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61B666D7-0C05-44B0-99D3-B9EF44F5582A}" xr6:coauthVersionLast="47" xr6:coauthVersionMax="47" xr10:uidLastSave="{00000000-0000-0000-0000-000000000000}"/>
  <bookViews>
    <workbookView xWindow="-120" yWindow="-120" windowWidth="29040" windowHeight="15840" tabRatio="894" activeTab="7" xr2:uid="{00000000-000D-0000-FFFF-FFFF00000000}"/>
  </bookViews>
  <sheets>
    <sheet name="节奏总纲" sheetId="6" r:id="rId1"/>
    <sheet name="标准城池设计" sheetId="3" r:id="rId2"/>
    <sheet name="攻城基础信息" sheetId="5" r:id="rId3"/>
    <sheet name="其他调用" sheetId="9" r:id="rId4"/>
    <sheet name="征服点（旧）" sheetId="23" r:id="rId5"/>
    <sheet name="征服点（新）" sheetId="27" r:id="rId6"/>
    <sheet name="征服点" sheetId="31" r:id="rId7"/>
    <sheet name="奖励（新）" sheetId="28" r:id="rId8"/>
    <sheet name="商店" sheetId="29" r:id="rId9"/>
    <sheet name="产出汇总" sheetId="30" r:id="rId10"/>
    <sheet name="奖励" sheetId="21" r:id="rId11"/>
    <sheet name="军团战略" sheetId="24" r:id="rId12"/>
    <sheet name="兵营医馆" sheetId="26" r:id="rId13"/>
    <sheet name="疲劳值&amp;地图信息" sheetId="2" r:id="rId14"/>
    <sheet name="道具投放节奏" sheetId="22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Y12" i="28" l="1"/>
  <c r="BB12" i="28" s="1"/>
  <c r="AW9" i="28"/>
  <c r="AX9" i="28"/>
  <c r="AY9" i="28"/>
  <c r="BB9" i="28" s="1"/>
  <c r="AZ9" i="28"/>
  <c r="AW10" i="28"/>
  <c r="AX10" i="28"/>
  <c r="AY10" i="28"/>
  <c r="BB10" i="28" s="1"/>
  <c r="AZ10" i="28"/>
  <c r="AW11" i="28"/>
  <c r="AX11" i="28"/>
  <c r="AY11" i="28"/>
  <c r="BB11" i="28" s="1"/>
  <c r="AZ11" i="28"/>
  <c r="AW12" i="28"/>
  <c r="AX12" i="28"/>
  <c r="AZ12" i="28"/>
  <c r="AW13" i="28"/>
  <c r="AX13" i="28"/>
  <c r="AY13" i="28"/>
  <c r="BB13" i="28" s="1"/>
  <c r="AZ13" i="28"/>
  <c r="AW14" i="28"/>
  <c r="AX14" i="28"/>
  <c r="AY14" i="28"/>
  <c r="BB14" i="28" s="1"/>
  <c r="AZ14" i="28"/>
  <c r="AX8" i="28"/>
  <c r="AY8" i="28"/>
  <c r="BB8" i="28" s="1"/>
  <c r="AZ8" i="28"/>
  <c r="AW8" i="28"/>
  <c r="BA17" i="28"/>
  <c r="G34" i="31"/>
  <c r="G33" i="31"/>
  <c r="G32" i="31"/>
  <c r="G31" i="31"/>
  <c r="G30" i="31"/>
  <c r="G29" i="31"/>
  <c r="G28" i="31"/>
  <c r="G27" i="31"/>
  <c r="G26" i="31"/>
  <c r="G25" i="31"/>
  <c r="G24" i="31"/>
  <c r="G23" i="31"/>
  <c r="G22" i="31"/>
  <c r="G35" i="31"/>
  <c r="BQ164" i="9"/>
  <c r="BP164" i="9"/>
  <c r="BO164" i="9"/>
  <c r="BN164" i="9"/>
  <c r="BQ163" i="9"/>
  <c r="BP163" i="9"/>
  <c r="BO163" i="9"/>
  <c r="BN163" i="9"/>
  <c r="BQ162" i="9"/>
  <c r="BP162" i="9"/>
  <c r="BO162" i="9"/>
  <c r="BN162" i="9"/>
  <c r="BQ161" i="9"/>
  <c r="BP161" i="9"/>
  <c r="BO161" i="9"/>
  <c r="BN161" i="9"/>
  <c r="BQ160" i="9"/>
  <c r="BP160" i="9"/>
  <c r="BO160" i="9"/>
  <c r="BN160" i="9"/>
  <c r="BQ159" i="9"/>
  <c r="BP159" i="9"/>
  <c r="BO159" i="9"/>
  <c r="BN159" i="9"/>
  <c r="BQ158" i="9"/>
  <c r="BP158" i="9"/>
  <c r="BO158" i="9"/>
  <c r="BN158" i="9"/>
  <c r="BQ157" i="9"/>
  <c r="BP157" i="9"/>
  <c r="BO157" i="9"/>
  <c r="BN157" i="9"/>
  <c r="BQ156" i="9"/>
  <c r="BP156" i="9"/>
  <c r="BO156" i="9"/>
  <c r="BN156" i="9"/>
  <c r="BQ155" i="9"/>
  <c r="BP155" i="9"/>
  <c r="BO155" i="9"/>
  <c r="BN155" i="9"/>
  <c r="BQ154" i="9"/>
  <c r="BP154" i="9"/>
  <c r="BO154" i="9"/>
  <c r="BN154" i="9"/>
  <c r="BQ153" i="9"/>
  <c r="BP153" i="9"/>
  <c r="BO153" i="9"/>
  <c r="BN153" i="9"/>
  <c r="BQ152" i="9"/>
  <c r="BP152" i="9"/>
  <c r="BO152" i="9"/>
  <c r="BN152" i="9"/>
  <c r="BQ151" i="9"/>
  <c r="BP151" i="9"/>
  <c r="BO151" i="9"/>
  <c r="BN151" i="9"/>
  <c r="BQ150" i="9"/>
  <c r="BP150" i="9"/>
  <c r="BO150" i="9"/>
  <c r="BN150" i="9"/>
  <c r="BQ149" i="9"/>
  <c r="BP149" i="9"/>
  <c r="BO149" i="9"/>
  <c r="BN149" i="9"/>
  <c r="BQ148" i="9"/>
  <c r="BP148" i="9"/>
  <c r="BO148" i="9"/>
  <c r="BN148" i="9"/>
  <c r="BQ147" i="9"/>
  <c r="BP147" i="9"/>
  <c r="BO147" i="9"/>
  <c r="BN147" i="9"/>
  <c r="BQ146" i="9"/>
  <c r="BP146" i="9"/>
  <c r="BO146" i="9"/>
  <c r="BN146" i="9"/>
  <c r="BQ145" i="9"/>
  <c r="BP145" i="9"/>
  <c r="BO145" i="9"/>
  <c r="BN145" i="9"/>
  <c r="BQ144" i="9"/>
  <c r="BP144" i="9"/>
  <c r="BO144" i="9"/>
  <c r="BN144" i="9"/>
  <c r="BQ143" i="9"/>
  <c r="BP143" i="9"/>
  <c r="BO143" i="9"/>
  <c r="BN143" i="9"/>
  <c r="BQ142" i="9"/>
  <c r="BP142" i="9"/>
  <c r="BO142" i="9"/>
  <c r="BN142" i="9"/>
  <c r="BQ141" i="9"/>
  <c r="BP141" i="9"/>
  <c r="BO141" i="9"/>
  <c r="BN141" i="9"/>
  <c r="BQ140" i="9"/>
  <c r="BP140" i="9"/>
  <c r="BO140" i="9"/>
  <c r="BN140" i="9"/>
  <c r="BQ139" i="9"/>
  <c r="BP139" i="9"/>
  <c r="BO139" i="9"/>
  <c r="BN139" i="9"/>
  <c r="BQ138" i="9"/>
  <c r="BP138" i="9"/>
  <c r="BO138" i="9"/>
  <c r="BN138" i="9"/>
  <c r="BQ137" i="9"/>
  <c r="BP137" i="9"/>
  <c r="BO137" i="9"/>
  <c r="BN137" i="9"/>
  <c r="BQ136" i="9"/>
  <c r="BP136" i="9"/>
  <c r="BO136" i="9"/>
  <c r="BN136" i="9"/>
  <c r="BQ135" i="9"/>
  <c r="BP135" i="9"/>
  <c r="BO135" i="9"/>
  <c r="BN135" i="9"/>
  <c r="BQ134" i="9"/>
  <c r="BP134" i="9"/>
  <c r="BO134" i="9"/>
  <c r="BN134" i="9"/>
  <c r="BQ133" i="9"/>
  <c r="BP133" i="9"/>
  <c r="BO133" i="9"/>
  <c r="BN133" i="9"/>
  <c r="BQ132" i="9"/>
  <c r="BP132" i="9"/>
  <c r="BO132" i="9"/>
  <c r="BN132" i="9"/>
  <c r="BQ131" i="9"/>
  <c r="BP131" i="9"/>
  <c r="BO131" i="9"/>
  <c r="BN131" i="9"/>
  <c r="BQ130" i="9"/>
  <c r="BP130" i="9"/>
  <c r="BO130" i="9"/>
  <c r="BN130" i="9"/>
  <c r="BQ129" i="9"/>
  <c r="BP129" i="9"/>
  <c r="BO129" i="9"/>
  <c r="BN129" i="9"/>
  <c r="BQ128" i="9"/>
  <c r="BP128" i="9"/>
  <c r="BO128" i="9"/>
  <c r="BN128" i="9"/>
  <c r="BQ127" i="9"/>
  <c r="BP127" i="9"/>
  <c r="BO127" i="9"/>
  <c r="BN127" i="9"/>
  <c r="BQ126" i="9"/>
  <c r="BP126" i="9"/>
  <c r="BO126" i="9"/>
  <c r="BN126" i="9"/>
  <c r="BQ125" i="9"/>
  <c r="BP125" i="9"/>
  <c r="BO125" i="9"/>
  <c r="BN125" i="9"/>
  <c r="BQ124" i="9"/>
  <c r="BP124" i="9"/>
  <c r="BO124" i="9"/>
  <c r="BN124" i="9"/>
  <c r="BQ123" i="9"/>
  <c r="BP123" i="9"/>
  <c r="BO123" i="9"/>
  <c r="BN123" i="9"/>
  <c r="BQ122" i="9"/>
  <c r="BP122" i="9"/>
  <c r="BO122" i="9"/>
  <c r="BN122" i="9"/>
  <c r="BQ121" i="9"/>
  <c r="BP121" i="9"/>
  <c r="BO121" i="9"/>
  <c r="BN121" i="9"/>
  <c r="BQ120" i="9"/>
  <c r="BP120" i="9"/>
  <c r="BO120" i="9"/>
  <c r="BN120" i="9"/>
  <c r="BQ119" i="9"/>
  <c r="BP119" i="9"/>
  <c r="BO119" i="9"/>
  <c r="BN119" i="9"/>
  <c r="BQ118" i="9"/>
  <c r="BP118" i="9"/>
  <c r="BO118" i="9"/>
  <c r="BN118" i="9"/>
  <c r="BQ117" i="9"/>
  <c r="BP117" i="9"/>
  <c r="BO117" i="9"/>
  <c r="BN117" i="9"/>
  <c r="BQ116" i="9"/>
  <c r="BP116" i="9"/>
  <c r="BO116" i="9"/>
  <c r="BN116" i="9"/>
  <c r="BQ115" i="9"/>
  <c r="BP115" i="9"/>
  <c r="BO115" i="9"/>
  <c r="BN115" i="9"/>
  <c r="BQ114" i="9"/>
  <c r="BP114" i="9"/>
  <c r="BO114" i="9"/>
  <c r="BN114" i="9"/>
  <c r="BQ113" i="9"/>
  <c r="BP113" i="9"/>
  <c r="BO113" i="9"/>
  <c r="BN113" i="9"/>
  <c r="BQ112" i="9"/>
  <c r="BP112" i="9"/>
  <c r="BO112" i="9"/>
  <c r="BN112" i="9"/>
  <c r="BQ111" i="9"/>
  <c r="BP111" i="9"/>
  <c r="BO111" i="9"/>
  <c r="BN111" i="9"/>
  <c r="BQ110" i="9"/>
  <c r="BP110" i="9"/>
  <c r="BO110" i="9"/>
  <c r="BN110" i="9"/>
  <c r="BQ109" i="9"/>
  <c r="BP109" i="9"/>
  <c r="BO109" i="9"/>
  <c r="BN109" i="9"/>
  <c r="BQ108" i="9"/>
  <c r="BP108" i="9"/>
  <c r="BO108" i="9"/>
  <c r="BN108" i="9"/>
  <c r="BQ107" i="9"/>
  <c r="BP107" i="9"/>
  <c r="BO107" i="9"/>
  <c r="BN107" i="9"/>
  <c r="BQ106" i="9"/>
  <c r="BP106" i="9"/>
  <c r="BO106" i="9"/>
  <c r="BN106" i="9"/>
  <c r="BQ105" i="9"/>
  <c r="BP105" i="9"/>
  <c r="BO105" i="9"/>
  <c r="BN105" i="9"/>
  <c r="BQ104" i="9"/>
  <c r="BP104" i="9"/>
  <c r="BO104" i="9"/>
  <c r="BN104" i="9"/>
  <c r="BQ103" i="9"/>
  <c r="BP103" i="9"/>
  <c r="BO103" i="9"/>
  <c r="BN103" i="9"/>
  <c r="BQ102" i="9"/>
  <c r="BP102" i="9"/>
  <c r="BO102" i="9"/>
  <c r="BN102" i="9"/>
  <c r="BQ101" i="9"/>
  <c r="BP101" i="9"/>
  <c r="BO101" i="9"/>
  <c r="BN101" i="9"/>
  <c r="BQ100" i="9"/>
  <c r="BP100" i="9"/>
  <c r="BO100" i="9"/>
  <c r="BN100" i="9"/>
  <c r="BQ99" i="9"/>
  <c r="BP99" i="9"/>
  <c r="BO99" i="9"/>
  <c r="BN99" i="9"/>
  <c r="BQ98" i="9"/>
  <c r="BP98" i="9"/>
  <c r="BO98" i="9"/>
  <c r="BN98" i="9"/>
  <c r="BQ97" i="9"/>
  <c r="BP97" i="9"/>
  <c r="BO97" i="9"/>
  <c r="BN97" i="9"/>
  <c r="BQ96" i="9"/>
  <c r="BP96" i="9"/>
  <c r="BO96" i="9"/>
  <c r="BN96" i="9"/>
  <c r="BQ95" i="9"/>
  <c r="BP95" i="9"/>
  <c r="BO95" i="9"/>
  <c r="BN95" i="9"/>
  <c r="BQ94" i="9"/>
  <c r="BP94" i="9"/>
  <c r="BO94" i="9"/>
  <c r="BN94" i="9"/>
  <c r="BQ93" i="9"/>
  <c r="BP93" i="9"/>
  <c r="BO93" i="9"/>
  <c r="BN93" i="9"/>
  <c r="BQ92" i="9"/>
  <c r="BP92" i="9"/>
  <c r="BO92" i="9"/>
  <c r="BN92" i="9"/>
  <c r="BQ91" i="9"/>
  <c r="BP91" i="9"/>
  <c r="BO91" i="9"/>
  <c r="BN91" i="9"/>
  <c r="BQ90" i="9"/>
  <c r="BP90" i="9"/>
  <c r="BO90" i="9"/>
  <c r="BN90" i="9"/>
  <c r="BQ89" i="9"/>
  <c r="BP89" i="9"/>
  <c r="BO89" i="9"/>
  <c r="BN89" i="9"/>
  <c r="BQ88" i="9"/>
  <c r="BP88" i="9"/>
  <c r="BO88" i="9"/>
  <c r="BN88" i="9"/>
  <c r="BQ87" i="9"/>
  <c r="BP87" i="9"/>
  <c r="BO87" i="9"/>
  <c r="BN87" i="9"/>
  <c r="BQ86" i="9"/>
  <c r="BP86" i="9"/>
  <c r="BO86" i="9"/>
  <c r="BN86" i="9"/>
  <c r="BQ85" i="9"/>
  <c r="BP85" i="9"/>
  <c r="BO85" i="9"/>
  <c r="BN85" i="9"/>
  <c r="BQ84" i="9"/>
  <c r="BP84" i="9"/>
  <c r="BO84" i="9"/>
  <c r="BN84" i="9"/>
  <c r="BQ83" i="9"/>
  <c r="BP83" i="9"/>
  <c r="BO83" i="9"/>
  <c r="BN83" i="9"/>
  <c r="BQ82" i="9"/>
  <c r="BP82" i="9"/>
  <c r="BO82" i="9"/>
  <c r="BN82" i="9"/>
  <c r="BQ81" i="9"/>
  <c r="BP81" i="9"/>
  <c r="BO81" i="9"/>
  <c r="BN81" i="9"/>
  <c r="BQ80" i="9"/>
  <c r="BP80" i="9"/>
  <c r="BO80" i="9"/>
  <c r="BN80" i="9"/>
  <c r="BQ79" i="9"/>
  <c r="BP79" i="9"/>
  <c r="BO79" i="9"/>
  <c r="BN79" i="9"/>
  <c r="BQ78" i="9"/>
  <c r="BP78" i="9"/>
  <c r="BO78" i="9"/>
  <c r="BN78" i="9"/>
  <c r="BQ77" i="9"/>
  <c r="BP77" i="9"/>
  <c r="BO77" i="9"/>
  <c r="BN77" i="9"/>
  <c r="BQ76" i="9"/>
  <c r="BP76" i="9"/>
  <c r="BO76" i="9"/>
  <c r="BN76" i="9"/>
  <c r="BQ75" i="9"/>
  <c r="BP75" i="9"/>
  <c r="BO75" i="9"/>
  <c r="BN75" i="9"/>
  <c r="BQ74" i="9"/>
  <c r="BP74" i="9"/>
  <c r="BO74" i="9"/>
  <c r="BN74" i="9"/>
  <c r="BQ73" i="9"/>
  <c r="BP73" i="9"/>
  <c r="BO73" i="9"/>
  <c r="BN73" i="9"/>
  <c r="BQ72" i="9"/>
  <c r="BP72" i="9"/>
  <c r="BO72" i="9"/>
  <c r="BN72" i="9"/>
  <c r="BQ71" i="9"/>
  <c r="BP71" i="9"/>
  <c r="BO71" i="9"/>
  <c r="BN71" i="9"/>
  <c r="BQ70" i="9"/>
  <c r="BP70" i="9"/>
  <c r="BO70" i="9"/>
  <c r="BN70" i="9"/>
  <c r="BQ69" i="9"/>
  <c r="BP69" i="9"/>
  <c r="BO69" i="9"/>
  <c r="BN69" i="9"/>
  <c r="BQ68" i="9"/>
  <c r="BP68" i="9"/>
  <c r="BO68" i="9"/>
  <c r="BN68" i="9"/>
  <c r="BQ67" i="9"/>
  <c r="BP67" i="9"/>
  <c r="BO67" i="9"/>
  <c r="BN67" i="9"/>
  <c r="BQ66" i="9"/>
  <c r="BP66" i="9"/>
  <c r="BO66" i="9"/>
  <c r="BN66" i="9"/>
  <c r="BQ65" i="9"/>
  <c r="BP65" i="9"/>
  <c r="BO65" i="9"/>
  <c r="BN65" i="9"/>
  <c r="BQ64" i="9"/>
  <c r="BP64" i="9"/>
  <c r="BO64" i="9"/>
  <c r="BN64" i="9"/>
  <c r="BQ63" i="9"/>
  <c r="BP63" i="9"/>
  <c r="BO63" i="9"/>
  <c r="BN63" i="9"/>
  <c r="BQ62" i="9"/>
  <c r="BP62" i="9"/>
  <c r="BO62" i="9"/>
  <c r="BN62" i="9"/>
  <c r="BQ61" i="9"/>
  <c r="BP61" i="9"/>
  <c r="BO61" i="9"/>
  <c r="BN61" i="9"/>
  <c r="BQ60" i="9"/>
  <c r="BP60" i="9"/>
  <c r="BO60" i="9"/>
  <c r="BN60" i="9"/>
  <c r="BQ59" i="9"/>
  <c r="BP59" i="9"/>
  <c r="BO59" i="9"/>
  <c r="BN59" i="9"/>
  <c r="BQ58" i="9"/>
  <c r="BP58" i="9"/>
  <c r="BO58" i="9"/>
  <c r="BN58" i="9"/>
  <c r="BQ57" i="9"/>
  <c r="BP57" i="9"/>
  <c r="BO57" i="9"/>
  <c r="BN57" i="9"/>
  <c r="BQ56" i="9"/>
  <c r="BP56" i="9"/>
  <c r="BO56" i="9"/>
  <c r="BN56" i="9"/>
  <c r="BQ55" i="9"/>
  <c r="BP55" i="9"/>
  <c r="BO55" i="9"/>
  <c r="BN55" i="9"/>
  <c r="BQ54" i="9"/>
  <c r="BP54" i="9"/>
  <c r="BO54" i="9"/>
  <c r="BN54" i="9"/>
  <c r="BQ53" i="9"/>
  <c r="BP53" i="9"/>
  <c r="BO53" i="9"/>
  <c r="BN53" i="9"/>
  <c r="BQ52" i="9"/>
  <c r="BP52" i="9"/>
  <c r="BO52" i="9"/>
  <c r="BN52" i="9"/>
  <c r="BQ51" i="9"/>
  <c r="BP51" i="9"/>
  <c r="BO51" i="9"/>
  <c r="BN51" i="9"/>
  <c r="BQ50" i="9"/>
  <c r="BP50" i="9"/>
  <c r="BO50" i="9"/>
  <c r="BN50" i="9"/>
  <c r="BQ49" i="9"/>
  <c r="BP49" i="9"/>
  <c r="BO49" i="9"/>
  <c r="BN49" i="9"/>
  <c r="BQ48" i="9"/>
  <c r="BP48" i="9"/>
  <c r="BO48" i="9"/>
  <c r="BN48" i="9"/>
  <c r="BQ47" i="9"/>
  <c r="BP47" i="9"/>
  <c r="BO47" i="9"/>
  <c r="BN47" i="9"/>
  <c r="BQ46" i="9"/>
  <c r="BP46" i="9"/>
  <c r="BO46" i="9"/>
  <c r="BN46" i="9"/>
  <c r="BQ45" i="9"/>
  <c r="BP45" i="9"/>
  <c r="BO45" i="9"/>
  <c r="BN45" i="9"/>
  <c r="BQ44" i="9"/>
  <c r="BP44" i="9"/>
  <c r="BO44" i="9"/>
  <c r="BN44" i="9"/>
  <c r="BQ43" i="9"/>
  <c r="BP43" i="9"/>
  <c r="BO43" i="9"/>
  <c r="BN43" i="9"/>
  <c r="BQ42" i="9"/>
  <c r="BP42" i="9"/>
  <c r="BO42" i="9"/>
  <c r="BN42" i="9"/>
  <c r="BQ41" i="9"/>
  <c r="BP41" i="9"/>
  <c r="BO41" i="9"/>
  <c r="BN41" i="9"/>
  <c r="BQ40" i="9"/>
  <c r="BP40" i="9"/>
  <c r="BO40" i="9"/>
  <c r="BN40" i="9"/>
  <c r="BQ39" i="9"/>
  <c r="BP39" i="9"/>
  <c r="BO39" i="9"/>
  <c r="BN39" i="9"/>
  <c r="BQ38" i="9"/>
  <c r="BP38" i="9"/>
  <c r="BO38" i="9"/>
  <c r="BN38" i="9"/>
  <c r="BQ37" i="9"/>
  <c r="BP37" i="9"/>
  <c r="BO37" i="9"/>
  <c r="BN37" i="9"/>
  <c r="BQ36" i="9"/>
  <c r="BP36" i="9"/>
  <c r="BO36" i="9"/>
  <c r="BN36" i="9"/>
  <c r="BQ35" i="9"/>
  <c r="BP35" i="9"/>
  <c r="BO35" i="9"/>
  <c r="BN35" i="9"/>
  <c r="BQ34" i="9"/>
  <c r="BP34" i="9"/>
  <c r="BO34" i="9"/>
  <c r="BN34" i="9"/>
  <c r="BQ33" i="9"/>
  <c r="BP33" i="9"/>
  <c r="BO33" i="9"/>
  <c r="BN33" i="9"/>
  <c r="BQ32" i="9"/>
  <c r="BP32" i="9"/>
  <c r="BO32" i="9"/>
  <c r="BN32" i="9"/>
  <c r="BQ31" i="9"/>
  <c r="BP31" i="9"/>
  <c r="BO31" i="9"/>
  <c r="BN31" i="9"/>
  <c r="BQ30" i="9"/>
  <c r="BP30" i="9"/>
  <c r="BO30" i="9"/>
  <c r="BN30" i="9"/>
  <c r="BQ29" i="9"/>
  <c r="BP29" i="9"/>
  <c r="BO29" i="9"/>
  <c r="BN29" i="9"/>
  <c r="BQ28" i="9"/>
  <c r="BP28" i="9"/>
  <c r="BO28" i="9"/>
  <c r="BN28" i="9"/>
  <c r="BQ27" i="9"/>
  <c r="BP27" i="9"/>
  <c r="BO27" i="9"/>
  <c r="BN27" i="9"/>
  <c r="BQ26" i="9"/>
  <c r="BP26" i="9"/>
  <c r="BO26" i="9"/>
  <c r="BN26" i="9"/>
  <c r="BQ25" i="9"/>
  <c r="BP25" i="9"/>
  <c r="BO25" i="9"/>
  <c r="BN25" i="9"/>
  <c r="BQ24" i="9"/>
  <c r="BP24" i="9"/>
  <c r="BO24" i="9"/>
  <c r="BN24" i="9"/>
  <c r="BQ23" i="9"/>
  <c r="BP23" i="9"/>
  <c r="BO23" i="9"/>
  <c r="BN23" i="9"/>
  <c r="BQ22" i="9"/>
  <c r="BP22" i="9"/>
  <c r="BO22" i="9"/>
  <c r="BN22" i="9"/>
  <c r="BQ21" i="9"/>
  <c r="BP21" i="9"/>
  <c r="BO21" i="9"/>
  <c r="BN21" i="9"/>
  <c r="BQ20" i="9"/>
  <c r="BP20" i="9"/>
  <c r="BO20" i="9"/>
  <c r="BN20" i="9"/>
  <c r="BQ19" i="9"/>
  <c r="BP19" i="9"/>
  <c r="BO19" i="9"/>
  <c r="BN19" i="9"/>
  <c r="BQ18" i="9"/>
  <c r="BP18" i="9"/>
  <c r="BO18" i="9"/>
  <c r="BN18" i="9"/>
  <c r="BQ17" i="9"/>
  <c r="BP17" i="9"/>
  <c r="BO17" i="9"/>
  <c r="BN17" i="9"/>
  <c r="BQ16" i="9"/>
  <c r="BP16" i="9"/>
  <c r="BO16" i="9"/>
  <c r="BN16" i="9"/>
  <c r="BQ15" i="9"/>
  <c r="BP15" i="9"/>
  <c r="BO15" i="9"/>
  <c r="BN15" i="9"/>
  <c r="BQ14" i="9"/>
  <c r="BP14" i="9"/>
  <c r="BO14" i="9"/>
  <c r="BN14" i="9"/>
  <c r="BQ13" i="9"/>
  <c r="BP13" i="9"/>
  <c r="BO13" i="9"/>
  <c r="BN13" i="9"/>
  <c r="BQ12" i="9"/>
  <c r="BP12" i="9"/>
  <c r="BO12" i="9"/>
  <c r="BN12" i="9"/>
  <c r="BQ11" i="9"/>
  <c r="BP11" i="9"/>
  <c r="BO11" i="9"/>
  <c r="BN11" i="9"/>
  <c r="BQ10" i="9"/>
  <c r="BP10" i="9"/>
  <c r="BO10" i="9"/>
  <c r="BN10" i="9"/>
  <c r="BQ9" i="9"/>
  <c r="BP9" i="9"/>
  <c r="BO9" i="9"/>
  <c r="BN9" i="9"/>
  <c r="BQ8" i="9"/>
  <c r="BP8" i="9"/>
  <c r="BO8" i="9"/>
  <c r="BN8" i="9"/>
  <c r="BQ7" i="9"/>
  <c r="BP7" i="9"/>
  <c r="BO7" i="9"/>
  <c r="BN7" i="9"/>
  <c r="BQ6" i="9"/>
  <c r="BP6" i="9"/>
  <c r="BO6" i="9"/>
  <c r="BN6" i="9"/>
  <c r="BQ5" i="9"/>
  <c r="BP5" i="9"/>
  <c r="BO5" i="9"/>
  <c r="BN5" i="9"/>
  <c r="BM164" i="9"/>
  <c r="BM163" i="9"/>
  <c r="BM162" i="9"/>
  <c r="BM161" i="9"/>
  <c r="BM160" i="9"/>
  <c r="BM159" i="9"/>
  <c r="BM158" i="9"/>
  <c r="BM157" i="9"/>
  <c r="BM156" i="9"/>
  <c r="BM155" i="9"/>
  <c r="BM154" i="9"/>
  <c r="BM153" i="9"/>
  <c r="BM152" i="9"/>
  <c r="BM151" i="9"/>
  <c r="BM150" i="9"/>
  <c r="BM149" i="9"/>
  <c r="BM148" i="9"/>
  <c r="BM147" i="9"/>
  <c r="BM146" i="9"/>
  <c r="BM145" i="9"/>
  <c r="BM144" i="9"/>
  <c r="BM143" i="9"/>
  <c r="BM142" i="9"/>
  <c r="BM141" i="9"/>
  <c r="BM140" i="9"/>
  <c r="BM139" i="9"/>
  <c r="BM138" i="9"/>
  <c r="BM137" i="9"/>
  <c r="BM136" i="9"/>
  <c r="BM135" i="9"/>
  <c r="BM134" i="9"/>
  <c r="BM133" i="9"/>
  <c r="BM132" i="9"/>
  <c r="BM131" i="9"/>
  <c r="BM130" i="9"/>
  <c r="BM129" i="9"/>
  <c r="BM128" i="9"/>
  <c r="BM127" i="9"/>
  <c r="BM126" i="9"/>
  <c r="BM125" i="9"/>
  <c r="BM124" i="9"/>
  <c r="BM123" i="9"/>
  <c r="BM122" i="9"/>
  <c r="BM121" i="9"/>
  <c r="BM120" i="9"/>
  <c r="BM119" i="9"/>
  <c r="BM118" i="9"/>
  <c r="BM117" i="9"/>
  <c r="BM116" i="9"/>
  <c r="BM115" i="9"/>
  <c r="BM114" i="9"/>
  <c r="BM113" i="9"/>
  <c r="BM112" i="9"/>
  <c r="BM111" i="9"/>
  <c r="BM110" i="9"/>
  <c r="BM109" i="9"/>
  <c r="BM108" i="9"/>
  <c r="BM107" i="9"/>
  <c r="BM106" i="9"/>
  <c r="BM105" i="9"/>
  <c r="BM104" i="9"/>
  <c r="BM103" i="9"/>
  <c r="BM102" i="9"/>
  <c r="BM101" i="9"/>
  <c r="BM100" i="9"/>
  <c r="BM99" i="9"/>
  <c r="BM98" i="9"/>
  <c r="BM97" i="9"/>
  <c r="BM96" i="9"/>
  <c r="BM95" i="9"/>
  <c r="BM94" i="9"/>
  <c r="BM93" i="9"/>
  <c r="BM92" i="9"/>
  <c r="BM91" i="9"/>
  <c r="BM90" i="9"/>
  <c r="BM89" i="9"/>
  <c r="BM88" i="9"/>
  <c r="BM87" i="9"/>
  <c r="BM86" i="9"/>
  <c r="BM85" i="9"/>
  <c r="BM84" i="9"/>
  <c r="BM83" i="9"/>
  <c r="BM82" i="9"/>
  <c r="BM81" i="9"/>
  <c r="BM80" i="9"/>
  <c r="BM79" i="9"/>
  <c r="BM78" i="9"/>
  <c r="BM77" i="9"/>
  <c r="BM76" i="9"/>
  <c r="BM75" i="9"/>
  <c r="BM74" i="9"/>
  <c r="BM73" i="9"/>
  <c r="BM72" i="9"/>
  <c r="BM71" i="9"/>
  <c r="BM70" i="9"/>
  <c r="BM69" i="9"/>
  <c r="BM68" i="9"/>
  <c r="BM67" i="9"/>
  <c r="BM66" i="9"/>
  <c r="BM65" i="9"/>
  <c r="BM64" i="9"/>
  <c r="BM63" i="9"/>
  <c r="BM62" i="9"/>
  <c r="BM61" i="9"/>
  <c r="BM60" i="9"/>
  <c r="BM59" i="9"/>
  <c r="BM58" i="9"/>
  <c r="BM57" i="9"/>
  <c r="BM56" i="9"/>
  <c r="BM55" i="9"/>
  <c r="BM54" i="9"/>
  <c r="BM53" i="9"/>
  <c r="BM52" i="9"/>
  <c r="BM51" i="9"/>
  <c r="BM50" i="9"/>
  <c r="BM49" i="9"/>
  <c r="BM48" i="9"/>
  <c r="BM47" i="9"/>
  <c r="BM46" i="9"/>
  <c r="BM45" i="9"/>
  <c r="BM44" i="9"/>
  <c r="BM43" i="9"/>
  <c r="BM42" i="9"/>
  <c r="BM41" i="9"/>
  <c r="BM40" i="9"/>
  <c r="BM39" i="9"/>
  <c r="BM38" i="9"/>
  <c r="BM37" i="9"/>
  <c r="BM36" i="9"/>
  <c r="BM35" i="9"/>
  <c r="BM34" i="9"/>
  <c r="BM33" i="9"/>
  <c r="BM32" i="9"/>
  <c r="BM31" i="9"/>
  <c r="BM30" i="9"/>
  <c r="BM29" i="9"/>
  <c r="BM28" i="9"/>
  <c r="BM27" i="9"/>
  <c r="BM26" i="9"/>
  <c r="BM25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O11" i="29"/>
  <c r="B30" i="31"/>
  <c r="B31" i="31" s="1"/>
  <c r="B32" i="31" s="1"/>
  <c r="B33" i="31" s="1"/>
  <c r="B34" i="31" s="1"/>
  <c r="B35" i="31" s="1"/>
  <c r="R34" i="9" l="1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BR4" i="3"/>
  <c r="BR5" i="3"/>
  <c r="BR6" i="3"/>
  <c r="BR7" i="3"/>
  <c r="BR8" i="3"/>
  <c r="BR9" i="3"/>
  <c r="BR10" i="3"/>
  <c r="BR11" i="3"/>
  <c r="BR12" i="3"/>
  <c r="BR13" i="3"/>
  <c r="BR14" i="3"/>
  <c r="BR15" i="3"/>
  <c r="BR16" i="3"/>
  <c r="BR17" i="3"/>
  <c r="BR18" i="3"/>
  <c r="BR19" i="3"/>
  <c r="BR20" i="3"/>
  <c r="BR21" i="3"/>
  <c r="BR22" i="3"/>
  <c r="BR23" i="3"/>
  <c r="BR24" i="3"/>
  <c r="BR25" i="3"/>
  <c r="BR26" i="3"/>
  <c r="BR27" i="3"/>
  <c r="BR28" i="3"/>
  <c r="BR29" i="3"/>
  <c r="BR30" i="3"/>
  <c r="BR31" i="3"/>
  <c r="BR32" i="3"/>
  <c r="BR33" i="3"/>
  <c r="BR34" i="3"/>
  <c r="BR35" i="3"/>
  <c r="BR36" i="3"/>
  <c r="BR37" i="3"/>
  <c r="BR38" i="3"/>
  <c r="BR39" i="3"/>
  <c r="BR40" i="3"/>
  <c r="BR41" i="3"/>
  <c r="BR42" i="3"/>
  <c r="BR43" i="3"/>
  <c r="BR44" i="3"/>
  <c r="BR45" i="3"/>
  <c r="BR46" i="3"/>
  <c r="BR47" i="3"/>
  <c r="BR48" i="3"/>
  <c r="BR49" i="3"/>
  <c r="BR50" i="3"/>
  <c r="BR51" i="3"/>
  <c r="BR52" i="3"/>
  <c r="BR53" i="3"/>
  <c r="BR54" i="3"/>
  <c r="BR55" i="3"/>
  <c r="BR56" i="3"/>
  <c r="BR57" i="3"/>
  <c r="BR58" i="3"/>
  <c r="BR59" i="3"/>
  <c r="BR60" i="3"/>
  <c r="BR61" i="3"/>
  <c r="BR62" i="3"/>
  <c r="BR63" i="3"/>
  <c r="BR64" i="3"/>
  <c r="BR65" i="3"/>
  <c r="BR66" i="3"/>
  <c r="BR67" i="3"/>
  <c r="BR68" i="3"/>
  <c r="BR69" i="3"/>
  <c r="BR70" i="3"/>
  <c r="BR71" i="3"/>
  <c r="BR72" i="3"/>
  <c r="BR73" i="3"/>
  <c r="BR74" i="3"/>
  <c r="BR75" i="3"/>
  <c r="BR76" i="3"/>
  <c r="BR77" i="3"/>
  <c r="BR78" i="3"/>
  <c r="BR79" i="3"/>
  <c r="BR80" i="3"/>
  <c r="BR81" i="3"/>
  <c r="BR82" i="3"/>
  <c r="BR83" i="3"/>
  <c r="BR84" i="3"/>
  <c r="BR85" i="3"/>
  <c r="BR86" i="3"/>
  <c r="BR87" i="3"/>
  <c r="BR88" i="3"/>
  <c r="BR89" i="3"/>
  <c r="BR90" i="3"/>
  <c r="BR91" i="3"/>
  <c r="BR92" i="3"/>
  <c r="BR93" i="3"/>
  <c r="BR94" i="3"/>
  <c r="BR95" i="3"/>
  <c r="BR96" i="3"/>
  <c r="BR97" i="3"/>
  <c r="BR98" i="3"/>
  <c r="BR99" i="3"/>
  <c r="BR100" i="3"/>
  <c r="BR101" i="3"/>
  <c r="BR102" i="3"/>
  <c r="BR103" i="3"/>
  <c r="BR104" i="3"/>
  <c r="BR105" i="3"/>
  <c r="BR106" i="3"/>
  <c r="BR107" i="3"/>
  <c r="BR108" i="3"/>
  <c r="BR109" i="3"/>
  <c r="BR110" i="3"/>
  <c r="BR111" i="3"/>
  <c r="BR112" i="3"/>
  <c r="BR113" i="3"/>
  <c r="BR114" i="3"/>
  <c r="BR115" i="3"/>
  <c r="BR116" i="3"/>
  <c r="BR117" i="3"/>
  <c r="BR118" i="3"/>
  <c r="BR119" i="3"/>
  <c r="BR120" i="3"/>
  <c r="BR121" i="3"/>
  <c r="BR122" i="3"/>
  <c r="BR123" i="3"/>
  <c r="BR124" i="3"/>
  <c r="BR125" i="3"/>
  <c r="BR126" i="3"/>
  <c r="BR127" i="3"/>
  <c r="BR128" i="3"/>
  <c r="BR129" i="3"/>
  <c r="BR130" i="3"/>
  <c r="BR131" i="3"/>
  <c r="BR132" i="3"/>
  <c r="BR133" i="3"/>
  <c r="BR134" i="3"/>
  <c r="BR135" i="3"/>
  <c r="BR136" i="3"/>
  <c r="BR137" i="3"/>
  <c r="BR138" i="3"/>
  <c r="BR139" i="3"/>
  <c r="BR140" i="3"/>
  <c r="BR141" i="3"/>
  <c r="BR142" i="3"/>
  <c r="BR143" i="3"/>
  <c r="BR144" i="3"/>
  <c r="BR145" i="3"/>
  <c r="BR146" i="3"/>
  <c r="BR147" i="3"/>
  <c r="BR148" i="3"/>
  <c r="BR149" i="3"/>
  <c r="BR150" i="3"/>
  <c r="BR151" i="3"/>
  <c r="BR152" i="3"/>
  <c r="BR153" i="3"/>
  <c r="BR154" i="3"/>
  <c r="BR155" i="3"/>
  <c r="BR156" i="3"/>
  <c r="BR157" i="3"/>
  <c r="BR158" i="3"/>
  <c r="BR159" i="3"/>
  <c r="BR160" i="3"/>
  <c r="BR161" i="3"/>
  <c r="BR162" i="3"/>
  <c r="BR163" i="3"/>
  <c r="BR164" i="3"/>
  <c r="BR165" i="3"/>
  <c r="BR166" i="3"/>
  <c r="BR167" i="3"/>
  <c r="BR168" i="3"/>
  <c r="BR169" i="3"/>
  <c r="BR170" i="3"/>
  <c r="BR171" i="3"/>
  <c r="BR172" i="3"/>
  <c r="BR173" i="3"/>
  <c r="BR174" i="3"/>
  <c r="BR175" i="3"/>
  <c r="BR176" i="3"/>
  <c r="BR177" i="3"/>
  <c r="BR178" i="3"/>
  <c r="BR179" i="3"/>
  <c r="BR180" i="3"/>
  <c r="BR181" i="3"/>
  <c r="BR182" i="3"/>
  <c r="BR183" i="3"/>
  <c r="BR184" i="3"/>
  <c r="BR185" i="3"/>
  <c r="BR186" i="3"/>
  <c r="BR187" i="3"/>
  <c r="BR188" i="3"/>
  <c r="BR189" i="3"/>
  <c r="BR190" i="3"/>
  <c r="BR191" i="3"/>
  <c r="BR192" i="3"/>
  <c r="BR193" i="3"/>
  <c r="BR194" i="3"/>
  <c r="BR195" i="3"/>
  <c r="BR196" i="3"/>
  <c r="BR197" i="3"/>
  <c r="BR198" i="3"/>
  <c r="BR199" i="3"/>
  <c r="BR200" i="3"/>
  <c r="BR201" i="3"/>
  <c r="BR202" i="3"/>
  <c r="BR203" i="3"/>
  <c r="BR204" i="3"/>
  <c r="BR205" i="3"/>
  <c r="BR206" i="3"/>
  <c r="BR207" i="3"/>
  <c r="BR208" i="3"/>
  <c r="BR209" i="3"/>
  <c r="BR210" i="3"/>
  <c r="BR211" i="3"/>
  <c r="BR212" i="3"/>
  <c r="BR213" i="3"/>
  <c r="BR214" i="3"/>
  <c r="BR215" i="3"/>
  <c r="BR216" i="3"/>
  <c r="BR217" i="3"/>
  <c r="BR218" i="3"/>
  <c r="BR219" i="3"/>
  <c r="BR220" i="3"/>
  <c r="BR221" i="3"/>
  <c r="BR222" i="3"/>
  <c r="BR223" i="3"/>
  <c r="BR224" i="3"/>
  <c r="BR225" i="3"/>
  <c r="BR226" i="3"/>
  <c r="BR227" i="3"/>
  <c r="BR228" i="3"/>
  <c r="BR229" i="3"/>
  <c r="BR230" i="3"/>
  <c r="BR231" i="3"/>
  <c r="BR232" i="3"/>
  <c r="BR233" i="3"/>
  <c r="BR234" i="3"/>
  <c r="BR235" i="3"/>
  <c r="BR236" i="3"/>
  <c r="BR237" i="3"/>
  <c r="BR238" i="3"/>
  <c r="BR239" i="3"/>
  <c r="BR240" i="3"/>
  <c r="BR241" i="3"/>
  <c r="BR242" i="3"/>
  <c r="BR243" i="3"/>
  <c r="BR244" i="3"/>
  <c r="BR245" i="3"/>
  <c r="BR246" i="3"/>
  <c r="BR247" i="3"/>
  <c r="BR248" i="3"/>
  <c r="BR249" i="3"/>
  <c r="BR250" i="3"/>
  <c r="BR251" i="3"/>
  <c r="BR252" i="3"/>
  <c r="BR253" i="3"/>
  <c r="BR254" i="3"/>
  <c r="BR255" i="3"/>
  <c r="BR256" i="3"/>
  <c r="BR257" i="3"/>
  <c r="BR258" i="3"/>
  <c r="BR259" i="3"/>
  <c r="BR260" i="3"/>
  <c r="BR261" i="3"/>
  <c r="BR262" i="3"/>
  <c r="BR263" i="3"/>
  <c r="BR264" i="3"/>
  <c r="BR265" i="3"/>
  <c r="BR266" i="3"/>
  <c r="BR267" i="3"/>
  <c r="BR268" i="3"/>
  <c r="BR269" i="3"/>
  <c r="BR270" i="3"/>
  <c r="BR271" i="3"/>
  <c r="BR272" i="3"/>
  <c r="BR273" i="3"/>
  <c r="BR274" i="3"/>
  <c r="BR275" i="3"/>
  <c r="BR276" i="3"/>
  <c r="BR277" i="3"/>
  <c r="BR278" i="3"/>
  <c r="BR279" i="3"/>
  <c r="BR280" i="3"/>
  <c r="BR281" i="3"/>
  <c r="BR282" i="3"/>
  <c r="BR283" i="3"/>
  <c r="BR284" i="3"/>
  <c r="BR285" i="3"/>
  <c r="BR286" i="3"/>
  <c r="BR287" i="3"/>
  <c r="BR288" i="3"/>
  <c r="BR289" i="3"/>
  <c r="BR290" i="3"/>
  <c r="BR291" i="3"/>
  <c r="BR292" i="3"/>
  <c r="BR293" i="3"/>
  <c r="BR294" i="3"/>
  <c r="BR295" i="3"/>
  <c r="BR296" i="3"/>
  <c r="BR297" i="3"/>
  <c r="BR298" i="3"/>
  <c r="BR299" i="3"/>
  <c r="BR300" i="3"/>
  <c r="BR301" i="3"/>
  <c r="BR302" i="3"/>
  <c r="BR303" i="3"/>
  <c r="BR304" i="3"/>
  <c r="BR305" i="3"/>
  <c r="BR306" i="3"/>
  <c r="BR307" i="3"/>
  <c r="BR308" i="3"/>
  <c r="BR309" i="3"/>
  <c r="BR310" i="3"/>
  <c r="BR311" i="3"/>
  <c r="BR312" i="3"/>
  <c r="BR313" i="3"/>
  <c r="BR314" i="3"/>
  <c r="BR315" i="3"/>
  <c r="BR316" i="3"/>
  <c r="BR317" i="3"/>
  <c r="BR318" i="3"/>
  <c r="BR319" i="3"/>
  <c r="BR320" i="3"/>
  <c r="BR321" i="3"/>
  <c r="BR322" i="3"/>
  <c r="BR323" i="3"/>
  <c r="BR324" i="3"/>
  <c r="BR325" i="3"/>
  <c r="BR326" i="3"/>
  <c r="BR327" i="3"/>
  <c r="BR328" i="3"/>
  <c r="BR329" i="3"/>
  <c r="BR330" i="3"/>
  <c r="BR331" i="3"/>
  <c r="BR332" i="3"/>
  <c r="BR333" i="3"/>
  <c r="BR334" i="3"/>
  <c r="BR335" i="3"/>
  <c r="BR336" i="3"/>
  <c r="BR337" i="3"/>
  <c r="BR338" i="3"/>
  <c r="BR339" i="3"/>
  <c r="BR340" i="3"/>
  <c r="BR341" i="3"/>
  <c r="BR342" i="3"/>
  <c r="BR343" i="3"/>
  <c r="BR344" i="3"/>
  <c r="BR345" i="3"/>
  <c r="BR346" i="3"/>
  <c r="BR347" i="3"/>
  <c r="BR348" i="3"/>
  <c r="BR349" i="3"/>
  <c r="BR350" i="3"/>
  <c r="BR351" i="3"/>
  <c r="BR352" i="3"/>
  <c r="BR353" i="3"/>
  <c r="BR354" i="3"/>
  <c r="BR355" i="3"/>
  <c r="BR356" i="3"/>
  <c r="BR357" i="3"/>
  <c r="BR358" i="3"/>
  <c r="BR359" i="3"/>
  <c r="BR360" i="3"/>
  <c r="BR361" i="3"/>
  <c r="BR362" i="3"/>
  <c r="BR363" i="3"/>
  <c r="L11" i="5" l="1"/>
  <c r="M11" i="5"/>
  <c r="N11" i="5"/>
  <c r="O11" i="5"/>
  <c r="P11" i="5"/>
  <c r="L12" i="5"/>
  <c r="M12" i="5"/>
  <c r="N12" i="5"/>
  <c r="O12" i="5"/>
  <c r="P12" i="5"/>
  <c r="L13" i="5"/>
  <c r="M13" i="5"/>
  <c r="N13" i="5"/>
  <c r="O13" i="5"/>
  <c r="P13" i="5"/>
  <c r="L14" i="5"/>
  <c r="M14" i="5"/>
  <c r="N14" i="5"/>
  <c r="O14" i="5"/>
  <c r="P14" i="5"/>
  <c r="L15" i="5"/>
  <c r="M15" i="5"/>
  <c r="N15" i="5"/>
  <c r="O15" i="5"/>
  <c r="P15" i="5"/>
  <c r="L16" i="5"/>
  <c r="M16" i="5"/>
  <c r="N16" i="5"/>
  <c r="O16" i="5"/>
  <c r="P16" i="5"/>
  <c r="L17" i="5"/>
  <c r="M17" i="5"/>
  <c r="N17" i="5"/>
  <c r="O17" i="5"/>
  <c r="P17" i="5"/>
  <c r="L18" i="5"/>
  <c r="M18" i="5"/>
  <c r="N18" i="5"/>
  <c r="O18" i="5"/>
  <c r="P18" i="5"/>
  <c r="L19" i="5"/>
  <c r="M19" i="5"/>
  <c r="N19" i="5"/>
  <c r="O19" i="5"/>
  <c r="P19" i="5"/>
  <c r="L20" i="5"/>
  <c r="M20" i="5"/>
  <c r="N20" i="5"/>
  <c r="O20" i="5"/>
  <c r="P20" i="5"/>
  <c r="L21" i="5"/>
  <c r="M21" i="5"/>
  <c r="N21" i="5"/>
  <c r="O21" i="5"/>
  <c r="P21" i="5"/>
  <c r="L22" i="5"/>
  <c r="M22" i="5"/>
  <c r="N22" i="5"/>
  <c r="O22" i="5"/>
  <c r="P22" i="5"/>
  <c r="L23" i="5"/>
  <c r="M23" i="5"/>
  <c r="N23" i="5"/>
  <c r="O23" i="5"/>
  <c r="P23" i="5"/>
  <c r="L24" i="5"/>
  <c r="M24" i="5"/>
  <c r="N24" i="5"/>
  <c r="O24" i="5"/>
  <c r="P24" i="5"/>
  <c r="L25" i="5"/>
  <c r="M25" i="5"/>
  <c r="N25" i="5"/>
  <c r="O25" i="5"/>
  <c r="P25" i="5"/>
  <c r="L26" i="5"/>
  <c r="M26" i="5"/>
  <c r="N26" i="5"/>
  <c r="O26" i="5"/>
  <c r="P26" i="5"/>
  <c r="L27" i="5"/>
  <c r="M27" i="5"/>
  <c r="N27" i="5"/>
  <c r="O27" i="5"/>
  <c r="P27" i="5"/>
  <c r="L28" i="5"/>
  <c r="M28" i="5"/>
  <c r="N28" i="5"/>
  <c r="O28" i="5"/>
  <c r="P28" i="5"/>
  <c r="L29" i="5"/>
  <c r="M29" i="5"/>
  <c r="N29" i="5"/>
  <c r="O29" i="5"/>
  <c r="P29" i="5"/>
  <c r="L30" i="5"/>
  <c r="M30" i="5"/>
  <c r="N30" i="5"/>
  <c r="O30" i="5"/>
  <c r="P30" i="5"/>
  <c r="L31" i="5"/>
  <c r="M31" i="5"/>
  <c r="N31" i="5"/>
  <c r="O31" i="5"/>
  <c r="P31" i="5"/>
  <c r="L32" i="5"/>
  <c r="M32" i="5"/>
  <c r="N32" i="5"/>
  <c r="O32" i="5"/>
  <c r="P32" i="5"/>
  <c r="L33" i="5"/>
  <c r="M33" i="5"/>
  <c r="N33" i="5"/>
  <c r="O33" i="5"/>
  <c r="P33" i="5"/>
  <c r="L34" i="5"/>
  <c r="M34" i="5"/>
  <c r="N34" i="5"/>
  <c r="O34" i="5"/>
  <c r="P34" i="5"/>
  <c r="L35" i="5"/>
  <c r="M35" i="5"/>
  <c r="N35" i="5"/>
  <c r="O35" i="5"/>
  <c r="P35" i="5"/>
  <c r="L36" i="5"/>
  <c r="M36" i="5"/>
  <c r="N36" i="5"/>
  <c r="O36" i="5"/>
  <c r="P36" i="5"/>
  <c r="L37" i="5"/>
  <c r="M37" i="5"/>
  <c r="N37" i="5"/>
  <c r="O37" i="5"/>
  <c r="P37" i="5"/>
  <c r="L38" i="5"/>
  <c r="M38" i="5"/>
  <c r="N38" i="5"/>
  <c r="O38" i="5"/>
  <c r="P38" i="5"/>
  <c r="L39" i="5"/>
  <c r="M39" i="5"/>
  <c r="N39" i="5"/>
  <c r="O39" i="5"/>
  <c r="P39" i="5"/>
  <c r="L40" i="5"/>
  <c r="M40" i="5"/>
  <c r="N40" i="5"/>
  <c r="O40" i="5"/>
  <c r="P40" i="5"/>
  <c r="L41" i="5"/>
  <c r="M41" i="5"/>
  <c r="N41" i="5"/>
  <c r="O41" i="5"/>
  <c r="P41" i="5"/>
  <c r="L42" i="5"/>
  <c r="M42" i="5"/>
  <c r="N42" i="5"/>
  <c r="O42" i="5"/>
  <c r="P42" i="5"/>
  <c r="L43" i="5"/>
  <c r="M43" i="5"/>
  <c r="N43" i="5"/>
  <c r="O43" i="5"/>
  <c r="P43" i="5"/>
  <c r="L44" i="5"/>
  <c r="M44" i="5"/>
  <c r="N44" i="5"/>
  <c r="O44" i="5"/>
  <c r="P44" i="5"/>
  <c r="L45" i="5"/>
  <c r="M45" i="5"/>
  <c r="N45" i="5"/>
  <c r="O45" i="5"/>
  <c r="P45" i="5"/>
  <c r="L46" i="5"/>
  <c r="M46" i="5"/>
  <c r="N46" i="5"/>
  <c r="O46" i="5"/>
  <c r="P46" i="5"/>
  <c r="L47" i="5"/>
  <c r="M47" i="5"/>
  <c r="N47" i="5"/>
  <c r="O47" i="5"/>
  <c r="P47" i="5"/>
  <c r="L48" i="5"/>
  <c r="M48" i="5"/>
  <c r="N48" i="5"/>
  <c r="O48" i="5"/>
  <c r="P48" i="5"/>
  <c r="E25" i="5" l="1"/>
  <c r="E16" i="5"/>
  <c r="E24" i="5"/>
  <c r="E21" i="5"/>
  <c r="E18" i="5"/>
  <c r="E15" i="5"/>
  <c r="E12" i="5"/>
  <c r="E10" i="5"/>
  <c r="E22" i="5"/>
  <c r="E13" i="5"/>
  <c r="E19" i="5"/>
  <c r="E26" i="5"/>
  <c r="E23" i="5"/>
  <c r="E20" i="5"/>
  <c r="E17" i="5"/>
  <c r="E14" i="5"/>
  <c r="E11" i="5"/>
  <c r="E32" i="5" l="1"/>
  <c r="E37" i="5"/>
  <c r="E39" i="5"/>
  <c r="E35" i="5"/>
  <c r="E46" i="5"/>
  <c r="E42" i="5"/>
  <c r="E38" i="5"/>
  <c r="E45" i="5"/>
  <c r="E41" i="5"/>
  <c r="E48" i="5"/>
  <c r="E44" i="5"/>
  <c r="E34" i="5"/>
  <c r="E27" i="5"/>
  <c r="E47" i="5"/>
  <c r="E40" i="5"/>
  <c r="E30" i="5"/>
  <c r="E33" i="5"/>
  <c r="E31" i="5"/>
  <c r="E29" i="5"/>
  <c r="E28" i="5"/>
  <c r="E36" i="5"/>
  <c r="E43" i="5"/>
  <c r="D10" i="5"/>
  <c r="D25" i="5"/>
  <c r="D22" i="5"/>
  <c r="D19" i="5"/>
  <c r="D16" i="5"/>
  <c r="D13" i="5"/>
  <c r="D24" i="5"/>
  <c r="D21" i="5"/>
  <c r="D18" i="5"/>
  <c r="D15" i="5"/>
  <c r="D12" i="5"/>
  <c r="D26" i="5"/>
  <c r="D23" i="5"/>
  <c r="D20" i="5"/>
  <c r="D17" i="5"/>
  <c r="D14" i="5"/>
  <c r="D11" i="5"/>
  <c r="C16" i="5"/>
  <c r="C24" i="5"/>
  <c r="C21" i="5"/>
  <c r="C18" i="5"/>
  <c r="C15" i="5"/>
  <c r="C12" i="5"/>
  <c r="B26" i="5"/>
  <c r="C26" i="5"/>
  <c r="C23" i="5"/>
  <c r="C20" i="5"/>
  <c r="C17" i="5"/>
  <c r="C14" i="5"/>
  <c r="C11" i="5"/>
  <c r="C22" i="5"/>
  <c r="C25" i="5"/>
  <c r="C19" i="5"/>
  <c r="C13" i="5"/>
  <c r="F26" i="5"/>
  <c r="F39" i="5" l="1"/>
  <c r="C42" i="5"/>
  <c r="B42" i="5"/>
  <c r="D38" i="5"/>
  <c r="F45" i="5"/>
  <c r="F38" i="5"/>
  <c r="F35" i="5"/>
  <c r="D34" i="5"/>
  <c r="C40" i="5"/>
  <c r="C34" i="5"/>
  <c r="C29" i="5"/>
  <c r="B29" i="5"/>
  <c r="C45" i="5"/>
  <c r="B45" i="5"/>
  <c r="D41" i="5"/>
  <c r="D30" i="5"/>
  <c r="F28" i="5"/>
  <c r="F42" i="5"/>
  <c r="F48" i="5"/>
  <c r="F31" i="5"/>
  <c r="F44" i="5"/>
  <c r="F41" i="5"/>
  <c r="C31" i="5"/>
  <c r="B31" i="5"/>
  <c r="C32" i="5"/>
  <c r="B32" i="5"/>
  <c r="C48" i="5"/>
  <c r="B48" i="5"/>
  <c r="D44" i="5"/>
  <c r="D36" i="5"/>
  <c r="F30" i="5"/>
  <c r="F43" i="5"/>
  <c r="B35" i="5"/>
  <c r="D27" i="5"/>
  <c r="D37" i="5"/>
  <c r="C37" i="5"/>
  <c r="C35" i="5"/>
  <c r="B38" i="5"/>
  <c r="C27" i="5"/>
  <c r="B27" i="5"/>
  <c r="D47" i="5"/>
  <c r="D39" i="5"/>
  <c r="D28" i="5"/>
  <c r="C43" i="5"/>
  <c r="C38" i="5"/>
  <c r="B44" i="5"/>
  <c r="C30" i="5"/>
  <c r="D42" i="5"/>
  <c r="D31" i="5"/>
  <c r="C28" i="5"/>
  <c r="F27" i="5"/>
  <c r="F34" i="5"/>
  <c r="F40" i="5"/>
  <c r="F47" i="5"/>
  <c r="B41" i="5"/>
  <c r="D33" i="5"/>
  <c r="C46" i="5"/>
  <c r="B28" i="5"/>
  <c r="C41" i="5"/>
  <c r="B43" i="5"/>
  <c r="C33" i="5"/>
  <c r="B33" i="5"/>
  <c r="B34" i="5"/>
  <c r="D29" i="5"/>
  <c r="D48" i="5"/>
  <c r="D40" i="5"/>
  <c r="F32" i="5"/>
  <c r="B30" i="5"/>
  <c r="F33" i="5"/>
  <c r="F46" i="5"/>
  <c r="F36" i="5"/>
  <c r="B37" i="5"/>
  <c r="C44" i="5"/>
  <c r="C36" i="5"/>
  <c r="B36" i="5"/>
  <c r="B40" i="5"/>
  <c r="D32" i="5"/>
  <c r="D43" i="5"/>
  <c r="F37" i="5"/>
  <c r="F29" i="5"/>
  <c r="B47" i="5"/>
  <c r="D45" i="5"/>
  <c r="B46" i="5"/>
  <c r="C47" i="5"/>
  <c r="C39" i="5"/>
  <c r="B39" i="5"/>
  <c r="D35" i="5"/>
  <c r="D46" i="5"/>
  <c r="B13" i="5" l="1"/>
  <c r="B23" i="5"/>
  <c r="B12" i="5"/>
  <c r="B18" i="5"/>
  <c r="B15" i="5"/>
  <c r="B22" i="5"/>
  <c r="B21" i="5"/>
  <c r="B11" i="5"/>
  <c r="B20" i="5"/>
  <c r="B17" i="5"/>
  <c r="B14" i="5"/>
  <c r="B16" i="5"/>
  <c r="B19" i="5"/>
  <c r="B24" i="5"/>
  <c r="B10" i="5"/>
  <c r="B25" i="5" l="1"/>
  <c r="F14" i="5" l="1"/>
  <c r="F16" i="5"/>
  <c r="F24" i="5"/>
  <c r="F19" i="5"/>
  <c r="F17" i="5"/>
  <c r="F25" i="5"/>
  <c r="F18" i="5"/>
  <c r="F23" i="5"/>
  <c r="F22" i="5"/>
  <c r="F21" i="5"/>
  <c r="F20" i="5"/>
  <c r="F15" i="5"/>
  <c r="F13" i="5" l="1"/>
  <c r="F12" i="5"/>
  <c r="F11" i="5"/>
  <c r="F10" i="5"/>
  <c r="C10" i="5"/>
  <c r="M10" i="5" l="1"/>
  <c r="N10" i="5" l="1"/>
  <c r="O10" i="5"/>
  <c r="P10" i="5"/>
  <c r="B1" i="31" l="1"/>
  <c r="D8" i="31"/>
  <c r="E8" i="31"/>
  <c r="F8" i="31"/>
  <c r="G8" i="31"/>
  <c r="C8" i="31"/>
  <c r="V132" i="31" l="1"/>
  <c r="V122" i="31"/>
  <c r="V113" i="31"/>
  <c r="V49" i="31"/>
  <c r="V146" i="31"/>
  <c r="V120" i="31"/>
  <c r="V56" i="31"/>
  <c r="V43" i="31"/>
  <c r="V135" i="31"/>
  <c r="V71" i="31"/>
  <c r="V131" i="31"/>
  <c r="V150" i="31"/>
  <c r="V86" i="31"/>
  <c r="V124" i="31"/>
  <c r="V82" i="31"/>
  <c r="V117" i="31"/>
  <c r="V53" i="31"/>
  <c r="V92" i="31"/>
  <c r="V42" i="31"/>
  <c r="V105" i="31"/>
  <c r="V41" i="31"/>
  <c r="V106" i="31"/>
  <c r="V112" i="31"/>
  <c r="V48" i="31"/>
  <c r="V130" i="31"/>
  <c r="V127" i="31"/>
  <c r="V63" i="31"/>
  <c r="V99" i="31"/>
  <c r="V142" i="31"/>
  <c r="V78" i="31"/>
  <c r="V84" i="31"/>
  <c r="V74" i="31"/>
  <c r="V109" i="31"/>
  <c r="V45" i="31"/>
  <c r="V68" i="31"/>
  <c r="V161" i="31"/>
  <c r="V97" i="31"/>
  <c r="V156" i="31"/>
  <c r="V50" i="31"/>
  <c r="V104" i="31"/>
  <c r="V40" i="31"/>
  <c r="V98" i="31"/>
  <c r="V119" i="31"/>
  <c r="V55" i="31"/>
  <c r="V67" i="31"/>
  <c r="V134" i="31"/>
  <c r="V70" i="31"/>
  <c r="V60" i="31"/>
  <c r="V165" i="31"/>
  <c r="V101" i="31"/>
  <c r="V37" i="31"/>
  <c r="V163" i="31"/>
  <c r="V153" i="31"/>
  <c r="V89" i="31"/>
  <c r="V116" i="31"/>
  <c r="V160" i="31"/>
  <c r="V96" i="31"/>
  <c r="V148" i="31"/>
  <c r="V58" i="31"/>
  <c r="V111" i="31"/>
  <c r="V47" i="31"/>
  <c r="V138" i="31"/>
  <c r="V126" i="31"/>
  <c r="V62" i="31"/>
  <c r="V147" i="31"/>
  <c r="V157" i="31"/>
  <c r="V93" i="31"/>
  <c r="V123" i="31"/>
  <c r="V145" i="31"/>
  <c r="V81" i="31"/>
  <c r="V52" i="31"/>
  <c r="V152" i="31"/>
  <c r="V88" i="31"/>
  <c r="V108" i="31"/>
  <c r="V167" i="31"/>
  <c r="V103" i="31"/>
  <c r="V39" i="31"/>
  <c r="V90" i="31"/>
  <c r="V118" i="31"/>
  <c r="V54" i="31"/>
  <c r="V107" i="31"/>
  <c r="V149" i="31"/>
  <c r="V85" i="31"/>
  <c r="V83" i="31"/>
  <c r="V137" i="31"/>
  <c r="V73" i="31"/>
  <c r="V139" i="31"/>
  <c r="V144" i="31"/>
  <c r="V80" i="31"/>
  <c r="V44" i="31"/>
  <c r="V159" i="31"/>
  <c r="V95" i="31"/>
  <c r="V140" i="31"/>
  <c r="V66" i="31"/>
  <c r="V110" i="31"/>
  <c r="V46" i="31"/>
  <c r="V59" i="31"/>
  <c r="V141" i="31"/>
  <c r="V77" i="31"/>
  <c r="V75" i="31"/>
  <c r="V129" i="31"/>
  <c r="V65" i="31"/>
  <c r="V91" i="31"/>
  <c r="V136" i="31"/>
  <c r="V72" i="31"/>
  <c r="V155" i="31"/>
  <c r="V151" i="31"/>
  <c r="V87" i="31"/>
  <c r="V100" i="31"/>
  <c r="V166" i="31"/>
  <c r="V102" i="31"/>
  <c r="V38" i="31"/>
  <c r="V154" i="31"/>
  <c r="V133" i="31"/>
  <c r="V69" i="31"/>
  <c r="V162" i="31"/>
  <c r="V121" i="31"/>
  <c r="V57" i="31"/>
  <c r="V51" i="31"/>
  <c r="V128" i="31"/>
  <c r="V64" i="31"/>
  <c r="V115" i="31"/>
  <c r="V143" i="31"/>
  <c r="V79" i="31"/>
  <c r="V76" i="31"/>
  <c r="V158" i="31"/>
  <c r="V94" i="31"/>
  <c r="V164" i="31"/>
  <c r="V114" i="31"/>
  <c r="V125" i="31"/>
  <c r="V61" i="31"/>
  <c r="BD136" i="9"/>
  <c r="AW136" i="9"/>
  <c r="BD132" i="9"/>
  <c r="AW132" i="9"/>
  <c r="BD120" i="9"/>
  <c r="AW120" i="9"/>
  <c r="AW142" i="9"/>
  <c r="BD142" i="9"/>
  <c r="BD152" i="9"/>
  <c r="AW152" i="9"/>
  <c r="BD153" i="9"/>
  <c r="AW153" i="9"/>
  <c r="AW124" i="9"/>
  <c r="BD124" i="9"/>
  <c r="BD126" i="9"/>
  <c r="AW126" i="9"/>
  <c r="AW122" i="9"/>
  <c r="BD122" i="9"/>
  <c r="AW150" i="9"/>
  <c r="BD150" i="9"/>
  <c r="AW135" i="9"/>
  <c r="BD135" i="9"/>
  <c r="BD146" i="9"/>
  <c r="AW146" i="9"/>
  <c r="AW118" i="9"/>
  <c r="BD118" i="9"/>
  <c r="AW137" i="9"/>
  <c r="BD137" i="9"/>
  <c r="AW110" i="9"/>
  <c r="BD110" i="9"/>
  <c r="AW104" i="9"/>
  <c r="BD104" i="9"/>
  <c r="BD138" i="9"/>
  <c r="AW138" i="9"/>
  <c r="BD149" i="9"/>
  <c r="AW149" i="9"/>
  <c r="BD106" i="9"/>
  <c r="AW106" i="9"/>
  <c r="BD131" i="9"/>
  <c r="AW131" i="9"/>
  <c r="AW115" i="9"/>
  <c r="BD115" i="9"/>
  <c r="AW155" i="9"/>
  <c r="BD155" i="9"/>
  <c r="AW113" i="9"/>
  <c r="BD113" i="9"/>
  <c r="BD130" i="9"/>
  <c r="AW130" i="9"/>
  <c r="BD129" i="9"/>
  <c r="AW129" i="9"/>
  <c r="AW123" i="9"/>
  <c r="BD123" i="9"/>
  <c r="BD141" i="9"/>
  <c r="AW141" i="9"/>
  <c r="BD117" i="9"/>
  <c r="AW117" i="9"/>
  <c r="BD121" i="9"/>
  <c r="AW121" i="9"/>
  <c r="BD148" i="9"/>
  <c r="AW148" i="9"/>
  <c r="BD112" i="9"/>
  <c r="AW112" i="9"/>
  <c r="BD154" i="9"/>
  <c r="AW154" i="9"/>
  <c r="BD133" i="9"/>
  <c r="AW133" i="9"/>
  <c r="BD134" i="9"/>
  <c r="AW134" i="9"/>
  <c r="AW114" i="9"/>
  <c r="BD114" i="9"/>
  <c r="BD111" i="9"/>
  <c r="AW111" i="9"/>
  <c r="BD143" i="9"/>
  <c r="AW143" i="9"/>
  <c r="AW145" i="9"/>
  <c r="BD145" i="9"/>
  <c r="BD127" i="9"/>
  <c r="AW127" i="9"/>
  <c r="BD107" i="9"/>
  <c r="AW107" i="9"/>
  <c r="AW139" i="9"/>
  <c r="BD139" i="9"/>
  <c r="BD108" i="9"/>
  <c r="AW108" i="9"/>
  <c r="AW144" i="9"/>
  <c r="BD144" i="9"/>
  <c r="BD128" i="9"/>
  <c r="AW128" i="9"/>
  <c r="AW125" i="9"/>
  <c r="BD125" i="9"/>
  <c r="AW116" i="9"/>
  <c r="BD116" i="9"/>
  <c r="BD105" i="9"/>
  <c r="AW105" i="9"/>
  <c r="BD140" i="9"/>
  <c r="AW140" i="9"/>
  <c r="BD109" i="9"/>
  <c r="AW109" i="9"/>
  <c r="AW156" i="9"/>
  <c r="BD156" i="9"/>
  <c r="BD151" i="9"/>
  <c r="AW151" i="9"/>
  <c r="BD119" i="9"/>
  <c r="AW119" i="9"/>
  <c r="AW147" i="9"/>
  <c r="BD147" i="9"/>
  <c r="BD91" i="9"/>
  <c r="AW91" i="9"/>
  <c r="BD17" i="9"/>
  <c r="AW17" i="9"/>
  <c r="BD57" i="9"/>
  <c r="AW57" i="9"/>
  <c r="BD12" i="9"/>
  <c r="AW12" i="9"/>
  <c r="BD76" i="9"/>
  <c r="AW76" i="9"/>
  <c r="BD63" i="9"/>
  <c r="AW63" i="9"/>
  <c r="BD22" i="9"/>
  <c r="AW22" i="9"/>
  <c r="BD80" i="9"/>
  <c r="AW80" i="9"/>
  <c r="BD94" i="9"/>
  <c r="AW94" i="9"/>
  <c r="BD21" i="9"/>
  <c r="AW21" i="9"/>
  <c r="BD6" i="9"/>
  <c r="AW6" i="9"/>
  <c r="BD39" i="9"/>
  <c r="AW39" i="9"/>
  <c r="BD46" i="9"/>
  <c r="AW46" i="9"/>
  <c r="BD30" i="9"/>
  <c r="AW30" i="9"/>
  <c r="BD9" i="9"/>
  <c r="AW9" i="9"/>
  <c r="BD86" i="9"/>
  <c r="AW86" i="9"/>
  <c r="BD40" i="9"/>
  <c r="AW40" i="9"/>
  <c r="BD54" i="9"/>
  <c r="AW54" i="9"/>
  <c r="BD64" i="9"/>
  <c r="AW64" i="9"/>
  <c r="BD23" i="9"/>
  <c r="AW23" i="9"/>
  <c r="BD53" i="9"/>
  <c r="AW53" i="9"/>
  <c r="BD5" i="9"/>
  <c r="AW5" i="9"/>
  <c r="BD15" i="9"/>
  <c r="AW15" i="9"/>
  <c r="BD103" i="9"/>
  <c r="AW103" i="9"/>
  <c r="BD88" i="9"/>
  <c r="AW88" i="9"/>
  <c r="BD47" i="9"/>
  <c r="AW47" i="9"/>
  <c r="BD48" i="9"/>
  <c r="AW48" i="9"/>
  <c r="BD82" i="9"/>
  <c r="AW82" i="9"/>
  <c r="BD41" i="9"/>
  <c r="AW41" i="9"/>
  <c r="BD97" i="9"/>
  <c r="AW97" i="9"/>
  <c r="BD20" i="9"/>
  <c r="AW20" i="9"/>
  <c r="BD81" i="9"/>
  <c r="AW81" i="9"/>
  <c r="BD87" i="9"/>
  <c r="AW87" i="9"/>
  <c r="BD42" i="9"/>
  <c r="AW42" i="9"/>
  <c r="BD11" i="9"/>
  <c r="AW11" i="9"/>
  <c r="BD16" i="9"/>
  <c r="AW16" i="9"/>
  <c r="BD93" i="9"/>
  <c r="AW93" i="9"/>
  <c r="BD75" i="9"/>
  <c r="AW75" i="9"/>
  <c r="BD89" i="9"/>
  <c r="AW89" i="9"/>
  <c r="BD26" i="9"/>
  <c r="AW26" i="9"/>
  <c r="BD78" i="9"/>
  <c r="AW78" i="9"/>
  <c r="BD92" i="9"/>
  <c r="AW92" i="9"/>
  <c r="BD27" i="9"/>
  <c r="AW27" i="9"/>
  <c r="BD99" i="9"/>
  <c r="AW99" i="9"/>
  <c r="BD62" i="9"/>
  <c r="AW62" i="9"/>
  <c r="BD50" i="9"/>
  <c r="AW50" i="9"/>
  <c r="BD37" i="9"/>
  <c r="AW37" i="9"/>
  <c r="BD100" i="9"/>
  <c r="AW100" i="9"/>
  <c r="BD29" i="9"/>
  <c r="AW29" i="9"/>
  <c r="BD52" i="9"/>
  <c r="AW52" i="9"/>
  <c r="BD25" i="9"/>
  <c r="AW25" i="9"/>
  <c r="BD66" i="9"/>
  <c r="AW66" i="9"/>
  <c r="BD28" i="9"/>
  <c r="AW28" i="9"/>
  <c r="BD73" i="9"/>
  <c r="AW73" i="9"/>
  <c r="BD33" i="9"/>
  <c r="AW33" i="9"/>
  <c r="BD19" i="9"/>
  <c r="AW19" i="9"/>
  <c r="BD96" i="9"/>
  <c r="AW96" i="9"/>
  <c r="BD45" i="9"/>
  <c r="AW45" i="9"/>
  <c r="BD51" i="9"/>
  <c r="AW51" i="9"/>
  <c r="BD90" i="9"/>
  <c r="AW90" i="9"/>
  <c r="BD56" i="9"/>
  <c r="AW56" i="9"/>
  <c r="BD67" i="9"/>
  <c r="AW67" i="9"/>
  <c r="BD24" i="9"/>
  <c r="AW24" i="9"/>
  <c r="BD31" i="9"/>
  <c r="AW31" i="9"/>
  <c r="BD101" i="9"/>
  <c r="AW101" i="9"/>
  <c r="BD38" i="9"/>
  <c r="AW38" i="9"/>
  <c r="BD69" i="9"/>
  <c r="AW69" i="9"/>
  <c r="BD14" i="9"/>
  <c r="AW14" i="9"/>
  <c r="BD95" i="9"/>
  <c r="AW95" i="9"/>
  <c r="BD102" i="9"/>
  <c r="AW102" i="9"/>
  <c r="BD8" i="9"/>
  <c r="AW8" i="9"/>
  <c r="BD49" i="9"/>
  <c r="AW49" i="9"/>
  <c r="BD85" i="9"/>
  <c r="AW85" i="9"/>
  <c r="BD44" i="9"/>
  <c r="AW44" i="9"/>
  <c r="BD58" i="9"/>
  <c r="AW58" i="9"/>
  <c r="BD55" i="9"/>
  <c r="AW55" i="9"/>
  <c r="BD34" i="9"/>
  <c r="AW34" i="9"/>
  <c r="BD18" i="9"/>
  <c r="AW18" i="9"/>
  <c r="BD36" i="9"/>
  <c r="AW36" i="9"/>
  <c r="BD72" i="9"/>
  <c r="AW72" i="9"/>
  <c r="BD43" i="9"/>
  <c r="AW43" i="9"/>
  <c r="BD79" i="9"/>
  <c r="AW79" i="9"/>
  <c r="BD77" i="9"/>
  <c r="AW77" i="9"/>
  <c r="BD60" i="9"/>
  <c r="AW60" i="9"/>
  <c r="BD61" i="9"/>
  <c r="AW61" i="9"/>
  <c r="BD83" i="9"/>
  <c r="AW83" i="9"/>
  <c r="BD71" i="9"/>
  <c r="AW71" i="9"/>
  <c r="BD65" i="9"/>
  <c r="AW65" i="9"/>
  <c r="BD10" i="9"/>
  <c r="AW10" i="9"/>
  <c r="BD84" i="9"/>
  <c r="AW84" i="9"/>
  <c r="BD70" i="9"/>
  <c r="AW70" i="9"/>
  <c r="BD59" i="9"/>
  <c r="AW59" i="9"/>
  <c r="BD98" i="9"/>
  <c r="AW98" i="9"/>
  <c r="BD35" i="9"/>
  <c r="AW35" i="9"/>
  <c r="BD74" i="9"/>
  <c r="AW74" i="9"/>
  <c r="BD32" i="9"/>
  <c r="AW32" i="9"/>
  <c r="BD68" i="9"/>
  <c r="AW68" i="9"/>
  <c r="BD7" i="9"/>
  <c r="AW7" i="9"/>
  <c r="BD13" i="9"/>
  <c r="AW13" i="9"/>
  <c r="AW157" i="9" l="1"/>
  <c r="BD157" i="9"/>
  <c r="BD161" i="9"/>
  <c r="AW161" i="9"/>
  <c r="BD163" i="9"/>
  <c r="AW163" i="9"/>
  <c r="AW160" i="9"/>
  <c r="BD160" i="9"/>
  <c r="BD164" i="9"/>
  <c r="AW164" i="9"/>
  <c r="BD162" i="9"/>
  <c r="AW162" i="9"/>
  <c r="BD158" i="9"/>
  <c r="AW158" i="9"/>
  <c r="BD159" i="9"/>
  <c r="AW159" i="9"/>
  <c r="BC143" i="9" l="1"/>
  <c r="AV143" i="9"/>
  <c r="BC105" i="9"/>
  <c r="AV105" i="9"/>
  <c r="BC109" i="9"/>
  <c r="AV109" i="9"/>
  <c r="BC111" i="9"/>
  <c r="AV111" i="9"/>
  <c r="BC110" i="9"/>
  <c r="AV110" i="9"/>
  <c r="AV148" i="9"/>
  <c r="BC148" i="9"/>
  <c r="AV113" i="9"/>
  <c r="BC113" i="9"/>
  <c r="BC117" i="9"/>
  <c r="AV117" i="9"/>
  <c r="BC150" i="9"/>
  <c r="AV150" i="9"/>
  <c r="BC153" i="9"/>
  <c r="AV153" i="9"/>
  <c r="AV154" i="9"/>
  <c r="BC154" i="9"/>
  <c r="AV107" i="9"/>
  <c r="BC107" i="9"/>
  <c r="BC127" i="9"/>
  <c r="AV127" i="9"/>
  <c r="BC108" i="9"/>
  <c r="AV108" i="9"/>
  <c r="BC147" i="9"/>
  <c r="AV147" i="9"/>
  <c r="AV141" i="9"/>
  <c r="BC141" i="9"/>
  <c r="AV115" i="9"/>
  <c r="BC115" i="9"/>
  <c r="BC106" i="9"/>
  <c r="AV106" i="9"/>
  <c r="AV144" i="9"/>
  <c r="BC144" i="9"/>
  <c r="BC155" i="9"/>
  <c r="AV155" i="9"/>
  <c r="BC125" i="9"/>
  <c r="AV125" i="9"/>
  <c r="AV157" i="9"/>
  <c r="BC157" i="9"/>
  <c r="AV135" i="9"/>
  <c r="BC135" i="9"/>
  <c r="BC134" i="9"/>
  <c r="AV134" i="9"/>
  <c r="AV138" i="9"/>
  <c r="BC138" i="9"/>
  <c r="BC152" i="9"/>
  <c r="AV152" i="9"/>
  <c r="AV104" i="9"/>
  <c r="BC104" i="9"/>
  <c r="BC140" i="9"/>
  <c r="AV140" i="9"/>
  <c r="BC128" i="9"/>
  <c r="AV128" i="9"/>
  <c r="BC137" i="9"/>
  <c r="AV137" i="9"/>
  <c r="AV131" i="9"/>
  <c r="BC131" i="9"/>
  <c r="BC149" i="9"/>
  <c r="AV149" i="9"/>
  <c r="BC156" i="9"/>
  <c r="AV156" i="9"/>
  <c r="BC124" i="9"/>
  <c r="AV124" i="9"/>
  <c r="BC122" i="9"/>
  <c r="AV122" i="9"/>
  <c r="AV120" i="9"/>
  <c r="BC120" i="9"/>
  <c r="BC121" i="9"/>
  <c r="AV121" i="9"/>
  <c r="AV130" i="9"/>
  <c r="BC130" i="9"/>
  <c r="AV123" i="9"/>
  <c r="BC123" i="9"/>
  <c r="AV151" i="9"/>
  <c r="BC151" i="9"/>
  <c r="AV132" i="9"/>
  <c r="BC132" i="9"/>
  <c r="AV116" i="9"/>
  <c r="BC116" i="9"/>
  <c r="AV114" i="9"/>
  <c r="BC114" i="9"/>
  <c r="AV129" i="9"/>
  <c r="BC129" i="9"/>
  <c r="AV142" i="9"/>
  <c r="BC142" i="9"/>
  <c r="BC118" i="9"/>
  <c r="AV118" i="9"/>
  <c r="BC126" i="9"/>
  <c r="AV126" i="9"/>
  <c r="AV145" i="9"/>
  <c r="BC145" i="9"/>
  <c r="AV146" i="9"/>
  <c r="BC146" i="9"/>
  <c r="BC119" i="9"/>
  <c r="AV119" i="9"/>
  <c r="BC139" i="9"/>
  <c r="AV139" i="9"/>
  <c r="AV133" i="9"/>
  <c r="BC133" i="9"/>
  <c r="AV136" i="9"/>
  <c r="BC136" i="9"/>
  <c r="BC112" i="9"/>
  <c r="AV112" i="9"/>
  <c r="BC43" i="9"/>
  <c r="AV43" i="9"/>
  <c r="BC82" i="9"/>
  <c r="AV82" i="9"/>
  <c r="BC91" i="9"/>
  <c r="AV91" i="9"/>
  <c r="BC101" i="9"/>
  <c r="AV101" i="9"/>
  <c r="BC50" i="9"/>
  <c r="AV50" i="9"/>
  <c r="BC83" i="9"/>
  <c r="AV83" i="9"/>
  <c r="BC10" i="9"/>
  <c r="AV10" i="9"/>
  <c r="BC53" i="9"/>
  <c r="AV53" i="9"/>
  <c r="BC97" i="9"/>
  <c r="AV97" i="9"/>
  <c r="BC65" i="9"/>
  <c r="AV65" i="9"/>
  <c r="BC17" i="9"/>
  <c r="AV17" i="9"/>
  <c r="BC63" i="9"/>
  <c r="AV63" i="9"/>
  <c r="BC73" i="9"/>
  <c r="AV73" i="9"/>
  <c r="BC11" i="9"/>
  <c r="AV11" i="9"/>
  <c r="BC98" i="9"/>
  <c r="AV98" i="9"/>
  <c r="BC80" i="9"/>
  <c r="AV80" i="9"/>
  <c r="BC23" i="9"/>
  <c r="AV23" i="9"/>
  <c r="BC12" i="9"/>
  <c r="AV12" i="9"/>
  <c r="BC5" i="9"/>
  <c r="AV5" i="9"/>
  <c r="BC45" i="9"/>
  <c r="AV45" i="9"/>
  <c r="BC96" i="9"/>
  <c r="AV96" i="9"/>
  <c r="BC70" i="9"/>
  <c r="AV70" i="9"/>
  <c r="BC60" i="9"/>
  <c r="AV60" i="9"/>
  <c r="BC30" i="9"/>
  <c r="AV30" i="9"/>
  <c r="BC61" i="9"/>
  <c r="AV61" i="9"/>
  <c r="BC100" i="9"/>
  <c r="AV100" i="9"/>
  <c r="BC56" i="9"/>
  <c r="AV56" i="9"/>
  <c r="BC6" i="9"/>
  <c r="AV6" i="9"/>
  <c r="BC42" i="9"/>
  <c r="AV42" i="9"/>
  <c r="BC41" i="9"/>
  <c r="AV41" i="9"/>
  <c r="BC52" i="9"/>
  <c r="AV52" i="9"/>
  <c r="BC32" i="9"/>
  <c r="AV32" i="9"/>
  <c r="BC38" i="9"/>
  <c r="AV38" i="9"/>
  <c r="BC8" i="9"/>
  <c r="AV8" i="9"/>
  <c r="BC95" i="9"/>
  <c r="AV95" i="9"/>
  <c r="BC76" i="9"/>
  <c r="AV76" i="9"/>
  <c r="BC21" i="9"/>
  <c r="AV21" i="9"/>
  <c r="BC93" i="9"/>
  <c r="AV93" i="9"/>
  <c r="BC19" i="9"/>
  <c r="AV19" i="9"/>
  <c r="BC35" i="9"/>
  <c r="AV35" i="9"/>
  <c r="BC36" i="9"/>
  <c r="AV36" i="9"/>
  <c r="BC89" i="9"/>
  <c r="AV89" i="9"/>
  <c r="BC59" i="9"/>
  <c r="AV59" i="9"/>
  <c r="BC51" i="9"/>
  <c r="AV51" i="9"/>
  <c r="BC18" i="9"/>
  <c r="AV18" i="9"/>
  <c r="BC33" i="9"/>
  <c r="AV33" i="9"/>
  <c r="BC67" i="9"/>
  <c r="AV67" i="9"/>
  <c r="BC27" i="9"/>
  <c r="AV27" i="9"/>
  <c r="BC69" i="9"/>
  <c r="AV69" i="9"/>
  <c r="BC87" i="9"/>
  <c r="AV87" i="9"/>
  <c r="BC25" i="9"/>
  <c r="AV25" i="9"/>
  <c r="BC75" i="9"/>
  <c r="AV75" i="9"/>
  <c r="BC62" i="9"/>
  <c r="AV62" i="9"/>
  <c r="BC14" i="9"/>
  <c r="AV14" i="9"/>
  <c r="BC9" i="9"/>
  <c r="AV9" i="9"/>
  <c r="BC15" i="9"/>
  <c r="AV15" i="9"/>
  <c r="BC7" i="9"/>
  <c r="AV7" i="9"/>
  <c r="BC88" i="9"/>
  <c r="AV88" i="9"/>
  <c r="BC46" i="9"/>
  <c r="AV46" i="9"/>
  <c r="BC20" i="9"/>
  <c r="AV20" i="9"/>
  <c r="BC31" i="9"/>
  <c r="AV31" i="9"/>
  <c r="BC58" i="9"/>
  <c r="AV58" i="9"/>
  <c r="BC24" i="9"/>
  <c r="AV24" i="9"/>
  <c r="BC26" i="9"/>
  <c r="AV26" i="9"/>
  <c r="BC94" i="9"/>
  <c r="AV94" i="9"/>
  <c r="BC77" i="9"/>
  <c r="AV77" i="9"/>
  <c r="BC48" i="9"/>
  <c r="AV48" i="9"/>
  <c r="BC99" i="9"/>
  <c r="AV99" i="9"/>
  <c r="BC90" i="9"/>
  <c r="AV90" i="9"/>
  <c r="BC54" i="9"/>
  <c r="AV54" i="9"/>
  <c r="BC37" i="9"/>
  <c r="AV37" i="9"/>
  <c r="BC85" i="9"/>
  <c r="AV85" i="9"/>
  <c r="BC71" i="9"/>
  <c r="AV71" i="9"/>
  <c r="BC66" i="9"/>
  <c r="AV66" i="9"/>
  <c r="BC64" i="9"/>
  <c r="AV64" i="9"/>
  <c r="BC78" i="9"/>
  <c r="AV78" i="9"/>
  <c r="BC39" i="9"/>
  <c r="AV39" i="9"/>
  <c r="BC13" i="9"/>
  <c r="AV13" i="9"/>
  <c r="BC92" i="9"/>
  <c r="AV92" i="9"/>
  <c r="BC103" i="9"/>
  <c r="AV103" i="9"/>
  <c r="BC44" i="9"/>
  <c r="AV44" i="9"/>
  <c r="BC28" i="9"/>
  <c r="AV28" i="9"/>
  <c r="BC55" i="9"/>
  <c r="AV55" i="9"/>
  <c r="BC72" i="9"/>
  <c r="AV72" i="9"/>
  <c r="BC81" i="9"/>
  <c r="AV81" i="9"/>
  <c r="BC49" i="9"/>
  <c r="AV49" i="9"/>
  <c r="BC57" i="9"/>
  <c r="AV57" i="9"/>
  <c r="BC40" i="9"/>
  <c r="AV40" i="9"/>
  <c r="BC84" i="9"/>
  <c r="AV84" i="9"/>
  <c r="BC16" i="9"/>
  <c r="AV16" i="9"/>
  <c r="BC79" i="9"/>
  <c r="AV79" i="9"/>
  <c r="BC68" i="9"/>
  <c r="AV68" i="9"/>
  <c r="BC86" i="9"/>
  <c r="AV86" i="9"/>
  <c r="BC47" i="9"/>
  <c r="AV47" i="9"/>
  <c r="BC34" i="9"/>
  <c r="AV34" i="9"/>
  <c r="BC102" i="9"/>
  <c r="AV102" i="9"/>
  <c r="BC74" i="9"/>
  <c r="AV74" i="9"/>
  <c r="BC22" i="9"/>
  <c r="AV22" i="9"/>
  <c r="BC29" i="9"/>
  <c r="AV29" i="9"/>
  <c r="AV161" i="9" l="1"/>
  <c r="BC161" i="9"/>
  <c r="BC158" i="9"/>
  <c r="AV158" i="9"/>
  <c r="BC163" i="9"/>
  <c r="AV163" i="9"/>
  <c r="BC159" i="9"/>
  <c r="AV159" i="9"/>
  <c r="AV162" i="9"/>
  <c r="BC162" i="9"/>
  <c r="BC164" i="9"/>
  <c r="AV164" i="9"/>
  <c r="AV160" i="9"/>
  <c r="BC160" i="9"/>
  <c r="BB142" i="9" l="1"/>
  <c r="AU142" i="9"/>
  <c r="BB107" i="9"/>
  <c r="AU107" i="9"/>
  <c r="AU105" i="9"/>
  <c r="BB105" i="9"/>
  <c r="AU108" i="9"/>
  <c r="BB108" i="9"/>
  <c r="BB138" i="9"/>
  <c r="AU138" i="9"/>
  <c r="AU149" i="9"/>
  <c r="BB149" i="9"/>
  <c r="AU117" i="9"/>
  <c r="BB117" i="9"/>
  <c r="BB127" i="9"/>
  <c r="AU127" i="9"/>
  <c r="BB151" i="9"/>
  <c r="AU151" i="9"/>
  <c r="BB144" i="9"/>
  <c r="AU144" i="9"/>
  <c r="BB119" i="9"/>
  <c r="AU119" i="9"/>
  <c r="BB148" i="9"/>
  <c r="AU148" i="9"/>
  <c r="BB130" i="9"/>
  <c r="AU130" i="9"/>
  <c r="AU129" i="9"/>
  <c r="BB129" i="9"/>
  <c r="AU152" i="9"/>
  <c r="BB152" i="9"/>
  <c r="AU111" i="9"/>
  <c r="BB111" i="9"/>
  <c r="AU128" i="9"/>
  <c r="BB128" i="9"/>
  <c r="BB113" i="9"/>
  <c r="AU113" i="9"/>
  <c r="BB143" i="9"/>
  <c r="AU143" i="9"/>
  <c r="BB122" i="9"/>
  <c r="AU122" i="9"/>
  <c r="BB155" i="9"/>
  <c r="AU155" i="9"/>
  <c r="AU136" i="9"/>
  <c r="BB136" i="9"/>
  <c r="AU150" i="9"/>
  <c r="BB150" i="9"/>
  <c r="AU104" i="9"/>
  <c r="BB104" i="9"/>
  <c r="BB126" i="9"/>
  <c r="AU126" i="9"/>
  <c r="AU131" i="9"/>
  <c r="BB131" i="9"/>
  <c r="AU141" i="9"/>
  <c r="BB141" i="9"/>
  <c r="AU132" i="9"/>
  <c r="BB132" i="9"/>
  <c r="BB123" i="9"/>
  <c r="AU123" i="9"/>
  <c r="AU124" i="9"/>
  <c r="BB124" i="9"/>
  <c r="AU153" i="9"/>
  <c r="BB153" i="9"/>
  <c r="BB146" i="9"/>
  <c r="AU146" i="9"/>
  <c r="BB115" i="9"/>
  <c r="AU115" i="9"/>
  <c r="BB157" i="9"/>
  <c r="AU157" i="9"/>
  <c r="BB120" i="9"/>
  <c r="AU120" i="9"/>
  <c r="AU147" i="9"/>
  <c r="BB147" i="9"/>
  <c r="AU140" i="9"/>
  <c r="BB140" i="9"/>
  <c r="BB118" i="9"/>
  <c r="AU118" i="9"/>
  <c r="AU125" i="9"/>
  <c r="BB125" i="9"/>
  <c r="BB121" i="9"/>
  <c r="AU121" i="9"/>
  <c r="AU106" i="9"/>
  <c r="BB106" i="9"/>
  <c r="BB156" i="9"/>
  <c r="AU156" i="9"/>
  <c r="BB110" i="9"/>
  <c r="AU110" i="9"/>
  <c r="AU109" i="9"/>
  <c r="BB109" i="9"/>
  <c r="BB139" i="9"/>
  <c r="AU139" i="9"/>
  <c r="AU133" i="9"/>
  <c r="BB133" i="9"/>
  <c r="AU154" i="9"/>
  <c r="BB154" i="9"/>
  <c r="AU158" i="9"/>
  <c r="BB158" i="9"/>
  <c r="AU134" i="9"/>
  <c r="BB134" i="9"/>
  <c r="BB116" i="9"/>
  <c r="AU116" i="9"/>
  <c r="BB145" i="9"/>
  <c r="AU145" i="9"/>
  <c r="AU135" i="9"/>
  <c r="BB135" i="9"/>
  <c r="BB137" i="9"/>
  <c r="AU137" i="9"/>
  <c r="BB112" i="9"/>
  <c r="AU112" i="9"/>
  <c r="BB114" i="9"/>
  <c r="AU114" i="9"/>
  <c r="BB39" i="9"/>
  <c r="AU39" i="9"/>
  <c r="BB53" i="9"/>
  <c r="AU53" i="9"/>
  <c r="BB16" i="9"/>
  <c r="AU16" i="9"/>
  <c r="BB79" i="9"/>
  <c r="AU79" i="9"/>
  <c r="BB48" i="9"/>
  <c r="AU48" i="9"/>
  <c r="BB62" i="9"/>
  <c r="AU62" i="9"/>
  <c r="BB13" i="9"/>
  <c r="AU13" i="9"/>
  <c r="BB43" i="9"/>
  <c r="AU43" i="9"/>
  <c r="BB93" i="9"/>
  <c r="AU93" i="9"/>
  <c r="BB45" i="9"/>
  <c r="AU45" i="9"/>
  <c r="BB7" i="9"/>
  <c r="AU7" i="9"/>
  <c r="BB19" i="9"/>
  <c r="AU19" i="9"/>
  <c r="BB38" i="9"/>
  <c r="AU38" i="9"/>
  <c r="BB28" i="9"/>
  <c r="AU28" i="9"/>
  <c r="BB71" i="9"/>
  <c r="AU71" i="9"/>
  <c r="BB42" i="9"/>
  <c r="AU42" i="9"/>
  <c r="BB96" i="9"/>
  <c r="AU96" i="9"/>
  <c r="BB49" i="9"/>
  <c r="AU49" i="9"/>
  <c r="BB12" i="9"/>
  <c r="AU12" i="9"/>
  <c r="BB51" i="9"/>
  <c r="AU51" i="9"/>
  <c r="BB72" i="9"/>
  <c r="AU72" i="9"/>
  <c r="BB17" i="9"/>
  <c r="AU17" i="9"/>
  <c r="BB70" i="9"/>
  <c r="AU70" i="9"/>
  <c r="BB90" i="9"/>
  <c r="AU90" i="9"/>
  <c r="BB26" i="9"/>
  <c r="AU26" i="9"/>
  <c r="BB24" i="9"/>
  <c r="AU24" i="9"/>
  <c r="BB92" i="9"/>
  <c r="AU92" i="9"/>
  <c r="BB6" i="9"/>
  <c r="AU6" i="9"/>
  <c r="BB67" i="9"/>
  <c r="AU67" i="9"/>
  <c r="BB40" i="9"/>
  <c r="AU40" i="9"/>
  <c r="BB91" i="9"/>
  <c r="AU91" i="9"/>
  <c r="BB75" i="9"/>
  <c r="AU75" i="9"/>
  <c r="BB52" i="9"/>
  <c r="AU52" i="9"/>
  <c r="BB85" i="9"/>
  <c r="AU85" i="9"/>
  <c r="BB23" i="9"/>
  <c r="AU23" i="9"/>
  <c r="BB55" i="9"/>
  <c r="AU55" i="9"/>
  <c r="BB10" i="9"/>
  <c r="AU10" i="9"/>
  <c r="BB89" i="9"/>
  <c r="AU89" i="9"/>
  <c r="BB32" i="9"/>
  <c r="AU32" i="9"/>
  <c r="BB78" i="9"/>
  <c r="AU78" i="9"/>
  <c r="BB41" i="9"/>
  <c r="AU41" i="9"/>
  <c r="BB11" i="9"/>
  <c r="AU11" i="9"/>
  <c r="BB66" i="9"/>
  <c r="AU66" i="9"/>
  <c r="BB74" i="9"/>
  <c r="AU74" i="9"/>
  <c r="BB94" i="9"/>
  <c r="AU94" i="9"/>
  <c r="BB102" i="9"/>
  <c r="AU102" i="9"/>
  <c r="BB82" i="9"/>
  <c r="AU82" i="9"/>
  <c r="BB46" i="9"/>
  <c r="AU46" i="9"/>
  <c r="BB81" i="9"/>
  <c r="AU81" i="9"/>
  <c r="BB56" i="9"/>
  <c r="AU56" i="9"/>
  <c r="BB97" i="9"/>
  <c r="AU97" i="9"/>
  <c r="BB88" i="9"/>
  <c r="AU88" i="9"/>
  <c r="BB29" i="9"/>
  <c r="AU29" i="9"/>
  <c r="BB101" i="9"/>
  <c r="AU101" i="9"/>
  <c r="BB63" i="9"/>
  <c r="AU63" i="9"/>
  <c r="BB60" i="9"/>
  <c r="AU60" i="9"/>
  <c r="BB30" i="9"/>
  <c r="AU30" i="9"/>
  <c r="BB68" i="9"/>
  <c r="AU68" i="9"/>
  <c r="BB50" i="9"/>
  <c r="AU50" i="9"/>
  <c r="BB21" i="9"/>
  <c r="AU21" i="9"/>
  <c r="BB33" i="9"/>
  <c r="AU33" i="9"/>
  <c r="BB76" i="9"/>
  <c r="AU76" i="9"/>
  <c r="BB64" i="9"/>
  <c r="AU64" i="9"/>
  <c r="BB83" i="9"/>
  <c r="AU83" i="9"/>
  <c r="BB95" i="9"/>
  <c r="AU95" i="9"/>
  <c r="BB58" i="9"/>
  <c r="AU58" i="9"/>
  <c r="BB14" i="9"/>
  <c r="AU14" i="9"/>
  <c r="BB84" i="9"/>
  <c r="AU84" i="9"/>
  <c r="BB34" i="9"/>
  <c r="AU34" i="9"/>
  <c r="BB80" i="9"/>
  <c r="AU80" i="9"/>
  <c r="BB54" i="9"/>
  <c r="AU54" i="9"/>
  <c r="BB100" i="9"/>
  <c r="AU100" i="9"/>
  <c r="BB47" i="9"/>
  <c r="AU47" i="9"/>
  <c r="BB44" i="9"/>
  <c r="AU44" i="9"/>
  <c r="BB86" i="9"/>
  <c r="AU86" i="9"/>
  <c r="BB31" i="9"/>
  <c r="AU31" i="9"/>
  <c r="BB35" i="9"/>
  <c r="AU35" i="9"/>
  <c r="BB20" i="9"/>
  <c r="AU20" i="9"/>
  <c r="BB87" i="9"/>
  <c r="AU87" i="9"/>
  <c r="BB37" i="9"/>
  <c r="AU37" i="9"/>
  <c r="BB18" i="9"/>
  <c r="AU18" i="9"/>
  <c r="BB98" i="9"/>
  <c r="AU98" i="9"/>
  <c r="BB15" i="9"/>
  <c r="AU15" i="9"/>
  <c r="BB27" i="9"/>
  <c r="AU27" i="9"/>
  <c r="BB57" i="9"/>
  <c r="AU57" i="9"/>
  <c r="BB8" i="9"/>
  <c r="AU8" i="9"/>
  <c r="BB73" i="9"/>
  <c r="AU73" i="9"/>
  <c r="BB69" i="9"/>
  <c r="AU69" i="9"/>
  <c r="BB99" i="9"/>
  <c r="AU99" i="9"/>
  <c r="BB77" i="9"/>
  <c r="AU77" i="9"/>
  <c r="BB22" i="9"/>
  <c r="AU22" i="9"/>
  <c r="BB5" i="9"/>
  <c r="AU5" i="9"/>
  <c r="BB9" i="9"/>
  <c r="AU9" i="9"/>
  <c r="BB65" i="9"/>
  <c r="AU65" i="9"/>
  <c r="BB25" i="9"/>
  <c r="AU25" i="9"/>
  <c r="BB61" i="9"/>
  <c r="AU61" i="9"/>
  <c r="BB103" i="9"/>
  <c r="AU103" i="9"/>
  <c r="BB36" i="9"/>
  <c r="AU36" i="9"/>
  <c r="BB59" i="9"/>
  <c r="AU59" i="9"/>
  <c r="BB163" i="9" l="1"/>
  <c r="AU163" i="9"/>
  <c r="BB164" i="9"/>
  <c r="AU164" i="9"/>
  <c r="AU159" i="9"/>
  <c r="BB159" i="9"/>
  <c r="BB161" i="9"/>
  <c r="AU161" i="9"/>
  <c r="AU162" i="9"/>
  <c r="BB162" i="9"/>
  <c r="BB160" i="9"/>
  <c r="AU160" i="9"/>
  <c r="AS5" i="9" l="1"/>
  <c r="BA136" i="9"/>
  <c r="AT136" i="9"/>
  <c r="BA148" i="9"/>
  <c r="AT148" i="9"/>
  <c r="AZ149" i="9"/>
  <c r="AS133" i="9"/>
  <c r="AS105" i="9"/>
  <c r="AZ157" i="9"/>
  <c r="BA117" i="9"/>
  <c r="AT117" i="9"/>
  <c r="AT114" i="9"/>
  <c r="BA114" i="9"/>
  <c r="AZ129" i="9"/>
  <c r="BA132" i="9"/>
  <c r="AT132" i="9"/>
  <c r="BA105" i="9"/>
  <c r="AT105" i="9"/>
  <c r="BA152" i="9"/>
  <c r="AT152" i="9"/>
  <c r="BA154" i="9"/>
  <c r="AT154" i="9"/>
  <c r="AZ122" i="9"/>
  <c r="BA142" i="9"/>
  <c r="AT142" i="9"/>
  <c r="AS151" i="9"/>
  <c r="AT129" i="9"/>
  <c r="BA129" i="9"/>
  <c r="AT131" i="9"/>
  <c r="BA131" i="9"/>
  <c r="AZ153" i="9"/>
  <c r="AS119" i="9"/>
  <c r="AZ119" i="9"/>
  <c r="AS140" i="9"/>
  <c r="BA157" i="9"/>
  <c r="AT157" i="9"/>
  <c r="BA144" i="9"/>
  <c r="AT144" i="9"/>
  <c r="BA139" i="9"/>
  <c r="AT139" i="9"/>
  <c r="AS145" i="9"/>
  <c r="AZ152" i="9"/>
  <c r="AT156" i="9"/>
  <c r="BA156" i="9"/>
  <c r="AS131" i="9"/>
  <c r="AZ125" i="9"/>
  <c r="AZ113" i="9"/>
  <c r="BA112" i="9"/>
  <c r="AT112" i="9"/>
  <c r="AS120" i="9"/>
  <c r="AZ111" i="9"/>
  <c r="AS111" i="9"/>
  <c r="AT149" i="9"/>
  <c r="BA149" i="9"/>
  <c r="BA122" i="9"/>
  <c r="AT122" i="9"/>
  <c r="AT151" i="9"/>
  <c r="BA151" i="9"/>
  <c r="AZ107" i="9"/>
  <c r="AS141" i="9"/>
  <c r="AT130" i="9"/>
  <c r="BA130" i="9"/>
  <c r="BA115" i="9"/>
  <c r="AT115" i="9"/>
  <c r="AS117" i="9"/>
  <c r="BA137" i="9"/>
  <c r="AT137" i="9"/>
  <c r="AS109" i="9"/>
  <c r="AT107" i="9"/>
  <c r="BA107" i="9"/>
  <c r="BA146" i="9"/>
  <c r="AT146" i="9"/>
  <c r="BA120" i="9"/>
  <c r="AT120" i="9"/>
  <c r="BA110" i="9"/>
  <c r="AT110" i="9"/>
  <c r="AS154" i="9"/>
  <c r="BA153" i="9"/>
  <c r="AT153" i="9"/>
  <c r="AS110" i="9"/>
  <c r="BA108" i="9"/>
  <c r="AT108" i="9"/>
  <c r="AS124" i="9"/>
  <c r="AZ124" i="9"/>
  <c r="AS128" i="9"/>
  <c r="AT118" i="9"/>
  <c r="BA118" i="9"/>
  <c r="BA147" i="9"/>
  <c r="AT147" i="9"/>
  <c r="AS126" i="9"/>
  <c r="AZ136" i="9"/>
  <c r="AZ134" i="9"/>
  <c r="BA145" i="9"/>
  <c r="AT145" i="9"/>
  <c r="AS137" i="9"/>
  <c r="AS146" i="9"/>
  <c r="BA113" i="9"/>
  <c r="AT113" i="9"/>
  <c r="AS127" i="9"/>
  <c r="AT134" i="9"/>
  <c r="BA134" i="9"/>
  <c r="AT140" i="9"/>
  <c r="BA140" i="9"/>
  <c r="AS132" i="9"/>
  <c r="AT123" i="9"/>
  <c r="BA123" i="9"/>
  <c r="AZ143" i="9"/>
  <c r="BA127" i="9"/>
  <c r="AT127" i="9"/>
  <c r="AT109" i="9"/>
  <c r="BA109" i="9"/>
  <c r="AZ108" i="9"/>
  <c r="AS116" i="9"/>
  <c r="AZ116" i="9"/>
  <c r="BA119" i="9"/>
  <c r="AT119" i="9"/>
  <c r="BA158" i="9"/>
  <c r="AT158" i="9"/>
  <c r="BA133" i="9"/>
  <c r="AT133" i="9"/>
  <c r="AZ121" i="9"/>
  <c r="AZ156" i="9"/>
  <c r="BA104" i="9"/>
  <c r="AT104" i="9"/>
  <c r="BA135" i="9"/>
  <c r="AT135" i="9"/>
  <c r="AZ150" i="9"/>
  <c r="BA126" i="9"/>
  <c r="AT126" i="9"/>
  <c r="AS130" i="9"/>
  <c r="AS135" i="9"/>
  <c r="AZ135" i="9"/>
  <c r="AZ118" i="9"/>
  <c r="AS147" i="9"/>
  <c r="AT116" i="9"/>
  <c r="BA116" i="9"/>
  <c r="BA143" i="9"/>
  <c r="AT143" i="9"/>
  <c r="AS106" i="9"/>
  <c r="AS148" i="9"/>
  <c r="AS155" i="9"/>
  <c r="AT138" i="9"/>
  <c r="BA138" i="9"/>
  <c r="AS139" i="9"/>
  <c r="AT155" i="9"/>
  <c r="BA155" i="9"/>
  <c r="BA128" i="9"/>
  <c r="AT128" i="9"/>
  <c r="AS115" i="9"/>
  <c r="AT121" i="9"/>
  <c r="BA121" i="9"/>
  <c r="BA111" i="9"/>
  <c r="AT111" i="9"/>
  <c r="AS142" i="9"/>
  <c r="AS144" i="9"/>
  <c r="AS123" i="9"/>
  <c r="AT141" i="9"/>
  <c r="BA141" i="9"/>
  <c r="BA124" i="9"/>
  <c r="AT124" i="9"/>
  <c r="AT125" i="9"/>
  <c r="BA125" i="9"/>
  <c r="BA150" i="9"/>
  <c r="AT150" i="9"/>
  <c r="AZ138" i="9"/>
  <c r="BA106" i="9"/>
  <c r="AT106" i="9"/>
  <c r="AZ26" i="9"/>
  <c r="AS26" i="9"/>
  <c r="AZ9" i="9"/>
  <c r="AS9" i="9"/>
  <c r="AZ42" i="9"/>
  <c r="AS42" i="9"/>
  <c r="BA51" i="9"/>
  <c r="AT51" i="9"/>
  <c r="AZ82" i="9"/>
  <c r="AS82" i="9"/>
  <c r="AZ7" i="9"/>
  <c r="AS7" i="9"/>
  <c r="BA25" i="9"/>
  <c r="AT25" i="9"/>
  <c r="AZ51" i="9"/>
  <c r="AS51" i="9"/>
  <c r="AZ67" i="9"/>
  <c r="AS67" i="9"/>
  <c r="BA17" i="9"/>
  <c r="AT17" i="9"/>
  <c r="BA5" i="9"/>
  <c r="AT5" i="9"/>
  <c r="BA90" i="9"/>
  <c r="AT90" i="9"/>
  <c r="BA27" i="9"/>
  <c r="AT27" i="9"/>
  <c r="BA6" i="9"/>
  <c r="AT6" i="9"/>
  <c r="BA84" i="9"/>
  <c r="AT84" i="9"/>
  <c r="BA57" i="9"/>
  <c r="AT57" i="9"/>
  <c r="BA52" i="9"/>
  <c r="AT52" i="9"/>
  <c r="AZ66" i="9"/>
  <c r="AS66" i="9"/>
  <c r="AZ15" i="9"/>
  <c r="AS15" i="9"/>
  <c r="BA70" i="9"/>
  <c r="AT70" i="9"/>
  <c r="AZ99" i="9"/>
  <c r="AS99" i="9"/>
  <c r="BA63" i="9"/>
  <c r="AT63" i="9"/>
  <c r="AZ33" i="9"/>
  <c r="AS33" i="9"/>
  <c r="AZ8" i="9"/>
  <c r="AS8" i="9"/>
  <c r="AZ11" i="9"/>
  <c r="AS11" i="9"/>
  <c r="AZ71" i="9"/>
  <c r="AS71" i="9"/>
  <c r="BA76" i="9"/>
  <c r="AT76" i="9"/>
  <c r="BA47" i="9"/>
  <c r="AT47" i="9"/>
  <c r="AZ65" i="9"/>
  <c r="AS65" i="9"/>
  <c r="BA18" i="9"/>
  <c r="AT18" i="9"/>
  <c r="BA60" i="9"/>
  <c r="AT60" i="9"/>
  <c r="AZ5" i="9"/>
  <c r="AZ46" i="9"/>
  <c r="AS46" i="9"/>
  <c r="AZ21" i="9"/>
  <c r="AS21" i="9"/>
  <c r="BA14" i="9"/>
  <c r="AT14" i="9"/>
  <c r="BA21" i="9"/>
  <c r="AT21" i="9"/>
  <c r="BA43" i="9"/>
  <c r="AT43" i="9"/>
  <c r="AZ55" i="9"/>
  <c r="AS55" i="9"/>
  <c r="AZ98" i="9"/>
  <c r="AS98" i="9"/>
  <c r="BA41" i="9"/>
  <c r="AT41" i="9"/>
  <c r="AZ16" i="9"/>
  <c r="AS16" i="9"/>
  <c r="BA20" i="9"/>
  <c r="AT20" i="9"/>
  <c r="BA40" i="9"/>
  <c r="AT40" i="9"/>
  <c r="AZ74" i="9"/>
  <c r="AS74" i="9"/>
  <c r="AZ79" i="9"/>
  <c r="AS79" i="9"/>
  <c r="AZ103" i="9"/>
  <c r="AS103" i="9"/>
  <c r="BA12" i="9"/>
  <c r="AT12" i="9"/>
  <c r="BA86" i="9"/>
  <c r="AT86" i="9"/>
  <c r="AZ37" i="9"/>
  <c r="AS37" i="9"/>
  <c r="BA81" i="9"/>
  <c r="AT81" i="9"/>
  <c r="AZ53" i="9"/>
  <c r="AZ18" i="9"/>
  <c r="AS18" i="9"/>
  <c r="BA9" i="9"/>
  <c r="AT9" i="9"/>
  <c r="AZ86" i="9"/>
  <c r="AS86" i="9"/>
  <c r="BA35" i="9"/>
  <c r="AT35" i="9"/>
  <c r="BA13" i="9"/>
  <c r="AT13" i="9"/>
  <c r="BA49" i="9"/>
  <c r="AT49" i="9"/>
  <c r="BA15" i="9"/>
  <c r="AT15" i="9"/>
  <c r="AZ39" i="9"/>
  <c r="AS39" i="9"/>
  <c r="AZ101" i="9"/>
  <c r="AS101" i="9"/>
  <c r="AZ95" i="9"/>
  <c r="AS95" i="9"/>
  <c r="AZ54" i="9"/>
  <c r="AS54" i="9"/>
  <c r="BA74" i="9"/>
  <c r="AT74" i="9"/>
  <c r="BA79" i="9"/>
  <c r="AT79" i="9"/>
  <c r="BA62" i="9"/>
  <c r="AT62" i="9"/>
  <c r="AZ102" i="9"/>
  <c r="AS102" i="9"/>
  <c r="BA45" i="9"/>
  <c r="AT45" i="9"/>
  <c r="BA39" i="9"/>
  <c r="AT39" i="9"/>
  <c r="BA101" i="9"/>
  <c r="AT101" i="9"/>
  <c r="BA65" i="9"/>
  <c r="AT65" i="9"/>
  <c r="AZ89" i="9"/>
  <c r="AS89" i="9"/>
  <c r="AZ43" i="9"/>
  <c r="AS43" i="9"/>
  <c r="AZ58" i="9"/>
  <c r="BA37" i="9"/>
  <c r="AT37" i="9"/>
  <c r="BA33" i="9"/>
  <c r="AT33" i="9"/>
  <c r="AZ63" i="9"/>
  <c r="AS63" i="9"/>
  <c r="BA64" i="9"/>
  <c r="AT64" i="9"/>
  <c r="AZ59" i="9"/>
  <c r="AS59" i="9"/>
  <c r="AZ75" i="9"/>
  <c r="AS75" i="9"/>
  <c r="BA73" i="9"/>
  <c r="AT73" i="9"/>
  <c r="BA93" i="9"/>
  <c r="AT93" i="9"/>
  <c r="AZ92" i="9"/>
  <c r="AS92" i="9"/>
  <c r="BA61" i="9"/>
  <c r="AT61" i="9"/>
  <c r="BA46" i="9"/>
  <c r="AT46" i="9"/>
  <c r="AZ68" i="9"/>
  <c r="AS68" i="9"/>
  <c r="BA34" i="9"/>
  <c r="AT34" i="9"/>
  <c r="BA80" i="9"/>
  <c r="AT80" i="9"/>
  <c r="BA53" i="9"/>
  <c r="AT53" i="9"/>
  <c r="BA29" i="9"/>
  <c r="AT29" i="9"/>
  <c r="BA26" i="9"/>
  <c r="AT26" i="9"/>
  <c r="AZ91" i="9"/>
  <c r="AS91" i="9"/>
  <c r="AZ93" i="9"/>
  <c r="AS93" i="9"/>
  <c r="BA69" i="9"/>
  <c r="AT69" i="9"/>
  <c r="BA36" i="9"/>
  <c r="AT36" i="9"/>
  <c r="AZ17" i="9"/>
  <c r="AS17" i="9"/>
  <c r="AZ14" i="9"/>
  <c r="BA38" i="9"/>
  <c r="AT38" i="9"/>
  <c r="AZ35" i="9"/>
  <c r="AS35" i="9"/>
  <c r="BA44" i="9"/>
  <c r="AT44" i="9"/>
  <c r="AZ84" i="9"/>
  <c r="AS84" i="9"/>
  <c r="AZ23" i="9"/>
  <c r="AZ73" i="9"/>
  <c r="AS73" i="9"/>
  <c r="BA8" i="9"/>
  <c r="AT8" i="9"/>
  <c r="BA100" i="9"/>
  <c r="AT100" i="9"/>
  <c r="AZ31" i="9"/>
  <c r="AS31" i="9"/>
  <c r="AZ41" i="9"/>
  <c r="AZ62" i="9"/>
  <c r="AS62" i="9"/>
  <c r="AZ27" i="9"/>
  <c r="AS27" i="9"/>
  <c r="AZ88" i="9"/>
  <c r="AS88" i="9"/>
  <c r="AZ44" i="9"/>
  <c r="AS44" i="9"/>
  <c r="BA50" i="9"/>
  <c r="AT50" i="9"/>
  <c r="BA66" i="9"/>
  <c r="AT66" i="9"/>
  <c r="AZ61" i="9"/>
  <c r="AS61" i="9"/>
  <c r="AZ69" i="9"/>
  <c r="AS69" i="9"/>
  <c r="AZ12" i="9"/>
  <c r="AS12" i="9"/>
  <c r="AZ36" i="9"/>
  <c r="AS36" i="9"/>
  <c r="AZ72" i="9"/>
  <c r="AS72" i="9"/>
  <c r="AZ50" i="9"/>
  <c r="AS50" i="9"/>
  <c r="AZ40" i="9"/>
  <c r="AS40" i="9"/>
  <c r="BA30" i="9"/>
  <c r="AT30" i="9"/>
  <c r="BA56" i="9"/>
  <c r="AT56" i="9"/>
  <c r="AZ29" i="9"/>
  <c r="AS29" i="9"/>
  <c r="BA94" i="9"/>
  <c r="AT94" i="9"/>
  <c r="AZ96" i="9"/>
  <c r="AS96" i="9"/>
  <c r="BA89" i="9"/>
  <c r="AT89" i="9"/>
  <c r="AZ56" i="9"/>
  <c r="AS56" i="9"/>
  <c r="BA82" i="9"/>
  <c r="AT82" i="9"/>
  <c r="AZ10" i="9"/>
  <c r="AS10" i="9"/>
  <c r="BA98" i="9"/>
  <c r="AT98" i="9"/>
  <c r="BA55" i="9"/>
  <c r="AT55" i="9"/>
  <c r="AZ70" i="9"/>
  <c r="AS70" i="9"/>
  <c r="BA67" i="9"/>
  <c r="AT67" i="9"/>
  <c r="BA23" i="9"/>
  <c r="AT23" i="9"/>
  <c r="BA42" i="9"/>
  <c r="AT42" i="9"/>
  <c r="AZ85" i="9"/>
  <c r="AS85" i="9"/>
  <c r="AZ60" i="9"/>
  <c r="AS60" i="9"/>
  <c r="AZ6" i="9"/>
  <c r="AS6" i="9"/>
  <c r="AZ90" i="9"/>
  <c r="AS90" i="9"/>
  <c r="BA48" i="9"/>
  <c r="AT48" i="9"/>
  <c r="AZ19" i="9"/>
  <c r="AS19" i="9"/>
  <c r="AZ81" i="9"/>
  <c r="AS81" i="9"/>
  <c r="AZ20" i="9"/>
  <c r="AS20" i="9"/>
  <c r="BA24" i="9"/>
  <c r="AT24" i="9"/>
  <c r="BA85" i="9"/>
  <c r="AT85" i="9"/>
  <c r="BA32" i="9"/>
  <c r="AT32" i="9"/>
  <c r="BA22" i="9"/>
  <c r="AT22" i="9"/>
  <c r="BA97" i="9"/>
  <c r="AT97" i="9"/>
  <c r="AZ78" i="9"/>
  <c r="AS78" i="9"/>
  <c r="BA83" i="9"/>
  <c r="AT83" i="9"/>
  <c r="BA95" i="9"/>
  <c r="AT95" i="9"/>
  <c r="BA103" i="9"/>
  <c r="AT103" i="9"/>
  <c r="AZ57" i="9"/>
  <c r="AS57" i="9"/>
  <c r="AZ97" i="9"/>
  <c r="AS97" i="9"/>
  <c r="BA96" i="9"/>
  <c r="AT96" i="9"/>
  <c r="BA16" i="9"/>
  <c r="AT16" i="9"/>
  <c r="AZ25" i="9"/>
  <c r="AS25" i="9"/>
  <c r="AZ52" i="9"/>
  <c r="AS52" i="9"/>
  <c r="BA72" i="9"/>
  <c r="AT72" i="9"/>
  <c r="AZ77" i="9"/>
  <c r="AS77" i="9"/>
  <c r="AZ22" i="9"/>
  <c r="AS22" i="9"/>
  <c r="BA91" i="9"/>
  <c r="AT91" i="9"/>
  <c r="AZ24" i="9"/>
  <c r="AS24" i="9"/>
  <c r="AZ34" i="9"/>
  <c r="AS34" i="9"/>
  <c r="AZ76" i="9"/>
  <c r="AS76" i="9"/>
  <c r="BA54" i="9"/>
  <c r="AT54" i="9"/>
  <c r="AZ45" i="9"/>
  <c r="AS45" i="9"/>
  <c r="AZ80" i="9"/>
  <c r="AS80" i="9"/>
  <c r="BA87" i="9"/>
  <c r="AT87" i="9"/>
  <c r="AZ32" i="9"/>
  <c r="AS32" i="9"/>
  <c r="AZ30" i="9"/>
  <c r="AS30" i="9"/>
  <c r="AZ13" i="9"/>
  <c r="AS13" i="9"/>
  <c r="AZ47" i="9"/>
  <c r="AS47" i="9"/>
  <c r="BA59" i="9"/>
  <c r="AT59" i="9"/>
  <c r="AZ100" i="9"/>
  <c r="AS100" i="9"/>
  <c r="AZ94" i="9"/>
  <c r="AS94" i="9"/>
  <c r="BA71" i="9"/>
  <c r="AT71" i="9"/>
  <c r="BA11" i="9"/>
  <c r="AT11" i="9"/>
  <c r="BA58" i="9"/>
  <c r="AT58" i="9"/>
  <c r="BA19" i="9"/>
  <c r="AT19" i="9"/>
  <c r="BA31" i="9"/>
  <c r="AT31" i="9"/>
  <c r="AZ64" i="9"/>
  <c r="AS64" i="9"/>
  <c r="BA92" i="9"/>
  <c r="AT92" i="9"/>
  <c r="BA102" i="9"/>
  <c r="AT102" i="9"/>
  <c r="BA7" i="9"/>
  <c r="AT7" i="9"/>
  <c r="AZ87" i="9"/>
  <c r="AS87" i="9"/>
  <c r="AZ49" i="9"/>
  <c r="AS49" i="9"/>
  <c r="BA68" i="9"/>
  <c r="AT68" i="9"/>
  <c r="BA99" i="9"/>
  <c r="AT99" i="9"/>
  <c r="AZ48" i="9"/>
  <c r="AS48" i="9"/>
  <c r="BA88" i="9"/>
  <c r="AT88" i="9"/>
  <c r="BA75" i="9"/>
  <c r="AT75" i="9"/>
  <c r="AZ38" i="9"/>
  <c r="AS38" i="9"/>
  <c r="AZ28" i="9"/>
  <c r="AS28" i="9"/>
  <c r="BA77" i="9"/>
  <c r="AT77" i="9"/>
  <c r="AZ83" i="9"/>
  <c r="AS83" i="9"/>
  <c r="BA78" i="9"/>
  <c r="AT78" i="9"/>
  <c r="BA28" i="9"/>
  <c r="AT28" i="9"/>
  <c r="BA10" i="9"/>
  <c r="AT10" i="9"/>
  <c r="AZ104" i="9" l="1"/>
  <c r="AS114" i="9"/>
  <c r="AZ141" i="9"/>
  <c r="AS113" i="9"/>
  <c r="AS149" i="9"/>
  <c r="AZ109" i="9"/>
  <c r="AS107" i="9"/>
  <c r="AZ145" i="9"/>
  <c r="AS122" i="9"/>
  <c r="AS23" i="9"/>
  <c r="AS14" i="9"/>
  <c r="AZ148" i="9"/>
  <c r="AZ112" i="9"/>
  <c r="AZ137" i="9"/>
  <c r="AZ114" i="9"/>
  <c r="AS125" i="9"/>
  <c r="AZ140" i="9"/>
  <c r="AS153" i="9"/>
  <c r="AZ155" i="9"/>
  <c r="AS104" i="9"/>
  <c r="AZ126" i="9"/>
  <c r="AZ110" i="9"/>
  <c r="AZ117" i="9"/>
  <c r="AZ139" i="9"/>
  <c r="AS112" i="9"/>
  <c r="AS134" i="9"/>
  <c r="AZ144" i="9"/>
  <c r="AS150" i="9"/>
  <c r="AS156" i="9"/>
  <c r="AS136" i="9"/>
  <c r="AZ128" i="9"/>
  <c r="AZ154" i="9"/>
  <c r="AS152" i="9"/>
  <c r="AZ151" i="9"/>
  <c r="AS129" i="9"/>
  <c r="AS157" i="9"/>
  <c r="AZ133" i="9"/>
  <c r="AZ123" i="9"/>
  <c r="AZ115" i="9"/>
  <c r="AZ147" i="9"/>
  <c r="AZ146" i="9"/>
  <c r="AZ120" i="9"/>
  <c r="AS118" i="9"/>
  <c r="AS121" i="9"/>
  <c r="AZ127" i="9"/>
  <c r="AZ132" i="9"/>
  <c r="AZ130" i="9"/>
  <c r="AS143" i="9"/>
  <c r="AS41" i="9"/>
  <c r="AS58" i="9"/>
  <c r="AS53" i="9"/>
  <c r="AS138" i="9"/>
  <c r="AS108" i="9"/>
  <c r="AZ131" i="9"/>
  <c r="AZ142" i="9"/>
  <c r="AZ106" i="9"/>
  <c r="AZ105" i="9"/>
  <c r="BA161" i="9" l="1"/>
  <c r="AT161" i="9"/>
  <c r="AZ158" i="9"/>
  <c r="AT163" i="9"/>
  <c r="BA163" i="9"/>
  <c r="BA160" i="9"/>
  <c r="AT160" i="9"/>
  <c r="BA162" i="9"/>
  <c r="AT162" i="9"/>
  <c r="AT164" i="9"/>
  <c r="BA164" i="9"/>
  <c r="AT159" i="9"/>
  <c r="BA159" i="9"/>
  <c r="AZ159" i="9"/>
  <c r="AZ160" i="9" l="1"/>
  <c r="AS158" i="9"/>
  <c r="AS160" i="9"/>
  <c r="AS159" i="9"/>
  <c r="AZ164" i="9" l="1"/>
  <c r="AZ161" i="9"/>
  <c r="AZ163" i="9"/>
  <c r="AZ162" i="9"/>
  <c r="AS163" i="9" l="1"/>
  <c r="AS164" i="9"/>
  <c r="AS161" i="9"/>
  <c r="AS162" i="9"/>
  <c r="AI5" i="9" l="1"/>
  <c r="AJ5" i="9"/>
  <c r="AK5" i="9"/>
  <c r="AL5" i="9"/>
  <c r="AI6" i="9"/>
  <c r="AJ6" i="9"/>
  <c r="AK6" i="9"/>
  <c r="AL6" i="9"/>
  <c r="AI7" i="9"/>
  <c r="AJ7" i="9"/>
  <c r="AK7" i="9"/>
  <c r="AL7" i="9"/>
  <c r="AI8" i="9"/>
  <c r="AJ8" i="9"/>
  <c r="AK8" i="9"/>
  <c r="AL8" i="9"/>
  <c r="AI9" i="9"/>
  <c r="AJ9" i="9"/>
  <c r="AK9" i="9"/>
  <c r="AL9" i="9"/>
  <c r="AI10" i="9"/>
  <c r="AJ10" i="9"/>
  <c r="AK10" i="9"/>
  <c r="AL10" i="9"/>
  <c r="AI11" i="9"/>
  <c r="AJ11" i="9"/>
  <c r="AK11" i="9"/>
  <c r="AL11" i="9"/>
  <c r="AI12" i="9"/>
  <c r="AJ12" i="9"/>
  <c r="AK12" i="9"/>
  <c r="AL12" i="9"/>
  <c r="AI13" i="9"/>
  <c r="AJ13" i="9"/>
  <c r="AK13" i="9"/>
  <c r="AL13" i="9"/>
  <c r="AI14" i="9"/>
  <c r="AJ14" i="9"/>
  <c r="AK14" i="9"/>
  <c r="AL14" i="9"/>
  <c r="AI15" i="9"/>
  <c r="AJ15" i="9"/>
  <c r="AK15" i="9"/>
  <c r="AL15" i="9"/>
  <c r="AI16" i="9"/>
  <c r="AJ16" i="9"/>
  <c r="AK16" i="9"/>
  <c r="AL16" i="9"/>
  <c r="AI17" i="9"/>
  <c r="AJ17" i="9"/>
  <c r="AK17" i="9"/>
  <c r="AL17" i="9"/>
  <c r="AI18" i="9"/>
  <c r="AJ18" i="9"/>
  <c r="AK18" i="9"/>
  <c r="AL18" i="9"/>
  <c r="AI19" i="9"/>
  <c r="AJ19" i="9"/>
  <c r="AK19" i="9"/>
  <c r="AL19" i="9"/>
  <c r="AI20" i="9"/>
  <c r="AJ20" i="9"/>
  <c r="AK20" i="9"/>
  <c r="AL20" i="9"/>
  <c r="AI21" i="9"/>
  <c r="AJ21" i="9"/>
  <c r="AK21" i="9"/>
  <c r="AL21" i="9"/>
  <c r="AI22" i="9"/>
  <c r="AJ22" i="9"/>
  <c r="AK22" i="9"/>
  <c r="AL22" i="9"/>
  <c r="AI23" i="9"/>
  <c r="AJ23" i="9"/>
  <c r="AK23" i="9"/>
  <c r="AL23" i="9"/>
  <c r="AI24" i="9"/>
  <c r="AJ24" i="9"/>
  <c r="AK24" i="9"/>
  <c r="AL24" i="9"/>
  <c r="AI25" i="9"/>
  <c r="AJ25" i="9"/>
  <c r="AK25" i="9"/>
  <c r="AL25" i="9"/>
  <c r="AI26" i="9"/>
  <c r="AJ26" i="9"/>
  <c r="AK26" i="9"/>
  <c r="AL26" i="9"/>
  <c r="AI27" i="9"/>
  <c r="AJ27" i="9"/>
  <c r="AK27" i="9"/>
  <c r="AL27" i="9"/>
  <c r="AI28" i="9"/>
  <c r="AJ28" i="9"/>
  <c r="AK28" i="9"/>
  <c r="AL28" i="9"/>
  <c r="AI29" i="9"/>
  <c r="AJ29" i="9"/>
  <c r="AK29" i="9"/>
  <c r="AL29" i="9"/>
  <c r="AI30" i="9"/>
  <c r="AJ30" i="9"/>
  <c r="AK30" i="9"/>
  <c r="AL30" i="9"/>
  <c r="AI31" i="9"/>
  <c r="AJ31" i="9"/>
  <c r="AK31" i="9"/>
  <c r="AL31" i="9"/>
  <c r="AI32" i="9"/>
  <c r="AJ32" i="9"/>
  <c r="AK32" i="9"/>
  <c r="AL32" i="9"/>
  <c r="AI33" i="9"/>
  <c r="AJ33" i="9"/>
  <c r="AK33" i="9"/>
  <c r="AL33" i="9"/>
  <c r="AI34" i="9"/>
  <c r="AJ34" i="9"/>
  <c r="AK34" i="9"/>
  <c r="AL34" i="9"/>
  <c r="AI35" i="9"/>
  <c r="AJ35" i="9"/>
  <c r="AK35" i="9"/>
  <c r="AL35" i="9"/>
  <c r="AI36" i="9"/>
  <c r="AJ36" i="9"/>
  <c r="AK36" i="9"/>
  <c r="AL36" i="9"/>
  <c r="AI37" i="9"/>
  <c r="AJ37" i="9"/>
  <c r="AK37" i="9"/>
  <c r="AL37" i="9"/>
  <c r="AI38" i="9"/>
  <c r="AJ38" i="9"/>
  <c r="AK38" i="9"/>
  <c r="AL38" i="9"/>
  <c r="AI39" i="9"/>
  <c r="AJ39" i="9"/>
  <c r="AK39" i="9"/>
  <c r="AL39" i="9"/>
  <c r="AI40" i="9"/>
  <c r="AJ40" i="9"/>
  <c r="AK40" i="9"/>
  <c r="AL40" i="9"/>
  <c r="AI41" i="9"/>
  <c r="AJ41" i="9"/>
  <c r="AK41" i="9"/>
  <c r="AL41" i="9"/>
  <c r="AI42" i="9"/>
  <c r="AJ42" i="9"/>
  <c r="AK42" i="9"/>
  <c r="AL42" i="9"/>
  <c r="AI43" i="9"/>
  <c r="AJ43" i="9"/>
  <c r="AK43" i="9"/>
  <c r="AL43" i="9"/>
  <c r="AI44" i="9"/>
  <c r="AJ44" i="9"/>
  <c r="AK44" i="9"/>
  <c r="AL44" i="9"/>
  <c r="AI45" i="9"/>
  <c r="AJ45" i="9"/>
  <c r="AK45" i="9"/>
  <c r="AL45" i="9"/>
  <c r="AI46" i="9"/>
  <c r="AJ46" i="9"/>
  <c r="AK46" i="9"/>
  <c r="AL46" i="9"/>
  <c r="AI47" i="9"/>
  <c r="AJ47" i="9"/>
  <c r="AK47" i="9"/>
  <c r="AL47" i="9"/>
  <c r="AI48" i="9"/>
  <c r="AJ48" i="9"/>
  <c r="AK48" i="9"/>
  <c r="AL48" i="9"/>
  <c r="AI49" i="9"/>
  <c r="AJ49" i="9"/>
  <c r="AK49" i="9"/>
  <c r="AL49" i="9"/>
  <c r="AI50" i="9"/>
  <c r="AJ50" i="9"/>
  <c r="AK50" i="9"/>
  <c r="AL50" i="9"/>
  <c r="AI51" i="9"/>
  <c r="AJ51" i="9"/>
  <c r="AK51" i="9"/>
  <c r="AL51" i="9"/>
  <c r="AI52" i="9"/>
  <c r="AJ52" i="9"/>
  <c r="AK52" i="9"/>
  <c r="AL52" i="9"/>
  <c r="AI53" i="9"/>
  <c r="AJ53" i="9"/>
  <c r="AK53" i="9"/>
  <c r="AL53" i="9"/>
  <c r="AI54" i="9"/>
  <c r="AJ54" i="9"/>
  <c r="AK54" i="9"/>
  <c r="AL54" i="9"/>
  <c r="AI55" i="9"/>
  <c r="AJ55" i="9"/>
  <c r="AK55" i="9"/>
  <c r="AL55" i="9"/>
  <c r="AI56" i="9"/>
  <c r="AJ56" i="9"/>
  <c r="AK56" i="9"/>
  <c r="AL56" i="9"/>
  <c r="AI57" i="9"/>
  <c r="AJ57" i="9"/>
  <c r="AK57" i="9"/>
  <c r="AL57" i="9"/>
  <c r="AI58" i="9"/>
  <c r="AJ58" i="9"/>
  <c r="AK58" i="9"/>
  <c r="AL58" i="9"/>
  <c r="AI59" i="9"/>
  <c r="AJ59" i="9"/>
  <c r="AK59" i="9"/>
  <c r="AL59" i="9"/>
  <c r="AI60" i="9"/>
  <c r="AJ60" i="9"/>
  <c r="AK60" i="9"/>
  <c r="AL60" i="9"/>
  <c r="AI61" i="9"/>
  <c r="AJ61" i="9"/>
  <c r="AK61" i="9"/>
  <c r="AL61" i="9"/>
  <c r="AI62" i="9"/>
  <c r="AJ62" i="9"/>
  <c r="AK62" i="9"/>
  <c r="AL62" i="9"/>
  <c r="AI63" i="9"/>
  <c r="AJ63" i="9"/>
  <c r="AK63" i="9"/>
  <c r="AL63" i="9"/>
  <c r="AI64" i="9"/>
  <c r="AJ64" i="9"/>
  <c r="AK64" i="9"/>
  <c r="AL64" i="9"/>
  <c r="AI65" i="9"/>
  <c r="AJ65" i="9"/>
  <c r="AK65" i="9"/>
  <c r="AL65" i="9"/>
  <c r="AI66" i="9"/>
  <c r="AJ66" i="9"/>
  <c r="AK66" i="9"/>
  <c r="AL66" i="9"/>
  <c r="AI67" i="9"/>
  <c r="AJ67" i="9"/>
  <c r="AK67" i="9"/>
  <c r="AL67" i="9"/>
  <c r="AI68" i="9"/>
  <c r="AJ68" i="9"/>
  <c r="AK68" i="9"/>
  <c r="AL68" i="9"/>
  <c r="AI69" i="9"/>
  <c r="AJ69" i="9"/>
  <c r="AK69" i="9"/>
  <c r="AL69" i="9"/>
  <c r="AI70" i="9"/>
  <c r="AJ70" i="9"/>
  <c r="AK70" i="9"/>
  <c r="AL70" i="9"/>
  <c r="AI71" i="9"/>
  <c r="AJ71" i="9"/>
  <c r="AK71" i="9"/>
  <c r="AL71" i="9"/>
  <c r="AI72" i="9"/>
  <c r="AJ72" i="9"/>
  <c r="AK72" i="9"/>
  <c r="AL72" i="9"/>
  <c r="AI73" i="9"/>
  <c r="AJ73" i="9"/>
  <c r="AK73" i="9"/>
  <c r="AL73" i="9"/>
  <c r="AI74" i="9"/>
  <c r="AJ74" i="9"/>
  <c r="AK74" i="9"/>
  <c r="AL74" i="9"/>
  <c r="AI75" i="9"/>
  <c r="AJ75" i="9"/>
  <c r="AK75" i="9"/>
  <c r="AL75" i="9"/>
  <c r="AI76" i="9"/>
  <c r="AJ76" i="9"/>
  <c r="AK76" i="9"/>
  <c r="AL76" i="9"/>
  <c r="AI77" i="9"/>
  <c r="AJ77" i="9"/>
  <c r="AK77" i="9"/>
  <c r="AL77" i="9"/>
  <c r="AI78" i="9"/>
  <c r="AJ78" i="9"/>
  <c r="AK78" i="9"/>
  <c r="AL78" i="9"/>
  <c r="AI79" i="9"/>
  <c r="AJ79" i="9"/>
  <c r="AK79" i="9"/>
  <c r="AL79" i="9"/>
  <c r="AI80" i="9"/>
  <c r="AJ80" i="9"/>
  <c r="AK80" i="9"/>
  <c r="AL80" i="9"/>
  <c r="AI81" i="9"/>
  <c r="AJ81" i="9"/>
  <c r="AK81" i="9"/>
  <c r="AL81" i="9"/>
  <c r="AI82" i="9"/>
  <c r="AJ82" i="9"/>
  <c r="AK82" i="9"/>
  <c r="AL82" i="9"/>
  <c r="AI83" i="9"/>
  <c r="AJ83" i="9"/>
  <c r="AK83" i="9"/>
  <c r="AL83" i="9"/>
  <c r="AI84" i="9"/>
  <c r="AJ84" i="9"/>
  <c r="AK84" i="9"/>
  <c r="AL84" i="9"/>
  <c r="AI85" i="9"/>
  <c r="AJ85" i="9"/>
  <c r="AK85" i="9"/>
  <c r="AL85" i="9"/>
  <c r="AI86" i="9"/>
  <c r="AJ86" i="9"/>
  <c r="AK86" i="9"/>
  <c r="AL86" i="9"/>
  <c r="AI87" i="9"/>
  <c r="AJ87" i="9"/>
  <c r="AK87" i="9"/>
  <c r="AL87" i="9"/>
  <c r="AI88" i="9"/>
  <c r="AJ88" i="9"/>
  <c r="AK88" i="9"/>
  <c r="AL88" i="9"/>
  <c r="AI89" i="9"/>
  <c r="AJ89" i="9"/>
  <c r="AK89" i="9"/>
  <c r="AL89" i="9"/>
  <c r="AI90" i="9"/>
  <c r="AJ90" i="9"/>
  <c r="AK90" i="9"/>
  <c r="AL90" i="9"/>
  <c r="AI91" i="9"/>
  <c r="AJ91" i="9"/>
  <c r="AK91" i="9"/>
  <c r="AL91" i="9"/>
  <c r="AI92" i="9"/>
  <c r="AJ92" i="9"/>
  <c r="AK92" i="9"/>
  <c r="AL92" i="9"/>
  <c r="AI93" i="9"/>
  <c r="AJ93" i="9"/>
  <c r="AK93" i="9"/>
  <c r="AL93" i="9"/>
  <c r="AI94" i="9"/>
  <c r="AJ94" i="9"/>
  <c r="AK94" i="9"/>
  <c r="AL94" i="9"/>
  <c r="AI95" i="9"/>
  <c r="AJ95" i="9"/>
  <c r="AK95" i="9"/>
  <c r="AL95" i="9"/>
  <c r="AI96" i="9"/>
  <c r="AJ96" i="9"/>
  <c r="AK96" i="9"/>
  <c r="AL96" i="9"/>
  <c r="AI97" i="9"/>
  <c r="AJ97" i="9"/>
  <c r="AK97" i="9"/>
  <c r="AL97" i="9"/>
  <c r="AI98" i="9"/>
  <c r="AJ98" i="9"/>
  <c r="AK98" i="9"/>
  <c r="AL98" i="9"/>
  <c r="AI99" i="9"/>
  <c r="AJ99" i="9"/>
  <c r="AK99" i="9"/>
  <c r="AL99" i="9"/>
  <c r="AI100" i="9"/>
  <c r="AJ100" i="9"/>
  <c r="AK100" i="9"/>
  <c r="AL100" i="9"/>
  <c r="AI101" i="9"/>
  <c r="AJ101" i="9"/>
  <c r="AK101" i="9"/>
  <c r="AL101" i="9"/>
  <c r="AI102" i="9"/>
  <c r="AJ102" i="9"/>
  <c r="AK102" i="9"/>
  <c r="AL102" i="9"/>
  <c r="AI103" i="9"/>
  <c r="AJ103" i="9"/>
  <c r="AK103" i="9"/>
  <c r="AL103" i="9"/>
  <c r="AI104" i="9"/>
  <c r="AJ104" i="9"/>
  <c r="AK104" i="9"/>
  <c r="AL104" i="9"/>
  <c r="AI105" i="9"/>
  <c r="AJ105" i="9"/>
  <c r="AK105" i="9"/>
  <c r="AL105" i="9"/>
  <c r="AI106" i="9"/>
  <c r="AJ106" i="9"/>
  <c r="AK106" i="9"/>
  <c r="AL106" i="9"/>
  <c r="AI107" i="9"/>
  <c r="AJ107" i="9"/>
  <c r="AK107" i="9"/>
  <c r="AL107" i="9"/>
  <c r="AI108" i="9"/>
  <c r="AJ108" i="9"/>
  <c r="AK108" i="9"/>
  <c r="AL108" i="9"/>
  <c r="AI109" i="9"/>
  <c r="AJ109" i="9"/>
  <c r="AK109" i="9"/>
  <c r="AL109" i="9"/>
  <c r="AI110" i="9"/>
  <c r="AJ110" i="9"/>
  <c r="AK110" i="9"/>
  <c r="AL110" i="9"/>
  <c r="AI111" i="9"/>
  <c r="AJ111" i="9"/>
  <c r="AK111" i="9"/>
  <c r="AL111" i="9"/>
  <c r="AI112" i="9"/>
  <c r="AJ112" i="9"/>
  <c r="AK112" i="9"/>
  <c r="AL112" i="9"/>
  <c r="AI113" i="9"/>
  <c r="AJ113" i="9"/>
  <c r="AK113" i="9"/>
  <c r="AL113" i="9"/>
  <c r="AI114" i="9"/>
  <c r="AJ114" i="9"/>
  <c r="AK114" i="9"/>
  <c r="AL114" i="9"/>
  <c r="AI115" i="9"/>
  <c r="AJ115" i="9"/>
  <c r="AK115" i="9"/>
  <c r="AL115" i="9"/>
  <c r="AI116" i="9"/>
  <c r="AJ116" i="9"/>
  <c r="AK116" i="9"/>
  <c r="AL116" i="9"/>
  <c r="AI117" i="9"/>
  <c r="AJ117" i="9"/>
  <c r="AK117" i="9"/>
  <c r="AL117" i="9"/>
  <c r="AI118" i="9"/>
  <c r="AJ118" i="9"/>
  <c r="AK118" i="9"/>
  <c r="AL118" i="9"/>
  <c r="AI119" i="9"/>
  <c r="AJ119" i="9"/>
  <c r="AK119" i="9"/>
  <c r="AL119" i="9"/>
  <c r="AI120" i="9"/>
  <c r="AJ120" i="9"/>
  <c r="AK120" i="9"/>
  <c r="AL120" i="9"/>
  <c r="AI121" i="9"/>
  <c r="AJ121" i="9"/>
  <c r="AK121" i="9"/>
  <c r="AL121" i="9"/>
  <c r="AI122" i="9"/>
  <c r="AJ122" i="9"/>
  <c r="AK122" i="9"/>
  <c r="AL122" i="9"/>
  <c r="P9" i="28" l="1"/>
  <c r="O10" i="29" l="1"/>
  <c r="O9" i="29"/>
  <c r="A2" i="22" l="1"/>
  <c r="B2" i="22"/>
  <c r="C2" i="22"/>
  <c r="D2" i="22"/>
  <c r="E2" i="22"/>
  <c r="F2" i="22"/>
  <c r="G2" i="22"/>
  <c r="H2" i="22"/>
  <c r="I2" i="22"/>
  <c r="J2" i="22"/>
  <c r="K2" i="22"/>
  <c r="L2" i="22"/>
  <c r="M2" i="22"/>
  <c r="N2" i="22"/>
  <c r="O2" i="22"/>
  <c r="P2" i="22"/>
  <c r="Q2" i="22"/>
  <c r="R2" i="22"/>
  <c r="S2" i="22"/>
  <c r="T2" i="22"/>
  <c r="U2" i="22"/>
  <c r="V2" i="22"/>
  <c r="W2" i="22"/>
  <c r="X2" i="22"/>
  <c r="Y2" i="22"/>
  <c r="Z2" i="22"/>
  <c r="A3" i="22"/>
  <c r="B3" i="22"/>
  <c r="C3" i="22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4" i="22"/>
  <c r="B4" i="22"/>
  <c r="C4" i="22"/>
  <c r="D4" i="22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R4" i="22"/>
  <c r="S4" i="22"/>
  <c r="T4" i="22"/>
  <c r="U4" i="22"/>
  <c r="V4" i="22"/>
  <c r="W4" i="22"/>
  <c r="X4" i="22"/>
  <c r="Y4" i="22"/>
  <c r="Z4" i="22"/>
  <c r="A5" i="22"/>
  <c r="B5" i="22"/>
  <c r="C5" i="22"/>
  <c r="D5" i="2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6" i="22"/>
  <c r="B6" i="22"/>
  <c r="C6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S6" i="22"/>
  <c r="T6" i="22"/>
  <c r="U6" i="22"/>
  <c r="V6" i="22"/>
  <c r="W6" i="22"/>
  <c r="X6" i="22"/>
  <c r="Y6" i="22"/>
  <c r="Z6" i="22"/>
  <c r="A7" i="22"/>
  <c r="B7" i="22"/>
  <c r="C7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R7" i="22"/>
  <c r="S7" i="22"/>
  <c r="T7" i="22"/>
  <c r="U7" i="22"/>
  <c r="V7" i="22"/>
  <c r="W7" i="22"/>
  <c r="X7" i="22"/>
  <c r="Y7" i="22"/>
  <c r="Z7" i="22"/>
  <c r="A8" i="22"/>
  <c r="B8" i="22"/>
  <c r="C8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9" i="22"/>
  <c r="B9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10" i="22"/>
  <c r="B10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Z10" i="22"/>
  <c r="A11" i="22"/>
  <c r="B11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12" i="22"/>
  <c r="B12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13" i="22"/>
  <c r="B13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14" i="22"/>
  <c r="B1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15" i="22"/>
  <c r="B15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16" i="22"/>
  <c r="B16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17" i="22"/>
  <c r="B17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18" i="22"/>
  <c r="B18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19" i="22"/>
  <c r="B19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20" i="22"/>
  <c r="B20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21" i="22"/>
  <c r="B21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22" i="22"/>
  <c r="B22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23" i="22"/>
  <c r="B23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24" i="22"/>
  <c r="B24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25" i="22"/>
  <c r="B25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26" i="22"/>
  <c r="B26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27" i="22"/>
  <c r="B27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28" i="22"/>
  <c r="B28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Y28" i="22"/>
  <c r="Z28" i="22"/>
  <c r="A29" i="22"/>
  <c r="B29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30" i="22"/>
  <c r="B30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31" i="22"/>
  <c r="B31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32" i="22"/>
  <c r="B32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33" i="22"/>
  <c r="B33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Y33" i="22"/>
  <c r="Z33" i="22"/>
  <c r="A34" i="22"/>
  <c r="B34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35" i="22"/>
  <c r="B35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36" i="22"/>
  <c r="B36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37" i="22"/>
  <c r="B37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38" i="22"/>
  <c r="B38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39" i="22"/>
  <c r="B39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40" i="22"/>
  <c r="B40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41" i="22"/>
  <c r="B41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42" i="22"/>
  <c r="B42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43" i="22"/>
  <c r="B43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44" i="22"/>
  <c r="B44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45" i="22"/>
  <c r="B45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46" i="22"/>
  <c r="B46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47" i="22"/>
  <c r="B47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48" i="22"/>
  <c r="B48" i="22"/>
  <c r="C48" i="22"/>
  <c r="D48" i="22"/>
  <c r="E48" i="22"/>
  <c r="F48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49" i="22"/>
  <c r="B49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50" i="22"/>
  <c r="B50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51" i="22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52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53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54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55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56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57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58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59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60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61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62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63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64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65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66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67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68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69" i="22"/>
  <c r="B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70" i="22"/>
  <c r="B70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71" i="22"/>
  <c r="B71" i="22"/>
  <c r="C71" i="22"/>
  <c r="D71" i="22"/>
  <c r="E71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72" i="22"/>
  <c r="B72" i="22"/>
  <c r="C72" i="22"/>
  <c r="D72" i="22"/>
  <c r="E72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73" i="22"/>
  <c r="B73" i="22"/>
  <c r="C73" i="22"/>
  <c r="D73" i="22"/>
  <c r="E73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74" i="22"/>
  <c r="B74" i="22"/>
  <c r="C74" i="22"/>
  <c r="D74" i="22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75" i="22"/>
  <c r="B75" i="22"/>
  <c r="C75" i="22"/>
  <c r="D75" i="22"/>
  <c r="E75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76" i="22"/>
  <c r="B76" i="22"/>
  <c r="C76" i="22"/>
  <c r="D76" i="22"/>
  <c r="E76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77" i="22"/>
  <c r="B77" i="22"/>
  <c r="C77" i="22"/>
  <c r="D77" i="22"/>
  <c r="E77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78" i="22"/>
  <c r="B78" i="22"/>
  <c r="C78" i="22"/>
  <c r="D78" i="22"/>
  <c r="E78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79" i="22"/>
  <c r="B79" i="22"/>
  <c r="C79" i="22"/>
  <c r="D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80" i="22"/>
  <c r="B80" i="22"/>
  <c r="C80" i="22"/>
  <c r="D80" i="22"/>
  <c r="E80" i="22"/>
  <c r="F80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81" i="22"/>
  <c r="B81" i="22"/>
  <c r="C81" i="22"/>
  <c r="D81" i="22"/>
  <c r="E81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82" i="22"/>
  <c r="B82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83" i="22"/>
  <c r="B83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Y83" i="22"/>
  <c r="Z83" i="22"/>
  <c r="A84" i="22"/>
  <c r="B84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Y84" i="22"/>
  <c r="Z84" i="22"/>
  <c r="A85" i="22"/>
  <c r="B85" i="22"/>
  <c r="C85" i="22"/>
  <c r="D85" i="22"/>
  <c r="E85" i="22"/>
  <c r="F85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Y85" i="22"/>
  <c r="Z85" i="22"/>
  <c r="A86" i="22"/>
  <c r="B86" i="22"/>
  <c r="C86" i="22"/>
  <c r="D86" i="22"/>
  <c r="E86" i="22"/>
  <c r="F86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Y86" i="22"/>
  <c r="Z86" i="22"/>
  <c r="A87" i="22"/>
  <c r="B87" i="22"/>
  <c r="C87" i="22"/>
  <c r="D87" i="22"/>
  <c r="E87" i="22"/>
  <c r="F87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Y87" i="22"/>
  <c r="Z87" i="22"/>
  <c r="A88" i="22"/>
  <c r="B88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89" i="22"/>
  <c r="B89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90" i="22"/>
  <c r="B90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91" i="22"/>
  <c r="B91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92" i="22"/>
  <c r="B92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93" i="22"/>
  <c r="B93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94" i="22"/>
  <c r="B94" i="22"/>
  <c r="C94" i="22"/>
  <c r="D94" i="22"/>
  <c r="E94" i="22"/>
  <c r="F94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Y94" i="22"/>
  <c r="Z94" i="22"/>
  <c r="A95" i="22"/>
  <c r="B95" i="22"/>
  <c r="C95" i="22"/>
  <c r="D95" i="22"/>
  <c r="E95" i="22"/>
  <c r="F95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Y95" i="22"/>
  <c r="Z95" i="22"/>
  <c r="A96" i="22"/>
  <c r="B96" i="22"/>
  <c r="C96" i="22"/>
  <c r="D96" i="22"/>
  <c r="E96" i="22"/>
  <c r="F96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Y96" i="22"/>
  <c r="Z96" i="22"/>
  <c r="A97" i="22"/>
  <c r="B97" i="22"/>
  <c r="C97" i="22"/>
  <c r="D97" i="22"/>
  <c r="E97" i="22"/>
  <c r="F97" i="22"/>
  <c r="G97" i="22"/>
  <c r="H97" i="22"/>
  <c r="I97" i="22"/>
  <c r="J97" i="22"/>
  <c r="K97" i="22"/>
  <c r="L97" i="22"/>
  <c r="M97" i="22"/>
  <c r="N97" i="22"/>
  <c r="O97" i="22"/>
  <c r="P97" i="22"/>
  <c r="Q97" i="22"/>
  <c r="R97" i="22"/>
  <c r="S97" i="22"/>
  <c r="T97" i="22"/>
  <c r="U97" i="22"/>
  <c r="V97" i="22"/>
  <c r="W97" i="22"/>
  <c r="X97" i="22"/>
  <c r="Y97" i="22"/>
  <c r="Z97" i="22"/>
  <c r="A98" i="22"/>
  <c r="B98" i="22"/>
  <c r="C98" i="22"/>
  <c r="D98" i="22"/>
  <c r="E98" i="22"/>
  <c r="F98" i="22"/>
  <c r="G98" i="22"/>
  <c r="H98" i="22"/>
  <c r="I98" i="22"/>
  <c r="J98" i="22"/>
  <c r="K98" i="22"/>
  <c r="L98" i="22"/>
  <c r="M98" i="22"/>
  <c r="N98" i="22"/>
  <c r="O98" i="22"/>
  <c r="P98" i="22"/>
  <c r="Q98" i="22"/>
  <c r="R98" i="22"/>
  <c r="S98" i="22"/>
  <c r="T98" i="22"/>
  <c r="U98" i="22"/>
  <c r="V98" i="22"/>
  <c r="W98" i="22"/>
  <c r="X98" i="22"/>
  <c r="Y98" i="22"/>
  <c r="Z98" i="22"/>
  <c r="A99" i="22"/>
  <c r="B99" i="22"/>
  <c r="C99" i="22"/>
  <c r="D99" i="22"/>
  <c r="E99" i="22"/>
  <c r="F99" i="22"/>
  <c r="G99" i="22"/>
  <c r="H99" i="22"/>
  <c r="I99" i="22"/>
  <c r="J99" i="22"/>
  <c r="K99" i="22"/>
  <c r="L99" i="22"/>
  <c r="M99" i="22"/>
  <c r="N99" i="22"/>
  <c r="O99" i="22"/>
  <c r="P99" i="22"/>
  <c r="Q99" i="22"/>
  <c r="R99" i="22"/>
  <c r="S99" i="22"/>
  <c r="T99" i="22"/>
  <c r="U99" i="22"/>
  <c r="V99" i="22"/>
  <c r="W99" i="22"/>
  <c r="X99" i="22"/>
  <c r="Y99" i="22"/>
  <c r="Z99" i="22"/>
  <c r="A100" i="22"/>
  <c r="B100" i="22"/>
  <c r="C100" i="22"/>
  <c r="D100" i="22"/>
  <c r="E100" i="22"/>
  <c r="F100" i="22"/>
  <c r="G100" i="22"/>
  <c r="H100" i="22"/>
  <c r="I100" i="22"/>
  <c r="J100" i="22"/>
  <c r="K100" i="22"/>
  <c r="L100" i="22"/>
  <c r="M100" i="22"/>
  <c r="N100" i="22"/>
  <c r="O100" i="22"/>
  <c r="P100" i="22"/>
  <c r="Q100" i="22"/>
  <c r="R100" i="22"/>
  <c r="S100" i="22"/>
  <c r="T100" i="22"/>
  <c r="U100" i="22"/>
  <c r="V100" i="22"/>
  <c r="W100" i="22"/>
  <c r="X100" i="22"/>
  <c r="Y100" i="22"/>
  <c r="Z100" i="22"/>
  <c r="A101" i="22"/>
  <c r="B101" i="22"/>
  <c r="C101" i="22"/>
  <c r="D101" i="22"/>
  <c r="E101" i="22"/>
  <c r="F101" i="22"/>
  <c r="G101" i="22"/>
  <c r="H101" i="22"/>
  <c r="I101" i="22"/>
  <c r="J101" i="22"/>
  <c r="K101" i="22"/>
  <c r="L101" i="22"/>
  <c r="M101" i="22"/>
  <c r="N101" i="22"/>
  <c r="O101" i="22"/>
  <c r="P101" i="22"/>
  <c r="Q101" i="22"/>
  <c r="R101" i="22"/>
  <c r="S101" i="22"/>
  <c r="T101" i="22"/>
  <c r="U101" i="22"/>
  <c r="V101" i="22"/>
  <c r="W101" i="22"/>
  <c r="X101" i="22"/>
  <c r="Y101" i="22"/>
  <c r="Z101" i="22"/>
  <c r="A102" i="22"/>
  <c r="B102" i="22"/>
  <c r="C102" i="22"/>
  <c r="D102" i="22"/>
  <c r="E102" i="22"/>
  <c r="F102" i="22"/>
  <c r="G102" i="22"/>
  <c r="H102" i="22"/>
  <c r="I102" i="22"/>
  <c r="J102" i="22"/>
  <c r="K102" i="22"/>
  <c r="L102" i="22"/>
  <c r="M102" i="22"/>
  <c r="N102" i="22"/>
  <c r="O102" i="22"/>
  <c r="P102" i="22"/>
  <c r="Q102" i="22"/>
  <c r="R102" i="22"/>
  <c r="S102" i="22"/>
  <c r="T102" i="22"/>
  <c r="U102" i="22"/>
  <c r="V102" i="22"/>
  <c r="W102" i="22"/>
  <c r="X102" i="22"/>
  <c r="Y102" i="22"/>
  <c r="Z102" i="22"/>
  <c r="A103" i="22"/>
  <c r="B103" i="22"/>
  <c r="C103" i="22"/>
  <c r="D103" i="22"/>
  <c r="E103" i="22"/>
  <c r="F103" i="22"/>
  <c r="G103" i="22"/>
  <c r="H103" i="22"/>
  <c r="I103" i="22"/>
  <c r="J103" i="22"/>
  <c r="K103" i="22"/>
  <c r="L103" i="22"/>
  <c r="M103" i="22"/>
  <c r="N103" i="22"/>
  <c r="O103" i="22"/>
  <c r="P103" i="22"/>
  <c r="Q103" i="22"/>
  <c r="R103" i="22"/>
  <c r="S103" i="22"/>
  <c r="T103" i="22"/>
  <c r="U103" i="22"/>
  <c r="V103" i="22"/>
  <c r="W103" i="22"/>
  <c r="X103" i="22"/>
  <c r="Y103" i="22"/>
  <c r="Z103" i="22"/>
  <c r="A104" i="22"/>
  <c r="B104" i="22"/>
  <c r="C104" i="22"/>
  <c r="D104" i="22"/>
  <c r="E104" i="22"/>
  <c r="F104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Y104" i="22"/>
  <c r="Z104" i="22"/>
  <c r="A105" i="22"/>
  <c r="B105" i="22"/>
  <c r="C105" i="22"/>
  <c r="D105" i="22"/>
  <c r="E105" i="22"/>
  <c r="F105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Y105" i="22"/>
  <c r="Z105" i="22"/>
  <c r="A106" i="22"/>
  <c r="B106" i="22"/>
  <c r="C106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107" i="22"/>
  <c r="B107" i="22"/>
  <c r="C107" i="22"/>
  <c r="D107" i="22"/>
  <c r="E107" i="22"/>
  <c r="F107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Y107" i="22"/>
  <c r="Z107" i="22"/>
  <c r="A108" i="22"/>
  <c r="B108" i="22"/>
  <c r="C108" i="22"/>
  <c r="D108" i="22"/>
  <c r="E108" i="22"/>
  <c r="F108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109" i="22"/>
  <c r="B109" i="22"/>
  <c r="C109" i="22"/>
  <c r="D109" i="22"/>
  <c r="E109" i="22"/>
  <c r="F109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110" i="22"/>
  <c r="B110" i="22"/>
  <c r="C110" i="22"/>
  <c r="D110" i="22"/>
  <c r="E110" i="22"/>
  <c r="F110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111" i="22"/>
  <c r="B111" i="22"/>
  <c r="C111" i="22"/>
  <c r="D111" i="22"/>
  <c r="E111" i="22"/>
  <c r="F111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112" i="22"/>
  <c r="B112" i="22"/>
  <c r="C112" i="22"/>
  <c r="D112" i="22"/>
  <c r="E112" i="22"/>
  <c r="F112" i="22"/>
  <c r="G112" i="22"/>
  <c r="H112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113" i="22"/>
  <c r="B113" i="22"/>
  <c r="C113" i="22"/>
  <c r="D113" i="22"/>
  <c r="E113" i="22"/>
  <c r="F113" i="22"/>
  <c r="G113" i="22"/>
  <c r="H113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114" i="22"/>
  <c r="B114" i="22"/>
  <c r="C114" i="22"/>
  <c r="D114" i="22"/>
  <c r="E114" i="22"/>
  <c r="F114" i="22"/>
  <c r="G114" i="22"/>
  <c r="H114" i="22"/>
  <c r="I114" i="22"/>
  <c r="J114" i="22"/>
  <c r="K114" i="22"/>
  <c r="L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115" i="22"/>
  <c r="B115" i="22"/>
  <c r="C115" i="22"/>
  <c r="D115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116" i="22"/>
  <c r="B116" i="22"/>
  <c r="C116" i="22"/>
  <c r="D116" i="22"/>
  <c r="E116" i="22"/>
  <c r="F116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117" i="22"/>
  <c r="B117" i="22"/>
  <c r="C117" i="22"/>
  <c r="D117" i="22"/>
  <c r="E117" i="22"/>
  <c r="F117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Y117" i="22"/>
  <c r="Z117" i="22"/>
  <c r="A118" i="22"/>
  <c r="B118" i="22"/>
  <c r="C118" i="22"/>
  <c r="D118" i="22"/>
  <c r="E118" i="22"/>
  <c r="F118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Y118" i="22"/>
  <c r="Z118" i="22"/>
  <c r="A119" i="22"/>
  <c r="B119" i="22"/>
  <c r="C119" i="22"/>
  <c r="D119" i="22"/>
  <c r="E119" i="22"/>
  <c r="F119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Y119" i="22"/>
  <c r="Z119" i="22"/>
  <c r="A120" i="22"/>
  <c r="B120" i="22"/>
  <c r="C120" i="22"/>
  <c r="D120" i="22"/>
  <c r="E120" i="22"/>
  <c r="F120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Y120" i="22"/>
  <c r="Z120" i="22"/>
  <c r="A121" i="22"/>
  <c r="B121" i="22"/>
  <c r="C121" i="22"/>
  <c r="D121" i="22"/>
  <c r="E121" i="22"/>
  <c r="F121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Y121" i="22"/>
  <c r="Z121" i="22"/>
  <c r="A122" i="22"/>
  <c r="B122" i="22"/>
  <c r="C122" i="22"/>
  <c r="D122" i="22"/>
  <c r="E122" i="22"/>
  <c r="F122" i="22"/>
  <c r="G122" i="22"/>
  <c r="H122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Y122" i="22"/>
  <c r="Z122" i="22"/>
  <c r="A123" i="22"/>
  <c r="B123" i="22"/>
  <c r="C123" i="22"/>
  <c r="D123" i="22"/>
  <c r="E123" i="22"/>
  <c r="F123" i="22"/>
  <c r="G123" i="22"/>
  <c r="H123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Y123" i="22"/>
  <c r="Z123" i="22"/>
  <c r="A124" i="22"/>
  <c r="B124" i="22"/>
  <c r="C124" i="22"/>
  <c r="D124" i="22"/>
  <c r="E124" i="22"/>
  <c r="F124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125" i="22"/>
  <c r="B125" i="22"/>
  <c r="C125" i="22"/>
  <c r="D125" i="22"/>
  <c r="E125" i="22"/>
  <c r="F125" i="22"/>
  <c r="G125" i="22"/>
  <c r="H125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Y125" i="22"/>
  <c r="Z125" i="22"/>
  <c r="A126" i="22"/>
  <c r="B126" i="22"/>
  <c r="C126" i="22"/>
  <c r="D126" i="22"/>
  <c r="E126" i="22"/>
  <c r="F126" i="22"/>
  <c r="G126" i="22"/>
  <c r="H126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Y126" i="22"/>
  <c r="Z126" i="22"/>
  <c r="A127" i="22"/>
  <c r="B127" i="22"/>
  <c r="C127" i="22"/>
  <c r="D127" i="22"/>
  <c r="E127" i="22"/>
  <c r="F127" i="22"/>
  <c r="G127" i="22"/>
  <c r="H127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Y127" i="22"/>
  <c r="Z127" i="22"/>
  <c r="A128" i="22"/>
  <c r="B128" i="22"/>
  <c r="C128" i="22"/>
  <c r="D128" i="22"/>
  <c r="E128" i="22"/>
  <c r="F128" i="22"/>
  <c r="G128" i="22"/>
  <c r="H128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Y128" i="22"/>
  <c r="Z128" i="22"/>
  <c r="A129" i="22"/>
  <c r="B129" i="22"/>
  <c r="C129" i="22"/>
  <c r="D129" i="22"/>
  <c r="E129" i="22"/>
  <c r="F129" i="22"/>
  <c r="G129" i="22"/>
  <c r="H129" i="22"/>
  <c r="I129" i="22"/>
  <c r="J129" i="22"/>
  <c r="K129" i="22"/>
  <c r="L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Y129" i="22"/>
  <c r="Z129" i="22"/>
  <c r="A130" i="22"/>
  <c r="B130" i="22"/>
  <c r="C130" i="22"/>
  <c r="D130" i="22"/>
  <c r="E130" i="22"/>
  <c r="F130" i="22"/>
  <c r="G130" i="22"/>
  <c r="H130" i="22"/>
  <c r="I130" i="22"/>
  <c r="J130" i="22"/>
  <c r="K130" i="22"/>
  <c r="L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Y130" i="22"/>
  <c r="Z130" i="22"/>
  <c r="A131" i="22"/>
  <c r="B131" i="22"/>
  <c r="C131" i="22"/>
  <c r="D131" i="22"/>
  <c r="E131" i="22"/>
  <c r="F131" i="22"/>
  <c r="G131" i="22"/>
  <c r="H131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Y131" i="22"/>
  <c r="Z131" i="22"/>
  <c r="A132" i="22"/>
  <c r="B132" i="22"/>
  <c r="C132" i="22"/>
  <c r="D132" i="22"/>
  <c r="E132" i="22"/>
  <c r="F132" i="22"/>
  <c r="G132" i="22"/>
  <c r="H132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Y132" i="22"/>
  <c r="Z132" i="22"/>
  <c r="A133" i="22"/>
  <c r="B133" i="22"/>
  <c r="C133" i="22"/>
  <c r="D133" i="22"/>
  <c r="E133" i="22"/>
  <c r="F133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134" i="22"/>
  <c r="B134" i="22"/>
  <c r="C134" i="22"/>
  <c r="D134" i="22"/>
  <c r="E134" i="22"/>
  <c r="F134" i="22"/>
  <c r="G134" i="22"/>
  <c r="H134" i="22"/>
  <c r="I134" i="22"/>
  <c r="J134" i="22"/>
  <c r="K134" i="22"/>
  <c r="L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Y134" i="22"/>
  <c r="Z134" i="22"/>
  <c r="A135" i="22"/>
  <c r="B135" i="22"/>
  <c r="C135" i="22"/>
  <c r="D135" i="22"/>
  <c r="E135" i="22"/>
  <c r="F135" i="22"/>
  <c r="G135" i="22"/>
  <c r="H135" i="22"/>
  <c r="I135" i="22"/>
  <c r="J135" i="22"/>
  <c r="K135" i="22"/>
  <c r="L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Y135" i="22"/>
  <c r="Z135" i="22"/>
  <c r="A136" i="22"/>
  <c r="B136" i="22"/>
  <c r="C136" i="22"/>
  <c r="D136" i="22"/>
  <c r="E136" i="22"/>
  <c r="F136" i="22"/>
  <c r="G136" i="22"/>
  <c r="H136" i="22"/>
  <c r="I136" i="22"/>
  <c r="J136" i="22"/>
  <c r="K136" i="22"/>
  <c r="L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Y136" i="22"/>
  <c r="Z136" i="22"/>
  <c r="A137" i="22"/>
  <c r="B137" i="22"/>
  <c r="C137" i="22"/>
  <c r="D137" i="22"/>
  <c r="E137" i="22"/>
  <c r="F137" i="22"/>
  <c r="G137" i="22"/>
  <c r="H137" i="22"/>
  <c r="I137" i="22"/>
  <c r="J137" i="22"/>
  <c r="K137" i="22"/>
  <c r="L137" i="22"/>
  <c r="M137" i="22"/>
  <c r="N137" i="22"/>
  <c r="O137" i="22"/>
  <c r="P137" i="22"/>
  <c r="Q137" i="22"/>
  <c r="R137" i="22"/>
  <c r="S137" i="22"/>
  <c r="T137" i="22"/>
  <c r="U137" i="22"/>
  <c r="V137" i="22"/>
  <c r="W137" i="22"/>
  <c r="X137" i="22"/>
  <c r="Y137" i="22"/>
  <c r="Z137" i="22"/>
  <c r="A138" i="22"/>
  <c r="B138" i="22"/>
  <c r="C138" i="22"/>
  <c r="D138" i="22"/>
  <c r="E138" i="22"/>
  <c r="F138" i="22"/>
  <c r="G138" i="22"/>
  <c r="H138" i="22"/>
  <c r="I138" i="22"/>
  <c r="J138" i="22"/>
  <c r="K138" i="22"/>
  <c r="L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Y138" i="22"/>
  <c r="Z138" i="22"/>
  <c r="A139" i="22"/>
  <c r="B139" i="22"/>
  <c r="C139" i="22"/>
  <c r="D139" i="22"/>
  <c r="E139" i="22"/>
  <c r="F139" i="22"/>
  <c r="G139" i="22"/>
  <c r="H139" i="22"/>
  <c r="I139" i="22"/>
  <c r="J139" i="22"/>
  <c r="K139" i="22"/>
  <c r="L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Y139" i="22"/>
  <c r="Z139" i="22"/>
  <c r="A140" i="22"/>
  <c r="B140" i="22"/>
  <c r="C140" i="22"/>
  <c r="D140" i="22"/>
  <c r="E140" i="22"/>
  <c r="F140" i="22"/>
  <c r="G140" i="22"/>
  <c r="H140" i="22"/>
  <c r="I140" i="22"/>
  <c r="J140" i="22"/>
  <c r="K140" i="22"/>
  <c r="L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Y140" i="22"/>
  <c r="Z140" i="22"/>
  <c r="A141" i="22"/>
  <c r="B141" i="22"/>
  <c r="C141" i="22"/>
  <c r="D141" i="22"/>
  <c r="E141" i="22"/>
  <c r="F141" i="22"/>
  <c r="G141" i="22"/>
  <c r="H141" i="22"/>
  <c r="I141" i="22"/>
  <c r="J141" i="22"/>
  <c r="K141" i="22"/>
  <c r="L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Y141" i="22"/>
  <c r="Z141" i="22"/>
  <c r="A142" i="22"/>
  <c r="B142" i="22"/>
  <c r="C142" i="22"/>
  <c r="D142" i="22"/>
  <c r="E142" i="22"/>
  <c r="F142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143" i="22"/>
  <c r="B143" i="22"/>
  <c r="C143" i="22"/>
  <c r="D143" i="22"/>
  <c r="E143" i="22"/>
  <c r="F143" i="22"/>
  <c r="G143" i="22"/>
  <c r="H143" i="22"/>
  <c r="I143" i="22"/>
  <c r="J143" i="22"/>
  <c r="K143" i="22"/>
  <c r="L143" i="22"/>
  <c r="M143" i="22"/>
  <c r="N143" i="22"/>
  <c r="O143" i="22"/>
  <c r="P143" i="22"/>
  <c r="Q143" i="22"/>
  <c r="R143" i="22"/>
  <c r="S143" i="22"/>
  <c r="T143" i="22"/>
  <c r="U143" i="22"/>
  <c r="V143" i="22"/>
  <c r="W143" i="22"/>
  <c r="X143" i="22"/>
  <c r="Y143" i="22"/>
  <c r="Z143" i="22"/>
  <c r="A144" i="22"/>
  <c r="B144" i="22"/>
  <c r="C144" i="22"/>
  <c r="D144" i="22"/>
  <c r="E144" i="22"/>
  <c r="F144" i="22"/>
  <c r="G144" i="22"/>
  <c r="H144" i="22"/>
  <c r="I144" i="22"/>
  <c r="J144" i="22"/>
  <c r="K144" i="22"/>
  <c r="L144" i="22"/>
  <c r="M144" i="22"/>
  <c r="N144" i="22"/>
  <c r="O144" i="22"/>
  <c r="P144" i="22"/>
  <c r="Q144" i="22"/>
  <c r="R144" i="22"/>
  <c r="S144" i="22"/>
  <c r="T144" i="22"/>
  <c r="U144" i="22"/>
  <c r="V144" i="22"/>
  <c r="W144" i="22"/>
  <c r="X144" i="22"/>
  <c r="Y144" i="22"/>
  <c r="Z144" i="22"/>
  <c r="A145" i="22"/>
  <c r="B145" i="22"/>
  <c r="C145" i="22"/>
  <c r="D145" i="22"/>
  <c r="E145" i="22"/>
  <c r="F145" i="22"/>
  <c r="G145" i="22"/>
  <c r="H145" i="22"/>
  <c r="I145" i="22"/>
  <c r="J145" i="22"/>
  <c r="K145" i="22"/>
  <c r="L145" i="22"/>
  <c r="M145" i="22"/>
  <c r="N145" i="22"/>
  <c r="O145" i="22"/>
  <c r="P145" i="22"/>
  <c r="Q145" i="22"/>
  <c r="R145" i="22"/>
  <c r="S145" i="22"/>
  <c r="T145" i="22"/>
  <c r="U145" i="22"/>
  <c r="V145" i="22"/>
  <c r="W145" i="22"/>
  <c r="X145" i="22"/>
  <c r="Y145" i="22"/>
  <c r="Z145" i="22"/>
  <c r="A146" i="22"/>
  <c r="B146" i="22"/>
  <c r="C146" i="22"/>
  <c r="D146" i="22"/>
  <c r="E146" i="22"/>
  <c r="F146" i="22"/>
  <c r="G146" i="22"/>
  <c r="H146" i="22"/>
  <c r="I146" i="22"/>
  <c r="J146" i="22"/>
  <c r="K146" i="22"/>
  <c r="L146" i="22"/>
  <c r="M146" i="22"/>
  <c r="N146" i="22"/>
  <c r="O146" i="22"/>
  <c r="P146" i="22"/>
  <c r="Q146" i="22"/>
  <c r="R146" i="22"/>
  <c r="S146" i="22"/>
  <c r="T146" i="22"/>
  <c r="U146" i="22"/>
  <c r="V146" i="22"/>
  <c r="W146" i="22"/>
  <c r="X146" i="22"/>
  <c r="Y146" i="22"/>
  <c r="Z146" i="22"/>
  <c r="A147" i="22"/>
  <c r="B147" i="22"/>
  <c r="C147" i="22"/>
  <c r="D147" i="22"/>
  <c r="E147" i="22"/>
  <c r="F147" i="22"/>
  <c r="G147" i="22"/>
  <c r="H147" i="22"/>
  <c r="I147" i="22"/>
  <c r="J147" i="22"/>
  <c r="K147" i="22"/>
  <c r="L147" i="22"/>
  <c r="M147" i="22"/>
  <c r="N147" i="22"/>
  <c r="O147" i="22"/>
  <c r="P147" i="22"/>
  <c r="Q147" i="22"/>
  <c r="R147" i="22"/>
  <c r="S147" i="22"/>
  <c r="T147" i="22"/>
  <c r="U147" i="22"/>
  <c r="V147" i="22"/>
  <c r="W147" i="22"/>
  <c r="X147" i="22"/>
  <c r="Y147" i="22"/>
  <c r="Z147" i="22"/>
  <c r="A148" i="22"/>
  <c r="B148" i="22"/>
  <c r="C148" i="22"/>
  <c r="D148" i="22"/>
  <c r="E148" i="22"/>
  <c r="F148" i="22"/>
  <c r="G148" i="22"/>
  <c r="H148" i="22"/>
  <c r="I148" i="22"/>
  <c r="J148" i="22"/>
  <c r="K148" i="22"/>
  <c r="L148" i="22"/>
  <c r="M148" i="22"/>
  <c r="N148" i="22"/>
  <c r="O148" i="22"/>
  <c r="P148" i="22"/>
  <c r="Q148" i="22"/>
  <c r="R148" i="22"/>
  <c r="S148" i="22"/>
  <c r="T148" i="22"/>
  <c r="U148" i="22"/>
  <c r="V148" i="22"/>
  <c r="W148" i="22"/>
  <c r="X148" i="22"/>
  <c r="Y148" i="22"/>
  <c r="Z148" i="22"/>
  <c r="A149" i="22"/>
  <c r="B149" i="22"/>
  <c r="C149" i="22"/>
  <c r="D149" i="22"/>
  <c r="E149" i="22"/>
  <c r="F149" i="22"/>
  <c r="G149" i="22"/>
  <c r="H149" i="22"/>
  <c r="I149" i="22"/>
  <c r="J149" i="22"/>
  <c r="K149" i="22"/>
  <c r="L149" i="22"/>
  <c r="M149" i="22"/>
  <c r="N149" i="22"/>
  <c r="O149" i="22"/>
  <c r="P149" i="22"/>
  <c r="Q149" i="22"/>
  <c r="R149" i="22"/>
  <c r="S149" i="22"/>
  <c r="T149" i="22"/>
  <c r="U149" i="22"/>
  <c r="V149" i="22"/>
  <c r="W149" i="22"/>
  <c r="X149" i="22"/>
  <c r="Y149" i="22"/>
  <c r="Z149" i="22"/>
  <c r="A150" i="22"/>
  <c r="B150" i="22"/>
  <c r="C150" i="22"/>
  <c r="D150" i="22"/>
  <c r="E150" i="22"/>
  <c r="F150" i="22"/>
  <c r="G150" i="22"/>
  <c r="H150" i="22"/>
  <c r="I150" i="22"/>
  <c r="J150" i="22"/>
  <c r="K150" i="22"/>
  <c r="L150" i="22"/>
  <c r="M150" i="22"/>
  <c r="N150" i="22"/>
  <c r="O150" i="22"/>
  <c r="P150" i="22"/>
  <c r="Q150" i="22"/>
  <c r="R150" i="22"/>
  <c r="S150" i="22"/>
  <c r="T150" i="22"/>
  <c r="U150" i="22"/>
  <c r="V150" i="22"/>
  <c r="W150" i="22"/>
  <c r="X150" i="22"/>
  <c r="Y150" i="22"/>
  <c r="Z150" i="22"/>
  <c r="A151" i="22"/>
  <c r="B151" i="22"/>
  <c r="C151" i="22"/>
  <c r="D151" i="22"/>
  <c r="E151" i="22"/>
  <c r="F151" i="22"/>
  <c r="G151" i="22"/>
  <c r="H151" i="22"/>
  <c r="I151" i="22"/>
  <c r="J151" i="22"/>
  <c r="K151" i="22"/>
  <c r="L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Y151" i="22"/>
  <c r="Z151" i="22"/>
  <c r="A152" i="22"/>
  <c r="B152" i="22"/>
  <c r="C152" i="22"/>
  <c r="D152" i="22"/>
  <c r="E152" i="22"/>
  <c r="F152" i="22"/>
  <c r="G152" i="22"/>
  <c r="H152" i="22"/>
  <c r="I152" i="22"/>
  <c r="J152" i="22"/>
  <c r="K152" i="22"/>
  <c r="L152" i="22"/>
  <c r="M152" i="22"/>
  <c r="N152" i="22"/>
  <c r="O152" i="22"/>
  <c r="P152" i="22"/>
  <c r="Q152" i="22"/>
  <c r="R152" i="22"/>
  <c r="S152" i="22"/>
  <c r="T152" i="22"/>
  <c r="U152" i="22"/>
  <c r="V152" i="22"/>
  <c r="W152" i="22"/>
  <c r="X152" i="22"/>
  <c r="Y152" i="22"/>
  <c r="Z152" i="22"/>
  <c r="A153" i="22"/>
  <c r="B153" i="22"/>
  <c r="C153" i="22"/>
  <c r="D153" i="22"/>
  <c r="E153" i="22"/>
  <c r="F153" i="22"/>
  <c r="G153" i="22"/>
  <c r="H153" i="22"/>
  <c r="I153" i="22"/>
  <c r="J153" i="22"/>
  <c r="K153" i="22"/>
  <c r="L153" i="22"/>
  <c r="M153" i="22"/>
  <c r="N153" i="22"/>
  <c r="O153" i="22"/>
  <c r="P153" i="22"/>
  <c r="Q153" i="22"/>
  <c r="R153" i="22"/>
  <c r="S153" i="22"/>
  <c r="T153" i="22"/>
  <c r="U153" i="22"/>
  <c r="V153" i="22"/>
  <c r="W153" i="22"/>
  <c r="X153" i="22"/>
  <c r="Y153" i="22"/>
  <c r="Z153" i="22"/>
  <c r="A154" i="22"/>
  <c r="B154" i="22"/>
  <c r="C154" i="22"/>
  <c r="D154" i="22"/>
  <c r="E154" i="22"/>
  <c r="F154" i="22"/>
  <c r="G154" i="22"/>
  <c r="H154" i="22"/>
  <c r="I154" i="22"/>
  <c r="J154" i="22"/>
  <c r="K154" i="22"/>
  <c r="L154" i="22"/>
  <c r="M154" i="22"/>
  <c r="N154" i="22"/>
  <c r="O154" i="22"/>
  <c r="P154" i="22"/>
  <c r="Q154" i="22"/>
  <c r="R154" i="22"/>
  <c r="S154" i="22"/>
  <c r="T154" i="22"/>
  <c r="U154" i="22"/>
  <c r="V154" i="22"/>
  <c r="W154" i="22"/>
  <c r="X154" i="22"/>
  <c r="Y154" i="22"/>
  <c r="Z154" i="22"/>
  <c r="A155" i="22"/>
  <c r="B155" i="22"/>
  <c r="C155" i="22"/>
  <c r="D155" i="22"/>
  <c r="E155" i="22"/>
  <c r="F155" i="22"/>
  <c r="G155" i="22"/>
  <c r="H155" i="22"/>
  <c r="I155" i="22"/>
  <c r="J155" i="22"/>
  <c r="K155" i="22"/>
  <c r="L155" i="22"/>
  <c r="M155" i="22"/>
  <c r="N155" i="22"/>
  <c r="O155" i="22"/>
  <c r="P155" i="22"/>
  <c r="Q155" i="22"/>
  <c r="R155" i="22"/>
  <c r="S155" i="22"/>
  <c r="T155" i="22"/>
  <c r="U155" i="22"/>
  <c r="V155" i="22"/>
  <c r="W155" i="22"/>
  <c r="X155" i="22"/>
  <c r="Y155" i="22"/>
  <c r="Z155" i="22"/>
  <c r="A156" i="22"/>
  <c r="B156" i="22"/>
  <c r="C156" i="22"/>
  <c r="D156" i="22"/>
  <c r="E156" i="22"/>
  <c r="F156" i="22"/>
  <c r="G156" i="22"/>
  <c r="H156" i="22"/>
  <c r="I156" i="22"/>
  <c r="J156" i="22"/>
  <c r="K156" i="22"/>
  <c r="L156" i="22"/>
  <c r="M156" i="22"/>
  <c r="N156" i="22"/>
  <c r="O156" i="22"/>
  <c r="P156" i="22"/>
  <c r="Q156" i="22"/>
  <c r="R156" i="22"/>
  <c r="S156" i="22"/>
  <c r="T156" i="22"/>
  <c r="U156" i="22"/>
  <c r="V156" i="22"/>
  <c r="W156" i="22"/>
  <c r="X156" i="22"/>
  <c r="Y156" i="22"/>
  <c r="Z156" i="22"/>
  <c r="A157" i="22"/>
  <c r="B157" i="22"/>
  <c r="C157" i="22"/>
  <c r="D157" i="22"/>
  <c r="E157" i="22"/>
  <c r="F157" i="22"/>
  <c r="G157" i="22"/>
  <c r="H157" i="22"/>
  <c r="I157" i="22"/>
  <c r="J157" i="22"/>
  <c r="K157" i="22"/>
  <c r="L157" i="22"/>
  <c r="M157" i="22"/>
  <c r="N157" i="22"/>
  <c r="O157" i="22"/>
  <c r="P157" i="22"/>
  <c r="Q157" i="22"/>
  <c r="R157" i="22"/>
  <c r="S157" i="22"/>
  <c r="T157" i="22"/>
  <c r="U157" i="22"/>
  <c r="V157" i="22"/>
  <c r="W157" i="22"/>
  <c r="X157" i="22"/>
  <c r="Y157" i="22"/>
  <c r="Z157" i="22"/>
  <c r="A158" i="22"/>
  <c r="B158" i="22"/>
  <c r="C158" i="22"/>
  <c r="D158" i="22"/>
  <c r="E158" i="22"/>
  <c r="F158" i="22"/>
  <c r="G158" i="22"/>
  <c r="H158" i="22"/>
  <c r="I158" i="22"/>
  <c r="J158" i="22"/>
  <c r="K158" i="22"/>
  <c r="L158" i="22"/>
  <c r="M158" i="22"/>
  <c r="N158" i="22"/>
  <c r="O158" i="22"/>
  <c r="P158" i="22"/>
  <c r="Q158" i="22"/>
  <c r="R158" i="22"/>
  <c r="S158" i="22"/>
  <c r="T158" i="22"/>
  <c r="U158" i="22"/>
  <c r="V158" i="22"/>
  <c r="W158" i="22"/>
  <c r="X158" i="22"/>
  <c r="Y158" i="22"/>
  <c r="Z158" i="22"/>
  <c r="A159" i="22"/>
  <c r="B159" i="22"/>
  <c r="C159" i="22"/>
  <c r="D159" i="22"/>
  <c r="E159" i="22"/>
  <c r="F159" i="22"/>
  <c r="G159" i="22"/>
  <c r="H159" i="22"/>
  <c r="I159" i="22"/>
  <c r="J159" i="22"/>
  <c r="K159" i="22"/>
  <c r="L159" i="22"/>
  <c r="M159" i="22"/>
  <c r="N159" i="22"/>
  <c r="O159" i="22"/>
  <c r="P159" i="22"/>
  <c r="Q159" i="22"/>
  <c r="R159" i="22"/>
  <c r="S159" i="22"/>
  <c r="T159" i="22"/>
  <c r="U159" i="22"/>
  <c r="V159" i="22"/>
  <c r="W159" i="22"/>
  <c r="X159" i="22"/>
  <c r="Y159" i="22"/>
  <c r="Z159" i="22"/>
  <c r="A160" i="22"/>
  <c r="B160" i="22"/>
  <c r="C160" i="22"/>
  <c r="D160" i="22"/>
  <c r="E160" i="22"/>
  <c r="F160" i="22"/>
  <c r="G160" i="22"/>
  <c r="H160" i="22"/>
  <c r="I160" i="22"/>
  <c r="J160" i="22"/>
  <c r="K160" i="22"/>
  <c r="L160" i="22"/>
  <c r="M160" i="22"/>
  <c r="N160" i="22"/>
  <c r="O160" i="22"/>
  <c r="P160" i="22"/>
  <c r="Q160" i="22"/>
  <c r="R160" i="22"/>
  <c r="S160" i="22"/>
  <c r="T160" i="22"/>
  <c r="U160" i="22"/>
  <c r="V160" i="22"/>
  <c r="W160" i="22"/>
  <c r="X160" i="22"/>
  <c r="Y160" i="22"/>
  <c r="Z160" i="22"/>
  <c r="A161" i="22"/>
  <c r="B161" i="22"/>
  <c r="C161" i="22"/>
  <c r="D161" i="22"/>
  <c r="E161" i="22"/>
  <c r="F161" i="22"/>
  <c r="G161" i="22"/>
  <c r="H161" i="22"/>
  <c r="I161" i="22"/>
  <c r="J161" i="22"/>
  <c r="K161" i="22"/>
  <c r="L161" i="22"/>
  <c r="M161" i="22"/>
  <c r="N161" i="22"/>
  <c r="O161" i="22"/>
  <c r="P161" i="22"/>
  <c r="Q161" i="22"/>
  <c r="R161" i="22"/>
  <c r="S161" i="22"/>
  <c r="T161" i="22"/>
  <c r="U161" i="22"/>
  <c r="V161" i="22"/>
  <c r="W161" i="22"/>
  <c r="X161" i="22"/>
  <c r="Y161" i="22"/>
  <c r="Z161" i="22"/>
  <c r="A162" i="22"/>
  <c r="B162" i="22"/>
  <c r="C162" i="22"/>
  <c r="D162" i="22"/>
  <c r="E162" i="22"/>
  <c r="F162" i="22"/>
  <c r="G162" i="22"/>
  <c r="H162" i="22"/>
  <c r="I162" i="22"/>
  <c r="J162" i="22"/>
  <c r="K162" i="22"/>
  <c r="L162" i="22"/>
  <c r="M162" i="22"/>
  <c r="N162" i="22"/>
  <c r="O162" i="22"/>
  <c r="P162" i="22"/>
  <c r="Q162" i="22"/>
  <c r="R162" i="22"/>
  <c r="S162" i="22"/>
  <c r="T162" i="22"/>
  <c r="U162" i="22"/>
  <c r="V162" i="22"/>
  <c r="W162" i="22"/>
  <c r="X162" i="22"/>
  <c r="Y162" i="22"/>
  <c r="Z162" i="22"/>
  <c r="A163" i="22"/>
  <c r="B163" i="22"/>
  <c r="C163" i="22"/>
  <c r="D163" i="22"/>
  <c r="E163" i="22"/>
  <c r="F163" i="22"/>
  <c r="G163" i="22"/>
  <c r="H163" i="22"/>
  <c r="I163" i="22"/>
  <c r="J163" i="22"/>
  <c r="K163" i="22"/>
  <c r="L163" i="22"/>
  <c r="M163" i="22"/>
  <c r="N163" i="22"/>
  <c r="O163" i="22"/>
  <c r="P163" i="22"/>
  <c r="Q163" i="22"/>
  <c r="R163" i="22"/>
  <c r="S163" i="22"/>
  <c r="T163" i="22"/>
  <c r="U163" i="22"/>
  <c r="V163" i="22"/>
  <c r="W163" i="22"/>
  <c r="X163" i="22"/>
  <c r="Y163" i="22"/>
  <c r="Z163" i="22"/>
  <c r="A164" i="22"/>
  <c r="B164" i="22"/>
  <c r="C164" i="22"/>
  <c r="D164" i="22"/>
  <c r="E164" i="22"/>
  <c r="F164" i="22"/>
  <c r="G164" i="22"/>
  <c r="H164" i="22"/>
  <c r="I164" i="22"/>
  <c r="J164" i="22"/>
  <c r="K164" i="22"/>
  <c r="L164" i="22"/>
  <c r="M164" i="22"/>
  <c r="N164" i="22"/>
  <c r="O164" i="22"/>
  <c r="P164" i="22"/>
  <c r="Q164" i="22"/>
  <c r="R164" i="22"/>
  <c r="S164" i="22"/>
  <c r="T164" i="22"/>
  <c r="U164" i="22"/>
  <c r="V164" i="22"/>
  <c r="W164" i="22"/>
  <c r="X164" i="22"/>
  <c r="Y164" i="22"/>
  <c r="Z164" i="22"/>
  <c r="A165" i="22"/>
  <c r="B165" i="22"/>
  <c r="C165" i="22"/>
  <c r="D165" i="22"/>
  <c r="E165" i="22"/>
  <c r="F165" i="22"/>
  <c r="G165" i="22"/>
  <c r="H165" i="22"/>
  <c r="I165" i="22"/>
  <c r="J165" i="22"/>
  <c r="K165" i="22"/>
  <c r="L165" i="22"/>
  <c r="M165" i="22"/>
  <c r="N165" i="22"/>
  <c r="O165" i="22"/>
  <c r="P165" i="22"/>
  <c r="Q165" i="22"/>
  <c r="R165" i="22"/>
  <c r="S165" i="22"/>
  <c r="T165" i="22"/>
  <c r="U165" i="22"/>
  <c r="V165" i="22"/>
  <c r="W165" i="22"/>
  <c r="X165" i="22"/>
  <c r="Y165" i="22"/>
  <c r="Z165" i="22"/>
  <c r="A166" i="22"/>
  <c r="B166" i="22"/>
  <c r="C166" i="22"/>
  <c r="D166" i="22"/>
  <c r="E166" i="22"/>
  <c r="F166" i="22"/>
  <c r="G166" i="22"/>
  <c r="H166" i="22"/>
  <c r="I166" i="22"/>
  <c r="J166" i="22"/>
  <c r="K166" i="22"/>
  <c r="L166" i="22"/>
  <c r="M166" i="22"/>
  <c r="N166" i="22"/>
  <c r="O166" i="22"/>
  <c r="P166" i="22"/>
  <c r="Q166" i="22"/>
  <c r="R166" i="22"/>
  <c r="S166" i="22"/>
  <c r="T166" i="22"/>
  <c r="U166" i="22"/>
  <c r="V166" i="22"/>
  <c r="W166" i="22"/>
  <c r="X166" i="22"/>
  <c r="Y166" i="22"/>
  <c r="Z166" i="22"/>
  <c r="A167" i="22"/>
  <c r="B167" i="22"/>
  <c r="C167" i="22"/>
  <c r="D167" i="22"/>
  <c r="E167" i="22"/>
  <c r="F167" i="22"/>
  <c r="G167" i="22"/>
  <c r="H167" i="22"/>
  <c r="I167" i="22"/>
  <c r="J167" i="22"/>
  <c r="K167" i="22"/>
  <c r="L167" i="22"/>
  <c r="M167" i="22"/>
  <c r="N167" i="22"/>
  <c r="O167" i="22"/>
  <c r="P167" i="22"/>
  <c r="Q167" i="22"/>
  <c r="R167" i="22"/>
  <c r="S167" i="22"/>
  <c r="T167" i="22"/>
  <c r="U167" i="22"/>
  <c r="V167" i="22"/>
  <c r="W167" i="22"/>
  <c r="X167" i="22"/>
  <c r="Y167" i="22"/>
  <c r="Z167" i="22"/>
  <c r="A168" i="22"/>
  <c r="B168" i="22"/>
  <c r="C168" i="22"/>
  <c r="D168" i="22"/>
  <c r="E168" i="22"/>
  <c r="F168" i="22"/>
  <c r="G168" i="22"/>
  <c r="H168" i="22"/>
  <c r="I168" i="22"/>
  <c r="J168" i="22"/>
  <c r="K168" i="22"/>
  <c r="L168" i="22"/>
  <c r="M168" i="22"/>
  <c r="N168" i="22"/>
  <c r="O168" i="22"/>
  <c r="P168" i="22"/>
  <c r="Q168" i="22"/>
  <c r="R168" i="22"/>
  <c r="S168" i="22"/>
  <c r="T168" i="22"/>
  <c r="U168" i="22"/>
  <c r="V168" i="22"/>
  <c r="W168" i="22"/>
  <c r="X168" i="22"/>
  <c r="Y168" i="22"/>
  <c r="Z168" i="22"/>
  <c r="A169" i="22"/>
  <c r="B169" i="22"/>
  <c r="C169" i="22"/>
  <c r="D169" i="22"/>
  <c r="E169" i="22"/>
  <c r="F169" i="22"/>
  <c r="G169" i="22"/>
  <c r="H169" i="22"/>
  <c r="I169" i="22"/>
  <c r="J169" i="22"/>
  <c r="K169" i="22"/>
  <c r="L169" i="22"/>
  <c r="M169" i="22"/>
  <c r="N169" i="22"/>
  <c r="O169" i="22"/>
  <c r="P169" i="22"/>
  <c r="Q169" i="22"/>
  <c r="R169" i="22"/>
  <c r="S169" i="22"/>
  <c r="T169" i="22"/>
  <c r="U169" i="22"/>
  <c r="V169" i="22"/>
  <c r="W169" i="22"/>
  <c r="X169" i="22"/>
  <c r="Y169" i="22"/>
  <c r="Z169" i="22"/>
  <c r="A170" i="22"/>
  <c r="B170" i="22"/>
  <c r="C170" i="22"/>
  <c r="D170" i="22"/>
  <c r="E170" i="22"/>
  <c r="F170" i="22"/>
  <c r="G170" i="22"/>
  <c r="H170" i="22"/>
  <c r="I170" i="22"/>
  <c r="J170" i="22"/>
  <c r="K170" i="22"/>
  <c r="L170" i="22"/>
  <c r="M170" i="22"/>
  <c r="N170" i="22"/>
  <c r="O170" i="22"/>
  <c r="P170" i="22"/>
  <c r="Q170" i="22"/>
  <c r="R170" i="22"/>
  <c r="S170" i="22"/>
  <c r="T170" i="22"/>
  <c r="U170" i="22"/>
  <c r="V170" i="22"/>
  <c r="W170" i="22"/>
  <c r="X170" i="22"/>
  <c r="Y170" i="22"/>
  <c r="Z170" i="22"/>
  <c r="A171" i="22"/>
  <c r="B171" i="22"/>
  <c r="C171" i="22"/>
  <c r="D171" i="22"/>
  <c r="E171" i="22"/>
  <c r="F171" i="22"/>
  <c r="G171" i="22"/>
  <c r="H171" i="22"/>
  <c r="I171" i="22"/>
  <c r="J171" i="22"/>
  <c r="K171" i="22"/>
  <c r="L171" i="22"/>
  <c r="M171" i="22"/>
  <c r="N171" i="22"/>
  <c r="O171" i="22"/>
  <c r="P171" i="22"/>
  <c r="Q171" i="22"/>
  <c r="R171" i="22"/>
  <c r="S171" i="22"/>
  <c r="T171" i="22"/>
  <c r="U171" i="22"/>
  <c r="V171" i="22"/>
  <c r="W171" i="22"/>
  <c r="X171" i="22"/>
  <c r="Y171" i="22"/>
  <c r="Z171" i="22"/>
  <c r="A172" i="22"/>
  <c r="B172" i="22"/>
  <c r="C172" i="22"/>
  <c r="D172" i="22"/>
  <c r="E172" i="22"/>
  <c r="F172" i="22"/>
  <c r="G172" i="22"/>
  <c r="H172" i="22"/>
  <c r="I172" i="22"/>
  <c r="J172" i="22"/>
  <c r="K172" i="22"/>
  <c r="L172" i="22"/>
  <c r="M172" i="22"/>
  <c r="N172" i="22"/>
  <c r="O172" i="22"/>
  <c r="P172" i="22"/>
  <c r="Q172" i="22"/>
  <c r="R172" i="22"/>
  <c r="S172" i="22"/>
  <c r="T172" i="22"/>
  <c r="U172" i="22"/>
  <c r="V172" i="22"/>
  <c r="W172" i="22"/>
  <c r="X172" i="22"/>
  <c r="Y172" i="22"/>
  <c r="Z172" i="22"/>
  <c r="A173" i="22"/>
  <c r="B173" i="22"/>
  <c r="C173" i="22"/>
  <c r="D173" i="22"/>
  <c r="E173" i="22"/>
  <c r="F173" i="22"/>
  <c r="G173" i="22"/>
  <c r="H173" i="22"/>
  <c r="I173" i="22"/>
  <c r="J173" i="22"/>
  <c r="K173" i="22"/>
  <c r="L173" i="22"/>
  <c r="M173" i="22"/>
  <c r="N173" i="22"/>
  <c r="O173" i="22"/>
  <c r="P173" i="22"/>
  <c r="Q173" i="22"/>
  <c r="R173" i="22"/>
  <c r="S173" i="22"/>
  <c r="T173" i="22"/>
  <c r="U173" i="22"/>
  <c r="V173" i="22"/>
  <c r="W173" i="22"/>
  <c r="X173" i="22"/>
  <c r="Y173" i="22"/>
  <c r="Z173" i="22"/>
  <c r="A174" i="22"/>
  <c r="B174" i="22"/>
  <c r="C174" i="22"/>
  <c r="D174" i="22"/>
  <c r="E174" i="22"/>
  <c r="F174" i="22"/>
  <c r="G174" i="22"/>
  <c r="H174" i="22"/>
  <c r="I174" i="22"/>
  <c r="J174" i="22"/>
  <c r="K174" i="22"/>
  <c r="L174" i="22"/>
  <c r="M174" i="22"/>
  <c r="N174" i="22"/>
  <c r="O174" i="22"/>
  <c r="P174" i="22"/>
  <c r="Q174" i="22"/>
  <c r="R174" i="22"/>
  <c r="S174" i="22"/>
  <c r="T174" i="22"/>
  <c r="U174" i="22"/>
  <c r="V174" i="22"/>
  <c r="W174" i="22"/>
  <c r="X174" i="22"/>
  <c r="Y174" i="22"/>
  <c r="Z174" i="22"/>
  <c r="A175" i="22"/>
  <c r="B175" i="22"/>
  <c r="C175" i="22"/>
  <c r="D175" i="22"/>
  <c r="E175" i="22"/>
  <c r="F175" i="22"/>
  <c r="G175" i="22"/>
  <c r="H175" i="22"/>
  <c r="I175" i="22"/>
  <c r="J175" i="22"/>
  <c r="K175" i="22"/>
  <c r="L175" i="22"/>
  <c r="M175" i="22"/>
  <c r="N175" i="22"/>
  <c r="O175" i="22"/>
  <c r="P175" i="22"/>
  <c r="Q175" i="22"/>
  <c r="R175" i="22"/>
  <c r="S175" i="22"/>
  <c r="T175" i="22"/>
  <c r="U175" i="22"/>
  <c r="V175" i="22"/>
  <c r="W175" i="22"/>
  <c r="X175" i="22"/>
  <c r="Y175" i="22"/>
  <c r="Z175" i="22"/>
  <c r="A176" i="22"/>
  <c r="B176" i="22"/>
  <c r="C176" i="22"/>
  <c r="D176" i="22"/>
  <c r="E176" i="22"/>
  <c r="F176" i="22"/>
  <c r="G176" i="22"/>
  <c r="H176" i="22"/>
  <c r="I176" i="22"/>
  <c r="J176" i="22"/>
  <c r="K176" i="22"/>
  <c r="L176" i="22"/>
  <c r="M176" i="22"/>
  <c r="N176" i="22"/>
  <c r="O176" i="22"/>
  <c r="P176" i="22"/>
  <c r="Q176" i="22"/>
  <c r="R176" i="22"/>
  <c r="S176" i="22"/>
  <c r="T176" i="22"/>
  <c r="U176" i="22"/>
  <c r="V176" i="22"/>
  <c r="W176" i="22"/>
  <c r="X176" i="22"/>
  <c r="Y176" i="22"/>
  <c r="Z176" i="22"/>
  <c r="A177" i="22"/>
  <c r="B177" i="22"/>
  <c r="C177" i="22"/>
  <c r="D177" i="22"/>
  <c r="E177" i="22"/>
  <c r="F177" i="22"/>
  <c r="G177" i="22"/>
  <c r="H177" i="22"/>
  <c r="I177" i="22"/>
  <c r="J177" i="22"/>
  <c r="K177" i="22"/>
  <c r="L177" i="22"/>
  <c r="M177" i="22"/>
  <c r="N177" i="22"/>
  <c r="O177" i="22"/>
  <c r="P177" i="22"/>
  <c r="Q177" i="22"/>
  <c r="R177" i="22"/>
  <c r="S177" i="22"/>
  <c r="T177" i="22"/>
  <c r="U177" i="22"/>
  <c r="V177" i="22"/>
  <c r="W177" i="22"/>
  <c r="X177" i="22"/>
  <c r="Y177" i="22"/>
  <c r="Z177" i="22"/>
  <c r="A178" i="22"/>
  <c r="B178" i="22"/>
  <c r="C178" i="22"/>
  <c r="D178" i="22"/>
  <c r="E178" i="22"/>
  <c r="F178" i="22"/>
  <c r="G178" i="22"/>
  <c r="H178" i="22"/>
  <c r="I178" i="22"/>
  <c r="J178" i="22"/>
  <c r="K178" i="22"/>
  <c r="L178" i="22"/>
  <c r="M178" i="22"/>
  <c r="N178" i="22"/>
  <c r="O178" i="22"/>
  <c r="P178" i="22"/>
  <c r="Q178" i="22"/>
  <c r="R178" i="22"/>
  <c r="S178" i="22"/>
  <c r="T178" i="22"/>
  <c r="U178" i="22"/>
  <c r="V178" i="22"/>
  <c r="W178" i="22"/>
  <c r="X178" i="22"/>
  <c r="Y178" i="22"/>
  <c r="Z178" i="22"/>
  <c r="A179" i="22"/>
  <c r="B179" i="22"/>
  <c r="C179" i="22"/>
  <c r="D179" i="22"/>
  <c r="E179" i="22"/>
  <c r="F179" i="22"/>
  <c r="G179" i="22"/>
  <c r="H179" i="22"/>
  <c r="I179" i="22"/>
  <c r="J179" i="22"/>
  <c r="K179" i="22"/>
  <c r="L179" i="22"/>
  <c r="M179" i="22"/>
  <c r="N179" i="22"/>
  <c r="O179" i="22"/>
  <c r="P179" i="22"/>
  <c r="Q179" i="22"/>
  <c r="R179" i="22"/>
  <c r="S179" i="22"/>
  <c r="T179" i="22"/>
  <c r="U179" i="22"/>
  <c r="V179" i="22"/>
  <c r="W179" i="22"/>
  <c r="X179" i="22"/>
  <c r="Y179" i="22"/>
  <c r="Z179" i="22"/>
  <c r="A180" i="22"/>
  <c r="B180" i="22"/>
  <c r="C180" i="22"/>
  <c r="D180" i="22"/>
  <c r="E180" i="22"/>
  <c r="F180" i="22"/>
  <c r="G180" i="22"/>
  <c r="H180" i="22"/>
  <c r="I180" i="22"/>
  <c r="J180" i="22"/>
  <c r="K180" i="22"/>
  <c r="L180" i="22"/>
  <c r="M180" i="22"/>
  <c r="N180" i="22"/>
  <c r="O180" i="22"/>
  <c r="P180" i="22"/>
  <c r="Q180" i="22"/>
  <c r="R180" i="22"/>
  <c r="S180" i="22"/>
  <c r="T180" i="22"/>
  <c r="U180" i="22"/>
  <c r="V180" i="22"/>
  <c r="W180" i="22"/>
  <c r="X180" i="22"/>
  <c r="Y180" i="22"/>
  <c r="Z180" i="22"/>
  <c r="A181" i="22"/>
  <c r="B181" i="22"/>
  <c r="C181" i="22"/>
  <c r="D181" i="22"/>
  <c r="E181" i="22"/>
  <c r="F181" i="22"/>
  <c r="G181" i="22"/>
  <c r="H181" i="22"/>
  <c r="I181" i="22"/>
  <c r="J181" i="22"/>
  <c r="K181" i="22"/>
  <c r="L181" i="22"/>
  <c r="M181" i="22"/>
  <c r="N181" i="22"/>
  <c r="O181" i="22"/>
  <c r="P181" i="22"/>
  <c r="Q181" i="22"/>
  <c r="R181" i="22"/>
  <c r="S181" i="22"/>
  <c r="T181" i="22"/>
  <c r="U181" i="22"/>
  <c r="V181" i="22"/>
  <c r="W181" i="22"/>
  <c r="X181" i="22"/>
  <c r="Y181" i="22"/>
  <c r="Z181" i="22"/>
  <c r="A182" i="22"/>
  <c r="B182" i="22"/>
  <c r="C182" i="22"/>
  <c r="D182" i="22"/>
  <c r="E182" i="22"/>
  <c r="F182" i="22"/>
  <c r="G182" i="22"/>
  <c r="H182" i="22"/>
  <c r="I182" i="22"/>
  <c r="J182" i="22"/>
  <c r="K182" i="22"/>
  <c r="L182" i="22"/>
  <c r="M182" i="22"/>
  <c r="N182" i="22"/>
  <c r="O182" i="22"/>
  <c r="P182" i="22"/>
  <c r="Q182" i="22"/>
  <c r="R182" i="22"/>
  <c r="S182" i="22"/>
  <c r="T182" i="22"/>
  <c r="U182" i="22"/>
  <c r="V182" i="22"/>
  <c r="W182" i="22"/>
  <c r="X182" i="22"/>
  <c r="Y182" i="22"/>
  <c r="Z182" i="22"/>
  <c r="A183" i="22"/>
  <c r="B183" i="22"/>
  <c r="C183" i="22"/>
  <c r="D183" i="22"/>
  <c r="E183" i="22"/>
  <c r="F183" i="22"/>
  <c r="G183" i="22"/>
  <c r="H183" i="22"/>
  <c r="I183" i="22"/>
  <c r="J183" i="22"/>
  <c r="K183" i="22"/>
  <c r="L183" i="22"/>
  <c r="M183" i="22"/>
  <c r="N183" i="22"/>
  <c r="O183" i="22"/>
  <c r="P183" i="22"/>
  <c r="Q183" i="22"/>
  <c r="R183" i="22"/>
  <c r="S183" i="22"/>
  <c r="T183" i="22"/>
  <c r="U183" i="22"/>
  <c r="V183" i="22"/>
  <c r="W183" i="22"/>
  <c r="X183" i="22"/>
  <c r="Y183" i="22"/>
  <c r="Z183" i="22"/>
  <c r="A184" i="22"/>
  <c r="B184" i="22"/>
  <c r="C184" i="22"/>
  <c r="D184" i="22"/>
  <c r="E184" i="22"/>
  <c r="F184" i="22"/>
  <c r="G184" i="22"/>
  <c r="H184" i="22"/>
  <c r="I184" i="22"/>
  <c r="J184" i="22"/>
  <c r="K184" i="22"/>
  <c r="L184" i="22"/>
  <c r="M184" i="22"/>
  <c r="N184" i="22"/>
  <c r="O184" i="22"/>
  <c r="P184" i="22"/>
  <c r="Q184" i="22"/>
  <c r="R184" i="22"/>
  <c r="S184" i="22"/>
  <c r="T184" i="22"/>
  <c r="U184" i="22"/>
  <c r="V184" i="22"/>
  <c r="W184" i="22"/>
  <c r="X184" i="22"/>
  <c r="Y184" i="22"/>
  <c r="Z184" i="22"/>
  <c r="A185" i="22"/>
  <c r="B185" i="22"/>
  <c r="C185" i="22"/>
  <c r="D185" i="22"/>
  <c r="E185" i="22"/>
  <c r="F185" i="22"/>
  <c r="G185" i="22"/>
  <c r="H185" i="22"/>
  <c r="I185" i="22"/>
  <c r="J185" i="22"/>
  <c r="K185" i="22"/>
  <c r="L185" i="22"/>
  <c r="M185" i="22"/>
  <c r="N185" i="22"/>
  <c r="O185" i="22"/>
  <c r="P185" i="22"/>
  <c r="Q185" i="22"/>
  <c r="R185" i="22"/>
  <c r="S185" i="22"/>
  <c r="T185" i="22"/>
  <c r="U185" i="22"/>
  <c r="V185" i="22"/>
  <c r="W185" i="22"/>
  <c r="X185" i="22"/>
  <c r="Y185" i="22"/>
  <c r="Z185" i="22"/>
  <c r="A186" i="22"/>
  <c r="B186" i="22"/>
  <c r="C186" i="22"/>
  <c r="D186" i="22"/>
  <c r="E186" i="22"/>
  <c r="F186" i="22"/>
  <c r="G186" i="22"/>
  <c r="H186" i="22"/>
  <c r="I186" i="22"/>
  <c r="J186" i="22"/>
  <c r="K186" i="22"/>
  <c r="L186" i="22"/>
  <c r="M186" i="22"/>
  <c r="N186" i="22"/>
  <c r="O186" i="22"/>
  <c r="P186" i="22"/>
  <c r="Q186" i="22"/>
  <c r="R186" i="22"/>
  <c r="S186" i="22"/>
  <c r="T186" i="22"/>
  <c r="U186" i="22"/>
  <c r="V186" i="22"/>
  <c r="W186" i="22"/>
  <c r="X186" i="22"/>
  <c r="Y186" i="22"/>
  <c r="Z186" i="22"/>
  <c r="A187" i="22"/>
  <c r="B187" i="22"/>
  <c r="C187" i="22"/>
  <c r="D187" i="22"/>
  <c r="E187" i="22"/>
  <c r="F187" i="22"/>
  <c r="G187" i="22"/>
  <c r="H187" i="22"/>
  <c r="I187" i="22"/>
  <c r="J187" i="22"/>
  <c r="K187" i="22"/>
  <c r="L187" i="22"/>
  <c r="M187" i="22"/>
  <c r="N187" i="22"/>
  <c r="O187" i="22"/>
  <c r="P187" i="22"/>
  <c r="Q187" i="22"/>
  <c r="R187" i="22"/>
  <c r="S187" i="22"/>
  <c r="T187" i="22"/>
  <c r="U187" i="22"/>
  <c r="V187" i="22"/>
  <c r="W187" i="22"/>
  <c r="X187" i="22"/>
  <c r="Y187" i="22"/>
  <c r="Z187" i="22"/>
  <c r="A188" i="22"/>
  <c r="B188" i="22"/>
  <c r="C188" i="22"/>
  <c r="D188" i="22"/>
  <c r="E188" i="22"/>
  <c r="F188" i="22"/>
  <c r="G188" i="22"/>
  <c r="H188" i="22"/>
  <c r="I188" i="22"/>
  <c r="J188" i="22"/>
  <c r="K188" i="22"/>
  <c r="L188" i="22"/>
  <c r="M188" i="22"/>
  <c r="N188" i="22"/>
  <c r="O188" i="22"/>
  <c r="P188" i="22"/>
  <c r="Q188" i="22"/>
  <c r="R188" i="22"/>
  <c r="S188" i="22"/>
  <c r="T188" i="22"/>
  <c r="U188" i="22"/>
  <c r="V188" i="22"/>
  <c r="W188" i="22"/>
  <c r="X188" i="22"/>
  <c r="Y188" i="22"/>
  <c r="Z188" i="22"/>
  <c r="A189" i="22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Q189" i="22"/>
  <c r="R189" i="22"/>
  <c r="S189" i="22"/>
  <c r="T189" i="22"/>
  <c r="U189" i="22"/>
  <c r="V189" i="22"/>
  <c r="W189" i="22"/>
  <c r="X189" i="22"/>
  <c r="Y189" i="22"/>
  <c r="Z189" i="22"/>
  <c r="A190" i="22"/>
  <c r="B190" i="22"/>
  <c r="C190" i="22"/>
  <c r="D190" i="22"/>
  <c r="E190" i="22"/>
  <c r="F190" i="22"/>
  <c r="G190" i="22"/>
  <c r="H190" i="22"/>
  <c r="I190" i="22"/>
  <c r="J190" i="22"/>
  <c r="K190" i="22"/>
  <c r="L190" i="22"/>
  <c r="M190" i="22"/>
  <c r="N190" i="22"/>
  <c r="O190" i="22"/>
  <c r="P190" i="22"/>
  <c r="Q190" i="22"/>
  <c r="R190" i="22"/>
  <c r="S190" i="22"/>
  <c r="T190" i="22"/>
  <c r="U190" i="22"/>
  <c r="V190" i="22"/>
  <c r="W190" i="22"/>
  <c r="X190" i="22"/>
  <c r="Y190" i="22"/>
  <c r="Z190" i="22"/>
  <c r="A191" i="22"/>
  <c r="B191" i="22"/>
  <c r="C191" i="22"/>
  <c r="D191" i="22"/>
  <c r="E191" i="22"/>
  <c r="F191" i="22"/>
  <c r="G191" i="22"/>
  <c r="H191" i="22"/>
  <c r="I191" i="22"/>
  <c r="J191" i="22"/>
  <c r="K191" i="22"/>
  <c r="L191" i="22"/>
  <c r="M191" i="22"/>
  <c r="N191" i="22"/>
  <c r="O191" i="22"/>
  <c r="P191" i="22"/>
  <c r="Q191" i="22"/>
  <c r="R191" i="22"/>
  <c r="S191" i="22"/>
  <c r="T191" i="22"/>
  <c r="U191" i="22"/>
  <c r="V191" i="22"/>
  <c r="W191" i="22"/>
  <c r="X191" i="22"/>
  <c r="Y191" i="22"/>
  <c r="Z191" i="22"/>
  <c r="A192" i="22"/>
  <c r="B192" i="22"/>
  <c r="C192" i="22"/>
  <c r="D192" i="22"/>
  <c r="E192" i="22"/>
  <c r="F192" i="22"/>
  <c r="G192" i="22"/>
  <c r="H192" i="22"/>
  <c r="I192" i="22"/>
  <c r="J192" i="22"/>
  <c r="K192" i="22"/>
  <c r="L192" i="22"/>
  <c r="M192" i="22"/>
  <c r="N192" i="22"/>
  <c r="O192" i="22"/>
  <c r="P192" i="22"/>
  <c r="Q192" i="22"/>
  <c r="R192" i="22"/>
  <c r="S192" i="22"/>
  <c r="T192" i="22"/>
  <c r="U192" i="22"/>
  <c r="V192" i="22"/>
  <c r="W192" i="22"/>
  <c r="X192" i="22"/>
  <c r="Y192" i="22"/>
  <c r="Z192" i="22"/>
  <c r="A193" i="22"/>
  <c r="B193" i="22"/>
  <c r="C193" i="22"/>
  <c r="D193" i="22"/>
  <c r="E193" i="22"/>
  <c r="F193" i="22"/>
  <c r="G193" i="22"/>
  <c r="H193" i="22"/>
  <c r="I193" i="22"/>
  <c r="J193" i="22"/>
  <c r="K193" i="22"/>
  <c r="L193" i="22"/>
  <c r="M193" i="22"/>
  <c r="N193" i="22"/>
  <c r="O193" i="22"/>
  <c r="P193" i="22"/>
  <c r="Q193" i="22"/>
  <c r="R193" i="22"/>
  <c r="S193" i="22"/>
  <c r="T193" i="22"/>
  <c r="U193" i="22"/>
  <c r="V193" i="22"/>
  <c r="W193" i="22"/>
  <c r="X193" i="22"/>
  <c r="Y193" i="22"/>
  <c r="Z193" i="22"/>
  <c r="A194" i="22"/>
  <c r="B194" i="22"/>
  <c r="C194" i="22"/>
  <c r="D194" i="22"/>
  <c r="E194" i="22"/>
  <c r="F194" i="22"/>
  <c r="G194" i="22"/>
  <c r="H194" i="22"/>
  <c r="I194" i="22"/>
  <c r="J194" i="22"/>
  <c r="K194" i="22"/>
  <c r="L194" i="22"/>
  <c r="M194" i="22"/>
  <c r="N194" i="22"/>
  <c r="O194" i="22"/>
  <c r="P194" i="22"/>
  <c r="Q194" i="22"/>
  <c r="R194" i="22"/>
  <c r="S194" i="22"/>
  <c r="T194" i="22"/>
  <c r="U194" i="22"/>
  <c r="V194" i="22"/>
  <c r="W194" i="22"/>
  <c r="X194" i="22"/>
  <c r="Y194" i="22"/>
  <c r="Z194" i="22"/>
  <c r="A195" i="22"/>
  <c r="B195" i="22"/>
  <c r="C195" i="22"/>
  <c r="D195" i="22"/>
  <c r="E195" i="22"/>
  <c r="F195" i="22"/>
  <c r="G195" i="22"/>
  <c r="H195" i="22"/>
  <c r="I195" i="22"/>
  <c r="J195" i="22"/>
  <c r="K195" i="22"/>
  <c r="L195" i="22"/>
  <c r="M195" i="22"/>
  <c r="N195" i="22"/>
  <c r="O195" i="22"/>
  <c r="P195" i="22"/>
  <c r="Q195" i="22"/>
  <c r="R195" i="22"/>
  <c r="S195" i="22"/>
  <c r="T195" i="22"/>
  <c r="U195" i="22"/>
  <c r="V195" i="22"/>
  <c r="W195" i="22"/>
  <c r="X195" i="22"/>
  <c r="Y195" i="22"/>
  <c r="Z195" i="22"/>
  <c r="A196" i="22"/>
  <c r="B196" i="22"/>
  <c r="C196" i="22"/>
  <c r="D196" i="22"/>
  <c r="E196" i="22"/>
  <c r="F196" i="22"/>
  <c r="G196" i="22"/>
  <c r="H196" i="22"/>
  <c r="I196" i="22"/>
  <c r="J196" i="22"/>
  <c r="K196" i="22"/>
  <c r="L196" i="22"/>
  <c r="M196" i="22"/>
  <c r="N196" i="22"/>
  <c r="O196" i="22"/>
  <c r="P196" i="22"/>
  <c r="Q196" i="22"/>
  <c r="R196" i="22"/>
  <c r="S196" i="22"/>
  <c r="T196" i="22"/>
  <c r="U196" i="22"/>
  <c r="V196" i="22"/>
  <c r="W196" i="22"/>
  <c r="X196" i="22"/>
  <c r="Y196" i="22"/>
  <c r="Z196" i="22"/>
  <c r="A197" i="22"/>
  <c r="B197" i="22"/>
  <c r="C197" i="22"/>
  <c r="D197" i="22"/>
  <c r="E197" i="22"/>
  <c r="F197" i="22"/>
  <c r="G197" i="22"/>
  <c r="H197" i="22"/>
  <c r="I197" i="22"/>
  <c r="J197" i="22"/>
  <c r="K197" i="22"/>
  <c r="L197" i="22"/>
  <c r="M197" i="22"/>
  <c r="N197" i="22"/>
  <c r="O197" i="22"/>
  <c r="P197" i="22"/>
  <c r="Q197" i="22"/>
  <c r="R197" i="22"/>
  <c r="S197" i="22"/>
  <c r="T197" i="22"/>
  <c r="U197" i="22"/>
  <c r="V197" i="22"/>
  <c r="W197" i="22"/>
  <c r="X197" i="22"/>
  <c r="Y197" i="22"/>
  <c r="Z197" i="22"/>
  <c r="A198" i="22"/>
  <c r="B198" i="22"/>
  <c r="C198" i="22"/>
  <c r="D198" i="22"/>
  <c r="E198" i="22"/>
  <c r="F198" i="22"/>
  <c r="G198" i="22"/>
  <c r="H198" i="22"/>
  <c r="I198" i="22"/>
  <c r="J198" i="22"/>
  <c r="K198" i="22"/>
  <c r="L198" i="22"/>
  <c r="M198" i="22"/>
  <c r="N198" i="22"/>
  <c r="O198" i="22"/>
  <c r="P198" i="22"/>
  <c r="Q198" i="22"/>
  <c r="R198" i="22"/>
  <c r="S198" i="22"/>
  <c r="T198" i="22"/>
  <c r="U198" i="22"/>
  <c r="V198" i="22"/>
  <c r="W198" i="22"/>
  <c r="X198" i="22"/>
  <c r="Y198" i="22"/>
  <c r="Z198" i="22"/>
  <c r="A199" i="22"/>
  <c r="B199" i="22"/>
  <c r="C199" i="22"/>
  <c r="D199" i="22"/>
  <c r="E199" i="22"/>
  <c r="F199" i="22"/>
  <c r="G199" i="22"/>
  <c r="H199" i="22"/>
  <c r="I199" i="22"/>
  <c r="J199" i="22"/>
  <c r="K199" i="22"/>
  <c r="L199" i="22"/>
  <c r="M199" i="22"/>
  <c r="N199" i="22"/>
  <c r="O199" i="22"/>
  <c r="P199" i="22"/>
  <c r="Q199" i="22"/>
  <c r="R199" i="22"/>
  <c r="S199" i="22"/>
  <c r="T199" i="22"/>
  <c r="U199" i="22"/>
  <c r="V199" i="22"/>
  <c r="W199" i="22"/>
  <c r="X199" i="22"/>
  <c r="Y199" i="22"/>
  <c r="Z199" i="22"/>
  <c r="A200" i="22"/>
  <c r="B200" i="22"/>
  <c r="C200" i="22"/>
  <c r="D200" i="22"/>
  <c r="E200" i="22"/>
  <c r="F200" i="22"/>
  <c r="G200" i="22"/>
  <c r="H200" i="22"/>
  <c r="I200" i="22"/>
  <c r="J200" i="22"/>
  <c r="K200" i="22"/>
  <c r="L200" i="22"/>
  <c r="M200" i="22"/>
  <c r="N200" i="22"/>
  <c r="O200" i="22"/>
  <c r="P200" i="22"/>
  <c r="Q200" i="22"/>
  <c r="R200" i="22"/>
  <c r="S200" i="22"/>
  <c r="T200" i="22"/>
  <c r="U200" i="22"/>
  <c r="V200" i="22"/>
  <c r="W200" i="22"/>
  <c r="X200" i="22"/>
  <c r="Y200" i="22"/>
  <c r="Z200" i="22"/>
  <c r="A201" i="22"/>
  <c r="B201" i="22"/>
  <c r="C201" i="22"/>
  <c r="D201" i="22"/>
  <c r="E201" i="22"/>
  <c r="F201" i="22"/>
  <c r="G201" i="22"/>
  <c r="H201" i="22"/>
  <c r="I201" i="22"/>
  <c r="J201" i="22"/>
  <c r="K201" i="22"/>
  <c r="L201" i="22"/>
  <c r="M201" i="22"/>
  <c r="N201" i="22"/>
  <c r="O201" i="22"/>
  <c r="P201" i="22"/>
  <c r="Q201" i="22"/>
  <c r="R201" i="22"/>
  <c r="S201" i="22"/>
  <c r="T201" i="22"/>
  <c r="U201" i="22"/>
  <c r="V201" i="22"/>
  <c r="W201" i="22"/>
  <c r="X201" i="22"/>
  <c r="Y201" i="22"/>
  <c r="Z201" i="22"/>
  <c r="A202" i="22"/>
  <c r="B202" i="22"/>
  <c r="C202" i="22"/>
  <c r="D202" i="22"/>
  <c r="E202" i="22"/>
  <c r="F202" i="22"/>
  <c r="G202" i="22"/>
  <c r="H202" i="22"/>
  <c r="I202" i="22"/>
  <c r="J202" i="22"/>
  <c r="K202" i="22"/>
  <c r="L202" i="22"/>
  <c r="M202" i="22"/>
  <c r="N202" i="22"/>
  <c r="O202" i="22"/>
  <c r="P202" i="22"/>
  <c r="Q202" i="22"/>
  <c r="R202" i="22"/>
  <c r="S202" i="22"/>
  <c r="T202" i="22"/>
  <c r="U202" i="22"/>
  <c r="V202" i="22"/>
  <c r="W202" i="22"/>
  <c r="X202" i="22"/>
  <c r="Y202" i="22"/>
  <c r="Z202" i="22"/>
  <c r="A203" i="22"/>
  <c r="B203" i="22"/>
  <c r="C203" i="22"/>
  <c r="D203" i="22"/>
  <c r="E203" i="22"/>
  <c r="F203" i="22"/>
  <c r="G203" i="22"/>
  <c r="H203" i="22"/>
  <c r="I203" i="22"/>
  <c r="J203" i="22"/>
  <c r="K203" i="22"/>
  <c r="L203" i="22"/>
  <c r="M203" i="22"/>
  <c r="N203" i="22"/>
  <c r="O203" i="22"/>
  <c r="P203" i="22"/>
  <c r="Q203" i="22"/>
  <c r="R203" i="22"/>
  <c r="S203" i="22"/>
  <c r="T203" i="22"/>
  <c r="U203" i="22"/>
  <c r="V203" i="22"/>
  <c r="W203" i="22"/>
  <c r="X203" i="22"/>
  <c r="Y203" i="22"/>
  <c r="Z203" i="22"/>
  <c r="A204" i="22"/>
  <c r="B204" i="22"/>
  <c r="C204" i="22"/>
  <c r="D204" i="22"/>
  <c r="E204" i="22"/>
  <c r="F204" i="22"/>
  <c r="G204" i="22"/>
  <c r="H204" i="22"/>
  <c r="I204" i="22"/>
  <c r="J204" i="22"/>
  <c r="K204" i="22"/>
  <c r="L204" i="22"/>
  <c r="M204" i="22"/>
  <c r="N204" i="22"/>
  <c r="O204" i="22"/>
  <c r="P204" i="22"/>
  <c r="Q204" i="22"/>
  <c r="R204" i="22"/>
  <c r="S204" i="22"/>
  <c r="T204" i="22"/>
  <c r="U204" i="22"/>
  <c r="V204" i="22"/>
  <c r="W204" i="22"/>
  <c r="X204" i="22"/>
  <c r="Y204" i="22"/>
  <c r="Z204" i="22"/>
  <c r="A205" i="22"/>
  <c r="B205" i="22"/>
  <c r="C205" i="22"/>
  <c r="D205" i="22"/>
  <c r="E205" i="22"/>
  <c r="F205" i="22"/>
  <c r="G205" i="22"/>
  <c r="H205" i="22"/>
  <c r="I205" i="22"/>
  <c r="J205" i="22"/>
  <c r="K205" i="22"/>
  <c r="L205" i="22"/>
  <c r="M205" i="22"/>
  <c r="N205" i="22"/>
  <c r="O205" i="22"/>
  <c r="P205" i="22"/>
  <c r="Q205" i="22"/>
  <c r="R205" i="22"/>
  <c r="S205" i="22"/>
  <c r="T205" i="22"/>
  <c r="U205" i="22"/>
  <c r="V205" i="22"/>
  <c r="W205" i="22"/>
  <c r="X205" i="22"/>
  <c r="Y205" i="22"/>
  <c r="Z205" i="22"/>
  <c r="A206" i="22"/>
  <c r="B206" i="22"/>
  <c r="C206" i="22"/>
  <c r="D206" i="22"/>
  <c r="E206" i="22"/>
  <c r="F206" i="22"/>
  <c r="G206" i="22"/>
  <c r="H206" i="22"/>
  <c r="I206" i="22"/>
  <c r="J206" i="22"/>
  <c r="K206" i="22"/>
  <c r="L206" i="22"/>
  <c r="M206" i="22"/>
  <c r="N206" i="22"/>
  <c r="O206" i="22"/>
  <c r="P206" i="22"/>
  <c r="Q206" i="22"/>
  <c r="R206" i="22"/>
  <c r="S206" i="22"/>
  <c r="T206" i="22"/>
  <c r="U206" i="22"/>
  <c r="V206" i="22"/>
  <c r="W206" i="22"/>
  <c r="X206" i="22"/>
  <c r="Y206" i="22"/>
  <c r="Z206" i="22"/>
  <c r="A207" i="22"/>
  <c r="B207" i="22"/>
  <c r="C207" i="22"/>
  <c r="D207" i="22"/>
  <c r="E207" i="22"/>
  <c r="F207" i="22"/>
  <c r="G207" i="22"/>
  <c r="H207" i="22"/>
  <c r="I207" i="22"/>
  <c r="J207" i="22"/>
  <c r="K207" i="22"/>
  <c r="L207" i="22"/>
  <c r="M207" i="22"/>
  <c r="N207" i="22"/>
  <c r="O207" i="22"/>
  <c r="P207" i="22"/>
  <c r="Q207" i="22"/>
  <c r="R207" i="22"/>
  <c r="S207" i="22"/>
  <c r="T207" i="22"/>
  <c r="U207" i="22"/>
  <c r="V207" i="22"/>
  <c r="W207" i="22"/>
  <c r="X207" i="22"/>
  <c r="Y207" i="22"/>
  <c r="Z207" i="22"/>
  <c r="A208" i="22"/>
  <c r="B208" i="22"/>
  <c r="C208" i="22"/>
  <c r="D208" i="22"/>
  <c r="E208" i="22"/>
  <c r="F208" i="22"/>
  <c r="G208" i="22"/>
  <c r="H208" i="22"/>
  <c r="I208" i="22"/>
  <c r="J208" i="22"/>
  <c r="K208" i="22"/>
  <c r="L208" i="22"/>
  <c r="M208" i="22"/>
  <c r="N208" i="22"/>
  <c r="O208" i="22"/>
  <c r="P208" i="22"/>
  <c r="Q208" i="22"/>
  <c r="R208" i="22"/>
  <c r="S208" i="22"/>
  <c r="T208" i="22"/>
  <c r="U208" i="22"/>
  <c r="V208" i="22"/>
  <c r="W208" i="22"/>
  <c r="X208" i="22"/>
  <c r="Y208" i="22"/>
  <c r="Z208" i="22"/>
  <c r="A209" i="22"/>
  <c r="B209" i="22"/>
  <c r="C209" i="22"/>
  <c r="D209" i="22"/>
  <c r="E209" i="22"/>
  <c r="F209" i="22"/>
  <c r="G209" i="22"/>
  <c r="H209" i="22"/>
  <c r="I209" i="22"/>
  <c r="J209" i="22"/>
  <c r="K209" i="22"/>
  <c r="L209" i="22"/>
  <c r="M209" i="22"/>
  <c r="N209" i="22"/>
  <c r="O209" i="22"/>
  <c r="P209" i="22"/>
  <c r="Q209" i="22"/>
  <c r="R209" i="22"/>
  <c r="S209" i="22"/>
  <c r="T209" i="22"/>
  <c r="U209" i="22"/>
  <c r="V209" i="22"/>
  <c r="W209" i="22"/>
  <c r="X209" i="22"/>
  <c r="Y209" i="22"/>
  <c r="Z209" i="22"/>
  <c r="A210" i="22"/>
  <c r="B210" i="22"/>
  <c r="C210" i="22"/>
  <c r="D210" i="22"/>
  <c r="E210" i="22"/>
  <c r="F210" i="22"/>
  <c r="G210" i="22"/>
  <c r="H210" i="22"/>
  <c r="I210" i="22"/>
  <c r="J210" i="22"/>
  <c r="K210" i="22"/>
  <c r="L210" i="22"/>
  <c r="M210" i="22"/>
  <c r="N210" i="22"/>
  <c r="O210" i="22"/>
  <c r="P210" i="22"/>
  <c r="Q210" i="22"/>
  <c r="R210" i="22"/>
  <c r="S210" i="22"/>
  <c r="T210" i="22"/>
  <c r="U210" i="22"/>
  <c r="V210" i="22"/>
  <c r="W210" i="22"/>
  <c r="X210" i="22"/>
  <c r="Y210" i="22"/>
  <c r="Z210" i="22"/>
  <c r="A211" i="22"/>
  <c r="B211" i="22"/>
  <c r="C211" i="22"/>
  <c r="D211" i="22"/>
  <c r="E211" i="22"/>
  <c r="F211" i="22"/>
  <c r="G211" i="22"/>
  <c r="H211" i="22"/>
  <c r="I211" i="22"/>
  <c r="J211" i="22"/>
  <c r="K211" i="22"/>
  <c r="L211" i="22"/>
  <c r="M211" i="22"/>
  <c r="N211" i="22"/>
  <c r="O211" i="22"/>
  <c r="P211" i="22"/>
  <c r="Q211" i="22"/>
  <c r="R211" i="22"/>
  <c r="S211" i="22"/>
  <c r="T211" i="22"/>
  <c r="U211" i="22"/>
  <c r="V211" i="22"/>
  <c r="W211" i="22"/>
  <c r="X211" i="22"/>
  <c r="Y211" i="22"/>
  <c r="Z211" i="22"/>
  <c r="A212" i="22"/>
  <c r="B212" i="22"/>
  <c r="C212" i="22"/>
  <c r="D212" i="22"/>
  <c r="E212" i="22"/>
  <c r="F212" i="22"/>
  <c r="G212" i="22"/>
  <c r="H212" i="22"/>
  <c r="I212" i="22"/>
  <c r="J212" i="22"/>
  <c r="K212" i="22"/>
  <c r="L212" i="22"/>
  <c r="M212" i="22"/>
  <c r="N212" i="22"/>
  <c r="O212" i="22"/>
  <c r="P212" i="22"/>
  <c r="Q212" i="22"/>
  <c r="R212" i="22"/>
  <c r="S212" i="22"/>
  <c r="T212" i="22"/>
  <c r="U212" i="22"/>
  <c r="V212" i="22"/>
  <c r="W212" i="22"/>
  <c r="X212" i="22"/>
  <c r="Y212" i="22"/>
  <c r="Z212" i="22"/>
  <c r="A213" i="22"/>
  <c r="B213" i="22"/>
  <c r="C213" i="22"/>
  <c r="D213" i="22"/>
  <c r="E213" i="22"/>
  <c r="F213" i="22"/>
  <c r="G213" i="22"/>
  <c r="H213" i="22"/>
  <c r="I213" i="22"/>
  <c r="J213" i="22"/>
  <c r="K213" i="22"/>
  <c r="L213" i="22"/>
  <c r="M213" i="22"/>
  <c r="N213" i="22"/>
  <c r="O213" i="22"/>
  <c r="P213" i="22"/>
  <c r="Q213" i="22"/>
  <c r="R213" i="22"/>
  <c r="S213" i="22"/>
  <c r="T213" i="22"/>
  <c r="U213" i="22"/>
  <c r="V213" i="22"/>
  <c r="W213" i="22"/>
  <c r="X213" i="22"/>
  <c r="Y213" i="22"/>
  <c r="Z213" i="22"/>
  <c r="A214" i="22"/>
  <c r="B214" i="22"/>
  <c r="C214" i="22"/>
  <c r="D214" i="22"/>
  <c r="E214" i="22"/>
  <c r="F214" i="22"/>
  <c r="G214" i="22"/>
  <c r="H214" i="22"/>
  <c r="I214" i="22"/>
  <c r="J214" i="22"/>
  <c r="K214" i="22"/>
  <c r="L214" i="22"/>
  <c r="M214" i="22"/>
  <c r="N214" i="22"/>
  <c r="O214" i="22"/>
  <c r="P214" i="22"/>
  <c r="Q214" i="22"/>
  <c r="R214" i="22"/>
  <c r="S214" i="22"/>
  <c r="T214" i="22"/>
  <c r="U214" i="22"/>
  <c r="V214" i="22"/>
  <c r="W214" i="22"/>
  <c r="X214" i="22"/>
  <c r="Y214" i="22"/>
  <c r="Z214" i="22"/>
  <c r="A215" i="22"/>
  <c r="B215" i="22"/>
  <c r="C215" i="22"/>
  <c r="D215" i="22"/>
  <c r="E215" i="22"/>
  <c r="F215" i="22"/>
  <c r="G215" i="22"/>
  <c r="H215" i="22"/>
  <c r="I215" i="22"/>
  <c r="J215" i="22"/>
  <c r="K215" i="22"/>
  <c r="L215" i="22"/>
  <c r="M215" i="22"/>
  <c r="N215" i="22"/>
  <c r="O215" i="22"/>
  <c r="P215" i="22"/>
  <c r="Q215" i="22"/>
  <c r="R215" i="22"/>
  <c r="S215" i="22"/>
  <c r="T215" i="22"/>
  <c r="U215" i="22"/>
  <c r="V215" i="22"/>
  <c r="W215" i="22"/>
  <c r="X215" i="22"/>
  <c r="Y215" i="22"/>
  <c r="Z215" i="22"/>
  <c r="A216" i="22"/>
  <c r="B216" i="22"/>
  <c r="C216" i="22"/>
  <c r="D216" i="22"/>
  <c r="E216" i="22"/>
  <c r="F216" i="22"/>
  <c r="G216" i="22"/>
  <c r="H216" i="22"/>
  <c r="I216" i="22"/>
  <c r="J216" i="22"/>
  <c r="K216" i="22"/>
  <c r="L216" i="22"/>
  <c r="M216" i="22"/>
  <c r="N216" i="22"/>
  <c r="O216" i="22"/>
  <c r="P216" i="22"/>
  <c r="Q216" i="22"/>
  <c r="R216" i="22"/>
  <c r="S216" i="22"/>
  <c r="T216" i="22"/>
  <c r="U216" i="22"/>
  <c r="V216" i="22"/>
  <c r="W216" i="22"/>
  <c r="X216" i="22"/>
  <c r="Y216" i="22"/>
  <c r="Z216" i="22"/>
  <c r="A217" i="22"/>
  <c r="B217" i="22"/>
  <c r="C217" i="22"/>
  <c r="D217" i="22"/>
  <c r="E217" i="22"/>
  <c r="F217" i="22"/>
  <c r="G217" i="22"/>
  <c r="H217" i="22"/>
  <c r="I217" i="22"/>
  <c r="J217" i="22"/>
  <c r="K217" i="22"/>
  <c r="L217" i="22"/>
  <c r="M217" i="22"/>
  <c r="N217" i="22"/>
  <c r="O217" i="22"/>
  <c r="P217" i="22"/>
  <c r="Q217" i="22"/>
  <c r="R217" i="22"/>
  <c r="S217" i="22"/>
  <c r="T217" i="22"/>
  <c r="U217" i="22"/>
  <c r="V217" i="22"/>
  <c r="W217" i="22"/>
  <c r="X217" i="22"/>
  <c r="Y217" i="22"/>
  <c r="Z217" i="22"/>
  <c r="A218" i="22"/>
  <c r="B218" i="22"/>
  <c r="C218" i="22"/>
  <c r="D218" i="22"/>
  <c r="E218" i="22"/>
  <c r="F218" i="22"/>
  <c r="G218" i="22"/>
  <c r="H218" i="22"/>
  <c r="I218" i="22"/>
  <c r="J218" i="22"/>
  <c r="K218" i="22"/>
  <c r="L218" i="22"/>
  <c r="M218" i="22"/>
  <c r="N218" i="22"/>
  <c r="O218" i="22"/>
  <c r="P218" i="22"/>
  <c r="Q218" i="22"/>
  <c r="R218" i="22"/>
  <c r="S218" i="22"/>
  <c r="T218" i="22"/>
  <c r="U218" i="22"/>
  <c r="V218" i="22"/>
  <c r="W218" i="22"/>
  <c r="X218" i="22"/>
  <c r="Y218" i="22"/>
  <c r="Z218" i="22"/>
  <c r="A219" i="22"/>
  <c r="B219" i="22"/>
  <c r="C219" i="22"/>
  <c r="D219" i="22"/>
  <c r="E219" i="22"/>
  <c r="F219" i="22"/>
  <c r="G219" i="22"/>
  <c r="H219" i="22"/>
  <c r="I219" i="22"/>
  <c r="J219" i="22"/>
  <c r="K219" i="22"/>
  <c r="L219" i="22"/>
  <c r="M219" i="22"/>
  <c r="N219" i="22"/>
  <c r="O219" i="22"/>
  <c r="P219" i="22"/>
  <c r="Q219" i="22"/>
  <c r="R219" i="22"/>
  <c r="S219" i="22"/>
  <c r="T219" i="22"/>
  <c r="U219" i="22"/>
  <c r="V219" i="22"/>
  <c r="W219" i="22"/>
  <c r="X219" i="22"/>
  <c r="Y219" i="22"/>
  <c r="Z219" i="22"/>
  <c r="A220" i="22"/>
  <c r="B220" i="22"/>
  <c r="C220" i="22"/>
  <c r="D220" i="22"/>
  <c r="E220" i="22"/>
  <c r="F220" i="22"/>
  <c r="G220" i="22"/>
  <c r="H220" i="22"/>
  <c r="I220" i="22"/>
  <c r="J220" i="22"/>
  <c r="K220" i="22"/>
  <c r="L220" i="22"/>
  <c r="M220" i="22"/>
  <c r="N220" i="22"/>
  <c r="O220" i="22"/>
  <c r="P220" i="22"/>
  <c r="Q220" i="22"/>
  <c r="R220" i="22"/>
  <c r="S220" i="22"/>
  <c r="T220" i="22"/>
  <c r="U220" i="22"/>
  <c r="V220" i="22"/>
  <c r="W220" i="22"/>
  <c r="X220" i="22"/>
  <c r="Y220" i="22"/>
  <c r="Z220" i="22"/>
  <c r="A221" i="22"/>
  <c r="B221" i="22"/>
  <c r="C221" i="22"/>
  <c r="D221" i="22"/>
  <c r="E221" i="22"/>
  <c r="F221" i="22"/>
  <c r="G221" i="22"/>
  <c r="H221" i="22"/>
  <c r="I221" i="22"/>
  <c r="J221" i="22"/>
  <c r="K221" i="22"/>
  <c r="L221" i="22"/>
  <c r="M221" i="22"/>
  <c r="N221" i="22"/>
  <c r="O221" i="22"/>
  <c r="P221" i="22"/>
  <c r="Q221" i="22"/>
  <c r="R221" i="22"/>
  <c r="S221" i="22"/>
  <c r="T221" i="22"/>
  <c r="U221" i="22"/>
  <c r="V221" i="22"/>
  <c r="W221" i="22"/>
  <c r="X221" i="22"/>
  <c r="Y221" i="22"/>
  <c r="Z221" i="22"/>
  <c r="A222" i="22"/>
  <c r="B222" i="22"/>
  <c r="C222" i="22"/>
  <c r="D222" i="22"/>
  <c r="E222" i="22"/>
  <c r="F222" i="22"/>
  <c r="G222" i="22"/>
  <c r="H222" i="22"/>
  <c r="I222" i="22"/>
  <c r="J222" i="22"/>
  <c r="K222" i="22"/>
  <c r="L222" i="22"/>
  <c r="M222" i="22"/>
  <c r="N222" i="22"/>
  <c r="O222" i="22"/>
  <c r="P222" i="22"/>
  <c r="Q222" i="22"/>
  <c r="R222" i="22"/>
  <c r="S222" i="22"/>
  <c r="T222" i="22"/>
  <c r="U222" i="22"/>
  <c r="V222" i="22"/>
  <c r="W222" i="22"/>
  <c r="X222" i="22"/>
  <c r="Y222" i="22"/>
  <c r="Z222" i="22"/>
  <c r="A223" i="22"/>
  <c r="B223" i="22"/>
  <c r="C223" i="22"/>
  <c r="D223" i="22"/>
  <c r="E223" i="22"/>
  <c r="F223" i="22"/>
  <c r="G223" i="22"/>
  <c r="H223" i="22"/>
  <c r="I223" i="22"/>
  <c r="J223" i="22"/>
  <c r="K223" i="22"/>
  <c r="L223" i="22"/>
  <c r="M223" i="22"/>
  <c r="N223" i="22"/>
  <c r="O223" i="22"/>
  <c r="P223" i="22"/>
  <c r="Q223" i="22"/>
  <c r="R223" i="22"/>
  <c r="S223" i="22"/>
  <c r="T223" i="22"/>
  <c r="U223" i="22"/>
  <c r="V223" i="22"/>
  <c r="W223" i="22"/>
  <c r="X223" i="22"/>
  <c r="Y223" i="22"/>
  <c r="Z223" i="22"/>
  <c r="A224" i="22"/>
  <c r="B224" i="22"/>
  <c r="C224" i="22"/>
  <c r="D224" i="22"/>
  <c r="E224" i="22"/>
  <c r="F224" i="22"/>
  <c r="G224" i="22"/>
  <c r="H224" i="22"/>
  <c r="I224" i="22"/>
  <c r="J224" i="22"/>
  <c r="K224" i="22"/>
  <c r="L224" i="22"/>
  <c r="M224" i="22"/>
  <c r="N224" i="22"/>
  <c r="O224" i="22"/>
  <c r="P224" i="22"/>
  <c r="Q224" i="22"/>
  <c r="R224" i="22"/>
  <c r="S224" i="22"/>
  <c r="T224" i="22"/>
  <c r="U224" i="22"/>
  <c r="V224" i="22"/>
  <c r="W224" i="22"/>
  <c r="X224" i="22"/>
  <c r="Y224" i="22"/>
  <c r="Z224" i="22"/>
  <c r="A225" i="22"/>
  <c r="B225" i="22"/>
  <c r="C225" i="22"/>
  <c r="D225" i="22"/>
  <c r="E225" i="22"/>
  <c r="F225" i="22"/>
  <c r="G225" i="22"/>
  <c r="H225" i="22"/>
  <c r="I225" i="22"/>
  <c r="J225" i="22"/>
  <c r="K225" i="22"/>
  <c r="L225" i="22"/>
  <c r="M225" i="22"/>
  <c r="N225" i="22"/>
  <c r="O225" i="22"/>
  <c r="P225" i="22"/>
  <c r="Q225" i="22"/>
  <c r="R225" i="22"/>
  <c r="S225" i="22"/>
  <c r="T225" i="22"/>
  <c r="U225" i="22"/>
  <c r="V225" i="22"/>
  <c r="W225" i="22"/>
  <c r="X225" i="22"/>
  <c r="Y225" i="22"/>
  <c r="Z225" i="22"/>
  <c r="A226" i="22"/>
  <c r="B226" i="22"/>
  <c r="C226" i="22"/>
  <c r="D226" i="22"/>
  <c r="E226" i="22"/>
  <c r="F226" i="22"/>
  <c r="G226" i="22"/>
  <c r="H226" i="22"/>
  <c r="I226" i="22"/>
  <c r="J226" i="22"/>
  <c r="K226" i="22"/>
  <c r="L226" i="22"/>
  <c r="M226" i="22"/>
  <c r="N226" i="22"/>
  <c r="O226" i="22"/>
  <c r="P226" i="22"/>
  <c r="Q226" i="22"/>
  <c r="R226" i="22"/>
  <c r="S226" i="22"/>
  <c r="T226" i="22"/>
  <c r="U226" i="22"/>
  <c r="V226" i="22"/>
  <c r="W226" i="22"/>
  <c r="X226" i="22"/>
  <c r="Y226" i="22"/>
  <c r="Z226" i="22"/>
  <c r="A227" i="22"/>
  <c r="B227" i="22"/>
  <c r="C227" i="22"/>
  <c r="D227" i="22"/>
  <c r="E227" i="22"/>
  <c r="F227" i="22"/>
  <c r="G227" i="22"/>
  <c r="H227" i="22"/>
  <c r="I227" i="22"/>
  <c r="J227" i="22"/>
  <c r="K227" i="22"/>
  <c r="L227" i="22"/>
  <c r="M227" i="22"/>
  <c r="N227" i="22"/>
  <c r="O227" i="22"/>
  <c r="P227" i="22"/>
  <c r="Q227" i="22"/>
  <c r="R227" i="22"/>
  <c r="S227" i="22"/>
  <c r="T227" i="22"/>
  <c r="U227" i="22"/>
  <c r="V227" i="22"/>
  <c r="W227" i="22"/>
  <c r="X227" i="22"/>
  <c r="Y227" i="22"/>
  <c r="Z227" i="22"/>
  <c r="A228" i="22"/>
  <c r="B228" i="22"/>
  <c r="C228" i="22"/>
  <c r="D228" i="22"/>
  <c r="E228" i="22"/>
  <c r="F228" i="22"/>
  <c r="G228" i="22"/>
  <c r="H228" i="22"/>
  <c r="I228" i="22"/>
  <c r="J228" i="22"/>
  <c r="K228" i="22"/>
  <c r="L228" i="22"/>
  <c r="M228" i="22"/>
  <c r="N228" i="22"/>
  <c r="O228" i="22"/>
  <c r="P228" i="22"/>
  <c r="Q228" i="22"/>
  <c r="R228" i="22"/>
  <c r="S228" i="22"/>
  <c r="T228" i="22"/>
  <c r="U228" i="22"/>
  <c r="V228" i="22"/>
  <c r="W228" i="22"/>
  <c r="X228" i="22"/>
  <c r="Y228" i="22"/>
  <c r="Z228" i="22"/>
  <c r="A229" i="22"/>
  <c r="B229" i="22"/>
  <c r="C229" i="22"/>
  <c r="D229" i="22"/>
  <c r="E229" i="22"/>
  <c r="F229" i="22"/>
  <c r="G229" i="22"/>
  <c r="H229" i="22"/>
  <c r="I229" i="22"/>
  <c r="J229" i="22"/>
  <c r="K229" i="22"/>
  <c r="L229" i="22"/>
  <c r="M229" i="22"/>
  <c r="N229" i="22"/>
  <c r="O229" i="22"/>
  <c r="P229" i="22"/>
  <c r="Q229" i="22"/>
  <c r="R229" i="22"/>
  <c r="S229" i="22"/>
  <c r="T229" i="22"/>
  <c r="U229" i="22"/>
  <c r="V229" i="22"/>
  <c r="W229" i="22"/>
  <c r="X229" i="22"/>
  <c r="Y229" i="22"/>
  <c r="Z229" i="22"/>
  <c r="A230" i="22"/>
  <c r="B230" i="22"/>
  <c r="C230" i="22"/>
  <c r="D230" i="22"/>
  <c r="E230" i="22"/>
  <c r="F230" i="22"/>
  <c r="G230" i="22"/>
  <c r="H230" i="22"/>
  <c r="I230" i="22"/>
  <c r="J230" i="22"/>
  <c r="K230" i="22"/>
  <c r="L230" i="22"/>
  <c r="M230" i="22"/>
  <c r="N230" i="22"/>
  <c r="O230" i="22"/>
  <c r="P230" i="22"/>
  <c r="Q230" i="22"/>
  <c r="R230" i="22"/>
  <c r="S230" i="22"/>
  <c r="T230" i="22"/>
  <c r="U230" i="22"/>
  <c r="V230" i="22"/>
  <c r="W230" i="22"/>
  <c r="X230" i="22"/>
  <c r="Y230" i="22"/>
  <c r="Z230" i="22"/>
  <c r="A231" i="22"/>
  <c r="B231" i="22"/>
  <c r="C231" i="22"/>
  <c r="D231" i="22"/>
  <c r="E231" i="22"/>
  <c r="F231" i="22"/>
  <c r="G231" i="22"/>
  <c r="H231" i="22"/>
  <c r="I231" i="22"/>
  <c r="J231" i="22"/>
  <c r="K231" i="22"/>
  <c r="L231" i="22"/>
  <c r="M231" i="22"/>
  <c r="N231" i="22"/>
  <c r="O231" i="22"/>
  <c r="P231" i="22"/>
  <c r="Q231" i="22"/>
  <c r="R231" i="22"/>
  <c r="S231" i="22"/>
  <c r="T231" i="22"/>
  <c r="U231" i="22"/>
  <c r="V231" i="22"/>
  <c r="W231" i="22"/>
  <c r="X231" i="22"/>
  <c r="Y231" i="22"/>
  <c r="Z231" i="22"/>
  <c r="A232" i="22"/>
  <c r="B232" i="22"/>
  <c r="C232" i="22"/>
  <c r="D232" i="22"/>
  <c r="E232" i="22"/>
  <c r="F232" i="22"/>
  <c r="G232" i="22"/>
  <c r="H232" i="22"/>
  <c r="I232" i="22"/>
  <c r="J232" i="22"/>
  <c r="K232" i="22"/>
  <c r="L232" i="22"/>
  <c r="M232" i="22"/>
  <c r="N232" i="22"/>
  <c r="O232" i="22"/>
  <c r="P232" i="22"/>
  <c r="Q232" i="22"/>
  <c r="R232" i="22"/>
  <c r="S232" i="22"/>
  <c r="T232" i="22"/>
  <c r="U232" i="22"/>
  <c r="V232" i="22"/>
  <c r="W232" i="22"/>
  <c r="X232" i="22"/>
  <c r="Y232" i="22"/>
  <c r="Z232" i="22"/>
  <c r="A233" i="22"/>
  <c r="B233" i="22"/>
  <c r="C233" i="22"/>
  <c r="D233" i="22"/>
  <c r="E233" i="22"/>
  <c r="F233" i="22"/>
  <c r="G233" i="22"/>
  <c r="H233" i="22"/>
  <c r="I233" i="22"/>
  <c r="J233" i="22"/>
  <c r="K233" i="22"/>
  <c r="L233" i="22"/>
  <c r="M233" i="22"/>
  <c r="N233" i="22"/>
  <c r="O233" i="22"/>
  <c r="P233" i="22"/>
  <c r="Q233" i="22"/>
  <c r="R233" i="22"/>
  <c r="S233" i="22"/>
  <c r="T233" i="22"/>
  <c r="U233" i="22"/>
  <c r="V233" i="22"/>
  <c r="W233" i="22"/>
  <c r="X233" i="22"/>
  <c r="Y233" i="22"/>
  <c r="Z233" i="22"/>
  <c r="A234" i="22"/>
  <c r="B234" i="22"/>
  <c r="C234" i="22"/>
  <c r="D234" i="22"/>
  <c r="E234" i="22"/>
  <c r="F234" i="22"/>
  <c r="G234" i="22"/>
  <c r="H234" i="22"/>
  <c r="I234" i="22"/>
  <c r="J234" i="22"/>
  <c r="K234" i="22"/>
  <c r="L234" i="22"/>
  <c r="M234" i="22"/>
  <c r="N234" i="22"/>
  <c r="O234" i="22"/>
  <c r="P234" i="22"/>
  <c r="Q234" i="22"/>
  <c r="R234" i="22"/>
  <c r="S234" i="22"/>
  <c r="T234" i="22"/>
  <c r="U234" i="22"/>
  <c r="V234" i="22"/>
  <c r="W234" i="22"/>
  <c r="X234" i="22"/>
  <c r="Y234" i="22"/>
  <c r="Z234" i="22"/>
  <c r="A235" i="22"/>
  <c r="B235" i="22"/>
  <c r="C235" i="22"/>
  <c r="D235" i="22"/>
  <c r="E235" i="22"/>
  <c r="F235" i="22"/>
  <c r="G235" i="22"/>
  <c r="H235" i="22"/>
  <c r="I235" i="22"/>
  <c r="J235" i="22"/>
  <c r="K235" i="22"/>
  <c r="L235" i="22"/>
  <c r="M235" i="22"/>
  <c r="N235" i="22"/>
  <c r="O235" i="22"/>
  <c r="P235" i="22"/>
  <c r="Q235" i="22"/>
  <c r="R235" i="22"/>
  <c r="S235" i="22"/>
  <c r="T235" i="22"/>
  <c r="U235" i="22"/>
  <c r="V235" i="22"/>
  <c r="W235" i="22"/>
  <c r="X235" i="22"/>
  <c r="Y235" i="22"/>
  <c r="Z235" i="22"/>
  <c r="A236" i="22"/>
  <c r="B236" i="22"/>
  <c r="C236" i="22"/>
  <c r="D236" i="22"/>
  <c r="E236" i="22"/>
  <c r="F236" i="22"/>
  <c r="G236" i="22"/>
  <c r="H236" i="22"/>
  <c r="I236" i="22"/>
  <c r="J236" i="22"/>
  <c r="K236" i="22"/>
  <c r="L236" i="22"/>
  <c r="M236" i="22"/>
  <c r="N236" i="22"/>
  <c r="O236" i="22"/>
  <c r="P236" i="22"/>
  <c r="Q236" i="22"/>
  <c r="R236" i="22"/>
  <c r="S236" i="22"/>
  <c r="T236" i="22"/>
  <c r="U236" i="22"/>
  <c r="V236" i="22"/>
  <c r="W236" i="22"/>
  <c r="X236" i="22"/>
  <c r="Y236" i="22"/>
  <c r="Z236" i="22"/>
  <c r="A237" i="22"/>
  <c r="B237" i="22"/>
  <c r="C237" i="22"/>
  <c r="D237" i="22"/>
  <c r="E237" i="22"/>
  <c r="F237" i="22"/>
  <c r="G237" i="22"/>
  <c r="H237" i="22"/>
  <c r="I237" i="22"/>
  <c r="J237" i="22"/>
  <c r="K237" i="22"/>
  <c r="L237" i="22"/>
  <c r="M237" i="22"/>
  <c r="N237" i="22"/>
  <c r="O237" i="22"/>
  <c r="P237" i="22"/>
  <c r="Q237" i="22"/>
  <c r="R237" i="22"/>
  <c r="S237" i="22"/>
  <c r="T237" i="22"/>
  <c r="U237" i="22"/>
  <c r="V237" i="22"/>
  <c r="W237" i="22"/>
  <c r="X237" i="22"/>
  <c r="Y237" i="22"/>
  <c r="Z237" i="22"/>
  <c r="A238" i="22"/>
  <c r="B238" i="22"/>
  <c r="C238" i="22"/>
  <c r="D238" i="22"/>
  <c r="E238" i="22"/>
  <c r="F238" i="22"/>
  <c r="G238" i="22"/>
  <c r="H238" i="22"/>
  <c r="I238" i="22"/>
  <c r="J238" i="22"/>
  <c r="K238" i="22"/>
  <c r="L238" i="22"/>
  <c r="M238" i="22"/>
  <c r="N238" i="22"/>
  <c r="O238" i="22"/>
  <c r="P238" i="22"/>
  <c r="Q238" i="22"/>
  <c r="R238" i="22"/>
  <c r="S238" i="22"/>
  <c r="T238" i="22"/>
  <c r="U238" i="22"/>
  <c r="V238" i="22"/>
  <c r="W238" i="22"/>
  <c r="X238" i="22"/>
  <c r="Y238" i="22"/>
  <c r="Z238" i="22"/>
  <c r="A239" i="22"/>
  <c r="B239" i="22"/>
  <c r="C239" i="22"/>
  <c r="D239" i="22"/>
  <c r="E239" i="22"/>
  <c r="F239" i="22"/>
  <c r="G239" i="22"/>
  <c r="H239" i="22"/>
  <c r="I239" i="22"/>
  <c r="J239" i="22"/>
  <c r="K239" i="22"/>
  <c r="L239" i="22"/>
  <c r="M239" i="22"/>
  <c r="N239" i="22"/>
  <c r="O239" i="22"/>
  <c r="P239" i="22"/>
  <c r="Q239" i="22"/>
  <c r="R239" i="22"/>
  <c r="S239" i="22"/>
  <c r="T239" i="22"/>
  <c r="U239" i="22"/>
  <c r="V239" i="22"/>
  <c r="W239" i="22"/>
  <c r="X239" i="22"/>
  <c r="Y239" i="22"/>
  <c r="Z239" i="22"/>
  <c r="A240" i="22"/>
  <c r="B240" i="22"/>
  <c r="C240" i="22"/>
  <c r="D240" i="22"/>
  <c r="E240" i="22"/>
  <c r="F240" i="22"/>
  <c r="G240" i="22"/>
  <c r="H240" i="22"/>
  <c r="I240" i="22"/>
  <c r="J240" i="22"/>
  <c r="K240" i="22"/>
  <c r="L240" i="22"/>
  <c r="M240" i="22"/>
  <c r="N240" i="22"/>
  <c r="O240" i="22"/>
  <c r="P240" i="22"/>
  <c r="Q240" i="22"/>
  <c r="R240" i="22"/>
  <c r="S240" i="22"/>
  <c r="T240" i="22"/>
  <c r="U240" i="22"/>
  <c r="V240" i="22"/>
  <c r="W240" i="22"/>
  <c r="X240" i="22"/>
  <c r="Y240" i="22"/>
  <c r="Z240" i="22"/>
  <c r="A241" i="22"/>
  <c r="B241" i="22"/>
  <c r="C241" i="22"/>
  <c r="D241" i="22"/>
  <c r="E241" i="22"/>
  <c r="F241" i="22"/>
  <c r="G241" i="22"/>
  <c r="H241" i="22"/>
  <c r="I241" i="22"/>
  <c r="J241" i="22"/>
  <c r="K241" i="22"/>
  <c r="L241" i="22"/>
  <c r="M241" i="22"/>
  <c r="N241" i="22"/>
  <c r="O241" i="22"/>
  <c r="P241" i="22"/>
  <c r="Q241" i="22"/>
  <c r="R241" i="22"/>
  <c r="S241" i="22"/>
  <c r="T241" i="22"/>
  <c r="U241" i="22"/>
  <c r="V241" i="22"/>
  <c r="W241" i="22"/>
  <c r="X241" i="22"/>
  <c r="Y241" i="22"/>
  <c r="Z241" i="22"/>
  <c r="A242" i="22"/>
  <c r="B242" i="22"/>
  <c r="C242" i="22"/>
  <c r="D242" i="22"/>
  <c r="E242" i="22"/>
  <c r="F242" i="22"/>
  <c r="G242" i="22"/>
  <c r="H242" i="22"/>
  <c r="I242" i="22"/>
  <c r="J242" i="22"/>
  <c r="K242" i="22"/>
  <c r="L242" i="22"/>
  <c r="M242" i="22"/>
  <c r="N242" i="22"/>
  <c r="O242" i="22"/>
  <c r="P242" i="22"/>
  <c r="Q242" i="22"/>
  <c r="R242" i="22"/>
  <c r="S242" i="22"/>
  <c r="T242" i="22"/>
  <c r="U242" i="22"/>
  <c r="V242" i="22"/>
  <c r="W242" i="22"/>
  <c r="X242" i="22"/>
  <c r="Y242" i="22"/>
  <c r="Z242" i="22"/>
  <c r="A243" i="22"/>
  <c r="B243" i="22"/>
  <c r="C243" i="22"/>
  <c r="D243" i="22"/>
  <c r="E243" i="22"/>
  <c r="F243" i="22"/>
  <c r="G243" i="22"/>
  <c r="H243" i="22"/>
  <c r="I243" i="22"/>
  <c r="J243" i="22"/>
  <c r="K243" i="22"/>
  <c r="L243" i="22"/>
  <c r="M243" i="22"/>
  <c r="N243" i="22"/>
  <c r="O243" i="22"/>
  <c r="P243" i="22"/>
  <c r="Q243" i="22"/>
  <c r="R243" i="22"/>
  <c r="S243" i="22"/>
  <c r="T243" i="22"/>
  <c r="U243" i="22"/>
  <c r="V243" i="22"/>
  <c r="W243" i="22"/>
  <c r="X243" i="22"/>
  <c r="Y243" i="22"/>
  <c r="Z243" i="22"/>
  <c r="A244" i="22"/>
  <c r="B244" i="22"/>
  <c r="C244" i="22"/>
  <c r="D244" i="22"/>
  <c r="E244" i="22"/>
  <c r="F244" i="22"/>
  <c r="G244" i="22"/>
  <c r="H244" i="22"/>
  <c r="I244" i="22"/>
  <c r="J244" i="22"/>
  <c r="K244" i="22"/>
  <c r="L244" i="22"/>
  <c r="M244" i="22"/>
  <c r="N244" i="22"/>
  <c r="O244" i="22"/>
  <c r="P244" i="22"/>
  <c r="Q244" i="22"/>
  <c r="R244" i="22"/>
  <c r="S244" i="22"/>
  <c r="T244" i="22"/>
  <c r="U244" i="22"/>
  <c r="V244" i="22"/>
  <c r="W244" i="22"/>
  <c r="X244" i="22"/>
  <c r="Y244" i="22"/>
  <c r="Z244" i="22"/>
  <c r="A245" i="22"/>
  <c r="B245" i="22"/>
  <c r="C245" i="22"/>
  <c r="D245" i="22"/>
  <c r="E245" i="22"/>
  <c r="F245" i="22"/>
  <c r="G245" i="22"/>
  <c r="H245" i="22"/>
  <c r="I245" i="22"/>
  <c r="J245" i="22"/>
  <c r="K245" i="22"/>
  <c r="L245" i="22"/>
  <c r="M245" i="22"/>
  <c r="N245" i="22"/>
  <c r="O245" i="22"/>
  <c r="P245" i="22"/>
  <c r="Q245" i="22"/>
  <c r="R245" i="22"/>
  <c r="S245" i="22"/>
  <c r="T245" i="22"/>
  <c r="U245" i="22"/>
  <c r="V245" i="22"/>
  <c r="W245" i="22"/>
  <c r="X245" i="22"/>
  <c r="Y245" i="22"/>
  <c r="Z245" i="22"/>
  <c r="A246" i="22"/>
  <c r="B246" i="22"/>
  <c r="C246" i="22"/>
  <c r="D246" i="22"/>
  <c r="E246" i="22"/>
  <c r="F246" i="22"/>
  <c r="G246" i="22"/>
  <c r="H246" i="22"/>
  <c r="I246" i="22"/>
  <c r="J246" i="22"/>
  <c r="K246" i="22"/>
  <c r="L246" i="22"/>
  <c r="M246" i="22"/>
  <c r="N246" i="22"/>
  <c r="O246" i="22"/>
  <c r="P246" i="22"/>
  <c r="Q246" i="22"/>
  <c r="R246" i="22"/>
  <c r="S246" i="22"/>
  <c r="T246" i="22"/>
  <c r="U246" i="22"/>
  <c r="V246" i="22"/>
  <c r="W246" i="22"/>
  <c r="X246" i="22"/>
  <c r="Y246" i="22"/>
  <c r="Z246" i="22"/>
  <c r="A247" i="22"/>
  <c r="B247" i="22"/>
  <c r="C247" i="22"/>
  <c r="D247" i="22"/>
  <c r="E247" i="22"/>
  <c r="F247" i="22"/>
  <c r="G247" i="22"/>
  <c r="H247" i="22"/>
  <c r="I247" i="22"/>
  <c r="J247" i="22"/>
  <c r="K247" i="22"/>
  <c r="L247" i="22"/>
  <c r="M247" i="22"/>
  <c r="N247" i="22"/>
  <c r="O247" i="22"/>
  <c r="P247" i="22"/>
  <c r="Q247" i="22"/>
  <c r="R247" i="22"/>
  <c r="S247" i="22"/>
  <c r="T247" i="22"/>
  <c r="U247" i="22"/>
  <c r="V247" i="22"/>
  <c r="W247" i="22"/>
  <c r="X247" i="22"/>
  <c r="Y247" i="22"/>
  <c r="Z247" i="22"/>
  <c r="A248" i="22"/>
  <c r="B248" i="22"/>
  <c r="C248" i="22"/>
  <c r="D248" i="22"/>
  <c r="E248" i="22"/>
  <c r="F248" i="22"/>
  <c r="G248" i="22"/>
  <c r="H248" i="22"/>
  <c r="I248" i="22"/>
  <c r="J248" i="22"/>
  <c r="K248" i="22"/>
  <c r="L248" i="22"/>
  <c r="M248" i="22"/>
  <c r="N248" i="22"/>
  <c r="O248" i="22"/>
  <c r="P248" i="22"/>
  <c r="Q248" i="22"/>
  <c r="R248" i="22"/>
  <c r="S248" i="22"/>
  <c r="T248" i="22"/>
  <c r="U248" i="22"/>
  <c r="V248" i="22"/>
  <c r="W248" i="22"/>
  <c r="X248" i="22"/>
  <c r="Y248" i="22"/>
  <c r="Z248" i="22"/>
  <c r="A249" i="22"/>
  <c r="B249" i="22"/>
  <c r="C249" i="22"/>
  <c r="D249" i="22"/>
  <c r="E249" i="22"/>
  <c r="F249" i="22"/>
  <c r="G249" i="22"/>
  <c r="H249" i="22"/>
  <c r="I249" i="22"/>
  <c r="J249" i="22"/>
  <c r="K249" i="22"/>
  <c r="L249" i="22"/>
  <c r="M249" i="22"/>
  <c r="N249" i="22"/>
  <c r="O249" i="22"/>
  <c r="P249" i="22"/>
  <c r="Q249" i="22"/>
  <c r="R249" i="22"/>
  <c r="S249" i="22"/>
  <c r="T249" i="22"/>
  <c r="U249" i="22"/>
  <c r="V249" i="22"/>
  <c r="W249" i="22"/>
  <c r="X249" i="22"/>
  <c r="Y249" i="22"/>
  <c r="Z249" i="22"/>
  <c r="A250" i="22"/>
  <c r="B250" i="22"/>
  <c r="C250" i="22"/>
  <c r="D250" i="22"/>
  <c r="E250" i="22"/>
  <c r="F250" i="22"/>
  <c r="G250" i="22"/>
  <c r="H250" i="22"/>
  <c r="I250" i="22"/>
  <c r="J250" i="22"/>
  <c r="K250" i="22"/>
  <c r="L250" i="22"/>
  <c r="M250" i="22"/>
  <c r="N250" i="22"/>
  <c r="O250" i="22"/>
  <c r="P250" i="22"/>
  <c r="Q250" i="22"/>
  <c r="R250" i="22"/>
  <c r="S250" i="22"/>
  <c r="T250" i="22"/>
  <c r="U250" i="22"/>
  <c r="V250" i="22"/>
  <c r="W250" i="22"/>
  <c r="X250" i="22"/>
  <c r="Y250" i="22"/>
  <c r="Z250" i="22"/>
  <c r="A251" i="22"/>
  <c r="B251" i="22"/>
  <c r="C251" i="22"/>
  <c r="D251" i="22"/>
  <c r="E251" i="22"/>
  <c r="F251" i="22"/>
  <c r="G251" i="22"/>
  <c r="H251" i="22"/>
  <c r="I251" i="22"/>
  <c r="J251" i="22"/>
  <c r="K251" i="22"/>
  <c r="L251" i="22"/>
  <c r="M251" i="22"/>
  <c r="N251" i="22"/>
  <c r="O251" i="22"/>
  <c r="P251" i="22"/>
  <c r="Q251" i="22"/>
  <c r="R251" i="22"/>
  <c r="S251" i="22"/>
  <c r="T251" i="22"/>
  <c r="U251" i="22"/>
  <c r="V251" i="22"/>
  <c r="W251" i="22"/>
  <c r="X251" i="22"/>
  <c r="Y251" i="22"/>
  <c r="Z251" i="22"/>
  <c r="A252" i="22"/>
  <c r="B252" i="22"/>
  <c r="C252" i="22"/>
  <c r="D252" i="22"/>
  <c r="E252" i="22"/>
  <c r="F252" i="22"/>
  <c r="G252" i="22"/>
  <c r="H252" i="22"/>
  <c r="I252" i="22"/>
  <c r="J252" i="22"/>
  <c r="K252" i="22"/>
  <c r="L252" i="22"/>
  <c r="M252" i="22"/>
  <c r="N252" i="22"/>
  <c r="O252" i="22"/>
  <c r="P252" i="22"/>
  <c r="Q252" i="22"/>
  <c r="R252" i="22"/>
  <c r="S252" i="22"/>
  <c r="T252" i="22"/>
  <c r="U252" i="22"/>
  <c r="V252" i="22"/>
  <c r="W252" i="22"/>
  <c r="X252" i="22"/>
  <c r="Y252" i="22"/>
  <c r="Z252" i="22"/>
  <c r="A253" i="22"/>
  <c r="B253" i="22"/>
  <c r="C253" i="22"/>
  <c r="D253" i="22"/>
  <c r="E253" i="22"/>
  <c r="F253" i="22"/>
  <c r="G253" i="22"/>
  <c r="H253" i="22"/>
  <c r="I253" i="22"/>
  <c r="J253" i="22"/>
  <c r="K253" i="22"/>
  <c r="L253" i="22"/>
  <c r="M253" i="22"/>
  <c r="N253" i="22"/>
  <c r="O253" i="22"/>
  <c r="P253" i="22"/>
  <c r="Q253" i="22"/>
  <c r="R253" i="22"/>
  <c r="S253" i="22"/>
  <c r="T253" i="22"/>
  <c r="U253" i="22"/>
  <c r="V253" i="22"/>
  <c r="W253" i="22"/>
  <c r="X253" i="22"/>
  <c r="Y253" i="22"/>
  <c r="Z253" i="22"/>
  <c r="A254" i="22"/>
  <c r="B254" i="22"/>
  <c r="C254" i="22"/>
  <c r="D254" i="22"/>
  <c r="E254" i="22"/>
  <c r="F254" i="22"/>
  <c r="G254" i="22"/>
  <c r="H254" i="22"/>
  <c r="I254" i="22"/>
  <c r="J254" i="22"/>
  <c r="K254" i="22"/>
  <c r="L254" i="22"/>
  <c r="M254" i="22"/>
  <c r="N254" i="22"/>
  <c r="O254" i="22"/>
  <c r="P254" i="22"/>
  <c r="Q254" i="22"/>
  <c r="R254" i="22"/>
  <c r="S254" i="22"/>
  <c r="T254" i="22"/>
  <c r="U254" i="22"/>
  <c r="V254" i="22"/>
  <c r="W254" i="22"/>
  <c r="X254" i="22"/>
  <c r="Y254" i="22"/>
  <c r="Z254" i="22"/>
  <c r="A255" i="22"/>
  <c r="B255" i="22"/>
  <c r="C255" i="22"/>
  <c r="D255" i="22"/>
  <c r="E255" i="22"/>
  <c r="F255" i="22"/>
  <c r="G255" i="22"/>
  <c r="H255" i="22"/>
  <c r="I255" i="22"/>
  <c r="J255" i="22"/>
  <c r="K255" i="22"/>
  <c r="L255" i="22"/>
  <c r="M255" i="22"/>
  <c r="N255" i="22"/>
  <c r="O255" i="22"/>
  <c r="P255" i="22"/>
  <c r="Q255" i="22"/>
  <c r="R255" i="22"/>
  <c r="S255" i="22"/>
  <c r="T255" i="22"/>
  <c r="U255" i="22"/>
  <c r="V255" i="22"/>
  <c r="W255" i="22"/>
  <c r="X255" i="22"/>
  <c r="Y255" i="22"/>
  <c r="Z255" i="22"/>
  <c r="A256" i="22"/>
  <c r="B256" i="22"/>
  <c r="C256" i="22"/>
  <c r="D256" i="22"/>
  <c r="E256" i="22"/>
  <c r="F256" i="22"/>
  <c r="G256" i="22"/>
  <c r="H256" i="22"/>
  <c r="I256" i="22"/>
  <c r="J256" i="22"/>
  <c r="K256" i="22"/>
  <c r="L256" i="22"/>
  <c r="M256" i="22"/>
  <c r="N256" i="22"/>
  <c r="O256" i="22"/>
  <c r="P256" i="22"/>
  <c r="Q256" i="22"/>
  <c r="R256" i="22"/>
  <c r="S256" i="22"/>
  <c r="T256" i="22"/>
  <c r="U256" i="22"/>
  <c r="V256" i="22"/>
  <c r="W256" i="22"/>
  <c r="X256" i="22"/>
  <c r="Y256" i="22"/>
  <c r="Z256" i="22"/>
  <c r="A257" i="22"/>
  <c r="B257" i="22"/>
  <c r="C257" i="22"/>
  <c r="D257" i="22"/>
  <c r="E257" i="22"/>
  <c r="F257" i="22"/>
  <c r="G257" i="22"/>
  <c r="H257" i="22"/>
  <c r="I257" i="22"/>
  <c r="J257" i="22"/>
  <c r="K257" i="22"/>
  <c r="L257" i="22"/>
  <c r="M257" i="22"/>
  <c r="N257" i="22"/>
  <c r="O257" i="22"/>
  <c r="P257" i="22"/>
  <c r="Q257" i="22"/>
  <c r="R257" i="22"/>
  <c r="S257" i="22"/>
  <c r="T257" i="22"/>
  <c r="U257" i="22"/>
  <c r="V257" i="22"/>
  <c r="W257" i="22"/>
  <c r="X257" i="22"/>
  <c r="Y257" i="22"/>
  <c r="Z257" i="22"/>
  <c r="A258" i="22"/>
  <c r="B258" i="22"/>
  <c r="C258" i="22"/>
  <c r="D258" i="22"/>
  <c r="E258" i="22"/>
  <c r="F258" i="22"/>
  <c r="G258" i="22"/>
  <c r="H258" i="22"/>
  <c r="I258" i="22"/>
  <c r="J258" i="22"/>
  <c r="K258" i="22"/>
  <c r="L258" i="22"/>
  <c r="M258" i="22"/>
  <c r="N258" i="22"/>
  <c r="O258" i="22"/>
  <c r="P258" i="22"/>
  <c r="Q258" i="22"/>
  <c r="R258" i="22"/>
  <c r="S258" i="22"/>
  <c r="T258" i="22"/>
  <c r="U258" i="22"/>
  <c r="V258" i="22"/>
  <c r="W258" i="22"/>
  <c r="X258" i="22"/>
  <c r="Y258" i="22"/>
  <c r="Z258" i="22"/>
  <c r="A259" i="22"/>
  <c r="B259" i="22"/>
  <c r="C259" i="22"/>
  <c r="D259" i="22"/>
  <c r="E259" i="22"/>
  <c r="F259" i="22"/>
  <c r="G259" i="22"/>
  <c r="H259" i="22"/>
  <c r="I259" i="22"/>
  <c r="J259" i="22"/>
  <c r="K259" i="22"/>
  <c r="L259" i="22"/>
  <c r="M259" i="22"/>
  <c r="N259" i="22"/>
  <c r="O259" i="22"/>
  <c r="P259" i="22"/>
  <c r="Q259" i="22"/>
  <c r="R259" i="22"/>
  <c r="S259" i="22"/>
  <c r="T259" i="22"/>
  <c r="U259" i="22"/>
  <c r="V259" i="22"/>
  <c r="W259" i="22"/>
  <c r="X259" i="22"/>
  <c r="Y259" i="22"/>
  <c r="Z259" i="22"/>
  <c r="A260" i="22"/>
  <c r="B260" i="22"/>
  <c r="C260" i="22"/>
  <c r="D260" i="22"/>
  <c r="E260" i="22"/>
  <c r="F260" i="22"/>
  <c r="G260" i="22"/>
  <c r="H260" i="22"/>
  <c r="I260" i="22"/>
  <c r="J260" i="22"/>
  <c r="K260" i="22"/>
  <c r="L260" i="22"/>
  <c r="M260" i="22"/>
  <c r="N260" i="22"/>
  <c r="O260" i="22"/>
  <c r="P260" i="22"/>
  <c r="Q260" i="22"/>
  <c r="R260" i="22"/>
  <c r="S260" i="22"/>
  <c r="T260" i="22"/>
  <c r="U260" i="22"/>
  <c r="V260" i="22"/>
  <c r="W260" i="22"/>
  <c r="X260" i="22"/>
  <c r="Y260" i="22"/>
  <c r="Z260" i="22"/>
  <c r="A261" i="22"/>
  <c r="B261" i="22"/>
  <c r="C261" i="22"/>
  <c r="D261" i="22"/>
  <c r="E261" i="22"/>
  <c r="F261" i="22"/>
  <c r="G261" i="22"/>
  <c r="H261" i="22"/>
  <c r="I261" i="22"/>
  <c r="J261" i="22"/>
  <c r="K261" i="22"/>
  <c r="L261" i="22"/>
  <c r="M261" i="22"/>
  <c r="N261" i="22"/>
  <c r="O261" i="22"/>
  <c r="P261" i="22"/>
  <c r="Q261" i="22"/>
  <c r="R261" i="22"/>
  <c r="S261" i="22"/>
  <c r="T261" i="22"/>
  <c r="U261" i="22"/>
  <c r="V261" i="22"/>
  <c r="W261" i="22"/>
  <c r="X261" i="22"/>
  <c r="Y261" i="22"/>
  <c r="Z261" i="22"/>
  <c r="A262" i="22"/>
  <c r="B262" i="22"/>
  <c r="C262" i="22"/>
  <c r="D262" i="22"/>
  <c r="E262" i="22"/>
  <c r="F262" i="22"/>
  <c r="G262" i="22"/>
  <c r="H262" i="22"/>
  <c r="I262" i="22"/>
  <c r="J262" i="22"/>
  <c r="K262" i="22"/>
  <c r="L262" i="22"/>
  <c r="M262" i="22"/>
  <c r="N262" i="22"/>
  <c r="O262" i="22"/>
  <c r="P262" i="22"/>
  <c r="Q262" i="22"/>
  <c r="R262" i="22"/>
  <c r="S262" i="22"/>
  <c r="T262" i="22"/>
  <c r="U262" i="22"/>
  <c r="V262" i="22"/>
  <c r="W262" i="22"/>
  <c r="X262" i="22"/>
  <c r="Y262" i="22"/>
  <c r="Z262" i="22"/>
  <c r="A263" i="22"/>
  <c r="B263" i="22"/>
  <c r="C263" i="22"/>
  <c r="D263" i="22"/>
  <c r="E263" i="22"/>
  <c r="F263" i="22"/>
  <c r="G263" i="22"/>
  <c r="H263" i="22"/>
  <c r="I263" i="22"/>
  <c r="J263" i="22"/>
  <c r="K263" i="22"/>
  <c r="L263" i="22"/>
  <c r="M263" i="22"/>
  <c r="N263" i="22"/>
  <c r="O263" i="22"/>
  <c r="P263" i="22"/>
  <c r="Q263" i="22"/>
  <c r="R263" i="22"/>
  <c r="S263" i="22"/>
  <c r="T263" i="22"/>
  <c r="U263" i="22"/>
  <c r="V263" i="22"/>
  <c r="W263" i="22"/>
  <c r="X263" i="22"/>
  <c r="Y263" i="22"/>
  <c r="Z263" i="22"/>
  <c r="A264" i="22"/>
  <c r="B264" i="22"/>
  <c r="C264" i="22"/>
  <c r="D264" i="22"/>
  <c r="E264" i="22"/>
  <c r="F264" i="22"/>
  <c r="G264" i="22"/>
  <c r="H264" i="22"/>
  <c r="I264" i="22"/>
  <c r="J264" i="22"/>
  <c r="K264" i="22"/>
  <c r="L264" i="22"/>
  <c r="M264" i="22"/>
  <c r="N264" i="22"/>
  <c r="O264" i="22"/>
  <c r="P264" i="22"/>
  <c r="Q264" i="22"/>
  <c r="R264" i="22"/>
  <c r="S264" i="22"/>
  <c r="T264" i="22"/>
  <c r="U264" i="22"/>
  <c r="V264" i="22"/>
  <c r="W264" i="22"/>
  <c r="X264" i="22"/>
  <c r="Y264" i="22"/>
  <c r="Z264" i="22"/>
  <c r="A265" i="22"/>
  <c r="B265" i="22"/>
  <c r="C265" i="22"/>
  <c r="D265" i="22"/>
  <c r="E265" i="22"/>
  <c r="F265" i="22"/>
  <c r="G265" i="22"/>
  <c r="H265" i="22"/>
  <c r="I265" i="22"/>
  <c r="J265" i="22"/>
  <c r="K265" i="22"/>
  <c r="L265" i="22"/>
  <c r="M265" i="22"/>
  <c r="N265" i="22"/>
  <c r="O265" i="22"/>
  <c r="P265" i="22"/>
  <c r="Q265" i="22"/>
  <c r="R265" i="22"/>
  <c r="S265" i="22"/>
  <c r="T265" i="22"/>
  <c r="U265" i="22"/>
  <c r="V265" i="22"/>
  <c r="W265" i="22"/>
  <c r="X265" i="22"/>
  <c r="Y265" i="22"/>
  <c r="Z265" i="22"/>
  <c r="A266" i="22"/>
  <c r="B266" i="22"/>
  <c r="C266" i="22"/>
  <c r="D266" i="22"/>
  <c r="E266" i="22"/>
  <c r="F266" i="22"/>
  <c r="G266" i="22"/>
  <c r="H266" i="22"/>
  <c r="I266" i="22"/>
  <c r="J266" i="22"/>
  <c r="K266" i="22"/>
  <c r="L266" i="22"/>
  <c r="M266" i="22"/>
  <c r="N266" i="22"/>
  <c r="O266" i="22"/>
  <c r="P266" i="22"/>
  <c r="Q266" i="22"/>
  <c r="R266" i="22"/>
  <c r="S266" i="22"/>
  <c r="T266" i="22"/>
  <c r="U266" i="22"/>
  <c r="V266" i="22"/>
  <c r="W266" i="22"/>
  <c r="X266" i="22"/>
  <c r="Y266" i="22"/>
  <c r="Z266" i="22"/>
  <c r="A267" i="22"/>
  <c r="B267" i="22"/>
  <c r="C267" i="22"/>
  <c r="D267" i="22"/>
  <c r="E267" i="22"/>
  <c r="F267" i="22"/>
  <c r="G267" i="22"/>
  <c r="H267" i="22"/>
  <c r="I267" i="22"/>
  <c r="J267" i="22"/>
  <c r="K267" i="22"/>
  <c r="L267" i="22"/>
  <c r="M267" i="22"/>
  <c r="N267" i="22"/>
  <c r="O267" i="22"/>
  <c r="P267" i="22"/>
  <c r="Q267" i="22"/>
  <c r="R267" i="22"/>
  <c r="S267" i="22"/>
  <c r="T267" i="22"/>
  <c r="U267" i="22"/>
  <c r="V267" i="22"/>
  <c r="W267" i="22"/>
  <c r="X267" i="22"/>
  <c r="Y267" i="22"/>
  <c r="Z267" i="22"/>
  <c r="A268" i="22"/>
  <c r="B268" i="22"/>
  <c r="C268" i="22"/>
  <c r="D268" i="22"/>
  <c r="E268" i="22"/>
  <c r="F268" i="22"/>
  <c r="G268" i="22"/>
  <c r="H268" i="22"/>
  <c r="I268" i="22"/>
  <c r="J268" i="22"/>
  <c r="K268" i="22"/>
  <c r="L268" i="22"/>
  <c r="M268" i="22"/>
  <c r="N268" i="22"/>
  <c r="O268" i="22"/>
  <c r="P268" i="22"/>
  <c r="Q268" i="22"/>
  <c r="R268" i="22"/>
  <c r="S268" i="22"/>
  <c r="T268" i="22"/>
  <c r="U268" i="22"/>
  <c r="V268" i="22"/>
  <c r="W268" i="22"/>
  <c r="X268" i="22"/>
  <c r="Y268" i="22"/>
  <c r="Z268" i="22"/>
  <c r="A269" i="22"/>
  <c r="B269" i="22"/>
  <c r="C269" i="22"/>
  <c r="D269" i="22"/>
  <c r="E269" i="22"/>
  <c r="F269" i="22"/>
  <c r="G269" i="22"/>
  <c r="H269" i="22"/>
  <c r="I269" i="22"/>
  <c r="J269" i="22"/>
  <c r="K269" i="22"/>
  <c r="L269" i="22"/>
  <c r="M269" i="22"/>
  <c r="N269" i="22"/>
  <c r="O269" i="22"/>
  <c r="P269" i="22"/>
  <c r="Q269" i="22"/>
  <c r="R269" i="22"/>
  <c r="S269" i="22"/>
  <c r="T269" i="22"/>
  <c r="U269" i="22"/>
  <c r="V269" i="22"/>
  <c r="W269" i="22"/>
  <c r="X269" i="22"/>
  <c r="Y269" i="22"/>
  <c r="Z269" i="22"/>
  <c r="A270" i="22"/>
  <c r="B270" i="22"/>
  <c r="C270" i="22"/>
  <c r="D270" i="22"/>
  <c r="E270" i="22"/>
  <c r="F270" i="22"/>
  <c r="G270" i="22"/>
  <c r="H270" i="22"/>
  <c r="I270" i="22"/>
  <c r="J270" i="22"/>
  <c r="K270" i="22"/>
  <c r="L270" i="22"/>
  <c r="M270" i="22"/>
  <c r="N270" i="22"/>
  <c r="O270" i="22"/>
  <c r="P270" i="22"/>
  <c r="Q270" i="22"/>
  <c r="R270" i="22"/>
  <c r="S270" i="22"/>
  <c r="T270" i="22"/>
  <c r="U270" i="22"/>
  <c r="V270" i="22"/>
  <c r="W270" i="22"/>
  <c r="X270" i="22"/>
  <c r="Y270" i="22"/>
  <c r="Z270" i="22"/>
  <c r="A271" i="22"/>
  <c r="B271" i="22"/>
  <c r="C271" i="22"/>
  <c r="D271" i="22"/>
  <c r="E271" i="22"/>
  <c r="F271" i="22"/>
  <c r="G271" i="22"/>
  <c r="H271" i="22"/>
  <c r="I271" i="22"/>
  <c r="J271" i="22"/>
  <c r="K271" i="22"/>
  <c r="L271" i="22"/>
  <c r="M271" i="22"/>
  <c r="N271" i="22"/>
  <c r="O271" i="22"/>
  <c r="P271" i="22"/>
  <c r="Q271" i="22"/>
  <c r="R271" i="22"/>
  <c r="S271" i="22"/>
  <c r="T271" i="22"/>
  <c r="U271" i="22"/>
  <c r="V271" i="22"/>
  <c r="W271" i="22"/>
  <c r="X271" i="22"/>
  <c r="Y271" i="22"/>
  <c r="Z271" i="22"/>
  <c r="A272" i="22"/>
  <c r="B272" i="22"/>
  <c r="C272" i="22"/>
  <c r="D272" i="22"/>
  <c r="E272" i="22"/>
  <c r="F272" i="22"/>
  <c r="G272" i="22"/>
  <c r="H272" i="22"/>
  <c r="I272" i="22"/>
  <c r="J272" i="22"/>
  <c r="K272" i="22"/>
  <c r="L272" i="22"/>
  <c r="M272" i="22"/>
  <c r="N272" i="22"/>
  <c r="O272" i="22"/>
  <c r="P272" i="22"/>
  <c r="Q272" i="22"/>
  <c r="R272" i="22"/>
  <c r="S272" i="22"/>
  <c r="T272" i="22"/>
  <c r="U272" i="22"/>
  <c r="V272" i="22"/>
  <c r="W272" i="22"/>
  <c r="X272" i="22"/>
  <c r="Y272" i="22"/>
  <c r="Z272" i="22"/>
  <c r="A273" i="22"/>
  <c r="B273" i="22"/>
  <c r="C273" i="22"/>
  <c r="D273" i="22"/>
  <c r="E273" i="22"/>
  <c r="F273" i="22"/>
  <c r="G273" i="22"/>
  <c r="H273" i="22"/>
  <c r="I273" i="22"/>
  <c r="J273" i="22"/>
  <c r="K273" i="22"/>
  <c r="L273" i="22"/>
  <c r="M273" i="22"/>
  <c r="N273" i="22"/>
  <c r="O273" i="22"/>
  <c r="P273" i="22"/>
  <c r="Q273" i="22"/>
  <c r="R273" i="22"/>
  <c r="S273" i="22"/>
  <c r="T273" i="22"/>
  <c r="U273" i="22"/>
  <c r="V273" i="22"/>
  <c r="W273" i="22"/>
  <c r="X273" i="22"/>
  <c r="Y273" i="22"/>
  <c r="Z273" i="22"/>
  <c r="A274" i="22"/>
  <c r="B274" i="22"/>
  <c r="C274" i="22"/>
  <c r="D274" i="22"/>
  <c r="E274" i="22"/>
  <c r="F274" i="22"/>
  <c r="G274" i="22"/>
  <c r="H274" i="22"/>
  <c r="I274" i="22"/>
  <c r="J274" i="22"/>
  <c r="K274" i="22"/>
  <c r="L274" i="22"/>
  <c r="M274" i="22"/>
  <c r="N274" i="22"/>
  <c r="O274" i="22"/>
  <c r="P274" i="22"/>
  <c r="Q274" i="22"/>
  <c r="R274" i="22"/>
  <c r="S274" i="22"/>
  <c r="T274" i="22"/>
  <c r="U274" i="22"/>
  <c r="V274" i="22"/>
  <c r="W274" i="22"/>
  <c r="X274" i="22"/>
  <c r="Y274" i="22"/>
  <c r="Z274" i="22"/>
  <c r="A275" i="22"/>
  <c r="B275" i="22"/>
  <c r="C275" i="22"/>
  <c r="D275" i="22"/>
  <c r="E275" i="22"/>
  <c r="F275" i="22"/>
  <c r="G275" i="22"/>
  <c r="H275" i="22"/>
  <c r="I275" i="22"/>
  <c r="J275" i="22"/>
  <c r="K275" i="22"/>
  <c r="L275" i="22"/>
  <c r="M275" i="22"/>
  <c r="N275" i="22"/>
  <c r="O275" i="22"/>
  <c r="P275" i="22"/>
  <c r="Q275" i="22"/>
  <c r="R275" i="22"/>
  <c r="S275" i="22"/>
  <c r="T275" i="22"/>
  <c r="U275" i="22"/>
  <c r="V275" i="22"/>
  <c r="W275" i="22"/>
  <c r="X275" i="22"/>
  <c r="Y275" i="22"/>
  <c r="Z275" i="22"/>
  <c r="A276" i="22"/>
  <c r="B276" i="22"/>
  <c r="C276" i="22"/>
  <c r="D276" i="22"/>
  <c r="E276" i="22"/>
  <c r="F276" i="22"/>
  <c r="G276" i="22"/>
  <c r="H276" i="22"/>
  <c r="I276" i="22"/>
  <c r="J276" i="22"/>
  <c r="K276" i="22"/>
  <c r="L276" i="22"/>
  <c r="M276" i="22"/>
  <c r="N276" i="22"/>
  <c r="O276" i="22"/>
  <c r="P276" i="22"/>
  <c r="Q276" i="22"/>
  <c r="R276" i="22"/>
  <c r="S276" i="22"/>
  <c r="T276" i="22"/>
  <c r="U276" i="22"/>
  <c r="V276" i="22"/>
  <c r="W276" i="22"/>
  <c r="X276" i="22"/>
  <c r="Y276" i="22"/>
  <c r="Z276" i="22"/>
  <c r="A277" i="22"/>
  <c r="B277" i="22"/>
  <c r="C277" i="22"/>
  <c r="D277" i="22"/>
  <c r="E277" i="22"/>
  <c r="F277" i="22"/>
  <c r="G277" i="22"/>
  <c r="H277" i="22"/>
  <c r="I277" i="22"/>
  <c r="J277" i="22"/>
  <c r="K277" i="22"/>
  <c r="L277" i="22"/>
  <c r="M277" i="22"/>
  <c r="N277" i="22"/>
  <c r="O277" i="22"/>
  <c r="P277" i="22"/>
  <c r="Q277" i="22"/>
  <c r="R277" i="22"/>
  <c r="S277" i="22"/>
  <c r="T277" i="22"/>
  <c r="U277" i="22"/>
  <c r="V277" i="22"/>
  <c r="W277" i="22"/>
  <c r="X277" i="22"/>
  <c r="Y277" i="22"/>
  <c r="Z277" i="22"/>
  <c r="A278" i="22"/>
  <c r="B278" i="22"/>
  <c r="C278" i="22"/>
  <c r="D278" i="22"/>
  <c r="E278" i="22"/>
  <c r="F278" i="22"/>
  <c r="G278" i="22"/>
  <c r="H278" i="22"/>
  <c r="I278" i="22"/>
  <c r="J278" i="22"/>
  <c r="K278" i="22"/>
  <c r="L278" i="22"/>
  <c r="M278" i="22"/>
  <c r="N278" i="22"/>
  <c r="O278" i="22"/>
  <c r="P278" i="22"/>
  <c r="Q278" i="22"/>
  <c r="R278" i="22"/>
  <c r="S278" i="22"/>
  <c r="T278" i="22"/>
  <c r="U278" i="22"/>
  <c r="V278" i="22"/>
  <c r="W278" i="22"/>
  <c r="X278" i="22"/>
  <c r="Y278" i="22"/>
  <c r="Z278" i="22"/>
  <c r="A279" i="22"/>
  <c r="B279" i="22"/>
  <c r="C279" i="22"/>
  <c r="D279" i="22"/>
  <c r="E279" i="22"/>
  <c r="F279" i="22"/>
  <c r="G279" i="22"/>
  <c r="H279" i="22"/>
  <c r="I279" i="22"/>
  <c r="J279" i="22"/>
  <c r="K279" i="22"/>
  <c r="L279" i="22"/>
  <c r="M279" i="22"/>
  <c r="N279" i="22"/>
  <c r="O279" i="22"/>
  <c r="P279" i="22"/>
  <c r="Q279" i="22"/>
  <c r="R279" i="22"/>
  <c r="S279" i="22"/>
  <c r="T279" i="22"/>
  <c r="U279" i="22"/>
  <c r="V279" i="22"/>
  <c r="W279" i="22"/>
  <c r="X279" i="22"/>
  <c r="Y279" i="22"/>
  <c r="Z279" i="22"/>
  <c r="A280" i="22"/>
  <c r="B280" i="22"/>
  <c r="C280" i="22"/>
  <c r="D280" i="22"/>
  <c r="E280" i="22"/>
  <c r="F280" i="22"/>
  <c r="G280" i="22"/>
  <c r="H280" i="22"/>
  <c r="I280" i="22"/>
  <c r="J280" i="22"/>
  <c r="K280" i="22"/>
  <c r="L280" i="22"/>
  <c r="M280" i="22"/>
  <c r="N280" i="22"/>
  <c r="O280" i="22"/>
  <c r="P280" i="22"/>
  <c r="Q280" i="22"/>
  <c r="R280" i="22"/>
  <c r="S280" i="22"/>
  <c r="T280" i="22"/>
  <c r="U280" i="22"/>
  <c r="V280" i="22"/>
  <c r="W280" i="22"/>
  <c r="X280" i="22"/>
  <c r="Y280" i="22"/>
  <c r="Z280" i="22"/>
  <c r="A281" i="22"/>
  <c r="B281" i="22"/>
  <c r="C281" i="22"/>
  <c r="D281" i="22"/>
  <c r="E281" i="22"/>
  <c r="F281" i="22"/>
  <c r="G281" i="22"/>
  <c r="H281" i="22"/>
  <c r="I281" i="22"/>
  <c r="J281" i="22"/>
  <c r="K281" i="22"/>
  <c r="L281" i="22"/>
  <c r="M281" i="22"/>
  <c r="N281" i="22"/>
  <c r="O281" i="22"/>
  <c r="P281" i="22"/>
  <c r="Q281" i="22"/>
  <c r="R281" i="22"/>
  <c r="S281" i="22"/>
  <c r="T281" i="22"/>
  <c r="U281" i="22"/>
  <c r="V281" i="22"/>
  <c r="W281" i="22"/>
  <c r="X281" i="22"/>
  <c r="Y281" i="22"/>
  <c r="Z281" i="22"/>
  <c r="A282" i="22"/>
  <c r="B282" i="22"/>
  <c r="C282" i="22"/>
  <c r="D282" i="22"/>
  <c r="E282" i="22"/>
  <c r="F282" i="22"/>
  <c r="G282" i="22"/>
  <c r="H282" i="22"/>
  <c r="I282" i="22"/>
  <c r="J282" i="22"/>
  <c r="K282" i="22"/>
  <c r="L282" i="22"/>
  <c r="M282" i="22"/>
  <c r="N282" i="22"/>
  <c r="O282" i="22"/>
  <c r="P282" i="22"/>
  <c r="Q282" i="22"/>
  <c r="R282" i="22"/>
  <c r="S282" i="22"/>
  <c r="T282" i="22"/>
  <c r="U282" i="22"/>
  <c r="V282" i="22"/>
  <c r="W282" i="22"/>
  <c r="X282" i="22"/>
  <c r="Y282" i="22"/>
  <c r="Z282" i="22"/>
  <c r="A283" i="22"/>
  <c r="B283" i="22"/>
  <c r="C283" i="22"/>
  <c r="D283" i="22"/>
  <c r="E283" i="22"/>
  <c r="F283" i="22"/>
  <c r="G283" i="22"/>
  <c r="H283" i="22"/>
  <c r="I283" i="22"/>
  <c r="J283" i="22"/>
  <c r="K283" i="22"/>
  <c r="L283" i="22"/>
  <c r="M283" i="22"/>
  <c r="N283" i="22"/>
  <c r="O283" i="22"/>
  <c r="P283" i="22"/>
  <c r="Q283" i="22"/>
  <c r="R283" i="22"/>
  <c r="S283" i="22"/>
  <c r="T283" i="22"/>
  <c r="U283" i="22"/>
  <c r="V283" i="22"/>
  <c r="W283" i="22"/>
  <c r="X283" i="22"/>
  <c r="Y283" i="22"/>
  <c r="Z283" i="22"/>
  <c r="A284" i="22"/>
  <c r="B284" i="22"/>
  <c r="C284" i="22"/>
  <c r="D284" i="22"/>
  <c r="E284" i="22"/>
  <c r="F284" i="22"/>
  <c r="G284" i="22"/>
  <c r="H284" i="22"/>
  <c r="I284" i="22"/>
  <c r="J284" i="22"/>
  <c r="K284" i="22"/>
  <c r="L284" i="22"/>
  <c r="M284" i="22"/>
  <c r="N284" i="22"/>
  <c r="O284" i="22"/>
  <c r="P284" i="22"/>
  <c r="Q284" i="22"/>
  <c r="R284" i="22"/>
  <c r="S284" i="22"/>
  <c r="T284" i="22"/>
  <c r="U284" i="22"/>
  <c r="V284" i="22"/>
  <c r="W284" i="22"/>
  <c r="X284" i="22"/>
  <c r="Y284" i="22"/>
  <c r="Z284" i="22"/>
  <c r="A285" i="22"/>
  <c r="B285" i="22"/>
  <c r="C285" i="22"/>
  <c r="D285" i="22"/>
  <c r="E285" i="22"/>
  <c r="F285" i="22"/>
  <c r="G285" i="22"/>
  <c r="H285" i="22"/>
  <c r="I285" i="22"/>
  <c r="J285" i="22"/>
  <c r="K285" i="22"/>
  <c r="L285" i="22"/>
  <c r="M285" i="22"/>
  <c r="N285" i="22"/>
  <c r="O285" i="22"/>
  <c r="P285" i="22"/>
  <c r="Q285" i="22"/>
  <c r="R285" i="22"/>
  <c r="S285" i="22"/>
  <c r="T285" i="22"/>
  <c r="U285" i="22"/>
  <c r="V285" i="22"/>
  <c r="W285" i="22"/>
  <c r="X285" i="22"/>
  <c r="Y285" i="22"/>
  <c r="Z285" i="22"/>
  <c r="A286" i="22"/>
  <c r="B286" i="22"/>
  <c r="C286" i="22"/>
  <c r="D286" i="22"/>
  <c r="E286" i="22"/>
  <c r="F286" i="22"/>
  <c r="G286" i="22"/>
  <c r="H286" i="22"/>
  <c r="I286" i="22"/>
  <c r="J286" i="22"/>
  <c r="K286" i="22"/>
  <c r="L286" i="22"/>
  <c r="M286" i="22"/>
  <c r="N286" i="22"/>
  <c r="O286" i="22"/>
  <c r="P286" i="22"/>
  <c r="Q286" i="22"/>
  <c r="R286" i="22"/>
  <c r="S286" i="22"/>
  <c r="T286" i="22"/>
  <c r="U286" i="22"/>
  <c r="V286" i="22"/>
  <c r="W286" i="22"/>
  <c r="X286" i="22"/>
  <c r="Y286" i="22"/>
  <c r="Z286" i="22"/>
  <c r="A287" i="22"/>
  <c r="B287" i="22"/>
  <c r="C287" i="22"/>
  <c r="D287" i="22"/>
  <c r="E287" i="22"/>
  <c r="F287" i="22"/>
  <c r="G287" i="22"/>
  <c r="H287" i="22"/>
  <c r="I287" i="22"/>
  <c r="J287" i="22"/>
  <c r="K287" i="22"/>
  <c r="L287" i="22"/>
  <c r="M287" i="22"/>
  <c r="N287" i="22"/>
  <c r="O287" i="22"/>
  <c r="P287" i="22"/>
  <c r="Q287" i="22"/>
  <c r="R287" i="22"/>
  <c r="S287" i="22"/>
  <c r="T287" i="22"/>
  <c r="U287" i="22"/>
  <c r="V287" i="22"/>
  <c r="W287" i="22"/>
  <c r="X287" i="22"/>
  <c r="Y287" i="22"/>
  <c r="Z287" i="22"/>
  <c r="A288" i="22"/>
  <c r="B288" i="22"/>
  <c r="C288" i="22"/>
  <c r="D288" i="22"/>
  <c r="E288" i="22"/>
  <c r="F288" i="22"/>
  <c r="G288" i="22"/>
  <c r="H288" i="22"/>
  <c r="I288" i="22"/>
  <c r="J288" i="22"/>
  <c r="K288" i="22"/>
  <c r="L288" i="22"/>
  <c r="M288" i="22"/>
  <c r="N288" i="22"/>
  <c r="O288" i="22"/>
  <c r="P288" i="22"/>
  <c r="Q288" i="22"/>
  <c r="R288" i="22"/>
  <c r="S288" i="22"/>
  <c r="T288" i="22"/>
  <c r="U288" i="22"/>
  <c r="V288" i="22"/>
  <c r="W288" i="22"/>
  <c r="X288" i="22"/>
  <c r="Y288" i="22"/>
  <c r="Z288" i="22"/>
  <c r="A289" i="22"/>
  <c r="B289" i="22"/>
  <c r="C289" i="22"/>
  <c r="D289" i="22"/>
  <c r="E289" i="22"/>
  <c r="F289" i="22"/>
  <c r="G289" i="22"/>
  <c r="H289" i="22"/>
  <c r="I289" i="22"/>
  <c r="J289" i="22"/>
  <c r="K289" i="22"/>
  <c r="L289" i="22"/>
  <c r="M289" i="22"/>
  <c r="N289" i="22"/>
  <c r="O289" i="22"/>
  <c r="P289" i="22"/>
  <c r="Q289" i="22"/>
  <c r="R289" i="22"/>
  <c r="S289" i="22"/>
  <c r="T289" i="22"/>
  <c r="U289" i="22"/>
  <c r="V289" i="22"/>
  <c r="W289" i="22"/>
  <c r="X289" i="22"/>
  <c r="Y289" i="22"/>
  <c r="Z289" i="22"/>
  <c r="A290" i="22"/>
  <c r="B290" i="22"/>
  <c r="C290" i="22"/>
  <c r="D290" i="22"/>
  <c r="E290" i="22"/>
  <c r="F290" i="22"/>
  <c r="G290" i="22"/>
  <c r="H290" i="22"/>
  <c r="I290" i="22"/>
  <c r="J290" i="22"/>
  <c r="K290" i="22"/>
  <c r="L290" i="22"/>
  <c r="M290" i="22"/>
  <c r="N290" i="22"/>
  <c r="O290" i="22"/>
  <c r="P290" i="22"/>
  <c r="Q290" i="22"/>
  <c r="R290" i="22"/>
  <c r="S290" i="22"/>
  <c r="T290" i="22"/>
  <c r="U290" i="22"/>
  <c r="V290" i="22"/>
  <c r="W290" i="22"/>
  <c r="X290" i="22"/>
  <c r="Y290" i="22"/>
  <c r="Z290" i="22"/>
  <c r="A291" i="22"/>
  <c r="B291" i="22"/>
  <c r="C291" i="22"/>
  <c r="D291" i="22"/>
  <c r="E291" i="22"/>
  <c r="F291" i="22"/>
  <c r="G291" i="22"/>
  <c r="H291" i="22"/>
  <c r="I291" i="22"/>
  <c r="J291" i="22"/>
  <c r="K291" i="22"/>
  <c r="L291" i="22"/>
  <c r="M291" i="22"/>
  <c r="N291" i="22"/>
  <c r="O291" i="22"/>
  <c r="P291" i="22"/>
  <c r="Q291" i="22"/>
  <c r="R291" i="22"/>
  <c r="S291" i="22"/>
  <c r="T291" i="22"/>
  <c r="U291" i="22"/>
  <c r="V291" i="22"/>
  <c r="W291" i="22"/>
  <c r="X291" i="22"/>
  <c r="Y291" i="22"/>
  <c r="Z291" i="22"/>
  <c r="A292" i="22"/>
  <c r="B292" i="22"/>
  <c r="C292" i="22"/>
  <c r="D292" i="22"/>
  <c r="E292" i="22"/>
  <c r="F292" i="22"/>
  <c r="G292" i="22"/>
  <c r="H292" i="22"/>
  <c r="I292" i="22"/>
  <c r="J292" i="22"/>
  <c r="K292" i="22"/>
  <c r="L292" i="22"/>
  <c r="M292" i="22"/>
  <c r="N292" i="22"/>
  <c r="O292" i="22"/>
  <c r="P292" i="22"/>
  <c r="Q292" i="22"/>
  <c r="R292" i="22"/>
  <c r="S292" i="22"/>
  <c r="T292" i="22"/>
  <c r="U292" i="22"/>
  <c r="V292" i="22"/>
  <c r="W292" i="22"/>
  <c r="X292" i="22"/>
  <c r="Y292" i="22"/>
  <c r="Z292" i="22"/>
  <c r="A293" i="22"/>
  <c r="B293" i="22"/>
  <c r="C293" i="22"/>
  <c r="D293" i="22"/>
  <c r="E293" i="22"/>
  <c r="F293" i="22"/>
  <c r="G293" i="22"/>
  <c r="H293" i="22"/>
  <c r="I293" i="22"/>
  <c r="J293" i="22"/>
  <c r="K293" i="22"/>
  <c r="L293" i="22"/>
  <c r="M293" i="22"/>
  <c r="N293" i="22"/>
  <c r="O293" i="22"/>
  <c r="P293" i="22"/>
  <c r="Q293" i="22"/>
  <c r="R293" i="22"/>
  <c r="S293" i="22"/>
  <c r="T293" i="22"/>
  <c r="U293" i="22"/>
  <c r="V293" i="22"/>
  <c r="W293" i="22"/>
  <c r="X293" i="22"/>
  <c r="Y293" i="22"/>
  <c r="Z293" i="22"/>
  <c r="A294" i="22"/>
  <c r="B294" i="22"/>
  <c r="C294" i="22"/>
  <c r="D294" i="22"/>
  <c r="E294" i="22"/>
  <c r="F294" i="22"/>
  <c r="G294" i="22"/>
  <c r="H294" i="22"/>
  <c r="I294" i="22"/>
  <c r="J294" i="22"/>
  <c r="K294" i="22"/>
  <c r="L294" i="22"/>
  <c r="M294" i="22"/>
  <c r="N294" i="22"/>
  <c r="O294" i="22"/>
  <c r="P294" i="22"/>
  <c r="Q294" i="22"/>
  <c r="R294" i="22"/>
  <c r="S294" i="22"/>
  <c r="T294" i="22"/>
  <c r="U294" i="22"/>
  <c r="V294" i="22"/>
  <c r="W294" i="22"/>
  <c r="X294" i="22"/>
  <c r="Y294" i="22"/>
  <c r="Z294" i="22"/>
  <c r="A295" i="22"/>
  <c r="B295" i="22"/>
  <c r="C295" i="22"/>
  <c r="D295" i="22"/>
  <c r="E295" i="22"/>
  <c r="F295" i="22"/>
  <c r="G295" i="22"/>
  <c r="H295" i="22"/>
  <c r="I295" i="22"/>
  <c r="J295" i="22"/>
  <c r="K295" i="22"/>
  <c r="L295" i="22"/>
  <c r="M295" i="22"/>
  <c r="N295" i="22"/>
  <c r="O295" i="22"/>
  <c r="P295" i="22"/>
  <c r="Q295" i="22"/>
  <c r="R295" i="22"/>
  <c r="S295" i="22"/>
  <c r="T295" i="22"/>
  <c r="U295" i="22"/>
  <c r="V295" i="22"/>
  <c r="W295" i="22"/>
  <c r="X295" i="22"/>
  <c r="Y295" i="22"/>
  <c r="Z295" i="22"/>
  <c r="A296" i="22"/>
  <c r="B296" i="22"/>
  <c r="C296" i="22"/>
  <c r="D296" i="22"/>
  <c r="E296" i="22"/>
  <c r="F296" i="22"/>
  <c r="G296" i="22"/>
  <c r="H296" i="22"/>
  <c r="I296" i="22"/>
  <c r="J296" i="22"/>
  <c r="K296" i="22"/>
  <c r="L296" i="22"/>
  <c r="M296" i="22"/>
  <c r="N296" i="22"/>
  <c r="O296" i="22"/>
  <c r="P296" i="22"/>
  <c r="Q296" i="22"/>
  <c r="R296" i="22"/>
  <c r="S296" i="22"/>
  <c r="T296" i="22"/>
  <c r="U296" i="22"/>
  <c r="V296" i="22"/>
  <c r="W296" i="22"/>
  <c r="X296" i="22"/>
  <c r="Y296" i="22"/>
  <c r="Z296" i="22"/>
  <c r="A297" i="22"/>
  <c r="B297" i="22"/>
  <c r="C297" i="22"/>
  <c r="D297" i="22"/>
  <c r="E297" i="22"/>
  <c r="F297" i="22"/>
  <c r="G297" i="22"/>
  <c r="H297" i="22"/>
  <c r="I297" i="22"/>
  <c r="J297" i="22"/>
  <c r="K297" i="22"/>
  <c r="L297" i="22"/>
  <c r="M297" i="22"/>
  <c r="N297" i="22"/>
  <c r="O297" i="22"/>
  <c r="P297" i="22"/>
  <c r="Q297" i="22"/>
  <c r="R297" i="22"/>
  <c r="S297" i="22"/>
  <c r="T297" i="22"/>
  <c r="U297" i="22"/>
  <c r="V297" i="22"/>
  <c r="W297" i="22"/>
  <c r="X297" i="22"/>
  <c r="Y297" i="22"/>
  <c r="Z297" i="22"/>
  <c r="A298" i="22"/>
  <c r="B298" i="22"/>
  <c r="C298" i="22"/>
  <c r="D298" i="22"/>
  <c r="E298" i="22"/>
  <c r="F298" i="22"/>
  <c r="G298" i="22"/>
  <c r="H298" i="22"/>
  <c r="I298" i="22"/>
  <c r="J298" i="22"/>
  <c r="K298" i="22"/>
  <c r="L298" i="22"/>
  <c r="M298" i="22"/>
  <c r="N298" i="22"/>
  <c r="O298" i="22"/>
  <c r="P298" i="22"/>
  <c r="Q298" i="22"/>
  <c r="R298" i="22"/>
  <c r="S298" i="22"/>
  <c r="T298" i="22"/>
  <c r="U298" i="22"/>
  <c r="V298" i="22"/>
  <c r="W298" i="22"/>
  <c r="X298" i="22"/>
  <c r="Y298" i="22"/>
  <c r="Z298" i="22"/>
  <c r="A299" i="22"/>
  <c r="B299" i="22"/>
  <c r="C299" i="22"/>
  <c r="D299" i="22"/>
  <c r="E299" i="22"/>
  <c r="F299" i="22"/>
  <c r="G299" i="22"/>
  <c r="H299" i="22"/>
  <c r="I299" i="22"/>
  <c r="J299" i="22"/>
  <c r="K299" i="22"/>
  <c r="L299" i="22"/>
  <c r="M299" i="22"/>
  <c r="N299" i="22"/>
  <c r="O299" i="22"/>
  <c r="P299" i="22"/>
  <c r="Q299" i="22"/>
  <c r="R299" i="22"/>
  <c r="S299" i="22"/>
  <c r="T299" i="22"/>
  <c r="U299" i="22"/>
  <c r="V299" i="22"/>
  <c r="W299" i="22"/>
  <c r="X299" i="22"/>
  <c r="Y299" i="22"/>
  <c r="Z299" i="22"/>
  <c r="A300" i="22"/>
  <c r="B300" i="22"/>
  <c r="C300" i="22"/>
  <c r="D300" i="22"/>
  <c r="E300" i="22"/>
  <c r="F300" i="22"/>
  <c r="G300" i="22"/>
  <c r="H300" i="22"/>
  <c r="I300" i="22"/>
  <c r="J300" i="22"/>
  <c r="K300" i="22"/>
  <c r="L300" i="22"/>
  <c r="M300" i="22"/>
  <c r="N300" i="22"/>
  <c r="O300" i="22"/>
  <c r="P300" i="22"/>
  <c r="Q300" i="22"/>
  <c r="R300" i="22"/>
  <c r="S300" i="22"/>
  <c r="T300" i="22"/>
  <c r="U300" i="22"/>
  <c r="V300" i="22"/>
  <c r="W300" i="22"/>
  <c r="X300" i="22"/>
  <c r="Y300" i="22"/>
  <c r="Z300" i="22"/>
  <c r="A301" i="22"/>
  <c r="B301" i="22"/>
  <c r="C301" i="22"/>
  <c r="D301" i="22"/>
  <c r="E301" i="22"/>
  <c r="F301" i="22"/>
  <c r="G301" i="22"/>
  <c r="H301" i="22"/>
  <c r="I301" i="22"/>
  <c r="J301" i="22"/>
  <c r="K301" i="22"/>
  <c r="L301" i="22"/>
  <c r="M301" i="22"/>
  <c r="N301" i="22"/>
  <c r="O301" i="22"/>
  <c r="P301" i="22"/>
  <c r="Q301" i="22"/>
  <c r="R301" i="22"/>
  <c r="S301" i="22"/>
  <c r="T301" i="22"/>
  <c r="U301" i="22"/>
  <c r="V301" i="22"/>
  <c r="W301" i="22"/>
  <c r="X301" i="22"/>
  <c r="Y301" i="22"/>
  <c r="Z301" i="22"/>
  <c r="A302" i="22"/>
  <c r="B302" i="22"/>
  <c r="C302" i="22"/>
  <c r="D302" i="22"/>
  <c r="E302" i="22"/>
  <c r="F302" i="22"/>
  <c r="G302" i="22"/>
  <c r="H302" i="22"/>
  <c r="I302" i="22"/>
  <c r="J302" i="22"/>
  <c r="K302" i="22"/>
  <c r="L302" i="22"/>
  <c r="M302" i="22"/>
  <c r="N302" i="22"/>
  <c r="O302" i="22"/>
  <c r="P302" i="22"/>
  <c r="Q302" i="22"/>
  <c r="R302" i="22"/>
  <c r="S302" i="22"/>
  <c r="T302" i="22"/>
  <c r="U302" i="22"/>
  <c r="V302" i="22"/>
  <c r="W302" i="22"/>
  <c r="X302" i="22"/>
  <c r="Y302" i="22"/>
  <c r="Z302" i="22"/>
  <c r="A303" i="22"/>
  <c r="B303" i="22"/>
  <c r="C303" i="22"/>
  <c r="D303" i="22"/>
  <c r="E303" i="22"/>
  <c r="F303" i="22"/>
  <c r="G303" i="22"/>
  <c r="H303" i="22"/>
  <c r="I303" i="22"/>
  <c r="J303" i="22"/>
  <c r="K303" i="22"/>
  <c r="L303" i="22"/>
  <c r="M303" i="22"/>
  <c r="N303" i="22"/>
  <c r="O303" i="22"/>
  <c r="P303" i="22"/>
  <c r="Q303" i="22"/>
  <c r="R303" i="22"/>
  <c r="S303" i="22"/>
  <c r="T303" i="22"/>
  <c r="U303" i="22"/>
  <c r="V303" i="22"/>
  <c r="W303" i="22"/>
  <c r="X303" i="22"/>
  <c r="Y303" i="22"/>
  <c r="Z303" i="22"/>
  <c r="A304" i="22"/>
  <c r="B304" i="22"/>
  <c r="C304" i="22"/>
  <c r="D304" i="22"/>
  <c r="E304" i="22"/>
  <c r="F304" i="22"/>
  <c r="G304" i="22"/>
  <c r="H304" i="22"/>
  <c r="I304" i="22"/>
  <c r="J304" i="22"/>
  <c r="K304" i="22"/>
  <c r="L304" i="22"/>
  <c r="M304" i="22"/>
  <c r="N304" i="22"/>
  <c r="O304" i="22"/>
  <c r="P304" i="22"/>
  <c r="Q304" i="22"/>
  <c r="R304" i="22"/>
  <c r="S304" i="22"/>
  <c r="T304" i="22"/>
  <c r="U304" i="22"/>
  <c r="V304" i="22"/>
  <c r="W304" i="22"/>
  <c r="X304" i="22"/>
  <c r="Y304" i="22"/>
  <c r="Z304" i="22"/>
  <c r="A305" i="22"/>
  <c r="B305" i="22"/>
  <c r="C305" i="22"/>
  <c r="D305" i="22"/>
  <c r="E305" i="22"/>
  <c r="F305" i="22"/>
  <c r="G305" i="22"/>
  <c r="H305" i="22"/>
  <c r="I305" i="22"/>
  <c r="J305" i="22"/>
  <c r="K305" i="22"/>
  <c r="L305" i="22"/>
  <c r="M305" i="22"/>
  <c r="N305" i="22"/>
  <c r="O305" i="22"/>
  <c r="P305" i="22"/>
  <c r="Q305" i="22"/>
  <c r="R305" i="22"/>
  <c r="S305" i="22"/>
  <c r="T305" i="22"/>
  <c r="U305" i="22"/>
  <c r="V305" i="22"/>
  <c r="W305" i="22"/>
  <c r="X305" i="22"/>
  <c r="Y305" i="22"/>
  <c r="Z305" i="22"/>
  <c r="A306" i="22"/>
  <c r="B306" i="22"/>
  <c r="C306" i="22"/>
  <c r="D306" i="22"/>
  <c r="E306" i="22"/>
  <c r="F306" i="22"/>
  <c r="G306" i="22"/>
  <c r="H306" i="22"/>
  <c r="I306" i="22"/>
  <c r="J306" i="22"/>
  <c r="K306" i="22"/>
  <c r="L306" i="22"/>
  <c r="M306" i="22"/>
  <c r="N306" i="22"/>
  <c r="O306" i="22"/>
  <c r="P306" i="22"/>
  <c r="Q306" i="22"/>
  <c r="R306" i="22"/>
  <c r="S306" i="22"/>
  <c r="T306" i="22"/>
  <c r="U306" i="22"/>
  <c r="V306" i="22"/>
  <c r="W306" i="22"/>
  <c r="X306" i="22"/>
  <c r="Y306" i="22"/>
  <c r="Z306" i="22"/>
  <c r="A307" i="22"/>
  <c r="B307" i="22"/>
  <c r="C307" i="22"/>
  <c r="D307" i="22"/>
  <c r="E307" i="22"/>
  <c r="F307" i="22"/>
  <c r="G307" i="22"/>
  <c r="H307" i="22"/>
  <c r="I307" i="22"/>
  <c r="J307" i="22"/>
  <c r="K307" i="22"/>
  <c r="L307" i="22"/>
  <c r="M307" i="22"/>
  <c r="N307" i="22"/>
  <c r="O307" i="22"/>
  <c r="P307" i="22"/>
  <c r="Q307" i="22"/>
  <c r="R307" i="22"/>
  <c r="S307" i="22"/>
  <c r="T307" i="22"/>
  <c r="U307" i="22"/>
  <c r="V307" i="22"/>
  <c r="W307" i="22"/>
  <c r="X307" i="22"/>
  <c r="Y307" i="22"/>
  <c r="Z307" i="22"/>
  <c r="A308" i="22"/>
  <c r="B308" i="22"/>
  <c r="C308" i="22"/>
  <c r="D308" i="22"/>
  <c r="E308" i="22"/>
  <c r="F308" i="22"/>
  <c r="G308" i="22"/>
  <c r="H308" i="22"/>
  <c r="I308" i="22"/>
  <c r="J308" i="22"/>
  <c r="K308" i="22"/>
  <c r="L308" i="22"/>
  <c r="M308" i="22"/>
  <c r="N308" i="22"/>
  <c r="O308" i="22"/>
  <c r="P308" i="22"/>
  <c r="Q308" i="22"/>
  <c r="R308" i="22"/>
  <c r="S308" i="22"/>
  <c r="T308" i="22"/>
  <c r="U308" i="22"/>
  <c r="V308" i="22"/>
  <c r="W308" i="22"/>
  <c r="X308" i="22"/>
  <c r="Y308" i="22"/>
  <c r="Z308" i="22"/>
  <c r="A309" i="22"/>
  <c r="B309" i="22"/>
  <c r="C309" i="22"/>
  <c r="D309" i="22"/>
  <c r="E309" i="22"/>
  <c r="F309" i="22"/>
  <c r="G309" i="22"/>
  <c r="H309" i="22"/>
  <c r="I309" i="22"/>
  <c r="J309" i="22"/>
  <c r="K309" i="22"/>
  <c r="L309" i="22"/>
  <c r="M309" i="22"/>
  <c r="N309" i="22"/>
  <c r="O309" i="22"/>
  <c r="P309" i="22"/>
  <c r="Q309" i="22"/>
  <c r="R309" i="22"/>
  <c r="S309" i="22"/>
  <c r="T309" i="22"/>
  <c r="U309" i="22"/>
  <c r="V309" i="22"/>
  <c r="W309" i="22"/>
  <c r="X309" i="22"/>
  <c r="Y309" i="22"/>
  <c r="Z309" i="22"/>
  <c r="A310" i="22"/>
  <c r="B310" i="22"/>
  <c r="C310" i="22"/>
  <c r="D310" i="22"/>
  <c r="E310" i="22"/>
  <c r="F310" i="22"/>
  <c r="G310" i="22"/>
  <c r="H310" i="22"/>
  <c r="I310" i="22"/>
  <c r="J310" i="22"/>
  <c r="K310" i="22"/>
  <c r="L310" i="22"/>
  <c r="M310" i="22"/>
  <c r="N310" i="22"/>
  <c r="O310" i="22"/>
  <c r="P310" i="22"/>
  <c r="Q310" i="22"/>
  <c r="R310" i="22"/>
  <c r="S310" i="22"/>
  <c r="T310" i="22"/>
  <c r="U310" i="22"/>
  <c r="V310" i="22"/>
  <c r="W310" i="22"/>
  <c r="X310" i="22"/>
  <c r="Y310" i="22"/>
  <c r="Z310" i="22"/>
  <c r="A311" i="22"/>
  <c r="B311" i="22"/>
  <c r="C311" i="22"/>
  <c r="D311" i="22"/>
  <c r="E311" i="22"/>
  <c r="F311" i="22"/>
  <c r="G311" i="22"/>
  <c r="H311" i="22"/>
  <c r="I311" i="22"/>
  <c r="J311" i="22"/>
  <c r="K311" i="22"/>
  <c r="L311" i="22"/>
  <c r="M311" i="22"/>
  <c r="N311" i="22"/>
  <c r="O311" i="22"/>
  <c r="P311" i="22"/>
  <c r="Q311" i="22"/>
  <c r="R311" i="22"/>
  <c r="S311" i="22"/>
  <c r="T311" i="22"/>
  <c r="U311" i="22"/>
  <c r="V311" i="22"/>
  <c r="W311" i="22"/>
  <c r="X311" i="22"/>
  <c r="Y311" i="22"/>
  <c r="Z311" i="22"/>
  <c r="A312" i="22"/>
  <c r="B312" i="22"/>
  <c r="C312" i="22"/>
  <c r="D312" i="22"/>
  <c r="E312" i="22"/>
  <c r="F312" i="22"/>
  <c r="G312" i="22"/>
  <c r="H312" i="22"/>
  <c r="I312" i="22"/>
  <c r="J312" i="22"/>
  <c r="K312" i="22"/>
  <c r="L312" i="22"/>
  <c r="M312" i="22"/>
  <c r="N312" i="22"/>
  <c r="O312" i="22"/>
  <c r="P312" i="22"/>
  <c r="Q312" i="22"/>
  <c r="R312" i="22"/>
  <c r="S312" i="22"/>
  <c r="T312" i="22"/>
  <c r="U312" i="22"/>
  <c r="V312" i="22"/>
  <c r="W312" i="22"/>
  <c r="X312" i="22"/>
  <c r="Y312" i="22"/>
  <c r="Z312" i="22"/>
  <c r="A313" i="22"/>
  <c r="B313" i="22"/>
  <c r="C313" i="22"/>
  <c r="D313" i="22"/>
  <c r="E313" i="22"/>
  <c r="F313" i="22"/>
  <c r="G313" i="22"/>
  <c r="H313" i="22"/>
  <c r="I313" i="22"/>
  <c r="J313" i="22"/>
  <c r="K313" i="22"/>
  <c r="L313" i="22"/>
  <c r="M313" i="22"/>
  <c r="N313" i="22"/>
  <c r="O313" i="22"/>
  <c r="P313" i="22"/>
  <c r="Q313" i="22"/>
  <c r="R313" i="22"/>
  <c r="S313" i="22"/>
  <c r="T313" i="22"/>
  <c r="U313" i="22"/>
  <c r="V313" i="22"/>
  <c r="W313" i="22"/>
  <c r="X313" i="22"/>
  <c r="Y313" i="22"/>
  <c r="Z313" i="22"/>
  <c r="A314" i="22"/>
  <c r="B314" i="22"/>
  <c r="C314" i="22"/>
  <c r="D314" i="22"/>
  <c r="E314" i="22"/>
  <c r="F314" i="22"/>
  <c r="G314" i="22"/>
  <c r="H314" i="22"/>
  <c r="I314" i="22"/>
  <c r="J314" i="22"/>
  <c r="K314" i="22"/>
  <c r="L314" i="22"/>
  <c r="M314" i="22"/>
  <c r="N314" i="22"/>
  <c r="O314" i="22"/>
  <c r="P314" i="22"/>
  <c r="Q314" i="22"/>
  <c r="R314" i="22"/>
  <c r="S314" i="22"/>
  <c r="T314" i="22"/>
  <c r="U314" i="22"/>
  <c r="V314" i="22"/>
  <c r="W314" i="22"/>
  <c r="X314" i="22"/>
  <c r="Y314" i="22"/>
  <c r="Z314" i="22"/>
  <c r="A315" i="22"/>
  <c r="B315" i="22"/>
  <c r="C315" i="22"/>
  <c r="D315" i="22"/>
  <c r="E315" i="22"/>
  <c r="F315" i="22"/>
  <c r="G315" i="22"/>
  <c r="H315" i="22"/>
  <c r="I315" i="22"/>
  <c r="J315" i="22"/>
  <c r="K315" i="22"/>
  <c r="L315" i="22"/>
  <c r="M315" i="22"/>
  <c r="N315" i="22"/>
  <c r="O315" i="22"/>
  <c r="P315" i="22"/>
  <c r="Q315" i="22"/>
  <c r="R315" i="22"/>
  <c r="S315" i="22"/>
  <c r="T315" i="22"/>
  <c r="U315" i="22"/>
  <c r="V315" i="22"/>
  <c r="W315" i="22"/>
  <c r="X315" i="22"/>
  <c r="Y315" i="22"/>
  <c r="Z315" i="22"/>
  <c r="A316" i="22"/>
  <c r="B316" i="22"/>
  <c r="C316" i="22"/>
  <c r="D316" i="22"/>
  <c r="E316" i="22"/>
  <c r="F316" i="22"/>
  <c r="G316" i="22"/>
  <c r="H316" i="22"/>
  <c r="I316" i="22"/>
  <c r="J316" i="22"/>
  <c r="K316" i="22"/>
  <c r="L316" i="22"/>
  <c r="M316" i="22"/>
  <c r="N316" i="22"/>
  <c r="O316" i="22"/>
  <c r="P316" i="22"/>
  <c r="Q316" i="22"/>
  <c r="R316" i="22"/>
  <c r="S316" i="22"/>
  <c r="T316" i="22"/>
  <c r="U316" i="22"/>
  <c r="V316" i="22"/>
  <c r="W316" i="22"/>
  <c r="X316" i="22"/>
  <c r="Y316" i="22"/>
  <c r="Z316" i="22"/>
  <c r="A317" i="22"/>
  <c r="B317" i="22"/>
  <c r="C317" i="22"/>
  <c r="D317" i="22"/>
  <c r="E317" i="22"/>
  <c r="F317" i="22"/>
  <c r="G317" i="22"/>
  <c r="H317" i="22"/>
  <c r="I317" i="22"/>
  <c r="J317" i="22"/>
  <c r="K317" i="22"/>
  <c r="L317" i="22"/>
  <c r="M317" i="22"/>
  <c r="N317" i="22"/>
  <c r="O317" i="22"/>
  <c r="P317" i="22"/>
  <c r="Q317" i="22"/>
  <c r="R317" i="22"/>
  <c r="S317" i="22"/>
  <c r="T317" i="22"/>
  <c r="U317" i="22"/>
  <c r="V317" i="22"/>
  <c r="W317" i="22"/>
  <c r="X317" i="22"/>
  <c r="Y317" i="22"/>
  <c r="Z317" i="22"/>
  <c r="A318" i="22"/>
  <c r="B318" i="22"/>
  <c r="C318" i="22"/>
  <c r="D318" i="22"/>
  <c r="E318" i="22"/>
  <c r="F318" i="22"/>
  <c r="G318" i="22"/>
  <c r="H318" i="22"/>
  <c r="I318" i="22"/>
  <c r="J318" i="22"/>
  <c r="K318" i="22"/>
  <c r="L318" i="22"/>
  <c r="M318" i="22"/>
  <c r="N318" i="22"/>
  <c r="O318" i="22"/>
  <c r="P318" i="22"/>
  <c r="Q318" i="22"/>
  <c r="R318" i="22"/>
  <c r="S318" i="22"/>
  <c r="T318" i="22"/>
  <c r="U318" i="22"/>
  <c r="V318" i="22"/>
  <c r="W318" i="22"/>
  <c r="X318" i="22"/>
  <c r="Y318" i="22"/>
  <c r="Z318" i="22"/>
  <c r="A319" i="22"/>
  <c r="B319" i="22"/>
  <c r="C319" i="22"/>
  <c r="D319" i="22"/>
  <c r="E319" i="22"/>
  <c r="F319" i="22"/>
  <c r="G319" i="22"/>
  <c r="H319" i="22"/>
  <c r="I319" i="22"/>
  <c r="J319" i="22"/>
  <c r="K319" i="22"/>
  <c r="L319" i="22"/>
  <c r="M319" i="22"/>
  <c r="N319" i="22"/>
  <c r="O319" i="22"/>
  <c r="P319" i="22"/>
  <c r="Q319" i="22"/>
  <c r="R319" i="22"/>
  <c r="S319" i="22"/>
  <c r="T319" i="22"/>
  <c r="U319" i="22"/>
  <c r="V319" i="22"/>
  <c r="W319" i="22"/>
  <c r="X319" i="22"/>
  <c r="Y319" i="22"/>
  <c r="Z319" i="22"/>
  <c r="A320" i="22"/>
  <c r="B320" i="22"/>
  <c r="C320" i="22"/>
  <c r="D320" i="22"/>
  <c r="E320" i="22"/>
  <c r="F320" i="22"/>
  <c r="G320" i="22"/>
  <c r="H320" i="22"/>
  <c r="I320" i="22"/>
  <c r="J320" i="22"/>
  <c r="K320" i="22"/>
  <c r="L320" i="22"/>
  <c r="M320" i="22"/>
  <c r="N320" i="22"/>
  <c r="O320" i="22"/>
  <c r="P320" i="22"/>
  <c r="Q320" i="22"/>
  <c r="R320" i="22"/>
  <c r="S320" i="22"/>
  <c r="T320" i="22"/>
  <c r="U320" i="22"/>
  <c r="V320" i="22"/>
  <c r="W320" i="22"/>
  <c r="X320" i="22"/>
  <c r="Y320" i="22"/>
  <c r="Z320" i="22"/>
  <c r="A321" i="22"/>
  <c r="B321" i="22"/>
  <c r="C321" i="22"/>
  <c r="D321" i="22"/>
  <c r="E321" i="22"/>
  <c r="F321" i="22"/>
  <c r="G321" i="22"/>
  <c r="H321" i="22"/>
  <c r="I321" i="22"/>
  <c r="J321" i="22"/>
  <c r="K321" i="22"/>
  <c r="L321" i="22"/>
  <c r="M321" i="22"/>
  <c r="N321" i="22"/>
  <c r="O321" i="22"/>
  <c r="P321" i="22"/>
  <c r="Q321" i="22"/>
  <c r="R321" i="22"/>
  <c r="S321" i="22"/>
  <c r="T321" i="22"/>
  <c r="U321" i="22"/>
  <c r="V321" i="22"/>
  <c r="W321" i="22"/>
  <c r="X321" i="22"/>
  <c r="Y321" i="22"/>
  <c r="Z321" i="22"/>
  <c r="A322" i="22"/>
  <c r="B322" i="22"/>
  <c r="C322" i="22"/>
  <c r="D322" i="22"/>
  <c r="E322" i="22"/>
  <c r="F322" i="22"/>
  <c r="G322" i="22"/>
  <c r="H322" i="22"/>
  <c r="I322" i="22"/>
  <c r="J322" i="22"/>
  <c r="K322" i="22"/>
  <c r="L322" i="22"/>
  <c r="M322" i="22"/>
  <c r="N322" i="22"/>
  <c r="O322" i="22"/>
  <c r="P322" i="22"/>
  <c r="Q322" i="22"/>
  <c r="R322" i="22"/>
  <c r="S322" i="22"/>
  <c r="T322" i="22"/>
  <c r="U322" i="22"/>
  <c r="V322" i="22"/>
  <c r="W322" i="22"/>
  <c r="X322" i="22"/>
  <c r="Y322" i="22"/>
  <c r="Z322" i="22"/>
  <c r="A323" i="22"/>
  <c r="B323" i="22"/>
  <c r="C323" i="22"/>
  <c r="D323" i="22"/>
  <c r="E323" i="22"/>
  <c r="F323" i="22"/>
  <c r="G323" i="22"/>
  <c r="H323" i="22"/>
  <c r="I323" i="22"/>
  <c r="J323" i="22"/>
  <c r="K323" i="22"/>
  <c r="L323" i="22"/>
  <c r="M323" i="22"/>
  <c r="N323" i="22"/>
  <c r="O323" i="22"/>
  <c r="P323" i="22"/>
  <c r="Q323" i="22"/>
  <c r="R323" i="22"/>
  <c r="S323" i="22"/>
  <c r="T323" i="22"/>
  <c r="U323" i="22"/>
  <c r="V323" i="22"/>
  <c r="W323" i="22"/>
  <c r="X323" i="22"/>
  <c r="Y323" i="22"/>
  <c r="Z323" i="22"/>
  <c r="A324" i="22"/>
  <c r="B324" i="22"/>
  <c r="C324" i="22"/>
  <c r="D324" i="22"/>
  <c r="E324" i="22"/>
  <c r="F324" i="22"/>
  <c r="G324" i="22"/>
  <c r="H324" i="22"/>
  <c r="I324" i="22"/>
  <c r="J324" i="22"/>
  <c r="K324" i="22"/>
  <c r="L324" i="22"/>
  <c r="M324" i="22"/>
  <c r="N324" i="22"/>
  <c r="O324" i="22"/>
  <c r="P324" i="22"/>
  <c r="Q324" i="22"/>
  <c r="R324" i="22"/>
  <c r="S324" i="22"/>
  <c r="T324" i="22"/>
  <c r="U324" i="22"/>
  <c r="V324" i="22"/>
  <c r="W324" i="22"/>
  <c r="X324" i="22"/>
  <c r="Y324" i="22"/>
  <c r="Z324" i="22"/>
  <c r="A325" i="22"/>
  <c r="B325" i="22"/>
  <c r="C325" i="22"/>
  <c r="D325" i="22"/>
  <c r="E325" i="22"/>
  <c r="F325" i="22"/>
  <c r="G325" i="22"/>
  <c r="H325" i="22"/>
  <c r="I325" i="22"/>
  <c r="J325" i="22"/>
  <c r="K325" i="22"/>
  <c r="L325" i="22"/>
  <c r="M325" i="22"/>
  <c r="N325" i="22"/>
  <c r="O325" i="22"/>
  <c r="P325" i="22"/>
  <c r="Q325" i="22"/>
  <c r="R325" i="22"/>
  <c r="S325" i="22"/>
  <c r="T325" i="22"/>
  <c r="U325" i="22"/>
  <c r="V325" i="22"/>
  <c r="W325" i="22"/>
  <c r="X325" i="22"/>
  <c r="Y325" i="22"/>
  <c r="Z325" i="22"/>
  <c r="A326" i="22"/>
  <c r="B326" i="22"/>
  <c r="C326" i="22"/>
  <c r="D326" i="22"/>
  <c r="E326" i="22"/>
  <c r="F326" i="22"/>
  <c r="G326" i="22"/>
  <c r="H326" i="22"/>
  <c r="I326" i="22"/>
  <c r="J326" i="22"/>
  <c r="K326" i="22"/>
  <c r="L326" i="22"/>
  <c r="M326" i="22"/>
  <c r="N326" i="22"/>
  <c r="O326" i="22"/>
  <c r="P326" i="22"/>
  <c r="Q326" i="22"/>
  <c r="R326" i="22"/>
  <c r="S326" i="22"/>
  <c r="T326" i="22"/>
  <c r="U326" i="22"/>
  <c r="V326" i="22"/>
  <c r="W326" i="22"/>
  <c r="X326" i="22"/>
  <c r="Y326" i="22"/>
  <c r="Z326" i="22"/>
  <c r="A327" i="22"/>
  <c r="B327" i="22"/>
  <c r="C327" i="22"/>
  <c r="D327" i="22"/>
  <c r="E327" i="22"/>
  <c r="F327" i="22"/>
  <c r="G327" i="22"/>
  <c r="H327" i="22"/>
  <c r="I327" i="22"/>
  <c r="J327" i="22"/>
  <c r="K327" i="22"/>
  <c r="L327" i="22"/>
  <c r="M327" i="22"/>
  <c r="N327" i="22"/>
  <c r="O327" i="22"/>
  <c r="P327" i="22"/>
  <c r="Q327" i="22"/>
  <c r="R327" i="22"/>
  <c r="S327" i="22"/>
  <c r="T327" i="22"/>
  <c r="U327" i="22"/>
  <c r="V327" i="22"/>
  <c r="W327" i="22"/>
  <c r="X327" i="22"/>
  <c r="Y327" i="22"/>
  <c r="Z327" i="22"/>
  <c r="A328" i="22"/>
  <c r="B328" i="22"/>
  <c r="C328" i="22"/>
  <c r="D328" i="22"/>
  <c r="E328" i="22"/>
  <c r="F328" i="22"/>
  <c r="G328" i="22"/>
  <c r="H328" i="22"/>
  <c r="I328" i="22"/>
  <c r="J328" i="22"/>
  <c r="K328" i="22"/>
  <c r="L328" i="22"/>
  <c r="M328" i="22"/>
  <c r="N328" i="22"/>
  <c r="O328" i="22"/>
  <c r="P328" i="22"/>
  <c r="Q328" i="22"/>
  <c r="R328" i="22"/>
  <c r="S328" i="22"/>
  <c r="T328" i="22"/>
  <c r="U328" i="22"/>
  <c r="V328" i="22"/>
  <c r="W328" i="22"/>
  <c r="X328" i="22"/>
  <c r="Y328" i="22"/>
  <c r="Z328" i="22"/>
  <c r="A329" i="22"/>
  <c r="B329" i="22"/>
  <c r="C329" i="22"/>
  <c r="D329" i="22"/>
  <c r="E329" i="22"/>
  <c r="F329" i="22"/>
  <c r="G329" i="22"/>
  <c r="H329" i="22"/>
  <c r="I329" i="22"/>
  <c r="J329" i="22"/>
  <c r="K329" i="22"/>
  <c r="L329" i="22"/>
  <c r="M329" i="22"/>
  <c r="N329" i="22"/>
  <c r="O329" i="22"/>
  <c r="P329" i="22"/>
  <c r="Q329" i="22"/>
  <c r="R329" i="22"/>
  <c r="S329" i="22"/>
  <c r="T329" i="22"/>
  <c r="U329" i="22"/>
  <c r="V329" i="22"/>
  <c r="W329" i="22"/>
  <c r="X329" i="22"/>
  <c r="Y329" i="22"/>
  <c r="Z329" i="22"/>
  <c r="A330" i="22"/>
  <c r="B330" i="22"/>
  <c r="C330" i="22"/>
  <c r="D330" i="22"/>
  <c r="E330" i="22"/>
  <c r="F330" i="22"/>
  <c r="G330" i="22"/>
  <c r="H330" i="22"/>
  <c r="I330" i="22"/>
  <c r="J330" i="22"/>
  <c r="K330" i="22"/>
  <c r="L330" i="22"/>
  <c r="M330" i="22"/>
  <c r="N330" i="22"/>
  <c r="O330" i="22"/>
  <c r="P330" i="22"/>
  <c r="Q330" i="22"/>
  <c r="R330" i="22"/>
  <c r="S330" i="22"/>
  <c r="T330" i="22"/>
  <c r="U330" i="22"/>
  <c r="V330" i="22"/>
  <c r="W330" i="22"/>
  <c r="X330" i="22"/>
  <c r="Y330" i="22"/>
  <c r="Z330" i="22"/>
  <c r="A331" i="22"/>
  <c r="B331" i="22"/>
  <c r="C331" i="22"/>
  <c r="D331" i="22"/>
  <c r="E331" i="22"/>
  <c r="F331" i="22"/>
  <c r="G331" i="22"/>
  <c r="H331" i="22"/>
  <c r="I331" i="22"/>
  <c r="J331" i="22"/>
  <c r="K331" i="22"/>
  <c r="L331" i="22"/>
  <c r="M331" i="22"/>
  <c r="N331" i="22"/>
  <c r="O331" i="22"/>
  <c r="P331" i="22"/>
  <c r="Q331" i="22"/>
  <c r="R331" i="22"/>
  <c r="S331" i="22"/>
  <c r="T331" i="22"/>
  <c r="U331" i="22"/>
  <c r="V331" i="22"/>
  <c r="W331" i="22"/>
  <c r="X331" i="22"/>
  <c r="Y331" i="22"/>
  <c r="Z331" i="22"/>
  <c r="A332" i="22"/>
  <c r="B332" i="22"/>
  <c r="C332" i="22"/>
  <c r="D332" i="22"/>
  <c r="E332" i="22"/>
  <c r="F332" i="22"/>
  <c r="G332" i="22"/>
  <c r="H332" i="22"/>
  <c r="I332" i="22"/>
  <c r="J332" i="22"/>
  <c r="K332" i="22"/>
  <c r="L332" i="22"/>
  <c r="M332" i="22"/>
  <c r="N332" i="22"/>
  <c r="O332" i="22"/>
  <c r="P332" i="22"/>
  <c r="Q332" i="22"/>
  <c r="R332" i="22"/>
  <c r="S332" i="22"/>
  <c r="T332" i="22"/>
  <c r="U332" i="22"/>
  <c r="V332" i="22"/>
  <c r="W332" i="22"/>
  <c r="X332" i="22"/>
  <c r="Y332" i="22"/>
  <c r="Z332" i="22"/>
  <c r="A333" i="22"/>
  <c r="B333" i="22"/>
  <c r="C333" i="22"/>
  <c r="D333" i="22"/>
  <c r="E333" i="22"/>
  <c r="F333" i="22"/>
  <c r="G333" i="22"/>
  <c r="H333" i="22"/>
  <c r="I333" i="22"/>
  <c r="J333" i="22"/>
  <c r="K333" i="22"/>
  <c r="L333" i="22"/>
  <c r="M333" i="22"/>
  <c r="N333" i="22"/>
  <c r="O333" i="22"/>
  <c r="P333" i="22"/>
  <c r="Q333" i="22"/>
  <c r="R333" i="22"/>
  <c r="S333" i="22"/>
  <c r="T333" i="22"/>
  <c r="U333" i="22"/>
  <c r="V333" i="22"/>
  <c r="W333" i="22"/>
  <c r="X333" i="22"/>
  <c r="Y333" i="22"/>
  <c r="Z333" i="22"/>
  <c r="A334" i="22"/>
  <c r="B334" i="22"/>
  <c r="C334" i="22"/>
  <c r="D334" i="22"/>
  <c r="E334" i="22"/>
  <c r="F334" i="22"/>
  <c r="G334" i="22"/>
  <c r="H334" i="22"/>
  <c r="I334" i="22"/>
  <c r="J334" i="22"/>
  <c r="K334" i="22"/>
  <c r="L334" i="22"/>
  <c r="M334" i="22"/>
  <c r="N334" i="22"/>
  <c r="O334" i="22"/>
  <c r="P334" i="22"/>
  <c r="Q334" i="22"/>
  <c r="R334" i="22"/>
  <c r="S334" i="22"/>
  <c r="T334" i="22"/>
  <c r="U334" i="22"/>
  <c r="V334" i="22"/>
  <c r="W334" i="22"/>
  <c r="X334" i="22"/>
  <c r="Y334" i="22"/>
  <c r="Z334" i="22"/>
  <c r="A335" i="22"/>
  <c r="B335" i="22"/>
  <c r="C335" i="22"/>
  <c r="D335" i="22"/>
  <c r="E335" i="22"/>
  <c r="F335" i="22"/>
  <c r="G335" i="22"/>
  <c r="H335" i="22"/>
  <c r="I335" i="22"/>
  <c r="J335" i="22"/>
  <c r="K335" i="22"/>
  <c r="L335" i="22"/>
  <c r="M335" i="22"/>
  <c r="N335" i="22"/>
  <c r="O335" i="22"/>
  <c r="P335" i="22"/>
  <c r="Q335" i="22"/>
  <c r="R335" i="22"/>
  <c r="S335" i="22"/>
  <c r="T335" i="22"/>
  <c r="U335" i="22"/>
  <c r="V335" i="22"/>
  <c r="W335" i="22"/>
  <c r="X335" i="22"/>
  <c r="Y335" i="22"/>
  <c r="Z335" i="22"/>
  <c r="A336" i="22"/>
  <c r="B336" i="22"/>
  <c r="C336" i="22"/>
  <c r="D336" i="22"/>
  <c r="E336" i="22"/>
  <c r="F336" i="22"/>
  <c r="G336" i="22"/>
  <c r="H336" i="22"/>
  <c r="I336" i="22"/>
  <c r="J336" i="22"/>
  <c r="K336" i="22"/>
  <c r="L336" i="22"/>
  <c r="M336" i="22"/>
  <c r="N336" i="22"/>
  <c r="O336" i="22"/>
  <c r="P336" i="22"/>
  <c r="Q336" i="22"/>
  <c r="R336" i="22"/>
  <c r="S336" i="22"/>
  <c r="T336" i="22"/>
  <c r="U336" i="22"/>
  <c r="V336" i="22"/>
  <c r="W336" i="22"/>
  <c r="X336" i="22"/>
  <c r="Y336" i="22"/>
  <c r="Z336" i="22"/>
  <c r="A337" i="22"/>
  <c r="B337" i="22"/>
  <c r="C337" i="22"/>
  <c r="D337" i="22"/>
  <c r="E337" i="22"/>
  <c r="F337" i="22"/>
  <c r="G337" i="22"/>
  <c r="H337" i="22"/>
  <c r="I337" i="22"/>
  <c r="J337" i="22"/>
  <c r="K337" i="22"/>
  <c r="L337" i="22"/>
  <c r="M337" i="22"/>
  <c r="N337" i="22"/>
  <c r="O337" i="22"/>
  <c r="P337" i="22"/>
  <c r="Q337" i="22"/>
  <c r="R337" i="22"/>
  <c r="S337" i="22"/>
  <c r="T337" i="22"/>
  <c r="U337" i="22"/>
  <c r="V337" i="22"/>
  <c r="W337" i="22"/>
  <c r="X337" i="22"/>
  <c r="Y337" i="22"/>
  <c r="Z337" i="22"/>
  <c r="A338" i="22"/>
  <c r="B338" i="22"/>
  <c r="C338" i="22"/>
  <c r="D338" i="22"/>
  <c r="E338" i="22"/>
  <c r="F338" i="22"/>
  <c r="G338" i="22"/>
  <c r="H338" i="22"/>
  <c r="I338" i="22"/>
  <c r="J338" i="22"/>
  <c r="K338" i="22"/>
  <c r="L338" i="22"/>
  <c r="M338" i="22"/>
  <c r="N338" i="22"/>
  <c r="O338" i="22"/>
  <c r="P338" i="22"/>
  <c r="Q338" i="22"/>
  <c r="R338" i="22"/>
  <c r="S338" i="22"/>
  <c r="T338" i="22"/>
  <c r="U338" i="22"/>
  <c r="V338" i="22"/>
  <c r="W338" i="22"/>
  <c r="X338" i="22"/>
  <c r="Y338" i="22"/>
  <c r="Z338" i="22"/>
  <c r="A339" i="22"/>
  <c r="B339" i="22"/>
  <c r="C339" i="22"/>
  <c r="D339" i="22"/>
  <c r="E339" i="22"/>
  <c r="F339" i="22"/>
  <c r="G339" i="22"/>
  <c r="H339" i="22"/>
  <c r="I339" i="22"/>
  <c r="J339" i="22"/>
  <c r="K339" i="22"/>
  <c r="L339" i="22"/>
  <c r="M339" i="22"/>
  <c r="N339" i="22"/>
  <c r="O339" i="22"/>
  <c r="P339" i="22"/>
  <c r="Q339" i="22"/>
  <c r="R339" i="22"/>
  <c r="S339" i="22"/>
  <c r="T339" i="22"/>
  <c r="U339" i="22"/>
  <c r="V339" i="22"/>
  <c r="W339" i="22"/>
  <c r="X339" i="22"/>
  <c r="Y339" i="22"/>
  <c r="Z339" i="22"/>
  <c r="A340" i="22"/>
  <c r="B340" i="22"/>
  <c r="C340" i="22"/>
  <c r="D340" i="22"/>
  <c r="E340" i="22"/>
  <c r="F340" i="22"/>
  <c r="G340" i="22"/>
  <c r="H340" i="22"/>
  <c r="I340" i="22"/>
  <c r="J340" i="22"/>
  <c r="K340" i="22"/>
  <c r="L340" i="22"/>
  <c r="M340" i="22"/>
  <c r="N340" i="22"/>
  <c r="O340" i="22"/>
  <c r="P340" i="22"/>
  <c r="Q340" i="22"/>
  <c r="R340" i="22"/>
  <c r="S340" i="22"/>
  <c r="T340" i="22"/>
  <c r="U340" i="22"/>
  <c r="V340" i="22"/>
  <c r="W340" i="22"/>
  <c r="X340" i="22"/>
  <c r="Y340" i="22"/>
  <c r="Z340" i="22"/>
  <c r="A341" i="22"/>
  <c r="B341" i="22"/>
  <c r="C341" i="22"/>
  <c r="D341" i="22"/>
  <c r="E341" i="22"/>
  <c r="F341" i="22"/>
  <c r="G341" i="22"/>
  <c r="H341" i="22"/>
  <c r="I341" i="22"/>
  <c r="J341" i="22"/>
  <c r="K341" i="22"/>
  <c r="L341" i="22"/>
  <c r="M341" i="22"/>
  <c r="N341" i="22"/>
  <c r="O341" i="22"/>
  <c r="P341" i="22"/>
  <c r="Q341" i="22"/>
  <c r="R341" i="22"/>
  <c r="S341" i="22"/>
  <c r="T341" i="22"/>
  <c r="U341" i="22"/>
  <c r="V341" i="22"/>
  <c r="W341" i="22"/>
  <c r="X341" i="22"/>
  <c r="Y341" i="22"/>
  <c r="Z341" i="22"/>
  <c r="A342" i="22"/>
  <c r="B342" i="22"/>
  <c r="C342" i="22"/>
  <c r="D342" i="22"/>
  <c r="E342" i="22"/>
  <c r="F342" i="22"/>
  <c r="G342" i="22"/>
  <c r="H342" i="22"/>
  <c r="I342" i="22"/>
  <c r="J342" i="22"/>
  <c r="K342" i="22"/>
  <c r="L342" i="22"/>
  <c r="M342" i="22"/>
  <c r="N342" i="22"/>
  <c r="O342" i="22"/>
  <c r="P342" i="22"/>
  <c r="Q342" i="22"/>
  <c r="R342" i="22"/>
  <c r="S342" i="22"/>
  <c r="T342" i="22"/>
  <c r="U342" i="22"/>
  <c r="V342" i="22"/>
  <c r="W342" i="22"/>
  <c r="X342" i="22"/>
  <c r="Y342" i="22"/>
  <c r="Z342" i="22"/>
  <c r="A343" i="22"/>
  <c r="B343" i="22"/>
  <c r="C343" i="22"/>
  <c r="D343" i="22"/>
  <c r="E343" i="22"/>
  <c r="F343" i="22"/>
  <c r="G343" i="22"/>
  <c r="H343" i="22"/>
  <c r="I343" i="22"/>
  <c r="J343" i="22"/>
  <c r="K343" i="22"/>
  <c r="L343" i="22"/>
  <c r="M343" i="22"/>
  <c r="N343" i="22"/>
  <c r="O343" i="22"/>
  <c r="P343" i="22"/>
  <c r="Q343" i="22"/>
  <c r="R343" i="22"/>
  <c r="S343" i="22"/>
  <c r="T343" i="22"/>
  <c r="U343" i="22"/>
  <c r="V343" i="22"/>
  <c r="W343" i="22"/>
  <c r="X343" i="22"/>
  <c r="Y343" i="22"/>
  <c r="Z343" i="22"/>
  <c r="A344" i="22"/>
  <c r="B344" i="22"/>
  <c r="C344" i="22"/>
  <c r="D344" i="22"/>
  <c r="E344" i="22"/>
  <c r="F344" i="22"/>
  <c r="G344" i="22"/>
  <c r="H344" i="22"/>
  <c r="I344" i="22"/>
  <c r="J344" i="22"/>
  <c r="K344" i="22"/>
  <c r="L344" i="22"/>
  <c r="M344" i="22"/>
  <c r="N344" i="22"/>
  <c r="O344" i="22"/>
  <c r="P344" i="22"/>
  <c r="Q344" i="22"/>
  <c r="R344" i="22"/>
  <c r="S344" i="22"/>
  <c r="T344" i="22"/>
  <c r="U344" i="22"/>
  <c r="V344" i="22"/>
  <c r="W344" i="22"/>
  <c r="X344" i="22"/>
  <c r="Y344" i="22"/>
  <c r="Z344" i="22"/>
  <c r="A345" i="22"/>
  <c r="B345" i="22"/>
  <c r="C345" i="22"/>
  <c r="D345" i="22"/>
  <c r="E345" i="22"/>
  <c r="F345" i="22"/>
  <c r="G345" i="22"/>
  <c r="H345" i="22"/>
  <c r="I345" i="22"/>
  <c r="J345" i="22"/>
  <c r="K345" i="22"/>
  <c r="L345" i="22"/>
  <c r="M345" i="22"/>
  <c r="N345" i="22"/>
  <c r="O345" i="22"/>
  <c r="P345" i="22"/>
  <c r="Q345" i="22"/>
  <c r="R345" i="22"/>
  <c r="S345" i="22"/>
  <c r="T345" i="22"/>
  <c r="U345" i="22"/>
  <c r="V345" i="22"/>
  <c r="W345" i="22"/>
  <c r="X345" i="22"/>
  <c r="Y345" i="22"/>
  <c r="Z345" i="22"/>
  <c r="A346" i="22"/>
  <c r="B346" i="22"/>
  <c r="C346" i="22"/>
  <c r="D346" i="22"/>
  <c r="E346" i="22"/>
  <c r="F346" i="22"/>
  <c r="G346" i="22"/>
  <c r="H346" i="22"/>
  <c r="I346" i="22"/>
  <c r="J346" i="22"/>
  <c r="K346" i="22"/>
  <c r="L346" i="22"/>
  <c r="M346" i="22"/>
  <c r="N346" i="22"/>
  <c r="O346" i="22"/>
  <c r="P346" i="22"/>
  <c r="Q346" i="22"/>
  <c r="R346" i="22"/>
  <c r="S346" i="22"/>
  <c r="T346" i="22"/>
  <c r="U346" i="22"/>
  <c r="V346" i="22"/>
  <c r="W346" i="22"/>
  <c r="X346" i="22"/>
  <c r="Y346" i="22"/>
  <c r="Z346" i="22"/>
  <c r="A347" i="22"/>
  <c r="B347" i="22"/>
  <c r="C347" i="22"/>
  <c r="D347" i="22"/>
  <c r="E347" i="22"/>
  <c r="F347" i="22"/>
  <c r="G347" i="22"/>
  <c r="H347" i="22"/>
  <c r="I347" i="22"/>
  <c r="J347" i="22"/>
  <c r="K347" i="22"/>
  <c r="L347" i="22"/>
  <c r="M347" i="22"/>
  <c r="N347" i="22"/>
  <c r="O347" i="22"/>
  <c r="P347" i="22"/>
  <c r="Q347" i="22"/>
  <c r="R347" i="22"/>
  <c r="S347" i="22"/>
  <c r="T347" i="22"/>
  <c r="U347" i="22"/>
  <c r="V347" i="22"/>
  <c r="W347" i="22"/>
  <c r="X347" i="22"/>
  <c r="Y347" i="22"/>
  <c r="Z347" i="22"/>
  <c r="A348" i="22"/>
  <c r="B348" i="22"/>
  <c r="C348" i="22"/>
  <c r="D348" i="22"/>
  <c r="E348" i="22"/>
  <c r="F348" i="22"/>
  <c r="G348" i="22"/>
  <c r="H348" i="22"/>
  <c r="I348" i="22"/>
  <c r="J348" i="22"/>
  <c r="K348" i="22"/>
  <c r="L348" i="22"/>
  <c r="M348" i="22"/>
  <c r="N348" i="22"/>
  <c r="O348" i="22"/>
  <c r="P348" i="22"/>
  <c r="Q348" i="22"/>
  <c r="R348" i="22"/>
  <c r="S348" i="22"/>
  <c r="T348" i="22"/>
  <c r="U348" i="22"/>
  <c r="V348" i="22"/>
  <c r="W348" i="22"/>
  <c r="X348" i="22"/>
  <c r="Y348" i="22"/>
  <c r="Z348" i="22"/>
  <c r="A349" i="22"/>
  <c r="B349" i="22"/>
  <c r="C349" i="22"/>
  <c r="D349" i="22"/>
  <c r="E349" i="22"/>
  <c r="F349" i="22"/>
  <c r="G349" i="22"/>
  <c r="H349" i="22"/>
  <c r="I349" i="22"/>
  <c r="J349" i="22"/>
  <c r="K349" i="22"/>
  <c r="L349" i="22"/>
  <c r="M349" i="22"/>
  <c r="N349" i="22"/>
  <c r="O349" i="22"/>
  <c r="P349" i="22"/>
  <c r="Q349" i="22"/>
  <c r="R349" i="22"/>
  <c r="S349" i="22"/>
  <c r="T349" i="22"/>
  <c r="U349" i="22"/>
  <c r="V349" i="22"/>
  <c r="W349" i="22"/>
  <c r="X349" i="22"/>
  <c r="Y349" i="22"/>
  <c r="Z349" i="22"/>
  <c r="A350" i="22"/>
  <c r="B350" i="22"/>
  <c r="C350" i="22"/>
  <c r="D350" i="22"/>
  <c r="E350" i="22"/>
  <c r="F350" i="22"/>
  <c r="G350" i="22"/>
  <c r="H350" i="22"/>
  <c r="I350" i="22"/>
  <c r="J350" i="22"/>
  <c r="K350" i="22"/>
  <c r="L350" i="22"/>
  <c r="M350" i="22"/>
  <c r="N350" i="22"/>
  <c r="O350" i="22"/>
  <c r="P350" i="22"/>
  <c r="Q350" i="22"/>
  <c r="R350" i="22"/>
  <c r="S350" i="22"/>
  <c r="T350" i="22"/>
  <c r="U350" i="22"/>
  <c r="V350" i="22"/>
  <c r="W350" i="22"/>
  <c r="X350" i="22"/>
  <c r="Y350" i="22"/>
  <c r="Z350" i="22"/>
  <c r="A351" i="22"/>
  <c r="B351" i="22"/>
  <c r="C351" i="22"/>
  <c r="D351" i="22"/>
  <c r="E351" i="22"/>
  <c r="F351" i="22"/>
  <c r="G351" i="22"/>
  <c r="H351" i="22"/>
  <c r="I351" i="22"/>
  <c r="J351" i="22"/>
  <c r="K351" i="22"/>
  <c r="L351" i="22"/>
  <c r="M351" i="22"/>
  <c r="N351" i="22"/>
  <c r="O351" i="22"/>
  <c r="P351" i="22"/>
  <c r="Q351" i="22"/>
  <c r="R351" i="22"/>
  <c r="S351" i="22"/>
  <c r="T351" i="22"/>
  <c r="U351" i="22"/>
  <c r="V351" i="22"/>
  <c r="W351" i="22"/>
  <c r="X351" i="22"/>
  <c r="Y351" i="22"/>
  <c r="Z351" i="22"/>
  <c r="A352" i="22"/>
  <c r="B352" i="22"/>
  <c r="C352" i="22"/>
  <c r="D352" i="22"/>
  <c r="E352" i="22"/>
  <c r="F352" i="22"/>
  <c r="G352" i="22"/>
  <c r="H352" i="22"/>
  <c r="I352" i="22"/>
  <c r="J352" i="22"/>
  <c r="K352" i="22"/>
  <c r="L352" i="22"/>
  <c r="M352" i="22"/>
  <c r="N352" i="22"/>
  <c r="O352" i="22"/>
  <c r="P352" i="22"/>
  <c r="Q352" i="22"/>
  <c r="R352" i="22"/>
  <c r="S352" i="22"/>
  <c r="T352" i="22"/>
  <c r="U352" i="22"/>
  <c r="V352" i="22"/>
  <c r="W352" i="22"/>
  <c r="X352" i="22"/>
  <c r="Y352" i="22"/>
  <c r="Z352" i="22"/>
  <c r="A353" i="22"/>
  <c r="B353" i="22"/>
  <c r="C353" i="22"/>
  <c r="D353" i="22"/>
  <c r="E353" i="22"/>
  <c r="F353" i="22"/>
  <c r="G353" i="22"/>
  <c r="H353" i="22"/>
  <c r="I353" i="22"/>
  <c r="J353" i="22"/>
  <c r="K353" i="22"/>
  <c r="L353" i="22"/>
  <c r="M353" i="22"/>
  <c r="N353" i="22"/>
  <c r="O353" i="22"/>
  <c r="P353" i="22"/>
  <c r="Q353" i="22"/>
  <c r="R353" i="22"/>
  <c r="S353" i="22"/>
  <c r="T353" i="22"/>
  <c r="U353" i="22"/>
  <c r="V353" i="22"/>
  <c r="W353" i="22"/>
  <c r="X353" i="22"/>
  <c r="Y353" i="22"/>
  <c r="Z353" i="22"/>
  <c r="A354" i="22"/>
  <c r="B354" i="22"/>
  <c r="C354" i="22"/>
  <c r="D354" i="22"/>
  <c r="E354" i="22"/>
  <c r="F354" i="22"/>
  <c r="G354" i="22"/>
  <c r="H354" i="22"/>
  <c r="I354" i="22"/>
  <c r="J354" i="22"/>
  <c r="K354" i="22"/>
  <c r="L354" i="22"/>
  <c r="M354" i="22"/>
  <c r="N354" i="22"/>
  <c r="O354" i="22"/>
  <c r="P354" i="22"/>
  <c r="Q354" i="22"/>
  <c r="R354" i="22"/>
  <c r="S354" i="22"/>
  <c r="T354" i="22"/>
  <c r="U354" i="22"/>
  <c r="V354" i="22"/>
  <c r="W354" i="22"/>
  <c r="X354" i="22"/>
  <c r="Y354" i="22"/>
  <c r="Z354" i="22"/>
  <c r="A355" i="22"/>
  <c r="B355" i="22"/>
  <c r="C355" i="22"/>
  <c r="D355" i="22"/>
  <c r="E355" i="22"/>
  <c r="F355" i="22"/>
  <c r="G355" i="22"/>
  <c r="H355" i="22"/>
  <c r="I355" i="22"/>
  <c r="J355" i="22"/>
  <c r="K355" i="22"/>
  <c r="L355" i="22"/>
  <c r="M355" i="22"/>
  <c r="N355" i="22"/>
  <c r="O355" i="22"/>
  <c r="P355" i="22"/>
  <c r="Q355" i="22"/>
  <c r="R355" i="22"/>
  <c r="S355" i="22"/>
  <c r="T355" i="22"/>
  <c r="U355" i="22"/>
  <c r="V355" i="22"/>
  <c r="W355" i="22"/>
  <c r="X355" i="22"/>
  <c r="Y355" i="22"/>
  <c r="Z355" i="22"/>
  <c r="A356" i="22"/>
  <c r="B356" i="22"/>
  <c r="C356" i="22"/>
  <c r="D356" i="22"/>
  <c r="E356" i="22"/>
  <c r="F356" i="22"/>
  <c r="G356" i="22"/>
  <c r="H356" i="22"/>
  <c r="I356" i="22"/>
  <c r="J356" i="22"/>
  <c r="K356" i="22"/>
  <c r="L356" i="22"/>
  <c r="M356" i="22"/>
  <c r="N356" i="22"/>
  <c r="O356" i="22"/>
  <c r="P356" i="22"/>
  <c r="Q356" i="22"/>
  <c r="R356" i="22"/>
  <c r="S356" i="22"/>
  <c r="T356" i="22"/>
  <c r="U356" i="22"/>
  <c r="V356" i="22"/>
  <c r="W356" i="22"/>
  <c r="X356" i="22"/>
  <c r="Y356" i="22"/>
  <c r="Z356" i="22"/>
  <c r="A357" i="22"/>
  <c r="B357" i="22"/>
  <c r="C357" i="22"/>
  <c r="D357" i="22"/>
  <c r="E357" i="22"/>
  <c r="F357" i="22"/>
  <c r="G357" i="22"/>
  <c r="H357" i="22"/>
  <c r="I357" i="22"/>
  <c r="J357" i="22"/>
  <c r="K357" i="22"/>
  <c r="L357" i="22"/>
  <c r="M357" i="22"/>
  <c r="N357" i="22"/>
  <c r="O357" i="22"/>
  <c r="P357" i="22"/>
  <c r="Q357" i="22"/>
  <c r="R357" i="22"/>
  <c r="S357" i="22"/>
  <c r="T357" i="22"/>
  <c r="U357" i="22"/>
  <c r="V357" i="22"/>
  <c r="W357" i="22"/>
  <c r="X357" i="22"/>
  <c r="Y357" i="22"/>
  <c r="Z357" i="22"/>
  <c r="A358" i="22"/>
  <c r="B358" i="22"/>
  <c r="C358" i="22"/>
  <c r="D358" i="22"/>
  <c r="E358" i="22"/>
  <c r="F358" i="22"/>
  <c r="G358" i="22"/>
  <c r="H358" i="22"/>
  <c r="I358" i="22"/>
  <c r="J358" i="22"/>
  <c r="K358" i="22"/>
  <c r="L358" i="22"/>
  <c r="M358" i="22"/>
  <c r="N358" i="22"/>
  <c r="O358" i="22"/>
  <c r="P358" i="22"/>
  <c r="Q358" i="22"/>
  <c r="R358" i="22"/>
  <c r="S358" i="22"/>
  <c r="T358" i="22"/>
  <c r="U358" i="22"/>
  <c r="V358" i="22"/>
  <c r="W358" i="22"/>
  <c r="X358" i="22"/>
  <c r="Y358" i="22"/>
  <c r="Z358" i="22"/>
  <c r="A359" i="22"/>
  <c r="B359" i="22"/>
  <c r="C359" i="22"/>
  <c r="D359" i="22"/>
  <c r="E359" i="22"/>
  <c r="F359" i="22"/>
  <c r="G359" i="22"/>
  <c r="H359" i="22"/>
  <c r="I359" i="22"/>
  <c r="J359" i="22"/>
  <c r="K359" i="22"/>
  <c r="L359" i="22"/>
  <c r="M359" i="22"/>
  <c r="N359" i="22"/>
  <c r="O359" i="22"/>
  <c r="P359" i="22"/>
  <c r="Q359" i="22"/>
  <c r="R359" i="22"/>
  <c r="S359" i="22"/>
  <c r="T359" i="22"/>
  <c r="U359" i="22"/>
  <c r="V359" i="22"/>
  <c r="W359" i="22"/>
  <c r="X359" i="22"/>
  <c r="Y359" i="22"/>
  <c r="Z359" i="22"/>
  <c r="A360" i="22"/>
  <c r="B360" i="22"/>
  <c r="C360" i="22"/>
  <c r="D360" i="22"/>
  <c r="E360" i="22"/>
  <c r="F360" i="22"/>
  <c r="G360" i="22"/>
  <c r="H360" i="22"/>
  <c r="I360" i="22"/>
  <c r="J360" i="22"/>
  <c r="K360" i="22"/>
  <c r="L360" i="22"/>
  <c r="M360" i="22"/>
  <c r="N360" i="22"/>
  <c r="O360" i="22"/>
  <c r="P360" i="22"/>
  <c r="Q360" i="22"/>
  <c r="R360" i="22"/>
  <c r="S360" i="22"/>
  <c r="T360" i="22"/>
  <c r="U360" i="22"/>
  <c r="V360" i="22"/>
  <c r="W360" i="22"/>
  <c r="X360" i="22"/>
  <c r="Y360" i="22"/>
  <c r="Z360" i="22"/>
  <c r="A361" i="22"/>
  <c r="B361" i="22"/>
  <c r="C361" i="22"/>
  <c r="D361" i="22"/>
  <c r="E361" i="22"/>
  <c r="F361" i="22"/>
  <c r="G361" i="22"/>
  <c r="H361" i="22"/>
  <c r="I361" i="22"/>
  <c r="J361" i="22"/>
  <c r="K361" i="22"/>
  <c r="L361" i="22"/>
  <c r="M361" i="22"/>
  <c r="N361" i="22"/>
  <c r="O361" i="22"/>
  <c r="P361" i="22"/>
  <c r="Q361" i="22"/>
  <c r="R361" i="22"/>
  <c r="S361" i="22"/>
  <c r="T361" i="22"/>
  <c r="U361" i="22"/>
  <c r="V361" i="22"/>
  <c r="W361" i="22"/>
  <c r="X361" i="22"/>
  <c r="Y361" i="22"/>
  <c r="Z361" i="22"/>
  <c r="A362" i="22"/>
  <c r="B362" i="22"/>
  <c r="C362" i="22"/>
  <c r="D362" i="22"/>
  <c r="E362" i="22"/>
  <c r="F362" i="22"/>
  <c r="G362" i="22"/>
  <c r="H362" i="22"/>
  <c r="I362" i="22"/>
  <c r="J362" i="22"/>
  <c r="K362" i="22"/>
  <c r="L362" i="22"/>
  <c r="M362" i="22"/>
  <c r="N362" i="22"/>
  <c r="O362" i="22"/>
  <c r="P362" i="22"/>
  <c r="Q362" i="22"/>
  <c r="R362" i="22"/>
  <c r="S362" i="22"/>
  <c r="T362" i="22"/>
  <c r="U362" i="22"/>
  <c r="V362" i="22"/>
  <c r="W362" i="22"/>
  <c r="X362" i="22"/>
  <c r="Y362" i="22"/>
  <c r="Z362" i="22"/>
  <c r="A363" i="22"/>
  <c r="B363" i="22"/>
  <c r="C363" i="22"/>
  <c r="D363" i="22"/>
  <c r="E363" i="22"/>
  <c r="F363" i="22"/>
  <c r="G363" i="22"/>
  <c r="H363" i="22"/>
  <c r="I363" i="22"/>
  <c r="J363" i="22"/>
  <c r="K363" i="22"/>
  <c r="L363" i="22"/>
  <c r="M363" i="22"/>
  <c r="N363" i="22"/>
  <c r="O363" i="22"/>
  <c r="P363" i="22"/>
  <c r="Q363" i="22"/>
  <c r="R363" i="22"/>
  <c r="S363" i="22"/>
  <c r="T363" i="22"/>
  <c r="U363" i="22"/>
  <c r="V363" i="22"/>
  <c r="W363" i="22"/>
  <c r="X363" i="22"/>
  <c r="Y363" i="22"/>
  <c r="Z363" i="22"/>
  <c r="A364" i="22"/>
  <c r="B364" i="22"/>
  <c r="C364" i="22"/>
  <c r="D364" i="22"/>
  <c r="E364" i="22"/>
  <c r="F364" i="22"/>
  <c r="G364" i="22"/>
  <c r="H364" i="22"/>
  <c r="I364" i="22"/>
  <c r="J364" i="22"/>
  <c r="K364" i="22"/>
  <c r="L364" i="22"/>
  <c r="M364" i="22"/>
  <c r="N364" i="22"/>
  <c r="O364" i="22"/>
  <c r="P364" i="22"/>
  <c r="Q364" i="22"/>
  <c r="R364" i="22"/>
  <c r="S364" i="22"/>
  <c r="T364" i="22"/>
  <c r="U364" i="22"/>
  <c r="V364" i="22"/>
  <c r="W364" i="22"/>
  <c r="X364" i="22"/>
  <c r="Y364" i="22"/>
  <c r="Z364" i="22"/>
  <c r="A365" i="22"/>
  <c r="B365" i="22"/>
  <c r="C365" i="22"/>
  <c r="D365" i="22"/>
  <c r="E365" i="22"/>
  <c r="F365" i="22"/>
  <c r="G365" i="22"/>
  <c r="H365" i="22"/>
  <c r="I365" i="22"/>
  <c r="J365" i="22"/>
  <c r="K365" i="22"/>
  <c r="L365" i="22"/>
  <c r="M365" i="22"/>
  <c r="N365" i="22"/>
  <c r="O365" i="22"/>
  <c r="P365" i="22"/>
  <c r="Q365" i="22"/>
  <c r="R365" i="22"/>
  <c r="S365" i="22"/>
  <c r="T365" i="22"/>
  <c r="U365" i="22"/>
  <c r="V365" i="22"/>
  <c r="W365" i="22"/>
  <c r="X365" i="22"/>
  <c r="Y365" i="22"/>
  <c r="Z365" i="22"/>
  <c r="A366" i="22"/>
  <c r="B366" i="22"/>
  <c r="C366" i="22"/>
  <c r="D366" i="22"/>
  <c r="E366" i="22"/>
  <c r="F366" i="22"/>
  <c r="G366" i="22"/>
  <c r="H366" i="22"/>
  <c r="I366" i="22"/>
  <c r="J366" i="22"/>
  <c r="K366" i="22"/>
  <c r="L366" i="22"/>
  <c r="M366" i="22"/>
  <c r="N366" i="22"/>
  <c r="O366" i="22"/>
  <c r="P366" i="22"/>
  <c r="Q366" i="22"/>
  <c r="R366" i="22"/>
  <c r="S366" i="22"/>
  <c r="T366" i="22"/>
  <c r="U366" i="22"/>
  <c r="V366" i="22"/>
  <c r="W366" i="22"/>
  <c r="X366" i="22"/>
  <c r="Y366" i="22"/>
  <c r="Z366" i="22"/>
  <c r="A367" i="22"/>
  <c r="B367" i="22"/>
  <c r="C367" i="22"/>
  <c r="D367" i="22"/>
  <c r="E367" i="22"/>
  <c r="F367" i="22"/>
  <c r="G367" i="22"/>
  <c r="H367" i="22"/>
  <c r="I367" i="22"/>
  <c r="J367" i="22"/>
  <c r="K367" i="22"/>
  <c r="L367" i="22"/>
  <c r="M367" i="22"/>
  <c r="N367" i="22"/>
  <c r="O367" i="22"/>
  <c r="P367" i="22"/>
  <c r="Q367" i="22"/>
  <c r="R367" i="22"/>
  <c r="S367" i="22"/>
  <c r="T367" i="22"/>
  <c r="U367" i="22"/>
  <c r="V367" i="22"/>
  <c r="W367" i="22"/>
  <c r="X367" i="22"/>
  <c r="Y367" i="22"/>
  <c r="Z367" i="22"/>
  <c r="A368" i="22"/>
  <c r="B368" i="22"/>
  <c r="C368" i="22"/>
  <c r="D368" i="22"/>
  <c r="E368" i="22"/>
  <c r="F368" i="22"/>
  <c r="G368" i="22"/>
  <c r="H368" i="22"/>
  <c r="I368" i="22"/>
  <c r="J368" i="22"/>
  <c r="K368" i="22"/>
  <c r="L368" i="22"/>
  <c r="M368" i="22"/>
  <c r="N368" i="22"/>
  <c r="O368" i="22"/>
  <c r="P368" i="22"/>
  <c r="Q368" i="22"/>
  <c r="R368" i="22"/>
  <c r="S368" i="22"/>
  <c r="T368" i="22"/>
  <c r="U368" i="22"/>
  <c r="V368" i="22"/>
  <c r="W368" i="22"/>
  <c r="X368" i="22"/>
  <c r="Y368" i="22"/>
  <c r="Z368" i="22"/>
  <c r="A369" i="22"/>
  <c r="B369" i="22"/>
  <c r="C369" i="22"/>
  <c r="D369" i="22"/>
  <c r="E369" i="22"/>
  <c r="F369" i="22"/>
  <c r="G369" i="22"/>
  <c r="H369" i="22"/>
  <c r="I369" i="22"/>
  <c r="J369" i="22"/>
  <c r="K369" i="22"/>
  <c r="L369" i="22"/>
  <c r="M369" i="22"/>
  <c r="N369" i="22"/>
  <c r="O369" i="22"/>
  <c r="P369" i="22"/>
  <c r="Q369" i="22"/>
  <c r="R369" i="22"/>
  <c r="S369" i="22"/>
  <c r="T369" i="22"/>
  <c r="U369" i="22"/>
  <c r="V369" i="22"/>
  <c r="W369" i="22"/>
  <c r="X369" i="22"/>
  <c r="Y369" i="22"/>
  <c r="Z369" i="22"/>
  <c r="A370" i="22"/>
  <c r="B370" i="22"/>
  <c r="C370" i="22"/>
  <c r="D370" i="22"/>
  <c r="E370" i="22"/>
  <c r="F370" i="22"/>
  <c r="G370" i="22"/>
  <c r="H370" i="22"/>
  <c r="I370" i="22"/>
  <c r="J370" i="22"/>
  <c r="K370" i="22"/>
  <c r="L370" i="22"/>
  <c r="M370" i="22"/>
  <c r="N370" i="22"/>
  <c r="O370" i="22"/>
  <c r="P370" i="22"/>
  <c r="Q370" i="22"/>
  <c r="R370" i="22"/>
  <c r="S370" i="22"/>
  <c r="T370" i="22"/>
  <c r="U370" i="22"/>
  <c r="V370" i="22"/>
  <c r="W370" i="22"/>
  <c r="X370" i="22"/>
  <c r="Y370" i="22"/>
  <c r="Z370" i="22"/>
  <c r="A371" i="22"/>
  <c r="B371" i="22"/>
  <c r="C371" i="22"/>
  <c r="D371" i="22"/>
  <c r="E371" i="22"/>
  <c r="F371" i="22"/>
  <c r="G371" i="22"/>
  <c r="H371" i="22"/>
  <c r="I371" i="22"/>
  <c r="J371" i="22"/>
  <c r="K371" i="22"/>
  <c r="L371" i="22"/>
  <c r="M371" i="22"/>
  <c r="N371" i="22"/>
  <c r="O371" i="22"/>
  <c r="P371" i="22"/>
  <c r="Q371" i="22"/>
  <c r="R371" i="22"/>
  <c r="S371" i="22"/>
  <c r="T371" i="22"/>
  <c r="U371" i="22"/>
  <c r="V371" i="22"/>
  <c r="W371" i="22"/>
  <c r="X371" i="22"/>
  <c r="Y371" i="22"/>
  <c r="Z371" i="22"/>
  <c r="A372" i="22"/>
  <c r="B372" i="22"/>
  <c r="C372" i="22"/>
  <c r="D372" i="22"/>
  <c r="E372" i="22"/>
  <c r="F372" i="22"/>
  <c r="G372" i="22"/>
  <c r="H372" i="22"/>
  <c r="I372" i="22"/>
  <c r="J372" i="22"/>
  <c r="K372" i="22"/>
  <c r="L372" i="22"/>
  <c r="M372" i="22"/>
  <c r="N372" i="22"/>
  <c r="O372" i="22"/>
  <c r="P372" i="22"/>
  <c r="Q372" i="22"/>
  <c r="R372" i="22"/>
  <c r="S372" i="22"/>
  <c r="T372" i="22"/>
  <c r="U372" i="22"/>
  <c r="V372" i="22"/>
  <c r="W372" i="22"/>
  <c r="X372" i="22"/>
  <c r="Y372" i="22"/>
  <c r="Z372" i="22"/>
  <c r="A373" i="22"/>
  <c r="B373" i="22"/>
  <c r="C373" i="22"/>
  <c r="D373" i="22"/>
  <c r="E373" i="22"/>
  <c r="F373" i="22"/>
  <c r="G373" i="22"/>
  <c r="H373" i="22"/>
  <c r="I373" i="22"/>
  <c r="J373" i="22"/>
  <c r="K373" i="22"/>
  <c r="L373" i="22"/>
  <c r="M373" i="22"/>
  <c r="N373" i="22"/>
  <c r="O373" i="22"/>
  <c r="P373" i="22"/>
  <c r="Q373" i="22"/>
  <c r="R373" i="22"/>
  <c r="S373" i="22"/>
  <c r="T373" i="22"/>
  <c r="U373" i="22"/>
  <c r="V373" i="22"/>
  <c r="W373" i="22"/>
  <c r="X373" i="22"/>
  <c r="Y373" i="22"/>
  <c r="Z373" i="22"/>
  <c r="A374" i="22"/>
  <c r="B374" i="22"/>
  <c r="C374" i="22"/>
  <c r="D374" i="22"/>
  <c r="E374" i="22"/>
  <c r="F374" i="22"/>
  <c r="G374" i="22"/>
  <c r="H374" i="22"/>
  <c r="I374" i="22"/>
  <c r="J374" i="22"/>
  <c r="K374" i="22"/>
  <c r="L374" i="22"/>
  <c r="M374" i="22"/>
  <c r="N374" i="22"/>
  <c r="O374" i="22"/>
  <c r="P374" i="22"/>
  <c r="Q374" i="22"/>
  <c r="R374" i="22"/>
  <c r="S374" i="22"/>
  <c r="T374" i="22"/>
  <c r="U374" i="22"/>
  <c r="V374" i="22"/>
  <c r="W374" i="22"/>
  <c r="X374" i="22"/>
  <c r="Y374" i="22"/>
  <c r="Z374" i="22"/>
  <c r="A375" i="22"/>
  <c r="B375" i="22"/>
  <c r="C375" i="22"/>
  <c r="D375" i="22"/>
  <c r="E375" i="22"/>
  <c r="F375" i="22"/>
  <c r="G375" i="22"/>
  <c r="H375" i="22"/>
  <c r="I375" i="22"/>
  <c r="J375" i="22"/>
  <c r="K375" i="22"/>
  <c r="L375" i="22"/>
  <c r="M375" i="22"/>
  <c r="N375" i="22"/>
  <c r="O375" i="22"/>
  <c r="P375" i="22"/>
  <c r="Q375" i="22"/>
  <c r="R375" i="22"/>
  <c r="S375" i="22"/>
  <c r="T375" i="22"/>
  <c r="U375" i="22"/>
  <c r="V375" i="22"/>
  <c r="W375" i="22"/>
  <c r="X375" i="22"/>
  <c r="Y375" i="22"/>
  <c r="Z375" i="22"/>
  <c r="A376" i="22"/>
  <c r="B376" i="22"/>
  <c r="C376" i="22"/>
  <c r="D376" i="22"/>
  <c r="E376" i="22"/>
  <c r="F376" i="22"/>
  <c r="G376" i="22"/>
  <c r="H376" i="22"/>
  <c r="I376" i="22"/>
  <c r="J376" i="22"/>
  <c r="K376" i="22"/>
  <c r="L376" i="22"/>
  <c r="M376" i="22"/>
  <c r="N376" i="22"/>
  <c r="O376" i="22"/>
  <c r="P376" i="22"/>
  <c r="Q376" i="22"/>
  <c r="R376" i="22"/>
  <c r="S376" i="22"/>
  <c r="T376" i="22"/>
  <c r="U376" i="22"/>
  <c r="V376" i="22"/>
  <c r="W376" i="22"/>
  <c r="X376" i="22"/>
  <c r="Y376" i="22"/>
  <c r="Z376" i="22"/>
  <c r="A377" i="22"/>
  <c r="B377" i="22"/>
  <c r="C377" i="22"/>
  <c r="D377" i="22"/>
  <c r="E377" i="22"/>
  <c r="F377" i="22"/>
  <c r="G377" i="22"/>
  <c r="H377" i="22"/>
  <c r="I377" i="22"/>
  <c r="J377" i="22"/>
  <c r="K377" i="22"/>
  <c r="L377" i="22"/>
  <c r="M377" i="22"/>
  <c r="N377" i="22"/>
  <c r="O377" i="22"/>
  <c r="P377" i="22"/>
  <c r="Q377" i="22"/>
  <c r="R377" i="22"/>
  <c r="S377" i="22"/>
  <c r="T377" i="22"/>
  <c r="U377" i="22"/>
  <c r="V377" i="22"/>
  <c r="W377" i="22"/>
  <c r="X377" i="22"/>
  <c r="Y377" i="22"/>
  <c r="Z377" i="22"/>
  <c r="A378" i="22"/>
  <c r="B378" i="22"/>
  <c r="C378" i="22"/>
  <c r="D378" i="22"/>
  <c r="E378" i="22"/>
  <c r="F378" i="22"/>
  <c r="G378" i="22"/>
  <c r="H378" i="22"/>
  <c r="I378" i="22"/>
  <c r="J378" i="22"/>
  <c r="K378" i="22"/>
  <c r="L378" i="22"/>
  <c r="M378" i="22"/>
  <c r="N378" i="22"/>
  <c r="O378" i="22"/>
  <c r="P378" i="22"/>
  <c r="Q378" i="22"/>
  <c r="R378" i="22"/>
  <c r="S378" i="22"/>
  <c r="T378" i="22"/>
  <c r="U378" i="22"/>
  <c r="V378" i="22"/>
  <c r="W378" i="22"/>
  <c r="X378" i="22"/>
  <c r="Y378" i="22"/>
  <c r="Z378" i="22"/>
  <c r="A379" i="22"/>
  <c r="B379" i="22"/>
  <c r="C379" i="22"/>
  <c r="D379" i="22"/>
  <c r="E379" i="22"/>
  <c r="F379" i="22"/>
  <c r="G379" i="22"/>
  <c r="H379" i="22"/>
  <c r="I379" i="22"/>
  <c r="J379" i="22"/>
  <c r="K379" i="22"/>
  <c r="L379" i="22"/>
  <c r="M379" i="22"/>
  <c r="N379" i="22"/>
  <c r="O379" i="22"/>
  <c r="P379" i="22"/>
  <c r="Q379" i="22"/>
  <c r="R379" i="22"/>
  <c r="S379" i="22"/>
  <c r="T379" i="22"/>
  <c r="U379" i="22"/>
  <c r="V379" i="22"/>
  <c r="W379" i="22"/>
  <c r="X379" i="22"/>
  <c r="Y379" i="22"/>
  <c r="Z379" i="22"/>
  <c r="A380" i="22"/>
  <c r="B380" i="22"/>
  <c r="C380" i="22"/>
  <c r="D380" i="22"/>
  <c r="E380" i="22"/>
  <c r="F380" i="22"/>
  <c r="G380" i="22"/>
  <c r="H380" i="22"/>
  <c r="I380" i="22"/>
  <c r="J380" i="22"/>
  <c r="K380" i="22"/>
  <c r="L380" i="22"/>
  <c r="M380" i="22"/>
  <c r="N380" i="22"/>
  <c r="O380" i="22"/>
  <c r="P380" i="22"/>
  <c r="Q380" i="22"/>
  <c r="R380" i="22"/>
  <c r="S380" i="22"/>
  <c r="T380" i="22"/>
  <c r="U380" i="22"/>
  <c r="V380" i="22"/>
  <c r="W380" i="22"/>
  <c r="X380" i="22"/>
  <c r="Y380" i="22"/>
  <c r="Z380" i="22"/>
  <c r="A381" i="22"/>
  <c r="B381" i="22"/>
  <c r="C381" i="22"/>
  <c r="D381" i="22"/>
  <c r="E381" i="22"/>
  <c r="F381" i="22"/>
  <c r="G381" i="22"/>
  <c r="H381" i="22"/>
  <c r="I381" i="22"/>
  <c r="J381" i="22"/>
  <c r="K381" i="22"/>
  <c r="L381" i="22"/>
  <c r="M381" i="22"/>
  <c r="N381" i="22"/>
  <c r="O381" i="22"/>
  <c r="P381" i="22"/>
  <c r="Q381" i="22"/>
  <c r="R381" i="22"/>
  <c r="S381" i="22"/>
  <c r="T381" i="22"/>
  <c r="U381" i="22"/>
  <c r="V381" i="22"/>
  <c r="W381" i="22"/>
  <c r="X381" i="22"/>
  <c r="Y381" i="22"/>
  <c r="Z381" i="22"/>
  <c r="A382" i="22"/>
  <c r="B382" i="22"/>
  <c r="C382" i="22"/>
  <c r="D382" i="22"/>
  <c r="E382" i="22"/>
  <c r="F382" i="22"/>
  <c r="G382" i="22"/>
  <c r="H382" i="22"/>
  <c r="I382" i="22"/>
  <c r="J382" i="22"/>
  <c r="K382" i="22"/>
  <c r="L382" i="22"/>
  <c r="M382" i="22"/>
  <c r="N382" i="22"/>
  <c r="O382" i="22"/>
  <c r="P382" i="22"/>
  <c r="Q382" i="22"/>
  <c r="R382" i="22"/>
  <c r="S382" i="22"/>
  <c r="T382" i="22"/>
  <c r="U382" i="22"/>
  <c r="V382" i="22"/>
  <c r="W382" i="22"/>
  <c r="X382" i="22"/>
  <c r="Y382" i="22"/>
  <c r="Z382" i="22"/>
  <c r="A383" i="22"/>
  <c r="B383" i="22"/>
  <c r="C383" i="22"/>
  <c r="D383" i="22"/>
  <c r="E383" i="22"/>
  <c r="F383" i="22"/>
  <c r="G383" i="22"/>
  <c r="H383" i="22"/>
  <c r="I383" i="22"/>
  <c r="J383" i="22"/>
  <c r="K383" i="22"/>
  <c r="L383" i="22"/>
  <c r="M383" i="22"/>
  <c r="N383" i="22"/>
  <c r="O383" i="22"/>
  <c r="P383" i="22"/>
  <c r="Q383" i="22"/>
  <c r="R383" i="22"/>
  <c r="S383" i="22"/>
  <c r="T383" i="22"/>
  <c r="U383" i="22"/>
  <c r="V383" i="22"/>
  <c r="W383" i="22"/>
  <c r="X383" i="22"/>
  <c r="Y383" i="22"/>
  <c r="Z383" i="22"/>
  <c r="A384" i="22"/>
  <c r="B384" i="22"/>
  <c r="C384" i="22"/>
  <c r="D384" i="22"/>
  <c r="E384" i="22"/>
  <c r="F384" i="22"/>
  <c r="G384" i="22"/>
  <c r="H384" i="22"/>
  <c r="I384" i="22"/>
  <c r="J384" i="22"/>
  <c r="K384" i="22"/>
  <c r="L384" i="22"/>
  <c r="M384" i="22"/>
  <c r="N384" i="22"/>
  <c r="O384" i="22"/>
  <c r="P384" i="22"/>
  <c r="Q384" i="22"/>
  <c r="R384" i="22"/>
  <c r="S384" i="22"/>
  <c r="T384" i="22"/>
  <c r="U384" i="22"/>
  <c r="V384" i="22"/>
  <c r="W384" i="22"/>
  <c r="X384" i="22"/>
  <c r="Y384" i="22"/>
  <c r="Z384" i="22"/>
  <c r="A385" i="22"/>
  <c r="B385" i="22"/>
  <c r="C385" i="22"/>
  <c r="D385" i="22"/>
  <c r="E385" i="22"/>
  <c r="F385" i="22"/>
  <c r="G385" i="22"/>
  <c r="H385" i="22"/>
  <c r="I385" i="22"/>
  <c r="J385" i="22"/>
  <c r="K385" i="22"/>
  <c r="L385" i="22"/>
  <c r="M385" i="22"/>
  <c r="N385" i="22"/>
  <c r="O385" i="22"/>
  <c r="P385" i="22"/>
  <c r="Q385" i="22"/>
  <c r="R385" i="22"/>
  <c r="S385" i="22"/>
  <c r="T385" i="22"/>
  <c r="U385" i="22"/>
  <c r="V385" i="22"/>
  <c r="W385" i="22"/>
  <c r="X385" i="22"/>
  <c r="Y385" i="22"/>
  <c r="Z385" i="22"/>
  <c r="A386" i="22"/>
  <c r="B386" i="22"/>
  <c r="C386" i="22"/>
  <c r="D386" i="22"/>
  <c r="E386" i="22"/>
  <c r="F386" i="22"/>
  <c r="G386" i="22"/>
  <c r="H386" i="22"/>
  <c r="I386" i="22"/>
  <c r="J386" i="22"/>
  <c r="K386" i="22"/>
  <c r="L386" i="22"/>
  <c r="M386" i="22"/>
  <c r="N386" i="22"/>
  <c r="O386" i="22"/>
  <c r="P386" i="22"/>
  <c r="Q386" i="22"/>
  <c r="R386" i="22"/>
  <c r="S386" i="22"/>
  <c r="T386" i="22"/>
  <c r="U386" i="22"/>
  <c r="V386" i="22"/>
  <c r="W386" i="22"/>
  <c r="X386" i="22"/>
  <c r="Y386" i="22"/>
  <c r="Z386" i="22"/>
  <c r="A387" i="22"/>
  <c r="B387" i="22"/>
  <c r="C387" i="22"/>
  <c r="D387" i="22"/>
  <c r="E387" i="22"/>
  <c r="F387" i="22"/>
  <c r="G387" i="22"/>
  <c r="H387" i="22"/>
  <c r="I387" i="22"/>
  <c r="J387" i="22"/>
  <c r="K387" i="22"/>
  <c r="L387" i="22"/>
  <c r="M387" i="22"/>
  <c r="N387" i="22"/>
  <c r="O387" i="22"/>
  <c r="P387" i="22"/>
  <c r="Q387" i="22"/>
  <c r="R387" i="22"/>
  <c r="S387" i="22"/>
  <c r="T387" i="22"/>
  <c r="U387" i="22"/>
  <c r="V387" i="22"/>
  <c r="W387" i="22"/>
  <c r="X387" i="22"/>
  <c r="Y387" i="22"/>
  <c r="Z387" i="22"/>
  <c r="A388" i="22"/>
  <c r="B388" i="22"/>
  <c r="C388" i="22"/>
  <c r="D388" i="22"/>
  <c r="E388" i="22"/>
  <c r="F388" i="22"/>
  <c r="G388" i="22"/>
  <c r="H388" i="22"/>
  <c r="I388" i="22"/>
  <c r="J388" i="22"/>
  <c r="K388" i="22"/>
  <c r="L388" i="22"/>
  <c r="M388" i="22"/>
  <c r="N388" i="22"/>
  <c r="O388" i="22"/>
  <c r="P388" i="22"/>
  <c r="Q388" i="22"/>
  <c r="R388" i="22"/>
  <c r="S388" i="22"/>
  <c r="T388" i="22"/>
  <c r="U388" i="22"/>
  <c r="V388" i="22"/>
  <c r="W388" i="22"/>
  <c r="X388" i="22"/>
  <c r="Y388" i="22"/>
  <c r="Z388" i="22"/>
  <c r="A389" i="22"/>
  <c r="B389" i="22"/>
  <c r="C389" i="22"/>
  <c r="D389" i="22"/>
  <c r="E389" i="22"/>
  <c r="F389" i="22"/>
  <c r="G389" i="22"/>
  <c r="H389" i="22"/>
  <c r="I389" i="22"/>
  <c r="J389" i="22"/>
  <c r="K389" i="22"/>
  <c r="L389" i="22"/>
  <c r="M389" i="22"/>
  <c r="N389" i="22"/>
  <c r="O389" i="22"/>
  <c r="P389" i="22"/>
  <c r="Q389" i="22"/>
  <c r="R389" i="22"/>
  <c r="S389" i="22"/>
  <c r="T389" i="22"/>
  <c r="U389" i="22"/>
  <c r="V389" i="22"/>
  <c r="W389" i="22"/>
  <c r="X389" i="22"/>
  <c r="Y389" i="22"/>
  <c r="Z389" i="22"/>
  <c r="A390" i="22"/>
  <c r="B390" i="22"/>
  <c r="C390" i="22"/>
  <c r="D390" i="22"/>
  <c r="E390" i="22"/>
  <c r="F390" i="22"/>
  <c r="G390" i="22"/>
  <c r="H390" i="22"/>
  <c r="I390" i="22"/>
  <c r="J390" i="22"/>
  <c r="K390" i="22"/>
  <c r="L390" i="22"/>
  <c r="M390" i="22"/>
  <c r="N390" i="22"/>
  <c r="O390" i="22"/>
  <c r="P390" i="22"/>
  <c r="Q390" i="22"/>
  <c r="R390" i="22"/>
  <c r="S390" i="22"/>
  <c r="T390" i="22"/>
  <c r="U390" i="22"/>
  <c r="V390" i="22"/>
  <c r="W390" i="22"/>
  <c r="X390" i="22"/>
  <c r="Y390" i="22"/>
  <c r="Z390" i="22"/>
  <c r="A391" i="22"/>
  <c r="B391" i="22"/>
  <c r="C391" i="22"/>
  <c r="D391" i="22"/>
  <c r="E391" i="22"/>
  <c r="F391" i="22"/>
  <c r="G391" i="22"/>
  <c r="H391" i="22"/>
  <c r="I391" i="22"/>
  <c r="J391" i="22"/>
  <c r="K391" i="22"/>
  <c r="L391" i="22"/>
  <c r="M391" i="22"/>
  <c r="N391" i="22"/>
  <c r="O391" i="22"/>
  <c r="P391" i="22"/>
  <c r="Q391" i="22"/>
  <c r="R391" i="22"/>
  <c r="S391" i="22"/>
  <c r="T391" i="22"/>
  <c r="U391" i="22"/>
  <c r="V391" i="22"/>
  <c r="W391" i="22"/>
  <c r="X391" i="22"/>
  <c r="Y391" i="22"/>
  <c r="Z391" i="22"/>
  <c r="A392" i="22"/>
  <c r="B392" i="22"/>
  <c r="C392" i="22"/>
  <c r="D392" i="22"/>
  <c r="E392" i="22"/>
  <c r="F392" i="22"/>
  <c r="G392" i="22"/>
  <c r="H392" i="22"/>
  <c r="I392" i="22"/>
  <c r="J392" i="22"/>
  <c r="K392" i="22"/>
  <c r="L392" i="22"/>
  <c r="M392" i="22"/>
  <c r="N392" i="22"/>
  <c r="O392" i="22"/>
  <c r="P392" i="22"/>
  <c r="Q392" i="22"/>
  <c r="R392" i="22"/>
  <c r="S392" i="22"/>
  <c r="T392" i="22"/>
  <c r="U392" i="22"/>
  <c r="V392" i="22"/>
  <c r="W392" i="22"/>
  <c r="X392" i="22"/>
  <c r="Y392" i="22"/>
  <c r="Z392" i="22"/>
  <c r="A393" i="22"/>
  <c r="B393" i="22"/>
  <c r="C393" i="22"/>
  <c r="D393" i="22"/>
  <c r="E393" i="22"/>
  <c r="F393" i="22"/>
  <c r="G393" i="22"/>
  <c r="H393" i="22"/>
  <c r="I393" i="22"/>
  <c r="J393" i="22"/>
  <c r="K393" i="22"/>
  <c r="L393" i="22"/>
  <c r="M393" i="22"/>
  <c r="N393" i="22"/>
  <c r="O393" i="22"/>
  <c r="P393" i="22"/>
  <c r="Q393" i="22"/>
  <c r="R393" i="22"/>
  <c r="S393" i="22"/>
  <c r="T393" i="22"/>
  <c r="U393" i="22"/>
  <c r="V393" i="22"/>
  <c r="W393" i="22"/>
  <c r="X393" i="22"/>
  <c r="Y393" i="22"/>
  <c r="Z393" i="22"/>
  <c r="A394" i="22"/>
  <c r="B394" i="22"/>
  <c r="C394" i="22"/>
  <c r="D394" i="22"/>
  <c r="E394" i="22"/>
  <c r="F394" i="22"/>
  <c r="G394" i="22"/>
  <c r="H394" i="22"/>
  <c r="I394" i="22"/>
  <c r="J394" i="22"/>
  <c r="K394" i="22"/>
  <c r="L394" i="22"/>
  <c r="M394" i="22"/>
  <c r="N394" i="22"/>
  <c r="O394" i="22"/>
  <c r="P394" i="22"/>
  <c r="Q394" i="22"/>
  <c r="R394" i="22"/>
  <c r="S394" i="22"/>
  <c r="T394" i="22"/>
  <c r="U394" i="22"/>
  <c r="V394" i="22"/>
  <c r="W394" i="22"/>
  <c r="X394" i="22"/>
  <c r="Y394" i="22"/>
  <c r="Z394" i="22"/>
  <c r="A395" i="22"/>
  <c r="B395" i="22"/>
  <c r="C395" i="22"/>
  <c r="D395" i="22"/>
  <c r="E395" i="22"/>
  <c r="F395" i="22"/>
  <c r="G395" i="22"/>
  <c r="H395" i="22"/>
  <c r="I395" i="22"/>
  <c r="J395" i="22"/>
  <c r="K395" i="22"/>
  <c r="L395" i="22"/>
  <c r="M395" i="22"/>
  <c r="N395" i="22"/>
  <c r="O395" i="22"/>
  <c r="P395" i="22"/>
  <c r="Q395" i="22"/>
  <c r="R395" i="22"/>
  <c r="S395" i="22"/>
  <c r="T395" i="22"/>
  <c r="U395" i="22"/>
  <c r="V395" i="22"/>
  <c r="W395" i="22"/>
  <c r="X395" i="22"/>
  <c r="Y395" i="22"/>
  <c r="Z395" i="22"/>
  <c r="A396" i="22"/>
  <c r="B396" i="22"/>
  <c r="C396" i="22"/>
  <c r="D396" i="22"/>
  <c r="E396" i="22"/>
  <c r="F396" i="22"/>
  <c r="G396" i="22"/>
  <c r="H396" i="22"/>
  <c r="I396" i="22"/>
  <c r="J396" i="22"/>
  <c r="K396" i="22"/>
  <c r="L396" i="22"/>
  <c r="M396" i="22"/>
  <c r="N396" i="22"/>
  <c r="O396" i="22"/>
  <c r="P396" i="22"/>
  <c r="Q396" i="22"/>
  <c r="R396" i="22"/>
  <c r="S396" i="22"/>
  <c r="T396" i="22"/>
  <c r="U396" i="22"/>
  <c r="V396" i="22"/>
  <c r="W396" i="22"/>
  <c r="X396" i="22"/>
  <c r="Y396" i="22"/>
  <c r="Z396" i="22"/>
  <c r="A397" i="22"/>
  <c r="B397" i="22"/>
  <c r="C397" i="22"/>
  <c r="D397" i="22"/>
  <c r="E397" i="22"/>
  <c r="F397" i="22"/>
  <c r="G397" i="22"/>
  <c r="H397" i="22"/>
  <c r="I397" i="22"/>
  <c r="J397" i="22"/>
  <c r="K397" i="22"/>
  <c r="L397" i="22"/>
  <c r="M397" i="22"/>
  <c r="N397" i="22"/>
  <c r="O397" i="22"/>
  <c r="P397" i="22"/>
  <c r="Q397" i="22"/>
  <c r="R397" i="22"/>
  <c r="S397" i="22"/>
  <c r="T397" i="22"/>
  <c r="U397" i="22"/>
  <c r="V397" i="22"/>
  <c r="W397" i="22"/>
  <c r="X397" i="22"/>
  <c r="Y397" i="22"/>
  <c r="Z397" i="22"/>
  <c r="A398" i="22"/>
  <c r="B398" i="22"/>
  <c r="C398" i="22"/>
  <c r="D398" i="22"/>
  <c r="E398" i="22"/>
  <c r="F398" i="22"/>
  <c r="G398" i="22"/>
  <c r="H398" i="22"/>
  <c r="I398" i="22"/>
  <c r="J398" i="22"/>
  <c r="K398" i="22"/>
  <c r="L398" i="22"/>
  <c r="M398" i="22"/>
  <c r="N398" i="22"/>
  <c r="O398" i="22"/>
  <c r="P398" i="22"/>
  <c r="Q398" i="22"/>
  <c r="R398" i="22"/>
  <c r="S398" i="22"/>
  <c r="T398" i="22"/>
  <c r="U398" i="22"/>
  <c r="V398" i="22"/>
  <c r="W398" i="22"/>
  <c r="X398" i="22"/>
  <c r="Y398" i="22"/>
  <c r="Z398" i="22"/>
  <c r="A399" i="22"/>
  <c r="B399" i="22"/>
  <c r="C399" i="22"/>
  <c r="D399" i="22"/>
  <c r="E399" i="22"/>
  <c r="F399" i="22"/>
  <c r="G399" i="22"/>
  <c r="H399" i="22"/>
  <c r="I399" i="22"/>
  <c r="J399" i="22"/>
  <c r="K399" i="22"/>
  <c r="L399" i="22"/>
  <c r="M399" i="22"/>
  <c r="N399" i="22"/>
  <c r="O399" i="22"/>
  <c r="P399" i="22"/>
  <c r="Q399" i="22"/>
  <c r="R399" i="22"/>
  <c r="S399" i="22"/>
  <c r="T399" i="22"/>
  <c r="U399" i="22"/>
  <c r="V399" i="22"/>
  <c r="W399" i="22"/>
  <c r="X399" i="22"/>
  <c r="Y399" i="22"/>
  <c r="Z399" i="22"/>
  <c r="A400" i="22"/>
  <c r="B400" i="22"/>
  <c r="C400" i="22"/>
  <c r="D400" i="22"/>
  <c r="E400" i="22"/>
  <c r="F400" i="22"/>
  <c r="G400" i="22"/>
  <c r="H400" i="22"/>
  <c r="I400" i="22"/>
  <c r="J400" i="22"/>
  <c r="K400" i="22"/>
  <c r="L400" i="22"/>
  <c r="M400" i="22"/>
  <c r="N400" i="22"/>
  <c r="O400" i="22"/>
  <c r="P400" i="22"/>
  <c r="Q400" i="22"/>
  <c r="R400" i="22"/>
  <c r="S400" i="22"/>
  <c r="T400" i="22"/>
  <c r="U400" i="22"/>
  <c r="V400" i="22"/>
  <c r="W400" i="22"/>
  <c r="X400" i="22"/>
  <c r="Y400" i="22"/>
  <c r="Z400" i="22"/>
  <c r="A401" i="22"/>
  <c r="B401" i="22"/>
  <c r="C401" i="22"/>
  <c r="D401" i="22"/>
  <c r="E401" i="22"/>
  <c r="F401" i="22"/>
  <c r="G401" i="22"/>
  <c r="H401" i="22"/>
  <c r="I401" i="22"/>
  <c r="J401" i="22"/>
  <c r="K401" i="22"/>
  <c r="L401" i="22"/>
  <c r="M401" i="22"/>
  <c r="N401" i="22"/>
  <c r="O401" i="22"/>
  <c r="P401" i="22"/>
  <c r="Q401" i="22"/>
  <c r="R401" i="22"/>
  <c r="S401" i="22"/>
  <c r="T401" i="22"/>
  <c r="U401" i="22"/>
  <c r="V401" i="22"/>
  <c r="W401" i="22"/>
  <c r="X401" i="22"/>
  <c r="Y401" i="22"/>
  <c r="Z401" i="22"/>
  <c r="A402" i="22"/>
  <c r="B402" i="22"/>
  <c r="C402" i="22"/>
  <c r="D402" i="22"/>
  <c r="E402" i="22"/>
  <c r="F402" i="22"/>
  <c r="G402" i="22"/>
  <c r="H402" i="22"/>
  <c r="I402" i="22"/>
  <c r="J402" i="22"/>
  <c r="K402" i="22"/>
  <c r="L402" i="22"/>
  <c r="M402" i="22"/>
  <c r="N402" i="22"/>
  <c r="O402" i="22"/>
  <c r="P402" i="22"/>
  <c r="Q402" i="22"/>
  <c r="R402" i="22"/>
  <c r="S402" i="22"/>
  <c r="T402" i="22"/>
  <c r="U402" i="22"/>
  <c r="V402" i="22"/>
  <c r="W402" i="22"/>
  <c r="X402" i="22"/>
  <c r="Y402" i="22"/>
  <c r="Z402" i="22"/>
  <c r="A403" i="22"/>
  <c r="B403" i="22"/>
  <c r="C403" i="22"/>
  <c r="D403" i="22"/>
  <c r="E403" i="22"/>
  <c r="F403" i="22"/>
  <c r="G403" i="22"/>
  <c r="H403" i="22"/>
  <c r="I403" i="22"/>
  <c r="J403" i="22"/>
  <c r="K403" i="22"/>
  <c r="L403" i="22"/>
  <c r="M403" i="22"/>
  <c r="N403" i="22"/>
  <c r="O403" i="22"/>
  <c r="P403" i="22"/>
  <c r="Q403" i="22"/>
  <c r="R403" i="22"/>
  <c r="S403" i="22"/>
  <c r="T403" i="22"/>
  <c r="U403" i="22"/>
  <c r="V403" i="22"/>
  <c r="W403" i="22"/>
  <c r="X403" i="22"/>
  <c r="Y403" i="22"/>
  <c r="Z403" i="22"/>
  <c r="A404" i="22"/>
  <c r="B404" i="22"/>
  <c r="C404" i="22"/>
  <c r="D404" i="22"/>
  <c r="E404" i="22"/>
  <c r="F404" i="22"/>
  <c r="G404" i="22"/>
  <c r="H404" i="22"/>
  <c r="I404" i="22"/>
  <c r="J404" i="22"/>
  <c r="K404" i="22"/>
  <c r="L404" i="22"/>
  <c r="M404" i="22"/>
  <c r="N404" i="22"/>
  <c r="O404" i="22"/>
  <c r="P404" i="22"/>
  <c r="Q404" i="22"/>
  <c r="R404" i="22"/>
  <c r="S404" i="22"/>
  <c r="T404" i="22"/>
  <c r="U404" i="22"/>
  <c r="V404" i="22"/>
  <c r="W404" i="22"/>
  <c r="X404" i="22"/>
  <c r="Y404" i="22"/>
  <c r="Z404" i="22"/>
  <c r="A405" i="22"/>
  <c r="B405" i="22"/>
  <c r="C405" i="22"/>
  <c r="D405" i="22"/>
  <c r="E405" i="22"/>
  <c r="F405" i="22"/>
  <c r="G405" i="22"/>
  <c r="H405" i="22"/>
  <c r="I405" i="22"/>
  <c r="J405" i="22"/>
  <c r="K405" i="22"/>
  <c r="L405" i="22"/>
  <c r="M405" i="22"/>
  <c r="N405" i="22"/>
  <c r="O405" i="22"/>
  <c r="P405" i="22"/>
  <c r="Q405" i="22"/>
  <c r="R405" i="22"/>
  <c r="S405" i="22"/>
  <c r="T405" i="22"/>
  <c r="U405" i="22"/>
  <c r="V405" i="22"/>
  <c r="W405" i="22"/>
  <c r="X405" i="22"/>
  <c r="Y405" i="22"/>
  <c r="Z405" i="22"/>
  <c r="A406" i="22"/>
  <c r="B406" i="22"/>
  <c r="C406" i="22"/>
  <c r="D406" i="22"/>
  <c r="E406" i="22"/>
  <c r="F406" i="22"/>
  <c r="G406" i="22"/>
  <c r="H406" i="22"/>
  <c r="I406" i="22"/>
  <c r="J406" i="22"/>
  <c r="K406" i="22"/>
  <c r="L406" i="22"/>
  <c r="M406" i="22"/>
  <c r="N406" i="22"/>
  <c r="O406" i="22"/>
  <c r="P406" i="22"/>
  <c r="Q406" i="22"/>
  <c r="R406" i="22"/>
  <c r="S406" i="22"/>
  <c r="T406" i="22"/>
  <c r="U406" i="22"/>
  <c r="V406" i="22"/>
  <c r="W406" i="22"/>
  <c r="X406" i="22"/>
  <c r="Y406" i="22"/>
  <c r="Z406" i="22"/>
  <c r="A407" i="22"/>
  <c r="B407" i="22"/>
  <c r="C407" i="22"/>
  <c r="D407" i="22"/>
  <c r="E407" i="22"/>
  <c r="F407" i="22"/>
  <c r="G407" i="22"/>
  <c r="H407" i="22"/>
  <c r="I407" i="22"/>
  <c r="J407" i="22"/>
  <c r="K407" i="22"/>
  <c r="L407" i="22"/>
  <c r="M407" i="22"/>
  <c r="N407" i="22"/>
  <c r="O407" i="22"/>
  <c r="P407" i="22"/>
  <c r="Q407" i="22"/>
  <c r="R407" i="22"/>
  <c r="S407" i="22"/>
  <c r="T407" i="22"/>
  <c r="U407" i="22"/>
  <c r="V407" i="22"/>
  <c r="W407" i="22"/>
  <c r="X407" i="22"/>
  <c r="Y407" i="22"/>
  <c r="Z407" i="22"/>
  <c r="A408" i="22"/>
  <c r="B408" i="22"/>
  <c r="C408" i="22"/>
  <c r="D408" i="22"/>
  <c r="E408" i="22"/>
  <c r="F408" i="22"/>
  <c r="G408" i="22"/>
  <c r="H408" i="22"/>
  <c r="I408" i="22"/>
  <c r="J408" i="22"/>
  <c r="K408" i="22"/>
  <c r="L408" i="22"/>
  <c r="M408" i="22"/>
  <c r="N408" i="22"/>
  <c r="O408" i="22"/>
  <c r="P408" i="22"/>
  <c r="Q408" i="22"/>
  <c r="R408" i="22"/>
  <c r="S408" i="22"/>
  <c r="T408" i="22"/>
  <c r="U408" i="22"/>
  <c r="V408" i="22"/>
  <c r="W408" i="22"/>
  <c r="X408" i="22"/>
  <c r="Y408" i="22"/>
  <c r="Z408" i="22"/>
  <c r="A409" i="22"/>
  <c r="B409" i="22"/>
  <c r="C409" i="22"/>
  <c r="D409" i="22"/>
  <c r="E409" i="22"/>
  <c r="F409" i="22"/>
  <c r="G409" i="22"/>
  <c r="H409" i="22"/>
  <c r="I409" i="22"/>
  <c r="J409" i="22"/>
  <c r="K409" i="22"/>
  <c r="L409" i="22"/>
  <c r="M409" i="22"/>
  <c r="N409" i="22"/>
  <c r="O409" i="22"/>
  <c r="P409" i="22"/>
  <c r="Q409" i="22"/>
  <c r="R409" i="22"/>
  <c r="S409" i="22"/>
  <c r="T409" i="22"/>
  <c r="U409" i="22"/>
  <c r="V409" i="22"/>
  <c r="W409" i="22"/>
  <c r="X409" i="22"/>
  <c r="Y409" i="22"/>
  <c r="Z409" i="22"/>
  <c r="A410" i="22"/>
  <c r="B410" i="22"/>
  <c r="C410" i="22"/>
  <c r="D410" i="22"/>
  <c r="E410" i="22"/>
  <c r="F410" i="22"/>
  <c r="G410" i="22"/>
  <c r="H410" i="22"/>
  <c r="I410" i="22"/>
  <c r="J410" i="22"/>
  <c r="K410" i="22"/>
  <c r="L410" i="22"/>
  <c r="M410" i="22"/>
  <c r="N410" i="22"/>
  <c r="O410" i="22"/>
  <c r="P410" i="22"/>
  <c r="Q410" i="22"/>
  <c r="R410" i="22"/>
  <c r="S410" i="22"/>
  <c r="T410" i="22"/>
  <c r="U410" i="22"/>
  <c r="V410" i="22"/>
  <c r="W410" i="22"/>
  <c r="X410" i="22"/>
  <c r="Y410" i="22"/>
  <c r="Z410" i="22"/>
  <c r="A411" i="22"/>
  <c r="B411" i="22"/>
  <c r="C411" i="22"/>
  <c r="D411" i="22"/>
  <c r="E411" i="22"/>
  <c r="F411" i="22"/>
  <c r="G411" i="22"/>
  <c r="H411" i="22"/>
  <c r="I411" i="22"/>
  <c r="J411" i="22"/>
  <c r="K411" i="22"/>
  <c r="L411" i="22"/>
  <c r="M411" i="22"/>
  <c r="N411" i="22"/>
  <c r="O411" i="22"/>
  <c r="P411" i="22"/>
  <c r="Q411" i="22"/>
  <c r="R411" i="22"/>
  <c r="S411" i="22"/>
  <c r="T411" i="22"/>
  <c r="U411" i="22"/>
  <c r="V411" i="22"/>
  <c r="W411" i="22"/>
  <c r="X411" i="22"/>
  <c r="Y411" i="22"/>
  <c r="Z411" i="22"/>
  <c r="A412" i="22"/>
  <c r="B412" i="22"/>
  <c r="C412" i="22"/>
  <c r="D412" i="22"/>
  <c r="E412" i="22"/>
  <c r="F412" i="22"/>
  <c r="G412" i="22"/>
  <c r="H412" i="22"/>
  <c r="I412" i="22"/>
  <c r="J412" i="22"/>
  <c r="K412" i="22"/>
  <c r="L412" i="22"/>
  <c r="M412" i="22"/>
  <c r="N412" i="22"/>
  <c r="O412" i="22"/>
  <c r="P412" i="22"/>
  <c r="Q412" i="22"/>
  <c r="R412" i="22"/>
  <c r="S412" i="22"/>
  <c r="T412" i="22"/>
  <c r="U412" i="22"/>
  <c r="V412" i="22"/>
  <c r="W412" i="22"/>
  <c r="X412" i="22"/>
  <c r="Y412" i="22"/>
  <c r="Z412" i="22"/>
  <c r="A413" i="22"/>
  <c r="B413" i="22"/>
  <c r="C413" i="22"/>
  <c r="D413" i="22"/>
  <c r="E413" i="22"/>
  <c r="F413" i="22"/>
  <c r="G413" i="22"/>
  <c r="H413" i="22"/>
  <c r="I413" i="22"/>
  <c r="J413" i="22"/>
  <c r="K413" i="22"/>
  <c r="L413" i="22"/>
  <c r="M413" i="22"/>
  <c r="N413" i="22"/>
  <c r="O413" i="22"/>
  <c r="P413" i="22"/>
  <c r="Q413" i="22"/>
  <c r="R413" i="22"/>
  <c r="S413" i="22"/>
  <c r="T413" i="22"/>
  <c r="U413" i="22"/>
  <c r="V413" i="22"/>
  <c r="W413" i="22"/>
  <c r="X413" i="22"/>
  <c r="Y413" i="22"/>
  <c r="Z413" i="22"/>
  <c r="A414" i="22"/>
  <c r="B414" i="22"/>
  <c r="C414" i="22"/>
  <c r="D414" i="22"/>
  <c r="E414" i="22"/>
  <c r="F414" i="22"/>
  <c r="G414" i="22"/>
  <c r="H414" i="22"/>
  <c r="I414" i="22"/>
  <c r="J414" i="22"/>
  <c r="K414" i="22"/>
  <c r="L414" i="22"/>
  <c r="M414" i="22"/>
  <c r="N414" i="22"/>
  <c r="O414" i="22"/>
  <c r="P414" i="22"/>
  <c r="Q414" i="22"/>
  <c r="R414" i="22"/>
  <c r="S414" i="22"/>
  <c r="T414" i="22"/>
  <c r="U414" i="22"/>
  <c r="V414" i="22"/>
  <c r="W414" i="22"/>
  <c r="X414" i="22"/>
  <c r="Y414" i="22"/>
  <c r="Z414" i="22"/>
  <c r="A415" i="22"/>
  <c r="B415" i="22"/>
  <c r="C415" i="22"/>
  <c r="D415" i="22"/>
  <c r="E415" i="22"/>
  <c r="F415" i="22"/>
  <c r="G415" i="22"/>
  <c r="H415" i="22"/>
  <c r="I415" i="22"/>
  <c r="J415" i="22"/>
  <c r="K415" i="22"/>
  <c r="L415" i="22"/>
  <c r="M415" i="22"/>
  <c r="N415" i="22"/>
  <c r="O415" i="22"/>
  <c r="P415" i="22"/>
  <c r="Q415" i="22"/>
  <c r="R415" i="22"/>
  <c r="S415" i="22"/>
  <c r="T415" i="22"/>
  <c r="U415" i="22"/>
  <c r="V415" i="22"/>
  <c r="W415" i="22"/>
  <c r="X415" i="22"/>
  <c r="Y415" i="22"/>
  <c r="Z415" i="22"/>
  <c r="A416" i="22"/>
  <c r="B416" i="22"/>
  <c r="C416" i="22"/>
  <c r="D416" i="22"/>
  <c r="E416" i="22"/>
  <c r="F416" i="22"/>
  <c r="G416" i="22"/>
  <c r="H416" i="22"/>
  <c r="I416" i="22"/>
  <c r="J416" i="22"/>
  <c r="K416" i="22"/>
  <c r="L416" i="22"/>
  <c r="M416" i="22"/>
  <c r="N416" i="22"/>
  <c r="O416" i="22"/>
  <c r="P416" i="22"/>
  <c r="Q416" i="22"/>
  <c r="R416" i="22"/>
  <c r="S416" i="22"/>
  <c r="T416" i="22"/>
  <c r="U416" i="22"/>
  <c r="V416" i="22"/>
  <c r="W416" i="22"/>
  <c r="X416" i="22"/>
  <c r="Y416" i="22"/>
  <c r="Z416" i="22"/>
  <c r="A417" i="22"/>
  <c r="B417" i="22"/>
  <c r="C417" i="22"/>
  <c r="D417" i="22"/>
  <c r="E417" i="22"/>
  <c r="F417" i="22"/>
  <c r="G417" i="22"/>
  <c r="H417" i="22"/>
  <c r="I417" i="22"/>
  <c r="J417" i="22"/>
  <c r="K417" i="22"/>
  <c r="L417" i="22"/>
  <c r="M417" i="22"/>
  <c r="N417" i="22"/>
  <c r="O417" i="22"/>
  <c r="P417" i="22"/>
  <c r="Q417" i="22"/>
  <c r="R417" i="22"/>
  <c r="S417" i="22"/>
  <c r="T417" i="22"/>
  <c r="U417" i="22"/>
  <c r="V417" i="22"/>
  <c r="W417" i="22"/>
  <c r="X417" i="22"/>
  <c r="Y417" i="22"/>
  <c r="Z417" i="22"/>
  <c r="A418" i="22"/>
  <c r="B418" i="22"/>
  <c r="C418" i="22"/>
  <c r="D418" i="22"/>
  <c r="E418" i="22"/>
  <c r="F418" i="22"/>
  <c r="G418" i="22"/>
  <c r="H418" i="22"/>
  <c r="I418" i="22"/>
  <c r="J418" i="22"/>
  <c r="K418" i="22"/>
  <c r="L418" i="22"/>
  <c r="M418" i="22"/>
  <c r="N418" i="22"/>
  <c r="O418" i="22"/>
  <c r="P418" i="22"/>
  <c r="Q418" i="22"/>
  <c r="R418" i="22"/>
  <c r="S418" i="22"/>
  <c r="T418" i="22"/>
  <c r="U418" i="22"/>
  <c r="V418" i="22"/>
  <c r="W418" i="22"/>
  <c r="X418" i="22"/>
  <c r="Y418" i="22"/>
  <c r="Z418" i="22"/>
  <c r="A419" i="22"/>
  <c r="B419" i="22"/>
  <c r="C419" i="22"/>
  <c r="D419" i="22"/>
  <c r="E419" i="22"/>
  <c r="F419" i="22"/>
  <c r="G419" i="22"/>
  <c r="H419" i="22"/>
  <c r="I419" i="22"/>
  <c r="J419" i="22"/>
  <c r="K419" i="22"/>
  <c r="L419" i="22"/>
  <c r="M419" i="22"/>
  <c r="N419" i="22"/>
  <c r="O419" i="22"/>
  <c r="P419" i="22"/>
  <c r="Q419" i="22"/>
  <c r="R419" i="22"/>
  <c r="S419" i="22"/>
  <c r="T419" i="22"/>
  <c r="U419" i="22"/>
  <c r="V419" i="22"/>
  <c r="W419" i="22"/>
  <c r="X419" i="22"/>
  <c r="Y419" i="22"/>
  <c r="Z419" i="22"/>
  <c r="A420" i="22"/>
  <c r="B420" i="22"/>
  <c r="C420" i="22"/>
  <c r="D420" i="22"/>
  <c r="E420" i="22"/>
  <c r="F420" i="22"/>
  <c r="G420" i="22"/>
  <c r="H420" i="22"/>
  <c r="I420" i="22"/>
  <c r="J420" i="22"/>
  <c r="K420" i="22"/>
  <c r="L420" i="22"/>
  <c r="M420" i="22"/>
  <c r="N420" i="22"/>
  <c r="O420" i="22"/>
  <c r="P420" i="22"/>
  <c r="Q420" i="22"/>
  <c r="R420" i="22"/>
  <c r="S420" i="22"/>
  <c r="T420" i="22"/>
  <c r="U420" i="22"/>
  <c r="V420" i="22"/>
  <c r="W420" i="22"/>
  <c r="X420" i="22"/>
  <c r="Y420" i="22"/>
  <c r="Z420" i="22"/>
  <c r="A421" i="22"/>
  <c r="B421" i="22"/>
  <c r="C421" i="22"/>
  <c r="D421" i="22"/>
  <c r="E421" i="22"/>
  <c r="F421" i="22"/>
  <c r="G421" i="22"/>
  <c r="H421" i="22"/>
  <c r="I421" i="22"/>
  <c r="J421" i="22"/>
  <c r="K421" i="22"/>
  <c r="L421" i="22"/>
  <c r="M421" i="22"/>
  <c r="N421" i="22"/>
  <c r="O421" i="22"/>
  <c r="P421" i="22"/>
  <c r="Q421" i="22"/>
  <c r="R421" i="22"/>
  <c r="S421" i="22"/>
  <c r="T421" i="22"/>
  <c r="U421" i="22"/>
  <c r="V421" i="22"/>
  <c r="W421" i="22"/>
  <c r="X421" i="22"/>
  <c r="Y421" i="22"/>
  <c r="Z421" i="22"/>
  <c r="A422" i="22"/>
  <c r="B422" i="22"/>
  <c r="C422" i="22"/>
  <c r="D422" i="22"/>
  <c r="E422" i="22"/>
  <c r="F422" i="22"/>
  <c r="G422" i="22"/>
  <c r="H422" i="22"/>
  <c r="I422" i="22"/>
  <c r="J422" i="22"/>
  <c r="K422" i="22"/>
  <c r="L422" i="22"/>
  <c r="M422" i="22"/>
  <c r="N422" i="22"/>
  <c r="O422" i="22"/>
  <c r="P422" i="22"/>
  <c r="Q422" i="22"/>
  <c r="R422" i="22"/>
  <c r="S422" i="22"/>
  <c r="T422" i="22"/>
  <c r="U422" i="22"/>
  <c r="V422" i="22"/>
  <c r="W422" i="22"/>
  <c r="X422" i="22"/>
  <c r="Y422" i="22"/>
  <c r="Z422" i="22"/>
  <c r="A423" i="22"/>
  <c r="B423" i="22"/>
  <c r="C423" i="22"/>
  <c r="D423" i="22"/>
  <c r="E423" i="22"/>
  <c r="F423" i="22"/>
  <c r="G423" i="22"/>
  <c r="H423" i="22"/>
  <c r="I423" i="22"/>
  <c r="J423" i="22"/>
  <c r="K423" i="22"/>
  <c r="L423" i="22"/>
  <c r="M423" i="22"/>
  <c r="N423" i="22"/>
  <c r="O423" i="22"/>
  <c r="P423" i="22"/>
  <c r="Q423" i="22"/>
  <c r="R423" i="22"/>
  <c r="S423" i="22"/>
  <c r="T423" i="22"/>
  <c r="U423" i="22"/>
  <c r="V423" i="22"/>
  <c r="W423" i="22"/>
  <c r="X423" i="22"/>
  <c r="Y423" i="22"/>
  <c r="Z423" i="22"/>
  <c r="A424" i="22"/>
  <c r="B424" i="22"/>
  <c r="C424" i="22"/>
  <c r="D424" i="22"/>
  <c r="E424" i="22"/>
  <c r="F424" i="22"/>
  <c r="G424" i="22"/>
  <c r="H424" i="22"/>
  <c r="I424" i="22"/>
  <c r="J424" i="22"/>
  <c r="K424" i="22"/>
  <c r="L424" i="22"/>
  <c r="M424" i="22"/>
  <c r="N424" i="22"/>
  <c r="O424" i="22"/>
  <c r="P424" i="22"/>
  <c r="Q424" i="22"/>
  <c r="R424" i="22"/>
  <c r="S424" i="22"/>
  <c r="T424" i="22"/>
  <c r="U424" i="22"/>
  <c r="V424" i="22"/>
  <c r="W424" i="22"/>
  <c r="X424" i="22"/>
  <c r="Y424" i="22"/>
  <c r="Z424" i="22"/>
  <c r="A425" i="22"/>
  <c r="B425" i="22"/>
  <c r="C425" i="22"/>
  <c r="D425" i="22"/>
  <c r="E425" i="22"/>
  <c r="F425" i="22"/>
  <c r="G425" i="22"/>
  <c r="H425" i="22"/>
  <c r="I425" i="22"/>
  <c r="J425" i="22"/>
  <c r="K425" i="22"/>
  <c r="L425" i="22"/>
  <c r="M425" i="22"/>
  <c r="N425" i="22"/>
  <c r="O425" i="22"/>
  <c r="P425" i="22"/>
  <c r="Q425" i="22"/>
  <c r="R425" i="22"/>
  <c r="S425" i="22"/>
  <c r="T425" i="22"/>
  <c r="U425" i="22"/>
  <c r="V425" i="22"/>
  <c r="W425" i="22"/>
  <c r="X425" i="22"/>
  <c r="Y425" i="22"/>
  <c r="Z425" i="22"/>
  <c r="A426" i="22"/>
  <c r="B426" i="22"/>
  <c r="C426" i="22"/>
  <c r="D426" i="22"/>
  <c r="E426" i="22"/>
  <c r="F426" i="22"/>
  <c r="G426" i="22"/>
  <c r="H426" i="22"/>
  <c r="I426" i="22"/>
  <c r="J426" i="22"/>
  <c r="K426" i="22"/>
  <c r="L426" i="22"/>
  <c r="M426" i="22"/>
  <c r="N426" i="22"/>
  <c r="O426" i="22"/>
  <c r="P426" i="22"/>
  <c r="Q426" i="22"/>
  <c r="R426" i="22"/>
  <c r="S426" i="22"/>
  <c r="T426" i="22"/>
  <c r="U426" i="22"/>
  <c r="V426" i="22"/>
  <c r="W426" i="22"/>
  <c r="X426" i="22"/>
  <c r="Y426" i="22"/>
  <c r="Z426" i="22"/>
  <c r="A427" i="22"/>
  <c r="B427" i="22"/>
  <c r="C427" i="22"/>
  <c r="D427" i="22"/>
  <c r="E427" i="22"/>
  <c r="F427" i="22"/>
  <c r="G427" i="22"/>
  <c r="H427" i="22"/>
  <c r="I427" i="22"/>
  <c r="J427" i="22"/>
  <c r="K427" i="22"/>
  <c r="L427" i="22"/>
  <c r="M427" i="22"/>
  <c r="N427" i="22"/>
  <c r="O427" i="22"/>
  <c r="P427" i="22"/>
  <c r="Q427" i="22"/>
  <c r="R427" i="22"/>
  <c r="S427" i="22"/>
  <c r="T427" i="22"/>
  <c r="U427" i="22"/>
  <c r="V427" i="22"/>
  <c r="W427" i="22"/>
  <c r="X427" i="22"/>
  <c r="Y427" i="22"/>
  <c r="Z427" i="22"/>
  <c r="A428" i="22"/>
  <c r="B428" i="22"/>
  <c r="C428" i="22"/>
  <c r="D428" i="22"/>
  <c r="E428" i="22"/>
  <c r="F428" i="22"/>
  <c r="G428" i="22"/>
  <c r="H428" i="22"/>
  <c r="I428" i="22"/>
  <c r="J428" i="22"/>
  <c r="K428" i="22"/>
  <c r="L428" i="22"/>
  <c r="M428" i="22"/>
  <c r="N428" i="22"/>
  <c r="O428" i="22"/>
  <c r="P428" i="22"/>
  <c r="Q428" i="22"/>
  <c r="R428" i="22"/>
  <c r="S428" i="22"/>
  <c r="T428" i="22"/>
  <c r="U428" i="22"/>
  <c r="V428" i="22"/>
  <c r="W428" i="22"/>
  <c r="X428" i="22"/>
  <c r="Y428" i="22"/>
  <c r="Z428" i="22"/>
  <c r="A429" i="22"/>
  <c r="B429" i="22"/>
  <c r="C429" i="22"/>
  <c r="D429" i="22"/>
  <c r="E429" i="22"/>
  <c r="F429" i="22"/>
  <c r="G429" i="22"/>
  <c r="H429" i="22"/>
  <c r="I429" i="22"/>
  <c r="J429" i="22"/>
  <c r="K429" i="22"/>
  <c r="L429" i="22"/>
  <c r="M429" i="22"/>
  <c r="N429" i="22"/>
  <c r="O429" i="22"/>
  <c r="P429" i="22"/>
  <c r="Q429" i="22"/>
  <c r="R429" i="22"/>
  <c r="S429" i="22"/>
  <c r="T429" i="22"/>
  <c r="U429" i="22"/>
  <c r="V429" i="22"/>
  <c r="W429" i="22"/>
  <c r="X429" i="22"/>
  <c r="Y429" i="22"/>
  <c r="Z429" i="22"/>
  <c r="A430" i="22"/>
  <c r="B430" i="22"/>
  <c r="C430" i="22"/>
  <c r="D430" i="22"/>
  <c r="E430" i="22"/>
  <c r="F430" i="22"/>
  <c r="G430" i="22"/>
  <c r="H430" i="22"/>
  <c r="I430" i="22"/>
  <c r="J430" i="22"/>
  <c r="K430" i="22"/>
  <c r="L430" i="22"/>
  <c r="M430" i="22"/>
  <c r="N430" i="22"/>
  <c r="O430" i="22"/>
  <c r="P430" i="22"/>
  <c r="Q430" i="22"/>
  <c r="R430" i="22"/>
  <c r="S430" i="22"/>
  <c r="T430" i="22"/>
  <c r="U430" i="22"/>
  <c r="V430" i="22"/>
  <c r="W430" i="22"/>
  <c r="X430" i="22"/>
  <c r="Y430" i="22"/>
  <c r="Z430" i="22"/>
  <c r="A431" i="22"/>
  <c r="B431" i="22"/>
  <c r="C431" i="22"/>
  <c r="D431" i="22"/>
  <c r="E431" i="22"/>
  <c r="F431" i="22"/>
  <c r="G431" i="22"/>
  <c r="H431" i="22"/>
  <c r="I431" i="22"/>
  <c r="J431" i="22"/>
  <c r="K431" i="22"/>
  <c r="L431" i="22"/>
  <c r="M431" i="22"/>
  <c r="N431" i="22"/>
  <c r="O431" i="22"/>
  <c r="P431" i="22"/>
  <c r="Q431" i="22"/>
  <c r="R431" i="22"/>
  <c r="S431" i="22"/>
  <c r="T431" i="22"/>
  <c r="U431" i="22"/>
  <c r="V431" i="22"/>
  <c r="W431" i="22"/>
  <c r="X431" i="22"/>
  <c r="Y431" i="22"/>
  <c r="Z431" i="22"/>
  <c r="A432" i="22"/>
  <c r="B432" i="22"/>
  <c r="C432" i="22"/>
  <c r="D432" i="22"/>
  <c r="E432" i="22"/>
  <c r="F432" i="22"/>
  <c r="G432" i="22"/>
  <c r="H432" i="22"/>
  <c r="I432" i="22"/>
  <c r="J432" i="22"/>
  <c r="K432" i="22"/>
  <c r="L432" i="22"/>
  <c r="M432" i="22"/>
  <c r="N432" i="22"/>
  <c r="O432" i="22"/>
  <c r="P432" i="22"/>
  <c r="Q432" i="22"/>
  <c r="R432" i="22"/>
  <c r="S432" i="22"/>
  <c r="T432" i="22"/>
  <c r="U432" i="22"/>
  <c r="V432" i="22"/>
  <c r="W432" i="22"/>
  <c r="X432" i="22"/>
  <c r="Y432" i="22"/>
  <c r="Z432" i="22"/>
  <c r="A433" i="22"/>
  <c r="B433" i="22"/>
  <c r="C433" i="22"/>
  <c r="D433" i="22"/>
  <c r="E433" i="22"/>
  <c r="F433" i="22"/>
  <c r="G433" i="22"/>
  <c r="H433" i="22"/>
  <c r="I433" i="22"/>
  <c r="J433" i="22"/>
  <c r="K433" i="22"/>
  <c r="L433" i="22"/>
  <c r="M433" i="22"/>
  <c r="N433" i="22"/>
  <c r="O433" i="22"/>
  <c r="P433" i="22"/>
  <c r="Q433" i="22"/>
  <c r="R433" i="22"/>
  <c r="S433" i="22"/>
  <c r="T433" i="22"/>
  <c r="U433" i="22"/>
  <c r="V433" i="22"/>
  <c r="W433" i="22"/>
  <c r="X433" i="22"/>
  <c r="Y433" i="22"/>
  <c r="Z433" i="22"/>
  <c r="A434" i="22"/>
  <c r="B434" i="22"/>
  <c r="C434" i="22"/>
  <c r="D434" i="22"/>
  <c r="E434" i="22"/>
  <c r="F434" i="22"/>
  <c r="G434" i="22"/>
  <c r="H434" i="22"/>
  <c r="I434" i="22"/>
  <c r="J434" i="22"/>
  <c r="K434" i="22"/>
  <c r="L434" i="22"/>
  <c r="M434" i="22"/>
  <c r="N434" i="22"/>
  <c r="O434" i="22"/>
  <c r="P434" i="22"/>
  <c r="Q434" i="22"/>
  <c r="R434" i="22"/>
  <c r="S434" i="22"/>
  <c r="T434" i="22"/>
  <c r="U434" i="22"/>
  <c r="V434" i="22"/>
  <c r="W434" i="22"/>
  <c r="X434" i="22"/>
  <c r="Y434" i="22"/>
  <c r="Z434" i="22"/>
  <c r="A435" i="22"/>
  <c r="B435" i="22"/>
  <c r="C435" i="22"/>
  <c r="D435" i="22"/>
  <c r="E435" i="22"/>
  <c r="F435" i="22"/>
  <c r="G435" i="22"/>
  <c r="H435" i="22"/>
  <c r="I435" i="22"/>
  <c r="J435" i="22"/>
  <c r="K435" i="22"/>
  <c r="L435" i="22"/>
  <c r="M435" i="22"/>
  <c r="N435" i="22"/>
  <c r="O435" i="22"/>
  <c r="P435" i="22"/>
  <c r="Q435" i="22"/>
  <c r="R435" i="22"/>
  <c r="S435" i="22"/>
  <c r="T435" i="22"/>
  <c r="U435" i="22"/>
  <c r="V435" i="22"/>
  <c r="W435" i="22"/>
  <c r="X435" i="22"/>
  <c r="Y435" i="22"/>
  <c r="Z435" i="22"/>
  <c r="A436" i="22"/>
  <c r="B436" i="22"/>
  <c r="C436" i="22"/>
  <c r="D436" i="22"/>
  <c r="E436" i="22"/>
  <c r="F436" i="22"/>
  <c r="G436" i="22"/>
  <c r="H436" i="22"/>
  <c r="I436" i="22"/>
  <c r="J436" i="22"/>
  <c r="K436" i="22"/>
  <c r="L436" i="22"/>
  <c r="M436" i="22"/>
  <c r="N436" i="22"/>
  <c r="O436" i="22"/>
  <c r="P436" i="22"/>
  <c r="Q436" i="22"/>
  <c r="R436" i="22"/>
  <c r="S436" i="22"/>
  <c r="T436" i="22"/>
  <c r="U436" i="22"/>
  <c r="V436" i="22"/>
  <c r="W436" i="22"/>
  <c r="X436" i="22"/>
  <c r="Y436" i="22"/>
  <c r="Z436" i="22"/>
  <c r="A437" i="22"/>
  <c r="B437" i="22"/>
  <c r="C437" i="22"/>
  <c r="D437" i="22"/>
  <c r="E437" i="22"/>
  <c r="F437" i="22"/>
  <c r="G437" i="22"/>
  <c r="H437" i="22"/>
  <c r="I437" i="22"/>
  <c r="J437" i="22"/>
  <c r="K437" i="22"/>
  <c r="L437" i="22"/>
  <c r="M437" i="22"/>
  <c r="N437" i="22"/>
  <c r="O437" i="22"/>
  <c r="P437" i="22"/>
  <c r="Q437" i="22"/>
  <c r="R437" i="22"/>
  <c r="S437" i="22"/>
  <c r="T437" i="22"/>
  <c r="U437" i="22"/>
  <c r="V437" i="22"/>
  <c r="W437" i="22"/>
  <c r="X437" i="22"/>
  <c r="Y437" i="22"/>
  <c r="Z437" i="22"/>
  <c r="A438" i="22"/>
  <c r="B438" i="22"/>
  <c r="C438" i="22"/>
  <c r="D438" i="22"/>
  <c r="E438" i="22"/>
  <c r="F438" i="22"/>
  <c r="G438" i="22"/>
  <c r="H438" i="22"/>
  <c r="I438" i="22"/>
  <c r="J438" i="22"/>
  <c r="K438" i="22"/>
  <c r="L438" i="22"/>
  <c r="M438" i="22"/>
  <c r="N438" i="22"/>
  <c r="O438" i="22"/>
  <c r="P438" i="22"/>
  <c r="Q438" i="22"/>
  <c r="R438" i="22"/>
  <c r="S438" i="22"/>
  <c r="T438" i="22"/>
  <c r="U438" i="22"/>
  <c r="V438" i="22"/>
  <c r="W438" i="22"/>
  <c r="X438" i="22"/>
  <c r="Y438" i="22"/>
  <c r="Z438" i="22"/>
  <c r="A439" i="22"/>
  <c r="B439" i="22"/>
  <c r="C439" i="22"/>
  <c r="D439" i="22"/>
  <c r="E439" i="22"/>
  <c r="F439" i="22"/>
  <c r="G439" i="22"/>
  <c r="H439" i="22"/>
  <c r="I439" i="22"/>
  <c r="J439" i="22"/>
  <c r="K439" i="22"/>
  <c r="L439" i="22"/>
  <c r="M439" i="22"/>
  <c r="N439" i="22"/>
  <c r="O439" i="22"/>
  <c r="P439" i="22"/>
  <c r="Q439" i="22"/>
  <c r="R439" i="22"/>
  <c r="S439" i="22"/>
  <c r="T439" i="22"/>
  <c r="U439" i="22"/>
  <c r="V439" i="22"/>
  <c r="W439" i="22"/>
  <c r="X439" i="22"/>
  <c r="Y439" i="22"/>
  <c r="Z439" i="22"/>
  <c r="A440" i="22"/>
  <c r="B440" i="22"/>
  <c r="C440" i="22"/>
  <c r="D440" i="22"/>
  <c r="E440" i="22"/>
  <c r="F440" i="22"/>
  <c r="G440" i="22"/>
  <c r="H440" i="22"/>
  <c r="I440" i="22"/>
  <c r="J440" i="22"/>
  <c r="K440" i="22"/>
  <c r="L440" i="22"/>
  <c r="M440" i="22"/>
  <c r="N440" i="22"/>
  <c r="O440" i="22"/>
  <c r="P440" i="22"/>
  <c r="Q440" i="22"/>
  <c r="R440" i="22"/>
  <c r="S440" i="22"/>
  <c r="T440" i="22"/>
  <c r="U440" i="22"/>
  <c r="V440" i="22"/>
  <c r="W440" i="22"/>
  <c r="X440" i="22"/>
  <c r="Y440" i="22"/>
  <c r="Z440" i="22"/>
  <c r="A441" i="22"/>
  <c r="B441" i="22"/>
  <c r="C441" i="22"/>
  <c r="D441" i="22"/>
  <c r="E441" i="22"/>
  <c r="F441" i="22"/>
  <c r="G441" i="22"/>
  <c r="H441" i="22"/>
  <c r="I441" i="22"/>
  <c r="J441" i="22"/>
  <c r="K441" i="22"/>
  <c r="L441" i="22"/>
  <c r="M441" i="22"/>
  <c r="N441" i="22"/>
  <c r="O441" i="22"/>
  <c r="P441" i="22"/>
  <c r="Q441" i="22"/>
  <c r="R441" i="22"/>
  <c r="S441" i="22"/>
  <c r="T441" i="22"/>
  <c r="U441" i="22"/>
  <c r="V441" i="22"/>
  <c r="W441" i="22"/>
  <c r="X441" i="22"/>
  <c r="Y441" i="22"/>
  <c r="Z441" i="22"/>
  <c r="A442" i="22"/>
  <c r="B442" i="22"/>
  <c r="C442" i="22"/>
  <c r="D442" i="22"/>
  <c r="E442" i="22"/>
  <c r="F442" i="22"/>
  <c r="G442" i="22"/>
  <c r="H442" i="22"/>
  <c r="I442" i="22"/>
  <c r="J442" i="22"/>
  <c r="K442" i="22"/>
  <c r="L442" i="22"/>
  <c r="M442" i="22"/>
  <c r="N442" i="22"/>
  <c r="O442" i="22"/>
  <c r="P442" i="22"/>
  <c r="Q442" i="22"/>
  <c r="R442" i="22"/>
  <c r="S442" i="22"/>
  <c r="T442" i="22"/>
  <c r="U442" i="22"/>
  <c r="V442" i="22"/>
  <c r="W442" i="22"/>
  <c r="X442" i="22"/>
  <c r="Y442" i="22"/>
  <c r="Z442" i="22"/>
  <c r="A443" i="22"/>
  <c r="B443" i="22"/>
  <c r="C443" i="22"/>
  <c r="D443" i="22"/>
  <c r="E443" i="22"/>
  <c r="F443" i="22"/>
  <c r="G443" i="22"/>
  <c r="H443" i="22"/>
  <c r="I443" i="22"/>
  <c r="J443" i="22"/>
  <c r="K443" i="22"/>
  <c r="L443" i="22"/>
  <c r="M443" i="22"/>
  <c r="N443" i="22"/>
  <c r="O443" i="22"/>
  <c r="P443" i="22"/>
  <c r="Q443" i="22"/>
  <c r="R443" i="22"/>
  <c r="S443" i="22"/>
  <c r="T443" i="22"/>
  <c r="U443" i="22"/>
  <c r="V443" i="22"/>
  <c r="W443" i="22"/>
  <c r="X443" i="22"/>
  <c r="Y443" i="22"/>
  <c r="Z443" i="22"/>
  <c r="A444" i="22"/>
  <c r="B444" i="22"/>
  <c r="C444" i="22"/>
  <c r="D444" i="22"/>
  <c r="E444" i="22"/>
  <c r="F444" i="22"/>
  <c r="G444" i="22"/>
  <c r="H444" i="22"/>
  <c r="I444" i="22"/>
  <c r="J444" i="22"/>
  <c r="K444" i="22"/>
  <c r="L444" i="22"/>
  <c r="M444" i="22"/>
  <c r="N444" i="22"/>
  <c r="O444" i="22"/>
  <c r="P444" i="22"/>
  <c r="Q444" i="22"/>
  <c r="R444" i="22"/>
  <c r="S444" i="22"/>
  <c r="T444" i="22"/>
  <c r="U444" i="22"/>
  <c r="V444" i="22"/>
  <c r="W444" i="22"/>
  <c r="X444" i="22"/>
  <c r="Y444" i="22"/>
  <c r="Z444" i="22"/>
  <c r="A445" i="22"/>
  <c r="B445" i="22"/>
  <c r="C445" i="22"/>
  <c r="D445" i="22"/>
  <c r="E445" i="22"/>
  <c r="F445" i="22"/>
  <c r="G445" i="22"/>
  <c r="H445" i="22"/>
  <c r="I445" i="22"/>
  <c r="J445" i="22"/>
  <c r="K445" i="22"/>
  <c r="L445" i="22"/>
  <c r="M445" i="22"/>
  <c r="N445" i="22"/>
  <c r="O445" i="22"/>
  <c r="P445" i="22"/>
  <c r="Q445" i="22"/>
  <c r="R445" i="22"/>
  <c r="S445" i="22"/>
  <c r="T445" i="22"/>
  <c r="U445" i="22"/>
  <c r="V445" i="22"/>
  <c r="W445" i="22"/>
  <c r="X445" i="22"/>
  <c r="Y445" i="22"/>
  <c r="Z445" i="22"/>
  <c r="A446" i="22"/>
  <c r="B446" i="22"/>
  <c r="C446" i="22"/>
  <c r="D446" i="22"/>
  <c r="E446" i="22"/>
  <c r="F446" i="22"/>
  <c r="G446" i="22"/>
  <c r="H446" i="22"/>
  <c r="I446" i="22"/>
  <c r="J446" i="22"/>
  <c r="K446" i="22"/>
  <c r="L446" i="22"/>
  <c r="M446" i="22"/>
  <c r="N446" i="22"/>
  <c r="O446" i="22"/>
  <c r="P446" i="22"/>
  <c r="Q446" i="22"/>
  <c r="R446" i="22"/>
  <c r="S446" i="22"/>
  <c r="T446" i="22"/>
  <c r="U446" i="22"/>
  <c r="V446" i="22"/>
  <c r="W446" i="22"/>
  <c r="X446" i="22"/>
  <c r="Y446" i="22"/>
  <c r="Z446" i="22"/>
  <c r="A447" i="22"/>
  <c r="B447" i="22"/>
  <c r="C447" i="22"/>
  <c r="D447" i="22"/>
  <c r="E447" i="22"/>
  <c r="F447" i="22"/>
  <c r="G447" i="22"/>
  <c r="H447" i="22"/>
  <c r="I447" i="22"/>
  <c r="J447" i="22"/>
  <c r="K447" i="22"/>
  <c r="L447" i="22"/>
  <c r="M447" i="22"/>
  <c r="N447" i="22"/>
  <c r="O447" i="22"/>
  <c r="P447" i="22"/>
  <c r="Q447" i="22"/>
  <c r="R447" i="22"/>
  <c r="S447" i="22"/>
  <c r="T447" i="22"/>
  <c r="U447" i="22"/>
  <c r="V447" i="22"/>
  <c r="W447" i="22"/>
  <c r="X447" i="22"/>
  <c r="Y447" i="22"/>
  <c r="Z447" i="22"/>
  <c r="A448" i="22"/>
  <c r="B448" i="22"/>
  <c r="C448" i="22"/>
  <c r="D448" i="22"/>
  <c r="E448" i="22"/>
  <c r="F448" i="22"/>
  <c r="G448" i="22"/>
  <c r="H448" i="22"/>
  <c r="I448" i="22"/>
  <c r="J448" i="22"/>
  <c r="K448" i="22"/>
  <c r="L448" i="22"/>
  <c r="M448" i="22"/>
  <c r="N448" i="22"/>
  <c r="O448" i="22"/>
  <c r="P448" i="22"/>
  <c r="Q448" i="22"/>
  <c r="R448" i="22"/>
  <c r="S448" i="22"/>
  <c r="T448" i="22"/>
  <c r="U448" i="22"/>
  <c r="V448" i="22"/>
  <c r="W448" i="22"/>
  <c r="X448" i="22"/>
  <c r="Y448" i="22"/>
  <c r="Z448" i="22"/>
  <c r="A449" i="22"/>
  <c r="B449" i="22"/>
  <c r="C449" i="22"/>
  <c r="D449" i="22"/>
  <c r="E449" i="22"/>
  <c r="F449" i="22"/>
  <c r="G449" i="22"/>
  <c r="H449" i="22"/>
  <c r="I449" i="22"/>
  <c r="J449" i="22"/>
  <c r="K449" i="22"/>
  <c r="L449" i="22"/>
  <c r="M449" i="22"/>
  <c r="N449" i="22"/>
  <c r="O449" i="22"/>
  <c r="P449" i="22"/>
  <c r="Q449" i="22"/>
  <c r="R449" i="22"/>
  <c r="S449" i="22"/>
  <c r="T449" i="22"/>
  <c r="U449" i="22"/>
  <c r="V449" i="22"/>
  <c r="W449" i="22"/>
  <c r="X449" i="22"/>
  <c r="Y449" i="22"/>
  <c r="Z449" i="22"/>
  <c r="A450" i="22"/>
  <c r="B450" i="22"/>
  <c r="C450" i="22"/>
  <c r="D450" i="22"/>
  <c r="E450" i="22"/>
  <c r="F450" i="22"/>
  <c r="G450" i="22"/>
  <c r="H450" i="22"/>
  <c r="I450" i="22"/>
  <c r="J450" i="22"/>
  <c r="K450" i="22"/>
  <c r="L450" i="22"/>
  <c r="M450" i="22"/>
  <c r="N450" i="22"/>
  <c r="O450" i="22"/>
  <c r="P450" i="22"/>
  <c r="Q450" i="22"/>
  <c r="R450" i="22"/>
  <c r="S450" i="22"/>
  <c r="T450" i="22"/>
  <c r="U450" i="22"/>
  <c r="V450" i="22"/>
  <c r="W450" i="22"/>
  <c r="X450" i="22"/>
  <c r="Y450" i="22"/>
  <c r="Z450" i="22"/>
  <c r="A451" i="22"/>
  <c r="B451" i="22"/>
  <c r="C451" i="22"/>
  <c r="D451" i="22"/>
  <c r="E451" i="22"/>
  <c r="F451" i="22"/>
  <c r="G451" i="22"/>
  <c r="H451" i="22"/>
  <c r="I451" i="22"/>
  <c r="J451" i="22"/>
  <c r="K451" i="22"/>
  <c r="L451" i="22"/>
  <c r="M451" i="22"/>
  <c r="N451" i="22"/>
  <c r="O451" i="22"/>
  <c r="P451" i="22"/>
  <c r="Q451" i="22"/>
  <c r="R451" i="22"/>
  <c r="S451" i="22"/>
  <c r="T451" i="22"/>
  <c r="U451" i="22"/>
  <c r="V451" i="22"/>
  <c r="W451" i="22"/>
  <c r="X451" i="22"/>
  <c r="Y451" i="22"/>
  <c r="Z451" i="22"/>
  <c r="A452" i="22"/>
  <c r="B452" i="22"/>
  <c r="C452" i="22"/>
  <c r="D452" i="22"/>
  <c r="E452" i="22"/>
  <c r="F452" i="22"/>
  <c r="G452" i="22"/>
  <c r="H452" i="22"/>
  <c r="I452" i="22"/>
  <c r="J452" i="22"/>
  <c r="K452" i="22"/>
  <c r="L452" i="22"/>
  <c r="M452" i="22"/>
  <c r="N452" i="22"/>
  <c r="O452" i="22"/>
  <c r="P452" i="22"/>
  <c r="Q452" i="22"/>
  <c r="R452" i="22"/>
  <c r="S452" i="22"/>
  <c r="T452" i="22"/>
  <c r="U452" i="22"/>
  <c r="V452" i="22"/>
  <c r="W452" i="22"/>
  <c r="X452" i="22"/>
  <c r="Y452" i="22"/>
  <c r="Z452" i="22"/>
  <c r="A453" i="22"/>
  <c r="B453" i="22"/>
  <c r="C453" i="22"/>
  <c r="D453" i="22"/>
  <c r="E453" i="22"/>
  <c r="F453" i="22"/>
  <c r="G453" i="22"/>
  <c r="H453" i="22"/>
  <c r="I453" i="22"/>
  <c r="J453" i="22"/>
  <c r="K453" i="22"/>
  <c r="L453" i="22"/>
  <c r="M453" i="22"/>
  <c r="N453" i="22"/>
  <c r="O453" i="22"/>
  <c r="P453" i="22"/>
  <c r="Q453" i="22"/>
  <c r="R453" i="22"/>
  <c r="S453" i="22"/>
  <c r="T453" i="22"/>
  <c r="U453" i="22"/>
  <c r="V453" i="22"/>
  <c r="W453" i="22"/>
  <c r="X453" i="22"/>
  <c r="Y453" i="22"/>
  <c r="Z453" i="22"/>
  <c r="A454" i="22"/>
  <c r="B454" i="22"/>
  <c r="C454" i="22"/>
  <c r="D454" i="22"/>
  <c r="E454" i="22"/>
  <c r="F454" i="22"/>
  <c r="G454" i="22"/>
  <c r="H454" i="22"/>
  <c r="I454" i="22"/>
  <c r="J454" i="22"/>
  <c r="K454" i="22"/>
  <c r="L454" i="22"/>
  <c r="M454" i="22"/>
  <c r="N454" i="22"/>
  <c r="O454" i="22"/>
  <c r="P454" i="22"/>
  <c r="Q454" i="22"/>
  <c r="R454" i="22"/>
  <c r="S454" i="22"/>
  <c r="T454" i="22"/>
  <c r="U454" i="22"/>
  <c r="V454" i="22"/>
  <c r="W454" i="22"/>
  <c r="X454" i="22"/>
  <c r="Y454" i="22"/>
  <c r="Z454" i="22"/>
  <c r="A455" i="22"/>
  <c r="B455" i="22"/>
  <c r="C455" i="22"/>
  <c r="D455" i="22"/>
  <c r="E455" i="22"/>
  <c r="F455" i="22"/>
  <c r="G455" i="22"/>
  <c r="H455" i="22"/>
  <c r="I455" i="22"/>
  <c r="J455" i="22"/>
  <c r="K455" i="22"/>
  <c r="L455" i="22"/>
  <c r="M455" i="22"/>
  <c r="N455" i="22"/>
  <c r="O455" i="22"/>
  <c r="P455" i="22"/>
  <c r="Q455" i="22"/>
  <c r="R455" i="22"/>
  <c r="S455" i="22"/>
  <c r="T455" i="22"/>
  <c r="U455" i="22"/>
  <c r="V455" i="22"/>
  <c r="W455" i="22"/>
  <c r="X455" i="22"/>
  <c r="Y455" i="22"/>
  <c r="Z455" i="22"/>
  <c r="A456" i="22"/>
  <c r="B456" i="22"/>
  <c r="C456" i="22"/>
  <c r="D456" i="22"/>
  <c r="E456" i="22"/>
  <c r="F456" i="22"/>
  <c r="G456" i="22"/>
  <c r="H456" i="22"/>
  <c r="I456" i="22"/>
  <c r="J456" i="22"/>
  <c r="K456" i="22"/>
  <c r="L456" i="22"/>
  <c r="M456" i="22"/>
  <c r="N456" i="22"/>
  <c r="O456" i="22"/>
  <c r="P456" i="22"/>
  <c r="Q456" i="22"/>
  <c r="R456" i="22"/>
  <c r="S456" i="22"/>
  <c r="T456" i="22"/>
  <c r="U456" i="22"/>
  <c r="V456" i="22"/>
  <c r="W456" i="22"/>
  <c r="X456" i="22"/>
  <c r="Y456" i="22"/>
  <c r="Z456" i="22"/>
  <c r="A457" i="22"/>
  <c r="B457" i="22"/>
  <c r="C457" i="22"/>
  <c r="D457" i="22"/>
  <c r="E457" i="22"/>
  <c r="F457" i="22"/>
  <c r="G457" i="22"/>
  <c r="H457" i="22"/>
  <c r="I457" i="22"/>
  <c r="J457" i="22"/>
  <c r="K457" i="22"/>
  <c r="L457" i="22"/>
  <c r="M457" i="22"/>
  <c r="N457" i="22"/>
  <c r="O457" i="22"/>
  <c r="P457" i="22"/>
  <c r="Q457" i="22"/>
  <c r="R457" i="22"/>
  <c r="S457" i="22"/>
  <c r="T457" i="22"/>
  <c r="U457" i="22"/>
  <c r="V457" i="22"/>
  <c r="W457" i="22"/>
  <c r="X457" i="22"/>
  <c r="Y457" i="22"/>
  <c r="Z457" i="22"/>
  <c r="A458" i="22"/>
  <c r="B458" i="22"/>
  <c r="C458" i="22"/>
  <c r="D458" i="22"/>
  <c r="E458" i="22"/>
  <c r="F458" i="22"/>
  <c r="G458" i="22"/>
  <c r="H458" i="22"/>
  <c r="I458" i="22"/>
  <c r="J458" i="22"/>
  <c r="K458" i="22"/>
  <c r="L458" i="22"/>
  <c r="M458" i="22"/>
  <c r="N458" i="22"/>
  <c r="O458" i="22"/>
  <c r="P458" i="22"/>
  <c r="Q458" i="22"/>
  <c r="R458" i="22"/>
  <c r="S458" i="22"/>
  <c r="T458" i="22"/>
  <c r="U458" i="22"/>
  <c r="V458" i="22"/>
  <c r="W458" i="22"/>
  <c r="X458" i="22"/>
  <c r="Y458" i="22"/>
  <c r="Z458" i="22"/>
  <c r="A459" i="22"/>
  <c r="B459" i="22"/>
  <c r="C459" i="22"/>
  <c r="D459" i="22"/>
  <c r="E459" i="22"/>
  <c r="F459" i="22"/>
  <c r="G459" i="22"/>
  <c r="H459" i="22"/>
  <c r="I459" i="22"/>
  <c r="J459" i="22"/>
  <c r="K459" i="22"/>
  <c r="L459" i="22"/>
  <c r="M459" i="22"/>
  <c r="N459" i="22"/>
  <c r="O459" i="22"/>
  <c r="P459" i="22"/>
  <c r="Q459" i="22"/>
  <c r="R459" i="22"/>
  <c r="S459" i="22"/>
  <c r="T459" i="22"/>
  <c r="U459" i="22"/>
  <c r="V459" i="22"/>
  <c r="W459" i="22"/>
  <c r="X459" i="22"/>
  <c r="Y459" i="22"/>
  <c r="Z459" i="22"/>
  <c r="A460" i="22"/>
  <c r="B460" i="22"/>
  <c r="C460" i="22"/>
  <c r="D460" i="22"/>
  <c r="E460" i="22"/>
  <c r="F460" i="22"/>
  <c r="G460" i="22"/>
  <c r="H460" i="22"/>
  <c r="I460" i="22"/>
  <c r="J460" i="22"/>
  <c r="K460" i="22"/>
  <c r="L460" i="22"/>
  <c r="M460" i="22"/>
  <c r="N460" i="22"/>
  <c r="O460" i="22"/>
  <c r="P460" i="22"/>
  <c r="Q460" i="22"/>
  <c r="R460" i="22"/>
  <c r="S460" i="22"/>
  <c r="T460" i="22"/>
  <c r="U460" i="22"/>
  <c r="V460" i="22"/>
  <c r="W460" i="22"/>
  <c r="X460" i="22"/>
  <c r="Y460" i="22"/>
  <c r="Z460" i="22"/>
  <c r="A461" i="22"/>
  <c r="B461" i="22"/>
  <c r="C461" i="22"/>
  <c r="D461" i="22"/>
  <c r="E461" i="22"/>
  <c r="F461" i="22"/>
  <c r="G461" i="22"/>
  <c r="H461" i="22"/>
  <c r="I461" i="22"/>
  <c r="J461" i="22"/>
  <c r="K461" i="22"/>
  <c r="L461" i="22"/>
  <c r="M461" i="22"/>
  <c r="N461" i="22"/>
  <c r="O461" i="22"/>
  <c r="P461" i="22"/>
  <c r="Q461" i="22"/>
  <c r="R461" i="22"/>
  <c r="S461" i="22"/>
  <c r="T461" i="22"/>
  <c r="U461" i="22"/>
  <c r="V461" i="22"/>
  <c r="W461" i="22"/>
  <c r="X461" i="22"/>
  <c r="Y461" i="22"/>
  <c r="Z461" i="22"/>
  <c r="A462" i="22"/>
  <c r="B462" i="22"/>
  <c r="C462" i="22"/>
  <c r="D462" i="22"/>
  <c r="E462" i="22"/>
  <c r="F462" i="22"/>
  <c r="G462" i="22"/>
  <c r="H462" i="22"/>
  <c r="I462" i="22"/>
  <c r="J462" i="22"/>
  <c r="K462" i="22"/>
  <c r="L462" i="22"/>
  <c r="M462" i="22"/>
  <c r="N462" i="22"/>
  <c r="O462" i="22"/>
  <c r="P462" i="22"/>
  <c r="Q462" i="22"/>
  <c r="R462" i="22"/>
  <c r="S462" i="22"/>
  <c r="T462" i="22"/>
  <c r="U462" i="22"/>
  <c r="V462" i="22"/>
  <c r="W462" i="22"/>
  <c r="X462" i="22"/>
  <c r="Y462" i="22"/>
  <c r="Z462" i="22"/>
  <c r="A463" i="22"/>
  <c r="B463" i="22"/>
  <c r="C463" i="22"/>
  <c r="D463" i="22"/>
  <c r="E463" i="22"/>
  <c r="F463" i="22"/>
  <c r="G463" i="22"/>
  <c r="H463" i="22"/>
  <c r="I463" i="22"/>
  <c r="J463" i="22"/>
  <c r="K463" i="22"/>
  <c r="L463" i="22"/>
  <c r="M463" i="22"/>
  <c r="N463" i="22"/>
  <c r="O463" i="22"/>
  <c r="P463" i="22"/>
  <c r="Q463" i="22"/>
  <c r="R463" i="22"/>
  <c r="S463" i="22"/>
  <c r="T463" i="22"/>
  <c r="U463" i="22"/>
  <c r="V463" i="22"/>
  <c r="W463" i="22"/>
  <c r="X463" i="22"/>
  <c r="Y463" i="22"/>
  <c r="Z463" i="22"/>
  <c r="A464" i="22"/>
  <c r="B464" i="22"/>
  <c r="C464" i="22"/>
  <c r="D464" i="22"/>
  <c r="E464" i="22"/>
  <c r="F464" i="22"/>
  <c r="G464" i="22"/>
  <c r="H464" i="22"/>
  <c r="I464" i="22"/>
  <c r="J464" i="22"/>
  <c r="K464" i="22"/>
  <c r="L464" i="22"/>
  <c r="M464" i="22"/>
  <c r="N464" i="22"/>
  <c r="O464" i="22"/>
  <c r="P464" i="22"/>
  <c r="Q464" i="22"/>
  <c r="R464" i="22"/>
  <c r="S464" i="22"/>
  <c r="T464" i="22"/>
  <c r="U464" i="22"/>
  <c r="V464" i="22"/>
  <c r="W464" i="22"/>
  <c r="X464" i="22"/>
  <c r="Y464" i="22"/>
  <c r="Z464" i="22"/>
  <c r="A465" i="22"/>
  <c r="B465" i="22"/>
  <c r="C465" i="22"/>
  <c r="D465" i="22"/>
  <c r="E465" i="22"/>
  <c r="F465" i="22"/>
  <c r="G465" i="22"/>
  <c r="H465" i="22"/>
  <c r="I465" i="22"/>
  <c r="J465" i="22"/>
  <c r="K465" i="22"/>
  <c r="L465" i="22"/>
  <c r="M465" i="22"/>
  <c r="N465" i="22"/>
  <c r="O465" i="22"/>
  <c r="P465" i="22"/>
  <c r="Q465" i="22"/>
  <c r="R465" i="22"/>
  <c r="S465" i="22"/>
  <c r="T465" i="22"/>
  <c r="U465" i="22"/>
  <c r="V465" i="22"/>
  <c r="W465" i="22"/>
  <c r="X465" i="22"/>
  <c r="Y465" i="22"/>
  <c r="Z465" i="22"/>
  <c r="A466" i="22"/>
  <c r="B466" i="22"/>
  <c r="C466" i="22"/>
  <c r="D466" i="22"/>
  <c r="E466" i="22"/>
  <c r="F466" i="22"/>
  <c r="G466" i="22"/>
  <c r="H466" i="22"/>
  <c r="I466" i="22"/>
  <c r="J466" i="22"/>
  <c r="K466" i="22"/>
  <c r="L466" i="22"/>
  <c r="M466" i="22"/>
  <c r="N466" i="22"/>
  <c r="O466" i="22"/>
  <c r="P466" i="22"/>
  <c r="Q466" i="22"/>
  <c r="R466" i="22"/>
  <c r="S466" i="22"/>
  <c r="T466" i="22"/>
  <c r="U466" i="22"/>
  <c r="V466" i="22"/>
  <c r="W466" i="22"/>
  <c r="X466" i="22"/>
  <c r="Y466" i="22"/>
  <c r="Z466" i="22"/>
  <c r="A467" i="22"/>
  <c r="B467" i="22"/>
  <c r="C467" i="22"/>
  <c r="D467" i="22"/>
  <c r="E467" i="22"/>
  <c r="F467" i="22"/>
  <c r="G467" i="22"/>
  <c r="H467" i="22"/>
  <c r="I467" i="22"/>
  <c r="J467" i="22"/>
  <c r="K467" i="22"/>
  <c r="L467" i="22"/>
  <c r="M467" i="22"/>
  <c r="N467" i="22"/>
  <c r="O467" i="22"/>
  <c r="P467" i="22"/>
  <c r="Q467" i="22"/>
  <c r="R467" i="22"/>
  <c r="S467" i="22"/>
  <c r="T467" i="22"/>
  <c r="U467" i="22"/>
  <c r="V467" i="22"/>
  <c r="W467" i="22"/>
  <c r="X467" i="22"/>
  <c r="Y467" i="22"/>
  <c r="Z467" i="22"/>
  <c r="A468" i="22"/>
  <c r="B468" i="22"/>
  <c r="C468" i="22"/>
  <c r="D468" i="22"/>
  <c r="E468" i="22"/>
  <c r="F468" i="22"/>
  <c r="G468" i="22"/>
  <c r="H468" i="22"/>
  <c r="I468" i="22"/>
  <c r="J468" i="22"/>
  <c r="K468" i="22"/>
  <c r="L468" i="22"/>
  <c r="M468" i="22"/>
  <c r="N468" i="22"/>
  <c r="O468" i="22"/>
  <c r="P468" i="22"/>
  <c r="Q468" i="22"/>
  <c r="R468" i="22"/>
  <c r="S468" i="22"/>
  <c r="T468" i="22"/>
  <c r="U468" i="22"/>
  <c r="V468" i="22"/>
  <c r="W468" i="22"/>
  <c r="X468" i="22"/>
  <c r="Y468" i="22"/>
  <c r="Z468" i="22"/>
  <c r="A469" i="22"/>
  <c r="B469" i="22"/>
  <c r="C469" i="22"/>
  <c r="D469" i="22"/>
  <c r="E469" i="22"/>
  <c r="F469" i="22"/>
  <c r="G469" i="22"/>
  <c r="H469" i="22"/>
  <c r="I469" i="22"/>
  <c r="J469" i="22"/>
  <c r="K469" i="22"/>
  <c r="L469" i="22"/>
  <c r="M469" i="22"/>
  <c r="N469" i="22"/>
  <c r="O469" i="22"/>
  <c r="P469" i="22"/>
  <c r="Q469" i="22"/>
  <c r="R469" i="22"/>
  <c r="S469" i="22"/>
  <c r="T469" i="22"/>
  <c r="U469" i="22"/>
  <c r="V469" i="22"/>
  <c r="W469" i="22"/>
  <c r="X469" i="22"/>
  <c r="Y469" i="22"/>
  <c r="Z469" i="22"/>
  <c r="A470" i="22"/>
  <c r="B470" i="22"/>
  <c r="C470" i="22"/>
  <c r="D470" i="22"/>
  <c r="E470" i="22"/>
  <c r="F470" i="22"/>
  <c r="G470" i="22"/>
  <c r="H470" i="22"/>
  <c r="I470" i="22"/>
  <c r="J470" i="22"/>
  <c r="K470" i="22"/>
  <c r="L470" i="22"/>
  <c r="M470" i="22"/>
  <c r="N470" i="22"/>
  <c r="O470" i="22"/>
  <c r="P470" i="22"/>
  <c r="Q470" i="22"/>
  <c r="R470" i="22"/>
  <c r="S470" i="22"/>
  <c r="T470" i="22"/>
  <c r="U470" i="22"/>
  <c r="V470" i="22"/>
  <c r="W470" i="22"/>
  <c r="X470" i="22"/>
  <c r="Y470" i="22"/>
  <c r="Z470" i="22"/>
  <c r="A471" i="22"/>
  <c r="B471" i="22"/>
  <c r="C471" i="22"/>
  <c r="D471" i="22"/>
  <c r="E471" i="22"/>
  <c r="F471" i="22"/>
  <c r="G471" i="22"/>
  <c r="H471" i="22"/>
  <c r="I471" i="22"/>
  <c r="J471" i="22"/>
  <c r="K471" i="22"/>
  <c r="L471" i="22"/>
  <c r="M471" i="22"/>
  <c r="N471" i="22"/>
  <c r="O471" i="22"/>
  <c r="P471" i="22"/>
  <c r="Q471" i="22"/>
  <c r="R471" i="22"/>
  <c r="S471" i="22"/>
  <c r="T471" i="22"/>
  <c r="U471" i="22"/>
  <c r="V471" i="22"/>
  <c r="W471" i="22"/>
  <c r="X471" i="22"/>
  <c r="Y471" i="22"/>
  <c r="Z471" i="22"/>
  <c r="A472" i="22"/>
  <c r="B472" i="22"/>
  <c r="C472" i="22"/>
  <c r="D472" i="22"/>
  <c r="E472" i="22"/>
  <c r="F472" i="22"/>
  <c r="G472" i="22"/>
  <c r="H472" i="22"/>
  <c r="I472" i="22"/>
  <c r="J472" i="22"/>
  <c r="K472" i="22"/>
  <c r="L472" i="22"/>
  <c r="M472" i="22"/>
  <c r="N472" i="22"/>
  <c r="O472" i="22"/>
  <c r="P472" i="22"/>
  <c r="Q472" i="22"/>
  <c r="R472" i="22"/>
  <c r="S472" i="22"/>
  <c r="T472" i="22"/>
  <c r="U472" i="22"/>
  <c r="V472" i="22"/>
  <c r="W472" i="22"/>
  <c r="X472" i="22"/>
  <c r="Y472" i="22"/>
  <c r="Z472" i="22"/>
  <c r="A473" i="22"/>
  <c r="B473" i="22"/>
  <c r="C473" i="22"/>
  <c r="D473" i="22"/>
  <c r="E473" i="22"/>
  <c r="F473" i="22"/>
  <c r="G473" i="22"/>
  <c r="H473" i="22"/>
  <c r="I473" i="22"/>
  <c r="J473" i="22"/>
  <c r="K473" i="22"/>
  <c r="L473" i="22"/>
  <c r="M473" i="22"/>
  <c r="N473" i="22"/>
  <c r="O473" i="22"/>
  <c r="P473" i="22"/>
  <c r="Q473" i="22"/>
  <c r="R473" i="22"/>
  <c r="S473" i="22"/>
  <c r="T473" i="22"/>
  <c r="U473" i="22"/>
  <c r="V473" i="22"/>
  <c r="W473" i="22"/>
  <c r="X473" i="22"/>
  <c r="Y473" i="22"/>
  <c r="Z473" i="22"/>
  <c r="A474" i="22"/>
  <c r="B474" i="22"/>
  <c r="C474" i="22"/>
  <c r="D474" i="22"/>
  <c r="E474" i="22"/>
  <c r="F474" i="22"/>
  <c r="G474" i="22"/>
  <c r="H474" i="22"/>
  <c r="I474" i="22"/>
  <c r="J474" i="22"/>
  <c r="K474" i="22"/>
  <c r="L474" i="22"/>
  <c r="M474" i="22"/>
  <c r="N474" i="22"/>
  <c r="O474" i="22"/>
  <c r="P474" i="22"/>
  <c r="Q474" i="22"/>
  <c r="R474" i="22"/>
  <c r="S474" i="22"/>
  <c r="T474" i="22"/>
  <c r="U474" i="22"/>
  <c r="V474" i="22"/>
  <c r="W474" i="22"/>
  <c r="X474" i="22"/>
  <c r="Y474" i="22"/>
  <c r="Z474" i="22"/>
  <c r="A475" i="22"/>
  <c r="B475" i="22"/>
  <c r="C475" i="22"/>
  <c r="D475" i="22"/>
  <c r="E475" i="22"/>
  <c r="F475" i="22"/>
  <c r="G475" i="22"/>
  <c r="H475" i="22"/>
  <c r="I475" i="22"/>
  <c r="J475" i="22"/>
  <c r="K475" i="22"/>
  <c r="L475" i="22"/>
  <c r="M475" i="22"/>
  <c r="N475" i="22"/>
  <c r="O475" i="22"/>
  <c r="P475" i="22"/>
  <c r="Q475" i="22"/>
  <c r="R475" i="22"/>
  <c r="S475" i="22"/>
  <c r="T475" i="22"/>
  <c r="U475" i="22"/>
  <c r="V475" i="22"/>
  <c r="W475" i="22"/>
  <c r="X475" i="22"/>
  <c r="Y475" i="22"/>
  <c r="Z475" i="22"/>
  <c r="A476" i="22"/>
  <c r="B476" i="22"/>
  <c r="C476" i="22"/>
  <c r="D476" i="22"/>
  <c r="E476" i="22"/>
  <c r="F476" i="22"/>
  <c r="G476" i="22"/>
  <c r="H476" i="22"/>
  <c r="I476" i="22"/>
  <c r="J476" i="22"/>
  <c r="K476" i="22"/>
  <c r="L476" i="22"/>
  <c r="M476" i="22"/>
  <c r="N476" i="22"/>
  <c r="O476" i="22"/>
  <c r="P476" i="22"/>
  <c r="Q476" i="22"/>
  <c r="R476" i="22"/>
  <c r="S476" i="22"/>
  <c r="T476" i="22"/>
  <c r="U476" i="22"/>
  <c r="V476" i="22"/>
  <c r="W476" i="22"/>
  <c r="X476" i="22"/>
  <c r="Y476" i="22"/>
  <c r="Z476" i="22"/>
  <c r="A477" i="22"/>
  <c r="B477" i="22"/>
  <c r="C477" i="22"/>
  <c r="D477" i="22"/>
  <c r="E477" i="22"/>
  <c r="F477" i="22"/>
  <c r="G477" i="22"/>
  <c r="H477" i="22"/>
  <c r="I477" i="22"/>
  <c r="J477" i="22"/>
  <c r="K477" i="22"/>
  <c r="L477" i="22"/>
  <c r="M477" i="22"/>
  <c r="N477" i="22"/>
  <c r="O477" i="22"/>
  <c r="P477" i="22"/>
  <c r="Q477" i="22"/>
  <c r="R477" i="22"/>
  <c r="S477" i="22"/>
  <c r="T477" i="22"/>
  <c r="U477" i="22"/>
  <c r="V477" i="22"/>
  <c r="W477" i="22"/>
  <c r="X477" i="22"/>
  <c r="Y477" i="22"/>
  <c r="Z477" i="22"/>
  <c r="A478" i="22"/>
  <c r="B478" i="22"/>
  <c r="C478" i="22"/>
  <c r="D478" i="22"/>
  <c r="E478" i="22"/>
  <c r="F478" i="22"/>
  <c r="G478" i="22"/>
  <c r="H478" i="22"/>
  <c r="I478" i="22"/>
  <c r="J478" i="22"/>
  <c r="K478" i="22"/>
  <c r="L478" i="22"/>
  <c r="M478" i="22"/>
  <c r="N478" i="22"/>
  <c r="O478" i="22"/>
  <c r="P478" i="22"/>
  <c r="Q478" i="22"/>
  <c r="R478" i="22"/>
  <c r="S478" i="22"/>
  <c r="T478" i="22"/>
  <c r="U478" i="22"/>
  <c r="V478" i="22"/>
  <c r="W478" i="22"/>
  <c r="X478" i="22"/>
  <c r="Y478" i="22"/>
  <c r="Z478" i="22"/>
  <c r="A479" i="22"/>
  <c r="B479" i="22"/>
  <c r="C479" i="22"/>
  <c r="D479" i="22"/>
  <c r="E479" i="22"/>
  <c r="F479" i="22"/>
  <c r="G479" i="22"/>
  <c r="H479" i="22"/>
  <c r="I479" i="22"/>
  <c r="J479" i="22"/>
  <c r="K479" i="22"/>
  <c r="L479" i="22"/>
  <c r="M479" i="22"/>
  <c r="N479" i="22"/>
  <c r="O479" i="22"/>
  <c r="P479" i="22"/>
  <c r="Q479" i="22"/>
  <c r="R479" i="22"/>
  <c r="S479" i="22"/>
  <c r="T479" i="22"/>
  <c r="U479" i="22"/>
  <c r="V479" i="22"/>
  <c r="W479" i="22"/>
  <c r="X479" i="22"/>
  <c r="Y479" i="22"/>
  <c r="Z479" i="22"/>
  <c r="A480" i="22"/>
  <c r="B480" i="22"/>
  <c r="C480" i="22"/>
  <c r="D480" i="22"/>
  <c r="E480" i="22"/>
  <c r="F480" i="22"/>
  <c r="G480" i="22"/>
  <c r="H480" i="22"/>
  <c r="I480" i="22"/>
  <c r="J480" i="22"/>
  <c r="K480" i="22"/>
  <c r="L480" i="22"/>
  <c r="M480" i="22"/>
  <c r="N480" i="22"/>
  <c r="O480" i="22"/>
  <c r="P480" i="22"/>
  <c r="Q480" i="22"/>
  <c r="R480" i="22"/>
  <c r="S480" i="22"/>
  <c r="T480" i="22"/>
  <c r="U480" i="22"/>
  <c r="V480" i="22"/>
  <c r="W480" i="22"/>
  <c r="X480" i="22"/>
  <c r="Y480" i="22"/>
  <c r="Z480" i="22"/>
  <c r="A481" i="22"/>
  <c r="B481" i="22"/>
  <c r="C481" i="22"/>
  <c r="D481" i="22"/>
  <c r="E481" i="22"/>
  <c r="F481" i="22"/>
  <c r="G481" i="22"/>
  <c r="H481" i="22"/>
  <c r="I481" i="22"/>
  <c r="J481" i="22"/>
  <c r="K481" i="22"/>
  <c r="L481" i="22"/>
  <c r="M481" i="22"/>
  <c r="N481" i="22"/>
  <c r="O481" i="22"/>
  <c r="P481" i="22"/>
  <c r="Q481" i="22"/>
  <c r="R481" i="22"/>
  <c r="S481" i="22"/>
  <c r="T481" i="22"/>
  <c r="U481" i="22"/>
  <c r="V481" i="22"/>
  <c r="W481" i="22"/>
  <c r="X481" i="22"/>
  <c r="Y481" i="22"/>
  <c r="Z481" i="22"/>
  <c r="A482" i="22"/>
  <c r="B482" i="22"/>
  <c r="C482" i="22"/>
  <c r="D482" i="22"/>
  <c r="E482" i="22"/>
  <c r="F482" i="22"/>
  <c r="G482" i="22"/>
  <c r="H482" i="22"/>
  <c r="I482" i="22"/>
  <c r="J482" i="22"/>
  <c r="K482" i="22"/>
  <c r="L482" i="22"/>
  <c r="M482" i="22"/>
  <c r="N482" i="22"/>
  <c r="O482" i="22"/>
  <c r="P482" i="22"/>
  <c r="Q482" i="22"/>
  <c r="R482" i="22"/>
  <c r="S482" i="22"/>
  <c r="T482" i="22"/>
  <c r="U482" i="22"/>
  <c r="V482" i="22"/>
  <c r="W482" i="22"/>
  <c r="X482" i="22"/>
  <c r="Y482" i="22"/>
  <c r="Z482" i="22"/>
  <c r="A483" i="22"/>
  <c r="B483" i="22"/>
  <c r="C483" i="22"/>
  <c r="D483" i="22"/>
  <c r="E483" i="22"/>
  <c r="F483" i="22"/>
  <c r="G483" i="22"/>
  <c r="H483" i="22"/>
  <c r="I483" i="22"/>
  <c r="J483" i="22"/>
  <c r="K483" i="22"/>
  <c r="L483" i="22"/>
  <c r="M483" i="22"/>
  <c r="N483" i="22"/>
  <c r="O483" i="22"/>
  <c r="P483" i="22"/>
  <c r="Q483" i="22"/>
  <c r="R483" i="22"/>
  <c r="S483" i="22"/>
  <c r="T483" i="22"/>
  <c r="U483" i="22"/>
  <c r="V483" i="22"/>
  <c r="W483" i="22"/>
  <c r="X483" i="22"/>
  <c r="Y483" i="22"/>
  <c r="Z483" i="22"/>
  <c r="A484" i="22"/>
  <c r="B484" i="22"/>
  <c r="C484" i="22"/>
  <c r="D484" i="22"/>
  <c r="E484" i="22"/>
  <c r="F484" i="22"/>
  <c r="G484" i="22"/>
  <c r="H484" i="22"/>
  <c r="I484" i="22"/>
  <c r="J484" i="22"/>
  <c r="K484" i="22"/>
  <c r="L484" i="22"/>
  <c r="M484" i="22"/>
  <c r="N484" i="22"/>
  <c r="O484" i="22"/>
  <c r="P484" i="22"/>
  <c r="Q484" i="22"/>
  <c r="R484" i="22"/>
  <c r="S484" i="22"/>
  <c r="T484" i="22"/>
  <c r="U484" i="22"/>
  <c r="V484" i="22"/>
  <c r="W484" i="22"/>
  <c r="X484" i="22"/>
  <c r="Y484" i="22"/>
  <c r="Z484" i="22"/>
  <c r="A485" i="22"/>
  <c r="B485" i="22"/>
  <c r="C485" i="22"/>
  <c r="D485" i="22"/>
  <c r="E485" i="22"/>
  <c r="F485" i="22"/>
  <c r="G485" i="22"/>
  <c r="H485" i="22"/>
  <c r="I485" i="22"/>
  <c r="J485" i="22"/>
  <c r="K485" i="22"/>
  <c r="L485" i="22"/>
  <c r="M485" i="22"/>
  <c r="N485" i="22"/>
  <c r="O485" i="22"/>
  <c r="P485" i="22"/>
  <c r="Q485" i="22"/>
  <c r="R485" i="22"/>
  <c r="S485" i="22"/>
  <c r="T485" i="22"/>
  <c r="U485" i="22"/>
  <c r="V485" i="22"/>
  <c r="W485" i="22"/>
  <c r="X485" i="22"/>
  <c r="Y485" i="22"/>
  <c r="Z485" i="22"/>
  <c r="A486" i="22"/>
  <c r="B486" i="22"/>
  <c r="C486" i="22"/>
  <c r="D486" i="22"/>
  <c r="E486" i="22"/>
  <c r="F486" i="22"/>
  <c r="G486" i="22"/>
  <c r="H486" i="22"/>
  <c r="I486" i="22"/>
  <c r="J486" i="22"/>
  <c r="K486" i="22"/>
  <c r="L486" i="22"/>
  <c r="M486" i="22"/>
  <c r="N486" i="22"/>
  <c r="O486" i="22"/>
  <c r="P486" i="22"/>
  <c r="Q486" i="22"/>
  <c r="R486" i="22"/>
  <c r="S486" i="22"/>
  <c r="T486" i="22"/>
  <c r="U486" i="22"/>
  <c r="V486" i="22"/>
  <c r="W486" i="22"/>
  <c r="X486" i="22"/>
  <c r="Y486" i="22"/>
  <c r="Z486" i="22"/>
  <c r="A487" i="22"/>
  <c r="B487" i="22"/>
  <c r="C487" i="22"/>
  <c r="D487" i="22"/>
  <c r="E487" i="22"/>
  <c r="F487" i="22"/>
  <c r="G487" i="22"/>
  <c r="H487" i="22"/>
  <c r="I487" i="22"/>
  <c r="J487" i="22"/>
  <c r="K487" i="22"/>
  <c r="L487" i="22"/>
  <c r="M487" i="22"/>
  <c r="N487" i="22"/>
  <c r="O487" i="22"/>
  <c r="P487" i="22"/>
  <c r="Q487" i="22"/>
  <c r="R487" i="22"/>
  <c r="S487" i="22"/>
  <c r="T487" i="22"/>
  <c r="U487" i="22"/>
  <c r="V487" i="22"/>
  <c r="W487" i="22"/>
  <c r="X487" i="22"/>
  <c r="Y487" i="22"/>
  <c r="Z487" i="22"/>
  <c r="A488" i="22"/>
  <c r="B488" i="22"/>
  <c r="C488" i="22"/>
  <c r="D488" i="22"/>
  <c r="E488" i="22"/>
  <c r="F488" i="22"/>
  <c r="G488" i="22"/>
  <c r="H488" i="22"/>
  <c r="I488" i="22"/>
  <c r="J488" i="22"/>
  <c r="K488" i="22"/>
  <c r="L488" i="22"/>
  <c r="M488" i="22"/>
  <c r="N488" i="22"/>
  <c r="O488" i="22"/>
  <c r="P488" i="22"/>
  <c r="Q488" i="22"/>
  <c r="R488" i="22"/>
  <c r="S488" i="22"/>
  <c r="T488" i="22"/>
  <c r="U488" i="22"/>
  <c r="V488" i="22"/>
  <c r="W488" i="22"/>
  <c r="X488" i="22"/>
  <c r="Y488" i="22"/>
  <c r="Z488" i="22"/>
  <c r="A489" i="22"/>
  <c r="B489" i="22"/>
  <c r="C489" i="22"/>
  <c r="D489" i="22"/>
  <c r="E489" i="22"/>
  <c r="F489" i="22"/>
  <c r="G489" i="22"/>
  <c r="H489" i="22"/>
  <c r="I489" i="22"/>
  <c r="J489" i="22"/>
  <c r="K489" i="22"/>
  <c r="L489" i="22"/>
  <c r="M489" i="22"/>
  <c r="N489" i="22"/>
  <c r="O489" i="22"/>
  <c r="P489" i="22"/>
  <c r="Q489" i="22"/>
  <c r="R489" i="22"/>
  <c r="S489" i="22"/>
  <c r="T489" i="22"/>
  <c r="U489" i="22"/>
  <c r="V489" i="22"/>
  <c r="W489" i="22"/>
  <c r="X489" i="22"/>
  <c r="Y489" i="22"/>
  <c r="Z489" i="22"/>
  <c r="A490" i="22"/>
  <c r="B490" i="22"/>
  <c r="C490" i="22"/>
  <c r="D490" i="22"/>
  <c r="E490" i="22"/>
  <c r="F490" i="22"/>
  <c r="G490" i="22"/>
  <c r="H490" i="22"/>
  <c r="I490" i="22"/>
  <c r="J490" i="22"/>
  <c r="K490" i="22"/>
  <c r="L490" i="22"/>
  <c r="M490" i="22"/>
  <c r="N490" i="22"/>
  <c r="O490" i="22"/>
  <c r="P490" i="22"/>
  <c r="Q490" i="22"/>
  <c r="R490" i="22"/>
  <c r="S490" i="22"/>
  <c r="T490" i="22"/>
  <c r="U490" i="22"/>
  <c r="V490" i="22"/>
  <c r="W490" i="22"/>
  <c r="X490" i="22"/>
  <c r="Y490" i="22"/>
  <c r="Z490" i="22"/>
  <c r="A491" i="22"/>
  <c r="B491" i="22"/>
  <c r="C491" i="22"/>
  <c r="D491" i="22"/>
  <c r="E491" i="22"/>
  <c r="F491" i="22"/>
  <c r="G491" i="22"/>
  <c r="H491" i="22"/>
  <c r="I491" i="22"/>
  <c r="J491" i="22"/>
  <c r="K491" i="22"/>
  <c r="L491" i="22"/>
  <c r="M491" i="22"/>
  <c r="N491" i="22"/>
  <c r="O491" i="22"/>
  <c r="P491" i="22"/>
  <c r="Q491" i="22"/>
  <c r="R491" i="22"/>
  <c r="S491" i="22"/>
  <c r="T491" i="22"/>
  <c r="U491" i="22"/>
  <c r="V491" i="22"/>
  <c r="W491" i="22"/>
  <c r="X491" i="22"/>
  <c r="Y491" i="22"/>
  <c r="Z491" i="22"/>
  <c r="A492" i="22"/>
  <c r="B492" i="22"/>
  <c r="C492" i="22"/>
  <c r="D492" i="22"/>
  <c r="E492" i="22"/>
  <c r="F492" i="22"/>
  <c r="G492" i="22"/>
  <c r="H492" i="22"/>
  <c r="I492" i="22"/>
  <c r="J492" i="22"/>
  <c r="K492" i="22"/>
  <c r="L492" i="22"/>
  <c r="M492" i="22"/>
  <c r="N492" i="22"/>
  <c r="O492" i="22"/>
  <c r="P492" i="22"/>
  <c r="Q492" i="22"/>
  <c r="R492" i="22"/>
  <c r="S492" i="22"/>
  <c r="T492" i="22"/>
  <c r="U492" i="22"/>
  <c r="V492" i="22"/>
  <c r="W492" i="22"/>
  <c r="X492" i="22"/>
  <c r="Y492" i="22"/>
  <c r="Z492" i="22"/>
  <c r="A493" i="22"/>
  <c r="B493" i="22"/>
  <c r="C493" i="22"/>
  <c r="D493" i="22"/>
  <c r="E493" i="22"/>
  <c r="F493" i="22"/>
  <c r="G493" i="22"/>
  <c r="H493" i="22"/>
  <c r="I493" i="22"/>
  <c r="J493" i="22"/>
  <c r="K493" i="22"/>
  <c r="L493" i="22"/>
  <c r="M493" i="22"/>
  <c r="N493" i="22"/>
  <c r="O493" i="22"/>
  <c r="P493" i="22"/>
  <c r="Q493" i="22"/>
  <c r="R493" i="22"/>
  <c r="S493" i="22"/>
  <c r="T493" i="22"/>
  <c r="U493" i="22"/>
  <c r="V493" i="22"/>
  <c r="W493" i="22"/>
  <c r="X493" i="22"/>
  <c r="Y493" i="22"/>
  <c r="Z493" i="22"/>
  <c r="A494" i="22"/>
  <c r="B494" i="22"/>
  <c r="C494" i="22"/>
  <c r="D494" i="22"/>
  <c r="E494" i="22"/>
  <c r="F494" i="22"/>
  <c r="G494" i="22"/>
  <c r="H494" i="22"/>
  <c r="I494" i="22"/>
  <c r="J494" i="22"/>
  <c r="K494" i="22"/>
  <c r="L494" i="22"/>
  <c r="M494" i="22"/>
  <c r="N494" i="22"/>
  <c r="O494" i="22"/>
  <c r="P494" i="22"/>
  <c r="Q494" i="22"/>
  <c r="R494" i="22"/>
  <c r="S494" i="22"/>
  <c r="T494" i="22"/>
  <c r="U494" i="22"/>
  <c r="V494" i="22"/>
  <c r="W494" i="22"/>
  <c r="X494" i="22"/>
  <c r="Y494" i="22"/>
  <c r="Z494" i="22"/>
  <c r="A495" i="22"/>
  <c r="B495" i="22"/>
  <c r="C495" i="22"/>
  <c r="D495" i="22"/>
  <c r="E495" i="22"/>
  <c r="F495" i="22"/>
  <c r="G495" i="22"/>
  <c r="H495" i="22"/>
  <c r="I495" i="22"/>
  <c r="J495" i="22"/>
  <c r="K495" i="22"/>
  <c r="L495" i="22"/>
  <c r="M495" i="22"/>
  <c r="N495" i="22"/>
  <c r="O495" i="22"/>
  <c r="P495" i="22"/>
  <c r="Q495" i="22"/>
  <c r="R495" i="22"/>
  <c r="S495" i="22"/>
  <c r="T495" i="22"/>
  <c r="U495" i="22"/>
  <c r="V495" i="22"/>
  <c r="W495" i="22"/>
  <c r="X495" i="22"/>
  <c r="Y495" i="22"/>
  <c r="Z495" i="22"/>
  <c r="A496" i="22"/>
  <c r="B496" i="22"/>
  <c r="C496" i="22"/>
  <c r="D496" i="22"/>
  <c r="E496" i="22"/>
  <c r="F496" i="22"/>
  <c r="G496" i="22"/>
  <c r="H496" i="22"/>
  <c r="I496" i="22"/>
  <c r="J496" i="22"/>
  <c r="K496" i="22"/>
  <c r="L496" i="22"/>
  <c r="M496" i="22"/>
  <c r="N496" i="22"/>
  <c r="O496" i="22"/>
  <c r="P496" i="22"/>
  <c r="Q496" i="22"/>
  <c r="R496" i="22"/>
  <c r="S496" i="22"/>
  <c r="T496" i="22"/>
  <c r="U496" i="22"/>
  <c r="V496" i="22"/>
  <c r="W496" i="22"/>
  <c r="X496" i="22"/>
  <c r="Y496" i="22"/>
  <c r="Z496" i="22"/>
  <c r="A497" i="22"/>
  <c r="B497" i="22"/>
  <c r="C497" i="22"/>
  <c r="D497" i="22"/>
  <c r="E497" i="22"/>
  <c r="F497" i="22"/>
  <c r="G497" i="22"/>
  <c r="H497" i="22"/>
  <c r="I497" i="22"/>
  <c r="J497" i="22"/>
  <c r="K497" i="22"/>
  <c r="L497" i="22"/>
  <c r="M497" i="22"/>
  <c r="N497" i="22"/>
  <c r="O497" i="22"/>
  <c r="P497" i="22"/>
  <c r="Q497" i="22"/>
  <c r="R497" i="22"/>
  <c r="S497" i="22"/>
  <c r="T497" i="22"/>
  <c r="U497" i="22"/>
  <c r="V497" i="22"/>
  <c r="W497" i="22"/>
  <c r="X497" i="22"/>
  <c r="Y497" i="22"/>
  <c r="Z497" i="22"/>
  <c r="A498" i="22"/>
  <c r="B498" i="22"/>
  <c r="C498" i="22"/>
  <c r="D498" i="22"/>
  <c r="E498" i="22"/>
  <c r="F498" i="22"/>
  <c r="G498" i="22"/>
  <c r="H498" i="22"/>
  <c r="I498" i="22"/>
  <c r="J498" i="22"/>
  <c r="K498" i="22"/>
  <c r="L498" i="22"/>
  <c r="M498" i="22"/>
  <c r="N498" i="22"/>
  <c r="O498" i="22"/>
  <c r="P498" i="22"/>
  <c r="Q498" i="22"/>
  <c r="R498" i="22"/>
  <c r="S498" i="22"/>
  <c r="T498" i="22"/>
  <c r="U498" i="22"/>
  <c r="V498" i="22"/>
  <c r="W498" i="22"/>
  <c r="X498" i="22"/>
  <c r="Y498" i="22"/>
  <c r="Z498" i="22"/>
  <c r="A499" i="22"/>
  <c r="B499" i="22"/>
  <c r="C499" i="22"/>
  <c r="D499" i="22"/>
  <c r="E499" i="22"/>
  <c r="F499" i="22"/>
  <c r="G499" i="22"/>
  <c r="H499" i="22"/>
  <c r="I499" i="22"/>
  <c r="J499" i="22"/>
  <c r="K499" i="22"/>
  <c r="L499" i="22"/>
  <c r="M499" i="22"/>
  <c r="N499" i="22"/>
  <c r="O499" i="22"/>
  <c r="P499" i="22"/>
  <c r="Q499" i="22"/>
  <c r="R499" i="22"/>
  <c r="S499" i="22"/>
  <c r="T499" i="22"/>
  <c r="U499" i="22"/>
  <c r="V499" i="22"/>
  <c r="W499" i="22"/>
  <c r="X499" i="22"/>
  <c r="Y499" i="22"/>
  <c r="Z499" i="22"/>
  <c r="A500" i="22"/>
  <c r="B500" i="22"/>
  <c r="C500" i="22"/>
  <c r="D500" i="22"/>
  <c r="E500" i="22"/>
  <c r="F500" i="22"/>
  <c r="G500" i="22"/>
  <c r="H500" i="22"/>
  <c r="I500" i="22"/>
  <c r="J500" i="22"/>
  <c r="K500" i="22"/>
  <c r="L500" i="22"/>
  <c r="M500" i="22"/>
  <c r="N500" i="22"/>
  <c r="O500" i="22"/>
  <c r="P500" i="22"/>
  <c r="Q500" i="22"/>
  <c r="R500" i="22"/>
  <c r="S500" i="22"/>
  <c r="T500" i="22"/>
  <c r="U500" i="22"/>
  <c r="V500" i="22"/>
  <c r="W500" i="22"/>
  <c r="X500" i="22"/>
  <c r="Y500" i="22"/>
  <c r="Z500" i="22"/>
  <c r="A501" i="22"/>
  <c r="B501" i="22"/>
  <c r="C501" i="22"/>
  <c r="D501" i="22"/>
  <c r="E501" i="22"/>
  <c r="F501" i="22"/>
  <c r="G501" i="22"/>
  <c r="H501" i="22"/>
  <c r="I501" i="22"/>
  <c r="J501" i="22"/>
  <c r="K501" i="22"/>
  <c r="L501" i="22"/>
  <c r="M501" i="22"/>
  <c r="N501" i="22"/>
  <c r="O501" i="22"/>
  <c r="P501" i="22"/>
  <c r="Q501" i="22"/>
  <c r="R501" i="22"/>
  <c r="S501" i="22"/>
  <c r="T501" i="22"/>
  <c r="U501" i="22"/>
  <c r="V501" i="22"/>
  <c r="W501" i="22"/>
  <c r="X501" i="22"/>
  <c r="Y501" i="22"/>
  <c r="Z501" i="22"/>
  <c r="A502" i="22"/>
  <c r="B502" i="22"/>
  <c r="C502" i="22"/>
  <c r="D502" i="22"/>
  <c r="E502" i="22"/>
  <c r="F502" i="22"/>
  <c r="G502" i="22"/>
  <c r="H502" i="22"/>
  <c r="I502" i="22"/>
  <c r="J502" i="22"/>
  <c r="K502" i="22"/>
  <c r="L502" i="22"/>
  <c r="M502" i="22"/>
  <c r="N502" i="22"/>
  <c r="O502" i="22"/>
  <c r="P502" i="22"/>
  <c r="Q502" i="22"/>
  <c r="R502" i="22"/>
  <c r="S502" i="22"/>
  <c r="T502" i="22"/>
  <c r="U502" i="22"/>
  <c r="V502" i="22"/>
  <c r="W502" i="22"/>
  <c r="X502" i="22"/>
  <c r="Y502" i="22"/>
  <c r="Z502" i="22"/>
  <c r="A503" i="22"/>
  <c r="B503" i="22"/>
  <c r="C503" i="22"/>
  <c r="D503" i="22"/>
  <c r="E503" i="22"/>
  <c r="F503" i="22"/>
  <c r="G503" i="22"/>
  <c r="H503" i="22"/>
  <c r="I503" i="22"/>
  <c r="J503" i="22"/>
  <c r="K503" i="22"/>
  <c r="L503" i="22"/>
  <c r="M503" i="22"/>
  <c r="N503" i="22"/>
  <c r="O503" i="22"/>
  <c r="P503" i="22"/>
  <c r="Q503" i="22"/>
  <c r="R503" i="22"/>
  <c r="S503" i="22"/>
  <c r="T503" i="22"/>
  <c r="U503" i="22"/>
  <c r="V503" i="22"/>
  <c r="W503" i="22"/>
  <c r="X503" i="22"/>
  <c r="Y503" i="22"/>
  <c r="Z503" i="22"/>
  <c r="A504" i="22"/>
  <c r="B504" i="22"/>
  <c r="C504" i="22"/>
  <c r="D504" i="22"/>
  <c r="E504" i="22"/>
  <c r="F504" i="22"/>
  <c r="G504" i="22"/>
  <c r="H504" i="22"/>
  <c r="I504" i="22"/>
  <c r="J504" i="22"/>
  <c r="K504" i="22"/>
  <c r="L504" i="22"/>
  <c r="M504" i="22"/>
  <c r="N504" i="22"/>
  <c r="O504" i="22"/>
  <c r="P504" i="22"/>
  <c r="Q504" i="22"/>
  <c r="R504" i="22"/>
  <c r="S504" i="22"/>
  <c r="T504" i="22"/>
  <c r="U504" i="22"/>
  <c r="V504" i="22"/>
  <c r="W504" i="22"/>
  <c r="X504" i="22"/>
  <c r="Y504" i="22"/>
  <c r="Z504" i="22"/>
  <c r="A505" i="22"/>
  <c r="B505" i="22"/>
  <c r="C505" i="22"/>
  <c r="D505" i="22"/>
  <c r="E505" i="22"/>
  <c r="F505" i="22"/>
  <c r="G505" i="22"/>
  <c r="H505" i="22"/>
  <c r="I505" i="22"/>
  <c r="J505" i="22"/>
  <c r="K505" i="22"/>
  <c r="L505" i="22"/>
  <c r="M505" i="22"/>
  <c r="N505" i="22"/>
  <c r="O505" i="22"/>
  <c r="P505" i="22"/>
  <c r="Q505" i="22"/>
  <c r="R505" i="22"/>
  <c r="S505" i="22"/>
  <c r="T505" i="22"/>
  <c r="U505" i="22"/>
  <c r="V505" i="22"/>
  <c r="W505" i="22"/>
  <c r="X505" i="22"/>
  <c r="Y505" i="22"/>
  <c r="Z505" i="22"/>
  <c r="A506" i="22"/>
  <c r="B506" i="22"/>
  <c r="C506" i="22"/>
  <c r="D506" i="22"/>
  <c r="E506" i="22"/>
  <c r="F506" i="22"/>
  <c r="G506" i="22"/>
  <c r="H506" i="22"/>
  <c r="I506" i="22"/>
  <c r="J506" i="22"/>
  <c r="K506" i="22"/>
  <c r="L506" i="22"/>
  <c r="M506" i="22"/>
  <c r="N506" i="22"/>
  <c r="O506" i="22"/>
  <c r="P506" i="22"/>
  <c r="Q506" i="22"/>
  <c r="R506" i="22"/>
  <c r="S506" i="22"/>
  <c r="T506" i="22"/>
  <c r="U506" i="22"/>
  <c r="V506" i="22"/>
  <c r="W506" i="22"/>
  <c r="X506" i="22"/>
  <c r="Y506" i="22"/>
  <c r="Z506" i="22"/>
  <c r="A507" i="22"/>
  <c r="B507" i="22"/>
  <c r="C507" i="22"/>
  <c r="D507" i="22"/>
  <c r="E507" i="22"/>
  <c r="F507" i="22"/>
  <c r="G507" i="22"/>
  <c r="H507" i="22"/>
  <c r="I507" i="22"/>
  <c r="J507" i="22"/>
  <c r="K507" i="22"/>
  <c r="L507" i="22"/>
  <c r="M507" i="22"/>
  <c r="N507" i="22"/>
  <c r="O507" i="22"/>
  <c r="P507" i="22"/>
  <c r="Q507" i="22"/>
  <c r="R507" i="22"/>
  <c r="S507" i="22"/>
  <c r="T507" i="22"/>
  <c r="U507" i="22"/>
  <c r="V507" i="22"/>
  <c r="W507" i="22"/>
  <c r="X507" i="22"/>
  <c r="Y507" i="22"/>
  <c r="Z507" i="22"/>
  <c r="A508" i="22"/>
  <c r="B508" i="22"/>
  <c r="C508" i="22"/>
  <c r="D508" i="22"/>
  <c r="E508" i="22"/>
  <c r="F508" i="22"/>
  <c r="G508" i="22"/>
  <c r="H508" i="22"/>
  <c r="I508" i="22"/>
  <c r="J508" i="22"/>
  <c r="K508" i="22"/>
  <c r="L508" i="22"/>
  <c r="M508" i="22"/>
  <c r="N508" i="22"/>
  <c r="O508" i="22"/>
  <c r="P508" i="22"/>
  <c r="Q508" i="22"/>
  <c r="R508" i="22"/>
  <c r="S508" i="22"/>
  <c r="T508" i="22"/>
  <c r="U508" i="22"/>
  <c r="V508" i="22"/>
  <c r="W508" i="22"/>
  <c r="X508" i="22"/>
  <c r="Y508" i="22"/>
  <c r="Z508" i="22"/>
  <c r="A509" i="22"/>
  <c r="B509" i="22"/>
  <c r="C509" i="22"/>
  <c r="D509" i="22"/>
  <c r="E509" i="22"/>
  <c r="F509" i="22"/>
  <c r="G509" i="22"/>
  <c r="H509" i="22"/>
  <c r="I509" i="22"/>
  <c r="J509" i="22"/>
  <c r="K509" i="22"/>
  <c r="L509" i="22"/>
  <c r="M509" i="22"/>
  <c r="N509" i="22"/>
  <c r="O509" i="22"/>
  <c r="P509" i="22"/>
  <c r="Q509" i="22"/>
  <c r="R509" i="22"/>
  <c r="S509" i="22"/>
  <c r="T509" i="22"/>
  <c r="U509" i="22"/>
  <c r="V509" i="22"/>
  <c r="W509" i="22"/>
  <c r="X509" i="22"/>
  <c r="Y509" i="22"/>
  <c r="Z509" i="22"/>
  <c r="A510" i="22"/>
  <c r="B510" i="22"/>
  <c r="C510" i="22"/>
  <c r="D510" i="22"/>
  <c r="E510" i="22"/>
  <c r="F510" i="22"/>
  <c r="G510" i="22"/>
  <c r="H510" i="22"/>
  <c r="I510" i="22"/>
  <c r="J510" i="22"/>
  <c r="K510" i="22"/>
  <c r="L510" i="22"/>
  <c r="M510" i="22"/>
  <c r="N510" i="22"/>
  <c r="O510" i="22"/>
  <c r="P510" i="22"/>
  <c r="Q510" i="22"/>
  <c r="R510" i="22"/>
  <c r="S510" i="22"/>
  <c r="T510" i="22"/>
  <c r="U510" i="22"/>
  <c r="V510" i="22"/>
  <c r="W510" i="22"/>
  <c r="X510" i="22"/>
  <c r="Y510" i="22"/>
  <c r="Z510" i="22"/>
  <c r="O6" i="29" l="1"/>
  <c r="O7" i="29"/>
  <c r="O8" i="29"/>
  <c r="O12" i="29"/>
  <c r="O5" i="29"/>
  <c r="C1" i="29" l="1"/>
  <c r="AY21" i="28" l="1"/>
  <c r="AY22" i="28"/>
  <c r="AY20" i="28"/>
  <c r="D16" i="28" l="1"/>
  <c r="D15" i="28"/>
  <c r="I6" i="29" l="1"/>
  <c r="F16" i="28"/>
  <c r="I5" i="29"/>
  <c r="F15" i="28"/>
  <c r="G6" i="29"/>
  <c r="G5" i="29"/>
  <c r="C7" i="28" l="1"/>
  <c r="C6" i="28"/>
  <c r="D11" i="28" s="1"/>
  <c r="C12" i="28" l="1"/>
  <c r="D12" i="28"/>
  <c r="G11" i="28"/>
  <c r="C11" i="28"/>
  <c r="F11" i="28"/>
  <c r="E11" i="28"/>
  <c r="E12" i="28"/>
  <c r="F12" i="28"/>
  <c r="G12" i="28"/>
  <c r="FP365" i="27" l="1"/>
  <c r="FP364" i="27"/>
  <c r="FP363" i="27"/>
  <c r="FP362" i="27"/>
  <c r="FP361" i="27"/>
  <c r="FP360" i="27"/>
  <c r="FP359" i="27"/>
  <c r="FP358" i="27"/>
  <c r="FP357" i="27"/>
  <c r="FP356" i="27"/>
  <c r="FP355" i="27"/>
  <c r="FP354" i="27"/>
  <c r="FP353" i="27"/>
  <c r="FP352" i="27"/>
  <c r="FP351" i="27"/>
  <c r="FP350" i="27"/>
  <c r="FP349" i="27"/>
  <c r="FP348" i="27"/>
  <c r="FP347" i="27"/>
  <c r="FP346" i="27"/>
  <c r="FP345" i="27"/>
  <c r="FP344" i="27"/>
  <c r="FP343" i="27"/>
  <c r="FP342" i="27"/>
  <c r="FP341" i="27"/>
  <c r="FP340" i="27"/>
  <c r="FP339" i="27"/>
  <c r="FP338" i="27"/>
  <c r="FP337" i="27"/>
  <c r="FP336" i="27"/>
  <c r="FP335" i="27"/>
  <c r="FP334" i="27"/>
  <c r="FP333" i="27"/>
  <c r="FP332" i="27"/>
  <c r="FP331" i="27"/>
  <c r="FP330" i="27"/>
  <c r="FP329" i="27"/>
  <c r="FP328" i="27"/>
  <c r="FP327" i="27"/>
  <c r="FP326" i="27"/>
  <c r="FP325" i="27"/>
  <c r="FP324" i="27"/>
  <c r="FP323" i="27"/>
  <c r="FP322" i="27"/>
  <c r="FP321" i="27"/>
  <c r="FP320" i="27"/>
  <c r="FP319" i="27"/>
  <c r="FP318" i="27"/>
  <c r="FP317" i="27"/>
  <c r="FP316" i="27"/>
  <c r="FP315" i="27"/>
  <c r="FP314" i="27"/>
  <c r="FP313" i="27"/>
  <c r="FP312" i="27"/>
  <c r="FP311" i="27"/>
  <c r="FP310" i="27"/>
  <c r="FP309" i="27"/>
  <c r="FP308" i="27"/>
  <c r="FP307" i="27"/>
  <c r="FP306" i="27"/>
  <c r="FP305" i="27"/>
  <c r="FP304" i="27"/>
  <c r="FP303" i="27"/>
  <c r="FP302" i="27"/>
  <c r="FP301" i="27"/>
  <c r="FP300" i="27"/>
  <c r="FP299" i="27"/>
  <c r="FP298" i="27"/>
  <c r="FP297" i="27"/>
  <c r="FP296" i="27"/>
  <c r="FP295" i="27"/>
  <c r="FP294" i="27"/>
  <c r="FP293" i="27"/>
  <c r="FP292" i="27"/>
  <c r="FP291" i="27"/>
  <c r="FP290" i="27"/>
  <c r="FP289" i="27"/>
  <c r="FP288" i="27"/>
  <c r="FP287" i="27"/>
  <c r="FP286" i="27"/>
  <c r="FP285" i="27"/>
  <c r="FP284" i="27"/>
  <c r="FP283" i="27"/>
  <c r="FP282" i="27"/>
  <c r="FP281" i="27"/>
  <c r="FP280" i="27"/>
  <c r="FP279" i="27"/>
  <c r="FP278" i="27"/>
  <c r="FP277" i="27"/>
  <c r="FP276" i="27"/>
  <c r="FP275" i="27"/>
  <c r="FP274" i="27"/>
  <c r="FP273" i="27"/>
  <c r="FP272" i="27"/>
  <c r="FP271" i="27"/>
  <c r="FP270" i="27"/>
  <c r="FP269" i="27"/>
  <c r="FP268" i="27"/>
  <c r="FP267" i="27"/>
  <c r="FP266" i="27"/>
  <c r="FP265" i="27"/>
  <c r="FP264" i="27"/>
  <c r="FP263" i="27"/>
  <c r="FP262" i="27"/>
  <c r="FP261" i="27"/>
  <c r="FP260" i="27"/>
  <c r="FP259" i="27"/>
  <c r="FP258" i="27"/>
  <c r="FP257" i="27"/>
  <c r="FP256" i="27"/>
  <c r="FP255" i="27"/>
  <c r="FP254" i="27"/>
  <c r="FP253" i="27"/>
  <c r="FP252" i="27"/>
  <c r="FP251" i="27"/>
  <c r="FP250" i="27"/>
  <c r="FP249" i="27"/>
  <c r="FP248" i="27"/>
  <c r="FP247" i="27"/>
  <c r="FP246" i="27"/>
  <c r="FP245" i="27"/>
  <c r="FP244" i="27"/>
  <c r="FP243" i="27"/>
  <c r="FP242" i="27"/>
  <c r="FP241" i="27"/>
  <c r="FP240" i="27"/>
  <c r="FP239" i="27"/>
  <c r="FP238" i="27"/>
  <c r="FP237" i="27"/>
  <c r="FP236" i="27"/>
  <c r="FP235" i="27"/>
  <c r="FP234" i="27"/>
  <c r="FP233" i="27"/>
  <c r="FP232" i="27"/>
  <c r="FP231" i="27"/>
  <c r="FP230" i="27"/>
  <c r="FP229" i="27"/>
  <c r="FP228" i="27"/>
  <c r="FP227" i="27"/>
  <c r="FP226" i="27"/>
  <c r="FP225" i="27"/>
  <c r="FP224" i="27"/>
  <c r="FP223" i="27"/>
  <c r="FP222" i="27"/>
  <c r="FP221" i="27"/>
  <c r="FP220" i="27"/>
  <c r="FP219" i="27"/>
  <c r="FP218" i="27"/>
  <c r="FP217" i="27"/>
  <c r="FP216" i="27"/>
  <c r="FP215" i="27"/>
  <c r="FP214" i="27"/>
  <c r="FP213" i="27"/>
  <c r="FP212" i="27"/>
  <c r="FP211" i="27"/>
  <c r="FP210" i="27"/>
  <c r="FP209" i="27"/>
  <c r="FP208" i="27"/>
  <c r="FP207" i="27"/>
  <c r="FP206" i="27"/>
  <c r="FP205" i="27"/>
  <c r="FP204" i="27"/>
  <c r="FP203" i="27"/>
  <c r="FP202" i="27"/>
  <c r="FP201" i="27"/>
  <c r="FP200" i="27"/>
  <c r="FP199" i="27"/>
  <c r="FP198" i="27"/>
  <c r="FP197" i="27"/>
  <c r="FP196" i="27"/>
  <c r="FP195" i="27"/>
  <c r="FP194" i="27"/>
  <c r="FP193" i="27"/>
  <c r="FP192" i="27"/>
  <c r="FP191" i="27"/>
  <c r="FP190" i="27"/>
  <c r="FP189" i="27"/>
  <c r="FP188" i="27"/>
  <c r="FP187" i="27"/>
  <c r="FP186" i="27"/>
  <c r="FP185" i="27"/>
  <c r="FP184" i="27"/>
  <c r="FP183" i="27"/>
  <c r="FP182" i="27"/>
  <c r="FP181" i="27"/>
  <c r="FP180" i="27"/>
  <c r="FP179" i="27"/>
  <c r="FP178" i="27"/>
  <c r="FP177" i="27"/>
  <c r="FP176" i="27"/>
  <c r="FP175" i="27"/>
  <c r="FP174" i="27"/>
  <c r="FP173" i="27"/>
  <c r="FP172" i="27"/>
  <c r="FP171" i="27"/>
  <c r="FP170" i="27"/>
  <c r="FP169" i="27"/>
  <c r="FP168" i="27"/>
  <c r="FP167" i="27"/>
  <c r="FP166" i="27"/>
  <c r="FP165" i="27"/>
  <c r="FP164" i="27"/>
  <c r="FP163" i="27"/>
  <c r="FP162" i="27"/>
  <c r="FP161" i="27"/>
  <c r="FP160" i="27"/>
  <c r="FP159" i="27"/>
  <c r="FP158" i="27"/>
  <c r="FP157" i="27"/>
  <c r="FP156" i="27"/>
  <c r="FP155" i="27"/>
  <c r="FP154" i="27"/>
  <c r="FP153" i="27"/>
  <c r="FP152" i="27"/>
  <c r="FP151" i="27"/>
  <c r="FP150" i="27"/>
  <c r="FP149" i="27"/>
  <c r="FP148" i="27"/>
  <c r="FP147" i="27"/>
  <c r="FP146" i="27"/>
  <c r="FP145" i="27"/>
  <c r="FP144" i="27"/>
  <c r="FP143" i="27"/>
  <c r="FP142" i="27"/>
  <c r="FP141" i="27"/>
  <c r="FP140" i="27"/>
  <c r="FP139" i="27"/>
  <c r="FP138" i="27"/>
  <c r="FP137" i="27"/>
  <c r="FP136" i="27"/>
  <c r="FP135" i="27"/>
  <c r="FP134" i="27"/>
  <c r="FP133" i="27"/>
  <c r="FP132" i="27"/>
  <c r="FP131" i="27"/>
  <c r="FP130" i="27"/>
  <c r="FP129" i="27"/>
  <c r="FP128" i="27"/>
  <c r="FP127" i="27"/>
  <c r="FP126" i="27"/>
  <c r="FP125" i="27"/>
  <c r="FP124" i="27"/>
  <c r="FP123" i="27"/>
  <c r="FP122" i="27"/>
  <c r="FP121" i="27"/>
  <c r="FP120" i="27"/>
  <c r="FP119" i="27"/>
  <c r="FP118" i="27"/>
  <c r="FP117" i="27"/>
  <c r="FP116" i="27"/>
  <c r="FP115" i="27"/>
  <c r="FP114" i="27"/>
  <c r="FP113" i="27"/>
  <c r="FP112" i="27"/>
  <c r="FP111" i="27"/>
  <c r="FP110" i="27"/>
  <c r="FP109" i="27"/>
  <c r="FP108" i="27"/>
  <c r="FP107" i="27"/>
  <c r="FP106" i="27"/>
  <c r="FP105" i="27"/>
  <c r="FP104" i="27"/>
  <c r="FP103" i="27"/>
  <c r="FP102" i="27"/>
  <c r="FP101" i="27"/>
  <c r="FP100" i="27"/>
  <c r="FP99" i="27"/>
  <c r="FP98" i="27"/>
  <c r="FP97" i="27"/>
  <c r="FP96" i="27"/>
  <c r="FP95" i="27"/>
  <c r="FP94" i="27"/>
  <c r="FP93" i="27"/>
  <c r="FP92" i="27"/>
  <c r="FP91" i="27"/>
  <c r="FP90" i="27"/>
  <c r="FP89" i="27"/>
  <c r="FP88" i="27"/>
  <c r="FP87" i="27"/>
  <c r="FP86" i="27"/>
  <c r="FP85" i="27"/>
  <c r="FP84" i="27"/>
  <c r="FP83" i="27"/>
  <c r="FP82" i="27"/>
  <c r="FP81" i="27"/>
  <c r="FP80" i="27"/>
  <c r="FP79" i="27"/>
  <c r="FP78" i="27"/>
  <c r="FP77" i="27"/>
  <c r="FP76" i="27"/>
  <c r="FP75" i="27"/>
  <c r="FP74" i="27"/>
  <c r="FP73" i="27"/>
  <c r="FP72" i="27"/>
  <c r="FP71" i="27"/>
  <c r="FP70" i="27"/>
  <c r="FP69" i="27"/>
  <c r="FP68" i="27"/>
  <c r="FP67" i="27"/>
  <c r="FP66" i="27"/>
  <c r="FP65" i="27"/>
  <c r="FP64" i="27"/>
  <c r="FP63" i="27"/>
  <c r="FP62" i="27"/>
  <c r="FP61" i="27"/>
  <c r="FP60" i="27"/>
  <c r="FP59" i="27"/>
  <c r="FP58" i="27"/>
  <c r="FP57" i="27"/>
  <c r="FP56" i="27"/>
  <c r="FP55" i="27"/>
  <c r="FP54" i="27"/>
  <c r="FP53" i="27"/>
  <c r="FP52" i="27"/>
  <c r="FP51" i="27"/>
  <c r="FP50" i="27"/>
  <c r="FP49" i="27"/>
  <c r="FP48" i="27"/>
  <c r="FP47" i="27"/>
  <c r="FP46" i="27"/>
  <c r="FP45" i="27"/>
  <c r="FP44" i="27"/>
  <c r="FP43" i="27"/>
  <c r="FP42" i="27"/>
  <c r="FP41" i="27"/>
  <c r="FP40" i="27"/>
  <c r="FP39" i="27"/>
  <c r="FP38" i="27"/>
  <c r="FP37" i="27"/>
  <c r="FP36" i="27"/>
  <c r="FP35" i="27"/>
  <c r="FP34" i="27"/>
  <c r="FP33" i="27"/>
  <c r="FP32" i="27"/>
  <c r="FP31" i="27"/>
  <c r="FP30" i="27"/>
  <c r="FP29" i="27"/>
  <c r="FP28" i="27"/>
  <c r="FP27" i="27"/>
  <c r="FP26" i="27"/>
  <c r="FP25" i="27"/>
  <c r="FP24" i="27"/>
  <c r="FP23" i="27"/>
  <c r="FP22" i="27"/>
  <c r="FP21" i="27"/>
  <c r="FP20" i="27"/>
  <c r="FP19" i="27"/>
  <c r="FP18" i="27"/>
  <c r="FP17" i="27"/>
  <c r="FP16" i="27"/>
  <c r="FP15" i="27"/>
  <c r="FP14" i="27"/>
  <c r="FP13" i="27"/>
  <c r="FP12" i="27"/>
  <c r="FP11" i="27"/>
  <c r="FP10" i="27"/>
  <c r="FP9" i="27"/>
  <c r="FP8" i="27"/>
  <c r="FP7" i="27"/>
  <c r="FP6" i="27"/>
  <c r="HL365" i="27"/>
  <c r="HL364" i="27"/>
  <c r="HL363" i="27"/>
  <c r="HL362" i="27"/>
  <c r="HL361" i="27"/>
  <c r="HL360" i="27"/>
  <c r="HL359" i="27"/>
  <c r="HL358" i="27"/>
  <c r="HL357" i="27"/>
  <c r="HL356" i="27"/>
  <c r="HL355" i="27"/>
  <c r="HL354" i="27"/>
  <c r="HL353" i="27"/>
  <c r="HL352" i="27"/>
  <c r="HL351" i="27"/>
  <c r="HL350" i="27"/>
  <c r="HL349" i="27"/>
  <c r="HL348" i="27"/>
  <c r="HL347" i="27"/>
  <c r="HL346" i="27"/>
  <c r="HL345" i="27"/>
  <c r="HL344" i="27"/>
  <c r="HL343" i="27"/>
  <c r="HL342" i="27"/>
  <c r="HL341" i="27"/>
  <c r="HL340" i="27"/>
  <c r="HL339" i="27"/>
  <c r="HL338" i="27"/>
  <c r="HL337" i="27"/>
  <c r="HL336" i="27"/>
  <c r="HL335" i="27"/>
  <c r="HL334" i="27"/>
  <c r="HL333" i="27"/>
  <c r="HL332" i="27"/>
  <c r="HL331" i="27"/>
  <c r="HL330" i="27"/>
  <c r="HL329" i="27"/>
  <c r="HL328" i="27"/>
  <c r="HL327" i="27"/>
  <c r="HL326" i="27"/>
  <c r="HL325" i="27"/>
  <c r="HL324" i="27"/>
  <c r="HL323" i="27"/>
  <c r="HL322" i="27"/>
  <c r="HL321" i="27"/>
  <c r="HL320" i="27"/>
  <c r="HL319" i="27"/>
  <c r="HL318" i="27"/>
  <c r="HL317" i="27"/>
  <c r="HL316" i="27"/>
  <c r="HL315" i="27"/>
  <c r="HL314" i="27"/>
  <c r="HL313" i="27"/>
  <c r="HL312" i="27"/>
  <c r="HL311" i="27"/>
  <c r="HL310" i="27"/>
  <c r="HL309" i="27"/>
  <c r="HL308" i="27"/>
  <c r="HL307" i="27"/>
  <c r="HL306" i="27"/>
  <c r="HL305" i="27"/>
  <c r="HL304" i="27"/>
  <c r="HL303" i="27"/>
  <c r="HL302" i="27"/>
  <c r="HL301" i="27"/>
  <c r="HL300" i="27"/>
  <c r="HL299" i="27"/>
  <c r="HL298" i="27"/>
  <c r="HL297" i="27"/>
  <c r="HL296" i="27"/>
  <c r="HL295" i="27"/>
  <c r="HL294" i="27"/>
  <c r="HL293" i="27"/>
  <c r="HL292" i="27"/>
  <c r="HL291" i="27"/>
  <c r="HL290" i="27"/>
  <c r="HL289" i="27"/>
  <c r="HL288" i="27"/>
  <c r="HL287" i="27"/>
  <c r="HL286" i="27"/>
  <c r="HL285" i="27"/>
  <c r="HL284" i="27"/>
  <c r="HL283" i="27"/>
  <c r="HL282" i="27"/>
  <c r="HL281" i="27"/>
  <c r="HL280" i="27"/>
  <c r="HL279" i="27"/>
  <c r="HL278" i="27"/>
  <c r="HL277" i="27"/>
  <c r="HL276" i="27"/>
  <c r="HL275" i="27"/>
  <c r="HL274" i="27"/>
  <c r="HL273" i="27"/>
  <c r="HL272" i="27"/>
  <c r="HL271" i="27"/>
  <c r="HL270" i="27"/>
  <c r="HL269" i="27"/>
  <c r="HL268" i="27"/>
  <c r="HL267" i="27"/>
  <c r="HL266" i="27"/>
  <c r="HL265" i="27"/>
  <c r="HL264" i="27"/>
  <c r="HL263" i="27"/>
  <c r="HL262" i="27"/>
  <c r="HL261" i="27"/>
  <c r="HL260" i="27"/>
  <c r="HL259" i="27"/>
  <c r="HL258" i="27"/>
  <c r="HL257" i="27"/>
  <c r="HL256" i="27"/>
  <c r="HL255" i="27"/>
  <c r="HL254" i="27"/>
  <c r="HL253" i="27"/>
  <c r="HL252" i="27"/>
  <c r="HL251" i="27"/>
  <c r="HL250" i="27"/>
  <c r="HL249" i="27"/>
  <c r="HL248" i="27"/>
  <c r="HL247" i="27"/>
  <c r="HL246" i="27"/>
  <c r="HL245" i="27"/>
  <c r="HL244" i="27"/>
  <c r="HL243" i="27"/>
  <c r="HL242" i="27"/>
  <c r="HL241" i="27"/>
  <c r="HL240" i="27"/>
  <c r="HL239" i="27"/>
  <c r="HL238" i="27"/>
  <c r="HL237" i="27"/>
  <c r="HL236" i="27"/>
  <c r="HL235" i="27"/>
  <c r="HL234" i="27"/>
  <c r="HL233" i="27"/>
  <c r="HL232" i="27"/>
  <c r="HL231" i="27"/>
  <c r="HL230" i="27"/>
  <c r="HL229" i="27"/>
  <c r="HL228" i="27"/>
  <c r="HL227" i="27"/>
  <c r="HL226" i="27"/>
  <c r="HL225" i="27"/>
  <c r="HL224" i="27"/>
  <c r="HL223" i="27"/>
  <c r="HL222" i="27"/>
  <c r="HL221" i="27"/>
  <c r="HL220" i="27"/>
  <c r="HL219" i="27"/>
  <c r="HL218" i="27"/>
  <c r="HL217" i="27"/>
  <c r="HL216" i="27"/>
  <c r="HL215" i="27"/>
  <c r="HL214" i="27"/>
  <c r="HL213" i="27"/>
  <c r="HL212" i="27"/>
  <c r="HL211" i="27"/>
  <c r="HL210" i="27"/>
  <c r="HL209" i="27"/>
  <c r="HL208" i="27"/>
  <c r="HL207" i="27"/>
  <c r="HL206" i="27"/>
  <c r="HL205" i="27"/>
  <c r="HL204" i="27"/>
  <c r="HL203" i="27"/>
  <c r="HL202" i="27"/>
  <c r="HL201" i="27"/>
  <c r="HL200" i="27"/>
  <c r="HL199" i="27"/>
  <c r="HL198" i="27"/>
  <c r="HL197" i="27"/>
  <c r="HL196" i="27"/>
  <c r="HL195" i="27"/>
  <c r="HL194" i="27"/>
  <c r="HL193" i="27"/>
  <c r="HL192" i="27"/>
  <c r="HL191" i="27"/>
  <c r="HL190" i="27"/>
  <c r="HL189" i="27"/>
  <c r="HL188" i="27"/>
  <c r="HL187" i="27"/>
  <c r="HL186" i="27"/>
  <c r="HL185" i="27"/>
  <c r="HL184" i="27"/>
  <c r="HL183" i="27"/>
  <c r="HL182" i="27"/>
  <c r="HL181" i="27"/>
  <c r="HL180" i="27"/>
  <c r="HL179" i="27"/>
  <c r="HL178" i="27"/>
  <c r="HL177" i="27"/>
  <c r="HL176" i="27"/>
  <c r="HL175" i="27"/>
  <c r="HL174" i="27"/>
  <c r="HL173" i="27"/>
  <c r="HL172" i="27"/>
  <c r="HL171" i="27"/>
  <c r="HL170" i="27"/>
  <c r="HL169" i="27"/>
  <c r="HL168" i="27"/>
  <c r="HL167" i="27"/>
  <c r="HL166" i="27"/>
  <c r="HL165" i="27"/>
  <c r="HL164" i="27"/>
  <c r="HL163" i="27"/>
  <c r="HL162" i="27"/>
  <c r="HL161" i="27"/>
  <c r="HL160" i="27"/>
  <c r="HL159" i="27"/>
  <c r="HL158" i="27"/>
  <c r="HL157" i="27"/>
  <c r="HL156" i="27"/>
  <c r="HL155" i="27"/>
  <c r="HL154" i="27"/>
  <c r="HL153" i="27"/>
  <c r="HL152" i="27"/>
  <c r="HL151" i="27"/>
  <c r="HL150" i="27"/>
  <c r="HL149" i="27"/>
  <c r="HL148" i="27"/>
  <c r="HL147" i="27"/>
  <c r="HL146" i="27"/>
  <c r="HL145" i="27"/>
  <c r="HL144" i="27"/>
  <c r="HL143" i="27"/>
  <c r="HL142" i="27"/>
  <c r="HL141" i="27"/>
  <c r="HL140" i="27"/>
  <c r="HL139" i="27"/>
  <c r="HL138" i="27"/>
  <c r="HL137" i="27"/>
  <c r="HL136" i="27"/>
  <c r="HL135" i="27"/>
  <c r="HL134" i="27"/>
  <c r="HL133" i="27"/>
  <c r="HL132" i="27"/>
  <c r="HL131" i="27"/>
  <c r="HL130" i="27"/>
  <c r="HL129" i="27"/>
  <c r="HL128" i="27"/>
  <c r="HL127" i="27"/>
  <c r="HL126" i="27"/>
  <c r="HL125" i="27"/>
  <c r="HL124" i="27"/>
  <c r="HL123" i="27"/>
  <c r="HL122" i="27"/>
  <c r="HL121" i="27"/>
  <c r="HL120" i="27"/>
  <c r="HL119" i="27"/>
  <c r="HL118" i="27"/>
  <c r="HL117" i="27"/>
  <c r="HL116" i="27"/>
  <c r="HL115" i="27"/>
  <c r="HL114" i="27"/>
  <c r="HL113" i="27"/>
  <c r="HL112" i="27"/>
  <c r="HL111" i="27"/>
  <c r="HL110" i="27"/>
  <c r="HL109" i="27"/>
  <c r="HL108" i="27"/>
  <c r="HL107" i="27"/>
  <c r="HL106" i="27"/>
  <c r="HL105" i="27"/>
  <c r="HL104" i="27"/>
  <c r="HL103" i="27"/>
  <c r="HL102" i="27"/>
  <c r="HL101" i="27"/>
  <c r="HL100" i="27"/>
  <c r="HL99" i="27"/>
  <c r="HL98" i="27"/>
  <c r="HL97" i="27"/>
  <c r="HL96" i="27"/>
  <c r="HL95" i="27"/>
  <c r="HL94" i="27"/>
  <c r="HL93" i="27"/>
  <c r="HL92" i="27"/>
  <c r="HL91" i="27"/>
  <c r="HL90" i="27"/>
  <c r="HL89" i="27"/>
  <c r="HL88" i="27"/>
  <c r="HL87" i="27"/>
  <c r="HL86" i="27"/>
  <c r="HL85" i="27"/>
  <c r="HL84" i="27"/>
  <c r="HL83" i="27"/>
  <c r="HL82" i="27"/>
  <c r="HL81" i="27"/>
  <c r="HL80" i="27"/>
  <c r="HL79" i="27"/>
  <c r="HL78" i="27"/>
  <c r="HL77" i="27"/>
  <c r="HL76" i="27"/>
  <c r="HL75" i="27"/>
  <c r="HL74" i="27"/>
  <c r="HL73" i="27"/>
  <c r="HL72" i="27"/>
  <c r="HL71" i="27"/>
  <c r="HL70" i="27"/>
  <c r="HL69" i="27"/>
  <c r="HL68" i="27"/>
  <c r="HL67" i="27"/>
  <c r="HL66" i="27"/>
  <c r="HL65" i="27"/>
  <c r="HL64" i="27"/>
  <c r="HL63" i="27"/>
  <c r="HL62" i="27"/>
  <c r="HL61" i="27"/>
  <c r="HL60" i="27"/>
  <c r="HL59" i="27"/>
  <c r="HL58" i="27"/>
  <c r="HL57" i="27"/>
  <c r="HL56" i="27"/>
  <c r="HL55" i="27"/>
  <c r="HL54" i="27"/>
  <c r="HL53" i="27"/>
  <c r="HL52" i="27"/>
  <c r="HL51" i="27"/>
  <c r="HL50" i="27"/>
  <c r="HL49" i="27"/>
  <c r="HL48" i="27"/>
  <c r="HL47" i="27"/>
  <c r="HL46" i="27"/>
  <c r="HL45" i="27"/>
  <c r="HL44" i="27"/>
  <c r="HL43" i="27"/>
  <c r="HL42" i="27"/>
  <c r="HL41" i="27"/>
  <c r="HL40" i="27"/>
  <c r="HL39" i="27"/>
  <c r="HL38" i="27"/>
  <c r="HL37" i="27"/>
  <c r="HL36" i="27"/>
  <c r="HL35" i="27"/>
  <c r="HL34" i="27"/>
  <c r="HL33" i="27"/>
  <c r="HL32" i="27"/>
  <c r="HL31" i="27"/>
  <c r="HL30" i="27"/>
  <c r="HL29" i="27"/>
  <c r="HL28" i="27"/>
  <c r="HL27" i="27"/>
  <c r="HL26" i="27"/>
  <c r="HL25" i="27"/>
  <c r="HL24" i="27"/>
  <c r="HL23" i="27"/>
  <c r="HL22" i="27"/>
  <c r="HL21" i="27"/>
  <c r="HL20" i="27"/>
  <c r="HL19" i="27"/>
  <c r="HL18" i="27"/>
  <c r="HL17" i="27"/>
  <c r="HL16" i="27"/>
  <c r="HL15" i="27"/>
  <c r="HL14" i="27"/>
  <c r="HL13" i="27"/>
  <c r="HL12" i="27"/>
  <c r="HL11" i="27"/>
  <c r="HL10" i="27"/>
  <c r="HL9" i="27"/>
  <c r="HL8" i="27"/>
  <c r="HL7" i="27"/>
  <c r="HL6" i="27"/>
  <c r="DT365" i="27"/>
  <c r="DT364" i="27"/>
  <c r="DT363" i="27"/>
  <c r="DT362" i="27"/>
  <c r="DT361" i="27"/>
  <c r="DT360" i="27"/>
  <c r="DT359" i="27"/>
  <c r="DT358" i="27"/>
  <c r="DT357" i="27"/>
  <c r="DT356" i="27"/>
  <c r="DT355" i="27"/>
  <c r="DT354" i="27"/>
  <c r="DT353" i="27"/>
  <c r="DT352" i="27"/>
  <c r="DT351" i="27"/>
  <c r="DT350" i="27"/>
  <c r="DT349" i="27"/>
  <c r="DT348" i="27"/>
  <c r="DT347" i="27"/>
  <c r="DT346" i="27"/>
  <c r="DT345" i="27"/>
  <c r="DT344" i="27"/>
  <c r="DT343" i="27"/>
  <c r="DT342" i="27"/>
  <c r="DT341" i="27"/>
  <c r="DT340" i="27"/>
  <c r="DT339" i="27"/>
  <c r="DT338" i="27"/>
  <c r="DT337" i="27"/>
  <c r="DT336" i="27"/>
  <c r="DT335" i="27"/>
  <c r="DT334" i="27"/>
  <c r="DT333" i="27"/>
  <c r="DT332" i="27"/>
  <c r="DT331" i="27"/>
  <c r="DT330" i="27"/>
  <c r="DT329" i="27"/>
  <c r="DT328" i="27"/>
  <c r="DT327" i="27"/>
  <c r="DT326" i="27"/>
  <c r="DT325" i="27"/>
  <c r="DT324" i="27"/>
  <c r="DT323" i="27"/>
  <c r="DT322" i="27"/>
  <c r="DT321" i="27"/>
  <c r="DT320" i="27"/>
  <c r="DT319" i="27"/>
  <c r="DT318" i="27"/>
  <c r="DT317" i="27"/>
  <c r="DT316" i="27"/>
  <c r="DT315" i="27"/>
  <c r="DT314" i="27"/>
  <c r="DT313" i="27"/>
  <c r="DT312" i="27"/>
  <c r="DT311" i="27"/>
  <c r="DT310" i="27"/>
  <c r="DT309" i="27"/>
  <c r="DT308" i="27"/>
  <c r="DT307" i="27"/>
  <c r="DT306" i="27"/>
  <c r="DT305" i="27"/>
  <c r="DT304" i="27"/>
  <c r="DT303" i="27"/>
  <c r="DT302" i="27"/>
  <c r="DT301" i="27"/>
  <c r="DT300" i="27"/>
  <c r="DT299" i="27"/>
  <c r="DT298" i="27"/>
  <c r="DT297" i="27"/>
  <c r="DT296" i="27"/>
  <c r="DT295" i="27"/>
  <c r="DT294" i="27"/>
  <c r="DT293" i="27"/>
  <c r="DT292" i="27"/>
  <c r="DT291" i="27"/>
  <c r="DT290" i="27"/>
  <c r="DT289" i="27"/>
  <c r="DT288" i="27"/>
  <c r="DT287" i="27"/>
  <c r="DT286" i="27"/>
  <c r="DT285" i="27"/>
  <c r="DT284" i="27"/>
  <c r="DT283" i="27"/>
  <c r="DT282" i="27"/>
  <c r="DT281" i="27"/>
  <c r="DT280" i="27"/>
  <c r="DT279" i="27"/>
  <c r="DT278" i="27"/>
  <c r="DT277" i="27"/>
  <c r="DT276" i="27"/>
  <c r="DT275" i="27"/>
  <c r="DT274" i="27"/>
  <c r="DT273" i="27"/>
  <c r="DT272" i="27"/>
  <c r="DT271" i="27"/>
  <c r="DT270" i="27"/>
  <c r="DT269" i="27"/>
  <c r="DT268" i="27"/>
  <c r="DT267" i="27"/>
  <c r="DT266" i="27"/>
  <c r="DT265" i="27"/>
  <c r="DT264" i="27"/>
  <c r="DT263" i="27"/>
  <c r="DT262" i="27"/>
  <c r="DT261" i="27"/>
  <c r="DT260" i="27"/>
  <c r="DT259" i="27"/>
  <c r="DT258" i="27"/>
  <c r="DT257" i="27"/>
  <c r="DT256" i="27"/>
  <c r="DT255" i="27"/>
  <c r="DT254" i="27"/>
  <c r="DT253" i="27"/>
  <c r="DT252" i="27"/>
  <c r="DT251" i="27"/>
  <c r="DT250" i="27"/>
  <c r="DT249" i="27"/>
  <c r="DT248" i="27"/>
  <c r="DT247" i="27"/>
  <c r="DT246" i="27"/>
  <c r="DT245" i="27"/>
  <c r="DT244" i="27"/>
  <c r="DT243" i="27"/>
  <c r="DT242" i="27"/>
  <c r="DT241" i="27"/>
  <c r="DT240" i="27"/>
  <c r="DT239" i="27"/>
  <c r="DT238" i="27"/>
  <c r="DT237" i="27"/>
  <c r="DT236" i="27"/>
  <c r="DT235" i="27"/>
  <c r="DT234" i="27"/>
  <c r="DT233" i="27"/>
  <c r="DT232" i="27"/>
  <c r="DT231" i="27"/>
  <c r="DT230" i="27"/>
  <c r="DT229" i="27"/>
  <c r="DT228" i="27"/>
  <c r="DT227" i="27"/>
  <c r="DT226" i="27"/>
  <c r="DT225" i="27"/>
  <c r="DT224" i="27"/>
  <c r="DT223" i="27"/>
  <c r="DT222" i="27"/>
  <c r="DT221" i="27"/>
  <c r="DT220" i="27"/>
  <c r="DT219" i="27"/>
  <c r="DT218" i="27"/>
  <c r="DT217" i="27"/>
  <c r="DT216" i="27"/>
  <c r="DT215" i="27"/>
  <c r="DT214" i="27"/>
  <c r="DT213" i="27"/>
  <c r="DT212" i="27"/>
  <c r="DT211" i="27"/>
  <c r="DT210" i="27"/>
  <c r="DT209" i="27"/>
  <c r="DT208" i="27"/>
  <c r="DT207" i="27"/>
  <c r="DT206" i="27"/>
  <c r="DT205" i="27"/>
  <c r="DT204" i="27"/>
  <c r="DT203" i="27"/>
  <c r="DT202" i="27"/>
  <c r="DT201" i="27"/>
  <c r="DT200" i="27"/>
  <c r="DT199" i="27"/>
  <c r="DT198" i="27"/>
  <c r="DT197" i="27"/>
  <c r="DT196" i="27"/>
  <c r="DT195" i="27"/>
  <c r="DT194" i="27"/>
  <c r="DT193" i="27"/>
  <c r="DT192" i="27"/>
  <c r="DT191" i="27"/>
  <c r="DT190" i="27"/>
  <c r="DT189" i="27"/>
  <c r="DT188" i="27"/>
  <c r="DT187" i="27"/>
  <c r="DT186" i="27"/>
  <c r="DT185" i="27"/>
  <c r="DT184" i="27"/>
  <c r="DT183" i="27"/>
  <c r="DT182" i="27"/>
  <c r="DT181" i="27"/>
  <c r="DT180" i="27"/>
  <c r="DT179" i="27"/>
  <c r="DT178" i="27"/>
  <c r="DT177" i="27"/>
  <c r="DT176" i="27"/>
  <c r="DT175" i="27"/>
  <c r="DT174" i="27"/>
  <c r="DT173" i="27"/>
  <c r="DT172" i="27"/>
  <c r="DT171" i="27"/>
  <c r="DT170" i="27"/>
  <c r="DT169" i="27"/>
  <c r="DT168" i="27"/>
  <c r="DT167" i="27"/>
  <c r="DT166" i="27"/>
  <c r="DT165" i="27"/>
  <c r="DT164" i="27"/>
  <c r="DT163" i="27"/>
  <c r="DT162" i="27"/>
  <c r="DT161" i="27"/>
  <c r="DT160" i="27"/>
  <c r="DT159" i="27"/>
  <c r="DT158" i="27"/>
  <c r="DT157" i="27"/>
  <c r="DT156" i="27"/>
  <c r="DT155" i="27"/>
  <c r="DT154" i="27"/>
  <c r="DT153" i="27"/>
  <c r="DT152" i="27"/>
  <c r="DT151" i="27"/>
  <c r="DT150" i="27"/>
  <c r="DT149" i="27"/>
  <c r="DT148" i="27"/>
  <c r="DT147" i="27"/>
  <c r="DT146" i="27"/>
  <c r="DT145" i="27"/>
  <c r="DT144" i="27"/>
  <c r="DT143" i="27"/>
  <c r="DT142" i="27"/>
  <c r="DT141" i="27"/>
  <c r="DT140" i="27"/>
  <c r="DT139" i="27"/>
  <c r="DT138" i="27"/>
  <c r="DT137" i="27"/>
  <c r="DT136" i="27"/>
  <c r="DT135" i="27"/>
  <c r="DT134" i="27"/>
  <c r="DT133" i="27"/>
  <c r="DT132" i="27"/>
  <c r="DT131" i="27"/>
  <c r="DT130" i="27"/>
  <c r="DT129" i="27"/>
  <c r="DT128" i="27"/>
  <c r="DT127" i="27"/>
  <c r="DT126" i="27"/>
  <c r="DT125" i="27"/>
  <c r="DT124" i="27"/>
  <c r="DT123" i="27"/>
  <c r="DT122" i="27"/>
  <c r="DT121" i="27"/>
  <c r="DT120" i="27"/>
  <c r="DT119" i="27"/>
  <c r="DT118" i="27"/>
  <c r="DT117" i="27"/>
  <c r="DT116" i="27"/>
  <c r="DT115" i="27"/>
  <c r="DT114" i="27"/>
  <c r="DT113" i="27"/>
  <c r="DT112" i="27"/>
  <c r="DT111" i="27"/>
  <c r="DT110" i="27"/>
  <c r="DT109" i="27"/>
  <c r="DT108" i="27"/>
  <c r="DT107" i="27"/>
  <c r="DT106" i="27"/>
  <c r="DT105" i="27"/>
  <c r="DT104" i="27"/>
  <c r="DT103" i="27"/>
  <c r="DT102" i="27"/>
  <c r="DT101" i="27"/>
  <c r="DT100" i="27"/>
  <c r="DT99" i="27"/>
  <c r="DT98" i="27"/>
  <c r="DT97" i="27"/>
  <c r="DT96" i="27"/>
  <c r="DT95" i="27"/>
  <c r="DT94" i="27"/>
  <c r="DT93" i="27"/>
  <c r="DT92" i="27"/>
  <c r="DT91" i="27"/>
  <c r="DT90" i="27"/>
  <c r="DT89" i="27"/>
  <c r="DT88" i="27"/>
  <c r="DT87" i="27"/>
  <c r="DT86" i="27"/>
  <c r="DT85" i="27"/>
  <c r="DT84" i="27"/>
  <c r="DT83" i="27"/>
  <c r="DT82" i="27"/>
  <c r="DT81" i="27"/>
  <c r="DT80" i="27"/>
  <c r="DT79" i="27"/>
  <c r="DT78" i="27"/>
  <c r="DT77" i="27"/>
  <c r="DT76" i="27"/>
  <c r="DT75" i="27"/>
  <c r="DT74" i="27"/>
  <c r="DT73" i="27"/>
  <c r="DT72" i="27"/>
  <c r="DT71" i="27"/>
  <c r="DT70" i="27"/>
  <c r="DT69" i="27"/>
  <c r="DT68" i="27"/>
  <c r="DT67" i="27"/>
  <c r="DT66" i="27"/>
  <c r="DT65" i="27"/>
  <c r="DT64" i="27"/>
  <c r="DT63" i="27"/>
  <c r="DT62" i="27"/>
  <c r="DT61" i="27"/>
  <c r="DT60" i="27"/>
  <c r="DT59" i="27"/>
  <c r="DT58" i="27"/>
  <c r="DT57" i="27"/>
  <c r="DT56" i="27"/>
  <c r="DT55" i="27"/>
  <c r="DT54" i="27"/>
  <c r="DT53" i="27"/>
  <c r="DT52" i="27"/>
  <c r="DT51" i="27"/>
  <c r="DT50" i="27"/>
  <c r="DT49" i="27"/>
  <c r="DT48" i="27"/>
  <c r="DT47" i="27"/>
  <c r="DT46" i="27"/>
  <c r="DT45" i="27"/>
  <c r="DT44" i="27"/>
  <c r="DT43" i="27"/>
  <c r="DT42" i="27"/>
  <c r="DT41" i="27"/>
  <c r="DT40" i="27"/>
  <c r="DT39" i="27"/>
  <c r="DT38" i="27"/>
  <c r="DT37" i="27"/>
  <c r="DT36" i="27"/>
  <c r="DT35" i="27"/>
  <c r="DT34" i="27"/>
  <c r="DT33" i="27"/>
  <c r="DT32" i="27"/>
  <c r="DT31" i="27"/>
  <c r="DT30" i="27"/>
  <c r="DT29" i="27"/>
  <c r="DT28" i="27"/>
  <c r="DT27" i="27"/>
  <c r="DT26" i="27"/>
  <c r="DT25" i="27"/>
  <c r="DT24" i="27"/>
  <c r="DT23" i="27"/>
  <c r="DT22" i="27"/>
  <c r="DT21" i="27"/>
  <c r="DT20" i="27"/>
  <c r="DT19" i="27"/>
  <c r="DT18" i="27"/>
  <c r="DT17" i="27"/>
  <c r="DT16" i="27"/>
  <c r="DT15" i="27"/>
  <c r="DT14" i="27"/>
  <c r="DT13" i="27"/>
  <c r="DT12" i="27"/>
  <c r="DT11" i="27"/>
  <c r="DT9" i="27"/>
  <c r="DT8" i="27"/>
  <c r="DT7" i="27"/>
  <c r="DT6" i="27"/>
  <c r="DT10" i="27"/>
  <c r="BZ34" i="27"/>
  <c r="BZ42" i="27"/>
  <c r="BZ38" i="27"/>
  <c r="BJ365" i="27"/>
  <c r="BI365" i="27"/>
  <c r="BJ364" i="27"/>
  <c r="BI364" i="27"/>
  <c r="BJ363" i="27"/>
  <c r="BI363" i="27"/>
  <c r="BJ362" i="27"/>
  <c r="BI362" i="27"/>
  <c r="BJ361" i="27"/>
  <c r="BI361" i="27"/>
  <c r="BJ360" i="27"/>
  <c r="BI360" i="27"/>
  <c r="BJ359" i="27"/>
  <c r="BI359" i="27"/>
  <c r="BJ358" i="27"/>
  <c r="BI358" i="27"/>
  <c r="BJ357" i="27"/>
  <c r="BI357" i="27"/>
  <c r="BJ356" i="27"/>
  <c r="BI356" i="27"/>
  <c r="BJ355" i="27"/>
  <c r="BI355" i="27"/>
  <c r="BJ354" i="27"/>
  <c r="BI354" i="27"/>
  <c r="BJ353" i="27"/>
  <c r="BI353" i="27"/>
  <c r="BJ352" i="27"/>
  <c r="BI352" i="27"/>
  <c r="BJ351" i="27"/>
  <c r="BI351" i="27"/>
  <c r="BJ350" i="27"/>
  <c r="BI350" i="27"/>
  <c r="BJ349" i="27"/>
  <c r="BI349" i="27"/>
  <c r="BJ348" i="27"/>
  <c r="BI348" i="27"/>
  <c r="BJ347" i="27"/>
  <c r="BI347" i="27"/>
  <c r="BJ346" i="27"/>
  <c r="BI346" i="27"/>
  <c r="BJ345" i="27"/>
  <c r="BI345" i="27"/>
  <c r="BJ344" i="27"/>
  <c r="BI344" i="27"/>
  <c r="BJ343" i="27"/>
  <c r="BI343" i="27"/>
  <c r="BJ342" i="27"/>
  <c r="BI342" i="27"/>
  <c r="BJ341" i="27"/>
  <c r="BI341" i="27"/>
  <c r="BJ340" i="27"/>
  <c r="BI340" i="27"/>
  <c r="BJ339" i="27"/>
  <c r="BI339" i="27"/>
  <c r="BJ338" i="27"/>
  <c r="BI338" i="27"/>
  <c r="BJ337" i="27"/>
  <c r="BI337" i="27"/>
  <c r="BJ336" i="27"/>
  <c r="BI336" i="27"/>
  <c r="BJ335" i="27"/>
  <c r="BI335" i="27"/>
  <c r="BJ334" i="27"/>
  <c r="BI334" i="27"/>
  <c r="BJ333" i="27"/>
  <c r="BI333" i="27"/>
  <c r="BJ332" i="27"/>
  <c r="BI332" i="27"/>
  <c r="BJ331" i="27"/>
  <c r="BI331" i="27"/>
  <c r="BJ330" i="27"/>
  <c r="BI330" i="27"/>
  <c r="BJ329" i="27"/>
  <c r="BI329" i="27"/>
  <c r="BJ328" i="27"/>
  <c r="BI328" i="27"/>
  <c r="BJ327" i="27"/>
  <c r="BI327" i="27"/>
  <c r="BJ326" i="27"/>
  <c r="BI326" i="27"/>
  <c r="BJ325" i="27"/>
  <c r="BI325" i="27"/>
  <c r="BJ324" i="27"/>
  <c r="BI324" i="27"/>
  <c r="BJ323" i="27"/>
  <c r="BI323" i="27"/>
  <c r="BJ322" i="27"/>
  <c r="BI322" i="27"/>
  <c r="BJ321" i="27"/>
  <c r="BI321" i="27"/>
  <c r="BJ320" i="27"/>
  <c r="BI320" i="27"/>
  <c r="BJ319" i="27"/>
  <c r="BI319" i="27"/>
  <c r="BJ318" i="27"/>
  <c r="BI318" i="27"/>
  <c r="BJ317" i="27"/>
  <c r="BI317" i="27"/>
  <c r="BJ316" i="27"/>
  <c r="BI316" i="27"/>
  <c r="BJ315" i="27"/>
  <c r="BI315" i="27"/>
  <c r="BJ314" i="27"/>
  <c r="BI314" i="27"/>
  <c r="BJ313" i="27"/>
  <c r="BI313" i="27"/>
  <c r="BJ312" i="27"/>
  <c r="BI312" i="27"/>
  <c r="BJ311" i="27"/>
  <c r="BI311" i="27"/>
  <c r="BJ310" i="27"/>
  <c r="BI310" i="27"/>
  <c r="BJ309" i="27"/>
  <c r="BI309" i="27"/>
  <c r="BJ308" i="27"/>
  <c r="BI308" i="27"/>
  <c r="BJ307" i="27"/>
  <c r="BI307" i="27"/>
  <c r="BJ306" i="27"/>
  <c r="BI306" i="27"/>
  <c r="BJ305" i="27"/>
  <c r="BI305" i="27"/>
  <c r="BJ304" i="27"/>
  <c r="BI304" i="27"/>
  <c r="BJ303" i="27"/>
  <c r="BI303" i="27"/>
  <c r="BJ302" i="27"/>
  <c r="BI302" i="27"/>
  <c r="BJ301" i="27"/>
  <c r="BI301" i="27"/>
  <c r="BJ300" i="27"/>
  <c r="BI300" i="27"/>
  <c r="BJ299" i="27"/>
  <c r="BI299" i="27"/>
  <c r="BJ298" i="27"/>
  <c r="BI298" i="27"/>
  <c r="BJ297" i="27"/>
  <c r="BI297" i="27"/>
  <c r="BJ296" i="27"/>
  <c r="BI296" i="27"/>
  <c r="BJ295" i="27"/>
  <c r="BI295" i="27"/>
  <c r="BJ294" i="27"/>
  <c r="BI294" i="27"/>
  <c r="BJ293" i="27"/>
  <c r="BI293" i="27"/>
  <c r="BJ292" i="27"/>
  <c r="BI292" i="27"/>
  <c r="BJ291" i="27"/>
  <c r="BI291" i="27"/>
  <c r="BJ290" i="27"/>
  <c r="BI290" i="27"/>
  <c r="BJ289" i="27"/>
  <c r="BI289" i="27"/>
  <c r="BJ288" i="27"/>
  <c r="BI288" i="27"/>
  <c r="BJ287" i="27"/>
  <c r="BI287" i="27"/>
  <c r="BJ286" i="27"/>
  <c r="BI286" i="27"/>
  <c r="BJ285" i="27"/>
  <c r="BI285" i="27"/>
  <c r="BJ284" i="27"/>
  <c r="BI284" i="27"/>
  <c r="BJ283" i="27"/>
  <c r="BI283" i="27"/>
  <c r="BJ282" i="27"/>
  <c r="BI282" i="27"/>
  <c r="BJ281" i="27"/>
  <c r="BI281" i="27"/>
  <c r="BJ280" i="27"/>
  <c r="BI280" i="27"/>
  <c r="BJ279" i="27"/>
  <c r="BI279" i="27"/>
  <c r="BJ278" i="27"/>
  <c r="BI278" i="27"/>
  <c r="BJ277" i="27"/>
  <c r="BI277" i="27"/>
  <c r="BJ276" i="27"/>
  <c r="BI276" i="27"/>
  <c r="BJ275" i="27"/>
  <c r="BI275" i="27"/>
  <c r="BJ274" i="27"/>
  <c r="BI274" i="27"/>
  <c r="BJ273" i="27"/>
  <c r="BI273" i="27"/>
  <c r="BJ272" i="27"/>
  <c r="BI272" i="27"/>
  <c r="BJ271" i="27"/>
  <c r="BI271" i="27"/>
  <c r="BJ270" i="27"/>
  <c r="BI270" i="27"/>
  <c r="BJ269" i="27"/>
  <c r="BI269" i="27"/>
  <c r="BJ268" i="27"/>
  <c r="BI268" i="27"/>
  <c r="BJ267" i="27"/>
  <c r="BI267" i="27"/>
  <c r="BJ266" i="27"/>
  <c r="BI266" i="27"/>
  <c r="BJ265" i="27"/>
  <c r="BI265" i="27"/>
  <c r="BJ264" i="27"/>
  <c r="BI264" i="27"/>
  <c r="BJ263" i="27"/>
  <c r="BI263" i="27"/>
  <c r="BJ262" i="27"/>
  <c r="BI262" i="27"/>
  <c r="BJ261" i="27"/>
  <c r="BI261" i="27"/>
  <c r="BJ260" i="27"/>
  <c r="BI260" i="27"/>
  <c r="BJ259" i="27"/>
  <c r="BI259" i="27"/>
  <c r="BJ258" i="27"/>
  <c r="BI258" i="27"/>
  <c r="BJ257" i="27"/>
  <c r="BI257" i="27"/>
  <c r="BJ256" i="27"/>
  <c r="BI256" i="27"/>
  <c r="BJ255" i="27"/>
  <c r="BI255" i="27"/>
  <c r="BJ254" i="27"/>
  <c r="BI254" i="27"/>
  <c r="BJ253" i="27"/>
  <c r="BI253" i="27"/>
  <c r="BJ252" i="27"/>
  <c r="BI252" i="27"/>
  <c r="BJ251" i="27"/>
  <c r="BI251" i="27"/>
  <c r="BJ250" i="27"/>
  <c r="BI250" i="27"/>
  <c r="BJ249" i="27"/>
  <c r="BI249" i="27"/>
  <c r="BJ248" i="27"/>
  <c r="BI248" i="27"/>
  <c r="BJ247" i="27"/>
  <c r="BI247" i="27"/>
  <c r="BJ246" i="27"/>
  <c r="BI246" i="27"/>
  <c r="BJ245" i="27"/>
  <c r="BI245" i="27"/>
  <c r="BJ244" i="27"/>
  <c r="BI244" i="27"/>
  <c r="BJ243" i="27"/>
  <c r="BI243" i="27"/>
  <c r="BJ242" i="27"/>
  <c r="BI242" i="27"/>
  <c r="BJ241" i="27"/>
  <c r="BI241" i="27"/>
  <c r="BJ240" i="27"/>
  <c r="BI240" i="27"/>
  <c r="BJ239" i="27"/>
  <c r="BI239" i="27"/>
  <c r="BJ238" i="27"/>
  <c r="BI238" i="27"/>
  <c r="BJ237" i="27"/>
  <c r="BI237" i="27"/>
  <c r="BJ236" i="27"/>
  <c r="BI236" i="27"/>
  <c r="BJ235" i="27"/>
  <c r="BI235" i="27"/>
  <c r="BJ234" i="27"/>
  <c r="BI234" i="27"/>
  <c r="BJ233" i="27"/>
  <c r="BI233" i="27"/>
  <c r="BJ232" i="27"/>
  <c r="BI232" i="27"/>
  <c r="BJ231" i="27"/>
  <c r="BI231" i="27"/>
  <c r="BJ230" i="27"/>
  <c r="BI230" i="27"/>
  <c r="BJ229" i="27"/>
  <c r="BI229" i="27"/>
  <c r="BJ228" i="27"/>
  <c r="BI228" i="27"/>
  <c r="BJ227" i="27"/>
  <c r="BI227" i="27"/>
  <c r="BJ226" i="27"/>
  <c r="BI226" i="27"/>
  <c r="BJ225" i="27"/>
  <c r="BI225" i="27"/>
  <c r="BJ224" i="27"/>
  <c r="BI224" i="27"/>
  <c r="BJ223" i="27"/>
  <c r="BI223" i="27"/>
  <c r="BJ222" i="27"/>
  <c r="BI222" i="27"/>
  <c r="BJ221" i="27"/>
  <c r="BI221" i="27"/>
  <c r="BJ220" i="27"/>
  <c r="BI220" i="27"/>
  <c r="BJ219" i="27"/>
  <c r="BI219" i="27"/>
  <c r="BJ218" i="27"/>
  <c r="BI218" i="27"/>
  <c r="BJ217" i="27"/>
  <c r="BI217" i="27"/>
  <c r="BJ216" i="27"/>
  <c r="BI216" i="27"/>
  <c r="BJ215" i="27"/>
  <c r="BI215" i="27"/>
  <c r="BJ214" i="27"/>
  <c r="BI214" i="27"/>
  <c r="BJ213" i="27"/>
  <c r="BI213" i="27"/>
  <c r="BJ212" i="27"/>
  <c r="BI212" i="27"/>
  <c r="BJ211" i="27"/>
  <c r="BI211" i="27"/>
  <c r="BJ210" i="27"/>
  <c r="BI210" i="27"/>
  <c r="BJ209" i="27"/>
  <c r="BI209" i="27"/>
  <c r="BJ208" i="27"/>
  <c r="BI208" i="27"/>
  <c r="BJ207" i="27"/>
  <c r="BI207" i="27"/>
  <c r="BJ206" i="27"/>
  <c r="BI206" i="27"/>
  <c r="BJ205" i="27"/>
  <c r="BI205" i="27"/>
  <c r="BJ204" i="27"/>
  <c r="BI204" i="27"/>
  <c r="BJ203" i="27"/>
  <c r="BI203" i="27"/>
  <c r="BJ202" i="27"/>
  <c r="BI202" i="27"/>
  <c r="BJ201" i="27"/>
  <c r="BI201" i="27"/>
  <c r="BJ200" i="27"/>
  <c r="BI200" i="27"/>
  <c r="BJ199" i="27"/>
  <c r="BI199" i="27"/>
  <c r="BJ198" i="27"/>
  <c r="BI198" i="27"/>
  <c r="BJ197" i="27"/>
  <c r="BI197" i="27"/>
  <c r="BJ196" i="27"/>
  <c r="BI196" i="27"/>
  <c r="BJ195" i="27"/>
  <c r="BI195" i="27"/>
  <c r="BJ194" i="27"/>
  <c r="BI194" i="27"/>
  <c r="BJ193" i="27"/>
  <c r="BI193" i="27"/>
  <c r="BJ192" i="27"/>
  <c r="BI192" i="27"/>
  <c r="BJ191" i="27"/>
  <c r="BI191" i="27"/>
  <c r="BJ190" i="27"/>
  <c r="BI190" i="27"/>
  <c r="BJ189" i="27"/>
  <c r="BI189" i="27"/>
  <c r="BJ188" i="27"/>
  <c r="BI188" i="27"/>
  <c r="BJ187" i="27"/>
  <c r="BI187" i="27"/>
  <c r="BJ186" i="27"/>
  <c r="BI186" i="27"/>
  <c r="BJ185" i="27"/>
  <c r="BI185" i="27"/>
  <c r="BJ184" i="27"/>
  <c r="BI184" i="27"/>
  <c r="BJ183" i="27"/>
  <c r="BI183" i="27"/>
  <c r="BJ182" i="27"/>
  <c r="BI182" i="27"/>
  <c r="BJ181" i="27"/>
  <c r="BI181" i="27"/>
  <c r="BJ180" i="27"/>
  <c r="BI180" i="27"/>
  <c r="BJ179" i="27"/>
  <c r="BI179" i="27"/>
  <c r="BJ178" i="27"/>
  <c r="BI178" i="27"/>
  <c r="BJ177" i="27"/>
  <c r="BI177" i="27"/>
  <c r="BJ176" i="27"/>
  <c r="BI176" i="27"/>
  <c r="BJ175" i="27"/>
  <c r="BI175" i="27"/>
  <c r="BJ174" i="27"/>
  <c r="BI174" i="27"/>
  <c r="BJ173" i="27"/>
  <c r="BI173" i="27"/>
  <c r="BJ172" i="27"/>
  <c r="BI172" i="27"/>
  <c r="BJ171" i="27"/>
  <c r="BI171" i="27"/>
  <c r="BJ170" i="27"/>
  <c r="BI170" i="27"/>
  <c r="BJ169" i="27"/>
  <c r="BI169" i="27"/>
  <c r="BJ168" i="27"/>
  <c r="BI168" i="27"/>
  <c r="BJ167" i="27"/>
  <c r="BI167" i="27"/>
  <c r="BJ166" i="27"/>
  <c r="BI166" i="27"/>
  <c r="BJ165" i="27"/>
  <c r="BI165" i="27"/>
  <c r="BJ164" i="27"/>
  <c r="BI164" i="27"/>
  <c r="BJ163" i="27"/>
  <c r="BI163" i="27"/>
  <c r="BJ162" i="27"/>
  <c r="BI162" i="27"/>
  <c r="BJ161" i="27"/>
  <c r="BI161" i="27"/>
  <c r="BJ160" i="27"/>
  <c r="BI160" i="27"/>
  <c r="BJ159" i="27"/>
  <c r="BI159" i="27"/>
  <c r="BJ158" i="27"/>
  <c r="BI158" i="27"/>
  <c r="BJ157" i="27"/>
  <c r="BI157" i="27"/>
  <c r="BJ156" i="27"/>
  <c r="BI156" i="27"/>
  <c r="BJ155" i="27"/>
  <c r="BI155" i="27"/>
  <c r="BJ154" i="27"/>
  <c r="BI154" i="27"/>
  <c r="BJ153" i="27"/>
  <c r="BI153" i="27"/>
  <c r="BJ152" i="27"/>
  <c r="BI152" i="27"/>
  <c r="BJ151" i="27"/>
  <c r="BI151" i="27"/>
  <c r="BJ150" i="27"/>
  <c r="BI150" i="27"/>
  <c r="BJ149" i="27"/>
  <c r="BI149" i="27"/>
  <c r="BJ148" i="27"/>
  <c r="BI148" i="27"/>
  <c r="BJ147" i="27"/>
  <c r="BI147" i="27"/>
  <c r="BJ146" i="27"/>
  <c r="BI146" i="27"/>
  <c r="BJ145" i="27"/>
  <c r="BI145" i="27"/>
  <c r="BJ144" i="27"/>
  <c r="BI144" i="27"/>
  <c r="BJ143" i="27"/>
  <c r="BI143" i="27"/>
  <c r="BJ142" i="27"/>
  <c r="BI142" i="27"/>
  <c r="BJ141" i="27"/>
  <c r="BI141" i="27"/>
  <c r="BJ140" i="27"/>
  <c r="BI140" i="27"/>
  <c r="BJ139" i="27"/>
  <c r="BI139" i="27"/>
  <c r="BJ138" i="27"/>
  <c r="BI138" i="27"/>
  <c r="BJ137" i="27"/>
  <c r="BI137" i="27"/>
  <c r="BJ136" i="27"/>
  <c r="BI136" i="27"/>
  <c r="BJ135" i="27"/>
  <c r="BI135" i="27"/>
  <c r="BJ134" i="27"/>
  <c r="BI134" i="27"/>
  <c r="BJ133" i="27"/>
  <c r="BI133" i="27"/>
  <c r="BJ132" i="27"/>
  <c r="BI132" i="27"/>
  <c r="BJ131" i="27"/>
  <c r="BI131" i="27"/>
  <c r="BJ130" i="27"/>
  <c r="BI130" i="27"/>
  <c r="BJ129" i="27"/>
  <c r="BI129" i="27"/>
  <c r="BJ128" i="27"/>
  <c r="BI128" i="27"/>
  <c r="BJ127" i="27"/>
  <c r="BI127" i="27"/>
  <c r="BJ126" i="27"/>
  <c r="BI126" i="27"/>
  <c r="BJ125" i="27"/>
  <c r="BI125" i="27"/>
  <c r="BJ124" i="27"/>
  <c r="BI124" i="27"/>
  <c r="BJ123" i="27"/>
  <c r="BI123" i="27"/>
  <c r="BJ122" i="27"/>
  <c r="BI122" i="27"/>
  <c r="BJ121" i="27"/>
  <c r="BI121" i="27"/>
  <c r="BJ120" i="27"/>
  <c r="BI120" i="27"/>
  <c r="BJ119" i="27"/>
  <c r="BI119" i="27"/>
  <c r="BJ118" i="27"/>
  <c r="BI118" i="27"/>
  <c r="BJ117" i="27"/>
  <c r="BI117" i="27"/>
  <c r="BJ116" i="27"/>
  <c r="BI116" i="27"/>
  <c r="BJ115" i="27"/>
  <c r="BI115" i="27"/>
  <c r="BJ114" i="27"/>
  <c r="BI114" i="27"/>
  <c r="BJ113" i="27"/>
  <c r="BI113" i="27"/>
  <c r="BJ112" i="27"/>
  <c r="BI112" i="27"/>
  <c r="BJ111" i="27"/>
  <c r="BI111" i="27"/>
  <c r="BJ110" i="27"/>
  <c r="BI110" i="27"/>
  <c r="BJ109" i="27"/>
  <c r="BI109" i="27"/>
  <c r="BJ108" i="27"/>
  <c r="BI108" i="27"/>
  <c r="BJ107" i="27"/>
  <c r="BI107" i="27"/>
  <c r="BJ106" i="27"/>
  <c r="BI106" i="27"/>
  <c r="BJ105" i="27"/>
  <c r="BI105" i="27"/>
  <c r="BJ104" i="27"/>
  <c r="BI104" i="27"/>
  <c r="BJ103" i="27"/>
  <c r="BI103" i="27"/>
  <c r="BJ102" i="27"/>
  <c r="BI102" i="27"/>
  <c r="BJ101" i="27"/>
  <c r="BI101" i="27"/>
  <c r="BJ100" i="27"/>
  <c r="BI100" i="27"/>
  <c r="BJ99" i="27"/>
  <c r="BI99" i="27"/>
  <c r="BJ98" i="27"/>
  <c r="BI98" i="27"/>
  <c r="BJ97" i="27"/>
  <c r="BI97" i="27"/>
  <c r="BJ96" i="27"/>
  <c r="BI96" i="27"/>
  <c r="BJ95" i="27"/>
  <c r="BI95" i="27"/>
  <c r="BJ94" i="27"/>
  <c r="BI94" i="27"/>
  <c r="BJ93" i="27"/>
  <c r="BI93" i="27"/>
  <c r="BJ92" i="27"/>
  <c r="BI92" i="27"/>
  <c r="BJ91" i="27"/>
  <c r="BI91" i="27"/>
  <c r="BJ90" i="27"/>
  <c r="BI90" i="27"/>
  <c r="BJ89" i="27"/>
  <c r="BI89" i="27"/>
  <c r="BJ88" i="27"/>
  <c r="BI88" i="27"/>
  <c r="BJ87" i="27"/>
  <c r="BI87" i="27"/>
  <c r="BJ86" i="27"/>
  <c r="BI86" i="27"/>
  <c r="BJ85" i="27"/>
  <c r="BI85" i="27"/>
  <c r="BJ84" i="27"/>
  <c r="BI84" i="27"/>
  <c r="BJ83" i="27"/>
  <c r="BI83" i="27"/>
  <c r="BJ82" i="27"/>
  <c r="BI82" i="27"/>
  <c r="BJ81" i="27"/>
  <c r="BI81" i="27"/>
  <c r="BJ80" i="27"/>
  <c r="BI80" i="27"/>
  <c r="BJ79" i="27"/>
  <c r="BI79" i="27"/>
  <c r="BJ78" i="27"/>
  <c r="BI78" i="27"/>
  <c r="BJ77" i="27"/>
  <c r="BI77" i="27"/>
  <c r="BJ76" i="27"/>
  <c r="BI76" i="27"/>
  <c r="BJ75" i="27"/>
  <c r="BI75" i="27"/>
  <c r="BJ74" i="27"/>
  <c r="BI74" i="27"/>
  <c r="BJ73" i="27"/>
  <c r="BI73" i="27"/>
  <c r="BJ72" i="27"/>
  <c r="BI72" i="27"/>
  <c r="BJ71" i="27"/>
  <c r="BI71" i="27"/>
  <c r="BJ70" i="27"/>
  <c r="BI70" i="27"/>
  <c r="BJ69" i="27"/>
  <c r="BI69" i="27"/>
  <c r="BJ68" i="27"/>
  <c r="BI68" i="27"/>
  <c r="BJ67" i="27"/>
  <c r="BI67" i="27"/>
  <c r="BJ66" i="27"/>
  <c r="BI66" i="27"/>
  <c r="BJ65" i="27"/>
  <c r="BI65" i="27"/>
  <c r="BJ64" i="27"/>
  <c r="BI64" i="27"/>
  <c r="BJ63" i="27"/>
  <c r="BI63" i="27"/>
  <c r="BJ62" i="27"/>
  <c r="BI62" i="27"/>
  <c r="BJ61" i="27"/>
  <c r="BI61" i="27"/>
  <c r="BJ60" i="27"/>
  <c r="BI60" i="27"/>
  <c r="BJ59" i="27"/>
  <c r="BI59" i="27"/>
  <c r="BJ58" i="27"/>
  <c r="BI58" i="27"/>
  <c r="BJ57" i="27"/>
  <c r="BI57" i="27"/>
  <c r="BJ56" i="27"/>
  <c r="BI56" i="27"/>
  <c r="BJ55" i="27"/>
  <c r="BI55" i="27"/>
  <c r="BJ54" i="27"/>
  <c r="BI54" i="27"/>
  <c r="BJ53" i="27"/>
  <c r="BI53" i="27"/>
  <c r="BJ52" i="27"/>
  <c r="BI52" i="27"/>
  <c r="BJ51" i="27"/>
  <c r="BI51" i="27"/>
  <c r="BJ50" i="27"/>
  <c r="BI50" i="27"/>
  <c r="BJ49" i="27"/>
  <c r="BI49" i="27"/>
  <c r="BJ48" i="27"/>
  <c r="BI48" i="27"/>
  <c r="BJ47" i="27"/>
  <c r="BI47" i="27"/>
  <c r="BJ46" i="27"/>
  <c r="BI46" i="27"/>
  <c r="BJ45" i="27"/>
  <c r="BI45" i="27"/>
  <c r="BJ44" i="27"/>
  <c r="BI44" i="27"/>
  <c r="BJ43" i="27"/>
  <c r="BI43" i="27"/>
  <c r="BJ42" i="27"/>
  <c r="BI42" i="27"/>
  <c r="BJ41" i="27"/>
  <c r="BI41" i="27"/>
  <c r="BJ40" i="27"/>
  <c r="BI40" i="27"/>
  <c r="BJ39" i="27"/>
  <c r="BI39" i="27"/>
  <c r="BJ38" i="27"/>
  <c r="BI38" i="27"/>
  <c r="BJ37" i="27"/>
  <c r="BI37" i="27"/>
  <c r="BJ36" i="27"/>
  <c r="BI36" i="27"/>
  <c r="BJ35" i="27"/>
  <c r="BI35" i="27"/>
  <c r="BJ34" i="27"/>
  <c r="BI34" i="27"/>
  <c r="BJ33" i="27"/>
  <c r="BI33" i="27"/>
  <c r="BJ32" i="27"/>
  <c r="BI32" i="27"/>
  <c r="BJ31" i="27"/>
  <c r="BI31" i="27"/>
  <c r="BJ30" i="27"/>
  <c r="BI30" i="27"/>
  <c r="BJ29" i="27"/>
  <c r="BI29" i="27"/>
  <c r="BJ28" i="27"/>
  <c r="BI28" i="27"/>
  <c r="BJ27" i="27"/>
  <c r="BI27" i="27"/>
  <c r="BJ26" i="27"/>
  <c r="BI26" i="27"/>
  <c r="BJ25" i="27"/>
  <c r="BI25" i="27"/>
  <c r="BJ24" i="27"/>
  <c r="BI24" i="27"/>
  <c r="BJ23" i="27"/>
  <c r="BI23" i="27"/>
  <c r="BJ22" i="27"/>
  <c r="BI22" i="27"/>
  <c r="BJ21" i="27"/>
  <c r="BI21" i="27"/>
  <c r="BJ20" i="27"/>
  <c r="BI20" i="27"/>
  <c r="BJ19" i="27"/>
  <c r="BI19" i="27"/>
  <c r="BJ18" i="27"/>
  <c r="BI18" i="27"/>
  <c r="BJ17" i="27"/>
  <c r="BI17" i="27"/>
  <c r="BJ16" i="27"/>
  <c r="BI16" i="27"/>
  <c r="BJ15" i="27"/>
  <c r="BI15" i="27"/>
  <c r="BJ14" i="27"/>
  <c r="BI14" i="27"/>
  <c r="BJ13" i="27"/>
  <c r="BI13" i="27"/>
  <c r="BJ12" i="27"/>
  <c r="BI12" i="27"/>
  <c r="BJ11" i="27"/>
  <c r="BI11" i="27"/>
  <c r="BJ10" i="27"/>
  <c r="BI10" i="27"/>
  <c r="BJ9" i="27"/>
  <c r="BI9" i="27"/>
  <c r="BJ8" i="27"/>
  <c r="BI8" i="27"/>
  <c r="BJ7" i="27"/>
  <c r="BI7" i="27"/>
  <c r="BJ6" i="27"/>
  <c r="BI6" i="27"/>
  <c r="BM365" i="27" l="1"/>
  <c r="BM364" i="27"/>
  <c r="BM363" i="27"/>
  <c r="BM362" i="27"/>
  <c r="BM361" i="27"/>
  <c r="BM360" i="27"/>
  <c r="BM359" i="27"/>
  <c r="BM358" i="27"/>
  <c r="BM357" i="27"/>
  <c r="BM356" i="27"/>
  <c r="BM355" i="27"/>
  <c r="BM354" i="27"/>
  <c r="BM353" i="27"/>
  <c r="BM352" i="27"/>
  <c r="BM351" i="27"/>
  <c r="BM350" i="27"/>
  <c r="BM349" i="27"/>
  <c r="BM348" i="27"/>
  <c r="BM347" i="27"/>
  <c r="BM346" i="27"/>
  <c r="BM345" i="27"/>
  <c r="BM344" i="27"/>
  <c r="BM343" i="27"/>
  <c r="BM342" i="27"/>
  <c r="BM341" i="27"/>
  <c r="BM340" i="27"/>
  <c r="BM339" i="27"/>
  <c r="BM338" i="27"/>
  <c r="BM337" i="27"/>
  <c r="BM336" i="27"/>
  <c r="BM335" i="27"/>
  <c r="BM334" i="27"/>
  <c r="BM333" i="27"/>
  <c r="BM332" i="27"/>
  <c r="BM331" i="27"/>
  <c r="BM330" i="27"/>
  <c r="BM329" i="27"/>
  <c r="BM328" i="27"/>
  <c r="BM327" i="27"/>
  <c r="BM326" i="27"/>
  <c r="BM325" i="27"/>
  <c r="BM324" i="27"/>
  <c r="BM323" i="27"/>
  <c r="BM322" i="27"/>
  <c r="BM321" i="27"/>
  <c r="BM320" i="27"/>
  <c r="BM319" i="27"/>
  <c r="BM318" i="27"/>
  <c r="BM317" i="27"/>
  <c r="BM316" i="27"/>
  <c r="BM315" i="27"/>
  <c r="BM314" i="27"/>
  <c r="BM313" i="27"/>
  <c r="BM312" i="27"/>
  <c r="BM311" i="27"/>
  <c r="BM310" i="27"/>
  <c r="BM309" i="27"/>
  <c r="BM308" i="27"/>
  <c r="BM307" i="27"/>
  <c r="BM306" i="27"/>
  <c r="BM305" i="27"/>
  <c r="BM304" i="27"/>
  <c r="BM303" i="27"/>
  <c r="BM302" i="27"/>
  <c r="BM301" i="27"/>
  <c r="BM300" i="27"/>
  <c r="BM299" i="27"/>
  <c r="BM298" i="27"/>
  <c r="BM297" i="27"/>
  <c r="BM296" i="27"/>
  <c r="BM295" i="27"/>
  <c r="BM294" i="27"/>
  <c r="BM293" i="27"/>
  <c r="BM292" i="27"/>
  <c r="BM291" i="27"/>
  <c r="BM290" i="27"/>
  <c r="BM289" i="27"/>
  <c r="BM288" i="27"/>
  <c r="BM287" i="27"/>
  <c r="BM286" i="27"/>
  <c r="BM285" i="27"/>
  <c r="BM284" i="27"/>
  <c r="BM283" i="27"/>
  <c r="BM282" i="27"/>
  <c r="BM281" i="27"/>
  <c r="BM280" i="27"/>
  <c r="BM279" i="27"/>
  <c r="BM278" i="27"/>
  <c r="BM277" i="27"/>
  <c r="BM276" i="27"/>
  <c r="BM275" i="27"/>
  <c r="BM274" i="27"/>
  <c r="BM273" i="27"/>
  <c r="BM272" i="27"/>
  <c r="BM271" i="27"/>
  <c r="BM270" i="27"/>
  <c r="BM269" i="27"/>
  <c r="BM268" i="27"/>
  <c r="BM267" i="27"/>
  <c r="BM266" i="27"/>
  <c r="BM265" i="27"/>
  <c r="BM264" i="27"/>
  <c r="BM263" i="27"/>
  <c r="BM262" i="27"/>
  <c r="BM261" i="27"/>
  <c r="BM260" i="27"/>
  <c r="BM259" i="27"/>
  <c r="BM258" i="27"/>
  <c r="BM257" i="27"/>
  <c r="BM256" i="27"/>
  <c r="BM255" i="27"/>
  <c r="BM254" i="27"/>
  <c r="BM253" i="27"/>
  <c r="BM252" i="27"/>
  <c r="BM251" i="27"/>
  <c r="BM250" i="27"/>
  <c r="BM249" i="27"/>
  <c r="BM248" i="27"/>
  <c r="BM247" i="27"/>
  <c r="BM246" i="27"/>
  <c r="BM245" i="27"/>
  <c r="BM244" i="27"/>
  <c r="BM243" i="27"/>
  <c r="BM242" i="27"/>
  <c r="BM241" i="27"/>
  <c r="BM240" i="27"/>
  <c r="BM239" i="27"/>
  <c r="BM238" i="27"/>
  <c r="BM237" i="27"/>
  <c r="BM236" i="27"/>
  <c r="BM235" i="27"/>
  <c r="BM234" i="27"/>
  <c r="BM233" i="27"/>
  <c r="BM232" i="27"/>
  <c r="BM231" i="27"/>
  <c r="BM230" i="27"/>
  <c r="BM229" i="27"/>
  <c r="BM228" i="27"/>
  <c r="BM227" i="27"/>
  <c r="BM226" i="27"/>
  <c r="BM225" i="27"/>
  <c r="BM224" i="27"/>
  <c r="BM223" i="27"/>
  <c r="BM222" i="27"/>
  <c r="BM221" i="27"/>
  <c r="BM220" i="27"/>
  <c r="BM219" i="27"/>
  <c r="BM218" i="27"/>
  <c r="BM217" i="27"/>
  <c r="BM216" i="27"/>
  <c r="BM215" i="27"/>
  <c r="BM214" i="27"/>
  <c r="BM213" i="27"/>
  <c r="BM212" i="27"/>
  <c r="BM211" i="27"/>
  <c r="BM210" i="27"/>
  <c r="BM209" i="27"/>
  <c r="BM208" i="27"/>
  <c r="BM207" i="27"/>
  <c r="BM206" i="27"/>
  <c r="BM205" i="27"/>
  <c r="BM204" i="27"/>
  <c r="BM203" i="27"/>
  <c r="BM202" i="27"/>
  <c r="BM201" i="27"/>
  <c r="BM200" i="27"/>
  <c r="BM199" i="27"/>
  <c r="BM198" i="27"/>
  <c r="BM197" i="27"/>
  <c r="BM196" i="27"/>
  <c r="BM195" i="27"/>
  <c r="BM194" i="27"/>
  <c r="BM193" i="27"/>
  <c r="BM192" i="27"/>
  <c r="BM191" i="27"/>
  <c r="BM190" i="27"/>
  <c r="BM189" i="27"/>
  <c r="BM188" i="27"/>
  <c r="BM187" i="27"/>
  <c r="BM186" i="27"/>
  <c r="BM185" i="27"/>
  <c r="BM184" i="27"/>
  <c r="BM183" i="27"/>
  <c r="BM182" i="27"/>
  <c r="BM181" i="27"/>
  <c r="BM180" i="27"/>
  <c r="BM179" i="27"/>
  <c r="BM178" i="27"/>
  <c r="BM177" i="27"/>
  <c r="BM176" i="27"/>
  <c r="BM175" i="27"/>
  <c r="BM174" i="27"/>
  <c r="BM173" i="27"/>
  <c r="BM172" i="27"/>
  <c r="BM171" i="27"/>
  <c r="BM170" i="27"/>
  <c r="BM169" i="27"/>
  <c r="BM168" i="27"/>
  <c r="BM167" i="27"/>
  <c r="BM166" i="27"/>
  <c r="BM165" i="27"/>
  <c r="BM164" i="27"/>
  <c r="BM163" i="27"/>
  <c r="BM162" i="27"/>
  <c r="BM161" i="27"/>
  <c r="BM160" i="27"/>
  <c r="BM159" i="27"/>
  <c r="BM158" i="27"/>
  <c r="BM157" i="27"/>
  <c r="BM156" i="27"/>
  <c r="BM155" i="27"/>
  <c r="BM154" i="27"/>
  <c r="BM153" i="27"/>
  <c r="BM152" i="27"/>
  <c r="BM151" i="27"/>
  <c r="BM150" i="27"/>
  <c r="BM149" i="27"/>
  <c r="BM148" i="27"/>
  <c r="BM147" i="27"/>
  <c r="BM146" i="27"/>
  <c r="BM145" i="27"/>
  <c r="BM144" i="27"/>
  <c r="BM143" i="27"/>
  <c r="BM142" i="27"/>
  <c r="BM141" i="27"/>
  <c r="BM140" i="27"/>
  <c r="BM139" i="27"/>
  <c r="BM138" i="27"/>
  <c r="BM137" i="27"/>
  <c r="BM136" i="27"/>
  <c r="BM135" i="27"/>
  <c r="BM134" i="27"/>
  <c r="BM133" i="27"/>
  <c r="BM132" i="27"/>
  <c r="BM131" i="27"/>
  <c r="BM130" i="27"/>
  <c r="BM129" i="27"/>
  <c r="BM128" i="27"/>
  <c r="BM127" i="27"/>
  <c r="BM126" i="27"/>
  <c r="BM125" i="27"/>
  <c r="BM124" i="27"/>
  <c r="BM123" i="27"/>
  <c r="BM122" i="27"/>
  <c r="BM121" i="27"/>
  <c r="BM120" i="27"/>
  <c r="BM119" i="27"/>
  <c r="BM118" i="27"/>
  <c r="BM117" i="27"/>
  <c r="BM116" i="27"/>
  <c r="BM115" i="27"/>
  <c r="BM114" i="27"/>
  <c r="BM113" i="27"/>
  <c r="BM112" i="27"/>
  <c r="BM111" i="27"/>
  <c r="BM110" i="27"/>
  <c r="BM109" i="27"/>
  <c r="BM108" i="27"/>
  <c r="BM107" i="27"/>
  <c r="BM106" i="27"/>
  <c r="BM105" i="27"/>
  <c r="BM104" i="27"/>
  <c r="BM103" i="27"/>
  <c r="BM102" i="27"/>
  <c r="BM101" i="27"/>
  <c r="BM100" i="27"/>
  <c r="BM99" i="27"/>
  <c r="BM98" i="27"/>
  <c r="BM97" i="27"/>
  <c r="BM96" i="27"/>
  <c r="BM95" i="27"/>
  <c r="BM94" i="27"/>
  <c r="BM93" i="27"/>
  <c r="BM92" i="27"/>
  <c r="BM91" i="27"/>
  <c r="BM90" i="27"/>
  <c r="BM89" i="27"/>
  <c r="BM88" i="27"/>
  <c r="BM87" i="27"/>
  <c r="BM86" i="27"/>
  <c r="BM85" i="27"/>
  <c r="BM84" i="27"/>
  <c r="BM83" i="27"/>
  <c r="BM82" i="27"/>
  <c r="BM81" i="27"/>
  <c r="BM80" i="27"/>
  <c r="BM79" i="27"/>
  <c r="BM78" i="27"/>
  <c r="BM77" i="27"/>
  <c r="BM76" i="27"/>
  <c r="BM75" i="27"/>
  <c r="BM74" i="27"/>
  <c r="BM73" i="27"/>
  <c r="BM72" i="27"/>
  <c r="BM71" i="27"/>
  <c r="BM70" i="27"/>
  <c r="BM69" i="27"/>
  <c r="BM68" i="27"/>
  <c r="BM67" i="27"/>
  <c r="BM66" i="27"/>
  <c r="BM65" i="27"/>
  <c r="BM64" i="27"/>
  <c r="BM63" i="27"/>
  <c r="BM62" i="27"/>
  <c r="BM61" i="27"/>
  <c r="BM60" i="27"/>
  <c r="BM59" i="27"/>
  <c r="BM58" i="27"/>
  <c r="BM57" i="27"/>
  <c r="BM56" i="27"/>
  <c r="BM55" i="27"/>
  <c r="BM54" i="27"/>
  <c r="BM53" i="27"/>
  <c r="BM52" i="27"/>
  <c r="BM51" i="27"/>
  <c r="BM50" i="27"/>
  <c r="BM49" i="27"/>
  <c r="BM48" i="27"/>
  <c r="BM47" i="27"/>
  <c r="BM46" i="27"/>
  <c r="BM45" i="27"/>
  <c r="BM44" i="27"/>
  <c r="BM43" i="27"/>
  <c r="BM42" i="27"/>
  <c r="BM41" i="27"/>
  <c r="BM40" i="27"/>
  <c r="BM39" i="27"/>
  <c r="BM38" i="27"/>
  <c r="BM37" i="27"/>
  <c r="BM36" i="27"/>
  <c r="BM35" i="27"/>
  <c r="BM34" i="27"/>
  <c r="BM33" i="27"/>
  <c r="BM32" i="27"/>
  <c r="BM31" i="27"/>
  <c r="BM30" i="27"/>
  <c r="BM29" i="27"/>
  <c r="BM28" i="27"/>
  <c r="BM27" i="27"/>
  <c r="BM26" i="27"/>
  <c r="BM25" i="27"/>
  <c r="BM24" i="27"/>
  <c r="BM23" i="27"/>
  <c r="BM22" i="27"/>
  <c r="BM21" i="27"/>
  <c r="BM20" i="27"/>
  <c r="BM19" i="27"/>
  <c r="BM18" i="27"/>
  <c r="BM17" i="27"/>
  <c r="BM16" i="27"/>
  <c r="BM15" i="27"/>
  <c r="BM14" i="27"/>
  <c r="BM13" i="27"/>
  <c r="BM12" i="27"/>
  <c r="BM11" i="27"/>
  <c r="BM10" i="27"/>
  <c r="BM9" i="27"/>
  <c r="BM8" i="27"/>
  <c r="BM7" i="27"/>
  <c r="BM6" i="27"/>
  <c r="BQ365" i="27"/>
  <c r="BQ364" i="27"/>
  <c r="BQ363" i="27"/>
  <c r="BQ362" i="27"/>
  <c r="BQ361" i="27"/>
  <c r="BQ360" i="27"/>
  <c r="BQ359" i="27"/>
  <c r="BQ358" i="27"/>
  <c r="BQ357" i="27"/>
  <c r="BQ356" i="27"/>
  <c r="BQ355" i="27"/>
  <c r="BQ354" i="27"/>
  <c r="BQ353" i="27"/>
  <c r="BQ352" i="27"/>
  <c r="BQ351" i="27"/>
  <c r="BQ350" i="27"/>
  <c r="BQ349" i="27"/>
  <c r="BQ348" i="27"/>
  <c r="BQ347" i="27"/>
  <c r="BQ346" i="27"/>
  <c r="BQ345" i="27"/>
  <c r="BQ344" i="27"/>
  <c r="BQ343" i="27"/>
  <c r="BQ342" i="27"/>
  <c r="BQ341" i="27"/>
  <c r="BQ340" i="27"/>
  <c r="BQ339" i="27"/>
  <c r="BQ338" i="27"/>
  <c r="BQ337" i="27"/>
  <c r="BQ336" i="27"/>
  <c r="BQ335" i="27"/>
  <c r="BQ334" i="27"/>
  <c r="BQ333" i="27"/>
  <c r="BQ332" i="27"/>
  <c r="BQ331" i="27"/>
  <c r="BQ330" i="27"/>
  <c r="BQ329" i="27"/>
  <c r="BQ328" i="27"/>
  <c r="BQ327" i="27"/>
  <c r="BQ326" i="27"/>
  <c r="BQ325" i="27"/>
  <c r="BQ324" i="27"/>
  <c r="BQ323" i="27"/>
  <c r="BQ322" i="27"/>
  <c r="BQ321" i="27"/>
  <c r="BQ320" i="27"/>
  <c r="BQ319" i="27"/>
  <c r="BQ318" i="27"/>
  <c r="BQ317" i="27"/>
  <c r="BQ316" i="27"/>
  <c r="BQ315" i="27"/>
  <c r="BQ314" i="27"/>
  <c r="BQ313" i="27"/>
  <c r="BQ312" i="27"/>
  <c r="BQ311" i="27"/>
  <c r="BQ310" i="27"/>
  <c r="BQ309" i="27"/>
  <c r="BQ308" i="27"/>
  <c r="BQ307" i="27"/>
  <c r="BQ306" i="27"/>
  <c r="BQ305" i="27"/>
  <c r="BQ304" i="27"/>
  <c r="BQ303" i="27"/>
  <c r="BQ302" i="27"/>
  <c r="BQ301" i="27"/>
  <c r="BQ300" i="27"/>
  <c r="BQ299" i="27"/>
  <c r="BQ298" i="27"/>
  <c r="BQ297" i="27"/>
  <c r="BQ296" i="27"/>
  <c r="BQ295" i="27"/>
  <c r="BQ294" i="27"/>
  <c r="BQ293" i="27"/>
  <c r="BQ292" i="27"/>
  <c r="BQ291" i="27"/>
  <c r="BQ290" i="27"/>
  <c r="BQ289" i="27"/>
  <c r="BQ288" i="27"/>
  <c r="BQ287" i="27"/>
  <c r="BQ286" i="27"/>
  <c r="BQ285" i="27"/>
  <c r="BQ284" i="27"/>
  <c r="BQ283" i="27"/>
  <c r="BQ282" i="27"/>
  <c r="BQ281" i="27"/>
  <c r="BQ280" i="27"/>
  <c r="BQ279" i="27"/>
  <c r="BQ278" i="27"/>
  <c r="BQ277" i="27"/>
  <c r="BQ276" i="27"/>
  <c r="BQ275" i="27"/>
  <c r="BQ274" i="27"/>
  <c r="BQ273" i="27"/>
  <c r="BQ272" i="27"/>
  <c r="BQ271" i="27"/>
  <c r="BQ270" i="27"/>
  <c r="BQ269" i="27"/>
  <c r="BQ268" i="27"/>
  <c r="BQ267" i="27"/>
  <c r="BQ266" i="27"/>
  <c r="BQ265" i="27"/>
  <c r="BQ264" i="27"/>
  <c r="BQ263" i="27"/>
  <c r="BQ262" i="27"/>
  <c r="BQ261" i="27"/>
  <c r="BQ260" i="27"/>
  <c r="BQ259" i="27"/>
  <c r="BQ258" i="27"/>
  <c r="BQ257" i="27"/>
  <c r="BQ256" i="27"/>
  <c r="BQ255" i="27"/>
  <c r="BQ254" i="27"/>
  <c r="BQ253" i="27"/>
  <c r="BQ252" i="27"/>
  <c r="BQ251" i="27"/>
  <c r="BQ250" i="27"/>
  <c r="BQ249" i="27"/>
  <c r="BQ248" i="27"/>
  <c r="BQ247" i="27"/>
  <c r="BQ246" i="27"/>
  <c r="BQ245" i="27"/>
  <c r="BQ244" i="27"/>
  <c r="BQ243" i="27"/>
  <c r="BQ242" i="27"/>
  <c r="BQ241" i="27"/>
  <c r="BQ240" i="27"/>
  <c r="BQ239" i="27"/>
  <c r="BQ238" i="27"/>
  <c r="BQ237" i="27"/>
  <c r="BQ236" i="27"/>
  <c r="BQ235" i="27"/>
  <c r="BQ234" i="27"/>
  <c r="BQ233" i="27"/>
  <c r="BQ232" i="27"/>
  <c r="BQ231" i="27"/>
  <c r="BQ230" i="27"/>
  <c r="BQ229" i="27"/>
  <c r="BQ228" i="27"/>
  <c r="BQ227" i="27"/>
  <c r="BQ226" i="27"/>
  <c r="BQ225" i="27"/>
  <c r="BQ224" i="27"/>
  <c r="BQ223" i="27"/>
  <c r="BQ222" i="27"/>
  <c r="BQ221" i="27"/>
  <c r="BQ220" i="27"/>
  <c r="BQ219" i="27"/>
  <c r="BQ218" i="27"/>
  <c r="BQ217" i="27"/>
  <c r="BQ216" i="27"/>
  <c r="BQ215" i="27"/>
  <c r="BQ214" i="27"/>
  <c r="BQ213" i="27"/>
  <c r="BQ212" i="27"/>
  <c r="BQ211" i="27"/>
  <c r="BQ210" i="27"/>
  <c r="BQ209" i="27"/>
  <c r="BQ208" i="27"/>
  <c r="BQ207" i="27"/>
  <c r="BQ206" i="27"/>
  <c r="BQ205" i="27"/>
  <c r="BQ204" i="27"/>
  <c r="BQ203" i="27"/>
  <c r="BQ202" i="27"/>
  <c r="BQ201" i="27"/>
  <c r="BQ200" i="27"/>
  <c r="BQ199" i="27"/>
  <c r="BQ198" i="27"/>
  <c r="BQ197" i="27"/>
  <c r="BQ196" i="27"/>
  <c r="BQ195" i="27"/>
  <c r="BQ194" i="27"/>
  <c r="BQ193" i="27"/>
  <c r="BQ192" i="27"/>
  <c r="BQ191" i="27"/>
  <c r="BQ190" i="27"/>
  <c r="BQ189" i="27"/>
  <c r="BQ188" i="27"/>
  <c r="BQ187" i="27"/>
  <c r="BQ186" i="27"/>
  <c r="BQ185" i="27"/>
  <c r="BQ184" i="27"/>
  <c r="BQ183" i="27"/>
  <c r="BQ182" i="27"/>
  <c r="BQ181" i="27"/>
  <c r="BQ180" i="27"/>
  <c r="BQ179" i="27"/>
  <c r="BQ178" i="27"/>
  <c r="BQ177" i="27"/>
  <c r="BQ176" i="27"/>
  <c r="BQ175" i="27"/>
  <c r="BQ174" i="27"/>
  <c r="BQ173" i="27"/>
  <c r="BQ172" i="27"/>
  <c r="BQ171" i="27"/>
  <c r="BQ170" i="27"/>
  <c r="BQ169" i="27"/>
  <c r="BQ168" i="27"/>
  <c r="BQ167" i="27"/>
  <c r="BQ166" i="27"/>
  <c r="BQ165" i="27"/>
  <c r="BQ164" i="27"/>
  <c r="BQ163" i="27"/>
  <c r="BQ162" i="27"/>
  <c r="BQ161" i="27"/>
  <c r="BQ160" i="27"/>
  <c r="BQ159" i="27"/>
  <c r="BQ158" i="27"/>
  <c r="BQ157" i="27"/>
  <c r="BQ156" i="27"/>
  <c r="BQ155" i="27"/>
  <c r="BQ154" i="27"/>
  <c r="BQ153" i="27"/>
  <c r="BQ152" i="27"/>
  <c r="BQ151" i="27"/>
  <c r="BQ150" i="27"/>
  <c r="BQ149" i="27"/>
  <c r="BQ148" i="27"/>
  <c r="BQ147" i="27"/>
  <c r="BQ146" i="27"/>
  <c r="BQ145" i="27"/>
  <c r="BQ144" i="27"/>
  <c r="BQ143" i="27"/>
  <c r="BQ142" i="27"/>
  <c r="BQ141" i="27"/>
  <c r="BQ140" i="27"/>
  <c r="BQ139" i="27"/>
  <c r="BQ138" i="27"/>
  <c r="BQ137" i="27"/>
  <c r="BQ136" i="27"/>
  <c r="BQ135" i="27"/>
  <c r="BQ134" i="27"/>
  <c r="BQ133" i="27"/>
  <c r="BQ132" i="27"/>
  <c r="BQ131" i="27"/>
  <c r="BQ130" i="27"/>
  <c r="BQ129" i="27"/>
  <c r="BQ128" i="27"/>
  <c r="BQ127" i="27"/>
  <c r="BQ126" i="27"/>
  <c r="BQ125" i="27"/>
  <c r="BQ124" i="27"/>
  <c r="BQ123" i="27"/>
  <c r="BQ122" i="27"/>
  <c r="BQ121" i="27"/>
  <c r="BQ120" i="27"/>
  <c r="BQ119" i="27"/>
  <c r="BQ118" i="27"/>
  <c r="BQ117" i="27"/>
  <c r="BQ116" i="27"/>
  <c r="BQ115" i="27"/>
  <c r="BQ114" i="27"/>
  <c r="BQ113" i="27"/>
  <c r="BQ112" i="27"/>
  <c r="BQ111" i="27"/>
  <c r="BQ110" i="27"/>
  <c r="BQ109" i="27"/>
  <c r="BQ108" i="27"/>
  <c r="BQ107" i="27"/>
  <c r="BQ106" i="27"/>
  <c r="BQ105" i="27"/>
  <c r="BQ104" i="27"/>
  <c r="BQ103" i="27"/>
  <c r="BQ102" i="27"/>
  <c r="BQ101" i="27"/>
  <c r="BQ100" i="27"/>
  <c r="BQ99" i="27"/>
  <c r="BQ98" i="27"/>
  <c r="BQ97" i="27"/>
  <c r="BQ96" i="27"/>
  <c r="BQ95" i="27"/>
  <c r="BQ94" i="27"/>
  <c r="BQ93" i="27"/>
  <c r="BQ92" i="27"/>
  <c r="BQ91" i="27"/>
  <c r="BQ90" i="27"/>
  <c r="BQ89" i="27"/>
  <c r="BQ88" i="27"/>
  <c r="BQ87" i="27"/>
  <c r="BQ86" i="27"/>
  <c r="BQ85" i="27"/>
  <c r="BQ84" i="27"/>
  <c r="BQ83" i="27"/>
  <c r="BQ82" i="27"/>
  <c r="BQ81" i="27"/>
  <c r="BQ80" i="27"/>
  <c r="BQ79" i="27"/>
  <c r="BQ78" i="27"/>
  <c r="BQ77" i="27"/>
  <c r="BQ76" i="27"/>
  <c r="BQ75" i="27"/>
  <c r="BQ74" i="27"/>
  <c r="BQ73" i="27"/>
  <c r="BQ72" i="27"/>
  <c r="BQ71" i="27"/>
  <c r="BQ70" i="27"/>
  <c r="BQ69" i="27"/>
  <c r="BQ68" i="27"/>
  <c r="BQ67" i="27"/>
  <c r="BQ66" i="27"/>
  <c r="BQ65" i="27"/>
  <c r="BQ64" i="27"/>
  <c r="BQ63" i="27"/>
  <c r="BQ62" i="27"/>
  <c r="BQ61" i="27"/>
  <c r="BQ60" i="27"/>
  <c r="BQ59" i="27"/>
  <c r="BQ58" i="27"/>
  <c r="BQ57" i="27"/>
  <c r="BQ56" i="27"/>
  <c r="BQ55" i="27"/>
  <c r="BQ54" i="27"/>
  <c r="BQ53" i="27"/>
  <c r="BQ52" i="27"/>
  <c r="BQ51" i="27"/>
  <c r="BQ50" i="27"/>
  <c r="BQ49" i="27"/>
  <c r="BQ48" i="27"/>
  <c r="BQ47" i="27"/>
  <c r="BQ46" i="27"/>
  <c r="BQ45" i="27"/>
  <c r="BQ44" i="27"/>
  <c r="BQ43" i="27"/>
  <c r="BQ42" i="27"/>
  <c r="BQ41" i="27"/>
  <c r="BQ40" i="27"/>
  <c r="BQ39" i="27"/>
  <c r="BQ38" i="27"/>
  <c r="BQ37" i="27"/>
  <c r="BQ36" i="27"/>
  <c r="BQ35" i="27"/>
  <c r="BQ34" i="27"/>
  <c r="BQ33" i="27"/>
  <c r="BQ32" i="27"/>
  <c r="BQ31" i="27"/>
  <c r="BQ30" i="27"/>
  <c r="BQ29" i="27"/>
  <c r="BQ28" i="27"/>
  <c r="BQ27" i="27"/>
  <c r="BQ26" i="27"/>
  <c r="BQ25" i="27"/>
  <c r="BQ24" i="27"/>
  <c r="BQ23" i="27"/>
  <c r="BQ22" i="27"/>
  <c r="BQ21" i="27"/>
  <c r="BQ20" i="27"/>
  <c r="BQ19" i="27"/>
  <c r="BQ18" i="27"/>
  <c r="BQ17" i="27"/>
  <c r="BQ16" i="27"/>
  <c r="BQ15" i="27"/>
  <c r="BQ14" i="27"/>
  <c r="BQ13" i="27"/>
  <c r="BQ12" i="27"/>
  <c r="BQ11" i="27"/>
  <c r="BQ10" i="27"/>
  <c r="BQ9" i="27"/>
  <c r="BQ8" i="27"/>
  <c r="BL7" i="27"/>
  <c r="BL8" i="27" s="1"/>
  <c r="BL9" i="27" s="1"/>
  <c r="BQ7" i="27"/>
  <c r="BL10" i="27" l="1"/>
  <c r="BL11" i="27" l="1"/>
  <c r="BL12" i="27" l="1"/>
  <c r="BL13" i="27" l="1"/>
  <c r="BL14" i="27" l="1"/>
  <c r="BL15" i="27" l="1"/>
  <c r="BL16" i="27" l="1"/>
  <c r="BL17" i="27" l="1"/>
  <c r="BL18" i="27" l="1"/>
  <c r="BL19" i="27" l="1"/>
  <c r="BL20" i="27" l="1"/>
  <c r="BL21" i="27" l="1"/>
  <c r="BL22" i="27" l="1"/>
  <c r="BL23" i="27" l="1"/>
  <c r="BL24" i="27" l="1"/>
  <c r="BL25" i="27" l="1"/>
  <c r="BL26" i="27" l="1"/>
  <c r="BL27" i="27" l="1"/>
  <c r="BL28" i="27" l="1"/>
  <c r="BL29" i="27" l="1"/>
  <c r="BL30" i="27" l="1"/>
  <c r="BL31" i="27" l="1"/>
  <c r="BL32" i="27" l="1"/>
  <c r="BL33" i="27" l="1"/>
  <c r="BL34" i="27" l="1"/>
  <c r="BL35" i="27" l="1"/>
  <c r="BL36" i="27" l="1"/>
  <c r="BL37" i="27" l="1"/>
  <c r="BL38" i="27" l="1"/>
  <c r="BL39" i="27" l="1"/>
  <c r="BL40" i="27" l="1"/>
  <c r="BL41" i="27" l="1"/>
  <c r="BL42" i="27" l="1"/>
  <c r="BL43" i="27" l="1"/>
  <c r="BL44" i="27" l="1"/>
  <c r="BL45" i="27" l="1"/>
  <c r="BL46" i="27" l="1"/>
  <c r="BL47" i="27" l="1"/>
  <c r="BL48" i="27" l="1"/>
  <c r="BL49" i="27" l="1"/>
  <c r="BL50" i="27" l="1"/>
  <c r="BL51" i="27" l="1"/>
  <c r="BL52" i="27" l="1"/>
  <c r="BL53" i="27" l="1"/>
  <c r="BL54" i="27" l="1"/>
  <c r="BL55" i="27" l="1"/>
  <c r="BL56" i="27" l="1"/>
  <c r="BL57" i="27" l="1"/>
  <c r="BL58" i="27" l="1"/>
  <c r="BL59" i="27" l="1"/>
  <c r="BL60" i="27" l="1"/>
  <c r="BL61" i="27" l="1"/>
  <c r="BL62" i="27" l="1"/>
  <c r="BL63" i="27" l="1"/>
  <c r="BL64" i="27" l="1"/>
  <c r="BL65" i="27" l="1"/>
  <c r="BL66" i="27" l="1"/>
  <c r="BL67" i="27" l="1"/>
  <c r="BL68" i="27" l="1"/>
  <c r="BL69" i="27" l="1"/>
  <c r="BL70" i="27" l="1"/>
  <c r="BL71" i="27" l="1"/>
  <c r="BL72" i="27" l="1"/>
  <c r="BL73" i="27" l="1"/>
  <c r="BL74" i="27" l="1"/>
  <c r="BL75" i="27" l="1"/>
  <c r="BL76" i="27" l="1"/>
  <c r="BL77" i="27" l="1"/>
  <c r="BL78" i="27" l="1"/>
  <c r="BL79" i="27" l="1"/>
  <c r="BL80" i="27" l="1"/>
  <c r="BL81" i="27" l="1"/>
  <c r="BQ6" i="27"/>
  <c r="BL82" i="27" l="1"/>
  <c r="BL83" i="27" l="1"/>
  <c r="BL84" i="27" l="1"/>
  <c r="BL85" i="27" l="1"/>
  <c r="BL86" i="27" l="1"/>
  <c r="BL87" i="27" l="1"/>
  <c r="BL88" i="27" l="1"/>
  <c r="BL89" i="27" l="1"/>
  <c r="BL90" i="27" l="1"/>
  <c r="BL91" i="27" l="1"/>
  <c r="BL92" i="27" l="1"/>
  <c r="BL93" i="27" l="1"/>
  <c r="BL94" i="27" l="1"/>
  <c r="BL95" i="27" l="1"/>
  <c r="BL96" i="27" l="1"/>
  <c r="BL97" i="27" l="1"/>
  <c r="BL98" i="27" l="1"/>
  <c r="BL99" i="27" l="1"/>
  <c r="BL100" i="27" l="1"/>
  <c r="BL101" i="27" l="1"/>
  <c r="BL102" i="27" l="1"/>
  <c r="BL103" i="27" l="1"/>
  <c r="BL104" i="27" l="1"/>
  <c r="BL105" i="27" l="1"/>
  <c r="BL106" i="27" l="1"/>
  <c r="BL107" i="27" l="1"/>
  <c r="BL108" i="27" l="1"/>
  <c r="BL109" i="27" l="1"/>
  <c r="BL110" i="27" l="1"/>
  <c r="BL111" i="27" l="1"/>
  <c r="BL112" i="27" l="1"/>
  <c r="BL113" i="27" l="1"/>
  <c r="BL114" i="27" l="1"/>
  <c r="BL115" i="27" l="1"/>
  <c r="BL116" i="27" l="1"/>
  <c r="BL117" i="27" l="1"/>
  <c r="BL118" i="27" l="1"/>
  <c r="BL119" i="27" l="1"/>
  <c r="BL120" i="27" l="1"/>
  <c r="BL121" i="27" l="1"/>
  <c r="BL122" i="27" l="1"/>
  <c r="BL123" i="27" l="1"/>
  <c r="BL124" i="27" l="1"/>
  <c r="BL125" i="27" l="1"/>
  <c r="BL126" i="27" l="1"/>
  <c r="BL127" i="27" l="1"/>
  <c r="BL128" i="27" l="1"/>
  <c r="BL129" i="27" l="1"/>
  <c r="BL130" i="27" l="1"/>
  <c r="BL131" i="27" l="1"/>
  <c r="BL132" i="27" l="1"/>
  <c r="BL133" i="27" l="1"/>
  <c r="BL134" i="27" l="1"/>
  <c r="BL135" i="27" l="1"/>
  <c r="BL136" i="27" l="1"/>
  <c r="BL137" i="27" l="1"/>
  <c r="BL138" i="27" l="1"/>
  <c r="BL139" i="27" l="1"/>
  <c r="BL140" i="27" l="1"/>
  <c r="BL141" i="27" l="1"/>
  <c r="BL142" i="27" l="1"/>
  <c r="BL143" i="27" l="1"/>
  <c r="BL144" i="27" l="1"/>
  <c r="BL145" i="27" l="1"/>
  <c r="BL146" i="27" l="1"/>
  <c r="BL147" i="27" l="1"/>
  <c r="BL148" i="27" l="1"/>
  <c r="BL149" i="27" l="1"/>
  <c r="BL150" i="27" l="1"/>
  <c r="BL151" i="27" l="1"/>
  <c r="BL152" i="27" l="1"/>
  <c r="BL153" i="27" l="1"/>
  <c r="BL154" i="27" l="1"/>
  <c r="BL155" i="27" l="1"/>
  <c r="BL156" i="27" l="1"/>
  <c r="BL157" i="27" l="1"/>
  <c r="BL158" i="27" l="1"/>
  <c r="BL159" i="27" l="1"/>
  <c r="BL160" i="27" l="1"/>
  <c r="BL161" i="27" l="1"/>
  <c r="BL162" i="27" l="1"/>
  <c r="BL163" i="27" l="1"/>
  <c r="BL164" i="27" l="1"/>
  <c r="BL165" i="27" l="1"/>
  <c r="BL166" i="27" l="1"/>
  <c r="BL167" i="27" l="1"/>
  <c r="BL168" i="27" l="1"/>
  <c r="BL169" i="27" l="1"/>
  <c r="BL170" i="27" l="1"/>
  <c r="BL171" i="27" l="1"/>
  <c r="BL172" i="27" l="1"/>
  <c r="BL173" i="27" l="1"/>
  <c r="BL174" i="27" l="1"/>
  <c r="BL175" i="27" l="1"/>
  <c r="BL176" i="27" l="1"/>
  <c r="BL177" i="27" l="1"/>
  <c r="BL178" i="27" l="1"/>
  <c r="BL179" i="27" l="1"/>
  <c r="BL180" i="27" l="1"/>
  <c r="BL181" i="27" l="1"/>
  <c r="BL182" i="27" l="1"/>
  <c r="BL183" i="27" l="1"/>
  <c r="BL184" i="27" l="1"/>
  <c r="BL185" i="27" l="1"/>
  <c r="BL186" i="27" l="1"/>
  <c r="BL187" i="27" l="1"/>
  <c r="BL188" i="27" l="1"/>
  <c r="BL189" i="27" l="1"/>
  <c r="BL190" i="27" l="1"/>
  <c r="BL191" i="27" l="1"/>
  <c r="BL192" i="27" l="1"/>
  <c r="BL193" i="27" l="1"/>
  <c r="BL194" i="27" l="1"/>
  <c r="BL195" i="27" l="1"/>
  <c r="BL196" i="27" l="1"/>
  <c r="BL197" i="27" l="1"/>
  <c r="BL198" i="27" l="1"/>
  <c r="BL199" i="27" l="1"/>
  <c r="BL200" i="27" l="1"/>
  <c r="BL201" i="27" l="1"/>
  <c r="BL202" i="27" l="1"/>
  <c r="BL203" i="27" l="1"/>
  <c r="BL204" i="27" l="1"/>
  <c r="BL205" i="27" l="1"/>
  <c r="BL206" i="27" l="1"/>
  <c r="BL207" i="27" l="1"/>
  <c r="BL208" i="27" l="1"/>
  <c r="BL209" i="27" l="1"/>
  <c r="BL210" i="27" l="1"/>
  <c r="BL211" i="27" l="1"/>
  <c r="BL212" i="27" l="1"/>
  <c r="BL213" i="27" l="1"/>
  <c r="BL214" i="27" l="1"/>
  <c r="BL215" i="27" l="1"/>
  <c r="BL216" i="27" l="1"/>
  <c r="BL217" i="27" l="1"/>
  <c r="BL218" i="27" l="1"/>
  <c r="BL219" i="27" l="1"/>
  <c r="BL220" i="27" l="1"/>
  <c r="BL221" i="27" l="1"/>
  <c r="BL222" i="27" l="1"/>
  <c r="BL223" i="27" l="1"/>
  <c r="BL224" i="27" l="1"/>
  <c r="BL225" i="27" l="1"/>
  <c r="BL226" i="27" l="1"/>
  <c r="BL227" i="27" l="1"/>
  <c r="BL228" i="27" l="1"/>
  <c r="BL229" i="27" l="1"/>
  <c r="BL230" i="27" l="1"/>
  <c r="BL231" i="27" l="1"/>
  <c r="BL232" i="27" l="1"/>
  <c r="BL233" i="27" l="1"/>
  <c r="BL234" i="27" l="1"/>
  <c r="BL235" i="27" l="1"/>
  <c r="BL236" i="27" l="1"/>
  <c r="BL237" i="27" l="1"/>
  <c r="BL238" i="27" l="1"/>
  <c r="BL239" i="27" l="1"/>
  <c r="BL240" i="27" l="1"/>
  <c r="BL241" i="27" l="1"/>
  <c r="BL242" i="27" l="1"/>
  <c r="BL243" i="27" l="1"/>
  <c r="BL244" i="27" l="1"/>
  <c r="BL245" i="27" l="1"/>
  <c r="BL246" i="27" l="1"/>
  <c r="BL247" i="27" l="1"/>
  <c r="BL248" i="27" l="1"/>
  <c r="BL249" i="27" l="1"/>
  <c r="BL250" i="27" l="1"/>
  <c r="BL251" i="27" l="1"/>
  <c r="BL252" i="27" l="1"/>
  <c r="BL253" i="27" l="1"/>
  <c r="BL254" i="27" l="1"/>
  <c r="BL255" i="27" l="1"/>
  <c r="BL256" i="27" l="1"/>
  <c r="BL257" i="27" l="1"/>
  <c r="BL258" i="27" l="1"/>
  <c r="BL259" i="27" l="1"/>
  <c r="BL260" i="27" l="1"/>
  <c r="BV2" i="23"/>
  <c r="BL261" i="27" l="1"/>
  <c r="D9" i="23"/>
  <c r="CF13" i="23"/>
  <c r="CG13" i="23"/>
  <c r="CH13" i="23"/>
  <c r="CI13" i="23"/>
  <c r="CJ13" i="23"/>
  <c r="CK13" i="23"/>
  <c r="CF14" i="23"/>
  <c r="CG14" i="23"/>
  <c r="CH14" i="23"/>
  <c r="CI14" i="23"/>
  <c r="CJ14" i="23"/>
  <c r="CK14" i="23"/>
  <c r="CE14" i="23"/>
  <c r="CE13" i="23"/>
  <c r="BL262" i="27" l="1"/>
  <c r="BM57" i="23"/>
  <c r="BM48" i="23"/>
  <c r="BM39" i="23"/>
  <c r="BM30" i="23"/>
  <c r="BM21" i="23"/>
  <c r="BM12" i="23"/>
  <c r="BM3" i="23"/>
  <c r="BJ6" i="23"/>
  <c r="BJ7" i="23"/>
  <c r="BJ8" i="23"/>
  <c r="BJ9" i="23"/>
  <c r="BJ10" i="23"/>
  <c r="BJ11" i="23"/>
  <c r="BJ5" i="23"/>
  <c r="BI6" i="23"/>
  <c r="BI7" i="23"/>
  <c r="BI8" i="23"/>
  <c r="BI9" i="23"/>
  <c r="BI10" i="23"/>
  <c r="BI11" i="23"/>
  <c r="BI5" i="23"/>
  <c r="BH6" i="23"/>
  <c r="BH7" i="23"/>
  <c r="BH8" i="23"/>
  <c r="BH9" i="23"/>
  <c r="BH10" i="23"/>
  <c r="BH11" i="23"/>
  <c r="BH5" i="23"/>
  <c r="BO5" i="23" l="1"/>
  <c r="BO8" i="23"/>
  <c r="BL263" i="27"/>
  <c r="BO35" i="23"/>
  <c r="BO18" i="23"/>
  <c r="BO50" i="23"/>
  <c r="BO59" i="23"/>
  <c r="BO34" i="23"/>
  <c r="BO24" i="23"/>
  <c r="BO36" i="23"/>
  <c r="BO25" i="23"/>
  <c r="BO41" i="23"/>
  <c r="BO14" i="23"/>
  <c r="BO26" i="23"/>
  <c r="BO9" i="23"/>
  <c r="BO15" i="23"/>
  <c r="BO27" i="23"/>
  <c r="BO7" i="23"/>
  <c r="BO6" i="23"/>
  <c r="BO16" i="23"/>
  <c r="BO32" i="23"/>
  <c r="BO23" i="23"/>
  <c r="BO17" i="23"/>
  <c r="BO33" i="23"/>
  <c r="BL264" i="27" l="1"/>
  <c r="Y6" i="23"/>
  <c r="Y7" i="23"/>
  <c r="Y8" i="23"/>
  <c r="Y9" i="23"/>
  <c r="Y10" i="23"/>
  <c r="Y11" i="23"/>
  <c r="Y5" i="23"/>
  <c r="BL265" i="27" l="1"/>
  <c r="R8" i="26"/>
  <c r="R9" i="26" s="1"/>
  <c r="R10" i="26" s="1"/>
  <c r="R11" i="26" s="1"/>
  <c r="R12" i="26" s="1"/>
  <c r="R13" i="26" s="1"/>
  <c r="R14" i="26" s="1"/>
  <c r="R15" i="26" s="1"/>
  <c r="R16" i="26" s="1"/>
  <c r="R17" i="26" s="1"/>
  <c r="R18" i="26" s="1"/>
  <c r="R19" i="26" s="1"/>
  <c r="R20" i="26" s="1"/>
  <c r="R21" i="26" s="1"/>
  <c r="R22" i="26" s="1"/>
  <c r="R23" i="26" s="1"/>
  <c r="R24" i="26" s="1"/>
  <c r="R25" i="26" s="1"/>
  <c r="R26" i="26" s="1"/>
  <c r="R27" i="26" s="1"/>
  <c r="R28" i="26" s="1"/>
  <c r="R29" i="26" s="1"/>
  <c r="R30" i="26" s="1"/>
  <c r="R31" i="26" s="1"/>
  <c r="R32" i="26" s="1"/>
  <c r="R33" i="26" s="1"/>
  <c r="R34" i="26" s="1"/>
  <c r="R35" i="26" s="1"/>
  <c r="R36" i="26" s="1"/>
  <c r="R37" i="26" s="1"/>
  <c r="R38" i="26" s="1"/>
  <c r="R39" i="26" s="1"/>
  <c r="R40" i="26" s="1"/>
  <c r="R41" i="26" s="1"/>
  <c r="R42" i="26" s="1"/>
  <c r="R43" i="26" s="1"/>
  <c r="R44" i="26" s="1"/>
  <c r="R45" i="26" s="1"/>
  <c r="R46" i="26" s="1"/>
  <c r="R47" i="26" s="1"/>
  <c r="R48" i="26" s="1"/>
  <c r="R49" i="26" s="1"/>
  <c r="R50" i="26" s="1"/>
  <c r="R51" i="26" s="1"/>
  <c r="R52" i="26" s="1"/>
  <c r="R53" i="26" s="1"/>
  <c r="R54" i="26" s="1"/>
  <c r="R55" i="26" s="1"/>
  <c r="R56" i="26" s="1"/>
  <c r="R57" i="26" s="1"/>
  <c r="R58" i="26" s="1"/>
  <c r="R59" i="26" s="1"/>
  <c r="R60" i="26" s="1"/>
  <c r="R61" i="26" s="1"/>
  <c r="R62" i="26" s="1"/>
  <c r="R63" i="26" s="1"/>
  <c r="R64" i="26" s="1"/>
  <c r="R65" i="26" s="1"/>
  <c r="R66" i="26" s="1"/>
  <c r="R67" i="26" s="1"/>
  <c r="R68" i="26" s="1"/>
  <c r="R69" i="26" s="1"/>
  <c r="R70" i="26" s="1"/>
  <c r="R71" i="26" s="1"/>
  <c r="R72" i="26" s="1"/>
  <c r="R73" i="26" s="1"/>
  <c r="R74" i="26" s="1"/>
  <c r="R75" i="26" s="1"/>
  <c r="R76" i="26" s="1"/>
  <c r="R77" i="26" s="1"/>
  <c r="R78" i="26" s="1"/>
  <c r="R79" i="26" s="1"/>
  <c r="R80" i="26" s="1"/>
  <c r="R81" i="26" s="1"/>
  <c r="R82" i="26" s="1"/>
  <c r="R83" i="26" s="1"/>
  <c r="R84" i="26" s="1"/>
  <c r="R85" i="26" s="1"/>
  <c r="R86" i="26" s="1"/>
  <c r="Q8" i="26"/>
  <c r="Q9" i="26" s="1"/>
  <c r="Q10" i="26" s="1"/>
  <c r="Q11" i="26" s="1"/>
  <c r="Q12" i="26" s="1"/>
  <c r="Q13" i="26" s="1"/>
  <c r="Q14" i="26" s="1"/>
  <c r="Q15" i="26" s="1"/>
  <c r="Q16" i="26" s="1"/>
  <c r="Q17" i="26" s="1"/>
  <c r="Q18" i="26" s="1"/>
  <c r="Q19" i="26" s="1"/>
  <c r="Q20" i="26" s="1"/>
  <c r="Q21" i="26" s="1"/>
  <c r="Q22" i="26" s="1"/>
  <c r="Q23" i="26" s="1"/>
  <c r="Q24" i="26" s="1"/>
  <c r="Q25" i="26" s="1"/>
  <c r="Q26" i="26" s="1"/>
  <c r="Q27" i="26" s="1"/>
  <c r="Q28" i="26" s="1"/>
  <c r="Q29" i="26" s="1"/>
  <c r="Q30" i="26" s="1"/>
  <c r="Q31" i="26" s="1"/>
  <c r="Q32" i="26" s="1"/>
  <c r="Q33" i="26" s="1"/>
  <c r="Q34" i="26" s="1"/>
  <c r="Q35" i="26" s="1"/>
  <c r="Q36" i="26" s="1"/>
  <c r="Q37" i="26" s="1"/>
  <c r="Q38" i="26" s="1"/>
  <c r="Q39" i="26" s="1"/>
  <c r="Q40" i="26" s="1"/>
  <c r="Q41" i="26" s="1"/>
  <c r="Q42" i="26" s="1"/>
  <c r="Q43" i="26" s="1"/>
  <c r="Q44" i="26" s="1"/>
  <c r="Q45" i="26" s="1"/>
  <c r="Q46" i="26" s="1"/>
  <c r="Q47" i="26" s="1"/>
  <c r="Q48" i="26" s="1"/>
  <c r="Q49" i="26" s="1"/>
  <c r="Q50" i="26" s="1"/>
  <c r="Q51" i="26" s="1"/>
  <c r="Q52" i="26" s="1"/>
  <c r="Q53" i="26" s="1"/>
  <c r="Q54" i="26" s="1"/>
  <c r="Q55" i="26" s="1"/>
  <c r="Q56" i="26" s="1"/>
  <c r="Q57" i="26" s="1"/>
  <c r="Q58" i="26" s="1"/>
  <c r="Q59" i="26" s="1"/>
  <c r="Q60" i="26" s="1"/>
  <c r="Q61" i="26" s="1"/>
  <c r="Q62" i="26" s="1"/>
  <c r="Q63" i="26" s="1"/>
  <c r="Q64" i="26" s="1"/>
  <c r="Q65" i="26" s="1"/>
  <c r="Q66" i="26" s="1"/>
  <c r="Q67" i="26" s="1"/>
  <c r="Q68" i="26" s="1"/>
  <c r="Q69" i="26" s="1"/>
  <c r="Q70" i="26" s="1"/>
  <c r="Q71" i="26" s="1"/>
  <c r="Q72" i="26" s="1"/>
  <c r="Q73" i="26" s="1"/>
  <c r="Q74" i="26" s="1"/>
  <c r="Q75" i="26" s="1"/>
  <c r="Q76" i="26" s="1"/>
  <c r="Q77" i="26" s="1"/>
  <c r="Q78" i="26" s="1"/>
  <c r="Q79" i="26" s="1"/>
  <c r="Q80" i="26" s="1"/>
  <c r="Q81" i="26" s="1"/>
  <c r="Q82" i="26" s="1"/>
  <c r="Q83" i="26" s="1"/>
  <c r="Q84" i="26" s="1"/>
  <c r="Q85" i="26" s="1"/>
  <c r="Q86" i="26" s="1"/>
  <c r="P8" i="26"/>
  <c r="P9" i="26" s="1"/>
  <c r="P10" i="26" s="1"/>
  <c r="P11" i="26" s="1"/>
  <c r="P12" i="26" s="1"/>
  <c r="P13" i="26" s="1"/>
  <c r="P14" i="26" s="1"/>
  <c r="P15" i="26" s="1"/>
  <c r="P16" i="26" s="1"/>
  <c r="P17" i="26" s="1"/>
  <c r="P18" i="26" s="1"/>
  <c r="P19" i="26" s="1"/>
  <c r="P20" i="26" s="1"/>
  <c r="P21" i="26" s="1"/>
  <c r="P22" i="26" s="1"/>
  <c r="P23" i="26" s="1"/>
  <c r="P24" i="26" s="1"/>
  <c r="P25" i="26" s="1"/>
  <c r="P26" i="26" s="1"/>
  <c r="P27" i="26" s="1"/>
  <c r="P28" i="26" s="1"/>
  <c r="P29" i="26" s="1"/>
  <c r="P30" i="26" s="1"/>
  <c r="P31" i="26" s="1"/>
  <c r="P32" i="26" s="1"/>
  <c r="P33" i="26" s="1"/>
  <c r="P34" i="26" s="1"/>
  <c r="P35" i="26" s="1"/>
  <c r="P36" i="26" s="1"/>
  <c r="P37" i="26" s="1"/>
  <c r="P38" i="26" s="1"/>
  <c r="P39" i="26" s="1"/>
  <c r="P40" i="26" s="1"/>
  <c r="P41" i="26" s="1"/>
  <c r="P42" i="26" s="1"/>
  <c r="P43" i="26" s="1"/>
  <c r="P44" i="26" s="1"/>
  <c r="P45" i="26" s="1"/>
  <c r="P46" i="26" s="1"/>
  <c r="P47" i="26" s="1"/>
  <c r="P48" i="26" s="1"/>
  <c r="P49" i="26" s="1"/>
  <c r="P50" i="26" s="1"/>
  <c r="P51" i="26" s="1"/>
  <c r="P52" i="26" s="1"/>
  <c r="P53" i="26" s="1"/>
  <c r="P54" i="26" s="1"/>
  <c r="P55" i="26" s="1"/>
  <c r="P56" i="26" s="1"/>
  <c r="P57" i="26" s="1"/>
  <c r="P58" i="26" s="1"/>
  <c r="P59" i="26" s="1"/>
  <c r="P60" i="26" s="1"/>
  <c r="P61" i="26" s="1"/>
  <c r="P62" i="26" s="1"/>
  <c r="P63" i="26" s="1"/>
  <c r="P64" i="26" s="1"/>
  <c r="P65" i="26" s="1"/>
  <c r="P66" i="26" s="1"/>
  <c r="P67" i="26" s="1"/>
  <c r="P68" i="26" s="1"/>
  <c r="P69" i="26" s="1"/>
  <c r="P70" i="26" s="1"/>
  <c r="P71" i="26" s="1"/>
  <c r="P72" i="26" s="1"/>
  <c r="P73" i="26" s="1"/>
  <c r="P74" i="26" s="1"/>
  <c r="P75" i="26" s="1"/>
  <c r="P76" i="26" s="1"/>
  <c r="P77" i="26" s="1"/>
  <c r="P78" i="26" s="1"/>
  <c r="P79" i="26" s="1"/>
  <c r="P80" i="26" s="1"/>
  <c r="P81" i="26" s="1"/>
  <c r="P82" i="26" s="1"/>
  <c r="P83" i="26" s="1"/>
  <c r="P84" i="26" s="1"/>
  <c r="P85" i="26" s="1"/>
  <c r="P86" i="26" s="1"/>
  <c r="K7" i="26"/>
  <c r="BL266" i="27" l="1"/>
  <c r="M8" i="26"/>
  <c r="M9" i="26" s="1"/>
  <c r="M10" i="26" s="1"/>
  <c r="M11" i="26" s="1"/>
  <c r="M12" i="26" s="1"/>
  <c r="M13" i="26" s="1"/>
  <c r="M14" i="26" s="1"/>
  <c r="M15" i="26" s="1"/>
  <c r="M16" i="26" s="1"/>
  <c r="M17" i="26" s="1"/>
  <c r="M18" i="26" s="1"/>
  <c r="M19" i="26" s="1"/>
  <c r="M20" i="26" s="1"/>
  <c r="M21" i="26" s="1"/>
  <c r="M22" i="26" s="1"/>
  <c r="M23" i="26" s="1"/>
  <c r="M24" i="26" s="1"/>
  <c r="M25" i="26" s="1"/>
  <c r="M26" i="26" s="1"/>
  <c r="M27" i="26" s="1"/>
  <c r="M28" i="26" s="1"/>
  <c r="M29" i="26" s="1"/>
  <c r="M30" i="26" s="1"/>
  <c r="M31" i="26" s="1"/>
  <c r="M32" i="26" s="1"/>
  <c r="M33" i="26" s="1"/>
  <c r="M34" i="26" s="1"/>
  <c r="M35" i="26" s="1"/>
  <c r="M36" i="26" s="1"/>
  <c r="N8" i="26"/>
  <c r="N9" i="26" s="1"/>
  <c r="N10" i="26" s="1"/>
  <c r="N11" i="26" s="1"/>
  <c r="N12" i="26" s="1"/>
  <c r="N13" i="26" s="1"/>
  <c r="N14" i="26" s="1"/>
  <c r="N15" i="26" s="1"/>
  <c r="N16" i="26" s="1"/>
  <c r="N17" i="26" s="1"/>
  <c r="N18" i="26" s="1"/>
  <c r="N19" i="26" s="1"/>
  <c r="N20" i="26" s="1"/>
  <c r="N21" i="26" s="1"/>
  <c r="N22" i="26" s="1"/>
  <c r="N23" i="26" s="1"/>
  <c r="N24" i="26" s="1"/>
  <c r="N25" i="26" s="1"/>
  <c r="N26" i="26" s="1"/>
  <c r="N27" i="26" s="1"/>
  <c r="N28" i="26" s="1"/>
  <c r="N29" i="26" s="1"/>
  <c r="N30" i="26" s="1"/>
  <c r="N31" i="26" s="1"/>
  <c r="N32" i="26" s="1"/>
  <c r="N33" i="26" s="1"/>
  <c r="N34" i="26" s="1"/>
  <c r="N35" i="26" s="1"/>
  <c r="N36" i="26" s="1"/>
  <c r="O8" i="26"/>
  <c r="O9" i="26" s="1"/>
  <c r="O10" i="26" s="1"/>
  <c r="O11" i="26" s="1"/>
  <c r="O12" i="26" s="1"/>
  <c r="O13" i="26" s="1"/>
  <c r="O14" i="26" s="1"/>
  <c r="O15" i="26" s="1"/>
  <c r="O16" i="26" s="1"/>
  <c r="O17" i="26" s="1"/>
  <c r="O18" i="26" s="1"/>
  <c r="O19" i="26" s="1"/>
  <c r="O20" i="26" s="1"/>
  <c r="O21" i="26" s="1"/>
  <c r="O22" i="26" s="1"/>
  <c r="O23" i="26" s="1"/>
  <c r="O24" i="26" s="1"/>
  <c r="O25" i="26" s="1"/>
  <c r="O26" i="26" s="1"/>
  <c r="O27" i="26" s="1"/>
  <c r="O28" i="26" s="1"/>
  <c r="O29" i="26" s="1"/>
  <c r="O30" i="26" s="1"/>
  <c r="O31" i="26" s="1"/>
  <c r="O32" i="26" s="1"/>
  <c r="O33" i="26" s="1"/>
  <c r="O34" i="26" s="1"/>
  <c r="O35" i="26" s="1"/>
  <c r="O36" i="26" s="1"/>
  <c r="BL267" i="27" l="1"/>
  <c r="BL268" i="27" l="1"/>
  <c r="O28" i="23"/>
  <c r="O29" i="23"/>
  <c r="O30" i="23"/>
  <c r="O31" i="23"/>
  <c r="O32" i="23"/>
  <c r="O33" i="23"/>
  <c r="O34" i="23"/>
  <c r="O35" i="23"/>
  <c r="O36" i="23"/>
  <c r="O37" i="23"/>
  <c r="O38" i="23"/>
  <c r="O39" i="23"/>
  <c r="O40" i="23"/>
  <c r="O41" i="23"/>
  <c r="O42" i="23"/>
  <c r="O43" i="23"/>
  <c r="O27" i="23"/>
  <c r="BL269" i="27" l="1"/>
  <c r="C5" i="23"/>
  <c r="BL270" i="27" l="1"/>
  <c r="B1" i="22"/>
  <c r="C1" i="22"/>
  <c r="D1" i="22"/>
  <c r="E1" i="22"/>
  <c r="F1" i="22"/>
  <c r="G1" i="22"/>
  <c r="H1" i="22"/>
  <c r="I1" i="22"/>
  <c r="J1" i="22"/>
  <c r="K1" i="22"/>
  <c r="L1" i="22"/>
  <c r="M1" i="22"/>
  <c r="N1" i="22"/>
  <c r="O1" i="22"/>
  <c r="P1" i="22"/>
  <c r="Q1" i="22"/>
  <c r="R1" i="22"/>
  <c r="S1" i="22"/>
  <c r="T1" i="22"/>
  <c r="U1" i="22"/>
  <c r="V1" i="22"/>
  <c r="W1" i="22"/>
  <c r="X1" i="22"/>
  <c r="Y1" i="22"/>
  <c r="Z1" i="22"/>
  <c r="A1" i="22"/>
  <c r="I11" i="29" l="1"/>
  <c r="I12" i="29"/>
  <c r="G11" i="29"/>
  <c r="R8" i="28"/>
  <c r="R9" i="28"/>
  <c r="I9" i="29"/>
  <c r="I10" i="29"/>
  <c r="G8" i="29"/>
  <c r="G9" i="29"/>
  <c r="G10" i="29"/>
  <c r="G12" i="29"/>
  <c r="G7" i="29"/>
  <c r="I8" i="29"/>
  <c r="CA13" i="28"/>
  <c r="I7" i="29"/>
  <c r="CA14" i="28"/>
  <c r="CA9" i="28"/>
  <c r="CA11" i="28"/>
  <c r="CA15" i="28"/>
  <c r="CA8" i="28"/>
  <c r="CA10" i="28"/>
  <c r="CA12" i="28"/>
  <c r="AX21" i="28"/>
  <c r="AX22" i="28"/>
  <c r="AX20" i="28"/>
  <c r="BL271" i="27"/>
  <c r="AN9" i="21"/>
  <c r="AN10" i="21"/>
  <c r="AU8" i="21" s="1"/>
  <c r="AN11" i="21"/>
  <c r="AN12" i="21"/>
  <c r="AN13" i="21"/>
  <c r="AN14" i="21"/>
  <c r="AN8" i="21"/>
  <c r="BH9" i="21"/>
  <c r="BH10" i="21"/>
  <c r="BH11" i="21"/>
  <c r="BH12" i="21"/>
  <c r="BH13" i="21"/>
  <c r="BH14" i="21"/>
  <c r="BH15" i="21"/>
  <c r="BL37" i="21" s="1"/>
  <c r="BH8" i="21"/>
  <c r="S8" i="21"/>
  <c r="S9" i="21"/>
  <c r="CK5" i="9"/>
  <c r="CK6" i="9"/>
  <c r="CK7" i="9"/>
  <c r="CK8" i="9"/>
  <c r="CK9" i="9"/>
  <c r="CK10" i="9"/>
  <c r="CK11" i="9"/>
  <c r="CK12" i="9"/>
  <c r="CK13" i="9"/>
  <c r="CK14" i="9"/>
  <c r="CK15" i="9"/>
  <c r="CK16" i="9"/>
  <c r="CK17" i="9"/>
  <c r="CK18" i="9"/>
  <c r="CK19" i="9"/>
  <c r="CK20" i="9"/>
  <c r="CK21" i="9"/>
  <c r="CK22" i="9"/>
  <c r="CK23" i="9"/>
  <c r="CK24" i="9"/>
  <c r="CK25" i="9"/>
  <c r="CK26" i="9"/>
  <c r="CK27" i="9"/>
  <c r="CK28" i="9"/>
  <c r="CK29" i="9"/>
  <c r="CK30" i="9"/>
  <c r="CK31" i="9"/>
  <c r="CK32" i="9"/>
  <c r="CK33" i="9"/>
  <c r="CK34" i="9"/>
  <c r="CK35" i="9"/>
  <c r="CK36" i="9"/>
  <c r="CK37" i="9"/>
  <c r="CK38" i="9"/>
  <c r="CK39" i="9"/>
  <c r="CK40" i="9"/>
  <c r="CK41" i="9"/>
  <c r="CK42" i="9"/>
  <c r="CK43" i="9"/>
  <c r="CK44" i="9"/>
  <c r="CK45" i="9"/>
  <c r="CK46" i="9"/>
  <c r="CK47" i="9"/>
  <c r="CK48" i="9"/>
  <c r="CK49" i="9"/>
  <c r="CK50" i="9"/>
  <c r="CK51" i="9"/>
  <c r="CK52" i="9"/>
  <c r="CK53" i="9"/>
  <c r="CK54" i="9"/>
  <c r="CK55" i="9"/>
  <c r="CK56" i="9"/>
  <c r="CK57" i="9"/>
  <c r="CK58" i="9"/>
  <c r="CK59" i="9"/>
  <c r="CK60" i="9"/>
  <c r="CK61" i="9"/>
  <c r="CK62" i="9"/>
  <c r="CK63" i="9"/>
  <c r="CK64" i="9"/>
  <c r="CK65" i="9"/>
  <c r="CK66" i="9"/>
  <c r="CK67" i="9"/>
  <c r="CK68" i="9"/>
  <c r="CK69" i="9"/>
  <c r="CK70" i="9"/>
  <c r="CK71" i="9"/>
  <c r="CK72" i="9"/>
  <c r="CK73" i="9"/>
  <c r="CK74" i="9"/>
  <c r="CK75" i="9"/>
  <c r="CK76" i="9"/>
  <c r="CK77" i="9"/>
  <c r="CK78" i="9"/>
  <c r="CK79" i="9"/>
  <c r="CK80" i="9"/>
  <c r="CK81" i="9"/>
  <c r="CK82" i="9"/>
  <c r="CK83" i="9"/>
  <c r="CK84" i="9"/>
  <c r="CK85" i="9"/>
  <c r="CK86" i="9"/>
  <c r="CK87" i="9"/>
  <c r="CK88" i="9"/>
  <c r="CK89" i="9"/>
  <c r="CK90" i="9"/>
  <c r="CK91" i="9"/>
  <c r="CK92" i="9"/>
  <c r="CK93" i="9"/>
  <c r="CK94" i="9"/>
  <c r="CK95" i="9"/>
  <c r="CK96" i="9"/>
  <c r="CK97" i="9"/>
  <c r="CK98" i="9"/>
  <c r="CK99" i="9"/>
  <c r="CK100" i="9"/>
  <c r="CK101" i="9"/>
  <c r="CK102" i="9"/>
  <c r="CK103" i="9"/>
  <c r="CK104" i="9"/>
  <c r="CK105" i="9"/>
  <c r="CK106" i="9"/>
  <c r="CK107" i="9"/>
  <c r="CK108" i="9"/>
  <c r="CK109" i="9"/>
  <c r="CK110" i="9"/>
  <c r="CK111" i="9"/>
  <c r="CK112" i="9"/>
  <c r="CK113" i="9"/>
  <c r="CK114" i="9"/>
  <c r="CK115" i="9"/>
  <c r="CK116" i="9"/>
  <c r="CK117" i="9"/>
  <c r="CK118" i="9"/>
  <c r="CK119" i="9"/>
  <c r="CK120" i="9"/>
  <c r="CK121" i="9"/>
  <c r="CK122" i="9"/>
  <c r="CK123" i="9"/>
  <c r="CK4" i="9"/>
  <c r="CJ5" i="9"/>
  <c r="CJ6" i="9"/>
  <c r="CJ7" i="9"/>
  <c r="CJ8" i="9"/>
  <c r="CJ9" i="9"/>
  <c r="CJ10" i="9"/>
  <c r="CJ11" i="9"/>
  <c r="CJ12" i="9"/>
  <c r="CJ13" i="9"/>
  <c r="CJ14" i="9"/>
  <c r="CJ15" i="9"/>
  <c r="CJ16" i="9"/>
  <c r="CJ17" i="9"/>
  <c r="CJ18" i="9"/>
  <c r="CJ19" i="9"/>
  <c r="CJ20" i="9"/>
  <c r="CJ21" i="9"/>
  <c r="CJ22" i="9"/>
  <c r="CJ23" i="9"/>
  <c r="CJ24" i="9"/>
  <c r="CJ25" i="9"/>
  <c r="CJ26" i="9"/>
  <c r="CJ27" i="9"/>
  <c r="CJ28" i="9"/>
  <c r="CJ29" i="9"/>
  <c r="CJ30" i="9"/>
  <c r="CJ31" i="9"/>
  <c r="CJ32" i="9"/>
  <c r="CJ33" i="9"/>
  <c r="CJ34" i="9"/>
  <c r="CJ35" i="9"/>
  <c r="CJ36" i="9"/>
  <c r="CJ37" i="9"/>
  <c r="CJ38" i="9"/>
  <c r="CJ39" i="9"/>
  <c r="CJ40" i="9"/>
  <c r="CJ41" i="9"/>
  <c r="CJ42" i="9"/>
  <c r="CJ43" i="9"/>
  <c r="CJ44" i="9"/>
  <c r="CJ45" i="9"/>
  <c r="CJ46" i="9"/>
  <c r="CJ47" i="9"/>
  <c r="CJ48" i="9"/>
  <c r="CJ49" i="9"/>
  <c r="CJ50" i="9"/>
  <c r="CJ51" i="9"/>
  <c r="CJ52" i="9"/>
  <c r="CJ53" i="9"/>
  <c r="CJ54" i="9"/>
  <c r="CJ55" i="9"/>
  <c r="CJ56" i="9"/>
  <c r="CJ57" i="9"/>
  <c r="CJ58" i="9"/>
  <c r="CJ59" i="9"/>
  <c r="CJ60" i="9"/>
  <c r="CJ61" i="9"/>
  <c r="CJ62" i="9"/>
  <c r="CJ63" i="9"/>
  <c r="CJ64" i="9"/>
  <c r="CJ65" i="9"/>
  <c r="CJ66" i="9"/>
  <c r="CJ67" i="9"/>
  <c r="CJ68" i="9"/>
  <c r="CJ69" i="9"/>
  <c r="CJ70" i="9"/>
  <c r="CJ71" i="9"/>
  <c r="CJ72" i="9"/>
  <c r="CJ73" i="9"/>
  <c r="CJ74" i="9"/>
  <c r="CJ75" i="9"/>
  <c r="CJ76" i="9"/>
  <c r="CJ77" i="9"/>
  <c r="CJ78" i="9"/>
  <c r="CJ79" i="9"/>
  <c r="CJ80" i="9"/>
  <c r="CJ81" i="9"/>
  <c r="CJ82" i="9"/>
  <c r="CJ83" i="9"/>
  <c r="CJ84" i="9"/>
  <c r="CJ85" i="9"/>
  <c r="CJ86" i="9"/>
  <c r="CJ87" i="9"/>
  <c r="CJ88" i="9"/>
  <c r="CJ89" i="9"/>
  <c r="CJ90" i="9"/>
  <c r="CJ91" i="9"/>
  <c r="CJ92" i="9"/>
  <c r="CJ93" i="9"/>
  <c r="CJ94" i="9"/>
  <c r="CJ95" i="9"/>
  <c r="CJ96" i="9"/>
  <c r="CJ97" i="9"/>
  <c r="CJ98" i="9"/>
  <c r="CJ99" i="9"/>
  <c r="CJ100" i="9"/>
  <c r="CJ101" i="9"/>
  <c r="CJ102" i="9"/>
  <c r="CJ103" i="9"/>
  <c r="CJ104" i="9"/>
  <c r="CJ105" i="9"/>
  <c r="CJ106" i="9"/>
  <c r="CJ107" i="9"/>
  <c r="CJ108" i="9"/>
  <c r="CJ109" i="9"/>
  <c r="CJ110" i="9"/>
  <c r="CJ111" i="9"/>
  <c r="CJ112" i="9"/>
  <c r="CJ113" i="9"/>
  <c r="CJ114" i="9"/>
  <c r="CJ115" i="9"/>
  <c r="CJ116" i="9"/>
  <c r="CJ117" i="9"/>
  <c r="CJ118" i="9"/>
  <c r="CJ119" i="9"/>
  <c r="CJ120" i="9"/>
  <c r="CJ121" i="9"/>
  <c r="CJ122" i="9"/>
  <c r="CJ123" i="9"/>
  <c r="CJ4" i="9"/>
  <c r="BA10" i="28" l="1"/>
  <c r="BA11" i="28"/>
  <c r="BA12" i="28"/>
  <c r="BA13" i="28"/>
  <c r="BA14" i="28"/>
  <c r="BA8" i="28"/>
  <c r="BA9" i="28"/>
  <c r="G9" i="21"/>
  <c r="G10" i="21"/>
  <c r="BL272" i="27"/>
  <c r="BP18" i="21"/>
  <c r="BP327" i="21"/>
  <c r="BP71" i="21"/>
  <c r="BP252" i="21"/>
  <c r="BP195" i="21"/>
  <c r="BP129" i="21"/>
  <c r="BP262" i="21"/>
  <c r="BP291" i="21"/>
  <c r="BP123" i="21"/>
  <c r="BP240" i="21"/>
  <c r="BP51" i="21"/>
  <c r="BP117" i="21"/>
  <c r="BO117" i="21" s="1"/>
  <c r="BN117" i="21" s="1"/>
  <c r="BM117" i="21" s="1"/>
  <c r="BL117" i="21" s="1"/>
  <c r="BP218" i="21"/>
  <c r="BO218" i="21" s="1"/>
  <c r="BN218" i="21" s="1"/>
  <c r="BM218" i="21" s="1"/>
  <c r="BL218" i="21" s="1"/>
  <c r="BP335" i="21"/>
  <c r="BO335" i="21" s="1"/>
  <c r="BN335" i="21" s="1"/>
  <c r="BM335" i="21" s="1"/>
  <c r="BL335" i="21" s="1"/>
  <c r="BP79" i="21"/>
  <c r="BO79" i="21" s="1"/>
  <c r="BN79" i="21" s="1"/>
  <c r="BM79" i="21" s="1"/>
  <c r="BL79" i="21" s="1"/>
  <c r="BP212" i="21"/>
  <c r="BO212" i="21" s="1"/>
  <c r="BN212" i="21" s="1"/>
  <c r="BM212" i="21" s="1"/>
  <c r="BL212" i="21" s="1"/>
  <c r="BP313" i="21"/>
  <c r="BP57" i="21"/>
  <c r="BP174" i="21"/>
  <c r="BP328" i="21"/>
  <c r="BP72" i="21"/>
  <c r="BP253" i="21"/>
  <c r="BP354" i="21"/>
  <c r="BP98" i="21"/>
  <c r="BP62" i="21"/>
  <c r="BP86" i="21"/>
  <c r="BP333" i="21"/>
  <c r="BP310" i="21"/>
  <c r="BO310" i="21" s="1"/>
  <c r="BN310" i="21" s="1"/>
  <c r="BM310" i="21" s="1"/>
  <c r="BL310" i="21" s="1"/>
  <c r="BP222" i="21"/>
  <c r="BO222" i="21" s="1"/>
  <c r="BN222" i="21" s="1"/>
  <c r="BM222" i="21" s="1"/>
  <c r="BL222" i="21" s="1"/>
  <c r="BP145" i="21"/>
  <c r="BO145" i="21" s="1"/>
  <c r="BN145" i="21" s="1"/>
  <c r="BM145" i="21" s="1"/>
  <c r="BL145" i="21" s="1"/>
  <c r="BP73" i="21"/>
  <c r="BO73" i="21" s="1"/>
  <c r="BN73" i="21" s="1"/>
  <c r="BM73" i="21" s="1"/>
  <c r="BL73" i="21" s="1"/>
  <c r="BP311" i="21"/>
  <c r="BO311" i="21" s="1"/>
  <c r="BN311" i="21" s="1"/>
  <c r="BM311" i="21" s="1"/>
  <c r="BL311" i="21" s="1"/>
  <c r="BP55" i="21"/>
  <c r="BP236" i="21"/>
  <c r="BP35" i="21"/>
  <c r="BP113" i="21"/>
  <c r="BP246" i="21"/>
  <c r="BP363" i="21"/>
  <c r="BP107" i="21"/>
  <c r="BP224" i="21"/>
  <c r="BP357" i="21"/>
  <c r="BP101" i="21"/>
  <c r="BP202" i="21"/>
  <c r="BP319" i="21"/>
  <c r="BO319" i="21" s="1"/>
  <c r="BN319" i="21" s="1"/>
  <c r="BM319" i="21" s="1"/>
  <c r="BL319" i="21" s="1"/>
  <c r="BP63" i="21"/>
  <c r="BO63" i="21" s="1"/>
  <c r="BN63" i="21" s="1"/>
  <c r="BM63" i="21" s="1"/>
  <c r="BL63" i="21" s="1"/>
  <c r="BP196" i="21"/>
  <c r="BO196" i="21" s="1"/>
  <c r="BN196" i="21" s="1"/>
  <c r="BM196" i="21" s="1"/>
  <c r="BL196" i="21" s="1"/>
  <c r="BP297" i="21"/>
  <c r="BO297" i="21" s="1"/>
  <c r="BN297" i="21" s="1"/>
  <c r="BM297" i="21" s="1"/>
  <c r="BL297" i="21" s="1"/>
  <c r="BP41" i="21"/>
  <c r="BO41" i="21" s="1"/>
  <c r="BN41" i="21" s="1"/>
  <c r="BM41" i="21" s="1"/>
  <c r="BL41" i="21" s="1"/>
  <c r="BP158" i="21"/>
  <c r="BP312" i="21"/>
  <c r="BP56" i="21"/>
  <c r="BP237" i="21"/>
  <c r="BP338" i="21"/>
  <c r="BP82" i="21"/>
  <c r="BP318" i="21"/>
  <c r="BP203" i="21"/>
  <c r="BP159" i="21"/>
  <c r="BP177" i="21"/>
  <c r="BP99" i="21"/>
  <c r="BP228" i="21"/>
  <c r="BO228" i="21" s="1"/>
  <c r="BN228" i="21" s="1"/>
  <c r="BM228" i="21" s="1"/>
  <c r="BL228" i="21" s="1"/>
  <c r="BP295" i="21"/>
  <c r="BO295" i="21" s="1"/>
  <c r="BN295" i="21" s="1"/>
  <c r="BM295" i="21" s="1"/>
  <c r="BL295" i="21" s="1"/>
  <c r="BP39" i="21"/>
  <c r="BO39" i="21" s="1"/>
  <c r="BN39" i="21" s="1"/>
  <c r="BM39" i="21" s="1"/>
  <c r="BL39" i="21" s="1"/>
  <c r="BP220" i="21"/>
  <c r="BO220" i="21" s="1"/>
  <c r="BN220" i="21" s="1"/>
  <c r="BM220" i="21" s="1"/>
  <c r="BL220" i="21" s="1"/>
  <c r="BP353" i="21"/>
  <c r="BO353" i="21" s="1"/>
  <c r="BN353" i="21" s="1"/>
  <c r="BM353" i="21" s="1"/>
  <c r="BL353" i="21" s="1"/>
  <c r="BP97" i="21"/>
  <c r="BP230" i="21"/>
  <c r="BP347" i="21"/>
  <c r="BP91" i="21"/>
  <c r="BP208" i="21"/>
  <c r="BP341" i="21"/>
  <c r="BP85" i="21"/>
  <c r="BP186" i="21"/>
  <c r="BP303" i="21"/>
  <c r="BP47" i="21"/>
  <c r="BP180" i="21"/>
  <c r="BP281" i="21"/>
  <c r="BO281" i="21" s="1"/>
  <c r="BN281" i="21" s="1"/>
  <c r="BM281" i="21" s="1"/>
  <c r="BL281" i="21" s="1"/>
  <c r="BP25" i="21"/>
  <c r="BO25" i="21" s="1"/>
  <c r="BN25" i="21" s="1"/>
  <c r="BM25" i="21" s="1"/>
  <c r="BL25" i="21" s="1"/>
  <c r="BP142" i="21"/>
  <c r="BO142" i="21" s="1"/>
  <c r="BN142" i="21" s="1"/>
  <c r="BM142" i="21" s="1"/>
  <c r="BL142" i="21" s="1"/>
  <c r="BP296" i="21"/>
  <c r="BO296" i="21" s="1"/>
  <c r="BN296" i="21" s="1"/>
  <c r="BM296" i="21" s="1"/>
  <c r="BL296" i="21" s="1"/>
  <c r="BP40" i="21"/>
  <c r="BO40" i="21" s="1"/>
  <c r="BN40" i="21" s="1"/>
  <c r="BM40" i="21" s="1"/>
  <c r="BL40" i="21" s="1"/>
  <c r="BP221" i="21"/>
  <c r="BP322" i="21"/>
  <c r="BP66" i="21"/>
  <c r="BP147" i="21"/>
  <c r="BP320" i="21"/>
  <c r="BP77" i="21"/>
  <c r="BP288" i="21"/>
  <c r="BP268" i="21"/>
  <c r="BP344" i="21"/>
  <c r="BP279" i="21"/>
  <c r="BP23" i="21"/>
  <c r="BP204" i="21"/>
  <c r="BO204" i="21" s="1"/>
  <c r="BN204" i="21" s="1"/>
  <c r="BM204" i="21" s="1"/>
  <c r="BL204" i="21" s="1"/>
  <c r="BP337" i="21"/>
  <c r="BO337" i="21" s="1"/>
  <c r="BN337" i="21" s="1"/>
  <c r="BM337" i="21" s="1"/>
  <c r="BL337" i="21" s="1"/>
  <c r="BP81" i="21"/>
  <c r="BO81" i="21" s="1"/>
  <c r="BN81" i="21" s="1"/>
  <c r="BM81" i="21" s="1"/>
  <c r="BL81" i="21" s="1"/>
  <c r="BP214" i="21"/>
  <c r="BO214" i="21" s="1"/>
  <c r="BN214" i="21" s="1"/>
  <c r="BM214" i="21" s="1"/>
  <c r="BL214" i="21" s="1"/>
  <c r="BP331" i="21"/>
  <c r="BO331" i="21" s="1"/>
  <c r="BN331" i="21" s="1"/>
  <c r="BM331" i="21" s="1"/>
  <c r="BL331" i="21" s="1"/>
  <c r="BP75" i="21"/>
  <c r="BP192" i="21"/>
  <c r="BP325" i="21"/>
  <c r="BP69" i="21"/>
  <c r="BP170" i="21"/>
  <c r="BP287" i="21"/>
  <c r="BP31" i="21"/>
  <c r="BP164" i="21"/>
  <c r="BP265" i="21"/>
  <c r="BP9" i="21"/>
  <c r="BP126" i="21"/>
  <c r="BP280" i="21"/>
  <c r="BO280" i="21" s="1"/>
  <c r="BN280" i="21" s="1"/>
  <c r="BM280" i="21" s="1"/>
  <c r="BL280" i="21" s="1"/>
  <c r="BP24" i="21"/>
  <c r="BO24" i="21" s="1"/>
  <c r="BN24" i="21" s="1"/>
  <c r="BM24" i="21" s="1"/>
  <c r="BL24" i="21" s="1"/>
  <c r="BP205" i="21"/>
  <c r="BO205" i="21" s="1"/>
  <c r="BN205" i="21" s="1"/>
  <c r="BM205" i="21" s="1"/>
  <c r="BL205" i="21" s="1"/>
  <c r="BP306" i="21"/>
  <c r="BO306" i="21" s="1"/>
  <c r="BN306" i="21" s="1"/>
  <c r="BM306" i="21" s="1"/>
  <c r="BL306" i="21" s="1"/>
  <c r="BP50" i="21"/>
  <c r="BO50" i="21" s="1"/>
  <c r="BN50" i="21" s="1"/>
  <c r="BM50" i="21" s="1"/>
  <c r="BL50" i="21" s="1"/>
  <c r="BP34" i="21"/>
  <c r="BP173" i="21"/>
  <c r="BP332" i="21"/>
  <c r="BP36" i="21"/>
  <c r="BP300" i="21"/>
  <c r="BP10" i="21"/>
  <c r="BP45" i="21"/>
  <c r="BP278" i="21"/>
  <c r="BP269" i="21"/>
  <c r="BP263" i="21"/>
  <c r="BP307" i="21"/>
  <c r="BP188" i="21"/>
  <c r="BO188" i="21" s="1"/>
  <c r="BN188" i="21" s="1"/>
  <c r="BM188" i="21" s="1"/>
  <c r="BL188" i="21" s="1"/>
  <c r="BP321" i="21"/>
  <c r="BO321" i="21" s="1"/>
  <c r="BN321" i="21" s="1"/>
  <c r="BM321" i="21" s="1"/>
  <c r="BL321" i="21" s="1"/>
  <c r="BP65" i="21"/>
  <c r="BO65" i="21" s="1"/>
  <c r="BN65" i="21" s="1"/>
  <c r="BM65" i="21" s="1"/>
  <c r="BL65" i="21" s="1"/>
  <c r="BP198" i="21"/>
  <c r="BO198" i="21" s="1"/>
  <c r="BN198" i="21" s="1"/>
  <c r="BM198" i="21" s="1"/>
  <c r="BL198" i="21" s="1"/>
  <c r="BP315" i="21"/>
  <c r="BO315" i="21" s="1"/>
  <c r="BN315" i="21" s="1"/>
  <c r="BM315" i="21" s="1"/>
  <c r="BL315" i="21" s="1"/>
  <c r="BP59" i="21"/>
  <c r="BP176" i="21"/>
  <c r="BP309" i="21"/>
  <c r="BP53" i="21"/>
  <c r="BP154" i="21"/>
  <c r="BP271" i="21"/>
  <c r="BP15" i="21"/>
  <c r="BP148" i="21"/>
  <c r="BP249" i="21"/>
  <c r="BP366" i="21"/>
  <c r="BP110" i="21"/>
  <c r="BP264" i="21"/>
  <c r="BO264" i="21" s="1"/>
  <c r="BN264" i="21" s="1"/>
  <c r="BM264" i="21" s="1"/>
  <c r="BL264" i="21" s="1"/>
  <c r="BP8" i="21"/>
  <c r="BO8" i="21" s="1"/>
  <c r="BN8" i="21" s="1"/>
  <c r="BM8" i="21" s="1"/>
  <c r="BL8" i="21" s="1"/>
  <c r="BP189" i="21"/>
  <c r="BO189" i="21" s="1"/>
  <c r="BN189" i="21" s="1"/>
  <c r="BM189" i="21" s="1"/>
  <c r="BL189" i="21" s="1"/>
  <c r="BP290" i="21"/>
  <c r="BO290" i="21" s="1"/>
  <c r="BN290" i="21" s="1"/>
  <c r="BM290" i="21" s="1"/>
  <c r="BL290" i="21" s="1"/>
  <c r="BP323" i="21"/>
  <c r="BO323" i="21" s="1"/>
  <c r="BN323" i="21" s="1"/>
  <c r="BM323" i="21" s="1"/>
  <c r="BL323" i="21" s="1"/>
  <c r="BP242" i="21"/>
  <c r="BP64" i="21"/>
  <c r="BP137" i="21"/>
  <c r="BP32" i="21"/>
  <c r="BP87" i="21"/>
  <c r="BO87" i="21" s="1"/>
  <c r="BN87" i="21" s="1"/>
  <c r="BM87" i="21" s="1"/>
  <c r="BL87" i="21" s="1"/>
  <c r="BP190" i="21"/>
  <c r="BP247" i="21"/>
  <c r="BP259" i="21"/>
  <c r="BP172" i="21"/>
  <c r="BP305" i="21"/>
  <c r="BP49" i="21"/>
  <c r="BP182" i="21"/>
  <c r="BO182" i="21" s="1"/>
  <c r="BN182" i="21" s="1"/>
  <c r="BM182" i="21" s="1"/>
  <c r="BL182" i="21" s="1"/>
  <c r="BP299" i="21"/>
  <c r="BO299" i="21" s="1"/>
  <c r="BN299" i="21" s="1"/>
  <c r="BM299" i="21" s="1"/>
  <c r="BL299" i="21" s="1"/>
  <c r="BP43" i="21"/>
  <c r="BO43" i="21" s="1"/>
  <c r="BN43" i="21" s="1"/>
  <c r="BM43" i="21" s="1"/>
  <c r="BL43" i="21" s="1"/>
  <c r="BP160" i="21"/>
  <c r="BO160" i="21" s="1"/>
  <c r="BN160" i="21" s="1"/>
  <c r="BM160" i="21" s="1"/>
  <c r="BL160" i="21" s="1"/>
  <c r="BP293" i="21"/>
  <c r="BO293" i="21" s="1"/>
  <c r="BN293" i="21" s="1"/>
  <c r="BM293" i="21" s="1"/>
  <c r="BL293" i="21" s="1"/>
  <c r="BP37" i="21"/>
  <c r="BP138" i="21"/>
  <c r="BP255" i="21"/>
  <c r="BP355" i="21"/>
  <c r="BP132" i="21"/>
  <c r="BO132" i="21" s="1"/>
  <c r="BN132" i="21" s="1"/>
  <c r="BM132" i="21" s="1"/>
  <c r="BL132" i="21" s="1"/>
  <c r="BP233" i="21"/>
  <c r="BP350" i="21"/>
  <c r="BP94" i="21"/>
  <c r="BP248" i="21"/>
  <c r="BP274" i="21"/>
  <c r="BP342" i="21"/>
  <c r="BP254" i="21"/>
  <c r="BO254" i="21" s="1"/>
  <c r="BN254" i="21" s="1"/>
  <c r="BM254" i="21" s="1"/>
  <c r="BL254" i="21" s="1"/>
  <c r="BP54" i="21"/>
  <c r="BO54" i="21" s="1"/>
  <c r="BN54" i="21" s="1"/>
  <c r="BM54" i="21" s="1"/>
  <c r="BL54" i="21" s="1"/>
  <c r="BP120" i="21"/>
  <c r="BO120" i="21" s="1"/>
  <c r="BN120" i="21" s="1"/>
  <c r="BM120" i="21" s="1"/>
  <c r="BL120" i="21" s="1"/>
  <c r="BP256" i="21"/>
  <c r="BO256" i="21" s="1"/>
  <c r="BN256" i="21" s="1"/>
  <c r="BM256" i="21" s="1"/>
  <c r="BL256" i="21" s="1"/>
  <c r="BP88" i="21"/>
  <c r="BO88" i="21" s="1"/>
  <c r="BN88" i="21" s="1"/>
  <c r="BM88" i="21" s="1"/>
  <c r="BL88" i="21" s="1"/>
  <c r="BP231" i="21"/>
  <c r="BP115" i="21"/>
  <c r="BP156" i="21"/>
  <c r="BP289" i="21"/>
  <c r="BP33" i="21"/>
  <c r="BP166" i="21"/>
  <c r="BP283" i="21"/>
  <c r="BP27" i="21"/>
  <c r="BP144" i="21"/>
  <c r="BP277" i="21"/>
  <c r="BP21" i="21"/>
  <c r="BP122" i="21"/>
  <c r="BO122" i="21" s="1"/>
  <c r="BN122" i="21" s="1"/>
  <c r="BM122" i="21" s="1"/>
  <c r="BL122" i="21" s="1"/>
  <c r="BP239" i="21"/>
  <c r="BO239" i="21" s="1"/>
  <c r="BN239" i="21" s="1"/>
  <c r="BM239" i="21" s="1"/>
  <c r="BL239" i="21" s="1"/>
  <c r="BP211" i="21"/>
  <c r="BO211" i="21" s="1"/>
  <c r="BN211" i="21" s="1"/>
  <c r="BM211" i="21" s="1"/>
  <c r="BL211" i="21" s="1"/>
  <c r="BP116" i="21"/>
  <c r="BO116" i="21" s="1"/>
  <c r="BN116" i="21" s="1"/>
  <c r="BM116" i="21" s="1"/>
  <c r="BL116" i="21" s="1"/>
  <c r="BP217" i="21"/>
  <c r="BO217" i="21" s="1"/>
  <c r="BN217" i="21" s="1"/>
  <c r="BM217" i="21" s="1"/>
  <c r="BL217" i="21" s="1"/>
  <c r="BP334" i="21"/>
  <c r="BP78" i="21"/>
  <c r="BP232" i="21"/>
  <c r="BP243" i="21"/>
  <c r="BP157" i="21"/>
  <c r="BO157" i="21" s="1"/>
  <c r="BN157" i="21" s="1"/>
  <c r="BM157" i="21" s="1"/>
  <c r="BL157" i="21" s="1"/>
  <c r="BP258" i="21"/>
  <c r="BP100" i="21"/>
  <c r="BP141" i="21"/>
  <c r="BP197" i="21"/>
  <c r="BP152" i="21"/>
  <c r="BP171" i="21"/>
  <c r="BP301" i="21"/>
  <c r="BO301" i="21" s="1"/>
  <c r="BN301" i="21" s="1"/>
  <c r="BM301" i="21" s="1"/>
  <c r="BL301" i="21" s="1"/>
  <c r="BP12" i="21"/>
  <c r="BO12" i="21" s="1"/>
  <c r="BN12" i="21" s="1"/>
  <c r="BM12" i="21" s="1"/>
  <c r="BL12" i="21" s="1"/>
  <c r="BP329" i="21"/>
  <c r="BO329" i="21" s="1"/>
  <c r="BN329" i="21" s="1"/>
  <c r="BM329" i="21" s="1"/>
  <c r="BL329" i="21" s="1"/>
  <c r="BP215" i="21"/>
  <c r="BO215" i="21" s="1"/>
  <c r="BN215" i="21" s="1"/>
  <c r="BM215" i="21" s="1"/>
  <c r="BL215" i="21" s="1"/>
  <c r="BP83" i="21"/>
  <c r="BO83" i="21" s="1"/>
  <c r="BN83" i="21" s="1"/>
  <c r="BM83" i="21" s="1"/>
  <c r="BL83" i="21" s="1"/>
  <c r="BP140" i="21"/>
  <c r="BP273" i="21"/>
  <c r="BP17" i="21"/>
  <c r="BP150" i="21"/>
  <c r="BP267" i="21"/>
  <c r="BO267" i="21" s="1"/>
  <c r="BN267" i="21" s="1"/>
  <c r="BM267" i="21" s="1"/>
  <c r="BL267" i="21" s="1"/>
  <c r="BP11" i="21"/>
  <c r="BP128" i="21"/>
  <c r="BP261" i="21"/>
  <c r="BP362" i="21"/>
  <c r="BP106" i="21"/>
  <c r="BP223" i="21"/>
  <c r="BP356" i="21"/>
  <c r="BO356" i="21" s="1"/>
  <c r="BN356" i="21" s="1"/>
  <c r="BM356" i="21" s="1"/>
  <c r="BL356" i="21" s="1"/>
  <c r="BP201" i="21"/>
  <c r="BO201" i="21" s="1"/>
  <c r="BN201" i="21" s="1"/>
  <c r="BM201" i="21" s="1"/>
  <c r="BL201" i="21" s="1"/>
  <c r="BP216" i="21"/>
  <c r="BO216" i="21" s="1"/>
  <c r="BN216" i="21" s="1"/>
  <c r="BM216" i="21" s="1"/>
  <c r="BL216" i="21" s="1"/>
  <c r="BP298" i="21"/>
  <c r="BO298" i="21" s="1"/>
  <c r="BN298" i="21" s="1"/>
  <c r="BM298" i="21" s="1"/>
  <c r="BL298" i="21" s="1"/>
  <c r="BP178" i="21"/>
  <c r="BO178" i="21" s="1"/>
  <c r="BN178" i="21" s="1"/>
  <c r="BM178" i="21" s="1"/>
  <c r="BL178" i="21" s="1"/>
  <c r="BP165" i="21"/>
  <c r="BP234" i="21"/>
  <c r="BP199" i="21"/>
  <c r="BP67" i="21"/>
  <c r="BP124" i="21"/>
  <c r="BO124" i="21" s="1"/>
  <c r="BN124" i="21" s="1"/>
  <c r="BM124" i="21" s="1"/>
  <c r="BL124" i="21" s="1"/>
  <c r="BP257" i="21"/>
  <c r="BP339" i="21"/>
  <c r="BP134" i="21"/>
  <c r="BP251" i="21"/>
  <c r="BP275" i="21"/>
  <c r="BP112" i="21"/>
  <c r="BP245" i="21"/>
  <c r="BO245" i="21" s="1"/>
  <c r="BN245" i="21" s="1"/>
  <c r="BM245" i="21" s="1"/>
  <c r="BL245" i="21" s="1"/>
  <c r="BP346" i="21"/>
  <c r="BO346" i="21" s="1"/>
  <c r="BN346" i="21" s="1"/>
  <c r="BM346" i="21" s="1"/>
  <c r="BL346" i="21" s="1"/>
  <c r="BP90" i="21"/>
  <c r="BO90" i="21" s="1"/>
  <c r="BN90" i="21" s="1"/>
  <c r="BM90" i="21" s="1"/>
  <c r="BL90" i="21" s="1"/>
  <c r="BP207" i="21"/>
  <c r="BO207" i="21" s="1"/>
  <c r="BN207" i="21" s="1"/>
  <c r="BM207" i="21" s="1"/>
  <c r="BL207" i="21" s="1"/>
  <c r="BP340" i="21"/>
  <c r="BO340" i="21" s="1"/>
  <c r="BN340" i="21" s="1"/>
  <c r="BM340" i="21" s="1"/>
  <c r="BL340" i="21" s="1"/>
  <c r="BP84" i="21"/>
  <c r="BP185" i="21"/>
  <c r="BP302" i="21"/>
  <c r="BP46" i="21"/>
  <c r="BP200" i="21"/>
  <c r="BP19" i="21"/>
  <c r="BP125" i="21"/>
  <c r="BP226" i="21"/>
  <c r="BP349" i="21"/>
  <c r="BP127" i="21"/>
  <c r="BP139" i="21"/>
  <c r="BO139" i="21" s="1"/>
  <c r="BN139" i="21" s="1"/>
  <c r="BM139" i="21" s="1"/>
  <c r="BL139" i="21" s="1"/>
  <c r="BP183" i="21"/>
  <c r="BO183" i="21" s="1"/>
  <c r="BN183" i="21" s="1"/>
  <c r="BM183" i="21" s="1"/>
  <c r="BL183" i="21" s="1"/>
  <c r="BP364" i="21"/>
  <c r="BO364" i="21" s="1"/>
  <c r="BN364" i="21" s="1"/>
  <c r="BM364" i="21" s="1"/>
  <c r="BL364" i="21" s="1"/>
  <c r="BP108" i="21"/>
  <c r="BO108" i="21" s="1"/>
  <c r="BN108" i="21" s="1"/>
  <c r="BM108" i="21" s="1"/>
  <c r="BL108" i="21" s="1"/>
  <c r="BP241" i="21"/>
  <c r="BO241" i="21" s="1"/>
  <c r="BN241" i="21" s="1"/>
  <c r="BM241" i="21" s="1"/>
  <c r="BL241" i="21" s="1"/>
  <c r="BP227" i="21"/>
  <c r="BO227" i="21" s="1"/>
  <c r="BN227" i="21" s="1"/>
  <c r="BM227" i="21" s="1"/>
  <c r="BL227" i="21" s="1"/>
  <c r="BP118" i="21"/>
  <c r="BP235" i="21"/>
  <c r="BP352" i="21"/>
  <c r="BP96" i="21"/>
  <c r="BP229" i="21"/>
  <c r="BO229" i="21" s="1"/>
  <c r="BN229" i="21" s="1"/>
  <c r="BM229" i="21" s="1"/>
  <c r="BL229" i="21" s="1"/>
  <c r="BP330" i="21"/>
  <c r="BP74" i="21"/>
  <c r="BP191" i="21"/>
  <c r="BP324" i="21"/>
  <c r="BP68" i="21"/>
  <c r="BP169" i="21"/>
  <c r="BP286" i="21"/>
  <c r="BO286" i="21" s="1"/>
  <c r="BN286" i="21" s="1"/>
  <c r="BM286" i="21" s="1"/>
  <c r="BL286" i="21" s="1"/>
  <c r="BP30" i="21"/>
  <c r="BO30" i="21" s="1"/>
  <c r="BN30" i="21" s="1"/>
  <c r="BM30" i="21" s="1"/>
  <c r="BL30" i="21" s="1"/>
  <c r="BP184" i="21"/>
  <c r="BO184" i="21" s="1"/>
  <c r="BN184" i="21" s="1"/>
  <c r="BM184" i="21" s="1"/>
  <c r="BL184" i="21" s="1"/>
  <c r="BP365" i="21"/>
  <c r="BO365" i="21" s="1"/>
  <c r="BN365" i="21" s="1"/>
  <c r="BM365" i="21" s="1"/>
  <c r="BL365" i="21" s="1"/>
  <c r="BP109" i="21"/>
  <c r="BO109" i="21" s="1"/>
  <c r="BN109" i="21" s="1"/>
  <c r="BM109" i="21" s="1"/>
  <c r="BL109" i="21" s="1"/>
  <c r="BP210" i="21"/>
  <c r="BP93" i="21"/>
  <c r="BP151" i="21"/>
  <c r="BP179" i="21"/>
  <c r="BP266" i="21"/>
  <c r="BO266" i="21" s="1"/>
  <c r="BN266" i="21" s="1"/>
  <c r="BM266" i="21" s="1"/>
  <c r="BL266" i="21" s="1"/>
  <c r="BP146" i="21"/>
  <c r="BP343" i="21"/>
  <c r="BP351" i="21"/>
  <c r="BP167" i="21"/>
  <c r="BP348" i="21"/>
  <c r="BP92" i="21"/>
  <c r="BP225" i="21"/>
  <c r="BO225" i="21" s="1"/>
  <c r="BN225" i="21" s="1"/>
  <c r="BM225" i="21" s="1"/>
  <c r="BL225" i="21" s="1"/>
  <c r="BP358" i="21"/>
  <c r="BO358" i="21" s="1"/>
  <c r="BN358" i="21" s="1"/>
  <c r="BM358" i="21" s="1"/>
  <c r="BL358" i="21" s="1"/>
  <c r="BP102" i="21"/>
  <c r="BO102" i="21" s="1"/>
  <c r="BN102" i="21" s="1"/>
  <c r="BM102" i="21" s="1"/>
  <c r="BL102" i="21" s="1"/>
  <c r="BP219" i="21"/>
  <c r="BO219" i="21" s="1"/>
  <c r="BN219" i="21" s="1"/>
  <c r="BM219" i="21" s="1"/>
  <c r="BL219" i="21" s="1"/>
  <c r="BP336" i="21"/>
  <c r="BO336" i="21" s="1"/>
  <c r="BN336" i="21" s="1"/>
  <c r="BM336" i="21" s="1"/>
  <c r="BL336" i="21" s="1"/>
  <c r="BP80" i="21"/>
  <c r="BP213" i="21"/>
  <c r="BP314" i="21"/>
  <c r="BP58" i="21"/>
  <c r="BP175" i="21"/>
  <c r="BO175" i="21" s="1"/>
  <c r="BN175" i="21" s="1"/>
  <c r="BM175" i="21" s="1"/>
  <c r="BL175" i="21" s="1"/>
  <c r="BP308" i="21"/>
  <c r="BP52" i="21"/>
  <c r="BP153" i="21"/>
  <c r="BP270" i="21"/>
  <c r="BP14" i="21"/>
  <c r="BP168" i="21"/>
  <c r="BP194" i="21"/>
  <c r="BO194" i="21" s="1"/>
  <c r="BN194" i="21" s="1"/>
  <c r="BM194" i="21" s="1"/>
  <c r="BL194" i="21" s="1"/>
  <c r="BP209" i="21"/>
  <c r="BO209" i="21" s="1"/>
  <c r="BN209" i="21" s="1"/>
  <c r="BM209" i="21" s="1"/>
  <c r="BL209" i="21" s="1"/>
  <c r="BP292" i="21"/>
  <c r="BO292" i="21" s="1"/>
  <c r="BN292" i="21" s="1"/>
  <c r="BM292" i="21" s="1"/>
  <c r="BL292" i="21" s="1"/>
  <c r="BP361" i="21"/>
  <c r="BO361" i="21" s="1"/>
  <c r="BN361" i="21" s="1"/>
  <c r="BM361" i="21" s="1"/>
  <c r="BL361" i="21" s="1"/>
  <c r="BP163" i="21"/>
  <c r="BO163" i="21" s="1"/>
  <c r="BN163" i="21" s="1"/>
  <c r="BM163" i="21" s="1"/>
  <c r="BL163" i="21" s="1"/>
  <c r="BP114" i="21"/>
  <c r="BP76" i="21"/>
  <c r="BP42" i="21"/>
  <c r="BP119" i="21"/>
  <c r="BP105" i="21"/>
  <c r="BP133" i="21"/>
  <c r="BP135" i="21"/>
  <c r="BP316" i="21"/>
  <c r="BP60" i="21"/>
  <c r="BP193" i="21"/>
  <c r="BP326" i="21"/>
  <c r="BO326" i="21" s="1"/>
  <c r="BN326" i="21" s="1"/>
  <c r="BM326" i="21" s="1"/>
  <c r="BL326" i="21" s="1"/>
  <c r="BP70" i="21"/>
  <c r="BO70" i="21" s="1"/>
  <c r="BN70" i="21" s="1"/>
  <c r="BM70" i="21" s="1"/>
  <c r="BL70" i="21" s="1"/>
  <c r="BP187" i="21"/>
  <c r="BO187" i="21" s="1"/>
  <c r="BN187" i="21" s="1"/>
  <c r="BM187" i="21" s="1"/>
  <c r="BL187" i="21" s="1"/>
  <c r="BP304" i="21"/>
  <c r="BO304" i="21" s="1"/>
  <c r="BN304" i="21" s="1"/>
  <c r="BM304" i="21" s="1"/>
  <c r="BL304" i="21" s="1"/>
  <c r="BP48" i="21"/>
  <c r="BO48" i="21" s="1"/>
  <c r="BN48" i="21" s="1"/>
  <c r="BM48" i="21" s="1"/>
  <c r="BL48" i="21" s="1"/>
  <c r="BP181" i="21"/>
  <c r="BO181" i="21" s="1"/>
  <c r="BN181" i="21" s="1"/>
  <c r="BM181" i="21" s="1"/>
  <c r="BL181" i="21" s="1"/>
  <c r="BP282" i="21"/>
  <c r="BP26" i="21"/>
  <c r="BP143" i="21"/>
  <c r="BP276" i="21"/>
  <c r="BP20" i="21"/>
  <c r="BO20" i="21" s="1"/>
  <c r="BN20" i="21" s="1"/>
  <c r="BM20" i="21" s="1"/>
  <c r="BL20" i="21" s="1"/>
  <c r="BP121" i="21"/>
  <c r="BP238" i="21"/>
  <c r="BP131" i="21"/>
  <c r="BP136" i="21"/>
  <c r="BP317" i="21"/>
  <c r="BP61" i="21"/>
  <c r="BP162" i="21"/>
  <c r="BO162" i="21" s="1"/>
  <c r="BN162" i="21" s="1"/>
  <c r="BM162" i="21" s="1"/>
  <c r="BL162" i="21" s="1"/>
  <c r="BP44" i="21"/>
  <c r="BO44" i="21" s="1"/>
  <c r="BN44" i="21" s="1"/>
  <c r="BM44" i="21" s="1"/>
  <c r="BL44" i="21" s="1"/>
  <c r="BP260" i="21"/>
  <c r="BO260" i="21" s="1"/>
  <c r="BN260" i="21" s="1"/>
  <c r="BM260" i="21" s="1"/>
  <c r="BL260" i="21" s="1"/>
  <c r="BP22" i="21"/>
  <c r="BO22" i="21" s="1"/>
  <c r="BN22" i="21" s="1"/>
  <c r="BM22" i="21" s="1"/>
  <c r="BL22" i="21" s="1"/>
  <c r="BP13" i="21"/>
  <c r="BO13" i="21" s="1"/>
  <c r="BN13" i="21" s="1"/>
  <c r="BM13" i="21" s="1"/>
  <c r="BL13" i="21" s="1"/>
  <c r="BP359" i="21"/>
  <c r="BP103" i="21"/>
  <c r="BP284" i="21"/>
  <c r="BP28" i="21"/>
  <c r="BP161" i="21"/>
  <c r="BP294" i="21"/>
  <c r="BP38" i="21"/>
  <c r="BP155" i="21"/>
  <c r="BP272" i="21"/>
  <c r="BP16" i="21"/>
  <c r="BP149" i="21"/>
  <c r="BP250" i="21"/>
  <c r="BO250" i="21" s="1"/>
  <c r="BN250" i="21" s="1"/>
  <c r="BM250" i="21" s="1"/>
  <c r="BL250" i="21" s="1"/>
  <c r="BP367" i="21"/>
  <c r="BO367" i="21" s="1"/>
  <c r="BN367" i="21" s="1"/>
  <c r="BM367" i="21" s="1"/>
  <c r="BL367" i="21" s="1"/>
  <c r="BP111" i="21"/>
  <c r="BO111" i="21" s="1"/>
  <c r="BN111" i="21" s="1"/>
  <c r="BM111" i="21" s="1"/>
  <c r="BL111" i="21" s="1"/>
  <c r="BP244" i="21"/>
  <c r="BO244" i="21" s="1"/>
  <c r="BN244" i="21" s="1"/>
  <c r="BM244" i="21" s="1"/>
  <c r="BL244" i="21" s="1"/>
  <c r="BP345" i="21"/>
  <c r="BO345" i="21" s="1"/>
  <c r="BN345" i="21" s="1"/>
  <c r="BM345" i="21" s="1"/>
  <c r="BL345" i="21" s="1"/>
  <c r="BP89" i="21"/>
  <c r="BP206" i="21"/>
  <c r="BP360" i="21"/>
  <c r="BP104" i="21"/>
  <c r="BP285" i="21"/>
  <c r="BO285" i="21" s="1"/>
  <c r="BN285" i="21" s="1"/>
  <c r="BM285" i="21" s="1"/>
  <c r="BL285" i="21" s="1"/>
  <c r="BP29" i="21"/>
  <c r="BP130" i="21"/>
  <c r="BP95" i="21"/>
  <c r="BO309" i="21"/>
  <c r="BN309" i="21" s="1"/>
  <c r="BM309" i="21" s="1"/>
  <c r="BL309" i="21" s="1"/>
  <c r="BO53" i="21"/>
  <c r="BN53" i="21" s="1"/>
  <c r="BM53" i="21" s="1"/>
  <c r="BL53" i="21" s="1"/>
  <c r="BO300" i="21"/>
  <c r="BN300" i="21" s="1"/>
  <c r="BM300" i="21" s="1"/>
  <c r="BL300" i="21" s="1"/>
  <c r="BO172" i="21"/>
  <c r="BN172" i="21" s="1"/>
  <c r="BM172" i="21" s="1"/>
  <c r="BL172" i="21" s="1"/>
  <c r="BO283" i="21"/>
  <c r="BN283" i="21" s="1"/>
  <c r="BM283" i="21" s="1"/>
  <c r="BL283" i="21" s="1"/>
  <c r="BO155" i="21"/>
  <c r="BN155" i="21" s="1"/>
  <c r="BM155" i="21" s="1"/>
  <c r="BL155" i="21" s="1"/>
  <c r="BO27" i="21"/>
  <c r="BN27" i="21" s="1"/>
  <c r="BM27" i="21" s="1"/>
  <c r="BL27" i="21" s="1"/>
  <c r="BO274" i="21"/>
  <c r="BN274" i="21" s="1"/>
  <c r="BM274" i="21" s="1"/>
  <c r="BL274" i="21" s="1"/>
  <c r="BO146" i="21"/>
  <c r="BO318" i="21"/>
  <c r="BN318" i="21" s="1"/>
  <c r="BM318" i="21" s="1"/>
  <c r="BL318" i="21" s="1"/>
  <c r="BO190" i="21"/>
  <c r="BO62" i="21"/>
  <c r="BN62" i="21" s="1"/>
  <c r="BM62" i="21" s="1"/>
  <c r="BL62" i="21" s="1"/>
  <c r="BO173" i="21"/>
  <c r="BN173" i="21" s="1"/>
  <c r="BM173" i="21" s="1"/>
  <c r="BL173" i="21" s="1"/>
  <c r="BO45" i="21"/>
  <c r="BN45" i="21" s="1"/>
  <c r="BM45" i="21" s="1"/>
  <c r="BL45" i="21" s="1"/>
  <c r="BO164" i="21"/>
  <c r="BO36" i="21"/>
  <c r="BN36" i="21" s="1"/>
  <c r="BM36" i="21" s="1"/>
  <c r="BL36" i="21" s="1"/>
  <c r="BO275" i="21"/>
  <c r="BN275" i="21" s="1"/>
  <c r="BM275" i="21" s="1"/>
  <c r="BL275" i="21" s="1"/>
  <c r="BO147" i="21"/>
  <c r="BN147" i="21" s="1"/>
  <c r="BM147" i="21" s="1"/>
  <c r="BL147" i="21" s="1"/>
  <c r="BO19" i="21"/>
  <c r="BN19" i="21" s="1"/>
  <c r="BM19" i="21" s="1"/>
  <c r="BL19" i="21" s="1"/>
  <c r="BO199" i="21"/>
  <c r="BN199" i="21" s="1"/>
  <c r="BM199" i="21" s="1"/>
  <c r="BL199" i="21" s="1"/>
  <c r="BO71" i="21"/>
  <c r="BN71" i="21" s="1"/>
  <c r="BM71" i="21" s="1"/>
  <c r="BL71" i="21" s="1"/>
  <c r="BO165" i="21"/>
  <c r="BN165" i="21" s="1"/>
  <c r="BM165" i="21" s="1"/>
  <c r="BL165" i="21" s="1"/>
  <c r="BO37" i="21"/>
  <c r="BN37" i="21" s="1"/>
  <c r="BM37" i="21" s="1"/>
  <c r="BO284" i="21"/>
  <c r="BN284" i="21" s="1"/>
  <c r="BM284" i="21" s="1"/>
  <c r="BL284" i="21" s="1"/>
  <c r="BO156" i="21"/>
  <c r="BN156" i="21" s="1"/>
  <c r="BM156" i="21" s="1"/>
  <c r="BL156" i="21" s="1"/>
  <c r="BO28" i="21"/>
  <c r="BO11" i="21"/>
  <c r="BN11" i="21" s="1"/>
  <c r="BM11" i="21" s="1"/>
  <c r="BL11" i="21" s="1"/>
  <c r="BO258" i="21"/>
  <c r="BO130" i="21"/>
  <c r="BN130" i="21" s="1"/>
  <c r="BM130" i="21" s="1"/>
  <c r="BL130" i="21" s="1"/>
  <c r="BO191" i="21"/>
  <c r="BN191" i="21" s="1"/>
  <c r="BM191" i="21" s="1"/>
  <c r="BL191" i="21" s="1"/>
  <c r="BO302" i="21"/>
  <c r="BN302" i="21" s="1"/>
  <c r="BM302" i="21" s="1"/>
  <c r="BL302" i="21" s="1"/>
  <c r="BO174" i="21"/>
  <c r="BO46" i="21"/>
  <c r="BN46" i="21" s="1"/>
  <c r="BM46" i="21" s="1"/>
  <c r="BL46" i="21" s="1"/>
  <c r="BO29" i="21"/>
  <c r="BN29" i="21" s="1"/>
  <c r="BM29" i="21" s="1"/>
  <c r="BL29" i="21" s="1"/>
  <c r="BO276" i="21"/>
  <c r="BN276" i="21" s="1"/>
  <c r="BM276" i="21" s="1"/>
  <c r="BL276" i="21" s="1"/>
  <c r="BO148" i="21"/>
  <c r="BN148" i="21" s="1"/>
  <c r="BM148" i="21" s="1"/>
  <c r="BL148" i="21" s="1"/>
  <c r="BO259" i="21"/>
  <c r="BN259" i="21" s="1"/>
  <c r="BM259" i="21" s="1"/>
  <c r="BL259" i="21" s="1"/>
  <c r="BO131" i="21"/>
  <c r="BN131" i="21" s="1"/>
  <c r="BM131" i="21" s="1"/>
  <c r="BL131" i="21" s="1"/>
  <c r="BO359" i="21"/>
  <c r="BN359" i="21" s="1"/>
  <c r="BM359" i="21" s="1"/>
  <c r="BL359" i="21" s="1"/>
  <c r="BO47" i="21"/>
  <c r="BN47" i="21" s="1"/>
  <c r="BM47" i="21" s="1"/>
  <c r="BL47" i="21" s="1"/>
  <c r="BO158" i="21"/>
  <c r="BN158" i="21" s="1"/>
  <c r="BM158" i="21" s="1"/>
  <c r="BL158" i="21" s="1"/>
  <c r="BO269" i="21"/>
  <c r="BN269" i="21" s="1"/>
  <c r="BM269" i="21" s="1"/>
  <c r="BL269" i="21" s="1"/>
  <c r="BO141" i="21"/>
  <c r="BN141" i="21" s="1"/>
  <c r="BM141" i="21" s="1"/>
  <c r="BL141" i="21" s="1"/>
  <c r="BO303" i="21"/>
  <c r="BN303" i="21" s="1"/>
  <c r="BM303" i="21" s="1"/>
  <c r="BL303" i="21" s="1"/>
  <c r="BO243" i="21"/>
  <c r="BN243" i="21" s="1"/>
  <c r="BM243" i="21" s="1"/>
  <c r="BL243" i="21" s="1"/>
  <c r="BO115" i="21"/>
  <c r="BN115" i="21" s="1"/>
  <c r="BM115" i="21" s="1"/>
  <c r="BL115" i="21" s="1"/>
  <c r="BO362" i="21"/>
  <c r="BO234" i="21"/>
  <c r="BN234" i="21" s="1"/>
  <c r="BM234" i="21" s="1"/>
  <c r="BL234" i="21" s="1"/>
  <c r="BO167" i="21"/>
  <c r="BN167" i="21" s="1"/>
  <c r="BM167" i="21" s="1"/>
  <c r="BL167" i="21" s="1"/>
  <c r="BO278" i="21"/>
  <c r="BN278" i="21" s="1"/>
  <c r="BM278" i="21" s="1"/>
  <c r="BL278" i="21" s="1"/>
  <c r="BO150" i="21"/>
  <c r="BN150" i="21" s="1"/>
  <c r="BM150" i="21" s="1"/>
  <c r="BL150" i="21" s="1"/>
  <c r="BO261" i="21"/>
  <c r="BN261" i="21" s="1"/>
  <c r="BM261" i="21" s="1"/>
  <c r="BL261" i="21" s="1"/>
  <c r="BO133" i="21"/>
  <c r="BN133" i="21" s="1"/>
  <c r="BM133" i="21" s="1"/>
  <c r="BL133" i="21" s="1"/>
  <c r="BO351" i="21"/>
  <c r="BN351" i="21" s="1"/>
  <c r="BM351" i="21" s="1"/>
  <c r="BL351" i="21" s="1"/>
  <c r="BO252" i="21"/>
  <c r="BN252" i="21" s="1"/>
  <c r="BM252" i="21" s="1"/>
  <c r="BL252" i="21" s="1"/>
  <c r="BO363" i="21"/>
  <c r="BN363" i="21" s="1"/>
  <c r="BM363" i="21" s="1"/>
  <c r="BL363" i="21" s="1"/>
  <c r="BO235" i="21"/>
  <c r="BN235" i="21" s="1"/>
  <c r="BM235" i="21" s="1"/>
  <c r="BL235" i="21" s="1"/>
  <c r="BO107" i="21"/>
  <c r="BN107" i="21" s="1"/>
  <c r="BM107" i="21" s="1"/>
  <c r="BL107" i="21" s="1"/>
  <c r="BO354" i="21"/>
  <c r="BN354" i="21" s="1"/>
  <c r="BM354" i="21" s="1"/>
  <c r="BL354" i="21" s="1"/>
  <c r="BO226" i="21"/>
  <c r="BN226" i="21" s="1"/>
  <c r="BM226" i="21" s="1"/>
  <c r="BL226" i="21" s="1"/>
  <c r="BO98" i="21"/>
  <c r="BN98" i="21" s="1"/>
  <c r="BM98" i="21" s="1"/>
  <c r="BL98" i="21" s="1"/>
  <c r="BO287" i="21"/>
  <c r="BN287" i="21" s="1"/>
  <c r="BM287" i="21" s="1"/>
  <c r="BL287" i="21" s="1"/>
  <c r="BO159" i="21"/>
  <c r="BN159" i="21" s="1"/>
  <c r="BM159" i="21" s="1"/>
  <c r="BL159" i="21" s="1"/>
  <c r="BO31" i="21"/>
  <c r="BN31" i="21" s="1"/>
  <c r="BM31" i="21" s="1"/>
  <c r="BL31" i="21" s="1"/>
  <c r="BO270" i="21"/>
  <c r="BN270" i="21" s="1"/>
  <c r="BM270" i="21" s="1"/>
  <c r="BL270" i="21" s="1"/>
  <c r="BO14" i="21"/>
  <c r="BN14" i="21" s="1"/>
  <c r="BM14" i="21" s="1"/>
  <c r="BL14" i="21" s="1"/>
  <c r="BO253" i="21"/>
  <c r="BN253" i="21" s="1"/>
  <c r="BM253" i="21" s="1"/>
  <c r="BL253" i="21" s="1"/>
  <c r="BO125" i="21"/>
  <c r="BN125" i="21" s="1"/>
  <c r="BM125" i="21" s="1"/>
  <c r="BL125" i="21" s="1"/>
  <c r="BO327" i="21"/>
  <c r="BN327" i="21" s="1"/>
  <c r="BM327" i="21" s="1"/>
  <c r="BL327" i="21" s="1"/>
  <c r="BO355" i="21"/>
  <c r="BN355" i="21" s="1"/>
  <c r="BM355" i="21" s="1"/>
  <c r="BL355" i="21" s="1"/>
  <c r="BO99" i="21"/>
  <c r="BN99" i="21" s="1"/>
  <c r="BM99" i="21" s="1"/>
  <c r="BL99" i="21" s="1"/>
  <c r="BO279" i="21"/>
  <c r="BN279" i="21" s="1"/>
  <c r="BM279" i="21" s="1"/>
  <c r="BL279" i="21" s="1"/>
  <c r="BO151" i="21"/>
  <c r="BN151" i="21" s="1"/>
  <c r="BM151" i="21" s="1"/>
  <c r="BL151" i="21" s="1"/>
  <c r="BO23" i="21"/>
  <c r="BO262" i="21"/>
  <c r="BN262" i="21" s="1"/>
  <c r="BM262" i="21" s="1"/>
  <c r="BL262" i="21" s="1"/>
  <c r="BO134" i="21"/>
  <c r="BN134" i="21" s="1"/>
  <c r="BM134" i="21" s="1"/>
  <c r="BL134" i="21" s="1"/>
  <c r="BO343" i="21"/>
  <c r="BN343" i="21" s="1"/>
  <c r="BM343" i="21" s="1"/>
  <c r="BL343" i="21" s="1"/>
  <c r="BO236" i="21"/>
  <c r="BN236" i="21" s="1"/>
  <c r="BM236" i="21" s="1"/>
  <c r="BL236" i="21" s="1"/>
  <c r="BO347" i="21"/>
  <c r="BN347" i="21" s="1"/>
  <c r="BM347" i="21" s="1"/>
  <c r="BL347" i="21" s="1"/>
  <c r="BO91" i="21"/>
  <c r="BN91" i="21" s="1"/>
  <c r="BM91" i="21" s="1"/>
  <c r="BL91" i="21" s="1"/>
  <c r="BO338" i="21"/>
  <c r="BN338" i="21" s="1"/>
  <c r="BM338" i="21" s="1"/>
  <c r="BL338" i="21" s="1"/>
  <c r="BO210" i="21"/>
  <c r="BN210" i="21" s="1"/>
  <c r="BM210" i="21" s="1"/>
  <c r="BL210" i="21" s="1"/>
  <c r="BO82" i="21"/>
  <c r="BN82" i="21" s="1"/>
  <c r="BM82" i="21" s="1"/>
  <c r="BL82" i="21" s="1"/>
  <c r="BO263" i="21"/>
  <c r="BN263" i="21" s="1"/>
  <c r="BM263" i="21" s="1"/>
  <c r="BL263" i="21" s="1"/>
  <c r="BO135" i="21"/>
  <c r="BN135" i="21" s="1"/>
  <c r="BM135" i="21" s="1"/>
  <c r="BL135" i="21" s="1"/>
  <c r="BO246" i="21"/>
  <c r="BN246" i="21" s="1"/>
  <c r="BM246" i="21" s="1"/>
  <c r="BL246" i="21" s="1"/>
  <c r="BO118" i="21"/>
  <c r="BN118" i="21" s="1"/>
  <c r="BM118" i="21" s="1"/>
  <c r="BL118" i="21" s="1"/>
  <c r="BO357" i="21"/>
  <c r="BN357" i="21" s="1"/>
  <c r="BM357" i="21" s="1"/>
  <c r="BL357" i="21" s="1"/>
  <c r="BO101" i="21"/>
  <c r="BN101" i="21" s="1"/>
  <c r="BM101" i="21" s="1"/>
  <c r="BL101" i="21" s="1"/>
  <c r="BO348" i="21"/>
  <c r="BN348" i="21" s="1"/>
  <c r="BM348" i="21" s="1"/>
  <c r="BL348" i="21" s="1"/>
  <c r="BO92" i="21"/>
  <c r="BN92" i="21" s="1"/>
  <c r="BM92" i="21" s="1"/>
  <c r="BL92" i="21" s="1"/>
  <c r="BO203" i="21"/>
  <c r="BN203" i="21" s="1"/>
  <c r="BM203" i="21" s="1"/>
  <c r="BL203" i="21" s="1"/>
  <c r="BO75" i="21"/>
  <c r="BN75" i="21" s="1"/>
  <c r="BM75" i="21" s="1"/>
  <c r="BL75" i="21" s="1"/>
  <c r="BO322" i="21"/>
  <c r="BN322" i="21" s="1"/>
  <c r="BM322" i="21" s="1"/>
  <c r="BL322" i="21" s="1"/>
  <c r="BO255" i="21"/>
  <c r="BN255" i="21" s="1"/>
  <c r="BM255" i="21" s="1"/>
  <c r="BL255" i="21" s="1"/>
  <c r="BO127" i="21"/>
  <c r="BN127" i="21" s="1"/>
  <c r="BM127" i="21" s="1"/>
  <c r="BL127" i="21" s="1"/>
  <c r="BO366" i="21"/>
  <c r="BN366" i="21" s="1"/>
  <c r="BM366" i="21" s="1"/>
  <c r="BL366" i="21" s="1"/>
  <c r="BO238" i="21"/>
  <c r="BN238" i="21" s="1"/>
  <c r="BM238" i="21" s="1"/>
  <c r="BL238" i="21" s="1"/>
  <c r="BO110" i="21"/>
  <c r="BN110" i="21" s="1"/>
  <c r="BM110" i="21" s="1"/>
  <c r="BL110" i="21" s="1"/>
  <c r="BO349" i="21"/>
  <c r="BN349" i="21" s="1"/>
  <c r="BM349" i="21" s="1"/>
  <c r="BL349" i="21" s="1"/>
  <c r="BO221" i="21"/>
  <c r="BN221" i="21" s="1"/>
  <c r="BM221" i="21" s="1"/>
  <c r="BL221" i="21" s="1"/>
  <c r="BO93" i="21"/>
  <c r="BN93" i="21" s="1"/>
  <c r="BM93" i="21" s="1"/>
  <c r="BL93" i="21" s="1"/>
  <c r="BO84" i="21"/>
  <c r="BN84" i="21" s="1"/>
  <c r="BM84" i="21" s="1"/>
  <c r="BL84" i="21" s="1"/>
  <c r="BO247" i="21"/>
  <c r="BN247" i="21" s="1"/>
  <c r="BM247" i="21" s="1"/>
  <c r="BL247" i="21" s="1"/>
  <c r="BO119" i="21"/>
  <c r="BN119" i="21" s="1"/>
  <c r="BM119" i="21" s="1"/>
  <c r="BL119" i="21" s="1"/>
  <c r="BO230" i="21"/>
  <c r="BN230" i="21" s="1"/>
  <c r="BM230" i="21" s="1"/>
  <c r="BL230" i="21" s="1"/>
  <c r="BO341" i="21"/>
  <c r="BN341" i="21" s="1"/>
  <c r="BM341" i="21" s="1"/>
  <c r="BL341" i="21" s="1"/>
  <c r="BO213" i="21"/>
  <c r="BN213" i="21" s="1"/>
  <c r="BM213" i="21" s="1"/>
  <c r="BL213" i="21" s="1"/>
  <c r="BO85" i="21"/>
  <c r="BN85" i="21" s="1"/>
  <c r="BM85" i="21" s="1"/>
  <c r="BL85" i="21" s="1"/>
  <c r="BO332" i="21"/>
  <c r="BN332" i="21" s="1"/>
  <c r="BM332" i="21" s="1"/>
  <c r="BL332" i="21" s="1"/>
  <c r="BO76" i="21"/>
  <c r="BN76" i="21" s="1"/>
  <c r="BM76" i="21" s="1"/>
  <c r="BL76" i="21" s="1"/>
  <c r="BO59" i="21"/>
  <c r="BN59" i="21" s="1"/>
  <c r="BM59" i="21" s="1"/>
  <c r="BL59" i="21" s="1"/>
  <c r="BO231" i="21"/>
  <c r="BN231" i="21" s="1"/>
  <c r="BM231" i="21" s="1"/>
  <c r="BL231" i="21" s="1"/>
  <c r="BO103" i="21"/>
  <c r="BN103" i="21" s="1"/>
  <c r="BM103" i="21" s="1"/>
  <c r="BL103" i="21" s="1"/>
  <c r="BO342" i="21"/>
  <c r="BN342" i="21" s="1"/>
  <c r="BM342" i="21" s="1"/>
  <c r="BL342" i="21" s="1"/>
  <c r="BO86" i="21"/>
  <c r="BN86" i="21" s="1"/>
  <c r="BM86" i="21" s="1"/>
  <c r="BL86" i="21" s="1"/>
  <c r="BO325" i="21"/>
  <c r="BN325" i="21" s="1"/>
  <c r="BM325" i="21" s="1"/>
  <c r="BL325" i="21" s="1"/>
  <c r="BO197" i="21"/>
  <c r="BN197" i="21" s="1"/>
  <c r="BM197" i="21" s="1"/>
  <c r="BL197" i="21" s="1"/>
  <c r="BO69" i="21"/>
  <c r="BN69" i="21" s="1"/>
  <c r="BM69" i="21" s="1"/>
  <c r="BL69" i="21" s="1"/>
  <c r="BO316" i="21"/>
  <c r="BN316" i="21" s="1"/>
  <c r="BM316" i="21" s="1"/>
  <c r="BL316" i="21" s="1"/>
  <c r="BO60" i="21"/>
  <c r="BN60" i="21" s="1"/>
  <c r="BM60" i="21" s="1"/>
  <c r="BL60" i="21" s="1"/>
  <c r="BO206" i="21"/>
  <c r="BN206" i="21" s="1"/>
  <c r="BM206" i="21" s="1"/>
  <c r="BL206" i="21" s="1"/>
  <c r="BO61" i="21"/>
  <c r="BN61" i="21" s="1"/>
  <c r="BM61" i="21" s="1"/>
  <c r="BL61" i="21" s="1"/>
  <c r="BO291" i="21"/>
  <c r="BN291" i="21" s="1"/>
  <c r="BM291" i="21" s="1"/>
  <c r="BL291" i="21" s="1"/>
  <c r="BO273" i="21"/>
  <c r="BN273" i="21" s="1"/>
  <c r="BM273" i="21" s="1"/>
  <c r="BL273" i="21" s="1"/>
  <c r="BO17" i="21"/>
  <c r="BN17" i="21" s="1"/>
  <c r="BM17" i="21" s="1"/>
  <c r="BL17" i="21" s="1"/>
  <c r="BO248" i="21"/>
  <c r="BN248" i="21" s="1"/>
  <c r="BM248" i="21" s="1"/>
  <c r="BL248" i="21" s="1"/>
  <c r="BO149" i="21"/>
  <c r="BN149" i="21" s="1"/>
  <c r="BM149" i="21" s="1"/>
  <c r="BL149" i="21" s="1"/>
  <c r="BO314" i="21"/>
  <c r="BN314" i="21" s="1"/>
  <c r="BM314" i="21" s="1"/>
  <c r="BL314" i="21" s="1"/>
  <c r="BO166" i="21"/>
  <c r="BN166" i="21" s="1"/>
  <c r="BM166" i="21" s="1"/>
  <c r="BL166" i="21" s="1"/>
  <c r="BO21" i="21"/>
  <c r="BN21" i="21" s="1"/>
  <c r="BM21" i="21" s="1"/>
  <c r="BL21" i="21" s="1"/>
  <c r="BO251" i="21"/>
  <c r="BN251" i="21" s="1"/>
  <c r="BM251" i="21" s="1"/>
  <c r="BL251" i="21" s="1"/>
  <c r="BO42" i="21"/>
  <c r="BN42" i="21" s="1"/>
  <c r="BM42" i="21" s="1"/>
  <c r="BL42" i="21" s="1"/>
  <c r="BO265" i="21"/>
  <c r="BN265" i="21" s="1"/>
  <c r="BM265" i="21" s="1"/>
  <c r="BL265" i="21" s="1"/>
  <c r="BO137" i="21"/>
  <c r="BN137" i="21" s="1"/>
  <c r="BM137" i="21" s="1"/>
  <c r="BL137" i="21" s="1"/>
  <c r="BO9" i="21"/>
  <c r="BN9" i="21" s="1"/>
  <c r="BM9" i="21" s="1"/>
  <c r="BL9" i="21" s="1"/>
  <c r="BO240" i="21"/>
  <c r="BN240" i="21" s="1"/>
  <c r="BM240" i="21" s="1"/>
  <c r="BL240" i="21" s="1"/>
  <c r="BO112" i="21"/>
  <c r="BN112" i="21" s="1"/>
  <c r="BM112" i="21" s="1"/>
  <c r="BL112" i="21" s="1"/>
  <c r="BO153" i="21"/>
  <c r="BN153" i="21" s="1"/>
  <c r="BM153" i="21" s="1"/>
  <c r="BL153" i="21" s="1"/>
  <c r="BO128" i="21"/>
  <c r="BN128" i="21" s="1"/>
  <c r="BM128" i="21" s="1"/>
  <c r="BL128" i="21" s="1"/>
  <c r="BO271" i="21"/>
  <c r="BN271" i="21" s="1"/>
  <c r="BM271" i="21" s="1"/>
  <c r="BL271" i="21" s="1"/>
  <c r="BO126" i="21"/>
  <c r="BN126" i="21" s="1"/>
  <c r="BM126" i="21" s="1"/>
  <c r="BL126" i="21" s="1"/>
  <c r="BO282" i="21"/>
  <c r="BN282" i="21" s="1"/>
  <c r="BM282" i="21" s="1"/>
  <c r="BL282" i="21" s="1"/>
  <c r="BO34" i="21"/>
  <c r="BN34" i="21" s="1"/>
  <c r="BM34" i="21" s="1"/>
  <c r="BL34" i="21" s="1"/>
  <c r="BO257" i="21"/>
  <c r="BN257" i="21" s="1"/>
  <c r="BM257" i="21" s="1"/>
  <c r="BL257" i="21" s="1"/>
  <c r="BO129" i="21"/>
  <c r="BN129" i="21" s="1"/>
  <c r="BM129" i="21" s="1"/>
  <c r="BL129" i="21" s="1"/>
  <c r="BO360" i="21"/>
  <c r="BN360" i="21" s="1"/>
  <c r="BM360" i="21" s="1"/>
  <c r="BL360" i="21" s="1"/>
  <c r="BO232" i="21"/>
  <c r="BN232" i="21" s="1"/>
  <c r="BM232" i="21" s="1"/>
  <c r="BL232" i="21" s="1"/>
  <c r="BO104" i="21"/>
  <c r="BN104" i="21" s="1"/>
  <c r="BM104" i="21" s="1"/>
  <c r="BL104" i="21" s="1"/>
  <c r="BO94" i="21"/>
  <c r="BN94" i="21" s="1"/>
  <c r="BM94" i="21" s="1"/>
  <c r="BL94" i="21" s="1"/>
  <c r="BO324" i="21"/>
  <c r="BN324" i="21" s="1"/>
  <c r="BM324" i="21" s="1"/>
  <c r="BL324" i="21" s="1"/>
  <c r="BO195" i="21"/>
  <c r="BN195" i="21" s="1"/>
  <c r="BM195" i="21" s="1"/>
  <c r="BL195" i="21" s="1"/>
  <c r="BO242" i="21"/>
  <c r="BN242" i="21" s="1"/>
  <c r="BM242" i="21" s="1"/>
  <c r="BL242" i="21" s="1"/>
  <c r="BO26" i="21"/>
  <c r="BN26" i="21" s="1"/>
  <c r="BM26" i="21" s="1"/>
  <c r="BL26" i="21" s="1"/>
  <c r="BO249" i="21"/>
  <c r="BN249" i="21" s="1"/>
  <c r="BM249" i="21" s="1"/>
  <c r="BL249" i="21" s="1"/>
  <c r="BO121" i="21"/>
  <c r="BN121" i="21" s="1"/>
  <c r="BM121" i="21" s="1"/>
  <c r="BL121" i="21" s="1"/>
  <c r="BO352" i="21"/>
  <c r="BN352" i="21" s="1"/>
  <c r="BM352" i="21" s="1"/>
  <c r="BL352" i="21" s="1"/>
  <c r="BO224" i="21"/>
  <c r="BN224" i="21" s="1"/>
  <c r="BM224" i="21" s="1"/>
  <c r="BL224" i="21" s="1"/>
  <c r="BO96" i="21"/>
  <c r="BN96" i="21" s="1"/>
  <c r="BM96" i="21" s="1"/>
  <c r="BL96" i="21" s="1"/>
  <c r="BO169" i="21"/>
  <c r="BN169" i="21" s="1"/>
  <c r="BM169" i="21" s="1"/>
  <c r="BL169" i="21" s="1"/>
  <c r="BO307" i="21"/>
  <c r="BN307" i="21" s="1"/>
  <c r="BM307" i="21" s="1"/>
  <c r="BL307" i="21" s="1"/>
  <c r="BO223" i="21"/>
  <c r="BN223" i="21" s="1"/>
  <c r="BM223" i="21" s="1"/>
  <c r="BL223" i="21" s="1"/>
  <c r="BO78" i="21"/>
  <c r="BN78" i="21" s="1"/>
  <c r="BM78" i="21" s="1"/>
  <c r="BL78" i="21" s="1"/>
  <c r="BO308" i="21"/>
  <c r="BN308" i="21" s="1"/>
  <c r="BM308" i="21" s="1"/>
  <c r="BL308" i="21" s="1"/>
  <c r="BO179" i="21"/>
  <c r="BN179" i="21" s="1"/>
  <c r="BM179" i="21" s="1"/>
  <c r="BL179" i="21" s="1"/>
  <c r="BO202" i="21"/>
  <c r="BN202" i="21" s="1"/>
  <c r="BM202" i="21" s="1"/>
  <c r="BL202" i="21" s="1"/>
  <c r="BO18" i="21"/>
  <c r="BN18" i="21" s="1"/>
  <c r="BM18" i="21" s="1"/>
  <c r="BL18" i="21" s="1"/>
  <c r="BO113" i="21"/>
  <c r="BN113" i="21" s="1"/>
  <c r="BM113" i="21" s="1"/>
  <c r="BL113" i="21" s="1"/>
  <c r="BO344" i="21"/>
  <c r="BN344" i="21" s="1"/>
  <c r="BM344" i="21" s="1"/>
  <c r="BL344" i="21" s="1"/>
  <c r="BO38" i="21"/>
  <c r="BN38" i="21" s="1"/>
  <c r="BM38" i="21" s="1"/>
  <c r="BL38" i="21" s="1"/>
  <c r="BO268" i="21"/>
  <c r="BN268" i="21" s="1"/>
  <c r="BM268" i="21" s="1"/>
  <c r="BL268" i="21" s="1"/>
  <c r="BO171" i="21"/>
  <c r="BN171" i="21" s="1"/>
  <c r="BM171" i="21" s="1"/>
  <c r="BL171" i="21" s="1"/>
  <c r="BO186" i="21"/>
  <c r="BN186" i="21" s="1"/>
  <c r="BM186" i="21" s="1"/>
  <c r="BL186" i="21" s="1"/>
  <c r="BO10" i="21"/>
  <c r="BN10" i="21" s="1"/>
  <c r="BM10" i="21" s="1"/>
  <c r="BL10" i="21" s="1"/>
  <c r="BO233" i="21"/>
  <c r="BN233" i="21" s="1"/>
  <c r="BM233" i="21" s="1"/>
  <c r="BL233" i="21" s="1"/>
  <c r="BO105" i="21"/>
  <c r="BN105" i="21" s="1"/>
  <c r="BM105" i="21" s="1"/>
  <c r="BL105" i="21" s="1"/>
  <c r="BO208" i="21"/>
  <c r="BN208" i="21" s="1"/>
  <c r="BM208" i="21" s="1"/>
  <c r="BL208" i="21" s="1"/>
  <c r="BO80" i="21"/>
  <c r="BN80" i="21" s="1"/>
  <c r="BM80" i="21" s="1"/>
  <c r="BL80" i="21" s="1"/>
  <c r="BO143" i="21"/>
  <c r="BN143" i="21" s="1"/>
  <c r="BM143" i="21" s="1"/>
  <c r="BL143" i="21" s="1"/>
  <c r="BO170" i="21"/>
  <c r="BN170" i="21" s="1"/>
  <c r="BM170" i="21" s="1"/>
  <c r="BL170" i="21" s="1"/>
  <c r="BO97" i="21"/>
  <c r="BN97" i="21" s="1"/>
  <c r="BM97" i="21" s="1"/>
  <c r="BL97" i="21" s="1"/>
  <c r="BO328" i="21"/>
  <c r="BN328" i="21" s="1"/>
  <c r="BM328" i="21" s="1"/>
  <c r="BL328" i="21" s="1"/>
  <c r="BO200" i="21"/>
  <c r="BN200" i="21" s="1"/>
  <c r="BM200" i="21" s="1"/>
  <c r="BL200" i="21" s="1"/>
  <c r="BO72" i="21"/>
  <c r="BN72" i="21" s="1"/>
  <c r="BM72" i="21" s="1"/>
  <c r="BL72" i="21" s="1"/>
  <c r="BO294" i="21"/>
  <c r="BN294" i="21" s="1"/>
  <c r="BM294" i="21" s="1"/>
  <c r="BL294" i="21" s="1"/>
  <c r="BO58" i="21"/>
  <c r="BN58" i="21" s="1"/>
  <c r="BM58" i="21" s="1"/>
  <c r="BL58" i="21" s="1"/>
  <c r="BO333" i="21"/>
  <c r="BN333" i="21" s="1"/>
  <c r="BM333" i="21" s="1"/>
  <c r="BL333" i="21" s="1"/>
  <c r="BO123" i="21"/>
  <c r="BN123" i="21" s="1"/>
  <c r="BM123" i="21" s="1"/>
  <c r="BL123" i="21" s="1"/>
  <c r="BO89" i="21"/>
  <c r="BN89" i="21" s="1"/>
  <c r="BM89" i="21" s="1"/>
  <c r="BL89" i="21" s="1"/>
  <c r="BO320" i="21"/>
  <c r="BN320" i="21" s="1"/>
  <c r="BM320" i="21" s="1"/>
  <c r="BL320" i="21" s="1"/>
  <c r="BO192" i="21"/>
  <c r="BN192" i="21" s="1"/>
  <c r="BM192" i="21" s="1"/>
  <c r="BL192" i="21" s="1"/>
  <c r="BO64" i="21"/>
  <c r="BN64" i="21" s="1"/>
  <c r="BM64" i="21" s="1"/>
  <c r="BL64" i="21" s="1"/>
  <c r="BO95" i="21"/>
  <c r="BN95" i="21" s="1"/>
  <c r="BM95" i="21" s="1"/>
  <c r="BL95" i="21" s="1"/>
  <c r="BO317" i="21"/>
  <c r="BN317" i="21" s="1"/>
  <c r="BM317" i="21" s="1"/>
  <c r="BL317" i="21" s="1"/>
  <c r="BO180" i="21"/>
  <c r="BN180" i="21" s="1"/>
  <c r="BM180" i="21" s="1"/>
  <c r="BL180" i="21" s="1"/>
  <c r="BO154" i="21"/>
  <c r="BN154" i="21" s="1"/>
  <c r="BM154" i="21" s="1"/>
  <c r="BL154" i="21" s="1"/>
  <c r="BO312" i="21"/>
  <c r="BN312" i="21" s="1"/>
  <c r="BM312" i="21" s="1"/>
  <c r="BL312" i="21" s="1"/>
  <c r="BO56" i="21"/>
  <c r="BN56" i="21" s="1"/>
  <c r="BM56" i="21" s="1"/>
  <c r="BL56" i="21" s="1"/>
  <c r="BO32" i="21"/>
  <c r="BN32" i="21" s="1"/>
  <c r="BM32" i="21" s="1"/>
  <c r="BL32" i="21" s="1"/>
  <c r="BO74" i="21"/>
  <c r="BN74" i="21" s="1"/>
  <c r="BM74" i="21" s="1"/>
  <c r="BL74" i="21" s="1"/>
  <c r="BO144" i="21"/>
  <c r="BN144" i="21" s="1"/>
  <c r="BM144" i="21" s="1"/>
  <c r="BL144" i="21" s="1"/>
  <c r="BO55" i="21"/>
  <c r="BN55" i="21" s="1"/>
  <c r="BM55" i="21" s="1"/>
  <c r="BL55" i="21" s="1"/>
  <c r="BO277" i="21"/>
  <c r="BN277" i="21" s="1"/>
  <c r="BM277" i="21" s="1"/>
  <c r="BL277" i="21" s="1"/>
  <c r="BO140" i="21"/>
  <c r="BN140" i="21" s="1"/>
  <c r="BM140" i="21" s="1"/>
  <c r="BL140" i="21" s="1"/>
  <c r="BO67" i="21"/>
  <c r="BN67" i="21" s="1"/>
  <c r="BM67" i="21" s="1"/>
  <c r="BL67" i="21" s="1"/>
  <c r="BO138" i="21"/>
  <c r="BN138" i="21" s="1"/>
  <c r="BM138" i="21" s="1"/>
  <c r="BL138" i="21" s="1"/>
  <c r="BO176" i="21"/>
  <c r="BN176" i="21" s="1"/>
  <c r="BM176" i="21" s="1"/>
  <c r="BL176" i="21" s="1"/>
  <c r="BO272" i="21"/>
  <c r="BN272" i="21" s="1"/>
  <c r="BM272" i="21" s="1"/>
  <c r="BL272" i="21" s="1"/>
  <c r="BO15" i="21"/>
  <c r="BN15" i="21" s="1"/>
  <c r="BM15" i="21" s="1"/>
  <c r="BL15" i="21" s="1"/>
  <c r="BO237" i="21"/>
  <c r="BN237" i="21" s="1"/>
  <c r="BM237" i="21" s="1"/>
  <c r="BL237" i="21" s="1"/>
  <c r="BO100" i="21"/>
  <c r="BN100" i="21" s="1"/>
  <c r="BM100" i="21" s="1"/>
  <c r="BL100" i="21" s="1"/>
  <c r="BO51" i="21"/>
  <c r="BN51" i="21" s="1"/>
  <c r="BM51" i="21" s="1"/>
  <c r="BL51" i="21" s="1"/>
  <c r="BO193" i="21"/>
  <c r="BN193" i="21" s="1"/>
  <c r="BM193" i="21" s="1"/>
  <c r="BL193" i="21" s="1"/>
  <c r="BO168" i="21"/>
  <c r="BN168" i="21" s="1"/>
  <c r="BM168" i="21" s="1"/>
  <c r="BL168" i="21" s="1"/>
  <c r="BO16" i="21"/>
  <c r="BN16" i="21" s="1"/>
  <c r="BM16" i="21" s="1"/>
  <c r="BL16" i="21" s="1"/>
  <c r="BO77" i="21"/>
  <c r="BN77" i="21" s="1"/>
  <c r="BM77" i="21" s="1"/>
  <c r="BL77" i="21" s="1"/>
  <c r="BO350" i="21"/>
  <c r="BN350" i="21" s="1"/>
  <c r="BM350" i="21" s="1"/>
  <c r="BL350" i="21" s="1"/>
  <c r="BO68" i="21"/>
  <c r="BN68" i="21" s="1"/>
  <c r="BM68" i="21" s="1"/>
  <c r="BL68" i="21" s="1"/>
  <c r="BO114" i="21"/>
  <c r="BN114" i="21" s="1"/>
  <c r="BM114" i="21" s="1"/>
  <c r="BL114" i="21" s="1"/>
  <c r="BO313" i="21"/>
  <c r="BN313" i="21" s="1"/>
  <c r="BM313" i="21" s="1"/>
  <c r="BL313" i="21" s="1"/>
  <c r="BO185" i="21"/>
  <c r="BN185" i="21" s="1"/>
  <c r="BM185" i="21" s="1"/>
  <c r="BL185" i="21" s="1"/>
  <c r="BO57" i="21"/>
  <c r="BN57" i="21" s="1"/>
  <c r="BM57" i="21" s="1"/>
  <c r="BL57" i="21" s="1"/>
  <c r="BO288" i="21"/>
  <c r="BN288" i="21" s="1"/>
  <c r="BM288" i="21" s="1"/>
  <c r="BL288" i="21" s="1"/>
  <c r="BO334" i="21"/>
  <c r="BN334" i="21" s="1"/>
  <c r="BM334" i="21" s="1"/>
  <c r="BL334" i="21" s="1"/>
  <c r="BO52" i="21"/>
  <c r="BN52" i="21" s="1"/>
  <c r="BM52" i="21" s="1"/>
  <c r="BL52" i="21" s="1"/>
  <c r="BO35" i="21"/>
  <c r="BN35" i="21" s="1"/>
  <c r="BM35" i="21" s="1"/>
  <c r="BL35" i="21" s="1"/>
  <c r="BO106" i="21"/>
  <c r="BN106" i="21" s="1"/>
  <c r="BM106" i="21" s="1"/>
  <c r="BL106" i="21" s="1"/>
  <c r="BO305" i="21"/>
  <c r="BN305" i="21" s="1"/>
  <c r="BM305" i="21" s="1"/>
  <c r="BL305" i="21" s="1"/>
  <c r="BO177" i="21"/>
  <c r="BN177" i="21" s="1"/>
  <c r="BM177" i="21" s="1"/>
  <c r="BL177" i="21" s="1"/>
  <c r="BO49" i="21"/>
  <c r="BN49" i="21" s="1"/>
  <c r="BM49" i="21" s="1"/>
  <c r="BL49" i="21" s="1"/>
  <c r="BO152" i="21"/>
  <c r="BN152" i="21" s="1"/>
  <c r="BM152" i="21" s="1"/>
  <c r="BL152" i="21" s="1"/>
  <c r="BO339" i="21"/>
  <c r="BN339" i="21" s="1"/>
  <c r="BM339" i="21" s="1"/>
  <c r="BL339" i="21" s="1"/>
  <c r="BO330" i="21"/>
  <c r="BN330" i="21" s="1"/>
  <c r="BM330" i="21" s="1"/>
  <c r="BL330" i="21" s="1"/>
  <c r="BO66" i="21"/>
  <c r="BN66" i="21" s="1"/>
  <c r="BM66" i="21" s="1"/>
  <c r="BL66" i="21" s="1"/>
  <c r="BO289" i="21"/>
  <c r="BN289" i="21" s="1"/>
  <c r="BM289" i="21" s="1"/>
  <c r="BL289" i="21" s="1"/>
  <c r="BO161" i="21"/>
  <c r="BN161" i="21" s="1"/>
  <c r="BM161" i="21" s="1"/>
  <c r="BL161" i="21" s="1"/>
  <c r="BO33" i="21"/>
  <c r="BN33" i="21" s="1"/>
  <c r="BM33" i="21" s="1"/>
  <c r="BL33" i="21" s="1"/>
  <c r="BO136" i="21"/>
  <c r="BN136" i="21" s="1"/>
  <c r="BM136" i="21" s="1"/>
  <c r="BL136" i="21" s="1"/>
  <c r="BN190" i="21"/>
  <c r="BM190" i="21" s="1"/>
  <c r="BL190" i="21" s="1"/>
  <c r="BN174" i="21"/>
  <c r="BM174" i="21" s="1"/>
  <c r="BL174" i="21" s="1"/>
  <c r="BN362" i="21"/>
  <c r="BM362" i="21" s="1"/>
  <c r="BL362" i="21" s="1"/>
  <c r="BN258" i="21"/>
  <c r="BM258" i="21" s="1"/>
  <c r="BL258" i="21" s="1"/>
  <c r="BN23" i="21"/>
  <c r="BM23" i="21" s="1"/>
  <c r="BL23" i="21" s="1"/>
  <c r="BN28" i="21"/>
  <c r="BM28" i="21" s="1"/>
  <c r="BL28" i="21" s="1"/>
  <c r="BN164" i="21"/>
  <c r="BM164" i="21" s="1"/>
  <c r="BL164" i="21" s="1"/>
  <c r="BN146" i="21"/>
  <c r="BM146" i="21" s="1"/>
  <c r="BL146" i="21" s="1"/>
  <c r="AT13" i="21"/>
  <c r="AT194" i="21"/>
  <c r="AT212" i="21"/>
  <c r="AT230" i="21"/>
  <c r="AT248" i="21"/>
  <c r="AT257" i="21"/>
  <c r="AT265" i="21"/>
  <c r="AT281" i="21"/>
  <c r="AT289" i="21"/>
  <c r="AT305" i="21"/>
  <c r="AT313" i="21"/>
  <c r="AT329" i="21"/>
  <c r="AT337" i="21"/>
  <c r="AT353" i="21"/>
  <c r="AT361" i="21"/>
  <c r="AT205" i="21"/>
  <c r="AT223" i="21"/>
  <c r="AT241" i="21"/>
  <c r="AT266" i="21"/>
  <c r="AT290" i="21"/>
  <c r="AT314" i="21"/>
  <c r="AT338" i="21"/>
  <c r="AT362" i="21"/>
  <c r="AT259" i="21"/>
  <c r="AT275" i="21"/>
  <c r="AT283" i="21"/>
  <c r="AT299" i="21"/>
  <c r="AT307" i="21"/>
  <c r="AT323" i="21"/>
  <c r="AT331" i="21"/>
  <c r="AT347" i="21"/>
  <c r="AT355" i="21"/>
  <c r="AT206" i="21"/>
  <c r="AT224" i="21"/>
  <c r="AT242" i="21"/>
  <c r="AT272" i="21"/>
  <c r="AT344" i="21"/>
  <c r="AT188" i="21"/>
  <c r="AT260" i="21"/>
  <c r="AT284" i="21"/>
  <c r="AT308" i="21"/>
  <c r="AT332" i="21"/>
  <c r="AT356" i="21"/>
  <c r="AT199" i="21"/>
  <c r="AT217" i="21"/>
  <c r="AT235" i="21"/>
  <c r="AT253" i="21"/>
  <c r="AT269" i="21"/>
  <c r="AT277" i="21"/>
  <c r="AT293" i="21"/>
  <c r="AT301" i="21"/>
  <c r="AT317" i="21"/>
  <c r="AT325" i="21"/>
  <c r="AT341" i="21"/>
  <c r="AT349" i="21"/>
  <c r="AT365" i="21"/>
  <c r="AT296" i="21"/>
  <c r="AT200" i="21"/>
  <c r="AT218" i="21"/>
  <c r="AT236" i="21"/>
  <c r="AT254" i="21"/>
  <c r="AT278" i="21"/>
  <c r="AT302" i="21"/>
  <c r="AT326" i="21"/>
  <c r="AT350" i="21"/>
  <c r="AT263" i="21"/>
  <c r="AT271" i="21"/>
  <c r="AT287" i="21"/>
  <c r="AT295" i="21"/>
  <c r="AT311" i="21"/>
  <c r="AT319" i="21"/>
  <c r="AT335" i="21"/>
  <c r="AT343" i="21"/>
  <c r="AT359" i="21"/>
  <c r="AT367" i="21"/>
  <c r="AT320" i="21"/>
  <c r="AT8" i="21"/>
  <c r="AT182" i="21"/>
  <c r="AT211" i="21"/>
  <c r="AT229" i="21"/>
  <c r="AT247" i="21"/>
  <c r="AT342" i="21"/>
  <c r="AT270" i="21"/>
  <c r="AT198" i="21"/>
  <c r="AT352" i="21"/>
  <c r="AT280" i="21"/>
  <c r="AT208" i="21"/>
  <c r="AT363" i="21"/>
  <c r="AT291" i="21"/>
  <c r="AT219" i="21"/>
  <c r="AT111" i="21"/>
  <c r="AT167" i="21"/>
  <c r="AT153" i="21"/>
  <c r="AT170" i="21"/>
  <c r="AT149" i="21"/>
  <c r="AT75" i="21"/>
  <c r="AT62" i="21"/>
  <c r="AT103" i="21"/>
  <c r="AT136" i="21"/>
  <c r="AT79" i="21"/>
  <c r="AT115" i="21"/>
  <c r="AT47" i="21"/>
  <c r="AT17" i="21"/>
  <c r="AT16" i="21"/>
  <c r="AT37" i="21"/>
  <c r="AT10" i="21"/>
  <c r="AT215" i="21"/>
  <c r="AT142" i="21"/>
  <c r="AT66" i="21"/>
  <c r="AT225" i="21"/>
  <c r="AT74" i="21"/>
  <c r="AT18" i="21"/>
  <c r="AT43" i="21"/>
  <c r="AT336" i="21"/>
  <c r="AT264" i="21"/>
  <c r="AT192" i="21"/>
  <c r="AT346" i="21"/>
  <c r="AT274" i="21"/>
  <c r="AT202" i="21"/>
  <c r="AT357" i="21"/>
  <c r="AT285" i="21"/>
  <c r="AT213" i="21"/>
  <c r="AT148" i="21"/>
  <c r="AT161" i="21"/>
  <c r="AT57" i="21"/>
  <c r="AT164" i="21"/>
  <c r="AT138" i="21"/>
  <c r="AT63" i="21"/>
  <c r="AT42" i="21"/>
  <c r="AT94" i="21"/>
  <c r="AT130" i="21"/>
  <c r="AT67" i="21"/>
  <c r="AT77" i="21"/>
  <c r="AT52" i="21"/>
  <c r="AT31" i="21"/>
  <c r="AT237" i="21"/>
  <c r="AT96" i="21"/>
  <c r="AT204" i="21"/>
  <c r="AT176" i="21"/>
  <c r="AT64" i="21"/>
  <c r="AT22" i="21"/>
  <c r="AT330" i="21"/>
  <c r="AT258" i="21"/>
  <c r="AT186" i="21"/>
  <c r="AT340" i="21"/>
  <c r="AT268" i="21"/>
  <c r="AT196" i="21"/>
  <c r="AT351" i="21"/>
  <c r="AT279" i="21"/>
  <c r="AT207" i="21"/>
  <c r="AT137" i="21"/>
  <c r="AT155" i="21"/>
  <c r="AT171" i="21"/>
  <c r="AT158" i="21"/>
  <c r="AT91" i="21"/>
  <c r="AT44" i="21"/>
  <c r="AT126" i="21"/>
  <c r="AT83" i="21"/>
  <c r="AT109" i="21"/>
  <c r="AT54" i="21"/>
  <c r="AT65" i="21"/>
  <c r="AT35" i="21"/>
  <c r="AT51" i="21"/>
  <c r="AT25" i="21"/>
  <c r="AT39" i="21"/>
  <c r="AT298" i="21"/>
  <c r="AT87" i="21"/>
  <c r="AT179" i="21"/>
  <c r="AT20" i="21"/>
  <c r="AT324" i="21"/>
  <c r="AT252" i="21"/>
  <c r="AT180" i="21"/>
  <c r="AT334" i="21"/>
  <c r="AT262" i="21"/>
  <c r="AT190" i="21"/>
  <c r="AT345" i="21"/>
  <c r="AT273" i="21"/>
  <c r="AT201" i="21"/>
  <c r="AT82" i="21"/>
  <c r="AT146" i="21"/>
  <c r="AT165" i="21"/>
  <c r="AT141" i="21"/>
  <c r="AT139" i="21"/>
  <c r="AT104" i="21"/>
  <c r="AT72" i="21"/>
  <c r="AT100" i="21"/>
  <c r="AT135" i="21"/>
  <c r="AT48" i="21"/>
  <c r="AT55" i="21"/>
  <c r="AT14" i="21"/>
  <c r="AT45" i="21"/>
  <c r="AT19" i="21"/>
  <c r="AT27" i="21"/>
  <c r="AT226" i="21"/>
  <c r="AT169" i="21"/>
  <c r="AT116" i="21"/>
  <c r="AT297" i="21"/>
  <c r="AT86" i="21"/>
  <c r="AT318" i="21"/>
  <c r="AT246" i="21"/>
  <c r="AT173" i="21"/>
  <c r="AT328" i="21"/>
  <c r="AT256" i="21"/>
  <c r="AT184" i="21"/>
  <c r="AT339" i="21"/>
  <c r="AT267" i="21"/>
  <c r="AT195" i="21"/>
  <c r="AT168" i="21"/>
  <c r="AT69" i="21"/>
  <c r="AT159" i="21"/>
  <c r="AT101" i="21"/>
  <c r="AT133" i="21"/>
  <c r="AT95" i="21"/>
  <c r="AT60" i="21"/>
  <c r="AT90" i="21"/>
  <c r="AT129" i="21"/>
  <c r="AT134" i="21"/>
  <c r="AT29" i="21"/>
  <c r="AT32" i="21"/>
  <c r="AT309" i="21"/>
  <c r="AT9" i="21"/>
  <c r="AT160" i="21"/>
  <c r="AT89" i="21"/>
  <c r="AT144" i="21"/>
  <c r="AT312" i="21"/>
  <c r="AT240" i="21"/>
  <c r="AT187" i="21"/>
  <c r="AT322" i="21"/>
  <c r="AT250" i="21"/>
  <c r="AT178" i="21"/>
  <c r="AT333" i="21"/>
  <c r="AT261" i="21"/>
  <c r="AT189" i="21"/>
  <c r="AT162" i="21"/>
  <c r="AT154" i="21"/>
  <c r="AT152" i="21"/>
  <c r="AT150" i="21"/>
  <c r="AT127" i="21"/>
  <c r="AT84" i="21"/>
  <c r="AT38" i="21"/>
  <c r="AT80" i="21"/>
  <c r="AT107" i="21"/>
  <c r="AT128" i="21"/>
  <c r="AT12" i="21"/>
  <c r="AT33" i="21"/>
  <c r="AT216" i="21"/>
  <c r="AT172" i="21"/>
  <c r="AT70" i="21"/>
  <c r="AT214" i="21"/>
  <c r="AT193" i="21"/>
  <c r="AT306" i="21"/>
  <c r="AT234" i="21"/>
  <c r="AT174" i="21"/>
  <c r="AT316" i="21"/>
  <c r="AT244" i="21"/>
  <c r="AT233" i="21"/>
  <c r="AT327" i="21"/>
  <c r="AT255" i="21"/>
  <c r="AT183" i="21"/>
  <c r="AT156" i="21"/>
  <c r="AT145" i="21"/>
  <c r="AT143" i="21"/>
  <c r="AT140" i="21"/>
  <c r="AT120" i="21"/>
  <c r="AT73" i="21"/>
  <c r="AT131" i="21"/>
  <c r="AT68" i="21"/>
  <c r="AT99" i="21"/>
  <c r="AT114" i="21"/>
  <c r="AT50" i="21"/>
  <c r="AT203" i="21"/>
  <c r="AT81" i="21"/>
  <c r="AT132" i="21"/>
  <c r="AT286" i="21"/>
  <c r="AT181" i="21"/>
  <c r="AT300" i="21"/>
  <c r="AT228" i="21"/>
  <c r="AT245" i="21"/>
  <c r="AT310" i="21"/>
  <c r="AT238" i="21"/>
  <c r="AT209" i="21"/>
  <c r="AT321" i="21"/>
  <c r="AT249" i="21"/>
  <c r="AT177" i="21"/>
  <c r="AT147" i="21"/>
  <c r="AT117" i="21"/>
  <c r="AT110" i="21"/>
  <c r="AT93" i="21"/>
  <c r="AT113" i="21"/>
  <c r="AT61" i="21"/>
  <c r="AT118" i="21"/>
  <c r="AT56" i="21"/>
  <c r="AT88" i="21"/>
  <c r="AT106" i="21"/>
  <c r="AT30" i="21"/>
  <c r="AT46" i="21"/>
  <c r="AT21" i="21"/>
  <c r="AT40" i="21"/>
  <c r="AT360" i="21"/>
  <c r="AT358" i="21"/>
  <c r="AT157" i="21"/>
  <c r="AT122" i="21"/>
  <c r="AT366" i="21"/>
  <c r="AT294" i="21"/>
  <c r="AT222" i="21"/>
  <c r="AT221" i="21"/>
  <c r="AT304" i="21"/>
  <c r="AT232" i="21"/>
  <c r="AT239" i="21"/>
  <c r="AT315" i="21"/>
  <c r="AT243" i="21"/>
  <c r="AT251" i="21"/>
  <c r="AT125" i="21"/>
  <c r="AT59" i="21"/>
  <c r="AT151" i="21"/>
  <c r="AT175" i="21"/>
  <c r="AT105" i="21"/>
  <c r="AT41" i="21"/>
  <c r="AT92" i="21"/>
  <c r="AT123" i="21"/>
  <c r="AT78" i="21"/>
  <c r="AT98" i="21"/>
  <c r="AT11" i="21"/>
  <c r="AT15" i="21"/>
  <c r="AT288" i="21"/>
  <c r="AT227" i="21"/>
  <c r="AT121" i="21"/>
  <c r="AT24" i="21"/>
  <c r="AT34" i="21"/>
  <c r="AT71" i="21"/>
  <c r="AT26" i="21"/>
  <c r="AT354" i="21"/>
  <c r="AT282" i="21"/>
  <c r="AT210" i="21"/>
  <c r="AT364" i="21"/>
  <c r="AT292" i="21"/>
  <c r="AT220" i="21"/>
  <c r="AT191" i="21"/>
  <c r="AT303" i="21"/>
  <c r="AT231" i="21"/>
  <c r="AT197" i="21"/>
  <c r="AT124" i="21"/>
  <c r="AT166" i="21"/>
  <c r="AT102" i="21"/>
  <c r="AT163" i="21"/>
  <c r="AT97" i="21"/>
  <c r="AT85" i="21"/>
  <c r="AT119" i="21"/>
  <c r="AT58" i="21"/>
  <c r="AT108" i="21"/>
  <c r="AT53" i="21"/>
  <c r="AT76" i="21"/>
  <c r="AT36" i="21"/>
  <c r="AT23" i="21"/>
  <c r="AT28" i="21"/>
  <c r="AT49" i="21"/>
  <c r="AT348" i="21"/>
  <c r="AT276" i="21"/>
  <c r="AT185" i="21"/>
  <c r="AT112" i="21"/>
  <c r="AS13" i="21"/>
  <c r="AS161" i="21"/>
  <c r="AS173" i="21"/>
  <c r="AS184" i="21"/>
  <c r="AS204" i="21"/>
  <c r="AS222" i="21"/>
  <c r="AS240" i="21"/>
  <c r="AS273" i="21"/>
  <c r="AS297" i="21"/>
  <c r="AS321" i="21"/>
  <c r="AS345" i="21"/>
  <c r="AS362" i="21"/>
  <c r="AS312" i="21"/>
  <c r="AS360" i="21"/>
  <c r="AS239" i="21"/>
  <c r="AS329" i="21"/>
  <c r="AS162" i="21"/>
  <c r="AS174" i="21"/>
  <c r="AS185" i="21"/>
  <c r="AS195" i="21"/>
  <c r="AS205" i="21"/>
  <c r="AS213" i="21"/>
  <c r="AS223" i="21"/>
  <c r="AS231" i="21"/>
  <c r="AS241" i="21"/>
  <c r="AS249" i="21"/>
  <c r="AS258" i="21"/>
  <c r="AS266" i="21"/>
  <c r="AS274" i="21"/>
  <c r="AS282" i="21"/>
  <c r="AS290" i="21"/>
  <c r="AS298" i="21"/>
  <c r="AS306" i="21"/>
  <c r="AS314" i="21"/>
  <c r="AS322" i="21"/>
  <c r="AS330" i="21"/>
  <c r="AS338" i="21"/>
  <c r="AS346" i="21"/>
  <c r="AS354" i="21"/>
  <c r="AS336" i="21"/>
  <c r="AS203" i="21"/>
  <c r="AS265" i="21"/>
  <c r="AS353" i="21"/>
  <c r="AS163" i="21"/>
  <c r="AS175" i="21"/>
  <c r="AS186" i="21"/>
  <c r="AS196" i="21"/>
  <c r="AS214" i="21"/>
  <c r="AS232" i="21"/>
  <c r="AS250" i="21"/>
  <c r="AS259" i="21"/>
  <c r="AS275" i="21"/>
  <c r="AS283" i="21"/>
  <c r="AS299" i="21"/>
  <c r="AS307" i="21"/>
  <c r="AS323" i="21"/>
  <c r="AS331" i="21"/>
  <c r="AS347" i="21"/>
  <c r="AS355" i="21"/>
  <c r="AS296" i="21"/>
  <c r="AS8" i="21"/>
  <c r="AS248" i="21"/>
  <c r="AS305" i="21"/>
  <c r="AS164" i="21"/>
  <c r="AS176" i="21"/>
  <c r="AS187" i="21"/>
  <c r="AS197" i="21"/>
  <c r="AS206" i="21"/>
  <c r="AS215" i="21"/>
  <c r="AS224" i="21"/>
  <c r="AS233" i="21"/>
  <c r="AS242" i="21"/>
  <c r="AS251" i="21"/>
  <c r="AS267" i="21"/>
  <c r="AS291" i="21"/>
  <c r="AS315" i="21"/>
  <c r="AS339" i="21"/>
  <c r="AS363" i="21"/>
  <c r="AS320" i="21"/>
  <c r="AS194" i="21"/>
  <c r="AS281" i="21"/>
  <c r="AS165" i="21"/>
  <c r="AS177" i="21"/>
  <c r="AS188" i="21"/>
  <c r="AS198" i="21"/>
  <c r="AS216" i="21"/>
  <c r="AS234" i="21"/>
  <c r="AS252" i="21"/>
  <c r="AS260" i="21"/>
  <c r="AS268" i="21"/>
  <c r="AS276" i="21"/>
  <c r="AS284" i="21"/>
  <c r="AS292" i="21"/>
  <c r="AS300" i="21"/>
  <c r="AS308" i="21"/>
  <c r="AS316" i="21"/>
  <c r="AS324" i="21"/>
  <c r="AS332" i="21"/>
  <c r="AS340" i="21"/>
  <c r="AS348" i="21"/>
  <c r="AS356" i="21"/>
  <c r="AS364" i="21"/>
  <c r="AS366" i="21"/>
  <c r="AS344" i="21"/>
  <c r="AS230" i="21"/>
  <c r="AS166" i="21"/>
  <c r="AS178" i="21"/>
  <c r="AS199" i="21"/>
  <c r="AS207" i="21"/>
  <c r="AS217" i="21"/>
  <c r="AS225" i="21"/>
  <c r="AS235" i="21"/>
  <c r="AS243" i="21"/>
  <c r="AS253" i="21"/>
  <c r="AS269" i="21"/>
  <c r="AS277" i="21"/>
  <c r="AS293" i="21"/>
  <c r="AS301" i="21"/>
  <c r="AS317" i="21"/>
  <c r="AS325" i="21"/>
  <c r="AS341" i="21"/>
  <c r="AS349" i="21"/>
  <c r="AS365" i="21"/>
  <c r="AS358" i="21"/>
  <c r="AS352" i="21"/>
  <c r="AS212" i="21"/>
  <c r="AS257" i="21"/>
  <c r="AS337" i="21"/>
  <c r="AS153" i="21"/>
  <c r="AS167" i="21"/>
  <c r="AS179" i="21"/>
  <c r="AS189" i="21"/>
  <c r="AS208" i="21"/>
  <c r="AS226" i="21"/>
  <c r="AS244" i="21"/>
  <c r="AS261" i="21"/>
  <c r="AS285" i="21"/>
  <c r="AS309" i="21"/>
  <c r="AS333" i="21"/>
  <c r="AS357" i="21"/>
  <c r="AS288" i="21"/>
  <c r="AS183" i="21"/>
  <c r="AS361" i="21"/>
  <c r="AS156" i="21"/>
  <c r="AS168" i="21"/>
  <c r="AS180" i="21"/>
  <c r="AS190" i="21"/>
  <c r="AS200" i="21"/>
  <c r="AS209" i="21"/>
  <c r="AS218" i="21"/>
  <c r="AS227" i="21"/>
  <c r="AS236" i="21"/>
  <c r="AS245" i="21"/>
  <c r="AS254" i="21"/>
  <c r="AS262" i="21"/>
  <c r="AS270" i="21"/>
  <c r="AS278" i="21"/>
  <c r="AS286" i="21"/>
  <c r="AS294" i="21"/>
  <c r="AS302" i="21"/>
  <c r="AS310" i="21"/>
  <c r="AS318" i="21"/>
  <c r="AS326" i="21"/>
  <c r="AS334" i="21"/>
  <c r="AS342" i="21"/>
  <c r="AS350" i="21"/>
  <c r="AS160" i="21"/>
  <c r="AS289" i="21"/>
  <c r="AS157" i="21"/>
  <c r="AS169" i="21"/>
  <c r="AS181" i="21"/>
  <c r="AS191" i="21"/>
  <c r="AS210" i="21"/>
  <c r="AS228" i="21"/>
  <c r="AS246" i="21"/>
  <c r="AS263" i="21"/>
  <c r="AS271" i="21"/>
  <c r="AS287" i="21"/>
  <c r="AS295" i="21"/>
  <c r="AS311" i="21"/>
  <c r="AS319" i="21"/>
  <c r="AS335" i="21"/>
  <c r="AS343" i="21"/>
  <c r="AS359" i="21"/>
  <c r="AS367" i="21"/>
  <c r="AS304" i="21"/>
  <c r="AS172" i="21"/>
  <c r="AS313" i="21"/>
  <c r="AS158" i="21"/>
  <c r="AS170" i="21"/>
  <c r="AS182" i="21"/>
  <c r="AS192" i="21"/>
  <c r="AS201" i="21"/>
  <c r="AS211" i="21"/>
  <c r="AS219" i="21"/>
  <c r="AS229" i="21"/>
  <c r="AS237" i="21"/>
  <c r="AS247" i="21"/>
  <c r="AS255" i="21"/>
  <c r="AS279" i="21"/>
  <c r="AS303" i="21"/>
  <c r="AS327" i="21"/>
  <c r="AS351" i="21"/>
  <c r="AS328" i="21"/>
  <c r="AS221" i="21"/>
  <c r="AS159" i="21"/>
  <c r="AS171" i="21"/>
  <c r="AS193" i="21"/>
  <c r="AS202" i="21"/>
  <c r="AS220" i="21"/>
  <c r="AS238" i="21"/>
  <c r="AS256" i="21"/>
  <c r="AS264" i="21"/>
  <c r="AS272" i="21"/>
  <c r="AS280" i="21"/>
  <c r="AS151" i="21"/>
  <c r="AS143" i="21"/>
  <c r="AS146" i="21"/>
  <c r="AS116" i="21"/>
  <c r="AS64" i="21"/>
  <c r="AS31" i="21"/>
  <c r="AS93" i="21"/>
  <c r="AS26" i="21"/>
  <c r="AS56" i="21"/>
  <c r="AS79" i="21"/>
  <c r="AS84" i="21"/>
  <c r="AS14" i="21"/>
  <c r="AS16" i="21"/>
  <c r="AS147" i="21"/>
  <c r="AS131" i="21"/>
  <c r="AS139" i="21"/>
  <c r="AS99" i="21"/>
  <c r="AS95" i="21"/>
  <c r="AS52" i="21"/>
  <c r="AS15" i="21"/>
  <c r="AS87" i="21"/>
  <c r="AS18" i="21"/>
  <c r="AS49" i="21"/>
  <c r="AS73" i="21"/>
  <c r="AS78" i="21"/>
  <c r="AS65" i="21"/>
  <c r="AS39" i="21"/>
  <c r="AS145" i="21"/>
  <c r="AS129" i="21"/>
  <c r="AS119" i="21"/>
  <c r="AS138" i="21"/>
  <c r="AS77" i="21"/>
  <c r="AS20" i="21"/>
  <c r="AS70" i="21"/>
  <c r="AS81" i="21"/>
  <c r="AS10" i="21"/>
  <c r="AS33" i="21"/>
  <c r="AS67" i="21"/>
  <c r="AS72" i="21"/>
  <c r="AS59" i="21"/>
  <c r="AS37" i="21"/>
  <c r="AS111" i="21"/>
  <c r="AS38" i="21"/>
  <c r="AS128" i="21"/>
  <c r="AS124" i="21"/>
  <c r="AS136" i="21"/>
  <c r="AS107" i="21"/>
  <c r="AS133" i="21"/>
  <c r="AS126" i="21"/>
  <c r="AS83" i="21"/>
  <c r="AS58" i="21"/>
  <c r="AS75" i="21"/>
  <c r="AS110" i="21"/>
  <c r="AS25" i="21"/>
  <c r="AS61" i="21"/>
  <c r="AS66" i="21"/>
  <c r="AS53" i="21"/>
  <c r="AS45" i="21"/>
  <c r="AS97" i="21"/>
  <c r="AS101" i="21"/>
  <c r="AS117" i="21"/>
  <c r="AS113" i="21"/>
  <c r="AS154" i="21"/>
  <c r="AS122" i="21"/>
  <c r="AS114" i="21"/>
  <c r="AS71" i="21"/>
  <c r="AS44" i="21"/>
  <c r="AS69" i="21"/>
  <c r="AS104" i="21"/>
  <c r="AS9" i="21"/>
  <c r="AS55" i="21"/>
  <c r="AS60" i="21"/>
  <c r="AS123" i="21"/>
  <c r="AS115" i="21"/>
  <c r="AS90" i="21"/>
  <c r="AS150" i="21"/>
  <c r="AS148" i="21"/>
  <c r="AS106" i="21"/>
  <c r="AS137" i="21"/>
  <c r="AS28" i="21"/>
  <c r="AS89" i="21"/>
  <c r="AS29" i="21"/>
  <c r="AS63" i="21"/>
  <c r="AS98" i="21"/>
  <c r="AS41" i="21"/>
  <c r="AS48" i="21"/>
  <c r="AS54" i="21"/>
  <c r="AS74" i="21"/>
  <c r="AS149" i="21"/>
  <c r="AS34" i="21"/>
  <c r="AS144" i="21"/>
  <c r="AS142" i="21"/>
  <c r="AS141" i="21"/>
  <c r="AS125" i="21"/>
  <c r="AS94" i="21"/>
  <c r="AS118" i="21"/>
  <c r="AS12" i="21"/>
  <c r="AS57" i="21"/>
  <c r="AS92" i="21"/>
  <c r="AS17" i="21"/>
  <c r="AS40" i="21"/>
  <c r="AS47" i="21"/>
  <c r="AS21" i="21"/>
  <c r="AS50" i="21"/>
  <c r="AS152" i="21"/>
  <c r="AS62" i="21"/>
  <c r="AS135" i="21"/>
  <c r="AS102" i="21"/>
  <c r="AS132" i="21"/>
  <c r="AS88" i="21"/>
  <c r="AS127" i="21"/>
  <c r="AS112" i="21"/>
  <c r="AS76" i="21"/>
  <c r="AS35" i="21"/>
  <c r="AS86" i="21"/>
  <c r="AS109" i="21"/>
  <c r="AS32" i="21"/>
  <c r="AS23" i="21"/>
  <c r="AS130" i="21"/>
  <c r="AS43" i="21"/>
  <c r="AS22" i="21"/>
  <c r="AS134" i="21"/>
  <c r="AS140" i="21"/>
  <c r="AS120" i="21"/>
  <c r="AS82" i="21"/>
  <c r="AS121" i="21"/>
  <c r="AS105" i="21"/>
  <c r="AS51" i="21"/>
  <c r="AS11" i="21"/>
  <c r="AS80" i="21"/>
  <c r="AS103" i="21"/>
  <c r="AS24" i="21"/>
  <c r="AS46" i="21"/>
  <c r="AS85" i="21"/>
  <c r="AS155" i="21"/>
  <c r="AS100" i="21"/>
  <c r="AS36" i="21"/>
  <c r="AS108" i="21"/>
  <c r="AS27" i="21"/>
  <c r="AS42" i="21"/>
  <c r="AS68" i="21"/>
  <c r="AS91" i="21"/>
  <c r="AS96" i="21"/>
  <c r="AS30" i="21"/>
  <c r="AS19" i="21"/>
  <c r="BL273" i="27" l="1"/>
  <c r="Y37" i="26"/>
  <c r="Y38" i="26"/>
  <c r="Y39" i="26"/>
  <c r="Y40" i="26"/>
  <c r="Y41" i="26"/>
  <c r="Y42" i="26"/>
  <c r="Y43" i="26"/>
  <c r="Y44" i="26"/>
  <c r="Y45" i="26"/>
  <c r="Y46" i="26"/>
  <c r="Y47" i="26"/>
  <c r="Y48" i="26"/>
  <c r="Y49" i="26"/>
  <c r="Y50" i="26"/>
  <c r="Y51" i="26"/>
  <c r="Y52" i="26"/>
  <c r="Y53" i="26"/>
  <c r="Y54" i="26"/>
  <c r="Y55" i="26"/>
  <c r="Y56" i="26"/>
  <c r="Y57" i="26"/>
  <c r="Y58" i="26"/>
  <c r="Y59" i="26"/>
  <c r="Y60" i="26"/>
  <c r="Y61" i="26"/>
  <c r="Y62" i="26"/>
  <c r="Y63" i="26"/>
  <c r="Y64" i="26"/>
  <c r="Y65" i="26"/>
  <c r="Y66" i="26"/>
  <c r="Y67" i="26"/>
  <c r="Y68" i="26"/>
  <c r="Y69" i="26"/>
  <c r="Y70" i="26"/>
  <c r="Y71" i="26"/>
  <c r="Y72" i="26"/>
  <c r="Y73" i="26"/>
  <c r="Y74" i="26"/>
  <c r="Y75" i="26"/>
  <c r="Y76" i="26"/>
  <c r="Y77" i="26"/>
  <c r="Y78" i="26"/>
  <c r="Y79" i="26"/>
  <c r="Y80" i="26"/>
  <c r="Y81" i="26"/>
  <c r="Y82" i="26"/>
  <c r="Y83" i="26"/>
  <c r="Y84" i="26"/>
  <c r="Y85" i="26"/>
  <c r="Y86" i="26"/>
  <c r="BL274" i="27" l="1"/>
  <c r="C3" i="24"/>
  <c r="M17" i="24"/>
  <c r="M15" i="24"/>
  <c r="L17" i="24"/>
  <c r="L16" i="24"/>
  <c r="L15" i="24"/>
  <c r="L14" i="24"/>
  <c r="BL275" i="27" l="1"/>
  <c r="P14" i="24"/>
  <c r="P17" i="24"/>
  <c r="Q15" i="24"/>
  <c r="Q17" i="24"/>
  <c r="Q16" i="24"/>
  <c r="Q14" i="24"/>
  <c r="P15" i="24"/>
  <c r="P16" i="24"/>
  <c r="Y16" i="26"/>
  <c r="Y11" i="26"/>
  <c r="Y28" i="26"/>
  <c r="Y10" i="26"/>
  <c r="Y19" i="26"/>
  <c r="Y8" i="26"/>
  <c r="Y23" i="26"/>
  <c r="Y18" i="26"/>
  <c r="Y12" i="26"/>
  <c r="Y32" i="26"/>
  <c r="Y29" i="26"/>
  <c r="Y26" i="26"/>
  <c r="Y21" i="26"/>
  <c r="Y9" i="26"/>
  <c r="Y33" i="26"/>
  <c r="Y34" i="26"/>
  <c r="Y27" i="26"/>
  <c r="Y14" i="26"/>
  <c r="Y13" i="26"/>
  <c r="Y24" i="26"/>
  <c r="Y31" i="26"/>
  <c r="Y25" i="26"/>
  <c r="Y35" i="26"/>
  <c r="Y30" i="26"/>
  <c r="Y17" i="26"/>
  <c r="Y22" i="26"/>
  <c r="Y20" i="26"/>
  <c r="Y7" i="26"/>
  <c r="Y36" i="26"/>
  <c r="Y15" i="26"/>
  <c r="BL276" i="27" l="1"/>
  <c r="R14" i="24"/>
  <c r="R16" i="24"/>
  <c r="R15" i="24"/>
  <c r="R17" i="24"/>
  <c r="BL277" i="27" l="1"/>
  <c r="CD4" i="9"/>
  <c r="CD5" i="9"/>
  <c r="CD6" i="9"/>
  <c r="CD3" i="9"/>
  <c r="BL278" i="27" l="1"/>
  <c r="AV9" i="21"/>
  <c r="AV13" i="21"/>
  <c r="AV17" i="21"/>
  <c r="AV21" i="21"/>
  <c r="AV25" i="21"/>
  <c r="AV29" i="21"/>
  <c r="AV33" i="21"/>
  <c r="AV37" i="21"/>
  <c r="AV41" i="21"/>
  <c r="AV45" i="21"/>
  <c r="AV49" i="21"/>
  <c r="AV53" i="21"/>
  <c r="AV57" i="21"/>
  <c r="AV61" i="21"/>
  <c r="AV65" i="21"/>
  <c r="AV69" i="21"/>
  <c r="AV73" i="21"/>
  <c r="AV77" i="21"/>
  <c r="AV81" i="21"/>
  <c r="AV85" i="21"/>
  <c r="AV89" i="21"/>
  <c r="AV93" i="21"/>
  <c r="AV97" i="21"/>
  <c r="AV101" i="21"/>
  <c r="AV105" i="21"/>
  <c r="AV109" i="21"/>
  <c r="AV113" i="21"/>
  <c r="AV117" i="21"/>
  <c r="AV121" i="21"/>
  <c r="AV125" i="21"/>
  <c r="AV129" i="21"/>
  <c r="AV133" i="21"/>
  <c r="AV137" i="21"/>
  <c r="AV141" i="21"/>
  <c r="AV145" i="21"/>
  <c r="AV149" i="21"/>
  <c r="AV153" i="21"/>
  <c r="AV157" i="21"/>
  <c r="AV161" i="21"/>
  <c r="AV165" i="21"/>
  <c r="AV169" i="21"/>
  <c r="AV173" i="21"/>
  <c r="AV177" i="21"/>
  <c r="AV181" i="21"/>
  <c r="AV185" i="21"/>
  <c r="AV189" i="21"/>
  <c r="AV193" i="21"/>
  <c r="AV197" i="21"/>
  <c r="AV201" i="21"/>
  <c r="AV205" i="21"/>
  <c r="AV209" i="21"/>
  <c r="AV213" i="21"/>
  <c r="AV217" i="21"/>
  <c r="AV221" i="21"/>
  <c r="AV225" i="21"/>
  <c r="AV229" i="21"/>
  <c r="AV233" i="21"/>
  <c r="AV237" i="21"/>
  <c r="AV241" i="21"/>
  <c r="AV245" i="21"/>
  <c r="AV249" i="21"/>
  <c r="AV253" i="21"/>
  <c r="AV257" i="21"/>
  <c r="AV261" i="21"/>
  <c r="AV265" i="21"/>
  <c r="AV269" i="21"/>
  <c r="AV273" i="21"/>
  <c r="AV277" i="21"/>
  <c r="AV281" i="21"/>
  <c r="AV285" i="21"/>
  <c r="AV289" i="21"/>
  <c r="AV293" i="21"/>
  <c r="AV297" i="21"/>
  <c r="AV301" i="21"/>
  <c r="AV305" i="21"/>
  <c r="AV309" i="21"/>
  <c r="AV313" i="21"/>
  <c r="AV317" i="21"/>
  <c r="AV321" i="21"/>
  <c r="AV325" i="21"/>
  <c r="AV329" i="21"/>
  <c r="AV333" i="21"/>
  <c r="AV337" i="21"/>
  <c r="AV341" i="21"/>
  <c r="AV345" i="21"/>
  <c r="AV10" i="21"/>
  <c r="AV14" i="21"/>
  <c r="AV18" i="21"/>
  <c r="AV22" i="21"/>
  <c r="AV26" i="21"/>
  <c r="AV30" i="21"/>
  <c r="AV34" i="21"/>
  <c r="AV38" i="21"/>
  <c r="AV42" i="21"/>
  <c r="AV46" i="21"/>
  <c r="AV50" i="21"/>
  <c r="AV54" i="21"/>
  <c r="AV58" i="21"/>
  <c r="AV62" i="21"/>
  <c r="AV66" i="21"/>
  <c r="AV70" i="21"/>
  <c r="AV74" i="21"/>
  <c r="AV78" i="21"/>
  <c r="AV82" i="21"/>
  <c r="AV86" i="21"/>
  <c r="AV90" i="21"/>
  <c r="AV94" i="21"/>
  <c r="AV98" i="21"/>
  <c r="AV102" i="21"/>
  <c r="AV106" i="21"/>
  <c r="AV110" i="21"/>
  <c r="AV114" i="21"/>
  <c r="AV118" i="21"/>
  <c r="AV122" i="21"/>
  <c r="AV126" i="21"/>
  <c r="AV130" i="21"/>
  <c r="AV134" i="21"/>
  <c r="AV138" i="21"/>
  <c r="AV142" i="21"/>
  <c r="AV146" i="21"/>
  <c r="AV150" i="21"/>
  <c r="AV154" i="21"/>
  <c r="AV158" i="21"/>
  <c r="AV162" i="21"/>
  <c r="AV166" i="21"/>
  <c r="AV170" i="21"/>
  <c r="AV174" i="21"/>
  <c r="AV178" i="21"/>
  <c r="AV182" i="21"/>
  <c r="AV186" i="21"/>
  <c r="AV190" i="21"/>
  <c r="AV194" i="21"/>
  <c r="AV198" i="21"/>
  <c r="AV202" i="21"/>
  <c r="AV206" i="21"/>
  <c r="AV210" i="21"/>
  <c r="AV214" i="21"/>
  <c r="AV218" i="21"/>
  <c r="AV222" i="21"/>
  <c r="AV226" i="21"/>
  <c r="AV230" i="21"/>
  <c r="AV234" i="21"/>
  <c r="AV238" i="21"/>
  <c r="AV242" i="21"/>
  <c r="AV246" i="21"/>
  <c r="AV250" i="21"/>
  <c r="AV254" i="21"/>
  <c r="AV258" i="21"/>
  <c r="AV262" i="21"/>
  <c r="AV266" i="21"/>
  <c r="AV270" i="21"/>
  <c r="AV274" i="21"/>
  <c r="AV278" i="21"/>
  <c r="AV282" i="21"/>
  <c r="AV286" i="21"/>
  <c r="AV290" i="21"/>
  <c r="AV294" i="21"/>
  <c r="AV298" i="21"/>
  <c r="AV302" i="21"/>
  <c r="AV306" i="21"/>
  <c r="AV310" i="21"/>
  <c r="AV314" i="21"/>
  <c r="AV318" i="21"/>
  <c r="AV322" i="21"/>
  <c r="AV326" i="21"/>
  <c r="AV330" i="21"/>
  <c r="AV334" i="21"/>
  <c r="AV338" i="21"/>
  <c r="AV342" i="21"/>
  <c r="AV346" i="21"/>
  <c r="AV11" i="21"/>
  <c r="AV15" i="21"/>
  <c r="AV19" i="21"/>
  <c r="AV23" i="21"/>
  <c r="AV27" i="21"/>
  <c r="AV31" i="21"/>
  <c r="AV35" i="21"/>
  <c r="AV39" i="21"/>
  <c r="AV43" i="21"/>
  <c r="AV47" i="21"/>
  <c r="AV51" i="21"/>
  <c r="AV55" i="21"/>
  <c r="AV59" i="21"/>
  <c r="AV63" i="21"/>
  <c r="AV67" i="21"/>
  <c r="AV71" i="21"/>
  <c r="AV75" i="21"/>
  <c r="AV79" i="21"/>
  <c r="AV83" i="21"/>
  <c r="AV87" i="21"/>
  <c r="AV91" i="21"/>
  <c r="AV95" i="21"/>
  <c r="AV99" i="21"/>
  <c r="AV103" i="21"/>
  <c r="AV107" i="21"/>
  <c r="AV111" i="21"/>
  <c r="AV115" i="21"/>
  <c r="AV119" i="21"/>
  <c r="AV123" i="21"/>
  <c r="AV127" i="21"/>
  <c r="AV131" i="21"/>
  <c r="AV135" i="21"/>
  <c r="AV139" i="21"/>
  <c r="AV143" i="21"/>
  <c r="AV147" i="21"/>
  <c r="AV151" i="21"/>
  <c r="AV155" i="21"/>
  <c r="AV159" i="21"/>
  <c r="AV163" i="21"/>
  <c r="AV167" i="21"/>
  <c r="AV171" i="21"/>
  <c r="AV175" i="21"/>
  <c r="AV179" i="21"/>
  <c r="AV183" i="21"/>
  <c r="AV187" i="21"/>
  <c r="AV191" i="21"/>
  <c r="AV195" i="21"/>
  <c r="AV199" i="21"/>
  <c r="AV203" i="21"/>
  <c r="AV207" i="21"/>
  <c r="AV211" i="21"/>
  <c r="AV215" i="21"/>
  <c r="AV219" i="21"/>
  <c r="AV223" i="21"/>
  <c r="AV227" i="21"/>
  <c r="AV231" i="21"/>
  <c r="AV235" i="21"/>
  <c r="AV239" i="21"/>
  <c r="AV243" i="21"/>
  <c r="AV247" i="21"/>
  <c r="AV251" i="21"/>
  <c r="AV255" i="21"/>
  <c r="AV259" i="21"/>
  <c r="AV263" i="21"/>
  <c r="AV267" i="21"/>
  <c r="AV271" i="21"/>
  <c r="AV275" i="21"/>
  <c r="AV279" i="21"/>
  <c r="AV283" i="21"/>
  <c r="AV287" i="21"/>
  <c r="AV291" i="21"/>
  <c r="AV295" i="21"/>
  <c r="AV299" i="21"/>
  <c r="AV303" i="21"/>
  <c r="AV307" i="21"/>
  <c r="AV311" i="21"/>
  <c r="AV315" i="21"/>
  <c r="AV319" i="21"/>
  <c r="AV323" i="21"/>
  <c r="AV327" i="21"/>
  <c r="AV331" i="21"/>
  <c r="AV335" i="21"/>
  <c r="AV339" i="21"/>
  <c r="AV343" i="21"/>
  <c r="AV347" i="21"/>
  <c r="AV12" i="21"/>
  <c r="AV16" i="21"/>
  <c r="AV20" i="21"/>
  <c r="AV24" i="21"/>
  <c r="AV28" i="21"/>
  <c r="AV32" i="21"/>
  <c r="AV36" i="21"/>
  <c r="AV40" i="21"/>
  <c r="AV44" i="21"/>
  <c r="AV48" i="21"/>
  <c r="AV52" i="21"/>
  <c r="AV56" i="21"/>
  <c r="AV60" i="21"/>
  <c r="AV64" i="21"/>
  <c r="AV68" i="21"/>
  <c r="AV72" i="21"/>
  <c r="AV76" i="21"/>
  <c r="AV80" i="21"/>
  <c r="AV84" i="21"/>
  <c r="AV88" i="21"/>
  <c r="AV92" i="21"/>
  <c r="AV96" i="21"/>
  <c r="AV100" i="21"/>
  <c r="AV104" i="21"/>
  <c r="AV108" i="21"/>
  <c r="AV112" i="21"/>
  <c r="AV116" i="21"/>
  <c r="AV120" i="21"/>
  <c r="AV124" i="21"/>
  <c r="AV128" i="21"/>
  <c r="AV132" i="21"/>
  <c r="AV136" i="21"/>
  <c r="AV140" i="21"/>
  <c r="AV144" i="21"/>
  <c r="AV148" i="21"/>
  <c r="AV152" i="21"/>
  <c r="AV156" i="21"/>
  <c r="AV160" i="21"/>
  <c r="AV164" i="21"/>
  <c r="AV168" i="21"/>
  <c r="AV172" i="21"/>
  <c r="AV176" i="21"/>
  <c r="AV180" i="21"/>
  <c r="AV184" i="21"/>
  <c r="AV188" i="21"/>
  <c r="AV192" i="21"/>
  <c r="AV196" i="21"/>
  <c r="AV200" i="21"/>
  <c r="AV204" i="21"/>
  <c r="AV208" i="21"/>
  <c r="AV212" i="21"/>
  <c r="AV216" i="21"/>
  <c r="AV220" i="21"/>
  <c r="AV224" i="21"/>
  <c r="AV228" i="21"/>
  <c r="AV232" i="21"/>
  <c r="AV236" i="21"/>
  <c r="AV240" i="21"/>
  <c r="AV244" i="21"/>
  <c r="AV248" i="21"/>
  <c r="AV252" i="21"/>
  <c r="AV256" i="21"/>
  <c r="AV260" i="21"/>
  <c r="AV264" i="21"/>
  <c r="AV268" i="21"/>
  <c r="AV272" i="21"/>
  <c r="AV276" i="21"/>
  <c r="AV280" i="21"/>
  <c r="AV284" i="21"/>
  <c r="AV288" i="21"/>
  <c r="AV292" i="21"/>
  <c r="AV296" i="21"/>
  <c r="AV300" i="21"/>
  <c r="AV304" i="21"/>
  <c r="AV308" i="21"/>
  <c r="AV312" i="21"/>
  <c r="AV316" i="21"/>
  <c r="AV332" i="21"/>
  <c r="AV348" i="21"/>
  <c r="AV352" i="21"/>
  <c r="AV356" i="21"/>
  <c r="AV360" i="21"/>
  <c r="AV364" i="21"/>
  <c r="AV8" i="21"/>
  <c r="AV328" i="21"/>
  <c r="AV344" i="21"/>
  <c r="AV349" i="21"/>
  <c r="AV353" i="21"/>
  <c r="AV357" i="21"/>
  <c r="AV361" i="21"/>
  <c r="AV365" i="21"/>
  <c r="AV324" i="21"/>
  <c r="AV340" i="21"/>
  <c r="AV350" i="21"/>
  <c r="AV354" i="21"/>
  <c r="AV358" i="21"/>
  <c r="AV362" i="21"/>
  <c r="AV366" i="21"/>
  <c r="AV320" i="21"/>
  <c r="AV336" i="21"/>
  <c r="AV351" i="21"/>
  <c r="AV355" i="21"/>
  <c r="AV359" i="21"/>
  <c r="AV363" i="21"/>
  <c r="AV367" i="21"/>
  <c r="AR143" i="21"/>
  <c r="AR155" i="21"/>
  <c r="AR161" i="21"/>
  <c r="AR167" i="21"/>
  <c r="AR173" i="21"/>
  <c r="AR179" i="21"/>
  <c r="AR185" i="21"/>
  <c r="AR191" i="21"/>
  <c r="AR197" i="21"/>
  <c r="AR203" i="21"/>
  <c r="AR209" i="21"/>
  <c r="AR215" i="21"/>
  <c r="AR221" i="21"/>
  <c r="AR227" i="21"/>
  <c r="AR233" i="21"/>
  <c r="AR239" i="21"/>
  <c r="AR248" i="21"/>
  <c r="AR254" i="21"/>
  <c r="AR257" i="21"/>
  <c r="AR263" i="21"/>
  <c r="AR269" i="21"/>
  <c r="AR275" i="21"/>
  <c r="AR281" i="21"/>
  <c r="AR287" i="21"/>
  <c r="AR293" i="21"/>
  <c r="AR299" i="21"/>
  <c r="AR302" i="21"/>
  <c r="AR308" i="21"/>
  <c r="AR314" i="21"/>
  <c r="AR320" i="21"/>
  <c r="AR326" i="21"/>
  <c r="AR332" i="21"/>
  <c r="AR338" i="21"/>
  <c r="AR344" i="21"/>
  <c r="AR11" i="21"/>
  <c r="AR14" i="21"/>
  <c r="AR17" i="21"/>
  <c r="AR20" i="21"/>
  <c r="AR23" i="21"/>
  <c r="AR26" i="21"/>
  <c r="AR29" i="21"/>
  <c r="AR32" i="21"/>
  <c r="AR35" i="21"/>
  <c r="AR38" i="21"/>
  <c r="AR41" i="21"/>
  <c r="AR44" i="21"/>
  <c r="AR47" i="21"/>
  <c r="AR50" i="21"/>
  <c r="AR53" i="21"/>
  <c r="AR56" i="21"/>
  <c r="AR59" i="21"/>
  <c r="AR62" i="21"/>
  <c r="AR65" i="21"/>
  <c r="AR68" i="21"/>
  <c r="AR71" i="21"/>
  <c r="AR74" i="21"/>
  <c r="AR77" i="21"/>
  <c r="AR80" i="21"/>
  <c r="AR83" i="21"/>
  <c r="AR86" i="21"/>
  <c r="AR89" i="21"/>
  <c r="AR92" i="21"/>
  <c r="AR95" i="21"/>
  <c r="AR98" i="21"/>
  <c r="AR101" i="21"/>
  <c r="AR104" i="21"/>
  <c r="AR107" i="21"/>
  <c r="AR110" i="21"/>
  <c r="AR113" i="21"/>
  <c r="AR116" i="21"/>
  <c r="AR119" i="21"/>
  <c r="AR122" i="21"/>
  <c r="AR125" i="21"/>
  <c r="AR128" i="21"/>
  <c r="AR131" i="21"/>
  <c r="AR134" i="21"/>
  <c r="AR137" i="21"/>
  <c r="AR140" i="21"/>
  <c r="AR146" i="21"/>
  <c r="AR149" i="21"/>
  <c r="AR152" i="21"/>
  <c r="AR158" i="21"/>
  <c r="AR164" i="21"/>
  <c r="AR170" i="21"/>
  <c r="AR176" i="21"/>
  <c r="AR182" i="21"/>
  <c r="AR188" i="21"/>
  <c r="AR194" i="21"/>
  <c r="AR200" i="21"/>
  <c r="AR206" i="21"/>
  <c r="AR212" i="21"/>
  <c r="AR218" i="21"/>
  <c r="AR224" i="21"/>
  <c r="AR230" i="21"/>
  <c r="AR236" i="21"/>
  <c r="AR242" i="21"/>
  <c r="AR245" i="21"/>
  <c r="AR251" i="21"/>
  <c r="AR260" i="21"/>
  <c r="AR266" i="21"/>
  <c r="AR272" i="21"/>
  <c r="AR278" i="21"/>
  <c r="AR284" i="21"/>
  <c r="AR290" i="21"/>
  <c r="AR296" i="21"/>
  <c r="AR305" i="21"/>
  <c r="AR311" i="21"/>
  <c r="AR317" i="21"/>
  <c r="AR323" i="21"/>
  <c r="AR329" i="21"/>
  <c r="AR335" i="21"/>
  <c r="AR341" i="21"/>
  <c r="AR347" i="21"/>
  <c r="AR8" i="21"/>
  <c r="AR153" i="21"/>
  <c r="AR159" i="21"/>
  <c r="AR165" i="21"/>
  <c r="AR171" i="21"/>
  <c r="AR177" i="21"/>
  <c r="AR183" i="21"/>
  <c r="AR189" i="21"/>
  <c r="AR195" i="21"/>
  <c r="AR201" i="21"/>
  <c r="AR207" i="21"/>
  <c r="AR213" i="21"/>
  <c r="AR219" i="21"/>
  <c r="AR225" i="21"/>
  <c r="AR231" i="21"/>
  <c r="AR237" i="21"/>
  <c r="AR243" i="21"/>
  <c r="AR249" i="21"/>
  <c r="AR255" i="21"/>
  <c r="AR261" i="21"/>
  <c r="AR267" i="21"/>
  <c r="AR273" i="21"/>
  <c r="AR279" i="21"/>
  <c r="AR285" i="21"/>
  <c r="AR291" i="21"/>
  <c r="AR297" i="21"/>
  <c r="AR303" i="21"/>
  <c r="AR309" i="21"/>
  <c r="AR315" i="21"/>
  <c r="AR321" i="21"/>
  <c r="AR327" i="21"/>
  <c r="AR333" i="21"/>
  <c r="AR339" i="21"/>
  <c r="AR345" i="21"/>
  <c r="AR351" i="21"/>
  <c r="AR357" i="21"/>
  <c r="AR9" i="21"/>
  <c r="AR12" i="21"/>
  <c r="AR15" i="21"/>
  <c r="AR18" i="21"/>
  <c r="AR21" i="21"/>
  <c r="AR24" i="21"/>
  <c r="AR27" i="21"/>
  <c r="AR30" i="21"/>
  <c r="AR33" i="21"/>
  <c r="AR36" i="21"/>
  <c r="AR39" i="21"/>
  <c r="AR42" i="21"/>
  <c r="AR45" i="21"/>
  <c r="AR48" i="21"/>
  <c r="AR51" i="21"/>
  <c r="AR54" i="21"/>
  <c r="AR57" i="21"/>
  <c r="AR60" i="21"/>
  <c r="AR63" i="21"/>
  <c r="AR66" i="21"/>
  <c r="AR69" i="21"/>
  <c r="AR72" i="21"/>
  <c r="AR75" i="21"/>
  <c r="AR78" i="21"/>
  <c r="AR81" i="21"/>
  <c r="AR84" i="21"/>
  <c r="AR87" i="21"/>
  <c r="AR90" i="21"/>
  <c r="AR93" i="21"/>
  <c r="AR96" i="21"/>
  <c r="AR99" i="21"/>
  <c r="AR102" i="21"/>
  <c r="AR105" i="21"/>
  <c r="AR108" i="21"/>
  <c r="AR111" i="21"/>
  <c r="AR114" i="21"/>
  <c r="AR117" i="21"/>
  <c r="AR120" i="21"/>
  <c r="AR123" i="21"/>
  <c r="AR126" i="21"/>
  <c r="AR129" i="21"/>
  <c r="AR132" i="21"/>
  <c r="AR135" i="21"/>
  <c r="AR138" i="21"/>
  <c r="AR141" i="21"/>
  <c r="AR144" i="21"/>
  <c r="AR147" i="21"/>
  <c r="AR150" i="21"/>
  <c r="AR156" i="21"/>
  <c r="AR162" i="21"/>
  <c r="AR168" i="21"/>
  <c r="AR174" i="21"/>
  <c r="AR180" i="21"/>
  <c r="AR186" i="21"/>
  <c r="AR192" i="21"/>
  <c r="AR198" i="21"/>
  <c r="AR204" i="21"/>
  <c r="AR210" i="21"/>
  <c r="AR216" i="21"/>
  <c r="AR222" i="21"/>
  <c r="AR228" i="21"/>
  <c r="AR234" i="21"/>
  <c r="AR240" i="21"/>
  <c r="AR246" i="21"/>
  <c r="AR252" i="21"/>
  <c r="AR258" i="21"/>
  <c r="AR264" i="21"/>
  <c r="AR270" i="21"/>
  <c r="AR276" i="21"/>
  <c r="AR282" i="21"/>
  <c r="AR288" i="21"/>
  <c r="AR294" i="21"/>
  <c r="AR300" i="21"/>
  <c r="AR306" i="21"/>
  <c r="AR312" i="21"/>
  <c r="AR318" i="21"/>
  <c r="AR324" i="21"/>
  <c r="AR330" i="21"/>
  <c r="AR336" i="21"/>
  <c r="AR342" i="21"/>
  <c r="AR348" i="21"/>
  <c r="AR354" i="21"/>
  <c r="AR148" i="21"/>
  <c r="AR157" i="21"/>
  <c r="AR163" i="21"/>
  <c r="AR172" i="21"/>
  <c r="AR178" i="21"/>
  <c r="AR184" i="21"/>
  <c r="AR190" i="21"/>
  <c r="AR196" i="21"/>
  <c r="AR202" i="21"/>
  <c r="AR208" i="21"/>
  <c r="AR214" i="21"/>
  <c r="AR220" i="21"/>
  <c r="AR229" i="21"/>
  <c r="AR238" i="21"/>
  <c r="AR244" i="21"/>
  <c r="AR250" i="21"/>
  <c r="AR256" i="21"/>
  <c r="AR262" i="21"/>
  <c r="AR268" i="21"/>
  <c r="AR274" i="21"/>
  <c r="AR280" i="21"/>
  <c r="AR286" i="21"/>
  <c r="AR292" i="21"/>
  <c r="AR298" i="21"/>
  <c r="AR304" i="21"/>
  <c r="AR310" i="21"/>
  <c r="AR319" i="21"/>
  <c r="AR325" i="21"/>
  <c r="AR331" i="21"/>
  <c r="AR337" i="21"/>
  <c r="AR343" i="21"/>
  <c r="AR349" i="21"/>
  <c r="AR355" i="21"/>
  <c r="AR361" i="21"/>
  <c r="AR367" i="21"/>
  <c r="AR10" i="21"/>
  <c r="AR13" i="21"/>
  <c r="AR16" i="21"/>
  <c r="AR19" i="21"/>
  <c r="AR22" i="21"/>
  <c r="AR25" i="21"/>
  <c r="AR28" i="21"/>
  <c r="AR31" i="21"/>
  <c r="AR34" i="21"/>
  <c r="AR37" i="21"/>
  <c r="AR40" i="21"/>
  <c r="AR43" i="21"/>
  <c r="AR46" i="21"/>
  <c r="AR49" i="21"/>
  <c r="AR52" i="21"/>
  <c r="AR55" i="21"/>
  <c r="AR58" i="21"/>
  <c r="AR61" i="21"/>
  <c r="AR64" i="21"/>
  <c r="AR67" i="21"/>
  <c r="AR70" i="21"/>
  <c r="AR73" i="21"/>
  <c r="AR76" i="21"/>
  <c r="AR79" i="21"/>
  <c r="AR82" i="21"/>
  <c r="AR85" i="21"/>
  <c r="AR88" i="21"/>
  <c r="AR91" i="21"/>
  <c r="AR94" i="21"/>
  <c r="AR97" i="21"/>
  <c r="AR100" i="21"/>
  <c r="AR103" i="21"/>
  <c r="AR106" i="21"/>
  <c r="AR109" i="21"/>
  <c r="AR112" i="21"/>
  <c r="AR115" i="21"/>
  <c r="AR118" i="21"/>
  <c r="AR121" i="21"/>
  <c r="AR124" i="21"/>
  <c r="AR127" i="21"/>
  <c r="AR130" i="21"/>
  <c r="AR133" i="21"/>
  <c r="AR136" i="21"/>
  <c r="AR139" i="21"/>
  <c r="AR142" i="21"/>
  <c r="AR145" i="21"/>
  <c r="AR151" i="21"/>
  <c r="AR154" i="21"/>
  <c r="AR160" i="21"/>
  <c r="AR166" i="21"/>
  <c r="AR169" i="21"/>
  <c r="AR175" i="21"/>
  <c r="AR181" i="21"/>
  <c r="AR187" i="21"/>
  <c r="AR193" i="21"/>
  <c r="AR199" i="21"/>
  <c r="AR205" i="21"/>
  <c r="AR211" i="21"/>
  <c r="AR217" i="21"/>
  <c r="AR223" i="21"/>
  <c r="AR226" i="21"/>
  <c r="AR232" i="21"/>
  <c r="AR235" i="21"/>
  <c r="AR241" i="21"/>
  <c r="AR247" i="21"/>
  <c r="AR253" i="21"/>
  <c r="AR259" i="21"/>
  <c r="AR265" i="21"/>
  <c r="AR271" i="21"/>
  <c r="AR277" i="21"/>
  <c r="AR283" i="21"/>
  <c r="AR289" i="21"/>
  <c r="AR295" i="21"/>
  <c r="AR301" i="21"/>
  <c r="AR307" i="21"/>
  <c r="AR313" i="21"/>
  <c r="AR316" i="21"/>
  <c r="AR322" i="21"/>
  <c r="AR328" i="21"/>
  <c r="AR334" i="21"/>
  <c r="AR340" i="21"/>
  <c r="AR346" i="21"/>
  <c r="AR352" i="21"/>
  <c r="AR358" i="21"/>
  <c r="AR364" i="21"/>
  <c r="AR362" i="21"/>
  <c r="AR359" i="21"/>
  <c r="AR356" i="21"/>
  <c r="AR366" i="21"/>
  <c r="AR360" i="21"/>
  <c r="AR363" i="21"/>
  <c r="AR353" i="21"/>
  <c r="AR350" i="21"/>
  <c r="AR365" i="21"/>
  <c r="AU18" i="21"/>
  <c r="AU30" i="21"/>
  <c r="AU42" i="21"/>
  <c r="AU54" i="21"/>
  <c r="AU66" i="21"/>
  <c r="AU78" i="21"/>
  <c r="AU90" i="21"/>
  <c r="AU102" i="21"/>
  <c r="AU114" i="21"/>
  <c r="AU126" i="21"/>
  <c r="AU138" i="21"/>
  <c r="AU150" i="21"/>
  <c r="AU162" i="21"/>
  <c r="AU174" i="21"/>
  <c r="AU186" i="21"/>
  <c r="AU198" i="21"/>
  <c r="AU210" i="21"/>
  <c r="AU222" i="21"/>
  <c r="AU234" i="21"/>
  <c r="AU246" i="21"/>
  <c r="AU258" i="21"/>
  <c r="AU270" i="21"/>
  <c r="AU282" i="21"/>
  <c r="AU294" i="21"/>
  <c r="AU306" i="21"/>
  <c r="AU318" i="21"/>
  <c r="AU330" i="21"/>
  <c r="AU342" i="21"/>
  <c r="AU354" i="21"/>
  <c r="AU366" i="21"/>
  <c r="AU363" i="21"/>
  <c r="AU85" i="21"/>
  <c r="AU109" i="21"/>
  <c r="AU121" i="21"/>
  <c r="AU193" i="21"/>
  <c r="AU229" i="21"/>
  <c r="AU265" i="21"/>
  <c r="AU277" i="21"/>
  <c r="AU11" i="21"/>
  <c r="AU23" i="21"/>
  <c r="AU35" i="21"/>
  <c r="AU47" i="21"/>
  <c r="AU59" i="21"/>
  <c r="AU71" i="21"/>
  <c r="AU83" i="21"/>
  <c r="AU95" i="21"/>
  <c r="AU107" i="21"/>
  <c r="AU119" i="21"/>
  <c r="AU131" i="21"/>
  <c r="AU143" i="21"/>
  <c r="AU155" i="21"/>
  <c r="AU167" i="21"/>
  <c r="AU179" i="21"/>
  <c r="AU191" i="21"/>
  <c r="AU203" i="21"/>
  <c r="AU215" i="21"/>
  <c r="AU227" i="21"/>
  <c r="AU239" i="21"/>
  <c r="AU251" i="21"/>
  <c r="AU263" i="21"/>
  <c r="AU275" i="21"/>
  <c r="AU287" i="21"/>
  <c r="AU299" i="21"/>
  <c r="AU311" i="21"/>
  <c r="AU323" i="21"/>
  <c r="AU335" i="21"/>
  <c r="AU347" i="21"/>
  <c r="AU359" i="21"/>
  <c r="AU364" i="21"/>
  <c r="AU313" i="21"/>
  <c r="AU16" i="21"/>
  <c r="AU28" i="21"/>
  <c r="AU40" i="21"/>
  <c r="AU52" i="21"/>
  <c r="AU64" i="21"/>
  <c r="AU76" i="21"/>
  <c r="AU88" i="21"/>
  <c r="AU100" i="21"/>
  <c r="AU112" i="21"/>
  <c r="AU124" i="21"/>
  <c r="AU136" i="21"/>
  <c r="AU148" i="21"/>
  <c r="AU160" i="21"/>
  <c r="AU172" i="21"/>
  <c r="AU184" i="21"/>
  <c r="AU196" i="21"/>
  <c r="AU208" i="21"/>
  <c r="AU220" i="21"/>
  <c r="AU232" i="21"/>
  <c r="AU244" i="21"/>
  <c r="AU256" i="21"/>
  <c r="AU268" i="21"/>
  <c r="AU280" i="21"/>
  <c r="AU292" i="21"/>
  <c r="AU304" i="21"/>
  <c r="AU316" i="21"/>
  <c r="AU328" i="21"/>
  <c r="AU340" i="21"/>
  <c r="AU352" i="21"/>
  <c r="AU279" i="21"/>
  <c r="AU181" i="21"/>
  <c r="AU349" i="21"/>
  <c r="AU361" i="21"/>
  <c r="AU9" i="21"/>
  <c r="AU21" i="21"/>
  <c r="AU33" i="21"/>
  <c r="AU45" i="21"/>
  <c r="AU57" i="21"/>
  <c r="AU69" i="21"/>
  <c r="AU81" i="21"/>
  <c r="AU93" i="21"/>
  <c r="AU105" i="21"/>
  <c r="AU117" i="21"/>
  <c r="AU129" i="21"/>
  <c r="AU141" i="21"/>
  <c r="AU153" i="21"/>
  <c r="AU165" i="21"/>
  <c r="AU177" i="21"/>
  <c r="AU189" i="21"/>
  <c r="AU201" i="21"/>
  <c r="AU213" i="21"/>
  <c r="AU225" i="21"/>
  <c r="AU237" i="21"/>
  <c r="AU249" i="21"/>
  <c r="AU261" i="21"/>
  <c r="AU273" i="21"/>
  <c r="AU285" i="21"/>
  <c r="AU297" i="21"/>
  <c r="AU309" i="21"/>
  <c r="AU321" i="21"/>
  <c r="AU333" i="21"/>
  <c r="AU345" i="21"/>
  <c r="AU357" i="21"/>
  <c r="AU145" i="21"/>
  <c r="AU157" i="21"/>
  <c r="AU169" i="21"/>
  <c r="AU241" i="21"/>
  <c r="AU14" i="21"/>
  <c r="AU26" i="21"/>
  <c r="AU38" i="21"/>
  <c r="AU50" i="21"/>
  <c r="AU62" i="21"/>
  <c r="AU74" i="21"/>
  <c r="AU86" i="21"/>
  <c r="AU98" i="21"/>
  <c r="AU110" i="21"/>
  <c r="AU122" i="21"/>
  <c r="AU134" i="21"/>
  <c r="AU146" i="21"/>
  <c r="AU158" i="21"/>
  <c r="AU170" i="21"/>
  <c r="AU182" i="21"/>
  <c r="AU194" i="21"/>
  <c r="AU206" i="21"/>
  <c r="AU218" i="21"/>
  <c r="AU230" i="21"/>
  <c r="AU242" i="21"/>
  <c r="AU254" i="21"/>
  <c r="AU266" i="21"/>
  <c r="AU278" i="21"/>
  <c r="AU290" i="21"/>
  <c r="AU302" i="21"/>
  <c r="AU314" i="21"/>
  <c r="AU326" i="21"/>
  <c r="AU338" i="21"/>
  <c r="AU350" i="21"/>
  <c r="AU362" i="21"/>
  <c r="AU255" i="21"/>
  <c r="AU267" i="21"/>
  <c r="AU339" i="21"/>
  <c r="AU351" i="21"/>
  <c r="AU253" i="21"/>
  <c r="AU19" i="21"/>
  <c r="AU31" i="21"/>
  <c r="AU43" i="21"/>
  <c r="AU55" i="21"/>
  <c r="AU67" i="21"/>
  <c r="AU79" i="21"/>
  <c r="AU91" i="21"/>
  <c r="AU103" i="21"/>
  <c r="AU115" i="21"/>
  <c r="AU127" i="21"/>
  <c r="AU139" i="21"/>
  <c r="AU151" i="21"/>
  <c r="AU163" i="21"/>
  <c r="AU175" i="21"/>
  <c r="AU187" i="21"/>
  <c r="AU199" i="21"/>
  <c r="AU211" i="21"/>
  <c r="AU223" i="21"/>
  <c r="AU235" i="21"/>
  <c r="AU247" i="21"/>
  <c r="AU259" i="21"/>
  <c r="AU271" i="21"/>
  <c r="AU283" i="21"/>
  <c r="AU295" i="21"/>
  <c r="AU307" i="21"/>
  <c r="AU319" i="21"/>
  <c r="AU331" i="21"/>
  <c r="AU343" i="21"/>
  <c r="AU355" i="21"/>
  <c r="AU367" i="21"/>
  <c r="AU303" i="21"/>
  <c r="AU315" i="21"/>
  <c r="AU327" i="21"/>
  <c r="AU61" i="21"/>
  <c r="AU133" i="21"/>
  <c r="AU301" i="21"/>
  <c r="AU12" i="21"/>
  <c r="AU24" i="21"/>
  <c r="AU36" i="21"/>
  <c r="AU48" i="21"/>
  <c r="AU60" i="21"/>
  <c r="AU72" i="21"/>
  <c r="AU84" i="21"/>
  <c r="AU96" i="21"/>
  <c r="AU108" i="21"/>
  <c r="AU120" i="21"/>
  <c r="AU132" i="21"/>
  <c r="AU144" i="21"/>
  <c r="AU156" i="21"/>
  <c r="AU168" i="21"/>
  <c r="AU180" i="21"/>
  <c r="AU192" i="21"/>
  <c r="AU204" i="21"/>
  <c r="AU216" i="21"/>
  <c r="AU228" i="21"/>
  <c r="AU240" i="21"/>
  <c r="AU252" i="21"/>
  <c r="AU264" i="21"/>
  <c r="AU276" i="21"/>
  <c r="AU288" i="21"/>
  <c r="AU300" i="21"/>
  <c r="AU312" i="21"/>
  <c r="AU324" i="21"/>
  <c r="AU336" i="21"/>
  <c r="AU348" i="21"/>
  <c r="AU360" i="21"/>
  <c r="AU353" i="21"/>
  <c r="AU310" i="21"/>
  <c r="AU75" i="21"/>
  <c r="AU99" i="21"/>
  <c r="AU111" i="21"/>
  <c r="AU135" i="21"/>
  <c r="AU159" i="21"/>
  <c r="AU183" i="21"/>
  <c r="AU207" i="21"/>
  <c r="AU205" i="21"/>
  <c r="AU17" i="21"/>
  <c r="AU29" i="21"/>
  <c r="AU41" i="21"/>
  <c r="AU53" i="21"/>
  <c r="AU65" i="21"/>
  <c r="AU77" i="21"/>
  <c r="AU89" i="21"/>
  <c r="AU101" i="21"/>
  <c r="AU113" i="21"/>
  <c r="AU125" i="21"/>
  <c r="AU137" i="21"/>
  <c r="AU149" i="21"/>
  <c r="AU161" i="21"/>
  <c r="AU173" i="21"/>
  <c r="AU185" i="21"/>
  <c r="AU197" i="21"/>
  <c r="AU209" i="21"/>
  <c r="AU221" i="21"/>
  <c r="AU233" i="21"/>
  <c r="AU245" i="21"/>
  <c r="AU257" i="21"/>
  <c r="AU269" i="21"/>
  <c r="AU281" i="21"/>
  <c r="AU293" i="21"/>
  <c r="AU305" i="21"/>
  <c r="AU317" i="21"/>
  <c r="AU329" i="21"/>
  <c r="AU341" i="21"/>
  <c r="AU365" i="21"/>
  <c r="AU286" i="21"/>
  <c r="AU322" i="21"/>
  <c r="AU15" i="21"/>
  <c r="AU171" i="21"/>
  <c r="AU195" i="21"/>
  <c r="AU219" i="21"/>
  <c r="AU73" i="21"/>
  <c r="AU217" i="21"/>
  <c r="AU289" i="21"/>
  <c r="AU10" i="21"/>
  <c r="AU22" i="21"/>
  <c r="AU34" i="21"/>
  <c r="AU46" i="21"/>
  <c r="AU58" i="21"/>
  <c r="AU70" i="21"/>
  <c r="AU82" i="21"/>
  <c r="AU94" i="21"/>
  <c r="AU106" i="21"/>
  <c r="AU118" i="21"/>
  <c r="AU130" i="21"/>
  <c r="AU142" i="21"/>
  <c r="AU154" i="21"/>
  <c r="AU166" i="21"/>
  <c r="AU178" i="21"/>
  <c r="AU190" i="21"/>
  <c r="AU202" i="21"/>
  <c r="AU214" i="21"/>
  <c r="AU226" i="21"/>
  <c r="AU238" i="21"/>
  <c r="AU250" i="21"/>
  <c r="AU262" i="21"/>
  <c r="AU274" i="21"/>
  <c r="AU298" i="21"/>
  <c r="AU334" i="21"/>
  <c r="AU346" i="21"/>
  <c r="AU358" i="21"/>
  <c r="AU27" i="21"/>
  <c r="AU39" i="21"/>
  <c r="AU51" i="21"/>
  <c r="AU63" i="21"/>
  <c r="AU87" i="21"/>
  <c r="AU123" i="21"/>
  <c r="AU147" i="21"/>
  <c r="AU231" i="21"/>
  <c r="AU243" i="21"/>
  <c r="AU291" i="21"/>
  <c r="AU49" i="21"/>
  <c r="AU325" i="21"/>
  <c r="AU337" i="21"/>
  <c r="AU20" i="21"/>
  <c r="AU32" i="21"/>
  <c r="AU44" i="21"/>
  <c r="AU56" i="21"/>
  <c r="AU68" i="21"/>
  <c r="AU80" i="21"/>
  <c r="AU92" i="21"/>
  <c r="AU104" i="21"/>
  <c r="AU116" i="21"/>
  <c r="AU128" i="21"/>
  <c r="AU140" i="21"/>
  <c r="AU152" i="21"/>
  <c r="AU164" i="21"/>
  <c r="AU176" i="21"/>
  <c r="AU188" i="21"/>
  <c r="AU200" i="21"/>
  <c r="AU212" i="21"/>
  <c r="AU224" i="21"/>
  <c r="AU236" i="21"/>
  <c r="AU248" i="21"/>
  <c r="AU260" i="21"/>
  <c r="AU272" i="21"/>
  <c r="AU284" i="21"/>
  <c r="AU296" i="21"/>
  <c r="AU308" i="21"/>
  <c r="AU320" i="21"/>
  <c r="AU332" i="21"/>
  <c r="AU344" i="21"/>
  <c r="AU356" i="21"/>
  <c r="AU13" i="21"/>
  <c r="AU25" i="21"/>
  <c r="AU37" i="21"/>
  <c r="AU97" i="21"/>
  <c r="X10" i="21"/>
  <c r="BX10" i="21" s="1"/>
  <c r="X58" i="21"/>
  <c r="BX58" i="21" s="1"/>
  <c r="X106" i="21"/>
  <c r="BX106" i="21" s="1"/>
  <c r="X29" i="21"/>
  <c r="BX29" i="21" s="1"/>
  <c r="X101" i="21"/>
  <c r="BX101" i="21" s="1"/>
  <c r="X199" i="21"/>
  <c r="BX199" i="21" s="1"/>
  <c r="X247" i="21"/>
  <c r="BX247" i="21" s="1"/>
  <c r="X154" i="21"/>
  <c r="BX154" i="21" s="1"/>
  <c r="X159" i="21"/>
  <c r="BX159" i="21" s="1"/>
  <c r="X192" i="21"/>
  <c r="BX192" i="21" s="1"/>
  <c r="X240" i="21"/>
  <c r="BX240" i="21" s="1"/>
  <c r="X288" i="21"/>
  <c r="BX288" i="21" s="1"/>
  <c r="X73" i="21"/>
  <c r="BX73" i="21" s="1"/>
  <c r="X15" i="21"/>
  <c r="BX15" i="21" s="1"/>
  <c r="X87" i="21"/>
  <c r="BX87" i="21" s="1"/>
  <c r="X286" i="21"/>
  <c r="BX286" i="21" s="1"/>
  <c r="X301" i="21"/>
  <c r="BX301" i="21" s="1"/>
  <c r="X332" i="21"/>
  <c r="BX332" i="21" s="1"/>
  <c r="X257" i="21"/>
  <c r="BX257" i="21" s="1"/>
  <c r="X326" i="21"/>
  <c r="BX326" i="21" s="1"/>
  <c r="X302" i="21"/>
  <c r="BX302" i="21" s="1"/>
  <c r="X170" i="21"/>
  <c r="BX170" i="21" s="1"/>
  <c r="X135" i="21"/>
  <c r="BX135" i="21" s="1"/>
  <c r="X361" i="21"/>
  <c r="BX361" i="21" s="1"/>
  <c r="X366" i="21"/>
  <c r="BX366" i="21" s="1"/>
  <c r="X169" i="21"/>
  <c r="BX169" i="21" s="1"/>
  <c r="X109" i="21"/>
  <c r="BX109" i="21" s="1"/>
  <c r="X230" i="21"/>
  <c r="BX230" i="21" s="1"/>
  <c r="X242" i="21"/>
  <c r="BX242" i="21" s="1"/>
  <c r="X282" i="21"/>
  <c r="BX282" i="21" s="1"/>
  <c r="X14" i="21"/>
  <c r="BX14" i="21" s="1"/>
  <c r="X62" i="21"/>
  <c r="BX62" i="21" s="1"/>
  <c r="X110" i="21"/>
  <c r="BX110" i="21" s="1"/>
  <c r="X35" i="21"/>
  <c r="BX35" i="21" s="1"/>
  <c r="X136" i="21"/>
  <c r="BX136" i="21" s="1"/>
  <c r="X203" i="21"/>
  <c r="BX203" i="21" s="1"/>
  <c r="X251" i="21"/>
  <c r="BX251" i="21" s="1"/>
  <c r="X163" i="21"/>
  <c r="BX163" i="21" s="1"/>
  <c r="X113" i="21"/>
  <c r="BX113" i="21" s="1"/>
  <c r="X196" i="21"/>
  <c r="BX196" i="21" s="1"/>
  <c r="X244" i="21"/>
  <c r="BX244" i="21" s="1"/>
  <c r="X292" i="21"/>
  <c r="BX292" i="21" s="1"/>
  <c r="X79" i="21"/>
  <c r="BX79" i="21" s="1"/>
  <c r="X21" i="21"/>
  <c r="BX21" i="21" s="1"/>
  <c r="X93" i="21"/>
  <c r="BX93" i="21" s="1"/>
  <c r="X291" i="21"/>
  <c r="BX291" i="21" s="1"/>
  <c r="X314" i="21"/>
  <c r="BX314" i="21" s="1"/>
  <c r="X336" i="21"/>
  <c r="BX336" i="21" s="1"/>
  <c r="X209" i="21"/>
  <c r="BX209" i="21" s="1"/>
  <c r="X341" i="21"/>
  <c r="BX341" i="21" s="1"/>
  <c r="X334" i="21"/>
  <c r="BX334" i="21" s="1"/>
  <c r="X265" i="21"/>
  <c r="BX265" i="21" s="1"/>
  <c r="X149" i="21"/>
  <c r="BX149" i="21" s="1"/>
  <c r="X339" i="21"/>
  <c r="BX339" i="21" s="1"/>
  <c r="X32" i="21"/>
  <c r="BX32" i="21" s="1"/>
  <c r="X296" i="21"/>
  <c r="BX296" i="21" s="1"/>
  <c r="X124" i="21"/>
  <c r="BX124" i="21" s="1"/>
  <c r="X289" i="21"/>
  <c r="BX289" i="21" s="1"/>
  <c r="X290" i="21"/>
  <c r="BX290" i="21" s="1"/>
  <c r="X283" i="21"/>
  <c r="BX283" i="21" s="1"/>
  <c r="X18" i="21"/>
  <c r="BX18" i="21" s="1"/>
  <c r="X66" i="21"/>
  <c r="BX66" i="21" s="1"/>
  <c r="X114" i="21"/>
  <c r="BX114" i="21" s="1"/>
  <c r="X41" i="21"/>
  <c r="BX41" i="21" s="1"/>
  <c r="X145" i="21"/>
  <c r="BX145" i="21" s="1"/>
  <c r="X207" i="21"/>
  <c r="BX207" i="21" s="1"/>
  <c r="X255" i="21"/>
  <c r="BX255" i="21" s="1"/>
  <c r="X12" i="21"/>
  <c r="BX12" i="21" s="1"/>
  <c r="X123" i="21"/>
  <c r="BX123" i="21" s="1"/>
  <c r="X200" i="21"/>
  <c r="BX200" i="21" s="1"/>
  <c r="X248" i="21"/>
  <c r="BX248" i="21" s="1"/>
  <c r="X13" i="21"/>
  <c r="BX13" i="21" s="1"/>
  <c r="X85" i="21"/>
  <c r="BX85" i="21" s="1"/>
  <c r="X27" i="21"/>
  <c r="BX27" i="21" s="1"/>
  <c r="X99" i="21"/>
  <c r="BX99" i="21" s="1"/>
  <c r="X300" i="21"/>
  <c r="BX300" i="21" s="1"/>
  <c r="X129" i="21"/>
  <c r="BX129" i="21" s="1"/>
  <c r="X340" i="21"/>
  <c r="BX340" i="21" s="1"/>
  <c r="X250" i="21"/>
  <c r="BX250" i="21" s="1"/>
  <c r="X365" i="21"/>
  <c r="BX365" i="21" s="1"/>
  <c r="X363" i="21"/>
  <c r="BX363" i="21" s="1"/>
  <c r="X133" i="21"/>
  <c r="BX133" i="21" s="1"/>
  <c r="X185" i="21"/>
  <c r="BX185" i="21" s="1"/>
  <c r="X8" i="21"/>
  <c r="BX8" i="21" s="1"/>
  <c r="X111" i="21"/>
  <c r="BX111" i="21" s="1"/>
  <c r="X100" i="21"/>
  <c r="BX100" i="21" s="1"/>
  <c r="X177" i="21"/>
  <c r="BX177" i="21" s="1"/>
  <c r="X312" i="21"/>
  <c r="BX312" i="21" s="1"/>
  <c r="X115" i="21"/>
  <c r="BX115" i="21" s="1"/>
  <c r="X330" i="21"/>
  <c r="BX330" i="21" s="1"/>
  <c r="X22" i="21"/>
  <c r="BX22" i="21" s="1"/>
  <c r="X70" i="21"/>
  <c r="BX70" i="21" s="1"/>
  <c r="X118" i="21"/>
  <c r="BX118" i="21" s="1"/>
  <c r="X47" i="21"/>
  <c r="BX47" i="21" s="1"/>
  <c r="X158" i="21"/>
  <c r="BX158" i="21" s="1"/>
  <c r="X211" i="21"/>
  <c r="BX211" i="21" s="1"/>
  <c r="X259" i="21"/>
  <c r="BX259" i="21" s="1"/>
  <c r="X24" i="21"/>
  <c r="BX24" i="21" s="1"/>
  <c r="X137" i="21"/>
  <c r="BX137" i="21" s="1"/>
  <c r="X204" i="21"/>
  <c r="BX204" i="21" s="1"/>
  <c r="X252" i="21"/>
  <c r="BX252" i="21" s="1"/>
  <c r="X19" i="21"/>
  <c r="BX19" i="21" s="1"/>
  <c r="X91" i="21"/>
  <c r="BX91" i="21" s="1"/>
  <c r="X33" i="21"/>
  <c r="BX33" i="21" s="1"/>
  <c r="X120" i="21"/>
  <c r="BX120" i="21" s="1"/>
  <c r="X309" i="21"/>
  <c r="BX309" i="21" s="1"/>
  <c r="X139" i="21"/>
  <c r="BX139" i="21" s="1"/>
  <c r="X344" i="21"/>
  <c r="BX344" i="21" s="1"/>
  <c r="X277" i="21"/>
  <c r="BX277" i="21" s="1"/>
  <c r="X205" i="21"/>
  <c r="BX205" i="21" s="1"/>
  <c r="X143" i="21"/>
  <c r="BX143" i="21" s="1"/>
  <c r="X104" i="21"/>
  <c r="BX104" i="21" s="1"/>
  <c r="X217" i="21"/>
  <c r="BX217" i="21" s="1"/>
  <c r="X40" i="21"/>
  <c r="BX40" i="21" s="1"/>
  <c r="X140" i="21"/>
  <c r="BX140" i="21" s="1"/>
  <c r="X308" i="21"/>
  <c r="BX308" i="21" s="1"/>
  <c r="X218" i="21"/>
  <c r="BX218" i="21" s="1"/>
  <c r="X318" i="21"/>
  <c r="BX318" i="21" s="1"/>
  <c r="X182" i="21"/>
  <c r="BX182" i="21" s="1"/>
  <c r="X131" i="21"/>
  <c r="BX131" i="21" s="1"/>
  <c r="X26" i="21"/>
  <c r="BX26" i="21" s="1"/>
  <c r="X74" i="21"/>
  <c r="BX74" i="21" s="1"/>
  <c r="X122" i="21"/>
  <c r="BX122" i="21" s="1"/>
  <c r="X53" i="21"/>
  <c r="BX53" i="21" s="1"/>
  <c r="X167" i="21"/>
  <c r="BX167" i="21" s="1"/>
  <c r="X215" i="21"/>
  <c r="BX215" i="21" s="1"/>
  <c r="X263" i="21"/>
  <c r="BX263" i="21" s="1"/>
  <c r="X36" i="21"/>
  <c r="BX36" i="21" s="1"/>
  <c r="X146" i="21"/>
  <c r="BX146" i="21" s="1"/>
  <c r="X208" i="21"/>
  <c r="BX208" i="21" s="1"/>
  <c r="X256" i="21"/>
  <c r="BX256" i="21" s="1"/>
  <c r="X25" i="21"/>
  <c r="BX25" i="21" s="1"/>
  <c r="X97" i="21"/>
  <c r="BX97" i="21" s="1"/>
  <c r="X39" i="21"/>
  <c r="BX39" i="21" s="1"/>
  <c r="X148" i="21"/>
  <c r="BX148" i="21" s="1"/>
  <c r="X322" i="21"/>
  <c r="BX322" i="21" s="1"/>
  <c r="X165" i="21"/>
  <c r="BX165" i="21" s="1"/>
  <c r="X348" i="21"/>
  <c r="BX348" i="21" s="1"/>
  <c r="X44" i="21"/>
  <c r="BX44" i="21" s="1"/>
  <c r="X237" i="21"/>
  <c r="BX237" i="21" s="1"/>
  <c r="X273" i="21"/>
  <c r="BX273" i="21" s="1"/>
  <c r="X241" i="21"/>
  <c r="BX241" i="21" s="1"/>
  <c r="X226" i="21"/>
  <c r="BX226" i="21" s="1"/>
  <c r="X162" i="21"/>
  <c r="BX162" i="21" s="1"/>
  <c r="X166" i="21"/>
  <c r="BX166" i="21" s="1"/>
  <c r="X359" i="21"/>
  <c r="BX359" i="21" s="1"/>
  <c r="X249" i="21"/>
  <c r="BX249" i="21" s="1"/>
  <c r="X338" i="21"/>
  <c r="BX338" i="21" s="1"/>
  <c r="X320" i="21"/>
  <c r="BX320" i="21" s="1"/>
  <c r="X274" i="21"/>
  <c r="BX274" i="21" s="1"/>
  <c r="X30" i="21"/>
  <c r="BX30" i="21" s="1"/>
  <c r="X78" i="21"/>
  <c r="BX78" i="21" s="1"/>
  <c r="X126" i="21"/>
  <c r="BX126" i="21" s="1"/>
  <c r="X59" i="21"/>
  <c r="BX59" i="21" s="1"/>
  <c r="X171" i="21"/>
  <c r="BX171" i="21" s="1"/>
  <c r="X219" i="21"/>
  <c r="BX219" i="21" s="1"/>
  <c r="X267" i="21"/>
  <c r="BX267" i="21" s="1"/>
  <c r="X48" i="21"/>
  <c r="BX48" i="21" s="1"/>
  <c r="X155" i="21"/>
  <c r="BX155" i="21" s="1"/>
  <c r="X212" i="21"/>
  <c r="BX212" i="21" s="1"/>
  <c r="X260" i="21"/>
  <c r="BX260" i="21" s="1"/>
  <c r="X31" i="21"/>
  <c r="BX31" i="21" s="1"/>
  <c r="X103" i="21"/>
  <c r="BX103" i="21" s="1"/>
  <c r="X45" i="21"/>
  <c r="BX45" i="21" s="1"/>
  <c r="X161" i="21"/>
  <c r="BX161" i="21" s="1"/>
  <c r="X119" i="21"/>
  <c r="BX119" i="21" s="1"/>
  <c r="X181" i="21"/>
  <c r="BX181" i="21" s="1"/>
  <c r="X352" i="21"/>
  <c r="BX352" i="21" s="1"/>
  <c r="X173" i="21"/>
  <c r="BX173" i="21" s="1"/>
  <c r="X246" i="21"/>
  <c r="BX246" i="21" s="1"/>
  <c r="X349" i="21"/>
  <c r="BX349" i="21" s="1"/>
  <c r="X201" i="21"/>
  <c r="BX201" i="21" s="1"/>
  <c r="X258" i="21"/>
  <c r="BX258" i="21" s="1"/>
  <c r="X186" i="21"/>
  <c r="BX186" i="21" s="1"/>
  <c r="X189" i="21"/>
  <c r="BX189" i="21" s="1"/>
  <c r="X144" i="21"/>
  <c r="BX144" i="21" s="1"/>
  <c r="X287" i="21"/>
  <c r="BX287" i="21" s="1"/>
  <c r="X343" i="21"/>
  <c r="BX343" i="21" s="1"/>
  <c r="X298" i="21"/>
  <c r="BX298" i="21" s="1"/>
  <c r="X303" i="21"/>
  <c r="BX303" i="21" s="1"/>
  <c r="X34" i="21"/>
  <c r="BX34" i="21" s="1"/>
  <c r="X82" i="21"/>
  <c r="BX82" i="21" s="1"/>
  <c r="X130" i="21"/>
  <c r="BX130" i="21" s="1"/>
  <c r="X65" i="21"/>
  <c r="BX65" i="21" s="1"/>
  <c r="X175" i="21"/>
  <c r="BX175" i="21" s="1"/>
  <c r="X223" i="21"/>
  <c r="BX223" i="21" s="1"/>
  <c r="X271" i="21"/>
  <c r="BX271" i="21" s="1"/>
  <c r="X60" i="21"/>
  <c r="BX60" i="21" s="1"/>
  <c r="X168" i="21"/>
  <c r="BX168" i="21" s="1"/>
  <c r="X216" i="21"/>
  <c r="BX216" i="21" s="1"/>
  <c r="X264" i="21"/>
  <c r="BX264" i="21" s="1"/>
  <c r="X37" i="21"/>
  <c r="BX37" i="21" s="1"/>
  <c r="X108" i="21"/>
  <c r="BX108" i="21" s="1"/>
  <c r="X51" i="21"/>
  <c r="BX51" i="21" s="1"/>
  <c r="X116" i="21"/>
  <c r="BX116" i="21" s="1"/>
  <c r="X147" i="21"/>
  <c r="BX147" i="21" s="1"/>
  <c r="X222" i="21"/>
  <c r="BX222" i="21" s="1"/>
  <c r="X356" i="21"/>
  <c r="BX356" i="21" s="1"/>
  <c r="X194" i="21"/>
  <c r="BX194" i="21" s="1"/>
  <c r="X304" i="21"/>
  <c r="BX304" i="21" s="1"/>
  <c r="X253" i="21"/>
  <c r="BX253" i="21" s="1"/>
  <c r="X80" i="21"/>
  <c r="BX80" i="21" s="1"/>
  <c r="X278" i="21"/>
  <c r="BX278" i="21" s="1"/>
  <c r="X197" i="21"/>
  <c r="BX197" i="21" s="1"/>
  <c r="X279" i="21"/>
  <c r="BX279" i="21" s="1"/>
  <c r="X233" i="21"/>
  <c r="BX233" i="21" s="1"/>
  <c r="X328" i="21"/>
  <c r="BX328" i="21" s="1"/>
  <c r="X362" i="21"/>
  <c r="BX362" i="21" s="1"/>
  <c r="X125" i="21"/>
  <c r="BX125" i="21" s="1"/>
  <c r="X345" i="21"/>
  <c r="BX345" i="21" s="1"/>
  <c r="X38" i="21"/>
  <c r="BX38" i="21" s="1"/>
  <c r="X86" i="21"/>
  <c r="BX86" i="21" s="1"/>
  <c r="X134" i="21"/>
  <c r="BX134" i="21" s="1"/>
  <c r="X71" i="21"/>
  <c r="BX71" i="21" s="1"/>
  <c r="X179" i="21"/>
  <c r="BX179" i="21" s="1"/>
  <c r="X227" i="21"/>
  <c r="BX227" i="21" s="1"/>
  <c r="X107" i="21"/>
  <c r="BX107" i="21" s="1"/>
  <c r="X72" i="21"/>
  <c r="BX72" i="21" s="1"/>
  <c r="X172" i="21"/>
  <c r="BX172" i="21" s="1"/>
  <c r="X220" i="21"/>
  <c r="BX220" i="21" s="1"/>
  <c r="X268" i="21"/>
  <c r="BX268" i="21" s="1"/>
  <c r="X43" i="21"/>
  <c r="BX43" i="21" s="1"/>
  <c r="X128" i="21"/>
  <c r="BX128" i="21" s="1"/>
  <c r="X57" i="21"/>
  <c r="BX57" i="21" s="1"/>
  <c r="X153" i="21"/>
  <c r="BX153" i="21" s="1"/>
  <c r="X214" i="21"/>
  <c r="BX214" i="21" s="1"/>
  <c r="X229" i="21"/>
  <c r="BX229" i="21" s="1"/>
  <c r="X360" i="21"/>
  <c r="BX360" i="21" s="1"/>
  <c r="X225" i="21"/>
  <c r="BX225" i="21" s="1"/>
  <c r="X316" i="21"/>
  <c r="BX316" i="21" s="1"/>
  <c r="X297" i="21"/>
  <c r="BX297" i="21" s="1"/>
  <c r="X28" i="21"/>
  <c r="BX28" i="21" s="1"/>
  <c r="X299" i="21"/>
  <c r="BX299" i="21" s="1"/>
  <c r="X238" i="21"/>
  <c r="BX238" i="21" s="1"/>
  <c r="X323" i="21"/>
  <c r="BX323" i="21" s="1"/>
  <c r="X64" i="21"/>
  <c r="BX64" i="21" s="1"/>
  <c r="X333" i="21"/>
  <c r="BX333" i="21" s="1"/>
  <c r="X76" i="21"/>
  <c r="BX76" i="21" s="1"/>
  <c r="X307" i="21"/>
  <c r="BX307" i="21" s="1"/>
  <c r="X193" i="21"/>
  <c r="BX193" i="21" s="1"/>
  <c r="X42" i="21"/>
  <c r="BX42" i="21" s="1"/>
  <c r="X90" i="21"/>
  <c r="BX90" i="21" s="1"/>
  <c r="X138" i="21"/>
  <c r="BX138" i="21" s="1"/>
  <c r="X77" i="21"/>
  <c r="BX77" i="21" s="1"/>
  <c r="X183" i="21"/>
  <c r="BX183" i="21" s="1"/>
  <c r="X231" i="21"/>
  <c r="BX231" i="21" s="1"/>
  <c r="X112" i="21"/>
  <c r="BX112" i="21" s="1"/>
  <c r="X84" i="21"/>
  <c r="BX84" i="21" s="1"/>
  <c r="X176" i="21"/>
  <c r="BX176" i="21" s="1"/>
  <c r="X224" i="21"/>
  <c r="BX224" i="21" s="1"/>
  <c r="X272" i="21"/>
  <c r="BX272" i="21" s="1"/>
  <c r="X49" i="21"/>
  <c r="BX49" i="21" s="1"/>
  <c r="X142" i="21"/>
  <c r="BX142" i="21" s="1"/>
  <c r="X63" i="21"/>
  <c r="BX63" i="21" s="1"/>
  <c r="X206" i="21"/>
  <c r="BX206" i="21" s="1"/>
  <c r="X221" i="21"/>
  <c r="BX221" i="21" s="1"/>
  <c r="X270" i="21"/>
  <c r="BX270" i="21" s="1"/>
  <c r="X364" i="21"/>
  <c r="BX364" i="21" s="1"/>
  <c r="X266" i="21"/>
  <c r="BX266" i="21" s="1"/>
  <c r="X346" i="21"/>
  <c r="BX346" i="21" s="1"/>
  <c r="X325" i="21"/>
  <c r="BX325" i="21" s="1"/>
  <c r="X68" i="21"/>
  <c r="BX68" i="21" s="1"/>
  <c r="X305" i="21"/>
  <c r="BX305" i="21" s="1"/>
  <c r="X294" i="21"/>
  <c r="BX294" i="21" s="1"/>
  <c r="X367" i="21"/>
  <c r="BX367" i="21" s="1"/>
  <c r="X160" i="21"/>
  <c r="BX160" i="21" s="1"/>
  <c r="X357" i="21"/>
  <c r="BX357" i="21" s="1"/>
  <c r="X178" i="21"/>
  <c r="BX178" i="21" s="1"/>
  <c r="X56" i="21"/>
  <c r="BX56" i="21" s="1"/>
  <c r="X234" i="21"/>
  <c r="BX234" i="21" s="1"/>
  <c r="X46" i="21"/>
  <c r="BX46" i="21" s="1"/>
  <c r="X94" i="21"/>
  <c r="BX94" i="21" s="1"/>
  <c r="X11" i="21"/>
  <c r="BX11" i="21" s="1"/>
  <c r="X83" i="21"/>
  <c r="BX83" i="21" s="1"/>
  <c r="X187" i="21"/>
  <c r="BX187" i="21" s="1"/>
  <c r="X235" i="21"/>
  <c r="BX235" i="21" s="1"/>
  <c r="X117" i="21"/>
  <c r="BX117" i="21" s="1"/>
  <c r="X96" i="21"/>
  <c r="BX96" i="21" s="1"/>
  <c r="X180" i="21"/>
  <c r="BX180" i="21" s="1"/>
  <c r="X228" i="21"/>
  <c r="BX228" i="21" s="1"/>
  <c r="X276" i="21"/>
  <c r="BX276" i="21" s="1"/>
  <c r="X55" i="21"/>
  <c r="BX55" i="21" s="1"/>
  <c r="X151" i="21"/>
  <c r="BX151" i="21" s="1"/>
  <c r="X69" i="21"/>
  <c r="BX69" i="21" s="1"/>
  <c r="X213" i="21"/>
  <c r="BX213" i="21" s="1"/>
  <c r="X262" i="21"/>
  <c r="BX262" i="21" s="1"/>
  <c r="X293" i="21"/>
  <c r="BX293" i="21" s="1"/>
  <c r="X157" i="21"/>
  <c r="BX157" i="21" s="1"/>
  <c r="X285" i="21"/>
  <c r="BX285" i="21" s="1"/>
  <c r="X351" i="21"/>
  <c r="BX351" i="21" s="1"/>
  <c r="X335" i="21"/>
  <c r="BX335" i="21" s="1"/>
  <c r="X88" i="21"/>
  <c r="BX88" i="21" s="1"/>
  <c r="X311" i="21"/>
  <c r="BX311" i="21" s="1"/>
  <c r="X317" i="21"/>
  <c r="BX317" i="21" s="1"/>
  <c r="X16" i="21"/>
  <c r="BX16" i="21" s="1"/>
  <c r="X245" i="21"/>
  <c r="BX245" i="21" s="1"/>
  <c r="X92" i="21"/>
  <c r="BX92" i="21" s="1"/>
  <c r="X210" i="21"/>
  <c r="BX210" i="21" s="1"/>
  <c r="X190" i="21"/>
  <c r="BX190" i="21" s="1"/>
  <c r="X350" i="21"/>
  <c r="BX350" i="21" s="1"/>
  <c r="X50" i="21"/>
  <c r="BX50" i="21" s="1"/>
  <c r="X98" i="21"/>
  <c r="BX98" i="21" s="1"/>
  <c r="X17" i="21"/>
  <c r="BX17" i="21" s="1"/>
  <c r="X89" i="21"/>
  <c r="BX89" i="21" s="1"/>
  <c r="X191" i="21"/>
  <c r="BX191" i="21" s="1"/>
  <c r="X239" i="21"/>
  <c r="BX239" i="21" s="1"/>
  <c r="X127" i="21"/>
  <c r="BX127" i="21" s="1"/>
  <c r="X132" i="21"/>
  <c r="BX132" i="21" s="1"/>
  <c r="X184" i="21"/>
  <c r="BX184" i="21" s="1"/>
  <c r="X232" i="21"/>
  <c r="BX232" i="21" s="1"/>
  <c r="X280" i="21"/>
  <c r="BX280" i="21" s="1"/>
  <c r="X61" i="21"/>
  <c r="BX61" i="21" s="1"/>
  <c r="X164" i="21"/>
  <c r="BX164" i="21" s="1"/>
  <c r="X75" i="21"/>
  <c r="BX75" i="21" s="1"/>
  <c r="X254" i="21"/>
  <c r="BX254" i="21" s="1"/>
  <c r="X269" i="21"/>
  <c r="BX269" i="21" s="1"/>
  <c r="X306" i="21"/>
  <c r="BX306" i="21" s="1"/>
  <c r="X174" i="21"/>
  <c r="BX174" i="21" s="1"/>
  <c r="X310" i="21"/>
  <c r="BX310" i="21" s="1"/>
  <c r="X329" i="21"/>
  <c r="BX329" i="21" s="1"/>
  <c r="X354" i="21"/>
  <c r="BX354" i="21" s="1"/>
  <c r="X105" i="21"/>
  <c r="BX105" i="21" s="1"/>
  <c r="X327" i="21"/>
  <c r="BX327" i="21" s="1"/>
  <c r="X342" i="21"/>
  <c r="BX342" i="21" s="1"/>
  <c r="X281" i="21"/>
  <c r="BX281" i="21" s="1"/>
  <c r="X331" i="21"/>
  <c r="BX331" i="21" s="1"/>
  <c r="X152" i="21"/>
  <c r="BX152" i="21" s="1"/>
  <c r="X295" i="21"/>
  <c r="BX295" i="21" s="1"/>
  <c r="X358" i="21"/>
  <c r="BX358" i="21" s="1"/>
  <c r="X315" i="21"/>
  <c r="BX315" i="21" s="1"/>
  <c r="X54" i="21"/>
  <c r="BX54" i="21" s="1"/>
  <c r="X102" i="21"/>
  <c r="BX102" i="21" s="1"/>
  <c r="X23" i="21"/>
  <c r="BX23" i="21" s="1"/>
  <c r="X95" i="21"/>
  <c r="BX95" i="21" s="1"/>
  <c r="X195" i="21"/>
  <c r="BX195" i="21" s="1"/>
  <c r="X243" i="21"/>
  <c r="BX243" i="21" s="1"/>
  <c r="X141" i="21"/>
  <c r="BX141" i="21" s="1"/>
  <c r="X150" i="21"/>
  <c r="BX150" i="21" s="1"/>
  <c r="X188" i="21"/>
  <c r="BX188" i="21" s="1"/>
  <c r="X236" i="21"/>
  <c r="BX236" i="21" s="1"/>
  <c r="X284" i="21"/>
  <c r="BX284" i="21" s="1"/>
  <c r="X67" i="21"/>
  <c r="BX67" i="21" s="1"/>
  <c r="X9" i="21"/>
  <c r="BX9" i="21" s="1"/>
  <c r="X81" i="21"/>
  <c r="BX81" i="21" s="1"/>
  <c r="X261" i="21"/>
  <c r="BX261" i="21" s="1"/>
  <c r="X275" i="21"/>
  <c r="BX275" i="21" s="1"/>
  <c r="X319" i="21"/>
  <c r="BX319" i="21" s="1"/>
  <c r="X202" i="21"/>
  <c r="BX202" i="21" s="1"/>
  <c r="X321" i="21"/>
  <c r="BX321" i="21" s="1"/>
  <c r="X353" i="21"/>
  <c r="BX353" i="21" s="1"/>
  <c r="X20" i="21"/>
  <c r="BX20" i="21" s="1"/>
  <c r="X121" i="21"/>
  <c r="BX121" i="21" s="1"/>
  <c r="X337" i="21"/>
  <c r="BX337" i="21" s="1"/>
  <c r="X347" i="21"/>
  <c r="BX347" i="21" s="1"/>
  <c r="X324" i="21"/>
  <c r="BX324" i="21" s="1"/>
  <c r="X52" i="21"/>
  <c r="BX52" i="21" s="1"/>
  <c r="X198" i="21"/>
  <c r="BX198" i="21" s="1"/>
  <c r="X313" i="21"/>
  <c r="BX313" i="21" s="1"/>
  <c r="X156" i="21"/>
  <c r="BX156" i="21" s="1"/>
  <c r="X355" i="21"/>
  <c r="BX355" i="21" s="1"/>
  <c r="W107" i="21"/>
  <c r="W72" i="21"/>
  <c r="W78" i="21"/>
  <c r="W184" i="21"/>
  <c r="W232" i="21"/>
  <c r="W280" i="21"/>
  <c r="W67" i="21"/>
  <c r="W164" i="21"/>
  <c r="W174" i="21"/>
  <c r="W222" i="21"/>
  <c r="W270" i="21"/>
  <c r="W162" i="21"/>
  <c r="W343" i="21"/>
  <c r="W71" i="21"/>
  <c r="W297" i="21"/>
  <c r="W209" i="21"/>
  <c r="W283" i="21"/>
  <c r="W237" i="21"/>
  <c r="W299" i="21"/>
  <c r="W213" i="21"/>
  <c r="W134" i="21"/>
  <c r="W129" i="21"/>
  <c r="W342" i="21"/>
  <c r="W69" i="21"/>
  <c r="W74" i="21"/>
  <c r="W191" i="21"/>
  <c r="W187" i="21"/>
  <c r="W329" i="21"/>
  <c r="W364" i="21"/>
  <c r="W223" i="21"/>
  <c r="W112" i="21"/>
  <c r="W84" i="21"/>
  <c r="W90" i="21"/>
  <c r="W188" i="21"/>
  <c r="W236" i="21"/>
  <c r="W284" i="21"/>
  <c r="W73" i="21"/>
  <c r="W119" i="21"/>
  <c r="W178" i="21"/>
  <c r="W226" i="21"/>
  <c r="W274" i="21"/>
  <c r="W193" i="21"/>
  <c r="W347" i="21"/>
  <c r="W95" i="21"/>
  <c r="W310" i="21"/>
  <c r="W215" i="21"/>
  <c r="W16" i="21"/>
  <c r="W289" i="21"/>
  <c r="W337" i="21"/>
  <c r="W298" i="21"/>
  <c r="W149" i="21"/>
  <c r="W325" i="21"/>
  <c r="W366" i="21"/>
  <c r="W89" i="21"/>
  <c r="W239" i="21"/>
  <c r="W265" i="21"/>
  <c r="W229" i="21"/>
  <c r="W353" i="21"/>
  <c r="W101" i="21"/>
  <c r="W62" i="21"/>
  <c r="W117" i="21"/>
  <c r="W96" i="21"/>
  <c r="W102" i="21"/>
  <c r="W192" i="21"/>
  <c r="W240" i="21"/>
  <c r="W288" i="21"/>
  <c r="W79" i="21"/>
  <c r="W133" i="21"/>
  <c r="W182" i="21"/>
  <c r="W230" i="21"/>
  <c r="W278" i="21"/>
  <c r="W199" i="21"/>
  <c r="W351" i="21"/>
  <c r="W109" i="21"/>
  <c r="W15" i="21"/>
  <c r="W257" i="21"/>
  <c r="W28" i="21"/>
  <c r="W65" i="21"/>
  <c r="W356" i="21"/>
  <c r="W44" i="21"/>
  <c r="W161" i="21"/>
  <c r="W233" i="21"/>
  <c r="W77" i="21"/>
  <c r="W106" i="21"/>
  <c r="W295" i="21"/>
  <c r="W340" i="21"/>
  <c r="W259" i="21"/>
  <c r="W33" i="21"/>
  <c r="W158" i="21"/>
  <c r="W21" i="21"/>
  <c r="W127" i="21"/>
  <c r="W122" i="21"/>
  <c r="W113" i="21"/>
  <c r="W196" i="21"/>
  <c r="W244" i="21"/>
  <c r="W13" i="21"/>
  <c r="W85" i="21"/>
  <c r="W147" i="21"/>
  <c r="W186" i="21"/>
  <c r="W234" i="21"/>
  <c r="W282" i="21"/>
  <c r="W241" i="21"/>
  <c r="W355" i="21"/>
  <c r="W138" i="21"/>
  <c r="W27" i="21"/>
  <c r="W263" i="21"/>
  <c r="W40" i="21"/>
  <c r="W83" i="21"/>
  <c r="W361" i="21"/>
  <c r="W183" i="21"/>
  <c r="W185" i="21"/>
  <c r="W303" i="21"/>
  <c r="W221" i="21"/>
  <c r="W124" i="21"/>
  <c r="W307" i="21"/>
  <c r="W81" i="21"/>
  <c r="W279" i="21"/>
  <c r="W324" i="21"/>
  <c r="W203" i="21"/>
  <c r="W145" i="21"/>
  <c r="W141" i="21"/>
  <c r="W132" i="21"/>
  <c r="W123" i="21"/>
  <c r="W200" i="21"/>
  <c r="W248" i="21"/>
  <c r="W19" i="21"/>
  <c r="W91" i="21"/>
  <c r="W160" i="21"/>
  <c r="W190" i="21"/>
  <c r="W238" i="21"/>
  <c r="W10" i="21"/>
  <c r="W247" i="21"/>
  <c r="W359" i="21"/>
  <c r="W156" i="21"/>
  <c r="W39" i="21"/>
  <c r="W277" i="21"/>
  <c r="W52" i="21"/>
  <c r="W104" i="21"/>
  <c r="W56" i="21"/>
  <c r="W225" i="21"/>
  <c r="W311" i="21"/>
  <c r="W365" i="21"/>
  <c r="W290" i="21"/>
  <c r="W136" i="21"/>
  <c r="W348" i="21"/>
  <c r="W309" i="21"/>
  <c r="W300" i="21"/>
  <c r="W169" i="21"/>
  <c r="W245" i="21"/>
  <c r="W285" i="21"/>
  <c r="W154" i="21"/>
  <c r="W150" i="21"/>
  <c r="W137" i="21"/>
  <c r="W204" i="21"/>
  <c r="W252" i="21"/>
  <c r="W25" i="21"/>
  <c r="W97" i="21"/>
  <c r="W105" i="21"/>
  <c r="W194" i="21"/>
  <c r="W242" i="21"/>
  <c r="W22" i="21"/>
  <c r="W281" i="21"/>
  <c r="W363" i="21"/>
  <c r="W173" i="21"/>
  <c r="W51" i="21"/>
  <c r="W302" i="21"/>
  <c r="W64" i="21"/>
  <c r="W205" i="21"/>
  <c r="W167" i="21"/>
  <c r="W275" i="21"/>
  <c r="W327" i="21"/>
  <c r="W175" i="21"/>
  <c r="W181" i="21"/>
  <c r="W177" i="21"/>
  <c r="W14" i="21"/>
  <c r="W360" i="21"/>
  <c r="W312" i="21"/>
  <c r="W273" i="21"/>
  <c r="W291" i="21"/>
  <c r="W321" i="21"/>
  <c r="W163" i="21"/>
  <c r="W159" i="21"/>
  <c r="W146" i="21"/>
  <c r="W208" i="21"/>
  <c r="W256" i="21"/>
  <c r="W31" i="21"/>
  <c r="W103" i="21"/>
  <c r="W110" i="21"/>
  <c r="W198" i="21"/>
  <c r="W246" i="21"/>
  <c r="W34" i="21"/>
  <c r="W296" i="21"/>
  <c r="W367" i="21"/>
  <c r="W201" i="21"/>
  <c r="W63" i="21"/>
  <c r="W315" i="21"/>
  <c r="W88" i="21"/>
  <c r="W235" i="21"/>
  <c r="W261" i="21"/>
  <c r="W336" i="21"/>
  <c r="W332" i="21"/>
  <c r="W197" i="21"/>
  <c r="W253" i="21"/>
  <c r="W227" i="21"/>
  <c r="W93" i="21"/>
  <c r="W9" i="21"/>
  <c r="W323" i="21"/>
  <c r="W344" i="21"/>
  <c r="W350" i="21"/>
  <c r="W41" i="21"/>
  <c r="W12" i="21"/>
  <c r="W18" i="21"/>
  <c r="W155" i="21"/>
  <c r="W212" i="21"/>
  <c r="W260" i="21"/>
  <c r="W37" i="21"/>
  <c r="W108" i="21"/>
  <c r="W125" i="21"/>
  <c r="W202" i="21"/>
  <c r="W250" i="21"/>
  <c r="W46" i="21"/>
  <c r="W305" i="21"/>
  <c r="W11" i="21"/>
  <c r="W207" i="21"/>
  <c r="W75" i="21"/>
  <c r="W328" i="21"/>
  <c r="W100" i="21"/>
  <c r="W293" i="21"/>
  <c r="W126" i="21"/>
  <c r="W26" i="21"/>
  <c r="W358" i="21"/>
  <c r="W267" i="21"/>
  <c r="W308" i="21"/>
  <c r="W269" i="21"/>
  <c r="W153" i="21"/>
  <c r="W32" i="21"/>
  <c r="W338" i="21"/>
  <c r="W115" i="21"/>
  <c r="W171" i="21"/>
  <c r="W17" i="21"/>
  <c r="W24" i="21"/>
  <c r="W30" i="21"/>
  <c r="W168" i="21"/>
  <c r="W216" i="21"/>
  <c r="W264" i="21"/>
  <c r="W43" i="21"/>
  <c r="W118" i="21"/>
  <c r="W135" i="21"/>
  <c r="W206" i="21"/>
  <c r="W254" i="21"/>
  <c r="W58" i="21"/>
  <c r="W318" i="21"/>
  <c r="W23" i="21"/>
  <c r="W249" i="21"/>
  <c r="W87" i="21"/>
  <c r="W76" i="21"/>
  <c r="W111" i="21"/>
  <c r="W304" i="21"/>
  <c r="W314" i="21"/>
  <c r="W45" i="21"/>
  <c r="W114" i="21"/>
  <c r="W286" i="21"/>
  <c r="W354" i="21"/>
  <c r="W306" i="21"/>
  <c r="W219" i="21"/>
  <c r="W92" i="21"/>
  <c r="W362" i="21"/>
  <c r="W330" i="21"/>
  <c r="W326" i="21"/>
  <c r="W38" i="21"/>
  <c r="W36" i="21"/>
  <c r="W42" i="21"/>
  <c r="W172" i="21"/>
  <c r="W220" i="21"/>
  <c r="W268" i="21"/>
  <c r="W49" i="21"/>
  <c r="W128" i="21"/>
  <c r="W144" i="21"/>
  <c r="W210" i="21"/>
  <c r="W258" i="21"/>
  <c r="W70" i="21"/>
  <c r="W331" i="21"/>
  <c r="W35" i="21"/>
  <c r="W255" i="21"/>
  <c r="W99" i="21"/>
  <c r="W140" i="21"/>
  <c r="W130" i="21"/>
  <c r="W316" i="21"/>
  <c r="W20" i="21"/>
  <c r="W68" i="21"/>
  <c r="W179" i="21"/>
  <c r="W294" i="21"/>
  <c r="W341" i="21"/>
  <c r="W333" i="21"/>
  <c r="W313" i="21"/>
  <c r="W139" i="21"/>
  <c r="W53" i="21"/>
  <c r="W8" i="21"/>
  <c r="W251" i="21"/>
  <c r="W57" i="21"/>
  <c r="W48" i="21"/>
  <c r="W54" i="21"/>
  <c r="W176" i="21"/>
  <c r="W224" i="21"/>
  <c r="W272" i="21"/>
  <c r="W55" i="21"/>
  <c r="W142" i="21"/>
  <c r="W157" i="21"/>
  <c r="W214" i="21"/>
  <c r="W262" i="21"/>
  <c r="W82" i="21"/>
  <c r="W335" i="21"/>
  <c r="W47" i="21"/>
  <c r="W287" i="21"/>
  <c r="W120" i="21"/>
  <c r="W189" i="21"/>
  <c r="W166" i="21"/>
  <c r="W346" i="21"/>
  <c r="W131" i="21"/>
  <c r="W86" i="21"/>
  <c r="W319" i="21"/>
  <c r="W317" i="21"/>
  <c r="W29" i="21"/>
  <c r="W352" i="21"/>
  <c r="W143" i="21"/>
  <c r="W152" i="21"/>
  <c r="W271" i="21"/>
  <c r="W320" i="21"/>
  <c r="W334" i="21"/>
  <c r="W80" i="21"/>
  <c r="W60" i="21"/>
  <c r="W66" i="21"/>
  <c r="W180" i="21"/>
  <c r="W228" i="21"/>
  <c r="W276" i="21"/>
  <c r="W61" i="21"/>
  <c r="W151" i="21"/>
  <c r="W170" i="21"/>
  <c r="W218" i="21"/>
  <c r="W266" i="21"/>
  <c r="W94" i="21"/>
  <c r="W339" i="21"/>
  <c r="W59" i="21"/>
  <c r="W292" i="21"/>
  <c r="W148" i="21"/>
  <c r="W243" i="21"/>
  <c r="W195" i="21"/>
  <c r="W217" i="21"/>
  <c r="W116" i="21"/>
  <c r="W121" i="21"/>
  <c r="W349" i="21"/>
  <c r="W322" i="21"/>
  <c r="W50" i="21"/>
  <c r="W357" i="21"/>
  <c r="W231" i="21"/>
  <c r="W165" i="21"/>
  <c r="W301" i="21"/>
  <c r="W345" i="21"/>
  <c r="W211" i="21"/>
  <c r="W98" i="21"/>
  <c r="BW203" i="21" l="1"/>
  <c r="CE203" i="21" s="1"/>
  <c r="BW69" i="21"/>
  <c r="CE69" i="21" s="1"/>
  <c r="BW305" i="21"/>
  <c r="CE305" i="21" s="1"/>
  <c r="BW180" i="21"/>
  <c r="CE180" i="21" s="1"/>
  <c r="BW128" i="21"/>
  <c r="CE128" i="21" s="1"/>
  <c r="BW163" i="21"/>
  <c r="CE163" i="21" s="1"/>
  <c r="BW117" i="21"/>
  <c r="CE117" i="21" s="1"/>
  <c r="BW134" i="21"/>
  <c r="CE134" i="21" s="1"/>
  <c r="BW32" i="21"/>
  <c r="CE32" i="21" s="1"/>
  <c r="BW83" i="21"/>
  <c r="CE83" i="21" s="1"/>
  <c r="BW257" i="21"/>
  <c r="CE257" i="21" s="1"/>
  <c r="BW195" i="21"/>
  <c r="CE195" i="21" s="1"/>
  <c r="BW251" i="21"/>
  <c r="CE251" i="21" s="1"/>
  <c r="BW268" i="21"/>
  <c r="CE268" i="21" s="1"/>
  <c r="BW103" i="21"/>
  <c r="CE103" i="21" s="1"/>
  <c r="BW291" i="21"/>
  <c r="CE291" i="21" s="1"/>
  <c r="BW56" i="21"/>
  <c r="CE56" i="21" s="1"/>
  <c r="BW127" i="21"/>
  <c r="CE127" i="21" s="1"/>
  <c r="BW299" i="21"/>
  <c r="CE299" i="21" s="1"/>
  <c r="BW80" i="21"/>
  <c r="CE80" i="21" s="1"/>
  <c r="BW55" i="21"/>
  <c r="CE55" i="21" s="1"/>
  <c r="BW21" i="21"/>
  <c r="CE21" i="21" s="1"/>
  <c r="BW206" i="21"/>
  <c r="CE206" i="21" s="1"/>
  <c r="BL279" i="27"/>
  <c r="BW151" i="21"/>
  <c r="CE151" i="21" s="1"/>
  <c r="BW52" i="21"/>
  <c r="CE52" i="21" s="1"/>
  <c r="BW296" i="21"/>
  <c r="CE296" i="21" s="1"/>
  <c r="BW174" i="21"/>
  <c r="CE174" i="21" s="1"/>
  <c r="BW90" i="21"/>
  <c r="CE90" i="21" s="1"/>
  <c r="BW283" i="21"/>
  <c r="CE283" i="21" s="1"/>
  <c r="BW58" i="21"/>
  <c r="CE58" i="21" s="1"/>
  <c r="BW210" i="21"/>
  <c r="CE210" i="21" s="1"/>
  <c r="BW36" i="21"/>
  <c r="CE36" i="21" s="1"/>
  <c r="BW118" i="21"/>
  <c r="CE118" i="21" s="1"/>
  <c r="BW146" i="21"/>
  <c r="CE146" i="21" s="1"/>
  <c r="BW271" i="21"/>
  <c r="CE271" i="21" s="1"/>
  <c r="BW120" i="21"/>
  <c r="CE120" i="21" s="1"/>
  <c r="BW153" i="21"/>
  <c r="CE153" i="21" s="1"/>
  <c r="BW10" i="21"/>
  <c r="CE10" i="21" s="1"/>
  <c r="BW186" i="21"/>
  <c r="CE186" i="21" s="1"/>
  <c r="BW35" i="21"/>
  <c r="CE35" i="21" s="1"/>
  <c r="BW320" i="21"/>
  <c r="CE320" i="21" s="1"/>
  <c r="BW33" i="21"/>
  <c r="CE33" i="21" s="1"/>
  <c r="BW44" i="21"/>
  <c r="CE44" i="21" s="1"/>
  <c r="BW140" i="21"/>
  <c r="CE140" i="21" s="1"/>
  <c r="BW230" i="21"/>
  <c r="CE230" i="21" s="1"/>
  <c r="BW129" i="21"/>
  <c r="CE129" i="21" s="1"/>
  <c r="BW126" i="21"/>
  <c r="CE126" i="21" s="1"/>
  <c r="BW198" i="21"/>
  <c r="CE198" i="21" s="1"/>
  <c r="BW42" i="21"/>
  <c r="CE42" i="21" s="1"/>
  <c r="BW76" i="21"/>
  <c r="CE76" i="21" s="1"/>
  <c r="BW53" i="21"/>
  <c r="CE53" i="21" s="1"/>
  <c r="BW208" i="21"/>
  <c r="CE208" i="21" s="1"/>
  <c r="BW138" i="21"/>
  <c r="CE138" i="21" s="1"/>
  <c r="BW115" i="21"/>
  <c r="CE115" i="21" s="1"/>
  <c r="BW19" i="21"/>
  <c r="CE19" i="21" s="1"/>
  <c r="BW292" i="21"/>
  <c r="CE292" i="21" s="1"/>
  <c r="BW265" i="21"/>
  <c r="CE265" i="21" s="1"/>
  <c r="BW344" i="21"/>
  <c r="CE344" i="21" s="1"/>
  <c r="BW289" i="21"/>
  <c r="CE289" i="21" s="1"/>
  <c r="BW93" i="21"/>
  <c r="CE93" i="21" s="1"/>
  <c r="BW243" i="21"/>
  <c r="CE243" i="21" s="1"/>
  <c r="BW8" i="21"/>
  <c r="CE8" i="21" s="1"/>
  <c r="BW254" i="21"/>
  <c r="CE254" i="21" s="1"/>
  <c r="BW31" i="21"/>
  <c r="CE31" i="21" s="1"/>
  <c r="BW104" i="21"/>
  <c r="CE104" i="21" s="1"/>
  <c r="BW158" i="21"/>
  <c r="CE158" i="21" s="1"/>
  <c r="BW199" i="21"/>
  <c r="CE199" i="21" s="1"/>
  <c r="BW339" i="21"/>
  <c r="CE339" i="21" s="1"/>
  <c r="BW214" i="21"/>
  <c r="CE214" i="21" s="1"/>
  <c r="BW155" i="21"/>
  <c r="CE155" i="21" s="1"/>
  <c r="BW45" i="21"/>
  <c r="CE45" i="21" s="1"/>
  <c r="BW79" i="21"/>
  <c r="CE79" i="21" s="1"/>
  <c r="BW255" i="21"/>
  <c r="CE255" i="21" s="1"/>
  <c r="BW110" i="21"/>
  <c r="CE110" i="21" s="1"/>
  <c r="BW62" i="21"/>
  <c r="CE62" i="21" s="1"/>
  <c r="BW135" i="21"/>
  <c r="CE135" i="21" s="1"/>
  <c r="BW242" i="21"/>
  <c r="CE242" i="21" s="1"/>
  <c r="BW277" i="21"/>
  <c r="CE277" i="21" s="1"/>
  <c r="BW98" i="21"/>
  <c r="CE98" i="21" s="1"/>
  <c r="BW113" i="21"/>
  <c r="CE113" i="21" s="1"/>
  <c r="BW223" i="21"/>
  <c r="CE223" i="21" s="1"/>
  <c r="BW105" i="21"/>
  <c r="CE105" i="21" s="1"/>
  <c r="BW139" i="21"/>
  <c r="CE139" i="21" s="1"/>
  <c r="BW267" i="21"/>
  <c r="CE267" i="21" s="1"/>
  <c r="BW43" i="21"/>
  <c r="CE43" i="21" s="1"/>
  <c r="BW156" i="21"/>
  <c r="CE156" i="21" s="1"/>
  <c r="BW9" i="21"/>
  <c r="CE9" i="21" s="1"/>
  <c r="BW322" i="21"/>
  <c r="CE322" i="21" s="1"/>
  <c r="BW349" i="21"/>
  <c r="CE349" i="21" s="1"/>
  <c r="BW185" i="21"/>
  <c r="CE185" i="21" s="1"/>
  <c r="BW166" i="21"/>
  <c r="CE166" i="21" s="1"/>
  <c r="BW48" i="21"/>
  <c r="CE48" i="21" s="1"/>
  <c r="BW311" i="21"/>
  <c r="CE311" i="21" s="1"/>
  <c r="BW335" i="21"/>
  <c r="CE335" i="21" s="1"/>
  <c r="BW306" i="21"/>
  <c r="CE306" i="21" s="1"/>
  <c r="BW84" i="21"/>
  <c r="CE84" i="21" s="1"/>
  <c r="BW313" i="21"/>
  <c r="CE313" i="21" s="1"/>
  <c r="BW171" i="21"/>
  <c r="CE171" i="21" s="1"/>
  <c r="BW358" i="21"/>
  <c r="CE358" i="21" s="1"/>
  <c r="BW91" i="21"/>
  <c r="CE91" i="21" s="1"/>
  <c r="BW244" i="21"/>
  <c r="CE244" i="21" s="1"/>
  <c r="BW278" i="21"/>
  <c r="CE278" i="21" s="1"/>
  <c r="BW67" i="21"/>
  <c r="CE67" i="21" s="1"/>
  <c r="BW20" i="21"/>
  <c r="CE20" i="21" s="1"/>
  <c r="BW219" i="21"/>
  <c r="CE219" i="21" s="1"/>
  <c r="BW348" i="21"/>
  <c r="CE348" i="21" s="1"/>
  <c r="BW152" i="21"/>
  <c r="CE152" i="21" s="1"/>
  <c r="BW143" i="21"/>
  <c r="CE143" i="21" s="1"/>
  <c r="BW114" i="21"/>
  <c r="CE114" i="21" s="1"/>
  <c r="BW338" i="21"/>
  <c r="CE338" i="21" s="1"/>
  <c r="BW245" i="21"/>
  <c r="CE245" i="21" s="1"/>
  <c r="BW248" i="21"/>
  <c r="CE248" i="21" s="1"/>
  <c r="BW333" i="21"/>
  <c r="CE333" i="21" s="1"/>
  <c r="BW18" i="21"/>
  <c r="CE18" i="21" s="1"/>
  <c r="BW200" i="21"/>
  <c r="CE200" i="21" s="1"/>
  <c r="BW29" i="21"/>
  <c r="CE29" i="21" s="1"/>
  <c r="BW101" i="21"/>
  <c r="CE101" i="21" s="1"/>
  <c r="BW347" i="21"/>
  <c r="CE347" i="21" s="1"/>
  <c r="BW270" i="21"/>
  <c r="CE270" i="21" s="1"/>
  <c r="BW285" i="21"/>
  <c r="CE285" i="21" s="1"/>
  <c r="BW66" i="21"/>
  <c r="CE66" i="21" s="1"/>
  <c r="BW189" i="21"/>
  <c r="CE189" i="21" s="1"/>
  <c r="BW293" i="21"/>
  <c r="CE293" i="21" s="1"/>
  <c r="BW77" i="21"/>
  <c r="CE77" i="21" s="1"/>
  <c r="BW125" i="21"/>
  <c r="CE125" i="21" s="1"/>
  <c r="BW197" i="21"/>
  <c r="CE197" i="21" s="1"/>
  <c r="BW237" i="21"/>
  <c r="CE237" i="21" s="1"/>
  <c r="BW276" i="21"/>
  <c r="CE276" i="21" s="1"/>
  <c r="BW154" i="21"/>
  <c r="CE154" i="21" s="1"/>
  <c r="BW356" i="21"/>
  <c r="CE356" i="21" s="1"/>
  <c r="BW228" i="21"/>
  <c r="CE228" i="21" s="1"/>
  <c r="BW324" i="21"/>
  <c r="CE324" i="21" s="1"/>
  <c r="BW334" i="21"/>
  <c r="CE334" i="21" s="1"/>
  <c r="BW319" i="21"/>
  <c r="CE319" i="21" s="1"/>
  <c r="BW367" i="21"/>
  <c r="BW141" i="21"/>
  <c r="CE141" i="21" s="1"/>
  <c r="BW262" i="21"/>
  <c r="CE262" i="21" s="1"/>
  <c r="BW235" i="21"/>
  <c r="CE235" i="21" s="1"/>
  <c r="BW359" i="21"/>
  <c r="CE359" i="21" s="1"/>
  <c r="BW361" i="21"/>
  <c r="CE361" i="21" s="1"/>
  <c r="BW28" i="21"/>
  <c r="CE28" i="21" s="1"/>
  <c r="BW310" i="21"/>
  <c r="CE310" i="21" s="1"/>
  <c r="BW157" i="21"/>
  <c r="CE157" i="21" s="1"/>
  <c r="BW318" i="21"/>
  <c r="CE318" i="21" s="1"/>
  <c r="BW100" i="21"/>
  <c r="CE100" i="21" s="1"/>
  <c r="BW328" i="21"/>
  <c r="CE328" i="21" s="1"/>
  <c r="BW124" i="21"/>
  <c r="CE124" i="21" s="1"/>
  <c r="BW193" i="21"/>
  <c r="CE193" i="21" s="1"/>
  <c r="BW222" i="21"/>
  <c r="CE222" i="21" s="1"/>
  <c r="BW241" i="21"/>
  <c r="CE241" i="21" s="1"/>
  <c r="BW190" i="21"/>
  <c r="CE190" i="21" s="1"/>
  <c r="BW282" i="21"/>
  <c r="CE282" i="21" s="1"/>
  <c r="BW295" i="21"/>
  <c r="CE295" i="21" s="1"/>
  <c r="BW366" i="21"/>
  <c r="CE366" i="21" s="1"/>
  <c r="BW330" i="21"/>
  <c r="CE330" i="21" s="1"/>
  <c r="BW247" i="21"/>
  <c r="CE247" i="21" s="1"/>
  <c r="BW234" i="21"/>
  <c r="CE234" i="21" s="1"/>
  <c r="BW106" i="21"/>
  <c r="CE106" i="21" s="1"/>
  <c r="BW325" i="21"/>
  <c r="CE325" i="21" s="1"/>
  <c r="BW213" i="21"/>
  <c r="CE213" i="21" s="1"/>
  <c r="BW253" i="21"/>
  <c r="CE253" i="21" s="1"/>
  <c r="BW220" i="21"/>
  <c r="CE220" i="21" s="1"/>
  <c r="BW41" i="21"/>
  <c r="CE41" i="21" s="1"/>
  <c r="BW24" i="21"/>
  <c r="CE24" i="21" s="1"/>
  <c r="BW75" i="21"/>
  <c r="CE75" i="21" s="1"/>
  <c r="BW137" i="21"/>
  <c r="CE137" i="21" s="1"/>
  <c r="BW27" i="21"/>
  <c r="CE27" i="21" s="1"/>
  <c r="BW161" i="21"/>
  <c r="CE161" i="21" s="1"/>
  <c r="BW274" i="21"/>
  <c r="CE274" i="21" s="1"/>
  <c r="BW107" i="21"/>
  <c r="CE107" i="21" s="1"/>
  <c r="BW61" i="21"/>
  <c r="CE61" i="21" s="1"/>
  <c r="BW86" i="21"/>
  <c r="CE86" i="21" s="1"/>
  <c r="BW224" i="21"/>
  <c r="CE224" i="21" s="1"/>
  <c r="BW207" i="21"/>
  <c r="CE207" i="21" s="1"/>
  <c r="BW205" i="21"/>
  <c r="CE205" i="21" s="1"/>
  <c r="BW160" i="21"/>
  <c r="CE160" i="21" s="1"/>
  <c r="BW303" i="21"/>
  <c r="CE303" i="21" s="1"/>
  <c r="BW13" i="21"/>
  <c r="CE13" i="21" s="1"/>
  <c r="BW192" i="21"/>
  <c r="CE192" i="21" s="1"/>
  <c r="BW209" i="21"/>
  <c r="CE209" i="21" s="1"/>
  <c r="BW164" i="21"/>
  <c r="CE164" i="21" s="1"/>
  <c r="BW59" i="21"/>
  <c r="CE59" i="21" s="1"/>
  <c r="BW176" i="21"/>
  <c r="CE176" i="21" s="1"/>
  <c r="BW130" i="21"/>
  <c r="CE130" i="21" s="1"/>
  <c r="BW260" i="21"/>
  <c r="CE260" i="21" s="1"/>
  <c r="BW34" i="21"/>
  <c r="CE34" i="21" s="1"/>
  <c r="BW297" i="21"/>
  <c r="CE297" i="21" s="1"/>
  <c r="BW184" i="21"/>
  <c r="CE184" i="21" s="1"/>
  <c r="BW123" i="21"/>
  <c r="CE123" i="21" s="1"/>
  <c r="BW131" i="21"/>
  <c r="CE131" i="21" s="1"/>
  <c r="BW82" i="21"/>
  <c r="CE82" i="21" s="1"/>
  <c r="BW11" i="21"/>
  <c r="CE11" i="21" s="1"/>
  <c r="BW323" i="21"/>
  <c r="CE323" i="21" s="1"/>
  <c r="BW64" i="21"/>
  <c r="CE64" i="21" s="1"/>
  <c r="BW102" i="21"/>
  <c r="CE102" i="21" s="1"/>
  <c r="BW16" i="21"/>
  <c r="CE16" i="21" s="1"/>
  <c r="BW178" i="21"/>
  <c r="CE178" i="21" s="1"/>
  <c r="BW345" i="21"/>
  <c r="CE345" i="21" s="1"/>
  <c r="BW346" i="21"/>
  <c r="CE346" i="21" s="1"/>
  <c r="BW144" i="21"/>
  <c r="CE144" i="21" s="1"/>
  <c r="BW38" i="21"/>
  <c r="CE38" i="21" s="1"/>
  <c r="BW286" i="21"/>
  <c r="CE286" i="21" s="1"/>
  <c r="BW249" i="21"/>
  <c r="CE249" i="21" s="1"/>
  <c r="BW212" i="21"/>
  <c r="CE212" i="21" s="1"/>
  <c r="BW302" i="21"/>
  <c r="CE302" i="21" s="1"/>
  <c r="BW340" i="21"/>
  <c r="CE340" i="21" s="1"/>
  <c r="BW96" i="21"/>
  <c r="CE96" i="21" s="1"/>
  <c r="BW89" i="21"/>
  <c r="CE89" i="21" s="1"/>
  <c r="BW215" i="21"/>
  <c r="CE215" i="21" s="1"/>
  <c r="BW280" i="21"/>
  <c r="CE280" i="21" s="1"/>
  <c r="BW169" i="21"/>
  <c r="CE169" i="21" s="1"/>
  <c r="BW314" i="21"/>
  <c r="CE314" i="21" s="1"/>
  <c r="BW30" i="21"/>
  <c r="CE30" i="21" s="1"/>
  <c r="BW201" i="21"/>
  <c r="CE201" i="21" s="1"/>
  <c r="BW309" i="21"/>
  <c r="CE309" i="21" s="1"/>
  <c r="BW109" i="21"/>
  <c r="CE109" i="21" s="1"/>
  <c r="BW288" i="21"/>
  <c r="CE288" i="21" s="1"/>
  <c r="BW72" i="21"/>
  <c r="CE72" i="21" s="1"/>
  <c r="BW352" i="21"/>
  <c r="CE352" i="21" s="1"/>
  <c r="BW294" i="21"/>
  <c r="CE294" i="21" s="1"/>
  <c r="BW218" i="21"/>
  <c r="CE218" i="21" s="1"/>
  <c r="BW78" i="21"/>
  <c r="CE78" i="21" s="1"/>
  <c r="BW317" i="21"/>
  <c r="CE317" i="21" s="1"/>
  <c r="BW172" i="21"/>
  <c r="CE172" i="21" s="1"/>
  <c r="BW308" i="21"/>
  <c r="CE308" i="21" s="1"/>
  <c r="BW221" i="21"/>
  <c r="CE221" i="21" s="1"/>
  <c r="BW182" i="21"/>
  <c r="CE182" i="21" s="1"/>
  <c r="BW343" i="21"/>
  <c r="CE343" i="21" s="1"/>
  <c r="BW57" i="21"/>
  <c r="CE57" i="21" s="1"/>
  <c r="BW227" i="21"/>
  <c r="CE227" i="21" s="1"/>
  <c r="BW315" i="21"/>
  <c r="CE315" i="21" s="1"/>
  <c r="BW175" i="21"/>
  <c r="CE175" i="21" s="1"/>
  <c r="BW81" i="21"/>
  <c r="CE81" i="21" s="1"/>
  <c r="BW329" i="21"/>
  <c r="CE329" i="21" s="1"/>
  <c r="BW116" i="21"/>
  <c r="CE116" i="21" s="1"/>
  <c r="BW179" i="21"/>
  <c r="CE179" i="21" s="1"/>
  <c r="BW252" i="21"/>
  <c r="CE252" i="21" s="1"/>
  <c r="BW300" i="21"/>
  <c r="CE300" i="21" s="1"/>
  <c r="BW68" i="21"/>
  <c r="CE68" i="21" s="1"/>
  <c r="BW92" i="21"/>
  <c r="CE92" i="21" s="1"/>
  <c r="BW275" i="21"/>
  <c r="CE275" i="21" s="1"/>
  <c r="BW204" i="21"/>
  <c r="CE204" i="21" s="1"/>
  <c r="BW353" i="21"/>
  <c r="CE353" i="21" s="1"/>
  <c r="BW196" i="21"/>
  <c r="CE196" i="21" s="1"/>
  <c r="BW326" i="21"/>
  <c r="CE326" i="21" s="1"/>
  <c r="BW181" i="21"/>
  <c r="CE181" i="21" s="1"/>
  <c r="BW364" i="21"/>
  <c r="CE364" i="21" s="1"/>
  <c r="BW321" i="21"/>
  <c r="CE321" i="21" s="1"/>
  <c r="BW225" i="21"/>
  <c r="CE225" i="21" s="1"/>
  <c r="BW95" i="21"/>
  <c r="CE95" i="21" s="1"/>
  <c r="BW132" i="21"/>
  <c r="CE132" i="21" s="1"/>
  <c r="BW298" i="21"/>
  <c r="CE298" i="21" s="1"/>
  <c r="BW236" i="21"/>
  <c r="CE236" i="21" s="1"/>
  <c r="BW233" i="21"/>
  <c r="CE233" i="21" s="1"/>
  <c r="BW47" i="21"/>
  <c r="CE47" i="21" s="1"/>
  <c r="BW70" i="21"/>
  <c r="CE70" i="21" s="1"/>
  <c r="BW22" i="21"/>
  <c r="CE22" i="21" s="1"/>
  <c r="BW304" i="21"/>
  <c r="CE304" i="21" s="1"/>
  <c r="BW87" i="21"/>
  <c r="CE87" i="21" s="1"/>
  <c r="BW39" i="21"/>
  <c r="CE39" i="21" s="1"/>
  <c r="BW239" i="21"/>
  <c r="CE239" i="21" s="1"/>
  <c r="BW121" i="21"/>
  <c r="CE121" i="21" s="1"/>
  <c r="BW341" i="21"/>
  <c r="CE341" i="21" s="1"/>
  <c r="BW73" i="21"/>
  <c r="CE73" i="21" s="1"/>
  <c r="BW216" i="21"/>
  <c r="CE216" i="21" s="1"/>
  <c r="BW25" i="21"/>
  <c r="CE25" i="21" s="1"/>
  <c r="BW231" i="21"/>
  <c r="CE231" i="21" s="1"/>
  <c r="BW362" i="21"/>
  <c r="CE362" i="21" s="1"/>
  <c r="BW202" i="21"/>
  <c r="CE202" i="21" s="1"/>
  <c r="BW327" i="21"/>
  <c r="CE327" i="21" s="1"/>
  <c r="BW149" i="21"/>
  <c r="CE149" i="21" s="1"/>
  <c r="BW187" i="21"/>
  <c r="CE187" i="21" s="1"/>
  <c r="BW50" i="21"/>
  <c r="CE50" i="21" s="1"/>
  <c r="BW332" i="21"/>
  <c r="CE332" i="21" s="1"/>
  <c r="BW312" i="21"/>
  <c r="CE312" i="21" s="1"/>
  <c r="BW17" i="21"/>
  <c r="CE17" i="21" s="1"/>
  <c r="BW136" i="21"/>
  <c r="CE136" i="21" s="1"/>
  <c r="BW54" i="21"/>
  <c r="CE54" i="21" s="1"/>
  <c r="BW246" i="21"/>
  <c r="CE246" i="21" s="1"/>
  <c r="BW65" i="21"/>
  <c r="CE65" i="21" s="1"/>
  <c r="BW40" i="21"/>
  <c r="CE40" i="21" s="1"/>
  <c r="BW217" i="21"/>
  <c r="CE217" i="21" s="1"/>
  <c r="BW269" i="21"/>
  <c r="CE269" i="21" s="1"/>
  <c r="BW150" i="21"/>
  <c r="CE150" i="21" s="1"/>
  <c r="BW261" i="21"/>
  <c r="CE261" i="21" s="1"/>
  <c r="BW342" i="21"/>
  <c r="CE342" i="21" s="1"/>
  <c r="BW88" i="21"/>
  <c r="CE88" i="21" s="1"/>
  <c r="BW165" i="21"/>
  <c r="CE165" i="21" s="1"/>
  <c r="BW173" i="21"/>
  <c r="CE173" i="21" s="1"/>
  <c r="BW363" i="21"/>
  <c r="CE363" i="21" s="1"/>
  <c r="BW307" i="21"/>
  <c r="CE307" i="21" s="1"/>
  <c r="BW357" i="21"/>
  <c r="CE357" i="21" s="1"/>
  <c r="BW238" i="21"/>
  <c r="CE238" i="21" s="1"/>
  <c r="BW272" i="21"/>
  <c r="CE272" i="21" s="1"/>
  <c r="BW337" i="21"/>
  <c r="CE337" i="21" s="1"/>
  <c r="BW112" i="21"/>
  <c r="CE112" i="21" s="1"/>
  <c r="BW259" i="21"/>
  <c r="CE259" i="21" s="1"/>
  <c r="BW360" i="21"/>
  <c r="CE360" i="21" s="1"/>
  <c r="BW14" i="21"/>
  <c r="CE14" i="21" s="1"/>
  <c r="BW99" i="21"/>
  <c r="CE99" i="21" s="1"/>
  <c r="BW331" i="21"/>
  <c r="CE331" i="21" s="1"/>
  <c r="BW263" i="21"/>
  <c r="CE263" i="21" s="1"/>
  <c r="BW167" i="21"/>
  <c r="CE167" i="21" s="1"/>
  <c r="BW351" i="21"/>
  <c r="CE351" i="21" s="1"/>
  <c r="BW229" i="21"/>
  <c r="CE229" i="21" s="1"/>
  <c r="BW37" i="21"/>
  <c r="CE37" i="21" s="1"/>
  <c r="BW336" i="21"/>
  <c r="CE336" i="21" s="1"/>
  <c r="BW211" i="21"/>
  <c r="CE211" i="21" s="1"/>
  <c r="BW159" i="21"/>
  <c r="CE159" i="21" s="1"/>
  <c r="BW301" i="21"/>
  <c r="CE301" i="21" s="1"/>
  <c r="BW51" i="21"/>
  <c r="CE51" i="21" s="1"/>
  <c r="BW266" i="21"/>
  <c r="CE266" i="21" s="1"/>
  <c r="BW133" i="21"/>
  <c r="CE133" i="21" s="1"/>
  <c r="BW170" i="21"/>
  <c r="CE170" i="21" s="1"/>
  <c r="BW147" i="21"/>
  <c r="CE147" i="21" s="1"/>
  <c r="BW85" i="21"/>
  <c r="CE85" i="21" s="1"/>
  <c r="BW240" i="21"/>
  <c r="CE240" i="21" s="1"/>
  <c r="BW194" i="21"/>
  <c r="CE194" i="21" s="1"/>
  <c r="BW290" i="21"/>
  <c r="CE290" i="21" s="1"/>
  <c r="BW365" i="21"/>
  <c r="CE365" i="21" s="1"/>
  <c r="BW183" i="21"/>
  <c r="CE183" i="21" s="1"/>
  <c r="BW97" i="21"/>
  <c r="CE97" i="21" s="1"/>
  <c r="BW122" i="21"/>
  <c r="CE122" i="21" s="1"/>
  <c r="BW15" i="21"/>
  <c r="CE15" i="21" s="1"/>
  <c r="BW287" i="21"/>
  <c r="CE287" i="21" s="1"/>
  <c r="BW191" i="21"/>
  <c r="CE191" i="21" s="1"/>
  <c r="BW148" i="21"/>
  <c r="CE148" i="21" s="1"/>
  <c r="BW256" i="21"/>
  <c r="CE256" i="21" s="1"/>
  <c r="BW74" i="21"/>
  <c r="CE74" i="21" s="1"/>
  <c r="BW145" i="21"/>
  <c r="CE145" i="21" s="1"/>
  <c r="BW355" i="21"/>
  <c r="CE355" i="21" s="1"/>
  <c r="BW26" i="21"/>
  <c r="CE26" i="21" s="1"/>
  <c r="BW264" i="21"/>
  <c r="CE264" i="21" s="1"/>
  <c r="BW279" i="21"/>
  <c r="CE279" i="21" s="1"/>
  <c r="BW232" i="21"/>
  <c r="CE232" i="21" s="1"/>
  <c r="BW49" i="21"/>
  <c r="CE49" i="21" s="1"/>
  <c r="BW168" i="21"/>
  <c r="CE168" i="21" s="1"/>
  <c r="BW63" i="21"/>
  <c r="CE63" i="21" s="1"/>
  <c r="BW111" i="21"/>
  <c r="CE111" i="21" s="1"/>
  <c r="BW316" i="21"/>
  <c r="CE316" i="21" s="1"/>
  <c r="BW177" i="21"/>
  <c r="CE177" i="21" s="1"/>
  <c r="BW71" i="21"/>
  <c r="CE71" i="21" s="1"/>
  <c r="BW23" i="21"/>
  <c r="CE23" i="21" s="1"/>
  <c r="BW46" i="21"/>
  <c r="CE46" i="21" s="1"/>
  <c r="BW250" i="21"/>
  <c r="CE250" i="21" s="1"/>
  <c r="BW162" i="21"/>
  <c r="CE162" i="21" s="1"/>
  <c r="BW60" i="21"/>
  <c r="CE60" i="21" s="1"/>
  <c r="BW108" i="21"/>
  <c r="CE108" i="21" s="1"/>
  <c r="BW258" i="21"/>
  <c r="CE258" i="21" s="1"/>
  <c r="BW226" i="21"/>
  <c r="CE226" i="21" s="1"/>
  <c r="BW354" i="21"/>
  <c r="CE354" i="21" s="1"/>
  <c r="BW119" i="21"/>
  <c r="CE119" i="21" s="1"/>
  <c r="BW94" i="21"/>
  <c r="CE94" i="21" s="1"/>
  <c r="BW284" i="21"/>
  <c r="CE284" i="21" s="1"/>
  <c r="BW142" i="21"/>
  <c r="CE142" i="21" s="1"/>
  <c r="BW12" i="21"/>
  <c r="CE12" i="21" s="1"/>
  <c r="BW273" i="21"/>
  <c r="CE273" i="21" s="1"/>
  <c r="BW281" i="21"/>
  <c r="CE281" i="21" s="1"/>
  <c r="BW188" i="21"/>
  <c r="CE188" i="21" s="1"/>
  <c r="BW350" i="21"/>
  <c r="CE350" i="21" s="1"/>
  <c r="Y198" i="21"/>
  <c r="BY198" i="21" s="1"/>
  <c r="Y284" i="21"/>
  <c r="BY284" i="21" s="1"/>
  <c r="Y281" i="21"/>
  <c r="BY281" i="21" s="1"/>
  <c r="Y184" i="21"/>
  <c r="BY184" i="21" s="1"/>
  <c r="Y311" i="21"/>
  <c r="BY311" i="21" s="1"/>
  <c r="Y117" i="21"/>
  <c r="BY117" i="21" s="1"/>
  <c r="Y325" i="21"/>
  <c r="BY325" i="21" s="1"/>
  <c r="Y183" i="21"/>
  <c r="BY183" i="21" s="1"/>
  <c r="Y225" i="21"/>
  <c r="BY225" i="21" s="1"/>
  <c r="Y134" i="21"/>
  <c r="BY134" i="21" s="1"/>
  <c r="Y222" i="21"/>
  <c r="BY222" i="21" s="1"/>
  <c r="Y34" i="21"/>
  <c r="BY34" i="21" s="1"/>
  <c r="Y161" i="21"/>
  <c r="BY161" i="21" s="1"/>
  <c r="Y320" i="21"/>
  <c r="BY320" i="21" s="1"/>
  <c r="Y97" i="21"/>
  <c r="BY97" i="21" s="1"/>
  <c r="Y218" i="21"/>
  <c r="BY218" i="21" s="1"/>
  <c r="Y252" i="21"/>
  <c r="BY252" i="21" s="1"/>
  <c r="Y111" i="21"/>
  <c r="BY111" i="21" s="1"/>
  <c r="Y123" i="21"/>
  <c r="BY123" i="21" s="1"/>
  <c r="Y149" i="21"/>
  <c r="BY149" i="21" s="1"/>
  <c r="Y251" i="21"/>
  <c r="BY251" i="21" s="1"/>
  <c r="Y302" i="21"/>
  <c r="BY302" i="21" s="1"/>
  <c r="Y101" i="21"/>
  <c r="BY101" i="21" s="1"/>
  <c r="Y236" i="21"/>
  <c r="BY236" i="21" s="1"/>
  <c r="Y132" i="21"/>
  <c r="BY132" i="21" s="1"/>
  <c r="Y235" i="21"/>
  <c r="BY235" i="21" s="1"/>
  <c r="Y346" i="21"/>
  <c r="BY346" i="21" s="1"/>
  <c r="Y360" i="21"/>
  <c r="BY360" i="21" s="1"/>
  <c r="Y86" i="21"/>
  <c r="BY86" i="21" s="1"/>
  <c r="Y303" i="21"/>
  <c r="BY303" i="21" s="1"/>
  <c r="Y45" i="21"/>
  <c r="BY45" i="21" s="1"/>
  <c r="Y338" i="21"/>
  <c r="BY338" i="21" s="1"/>
  <c r="Y25" i="21"/>
  <c r="BY25" i="21" s="1"/>
  <c r="Y308" i="21"/>
  <c r="BY308" i="21" s="1"/>
  <c r="Y204" i="21"/>
  <c r="BY204" i="21" s="1"/>
  <c r="Y8" i="21"/>
  <c r="BY8" i="21" s="1"/>
  <c r="Y12" i="21"/>
  <c r="BY12" i="21" s="1"/>
  <c r="Y265" i="21"/>
  <c r="BY265" i="21" s="1"/>
  <c r="Y203" i="21"/>
  <c r="BY203" i="21" s="1"/>
  <c r="Y326" i="21"/>
  <c r="BY326" i="21" s="1"/>
  <c r="Y29" i="21"/>
  <c r="BY29" i="21" s="1"/>
  <c r="Y52" i="21"/>
  <c r="BY52" i="21" s="1"/>
  <c r="Y342" i="21"/>
  <c r="BY342" i="21" s="1"/>
  <c r="Y88" i="21"/>
  <c r="BY88" i="21" s="1"/>
  <c r="Y77" i="21"/>
  <c r="BY77" i="21" s="1"/>
  <c r="Y147" i="21"/>
  <c r="BY147" i="21" s="1"/>
  <c r="Y324" i="21"/>
  <c r="BY324" i="21" s="1"/>
  <c r="Y188" i="21"/>
  <c r="BY188" i="21" s="1"/>
  <c r="Y327" i="21"/>
  <c r="BY327" i="21" s="1"/>
  <c r="Y127" i="21"/>
  <c r="BY127" i="21" s="1"/>
  <c r="Y335" i="21"/>
  <c r="BY335" i="21" s="1"/>
  <c r="Y187" i="21"/>
  <c r="BY187" i="21" s="1"/>
  <c r="Y266" i="21"/>
  <c r="BY266" i="21" s="1"/>
  <c r="Y138" i="21"/>
  <c r="BY138" i="21" s="1"/>
  <c r="Y229" i="21"/>
  <c r="BY229" i="21" s="1"/>
  <c r="Y38" i="21"/>
  <c r="BY38" i="21" s="1"/>
  <c r="Y116" i="21"/>
  <c r="BY116" i="21" s="1"/>
  <c r="Y298" i="21"/>
  <c r="BY298" i="21" s="1"/>
  <c r="Y103" i="21"/>
  <c r="BY103" i="21" s="1"/>
  <c r="Y249" i="21"/>
  <c r="BY249" i="21" s="1"/>
  <c r="Y256" i="21"/>
  <c r="BY256" i="21" s="1"/>
  <c r="Y140" i="21"/>
  <c r="BY140" i="21" s="1"/>
  <c r="Y137" i="21"/>
  <c r="BY137" i="21" s="1"/>
  <c r="Y185" i="21"/>
  <c r="BY185" i="21" s="1"/>
  <c r="Y255" i="21"/>
  <c r="BY255" i="21" s="1"/>
  <c r="Y334" i="21"/>
  <c r="BY334" i="21" s="1"/>
  <c r="Y136" i="21"/>
  <c r="BY136" i="21" s="1"/>
  <c r="Y257" i="21"/>
  <c r="BY257" i="21" s="1"/>
  <c r="Y106" i="21"/>
  <c r="BY106" i="21" s="1"/>
  <c r="Y347" i="21"/>
  <c r="BY347" i="21" s="1"/>
  <c r="Y351" i="21"/>
  <c r="BY351" i="21" s="1"/>
  <c r="Y214" i="21"/>
  <c r="BY214" i="21" s="1"/>
  <c r="Y31" i="21"/>
  <c r="BY31" i="21" s="1"/>
  <c r="Y24" i="21"/>
  <c r="BY24" i="21" s="1"/>
  <c r="Y133" i="21"/>
  <c r="BY133" i="21" s="1"/>
  <c r="Y207" i="21"/>
  <c r="BY207" i="21" s="1"/>
  <c r="Y35" i="21"/>
  <c r="BY35" i="21" s="1"/>
  <c r="Y105" i="21"/>
  <c r="BY105" i="21" s="1"/>
  <c r="Y90" i="21"/>
  <c r="BY90" i="21" s="1"/>
  <c r="Y343" i="21"/>
  <c r="BY343" i="21" s="1"/>
  <c r="Y40" i="21"/>
  <c r="BY40" i="21" s="1"/>
  <c r="Y58" i="21"/>
  <c r="BY58" i="21" s="1"/>
  <c r="Y191" i="21"/>
  <c r="BY191" i="21" s="1"/>
  <c r="Y270" i="21"/>
  <c r="BY270" i="21" s="1"/>
  <c r="Y125" i="21"/>
  <c r="BY125" i="21" s="1"/>
  <c r="Y260" i="21"/>
  <c r="BY260" i="21" s="1"/>
  <c r="Y217" i="21"/>
  <c r="BY217" i="21" s="1"/>
  <c r="Y363" i="21"/>
  <c r="BY363" i="21" s="1"/>
  <c r="Y145" i="21"/>
  <c r="BY145" i="21" s="1"/>
  <c r="Y209" i="21"/>
  <c r="BY209" i="21" s="1"/>
  <c r="Y301" i="21"/>
  <c r="BY301" i="21" s="1"/>
  <c r="Y239" i="21"/>
  <c r="BY239" i="21" s="1"/>
  <c r="Y364" i="21"/>
  <c r="BY364" i="21" s="1"/>
  <c r="Y51" i="21"/>
  <c r="BY51" i="21" s="1"/>
  <c r="Y208" i="21"/>
  <c r="BY208" i="21" s="1"/>
  <c r="Y332" i="21"/>
  <c r="BY332" i="21" s="1"/>
  <c r="Y337" i="21"/>
  <c r="BY337" i="21" s="1"/>
  <c r="Y354" i="21"/>
  <c r="BY354" i="21" s="1"/>
  <c r="Y285" i="21"/>
  <c r="BY285" i="21" s="1"/>
  <c r="Y42" i="21"/>
  <c r="BY42" i="21" s="1"/>
  <c r="Y108" i="21"/>
  <c r="BY108" i="21" s="1"/>
  <c r="Y166" i="21"/>
  <c r="BY166" i="21" s="1"/>
  <c r="Y259" i="21"/>
  <c r="BY259" i="21" s="1"/>
  <c r="Y110" i="21"/>
  <c r="BY110" i="21" s="1"/>
  <c r="Y121" i="21"/>
  <c r="BY121" i="21" s="1"/>
  <c r="Y243" i="21"/>
  <c r="BY243" i="21" s="1"/>
  <c r="Y329" i="21"/>
  <c r="BY329" i="21" s="1"/>
  <c r="Y89" i="21"/>
  <c r="BY89" i="21" s="1"/>
  <c r="Y157" i="21"/>
  <c r="BY157" i="21" s="1"/>
  <c r="Y94" i="21"/>
  <c r="BY94" i="21" s="1"/>
  <c r="Y221" i="21"/>
  <c r="BY221" i="21" s="1"/>
  <c r="Y193" i="21"/>
  <c r="BY193" i="21" s="1"/>
  <c r="Y57" i="21"/>
  <c r="BY57" i="21" s="1"/>
  <c r="Y362" i="21"/>
  <c r="BY362" i="21" s="1"/>
  <c r="Y37" i="21"/>
  <c r="BY37" i="21" s="1"/>
  <c r="Y144" i="21"/>
  <c r="BY144" i="21" s="1"/>
  <c r="Y212" i="21"/>
  <c r="BY212" i="21" s="1"/>
  <c r="Y162" i="21"/>
  <c r="BY162" i="21" s="1"/>
  <c r="Y36" i="21"/>
  <c r="BY36" i="21" s="1"/>
  <c r="Y104" i="21"/>
  <c r="BY104" i="21" s="1"/>
  <c r="Y211" i="21"/>
  <c r="BY211" i="21" s="1"/>
  <c r="Y365" i="21"/>
  <c r="BY365" i="21" s="1"/>
  <c r="Y41" i="21"/>
  <c r="BY41" i="21" s="1"/>
  <c r="Y336" i="21"/>
  <c r="BY336" i="21" s="1"/>
  <c r="Y62" i="21"/>
  <c r="BY62" i="21" s="1"/>
  <c r="Y286" i="21"/>
  <c r="BY286" i="21" s="1"/>
  <c r="Y150" i="21"/>
  <c r="BY150" i="21" s="1"/>
  <c r="Y83" i="21"/>
  <c r="BY83" i="21" s="1"/>
  <c r="Y345" i="21"/>
  <c r="BY345" i="21" s="1"/>
  <c r="Y359" i="21"/>
  <c r="BY359" i="21" s="1"/>
  <c r="Y341" i="21"/>
  <c r="BY341" i="21" s="1"/>
  <c r="Y141" i="21"/>
  <c r="BY141" i="21" s="1"/>
  <c r="Y11" i="21"/>
  <c r="BY11" i="21" s="1"/>
  <c r="Y153" i="21"/>
  <c r="BY153" i="21" s="1"/>
  <c r="Y287" i="21"/>
  <c r="BY287" i="21" s="1"/>
  <c r="Y146" i="21"/>
  <c r="BY146" i="21" s="1"/>
  <c r="Y10" i="21"/>
  <c r="BY10" i="21" s="1"/>
  <c r="Y20" i="21"/>
  <c r="BY20" i="21" s="1"/>
  <c r="Y195" i="21"/>
  <c r="BY195" i="21" s="1"/>
  <c r="Y310" i="21"/>
  <c r="BY310" i="21" s="1"/>
  <c r="Y17" i="21"/>
  <c r="BY17" i="21" s="1"/>
  <c r="Y293" i="21"/>
  <c r="BY293" i="21" s="1"/>
  <c r="Y46" i="21"/>
  <c r="BY46" i="21" s="1"/>
  <c r="Y206" i="21"/>
  <c r="BY206" i="21" s="1"/>
  <c r="Y307" i="21"/>
  <c r="BY307" i="21" s="1"/>
  <c r="Y128" i="21"/>
  <c r="BY128" i="21" s="1"/>
  <c r="Y328" i="21"/>
  <c r="BY328" i="21" s="1"/>
  <c r="Y264" i="21"/>
  <c r="BY264" i="21" s="1"/>
  <c r="Y189" i="21"/>
  <c r="BY189" i="21" s="1"/>
  <c r="Y155" i="21"/>
  <c r="BY155" i="21" s="1"/>
  <c r="Y226" i="21"/>
  <c r="BY226" i="21" s="1"/>
  <c r="Y263" i="21"/>
  <c r="BY263" i="21" s="1"/>
  <c r="Y143" i="21"/>
  <c r="BY143" i="21" s="1"/>
  <c r="Y158" i="21"/>
  <c r="BY158" i="21" s="1"/>
  <c r="Y250" i="21"/>
  <c r="BY250" i="21" s="1"/>
  <c r="Y114" i="21"/>
  <c r="BY114" i="21" s="1"/>
  <c r="Y314" i="21"/>
  <c r="BY314" i="21" s="1"/>
  <c r="Y14" i="21"/>
  <c r="BY14" i="21" s="1"/>
  <c r="Y87" i="21"/>
  <c r="BY87" i="21" s="1"/>
  <c r="Y174" i="21"/>
  <c r="BY174" i="21" s="1"/>
  <c r="Y63" i="21"/>
  <c r="BY63" i="21" s="1"/>
  <c r="Y48" i="21"/>
  <c r="BY48" i="21" s="1"/>
  <c r="Y98" i="21"/>
  <c r="BY98" i="21" s="1"/>
  <c r="Y76" i="21"/>
  <c r="BY76" i="21" s="1"/>
  <c r="Y216" i="21"/>
  <c r="BY216" i="21" s="1"/>
  <c r="Y215" i="21"/>
  <c r="BY215" i="21" s="1"/>
  <c r="Y47" i="21"/>
  <c r="BY47" i="21" s="1"/>
  <c r="Y291" i="21"/>
  <c r="BY291" i="21" s="1"/>
  <c r="Y306" i="21"/>
  <c r="BY306" i="21" s="1"/>
  <c r="Y56" i="21"/>
  <c r="BY56" i="21" s="1"/>
  <c r="Y333" i="21"/>
  <c r="BY333" i="21" s="1"/>
  <c r="Y268" i="21"/>
  <c r="BY268" i="21" s="1"/>
  <c r="Y279" i="21"/>
  <c r="BY279" i="21" s="1"/>
  <c r="Y267" i="21"/>
  <c r="BY267" i="21" s="1"/>
  <c r="Y273" i="21"/>
  <c r="BY273" i="21" s="1"/>
  <c r="Y167" i="21"/>
  <c r="BY167" i="21" s="1"/>
  <c r="Y277" i="21"/>
  <c r="BY277" i="21" s="1"/>
  <c r="Y118" i="21"/>
  <c r="BY118" i="21" s="1"/>
  <c r="Y129" i="21"/>
  <c r="BY129" i="21" s="1"/>
  <c r="Y18" i="21"/>
  <c r="BY18" i="21" s="1"/>
  <c r="Y93" i="21"/>
  <c r="BY93" i="21" s="1"/>
  <c r="Y242" i="21"/>
  <c r="BY242" i="21" s="1"/>
  <c r="Y73" i="21"/>
  <c r="BY73" i="21" s="1"/>
  <c r="Y95" i="21"/>
  <c r="BY95" i="21" s="1"/>
  <c r="Y234" i="21"/>
  <c r="BY234" i="21" s="1"/>
  <c r="Y233" i="21"/>
  <c r="BY233" i="21" s="1"/>
  <c r="Y241" i="21"/>
  <c r="BY241" i="21" s="1"/>
  <c r="Y340" i="21"/>
  <c r="BY340" i="21" s="1"/>
  <c r="Y15" i="21"/>
  <c r="BY15" i="21" s="1"/>
  <c r="Y321" i="21"/>
  <c r="BY321" i="21" s="1"/>
  <c r="Y50" i="21"/>
  <c r="BY50" i="21" s="1"/>
  <c r="Y142" i="21"/>
  <c r="BY142" i="21" s="1"/>
  <c r="Y168" i="21"/>
  <c r="BY168" i="21" s="1"/>
  <c r="Y202" i="21"/>
  <c r="BY202" i="21" s="1"/>
  <c r="Y102" i="21"/>
  <c r="BY102" i="21" s="1"/>
  <c r="Y269" i="21"/>
  <c r="BY269" i="21" s="1"/>
  <c r="Y350" i="21"/>
  <c r="BY350" i="21" s="1"/>
  <c r="Y69" i="21"/>
  <c r="BY69" i="21" s="1"/>
  <c r="Y178" i="21"/>
  <c r="BY178" i="21" s="1"/>
  <c r="Y49" i="21"/>
  <c r="BY49" i="21" s="1"/>
  <c r="Y64" i="21"/>
  <c r="BY64" i="21" s="1"/>
  <c r="Y220" i="21"/>
  <c r="BY220" i="21" s="1"/>
  <c r="Y197" i="21"/>
  <c r="BY197" i="21" s="1"/>
  <c r="Y60" i="21"/>
  <c r="BY60" i="21" s="1"/>
  <c r="Y201" i="21"/>
  <c r="BY201" i="21" s="1"/>
  <c r="Y219" i="21"/>
  <c r="BY219" i="21" s="1"/>
  <c r="Y237" i="21"/>
  <c r="BY237" i="21" s="1"/>
  <c r="Y53" i="21"/>
  <c r="BY53" i="21" s="1"/>
  <c r="Y344" i="21"/>
  <c r="BY344" i="21" s="1"/>
  <c r="Y70" i="21"/>
  <c r="BY70" i="21" s="1"/>
  <c r="Y300" i="21"/>
  <c r="BY300" i="21" s="1"/>
  <c r="Y283" i="21"/>
  <c r="BY283" i="21" s="1"/>
  <c r="Y21" i="21"/>
  <c r="BY21" i="21" s="1"/>
  <c r="Y230" i="21"/>
  <c r="BY230" i="21" s="1"/>
  <c r="Y288" i="21"/>
  <c r="BY288" i="21" s="1"/>
  <c r="Y353" i="21"/>
  <c r="BY353" i="21" s="1"/>
  <c r="Y262" i="21"/>
  <c r="BY262" i="21" s="1"/>
  <c r="Y43" i="21"/>
  <c r="BY43" i="21" s="1"/>
  <c r="Y186" i="21"/>
  <c r="BY186" i="21" s="1"/>
  <c r="Y205" i="21"/>
  <c r="BY205" i="21" s="1"/>
  <c r="Y66" i="21"/>
  <c r="BY66" i="21" s="1"/>
  <c r="Y282" i="21"/>
  <c r="BY282" i="21" s="1"/>
  <c r="Y23" i="21"/>
  <c r="BY23" i="21" s="1"/>
  <c r="Y213" i="21"/>
  <c r="BY213" i="21" s="1"/>
  <c r="Y258" i="21"/>
  <c r="BY258" i="21" s="1"/>
  <c r="Y319" i="21"/>
  <c r="BY319" i="21" s="1"/>
  <c r="Y54" i="21"/>
  <c r="BY54" i="21" s="1"/>
  <c r="Y254" i="21"/>
  <c r="BY254" i="21" s="1"/>
  <c r="Y190" i="21"/>
  <c r="BY190" i="21" s="1"/>
  <c r="Y151" i="21"/>
  <c r="BY151" i="21" s="1"/>
  <c r="Y357" i="21"/>
  <c r="BY357" i="21" s="1"/>
  <c r="Y272" i="21"/>
  <c r="BY272" i="21" s="1"/>
  <c r="Y323" i="21"/>
  <c r="BY323" i="21" s="1"/>
  <c r="Y172" i="21"/>
  <c r="BY172" i="21" s="1"/>
  <c r="Y278" i="21"/>
  <c r="BY278" i="21" s="1"/>
  <c r="Y271" i="21"/>
  <c r="BY271" i="21" s="1"/>
  <c r="Y349" i="21"/>
  <c r="BY349" i="21" s="1"/>
  <c r="Y171" i="21"/>
  <c r="BY171" i="21" s="1"/>
  <c r="Y44" i="21"/>
  <c r="BY44" i="21" s="1"/>
  <c r="Y122" i="21"/>
  <c r="BY122" i="21" s="1"/>
  <c r="Y139" i="21"/>
  <c r="BY139" i="21" s="1"/>
  <c r="Y22" i="21"/>
  <c r="BY22" i="21" s="1"/>
  <c r="Y99" i="21"/>
  <c r="BY99" i="21" s="1"/>
  <c r="Y290" i="21"/>
  <c r="BY290" i="21" s="1"/>
  <c r="Y79" i="21"/>
  <c r="BY79" i="21" s="1"/>
  <c r="Y109" i="21"/>
  <c r="BY109" i="21" s="1"/>
  <c r="Y240" i="21"/>
  <c r="BY240" i="21" s="1"/>
  <c r="Y210" i="21"/>
  <c r="BY210" i="21" s="1"/>
  <c r="Y238" i="21"/>
  <c r="BY238" i="21" s="1"/>
  <c r="Y246" i="21"/>
  <c r="BY246" i="21" s="1"/>
  <c r="Y309" i="21"/>
  <c r="BY309" i="21" s="1"/>
  <c r="Y289" i="21"/>
  <c r="BY289" i="21" s="1"/>
  <c r="Y275" i="21"/>
  <c r="BY275" i="21" s="1"/>
  <c r="Y55" i="21"/>
  <c r="BY55" i="21" s="1"/>
  <c r="Y72" i="21"/>
  <c r="BY72" i="21" s="1"/>
  <c r="Y59" i="21"/>
  <c r="BY59" i="21" s="1"/>
  <c r="Y330" i="21"/>
  <c r="BY330" i="21" s="1"/>
  <c r="Y169" i="21"/>
  <c r="BY169" i="21" s="1"/>
  <c r="Y358" i="21"/>
  <c r="BY358" i="21" s="1"/>
  <c r="Y92" i="21"/>
  <c r="BY92" i="21" s="1"/>
  <c r="Y299" i="21"/>
  <c r="BY299" i="21" s="1"/>
  <c r="Y253" i="21"/>
  <c r="BY253" i="21" s="1"/>
  <c r="Y173" i="21"/>
  <c r="BY173" i="21" s="1"/>
  <c r="Y165" i="21"/>
  <c r="BY165" i="21" s="1"/>
  <c r="Y120" i="21"/>
  <c r="BY120" i="21" s="1"/>
  <c r="Y85" i="21"/>
  <c r="BY85" i="21" s="1"/>
  <c r="Y124" i="21"/>
  <c r="BY124" i="21" s="1"/>
  <c r="Y244" i="21"/>
  <c r="BY244" i="21" s="1"/>
  <c r="Y366" i="21"/>
  <c r="BY366" i="21" s="1"/>
  <c r="Y315" i="21"/>
  <c r="BY315" i="21" s="1"/>
  <c r="Y160" i="21"/>
  <c r="BY160" i="21" s="1"/>
  <c r="Y80" i="21"/>
  <c r="BY80" i="21" s="1"/>
  <c r="Y348" i="21"/>
  <c r="BY348" i="21" s="1"/>
  <c r="Y27" i="21"/>
  <c r="BY27" i="21" s="1"/>
  <c r="Y192" i="21"/>
  <c r="BY192" i="21" s="1"/>
  <c r="Y261" i="21"/>
  <c r="BY261" i="21" s="1"/>
  <c r="Y367" i="21"/>
  <c r="BY367" i="21" s="1"/>
  <c r="Y355" i="21"/>
  <c r="BY355" i="21" s="1"/>
  <c r="Y81" i="21"/>
  <c r="BY81" i="21" s="1"/>
  <c r="Y295" i="21"/>
  <c r="BY295" i="21" s="1"/>
  <c r="Y61" i="21"/>
  <c r="BY61" i="21" s="1"/>
  <c r="Y245" i="21"/>
  <c r="BY245" i="21" s="1"/>
  <c r="Y228" i="21"/>
  <c r="BY228" i="21" s="1"/>
  <c r="Y294" i="21"/>
  <c r="BY294" i="21" s="1"/>
  <c r="Y84" i="21"/>
  <c r="BY84" i="21" s="1"/>
  <c r="Y28" i="21"/>
  <c r="BY28" i="21" s="1"/>
  <c r="Y227" i="21"/>
  <c r="BY227" i="21" s="1"/>
  <c r="Y304" i="21"/>
  <c r="BY304" i="21" s="1"/>
  <c r="Y65" i="21"/>
  <c r="BY65" i="21" s="1"/>
  <c r="Y352" i="21"/>
  <c r="BY352" i="21" s="1"/>
  <c r="Y78" i="21"/>
  <c r="BY78" i="21" s="1"/>
  <c r="Y322" i="21"/>
  <c r="BY322" i="21" s="1"/>
  <c r="Y131" i="21"/>
  <c r="BY131" i="21" s="1"/>
  <c r="Y33" i="21"/>
  <c r="BY33" i="21" s="1"/>
  <c r="Y312" i="21"/>
  <c r="BY312" i="21" s="1"/>
  <c r="Y13" i="21"/>
  <c r="BY13" i="21" s="1"/>
  <c r="Y296" i="21"/>
  <c r="BY296" i="21" s="1"/>
  <c r="Y196" i="21"/>
  <c r="BY196" i="21" s="1"/>
  <c r="Y361" i="21"/>
  <c r="BY361" i="21" s="1"/>
  <c r="Y154" i="21"/>
  <c r="BY154" i="21" s="1"/>
  <c r="Y75" i="21"/>
  <c r="BY75" i="21" s="1"/>
  <c r="Y224" i="21"/>
  <c r="BY224" i="21" s="1"/>
  <c r="Y223" i="21"/>
  <c r="BY223" i="21" s="1"/>
  <c r="Y74" i="21"/>
  <c r="BY74" i="21" s="1"/>
  <c r="Y292" i="21"/>
  <c r="BY292" i="21" s="1"/>
  <c r="Y164" i="21"/>
  <c r="BY164" i="21" s="1"/>
  <c r="Y276" i="21"/>
  <c r="BY276" i="21" s="1"/>
  <c r="Y176" i="21"/>
  <c r="BY176" i="21" s="1"/>
  <c r="Y107" i="21"/>
  <c r="BY107" i="21" s="1"/>
  <c r="Y175" i="21"/>
  <c r="BY175" i="21" s="1"/>
  <c r="Y126" i="21"/>
  <c r="BY126" i="21" s="1"/>
  <c r="Y26" i="21"/>
  <c r="BY26" i="21" s="1"/>
  <c r="Y115" i="21"/>
  <c r="BY115" i="21" s="1"/>
  <c r="Y159" i="21"/>
  <c r="BY159" i="21" s="1"/>
  <c r="Y156" i="21"/>
  <c r="BY156" i="21" s="1"/>
  <c r="Y9" i="21"/>
  <c r="BY9" i="21" s="1"/>
  <c r="Y152" i="21"/>
  <c r="BY152" i="21" s="1"/>
  <c r="Y280" i="21"/>
  <c r="BY280" i="21" s="1"/>
  <c r="Y16" i="21"/>
  <c r="BY16" i="21" s="1"/>
  <c r="Y180" i="21"/>
  <c r="BY180" i="21" s="1"/>
  <c r="Y305" i="21"/>
  <c r="BY305" i="21" s="1"/>
  <c r="Y112" i="21"/>
  <c r="BY112" i="21" s="1"/>
  <c r="Y297" i="21"/>
  <c r="BY297" i="21" s="1"/>
  <c r="Y179" i="21"/>
  <c r="BY179" i="21" s="1"/>
  <c r="Y194" i="21"/>
  <c r="BY194" i="21" s="1"/>
  <c r="Y130" i="21"/>
  <c r="BY130" i="21" s="1"/>
  <c r="Y181" i="21"/>
  <c r="BY181" i="21" s="1"/>
  <c r="Y30" i="21"/>
  <c r="BY30" i="21" s="1"/>
  <c r="Y148" i="21"/>
  <c r="BY148" i="21" s="1"/>
  <c r="Y182" i="21"/>
  <c r="BY182" i="21" s="1"/>
  <c r="Y91" i="21"/>
  <c r="BY91" i="21" s="1"/>
  <c r="Y177" i="21"/>
  <c r="BY177" i="21" s="1"/>
  <c r="Y248" i="21"/>
  <c r="BY248" i="21" s="1"/>
  <c r="Y32" i="21"/>
  <c r="BY32" i="21" s="1"/>
  <c r="Y113" i="21"/>
  <c r="BY113" i="21" s="1"/>
  <c r="Y135" i="21"/>
  <c r="BY135" i="21" s="1"/>
  <c r="Y247" i="21"/>
  <c r="BY247" i="21" s="1"/>
  <c r="Y313" i="21"/>
  <c r="BY313" i="21" s="1"/>
  <c r="Y67" i="21"/>
  <c r="BY67" i="21" s="1"/>
  <c r="Y331" i="21"/>
  <c r="BY331" i="21" s="1"/>
  <c r="Y232" i="21"/>
  <c r="BY232" i="21" s="1"/>
  <c r="Y317" i="21"/>
  <c r="BY317" i="21" s="1"/>
  <c r="Y96" i="21"/>
  <c r="BY96" i="21" s="1"/>
  <c r="Y68" i="21"/>
  <c r="BY68" i="21" s="1"/>
  <c r="Y231" i="21"/>
  <c r="BY231" i="21" s="1"/>
  <c r="Y316" i="21"/>
  <c r="BY316" i="21" s="1"/>
  <c r="Y71" i="21"/>
  <c r="BY71" i="21" s="1"/>
  <c r="Y356" i="21"/>
  <c r="BY356" i="21" s="1"/>
  <c r="Y82" i="21"/>
  <c r="BY82" i="21" s="1"/>
  <c r="Y119" i="21"/>
  <c r="BY119" i="21" s="1"/>
  <c r="Y274" i="21"/>
  <c r="BY274" i="21" s="1"/>
  <c r="Y39" i="21"/>
  <c r="BY39" i="21" s="1"/>
  <c r="Y318" i="21"/>
  <c r="BY318" i="21" s="1"/>
  <c r="Y19" i="21"/>
  <c r="BY19" i="21" s="1"/>
  <c r="Y100" i="21"/>
  <c r="BY100" i="21" s="1"/>
  <c r="Y200" i="21"/>
  <c r="BY200" i="21" s="1"/>
  <c r="Y339" i="21"/>
  <c r="BY339" i="21" s="1"/>
  <c r="Y163" i="21"/>
  <c r="BY163" i="21" s="1"/>
  <c r="Y170" i="21"/>
  <c r="BY170" i="21" s="1"/>
  <c r="Y199" i="21"/>
  <c r="BY199" i="21" s="1"/>
  <c r="CD203" i="21" l="1"/>
  <c r="CC203" i="21"/>
  <c r="CC127" i="21"/>
  <c r="CD163" i="21"/>
  <c r="CC174" i="21"/>
  <c r="CD69" i="21"/>
  <c r="CC80" i="21"/>
  <c r="CD32" i="21"/>
  <c r="CC117" i="21"/>
  <c r="CC103" i="21"/>
  <c r="CD267" i="21"/>
  <c r="CD103" i="21"/>
  <c r="CC60" i="21"/>
  <c r="CC163" i="21"/>
  <c r="CC238" i="21"/>
  <c r="CD251" i="21"/>
  <c r="CD61" i="21"/>
  <c r="CD112" i="21"/>
  <c r="CD364" i="21"/>
  <c r="CD305" i="21"/>
  <c r="CD347" i="21"/>
  <c r="CD117" i="21"/>
  <c r="CC327" i="21"/>
  <c r="CC257" i="21"/>
  <c r="CD90" i="21"/>
  <c r="CD299" i="21"/>
  <c r="CC243" i="21"/>
  <c r="CD45" i="21"/>
  <c r="CD174" i="21"/>
  <c r="CD56" i="21"/>
  <c r="CC299" i="21"/>
  <c r="CC240" i="21"/>
  <c r="CC201" i="21"/>
  <c r="CD344" i="21"/>
  <c r="CD346" i="21"/>
  <c r="CC280" i="21"/>
  <c r="CD156" i="21"/>
  <c r="CC69" i="21"/>
  <c r="CC239" i="21"/>
  <c r="CC190" i="21"/>
  <c r="CC304" i="21"/>
  <c r="CC101" i="21"/>
  <c r="CD11" i="21"/>
  <c r="CC46" i="21"/>
  <c r="CC230" i="21"/>
  <c r="CD343" i="21"/>
  <c r="CC231" i="21"/>
  <c r="CD341" i="21"/>
  <c r="CC332" i="21"/>
  <c r="CD208" i="21"/>
  <c r="CD324" i="21"/>
  <c r="CD48" i="21"/>
  <c r="CC175" i="21"/>
  <c r="CC310" i="21"/>
  <c r="CC156" i="21"/>
  <c r="CD326" i="21"/>
  <c r="CC289" i="21"/>
  <c r="CD87" i="21"/>
  <c r="CD124" i="21"/>
  <c r="CC287" i="21"/>
  <c r="CC202" i="21"/>
  <c r="CD330" i="21"/>
  <c r="CC32" i="21"/>
  <c r="CC235" i="21"/>
  <c r="CD236" i="21"/>
  <c r="CC360" i="21"/>
  <c r="CD202" i="21"/>
  <c r="CC111" i="21"/>
  <c r="CC222" i="21"/>
  <c r="CC307" i="21"/>
  <c r="CD82" i="21"/>
  <c r="CD41" i="21"/>
  <c r="CD36" i="21"/>
  <c r="CC17" i="21"/>
  <c r="CC330" i="21"/>
  <c r="CD121" i="21"/>
  <c r="CC319" i="21"/>
  <c r="CC109" i="21"/>
  <c r="CD195" i="21"/>
  <c r="CD127" i="21"/>
  <c r="CC56" i="21"/>
  <c r="CC251" i="21"/>
  <c r="CD366" i="21"/>
  <c r="CD218" i="21"/>
  <c r="CC282" i="21"/>
  <c r="CD78" i="21"/>
  <c r="CD179" i="21"/>
  <c r="CD306" i="21"/>
  <c r="CC151" i="21"/>
  <c r="CC171" i="21"/>
  <c r="CC107" i="21"/>
  <c r="CD53" i="21"/>
  <c r="CD291" i="21"/>
  <c r="CC78" i="21"/>
  <c r="CC62" i="21"/>
  <c r="CD27" i="21"/>
  <c r="CC51" i="21"/>
  <c r="CD184" i="21"/>
  <c r="CD116" i="21"/>
  <c r="CD70" i="21"/>
  <c r="CC278" i="21"/>
  <c r="CC112" i="21"/>
  <c r="CD50" i="21"/>
  <c r="CD323" i="21"/>
  <c r="CD74" i="21"/>
  <c r="CD183" i="21"/>
  <c r="CD111" i="21"/>
  <c r="CD256" i="21"/>
  <c r="CD145" i="21"/>
  <c r="CC351" i="21"/>
  <c r="CC52" i="21"/>
  <c r="CC350" i="21"/>
  <c r="CC219" i="21"/>
  <c r="CC334" i="21"/>
  <c r="CD77" i="21"/>
  <c r="CD189" i="21"/>
  <c r="CD114" i="21"/>
  <c r="CD262" i="21"/>
  <c r="CD151" i="21"/>
  <c r="CC237" i="21"/>
  <c r="CC233" i="21"/>
  <c r="CC104" i="21"/>
  <c r="CC197" i="21"/>
  <c r="CC92" i="21"/>
  <c r="CC317" i="21"/>
  <c r="CC270" i="21"/>
  <c r="CC79" i="21"/>
  <c r="CC123" i="21"/>
  <c r="CC291" i="21"/>
  <c r="CC100" i="21"/>
  <c r="CC35" i="21"/>
  <c r="CC218" i="21"/>
  <c r="CD35" i="21"/>
  <c r="CD311" i="21"/>
  <c r="CD72" i="21"/>
  <c r="CD172" i="21"/>
  <c r="CD106" i="21"/>
  <c r="CC184" i="21"/>
  <c r="CC133" i="21"/>
  <c r="CC81" i="21"/>
  <c r="CC321" i="21"/>
  <c r="CD14" i="21"/>
  <c r="CD266" i="21"/>
  <c r="CD51" i="21"/>
  <c r="CD336" i="21"/>
  <c r="CD85" i="21"/>
  <c r="CD360" i="21"/>
  <c r="CC366" i="21"/>
  <c r="CC361" i="21"/>
  <c r="CC181" i="21"/>
  <c r="CC126" i="21"/>
  <c r="CC99" i="21"/>
  <c r="CC94" i="21"/>
  <c r="CD65" i="21"/>
  <c r="CD165" i="21"/>
  <c r="CD102" i="21"/>
  <c r="CD238" i="21"/>
  <c r="CD136" i="21"/>
  <c r="CC71" i="21"/>
  <c r="CC65" i="21"/>
  <c r="CC365" i="21"/>
  <c r="CC9" i="21"/>
  <c r="CD227" i="21"/>
  <c r="CD140" i="21"/>
  <c r="CD315" i="21"/>
  <c r="CD204" i="21"/>
  <c r="CD19" i="21"/>
  <c r="CD265" i="21"/>
  <c r="CD23" i="21"/>
  <c r="CD284" i="21"/>
  <c r="CD60" i="21"/>
  <c r="CD354" i="21"/>
  <c r="CD94" i="21"/>
  <c r="CD350" i="21"/>
  <c r="CC265" i="21"/>
  <c r="CC145" i="21"/>
  <c r="CC208" i="21"/>
  <c r="CC135" i="21"/>
  <c r="CC148" i="21"/>
  <c r="CC91" i="21"/>
  <c r="CC357" i="21"/>
  <c r="CC185" i="21"/>
  <c r="CC255" i="21"/>
  <c r="CC49" i="21"/>
  <c r="CC261" i="21"/>
  <c r="CC140" i="21"/>
  <c r="CC313" i="21"/>
  <c r="CC356" i="21"/>
  <c r="CD98" i="21"/>
  <c r="CD231" i="21"/>
  <c r="CD135" i="21"/>
  <c r="CD304" i="21"/>
  <c r="CD187" i="21"/>
  <c r="CC283" i="21"/>
  <c r="CC161" i="21"/>
  <c r="CC348" i="21"/>
  <c r="CC108" i="21"/>
  <c r="CC172" i="21"/>
  <c r="CD143" i="21"/>
  <c r="CD101" i="21"/>
  <c r="CD237" i="21"/>
  <c r="CD138" i="21"/>
  <c r="CD310" i="21"/>
  <c r="CD193" i="21"/>
  <c r="CC191" i="21"/>
  <c r="CC21" i="21"/>
  <c r="CC309" i="21"/>
  <c r="CC41" i="21"/>
  <c r="CC220" i="21"/>
  <c r="CD8" i="21"/>
  <c r="CD93" i="21"/>
  <c r="CD214" i="21"/>
  <c r="CD154" i="21"/>
  <c r="CC15" i="21"/>
  <c r="CC10" i="21"/>
  <c r="CC153" i="21"/>
  <c r="CC179" i="21"/>
  <c r="CC195" i="21"/>
  <c r="CD59" i="21"/>
  <c r="CD153" i="21"/>
  <c r="CD96" i="21"/>
  <c r="CD220" i="21"/>
  <c r="CD130" i="21"/>
  <c r="CC162" i="21"/>
  <c r="CC200" i="21"/>
  <c r="CC110" i="21"/>
  <c r="CC216" i="21"/>
  <c r="CD38" i="21"/>
  <c r="CD317" i="21"/>
  <c r="CD75" i="21"/>
  <c r="CD178" i="21"/>
  <c r="CD109" i="21"/>
  <c r="CC232" i="21"/>
  <c r="CC279" i="21"/>
  <c r="CC338" i="21"/>
  <c r="CC341" i="21"/>
  <c r="CC116" i="21"/>
  <c r="CD89" i="21"/>
  <c r="CD213" i="21"/>
  <c r="CD126" i="21"/>
  <c r="CD286" i="21"/>
  <c r="CD169" i="21"/>
  <c r="CC129" i="21"/>
  <c r="CC340" i="21"/>
  <c r="CC285" i="21"/>
  <c r="CC212" i="21"/>
  <c r="CD275" i="21"/>
  <c r="CD182" i="21"/>
  <c r="CD9" i="21"/>
  <c r="CD252" i="21"/>
  <c r="CD43" i="21"/>
  <c r="CD313" i="21"/>
  <c r="CD47" i="21"/>
  <c r="CD335" i="21"/>
  <c r="CD84" i="21"/>
  <c r="CD196" i="21"/>
  <c r="CD118" i="21"/>
  <c r="CC164" i="21"/>
  <c r="CC192" i="21"/>
  <c r="CC160" i="21"/>
  <c r="CC296" i="21"/>
  <c r="CC76" i="21"/>
  <c r="CC50" i="21"/>
  <c r="CC14" i="21"/>
  <c r="CC294" i="21"/>
  <c r="CC194" i="21"/>
  <c r="CC189" i="21"/>
  <c r="CC64" i="21"/>
  <c r="CC157" i="21"/>
  <c r="CC358" i="21"/>
  <c r="CC346" i="21"/>
  <c r="CC59" i="21"/>
  <c r="CC39" i="21"/>
  <c r="CD191" i="21"/>
  <c r="CD122" i="21"/>
  <c r="CD279" i="21"/>
  <c r="CD168" i="21"/>
  <c r="CD355" i="21"/>
  <c r="CD232" i="21"/>
  <c r="CC74" i="21"/>
  <c r="CC158" i="21"/>
  <c r="CC137" i="21"/>
  <c r="CC75" i="21"/>
  <c r="CC70" i="21"/>
  <c r="CD197" i="21"/>
  <c r="CD125" i="21"/>
  <c r="CD285" i="21"/>
  <c r="CD361" i="21"/>
  <c r="CD235" i="21"/>
  <c r="CC188" i="21"/>
  <c r="CC204" i="21"/>
  <c r="CC125" i="21"/>
  <c r="CC331" i="21"/>
  <c r="CD80" i="21"/>
  <c r="CD268" i="21"/>
  <c r="CD199" i="21"/>
  <c r="CC77" i="21"/>
  <c r="CC168" i="21"/>
  <c r="CD83" i="21"/>
  <c r="CD201" i="21"/>
  <c r="CD120" i="21"/>
  <c r="CD274" i="21"/>
  <c r="CD160" i="21"/>
  <c r="CC213" i="21"/>
  <c r="CC247" i="21"/>
  <c r="CC315" i="21"/>
  <c r="CC318" i="21"/>
  <c r="CD62" i="21"/>
  <c r="CD159" i="21"/>
  <c r="CD99" i="21"/>
  <c r="CD229" i="21"/>
  <c r="CD133" i="21"/>
  <c r="CC343" i="21"/>
  <c r="CC248" i="21"/>
  <c r="CC264" i="21"/>
  <c r="CC48" i="21"/>
  <c r="CD173" i="21"/>
  <c r="CD113" i="21"/>
  <c r="CD261" i="21"/>
  <c r="CD150" i="21"/>
  <c r="CD337" i="21"/>
  <c r="CD217" i="21"/>
  <c r="CC223" i="21"/>
  <c r="CC196" i="21"/>
  <c r="CC105" i="21"/>
  <c r="CC305" i="21"/>
  <c r="CD320" i="21"/>
  <c r="CD230" i="21"/>
  <c r="CD33" i="21"/>
  <c r="CD300" i="21"/>
  <c r="CD67" i="21"/>
  <c r="CD358" i="21"/>
  <c r="CD71" i="21"/>
  <c r="CD177" i="21"/>
  <c r="CD108" i="21"/>
  <c r="CD250" i="21"/>
  <c r="CD142" i="21"/>
  <c r="CC209" i="21"/>
  <c r="CC199" i="21"/>
  <c r="CC277" i="21"/>
  <c r="CC336" i="21"/>
  <c r="CC306" i="21"/>
  <c r="CC57" i="21"/>
  <c r="CC11" i="21"/>
  <c r="CC352" i="21"/>
  <c r="CC323" i="21"/>
  <c r="CC217" i="21"/>
  <c r="CC260" i="21"/>
  <c r="CC266" i="21"/>
  <c r="CC130" i="21"/>
  <c r="CC345" i="21"/>
  <c r="CC320" i="21"/>
  <c r="CC146" i="21"/>
  <c r="CD223" i="21"/>
  <c r="CC38" i="21"/>
  <c r="CD239" i="21"/>
  <c r="CD149" i="21"/>
  <c r="CD327" i="21"/>
  <c r="CD216" i="21"/>
  <c r="CD25" i="21"/>
  <c r="CD277" i="21"/>
  <c r="CC90" i="21"/>
  <c r="CC85" i="21"/>
  <c r="CC22" i="21"/>
  <c r="CC308" i="21"/>
  <c r="CC20" i="21"/>
  <c r="CD248" i="21"/>
  <c r="CD152" i="21"/>
  <c r="CD333" i="21"/>
  <c r="CD222" i="21"/>
  <c r="CD28" i="21"/>
  <c r="CD283" i="21"/>
  <c r="CC193" i="21"/>
  <c r="CC147" i="21"/>
  <c r="CC281" i="21"/>
  <c r="CC328" i="21"/>
  <c r="CC68" i="21"/>
  <c r="CD155" i="21"/>
  <c r="CD104" i="21"/>
  <c r="CD243" i="21"/>
  <c r="CD141" i="21"/>
  <c r="CD319" i="21"/>
  <c r="CD241" i="21"/>
  <c r="CC187" i="21"/>
  <c r="CC58" i="21"/>
  <c r="CD161" i="21"/>
  <c r="CD107" i="21"/>
  <c r="CD249" i="21"/>
  <c r="CD144" i="21"/>
  <c r="CD325" i="21"/>
  <c r="CD205" i="21"/>
  <c r="CC329" i="21"/>
  <c r="CC106" i="21"/>
  <c r="CC225" i="21"/>
  <c r="CC227" i="21"/>
  <c r="CC45" i="21"/>
  <c r="CD86" i="21"/>
  <c r="CD207" i="21"/>
  <c r="CD123" i="21"/>
  <c r="CD280" i="21"/>
  <c r="CD166" i="21"/>
  <c r="CC134" i="21"/>
  <c r="CC182" i="21"/>
  <c r="CC359" i="21"/>
  <c r="CC198" i="21"/>
  <c r="CC23" i="21"/>
  <c r="CC214" i="21"/>
  <c r="CD221" i="21"/>
  <c r="CD137" i="21"/>
  <c r="CD309" i="21"/>
  <c r="CD198" i="21"/>
  <c r="CD16" i="21"/>
  <c r="CD259" i="21"/>
  <c r="CC119" i="21"/>
  <c r="CC241" i="21"/>
  <c r="CC302" i="21"/>
  <c r="CD20" i="21"/>
  <c r="CD278" i="21"/>
  <c r="CD57" i="21"/>
  <c r="CD348" i="21"/>
  <c r="CD91" i="21"/>
  <c r="CD353" i="21"/>
  <c r="CD95" i="21"/>
  <c r="CD225" i="21"/>
  <c r="CD132" i="21"/>
  <c r="CD298" i="21"/>
  <c r="CD181" i="21"/>
  <c r="CC44" i="21"/>
  <c r="CC136" i="21"/>
  <c r="CC344" i="21"/>
  <c r="CC42" i="21"/>
  <c r="CC66" i="21"/>
  <c r="CC210" i="21"/>
  <c r="CC165" i="21"/>
  <c r="CC87" i="21"/>
  <c r="CC54" i="21"/>
  <c r="CC354" i="21"/>
  <c r="CC262" i="21"/>
  <c r="CC276" i="21"/>
  <c r="CC178" i="21"/>
  <c r="CC249" i="21"/>
  <c r="CC118" i="21"/>
  <c r="CD288" i="21"/>
  <c r="CC303" i="21"/>
  <c r="CD287" i="21"/>
  <c r="CD194" i="21"/>
  <c r="CD15" i="21"/>
  <c r="CD264" i="21"/>
  <c r="CD49" i="21"/>
  <c r="CD322" i="21"/>
  <c r="CC274" i="21"/>
  <c r="CC27" i="21"/>
  <c r="CC167" i="21"/>
  <c r="CC24" i="21"/>
  <c r="CC53" i="21"/>
  <c r="CD293" i="21"/>
  <c r="CD200" i="21"/>
  <c r="CD18" i="21"/>
  <c r="CD270" i="21"/>
  <c r="CD52" i="21"/>
  <c r="CD328" i="21"/>
  <c r="CC298" i="21"/>
  <c r="CC263" i="21"/>
  <c r="CC275" i="21"/>
  <c r="CC269" i="21"/>
  <c r="CC8" i="21"/>
  <c r="CD128" i="21"/>
  <c r="CD180" i="21"/>
  <c r="CD31" i="21"/>
  <c r="CD289" i="21"/>
  <c r="CC236" i="21"/>
  <c r="CC300" i="21"/>
  <c r="CC63" i="21"/>
  <c r="CC314" i="21"/>
  <c r="CC142" i="21"/>
  <c r="CD209" i="21"/>
  <c r="CD131" i="21"/>
  <c r="CD297" i="21"/>
  <c r="CD186" i="21"/>
  <c r="CD10" i="21"/>
  <c r="CD247" i="21"/>
  <c r="CC284" i="21"/>
  <c r="CC122" i="21"/>
  <c r="CC169" i="21"/>
  <c r="CC18" i="21"/>
  <c r="CD167" i="21"/>
  <c r="CD110" i="21"/>
  <c r="CD255" i="21"/>
  <c r="CD147" i="21"/>
  <c r="CD331" i="21"/>
  <c r="CD211" i="21"/>
  <c r="CC28" i="21"/>
  <c r="CC311" i="21"/>
  <c r="CC88" i="21"/>
  <c r="CC114" i="21"/>
  <c r="CC166" i="21"/>
  <c r="CD269" i="21"/>
  <c r="CD176" i="21"/>
  <c r="CD357" i="21"/>
  <c r="CD246" i="21"/>
  <c r="CD40" i="21"/>
  <c r="CD307" i="21"/>
  <c r="CC215" i="21"/>
  <c r="CC183" i="21"/>
  <c r="CC177" i="21"/>
  <c r="CC26" i="21"/>
  <c r="CD44" i="21"/>
  <c r="CD329" i="21"/>
  <c r="CD81" i="21"/>
  <c r="CD190" i="21"/>
  <c r="CD115" i="21"/>
  <c r="CD185" i="21"/>
  <c r="CD119" i="21"/>
  <c r="CD273" i="21"/>
  <c r="CD162" i="21"/>
  <c r="CD349" i="21"/>
  <c r="CD226" i="21"/>
  <c r="CC33" i="21"/>
  <c r="CC150" i="21"/>
  <c r="CC37" i="21"/>
  <c r="CC258" i="21"/>
  <c r="CC144" i="21"/>
  <c r="CC271" i="21"/>
  <c r="CC333" i="21"/>
  <c r="CC82" i="21"/>
  <c r="CC339" i="21"/>
  <c r="CC176" i="21"/>
  <c r="CC121" i="21"/>
  <c r="CC292" i="21"/>
  <c r="CC244" i="21"/>
  <c r="CC259" i="21"/>
  <c r="CC131" i="21"/>
  <c r="CD260" i="21"/>
  <c r="CD308" i="21"/>
  <c r="CC154" i="21"/>
  <c r="CD332" i="21"/>
  <c r="CD242" i="21"/>
  <c r="CD39" i="21"/>
  <c r="CD312" i="21"/>
  <c r="CD73" i="21"/>
  <c r="CD362" i="21"/>
  <c r="CC337" i="21"/>
  <c r="CC221" i="21"/>
  <c r="CC312" i="21"/>
  <c r="CC206" i="21"/>
  <c r="CC272" i="21"/>
  <c r="CD338" i="21"/>
  <c r="CD245" i="21"/>
  <c r="CD42" i="21"/>
  <c r="CD318" i="21"/>
  <c r="CD76" i="21"/>
  <c r="CD359" i="21"/>
  <c r="CC353" i="21"/>
  <c r="CC124" i="21"/>
  <c r="CC273" i="21"/>
  <c r="CC30" i="21"/>
  <c r="CC55" i="21"/>
  <c r="CD254" i="21"/>
  <c r="CD158" i="21"/>
  <c r="CD339" i="21"/>
  <c r="CD228" i="21"/>
  <c r="CD55" i="21"/>
  <c r="CD334" i="21"/>
  <c r="CC347" i="21"/>
  <c r="CC186" i="21"/>
  <c r="CC252" i="21"/>
  <c r="CC253" i="21"/>
  <c r="CC362" i="21"/>
  <c r="CC120" i="21"/>
  <c r="CD257" i="21"/>
  <c r="CD164" i="21"/>
  <c r="CD345" i="21"/>
  <c r="CD234" i="21"/>
  <c r="CD34" i="21"/>
  <c r="CD295" i="21"/>
  <c r="CC95" i="21"/>
  <c r="CC234" i="21"/>
  <c r="CC25" i="21"/>
  <c r="CC250" i="21"/>
  <c r="CD215" i="21"/>
  <c r="CD134" i="21"/>
  <c r="CD303" i="21"/>
  <c r="CD192" i="21"/>
  <c r="CD13" i="21"/>
  <c r="CD253" i="21"/>
  <c r="CC364" i="21"/>
  <c r="CC295" i="21"/>
  <c r="CC245" i="21"/>
  <c r="CC93" i="21"/>
  <c r="CC326" i="21"/>
  <c r="CC143" i="21"/>
  <c r="CD314" i="21"/>
  <c r="CD224" i="21"/>
  <c r="CD30" i="21"/>
  <c r="CD294" i="21"/>
  <c r="CD64" i="21"/>
  <c r="CD352" i="21"/>
  <c r="CC89" i="21"/>
  <c r="CC324" i="21"/>
  <c r="CC159" i="21"/>
  <c r="CC115" i="21"/>
  <c r="CD68" i="21"/>
  <c r="CD171" i="21"/>
  <c r="CD105" i="21"/>
  <c r="CD244" i="21"/>
  <c r="CD139" i="21"/>
  <c r="CD233" i="21"/>
  <c r="CD146" i="21"/>
  <c r="CD321" i="21"/>
  <c r="CD210" i="21"/>
  <c r="CD22" i="21"/>
  <c r="CD271" i="21"/>
  <c r="CC84" i="21"/>
  <c r="CC13" i="21"/>
  <c r="CC242" i="21"/>
  <c r="CC207" i="21"/>
  <c r="CC316" i="21"/>
  <c r="CC152" i="21"/>
  <c r="CC86" i="21"/>
  <c r="CC228" i="21"/>
  <c r="CC335" i="21"/>
  <c r="CC297" i="21"/>
  <c r="CC211" i="21"/>
  <c r="CC16" i="21"/>
  <c r="CC301" i="21"/>
  <c r="CC290" i="21"/>
  <c r="CC36" i="21"/>
  <c r="CC61" i="21"/>
  <c r="CD26" i="21"/>
  <c r="CD290" i="21"/>
  <c r="CD63" i="21"/>
  <c r="CD148" i="21"/>
  <c r="CD97" i="21"/>
  <c r="CD365" i="21"/>
  <c r="CC229" i="21"/>
  <c r="CC141" i="21"/>
  <c r="CC256" i="21"/>
  <c r="CC47" i="21"/>
  <c r="CD29" i="21"/>
  <c r="CD296" i="21"/>
  <c r="CD66" i="21"/>
  <c r="CD157" i="21"/>
  <c r="CD100" i="21"/>
  <c r="CC72" i="21"/>
  <c r="CC288" i="21"/>
  <c r="CC132" i="21"/>
  <c r="CC31" i="21"/>
  <c r="CC254" i="21"/>
  <c r="CD206" i="21"/>
  <c r="CD21" i="21"/>
  <c r="CD276" i="21"/>
  <c r="CD79" i="21"/>
  <c r="CD356" i="21"/>
  <c r="CC149" i="21"/>
  <c r="CC40" i="21"/>
  <c r="CC363" i="21"/>
  <c r="CC12" i="21"/>
  <c r="CC268" i="21"/>
  <c r="CC29" i="21"/>
  <c r="CD302" i="21"/>
  <c r="CD212" i="21"/>
  <c r="CD24" i="21"/>
  <c r="CD282" i="21"/>
  <c r="CD58" i="21"/>
  <c r="CD340" i="21"/>
  <c r="CC325" i="21"/>
  <c r="CC83" i="21"/>
  <c r="CC173" i="21"/>
  <c r="CC293" i="21"/>
  <c r="CD263" i="21"/>
  <c r="CD170" i="21"/>
  <c r="CD351" i="21"/>
  <c r="CD240" i="21"/>
  <c r="CD37" i="21"/>
  <c r="CD301" i="21"/>
  <c r="CC73" i="21"/>
  <c r="CC113" i="21"/>
  <c r="CC97" i="21"/>
  <c r="CC155" i="21"/>
  <c r="CC128" i="21"/>
  <c r="CC180" i="21"/>
  <c r="CD17" i="21"/>
  <c r="CD272" i="21"/>
  <c r="CD54" i="21"/>
  <c r="CD342" i="21"/>
  <c r="CD88" i="21"/>
  <c r="CD363" i="21"/>
  <c r="CC96" i="21"/>
  <c r="CC19" i="21"/>
  <c r="CC246" i="21"/>
  <c r="CC43" i="21"/>
  <c r="CD92" i="21"/>
  <c r="CD219" i="21"/>
  <c r="CD129" i="21"/>
  <c r="CD292" i="21"/>
  <c r="CD175" i="21"/>
  <c r="CD281" i="21"/>
  <c r="CD188" i="21"/>
  <c r="CD12" i="21"/>
  <c r="CD258" i="21"/>
  <c r="CD46" i="21"/>
  <c r="CD316" i="21"/>
  <c r="CC226" i="21"/>
  <c r="CC138" i="21"/>
  <c r="CC205" i="21"/>
  <c r="CC267" i="21"/>
  <c r="CC139" i="21"/>
  <c r="CC342" i="21"/>
  <c r="CC170" i="21"/>
  <c r="CC67" i="21"/>
  <c r="CC98" i="21"/>
  <c r="CC102" i="21"/>
  <c r="CC322" i="21"/>
  <c r="CC355" i="21"/>
  <c r="CC286" i="21"/>
  <c r="CC34" i="21"/>
  <c r="CC349" i="21"/>
  <c r="CC224" i="21"/>
  <c r="BL280" i="27"/>
  <c r="Z73" i="21"/>
  <c r="BZ73" i="21" s="1"/>
  <c r="Z288" i="21"/>
  <c r="BZ288" i="21" s="1"/>
  <c r="Z203" i="21"/>
  <c r="BZ203" i="21" s="1"/>
  <c r="Z101" i="21"/>
  <c r="BZ101" i="21" s="1"/>
  <c r="Z325" i="21"/>
  <c r="BZ325" i="21" s="1"/>
  <c r="Z128" i="21"/>
  <c r="BZ128" i="21" s="1"/>
  <c r="Z164" i="21"/>
  <c r="BZ164" i="21" s="1"/>
  <c r="Z305" i="21"/>
  <c r="BZ305" i="21" s="1"/>
  <c r="Z48" i="21"/>
  <c r="BZ48" i="21" s="1"/>
  <c r="Z10" i="21"/>
  <c r="BZ10" i="21" s="1"/>
  <c r="Z58" i="21"/>
  <c r="BZ58" i="21" s="1"/>
  <c r="Z306" i="21"/>
  <c r="BZ306" i="21" s="1"/>
  <c r="Z63" i="21"/>
  <c r="BZ63" i="21" s="1"/>
  <c r="Z345" i="21"/>
  <c r="BZ345" i="21" s="1"/>
  <c r="Z211" i="21"/>
  <c r="BZ211" i="21" s="1"/>
  <c r="Z255" i="21"/>
  <c r="BZ255" i="21" s="1"/>
  <c r="Z168" i="21"/>
  <c r="BZ168" i="21" s="1"/>
  <c r="Z254" i="21"/>
  <c r="BZ254" i="21" s="1"/>
  <c r="Z299" i="21"/>
  <c r="BZ299" i="21" s="1"/>
  <c r="Z357" i="21"/>
  <c r="BZ357" i="21" s="1"/>
  <c r="Z204" i="21"/>
  <c r="BZ204" i="21" s="1"/>
  <c r="Z136" i="21"/>
  <c r="BZ136" i="21" s="1"/>
  <c r="Z240" i="21"/>
  <c r="BZ240" i="21" s="1"/>
  <c r="Z328" i="21"/>
  <c r="BZ328" i="21" s="1"/>
  <c r="Z284" i="21"/>
  <c r="BZ284" i="21" s="1"/>
  <c r="Z21" i="21"/>
  <c r="BZ21" i="21" s="1"/>
  <c r="Z251" i="21"/>
  <c r="BZ251" i="21" s="1"/>
  <c r="Z79" i="21"/>
  <c r="BZ79" i="21" s="1"/>
  <c r="Z125" i="21"/>
  <c r="BZ125" i="21" s="1"/>
  <c r="Z11" i="21"/>
  <c r="BZ11" i="21" s="1"/>
  <c r="Z12" i="21"/>
  <c r="BZ12" i="21" s="1"/>
  <c r="Z311" i="21"/>
  <c r="BZ311" i="21" s="1"/>
  <c r="Z266" i="21"/>
  <c r="BZ266" i="21" s="1"/>
  <c r="Z212" i="21"/>
  <c r="BZ212" i="21" s="1"/>
  <c r="Z166" i="21"/>
  <c r="BZ166" i="21" s="1"/>
  <c r="Z18" i="21"/>
  <c r="BZ18" i="21" s="1"/>
  <c r="Z149" i="21"/>
  <c r="BZ149" i="21" s="1"/>
  <c r="Z341" i="21"/>
  <c r="BZ341" i="21" s="1"/>
  <c r="Z31" i="21"/>
  <c r="BZ31" i="21" s="1"/>
  <c r="Z116" i="21"/>
  <c r="BZ116" i="21" s="1"/>
  <c r="Z257" i="21"/>
  <c r="BZ257" i="21" s="1"/>
  <c r="Z187" i="21"/>
  <c r="BZ187" i="21" s="1"/>
  <c r="Z247" i="21"/>
  <c r="BZ247" i="21" s="1"/>
  <c r="Z145" i="21"/>
  <c r="BZ145" i="21" s="1"/>
  <c r="Z318" i="21"/>
  <c r="BZ318" i="21" s="1"/>
  <c r="Z138" i="21"/>
  <c r="BZ138" i="21" s="1"/>
  <c r="Z144" i="21"/>
  <c r="BZ144" i="21" s="1"/>
  <c r="Z121" i="21"/>
  <c r="BZ121" i="21" s="1"/>
  <c r="Z8" i="21"/>
  <c r="BZ8" i="21" s="1"/>
  <c r="Z57" i="21"/>
  <c r="BZ57" i="21" s="1"/>
  <c r="Z335" i="21"/>
  <c r="BZ335" i="21" s="1"/>
  <c r="Z347" i="21"/>
  <c r="BZ347" i="21" s="1"/>
  <c r="Z40" i="21"/>
  <c r="BZ40" i="21" s="1"/>
  <c r="Z129" i="21"/>
  <c r="BZ129" i="21" s="1"/>
  <c r="Z330" i="21"/>
  <c r="BZ330" i="21" s="1"/>
  <c r="Z107" i="21"/>
  <c r="BZ107" i="21" s="1"/>
  <c r="Z24" i="21"/>
  <c r="BZ24" i="21" s="1"/>
  <c r="Z141" i="21"/>
  <c r="BZ141" i="21" s="1"/>
  <c r="Z362" i="21"/>
  <c r="BZ362" i="21" s="1"/>
  <c r="Z337" i="21"/>
  <c r="BZ337" i="21" s="1"/>
  <c r="Z108" i="21"/>
  <c r="BZ108" i="21" s="1"/>
  <c r="Z98" i="21"/>
  <c r="BZ98" i="21" s="1"/>
  <c r="Z146" i="21"/>
  <c r="BZ146" i="21" s="1"/>
  <c r="Z234" i="21"/>
  <c r="BZ234" i="21" s="1"/>
  <c r="Z270" i="21"/>
  <c r="BZ270" i="21" s="1"/>
  <c r="Z308" i="21"/>
  <c r="BZ308" i="21" s="1"/>
  <c r="Z352" i="21"/>
  <c r="BZ352" i="21" s="1"/>
  <c r="Z111" i="21"/>
  <c r="BZ111" i="21" s="1"/>
  <c r="Z285" i="21"/>
  <c r="BZ285" i="21" s="1"/>
  <c r="Z176" i="21"/>
  <c r="BZ176" i="21" s="1"/>
  <c r="Z307" i="21"/>
  <c r="BZ307" i="21" s="1"/>
  <c r="Z323" i="21"/>
  <c r="BZ323" i="21" s="1"/>
  <c r="Z334" i="21"/>
  <c r="BZ334" i="21" s="1"/>
  <c r="Z277" i="21"/>
  <c r="BZ277" i="21" s="1"/>
  <c r="Z123" i="21"/>
  <c r="BZ123" i="21" s="1"/>
  <c r="Z327" i="21"/>
  <c r="BZ327" i="21" s="1"/>
  <c r="Z190" i="21"/>
  <c r="BZ190" i="21" s="1"/>
  <c r="Z120" i="21"/>
  <c r="BZ120" i="21" s="1"/>
  <c r="Z184" i="21"/>
  <c r="BZ184" i="21" s="1"/>
  <c r="Z143" i="21"/>
  <c r="BZ143" i="21" s="1"/>
  <c r="Z42" i="21"/>
  <c r="BZ42" i="21" s="1"/>
  <c r="Z191" i="21"/>
  <c r="BZ191" i="21" s="1"/>
  <c r="Z106" i="21"/>
  <c r="BZ106" i="21" s="1"/>
  <c r="Z37" i="21"/>
  <c r="BZ37" i="21" s="1"/>
  <c r="Z281" i="21"/>
  <c r="BZ281" i="21" s="1"/>
  <c r="Z268" i="21"/>
  <c r="BZ268" i="21" s="1"/>
  <c r="Z350" i="21"/>
  <c r="BZ350" i="21" s="1"/>
  <c r="Z297" i="21"/>
  <c r="BZ297" i="21" s="1"/>
  <c r="Z127" i="21"/>
  <c r="BZ127" i="21" s="1"/>
  <c r="Z118" i="21"/>
  <c r="BZ118" i="21" s="1"/>
  <c r="Z354" i="21"/>
  <c r="BZ354" i="21" s="1"/>
  <c r="Z276" i="21"/>
  <c r="BZ276" i="21" s="1"/>
  <c r="Z359" i="21"/>
  <c r="BZ359" i="21" s="1"/>
  <c r="Z41" i="21"/>
  <c r="BZ41" i="21" s="1"/>
  <c r="Z52" i="21"/>
  <c r="BZ52" i="21" s="1"/>
  <c r="Z158" i="21"/>
  <c r="BZ158" i="21" s="1"/>
  <c r="Z209" i="21"/>
  <c r="BZ209" i="21" s="1"/>
  <c r="Z365" i="21"/>
  <c r="BZ365" i="21" s="1"/>
  <c r="Z298" i="21"/>
  <c r="BZ298" i="21" s="1"/>
  <c r="Z173" i="21"/>
  <c r="BZ173" i="21" s="1"/>
  <c r="Z233" i="21"/>
  <c r="BZ233" i="21" s="1"/>
  <c r="Z20" i="21"/>
  <c r="BZ20" i="21" s="1"/>
  <c r="Z283" i="21"/>
  <c r="BZ283" i="21" s="1"/>
  <c r="Z235" i="21"/>
  <c r="BZ235" i="21" s="1"/>
  <c r="Z134" i="21"/>
  <c r="BZ134" i="21" s="1"/>
  <c r="Z100" i="21"/>
  <c r="BZ100" i="21" s="1"/>
  <c r="Z67" i="21"/>
  <c r="BZ67" i="21" s="1"/>
  <c r="Z78" i="21"/>
  <c r="BZ78" i="21" s="1"/>
  <c r="Z95" i="21"/>
  <c r="BZ95" i="21" s="1"/>
  <c r="Z263" i="21"/>
  <c r="BZ263" i="21" s="1"/>
  <c r="Z69" i="21"/>
  <c r="BZ69" i="21" s="1"/>
  <c r="Z301" i="21"/>
  <c r="BZ301" i="21" s="1"/>
  <c r="Z302" i="21"/>
  <c r="BZ302" i="21" s="1"/>
  <c r="Z56" i="21"/>
  <c r="BZ56" i="21" s="1"/>
  <c r="Z199" i="21"/>
  <c r="BZ199" i="21" s="1"/>
  <c r="Z265" i="21"/>
  <c r="BZ265" i="21" s="1"/>
  <c r="Z151" i="21"/>
  <c r="BZ151" i="21" s="1"/>
  <c r="Z117" i="21"/>
  <c r="BZ117" i="21" s="1"/>
  <c r="Z131" i="21"/>
  <c r="BZ131" i="21" s="1"/>
  <c r="Z260" i="21"/>
  <c r="BZ260" i="21" s="1"/>
  <c r="Z329" i="21"/>
  <c r="BZ329" i="21" s="1"/>
  <c r="Z49" i="21"/>
  <c r="BZ49" i="21" s="1"/>
  <c r="Z148" i="21"/>
  <c r="BZ148" i="21" s="1"/>
  <c r="Z353" i="21"/>
  <c r="BZ353" i="21" s="1"/>
  <c r="Z230" i="21"/>
  <c r="BZ230" i="21" s="1"/>
  <c r="Z210" i="21"/>
  <c r="BZ210" i="21" s="1"/>
  <c r="Z253" i="21"/>
  <c r="BZ253" i="21" s="1"/>
  <c r="Z272" i="21"/>
  <c r="BZ272" i="21" s="1"/>
  <c r="Z313" i="21"/>
  <c r="BZ313" i="21" s="1"/>
  <c r="Z243" i="21"/>
  <c r="BZ243" i="21" s="1"/>
  <c r="Z291" i="21"/>
  <c r="BZ291" i="21" s="1"/>
  <c r="Z271" i="21"/>
  <c r="BZ271" i="21" s="1"/>
  <c r="Z34" i="21"/>
  <c r="BZ34" i="21" s="1"/>
  <c r="Z105" i="21"/>
  <c r="BZ105" i="21" s="1"/>
  <c r="Z249" i="21"/>
  <c r="BZ249" i="21" s="1"/>
  <c r="Z88" i="21"/>
  <c r="BZ88" i="21" s="1"/>
  <c r="Z207" i="21"/>
  <c r="BZ207" i="21" s="1"/>
  <c r="Z239" i="21"/>
  <c r="BZ239" i="21" s="1"/>
  <c r="Z360" i="21"/>
  <c r="BZ360" i="21" s="1"/>
  <c r="Z336" i="21"/>
  <c r="BZ336" i="21" s="1"/>
  <c r="Z89" i="21"/>
  <c r="BZ89" i="21" s="1"/>
  <c r="Z147" i="21"/>
  <c r="BZ147" i="21" s="1"/>
  <c r="Z282" i="21"/>
  <c r="BZ282" i="21" s="1"/>
  <c r="Z346" i="21"/>
  <c r="BZ346" i="21" s="1"/>
  <c r="Z250" i="21"/>
  <c r="BZ250" i="21" s="1"/>
  <c r="Z222" i="21"/>
  <c r="BZ222" i="21" s="1"/>
  <c r="Z333" i="21"/>
  <c r="BZ333" i="21" s="1"/>
  <c r="Z241" i="21"/>
  <c r="BZ241" i="21" s="1"/>
  <c r="Z133" i="21"/>
  <c r="BZ133" i="21" s="1"/>
  <c r="Z103" i="21"/>
  <c r="BZ103" i="21" s="1"/>
  <c r="Z156" i="21"/>
  <c r="BZ156" i="21" s="1"/>
  <c r="Z195" i="21"/>
  <c r="BZ195" i="21" s="1"/>
  <c r="Z342" i="21"/>
  <c r="BZ342" i="21" s="1"/>
  <c r="Z361" i="21"/>
  <c r="BZ361" i="21" s="1"/>
  <c r="Z171" i="21"/>
  <c r="BZ171" i="21" s="1"/>
  <c r="Z157" i="21"/>
  <c r="BZ157" i="21" s="1"/>
  <c r="Z201" i="21"/>
  <c r="BZ201" i="21" s="1"/>
  <c r="Z30" i="21"/>
  <c r="BZ30" i="21" s="1"/>
  <c r="Z68" i="21"/>
  <c r="BZ68" i="21" s="1"/>
  <c r="Z256" i="21"/>
  <c r="BZ256" i="21" s="1"/>
  <c r="Z35" i="21"/>
  <c r="BZ35" i="21" s="1"/>
  <c r="Z349" i="21"/>
  <c r="BZ349" i="21" s="1"/>
  <c r="Z84" i="21"/>
  <c r="BZ84" i="21" s="1"/>
  <c r="Z161" i="21"/>
  <c r="BZ161" i="21" s="1"/>
  <c r="Z364" i="21"/>
  <c r="BZ364" i="21" s="1"/>
  <c r="Z62" i="21"/>
  <c r="BZ62" i="21" s="1"/>
  <c r="Z77" i="21"/>
  <c r="BZ77" i="21" s="1"/>
  <c r="Z66" i="21"/>
  <c r="BZ66" i="21" s="1"/>
  <c r="Z86" i="21"/>
  <c r="BZ86" i="21" s="1"/>
  <c r="Z320" i="21"/>
  <c r="BZ320" i="21" s="1"/>
  <c r="Z55" i="21"/>
  <c r="BZ55" i="21" s="1"/>
  <c r="Z51" i="21"/>
  <c r="BZ51" i="21" s="1"/>
  <c r="Z219" i="21"/>
  <c r="BZ219" i="21" s="1"/>
  <c r="Z245" i="21"/>
  <c r="BZ245" i="21" s="1"/>
  <c r="Z303" i="21"/>
  <c r="BZ303" i="21" s="1"/>
  <c r="Z315" i="21"/>
  <c r="BZ315" i="21" s="1"/>
  <c r="Z140" i="21"/>
  <c r="BZ140" i="21" s="1"/>
  <c r="Z71" i="21"/>
  <c r="BZ71" i="21" s="1"/>
  <c r="Z75" i="21"/>
  <c r="BZ75" i="21" s="1"/>
  <c r="Z224" i="21"/>
  <c r="BZ224" i="21" s="1"/>
  <c r="Z50" i="21"/>
  <c r="BZ50" i="21" s="1"/>
  <c r="Z97" i="21"/>
  <c r="BZ97" i="21" s="1"/>
  <c r="Z72" i="21"/>
  <c r="BZ72" i="21" s="1"/>
  <c r="Z23" i="21"/>
  <c r="BZ23" i="21" s="1"/>
  <c r="Z275" i="21"/>
  <c r="BZ275" i="21" s="1"/>
  <c r="Z45" i="21"/>
  <c r="BZ45" i="21" s="1"/>
  <c r="Z44" i="21"/>
  <c r="BZ44" i="21" s="1"/>
  <c r="Z122" i="21"/>
  <c r="BZ122" i="21" s="1"/>
  <c r="Z213" i="21"/>
  <c r="BZ213" i="21" s="1"/>
  <c r="Z193" i="21"/>
  <c r="BZ193" i="21" s="1"/>
  <c r="Z80" i="21"/>
  <c r="BZ80" i="21" s="1"/>
  <c r="Z142" i="21"/>
  <c r="BZ142" i="21" s="1"/>
  <c r="Z167" i="21"/>
  <c r="BZ167" i="21" s="1"/>
  <c r="Z180" i="21"/>
  <c r="BZ180" i="21" s="1"/>
  <c r="Z228" i="21"/>
  <c r="BZ228" i="21" s="1"/>
  <c r="Z231" i="21"/>
  <c r="BZ231" i="21" s="1"/>
  <c r="Z206" i="21"/>
  <c r="BZ206" i="21" s="1"/>
  <c r="Z53" i="21"/>
  <c r="BZ53" i="21" s="1"/>
  <c r="Z91" i="21"/>
  <c r="BZ91" i="21" s="1"/>
  <c r="Z135" i="21"/>
  <c r="BZ135" i="21" s="1"/>
  <c r="Z39" i="21"/>
  <c r="BZ39" i="21" s="1"/>
  <c r="Z160" i="21"/>
  <c r="BZ160" i="21" s="1"/>
  <c r="Z174" i="21"/>
  <c r="BZ174" i="21" s="1"/>
  <c r="Z196" i="21"/>
  <c r="BZ196" i="21" s="1"/>
  <c r="Z159" i="21"/>
  <c r="BZ159" i="21" s="1"/>
  <c r="Z237" i="21"/>
  <c r="BZ237" i="21" s="1"/>
  <c r="Z59" i="21"/>
  <c r="BZ59" i="21" s="1"/>
  <c r="Z19" i="21"/>
  <c r="BZ19" i="21" s="1"/>
  <c r="Z182" i="21"/>
  <c r="BZ182" i="21" s="1"/>
  <c r="Z367" i="21"/>
  <c r="BZ367" i="21" s="1"/>
  <c r="Z322" i="21"/>
  <c r="BZ322" i="21" s="1"/>
  <c r="Z366" i="21"/>
  <c r="BZ366" i="21" s="1"/>
  <c r="Z154" i="21"/>
  <c r="BZ154" i="21" s="1"/>
  <c r="Z178" i="21"/>
  <c r="BZ178" i="21" s="1"/>
  <c r="Z112" i="21"/>
  <c r="BZ112" i="21" s="1"/>
  <c r="Z294" i="21"/>
  <c r="BZ294" i="21" s="1"/>
  <c r="Z61" i="21"/>
  <c r="BZ61" i="21" s="1"/>
  <c r="Z109" i="21"/>
  <c r="BZ109" i="21" s="1"/>
  <c r="Z225" i="21"/>
  <c r="BZ225" i="21" s="1"/>
  <c r="Z181" i="21"/>
  <c r="BZ181" i="21" s="1"/>
  <c r="Z46" i="21"/>
  <c r="BZ46" i="21" s="1"/>
  <c r="Z269" i="21"/>
  <c r="BZ269" i="21" s="1"/>
  <c r="Z287" i="21"/>
  <c r="BZ287" i="21" s="1"/>
  <c r="Z96" i="21"/>
  <c r="BZ96" i="21" s="1"/>
  <c r="Z87" i="21"/>
  <c r="BZ87" i="21" s="1"/>
  <c r="Z274" i="21"/>
  <c r="BZ274" i="21" s="1"/>
  <c r="Z47" i="21"/>
  <c r="BZ47" i="21" s="1"/>
  <c r="Z113" i="21"/>
  <c r="BZ113" i="21" s="1"/>
  <c r="Z296" i="21"/>
  <c r="BZ296" i="21" s="1"/>
  <c r="Z170" i="21"/>
  <c r="BZ170" i="21" s="1"/>
  <c r="Z16" i="21"/>
  <c r="BZ16" i="21" s="1"/>
  <c r="Z115" i="21"/>
  <c r="BZ115" i="21" s="1"/>
  <c r="Z205" i="21"/>
  <c r="BZ205" i="21" s="1"/>
  <c r="Z332" i="21"/>
  <c r="BZ332" i="21" s="1"/>
  <c r="Z292" i="21"/>
  <c r="BZ292" i="21" s="1"/>
  <c r="Z60" i="21"/>
  <c r="BZ60" i="21" s="1"/>
  <c r="Z65" i="21"/>
  <c r="BZ65" i="21" s="1"/>
  <c r="Z226" i="21"/>
  <c r="BZ226" i="21" s="1"/>
  <c r="Z165" i="21"/>
  <c r="BZ165" i="21" s="1"/>
  <c r="Z331" i="21"/>
  <c r="BZ331" i="21" s="1"/>
  <c r="Z28" i="21"/>
  <c r="BZ28" i="21" s="1"/>
  <c r="Z177" i="21"/>
  <c r="BZ177" i="21" s="1"/>
  <c r="Z64" i="21"/>
  <c r="BZ64" i="21" s="1"/>
  <c r="Z264" i="21"/>
  <c r="BZ264" i="21" s="1"/>
  <c r="Z33" i="21"/>
  <c r="BZ33" i="21" s="1"/>
  <c r="Z175" i="21"/>
  <c r="BZ175" i="21" s="1"/>
  <c r="Z200" i="21"/>
  <c r="BZ200" i="21" s="1"/>
  <c r="Z258" i="21"/>
  <c r="BZ258" i="21" s="1"/>
  <c r="Z76" i="21"/>
  <c r="BZ76" i="21" s="1"/>
  <c r="Z344" i="21"/>
  <c r="BZ344" i="21" s="1"/>
  <c r="Z355" i="21"/>
  <c r="BZ355" i="21" s="1"/>
  <c r="Z179" i="21"/>
  <c r="BZ179" i="21" s="1"/>
  <c r="Z310" i="21"/>
  <c r="BZ310" i="21" s="1"/>
  <c r="Z356" i="21"/>
  <c r="BZ356" i="21" s="1"/>
  <c r="Z114" i="21"/>
  <c r="BZ114" i="21" s="1"/>
  <c r="Z9" i="21"/>
  <c r="BZ9" i="21" s="1"/>
  <c r="Z262" i="21"/>
  <c r="BZ262" i="21" s="1"/>
  <c r="Z316" i="21"/>
  <c r="BZ316" i="21" s="1"/>
  <c r="Z223" i="21"/>
  <c r="BZ223" i="21" s="1"/>
  <c r="Z216" i="21"/>
  <c r="BZ216" i="21" s="1"/>
  <c r="Z314" i="21"/>
  <c r="BZ314" i="21" s="1"/>
  <c r="Z312" i="21"/>
  <c r="BZ312" i="21" s="1"/>
  <c r="Z339" i="21"/>
  <c r="BZ339" i="21" s="1"/>
  <c r="Z152" i="21"/>
  <c r="BZ152" i="21" s="1"/>
  <c r="Z139" i="21"/>
  <c r="BZ139" i="21" s="1"/>
  <c r="Z137" i="21"/>
  <c r="BZ137" i="21" s="1"/>
  <c r="Z238" i="21"/>
  <c r="BZ238" i="21" s="1"/>
  <c r="Z340" i="21"/>
  <c r="BZ340" i="21" s="1"/>
  <c r="Z232" i="21"/>
  <c r="BZ232" i="21" s="1"/>
  <c r="Z348" i="21"/>
  <c r="BZ348" i="21" s="1"/>
  <c r="Z227" i="21"/>
  <c r="BZ227" i="21" s="1"/>
  <c r="Z289" i="21"/>
  <c r="BZ289" i="21" s="1"/>
  <c r="Z273" i="21"/>
  <c r="BZ273" i="21" s="1"/>
  <c r="Z185" i="21"/>
  <c r="BZ185" i="21" s="1"/>
  <c r="Z43" i="21"/>
  <c r="BZ43" i="21" s="1"/>
  <c r="Z194" i="21"/>
  <c r="BZ194" i="21" s="1"/>
  <c r="Z99" i="21"/>
  <c r="BZ99" i="21" s="1"/>
  <c r="Z321" i="21"/>
  <c r="BZ321" i="21" s="1"/>
  <c r="Z92" i="21"/>
  <c r="BZ92" i="21" s="1"/>
  <c r="Z82" i="21"/>
  <c r="BZ82" i="21" s="1"/>
  <c r="Z38" i="21"/>
  <c r="BZ38" i="21" s="1"/>
  <c r="Z17" i="21"/>
  <c r="BZ17" i="21" s="1"/>
  <c r="Z221" i="21"/>
  <c r="BZ221" i="21" s="1"/>
  <c r="Z36" i="21"/>
  <c r="BZ36" i="21" s="1"/>
  <c r="Z202" i="21"/>
  <c r="BZ202" i="21" s="1"/>
  <c r="Z188" i="21"/>
  <c r="BZ188" i="21" s="1"/>
  <c r="Z104" i="21"/>
  <c r="BZ104" i="21" s="1"/>
  <c r="Z244" i="21"/>
  <c r="BZ244" i="21" s="1"/>
  <c r="Z261" i="21"/>
  <c r="BZ261" i="21" s="1"/>
  <c r="Z70" i="21"/>
  <c r="BZ70" i="21" s="1"/>
  <c r="Z220" i="21"/>
  <c r="BZ220" i="21" s="1"/>
  <c r="Z198" i="21"/>
  <c r="BZ198" i="21" s="1"/>
  <c r="Z25" i="21"/>
  <c r="BZ25" i="21" s="1"/>
  <c r="Z278" i="21"/>
  <c r="BZ278" i="21" s="1"/>
  <c r="Z81" i="21"/>
  <c r="BZ81" i="21" s="1"/>
  <c r="Z363" i="21"/>
  <c r="BZ363" i="21" s="1"/>
  <c r="Z110" i="21"/>
  <c r="BZ110" i="21" s="1"/>
  <c r="Z290" i="21"/>
  <c r="BZ290" i="21" s="1"/>
  <c r="Z242" i="21"/>
  <c r="BZ242" i="21" s="1"/>
  <c r="Z248" i="21"/>
  <c r="BZ248" i="21" s="1"/>
  <c r="Z83" i="21"/>
  <c r="BZ83" i="21" s="1"/>
  <c r="Z150" i="21"/>
  <c r="BZ150" i="21" s="1"/>
  <c r="Z192" i="21"/>
  <c r="BZ192" i="21" s="1"/>
  <c r="Z29" i="21"/>
  <c r="BZ29" i="21" s="1"/>
  <c r="Z267" i="21"/>
  <c r="BZ267" i="21" s="1"/>
  <c r="Z252" i="21"/>
  <c r="BZ252" i="21" s="1"/>
  <c r="Z189" i="21"/>
  <c r="BZ189" i="21" s="1"/>
  <c r="Z214" i="21"/>
  <c r="BZ214" i="21" s="1"/>
  <c r="Z358" i="21"/>
  <c r="BZ358" i="21" s="1"/>
  <c r="Z132" i="21"/>
  <c r="BZ132" i="21" s="1"/>
  <c r="Z126" i="21"/>
  <c r="BZ126" i="21" s="1"/>
  <c r="Z124" i="21"/>
  <c r="BZ124" i="21" s="1"/>
  <c r="Z54" i="21"/>
  <c r="BZ54" i="21" s="1"/>
  <c r="Z309" i="21"/>
  <c r="BZ309" i="21" s="1"/>
  <c r="Z343" i="21"/>
  <c r="BZ343" i="21" s="1"/>
  <c r="Z14" i="21"/>
  <c r="BZ14" i="21" s="1"/>
  <c r="Z153" i="21"/>
  <c r="BZ153" i="21" s="1"/>
  <c r="Z74" i="21"/>
  <c r="BZ74" i="21" s="1"/>
  <c r="Z338" i="21"/>
  <c r="BZ338" i="21" s="1"/>
  <c r="Z94" i="21"/>
  <c r="BZ94" i="21" s="1"/>
  <c r="Z215" i="21"/>
  <c r="BZ215" i="21" s="1"/>
  <c r="Z236" i="21"/>
  <c r="BZ236" i="21" s="1"/>
  <c r="Z217" i="21"/>
  <c r="BZ217" i="21" s="1"/>
  <c r="Z26" i="21"/>
  <c r="BZ26" i="21" s="1"/>
  <c r="Z32" i="21"/>
  <c r="BZ32" i="21" s="1"/>
  <c r="Z119" i="21"/>
  <c r="BZ119" i="21" s="1"/>
  <c r="Z279" i="21"/>
  <c r="BZ279" i="21" s="1"/>
  <c r="Z293" i="21"/>
  <c r="BZ293" i="21" s="1"/>
  <c r="Z130" i="21"/>
  <c r="BZ130" i="21" s="1"/>
  <c r="Z351" i="21"/>
  <c r="BZ351" i="21" s="1"/>
  <c r="Z22" i="21"/>
  <c r="BZ22" i="21" s="1"/>
  <c r="Z155" i="21"/>
  <c r="BZ155" i="21" s="1"/>
  <c r="Z186" i="21"/>
  <c r="BZ186" i="21" s="1"/>
  <c r="Z317" i="21"/>
  <c r="BZ317" i="21" s="1"/>
  <c r="Z163" i="21"/>
  <c r="BZ163" i="21" s="1"/>
  <c r="Z102" i="21"/>
  <c r="BZ102" i="21" s="1"/>
  <c r="Z93" i="21"/>
  <c r="BZ93" i="21" s="1"/>
  <c r="Z197" i="21"/>
  <c r="BZ197" i="21" s="1"/>
  <c r="Z27" i="21"/>
  <c r="BZ27" i="21" s="1"/>
  <c r="Z326" i="21"/>
  <c r="BZ326" i="21" s="1"/>
  <c r="Z259" i="21"/>
  <c r="BZ259" i="21" s="1"/>
  <c r="Z246" i="21"/>
  <c r="BZ246" i="21" s="1"/>
  <c r="Z162" i="21"/>
  <c r="BZ162" i="21" s="1"/>
  <c r="Z295" i="21"/>
  <c r="BZ295" i="21" s="1"/>
  <c r="Z169" i="21"/>
  <c r="BZ169" i="21" s="1"/>
  <c r="Z304" i="21"/>
  <c r="BZ304" i="21" s="1"/>
  <c r="Z85" i="21"/>
  <c r="BZ85" i="21" s="1"/>
  <c r="Z324" i="21"/>
  <c r="BZ324" i="21" s="1"/>
  <c r="Z319" i="21"/>
  <c r="BZ319" i="21" s="1"/>
  <c r="Z280" i="21"/>
  <c r="BZ280" i="21" s="1"/>
  <c r="Z218" i="21"/>
  <c r="BZ218" i="21" s="1"/>
  <c r="Z13" i="21"/>
  <c r="BZ13" i="21" s="1"/>
  <c r="Z172" i="21"/>
  <c r="BZ172" i="21" s="1"/>
  <c r="Z300" i="21"/>
  <c r="BZ300" i="21" s="1"/>
  <c r="Z15" i="21"/>
  <c r="BZ15" i="21" s="1"/>
  <c r="Z90" i="21"/>
  <c r="BZ90" i="21" s="1"/>
  <c r="Z208" i="21"/>
  <c r="BZ208" i="21" s="1"/>
  <c r="Z286" i="21"/>
  <c r="BZ286" i="21" s="1"/>
  <c r="Z229" i="21"/>
  <c r="BZ229" i="21" s="1"/>
  <c r="Z183" i="21"/>
  <c r="BZ183" i="21" s="1"/>
  <c r="R46" i="3"/>
  <c r="Q46" i="3"/>
  <c r="R35" i="3"/>
  <c r="Q36" i="3"/>
  <c r="Q48" i="3" s="1"/>
  <c r="Q37" i="3"/>
  <c r="Q49" i="3" s="1"/>
  <c r="Q38" i="3"/>
  <c r="Q50" i="3" s="1"/>
  <c r="Q39" i="3"/>
  <c r="Q51" i="3" s="1"/>
  <c r="Q40" i="3"/>
  <c r="Q52" i="3" s="1"/>
  <c r="Q41" i="3"/>
  <c r="Q53" i="3" s="1"/>
  <c r="Q35" i="3"/>
  <c r="Q47" i="3" s="1"/>
  <c r="AA212" i="21" l="1"/>
  <c r="CA212" i="21" s="1"/>
  <c r="BL281" i="27"/>
  <c r="AA288" i="21"/>
  <c r="CA288" i="21" s="1"/>
  <c r="AA101" i="21"/>
  <c r="CA101" i="21" s="1"/>
  <c r="AA10" i="21"/>
  <c r="CA10" i="21" s="1"/>
  <c r="AA203" i="21"/>
  <c r="CA203" i="21" s="1"/>
  <c r="AA176" i="21"/>
  <c r="CA176" i="21" s="1"/>
  <c r="AA325" i="21"/>
  <c r="CA325" i="21" s="1"/>
  <c r="AA164" i="21"/>
  <c r="CA164" i="21" s="1"/>
  <c r="AA128" i="21"/>
  <c r="CA128" i="21" s="1"/>
  <c r="AA136" i="21"/>
  <c r="CA136" i="21" s="1"/>
  <c r="AA20" i="21"/>
  <c r="CA20" i="21" s="1"/>
  <c r="AA58" i="21"/>
  <c r="CA58" i="21" s="1"/>
  <c r="AA239" i="21"/>
  <c r="CA239" i="21" s="1"/>
  <c r="AA21" i="21"/>
  <c r="CA21" i="21" s="1"/>
  <c r="AA306" i="21"/>
  <c r="CA306" i="21" s="1"/>
  <c r="AA48" i="21"/>
  <c r="CA48" i="21" s="1"/>
  <c r="AA73" i="21"/>
  <c r="CA73" i="21" s="1"/>
  <c r="AA108" i="21"/>
  <c r="CA108" i="21" s="1"/>
  <c r="AA138" i="21"/>
  <c r="CA138" i="21" s="1"/>
  <c r="AA41" i="21"/>
  <c r="CA41" i="21" s="1"/>
  <c r="AA345" i="21"/>
  <c r="CA345" i="21" s="1"/>
  <c r="AA120" i="21"/>
  <c r="CA120" i="21" s="1"/>
  <c r="AA296" i="21"/>
  <c r="CA296" i="21" s="1"/>
  <c r="AA34" i="21"/>
  <c r="CA34" i="21" s="1"/>
  <c r="AA305" i="21"/>
  <c r="CA305" i="21" s="1"/>
  <c r="AA133" i="21"/>
  <c r="CA133" i="21" s="1"/>
  <c r="AA364" i="21"/>
  <c r="CA364" i="21" s="1"/>
  <c r="AA233" i="21"/>
  <c r="CA233" i="21" s="1"/>
  <c r="AA190" i="21"/>
  <c r="CA190" i="21" s="1"/>
  <c r="AA125" i="21"/>
  <c r="CA125" i="21" s="1"/>
  <c r="AA63" i="21"/>
  <c r="CA63" i="21" s="1"/>
  <c r="AA40" i="21"/>
  <c r="CA40" i="21" s="1"/>
  <c r="AA285" i="21"/>
  <c r="CA285" i="21" s="1"/>
  <c r="AA204" i="21"/>
  <c r="CA204" i="21" s="1"/>
  <c r="AA318" i="21"/>
  <c r="CA318" i="21" s="1"/>
  <c r="AA151" i="21"/>
  <c r="CA151" i="21" s="1"/>
  <c r="AA206" i="21"/>
  <c r="CA206" i="21" s="1"/>
  <c r="AA281" i="21"/>
  <c r="CA281" i="21" s="1"/>
  <c r="AA149" i="21"/>
  <c r="CA149" i="21" s="1"/>
  <c r="AA168" i="21"/>
  <c r="CA168" i="21" s="1"/>
  <c r="AA255" i="21"/>
  <c r="CA255" i="21" s="1"/>
  <c r="AA187" i="21"/>
  <c r="CA187" i="21" s="1"/>
  <c r="AA56" i="21"/>
  <c r="CA56" i="21" s="1"/>
  <c r="AA299" i="21"/>
  <c r="CA299" i="21" s="1"/>
  <c r="AA308" i="21"/>
  <c r="CA308" i="21" s="1"/>
  <c r="AA57" i="21"/>
  <c r="CA57" i="21" s="1"/>
  <c r="AA141" i="21"/>
  <c r="CA141" i="21" s="1"/>
  <c r="AA191" i="21"/>
  <c r="CA191" i="21" s="1"/>
  <c r="AA284" i="21"/>
  <c r="CA284" i="21" s="1"/>
  <c r="AA118" i="21"/>
  <c r="CA118" i="21" s="1"/>
  <c r="AA49" i="21"/>
  <c r="CA49" i="21" s="1"/>
  <c r="AA365" i="21"/>
  <c r="CA365" i="21" s="1"/>
  <c r="AA144" i="21"/>
  <c r="CA144" i="21" s="1"/>
  <c r="AA12" i="21"/>
  <c r="CA12" i="21" s="1"/>
  <c r="AA117" i="21"/>
  <c r="CA117" i="21" s="1"/>
  <c r="AA184" i="21"/>
  <c r="CA184" i="21" s="1"/>
  <c r="AA240" i="21"/>
  <c r="CA240" i="21" s="1"/>
  <c r="AA268" i="21"/>
  <c r="CA268" i="21" s="1"/>
  <c r="AA211" i="21"/>
  <c r="CA211" i="21" s="1"/>
  <c r="AA31" i="21"/>
  <c r="CA31" i="21" s="1"/>
  <c r="AA98" i="21"/>
  <c r="CA98" i="21" s="1"/>
  <c r="AA129" i="21"/>
  <c r="CA129" i="21" s="1"/>
  <c r="AA147" i="21"/>
  <c r="CA147" i="21" s="1"/>
  <c r="AA11" i="21"/>
  <c r="CA11" i="21" s="1"/>
  <c r="AA341" i="21"/>
  <c r="CA341" i="21" s="1"/>
  <c r="AA105" i="21"/>
  <c r="CA105" i="21" s="1"/>
  <c r="AA210" i="21"/>
  <c r="CA210" i="21" s="1"/>
  <c r="AA263" i="21"/>
  <c r="CA263" i="21" s="1"/>
  <c r="AA311" i="21"/>
  <c r="CA311" i="21" s="1"/>
  <c r="AA329" i="21"/>
  <c r="CA329" i="21" s="1"/>
  <c r="AA166" i="21"/>
  <c r="CA166" i="21" s="1"/>
  <c r="AA354" i="21"/>
  <c r="CA354" i="21" s="1"/>
  <c r="AA254" i="21"/>
  <c r="CA254" i="21" s="1"/>
  <c r="AA231" i="21"/>
  <c r="CA231" i="21" s="1"/>
  <c r="AA265" i="21"/>
  <c r="CA265" i="21" s="1"/>
  <c r="AA251" i="21"/>
  <c r="CA251" i="21" s="1"/>
  <c r="AA282" i="21"/>
  <c r="CA282" i="21" s="1"/>
  <c r="AA243" i="21"/>
  <c r="CA243" i="21" s="1"/>
  <c r="AA79" i="21"/>
  <c r="CA79" i="21" s="1"/>
  <c r="AA100" i="21"/>
  <c r="CA100" i="21" s="1"/>
  <c r="AA342" i="21"/>
  <c r="CA342" i="21" s="1"/>
  <c r="AA277" i="21"/>
  <c r="CA277" i="21" s="1"/>
  <c r="AA253" i="21"/>
  <c r="CA253" i="21" s="1"/>
  <c r="AA42" i="21"/>
  <c r="CA42" i="21" s="1"/>
  <c r="AA276" i="21"/>
  <c r="CA276" i="21" s="1"/>
  <c r="AA18" i="21"/>
  <c r="CA18" i="21" s="1"/>
  <c r="AA357" i="21"/>
  <c r="CA357" i="21" s="1"/>
  <c r="AA113" i="21"/>
  <c r="CA113" i="21" s="1"/>
  <c r="AA123" i="21"/>
  <c r="CA123" i="21" s="1"/>
  <c r="AA143" i="21"/>
  <c r="CA143" i="21" s="1"/>
  <c r="AA241" i="21"/>
  <c r="CA241" i="21" s="1"/>
  <c r="AA37" i="21"/>
  <c r="CA37" i="21" s="1"/>
  <c r="AA111" i="21"/>
  <c r="CA111" i="21" s="1"/>
  <c r="AA171" i="21"/>
  <c r="CA171" i="21" s="1"/>
  <c r="AA224" i="21"/>
  <c r="CA224" i="21" s="1"/>
  <c r="AA161" i="21"/>
  <c r="CA161" i="21" s="1"/>
  <c r="AA145" i="21"/>
  <c r="CA145" i="21" s="1"/>
  <c r="AA173" i="21"/>
  <c r="CA173" i="21" s="1"/>
  <c r="AA327" i="21"/>
  <c r="CA327" i="21" s="1"/>
  <c r="AA247" i="21"/>
  <c r="CA247" i="21" s="1"/>
  <c r="AA194" i="21"/>
  <c r="CA194" i="21" s="1"/>
  <c r="AA337" i="21"/>
  <c r="CA337" i="21" s="1"/>
  <c r="AA347" i="21"/>
  <c r="CA347" i="21" s="1"/>
  <c r="AA328" i="21"/>
  <c r="CA328" i="21" s="1"/>
  <c r="AA271" i="21"/>
  <c r="CA271" i="21" s="1"/>
  <c r="AA78" i="21"/>
  <c r="CA78" i="21" s="1"/>
  <c r="AA313" i="21"/>
  <c r="CA313" i="21" s="1"/>
  <c r="AA207" i="21"/>
  <c r="CA207" i="21" s="1"/>
  <c r="AA257" i="21"/>
  <c r="CA257" i="21" s="1"/>
  <c r="AA334" i="21"/>
  <c r="CA334" i="21" s="1"/>
  <c r="AA8" i="21"/>
  <c r="CA8" i="21" s="1"/>
  <c r="AA35" i="21"/>
  <c r="CA35" i="21" s="1"/>
  <c r="AA270" i="21"/>
  <c r="CA270" i="21" s="1"/>
  <c r="AA262" i="21"/>
  <c r="CA262" i="21" s="1"/>
  <c r="AA209" i="21"/>
  <c r="CA209" i="21" s="1"/>
  <c r="AA24" i="21"/>
  <c r="CA24" i="21" s="1"/>
  <c r="AA266" i="21"/>
  <c r="CA266" i="21" s="1"/>
  <c r="AA140" i="21"/>
  <c r="CA140" i="21" s="1"/>
  <c r="AA134" i="21"/>
  <c r="CA134" i="21" s="1"/>
  <c r="AA127" i="21"/>
  <c r="CA127" i="21" s="1"/>
  <c r="AA302" i="21"/>
  <c r="CA302" i="21" s="1"/>
  <c r="AA235" i="21"/>
  <c r="CA235" i="21" s="1"/>
  <c r="AA297" i="21"/>
  <c r="CA297" i="21" s="1"/>
  <c r="AA234" i="21"/>
  <c r="CA234" i="21" s="1"/>
  <c r="AA362" i="21"/>
  <c r="CA362" i="21" s="1"/>
  <c r="AA350" i="21"/>
  <c r="CA350" i="21" s="1"/>
  <c r="AA106" i="21"/>
  <c r="CA106" i="21" s="1"/>
  <c r="AA323" i="21"/>
  <c r="CA323" i="21" s="1"/>
  <c r="AA67" i="21"/>
  <c r="CA67" i="21" s="1"/>
  <c r="AA96" i="21"/>
  <c r="CA96" i="21" s="1"/>
  <c r="AA352" i="21"/>
  <c r="CA352" i="21" s="1"/>
  <c r="AA335" i="21"/>
  <c r="CA335" i="21" s="1"/>
  <c r="AA158" i="21"/>
  <c r="CA158" i="21" s="1"/>
  <c r="AA121" i="21"/>
  <c r="CA121" i="21" s="1"/>
  <c r="AA116" i="21"/>
  <c r="CA116" i="21" s="1"/>
  <c r="AA107" i="21"/>
  <c r="CA107" i="21" s="1"/>
  <c r="AA298" i="21"/>
  <c r="CA298" i="21" s="1"/>
  <c r="AA301" i="21"/>
  <c r="CA301" i="21" s="1"/>
  <c r="AA283" i="21"/>
  <c r="CA283" i="21" s="1"/>
  <c r="AA330" i="21"/>
  <c r="CA330" i="21" s="1"/>
  <c r="AA291" i="21"/>
  <c r="CA291" i="21" s="1"/>
  <c r="AA307" i="21"/>
  <c r="CA307" i="21" s="1"/>
  <c r="AA199" i="21"/>
  <c r="CA199" i="21" s="1"/>
  <c r="AA52" i="21"/>
  <c r="CA52" i="21" s="1"/>
  <c r="AA69" i="21"/>
  <c r="CA69" i="21" s="1"/>
  <c r="AA359" i="21"/>
  <c r="CA359" i="21" s="1"/>
  <c r="AA146" i="21"/>
  <c r="CA146" i="21" s="1"/>
  <c r="AA272" i="21"/>
  <c r="CA272" i="21" s="1"/>
  <c r="AA89" i="21"/>
  <c r="CA89" i="21" s="1"/>
  <c r="AA230" i="21"/>
  <c r="CA230" i="21" s="1"/>
  <c r="AA95" i="21"/>
  <c r="CA95" i="21" s="1"/>
  <c r="AA99" i="21"/>
  <c r="CA99" i="21" s="1"/>
  <c r="AA77" i="21"/>
  <c r="CA77" i="21" s="1"/>
  <c r="AA360" i="21"/>
  <c r="CA360" i="21" s="1"/>
  <c r="AA148" i="21"/>
  <c r="CA148" i="21" s="1"/>
  <c r="AA336" i="21"/>
  <c r="CA336" i="21" s="1"/>
  <c r="AA131" i="21"/>
  <c r="CA131" i="21" s="1"/>
  <c r="AA353" i="21"/>
  <c r="CA353" i="21" s="1"/>
  <c r="AA88" i="21"/>
  <c r="CA88" i="21" s="1"/>
  <c r="AA195" i="21"/>
  <c r="CA195" i="21" s="1"/>
  <c r="AA260" i="21"/>
  <c r="CA260" i="21" s="1"/>
  <c r="AA156" i="21"/>
  <c r="CA156" i="21" s="1"/>
  <c r="AA249" i="21"/>
  <c r="CA249" i="21" s="1"/>
  <c r="AA256" i="21"/>
  <c r="CA256" i="21" s="1"/>
  <c r="AA222" i="21"/>
  <c r="CA222" i="21" s="1"/>
  <c r="AA177" i="21"/>
  <c r="CA177" i="21" s="1"/>
  <c r="AA349" i="21"/>
  <c r="CA349" i="21" s="1"/>
  <c r="AA250" i="21"/>
  <c r="CA250" i="21" s="1"/>
  <c r="AA180" i="21"/>
  <c r="CA180" i="21" s="1"/>
  <c r="AA346" i="21"/>
  <c r="CA346" i="21" s="1"/>
  <c r="AA87" i="21"/>
  <c r="CA87" i="21" s="1"/>
  <c r="AA228" i="21"/>
  <c r="CA228" i="21" s="1"/>
  <c r="AA315" i="21"/>
  <c r="CA315" i="21" s="1"/>
  <c r="AA71" i="21"/>
  <c r="CA71" i="21" s="1"/>
  <c r="AA167" i="21"/>
  <c r="CA167" i="21" s="1"/>
  <c r="AA331" i="21"/>
  <c r="CA331" i="21" s="1"/>
  <c r="AA274" i="21"/>
  <c r="CA274" i="21" s="1"/>
  <c r="AA28" i="21"/>
  <c r="CA28" i="21" s="1"/>
  <c r="AA19" i="21"/>
  <c r="CA19" i="21" s="1"/>
  <c r="AA367" i="21"/>
  <c r="CA367" i="21" s="1"/>
  <c r="AA182" i="21"/>
  <c r="CA182" i="21" s="1"/>
  <c r="AA333" i="21"/>
  <c r="CA333" i="21" s="1"/>
  <c r="AA223" i="21"/>
  <c r="CA223" i="21" s="1"/>
  <c r="AA94" i="21"/>
  <c r="CA94" i="21" s="1"/>
  <c r="AA244" i="21"/>
  <c r="CA244" i="21" s="1"/>
  <c r="AA142" i="21"/>
  <c r="CA142" i="21" s="1"/>
  <c r="AA9" i="21"/>
  <c r="CA9" i="21" s="1"/>
  <c r="AA29" i="21"/>
  <c r="CA29" i="21" s="1"/>
  <c r="AA316" i="21"/>
  <c r="CA316" i="21" s="1"/>
  <c r="AA84" i="21"/>
  <c r="CA84" i="21" s="1"/>
  <c r="AA75" i="21"/>
  <c r="CA75" i="21" s="1"/>
  <c r="AA97" i="21"/>
  <c r="CA97" i="21" s="1"/>
  <c r="AA366" i="21"/>
  <c r="CA366" i="21" s="1"/>
  <c r="AA62" i="21"/>
  <c r="CA62" i="21" s="1"/>
  <c r="AA50" i="21"/>
  <c r="CA50" i="21" s="1"/>
  <c r="AA103" i="21"/>
  <c r="CA103" i="21" s="1"/>
  <c r="AA361" i="21"/>
  <c r="CA361" i="21" s="1"/>
  <c r="AA201" i="21"/>
  <c r="CA201" i="21" s="1"/>
  <c r="AA157" i="21"/>
  <c r="CA157" i="21" s="1"/>
  <c r="AA51" i="21"/>
  <c r="CA51" i="21" s="1"/>
  <c r="AA122" i="21"/>
  <c r="CA122" i="21" s="1"/>
  <c r="AA68" i="21"/>
  <c r="CA68" i="21" s="1"/>
  <c r="AA65" i="21"/>
  <c r="CA65" i="21" s="1"/>
  <c r="AA213" i="21"/>
  <c r="CA213" i="21" s="1"/>
  <c r="AA30" i="21"/>
  <c r="CA30" i="21" s="1"/>
  <c r="AA219" i="21"/>
  <c r="CA219" i="21" s="1"/>
  <c r="AA46" i="21"/>
  <c r="CA46" i="21" s="1"/>
  <c r="AA314" i="21"/>
  <c r="CA314" i="21" s="1"/>
  <c r="AA216" i="21"/>
  <c r="CA216" i="21" s="1"/>
  <c r="AA320" i="21"/>
  <c r="CA320" i="21" s="1"/>
  <c r="AA55" i="21"/>
  <c r="CA55" i="21" s="1"/>
  <c r="AA45" i="21"/>
  <c r="CA45" i="21" s="1"/>
  <c r="AA355" i="21"/>
  <c r="CA355" i="21" s="1"/>
  <c r="AA44" i="21"/>
  <c r="CA44" i="21" s="1"/>
  <c r="AA86" i="21"/>
  <c r="CA86" i="21" s="1"/>
  <c r="AA66" i="21"/>
  <c r="CA66" i="21" s="1"/>
  <c r="AA159" i="21"/>
  <c r="CA159" i="21" s="1"/>
  <c r="AA80" i="21"/>
  <c r="CA80" i="21" s="1"/>
  <c r="AA59" i="21"/>
  <c r="CA59" i="21" s="1"/>
  <c r="AA303" i="21"/>
  <c r="CA303" i="21" s="1"/>
  <c r="AA245" i="21"/>
  <c r="CA245" i="21" s="1"/>
  <c r="AA237" i="21"/>
  <c r="CA237" i="21" s="1"/>
  <c r="AA310" i="21"/>
  <c r="CA310" i="21" s="1"/>
  <c r="AA74" i="21"/>
  <c r="CA74" i="21" s="1"/>
  <c r="AA193" i="21"/>
  <c r="CA193" i="21" s="1"/>
  <c r="AA26" i="21"/>
  <c r="CA26" i="21" s="1"/>
  <c r="AA154" i="21"/>
  <c r="CA154" i="21" s="1"/>
  <c r="AA33" i="21"/>
  <c r="CA33" i="21" s="1"/>
  <c r="AA25" i="21"/>
  <c r="CA25" i="21" s="1"/>
  <c r="AA115" i="21"/>
  <c r="CA115" i="21" s="1"/>
  <c r="AA91" i="21"/>
  <c r="CA91" i="21" s="1"/>
  <c r="AA23" i="21"/>
  <c r="CA23" i="21" s="1"/>
  <c r="AA72" i="21"/>
  <c r="CA72" i="21" s="1"/>
  <c r="AA135" i="21"/>
  <c r="CA135" i="21" s="1"/>
  <c r="AA112" i="21"/>
  <c r="CA112" i="21" s="1"/>
  <c r="AA43" i="21"/>
  <c r="CA43" i="21" s="1"/>
  <c r="AA275" i="21"/>
  <c r="CA275" i="21" s="1"/>
  <c r="AA200" i="21"/>
  <c r="CA200" i="21" s="1"/>
  <c r="AA32" i="21"/>
  <c r="CA32" i="21" s="1"/>
  <c r="AA170" i="21"/>
  <c r="CA170" i="21" s="1"/>
  <c r="AA53" i="21"/>
  <c r="CA53" i="21" s="1"/>
  <c r="AA90" i="21"/>
  <c r="CA90" i="21" s="1"/>
  <c r="AA208" i="21"/>
  <c r="CA208" i="21" s="1"/>
  <c r="AA264" i="21"/>
  <c r="CA264" i="21" s="1"/>
  <c r="AA27" i="21"/>
  <c r="CA27" i="21" s="1"/>
  <c r="AA221" i="21"/>
  <c r="CA221" i="21" s="1"/>
  <c r="AA22" i="21"/>
  <c r="CA22" i="21" s="1"/>
  <c r="AA242" i="21"/>
  <c r="CA242" i="21" s="1"/>
  <c r="AA292" i="21"/>
  <c r="CA292" i="21" s="1"/>
  <c r="AA358" i="21"/>
  <c r="CA358" i="21" s="1"/>
  <c r="AA174" i="21"/>
  <c r="CA174" i="21" s="1"/>
  <c r="AA343" i="21"/>
  <c r="CA343" i="21" s="1"/>
  <c r="AA225" i="21"/>
  <c r="CA225" i="21" s="1"/>
  <c r="AA259" i="21"/>
  <c r="CA259" i="21" s="1"/>
  <c r="AA181" i="21"/>
  <c r="CA181" i="21" s="1"/>
  <c r="AA290" i="21"/>
  <c r="CA290" i="21" s="1"/>
  <c r="AA344" i="21"/>
  <c r="CA344" i="21" s="1"/>
  <c r="AA39" i="21"/>
  <c r="CA39" i="21" s="1"/>
  <c r="AA332" i="21"/>
  <c r="CA332" i="21" s="1"/>
  <c r="AA196" i="21"/>
  <c r="CA196" i="21" s="1"/>
  <c r="AA109" i="21"/>
  <c r="CA109" i="21" s="1"/>
  <c r="AA160" i="21"/>
  <c r="CA160" i="21" s="1"/>
  <c r="AA60" i="21"/>
  <c r="CA60" i="21" s="1"/>
  <c r="AA61" i="21"/>
  <c r="CA61" i="21" s="1"/>
  <c r="AA38" i="21"/>
  <c r="CA38" i="21" s="1"/>
  <c r="AA179" i="21"/>
  <c r="CA179" i="21" s="1"/>
  <c r="AA189" i="21"/>
  <c r="CA189" i="21" s="1"/>
  <c r="AA340" i="21"/>
  <c r="CA340" i="21" s="1"/>
  <c r="AA238" i="21"/>
  <c r="CA238" i="21" s="1"/>
  <c r="AA294" i="21"/>
  <c r="CA294" i="21" s="1"/>
  <c r="AA286" i="21"/>
  <c r="CA286" i="21" s="1"/>
  <c r="AA150" i="21"/>
  <c r="CA150" i="21" s="1"/>
  <c r="AA47" i="21"/>
  <c r="CA47" i="21" s="1"/>
  <c r="AA226" i="21"/>
  <c r="CA226" i="21" s="1"/>
  <c r="AA217" i="21"/>
  <c r="CA217" i="21" s="1"/>
  <c r="AA178" i="21"/>
  <c r="CA178" i="21" s="1"/>
  <c r="AA348" i="21"/>
  <c r="CA348" i="21" s="1"/>
  <c r="AA269" i="21"/>
  <c r="CA269" i="21" s="1"/>
  <c r="AA287" i="21"/>
  <c r="CA287" i="21" s="1"/>
  <c r="AA188" i="21"/>
  <c r="CA188" i="21" s="1"/>
  <c r="AA220" i="21"/>
  <c r="CA220" i="21" s="1"/>
  <c r="AA322" i="21"/>
  <c r="CA322" i="21" s="1"/>
  <c r="AA356" i="21"/>
  <c r="CA356" i="21" s="1"/>
  <c r="AA64" i="21"/>
  <c r="CA64" i="21" s="1"/>
  <c r="AA165" i="21"/>
  <c r="CA165" i="21" s="1"/>
  <c r="AA317" i="21"/>
  <c r="CA317" i="21" s="1"/>
  <c r="AA124" i="21"/>
  <c r="CA124" i="21" s="1"/>
  <c r="AA339" i="21"/>
  <c r="CA339" i="21" s="1"/>
  <c r="AA295" i="21"/>
  <c r="CA295" i="21" s="1"/>
  <c r="AA82" i="21"/>
  <c r="CA82" i="21" s="1"/>
  <c r="AA92" i="21"/>
  <c r="CA92" i="21" s="1"/>
  <c r="AA16" i="21"/>
  <c r="CA16" i="21" s="1"/>
  <c r="AA183" i="21"/>
  <c r="CA183" i="21" s="1"/>
  <c r="AA198" i="21"/>
  <c r="CA198" i="21" s="1"/>
  <c r="AA152" i="21"/>
  <c r="CA152" i="21" s="1"/>
  <c r="AA293" i="21"/>
  <c r="CA293" i="21" s="1"/>
  <c r="AA363" i="21"/>
  <c r="CA363" i="21" s="1"/>
  <c r="AA258" i="21"/>
  <c r="CA258" i="21" s="1"/>
  <c r="AA81" i="21"/>
  <c r="CA81" i="21" s="1"/>
  <c r="AA76" i="21"/>
  <c r="CA76" i="21" s="1"/>
  <c r="AA54" i="21"/>
  <c r="CA54" i="21" s="1"/>
  <c r="AA169" i="21"/>
  <c r="CA169" i="21" s="1"/>
  <c r="AA139" i="21"/>
  <c r="CA139" i="21" s="1"/>
  <c r="AA278" i="21"/>
  <c r="CA278" i="21" s="1"/>
  <c r="AA175" i="21"/>
  <c r="CA175" i="21" s="1"/>
  <c r="AA205" i="21"/>
  <c r="CA205" i="21" s="1"/>
  <c r="AA214" i="21"/>
  <c r="CA214" i="21" s="1"/>
  <c r="AA279" i="21"/>
  <c r="CA279" i="21" s="1"/>
  <c r="AA110" i="21"/>
  <c r="CA110" i="21" s="1"/>
  <c r="AA312" i="21"/>
  <c r="CA312" i="21" s="1"/>
  <c r="AA137" i="21"/>
  <c r="CA137" i="21" s="1"/>
  <c r="AA114" i="21"/>
  <c r="CA114" i="21" s="1"/>
  <c r="AA163" i="21"/>
  <c r="CA163" i="21" s="1"/>
  <c r="AA197" i="21"/>
  <c r="CA197" i="21" s="1"/>
  <c r="AA70" i="21"/>
  <c r="CA70" i="21" s="1"/>
  <c r="AA93" i="21"/>
  <c r="CA93" i="21" s="1"/>
  <c r="AA273" i="21"/>
  <c r="CA273" i="21" s="1"/>
  <c r="AA261" i="21"/>
  <c r="CA261" i="21" s="1"/>
  <c r="AA215" i="21"/>
  <c r="CA215" i="21" s="1"/>
  <c r="AA300" i="21"/>
  <c r="CA300" i="21" s="1"/>
  <c r="AA172" i="21"/>
  <c r="CA172" i="21" s="1"/>
  <c r="AA185" i="21"/>
  <c r="CA185" i="21" s="1"/>
  <c r="AA155" i="21"/>
  <c r="CA155" i="21" s="1"/>
  <c r="AA236" i="21"/>
  <c r="CA236" i="21" s="1"/>
  <c r="AA252" i="21"/>
  <c r="CA252" i="21" s="1"/>
  <c r="AA267" i="21"/>
  <c r="CA267" i="21" s="1"/>
  <c r="AA232" i="21"/>
  <c r="CA232" i="21" s="1"/>
  <c r="AA186" i="21"/>
  <c r="CA186" i="21" s="1"/>
  <c r="AA14" i="21"/>
  <c r="CA14" i="21" s="1"/>
  <c r="AA153" i="21"/>
  <c r="CA153" i="21" s="1"/>
  <c r="AA321" i="21"/>
  <c r="CA321" i="21" s="1"/>
  <c r="AA83" i="21"/>
  <c r="CA83" i="21" s="1"/>
  <c r="AA289" i="21"/>
  <c r="CA289" i="21" s="1"/>
  <c r="AA126" i="21"/>
  <c r="CA126" i="21" s="1"/>
  <c r="AA246" i="21"/>
  <c r="CA246" i="21" s="1"/>
  <c r="AA202" i="21"/>
  <c r="CA202" i="21" s="1"/>
  <c r="AA229" i="21"/>
  <c r="CA229" i="21" s="1"/>
  <c r="AA192" i="21"/>
  <c r="CA192" i="21" s="1"/>
  <c r="AA324" i="21"/>
  <c r="CA324" i="21" s="1"/>
  <c r="AA13" i="21"/>
  <c r="CA13" i="21" s="1"/>
  <c r="AA319" i="21"/>
  <c r="CA319" i="21" s="1"/>
  <c r="AA104" i="21"/>
  <c r="CA104" i="21" s="1"/>
  <c r="AA36" i="21"/>
  <c r="CA36" i="21" s="1"/>
  <c r="AA280" i="21"/>
  <c r="CA280" i="21" s="1"/>
  <c r="AA227" i="21"/>
  <c r="CA227" i="21" s="1"/>
  <c r="AA17" i="21"/>
  <c r="CA17" i="21" s="1"/>
  <c r="AA218" i="21"/>
  <c r="CA218" i="21" s="1"/>
  <c r="AA309" i="21"/>
  <c r="CA309" i="21" s="1"/>
  <c r="AA132" i="21"/>
  <c r="CA132" i="21" s="1"/>
  <c r="AA248" i="21"/>
  <c r="CA248" i="21" s="1"/>
  <c r="AA102" i="21"/>
  <c r="CA102" i="21" s="1"/>
  <c r="AA162" i="21"/>
  <c r="CA162" i="21" s="1"/>
  <c r="AA338" i="21"/>
  <c r="CA338" i="21" s="1"/>
  <c r="AA351" i="21"/>
  <c r="CA351" i="21" s="1"/>
  <c r="AA15" i="21"/>
  <c r="CA15" i="21" s="1"/>
  <c r="AA304" i="21"/>
  <c r="CA304" i="21" s="1"/>
  <c r="AA130" i="21"/>
  <c r="CA130" i="21" s="1"/>
  <c r="AA85" i="21"/>
  <c r="CA85" i="21" s="1"/>
  <c r="AA119" i="21"/>
  <c r="CA119" i="21" s="1"/>
  <c r="AA326" i="21"/>
  <c r="CA326" i="21" s="1"/>
  <c r="R47" i="3"/>
  <c r="E19" i="3"/>
  <c r="R37" i="3" s="1"/>
  <c r="E20" i="3"/>
  <c r="R38" i="3" s="1"/>
  <c r="E21" i="3"/>
  <c r="R39" i="3" s="1"/>
  <c r="E22" i="3"/>
  <c r="R40" i="3" s="1"/>
  <c r="E23" i="3"/>
  <c r="R41" i="3" s="1"/>
  <c r="E18" i="3"/>
  <c r="R36" i="3" s="1"/>
  <c r="BL282" i="27" l="1"/>
  <c r="R50" i="3"/>
  <c r="R53" i="3"/>
  <c r="R51" i="3"/>
  <c r="R49" i="3"/>
  <c r="R48" i="3"/>
  <c r="R52" i="3"/>
  <c r="BL283" i="27" l="1"/>
  <c r="BG5" i="9"/>
  <c r="BL284" i="27" l="1"/>
  <c r="AJ135" i="9"/>
  <c r="AJ133" i="9"/>
  <c r="AJ139" i="9"/>
  <c r="AJ134" i="9"/>
  <c r="AJ136" i="9"/>
  <c r="AJ137" i="9"/>
  <c r="AJ132" i="9"/>
  <c r="AJ138" i="9"/>
  <c r="AJ140" i="9"/>
  <c r="AJ129" i="9"/>
  <c r="AJ128" i="9"/>
  <c r="AJ127" i="9"/>
  <c r="AJ130" i="9"/>
  <c r="AJ125" i="9"/>
  <c r="AJ126" i="9"/>
  <c r="AJ123" i="9"/>
  <c r="AJ124" i="9"/>
  <c r="AJ131" i="9"/>
  <c r="AJ146" i="9"/>
  <c r="AJ143" i="9"/>
  <c r="AJ144" i="9"/>
  <c r="AJ145" i="9"/>
  <c r="AJ150" i="9"/>
  <c r="AJ149" i="9"/>
  <c r="AJ141" i="9"/>
  <c r="AJ147" i="9"/>
  <c r="AJ142" i="9"/>
  <c r="AJ148" i="9"/>
  <c r="BL285" i="27" l="1"/>
  <c r="AJ179" i="9"/>
  <c r="AJ182" i="9"/>
  <c r="AJ180" i="9"/>
  <c r="AJ177" i="9"/>
  <c r="AJ178" i="9"/>
  <c r="AJ175" i="9"/>
  <c r="AJ184" i="9"/>
  <c r="AJ181" i="9"/>
  <c r="AJ173" i="9"/>
  <c r="AJ174" i="9"/>
  <c r="AJ176" i="9"/>
  <c r="AJ183" i="9"/>
  <c r="AJ165" i="9"/>
  <c r="AJ171" i="9"/>
  <c r="AJ163" i="9"/>
  <c r="AJ168" i="9"/>
  <c r="AJ166" i="9"/>
  <c r="AJ164" i="9"/>
  <c r="AJ170" i="9"/>
  <c r="AJ172" i="9"/>
  <c r="AJ169" i="9"/>
  <c r="AJ167" i="9"/>
  <c r="AJ161" i="9"/>
  <c r="AJ154" i="9"/>
  <c r="AJ157" i="9"/>
  <c r="AJ151" i="9"/>
  <c r="AJ158" i="9"/>
  <c r="AJ156" i="9"/>
  <c r="AJ153" i="9"/>
  <c r="AJ155" i="9"/>
  <c r="AJ159" i="9"/>
  <c r="AJ152" i="9"/>
  <c r="AJ162" i="9"/>
  <c r="AJ160" i="9"/>
  <c r="AK126" i="9"/>
  <c r="AK125" i="9"/>
  <c r="AK123" i="9"/>
  <c r="AK124" i="9"/>
  <c r="AK127" i="9"/>
  <c r="AL279" i="9"/>
  <c r="AL252" i="9"/>
  <c r="AL256" i="9"/>
  <c r="AL286" i="9"/>
  <c r="AL277" i="9"/>
  <c r="AL289" i="9"/>
  <c r="AL287" i="9"/>
  <c r="AL296" i="9"/>
  <c r="AL295" i="9"/>
  <c r="AL265" i="9"/>
  <c r="AL285" i="9"/>
  <c r="AL284" i="9"/>
  <c r="AL283" i="9"/>
  <c r="AL324" i="9"/>
  <c r="AL281" i="9"/>
  <c r="AL330" i="9"/>
  <c r="AL329" i="9"/>
  <c r="AL253" i="9"/>
  <c r="AL269" i="9"/>
  <c r="AL272" i="9"/>
  <c r="AL276" i="9"/>
  <c r="AL266" i="9"/>
  <c r="AL251" i="9"/>
  <c r="AL290" i="9"/>
  <c r="AL273" i="9"/>
  <c r="AL260" i="9"/>
  <c r="AL271" i="9"/>
  <c r="AL294" i="9"/>
  <c r="AL254" i="9"/>
  <c r="AL262" i="9"/>
  <c r="AL291" i="9"/>
  <c r="AL257" i="9"/>
  <c r="AL250" i="9"/>
  <c r="AL268" i="9"/>
  <c r="AL303" i="9"/>
  <c r="AL258" i="9"/>
  <c r="AL275" i="9"/>
  <c r="AL261" i="9"/>
  <c r="AL249" i="9"/>
  <c r="AL314" i="9"/>
  <c r="AL288" i="9"/>
  <c r="AL274" i="9"/>
  <c r="AL267" i="9"/>
  <c r="AL319" i="9"/>
  <c r="AL270" i="9"/>
  <c r="AL255" i="9"/>
  <c r="AL263" i="9"/>
  <c r="AL259" i="9"/>
  <c r="AL282" i="9"/>
  <c r="AL297" i="9"/>
  <c r="AL280" i="9"/>
  <c r="AL293" i="9"/>
  <c r="AL292" i="9"/>
  <c r="AL278" i="9"/>
  <c r="AL264" i="9"/>
  <c r="AL236" i="9"/>
  <c r="AL212" i="9"/>
  <c r="AL193" i="9"/>
  <c r="AL203" i="9"/>
  <c r="AL198" i="9"/>
  <c r="AL207" i="9"/>
  <c r="AL218" i="9"/>
  <c r="AL226" i="9"/>
  <c r="AL201" i="9"/>
  <c r="AL238" i="9"/>
  <c r="AL183" i="9"/>
  <c r="AL190" i="9"/>
  <c r="AL230" i="9"/>
  <c r="AL247" i="9"/>
  <c r="AL209" i="9"/>
  <c r="AL168" i="9"/>
  <c r="AL232" i="9"/>
  <c r="AL214" i="9"/>
  <c r="AL221" i="9"/>
  <c r="AL244" i="9"/>
  <c r="AL208" i="9"/>
  <c r="AL243" i="9"/>
  <c r="AL172" i="9"/>
  <c r="AL225" i="9"/>
  <c r="AL171" i="9"/>
  <c r="AL205" i="9"/>
  <c r="AL179" i="9"/>
  <c r="AL188" i="9"/>
  <c r="AL173" i="9"/>
  <c r="AL167" i="9"/>
  <c r="AL175" i="9"/>
  <c r="AL184" i="9"/>
  <c r="AL210" i="9"/>
  <c r="AL237" i="9"/>
  <c r="AL231" i="9"/>
  <c r="AL215" i="9"/>
  <c r="AL189" i="9"/>
  <c r="AL178" i="9"/>
  <c r="AL186" i="9"/>
  <c r="AL199" i="9"/>
  <c r="AL206" i="9"/>
  <c r="AL228" i="9"/>
  <c r="AL181" i="9"/>
  <c r="AL176" i="9"/>
  <c r="AL195" i="9"/>
  <c r="AL219" i="9"/>
  <c r="AL222" i="9"/>
  <c r="AL227" i="9"/>
  <c r="AL177" i="9"/>
  <c r="AL223" i="9"/>
  <c r="AL211" i="9"/>
  <c r="AL241" i="9"/>
  <c r="AL170" i="9"/>
  <c r="AL194" i="9"/>
  <c r="AL202" i="9"/>
  <c r="AL229" i="9"/>
  <c r="AL185" i="9"/>
  <c r="AL246" i="9"/>
  <c r="AL200" i="9"/>
  <c r="AL196" i="9"/>
  <c r="AL216" i="9"/>
  <c r="AL174" i="9"/>
  <c r="AL213" i="9"/>
  <c r="AL169" i="9"/>
  <c r="AL245" i="9"/>
  <c r="AL204" i="9"/>
  <c r="AL217" i="9"/>
  <c r="AL248" i="9"/>
  <c r="AL242" i="9"/>
  <c r="AL191" i="9"/>
  <c r="AL235" i="9"/>
  <c r="AL166" i="9"/>
  <c r="AL182" i="9"/>
  <c r="AL187" i="9"/>
  <c r="AL197" i="9"/>
  <c r="AL220" i="9"/>
  <c r="AL240" i="9"/>
  <c r="AL224" i="9"/>
  <c r="AL180" i="9"/>
  <c r="AL233" i="9"/>
  <c r="AL239" i="9"/>
  <c r="AL234" i="9"/>
  <c r="AL192" i="9"/>
  <c r="AL347" i="9"/>
  <c r="AL163" i="9"/>
  <c r="AL161" i="9"/>
  <c r="AL139" i="9"/>
  <c r="AL125" i="9"/>
  <c r="AL123" i="9"/>
  <c r="AL164" i="9"/>
  <c r="AL156" i="9"/>
  <c r="AL150" i="9"/>
  <c r="AL127" i="9"/>
  <c r="AL135" i="9"/>
  <c r="AL142" i="9"/>
  <c r="AL137" i="9"/>
  <c r="AL144" i="9"/>
  <c r="AL130" i="9"/>
  <c r="AL132" i="9"/>
  <c r="AL140" i="9"/>
  <c r="AL133" i="9"/>
  <c r="AL152" i="9"/>
  <c r="AL158" i="9"/>
  <c r="AL157" i="9"/>
  <c r="AL143" i="9"/>
  <c r="AL129" i="9"/>
  <c r="AL146" i="9"/>
  <c r="AL151" i="9"/>
  <c r="AL136" i="9"/>
  <c r="AL138" i="9"/>
  <c r="AL128" i="9"/>
  <c r="AL148" i="9"/>
  <c r="AL147" i="9"/>
  <c r="AL162" i="9"/>
  <c r="AL153" i="9"/>
  <c r="AL155" i="9"/>
  <c r="AL145" i="9"/>
  <c r="AL124" i="9"/>
  <c r="AL149" i="9"/>
  <c r="AL126" i="9"/>
  <c r="AL141" i="9"/>
  <c r="AL159" i="9"/>
  <c r="AL134" i="9"/>
  <c r="AL165" i="9"/>
  <c r="AL160" i="9"/>
  <c r="AL131" i="9"/>
  <c r="AL154" i="9"/>
  <c r="BO45" i="23" l="1"/>
  <c r="BO43" i="23"/>
  <c r="BO54" i="23"/>
  <c r="BL286" i="27"/>
  <c r="AL346" i="9"/>
  <c r="AL342" i="9"/>
  <c r="AL352" i="9"/>
  <c r="AL307" i="9"/>
  <c r="AL301" i="9"/>
  <c r="AL350" i="9"/>
  <c r="AL356" i="9"/>
  <c r="AL306" i="9"/>
  <c r="AL353" i="9"/>
  <c r="AL304" i="9"/>
  <c r="AL334" i="9"/>
  <c r="AL362" i="9"/>
  <c r="AL337" i="9"/>
  <c r="AL340" i="9"/>
  <c r="AJ199" i="9"/>
  <c r="AJ201" i="9"/>
  <c r="AJ208" i="9"/>
  <c r="AJ205" i="9"/>
  <c r="AJ200" i="9"/>
  <c r="AJ207" i="9"/>
  <c r="AJ202" i="9"/>
  <c r="AJ198" i="9"/>
  <c r="AJ204" i="9"/>
  <c r="AJ210" i="9"/>
  <c r="AJ206" i="9"/>
  <c r="AJ203" i="9"/>
  <c r="AJ209" i="9"/>
  <c r="AJ195" i="9"/>
  <c r="AJ196" i="9"/>
  <c r="AJ186" i="9"/>
  <c r="AJ190" i="9"/>
  <c r="AJ187" i="9"/>
  <c r="AJ191" i="9"/>
  <c r="AJ188" i="9"/>
  <c r="AJ185" i="9"/>
  <c r="AJ194" i="9"/>
  <c r="AJ189" i="9"/>
  <c r="AJ192" i="9"/>
  <c r="AL338" i="9"/>
  <c r="AJ193" i="9"/>
  <c r="AJ197" i="9"/>
  <c r="AL344" i="9"/>
  <c r="AL354" i="9"/>
  <c r="AL333" i="9"/>
  <c r="AL315" i="9"/>
  <c r="AL361" i="9"/>
  <c r="AL358" i="9"/>
  <c r="AL364" i="9"/>
  <c r="AL317" i="9"/>
  <c r="AL310" i="9"/>
  <c r="AL326" i="9"/>
  <c r="AL335" i="9"/>
  <c r="AL305" i="9"/>
  <c r="AL312" i="9"/>
  <c r="AL308" i="9"/>
  <c r="AL336" i="9"/>
  <c r="AL321" i="9"/>
  <c r="AL318" i="9"/>
  <c r="AL351" i="9"/>
  <c r="AL348" i="9"/>
  <c r="AL320" i="9"/>
  <c r="AL363" i="9"/>
  <c r="AL357" i="9"/>
  <c r="AL327" i="9"/>
  <c r="AL298" i="9"/>
  <c r="AL355" i="9"/>
  <c r="AL331" i="9"/>
  <c r="AL313" i="9"/>
  <c r="AL332" i="9"/>
  <c r="AL309" i="9"/>
  <c r="AL322" i="9"/>
  <c r="AL360" i="9"/>
  <c r="AL339" i="9"/>
  <c r="AL328" i="9"/>
  <c r="AL299" i="9"/>
  <c r="AL341" i="9"/>
  <c r="AL311" i="9"/>
  <c r="AL325" i="9"/>
  <c r="AL316" i="9"/>
  <c r="AL343" i="9"/>
  <c r="AL349" i="9"/>
  <c r="AL359" i="9"/>
  <c r="AL345" i="9"/>
  <c r="AL323" i="9"/>
  <c r="AL302" i="9"/>
  <c r="AL300" i="9"/>
  <c r="AK138" i="9"/>
  <c r="AK140" i="9"/>
  <c r="AK139" i="9"/>
  <c r="AK137" i="9"/>
  <c r="AK143" i="9"/>
  <c r="AK136" i="9"/>
  <c r="AK141" i="9"/>
  <c r="AK144" i="9"/>
  <c r="AK142" i="9"/>
  <c r="AK128" i="9"/>
  <c r="AK134" i="9"/>
  <c r="AK129" i="9"/>
  <c r="AK133" i="9"/>
  <c r="AK132" i="9"/>
  <c r="AK130" i="9"/>
  <c r="AK131" i="9"/>
  <c r="AK135" i="9"/>
  <c r="BO63" i="23" l="1"/>
  <c r="BL287" i="27"/>
  <c r="AJ289" i="9"/>
  <c r="AJ312" i="9"/>
  <c r="AJ292" i="9"/>
  <c r="AJ249" i="9"/>
  <c r="AJ250" i="9"/>
  <c r="AJ242" i="9"/>
  <c r="AJ251" i="9"/>
  <c r="AJ244" i="9"/>
  <c r="AJ314" i="9"/>
  <c r="AJ308" i="9"/>
  <c r="AJ316" i="9"/>
  <c r="AJ320" i="9"/>
  <c r="AJ319" i="9"/>
  <c r="AJ303" i="9"/>
  <c r="AJ317" i="9"/>
  <c r="AJ304" i="9"/>
  <c r="AJ311" i="9"/>
  <c r="AJ228" i="9"/>
  <c r="AJ239" i="9"/>
  <c r="AJ238" i="9"/>
  <c r="AJ226" i="9"/>
  <c r="AJ231" i="9"/>
  <c r="AJ219" i="9"/>
  <c r="AJ213" i="9"/>
  <c r="AJ212" i="9"/>
  <c r="AJ223" i="9"/>
  <c r="AJ215" i="9"/>
  <c r="AJ220" i="9"/>
  <c r="AJ225" i="9"/>
  <c r="AJ222" i="9"/>
  <c r="AJ217" i="9"/>
  <c r="AJ218" i="9"/>
  <c r="AJ214" i="9"/>
  <c r="AJ216" i="9"/>
  <c r="AJ325" i="9"/>
  <c r="AJ340" i="9"/>
  <c r="AJ347" i="9"/>
  <c r="AJ321" i="9"/>
  <c r="AJ322" i="9"/>
  <c r="AJ331" i="9"/>
  <c r="AJ332" i="9"/>
  <c r="AJ327" i="9"/>
  <c r="AJ337" i="9"/>
  <c r="AJ344" i="9"/>
  <c r="AJ329" i="9"/>
  <c r="AJ336" i="9"/>
  <c r="AJ343" i="9"/>
  <c r="AJ342" i="9"/>
  <c r="AJ323" i="9"/>
  <c r="AJ339" i="9"/>
  <c r="AJ345" i="9"/>
  <c r="AJ326" i="9"/>
  <c r="AJ348" i="9"/>
  <c r="AJ330" i="9"/>
  <c r="AJ338" i="9"/>
  <c r="AJ324" i="9"/>
  <c r="AJ334" i="9"/>
  <c r="AJ296" i="9"/>
  <c r="AJ293" i="9"/>
  <c r="AJ290" i="9"/>
  <c r="AJ288" i="9"/>
  <c r="AJ279" i="9"/>
  <c r="AJ287" i="9"/>
  <c r="AJ276" i="9"/>
  <c r="AJ291" i="9"/>
  <c r="AJ294" i="9"/>
  <c r="AJ295" i="9"/>
  <c r="AJ265" i="9"/>
  <c r="AJ275" i="9"/>
  <c r="AJ267" i="9"/>
  <c r="AJ260" i="9"/>
  <c r="AJ272" i="9"/>
  <c r="AJ261" i="9"/>
  <c r="AJ268" i="9"/>
  <c r="AJ266" i="9"/>
  <c r="AJ271" i="9"/>
  <c r="AJ273" i="9"/>
  <c r="AJ259" i="9"/>
  <c r="AJ270" i="9"/>
  <c r="AJ264" i="9"/>
  <c r="AJ263" i="9"/>
  <c r="AJ269" i="9"/>
  <c r="AJ262" i="9"/>
  <c r="AJ352" i="9"/>
  <c r="AJ359" i="9"/>
  <c r="AJ355" i="9"/>
  <c r="AJ356" i="9"/>
  <c r="AJ349" i="9"/>
  <c r="AJ350" i="9"/>
  <c r="AJ364" i="9"/>
  <c r="AJ363" i="9"/>
  <c r="AJ361" i="9"/>
  <c r="AJ357" i="9"/>
  <c r="AJ351" i="9"/>
  <c r="AJ354" i="9"/>
  <c r="AJ353" i="9"/>
  <c r="AJ360" i="9"/>
  <c r="AJ362" i="9"/>
  <c r="AJ285" i="9"/>
  <c r="AJ315" i="9"/>
  <c r="AJ346" i="9"/>
  <c r="AJ277" i="9"/>
  <c r="AJ236" i="9"/>
  <c r="AJ341" i="9"/>
  <c r="AJ258" i="9"/>
  <c r="AJ224" i="9"/>
  <c r="AJ274" i="9"/>
  <c r="AJ240" i="9"/>
  <c r="AJ358" i="9"/>
  <c r="AJ305" i="9"/>
  <c r="AJ335" i="9"/>
  <c r="AJ333" i="9"/>
  <c r="AJ283" i="9"/>
  <c r="AJ280" i="9"/>
  <c r="AJ221" i="9"/>
  <c r="AJ211" i="9"/>
  <c r="AJ299" i="9"/>
  <c r="AJ328" i="9"/>
  <c r="AK186" i="9"/>
  <c r="AK184" i="9"/>
  <c r="AK178" i="9"/>
  <c r="AK181" i="9"/>
  <c r="AK180" i="9"/>
  <c r="AK189" i="9"/>
  <c r="AK182" i="9"/>
  <c r="AK188" i="9"/>
  <c r="AK179" i="9"/>
  <c r="AK187" i="9"/>
  <c r="AK183" i="9"/>
  <c r="AK185" i="9"/>
  <c r="AK177" i="9"/>
  <c r="AK168" i="9"/>
  <c r="AK169" i="9"/>
  <c r="AK167" i="9"/>
  <c r="AK171" i="9"/>
  <c r="AK174" i="9"/>
  <c r="AK172" i="9"/>
  <c r="AK176" i="9"/>
  <c r="AK170" i="9"/>
  <c r="AK175" i="9"/>
  <c r="AK166" i="9"/>
  <c r="AK173" i="9"/>
  <c r="AK198" i="9"/>
  <c r="AK190" i="9"/>
  <c r="AK201" i="9"/>
  <c r="AK202" i="9"/>
  <c r="AK193" i="9"/>
  <c r="AK199" i="9"/>
  <c r="AK196" i="9"/>
  <c r="AK194" i="9"/>
  <c r="AK200" i="9"/>
  <c r="AK195" i="9"/>
  <c r="AK197" i="9"/>
  <c r="AK192" i="9"/>
  <c r="AK191" i="9"/>
  <c r="AK218" i="9"/>
  <c r="AK206" i="9"/>
  <c r="AK209" i="9"/>
  <c r="AK217" i="9"/>
  <c r="AK208" i="9"/>
  <c r="AK204" i="9"/>
  <c r="AK219" i="9"/>
  <c r="AK214" i="9"/>
  <c r="AK220" i="9"/>
  <c r="AK205" i="9"/>
  <c r="AK213" i="9"/>
  <c r="AK210" i="9"/>
  <c r="AK203" i="9"/>
  <c r="AK215" i="9"/>
  <c r="AK212" i="9"/>
  <c r="AK207" i="9"/>
  <c r="AK211" i="9"/>
  <c r="AK216" i="9"/>
  <c r="AK278" i="9"/>
  <c r="AK284" i="9"/>
  <c r="AK331" i="9"/>
  <c r="AK321" i="9"/>
  <c r="AK254" i="9"/>
  <c r="AK293" i="9"/>
  <c r="AK301" i="9"/>
  <c r="AK326" i="9"/>
  <c r="AK266" i="9"/>
  <c r="AK276" i="9"/>
  <c r="AK272" i="9"/>
  <c r="AK327" i="9"/>
  <c r="AK303" i="9"/>
  <c r="AK261" i="9"/>
  <c r="AK315" i="9"/>
  <c r="AK312" i="9"/>
  <c r="AK265" i="9"/>
  <c r="AK324" i="9"/>
  <c r="AK281" i="9"/>
  <c r="AK298" i="9"/>
  <c r="AK290" i="9"/>
  <c r="AK297" i="9"/>
  <c r="AK289" i="9"/>
  <c r="AK258" i="9"/>
  <c r="AK309" i="9"/>
  <c r="AK320" i="9"/>
  <c r="AK318" i="9"/>
  <c r="AK270" i="9"/>
  <c r="AK323" i="9"/>
  <c r="AK317" i="9"/>
  <c r="AK273" i="9"/>
  <c r="AK250" i="9"/>
  <c r="AK319" i="9"/>
  <c r="AK288" i="9"/>
  <c r="AK313" i="9"/>
  <c r="AK304" i="9"/>
  <c r="AK306" i="9"/>
  <c r="AK255" i="9"/>
  <c r="AK296" i="9"/>
  <c r="AK305" i="9"/>
  <c r="AK287" i="9"/>
  <c r="AK299" i="9"/>
  <c r="AK314" i="9"/>
  <c r="AK262" i="9"/>
  <c r="AK283" i="9"/>
  <c r="AK302" i="9"/>
  <c r="AK279" i="9"/>
  <c r="AK307" i="9"/>
  <c r="AK310" i="9"/>
  <c r="AK280" i="9"/>
  <c r="AK286" i="9"/>
  <c r="AK257" i="9"/>
  <c r="AK275" i="9"/>
  <c r="AK322" i="9"/>
  <c r="AK277" i="9"/>
  <c r="AK291" i="9"/>
  <c r="AK329" i="9"/>
  <c r="AK249" i="9"/>
  <c r="AK330" i="9"/>
  <c r="AK295" i="9"/>
  <c r="AK259" i="9"/>
  <c r="AK268" i="9"/>
  <c r="AK271" i="9"/>
  <c r="AK251" i="9"/>
  <c r="AK256" i="9"/>
  <c r="AK260" i="9"/>
  <c r="AK263" i="9"/>
  <c r="AK300" i="9"/>
  <c r="AK252" i="9"/>
  <c r="AK311" i="9"/>
  <c r="AK328" i="9"/>
  <c r="AK274" i="9"/>
  <c r="AK282" i="9"/>
  <c r="AK285" i="9"/>
  <c r="AK253" i="9"/>
  <c r="AK294" i="9"/>
  <c r="AK269" i="9"/>
  <c r="AK308" i="9"/>
  <c r="AK325" i="9"/>
  <c r="AK332" i="9"/>
  <c r="AK292" i="9"/>
  <c r="AK267" i="9"/>
  <c r="AK316" i="9"/>
  <c r="AK264" i="9"/>
  <c r="AK339" i="9"/>
  <c r="AK356" i="9"/>
  <c r="AK352" i="9"/>
  <c r="AK357" i="9"/>
  <c r="AK335" i="9"/>
  <c r="AK349" i="9"/>
  <c r="AK334" i="9"/>
  <c r="AK340" i="9"/>
  <c r="AK336" i="9"/>
  <c r="AK361" i="9"/>
  <c r="AK345" i="9"/>
  <c r="AK363" i="9"/>
  <c r="AK348" i="9"/>
  <c r="AK354" i="9"/>
  <c r="AK333" i="9"/>
  <c r="AK358" i="9"/>
  <c r="AK341" i="9"/>
  <c r="AK351" i="9"/>
  <c r="AK342" i="9"/>
  <c r="AK355" i="9"/>
  <c r="AK337" i="9"/>
  <c r="AK353" i="9"/>
  <c r="AK360" i="9"/>
  <c r="AK343" i="9"/>
  <c r="AK362" i="9"/>
  <c r="AK338" i="9"/>
  <c r="AK344" i="9"/>
  <c r="AK359" i="9"/>
  <c r="AK364" i="9"/>
  <c r="AK346" i="9"/>
  <c r="AK350" i="9"/>
  <c r="AK347" i="9"/>
  <c r="AK246" i="9"/>
  <c r="AK244" i="9"/>
  <c r="AK241" i="9"/>
  <c r="AK248" i="9"/>
  <c r="AK234" i="9"/>
  <c r="AK231" i="9"/>
  <c r="AK225" i="9"/>
  <c r="AK222" i="9"/>
  <c r="AK247" i="9"/>
  <c r="AK226" i="9"/>
  <c r="AK228" i="9"/>
  <c r="AK223" i="9"/>
  <c r="AK237" i="9"/>
  <c r="AK227" i="9"/>
  <c r="AK238" i="9"/>
  <c r="AK245" i="9"/>
  <c r="AK239" i="9"/>
  <c r="AK230" i="9"/>
  <c r="AK236" i="9"/>
  <c r="AK235" i="9"/>
  <c r="AK233" i="9"/>
  <c r="AK242" i="9"/>
  <c r="AK243" i="9"/>
  <c r="AK240" i="9"/>
  <c r="AK221" i="9"/>
  <c r="AK224" i="9"/>
  <c r="AK229" i="9"/>
  <c r="AK232" i="9"/>
  <c r="AK156" i="9"/>
  <c r="AK163" i="9"/>
  <c r="AK161" i="9"/>
  <c r="AK158" i="9"/>
  <c r="AK157" i="9"/>
  <c r="AK155" i="9"/>
  <c r="AK164" i="9"/>
  <c r="AK162" i="9"/>
  <c r="AK165" i="9"/>
  <c r="AK159" i="9"/>
  <c r="AK160" i="9"/>
  <c r="AK146" i="9"/>
  <c r="AK150" i="9"/>
  <c r="AK147" i="9"/>
  <c r="AK152" i="9"/>
  <c r="AK149" i="9"/>
  <c r="AK154" i="9"/>
  <c r="AK145" i="9"/>
  <c r="AK153" i="9"/>
  <c r="AK148" i="9"/>
  <c r="AK151" i="9"/>
  <c r="BO61" i="23" l="1"/>
  <c r="BO53" i="23"/>
  <c r="BO44" i="23"/>
  <c r="BO62" i="23"/>
  <c r="BO52" i="23"/>
  <c r="BL288" i="27"/>
  <c r="AJ298" i="9"/>
  <c r="AJ230" i="9"/>
  <c r="AJ252" i="9"/>
  <c r="AJ235" i="9"/>
  <c r="AJ310" i="9"/>
  <c r="AJ246" i="9"/>
  <c r="AJ309" i="9"/>
  <c r="AJ243" i="9"/>
  <c r="AJ248" i="9"/>
  <c r="AJ281" i="9"/>
  <c r="AJ229" i="9"/>
  <c r="AJ227" i="9"/>
  <c r="AJ313" i="9"/>
  <c r="AJ278" i="9"/>
  <c r="AJ284" i="9"/>
  <c r="AJ255" i="9"/>
  <c r="AJ233" i="9"/>
  <c r="AJ286" i="9"/>
  <c r="AJ302" i="9"/>
  <c r="AJ257" i="9"/>
  <c r="AJ306" i="9"/>
  <c r="AJ247" i="9"/>
  <c r="AJ241" i="9"/>
  <c r="AJ300" i="9"/>
  <c r="AJ237" i="9"/>
  <c r="AJ297" i="9"/>
  <c r="AJ254" i="9"/>
  <c r="AJ234" i="9"/>
  <c r="AJ301" i="9"/>
  <c r="AJ256" i="9"/>
  <c r="AJ245" i="9"/>
  <c r="AJ318" i="9"/>
  <c r="AJ232" i="9"/>
  <c r="AJ307" i="9"/>
  <c r="AJ282" i="9"/>
  <c r="AJ253" i="9"/>
  <c r="BL289" i="27" l="1"/>
  <c r="AI124" i="9"/>
  <c r="AI125" i="9"/>
  <c r="AI126" i="9"/>
  <c r="AI127" i="9"/>
  <c r="AI128" i="9"/>
  <c r="AI129" i="9"/>
  <c r="AI130" i="9"/>
  <c r="AI131" i="9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184" i="9"/>
  <c r="AI185" i="9"/>
  <c r="AI186" i="9"/>
  <c r="AI187" i="9"/>
  <c r="AI188" i="9"/>
  <c r="AI189" i="9"/>
  <c r="AI190" i="9"/>
  <c r="AI191" i="9"/>
  <c r="AI192" i="9"/>
  <c r="AI193" i="9"/>
  <c r="AI194" i="9"/>
  <c r="AI195" i="9"/>
  <c r="AI196" i="9"/>
  <c r="AI197" i="9"/>
  <c r="AI198" i="9"/>
  <c r="AI199" i="9"/>
  <c r="AI200" i="9"/>
  <c r="AI201" i="9"/>
  <c r="AI202" i="9"/>
  <c r="AI203" i="9"/>
  <c r="AI204" i="9"/>
  <c r="AI205" i="9"/>
  <c r="AI206" i="9"/>
  <c r="AI207" i="9"/>
  <c r="AI208" i="9"/>
  <c r="AI209" i="9"/>
  <c r="AI210" i="9"/>
  <c r="AI211" i="9"/>
  <c r="AI212" i="9"/>
  <c r="AI213" i="9"/>
  <c r="AI214" i="9"/>
  <c r="AI215" i="9"/>
  <c r="AI216" i="9"/>
  <c r="AI217" i="9"/>
  <c r="AI218" i="9"/>
  <c r="AI219" i="9"/>
  <c r="AI220" i="9"/>
  <c r="AI221" i="9"/>
  <c r="AI222" i="9"/>
  <c r="AI223" i="9"/>
  <c r="AI224" i="9"/>
  <c r="AI225" i="9"/>
  <c r="AI226" i="9"/>
  <c r="AI227" i="9"/>
  <c r="AI228" i="9"/>
  <c r="AI229" i="9"/>
  <c r="AI230" i="9"/>
  <c r="AI231" i="9"/>
  <c r="AI232" i="9"/>
  <c r="AI233" i="9"/>
  <c r="AI234" i="9"/>
  <c r="AI235" i="9"/>
  <c r="AI236" i="9"/>
  <c r="AI237" i="9"/>
  <c r="AI238" i="9"/>
  <c r="AI239" i="9"/>
  <c r="AI240" i="9"/>
  <c r="AI241" i="9"/>
  <c r="AI242" i="9"/>
  <c r="AI243" i="9"/>
  <c r="AI244" i="9"/>
  <c r="AI245" i="9"/>
  <c r="AI246" i="9"/>
  <c r="AI247" i="9"/>
  <c r="AI248" i="9"/>
  <c r="AI249" i="9"/>
  <c r="AI250" i="9"/>
  <c r="AI251" i="9"/>
  <c r="AI252" i="9"/>
  <c r="AI253" i="9"/>
  <c r="AI254" i="9"/>
  <c r="AI255" i="9"/>
  <c r="AI256" i="9"/>
  <c r="AI257" i="9"/>
  <c r="AI258" i="9"/>
  <c r="AI259" i="9"/>
  <c r="AI260" i="9"/>
  <c r="AI261" i="9"/>
  <c r="AI262" i="9"/>
  <c r="AI263" i="9"/>
  <c r="AI264" i="9"/>
  <c r="AI265" i="9"/>
  <c r="AI266" i="9"/>
  <c r="AI267" i="9"/>
  <c r="AI268" i="9"/>
  <c r="AI269" i="9"/>
  <c r="AI270" i="9"/>
  <c r="AI271" i="9"/>
  <c r="AI272" i="9"/>
  <c r="AI273" i="9"/>
  <c r="AI274" i="9"/>
  <c r="AI275" i="9"/>
  <c r="AI276" i="9"/>
  <c r="AI277" i="9"/>
  <c r="AI278" i="9"/>
  <c r="AI279" i="9"/>
  <c r="AI280" i="9"/>
  <c r="AI281" i="9"/>
  <c r="AI282" i="9"/>
  <c r="AI283" i="9"/>
  <c r="AI284" i="9"/>
  <c r="AI285" i="9"/>
  <c r="AI286" i="9"/>
  <c r="AI287" i="9"/>
  <c r="AI288" i="9"/>
  <c r="AI289" i="9"/>
  <c r="AI290" i="9"/>
  <c r="AI291" i="9"/>
  <c r="AI292" i="9"/>
  <c r="AI293" i="9"/>
  <c r="AI294" i="9"/>
  <c r="AI295" i="9"/>
  <c r="AI296" i="9"/>
  <c r="AI297" i="9"/>
  <c r="AI298" i="9"/>
  <c r="AI299" i="9"/>
  <c r="AI300" i="9"/>
  <c r="AI301" i="9"/>
  <c r="AI302" i="9"/>
  <c r="AI303" i="9"/>
  <c r="AI304" i="9"/>
  <c r="AI305" i="9"/>
  <c r="AI306" i="9"/>
  <c r="AI307" i="9"/>
  <c r="AI308" i="9"/>
  <c r="AI309" i="9"/>
  <c r="AI310" i="9"/>
  <c r="AI311" i="9"/>
  <c r="AI312" i="9"/>
  <c r="AI313" i="9"/>
  <c r="AI314" i="9"/>
  <c r="AI315" i="9"/>
  <c r="AI316" i="9"/>
  <c r="AI317" i="9"/>
  <c r="AI318" i="9"/>
  <c r="AI319" i="9"/>
  <c r="AI320" i="9"/>
  <c r="AI321" i="9"/>
  <c r="AI322" i="9"/>
  <c r="AI323" i="9"/>
  <c r="AI324" i="9"/>
  <c r="AI325" i="9"/>
  <c r="AI326" i="9"/>
  <c r="AI327" i="9"/>
  <c r="AI328" i="9"/>
  <c r="AI329" i="9"/>
  <c r="AI330" i="9"/>
  <c r="AI331" i="9"/>
  <c r="AI332" i="9"/>
  <c r="AI333" i="9"/>
  <c r="AI334" i="9"/>
  <c r="AI335" i="9"/>
  <c r="AI336" i="9"/>
  <c r="AI337" i="9"/>
  <c r="AI338" i="9"/>
  <c r="AI339" i="9"/>
  <c r="AI340" i="9"/>
  <c r="AI341" i="9"/>
  <c r="AI342" i="9"/>
  <c r="AI343" i="9"/>
  <c r="AI344" i="9"/>
  <c r="AI345" i="9"/>
  <c r="AI346" i="9"/>
  <c r="AI347" i="9"/>
  <c r="AI348" i="9"/>
  <c r="AI349" i="9"/>
  <c r="AI350" i="9"/>
  <c r="AI351" i="9"/>
  <c r="AI352" i="9"/>
  <c r="AI353" i="9"/>
  <c r="AI354" i="9"/>
  <c r="AI355" i="9"/>
  <c r="AI356" i="9"/>
  <c r="AI357" i="9"/>
  <c r="AI358" i="9"/>
  <c r="AI359" i="9"/>
  <c r="AI360" i="9"/>
  <c r="AI361" i="9"/>
  <c r="AI362" i="9"/>
  <c r="AI363" i="9"/>
  <c r="AI364" i="9"/>
  <c r="AI123" i="9"/>
  <c r="BO60" i="23" l="1"/>
  <c r="BO51" i="23"/>
  <c r="BO42" i="23"/>
  <c r="BL290" i="27"/>
  <c r="F115" i="6"/>
  <c r="AD117" i="29" l="1"/>
  <c r="BK119" i="28"/>
  <c r="CL119" i="28"/>
  <c r="AL119" i="28"/>
  <c r="AB119" i="28"/>
  <c r="W119" i="28"/>
  <c r="Y117" i="29"/>
  <c r="T117" i="29"/>
  <c r="AY117" i="29"/>
  <c r="AG119" i="28"/>
  <c r="CG119" i="28"/>
  <c r="BF119" i="28"/>
  <c r="BL291" i="27"/>
  <c r="AA64" i="6"/>
  <c r="AB64" i="6"/>
  <c r="AC64" i="6"/>
  <c r="AD64" i="6"/>
  <c r="AE64" i="6"/>
  <c r="AH64" i="6"/>
  <c r="AI64" i="6"/>
  <c r="AJ64" i="6"/>
  <c r="AK64" i="6"/>
  <c r="AL64" i="6"/>
  <c r="AA65" i="6"/>
  <c r="AB65" i="6"/>
  <c r="AC65" i="6"/>
  <c r="AD65" i="6"/>
  <c r="AE65" i="6"/>
  <c r="AH65" i="6"/>
  <c r="AI65" i="6"/>
  <c r="AJ65" i="6"/>
  <c r="AK65" i="6"/>
  <c r="AL65" i="6"/>
  <c r="AA66" i="6"/>
  <c r="AB66" i="6"/>
  <c r="AC66" i="6"/>
  <c r="AD66" i="6"/>
  <c r="AE66" i="6"/>
  <c r="AH66" i="6"/>
  <c r="AI66" i="6"/>
  <c r="AJ66" i="6"/>
  <c r="AK66" i="6"/>
  <c r="AL66" i="6"/>
  <c r="AA67" i="6"/>
  <c r="AB67" i="6"/>
  <c r="AC67" i="6"/>
  <c r="AD67" i="6"/>
  <c r="AE67" i="6"/>
  <c r="AH67" i="6"/>
  <c r="AI67" i="6"/>
  <c r="AJ67" i="6"/>
  <c r="AK67" i="6"/>
  <c r="AL67" i="6"/>
  <c r="AA68" i="6"/>
  <c r="AB68" i="6"/>
  <c r="AC68" i="6"/>
  <c r="AD68" i="6"/>
  <c r="AE68" i="6"/>
  <c r="AH68" i="6"/>
  <c r="AI68" i="6"/>
  <c r="AJ68" i="6"/>
  <c r="AK68" i="6"/>
  <c r="AL68" i="6"/>
  <c r="AA69" i="6"/>
  <c r="AB69" i="6"/>
  <c r="AC69" i="6"/>
  <c r="AD69" i="6"/>
  <c r="AE69" i="6"/>
  <c r="AH69" i="6"/>
  <c r="AI69" i="6"/>
  <c r="AJ69" i="6"/>
  <c r="AK69" i="6"/>
  <c r="AL69" i="6"/>
  <c r="AA70" i="6"/>
  <c r="AB70" i="6"/>
  <c r="AC70" i="6"/>
  <c r="AD70" i="6"/>
  <c r="AE70" i="6"/>
  <c r="AH70" i="6"/>
  <c r="AI70" i="6"/>
  <c r="AJ70" i="6"/>
  <c r="AK70" i="6"/>
  <c r="AL70" i="6"/>
  <c r="AA71" i="6"/>
  <c r="AB71" i="6"/>
  <c r="AC71" i="6"/>
  <c r="AD71" i="6"/>
  <c r="AE71" i="6"/>
  <c r="AH71" i="6"/>
  <c r="AI71" i="6"/>
  <c r="AJ71" i="6"/>
  <c r="AK71" i="6"/>
  <c r="AL71" i="6"/>
  <c r="AA72" i="6"/>
  <c r="AB72" i="6"/>
  <c r="AC72" i="6"/>
  <c r="AD72" i="6"/>
  <c r="AE72" i="6"/>
  <c r="AH72" i="6"/>
  <c r="AI72" i="6"/>
  <c r="AJ72" i="6"/>
  <c r="AK72" i="6"/>
  <c r="AL72" i="6"/>
  <c r="AA73" i="6"/>
  <c r="AB73" i="6"/>
  <c r="AC73" i="6"/>
  <c r="AD73" i="6"/>
  <c r="AE73" i="6"/>
  <c r="AH73" i="6"/>
  <c r="AI73" i="6"/>
  <c r="AJ73" i="6"/>
  <c r="AK73" i="6"/>
  <c r="AL73" i="6"/>
  <c r="AA74" i="6"/>
  <c r="AB74" i="6"/>
  <c r="AC74" i="6"/>
  <c r="AD74" i="6"/>
  <c r="AE74" i="6"/>
  <c r="AH74" i="6"/>
  <c r="AI74" i="6"/>
  <c r="AJ74" i="6"/>
  <c r="AK74" i="6"/>
  <c r="AL74" i="6"/>
  <c r="AA75" i="6"/>
  <c r="AB75" i="6"/>
  <c r="AC75" i="6"/>
  <c r="AD75" i="6"/>
  <c r="AE75" i="6"/>
  <c r="AH75" i="6"/>
  <c r="AI75" i="6"/>
  <c r="AJ75" i="6"/>
  <c r="AK75" i="6"/>
  <c r="AL75" i="6"/>
  <c r="AA76" i="6"/>
  <c r="AB76" i="6"/>
  <c r="AC76" i="6"/>
  <c r="AD76" i="6"/>
  <c r="AE76" i="6"/>
  <c r="AH76" i="6"/>
  <c r="AI76" i="6"/>
  <c r="AJ76" i="6"/>
  <c r="AK76" i="6"/>
  <c r="AL76" i="6"/>
  <c r="AA77" i="6"/>
  <c r="AB77" i="6"/>
  <c r="AC77" i="6"/>
  <c r="AD77" i="6"/>
  <c r="AE77" i="6"/>
  <c r="AH77" i="6"/>
  <c r="AI77" i="6"/>
  <c r="AJ77" i="6"/>
  <c r="AK77" i="6"/>
  <c r="AL77" i="6"/>
  <c r="AA78" i="6"/>
  <c r="AB78" i="6"/>
  <c r="AC78" i="6"/>
  <c r="AD78" i="6"/>
  <c r="AE78" i="6"/>
  <c r="AH78" i="6"/>
  <c r="AI78" i="6"/>
  <c r="AJ78" i="6"/>
  <c r="AK78" i="6"/>
  <c r="AL78" i="6"/>
  <c r="AA79" i="6"/>
  <c r="AB79" i="6"/>
  <c r="AC79" i="6"/>
  <c r="AD79" i="6"/>
  <c r="AE79" i="6"/>
  <c r="AH79" i="6"/>
  <c r="AI79" i="6"/>
  <c r="AJ79" i="6"/>
  <c r="AK79" i="6"/>
  <c r="AL79" i="6"/>
  <c r="AA80" i="6"/>
  <c r="AB80" i="6"/>
  <c r="AC80" i="6"/>
  <c r="AD80" i="6"/>
  <c r="AE80" i="6"/>
  <c r="AH80" i="6"/>
  <c r="AI80" i="6"/>
  <c r="AJ80" i="6"/>
  <c r="AK80" i="6"/>
  <c r="AL80" i="6"/>
  <c r="AA81" i="6"/>
  <c r="AB81" i="6"/>
  <c r="AC81" i="6"/>
  <c r="AD81" i="6"/>
  <c r="AE81" i="6"/>
  <c r="AH81" i="6"/>
  <c r="AI81" i="6"/>
  <c r="AJ81" i="6"/>
  <c r="AK81" i="6"/>
  <c r="AL81" i="6"/>
  <c r="AA82" i="6"/>
  <c r="AB82" i="6"/>
  <c r="AC82" i="6"/>
  <c r="AD82" i="6"/>
  <c r="AE82" i="6"/>
  <c r="AH82" i="6"/>
  <c r="AI82" i="6"/>
  <c r="AJ82" i="6"/>
  <c r="AK82" i="6"/>
  <c r="AL82" i="6"/>
  <c r="AA83" i="6"/>
  <c r="AB83" i="6"/>
  <c r="AC83" i="6"/>
  <c r="AD83" i="6"/>
  <c r="AE83" i="6"/>
  <c r="AH83" i="6"/>
  <c r="AI83" i="6"/>
  <c r="AJ83" i="6"/>
  <c r="AK83" i="6"/>
  <c r="AL83" i="6"/>
  <c r="AA54" i="6"/>
  <c r="AB54" i="6"/>
  <c r="AC54" i="6"/>
  <c r="AD54" i="6"/>
  <c r="AE54" i="6"/>
  <c r="AH54" i="6"/>
  <c r="AI54" i="6"/>
  <c r="AJ54" i="6"/>
  <c r="AK54" i="6"/>
  <c r="AL54" i="6"/>
  <c r="AA55" i="6"/>
  <c r="AB55" i="6"/>
  <c r="AC55" i="6"/>
  <c r="AD55" i="6"/>
  <c r="AE55" i="6"/>
  <c r="AH55" i="6"/>
  <c r="AI55" i="6"/>
  <c r="AJ55" i="6"/>
  <c r="AK55" i="6"/>
  <c r="AL55" i="6"/>
  <c r="AA56" i="6"/>
  <c r="AB56" i="6"/>
  <c r="AC56" i="6"/>
  <c r="AD56" i="6"/>
  <c r="AE56" i="6"/>
  <c r="AH56" i="6"/>
  <c r="AI56" i="6"/>
  <c r="AJ56" i="6"/>
  <c r="AK56" i="6"/>
  <c r="AL56" i="6"/>
  <c r="AA57" i="6"/>
  <c r="AB57" i="6"/>
  <c r="AC57" i="6"/>
  <c r="AD57" i="6"/>
  <c r="AE57" i="6"/>
  <c r="AH57" i="6"/>
  <c r="AI57" i="6"/>
  <c r="AJ57" i="6"/>
  <c r="AK57" i="6"/>
  <c r="AL57" i="6"/>
  <c r="AA58" i="6"/>
  <c r="AB58" i="6"/>
  <c r="AC58" i="6"/>
  <c r="AD58" i="6"/>
  <c r="AE58" i="6"/>
  <c r="AH58" i="6"/>
  <c r="AI58" i="6"/>
  <c r="AJ58" i="6"/>
  <c r="AK58" i="6"/>
  <c r="AL58" i="6"/>
  <c r="AA59" i="6"/>
  <c r="AB59" i="6"/>
  <c r="AC59" i="6"/>
  <c r="AD59" i="6"/>
  <c r="AE59" i="6"/>
  <c r="AH59" i="6"/>
  <c r="AI59" i="6"/>
  <c r="AJ59" i="6"/>
  <c r="AK59" i="6"/>
  <c r="AL59" i="6"/>
  <c r="AA60" i="6"/>
  <c r="AB60" i="6"/>
  <c r="AC60" i="6"/>
  <c r="AD60" i="6"/>
  <c r="AE60" i="6"/>
  <c r="AH60" i="6"/>
  <c r="AI60" i="6"/>
  <c r="AJ60" i="6"/>
  <c r="AK60" i="6"/>
  <c r="AL60" i="6"/>
  <c r="AA61" i="6"/>
  <c r="AB61" i="6"/>
  <c r="AC61" i="6"/>
  <c r="AD61" i="6"/>
  <c r="AE61" i="6"/>
  <c r="AH61" i="6"/>
  <c r="AI61" i="6"/>
  <c r="AJ61" i="6"/>
  <c r="AK61" i="6"/>
  <c r="AL61" i="6"/>
  <c r="AA62" i="6"/>
  <c r="AB62" i="6"/>
  <c r="AC62" i="6"/>
  <c r="AD62" i="6"/>
  <c r="AE62" i="6"/>
  <c r="AH62" i="6"/>
  <c r="AI62" i="6"/>
  <c r="AJ62" i="6"/>
  <c r="AK62" i="6"/>
  <c r="AL62" i="6"/>
  <c r="AA63" i="6"/>
  <c r="AB63" i="6"/>
  <c r="AC63" i="6"/>
  <c r="AD63" i="6"/>
  <c r="AE63" i="6"/>
  <c r="AH63" i="6"/>
  <c r="AI63" i="6"/>
  <c r="AJ63" i="6"/>
  <c r="AK63" i="6"/>
  <c r="AL63" i="6"/>
  <c r="B114" i="6"/>
  <c r="D114" i="6"/>
  <c r="E114" i="6"/>
  <c r="F114" i="6"/>
  <c r="G114" i="6"/>
  <c r="H114" i="6"/>
  <c r="K114" i="6"/>
  <c r="L114" i="6"/>
  <c r="M114" i="6"/>
  <c r="N114" i="6"/>
  <c r="O114" i="6"/>
  <c r="B115" i="6"/>
  <c r="D115" i="6"/>
  <c r="E115" i="6"/>
  <c r="G115" i="6"/>
  <c r="H115" i="6"/>
  <c r="K115" i="6"/>
  <c r="L115" i="6"/>
  <c r="M115" i="6"/>
  <c r="N115" i="6"/>
  <c r="O115" i="6"/>
  <c r="B116" i="6"/>
  <c r="D116" i="6"/>
  <c r="E116" i="6"/>
  <c r="F116" i="6"/>
  <c r="G116" i="6"/>
  <c r="H116" i="6"/>
  <c r="K116" i="6"/>
  <c r="L116" i="6"/>
  <c r="M116" i="6"/>
  <c r="N116" i="6"/>
  <c r="O116" i="6"/>
  <c r="B117" i="6"/>
  <c r="D117" i="6"/>
  <c r="E117" i="6"/>
  <c r="F117" i="6"/>
  <c r="G117" i="6"/>
  <c r="H117" i="6"/>
  <c r="K117" i="6"/>
  <c r="L117" i="6"/>
  <c r="M117" i="6"/>
  <c r="N117" i="6"/>
  <c r="O117" i="6"/>
  <c r="B118" i="6"/>
  <c r="D118" i="6"/>
  <c r="E118" i="6"/>
  <c r="F118" i="6"/>
  <c r="G118" i="6"/>
  <c r="H118" i="6"/>
  <c r="K118" i="6"/>
  <c r="L118" i="6"/>
  <c r="M118" i="6"/>
  <c r="N118" i="6"/>
  <c r="O118" i="6"/>
  <c r="B119" i="6"/>
  <c r="D119" i="6"/>
  <c r="E119" i="6"/>
  <c r="F119" i="6"/>
  <c r="G119" i="6"/>
  <c r="H119" i="6"/>
  <c r="K119" i="6"/>
  <c r="L119" i="6"/>
  <c r="M119" i="6"/>
  <c r="N119" i="6"/>
  <c r="O119" i="6"/>
  <c r="B120" i="6"/>
  <c r="D120" i="6"/>
  <c r="E120" i="6"/>
  <c r="F120" i="6"/>
  <c r="G120" i="6"/>
  <c r="H120" i="6"/>
  <c r="K120" i="6"/>
  <c r="L120" i="6"/>
  <c r="M120" i="6"/>
  <c r="N120" i="6"/>
  <c r="O120" i="6"/>
  <c r="B121" i="6"/>
  <c r="D121" i="6"/>
  <c r="E121" i="6"/>
  <c r="F121" i="6"/>
  <c r="G121" i="6"/>
  <c r="H121" i="6"/>
  <c r="K121" i="6"/>
  <c r="L121" i="6"/>
  <c r="M121" i="6"/>
  <c r="N121" i="6"/>
  <c r="O121" i="6"/>
  <c r="B122" i="6"/>
  <c r="D122" i="6"/>
  <c r="E122" i="6"/>
  <c r="F122" i="6"/>
  <c r="G122" i="6"/>
  <c r="H122" i="6"/>
  <c r="K122" i="6"/>
  <c r="L122" i="6"/>
  <c r="M122" i="6"/>
  <c r="N122" i="6"/>
  <c r="O122" i="6"/>
  <c r="B123" i="6"/>
  <c r="D123" i="6"/>
  <c r="E123" i="6"/>
  <c r="F123" i="6"/>
  <c r="G123" i="6"/>
  <c r="H123" i="6"/>
  <c r="K123" i="6"/>
  <c r="L123" i="6"/>
  <c r="M123" i="6"/>
  <c r="N123" i="6"/>
  <c r="O123" i="6"/>
  <c r="B124" i="6"/>
  <c r="D124" i="6"/>
  <c r="E124" i="6"/>
  <c r="F124" i="6"/>
  <c r="G124" i="6"/>
  <c r="H124" i="6"/>
  <c r="K124" i="6"/>
  <c r="L124" i="6"/>
  <c r="M124" i="6"/>
  <c r="N124" i="6"/>
  <c r="O124" i="6"/>
  <c r="B125" i="6"/>
  <c r="D125" i="6"/>
  <c r="E125" i="6"/>
  <c r="F125" i="6"/>
  <c r="G125" i="6"/>
  <c r="H125" i="6"/>
  <c r="K125" i="6"/>
  <c r="L125" i="6"/>
  <c r="M125" i="6"/>
  <c r="N125" i="6"/>
  <c r="O125" i="6"/>
  <c r="B126" i="6"/>
  <c r="D126" i="6"/>
  <c r="E126" i="6"/>
  <c r="F126" i="6"/>
  <c r="G126" i="6"/>
  <c r="H126" i="6"/>
  <c r="K126" i="6"/>
  <c r="L126" i="6"/>
  <c r="M126" i="6"/>
  <c r="N126" i="6"/>
  <c r="O126" i="6"/>
  <c r="B127" i="6"/>
  <c r="D127" i="6"/>
  <c r="E127" i="6"/>
  <c r="F127" i="6"/>
  <c r="G127" i="6"/>
  <c r="H127" i="6"/>
  <c r="K127" i="6"/>
  <c r="L127" i="6"/>
  <c r="M127" i="6"/>
  <c r="N127" i="6"/>
  <c r="O127" i="6"/>
  <c r="B128" i="6"/>
  <c r="D128" i="6"/>
  <c r="E128" i="6"/>
  <c r="F128" i="6"/>
  <c r="G128" i="6"/>
  <c r="H128" i="6"/>
  <c r="K128" i="6"/>
  <c r="L128" i="6"/>
  <c r="M128" i="6"/>
  <c r="N128" i="6"/>
  <c r="O128" i="6"/>
  <c r="B129" i="6"/>
  <c r="D129" i="6"/>
  <c r="E129" i="6"/>
  <c r="F129" i="6"/>
  <c r="G129" i="6"/>
  <c r="H129" i="6"/>
  <c r="K129" i="6"/>
  <c r="L129" i="6"/>
  <c r="M129" i="6"/>
  <c r="N129" i="6"/>
  <c r="O129" i="6"/>
  <c r="B130" i="6"/>
  <c r="D130" i="6"/>
  <c r="E130" i="6"/>
  <c r="F130" i="6"/>
  <c r="G130" i="6"/>
  <c r="H130" i="6"/>
  <c r="K130" i="6"/>
  <c r="L130" i="6"/>
  <c r="M130" i="6"/>
  <c r="N130" i="6"/>
  <c r="O130" i="6"/>
  <c r="B131" i="6"/>
  <c r="D131" i="6"/>
  <c r="E131" i="6"/>
  <c r="F131" i="6"/>
  <c r="G131" i="6"/>
  <c r="H131" i="6"/>
  <c r="K131" i="6"/>
  <c r="L131" i="6"/>
  <c r="M131" i="6"/>
  <c r="N131" i="6"/>
  <c r="O131" i="6"/>
  <c r="B132" i="6"/>
  <c r="D132" i="6"/>
  <c r="E132" i="6"/>
  <c r="F132" i="6"/>
  <c r="G132" i="6"/>
  <c r="H132" i="6"/>
  <c r="K132" i="6"/>
  <c r="L132" i="6"/>
  <c r="M132" i="6"/>
  <c r="N132" i="6"/>
  <c r="O132" i="6"/>
  <c r="B133" i="6"/>
  <c r="D133" i="6"/>
  <c r="E133" i="6"/>
  <c r="F133" i="6"/>
  <c r="G133" i="6"/>
  <c r="H133" i="6"/>
  <c r="K133" i="6"/>
  <c r="L133" i="6"/>
  <c r="M133" i="6"/>
  <c r="N133" i="6"/>
  <c r="O133" i="6"/>
  <c r="B134" i="6"/>
  <c r="D134" i="6"/>
  <c r="E134" i="6"/>
  <c r="F134" i="6"/>
  <c r="G134" i="6"/>
  <c r="H134" i="6"/>
  <c r="K134" i="6"/>
  <c r="L134" i="6"/>
  <c r="M134" i="6"/>
  <c r="N134" i="6"/>
  <c r="O134" i="6"/>
  <c r="B135" i="6"/>
  <c r="D135" i="6"/>
  <c r="E135" i="6"/>
  <c r="F135" i="6"/>
  <c r="G135" i="6"/>
  <c r="H135" i="6"/>
  <c r="K135" i="6"/>
  <c r="L135" i="6"/>
  <c r="M135" i="6"/>
  <c r="N135" i="6"/>
  <c r="O135" i="6"/>
  <c r="B136" i="6"/>
  <c r="D136" i="6"/>
  <c r="E136" i="6"/>
  <c r="F136" i="6"/>
  <c r="G136" i="6"/>
  <c r="H136" i="6"/>
  <c r="K136" i="6"/>
  <c r="L136" i="6"/>
  <c r="M136" i="6"/>
  <c r="N136" i="6"/>
  <c r="O136" i="6"/>
  <c r="B137" i="6"/>
  <c r="D137" i="6"/>
  <c r="E137" i="6"/>
  <c r="F137" i="6"/>
  <c r="G137" i="6"/>
  <c r="H137" i="6"/>
  <c r="K137" i="6"/>
  <c r="L137" i="6"/>
  <c r="M137" i="6"/>
  <c r="N137" i="6"/>
  <c r="O137" i="6"/>
  <c r="B138" i="6"/>
  <c r="D138" i="6"/>
  <c r="E138" i="6"/>
  <c r="F138" i="6"/>
  <c r="G138" i="6"/>
  <c r="H138" i="6"/>
  <c r="K138" i="6"/>
  <c r="L138" i="6"/>
  <c r="M138" i="6"/>
  <c r="N138" i="6"/>
  <c r="O138" i="6"/>
  <c r="B139" i="6"/>
  <c r="D139" i="6"/>
  <c r="E139" i="6"/>
  <c r="F139" i="6"/>
  <c r="G139" i="6"/>
  <c r="H139" i="6"/>
  <c r="K139" i="6"/>
  <c r="L139" i="6"/>
  <c r="M139" i="6"/>
  <c r="N139" i="6"/>
  <c r="O139" i="6"/>
  <c r="B140" i="6"/>
  <c r="D140" i="6"/>
  <c r="E140" i="6"/>
  <c r="F140" i="6"/>
  <c r="G140" i="6"/>
  <c r="H140" i="6"/>
  <c r="K140" i="6"/>
  <c r="L140" i="6"/>
  <c r="M140" i="6"/>
  <c r="N140" i="6"/>
  <c r="O140" i="6"/>
  <c r="B141" i="6"/>
  <c r="D141" i="6"/>
  <c r="E141" i="6"/>
  <c r="F141" i="6"/>
  <c r="G141" i="6"/>
  <c r="H141" i="6"/>
  <c r="K141" i="6"/>
  <c r="L141" i="6"/>
  <c r="M141" i="6"/>
  <c r="N141" i="6"/>
  <c r="O141" i="6"/>
  <c r="B142" i="6"/>
  <c r="D142" i="6"/>
  <c r="E142" i="6"/>
  <c r="F142" i="6"/>
  <c r="G142" i="6"/>
  <c r="H142" i="6"/>
  <c r="K142" i="6"/>
  <c r="L142" i="6"/>
  <c r="M142" i="6"/>
  <c r="N142" i="6"/>
  <c r="O142" i="6"/>
  <c r="B143" i="6"/>
  <c r="D143" i="6"/>
  <c r="E143" i="6"/>
  <c r="F143" i="6"/>
  <c r="G143" i="6"/>
  <c r="H143" i="6"/>
  <c r="K143" i="6"/>
  <c r="L143" i="6"/>
  <c r="M143" i="6"/>
  <c r="N143" i="6"/>
  <c r="O143" i="6"/>
  <c r="B144" i="6"/>
  <c r="D144" i="6"/>
  <c r="E144" i="6"/>
  <c r="F144" i="6"/>
  <c r="G144" i="6"/>
  <c r="H144" i="6"/>
  <c r="K144" i="6"/>
  <c r="L144" i="6"/>
  <c r="M144" i="6"/>
  <c r="N144" i="6"/>
  <c r="O144" i="6"/>
  <c r="B145" i="6"/>
  <c r="D145" i="6"/>
  <c r="E145" i="6"/>
  <c r="F145" i="6"/>
  <c r="G145" i="6"/>
  <c r="H145" i="6"/>
  <c r="K145" i="6"/>
  <c r="L145" i="6"/>
  <c r="M145" i="6"/>
  <c r="N145" i="6"/>
  <c r="O145" i="6"/>
  <c r="B146" i="6"/>
  <c r="D146" i="6"/>
  <c r="E146" i="6"/>
  <c r="F146" i="6"/>
  <c r="G146" i="6"/>
  <c r="H146" i="6"/>
  <c r="K146" i="6"/>
  <c r="L146" i="6"/>
  <c r="M146" i="6"/>
  <c r="N146" i="6"/>
  <c r="O146" i="6"/>
  <c r="B147" i="6"/>
  <c r="D147" i="6"/>
  <c r="E147" i="6"/>
  <c r="F147" i="6"/>
  <c r="G147" i="6"/>
  <c r="H147" i="6"/>
  <c r="K147" i="6"/>
  <c r="L147" i="6"/>
  <c r="M147" i="6"/>
  <c r="N147" i="6"/>
  <c r="O147" i="6"/>
  <c r="B148" i="6"/>
  <c r="D148" i="6"/>
  <c r="E148" i="6"/>
  <c r="F148" i="6"/>
  <c r="G148" i="6"/>
  <c r="H148" i="6"/>
  <c r="K148" i="6"/>
  <c r="L148" i="6"/>
  <c r="M148" i="6"/>
  <c r="N148" i="6"/>
  <c r="O148" i="6"/>
  <c r="B149" i="6"/>
  <c r="D149" i="6"/>
  <c r="E149" i="6"/>
  <c r="F149" i="6"/>
  <c r="G149" i="6"/>
  <c r="H149" i="6"/>
  <c r="K149" i="6"/>
  <c r="L149" i="6"/>
  <c r="M149" i="6"/>
  <c r="N149" i="6"/>
  <c r="O149" i="6"/>
  <c r="B150" i="6"/>
  <c r="D150" i="6"/>
  <c r="E150" i="6"/>
  <c r="F150" i="6"/>
  <c r="G150" i="6"/>
  <c r="H150" i="6"/>
  <c r="K150" i="6"/>
  <c r="L150" i="6"/>
  <c r="M150" i="6"/>
  <c r="N150" i="6"/>
  <c r="O150" i="6"/>
  <c r="B151" i="6"/>
  <c r="D151" i="6"/>
  <c r="E151" i="6"/>
  <c r="F151" i="6"/>
  <c r="G151" i="6"/>
  <c r="H151" i="6"/>
  <c r="K151" i="6"/>
  <c r="L151" i="6"/>
  <c r="M151" i="6"/>
  <c r="N151" i="6"/>
  <c r="O151" i="6"/>
  <c r="B152" i="6"/>
  <c r="D152" i="6"/>
  <c r="E152" i="6"/>
  <c r="F152" i="6"/>
  <c r="G152" i="6"/>
  <c r="H152" i="6"/>
  <c r="K152" i="6"/>
  <c r="L152" i="6"/>
  <c r="M152" i="6"/>
  <c r="N152" i="6"/>
  <c r="O152" i="6"/>
  <c r="B153" i="6"/>
  <c r="D153" i="6"/>
  <c r="E153" i="6"/>
  <c r="F153" i="6"/>
  <c r="G153" i="6"/>
  <c r="H153" i="6"/>
  <c r="K153" i="6"/>
  <c r="L153" i="6"/>
  <c r="M153" i="6"/>
  <c r="N153" i="6"/>
  <c r="O153" i="6"/>
  <c r="B154" i="6"/>
  <c r="D154" i="6"/>
  <c r="E154" i="6"/>
  <c r="F154" i="6"/>
  <c r="G154" i="6"/>
  <c r="H154" i="6"/>
  <c r="K154" i="6"/>
  <c r="L154" i="6"/>
  <c r="M154" i="6"/>
  <c r="N154" i="6"/>
  <c r="O154" i="6"/>
  <c r="B155" i="6"/>
  <c r="D155" i="6"/>
  <c r="E155" i="6"/>
  <c r="F155" i="6"/>
  <c r="G155" i="6"/>
  <c r="H155" i="6"/>
  <c r="K155" i="6"/>
  <c r="L155" i="6"/>
  <c r="M155" i="6"/>
  <c r="N155" i="6"/>
  <c r="O155" i="6"/>
  <c r="B156" i="6"/>
  <c r="D156" i="6"/>
  <c r="E156" i="6"/>
  <c r="F156" i="6"/>
  <c r="G156" i="6"/>
  <c r="H156" i="6"/>
  <c r="K156" i="6"/>
  <c r="L156" i="6"/>
  <c r="M156" i="6"/>
  <c r="N156" i="6"/>
  <c r="O156" i="6"/>
  <c r="B157" i="6"/>
  <c r="D157" i="6"/>
  <c r="E157" i="6"/>
  <c r="F157" i="6"/>
  <c r="G157" i="6"/>
  <c r="H157" i="6"/>
  <c r="K157" i="6"/>
  <c r="L157" i="6"/>
  <c r="M157" i="6"/>
  <c r="N157" i="6"/>
  <c r="O157" i="6"/>
  <c r="B158" i="6"/>
  <c r="D158" i="6"/>
  <c r="E158" i="6"/>
  <c r="F158" i="6"/>
  <c r="G158" i="6"/>
  <c r="H158" i="6"/>
  <c r="K158" i="6"/>
  <c r="L158" i="6"/>
  <c r="M158" i="6"/>
  <c r="N158" i="6"/>
  <c r="O158" i="6"/>
  <c r="B159" i="6"/>
  <c r="D159" i="6"/>
  <c r="E159" i="6"/>
  <c r="F159" i="6"/>
  <c r="G159" i="6"/>
  <c r="H159" i="6"/>
  <c r="K159" i="6"/>
  <c r="L159" i="6"/>
  <c r="M159" i="6"/>
  <c r="N159" i="6"/>
  <c r="O159" i="6"/>
  <c r="B160" i="6"/>
  <c r="D160" i="6"/>
  <c r="E160" i="6"/>
  <c r="F160" i="6"/>
  <c r="G160" i="6"/>
  <c r="H160" i="6"/>
  <c r="K160" i="6"/>
  <c r="L160" i="6"/>
  <c r="M160" i="6"/>
  <c r="N160" i="6"/>
  <c r="O160" i="6"/>
  <c r="B161" i="6"/>
  <c r="D161" i="6"/>
  <c r="E161" i="6"/>
  <c r="F161" i="6"/>
  <c r="G161" i="6"/>
  <c r="H161" i="6"/>
  <c r="K161" i="6"/>
  <c r="L161" i="6"/>
  <c r="M161" i="6"/>
  <c r="N161" i="6"/>
  <c r="O161" i="6"/>
  <c r="B162" i="6"/>
  <c r="D162" i="6"/>
  <c r="E162" i="6"/>
  <c r="F162" i="6"/>
  <c r="G162" i="6"/>
  <c r="H162" i="6"/>
  <c r="K162" i="6"/>
  <c r="L162" i="6"/>
  <c r="M162" i="6"/>
  <c r="N162" i="6"/>
  <c r="O162" i="6"/>
  <c r="B163" i="6"/>
  <c r="D163" i="6"/>
  <c r="E163" i="6"/>
  <c r="F163" i="6"/>
  <c r="G163" i="6"/>
  <c r="H163" i="6"/>
  <c r="K163" i="6"/>
  <c r="L163" i="6"/>
  <c r="M163" i="6"/>
  <c r="N163" i="6"/>
  <c r="O163" i="6"/>
  <c r="S159" i="9"/>
  <c r="W162" i="31" s="1"/>
  <c r="T159" i="9"/>
  <c r="X162" i="31" s="1"/>
  <c r="U159" i="9"/>
  <c r="Y162" i="31" s="1"/>
  <c r="V159" i="9"/>
  <c r="Z162" i="31" s="1"/>
  <c r="S160" i="9"/>
  <c r="W163" i="31" s="1"/>
  <c r="T160" i="9"/>
  <c r="X163" i="31" s="1"/>
  <c r="U160" i="9"/>
  <c r="Y163" i="31" s="1"/>
  <c r="V160" i="9"/>
  <c r="Z163" i="31" s="1"/>
  <c r="S161" i="9"/>
  <c r="W164" i="31" s="1"/>
  <c r="T161" i="9"/>
  <c r="X164" i="31" s="1"/>
  <c r="U161" i="9"/>
  <c r="Y164" i="31" s="1"/>
  <c r="V161" i="9"/>
  <c r="Z164" i="31" s="1"/>
  <c r="S162" i="9"/>
  <c r="W165" i="31" s="1"/>
  <c r="T162" i="9"/>
  <c r="X165" i="31" s="1"/>
  <c r="U162" i="9"/>
  <c r="Y165" i="31" s="1"/>
  <c r="V162" i="9"/>
  <c r="Z165" i="31" s="1"/>
  <c r="S163" i="9"/>
  <c r="W166" i="31" s="1"/>
  <c r="T163" i="9"/>
  <c r="X166" i="31" s="1"/>
  <c r="U163" i="9"/>
  <c r="Y166" i="31" s="1"/>
  <c r="V163" i="9"/>
  <c r="Z166" i="31" s="1"/>
  <c r="S164" i="9"/>
  <c r="W167" i="31" s="1"/>
  <c r="T164" i="9"/>
  <c r="X167" i="31" s="1"/>
  <c r="U164" i="9"/>
  <c r="Y167" i="31" s="1"/>
  <c r="V164" i="9"/>
  <c r="Z167" i="31" s="1"/>
  <c r="S149" i="9"/>
  <c r="W152" i="31" s="1"/>
  <c r="T149" i="9"/>
  <c r="X152" i="31" s="1"/>
  <c r="U149" i="9"/>
  <c r="Y152" i="31" s="1"/>
  <c r="V149" i="9"/>
  <c r="Z152" i="31" s="1"/>
  <c r="S150" i="9"/>
  <c r="W153" i="31" s="1"/>
  <c r="T150" i="9"/>
  <c r="X153" i="31" s="1"/>
  <c r="U150" i="9"/>
  <c r="Y153" i="31" s="1"/>
  <c r="V150" i="9"/>
  <c r="Z153" i="31" s="1"/>
  <c r="S151" i="9"/>
  <c r="W154" i="31" s="1"/>
  <c r="T151" i="9"/>
  <c r="X154" i="31" s="1"/>
  <c r="U151" i="9"/>
  <c r="Y154" i="31" s="1"/>
  <c r="V151" i="9"/>
  <c r="Z154" i="31" s="1"/>
  <c r="S152" i="9"/>
  <c r="W155" i="31" s="1"/>
  <c r="T152" i="9"/>
  <c r="X155" i="31" s="1"/>
  <c r="U152" i="9"/>
  <c r="Y155" i="31" s="1"/>
  <c r="V152" i="9"/>
  <c r="Z155" i="31" s="1"/>
  <c r="S153" i="9"/>
  <c r="W156" i="31" s="1"/>
  <c r="T153" i="9"/>
  <c r="X156" i="31" s="1"/>
  <c r="U153" i="9"/>
  <c r="Y156" i="31" s="1"/>
  <c r="V153" i="9"/>
  <c r="Z156" i="31" s="1"/>
  <c r="S154" i="9"/>
  <c r="W157" i="31" s="1"/>
  <c r="T154" i="9"/>
  <c r="X157" i="31" s="1"/>
  <c r="U154" i="9"/>
  <c r="Y157" i="31" s="1"/>
  <c r="V154" i="9"/>
  <c r="Z157" i="31" s="1"/>
  <c r="S155" i="9"/>
  <c r="W158" i="31" s="1"/>
  <c r="T155" i="9"/>
  <c r="X158" i="31" s="1"/>
  <c r="U155" i="9"/>
  <c r="Y158" i="31" s="1"/>
  <c r="V155" i="9"/>
  <c r="Z158" i="31" s="1"/>
  <c r="S156" i="9"/>
  <c r="W159" i="31" s="1"/>
  <c r="T156" i="9"/>
  <c r="X159" i="31" s="1"/>
  <c r="U156" i="9"/>
  <c r="Y159" i="31" s="1"/>
  <c r="V156" i="9"/>
  <c r="Z159" i="31" s="1"/>
  <c r="S157" i="9"/>
  <c r="W160" i="31" s="1"/>
  <c r="T157" i="9"/>
  <c r="X160" i="31" s="1"/>
  <c r="U157" i="9"/>
  <c r="Y160" i="31" s="1"/>
  <c r="V157" i="9"/>
  <c r="Z160" i="31" s="1"/>
  <c r="S158" i="9"/>
  <c r="W161" i="31" s="1"/>
  <c r="T158" i="9"/>
  <c r="X161" i="31" s="1"/>
  <c r="U158" i="9"/>
  <c r="Y161" i="31" s="1"/>
  <c r="V158" i="9"/>
  <c r="Z161" i="31" s="1"/>
  <c r="S105" i="9"/>
  <c r="W108" i="31" s="1"/>
  <c r="T105" i="9"/>
  <c r="X108" i="31" s="1"/>
  <c r="U105" i="9"/>
  <c r="Y108" i="31" s="1"/>
  <c r="V105" i="9"/>
  <c r="Z108" i="31" s="1"/>
  <c r="S106" i="9"/>
  <c r="W109" i="31" s="1"/>
  <c r="T106" i="9"/>
  <c r="X109" i="31" s="1"/>
  <c r="U106" i="9"/>
  <c r="Y109" i="31" s="1"/>
  <c r="V106" i="9"/>
  <c r="Z109" i="31" s="1"/>
  <c r="S107" i="9"/>
  <c r="W110" i="31" s="1"/>
  <c r="T107" i="9"/>
  <c r="X110" i="31" s="1"/>
  <c r="U107" i="9"/>
  <c r="Y110" i="31" s="1"/>
  <c r="V107" i="9"/>
  <c r="Z110" i="31" s="1"/>
  <c r="S108" i="9"/>
  <c r="W111" i="31" s="1"/>
  <c r="T108" i="9"/>
  <c r="X111" i="31" s="1"/>
  <c r="U108" i="9"/>
  <c r="Y111" i="31" s="1"/>
  <c r="V108" i="9"/>
  <c r="Z111" i="31" s="1"/>
  <c r="S109" i="9"/>
  <c r="W112" i="31" s="1"/>
  <c r="T109" i="9"/>
  <c r="X112" i="31" s="1"/>
  <c r="U109" i="9"/>
  <c r="Y112" i="31" s="1"/>
  <c r="V109" i="9"/>
  <c r="Z112" i="31" s="1"/>
  <c r="S110" i="9"/>
  <c r="W113" i="31" s="1"/>
  <c r="T110" i="9"/>
  <c r="X113" i="31" s="1"/>
  <c r="U110" i="9"/>
  <c r="Y113" i="31" s="1"/>
  <c r="V110" i="9"/>
  <c r="Z113" i="31" s="1"/>
  <c r="S111" i="9"/>
  <c r="W114" i="31" s="1"/>
  <c r="T111" i="9"/>
  <c r="X114" i="31" s="1"/>
  <c r="U111" i="9"/>
  <c r="Y114" i="31" s="1"/>
  <c r="V111" i="9"/>
  <c r="Z114" i="31" s="1"/>
  <c r="S112" i="9"/>
  <c r="W115" i="31" s="1"/>
  <c r="T112" i="9"/>
  <c r="X115" i="31" s="1"/>
  <c r="U112" i="9"/>
  <c r="Y115" i="31" s="1"/>
  <c r="V112" i="9"/>
  <c r="Z115" i="31" s="1"/>
  <c r="S113" i="9"/>
  <c r="W116" i="31" s="1"/>
  <c r="T113" i="9"/>
  <c r="X116" i="31" s="1"/>
  <c r="U113" i="9"/>
  <c r="Y116" i="31" s="1"/>
  <c r="V113" i="9"/>
  <c r="Z116" i="31" s="1"/>
  <c r="S114" i="9"/>
  <c r="W117" i="31" s="1"/>
  <c r="T114" i="9"/>
  <c r="X117" i="31" s="1"/>
  <c r="U114" i="9"/>
  <c r="Y117" i="31" s="1"/>
  <c r="V114" i="9"/>
  <c r="Z117" i="31" s="1"/>
  <c r="S115" i="9"/>
  <c r="W118" i="31" s="1"/>
  <c r="T115" i="9"/>
  <c r="X118" i="31" s="1"/>
  <c r="U115" i="9"/>
  <c r="Y118" i="31" s="1"/>
  <c r="V115" i="9"/>
  <c r="Z118" i="31" s="1"/>
  <c r="S116" i="9"/>
  <c r="W119" i="31" s="1"/>
  <c r="T116" i="9"/>
  <c r="X119" i="31" s="1"/>
  <c r="U116" i="9"/>
  <c r="Y119" i="31" s="1"/>
  <c r="V116" i="9"/>
  <c r="Z119" i="31" s="1"/>
  <c r="S117" i="9"/>
  <c r="W120" i="31" s="1"/>
  <c r="T117" i="9"/>
  <c r="X120" i="31" s="1"/>
  <c r="U117" i="9"/>
  <c r="Y120" i="31" s="1"/>
  <c r="V117" i="9"/>
  <c r="Z120" i="31" s="1"/>
  <c r="S118" i="9"/>
  <c r="W121" i="31" s="1"/>
  <c r="T118" i="9"/>
  <c r="X121" i="31" s="1"/>
  <c r="U118" i="9"/>
  <c r="Y121" i="31" s="1"/>
  <c r="V118" i="9"/>
  <c r="Z121" i="31" s="1"/>
  <c r="S119" i="9"/>
  <c r="W122" i="31" s="1"/>
  <c r="T119" i="9"/>
  <c r="X122" i="31" s="1"/>
  <c r="U119" i="9"/>
  <c r="Y122" i="31" s="1"/>
  <c r="V119" i="9"/>
  <c r="Z122" i="31" s="1"/>
  <c r="S120" i="9"/>
  <c r="W123" i="31" s="1"/>
  <c r="T120" i="9"/>
  <c r="X123" i="31" s="1"/>
  <c r="U120" i="9"/>
  <c r="Y123" i="31" s="1"/>
  <c r="V120" i="9"/>
  <c r="Z123" i="31" s="1"/>
  <c r="S121" i="9"/>
  <c r="W124" i="31" s="1"/>
  <c r="T121" i="9"/>
  <c r="X124" i="31" s="1"/>
  <c r="U121" i="9"/>
  <c r="Y124" i="31" s="1"/>
  <c r="V121" i="9"/>
  <c r="Z124" i="31" s="1"/>
  <c r="S122" i="9"/>
  <c r="W125" i="31" s="1"/>
  <c r="T122" i="9"/>
  <c r="X125" i="31" s="1"/>
  <c r="U122" i="9"/>
  <c r="Y125" i="31" s="1"/>
  <c r="V122" i="9"/>
  <c r="Z125" i="31" s="1"/>
  <c r="S123" i="9"/>
  <c r="W126" i="31" s="1"/>
  <c r="T123" i="9"/>
  <c r="X126" i="31" s="1"/>
  <c r="U123" i="9"/>
  <c r="Y126" i="31" s="1"/>
  <c r="V123" i="9"/>
  <c r="Z126" i="31" s="1"/>
  <c r="S124" i="9"/>
  <c r="W127" i="31" s="1"/>
  <c r="T124" i="9"/>
  <c r="X127" i="31" s="1"/>
  <c r="U124" i="9"/>
  <c r="Y127" i="31" s="1"/>
  <c r="V124" i="9"/>
  <c r="Z127" i="31" s="1"/>
  <c r="S125" i="9"/>
  <c r="W128" i="31" s="1"/>
  <c r="T125" i="9"/>
  <c r="X128" i="31" s="1"/>
  <c r="U125" i="9"/>
  <c r="Y128" i="31" s="1"/>
  <c r="V125" i="9"/>
  <c r="Z128" i="31" s="1"/>
  <c r="S126" i="9"/>
  <c r="W129" i="31" s="1"/>
  <c r="T126" i="9"/>
  <c r="X129" i="31" s="1"/>
  <c r="U126" i="9"/>
  <c r="Y129" i="31" s="1"/>
  <c r="V126" i="9"/>
  <c r="Z129" i="31" s="1"/>
  <c r="S127" i="9"/>
  <c r="W130" i="31" s="1"/>
  <c r="T127" i="9"/>
  <c r="X130" i="31" s="1"/>
  <c r="U127" i="9"/>
  <c r="Y130" i="31" s="1"/>
  <c r="V127" i="9"/>
  <c r="Z130" i="31" s="1"/>
  <c r="S128" i="9"/>
  <c r="W131" i="31" s="1"/>
  <c r="T128" i="9"/>
  <c r="X131" i="31" s="1"/>
  <c r="U128" i="9"/>
  <c r="Y131" i="31" s="1"/>
  <c r="V128" i="9"/>
  <c r="Z131" i="31" s="1"/>
  <c r="S129" i="9"/>
  <c r="W132" i="31" s="1"/>
  <c r="T129" i="9"/>
  <c r="X132" i="31" s="1"/>
  <c r="U129" i="9"/>
  <c r="Y132" i="31" s="1"/>
  <c r="V129" i="9"/>
  <c r="Z132" i="31" s="1"/>
  <c r="S130" i="9"/>
  <c r="W133" i="31" s="1"/>
  <c r="T130" i="9"/>
  <c r="X133" i="31" s="1"/>
  <c r="U130" i="9"/>
  <c r="Y133" i="31" s="1"/>
  <c r="V130" i="9"/>
  <c r="Z133" i="31" s="1"/>
  <c r="S131" i="9"/>
  <c r="W134" i="31" s="1"/>
  <c r="T131" i="9"/>
  <c r="X134" i="31" s="1"/>
  <c r="U131" i="9"/>
  <c r="Y134" i="31" s="1"/>
  <c r="V131" i="9"/>
  <c r="Z134" i="31" s="1"/>
  <c r="S132" i="9"/>
  <c r="W135" i="31" s="1"/>
  <c r="T132" i="9"/>
  <c r="X135" i="31" s="1"/>
  <c r="U132" i="9"/>
  <c r="Y135" i="31" s="1"/>
  <c r="V132" i="9"/>
  <c r="Z135" i="31" s="1"/>
  <c r="S133" i="9"/>
  <c r="W136" i="31" s="1"/>
  <c r="T133" i="9"/>
  <c r="X136" i="31" s="1"/>
  <c r="U133" i="9"/>
  <c r="Y136" i="31" s="1"/>
  <c r="V133" i="9"/>
  <c r="Z136" i="31" s="1"/>
  <c r="S134" i="9"/>
  <c r="W137" i="31" s="1"/>
  <c r="T134" i="9"/>
  <c r="X137" i="31" s="1"/>
  <c r="U134" i="9"/>
  <c r="Y137" i="31" s="1"/>
  <c r="V134" i="9"/>
  <c r="Z137" i="31" s="1"/>
  <c r="S135" i="9"/>
  <c r="W138" i="31" s="1"/>
  <c r="T135" i="9"/>
  <c r="X138" i="31" s="1"/>
  <c r="U135" i="9"/>
  <c r="Y138" i="31" s="1"/>
  <c r="V135" i="9"/>
  <c r="Z138" i="31" s="1"/>
  <c r="S136" i="9"/>
  <c r="W139" i="31" s="1"/>
  <c r="T136" i="9"/>
  <c r="X139" i="31" s="1"/>
  <c r="U136" i="9"/>
  <c r="Y139" i="31" s="1"/>
  <c r="V136" i="9"/>
  <c r="Z139" i="31" s="1"/>
  <c r="S137" i="9"/>
  <c r="W140" i="31" s="1"/>
  <c r="T137" i="9"/>
  <c r="X140" i="31" s="1"/>
  <c r="U137" i="9"/>
  <c r="Y140" i="31" s="1"/>
  <c r="V137" i="9"/>
  <c r="Z140" i="31" s="1"/>
  <c r="S138" i="9"/>
  <c r="W141" i="31" s="1"/>
  <c r="T138" i="9"/>
  <c r="X141" i="31" s="1"/>
  <c r="U138" i="9"/>
  <c r="Y141" i="31" s="1"/>
  <c r="V138" i="9"/>
  <c r="Z141" i="31" s="1"/>
  <c r="S139" i="9"/>
  <c r="W142" i="31" s="1"/>
  <c r="T139" i="9"/>
  <c r="X142" i="31" s="1"/>
  <c r="U139" i="9"/>
  <c r="Y142" i="31" s="1"/>
  <c r="V139" i="9"/>
  <c r="Z142" i="31" s="1"/>
  <c r="S140" i="9"/>
  <c r="W143" i="31" s="1"/>
  <c r="T140" i="9"/>
  <c r="X143" i="31" s="1"/>
  <c r="U140" i="9"/>
  <c r="Y143" i="31" s="1"/>
  <c r="V140" i="9"/>
  <c r="Z143" i="31" s="1"/>
  <c r="S141" i="9"/>
  <c r="W144" i="31" s="1"/>
  <c r="T141" i="9"/>
  <c r="X144" i="31" s="1"/>
  <c r="U141" i="9"/>
  <c r="Y144" i="31" s="1"/>
  <c r="V141" i="9"/>
  <c r="Z144" i="31" s="1"/>
  <c r="S142" i="9"/>
  <c r="W145" i="31" s="1"/>
  <c r="T142" i="9"/>
  <c r="X145" i="31" s="1"/>
  <c r="U142" i="9"/>
  <c r="Y145" i="31" s="1"/>
  <c r="V142" i="9"/>
  <c r="Z145" i="31" s="1"/>
  <c r="S143" i="9"/>
  <c r="W146" i="31" s="1"/>
  <c r="T143" i="9"/>
  <c r="X146" i="31" s="1"/>
  <c r="U143" i="9"/>
  <c r="Y146" i="31" s="1"/>
  <c r="V143" i="9"/>
  <c r="Z146" i="31" s="1"/>
  <c r="S144" i="9"/>
  <c r="W147" i="31" s="1"/>
  <c r="T144" i="9"/>
  <c r="X147" i="31" s="1"/>
  <c r="U144" i="9"/>
  <c r="Y147" i="31" s="1"/>
  <c r="V144" i="9"/>
  <c r="Z147" i="31" s="1"/>
  <c r="S145" i="9"/>
  <c r="W148" i="31" s="1"/>
  <c r="T145" i="9"/>
  <c r="X148" i="31" s="1"/>
  <c r="U145" i="9"/>
  <c r="Y148" i="31" s="1"/>
  <c r="V145" i="9"/>
  <c r="Z148" i="31" s="1"/>
  <c r="S146" i="9"/>
  <c r="W149" i="31" s="1"/>
  <c r="T146" i="9"/>
  <c r="X149" i="31" s="1"/>
  <c r="U146" i="9"/>
  <c r="Y149" i="31" s="1"/>
  <c r="V146" i="9"/>
  <c r="Z149" i="31" s="1"/>
  <c r="S147" i="9"/>
  <c r="W150" i="31" s="1"/>
  <c r="T147" i="9"/>
  <c r="X150" i="31" s="1"/>
  <c r="U147" i="9"/>
  <c r="Y150" i="31" s="1"/>
  <c r="V147" i="9"/>
  <c r="Z150" i="31" s="1"/>
  <c r="S148" i="9"/>
  <c r="W151" i="31" s="1"/>
  <c r="T148" i="9"/>
  <c r="X151" i="31" s="1"/>
  <c r="U148" i="9"/>
  <c r="Y151" i="31" s="1"/>
  <c r="V148" i="9"/>
  <c r="Z151" i="31" s="1"/>
  <c r="AC162" i="5"/>
  <c r="AD162" i="5"/>
  <c r="AE162" i="5"/>
  <c r="AF162" i="5"/>
  <c r="AG162" i="5"/>
  <c r="AC163" i="5"/>
  <c r="AD163" i="5"/>
  <c r="AE163" i="5"/>
  <c r="AF163" i="5"/>
  <c r="AG163" i="5"/>
  <c r="AC164" i="5"/>
  <c r="AD164" i="5"/>
  <c r="AE164" i="5"/>
  <c r="AF164" i="5"/>
  <c r="AG164" i="5"/>
  <c r="AC137" i="5"/>
  <c r="AD137" i="5"/>
  <c r="AE137" i="5"/>
  <c r="AF137" i="5"/>
  <c r="AG137" i="5"/>
  <c r="AC138" i="5"/>
  <c r="AD138" i="5"/>
  <c r="AE138" i="5"/>
  <c r="AF138" i="5"/>
  <c r="AG138" i="5"/>
  <c r="AC139" i="5"/>
  <c r="AD139" i="5"/>
  <c r="AE139" i="5"/>
  <c r="AF139" i="5"/>
  <c r="AG139" i="5"/>
  <c r="AC140" i="5"/>
  <c r="AD140" i="5"/>
  <c r="AE140" i="5"/>
  <c r="AF140" i="5"/>
  <c r="AG140" i="5"/>
  <c r="AC141" i="5"/>
  <c r="AD141" i="5"/>
  <c r="AE141" i="5"/>
  <c r="AF141" i="5"/>
  <c r="AG141" i="5"/>
  <c r="AC142" i="5"/>
  <c r="AD142" i="5"/>
  <c r="AE142" i="5"/>
  <c r="AF142" i="5"/>
  <c r="AG142" i="5"/>
  <c r="AC143" i="5"/>
  <c r="AD143" i="5"/>
  <c r="AE143" i="5"/>
  <c r="AF143" i="5"/>
  <c r="AG143" i="5"/>
  <c r="AC144" i="5"/>
  <c r="AD144" i="5"/>
  <c r="AE144" i="5"/>
  <c r="AF144" i="5"/>
  <c r="AG144" i="5"/>
  <c r="AC145" i="5"/>
  <c r="AD145" i="5"/>
  <c r="AE145" i="5"/>
  <c r="AF145" i="5"/>
  <c r="AG145" i="5"/>
  <c r="AC146" i="5"/>
  <c r="AD146" i="5"/>
  <c r="AE146" i="5"/>
  <c r="AF146" i="5"/>
  <c r="AG146" i="5"/>
  <c r="AC147" i="5"/>
  <c r="AD147" i="5"/>
  <c r="AE147" i="5"/>
  <c r="AF147" i="5"/>
  <c r="AG147" i="5"/>
  <c r="AC148" i="5"/>
  <c r="AD148" i="5"/>
  <c r="AE148" i="5"/>
  <c r="AF148" i="5"/>
  <c r="AG148" i="5"/>
  <c r="AC149" i="5"/>
  <c r="AD149" i="5"/>
  <c r="AE149" i="5"/>
  <c r="AF149" i="5"/>
  <c r="AG149" i="5"/>
  <c r="AC150" i="5"/>
  <c r="AD150" i="5"/>
  <c r="AE150" i="5"/>
  <c r="AF150" i="5"/>
  <c r="AG150" i="5"/>
  <c r="AC151" i="5"/>
  <c r="AD151" i="5"/>
  <c r="AE151" i="5"/>
  <c r="AF151" i="5"/>
  <c r="AG151" i="5"/>
  <c r="AC152" i="5"/>
  <c r="AD152" i="5"/>
  <c r="AE152" i="5"/>
  <c r="AF152" i="5"/>
  <c r="AG152" i="5"/>
  <c r="AC153" i="5"/>
  <c r="AD153" i="5"/>
  <c r="AE153" i="5"/>
  <c r="AF153" i="5"/>
  <c r="AG153" i="5"/>
  <c r="AC154" i="5"/>
  <c r="AD154" i="5"/>
  <c r="AE154" i="5"/>
  <c r="AF154" i="5"/>
  <c r="AG154" i="5"/>
  <c r="AC155" i="5"/>
  <c r="AD155" i="5"/>
  <c r="AE155" i="5"/>
  <c r="AF155" i="5"/>
  <c r="AG155" i="5"/>
  <c r="AC156" i="5"/>
  <c r="AD156" i="5"/>
  <c r="AE156" i="5"/>
  <c r="AF156" i="5"/>
  <c r="AG156" i="5"/>
  <c r="AC157" i="5"/>
  <c r="AD157" i="5"/>
  <c r="AE157" i="5"/>
  <c r="AF157" i="5"/>
  <c r="AG157" i="5"/>
  <c r="AC158" i="5"/>
  <c r="AD158" i="5"/>
  <c r="AE158" i="5"/>
  <c r="AF158" i="5"/>
  <c r="AG158" i="5"/>
  <c r="AC159" i="5"/>
  <c r="AD159" i="5"/>
  <c r="AE159" i="5"/>
  <c r="AF159" i="5"/>
  <c r="AG159" i="5"/>
  <c r="AC160" i="5"/>
  <c r="AD160" i="5"/>
  <c r="AE160" i="5"/>
  <c r="AF160" i="5"/>
  <c r="AG160" i="5"/>
  <c r="AC161" i="5"/>
  <c r="AD161" i="5"/>
  <c r="AE161" i="5"/>
  <c r="AF161" i="5"/>
  <c r="AG161" i="5"/>
  <c r="AC105" i="5"/>
  <c r="AD105" i="5"/>
  <c r="AE105" i="5"/>
  <c r="AF105" i="5"/>
  <c r="AG105" i="5"/>
  <c r="AC106" i="5"/>
  <c r="AD106" i="5"/>
  <c r="AE106" i="5"/>
  <c r="AF106" i="5"/>
  <c r="AG106" i="5"/>
  <c r="AC107" i="5"/>
  <c r="AD107" i="5"/>
  <c r="AE107" i="5"/>
  <c r="AF107" i="5"/>
  <c r="AG107" i="5"/>
  <c r="AC108" i="5"/>
  <c r="AD108" i="5"/>
  <c r="AE108" i="5"/>
  <c r="AF108" i="5"/>
  <c r="AG108" i="5"/>
  <c r="AC109" i="5"/>
  <c r="AD109" i="5"/>
  <c r="AE109" i="5"/>
  <c r="AF109" i="5"/>
  <c r="AG109" i="5"/>
  <c r="AC110" i="5"/>
  <c r="AD110" i="5"/>
  <c r="AE110" i="5"/>
  <c r="AF110" i="5"/>
  <c r="AG110" i="5"/>
  <c r="AC111" i="5"/>
  <c r="AD111" i="5"/>
  <c r="AE111" i="5"/>
  <c r="AF111" i="5"/>
  <c r="AG111" i="5"/>
  <c r="AC112" i="5"/>
  <c r="AD112" i="5"/>
  <c r="AE112" i="5"/>
  <c r="AF112" i="5"/>
  <c r="AG112" i="5"/>
  <c r="AC113" i="5"/>
  <c r="AD113" i="5"/>
  <c r="AE113" i="5"/>
  <c r="AF113" i="5"/>
  <c r="AG113" i="5"/>
  <c r="AC114" i="5"/>
  <c r="AD114" i="5"/>
  <c r="AE114" i="5"/>
  <c r="AF114" i="5"/>
  <c r="AG114" i="5"/>
  <c r="AC115" i="5"/>
  <c r="AD115" i="5"/>
  <c r="AE115" i="5"/>
  <c r="AF115" i="5"/>
  <c r="AG115" i="5"/>
  <c r="AC116" i="5"/>
  <c r="AD116" i="5"/>
  <c r="AE116" i="5"/>
  <c r="AF116" i="5"/>
  <c r="AG116" i="5"/>
  <c r="AC117" i="5"/>
  <c r="AD117" i="5"/>
  <c r="AE117" i="5"/>
  <c r="AF117" i="5"/>
  <c r="AG117" i="5"/>
  <c r="AC118" i="5"/>
  <c r="AD118" i="5"/>
  <c r="AE118" i="5"/>
  <c r="AF118" i="5"/>
  <c r="AG118" i="5"/>
  <c r="AC119" i="5"/>
  <c r="AD119" i="5"/>
  <c r="AE119" i="5"/>
  <c r="AF119" i="5"/>
  <c r="AG119" i="5"/>
  <c r="AC120" i="5"/>
  <c r="AD120" i="5"/>
  <c r="AE120" i="5"/>
  <c r="AF120" i="5"/>
  <c r="AG120" i="5"/>
  <c r="AC121" i="5"/>
  <c r="AD121" i="5"/>
  <c r="AE121" i="5"/>
  <c r="AF121" i="5"/>
  <c r="AG121" i="5"/>
  <c r="AC122" i="5"/>
  <c r="AD122" i="5"/>
  <c r="AE122" i="5"/>
  <c r="AF122" i="5"/>
  <c r="AG122" i="5"/>
  <c r="AC123" i="5"/>
  <c r="AD123" i="5"/>
  <c r="AE123" i="5"/>
  <c r="AF123" i="5"/>
  <c r="AG123" i="5"/>
  <c r="AC124" i="5"/>
  <c r="AD124" i="5"/>
  <c r="AE124" i="5"/>
  <c r="AF124" i="5"/>
  <c r="AG124" i="5"/>
  <c r="AC125" i="5"/>
  <c r="AD125" i="5"/>
  <c r="AE125" i="5"/>
  <c r="AF125" i="5"/>
  <c r="AG125" i="5"/>
  <c r="AC126" i="5"/>
  <c r="AD126" i="5"/>
  <c r="AE126" i="5"/>
  <c r="AF126" i="5"/>
  <c r="AG126" i="5"/>
  <c r="AC127" i="5"/>
  <c r="AD127" i="5"/>
  <c r="AE127" i="5"/>
  <c r="AF127" i="5"/>
  <c r="AG127" i="5"/>
  <c r="AC128" i="5"/>
  <c r="AD128" i="5"/>
  <c r="AE128" i="5"/>
  <c r="AF128" i="5"/>
  <c r="AG128" i="5"/>
  <c r="AC129" i="5"/>
  <c r="AD129" i="5"/>
  <c r="AE129" i="5"/>
  <c r="AF129" i="5"/>
  <c r="AG129" i="5"/>
  <c r="AC130" i="5"/>
  <c r="AD130" i="5"/>
  <c r="AE130" i="5"/>
  <c r="AF130" i="5"/>
  <c r="AG130" i="5"/>
  <c r="AC131" i="5"/>
  <c r="AD131" i="5"/>
  <c r="AE131" i="5"/>
  <c r="AF131" i="5"/>
  <c r="AG131" i="5"/>
  <c r="AC132" i="5"/>
  <c r="AD132" i="5"/>
  <c r="AE132" i="5"/>
  <c r="AF132" i="5"/>
  <c r="AG132" i="5"/>
  <c r="AC133" i="5"/>
  <c r="AD133" i="5"/>
  <c r="AE133" i="5"/>
  <c r="AF133" i="5"/>
  <c r="AG133" i="5"/>
  <c r="AC134" i="5"/>
  <c r="AD134" i="5"/>
  <c r="AE134" i="5"/>
  <c r="AF134" i="5"/>
  <c r="AG134" i="5"/>
  <c r="AC135" i="5"/>
  <c r="AD135" i="5"/>
  <c r="AE135" i="5"/>
  <c r="AF135" i="5"/>
  <c r="AG135" i="5"/>
  <c r="AC136" i="5"/>
  <c r="AD136" i="5"/>
  <c r="AE136" i="5"/>
  <c r="AF136" i="5"/>
  <c r="AG136" i="5"/>
  <c r="AB159" i="29" l="1"/>
  <c r="CJ161" i="28"/>
  <c r="BI161" i="28"/>
  <c r="AJ161" i="28"/>
  <c r="AE165" i="29"/>
  <c r="CM167" i="28"/>
  <c r="BL167" i="28"/>
  <c r="AM167" i="28"/>
  <c r="AC163" i="29"/>
  <c r="BJ165" i="28"/>
  <c r="CK165" i="28"/>
  <c r="AK165" i="28"/>
  <c r="AF162" i="29"/>
  <c r="CN164" i="28"/>
  <c r="BM164" i="28"/>
  <c r="AN164" i="28"/>
  <c r="AD160" i="29"/>
  <c r="BK162" i="28"/>
  <c r="CL162" i="28"/>
  <c r="AL162" i="28"/>
  <c r="AB158" i="29"/>
  <c r="CJ160" i="28"/>
  <c r="BI160" i="28"/>
  <c r="AJ160" i="28"/>
  <c r="CM159" i="28"/>
  <c r="BL159" i="28"/>
  <c r="AE157" i="29"/>
  <c r="AM159" i="28"/>
  <c r="AC155" i="29"/>
  <c r="CK157" i="28"/>
  <c r="BJ157" i="28"/>
  <c r="AK157" i="28"/>
  <c r="AF154" i="29"/>
  <c r="CN156" i="28"/>
  <c r="BM156" i="28"/>
  <c r="AN156" i="28"/>
  <c r="AD152" i="29"/>
  <c r="CL154" i="28"/>
  <c r="BK154" i="28"/>
  <c r="AL154" i="28"/>
  <c r="AB150" i="29"/>
  <c r="CJ152" i="28"/>
  <c r="BI152" i="28"/>
  <c r="AJ152" i="28"/>
  <c r="AE149" i="29"/>
  <c r="CM151" i="28"/>
  <c r="BL151" i="28"/>
  <c r="AM151" i="28"/>
  <c r="AC147" i="29"/>
  <c r="CK149" i="28"/>
  <c r="BJ149" i="28"/>
  <c r="AK149" i="28"/>
  <c r="AF146" i="29"/>
  <c r="CN148" i="28"/>
  <c r="BM148" i="28"/>
  <c r="AN148" i="28"/>
  <c r="AD144" i="29"/>
  <c r="CL146" i="28"/>
  <c r="BK146" i="28"/>
  <c r="AL146" i="28"/>
  <c r="CJ144" i="28"/>
  <c r="AB142" i="29"/>
  <c r="BI144" i="28"/>
  <c r="AJ144" i="28"/>
  <c r="AE141" i="29"/>
  <c r="CM143" i="28"/>
  <c r="BL143" i="28"/>
  <c r="AM143" i="28"/>
  <c r="AC139" i="29"/>
  <c r="CK141" i="28"/>
  <c r="BJ141" i="28"/>
  <c r="AK141" i="28"/>
  <c r="AF138" i="29"/>
  <c r="CN140" i="28"/>
  <c r="BM140" i="28"/>
  <c r="AN140" i="28"/>
  <c r="AD136" i="29"/>
  <c r="BK138" i="28"/>
  <c r="CL138" i="28"/>
  <c r="AL138" i="28"/>
  <c r="CJ136" i="28"/>
  <c r="AB134" i="29"/>
  <c r="BI136" i="28"/>
  <c r="AJ136" i="28"/>
  <c r="AE133" i="29"/>
  <c r="CM135" i="28"/>
  <c r="BL135" i="28"/>
  <c r="AM135" i="28"/>
  <c r="AC131" i="29"/>
  <c r="CK133" i="28"/>
  <c r="BJ133" i="28"/>
  <c r="AK133" i="28"/>
  <c r="AF130" i="29"/>
  <c r="CN132" i="28"/>
  <c r="BM132" i="28"/>
  <c r="AN132" i="28"/>
  <c r="AD128" i="29"/>
  <c r="BK130" i="28"/>
  <c r="CL130" i="28"/>
  <c r="AL130" i="28"/>
  <c r="AB126" i="29"/>
  <c r="CJ128" i="28"/>
  <c r="BI128" i="28"/>
  <c r="AJ128" i="28"/>
  <c r="CM127" i="28"/>
  <c r="BL127" i="28"/>
  <c r="AE125" i="29"/>
  <c r="AM127" i="28"/>
  <c r="AC123" i="29"/>
  <c r="CK125" i="28"/>
  <c r="BJ125" i="28"/>
  <c r="AK125" i="28"/>
  <c r="AF122" i="29"/>
  <c r="CN124" i="28"/>
  <c r="BM124" i="28"/>
  <c r="AN124" i="28"/>
  <c r="AD120" i="29"/>
  <c r="BK122" i="28"/>
  <c r="CL122" i="28"/>
  <c r="AL122" i="28"/>
  <c r="AB118" i="29"/>
  <c r="CJ120" i="28"/>
  <c r="BI120" i="28"/>
  <c r="AJ120" i="28"/>
  <c r="CM119" i="28"/>
  <c r="BL119" i="28"/>
  <c r="AE117" i="29"/>
  <c r="AM119" i="28"/>
  <c r="AD165" i="29"/>
  <c r="CL167" i="28"/>
  <c r="BK167" i="28"/>
  <c r="AL167" i="28"/>
  <c r="AB163" i="29"/>
  <c r="CJ165" i="28"/>
  <c r="BI165" i="28"/>
  <c r="AJ165" i="28"/>
  <c r="AE162" i="29"/>
  <c r="CM164" i="28"/>
  <c r="BL164" i="28"/>
  <c r="AM164" i="28"/>
  <c r="AC160" i="29"/>
  <c r="CK162" i="28"/>
  <c r="BJ162" i="28"/>
  <c r="AK162" i="28"/>
  <c r="AF159" i="29"/>
  <c r="CN161" i="28"/>
  <c r="BM161" i="28"/>
  <c r="AN161" i="28"/>
  <c r="AD157" i="29"/>
  <c r="CL159" i="28"/>
  <c r="BK159" i="28"/>
  <c r="AL159" i="28"/>
  <c r="AB155" i="29"/>
  <c r="CJ157" i="28"/>
  <c r="BI157" i="28"/>
  <c r="AJ157" i="28"/>
  <c r="AE154" i="29"/>
  <c r="CM156" i="28"/>
  <c r="BL156" i="28"/>
  <c r="AM156" i="28"/>
  <c r="AC152" i="29"/>
  <c r="CK154" i="28"/>
  <c r="BJ154" i="28"/>
  <c r="AK154" i="28"/>
  <c r="AF151" i="29"/>
  <c r="CN153" i="28"/>
  <c r="BM153" i="28"/>
  <c r="AN153" i="28"/>
  <c r="AD149" i="29"/>
  <c r="CL151" i="28"/>
  <c r="BK151" i="28"/>
  <c r="AL151" i="28"/>
  <c r="AB147" i="29"/>
  <c r="CJ149" i="28"/>
  <c r="BI149" i="28"/>
  <c r="AJ149" i="28"/>
  <c r="AE146" i="29"/>
  <c r="CM148" i="28"/>
  <c r="BL148" i="28"/>
  <c r="AM148" i="28"/>
  <c r="AC144" i="29"/>
  <c r="CK146" i="28"/>
  <c r="BJ146" i="28"/>
  <c r="AK146" i="28"/>
  <c r="AF143" i="29"/>
  <c r="CN145" i="28"/>
  <c r="BM145" i="28"/>
  <c r="AN145" i="28"/>
  <c r="AD141" i="29"/>
  <c r="CL143" i="28"/>
  <c r="BK143" i="28"/>
  <c r="AL143" i="28"/>
  <c r="AB139" i="29"/>
  <c r="BI141" i="28"/>
  <c r="CJ141" i="28"/>
  <c r="AJ141" i="28"/>
  <c r="AE138" i="29"/>
  <c r="CM140" i="28"/>
  <c r="BL140" i="28"/>
  <c r="AM140" i="28"/>
  <c r="AC136" i="29"/>
  <c r="CK138" i="28"/>
  <c r="BJ138" i="28"/>
  <c r="AK138" i="28"/>
  <c r="AF135" i="29"/>
  <c r="CN137" i="28"/>
  <c r="BM137" i="28"/>
  <c r="AN137" i="28"/>
  <c r="AD133" i="29"/>
  <c r="CL135" i="28"/>
  <c r="BK135" i="28"/>
  <c r="AL135" i="28"/>
  <c r="AB131" i="29"/>
  <c r="CJ133" i="28"/>
  <c r="BI133" i="28"/>
  <c r="AJ133" i="28"/>
  <c r="AE130" i="29"/>
  <c r="CM132" i="28"/>
  <c r="BL132" i="28"/>
  <c r="AM132" i="28"/>
  <c r="AC128" i="29"/>
  <c r="BJ130" i="28"/>
  <c r="CK130" i="28"/>
  <c r="AK130" i="28"/>
  <c r="AF127" i="29"/>
  <c r="CN129" i="28"/>
  <c r="BM129" i="28"/>
  <c r="AN129" i="28"/>
  <c r="AD125" i="29"/>
  <c r="CL127" i="28"/>
  <c r="BK127" i="28"/>
  <c r="AL127" i="28"/>
  <c r="AB123" i="29"/>
  <c r="CJ125" i="28"/>
  <c r="BI125" i="28"/>
  <c r="AJ125" i="28"/>
  <c r="AE122" i="29"/>
  <c r="CM124" i="28"/>
  <c r="BL124" i="28"/>
  <c r="AM124" i="28"/>
  <c r="AC120" i="29"/>
  <c r="BJ122" i="28"/>
  <c r="CK122" i="28"/>
  <c r="AK122" i="28"/>
  <c r="AF119" i="29"/>
  <c r="CN121" i="28"/>
  <c r="BM121" i="28"/>
  <c r="AN121" i="28"/>
  <c r="AC117" i="29"/>
  <c r="BJ119" i="28"/>
  <c r="CK119" i="28"/>
  <c r="AK119" i="28"/>
  <c r="AF116" i="29"/>
  <c r="CN118" i="28"/>
  <c r="BM118" i="28"/>
  <c r="AN118" i="28"/>
  <c r="AD161" i="29"/>
  <c r="CL163" i="28"/>
  <c r="BK163" i="28"/>
  <c r="AL163" i="28"/>
  <c r="AC140" i="29"/>
  <c r="CK142" i="28"/>
  <c r="BJ142" i="28"/>
  <c r="AK142" i="28"/>
  <c r="AC165" i="29"/>
  <c r="CK167" i="28"/>
  <c r="BJ167" i="28"/>
  <c r="AK167" i="28"/>
  <c r="CN166" i="28"/>
  <c r="AF164" i="29"/>
  <c r="BM166" i="28"/>
  <c r="AN166" i="28"/>
  <c r="AD162" i="29"/>
  <c r="CL164" i="28"/>
  <c r="BK164" i="28"/>
  <c r="AL164" i="28"/>
  <c r="AB160" i="29"/>
  <c r="CJ162" i="28"/>
  <c r="BI162" i="28"/>
  <c r="AJ162" i="28"/>
  <c r="AE159" i="29"/>
  <c r="CM161" i="28"/>
  <c r="BL161" i="28"/>
  <c r="AM161" i="28"/>
  <c r="AC157" i="29"/>
  <c r="CK159" i="28"/>
  <c r="BJ159" i="28"/>
  <c r="AK159" i="28"/>
  <c r="AF156" i="29"/>
  <c r="CN158" i="28"/>
  <c r="BM158" i="28"/>
  <c r="AN158" i="28"/>
  <c r="CL156" i="28"/>
  <c r="BK156" i="28"/>
  <c r="AD154" i="29"/>
  <c r="AL156" i="28"/>
  <c r="CJ154" i="28"/>
  <c r="AB152" i="29"/>
  <c r="BI154" i="28"/>
  <c r="AJ154" i="28"/>
  <c r="AE151" i="29"/>
  <c r="CM153" i="28"/>
  <c r="BL153" i="28"/>
  <c r="AM153" i="28"/>
  <c r="AC149" i="29"/>
  <c r="CK151" i="28"/>
  <c r="BJ151" i="28"/>
  <c r="AK151" i="28"/>
  <c r="AF148" i="29"/>
  <c r="BM150" i="28"/>
  <c r="CN150" i="28"/>
  <c r="AN150" i="28"/>
  <c r="AD146" i="29"/>
  <c r="CL148" i="28"/>
  <c r="BK148" i="28"/>
  <c r="AL148" i="28"/>
  <c r="AB144" i="29"/>
  <c r="CJ146" i="28"/>
  <c r="BI146" i="28"/>
  <c r="AJ146" i="28"/>
  <c r="AE143" i="29"/>
  <c r="CM145" i="28"/>
  <c r="BL145" i="28"/>
  <c r="AM145" i="28"/>
  <c r="AC141" i="29"/>
  <c r="CK143" i="28"/>
  <c r="BJ143" i="28"/>
  <c r="AK143" i="28"/>
  <c r="AF140" i="29"/>
  <c r="CN142" i="28"/>
  <c r="BM142" i="28"/>
  <c r="AN142" i="28"/>
  <c r="AD138" i="29"/>
  <c r="CL140" i="28"/>
  <c r="BK140" i="28"/>
  <c r="AL140" i="28"/>
  <c r="AB136" i="29"/>
  <c r="CJ138" i="28"/>
  <c r="BI138" i="28"/>
  <c r="AJ138" i="28"/>
  <c r="CM137" i="28"/>
  <c r="BL137" i="28"/>
  <c r="AE135" i="29"/>
  <c r="AM137" i="28"/>
  <c r="AC133" i="29"/>
  <c r="BJ135" i="28"/>
  <c r="CK135" i="28"/>
  <c r="AK135" i="28"/>
  <c r="AF132" i="29"/>
  <c r="CN134" i="28"/>
  <c r="BM134" i="28"/>
  <c r="AN134" i="28"/>
  <c r="AD130" i="29"/>
  <c r="CL132" i="28"/>
  <c r="BK132" i="28"/>
  <c r="AL132" i="28"/>
  <c r="AB128" i="29"/>
  <c r="CJ130" i="28"/>
  <c r="BI130" i="28"/>
  <c r="AJ130" i="28"/>
  <c r="AE127" i="29"/>
  <c r="CM129" i="28"/>
  <c r="BL129" i="28"/>
  <c r="AM129" i="28"/>
  <c r="AC125" i="29"/>
  <c r="CK127" i="28"/>
  <c r="BJ127" i="28"/>
  <c r="AK127" i="28"/>
  <c r="AF124" i="29"/>
  <c r="CN126" i="28"/>
  <c r="BM126" i="28"/>
  <c r="AN126" i="28"/>
  <c r="AD122" i="29"/>
  <c r="CL124" i="28"/>
  <c r="BK124" i="28"/>
  <c r="AL124" i="28"/>
  <c r="AB120" i="29"/>
  <c r="CJ122" i="28"/>
  <c r="BI122" i="28"/>
  <c r="AJ122" i="28"/>
  <c r="CM121" i="28"/>
  <c r="BL121" i="28"/>
  <c r="AE119" i="29"/>
  <c r="AM121" i="28"/>
  <c r="AB117" i="29"/>
  <c r="CJ119" i="28"/>
  <c r="BI119" i="28"/>
  <c r="AJ119" i="28"/>
  <c r="AE116" i="29"/>
  <c r="CM118" i="28"/>
  <c r="BL118" i="28"/>
  <c r="AM118" i="28"/>
  <c r="AE164" i="29"/>
  <c r="CM166" i="28"/>
  <c r="BL166" i="28"/>
  <c r="AM166" i="28"/>
  <c r="AF161" i="29"/>
  <c r="CN163" i="28"/>
  <c r="BM163" i="28"/>
  <c r="AN163" i="28"/>
  <c r="AB157" i="29"/>
  <c r="CJ159" i="28"/>
  <c r="BI159" i="28"/>
  <c r="AJ159" i="28"/>
  <c r="AC154" i="29"/>
  <c r="CK156" i="28"/>
  <c r="BJ156" i="28"/>
  <c r="AK156" i="28"/>
  <c r="AD151" i="29"/>
  <c r="CL153" i="28"/>
  <c r="BK153" i="28"/>
  <c r="AL153" i="28"/>
  <c r="AB149" i="29"/>
  <c r="CJ151" i="28"/>
  <c r="BI151" i="28"/>
  <c r="AJ151" i="28"/>
  <c r="AE148" i="29"/>
  <c r="BL150" i="28"/>
  <c r="CM150" i="28"/>
  <c r="AM150" i="28"/>
  <c r="AC146" i="29"/>
  <c r="CK148" i="28"/>
  <c r="BJ148" i="28"/>
  <c r="AK148" i="28"/>
  <c r="AF145" i="29"/>
  <c r="CN147" i="28"/>
  <c r="BM147" i="28"/>
  <c r="AN147" i="28"/>
  <c r="AD143" i="29"/>
  <c r="CL145" i="28"/>
  <c r="BK145" i="28"/>
  <c r="AL145" i="28"/>
  <c r="AB141" i="29"/>
  <c r="BI143" i="28"/>
  <c r="CJ143" i="28"/>
  <c r="AJ143" i="28"/>
  <c r="AE140" i="29"/>
  <c r="BL142" i="28"/>
  <c r="CM142" i="28"/>
  <c r="AM142" i="28"/>
  <c r="AC138" i="29"/>
  <c r="CK140" i="28"/>
  <c r="BJ140" i="28"/>
  <c r="AK140" i="28"/>
  <c r="AF137" i="29"/>
  <c r="CN139" i="28"/>
  <c r="BM139" i="28"/>
  <c r="AN139" i="28"/>
  <c r="AD135" i="29"/>
  <c r="CL137" i="28"/>
  <c r="BK137" i="28"/>
  <c r="AL137" i="28"/>
  <c r="AB133" i="29"/>
  <c r="CJ135" i="28"/>
  <c r="BI135" i="28"/>
  <c r="AJ135" i="28"/>
  <c r="AE132" i="29"/>
  <c r="CM134" i="28"/>
  <c r="BL134" i="28"/>
  <c r="AM134" i="28"/>
  <c r="AC130" i="29"/>
  <c r="BJ132" i="28"/>
  <c r="CK132" i="28"/>
  <c r="AK132" i="28"/>
  <c r="AF129" i="29"/>
  <c r="CN131" i="28"/>
  <c r="BM131" i="28"/>
  <c r="AN131" i="28"/>
  <c r="AD127" i="29"/>
  <c r="CL129" i="28"/>
  <c r="BK129" i="28"/>
  <c r="AL129" i="28"/>
  <c r="AB125" i="29"/>
  <c r="BI127" i="28"/>
  <c r="CJ127" i="28"/>
  <c r="AJ127" i="28"/>
  <c r="AE124" i="29"/>
  <c r="CM126" i="28"/>
  <c r="BL126" i="28"/>
  <c r="AM126" i="28"/>
  <c r="AC122" i="29"/>
  <c r="BJ124" i="28"/>
  <c r="CK124" i="28"/>
  <c r="AK124" i="28"/>
  <c r="AF121" i="29"/>
  <c r="CN123" i="28"/>
  <c r="BM123" i="28"/>
  <c r="AN123" i="28"/>
  <c r="AD119" i="29"/>
  <c r="CL121" i="28"/>
  <c r="BK121" i="28"/>
  <c r="AL121" i="28"/>
  <c r="AD116" i="29"/>
  <c r="CL118" i="28"/>
  <c r="BK118" i="28"/>
  <c r="AL118" i="28"/>
  <c r="AB165" i="29"/>
  <c r="CJ167" i="28"/>
  <c r="BI167" i="28"/>
  <c r="AJ167" i="28"/>
  <c r="AC162" i="29"/>
  <c r="CK164" i="28"/>
  <c r="BJ164" i="28"/>
  <c r="AK164" i="28"/>
  <c r="AD159" i="29"/>
  <c r="CL161" i="28"/>
  <c r="BK161" i="28"/>
  <c r="AL161" i="28"/>
  <c r="AE156" i="29"/>
  <c r="CM158" i="28"/>
  <c r="BL158" i="28"/>
  <c r="AM158" i="28"/>
  <c r="AF153" i="29"/>
  <c r="BM155" i="28"/>
  <c r="CN155" i="28"/>
  <c r="AN155" i="28"/>
  <c r="AD164" i="29"/>
  <c r="CL166" i="28"/>
  <c r="BK166" i="28"/>
  <c r="AL166" i="28"/>
  <c r="AB162" i="29"/>
  <c r="CJ164" i="28"/>
  <c r="BI164" i="28"/>
  <c r="AJ164" i="28"/>
  <c r="AE161" i="29"/>
  <c r="CM163" i="28"/>
  <c r="BL163" i="28"/>
  <c r="AM163" i="28"/>
  <c r="AC159" i="29"/>
  <c r="CK161" i="28"/>
  <c r="BJ161" i="28"/>
  <c r="AK161" i="28"/>
  <c r="AF158" i="29"/>
  <c r="CN160" i="28"/>
  <c r="BM160" i="28"/>
  <c r="AN160" i="28"/>
  <c r="AD156" i="29"/>
  <c r="CL158" i="28"/>
  <c r="BK158" i="28"/>
  <c r="AL158" i="28"/>
  <c r="AB154" i="29"/>
  <c r="CJ156" i="28"/>
  <c r="BI156" i="28"/>
  <c r="AJ156" i="28"/>
  <c r="AE153" i="29"/>
  <c r="BL155" i="28"/>
  <c r="CM155" i="28"/>
  <c r="AM155" i="28"/>
  <c r="CK153" i="28"/>
  <c r="BJ153" i="28"/>
  <c r="AC151" i="29"/>
  <c r="AK153" i="28"/>
  <c r="AF150" i="29"/>
  <c r="CN152" i="28"/>
  <c r="BM152" i="28"/>
  <c r="AN152" i="28"/>
  <c r="AD148" i="29"/>
  <c r="CL150" i="28"/>
  <c r="BK150" i="28"/>
  <c r="AL150" i="28"/>
  <c r="AB146" i="29"/>
  <c r="BI148" i="28"/>
  <c r="CJ148" i="28"/>
  <c r="AJ148" i="28"/>
  <c r="AE145" i="29"/>
  <c r="BL147" i="28"/>
  <c r="CM147" i="28"/>
  <c r="AM147" i="28"/>
  <c r="AC143" i="29"/>
  <c r="CK145" i="28"/>
  <c r="BJ145" i="28"/>
  <c r="AK145" i="28"/>
  <c r="AF142" i="29"/>
  <c r="BM144" i="28"/>
  <c r="CN144" i="28"/>
  <c r="AN144" i="28"/>
  <c r="AD140" i="29"/>
  <c r="CL142" i="28"/>
  <c r="BK142" i="28"/>
  <c r="AL142" i="28"/>
  <c r="AB138" i="29"/>
  <c r="CJ140" i="28"/>
  <c r="BI140" i="28"/>
  <c r="AJ140" i="28"/>
  <c r="AE137" i="29"/>
  <c r="CM139" i="28"/>
  <c r="BL139" i="28"/>
  <c r="AM139" i="28"/>
  <c r="AC135" i="29"/>
  <c r="CK137" i="28"/>
  <c r="BJ137" i="28"/>
  <c r="AK137" i="28"/>
  <c r="AF134" i="29"/>
  <c r="CN136" i="28"/>
  <c r="BM136" i="28"/>
  <c r="AN136" i="28"/>
  <c r="AD132" i="29"/>
  <c r="CL134" i="28"/>
  <c r="BK134" i="28"/>
  <c r="AL134" i="28"/>
  <c r="AB130" i="29"/>
  <c r="BI132" i="28"/>
  <c r="CJ132" i="28"/>
  <c r="AJ132" i="28"/>
  <c r="AE129" i="29"/>
  <c r="CM131" i="28"/>
  <c r="BL131" i="28"/>
  <c r="AM131" i="28"/>
  <c r="AC127" i="29"/>
  <c r="CK129" i="28"/>
  <c r="BJ129" i="28"/>
  <c r="AK129" i="28"/>
  <c r="AF126" i="29"/>
  <c r="BM128" i="28"/>
  <c r="CN128" i="28"/>
  <c r="AN128" i="28"/>
  <c r="AD124" i="29"/>
  <c r="CL126" i="28"/>
  <c r="BK126" i="28"/>
  <c r="AL126" i="28"/>
  <c r="AB122" i="29"/>
  <c r="CJ124" i="28"/>
  <c r="BI124" i="28"/>
  <c r="AJ124" i="28"/>
  <c r="AE121" i="29"/>
  <c r="CM123" i="28"/>
  <c r="BL123" i="28"/>
  <c r="AM123" i="28"/>
  <c r="AC119" i="29"/>
  <c r="CK121" i="28"/>
  <c r="BJ121" i="28"/>
  <c r="AK121" i="28"/>
  <c r="AF118" i="29"/>
  <c r="CN120" i="28"/>
  <c r="BM120" i="28"/>
  <c r="AN120" i="28"/>
  <c r="AC116" i="29"/>
  <c r="CK118" i="28"/>
  <c r="BJ118" i="28"/>
  <c r="AK118" i="28"/>
  <c r="EB119" i="28"/>
  <c r="F119" i="30" s="1"/>
  <c r="AC164" i="29"/>
  <c r="CK166" i="28"/>
  <c r="BJ166" i="28"/>
  <c r="AK166" i="28"/>
  <c r="AF163" i="29"/>
  <c r="BM165" i="28"/>
  <c r="CN165" i="28"/>
  <c r="AN165" i="28"/>
  <c r="AE158" i="29"/>
  <c r="CM160" i="28"/>
  <c r="BL160" i="28"/>
  <c r="AM160" i="28"/>
  <c r="AC156" i="29"/>
  <c r="CK158" i="28"/>
  <c r="BJ158" i="28"/>
  <c r="AK158" i="28"/>
  <c r="AF155" i="29"/>
  <c r="BM157" i="28"/>
  <c r="CN157" i="28"/>
  <c r="AN157" i="28"/>
  <c r="AD153" i="29"/>
  <c r="CL155" i="28"/>
  <c r="BK155" i="28"/>
  <c r="AL155" i="28"/>
  <c r="AB151" i="29"/>
  <c r="BI153" i="28"/>
  <c r="CJ153" i="28"/>
  <c r="AJ153" i="28"/>
  <c r="AE150" i="29"/>
  <c r="CM152" i="28"/>
  <c r="BL152" i="28"/>
  <c r="AM152" i="28"/>
  <c r="AC148" i="29"/>
  <c r="CK150" i="28"/>
  <c r="BJ150" i="28"/>
  <c r="AK150" i="28"/>
  <c r="AF147" i="29"/>
  <c r="CN149" i="28"/>
  <c r="BM149" i="28"/>
  <c r="AN149" i="28"/>
  <c r="AD145" i="29"/>
  <c r="BK147" i="28"/>
  <c r="CL147" i="28"/>
  <c r="AL147" i="28"/>
  <c r="AB143" i="29"/>
  <c r="BI145" i="28"/>
  <c r="CJ145" i="28"/>
  <c r="AJ145" i="28"/>
  <c r="AE142" i="29"/>
  <c r="BL144" i="28"/>
  <c r="CM144" i="28"/>
  <c r="AM144" i="28"/>
  <c r="AB135" i="29"/>
  <c r="CJ137" i="28"/>
  <c r="BI137" i="28"/>
  <c r="AJ137" i="28"/>
  <c r="AE134" i="29"/>
  <c r="CM136" i="28"/>
  <c r="BL136" i="28"/>
  <c r="AM136" i="28"/>
  <c r="AC132" i="29"/>
  <c r="CK134" i="28"/>
  <c r="BJ134" i="28"/>
  <c r="AK134" i="28"/>
  <c r="AF131" i="29"/>
  <c r="BM133" i="28"/>
  <c r="CN133" i="28"/>
  <c r="AN133" i="28"/>
  <c r="AD129" i="29"/>
  <c r="CL131" i="28"/>
  <c r="BK131" i="28"/>
  <c r="AL131" i="28"/>
  <c r="AB127" i="29"/>
  <c r="CJ129" i="28"/>
  <c r="BI129" i="28"/>
  <c r="AJ129" i="28"/>
  <c r="AE126" i="29"/>
  <c r="CM128" i="28"/>
  <c r="BL128" i="28"/>
  <c r="AM128" i="28"/>
  <c r="AC124" i="29"/>
  <c r="CK126" i="28"/>
  <c r="BJ126" i="28"/>
  <c r="AK126" i="28"/>
  <c r="AF123" i="29"/>
  <c r="CN125" i="28"/>
  <c r="BM125" i="28"/>
  <c r="AN125" i="28"/>
  <c r="AD121" i="29"/>
  <c r="CL123" i="28"/>
  <c r="BK123" i="28"/>
  <c r="AL123" i="28"/>
  <c r="AB119" i="29"/>
  <c r="BI121" i="28"/>
  <c r="CJ121" i="28"/>
  <c r="AJ121" i="28"/>
  <c r="AE118" i="29"/>
  <c r="BL120" i="28"/>
  <c r="CM120" i="28"/>
  <c r="AM120" i="28"/>
  <c r="AB116" i="29"/>
  <c r="CJ118" i="28"/>
  <c r="BI118" i="28"/>
  <c r="AJ118" i="28"/>
  <c r="AF139" i="29"/>
  <c r="BM141" i="28"/>
  <c r="CN141" i="28"/>
  <c r="AN141" i="28"/>
  <c r="AB164" i="29"/>
  <c r="CJ166" i="28"/>
  <c r="BI166" i="28"/>
  <c r="AJ166" i="28"/>
  <c r="AE163" i="29"/>
  <c r="CM165" i="28"/>
  <c r="BL165" i="28"/>
  <c r="AM165" i="28"/>
  <c r="AC161" i="29"/>
  <c r="CK163" i="28"/>
  <c r="BJ163" i="28"/>
  <c r="AK163" i="28"/>
  <c r="AF160" i="29"/>
  <c r="CN162" i="28"/>
  <c r="BM162" i="28"/>
  <c r="AN162" i="28"/>
  <c r="AD158" i="29"/>
  <c r="CL160" i="28"/>
  <c r="BK160" i="28"/>
  <c r="AL160" i="28"/>
  <c r="AB156" i="29"/>
  <c r="CJ158" i="28"/>
  <c r="BI158" i="28"/>
  <c r="AJ158" i="28"/>
  <c r="AE155" i="29"/>
  <c r="CM157" i="28"/>
  <c r="BL157" i="28"/>
  <c r="AM157" i="28"/>
  <c r="AC153" i="29"/>
  <c r="CK155" i="28"/>
  <c r="BJ155" i="28"/>
  <c r="AK155" i="28"/>
  <c r="AF152" i="29"/>
  <c r="CN154" i="28"/>
  <c r="BM154" i="28"/>
  <c r="AN154" i="28"/>
  <c r="AD150" i="29"/>
  <c r="CL152" i="28"/>
  <c r="BK152" i="28"/>
  <c r="AL152" i="28"/>
  <c r="AB148" i="29"/>
  <c r="CJ150" i="28"/>
  <c r="BI150" i="28"/>
  <c r="AJ150" i="28"/>
  <c r="AE147" i="29"/>
  <c r="BL149" i="28"/>
  <c r="CM149" i="28"/>
  <c r="AM149" i="28"/>
  <c r="AC145" i="29"/>
  <c r="CK147" i="28"/>
  <c r="BJ147" i="28"/>
  <c r="AK147" i="28"/>
  <c r="CN146" i="28"/>
  <c r="BM146" i="28"/>
  <c r="AF144" i="29"/>
  <c r="AN146" i="28"/>
  <c r="AD142" i="29"/>
  <c r="CL144" i="28"/>
  <c r="BK144" i="28"/>
  <c r="AL144" i="28"/>
  <c r="AB140" i="29"/>
  <c r="CJ142" i="28"/>
  <c r="BI142" i="28"/>
  <c r="AJ142" i="28"/>
  <c r="AE139" i="29"/>
  <c r="CM141" i="28"/>
  <c r="BL141" i="28"/>
  <c r="AM141" i="28"/>
  <c r="AC137" i="29"/>
  <c r="CK139" i="28"/>
  <c r="BJ139" i="28"/>
  <c r="AK139" i="28"/>
  <c r="AF136" i="29"/>
  <c r="CN138" i="28"/>
  <c r="BM138" i="28"/>
  <c r="AN138" i="28"/>
  <c r="AD134" i="29"/>
  <c r="CL136" i="28"/>
  <c r="BK136" i="28"/>
  <c r="AL136" i="28"/>
  <c r="CJ134" i="28"/>
  <c r="BI134" i="28"/>
  <c r="AB132" i="29"/>
  <c r="AJ134" i="28"/>
  <c r="AE131" i="29"/>
  <c r="CM133" i="28"/>
  <c r="BL133" i="28"/>
  <c r="AM133" i="28"/>
  <c r="CK131" i="28"/>
  <c r="BJ131" i="28"/>
  <c r="AC129" i="29"/>
  <c r="AK131" i="28"/>
  <c r="AF128" i="29"/>
  <c r="CN130" i="28"/>
  <c r="BM130" i="28"/>
  <c r="AN130" i="28"/>
  <c r="AD126" i="29"/>
  <c r="CL128" i="28"/>
  <c r="BK128" i="28"/>
  <c r="AL128" i="28"/>
  <c r="AB124" i="29"/>
  <c r="CJ126" i="28"/>
  <c r="BI126" i="28"/>
  <c r="AJ126" i="28"/>
  <c r="AE123" i="29"/>
  <c r="BL125" i="28"/>
  <c r="CM125" i="28"/>
  <c r="AM125" i="28"/>
  <c r="AC121" i="29"/>
  <c r="CK123" i="28"/>
  <c r="BJ123" i="28"/>
  <c r="AK123" i="28"/>
  <c r="CN122" i="28"/>
  <c r="BM122" i="28"/>
  <c r="AF120" i="29"/>
  <c r="AN122" i="28"/>
  <c r="AD118" i="29"/>
  <c r="CL120" i="28"/>
  <c r="BK120" i="28"/>
  <c r="AL120" i="28"/>
  <c r="AD137" i="29"/>
  <c r="CL139" i="28"/>
  <c r="BK139" i="28"/>
  <c r="AL139" i="28"/>
  <c r="AF165" i="29"/>
  <c r="CN167" i="28"/>
  <c r="BM167" i="28"/>
  <c r="AN167" i="28"/>
  <c r="AD163" i="29"/>
  <c r="CL165" i="28"/>
  <c r="BK165" i="28"/>
  <c r="AL165" i="28"/>
  <c r="AB161" i="29"/>
  <c r="CJ163" i="28"/>
  <c r="BI163" i="28"/>
  <c r="AJ163" i="28"/>
  <c r="AE160" i="29"/>
  <c r="CM162" i="28"/>
  <c r="BL162" i="28"/>
  <c r="AM162" i="28"/>
  <c r="AC158" i="29"/>
  <c r="CK160" i="28"/>
  <c r="BJ160" i="28"/>
  <c r="AK160" i="28"/>
  <c r="AF157" i="29"/>
  <c r="CN159" i="28"/>
  <c r="BM159" i="28"/>
  <c r="AN159" i="28"/>
  <c r="AD155" i="29"/>
  <c r="BK157" i="28"/>
  <c r="CL157" i="28"/>
  <c r="AL157" i="28"/>
  <c r="AB153" i="29"/>
  <c r="CJ155" i="28"/>
  <c r="BI155" i="28"/>
  <c r="AJ155" i="28"/>
  <c r="AE152" i="29"/>
  <c r="CM154" i="28"/>
  <c r="BL154" i="28"/>
  <c r="AM154" i="28"/>
  <c r="AC150" i="29"/>
  <c r="CK152" i="28"/>
  <c r="BJ152" i="28"/>
  <c r="AK152" i="28"/>
  <c r="AF149" i="29"/>
  <c r="CN151" i="28"/>
  <c r="BM151" i="28"/>
  <c r="AN151" i="28"/>
  <c r="AD147" i="29"/>
  <c r="CL149" i="28"/>
  <c r="BK149" i="28"/>
  <c r="AL149" i="28"/>
  <c r="AB145" i="29"/>
  <c r="CJ147" i="28"/>
  <c r="BI147" i="28"/>
  <c r="AJ147" i="28"/>
  <c r="AE144" i="29"/>
  <c r="CM146" i="28"/>
  <c r="BL146" i="28"/>
  <c r="AM146" i="28"/>
  <c r="AC142" i="29"/>
  <c r="CK144" i="28"/>
  <c r="BJ144" i="28"/>
  <c r="AK144" i="28"/>
  <c r="AF141" i="29"/>
  <c r="CN143" i="28"/>
  <c r="BM143" i="28"/>
  <c r="AN143" i="28"/>
  <c r="AD139" i="29"/>
  <c r="BK141" i="28"/>
  <c r="CL141" i="28"/>
  <c r="AL141" i="28"/>
  <c r="AB137" i="29"/>
  <c r="CJ139" i="28"/>
  <c r="BI139" i="28"/>
  <c r="AJ139" i="28"/>
  <c r="AE136" i="29"/>
  <c r="BL138" i="28"/>
  <c r="CM138" i="28"/>
  <c r="AM138" i="28"/>
  <c r="AC134" i="29"/>
  <c r="CK136" i="28"/>
  <c r="BJ136" i="28"/>
  <c r="AK136" i="28"/>
  <c r="AF133" i="29"/>
  <c r="CN135" i="28"/>
  <c r="BM135" i="28"/>
  <c r="AN135" i="28"/>
  <c r="AD131" i="29"/>
  <c r="CL133" i="28"/>
  <c r="BK133" i="28"/>
  <c r="AL133" i="28"/>
  <c r="AB129" i="29"/>
  <c r="CJ131" i="28"/>
  <c r="BI131" i="28"/>
  <c r="AJ131" i="28"/>
  <c r="AE128" i="29"/>
  <c r="BL130" i="28"/>
  <c r="CM130" i="28"/>
  <c r="AM130" i="28"/>
  <c r="AC126" i="29"/>
  <c r="CK128" i="28"/>
  <c r="BJ128" i="28"/>
  <c r="AK128" i="28"/>
  <c r="AF125" i="29"/>
  <c r="CN127" i="28"/>
  <c r="BM127" i="28"/>
  <c r="AN127" i="28"/>
  <c r="AD123" i="29"/>
  <c r="CL125" i="28"/>
  <c r="BK125" i="28"/>
  <c r="AL125" i="28"/>
  <c r="AB121" i="29"/>
  <c r="CJ123" i="28"/>
  <c r="BI123" i="28"/>
  <c r="AJ123" i="28"/>
  <c r="AE120" i="29"/>
  <c r="CM122" i="28"/>
  <c r="BL122" i="28"/>
  <c r="AM122" i="28"/>
  <c r="AC118" i="29"/>
  <c r="CK120" i="28"/>
  <c r="BJ120" i="28"/>
  <c r="AK120" i="28"/>
  <c r="AF117" i="29"/>
  <c r="CN119" i="28"/>
  <c r="BM119" i="28"/>
  <c r="AN119" i="28"/>
  <c r="V158" i="28"/>
  <c r="AA158" i="28"/>
  <c r="AC144" i="28"/>
  <c r="X144" i="28"/>
  <c r="AA134" i="28"/>
  <c r="V134" i="28"/>
  <c r="AC128" i="28"/>
  <c r="X128" i="28"/>
  <c r="X120" i="28"/>
  <c r="AC120" i="28"/>
  <c r="X165" i="28"/>
  <c r="AC165" i="28"/>
  <c r="Z158" i="28"/>
  <c r="U158" i="28"/>
  <c r="AB166" i="28"/>
  <c r="W166" i="28"/>
  <c r="U164" i="28"/>
  <c r="Z164" i="28"/>
  <c r="X163" i="28"/>
  <c r="AC163" i="28"/>
  <c r="V161" i="28"/>
  <c r="AA161" i="28"/>
  <c r="AD160" i="28"/>
  <c r="Y160" i="28"/>
  <c r="AB158" i="28"/>
  <c r="W158" i="28"/>
  <c r="Z156" i="28"/>
  <c r="U156" i="28"/>
  <c r="X155" i="28"/>
  <c r="AC155" i="28"/>
  <c r="AA153" i="28"/>
  <c r="V153" i="28"/>
  <c r="AD152" i="28"/>
  <c r="Y152" i="28"/>
  <c r="AB150" i="28"/>
  <c r="W150" i="28"/>
  <c r="Z148" i="28"/>
  <c r="U148" i="28"/>
  <c r="X147" i="28"/>
  <c r="AC147" i="28"/>
  <c r="V145" i="28"/>
  <c r="AA145" i="28"/>
  <c r="AD144" i="28"/>
  <c r="Y144" i="28"/>
  <c r="AB142" i="28"/>
  <c r="W142" i="28"/>
  <c r="Z140" i="28"/>
  <c r="U140" i="28"/>
  <c r="X139" i="28"/>
  <c r="AC139" i="28"/>
  <c r="V137" i="28"/>
  <c r="AA137" i="28"/>
  <c r="AD136" i="28"/>
  <c r="Y136" i="28"/>
  <c r="AB134" i="28"/>
  <c r="W134" i="28"/>
  <c r="U132" i="28"/>
  <c r="Z132" i="28"/>
  <c r="X131" i="28"/>
  <c r="AC131" i="28"/>
  <c r="V129" i="28"/>
  <c r="AA129" i="28"/>
  <c r="AD128" i="28"/>
  <c r="Y128" i="28"/>
  <c r="AB126" i="28"/>
  <c r="W126" i="28"/>
  <c r="Z124" i="28"/>
  <c r="U124" i="28"/>
  <c r="X123" i="28"/>
  <c r="AC123" i="28"/>
  <c r="AA121" i="28"/>
  <c r="V121" i="28"/>
  <c r="AD120" i="28"/>
  <c r="Y120" i="28"/>
  <c r="AA118" i="28"/>
  <c r="V118" i="28"/>
  <c r="V166" i="28"/>
  <c r="AA166" i="28"/>
  <c r="W155" i="28"/>
  <c r="AB155" i="28"/>
  <c r="U145" i="28"/>
  <c r="Z145" i="28"/>
  <c r="AB131" i="28"/>
  <c r="W131" i="28"/>
  <c r="Z166" i="28"/>
  <c r="U166" i="28"/>
  <c r="Y162" i="28"/>
  <c r="AD162" i="28"/>
  <c r="AD154" i="28"/>
  <c r="Y154" i="28"/>
  <c r="AA147" i="28"/>
  <c r="V147" i="28"/>
  <c r="Y138" i="28"/>
  <c r="AD138" i="28"/>
  <c r="AC133" i="28"/>
  <c r="X133" i="28"/>
  <c r="Y130" i="28"/>
  <c r="AD130" i="28"/>
  <c r="W128" i="28"/>
  <c r="AB128" i="28"/>
  <c r="Z126" i="28"/>
  <c r="U126" i="28"/>
  <c r="AD167" i="28"/>
  <c r="Y167" i="28"/>
  <c r="AB165" i="28"/>
  <c r="W165" i="28"/>
  <c r="Z163" i="28"/>
  <c r="U163" i="28"/>
  <c r="AC162" i="28"/>
  <c r="X162" i="28"/>
  <c r="V160" i="28"/>
  <c r="AA160" i="28"/>
  <c r="AD159" i="28"/>
  <c r="Y159" i="28"/>
  <c r="AB157" i="28"/>
  <c r="W157" i="28"/>
  <c r="Z155" i="28"/>
  <c r="U155" i="28"/>
  <c r="AC154" i="28"/>
  <c r="X154" i="28"/>
  <c r="V152" i="28"/>
  <c r="AA152" i="28"/>
  <c r="AD151" i="28"/>
  <c r="Y151" i="28"/>
  <c r="AB149" i="28"/>
  <c r="W149" i="28"/>
  <c r="Z147" i="28"/>
  <c r="U147" i="28"/>
  <c r="AC146" i="28"/>
  <c r="X146" i="28"/>
  <c r="V144" i="28"/>
  <c r="AA144" i="28"/>
  <c r="AD143" i="28"/>
  <c r="Y143" i="28"/>
  <c r="AB141" i="28"/>
  <c r="W141" i="28"/>
  <c r="Z139" i="28"/>
  <c r="U139" i="28"/>
  <c r="AC138" i="28"/>
  <c r="X138" i="28"/>
  <c r="V136" i="28"/>
  <c r="AA136" i="28"/>
  <c r="AD135" i="28"/>
  <c r="Y135" i="28"/>
  <c r="AB133" i="28"/>
  <c r="W133" i="28"/>
  <c r="Z131" i="28"/>
  <c r="U131" i="28"/>
  <c r="AC130" i="28"/>
  <c r="X130" i="28"/>
  <c r="V128" i="28"/>
  <c r="AA128" i="28"/>
  <c r="Y127" i="28"/>
  <c r="AD127" i="28"/>
  <c r="AB125" i="28"/>
  <c r="W125" i="28"/>
  <c r="Z123" i="28"/>
  <c r="U123" i="28"/>
  <c r="AC122" i="28"/>
  <c r="X122" i="28"/>
  <c r="V120" i="28"/>
  <c r="AA120" i="28"/>
  <c r="Y119" i="28"/>
  <c r="AD119" i="28"/>
  <c r="AD165" i="28"/>
  <c r="Y165" i="28"/>
  <c r="Z161" i="28"/>
  <c r="U161" i="28"/>
  <c r="V150" i="28"/>
  <c r="AA150" i="28"/>
  <c r="AD141" i="28"/>
  <c r="Y141" i="28"/>
  <c r="U137" i="28"/>
  <c r="Z137" i="28"/>
  <c r="Z121" i="28"/>
  <c r="U121" i="28"/>
  <c r="AB160" i="28"/>
  <c r="W160" i="28"/>
  <c r="AC149" i="28"/>
  <c r="X149" i="28"/>
  <c r="AD146" i="28"/>
  <c r="Y146" i="28"/>
  <c r="Z142" i="28"/>
  <c r="U142" i="28"/>
  <c r="Z134" i="28"/>
  <c r="U134" i="28"/>
  <c r="AA131" i="28"/>
  <c r="V131" i="28"/>
  <c r="AA123" i="28"/>
  <c r="V123" i="28"/>
  <c r="X167" i="28"/>
  <c r="AC167" i="28"/>
  <c r="AA165" i="28"/>
  <c r="V165" i="28"/>
  <c r="AD164" i="28"/>
  <c r="Y164" i="28"/>
  <c r="AB162" i="28"/>
  <c r="W162" i="28"/>
  <c r="Z160" i="28"/>
  <c r="U160" i="28"/>
  <c r="X159" i="28"/>
  <c r="AC159" i="28"/>
  <c r="V157" i="28"/>
  <c r="AA157" i="28"/>
  <c r="AD156" i="28"/>
  <c r="Y156" i="28"/>
  <c r="AB154" i="28"/>
  <c r="W154" i="28"/>
  <c r="U152" i="28"/>
  <c r="Z152" i="28"/>
  <c r="X151" i="28"/>
  <c r="AC151" i="28"/>
  <c r="AA149" i="28"/>
  <c r="V149" i="28"/>
  <c r="AD148" i="28"/>
  <c r="Y148" i="28"/>
  <c r="AB146" i="28"/>
  <c r="W146" i="28"/>
  <c r="Z144" i="28"/>
  <c r="U144" i="28"/>
  <c r="X143" i="28"/>
  <c r="AC143" i="28"/>
  <c r="V141" i="28"/>
  <c r="AA141" i="28"/>
  <c r="AD140" i="28"/>
  <c r="Y140" i="28"/>
  <c r="AB138" i="28"/>
  <c r="W138" i="28"/>
  <c r="U136" i="28"/>
  <c r="Z136" i="28"/>
  <c r="X135" i="28"/>
  <c r="AC135" i="28"/>
  <c r="AA133" i="28"/>
  <c r="V133" i="28"/>
  <c r="AD132" i="28"/>
  <c r="Y132" i="28"/>
  <c r="AB130" i="28"/>
  <c r="W130" i="28"/>
  <c r="Z128" i="28"/>
  <c r="U128" i="28"/>
  <c r="X127" i="28"/>
  <c r="AC127" i="28"/>
  <c r="AA125" i="28"/>
  <c r="V125" i="28"/>
  <c r="AD124" i="28"/>
  <c r="Y124" i="28"/>
  <c r="AB122" i="28"/>
  <c r="W122" i="28"/>
  <c r="U120" i="28"/>
  <c r="Z120" i="28"/>
  <c r="X119" i="28"/>
  <c r="AC119" i="28"/>
  <c r="AD157" i="28"/>
  <c r="Y157" i="28"/>
  <c r="X152" i="28"/>
  <c r="AC152" i="28"/>
  <c r="X136" i="28"/>
  <c r="AC136" i="28"/>
  <c r="X157" i="28"/>
  <c r="AC157" i="28"/>
  <c r="AA155" i="28"/>
  <c r="V155" i="28"/>
  <c r="AB152" i="28"/>
  <c r="W152" i="28"/>
  <c r="AC141" i="28"/>
  <c r="X141" i="28"/>
  <c r="AA139" i="28"/>
  <c r="V139" i="28"/>
  <c r="W136" i="28"/>
  <c r="AB136" i="28"/>
  <c r="X125" i="28"/>
  <c r="AC125" i="28"/>
  <c r="AD122" i="28"/>
  <c r="Y122" i="28"/>
  <c r="W120" i="28"/>
  <c r="AB120" i="28"/>
  <c r="W167" i="28"/>
  <c r="AB167" i="28"/>
  <c r="Z165" i="28"/>
  <c r="U165" i="28"/>
  <c r="X164" i="28"/>
  <c r="AC164" i="28"/>
  <c r="V162" i="28"/>
  <c r="AA162" i="28"/>
  <c r="AD161" i="28"/>
  <c r="Y161" i="28"/>
  <c r="W159" i="28"/>
  <c r="AB159" i="28"/>
  <c r="Z157" i="28"/>
  <c r="U157" i="28"/>
  <c r="AC156" i="28"/>
  <c r="X156" i="28"/>
  <c r="V154" i="28"/>
  <c r="AA154" i="28"/>
  <c r="AD153" i="28"/>
  <c r="Y153" i="28"/>
  <c r="AB151" i="28"/>
  <c r="W151" i="28"/>
  <c r="Z149" i="28"/>
  <c r="U149" i="28"/>
  <c r="X148" i="28"/>
  <c r="AC148" i="28"/>
  <c r="V146" i="28"/>
  <c r="AA146" i="28"/>
  <c r="AD145" i="28"/>
  <c r="Y145" i="28"/>
  <c r="W143" i="28"/>
  <c r="AB143" i="28"/>
  <c r="Z141" i="28"/>
  <c r="U141" i="28"/>
  <c r="AC140" i="28"/>
  <c r="X140" i="28"/>
  <c r="AA138" i="28"/>
  <c r="V138" i="28"/>
  <c r="AD137" i="28"/>
  <c r="Y137" i="28"/>
  <c r="AB135" i="28"/>
  <c r="W135" i="28"/>
  <c r="U133" i="28"/>
  <c r="Z133" i="28"/>
  <c r="X132" i="28"/>
  <c r="AC132" i="28"/>
  <c r="AA130" i="28"/>
  <c r="V130" i="28"/>
  <c r="AD129" i="28"/>
  <c r="Y129" i="28"/>
  <c r="W127" i="28"/>
  <c r="AB127" i="28"/>
  <c r="U125" i="28"/>
  <c r="Z125" i="28"/>
  <c r="X124" i="28"/>
  <c r="AC124" i="28"/>
  <c r="AA122" i="28"/>
  <c r="V122" i="28"/>
  <c r="AD121" i="28"/>
  <c r="Y121" i="28"/>
  <c r="AA119" i="28"/>
  <c r="V119" i="28"/>
  <c r="Y118" i="28"/>
  <c r="AD118" i="28"/>
  <c r="Z153" i="28"/>
  <c r="U153" i="28"/>
  <c r="W147" i="28"/>
  <c r="AB147" i="28"/>
  <c r="AA142" i="28"/>
  <c r="V142" i="28"/>
  <c r="AD125" i="28"/>
  <c r="Y125" i="28"/>
  <c r="AA167" i="28"/>
  <c r="V167" i="28"/>
  <c r="Y166" i="28"/>
  <c r="AD166" i="28"/>
  <c r="AB164" i="28"/>
  <c r="W164" i="28"/>
  <c r="Z162" i="28"/>
  <c r="U162" i="28"/>
  <c r="X161" i="28"/>
  <c r="AC161" i="28"/>
  <c r="AA159" i="28"/>
  <c r="V159" i="28"/>
  <c r="AD158" i="28"/>
  <c r="Y158" i="28"/>
  <c r="AB156" i="28"/>
  <c r="W156" i="28"/>
  <c r="Z154" i="28"/>
  <c r="U154" i="28"/>
  <c r="X153" i="28"/>
  <c r="AC153" i="28"/>
  <c r="AA151" i="28"/>
  <c r="V151" i="28"/>
  <c r="AD150" i="28"/>
  <c r="Y150" i="28"/>
  <c r="AB148" i="28"/>
  <c r="W148" i="28"/>
  <c r="Z146" i="28"/>
  <c r="U146" i="28"/>
  <c r="AC145" i="28"/>
  <c r="X145" i="28"/>
  <c r="AA143" i="28"/>
  <c r="V143" i="28"/>
  <c r="AD142" i="28"/>
  <c r="Y142" i="28"/>
  <c r="W140" i="28"/>
  <c r="AB140" i="28"/>
  <c r="Z138" i="28"/>
  <c r="U138" i="28"/>
  <c r="X137" i="28"/>
  <c r="AC137" i="28"/>
  <c r="AA135" i="28"/>
  <c r="V135" i="28"/>
  <c r="AD134" i="28"/>
  <c r="Y134" i="28"/>
  <c r="W132" i="28"/>
  <c r="AB132" i="28"/>
  <c r="Z130" i="28"/>
  <c r="U130" i="28"/>
  <c r="AC129" i="28"/>
  <c r="X129" i="28"/>
  <c r="AA127" i="28"/>
  <c r="V127" i="28"/>
  <c r="AD126" i="28"/>
  <c r="Y126" i="28"/>
  <c r="W124" i="28"/>
  <c r="AB124" i="28"/>
  <c r="Z122" i="28"/>
  <c r="U122" i="28"/>
  <c r="AC121" i="28"/>
  <c r="X121" i="28"/>
  <c r="Z119" i="28"/>
  <c r="U119" i="28"/>
  <c r="AC118" i="28"/>
  <c r="X118" i="28"/>
  <c r="AB163" i="28"/>
  <c r="W163" i="28"/>
  <c r="AC160" i="28"/>
  <c r="X160" i="28"/>
  <c r="AD149" i="28"/>
  <c r="Y149" i="28"/>
  <c r="AB139" i="28"/>
  <c r="W139" i="28"/>
  <c r="AD133" i="28"/>
  <c r="Y133" i="28"/>
  <c r="U129" i="28"/>
  <c r="Z129" i="28"/>
  <c r="AA126" i="28"/>
  <c r="V126" i="28"/>
  <c r="W123" i="28"/>
  <c r="AB123" i="28"/>
  <c r="Z118" i="28"/>
  <c r="U118" i="28"/>
  <c r="AA163" i="28"/>
  <c r="V163" i="28"/>
  <c r="Z150" i="28"/>
  <c r="U150" i="28"/>
  <c r="W144" i="28"/>
  <c r="AB144" i="28"/>
  <c r="Z167" i="28"/>
  <c r="U167" i="28"/>
  <c r="AC166" i="28"/>
  <c r="X166" i="28"/>
  <c r="V164" i="28"/>
  <c r="AA164" i="28"/>
  <c r="AD163" i="28"/>
  <c r="Y163" i="28"/>
  <c r="AB161" i="28"/>
  <c r="W161" i="28"/>
  <c r="Z159" i="28"/>
  <c r="U159" i="28"/>
  <c r="AC158" i="28"/>
  <c r="X158" i="28"/>
  <c r="V156" i="28"/>
  <c r="AA156" i="28"/>
  <c r="AD155" i="28"/>
  <c r="Y155" i="28"/>
  <c r="AB153" i="28"/>
  <c r="W153" i="28"/>
  <c r="Z151" i="28"/>
  <c r="U151" i="28"/>
  <c r="AC150" i="28"/>
  <c r="X150" i="28"/>
  <c r="V148" i="28"/>
  <c r="AA148" i="28"/>
  <c r="Y147" i="28"/>
  <c r="AD147" i="28"/>
  <c r="AB145" i="28"/>
  <c r="W145" i="28"/>
  <c r="Z143" i="28"/>
  <c r="U143" i="28"/>
  <c r="AC142" i="28"/>
  <c r="X142" i="28"/>
  <c r="V140" i="28"/>
  <c r="AA140" i="28"/>
  <c r="Y139" i="28"/>
  <c r="AD139" i="28"/>
  <c r="AB137" i="28"/>
  <c r="W137" i="28"/>
  <c r="Z135" i="28"/>
  <c r="U135" i="28"/>
  <c r="AC134" i="28"/>
  <c r="X134" i="28"/>
  <c r="V132" i="28"/>
  <c r="AA132" i="28"/>
  <c r="AD131" i="28"/>
  <c r="Y131" i="28"/>
  <c r="AB129" i="28"/>
  <c r="W129" i="28"/>
  <c r="Z127" i="28"/>
  <c r="U127" i="28"/>
  <c r="AC126" i="28"/>
  <c r="X126" i="28"/>
  <c r="V124" i="28"/>
  <c r="AA124" i="28"/>
  <c r="Y123" i="28"/>
  <c r="AD123" i="28"/>
  <c r="AB121" i="28"/>
  <c r="W121" i="28"/>
  <c r="AB118" i="28"/>
  <c r="W118" i="28"/>
  <c r="Y164" i="29"/>
  <c r="T164" i="29"/>
  <c r="AY164" i="29"/>
  <c r="W162" i="29"/>
  <c r="R162" i="29"/>
  <c r="AW162" i="29"/>
  <c r="Z161" i="29"/>
  <c r="U161" i="29"/>
  <c r="AZ161" i="29"/>
  <c r="X159" i="29"/>
  <c r="S159" i="29"/>
  <c r="AX159" i="29"/>
  <c r="AA158" i="29"/>
  <c r="V158" i="29"/>
  <c r="BA158" i="29"/>
  <c r="Y156" i="29"/>
  <c r="T156" i="29"/>
  <c r="AY156" i="29"/>
  <c r="W154" i="29"/>
  <c r="R154" i="29"/>
  <c r="AW154" i="29"/>
  <c r="Z153" i="29"/>
  <c r="U153" i="29"/>
  <c r="AZ153" i="29"/>
  <c r="AA150" i="29"/>
  <c r="V150" i="29"/>
  <c r="BA150" i="29"/>
  <c r="W146" i="29"/>
  <c r="R146" i="29"/>
  <c r="AW146" i="29"/>
  <c r="Z145" i="29"/>
  <c r="U145" i="29"/>
  <c r="AZ145" i="29"/>
  <c r="S143" i="29"/>
  <c r="X143" i="29"/>
  <c r="AX143" i="29"/>
  <c r="AA142" i="29"/>
  <c r="V142" i="29"/>
  <c r="BA142" i="29"/>
  <c r="Y140" i="29"/>
  <c r="T140" i="29"/>
  <c r="AY140" i="29"/>
  <c r="W138" i="29"/>
  <c r="R138" i="29"/>
  <c r="AW138" i="29"/>
  <c r="Z137" i="29"/>
  <c r="U137" i="29"/>
  <c r="AZ137" i="29"/>
  <c r="X135" i="29"/>
  <c r="S135" i="29"/>
  <c r="AX135" i="29"/>
  <c r="AA134" i="29"/>
  <c r="V134" i="29"/>
  <c r="BA134" i="29"/>
  <c r="Y132" i="29"/>
  <c r="T132" i="29"/>
  <c r="AY132" i="29"/>
  <c r="W130" i="29"/>
  <c r="R130" i="29"/>
  <c r="AW130" i="29"/>
  <c r="Z129" i="29"/>
  <c r="U129" i="29"/>
  <c r="AZ129" i="29"/>
  <c r="X127" i="29"/>
  <c r="S127" i="29"/>
  <c r="AX127" i="29"/>
  <c r="AA126" i="29"/>
  <c r="V126" i="29"/>
  <c r="BA126" i="29"/>
  <c r="Y124" i="29"/>
  <c r="T124" i="29"/>
  <c r="AY124" i="29"/>
  <c r="W122" i="29"/>
  <c r="R122" i="29"/>
  <c r="AW122" i="29"/>
  <c r="Z121" i="29"/>
  <c r="U121" i="29"/>
  <c r="AZ121" i="29"/>
  <c r="X119" i="29"/>
  <c r="S119" i="29"/>
  <c r="AX119" i="29"/>
  <c r="AA118" i="29"/>
  <c r="V118" i="29"/>
  <c r="BA118" i="29"/>
  <c r="X116" i="29"/>
  <c r="S116" i="29"/>
  <c r="AX116" i="29"/>
  <c r="X156" i="29"/>
  <c r="S156" i="29"/>
  <c r="AX156" i="29"/>
  <c r="Z150" i="29"/>
  <c r="U150" i="29"/>
  <c r="AZ150" i="29"/>
  <c r="X140" i="29"/>
  <c r="S140" i="29"/>
  <c r="AX140" i="29"/>
  <c r="AA131" i="29"/>
  <c r="V131" i="29"/>
  <c r="BA131" i="29"/>
  <c r="W127" i="29"/>
  <c r="R127" i="29"/>
  <c r="AW127" i="29"/>
  <c r="R164" i="29"/>
  <c r="W164" i="29"/>
  <c r="AW164" i="29"/>
  <c r="Z163" i="29"/>
  <c r="U163" i="29"/>
  <c r="AZ163" i="29"/>
  <c r="X161" i="29"/>
  <c r="S161" i="29"/>
  <c r="AX161" i="29"/>
  <c r="V160" i="29"/>
  <c r="AA160" i="29"/>
  <c r="BA160" i="29"/>
  <c r="Y158" i="29"/>
  <c r="T158" i="29"/>
  <c r="AY158" i="29"/>
  <c r="R156" i="29"/>
  <c r="W156" i="29"/>
  <c r="AW156" i="29"/>
  <c r="Z155" i="29"/>
  <c r="U155" i="29"/>
  <c r="AZ155" i="29"/>
  <c r="X153" i="29"/>
  <c r="S153" i="29"/>
  <c r="AX153" i="29"/>
  <c r="AA152" i="29"/>
  <c r="V152" i="29"/>
  <c r="BA152" i="29"/>
  <c r="Y150" i="29"/>
  <c r="T150" i="29"/>
  <c r="AY150" i="29"/>
  <c r="R148" i="29"/>
  <c r="W148" i="29"/>
  <c r="AW148" i="29"/>
  <c r="Z147" i="29"/>
  <c r="U147" i="29"/>
  <c r="AZ147" i="29"/>
  <c r="X145" i="29"/>
  <c r="S145" i="29"/>
  <c r="AX145" i="29"/>
  <c r="V144" i="29"/>
  <c r="AA144" i="29"/>
  <c r="BA144" i="29"/>
  <c r="Y142" i="29"/>
  <c r="T142" i="29"/>
  <c r="AY142" i="29"/>
  <c r="W140" i="29"/>
  <c r="R140" i="29"/>
  <c r="AW140" i="29"/>
  <c r="Z139" i="29"/>
  <c r="U139" i="29"/>
  <c r="AZ139" i="29"/>
  <c r="X137" i="29"/>
  <c r="S137" i="29"/>
  <c r="AX137" i="29"/>
  <c r="AA136" i="29"/>
  <c r="V136" i="29"/>
  <c r="BA136" i="29"/>
  <c r="Y134" i="29"/>
  <c r="T134" i="29"/>
  <c r="AY134" i="29"/>
  <c r="W132" i="29"/>
  <c r="R132" i="29"/>
  <c r="AW132" i="29"/>
  <c r="Z131" i="29"/>
  <c r="U131" i="29"/>
  <c r="AZ131" i="29"/>
  <c r="X129" i="29"/>
  <c r="S129" i="29"/>
  <c r="AX129" i="29"/>
  <c r="AA128" i="29"/>
  <c r="V128" i="29"/>
  <c r="BA128" i="29"/>
  <c r="Y126" i="29"/>
  <c r="T126" i="29"/>
  <c r="AY126" i="29"/>
  <c r="W124" i="29"/>
  <c r="R124" i="29"/>
  <c r="AW124" i="29"/>
  <c r="Z123" i="29"/>
  <c r="U123" i="29"/>
  <c r="AZ123" i="29"/>
  <c r="X121" i="29"/>
  <c r="S121" i="29"/>
  <c r="AX121" i="29"/>
  <c r="AA120" i="29"/>
  <c r="V120" i="29"/>
  <c r="BA120" i="29"/>
  <c r="Y118" i="29"/>
  <c r="T118" i="29"/>
  <c r="AY118" i="29"/>
  <c r="X148" i="29"/>
  <c r="S148" i="29"/>
  <c r="AX148" i="29"/>
  <c r="Z142" i="29"/>
  <c r="AZ142" i="29"/>
  <c r="U142" i="29"/>
  <c r="Z118" i="29"/>
  <c r="AZ118" i="29"/>
  <c r="U118" i="29"/>
  <c r="AA165" i="29"/>
  <c r="V165" i="29"/>
  <c r="BA165" i="29"/>
  <c r="Y163" i="29"/>
  <c r="T163" i="29"/>
  <c r="AY163" i="29"/>
  <c r="W161" i="29"/>
  <c r="R161" i="29"/>
  <c r="AW161" i="29"/>
  <c r="U160" i="29"/>
  <c r="Z160" i="29"/>
  <c r="AZ160" i="29"/>
  <c r="X158" i="29"/>
  <c r="S158" i="29"/>
  <c r="AX158" i="29"/>
  <c r="AA157" i="29"/>
  <c r="V157" i="29"/>
  <c r="BA157" i="29"/>
  <c r="Y155" i="29"/>
  <c r="AY155" i="29"/>
  <c r="T155" i="29"/>
  <c r="W153" i="29"/>
  <c r="R153" i="29"/>
  <c r="AW153" i="29"/>
  <c r="Z152" i="29"/>
  <c r="U152" i="29"/>
  <c r="AZ152" i="29"/>
  <c r="X150" i="29"/>
  <c r="S150" i="29"/>
  <c r="AX150" i="29"/>
  <c r="AA149" i="29"/>
  <c r="V149" i="29"/>
  <c r="BA149" i="29"/>
  <c r="Y147" i="29"/>
  <c r="AY147" i="29"/>
  <c r="T147" i="29"/>
  <c r="W145" i="29"/>
  <c r="R145" i="29"/>
  <c r="AW145" i="29"/>
  <c r="U144" i="29"/>
  <c r="Z144" i="29"/>
  <c r="AZ144" i="29"/>
  <c r="X142" i="29"/>
  <c r="S142" i="29"/>
  <c r="AX142" i="29"/>
  <c r="AA141" i="29"/>
  <c r="V141" i="29"/>
  <c r="BA141" i="29"/>
  <c r="Y139" i="29"/>
  <c r="T139" i="29"/>
  <c r="AY139" i="29"/>
  <c r="W137" i="29"/>
  <c r="R137" i="29"/>
  <c r="AW137" i="29"/>
  <c r="Z136" i="29"/>
  <c r="U136" i="29"/>
  <c r="AZ136" i="29"/>
  <c r="X134" i="29"/>
  <c r="S134" i="29"/>
  <c r="AX134" i="29"/>
  <c r="AA133" i="29"/>
  <c r="V133" i="29"/>
  <c r="BA133" i="29"/>
  <c r="Y131" i="29"/>
  <c r="AY131" i="29"/>
  <c r="T131" i="29"/>
  <c r="W129" i="29"/>
  <c r="R129" i="29"/>
  <c r="AW129" i="29"/>
  <c r="Z128" i="29"/>
  <c r="U128" i="29"/>
  <c r="AZ128" i="29"/>
  <c r="X126" i="29"/>
  <c r="S126" i="29"/>
  <c r="AX126" i="29"/>
  <c r="AA125" i="29"/>
  <c r="V125" i="29"/>
  <c r="BA125" i="29"/>
  <c r="Y123" i="29"/>
  <c r="AY123" i="29"/>
  <c r="T123" i="29"/>
  <c r="W121" i="29"/>
  <c r="R121" i="29"/>
  <c r="AW121" i="29"/>
  <c r="Z120" i="29"/>
  <c r="U120" i="29"/>
  <c r="AZ120" i="29"/>
  <c r="X118" i="29"/>
  <c r="S118" i="29"/>
  <c r="AX118" i="29"/>
  <c r="AA117" i="29"/>
  <c r="V117" i="29"/>
  <c r="BA117" i="29"/>
  <c r="Y148" i="29"/>
  <c r="T148" i="29"/>
  <c r="AY148" i="29"/>
  <c r="Y161" i="29"/>
  <c r="T161" i="29"/>
  <c r="AY161" i="29"/>
  <c r="Z158" i="29"/>
  <c r="AZ158" i="29"/>
  <c r="U158" i="29"/>
  <c r="R143" i="29"/>
  <c r="W143" i="29"/>
  <c r="AW143" i="29"/>
  <c r="Y137" i="29"/>
  <c r="T137" i="29"/>
  <c r="AY137" i="29"/>
  <c r="Y121" i="29"/>
  <c r="T121" i="29"/>
  <c r="AY121" i="29"/>
  <c r="Z165" i="29"/>
  <c r="U165" i="29"/>
  <c r="AZ165" i="29"/>
  <c r="X163" i="29"/>
  <c r="S163" i="29"/>
  <c r="AX163" i="29"/>
  <c r="AA162" i="29"/>
  <c r="V162" i="29"/>
  <c r="BA162" i="29"/>
  <c r="Y160" i="29"/>
  <c r="T160" i="29"/>
  <c r="AY160" i="29"/>
  <c r="W158" i="29"/>
  <c r="R158" i="29"/>
  <c r="AW158" i="29"/>
  <c r="U157" i="29"/>
  <c r="Z157" i="29"/>
  <c r="AZ157" i="29"/>
  <c r="X155" i="29"/>
  <c r="S155" i="29"/>
  <c r="AX155" i="29"/>
  <c r="AA154" i="29"/>
  <c r="V154" i="29"/>
  <c r="BA154" i="29"/>
  <c r="Y152" i="29"/>
  <c r="T152" i="29"/>
  <c r="AY152" i="29"/>
  <c r="W150" i="29"/>
  <c r="R150" i="29"/>
  <c r="AW150" i="29"/>
  <c r="U149" i="29"/>
  <c r="Z149" i="29"/>
  <c r="AZ149" i="29"/>
  <c r="X147" i="29"/>
  <c r="S147" i="29"/>
  <c r="AX147" i="29"/>
  <c r="AA146" i="29"/>
  <c r="V146" i="29"/>
  <c r="BA146" i="29"/>
  <c r="Y144" i="29"/>
  <c r="T144" i="29"/>
  <c r="AY144" i="29"/>
  <c r="W142" i="29"/>
  <c r="R142" i="29"/>
  <c r="AW142" i="29"/>
  <c r="Z141" i="29"/>
  <c r="U141" i="29"/>
  <c r="AZ141" i="29"/>
  <c r="X139" i="29"/>
  <c r="S139" i="29"/>
  <c r="AX139" i="29"/>
  <c r="AA138" i="29"/>
  <c r="V138" i="29"/>
  <c r="BA138" i="29"/>
  <c r="Y136" i="29"/>
  <c r="T136" i="29"/>
  <c r="AY136" i="29"/>
  <c r="W134" i="29"/>
  <c r="R134" i="29"/>
  <c r="AW134" i="29"/>
  <c r="Z133" i="29"/>
  <c r="U133" i="29"/>
  <c r="AZ133" i="29"/>
  <c r="X131" i="29"/>
  <c r="S131" i="29"/>
  <c r="AX131" i="29"/>
  <c r="AA130" i="29"/>
  <c r="V130" i="29"/>
  <c r="BA130" i="29"/>
  <c r="Y128" i="29"/>
  <c r="T128" i="29"/>
  <c r="AY128" i="29"/>
  <c r="W126" i="29"/>
  <c r="R126" i="29"/>
  <c r="AW126" i="29"/>
  <c r="Z125" i="29"/>
  <c r="U125" i="29"/>
  <c r="AZ125" i="29"/>
  <c r="X123" i="29"/>
  <c r="S123" i="29"/>
  <c r="AX123" i="29"/>
  <c r="AA122" i="29"/>
  <c r="V122" i="29"/>
  <c r="BA122" i="29"/>
  <c r="Y120" i="29"/>
  <c r="T120" i="29"/>
  <c r="AY120" i="29"/>
  <c r="W118" i="29"/>
  <c r="R118" i="29"/>
  <c r="AW118" i="29"/>
  <c r="Z117" i="29"/>
  <c r="U117" i="29"/>
  <c r="AZ117" i="29"/>
  <c r="V163" i="29"/>
  <c r="BA163" i="29"/>
  <c r="AA163" i="29"/>
  <c r="W159" i="29"/>
  <c r="R159" i="29"/>
  <c r="AW159" i="29"/>
  <c r="R151" i="29"/>
  <c r="W151" i="29"/>
  <c r="AW151" i="29"/>
  <c r="Z134" i="29"/>
  <c r="AZ134" i="29"/>
  <c r="U134" i="29"/>
  <c r="Z126" i="29"/>
  <c r="U126" i="29"/>
  <c r="AZ126" i="29"/>
  <c r="AA123" i="29"/>
  <c r="V123" i="29"/>
  <c r="BA123" i="29"/>
  <c r="Y165" i="29"/>
  <c r="T165" i="29"/>
  <c r="AY165" i="29"/>
  <c r="W163" i="29"/>
  <c r="R163" i="29"/>
  <c r="AW163" i="29"/>
  <c r="Z162" i="29"/>
  <c r="U162" i="29"/>
  <c r="AZ162" i="29"/>
  <c r="X160" i="29"/>
  <c r="AX160" i="29"/>
  <c r="S160" i="29"/>
  <c r="AA159" i="29"/>
  <c r="V159" i="29"/>
  <c r="BA159" i="29"/>
  <c r="T157" i="29"/>
  <c r="AY157" i="29"/>
  <c r="Y157" i="29"/>
  <c r="W155" i="29"/>
  <c r="R155" i="29"/>
  <c r="AW155" i="29"/>
  <c r="Z154" i="29"/>
  <c r="U154" i="29"/>
  <c r="AZ154" i="29"/>
  <c r="X152" i="29"/>
  <c r="S152" i="29"/>
  <c r="AX152" i="29"/>
  <c r="AA151" i="29"/>
  <c r="V151" i="29"/>
  <c r="BA151" i="29"/>
  <c r="T149" i="29"/>
  <c r="Y149" i="29"/>
  <c r="AY149" i="29"/>
  <c r="W147" i="29"/>
  <c r="R147" i="29"/>
  <c r="AW147" i="29"/>
  <c r="Z146" i="29"/>
  <c r="U146" i="29"/>
  <c r="AZ146" i="29"/>
  <c r="X144" i="29"/>
  <c r="AX144" i="29"/>
  <c r="S144" i="29"/>
  <c r="AA143" i="29"/>
  <c r="V143" i="29"/>
  <c r="BA143" i="29"/>
  <c r="Y141" i="29"/>
  <c r="T141" i="29"/>
  <c r="AY141" i="29"/>
  <c r="W139" i="29"/>
  <c r="R139" i="29"/>
  <c r="AW139" i="29"/>
  <c r="Z138" i="29"/>
  <c r="U138" i="29"/>
  <c r="AZ138" i="29"/>
  <c r="X136" i="29"/>
  <c r="AX136" i="29"/>
  <c r="S136" i="29"/>
  <c r="AA135" i="29"/>
  <c r="V135" i="29"/>
  <c r="BA135" i="29"/>
  <c r="Y133" i="29"/>
  <c r="T133" i="29"/>
  <c r="AY133" i="29"/>
  <c r="W131" i="29"/>
  <c r="R131" i="29"/>
  <c r="AW131" i="29"/>
  <c r="Z130" i="29"/>
  <c r="U130" i="29"/>
  <c r="AZ130" i="29"/>
  <c r="X128" i="29"/>
  <c r="AX128" i="29"/>
  <c r="S128" i="29"/>
  <c r="AA127" i="29"/>
  <c r="V127" i="29"/>
  <c r="BA127" i="29"/>
  <c r="Y125" i="29"/>
  <c r="T125" i="29"/>
  <c r="AY125" i="29"/>
  <c r="W123" i="29"/>
  <c r="R123" i="29"/>
  <c r="AW123" i="29"/>
  <c r="Z122" i="29"/>
  <c r="U122" i="29"/>
  <c r="AZ122" i="29"/>
  <c r="X120" i="29"/>
  <c r="AX120" i="29"/>
  <c r="S120" i="29"/>
  <c r="AA119" i="29"/>
  <c r="V119" i="29"/>
  <c r="BA119" i="29"/>
  <c r="X117" i="29"/>
  <c r="S117" i="29"/>
  <c r="AX117" i="29"/>
  <c r="AA116" i="29"/>
  <c r="V116" i="29"/>
  <c r="BA116" i="29"/>
  <c r="X164" i="29"/>
  <c r="S164" i="29"/>
  <c r="AX164" i="29"/>
  <c r="V155" i="29"/>
  <c r="AA155" i="29"/>
  <c r="BA155" i="29"/>
  <c r="V147" i="29"/>
  <c r="AA147" i="29"/>
  <c r="BA147" i="29"/>
  <c r="X132" i="29"/>
  <c r="S132" i="29"/>
  <c r="AX132" i="29"/>
  <c r="Y129" i="29"/>
  <c r="T129" i="29"/>
  <c r="AY129" i="29"/>
  <c r="X124" i="29"/>
  <c r="S124" i="29"/>
  <c r="AX124" i="29"/>
  <c r="W116" i="29"/>
  <c r="R116" i="29"/>
  <c r="AW116" i="29"/>
  <c r="X165" i="29"/>
  <c r="S165" i="29"/>
  <c r="AX165" i="29"/>
  <c r="AA164" i="29"/>
  <c r="V164" i="29"/>
  <c r="BA164" i="29"/>
  <c r="T162" i="29"/>
  <c r="Y162" i="29"/>
  <c r="AY162" i="29"/>
  <c r="W160" i="29"/>
  <c r="R160" i="29"/>
  <c r="AW160" i="29"/>
  <c r="Z159" i="29"/>
  <c r="U159" i="29"/>
  <c r="AZ159" i="29"/>
  <c r="X157" i="29"/>
  <c r="S157" i="29"/>
  <c r="AX157" i="29"/>
  <c r="AA156" i="29"/>
  <c r="V156" i="29"/>
  <c r="BA156" i="29"/>
  <c r="T154" i="29"/>
  <c r="Y154" i="29"/>
  <c r="AY154" i="29"/>
  <c r="W152" i="29"/>
  <c r="R152" i="29"/>
  <c r="AW152" i="29"/>
  <c r="Z151" i="29"/>
  <c r="U151" i="29"/>
  <c r="AZ151" i="29"/>
  <c r="X149" i="29"/>
  <c r="S149" i="29"/>
  <c r="AX149" i="29"/>
  <c r="AA148" i="29"/>
  <c r="V148" i="29"/>
  <c r="BA148" i="29"/>
  <c r="Y146" i="29"/>
  <c r="T146" i="29"/>
  <c r="AY146" i="29"/>
  <c r="W144" i="29"/>
  <c r="R144" i="29"/>
  <c r="AW144" i="29"/>
  <c r="Z143" i="29"/>
  <c r="U143" i="29"/>
  <c r="AZ143" i="29"/>
  <c r="X141" i="29"/>
  <c r="S141" i="29"/>
  <c r="AX141" i="29"/>
  <c r="AA140" i="29"/>
  <c r="V140" i="29"/>
  <c r="BA140" i="29"/>
  <c r="Y138" i="29"/>
  <c r="T138" i="29"/>
  <c r="AY138" i="29"/>
  <c r="W136" i="29"/>
  <c r="R136" i="29"/>
  <c r="AW136" i="29"/>
  <c r="Z135" i="29"/>
  <c r="U135" i="29"/>
  <c r="AZ135" i="29"/>
  <c r="X133" i="29"/>
  <c r="S133" i="29"/>
  <c r="AX133" i="29"/>
  <c r="AA132" i="29"/>
  <c r="V132" i="29"/>
  <c r="BA132" i="29"/>
  <c r="Y130" i="29"/>
  <c r="T130" i="29"/>
  <c r="AY130" i="29"/>
  <c r="W128" i="29"/>
  <c r="R128" i="29"/>
  <c r="AW128" i="29"/>
  <c r="Z127" i="29"/>
  <c r="U127" i="29"/>
  <c r="AZ127" i="29"/>
  <c r="X125" i="29"/>
  <c r="S125" i="29"/>
  <c r="AX125" i="29"/>
  <c r="AA124" i="29"/>
  <c r="V124" i="29"/>
  <c r="BA124" i="29"/>
  <c r="Y122" i="29"/>
  <c r="T122" i="29"/>
  <c r="AY122" i="29"/>
  <c r="W120" i="29"/>
  <c r="R120" i="29"/>
  <c r="AW120" i="29"/>
  <c r="Z119" i="29"/>
  <c r="U119" i="29"/>
  <c r="AZ119" i="29"/>
  <c r="W117" i="29"/>
  <c r="AW117" i="29"/>
  <c r="R117" i="29"/>
  <c r="Z116" i="29"/>
  <c r="U116" i="29"/>
  <c r="AZ116" i="29"/>
  <c r="S151" i="29"/>
  <c r="X151" i="29"/>
  <c r="AX151" i="29"/>
  <c r="Y153" i="29"/>
  <c r="T153" i="29"/>
  <c r="AY153" i="29"/>
  <c r="Y145" i="29"/>
  <c r="T145" i="29"/>
  <c r="AY145" i="29"/>
  <c r="AA139" i="29"/>
  <c r="V139" i="29"/>
  <c r="BA139" i="29"/>
  <c r="W135" i="29"/>
  <c r="R135" i="29"/>
  <c r="AW135" i="29"/>
  <c r="W119" i="29"/>
  <c r="R119" i="29"/>
  <c r="AW119" i="29"/>
  <c r="W165" i="29"/>
  <c r="R165" i="29"/>
  <c r="AW165" i="29"/>
  <c r="Z164" i="29"/>
  <c r="U164" i="29"/>
  <c r="AZ164" i="29"/>
  <c r="S162" i="29"/>
  <c r="X162" i="29"/>
  <c r="AX162" i="29"/>
  <c r="AA161" i="29"/>
  <c r="V161" i="29"/>
  <c r="BA161" i="29"/>
  <c r="Y159" i="29"/>
  <c r="T159" i="29"/>
  <c r="AY159" i="29"/>
  <c r="W157" i="29"/>
  <c r="AW157" i="29"/>
  <c r="R157" i="29"/>
  <c r="Z156" i="29"/>
  <c r="U156" i="29"/>
  <c r="AZ156" i="29"/>
  <c r="S154" i="29"/>
  <c r="X154" i="29"/>
  <c r="AX154" i="29"/>
  <c r="AA153" i="29"/>
  <c r="BA153" i="29"/>
  <c r="V153" i="29"/>
  <c r="Y151" i="29"/>
  <c r="T151" i="29"/>
  <c r="AY151" i="29"/>
  <c r="W149" i="29"/>
  <c r="AW149" i="29"/>
  <c r="R149" i="29"/>
  <c r="Z148" i="29"/>
  <c r="U148" i="29"/>
  <c r="AZ148" i="29"/>
  <c r="X146" i="29"/>
  <c r="S146" i="29"/>
  <c r="AX146" i="29"/>
  <c r="AA145" i="29"/>
  <c r="BA145" i="29"/>
  <c r="V145" i="29"/>
  <c r="Y143" i="29"/>
  <c r="T143" i="29"/>
  <c r="AY143" i="29"/>
  <c r="W141" i="29"/>
  <c r="AW141" i="29"/>
  <c r="R141" i="29"/>
  <c r="Z140" i="29"/>
  <c r="U140" i="29"/>
  <c r="AZ140" i="29"/>
  <c r="X138" i="29"/>
  <c r="S138" i="29"/>
  <c r="AX138" i="29"/>
  <c r="AA137" i="29"/>
  <c r="V137" i="29"/>
  <c r="BA137" i="29"/>
  <c r="Y135" i="29"/>
  <c r="T135" i="29"/>
  <c r="AY135" i="29"/>
  <c r="W133" i="29"/>
  <c r="AW133" i="29"/>
  <c r="R133" i="29"/>
  <c r="Z132" i="29"/>
  <c r="U132" i="29"/>
  <c r="AZ132" i="29"/>
  <c r="X130" i="29"/>
  <c r="S130" i="29"/>
  <c r="AX130" i="29"/>
  <c r="AA129" i="29"/>
  <c r="BA129" i="29"/>
  <c r="V129" i="29"/>
  <c r="Y127" i="29"/>
  <c r="T127" i="29"/>
  <c r="AY127" i="29"/>
  <c r="W125" i="29"/>
  <c r="R125" i="29"/>
  <c r="AW125" i="29"/>
  <c r="Z124" i="29"/>
  <c r="U124" i="29"/>
  <c r="AZ124" i="29"/>
  <c r="X122" i="29"/>
  <c r="S122" i="29"/>
  <c r="AX122" i="29"/>
  <c r="AA121" i="29"/>
  <c r="V121" i="29"/>
  <c r="BA121" i="29"/>
  <c r="Y119" i="29"/>
  <c r="T119" i="29"/>
  <c r="AY119" i="29"/>
  <c r="Y116" i="29"/>
  <c r="T116" i="29"/>
  <c r="AY116" i="29"/>
  <c r="AF167" i="28"/>
  <c r="BE167" i="28"/>
  <c r="CF167" i="28"/>
  <c r="AI166" i="28"/>
  <c r="CI166" i="28"/>
  <c r="BH166" i="28"/>
  <c r="AG164" i="28"/>
  <c r="BF164" i="28"/>
  <c r="CG164" i="28"/>
  <c r="AE162" i="28"/>
  <c r="CE162" i="28"/>
  <c r="BD162" i="28"/>
  <c r="AH161" i="28"/>
  <c r="BG161" i="28"/>
  <c r="CH161" i="28"/>
  <c r="AF159" i="28"/>
  <c r="BE159" i="28"/>
  <c r="CF159" i="28"/>
  <c r="AI158" i="28"/>
  <c r="CI158" i="28"/>
  <c r="BH158" i="28"/>
  <c r="AG156" i="28"/>
  <c r="BF156" i="28"/>
  <c r="CG156" i="28"/>
  <c r="AE154" i="28"/>
  <c r="BD154" i="28"/>
  <c r="CE154" i="28"/>
  <c r="AH153" i="28"/>
  <c r="BG153" i="28"/>
  <c r="CH153" i="28"/>
  <c r="AF151" i="28"/>
  <c r="BE151" i="28"/>
  <c r="CF151" i="28"/>
  <c r="AI150" i="28"/>
  <c r="BH150" i="28"/>
  <c r="CI150" i="28"/>
  <c r="AG148" i="28"/>
  <c r="BF148" i="28"/>
  <c r="CG148" i="28"/>
  <c r="AE146" i="28"/>
  <c r="BD146" i="28"/>
  <c r="CE146" i="28"/>
  <c r="BG145" i="28"/>
  <c r="CH145" i="28"/>
  <c r="AH145" i="28"/>
  <c r="AF143" i="28"/>
  <c r="BE143" i="28"/>
  <c r="CF143" i="28"/>
  <c r="AI142" i="28"/>
  <c r="BH142" i="28"/>
  <c r="CI142" i="28"/>
  <c r="AG140" i="28"/>
  <c r="BF140" i="28"/>
  <c r="CG140" i="28"/>
  <c r="AE138" i="28"/>
  <c r="BD138" i="28"/>
  <c r="CE138" i="28"/>
  <c r="BG137" i="28"/>
  <c r="AH137" i="28"/>
  <c r="CH137" i="28"/>
  <c r="AF135" i="28"/>
  <c r="BE135" i="28"/>
  <c r="CF135" i="28"/>
  <c r="AI134" i="28"/>
  <c r="BH134" i="28"/>
  <c r="CI134" i="28"/>
  <c r="AG132" i="28"/>
  <c r="BF132" i="28"/>
  <c r="CG132" i="28"/>
  <c r="AE130" i="28"/>
  <c r="BD130" i="28"/>
  <c r="CE130" i="28"/>
  <c r="BG129" i="28"/>
  <c r="AH129" i="28"/>
  <c r="CH129" i="28"/>
  <c r="AF127" i="28"/>
  <c r="BE127" i="28"/>
  <c r="CF127" i="28"/>
  <c r="AI126" i="28"/>
  <c r="BH126" i="28"/>
  <c r="CI126" i="28"/>
  <c r="AG124" i="28"/>
  <c r="BF124" i="28"/>
  <c r="CG124" i="28"/>
  <c r="AE122" i="28"/>
  <c r="BD122" i="28"/>
  <c r="CE122" i="28"/>
  <c r="AH121" i="28"/>
  <c r="BG121" i="28"/>
  <c r="CH121" i="28"/>
  <c r="AE119" i="28"/>
  <c r="BD119" i="28"/>
  <c r="CE119" i="28"/>
  <c r="AH118" i="28"/>
  <c r="BG118" i="28"/>
  <c r="CH118" i="28"/>
  <c r="AE167" i="28"/>
  <c r="BD167" i="28"/>
  <c r="CE167" i="28"/>
  <c r="AH166" i="28"/>
  <c r="BG166" i="28"/>
  <c r="CH166" i="28"/>
  <c r="AF164" i="28"/>
  <c r="CF164" i="28"/>
  <c r="BE164" i="28"/>
  <c r="AI163" i="28"/>
  <c r="BH163" i="28"/>
  <c r="CI163" i="28"/>
  <c r="AG161" i="28"/>
  <c r="BF161" i="28"/>
  <c r="CG161" i="28"/>
  <c r="AE159" i="28"/>
  <c r="BD159" i="28"/>
  <c r="CE159" i="28"/>
  <c r="AH158" i="28"/>
  <c r="BG158" i="28"/>
  <c r="CH158" i="28"/>
  <c r="AF156" i="28"/>
  <c r="BE156" i="28"/>
  <c r="CF156" i="28"/>
  <c r="AI155" i="28"/>
  <c r="BH155" i="28"/>
  <c r="CI155" i="28"/>
  <c r="AG153" i="28"/>
  <c r="BF153" i="28"/>
  <c r="CG153" i="28"/>
  <c r="AE151" i="28"/>
  <c r="BD151" i="28"/>
  <c r="CE151" i="28"/>
  <c r="AH150" i="28"/>
  <c r="BG150" i="28"/>
  <c r="CH150" i="28"/>
  <c r="AF148" i="28"/>
  <c r="BE148" i="28"/>
  <c r="CF148" i="28"/>
  <c r="AI147" i="28"/>
  <c r="BH147" i="28"/>
  <c r="CI147" i="28"/>
  <c r="AG145" i="28"/>
  <c r="BF145" i="28"/>
  <c r="CG145" i="28"/>
  <c r="AE143" i="28"/>
  <c r="BD143" i="28"/>
  <c r="CE143" i="28"/>
  <c r="BG142" i="28"/>
  <c r="AH142" i="28"/>
  <c r="CH142" i="28"/>
  <c r="AF140" i="28"/>
  <c r="CF140" i="28"/>
  <c r="BE140" i="28"/>
  <c r="AI139" i="28"/>
  <c r="BH139" i="28"/>
  <c r="CI139" i="28"/>
  <c r="AG137" i="28"/>
  <c r="BF137" i="28"/>
  <c r="CG137" i="28"/>
  <c r="AE135" i="28"/>
  <c r="BD135" i="28"/>
  <c r="CE135" i="28"/>
  <c r="AH134" i="28"/>
  <c r="BG134" i="28"/>
  <c r="CH134" i="28"/>
  <c r="AF132" i="28"/>
  <c r="CF132" i="28"/>
  <c r="BE132" i="28"/>
  <c r="AI131" i="28"/>
  <c r="BH131" i="28"/>
  <c r="CI131" i="28"/>
  <c r="AG129" i="28"/>
  <c r="BF129" i="28"/>
  <c r="CG129" i="28"/>
  <c r="AE127" i="28"/>
  <c r="BD127" i="28"/>
  <c r="CE127" i="28"/>
  <c r="AH126" i="28"/>
  <c r="BG126" i="28"/>
  <c r="CH126" i="28"/>
  <c r="AF124" i="28"/>
  <c r="BE124" i="28"/>
  <c r="CF124" i="28"/>
  <c r="AI123" i="28"/>
  <c r="BH123" i="28"/>
  <c r="CI123" i="28"/>
  <c r="AG121" i="28"/>
  <c r="BF121" i="28"/>
  <c r="CG121" i="28"/>
  <c r="BF118" i="28"/>
  <c r="AG118" i="28"/>
  <c r="CG118" i="28"/>
  <c r="AG166" i="28"/>
  <c r="BF166" i="28"/>
  <c r="CG166" i="28"/>
  <c r="AE164" i="28"/>
  <c r="BD164" i="28"/>
  <c r="CE164" i="28"/>
  <c r="AH163" i="28"/>
  <c r="CH163" i="28"/>
  <c r="BG163" i="28"/>
  <c r="AF161" i="28"/>
  <c r="BE161" i="28"/>
  <c r="CF161" i="28"/>
  <c r="AI160" i="28"/>
  <c r="BH160" i="28"/>
  <c r="CI160" i="28"/>
  <c r="BF158" i="28"/>
  <c r="AG158" i="28"/>
  <c r="CG158" i="28"/>
  <c r="AE156" i="28"/>
  <c r="BD156" i="28"/>
  <c r="CE156" i="28"/>
  <c r="AH155" i="28"/>
  <c r="CH155" i="28"/>
  <c r="BG155" i="28"/>
  <c r="AF153" i="28"/>
  <c r="BE153" i="28"/>
  <c r="CF153" i="28"/>
  <c r="AI152" i="28"/>
  <c r="BH152" i="28"/>
  <c r="CI152" i="28"/>
  <c r="BF150" i="28"/>
  <c r="AG150" i="28"/>
  <c r="CG150" i="28"/>
  <c r="AE148" i="28"/>
  <c r="BD148" i="28"/>
  <c r="CE148" i="28"/>
  <c r="AH147" i="28"/>
  <c r="BG147" i="28"/>
  <c r="CH147" i="28"/>
  <c r="AF145" i="28"/>
  <c r="BE145" i="28"/>
  <c r="CF145" i="28"/>
  <c r="AI144" i="28"/>
  <c r="BH144" i="28"/>
  <c r="CI144" i="28"/>
  <c r="BF142" i="28"/>
  <c r="AG142" i="28"/>
  <c r="CG142" i="28"/>
  <c r="AE140" i="28"/>
  <c r="BD140" i="28"/>
  <c r="CE140" i="28"/>
  <c r="AH139" i="28"/>
  <c r="BG139" i="28"/>
  <c r="CH139" i="28"/>
  <c r="AF137" i="28"/>
  <c r="BE137" i="28"/>
  <c r="CF137" i="28"/>
  <c r="AI136" i="28"/>
  <c r="BH136" i="28"/>
  <c r="CI136" i="28"/>
  <c r="AG134" i="28"/>
  <c r="BF134" i="28"/>
  <c r="CG134" i="28"/>
  <c r="AE132" i="28"/>
  <c r="BD132" i="28"/>
  <c r="CE132" i="28"/>
  <c r="AH131" i="28"/>
  <c r="BG131" i="28"/>
  <c r="CH131" i="28"/>
  <c r="AF129" i="28"/>
  <c r="BE129" i="28"/>
  <c r="CF129" i="28"/>
  <c r="AI128" i="28"/>
  <c r="BH128" i="28"/>
  <c r="CI128" i="28"/>
  <c r="BF126" i="28"/>
  <c r="AG126" i="28"/>
  <c r="CG126" i="28"/>
  <c r="AE124" i="28"/>
  <c r="BD124" i="28"/>
  <c r="CE124" i="28"/>
  <c r="AH123" i="28"/>
  <c r="BG123" i="28"/>
  <c r="CH123" i="28"/>
  <c r="AF121" i="28"/>
  <c r="BE121" i="28"/>
  <c r="CF121" i="28"/>
  <c r="AI120" i="28"/>
  <c r="BH120" i="28"/>
  <c r="CI120" i="28"/>
  <c r="AF118" i="28"/>
  <c r="BE118" i="28"/>
  <c r="CF118" i="28"/>
  <c r="AF166" i="28"/>
  <c r="BE166" i="28"/>
  <c r="CF166" i="28"/>
  <c r="AI165" i="28"/>
  <c r="CI165" i="28"/>
  <c r="BH165" i="28"/>
  <c r="AG163" i="28"/>
  <c r="BF163" i="28"/>
  <c r="CG163" i="28"/>
  <c r="AE161" i="28"/>
  <c r="BD161" i="28"/>
  <c r="CE161" i="28"/>
  <c r="AH160" i="28"/>
  <c r="BG160" i="28"/>
  <c r="CH160" i="28"/>
  <c r="AF158" i="28"/>
  <c r="BE158" i="28"/>
  <c r="CF158" i="28"/>
  <c r="AI157" i="28"/>
  <c r="BH157" i="28"/>
  <c r="CI157" i="28"/>
  <c r="AG155" i="28"/>
  <c r="BF155" i="28"/>
  <c r="CG155" i="28"/>
  <c r="AE153" i="28"/>
  <c r="CE153" i="28"/>
  <c r="BD153" i="28"/>
  <c r="AH152" i="28"/>
  <c r="BG152" i="28"/>
  <c r="CH152" i="28"/>
  <c r="AF150" i="28"/>
  <c r="BE150" i="28"/>
  <c r="CF150" i="28"/>
  <c r="AI149" i="28"/>
  <c r="BH149" i="28"/>
  <c r="CI149" i="28"/>
  <c r="AG147" i="28"/>
  <c r="BF147" i="28"/>
  <c r="CG147" i="28"/>
  <c r="AE145" i="28"/>
  <c r="CE145" i="28"/>
  <c r="BD145" i="28"/>
  <c r="AH144" i="28"/>
  <c r="BG144" i="28"/>
  <c r="CH144" i="28"/>
  <c r="AF142" i="28"/>
  <c r="BE142" i="28"/>
  <c r="CF142" i="28"/>
  <c r="AI141" i="28"/>
  <c r="CI141" i="28"/>
  <c r="BH141" i="28"/>
  <c r="AG139" i="28"/>
  <c r="BF139" i="28"/>
  <c r="CG139" i="28"/>
  <c r="AE137" i="28"/>
  <c r="BD137" i="28"/>
  <c r="CE137" i="28"/>
  <c r="AH136" i="28"/>
  <c r="BG136" i="28"/>
  <c r="CH136" i="28"/>
  <c r="AF134" i="28"/>
  <c r="BE134" i="28"/>
  <c r="CF134" i="28"/>
  <c r="AI133" i="28"/>
  <c r="BH133" i="28"/>
  <c r="CI133" i="28"/>
  <c r="AG131" i="28"/>
  <c r="BF131" i="28"/>
  <c r="CG131" i="28"/>
  <c r="AE129" i="28"/>
  <c r="CE129" i="28"/>
  <c r="BD129" i="28"/>
  <c r="AH128" i="28"/>
  <c r="BG128" i="28"/>
  <c r="CH128" i="28"/>
  <c r="AF126" i="28"/>
  <c r="BE126" i="28"/>
  <c r="CF126" i="28"/>
  <c r="AI125" i="28"/>
  <c r="BH125" i="28"/>
  <c r="CI125" i="28"/>
  <c r="BF123" i="28"/>
  <c r="AG123" i="28"/>
  <c r="CG123" i="28"/>
  <c r="AE121" i="28"/>
  <c r="BD121" i="28"/>
  <c r="CE121" i="28"/>
  <c r="AH120" i="28"/>
  <c r="BG120" i="28"/>
  <c r="CH120" i="28"/>
  <c r="AE118" i="28"/>
  <c r="BD118" i="28"/>
  <c r="CE118" i="28"/>
  <c r="AE166" i="28"/>
  <c r="CE166" i="28"/>
  <c r="BD166" i="28"/>
  <c r="AH165" i="28"/>
  <c r="BG165" i="28"/>
  <c r="CH165" i="28"/>
  <c r="AF163" i="28"/>
  <c r="BE163" i="28"/>
  <c r="CF163" i="28"/>
  <c r="AI162" i="28"/>
  <c r="BH162" i="28"/>
  <c r="CI162" i="28"/>
  <c r="AG160" i="28"/>
  <c r="CG160" i="28"/>
  <c r="BF160" i="28"/>
  <c r="AE158" i="28"/>
  <c r="BD158" i="28"/>
  <c r="CE158" i="28"/>
  <c r="AH157" i="28"/>
  <c r="BG157" i="28"/>
  <c r="CH157" i="28"/>
  <c r="BE155" i="28"/>
  <c r="AF155" i="28"/>
  <c r="CF155" i="28"/>
  <c r="AI154" i="28"/>
  <c r="BH154" i="28"/>
  <c r="CI154" i="28"/>
  <c r="AG152" i="28"/>
  <c r="BF152" i="28"/>
  <c r="CG152" i="28"/>
  <c r="AE150" i="28"/>
  <c r="BD150" i="28"/>
  <c r="CE150" i="28"/>
  <c r="AH149" i="28"/>
  <c r="BG149" i="28"/>
  <c r="CH149" i="28"/>
  <c r="AF147" i="28"/>
  <c r="BE147" i="28"/>
  <c r="CF147" i="28"/>
  <c r="AI146" i="28"/>
  <c r="BH146" i="28"/>
  <c r="CI146" i="28"/>
  <c r="AG144" i="28"/>
  <c r="BF144" i="28"/>
  <c r="CG144" i="28"/>
  <c r="AE142" i="28"/>
  <c r="BD142" i="28"/>
  <c r="CE142" i="28"/>
  <c r="AH141" i="28"/>
  <c r="BG141" i="28"/>
  <c r="CH141" i="28"/>
  <c r="BE139" i="28"/>
  <c r="AF139" i="28"/>
  <c r="CF139" i="28"/>
  <c r="AI138" i="28"/>
  <c r="BH138" i="28"/>
  <c r="CI138" i="28"/>
  <c r="AG136" i="28"/>
  <c r="BF136" i="28"/>
  <c r="CG136" i="28"/>
  <c r="AE134" i="28"/>
  <c r="BD134" i="28"/>
  <c r="CE134" i="28"/>
  <c r="AH133" i="28"/>
  <c r="BG133" i="28"/>
  <c r="CH133" i="28"/>
  <c r="BE131" i="28"/>
  <c r="AF131" i="28"/>
  <c r="CF131" i="28"/>
  <c r="AI130" i="28"/>
  <c r="BH130" i="28"/>
  <c r="CI130" i="28"/>
  <c r="AG128" i="28"/>
  <c r="BF128" i="28"/>
  <c r="CG128" i="28"/>
  <c r="AE126" i="28"/>
  <c r="BD126" i="28"/>
  <c r="CE126" i="28"/>
  <c r="AH125" i="28"/>
  <c r="BG125" i="28"/>
  <c r="CH125" i="28"/>
  <c r="BE123" i="28"/>
  <c r="AF123" i="28"/>
  <c r="CF123" i="28"/>
  <c r="AI122" i="28"/>
  <c r="BH122" i="28"/>
  <c r="CI122" i="28"/>
  <c r="AG120" i="28"/>
  <c r="BF120" i="28"/>
  <c r="CG120" i="28"/>
  <c r="AI167" i="28"/>
  <c r="CI167" i="28"/>
  <c r="BH167" i="28"/>
  <c r="AG165" i="28"/>
  <c r="CG165" i="28"/>
  <c r="BF165" i="28"/>
  <c r="AE163" i="28"/>
  <c r="BD163" i="28"/>
  <c r="CE163" i="28"/>
  <c r="AH162" i="28"/>
  <c r="BG162" i="28"/>
  <c r="CH162" i="28"/>
  <c r="AF160" i="28"/>
  <c r="BE160" i="28"/>
  <c r="CF160" i="28"/>
  <c r="AI159" i="28"/>
  <c r="BH159" i="28"/>
  <c r="CI159" i="28"/>
  <c r="AG157" i="28"/>
  <c r="BF157" i="28"/>
  <c r="CG157" i="28"/>
  <c r="AE155" i="28"/>
  <c r="BD155" i="28"/>
  <c r="CE155" i="28"/>
  <c r="AH154" i="28"/>
  <c r="CH154" i="28"/>
  <c r="BG154" i="28"/>
  <c r="AF152" i="28"/>
  <c r="BE152" i="28"/>
  <c r="CF152" i="28"/>
  <c r="AI151" i="28"/>
  <c r="BH151" i="28"/>
  <c r="CI151" i="28"/>
  <c r="AG149" i="28"/>
  <c r="BF149" i="28"/>
  <c r="CG149" i="28"/>
  <c r="AE147" i="28"/>
  <c r="BD147" i="28"/>
  <c r="CE147" i="28"/>
  <c r="AH146" i="28"/>
  <c r="BG146" i="28"/>
  <c r="CH146" i="28"/>
  <c r="AF144" i="28"/>
  <c r="BE144" i="28"/>
  <c r="CF144" i="28"/>
  <c r="AI143" i="28"/>
  <c r="BH143" i="28"/>
  <c r="CI143" i="28"/>
  <c r="AG141" i="28"/>
  <c r="BF141" i="28"/>
  <c r="CG141" i="28"/>
  <c r="AE139" i="28"/>
  <c r="BD139" i="28"/>
  <c r="CE139" i="28"/>
  <c r="AH138" i="28"/>
  <c r="BG138" i="28"/>
  <c r="CH138" i="28"/>
  <c r="BE136" i="28"/>
  <c r="AF136" i="28"/>
  <c r="CF136" i="28"/>
  <c r="AI135" i="28"/>
  <c r="BH135" i="28"/>
  <c r="CI135" i="28"/>
  <c r="AG133" i="28"/>
  <c r="BF133" i="28"/>
  <c r="CG133" i="28"/>
  <c r="AE131" i="28"/>
  <c r="BD131" i="28"/>
  <c r="CE131" i="28"/>
  <c r="AH130" i="28"/>
  <c r="CH130" i="28"/>
  <c r="BG130" i="28"/>
  <c r="AF128" i="28"/>
  <c r="BE128" i="28"/>
  <c r="CF128" i="28"/>
  <c r="AI127" i="28"/>
  <c r="BH127" i="28"/>
  <c r="CI127" i="28"/>
  <c r="AG125" i="28"/>
  <c r="BF125" i="28"/>
  <c r="CG125" i="28"/>
  <c r="AE123" i="28"/>
  <c r="BD123" i="28"/>
  <c r="CE123" i="28"/>
  <c r="AH122" i="28"/>
  <c r="BG122" i="28"/>
  <c r="CH122" i="28"/>
  <c r="AF120" i="28"/>
  <c r="BE120" i="28"/>
  <c r="CF120" i="28"/>
  <c r="AI119" i="28"/>
  <c r="BH119" i="28"/>
  <c r="CI119" i="28"/>
  <c r="AH167" i="28"/>
  <c r="CH167" i="28"/>
  <c r="BG167" i="28"/>
  <c r="AF165" i="28"/>
  <c r="CF165" i="28"/>
  <c r="BE165" i="28"/>
  <c r="AI164" i="28"/>
  <c r="BH164" i="28"/>
  <c r="CI164" i="28"/>
  <c r="AG162" i="28"/>
  <c r="BF162" i="28"/>
  <c r="CG162" i="28"/>
  <c r="AE160" i="28"/>
  <c r="CE160" i="28"/>
  <c r="BD160" i="28"/>
  <c r="AH159" i="28"/>
  <c r="BG159" i="28"/>
  <c r="CH159" i="28"/>
  <c r="AF157" i="28"/>
  <c r="CF157" i="28"/>
  <c r="BE157" i="28"/>
  <c r="BH156" i="28"/>
  <c r="AI156" i="28"/>
  <c r="CI156" i="28"/>
  <c r="AG154" i="28"/>
  <c r="BF154" i="28"/>
  <c r="CG154" i="28"/>
  <c r="BD152" i="28"/>
  <c r="AE152" i="28"/>
  <c r="CE152" i="28"/>
  <c r="AH151" i="28"/>
  <c r="BG151" i="28"/>
  <c r="CH151" i="28"/>
  <c r="AF149" i="28"/>
  <c r="BE149" i="28"/>
  <c r="CF149" i="28"/>
  <c r="BH148" i="28"/>
  <c r="AI148" i="28"/>
  <c r="CI148" i="28"/>
  <c r="AG146" i="28"/>
  <c r="BF146" i="28"/>
  <c r="CG146" i="28"/>
  <c r="BD144" i="28"/>
  <c r="AE144" i="28"/>
  <c r="CE144" i="28"/>
  <c r="AH143" i="28"/>
  <c r="BG143" i="28"/>
  <c r="CH143" i="28"/>
  <c r="AF141" i="28"/>
  <c r="BE141" i="28"/>
  <c r="CF141" i="28"/>
  <c r="AI140" i="28"/>
  <c r="BH140" i="28"/>
  <c r="CI140" i="28"/>
  <c r="AG138" i="28"/>
  <c r="BF138" i="28"/>
  <c r="CG138" i="28"/>
  <c r="BD136" i="28"/>
  <c r="AE136" i="28"/>
  <c r="CE136" i="28"/>
  <c r="AH135" i="28"/>
  <c r="BG135" i="28"/>
  <c r="CH135" i="28"/>
  <c r="AF133" i="28"/>
  <c r="BE133" i="28"/>
  <c r="CF133" i="28"/>
  <c r="BH132" i="28"/>
  <c r="AI132" i="28"/>
  <c r="CI132" i="28"/>
  <c r="AG130" i="28"/>
  <c r="BF130" i="28"/>
  <c r="CG130" i="28"/>
  <c r="AE128" i="28"/>
  <c r="BD128" i="28"/>
  <c r="CE128" i="28"/>
  <c r="AH127" i="28"/>
  <c r="BG127" i="28"/>
  <c r="CH127" i="28"/>
  <c r="AF125" i="28"/>
  <c r="BE125" i="28"/>
  <c r="CF125" i="28"/>
  <c r="BH124" i="28"/>
  <c r="AI124" i="28"/>
  <c r="CI124" i="28"/>
  <c r="AG122" i="28"/>
  <c r="BF122" i="28"/>
  <c r="CG122" i="28"/>
  <c r="BD120" i="28"/>
  <c r="AE120" i="28"/>
  <c r="CE120" i="28"/>
  <c r="AH119" i="28"/>
  <c r="BG119" i="28"/>
  <c r="CH119" i="28"/>
  <c r="CV119" i="28"/>
  <c r="DE119" i="28" s="1"/>
  <c r="AG167" i="28"/>
  <c r="CG167" i="28"/>
  <c r="BF167" i="28"/>
  <c r="AE165" i="28"/>
  <c r="BD165" i="28"/>
  <c r="CE165" i="28"/>
  <c r="AH164" i="28"/>
  <c r="BG164" i="28"/>
  <c r="CH164" i="28"/>
  <c r="AF162" i="28"/>
  <c r="CF162" i="28"/>
  <c r="BE162" i="28"/>
  <c r="AI161" i="28"/>
  <c r="BH161" i="28"/>
  <c r="CI161" i="28"/>
  <c r="AG159" i="28"/>
  <c r="CG159" i="28"/>
  <c r="BF159" i="28"/>
  <c r="AE157" i="28"/>
  <c r="BD157" i="28"/>
  <c r="CE157" i="28"/>
  <c r="AH156" i="28"/>
  <c r="BG156" i="28"/>
  <c r="CH156" i="28"/>
  <c r="AF154" i="28"/>
  <c r="BE154" i="28"/>
  <c r="CF154" i="28"/>
  <c r="AI153" i="28"/>
  <c r="BH153" i="28"/>
  <c r="CI153" i="28"/>
  <c r="AG151" i="28"/>
  <c r="BF151" i="28"/>
  <c r="CG151" i="28"/>
  <c r="BD149" i="28"/>
  <c r="AE149" i="28"/>
  <c r="CE149" i="28"/>
  <c r="AH148" i="28"/>
  <c r="BG148" i="28"/>
  <c r="CH148" i="28"/>
  <c r="AF146" i="28"/>
  <c r="BE146" i="28"/>
  <c r="CF146" i="28"/>
  <c r="AI145" i="28"/>
  <c r="BH145" i="28"/>
  <c r="CI145" i="28"/>
  <c r="AG143" i="28"/>
  <c r="CG143" i="28"/>
  <c r="BF143" i="28"/>
  <c r="AE141" i="28"/>
  <c r="BD141" i="28"/>
  <c r="CE141" i="28"/>
  <c r="AH140" i="28"/>
  <c r="BG140" i="28"/>
  <c r="CH140" i="28"/>
  <c r="AF138" i="28"/>
  <c r="BE138" i="28"/>
  <c r="CF138" i="28"/>
  <c r="AI137" i="28"/>
  <c r="BH137" i="28"/>
  <c r="CI137" i="28"/>
  <c r="AG135" i="28"/>
  <c r="BF135" i="28"/>
  <c r="CG135" i="28"/>
  <c r="AE133" i="28"/>
  <c r="BD133" i="28"/>
  <c r="CE133" i="28"/>
  <c r="AH132" i="28"/>
  <c r="BG132" i="28"/>
  <c r="CH132" i="28"/>
  <c r="AF130" i="28"/>
  <c r="BE130" i="28"/>
  <c r="CF130" i="28"/>
  <c r="BH129" i="28"/>
  <c r="AI129" i="28"/>
  <c r="CI129" i="28"/>
  <c r="AG127" i="28"/>
  <c r="CG127" i="28"/>
  <c r="BF127" i="28"/>
  <c r="AE125" i="28"/>
  <c r="BD125" i="28"/>
  <c r="CE125" i="28"/>
  <c r="AH124" i="28"/>
  <c r="BG124" i="28"/>
  <c r="CH124" i="28"/>
  <c r="AF122" i="28"/>
  <c r="BE122" i="28"/>
  <c r="CF122" i="28"/>
  <c r="AI121" i="28"/>
  <c r="BH121" i="28"/>
  <c r="CI121" i="28"/>
  <c r="AF119" i="28"/>
  <c r="BE119" i="28"/>
  <c r="CF119" i="28"/>
  <c r="AI118" i="28"/>
  <c r="BH118" i="28"/>
  <c r="CI118" i="28"/>
  <c r="BL292" i="27"/>
  <c r="H113" i="6"/>
  <c r="H4" i="6"/>
  <c r="H58" i="6"/>
  <c r="H86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F113" i="6"/>
  <c r="F4" i="6"/>
  <c r="F58" i="6"/>
  <c r="F30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D113" i="6"/>
  <c r="D4" i="6"/>
  <c r="L10" i="5"/>
  <c r="AC5" i="5"/>
  <c r="D58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H8" i="9"/>
  <c r="E113" i="6"/>
  <c r="E4" i="6"/>
  <c r="AD5" i="5"/>
  <c r="E58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I8" i="9"/>
  <c r="AE31" i="5"/>
  <c r="AE32" i="5"/>
  <c r="J8" i="9"/>
  <c r="G113" i="6"/>
  <c r="G4" i="6"/>
  <c r="AF5" i="5"/>
  <c r="G58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K8" i="9"/>
  <c r="AG41" i="5"/>
  <c r="AG42" i="5"/>
  <c r="L8" i="9"/>
  <c r="H45" i="9"/>
  <c r="I45" i="9"/>
  <c r="AE63" i="5"/>
  <c r="AE64" i="5"/>
  <c r="J45" i="9"/>
  <c r="K45" i="9"/>
  <c r="AG75" i="5"/>
  <c r="AG76" i="5"/>
  <c r="L45" i="9"/>
  <c r="H29" i="9"/>
  <c r="I29" i="9"/>
  <c r="AE55" i="5"/>
  <c r="AE56" i="5"/>
  <c r="J29" i="9"/>
  <c r="K29" i="9"/>
  <c r="AG69" i="5"/>
  <c r="AG70" i="5"/>
  <c r="L29" i="9"/>
  <c r="H70" i="9"/>
  <c r="I70" i="9"/>
  <c r="AE70" i="5"/>
  <c r="AE71" i="5"/>
  <c r="J70" i="9"/>
  <c r="K70" i="9"/>
  <c r="AG83" i="5"/>
  <c r="AG84" i="5"/>
  <c r="L70" i="9"/>
  <c r="H18" i="9"/>
  <c r="I18" i="9"/>
  <c r="AE47" i="5"/>
  <c r="AE48" i="5"/>
  <c r="J18" i="9"/>
  <c r="K18" i="9"/>
  <c r="AG60" i="5"/>
  <c r="AG61" i="5"/>
  <c r="L18" i="9"/>
  <c r="H12" i="9"/>
  <c r="I12" i="9"/>
  <c r="AE39" i="5"/>
  <c r="AE40" i="5"/>
  <c r="J12" i="9"/>
  <c r="K12" i="9"/>
  <c r="AG53" i="5"/>
  <c r="AG54" i="5"/>
  <c r="L12" i="9"/>
  <c r="H5" i="9"/>
  <c r="I5" i="9"/>
  <c r="AE16" i="5"/>
  <c r="AE17" i="5"/>
  <c r="J5" i="9"/>
  <c r="K5" i="9"/>
  <c r="AG25" i="5"/>
  <c r="AG26" i="5"/>
  <c r="L5" i="9"/>
  <c r="H120" i="9"/>
  <c r="I120" i="9"/>
  <c r="AE76" i="5"/>
  <c r="AE77" i="5"/>
  <c r="J120" i="9"/>
  <c r="K120" i="9"/>
  <c r="AG92" i="5"/>
  <c r="AG93" i="5"/>
  <c r="L120" i="9"/>
  <c r="H121" i="9"/>
  <c r="I121" i="9"/>
  <c r="AE78" i="5"/>
  <c r="J121" i="9"/>
  <c r="K121" i="9"/>
  <c r="L121" i="9"/>
  <c r="H110" i="9"/>
  <c r="I110" i="9"/>
  <c r="J110" i="9"/>
  <c r="K110" i="9"/>
  <c r="AG91" i="5"/>
  <c r="L110" i="9"/>
  <c r="H111" i="9"/>
  <c r="I111" i="9"/>
  <c r="J111" i="9"/>
  <c r="K111" i="9"/>
  <c r="L111" i="9"/>
  <c r="H100" i="9"/>
  <c r="I100" i="9"/>
  <c r="AE75" i="5"/>
  <c r="J100" i="9"/>
  <c r="K100" i="9"/>
  <c r="AG89" i="5"/>
  <c r="AG90" i="5"/>
  <c r="L100" i="9"/>
  <c r="H101" i="9"/>
  <c r="I101" i="9"/>
  <c r="J101" i="9"/>
  <c r="K101" i="9"/>
  <c r="L101" i="9"/>
  <c r="H90" i="9"/>
  <c r="I90" i="9"/>
  <c r="AE73" i="5"/>
  <c r="AE74" i="5"/>
  <c r="J90" i="9"/>
  <c r="K90" i="9"/>
  <c r="AG86" i="5"/>
  <c r="AG87" i="5"/>
  <c r="L90" i="9"/>
  <c r="H91" i="9"/>
  <c r="I91" i="9"/>
  <c r="J91" i="9"/>
  <c r="K91" i="9"/>
  <c r="L91" i="9"/>
  <c r="H81" i="9"/>
  <c r="I81" i="9"/>
  <c r="AE72" i="5"/>
  <c r="J81" i="9"/>
  <c r="K81" i="9"/>
  <c r="AG85" i="5"/>
  <c r="L81" i="9"/>
  <c r="H82" i="9"/>
  <c r="I82" i="9"/>
  <c r="J82" i="9"/>
  <c r="K82" i="9"/>
  <c r="L82" i="9"/>
  <c r="H73" i="9"/>
  <c r="I73" i="9"/>
  <c r="J73" i="9"/>
  <c r="K73" i="9"/>
  <c r="L73" i="9"/>
  <c r="H74" i="9"/>
  <c r="I74" i="9"/>
  <c r="J74" i="9"/>
  <c r="K74" i="9"/>
  <c r="L74" i="9"/>
  <c r="H65" i="9"/>
  <c r="I65" i="9"/>
  <c r="AE68" i="5"/>
  <c r="AE69" i="5"/>
  <c r="J65" i="9"/>
  <c r="K65" i="9"/>
  <c r="AG82" i="5"/>
  <c r="L65" i="9"/>
  <c r="H66" i="9"/>
  <c r="I66" i="9"/>
  <c r="J66" i="9"/>
  <c r="K66" i="9"/>
  <c r="L66" i="9"/>
  <c r="H57" i="9"/>
  <c r="I57" i="9"/>
  <c r="AE66" i="5"/>
  <c r="AE67" i="5"/>
  <c r="J57" i="9"/>
  <c r="K57" i="9"/>
  <c r="AG79" i="5"/>
  <c r="AG80" i="5"/>
  <c r="L57" i="9"/>
  <c r="H58" i="9"/>
  <c r="I58" i="9"/>
  <c r="J58" i="9"/>
  <c r="K58" i="9"/>
  <c r="L58" i="9"/>
  <c r="H50" i="9"/>
  <c r="I50" i="9"/>
  <c r="AE65" i="5"/>
  <c r="J50" i="9"/>
  <c r="K50" i="9"/>
  <c r="AG77" i="5"/>
  <c r="L50" i="9"/>
  <c r="H51" i="9"/>
  <c r="I51" i="9"/>
  <c r="J51" i="9"/>
  <c r="K51" i="9"/>
  <c r="L51" i="9"/>
  <c r="H44" i="9"/>
  <c r="I44" i="9"/>
  <c r="AE62" i="5"/>
  <c r="J44" i="9"/>
  <c r="K44" i="9"/>
  <c r="AG74" i="5"/>
  <c r="L44" i="9"/>
  <c r="H38" i="9"/>
  <c r="I38" i="9"/>
  <c r="AE60" i="5"/>
  <c r="AE61" i="5"/>
  <c r="J38" i="9"/>
  <c r="K38" i="9"/>
  <c r="AG72" i="5"/>
  <c r="AG73" i="5"/>
  <c r="L38" i="9"/>
  <c r="H39" i="9"/>
  <c r="I39" i="9"/>
  <c r="J39" i="9"/>
  <c r="K39" i="9"/>
  <c r="L39" i="9"/>
  <c r="H32" i="9"/>
  <c r="I32" i="9"/>
  <c r="AE57" i="5"/>
  <c r="AE58" i="5"/>
  <c r="J32" i="9"/>
  <c r="K32" i="9"/>
  <c r="AG71" i="5"/>
  <c r="L32" i="9"/>
  <c r="H33" i="9"/>
  <c r="I33" i="9"/>
  <c r="J33" i="9"/>
  <c r="K33" i="9"/>
  <c r="L33" i="9"/>
  <c r="H27" i="9"/>
  <c r="I27" i="9"/>
  <c r="AE54" i="5"/>
  <c r="J27" i="9"/>
  <c r="K27" i="9"/>
  <c r="AG68" i="5"/>
  <c r="L27" i="9"/>
  <c r="H28" i="9"/>
  <c r="I28" i="9"/>
  <c r="J28" i="9"/>
  <c r="K28" i="9"/>
  <c r="L28" i="9"/>
  <c r="H23" i="9"/>
  <c r="I23" i="9"/>
  <c r="AE52" i="5"/>
  <c r="AE53" i="5"/>
  <c r="J23" i="9"/>
  <c r="K23" i="9"/>
  <c r="AG63" i="5"/>
  <c r="AG64" i="5"/>
  <c r="L23" i="9"/>
  <c r="H24" i="9"/>
  <c r="I24" i="9"/>
  <c r="J24" i="9"/>
  <c r="K24" i="9"/>
  <c r="AG65" i="5"/>
  <c r="L24" i="9"/>
  <c r="H19" i="9"/>
  <c r="I19" i="9"/>
  <c r="AE49" i="5"/>
  <c r="J19" i="9"/>
  <c r="K19" i="9"/>
  <c r="AG62" i="5"/>
  <c r="L19" i="9"/>
  <c r="H20" i="9"/>
  <c r="I20" i="9"/>
  <c r="J20" i="9"/>
  <c r="K20" i="9"/>
  <c r="L20" i="9"/>
  <c r="H15" i="9"/>
  <c r="I15" i="9"/>
  <c r="AE43" i="5"/>
  <c r="AE44" i="5"/>
  <c r="J15" i="9"/>
  <c r="K15" i="9"/>
  <c r="AG56" i="5"/>
  <c r="AG57" i="5"/>
  <c r="L15" i="9"/>
  <c r="H16" i="9"/>
  <c r="I16" i="9"/>
  <c r="AE45" i="5"/>
  <c r="AE46" i="5"/>
  <c r="J16" i="9"/>
  <c r="K16" i="9"/>
  <c r="AG58" i="5"/>
  <c r="AG59" i="5"/>
  <c r="L16" i="9"/>
  <c r="H13" i="9"/>
  <c r="I13" i="9"/>
  <c r="AE41" i="5"/>
  <c r="AE42" i="5"/>
  <c r="J13" i="9"/>
  <c r="K13" i="9"/>
  <c r="AG55" i="5"/>
  <c r="L13" i="9"/>
  <c r="H10" i="9"/>
  <c r="I10" i="9"/>
  <c r="AE36" i="5"/>
  <c r="AE37" i="5"/>
  <c r="J10" i="9"/>
  <c r="K10" i="9"/>
  <c r="AG48" i="5"/>
  <c r="AG49" i="5"/>
  <c r="L10" i="9"/>
  <c r="H11" i="9"/>
  <c r="I11" i="9"/>
  <c r="AE38" i="5"/>
  <c r="J11" i="9"/>
  <c r="K11" i="9"/>
  <c r="AG52" i="5"/>
  <c r="L11" i="9"/>
  <c r="H9" i="9"/>
  <c r="I9" i="9"/>
  <c r="AE33" i="5"/>
  <c r="AE34" i="5"/>
  <c r="J9" i="9"/>
  <c r="K9" i="9"/>
  <c r="AG44" i="5"/>
  <c r="AG45" i="5"/>
  <c r="L9" i="9"/>
  <c r="H6" i="9"/>
  <c r="I6" i="9"/>
  <c r="AE23" i="5"/>
  <c r="AE24" i="5"/>
  <c r="J6" i="9"/>
  <c r="K6" i="9"/>
  <c r="AG32" i="5"/>
  <c r="AG33" i="5"/>
  <c r="L6" i="9"/>
  <c r="H7" i="9"/>
  <c r="I7" i="9"/>
  <c r="AE27" i="5"/>
  <c r="AE28" i="5"/>
  <c r="J7" i="9"/>
  <c r="K7" i="9"/>
  <c r="AG38" i="5"/>
  <c r="AG39" i="5"/>
  <c r="L7" i="9"/>
  <c r="H14" i="9"/>
  <c r="I14" i="9"/>
  <c r="J14" i="9"/>
  <c r="K14" i="9"/>
  <c r="L14" i="9"/>
  <c r="H17" i="9"/>
  <c r="I17" i="9"/>
  <c r="J17" i="9"/>
  <c r="K17" i="9"/>
  <c r="L17" i="9"/>
  <c r="H21" i="9"/>
  <c r="I21" i="9"/>
  <c r="J21" i="9"/>
  <c r="K21" i="9"/>
  <c r="L21" i="9"/>
  <c r="H25" i="9"/>
  <c r="I25" i="9"/>
  <c r="J25" i="9"/>
  <c r="K25" i="9"/>
  <c r="L25" i="9"/>
  <c r="H30" i="9"/>
  <c r="I30" i="9"/>
  <c r="J30" i="9"/>
  <c r="K30" i="9"/>
  <c r="L30" i="9"/>
  <c r="H35" i="9"/>
  <c r="I35" i="9"/>
  <c r="J35" i="9"/>
  <c r="K35" i="9"/>
  <c r="L35" i="9"/>
  <c r="H41" i="9"/>
  <c r="I41" i="9"/>
  <c r="J41" i="9"/>
  <c r="K41" i="9"/>
  <c r="L41" i="9"/>
  <c r="H47" i="9"/>
  <c r="I47" i="9"/>
  <c r="J47" i="9"/>
  <c r="K47" i="9"/>
  <c r="L47" i="9"/>
  <c r="H54" i="9"/>
  <c r="I54" i="9"/>
  <c r="J54" i="9"/>
  <c r="K54" i="9"/>
  <c r="L54" i="9"/>
  <c r="H61" i="9"/>
  <c r="I61" i="9"/>
  <c r="J61" i="9"/>
  <c r="K61" i="9"/>
  <c r="L61" i="9"/>
  <c r="H69" i="9"/>
  <c r="I69" i="9"/>
  <c r="J69" i="9"/>
  <c r="K69" i="9"/>
  <c r="L69" i="9"/>
  <c r="H77" i="9"/>
  <c r="I77" i="9"/>
  <c r="J77" i="9"/>
  <c r="K77" i="9"/>
  <c r="L77" i="9"/>
  <c r="H86" i="9"/>
  <c r="I86" i="9"/>
  <c r="J86" i="9"/>
  <c r="K86" i="9"/>
  <c r="L86" i="9"/>
  <c r="H95" i="9"/>
  <c r="I95" i="9"/>
  <c r="J95" i="9"/>
  <c r="K95" i="9"/>
  <c r="L95" i="9"/>
  <c r="H105" i="9"/>
  <c r="I105" i="9"/>
  <c r="J105" i="9"/>
  <c r="K105" i="9"/>
  <c r="L105" i="9"/>
  <c r="H115" i="9"/>
  <c r="I115" i="9"/>
  <c r="J115" i="9"/>
  <c r="K115" i="9"/>
  <c r="L115" i="9"/>
  <c r="H8" i="3"/>
  <c r="N10" i="2"/>
  <c r="P10" i="2" s="1"/>
  <c r="N11" i="2"/>
  <c r="N12" i="2"/>
  <c r="N13" i="2"/>
  <c r="N14" i="2"/>
  <c r="P14" i="2" s="1"/>
  <c r="N15" i="2"/>
  <c r="N16" i="2"/>
  <c r="N17" i="2"/>
  <c r="O17" i="2" s="1"/>
  <c r="Q17" i="2" s="1"/>
  <c r="N18" i="2"/>
  <c r="P18" i="2" s="1"/>
  <c r="N19" i="2"/>
  <c r="M5" i="9"/>
  <c r="BO6" i="27" s="1"/>
  <c r="AE5" i="5"/>
  <c r="AE6" i="5"/>
  <c r="AE7" i="5"/>
  <c r="AE8" i="5"/>
  <c r="AE9" i="5"/>
  <c r="AE10" i="5"/>
  <c r="AE11" i="5"/>
  <c r="AE12" i="5"/>
  <c r="AE13" i="5"/>
  <c r="AE14" i="5"/>
  <c r="AE15" i="5"/>
  <c r="AE18" i="5"/>
  <c r="AE19" i="5"/>
  <c r="AE20" i="5"/>
  <c r="AE21" i="5"/>
  <c r="AE22" i="5"/>
  <c r="AE25" i="5"/>
  <c r="AE26" i="5"/>
  <c r="AE29" i="5"/>
  <c r="AE30" i="5"/>
  <c r="AE35" i="5"/>
  <c r="AE50" i="5"/>
  <c r="AE51" i="5"/>
  <c r="AE59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7" i="5"/>
  <c r="AG28" i="5"/>
  <c r="AG29" i="5"/>
  <c r="AG30" i="5"/>
  <c r="AG31" i="5"/>
  <c r="AG34" i="5"/>
  <c r="AG35" i="5"/>
  <c r="AG36" i="5"/>
  <c r="AG37" i="5"/>
  <c r="AG40" i="5"/>
  <c r="AG43" i="5"/>
  <c r="AG46" i="5"/>
  <c r="AG47" i="5"/>
  <c r="AG50" i="5"/>
  <c r="AG51" i="5"/>
  <c r="AG66" i="5"/>
  <c r="AG67" i="5"/>
  <c r="AG78" i="5"/>
  <c r="AG81" i="5"/>
  <c r="AG88" i="5"/>
  <c r="AG94" i="5"/>
  <c r="AG95" i="5"/>
  <c r="AG96" i="5"/>
  <c r="AG97" i="5"/>
  <c r="AG98" i="5"/>
  <c r="AG99" i="5"/>
  <c r="AG100" i="5"/>
  <c r="AG101" i="5"/>
  <c r="AG102" i="5"/>
  <c r="AG103" i="5"/>
  <c r="AG104" i="5"/>
  <c r="H49" i="9"/>
  <c r="M49" i="9"/>
  <c r="BO50" i="27" s="1"/>
  <c r="I49" i="9"/>
  <c r="J49" i="9"/>
  <c r="K49" i="9"/>
  <c r="L49" i="9"/>
  <c r="M50" i="9"/>
  <c r="BO51" i="27" s="1"/>
  <c r="M8" i="9"/>
  <c r="BO9" i="27" s="1"/>
  <c r="M9" i="9"/>
  <c r="BO10" i="27" s="1"/>
  <c r="H26" i="9"/>
  <c r="M26" i="9"/>
  <c r="BO27" i="27" s="1"/>
  <c r="I26" i="9"/>
  <c r="J26" i="9"/>
  <c r="K26" i="9"/>
  <c r="L26" i="9"/>
  <c r="M27" i="9"/>
  <c r="BO28" i="27" s="1"/>
  <c r="M6" i="9"/>
  <c r="BO7" i="27" s="1"/>
  <c r="H36" i="9"/>
  <c r="M36" i="9"/>
  <c r="BO37" i="27" s="1"/>
  <c r="I36" i="9"/>
  <c r="J36" i="9"/>
  <c r="K36" i="9"/>
  <c r="L36" i="9"/>
  <c r="H37" i="9"/>
  <c r="M37" i="9"/>
  <c r="BO38" i="27" s="1"/>
  <c r="I37" i="9"/>
  <c r="J37" i="9"/>
  <c r="K37" i="9"/>
  <c r="L37" i="9"/>
  <c r="M7" i="9"/>
  <c r="BO8" i="27" s="1"/>
  <c r="H42" i="9"/>
  <c r="M42" i="9"/>
  <c r="BO43" i="27" s="1"/>
  <c r="I42" i="9"/>
  <c r="J42" i="9"/>
  <c r="K42" i="9"/>
  <c r="L42" i="9"/>
  <c r="H43" i="9"/>
  <c r="M43" i="9"/>
  <c r="BO44" i="27" s="1"/>
  <c r="I43" i="9"/>
  <c r="J43" i="9"/>
  <c r="K43" i="9"/>
  <c r="L43" i="9"/>
  <c r="M65" i="9"/>
  <c r="BO66" i="27" s="1"/>
  <c r="M66" i="9"/>
  <c r="BO67" i="27" s="1"/>
  <c r="M74" i="9"/>
  <c r="BO75" i="27" s="1"/>
  <c r="H75" i="9"/>
  <c r="M75" i="9"/>
  <c r="BO76" i="27" s="1"/>
  <c r="I75" i="9"/>
  <c r="J75" i="9"/>
  <c r="K75" i="9"/>
  <c r="L75" i="9"/>
  <c r="M57" i="9"/>
  <c r="BO58" i="27" s="1"/>
  <c r="M58" i="9"/>
  <c r="BO59" i="27" s="1"/>
  <c r="M18" i="9"/>
  <c r="BO19" i="27" s="1"/>
  <c r="M19" i="9"/>
  <c r="H22" i="9"/>
  <c r="M22" i="9"/>
  <c r="BO23" i="27" s="1"/>
  <c r="I22" i="9"/>
  <c r="J22" i="9"/>
  <c r="K22" i="9"/>
  <c r="L22" i="9"/>
  <c r="M23" i="9"/>
  <c r="BO24" i="27" s="1"/>
  <c r="M15" i="9"/>
  <c r="BO16" i="27" s="1"/>
  <c r="M16" i="9"/>
  <c r="BO17" i="27" s="1"/>
  <c r="H84" i="9"/>
  <c r="M84" i="9"/>
  <c r="BO85" i="27" s="1"/>
  <c r="I84" i="9"/>
  <c r="J84" i="9"/>
  <c r="K84" i="9"/>
  <c r="L84" i="9"/>
  <c r="H85" i="9"/>
  <c r="M85" i="9"/>
  <c r="BO86" i="27" s="1"/>
  <c r="I85" i="9"/>
  <c r="J85" i="9"/>
  <c r="K85" i="9"/>
  <c r="L85" i="9"/>
  <c r="M12" i="9"/>
  <c r="BO13" i="27" s="1"/>
  <c r="M13" i="9"/>
  <c r="BO14" i="27" s="1"/>
  <c r="H31" i="9"/>
  <c r="M31" i="9"/>
  <c r="BO32" i="27" s="1"/>
  <c r="I31" i="9"/>
  <c r="J31" i="9"/>
  <c r="K31" i="9"/>
  <c r="L31" i="9"/>
  <c r="M32" i="9"/>
  <c r="BO33" i="27" s="1"/>
  <c r="M10" i="9"/>
  <c r="BO11" i="27" s="1"/>
  <c r="M11" i="9"/>
  <c r="BO12" i="27" s="1"/>
  <c r="M17" i="9"/>
  <c r="BO18" i="27" s="1"/>
  <c r="M14" i="9"/>
  <c r="BO15" i="27" s="1"/>
  <c r="M34" i="9"/>
  <c r="M29" i="9"/>
  <c r="BO30" i="27" s="1"/>
  <c r="M20" i="9"/>
  <c r="BO21" i="27" s="1"/>
  <c r="M21" i="9"/>
  <c r="BO22" i="27" s="1"/>
  <c r="M25" i="9"/>
  <c r="BO26" i="27" s="1"/>
  <c r="M45" i="9"/>
  <c r="BO46" i="27" s="1"/>
  <c r="M35" i="9"/>
  <c r="BO36" i="27" s="1"/>
  <c r="M30" i="9"/>
  <c r="BO31" i="27" s="1"/>
  <c r="M51" i="9"/>
  <c r="BO52" i="27" s="1"/>
  <c r="M39" i="9"/>
  <c r="BO40" i="27" s="1"/>
  <c r="M41" i="9"/>
  <c r="BO42" i="27" s="1"/>
  <c r="M60" i="9"/>
  <c r="BO61" i="27" s="1"/>
  <c r="M48" i="9"/>
  <c r="BO49" i="27" s="1"/>
  <c r="M44" i="9"/>
  <c r="BO45" i="27" s="1"/>
  <c r="M24" i="9"/>
  <c r="BO25" i="27" s="1"/>
  <c r="M47" i="9"/>
  <c r="BO48" i="27" s="1"/>
  <c r="M64" i="9"/>
  <c r="M54" i="9"/>
  <c r="BO55" i="27" s="1"/>
  <c r="M68" i="9"/>
  <c r="BO69" i="27" s="1"/>
  <c r="M61" i="9"/>
  <c r="BO62" i="27" s="1"/>
  <c r="M71" i="9"/>
  <c r="BO72" i="27" s="1"/>
  <c r="M59" i="9"/>
  <c r="BO60" i="27" s="1"/>
  <c r="M40" i="9"/>
  <c r="BO41" i="27" s="1"/>
  <c r="M77" i="9"/>
  <c r="BO78" i="27" s="1"/>
  <c r="M80" i="9"/>
  <c r="BO81" i="27" s="1"/>
  <c r="M67" i="9"/>
  <c r="BO68" i="27" s="1"/>
  <c r="M86" i="9"/>
  <c r="BO87" i="27" s="1"/>
  <c r="M70" i="9"/>
  <c r="BO71" i="27" s="1"/>
  <c r="M52" i="9"/>
  <c r="BO53" i="27" s="1"/>
  <c r="M38" i="9"/>
  <c r="BO39" i="27" s="1"/>
  <c r="M69" i="9"/>
  <c r="BO70" i="27" s="1"/>
  <c r="M76" i="9"/>
  <c r="BO77" i="27" s="1"/>
  <c r="M63" i="9"/>
  <c r="BO64" i="27" s="1"/>
  <c r="M95" i="9"/>
  <c r="BO96" i="27" s="1"/>
  <c r="M88" i="9"/>
  <c r="BO89" i="27" s="1"/>
  <c r="M105" i="9"/>
  <c r="BO106" i="27" s="1"/>
  <c r="M92" i="9"/>
  <c r="BO93" i="27" s="1"/>
  <c r="M78" i="9"/>
  <c r="BO79" i="27" s="1"/>
  <c r="M62" i="9"/>
  <c r="BO63" i="27" s="1"/>
  <c r="M115" i="9"/>
  <c r="BO116" i="27" s="1"/>
  <c r="M96" i="9"/>
  <c r="BO97" i="27" s="1"/>
  <c r="M81" i="9"/>
  <c r="BO82" i="27" s="1"/>
  <c r="L404" i="9"/>
  <c r="K404" i="9"/>
  <c r="J404" i="9"/>
  <c r="I404" i="9"/>
  <c r="H404" i="9"/>
  <c r="L403" i="9"/>
  <c r="K403" i="9"/>
  <c r="J403" i="9"/>
  <c r="I403" i="9"/>
  <c r="H403" i="9"/>
  <c r="L402" i="9"/>
  <c r="K402" i="9"/>
  <c r="J402" i="9"/>
  <c r="I402" i="9"/>
  <c r="H402" i="9"/>
  <c r="L401" i="9"/>
  <c r="K401" i="9"/>
  <c r="J401" i="9"/>
  <c r="I401" i="9"/>
  <c r="H401" i="9"/>
  <c r="L400" i="9"/>
  <c r="K400" i="9"/>
  <c r="J400" i="9"/>
  <c r="I400" i="9"/>
  <c r="H400" i="9"/>
  <c r="L399" i="9"/>
  <c r="K399" i="9"/>
  <c r="J399" i="9"/>
  <c r="I399" i="9"/>
  <c r="H399" i="9"/>
  <c r="L398" i="9"/>
  <c r="K398" i="9"/>
  <c r="J398" i="9"/>
  <c r="I398" i="9"/>
  <c r="H398" i="9"/>
  <c r="L397" i="9"/>
  <c r="K397" i="9"/>
  <c r="J397" i="9"/>
  <c r="I397" i="9"/>
  <c r="H397" i="9"/>
  <c r="L396" i="9"/>
  <c r="K396" i="9"/>
  <c r="J396" i="9"/>
  <c r="I396" i="9"/>
  <c r="H396" i="9"/>
  <c r="L395" i="9"/>
  <c r="K395" i="9"/>
  <c r="J395" i="9"/>
  <c r="I395" i="9"/>
  <c r="H395" i="9"/>
  <c r="L394" i="9"/>
  <c r="K394" i="9"/>
  <c r="J394" i="9"/>
  <c r="I394" i="9"/>
  <c r="H394" i="9"/>
  <c r="L393" i="9"/>
  <c r="K393" i="9"/>
  <c r="J393" i="9"/>
  <c r="I393" i="9"/>
  <c r="H393" i="9"/>
  <c r="L392" i="9"/>
  <c r="K392" i="9"/>
  <c r="J392" i="9"/>
  <c r="I392" i="9"/>
  <c r="H392" i="9"/>
  <c r="L391" i="9"/>
  <c r="K391" i="9"/>
  <c r="J391" i="9"/>
  <c r="I391" i="9"/>
  <c r="H391" i="9"/>
  <c r="L390" i="9"/>
  <c r="K390" i="9"/>
  <c r="J390" i="9"/>
  <c r="I390" i="9"/>
  <c r="H390" i="9"/>
  <c r="L389" i="9"/>
  <c r="K389" i="9"/>
  <c r="J389" i="9"/>
  <c r="I389" i="9"/>
  <c r="H389" i="9"/>
  <c r="L388" i="9"/>
  <c r="K388" i="9"/>
  <c r="J388" i="9"/>
  <c r="I388" i="9"/>
  <c r="H388" i="9"/>
  <c r="L387" i="9"/>
  <c r="K387" i="9"/>
  <c r="J387" i="9"/>
  <c r="I387" i="9"/>
  <c r="H387" i="9"/>
  <c r="L386" i="9"/>
  <c r="K386" i="9"/>
  <c r="J386" i="9"/>
  <c r="I386" i="9"/>
  <c r="H386" i="9"/>
  <c r="L385" i="9"/>
  <c r="K385" i="9"/>
  <c r="J385" i="9"/>
  <c r="I385" i="9"/>
  <c r="H385" i="9"/>
  <c r="L384" i="9"/>
  <c r="K384" i="9"/>
  <c r="J384" i="9"/>
  <c r="I384" i="9"/>
  <c r="H384" i="9"/>
  <c r="L383" i="9"/>
  <c r="K383" i="9"/>
  <c r="J383" i="9"/>
  <c r="I383" i="9"/>
  <c r="H383" i="9"/>
  <c r="L382" i="9"/>
  <c r="K382" i="9"/>
  <c r="J382" i="9"/>
  <c r="I382" i="9"/>
  <c r="H382" i="9"/>
  <c r="L381" i="9"/>
  <c r="K381" i="9"/>
  <c r="J381" i="9"/>
  <c r="I381" i="9"/>
  <c r="H381" i="9"/>
  <c r="L380" i="9"/>
  <c r="K380" i="9"/>
  <c r="J380" i="9"/>
  <c r="I380" i="9"/>
  <c r="H380" i="9"/>
  <c r="L379" i="9"/>
  <c r="K379" i="9"/>
  <c r="J379" i="9"/>
  <c r="I379" i="9"/>
  <c r="H379" i="9"/>
  <c r="L378" i="9"/>
  <c r="K378" i="9"/>
  <c r="J378" i="9"/>
  <c r="I378" i="9"/>
  <c r="H378" i="9"/>
  <c r="L377" i="9"/>
  <c r="K377" i="9"/>
  <c r="J377" i="9"/>
  <c r="I377" i="9"/>
  <c r="H377" i="9"/>
  <c r="L376" i="9"/>
  <c r="K376" i="9"/>
  <c r="J376" i="9"/>
  <c r="I376" i="9"/>
  <c r="H376" i="9"/>
  <c r="L375" i="9"/>
  <c r="K375" i="9"/>
  <c r="J375" i="9"/>
  <c r="I375" i="9"/>
  <c r="H375" i="9"/>
  <c r="L374" i="9"/>
  <c r="K374" i="9"/>
  <c r="J374" i="9"/>
  <c r="I374" i="9"/>
  <c r="H374" i="9"/>
  <c r="L373" i="9"/>
  <c r="K373" i="9"/>
  <c r="J373" i="9"/>
  <c r="I373" i="9"/>
  <c r="H373" i="9"/>
  <c r="L372" i="9"/>
  <c r="K372" i="9"/>
  <c r="J372" i="9"/>
  <c r="I372" i="9"/>
  <c r="H372" i="9"/>
  <c r="L371" i="9"/>
  <c r="K371" i="9"/>
  <c r="J371" i="9"/>
  <c r="I371" i="9"/>
  <c r="H371" i="9"/>
  <c r="L370" i="9"/>
  <c r="K370" i="9"/>
  <c r="J370" i="9"/>
  <c r="I370" i="9"/>
  <c r="H370" i="9"/>
  <c r="L369" i="9"/>
  <c r="K369" i="9"/>
  <c r="J369" i="9"/>
  <c r="I369" i="9"/>
  <c r="H369" i="9"/>
  <c r="L368" i="9"/>
  <c r="K368" i="9"/>
  <c r="J368" i="9"/>
  <c r="I368" i="9"/>
  <c r="H368" i="9"/>
  <c r="L367" i="9"/>
  <c r="K367" i="9"/>
  <c r="J367" i="9"/>
  <c r="I367" i="9"/>
  <c r="H367" i="9"/>
  <c r="L366" i="9"/>
  <c r="K366" i="9"/>
  <c r="J366" i="9"/>
  <c r="I366" i="9"/>
  <c r="H366" i="9"/>
  <c r="L365" i="9"/>
  <c r="K365" i="9"/>
  <c r="J365" i="9"/>
  <c r="I365" i="9"/>
  <c r="H365" i="9"/>
  <c r="L364" i="9"/>
  <c r="K364" i="9"/>
  <c r="J364" i="9"/>
  <c r="I364" i="9"/>
  <c r="H364" i="9"/>
  <c r="L363" i="9"/>
  <c r="K363" i="9"/>
  <c r="J363" i="9"/>
  <c r="I363" i="9"/>
  <c r="H363" i="9"/>
  <c r="L362" i="9"/>
  <c r="K362" i="9"/>
  <c r="J362" i="9"/>
  <c r="I362" i="9"/>
  <c r="H362" i="9"/>
  <c r="L361" i="9"/>
  <c r="K361" i="9"/>
  <c r="J361" i="9"/>
  <c r="I361" i="9"/>
  <c r="H361" i="9"/>
  <c r="L360" i="9"/>
  <c r="K360" i="9"/>
  <c r="J360" i="9"/>
  <c r="I360" i="9"/>
  <c r="H360" i="9"/>
  <c r="L359" i="9"/>
  <c r="K359" i="9"/>
  <c r="J359" i="9"/>
  <c r="I359" i="9"/>
  <c r="H359" i="9"/>
  <c r="L358" i="9"/>
  <c r="K358" i="9"/>
  <c r="J358" i="9"/>
  <c r="I358" i="9"/>
  <c r="H358" i="9"/>
  <c r="L357" i="9"/>
  <c r="K357" i="9"/>
  <c r="J357" i="9"/>
  <c r="I357" i="9"/>
  <c r="H357" i="9"/>
  <c r="L356" i="9"/>
  <c r="K356" i="9"/>
  <c r="J356" i="9"/>
  <c r="I356" i="9"/>
  <c r="H356" i="9"/>
  <c r="L355" i="9"/>
  <c r="K355" i="9"/>
  <c r="J355" i="9"/>
  <c r="I355" i="9"/>
  <c r="H355" i="9"/>
  <c r="L354" i="9"/>
  <c r="K354" i="9"/>
  <c r="J354" i="9"/>
  <c r="I354" i="9"/>
  <c r="H354" i="9"/>
  <c r="L353" i="9"/>
  <c r="K353" i="9"/>
  <c r="J353" i="9"/>
  <c r="I353" i="9"/>
  <c r="H353" i="9"/>
  <c r="L352" i="9"/>
  <c r="K352" i="9"/>
  <c r="J352" i="9"/>
  <c r="I352" i="9"/>
  <c r="H352" i="9"/>
  <c r="L351" i="9"/>
  <c r="K351" i="9"/>
  <c r="J351" i="9"/>
  <c r="I351" i="9"/>
  <c r="H351" i="9"/>
  <c r="L350" i="9"/>
  <c r="K350" i="9"/>
  <c r="J350" i="9"/>
  <c r="I350" i="9"/>
  <c r="H350" i="9"/>
  <c r="L349" i="9"/>
  <c r="K349" i="9"/>
  <c r="J349" i="9"/>
  <c r="I349" i="9"/>
  <c r="H349" i="9"/>
  <c r="L348" i="9"/>
  <c r="K348" i="9"/>
  <c r="J348" i="9"/>
  <c r="I348" i="9"/>
  <c r="H348" i="9"/>
  <c r="L347" i="9"/>
  <c r="K347" i="9"/>
  <c r="J347" i="9"/>
  <c r="I347" i="9"/>
  <c r="H347" i="9"/>
  <c r="L346" i="9"/>
  <c r="K346" i="9"/>
  <c r="J346" i="9"/>
  <c r="I346" i="9"/>
  <c r="H346" i="9"/>
  <c r="L345" i="9"/>
  <c r="K345" i="9"/>
  <c r="J345" i="9"/>
  <c r="I345" i="9"/>
  <c r="H345" i="9"/>
  <c r="L344" i="9"/>
  <c r="K344" i="9"/>
  <c r="J344" i="9"/>
  <c r="I344" i="9"/>
  <c r="H344" i="9"/>
  <c r="L343" i="9"/>
  <c r="K343" i="9"/>
  <c r="J343" i="9"/>
  <c r="I343" i="9"/>
  <c r="H343" i="9"/>
  <c r="L342" i="9"/>
  <c r="K342" i="9"/>
  <c r="J342" i="9"/>
  <c r="I342" i="9"/>
  <c r="H342" i="9"/>
  <c r="L341" i="9"/>
  <c r="K341" i="9"/>
  <c r="J341" i="9"/>
  <c r="I341" i="9"/>
  <c r="H341" i="9"/>
  <c r="L340" i="9"/>
  <c r="K340" i="9"/>
  <c r="J340" i="9"/>
  <c r="I340" i="9"/>
  <c r="H340" i="9"/>
  <c r="L339" i="9"/>
  <c r="K339" i="9"/>
  <c r="J339" i="9"/>
  <c r="I339" i="9"/>
  <c r="H339" i="9"/>
  <c r="L338" i="9"/>
  <c r="K338" i="9"/>
  <c r="J338" i="9"/>
  <c r="I338" i="9"/>
  <c r="H338" i="9"/>
  <c r="L337" i="9"/>
  <c r="K337" i="9"/>
  <c r="J337" i="9"/>
  <c r="I337" i="9"/>
  <c r="H337" i="9"/>
  <c r="L336" i="9"/>
  <c r="K336" i="9"/>
  <c r="J336" i="9"/>
  <c r="I336" i="9"/>
  <c r="H336" i="9"/>
  <c r="L335" i="9"/>
  <c r="K335" i="9"/>
  <c r="J335" i="9"/>
  <c r="I335" i="9"/>
  <c r="H335" i="9"/>
  <c r="L334" i="9"/>
  <c r="K334" i="9"/>
  <c r="J334" i="9"/>
  <c r="I334" i="9"/>
  <c r="H334" i="9"/>
  <c r="L333" i="9"/>
  <c r="K333" i="9"/>
  <c r="J333" i="9"/>
  <c r="I333" i="9"/>
  <c r="H333" i="9"/>
  <c r="L332" i="9"/>
  <c r="K332" i="9"/>
  <c r="J332" i="9"/>
  <c r="I332" i="9"/>
  <c r="H332" i="9"/>
  <c r="L331" i="9"/>
  <c r="K331" i="9"/>
  <c r="J331" i="9"/>
  <c r="I331" i="9"/>
  <c r="H331" i="9"/>
  <c r="L330" i="9"/>
  <c r="K330" i="9"/>
  <c r="J330" i="9"/>
  <c r="I330" i="9"/>
  <c r="H330" i="9"/>
  <c r="L329" i="9"/>
  <c r="K329" i="9"/>
  <c r="J329" i="9"/>
  <c r="I329" i="9"/>
  <c r="H329" i="9"/>
  <c r="L328" i="9"/>
  <c r="K328" i="9"/>
  <c r="J328" i="9"/>
  <c r="I328" i="9"/>
  <c r="H328" i="9"/>
  <c r="L327" i="9"/>
  <c r="K327" i="9"/>
  <c r="J327" i="9"/>
  <c r="I327" i="9"/>
  <c r="H327" i="9"/>
  <c r="L326" i="9"/>
  <c r="K326" i="9"/>
  <c r="J326" i="9"/>
  <c r="I326" i="9"/>
  <c r="H326" i="9"/>
  <c r="L325" i="9"/>
  <c r="K325" i="9"/>
  <c r="J325" i="9"/>
  <c r="I325" i="9"/>
  <c r="H325" i="9"/>
  <c r="L324" i="9"/>
  <c r="K324" i="9"/>
  <c r="J324" i="9"/>
  <c r="I324" i="9"/>
  <c r="H324" i="9"/>
  <c r="L323" i="9"/>
  <c r="K323" i="9"/>
  <c r="J323" i="9"/>
  <c r="I323" i="9"/>
  <c r="H323" i="9"/>
  <c r="L322" i="9"/>
  <c r="K322" i="9"/>
  <c r="J322" i="9"/>
  <c r="I322" i="9"/>
  <c r="H322" i="9"/>
  <c r="L321" i="9"/>
  <c r="K321" i="9"/>
  <c r="J321" i="9"/>
  <c r="I321" i="9"/>
  <c r="H321" i="9"/>
  <c r="L320" i="9"/>
  <c r="K320" i="9"/>
  <c r="J320" i="9"/>
  <c r="I320" i="9"/>
  <c r="H320" i="9"/>
  <c r="L319" i="9"/>
  <c r="K319" i="9"/>
  <c r="J319" i="9"/>
  <c r="I319" i="9"/>
  <c r="H319" i="9"/>
  <c r="L318" i="9"/>
  <c r="K318" i="9"/>
  <c r="J318" i="9"/>
  <c r="I318" i="9"/>
  <c r="H318" i="9"/>
  <c r="L317" i="9"/>
  <c r="K317" i="9"/>
  <c r="J317" i="9"/>
  <c r="I317" i="9"/>
  <c r="H317" i="9"/>
  <c r="L316" i="9"/>
  <c r="K316" i="9"/>
  <c r="J316" i="9"/>
  <c r="I316" i="9"/>
  <c r="H316" i="9"/>
  <c r="L315" i="9"/>
  <c r="K315" i="9"/>
  <c r="J315" i="9"/>
  <c r="I315" i="9"/>
  <c r="H315" i="9"/>
  <c r="L314" i="9"/>
  <c r="K314" i="9"/>
  <c r="J314" i="9"/>
  <c r="I314" i="9"/>
  <c r="H314" i="9"/>
  <c r="L313" i="9"/>
  <c r="K313" i="9"/>
  <c r="J313" i="9"/>
  <c r="I313" i="9"/>
  <c r="H313" i="9"/>
  <c r="L312" i="9"/>
  <c r="K312" i="9"/>
  <c r="J312" i="9"/>
  <c r="I312" i="9"/>
  <c r="H312" i="9"/>
  <c r="L311" i="9"/>
  <c r="K311" i="9"/>
  <c r="J311" i="9"/>
  <c r="I311" i="9"/>
  <c r="H311" i="9"/>
  <c r="L310" i="9"/>
  <c r="K310" i="9"/>
  <c r="J310" i="9"/>
  <c r="I310" i="9"/>
  <c r="H310" i="9"/>
  <c r="L309" i="9"/>
  <c r="K309" i="9"/>
  <c r="J309" i="9"/>
  <c r="I309" i="9"/>
  <c r="H309" i="9"/>
  <c r="L308" i="9"/>
  <c r="K308" i="9"/>
  <c r="J308" i="9"/>
  <c r="I308" i="9"/>
  <c r="H308" i="9"/>
  <c r="L307" i="9"/>
  <c r="K307" i="9"/>
  <c r="J307" i="9"/>
  <c r="I307" i="9"/>
  <c r="H307" i="9"/>
  <c r="L306" i="9"/>
  <c r="K306" i="9"/>
  <c r="J306" i="9"/>
  <c r="I306" i="9"/>
  <c r="H306" i="9"/>
  <c r="L305" i="9"/>
  <c r="K305" i="9"/>
  <c r="J305" i="9"/>
  <c r="I305" i="9"/>
  <c r="H305" i="9"/>
  <c r="L304" i="9"/>
  <c r="K304" i="9"/>
  <c r="J304" i="9"/>
  <c r="I304" i="9"/>
  <c r="H304" i="9"/>
  <c r="L303" i="9"/>
  <c r="K303" i="9"/>
  <c r="J303" i="9"/>
  <c r="I303" i="9"/>
  <c r="H303" i="9"/>
  <c r="L302" i="9"/>
  <c r="K302" i="9"/>
  <c r="J302" i="9"/>
  <c r="I302" i="9"/>
  <c r="H302" i="9"/>
  <c r="L301" i="9"/>
  <c r="K301" i="9"/>
  <c r="J301" i="9"/>
  <c r="I301" i="9"/>
  <c r="H301" i="9"/>
  <c r="L300" i="9"/>
  <c r="K300" i="9"/>
  <c r="J300" i="9"/>
  <c r="I300" i="9"/>
  <c r="H300" i="9"/>
  <c r="L299" i="9"/>
  <c r="K299" i="9"/>
  <c r="J299" i="9"/>
  <c r="I299" i="9"/>
  <c r="H299" i="9"/>
  <c r="L298" i="9"/>
  <c r="K298" i="9"/>
  <c r="J298" i="9"/>
  <c r="I298" i="9"/>
  <c r="H298" i="9"/>
  <c r="L297" i="9"/>
  <c r="K297" i="9"/>
  <c r="J297" i="9"/>
  <c r="I297" i="9"/>
  <c r="H297" i="9"/>
  <c r="L296" i="9"/>
  <c r="K296" i="9"/>
  <c r="J296" i="9"/>
  <c r="I296" i="9"/>
  <c r="H296" i="9"/>
  <c r="L295" i="9"/>
  <c r="K295" i="9"/>
  <c r="J295" i="9"/>
  <c r="I295" i="9"/>
  <c r="H295" i="9"/>
  <c r="L294" i="9"/>
  <c r="K294" i="9"/>
  <c r="J294" i="9"/>
  <c r="I294" i="9"/>
  <c r="H294" i="9"/>
  <c r="L293" i="9"/>
  <c r="K293" i="9"/>
  <c r="J293" i="9"/>
  <c r="I293" i="9"/>
  <c r="H293" i="9"/>
  <c r="L292" i="9"/>
  <c r="K292" i="9"/>
  <c r="J292" i="9"/>
  <c r="I292" i="9"/>
  <c r="H292" i="9"/>
  <c r="L291" i="9"/>
  <c r="K291" i="9"/>
  <c r="J291" i="9"/>
  <c r="I291" i="9"/>
  <c r="H291" i="9"/>
  <c r="L290" i="9"/>
  <c r="K290" i="9"/>
  <c r="J290" i="9"/>
  <c r="I290" i="9"/>
  <c r="H290" i="9"/>
  <c r="L289" i="9"/>
  <c r="K289" i="9"/>
  <c r="J289" i="9"/>
  <c r="I289" i="9"/>
  <c r="H289" i="9"/>
  <c r="L288" i="9"/>
  <c r="K288" i="9"/>
  <c r="J288" i="9"/>
  <c r="I288" i="9"/>
  <c r="H288" i="9"/>
  <c r="L287" i="9"/>
  <c r="K287" i="9"/>
  <c r="J287" i="9"/>
  <c r="I287" i="9"/>
  <c r="H287" i="9"/>
  <c r="L286" i="9"/>
  <c r="K286" i="9"/>
  <c r="J286" i="9"/>
  <c r="I286" i="9"/>
  <c r="H286" i="9"/>
  <c r="L285" i="9"/>
  <c r="K285" i="9"/>
  <c r="J285" i="9"/>
  <c r="I285" i="9"/>
  <c r="H285" i="9"/>
  <c r="L284" i="9"/>
  <c r="K284" i="9"/>
  <c r="J284" i="9"/>
  <c r="I284" i="9"/>
  <c r="H284" i="9"/>
  <c r="L283" i="9"/>
  <c r="K283" i="9"/>
  <c r="J283" i="9"/>
  <c r="I283" i="9"/>
  <c r="H283" i="9"/>
  <c r="L282" i="9"/>
  <c r="K282" i="9"/>
  <c r="J282" i="9"/>
  <c r="I282" i="9"/>
  <c r="H282" i="9"/>
  <c r="L281" i="9"/>
  <c r="K281" i="9"/>
  <c r="J281" i="9"/>
  <c r="I281" i="9"/>
  <c r="H281" i="9"/>
  <c r="L280" i="9"/>
  <c r="K280" i="9"/>
  <c r="J280" i="9"/>
  <c r="I280" i="9"/>
  <c r="H280" i="9"/>
  <c r="L279" i="9"/>
  <c r="K279" i="9"/>
  <c r="J279" i="9"/>
  <c r="I279" i="9"/>
  <c r="H279" i="9"/>
  <c r="L278" i="9"/>
  <c r="K278" i="9"/>
  <c r="J278" i="9"/>
  <c r="I278" i="9"/>
  <c r="H278" i="9"/>
  <c r="L277" i="9"/>
  <c r="K277" i="9"/>
  <c r="J277" i="9"/>
  <c r="I277" i="9"/>
  <c r="H277" i="9"/>
  <c r="L276" i="9"/>
  <c r="K276" i="9"/>
  <c r="J276" i="9"/>
  <c r="I276" i="9"/>
  <c r="H276" i="9"/>
  <c r="L275" i="9"/>
  <c r="K275" i="9"/>
  <c r="J275" i="9"/>
  <c r="I275" i="9"/>
  <c r="H275" i="9"/>
  <c r="L274" i="9"/>
  <c r="K274" i="9"/>
  <c r="J274" i="9"/>
  <c r="I274" i="9"/>
  <c r="H274" i="9"/>
  <c r="L273" i="9"/>
  <c r="K273" i="9"/>
  <c r="J273" i="9"/>
  <c r="I273" i="9"/>
  <c r="H273" i="9"/>
  <c r="L272" i="9"/>
  <c r="K272" i="9"/>
  <c r="J272" i="9"/>
  <c r="I272" i="9"/>
  <c r="H272" i="9"/>
  <c r="L271" i="9"/>
  <c r="K271" i="9"/>
  <c r="J271" i="9"/>
  <c r="I271" i="9"/>
  <c r="H271" i="9"/>
  <c r="L270" i="9"/>
  <c r="K270" i="9"/>
  <c r="J270" i="9"/>
  <c r="I270" i="9"/>
  <c r="H270" i="9"/>
  <c r="L269" i="9"/>
  <c r="K269" i="9"/>
  <c r="J269" i="9"/>
  <c r="I269" i="9"/>
  <c r="H269" i="9"/>
  <c r="L268" i="9"/>
  <c r="K268" i="9"/>
  <c r="J268" i="9"/>
  <c r="I268" i="9"/>
  <c r="H268" i="9"/>
  <c r="L267" i="9"/>
  <c r="K267" i="9"/>
  <c r="J267" i="9"/>
  <c r="I267" i="9"/>
  <c r="H267" i="9"/>
  <c r="L266" i="9"/>
  <c r="K266" i="9"/>
  <c r="J266" i="9"/>
  <c r="I266" i="9"/>
  <c r="H266" i="9"/>
  <c r="L265" i="9"/>
  <c r="K265" i="9"/>
  <c r="J265" i="9"/>
  <c r="I265" i="9"/>
  <c r="H265" i="9"/>
  <c r="L264" i="9"/>
  <c r="K264" i="9"/>
  <c r="J264" i="9"/>
  <c r="I264" i="9"/>
  <c r="H264" i="9"/>
  <c r="L263" i="9"/>
  <c r="K263" i="9"/>
  <c r="J263" i="9"/>
  <c r="I263" i="9"/>
  <c r="H263" i="9"/>
  <c r="L262" i="9"/>
  <c r="K262" i="9"/>
  <c r="J262" i="9"/>
  <c r="I262" i="9"/>
  <c r="H262" i="9"/>
  <c r="L261" i="9"/>
  <c r="K261" i="9"/>
  <c r="J261" i="9"/>
  <c r="I261" i="9"/>
  <c r="H261" i="9"/>
  <c r="L260" i="9"/>
  <c r="K260" i="9"/>
  <c r="J260" i="9"/>
  <c r="I260" i="9"/>
  <c r="H260" i="9"/>
  <c r="L259" i="9"/>
  <c r="K259" i="9"/>
  <c r="J259" i="9"/>
  <c r="I259" i="9"/>
  <c r="H259" i="9"/>
  <c r="L258" i="9"/>
  <c r="K258" i="9"/>
  <c r="J258" i="9"/>
  <c r="I258" i="9"/>
  <c r="H258" i="9"/>
  <c r="L257" i="9"/>
  <c r="K257" i="9"/>
  <c r="J257" i="9"/>
  <c r="I257" i="9"/>
  <c r="H257" i="9"/>
  <c r="L256" i="9"/>
  <c r="K256" i="9"/>
  <c r="J256" i="9"/>
  <c r="I256" i="9"/>
  <c r="H256" i="9"/>
  <c r="L255" i="9"/>
  <c r="K255" i="9"/>
  <c r="J255" i="9"/>
  <c r="I255" i="9"/>
  <c r="H255" i="9"/>
  <c r="L254" i="9"/>
  <c r="K254" i="9"/>
  <c r="J254" i="9"/>
  <c r="I254" i="9"/>
  <c r="H254" i="9"/>
  <c r="L253" i="9"/>
  <c r="K253" i="9"/>
  <c r="J253" i="9"/>
  <c r="I253" i="9"/>
  <c r="H253" i="9"/>
  <c r="L252" i="9"/>
  <c r="K252" i="9"/>
  <c r="J252" i="9"/>
  <c r="I252" i="9"/>
  <c r="H252" i="9"/>
  <c r="L251" i="9"/>
  <c r="K251" i="9"/>
  <c r="J251" i="9"/>
  <c r="I251" i="9"/>
  <c r="H251" i="9"/>
  <c r="L250" i="9"/>
  <c r="K250" i="9"/>
  <c r="J250" i="9"/>
  <c r="I250" i="9"/>
  <c r="H250" i="9"/>
  <c r="L249" i="9"/>
  <c r="K249" i="9"/>
  <c r="J249" i="9"/>
  <c r="I249" i="9"/>
  <c r="H249" i="9"/>
  <c r="L248" i="9"/>
  <c r="K248" i="9"/>
  <c r="J248" i="9"/>
  <c r="I248" i="9"/>
  <c r="H248" i="9"/>
  <c r="L247" i="9"/>
  <c r="K247" i="9"/>
  <c r="J247" i="9"/>
  <c r="I247" i="9"/>
  <c r="H247" i="9"/>
  <c r="L246" i="9"/>
  <c r="K246" i="9"/>
  <c r="J246" i="9"/>
  <c r="I246" i="9"/>
  <c r="H246" i="9"/>
  <c r="L245" i="9"/>
  <c r="K245" i="9"/>
  <c r="J245" i="9"/>
  <c r="I245" i="9"/>
  <c r="H245" i="9"/>
  <c r="L244" i="9"/>
  <c r="K244" i="9"/>
  <c r="J244" i="9"/>
  <c r="I244" i="9"/>
  <c r="H244" i="9"/>
  <c r="L243" i="9"/>
  <c r="K243" i="9"/>
  <c r="J243" i="9"/>
  <c r="I243" i="9"/>
  <c r="H243" i="9"/>
  <c r="L242" i="9"/>
  <c r="K242" i="9"/>
  <c r="J242" i="9"/>
  <c r="I242" i="9"/>
  <c r="H242" i="9"/>
  <c r="L241" i="9"/>
  <c r="K241" i="9"/>
  <c r="J241" i="9"/>
  <c r="I241" i="9"/>
  <c r="H241" i="9"/>
  <c r="L240" i="9"/>
  <c r="K240" i="9"/>
  <c r="J240" i="9"/>
  <c r="I240" i="9"/>
  <c r="H240" i="9"/>
  <c r="L239" i="9"/>
  <c r="K239" i="9"/>
  <c r="J239" i="9"/>
  <c r="I239" i="9"/>
  <c r="H239" i="9"/>
  <c r="L238" i="9"/>
  <c r="K238" i="9"/>
  <c r="J238" i="9"/>
  <c r="I238" i="9"/>
  <c r="H238" i="9"/>
  <c r="L237" i="9"/>
  <c r="K237" i="9"/>
  <c r="J237" i="9"/>
  <c r="I237" i="9"/>
  <c r="H237" i="9"/>
  <c r="L236" i="9"/>
  <c r="K236" i="9"/>
  <c r="J236" i="9"/>
  <c r="I236" i="9"/>
  <c r="H236" i="9"/>
  <c r="L235" i="9"/>
  <c r="K235" i="9"/>
  <c r="J235" i="9"/>
  <c r="I235" i="9"/>
  <c r="H235" i="9"/>
  <c r="L234" i="9"/>
  <c r="K234" i="9"/>
  <c r="J234" i="9"/>
  <c r="I234" i="9"/>
  <c r="H234" i="9"/>
  <c r="L233" i="9"/>
  <c r="K233" i="9"/>
  <c r="J233" i="9"/>
  <c r="I233" i="9"/>
  <c r="H233" i="9"/>
  <c r="L232" i="9"/>
  <c r="K232" i="9"/>
  <c r="J232" i="9"/>
  <c r="I232" i="9"/>
  <c r="H232" i="9"/>
  <c r="L231" i="9"/>
  <c r="K231" i="9"/>
  <c r="J231" i="9"/>
  <c r="I231" i="9"/>
  <c r="H231" i="9"/>
  <c r="L230" i="9"/>
  <c r="K230" i="9"/>
  <c r="J230" i="9"/>
  <c r="I230" i="9"/>
  <c r="H230" i="9"/>
  <c r="L229" i="9"/>
  <c r="K229" i="9"/>
  <c r="J229" i="9"/>
  <c r="I229" i="9"/>
  <c r="H229" i="9"/>
  <c r="L228" i="9"/>
  <c r="K228" i="9"/>
  <c r="J228" i="9"/>
  <c r="I228" i="9"/>
  <c r="H228" i="9"/>
  <c r="L227" i="9"/>
  <c r="K227" i="9"/>
  <c r="J227" i="9"/>
  <c r="I227" i="9"/>
  <c r="H227" i="9"/>
  <c r="L226" i="9"/>
  <c r="K226" i="9"/>
  <c r="J226" i="9"/>
  <c r="I226" i="9"/>
  <c r="H226" i="9"/>
  <c r="L225" i="9"/>
  <c r="K225" i="9"/>
  <c r="J225" i="9"/>
  <c r="I225" i="9"/>
  <c r="H225" i="9"/>
  <c r="L224" i="9"/>
  <c r="K224" i="9"/>
  <c r="J224" i="9"/>
  <c r="I224" i="9"/>
  <c r="H224" i="9"/>
  <c r="L223" i="9"/>
  <c r="K223" i="9"/>
  <c r="J223" i="9"/>
  <c r="I223" i="9"/>
  <c r="H223" i="9"/>
  <c r="L222" i="9"/>
  <c r="K222" i="9"/>
  <c r="J222" i="9"/>
  <c r="I222" i="9"/>
  <c r="H222" i="9"/>
  <c r="L221" i="9"/>
  <c r="K221" i="9"/>
  <c r="J221" i="9"/>
  <c r="I221" i="9"/>
  <c r="H221" i="9"/>
  <c r="L220" i="9"/>
  <c r="K220" i="9"/>
  <c r="J220" i="9"/>
  <c r="I220" i="9"/>
  <c r="H220" i="9"/>
  <c r="L219" i="9"/>
  <c r="K219" i="9"/>
  <c r="J219" i="9"/>
  <c r="I219" i="9"/>
  <c r="H219" i="9"/>
  <c r="L218" i="9"/>
  <c r="K218" i="9"/>
  <c r="J218" i="9"/>
  <c r="I218" i="9"/>
  <c r="H218" i="9"/>
  <c r="L217" i="9"/>
  <c r="K217" i="9"/>
  <c r="J217" i="9"/>
  <c r="I217" i="9"/>
  <c r="H217" i="9"/>
  <c r="L216" i="9"/>
  <c r="K216" i="9"/>
  <c r="J216" i="9"/>
  <c r="I216" i="9"/>
  <c r="H216" i="9"/>
  <c r="L215" i="9"/>
  <c r="K215" i="9"/>
  <c r="J215" i="9"/>
  <c r="I215" i="9"/>
  <c r="H215" i="9"/>
  <c r="L214" i="9"/>
  <c r="K214" i="9"/>
  <c r="J214" i="9"/>
  <c r="I214" i="9"/>
  <c r="H214" i="9"/>
  <c r="L213" i="9"/>
  <c r="K213" i="9"/>
  <c r="J213" i="9"/>
  <c r="I213" i="9"/>
  <c r="H213" i="9"/>
  <c r="L212" i="9"/>
  <c r="K212" i="9"/>
  <c r="J212" i="9"/>
  <c r="I212" i="9"/>
  <c r="H212" i="9"/>
  <c r="L211" i="9"/>
  <c r="K211" i="9"/>
  <c r="J211" i="9"/>
  <c r="I211" i="9"/>
  <c r="H211" i="9"/>
  <c r="L210" i="9"/>
  <c r="K210" i="9"/>
  <c r="J210" i="9"/>
  <c r="I210" i="9"/>
  <c r="H210" i="9"/>
  <c r="L209" i="9"/>
  <c r="K209" i="9"/>
  <c r="J209" i="9"/>
  <c r="I209" i="9"/>
  <c r="H209" i="9"/>
  <c r="L208" i="9"/>
  <c r="K208" i="9"/>
  <c r="J208" i="9"/>
  <c r="I208" i="9"/>
  <c r="H208" i="9"/>
  <c r="L207" i="9"/>
  <c r="K207" i="9"/>
  <c r="J207" i="9"/>
  <c r="I207" i="9"/>
  <c r="H207" i="9"/>
  <c r="L206" i="9"/>
  <c r="K206" i="9"/>
  <c r="J206" i="9"/>
  <c r="I206" i="9"/>
  <c r="H206" i="9"/>
  <c r="L205" i="9"/>
  <c r="K205" i="9"/>
  <c r="J205" i="9"/>
  <c r="I205" i="9"/>
  <c r="H205" i="9"/>
  <c r="L204" i="9"/>
  <c r="K204" i="9"/>
  <c r="J204" i="9"/>
  <c r="I204" i="9"/>
  <c r="H204" i="9"/>
  <c r="L203" i="9"/>
  <c r="K203" i="9"/>
  <c r="J203" i="9"/>
  <c r="I203" i="9"/>
  <c r="H203" i="9"/>
  <c r="L202" i="9"/>
  <c r="K202" i="9"/>
  <c r="J202" i="9"/>
  <c r="I202" i="9"/>
  <c r="H202" i="9"/>
  <c r="L201" i="9"/>
  <c r="K201" i="9"/>
  <c r="J201" i="9"/>
  <c r="I201" i="9"/>
  <c r="H201" i="9"/>
  <c r="L200" i="9"/>
  <c r="K200" i="9"/>
  <c r="J200" i="9"/>
  <c r="I200" i="9"/>
  <c r="H200" i="9"/>
  <c r="L199" i="9"/>
  <c r="K199" i="9"/>
  <c r="J199" i="9"/>
  <c r="I199" i="9"/>
  <c r="H199" i="9"/>
  <c r="L198" i="9"/>
  <c r="K198" i="9"/>
  <c r="J198" i="9"/>
  <c r="I198" i="9"/>
  <c r="H198" i="9"/>
  <c r="L197" i="9"/>
  <c r="K197" i="9"/>
  <c r="J197" i="9"/>
  <c r="I197" i="9"/>
  <c r="H197" i="9"/>
  <c r="L196" i="9"/>
  <c r="K196" i="9"/>
  <c r="J196" i="9"/>
  <c r="I196" i="9"/>
  <c r="H196" i="9"/>
  <c r="L195" i="9"/>
  <c r="K195" i="9"/>
  <c r="J195" i="9"/>
  <c r="I195" i="9"/>
  <c r="H195" i="9"/>
  <c r="L194" i="9"/>
  <c r="K194" i="9"/>
  <c r="J194" i="9"/>
  <c r="I194" i="9"/>
  <c r="H194" i="9"/>
  <c r="L193" i="9"/>
  <c r="K193" i="9"/>
  <c r="J193" i="9"/>
  <c r="I193" i="9"/>
  <c r="H193" i="9"/>
  <c r="L192" i="9"/>
  <c r="K192" i="9"/>
  <c r="J192" i="9"/>
  <c r="I192" i="9"/>
  <c r="H192" i="9"/>
  <c r="L191" i="9"/>
  <c r="K191" i="9"/>
  <c r="J191" i="9"/>
  <c r="I191" i="9"/>
  <c r="H191" i="9"/>
  <c r="L190" i="9"/>
  <c r="K190" i="9"/>
  <c r="J190" i="9"/>
  <c r="I190" i="9"/>
  <c r="H190" i="9"/>
  <c r="L189" i="9"/>
  <c r="K189" i="9"/>
  <c r="J189" i="9"/>
  <c r="I189" i="9"/>
  <c r="H189" i="9"/>
  <c r="L188" i="9"/>
  <c r="K188" i="9"/>
  <c r="J188" i="9"/>
  <c r="I188" i="9"/>
  <c r="H188" i="9"/>
  <c r="L187" i="9"/>
  <c r="K187" i="9"/>
  <c r="J187" i="9"/>
  <c r="I187" i="9"/>
  <c r="H187" i="9"/>
  <c r="L186" i="9"/>
  <c r="K186" i="9"/>
  <c r="J186" i="9"/>
  <c r="I186" i="9"/>
  <c r="H186" i="9"/>
  <c r="L185" i="9"/>
  <c r="K185" i="9"/>
  <c r="J185" i="9"/>
  <c r="I185" i="9"/>
  <c r="H185" i="9"/>
  <c r="L184" i="9"/>
  <c r="K184" i="9"/>
  <c r="J184" i="9"/>
  <c r="I184" i="9"/>
  <c r="H184" i="9"/>
  <c r="L183" i="9"/>
  <c r="K183" i="9"/>
  <c r="J183" i="9"/>
  <c r="I183" i="9"/>
  <c r="H183" i="9"/>
  <c r="L182" i="9"/>
  <c r="K182" i="9"/>
  <c r="J182" i="9"/>
  <c r="I182" i="9"/>
  <c r="H182" i="9"/>
  <c r="L181" i="9"/>
  <c r="K181" i="9"/>
  <c r="J181" i="9"/>
  <c r="I181" i="9"/>
  <c r="H181" i="9"/>
  <c r="L180" i="9"/>
  <c r="K180" i="9"/>
  <c r="J180" i="9"/>
  <c r="I180" i="9"/>
  <c r="H180" i="9"/>
  <c r="L179" i="9"/>
  <c r="K179" i="9"/>
  <c r="J179" i="9"/>
  <c r="I179" i="9"/>
  <c r="H179" i="9"/>
  <c r="L178" i="9"/>
  <c r="K178" i="9"/>
  <c r="J178" i="9"/>
  <c r="I178" i="9"/>
  <c r="H178" i="9"/>
  <c r="L177" i="9"/>
  <c r="K177" i="9"/>
  <c r="J177" i="9"/>
  <c r="I177" i="9"/>
  <c r="H177" i="9"/>
  <c r="L176" i="9"/>
  <c r="K176" i="9"/>
  <c r="J176" i="9"/>
  <c r="I176" i="9"/>
  <c r="H176" i="9"/>
  <c r="L175" i="9"/>
  <c r="K175" i="9"/>
  <c r="J175" i="9"/>
  <c r="I175" i="9"/>
  <c r="H175" i="9"/>
  <c r="L174" i="9"/>
  <c r="K174" i="9"/>
  <c r="J174" i="9"/>
  <c r="I174" i="9"/>
  <c r="H174" i="9"/>
  <c r="L173" i="9"/>
  <c r="K173" i="9"/>
  <c r="J173" i="9"/>
  <c r="I173" i="9"/>
  <c r="H173" i="9"/>
  <c r="L172" i="9"/>
  <c r="K172" i="9"/>
  <c r="J172" i="9"/>
  <c r="I172" i="9"/>
  <c r="H172" i="9"/>
  <c r="L171" i="9"/>
  <c r="K171" i="9"/>
  <c r="J171" i="9"/>
  <c r="I171" i="9"/>
  <c r="H171" i="9"/>
  <c r="L170" i="9"/>
  <c r="K170" i="9"/>
  <c r="J170" i="9"/>
  <c r="I170" i="9"/>
  <c r="H170" i="9"/>
  <c r="L169" i="9"/>
  <c r="K169" i="9"/>
  <c r="J169" i="9"/>
  <c r="I169" i="9"/>
  <c r="H169" i="9"/>
  <c r="L168" i="9"/>
  <c r="K168" i="9"/>
  <c r="J168" i="9"/>
  <c r="I168" i="9"/>
  <c r="H168" i="9"/>
  <c r="L167" i="9"/>
  <c r="K167" i="9"/>
  <c r="J167" i="9"/>
  <c r="I167" i="9"/>
  <c r="H167" i="9"/>
  <c r="L166" i="9"/>
  <c r="K166" i="9"/>
  <c r="J166" i="9"/>
  <c r="I166" i="9"/>
  <c r="H166" i="9"/>
  <c r="L165" i="9"/>
  <c r="K165" i="9"/>
  <c r="J165" i="9"/>
  <c r="I165" i="9"/>
  <c r="H165" i="9"/>
  <c r="L164" i="9"/>
  <c r="K164" i="9"/>
  <c r="J164" i="9"/>
  <c r="I164" i="9"/>
  <c r="H164" i="9"/>
  <c r="L163" i="9"/>
  <c r="K163" i="9"/>
  <c r="J163" i="9"/>
  <c r="I163" i="9"/>
  <c r="H163" i="9"/>
  <c r="L162" i="9"/>
  <c r="K162" i="9"/>
  <c r="J162" i="9"/>
  <c r="I162" i="9"/>
  <c r="H162" i="9"/>
  <c r="L161" i="9"/>
  <c r="K161" i="9"/>
  <c r="J161" i="9"/>
  <c r="I161" i="9"/>
  <c r="H161" i="9"/>
  <c r="L160" i="9"/>
  <c r="K160" i="9"/>
  <c r="J160" i="9"/>
  <c r="I160" i="9"/>
  <c r="H160" i="9"/>
  <c r="L159" i="9"/>
  <c r="K159" i="9"/>
  <c r="J159" i="9"/>
  <c r="I159" i="9"/>
  <c r="H159" i="9"/>
  <c r="L158" i="9"/>
  <c r="K158" i="9"/>
  <c r="J158" i="9"/>
  <c r="I158" i="9"/>
  <c r="H158" i="9"/>
  <c r="L157" i="9"/>
  <c r="K157" i="9"/>
  <c r="J157" i="9"/>
  <c r="I157" i="9"/>
  <c r="H157" i="9"/>
  <c r="L156" i="9"/>
  <c r="K156" i="9"/>
  <c r="J156" i="9"/>
  <c r="I156" i="9"/>
  <c r="H156" i="9"/>
  <c r="L155" i="9"/>
  <c r="K155" i="9"/>
  <c r="J155" i="9"/>
  <c r="I155" i="9"/>
  <c r="H155" i="9"/>
  <c r="L154" i="9"/>
  <c r="K154" i="9"/>
  <c r="J154" i="9"/>
  <c r="I154" i="9"/>
  <c r="H154" i="9"/>
  <c r="L153" i="9"/>
  <c r="K153" i="9"/>
  <c r="J153" i="9"/>
  <c r="I153" i="9"/>
  <c r="H153" i="9"/>
  <c r="L152" i="9"/>
  <c r="K152" i="9"/>
  <c r="J152" i="9"/>
  <c r="I152" i="9"/>
  <c r="H152" i="9"/>
  <c r="L151" i="9"/>
  <c r="K151" i="9"/>
  <c r="J151" i="9"/>
  <c r="I151" i="9"/>
  <c r="H151" i="9"/>
  <c r="L150" i="9"/>
  <c r="K150" i="9"/>
  <c r="J150" i="9"/>
  <c r="I150" i="9"/>
  <c r="H150" i="9"/>
  <c r="L149" i="9"/>
  <c r="K149" i="9"/>
  <c r="J149" i="9"/>
  <c r="I149" i="9"/>
  <c r="H149" i="9"/>
  <c r="L148" i="9"/>
  <c r="K148" i="9"/>
  <c r="J148" i="9"/>
  <c r="I148" i="9"/>
  <c r="H148" i="9"/>
  <c r="L147" i="9"/>
  <c r="K147" i="9"/>
  <c r="J147" i="9"/>
  <c r="I147" i="9"/>
  <c r="H147" i="9"/>
  <c r="L146" i="9"/>
  <c r="K146" i="9"/>
  <c r="J146" i="9"/>
  <c r="I146" i="9"/>
  <c r="H146" i="9"/>
  <c r="L145" i="9"/>
  <c r="K145" i="9"/>
  <c r="J145" i="9"/>
  <c r="I145" i="9"/>
  <c r="H145" i="9"/>
  <c r="L144" i="9"/>
  <c r="K144" i="9"/>
  <c r="J144" i="9"/>
  <c r="I144" i="9"/>
  <c r="H144" i="9"/>
  <c r="L143" i="9"/>
  <c r="K143" i="9"/>
  <c r="J143" i="9"/>
  <c r="I143" i="9"/>
  <c r="H143" i="9"/>
  <c r="L142" i="9"/>
  <c r="K142" i="9"/>
  <c r="J142" i="9"/>
  <c r="I142" i="9"/>
  <c r="H142" i="9"/>
  <c r="L141" i="9"/>
  <c r="K141" i="9"/>
  <c r="J141" i="9"/>
  <c r="I141" i="9"/>
  <c r="H141" i="9"/>
  <c r="L140" i="9"/>
  <c r="K140" i="9"/>
  <c r="J140" i="9"/>
  <c r="I140" i="9"/>
  <c r="H140" i="9"/>
  <c r="L139" i="9"/>
  <c r="K139" i="9"/>
  <c r="J139" i="9"/>
  <c r="I139" i="9"/>
  <c r="H139" i="9"/>
  <c r="L138" i="9"/>
  <c r="K138" i="9"/>
  <c r="J138" i="9"/>
  <c r="I138" i="9"/>
  <c r="H138" i="9"/>
  <c r="L137" i="9"/>
  <c r="K137" i="9"/>
  <c r="J137" i="9"/>
  <c r="I137" i="9"/>
  <c r="H137" i="9"/>
  <c r="L136" i="9"/>
  <c r="K136" i="9"/>
  <c r="J136" i="9"/>
  <c r="I136" i="9"/>
  <c r="H136" i="9"/>
  <c r="L135" i="9"/>
  <c r="K135" i="9"/>
  <c r="J135" i="9"/>
  <c r="I135" i="9"/>
  <c r="H135" i="9"/>
  <c r="L134" i="9"/>
  <c r="K134" i="9"/>
  <c r="J134" i="9"/>
  <c r="I134" i="9"/>
  <c r="H134" i="9"/>
  <c r="L133" i="9"/>
  <c r="K133" i="9"/>
  <c r="J133" i="9"/>
  <c r="I133" i="9"/>
  <c r="H133" i="9"/>
  <c r="L132" i="9"/>
  <c r="K132" i="9"/>
  <c r="J132" i="9"/>
  <c r="I132" i="9"/>
  <c r="H132" i="9"/>
  <c r="L131" i="9"/>
  <c r="K131" i="9"/>
  <c r="J131" i="9"/>
  <c r="I131" i="9"/>
  <c r="H131" i="9"/>
  <c r="L130" i="9"/>
  <c r="K130" i="9"/>
  <c r="J130" i="9"/>
  <c r="I130" i="9"/>
  <c r="H130" i="9"/>
  <c r="L129" i="9"/>
  <c r="K129" i="9"/>
  <c r="J129" i="9"/>
  <c r="I129" i="9"/>
  <c r="H129" i="9"/>
  <c r="L128" i="9"/>
  <c r="K128" i="9"/>
  <c r="J128" i="9"/>
  <c r="I128" i="9"/>
  <c r="H128" i="9"/>
  <c r="L127" i="9"/>
  <c r="K127" i="9"/>
  <c r="J127" i="9"/>
  <c r="I127" i="9"/>
  <c r="H127" i="9"/>
  <c r="L126" i="9"/>
  <c r="K126" i="9"/>
  <c r="J126" i="9"/>
  <c r="I126" i="9"/>
  <c r="H126" i="9"/>
  <c r="L125" i="9"/>
  <c r="K125" i="9"/>
  <c r="J125" i="9"/>
  <c r="I125" i="9"/>
  <c r="H125" i="9"/>
  <c r="L124" i="9"/>
  <c r="K124" i="9"/>
  <c r="J124" i="9"/>
  <c r="I124" i="9"/>
  <c r="H124" i="9"/>
  <c r="L123" i="9"/>
  <c r="K123" i="9"/>
  <c r="J123" i="9"/>
  <c r="I123" i="9"/>
  <c r="H123" i="9"/>
  <c r="L122" i="9"/>
  <c r="K122" i="9"/>
  <c r="J122" i="9"/>
  <c r="I122" i="9"/>
  <c r="H122" i="9"/>
  <c r="L119" i="9"/>
  <c r="K119" i="9"/>
  <c r="J119" i="9"/>
  <c r="I119" i="9"/>
  <c r="H119" i="9"/>
  <c r="L118" i="9"/>
  <c r="K118" i="9"/>
  <c r="J118" i="9"/>
  <c r="I118" i="9"/>
  <c r="H118" i="9"/>
  <c r="L117" i="9"/>
  <c r="K117" i="9"/>
  <c r="J117" i="9"/>
  <c r="I117" i="9"/>
  <c r="H117" i="9"/>
  <c r="L116" i="9"/>
  <c r="K116" i="9"/>
  <c r="J116" i="9"/>
  <c r="I116" i="9"/>
  <c r="H116" i="9"/>
  <c r="L114" i="9"/>
  <c r="K114" i="9"/>
  <c r="J114" i="9"/>
  <c r="I114" i="9"/>
  <c r="H114" i="9"/>
  <c r="L113" i="9"/>
  <c r="K113" i="9"/>
  <c r="J113" i="9"/>
  <c r="I113" i="9"/>
  <c r="H113" i="9"/>
  <c r="L112" i="9"/>
  <c r="K112" i="9"/>
  <c r="J112" i="9"/>
  <c r="I112" i="9"/>
  <c r="H112" i="9"/>
  <c r="L109" i="9"/>
  <c r="K109" i="9"/>
  <c r="J109" i="9"/>
  <c r="I109" i="9"/>
  <c r="H109" i="9"/>
  <c r="L108" i="9"/>
  <c r="K108" i="9"/>
  <c r="J108" i="9"/>
  <c r="I108" i="9"/>
  <c r="H108" i="9"/>
  <c r="L107" i="9"/>
  <c r="K107" i="9"/>
  <c r="J107" i="9"/>
  <c r="I107" i="9"/>
  <c r="H107" i="9"/>
  <c r="L106" i="9"/>
  <c r="K106" i="9"/>
  <c r="J106" i="9"/>
  <c r="I106" i="9"/>
  <c r="H106" i="9"/>
  <c r="L104" i="9"/>
  <c r="K104" i="9"/>
  <c r="J104" i="9"/>
  <c r="I104" i="9"/>
  <c r="H104" i="9"/>
  <c r="L103" i="9"/>
  <c r="K103" i="9"/>
  <c r="J103" i="9"/>
  <c r="I103" i="9"/>
  <c r="H103" i="9"/>
  <c r="L102" i="9"/>
  <c r="K102" i="9"/>
  <c r="J102" i="9"/>
  <c r="I102" i="9"/>
  <c r="H102" i="9"/>
  <c r="L99" i="9"/>
  <c r="K99" i="9"/>
  <c r="J99" i="9"/>
  <c r="I99" i="9"/>
  <c r="H99" i="9"/>
  <c r="L98" i="9"/>
  <c r="K98" i="9"/>
  <c r="J98" i="9"/>
  <c r="I98" i="9"/>
  <c r="H98" i="9"/>
  <c r="L97" i="9"/>
  <c r="K97" i="9"/>
  <c r="J97" i="9"/>
  <c r="I97" i="9"/>
  <c r="H97" i="9"/>
  <c r="L96" i="9"/>
  <c r="K96" i="9"/>
  <c r="J96" i="9"/>
  <c r="I96" i="9"/>
  <c r="H96" i="9"/>
  <c r="L94" i="9"/>
  <c r="K94" i="9"/>
  <c r="J94" i="9"/>
  <c r="I94" i="9"/>
  <c r="H94" i="9"/>
  <c r="L93" i="9"/>
  <c r="K93" i="9"/>
  <c r="J93" i="9"/>
  <c r="I93" i="9"/>
  <c r="H93" i="9"/>
  <c r="L92" i="9"/>
  <c r="K92" i="9"/>
  <c r="J92" i="9"/>
  <c r="I92" i="9"/>
  <c r="H92" i="9"/>
  <c r="L89" i="9"/>
  <c r="K89" i="9"/>
  <c r="J89" i="9"/>
  <c r="I89" i="9"/>
  <c r="H89" i="9"/>
  <c r="L88" i="9"/>
  <c r="K88" i="9"/>
  <c r="J88" i="9"/>
  <c r="I88" i="9"/>
  <c r="H88" i="9"/>
  <c r="L87" i="9"/>
  <c r="K87" i="9"/>
  <c r="J87" i="9"/>
  <c r="I87" i="9"/>
  <c r="H87" i="9"/>
  <c r="L83" i="9"/>
  <c r="K83" i="9"/>
  <c r="J83" i="9"/>
  <c r="I83" i="9"/>
  <c r="H83" i="9"/>
  <c r="L80" i="9"/>
  <c r="K80" i="9"/>
  <c r="J80" i="9"/>
  <c r="I80" i="9"/>
  <c r="H80" i="9"/>
  <c r="L79" i="9"/>
  <c r="K79" i="9"/>
  <c r="J79" i="9"/>
  <c r="I79" i="9"/>
  <c r="H79" i="9"/>
  <c r="L78" i="9"/>
  <c r="K78" i="9"/>
  <c r="J78" i="9"/>
  <c r="I78" i="9"/>
  <c r="H78" i="9"/>
  <c r="L76" i="9"/>
  <c r="K76" i="9"/>
  <c r="J76" i="9"/>
  <c r="I76" i="9"/>
  <c r="H76" i="9"/>
  <c r="L72" i="9"/>
  <c r="K72" i="9"/>
  <c r="J72" i="9"/>
  <c r="I72" i="9"/>
  <c r="H72" i="9"/>
  <c r="L71" i="9"/>
  <c r="K71" i="9"/>
  <c r="J71" i="9"/>
  <c r="I71" i="9"/>
  <c r="H71" i="9"/>
  <c r="L68" i="9"/>
  <c r="K68" i="9"/>
  <c r="J68" i="9"/>
  <c r="I68" i="9"/>
  <c r="H68" i="9"/>
  <c r="L67" i="9"/>
  <c r="K67" i="9"/>
  <c r="J67" i="9"/>
  <c r="I67" i="9"/>
  <c r="H67" i="9"/>
  <c r="L64" i="9"/>
  <c r="K64" i="9"/>
  <c r="J64" i="9"/>
  <c r="I64" i="9"/>
  <c r="H64" i="9"/>
  <c r="L63" i="9"/>
  <c r="K63" i="9"/>
  <c r="J63" i="9"/>
  <c r="I63" i="9"/>
  <c r="H63" i="9"/>
  <c r="L62" i="9"/>
  <c r="K62" i="9"/>
  <c r="J62" i="9"/>
  <c r="I62" i="9"/>
  <c r="H62" i="9"/>
  <c r="L60" i="9"/>
  <c r="K60" i="9"/>
  <c r="J60" i="9"/>
  <c r="I60" i="9"/>
  <c r="H60" i="9"/>
  <c r="L59" i="9"/>
  <c r="K59" i="9"/>
  <c r="J59" i="9"/>
  <c r="I59" i="9"/>
  <c r="H59" i="9"/>
  <c r="L56" i="9"/>
  <c r="K56" i="9"/>
  <c r="J56" i="9"/>
  <c r="I56" i="9"/>
  <c r="H56" i="9"/>
  <c r="L55" i="9"/>
  <c r="K55" i="9"/>
  <c r="J55" i="9"/>
  <c r="I55" i="9"/>
  <c r="H55" i="9"/>
  <c r="L53" i="9"/>
  <c r="K53" i="9"/>
  <c r="J53" i="9"/>
  <c r="I53" i="9"/>
  <c r="H53" i="9"/>
  <c r="L52" i="9"/>
  <c r="K52" i="9"/>
  <c r="J52" i="9"/>
  <c r="I52" i="9"/>
  <c r="H52" i="9"/>
  <c r="L48" i="9"/>
  <c r="K48" i="9"/>
  <c r="J48" i="9"/>
  <c r="I48" i="9"/>
  <c r="H48" i="9"/>
  <c r="L46" i="9"/>
  <c r="K46" i="9"/>
  <c r="J46" i="9"/>
  <c r="I46" i="9"/>
  <c r="H46" i="9"/>
  <c r="L40" i="9"/>
  <c r="K40" i="9"/>
  <c r="J40" i="9"/>
  <c r="I40" i="9"/>
  <c r="H40" i="9"/>
  <c r="L34" i="9"/>
  <c r="K34" i="9"/>
  <c r="J34" i="9"/>
  <c r="I34" i="9"/>
  <c r="H34" i="9"/>
  <c r="M28" i="9"/>
  <c r="BO29" i="27" s="1"/>
  <c r="M33" i="9"/>
  <c r="BO34" i="27" s="1"/>
  <c r="M46" i="9"/>
  <c r="BO47" i="27" s="1"/>
  <c r="M53" i="9"/>
  <c r="BO54" i="27" s="1"/>
  <c r="M55" i="9"/>
  <c r="BO56" i="27" s="1"/>
  <c r="M56" i="9"/>
  <c r="BO57" i="27" s="1"/>
  <c r="M72" i="9"/>
  <c r="BO73" i="27" s="1"/>
  <c r="M73" i="9"/>
  <c r="BO74" i="27" s="1"/>
  <c r="M79" i="9"/>
  <c r="BO80" i="27" s="1"/>
  <c r="M82" i="9"/>
  <c r="BO83" i="27" s="1"/>
  <c r="M83" i="9"/>
  <c r="BO84" i="27" s="1"/>
  <c r="M87" i="9"/>
  <c r="BO88" i="27" s="1"/>
  <c r="M89" i="9"/>
  <c r="BO90" i="27" s="1"/>
  <c r="M90" i="9"/>
  <c r="BO91" i="27" s="1"/>
  <c r="M91" i="9"/>
  <c r="BO92" i="27" s="1"/>
  <c r="M93" i="9"/>
  <c r="BO94" i="27" s="1"/>
  <c r="M94" i="9"/>
  <c r="M97" i="9"/>
  <c r="BO98" i="27" s="1"/>
  <c r="M98" i="9"/>
  <c r="BO99" i="27" s="1"/>
  <c r="M99" i="9"/>
  <c r="BO100" i="27" s="1"/>
  <c r="M100" i="9"/>
  <c r="BO101" i="27" s="1"/>
  <c r="M101" i="9"/>
  <c r="BO102" i="27" s="1"/>
  <c r="M102" i="9"/>
  <c r="BO103" i="27" s="1"/>
  <c r="M103" i="9"/>
  <c r="BO104" i="27" s="1"/>
  <c r="M104" i="9"/>
  <c r="BO105" i="27" s="1"/>
  <c r="M106" i="9"/>
  <c r="BO107" i="27" s="1"/>
  <c r="M107" i="9"/>
  <c r="BO108" i="27" s="1"/>
  <c r="M108" i="9"/>
  <c r="BO109" i="27" s="1"/>
  <c r="M109" i="9"/>
  <c r="BO110" i="27" s="1"/>
  <c r="M110" i="9"/>
  <c r="BO111" i="27" s="1"/>
  <c r="M111" i="9"/>
  <c r="BO112" i="27" s="1"/>
  <c r="M112" i="9"/>
  <c r="BO113" i="27" s="1"/>
  <c r="M113" i="9"/>
  <c r="BO114" i="27" s="1"/>
  <c r="M114" i="9"/>
  <c r="BO115" i="27" s="1"/>
  <c r="M116" i="9"/>
  <c r="BO117" i="27" s="1"/>
  <c r="M117" i="9"/>
  <c r="BO118" i="27" s="1"/>
  <c r="M118" i="9"/>
  <c r="BO119" i="27" s="1"/>
  <c r="M119" i="9"/>
  <c r="BO120" i="27" s="1"/>
  <c r="M120" i="9"/>
  <c r="BO121" i="27" s="1"/>
  <c r="M121" i="9"/>
  <c r="BO122" i="27" s="1"/>
  <c r="M122" i="9"/>
  <c r="BO123" i="27" s="1"/>
  <c r="M123" i="9"/>
  <c r="BO124" i="27" s="1"/>
  <c r="M124" i="9"/>
  <c r="BO125" i="27" s="1"/>
  <c r="C404" i="9"/>
  <c r="D404" i="9"/>
  <c r="E404" i="9"/>
  <c r="F404" i="9"/>
  <c r="G404" i="9"/>
  <c r="M404" i="9"/>
  <c r="C394" i="9"/>
  <c r="D394" i="9"/>
  <c r="E394" i="9"/>
  <c r="F394" i="9"/>
  <c r="G394" i="9"/>
  <c r="M394" i="9"/>
  <c r="C395" i="9"/>
  <c r="D395" i="9"/>
  <c r="E395" i="9"/>
  <c r="F395" i="9"/>
  <c r="G395" i="9"/>
  <c r="M395" i="9"/>
  <c r="C396" i="9"/>
  <c r="D396" i="9"/>
  <c r="E396" i="9"/>
  <c r="F396" i="9"/>
  <c r="G396" i="9"/>
  <c r="M396" i="9"/>
  <c r="C397" i="9"/>
  <c r="D397" i="9"/>
  <c r="E397" i="9"/>
  <c r="F397" i="9"/>
  <c r="G397" i="9"/>
  <c r="M397" i="9"/>
  <c r="C398" i="9"/>
  <c r="D398" i="9"/>
  <c r="E398" i="9"/>
  <c r="F398" i="9"/>
  <c r="G398" i="9"/>
  <c r="M398" i="9"/>
  <c r="C399" i="9"/>
  <c r="D399" i="9"/>
  <c r="E399" i="9"/>
  <c r="F399" i="9"/>
  <c r="G399" i="9"/>
  <c r="M399" i="9"/>
  <c r="C400" i="9"/>
  <c r="D400" i="9"/>
  <c r="E400" i="9"/>
  <c r="F400" i="9"/>
  <c r="G400" i="9"/>
  <c r="M400" i="9"/>
  <c r="C401" i="9"/>
  <c r="D401" i="9"/>
  <c r="E401" i="9"/>
  <c r="F401" i="9"/>
  <c r="G401" i="9"/>
  <c r="M401" i="9"/>
  <c r="C402" i="9"/>
  <c r="D402" i="9"/>
  <c r="E402" i="9"/>
  <c r="F402" i="9"/>
  <c r="G402" i="9"/>
  <c r="M402" i="9"/>
  <c r="C403" i="9"/>
  <c r="D403" i="9"/>
  <c r="E403" i="9"/>
  <c r="F403" i="9"/>
  <c r="G403" i="9"/>
  <c r="M403" i="9"/>
  <c r="C305" i="9"/>
  <c r="D305" i="9"/>
  <c r="E305" i="9"/>
  <c r="F305" i="9"/>
  <c r="G305" i="9"/>
  <c r="M305" i="9"/>
  <c r="C306" i="9"/>
  <c r="D306" i="9"/>
  <c r="E306" i="9"/>
  <c r="F306" i="9"/>
  <c r="G306" i="9"/>
  <c r="M306" i="9"/>
  <c r="C307" i="9"/>
  <c r="D307" i="9"/>
  <c r="E307" i="9"/>
  <c r="F307" i="9"/>
  <c r="G307" i="9"/>
  <c r="M307" i="9"/>
  <c r="C308" i="9"/>
  <c r="D308" i="9"/>
  <c r="E308" i="9"/>
  <c r="F308" i="9"/>
  <c r="G308" i="9"/>
  <c r="M308" i="9"/>
  <c r="C309" i="9"/>
  <c r="D309" i="9"/>
  <c r="E309" i="9"/>
  <c r="F309" i="9"/>
  <c r="G309" i="9"/>
  <c r="M309" i="9"/>
  <c r="C310" i="9"/>
  <c r="D310" i="9"/>
  <c r="E310" i="9"/>
  <c r="F310" i="9"/>
  <c r="G310" i="9"/>
  <c r="M310" i="9"/>
  <c r="C311" i="9"/>
  <c r="D311" i="9"/>
  <c r="E311" i="9"/>
  <c r="F311" i="9"/>
  <c r="G311" i="9"/>
  <c r="M311" i="9"/>
  <c r="C312" i="9"/>
  <c r="D312" i="9"/>
  <c r="E312" i="9"/>
  <c r="F312" i="9"/>
  <c r="G312" i="9"/>
  <c r="M312" i="9"/>
  <c r="C313" i="9"/>
  <c r="D313" i="9"/>
  <c r="E313" i="9"/>
  <c r="F313" i="9"/>
  <c r="G313" i="9"/>
  <c r="M313" i="9"/>
  <c r="C314" i="9"/>
  <c r="D314" i="9"/>
  <c r="E314" i="9"/>
  <c r="F314" i="9"/>
  <c r="G314" i="9"/>
  <c r="M314" i="9"/>
  <c r="C315" i="9"/>
  <c r="D315" i="9"/>
  <c r="E315" i="9"/>
  <c r="F315" i="9"/>
  <c r="G315" i="9"/>
  <c r="M315" i="9"/>
  <c r="C316" i="9"/>
  <c r="D316" i="9"/>
  <c r="E316" i="9"/>
  <c r="F316" i="9"/>
  <c r="G316" i="9"/>
  <c r="M316" i="9"/>
  <c r="C317" i="9"/>
  <c r="D317" i="9"/>
  <c r="E317" i="9"/>
  <c r="F317" i="9"/>
  <c r="G317" i="9"/>
  <c r="M317" i="9"/>
  <c r="C318" i="9"/>
  <c r="D318" i="9"/>
  <c r="E318" i="9"/>
  <c r="F318" i="9"/>
  <c r="G318" i="9"/>
  <c r="M318" i="9"/>
  <c r="C319" i="9"/>
  <c r="D319" i="9"/>
  <c r="E319" i="9"/>
  <c r="F319" i="9"/>
  <c r="G319" i="9"/>
  <c r="M319" i="9"/>
  <c r="C320" i="9"/>
  <c r="D320" i="9"/>
  <c r="E320" i="9"/>
  <c r="F320" i="9"/>
  <c r="G320" i="9"/>
  <c r="M320" i="9"/>
  <c r="C321" i="9"/>
  <c r="D321" i="9"/>
  <c r="E321" i="9"/>
  <c r="F321" i="9"/>
  <c r="G321" i="9"/>
  <c r="M321" i="9"/>
  <c r="C322" i="9"/>
  <c r="D322" i="9"/>
  <c r="E322" i="9"/>
  <c r="F322" i="9"/>
  <c r="G322" i="9"/>
  <c r="M322" i="9"/>
  <c r="C323" i="9"/>
  <c r="D323" i="9"/>
  <c r="E323" i="9"/>
  <c r="F323" i="9"/>
  <c r="G323" i="9"/>
  <c r="M323" i="9"/>
  <c r="C324" i="9"/>
  <c r="D324" i="9"/>
  <c r="E324" i="9"/>
  <c r="F324" i="9"/>
  <c r="G324" i="9"/>
  <c r="M324" i="9"/>
  <c r="C325" i="9"/>
  <c r="D325" i="9"/>
  <c r="E325" i="9"/>
  <c r="F325" i="9"/>
  <c r="G325" i="9"/>
  <c r="M325" i="9"/>
  <c r="C326" i="9"/>
  <c r="D326" i="9"/>
  <c r="E326" i="9"/>
  <c r="F326" i="9"/>
  <c r="G326" i="9"/>
  <c r="M326" i="9"/>
  <c r="C327" i="9"/>
  <c r="D327" i="9"/>
  <c r="E327" i="9"/>
  <c r="F327" i="9"/>
  <c r="G327" i="9"/>
  <c r="M327" i="9"/>
  <c r="C328" i="9"/>
  <c r="D328" i="9"/>
  <c r="E328" i="9"/>
  <c r="F328" i="9"/>
  <c r="G328" i="9"/>
  <c r="M328" i="9"/>
  <c r="C329" i="9"/>
  <c r="D329" i="9"/>
  <c r="E329" i="9"/>
  <c r="F329" i="9"/>
  <c r="G329" i="9"/>
  <c r="M329" i="9"/>
  <c r="C330" i="9"/>
  <c r="D330" i="9"/>
  <c r="E330" i="9"/>
  <c r="F330" i="9"/>
  <c r="G330" i="9"/>
  <c r="M330" i="9"/>
  <c r="C331" i="9"/>
  <c r="D331" i="9"/>
  <c r="E331" i="9"/>
  <c r="F331" i="9"/>
  <c r="G331" i="9"/>
  <c r="M331" i="9"/>
  <c r="C332" i="9"/>
  <c r="D332" i="9"/>
  <c r="E332" i="9"/>
  <c r="F332" i="9"/>
  <c r="G332" i="9"/>
  <c r="M332" i="9"/>
  <c r="C333" i="9"/>
  <c r="D333" i="9"/>
  <c r="E333" i="9"/>
  <c r="F333" i="9"/>
  <c r="G333" i="9"/>
  <c r="M333" i="9"/>
  <c r="C334" i="9"/>
  <c r="D334" i="9"/>
  <c r="E334" i="9"/>
  <c r="F334" i="9"/>
  <c r="G334" i="9"/>
  <c r="M334" i="9"/>
  <c r="C335" i="9"/>
  <c r="D335" i="9"/>
  <c r="E335" i="9"/>
  <c r="F335" i="9"/>
  <c r="G335" i="9"/>
  <c r="M335" i="9"/>
  <c r="C336" i="9"/>
  <c r="D336" i="9"/>
  <c r="E336" i="9"/>
  <c r="F336" i="9"/>
  <c r="G336" i="9"/>
  <c r="M336" i="9"/>
  <c r="C337" i="9"/>
  <c r="D337" i="9"/>
  <c r="E337" i="9"/>
  <c r="F337" i="9"/>
  <c r="G337" i="9"/>
  <c r="M337" i="9"/>
  <c r="C338" i="9"/>
  <c r="D338" i="9"/>
  <c r="E338" i="9"/>
  <c r="F338" i="9"/>
  <c r="G338" i="9"/>
  <c r="M338" i="9"/>
  <c r="C339" i="9"/>
  <c r="D339" i="9"/>
  <c r="E339" i="9"/>
  <c r="F339" i="9"/>
  <c r="G339" i="9"/>
  <c r="M339" i="9"/>
  <c r="C340" i="9"/>
  <c r="D340" i="9"/>
  <c r="E340" i="9"/>
  <c r="F340" i="9"/>
  <c r="G340" i="9"/>
  <c r="M340" i="9"/>
  <c r="C341" i="9"/>
  <c r="D341" i="9"/>
  <c r="E341" i="9"/>
  <c r="F341" i="9"/>
  <c r="G341" i="9"/>
  <c r="M341" i="9"/>
  <c r="C342" i="9"/>
  <c r="D342" i="9"/>
  <c r="E342" i="9"/>
  <c r="F342" i="9"/>
  <c r="G342" i="9"/>
  <c r="M342" i="9"/>
  <c r="C343" i="9"/>
  <c r="D343" i="9"/>
  <c r="E343" i="9"/>
  <c r="F343" i="9"/>
  <c r="G343" i="9"/>
  <c r="M343" i="9"/>
  <c r="C344" i="9"/>
  <c r="D344" i="9"/>
  <c r="E344" i="9"/>
  <c r="F344" i="9"/>
  <c r="G344" i="9"/>
  <c r="M344" i="9"/>
  <c r="C345" i="9"/>
  <c r="D345" i="9"/>
  <c r="E345" i="9"/>
  <c r="F345" i="9"/>
  <c r="G345" i="9"/>
  <c r="M345" i="9"/>
  <c r="C346" i="9"/>
  <c r="D346" i="9"/>
  <c r="E346" i="9"/>
  <c r="F346" i="9"/>
  <c r="G346" i="9"/>
  <c r="M346" i="9"/>
  <c r="C347" i="9"/>
  <c r="D347" i="9"/>
  <c r="E347" i="9"/>
  <c r="F347" i="9"/>
  <c r="G347" i="9"/>
  <c r="M347" i="9"/>
  <c r="C348" i="9"/>
  <c r="D348" i="9"/>
  <c r="E348" i="9"/>
  <c r="F348" i="9"/>
  <c r="G348" i="9"/>
  <c r="M348" i="9"/>
  <c r="C349" i="9"/>
  <c r="D349" i="9"/>
  <c r="E349" i="9"/>
  <c r="F349" i="9"/>
  <c r="G349" i="9"/>
  <c r="M349" i="9"/>
  <c r="C350" i="9"/>
  <c r="D350" i="9"/>
  <c r="E350" i="9"/>
  <c r="F350" i="9"/>
  <c r="G350" i="9"/>
  <c r="M350" i="9"/>
  <c r="C351" i="9"/>
  <c r="D351" i="9"/>
  <c r="E351" i="9"/>
  <c r="F351" i="9"/>
  <c r="G351" i="9"/>
  <c r="M351" i="9"/>
  <c r="C352" i="9"/>
  <c r="D352" i="9"/>
  <c r="E352" i="9"/>
  <c r="F352" i="9"/>
  <c r="G352" i="9"/>
  <c r="M352" i="9"/>
  <c r="C353" i="9"/>
  <c r="D353" i="9"/>
  <c r="E353" i="9"/>
  <c r="F353" i="9"/>
  <c r="G353" i="9"/>
  <c r="M353" i="9"/>
  <c r="C354" i="9"/>
  <c r="D354" i="9"/>
  <c r="E354" i="9"/>
  <c r="F354" i="9"/>
  <c r="G354" i="9"/>
  <c r="M354" i="9"/>
  <c r="C355" i="9"/>
  <c r="D355" i="9"/>
  <c r="E355" i="9"/>
  <c r="F355" i="9"/>
  <c r="G355" i="9"/>
  <c r="M355" i="9"/>
  <c r="C356" i="9"/>
  <c r="D356" i="9"/>
  <c r="E356" i="9"/>
  <c r="F356" i="9"/>
  <c r="G356" i="9"/>
  <c r="M356" i="9"/>
  <c r="C357" i="9"/>
  <c r="D357" i="9"/>
  <c r="E357" i="9"/>
  <c r="F357" i="9"/>
  <c r="G357" i="9"/>
  <c r="M357" i="9"/>
  <c r="C358" i="9"/>
  <c r="D358" i="9"/>
  <c r="E358" i="9"/>
  <c r="F358" i="9"/>
  <c r="G358" i="9"/>
  <c r="M358" i="9"/>
  <c r="C359" i="9"/>
  <c r="D359" i="9"/>
  <c r="E359" i="9"/>
  <c r="F359" i="9"/>
  <c r="G359" i="9"/>
  <c r="M359" i="9"/>
  <c r="C360" i="9"/>
  <c r="D360" i="9"/>
  <c r="E360" i="9"/>
  <c r="F360" i="9"/>
  <c r="G360" i="9"/>
  <c r="M360" i="9"/>
  <c r="C361" i="9"/>
  <c r="D361" i="9"/>
  <c r="E361" i="9"/>
  <c r="F361" i="9"/>
  <c r="G361" i="9"/>
  <c r="M361" i="9"/>
  <c r="C362" i="9"/>
  <c r="D362" i="9"/>
  <c r="E362" i="9"/>
  <c r="F362" i="9"/>
  <c r="G362" i="9"/>
  <c r="M362" i="9"/>
  <c r="C363" i="9"/>
  <c r="D363" i="9"/>
  <c r="E363" i="9"/>
  <c r="F363" i="9"/>
  <c r="G363" i="9"/>
  <c r="M363" i="9"/>
  <c r="C364" i="9"/>
  <c r="D364" i="9"/>
  <c r="E364" i="9"/>
  <c r="F364" i="9"/>
  <c r="G364" i="9"/>
  <c r="M364" i="9"/>
  <c r="AH11" i="23" s="1"/>
  <c r="CK12" i="23" s="1"/>
  <c r="C365" i="9"/>
  <c r="D365" i="9"/>
  <c r="E365" i="9"/>
  <c r="F365" i="9"/>
  <c r="G365" i="9"/>
  <c r="M365" i="9"/>
  <c r="C366" i="9"/>
  <c r="D366" i="9"/>
  <c r="E366" i="9"/>
  <c r="F366" i="9"/>
  <c r="G366" i="9"/>
  <c r="M366" i="9"/>
  <c r="C367" i="9"/>
  <c r="D367" i="9"/>
  <c r="E367" i="9"/>
  <c r="F367" i="9"/>
  <c r="G367" i="9"/>
  <c r="M367" i="9"/>
  <c r="C368" i="9"/>
  <c r="D368" i="9"/>
  <c r="E368" i="9"/>
  <c r="F368" i="9"/>
  <c r="G368" i="9"/>
  <c r="M368" i="9"/>
  <c r="C369" i="9"/>
  <c r="D369" i="9"/>
  <c r="E369" i="9"/>
  <c r="F369" i="9"/>
  <c r="G369" i="9"/>
  <c r="M369" i="9"/>
  <c r="C370" i="9"/>
  <c r="D370" i="9"/>
  <c r="E370" i="9"/>
  <c r="F370" i="9"/>
  <c r="G370" i="9"/>
  <c r="M370" i="9"/>
  <c r="C371" i="9"/>
  <c r="D371" i="9"/>
  <c r="E371" i="9"/>
  <c r="F371" i="9"/>
  <c r="G371" i="9"/>
  <c r="M371" i="9"/>
  <c r="C372" i="9"/>
  <c r="D372" i="9"/>
  <c r="E372" i="9"/>
  <c r="F372" i="9"/>
  <c r="G372" i="9"/>
  <c r="M372" i="9"/>
  <c r="C373" i="9"/>
  <c r="D373" i="9"/>
  <c r="E373" i="9"/>
  <c r="F373" i="9"/>
  <c r="G373" i="9"/>
  <c r="M373" i="9"/>
  <c r="C374" i="9"/>
  <c r="D374" i="9"/>
  <c r="E374" i="9"/>
  <c r="F374" i="9"/>
  <c r="G374" i="9"/>
  <c r="M374" i="9"/>
  <c r="C375" i="9"/>
  <c r="D375" i="9"/>
  <c r="E375" i="9"/>
  <c r="F375" i="9"/>
  <c r="G375" i="9"/>
  <c r="M375" i="9"/>
  <c r="C376" i="9"/>
  <c r="D376" i="9"/>
  <c r="E376" i="9"/>
  <c r="F376" i="9"/>
  <c r="G376" i="9"/>
  <c r="M376" i="9"/>
  <c r="C377" i="9"/>
  <c r="D377" i="9"/>
  <c r="E377" i="9"/>
  <c r="F377" i="9"/>
  <c r="G377" i="9"/>
  <c r="M377" i="9"/>
  <c r="C378" i="9"/>
  <c r="D378" i="9"/>
  <c r="E378" i="9"/>
  <c r="F378" i="9"/>
  <c r="G378" i="9"/>
  <c r="M378" i="9"/>
  <c r="C379" i="9"/>
  <c r="D379" i="9"/>
  <c r="E379" i="9"/>
  <c r="F379" i="9"/>
  <c r="G379" i="9"/>
  <c r="M379" i="9"/>
  <c r="C380" i="9"/>
  <c r="D380" i="9"/>
  <c r="E380" i="9"/>
  <c r="F380" i="9"/>
  <c r="G380" i="9"/>
  <c r="M380" i="9"/>
  <c r="C381" i="9"/>
  <c r="D381" i="9"/>
  <c r="E381" i="9"/>
  <c r="F381" i="9"/>
  <c r="G381" i="9"/>
  <c r="M381" i="9"/>
  <c r="C382" i="9"/>
  <c r="D382" i="9"/>
  <c r="E382" i="9"/>
  <c r="F382" i="9"/>
  <c r="G382" i="9"/>
  <c r="M382" i="9"/>
  <c r="C383" i="9"/>
  <c r="D383" i="9"/>
  <c r="E383" i="9"/>
  <c r="F383" i="9"/>
  <c r="G383" i="9"/>
  <c r="M383" i="9"/>
  <c r="C384" i="9"/>
  <c r="D384" i="9"/>
  <c r="E384" i="9"/>
  <c r="F384" i="9"/>
  <c r="G384" i="9"/>
  <c r="M384" i="9"/>
  <c r="C385" i="9"/>
  <c r="D385" i="9"/>
  <c r="E385" i="9"/>
  <c r="F385" i="9"/>
  <c r="G385" i="9"/>
  <c r="M385" i="9"/>
  <c r="C386" i="9"/>
  <c r="D386" i="9"/>
  <c r="E386" i="9"/>
  <c r="F386" i="9"/>
  <c r="G386" i="9"/>
  <c r="M386" i="9"/>
  <c r="C387" i="9"/>
  <c r="D387" i="9"/>
  <c r="E387" i="9"/>
  <c r="F387" i="9"/>
  <c r="G387" i="9"/>
  <c r="M387" i="9"/>
  <c r="C388" i="9"/>
  <c r="D388" i="9"/>
  <c r="E388" i="9"/>
  <c r="F388" i="9"/>
  <c r="G388" i="9"/>
  <c r="M388" i="9"/>
  <c r="C389" i="9"/>
  <c r="D389" i="9"/>
  <c r="E389" i="9"/>
  <c r="F389" i="9"/>
  <c r="G389" i="9"/>
  <c r="M389" i="9"/>
  <c r="C390" i="9"/>
  <c r="D390" i="9"/>
  <c r="E390" i="9"/>
  <c r="F390" i="9"/>
  <c r="G390" i="9"/>
  <c r="M390" i="9"/>
  <c r="C391" i="9"/>
  <c r="D391" i="9"/>
  <c r="E391" i="9"/>
  <c r="F391" i="9"/>
  <c r="G391" i="9"/>
  <c r="M391" i="9"/>
  <c r="C392" i="9"/>
  <c r="D392" i="9"/>
  <c r="E392" i="9"/>
  <c r="F392" i="9"/>
  <c r="G392" i="9"/>
  <c r="M392" i="9"/>
  <c r="C393" i="9"/>
  <c r="D393" i="9"/>
  <c r="E393" i="9"/>
  <c r="F393" i="9"/>
  <c r="G393" i="9"/>
  <c r="M393" i="9"/>
  <c r="C174" i="9"/>
  <c r="D174" i="9"/>
  <c r="E174" i="9"/>
  <c r="F174" i="9"/>
  <c r="G174" i="9"/>
  <c r="M174" i="9"/>
  <c r="BO175" i="27" s="1"/>
  <c r="C175" i="9"/>
  <c r="D175" i="9"/>
  <c r="E175" i="9"/>
  <c r="F175" i="9"/>
  <c r="G175" i="9"/>
  <c r="M175" i="9"/>
  <c r="BO176" i="27" s="1"/>
  <c r="C176" i="9"/>
  <c r="D176" i="9"/>
  <c r="E176" i="9"/>
  <c r="F176" i="9"/>
  <c r="G176" i="9"/>
  <c r="M176" i="9"/>
  <c r="BO177" i="27" s="1"/>
  <c r="C177" i="9"/>
  <c r="D177" i="9"/>
  <c r="E177" i="9"/>
  <c r="F177" i="9"/>
  <c r="G177" i="9"/>
  <c r="M177" i="9"/>
  <c r="BO178" i="27" s="1"/>
  <c r="C178" i="9"/>
  <c r="D178" i="9"/>
  <c r="E178" i="9"/>
  <c r="F178" i="9"/>
  <c r="G178" i="9"/>
  <c r="M178" i="9"/>
  <c r="BO179" i="27" s="1"/>
  <c r="C179" i="9"/>
  <c r="D179" i="9"/>
  <c r="E179" i="9"/>
  <c r="F179" i="9"/>
  <c r="G179" i="9"/>
  <c r="M179" i="9"/>
  <c r="BO180" i="27" s="1"/>
  <c r="C180" i="9"/>
  <c r="D180" i="9"/>
  <c r="E180" i="9"/>
  <c r="F180" i="9"/>
  <c r="G180" i="9"/>
  <c r="M180" i="9"/>
  <c r="BO181" i="27" s="1"/>
  <c r="C181" i="9"/>
  <c r="D181" i="9"/>
  <c r="E181" i="9"/>
  <c r="F181" i="9"/>
  <c r="G181" i="9"/>
  <c r="M181" i="9"/>
  <c r="BO182" i="27" s="1"/>
  <c r="C182" i="9"/>
  <c r="D182" i="9"/>
  <c r="E182" i="9"/>
  <c r="F182" i="9"/>
  <c r="G182" i="9"/>
  <c r="M182" i="9"/>
  <c r="BO183" i="27" s="1"/>
  <c r="C183" i="9"/>
  <c r="D183" i="9"/>
  <c r="E183" i="9"/>
  <c r="F183" i="9"/>
  <c r="G183" i="9"/>
  <c r="M183" i="9"/>
  <c r="BO184" i="27" s="1"/>
  <c r="C184" i="9"/>
  <c r="D184" i="9"/>
  <c r="E184" i="9"/>
  <c r="F184" i="9"/>
  <c r="G184" i="9"/>
  <c r="M184" i="9"/>
  <c r="BO185" i="27" s="1"/>
  <c r="C185" i="9"/>
  <c r="D185" i="9"/>
  <c r="E185" i="9"/>
  <c r="F185" i="9"/>
  <c r="G185" i="9"/>
  <c r="M185" i="9"/>
  <c r="BO186" i="27" s="1"/>
  <c r="C186" i="9"/>
  <c r="D186" i="9"/>
  <c r="E186" i="9"/>
  <c r="F186" i="9"/>
  <c r="G186" i="9"/>
  <c r="M186" i="9"/>
  <c r="BO187" i="27" s="1"/>
  <c r="C187" i="9"/>
  <c r="D187" i="9"/>
  <c r="E187" i="9"/>
  <c r="F187" i="9"/>
  <c r="G187" i="9"/>
  <c r="M187" i="9"/>
  <c r="BO188" i="27" s="1"/>
  <c r="C188" i="9"/>
  <c r="D188" i="9"/>
  <c r="E188" i="9"/>
  <c r="F188" i="9"/>
  <c r="G188" i="9"/>
  <c r="M188" i="9"/>
  <c r="BO189" i="27" s="1"/>
  <c r="C189" i="9"/>
  <c r="D189" i="9"/>
  <c r="E189" i="9"/>
  <c r="F189" i="9"/>
  <c r="G189" i="9"/>
  <c r="M189" i="9"/>
  <c r="BO190" i="27" s="1"/>
  <c r="C190" i="9"/>
  <c r="D190" i="9"/>
  <c r="E190" i="9"/>
  <c r="F190" i="9"/>
  <c r="G190" i="9"/>
  <c r="M190" i="9"/>
  <c r="BO191" i="27" s="1"/>
  <c r="C191" i="9"/>
  <c r="D191" i="9"/>
  <c r="E191" i="9"/>
  <c r="F191" i="9"/>
  <c r="G191" i="9"/>
  <c r="M191" i="9"/>
  <c r="BO192" i="27" s="1"/>
  <c r="C192" i="9"/>
  <c r="D192" i="9"/>
  <c r="E192" i="9"/>
  <c r="F192" i="9"/>
  <c r="G192" i="9"/>
  <c r="M192" i="9"/>
  <c r="BO193" i="27" s="1"/>
  <c r="C193" i="9"/>
  <c r="D193" i="9"/>
  <c r="E193" i="9"/>
  <c r="F193" i="9"/>
  <c r="G193" i="9"/>
  <c r="M193" i="9"/>
  <c r="BO194" i="27" s="1"/>
  <c r="C194" i="9"/>
  <c r="D194" i="9"/>
  <c r="E194" i="9"/>
  <c r="F194" i="9"/>
  <c r="G194" i="9"/>
  <c r="M194" i="9"/>
  <c r="BO195" i="27" s="1"/>
  <c r="C195" i="9"/>
  <c r="D195" i="9"/>
  <c r="E195" i="9"/>
  <c r="F195" i="9"/>
  <c r="G195" i="9"/>
  <c r="M195" i="9"/>
  <c r="BO196" i="27" s="1"/>
  <c r="C196" i="9"/>
  <c r="D196" i="9"/>
  <c r="E196" i="9"/>
  <c r="F196" i="9"/>
  <c r="G196" i="9"/>
  <c r="M196" i="9"/>
  <c r="BO197" i="27" s="1"/>
  <c r="C197" i="9"/>
  <c r="D197" i="9"/>
  <c r="E197" i="9"/>
  <c r="F197" i="9"/>
  <c r="G197" i="9"/>
  <c r="M197" i="9"/>
  <c r="BO198" i="27" s="1"/>
  <c r="C198" i="9"/>
  <c r="D198" i="9"/>
  <c r="E198" i="9"/>
  <c r="F198" i="9"/>
  <c r="G198" i="9"/>
  <c r="M198" i="9"/>
  <c r="BO199" i="27" s="1"/>
  <c r="C199" i="9"/>
  <c r="D199" i="9"/>
  <c r="E199" i="9"/>
  <c r="F199" i="9"/>
  <c r="G199" i="9"/>
  <c r="M199" i="9"/>
  <c r="BO200" i="27" s="1"/>
  <c r="C200" i="9"/>
  <c r="D200" i="9"/>
  <c r="E200" i="9"/>
  <c r="F200" i="9"/>
  <c r="G200" i="9"/>
  <c r="M200" i="9"/>
  <c r="BO201" i="27" s="1"/>
  <c r="C201" i="9"/>
  <c r="D201" i="9"/>
  <c r="E201" i="9"/>
  <c r="F201" i="9"/>
  <c r="G201" i="9"/>
  <c r="M201" i="9"/>
  <c r="BO202" i="27" s="1"/>
  <c r="C202" i="9"/>
  <c r="D202" i="9"/>
  <c r="E202" i="9"/>
  <c r="F202" i="9"/>
  <c r="G202" i="9"/>
  <c r="M202" i="9"/>
  <c r="BO203" i="27" s="1"/>
  <c r="C203" i="9"/>
  <c r="D203" i="9"/>
  <c r="E203" i="9"/>
  <c r="F203" i="9"/>
  <c r="G203" i="9"/>
  <c r="M203" i="9"/>
  <c r="BO204" i="27" s="1"/>
  <c r="C204" i="9"/>
  <c r="D204" i="9"/>
  <c r="E204" i="9"/>
  <c r="F204" i="9"/>
  <c r="G204" i="9"/>
  <c r="M204" i="9"/>
  <c r="BO205" i="27" s="1"/>
  <c r="C205" i="9"/>
  <c r="D205" i="9"/>
  <c r="E205" i="9"/>
  <c r="F205" i="9"/>
  <c r="G205" i="9"/>
  <c r="M205" i="9"/>
  <c r="BO206" i="27" s="1"/>
  <c r="C206" i="9"/>
  <c r="D206" i="9"/>
  <c r="E206" i="9"/>
  <c r="F206" i="9"/>
  <c r="G206" i="9"/>
  <c r="M206" i="9"/>
  <c r="BO207" i="27" s="1"/>
  <c r="C207" i="9"/>
  <c r="D207" i="9"/>
  <c r="E207" i="9"/>
  <c r="F207" i="9"/>
  <c r="G207" i="9"/>
  <c r="M207" i="9"/>
  <c r="BO208" i="27" s="1"/>
  <c r="C208" i="9"/>
  <c r="D208" i="9"/>
  <c r="E208" i="9"/>
  <c r="F208" i="9"/>
  <c r="G208" i="9"/>
  <c r="M208" i="9"/>
  <c r="BO209" i="27" s="1"/>
  <c r="C209" i="9"/>
  <c r="D209" i="9"/>
  <c r="E209" i="9"/>
  <c r="F209" i="9"/>
  <c r="G209" i="9"/>
  <c r="M209" i="9"/>
  <c r="BO210" i="27" s="1"/>
  <c r="C210" i="9"/>
  <c r="D210" i="9"/>
  <c r="E210" i="9"/>
  <c r="F210" i="9"/>
  <c r="G210" i="9"/>
  <c r="M210" i="9"/>
  <c r="BO211" i="27" s="1"/>
  <c r="C211" i="9"/>
  <c r="D211" i="9"/>
  <c r="E211" i="9"/>
  <c r="F211" i="9"/>
  <c r="G211" i="9"/>
  <c r="M211" i="9"/>
  <c r="BO212" i="27" s="1"/>
  <c r="C212" i="9"/>
  <c r="D212" i="9"/>
  <c r="E212" i="9"/>
  <c r="F212" i="9"/>
  <c r="G212" i="9"/>
  <c r="M212" i="9"/>
  <c r="BO213" i="27" s="1"/>
  <c r="C213" i="9"/>
  <c r="D213" i="9"/>
  <c r="E213" i="9"/>
  <c r="F213" i="9"/>
  <c r="G213" i="9"/>
  <c r="M213" i="9"/>
  <c r="BO214" i="27" s="1"/>
  <c r="C214" i="9"/>
  <c r="D214" i="9"/>
  <c r="E214" i="9"/>
  <c r="F214" i="9"/>
  <c r="G214" i="9"/>
  <c r="M214" i="9"/>
  <c r="C215" i="9"/>
  <c r="D215" i="9"/>
  <c r="E215" i="9"/>
  <c r="F215" i="9"/>
  <c r="G215" i="9"/>
  <c r="M215" i="9"/>
  <c r="BO216" i="27" s="1"/>
  <c r="C216" i="9"/>
  <c r="D216" i="9"/>
  <c r="E216" i="9"/>
  <c r="F216" i="9"/>
  <c r="G216" i="9"/>
  <c r="M216" i="9"/>
  <c r="BO217" i="27" s="1"/>
  <c r="C217" i="9"/>
  <c r="D217" i="9"/>
  <c r="E217" i="9"/>
  <c r="F217" i="9"/>
  <c r="G217" i="9"/>
  <c r="M217" i="9"/>
  <c r="BO218" i="27" s="1"/>
  <c r="C218" i="9"/>
  <c r="D218" i="9"/>
  <c r="E218" i="9"/>
  <c r="F218" i="9"/>
  <c r="G218" i="9"/>
  <c r="M218" i="9"/>
  <c r="BO219" i="27" s="1"/>
  <c r="C219" i="9"/>
  <c r="D219" i="9"/>
  <c r="E219" i="9"/>
  <c r="F219" i="9"/>
  <c r="G219" i="9"/>
  <c r="M219" i="9"/>
  <c r="BO220" i="27" s="1"/>
  <c r="C220" i="9"/>
  <c r="D220" i="9"/>
  <c r="E220" i="9"/>
  <c r="F220" i="9"/>
  <c r="G220" i="9"/>
  <c r="M220" i="9"/>
  <c r="BO221" i="27" s="1"/>
  <c r="C221" i="9"/>
  <c r="D221" i="9"/>
  <c r="E221" i="9"/>
  <c r="F221" i="9"/>
  <c r="G221" i="9"/>
  <c r="M221" i="9"/>
  <c r="BO222" i="27" s="1"/>
  <c r="C222" i="9"/>
  <c r="D222" i="9"/>
  <c r="E222" i="9"/>
  <c r="F222" i="9"/>
  <c r="G222" i="9"/>
  <c r="M222" i="9"/>
  <c r="BO223" i="27" s="1"/>
  <c r="C223" i="9"/>
  <c r="D223" i="9"/>
  <c r="E223" i="9"/>
  <c r="F223" i="9"/>
  <c r="G223" i="9"/>
  <c r="M223" i="9"/>
  <c r="BO224" i="27" s="1"/>
  <c r="C224" i="9"/>
  <c r="D224" i="9"/>
  <c r="E224" i="9"/>
  <c r="F224" i="9"/>
  <c r="G224" i="9"/>
  <c r="M224" i="9"/>
  <c r="BO225" i="27" s="1"/>
  <c r="C225" i="9"/>
  <c r="D225" i="9"/>
  <c r="E225" i="9"/>
  <c r="F225" i="9"/>
  <c r="G225" i="9"/>
  <c r="M225" i="9"/>
  <c r="BO226" i="27" s="1"/>
  <c r="C226" i="9"/>
  <c r="D226" i="9"/>
  <c r="E226" i="9"/>
  <c r="F226" i="9"/>
  <c r="G226" i="9"/>
  <c r="M226" i="9"/>
  <c r="BO227" i="27" s="1"/>
  <c r="C227" i="9"/>
  <c r="D227" i="9"/>
  <c r="E227" i="9"/>
  <c r="F227" i="9"/>
  <c r="G227" i="9"/>
  <c r="M227" i="9"/>
  <c r="BO228" i="27" s="1"/>
  <c r="C228" i="9"/>
  <c r="D228" i="9"/>
  <c r="E228" i="9"/>
  <c r="F228" i="9"/>
  <c r="G228" i="9"/>
  <c r="M228" i="9"/>
  <c r="BO229" i="27" s="1"/>
  <c r="C229" i="9"/>
  <c r="D229" i="9"/>
  <c r="E229" i="9"/>
  <c r="F229" i="9"/>
  <c r="G229" i="9"/>
  <c r="M229" i="9"/>
  <c r="BO230" i="27" s="1"/>
  <c r="C230" i="9"/>
  <c r="D230" i="9"/>
  <c r="E230" i="9"/>
  <c r="F230" i="9"/>
  <c r="G230" i="9"/>
  <c r="M230" i="9"/>
  <c r="BO231" i="27" s="1"/>
  <c r="C231" i="9"/>
  <c r="D231" i="9"/>
  <c r="E231" i="9"/>
  <c r="F231" i="9"/>
  <c r="G231" i="9"/>
  <c r="M231" i="9"/>
  <c r="BO232" i="27" s="1"/>
  <c r="C232" i="9"/>
  <c r="D232" i="9"/>
  <c r="E232" i="9"/>
  <c r="F232" i="9"/>
  <c r="G232" i="9"/>
  <c r="M232" i="9"/>
  <c r="BO233" i="27" s="1"/>
  <c r="C233" i="9"/>
  <c r="D233" i="9"/>
  <c r="E233" i="9"/>
  <c r="F233" i="9"/>
  <c r="G233" i="9"/>
  <c r="M233" i="9"/>
  <c r="BO234" i="27" s="1"/>
  <c r="C234" i="9"/>
  <c r="D234" i="9"/>
  <c r="E234" i="9"/>
  <c r="F234" i="9"/>
  <c r="G234" i="9"/>
  <c r="M234" i="9"/>
  <c r="BO235" i="27" s="1"/>
  <c r="C235" i="9"/>
  <c r="D235" i="9"/>
  <c r="E235" i="9"/>
  <c r="F235" i="9"/>
  <c r="G235" i="9"/>
  <c r="M235" i="9"/>
  <c r="BO236" i="27" s="1"/>
  <c r="C236" i="9"/>
  <c r="D236" i="9"/>
  <c r="E236" i="9"/>
  <c r="F236" i="9"/>
  <c r="G236" i="9"/>
  <c r="M236" i="9"/>
  <c r="BO237" i="27" s="1"/>
  <c r="C237" i="9"/>
  <c r="D237" i="9"/>
  <c r="E237" i="9"/>
  <c r="F237" i="9"/>
  <c r="G237" i="9"/>
  <c r="M237" i="9"/>
  <c r="BO238" i="27" s="1"/>
  <c r="C238" i="9"/>
  <c r="D238" i="9"/>
  <c r="E238" i="9"/>
  <c r="F238" i="9"/>
  <c r="G238" i="9"/>
  <c r="M238" i="9"/>
  <c r="BO239" i="27" s="1"/>
  <c r="C239" i="9"/>
  <c r="D239" i="9"/>
  <c r="E239" i="9"/>
  <c r="F239" i="9"/>
  <c r="G239" i="9"/>
  <c r="M239" i="9"/>
  <c r="BO240" i="27" s="1"/>
  <c r="C240" i="9"/>
  <c r="D240" i="9"/>
  <c r="E240" i="9"/>
  <c r="F240" i="9"/>
  <c r="G240" i="9"/>
  <c r="M240" i="9"/>
  <c r="BO241" i="27" s="1"/>
  <c r="C241" i="9"/>
  <c r="D241" i="9"/>
  <c r="E241" i="9"/>
  <c r="F241" i="9"/>
  <c r="G241" i="9"/>
  <c r="M241" i="9"/>
  <c r="BO242" i="27" s="1"/>
  <c r="C242" i="9"/>
  <c r="D242" i="9"/>
  <c r="E242" i="9"/>
  <c r="F242" i="9"/>
  <c r="G242" i="9"/>
  <c r="M242" i="9"/>
  <c r="BO243" i="27" s="1"/>
  <c r="C243" i="9"/>
  <c r="D243" i="9"/>
  <c r="E243" i="9"/>
  <c r="F243" i="9"/>
  <c r="G243" i="9"/>
  <c r="M243" i="9"/>
  <c r="BO244" i="27" s="1"/>
  <c r="C244" i="9"/>
  <c r="D244" i="9"/>
  <c r="E244" i="9"/>
  <c r="F244" i="9"/>
  <c r="G244" i="9"/>
  <c r="M244" i="9"/>
  <c r="BO245" i="27" s="1"/>
  <c r="C245" i="9"/>
  <c r="D245" i="9"/>
  <c r="E245" i="9"/>
  <c r="F245" i="9"/>
  <c r="G245" i="9"/>
  <c r="M245" i="9"/>
  <c r="BO246" i="27" s="1"/>
  <c r="C246" i="9"/>
  <c r="D246" i="9"/>
  <c r="E246" i="9"/>
  <c r="F246" i="9"/>
  <c r="G246" i="9"/>
  <c r="M246" i="9"/>
  <c r="BO247" i="27" s="1"/>
  <c r="C247" i="9"/>
  <c r="D247" i="9"/>
  <c r="E247" i="9"/>
  <c r="F247" i="9"/>
  <c r="G247" i="9"/>
  <c r="M247" i="9"/>
  <c r="BO248" i="27" s="1"/>
  <c r="C248" i="9"/>
  <c r="D248" i="9"/>
  <c r="E248" i="9"/>
  <c r="F248" i="9"/>
  <c r="G248" i="9"/>
  <c r="M248" i="9"/>
  <c r="BO249" i="27" s="1"/>
  <c r="C249" i="9"/>
  <c r="D249" i="9"/>
  <c r="E249" i="9"/>
  <c r="F249" i="9"/>
  <c r="G249" i="9"/>
  <c r="M249" i="9"/>
  <c r="BO250" i="27" s="1"/>
  <c r="C250" i="9"/>
  <c r="D250" i="9"/>
  <c r="E250" i="9"/>
  <c r="F250" i="9"/>
  <c r="G250" i="9"/>
  <c r="M250" i="9"/>
  <c r="BO251" i="27" s="1"/>
  <c r="C251" i="9"/>
  <c r="D251" i="9"/>
  <c r="E251" i="9"/>
  <c r="F251" i="9"/>
  <c r="G251" i="9"/>
  <c r="M251" i="9"/>
  <c r="BO252" i="27" s="1"/>
  <c r="C252" i="9"/>
  <c r="D252" i="9"/>
  <c r="E252" i="9"/>
  <c r="F252" i="9"/>
  <c r="G252" i="9"/>
  <c r="M252" i="9"/>
  <c r="BO253" i="27" s="1"/>
  <c r="C253" i="9"/>
  <c r="D253" i="9"/>
  <c r="E253" i="9"/>
  <c r="F253" i="9"/>
  <c r="G253" i="9"/>
  <c r="M253" i="9"/>
  <c r="BO254" i="27" s="1"/>
  <c r="C254" i="9"/>
  <c r="D254" i="9"/>
  <c r="E254" i="9"/>
  <c r="F254" i="9"/>
  <c r="G254" i="9"/>
  <c r="M254" i="9"/>
  <c r="BO255" i="27" s="1"/>
  <c r="C255" i="9"/>
  <c r="D255" i="9"/>
  <c r="E255" i="9"/>
  <c r="F255" i="9"/>
  <c r="G255" i="9"/>
  <c r="M255" i="9"/>
  <c r="BO256" i="27" s="1"/>
  <c r="C256" i="9"/>
  <c r="D256" i="9"/>
  <c r="E256" i="9"/>
  <c r="F256" i="9"/>
  <c r="G256" i="9"/>
  <c r="M256" i="9"/>
  <c r="BO257" i="27" s="1"/>
  <c r="C257" i="9"/>
  <c r="D257" i="9"/>
  <c r="E257" i="9"/>
  <c r="F257" i="9"/>
  <c r="G257" i="9"/>
  <c r="M257" i="9"/>
  <c r="BO258" i="27" s="1"/>
  <c r="C258" i="9"/>
  <c r="D258" i="9"/>
  <c r="E258" i="9"/>
  <c r="F258" i="9"/>
  <c r="G258" i="9"/>
  <c r="M258" i="9"/>
  <c r="BO259" i="27" s="1"/>
  <c r="C259" i="9"/>
  <c r="D259" i="9"/>
  <c r="E259" i="9"/>
  <c r="F259" i="9"/>
  <c r="G259" i="9"/>
  <c r="M259" i="9"/>
  <c r="BO260" i="27" s="1"/>
  <c r="C260" i="9"/>
  <c r="D260" i="9"/>
  <c r="E260" i="9"/>
  <c r="F260" i="9"/>
  <c r="G260" i="9"/>
  <c r="M260" i="9"/>
  <c r="BO261" i="27" s="1"/>
  <c r="C261" i="9"/>
  <c r="D261" i="9"/>
  <c r="E261" i="9"/>
  <c r="F261" i="9"/>
  <c r="G261" i="9"/>
  <c r="M261" i="9"/>
  <c r="BO262" i="27" s="1"/>
  <c r="C262" i="9"/>
  <c r="D262" i="9"/>
  <c r="E262" i="9"/>
  <c r="F262" i="9"/>
  <c r="G262" i="9"/>
  <c r="M262" i="9"/>
  <c r="BO263" i="27" s="1"/>
  <c r="C263" i="9"/>
  <c r="D263" i="9"/>
  <c r="E263" i="9"/>
  <c r="F263" i="9"/>
  <c r="G263" i="9"/>
  <c r="M263" i="9"/>
  <c r="BO264" i="27" s="1"/>
  <c r="C264" i="9"/>
  <c r="D264" i="9"/>
  <c r="E264" i="9"/>
  <c r="F264" i="9"/>
  <c r="G264" i="9"/>
  <c r="M264" i="9"/>
  <c r="BO265" i="27" s="1"/>
  <c r="C265" i="9"/>
  <c r="D265" i="9"/>
  <c r="E265" i="9"/>
  <c r="F265" i="9"/>
  <c r="G265" i="9"/>
  <c r="M265" i="9"/>
  <c r="BO266" i="27" s="1"/>
  <c r="C266" i="9"/>
  <c r="D266" i="9"/>
  <c r="E266" i="9"/>
  <c r="F266" i="9"/>
  <c r="G266" i="9"/>
  <c r="M266" i="9"/>
  <c r="BO267" i="27" s="1"/>
  <c r="C267" i="9"/>
  <c r="D267" i="9"/>
  <c r="E267" i="9"/>
  <c r="F267" i="9"/>
  <c r="G267" i="9"/>
  <c r="M267" i="9"/>
  <c r="BO268" i="27" s="1"/>
  <c r="C268" i="9"/>
  <c r="D268" i="9"/>
  <c r="E268" i="9"/>
  <c r="F268" i="9"/>
  <c r="G268" i="9"/>
  <c r="M268" i="9"/>
  <c r="BO269" i="27" s="1"/>
  <c r="C269" i="9"/>
  <c r="D269" i="9"/>
  <c r="E269" i="9"/>
  <c r="F269" i="9"/>
  <c r="G269" i="9"/>
  <c r="M269" i="9"/>
  <c r="BO270" i="27" s="1"/>
  <c r="C270" i="9"/>
  <c r="D270" i="9"/>
  <c r="E270" i="9"/>
  <c r="F270" i="9"/>
  <c r="G270" i="9"/>
  <c r="M270" i="9"/>
  <c r="BO271" i="27" s="1"/>
  <c r="C271" i="9"/>
  <c r="D271" i="9"/>
  <c r="E271" i="9"/>
  <c r="F271" i="9"/>
  <c r="G271" i="9"/>
  <c r="M271" i="9"/>
  <c r="BO272" i="27" s="1"/>
  <c r="C272" i="9"/>
  <c r="D272" i="9"/>
  <c r="E272" i="9"/>
  <c r="F272" i="9"/>
  <c r="G272" i="9"/>
  <c r="M272" i="9"/>
  <c r="BO273" i="27" s="1"/>
  <c r="C273" i="9"/>
  <c r="D273" i="9"/>
  <c r="E273" i="9"/>
  <c r="F273" i="9"/>
  <c r="G273" i="9"/>
  <c r="M273" i="9"/>
  <c r="BO274" i="27" s="1"/>
  <c r="C274" i="9"/>
  <c r="D274" i="9"/>
  <c r="E274" i="9"/>
  <c r="F274" i="9"/>
  <c r="G274" i="9"/>
  <c r="M274" i="9"/>
  <c r="BO275" i="27" s="1"/>
  <c r="C275" i="9"/>
  <c r="D275" i="9"/>
  <c r="E275" i="9"/>
  <c r="F275" i="9"/>
  <c r="G275" i="9"/>
  <c r="M275" i="9"/>
  <c r="BO276" i="27" s="1"/>
  <c r="C276" i="9"/>
  <c r="D276" i="9"/>
  <c r="E276" i="9"/>
  <c r="F276" i="9"/>
  <c r="G276" i="9"/>
  <c r="M276" i="9"/>
  <c r="BO277" i="27" s="1"/>
  <c r="C277" i="9"/>
  <c r="D277" i="9"/>
  <c r="E277" i="9"/>
  <c r="F277" i="9"/>
  <c r="G277" i="9"/>
  <c r="M277" i="9"/>
  <c r="BO278" i="27" s="1"/>
  <c r="C278" i="9"/>
  <c r="D278" i="9"/>
  <c r="E278" i="9"/>
  <c r="F278" i="9"/>
  <c r="G278" i="9"/>
  <c r="M278" i="9"/>
  <c r="BO279" i="27" s="1"/>
  <c r="C279" i="9"/>
  <c r="D279" i="9"/>
  <c r="E279" i="9"/>
  <c r="F279" i="9"/>
  <c r="G279" i="9"/>
  <c r="M279" i="9"/>
  <c r="BO280" i="27" s="1"/>
  <c r="C280" i="9"/>
  <c r="D280" i="9"/>
  <c r="E280" i="9"/>
  <c r="F280" i="9"/>
  <c r="G280" i="9"/>
  <c r="M280" i="9"/>
  <c r="BO281" i="27" s="1"/>
  <c r="C281" i="9"/>
  <c r="D281" i="9"/>
  <c r="E281" i="9"/>
  <c r="F281" i="9"/>
  <c r="G281" i="9"/>
  <c r="M281" i="9"/>
  <c r="BO282" i="27" s="1"/>
  <c r="C282" i="9"/>
  <c r="D282" i="9"/>
  <c r="E282" i="9"/>
  <c r="F282" i="9"/>
  <c r="G282" i="9"/>
  <c r="M282" i="9"/>
  <c r="BO283" i="27" s="1"/>
  <c r="C283" i="9"/>
  <c r="D283" i="9"/>
  <c r="E283" i="9"/>
  <c r="F283" i="9"/>
  <c r="G283" i="9"/>
  <c r="M283" i="9"/>
  <c r="BO284" i="27" s="1"/>
  <c r="C284" i="9"/>
  <c r="D284" i="9"/>
  <c r="E284" i="9"/>
  <c r="F284" i="9"/>
  <c r="G284" i="9"/>
  <c r="M284" i="9"/>
  <c r="BO285" i="27" s="1"/>
  <c r="C285" i="9"/>
  <c r="D285" i="9"/>
  <c r="E285" i="9"/>
  <c r="F285" i="9"/>
  <c r="G285" i="9"/>
  <c r="M285" i="9"/>
  <c r="BO286" i="27" s="1"/>
  <c r="C286" i="9"/>
  <c r="D286" i="9"/>
  <c r="E286" i="9"/>
  <c r="F286" i="9"/>
  <c r="G286" i="9"/>
  <c r="M286" i="9"/>
  <c r="BO287" i="27" s="1"/>
  <c r="C287" i="9"/>
  <c r="D287" i="9"/>
  <c r="E287" i="9"/>
  <c r="F287" i="9"/>
  <c r="G287" i="9"/>
  <c r="M287" i="9"/>
  <c r="BO288" i="27" s="1"/>
  <c r="C288" i="9"/>
  <c r="D288" i="9"/>
  <c r="E288" i="9"/>
  <c r="F288" i="9"/>
  <c r="G288" i="9"/>
  <c r="M288" i="9"/>
  <c r="BO289" i="27" s="1"/>
  <c r="C289" i="9"/>
  <c r="D289" i="9"/>
  <c r="E289" i="9"/>
  <c r="F289" i="9"/>
  <c r="G289" i="9"/>
  <c r="M289" i="9"/>
  <c r="BO290" i="27" s="1"/>
  <c r="C290" i="9"/>
  <c r="D290" i="9"/>
  <c r="E290" i="9"/>
  <c r="F290" i="9"/>
  <c r="G290" i="9"/>
  <c r="M290" i="9"/>
  <c r="BO291" i="27" s="1"/>
  <c r="C291" i="9"/>
  <c r="D291" i="9"/>
  <c r="E291" i="9"/>
  <c r="F291" i="9"/>
  <c r="G291" i="9"/>
  <c r="M291" i="9"/>
  <c r="C292" i="9"/>
  <c r="D292" i="9"/>
  <c r="E292" i="9"/>
  <c r="F292" i="9"/>
  <c r="G292" i="9"/>
  <c r="M292" i="9"/>
  <c r="C293" i="9"/>
  <c r="D293" i="9"/>
  <c r="E293" i="9"/>
  <c r="F293" i="9"/>
  <c r="G293" i="9"/>
  <c r="M293" i="9"/>
  <c r="C294" i="9"/>
  <c r="D294" i="9"/>
  <c r="E294" i="9"/>
  <c r="F294" i="9"/>
  <c r="G294" i="9"/>
  <c r="M294" i="9"/>
  <c r="C295" i="9"/>
  <c r="D295" i="9"/>
  <c r="E295" i="9"/>
  <c r="F295" i="9"/>
  <c r="G295" i="9"/>
  <c r="M295" i="9"/>
  <c r="C296" i="9"/>
  <c r="D296" i="9"/>
  <c r="E296" i="9"/>
  <c r="F296" i="9"/>
  <c r="G296" i="9"/>
  <c r="M296" i="9"/>
  <c r="C297" i="9"/>
  <c r="D297" i="9"/>
  <c r="E297" i="9"/>
  <c r="F297" i="9"/>
  <c r="G297" i="9"/>
  <c r="M297" i="9"/>
  <c r="C298" i="9"/>
  <c r="D298" i="9"/>
  <c r="E298" i="9"/>
  <c r="F298" i="9"/>
  <c r="G298" i="9"/>
  <c r="M298" i="9"/>
  <c r="C299" i="9"/>
  <c r="D299" i="9"/>
  <c r="E299" i="9"/>
  <c r="F299" i="9"/>
  <c r="G299" i="9"/>
  <c r="M299" i="9"/>
  <c r="C300" i="9"/>
  <c r="D300" i="9"/>
  <c r="E300" i="9"/>
  <c r="F300" i="9"/>
  <c r="G300" i="9"/>
  <c r="M300" i="9"/>
  <c r="C301" i="9"/>
  <c r="D301" i="9"/>
  <c r="E301" i="9"/>
  <c r="F301" i="9"/>
  <c r="G301" i="9"/>
  <c r="M301" i="9"/>
  <c r="C302" i="9"/>
  <c r="D302" i="9"/>
  <c r="E302" i="9"/>
  <c r="F302" i="9"/>
  <c r="G302" i="9"/>
  <c r="M302" i="9"/>
  <c r="C303" i="9"/>
  <c r="D303" i="9"/>
  <c r="E303" i="9"/>
  <c r="F303" i="9"/>
  <c r="G303" i="9"/>
  <c r="M303" i="9"/>
  <c r="C304" i="9"/>
  <c r="D304" i="9"/>
  <c r="E304" i="9"/>
  <c r="F304" i="9"/>
  <c r="G304" i="9"/>
  <c r="M304" i="9"/>
  <c r="C125" i="9"/>
  <c r="D125" i="9"/>
  <c r="E125" i="9"/>
  <c r="F125" i="9"/>
  <c r="G125" i="9"/>
  <c r="M125" i="9"/>
  <c r="BO126" i="27" s="1"/>
  <c r="C126" i="9"/>
  <c r="D126" i="9"/>
  <c r="E126" i="9"/>
  <c r="F126" i="9"/>
  <c r="G126" i="9"/>
  <c r="M126" i="9"/>
  <c r="BO127" i="27" s="1"/>
  <c r="C127" i="9"/>
  <c r="D127" i="9"/>
  <c r="E127" i="9"/>
  <c r="F127" i="9"/>
  <c r="G127" i="9"/>
  <c r="M127" i="9"/>
  <c r="BO128" i="27" s="1"/>
  <c r="C128" i="9"/>
  <c r="D128" i="9"/>
  <c r="E128" i="9"/>
  <c r="F128" i="9"/>
  <c r="G128" i="9"/>
  <c r="M128" i="9"/>
  <c r="BO129" i="27" s="1"/>
  <c r="C129" i="9"/>
  <c r="D129" i="9"/>
  <c r="E129" i="9"/>
  <c r="F129" i="9"/>
  <c r="G129" i="9"/>
  <c r="M129" i="9"/>
  <c r="BO130" i="27" s="1"/>
  <c r="C130" i="9"/>
  <c r="D130" i="9"/>
  <c r="E130" i="9"/>
  <c r="F130" i="9"/>
  <c r="G130" i="9"/>
  <c r="M130" i="9"/>
  <c r="BO131" i="27" s="1"/>
  <c r="C131" i="9"/>
  <c r="D131" i="9"/>
  <c r="E131" i="9"/>
  <c r="F131" i="9"/>
  <c r="G131" i="9"/>
  <c r="M131" i="9"/>
  <c r="BO132" i="27" s="1"/>
  <c r="C132" i="9"/>
  <c r="D132" i="9"/>
  <c r="E132" i="9"/>
  <c r="F132" i="9"/>
  <c r="G132" i="9"/>
  <c r="M132" i="9"/>
  <c r="BO133" i="27" s="1"/>
  <c r="C133" i="9"/>
  <c r="D133" i="9"/>
  <c r="E133" i="9"/>
  <c r="F133" i="9"/>
  <c r="G133" i="9"/>
  <c r="M133" i="9"/>
  <c r="BO134" i="27" s="1"/>
  <c r="C134" i="9"/>
  <c r="D134" i="9"/>
  <c r="E134" i="9"/>
  <c r="F134" i="9"/>
  <c r="G134" i="9"/>
  <c r="M134" i="9"/>
  <c r="BO135" i="27" s="1"/>
  <c r="C135" i="9"/>
  <c r="D135" i="9"/>
  <c r="E135" i="9"/>
  <c r="F135" i="9"/>
  <c r="G135" i="9"/>
  <c r="M135" i="9"/>
  <c r="BO136" i="27" s="1"/>
  <c r="C136" i="9"/>
  <c r="D136" i="9"/>
  <c r="E136" i="9"/>
  <c r="F136" i="9"/>
  <c r="G136" i="9"/>
  <c r="M136" i="9"/>
  <c r="BO137" i="27" s="1"/>
  <c r="C137" i="9"/>
  <c r="D137" i="9"/>
  <c r="E137" i="9"/>
  <c r="F137" i="9"/>
  <c r="G137" i="9"/>
  <c r="M137" i="9"/>
  <c r="BO138" i="27" s="1"/>
  <c r="C138" i="9"/>
  <c r="D138" i="9"/>
  <c r="E138" i="9"/>
  <c r="F138" i="9"/>
  <c r="G138" i="9"/>
  <c r="M138" i="9"/>
  <c r="BO139" i="27" s="1"/>
  <c r="C139" i="9"/>
  <c r="D139" i="9"/>
  <c r="E139" i="9"/>
  <c r="F139" i="9"/>
  <c r="G139" i="9"/>
  <c r="M139" i="9"/>
  <c r="BO140" i="27" s="1"/>
  <c r="C140" i="9"/>
  <c r="D140" i="9"/>
  <c r="E140" i="9"/>
  <c r="F140" i="9"/>
  <c r="G140" i="9"/>
  <c r="M140" i="9"/>
  <c r="BO141" i="27" s="1"/>
  <c r="C141" i="9"/>
  <c r="D141" i="9"/>
  <c r="E141" i="9"/>
  <c r="F141" i="9"/>
  <c r="G141" i="9"/>
  <c r="M141" i="9"/>
  <c r="BO142" i="27" s="1"/>
  <c r="C142" i="9"/>
  <c r="D142" i="9"/>
  <c r="E142" i="9"/>
  <c r="F142" i="9"/>
  <c r="G142" i="9"/>
  <c r="M142" i="9"/>
  <c r="BO143" i="27" s="1"/>
  <c r="C143" i="9"/>
  <c r="D143" i="9"/>
  <c r="E143" i="9"/>
  <c r="F143" i="9"/>
  <c r="G143" i="9"/>
  <c r="M143" i="9"/>
  <c r="BO144" i="27" s="1"/>
  <c r="C144" i="9"/>
  <c r="D144" i="9"/>
  <c r="E144" i="9"/>
  <c r="F144" i="9"/>
  <c r="G144" i="9"/>
  <c r="M144" i="9"/>
  <c r="BO145" i="27" s="1"/>
  <c r="C145" i="9"/>
  <c r="D145" i="9"/>
  <c r="E145" i="9"/>
  <c r="F145" i="9"/>
  <c r="G145" i="9"/>
  <c r="M145" i="9"/>
  <c r="BO146" i="27" s="1"/>
  <c r="C146" i="9"/>
  <c r="D146" i="9"/>
  <c r="E146" i="9"/>
  <c r="F146" i="9"/>
  <c r="G146" i="9"/>
  <c r="M146" i="9"/>
  <c r="BO147" i="27" s="1"/>
  <c r="C147" i="9"/>
  <c r="D147" i="9"/>
  <c r="E147" i="9"/>
  <c r="F147" i="9"/>
  <c r="G147" i="9"/>
  <c r="M147" i="9"/>
  <c r="BO148" i="27" s="1"/>
  <c r="C148" i="9"/>
  <c r="D148" i="9"/>
  <c r="E148" i="9"/>
  <c r="F148" i="9"/>
  <c r="G148" i="9"/>
  <c r="M148" i="9"/>
  <c r="BO149" i="27" s="1"/>
  <c r="C149" i="9"/>
  <c r="D149" i="9"/>
  <c r="E149" i="9"/>
  <c r="F149" i="9"/>
  <c r="G149" i="9"/>
  <c r="M149" i="9"/>
  <c r="BO150" i="27" s="1"/>
  <c r="C150" i="9"/>
  <c r="D150" i="9"/>
  <c r="E150" i="9"/>
  <c r="F150" i="9"/>
  <c r="G150" i="9"/>
  <c r="M150" i="9"/>
  <c r="BO151" i="27" s="1"/>
  <c r="C151" i="9"/>
  <c r="D151" i="9"/>
  <c r="E151" i="9"/>
  <c r="F151" i="9"/>
  <c r="G151" i="9"/>
  <c r="M151" i="9"/>
  <c r="BO152" i="27" s="1"/>
  <c r="C152" i="9"/>
  <c r="D152" i="9"/>
  <c r="E152" i="9"/>
  <c r="F152" i="9"/>
  <c r="G152" i="9"/>
  <c r="M152" i="9"/>
  <c r="BO153" i="27" s="1"/>
  <c r="C153" i="9"/>
  <c r="D153" i="9"/>
  <c r="E153" i="9"/>
  <c r="F153" i="9"/>
  <c r="G153" i="9"/>
  <c r="M153" i="9"/>
  <c r="BO154" i="27" s="1"/>
  <c r="C154" i="9"/>
  <c r="D154" i="9"/>
  <c r="E154" i="9"/>
  <c r="F154" i="9"/>
  <c r="G154" i="9"/>
  <c r="M154" i="9"/>
  <c r="C155" i="9"/>
  <c r="D155" i="9"/>
  <c r="E155" i="9"/>
  <c r="F155" i="9"/>
  <c r="G155" i="9"/>
  <c r="M155" i="9"/>
  <c r="BO156" i="27" s="1"/>
  <c r="C156" i="9"/>
  <c r="D156" i="9"/>
  <c r="E156" i="9"/>
  <c r="F156" i="9"/>
  <c r="G156" i="9"/>
  <c r="M156" i="9"/>
  <c r="BO157" i="27" s="1"/>
  <c r="C157" i="9"/>
  <c r="D157" i="9"/>
  <c r="E157" i="9"/>
  <c r="F157" i="9"/>
  <c r="G157" i="9"/>
  <c r="M157" i="9"/>
  <c r="BO158" i="27" s="1"/>
  <c r="C158" i="9"/>
  <c r="D158" i="9"/>
  <c r="E158" i="9"/>
  <c r="F158" i="9"/>
  <c r="G158" i="9"/>
  <c r="M158" i="9"/>
  <c r="BO159" i="27" s="1"/>
  <c r="C159" i="9"/>
  <c r="D159" i="9"/>
  <c r="E159" i="9"/>
  <c r="F159" i="9"/>
  <c r="G159" i="9"/>
  <c r="M159" i="9"/>
  <c r="BO160" i="27" s="1"/>
  <c r="C160" i="9"/>
  <c r="D160" i="9"/>
  <c r="E160" i="9"/>
  <c r="F160" i="9"/>
  <c r="G160" i="9"/>
  <c r="M160" i="9"/>
  <c r="BO161" i="27" s="1"/>
  <c r="C161" i="9"/>
  <c r="D161" i="9"/>
  <c r="E161" i="9"/>
  <c r="F161" i="9"/>
  <c r="G161" i="9"/>
  <c r="M161" i="9"/>
  <c r="BO162" i="27" s="1"/>
  <c r="C162" i="9"/>
  <c r="D162" i="9"/>
  <c r="E162" i="9"/>
  <c r="F162" i="9"/>
  <c r="G162" i="9"/>
  <c r="M162" i="9"/>
  <c r="BO163" i="27" s="1"/>
  <c r="C163" i="9"/>
  <c r="D163" i="9"/>
  <c r="E163" i="9"/>
  <c r="F163" i="9"/>
  <c r="G163" i="9"/>
  <c r="M163" i="9"/>
  <c r="BO164" i="27" s="1"/>
  <c r="C164" i="9"/>
  <c r="D164" i="9"/>
  <c r="E164" i="9"/>
  <c r="F164" i="9"/>
  <c r="G164" i="9"/>
  <c r="M164" i="9"/>
  <c r="BO165" i="27" s="1"/>
  <c r="C165" i="9"/>
  <c r="D165" i="9"/>
  <c r="E165" i="9"/>
  <c r="F165" i="9"/>
  <c r="G165" i="9"/>
  <c r="M165" i="9"/>
  <c r="BO166" i="27" s="1"/>
  <c r="C166" i="9"/>
  <c r="D166" i="9"/>
  <c r="E166" i="9"/>
  <c r="F166" i="9"/>
  <c r="G166" i="9"/>
  <c r="M166" i="9"/>
  <c r="BO167" i="27" s="1"/>
  <c r="C167" i="9"/>
  <c r="D167" i="9"/>
  <c r="E167" i="9"/>
  <c r="F167" i="9"/>
  <c r="G167" i="9"/>
  <c r="M167" i="9"/>
  <c r="BO168" i="27" s="1"/>
  <c r="C168" i="9"/>
  <c r="D168" i="9"/>
  <c r="E168" i="9"/>
  <c r="F168" i="9"/>
  <c r="G168" i="9"/>
  <c r="M168" i="9"/>
  <c r="BO169" i="27" s="1"/>
  <c r="C169" i="9"/>
  <c r="D169" i="9"/>
  <c r="E169" i="9"/>
  <c r="F169" i="9"/>
  <c r="G169" i="9"/>
  <c r="M169" i="9"/>
  <c r="BO170" i="27" s="1"/>
  <c r="C170" i="9"/>
  <c r="D170" i="9"/>
  <c r="E170" i="9"/>
  <c r="F170" i="9"/>
  <c r="G170" i="9"/>
  <c r="M170" i="9"/>
  <c r="BO171" i="27" s="1"/>
  <c r="C171" i="9"/>
  <c r="D171" i="9"/>
  <c r="E171" i="9"/>
  <c r="F171" i="9"/>
  <c r="G171" i="9"/>
  <c r="M171" i="9"/>
  <c r="BO172" i="27" s="1"/>
  <c r="C172" i="9"/>
  <c r="D172" i="9"/>
  <c r="E172" i="9"/>
  <c r="F172" i="9"/>
  <c r="G172" i="9"/>
  <c r="M172" i="9"/>
  <c r="BO173" i="27" s="1"/>
  <c r="C173" i="9"/>
  <c r="D173" i="9"/>
  <c r="E173" i="9"/>
  <c r="F173" i="9"/>
  <c r="G173" i="9"/>
  <c r="M173" i="9"/>
  <c r="BO174" i="27" s="1"/>
  <c r="AK2" i="9"/>
  <c r="S11" i="2"/>
  <c r="S12" i="2"/>
  <c r="S13" i="2"/>
  <c r="S10" i="2"/>
  <c r="S14" i="2"/>
  <c r="S15" i="2"/>
  <c r="S16" i="2"/>
  <c r="S17" i="2"/>
  <c r="S18" i="2"/>
  <c r="S19" i="2"/>
  <c r="P11" i="2"/>
  <c r="O11" i="2"/>
  <c r="Q11" i="2" s="1"/>
  <c r="O13" i="2"/>
  <c r="O15" i="2"/>
  <c r="Q15" i="2" s="1"/>
  <c r="P19" i="2"/>
  <c r="P15" i="2"/>
  <c r="P13" i="2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3" i="6"/>
  <c r="BR105" i="9"/>
  <c r="BS105" i="9"/>
  <c r="BT105" i="9"/>
  <c r="BU105" i="9"/>
  <c r="BV105" i="9"/>
  <c r="BR106" i="9"/>
  <c r="BS106" i="9"/>
  <c r="BT106" i="9"/>
  <c r="BU106" i="9"/>
  <c r="BV106" i="9"/>
  <c r="BR107" i="9"/>
  <c r="BS107" i="9"/>
  <c r="BT107" i="9"/>
  <c r="BU107" i="9"/>
  <c r="BV107" i="9"/>
  <c r="BR108" i="9"/>
  <c r="BS108" i="9"/>
  <c r="BT108" i="9"/>
  <c r="BU108" i="9"/>
  <c r="BV108" i="9"/>
  <c r="BR109" i="9"/>
  <c r="BS109" i="9"/>
  <c r="BT109" i="9"/>
  <c r="BU109" i="9"/>
  <c r="BV109" i="9"/>
  <c r="BR110" i="9"/>
  <c r="BS110" i="9"/>
  <c r="BT110" i="9"/>
  <c r="BU110" i="9"/>
  <c r="BV110" i="9"/>
  <c r="BR111" i="9"/>
  <c r="BS111" i="9"/>
  <c r="BT111" i="9"/>
  <c r="BU111" i="9"/>
  <c r="BV111" i="9"/>
  <c r="BR112" i="9"/>
  <c r="BS112" i="9"/>
  <c r="BT112" i="9"/>
  <c r="BU112" i="9"/>
  <c r="BV112" i="9"/>
  <c r="BR113" i="9"/>
  <c r="BS113" i="9"/>
  <c r="BT113" i="9"/>
  <c r="BU113" i="9"/>
  <c r="BV113" i="9"/>
  <c r="BR114" i="9"/>
  <c r="BS114" i="9"/>
  <c r="BT114" i="9"/>
  <c r="BU114" i="9"/>
  <c r="BV114" i="9"/>
  <c r="BR115" i="9"/>
  <c r="BS115" i="9"/>
  <c r="BT115" i="9"/>
  <c r="BU115" i="9"/>
  <c r="BV115" i="9"/>
  <c r="BR116" i="9"/>
  <c r="BS116" i="9"/>
  <c r="BT116" i="9"/>
  <c r="BU116" i="9"/>
  <c r="BV116" i="9"/>
  <c r="BR117" i="9"/>
  <c r="BS117" i="9"/>
  <c r="BT117" i="9"/>
  <c r="BU117" i="9"/>
  <c r="BV117" i="9"/>
  <c r="BR118" i="9"/>
  <c r="BS118" i="9"/>
  <c r="BT118" i="9"/>
  <c r="BU118" i="9"/>
  <c r="BV118" i="9"/>
  <c r="BR119" i="9"/>
  <c r="BS119" i="9"/>
  <c r="BT119" i="9"/>
  <c r="BU119" i="9"/>
  <c r="BV119" i="9"/>
  <c r="BR120" i="9"/>
  <c r="BS120" i="9"/>
  <c r="BT120" i="9"/>
  <c r="BU120" i="9"/>
  <c r="BV120" i="9"/>
  <c r="BR121" i="9"/>
  <c r="BS121" i="9"/>
  <c r="BT121" i="9"/>
  <c r="BU121" i="9"/>
  <c r="BV121" i="9"/>
  <c r="BR122" i="9"/>
  <c r="BS122" i="9"/>
  <c r="BT122" i="9"/>
  <c r="BU122" i="9"/>
  <c r="BV122" i="9"/>
  <c r="BR123" i="9"/>
  <c r="BS123" i="9"/>
  <c r="BT123" i="9"/>
  <c r="BU123" i="9"/>
  <c r="BV123" i="9"/>
  <c r="BR124" i="9"/>
  <c r="BS124" i="9"/>
  <c r="BT124" i="9"/>
  <c r="BU124" i="9"/>
  <c r="BV124" i="9"/>
  <c r="BR125" i="9"/>
  <c r="BS125" i="9"/>
  <c r="BT125" i="9"/>
  <c r="BU125" i="9"/>
  <c r="BV125" i="9"/>
  <c r="BR126" i="9"/>
  <c r="BS126" i="9"/>
  <c r="BT126" i="9"/>
  <c r="BU126" i="9"/>
  <c r="BV126" i="9"/>
  <c r="BR127" i="9"/>
  <c r="BS127" i="9"/>
  <c r="BT127" i="9"/>
  <c r="BU127" i="9"/>
  <c r="BV127" i="9"/>
  <c r="BR128" i="9"/>
  <c r="BS128" i="9"/>
  <c r="BT128" i="9"/>
  <c r="BU128" i="9"/>
  <c r="BV128" i="9"/>
  <c r="BR129" i="9"/>
  <c r="BS129" i="9"/>
  <c r="BT129" i="9"/>
  <c r="BU129" i="9"/>
  <c r="BV129" i="9"/>
  <c r="BR130" i="9"/>
  <c r="BS130" i="9"/>
  <c r="BT130" i="9"/>
  <c r="BU130" i="9"/>
  <c r="BV130" i="9"/>
  <c r="BR131" i="9"/>
  <c r="BS131" i="9"/>
  <c r="BT131" i="9"/>
  <c r="BU131" i="9"/>
  <c r="BV131" i="9"/>
  <c r="BR132" i="9"/>
  <c r="BS132" i="9"/>
  <c r="BT132" i="9"/>
  <c r="BU132" i="9"/>
  <c r="BV132" i="9"/>
  <c r="BR133" i="9"/>
  <c r="BS133" i="9"/>
  <c r="BT133" i="9"/>
  <c r="BU133" i="9"/>
  <c r="BV133" i="9"/>
  <c r="BR134" i="9"/>
  <c r="BS134" i="9"/>
  <c r="BT134" i="9"/>
  <c r="BU134" i="9"/>
  <c r="BV134" i="9"/>
  <c r="BR135" i="9"/>
  <c r="BS135" i="9"/>
  <c r="BT135" i="9"/>
  <c r="BU135" i="9"/>
  <c r="BV135" i="9"/>
  <c r="BR136" i="9"/>
  <c r="BS136" i="9"/>
  <c r="BT136" i="9"/>
  <c r="BU136" i="9"/>
  <c r="BV136" i="9"/>
  <c r="BR137" i="9"/>
  <c r="BS137" i="9"/>
  <c r="BT137" i="9"/>
  <c r="BU137" i="9"/>
  <c r="BV137" i="9"/>
  <c r="BR138" i="9"/>
  <c r="BS138" i="9"/>
  <c r="BT138" i="9"/>
  <c r="BU138" i="9"/>
  <c r="BV138" i="9"/>
  <c r="BR139" i="9"/>
  <c r="BS139" i="9"/>
  <c r="BT139" i="9"/>
  <c r="BU139" i="9"/>
  <c r="BV139" i="9"/>
  <c r="BR140" i="9"/>
  <c r="BS140" i="9"/>
  <c r="BT140" i="9"/>
  <c r="BU140" i="9"/>
  <c r="BV140" i="9"/>
  <c r="BR141" i="9"/>
  <c r="BS141" i="9"/>
  <c r="BT141" i="9"/>
  <c r="BU141" i="9"/>
  <c r="BV141" i="9"/>
  <c r="BR142" i="9"/>
  <c r="BS142" i="9"/>
  <c r="BT142" i="9"/>
  <c r="BU142" i="9"/>
  <c r="BV142" i="9"/>
  <c r="BR143" i="9"/>
  <c r="BS143" i="9"/>
  <c r="BT143" i="9"/>
  <c r="BU143" i="9"/>
  <c r="BV143" i="9"/>
  <c r="BR144" i="9"/>
  <c r="BS144" i="9"/>
  <c r="BT144" i="9"/>
  <c r="BU144" i="9"/>
  <c r="BV144" i="9"/>
  <c r="BR145" i="9"/>
  <c r="BS145" i="9"/>
  <c r="BT145" i="9"/>
  <c r="BU145" i="9"/>
  <c r="BV145" i="9"/>
  <c r="BR146" i="9"/>
  <c r="BS146" i="9"/>
  <c r="BT146" i="9"/>
  <c r="BU146" i="9"/>
  <c r="BV146" i="9"/>
  <c r="BR147" i="9"/>
  <c r="BS147" i="9"/>
  <c r="BT147" i="9"/>
  <c r="BU147" i="9"/>
  <c r="BV147" i="9"/>
  <c r="BR148" i="9"/>
  <c r="BS148" i="9"/>
  <c r="BT148" i="9"/>
  <c r="BU148" i="9"/>
  <c r="BV148" i="9"/>
  <c r="BR149" i="9"/>
  <c r="BS149" i="9"/>
  <c r="BT149" i="9"/>
  <c r="BU149" i="9"/>
  <c r="BV149" i="9"/>
  <c r="BR150" i="9"/>
  <c r="BS150" i="9"/>
  <c r="BT150" i="9"/>
  <c r="BU150" i="9"/>
  <c r="BV150" i="9"/>
  <c r="BR151" i="9"/>
  <c r="BS151" i="9"/>
  <c r="BT151" i="9"/>
  <c r="BU151" i="9"/>
  <c r="BV151" i="9"/>
  <c r="BR152" i="9"/>
  <c r="BS152" i="9"/>
  <c r="BT152" i="9"/>
  <c r="BU152" i="9"/>
  <c r="BV152" i="9"/>
  <c r="BR153" i="9"/>
  <c r="BS153" i="9"/>
  <c r="BT153" i="9"/>
  <c r="BU153" i="9"/>
  <c r="BV153" i="9"/>
  <c r="BR154" i="9"/>
  <c r="BS154" i="9"/>
  <c r="BT154" i="9"/>
  <c r="BU154" i="9"/>
  <c r="BV154" i="9"/>
  <c r="BR155" i="9"/>
  <c r="BS155" i="9"/>
  <c r="BT155" i="9"/>
  <c r="BU155" i="9"/>
  <c r="BV155" i="9"/>
  <c r="BR156" i="9"/>
  <c r="BS156" i="9"/>
  <c r="BT156" i="9"/>
  <c r="BU156" i="9"/>
  <c r="BV156" i="9"/>
  <c r="BR157" i="9"/>
  <c r="BS157" i="9"/>
  <c r="BT157" i="9"/>
  <c r="BU157" i="9"/>
  <c r="BV157" i="9"/>
  <c r="BR158" i="9"/>
  <c r="BS158" i="9"/>
  <c r="BT158" i="9"/>
  <c r="BU158" i="9"/>
  <c r="BV158" i="9"/>
  <c r="BR159" i="9"/>
  <c r="BS159" i="9"/>
  <c r="BT159" i="9"/>
  <c r="BU159" i="9"/>
  <c r="BV159" i="9"/>
  <c r="BR160" i="9"/>
  <c r="BS160" i="9"/>
  <c r="BT160" i="9"/>
  <c r="BU160" i="9"/>
  <c r="BV160" i="9"/>
  <c r="BR161" i="9"/>
  <c r="BS161" i="9"/>
  <c r="BT161" i="9"/>
  <c r="BU161" i="9"/>
  <c r="BV161" i="9"/>
  <c r="AO165" i="31"/>
  <c r="BR162" i="9"/>
  <c r="BS162" i="9"/>
  <c r="BT162" i="9"/>
  <c r="BU162" i="9"/>
  <c r="BV162" i="9"/>
  <c r="BR163" i="9"/>
  <c r="BS163" i="9"/>
  <c r="BT163" i="9"/>
  <c r="BU163" i="9"/>
  <c r="BV163" i="9"/>
  <c r="BR164" i="9"/>
  <c r="BS164" i="9"/>
  <c r="BT164" i="9"/>
  <c r="BU164" i="9"/>
  <c r="BV164" i="9"/>
  <c r="D20" i="2"/>
  <c r="AO190" i="6"/>
  <c r="AP190" i="6"/>
  <c r="AQ190" i="6"/>
  <c r="AR190" i="6"/>
  <c r="AS190" i="6"/>
  <c r="AO191" i="6"/>
  <c r="AP191" i="6"/>
  <c r="AQ191" i="6"/>
  <c r="AR191" i="6"/>
  <c r="AS191" i="6"/>
  <c r="AO192" i="6"/>
  <c r="AP192" i="6"/>
  <c r="AQ192" i="6"/>
  <c r="AR192" i="6"/>
  <c r="AS192" i="6"/>
  <c r="AO193" i="6"/>
  <c r="AP193" i="6"/>
  <c r="AQ193" i="6"/>
  <c r="AR193" i="6"/>
  <c r="AS193" i="6"/>
  <c r="AO194" i="6"/>
  <c r="AP194" i="6"/>
  <c r="AQ194" i="6"/>
  <c r="AR194" i="6"/>
  <c r="AS194" i="6"/>
  <c r="AO195" i="6"/>
  <c r="AP195" i="6"/>
  <c r="AQ195" i="6"/>
  <c r="AR195" i="6"/>
  <c r="AS195" i="6"/>
  <c r="AO196" i="6"/>
  <c r="AP196" i="6"/>
  <c r="AQ196" i="6"/>
  <c r="AR196" i="6"/>
  <c r="AS196" i="6"/>
  <c r="AO197" i="6"/>
  <c r="AP197" i="6"/>
  <c r="AQ197" i="6"/>
  <c r="AR197" i="6"/>
  <c r="AS197" i="6"/>
  <c r="AO198" i="6"/>
  <c r="AP198" i="6"/>
  <c r="AQ198" i="6"/>
  <c r="AR198" i="6"/>
  <c r="AS198" i="6"/>
  <c r="AO199" i="6"/>
  <c r="AP199" i="6"/>
  <c r="AQ199" i="6"/>
  <c r="AR199" i="6"/>
  <c r="AS199" i="6"/>
  <c r="AO200" i="6"/>
  <c r="AP200" i="6"/>
  <c r="AQ200" i="6"/>
  <c r="AR200" i="6"/>
  <c r="AS200" i="6"/>
  <c r="AO201" i="6"/>
  <c r="AP201" i="6"/>
  <c r="AQ201" i="6"/>
  <c r="AR201" i="6"/>
  <c r="AS201" i="6"/>
  <c r="AO202" i="6"/>
  <c r="AP202" i="6"/>
  <c r="AQ202" i="6"/>
  <c r="AR202" i="6"/>
  <c r="AS202" i="6"/>
  <c r="AO203" i="6"/>
  <c r="AP203" i="6"/>
  <c r="AQ203" i="6"/>
  <c r="AR203" i="6"/>
  <c r="AS203" i="6"/>
  <c r="AO204" i="6"/>
  <c r="AP204" i="6"/>
  <c r="AQ204" i="6"/>
  <c r="AR204" i="6"/>
  <c r="AS204" i="6"/>
  <c r="AO205" i="6"/>
  <c r="AP205" i="6"/>
  <c r="AQ205" i="6"/>
  <c r="AR205" i="6"/>
  <c r="AS205" i="6"/>
  <c r="AO206" i="6"/>
  <c r="AP206" i="6"/>
  <c r="AQ206" i="6"/>
  <c r="AR206" i="6"/>
  <c r="AS206" i="6"/>
  <c r="AO207" i="6"/>
  <c r="AP207" i="6"/>
  <c r="AQ207" i="6"/>
  <c r="AR207" i="6"/>
  <c r="AS207" i="6"/>
  <c r="AO208" i="6"/>
  <c r="AP208" i="6"/>
  <c r="AQ208" i="6"/>
  <c r="AR208" i="6"/>
  <c r="AS208" i="6"/>
  <c r="AO209" i="6"/>
  <c r="AP209" i="6"/>
  <c r="AQ209" i="6"/>
  <c r="AR209" i="6"/>
  <c r="AS209" i="6"/>
  <c r="AO210" i="6"/>
  <c r="AP210" i="6"/>
  <c r="AQ210" i="6"/>
  <c r="AR210" i="6"/>
  <c r="AS210" i="6"/>
  <c r="AO211" i="6"/>
  <c r="AP211" i="6"/>
  <c r="AQ211" i="6"/>
  <c r="AR211" i="6"/>
  <c r="AS211" i="6"/>
  <c r="AO212" i="6"/>
  <c r="AP212" i="6"/>
  <c r="AQ212" i="6"/>
  <c r="AR212" i="6"/>
  <c r="AS212" i="6"/>
  <c r="AO213" i="6"/>
  <c r="AP213" i="6"/>
  <c r="AQ213" i="6"/>
  <c r="AR213" i="6"/>
  <c r="AS213" i="6"/>
  <c r="AO214" i="6"/>
  <c r="AP214" i="6"/>
  <c r="AQ214" i="6"/>
  <c r="AR214" i="6"/>
  <c r="AS214" i="6"/>
  <c r="AO215" i="6"/>
  <c r="AP215" i="6"/>
  <c r="AQ215" i="6"/>
  <c r="AR215" i="6"/>
  <c r="AS215" i="6"/>
  <c r="AO216" i="6"/>
  <c r="AP216" i="6"/>
  <c r="AQ216" i="6"/>
  <c r="AR216" i="6"/>
  <c r="AS216" i="6"/>
  <c r="AO217" i="6"/>
  <c r="AP217" i="6"/>
  <c r="AQ217" i="6"/>
  <c r="AR217" i="6"/>
  <c r="AS217" i="6"/>
  <c r="AO218" i="6"/>
  <c r="AP218" i="6"/>
  <c r="AQ218" i="6"/>
  <c r="AR218" i="6"/>
  <c r="AS218" i="6"/>
  <c r="AO219" i="6"/>
  <c r="AP219" i="6"/>
  <c r="AQ219" i="6"/>
  <c r="AR219" i="6"/>
  <c r="AS219" i="6"/>
  <c r="AO220" i="6"/>
  <c r="AP220" i="6"/>
  <c r="AQ220" i="6"/>
  <c r="AR220" i="6"/>
  <c r="AS220" i="6"/>
  <c r="AO221" i="6"/>
  <c r="AP221" i="6"/>
  <c r="AQ221" i="6"/>
  <c r="AR221" i="6"/>
  <c r="AS221" i="6"/>
  <c r="AO222" i="6"/>
  <c r="AP222" i="6"/>
  <c r="AQ222" i="6"/>
  <c r="AR222" i="6"/>
  <c r="AS222" i="6"/>
  <c r="AO223" i="6"/>
  <c r="AP223" i="6"/>
  <c r="AQ223" i="6"/>
  <c r="AR223" i="6"/>
  <c r="AS223" i="6"/>
  <c r="AO224" i="6"/>
  <c r="AP224" i="6"/>
  <c r="AQ224" i="6"/>
  <c r="AR224" i="6"/>
  <c r="AS224" i="6"/>
  <c r="AO225" i="6"/>
  <c r="AP225" i="6"/>
  <c r="AQ225" i="6"/>
  <c r="AR225" i="6"/>
  <c r="AS225" i="6"/>
  <c r="AO226" i="6"/>
  <c r="AP226" i="6"/>
  <c r="AQ226" i="6"/>
  <c r="AR226" i="6"/>
  <c r="AS226" i="6"/>
  <c r="AO227" i="6"/>
  <c r="AP227" i="6"/>
  <c r="AQ227" i="6"/>
  <c r="AR227" i="6"/>
  <c r="AS227" i="6"/>
  <c r="AO228" i="6"/>
  <c r="AP228" i="6"/>
  <c r="AQ228" i="6"/>
  <c r="AR228" i="6"/>
  <c r="AS228" i="6"/>
  <c r="AO229" i="6"/>
  <c r="AP229" i="6"/>
  <c r="AQ229" i="6"/>
  <c r="AR229" i="6"/>
  <c r="AS229" i="6"/>
  <c r="AO230" i="6"/>
  <c r="AP230" i="6"/>
  <c r="AQ230" i="6"/>
  <c r="AR230" i="6"/>
  <c r="AS230" i="6"/>
  <c r="AO231" i="6"/>
  <c r="AP231" i="6"/>
  <c r="AQ231" i="6"/>
  <c r="AR231" i="6"/>
  <c r="AS231" i="6"/>
  <c r="AO232" i="6"/>
  <c r="AP232" i="6"/>
  <c r="AQ232" i="6"/>
  <c r="AR232" i="6"/>
  <c r="AS232" i="6"/>
  <c r="AO233" i="6"/>
  <c r="AP233" i="6"/>
  <c r="AQ233" i="6"/>
  <c r="AR233" i="6"/>
  <c r="AS233" i="6"/>
  <c r="AO234" i="6"/>
  <c r="AP234" i="6"/>
  <c r="AQ234" i="6"/>
  <c r="AR234" i="6"/>
  <c r="AS234" i="6"/>
  <c r="AO235" i="6"/>
  <c r="AP235" i="6"/>
  <c r="AQ235" i="6"/>
  <c r="AR235" i="6"/>
  <c r="AS235" i="6"/>
  <c r="AO236" i="6"/>
  <c r="AP236" i="6"/>
  <c r="AQ236" i="6"/>
  <c r="AR236" i="6"/>
  <c r="AS236" i="6"/>
  <c r="AO237" i="6"/>
  <c r="AP237" i="6"/>
  <c r="AQ237" i="6"/>
  <c r="AR237" i="6"/>
  <c r="AS237" i="6"/>
  <c r="AO238" i="6"/>
  <c r="AP238" i="6"/>
  <c r="AQ238" i="6"/>
  <c r="AR238" i="6"/>
  <c r="AS238" i="6"/>
  <c r="AO239" i="6"/>
  <c r="AP239" i="6"/>
  <c r="AQ239" i="6"/>
  <c r="AR239" i="6"/>
  <c r="AS239" i="6"/>
  <c r="AO240" i="6"/>
  <c r="AP240" i="6"/>
  <c r="AQ240" i="6"/>
  <c r="AR240" i="6"/>
  <c r="AS240" i="6"/>
  <c r="AO241" i="6"/>
  <c r="AP241" i="6"/>
  <c r="AQ241" i="6"/>
  <c r="AR241" i="6"/>
  <c r="AS241" i="6"/>
  <c r="AO242" i="6"/>
  <c r="AP242" i="6"/>
  <c r="AQ242" i="6"/>
  <c r="AR242" i="6"/>
  <c r="AS242" i="6"/>
  <c r="AO243" i="6"/>
  <c r="AP243" i="6"/>
  <c r="AQ243" i="6"/>
  <c r="AR243" i="6"/>
  <c r="AS243" i="6"/>
  <c r="AO244" i="6"/>
  <c r="AP244" i="6"/>
  <c r="AQ244" i="6"/>
  <c r="AR244" i="6"/>
  <c r="AS244" i="6"/>
  <c r="AO245" i="6"/>
  <c r="AP245" i="6"/>
  <c r="AQ245" i="6"/>
  <c r="AR245" i="6"/>
  <c r="AS245" i="6"/>
  <c r="AO246" i="6"/>
  <c r="AP246" i="6"/>
  <c r="AQ246" i="6"/>
  <c r="AR246" i="6"/>
  <c r="AS246" i="6"/>
  <c r="AO247" i="6"/>
  <c r="AP247" i="6"/>
  <c r="AQ247" i="6"/>
  <c r="AR247" i="6"/>
  <c r="AS247" i="6"/>
  <c r="AO248" i="6"/>
  <c r="AP248" i="6"/>
  <c r="AQ248" i="6"/>
  <c r="AR248" i="6"/>
  <c r="AS248" i="6"/>
  <c r="AO249" i="6"/>
  <c r="AP249" i="6"/>
  <c r="AQ249" i="6"/>
  <c r="AR249" i="6"/>
  <c r="AS249" i="6"/>
  <c r="AO250" i="6"/>
  <c r="AP250" i="6"/>
  <c r="AQ250" i="6"/>
  <c r="AR250" i="6"/>
  <c r="AS250" i="6"/>
  <c r="AO251" i="6"/>
  <c r="AP251" i="6"/>
  <c r="AQ251" i="6"/>
  <c r="AR251" i="6"/>
  <c r="AS251" i="6"/>
  <c r="AO252" i="6"/>
  <c r="AP252" i="6"/>
  <c r="AQ252" i="6"/>
  <c r="AR252" i="6"/>
  <c r="AS252" i="6"/>
  <c r="AO253" i="6"/>
  <c r="AP253" i="6"/>
  <c r="AQ253" i="6"/>
  <c r="AR253" i="6"/>
  <c r="AS253" i="6"/>
  <c r="AO254" i="6"/>
  <c r="AP254" i="6"/>
  <c r="AQ254" i="6"/>
  <c r="AR254" i="6"/>
  <c r="AS254" i="6"/>
  <c r="AO255" i="6"/>
  <c r="AP255" i="6"/>
  <c r="AQ255" i="6"/>
  <c r="AR255" i="6"/>
  <c r="AS255" i="6"/>
  <c r="AO256" i="6"/>
  <c r="AP256" i="6"/>
  <c r="AQ256" i="6"/>
  <c r="AR256" i="6"/>
  <c r="AS256" i="6"/>
  <c r="AO257" i="6"/>
  <c r="AP257" i="6"/>
  <c r="AQ257" i="6"/>
  <c r="AR257" i="6"/>
  <c r="AS257" i="6"/>
  <c r="AO258" i="6"/>
  <c r="AP258" i="6"/>
  <c r="AQ258" i="6"/>
  <c r="AR258" i="6"/>
  <c r="AS258" i="6"/>
  <c r="AO259" i="6"/>
  <c r="AP259" i="6"/>
  <c r="AQ259" i="6"/>
  <c r="AR259" i="6"/>
  <c r="AS259" i="6"/>
  <c r="AO260" i="6"/>
  <c r="AP260" i="6"/>
  <c r="AQ260" i="6"/>
  <c r="AR260" i="6"/>
  <c r="AS260" i="6"/>
  <c r="AO261" i="6"/>
  <c r="AP261" i="6"/>
  <c r="AQ261" i="6"/>
  <c r="AR261" i="6"/>
  <c r="AS261" i="6"/>
  <c r="AO262" i="6"/>
  <c r="AP262" i="6"/>
  <c r="AQ262" i="6"/>
  <c r="AR262" i="6"/>
  <c r="AS262" i="6"/>
  <c r="AO263" i="6"/>
  <c r="AP263" i="6"/>
  <c r="AQ263" i="6"/>
  <c r="AR263" i="6"/>
  <c r="AS263" i="6"/>
  <c r="AO264" i="6"/>
  <c r="AP264" i="6"/>
  <c r="AQ264" i="6"/>
  <c r="AR264" i="6"/>
  <c r="AS264" i="6"/>
  <c r="AO265" i="6"/>
  <c r="AP265" i="6"/>
  <c r="AQ265" i="6"/>
  <c r="AR265" i="6"/>
  <c r="AS265" i="6"/>
  <c r="AO266" i="6"/>
  <c r="AP266" i="6"/>
  <c r="AQ266" i="6"/>
  <c r="AR266" i="6"/>
  <c r="AS266" i="6"/>
  <c r="AO267" i="6"/>
  <c r="AP267" i="6"/>
  <c r="AQ267" i="6"/>
  <c r="AR267" i="6"/>
  <c r="AS267" i="6"/>
  <c r="AO268" i="6"/>
  <c r="AP268" i="6"/>
  <c r="AQ268" i="6"/>
  <c r="AR268" i="6"/>
  <c r="AS268" i="6"/>
  <c r="AO269" i="6"/>
  <c r="AP269" i="6"/>
  <c r="AQ269" i="6"/>
  <c r="AR269" i="6"/>
  <c r="AS269" i="6"/>
  <c r="AO270" i="6"/>
  <c r="AP270" i="6"/>
  <c r="AQ270" i="6"/>
  <c r="AR270" i="6"/>
  <c r="AS270" i="6"/>
  <c r="AO271" i="6"/>
  <c r="AP271" i="6"/>
  <c r="AQ271" i="6"/>
  <c r="AR271" i="6"/>
  <c r="AS271" i="6"/>
  <c r="AO272" i="6"/>
  <c r="AP272" i="6"/>
  <c r="AQ272" i="6"/>
  <c r="AR272" i="6"/>
  <c r="AS272" i="6"/>
  <c r="AO273" i="6"/>
  <c r="AP273" i="6"/>
  <c r="AQ273" i="6"/>
  <c r="AR273" i="6"/>
  <c r="AS273" i="6"/>
  <c r="AO274" i="6"/>
  <c r="AP274" i="6"/>
  <c r="AQ274" i="6"/>
  <c r="AR274" i="6"/>
  <c r="AS274" i="6"/>
  <c r="AO275" i="6"/>
  <c r="AP275" i="6"/>
  <c r="AQ275" i="6"/>
  <c r="AR275" i="6"/>
  <c r="AS275" i="6"/>
  <c r="AO276" i="6"/>
  <c r="AP276" i="6"/>
  <c r="AQ276" i="6"/>
  <c r="AR276" i="6"/>
  <c r="AS276" i="6"/>
  <c r="AO277" i="6"/>
  <c r="AP277" i="6"/>
  <c r="AQ277" i="6"/>
  <c r="AR277" i="6"/>
  <c r="AS277" i="6"/>
  <c r="AO278" i="6"/>
  <c r="AP278" i="6"/>
  <c r="AQ278" i="6"/>
  <c r="AR278" i="6"/>
  <c r="AS278" i="6"/>
  <c r="AO279" i="6"/>
  <c r="AP279" i="6"/>
  <c r="AQ279" i="6"/>
  <c r="AR279" i="6"/>
  <c r="AS279" i="6"/>
  <c r="AO280" i="6"/>
  <c r="AP280" i="6"/>
  <c r="AQ280" i="6"/>
  <c r="AR280" i="6"/>
  <c r="AS280" i="6"/>
  <c r="AO281" i="6"/>
  <c r="AP281" i="6"/>
  <c r="AQ281" i="6"/>
  <c r="AR281" i="6"/>
  <c r="AS281" i="6"/>
  <c r="AO282" i="6"/>
  <c r="AP282" i="6"/>
  <c r="AQ282" i="6"/>
  <c r="AR282" i="6"/>
  <c r="AS282" i="6"/>
  <c r="AO283" i="6"/>
  <c r="AP283" i="6"/>
  <c r="AQ283" i="6"/>
  <c r="AR283" i="6"/>
  <c r="AS283" i="6"/>
  <c r="AO284" i="6"/>
  <c r="AP284" i="6"/>
  <c r="AQ284" i="6"/>
  <c r="AR284" i="6"/>
  <c r="AS284" i="6"/>
  <c r="AO285" i="6"/>
  <c r="AP285" i="6"/>
  <c r="AQ285" i="6"/>
  <c r="AR285" i="6"/>
  <c r="AS285" i="6"/>
  <c r="AO286" i="6"/>
  <c r="AP286" i="6"/>
  <c r="AQ286" i="6"/>
  <c r="AR286" i="6"/>
  <c r="AS286" i="6"/>
  <c r="AO287" i="6"/>
  <c r="AP287" i="6"/>
  <c r="AQ287" i="6"/>
  <c r="AR287" i="6"/>
  <c r="AS287" i="6"/>
  <c r="AO288" i="6"/>
  <c r="AP288" i="6"/>
  <c r="AQ288" i="6"/>
  <c r="AR288" i="6"/>
  <c r="AS288" i="6"/>
  <c r="AO289" i="6"/>
  <c r="AP289" i="6"/>
  <c r="AQ289" i="6"/>
  <c r="AR289" i="6"/>
  <c r="AS289" i="6"/>
  <c r="AO290" i="6"/>
  <c r="AP290" i="6"/>
  <c r="AQ290" i="6"/>
  <c r="AR290" i="6"/>
  <c r="AS290" i="6"/>
  <c r="AO291" i="6"/>
  <c r="AP291" i="6"/>
  <c r="AQ291" i="6"/>
  <c r="AR291" i="6"/>
  <c r="AS291" i="6"/>
  <c r="AO292" i="6"/>
  <c r="AP292" i="6"/>
  <c r="AQ292" i="6"/>
  <c r="AR292" i="6"/>
  <c r="AS292" i="6"/>
  <c r="AO293" i="6"/>
  <c r="AP293" i="6"/>
  <c r="AQ293" i="6"/>
  <c r="AR293" i="6"/>
  <c r="AS293" i="6"/>
  <c r="AO294" i="6"/>
  <c r="AP294" i="6"/>
  <c r="AQ294" i="6"/>
  <c r="AR294" i="6"/>
  <c r="AS294" i="6"/>
  <c r="AO295" i="6"/>
  <c r="AP295" i="6"/>
  <c r="AQ295" i="6"/>
  <c r="AR295" i="6"/>
  <c r="AS295" i="6"/>
  <c r="AO296" i="6"/>
  <c r="AP296" i="6"/>
  <c r="AQ296" i="6"/>
  <c r="AR296" i="6"/>
  <c r="AS296" i="6"/>
  <c r="AO297" i="6"/>
  <c r="AP297" i="6"/>
  <c r="AQ297" i="6"/>
  <c r="AR297" i="6"/>
  <c r="AS297" i="6"/>
  <c r="AO298" i="6"/>
  <c r="AP298" i="6"/>
  <c r="AQ298" i="6"/>
  <c r="AR298" i="6"/>
  <c r="AS298" i="6"/>
  <c r="AO299" i="6"/>
  <c r="AP299" i="6"/>
  <c r="AQ299" i="6"/>
  <c r="AR299" i="6"/>
  <c r="AS299" i="6"/>
  <c r="AO300" i="6"/>
  <c r="AP300" i="6"/>
  <c r="AQ300" i="6"/>
  <c r="AR300" i="6"/>
  <c r="AS300" i="6"/>
  <c r="AO301" i="6"/>
  <c r="AP301" i="6"/>
  <c r="AQ301" i="6"/>
  <c r="AR301" i="6"/>
  <c r="AS301" i="6"/>
  <c r="AO302" i="6"/>
  <c r="AP302" i="6"/>
  <c r="AQ302" i="6"/>
  <c r="AR302" i="6"/>
  <c r="AS302" i="6"/>
  <c r="AO303" i="6"/>
  <c r="AP303" i="6"/>
  <c r="AQ303" i="6"/>
  <c r="AR303" i="6"/>
  <c r="AS303" i="6"/>
  <c r="AO304" i="6"/>
  <c r="AP304" i="6"/>
  <c r="AQ304" i="6"/>
  <c r="AR304" i="6"/>
  <c r="AS304" i="6"/>
  <c r="AO305" i="6"/>
  <c r="AP305" i="6"/>
  <c r="AQ305" i="6"/>
  <c r="AR305" i="6"/>
  <c r="AS305" i="6"/>
  <c r="AO306" i="6"/>
  <c r="AP306" i="6"/>
  <c r="AQ306" i="6"/>
  <c r="AR306" i="6"/>
  <c r="AS306" i="6"/>
  <c r="AO307" i="6"/>
  <c r="AP307" i="6"/>
  <c r="AQ307" i="6"/>
  <c r="AR307" i="6"/>
  <c r="AS307" i="6"/>
  <c r="AO308" i="6"/>
  <c r="AP308" i="6"/>
  <c r="AQ308" i="6"/>
  <c r="AR308" i="6"/>
  <c r="AS308" i="6"/>
  <c r="AO309" i="6"/>
  <c r="AP309" i="6"/>
  <c r="AQ309" i="6"/>
  <c r="AR309" i="6"/>
  <c r="AS309" i="6"/>
  <c r="AO310" i="6"/>
  <c r="AP310" i="6"/>
  <c r="AQ310" i="6"/>
  <c r="AR310" i="6"/>
  <c r="AS310" i="6"/>
  <c r="AO311" i="6"/>
  <c r="AP311" i="6"/>
  <c r="AQ311" i="6"/>
  <c r="AR311" i="6"/>
  <c r="AS311" i="6"/>
  <c r="AO312" i="6"/>
  <c r="AP312" i="6"/>
  <c r="AQ312" i="6"/>
  <c r="AR312" i="6"/>
  <c r="AS312" i="6"/>
  <c r="AO313" i="6"/>
  <c r="AP313" i="6"/>
  <c r="AQ313" i="6"/>
  <c r="AR313" i="6"/>
  <c r="AS313" i="6"/>
  <c r="AO314" i="6"/>
  <c r="AP314" i="6"/>
  <c r="AQ314" i="6"/>
  <c r="AR314" i="6"/>
  <c r="AS314" i="6"/>
  <c r="AO315" i="6"/>
  <c r="AP315" i="6"/>
  <c r="AQ315" i="6"/>
  <c r="AR315" i="6"/>
  <c r="AS315" i="6"/>
  <c r="AO316" i="6"/>
  <c r="AP316" i="6"/>
  <c r="AQ316" i="6"/>
  <c r="AR316" i="6"/>
  <c r="AS316" i="6"/>
  <c r="AO317" i="6"/>
  <c r="AP317" i="6"/>
  <c r="AQ317" i="6"/>
  <c r="AR317" i="6"/>
  <c r="AS317" i="6"/>
  <c r="AO318" i="6"/>
  <c r="AP318" i="6"/>
  <c r="AQ318" i="6"/>
  <c r="AR318" i="6"/>
  <c r="AS318" i="6"/>
  <c r="AO319" i="6"/>
  <c r="AP319" i="6"/>
  <c r="AQ319" i="6"/>
  <c r="AR319" i="6"/>
  <c r="AS319" i="6"/>
  <c r="AO320" i="6"/>
  <c r="AP320" i="6"/>
  <c r="AQ320" i="6"/>
  <c r="AR320" i="6"/>
  <c r="AS320" i="6"/>
  <c r="AO321" i="6"/>
  <c r="AP321" i="6"/>
  <c r="AQ321" i="6"/>
  <c r="AR321" i="6"/>
  <c r="AS321" i="6"/>
  <c r="AO322" i="6"/>
  <c r="AP322" i="6"/>
  <c r="AQ322" i="6"/>
  <c r="AR322" i="6"/>
  <c r="AS322" i="6"/>
  <c r="AO323" i="6"/>
  <c r="AP323" i="6"/>
  <c r="AQ323" i="6"/>
  <c r="AR323" i="6"/>
  <c r="AS323" i="6"/>
  <c r="AO324" i="6"/>
  <c r="AP324" i="6"/>
  <c r="AQ324" i="6"/>
  <c r="AR324" i="6"/>
  <c r="AS324" i="6"/>
  <c r="AO325" i="6"/>
  <c r="AP325" i="6"/>
  <c r="AQ325" i="6"/>
  <c r="AR325" i="6"/>
  <c r="AS325" i="6"/>
  <c r="AO326" i="6"/>
  <c r="AP326" i="6"/>
  <c r="AQ326" i="6"/>
  <c r="AR326" i="6"/>
  <c r="AS326" i="6"/>
  <c r="AO327" i="6"/>
  <c r="AP327" i="6"/>
  <c r="AQ327" i="6"/>
  <c r="AR327" i="6"/>
  <c r="AS327" i="6"/>
  <c r="AO328" i="6"/>
  <c r="AP328" i="6"/>
  <c r="AQ328" i="6"/>
  <c r="AR328" i="6"/>
  <c r="AS328" i="6"/>
  <c r="AO329" i="6"/>
  <c r="AP329" i="6"/>
  <c r="AQ329" i="6"/>
  <c r="AR329" i="6"/>
  <c r="AS329" i="6"/>
  <c r="AO330" i="6"/>
  <c r="AP330" i="6"/>
  <c r="AQ330" i="6"/>
  <c r="AR330" i="6"/>
  <c r="AS330" i="6"/>
  <c r="AO331" i="6"/>
  <c r="AP331" i="6"/>
  <c r="AQ331" i="6"/>
  <c r="AR331" i="6"/>
  <c r="AS331" i="6"/>
  <c r="AO332" i="6"/>
  <c r="AP332" i="6"/>
  <c r="AQ332" i="6"/>
  <c r="AR332" i="6"/>
  <c r="AS332" i="6"/>
  <c r="AO333" i="6"/>
  <c r="AP333" i="6"/>
  <c r="AQ333" i="6"/>
  <c r="AR333" i="6"/>
  <c r="AS333" i="6"/>
  <c r="AO334" i="6"/>
  <c r="AP334" i="6"/>
  <c r="AQ334" i="6"/>
  <c r="AR334" i="6"/>
  <c r="AS334" i="6"/>
  <c r="AO335" i="6"/>
  <c r="AP335" i="6"/>
  <c r="AQ335" i="6"/>
  <c r="AR335" i="6"/>
  <c r="AS335" i="6"/>
  <c r="AO336" i="6"/>
  <c r="AP336" i="6"/>
  <c r="AQ336" i="6"/>
  <c r="AR336" i="6"/>
  <c r="AS336" i="6"/>
  <c r="AO337" i="6"/>
  <c r="AP337" i="6"/>
  <c r="AQ337" i="6"/>
  <c r="AR337" i="6"/>
  <c r="AS337" i="6"/>
  <c r="AO338" i="6"/>
  <c r="AP338" i="6"/>
  <c r="AQ338" i="6"/>
  <c r="AR338" i="6"/>
  <c r="AS338" i="6"/>
  <c r="AO339" i="6"/>
  <c r="AP339" i="6"/>
  <c r="AQ339" i="6"/>
  <c r="AR339" i="6"/>
  <c r="AS339" i="6"/>
  <c r="AO340" i="6"/>
  <c r="AP340" i="6"/>
  <c r="AQ340" i="6"/>
  <c r="AR340" i="6"/>
  <c r="AS340" i="6"/>
  <c r="AO341" i="6"/>
  <c r="AP341" i="6"/>
  <c r="AQ341" i="6"/>
  <c r="AR341" i="6"/>
  <c r="AS341" i="6"/>
  <c r="AO342" i="6"/>
  <c r="AP342" i="6"/>
  <c r="AQ342" i="6"/>
  <c r="AR342" i="6"/>
  <c r="AS342" i="6"/>
  <c r="AO343" i="6"/>
  <c r="AP343" i="6"/>
  <c r="AQ343" i="6"/>
  <c r="AR343" i="6"/>
  <c r="AS343" i="6"/>
  <c r="AO344" i="6"/>
  <c r="AP344" i="6"/>
  <c r="AQ344" i="6"/>
  <c r="AR344" i="6"/>
  <c r="AS344" i="6"/>
  <c r="AO345" i="6"/>
  <c r="AP345" i="6"/>
  <c r="AQ345" i="6"/>
  <c r="AR345" i="6"/>
  <c r="AS345" i="6"/>
  <c r="AO346" i="6"/>
  <c r="AP346" i="6"/>
  <c r="AQ346" i="6"/>
  <c r="AR346" i="6"/>
  <c r="AS346" i="6"/>
  <c r="AO347" i="6"/>
  <c r="AP347" i="6"/>
  <c r="AQ347" i="6"/>
  <c r="AR347" i="6"/>
  <c r="AS347" i="6"/>
  <c r="AO348" i="6"/>
  <c r="AP348" i="6"/>
  <c r="AQ348" i="6"/>
  <c r="AR348" i="6"/>
  <c r="AS348" i="6"/>
  <c r="AO349" i="6"/>
  <c r="AP349" i="6"/>
  <c r="AQ349" i="6"/>
  <c r="AR349" i="6"/>
  <c r="AS349" i="6"/>
  <c r="AO350" i="6"/>
  <c r="AP350" i="6"/>
  <c r="AQ350" i="6"/>
  <c r="AR350" i="6"/>
  <c r="AS350" i="6"/>
  <c r="AO351" i="6"/>
  <c r="AP351" i="6"/>
  <c r="AQ351" i="6"/>
  <c r="AR351" i="6"/>
  <c r="AS351" i="6"/>
  <c r="AO352" i="6"/>
  <c r="AP352" i="6"/>
  <c r="AQ352" i="6"/>
  <c r="AR352" i="6"/>
  <c r="AS352" i="6"/>
  <c r="AO353" i="6"/>
  <c r="AP353" i="6"/>
  <c r="AQ353" i="6"/>
  <c r="AR353" i="6"/>
  <c r="AS353" i="6"/>
  <c r="AO354" i="6"/>
  <c r="AP354" i="6"/>
  <c r="AQ354" i="6"/>
  <c r="AR354" i="6"/>
  <c r="AS354" i="6"/>
  <c r="AO355" i="6"/>
  <c r="AP355" i="6"/>
  <c r="AQ355" i="6"/>
  <c r="AR355" i="6"/>
  <c r="AS355" i="6"/>
  <c r="AO356" i="6"/>
  <c r="AP356" i="6"/>
  <c r="AQ356" i="6"/>
  <c r="AR356" i="6"/>
  <c r="AS356" i="6"/>
  <c r="AO357" i="6"/>
  <c r="AP357" i="6"/>
  <c r="AQ357" i="6"/>
  <c r="AR357" i="6"/>
  <c r="AS357" i="6"/>
  <c r="AO358" i="6"/>
  <c r="AP358" i="6"/>
  <c r="AQ358" i="6"/>
  <c r="AR358" i="6"/>
  <c r="AS358" i="6"/>
  <c r="AO359" i="6"/>
  <c r="AP359" i="6"/>
  <c r="AQ359" i="6"/>
  <c r="AR359" i="6"/>
  <c r="AS359" i="6"/>
  <c r="AO360" i="6"/>
  <c r="AP360" i="6"/>
  <c r="AQ360" i="6"/>
  <c r="AR360" i="6"/>
  <c r="AS360" i="6"/>
  <c r="AO361" i="6"/>
  <c r="AP361" i="6"/>
  <c r="AQ361" i="6"/>
  <c r="AR361" i="6"/>
  <c r="AS361" i="6"/>
  <c r="AO362" i="6"/>
  <c r="AP362" i="6"/>
  <c r="AQ362" i="6"/>
  <c r="AR362" i="6"/>
  <c r="AS362" i="6"/>
  <c r="AO363" i="6"/>
  <c r="AP363" i="6"/>
  <c r="AQ363" i="6"/>
  <c r="AR363" i="6"/>
  <c r="AS363" i="6"/>
  <c r="AO54" i="6"/>
  <c r="AP54" i="6"/>
  <c r="AQ54" i="6"/>
  <c r="AR54" i="6"/>
  <c r="AS54" i="6"/>
  <c r="AO55" i="6"/>
  <c r="AP55" i="6"/>
  <c r="AQ55" i="6"/>
  <c r="AR55" i="6"/>
  <c r="AS55" i="6"/>
  <c r="AO56" i="6"/>
  <c r="AP56" i="6"/>
  <c r="AQ56" i="6"/>
  <c r="AR56" i="6"/>
  <c r="AS56" i="6"/>
  <c r="AO57" i="6"/>
  <c r="AP57" i="6"/>
  <c r="AQ57" i="6"/>
  <c r="AR57" i="6"/>
  <c r="AS57" i="6"/>
  <c r="AO58" i="6"/>
  <c r="AP58" i="6"/>
  <c r="AQ58" i="6"/>
  <c r="AR58" i="6"/>
  <c r="AS58" i="6"/>
  <c r="AO59" i="6"/>
  <c r="AP59" i="6"/>
  <c r="AQ59" i="6"/>
  <c r="AR59" i="6"/>
  <c r="AS59" i="6"/>
  <c r="AO60" i="6"/>
  <c r="AP60" i="6"/>
  <c r="AQ60" i="6"/>
  <c r="AR60" i="6"/>
  <c r="AS60" i="6"/>
  <c r="AO61" i="6"/>
  <c r="AP61" i="6"/>
  <c r="AQ61" i="6"/>
  <c r="AR61" i="6"/>
  <c r="AS61" i="6"/>
  <c r="AO62" i="6"/>
  <c r="AP62" i="6"/>
  <c r="AQ62" i="6"/>
  <c r="AR62" i="6"/>
  <c r="AS62" i="6"/>
  <c r="AO63" i="6"/>
  <c r="AP63" i="6"/>
  <c r="AQ63" i="6"/>
  <c r="AR63" i="6"/>
  <c r="AS63" i="6"/>
  <c r="AO64" i="6"/>
  <c r="AP64" i="6"/>
  <c r="AQ64" i="6"/>
  <c r="AR64" i="6"/>
  <c r="AS64" i="6"/>
  <c r="AO65" i="6"/>
  <c r="AP65" i="6"/>
  <c r="AQ65" i="6"/>
  <c r="AR65" i="6"/>
  <c r="AS65" i="6"/>
  <c r="AO66" i="6"/>
  <c r="AP66" i="6"/>
  <c r="AQ66" i="6"/>
  <c r="AR66" i="6"/>
  <c r="AS66" i="6"/>
  <c r="AO67" i="6"/>
  <c r="AP67" i="6"/>
  <c r="AQ67" i="6"/>
  <c r="AR67" i="6"/>
  <c r="AS67" i="6"/>
  <c r="AO68" i="6"/>
  <c r="AP68" i="6"/>
  <c r="AQ68" i="6"/>
  <c r="AR68" i="6"/>
  <c r="AS68" i="6"/>
  <c r="AO69" i="6"/>
  <c r="AP69" i="6"/>
  <c r="AQ69" i="6"/>
  <c r="AR69" i="6"/>
  <c r="AS69" i="6"/>
  <c r="AO70" i="6"/>
  <c r="AP70" i="6"/>
  <c r="AQ70" i="6"/>
  <c r="AR70" i="6"/>
  <c r="AS70" i="6"/>
  <c r="AO71" i="6"/>
  <c r="AP71" i="6"/>
  <c r="AQ71" i="6"/>
  <c r="AR71" i="6"/>
  <c r="AS71" i="6"/>
  <c r="AO72" i="6"/>
  <c r="AP72" i="6"/>
  <c r="AQ72" i="6"/>
  <c r="AR72" i="6"/>
  <c r="AS72" i="6"/>
  <c r="AO73" i="6"/>
  <c r="AP73" i="6"/>
  <c r="AQ73" i="6"/>
  <c r="AR73" i="6"/>
  <c r="AS73" i="6"/>
  <c r="AO74" i="6"/>
  <c r="AP74" i="6"/>
  <c r="AQ74" i="6"/>
  <c r="AR74" i="6"/>
  <c r="AS74" i="6"/>
  <c r="AO75" i="6"/>
  <c r="AP75" i="6"/>
  <c r="AQ75" i="6"/>
  <c r="AR75" i="6"/>
  <c r="AS75" i="6"/>
  <c r="AO76" i="6"/>
  <c r="AP76" i="6"/>
  <c r="AQ76" i="6"/>
  <c r="AR76" i="6"/>
  <c r="AS76" i="6"/>
  <c r="AO77" i="6"/>
  <c r="AP77" i="6"/>
  <c r="AQ77" i="6"/>
  <c r="AR77" i="6"/>
  <c r="AS77" i="6"/>
  <c r="AO78" i="6"/>
  <c r="AP78" i="6"/>
  <c r="AQ78" i="6"/>
  <c r="AR78" i="6"/>
  <c r="AS78" i="6"/>
  <c r="AO79" i="6"/>
  <c r="AP79" i="6"/>
  <c r="AQ79" i="6"/>
  <c r="AR79" i="6"/>
  <c r="AS79" i="6"/>
  <c r="AO80" i="6"/>
  <c r="AP80" i="6"/>
  <c r="AQ80" i="6"/>
  <c r="AR80" i="6"/>
  <c r="AS80" i="6"/>
  <c r="AO81" i="6"/>
  <c r="AP81" i="6"/>
  <c r="AQ81" i="6"/>
  <c r="AR81" i="6"/>
  <c r="AS81" i="6"/>
  <c r="AO82" i="6"/>
  <c r="AP82" i="6"/>
  <c r="AQ82" i="6"/>
  <c r="AR82" i="6"/>
  <c r="AS82" i="6"/>
  <c r="AO83" i="6"/>
  <c r="AP83" i="6"/>
  <c r="AQ83" i="6"/>
  <c r="AR83" i="6"/>
  <c r="AS83" i="6"/>
  <c r="AO84" i="6"/>
  <c r="AP84" i="6"/>
  <c r="AQ84" i="6"/>
  <c r="AR84" i="6"/>
  <c r="AS84" i="6"/>
  <c r="AO85" i="6"/>
  <c r="AP85" i="6"/>
  <c r="AQ85" i="6"/>
  <c r="AR85" i="6"/>
  <c r="AS85" i="6"/>
  <c r="AO86" i="6"/>
  <c r="AP86" i="6"/>
  <c r="AQ86" i="6"/>
  <c r="AR86" i="6"/>
  <c r="AS86" i="6"/>
  <c r="AO87" i="6"/>
  <c r="AP87" i="6"/>
  <c r="AQ87" i="6"/>
  <c r="AR87" i="6"/>
  <c r="AS87" i="6"/>
  <c r="AO88" i="6"/>
  <c r="AP88" i="6"/>
  <c r="AQ88" i="6"/>
  <c r="AR88" i="6"/>
  <c r="AS88" i="6"/>
  <c r="AO89" i="6"/>
  <c r="AP89" i="6"/>
  <c r="AQ89" i="6"/>
  <c r="AR89" i="6"/>
  <c r="AS89" i="6"/>
  <c r="AO90" i="6"/>
  <c r="AP90" i="6"/>
  <c r="AQ90" i="6"/>
  <c r="AR90" i="6"/>
  <c r="AS90" i="6"/>
  <c r="AO91" i="6"/>
  <c r="AP91" i="6"/>
  <c r="AQ91" i="6"/>
  <c r="AR91" i="6"/>
  <c r="AS91" i="6"/>
  <c r="AO92" i="6"/>
  <c r="AP92" i="6"/>
  <c r="AQ92" i="6"/>
  <c r="AR92" i="6"/>
  <c r="AS92" i="6"/>
  <c r="AO93" i="6"/>
  <c r="AP93" i="6"/>
  <c r="AQ93" i="6"/>
  <c r="AR93" i="6"/>
  <c r="AS93" i="6"/>
  <c r="AO94" i="6"/>
  <c r="AP94" i="6"/>
  <c r="AQ94" i="6"/>
  <c r="AR94" i="6"/>
  <c r="AS94" i="6"/>
  <c r="AO95" i="6"/>
  <c r="AP95" i="6"/>
  <c r="AQ95" i="6"/>
  <c r="AR95" i="6"/>
  <c r="AS95" i="6"/>
  <c r="AO96" i="6"/>
  <c r="AP96" i="6"/>
  <c r="AQ96" i="6"/>
  <c r="AR96" i="6"/>
  <c r="AS96" i="6"/>
  <c r="AO97" i="6"/>
  <c r="AP97" i="6"/>
  <c r="AQ97" i="6"/>
  <c r="AR97" i="6"/>
  <c r="AS97" i="6"/>
  <c r="AO98" i="6"/>
  <c r="AP98" i="6"/>
  <c r="AQ98" i="6"/>
  <c r="AR98" i="6"/>
  <c r="AS98" i="6"/>
  <c r="AO99" i="6"/>
  <c r="AP99" i="6"/>
  <c r="AQ99" i="6"/>
  <c r="AR99" i="6"/>
  <c r="AS99" i="6"/>
  <c r="AO100" i="6"/>
  <c r="AP100" i="6"/>
  <c r="AQ100" i="6"/>
  <c r="AR100" i="6"/>
  <c r="AS100" i="6"/>
  <c r="AO101" i="6"/>
  <c r="AP101" i="6"/>
  <c r="AQ101" i="6"/>
  <c r="AR101" i="6"/>
  <c r="AS101" i="6"/>
  <c r="AO102" i="6"/>
  <c r="AP102" i="6"/>
  <c r="AQ102" i="6"/>
  <c r="AR102" i="6"/>
  <c r="AS102" i="6"/>
  <c r="AO103" i="6"/>
  <c r="AP103" i="6"/>
  <c r="AQ103" i="6"/>
  <c r="AR103" i="6"/>
  <c r="AS103" i="6"/>
  <c r="AO104" i="6"/>
  <c r="AP104" i="6"/>
  <c r="AQ104" i="6"/>
  <c r="AR104" i="6"/>
  <c r="AS104" i="6"/>
  <c r="AO105" i="6"/>
  <c r="AP105" i="6"/>
  <c r="AQ105" i="6"/>
  <c r="AR105" i="6"/>
  <c r="AS105" i="6"/>
  <c r="AO106" i="6"/>
  <c r="AP106" i="6"/>
  <c r="AQ106" i="6"/>
  <c r="AR106" i="6"/>
  <c r="AS106" i="6"/>
  <c r="AO107" i="6"/>
  <c r="AP107" i="6"/>
  <c r="AQ107" i="6"/>
  <c r="AR107" i="6"/>
  <c r="AS107" i="6"/>
  <c r="AO108" i="6"/>
  <c r="AP108" i="6"/>
  <c r="AQ108" i="6"/>
  <c r="AR108" i="6"/>
  <c r="AS108" i="6"/>
  <c r="AO109" i="6"/>
  <c r="AP109" i="6"/>
  <c r="AQ109" i="6"/>
  <c r="AR109" i="6"/>
  <c r="AS109" i="6"/>
  <c r="AO110" i="6"/>
  <c r="AP110" i="6"/>
  <c r="AQ110" i="6"/>
  <c r="AR110" i="6"/>
  <c r="AS110" i="6"/>
  <c r="AO111" i="6"/>
  <c r="AP111" i="6"/>
  <c r="AQ111" i="6"/>
  <c r="AR111" i="6"/>
  <c r="AS111" i="6"/>
  <c r="AO112" i="6"/>
  <c r="AP112" i="6"/>
  <c r="AQ112" i="6"/>
  <c r="AR112" i="6"/>
  <c r="AS112" i="6"/>
  <c r="AO113" i="6"/>
  <c r="AP113" i="6"/>
  <c r="AQ113" i="6"/>
  <c r="AR113" i="6"/>
  <c r="AS113" i="6"/>
  <c r="AO114" i="6"/>
  <c r="AP114" i="6"/>
  <c r="AQ114" i="6"/>
  <c r="AR114" i="6"/>
  <c r="AS114" i="6"/>
  <c r="AO115" i="6"/>
  <c r="AP115" i="6"/>
  <c r="AQ115" i="6"/>
  <c r="AR115" i="6"/>
  <c r="AS115" i="6"/>
  <c r="AO116" i="6"/>
  <c r="AP116" i="6"/>
  <c r="AQ116" i="6"/>
  <c r="AR116" i="6"/>
  <c r="AS116" i="6"/>
  <c r="AO117" i="6"/>
  <c r="AP117" i="6"/>
  <c r="AQ117" i="6"/>
  <c r="AR117" i="6"/>
  <c r="AS117" i="6"/>
  <c r="AO118" i="6"/>
  <c r="AP118" i="6"/>
  <c r="AQ118" i="6"/>
  <c r="AR118" i="6"/>
  <c r="AS118" i="6"/>
  <c r="AO119" i="6"/>
  <c r="AP119" i="6"/>
  <c r="AQ119" i="6"/>
  <c r="AR119" i="6"/>
  <c r="AS119" i="6"/>
  <c r="AO120" i="6"/>
  <c r="AP120" i="6"/>
  <c r="AQ120" i="6"/>
  <c r="AR120" i="6"/>
  <c r="AS120" i="6"/>
  <c r="AO121" i="6"/>
  <c r="AP121" i="6"/>
  <c r="AQ121" i="6"/>
  <c r="AR121" i="6"/>
  <c r="AS121" i="6"/>
  <c r="AO122" i="6"/>
  <c r="AP122" i="6"/>
  <c r="AQ122" i="6"/>
  <c r="AR122" i="6"/>
  <c r="AS122" i="6"/>
  <c r="AO123" i="6"/>
  <c r="AP123" i="6"/>
  <c r="AQ123" i="6"/>
  <c r="AR123" i="6"/>
  <c r="AS123" i="6"/>
  <c r="AO124" i="6"/>
  <c r="AP124" i="6"/>
  <c r="AQ124" i="6"/>
  <c r="AR124" i="6"/>
  <c r="AS124" i="6"/>
  <c r="AO125" i="6"/>
  <c r="AP125" i="6"/>
  <c r="AQ125" i="6"/>
  <c r="AR125" i="6"/>
  <c r="AS125" i="6"/>
  <c r="AO126" i="6"/>
  <c r="AP126" i="6"/>
  <c r="AQ126" i="6"/>
  <c r="AR126" i="6"/>
  <c r="AS126" i="6"/>
  <c r="AO127" i="6"/>
  <c r="AP127" i="6"/>
  <c r="AQ127" i="6"/>
  <c r="AR127" i="6"/>
  <c r="AS127" i="6"/>
  <c r="AO128" i="6"/>
  <c r="AP128" i="6"/>
  <c r="AQ128" i="6"/>
  <c r="AR128" i="6"/>
  <c r="AS128" i="6"/>
  <c r="AO129" i="6"/>
  <c r="AP129" i="6"/>
  <c r="AQ129" i="6"/>
  <c r="AR129" i="6"/>
  <c r="AS129" i="6"/>
  <c r="AO130" i="6"/>
  <c r="AP130" i="6"/>
  <c r="AQ130" i="6"/>
  <c r="AR130" i="6"/>
  <c r="AS130" i="6"/>
  <c r="AO131" i="6"/>
  <c r="AP131" i="6"/>
  <c r="AQ131" i="6"/>
  <c r="AR131" i="6"/>
  <c r="AS131" i="6"/>
  <c r="AO132" i="6"/>
  <c r="AP132" i="6"/>
  <c r="AQ132" i="6"/>
  <c r="AR132" i="6"/>
  <c r="AS132" i="6"/>
  <c r="AO133" i="6"/>
  <c r="AP133" i="6"/>
  <c r="AQ133" i="6"/>
  <c r="AR133" i="6"/>
  <c r="AS133" i="6"/>
  <c r="AO134" i="6"/>
  <c r="AP134" i="6"/>
  <c r="AQ134" i="6"/>
  <c r="AR134" i="6"/>
  <c r="AS134" i="6"/>
  <c r="AO135" i="6"/>
  <c r="AP135" i="6"/>
  <c r="AQ135" i="6"/>
  <c r="AR135" i="6"/>
  <c r="AS135" i="6"/>
  <c r="AO136" i="6"/>
  <c r="AP136" i="6"/>
  <c r="AQ136" i="6"/>
  <c r="AR136" i="6"/>
  <c r="AS136" i="6"/>
  <c r="AO137" i="6"/>
  <c r="AP137" i="6"/>
  <c r="AQ137" i="6"/>
  <c r="AR137" i="6"/>
  <c r="AS137" i="6"/>
  <c r="AO138" i="6"/>
  <c r="AP138" i="6"/>
  <c r="AQ138" i="6"/>
  <c r="AR138" i="6"/>
  <c r="AS138" i="6"/>
  <c r="AO139" i="6"/>
  <c r="AP139" i="6"/>
  <c r="AQ139" i="6"/>
  <c r="AR139" i="6"/>
  <c r="AS139" i="6"/>
  <c r="AO140" i="6"/>
  <c r="AP140" i="6"/>
  <c r="AQ140" i="6"/>
  <c r="AR140" i="6"/>
  <c r="AS140" i="6"/>
  <c r="AO141" i="6"/>
  <c r="AP141" i="6"/>
  <c r="AQ141" i="6"/>
  <c r="AR141" i="6"/>
  <c r="AS141" i="6"/>
  <c r="AO142" i="6"/>
  <c r="AP142" i="6"/>
  <c r="AQ142" i="6"/>
  <c r="AR142" i="6"/>
  <c r="AS142" i="6"/>
  <c r="AO143" i="6"/>
  <c r="AP143" i="6"/>
  <c r="AQ143" i="6"/>
  <c r="AR143" i="6"/>
  <c r="AS143" i="6"/>
  <c r="AO144" i="6"/>
  <c r="AP144" i="6"/>
  <c r="AQ144" i="6"/>
  <c r="AR144" i="6"/>
  <c r="AS144" i="6"/>
  <c r="AO145" i="6"/>
  <c r="AP145" i="6"/>
  <c r="AQ145" i="6"/>
  <c r="AR145" i="6"/>
  <c r="AS145" i="6"/>
  <c r="AO146" i="6"/>
  <c r="AP146" i="6"/>
  <c r="AQ146" i="6"/>
  <c r="AR146" i="6"/>
  <c r="AS146" i="6"/>
  <c r="AO147" i="6"/>
  <c r="AP147" i="6"/>
  <c r="AQ147" i="6"/>
  <c r="AR147" i="6"/>
  <c r="AS147" i="6"/>
  <c r="AO148" i="6"/>
  <c r="AP148" i="6"/>
  <c r="AQ148" i="6"/>
  <c r="AR148" i="6"/>
  <c r="AS148" i="6"/>
  <c r="AO149" i="6"/>
  <c r="AP149" i="6"/>
  <c r="AQ149" i="6"/>
  <c r="AR149" i="6"/>
  <c r="AS149" i="6"/>
  <c r="AO150" i="6"/>
  <c r="AP150" i="6"/>
  <c r="AQ150" i="6"/>
  <c r="AR150" i="6"/>
  <c r="AS150" i="6"/>
  <c r="AO151" i="6"/>
  <c r="AP151" i="6"/>
  <c r="AQ151" i="6"/>
  <c r="AR151" i="6"/>
  <c r="AS151" i="6"/>
  <c r="AO152" i="6"/>
  <c r="AP152" i="6"/>
  <c r="AQ152" i="6"/>
  <c r="AR152" i="6"/>
  <c r="AS152" i="6"/>
  <c r="AO153" i="6"/>
  <c r="AP153" i="6"/>
  <c r="AQ153" i="6"/>
  <c r="AR153" i="6"/>
  <c r="AS153" i="6"/>
  <c r="AO154" i="6"/>
  <c r="AP154" i="6"/>
  <c r="AQ154" i="6"/>
  <c r="AR154" i="6"/>
  <c r="AS154" i="6"/>
  <c r="AO155" i="6"/>
  <c r="AP155" i="6"/>
  <c r="AQ155" i="6"/>
  <c r="AR155" i="6"/>
  <c r="AS155" i="6"/>
  <c r="AO156" i="6"/>
  <c r="AP156" i="6"/>
  <c r="AQ156" i="6"/>
  <c r="AR156" i="6"/>
  <c r="AS156" i="6"/>
  <c r="AO157" i="6"/>
  <c r="AP157" i="6"/>
  <c r="AQ157" i="6"/>
  <c r="AR157" i="6"/>
  <c r="AS157" i="6"/>
  <c r="AO158" i="6"/>
  <c r="AP158" i="6"/>
  <c r="AQ158" i="6"/>
  <c r="AR158" i="6"/>
  <c r="AS158" i="6"/>
  <c r="AO159" i="6"/>
  <c r="AP159" i="6"/>
  <c r="AQ159" i="6"/>
  <c r="AR159" i="6"/>
  <c r="AS159" i="6"/>
  <c r="AO160" i="6"/>
  <c r="AP160" i="6"/>
  <c r="AQ160" i="6"/>
  <c r="AR160" i="6"/>
  <c r="AS160" i="6"/>
  <c r="AO161" i="6"/>
  <c r="AP161" i="6"/>
  <c r="AQ161" i="6"/>
  <c r="AR161" i="6"/>
  <c r="AS161" i="6"/>
  <c r="AO162" i="6"/>
  <c r="AP162" i="6"/>
  <c r="AQ162" i="6"/>
  <c r="AR162" i="6"/>
  <c r="AS162" i="6"/>
  <c r="AO163" i="6"/>
  <c r="AP163" i="6"/>
  <c r="AQ163" i="6"/>
  <c r="AR163" i="6"/>
  <c r="AS163" i="6"/>
  <c r="AO164" i="6"/>
  <c r="AP164" i="6"/>
  <c r="AQ164" i="6"/>
  <c r="AR164" i="6"/>
  <c r="AS164" i="6"/>
  <c r="AO165" i="6"/>
  <c r="AP165" i="6"/>
  <c r="AQ165" i="6"/>
  <c r="AR165" i="6"/>
  <c r="AS165" i="6"/>
  <c r="AO166" i="6"/>
  <c r="AP166" i="6"/>
  <c r="AQ166" i="6"/>
  <c r="AR166" i="6"/>
  <c r="AS166" i="6"/>
  <c r="AO167" i="6"/>
  <c r="AP167" i="6"/>
  <c r="AQ167" i="6"/>
  <c r="AR167" i="6"/>
  <c r="AS167" i="6"/>
  <c r="AO168" i="6"/>
  <c r="AP168" i="6"/>
  <c r="AQ168" i="6"/>
  <c r="AR168" i="6"/>
  <c r="AS168" i="6"/>
  <c r="AO169" i="6"/>
  <c r="AP169" i="6"/>
  <c r="AQ169" i="6"/>
  <c r="AR169" i="6"/>
  <c r="AS169" i="6"/>
  <c r="AO170" i="6"/>
  <c r="AP170" i="6"/>
  <c r="AQ170" i="6"/>
  <c r="AR170" i="6"/>
  <c r="AS170" i="6"/>
  <c r="AO171" i="6"/>
  <c r="AP171" i="6"/>
  <c r="AQ171" i="6"/>
  <c r="AR171" i="6"/>
  <c r="AS171" i="6"/>
  <c r="AO172" i="6"/>
  <c r="AP172" i="6"/>
  <c r="AQ172" i="6"/>
  <c r="AR172" i="6"/>
  <c r="AS172" i="6"/>
  <c r="AO173" i="6"/>
  <c r="AP173" i="6"/>
  <c r="AQ173" i="6"/>
  <c r="AR173" i="6"/>
  <c r="AS173" i="6"/>
  <c r="AO174" i="6"/>
  <c r="AP174" i="6"/>
  <c r="AQ174" i="6"/>
  <c r="AR174" i="6"/>
  <c r="AS174" i="6"/>
  <c r="AO175" i="6"/>
  <c r="AP175" i="6"/>
  <c r="AQ175" i="6"/>
  <c r="AR175" i="6"/>
  <c r="AS175" i="6"/>
  <c r="AO176" i="6"/>
  <c r="AP176" i="6"/>
  <c r="AQ176" i="6"/>
  <c r="AR176" i="6"/>
  <c r="AS176" i="6"/>
  <c r="AO177" i="6"/>
  <c r="AP177" i="6"/>
  <c r="AQ177" i="6"/>
  <c r="AR177" i="6"/>
  <c r="AS177" i="6"/>
  <c r="AO178" i="6"/>
  <c r="AP178" i="6"/>
  <c r="AQ178" i="6"/>
  <c r="AR178" i="6"/>
  <c r="AS178" i="6"/>
  <c r="AO179" i="6"/>
  <c r="AP179" i="6"/>
  <c r="AQ179" i="6"/>
  <c r="AR179" i="6"/>
  <c r="AS179" i="6"/>
  <c r="AO180" i="6"/>
  <c r="AP180" i="6"/>
  <c r="AQ180" i="6"/>
  <c r="AR180" i="6"/>
  <c r="AS180" i="6"/>
  <c r="AO181" i="6"/>
  <c r="AP181" i="6"/>
  <c r="AQ181" i="6"/>
  <c r="AR181" i="6"/>
  <c r="AS181" i="6"/>
  <c r="AO182" i="6"/>
  <c r="AP182" i="6"/>
  <c r="AQ182" i="6"/>
  <c r="AR182" i="6"/>
  <c r="AS182" i="6"/>
  <c r="AO183" i="6"/>
  <c r="AP183" i="6"/>
  <c r="AQ183" i="6"/>
  <c r="AR183" i="6"/>
  <c r="AS183" i="6"/>
  <c r="AO184" i="6"/>
  <c r="AP184" i="6"/>
  <c r="AQ184" i="6"/>
  <c r="AR184" i="6"/>
  <c r="AS184" i="6"/>
  <c r="AO185" i="6"/>
  <c r="AP185" i="6"/>
  <c r="AQ185" i="6"/>
  <c r="AR185" i="6"/>
  <c r="AS185" i="6"/>
  <c r="AO186" i="6"/>
  <c r="AP186" i="6"/>
  <c r="AQ186" i="6"/>
  <c r="AR186" i="6"/>
  <c r="AS186" i="6"/>
  <c r="AO187" i="6"/>
  <c r="AP187" i="6"/>
  <c r="AQ187" i="6"/>
  <c r="AR187" i="6"/>
  <c r="AS187" i="6"/>
  <c r="AO188" i="6"/>
  <c r="AP188" i="6"/>
  <c r="AQ188" i="6"/>
  <c r="AR188" i="6"/>
  <c r="AS188" i="6"/>
  <c r="AO189" i="6"/>
  <c r="AP189" i="6"/>
  <c r="AQ189" i="6"/>
  <c r="AR189" i="6"/>
  <c r="AS189" i="6"/>
  <c r="AS53" i="6"/>
  <c r="AR53" i="6"/>
  <c r="AQ53" i="6"/>
  <c r="AP53" i="6"/>
  <c r="AO53" i="6"/>
  <c r="AS52" i="6"/>
  <c r="AR52" i="6"/>
  <c r="AQ52" i="6"/>
  <c r="AP52" i="6"/>
  <c r="AO52" i="6"/>
  <c r="AS51" i="6"/>
  <c r="AR51" i="6"/>
  <c r="AQ51" i="6"/>
  <c r="AP51" i="6"/>
  <c r="AO51" i="6"/>
  <c r="AS50" i="6"/>
  <c r="AR50" i="6"/>
  <c r="AQ50" i="6"/>
  <c r="AP50" i="6"/>
  <c r="AO50" i="6"/>
  <c r="AS49" i="6"/>
  <c r="AR49" i="6"/>
  <c r="AQ49" i="6"/>
  <c r="AP49" i="6"/>
  <c r="AO49" i="6"/>
  <c r="AS48" i="6"/>
  <c r="AR48" i="6"/>
  <c r="AQ48" i="6"/>
  <c r="AP48" i="6"/>
  <c r="AO48" i="6"/>
  <c r="AS47" i="6"/>
  <c r="AR47" i="6"/>
  <c r="AQ47" i="6"/>
  <c r="AP47" i="6"/>
  <c r="AO47" i="6"/>
  <c r="AS46" i="6"/>
  <c r="AR46" i="6"/>
  <c r="AQ46" i="6"/>
  <c r="AP46" i="6"/>
  <c r="AO46" i="6"/>
  <c r="AS45" i="6"/>
  <c r="AR45" i="6"/>
  <c r="AQ45" i="6"/>
  <c r="AP45" i="6"/>
  <c r="AO45" i="6"/>
  <c r="AS44" i="6"/>
  <c r="AR44" i="6"/>
  <c r="AQ44" i="6"/>
  <c r="AP44" i="6"/>
  <c r="AO44" i="6"/>
  <c r="AS43" i="6"/>
  <c r="AR43" i="6"/>
  <c r="AQ43" i="6"/>
  <c r="AP43" i="6"/>
  <c r="AO43" i="6"/>
  <c r="AS42" i="6"/>
  <c r="AR42" i="6"/>
  <c r="AQ42" i="6"/>
  <c r="AP42" i="6"/>
  <c r="AO42" i="6"/>
  <c r="AS41" i="6"/>
  <c r="AR41" i="6"/>
  <c r="AQ41" i="6"/>
  <c r="AP41" i="6"/>
  <c r="AO41" i="6"/>
  <c r="AS40" i="6"/>
  <c r="AR40" i="6"/>
  <c r="AQ40" i="6"/>
  <c r="AP40" i="6"/>
  <c r="AO40" i="6"/>
  <c r="AS39" i="6"/>
  <c r="AR39" i="6"/>
  <c r="AQ39" i="6"/>
  <c r="AP39" i="6"/>
  <c r="AO39" i="6"/>
  <c r="AS38" i="6"/>
  <c r="AR38" i="6"/>
  <c r="AQ38" i="6"/>
  <c r="AP38" i="6"/>
  <c r="AO38" i="6"/>
  <c r="AS37" i="6"/>
  <c r="AR37" i="6"/>
  <c r="AQ37" i="6"/>
  <c r="AP37" i="6"/>
  <c r="AO37" i="6"/>
  <c r="AS36" i="6"/>
  <c r="AR36" i="6"/>
  <c r="AQ36" i="6"/>
  <c r="AP36" i="6"/>
  <c r="AO36" i="6"/>
  <c r="AS35" i="6"/>
  <c r="AR35" i="6"/>
  <c r="AQ35" i="6"/>
  <c r="AP35" i="6"/>
  <c r="AO35" i="6"/>
  <c r="AS34" i="6"/>
  <c r="AR34" i="6"/>
  <c r="AQ34" i="6"/>
  <c r="AP34" i="6"/>
  <c r="AO34" i="6"/>
  <c r="AS33" i="6"/>
  <c r="AR33" i="6"/>
  <c r="AQ33" i="6"/>
  <c r="AP33" i="6"/>
  <c r="AO33" i="6"/>
  <c r="AS32" i="6"/>
  <c r="AR32" i="6"/>
  <c r="AQ32" i="6"/>
  <c r="AP32" i="6"/>
  <c r="AO32" i="6"/>
  <c r="AS31" i="6"/>
  <c r="AR31" i="6"/>
  <c r="AQ31" i="6"/>
  <c r="AP31" i="6"/>
  <c r="AO31" i="6"/>
  <c r="AS30" i="6"/>
  <c r="AR30" i="6"/>
  <c r="AQ30" i="6"/>
  <c r="AP30" i="6"/>
  <c r="AO30" i="6"/>
  <c r="AS29" i="6"/>
  <c r="AR29" i="6"/>
  <c r="AQ29" i="6"/>
  <c r="AP29" i="6"/>
  <c r="AO29" i="6"/>
  <c r="AS28" i="6"/>
  <c r="AR28" i="6"/>
  <c r="AQ28" i="6"/>
  <c r="AP28" i="6"/>
  <c r="AO28" i="6"/>
  <c r="AS27" i="6"/>
  <c r="AR27" i="6"/>
  <c r="AQ27" i="6"/>
  <c r="AP27" i="6"/>
  <c r="AO27" i="6"/>
  <c r="AS26" i="6"/>
  <c r="AR26" i="6"/>
  <c r="AQ26" i="6"/>
  <c r="AP26" i="6"/>
  <c r="AO26" i="6"/>
  <c r="AS25" i="6"/>
  <c r="AR25" i="6"/>
  <c r="AQ25" i="6"/>
  <c r="AP25" i="6"/>
  <c r="AO25" i="6"/>
  <c r="AS24" i="6"/>
  <c r="AR24" i="6"/>
  <c r="AQ24" i="6"/>
  <c r="AP24" i="6"/>
  <c r="AO24" i="6"/>
  <c r="AS23" i="6"/>
  <c r="AR23" i="6"/>
  <c r="AQ23" i="6"/>
  <c r="AP23" i="6"/>
  <c r="AO23" i="6"/>
  <c r="AS22" i="6"/>
  <c r="AR22" i="6"/>
  <c r="AQ22" i="6"/>
  <c r="AP22" i="6"/>
  <c r="AO22" i="6"/>
  <c r="AS21" i="6"/>
  <c r="AR21" i="6"/>
  <c r="AQ21" i="6"/>
  <c r="AP21" i="6"/>
  <c r="AO21" i="6"/>
  <c r="AS20" i="6"/>
  <c r="AR20" i="6"/>
  <c r="AQ20" i="6"/>
  <c r="AP20" i="6"/>
  <c r="AO20" i="6"/>
  <c r="AS19" i="6"/>
  <c r="AR19" i="6"/>
  <c r="AQ19" i="6"/>
  <c r="AP19" i="6"/>
  <c r="AO19" i="6"/>
  <c r="AS18" i="6"/>
  <c r="AR18" i="6"/>
  <c r="AQ18" i="6"/>
  <c r="AP18" i="6"/>
  <c r="AO18" i="6"/>
  <c r="AS17" i="6"/>
  <c r="AR17" i="6"/>
  <c r="AQ17" i="6"/>
  <c r="AP17" i="6"/>
  <c r="AO17" i="6"/>
  <c r="AS16" i="6"/>
  <c r="AR16" i="6"/>
  <c r="AQ16" i="6"/>
  <c r="AP16" i="6"/>
  <c r="AO16" i="6"/>
  <c r="AS15" i="6"/>
  <c r="AR15" i="6"/>
  <c r="AQ15" i="6"/>
  <c r="AP15" i="6"/>
  <c r="AO15" i="6"/>
  <c r="AS14" i="6"/>
  <c r="AR14" i="6"/>
  <c r="AQ14" i="6"/>
  <c r="AP14" i="6"/>
  <c r="AO14" i="6"/>
  <c r="AS13" i="6"/>
  <c r="AR13" i="6"/>
  <c r="AQ13" i="6"/>
  <c r="AP13" i="6"/>
  <c r="AO13" i="6"/>
  <c r="AS12" i="6"/>
  <c r="AR12" i="6"/>
  <c r="AQ12" i="6"/>
  <c r="AP12" i="6"/>
  <c r="AO12" i="6"/>
  <c r="AS11" i="6"/>
  <c r="AR11" i="6"/>
  <c r="AQ11" i="6"/>
  <c r="AP11" i="6"/>
  <c r="AO11" i="6"/>
  <c r="AS10" i="6"/>
  <c r="AR10" i="6"/>
  <c r="AQ10" i="6"/>
  <c r="AP10" i="6"/>
  <c r="AO10" i="6"/>
  <c r="AS9" i="6"/>
  <c r="AR9" i="6"/>
  <c r="AQ9" i="6"/>
  <c r="AP9" i="6"/>
  <c r="AO9" i="6"/>
  <c r="AS8" i="6"/>
  <c r="AR8" i="6"/>
  <c r="AQ8" i="6"/>
  <c r="AP8" i="6"/>
  <c r="AO8" i="6"/>
  <c r="AS7" i="6"/>
  <c r="AR7" i="6"/>
  <c r="AQ7" i="6"/>
  <c r="AP7" i="6"/>
  <c r="AO7" i="6"/>
  <c r="AS6" i="6"/>
  <c r="AR6" i="6"/>
  <c r="AQ6" i="6"/>
  <c r="AP6" i="6"/>
  <c r="AO6" i="6"/>
  <c r="AS5" i="6"/>
  <c r="AR5" i="6"/>
  <c r="AQ5" i="6"/>
  <c r="AP5" i="6"/>
  <c r="AO5" i="6"/>
  <c r="AS4" i="6"/>
  <c r="AR4" i="6"/>
  <c r="AQ4" i="6"/>
  <c r="AP4" i="6"/>
  <c r="AO4" i="6"/>
  <c r="AH5" i="6"/>
  <c r="AI5" i="6"/>
  <c r="AJ5" i="6"/>
  <c r="AK5" i="6"/>
  <c r="AL5" i="6"/>
  <c r="AH6" i="6"/>
  <c r="AI6" i="6"/>
  <c r="AJ6" i="6"/>
  <c r="AK6" i="6"/>
  <c r="AL6" i="6"/>
  <c r="AH7" i="6"/>
  <c r="AI7" i="6"/>
  <c r="AJ7" i="6"/>
  <c r="AK7" i="6"/>
  <c r="AL7" i="6"/>
  <c r="AH8" i="6"/>
  <c r="AI8" i="6"/>
  <c r="AJ8" i="6"/>
  <c r="AK8" i="6"/>
  <c r="AL8" i="6"/>
  <c r="AH9" i="6"/>
  <c r="AI9" i="6"/>
  <c r="AJ9" i="6"/>
  <c r="AK9" i="6"/>
  <c r="AL9" i="6"/>
  <c r="AH10" i="6"/>
  <c r="AI10" i="6"/>
  <c r="AJ10" i="6"/>
  <c r="AK10" i="6"/>
  <c r="AL10" i="6"/>
  <c r="AH11" i="6"/>
  <c r="AI11" i="6"/>
  <c r="AJ11" i="6"/>
  <c r="AK11" i="6"/>
  <c r="AL11" i="6"/>
  <c r="AH12" i="6"/>
  <c r="AI12" i="6"/>
  <c r="AJ12" i="6"/>
  <c r="AK12" i="6"/>
  <c r="AL12" i="6"/>
  <c r="AH13" i="6"/>
  <c r="AI13" i="6"/>
  <c r="AJ13" i="6"/>
  <c r="AK13" i="6"/>
  <c r="AL13" i="6"/>
  <c r="AH14" i="6"/>
  <c r="AI14" i="6"/>
  <c r="AJ14" i="6"/>
  <c r="AK14" i="6"/>
  <c r="AL14" i="6"/>
  <c r="AH15" i="6"/>
  <c r="AI15" i="6"/>
  <c r="AJ15" i="6"/>
  <c r="AK15" i="6"/>
  <c r="AL15" i="6"/>
  <c r="AH16" i="6"/>
  <c r="AI16" i="6"/>
  <c r="AJ16" i="6"/>
  <c r="AK16" i="6"/>
  <c r="AL16" i="6"/>
  <c r="AH17" i="6"/>
  <c r="AI17" i="6"/>
  <c r="AJ17" i="6"/>
  <c r="AK17" i="6"/>
  <c r="AL17" i="6"/>
  <c r="AH18" i="6"/>
  <c r="AI18" i="6"/>
  <c r="AJ18" i="6"/>
  <c r="AK18" i="6"/>
  <c r="AL18" i="6"/>
  <c r="AH19" i="6"/>
  <c r="AI19" i="6"/>
  <c r="AJ19" i="6"/>
  <c r="AK19" i="6"/>
  <c r="AL19" i="6"/>
  <c r="AH20" i="6"/>
  <c r="AI20" i="6"/>
  <c r="AJ20" i="6"/>
  <c r="AK20" i="6"/>
  <c r="AL20" i="6"/>
  <c r="AH21" i="6"/>
  <c r="AI21" i="6"/>
  <c r="AJ21" i="6"/>
  <c r="AK21" i="6"/>
  <c r="AL21" i="6"/>
  <c r="AH22" i="6"/>
  <c r="AI22" i="6"/>
  <c r="AJ22" i="6"/>
  <c r="AK22" i="6"/>
  <c r="AL22" i="6"/>
  <c r="AH23" i="6"/>
  <c r="AI23" i="6"/>
  <c r="AJ23" i="6"/>
  <c r="AK23" i="6"/>
  <c r="AL23" i="6"/>
  <c r="AH24" i="6"/>
  <c r="AI24" i="6"/>
  <c r="AJ24" i="6"/>
  <c r="AK24" i="6"/>
  <c r="AL24" i="6"/>
  <c r="AH25" i="6"/>
  <c r="AI25" i="6"/>
  <c r="AJ25" i="6"/>
  <c r="AK25" i="6"/>
  <c r="AL25" i="6"/>
  <c r="AH26" i="6"/>
  <c r="AI26" i="6"/>
  <c r="AJ26" i="6"/>
  <c r="AK26" i="6"/>
  <c r="AL26" i="6"/>
  <c r="AH27" i="6"/>
  <c r="AI27" i="6"/>
  <c r="AJ27" i="6"/>
  <c r="AK27" i="6"/>
  <c r="AL27" i="6"/>
  <c r="AH28" i="6"/>
  <c r="AI28" i="6"/>
  <c r="AJ28" i="6"/>
  <c r="AK28" i="6"/>
  <c r="AL28" i="6"/>
  <c r="AH29" i="6"/>
  <c r="AI29" i="6"/>
  <c r="AJ29" i="6"/>
  <c r="AK29" i="6"/>
  <c r="AL29" i="6"/>
  <c r="AH30" i="6"/>
  <c r="AI30" i="6"/>
  <c r="AJ30" i="6"/>
  <c r="AK30" i="6"/>
  <c r="AL30" i="6"/>
  <c r="AH31" i="6"/>
  <c r="AI31" i="6"/>
  <c r="AJ31" i="6"/>
  <c r="AK31" i="6"/>
  <c r="AL31" i="6"/>
  <c r="AH32" i="6"/>
  <c r="AI32" i="6"/>
  <c r="AJ32" i="6"/>
  <c r="AK32" i="6"/>
  <c r="AL32" i="6"/>
  <c r="AH33" i="6"/>
  <c r="AI33" i="6"/>
  <c r="AJ33" i="6"/>
  <c r="AK33" i="6"/>
  <c r="AL33" i="6"/>
  <c r="AH34" i="6"/>
  <c r="AI34" i="6"/>
  <c r="AJ34" i="6"/>
  <c r="AK34" i="6"/>
  <c r="AL34" i="6"/>
  <c r="AH35" i="6"/>
  <c r="AI35" i="6"/>
  <c r="AJ35" i="6"/>
  <c r="AK35" i="6"/>
  <c r="AL35" i="6"/>
  <c r="AH36" i="6"/>
  <c r="AI36" i="6"/>
  <c r="AJ36" i="6"/>
  <c r="AK36" i="6"/>
  <c r="AL36" i="6"/>
  <c r="AH37" i="6"/>
  <c r="AI37" i="6"/>
  <c r="AJ37" i="6"/>
  <c r="AK37" i="6"/>
  <c r="AL37" i="6"/>
  <c r="AH38" i="6"/>
  <c r="AI38" i="6"/>
  <c r="AJ38" i="6"/>
  <c r="AK38" i="6"/>
  <c r="AL38" i="6"/>
  <c r="AH39" i="6"/>
  <c r="AI39" i="6"/>
  <c r="AJ39" i="6"/>
  <c r="AK39" i="6"/>
  <c r="AL39" i="6"/>
  <c r="AH40" i="6"/>
  <c r="AI40" i="6"/>
  <c r="AJ40" i="6"/>
  <c r="AK40" i="6"/>
  <c r="AL40" i="6"/>
  <c r="AH41" i="6"/>
  <c r="AI41" i="6"/>
  <c r="AJ41" i="6"/>
  <c r="AK41" i="6"/>
  <c r="AL41" i="6"/>
  <c r="AH42" i="6"/>
  <c r="AI42" i="6"/>
  <c r="AJ42" i="6"/>
  <c r="AK42" i="6"/>
  <c r="AL42" i="6"/>
  <c r="AH43" i="6"/>
  <c r="AI43" i="6"/>
  <c r="AJ43" i="6"/>
  <c r="AK43" i="6"/>
  <c r="AL43" i="6"/>
  <c r="AH44" i="6"/>
  <c r="AI44" i="6"/>
  <c r="AJ44" i="6"/>
  <c r="AK44" i="6"/>
  <c r="AL44" i="6"/>
  <c r="AH45" i="6"/>
  <c r="AI45" i="6"/>
  <c r="AJ45" i="6"/>
  <c r="AK45" i="6"/>
  <c r="AL45" i="6"/>
  <c r="AH46" i="6"/>
  <c r="AI46" i="6"/>
  <c r="AJ46" i="6"/>
  <c r="AK46" i="6"/>
  <c r="AL46" i="6"/>
  <c r="AH47" i="6"/>
  <c r="AI47" i="6"/>
  <c r="AJ47" i="6"/>
  <c r="AK47" i="6"/>
  <c r="AL47" i="6"/>
  <c r="AH48" i="6"/>
  <c r="AI48" i="6"/>
  <c r="AJ48" i="6"/>
  <c r="AK48" i="6"/>
  <c r="AL48" i="6"/>
  <c r="AH49" i="6"/>
  <c r="AI49" i="6"/>
  <c r="AJ49" i="6"/>
  <c r="AK49" i="6"/>
  <c r="AL49" i="6"/>
  <c r="AH50" i="6"/>
  <c r="AI50" i="6"/>
  <c r="AJ50" i="6"/>
  <c r="AK50" i="6"/>
  <c r="AL50" i="6"/>
  <c r="AH51" i="6"/>
  <c r="AI51" i="6"/>
  <c r="AJ51" i="6"/>
  <c r="AK51" i="6"/>
  <c r="AL51" i="6"/>
  <c r="AH52" i="6"/>
  <c r="AI52" i="6"/>
  <c r="AJ52" i="6"/>
  <c r="AK52" i="6"/>
  <c r="AL52" i="6"/>
  <c r="AH53" i="6"/>
  <c r="AI53" i="6"/>
  <c r="AJ53" i="6"/>
  <c r="AK53" i="6"/>
  <c r="AL53" i="6"/>
  <c r="AI4" i="6"/>
  <c r="AJ4" i="6"/>
  <c r="AK4" i="6"/>
  <c r="AL4" i="6"/>
  <c r="AH4" i="6"/>
  <c r="AA5" i="6"/>
  <c r="AB5" i="6"/>
  <c r="AC5" i="6"/>
  <c r="AD5" i="6"/>
  <c r="AE5" i="6"/>
  <c r="AA6" i="6"/>
  <c r="AB6" i="6"/>
  <c r="AC6" i="6"/>
  <c r="AD6" i="6"/>
  <c r="AE6" i="6"/>
  <c r="AA7" i="6"/>
  <c r="AB7" i="6"/>
  <c r="AC7" i="6"/>
  <c r="AD7" i="6"/>
  <c r="AE7" i="6"/>
  <c r="AA8" i="6"/>
  <c r="AB8" i="6"/>
  <c r="AC8" i="6"/>
  <c r="AD8" i="6"/>
  <c r="AE8" i="6"/>
  <c r="AA9" i="6"/>
  <c r="AB9" i="6"/>
  <c r="AC9" i="6"/>
  <c r="AD9" i="6"/>
  <c r="AE9" i="6"/>
  <c r="AA10" i="6"/>
  <c r="AB10" i="6"/>
  <c r="AC10" i="6"/>
  <c r="AD10" i="6"/>
  <c r="AE10" i="6"/>
  <c r="AA11" i="6"/>
  <c r="AB11" i="6"/>
  <c r="AC11" i="6"/>
  <c r="AD11" i="6"/>
  <c r="AE11" i="6"/>
  <c r="AA12" i="6"/>
  <c r="AB12" i="6"/>
  <c r="AC12" i="6"/>
  <c r="AD12" i="6"/>
  <c r="AE12" i="6"/>
  <c r="AA13" i="6"/>
  <c r="AB13" i="6"/>
  <c r="AC13" i="6"/>
  <c r="AD13" i="6"/>
  <c r="AE13" i="6"/>
  <c r="AA14" i="6"/>
  <c r="AB14" i="6"/>
  <c r="AC14" i="6"/>
  <c r="AD14" i="6"/>
  <c r="AE14" i="6"/>
  <c r="AA15" i="6"/>
  <c r="AB15" i="6"/>
  <c r="AC15" i="6"/>
  <c r="AD15" i="6"/>
  <c r="AE15" i="6"/>
  <c r="AA16" i="6"/>
  <c r="AB16" i="6"/>
  <c r="AC16" i="6"/>
  <c r="AD16" i="6"/>
  <c r="AE16" i="6"/>
  <c r="AA17" i="6"/>
  <c r="AB17" i="6"/>
  <c r="AC17" i="6"/>
  <c r="AD17" i="6"/>
  <c r="AE17" i="6"/>
  <c r="AA18" i="6"/>
  <c r="AB18" i="6"/>
  <c r="AC18" i="6"/>
  <c r="AD18" i="6"/>
  <c r="AE18" i="6"/>
  <c r="AA19" i="6"/>
  <c r="AB19" i="6"/>
  <c r="AC19" i="6"/>
  <c r="AD19" i="6"/>
  <c r="AE19" i="6"/>
  <c r="AA20" i="6"/>
  <c r="AB20" i="6"/>
  <c r="AC20" i="6"/>
  <c r="AD20" i="6"/>
  <c r="AE20" i="6"/>
  <c r="AA21" i="6"/>
  <c r="AB21" i="6"/>
  <c r="AC21" i="6"/>
  <c r="AD21" i="6"/>
  <c r="AE21" i="6"/>
  <c r="AA22" i="6"/>
  <c r="AB22" i="6"/>
  <c r="AC22" i="6"/>
  <c r="AD22" i="6"/>
  <c r="AE22" i="6"/>
  <c r="AA23" i="6"/>
  <c r="AB23" i="6"/>
  <c r="AC23" i="6"/>
  <c r="AD23" i="6"/>
  <c r="AE23" i="6"/>
  <c r="AA24" i="6"/>
  <c r="AB24" i="6"/>
  <c r="AC24" i="6"/>
  <c r="AD24" i="6"/>
  <c r="AE24" i="6"/>
  <c r="AA25" i="6"/>
  <c r="AB25" i="6"/>
  <c r="AC25" i="6"/>
  <c r="AD25" i="6"/>
  <c r="AE25" i="6"/>
  <c r="AA26" i="6"/>
  <c r="AB26" i="6"/>
  <c r="AC26" i="6"/>
  <c r="AD26" i="6"/>
  <c r="AE26" i="6"/>
  <c r="AA27" i="6"/>
  <c r="AB27" i="6"/>
  <c r="AC27" i="6"/>
  <c r="AD27" i="6"/>
  <c r="AE27" i="6"/>
  <c r="AA28" i="6"/>
  <c r="AB28" i="6"/>
  <c r="AC28" i="6"/>
  <c r="AD28" i="6"/>
  <c r="AE28" i="6"/>
  <c r="AA29" i="6"/>
  <c r="AB29" i="6"/>
  <c r="AC29" i="6"/>
  <c r="AD29" i="6"/>
  <c r="AE29" i="6"/>
  <c r="AA30" i="6"/>
  <c r="AB30" i="6"/>
  <c r="AC30" i="6"/>
  <c r="AD30" i="6"/>
  <c r="AE30" i="6"/>
  <c r="AA31" i="6"/>
  <c r="AB31" i="6"/>
  <c r="AC31" i="6"/>
  <c r="AD31" i="6"/>
  <c r="AE31" i="6"/>
  <c r="AA32" i="6"/>
  <c r="AB32" i="6"/>
  <c r="AC32" i="6"/>
  <c r="AD32" i="6"/>
  <c r="AE32" i="6"/>
  <c r="AA33" i="6"/>
  <c r="AB33" i="6"/>
  <c r="AC33" i="6"/>
  <c r="AD33" i="6"/>
  <c r="AE33" i="6"/>
  <c r="AA34" i="6"/>
  <c r="AB34" i="6"/>
  <c r="AC34" i="6"/>
  <c r="AD34" i="6"/>
  <c r="AE34" i="6"/>
  <c r="AA35" i="6"/>
  <c r="AB35" i="6"/>
  <c r="AC35" i="6"/>
  <c r="AD35" i="6"/>
  <c r="AE35" i="6"/>
  <c r="AA36" i="6"/>
  <c r="AB36" i="6"/>
  <c r="AC36" i="6"/>
  <c r="AD36" i="6"/>
  <c r="AE36" i="6"/>
  <c r="AA37" i="6"/>
  <c r="AB37" i="6"/>
  <c r="AC37" i="6"/>
  <c r="AD37" i="6"/>
  <c r="AE37" i="6"/>
  <c r="AA38" i="6"/>
  <c r="AB38" i="6"/>
  <c r="AC38" i="6"/>
  <c r="AD38" i="6"/>
  <c r="AE38" i="6"/>
  <c r="AA39" i="6"/>
  <c r="AB39" i="6"/>
  <c r="AC39" i="6"/>
  <c r="AD39" i="6"/>
  <c r="AE39" i="6"/>
  <c r="AA40" i="6"/>
  <c r="AB40" i="6"/>
  <c r="AC40" i="6"/>
  <c r="AD40" i="6"/>
  <c r="AE40" i="6"/>
  <c r="AA41" i="6"/>
  <c r="AB41" i="6"/>
  <c r="AC41" i="6"/>
  <c r="AD41" i="6"/>
  <c r="AE41" i="6"/>
  <c r="AA42" i="6"/>
  <c r="AB42" i="6"/>
  <c r="AC42" i="6"/>
  <c r="AD42" i="6"/>
  <c r="AE42" i="6"/>
  <c r="AA43" i="6"/>
  <c r="AB43" i="6"/>
  <c r="AC43" i="6"/>
  <c r="AD43" i="6"/>
  <c r="AE43" i="6"/>
  <c r="AA44" i="6"/>
  <c r="AB44" i="6"/>
  <c r="AC44" i="6"/>
  <c r="AD44" i="6"/>
  <c r="AE44" i="6"/>
  <c r="AA45" i="6"/>
  <c r="AB45" i="6"/>
  <c r="AC45" i="6"/>
  <c r="AD45" i="6"/>
  <c r="AE45" i="6"/>
  <c r="AA46" i="6"/>
  <c r="AB46" i="6"/>
  <c r="AC46" i="6"/>
  <c r="AD46" i="6"/>
  <c r="AE46" i="6"/>
  <c r="AA47" i="6"/>
  <c r="AB47" i="6"/>
  <c r="AC47" i="6"/>
  <c r="AD47" i="6"/>
  <c r="AE47" i="6"/>
  <c r="AA48" i="6"/>
  <c r="AB48" i="6"/>
  <c r="AC48" i="6"/>
  <c r="AD48" i="6"/>
  <c r="AE48" i="6"/>
  <c r="AA49" i="6"/>
  <c r="AB49" i="6"/>
  <c r="AC49" i="6"/>
  <c r="AD49" i="6"/>
  <c r="AE49" i="6"/>
  <c r="AA50" i="6"/>
  <c r="AB50" i="6"/>
  <c r="AC50" i="6"/>
  <c r="AD50" i="6"/>
  <c r="AE50" i="6"/>
  <c r="AA51" i="6"/>
  <c r="AB51" i="6"/>
  <c r="AC51" i="6"/>
  <c r="AD51" i="6"/>
  <c r="AE51" i="6"/>
  <c r="AA52" i="6"/>
  <c r="AB52" i="6"/>
  <c r="AC52" i="6"/>
  <c r="AD52" i="6"/>
  <c r="AE52" i="6"/>
  <c r="AA53" i="6"/>
  <c r="AB53" i="6"/>
  <c r="AC53" i="6"/>
  <c r="AD53" i="6"/>
  <c r="AE53" i="6"/>
  <c r="AB4" i="6"/>
  <c r="AC4" i="6"/>
  <c r="AD4" i="6"/>
  <c r="AE4" i="6"/>
  <c r="AA4" i="6"/>
  <c r="D63" i="5"/>
  <c r="V363" i="6"/>
  <c r="U363" i="6"/>
  <c r="T363" i="6"/>
  <c r="S363" i="6"/>
  <c r="R363" i="6"/>
  <c r="V362" i="6"/>
  <c r="U362" i="6"/>
  <c r="T362" i="6"/>
  <c r="S362" i="6"/>
  <c r="R362" i="6"/>
  <c r="V361" i="6"/>
  <c r="U361" i="6"/>
  <c r="T361" i="6"/>
  <c r="S361" i="6"/>
  <c r="R361" i="6"/>
  <c r="V360" i="6"/>
  <c r="U360" i="6"/>
  <c r="T360" i="6"/>
  <c r="S360" i="6"/>
  <c r="R360" i="6"/>
  <c r="V359" i="6"/>
  <c r="U359" i="6"/>
  <c r="T359" i="6"/>
  <c r="S359" i="6"/>
  <c r="R359" i="6"/>
  <c r="V358" i="6"/>
  <c r="U358" i="6"/>
  <c r="T358" i="6"/>
  <c r="S358" i="6"/>
  <c r="R358" i="6"/>
  <c r="V357" i="6"/>
  <c r="U357" i="6"/>
  <c r="T357" i="6"/>
  <c r="S357" i="6"/>
  <c r="R357" i="6"/>
  <c r="V356" i="6"/>
  <c r="U356" i="6"/>
  <c r="T356" i="6"/>
  <c r="S356" i="6"/>
  <c r="R356" i="6"/>
  <c r="V355" i="6"/>
  <c r="U355" i="6"/>
  <c r="T355" i="6"/>
  <c r="S355" i="6"/>
  <c r="R355" i="6"/>
  <c r="V354" i="6"/>
  <c r="U354" i="6"/>
  <c r="T354" i="6"/>
  <c r="S354" i="6"/>
  <c r="R354" i="6"/>
  <c r="V353" i="6"/>
  <c r="U353" i="6"/>
  <c r="T353" i="6"/>
  <c r="S353" i="6"/>
  <c r="R353" i="6"/>
  <c r="V352" i="6"/>
  <c r="U352" i="6"/>
  <c r="T352" i="6"/>
  <c r="S352" i="6"/>
  <c r="R352" i="6"/>
  <c r="V351" i="6"/>
  <c r="U351" i="6"/>
  <c r="T351" i="6"/>
  <c r="S351" i="6"/>
  <c r="R351" i="6"/>
  <c r="V350" i="6"/>
  <c r="U350" i="6"/>
  <c r="T350" i="6"/>
  <c r="S350" i="6"/>
  <c r="R350" i="6"/>
  <c r="V349" i="6"/>
  <c r="U349" i="6"/>
  <c r="T349" i="6"/>
  <c r="S349" i="6"/>
  <c r="R349" i="6"/>
  <c r="V348" i="6"/>
  <c r="U348" i="6"/>
  <c r="T348" i="6"/>
  <c r="S348" i="6"/>
  <c r="R348" i="6"/>
  <c r="V347" i="6"/>
  <c r="U347" i="6"/>
  <c r="T347" i="6"/>
  <c r="S347" i="6"/>
  <c r="R347" i="6"/>
  <c r="V346" i="6"/>
  <c r="U346" i="6"/>
  <c r="T346" i="6"/>
  <c r="S346" i="6"/>
  <c r="R346" i="6"/>
  <c r="V345" i="6"/>
  <c r="U345" i="6"/>
  <c r="T345" i="6"/>
  <c r="S345" i="6"/>
  <c r="R345" i="6"/>
  <c r="V344" i="6"/>
  <c r="U344" i="6"/>
  <c r="T344" i="6"/>
  <c r="S344" i="6"/>
  <c r="R344" i="6"/>
  <c r="V343" i="6"/>
  <c r="U343" i="6"/>
  <c r="T343" i="6"/>
  <c r="S343" i="6"/>
  <c r="R343" i="6"/>
  <c r="V342" i="6"/>
  <c r="U342" i="6"/>
  <c r="T342" i="6"/>
  <c r="S342" i="6"/>
  <c r="R342" i="6"/>
  <c r="V341" i="6"/>
  <c r="U341" i="6"/>
  <c r="T341" i="6"/>
  <c r="S341" i="6"/>
  <c r="R341" i="6"/>
  <c r="V340" i="6"/>
  <c r="U340" i="6"/>
  <c r="T340" i="6"/>
  <c r="S340" i="6"/>
  <c r="R340" i="6"/>
  <c r="V339" i="6"/>
  <c r="U339" i="6"/>
  <c r="T339" i="6"/>
  <c r="S339" i="6"/>
  <c r="R339" i="6"/>
  <c r="V338" i="6"/>
  <c r="U338" i="6"/>
  <c r="T338" i="6"/>
  <c r="S338" i="6"/>
  <c r="R338" i="6"/>
  <c r="V337" i="6"/>
  <c r="U337" i="6"/>
  <c r="T337" i="6"/>
  <c r="S337" i="6"/>
  <c r="R337" i="6"/>
  <c r="V336" i="6"/>
  <c r="U336" i="6"/>
  <c r="T336" i="6"/>
  <c r="S336" i="6"/>
  <c r="R336" i="6"/>
  <c r="V335" i="6"/>
  <c r="U335" i="6"/>
  <c r="T335" i="6"/>
  <c r="S335" i="6"/>
  <c r="R335" i="6"/>
  <c r="V334" i="6"/>
  <c r="U334" i="6"/>
  <c r="T334" i="6"/>
  <c r="S334" i="6"/>
  <c r="R334" i="6"/>
  <c r="V333" i="6"/>
  <c r="U333" i="6"/>
  <c r="T333" i="6"/>
  <c r="S333" i="6"/>
  <c r="R333" i="6"/>
  <c r="V332" i="6"/>
  <c r="U332" i="6"/>
  <c r="T332" i="6"/>
  <c r="S332" i="6"/>
  <c r="R332" i="6"/>
  <c r="V331" i="6"/>
  <c r="U331" i="6"/>
  <c r="T331" i="6"/>
  <c r="S331" i="6"/>
  <c r="R331" i="6"/>
  <c r="V330" i="6"/>
  <c r="U330" i="6"/>
  <c r="T330" i="6"/>
  <c r="S330" i="6"/>
  <c r="R330" i="6"/>
  <c r="V329" i="6"/>
  <c r="U329" i="6"/>
  <c r="T329" i="6"/>
  <c r="S329" i="6"/>
  <c r="R329" i="6"/>
  <c r="V328" i="6"/>
  <c r="U328" i="6"/>
  <c r="T328" i="6"/>
  <c r="S328" i="6"/>
  <c r="R328" i="6"/>
  <c r="V327" i="6"/>
  <c r="U327" i="6"/>
  <c r="T327" i="6"/>
  <c r="S327" i="6"/>
  <c r="R327" i="6"/>
  <c r="V326" i="6"/>
  <c r="U326" i="6"/>
  <c r="T326" i="6"/>
  <c r="S326" i="6"/>
  <c r="R326" i="6"/>
  <c r="V325" i="6"/>
  <c r="U325" i="6"/>
  <c r="T325" i="6"/>
  <c r="S325" i="6"/>
  <c r="R325" i="6"/>
  <c r="V324" i="6"/>
  <c r="U324" i="6"/>
  <c r="T324" i="6"/>
  <c r="S324" i="6"/>
  <c r="R324" i="6"/>
  <c r="V323" i="6"/>
  <c r="U323" i="6"/>
  <c r="T323" i="6"/>
  <c r="S323" i="6"/>
  <c r="R323" i="6"/>
  <c r="V322" i="6"/>
  <c r="U322" i="6"/>
  <c r="T322" i="6"/>
  <c r="S322" i="6"/>
  <c r="R322" i="6"/>
  <c r="V321" i="6"/>
  <c r="U321" i="6"/>
  <c r="T321" i="6"/>
  <c r="S321" i="6"/>
  <c r="R321" i="6"/>
  <c r="V320" i="6"/>
  <c r="U320" i="6"/>
  <c r="T320" i="6"/>
  <c r="S320" i="6"/>
  <c r="R320" i="6"/>
  <c r="V319" i="6"/>
  <c r="U319" i="6"/>
  <c r="T319" i="6"/>
  <c r="S319" i="6"/>
  <c r="R319" i="6"/>
  <c r="V318" i="6"/>
  <c r="U318" i="6"/>
  <c r="T318" i="6"/>
  <c r="S318" i="6"/>
  <c r="R318" i="6"/>
  <c r="V317" i="6"/>
  <c r="U317" i="6"/>
  <c r="T317" i="6"/>
  <c r="S317" i="6"/>
  <c r="R317" i="6"/>
  <c r="V316" i="6"/>
  <c r="U316" i="6"/>
  <c r="T316" i="6"/>
  <c r="S316" i="6"/>
  <c r="R316" i="6"/>
  <c r="V315" i="6"/>
  <c r="U315" i="6"/>
  <c r="T315" i="6"/>
  <c r="S315" i="6"/>
  <c r="R315" i="6"/>
  <c r="V314" i="6"/>
  <c r="U314" i="6"/>
  <c r="T314" i="6"/>
  <c r="S314" i="6"/>
  <c r="R314" i="6"/>
  <c r="V313" i="6"/>
  <c r="U313" i="6"/>
  <c r="T313" i="6"/>
  <c r="S313" i="6"/>
  <c r="R313" i="6"/>
  <c r="V312" i="6"/>
  <c r="U312" i="6"/>
  <c r="T312" i="6"/>
  <c r="S312" i="6"/>
  <c r="R312" i="6"/>
  <c r="V311" i="6"/>
  <c r="U311" i="6"/>
  <c r="T311" i="6"/>
  <c r="S311" i="6"/>
  <c r="R311" i="6"/>
  <c r="V310" i="6"/>
  <c r="U310" i="6"/>
  <c r="T310" i="6"/>
  <c r="S310" i="6"/>
  <c r="R310" i="6"/>
  <c r="V309" i="6"/>
  <c r="U309" i="6"/>
  <c r="T309" i="6"/>
  <c r="S309" i="6"/>
  <c r="R309" i="6"/>
  <c r="V308" i="6"/>
  <c r="U308" i="6"/>
  <c r="T308" i="6"/>
  <c r="S308" i="6"/>
  <c r="R308" i="6"/>
  <c r="V307" i="6"/>
  <c r="U307" i="6"/>
  <c r="T307" i="6"/>
  <c r="S307" i="6"/>
  <c r="R307" i="6"/>
  <c r="V306" i="6"/>
  <c r="U306" i="6"/>
  <c r="T306" i="6"/>
  <c r="S306" i="6"/>
  <c r="R306" i="6"/>
  <c r="V305" i="6"/>
  <c r="U305" i="6"/>
  <c r="T305" i="6"/>
  <c r="S305" i="6"/>
  <c r="R305" i="6"/>
  <c r="V304" i="6"/>
  <c r="U304" i="6"/>
  <c r="T304" i="6"/>
  <c r="S304" i="6"/>
  <c r="R304" i="6"/>
  <c r="V303" i="6"/>
  <c r="U303" i="6"/>
  <c r="T303" i="6"/>
  <c r="S303" i="6"/>
  <c r="R303" i="6"/>
  <c r="V302" i="6"/>
  <c r="U302" i="6"/>
  <c r="T302" i="6"/>
  <c r="S302" i="6"/>
  <c r="R302" i="6"/>
  <c r="V301" i="6"/>
  <c r="U301" i="6"/>
  <c r="T301" i="6"/>
  <c r="S301" i="6"/>
  <c r="R301" i="6"/>
  <c r="V300" i="6"/>
  <c r="U300" i="6"/>
  <c r="T300" i="6"/>
  <c r="S300" i="6"/>
  <c r="R300" i="6"/>
  <c r="V299" i="6"/>
  <c r="U299" i="6"/>
  <c r="T299" i="6"/>
  <c r="S299" i="6"/>
  <c r="R299" i="6"/>
  <c r="V298" i="6"/>
  <c r="U298" i="6"/>
  <c r="T298" i="6"/>
  <c r="S298" i="6"/>
  <c r="R298" i="6"/>
  <c r="V297" i="6"/>
  <c r="U297" i="6"/>
  <c r="T297" i="6"/>
  <c r="S297" i="6"/>
  <c r="R297" i="6"/>
  <c r="V296" i="6"/>
  <c r="U296" i="6"/>
  <c r="T296" i="6"/>
  <c r="S296" i="6"/>
  <c r="R296" i="6"/>
  <c r="V295" i="6"/>
  <c r="U295" i="6"/>
  <c r="T295" i="6"/>
  <c r="S295" i="6"/>
  <c r="R295" i="6"/>
  <c r="V294" i="6"/>
  <c r="U294" i="6"/>
  <c r="T294" i="6"/>
  <c r="S294" i="6"/>
  <c r="R294" i="6"/>
  <c r="V293" i="6"/>
  <c r="U293" i="6"/>
  <c r="T293" i="6"/>
  <c r="S293" i="6"/>
  <c r="R293" i="6"/>
  <c r="V292" i="6"/>
  <c r="U292" i="6"/>
  <c r="T292" i="6"/>
  <c r="S292" i="6"/>
  <c r="R292" i="6"/>
  <c r="V291" i="6"/>
  <c r="U291" i="6"/>
  <c r="T291" i="6"/>
  <c r="S291" i="6"/>
  <c r="R291" i="6"/>
  <c r="V290" i="6"/>
  <c r="U290" i="6"/>
  <c r="T290" i="6"/>
  <c r="S290" i="6"/>
  <c r="R290" i="6"/>
  <c r="V289" i="6"/>
  <c r="U289" i="6"/>
  <c r="T289" i="6"/>
  <c r="S289" i="6"/>
  <c r="R289" i="6"/>
  <c r="V288" i="6"/>
  <c r="U288" i="6"/>
  <c r="T288" i="6"/>
  <c r="S288" i="6"/>
  <c r="R288" i="6"/>
  <c r="V287" i="6"/>
  <c r="U287" i="6"/>
  <c r="T287" i="6"/>
  <c r="S287" i="6"/>
  <c r="R287" i="6"/>
  <c r="V286" i="6"/>
  <c r="U286" i="6"/>
  <c r="T286" i="6"/>
  <c r="S286" i="6"/>
  <c r="R286" i="6"/>
  <c r="V285" i="6"/>
  <c r="U285" i="6"/>
  <c r="T285" i="6"/>
  <c r="S285" i="6"/>
  <c r="R285" i="6"/>
  <c r="V284" i="6"/>
  <c r="U284" i="6"/>
  <c r="T284" i="6"/>
  <c r="S284" i="6"/>
  <c r="R284" i="6"/>
  <c r="V283" i="6"/>
  <c r="U283" i="6"/>
  <c r="T283" i="6"/>
  <c r="S283" i="6"/>
  <c r="R283" i="6"/>
  <c r="V282" i="6"/>
  <c r="U282" i="6"/>
  <c r="T282" i="6"/>
  <c r="S282" i="6"/>
  <c r="R282" i="6"/>
  <c r="V281" i="6"/>
  <c r="U281" i="6"/>
  <c r="T281" i="6"/>
  <c r="S281" i="6"/>
  <c r="R281" i="6"/>
  <c r="V280" i="6"/>
  <c r="U280" i="6"/>
  <c r="T280" i="6"/>
  <c r="S280" i="6"/>
  <c r="R280" i="6"/>
  <c r="V279" i="6"/>
  <c r="U279" i="6"/>
  <c r="T279" i="6"/>
  <c r="S279" i="6"/>
  <c r="R279" i="6"/>
  <c r="V278" i="6"/>
  <c r="U278" i="6"/>
  <c r="T278" i="6"/>
  <c r="S278" i="6"/>
  <c r="R278" i="6"/>
  <c r="V277" i="6"/>
  <c r="U277" i="6"/>
  <c r="T277" i="6"/>
  <c r="S277" i="6"/>
  <c r="R277" i="6"/>
  <c r="V276" i="6"/>
  <c r="U276" i="6"/>
  <c r="T276" i="6"/>
  <c r="S276" i="6"/>
  <c r="R276" i="6"/>
  <c r="V275" i="6"/>
  <c r="U275" i="6"/>
  <c r="T275" i="6"/>
  <c r="S275" i="6"/>
  <c r="R275" i="6"/>
  <c r="V274" i="6"/>
  <c r="U274" i="6"/>
  <c r="T274" i="6"/>
  <c r="S274" i="6"/>
  <c r="R274" i="6"/>
  <c r="V273" i="6"/>
  <c r="U273" i="6"/>
  <c r="T273" i="6"/>
  <c r="S273" i="6"/>
  <c r="R273" i="6"/>
  <c r="V272" i="6"/>
  <c r="U272" i="6"/>
  <c r="T272" i="6"/>
  <c r="S272" i="6"/>
  <c r="R272" i="6"/>
  <c r="V271" i="6"/>
  <c r="U271" i="6"/>
  <c r="T271" i="6"/>
  <c r="S271" i="6"/>
  <c r="R271" i="6"/>
  <c r="V270" i="6"/>
  <c r="U270" i="6"/>
  <c r="T270" i="6"/>
  <c r="S270" i="6"/>
  <c r="R270" i="6"/>
  <c r="V269" i="6"/>
  <c r="U269" i="6"/>
  <c r="T269" i="6"/>
  <c r="S269" i="6"/>
  <c r="R269" i="6"/>
  <c r="V268" i="6"/>
  <c r="U268" i="6"/>
  <c r="T268" i="6"/>
  <c r="S268" i="6"/>
  <c r="R268" i="6"/>
  <c r="V267" i="6"/>
  <c r="U267" i="6"/>
  <c r="T267" i="6"/>
  <c r="S267" i="6"/>
  <c r="R267" i="6"/>
  <c r="V266" i="6"/>
  <c r="U266" i="6"/>
  <c r="T266" i="6"/>
  <c r="S266" i="6"/>
  <c r="R266" i="6"/>
  <c r="V265" i="6"/>
  <c r="U265" i="6"/>
  <c r="T265" i="6"/>
  <c r="S265" i="6"/>
  <c r="R265" i="6"/>
  <c r="V264" i="6"/>
  <c r="U264" i="6"/>
  <c r="T264" i="6"/>
  <c r="S264" i="6"/>
  <c r="R264" i="6"/>
  <c r="V263" i="6"/>
  <c r="U263" i="6"/>
  <c r="T263" i="6"/>
  <c r="S263" i="6"/>
  <c r="R263" i="6"/>
  <c r="V262" i="6"/>
  <c r="U262" i="6"/>
  <c r="T262" i="6"/>
  <c r="S262" i="6"/>
  <c r="R262" i="6"/>
  <c r="V261" i="6"/>
  <c r="U261" i="6"/>
  <c r="T261" i="6"/>
  <c r="S261" i="6"/>
  <c r="R261" i="6"/>
  <c r="V260" i="6"/>
  <c r="U260" i="6"/>
  <c r="T260" i="6"/>
  <c r="S260" i="6"/>
  <c r="R260" i="6"/>
  <c r="V259" i="6"/>
  <c r="U259" i="6"/>
  <c r="T259" i="6"/>
  <c r="S259" i="6"/>
  <c r="R259" i="6"/>
  <c r="V258" i="6"/>
  <c r="U258" i="6"/>
  <c r="T258" i="6"/>
  <c r="S258" i="6"/>
  <c r="R258" i="6"/>
  <c r="V257" i="6"/>
  <c r="U257" i="6"/>
  <c r="T257" i="6"/>
  <c r="S257" i="6"/>
  <c r="R257" i="6"/>
  <c r="V256" i="6"/>
  <c r="U256" i="6"/>
  <c r="T256" i="6"/>
  <c r="S256" i="6"/>
  <c r="R256" i="6"/>
  <c r="V255" i="6"/>
  <c r="U255" i="6"/>
  <c r="T255" i="6"/>
  <c r="S255" i="6"/>
  <c r="R255" i="6"/>
  <c r="V254" i="6"/>
  <c r="U254" i="6"/>
  <c r="T254" i="6"/>
  <c r="S254" i="6"/>
  <c r="R254" i="6"/>
  <c r="V253" i="6"/>
  <c r="U253" i="6"/>
  <c r="T253" i="6"/>
  <c r="S253" i="6"/>
  <c r="R253" i="6"/>
  <c r="V252" i="6"/>
  <c r="U252" i="6"/>
  <c r="T252" i="6"/>
  <c r="S252" i="6"/>
  <c r="R252" i="6"/>
  <c r="V251" i="6"/>
  <c r="U251" i="6"/>
  <c r="T251" i="6"/>
  <c r="S251" i="6"/>
  <c r="R251" i="6"/>
  <c r="V250" i="6"/>
  <c r="U250" i="6"/>
  <c r="T250" i="6"/>
  <c r="S250" i="6"/>
  <c r="R250" i="6"/>
  <c r="V249" i="6"/>
  <c r="U249" i="6"/>
  <c r="T249" i="6"/>
  <c r="S249" i="6"/>
  <c r="R249" i="6"/>
  <c r="V248" i="6"/>
  <c r="U248" i="6"/>
  <c r="T248" i="6"/>
  <c r="S248" i="6"/>
  <c r="R248" i="6"/>
  <c r="V247" i="6"/>
  <c r="U247" i="6"/>
  <c r="T247" i="6"/>
  <c r="S247" i="6"/>
  <c r="R247" i="6"/>
  <c r="V246" i="6"/>
  <c r="U246" i="6"/>
  <c r="T246" i="6"/>
  <c r="S246" i="6"/>
  <c r="R246" i="6"/>
  <c r="V245" i="6"/>
  <c r="U245" i="6"/>
  <c r="T245" i="6"/>
  <c r="S245" i="6"/>
  <c r="R245" i="6"/>
  <c r="V244" i="6"/>
  <c r="U244" i="6"/>
  <c r="T244" i="6"/>
  <c r="S244" i="6"/>
  <c r="R244" i="6"/>
  <c r="V243" i="6"/>
  <c r="U243" i="6"/>
  <c r="T243" i="6"/>
  <c r="S243" i="6"/>
  <c r="R243" i="6"/>
  <c r="V242" i="6"/>
  <c r="U242" i="6"/>
  <c r="T242" i="6"/>
  <c r="S242" i="6"/>
  <c r="R242" i="6"/>
  <c r="V241" i="6"/>
  <c r="U241" i="6"/>
  <c r="T241" i="6"/>
  <c r="S241" i="6"/>
  <c r="R241" i="6"/>
  <c r="V240" i="6"/>
  <c r="U240" i="6"/>
  <c r="T240" i="6"/>
  <c r="S240" i="6"/>
  <c r="R240" i="6"/>
  <c r="V239" i="6"/>
  <c r="U239" i="6"/>
  <c r="T239" i="6"/>
  <c r="S239" i="6"/>
  <c r="R239" i="6"/>
  <c r="V238" i="6"/>
  <c r="U238" i="6"/>
  <c r="T238" i="6"/>
  <c r="S238" i="6"/>
  <c r="R238" i="6"/>
  <c r="V237" i="6"/>
  <c r="U237" i="6"/>
  <c r="T237" i="6"/>
  <c r="S237" i="6"/>
  <c r="R237" i="6"/>
  <c r="V236" i="6"/>
  <c r="U236" i="6"/>
  <c r="T236" i="6"/>
  <c r="S236" i="6"/>
  <c r="R236" i="6"/>
  <c r="V235" i="6"/>
  <c r="U235" i="6"/>
  <c r="T235" i="6"/>
  <c r="S235" i="6"/>
  <c r="R235" i="6"/>
  <c r="V234" i="6"/>
  <c r="U234" i="6"/>
  <c r="T234" i="6"/>
  <c r="S234" i="6"/>
  <c r="R234" i="6"/>
  <c r="V233" i="6"/>
  <c r="U233" i="6"/>
  <c r="T233" i="6"/>
  <c r="S233" i="6"/>
  <c r="R233" i="6"/>
  <c r="V232" i="6"/>
  <c r="U232" i="6"/>
  <c r="T232" i="6"/>
  <c r="S232" i="6"/>
  <c r="R232" i="6"/>
  <c r="V231" i="6"/>
  <c r="U231" i="6"/>
  <c r="T231" i="6"/>
  <c r="S231" i="6"/>
  <c r="R231" i="6"/>
  <c r="V230" i="6"/>
  <c r="U230" i="6"/>
  <c r="T230" i="6"/>
  <c r="S230" i="6"/>
  <c r="R230" i="6"/>
  <c r="V229" i="6"/>
  <c r="U229" i="6"/>
  <c r="T229" i="6"/>
  <c r="S229" i="6"/>
  <c r="R229" i="6"/>
  <c r="V228" i="6"/>
  <c r="U228" i="6"/>
  <c r="T228" i="6"/>
  <c r="S228" i="6"/>
  <c r="R228" i="6"/>
  <c r="V227" i="6"/>
  <c r="U227" i="6"/>
  <c r="T227" i="6"/>
  <c r="S227" i="6"/>
  <c r="R227" i="6"/>
  <c r="V226" i="6"/>
  <c r="U226" i="6"/>
  <c r="T226" i="6"/>
  <c r="S226" i="6"/>
  <c r="R226" i="6"/>
  <c r="V225" i="6"/>
  <c r="U225" i="6"/>
  <c r="T225" i="6"/>
  <c r="S225" i="6"/>
  <c r="R225" i="6"/>
  <c r="V224" i="6"/>
  <c r="U224" i="6"/>
  <c r="T224" i="6"/>
  <c r="S224" i="6"/>
  <c r="R224" i="6"/>
  <c r="V223" i="6"/>
  <c r="U223" i="6"/>
  <c r="T223" i="6"/>
  <c r="S223" i="6"/>
  <c r="R223" i="6"/>
  <c r="V222" i="6"/>
  <c r="U222" i="6"/>
  <c r="T222" i="6"/>
  <c r="S222" i="6"/>
  <c r="R222" i="6"/>
  <c r="V221" i="6"/>
  <c r="U221" i="6"/>
  <c r="T221" i="6"/>
  <c r="S221" i="6"/>
  <c r="R221" i="6"/>
  <c r="V220" i="6"/>
  <c r="U220" i="6"/>
  <c r="T220" i="6"/>
  <c r="S220" i="6"/>
  <c r="R220" i="6"/>
  <c r="V219" i="6"/>
  <c r="U219" i="6"/>
  <c r="T219" i="6"/>
  <c r="S219" i="6"/>
  <c r="R219" i="6"/>
  <c r="V218" i="6"/>
  <c r="U218" i="6"/>
  <c r="T218" i="6"/>
  <c r="S218" i="6"/>
  <c r="R218" i="6"/>
  <c r="V217" i="6"/>
  <c r="U217" i="6"/>
  <c r="T217" i="6"/>
  <c r="S217" i="6"/>
  <c r="R217" i="6"/>
  <c r="V216" i="6"/>
  <c r="U216" i="6"/>
  <c r="T216" i="6"/>
  <c r="S216" i="6"/>
  <c r="R216" i="6"/>
  <c r="V215" i="6"/>
  <c r="U215" i="6"/>
  <c r="T215" i="6"/>
  <c r="S215" i="6"/>
  <c r="R215" i="6"/>
  <c r="V214" i="6"/>
  <c r="U214" i="6"/>
  <c r="T214" i="6"/>
  <c r="S214" i="6"/>
  <c r="R214" i="6"/>
  <c r="V213" i="6"/>
  <c r="U213" i="6"/>
  <c r="T213" i="6"/>
  <c r="S213" i="6"/>
  <c r="R213" i="6"/>
  <c r="V212" i="6"/>
  <c r="U212" i="6"/>
  <c r="T212" i="6"/>
  <c r="S212" i="6"/>
  <c r="R212" i="6"/>
  <c r="V211" i="6"/>
  <c r="U211" i="6"/>
  <c r="T211" i="6"/>
  <c r="S211" i="6"/>
  <c r="R211" i="6"/>
  <c r="V210" i="6"/>
  <c r="U210" i="6"/>
  <c r="T210" i="6"/>
  <c r="S210" i="6"/>
  <c r="R210" i="6"/>
  <c r="V209" i="6"/>
  <c r="U209" i="6"/>
  <c r="T209" i="6"/>
  <c r="S209" i="6"/>
  <c r="R209" i="6"/>
  <c r="V208" i="6"/>
  <c r="U208" i="6"/>
  <c r="T208" i="6"/>
  <c r="S208" i="6"/>
  <c r="R208" i="6"/>
  <c r="V207" i="6"/>
  <c r="U207" i="6"/>
  <c r="T207" i="6"/>
  <c r="S207" i="6"/>
  <c r="R207" i="6"/>
  <c r="V206" i="6"/>
  <c r="U206" i="6"/>
  <c r="T206" i="6"/>
  <c r="S206" i="6"/>
  <c r="R206" i="6"/>
  <c r="V205" i="6"/>
  <c r="U205" i="6"/>
  <c r="T205" i="6"/>
  <c r="S205" i="6"/>
  <c r="R205" i="6"/>
  <c r="V204" i="6"/>
  <c r="U204" i="6"/>
  <c r="T204" i="6"/>
  <c r="S204" i="6"/>
  <c r="R204" i="6"/>
  <c r="V203" i="6"/>
  <c r="U203" i="6"/>
  <c r="T203" i="6"/>
  <c r="S203" i="6"/>
  <c r="R203" i="6"/>
  <c r="V202" i="6"/>
  <c r="U202" i="6"/>
  <c r="T202" i="6"/>
  <c r="S202" i="6"/>
  <c r="R202" i="6"/>
  <c r="V201" i="6"/>
  <c r="U201" i="6"/>
  <c r="T201" i="6"/>
  <c r="S201" i="6"/>
  <c r="R201" i="6"/>
  <c r="V200" i="6"/>
  <c r="U200" i="6"/>
  <c r="T200" i="6"/>
  <c r="S200" i="6"/>
  <c r="R200" i="6"/>
  <c r="V199" i="6"/>
  <c r="U199" i="6"/>
  <c r="T199" i="6"/>
  <c r="S199" i="6"/>
  <c r="R199" i="6"/>
  <c r="V198" i="6"/>
  <c r="U198" i="6"/>
  <c r="T198" i="6"/>
  <c r="S198" i="6"/>
  <c r="R198" i="6"/>
  <c r="V197" i="6"/>
  <c r="U197" i="6"/>
  <c r="T197" i="6"/>
  <c r="S197" i="6"/>
  <c r="R197" i="6"/>
  <c r="V196" i="6"/>
  <c r="U196" i="6"/>
  <c r="T196" i="6"/>
  <c r="S196" i="6"/>
  <c r="R196" i="6"/>
  <c r="V195" i="6"/>
  <c r="U195" i="6"/>
  <c r="T195" i="6"/>
  <c r="S195" i="6"/>
  <c r="R195" i="6"/>
  <c r="V194" i="6"/>
  <c r="U194" i="6"/>
  <c r="T194" i="6"/>
  <c r="S194" i="6"/>
  <c r="R194" i="6"/>
  <c r="V193" i="6"/>
  <c r="U193" i="6"/>
  <c r="T193" i="6"/>
  <c r="S193" i="6"/>
  <c r="R193" i="6"/>
  <c r="V192" i="6"/>
  <c r="U192" i="6"/>
  <c r="T192" i="6"/>
  <c r="S192" i="6"/>
  <c r="R192" i="6"/>
  <c r="V191" i="6"/>
  <c r="U191" i="6"/>
  <c r="T191" i="6"/>
  <c r="S191" i="6"/>
  <c r="R191" i="6"/>
  <c r="V190" i="6"/>
  <c r="U190" i="6"/>
  <c r="T190" i="6"/>
  <c r="S190" i="6"/>
  <c r="R190" i="6"/>
  <c r="V189" i="6"/>
  <c r="U189" i="6"/>
  <c r="T189" i="6"/>
  <c r="S189" i="6"/>
  <c r="R189" i="6"/>
  <c r="V188" i="6"/>
  <c r="U188" i="6"/>
  <c r="T188" i="6"/>
  <c r="S188" i="6"/>
  <c r="R188" i="6"/>
  <c r="V187" i="6"/>
  <c r="U187" i="6"/>
  <c r="T187" i="6"/>
  <c r="S187" i="6"/>
  <c r="R187" i="6"/>
  <c r="V186" i="6"/>
  <c r="U186" i="6"/>
  <c r="T186" i="6"/>
  <c r="S186" i="6"/>
  <c r="R186" i="6"/>
  <c r="V185" i="6"/>
  <c r="U185" i="6"/>
  <c r="T185" i="6"/>
  <c r="S185" i="6"/>
  <c r="R185" i="6"/>
  <c r="V184" i="6"/>
  <c r="U184" i="6"/>
  <c r="T184" i="6"/>
  <c r="S184" i="6"/>
  <c r="R184" i="6"/>
  <c r="V183" i="6"/>
  <c r="U183" i="6"/>
  <c r="T183" i="6"/>
  <c r="S183" i="6"/>
  <c r="R183" i="6"/>
  <c r="V182" i="6"/>
  <c r="U182" i="6"/>
  <c r="T182" i="6"/>
  <c r="S182" i="6"/>
  <c r="R182" i="6"/>
  <c r="V181" i="6"/>
  <c r="U181" i="6"/>
  <c r="T181" i="6"/>
  <c r="S181" i="6"/>
  <c r="R181" i="6"/>
  <c r="V180" i="6"/>
  <c r="U180" i="6"/>
  <c r="T180" i="6"/>
  <c r="S180" i="6"/>
  <c r="R180" i="6"/>
  <c r="V179" i="6"/>
  <c r="U179" i="6"/>
  <c r="T179" i="6"/>
  <c r="S179" i="6"/>
  <c r="R179" i="6"/>
  <c r="V178" i="6"/>
  <c r="U178" i="6"/>
  <c r="T178" i="6"/>
  <c r="S178" i="6"/>
  <c r="R178" i="6"/>
  <c r="V177" i="6"/>
  <c r="U177" i="6"/>
  <c r="T177" i="6"/>
  <c r="S177" i="6"/>
  <c r="R177" i="6"/>
  <c r="V176" i="6"/>
  <c r="U176" i="6"/>
  <c r="T176" i="6"/>
  <c r="S176" i="6"/>
  <c r="R176" i="6"/>
  <c r="V175" i="6"/>
  <c r="U175" i="6"/>
  <c r="T175" i="6"/>
  <c r="S175" i="6"/>
  <c r="R175" i="6"/>
  <c r="V174" i="6"/>
  <c r="U174" i="6"/>
  <c r="T174" i="6"/>
  <c r="S174" i="6"/>
  <c r="R174" i="6"/>
  <c r="V173" i="6"/>
  <c r="U173" i="6"/>
  <c r="T173" i="6"/>
  <c r="S173" i="6"/>
  <c r="R173" i="6"/>
  <c r="V172" i="6"/>
  <c r="U172" i="6"/>
  <c r="T172" i="6"/>
  <c r="S172" i="6"/>
  <c r="R172" i="6"/>
  <c r="V171" i="6"/>
  <c r="U171" i="6"/>
  <c r="T171" i="6"/>
  <c r="S171" i="6"/>
  <c r="R171" i="6"/>
  <c r="V170" i="6"/>
  <c r="U170" i="6"/>
  <c r="T170" i="6"/>
  <c r="S170" i="6"/>
  <c r="R170" i="6"/>
  <c r="V169" i="6"/>
  <c r="U169" i="6"/>
  <c r="T169" i="6"/>
  <c r="S169" i="6"/>
  <c r="R169" i="6"/>
  <c r="V168" i="6"/>
  <c r="U168" i="6"/>
  <c r="T168" i="6"/>
  <c r="S168" i="6"/>
  <c r="R168" i="6"/>
  <c r="V167" i="6"/>
  <c r="U167" i="6"/>
  <c r="T167" i="6"/>
  <c r="S167" i="6"/>
  <c r="R167" i="6"/>
  <c r="V166" i="6"/>
  <c r="U166" i="6"/>
  <c r="T166" i="6"/>
  <c r="S166" i="6"/>
  <c r="R166" i="6"/>
  <c r="V165" i="6"/>
  <c r="U165" i="6"/>
  <c r="T165" i="6"/>
  <c r="S165" i="6"/>
  <c r="R165" i="6"/>
  <c r="V164" i="6"/>
  <c r="U164" i="6"/>
  <c r="T164" i="6"/>
  <c r="S164" i="6"/>
  <c r="R164" i="6"/>
  <c r="V163" i="6"/>
  <c r="U163" i="6"/>
  <c r="T163" i="6"/>
  <c r="S163" i="6"/>
  <c r="R163" i="6"/>
  <c r="V162" i="6"/>
  <c r="U162" i="6"/>
  <c r="T162" i="6"/>
  <c r="S162" i="6"/>
  <c r="R162" i="6"/>
  <c r="V161" i="6"/>
  <c r="U161" i="6"/>
  <c r="T161" i="6"/>
  <c r="S161" i="6"/>
  <c r="R161" i="6"/>
  <c r="V160" i="6"/>
  <c r="U160" i="6"/>
  <c r="T160" i="6"/>
  <c r="S160" i="6"/>
  <c r="R160" i="6"/>
  <c r="V159" i="6"/>
  <c r="U159" i="6"/>
  <c r="T159" i="6"/>
  <c r="S159" i="6"/>
  <c r="R159" i="6"/>
  <c r="V158" i="6"/>
  <c r="U158" i="6"/>
  <c r="T158" i="6"/>
  <c r="S158" i="6"/>
  <c r="R158" i="6"/>
  <c r="V157" i="6"/>
  <c r="U157" i="6"/>
  <c r="T157" i="6"/>
  <c r="S157" i="6"/>
  <c r="R157" i="6"/>
  <c r="V156" i="6"/>
  <c r="U156" i="6"/>
  <c r="T156" i="6"/>
  <c r="S156" i="6"/>
  <c r="R156" i="6"/>
  <c r="V155" i="6"/>
  <c r="U155" i="6"/>
  <c r="T155" i="6"/>
  <c r="S155" i="6"/>
  <c r="R155" i="6"/>
  <c r="V154" i="6"/>
  <c r="U154" i="6"/>
  <c r="T154" i="6"/>
  <c r="S154" i="6"/>
  <c r="R154" i="6"/>
  <c r="V153" i="6"/>
  <c r="U153" i="6"/>
  <c r="T153" i="6"/>
  <c r="S153" i="6"/>
  <c r="R153" i="6"/>
  <c r="V152" i="6"/>
  <c r="U152" i="6"/>
  <c r="T152" i="6"/>
  <c r="S152" i="6"/>
  <c r="R152" i="6"/>
  <c r="V151" i="6"/>
  <c r="U151" i="6"/>
  <c r="T151" i="6"/>
  <c r="S151" i="6"/>
  <c r="R151" i="6"/>
  <c r="V150" i="6"/>
  <c r="U150" i="6"/>
  <c r="T150" i="6"/>
  <c r="S150" i="6"/>
  <c r="R150" i="6"/>
  <c r="V149" i="6"/>
  <c r="U149" i="6"/>
  <c r="T149" i="6"/>
  <c r="S149" i="6"/>
  <c r="R149" i="6"/>
  <c r="V148" i="6"/>
  <c r="U148" i="6"/>
  <c r="T148" i="6"/>
  <c r="S148" i="6"/>
  <c r="R148" i="6"/>
  <c r="V147" i="6"/>
  <c r="U147" i="6"/>
  <c r="T147" i="6"/>
  <c r="S147" i="6"/>
  <c r="R147" i="6"/>
  <c r="V146" i="6"/>
  <c r="U146" i="6"/>
  <c r="T146" i="6"/>
  <c r="S146" i="6"/>
  <c r="R146" i="6"/>
  <c r="V145" i="6"/>
  <c r="U145" i="6"/>
  <c r="T145" i="6"/>
  <c r="S145" i="6"/>
  <c r="R145" i="6"/>
  <c r="V144" i="6"/>
  <c r="U144" i="6"/>
  <c r="T144" i="6"/>
  <c r="S144" i="6"/>
  <c r="R144" i="6"/>
  <c r="V143" i="6"/>
  <c r="U143" i="6"/>
  <c r="T143" i="6"/>
  <c r="S143" i="6"/>
  <c r="R143" i="6"/>
  <c r="V142" i="6"/>
  <c r="U142" i="6"/>
  <c r="T142" i="6"/>
  <c r="S142" i="6"/>
  <c r="R142" i="6"/>
  <c r="V141" i="6"/>
  <c r="U141" i="6"/>
  <c r="T141" i="6"/>
  <c r="S141" i="6"/>
  <c r="R141" i="6"/>
  <c r="V140" i="6"/>
  <c r="U140" i="6"/>
  <c r="T140" i="6"/>
  <c r="S140" i="6"/>
  <c r="R140" i="6"/>
  <c r="V139" i="6"/>
  <c r="U139" i="6"/>
  <c r="T139" i="6"/>
  <c r="S139" i="6"/>
  <c r="R139" i="6"/>
  <c r="V138" i="6"/>
  <c r="U138" i="6"/>
  <c r="T138" i="6"/>
  <c r="S138" i="6"/>
  <c r="R138" i="6"/>
  <c r="V137" i="6"/>
  <c r="U137" i="6"/>
  <c r="T137" i="6"/>
  <c r="S137" i="6"/>
  <c r="R137" i="6"/>
  <c r="V136" i="6"/>
  <c r="U136" i="6"/>
  <c r="T136" i="6"/>
  <c r="S136" i="6"/>
  <c r="R136" i="6"/>
  <c r="V135" i="6"/>
  <c r="U135" i="6"/>
  <c r="T135" i="6"/>
  <c r="S135" i="6"/>
  <c r="R135" i="6"/>
  <c r="V134" i="6"/>
  <c r="U134" i="6"/>
  <c r="T134" i="6"/>
  <c r="S134" i="6"/>
  <c r="R134" i="6"/>
  <c r="V133" i="6"/>
  <c r="U133" i="6"/>
  <c r="T133" i="6"/>
  <c r="S133" i="6"/>
  <c r="R133" i="6"/>
  <c r="V132" i="6"/>
  <c r="U132" i="6"/>
  <c r="T132" i="6"/>
  <c r="S132" i="6"/>
  <c r="R132" i="6"/>
  <c r="V131" i="6"/>
  <c r="U131" i="6"/>
  <c r="T131" i="6"/>
  <c r="S131" i="6"/>
  <c r="R131" i="6"/>
  <c r="V130" i="6"/>
  <c r="U130" i="6"/>
  <c r="T130" i="6"/>
  <c r="S130" i="6"/>
  <c r="R130" i="6"/>
  <c r="V129" i="6"/>
  <c r="U129" i="6"/>
  <c r="T129" i="6"/>
  <c r="S129" i="6"/>
  <c r="R129" i="6"/>
  <c r="V128" i="6"/>
  <c r="U128" i="6"/>
  <c r="T128" i="6"/>
  <c r="S128" i="6"/>
  <c r="R128" i="6"/>
  <c r="V127" i="6"/>
  <c r="U127" i="6"/>
  <c r="T127" i="6"/>
  <c r="S127" i="6"/>
  <c r="R127" i="6"/>
  <c r="V126" i="6"/>
  <c r="U126" i="6"/>
  <c r="T126" i="6"/>
  <c r="S126" i="6"/>
  <c r="R126" i="6"/>
  <c r="V125" i="6"/>
  <c r="U125" i="6"/>
  <c r="T125" i="6"/>
  <c r="S125" i="6"/>
  <c r="R125" i="6"/>
  <c r="V124" i="6"/>
  <c r="U124" i="6"/>
  <c r="T124" i="6"/>
  <c r="S124" i="6"/>
  <c r="R124" i="6"/>
  <c r="V123" i="6"/>
  <c r="U123" i="6"/>
  <c r="T123" i="6"/>
  <c r="S123" i="6"/>
  <c r="R123" i="6"/>
  <c r="V122" i="6"/>
  <c r="U122" i="6"/>
  <c r="T122" i="6"/>
  <c r="S122" i="6"/>
  <c r="R122" i="6"/>
  <c r="V121" i="6"/>
  <c r="U121" i="6"/>
  <c r="T121" i="6"/>
  <c r="S121" i="6"/>
  <c r="R121" i="6"/>
  <c r="V120" i="6"/>
  <c r="U120" i="6"/>
  <c r="T120" i="6"/>
  <c r="S120" i="6"/>
  <c r="R120" i="6"/>
  <c r="V119" i="6"/>
  <c r="U119" i="6"/>
  <c r="T119" i="6"/>
  <c r="S119" i="6"/>
  <c r="R119" i="6"/>
  <c r="V118" i="6"/>
  <c r="U118" i="6"/>
  <c r="T118" i="6"/>
  <c r="S118" i="6"/>
  <c r="R118" i="6"/>
  <c r="V117" i="6"/>
  <c r="U117" i="6"/>
  <c r="T117" i="6"/>
  <c r="S117" i="6"/>
  <c r="R117" i="6"/>
  <c r="V116" i="6"/>
  <c r="U116" i="6"/>
  <c r="T116" i="6"/>
  <c r="S116" i="6"/>
  <c r="R116" i="6"/>
  <c r="V115" i="6"/>
  <c r="U115" i="6"/>
  <c r="T115" i="6"/>
  <c r="S115" i="6"/>
  <c r="R115" i="6"/>
  <c r="V114" i="6"/>
  <c r="U114" i="6"/>
  <c r="T114" i="6"/>
  <c r="S114" i="6"/>
  <c r="R114" i="6"/>
  <c r="V113" i="6"/>
  <c r="U113" i="6"/>
  <c r="T113" i="6"/>
  <c r="S113" i="6"/>
  <c r="R113" i="6"/>
  <c r="O113" i="6"/>
  <c r="N113" i="6"/>
  <c r="M113" i="6"/>
  <c r="L113" i="6"/>
  <c r="K113" i="6"/>
  <c r="V112" i="6"/>
  <c r="U112" i="6"/>
  <c r="T112" i="6"/>
  <c r="S112" i="6"/>
  <c r="R112" i="6"/>
  <c r="O112" i="6"/>
  <c r="N112" i="6"/>
  <c r="M112" i="6"/>
  <c r="L112" i="6"/>
  <c r="K112" i="6"/>
  <c r="V111" i="6"/>
  <c r="U111" i="6"/>
  <c r="T111" i="6"/>
  <c r="S111" i="6"/>
  <c r="R111" i="6"/>
  <c r="O111" i="6"/>
  <c r="N111" i="6"/>
  <c r="M111" i="6"/>
  <c r="L111" i="6"/>
  <c r="K111" i="6"/>
  <c r="V110" i="6"/>
  <c r="U110" i="6"/>
  <c r="T110" i="6"/>
  <c r="S110" i="6"/>
  <c r="R110" i="6"/>
  <c r="O110" i="6"/>
  <c r="N110" i="6"/>
  <c r="M110" i="6"/>
  <c r="L110" i="6"/>
  <c r="K110" i="6"/>
  <c r="V109" i="6"/>
  <c r="U109" i="6"/>
  <c r="T109" i="6"/>
  <c r="S109" i="6"/>
  <c r="R109" i="6"/>
  <c r="O109" i="6"/>
  <c r="N109" i="6"/>
  <c r="M109" i="6"/>
  <c r="L109" i="6"/>
  <c r="K109" i="6"/>
  <c r="V108" i="6"/>
  <c r="U108" i="6"/>
  <c r="T108" i="6"/>
  <c r="S108" i="6"/>
  <c r="R108" i="6"/>
  <c r="O108" i="6"/>
  <c r="N108" i="6"/>
  <c r="M108" i="6"/>
  <c r="L108" i="6"/>
  <c r="K108" i="6"/>
  <c r="V107" i="6"/>
  <c r="U107" i="6"/>
  <c r="T107" i="6"/>
  <c r="S107" i="6"/>
  <c r="R107" i="6"/>
  <c r="O107" i="6"/>
  <c r="N107" i="6"/>
  <c r="M107" i="6"/>
  <c r="L107" i="6"/>
  <c r="K107" i="6"/>
  <c r="V106" i="6"/>
  <c r="U106" i="6"/>
  <c r="T106" i="6"/>
  <c r="S106" i="6"/>
  <c r="R106" i="6"/>
  <c r="O106" i="6"/>
  <c r="N106" i="6"/>
  <c r="M106" i="6"/>
  <c r="L106" i="6"/>
  <c r="K106" i="6"/>
  <c r="V105" i="6"/>
  <c r="U105" i="6"/>
  <c r="T105" i="6"/>
  <c r="S105" i="6"/>
  <c r="R105" i="6"/>
  <c r="O105" i="6"/>
  <c r="N105" i="6"/>
  <c r="M105" i="6"/>
  <c r="L105" i="6"/>
  <c r="K105" i="6"/>
  <c r="V104" i="6"/>
  <c r="U104" i="6"/>
  <c r="T104" i="6"/>
  <c r="S104" i="6"/>
  <c r="R104" i="6"/>
  <c r="O104" i="6"/>
  <c r="N104" i="6"/>
  <c r="M104" i="6"/>
  <c r="L104" i="6"/>
  <c r="K104" i="6"/>
  <c r="V103" i="6"/>
  <c r="U103" i="6"/>
  <c r="T103" i="6"/>
  <c r="S103" i="6"/>
  <c r="R103" i="6"/>
  <c r="O103" i="6"/>
  <c r="N103" i="6"/>
  <c r="M103" i="6"/>
  <c r="L103" i="6"/>
  <c r="K103" i="6"/>
  <c r="V102" i="6"/>
  <c r="U102" i="6"/>
  <c r="T102" i="6"/>
  <c r="S102" i="6"/>
  <c r="R102" i="6"/>
  <c r="O102" i="6"/>
  <c r="N102" i="6"/>
  <c r="M102" i="6"/>
  <c r="L102" i="6"/>
  <c r="K102" i="6"/>
  <c r="V101" i="6"/>
  <c r="U101" i="6"/>
  <c r="T101" i="6"/>
  <c r="S101" i="6"/>
  <c r="R101" i="6"/>
  <c r="O101" i="6"/>
  <c r="N101" i="6"/>
  <c r="M101" i="6"/>
  <c r="L101" i="6"/>
  <c r="K101" i="6"/>
  <c r="V100" i="6"/>
  <c r="U100" i="6"/>
  <c r="T100" i="6"/>
  <c r="S100" i="6"/>
  <c r="R100" i="6"/>
  <c r="O100" i="6"/>
  <c r="N100" i="6"/>
  <c r="M100" i="6"/>
  <c r="L100" i="6"/>
  <c r="K100" i="6"/>
  <c r="V99" i="6"/>
  <c r="U99" i="6"/>
  <c r="T99" i="6"/>
  <c r="S99" i="6"/>
  <c r="R99" i="6"/>
  <c r="O99" i="6"/>
  <c r="N99" i="6"/>
  <c r="M99" i="6"/>
  <c r="L99" i="6"/>
  <c r="K99" i="6"/>
  <c r="V98" i="6"/>
  <c r="U98" i="6"/>
  <c r="T98" i="6"/>
  <c r="S98" i="6"/>
  <c r="R98" i="6"/>
  <c r="O98" i="6"/>
  <c r="N98" i="6"/>
  <c r="M98" i="6"/>
  <c r="L98" i="6"/>
  <c r="K98" i="6"/>
  <c r="V97" i="6"/>
  <c r="U97" i="6"/>
  <c r="T97" i="6"/>
  <c r="S97" i="6"/>
  <c r="R97" i="6"/>
  <c r="O97" i="6"/>
  <c r="N97" i="6"/>
  <c r="M97" i="6"/>
  <c r="L97" i="6"/>
  <c r="K97" i="6"/>
  <c r="V96" i="6"/>
  <c r="U96" i="6"/>
  <c r="T96" i="6"/>
  <c r="S96" i="6"/>
  <c r="R96" i="6"/>
  <c r="O96" i="6"/>
  <c r="N96" i="6"/>
  <c r="M96" i="6"/>
  <c r="L96" i="6"/>
  <c r="K96" i="6"/>
  <c r="V95" i="6"/>
  <c r="U95" i="6"/>
  <c r="T95" i="6"/>
  <c r="S95" i="6"/>
  <c r="R95" i="6"/>
  <c r="O95" i="6"/>
  <c r="N95" i="6"/>
  <c r="M95" i="6"/>
  <c r="L95" i="6"/>
  <c r="K95" i="6"/>
  <c r="V94" i="6"/>
  <c r="U94" i="6"/>
  <c r="T94" i="6"/>
  <c r="S94" i="6"/>
  <c r="R94" i="6"/>
  <c r="O94" i="6"/>
  <c r="N94" i="6"/>
  <c r="M94" i="6"/>
  <c r="L94" i="6"/>
  <c r="K94" i="6"/>
  <c r="V93" i="6"/>
  <c r="U93" i="6"/>
  <c r="T93" i="6"/>
  <c r="S93" i="6"/>
  <c r="R93" i="6"/>
  <c r="O93" i="6"/>
  <c r="N93" i="6"/>
  <c r="M93" i="6"/>
  <c r="L93" i="6"/>
  <c r="K93" i="6"/>
  <c r="V92" i="6"/>
  <c r="U92" i="6"/>
  <c r="T92" i="6"/>
  <c r="S92" i="6"/>
  <c r="R92" i="6"/>
  <c r="O92" i="6"/>
  <c r="N92" i="6"/>
  <c r="M92" i="6"/>
  <c r="L92" i="6"/>
  <c r="K92" i="6"/>
  <c r="V91" i="6"/>
  <c r="U91" i="6"/>
  <c r="T91" i="6"/>
  <c r="S91" i="6"/>
  <c r="R91" i="6"/>
  <c r="O91" i="6"/>
  <c r="N91" i="6"/>
  <c r="M91" i="6"/>
  <c r="L91" i="6"/>
  <c r="K91" i="6"/>
  <c r="V90" i="6"/>
  <c r="U90" i="6"/>
  <c r="T90" i="6"/>
  <c r="S90" i="6"/>
  <c r="R90" i="6"/>
  <c r="O90" i="6"/>
  <c r="N90" i="6"/>
  <c r="M90" i="6"/>
  <c r="L90" i="6"/>
  <c r="K90" i="6"/>
  <c r="V89" i="6"/>
  <c r="U89" i="6"/>
  <c r="T89" i="6"/>
  <c r="S89" i="6"/>
  <c r="R89" i="6"/>
  <c r="O89" i="6"/>
  <c r="N89" i="6"/>
  <c r="M89" i="6"/>
  <c r="L89" i="6"/>
  <c r="K89" i="6"/>
  <c r="V88" i="6"/>
  <c r="U88" i="6"/>
  <c r="T88" i="6"/>
  <c r="S88" i="6"/>
  <c r="R88" i="6"/>
  <c r="O88" i="6"/>
  <c r="N88" i="6"/>
  <c r="M88" i="6"/>
  <c r="L88" i="6"/>
  <c r="K88" i="6"/>
  <c r="V87" i="6"/>
  <c r="U87" i="6"/>
  <c r="T87" i="6"/>
  <c r="S87" i="6"/>
  <c r="R87" i="6"/>
  <c r="O87" i="6"/>
  <c r="N87" i="6"/>
  <c r="M87" i="6"/>
  <c r="L87" i="6"/>
  <c r="K87" i="6"/>
  <c r="V86" i="6"/>
  <c r="U86" i="6"/>
  <c r="T86" i="6"/>
  <c r="S86" i="6"/>
  <c r="R86" i="6"/>
  <c r="O86" i="6"/>
  <c r="N86" i="6"/>
  <c r="M86" i="6"/>
  <c r="L86" i="6"/>
  <c r="K86" i="6"/>
  <c r="V85" i="6"/>
  <c r="U85" i="6"/>
  <c r="T85" i="6"/>
  <c r="S85" i="6"/>
  <c r="R85" i="6"/>
  <c r="O85" i="6"/>
  <c r="N85" i="6"/>
  <c r="M85" i="6"/>
  <c r="L85" i="6"/>
  <c r="K85" i="6"/>
  <c r="V84" i="6"/>
  <c r="U84" i="6"/>
  <c r="T84" i="6"/>
  <c r="S84" i="6"/>
  <c r="R84" i="6"/>
  <c r="O84" i="6"/>
  <c r="N84" i="6"/>
  <c r="M84" i="6"/>
  <c r="L84" i="6"/>
  <c r="K84" i="6"/>
  <c r="V83" i="6"/>
  <c r="U83" i="6"/>
  <c r="T83" i="6"/>
  <c r="S83" i="6"/>
  <c r="R83" i="6"/>
  <c r="O83" i="6"/>
  <c r="N83" i="6"/>
  <c r="M83" i="6"/>
  <c r="L83" i="6"/>
  <c r="K83" i="6"/>
  <c r="V82" i="6"/>
  <c r="U82" i="6"/>
  <c r="T82" i="6"/>
  <c r="S82" i="6"/>
  <c r="R82" i="6"/>
  <c r="O82" i="6"/>
  <c r="N82" i="6"/>
  <c r="M82" i="6"/>
  <c r="L82" i="6"/>
  <c r="K82" i="6"/>
  <c r="V81" i="6"/>
  <c r="U81" i="6"/>
  <c r="T81" i="6"/>
  <c r="S81" i="6"/>
  <c r="R81" i="6"/>
  <c r="O81" i="6"/>
  <c r="N81" i="6"/>
  <c r="M81" i="6"/>
  <c r="L81" i="6"/>
  <c r="K81" i="6"/>
  <c r="V80" i="6"/>
  <c r="U80" i="6"/>
  <c r="T80" i="6"/>
  <c r="S80" i="6"/>
  <c r="R80" i="6"/>
  <c r="O80" i="6"/>
  <c r="N80" i="6"/>
  <c r="M80" i="6"/>
  <c r="L80" i="6"/>
  <c r="K80" i="6"/>
  <c r="V79" i="6"/>
  <c r="U79" i="6"/>
  <c r="T79" i="6"/>
  <c r="S79" i="6"/>
  <c r="R79" i="6"/>
  <c r="O79" i="6"/>
  <c r="N79" i="6"/>
  <c r="M79" i="6"/>
  <c r="L79" i="6"/>
  <c r="K79" i="6"/>
  <c r="V78" i="6"/>
  <c r="U78" i="6"/>
  <c r="T78" i="6"/>
  <c r="S78" i="6"/>
  <c r="R78" i="6"/>
  <c r="O78" i="6"/>
  <c r="N78" i="6"/>
  <c r="M78" i="6"/>
  <c r="L78" i="6"/>
  <c r="K78" i="6"/>
  <c r="V77" i="6"/>
  <c r="U77" i="6"/>
  <c r="T77" i="6"/>
  <c r="S77" i="6"/>
  <c r="R77" i="6"/>
  <c r="O77" i="6"/>
  <c r="N77" i="6"/>
  <c r="M77" i="6"/>
  <c r="L77" i="6"/>
  <c r="K77" i="6"/>
  <c r="V76" i="6"/>
  <c r="U76" i="6"/>
  <c r="T76" i="6"/>
  <c r="S76" i="6"/>
  <c r="R76" i="6"/>
  <c r="O76" i="6"/>
  <c r="N76" i="6"/>
  <c r="M76" i="6"/>
  <c r="L76" i="6"/>
  <c r="K76" i="6"/>
  <c r="V75" i="6"/>
  <c r="U75" i="6"/>
  <c r="T75" i="6"/>
  <c r="S75" i="6"/>
  <c r="R75" i="6"/>
  <c r="O75" i="6"/>
  <c r="N75" i="6"/>
  <c r="M75" i="6"/>
  <c r="L75" i="6"/>
  <c r="K75" i="6"/>
  <c r="V74" i="6"/>
  <c r="U74" i="6"/>
  <c r="T74" i="6"/>
  <c r="S74" i="6"/>
  <c r="R74" i="6"/>
  <c r="O74" i="6"/>
  <c r="N74" i="6"/>
  <c r="M74" i="6"/>
  <c r="L74" i="6"/>
  <c r="K74" i="6"/>
  <c r="V73" i="6"/>
  <c r="U73" i="6"/>
  <c r="T73" i="6"/>
  <c r="S73" i="6"/>
  <c r="R73" i="6"/>
  <c r="O73" i="6"/>
  <c r="N73" i="6"/>
  <c r="M73" i="6"/>
  <c r="L73" i="6"/>
  <c r="K73" i="6"/>
  <c r="V72" i="6"/>
  <c r="U72" i="6"/>
  <c r="T72" i="6"/>
  <c r="S72" i="6"/>
  <c r="R72" i="6"/>
  <c r="O72" i="6"/>
  <c r="N72" i="6"/>
  <c r="M72" i="6"/>
  <c r="L72" i="6"/>
  <c r="K72" i="6"/>
  <c r="V71" i="6"/>
  <c r="U71" i="6"/>
  <c r="T71" i="6"/>
  <c r="S71" i="6"/>
  <c r="R71" i="6"/>
  <c r="O71" i="6"/>
  <c r="N71" i="6"/>
  <c r="M71" i="6"/>
  <c r="L71" i="6"/>
  <c r="K71" i="6"/>
  <c r="V70" i="6"/>
  <c r="U70" i="6"/>
  <c r="T70" i="6"/>
  <c r="S70" i="6"/>
  <c r="R70" i="6"/>
  <c r="O70" i="6"/>
  <c r="N70" i="6"/>
  <c r="M70" i="6"/>
  <c r="L70" i="6"/>
  <c r="K70" i="6"/>
  <c r="V69" i="6"/>
  <c r="U69" i="6"/>
  <c r="T69" i="6"/>
  <c r="S69" i="6"/>
  <c r="R69" i="6"/>
  <c r="O69" i="6"/>
  <c r="N69" i="6"/>
  <c r="M69" i="6"/>
  <c r="L69" i="6"/>
  <c r="K69" i="6"/>
  <c r="V68" i="6"/>
  <c r="U68" i="6"/>
  <c r="T68" i="6"/>
  <c r="S68" i="6"/>
  <c r="R68" i="6"/>
  <c r="O68" i="6"/>
  <c r="N68" i="6"/>
  <c r="M68" i="6"/>
  <c r="L68" i="6"/>
  <c r="K68" i="6"/>
  <c r="V67" i="6"/>
  <c r="U67" i="6"/>
  <c r="T67" i="6"/>
  <c r="S67" i="6"/>
  <c r="R67" i="6"/>
  <c r="O67" i="6"/>
  <c r="N67" i="6"/>
  <c r="M67" i="6"/>
  <c r="L67" i="6"/>
  <c r="K67" i="6"/>
  <c r="V66" i="6"/>
  <c r="U66" i="6"/>
  <c r="T66" i="6"/>
  <c r="S66" i="6"/>
  <c r="R66" i="6"/>
  <c r="O66" i="6"/>
  <c r="N66" i="6"/>
  <c r="M66" i="6"/>
  <c r="L66" i="6"/>
  <c r="K66" i="6"/>
  <c r="V65" i="6"/>
  <c r="U65" i="6"/>
  <c r="T65" i="6"/>
  <c r="S65" i="6"/>
  <c r="R65" i="6"/>
  <c r="O65" i="6"/>
  <c r="N65" i="6"/>
  <c r="M65" i="6"/>
  <c r="L65" i="6"/>
  <c r="K65" i="6"/>
  <c r="V64" i="6"/>
  <c r="U64" i="6"/>
  <c r="T64" i="6"/>
  <c r="S64" i="6"/>
  <c r="R64" i="6"/>
  <c r="O64" i="6"/>
  <c r="N64" i="6"/>
  <c r="M64" i="6"/>
  <c r="L64" i="6"/>
  <c r="K64" i="6"/>
  <c r="V63" i="6"/>
  <c r="U63" i="6"/>
  <c r="T63" i="6"/>
  <c r="S63" i="6"/>
  <c r="R63" i="6"/>
  <c r="O63" i="6"/>
  <c r="N63" i="6"/>
  <c r="M63" i="6"/>
  <c r="L63" i="6"/>
  <c r="K63" i="6"/>
  <c r="V62" i="6"/>
  <c r="U62" i="6"/>
  <c r="T62" i="6"/>
  <c r="S62" i="6"/>
  <c r="R62" i="6"/>
  <c r="O62" i="6"/>
  <c r="N62" i="6"/>
  <c r="M62" i="6"/>
  <c r="L62" i="6"/>
  <c r="K62" i="6"/>
  <c r="V61" i="6"/>
  <c r="U61" i="6"/>
  <c r="T61" i="6"/>
  <c r="S61" i="6"/>
  <c r="R61" i="6"/>
  <c r="O61" i="6"/>
  <c r="N61" i="6"/>
  <c r="M61" i="6"/>
  <c r="L61" i="6"/>
  <c r="K61" i="6"/>
  <c r="V60" i="6"/>
  <c r="U60" i="6"/>
  <c r="T60" i="6"/>
  <c r="S60" i="6"/>
  <c r="R60" i="6"/>
  <c r="O60" i="6"/>
  <c r="N60" i="6"/>
  <c r="M60" i="6"/>
  <c r="L60" i="6"/>
  <c r="K60" i="6"/>
  <c r="V59" i="6"/>
  <c r="U59" i="6"/>
  <c r="T59" i="6"/>
  <c r="S59" i="6"/>
  <c r="R59" i="6"/>
  <c r="O59" i="6"/>
  <c r="N59" i="6"/>
  <c r="M59" i="6"/>
  <c r="L59" i="6"/>
  <c r="K59" i="6"/>
  <c r="V58" i="6"/>
  <c r="U58" i="6"/>
  <c r="T58" i="6"/>
  <c r="S58" i="6"/>
  <c r="R58" i="6"/>
  <c r="O58" i="6"/>
  <c r="N58" i="6"/>
  <c r="M58" i="6"/>
  <c r="L58" i="6"/>
  <c r="K58" i="6"/>
  <c r="V57" i="6"/>
  <c r="U57" i="6"/>
  <c r="T57" i="6"/>
  <c r="S57" i="6"/>
  <c r="R57" i="6"/>
  <c r="O57" i="6"/>
  <c r="N57" i="6"/>
  <c r="M57" i="6"/>
  <c r="L57" i="6"/>
  <c r="K57" i="6"/>
  <c r="V56" i="6"/>
  <c r="U56" i="6"/>
  <c r="T56" i="6"/>
  <c r="S56" i="6"/>
  <c r="R56" i="6"/>
  <c r="O56" i="6"/>
  <c r="N56" i="6"/>
  <c r="M56" i="6"/>
  <c r="L56" i="6"/>
  <c r="K56" i="6"/>
  <c r="V55" i="6"/>
  <c r="U55" i="6"/>
  <c r="T55" i="6"/>
  <c r="S55" i="6"/>
  <c r="R55" i="6"/>
  <c r="O55" i="6"/>
  <c r="N55" i="6"/>
  <c r="M55" i="6"/>
  <c r="L55" i="6"/>
  <c r="K55" i="6"/>
  <c r="V54" i="6"/>
  <c r="U54" i="6"/>
  <c r="T54" i="6"/>
  <c r="S54" i="6"/>
  <c r="R54" i="6"/>
  <c r="O54" i="6"/>
  <c r="N54" i="6"/>
  <c r="M54" i="6"/>
  <c r="L54" i="6"/>
  <c r="K54" i="6"/>
  <c r="V53" i="6"/>
  <c r="U53" i="6"/>
  <c r="T53" i="6"/>
  <c r="S53" i="6"/>
  <c r="R53" i="6"/>
  <c r="O53" i="6"/>
  <c r="N53" i="6"/>
  <c r="M53" i="6"/>
  <c r="L53" i="6"/>
  <c r="K53" i="6"/>
  <c r="V52" i="6"/>
  <c r="U52" i="6"/>
  <c r="T52" i="6"/>
  <c r="S52" i="6"/>
  <c r="R52" i="6"/>
  <c r="O52" i="6"/>
  <c r="N52" i="6"/>
  <c r="M52" i="6"/>
  <c r="L52" i="6"/>
  <c r="K52" i="6"/>
  <c r="V51" i="6"/>
  <c r="U51" i="6"/>
  <c r="T51" i="6"/>
  <c r="S51" i="6"/>
  <c r="R51" i="6"/>
  <c r="O51" i="6"/>
  <c r="N51" i="6"/>
  <c r="M51" i="6"/>
  <c r="L51" i="6"/>
  <c r="K51" i="6"/>
  <c r="V50" i="6"/>
  <c r="U50" i="6"/>
  <c r="T50" i="6"/>
  <c r="S50" i="6"/>
  <c r="R50" i="6"/>
  <c r="O50" i="6"/>
  <c r="N50" i="6"/>
  <c r="M50" i="6"/>
  <c r="L50" i="6"/>
  <c r="K50" i="6"/>
  <c r="V49" i="6"/>
  <c r="U49" i="6"/>
  <c r="T49" i="6"/>
  <c r="S49" i="6"/>
  <c r="R49" i="6"/>
  <c r="O49" i="6"/>
  <c r="N49" i="6"/>
  <c r="M49" i="6"/>
  <c r="L49" i="6"/>
  <c r="K49" i="6"/>
  <c r="V48" i="6"/>
  <c r="U48" i="6"/>
  <c r="T48" i="6"/>
  <c r="S48" i="6"/>
  <c r="R48" i="6"/>
  <c r="O48" i="6"/>
  <c r="N48" i="6"/>
  <c r="M48" i="6"/>
  <c r="L48" i="6"/>
  <c r="K48" i="6"/>
  <c r="V47" i="6"/>
  <c r="U47" i="6"/>
  <c r="T47" i="6"/>
  <c r="S47" i="6"/>
  <c r="R47" i="6"/>
  <c r="O47" i="6"/>
  <c r="N47" i="6"/>
  <c r="M47" i="6"/>
  <c r="L47" i="6"/>
  <c r="K47" i="6"/>
  <c r="V46" i="6"/>
  <c r="U46" i="6"/>
  <c r="T46" i="6"/>
  <c r="S46" i="6"/>
  <c r="R46" i="6"/>
  <c r="O46" i="6"/>
  <c r="N46" i="6"/>
  <c r="M46" i="6"/>
  <c r="L46" i="6"/>
  <c r="K46" i="6"/>
  <c r="V45" i="6"/>
  <c r="U45" i="6"/>
  <c r="T45" i="6"/>
  <c r="S45" i="6"/>
  <c r="R45" i="6"/>
  <c r="O45" i="6"/>
  <c r="N45" i="6"/>
  <c r="M45" i="6"/>
  <c r="L45" i="6"/>
  <c r="K45" i="6"/>
  <c r="V44" i="6"/>
  <c r="U44" i="6"/>
  <c r="T44" i="6"/>
  <c r="S44" i="6"/>
  <c r="R44" i="6"/>
  <c r="O44" i="6"/>
  <c r="N44" i="6"/>
  <c r="M44" i="6"/>
  <c r="L44" i="6"/>
  <c r="K44" i="6"/>
  <c r="V43" i="6"/>
  <c r="U43" i="6"/>
  <c r="T43" i="6"/>
  <c r="S43" i="6"/>
  <c r="R43" i="6"/>
  <c r="O43" i="6"/>
  <c r="N43" i="6"/>
  <c r="M43" i="6"/>
  <c r="L43" i="6"/>
  <c r="K43" i="6"/>
  <c r="V42" i="6"/>
  <c r="U42" i="6"/>
  <c r="T42" i="6"/>
  <c r="S42" i="6"/>
  <c r="R42" i="6"/>
  <c r="O42" i="6"/>
  <c r="N42" i="6"/>
  <c r="M42" i="6"/>
  <c r="L42" i="6"/>
  <c r="K42" i="6"/>
  <c r="V41" i="6"/>
  <c r="U41" i="6"/>
  <c r="T41" i="6"/>
  <c r="S41" i="6"/>
  <c r="R41" i="6"/>
  <c r="O41" i="6"/>
  <c r="N41" i="6"/>
  <c r="M41" i="6"/>
  <c r="L41" i="6"/>
  <c r="K41" i="6"/>
  <c r="V40" i="6"/>
  <c r="U40" i="6"/>
  <c r="T40" i="6"/>
  <c r="S40" i="6"/>
  <c r="R40" i="6"/>
  <c r="O40" i="6"/>
  <c r="N40" i="6"/>
  <c r="M40" i="6"/>
  <c r="L40" i="6"/>
  <c r="K40" i="6"/>
  <c r="V39" i="6"/>
  <c r="U39" i="6"/>
  <c r="T39" i="6"/>
  <c r="S39" i="6"/>
  <c r="R39" i="6"/>
  <c r="O39" i="6"/>
  <c r="N39" i="6"/>
  <c r="M39" i="6"/>
  <c r="L39" i="6"/>
  <c r="K39" i="6"/>
  <c r="V38" i="6"/>
  <c r="U38" i="6"/>
  <c r="T38" i="6"/>
  <c r="S38" i="6"/>
  <c r="R38" i="6"/>
  <c r="O38" i="6"/>
  <c r="N38" i="6"/>
  <c r="M38" i="6"/>
  <c r="L38" i="6"/>
  <c r="K38" i="6"/>
  <c r="V37" i="6"/>
  <c r="U37" i="6"/>
  <c r="T37" i="6"/>
  <c r="S37" i="6"/>
  <c r="R37" i="6"/>
  <c r="O37" i="6"/>
  <c r="N37" i="6"/>
  <c r="M37" i="6"/>
  <c r="L37" i="6"/>
  <c r="K37" i="6"/>
  <c r="V36" i="6"/>
  <c r="U36" i="6"/>
  <c r="T36" i="6"/>
  <c r="S36" i="6"/>
  <c r="R36" i="6"/>
  <c r="O36" i="6"/>
  <c r="N36" i="6"/>
  <c r="M36" i="6"/>
  <c r="L36" i="6"/>
  <c r="K36" i="6"/>
  <c r="V35" i="6"/>
  <c r="U35" i="6"/>
  <c r="T35" i="6"/>
  <c r="S35" i="6"/>
  <c r="R35" i="6"/>
  <c r="O35" i="6"/>
  <c r="N35" i="6"/>
  <c r="M35" i="6"/>
  <c r="L35" i="6"/>
  <c r="K35" i="6"/>
  <c r="V34" i="6"/>
  <c r="U34" i="6"/>
  <c r="T34" i="6"/>
  <c r="S34" i="6"/>
  <c r="R34" i="6"/>
  <c r="O34" i="6"/>
  <c r="N34" i="6"/>
  <c r="M34" i="6"/>
  <c r="L34" i="6"/>
  <c r="K34" i="6"/>
  <c r="V33" i="6"/>
  <c r="U33" i="6"/>
  <c r="T33" i="6"/>
  <c r="S33" i="6"/>
  <c r="R33" i="6"/>
  <c r="O33" i="6"/>
  <c r="N33" i="6"/>
  <c r="M33" i="6"/>
  <c r="L33" i="6"/>
  <c r="K33" i="6"/>
  <c r="V32" i="6"/>
  <c r="U32" i="6"/>
  <c r="T32" i="6"/>
  <c r="S32" i="6"/>
  <c r="R32" i="6"/>
  <c r="O32" i="6"/>
  <c r="N32" i="6"/>
  <c r="M32" i="6"/>
  <c r="L32" i="6"/>
  <c r="K32" i="6"/>
  <c r="V31" i="6"/>
  <c r="U31" i="6"/>
  <c r="T31" i="6"/>
  <c r="S31" i="6"/>
  <c r="R31" i="6"/>
  <c r="O31" i="6"/>
  <c r="N31" i="6"/>
  <c r="M31" i="6"/>
  <c r="L31" i="6"/>
  <c r="K31" i="6"/>
  <c r="V30" i="6"/>
  <c r="U30" i="6"/>
  <c r="T30" i="6"/>
  <c r="S30" i="6"/>
  <c r="R30" i="6"/>
  <c r="O30" i="6"/>
  <c r="N30" i="6"/>
  <c r="M30" i="6"/>
  <c r="L30" i="6"/>
  <c r="K30" i="6"/>
  <c r="V29" i="6"/>
  <c r="U29" i="6"/>
  <c r="T29" i="6"/>
  <c r="S29" i="6"/>
  <c r="R29" i="6"/>
  <c r="O29" i="6"/>
  <c r="N29" i="6"/>
  <c r="M29" i="6"/>
  <c r="L29" i="6"/>
  <c r="K29" i="6"/>
  <c r="V28" i="6"/>
  <c r="U28" i="6"/>
  <c r="T28" i="6"/>
  <c r="S28" i="6"/>
  <c r="R28" i="6"/>
  <c r="O28" i="6"/>
  <c r="N28" i="6"/>
  <c r="M28" i="6"/>
  <c r="L28" i="6"/>
  <c r="K28" i="6"/>
  <c r="V27" i="6"/>
  <c r="U27" i="6"/>
  <c r="T27" i="6"/>
  <c r="S27" i="6"/>
  <c r="R27" i="6"/>
  <c r="O27" i="6"/>
  <c r="N27" i="6"/>
  <c r="M27" i="6"/>
  <c r="L27" i="6"/>
  <c r="K27" i="6"/>
  <c r="V26" i="6"/>
  <c r="U26" i="6"/>
  <c r="T26" i="6"/>
  <c r="S26" i="6"/>
  <c r="R26" i="6"/>
  <c r="O26" i="6"/>
  <c r="N26" i="6"/>
  <c r="M26" i="6"/>
  <c r="L26" i="6"/>
  <c r="K26" i="6"/>
  <c r="V25" i="6"/>
  <c r="U25" i="6"/>
  <c r="T25" i="6"/>
  <c r="S25" i="6"/>
  <c r="R25" i="6"/>
  <c r="O25" i="6"/>
  <c r="N25" i="6"/>
  <c r="M25" i="6"/>
  <c r="L25" i="6"/>
  <c r="K25" i="6"/>
  <c r="V24" i="6"/>
  <c r="U24" i="6"/>
  <c r="T24" i="6"/>
  <c r="S24" i="6"/>
  <c r="R24" i="6"/>
  <c r="O24" i="6"/>
  <c r="N24" i="6"/>
  <c r="M24" i="6"/>
  <c r="L24" i="6"/>
  <c r="K24" i="6"/>
  <c r="V23" i="6"/>
  <c r="U23" i="6"/>
  <c r="T23" i="6"/>
  <c r="S23" i="6"/>
  <c r="R23" i="6"/>
  <c r="O23" i="6"/>
  <c r="N23" i="6"/>
  <c r="M23" i="6"/>
  <c r="L23" i="6"/>
  <c r="K23" i="6"/>
  <c r="V22" i="6"/>
  <c r="U22" i="6"/>
  <c r="T22" i="6"/>
  <c r="S22" i="6"/>
  <c r="R22" i="6"/>
  <c r="O22" i="6"/>
  <c r="N22" i="6"/>
  <c r="M22" i="6"/>
  <c r="L22" i="6"/>
  <c r="K22" i="6"/>
  <c r="V21" i="6"/>
  <c r="U21" i="6"/>
  <c r="T21" i="6"/>
  <c r="S21" i="6"/>
  <c r="R21" i="6"/>
  <c r="O21" i="6"/>
  <c r="N21" i="6"/>
  <c r="M21" i="6"/>
  <c r="L21" i="6"/>
  <c r="K21" i="6"/>
  <c r="V20" i="6"/>
  <c r="U20" i="6"/>
  <c r="T20" i="6"/>
  <c r="S20" i="6"/>
  <c r="R20" i="6"/>
  <c r="O20" i="6"/>
  <c r="N20" i="6"/>
  <c r="M20" i="6"/>
  <c r="L20" i="6"/>
  <c r="K20" i="6"/>
  <c r="V19" i="6"/>
  <c r="U19" i="6"/>
  <c r="T19" i="6"/>
  <c r="S19" i="6"/>
  <c r="R19" i="6"/>
  <c r="O19" i="6"/>
  <c r="N19" i="6"/>
  <c r="M19" i="6"/>
  <c r="L19" i="6"/>
  <c r="K19" i="6"/>
  <c r="V18" i="6"/>
  <c r="U18" i="6"/>
  <c r="T18" i="6"/>
  <c r="S18" i="6"/>
  <c r="R18" i="6"/>
  <c r="O18" i="6"/>
  <c r="N18" i="6"/>
  <c r="M18" i="6"/>
  <c r="L18" i="6"/>
  <c r="K18" i="6"/>
  <c r="V17" i="6"/>
  <c r="U17" i="6"/>
  <c r="T17" i="6"/>
  <c r="S17" i="6"/>
  <c r="R17" i="6"/>
  <c r="O17" i="6"/>
  <c r="N17" i="6"/>
  <c r="M17" i="6"/>
  <c r="L17" i="6"/>
  <c r="K17" i="6"/>
  <c r="V16" i="6"/>
  <c r="U16" i="6"/>
  <c r="T16" i="6"/>
  <c r="S16" i="6"/>
  <c r="R16" i="6"/>
  <c r="O16" i="6"/>
  <c r="N16" i="6"/>
  <c r="M16" i="6"/>
  <c r="L16" i="6"/>
  <c r="K16" i="6"/>
  <c r="V15" i="6"/>
  <c r="U15" i="6"/>
  <c r="T15" i="6"/>
  <c r="S15" i="6"/>
  <c r="R15" i="6"/>
  <c r="O15" i="6"/>
  <c r="N15" i="6"/>
  <c r="M15" i="6"/>
  <c r="L15" i="6"/>
  <c r="K15" i="6"/>
  <c r="V14" i="6"/>
  <c r="U14" i="6"/>
  <c r="T14" i="6"/>
  <c r="S14" i="6"/>
  <c r="R14" i="6"/>
  <c r="O14" i="6"/>
  <c r="N14" i="6"/>
  <c r="M14" i="6"/>
  <c r="L14" i="6"/>
  <c r="K14" i="6"/>
  <c r="V13" i="6"/>
  <c r="U13" i="6"/>
  <c r="T13" i="6"/>
  <c r="S13" i="6"/>
  <c r="R13" i="6"/>
  <c r="O13" i="6"/>
  <c r="N13" i="6"/>
  <c r="M13" i="6"/>
  <c r="L13" i="6"/>
  <c r="K13" i="6"/>
  <c r="V12" i="6"/>
  <c r="U12" i="6"/>
  <c r="T12" i="6"/>
  <c r="S12" i="6"/>
  <c r="R12" i="6"/>
  <c r="O12" i="6"/>
  <c r="N12" i="6"/>
  <c r="M12" i="6"/>
  <c r="L12" i="6"/>
  <c r="K12" i="6"/>
  <c r="V11" i="6"/>
  <c r="U11" i="6"/>
  <c r="T11" i="6"/>
  <c r="S11" i="6"/>
  <c r="R11" i="6"/>
  <c r="O11" i="6"/>
  <c r="N11" i="6"/>
  <c r="M11" i="6"/>
  <c r="L11" i="6"/>
  <c r="K11" i="6"/>
  <c r="V10" i="6"/>
  <c r="U10" i="6"/>
  <c r="T10" i="6"/>
  <c r="S10" i="6"/>
  <c r="R10" i="6"/>
  <c r="O10" i="6"/>
  <c r="N10" i="6"/>
  <c r="M10" i="6"/>
  <c r="L10" i="6"/>
  <c r="K10" i="6"/>
  <c r="V9" i="6"/>
  <c r="U9" i="6"/>
  <c r="T9" i="6"/>
  <c r="S9" i="6"/>
  <c r="R9" i="6"/>
  <c r="O9" i="6"/>
  <c r="N9" i="6"/>
  <c r="M9" i="6"/>
  <c r="L9" i="6"/>
  <c r="K9" i="6"/>
  <c r="V8" i="6"/>
  <c r="U8" i="6"/>
  <c r="T8" i="6"/>
  <c r="S8" i="6"/>
  <c r="R8" i="6"/>
  <c r="O8" i="6"/>
  <c r="N8" i="6"/>
  <c r="M8" i="6"/>
  <c r="L8" i="6"/>
  <c r="K8" i="6"/>
  <c r="V7" i="6"/>
  <c r="U7" i="6"/>
  <c r="T7" i="6"/>
  <c r="S7" i="6"/>
  <c r="R7" i="6"/>
  <c r="O7" i="6"/>
  <c r="N7" i="6"/>
  <c r="M7" i="6"/>
  <c r="L7" i="6"/>
  <c r="K7" i="6"/>
  <c r="V6" i="6"/>
  <c r="U6" i="6"/>
  <c r="T6" i="6"/>
  <c r="S6" i="6"/>
  <c r="R6" i="6"/>
  <c r="O6" i="6"/>
  <c r="N6" i="6"/>
  <c r="M6" i="6"/>
  <c r="L6" i="6"/>
  <c r="K6" i="6"/>
  <c r="V5" i="6"/>
  <c r="U5" i="6"/>
  <c r="T5" i="6"/>
  <c r="S5" i="6"/>
  <c r="R5" i="6"/>
  <c r="O5" i="6"/>
  <c r="N5" i="6"/>
  <c r="M5" i="6"/>
  <c r="L5" i="6"/>
  <c r="K5" i="6"/>
  <c r="V4" i="6"/>
  <c r="U4" i="6"/>
  <c r="T4" i="6"/>
  <c r="S4" i="6"/>
  <c r="R4" i="6"/>
  <c r="O4" i="6"/>
  <c r="N4" i="6"/>
  <c r="M4" i="6"/>
  <c r="L4" i="6"/>
  <c r="K4" i="6"/>
  <c r="S5" i="9"/>
  <c r="W8" i="31" s="1"/>
  <c r="T5" i="9"/>
  <c r="X8" i="31" s="1"/>
  <c r="U5" i="9"/>
  <c r="Y8" i="31" s="1"/>
  <c r="V5" i="9"/>
  <c r="Z8" i="31" s="1"/>
  <c r="AA8" i="31" s="1"/>
  <c r="R5" i="9"/>
  <c r="V8" i="31" s="1"/>
  <c r="U101" i="9"/>
  <c r="Y104" i="31" s="1"/>
  <c r="T95" i="9"/>
  <c r="X98" i="31" s="1"/>
  <c r="U98" i="9"/>
  <c r="Y101" i="31" s="1"/>
  <c r="U100" i="9"/>
  <c r="Y103" i="31" s="1"/>
  <c r="U95" i="9"/>
  <c r="Y98" i="31" s="1"/>
  <c r="T96" i="9"/>
  <c r="X99" i="31" s="1"/>
  <c r="T104" i="9"/>
  <c r="X107" i="31" s="1"/>
  <c r="T103" i="9"/>
  <c r="X106" i="31" s="1"/>
  <c r="U104" i="9"/>
  <c r="Y107" i="31" s="1"/>
  <c r="U96" i="9"/>
  <c r="Y99" i="31" s="1"/>
  <c r="T102" i="9"/>
  <c r="X105" i="31" s="1"/>
  <c r="T100" i="9"/>
  <c r="X103" i="31" s="1"/>
  <c r="T98" i="9"/>
  <c r="X101" i="31" s="1"/>
  <c r="U93" i="9"/>
  <c r="Y96" i="31" s="1"/>
  <c r="U102" i="9"/>
  <c r="Y105" i="31" s="1"/>
  <c r="U99" i="9"/>
  <c r="Y102" i="31" s="1"/>
  <c r="T99" i="9"/>
  <c r="X102" i="31" s="1"/>
  <c r="U94" i="9"/>
  <c r="Y97" i="31" s="1"/>
  <c r="T97" i="9"/>
  <c r="X100" i="31" s="1"/>
  <c r="U97" i="9"/>
  <c r="Y100" i="31" s="1"/>
  <c r="U103" i="9"/>
  <c r="Y106" i="31" s="1"/>
  <c r="T101" i="9"/>
  <c r="X104" i="31" s="1"/>
  <c r="U89" i="9"/>
  <c r="Y92" i="31" s="1"/>
  <c r="V93" i="9"/>
  <c r="Z96" i="31" s="1"/>
  <c r="V99" i="9"/>
  <c r="Z102" i="31" s="1"/>
  <c r="V92" i="9"/>
  <c r="Z95" i="31" s="1"/>
  <c r="V100" i="9"/>
  <c r="Z103" i="31" s="1"/>
  <c r="V75" i="9"/>
  <c r="Z78" i="31" s="1"/>
  <c r="S101" i="9"/>
  <c r="W104" i="31" s="1"/>
  <c r="S99" i="9"/>
  <c r="W102" i="31" s="1"/>
  <c r="V96" i="9"/>
  <c r="Z99" i="31" s="1"/>
  <c r="S100" i="9"/>
  <c r="W103" i="31" s="1"/>
  <c r="V80" i="9"/>
  <c r="Z83" i="31" s="1"/>
  <c r="V79" i="9"/>
  <c r="Z82" i="31" s="1"/>
  <c r="V98" i="9"/>
  <c r="Z101" i="31" s="1"/>
  <c r="S96" i="9"/>
  <c r="W99" i="31" s="1"/>
  <c r="S103" i="9"/>
  <c r="W106" i="31" s="1"/>
  <c r="V97" i="9"/>
  <c r="Z100" i="31" s="1"/>
  <c r="V101" i="9"/>
  <c r="Z104" i="31" s="1"/>
  <c r="V77" i="9"/>
  <c r="Z80" i="31" s="1"/>
  <c r="V90" i="9"/>
  <c r="Z93" i="31" s="1"/>
  <c r="V88" i="9"/>
  <c r="Z91" i="31" s="1"/>
  <c r="V76" i="9"/>
  <c r="Z79" i="31" s="1"/>
  <c r="U86" i="9"/>
  <c r="Y89" i="31" s="1"/>
  <c r="S97" i="9"/>
  <c r="W100" i="31" s="1"/>
  <c r="V95" i="9"/>
  <c r="Z98" i="31" s="1"/>
  <c r="T90" i="9"/>
  <c r="X93" i="31" s="1"/>
  <c r="S94" i="9"/>
  <c r="W97" i="31" s="1"/>
  <c r="V104" i="9"/>
  <c r="Z107" i="31" s="1"/>
  <c r="U76" i="9"/>
  <c r="Y79" i="31" s="1"/>
  <c r="T93" i="9"/>
  <c r="X96" i="31" s="1"/>
  <c r="V103" i="9"/>
  <c r="Z106" i="31" s="1"/>
  <c r="T79" i="9"/>
  <c r="X82" i="31" s="1"/>
  <c r="U88" i="9"/>
  <c r="Y91" i="31" s="1"/>
  <c r="T77" i="9"/>
  <c r="X80" i="31" s="1"/>
  <c r="S95" i="9"/>
  <c r="W98" i="31" s="1"/>
  <c r="T92" i="9"/>
  <c r="X95" i="31" s="1"/>
  <c r="U77" i="9"/>
  <c r="Y80" i="31" s="1"/>
  <c r="T89" i="9"/>
  <c r="X92" i="31" s="1"/>
  <c r="S98" i="9"/>
  <c r="W101" i="31" s="1"/>
  <c r="U91" i="9"/>
  <c r="Y94" i="31" s="1"/>
  <c r="S102" i="9"/>
  <c r="W105" i="31" s="1"/>
  <c r="S104" i="9"/>
  <c r="W107" i="31" s="1"/>
  <c r="V89" i="9"/>
  <c r="Z92" i="31" s="1"/>
  <c r="U87" i="9"/>
  <c r="Y90" i="31" s="1"/>
  <c r="T80" i="9"/>
  <c r="X83" i="31" s="1"/>
  <c r="U78" i="9"/>
  <c r="Y81" i="31" s="1"/>
  <c r="T94" i="9"/>
  <c r="X97" i="31" s="1"/>
  <c r="U90" i="9"/>
  <c r="Y93" i="31" s="1"/>
  <c r="V102" i="9"/>
  <c r="Z105" i="31" s="1"/>
  <c r="V78" i="9"/>
  <c r="Z81" i="31" s="1"/>
  <c r="V91" i="9"/>
  <c r="Z94" i="31" s="1"/>
  <c r="T76" i="9"/>
  <c r="X79" i="31" s="1"/>
  <c r="T91" i="9"/>
  <c r="X94" i="31" s="1"/>
  <c r="U79" i="9"/>
  <c r="Y82" i="31" s="1"/>
  <c r="V94" i="9"/>
  <c r="Z97" i="31" s="1"/>
  <c r="U92" i="9"/>
  <c r="Y95" i="31" s="1"/>
  <c r="T81" i="9"/>
  <c r="X84" i="31" s="1"/>
  <c r="T78" i="9"/>
  <c r="X81" i="31" s="1"/>
  <c r="V82" i="9"/>
  <c r="Z85" i="31" s="1"/>
  <c r="V71" i="9"/>
  <c r="Z74" i="31" s="1"/>
  <c r="U32" i="9"/>
  <c r="Y35" i="31" s="1"/>
  <c r="T83" i="9"/>
  <c r="X86" i="31" s="1"/>
  <c r="U25" i="9"/>
  <c r="Y28" i="31" s="1"/>
  <c r="U45" i="9"/>
  <c r="Y48" i="31" s="1"/>
  <c r="U41" i="9"/>
  <c r="Y44" i="31" s="1"/>
  <c r="U43" i="9"/>
  <c r="Y46" i="31" s="1"/>
  <c r="V83" i="9"/>
  <c r="Z86" i="31" s="1"/>
  <c r="T88" i="9"/>
  <c r="X91" i="31" s="1"/>
  <c r="U38" i="9"/>
  <c r="Y41" i="31" s="1"/>
  <c r="T82" i="9"/>
  <c r="X85" i="31" s="1"/>
  <c r="U17" i="9"/>
  <c r="Y20" i="31" s="1"/>
  <c r="T87" i="9"/>
  <c r="X90" i="31" s="1"/>
  <c r="V72" i="9"/>
  <c r="Z75" i="31" s="1"/>
  <c r="U24" i="9"/>
  <c r="Y27" i="31" s="1"/>
  <c r="U31" i="9"/>
  <c r="Y34" i="31" s="1"/>
  <c r="U16" i="9"/>
  <c r="Y19" i="31" s="1"/>
  <c r="V87" i="9"/>
  <c r="Z90" i="31" s="1"/>
  <c r="U34" i="9"/>
  <c r="Y37" i="31" s="1"/>
  <c r="U14" i="9"/>
  <c r="Y17" i="31" s="1"/>
  <c r="U85" i="9"/>
  <c r="Y88" i="31" s="1"/>
  <c r="U22" i="9"/>
  <c r="Y25" i="31" s="1"/>
  <c r="U21" i="9"/>
  <c r="Y24" i="31" s="1"/>
  <c r="U37" i="9"/>
  <c r="Y40" i="31" s="1"/>
  <c r="U81" i="9"/>
  <c r="Y84" i="31" s="1"/>
  <c r="U35" i="9"/>
  <c r="Y38" i="31" s="1"/>
  <c r="U29" i="9"/>
  <c r="Y32" i="31" s="1"/>
  <c r="U27" i="9"/>
  <c r="Y30" i="31" s="1"/>
  <c r="U33" i="9"/>
  <c r="Y36" i="31" s="1"/>
  <c r="T75" i="9"/>
  <c r="X78" i="31" s="1"/>
  <c r="U30" i="9"/>
  <c r="Y33" i="31" s="1"/>
  <c r="U6" i="9"/>
  <c r="Y9" i="31" s="1"/>
  <c r="V81" i="9"/>
  <c r="Z84" i="31" s="1"/>
  <c r="U19" i="9"/>
  <c r="Y22" i="31" s="1"/>
  <c r="U26" i="9"/>
  <c r="Y29" i="31" s="1"/>
  <c r="V73" i="9"/>
  <c r="Z76" i="31" s="1"/>
  <c r="U82" i="9"/>
  <c r="Y85" i="31" s="1"/>
  <c r="U84" i="9"/>
  <c r="Y87" i="31" s="1"/>
  <c r="U42" i="9"/>
  <c r="Y45" i="31" s="1"/>
  <c r="U47" i="9"/>
  <c r="Y50" i="31" s="1"/>
  <c r="V74" i="9"/>
  <c r="Z77" i="31" s="1"/>
  <c r="U80" i="9"/>
  <c r="Y83" i="31" s="1"/>
  <c r="T84" i="9"/>
  <c r="X87" i="31" s="1"/>
  <c r="T73" i="9"/>
  <c r="X76" i="31" s="1"/>
  <c r="U39" i="9"/>
  <c r="Y42" i="31" s="1"/>
  <c r="U46" i="9"/>
  <c r="Y49" i="31" s="1"/>
  <c r="T85" i="9"/>
  <c r="X88" i="31" s="1"/>
  <c r="U28" i="9"/>
  <c r="Y31" i="31" s="1"/>
  <c r="U15" i="9"/>
  <c r="Y18" i="31" s="1"/>
  <c r="T74" i="9"/>
  <c r="X77" i="31" s="1"/>
  <c r="V84" i="9"/>
  <c r="Z87" i="31" s="1"/>
  <c r="U18" i="9"/>
  <c r="Y21" i="31" s="1"/>
  <c r="U20" i="9"/>
  <c r="Y23" i="31" s="1"/>
  <c r="U40" i="9"/>
  <c r="Y43" i="31" s="1"/>
  <c r="V85" i="9"/>
  <c r="Z88" i="31" s="1"/>
  <c r="V68" i="9"/>
  <c r="Z71" i="31" s="1"/>
  <c r="U83" i="9"/>
  <c r="Y86" i="31" s="1"/>
  <c r="V70" i="9"/>
  <c r="Z73" i="31" s="1"/>
  <c r="U44" i="9"/>
  <c r="Y47" i="31" s="1"/>
  <c r="T86" i="9"/>
  <c r="X89" i="31" s="1"/>
  <c r="U36" i="9"/>
  <c r="Y39" i="31" s="1"/>
  <c r="V69" i="9"/>
  <c r="Z72" i="31" s="1"/>
  <c r="U23" i="9"/>
  <c r="Y26" i="31" s="1"/>
  <c r="V86" i="9"/>
  <c r="Z89" i="31" s="1"/>
  <c r="V23" i="9"/>
  <c r="Z26" i="31" s="1"/>
  <c r="V39" i="9"/>
  <c r="Z42" i="31" s="1"/>
  <c r="V34" i="9"/>
  <c r="Z37" i="31" s="1"/>
  <c r="U48" i="9"/>
  <c r="Y51" i="31" s="1"/>
  <c r="U49" i="9"/>
  <c r="Y52" i="31" s="1"/>
  <c r="U68" i="9"/>
  <c r="Y71" i="31" s="1"/>
  <c r="V51" i="9"/>
  <c r="Z54" i="31" s="1"/>
  <c r="V48" i="9"/>
  <c r="Z51" i="31" s="1"/>
  <c r="V18" i="9"/>
  <c r="Z21" i="31" s="1"/>
  <c r="V62" i="9"/>
  <c r="Z65" i="31" s="1"/>
  <c r="U60" i="9"/>
  <c r="Y63" i="31" s="1"/>
  <c r="V63" i="9"/>
  <c r="Z66" i="31" s="1"/>
  <c r="V37" i="9"/>
  <c r="Z40" i="31" s="1"/>
  <c r="V25" i="9"/>
  <c r="Z28" i="31" s="1"/>
  <c r="V64" i="9"/>
  <c r="Z67" i="31" s="1"/>
  <c r="U53" i="9"/>
  <c r="Y56" i="31" s="1"/>
  <c r="U57" i="9"/>
  <c r="Y60" i="31" s="1"/>
  <c r="V16" i="9"/>
  <c r="Z19" i="31" s="1"/>
  <c r="V55" i="9"/>
  <c r="Z58" i="31" s="1"/>
  <c r="U54" i="9"/>
  <c r="Y57" i="31" s="1"/>
  <c r="V6" i="9"/>
  <c r="Z9" i="31" s="1"/>
  <c r="V30" i="9"/>
  <c r="Z33" i="31" s="1"/>
  <c r="U75" i="9"/>
  <c r="Y78" i="31" s="1"/>
  <c r="V67" i="9"/>
  <c r="Z70" i="31" s="1"/>
  <c r="U65" i="9"/>
  <c r="Y68" i="31" s="1"/>
  <c r="U74" i="9"/>
  <c r="Y77" i="31" s="1"/>
  <c r="V46" i="9"/>
  <c r="Z49" i="31" s="1"/>
  <c r="V17" i="9"/>
  <c r="Z20" i="31" s="1"/>
  <c r="U64" i="9"/>
  <c r="Y67" i="31" s="1"/>
  <c r="U56" i="9"/>
  <c r="Y59" i="31" s="1"/>
  <c r="U63" i="9"/>
  <c r="Y66" i="31" s="1"/>
  <c r="U7" i="9"/>
  <c r="Y10" i="31" s="1"/>
  <c r="U50" i="9"/>
  <c r="Y53" i="31" s="1"/>
  <c r="V49" i="9"/>
  <c r="Z52" i="31" s="1"/>
  <c r="V21" i="9"/>
  <c r="Z24" i="31" s="1"/>
  <c r="V42" i="9"/>
  <c r="Z45" i="31" s="1"/>
  <c r="V47" i="9"/>
  <c r="Z50" i="31" s="1"/>
  <c r="V32" i="9"/>
  <c r="Z35" i="31" s="1"/>
  <c r="U66" i="9"/>
  <c r="Y69" i="31" s="1"/>
  <c r="V43" i="9"/>
  <c r="Z46" i="31" s="1"/>
  <c r="V52" i="9"/>
  <c r="Z55" i="31" s="1"/>
  <c r="V66" i="9"/>
  <c r="Z69" i="31" s="1"/>
  <c r="V15" i="9"/>
  <c r="Z18" i="31" s="1"/>
  <c r="V53" i="9"/>
  <c r="Z56" i="31" s="1"/>
  <c r="U58" i="9"/>
  <c r="Y61" i="31" s="1"/>
  <c r="V41" i="9"/>
  <c r="Z44" i="31" s="1"/>
  <c r="U67" i="9"/>
  <c r="Y70" i="31" s="1"/>
  <c r="U73" i="9"/>
  <c r="Y76" i="31" s="1"/>
  <c r="V31" i="9"/>
  <c r="Z34" i="31" s="1"/>
  <c r="V65" i="9"/>
  <c r="Z68" i="31" s="1"/>
  <c r="U61" i="9"/>
  <c r="Y64" i="31" s="1"/>
  <c r="V45" i="9"/>
  <c r="Z48" i="31" s="1"/>
  <c r="U55" i="9"/>
  <c r="Y58" i="31" s="1"/>
  <c r="V38" i="9"/>
  <c r="Z41" i="31" s="1"/>
  <c r="V27" i="9"/>
  <c r="Z30" i="31" s="1"/>
  <c r="U51" i="9"/>
  <c r="Y54" i="31" s="1"/>
  <c r="V44" i="9"/>
  <c r="Z47" i="31" s="1"/>
  <c r="U69" i="9"/>
  <c r="Y72" i="31" s="1"/>
  <c r="V35" i="9"/>
  <c r="Z38" i="31" s="1"/>
  <c r="V57" i="9"/>
  <c r="Z60" i="31" s="1"/>
  <c r="V59" i="9"/>
  <c r="Z62" i="31" s="1"/>
  <c r="V56" i="9"/>
  <c r="Z59" i="31" s="1"/>
  <c r="U71" i="9"/>
  <c r="Y74" i="31" s="1"/>
  <c r="V14" i="9"/>
  <c r="Z17" i="31" s="1"/>
  <c r="V24" i="9"/>
  <c r="Z27" i="31" s="1"/>
  <c r="V26" i="9"/>
  <c r="Z29" i="31" s="1"/>
  <c r="V19" i="9"/>
  <c r="Z22" i="31" s="1"/>
  <c r="U62" i="9"/>
  <c r="Y65" i="31" s="1"/>
  <c r="V36" i="9"/>
  <c r="Z39" i="31" s="1"/>
  <c r="V22" i="9"/>
  <c r="Z25" i="31" s="1"/>
  <c r="V60" i="9"/>
  <c r="Z63" i="31" s="1"/>
  <c r="V33" i="9"/>
  <c r="Z36" i="31" s="1"/>
  <c r="V50" i="9"/>
  <c r="Z53" i="31" s="1"/>
  <c r="V20" i="9"/>
  <c r="Z23" i="31" s="1"/>
  <c r="U59" i="9"/>
  <c r="Y62" i="31" s="1"/>
  <c r="V28" i="9"/>
  <c r="Z31" i="31" s="1"/>
  <c r="V54" i="9"/>
  <c r="Z57" i="31" s="1"/>
  <c r="U72" i="9"/>
  <c r="Y75" i="31" s="1"/>
  <c r="V40" i="9"/>
  <c r="Z43" i="31" s="1"/>
  <c r="V61" i="9"/>
  <c r="Z64" i="31" s="1"/>
  <c r="U52" i="9"/>
  <c r="Y55" i="31" s="1"/>
  <c r="V58" i="9"/>
  <c r="Z61" i="31" s="1"/>
  <c r="V29" i="9"/>
  <c r="Z32" i="31" s="1"/>
  <c r="U70" i="9"/>
  <c r="Y73" i="31" s="1"/>
  <c r="V7" i="9"/>
  <c r="Z10" i="31" s="1"/>
  <c r="U8" i="9"/>
  <c r="Y11" i="31" s="1"/>
  <c r="V8" i="9"/>
  <c r="Z11" i="31" s="1"/>
  <c r="U9" i="9"/>
  <c r="Y12" i="31" s="1"/>
  <c r="U10" i="9"/>
  <c r="Y13" i="31" s="1"/>
  <c r="V9" i="9"/>
  <c r="Z12" i="31" s="1"/>
  <c r="V10" i="9"/>
  <c r="Z13" i="31" s="1"/>
  <c r="U11" i="9"/>
  <c r="Y14" i="31" s="1"/>
  <c r="U12" i="9"/>
  <c r="Y15" i="31" s="1"/>
  <c r="V11" i="9"/>
  <c r="Z14" i="31" s="1"/>
  <c r="V12" i="9"/>
  <c r="Z15" i="31" s="1"/>
  <c r="U13" i="9"/>
  <c r="Y16" i="31" s="1"/>
  <c r="V13" i="9"/>
  <c r="Z16" i="31" s="1"/>
  <c r="S93" i="9"/>
  <c r="W96" i="31" s="1"/>
  <c r="T14" i="9"/>
  <c r="X17" i="31" s="1"/>
  <c r="S92" i="9"/>
  <c r="W95" i="31" s="1"/>
  <c r="T6" i="9"/>
  <c r="X9" i="31" s="1"/>
  <c r="T7" i="9"/>
  <c r="X10" i="31" s="1"/>
  <c r="S6" i="9"/>
  <c r="W9" i="31" s="1"/>
  <c r="S14" i="9"/>
  <c r="W17" i="31" s="1"/>
  <c r="T8" i="9"/>
  <c r="X11" i="31" s="1"/>
  <c r="T9" i="9"/>
  <c r="X12" i="31" s="1"/>
  <c r="S7" i="9"/>
  <c r="W10" i="31" s="1"/>
  <c r="S8" i="9"/>
  <c r="W11" i="31" s="1"/>
  <c r="T10" i="9"/>
  <c r="X13" i="31" s="1"/>
  <c r="S9" i="9"/>
  <c r="W12" i="31" s="1"/>
  <c r="T11" i="9"/>
  <c r="X14" i="31" s="1"/>
  <c r="T12" i="9"/>
  <c r="X15" i="31" s="1"/>
  <c r="S10" i="9"/>
  <c r="W13" i="31" s="1"/>
  <c r="S11" i="9"/>
  <c r="W14" i="31" s="1"/>
  <c r="T13" i="9"/>
  <c r="X16" i="31" s="1"/>
  <c r="S12" i="9"/>
  <c r="W15" i="31" s="1"/>
  <c r="S13" i="9"/>
  <c r="W16" i="31" s="1"/>
  <c r="S67" i="9"/>
  <c r="W70" i="31" s="1"/>
  <c r="S49" i="9"/>
  <c r="W52" i="31" s="1"/>
  <c r="T56" i="9"/>
  <c r="X59" i="31" s="1"/>
  <c r="S16" i="9"/>
  <c r="W19" i="31" s="1"/>
  <c r="S30" i="9"/>
  <c r="W33" i="31" s="1"/>
  <c r="T52" i="9"/>
  <c r="X55" i="31" s="1"/>
  <c r="S47" i="9"/>
  <c r="W50" i="31" s="1"/>
  <c r="S22" i="9"/>
  <c r="W25" i="31" s="1"/>
  <c r="T19" i="9"/>
  <c r="X22" i="31" s="1"/>
  <c r="S42" i="9"/>
  <c r="W45" i="31" s="1"/>
  <c r="T41" i="9"/>
  <c r="X44" i="31" s="1"/>
  <c r="T51" i="9"/>
  <c r="X54" i="31" s="1"/>
  <c r="T30" i="9"/>
  <c r="X33" i="31" s="1"/>
  <c r="S36" i="9"/>
  <c r="W39" i="31" s="1"/>
  <c r="T36" i="9"/>
  <c r="X39" i="31" s="1"/>
  <c r="R22" i="9"/>
  <c r="V25" i="31" s="1"/>
  <c r="T57" i="9"/>
  <c r="X60" i="31" s="1"/>
  <c r="R28" i="9"/>
  <c r="V31" i="31" s="1"/>
  <c r="S25" i="9"/>
  <c r="W28" i="31" s="1"/>
  <c r="R27" i="9"/>
  <c r="V30" i="31" s="1"/>
  <c r="T20" i="9"/>
  <c r="X23" i="31" s="1"/>
  <c r="T62" i="9"/>
  <c r="X65" i="31" s="1"/>
  <c r="S34" i="9"/>
  <c r="W37" i="31" s="1"/>
  <c r="T64" i="9"/>
  <c r="X67" i="31" s="1"/>
  <c r="T65" i="9"/>
  <c r="X68" i="31" s="1"/>
  <c r="S69" i="9"/>
  <c r="W72" i="31" s="1"/>
  <c r="T66" i="9"/>
  <c r="X69" i="31" s="1"/>
  <c r="R23" i="9"/>
  <c r="V26" i="31" s="1"/>
  <c r="S65" i="9"/>
  <c r="W68" i="31" s="1"/>
  <c r="S57" i="9"/>
  <c r="W60" i="31" s="1"/>
  <c r="S50" i="9"/>
  <c r="W53" i="31" s="1"/>
  <c r="T23" i="9"/>
  <c r="X26" i="31" s="1"/>
  <c r="S17" i="9"/>
  <c r="W20" i="31" s="1"/>
  <c r="S53" i="9"/>
  <c r="W56" i="31" s="1"/>
  <c r="S55" i="9"/>
  <c r="W58" i="31" s="1"/>
  <c r="T44" i="9"/>
  <c r="X47" i="31" s="1"/>
  <c r="R17" i="9"/>
  <c r="V20" i="31" s="1"/>
  <c r="S85" i="9"/>
  <c r="W88" i="31" s="1"/>
  <c r="S35" i="9"/>
  <c r="W38" i="31" s="1"/>
  <c r="T42" i="9"/>
  <c r="X45" i="31" s="1"/>
  <c r="T68" i="9"/>
  <c r="X71" i="31" s="1"/>
  <c r="T50" i="9"/>
  <c r="X53" i="31" s="1"/>
  <c r="S76" i="9"/>
  <c r="W79" i="31" s="1"/>
  <c r="T59" i="9"/>
  <c r="X62" i="31" s="1"/>
  <c r="R29" i="9"/>
  <c r="V32" i="31" s="1"/>
  <c r="T53" i="9"/>
  <c r="X56" i="31" s="1"/>
  <c r="S83" i="9"/>
  <c r="W86" i="31" s="1"/>
  <c r="T32" i="9"/>
  <c r="X35" i="31" s="1"/>
  <c r="S73" i="9"/>
  <c r="W76" i="31" s="1"/>
  <c r="S29" i="9"/>
  <c r="W32" i="31" s="1"/>
  <c r="S64" i="9"/>
  <c r="W67" i="31" s="1"/>
  <c r="S80" i="9"/>
  <c r="W83" i="31" s="1"/>
  <c r="T72" i="9"/>
  <c r="X75" i="31" s="1"/>
  <c r="S54" i="9"/>
  <c r="W57" i="31" s="1"/>
  <c r="T55" i="9"/>
  <c r="X58" i="31" s="1"/>
  <c r="T25" i="9"/>
  <c r="X28" i="31" s="1"/>
  <c r="T69" i="9"/>
  <c r="X72" i="31" s="1"/>
  <c r="S44" i="9"/>
  <c r="W47" i="31" s="1"/>
  <c r="S40" i="9"/>
  <c r="W43" i="31" s="1"/>
  <c r="S19" i="9"/>
  <c r="W22" i="31" s="1"/>
  <c r="S18" i="9"/>
  <c r="W21" i="31" s="1"/>
  <c r="T28" i="9"/>
  <c r="X31" i="31" s="1"/>
  <c r="R32" i="9"/>
  <c r="V35" i="31" s="1"/>
  <c r="S87" i="9"/>
  <c r="W90" i="31" s="1"/>
  <c r="S23" i="9"/>
  <c r="W26" i="31" s="1"/>
  <c r="S66" i="9"/>
  <c r="W69" i="31" s="1"/>
  <c r="T67" i="9"/>
  <c r="X70" i="31" s="1"/>
  <c r="S88" i="9"/>
  <c r="W91" i="31" s="1"/>
  <c r="S59" i="9"/>
  <c r="W62" i="31" s="1"/>
  <c r="S77" i="9"/>
  <c r="W80" i="31" s="1"/>
  <c r="S78" i="9"/>
  <c r="W81" i="31" s="1"/>
  <c r="T31" i="9"/>
  <c r="X34" i="31" s="1"/>
  <c r="S33" i="9"/>
  <c r="W36" i="31" s="1"/>
  <c r="R30" i="9"/>
  <c r="V33" i="31" s="1"/>
  <c r="T63" i="9"/>
  <c r="X66" i="31" s="1"/>
  <c r="T26" i="9"/>
  <c r="X29" i="31" s="1"/>
  <c r="S82" i="9"/>
  <c r="W85" i="31" s="1"/>
  <c r="T40" i="9"/>
  <c r="X43" i="31" s="1"/>
  <c r="S37" i="9"/>
  <c r="W40" i="31" s="1"/>
  <c r="T18" i="9"/>
  <c r="X21" i="31" s="1"/>
  <c r="T22" i="9"/>
  <c r="X25" i="31" s="1"/>
  <c r="S63" i="9"/>
  <c r="W66" i="31" s="1"/>
  <c r="S31" i="9"/>
  <c r="W34" i="31" s="1"/>
  <c r="T39" i="9"/>
  <c r="X42" i="31" s="1"/>
  <c r="S61" i="9"/>
  <c r="W64" i="31" s="1"/>
  <c r="T47" i="9"/>
  <c r="X50" i="31" s="1"/>
  <c r="R15" i="9"/>
  <c r="V18" i="31" s="1"/>
  <c r="T24" i="9"/>
  <c r="X27" i="31" s="1"/>
  <c r="R14" i="9"/>
  <c r="V17" i="31" s="1"/>
  <c r="S79" i="9"/>
  <c r="W82" i="31" s="1"/>
  <c r="S20" i="9"/>
  <c r="W23" i="31" s="1"/>
  <c r="T38" i="9"/>
  <c r="X41" i="31" s="1"/>
  <c r="R16" i="9"/>
  <c r="V19" i="31" s="1"/>
  <c r="R21" i="9"/>
  <c r="V24" i="31" s="1"/>
  <c r="R26" i="9"/>
  <c r="V29" i="31" s="1"/>
  <c r="T49" i="9"/>
  <c r="X52" i="31" s="1"/>
  <c r="S89" i="9"/>
  <c r="W92" i="31" s="1"/>
  <c r="S62" i="9"/>
  <c r="W65" i="31" s="1"/>
  <c r="S27" i="9"/>
  <c r="W30" i="31" s="1"/>
  <c r="T45" i="9"/>
  <c r="X48" i="31" s="1"/>
  <c r="T54" i="9"/>
  <c r="X57" i="31" s="1"/>
  <c r="S86" i="9"/>
  <c r="W89" i="31" s="1"/>
  <c r="S81" i="9"/>
  <c r="W84" i="31" s="1"/>
  <c r="T46" i="9"/>
  <c r="X49" i="31" s="1"/>
  <c r="S72" i="9"/>
  <c r="W75" i="31" s="1"/>
  <c r="T37" i="9"/>
  <c r="X40" i="31" s="1"/>
  <c r="S48" i="9"/>
  <c r="W51" i="31" s="1"/>
  <c r="T43" i="9"/>
  <c r="X46" i="31" s="1"/>
  <c r="S39" i="9"/>
  <c r="W42" i="31" s="1"/>
  <c r="S15" i="9"/>
  <c r="W18" i="31" s="1"/>
  <c r="T29" i="9"/>
  <c r="X32" i="31" s="1"/>
  <c r="R25" i="9"/>
  <c r="V28" i="31" s="1"/>
  <c r="T17" i="9"/>
  <c r="X20" i="31" s="1"/>
  <c r="T15" i="9"/>
  <c r="X18" i="31" s="1"/>
  <c r="S21" i="9"/>
  <c r="W24" i="31" s="1"/>
  <c r="S45" i="9"/>
  <c r="W48" i="31" s="1"/>
  <c r="R24" i="9"/>
  <c r="V27" i="31" s="1"/>
  <c r="T71" i="9"/>
  <c r="X74" i="31" s="1"/>
  <c r="S28" i="9"/>
  <c r="W31" i="31" s="1"/>
  <c r="T58" i="9"/>
  <c r="X61" i="31" s="1"/>
  <c r="S58" i="9"/>
  <c r="W61" i="31" s="1"/>
  <c r="S38" i="9"/>
  <c r="W41" i="31" s="1"/>
  <c r="S41" i="9"/>
  <c r="W44" i="31" s="1"/>
  <c r="R19" i="9"/>
  <c r="V22" i="31" s="1"/>
  <c r="S24" i="9"/>
  <c r="W27" i="31" s="1"/>
  <c r="S90" i="9"/>
  <c r="W93" i="31" s="1"/>
  <c r="S26" i="9"/>
  <c r="W29" i="31" s="1"/>
  <c r="S52" i="9"/>
  <c r="W55" i="31" s="1"/>
  <c r="S51" i="9"/>
  <c r="W54" i="31" s="1"/>
  <c r="T48" i="9"/>
  <c r="X51" i="31" s="1"/>
  <c r="T61" i="9"/>
  <c r="X64" i="31" s="1"/>
  <c r="S91" i="9"/>
  <c r="W94" i="31" s="1"/>
  <c r="S84" i="9"/>
  <c r="W87" i="31" s="1"/>
  <c r="T21" i="9"/>
  <c r="X24" i="31" s="1"/>
  <c r="T70" i="9"/>
  <c r="X73" i="31" s="1"/>
  <c r="S56" i="9"/>
  <c r="W59" i="31" s="1"/>
  <c r="T16" i="9"/>
  <c r="X19" i="31" s="1"/>
  <c r="R33" i="9"/>
  <c r="V36" i="31" s="1"/>
  <c r="S70" i="9"/>
  <c r="W73" i="31" s="1"/>
  <c r="T33" i="9"/>
  <c r="X36" i="31" s="1"/>
  <c r="T35" i="9"/>
  <c r="X38" i="31" s="1"/>
  <c r="R18" i="9"/>
  <c r="V21" i="31" s="1"/>
  <c r="S71" i="9"/>
  <c r="W74" i="31" s="1"/>
  <c r="S43" i="9"/>
  <c r="W46" i="31" s="1"/>
  <c r="S46" i="9"/>
  <c r="W49" i="31" s="1"/>
  <c r="R31" i="9"/>
  <c r="V34" i="31" s="1"/>
  <c r="T27" i="9"/>
  <c r="X30" i="31" s="1"/>
  <c r="R20" i="9"/>
  <c r="V23" i="31" s="1"/>
  <c r="T60" i="9"/>
  <c r="X63" i="31" s="1"/>
  <c r="S75" i="9"/>
  <c r="W78" i="31" s="1"/>
  <c r="S68" i="9"/>
  <c r="W71" i="31" s="1"/>
  <c r="T34" i="9"/>
  <c r="X37" i="31" s="1"/>
  <c r="S74" i="9"/>
  <c r="W77" i="31" s="1"/>
  <c r="S32" i="9"/>
  <c r="W35" i="31" s="1"/>
  <c r="S60" i="9"/>
  <c r="W63" i="31" s="1"/>
  <c r="R6" i="9"/>
  <c r="V9" i="31" s="1"/>
  <c r="R7" i="9"/>
  <c r="V10" i="31" s="1"/>
  <c r="R8" i="9"/>
  <c r="V11" i="31" s="1"/>
  <c r="R9" i="9"/>
  <c r="V12" i="31" s="1"/>
  <c r="R10" i="9"/>
  <c r="V13" i="31" s="1"/>
  <c r="R11" i="9"/>
  <c r="V14" i="31" s="1"/>
  <c r="R12" i="9"/>
  <c r="V15" i="31" s="1"/>
  <c r="R13" i="9"/>
  <c r="V16" i="31" s="1"/>
  <c r="BH77" i="9"/>
  <c r="BG77" i="9"/>
  <c r="BH83" i="9"/>
  <c r="BG83" i="9"/>
  <c r="BH69" i="9"/>
  <c r="BG69" i="9"/>
  <c r="BH63" i="9"/>
  <c r="BG63" i="9"/>
  <c r="BH19" i="9"/>
  <c r="BG19" i="9"/>
  <c r="BH44" i="9"/>
  <c r="BG44" i="9"/>
  <c r="BH18" i="9"/>
  <c r="BG18" i="9"/>
  <c r="BH23" i="9"/>
  <c r="BG23" i="9"/>
  <c r="BH34" i="9"/>
  <c r="BG34" i="9"/>
  <c r="BH45" i="9"/>
  <c r="BG45" i="9"/>
  <c r="BH36" i="9"/>
  <c r="BG36" i="9"/>
  <c r="BH49" i="9"/>
  <c r="BG49" i="9"/>
  <c r="BH42" i="9"/>
  <c r="BG42" i="9"/>
  <c r="BH17" i="9"/>
  <c r="BG17" i="9"/>
  <c r="BH100" i="9"/>
  <c r="BG100" i="9"/>
  <c r="BH51" i="9"/>
  <c r="BG51" i="9"/>
  <c r="BH33" i="9"/>
  <c r="BG33" i="9"/>
  <c r="BH50" i="9"/>
  <c r="BG50" i="9"/>
  <c r="BH67" i="9"/>
  <c r="BG67" i="9"/>
  <c r="BH30" i="9"/>
  <c r="BG30" i="9"/>
  <c r="BH22" i="9"/>
  <c r="BG22" i="9"/>
  <c r="BH41" i="9"/>
  <c r="BG41" i="9"/>
  <c r="BH80" i="9"/>
  <c r="BG80" i="9"/>
  <c r="BH57" i="9"/>
  <c r="BG57" i="9"/>
  <c r="BH47" i="9"/>
  <c r="BG47" i="9"/>
  <c r="BH26" i="9"/>
  <c r="BG26" i="9"/>
  <c r="BH88" i="9"/>
  <c r="BG88" i="9"/>
  <c r="BH52" i="9"/>
  <c r="BG52" i="9"/>
  <c r="BH92" i="9"/>
  <c r="BG92" i="9"/>
  <c r="BH53" i="9"/>
  <c r="BG53" i="9"/>
  <c r="BH55" i="9"/>
  <c r="BG55" i="9"/>
  <c r="BH95" i="9"/>
  <c r="BG95" i="9"/>
  <c r="BH76" i="9"/>
  <c r="BG76" i="9"/>
  <c r="BH35" i="9"/>
  <c r="BG35" i="9"/>
  <c r="BH103" i="9"/>
  <c r="BG103" i="9"/>
  <c r="BH39" i="9"/>
  <c r="BG39" i="9"/>
  <c r="BH85" i="9"/>
  <c r="BG85" i="9"/>
  <c r="BH13" i="9"/>
  <c r="BG13" i="9"/>
  <c r="BH97" i="9"/>
  <c r="BG97" i="9"/>
  <c r="BH31" i="9"/>
  <c r="BG31" i="9"/>
  <c r="BH29" i="9"/>
  <c r="BG29" i="9"/>
  <c r="BH61" i="9"/>
  <c r="BG61" i="9"/>
  <c r="BH89" i="9"/>
  <c r="BG89" i="9"/>
  <c r="BH28" i="9"/>
  <c r="BG28" i="9"/>
  <c r="BH68" i="9"/>
  <c r="BG68" i="9"/>
  <c r="BH84" i="9"/>
  <c r="BG84" i="9"/>
  <c r="BH32" i="9"/>
  <c r="BG32" i="9"/>
  <c r="BH66" i="9"/>
  <c r="BG66" i="9"/>
  <c r="BH6" i="9"/>
  <c r="BG6" i="9"/>
  <c r="BH37" i="9"/>
  <c r="BG37" i="9"/>
  <c r="BH27" i="9"/>
  <c r="BG27" i="9"/>
  <c r="BH56" i="9"/>
  <c r="BG56" i="9"/>
  <c r="BH90" i="9"/>
  <c r="BG90" i="9"/>
  <c r="BH71" i="9"/>
  <c r="BG71" i="9"/>
  <c r="BH65" i="9"/>
  <c r="BG65" i="9"/>
  <c r="BH59" i="9"/>
  <c r="BG59" i="9"/>
  <c r="BH81" i="9"/>
  <c r="BG81" i="9"/>
  <c r="BH24" i="9"/>
  <c r="BG24" i="9"/>
  <c r="BH46" i="9"/>
  <c r="BG46" i="9"/>
  <c r="BH40" i="9"/>
  <c r="BG40" i="9"/>
  <c r="BH86" i="9"/>
  <c r="BG86" i="9"/>
  <c r="BH54" i="9"/>
  <c r="BG54" i="9"/>
  <c r="BH82" i="9"/>
  <c r="BG82" i="9"/>
  <c r="BH38" i="9"/>
  <c r="BG38" i="9"/>
  <c r="BH94" i="9"/>
  <c r="BG94" i="9"/>
  <c r="BH11" i="9"/>
  <c r="BG11" i="9"/>
  <c r="BH12" i="9"/>
  <c r="BG12" i="9"/>
  <c r="BH7" i="9"/>
  <c r="BG7" i="9"/>
  <c r="BH99" i="9"/>
  <c r="BG99" i="9"/>
  <c r="BH8" i="9"/>
  <c r="BG8" i="9"/>
  <c r="BH72" i="9"/>
  <c r="BG72" i="9"/>
  <c r="BH62" i="9"/>
  <c r="BG62" i="9"/>
  <c r="BH74" i="9"/>
  <c r="BG74" i="9"/>
  <c r="BH5" i="9"/>
  <c r="BH75" i="9"/>
  <c r="BG75" i="9"/>
  <c r="BH73" i="9"/>
  <c r="BG73" i="9"/>
  <c r="BH58" i="9"/>
  <c r="BG58" i="9"/>
  <c r="BH98" i="9"/>
  <c r="BG98" i="9"/>
  <c r="BH102" i="9"/>
  <c r="BG102" i="9"/>
  <c r="BH9" i="9"/>
  <c r="BG9" i="9"/>
  <c r="BH25" i="9"/>
  <c r="BG25" i="9"/>
  <c r="BH104" i="9"/>
  <c r="BH105" i="9" s="1"/>
  <c r="BH106" i="9" s="1"/>
  <c r="BH107" i="9" s="1"/>
  <c r="BH108" i="9" s="1"/>
  <c r="BH109" i="9" s="1"/>
  <c r="BH110" i="9" s="1"/>
  <c r="BH111" i="9" s="1"/>
  <c r="BH112" i="9" s="1"/>
  <c r="BH113" i="9" s="1"/>
  <c r="BH114" i="9" s="1"/>
  <c r="BH115" i="9" s="1"/>
  <c r="BH116" i="9" s="1"/>
  <c r="BH117" i="9" s="1"/>
  <c r="BH118" i="9" s="1"/>
  <c r="BH119" i="9" s="1"/>
  <c r="BH120" i="9" s="1"/>
  <c r="BH121" i="9" s="1"/>
  <c r="BH122" i="9" s="1"/>
  <c r="BH123" i="9" s="1"/>
  <c r="BH124" i="9" s="1"/>
  <c r="BH125" i="9" s="1"/>
  <c r="BH126" i="9" s="1"/>
  <c r="BH127" i="9" s="1"/>
  <c r="BH128" i="9" s="1"/>
  <c r="BH129" i="9" s="1"/>
  <c r="BH130" i="9" s="1"/>
  <c r="BH131" i="9" s="1"/>
  <c r="BH132" i="9" s="1"/>
  <c r="BH133" i="9" s="1"/>
  <c r="BH134" i="9" s="1"/>
  <c r="BH135" i="9" s="1"/>
  <c r="BH136" i="9" s="1"/>
  <c r="BH137" i="9" s="1"/>
  <c r="BH138" i="9" s="1"/>
  <c r="BH139" i="9" s="1"/>
  <c r="BH140" i="9" s="1"/>
  <c r="BH141" i="9" s="1"/>
  <c r="BH142" i="9" s="1"/>
  <c r="BH143" i="9" s="1"/>
  <c r="BH144" i="9" s="1"/>
  <c r="BH145" i="9" s="1"/>
  <c r="BH146" i="9" s="1"/>
  <c r="BH147" i="9" s="1"/>
  <c r="BH148" i="9" s="1"/>
  <c r="BH149" i="9" s="1"/>
  <c r="BH150" i="9" s="1"/>
  <c r="BH151" i="9" s="1"/>
  <c r="BH152" i="9" s="1"/>
  <c r="BH153" i="9" s="1"/>
  <c r="BH154" i="9" s="1"/>
  <c r="BH155" i="9" s="1"/>
  <c r="BH156" i="9" s="1"/>
  <c r="BH157" i="9" s="1"/>
  <c r="BH158" i="9" s="1"/>
  <c r="BH159" i="9" s="1"/>
  <c r="BH160" i="9" s="1"/>
  <c r="BH161" i="9" s="1"/>
  <c r="BH162" i="9" s="1"/>
  <c r="BH163" i="9" s="1"/>
  <c r="BH164" i="9" s="1"/>
  <c r="BG104" i="9"/>
  <c r="BG105" i="9" s="1"/>
  <c r="BG106" i="9" s="1"/>
  <c r="BG107" i="9" s="1"/>
  <c r="BG108" i="9" s="1"/>
  <c r="BG109" i="9" s="1"/>
  <c r="BG110" i="9" s="1"/>
  <c r="BG111" i="9" s="1"/>
  <c r="BG112" i="9" s="1"/>
  <c r="BG113" i="9" s="1"/>
  <c r="BG114" i="9" s="1"/>
  <c r="BG115" i="9" s="1"/>
  <c r="BG116" i="9" s="1"/>
  <c r="BG117" i="9" s="1"/>
  <c r="BG118" i="9" s="1"/>
  <c r="BG119" i="9" s="1"/>
  <c r="BG120" i="9" s="1"/>
  <c r="BG121" i="9" s="1"/>
  <c r="BG122" i="9" s="1"/>
  <c r="BG123" i="9" s="1"/>
  <c r="BG124" i="9" s="1"/>
  <c r="BG125" i="9" s="1"/>
  <c r="BG126" i="9" s="1"/>
  <c r="BG127" i="9" s="1"/>
  <c r="BG128" i="9" s="1"/>
  <c r="BG129" i="9" s="1"/>
  <c r="BG130" i="9" s="1"/>
  <c r="BG131" i="9" s="1"/>
  <c r="BG132" i="9" s="1"/>
  <c r="BG133" i="9" s="1"/>
  <c r="BG134" i="9" s="1"/>
  <c r="BG135" i="9" s="1"/>
  <c r="BG136" i="9" s="1"/>
  <c r="BG137" i="9" s="1"/>
  <c r="BG138" i="9" s="1"/>
  <c r="BG139" i="9" s="1"/>
  <c r="BG140" i="9" s="1"/>
  <c r="BG141" i="9" s="1"/>
  <c r="BG142" i="9" s="1"/>
  <c r="BG143" i="9" s="1"/>
  <c r="BG144" i="9" s="1"/>
  <c r="BG145" i="9" s="1"/>
  <c r="BG146" i="9" s="1"/>
  <c r="BG147" i="9" s="1"/>
  <c r="BG148" i="9" s="1"/>
  <c r="BG149" i="9" s="1"/>
  <c r="BG150" i="9" s="1"/>
  <c r="BG151" i="9" s="1"/>
  <c r="BG152" i="9" s="1"/>
  <c r="BG153" i="9" s="1"/>
  <c r="BG154" i="9" s="1"/>
  <c r="BG155" i="9" s="1"/>
  <c r="BG156" i="9" s="1"/>
  <c r="BG157" i="9" s="1"/>
  <c r="BG158" i="9" s="1"/>
  <c r="BG159" i="9" s="1"/>
  <c r="BG160" i="9" s="1"/>
  <c r="BG161" i="9" s="1"/>
  <c r="BG162" i="9" s="1"/>
  <c r="BG163" i="9" s="1"/>
  <c r="BG164" i="9" s="1"/>
  <c r="BH43" i="9"/>
  <c r="BG43" i="9"/>
  <c r="BH91" i="9"/>
  <c r="BG91" i="9"/>
  <c r="BH21" i="9"/>
  <c r="BG21" i="9"/>
  <c r="BH48" i="9"/>
  <c r="BG48" i="9"/>
  <c r="BH20" i="9"/>
  <c r="BG20" i="9"/>
  <c r="BH93" i="9"/>
  <c r="BG93" i="9"/>
  <c r="BH64" i="9"/>
  <c r="BG64" i="9"/>
  <c r="BH96" i="9"/>
  <c r="BG96" i="9"/>
  <c r="BH78" i="9"/>
  <c r="BG78" i="9"/>
  <c r="BH16" i="9"/>
  <c r="BG16" i="9"/>
  <c r="BH14" i="9"/>
  <c r="BG14" i="9"/>
  <c r="BH10" i="9"/>
  <c r="BG10" i="9"/>
  <c r="BH60" i="9"/>
  <c r="BG60" i="9"/>
  <c r="BH15" i="9"/>
  <c r="BG15" i="9"/>
  <c r="BH70" i="9"/>
  <c r="BG70" i="9"/>
  <c r="BH79" i="9"/>
  <c r="BG79" i="9"/>
  <c r="BH101" i="9"/>
  <c r="BG101" i="9"/>
  <c r="BH87" i="9"/>
  <c r="BG87" i="9"/>
  <c r="D84" i="9"/>
  <c r="F28" i="9"/>
  <c r="F52" i="9"/>
  <c r="E52" i="9"/>
  <c r="F31" i="9"/>
  <c r="C31" i="9"/>
  <c r="D31" i="9"/>
  <c r="E31" i="9"/>
  <c r="G31" i="9"/>
  <c r="G13" i="9"/>
  <c r="E13" i="9"/>
  <c r="C13" i="9"/>
  <c r="D13" i="9"/>
  <c r="F13" i="9"/>
  <c r="G84" i="9"/>
  <c r="C84" i="9"/>
  <c r="E45" i="9"/>
  <c r="F45" i="9"/>
  <c r="G45" i="9"/>
  <c r="C45" i="9"/>
  <c r="D45" i="9"/>
  <c r="E58" i="9"/>
  <c r="F58" i="9"/>
  <c r="G58" i="9"/>
  <c r="D58" i="9"/>
  <c r="C58" i="9"/>
  <c r="D51" i="9"/>
  <c r="F51" i="9"/>
  <c r="C51" i="9"/>
  <c r="C25" i="9"/>
  <c r="F25" i="9"/>
  <c r="E25" i="9"/>
  <c r="G25" i="9"/>
  <c r="D25" i="9"/>
  <c r="D52" i="9"/>
  <c r="C32" i="9"/>
  <c r="F32" i="9"/>
  <c r="D32" i="9"/>
  <c r="G32" i="9"/>
  <c r="E32" i="9"/>
  <c r="D24" i="9"/>
  <c r="G24" i="9"/>
  <c r="E24" i="9"/>
  <c r="C24" i="9"/>
  <c r="F24" i="9"/>
  <c r="G63" i="9"/>
  <c r="C63" i="9"/>
  <c r="D72" i="9"/>
  <c r="E72" i="9"/>
  <c r="C72" i="9"/>
  <c r="G72" i="9"/>
  <c r="F72" i="9"/>
  <c r="G7" i="9"/>
  <c r="F7" i="9"/>
  <c r="D7" i="9"/>
  <c r="C7" i="9"/>
  <c r="E7" i="9"/>
  <c r="C54" i="9"/>
  <c r="F54" i="9"/>
  <c r="G54" i="9"/>
  <c r="D54" i="9"/>
  <c r="E54" i="9"/>
  <c r="E84" i="9"/>
  <c r="F84" i="9"/>
  <c r="D70" i="9"/>
  <c r="G70" i="9"/>
  <c r="E70" i="9"/>
  <c r="F70" i="9"/>
  <c r="C70" i="9"/>
  <c r="D34" i="9"/>
  <c r="G34" i="9"/>
  <c r="E77" i="9"/>
  <c r="C77" i="9"/>
  <c r="F77" i="9"/>
  <c r="D77" i="9"/>
  <c r="G77" i="9"/>
  <c r="E28" i="9"/>
  <c r="D28" i="9"/>
  <c r="C28" i="9"/>
  <c r="G28" i="9"/>
  <c r="F34" i="9"/>
  <c r="C34" i="9"/>
  <c r="E34" i="9"/>
  <c r="F63" i="9"/>
  <c r="E63" i="9"/>
  <c r="D63" i="9"/>
  <c r="G52" i="9"/>
  <c r="C52" i="9"/>
  <c r="E51" i="9"/>
  <c r="G51" i="9"/>
  <c r="C96" i="9"/>
  <c r="F96" i="9"/>
  <c r="D96" i="9"/>
  <c r="G96" i="9"/>
  <c r="E96" i="9"/>
  <c r="E103" i="9"/>
  <c r="D103" i="9"/>
  <c r="C103" i="9"/>
  <c r="G103" i="9"/>
  <c r="F103" i="9"/>
  <c r="F111" i="9"/>
  <c r="C111" i="9"/>
  <c r="G111" i="9"/>
  <c r="E111" i="9"/>
  <c r="D111" i="9"/>
  <c r="E112" i="9"/>
  <c r="F112" i="9"/>
  <c r="G112" i="9"/>
  <c r="D112" i="9"/>
  <c r="C112" i="9"/>
  <c r="E113" i="9"/>
  <c r="G113" i="9"/>
  <c r="C113" i="9"/>
  <c r="F113" i="9"/>
  <c r="D113" i="9"/>
  <c r="D116" i="9"/>
  <c r="C116" i="9"/>
  <c r="E116" i="9"/>
  <c r="G116" i="9"/>
  <c r="F116" i="9"/>
  <c r="D20" i="9"/>
  <c r="C20" i="9"/>
  <c r="E20" i="9"/>
  <c r="F20" i="9"/>
  <c r="G20" i="9"/>
  <c r="D81" i="9"/>
  <c r="E81" i="9"/>
  <c r="F81" i="9"/>
  <c r="G81" i="9"/>
  <c r="C81" i="9"/>
  <c r="E76" i="9"/>
  <c r="F76" i="9"/>
  <c r="G76" i="9"/>
  <c r="C76" i="9"/>
  <c r="D76" i="9"/>
  <c r="G17" i="9"/>
  <c r="C17" i="9"/>
  <c r="E17" i="9"/>
  <c r="F17" i="9"/>
  <c r="D17" i="9"/>
  <c r="F50" i="9"/>
  <c r="C50" i="9"/>
  <c r="D50" i="9"/>
  <c r="E50" i="9"/>
  <c r="G50" i="9"/>
  <c r="D36" i="9"/>
  <c r="E36" i="9"/>
  <c r="F36" i="9"/>
  <c r="C36" i="9"/>
  <c r="G36" i="9"/>
  <c r="G83" i="9"/>
  <c r="D83" i="9"/>
  <c r="F83" i="9"/>
  <c r="C83" i="9"/>
  <c r="E83" i="9"/>
  <c r="D15" i="9"/>
  <c r="E15" i="9"/>
  <c r="G15" i="9"/>
  <c r="F15" i="9"/>
  <c r="C15" i="9"/>
  <c r="C11" i="9"/>
  <c r="F11" i="9"/>
  <c r="E11" i="9"/>
  <c r="G11" i="9"/>
  <c r="D11" i="9"/>
  <c r="G30" i="9"/>
  <c r="F30" i="9"/>
  <c r="C30" i="9"/>
  <c r="E30" i="9"/>
  <c r="D30" i="9"/>
  <c r="C85" i="9"/>
  <c r="E85" i="9"/>
  <c r="D85" i="9"/>
  <c r="G85" i="9"/>
  <c r="F85" i="9"/>
  <c r="C94" i="9"/>
  <c r="G94" i="9"/>
  <c r="D94" i="9"/>
  <c r="F94" i="9"/>
  <c r="E94" i="9"/>
  <c r="F105" i="9"/>
  <c r="E105" i="9"/>
  <c r="G105" i="9"/>
  <c r="C105" i="9"/>
  <c r="D105" i="9"/>
  <c r="D106" i="9"/>
  <c r="E106" i="9"/>
  <c r="G106" i="9"/>
  <c r="C106" i="9"/>
  <c r="F106" i="9"/>
  <c r="E12" i="9"/>
  <c r="F12" i="9"/>
  <c r="G12" i="9"/>
  <c r="D12" i="9"/>
  <c r="C12" i="9"/>
  <c r="G5" i="9"/>
  <c r="D5" i="9"/>
  <c r="E5" i="9"/>
  <c r="C5" i="9"/>
  <c r="F5" i="9"/>
  <c r="G114" i="9"/>
  <c r="C114" i="9"/>
  <c r="F114" i="9"/>
  <c r="D114" i="9"/>
  <c r="E114" i="9"/>
  <c r="G22" i="9"/>
  <c r="F22" i="9"/>
  <c r="D22" i="9"/>
  <c r="C22" i="9"/>
  <c r="E22" i="9"/>
  <c r="F29" i="9"/>
  <c r="E29" i="9"/>
  <c r="D29" i="9"/>
  <c r="C29" i="9"/>
  <c r="G29" i="9"/>
  <c r="E104" i="9"/>
  <c r="F104" i="9"/>
  <c r="C104" i="9"/>
  <c r="D104" i="9"/>
  <c r="G104" i="9"/>
  <c r="G123" i="9"/>
  <c r="D123" i="9"/>
  <c r="F123" i="9"/>
  <c r="E123" i="9"/>
  <c r="C123" i="9"/>
  <c r="C67" i="9"/>
  <c r="E67" i="9"/>
  <c r="F67" i="9"/>
  <c r="G67" i="9"/>
  <c r="D67" i="9"/>
  <c r="F101" i="9"/>
  <c r="D101" i="9"/>
  <c r="G101" i="9"/>
  <c r="E101" i="9"/>
  <c r="C101" i="9"/>
  <c r="C80" i="9"/>
  <c r="F80" i="9"/>
  <c r="D80" i="9"/>
  <c r="E80" i="9"/>
  <c r="G80" i="9"/>
  <c r="F95" i="9"/>
  <c r="D95" i="9"/>
  <c r="C95" i="9"/>
  <c r="G95" i="9"/>
  <c r="E95" i="9"/>
  <c r="C35" i="9"/>
  <c r="E35" i="9"/>
  <c r="D35" i="9"/>
  <c r="G35" i="9"/>
  <c r="F35" i="9"/>
  <c r="G98" i="9"/>
  <c r="F98" i="9"/>
  <c r="C98" i="9"/>
  <c r="D98" i="9"/>
  <c r="E98" i="9"/>
  <c r="C8" i="9"/>
  <c r="G8" i="9"/>
  <c r="F8" i="9"/>
  <c r="D8" i="9"/>
  <c r="E8" i="9"/>
  <c r="E100" i="9"/>
  <c r="G100" i="9"/>
  <c r="C100" i="9"/>
  <c r="D100" i="9"/>
  <c r="F100" i="9"/>
  <c r="G46" i="9"/>
  <c r="D46" i="9"/>
  <c r="E46" i="9"/>
  <c r="F46" i="9"/>
  <c r="C46" i="9"/>
  <c r="C6" i="9"/>
  <c r="E6" i="9"/>
  <c r="D6" i="9"/>
  <c r="F6" i="9"/>
  <c r="G6" i="9"/>
  <c r="D37" i="9"/>
  <c r="C37" i="9"/>
  <c r="G37" i="9"/>
  <c r="F37" i="9"/>
  <c r="E37" i="9"/>
  <c r="D122" i="9"/>
  <c r="C122" i="9"/>
  <c r="G122" i="9"/>
  <c r="E122" i="9"/>
  <c r="F122" i="9"/>
  <c r="C61" i="9"/>
  <c r="D61" i="9"/>
  <c r="G61" i="9"/>
  <c r="F61" i="9"/>
  <c r="E61" i="9"/>
  <c r="D57" i="9"/>
  <c r="G57" i="9"/>
  <c r="E57" i="9"/>
  <c r="F57" i="9"/>
  <c r="C57" i="9"/>
  <c r="F55" i="9"/>
  <c r="D55" i="9"/>
  <c r="G55" i="9"/>
  <c r="C55" i="9"/>
  <c r="E55" i="9"/>
  <c r="D33" i="9"/>
  <c r="F33" i="9"/>
  <c r="G33" i="9"/>
  <c r="C33" i="9"/>
  <c r="E33" i="9"/>
  <c r="D66" i="9"/>
  <c r="E66" i="9"/>
  <c r="C66" i="9"/>
  <c r="G66" i="9"/>
  <c r="F66" i="9"/>
  <c r="F91" i="9"/>
  <c r="E91" i="9"/>
  <c r="C91" i="9"/>
  <c r="D91" i="9"/>
  <c r="G91" i="9"/>
  <c r="D92" i="9"/>
  <c r="F92" i="9"/>
  <c r="E92" i="9"/>
  <c r="C92" i="9"/>
  <c r="G92" i="9"/>
  <c r="C64" i="9"/>
  <c r="G64" i="9"/>
  <c r="D64" i="9"/>
  <c r="F64" i="9"/>
  <c r="E64" i="9"/>
  <c r="G82" i="9"/>
  <c r="D82" i="9"/>
  <c r="F82" i="9"/>
  <c r="C82" i="9"/>
  <c r="E82" i="9"/>
  <c r="F14" i="9"/>
  <c r="C14" i="9"/>
  <c r="D14" i="9"/>
  <c r="E14" i="9"/>
  <c r="G14" i="9"/>
  <c r="E39" i="9"/>
  <c r="F39" i="9"/>
  <c r="G39" i="9"/>
  <c r="C39" i="9"/>
  <c r="D39" i="9"/>
  <c r="C69" i="9"/>
  <c r="E69" i="9"/>
  <c r="G69" i="9"/>
  <c r="D69" i="9"/>
  <c r="F69" i="9"/>
  <c r="F21" i="9"/>
  <c r="D21" i="9"/>
  <c r="E21" i="9"/>
  <c r="G21" i="9"/>
  <c r="C21" i="9"/>
  <c r="G102" i="9"/>
  <c r="D102" i="9"/>
  <c r="E102" i="9"/>
  <c r="C102" i="9"/>
  <c r="F102" i="9"/>
  <c r="D49" i="9"/>
  <c r="C49" i="9"/>
  <c r="F49" i="9"/>
  <c r="E49" i="9"/>
  <c r="G49" i="9"/>
  <c r="C42" i="9"/>
  <c r="D42" i="9"/>
  <c r="F42" i="9"/>
  <c r="G42" i="9"/>
  <c r="E42" i="9"/>
  <c r="F86" i="9"/>
  <c r="C86" i="9"/>
  <c r="G86" i="9"/>
  <c r="E86" i="9"/>
  <c r="D86" i="9"/>
  <c r="G121" i="9"/>
  <c r="D121" i="9"/>
  <c r="F121" i="9"/>
  <c r="E121" i="9"/>
  <c r="C121" i="9"/>
  <c r="C27" i="9"/>
  <c r="F27" i="9"/>
  <c r="G27" i="9"/>
  <c r="E27" i="9"/>
  <c r="D27" i="9"/>
  <c r="C93" i="9"/>
  <c r="F93" i="9"/>
  <c r="D93" i="9"/>
  <c r="G93" i="9"/>
  <c r="E48" i="9"/>
  <c r="D48" i="9"/>
  <c r="G48" i="9"/>
  <c r="C48" i="9"/>
  <c r="F48" i="9"/>
  <c r="G26" i="9"/>
  <c r="D26" i="9"/>
  <c r="E26" i="9"/>
  <c r="C26" i="9"/>
  <c r="F26" i="9"/>
  <c r="E109" i="9"/>
  <c r="F109" i="9"/>
  <c r="C109" i="9"/>
  <c r="D109" i="9"/>
  <c r="G109" i="9"/>
  <c r="E110" i="9"/>
  <c r="D110" i="9"/>
  <c r="G110" i="9"/>
  <c r="C110" i="9"/>
  <c r="F110" i="9"/>
  <c r="E79" i="9"/>
  <c r="D79" i="9"/>
  <c r="C79" i="9"/>
  <c r="G79" i="9"/>
  <c r="F79" i="9"/>
  <c r="G108" i="9"/>
  <c r="D108" i="9"/>
  <c r="F108" i="9"/>
  <c r="C108" i="9"/>
  <c r="E108" i="9"/>
  <c r="E73" i="9"/>
  <c r="D73" i="9"/>
  <c r="F73" i="9"/>
  <c r="C73" i="9"/>
  <c r="G73" i="9"/>
  <c r="F16" i="9"/>
  <c r="G16" i="9"/>
  <c r="D16" i="9"/>
  <c r="E16" i="9"/>
  <c r="C16" i="9"/>
  <c r="E78" i="9"/>
  <c r="D78" i="9"/>
  <c r="C78" i="9"/>
  <c r="F78" i="9"/>
  <c r="G78" i="9"/>
  <c r="F75" i="9"/>
  <c r="C75" i="9"/>
  <c r="G75" i="9"/>
  <c r="E75" i="9"/>
  <c r="D75" i="9"/>
  <c r="F9" i="9"/>
  <c r="G9" i="9"/>
  <c r="E9" i="9"/>
  <c r="C9" i="9"/>
  <c r="D9" i="9"/>
  <c r="C115" i="9"/>
  <c r="E115" i="9"/>
  <c r="D115" i="9"/>
  <c r="G115" i="9"/>
  <c r="F115" i="9"/>
  <c r="C99" i="9"/>
  <c r="F99" i="9"/>
  <c r="D99" i="9"/>
  <c r="E99" i="9"/>
  <c r="G99" i="9"/>
  <c r="G40" i="9"/>
  <c r="E40" i="9"/>
  <c r="D40" i="9"/>
  <c r="C40" i="9"/>
  <c r="F40" i="9"/>
  <c r="G68" i="9"/>
  <c r="E68" i="9"/>
  <c r="D68" i="9"/>
  <c r="F68" i="9"/>
  <c r="C68" i="9"/>
  <c r="E43" i="9"/>
  <c r="D43" i="9"/>
  <c r="C43" i="9"/>
  <c r="G43" i="9"/>
  <c r="F43" i="9"/>
  <c r="F23" i="9"/>
  <c r="D23" i="9"/>
  <c r="C23" i="9"/>
  <c r="G23" i="9"/>
  <c r="E23" i="9"/>
  <c r="G89" i="9"/>
  <c r="C89" i="9"/>
  <c r="D89" i="9"/>
  <c r="E89" i="9"/>
  <c r="F89" i="9"/>
  <c r="E117" i="9"/>
  <c r="F117" i="9"/>
  <c r="D117" i="9"/>
  <c r="C117" i="9"/>
  <c r="G117" i="9"/>
  <c r="C60" i="9"/>
  <c r="G60" i="9"/>
  <c r="D60" i="9"/>
  <c r="E60" i="9"/>
  <c r="F60" i="9"/>
  <c r="D88" i="9"/>
  <c r="C88" i="9"/>
  <c r="G88" i="9"/>
  <c r="F88" i="9"/>
  <c r="E88" i="9"/>
  <c r="G97" i="9"/>
  <c r="D97" i="9"/>
  <c r="F97" i="9"/>
  <c r="C97" i="9"/>
  <c r="E97" i="9"/>
  <c r="C56" i="9"/>
  <c r="F56" i="9"/>
  <c r="G56" i="9"/>
  <c r="D56" i="9"/>
  <c r="E56" i="9"/>
  <c r="E59" i="9"/>
  <c r="D59" i="9"/>
  <c r="F59" i="9"/>
  <c r="C59" i="9"/>
  <c r="G59" i="9"/>
  <c r="C41" i="9"/>
  <c r="G41" i="9"/>
  <c r="D41" i="9"/>
  <c r="F41" i="9"/>
  <c r="E41" i="9"/>
  <c r="G65" i="9"/>
  <c r="C65" i="9"/>
  <c r="F65" i="9"/>
  <c r="E65" i="9"/>
  <c r="D65" i="9"/>
  <c r="F10" i="9"/>
  <c r="D10" i="9"/>
  <c r="E10" i="9"/>
  <c r="G10" i="9"/>
  <c r="C10" i="9"/>
  <c r="G38" i="9"/>
  <c r="C38" i="9"/>
  <c r="E38" i="9"/>
  <c r="D38" i="9"/>
  <c r="F38" i="9"/>
  <c r="F90" i="9"/>
  <c r="G90" i="9"/>
  <c r="C90" i="9"/>
  <c r="D90" i="9"/>
  <c r="E90" i="9"/>
  <c r="C118" i="9"/>
  <c r="F118" i="9"/>
  <c r="G118" i="9"/>
  <c r="D118" i="9"/>
  <c r="E118" i="9"/>
  <c r="F74" i="9"/>
  <c r="G74" i="9"/>
  <c r="D74" i="9"/>
  <c r="C74" i="9"/>
  <c r="E74" i="9"/>
  <c r="C47" i="9"/>
  <c r="G47" i="9"/>
  <c r="E47" i="9"/>
  <c r="F47" i="9"/>
  <c r="D47" i="9"/>
  <c r="F62" i="9"/>
  <c r="G62" i="9"/>
  <c r="D62" i="9"/>
  <c r="C62" i="9"/>
  <c r="E62" i="9"/>
  <c r="C87" i="9"/>
  <c r="F87" i="9"/>
  <c r="E87" i="9"/>
  <c r="D87" i="9"/>
  <c r="G87" i="9"/>
  <c r="D18" i="9"/>
  <c r="E18" i="9"/>
  <c r="C18" i="9"/>
  <c r="G18" i="9"/>
  <c r="F18" i="9"/>
  <c r="C107" i="9"/>
  <c r="G107" i="9"/>
  <c r="D107" i="9"/>
  <c r="E107" i="9"/>
  <c r="F107" i="9"/>
  <c r="D71" i="9"/>
  <c r="C71" i="9"/>
  <c r="F71" i="9"/>
  <c r="G71" i="9"/>
  <c r="E71" i="9"/>
  <c r="G124" i="9"/>
  <c r="F124" i="9"/>
  <c r="D124" i="9"/>
  <c r="C124" i="9"/>
  <c r="E124" i="9"/>
  <c r="D44" i="9"/>
  <c r="G44" i="9"/>
  <c r="F44" i="9"/>
  <c r="C44" i="9"/>
  <c r="E44" i="9"/>
  <c r="E53" i="9"/>
  <c r="D53" i="9"/>
  <c r="F53" i="9"/>
  <c r="C53" i="9"/>
  <c r="G53" i="9"/>
  <c r="D119" i="9"/>
  <c r="C119" i="9"/>
  <c r="F119" i="9"/>
  <c r="E119" i="9"/>
  <c r="G119" i="9"/>
  <c r="C120" i="9"/>
  <c r="F120" i="9"/>
  <c r="E120" i="9"/>
  <c r="G120" i="9"/>
  <c r="D120" i="9"/>
  <c r="G19" i="9"/>
  <c r="C19" i="9"/>
  <c r="D19" i="9"/>
  <c r="F19" i="9"/>
  <c r="E19" i="9"/>
  <c r="E93" i="9"/>
  <c r="BV7" i="9"/>
  <c r="BT99" i="9"/>
  <c r="BV33" i="9"/>
  <c r="BR84" i="9"/>
  <c r="BT12" i="9"/>
  <c r="BV45" i="9"/>
  <c r="BS44" i="9"/>
  <c r="BS82" i="9"/>
  <c r="BV87" i="9"/>
  <c r="BV104" i="9"/>
  <c r="BU62" i="9"/>
  <c r="BV58" i="9"/>
  <c r="BU18" i="9"/>
  <c r="BV80" i="9"/>
  <c r="BS29" i="9"/>
  <c r="BV54" i="9"/>
  <c r="BT83" i="9"/>
  <c r="BV40" i="9"/>
  <c r="BT91" i="9"/>
  <c r="BU32" i="9"/>
  <c r="BV47" i="9"/>
  <c r="BV20" i="9"/>
  <c r="BT84" i="9"/>
  <c r="BS24" i="9"/>
  <c r="BU69" i="9"/>
  <c r="BR42" i="9"/>
  <c r="BU28" i="9"/>
  <c r="BR23" i="9"/>
  <c r="BR26" i="9"/>
  <c r="BS101" i="9"/>
  <c r="BU57" i="9"/>
  <c r="BS70" i="9"/>
  <c r="BT67" i="9"/>
  <c r="BR72" i="9"/>
  <c r="BR41" i="9"/>
  <c r="BU74" i="9"/>
  <c r="BR25" i="9"/>
  <c r="BU49" i="9"/>
  <c r="BV97" i="9"/>
  <c r="BU35" i="9"/>
  <c r="BV17" i="9"/>
  <c r="BR12" i="9"/>
  <c r="BS102" i="9"/>
  <c r="BU85" i="9"/>
  <c r="BT43" i="9"/>
  <c r="BS11" i="9"/>
  <c r="BR21" i="9"/>
  <c r="BT96" i="9"/>
  <c r="BV37" i="9"/>
  <c r="BU13" i="9"/>
  <c r="BU95" i="9"/>
  <c r="BR16" i="9"/>
  <c r="BT89" i="9"/>
  <c r="BR98" i="9"/>
  <c r="BS31" i="9"/>
  <c r="BV92" i="9"/>
  <c r="BS68" i="9"/>
  <c r="BU48" i="9"/>
  <c r="BR15" i="9"/>
  <c r="BR39" i="9"/>
  <c r="BS78" i="9"/>
  <c r="BT46" i="9"/>
  <c r="BV14" i="9"/>
  <c r="BU36" i="9"/>
  <c r="BV81" i="9"/>
  <c r="BU63" i="9"/>
  <c r="BV100" i="9"/>
  <c r="BS51" i="9"/>
  <c r="BS5" i="9"/>
  <c r="BS104" i="9"/>
  <c r="BT73" i="9"/>
  <c r="BS50" i="9"/>
  <c r="BR30" i="9"/>
  <c r="BT64" i="9"/>
  <c r="BT62" i="9"/>
  <c r="BT22" i="9"/>
  <c r="BT65" i="9"/>
  <c r="BS6" i="9"/>
  <c r="BU55" i="9"/>
  <c r="BT19" i="9"/>
  <c r="BS86" i="9"/>
  <c r="BT93" i="9"/>
  <c r="BR75" i="9"/>
  <c r="BS77" i="9"/>
  <c r="BT42" i="9"/>
  <c r="BS67" i="9"/>
  <c r="BV25" i="9"/>
  <c r="BR56" i="9"/>
  <c r="BR27" i="9"/>
  <c r="BS8" i="9"/>
  <c r="BR38" i="9"/>
  <c r="BU9" i="9"/>
  <c r="BR7" i="9"/>
  <c r="BT58" i="9"/>
  <c r="BV18" i="9"/>
  <c r="BR80" i="9"/>
  <c r="BR33" i="9"/>
  <c r="BV83" i="9"/>
  <c r="BR10" i="9"/>
  <c r="BR32" i="9"/>
  <c r="BU47" i="9"/>
  <c r="BR20" i="9"/>
  <c r="BS76" i="9"/>
  <c r="BV84" i="9"/>
  <c r="BS69" i="9"/>
  <c r="BV42" i="9"/>
  <c r="BV28" i="9"/>
  <c r="BT26" i="9"/>
  <c r="BU101" i="9"/>
  <c r="BT57" i="9"/>
  <c r="BV70" i="9"/>
  <c r="BU67" i="9"/>
  <c r="BU41" i="9"/>
  <c r="BT74" i="9"/>
  <c r="BS25" i="9"/>
  <c r="BS97" i="9"/>
  <c r="BS35" i="9"/>
  <c r="BR17" i="9"/>
  <c r="BS12" i="9"/>
  <c r="BV102" i="9"/>
  <c r="BR85" i="9"/>
  <c r="BU43" i="9"/>
  <c r="BS21" i="9"/>
  <c r="BS96" i="9"/>
  <c r="BS37" i="9"/>
  <c r="BV13" i="9"/>
  <c r="BS71" i="9"/>
  <c r="BR95" i="9"/>
  <c r="BV98" i="9"/>
  <c r="BT59" i="9"/>
  <c r="BV31" i="9"/>
  <c r="BU92" i="9"/>
  <c r="BV68" i="9"/>
  <c r="BU60" i="9"/>
  <c r="BS15" i="9"/>
  <c r="BU39" i="9"/>
  <c r="BS46" i="9"/>
  <c r="BU14" i="9"/>
  <c r="BT44" i="9"/>
  <c r="BV36" i="9"/>
  <c r="BR63" i="9"/>
  <c r="BT38" i="9"/>
  <c r="BR100" i="9"/>
  <c r="BR53" i="9"/>
  <c r="BT51" i="9"/>
  <c r="BV5" i="9"/>
  <c r="BU104" i="9"/>
  <c r="BV73" i="9"/>
  <c r="BR50" i="9"/>
  <c r="BT30" i="9"/>
  <c r="BV64" i="9"/>
  <c r="BR62" i="9"/>
  <c r="BV22" i="9"/>
  <c r="BV55" i="9"/>
  <c r="BR19" i="9"/>
  <c r="BV86" i="9"/>
  <c r="BV93" i="9"/>
  <c r="BS58" i="9"/>
  <c r="BT80" i="9"/>
  <c r="BU10" i="9"/>
  <c r="BR97" i="9"/>
  <c r="BR71" i="9"/>
  <c r="BV95" i="9"/>
  <c r="BR34" i="9"/>
  <c r="BT100" i="9"/>
  <c r="BU79" i="9"/>
  <c r="BS7" i="9"/>
  <c r="BU58" i="9"/>
  <c r="BV99" i="9"/>
  <c r="BU80" i="9"/>
  <c r="BU75" i="9"/>
  <c r="BU33" i="9"/>
  <c r="BR83" i="9"/>
  <c r="BT10" i="9"/>
  <c r="BS47" i="9"/>
  <c r="BR77" i="9"/>
  <c r="BU20" i="9"/>
  <c r="BV76" i="9"/>
  <c r="BS84" i="9"/>
  <c r="BV69" i="9"/>
  <c r="BS42" i="9"/>
  <c r="BT28" i="9"/>
  <c r="BU26" i="9"/>
  <c r="BS57" i="9"/>
  <c r="BV67" i="9"/>
  <c r="BV74" i="9"/>
  <c r="BU25" i="9"/>
  <c r="BT97" i="9"/>
  <c r="BS17" i="9"/>
  <c r="BU12" i="9"/>
  <c r="BS85" i="9"/>
  <c r="BV43" i="9"/>
  <c r="BT21" i="9"/>
  <c r="BU96" i="9"/>
  <c r="BR37" i="9"/>
  <c r="BR13" i="9"/>
  <c r="BV71" i="9"/>
  <c r="BT90" i="9"/>
  <c r="BS95" i="9"/>
  <c r="BS103" i="9"/>
  <c r="BU98" i="9"/>
  <c r="BS59" i="9"/>
  <c r="BS92" i="9"/>
  <c r="BU68" i="9"/>
  <c r="BT60" i="9"/>
  <c r="BT15" i="9"/>
  <c r="BU27" i="9"/>
  <c r="BS39" i="9"/>
  <c r="BR46" i="9"/>
  <c r="BU44" i="9"/>
  <c r="BT36" i="9"/>
  <c r="BS38" i="9"/>
  <c r="BS87" i="9"/>
  <c r="BS100" i="9"/>
  <c r="BU53" i="9"/>
  <c r="BU51" i="9"/>
  <c r="BT5" i="9"/>
  <c r="BR104" i="9"/>
  <c r="BU73" i="9"/>
  <c r="BV30" i="9"/>
  <c r="BU64" i="9"/>
  <c r="BV62" i="9"/>
  <c r="BS22" i="9"/>
  <c r="BS88" i="9"/>
  <c r="BS55" i="9"/>
  <c r="BU19" i="9"/>
  <c r="BT86" i="9"/>
  <c r="BR93" i="9"/>
  <c r="BT61" i="9"/>
  <c r="BU83" i="9"/>
  <c r="BT47" i="9"/>
  <c r="BU76" i="9"/>
  <c r="BT17" i="9"/>
  <c r="BS90" i="9"/>
  <c r="BU5" i="9"/>
  <c r="BU30" i="9"/>
  <c r="BU7" i="9"/>
  <c r="BS99" i="9"/>
  <c r="BS80" i="9"/>
  <c r="BV29" i="9"/>
  <c r="BS61" i="9"/>
  <c r="BS54" i="9"/>
  <c r="BT75" i="9"/>
  <c r="BS33" i="9"/>
  <c r="BS83" i="9"/>
  <c r="BR40" i="9"/>
  <c r="BV10" i="9"/>
  <c r="BS91" i="9"/>
  <c r="BT77" i="9"/>
  <c r="BR76" i="9"/>
  <c r="BT24" i="9"/>
  <c r="BU42" i="9"/>
  <c r="BT23" i="9"/>
  <c r="BS26" i="9"/>
  <c r="BR57" i="9"/>
  <c r="BS72" i="9"/>
  <c r="BT25" i="9"/>
  <c r="BT49" i="9"/>
  <c r="BV52" i="9"/>
  <c r="BR66" i="9"/>
  <c r="BT56" i="9"/>
  <c r="BU97" i="9"/>
  <c r="BV12" i="9"/>
  <c r="BR43" i="9"/>
  <c r="BR11" i="9"/>
  <c r="BR96" i="9"/>
  <c r="BT71" i="9"/>
  <c r="BV90" i="9"/>
  <c r="BT95" i="9"/>
  <c r="BS34" i="9"/>
  <c r="BV103" i="9"/>
  <c r="BT16" i="9"/>
  <c r="BV89" i="9"/>
  <c r="BT98" i="9"/>
  <c r="BR59" i="9"/>
  <c r="BV48" i="9"/>
  <c r="BR60" i="9"/>
  <c r="BS45" i="9"/>
  <c r="BV27" i="9"/>
  <c r="BR78" i="9"/>
  <c r="BV46" i="9"/>
  <c r="BV44" i="9"/>
  <c r="BT8" i="9"/>
  <c r="BR81" i="9"/>
  <c r="BR94" i="9"/>
  <c r="BV38" i="9"/>
  <c r="BU82" i="9"/>
  <c r="BU87" i="9"/>
  <c r="BV53" i="9"/>
  <c r="BR51" i="9"/>
  <c r="BR79" i="9"/>
  <c r="BT104" i="9"/>
  <c r="BU22" i="9"/>
  <c r="BU88" i="9"/>
  <c r="BR9" i="9"/>
  <c r="BS65" i="9"/>
  <c r="BR6" i="9"/>
  <c r="BS93" i="9"/>
  <c r="BT52" i="9"/>
  <c r="BV85" i="9"/>
  <c r="BU59" i="9"/>
  <c r="BS60" i="9"/>
  <c r="BT53" i="9"/>
  <c r="BT7" i="9"/>
  <c r="BS18" i="9"/>
  <c r="BU99" i="9"/>
  <c r="BT29" i="9"/>
  <c r="BV61" i="9"/>
  <c r="BT54" i="9"/>
  <c r="BV75" i="9"/>
  <c r="BT33" i="9"/>
  <c r="BU40" i="9"/>
  <c r="BS10" i="9"/>
  <c r="BR91" i="9"/>
  <c r="BV32" i="9"/>
  <c r="BV77" i="9"/>
  <c r="BT76" i="9"/>
  <c r="BV24" i="9"/>
  <c r="BS23" i="9"/>
  <c r="BT101" i="9"/>
  <c r="BU70" i="9"/>
  <c r="BU72" i="9"/>
  <c r="BV41" i="9"/>
  <c r="BR49" i="9"/>
  <c r="BS52" i="9"/>
  <c r="BV66" i="9"/>
  <c r="BU56" i="9"/>
  <c r="BR35" i="9"/>
  <c r="BT102" i="9"/>
  <c r="BU11" i="9"/>
  <c r="BU71" i="9"/>
  <c r="BU90" i="9"/>
  <c r="BU34" i="9"/>
  <c r="BT103" i="9"/>
  <c r="BU16" i="9"/>
  <c r="BR89" i="9"/>
  <c r="BV59" i="9"/>
  <c r="BU31" i="9"/>
  <c r="BT48" i="9"/>
  <c r="BV60" i="9"/>
  <c r="BU45" i="9"/>
  <c r="BT27" i="9"/>
  <c r="BU78" i="9"/>
  <c r="BT14" i="9"/>
  <c r="BR44" i="9"/>
  <c r="BU8" i="9"/>
  <c r="BS81" i="9"/>
  <c r="BU94" i="9"/>
  <c r="BS63" i="9"/>
  <c r="BU38" i="9"/>
  <c r="BT82" i="9"/>
  <c r="BR87" i="9"/>
  <c r="BS53" i="9"/>
  <c r="BV79" i="9"/>
  <c r="BT50" i="9"/>
  <c r="BR88" i="9"/>
  <c r="BT9" i="9"/>
  <c r="BU65" i="9"/>
  <c r="BV6" i="9"/>
  <c r="BV26" i="9"/>
  <c r="BV57" i="9"/>
  <c r="BS74" i="9"/>
  <c r="BU66" i="9"/>
  <c r="BS43" i="9"/>
  <c r="BV96" i="9"/>
  <c r="BT13" i="9"/>
  <c r="BU46" i="9"/>
  <c r="BV51" i="9"/>
  <c r="BT88" i="9"/>
  <c r="BU93" i="9"/>
  <c r="BR18" i="9"/>
  <c r="BR99" i="9"/>
  <c r="BR29" i="9"/>
  <c r="BU61" i="9"/>
  <c r="BR54" i="9"/>
  <c r="BS75" i="9"/>
  <c r="BT40" i="9"/>
  <c r="BV91" i="9"/>
  <c r="BT32" i="9"/>
  <c r="BU77" i="9"/>
  <c r="BS20" i="9"/>
  <c r="BR24" i="9"/>
  <c r="BT69" i="9"/>
  <c r="BR28" i="9"/>
  <c r="BV23" i="9"/>
  <c r="BR101" i="9"/>
  <c r="BR70" i="9"/>
  <c r="BV72" i="9"/>
  <c r="BT41" i="9"/>
  <c r="BS49" i="9"/>
  <c r="BR52" i="9"/>
  <c r="BT66" i="9"/>
  <c r="BV56" i="9"/>
  <c r="BT35" i="9"/>
  <c r="BU102" i="9"/>
  <c r="BV11" i="9"/>
  <c r="BU21" i="9"/>
  <c r="BU37" i="9"/>
  <c r="BR90" i="9"/>
  <c r="BT34" i="9"/>
  <c r="BU103" i="9"/>
  <c r="BV16" i="9"/>
  <c r="BU89" i="9"/>
  <c r="BR31" i="9"/>
  <c r="BT92" i="9"/>
  <c r="BT68" i="9"/>
  <c r="BS48" i="9"/>
  <c r="BU15" i="9"/>
  <c r="BT45" i="9"/>
  <c r="BS27" i="9"/>
  <c r="BV39" i="9"/>
  <c r="BT78" i="9"/>
  <c r="BS14" i="9"/>
  <c r="BR36" i="9"/>
  <c r="BV8" i="9"/>
  <c r="BU81" i="9"/>
  <c r="BV94" i="9"/>
  <c r="BT63" i="9"/>
  <c r="BV82" i="9"/>
  <c r="BT87" i="9"/>
  <c r="BS79" i="9"/>
  <c r="BR73" i="9"/>
  <c r="BV50" i="9"/>
  <c r="BR64" i="9"/>
  <c r="BV88" i="9"/>
  <c r="BS9" i="9"/>
  <c r="BR65" i="9"/>
  <c r="BU6" i="9"/>
  <c r="BT55" i="9"/>
  <c r="BV19" i="9"/>
  <c r="BR86" i="9"/>
  <c r="BR103" i="9"/>
  <c r="BS98" i="9"/>
  <c r="BS94" i="9"/>
  <c r="BR22" i="9"/>
  <c r="BR58" i="9"/>
  <c r="BT18" i="9"/>
  <c r="BU29" i="9"/>
  <c r="BR61" i="9"/>
  <c r="BU54" i="9"/>
  <c r="BS40" i="9"/>
  <c r="BU91" i="9"/>
  <c r="BS32" i="9"/>
  <c r="BR47" i="9"/>
  <c r="BT20" i="9"/>
  <c r="BU84" i="9"/>
  <c r="BU24" i="9"/>
  <c r="BR69" i="9"/>
  <c r="BS28" i="9"/>
  <c r="BU23" i="9"/>
  <c r="BV101" i="9"/>
  <c r="BT70" i="9"/>
  <c r="BR67" i="9"/>
  <c r="BT72" i="9"/>
  <c r="BS41" i="9"/>
  <c r="BR74" i="9"/>
  <c r="BV49" i="9"/>
  <c r="BU52" i="9"/>
  <c r="BS66" i="9"/>
  <c r="BS56" i="9"/>
  <c r="BV35" i="9"/>
  <c r="BU17" i="9"/>
  <c r="BR102" i="9"/>
  <c r="BT85" i="9"/>
  <c r="BT11" i="9"/>
  <c r="BV21" i="9"/>
  <c r="BT37" i="9"/>
  <c r="BS13" i="9"/>
  <c r="BV34" i="9"/>
  <c r="BS16" i="9"/>
  <c r="BS89" i="9"/>
  <c r="BT31" i="9"/>
  <c r="BR92" i="9"/>
  <c r="BR68" i="9"/>
  <c r="BR48" i="9"/>
  <c r="BV15" i="9"/>
  <c r="BR45" i="9"/>
  <c r="BT39" i="9"/>
  <c r="BV78" i="9"/>
  <c r="BR14" i="9"/>
  <c r="BS36" i="9"/>
  <c r="BR8" i="9"/>
  <c r="BT81" i="9"/>
  <c r="BT94" i="9"/>
  <c r="BV63" i="9"/>
  <c r="BR82" i="9"/>
  <c r="BU100" i="9"/>
  <c r="BT79" i="9"/>
  <c r="BR5" i="9"/>
  <c r="BS73" i="9"/>
  <c r="BU50" i="9"/>
  <c r="BS30" i="9"/>
  <c r="BS64" i="9"/>
  <c r="BS62" i="9"/>
  <c r="BV9" i="9"/>
  <c r="BV65" i="9"/>
  <c r="BT6" i="9"/>
  <c r="BR55" i="9"/>
  <c r="BS19" i="9"/>
  <c r="BU86" i="9"/>
  <c r="O19" i="2"/>
  <c r="Q19" i="2" s="1"/>
  <c r="R19" i="2" s="1"/>
  <c r="P12" i="2"/>
  <c r="O12" i="2"/>
  <c r="Q12" i="2" s="1"/>
  <c r="AL2" i="9"/>
  <c r="AH2" i="9"/>
  <c r="AI2" i="9"/>
  <c r="AJ2" i="9"/>
  <c r="Y5" i="9"/>
  <c r="EJ119" i="28" l="1"/>
  <c r="O14" i="2"/>
  <c r="Q14" i="2" s="1"/>
  <c r="AO61" i="31"/>
  <c r="AO29" i="31"/>
  <c r="AM37" i="31"/>
  <c r="AN95" i="31"/>
  <c r="AM101" i="31"/>
  <c r="AL61" i="31"/>
  <c r="AM20" i="31"/>
  <c r="AL75" i="31"/>
  <c r="AL26" i="31"/>
  <c r="AM68" i="31"/>
  <c r="AM60" i="31"/>
  <c r="AM22" i="31"/>
  <c r="AL70" i="31"/>
  <c r="AL12" i="31"/>
  <c r="AM10" i="31"/>
  <c r="AO41" i="31"/>
  <c r="AN59" i="31"/>
  <c r="AN49" i="31"/>
  <c r="AN91" i="31"/>
  <c r="AL30" i="31"/>
  <c r="AK106" i="31"/>
  <c r="AK92" i="31"/>
  <c r="AK61" i="31"/>
  <c r="AL21" i="31"/>
  <c r="AL62" i="31"/>
  <c r="AM71" i="31"/>
  <c r="AK40" i="31"/>
  <c r="AK57" i="31"/>
  <c r="AK96" i="31"/>
  <c r="AK38" i="31"/>
  <c r="AK13" i="31"/>
  <c r="AL46" i="31"/>
  <c r="AL59" i="31"/>
  <c r="AK28" i="31"/>
  <c r="AM49" i="31"/>
  <c r="AM34" i="31"/>
  <c r="AL90" i="31"/>
  <c r="AM45" i="31"/>
  <c r="AM26" i="31"/>
  <c r="AL25" i="31"/>
  <c r="AL16" i="31"/>
  <c r="AM13" i="31"/>
  <c r="AN15" i="31"/>
  <c r="AN61" i="31"/>
  <c r="AN39" i="31"/>
  <c r="AN23" i="31"/>
  <c r="AN42" i="31"/>
  <c r="AM90" i="31"/>
  <c r="AN48" i="31"/>
  <c r="AN93" i="31"/>
  <c r="AM82" i="31"/>
  <c r="AL100" i="31"/>
  <c r="AL106" i="31"/>
  <c r="AN106" i="31"/>
  <c r="AK97" i="31"/>
  <c r="AK88" i="31"/>
  <c r="AK81" i="31"/>
  <c r="AM52" i="31"/>
  <c r="AK101" i="31"/>
  <c r="AK83" i="31"/>
  <c r="AK72" i="31"/>
  <c r="AK84" i="31"/>
  <c r="AK32" i="31"/>
  <c r="AK48" i="31"/>
  <c r="AM33" i="31"/>
  <c r="AK99" i="31"/>
  <c r="AN22" i="31"/>
  <c r="AK71" i="31"/>
  <c r="AK89" i="31"/>
  <c r="AK52" i="31"/>
  <c r="AK17" i="31"/>
  <c r="AN35" i="31"/>
  <c r="AM25" i="31"/>
  <c r="AK50" i="31"/>
  <c r="AN50" i="31"/>
  <c r="AM57" i="31"/>
  <c r="AK98" i="31"/>
  <c r="AK49" i="31"/>
  <c r="AK103" i="31"/>
  <c r="AK60" i="31"/>
  <c r="AK93" i="31"/>
  <c r="AL27" i="31"/>
  <c r="AK37" i="31"/>
  <c r="AN97" i="31"/>
  <c r="AM9" i="31"/>
  <c r="AK20" i="31"/>
  <c r="AL104" i="31"/>
  <c r="AM67" i="31"/>
  <c r="AK74" i="31"/>
  <c r="AL96" i="31"/>
  <c r="AN41" i="31"/>
  <c r="AK85" i="31"/>
  <c r="AN58" i="31"/>
  <c r="AK19" i="31"/>
  <c r="AK65" i="31"/>
  <c r="AK64" i="31"/>
  <c r="AL36" i="31"/>
  <c r="AK11" i="31"/>
  <c r="AL78" i="31"/>
  <c r="AK21" i="31"/>
  <c r="AM24" i="31"/>
  <c r="AL93" i="31"/>
  <c r="AL89" i="31"/>
  <c r="AK24" i="31"/>
  <c r="AM50" i="31"/>
  <c r="AM43" i="31"/>
  <c r="AL80" i="31"/>
  <c r="AM31" i="31"/>
  <c r="AL88" i="31"/>
  <c r="AL60" i="31"/>
  <c r="AK90" i="31"/>
  <c r="AK63" i="31"/>
  <c r="AK95" i="31"/>
  <c r="AK107" i="31"/>
  <c r="AK58" i="31"/>
  <c r="AK43" i="31"/>
  <c r="AK105" i="31"/>
  <c r="AK56" i="31"/>
  <c r="AM38" i="31"/>
  <c r="AL85" i="31"/>
  <c r="AM23" i="31"/>
  <c r="AA95" i="31"/>
  <c r="AK165" i="31"/>
  <c r="AM164" i="31"/>
  <c r="AK161" i="31"/>
  <c r="AM160" i="31"/>
  <c r="AK157" i="31"/>
  <c r="AM156" i="31"/>
  <c r="AK153" i="31"/>
  <c r="AM152" i="31"/>
  <c r="AL55" i="31"/>
  <c r="AK80" i="31"/>
  <c r="AL68" i="31"/>
  <c r="AN43" i="31"/>
  <c r="AK91" i="31"/>
  <c r="AL20" i="31"/>
  <c r="AK10" i="31"/>
  <c r="AM62" i="31"/>
  <c r="AK27" i="31"/>
  <c r="AN99" i="31"/>
  <c r="AK44" i="31"/>
  <c r="AL92" i="31"/>
  <c r="AL54" i="31"/>
  <c r="AL87" i="31"/>
  <c r="AM35" i="31"/>
  <c r="AK42" i="31"/>
  <c r="AK9" i="31"/>
  <c r="AK23" i="31"/>
  <c r="AM36" i="31"/>
  <c r="AK22" i="31"/>
  <c r="AL48" i="31"/>
  <c r="AM46" i="31"/>
  <c r="AM48" i="31"/>
  <c r="AM41" i="31"/>
  <c r="AM29" i="31"/>
  <c r="AM47" i="31"/>
  <c r="AK26" i="31"/>
  <c r="AK30" i="31"/>
  <c r="AM54" i="31"/>
  <c r="AN67" i="31"/>
  <c r="AN83" i="31"/>
  <c r="AL77" i="31"/>
  <c r="AK69" i="31"/>
  <c r="AM28" i="31"/>
  <c r="AN72" i="31"/>
  <c r="AK104" i="31"/>
  <c r="AL14" i="31"/>
  <c r="AL22" i="31"/>
  <c r="AK51" i="31"/>
  <c r="AL42" i="31"/>
  <c r="AK82" i="31"/>
  <c r="AM72" i="31"/>
  <c r="AK46" i="31"/>
  <c r="AK67" i="31"/>
  <c r="AK16" i="31"/>
  <c r="AM30" i="31"/>
  <c r="AL73" i="31"/>
  <c r="AM64" i="31"/>
  <c r="AL44" i="31"/>
  <c r="AL24" i="31"/>
  <c r="AL51" i="31"/>
  <c r="AL23" i="31"/>
  <c r="AL34" i="31"/>
  <c r="AM66" i="31"/>
  <c r="AM70" i="31"/>
  <c r="AL43" i="31"/>
  <c r="AL67" i="31"/>
  <c r="AM69" i="31"/>
  <c r="AL28" i="31"/>
  <c r="AM44" i="31"/>
  <c r="AM59" i="31"/>
  <c r="AM15" i="31"/>
  <c r="AL17" i="31"/>
  <c r="AN16" i="31"/>
  <c r="AN12" i="31"/>
  <c r="AA64" i="31"/>
  <c r="AN54" i="31"/>
  <c r="AN76" i="31"/>
  <c r="AO46" i="31"/>
  <c r="AN56" i="31"/>
  <c r="AN9" i="31"/>
  <c r="AN40" i="31"/>
  <c r="AN34" i="31"/>
  <c r="AO86" i="31"/>
  <c r="AL98" i="31"/>
  <c r="AL97" i="31"/>
  <c r="AL103" i="31"/>
  <c r="AO96" i="31"/>
  <c r="AN102" i="31"/>
  <c r="AM106" i="31"/>
  <c r="AK8" i="31"/>
  <c r="AK77" i="31"/>
  <c r="AN10" i="31"/>
  <c r="AK54" i="31"/>
  <c r="AL63" i="31"/>
  <c r="AK76" i="31"/>
  <c r="AN38" i="31"/>
  <c r="AL64" i="31"/>
  <c r="AK47" i="31"/>
  <c r="AL76" i="31"/>
  <c r="AL57" i="31"/>
  <c r="AK94" i="31"/>
  <c r="AN94" i="31"/>
  <c r="AK41" i="31"/>
  <c r="AK87" i="31"/>
  <c r="AM19" i="31"/>
  <c r="AN80" i="31"/>
  <c r="AL49" i="31"/>
  <c r="AM63" i="31"/>
  <c r="AK14" i="31"/>
  <c r="AM12" i="31"/>
  <c r="AK100" i="31"/>
  <c r="AK79" i="31"/>
  <c r="AN75" i="31"/>
  <c r="AM75" i="31"/>
  <c r="AM27" i="31"/>
  <c r="AM56" i="31"/>
  <c r="AK55" i="31"/>
  <c r="AK59" i="31"/>
  <c r="AN71" i="31"/>
  <c r="AK15" i="31"/>
  <c r="AL35" i="31"/>
  <c r="AK34" i="31"/>
  <c r="AK36" i="31"/>
  <c r="AM51" i="31"/>
  <c r="AL41" i="31"/>
  <c r="AM40" i="31"/>
  <c r="AL65" i="31"/>
  <c r="AL82" i="31"/>
  <c r="AL66" i="31"/>
  <c r="AK33" i="31"/>
  <c r="AL69" i="31"/>
  <c r="AL47" i="31"/>
  <c r="AM53" i="31"/>
  <c r="AL56" i="31"/>
  <c r="AL72" i="31"/>
  <c r="AK31" i="31"/>
  <c r="AL45" i="31"/>
  <c r="AL52" i="31"/>
  <c r="AM14" i="31"/>
  <c r="AL9" i="31"/>
  <c r="AO15" i="31"/>
  <c r="AN74" i="31"/>
  <c r="AA30" i="31"/>
  <c r="AN70" i="31"/>
  <c r="AN66" i="31"/>
  <c r="AN78" i="31"/>
  <c r="AN26" i="31"/>
  <c r="AM88" i="31"/>
  <c r="AN45" i="31"/>
  <c r="AN33" i="31"/>
  <c r="AN24" i="31"/>
  <c r="AN27" i="31"/>
  <c r="AN46" i="31"/>
  <c r="AM81" i="31"/>
  <c r="AM80" i="31"/>
  <c r="AM93" i="31"/>
  <c r="AO99" i="31"/>
  <c r="AN92" i="31"/>
  <c r="AN105" i="31"/>
  <c r="AM107" i="31"/>
  <c r="AL167" i="31"/>
  <c r="AN166" i="31"/>
  <c r="AL163" i="31"/>
  <c r="AN162" i="31"/>
  <c r="AL159" i="31"/>
  <c r="AN158" i="31"/>
  <c r="AL155" i="31"/>
  <c r="AN154" i="31"/>
  <c r="AL151" i="31"/>
  <c r="AN150" i="31"/>
  <c r="AL147" i="31"/>
  <c r="AN146" i="31"/>
  <c r="AN87" i="31"/>
  <c r="AM78" i="31"/>
  <c r="AN25" i="31"/>
  <c r="AA75" i="31"/>
  <c r="AN44" i="31"/>
  <c r="AM84" i="31"/>
  <c r="AA105" i="31"/>
  <c r="AL105" i="31"/>
  <c r="AL102" i="31"/>
  <c r="AM104" i="31"/>
  <c r="AN96" i="31"/>
  <c r="AM99" i="31"/>
  <c r="AN8" i="31"/>
  <c r="AK167" i="31"/>
  <c r="AM166" i="31"/>
  <c r="AK163" i="31"/>
  <c r="AM162" i="31"/>
  <c r="AK159" i="31"/>
  <c r="AM158" i="31"/>
  <c r="AK155" i="31"/>
  <c r="AM154" i="31"/>
  <c r="AK151" i="31"/>
  <c r="AM150" i="31"/>
  <c r="AK147" i="31"/>
  <c r="AM146" i="31"/>
  <c r="AK143" i="31"/>
  <c r="AM142" i="31"/>
  <c r="AK139" i="31"/>
  <c r="AM138" i="31"/>
  <c r="AK135" i="31"/>
  <c r="AM134" i="31"/>
  <c r="AK131" i="31"/>
  <c r="AM130" i="31"/>
  <c r="AK127" i="31"/>
  <c r="AM126" i="31"/>
  <c r="AK123" i="31"/>
  <c r="AM122" i="31"/>
  <c r="AK119" i="31"/>
  <c r="AM118" i="31"/>
  <c r="AK115" i="31"/>
  <c r="AM114" i="31"/>
  <c r="AK111" i="31"/>
  <c r="AN98" i="31"/>
  <c r="AM8" i="31"/>
  <c r="AL166" i="31"/>
  <c r="AN165" i="31"/>
  <c r="AL162" i="31"/>
  <c r="AN161" i="31"/>
  <c r="AL158" i="31"/>
  <c r="AN157" i="31"/>
  <c r="AL154" i="31"/>
  <c r="AN153" i="31"/>
  <c r="AL150" i="31"/>
  <c r="AN149" i="31"/>
  <c r="AL146" i="31"/>
  <c r="AN145" i="31"/>
  <c r="AL142" i="31"/>
  <c r="AN141" i="31"/>
  <c r="AL138" i="31"/>
  <c r="AN137" i="31"/>
  <c r="AL134" i="31"/>
  <c r="AN133" i="31"/>
  <c r="AL130" i="31"/>
  <c r="AN129" i="31"/>
  <c r="AM21" i="31"/>
  <c r="AK66" i="31"/>
  <c r="AM98" i="31"/>
  <c r="AL13" i="31"/>
  <c r="AK75" i="31"/>
  <c r="AM77" i="31"/>
  <c r="AM18" i="31"/>
  <c r="AL19" i="31"/>
  <c r="AN11" i="31"/>
  <c r="AK39" i="31"/>
  <c r="AM42" i="31"/>
  <c r="AM65" i="31"/>
  <c r="AK62" i="31"/>
  <c r="AK73" i="31"/>
  <c r="AK25" i="31"/>
  <c r="AL32" i="31"/>
  <c r="AL79" i="31"/>
  <c r="AM83" i="31"/>
  <c r="AM74" i="31"/>
  <c r="AK68" i="31"/>
  <c r="AL33" i="31"/>
  <c r="AN79" i="31"/>
  <c r="AM17" i="31"/>
  <c r="AK12" i="31"/>
  <c r="AL71" i="31"/>
  <c r="AL74" i="31"/>
  <c r="AM73" i="31"/>
  <c r="AL29" i="31"/>
  <c r="AL31" i="31"/>
  <c r="AM32" i="31"/>
  <c r="AL84" i="31"/>
  <c r="AK29" i="31"/>
  <c r="AK18" i="31"/>
  <c r="AL40" i="31"/>
  <c r="AL81" i="31"/>
  <c r="AK35" i="31"/>
  <c r="AM58" i="31"/>
  <c r="AL86" i="31"/>
  <c r="AL38" i="31"/>
  <c r="AL53" i="31"/>
  <c r="AL37" i="31"/>
  <c r="AM39" i="31"/>
  <c r="AL15" i="31"/>
  <c r="AL11" i="31"/>
  <c r="AL95" i="31"/>
  <c r="AN14" i="31"/>
  <c r="AN73" i="31"/>
  <c r="AO31" i="31"/>
  <c r="AN65" i="31"/>
  <c r="AO45" i="31"/>
  <c r="AN57" i="31"/>
  <c r="AA66" i="31"/>
  <c r="AN51" i="31"/>
  <c r="AM89" i="31"/>
  <c r="AN21" i="31"/>
  <c r="AM76" i="31"/>
  <c r="AA76" i="31"/>
  <c r="AN30" i="31"/>
  <c r="AN17" i="31"/>
  <c r="AN20" i="31"/>
  <c r="AN28" i="31"/>
  <c r="AM97" i="31"/>
  <c r="AL101" i="31"/>
  <c r="AO106" i="31"/>
  <c r="AN89" i="31"/>
  <c r="AL99" i="31"/>
  <c r="AO78" i="31"/>
  <c r="AN100" i="31"/>
  <c r="AM103" i="31"/>
  <c r="AN103" i="31"/>
  <c r="AL8" i="31"/>
  <c r="AL39" i="31"/>
  <c r="AM55" i="31"/>
  <c r="AM16" i="31"/>
  <c r="AN62" i="31"/>
  <c r="AA38" i="31"/>
  <c r="AO58" i="31"/>
  <c r="AN63" i="31"/>
  <c r="AN47" i="31"/>
  <c r="AA87" i="31"/>
  <c r="AM87" i="31"/>
  <c r="AN29" i="31"/>
  <c r="AN32" i="31"/>
  <c r="AN37" i="31"/>
  <c r="AM85" i="31"/>
  <c r="AM86" i="31"/>
  <c r="AN82" i="31"/>
  <c r="AN81" i="31"/>
  <c r="AM92" i="31"/>
  <c r="AM96" i="31"/>
  <c r="AM100" i="31"/>
  <c r="AM105" i="31"/>
  <c r="AN101" i="31"/>
  <c r="AL165" i="31"/>
  <c r="AN164" i="31"/>
  <c r="AL161" i="31"/>
  <c r="AN160" i="31"/>
  <c r="AL157" i="31"/>
  <c r="AN156" i="31"/>
  <c r="AL153" i="31"/>
  <c r="AN152" i="31"/>
  <c r="AK149" i="31"/>
  <c r="AM148" i="31"/>
  <c r="AK145" i="31"/>
  <c r="AM144" i="31"/>
  <c r="AK141" i="31"/>
  <c r="AM140" i="31"/>
  <c r="AK137" i="31"/>
  <c r="AM136" i="31"/>
  <c r="AK133" i="31"/>
  <c r="AM132" i="31"/>
  <c r="AK129" i="31"/>
  <c r="AM128" i="31"/>
  <c r="AK125" i="31"/>
  <c r="AM124" i="31"/>
  <c r="AK121" i="31"/>
  <c r="AM120" i="31"/>
  <c r="AK117" i="31"/>
  <c r="AM116" i="31"/>
  <c r="AM112" i="31"/>
  <c r="AK109" i="31"/>
  <c r="AM108" i="31"/>
  <c r="AM11" i="31"/>
  <c r="AN13" i="31"/>
  <c r="AN55" i="31"/>
  <c r="AO47" i="31"/>
  <c r="AA55" i="31"/>
  <c r="AN53" i="31"/>
  <c r="AN68" i="31"/>
  <c r="AO26" i="31"/>
  <c r="AN86" i="31"/>
  <c r="AN18" i="31"/>
  <c r="AO84" i="31"/>
  <c r="AN84" i="31"/>
  <c r="AN19" i="31"/>
  <c r="AM91" i="31"/>
  <c r="AO74" i="31"/>
  <c r="AM79" i="31"/>
  <c r="AN90" i="31"/>
  <c r="AM95" i="31"/>
  <c r="AA83" i="31"/>
  <c r="AN107" i="31"/>
  <c r="AN104" i="31"/>
  <c r="AN167" i="31"/>
  <c r="AL164" i="31"/>
  <c r="AN163" i="31"/>
  <c r="AL160" i="31"/>
  <c r="AN159" i="31"/>
  <c r="AL156" i="31"/>
  <c r="AN155" i="31"/>
  <c r="AL152" i="31"/>
  <c r="AN151" i="31"/>
  <c r="AL148" i="31"/>
  <c r="AN147" i="31"/>
  <c r="AL144" i="31"/>
  <c r="AN143" i="31"/>
  <c r="AN139" i="31"/>
  <c r="AL136" i="31"/>
  <c r="AN135" i="31"/>
  <c r="AN131" i="31"/>
  <c r="AL128" i="31"/>
  <c r="AN127" i="31"/>
  <c r="AL124" i="31"/>
  <c r="AN123" i="31"/>
  <c r="AL120" i="31"/>
  <c r="AN119" i="31"/>
  <c r="AN115" i="31"/>
  <c r="AL112" i="31"/>
  <c r="AN111" i="31"/>
  <c r="AL108" i="31"/>
  <c r="AM167" i="31"/>
  <c r="AK164" i="31"/>
  <c r="AM163" i="31"/>
  <c r="AK160" i="31"/>
  <c r="AM159" i="31"/>
  <c r="AK156" i="31"/>
  <c r="AK152" i="31"/>
  <c r="AM151" i="31"/>
  <c r="AK148" i="31"/>
  <c r="AM147" i="31"/>
  <c r="AK144" i="31"/>
  <c r="AM143" i="31"/>
  <c r="AK140" i="31"/>
  <c r="AM139" i="31"/>
  <c r="AK136" i="31"/>
  <c r="AM135" i="31"/>
  <c r="AK132" i="31"/>
  <c r="AM131" i="31"/>
  <c r="AK128" i="31"/>
  <c r="AM127" i="31"/>
  <c r="AK124" i="31"/>
  <c r="AM123" i="31"/>
  <c r="AK120" i="31"/>
  <c r="AM119" i="31"/>
  <c r="AK116" i="31"/>
  <c r="AM115" i="31"/>
  <c r="AK112" i="31"/>
  <c r="AM111" i="31"/>
  <c r="AK108" i="31"/>
  <c r="AM155" i="31"/>
  <c r="AN142" i="31"/>
  <c r="AL139" i="31"/>
  <c r="AN138" i="31"/>
  <c r="AL135" i="31"/>
  <c r="AN134" i="31"/>
  <c r="AL131" i="31"/>
  <c r="AN130" i="31"/>
  <c r="AN126" i="31"/>
  <c r="AL123" i="31"/>
  <c r="AN122" i="31"/>
  <c r="AL119" i="31"/>
  <c r="AN118" i="31"/>
  <c r="AN114" i="31"/>
  <c r="AL111" i="31"/>
  <c r="AN110" i="31"/>
  <c r="AL127" i="31"/>
  <c r="AL132" i="31"/>
  <c r="AL143" i="31"/>
  <c r="AL126" i="31"/>
  <c r="AN125" i="31"/>
  <c r="AL122" i="31"/>
  <c r="AN121" i="31"/>
  <c r="AL118" i="31"/>
  <c r="AN117" i="31"/>
  <c r="AL114" i="31"/>
  <c r="AN113" i="31"/>
  <c r="AL110" i="31"/>
  <c r="AN109" i="31"/>
  <c r="AK166" i="31"/>
  <c r="AM165" i="31"/>
  <c r="AK162" i="31"/>
  <c r="AM161" i="31"/>
  <c r="AK158" i="31"/>
  <c r="AM157" i="31"/>
  <c r="AK154" i="31"/>
  <c r="AM153" i="31"/>
  <c r="AK150" i="31"/>
  <c r="AM149" i="31"/>
  <c r="AK146" i="31"/>
  <c r="AM145" i="31"/>
  <c r="AK142" i="31"/>
  <c r="AM141" i="31"/>
  <c r="AK138" i="31"/>
  <c r="AM137" i="31"/>
  <c r="AK134" i="31"/>
  <c r="AM133" i="31"/>
  <c r="AK130" i="31"/>
  <c r="AM129" i="31"/>
  <c r="AK126" i="31"/>
  <c r="AM125" i="31"/>
  <c r="AK122" i="31"/>
  <c r="AM121" i="31"/>
  <c r="AK118" i="31"/>
  <c r="AM117" i="31"/>
  <c r="AK114" i="31"/>
  <c r="AM109" i="31"/>
  <c r="AL116" i="31"/>
  <c r="AL149" i="31"/>
  <c r="AN148" i="31"/>
  <c r="AL145" i="31"/>
  <c r="AN144" i="31"/>
  <c r="AL141" i="31"/>
  <c r="AN140" i="31"/>
  <c r="AL137" i="31"/>
  <c r="AN136" i="31"/>
  <c r="AL133" i="31"/>
  <c r="AN132" i="31"/>
  <c r="AL129" i="31"/>
  <c r="AN128" i="31"/>
  <c r="AL125" i="31"/>
  <c r="AN124" i="31"/>
  <c r="AL121" i="31"/>
  <c r="AN120" i="31"/>
  <c r="AN116" i="31"/>
  <c r="AL113" i="31"/>
  <c r="AL109" i="31"/>
  <c r="AN108" i="31"/>
  <c r="AL140" i="31"/>
  <c r="AA71" i="31"/>
  <c r="AO71" i="31"/>
  <c r="AO52" i="31"/>
  <c r="AA52" i="31"/>
  <c r="AA48" i="31"/>
  <c r="AO48" i="31"/>
  <c r="AA104" i="31"/>
  <c r="AO104" i="31"/>
  <c r="AA51" i="31"/>
  <c r="AO51" i="31"/>
  <c r="AO20" i="31"/>
  <c r="AA20" i="31"/>
  <c r="AA99" i="31"/>
  <c r="AA91" i="31"/>
  <c r="AO91" i="31"/>
  <c r="AO37" i="31"/>
  <c r="AA37" i="31"/>
  <c r="AO8" i="31"/>
  <c r="AA65" i="31"/>
  <c r="AO65" i="31"/>
  <c r="AA103" i="31"/>
  <c r="AO103" i="31"/>
  <c r="AA31" i="31"/>
  <c r="AO53" i="31"/>
  <c r="AA53" i="31"/>
  <c r="AA17" i="31"/>
  <c r="AO17" i="31"/>
  <c r="AA165" i="31"/>
  <c r="AA161" i="31"/>
  <c r="AO161" i="31"/>
  <c r="AA157" i="31"/>
  <c r="AO157" i="31"/>
  <c r="AA153" i="31"/>
  <c r="AO153" i="31"/>
  <c r="AA149" i="31"/>
  <c r="AO149" i="31"/>
  <c r="AA145" i="31"/>
  <c r="AO145" i="31"/>
  <c r="AA141" i="31"/>
  <c r="AO141" i="31"/>
  <c r="AA137" i="31"/>
  <c r="AO137" i="31"/>
  <c r="AO133" i="31"/>
  <c r="AA133" i="31"/>
  <c r="AA129" i="31"/>
  <c r="AO129" i="31"/>
  <c r="AO125" i="31"/>
  <c r="AA125" i="31"/>
  <c r="AA121" i="31"/>
  <c r="AO121" i="31"/>
  <c r="AO117" i="31"/>
  <c r="AA117" i="31"/>
  <c r="AA113" i="31"/>
  <c r="AO113" i="31"/>
  <c r="AM110" i="31"/>
  <c r="AO109" i="31"/>
  <c r="AA109" i="31"/>
  <c r="AA96" i="31"/>
  <c r="AO60" i="31"/>
  <c r="AA60" i="31"/>
  <c r="AA19" i="31"/>
  <c r="AO19" i="31"/>
  <c r="AA9" i="31"/>
  <c r="AO9" i="31"/>
  <c r="AA81" i="31"/>
  <c r="AO81" i="31"/>
  <c r="AA40" i="31"/>
  <c r="AO40" i="31"/>
  <c r="AA39" i="31"/>
  <c r="AO39" i="31"/>
  <c r="AO55" i="31"/>
  <c r="AA33" i="31"/>
  <c r="AO33" i="31"/>
  <c r="AA63" i="31"/>
  <c r="AO63" i="31"/>
  <c r="AO10" i="31"/>
  <c r="AA10" i="31"/>
  <c r="AK86" i="31"/>
  <c r="AL58" i="31"/>
  <c r="AO66" i="31"/>
  <c r="AA58" i="31"/>
  <c r="AO82" i="31"/>
  <c r="AA82" i="31"/>
  <c r="AK45" i="31"/>
  <c r="AL107" i="31"/>
  <c r="AM94" i="31"/>
  <c r="AO34" i="31"/>
  <c r="AA34" i="31"/>
  <c r="AN88" i="31"/>
  <c r="AK102" i="31"/>
  <c r="AN69" i="31"/>
  <c r="AA164" i="31"/>
  <c r="AO164" i="31"/>
  <c r="AA160" i="31"/>
  <c r="AO160" i="31"/>
  <c r="AA156" i="31"/>
  <c r="AO156" i="31"/>
  <c r="AA152" i="31"/>
  <c r="AO152" i="31"/>
  <c r="AA148" i="31"/>
  <c r="AO148" i="31"/>
  <c r="AA144" i="31"/>
  <c r="AO144" i="31"/>
  <c r="AO140" i="31"/>
  <c r="AA140" i="31"/>
  <c r="AA136" i="31"/>
  <c r="AO136" i="31"/>
  <c r="AO132" i="31"/>
  <c r="AA132" i="31"/>
  <c r="AA128" i="31"/>
  <c r="AO128" i="31"/>
  <c r="AO124" i="31"/>
  <c r="AA124" i="31"/>
  <c r="AA120" i="31"/>
  <c r="AO120" i="31"/>
  <c r="AO116" i="31"/>
  <c r="AA116" i="31"/>
  <c r="AM113" i="31"/>
  <c r="AA112" i="31"/>
  <c r="AO112" i="31"/>
  <c r="AK110" i="31"/>
  <c r="AO108" i="31"/>
  <c r="AA108" i="31"/>
  <c r="AA80" i="31"/>
  <c r="AO80" i="31"/>
  <c r="AA106" i="31"/>
  <c r="AA35" i="31"/>
  <c r="AO35" i="31"/>
  <c r="AL91" i="31"/>
  <c r="AA88" i="31"/>
  <c r="AO88" i="31"/>
  <c r="AO92" i="31"/>
  <c r="AA92" i="31"/>
  <c r="AA47" i="31"/>
  <c r="AN60" i="31"/>
  <c r="AA73" i="31"/>
  <c r="AO73" i="31"/>
  <c r="AL10" i="31"/>
  <c r="AO44" i="31"/>
  <c r="AA44" i="31"/>
  <c r="AL117" i="31"/>
  <c r="AN112" i="31"/>
  <c r="AA72" i="31"/>
  <c r="AO72" i="31"/>
  <c r="AA56" i="31"/>
  <c r="AO56" i="31"/>
  <c r="AA23" i="31"/>
  <c r="AO23" i="31"/>
  <c r="AA24" i="31"/>
  <c r="AO24" i="31"/>
  <c r="AA43" i="31"/>
  <c r="AO43" i="31"/>
  <c r="AO90" i="31"/>
  <c r="AA90" i="31"/>
  <c r="AA70" i="31"/>
  <c r="AO70" i="31"/>
  <c r="AA59" i="31"/>
  <c r="AO59" i="31"/>
  <c r="AK53" i="31"/>
  <c r="AA16" i="31"/>
  <c r="AO16" i="31"/>
  <c r="AA94" i="31"/>
  <c r="AO94" i="31"/>
  <c r="AN52" i="31"/>
  <c r="AN31" i="31"/>
  <c r="AK78" i="31"/>
  <c r="AA67" i="31"/>
  <c r="AO67" i="31"/>
  <c r="AO100" i="31"/>
  <c r="AA100" i="31"/>
  <c r="AL94" i="31"/>
  <c r="AA167" i="31"/>
  <c r="AO167" i="31"/>
  <c r="AA163" i="31"/>
  <c r="AO163" i="31"/>
  <c r="AA159" i="31"/>
  <c r="AO159" i="31"/>
  <c r="AA155" i="31"/>
  <c r="AO155" i="31"/>
  <c r="AA151" i="31"/>
  <c r="AO151" i="31"/>
  <c r="AA147" i="31"/>
  <c r="AO147" i="31"/>
  <c r="AA143" i="31"/>
  <c r="AO143" i="31"/>
  <c r="AA139" i="31"/>
  <c r="AO139" i="31"/>
  <c r="AA135" i="31"/>
  <c r="AO135" i="31"/>
  <c r="AA131" i="31"/>
  <c r="AO131" i="31"/>
  <c r="AA127" i="31"/>
  <c r="AO127" i="31"/>
  <c r="AA123" i="31"/>
  <c r="AO123" i="31"/>
  <c r="AA119" i="31"/>
  <c r="AO119" i="31"/>
  <c r="AA115" i="31"/>
  <c r="AO115" i="31"/>
  <c r="AK113" i="31"/>
  <c r="AA111" i="31"/>
  <c r="AO111" i="31"/>
  <c r="AO50" i="31"/>
  <c r="AA50" i="31"/>
  <c r="AA57" i="31"/>
  <c r="AO57" i="31"/>
  <c r="AA89" i="31"/>
  <c r="AO89" i="31"/>
  <c r="AA102" i="31"/>
  <c r="AO102" i="31"/>
  <c r="AN77" i="31"/>
  <c r="AN36" i="31"/>
  <c r="AA32" i="31"/>
  <c r="AO32" i="31"/>
  <c r="AO101" i="31"/>
  <c r="AA101" i="31"/>
  <c r="AA62" i="31"/>
  <c r="AO62" i="31"/>
  <c r="AK70" i="31"/>
  <c r="AA25" i="31"/>
  <c r="AO25" i="31"/>
  <c r="AA49" i="31"/>
  <c r="AO49" i="31"/>
  <c r="AA79" i="31"/>
  <c r="AO79" i="31"/>
  <c r="AA78" i="31"/>
  <c r="AM102" i="31"/>
  <c r="AA22" i="31"/>
  <c r="AO22" i="31"/>
  <c r="AO12" i="31"/>
  <c r="AA12" i="31"/>
  <c r="AO28" i="31"/>
  <c r="AA28" i="31"/>
  <c r="AO42" i="31"/>
  <c r="AA42" i="31"/>
  <c r="AL83" i="31"/>
  <c r="AN85" i="31"/>
  <c r="AO98" i="31"/>
  <c r="AA98" i="31"/>
  <c r="AA166" i="31"/>
  <c r="AO166" i="31"/>
  <c r="AA154" i="31"/>
  <c r="AO154" i="31"/>
  <c r="AA150" i="31"/>
  <c r="AO150" i="31"/>
  <c r="AO138" i="31"/>
  <c r="AA138" i="31"/>
  <c r="AA118" i="31"/>
  <c r="AO118" i="31"/>
  <c r="AA110" i="31"/>
  <c r="AO110" i="31"/>
  <c r="AA11" i="31"/>
  <c r="AO11" i="31"/>
  <c r="AA162" i="31"/>
  <c r="AO162" i="31"/>
  <c r="AA158" i="31"/>
  <c r="AO158" i="31"/>
  <c r="AA146" i="31"/>
  <c r="AO146" i="31"/>
  <c r="AA142" i="31"/>
  <c r="AO142" i="31"/>
  <c r="AA134" i="31"/>
  <c r="AO134" i="31"/>
  <c r="AO130" i="31"/>
  <c r="AA130" i="31"/>
  <c r="AA126" i="31"/>
  <c r="AO126" i="31"/>
  <c r="AO122" i="31"/>
  <c r="AA122" i="31"/>
  <c r="AO114" i="31"/>
  <c r="AA114" i="31"/>
  <c r="AO105" i="31"/>
  <c r="AA97" i="31"/>
  <c r="AO97" i="31"/>
  <c r="AA107" i="31"/>
  <c r="AO107" i="31"/>
  <c r="AM61" i="31"/>
  <c r="AN64" i="31"/>
  <c r="AO36" i="31"/>
  <c r="AA36" i="31"/>
  <c r="AO21" i="31"/>
  <c r="AA21" i="31"/>
  <c r="AL50" i="31"/>
  <c r="AO85" i="31"/>
  <c r="AA85" i="31"/>
  <c r="AO18" i="31"/>
  <c r="AA18" i="31"/>
  <c r="AL18" i="31"/>
  <c r="AO93" i="31"/>
  <c r="AA93" i="31"/>
  <c r="AL115" i="31"/>
  <c r="AZ4" i="3"/>
  <c r="AM53" i="9"/>
  <c r="AM67" i="9"/>
  <c r="AM83" i="9"/>
  <c r="AM97" i="9"/>
  <c r="AM108" i="9"/>
  <c r="AM31" i="9"/>
  <c r="AM85" i="9"/>
  <c r="AM42" i="9"/>
  <c r="AM77" i="9"/>
  <c r="AM25" i="9"/>
  <c r="AM48" i="9"/>
  <c r="AM63" i="9"/>
  <c r="AM79" i="9"/>
  <c r="AM94" i="9"/>
  <c r="AM106" i="9"/>
  <c r="AM117" i="9"/>
  <c r="AM84" i="9"/>
  <c r="AM49" i="9"/>
  <c r="AM95" i="9"/>
  <c r="AM35" i="9"/>
  <c r="AM24" i="9"/>
  <c r="AM38" i="9"/>
  <c r="AM58" i="9"/>
  <c r="AM73" i="9"/>
  <c r="AM121" i="9"/>
  <c r="AM34" i="9"/>
  <c r="AM59" i="9"/>
  <c r="AM72" i="9"/>
  <c r="AM89" i="9"/>
  <c r="AM102" i="9"/>
  <c r="AM113" i="9"/>
  <c r="AM22" i="9"/>
  <c r="AM37" i="9"/>
  <c r="AM54" i="9"/>
  <c r="AM14" i="9"/>
  <c r="AM23" i="9"/>
  <c r="AM57" i="9"/>
  <c r="AM91" i="9"/>
  <c r="AM120" i="9"/>
  <c r="AM119" i="9"/>
  <c r="AM7" i="9"/>
  <c r="AM19" i="9"/>
  <c r="AM33" i="9"/>
  <c r="AM32" i="9"/>
  <c r="AM90" i="9"/>
  <c r="AM110" i="9"/>
  <c r="AM5" i="9"/>
  <c r="AM46" i="9"/>
  <c r="AM62" i="9"/>
  <c r="AM78" i="9"/>
  <c r="AM93" i="9"/>
  <c r="AM104" i="9"/>
  <c r="AM116" i="9"/>
  <c r="AM75" i="9"/>
  <c r="AM105" i="9"/>
  <c r="AM41" i="9"/>
  <c r="AM6" i="9"/>
  <c r="AM11" i="9"/>
  <c r="AM20" i="9"/>
  <c r="AM50" i="9"/>
  <c r="AM74" i="9"/>
  <c r="AM12" i="9"/>
  <c r="AM56" i="9"/>
  <c r="AM71" i="9"/>
  <c r="AM88" i="9"/>
  <c r="AM99" i="9"/>
  <c r="AM112" i="9"/>
  <c r="AM43" i="9"/>
  <c r="AM61" i="9"/>
  <c r="AM17" i="9"/>
  <c r="AM9" i="9"/>
  <c r="AM10" i="9"/>
  <c r="AM13" i="9"/>
  <c r="AM51" i="9"/>
  <c r="AM81" i="9"/>
  <c r="AM111" i="9"/>
  <c r="AM18" i="9"/>
  <c r="AM52" i="9"/>
  <c r="AM64" i="9"/>
  <c r="AM80" i="9"/>
  <c r="AM96" i="9"/>
  <c r="AM107" i="9"/>
  <c r="AM118" i="9"/>
  <c r="AM86" i="9"/>
  <c r="AM30" i="9"/>
  <c r="AM16" i="9"/>
  <c r="AM27" i="9"/>
  <c r="AM82" i="9"/>
  <c r="AM70" i="9"/>
  <c r="AM40" i="9"/>
  <c r="AM60" i="9"/>
  <c r="AM76" i="9"/>
  <c r="AM92" i="9"/>
  <c r="AM103" i="9"/>
  <c r="AM114" i="9"/>
  <c r="AM115" i="9"/>
  <c r="AM47" i="9"/>
  <c r="AM15" i="9"/>
  <c r="AM28" i="9"/>
  <c r="AM66" i="9"/>
  <c r="AM65" i="9"/>
  <c r="AM29" i="9"/>
  <c r="AM55" i="9"/>
  <c r="AM68" i="9"/>
  <c r="AM87" i="9"/>
  <c r="AM98" i="9"/>
  <c r="AM109" i="9"/>
  <c r="AM122" i="9"/>
  <c r="AM36" i="9"/>
  <c r="AM26" i="9"/>
  <c r="AM69" i="9"/>
  <c r="AM21" i="9"/>
  <c r="AM39" i="9"/>
  <c r="AM44" i="9"/>
  <c r="AM101" i="9"/>
  <c r="AM100" i="9"/>
  <c r="AM45" i="9"/>
  <c r="AM8" i="9"/>
  <c r="EC120" i="28"/>
  <c r="G120" i="30" s="1"/>
  <c r="EA126" i="28"/>
  <c r="E126" i="30" s="1"/>
  <c r="DZ129" i="28"/>
  <c r="EF129" i="28" s="1"/>
  <c r="EC136" i="28"/>
  <c r="G136" i="30" s="1"/>
  <c r="EC144" i="28"/>
  <c r="G144" i="30" s="1"/>
  <c r="EA150" i="28"/>
  <c r="E150" i="30" s="1"/>
  <c r="EC160" i="28"/>
  <c r="G160" i="30" s="1"/>
  <c r="EA166" i="28"/>
  <c r="E166" i="30" s="1"/>
  <c r="DZ121" i="28"/>
  <c r="EG121" i="28" s="1"/>
  <c r="EC128" i="28"/>
  <c r="G128" i="30" s="1"/>
  <c r="EA134" i="28"/>
  <c r="E134" i="30" s="1"/>
  <c r="DZ145" i="28"/>
  <c r="EF145" i="28" s="1"/>
  <c r="EC152" i="28"/>
  <c r="G152" i="30" s="1"/>
  <c r="EA158" i="28"/>
  <c r="E158" i="30" s="1"/>
  <c r="AE111" i="29"/>
  <c r="CM113" i="28"/>
  <c r="BL113" i="28"/>
  <c r="AM113" i="28"/>
  <c r="AE103" i="29"/>
  <c r="CM105" i="28"/>
  <c r="BL105" i="28"/>
  <c r="AM105" i="28"/>
  <c r="CM97" i="28"/>
  <c r="AE95" i="29"/>
  <c r="BL97" i="28"/>
  <c r="AM97" i="28"/>
  <c r="CM89" i="28"/>
  <c r="BL89" i="28"/>
  <c r="AE87" i="29"/>
  <c r="AM89" i="28"/>
  <c r="CM81" i="28"/>
  <c r="AE79" i="29"/>
  <c r="BL81" i="28"/>
  <c r="AM81" i="28"/>
  <c r="AE71" i="29"/>
  <c r="CM73" i="28"/>
  <c r="BL73" i="28"/>
  <c r="AM73" i="28"/>
  <c r="CM65" i="28"/>
  <c r="AE63" i="29"/>
  <c r="BL65" i="28"/>
  <c r="AM65" i="28"/>
  <c r="AE54" i="29"/>
  <c r="CM56" i="28"/>
  <c r="BL56" i="28"/>
  <c r="AM56" i="28"/>
  <c r="CM48" i="28"/>
  <c r="AE46" i="29"/>
  <c r="BL48" i="28"/>
  <c r="AM48" i="28"/>
  <c r="CM40" i="28"/>
  <c r="AE38" i="29"/>
  <c r="BL40" i="28"/>
  <c r="AM40" i="28"/>
  <c r="CM32" i="28"/>
  <c r="AE30" i="29"/>
  <c r="BL32" i="28"/>
  <c r="AM32" i="28"/>
  <c r="CM24" i="28"/>
  <c r="AE22" i="29"/>
  <c r="BL24" i="28"/>
  <c r="AM24" i="28"/>
  <c r="CM16" i="28"/>
  <c r="AE14" i="29"/>
  <c r="BL16" i="28"/>
  <c r="AM16" i="28"/>
  <c r="AE60" i="29"/>
  <c r="BL62" i="28"/>
  <c r="CM62" i="28"/>
  <c r="AM62" i="28"/>
  <c r="AC111" i="29"/>
  <c r="CK113" i="28"/>
  <c r="BJ113" i="28"/>
  <c r="AK113" i="28"/>
  <c r="AC103" i="29"/>
  <c r="CK105" i="28"/>
  <c r="BJ105" i="28"/>
  <c r="AK105" i="28"/>
  <c r="CK97" i="28"/>
  <c r="AC95" i="29"/>
  <c r="BJ97" i="28"/>
  <c r="AK97" i="28"/>
  <c r="AC87" i="29"/>
  <c r="CK89" i="28"/>
  <c r="BJ89" i="28"/>
  <c r="AK89" i="28"/>
  <c r="CK81" i="28"/>
  <c r="AC79" i="29"/>
  <c r="BJ81" i="28"/>
  <c r="AK81" i="28"/>
  <c r="AC71" i="29"/>
  <c r="CK73" i="28"/>
  <c r="BJ73" i="28"/>
  <c r="AK73" i="28"/>
  <c r="CK65" i="28"/>
  <c r="AC63" i="29"/>
  <c r="BJ65" i="28"/>
  <c r="AK65" i="28"/>
  <c r="AC54" i="29"/>
  <c r="CK56" i="28"/>
  <c r="BJ56" i="28"/>
  <c r="AK56" i="28"/>
  <c r="AC46" i="29"/>
  <c r="CK48" i="28"/>
  <c r="BJ48" i="28"/>
  <c r="AK48" i="28"/>
  <c r="AC38" i="29"/>
  <c r="CK40" i="28"/>
  <c r="BJ40" i="28"/>
  <c r="AK40" i="28"/>
  <c r="AC30" i="29"/>
  <c r="CK32" i="28"/>
  <c r="BJ32" i="28"/>
  <c r="AK32" i="28"/>
  <c r="AC22" i="29"/>
  <c r="CK24" i="28"/>
  <c r="BJ24" i="28"/>
  <c r="AK24" i="28"/>
  <c r="AC14" i="29"/>
  <c r="CK16" i="28"/>
  <c r="BJ16" i="28"/>
  <c r="AK16" i="28"/>
  <c r="AC60" i="29"/>
  <c r="CK62" i="28"/>
  <c r="BJ62" i="28"/>
  <c r="AK62" i="28"/>
  <c r="AB107" i="29"/>
  <c r="CJ109" i="28"/>
  <c r="BI109" i="28"/>
  <c r="AJ109" i="28"/>
  <c r="AB99" i="29"/>
  <c r="CJ101" i="28"/>
  <c r="BI101" i="28"/>
  <c r="AJ101" i="28"/>
  <c r="AB91" i="29"/>
  <c r="CJ93" i="28"/>
  <c r="BI93" i="28"/>
  <c r="AJ93" i="28"/>
  <c r="AB83" i="29"/>
  <c r="CJ85" i="28"/>
  <c r="BI85" i="28"/>
  <c r="AJ85" i="28"/>
  <c r="AB75" i="29"/>
  <c r="CJ77" i="28"/>
  <c r="BI77" i="28"/>
  <c r="AJ77" i="28"/>
  <c r="AB67" i="29"/>
  <c r="BI69" i="28"/>
  <c r="CJ69" i="28"/>
  <c r="AJ69" i="28"/>
  <c r="AB58" i="29"/>
  <c r="CJ60" i="28"/>
  <c r="BI60" i="28"/>
  <c r="AJ60" i="28"/>
  <c r="AB50" i="29"/>
  <c r="CJ52" i="28"/>
  <c r="BI52" i="28"/>
  <c r="AJ52" i="28"/>
  <c r="AB42" i="29"/>
  <c r="CJ44" i="28"/>
  <c r="BI44" i="28"/>
  <c r="AJ44" i="28"/>
  <c r="AB34" i="29"/>
  <c r="CJ36" i="28"/>
  <c r="BI36" i="28"/>
  <c r="AJ36" i="28"/>
  <c r="AB26" i="29"/>
  <c r="BI28" i="28"/>
  <c r="CJ28" i="28"/>
  <c r="AJ28" i="28"/>
  <c r="AB18" i="29"/>
  <c r="CJ20" i="28"/>
  <c r="BI20" i="28"/>
  <c r="AJ20" i="28"/>
  <c r="AB10" i="29"/>
  <c r="CJ12" i="28"/>
  <c r="BI12" i="28"/>
  <c r="AJ12" i="28"/>
  <c r="AB115" i="29"/>
  <c r="CJ117" i="28"/>
  <c r="BI117" i="28"/>
  <c r="AJ117" i="28"/>
  <c r="CL110" i="28"/>
  <c r="AD108" i="29"/>
  <c r="BK110" i="28"/>
  <c r="AL110" i="28"/>
  <c r="CL102" i="28"/>
  <c r="BK102" i="28"/>
  <c r="AD100" i="29"/>
  <c r="AL102" i="28"/>
  <c r="CL94" i="28"/>
  <c r="AD92" i="29"/>
  <c r="BK94" i="28"/>
  <c r="AL94" i="28"/>
  <c r="AD84" i="29"/>
  <c r="CL86" i="28"/>
  <c r="BK86" i="28"/>
  <c r="AL86" i="28"/>
  <c r="CL78" i="28"/>
  <c r="AD76" i="29"/>
  <c r="BK78" i="28"/>
  <c r="AL78" i="28"/>
  <c r="CL70" i="28"/>
  <c r="BK70" i="28"/>
  <c r="AD68" i="29"/>
  <c r="AL70" i="28"/>
  <c r="AD59" i="29"/>
  <c r="CL61" i="28"/>
  <c r="BK61" i="28"/>
  <c r="AL61" i="28"/>
  <c r="CL53" i="28"/>
  <c r="AD51" i="29"/>
  <c r="BK53" i="28"/>
  <c r="AL53" i="28"/>
  <c r="CL45" i="28"/>
  <c r="AD43" i="29"/>
  <c r="BK45" i="28"/>
  <c r="AL45" i="28"/>
  <c r="CL37" i="28"/>
  <c r="AD35" i="29"/>
  <c r="BK37" i="28"/>
  <c r="AL37" i="28"/>
  <c r="AD26" i="29"/>
  <c r="CL28" i="28"/>
  <c r="BK28" i="28"/>
  <c r="AL28" i="28"/>
  <c r="CL20" i="28"/>
  <c r="BK20" i="28"/>
  <c r="AD18" i="29"/>
  <c r="AL20" i="28"/>
  <c r="AD10" i="29"/>
  <c r="CL12" i="28"/>
  <c r="BK12" i="28"/>
  <c r="AL12" i="28"/>
  <c r="AF114" i="29"/>
  <c r="CN116" i="28"/>
  <c r="BM116" i="28"/>
  <c r="AN116" i="28"/>
  <c r="CN108" i="28"/>
  <c r="BM108" i="28"/>
  <c r="AF106" i="29"/>
  <c r="AN108" i="28"/>
  <c r="CN100" i="28"/>
  <c r="AF98" i="29"/>
  <c r="BM100" i="28"/>
  <c r="AN100" i="28"/>
  <c r="AF90" i="29"/>
  <c r="CN92" i="28"/>
  <c r="BM92" i="28"/>
  <c r="AN92" i="28"/>
  <c r="AF81" i="29"/>
  <c r="CN83" i="28"/>
  <c r="BM83" i="28"/>
  <c r="AN83" i="28"/>
  <c r="AF73" i="29"/>
  <c r="CN75" i="28"/>
  <c r="BM75" i="28"/>
  <c r="AN75" i="28"/>
  <c r="AF65" i="29"/>
  <c r="CN67" i="28"/>
  <c r="BM67" i="28"/>
  <c r="AN67" i="28"/>
  <c r="CN58" i="28"/>
  <c r="BM58" i="28"/>
  <c r="AF56" i="29"/>
  <c r="AN58" i="28"/>
  <c r="AF48" i="29"/>
  <c r="BM50" i="28"/>
  <c r="CN50" i="28"/>
  <c r="AN50" i="28"/>
  <c r="CN42" i="28"/>
  <c r="BM42" i="28"/>
  <c r="AF40" i="29"/>
  <c r="AN42" i="28"/>
  <c r="AF32" i="29"/>
  <c r="BM34" i="28"/>
  <c r="CN34" i="28"/>
  <c r="AN34" i="28"/>
  <c r="CN26" i="28"/>
  <c r="AF24" i="29"/>
  <c r="BM26" i="28"/>
  <c r="AN26" i="28"/>
  <c r="AF16" i="29"/>
  <c r="CN18" i="28"/>
  <c r="BM18" i="28"/>
  <c r="AN18" i="28"/>
  <c r="CN10" i="28"/>
  <c r="AF8" i="29"/>
  <c r="BM10" i="28"/>
  <c r="AN10" i="28"/>
  <c r="ED119" i="28"/>
  <c r="H119" i="30" s="1"/>
  <c r="EC122" i="28"/>
  <c r="G122" i="30" s="1"/>
  <c r="EB125" i="28"/>
  <c r="F125" i="30" s="1"/>
  <c r="EA128" i="28"/>
  <c r="E128" i="30" s="1"/>
  <c r="DZ131" i="28"/>
  <c r="EH131" i="28" s="1"/>
  <c r="ED135" i="28"/>
  <c r="H135" i="30" s="1"/>
  <c r="EC138" i="28"/>
  <c r="G138" i="30" s="1"/>
  <c r="EB141" i="28"/>
  <c r="F141" i="30" s="1"/>
  <c r="EA144" i="28"/>
  <c r="E144" i="30" s="1"/>
  <c r="DZ147" i="28"/>
  <c r="D147" i="30" s="1"/>
  <c r="K147" i="30" s="1"/>
  <c r="ED151" i="28"/>
  <c r="H151" i="30" s="1"/>
  <c r="EC154" i="28"/>
  <c r="G154" i="30" s="1"/>
  <c r="EB157" i="28"/>
  <c r="F157" i="30" s="1"/>
  <c r="EA160" i="28"/>
  <c r="E160" i="30" s="1"/>
  <c r="DZ163" i="28"/>
  <c r="EG163" i="28" s="1"/>
  <c r="ED167" i="28"/>
  <c r="H167" i="30" s="1"/>
  <c r="EK119" i="28"/>
  <c r="EG145" i="28"/>
  <c r="EA118" i="28"/>
  <c r="E118" i="30" s="1"/>
  <c r="EA121" i="28"/>
  <c r="E121" i="30" s="1"/>
  <c r="DZ124" i="28"/>
  <c r="D124" i="30" s="1"/>
  <c r="ED128" i="28"/>
  <c r="H128" i="30" s="1"/>
  <c r="EC131" i="28"/>
  <c r="G131" i="30" s="1"/>
  <c r="EB134" i="28"/>
  <c r="F134" i="30" s="1"/>
  <c r="EA137" i="28"/>
  <c r="E137" i="30" s="1"/>
  <c r="DZ140" i="28"/>
  <c r="D140" i="30" s="1"/>
  <c r="K140" i="30" s="1"/>
  <c r="ED144" i="28"/>
  <c r="H144" i="30" s="1"/>
  <c r="EC147" i="28"/>
  <c r="G147" i="30" s="1"/>
  <c r="EB150" i="28"/>
  <c r="F150" i="30" s="1"/>
  <c r="EA153" i="28"/>
  <c r="E153" i="30" s="1"/>
  <c r="DZ156" i="28"/>
  <c r="EG156" i="28" s="1"/>
  <c r="ED160" i="28"/>
  <c r="H160" i="30" s="1"/>
  <c r="EC163" i="28"/>
  <c r="G163" i="30" s="1"/>
  <c r="EB166" i="28"/>
  <c r="F166" i="30" s="1"/>
  <c r="EC158" i="28"/>
  <c r="G158" i="30" s="1"/>
  <c r="EA164" i="28"/>
  <c r="E164" i="30" s="1"/>
  <c r="EB118" i="28"/>
  <c r="F118" i="30" s="1"/>
  <c r="ED123" i="28"/>
  <c r="H123" i="30" s="1"/>
  <c r="EC126" i="28"/>
  <c r="G126" i="30" s="1"/>
  <c r="EB129" i="28"/>
  <c r="F129" i="30" s="1"/>
  <c r="EA132" i="28"/>
  <c r="E132" i="30" s="1"/>
  <c r="DZ135" i="28"/>
  <c r="EF135" i="28" s="1"/>
  <c r="ED139" i="28"/>
  <c r="H139" i="30" s="1"/>
  <c r="EC142" i="28"/>
  <c r="G142" i="30" s="1"/>
  <c r="EB145" i="28"/>
  <c r="F145" i="30" s="1"/>
  <c r="EA148" i="28"/>
  <c r="E148" i="30" s="1"/>
  <c r="DZ151" i="28"/>
  <c r="EF151" i="28" s="1"/>
  <c r="EA156" i="28"/>
  <c r="E156" i="30" s="1"/>
  <c r="ED163" i="28"/>
  <c r="H163" i="30" s="1"/>
  <c r="EC118" i="28"/>
  <c r="G118" i="30" s="1"/>
  <c r="EC121" i="28"/>
  <c r="G121" i="30" s="1"/>
  <c r="EB124" i="28"/>
  <c r="F124" i="30" s="1"/>
  <c r="EA127" i="28"/>
  <c r="E127" i="30" s="1"/>
  <c r="DZ130" i="28"/>
  <c r="EF130" i="28" s="1"/>
  <c r="ED134" i="28"/>
  <c r="H134" i="30" s="1"/>
  <c r="EC137" i="28"/>
  <c r="G137" i="30" s="1"/>
  <c r="EB140" i="28"/>
  <c r="F140" i="30" s="1"/>
  <c r="EA143" i="28"/>
  <c r="E143" i="30" s="1"/>
  <c r="DZ146" i="28"/>
  <c r="EF146" i="28" s="1"/>
  <c r="ED150" i="28"/>
  <c r="H150" i="30" s="1"/>
  <c r="EC153" i="28"/>
  <c r="G153" i="30" s="1"/>
  <c r="EB156" i="28"/>
  <c r="F156" i="30" s="1"/>
  <c r="EA159" i="28"/>
  <c r="E159" i="30" s="1"/>
  <c r="DZ162" i="28"/>
  <c r="EF162" i="28" s="1"/>
  <c r="ED166" i="28"/>
  <c r="H166" i="30" s="1"/>
  <c r="EA142" i="28"/>
  <c r="E142" i="30" s="1"/>
  <c r="ED118" i="28"/>
  <c r="H118" i="30" s="1"/>
  <c r="ED121" i="28"/>
  <c r="H121" i="30" s="1"/>
  <c r="EC124" i="28"/>
  <c r="G124" i="30" s="1"/>
  <c r="EB127" i="28"/>
  <c r="F127" i="30" s="1"/>
  <c r="EA130" i="28"/>
  <c r="E130" i="30" s="1"/>
  <c r="DZ133" i="28"/>
  <c r="D133" i="30" s="1"/>
  <c r="ED137" i="28"/>
  <c r="H137" i="30" s="1"/>
  <c r="EC140" i="28"/>
  <c r="G140" i="30" s="1"/>
  <c r="EB143" i="28"/>
  <c r="F143" i="30" s="1"/>
  <c r="EA146" i="28"/>
  <c r="E146" i="30" s="1"/>
  <c r="DZ149" i="28"/>
  <c r="D149" i="30" s="1"/>
  <c r="K149" i="30" s="1"/>
  <c r="ED153" i="28"/>
  <c r="H153" i="30" s="1"/>
  <c r="EC156" i="28"/>
  <c r="G156" i="30" s="1"/>
  <c r="EB159" i="28"/>
  <c r="F159" i="30" s="1"/>
  <c r="EA162" i="28"/>
  <c r="E162" i="30" s="1"/>
  <c r="DZ165" i="28"/>
  <c r="D165" i="30" s="1"/>
  <c r="EC119" i="28"/>
  <c r="G119" i="30" s="1"/>
  <c r="EB122" i="28"/>
  <c r="F122" i="30" s="1"/>
  <c r="EA125" i="28"/>
  <c r="E125" i="30" s="1"/>
  <c r="DZ128" i="28"/>
  <c r="D128" i="30" s="1"/>
  <c r="ED132" i="28"/>
  <c r="H132" i="30" s="1"/>
  <c r="EC135" i="28"/>
  <c r="G135" i="30" s="1"/>
  <c r="EB138" i="28"/>
  <c r="F138" i="30" s="1"/>
  <c r="EA141" i="28"/>
  <c r="E141" i="30" s="1"/>
  <c r="DZ144" i="28"/>
  <c r="D144" i="30" s="1"/>
  <c r="ED148" i="28"/>
  <c r="H148" i="30" s="1"/>
  <c r="EC151" i="28"/>
  <c r="G151" i="30" s="1"/>
  <c r="EB154" i="28"/>
  <c r="F154" i="30" s="1"/>
  <c r="EA157" i="28"/>
  <c r="E157" i="30" s="1"/>
  <c r="DZ160" i="28"/>
  <c r="EF160" i="28" s="1"/>
  <c r="ED164" i="28"/>
  <c r="H164" i="30" s="1"/>
  <c r="EC167" i="28"/>
  <c r="G167" i="30" s="1"/>
  <c r="AE110" i="29"/>
  <c r="CM112" i="28"/>
  <c r="BL112" i="28"/>
  <c r="AM112" i="28"/>
  <c r="AE102" i="29"/>
  <c r="CM104" i="28"/>
  <c r="BL104" i="28"/>
  <c r="AM104" i="28"/>
  <c r="AE94" i="29"/>
  <c r="CM96" i="28"/>
  <c r="BL96" i="28"/>
  <c r="AM96" i="28"/>
  <c r="AE86" i="29"/>
  <c r="CM88" i="28"/>
  <c r="BL88" i="28"/>
  <c r="AM88" i="28"/>
  <c r="AE78" i="29"/>
  <c r="CM80" i="28"/>
  <c r="BL80" i="28"/>
  <c r="AM80" i="28"/>
  <c r="AE70" i="29"/>
  <c r="CM72" i="28"/>
  <c r="BL72" i="28"/>
  <c r="AM72" i="28"/>
  <c r="AE62" i="29"/>
  <c r="CM64" i="28"/>
  <c r="BL64" i="28"/>
  <c r="AM64" i="28"/>
  <c r="CM55" i="28"/>
  <c r="BL55" i="28"/>
  <c r="AE53" i="29"/>
  <c r="AM55" i="28"/>
  <c r="AE45" i="29"/>
  <c r="BL47" i="28"/>
  <c r="CM47" i="28"/>
  <c r="AM47" i="28"/>
  <c r="CM39" i="28"/>
  <c r="AE37" i="29"/>
  <c r="BL39" i="28"/>
  <c r="AM39" i="28"/>
  <c r="AE29" i="29"/>
  <c r="CM31" i="28"/>
  <c r="BL31" i="28"/>
  <c r="AM31" i="28"/>
  <c r="CM23" i="28"/>
  <c r="AE21" i="29"/>
  <c r="BL23" i="28"/>
  <c r="AM23" i="28"/>
  <c r="AE13" i="29"/>
  <c r="CM15" i="28"/>
  <c r="BL15" i="28"/>
  <c r="AM15" i="28"/>
  <c r="AC110" i="29"/>
  <c r="CK112" i="28"/>
  <c r="BJ112" i="28"/>
  <c r="AK112" i="28"/>
  <c r="AC102" i="29"/>
  <c r="BJ104" i="28"/>
  <c r="CK104" i="28"/>
  <c r="AK104" i="28"/>
  <c r="AC94" i="29"/>
  <c r="CK96" i="28"/>
  <c r="BJ96" i="28"/>
  <c r="AK96" i="28"/>
  <c r="AC86" i="29"/>
  <c r="BJ88" i="28"/>
  <c r="CK88" i="28"/>
  <c r="AK88" i="28"/>
  <c r="AC78" i="29"/>
  <c r="CK80" i="28"/>
  <c r="BJ80" i="28"/>
  <c r="AK80" i="28"/>
  <c r="AC70" i="29"/>
  <c r="BJ72" i="28"/>
  <c r="CK72" i="28"/>
  <c r="AK72" i="28"/>
  <c r="AC62" i="29"/>
  <c r="CK64" i="28"/>
  <c r="BJ64" i="28"/>
  <c r="AK64" i="28"/>
  <c r="AC53" i="29"/>
  <c r="CK55" i="28"/>
  <c r="BJ55" i="28"/>
  <c r="AK55" i="28"/>
  <c r="AC45" i="29"/>
  <c r="CK47" i="28"/>
  <c r="BJ47" i="28"/>
  <c r="AK47" i="28"/>
  <c r="AC37" i="29"/>
  <c r="CK39" i="28"/>
  <c r="BJ39" i="28"/>
  <c r="AK39" i="28"/>
  <c r="AC29" i="29"/>
  <c r="CK31" i="28"/>
  <c r="BJ31" i="28"/>
  <c r="AK31" i="28"/>
  <c r="AC21" i="29"/>
  <c r="CK23" i="28"/>
  <c r="BJ23" i="28"/>
  <c r="AK23" i="28"/>
  <c r="AC13" i="29"/>
  <c r="BJ15" i="28"/>
  <c r="CK15" i="28"/>
  <c r="AK15" i="28"/>
  <c r="AB114" i="29"/>
  <c r="CJ116" i="28"/>
  <c r="BI116" i="28"/>
  <c r="AJ116" i="28"/>
  <c r="AB106" i="29"/>
  <c r="CJ108" i="28"/>
  <c r="BI108" i="28"/>
  <c r="AJ108" i="28"/>
  <c r="AB98" i="29"/>
  <c r="CJ100" i="28"/>
  <c r="BI100" i="28"/>
  <c r="AJ100" i="28"/>
  <c r="AB90" i="29"/>
  <c r="CJ92" i="28"/>
  <c r="BI92" i="28"/>
  <c r="AJ92" i="28"/>
  <c r="AB82" i="29"/>
  <c r="CJ84" i="28"/>
  <c r="BI84" i="28"/>
  <c r="AJ84" i="28"/>
  <c r="AB74" i="29"/>
  <c r="CJ76" i="28"/>
  <c r="BI76" i="28"/>
  <c r="AJ76" i="28"/>
  <c r="AB66" i="29"/>
  <c r="CJ68" i="28"/>
  <c r="BI68" i="28"/>
  <c r="AJ68" i="28"/>
  <c r="AB57" i="29"/>
  <c r="CJ59" i="28"/>
  <c r="BI59" i="28"/>
  <c r="AJ59" i="28"/>
  <c r="AB49" i="29"/>
  <c r="CJ51" i="28"/>
  <c r="BI51" i="28"/>
  <c r="AJ51" i="28"/>
  <c r="AB41" i="29"/>
  <c r="CJ43" i="28"/>
  <c r="BI43" i="28"/>
  <c r="AJ43" i="28"/>
  <c r="AB33" i="29"/>
  <c r="CJ35" i="28"/>
  <c r="BI35" i="28"/>
  <c r="AJ35" i="28"/>
  <c r="AB25" i="29"/>
  <c r="CJ27" i="28"/>
  <c r="BI27" i="28"/>
  <c r="AJ27" i="28"/>
  <c r="AB17" i="29"/>
  <c r="CJ19" i="28"/>
  <c r="BI19" i="28"/>
  <c r="AJ19" i="28"/>
  <c r="AB9" i="29"/>
  <c r="CJ11" i="28"/>
  <c r="BI11" i="28"/>
  <c r="AJ11" i="28"/>
  <c r="AD107" i="29"/>
  <c r="CL109" i="28"/>
  <c r="BK109" i="28"/>
  <c r="AL109" i="28"/>
  <c r="AD99" i="29"/>
  <c r="CL101" i="28"/>
  <c r="BK101" i="28"/>
  <c r="AL101" i="28"/>
  <c r="AD91" i="29"/>
  <c r="CL93" i="28"/>
  <c r="BK93" i="28"/>
  <c r="AL93" i="28"/>
  <c r="AD83" i="29"/>
  <c r="CL85" i="28"/>
  <c r="BK85" i="28"/>
  <c r="AL85" i="28"/>
  <c r="AD75" i="29"/>
  <c r="CL77" i="28"/>
  <c r="BK77" i="28"/>
  <c r="AL77" i="28"/>
  <c r="AD67" i="29"/>
  <c r="CL69" i="28"/>
  <c r="BK69" i="28"/>
  <c r="AL69" i="28"/>
  <c r="AD58" i="29"/>
  <c r="CL60" i="28"/>
  <c r="BK60" i="28"/>
  <c r="AL60" i="28"/>
  <c r="CL52" i="28"/>
  <c r="BK52" i="28"/>
  <c r="AD50" i="29"/>
  <c r="AL52" i="28"/>
  <c r="AD42" i="29"/>
  <c r="BK44" i="28"/>
  <c r="CL44" i="28"/>
  <c r="AL44" i="28"/>
  <c r="CL36" i="28"/>
  <c r="BK36" i="28"/>
  <c r="AD34" i="29"/>
  <c r="AL36" i="28"/>
  <c r="AD25" i="29"/>
  <c r="BK27" i="28"/>
  <c r="CL27" i="28"/>
  <c r="AL27" i="28"/>
  <c r="AD17" i="29"/>
  <c r="CL19" i="28"/>
  <c r="BK19" i="28"/>
  <c r="AL19" i="28"/>
  <c r="AD9" i="29"/>
  <c r="CL11" i="28"/>
  <c r="BK11" i="28"/>
  <c r="AL11" i="28"/>
  <c r="AF113" i="29"/>
  <c r="CN115" i="28"/>
  <c r="BM115" i="28"/>
  <c r="AN115" i="28"/>
  <c r="AF105" i="29"/>
  <c r="CN107" i="28"/>
  <c r="BM107" i="28"/>
  <c r="AN107" i="28"/>
  <c r="AF97" i="29"/>
  <c r="CN99" i="28"/>
  <c r="BM99" i="28"/>
  <c r="AN99" i="28"/>
  <c r="AF89" i="29"/>
  <c r="CN91" i="28"/>
  <c r="BM91" i="28"/>
  <c r="AN91" i="28"/>
  <c r="AF80" i="29"/>
  <c r="CN82" i="28"/>
  <c r="BM82" i="28"/>
  <c r="AN82" i="28"/>
  <c r="CN74" i="28"/>
  <c r="AF72" i="29"/>
  <c r="BM74" i="28"/>
  <c r="AN74" i="28"/>
  <c r="AF64" i="29"/>
  <c r="CN66" i="28"/>
  <c r="BM66" i="28"/>
  <c r="AN66" i="28"/>
  <c r="AF55" i="29"/>
  <c r="CN57" i="28"/>
  <c r="BM57" i="28"/>
  <c r="AN57" i="28"/>
  <c r="AF47" i="29"/>
  <c r="CN49" i="28"/>
  <c r="BM49" i="28"/>
  <c r="AN49" i="28"/>
  <c r="AF39" i="29"/>
  <c r="CN41" i="28"/>
  <c r="BM41" i="28"/>
  <c r="AN41" i="28"/>
  <c r="AF31" i="29"/>
  <c r="CN33" i="28"/>
  <c r="BM33" i="28"/>
  <c r="AN33" i="28"/>
  <c r="AF23" i="29"/>
  <c r="CN25" i="28"/>
  <c r="BM25" i="28"/>
  <c r="AN25" i="28"/>
  <c r="AF15" i="29"/>
  <c r="CN17" i="28"/>
  <c r="BM17" i="28"/>
  <c r="AN17" i="28"/>
  <c r="AF7" i="29"/>
  <c r="CN9" i="28"/>
  <c r="BM9" i="28"/>
  <c r="AN9" i="28"/>
  <c r="EB120" i="28"/>
  <c r="F120" i="30" s="1"/>
  <c r="EA123" i="28"/>
  <c r="E123" i="30" s="1"/>
  <c r="DZ126" i="28"/>
  <c r="EF126" i="28" s="1"/>
  <c r="ED130" i="28"/>
  <c r="H130" i="30" s="1"/>
  <c r="EC133" i="28"/>
  <c r="G133" i="30" s="1"/>
  <c r="EB136" i="28"/>
  <c r="F136" i="30" s="1"/>
  <c r="EA139" i="28"/>
  <c r="E139" i="30" s="1"/>
  <c r="DZ142" i="28"/>
  <c r="EF142" i="28" s="1"/>
  <c r="ED146" i="28"/>
  <c r="H146" i="30" s="1"/>
  <c r="EC149" i="28"/>
  <c r="G149" i="30" s="1"/>
  <c r="EB152" i="28"/>
  <c r="F152" i="30" s="1"/>
  <c r="EA155" i="28"/>
  <c r="E155" i="30" s="1"/>
  <c r="DZ158" i="28"/>
  <c r="EF158" i="28" s="1"/>
  <c r="ED162" i="28"/>
  <c r="H162" i="30" s="1"/>
  <c r="EC165" i="28"/>
  <c r="G165" i="30" s="1"/>
  <c r="ED141" i="28"/>
  <c r="H141" i="30" s="1"/>
  <c r="AE109" i="29"/>
  <c r="CM111" i="28"/>
  <c r="BL111" i="28"/>
  <c r="AM111" i="28"/>
  <c r="CM103" i="28"/>
  <c r="BL103" i="28"/>
  <c r="AE101" i="29"/>
  <c r="AM103" i="28"/>
  <c r="AE93" i="29"/>
  <c r="CM95" i="28"/>
  <c r="BL95" i="28"/>
  <c r="AM95" i="28"/>
  <c r="CM87" i="28"/>
  <c r="BL87" i="28"/>
  <c r="AE85" i="29"/>
  <c r="AM87" i="28"/>
  <c r="AE77" i="29"/>
  <c r="CM79" i="28"/>
  <c r="BL79" i="28"/>
  <c r="AM79" i="28"/>
  <c r="CM71" i="28"/>
  <c r="BL71" i="28"/>
  <c r="AE69" i="29"/>
  <c r="AM71" i="28"/>
  <c r="AE61" i="29"/>
  <c r="CM63" i="28"/>
  <c r="BL63" i="28"/>
  <c r="AM63" i="28"/>
  <c r="AE52" i="29"/>
  <c r="BL54" i="28"/>
  <c r="CM54" i="28"/>
  <c r="AM54" i="28"/>
  <c r="AE44" i="29"/>
  <c r="CM46" i="28"/>
  <c r="BL46" i="28"/>
  <c r="AM46" i="28"/>
  <c r="AE36" i="29"/>
  <c r="CM38" i="28"/>
  <c r="BL38" i="28"/>
  <c r="AM38" i="28"/>
  <c r="AE28" i="29"/>
  <c r="CM30" i="28"/>
  <c r="BL30" i="28"/>
  <c r="AM30" i="28"/>
  <c r="AE20" i="29"/>
  <c r="CM22" i="28"/>
  <c r="BL22" i="28"/>
  <c r="AM22" i="28"/>
  <c r="AE12" i="29"/>
  <c r="BL14" i="28"/>
  <c r="CM14" i="28"/>
  <c r="AM14" i="28"/>
  <c r="AC109" i="29"/>
  <c r="CK111" i="28"/>
  <c r="BJ111" i="28"/>
  <c r="AK111" i="28"/>
  <c r="AC101" i="29"/>
  <c r="CK103" i="28"/>
  <c r="BJ103" i="28"/>
  <c r="AK103" i="28"/>
  <c r="AC93" i="29"/>
  <c r="CK95" i="28"/>
  <c r="BJ95" i="28"/>
  <c r="AK95" i="28"/>
  <c r="AC85" i="29"/>
  <c r="CK87" i="28"/>
  <c r="BJ87" i="28"/>
  <c r="AK87" i="28"/>
  <c r="AC77" i="29"/>
  <c r="CK79" i="28"/>
  <c r="BJ79" i="28"/>
  <c r="AK79" i="28"/>
  <c r="AC69" i="29"/>
  <c r="CK71" i="28"/>
  <c r="BJ71" i="28"/>
  <c r="AK71" i="28"/>
  <c r="AC61" i="29"/>
  <c r="CK63" i="28"/>
  <c r="BJ63" i="28"/>
  <c r="AK63" i="28"/>
  <c r="AC52" i="29"/>
  <c r="CK54" i="28"/>
  <c r="BJ54" i="28"/>
  <c r="AK54" i="28"/>
  <c r="AC44" i="29"/>
  <c r="CK46" i="28"/>
  <c r="BJ46" i="28"/>
  <c r="AK46" i="28"/>
  <c r="AC36" i="29"/>
  <c r="CK38" i="28"/>
  <c r="BJ38" i="28"/>
  <c r="AK38" i="28"/>
  <c r="AC28" i="29"/>
  <c r="CK30" i="28"/>
  <c r="BJ30" i="28"/>
  <c r="AK30" i="28"/>
  <c r="AC20" i="29"/>
  <c r="CK22" i="28"/>
  <c r="BJ22" i="28"/>
  <c r="AK22" i="28"/>
  <c r="AC12" i="29"/>
  <c r="CK14" i="28"/>
  <c r="BJ14" i="28"/>
  <c r="AK14" i="28"/>
  <c r="AB113" i="29"/>
  <c r="CJ115" i="28"/>
  <c r="BI115" i="28"/>
  <c r="AJ115" i="28"/>
  <c r="AB105" i="29"/>
  <c r="CJ107" i="28"/>
  <c r="BI107" i="28"/>
  <c r="AJ107" i="28"/>
  <c r="AB97" i="29"/>
  <c r="CJ99" i="28"/>
  <c r="BI99" i="28"/>
  <c r="AJ99" i="28"/>
  <c r="AB89" i="29"/>
  <c r="CJ91" i="28"/>
  <c r="BI91" i="28"/>
  <c r="AJ91" i="28"/>
  <c r="AB81" i="29"/>
  <c r="CJ83" i="28"/>
  <c r="BI83" i="28"/>
  <c r="AJ83" i="28"/>
  <c r="AB73" i="29"/>
  <c r="CJ75" i="28"/>
  <c r="BI75" i="28"/>
  <c r="AJ75" i="28"/>
  <c r="AB65" i="29"/>
  <c r="CJ67" i="28"/>
  <c r="BI67" i="28"/>
  <c r="AJ67" i="28"/>
  <c r="AB56" i="29"/>
  <c r="CJ58" i="28"/>
  <c r="BI58" i="28"/>
  <c r="AJ58" i="28"/>
  <c r="AB48" i="29"/>
  <c r="CJ50" i="28"/>
  <c r="BI50" i="28"/>
  <c r="AJ50" i="28"/>
  <c r="AB40" i="29"/>
  <c r="CJ42" i="28"/>
  <c r="BI42" i="28"/>
  <c r="AJ42" i="28"/>
  <c r="AB32" i="29"/>
  <c r="CJ34" i="28"/>
  <c r="BI34" i="28"/>
  <c r="AJ34" i="28"/>
  <c r="AB24" i="29"/>
  <c r="CJ26" i="28"/>
  <c r="BI26" i="28"/>
  <c r="AJ26" i="28"/>
  <c r="AB16" i="29"/>
  <c r="CJ18" i="28"/>
  <c r="BI18" i="28"/>
  <c r="AJ18" i="28"/>
  <c r="AB8" i="29"/>
  <c r="CJ10" i="28"/>
  <c r="BI10" i="28"/>
  <c r="AJ10" i="28"/>
  <c r="AD114" i="29"/>
  <c r="CL116" i="28"/>
  <c r="BK116" i="28"/>
  <c r="AL116" i="28"/>
  <c r="AD106" i="29"/>
  <c r="CL108" i="28"/>
  <c r="BK108" i="28"/>
  <c r="AL108" i="28"/>
  <c r="CL100" i="28"/>
  <c r="AD98" i="29"/>
  <c r="BK100" i="28"/>
  <c r="AL100" i="28"/>
  <c r="AD90" i="29"/>
  <c r="CL92" i="28"/>
  <c r="BK92" i="28"/>
  <c r="AL92" i="28"/>
  <c r="CL84" i="28"/>
  <c r="BK84" i="28"/>
  <c r="AD82" i="29"/>
  <c r="AL84" i="28"/>
  <c r="AD74" i="29"/>
  <c r="CL76" i="28"/>
  <c r="BK76" i="28"/>
  <c r="AL76" i="28"/>
  <c r="CL68" i="28"/>
  <c r="BK68" i="28"/>
  <c r="AD66" i="29"/>
  <c r="AL68" i="28"/>
  <c r="AD57" i="29"/>
  <c r="CL59" i="28"/>
  <c r="BK59" i="28"/>
  <c r="AL59" i="28"/>
  <c r="AD49" i="29"/>
  <c r="CL51" i="28"/>
  <c r="BK51" i="28"/>
  <c r="AL51" i="28"/>
  <c r="AD41" i="29"/>
  <c r="CL43" i="28"/>
  <c r="BK43" i="28"/>
  <c r="AL43" i="28"/>
  <c r="AD33" i="29"/>
  <c r="CL35" i="28"/>
  <c r="BK35" i="28"/>
  <c r="AL35" i="28"/>
  <c r="AD24" i="29"/>
  <c r="CL26" i="28"/>
  <c r="BK26" i="28"/>
  <c r="AL26" i="28"/>
  <c r="AD16" i="29"/>
  <c r="CL18" i="28"/>
  <c r="BK18" i="28"/>
  <c r="AL18" i="28"/>
  <c r="AD8" i="29"/>
  <c r="CL10" i="28"/>
  <c r="BK10" i="28"/>
  <c r="AL10" i="28"/>
  <c r="AF112" i="29"/>
  <c r="CN114" i="28"/>
  <c r="BM114" i="28"/>
  <c r="AN114" i="28"/>
  <c r="CN106" i="28"/>
  <c r="BM106" i="28"/>
  <c r="AF104" i="29"/>
  <c r="AN106" i="28"/>
  <c r="AF96" i="29"/>
  <c r="CN98" i="28"/>
  <c r="BM98" i="28"/>
  <c r="AN98" i="28"/>
  <c r="AF87" i="29"/>
  <c r="CN89" i="28"/>
  <c r="BM89" i="28"/>
  <c r="AN89" i="28"/>
  <c r="AF79" i="29"/>
  <c r="BM81" i="28"/>
  <c r="CN81" i="28"/>
  <c r="AN81" i="28"/>
  <c r="AF71" i="29"/>
  <c r="CN73" i="28"/>
  <c r="BM73" i="28"/>
  <c r="AN73" i="28"/>
  <c r="AF63" i="29"/>
  <c r="CN65" i="28"/>
  <c r="BM65" i="28"/>
  <c r="AN65" i="28"/>
  <c r="AF54" i="29"/>
  <c r="CN56" i="28"/>
  <c r="BM56" i="28"/>
  <c r="AN56" i="28"/>
  <c r="AF46" i="29"/>
  <c r="CN48" i="28"/>
  <c r="BM48" i="28"/>
  <c r="AN48" i="28"/>
  <c r="AF38" i="29"/>
  <c r="CN40" i="28"/>
  <c r="BM40" i="28"/>
  <c r="AN40" i="28"/>
  <c r="AF30" i="29"/>
  <c r="CN32" i="28"/>
  <c r="BM32" i="28"/>
  <c r="AN32" i="28"/>
  <c r="AF22" i="29"/>
  <c r="CN24" i="28"/>
  <c r="BM24" i="28"/>
  <c r="AN24" i="28"/>
  <c r="AF14" i="29"/>
  <c r="CN16" i="28"/>
  <c r="BM16" i="28"/>
  <c r="AN16" i="28"/>
  <c r="CN90" i="28"/>
  <c r="AF88" i="29"/>
  <c r="BM90" i="28"/>
  <c r="AN90" i="28"/>
  <c r="EK120" i="28"/>
  <c r="EB123" i="28"/>
  <c r="F123" i="30" s="1"/>
  <c r="ED133" i="28"/>
  <c r="H133" i="30" s="1"/>
  <c r="EB147" i="28"/>
  <c r="F147" i="30" s="1"/>
  <c r="DZ153" i="28"/>
  <c r="D153" i="30" s="1"/>
  <c r="ED157" i="28"/>
  <c r="H157" i="30" s="1"/>
  <c r="EH124" i="28"/>
  <c r="AE108" i="29"/>
  <c r="CM110" i="28"/>
  <c r="BL110" i="28"/>
  <c r="AM110" i="28"/>
  <c r="AE100" i="29"/>
  <c r="CM102" i="28"/>
  <c r="BL102" i="28"/>
  <c r="AM102" i="28"/>
  <c r="AE92" i="29"/>
  <c r="BL94" i="28"/>
  <c r="CM94" i="28"/>
  <c r="AM94" i="28"/>
  <c r="AE84" i="29"/>
  <c r="CM86" i="28"/>
  <c r="BL86" i="28"/>
  <c r="AM86" i="28"/>
  <c r="AE76" i="29"/>
  <c r="BL78" i="28"/>
  <c r="CM78" i="28"/>
  <c r="AM78" i="28"/>
  <c r="AE68" i="29"/>
  <c r="CM70" i="28"/>
  <c r="BL70" i="28"/>
  <c r="AM70" i="28"/>
  <c r="AE59" i="29"/>
  <c r="CM61" i="28"/>
  <c r="BL61" i="28"/>
  <c r="AM61" i="28"/>
  <c r="AE51" i="29"/>
  <c r="CM53" i="28"/>
  <c r="BL53" i="28"/>
  <c r="AM53" i="28"/>
  <c r="AE43" i="29"/>
  <c r="CM45" i="28"/>
  <c r="BL45" i="28"/>
  <c r="AM45" i="28"/>
  <c r="AE35" i="29"/>
  <c r="CM37" i="28"/>
  <c r="BL37" i="28"/>
  <c r="AM37" i="28"/>
  <c r="AE27" i="29"/>
  <c r="CM29" i="28"/>
  <c r="BL29" i="28"/>
  <c r="AM29" i="28"/>
  <c r="AE19" i="29"/>
  <c r="CM21" i="28"/>
  <c r="BL21" i="28"/>
  <c r="AM21" i="28"/>
  <c r="AE11" i="29"/>
  <c r="CM13" i="28"/>
  <c r="BL13" i="28"/>
  <c r="AM13" i="28"/>
  <c r="AE6" i="29"/>
  <c r="CM8" i="28"/>
  <c r="BL8" i="28"/>
  <c r="AM8" i="28"/>
  <c r="AC108" i="29"/>
  <c r="CK110" i="28"/>
  <c r="BJ110" i="28"/>
  <c r="AK110" i="28"/>
  <c r="AC100" i="29"/>
  <c r="CK102" i="28"/>
  <c r="BJ102" i="28"/>
  <c r="AK102" i="28"/>
  <c r="AC92" i="29"/>
  <c r="CK94" i="28"/>
  <c r="BJ94" i="28"/>
  <c r="AK94" i="28"/>
  <c r="AC84" i="29"/>
  <c r="CK86" i="28"/>
  <c r="BJ86" i="28"/>
  <c r="AK86" i="28"/>
  <c r="AC76" i="29"/>
  <c r="CK78" i="28"/>
  <c r="BJ78" i="28"/>
  <c r="AK78" i="28"/>
  <c r="AC68" i="29"/>
  <c r="CK70" i="28"/>
  <c r="BJ70" i="28"/>
  <c r="AK70" i="28"/>
  <c r="AC59" i="29"/>
  <c r="CK61" i="28"/>
  <c r="BJ61" i="28"/>
  <c r="AK61" i="28"/>
  <c r="AC51" i="29"/>
  <c r="CK53" i="28"/>
  <c r="BJ53" i="28"/>
  <c r="AK53" i="28"/>
  <c r="AC43" i="29"/>
  <c r="CK45" i="28"/>
  <c r="BJ45" i="28"/>
  <c r="AK45" i="28"/>
  <c r="AC35" i="29"/>
  <c r="CK37" i="28"/>
  <c r="BJ37" i="28"/>
  <c r="AK37" i="28"/>
  <c r="AC27" i="29"/>
  <c r="CK29" i="28"/>
  <c r="BJ29" i="28"/>
  <c r="AK29" i="28"/>
  <c r="AC19" i="29"/>
  <c r="CK21" i="28"/>
  <c r="BJ21" i="28"/>
  <c r="AK21" i="28"/>
  <c r="AC11" i="29"/>
  <c r="CK13" i="28"/>
  <c r="BJ13" i="28"/>
  <c r="AK13" i="28"/>
  <c r="AC6" i="29"/>
  <c r="CK8" i="28"/>
  <c r="BJ8" i="28"/>
  <c r="AK8" i="28"/>
  <c r="AB112" i="29"/>
  <c r="CJ114" i="28"/>
  <c r="BI114" i="28"/>
  <c r="AJ114" i="28"/>
  <c r="AB104" i="29"/>
  <c r="CJ106" i="28"/>
  <c r="BI106" i="28"/>
  <c r="AJ106" i="28"/>
  <c r="AB96" i="29"/>
  <c r="CJ98" i="28"/>
  <c r="BI98" i="28"/>
  <c r="AJ98" i="28"/>
  <c r="AB88" i="29"/>
  <c r="CJ90" i="28"/>
  <c r="BI90" i="28"/>
  <c r="AJ90" i="28"/>
  <c r="AB80" i="29"/>
  <c r="CJ82" i="28"/>
  <c r="BI82" i="28"/>
  <c r="AJ82" i="28"/>
  <c r="AB72" i="29"/>
  <c r="CJ74" i="28"/>
  <c r="BI74" i="28"/>
  <c r="AJ74" i="28"/>
  <c r="AB64" i="29"/>
  <c r="CJ66" i="28"/>
  <c r="BI66" i="28"/>
  <c r="AJ66" i="28"/>
  <c r="AB55" i="29"/>
  <c r="CJ57" i="28"/>
  <c r="BI57" i="28"/>
  <c r="AJ57" i="28"/>
  <c r="AB47" i="29"/>
  <c r="CJ49" i="28"/>
  <c r="BI49" i="28"/>
  <c r="AJ49" i="28"/>
  <c r="AB39" i="29"/>
  <c r="CJ41" i="28"/>
  <c r="BI41" i="28"/>
  <c r="AJ41" i="28"/>
  <c r="AB31" i="29"/>
  <c r="CJ33" i="28"/>
  <c r="BI33" i="28"/>
  <c r="AJ33" i="28"/>
  <c r="AB23" i="29"/>
  <c r="CJ25" i="28"/>
  <c r="BI25" i="28"/>
  <c r="AJ25" i="28"/>
  <c r="AB15" i="29"/>
  <c r="CJ17" i="28"/>
  <c r="BI17" i="28"/>
  <c r="AJ17" i="28"/>
  <c r="AB7" i="29"/>
  <c r="CJ9" i="28"/>
  <c r="BI9" i="28"/>
  <c r="AJ9" i="28"/>
  <c r="AD113" i="29"/>
  <c r="CL115" i="28"/>
  <c r="BK115" i="28"/>
  <c r="AL115" i="28"/>
  <c r="AD105" i="29"/>
  <c r="BK107" i="28"/>
  <c r="CL107" i="28"/>
  <c r="AL107" i="28"/>
  <c r="AD97" i="29"/>
  <c r="CL99" i="28"/>
  <c r="BK99" i="28"/>
  <c r="AL99" i="28"/>
  <c r="AD89" i="29"/>
  <c r="CL91" i="28"/>
  <c r="BK91" i="28"/>
  <c r="AL91" i="28"/>
  <c r="AD81" i="29"/>
  <c r="CL83" i="28"/>
  <c r="BK83" i="28"/>
  <c r="AL83" i="28"/>
  <c r="AD73" i="29"/>
  <c r="CL75" i="28"/>
  <c r="BK75" i="28"/>
  <c r="AL75" i="28"/>
  <c r="AD65" i="29"/>
  <c r="CL67" i="28"/>
  <c r="BK67" i="28"/>
  <c r="AL67" i="28"/>
  <c r="AD56" i="29"/>
  <c r="CL58" i="28"/>
  <c r="BK58" i="28"/>
  <c r="AL58" i="28"/>
  <c r="AD48" i="29"/>
  <c r="CL50" i="28"/>
  <c r="BK50" i="28"/>
  <c r="AL50" i="28"/>
  <c r="AD40" i="29"/>
  <c r="CL42" i="28"/>
  <c r="BK42" i="28"/>
  <c r="AL42" i="28"/>
  <c r="AD31" i="29"/>
  <c r="CL33" i="28"/>
  <c r="BK33" i="28"/>
  <c r="AL33" i="28"/>
  <c r="AD23" i="29"/>
  <c r="CL25" i="28"/>
  <c r="BK25" i="28"/>
  <c r="AL25" i="28"/>
  <c r="AD15" i="29"/>
  <c r="CL17" i="28"/>
  <c r="BK17" i="28"/>
  <c r="AL17" i="28"/>
  <c r="AD7" i="29"/>
  <c r="CL9" i="28"/>
  <c r="BK9" i="28"/>
  <c r="AL9" i="28"/>
  <c r="AF111" i="29"/>
  <c r="CN113" i="28"/>
  <c r="BM113" i="28"/>
  <c r="AN113" i="28"/>
  <c r="AF103" i="29"/>
  <c r="CN105" i="28"/>
  <c r="BM105" i="28"/>
  <c r="AN105" i="28"/>
  <c r="AF95" i="29"/>
  <c r="BM97" i="28"/>
  <c r="CN97" i="28"/>
  <c r="AN97" i="28"/>
  <c r="AF86" i="29"/>
  <c r="CN88" i="28"/>
  <c r="BM88" i="28"/>
  <c r="AN88" i="28"/>
  <c r="AF78" i="29"/>
  <c r="CN80" i="28"/>
  <c r="BM80" i="28"/>
  <c r="AN80" i="28"/>
  <c r="AF70" i="29"/>
  <c r="CN72" i="28"/>
  <c r="BM72" i="28"/>
  <c r="AN72" i="28"/>
  <c r="AF62" i="29"/>
  <c r="CN64" i="28"/>
  <c r="BM64" i="28"/>
  <c r="AN64" i="28"/>
  <c r="AF53" i="29"/>
  <c r="CN55" i="28"/>
  <c r="BM55" i="28"/>
  <c r="AN55" i="28"/>
  <c r="AF45" i="29"/>
  <c r="CN47" i="28"/>
  <c r="BM47" i="28"/>
  <c r="AN47" i="28"/>
  <c r="AF37" i="29"/>
  <c r="CN39" i="28"/>
  <c r="BM39" i="28"/>
  <c r="AN39" i="28"/>
  <c r="AF29" i="29"/>
  <c r="CN31" i="28"/>
  <c r="BM31" i="28"/>
  <c r="AN31" i="28"/>
  <c r="AF21" i="29"/>
  <c r="CN23" i="28"/>
  <c r="BM23" i="28"/>
  <c r="AN23" i="28"/>
  <c r="AF13" i="29"/>
  <c r="CN15" i="28"/>
  <c r="BM15" i="28"/>
  <c r="AN15" i="28"/>
  <c r="AF60" i="29"/>
  <c r="BM62" i="28"/>
  <c r="CN62" i="28"/>
  <c r="AN62" i="28"/>
  <c r="EG129" i="28"/>
  <c r="AE107" i="29"/>
  <c r="CM109" i="28"/>
  <c r="BL109" i="28"/>
  <c r="AM109" i="28"/>
  <c r="AE99" i="29"/>
  <c r="CM101" i="28"/>
  <c r="BL101" i="28"/>
  <c r="AM101" i="28"/>
  <c r="AE91" i="29"/>
  <c r="CM93" i="28"/>
  <c r="BL93" i="28"/>
  <c r="AM93" i="28"/>
  <c r="AE83" i="29"/>
  <c r="CM85" i="28"/>
  <c r="BL85" i="28"/>
  <c r="AM85" i="28"/>
  <c r="AE75" i="29"/>
  <c r="CM77" i="28"/>
  <c r="BL77" i="28"/>
  <c r="AM77" i="28"/>
  <c r="AE67" i="29"/>
  <c r="CM69" i="28"/>
  <c r="BL69" i="28"/>
  <c r="AM69" i="28"/>
  <c r="AE58" i="29"/>
  <c r="CM60" i="28"/>
  <c r="BL60" i="28"/>
  <c r="AM60" i="28"/>
  <c r="AE50" i="29"/>
  <c r="CM52" i="28"/>
  <c r="BL52" i="28"/>
  <c r="AM52" i="28"/>
  <c r="AE42" i="29"/>
  <c r="CM44" i="28"/>
  <c r="BL44" i="28"/>
  <c r="AM44" i="28"/>
  <c r="AE34" i="29"/>
  <c r="CM36" i="28"/>
  <c r="BL36" i="28"/>
  <c r="AM36" i="28"/>
  <c r="AE26" i="29"/>
  <c r="CM28" i="28"/>
  <c r="BL28" i="28"/>
  <c r="AM28" i="28"/>
  <c r="AE18" i="29"/>
  <c r="CM20" i="28"/>
  <c r="BL20" i="28"/>
  <c r="AM20" i="28"/>
  <c r="AE10" i="29"/>
  <c r="CM12" i="28"/>
  <c r="BL12" i="28"/>
  <c r="AM12" i="28"/>
  <c r="AE115" i="29"/>
  <c r="BL117" i="28"/>
  <c r="CM117" i="28"/>
  <c r="AM117" i="28"/>
  <c r="AC107" i="29"/>
  <c r="CK109" i="28"/>
  <c r="BJ109" i="28"/>
  <c r="AK109" i="28"/>
  <c r="AC99" i="29"/>
  <c r="CK101" i="28"/>
  <c r="BJ101" i="28"/>
  <c r="AK101" i="28"/>
  <c r="AC91" i="29"/>
  <c r="CK93" i="28"/>
  <c r="BJ93" i="28"/>
  <c r="AK93" i="28"/>
  <c r="AC83" i="29"/>
  <c r="BJ85" i="28"/>
  <c r="CK85" i="28"/>
  <c r="AK85" i="28"/>
  <c r="AC75" i="29"/>
  <c r="CK77" i="28"/>
  <c r="BJ77" i="28"/>
  <c r="AK77" i="28"/>
  <c r="AC67" i="29"/>
  <c r="CK69" i="28"/>
  <c r="BJ69" i="28"/>
  <c r="AK69" i="28"/>
  <c r="AC58" i="29"/>
  <c r="CK60" i="28"/>
  <c r="BJ60" i="28"/>
  <c r="AK60" i="28"/>
  <c r="AC50" i="29"/>
  <c r="CK52" i="28"/>
  <c r="BJ52" i="28"/>
  <c r="AK52" i="28"/>
  <c r="AC42" i="29"/>
  <c r="CK44" i="28"/>
  <c r="BJ44" i="28"/>
  <c r="AK44" i="28"/>
  <c r="AC34" i="29"/>
  <c r="CK36" i="28"/>
  <c r="BJ36" i="28"/>
  <c r="AK36" i="28"/>
  <c r="AC26" i="29"/>
  <c r="CK28" i="28"/>
  <c r="BJ28" i="28"/>
  <c r="AK28" i="28"/>
  <c r="AC18" i="29"/>
  <c r="CK20" i="28"/>
  <c r="BJ20" i="28"/>
  <c r="AK20" i="28"/>
  <c r="AC10" i="29"/>
  <c r="CK12" i="28"/>
  <c r="BJ12" i="28"/>
  <c r="AK12" i="28"/>
  <c r="AC115" i="29"/>
  <c r="CK117" i="28"/>
  <c r="BJ117" i="28"/>
  <c r="AK117" i="28"/>
  <c r="AB111" i="29"/>
  <c r="CJ113" i="28"/>
  <c r="BI113" i="28"/>
  <c r="AJ113" i="28"/>
  <c r="AB103" i="29"/>
  <c r="CJ105" i="28"/>
  <c r="BI105" i="28"/>
  <c r="AJ105" i="28"/>
  <c r="AB95" i="29"/>
  <c r="CJ97" i="28"/>
  <c r="BI97" i="28"/>
  <c r="AJ97" i="28"/>
  <c r="AB87" i="29"/>
  <c r="CJ89" i="28"/>
  <c r="BI89" i="28"/>
  <c r="AJ89" i="28"/>
  <c r="AB79" i="29"/>
  <c r="BI81" i="28"/>
  <c r="CJ81" i="28"/>
  <c r="AJ81" i="28"/>
  <c r="AB71" i="29"/>
  <c r="CJ73" i="28"/>
  <c r="BI73" i="28"/>
  <c r="AJ73" i="28"/>
  <c r="AB63" i="29"/>
  <c r="CJ65" i="28"/>
  <c r="BI65" i="28"/>
  <c r="AJ65" i="28"/>
  <c r="CJ56" i="28"/>
  <c r="AB54" i="29"/>
  <c r="BI56" i="28"/>
  <c r="AJ56" i="28"/>
  <c r="CJ48" i="28"/>
  <c r="AB46" i="29"/>
  <c r="BI48" i="28"/>
  <c r="AJ48" i="28"/>
  <c r="CJ40" i="28"/>
  <c r="AB38" i="29"/>
  <c r="BI40" i="28"/>
  <c r="AJ40" i="28"/>
  <c r="CJ32" i="28"/>
  <c r="BI32" i="28"/>
  <c r="AB30" i="29"/>
  <c r="AJ32" i="28"/>
  <c r="CJ24" i="28"/>
  <c r="AB22" i="29"/>
  <c r="BI24" i="28"/>
  <c r="AJ24" i="28"/>
  <c r="CJ16" i="28"/>
  <c r="AB14" i="29"/>
  <c r="BI16" i="28"/>
  <c r="AJ16" i="28"/>
  <c r="CJ62" i="28"/>
  <c r="AB60" i="29"/>
  <c r="BI62" i="28"/>
  <c r="AJ62" i="28"/>
  <c r="AD112" i="29"/>
  <c r="CL114" i="28"/>
  <c r="BK114" i="28"/>
  <c r="AL114" i="28"/>
  <c r="AD104" i="29"/>
  <c r="CL106" i="28"/>
  <c r="BK106" i="28"/>
  <c r="AL106" i="28"/>
  <c r="AD96" i="29"/>
  <c r="CL98" i="28"/>
  <c r="BK98" i="28"/>
  <c r="AL98" i="28"/>
  <c r="AD88" i="29"/>
  <c r="CL90" i="28"/>
  <c r="BK90" i="28"/>
  <c r="AL90" i="28"/>
  <c r="AD80" i="29"/>
  <c r="CL82" i="28"/>
  <c r="BK82" i="28"/>
  <c r="AL82" i="28"/>
  <c r="AD72" i="29"/>
  <c r="CL74" i="28"/>
  <c r="BK74" i="28"/>
  <c r="AL74" i="28"/>
  <c r="AD64" i="29"/>
  <c r="CL66" i="28"/>
  <c r="BK66" i="28"/>
  <c r="AL66" i="28"/>
  <c r="AD55" i="29"/>
  <c r="CL57" i="28"/>
  <c r="BK57" i="28"/>
  <c r="AL57" i="28"/>
  <c r="AD47" i="29"/>
  <c r="CL49" i="28"/>
  <c r="BK49" i="28"/>
  <c r="AL49" i="28"/>
  <c r="AD39" i="29"/>
  <c r="CL41" i="28"/>
  <c r="BK41" i="28"/>
  <c r="AL41" i="28"/>
  <c r="AD30" i="29"/>
  <c r="CL32" i="28"/>
  <c r="BK32" i="28"/>
  <c r="AL32" i="28"/>
  <c r="AD22" i="29"/>
  <c r="CL24" i="28"/>
  <c r="BK24" i="28"/>
  <c r="AL24" i="28"/>
  <c r="AD14" i="29"/>
  <c r="CL16" i="28"/>
  <c r="BK16" i="28"/>
  <c r="AL16" i="28"/>
  <c r="AD32" i="29"/>
  <c r="BK34" i="28"/>
  <c r="CL34" i="28"/>
  <c r="AL34" i="28"/>
  <c r="AF110" i="29"/>
  <c r="BM112" i="28"/>
  <c r="CN112" i="28"/>
  <c r="AN112" i="28"/>
  <c r="AF102" i="29"/>
  <c r="CN104" i="28"/>
  <c r="BM104" i="28"/>
  <c r="AN104" i="28"/>
  <c r="AF94" i="29"/>
  <c r="CN96" i="28"/>
  <c r="BM96" i="28"/>
  <c r="AN96" i="28"/>
  <c r="AF85" i="29"/>
  <c r="CN87" i="28"/>
  <c r="BM87" i="28"/>
  <c r="AN87" i="28"/>
  <c r="AF77" i="29"/>
  <c r="CN79" i="28"/>
  <c r="BM79" i="28"/>
  <c r="AN79" i="28"/>
  <c r="AF69" i="29"/>
  <c r="CN71" i="28"/>
  <c r="BM71" i="28"/>
  <c r="AN71" i="28"/>
  <c r="AF61" i="29"/>
  <c r="CN63" i="28"/>
  <c r="BM63" i="28"/>
  <c r="AN63" i="28"/>
  <c r="AF52" i="29"/>
  <c r="CN54" i="28"/>
  <c r="BM54" i="28"/>
  <c r="AN54" i="28"/>
  <c r="AF44" i="29"/>
  <c r="CN46" i="28"/>
  <c r="BM46" i="28"/>
  <c r="AN46" i="28"/>
  <c r="AF36" i="29"/>
  <c r="CN38" i="28"/>
  <c r="BM38" i="28"/>
  <c r="AN38" i="28"/>
  <c r="AF28" i="29"/>
  <c r="CN30" i="28"/>
  <c r="BM30" i="28"/>
  <c r="AN30" i="28"/>
  <c r="AF20" i="29"/>
  <c r="CN22" i="28"/>
  <c r="BM22" i="28"/>
  <c r="AN22" i="28"/>
  <c r="AF12" i="29"/>
  <c r="CN14" i="28"/>
  <c r="BM14" i="28"/>
  <c r="AN14" i="28"/>
  <c r="AF6" i="29"/>
  <c r="CN8" i="28"/>
  <c r="BM8" i="28"/>
  <c r="AN8" i="28"/>
  <c r="EA120" i="28"/>
  <c r="E120" i="30" s="1"/>
  <c r="DZ123" i="28"/>
  <c r="D123" i="30" s="1"/>
  <c r="ED127" i="28"/>
  <c r="H127" i="30" s="1"/>
  <c r="EC130" i="28"/>
  <c r="G130" i="30" s="1"/>
  <c r="EB133" i="28"/>
  <c r="F133" i="30" s="1"/>
  <c r="EA136" i="28"/>
  <c r="E136" i="30" s="1"/>
  <c r="DZ139" i="28"/>
  <c r="D139" i="30" s="1"/>
  <c r="K139" i="30" s="1"/>
  <c r="ED143" i="28"/>
  <c r="H143" i="30" s="1"/>
  <c r="EC146" i="28"/>
  <c r="G146" i="30" s="1"/>
  <c r="EB149" i="28"/>
  <c r="F149" i="30" s="1"/>
  <c r="EA152" i="28"/>
  <c r="E152" i="30" s="1"/>
  <c r="DZ155" i="28"/>
  <c r="EG155" i="28" s="1"/>
  <c r="ED159" i="28"/>
  <c r="H159" i="30" s="1"/>
  <c r="EC162" i="28"/>
  <c r="G162" i="30" s="1"/>
  <c r="EB165" i="28"/>
  <c r="F165" i="30" s="1"/>
  <c r="EB139" i="28"/>
  <c r="F139" i="30" s="1"/>
  <c r="ED120" i="28"/>
  <c r="H120" i="30" s="1"/>
  <c r="EC123" i="28"/>
  <c r="G123" i="30" s="1"/>
  <c r="EB126" i="28"/>
  <c r="F126" i="30" s="1"/>
  <c r="EA129" i="28"/>
  <c r="E129" i="30" s="1"/>
  <c r="DZ132" i="28"/>
  <c r="EH132" i="28" s="1"/>
  <c r="ED136" i="28"/>
  <c r="H136" i="30" s="1"/>
  <c r="EC139" i="28"/>
  <c r="G139" i="30" s="1"/>
  <c r="EB142" i="28"/>
  <c r="F142" i="30" s="1"/>
  <c r="EA145" i="28"/>
  <c r="E145" i="30" s="1"/>
  <c r="DZ148" i="28"/>
  <c r="EF148" i="28" s="1"/>
  <c r="ED152" i="28"/>
  <c r="H152" i="30" s="1"/>
  <c r="EC155" i="28"/>
  <c r="G155" i="30" s="1"/>
  <c r="EB158" i="28"/>
  <c r="F158" i="30" s="1"/>
  <c r="EA161" i="28"/>
  <c r="E161" i="30" s="1"/>
  <c r="DZ164" i="28"/>
  <c r="D164" i="30" s="1"/>
  <c r="K164" i="30" s="1"/>
  <c r="ED155" i="28"/>
  <c r="H155" i="30" s="1"/>
  <c r="EB161" i="28"/>
  <c r="F161" i="30" s="1"/>
  <c r="DZ167" i="28"/>
  <c r="D167" i="30" s="1"/>
  <c r="EB121" i="28"/>
  <c r="F121" i="30" s="1"/>
  <c r="EA124" i="28"/>
  <c r="E124" i="30" s="1"/>
  <c r="DZ127" i="28"/>
  <c r="D127" i="30" s="1"/>
  <c r="ED131" i="28"/>
  <c r="H131" i="30" s="1"/>
  <c r="EC134" i="28"/>
  <c r="G134" i="30" s="1"/>
  <c r="EB137" i="28"/>
  <c r="F137" i="30" s="1"/>
  <c r="EA140" i="28"/>
  <c r="E140" i="30" s="1"/>
  <c r="DZ143" i="28"/>
  <c r="D143" i="30" s="1"/>
  <c r="ED147" i="28"/>
  <c r="H147" i="30" s="1"/>
  <c r="EC150" i="28"/>
  <c r="G150" i="30" s="1"/>
  <c r="EB153" i="28"/>
  <c r="F153" i="30" s="1"/>
  <c r="DZ159" i="28"/>
  <c r="D159" i="30" s="1"/>
  <c r="EC166" i="28"/>
  <c r="G166" i="30" s="1"/>
  <c r="DZ119" i="28"/>
  <c r="EF119" i="28" s="1"/>
  <c r="DZ122" i="28"/>
  <c r="EF122" i="28" s="1"/>
  <c r="ED126" i="28"/>
  <c r="H126" i="30" s="1"/>
  <c r="EC129" i="28"/>
  <c r="G129" i="30" s="1"/>
  <c r="EB132" i="28"/>
  <c r="F132" i="30" s="1"/>
  <c r="EA135" i="28"/>
  <c r="E135" i="30" s="1"/>
  <c r="DZ138" i="28"/>
  <c r="EF138" i="28" s="1"/>
  <c r="ED142" i="28"/>
  <c r="H142" i="30" s="1"/>
  <c r="EC145" i="28"/>
  <c r="G145" i="30" s="1"/>
  <c r="EB148" i="28"/>
  <c r="F148" i="30" s="1"/>
  <c r="EA151" i="28"/>
  <c r="E151" i="30" s="1"/>
  <c r="DZ154" i="28"/>
  <c r="EF154" i="28" s="1"/>
  <c r="ED158" i="28"/>
  <c r="H158" i="30" s="1"/>
  <c r="EC161" i="28"/>
  <c r="G161" i="30" s="1"/>
  <c r="EB164" i="28"/>
  <c r="F164" i="30" s="1"/>
  <c r="EA167" i="28"/>
  <c r="E167" i="30" s="1"/>
  <c r="EB163" i="28"/>
  <c r="F163" i="30" s="1"/>
  <c r="EA119" i="28"/>
  <c r="E119" i="30" s="1"/>
  <c r="EA122" i="28"/>
  <c r="E122" i="30" s="1"/>
  <c r="DZ125" i="28"/>
  <c r="EG125" i="28" s="1"/>
  <c r="ED129" i="28"/>
  <c r="H129" i="30" s="1"/>
  <c r="EC132" i="28"/>
  <c r="G132" i="30" s="1"/>
  <c r="EB135" i="28"/>
  <c r="F135" i="30" s="1"/>
  <c r="EA138" i="28"/>
  <c r="E138" i="30" s="1"/>
  <c r="DZ141" i="28"/>
  <c r="EF141" i="28" s="1"/>
  <c r="ED145" i="28"/>
  <c r="H145" i="30" s="1"/>
  <c r="EC148" i="28"/>
  <c r="G148" i="30" s="1"/>
  <c r="EB151" i="28"/>
  <c r="F151" i="30" s="1"/>
  <c r="EA154" i="28"/>
  <c r="E154" i="30" s="1"/>
  <c r="DZ157" i="28"/>
  <c r="EF157" i="28" s="1"/>
  <c r="ED161" i="28"/>
  <c r="H161" i="30" s="1"/>
  <c r="EC164" i="28"/>
  <c r="G164" i="30" s="1"/>
  <c r="EB167" i="28"/>
  <c r="F167" i="30" s="1"/>
  <c r="DZ120" i="28"/>
  <c r="D120" i="30" s="1"/>
  <c r="ED124" i="28"/>
  <c r="H124" i="30" s="1"/>
  <c r="EC127" i="28"/>
  <c r="G127" i="30" s="1"/>
  <c r="EB130" i="28"/>
  <c r="F130" i="30" s="1"/>
  <c r="EA133" i="28"/>
  <c r="E133" i="30" s="1"/>
  <c r="DZ136" i="28"/>
  <c r="D136" i="30" s="1"/>
  <c r="ED140" i="28"/>
  <c r="H140" i="30" s="1"/>
  <c r="EC143" i="28"/>
  <c r="G143" i="30" s="1"/>
  <c r="EB146" i="28"/>
  <c r="F146" i="30" s="1"/>
  <c r="EA149" i="28"/>
  <c r="E149" i="30" s="1"/>
  <c r="DZ152" i="28"/>
  <c r="EF152" i="28" s="1"/>
  <c r="ED156" i="28"/>
  <c r="H156" i="30" s="1"/>
  <c r="EC159" i="28"/>
  <c r="G159" i="30" s="1"/>
  <c r="EB162" i="28"/>
  <c r="F162" i="30" s="1"/>
  <c r="EA165" i="28"/>
  <c r="E165" i="30" s="1"/>
  <c r="DZ161" i="28"/>
  <c r="D161" i="30" s="1"/>
  <c r="K161" i="30" s="1"/>
  <c r="AE114" i="29"/>
  <c r="CM116" i="28"/>
  <c r="BL116" i="28"/>
  <c r="AM116" i="28"/>
  <c r="AE106" i="29"/>
  <c r="CM108" i="28"/>
  <c r="BL108" i="28"/>
  <c r="AM108" i="28"/>
  <c r="AE98" i="29"/>
  <c r="CM100" i="28"/>
  <c r="BL100" i="28"/>
  <c r="AM100" i="28"/>
  <c r="AE90" i="29"/>
  <c r="CM92" i="28"/>
  <c r="BL92" i="28"/>
  <c r="AM92" i="28"/>
  <c r="AE82" i="29"/>
  <c r="CM84" i="28"/>
  <c r="BL84" i="28"/>
  <c r="AM84" i="28"/>
  <c r="AE74" i="29"/>
  <c r="CM76" i="28"/>
  <c r="BL76" i="28"/>
  <c r="AM76" i="28"/>
  <c r="AE66" i="29"/>
  <c r="CM68" i="28"/>
  <c r="BL68" i="28"/>
  <c r="AM68" i="28"/>
  <c r="AE57" i="29"/>
  <c r="BL59" i="28"/>
  <c r="CM59" i="28"/>
  <c r="AM59" i="28"/>
  <c r="AE49" i="29"/>
  <c r="CM51" i="28"/>
  <c r="BL51" i="28"/>
  <c r="AM51" i="28"/>
  <c r="AE41" i="29"/>
  <c r="CM43" i="28"/>
  <c r="BL43" i="28"/>
  <c r="AM43" i="28"/>
  <c r="AE33" i="29"/>
  <c r="BL35" i="28"/>
  <c r="CM35" i="28"/>
  <c r="AM35" i="28"/>
  <c r="AE25" i="29"/>
  <c r="CM27" i="28"/>
  <c r="BL27" i="28"/>
  <c r="AM27" i="28"/>
  <c r="AE17" i="29"/>
  <c r="CM19" i="28"/>
  <c r="BL19" i="28"/>
  <c r="AM19" i="28"/>
  <c r="AE9" i="29"/>
  <c r="CM11" i="28"/>
  <c r="BL11" i="28"/>
  <c r="AM11" i="28"/>
  <c r="AC114" i="29"/>
  <c r="CK116" i="28"/>
  <c r="BJ116" i="28"/>
  <c r="AK116" i="28"/>
  <c r="AC106" i="29"/>
  <c r="CK108" i="28"/>
  <c r="BJ108" i="28"/>
  <c r="AK108" i="28"/>
  <c r="AC98" i="29"/>
  <c r="CK100" i="28"/>
  <c r="BJ100" i="28"/>
  <c r="AK100" i="28"/>
  <c r="AC90" i="29"/>
  <c r="CK92" i="28"/>
  <c r="BJ92" i="28"/>
  <c r="AK92" i="28"/>
  <c r="AC82" i="29"/>
  <c r="CK84" i="28"/>
  <c r="BJ84" i="28"/>
  <c r="AK84" i="28"/>
  <c r="AC74" i="29"/>
  <c r="CK76" i="28"/>
  <c r="BJ76" i="28"/>
  <c r="AK76" i="28"/>
  <c r="AC66" i="29"/>
  <c r="BJ68" i="28"/>
  <c r="CK68" i="28"/>
  <c r="AK68" i="28"/>
  <c r="CK59" i="28"/>
  <c r="AC57" i="29"/>
  <c r="BJ59" i="28"/>
  <c r="AK59" i="28"/>
  <c r="CK51" i="28"/>
  <c r="BJ51" i="28"/>
  <c r="AC49" i="29"/>
  <c r="AK51" i="28"/>
  <c r="CK43" i="28"/>
  <c r="AC41" i="29"/>
  <c r="BJ43" i="28"/>
  <c r="AK43" i="28"/>
  <c r="CK35" i="28"/>
  <c r="AC33" i="29"/>
  <c r="BJ35" i="28"/>
  <c r="AK35" i="28"/>
  <c r="CK27" i="28"/>
  <c r="AC25" i="29"/>
  <c r="BJ27" i="28"/>
  <c r="AK27" i="28"/>
  <c r="CK19" i="28"/>
  <c r="BJ19" i="28"/>
  <c r="AC17" i="29"/>
  <c r="AK19" i="28"/>
  <c r="CK11" i="28"/>
  <c r="AC9" i="29"/>
  <c r="BJ11" i="28"/>
  <c r="AK11" i="28"/>
  <c r="AB110" i="29"/>
  <c r="CJ112" i="28"/>
  <c r="BI112" i="28"/>
  <c r="AJ112" i="28"/>
  <c r="CJ104" i="28"/>
  <c r="AB102" i="29"/>
  <c r="BI104" i="28"/>
  <c r="AJ104" i="28"/>
  <c r="CJ96" i="28"/>
  <c r="AB94" i="29"/>
  <c r="BI96" i="28"/>
  <c r="AJ96" i="28"/>
  <c r="CJ88" i="28"/>
  <c r="AB86" i="29"/>
  <c r="BI88" i="28"/>
  <c r="AJ88" i="28"/>
  <c r="AB78" i="29"/>
  <c r="CJ80" i="28"/>
  <c r="BI80" i="28"/>
  <c r="AJ80" i="28"/>
  <c r="CJ72" i="28"/>
  <c r="AB70" i="29"/>
  <c r="BI72" i="28"/>
  <c r="AJ72" i="28"/>
  <c r="CJ64" i="28"/>
  <c r="BI64" i="28"/>
  <c r="AB62" i="29"/>
  <c r="AJ64" i="28"/>
  <c r="AB53" i="29"/>
  <c r="CJ55" i="28"/>
  <c r="BI55" i="28"/>
  <c r="AJ55" i="28"/>
  <c r="CJ47" i="28"/>
  <c r="AB45" i="29"/>
  <c r="BI47" i="28"/>
  <c r="AJ47" i="28"/>
  <c r="CJ39" i="28"/>
  <c r="AB37" i="29"/>
  <c r="BI39" i="28"/>
  <c r="AJ39" i="28"/>
  <c r="CJ31" i="28"/>
  <c r="AB29" i="29"/>
  <c r="BI31" i="28"/>
  <c r="AJ31" i="28"/>
  <c r="CJ23" i="28"/>
  <c r="AB21" i="29"/>
  <c r="BI23" i="28"/>
  <c r="AJ23" i="28"/>
  <c r="CJ15" i="28"/>
  <c r="AB13" i="29"/>
  <c r="BI15" i="28"/>
  <c r="AJ15" i="28"/>
  <c r="AD111" i="29"/>
  <c r="CL113" i="28"/>
  <c r="BK113" i="28"/>
  <c r="AL113" i="28"/>
  <c r="AD103" i="29"/>
  <c r="CL105" i="28"/>
  <c r="BK105" i="28"/>
  <c r="AL105" i="28"/>
  <c r="AD95" i="29"/>
  <c r="CL97" i="28"/>
  <c r="BK97" i="28"/>
  <c r="AL97" i="28"/>
  <c r="AD87" i="29"/>
  <c r="CL89" i="28"/>
  <c r="BK89" i="28"/>
  <c r="AL89" i="28"/>
  <c r="AD79" i="29"/>
  <c r="CL81" i="28"/>
  <c r="BK81" i="28"/>
  <c r="AL81" i="28"/>
  <c r="AD71" i="29"/>
  <c r="CL73" i="28"/>
  <c r="BK73" i="28"/>
  <c r="AL73" i="28"/>
  <c r="AD63" i="29"/>
  <c r="CL65" i="28"/>
  <c r="BK65" i="28"/>
  <c r="AL65" i="28"/>
  <c r="AD54" i="29"/>
  <c r="CL56" i="28"/>
  <c r="BK56" i="28"/>
  <c r="AL56" i="28"/>
  <c r="AD46" i="29"/>
  <c r="BK48" i="28"/>
  <c r="CL48" i="28"/>
  <c r="AL48" i="28"/>
  <c r="AD38" i="29"/>
  <c r="CL40" i="28"/>
  <c r="BK40" i="28"/>
  <c r="AL40" i="28"/>
  <c r="AD29" i="29"/>
  <c r="CL31" i="28"/>
  <c r="BK31" i="28"/>
  <c r="AL31" i="28"/>
  <c r="AD21" i="29"/>
  <c r="CL23" i="28"/>
  <c r="BK23" i="28"/>
  <c r="AL23" i="28"/>
  <c r="AD13" i="29"/>
  <c r="CL15" i="28"/>
  <c r="BK15" i="28"/>
  <c r="AL15" i="28"/>
  <c r="CL62" i="28"/>
  <c r="AD60" i="29"/>
  <c r="BK62" i="28"/>
  <c r="AL62" i="28"/>
  <c r="AF109" i="29"/>
  <c r="CN111" i="28"/>
  <c r="BM111" i="28"/>
  <c r="AN111" i="28"/>
  <c r="AF101" i="29"/>
  <c r="CN103" i="28"/>
  <c r="BM103" i="28"/>
  <c r="AN103" i="28"/>
  <c r="AF93" i="29"/>
  <c r="CN95" i="28"/>
  <c r="BM95" i="28"/>
  <c r="AN95" i="28"/>
  <c r="AF84" i="29"/>
  <c r="CN86" i="28"/>
  <c r="BM86" i="28"/>
  <c r="AN86" i="28"/>
  <c r="AF76" i="29"/>
  <c r="BM78" i="28"/>
  <c r="CN78" i="28"/>
  <c r="AN78" i="28"/>
  <c r="AF68" i="29"/>
  <c r="CN70" i="28"/>
  <c r="BM70" i="28"/>
  <c r="AN70" i="28"/>
  <c r="AF59" i="29"/>
  <c r="CN61" i="28"/>
  <c r="BM61" i="28"/>
  <c r="AN61" i="28"/>
  <c r="AF51" i="29"/>
  <c r="CN53" i="28"/>
  <c r="BM53" i="28"/>
  <c r="AN53" i="28"/>
  <c r="AF43" i="29"/>
  <c r="CN45" i="28"/>
  <c r="BM45" i="28"/>
  <c r="AN45" i="28"/>
  <c r="AF35" i="29"/>
  <c r="CN37" i="28"/>
  <c r="BM37" i="28"/>
  <c r="AN37" i="28"/>
  <c r="AF27" i="29"/>
  <c r="CN29" i="28"/>
  <c r="BM29" i="28"/>
  <c r="AN29" i="28"/>
  <c r="AF19" i="29"/>
  <c r="CN21" i="28"/>
  <c r="BM21" i="28"/>
  <c r="AN21" i="28"/>
  <c r="AF11" i="29"/>
  <c r="CN13" i="28"/>
  <c r="BM13" i="28"/>
  <c r="AN13" i="28"/>
  <c r="AF115" i="29"/>
  <c r="BM117" i="28"/>
  <c r="CN117" i="28"/>
  <c r="AN117" i="28"/>
  <c r="ED122" i="28"/>
  <c r="H122" i="30" s="1"/>
  <c r="EC125" i="28"/>
  <c r="G125" i="30" s="1"/>
  <c r="EB128" i="28"/>
  <c r="F128" i="30" s="1"/>
  <c r="EA131" i="28"/>
  <c r="E131" i="30" s="1"/>
  <c r="DZ134" i="28"/>
  <c r="EH134" i="28" s="1"/>
  <c r="ED138" i="28"/>
  <c r="H138" i="30" s="1"/>
  <c r="EC141" i="28"/>
  <c r="G141" i="30" s="1"/>
  <c r="EB144" i="28"/>
  <c r="F144" i="30" s="1"/>
  <c r="EA147" i="28"/>
  <c r="E147" i="30" s="1"/>
  <c r="DZ150" i="28"/>
  <c r="EF150" i="28" s="1"/>
  <c r="ED154" i="28"/>
  <c r="H154" i="30" s="1"/>
  <c r="EC157" i="28"/>
  <c r="G157" i="30" s="1"/>
  <c r="EB160" i="28"/>
  <c r="F160" i="30" s="1"/>
  <c r="EA163" i="28"/>
  <c r="E163" i="30" s="1"/>
  <c r="DZ166" i="28"/>
  <c r="EG166" i="28" s="1"/>
  <c r="EL119" i="28"/>
  <c r="EO126" i="28"/>
  <c r="AE113" i="29"/>
  <c r="CM115" i="28"/>
  <c r="BL115" i="28"/>
  <c r="AM115" i="28"/>
  <c r="AE105" i="29"/>
  <c r="CM107" i="28"/>
  <c r="BL107" i="28"/>
  <c r="AM107" i="28"/>
  <c r="AE97" i="29"/>
  <c r="CM99" i="28"/>
  <c r="BL99" i="28"/>
  <c r="AM99" i="28"/>
  <c r="AE89" i="29"/>
  <c r="CM91" i="28"/>
  <c r="BL91" i="28"/>
  <c r="AM91" i="28"/>
  <c r="AE81" i="29"/>
  <c r="CM83" i="28"/>
  <c r="BL83" i="28"/>
  <c r="AM83" i="28"/>
  <c r="AE73" i="29"/>
  <c r="CM75" i="28"/>
  <c r="BL75" i="28"/>
  <c r="AM75" i="28"/>
  <c r="AE65" i="29"/>
  <c r="CM67" i="28"/>
  <c r="BL67" i="28"/>
  <c r="AM67" i="28"/>
  <c r="AE56" i="29"/>
  <c r="CM58" i="28"/>
  <c r="BL58" i="28"/>
  <c r="AM58" i="28"/>
  <c r="AE48" i="29"/>
  <c r="CM50" i="28"/>
  <c r="BL50" i="28"/>
  <c r="AM50" i="28"/>
  <c r="AE40" i="29"/>
  <c r="BL42" i="28"/>
  <c r="CM42" i="28"/>
  <c r="AM42" i="28"/>
  <c r="AE32" i="29"/>
  <c r="CM34" i="28"/>
  <c r="BL34" i="28"/>
  <c r="AM34" i="28"/>
  <c r="AE24" i="29"/>
  <c r="CM26" i="28"/>
  <c r="BL26" i="28"/>
  <c r="AM26" i="28"/>
  <c r="AE16" i="29"/>
  <c r="CM18" i="28"/>
  <c r="BL18" i="28"/>
  <c r="AM18" i="28"/>
  <c r="AE8" i="29"/>
  <c r="CM10" i="28"/>
  <c r="BL10" i="28"/>
  <c r="AM10" i="28"/>
  <c r="CK115" i="28"/>
  <c r="BJ115" i="28"/>
  <c r="AC113" i="29"/>
  <c r="AK115" i="28"/>
  <c r="CK107" i="28"/>
  <c r="AC105" i="29"/>
  <c r="BJ107" i="28"/>
  <c r="AK107" i="28"/>
  <c r="AC97" i="29"/>
  <c r="CK99" i="28"/>
  <c r="BJ99" i="28"/>
  <c r="AK99" i="28"/>
  <c r="CK91" i="28"/>
  <c r="AC89" i="29"/>
  <c r="BJ91" i="28"/>
  <c r="AK91" i="28"/>
  <c r="CK83" i="28"/>
  <c r="BJ83" i="28"/>
  <c r="AC81" i="29"/>
  <c r="AK83" i="28"/>
  <c r="CK75" i="28"/>
  <c r="AC73" i="29"/>
  <c r="BJ75" i="28"/>
  <c r="AK75" i="28"/>
  <c r="AC65" i="29"/>
  <c r="CK67" i="28"/>
  <c r="BJ67" i="28"/>
  <c r="AK67" i="28"/>
  <c r="AC56" i="29"/>
  <c r="CK58" i="28"/>
  <c r="BJ58" i="28"/>
  <c r="AK58" i="28"/>
  <c r="CK50" i="28"/>
  <c r="AC48" i="29"/>
  <c r="BJ50" i="28"/>
  <c r="AK50" i="28"/>
  <c r="CK42" i="28"/>
  <c r="AC40" i="29"/>
  <c r="BJ42" i="28"/>
  <c r="AK42" i="28"/>
  <c r="CK34" i="28"/>
  <c r="AC32" i="29"/>
  <c r="BJ34" i="28"/>
  <c r="AK34" i="28"/>
  <c r="CK26" i="28"/>
  <c r="AC24" i="29"/>
  <c r="BJ26" i="28"/>
  <c r="AK26" i="28"/>
  <c r="CK18" i="28"/>
  <c r="AC16" i="29"/>
  <c r="BJ18" i="28"/>
  <c r="AK18" i="28"/>
  <c r="CK10" i="28"/>
  <c r="AC8" i="29"/>
  <c r="BJ10" i="28"/>
  <c r="AK10" i="28"/>
  <c r="AB109" i="29"/>
  <c r="CJ111" i="28"/>
  <c r="BI111" i="28"/>
  <c r="AJ111" i="28"/>
  <c r="AB101" i="29"/>
  <c r="CJ103" i="28"/>
  <c r="BI103" i="28"/>
  <c r="AJ103" i="28"/>
  <c r="AB93" i="29"/>
  <c r="CJ95" i="28"/>
  <c r="BI95" i="28"/>
  <c r="AJ95" i="28"/>
  <c r="AB85" i="29"/>
  <c r="CJ87" i="28"/>
  <c r="BI87" i="28"/>
  <c r="AJ87" i="28"/>
  <c r="AB77" i="29"/>
  <c r="CJ79" i="28"/>
  <c r="BI79" i="28"/>
  <c r="AJ79" i="28"/>
  <c r="AB69" i="29"/>
  <c r="CJ71" i="28"/>
  <c r="BI71" i="28"/>
  <c r="AJ71" i="28"/>
  <c r="AB61" i="29"/>
  <c r="CJ63" i="28"/>
  <c r="BI63" i="28"/>
  <c r="AJ63" i="28"/>
  <c r="AB52" i="29"/>
  <c r="CJ54" i="28"/>
  <c r="BI54" i="28"/>
  <c r="AJ54" i="28"/>
  <c r="CJ46" i="28"/>
  <c r="AB44" i="29"/>
  <c r="BI46" i="28"/>
  <c r="AJ46" i="28"/>
  <c r="AB36" i="29"/>
  <c r="CJ38" i="28"/>
  <c r="BI38" i="28"/>
  <c r="AJ38" i="28"/>
  <c r="CJ30" i="28"/>
  <c r="AB28" i="29"/>
  <c r="BI30" i="28"/>
  <c r="AJ30" i="28"/>
  <c r="AB20" i="29"/>
  <c r="BI22" i="28"/>
  <c r="CJ22" i="28"/>
  <c r="AJ22" i="28"/>
  <c r="CJ14" i="28"/>
  <c r="AB12" i="29"/>
  <c r="BI14" i="28"/>
  <c r="AJ14" i="28"/>
  <c r="AD110" i="29"/>
  <c r="CL112" i="28"/>
  <c r="BK112" i="28"/>
  <c r="AL112" i="28"/>
  <c r="AD102" i="29"/>
  <c r="BK104" i="28"/>
  <c r="CL104" i="28"/>
  <c r="AL104" i="28"/>
  <c r="AD94" i="29"/>
  <c r="CL96" i="28"/>
  <c r="BK96" i="28"/>
  <c r="AL96" i="28"/>
  <c r="AD86" i="29"/>
  <c r="BK88" i="28"/>
  <c r="CL88" i="28"/>
  <c r="AL88" i="28"/>
  <c r="AD78" i="29"/>
  <c r="CL80" i="28"/>
  <c r="BK80" i="28"/>
  <c r="AL80" i="28"/>
  <c r="AD70" i="29"/>
  <c r="CL72" i="28"/>
  <c r="BK72" i="28"/>
  <c r="AL72" i="28"/>
  <c r="AD62" i="29"/>
  <c r="CL64" i="28"/>
  <c r="BK64" i="28"/>
  <c r="AL64" i="28"/>
  <c r="AD53" i="29"/>
  <c r="CL55" i="28"/>
  <c r="BK55" i="28"/>
  <c r="AL55" i="28"/>
  <c r="AD45" i="29"/>
  <c r="CL47" i="28"/>
  <c r="BK47" i="28"/>
  <c r="AL47" i="28"/>
  <c r="AD37" i="29"/>
  <c r="CL39" i="28"/>
  <c r="BK39" i="28"/>
  <c r="AL39" i="28"/>
  <c r="CL30" i="28"/>
  <c r="AD28" i="29"/>
  <c r="BK30" i="28"/>
  <c r="AL30" i="28"/>
  <c r="CL22" i="28"/>
  <c r="AD20" i="29"/>
  <c r="BK22" i="28"/>
  <c r="AL22" i="28"/>
  <c r="CL14" i="28"/>
  <c r="AD12" i="29"/>
  <c r="BK14" i="28"/>
  <c r="AL14" i="28"/>
  <c r="AD6" i="29"/>
  <c r="CL8" i="28"/>
  <c r="BK8" i="28"/>
  <c r="AL8" i="28"/>
  <c r="AF108" i="29"/>
  <c r="BM110" i="28"/>
  <c r="CN110" i="28"/>
  <c r="AN110" i="28"/>
  <c r="AF100" i="29"/>
  <c r="CN102" i="28"/>
  <c r="BM102" i="28"/>
  <c r="AN102" i="28"/>
  <c r="AF92" i="29"/>
  <c r="CN94" i="28"/>
  <c r="BM94" i="28"/>
  <c r="AN94" i="28"/>
  <c r="AF83" i="29"/>
  <c r="CN85" i="28"/>
  <c r="BM85" i="28"/>
  <c r="AN85" i="28"/>
  <c r="AF75" i="29"/>
  <c r="BM77" i="28"/>
  <c r="CN77" i="28"/>
  <c r="AN77" i="28"/>
  <c r="AF67" i="29"/>
  <c r="CN69" i="28"/>
  <c r="BM69" i="28"/>
  <c r="AN69" i="28"/>
  <c r="AF58" i="29"/>
  <c r="CN60" i="28"/>
  <c r="BM60" i="28"/>
  <c r="AN60" i="28"/>
  <c r="CN52" i="28"/>
  <c r="AF50" i="29"/>
  <c r="BM52" i="28"/>
  <c r="AN52" i="28"/>
  <c r="CN44" i="28"/>
  <c r="AF42" i="29"/>
  <c r="BM44" i="28"/>
  <c r="AN44" i="28"/>
  <c r="CN36" i="28"/>
  <c r="AF34" i="29"/>
  <c r="BM36" i="28"/>
  <c r="AN36" i="28"/>
  <c r="CN28" i="28"/>
  <c r="AF26" i="29"/>
  <c r="BM28" i="28"/>
  <c r="AN28" i="28"/>
  <c r="CN20" i="28"/>
  <c r="AF18" i="29"/>
  <c r="BM20" i="28"/>
  <c r="AN20" i="28"/>
  <c r="CN12" i="28"/>
  <c r="BM12" i="28"/>
  <c r="AF10" i="29"/>
  <c r="AN12" i="28"/>
  <c r="DZ118" i="28"/>
  <c r="EF118" i="28" s="1"/>
  <c r="ED125" i="28"/>
  <c r="H125" i="30" s="1"/>
  <c r="EB131" i="28"/>
  <c r="F131" i="30" s="1"/>
  <c r="DZ137" i="28"/>
  <c r="D137" i="30" s="1"/>
  <c r="ED149" i="28"/>
  <c r="H149" i="30" s="1"/>
  <c r="EB155" i="28"/>
  <c r="F155" i="30" s="1"/>
  <c r="ED165" i="28"/>
  <c r="H165" i="30" s="1"/>
  <c r="AE112" i="29"/>
  <c r="CM114" i="28"/>
  <c r="BL114" i="28"/>
  <c r="AM114" i="28"/>
  <c r="AE104" i="29"/>
  <c r="BL106" i="28"/>
  <c r="CM106" i="28"/>
  <c r="AM106" i="28"/>
  <c r="AE96" i="29"/>
  <c r="CM98" i="28"/>
  <c r="BL98" i="28"/>
  <c r="AM98" i="28"/>
  <c r="AE88" i="29"/>
  <c r="CM90" i="28"/>
  <c r="BL90" i="28"/>
  <c r="AM90" i="28"/>
  <c r="AE80" i="29"/>
  <c r="CM82" i="28"/>
  <c r="BL82" i="28"/>
  <c r="AM82" i="28"/>
  <c r="AE72" i="29"/>
  <c r="CM74" i="28"/>
  <c r="BL74" i="28"/>
  <c r="AM74" i="28"/>
  <c r="AE64" i="29"/>
  <c r="CM66" i="28"/>
  <c r="BL66" i="28"/>
  <c r="AM66" i="28"/>
  <c r="CM57" i="28"/>
  <c r="BL57" i="28"/>
  <c r="AE55" i="29"/>
  <c r="AM57" i="28"/>
  <c r="CM49" i="28"/>
  <c r="AE47" i="29"/>
  <c r="BL49" i="28"/>
  <c r="AM49" i="28"/>
  <c r="CM41" i="28"/>
  <c r="AE39" i="29"/>
  <c r="BL41" i="28"/>
  <c r="AM41" i="28"/>
  <c r="CM33" i="28"/>
  <c r="AE31" i="29"/>
  <c r="BL33" i="28"/>
  <c r="AM33" i="28"/>
  <c r="CM25" i="28"/>
  <c r="BL25" i="28"/>
  <c r="AE23" i="29"/>
  <c r="AM25" i="28"/>
  <c r="CM17" i="28"/>
  <c r="AE15" i="29"/>
  <c r="BL17" i="28"/>
  <c r="AM17" i="28"/>
  <c r="CM9" i="28"/>
  <c r="AE7" i="29"/>
  <c r="BL9" i="28"/>
  <c r="AM9" i="28"/>
  <c r="AC112" i="29"/>
  <c r="BJ114" i="28"/>
  <c r="CK114" i="28"/>
  <c r="AK114" i="28"/>
  <c r="AC104" i="29"/>
  <c r="CK106" i="28"/>
  <c r="BJ106" i="28"/>
  <c r="AK106" i="28"/>
  <c r="AC96" i="29"/>
  <c r="CK98" i="28"/>
  <c r="BJ98" i="28"/>
  <c r="AK98" i="28"/>
  <c r="AC88" i="29"/>
  <c r="CK90" i="28"/>
  <c r="BJ90" i="28"/>
  <c r="AK90" i="28"/>
  <c r="AC80" i="29"/>
  <c r="CK82" i="28"/>
  <c r="BJ82" i="28"/>
  <c r="AK82" i="28"/>
  <c r="AC72" i="29"/>
  <c r="CK74" i="28"/>
  <c r="BJ74" i="28"/>
  <c r="AK74" i="28"/>
  <c r="AC64" i="29"/>
  <c r="CK66" i="28"/>
  <c r="BJ66" i="28"/>
  <c r="AK66" i="28"/>
  <c r="AC55" i="29"/>
  <c r="CK57" i="28"/>
  <c r="BJ57" i="28"/>
  <c r="AK57" i="28"/>
  <c r="CK49" i="28"/>
  <c r="AC47" i="29"/>
  <c r="BJ49" i="28"/>
  <c r="AK49" i="28"/>
  <c r="AC39" i="29"/>
  <c r="CK41" i="28"/>
  <c r="BJ41" i="28"/>
  <c r="AK41" i="28"/>
  <c r="CK33" i="28"/>
  <c r="BJ33" i="28"/>
  <c r="AC31" i="29"/>
  <c r="AK33" i="28"/>
  <c r="AC23" i="29"/>
  <c r="CK25" i="28"/>
  <c r="BJ25" i="28"/>
  <c r="AK25" i="28"/>
  <c r="CK17" i="28"/>
  <c r="BJ17" i="28"/>
  <c r="AC15" i="29"/>
  <c r="AK17" i="28"/>
  <c r="AC7" i="29"/>
  <c r="CK9" i="28"/>
  <c r="BJ9" i="28"/>
  <c r="AK9" i="28"/>
  <c r="CJ110" i="28"/>
  <c r="BI110" i="28"/>
  <c r="AB108" i="29"/>
  <c r="AJ110" i="28"/>
  <c r="AB100" i="29"/>
  <c r="CJ102" i="28"/>
  <c r="BI102" i="28"/>
  <c r="AJ102" i="28"/>
  <c r="CJ94" i="28"/>
  <c r="BI94" i="28"/>
  <c r="AB92" i="29"/>
  <c r="AJ94" i="28"/>
  <c r="AB84" i="29"/>
  <c r="CJ86" i="28"/>
  <c r="BI86" i="28"/>
  <c r="AJ86" i="28"/>
  <c r="CJ78" i="28"/>
  <c r="AB76" i="29"/>
  <c r="BI78" i="28"/>
  <c r="AJ78" i="28"/>
  <c r="AB68" i="29"/>
  <c r="CJ70" i="28"/>
  <c r="BI70" i="28"/>
  <c r="AJ70" i="28"/>
  <c r="AB59" i="29"/>
  <c r="CJ61" i="28"/>
  <c r="BI61" i="28"/>
  <c r="AJ61" i="28"/>
  <c r="AB51" i="29"/>
  <c r="CJ53" i="28"/>
  <c r="BI53" i="28"/>
  <c r="AJ53" i="28"/>
  <c r="AB43" i="29"/>
  <c r="CJ45" i="28"/>
  <c r="BI45" i="28"/>
  <c r="AJ45" i="28"/>
  <c r="AB35" i="29"/>
  <c r="CJ37" i="28"/>
  <c r="BI37" i="28"/>
  <c r="AJ37" i="28"/>
  <c r="AB27" i="29"/>
  <c r="CJ29" i="28"/>
  <c r="BI29" i="28"/>
  <c r="AJ29" i="28"/>
  <c r="AB19" i="29"/>
  <c r="CJ21" i="28"/>
  <c r="BI21" i="28"/>
  <c r="AJ21" i="28"/>
  <c r="AB11" i="29"/>
  <c r="CJ13" i="28"/>
  <c r="BI13" i="28"/>
  <c r="AJ13" i="28"/>
  <c r="CJ8" i="28"/>
  <c r="AB6" i="29"/>
  <c r="BI8" i="28"/>
  <c r="AJ8" i="28"/>
  <c r="AD109" i="29"/>
  <c r="CL111" i="28"/>
  <c r="BK111" i="28"/>
  <c r="AL111" i="28"/>
  <c r="AD101" i="29"/>
  <c r="BK103" i="28"/>
  <c r="CL103" i="28"/>
  <c r="AL103" i="28"/>
  <c r="AD93" i="29"/>
  <c r="CL95" i="28"/>
  <c r="BK95" i="28"/>
  <c r="AL95" i="28"/>
  <c r="AD85" i="29"/>
  <c r="CL87" i="28"/>
  <c r="BK87" i="28"/>
  <c r="AL87" i="28"/>
  <c r="AD77" i="29"/>
  <c r="CL79" i="28"/>
  <c r="BK79" i="28"/>
  <c r="AL79" i="28"/>
  <c r="AD69" i="29"/>
  <c r="CL71" i="28"/>
  <c r="BK71" i="28"/>
  <c r="AL71" i="28"/>
  <c r="AD61" i="29"/>
  <c r="CL63" i="28"/>
  <c r="BK63" i="28"/>
  <c r="AL63" i="28"/>
  <c r="CL54" i="28"/>
  <c r="AD52" i="29"/>
  <c r="BK54" i="28"/>
  <c r="AL54" i="28"/>
  <c r="CL46" i="28"/>
  <c r="AD44" i="29"/>
  <c r="BK46" i="28"/>
  <c r="AL46" i="28"/>
  <c r="CL38" i="28"/>
  <c r="BK38" i="28"/>
  <c r="AD36" i="29"/>
  <c r="AL38" i="28"/>
  <c r="CL29" i="28"/>
  <c r="AD27" i="29"/>
  <c r="BK29" i="28"/>
  <c r="AL29" i="28"/>
  <c r="CL21" i="28"/>
  <c r="AD19" i="29"/>
  <c r="BK21" i="28"/>
  <c r="AL21" i="28"/>
  <c r="CL13" i="28"/>
  <c r="AD11" i="29"/>
  <c r="BK13" i="28"/>
  <c r="AL13" i="28"/>
  <c r="AD115" i="29"/>
  <c r="BK117" i="28"/>
  <c r="CL117" i="28"/>
  <c r="AL117" i="28"/>
  <c r="AF107" i="29"/>
  <c r="CN109" i="28"/>
  <c r="BM109" i="28"/>
  <c r="AN109" i="28"/>
  <c r="AF99" i="29"/>
  <c r="CN101" i="28"/>
  <c r="BM101" i="28"/>
  <c r="AN101" i="28"/>
  <c r="AF91" i="29"/>
  <c r="BM93" i="28"/>
  <c r="CN93" i="28"/>
  <c r="AN93" i="28"/>
  <c r="CN84" i="28"/>
  <c r="AF82" i="29"/>
  <c r="BM84" i="28"/>
  <c r="AN84" i="28"/>
  <c r="CN76" i="28"/>
  <c r="BM76" i="28"/>
  <c r="AF74" i="29"/>
  <c r="AN76" i="28"/>
  <c r="CN68" i="28"/>
  <c r="AF66" i="29"/>
  <c r="BM68" i="28"/>
  <c r="AN68" i="28"/>
  <c r="AF57" i="29"/>
  <c r="CN59" i="28"/>
  <c r="BM59" i="28"/>
  <c r="AN59" i="28"/>
  <c r="CN51" i="28"/>
  <c r="AF49" i="29"/>
  <c r="BM51" i="28"/>
  <c r="AN51" i="28"/>
  <c r="CN43" i="28"/>
  <c r="AF41" i="29"/>
  <c r="BM43" i="28"/>
  <c r="AN43" i="28"/>
  <c r="CN35" i="28"/>
  <c r="AF33" i="29"/>
  <c r="BM35" i="28"/>
  <c r="AN35" i="28"/>
  <c r="CN27" i="28"/>
  <c r="AF25" i="29"/>
  <c r="BM27" i="28"/>
  <c r="AN27" i="28"/>
  <c r="CN19" i="28"/>
  <c r="AF17" i="29"/>
  <c r="BM19" i="28"/>
  <c r="AN19" i="28"/>
  <c r="CN11" i="28"/>
  <c r="AF9" i="29"/>
  <c r="BM11" i="28"/>
  <c r="AN11" i="28"/>
  <c r="K167" i="30"/>
  <c r="K143" i="30"/>
  <c r="AC104" i="28"/>
  <c r="X104" i="28"/>
  <c r="AC47" i="28"/>
  <c r="X47" i="28"/>
  <c r="AA104" i="28"/>
  <c r="V104" i="28"/>
  <c r="AA39" i="28"/>
  <c r="V39" i="28"/>
  <c r="U92" i="28"/>
  <c r="Z92" i="28"/>
  <c r="U35" i="28"/>
  <c r="Z35" i="28"/>
  <c r="W93" i="28"/>
  <c r="AB93" i="28"/>
  <c r="W44" i="28"/>
  <c r="AB44" i="28"/>
  <c r="Y115" i="28"/>
  <c r="AD115" i="28"/>
  <c r="AD74" i="28"/>
  <c r="Y74" i="28"/>
  <c r="Y33" i="28"/>
  <c r="AD33" i="28"/>
  <c r="AC113" i="28"/>
  <c r="X113" i="28"/>
  <c r="X105" i="28"/>
  <c r="AC105" i="28"/>
  <c r="X97" i="28"/>
  <c r="AC97" i="28"/>
  <c r="X89" i="28"/>
  <c r="AC89" i="28"/>
  <c r="X81" i="28"/>
  <c r="AC81" i="28"/>
  <c r="AC73" i="28"/>
  <c r="X73" i="28"/>
  <c r="AC65" i="28"/>
  <c r="X65" i="28"/>
  <c r="AC56" i="28"/>
  <c r="X56" i="28"/>
  <c r="AC48" i="28"/>
  <c r="X48" i="28"/>
  <c r="AC40" i="28"/>
  <c r="X40" i="28"/>
  <c r="AC32" i="28"/>
  <c r="X32" i="28"/>
  <c r="AC24" i="28"/>
  <c r="X24" i="28"/>
  <c r="AC16" i="28"/>
  <c r="X16" i="28"/>
  <c r="AC62" i="28"/>
  <c r="X62" i="28"/>
  <c r="V113" i="28"/>
  <c r="AA113" i="28"/>
  <c r="AA105" i="28"/>
  <c r="V105" i="28"/>
  <c r="AA97" i="28"/>
  <c r="V97" i="28"/>
  <c r="AA89" i="28"/>
  <c r="V89" i="28"/>
  <c r="AA81" i="28"/>
  <c r="V81" i="28"/>
  <c r="AA73" i="28"/>
  <c r="V73" i="28"/>
  <c r="AA65" i="28"/>
  <c r="V65" i="28"/>
  <c r="AA56" i="28"/>
  <c r="V56" i="28"/>
  <c r="AA48" i="28"/>
  <c r="V48" i="28"/>
  <c r="AA40" i="28"/>
  <c r="V40" i="28"/>
  <c r="AA32" i="28"/>
  <c r="V32" i="28"/>
  <c r="V24" i="28"/>
  <c r="AA24" i="28"/>
  <c r="V16" i="28"/>
  <c r="AA16" i="28"/>
  <c r="AA62" i="28"/>
  <c r="V62" i="28"/>
  <c r="Z109" i="28"/>
  <c r="U109" i="28"/>
  <c r="Z101" i="28"/>
  <c r="U101" i="28"/>
  <c r="Z93" i="28"/>
  <c r="U93" i="28"/>
  <c r="Z85" i="28"/>
  <c r="U85" i="28"/>
  <c r="Z77" i="28"/>
  <c r="U77" i="28"/>
  <c r="U69" i="28"/>
  <c r="Z69" i="28"/>
  <c r="Z60" i="28"/>
  <c r="U60" i="28"/>
  <c r="Z52" i="28"/>
  <c r="U52" i="28"/>
  <c r="Z44" i="28"/>
  <c r="U44" i="28"/>
  <c r="Z36" i="28"/>
  <c r="U36" i="28"/>
  <c r="Z28" i="28"/>
  <c r="U28" i="28"/>
  <c r="Z20" i="28"/>
  <c r="U20" i="28"/>
  <c r="Z12" i="28"/>
  <c r="U12" i="28"/>
  <c r="U117" i="28"/>
  <c r="Z117" i="28"/>
  <c r="AB110" i="28"/>
  <c r="W110" i="28"/>
  <c r="AB102" i="28"/>
  <c r="W102" i="28"/>
  <c r="AB94" i="28"/>
  <c r="W94" i="28"/>
  <c r="AB86" i="28"/>
  <c r="W86" i="28"/>
  <c r="AB78" i="28"/>
  <c r="W78" i="28"/>
  <c r="W70" i="28"/>
  <c r="AB70" i="28"/>
  <c r="W61" i="28"/>
  <c r="AB61" i="28"/>
  <c r="W53" i="28"/>
  <c r="AB53" i="28"/>
  <c r="W45" i="28"/>
  <c r="AB45" i="28"/>
  <c r="W37" i="28"/>
  <c r="AB37" i="28"/>
  <c r="W28" i="28"/>
  <c r="AB28" i="28"/>
  <c r="W20" i="28"/>
  <c r="AB20" i="28"/>
  <c r="W12" i="28"/>
  <c r="AB12" i="28"/>
  <c r="AD116" i="28"/>
  <c r="Y116" i="28"/>
  <c r="Y108" i="28"/>
  <c r="AD108" i="28"/>
  <c r="Y100" i="28"/>
  <c r="AD100" i="28"/>
  <c r="Y92" i="28"/>
  <c r="AD92" i="28"/>
  <c r="AD83" i="28"/>
  <c r="Y83" i="28"/>
  <c r="Y75" i="28"/>
  <c r="AD75" i="28"/>
  <c r="Y67" i="28"/>
  <c r="AD67" i="28"/>
  <c r="AD58" i="28"/>
  <c r="Y58" i="28"/>
  <c r="AD50" i="28"/>
  <c r="Y50" i="28"/>
  <c r="AD42" i="28"/>
  <c r="Y42" i="28"/>
  <c r="AD34" i="28"/>
  <c r="Y34" i="28"/>
  <c r="AD26" i="28"/>
  <c r="Y26" i="28"/>
  <c r="AD18" i="28"/>
  <c r="Y18" i="28"/>
  <c r="AD10" i="28"/>
  <c r="Y10" i="28"/>
  <c r="AC80" i="28"/>
  <c r="X80" i="28"/>
  <c r="X23" i="28"/>
  <c r="AC23" i="28"/>
  <c r="AA80" i="28"/>
  <c r="V80" i="28"/>
  <c r="AA15" i="28"/>
  <c r="V15" i="28"/>
  <c r="U59" i="28"/>
  <c r="Z59" i="28"/>
  <c r="W60" i="28"/>
  <c r="AB60" i="28"/>
  <c r="AD99" i="28"/>
  <c r="Y99" i="28"/>
  <c r="Y17" i="28"/>
  <c r="AD17" i="28"/>
  <c r="X111" i="28"/>
  <c r="AC111" i="28"/>
  <c r="X103" i="28"/>
  <c r="AC103" i="28"/>
  <c r="AC95" i="28"/>
  <c r="X95" i="28"/>
  <c r="X87" i="28"/>
  <c r="AC87" i="28"/>
  <c r="X79" i="28"/>
  <c r="AC79" i="28"/>
  <c r="AC71" i="28"/>
  <c r="X71" i="28"/>
  <c r="AC63" i="28"/>
  <c r="X63" i="28"/>
  <c r="AC54" i="28"/>
  <c r="X54" i="28"/>
  <c r="AC46" i="28"/>
  <c r="X46" i="28"/>
  <c r="AC38" i="28"/>
  <c r="X38" i="28"/>
  <c r="AC30" i="28"/>
  <c r="X30" i="28"/>
  <c r="AC22" i="28"/>
  <c r="X22" i="28"/>
  <c r="AC14" i="28"/>
  <c r="X14" i="28"/>
  <c r="AA111" i="28"/>
  <c r="V111" i="28"/>
  <c r="AA103" i="28"/>
  <c r="V103" i="28"/>
  <c r="AA95" i="28"/>
  <c r="V95" i="28"/>
  <c r="AA87" i="28"/>
  <c r="V87" i="28"/>
  <c r="AA79" i="28"/>
  <c r="V79" i="28"/>
  <c r="AA71" i="28"/>
  <c r="V71" i="28"/>
  <c r="AA63" i="28"/>
  <c r="V63" i="28"/>
  <c r="AA54" i="28"/>
  <c r="V54" i="28"/>
  <c r="AA46" i="28"/>
  <c r="V46" i="28"/>
  <c r="AA38" i="28"/>
  <c r="V38" i="28"/>
  <c r="AA30" i="28"/>
  <c r="V30" i="28"/>
  <c r="AA22" i="28"/>
  <c r="V22" i="28"/>
  <c r="AA14" i="28"/>
  <c r="V14" i="28"/>
  <c r="Z115" i="28"/>
  <c r="U115" i="28"/>
  <c r="Z107" i="28"/>
  <c r="U107" i="28"/>
  <c r="Z99" i="28"/>
  <c r="U99" i="28"/>
  <c r="Z91" i="28"/>
  <c r="U91" i="28"/>
  <c r="Z83" i="28"/>
  <c r="U83" i="28"/>
  <c r="U75" i="28"/>
  <c r="Z75" i="28"/>
  <c r="U67" i="28"/>
  <c r="Z67" i="28"/>
  <c r="U58" i="28"/>
  <c r="Z58" i="28"/>
  <c r="U50" i="28"/>
  <c r="Z50" i="28"/>
  <c r="U42" i="28"/>
  <c r="Z42" i="28"/>
  <c r="U34" i="28"/>
  <c r="Z34" i="28"/>
  <c r="Z26" i="28"/>
  <c r="U26" i="28"/>
  <c r="Z18" i="28"/>
  <c r="U18" i="28"/>
  <c r="Z10" i="28"/>
  <c r="U10" i="28"/>
  <c r="W116" i="28"/>
  <c r="AB116" i="28"/>
  <c r="AB108" i="28"/>
  <c r="W108" i="28"/>
  <c r="AB100" i="28"/>
  <c r="W100" i="28"/>
  <c r="AB92" i="28"/>
  <c r="W92" i="28"/>
  <c r="AB84" i="28"/>
  <c r="W84" i="28"/>
  <c r="W76" i="28"/>
  <c r="AB76" i="28"/>
  <c r="W68" i="28"/>
  <c r="AB68" i="28"/>
  <c r="AB59" i="28"/>
  <c r="W59" i="28"/>
  <c r="AB51" i="28"/>
  <c r="W51" i="28"/>
  <c r="AB43" i="28"/>
  <c r="W43" i="28"/>
  <c r="AB35" i="28"/>
  <c r="W35" i="28"/>
  <c r="W26" i="28"/>
  <c r="AB26" i="28"/>
  <c r="AB18" i="28"/>
  <c r="W18" i="28"/>
  <c r="W10" i="28"/>
  <c r="AB10" i="28"/>
  <c r="AD114" i="28"/>
  <c r="Y114" i="28"/>
  <c r="Y106" i="28"/>
  <c r="AD106" i="28"/>
  <c r="Y98" i="28"/>
  <c r="AD98" i="28"/>
  <c r="AD89" i="28"/>
  <c r="Y89" i="28"/>
  <c r="AD81" i="28"/>
  <c r="Y81" i="28"/>
  <c r="Y73" i="28"/>
  <c r="AD73" i="28"/>
  <c r="Y65" i="28"/>
  <c r="AD65" i="28"/>
  <c r="Y56" i="28"/>
  <c r="AD56" i="28"/>
  <c r="Y48" i="28"/>
  <c r="AD48" i="28"/>
  <c r="Y40" i="28"/>
  <c r="AD40" i="28"/>
  <c r="Y32" i="28"/>
  <c r="AD32" i="28"/>
  <c r="AD24" i="28"/>
  <c r="Y24" i="28"/>
  <c r="AD16" i="28"/>
  <c r="Y16" i="28"/>
  <c r="Y90" i="28"/>
  <c r="AD90" i="28"/>
  <c r="AC55" i="28"/>
  <c r="X55" i="28"/>
  <c r="AA112" i="28"/>
  <c r="V112" i="28"/>
  <c r="AA47" i="28"/>
  <c r="V47" i="28"/>
  <c r="U116" i="28"/>
  <c r="Z116" i="28"/>
  <c r="Z68" i="28"/>
  <c r="U68" i="28"/>
  <c r="U11" i="28"/>
  <c r="Z11" i="28"/>
  <c r="W109" i="28"/>
  <c r="AB109" i="28"/>
  <c r="W52" i="28"/>
  <c r="AB52" i="28"/>
  <c r="AD107" i="28"/>
  <c r="Y107" i="28"/>
  <c r="Y49" i="28"/>
  <c r="AD49" i="28"/>
  <c r="AC110" i="28"/>
  <c r="X110" i="28"/>
  <c r="AC102" i="28"/>
  <c r="X102" i="28"/>
  <c r="AC94" i="28"/>
  <c r="X94" i="28"/>
  <c r="AC86" i="28"/>
  <c r="X86" i="28"/>
  <c r="AC78" i="28"/>
  <c r="X78" i="28"/>
  <c r="AC70" i="28"/>
  <c r="X70" i="28"/>
  <c r="AC61" i="28"/>
  <c r="X61" i="28"/>
  <c r="AC53" i="28"/>
  <c r="X53" i="28"/>
  <c r="AC45" i="28"/>
  <c r="X45" i="28"/>
  <c r="AC37" i="28"/>
  <c r="X37" i="28"/>
  <c r="AC29" i="28"/>
  <c r="X29" i="28"/>
  <c r="AC21" i="28"/>
  <c r="X21" i="28"/>
  <c r="AC13" i="28"/>
  <c r="X13" i="28"/>
  <c r="X8" i="28"/>
  <c r="AC8" i="28"/>
  <c r="V110" i="28"/>
  <c r="AA110" i="28"/>
  <c r="V102" i="28"/>
  <c r="AA102" i="28"/>
  <c r="V94" i="28"/>
  <c r="AA94" i="28"/>
  <c r="V86" i="28"/>
  <c r="AA86" i="28"/>
  <c r="V78" i="28"/>
  <c r="AA78" i="28"/>
  <c r="AA70" i="28"/>
  <c r="V70" i="28"/>
  <c r="AA61" i="28"/>
  <c r="V61" i="28"/>
  <c r="AA53" i="28"/>
  <c r="V53" i="28"/>
  <c r="AA45" i="28"/>
  <c r="V45" i="28"/>
  <c r="AA37" i="28"/>
  <c r="V37" i="28"/>
  <c r="AA29" i="28"/>
  <c r="V29" i="28"/>
  <c r="AA21" i="28"/>
  <c r="V21" i="28"/>
  <c r="AA13" i="28"/>
  <c r="V13" i="28"/>
  <c r="AA8" i="28"/>
  <c r="V8" i="28"/>
  <c r="Z114" i="28"/>
  <c r="U114" i="28"/>
  <c r="U106" i="28"/>
  <c r="Z106" i="28"/>
  <c r="U98" i="28"/>
  <c r="Z98" i="28"/>
  <c r="U90" i="28"/>
  <c r="Z90" i="28"/>
  <c r="U82" i="28"/>
  <c r="Z82" i="28"/>
  <c r="U74" i="28"/>
  <c r="Z74" i="28"/>
  <c r="U66" i="28"/>
  <c r="Z66" i="28"/>
  <c r="U57" i="28"/>
  <c r="Z57" i="28"/>
  <c r="U49" i="28"/>
  <c r="Z49" i="28"/>
  <c r="U41" i="28"/>
  <c r="Z41" i="28"/>
  <c r="U33" i="28"/>
  <c r="Z33" i="28"/>
  <c r="U25" i="28"/>
  <c r="Z25" i="28"/>
  <c r="U17" i="28"/>
  <c r="Z17" i="28"/>
  <c r="U9" i="28"/>
  <c r="Z9" i="28"/>
  <c r="W115" i="28"/>
  <c r="AB115" i="28"/>
  <c r="W107" i="28"/>
  <c r="AB107" i="28"/>
  <c r="W99" i="28"/>
  <c r="AB99" i="28"/>
  <c r="W91" i="28"/>
  <c r="AB91" i="28"/>
  <c r="W83" i="28"/>
  <c r="AB83" i="28"/>
  <c r="AB75" i="28"/>
  <c r="W75" i="28"/>
  <c r="AB67" i="28"/>
  <c r="W67" i="28"/>
  <c r="W58" i="28"/>
  <c r="AB58" i="28"/>
  <c r="W50" i="28"/>
  <c r="AB50" i="28"/>
  <c r="W42" i="28"/>
  <c r="AB42" i="28"/>
  <c r="W33" i="28"/>
  <c r="AB33" i="28"/>
  <c r="AB25" i="28"/>
  <c r="W25" i="28"/>
  <c r="AB17" i="28"/>
  <c r="W17" i="28"/>
  <c r="AB9" i="28"/>
  <c r="W9" i="28"/>
  <c r="AD113" i="28"/>
  <c r="Y113" i="28"/>
  <c r="AD105" i="28"/>
  <c r="Y105" i="28"/>
  <c r="AD97" i="28"/>
  <c r="Y97" i="28"/>
  <c r="Y88" i="28"/>
  <c r="AD88" i="28"/>
  <c r="Y80" i="28"/>
  <c r="AD80" i="28"/>
  <c r="Y72" i="28"/>
  <c r="AD72" i="28"/>
  <c r="Y64" i="28"/>
  <c r="AD64" i="28"/>
  <c r="Y55" i="28"/>
  <c r="AD55" i="28"/>
  <c r="Y47" i="28"/>
  <c r="AD47" i="28"/>
  <c r="Y39" i="28"/>
  <c r="AD39" i="28"/>
  <c r="Y31" i="28"/>
  <c r="AD31" i="28"/>
  <c r="Y23" i="28"/>
  <c r="AD23" i="28"/>
  <c r="Y15" i="28"/>
  <c r="AD15" i="28"/>
  <c r="AD62" i="28"/>
  <c r="Y62" i="28"/>
  <c r="AC64" i="28"/>
  <c r="X64" i="28"/>
  <c r="AA64" i="28"/>
  <c r="V64" i="28"/>
  <c r="U84" i="28"/>
  <c r="Z84" i="28"/>
  <c r="U27" i="28"/>
  <c r="Z27" i="28"/>
  <c r="W69" i="28"/>
  <c r="AB69" i="28"/>
  <c r="AB11" i="28"/>
  <c r="W11" i="28"/>
  <c r="AD66" i="28"/>
  <c r="Y66" i="28"/>
  <c r="AD25" i="28"/>
  <c r="Y25" i="28"/>
  <c r="X109" i="28"/>
  <c r="AC109" i="28"/>
  <c r="X101" i="28"/>
  <c r="AC101" i="28"/>
  <c r="X93" i="28"/>
  <c r="AC93" i="28"/>
  <c r="X85" i="28"/>
  <c r="AC85" i="28"/>
  <c r="X77" i="28"/>
  <c r="AC77" i="28"/>
  <c r="AC69" i="28"/>
  <c r="X69" i="28"/>
  <c r="AC60" i="28"/>
  <c r="X60" i="28"/>
  <c r="AC52" i="28"/>
  <c r="X52" i="28"/>
  <c r="AC44" i="28"/>
  <c r="X44" i="28"/>
  <c r="AC36" i="28"/>
  <c r="X36" i="28"/>
  <c r="AC28" i="28"/>
  <c r="X28" i="28"/>
  <c r="AC20" i="28"/>
  <c r="X20" i="28"/>
  <c r="AC12" i="28"/>
  <c r="X12" i="28"/>
  <c r="AC117" i="28"/>
  <c r="X117" i="28"/>
  <c r="AA109" i="28"/>
  <c r="V109" i="28"/>
  <c r="AA101" i="28"/>
  <c r="V101" i="28"/>
  <c r="AA93" i="28"/>
  <c r="V93" i="28"/>
  <c r="AA85" i="28"/>
  <c r="V85" i="28"/>
  <c r="AA77" i="28"/>
  <c r="V77" i="28"/>
  <c r="AA69" i="28"/>
  <c r="V69" i="28"/>
  <c r="AA60" i="28"/>
  <c r="V60" i="28"/>
  <c r="AA52" i="28"/>
  <c r="V52" i="28"/>
  <c r="AA44" i="28"/>
  <c r="V44" i="28"/>
  <c r="AA36" i="28"/>
  <c r="V36" i="28"/>
  <c r="AA28" i="28"/>
  <c r="V28" i="28"/>
  <c r="V20" i="28"/>
  <c r="AA20" i="28"/>
  <c r="V12" i="28"/>
  <c r="AA12" i="28"/>
  <c r="V117" i="28"/>
  <c r="AA117" i="28"/>
  <c r="U113" i="28"/>
  <c r="Z113" i="28"/>
  <c r="Z105" i="28"/>
  <c r="U105" i="28"/>
  <c r="Z97" i="28"/>
  <c r="U97" i="28"/>
  <c r="Z89" i="28"/>
  <c r="U89" i="28"/>
  <c r="Z81" i="28"/>
  <c r="U81" i="28"/>
  <c r="U73" i="28"/>
  <c r="Z73" i="28"/>
  <c r="U65" i="28"/>
  <c r="Z65" i="28"/>
  <c r="Z56" i="28"/>
  <c r="U56" i="28"/>
  <c r="Z48" i="28"/>
  <c r="U48" i="28"/>
  <c r="Z40" i="28"/>
  <c r="U40" i="28"/>
  <c r="Z32" i="28"/>
  <c r="U32" i="28"/>
  <c r="Z24" i="28"/>
  <c r="U24" i="28"/>
  <c r="Z16" i="28"/>
  <c r="U16" i="28"/>
  <c r="U62" i="28"/>
  <c r="Z62" i="28"/>
  <c r="AB114" i="28"/>
  <c r="W114" i="28"/>
  <c r="AB106" i="28"/>
  <c r="W106" i="28"/>
  <c r="AB98" i="28"/>
  <c r="W98" i="28"/>
  <c r="AB90" i="28"/>
  <c r="W90" i="28"/>
  <c r="AB82" i="28"/>
  <c r="W82" i="28"/>
  <c r="W74" i="28"/>
  <c r="AB74" i="28"/>
  <c r="W66" i="28"/>
  <c r="AB66" i="28"/>
  <c r="W57" i="28"/>
  <c r="AB57" i="28"/>
  <c r="W49" i="28"/>
  <c r="AB49" i="28"/>
  <c r="W41" i="28"/>
  <c r="AB41" i="28"/>
  <c r="W32" i="28"/>
  <c r="AB32" i="28"/>
  <c r="W24" i="28"/>
  <c r="AB24" i="28"/>
  <c r="W16" i="28"/>
  <c r="AB16" i="28"/>
  <c r="W34" i="28"/>
  <c r="AB34" i="28"/>
  <c r="Y112" i="28"/>
  <c r="AD112" i="28"/>
  <c r="Y104" i="28"/>
  <c r="AD104" i="28"/>
  <c r="Y96" i="28"/>
  <c r="AD96" i="28"/>
  <c r="AD87" i="28"/>
  <c r="Y87" i="28"/>
  <c r="AD79" i="28"/>
  <c r="Y79" i="28"/>
  <c r="Y71" i="28"/>
  <c r="AD71" i="28"/>
  <c r="Y63" i="28"/>
  <c r="AD63" i="28"/>
  <c r="AD54" i="28"/>
  <c r="Y54" i="28"/>
  <c r="AD46" i="28"/>
  <c r="Y46" i="28"/>
  <c r="AD38" i="28"/>
  <c r="Y38" i="28"/>
  <c r="AD30" i="28"/>
  <c r="Y30" i="28"/>
  <c r="AD22" i="28"/>
  <c r="Y22" i="28"/>
  <c r="AD14" i="28"/>
  <c r="Y14" i="28"/>
  <c r="Y8" i="28"/>
  <c r="AD8" i="28"/>
  <c r="AC88" i="28"/>
  <c r="X88" i="28"/>
  <c r="AC39" i="28"/>
  <c r="X39" i="28"/>
  <c r="AA96" i="28"/>
  <c r="V96" i="28"/>
  <c r="AA23" i="28"/>
  <c r="V23" i="28"/>
  <c r="Z76" i="28"/>
  <c r="U76" i="28"/>
  <c r="Z19" i="28"/>
  <c r="U19" i="28"/>
  <c r="W101" i="28"/>
  <c r="AB101" i="28"/>
  <c r="AB27" i="28"/>
  <c r="W27" i="28"/>
  <c r="Y57" i="28"/>
  <c r="AD57" i="28"/>
  <c r="AC116" i="28"/>
  <c r="X116" i="28"/>
  <c r="AC108" i="28"/>
  <c r="X108" i="28"/>
  <c r="AC100" i="28"/>
  <c r="X100" i="28"/>
  <c r="AC92" i="28"/>
  <c r="X92" i="28"/>
  <c r="AC84" i="28"/>
  <c r="X84" i="28"/>
  <c r="AC76" i="28"/>
  <c r="X76" i="28"/>
  <c r="AC68" i="28"/>
  <c r="X68" i="28"/>
  <c r="AC59" i="28"/>
  <c r="X59" i="28"/>
  <c r="AC51" i="28"/>
  <c r="X51" i="28"/>
  <c r="AC43" i="28"/>
  <c r="X43" i="28"/>
  <c r="AC35" i="28"/>
  <c r="X35" i="28"/>
  <c r="AC27" i="28"/>
  <c r="X27" i="28"/>
  <c r="X19" i="28"/>
  <c r="AC19" i="28"/>
  <c r="X11" i="28"/>
  <c r="AC11" i="28"/>
  <c r="V116" i="28"/>
  <c r="AA116" i="28"/>
  <c r="V108" i="28"/>
  <c r="AA108" i="28"/>
  <c r="V100" i="28"/>
  <c r="AA100" i="28"/>
  <c r="V92" i="28"/>
  <c r="AA92" i="28"/>
  <c r="V84" i="28"/>
  <c r="AA84" i="28"/>
  <c r="AA76" i="28"/>
  <c r="V76" i="28"/>
  <c r="AA68" i="28"/>
  <c r="V68" i="28"/>
  <c r="AA59" i="28"/>
  <c r="V59" i="28"/>
  <c r="AA51" i="28"/>
  <c r="V51" i="28"/>
  <c r="AA43" i="28"/>
  <c r="V43" i="28"/>
  <c r="AA35" i="28"/>
  <c r="V35" i="28"/>
  <c r="AA27" i="28"/>
  <c r="V27" i="28"/>
  <c r="AA19" i="28"/>
  <c r="V19" i="28"/>
  <c r="AA11" i="28"/>
  <c r="V11" i="28"/>
  <c r="U112" i="28"/>
  <c r="Z112" i="28"/>
  <c r="U104" i="28"/>
  <c r="Z104" i="28"/>
  <c r="U96" i="28"/>
  <c r="Z96" i="28"/>
  <c r="U88" i="28"/>
  <c r="Z88" i="28"/>
  <c r="U80" i="28"/>
  <c r="Z80" i="28"/>
  <c r="Z72" i="28"/>
  <c r="U72" i="28"/>
  <c r="Z64" i="28"/>
  <c r="U64" i="28"/>
  <c r="U55" i="28"/>
  <c r="Z55" i="28"/>
  <c r="U47" i="28"/>
  <c r="Z47" i="28"/>
  <c r="U39" i="28"/>
  <c r="Z39" i="28"/>
  <c r="U31" i="28"/>
  <c r="Z31" i="28"/>
  <c r="U23" i="28"/>
  <c r="Z23" i="28"/>
  <c r="Z15" i="28"/>
  <c r="U15" i="28"/>
  <c r="AB113" i="28"/>
  <c r="W113" i="28"/>
  <c r="W105" i="28"/>
  <c r="AB105" i="28"/>
  <c r="W97" i="28"/>
  <c r="AB97" i="28"/>
  <c r="W89" i="28"/>
  <c r="AB89" i="28"/>
  <c r="W81" i="28"/>
  <c r="AB81" i="28"/>
  <c r="W73" i="28"/>
  <c r="AB73" i="28"/>
  <c r="W65" i="28"/>
  <c r="AB65" i="28"/>
  <c r="W56" i="28"/>
  <c r="AB56" i="28"/>
  <c r="W48" i="28"/>
  <c r="AB48" i="28"/>
  <c r="W40" i="28"/>
  <c r="AB40" i="28"/>
  <c r="AB31" i="28"/>
  <c r="W31" i="28"/>
  <c r="AB23" i="28"/>
  <c r="W23" i="28"/>
  <c r="AB15" i="28"/>
  <c r="W15" i="28"/>
  <c r="W62" i="28"/>
  <c r="AB62" i="28"/>
  <c r="AD111" i="28"/>
  <c r="Y111" i="28"/>
  <c r="AD103" i="28"/>
  <c r="Y103" i="28"/>
  <c r="AD95" i="28"/>
  <c r="Y95" i="28"/>
  <c r="Y86" i="28"/>
  <c r="AD86" i="28"/>
  <c r="Y78" i="28"/>
  <c r="AD78" i="28"/>
  <c r="AD70" i="28"/>
  <c r="Y70" i="28"/>
  <c r="Y61" i="28"/>
  <c r="AD61" i="28"/>
  <c r="Y53" i="28"/>
  <c r="AD53" i="28"/>
  <c r="Y45" i="28"/>
  <c r="AD45" i="28"/>
  <c r="Y37" i="28"/>
  <c r="AD37" i="28"/>
  <c r="Y29" i="28"/>
  <c r="AD29" i="28"/>
  <c r="AD21" i="28"/>
  <c r="Y21" i="28"/>
  <c r="Y13" i="28"/>
  <c r="AD13" i="28"/>
  <c r="AD117" i="28"/>
  <c r="Y117" i="28"/>
  <c r="AC96" i="28"/>
  <c r="X96" i="28"/>
  <c r="AC31" i="28"/>
  <c r="X31" i="28"/>
  <c r="AA88" i="28"/>
  <c r="V88" i="28"/>
  <c r="AA31" i="28"/>
  <c r="V31" i="28"/>
  <c r="U100" i="28"/>
  <c r="Z100" i="28"/>
  <c r="U43" i="28"/>
  <c r="Z43" i="28"/>
  <c r="W77" i="28"/>
  <c r="AB77" i="28"/>
  <c r="AB19" i="28"/>
  <c r="W19" i="28"/>
  <c r="AD91" i="28"/>
  <c r="Y91" i="28"/>
  <c r="Y41" i="28"/>
  <c r="AD41" i="28"/>
  <c r="X115" i="28"/>
  <c r="AC115" i="28"/>
  <c r="AC107" i="28"/>
  <c r="X107" i="28"/>
  <c r="AC99" i="28"/>
  <c r="X99" i="28"/>
  <c r="AC91" i="28"/>
  <c r="X91" i="28"/>
  <c r="AC83" i="28"/>
  <c r="X83" i="28"/>
  <c r="AC75" i="28"/>
  <c r="X75" i="28"/>
  <c r="AC67" i="28"/>
  <c r="X67" i="28"/>
  <c r="AC58" i="28"/>
  <c r="X58" i="28"/>
  <c r="AC50" i="28"/>
  <c r="X50" i="28"/>
  <c r="AC42" i="28"/>
  <c r="X42" i="28"/>
  <c r="AC34" i="28"/>
  <c r="X34" i="28"/>
  <c r="AC26" i="28"/>
  <c r="X26" i="28"/>
  <c r="AC18" i="28"/>
  <c r="X18" i="28"/>
  <c r="AC10" i="28"/>
  <c r="X10" i="28"/>
  <c r="AA115" i="28"/>
  <c r="V115" i="28"/>
  <c r="AA107" i="28"/>
  <c r="V107" i="28"/>
  <c r="AA99" i="28"/>
  <c r="V99" i="28"/>
  <c r="AA91" i="28"/>
  <c r="V91" i="28"/>
  <c r="AA83" i="28"/>
  <c r="V83" i="28"/>
  <c r="AA75" i="28"/>
  <c r="V75" i="28"/>
  <c r="AA67" i="28"/>
  <c r="V67" i="28"/>
  <c r="AA58" i="28"/>
  <c r="V58" i="28"/>
  <c r="AA50" i="28"/>
  <c r="V50" i="28"/>
  <c r="AA42" i="28"/>
  <c r="V42" i="28"/>
  <c r="AA34" i="28"/>
  <c r="V34" i="28"/>
  <c r="AA26" i="28"/>
  <c r="V26" i="28"/>
  <c r="AA18" i="28"/>
  <c r="V18" i="28"/>
  <c r="AA10" i="28"/>
  <c r="V10" i="28"/>
  <c r="Z111" i="28"/>
  <c r="U111" i="28"/>
  <c r="Z103" i="28"/>
  <c r="U103" i="28"/>
  <c r="Z95" i="28"/>
  <c r="U95" i="28"/>
  <c r="Z87" i="28"/>
  <c r="U87" i="28"/>
  <c r="Z79" i="28"/>
  <c r="U79" i="28"/>
  <c r="U71" i="28"/>
  <c r="Z71" i="28"/>
  <c r="U63" i="28"/>
  <c r="Z63" i="28"/>
  <c r="U54" i="28"/>
  <c r="Z54" i="28"/>
  <c r="U46" i="28"/>
  <c r="Z46" i="28"/>
  <c r="U38" i="28"/>
  <c r="Z38" i="28"/>
  <c r="U30" i="28"/>
  <c r="Z30" i="28"/>
  <c r="Z22" i="28"/>
  <c r="U22" i="28"/>
  <c r="Z14" i="28"/>
  <c r="U14" i="28"/>
  <c r="AB112" i="28"/>
  <c r="W112" i="28"/>
  <c r="AB104" i="28"/>
  <c r="W104" i="28"/>
  <c r="AB96" i="28"/>
  <c r="W96" i="28"/>
  <c r="AB88" i="28"/>
  <c r="W88" i="28"/>
  <c r="AB80" i="28"/>
  <c r="W80" i="28"/>
  <c r="W72" i="28"/>
  <c r="AB72" i="28"/>
  <c r="W64" i="28"/>
  <c r="AB64" i="28"/>
  <c r="AB55" i="28"/>
  <c r="W55" i="28"/>
  <c r="AB47" i="28"/>
  <c r="W47" i="28"/>
  <c r="AB39" i="28"/>
  <c r="W39" i="28"/>
  <c r="W30" i="28"/>
  <c r="AB30" i="28"/>
  <c r="AB22" i="28"/>
  <c r="W22" i="28"/>
  <c r="W14" i="28"/>
  <c r="AB14" i="28"/>
  <c r="AB8" i="28"/>
  <c r="W8" i="28"/>
  <c r="Y110" i="28"/>
  <c r="AD110" i="28"/>
  <c r="Y102" i="28"/>
  <c r="AD102" i="28"/>
  <c r="Y94" i="28"/>
  <c r="AD94" i="28"/>
  <c r="AD85" i="28"/>
  <c r="Y85" i="28"/>
  <c r="AD77" i="28"/>
  <c r="Y77" i="28"/>
  <c r="Y69" i="28"/>
  <c r="AD69" i="28"/>
  <c r="Y60" i="28"/>
  <c r="AD60" i="28"/>
  <c r="Y52" i="28"/>
  <c r="AD52" i="28"/>
  <c r="Y44" i="28"/>
  <c r="AD44" i="28"/>
  <c r="Y36" i="28"/>
  <c r="AD36" i="28"/>
  <c r="Y28" i="28"/>
  <c r="AD28" i="28"/>
  <c r="AD20" i="28"/>
  <c r="Y20" i="28"/>
  <c r="AD12" i="28"/>
  <c r="Y12" i="28"/>
  <c r="AC112" i="28"/>
  <c r="X112" i="28"/>
  <c r="AC72" i="28"/>
  <c r="X72" i="28"/>
  <c r="X15" i="28"/>
  <c r="AC15" i="28"/>
  <c r="AA72" i="28"/>
  <c r="V72" i="28"/>
  <c r="AA55" i="28"/>
  <c r="V55" i="28"/>
  <c r="U108" i="28"/>
  <c r="Z108" i="28"/>
  <c r="U51" i="28"/>
  <c r="Z51" i="28"/>
  <c r="W85" i="28"/>
  <c r="AB85" i="28"/>
  <c r="W36" i="28"/>
  <c r="AB36" i="28"/>
  <c r="Y82" i="28"/>
  <c r="AD82" i="28"/>
  <c r="AD9" i="28"/>
  <c r="Y9" i="28"/>
  <c r="AC114" i="28"/>
  <c r="X114" i="28"/>
  <c r="AC106" i="28"/>
  <c r="X106" i="28"/>
  <c r="AC98" i="28"/>
  <c r="X98" i="28"/>
  <c r="AC90" i="28"/>
  <c r="X90" i="28"/>
  <c r="AC82" i="28"/>
  <c r="X82" i="28"/>
  <c r="AC74" i="28"/>
  <c r="X74" i="28"/>
  <c r="AC66" i="28"/>
  <c r="X66" i="28"/>
  <c r="AC57" i="28"/>
  <c r="X57" i="28"/>
  <c r="AC49" i="28"/>
  <c r="X49" i="28"/>
  <c r="AC41" i="28"/>
  <c r="X41" i="28"/>
  <c r="AC33" i="28"/>
  <c r="X33" i="28"/>
  <c r="AC25" i="28"/>
  <c r="X25" i="28"/>
  <c r="AC17" i="28"/>
  <c r="X17" i="28"/>
  <c r="AC9" i="28"/>
  <c r="X9" i="28"/>
  <c r="AA114" i="28"/>
  <c r="V114" i="28"/>
  <c r="V106" i="28"/>
  <c r="AA106" i="28"/>
  <c r="V98" i="28"/>
  <c r="AA98" i="28"/>
  <c r="V90" i="28"/>
  <c r="AA90" i="28"/>
  <c r="V82" i="28"/>
  <c r="AA82" i="28"/>
  <c r="AA74" i="28"/>
  <c r="V74" i="28"/>
  <c r="AA66" i="28"/>
  <c r="V66" i="28"/>
  <c r="AA57" i="28"/>
  <c r="V57" i="28"/>
  <c r="AA49" i="28"/>
  <c r="V49" i="28"/>
  <c r="AA41" i="28"/>
  <c r="V41" i="28"/>
  <c r="AA33" i="28"/>
  <c r="V33" i="28"/>
  <c r="AA25" i="28"/>
  <c r="V25" i="28"/>
  <c r="AA17" i="28"/>
  <c r="V17" i="28"/>
  <c r="AA9" i="28"/>
  <c r="V9" i="28"/>
  <c r="U110" i="28"/>
  <c r="Z110" i="28"/>
  <c r="U102" i="28"/>
  <c r="Z102" i="28"/>
  <c r="U94" i="28"/>
  <c r="Z94" i="28"/>
  <c r="U86" i="28"/>
  <c r="Z86" i="28"/>
  <c r="U78" i="28"/>
  <c r="Z78" i="28"/>
  <c r="U70" i="28"/>
  <c r="Z70" i="28"/>
  <c r="U61" i="28"/>
  <c r="Z61" i="28"/>
  <c r="U53" i="28"/>
  <c r="Z53" i="28"/>
  <c r="U45" i="28"/>
  <c r="Z45" i="28"/>
  <c r="U37" i="28"/>
  <c r="Z37" i="28"/>
  <c r="U29" i="28"/>
  <c r="Z29" i="28"/>
  <c r="U21" i="28"/>
  <c r="Z21" i="28"/>
  <c r="U13" i="28"/>
  <c r="Z13" i="28"/>
  <c r="AW6" i="29"/>
  <c r="U8" i="28"/>
  <c r="Z8" i="28"/>
  <c r="W111" i="28"/>
  <c r="AB111" i="28"/>
  <c r="W103" i="28"/>
  <c r="AB103" i="28"/>
  <c r="W95" i="28"/>
  <c r="AB95" i="28"/>
  <c r="W87" i="28"/>
  <c r="AB87" i="28"/>
  <c r="W79" i="28"/>
  <c r="AB79" i="28"/>
  <c r="AB71" i="28"/>
  <c r="W71" i="28"/>
  <c r="AB63" i="28"/>
  <c r="W63" i="28"/>
  <c r="W54" i="28"/>
  <c r="AB54" i="28"/>
  <c r="W46" i="28"/>
  <c r="AB46" i="28"/>
  <c r="W38" i="28"/>
  <c r="AB38" i="28"/>
  <c r="W29" i="28"/>
  <c r="AB29" i="28"/>
  <c r="AB21" i="28"/>
  <c r="W21" i="28"/>
  <c r="AB13" i="28"/>
  <c r="W13" i="28"/>
  <c r="AB117" i="28"/>
  <c r="W117" i="28"/>
  <c r="AD109" i="28"/>
  <c r="Y109" i="28"/>
  <c r="AD101" i="28"/>
  <c r="Y101" i="28"/>
  <c r="AD93" i="28"/>
  <c r="Y93" i="28"/>
  <c r="Y84" i="28"/>
  <c r="AD84" i="28"/>
  <c r="Y76" i="28"/>
  <c r="AD76" i="28"/>
  <c r="Y68" i="28"/>
  <c r="AD68" i="28"/>
  <c r="Y59" i="28"/>
  <c r="AD59" i="28"/>
  <c r="Y51" i="28"/>
  <c r="AD51" i="28"/>
  <c r="Y43" i="28"/>
  <c r="AD43" i="28"/>
  <c r="Y35" i="28"/>
  <c r="AD35" i="28"/>
  <c r="Y27" i="28"/>
  <c r="AD27" i="28"/>
  <c r="Y19" i="28"/>
  <c r="AD19" i="28"/>
  <c r="Y11" i="28"/>
  <c r="AD11" i="28"/>
  <c r="Z101" i="29"/>
  <c r="U101" i="29"/>
  <c r="AZ101" i="29"/>
  <c r="Z61" i="29"/>
  <c r="U61" i="29"/>
  <c r="AZ61" i="29"/>
  <c r="Z36" i="29"/>
  <c r="U36" i="29"/>
  <c r="AZ36" i="29"/>
  <c r="X77" i="29"/>
  <c r="S77" i="29"/>
  <c r="AX77" i="29"/>
  <c r="X44" i="29"/>
  <c r="S44" i="29"/>
  <c r="AX44" i="29"/>
  <c r="X12" i="29"/>
  <c r="S12" i="29"/>
  <c r="AX12" i="29"/>
  <c r="W113" i="29"/>
  <c r="R113" i="29"/>
  <c r="AW113" i="29"/>
  <c r="W81" i="29"/>
  <c r="R81" i="29"/>
  <c r="AW81" i="29"/>
  <c r="W40" i="29"/>
  <c r="R40" i="29"/>
  <c r="AW40" i="29"/>
  <c r="W8" i="29"/>
  <c r="R8" i="29"/>
  <c r="AW8" i="29"/>
  <c r="Y90" i="29"/>
  <c r="T90" i="29"/>
  <c r="AY90" i="29"/>
  <c r="Y74" i="29"/>
  <c r="T74" i="29"/>
  <c r="AY74" i="29"/>
  <c r="Y49" i="29"/>
  <c r="T49" i="29"/>
  <c r="AY49" i="29"/>
  <c r="Y24" i="29"/>
  <c r="T24" i="29"/>
  <c r="AY24" i="29"/>
  <c r="AA112" i="29"/>
  <c r="V112" i="29"/>
  <c r="BA112" i="29"/>
  <c r="AA87" i="29"/>
  <c r="V87" i="29"/>
  <c r="BA87" i="29"/>
  <c r="AA54" i="29"/>
  <c r="BA54" i="29"/>
  <c r="V54" i="29"/>
  <c r="Z68" i="29"/>
  <c r="U68" i="29"/>
  <c r="AZ68" i="29"/>
  <c r="Z27" i="29"/>
  <c r="U27" i="29"/>
  <c r="AZ27" i="29"/>
  <c r="X84" i="29"/>
  <c r="S84" i="29"/>
  <c r="AX84" i="29"/>
  <c r="X27" i="29"/>
  <c r="S27" i="29"/>
  <c r="AX27" i="29"/>
  <c r="W80" i="29"/>
  <c r="R80" i="29"/>
  <c r="AW80" i="29"/>
  <c r="W31" i="29"/>
  <c r="R31" i="29"/>
  <c r="AW31" i="29"/>
  <c r="Y97" i="29"/>
  <c r="T97" i="29"/>
  <c r="AY97" i="29"/>
  <c r="Y65" i="29"/>
  <c r="T65" i="29"/>
  <c r="AY65" i="29"/>
  <c r="Y31" i="29"/>
  <c r="T31" i="29"/>
  <c r="AY31" i="29"/>
  <c r="AA95" i="29"/>
  <c r="V95" i="29"/>
  <c r="BA95" i="29"/>
  <c r="AA45" i="29"/>
  <c r="V45" i="29"/>
  <c r="BA45" i="29"/>
  <c r="Z111" i="29"/>
  <c r="U111" i="29"/>
  <c r="AZ111" i="29"/>
  <c r="Z103" i="29"/>
  <c r="U103" i="29"/>
  <c r="AZ103" i="29"/>
  <c r="Z95" i="29"/>
  <c r="U95" i="29"/>
  <c r="AZ95" i="29"/>
  <c r="Z87" i="29"/>
  <c r="U87" i="29"/>
  <c r="AZ87" i="29"/>
  <c r="Z79" i="29"/>
  <c r="U79" i="29"/>
  <c r="AZ79" i="29"/>
  <c r="Z71" i="29"/>
  <c r="U71" i="29"/>
  <c r="AZ71" i="29"/>
  <c r="Z63" i="29"/>
  <c r="U63" i="29"/>
  <c r="AZ63" i="29"/>
  <c r="Z54" i="29"/>
  <c r="U54" i="29"/>
  <c r="AZ54" i="29"/>
  <c r="Z46" i="29"/>
  <c r="U46" i="29"/>
  <c r="AZ46" i="29"/>
  <c r="Z38" i="29"/>
  <c r="U38" i="29"/>
  <c r="AZ38" i="29"/>
  <c r="Z30" i="29"/>
  <c r="U30" i="29"/>
  <c r="AZ30" i="29"/>
  <c r="Z22" i="29"/>
  <c r="U22" i="29"/>
  <c r="AZ22" i="29"/>
  <c r="Z14" i="29"/>
  <c r="U14" i="29"/>
  <c r="AZ14" i="29"/>
  <c r="Z60" i="29"/>
  <c r="U60" i="29"/>
  <c r="AZ60" i="29"/>
  <c r="X111" i="29"/>
  <c r="S111" i="29"/>
  <c r="AX111" i="29"/>
  <c r="X103" i="29"/>
  <c r="S103" i="29"/>
  <c r="AX103" i="29"/>
  <c r="X95" i="29"/>
  <c r="S95" i="29"/>
  <c r="AX95" i="29"/>
  <c r="X87" i="29"/>
  <c r="S87" i="29"/>
  <c r="AX87" i="29"/>
  <c r="X79" i="29"/>
  <c r="S79" i="29"/>
  <c r="AX79" i="29"/>
  <c r="X71" i="29"/>
  <c r="S71" i="29"/>
  <c r="AX71" i="29"/>
  <c r="X63" i="29"/>
  <c r="S63" i="29"/>
  <c r="AX63" i="29"/>
  <c r="X54" i="29"/>
  <c r="S54" i="29"/>
  <c r="AX54" i="29"/>
  <c r="X46" i="29"/>
  <c r="S46" i="29"/>
  <c r="AX46" i="29"/>
  <c r="X38" i="29"/>
  <c r="S38" i="29"/>
  <c r="AX38" i="29"/>
  <c r="X30" i="29"/>
  <c r="S30" i="29"/>
  <c r="AX30" i="29"/>
  <c r="X22" i="29"/>
  <c r="S22" i="29"/>
  <c r="AX22" i="29"/>
  <c r="X14" i="29"/>
  <c r="S14" i="29"/>
  <c r="AX14" i="29"/>
  <c r="X60" i="29"/>
  <c r="S60" i="29"/>
  <c r="AX60" i="29"/>
  <c r="W107" i="29"/>
  <c r="R107" i="29"/>
  <c r="AW107" i="29"/>
  <c r="W99" i="29"/>
  <c r="R99" i="29"/>
  <c r="AW99" i="29"/>
  <c r="W91" i="29"/>
  <c r="R91" i="29"/>
  <c r="AW91" i="29"/>
  <c r="W83" i="29"/>
  <c r="R83" i="29"/>
  <c r="AW83" i="29"/>
  <c r="W75" i="29"/>
  <c r="R75" i="29"/>
  <c r="AW75" i="29"/>
  <c r="W67" i="29"/>
  <c r="R67" i="29"/>
  <c r="AW67" i="29"/>
  <c r="AW58" i="29"/>
  <c r="R58" i="29"/>
  <c r="W58" i="29"/>
  <c r="W50" i="29"/>
  <c r="AW50" i="29"/>
  <c r="R50" i="29"/>
  <c r="W42" i="29"/>
  <c r="AW42" i="29"/>
  <c r="R42" i="29"/>
  <c r="W34" i="29"/>
  <c r="AW34" i="29"/>
  <c r="R34" i="29"/>
  <c r="W26" i="29"/>
  <c r="R26" i="29"/>
  <c r="AW26" i="29"/>
  <c r="R18" i="29"/>
  <c r="W18" i="29"/>
  <c r="AW18" i="29"/>
  <c r="W10" i="29"/>
  <c r="R10" i="29"/>
  <c r="AW10" i="29"/>
  <c r="W115" i="29"/>
  <c r="R115" i="29"/>
  <c r="AW115" i="29"/>
  <c r="Y108" i="29"/>
  <c r="T108" i="29"/>
  <c r="AY108" i="29"/>
  <c r="Y100" i="29"/>
  <c r="T100" i="29"/>
  <c r="AY100" i="29"/>
  <c r="Y92" i="29"/>
  <c r="T92" i="29"/>
  <c r="AY92" i="29"/>
  <c r="Y84" i="29"/>
  <c r="T84" i="29"/>
  <c r="AY84" i="29"/>
  <c r="Y76" i="29"/>
  <c r="T76" i="29"/>
  <c r="AY76" i="29"/>
  <c r="Y68" i="29"/>
  <c r="T68" i="29"/>
  <c r="AY68" i="29"/>
  <c r="Y59" i="29"/>
  <c r="T59" i="29"/>
  <c r="AY59" i="29"/>
  <c r="Y51" i="29"/>
  <c r="T51" i="29"/>
  <c r="AY51" i="29"/>
  <c r="Y43" i="29"/>
  <c r="T43" i="29"/>
  <c r="AY43" i="29"/>
  <c r="Y35" i="29"/>
  <c r="T35" i="29"/>
  <c r="AY35" i="29"/>
  <c r="Y26" i="29"/>
  <c r="T26" i="29"/>
  <c r="AY26" i="29"/>
  <c r="Y18" i="29"/>
  <c r="T18" i="29"/>
  <c r="AY18" i="29"/>
  <c r="Y10" i="29"/>
  <c r="AY10" i="29"/>
  <c r="T10" i="29"/>
  <c r="AA114" i="29"/>
  <c r="V114" i="29"/>
  <c r="BA114" i="29"/>
  <c r="AA106" i="29"/>
  <c r="V106" i="29"/>
  <c r="BA106" i="29"/>
  <c r="AA98" i="29"/>
  <c r="V98" i="29"/>
  <c r="BA98" i="29"/>
  <c r="AA90" i="29"/>
  <c r="V90" i="29"/>
  <c r="BA90" i="29"/>
  <c r="AA81" i="29"/>
  <c r="V81" i="29"/>
  <c r="BA81" i="29"/>
  <c r="AA73" i="29"/>
  <c r="V73" i="29"/>
  <c r="BA73" i="29"/>
  <c r="AA65" i="29"/>
  <c r="V65" i="29"/>
  <c r="BA65" i="29"/>
  <c r="AA56" i="29"/>
  <c r="V56" i="29"/>
  <c r="BA56" i="29"/>
  <c r="AA48" i="29"/>
  <c r="V48" i="29"/>
  <c r="BA48" i="29"/>
  <c r="AA40" i="29"/>
  <c r="BA40" i="29"/>
  <c r="V40" i="29"/>
  <c r="AA32" i="29"/>
  <c r="BA32" i="29"/>
  <c r="V32" i="29"/>
  <c r="AA24" i="29"/>
  <c r="V24" i="29"/>
  <c r="BA24" i="29"/>
  <c r="AA16" i="29"/>
  <c r="BA16" i="29"/>
  <c r="V16" i="29"/>
  <c r="AA8" i="29"/>
  <c r="BA8" i="29"/>
  <c r="V8" i="29"/>
  <c r="Z85" i="29"/>
  <c r="U85" i="29"/>
  <c r="AZ85" i="29"/>
  <c r="Z52" i="29"/>
  <c r="U52" i="29"/>
  <c r="AZ52" i="29"/>
  <c r="Z20" i="29"/>
  <c r="U20" i="29"/>
  <c r="AZ20" i="29"/>
  <c r="X93" i="29"/>
  <c r="S93" i="29"/>
  <c r="AX93" i="29"/>
  <c r="X69" i="29"/>
  <c r="S69" i="29"/>
  <c r="AX69" i="29"/>
  <c r="X36" i="29"/>
  <c r="S36" i="29"/>
  <c r="AX36" i="29"/>
  <c r="W89" i="29"/>
  <c r="R89" i="29"/>
  <c r="AW89" i="29"/>
  <c r="W56" i="29"/>
  <c r="R56" i="29"/>
  <c r="AW56" i="29"/>
  <c r="W24" i="29"/>
  <c r="R24" i="29"/>
  <c r="AW24" i="29"/>
  <c r="Y114" i="29"/>
  <c r="T114" i="29"/>
  <c r="AY114" i="29"/>
  <c r="Y82" i="29"/>
  <c r="T82" i="29"/>
  <c r="AY82" i="29"/>
  <c r="Y57" i="29"/>
  <c r="T57" i="29"/>
  <c r="AY57" i="29"/>
  <c r="Y16" i="29"/>
  <c r="T16" i="29"/>
  <c r="AY16" i="29"/>
  <c r="AA96" i="29"/>
  <c r="V96" i="29"/>
  <c r="BA96" i="29"/>
  <c r="AA38" i="29"/>
  <c r="V38" i="29"/>
  <c r="BA38" i="29"/>
  <c r="Z84" i="29"/>
  <c r="U84" i="29"/>
  <c r="AZ84" i="29"/>
  <c r="Z35" i="29"/>
  <c r="U35" i="29"/>
  <c r="AZ35" i="29"/>
  <c r="X92" i="29"/>
  <c r="S92" i="29"/>
  <c r="AX92" i="29"/>
  <c r="X43" i="29"/>
  <c r="S43" i="29"/>
  <c r="AX43" i="29"/>
  <c r="W112" i="29"/>
  <c r="R112" i="29"/>
  <c r="AW112" i="29"/>
  <c r="W64" i="29"/>
  <c r="R64" i="29"/>
  <c r="AW64" i="29"/>
  <c r="W7" i="29"/>
  <c r="R7" i="29"/>
  <c r="AW7" i="29"/>
  <c r="Y73" i="29"/>
  <c r="T73" i="29"/>
  <c r="AY73" i="29"/>
  <c r="Y23" i="29"/>
  <c r="T23" i="29"/>
  <c r="AY23" i="29"/>
  <c r="AA78" i="29"/>
  <c r="V78" i="29"/>
  <c r="BA78" i="29"/>
  <c r="AA37" i="29"/>
  <c r="V37" i="29"/>
  <c r="BA37" i="29"/>
  <c r="Z110" i="29"/>
  <c r="AZ110" i="29"/>
  <c r="U110" i="29"/>
  <c r="Z102" i="29"/>
  <c r="U102" i="29"/>
  <c r="AZ102" i="29"/>
  <c r="Z94" i="29"/>
  <c r="U94" i="29"/>
  <c r="AZ94" i="29"/>
  <c r="Z86" i="29"/>
  <c r="U86" i="29"/>
  <c r="AZ86" i="29"/>
  <c r="Z78" i="29"/>
  <c r="U78" i="29"/>
  <c r="AZ78" i="29"/>
  <c r="Z70" i="29"/>
  <c r="U70" i="29"/>
  <c r="AZ70" i="29"/>
  <c r="Z62" i="29"/>
  <c r="U62" i="29"/>
  <c r="AZ62" i="29"/>
  <c r="Z53" i="29"/>
  <c r="AZ53" i="29"/>
  <c r="U53" i="29"/>
  <c r="Z45" i="29"/>
  <c r="AZ45" i="29"/>
  <c r="U45" i="29"/>
  <c r="Z37" i="29"/>
  <c r="AZ37" i="29"/>
  <c r="U37" i="29"/>
  <c r="Z29" i="29"/>
  <c r="U29" i="29"/>
  <c r="AZ29" i="29"/>
  <c r="Z21" i="29"/>
  <c r="AZ21" i="29"/>
  <c r="U21" i="29"/>
  <c r="Z13" i="29"/>
  <c r="U13" i="29"/>
  <c r="AZ13" i="29"/>
  <c r="X110" i="29"/>
  <c r="S110" i="29"/>
  <c r="AX110" i="29"/>
  <c r="X102" i="29"/>
  <c r="S102" i="29"/>
  <c r="AX102" i="29"/>
  <c r="X94" i="29"/>
  <c r="S94" i="29"/>
  <c r="AX94" i="29"/>
  <c r="X86" i="29"/>
  <c r="S86" i="29"/>
  <c r="AX86" i="29"/>
  <c r="X78" i="29"/>
  <c r="S78" i="29"/>
  <c r="AX78" i="29"/>
  <c r="X70" i="29"/>
  <c r="S70" i="29"/>
  <c r="AX70" i="29"/>
  <c r="X62" i="29"/>
  <c r="S62" i="29"/>
  <c r="AX62" i="29"/>
  <c r="X53" i="29"/>
  <c r="AX53" i="29"/>
  <c r="S53" i="29"/>
  <c r="AX45" i="29"/>
  <c r="S45" i="29"/>
  <c r="X45" i="29"/>
  <c r="X37" i="29"/>
  <c r="AX37" i="29"/>
  <c r="S37" i="29"/>
  <c r="X29" i="29"/>
  <c r="AX29" i="29"/>
  <c r="S29" i="29"/>
  <c r="X21" i="29"/>
  <c r="S21" i="29"/>
  <c r="AX21" i="29"/>
  <c r="X13" i="29"/>
  <c r="S13" i="29"/>
  <c r="AX13" i="29"/>
  <c r="W114" i="29"/>
  <c r="R114" i="29"/>
  <c r="AW114" i="29"/>
  <c r="W106" i="29"/>
  <c r="R106" i="29"/>
  <c r="AW106" i="29"/>
  <c r="W98" i="29"/>
  <c r="R98" i="29"/>
  <c r="AW98" i="29"/>
  <c r="W90" i="29"/>
  <c r="R90" i="29"/>
  <c r="AW90" i="29"/>
  <c r="R82" i="29"/>
  <c r="W82" i="29"/>
  <c r="AW82" i="29"/>
  <c r="W74" i="29"/>
  <c r="R74" i="29"/>
  <c r="AW74" i="29"/>
  <c r="W66" i="29"/>
  <c r="R66" i="29"/>
  <c r="AW66" i="29"/>
  <c r="W57" i="29"/>
  <c r="R57" i="29"/>
  <c r="AW57" i="29"/>
  <c r="W49" i="29"/>
  <c r="R49" i="29"/>
  <c r="AW49" i="29"/>
  <c r="W41" i="29"/>
  <c r="R41" i="29"/>
  <c r="AW41" i="29"/>
  <c r="W33" i="29"/>
  <c r="R33" i="29"/>
  <c r="AW33" i="29"/>
  <c r="W25" i="29"/>
  <c r="R25" i="29"/>
  <c r="AW25" i="29"/>
  <c r="W17" i="29"/>
  <c r="R17" i="29"/>
  <c r="AW17" i="29"/>
  <c r="W9" i="29"/>
  <c r="R9" i="29"/>
  <c r="AW9" i="29"/>
  <c r="Y107" i="29"/>
  <c r="AY107" i="29"/>
  <c r="T107" i="29"/>
  <c r="Y99" i="29"/>
  <c r="T99" i="29"/>
  <c r="AY99" i="29"/>
  <c r="Y91" i="29"/>
  <c r="T91" i="29"/>
  <c r="AY91" i="29"/>
  <c r="Y83" i="29"/>
  <c r="T83" i="29"/>
  <c r="AY83" i="29"/>
  <c r="Y75" i="29"/>
  <c r="T75" i="29"/>
  <c r="AY75" i="29"/>
  <c r="Y67" i="29"/>
  <c r="T67" i="29"/>
  <c r="AY67" i="29"/>
  <c r="Y58" i="29"/>
  <c r="T58" i="29"/>
  <c r="AY58" i="29"/>
  <c r="Y50" i="29"/>
  <c r="AY50" i="29"/>
  <c r="T50" i="29"/>
  <c r="Y42" i="29"/>
  <c r="T42" i="29"/>
  <c r="AY42" i="29"/>
  <c r="Y34" i="29"/>
  <c r="T34" i="29"/>
  <c r="AY34" i="29"/>
  <c r="Y25" i="29"/>
  <c r="T25" i="29"/>
  <c r="AY25" i="29"/>
  <c r="Y17" i="29"/>
  <c r="T17" i="29"/>
  <c r="AY17" i="29"/>
  <c r="Y9" i="29"/>
  <c r="T9" i="29"/>
  <c r="AY9" i="29"/>
  <c r="AA113" i="29"/>
  <c r="V113" i="29"/>
  <c r="BA113" i="29"/>
  <c r="AA105" i="29"/>
  <c r="BA105" i="29"/>
  <c r="V105" i="29"/>
  <c r="AA97" i="29"/>
  <c r="V97" i="29"/>
  <c r="BA97" i="29"/>
  <c r="AA89" i="29"/>
  <c r="V89" i="29"/>
  <c r="BA89" i="29"/>
  <c r="AA80" i="29"/>
  <c r="V80" i="29"/>
  <c r="BA80" i="29"/>
  <c r="AA72" i="29"/>
  <c r="V72" i="29"/>
  <c r="BA72" i="29"/>
  <c r="AA64" i="29"/>
  <c r="V64" i="29"/>
  <c r="BA64" i="29"/>
  <c r="AA55" i="29"/>
  <c r="V55" i="29"/>
  <c r="BA55" i="29"/>
  <c r="AA47" i="29"/>
  <c r="V47" i="29"/>
  <c r="BA47" i="29"/>
  <c r="AA39" i="29"/>
  <c r="V39" i="29"/>
  <c r="BA39" i="29"/>
  <c r="AA31" i="29"/>
  <c r="V31" i="29"/>
  <c r="BA31" i="29"/>
  <c r="AA23" i="29"/>
  <c r="V23" i="29"/>
  <c r="BA23" i="29"/>
  <c r="AA15" i="29"/>
  <c r="V15" i="29"/>
  <c r="BA15" i="29"/>
  <c r="AA7" i="29"/>
  <c r="V7" i="29"/>
  <c r="BA7" i="29"/>
  <c r="AA22" i="29"/>
  <c r="V22" i="29"/>
  <c r="BA22" i="29"/>
  <c r="AA14" i="29"/>
  <c r="V14" i="29"/>
  <c r="BA14" i="29"/>
  <c r="AA88" i="29"/>
  <c r="V88" i="29"/>
  <c r="BA88" i="29"/>
  <c r="CW154" i="28"/>
  <c r="DO154" i="28" s="1"/>
  <c r="CU123" i="28"/>
  <c r="DM123" i="28" s="1"/>
  <c r="AA63" i="29"/>
  <c r="V63" i="29"/>
  <c r="BA63" i="29"/>
  <c r="Z108" i="29"/>
  <c r="U108" i="29"/>
  <c r="AZ108" i="29"/>
  <c r="Z51" i="29"/>
  <c r="U51" i="29"/>
  <c r="AZ51" i="29"/>
  <c r="Z6" i="29"/>
  <c r="U6" i="29"/>
  <c r="AZ6" i="29"/>
  <c r="X100" i="29"/>
  <c r="S100" i="29"/>
  <c r="AX100" i="29"/>
  <c r="X59" i="29"/>
  <c r="S59" i="29"/>
  <c r="AX59" i="29"/>
  <c r="X11" i="29"/>
  <c r="S11" i="29"/>
  <c r="AX11" i="29"/>
  <c r="W104" i="29"/>
  <c r="R104" i="29"/>
  <c r="AW104" i="29"/>
  <c r="W72" i="29"/>
  <c r="R72" i="29"/>
  <c r="AW72" i="29"/>
  <c r="W23" i="29"/>
  <c r="AW23" i="29"/>
  <c r="R23" i="29"/>
  <c r="T56" i="29"/>
  <c r="AY56" i="29"/>
  <c r="Y56" i="29"/>
  <c r="Y7" i="29"/>
  <c r="T7" i="29"/>
  <c r="AY7" i="29"/>
  <c r="AA62" i="29"/>
  <c r="V62" i="29"/>
  <c r="BA62" i="29"/>
  <c r="AA13" i="29"/>
  <c r="V13" i="29"/>
  <c r="BA13" i="29"/>
  <c r="U107" i="29"/>
  <c r="Z107" i="29"/>
  <c r="AZ107" i="29"/>
  <c r="Z99" i="29"/>
  <c r="U99" i="29"/>
  <c r="AZ99" i="29"/>
  <c r="Z91" i="29"/>
  <c r="U91" i="29"/>
  <c r="AZ91" i="29"/>
  <c r="Z83" i="29"/>
  <c r="U83" i="29"/>
  <c r="AZ83" i="29"/>
  <c r="Z75" i="29"/>
  <c r="U75" i="29"/>
  <c r="AZ75" i="29"/>
  <c r="Z67" i="29"/>
  <c r="U67" i="29"/>
  <c r="AZ67" i="29"/>
  <c r="Z58" i="29"/>
  <c r="U58" i="29"/>
  <c r="AZ58" i="29"/>
  <c r="Z50" i="29"/>
  <c r="U50" i="29"/>
  <c r="AZ50" i="29"/>
  <c r="Z42" i="29"/>
  <c r="U42" i="29"/>
  <c r="AZ42" i="29"/>
  <c r="Z34" i="29"/>
  <c r="U34" i="29"/>
  <c r="AZ34" i="29"/>
  <c r="Z26" i="29"/>
  <c r="U26" i="29"/>
  <c r="AZ26" i="29"/>
  <c r="Z18" i="29"/>
  <c r="U18" i="29"/>
  <c r="AZ18" i="29"/>
  <c r="Z10" i="29"/>
  <c r="U10" i="29"/>
  <c r="AZ10" i="29"/>
  <c r="Z115" i="29"/>
  <c r="U115" i="29"/>
  <c r="AZ115" i="29"/>
  <c r="X107" i="29"/>
  <c r="S107" i="29"/>
  <c r="AX107" i="29"/>
  <c r="X99" i="29"/>
  <c r="S99" i="29"/>
  <c r="AX99" i="29"/>
  <c r="X91" i="29"/>
  <c r="S91" i="29"/>
  <c r="AX91" i="29"/>
  <c r="X83" i="29"/>
  <c r="S83" i="29"/>
  <c r="AX83" i="29"/>
  <c r="X75" i="29"/>
  <c r="S75" i="29"/>
  <c r="AX75" i="29"/>
  <c r="X67" i="29"/>
  <c r="S67" i="29"/>
  <c r="AX67" i="29"/>
  <c r="X58" i="29"/>
  <c r="AX58" i="29"/>
  <c r="S58" i="29"/>
  <c r="X50" i="29"/>
  <c r="AX50" i="29"/>
  <c r="S50" i="29"/>
  <c r="X42" i="29"/>
  <c r="AX42" i="29"/>
  <c r="S42" i="29"/>
  <c r="X34" i="29"/>
  <c r="S34" i="29"/>
  <c r="AX34" i="29"/>
  <c r="X26" i="29"/>
  <c r="S26" i="29"/>
  <c r="AX26" i="29"/>
  <c r="X18" i="29"/>
  <c r="S18" i="29"/>
  <c r="AX18" i="29"/>
  <c r="X10" i="29"/>
  <c r="AX10" i="29"/>
  <c r="S10" i="29"/>
  <c r="X115" i="29"/>
  <c r="S115" i="29"/>
  <c r="AX115" i="29"/>
  <c r="W111" i="29"/>
  <c r="R111" i="29"/>
  <c r="AW111" i="29"/>
  <c r="W103" i="29"/>
  <c r="R103" i="29"/>
  <c r="AW103" i="29"/>
  <c r="W95" i="29"/>
  <c r="R95" i="29"/>
  <c r="AW95" i="29"/>
  <c r="W87" i="29"/>
  <c r="R87" i="29"/>
  <c r="AW87" i="29"/>
  <c r="W79" i="29"/>
  <c r="R79" i="29"/>
  <c r="AW79" i="29"/>
  <c r="W71" i="29"/>
  <c r="R71" i="29"/>
  <c r="AW71" i="29"/>
  <c r="W63" i="29"/>
  <c r="AW63" i="29"/>
  <c r="R63" i="29"/>
  <c r="W54" i="29"/>
  <c r="R54" i="29"/>
  <c r="AW54" i="29"/>
  <c r="W46" i="29"/>
  <c r="R46" i="29"/>
  <c r="AW46" i="29"/>
  <c r="W38" i="29"/>
  <c r="R38" i="29"/>
  <c r="AW38" i="29"/>
  <c r="W30" i="29"/>
  <c r="R30" i="29"/>
  <c r="AW30" i="29"/>
  <c r="W22" i="29"/>
  <c r="R22" i="29"/>
  <c r="AW22" i="29"/>
  <c r="W14" i="29"/>
  <c r="R14" i="29"/>
  <c r="AW14" i="29"/>
  <c r="W60" i="29"/>
  <c r="R60" i="29"/>
  <c r="AW60" i="29"/>
  <c r="Y112" i="29"/>
  <c r="T112" i="29"/>
  <c r="AY112" i="29"/>
  <c r="Y104" i="29"/>
  <c r="T104" i="29"/>
  <c r="AY104" i="29"/>
  <c r="T96" i="29"/>
  <c r="Y96" i="29"/>
  <c r="AY96" i="29"/>
  <c r="Y88" i="29"/>
  <c r="T88" i="29"/>
  <c r="AY88" i="29"/>
  <c r="Y80" i="29"/>
  <c r="AY80" i="29"/>
  <c r="T80" i="29"/>
  <c r="Y72" i="29"/>
  <c r="T72" i="29"/>
  <c r="AY72" i="29"/>
  <c r="Y64" i="29"/>
  <c r="T64" i="29"/>
  <c r="AY64" i="29"/>
  <c r="Y55" i="29"/>
  <c r="T55" i="29"/>
  <c r="AY55" i="29"/>
  <c r="Y47" i="29"/>
  <c r="T47" i="29"/>
  <c r="AY47" i="29"/>
  <c r="Y39" i="29"/>
  <c r="T39" i="29"/>
  <c r="AY39" i="29"/>
  <c r="Y30" i="29"/>
  <c r="T30" i="29"/>
  <c r="AY30" i="29"/>
  <c r="Y22" i="29"/>
  <c r="T22" i="29"/>
  <c r="AY22" i="29"/>
  <c r="Y14" i="29"/>
  <c r="T14" i="29"/>
  <c r="AY14" i="29"/>
  <c r="AY32" i="29"/>
  <c r="Y32" i="29"/>
  <c r="T32" i="29"/>
  <c r="AA110" i="29"/>
  <c r="V110" i="29"/>
  <c r="BA110" i="29"/>
  <c r="AA102" i="29"/>
  <c r="V102" i="29"/>
  <c r="BA102" i="29"/>
  <c r="V94" i="29"/>
  <c r="AA94" i="29"/>
  <c r="BA94" i="29"/>
  <c r="AA85" i="29"/>
  <c r="V85" i="29"/>
  <c r="BA85" i="29"/>
  <c r="AA77" i="29"/>
  <c r="V77" i="29"/>
  <c r="BA77" i="29"/>
  <c r="AA69" i="29"/>
  <c r="V69" i="29"/>
  <c r="BA69" i="29"/>
  <c r="AA61" i="29"/>
  <c r="V61" i="29"/>
  <c r="BA61" i="29"/>
  <c r="AA52" i="29"/>
  <c r="V52" i="29"/>
  <c r="BA52" i="29"/>
  <c r="AA44" i="29"/>
  <c r="V44" i="29"/>
  <c r="BA44" i="29"/>
  <c r="AA36" i="29"/>
  <c r="V36" i="29"/>
  <c r="BA36" i="29"/>
  <c r="AA28" i="29"/>
  <c r="V28" i="29"/>
  <c r="BA28" i="29"/>
  <c r="AA20" i="29"/>
  <c r="V20" i="29"/>
  <c r="BA20" i="29"/>
  <c r="AA12" i="29"/>
  <c r="V12" i="29"/>
  <c r="BA12" i="29"/>
  <c r="AA6" i="29"/>
  <c r="BA6" i="29"/>
  <c r="V6" i="29"/>
  <c r="Z109" i="29"/>
  <c r="U109" i="29"/>
  <c r="AZ109" i="29"/>
  <c r="Z69" i="29"/>
  <c r="U69" i="29"/>
  <c r="AZ69" i="29"/>
  <c r="Z28" i="29"/>
  <c r="U28" i="29"/>
  <c r="AZ28" i="29"/>
  <c r="X109" i="29"/>
  <c r="S109" i="29"/>
  <c r="AX109" i="29"/>
  <c r="X85" i="29"/>
  <c r="S85" i="29"/>
  <c r="AX85" i="29"/>
  <c r="X52" i="29"/>
  <c r="S52" i="29"/>
  <c r="AX52" i="29"/>
  <c r="X20" i="29"/>
  <c r="S20" i="29"/>
  <c r="AX20" i="29"/>
  <c r="W97" i="29"/>
  <c r="R97" i="29"/>
  <c r="AW97" i="29"/>
  <c r="W65" i="29"/>
  <c r="R65" i="29"/>
  <c r="AW65" i="29"/>
  <c r="W32" i="29"/>
  <c r="R32" i="29"/>
  <c r="AW32" i="29"/>
  <c r="Y106" i="29"/>
  <c r="T106" i="29"/>
  <c r="AY106" i="29"/>
  <c r="Y41" i="29"/>
  <c r="T41" i="29"/>
  <c r="AY41" i="29"/>
  <c r="V30" i="29"/>
  <c r="AA30" i="29"/>
  <c r="BA30" i="29"/>
  <c r="Z76" i="29"/>
  <c r="U76" i="29"/>
  <c r="AZ76" i="29"/>
  <c r="U19" i="29"/>
  <c r="Z19" i="29"/>
  <c r="AZ19" i="29"/>
  <c r="X76" i="29"/>
  <c r="S76" i="29"/>
  <c r="AX76" i="29"/>
  <c r="X19" i="29"/>
  <c r="S19" i="29"/>
  <c r="AX19" i="29"/>
  <c r="W88" i="29"/>
  <c r="R88" i="29"/>
  <c r="AW88" i="29"/>
  <c r="W39" i="29"/>
  <c r="R39" i="29"/>
  <c r="AW39" i="29"/>
  <c r="Y105" i="29"/>
  <c r="T105" i="29"/>
  <c r="AY105" i="29"/>
  <c r="Y48" i="29"/>
  <c r="T48" i="29"/>
  <c r="AY48" i="29"/>
  <c r="AA103" i="29"/>
  <c r="V103" i="29"/>
  <c r="BA103" i="29"/>
  <c r="AA53" i="29"/>
  <c r="V53" i="29"/>
  <c r="BA53" i="29"/>
  <c r="AA60" i="29"/>
  <c r="V60" i="29"/>
  <c r="BA60" i="29"/>
  <c r="Z114" i="29"/>
  <c r="U114" i="29"/>
  <c r="AZ114" i="29"/>
  <c r="Z106" i="29"/>
  <c r="U106" i="29"/>
  <c r="AZ106" i="29"/>
  <c r="Z98" i="29"/>
  <c r="U98" i="29"/>
  <c r="AZ98" i="29"/>
  <c r="Z90" i="29"/>
  <c r="U90" i="29"/>
  <c r="AZ90" i="29"/>
  <c r="Z82" i="29"/>
  <c r="U82" i="29"/>
  <c r="AZ82" i="29"/>
  <c r="Z74" i="29"/>
  <c r="U74" i="29"/>
  <c r="AZ74" i="29"/>
  <c r="Z66" i="29"/>
  <c r="U66" i="29"/>
  <c r="AZ66" i="29"/>
  <c r="Z57" i="29"/>
  <c r="U57" i="29"/>
  <c r="AZ57" i="29"/>
  <c r="Z49" i="29"/>
  <c r="U49" i="29"/>
  <c r="AZ49" i="29"/>
  <c r="Z41" i="29"/>
  <c r="U41" i="29"/>
  <c r="AZ41" i="29"/>
  <c r="Z33" i="29"/>
  <c r="U33" i="29"/>
  <c r="AZ33" i="29"/>
  <c r="Z25" i="29"/>
  <c r="U25" i="29"/>
  <c r="AZ25" i="29"/>
  <c r="Z17" i="29"/>
  <c r="U17" i="29"/>
  <c r="AZ17" i="29"/>
  <c r="Z9" i="29"/>
  <c r="U9" i="29"/>
  <c r="AZ9" i="29"/>
  <c r="X114" i="29"/>
  <c r="S114" i="29"/>
  <c r="AX114" i="29"/>
  <c r="X106" i="29"/>
  <c r="S106" i="29"/>
  <c r="AX106" i="29"/>
  <c r="X98" i="29"/>
  <c r="S98" i="29"/>
  <c r="AX98" i="29"/>
  <c r="X90" i="29"/>
  <c r="S90" i="29"/>
  <c r="AX90" i="29"/>
  <c r="X82" i="29"/>
  <c r="S82" i="29"/>
  <c r="AX82" i="29"/>
  <c r="X74" i="29"/>
  <c r="S74" i="29"/>
  <c r="AX74" i="29"/>
  <c r="X66" i="29"/>
  <c r="S66" i="29"/>
  <c r="AX66" i="29"/>
  <c r="X57" i="29"/>
  <c r="S57" i="29"/>
  <c r="AX57" i="29"/>
  <c r="X49" i="29"/>
  <c r="S49" i="29"/>
  <c r="AX49" i="29"/>
  <c r="X41" i="29"/>
  <c r="S41" i="29"/>
  <c r="AX41" i="29"/>
  <c r="X33" i="29"/>
  <c r="S33" i="29"/>
  <c r="AX33" i="29"/>
  <c r="X25" i="29"/>
  <c r="S25" i="29"/>
  <c r="AX25" i="29"/>
  <c r="X17" i="29"/>
  <c r="S17" i="29"/>
  <c r="AX17" i="29"/>
  <c r="X9" i="29"/>
  <c r="S9" i="29"/>
  <c r="AX9" i="29"/>
  <c r="W110" i="29"/>
  <c r="R110" i="29"/>
  <c r="AW110" i="29"/>
  <c r="W102" i="29"/>
  <c r="R102" i="29"/>
  <c r="AW102" i="29"/>
  <c r="W94" i="29"/>
  <c r="R94" i="29"/>
  <c r="AW94" i="29"/>
  <c r="W86" i="29"/>
  <c r="R86" i="29"/>
  <c r="AW86" i="29"/>
  <c r="W78" i="29"/>
  <c r="R78" i="29"/>
  <c r="AW78" i="29"/>
  <c r="W70" i="29"/>
  <c r="R70" i="29"/>
  <c r="AW70" i="29"/>
  <c r="W62" i="29"/>
  <c r="R62" i="29"/>
  <c r="AW62" i="29"/>
  <c r="W53" i="29"/>
  <c r="R53" i="29"/>
  <c r="AW53" i="29"/>
  <c r="W45" i="29"/>
  <c r="R45" i="29"/>
  <c r="AW45" i="29"/>
  <c r="W37" i="29"/>
  <c r="R37" i="29"/>
  <c r="AW37" i="29"/>
  <c r="W29" i="29"/>
  <c r="R29" i="29"/>
  <c r="AW29" i="29"/>
  <c r="W21" i="29"/>
  <c r="R21" i="29"/>
  <c r="AW21" i="29"/>
  <c r="W13" i="29"/>
  <c r="R13" i="29"/>
  <c r="AW13" i="29"/>
  <c r="Y111" i="29"/>
  <c r="T111" i="29"/>
  <c r="AY111" i="29"/>
  <c r="Y103" i="29"/>
  <c r="T103" i="29"/>
  <c r="AY103" i="29"/>
  <c r="Y95" i="29"/>
  <c r="T95" i="29"/>
  <c r="AY95" i="29"/>
  <c r="Y87" i="29"/>
  <c r="T87" i="29"/>
  <c r="AY87" i="29"/>
  <c r="Y79" i="29"/>
  <c r="T79" i="29"/>
  <c r="AY79" i="29"/>
  <c r="Y71" i="29"/>
  <c r="T71" i="29"/>
  <c r="AY71" i="29"/>
  <c r="Y63" i="29"/>
  <c r="T63" i="29"/>
  <c r="AY63" i="29"/>
  <c r="Y54" i="29"/>
  <c r="T54" i="29"/>
  <c r="AY54" i="29"/>
  <c r="Y46" i="29"/>
  <c r="T46" i="29"/>
  <c r="AY46" i="29"/>
  <c r="Y38" i="29"/>
  <c r="T38" i="29"/>
  <c r="AY38" i="29"/>
  <c r="Y29" i="29"/>
  <c r="AY29" i="29"/>
  <c r="T29" i="29"/>
  <c r="Y21" i="29"/>
  <c r="AY21" i="29"/>
  <c r="T21" i="29"/>
  <c r="Y13" i="29"/>
  <c r="T13" i="29"/>
  <c r="AY13" i="29"/>
  <c r="Y60" i="29"/>
  <c r="T60" i="29"/>
  <c r="AY60" i="29"/>
  <c r="AA109" i="29"/>
  <c r="V109" i="29"/>
  <c r="BA109" i="29"/>
  <c r="AA101" i="29"/>
  <c r="V101" i="29"/>
  <c r="BA101" i="29"/>
  <c r="AA93" i="29"/>
  <c r="V93" i="29"/>
  <c r="BA93" i="29"/>
  <c r="AA84" i="29"/>
  <c r="V84" i="29"/>
  <c r="BA84" i="29"/>
  <c r="AA76" i="29"/>
  <c r="V76" i="29"/>
  <c r="BA76" i="29"/>
  <c r="AA68" i="29"/>
  <c r="V68" i="29"/>
  <c r="BA68" i="29"/>
  <c r="AA59" i="29"/>
  <c r="V59" i="29"/>
  <c r="BA59" i="29"/>
  <c r="AA51" i="29"/>
  <c r="V51" i="29"/>
  <c r="BA51" i="29"/>
  <c r="AA43" i="29"/>
  <c r="V43" i="29"/>
  <c r="BA43" i="29"/>
  <c r="AA35" i="29"/>
  <c r="V35" i="29"/>
  <c r="BA35" i="29"/>
  <c r="AA27" i="29"/>
  <c r="BA27" i="29"/>
  <c r="V27" i="29"/>
  <c r="AA19" i="29"/>
  <c r="V19" i="29"/>
  <c r="BA19" i="29"/>
  <c r="AA11" i="29"/>
  <c r="V11" i="29"/>
  <c r="BA11" i="29"/>
  <c r="AA115" i="29"/>
  <c r="V115" i="29"/>
  <c r="BA115" i="29"/>
  <c r="Z77" i="29"/>
  <c r="U77" i="29"/>
  <c r="AZ77" i="29"/>
  <c r="Z44" i="29"/>
  <c r="U44" i="29"/>
  <c r="AZ44" i="29"/>
  <c r="Z12" i="29"/>
  <c r="U12" i="29"/>
  <c r="AZ12" i="29"/>
  <c r="X101" i="29"/>
  <c r="S101" i="29"/>
  <c r="AX101" i="29"/>
  <c r="X61" i="29"/>
  <c r="S61" i="29"/>
  <c r="AX61" i="29"/>
  <c r="X28" i="29"/>
  <c r="S28" i="29"/>
  <c r="AX28" i="29"/>
  <c r="W105" i="29"/>
  <c r="R105" i="29"/>
  <c r="AW105" i="29"/>
  <c r="W73" i="29"/>
  <c r="R73" i="29"/>
  <c r="AW73" i="29"/>
  <c r="W48" i="29"/>
  <c r="R48" i="29"/>
  <c r="AW48" i="29"/>
  <c r="W16" i="29"/>
  <c r="R16" i="29"/>
  <c r="AW16" i="29"/>
  <c r="Y98" i="29"/>
  <c r="T98" i="29"/>
  <c r="AY98" i="29"/>
  <c r="Y66" i="29"/>
  <c r="T66" i="29"/>
  <c r="AY66" i="29"/>
  <c r="Y33" i="29"/>
  <c r="T33" i="29"/>
  <c r="AY33" i="29"/>
  <c r="Y8" i="29"/>
  <c r="T8" i="29"/>
  <c r="AY8" i="29"/>
  <c r="AA104" i="29"/>
  <c r="V104" i="29"/>
  <c r="BA104" i="29"/>
  <c r="AA79" i="29"/>
  <c r="V79" i="29"/>
  <c r="BA79" i="29"/>
  <c r="AA46" i="29"/>
  <c r="BA46" i="29"/>
  <c r="V46" i="29"/>
  <c r="Z100" i="29"/>
  <c r="U100" i="29"/>
  <c r="AZ100" i="29"/>
  <c r="U43" i="29"/>
  <c r="AZ43" i="29"/>
  <c r="Z43" i="29"/>
  <c r="X108" i="29"/>
  <c r="S108" i="29"/>
  <c r="AX108" i="29"/>
  <c r="X51" i="29"/>
  <c r="S51" i="29"/>
  <c r="AX51" i="29"/>
  <c r="X6" i="29"/>
  <c r="S6" i="29"/>
  <c r="AX6" i="29"/>
  <c r="W96" i="29"/>
  <c r="R96" i="29"/>
  <c r="AW96" i="29"/>
  <c r="W55" i="29"/>
  <c r="AW55" i="29"/>
  <c r="R55" i="29"/>
  <c r="W15" i="29"/>
  <c r="AW15" i="29"/>
  <c r="R15" i="29"/>
  <c r="Y113" i="29"/>
  <c r="T113" i="29"/>
  <c r="AY113" i="29"/>
  <c r="Y81" i="29"/>
  <c r="T81" i="29"/>
  <c r="AY81" i="29"/>
  <c r="Y40" i="29"/>
  <c r="AY40" i="29"/>
  <c r="T40" i="29"/>
  <c r="AA111" i="29"/>
  <c r="V111" i="29"/>
  <c r="BA111" i="29"/>
  <c r="AA86" i="29"/>
  <c r="V86" i="29"/>
  <c r="BA86" i="29"/>
  <c r="AA29" i="29"/>
  <c r="V29" i="29"/>
  <c r="BA29" i="29"/>
  <c r="Z113" i="29"/>
  <c r="U113" i="29"/>
  <c r="AZ113" i="29"/>
  <c r="Z105" i="29"/>
  <c r="U105" i="29"/>
  <c r="AZ105" i="29"/>
  <c r="Z97" i="29"/>
  <c r="U97" i="29"/>
  <c r="AZ97" i="29"/>
  <c r="Z89" i="29"/>
  <c r="U89" i="29"/>
  <c r="AZ89" i="29"/>
  <c r="Z81" i="29"/>
  <c r="U81" i="29"/>
  <c r="AZ81" i="29"/>
  <c r="Z73" i="29"/>
  <c r="U73" i="29"/>
  <c r="AZ73" i="29"/>
  <c r="Z65" i="29"/>
  <c r="U65" i="29"/>
  <c r="AZ65" i="29"/>
  <c r="Z56" i="29"/>
  <c r="U56" i="29"/>
  <c r="AZ56" i="29"/>
  <c r="Z48" i="29"/>
  <c r="U48" i="29"/>
  <c r="AZ48" i="29"/>
  <c r="Z40" i="29"/>
  <c r="AZ40" i="29"/>
  <c r="U40" i="29"/>
  <c r="Z32" i="29"/>
  <c r="AZ32" i="29"/>
  <c r="U32" i="29"/>
  <c r="Z24" i="29"/>
  <c r="U24" i="29"/>
  <c r="AZ24" i="29"/>
  <c r="Z16" i="29"/>
  <c r="AZ16" i="29"/>
  <c r="U16" i="29"/>
  <c r="Z8" i="29"/>
  <c r="AZ8" i="29"/>
  <c r="U8" i="29"/>
  <c r="X113" i="29"/>
  <c r="S113" i="29"/>
  <c r="AX113" i="29"/>
  <c r="X105" i="29"/>
  <c r="S105" i="29"/>
  <c r="AX105" i="29"/>
  <c r="X97" i="29"/>
  <c r="S97" i="29"/>
  <c r="AX97" i="29"/>
  <c r="X89" i="29"/>
  <c r="S89" i="29"/>
  <c r="AX89" i="29"/>
  <c r="X81" i="29"/>
  <c r="S81" i="29"/>
  <c r="AX81" i="29"/>
  <c r="X73" i="29"/>
  <c r="S73" i="29"/>
  <c r="AX73" i="29"/>
  <c r="X65" i="29"/>
  <c r="S65" i="29"/>
  <c r="AX65" i="29"/>
  <c r="X56" i="29"/>
  <c r="S56" i="29"/>
  <c r="AX56" i="29"/>
  <c r="X48" i="29"/>
  <c r="S48" i="29"/>
  <c r="AX48" i="29"/>
  <c r="X40" i="29"/>
  <c r="S40" i="29"/>
  <c r="AX40" i="29"/>
  <c r="X32" i="29"/>
  <c r="S32" i="29"/>
  <c r="AX32" i="29"/>
  <c r="X24" i="29"/>
  <c r="S24" i="29"/>
  <c r="AX24" i="29"/>
  <c r="X16" i="29"/>
  <c r="S16" i="29"/>
  <c r="AX16" i="29"/>
  <c r="X8" i="29"/>
  <c r="S8" i="29"/>
  <c r="AX8" i="29"/>
  <c r="W109" i="29"/>
  <c r="AW109" i="29"/>
  <c r="R109" i="29"/>
  <c r="W101" i="29"/>
  <c r="R101" i="29"/>
  <c r="AW101" i="29"/>
  <c r="W93" i="29"/>
  <c r="R93" i="29"/>
  <c r="AW93" i="29"/>
  <c r="W85" i="29"/>
  <c r="R85" i="29"/>
  <c r="AW85" i="29"/>
  <c r="W77" i="29"/>
  <c r="R77" i="29"/>
  <c r="AW77" i="29"/>
  <c r="W69" i="29"/>
  <c r="R69" i="29"/>
  <c r="AW69" i="29"/>
  <c r="W61" i="29"/>
  <c r="R61" i="29"/>
  <c r="AW61" i="29"/>
  <c r="W52" i="29"/>
  <c r="R52" i="29"/>
  <c r="AW52" i="29"/>
  <c r="W44" i="29"/>
  <c r="R44" i="29"/>
  <c r="AW44" i="29"/>
  <c r="W36" i="29"/>
  <c r="R36" i="29"/>
  <c r="AW36" i="29"/>
  <c r="W28" i="29"/>
  <c r="AW28" i="29"/>
  <c r="R28" i="29"/>
  <c r="W20" i="29"/>
  <c r="R20" i="29"/>
  <c r="AW20" i="29"/>
  <c r="W12" i="29"/>
  <c r="R12" i="29"/>
  <c r="AW12" i="29"/>
  <c r="Y110" i="29"/>
  <c r="T110" i="29"/>
  <c r="AY110" i="29"/>
  <c r="Y102" i="29"/>
  <c r="T102" i="29"/>
  <c r="AY102" i="29"/>
  <c r="Y94" i="29"/>
  <c r="T94" i="29"/>
  <c r="AY94" i="29"/>
  <c r="Y86" i="29"/>
  <c r="T86" i="29"/>
  <c r="AY86" i="29"/>
  <c r="Y78" i="29"/>
  <c r="T78" i="29"/>
  <c r="AY78" i="29"/>
  <c r="Y70" i="29"/>
  <c r="T70" i="29"/>
  <c r="AY70" i="29"/>
  <c r="Y62" i="29"/>
  <c r="T62" i="29"/>
  <c r="AY62" i="29"/>
  <c r="Y53" i="29"/>
  <c r="AY53" i="29"/>
  <c r="T53" i="29"/>
  <c r="Y45" i="29"/>
  <c r="AY45" i="29"/>
  <c r="T45" i="29"/>
  <c r="Y37" i="29"/>
  <c r="AY37" i="29"/>
  <c r="T37" i="29"/>
  <c r="Y28" i="29"/>
  <c r="T28" i="29"/>
  <c r="AY28" i="29"/>
  <c r="Y20" i="29"/>
  <c r="T20" i="29"/>
  <c r="AY20" i="29"/>
  <c r="Y12" i="29"/>
  <c r="T12" i="29"/>
  <c r="AY12" i="29"/>
  <c r="Y6" i="29"/>
  <c r="T6" i="29"/>
  <c r="AY6" i="29"/>
  <c r="AA108" i="29"/>
  <c r="V108" i="29"/>
  <c r="BA108" i="29"/>
  <c r="AA100" i="29"/>
  <c r="V100" i="29"/>
  <c r="BA100" i="29"/>
  <c r="AA92" i="29"/>
  <c r="V92" i="29"/>
  <c r="BA92" i="29"/>
  <c r="AA83" i="29"/>
  <c r="V83" i="29"/>
  <c r="BA83" i="29"/>
  <c r="AA75" i="29"/>
  <c r="BA75" i="29"/>
  <c r="V75" i="29"/>
  <c r="AA67" i="29"/>
  <c r="V67" i="29"/>
  <c r="BA67" i="29"/>
  <c r="AA58" i="29"/>
  <c r="V58" i="29"/>
  <c r="BA58" i="29"/>
  <c r="AA50" i="29"/>
  <c r="V50" i="29"/>
  <c r="BA50" i="29"/>
  <c r="AA42" i="29"/>
  <c r="V42" i="29"/>
  <c r="BA42" i="29"/>
  <c r="AA34" i="29"/>
  <c r="V34" i="29"/>
  <c r="BA34" i="29"/>
  <c r="AA26" i="29"/>
  <c r="V26" i="29"/>
  <c r="BA26" i="29"/>
  <c r="AA18" i="29"/>
  <c r="V18" i="29"/>
  <c r="BA18" i="29"/>
  <c r="AA10" i="29"/>
  <c r="V10" i="29"/>
  <c r="BA10" i="29"/>
  <c r="Z93" i="29"/>
  <c r="U93" i="29"/>
  <c r="AZ93" i="29"/>
  <c r="AA71" i="29"/>
  <c r="V71" i="29"/>
  <c r="BA71" i="29"/>
  <c r="Z92" i="29"/>
  <c r="U92" i="29"/>
  <c r="AZ92" i="29"/>
  <c r="Z59" i="29"/>
  <c r="U59" i="29"/>
  <c r="AZ59" i="29"/>
  <c r="Z11" i="29"/>
  <c r="U11" i="29"/>
  <c r="AZ11" i="29"/>
  <c r="X68" i="29"/>
  <c r="S68" i="29"/>
  <c r="AX68" i="29"/>
  <c r="X35" i="29"/>
  <c r="S35" i="29"/>
  <c r="AX35" i="29"/>
  <c r="W47" i="29"/>
  <c r="R47" i="29"/>
  <c r="AW47" i="29"/>
  <c r="Y89" i="29"/>
  <c r="T89" i="29"/>
  <c r="AY89" i="29"/>
  <c r="Y15" i="29"/>
  <c r="T15" i="29"/>
  <c r="AY15" i="29"/>
  <c r="AA70" i="29"/>
  <c r="V70" i="29"/>
  <c r="BA70" i="29"/>
  <c r="AA21" i="29"/>
  <c r="V21" i="29"/>
  <c r="BA21" i="29"/>
  <c r="Z112" i="29"/>
  <c r="U112" i="29"/>
  <c r="AZ112" i="29"/>
  <c r="Z104" i="29"/>
  <c r="U104" i="29"/>
  <c r="AZ104" i="29"/>
  <c r="Z96" i="29"/>
  <c r="U96" i="29"/>
  <c r="AZ96" i="29"/>
  <c r="Z88" i="29"/>
  <c r="AZ88" i="29"/>
  <c r="U88" i="29"/>
  <c r="Z80" i="29"/>
  <c r="U80" i="29"/>
  <c r="AZ80" i="29"/>
  <c r="Z72" i="29"/>
  <c r="U72" i="29"/>
  <c r="AZ72" i="29"/>
  <c r="Z64" i="29"/>
  <c r="U64" i="29"/>
  <c r="AZ64" i="29"/>
  <c r="Z55" i="29"/>
  <c r="U55" i="29"/>
  <c r="AZ55" i="29"/>
  <c r="Z47" i="29"/>
  <c r="U47" i="29"/>
  <c r="AZ47" i="29"/>
  <c r="Z39" i="29"/>
  <c r="U39" i="29"/>
  <c r="AZ39" i="29"/>
  <c r="Z31" i="29"/>
  <c r="U31" i="29"/>
  <c r="AZ31" i="29"/>
  <c r="Z23" i="29"/>
  <c r="U23" i="29"/>
  <c r="AZ23" i="29"/>
  <c r="Z15" i="29"/>
  <c r="U15" i="29"/>
  <c r="AZ15" i="29"/>
  <c r="Z7" i="29"/>
  <c r="U7" i="29"/>
  <c r="AZ7" i="29"/>
  <c r="X112" i="29"/>
  <c r="S112" i="29"/>
  <c r="AX112" i="29"/>
  <c r="X104" i="29"/>
  <c r="AX104" i="29"/>
  <c r="S104" i="29"/>
  <c r="X96" i="29"/>
  <c r="S96" i="29"/>
  <c r="AX96" i="29"/>
  <c r="X88" i="29"/>
  <c r="S88" i="29"/>
  <c r="AX88" i="29"/>
  <c r="X80" i="29"/>
  <c r="S80" i="29"/>
  <c r="AX80" i="29"/>
  <c r="X72" i="29"/>
  <c r="S72" i="29"/>
  <c r="AX72" i="29"/>
  <c r="X64" i="29"/>
  <c r="S64" i="29"/>
  <c r="AX64" i="29"/>
  <c r="X55" i="29"/>
  <c r="S55" i="29"/>
  <c r="AX55" i="29"/>
  <c r="X47" i="29"/>
  <c r="S47" i="29"/>
  <c r="AX47" i="29"/>
  <c r="X39" i="29"/>
  <c r="S39" i="29"/>
  <c r="AX39" i="29"/>
  <c r="X31" i="29"/>
  <c r="S31" i="29"/>
  <c r="AX31" i="29"/>
  <c r="X23" i="29"/>
  <c r="AX23" i="29"/>
  <c r="S23" i="29"/>
  <c r="X15" i="29"/>
  <c r="AX15" i="29"/>
  <c r="S15" i="29"/>
  <c r="X7" i="29"/>
  <c r="S7" i="29"/>
  <c r="AX7" i="29"/>
  <c r="W108" i="29"/>
  <c r="R108" i="29"/>
  <c r="AW108" i="29"/>
  <c r="W100" i="29"/>
  <c r="R100" i="29"/>
  <c r="AW100" i="29"/>
  <c r="W92" i="29"/>
  <c r="R92" i="29"/>
  <c r="AW92" i="29"/>
  <c r="W84" i="29"/>
  <c r="AW84" i="29"/>
  <c r="R84" i="29"/>
  <c r="W76" i="29"/>
  <c r="R76" i="29"/>
  <c r="AW76" i="29"/>
  <c r="W68" i="29"/>
  <c r="R68" i="29"/>
  <c r="AW68" i="29"/>
  <c r="W59" i="29"/>
  <c r="R59" i="29"/>
  <c r="AW59" i="29"/>
  <c r="W51" i="29"/>
  <c r="R51" i="29"/>
  <c r="AW51" i="29"/>
  <c r="W43" i="29"/>
  <c r="R43" i="29"/>
  <c r="AW43" i="29"/>
  <c r="W35" i="29"/>
  <c r="R35" i="29"/>
  <c r="AW35" i="29"/>
  <c r="W27" i="29"/>
  <c r="R27" i="29"/>
  <c r="AW27" i="29"/>
  <c r="W19" i="29"/>
  <c r="R19" i="29"/>
  <c r="AW19" i="29"/>
  <c r="W11" i="29"/>
  <c r="R11" i="29"/>
  <c r="AW11" i="29"/>
  <c r="W6" i="29"/>
  <c r="R6" i="29"/>
  <c r="Y109" i="29"/>
  <c r="T109" i="29"/>
  <c r="AY109" i="29"/>
  <c r="Y101" i="29"/>
  <c r="T101" i="29"/>
  <c r="AY101" i="29"/>
  <c r="Y93" i="29"/>
  <c r="T93" i="29"/>
  <c r="AY93" i="29"/>
  <c r="Y85" i="29"/>
  <c r="T85" i="29"/>
  <c r="AY85" i="29"/>
  <c r="Y77" i="29"/>
  <c r="T77" i="29"/>
  <c r="AY77" i="29"/>
  <c r="Y69" i="29"/>
  <c r="T69" i="29"/>
  <c r="AY69" i="29"/>
  <c r="Y61" i="29"/>
  <c r="T61" i="29"/>
  <c r="AY61" i="29"/>
  <c r="Y52" i="29"/>
  <c r="T52" i="29"/>
  <c r="AY52" i="29"/>
  <c r="Y44" i="29"/>
  <c r="T44" i="29"/>
  <c r="AY44" i="29"/>
  <c r="Y36" i="29"/>
  <c r="T36" i="29"/>
  <c r="AY36" i="29"/>
  <c r="Y27" i="29"/>
  <c r="T27" i="29"/>
  <c r="AY27" i="29"/>
  <c r="Y19" i="29"/>
  <c r="T19" i="29"/>
  <c r="AY19" i="29"/>
  <c r="Y11" i="29"/>
  <c r="T11" i="29"/>
  <c r="AY11" i="29"/>
  <c r="Y115" i="29"/>
  <c r="AY115" i="29"/>
  <c r="T115" i="29"/>
  <c r="AA107" i="29"/>
  <c r="V107" i="29"/>
  <c r="BA107" i="29"/>
  <c r="AA99" i="29"/>
  <c r="V99" i="29"/>
  <c r="BA99" i="29"/>
  <c r="AA91" i="29"/>
  <c r="V91" i="29"/>
  <c r="BA91" i="29"/>
  <c r="AA82" i="29"/>
  <c r="V82" i="29"/>
  <c r="BA82" i="29"/>
  <c r="AA74" i="29"/>
  <c r="V74" i="29"/>
  <c r="BA74" i="29"/>
  <c r="AA66" i="29"/>
  <c r="V66" i="29"/>
  <c r="BA66" i="29"/>
  <c r="AA57" i="29"/>
  <c r="V57" i="29"/>
  <c r="BA57" i="29"/>
  <c r="AA49" i="29"/>
  <c r="V49" i="29"/>
  <c r="BA49" i="29"/>
  <c r="AA41" i="29"/>
  <c r="V41" i="29"/>
  <c r="BA41" i="29"/>
  <c r="AA33" i="29"/>
  <c r="V33" i="29"/>
  <c r="BA33" i="29"/>
  <c r="AA25" i="29"/>
  <c r="V25" i="29"/>
  <c r="BA25" i="29"/>
  <c r="AA17" i="29"/>
  <c r="V17" i="29"/>
  <c r="BA17" i="29"/>
  <c r="AA9" i="29"/>
  <c r="V9" i="29"/>
  <c r="BA9" i="29"/>
  <c r="CW145" i="28"/>
  <c r="AO143" i="29" s="1"/>
  <c r="BI143" i="29" s="1"/>
  <c r="CW125" i="28"/>
  <c r="AO123" i="29" s="1"/>
  <c r="CW141" i="28"/>
  <c r="DO141" i="28" s="1"/>
  <c r="CW157" i="28"/>
  <c r="DO157" i="28" s="1"/>
  <c r="CX149" i="28"/>
  <c r="DH149" i="28" s="1"/>
  <c r="CT124" i="28"/>
  <c r="DL124" i="28" s="1"/>
  <c r="CU137" i="28"/>
  <c r="DM137" i="28" s="1"/>
  <c r="CX144" i="28"/>
  <c r="DJ144" i="28" s="1"/>
  <c r="CU153" i="28"/>
  <c r="DM153" i="28" s="1"/>
  <c r="CU127" i="28"/>
  <c r="AM125" i="29" s="1"/>
  <c r="BG125" i="29" s="1"/>
  <c r="H26" i="29" s="1"/>
  <c r="CU143" i="28"/>
  <c r="DM143" i="28" s="1"/>
  <c r="CW153" i="28"/>
  <c r="DO153" i="28" s="1"/>
  <c r="CW133" i="28"/>
  <c r="AO131" i="29" s="1"/>
  <c r="BI131" i="29" s="1"/>
  <c r="CW149" i="28"/>
  <c r="AO147" i="29" s="1"/>
  <c r="BI147" i="29" s="1"/>
  <c r="CT158" i="28"/>
  <c r="DB158" i="28" s="1"/>
  <c r="CW165" i="28"/>
  <c r="AO163" i="29" s="1"/>
  <c r="BI163" i="29" s="1"/>
  <c r="CU150" i="28"/>
  <c r="DM150" i="28" s="1"/>
  <c r="CX152" i="28"/>
  <c r="DP152" i="28" s="1"/>
  <c r="CU161" i="28"/>
  <c r="DM161" i="28" s="1"/>
  <c r="CU135" i="28"/>
  <c r="DM135" i="28" s="1"/>
  <c r="CU151" i="28"/>
  <c r="DM151" i="28" s="1"/>
  <c r="CU167" i="28"/>
  <c r="AM165" i="29" s="1"/>
  <c r="BG165" i="29" s="1"/>
  <c r="H30" i="29" s="1"/>
  <c r="CU119" i="28"/>
  <c r="DM119" i="28" s="1"/>
  <c r="CW132" i="28"/>
  <c r="AO130" i="29" s="1"/>
  <c r="BI130" i="29" s="1"/>
  <c r="DD119" i="28"/>
  <c r="CU136" i="28"/>
  <c r="DM136" i="28" s="1"/>
  <c r="CW127" i="28"/>
  <c r="DO127" i="28" s="1"/>
  <c r="CU133" i="28"/>
  <c r="AM131" i="29" s="1"/>
  <c r="BG131" i="29" s="1"/>
  <c r="CU149" i="28"/>
  <c r="DM149" i="28" s="1"/>
  <c r="CW159" i="28"/>
  <c r="DO159" i="28" s="1"/>
  <c r="CU165" i="28"/>
  <c r="DM165" i="28" s="1"/>
  <c r="CU125" i="28"/>
  <c r="DM125" i="28" s="1"/>
  <c r="CU141" i="28"/>
  <c r="DM141" i="28" s="1"/>
  <c r="CW151" i="28"/>
  <c r="DO151" i="28" s="1"/>
  <c r="CU157" i="28"/>
  <c r="DM157" i="28" s="1"/>
  <c r="CT160" i="28"/>
  <c r="DA160" i="28" s="1"/>
  <c r="CW167" i="28"/>
  <c r="DO167" i="28" s="1"/>
  <c r="AH111" i="28"/>
  <c r="BG111" i="28"/>
  <c r="CH111" i="28"/>
  <c r="AH103" i="28"/>
  <c r="BG103" i="28"/>
  <c r="CH103" i="28"/>
  <c r="AH95" i="28"/>
  <c r="BG95" i="28"/>
  <c r="CH95" i="28"/>
  <c r="AH87" i="28"/>
  <c r="BG87" i="28"/>
  <c r="CH87" i="28"/>
  <c r="AH79" i="28"/>
  <c r="CH79" i="28"/>
  <c r="BG79" i="28"/>
  <c r="AH71" i="28"/>
  <c r="BG71" i="28"/>
  <c r="CH71" i="28"/>
  <c r="AH63" i="28"/>
  <c r="BG63" i="28"/>
  <c r="CH63" i="28"/>
  <c r="BG54" i="28"/>
  <c r="AH54" i="28"/>
  <c r="CH54" i="28"/>
  <c r="AH46" i="28"/>
  <c r="BG46" i="28"/>
  <c r="CH46" i="28"/>
  <c r="AH38" i="28"/>
  <c r="BG38" i="28"/>
  <c r="CH38" i="28"/>
  <c r="BG30" i="28"/>
  <c r="AH30" i="28"/>
  <c r="CH30" i="28"/>
  <c r="BG22" i="28"/>
  <c r="AH22" i="28"/>
  <c r="CH22" i="28"/>
  <c r="AH14" i="28"/>
  <c r="BG14" i="28"/>
  <c r="CH14" i="28"/>
  <c r="AF111" i="28"/>
  <c r="BE111" i="28"/>
  <c r="CF111" i="28"/>
  <c r="AF103" i="28"/>
  <c r="BE103" i="28"/>
  <c r="CF103" i="28"/>
  <c r="AF95" i="28"/>
  <c r="BE95" i="28"/>
  <c r="CF95" i="28"/>
  <c r="AF87" i="28"/>
  <c r="BE87" i="28"/>
  <c r="CF87" i="28"/>
  <c r="AF79" i="28"/>
  <c r="BE79" i="28"/>
  <c r="CF79" i="28"/>
  <c r="AF71" i="28"/>
  <c r="BE71" i="28"/>
  <c r="CF71" i="28"/>
  <c r="AF63" i="28"/>
  <c r="BE63" i="28"/>
  <c r="CF63" i="28"/>
  <c r="AF54" i="28"/>
  <c r="BE54" i="28"/>
  <c r="CF54" i="28"/>
  <c r="AF46" i="28"/>
  <c r="BE46" i="28"/>
  <c r="CF46" i="28"/>
  <c r="AF38" i="28"/>
  <c r="BE38" i="28"/>
  <c r="CF38" i="28"/>
  <c r="AF30" i="28"/>
  <c r="BE30" i="28"/>
  <c r="CF30" i="28"/>
  <c r="AF22" i="28"/>
  <c r="BE22" i="28"/>
  <c r="CF22" i="28"/>
  <c r="AF14" i="28"/>
  <c r="BE14" i="28"/>
  <c r="CF14" i="28"/>
  <c r="AE115" i="28"/>
  <c r="BD115" i="28"/>
  <c r="CE115" i="28"/>
  <c r="AE107" i="28"/>
  <c r="BD107" i="28"/>
  <c r="CE107" i="28"/>
  <c r="AE99" i="28"/>
  <c r="BD99" i="28"/>
  <c r="CE99" i="28"/>
  <c r="AE91" i="28"/>
  <c r="BD91" i="28"/>
  <c r="CE91" i="28"/>
  <c r="AE83" i="28"/>
  <c r="BD83" i="28"/>
  <c r="CE83" i="28"/>
  <c r="AE75" i="28"/>
  <c r="BD75" i="28"/>
  <c r="CE75" i="28"/>
  <c r="AE67" i="28"/>
  <c r="BD67" i="28"/>
  <c r="CE67" i="28"/>
  <c r="AE58" i="28"/>
  <c r="BD58" i="28"/>
  <c r="CE58" i="28"/>
  <c r="AE50" i="28"/>
  <c r="BD50" i="28"/>
  <c r="CE50" i="28"/>
  <c r="AE42" i="28"/>
  <c r="BD42" i="28"/>
  <c r="CE42" i="28"/>
  <c r="AE34" i="28"/>
  <c r="BD34" i="28"/>
  <c r="CE34" i="28"/>
  <c r="AE26" i="28"/>
  <c r="BD26" i="28"/>
  <c r="CE26" i="28"/>
  <c r="AE18" i="28"/>
  <c r="BD18" i="28"/>
  <c r="CE18" i="28"/>
  <c r="BD10" i="28"/>
  <c r="AE10" i="28"/>
  <c r="CE10" i="28"/>
  <c r="AG116" i="28"/>
  <c r="BF116" i="28"/>
  <c r="CG116" i="28"/>
  <c r="AG108" i="28"/>
  <c r="BF108" i="28"/>
  <c r="CG108" i="28"/>
  <c r="AG100" i="28"/>
  <c r="BF100" i="28"/>
  <c r="CG100" i="28"/>
  <c r="AG92" i="28"/>
  <c r="BF92" i="28"/>
  <c r="CG92" i="28"/>
  <c r="AG84" i="28"/>
  <c r="BF84" i="28"/>
  <c r="CG84" i="28"/>
  <c r="AG76" i="28"/>
  <c r="BF76" i="28"/>
  <c r="CG76" i="28"/>
  <c r="AG68" i="28"/>
  <c r="BF68" i="28"/>
  <c r="CG68" i="28"/>
  <c r="AG59" i="28"/>
  <c r="BF59" i="28"/>
  <c r="CG59" i="28"/>
  <c r="AG51" i="28"/>
  <c r="BF51" i="28"/>
  <c r="CG51" i="28"/>
  <c r="BF43" i="28"/>
  <c r="AG43" i="28"/>
  <c r="CG43" i="28"/>
  <c r="BF35" i="28"/>
  <c r="AG35" i="28"/>
  <c r="CG35" i="28"/>
  <c r="AG26" i="28"/>
  <c r="BF26" i="28"/>
  <c r="CG26" i="28"/>
  <c r="AG18" i="28"/>
  <c r="BF18" i="28"/>
  <c r="CG18" i="28"/>
  <c r="AG10" i="28"/>
  <c r="BF10" i="28"/>
  <c r="CG10" i="28"/>
  <c r="AI114" i="28"/>
  <c r="BH114" i="28"/>
  <c r="CI114" i="28"/>
  <c r="AI106" i="28"/>
  <c r="BH106" i="28"/>
  <c r="CI106" i="28"/>
  <c r="AI98" i="28"/>
  <c r="BH98" i="28"/>
  <c r="CI98" i="28"/>
  <c r="AI89" i="28"/>
  <c r="BH89" i="28"/>
  <c r="CI89" i="28"/>
  <c r="AI81" i="28"/>
  <c r="BH81" i="28"/>
  <c r="CI81" i="28"/>
  <c r="AI73" i="28"/>
  <c r="BH73" i="28"/>
  <c r="CI73" i="28"/>
  <c r="AI65" i="28"/>
  <c r="BH65" i="28"/>
  <c r="CI65" i="28"/>
  <c r="AI56" i="28"/>
  <c r="BH56" i="28"/>
  <c r="CI56" i="28"/>
  <c r="AI48" i="28"/>
  <c r="BH48" i="28"/>
  <c r="CI48" i="28"/>
  <c r="AI40" i="28"/>
  <c r="BH40" i="28"/>
  <c r="CI40" i="28"/>
  <c r="AI32" i="28"/>
  <c r="BH32" i="28"/>
  <c r="CI32" i="28"/>
  <c r="AI24" i="28"/>
  <c r="BH24" i="28"/>
  <c r="CI24" i="28"/>
  <c r="AI16" i="28"/>
  <c r="BH16" i="28"/>
  <c r="CI16" i="28"/>
  <c r="AI90" i="28"/>
  <c r="BH90" i="28"/>
  <c r="CI90" i="28"/>
  <c r="CX140" i="28"/>
  <c r="DH140" i="28" s="1"/>
  <c r="CX167" i="28"/>
  <c r="DJ167" i="28" s="1"/>
  <c r="CX154" i="28"/>
  <c r="DJ154" i="28" s="1"/>
  <c r="CT161" i="28"/>
  <c r="DB161" i="28" s="1"/>
  <c r="CX128" i="28"/>
  <c r="DJ128" i="28" s="1"/>
  <c r="CT140" i="28"/>
  <c r="DB140" i="28" s="1"/>
  <c r="CT156" i="28"/>
  <c r="DB156" i="28" s="1"/>
  <c r="CX160" i="28"/>
  <c r="DJ160" i="28" s="1"/>
  <c r="CV153" i="28"/>
  <c r="DF153" i="28" s="1"/>
  <c r="CV124" i="28"/>
  <c r="DF124" i="28" s="1"/>
  <c r="CX150" i="28"/>
  <c r="DJ150" i="28" s="1"/>
  <c r="CV156" i="28"/>
  <c r="DD156" i="28" s="1"/>
  <c r="CU159" i="28"/>
  <c r="BG110" i="28"/>
  <c r="AH110" i="28"/>
  <c r="CH110" i="28"/>
  <c r="AH102" i="28"/>
  <c r="BG102" i="28"/>
  <c r="CH102" i="28"/>
  <c r="AH94" i="28"/>
  <c r="BG94" i="28"/>
  <c r="CH94" i="28"/>
  <c r="AH86" i="28"/>
  <c r="BG86" i="28"/>
  <c r="CH86" i="28"/>
  <c r="BG78" i="28"/>
  <c r="AH78" i="28"/>
  <c r="CH78" i="28"/>
  <c r="AH70" i="28"/>
  <c r="BG70" i="28"/>
  <c r="CH70" i="28"/>
  <c r="AH61" i="28"/>
  <c r="BG61" i="28"/>
  <c r="CH61" i="28"/>
  <c r="AH53" i="28"/>
  <c r="BG53" i="28"/>
  <c r="CH53" i="28"/>
  <c r="AH45" i="28"/>
  <c r="BG45" i="28"/>
  <c r="CH45" i="28"/>
  <c r="AH37" i="28"/>
  <c r="BG37" i="28"/>
  <c r="CH37" i="28"/>
  <c r="AH29" i="28"/>
  <c r="BG29" i="28"/>
  <c r="CH29" i="28"/>
  <c r="AH21" i="28"/>
  <c r="BG21" i="28"/>
  <c r="CH21" i="28"/>
  <c r="AH13" i="28"/>
  <c r="BG13" i="28"/>
  <c r="CH13" i="28"/>
  <c r="AH8" i="28"/>
  <c r="CH8" i="28"/>
  <c r="BG8" i="28"/>
  <c r="AF110" i="28"/>
  <c r="BE110" i="28"/>
  <c r="CF110" i="28"/>
  <c r="AF102" i="28"/>
  <c r="BE102" i="28"/>
  <c r="CF102" i="28"/>
  <c r="AF94" i="28"/>
  <c r="BE94" i="28"/>
  <c r="CF94" i="28"/>
  <c r="AF86" i="28"/>
  <c r="BE86" i="28"/>
  <c r="CF86" i="28"/>
  <c r="AF78" i="28"/>
  <c r="BE78" i="28"/>
  <c r="CF78" i="28"/>
  <c r="AF70" i="28"/>
  <c r="BE70" i="28"/>
  <c r="CF70" i="28"/>
  <c r="AF61" i="28"/>
  <c r="BE61" i="28"/>
  <c r="CF61" i="28"/>
  <c r="AF53" i="28"/>
  <c r="BE53" i="28"/>
  <c r="CF53" i="28"/>
  <c r="AF45" i="28"/>
  <c r="BE45" i="28"/>
  <c r="CF45" i="28"/>
  <c r="AF37" i="28"/>
  <c r="BE37" i="28"/>
  <c r="CF37" i="28"/>
  <c r="AF29" i="28"/>
  <c r="BE29" i="28"/>
  <c r="CF29" i="28"/>
  <c r="AF21" i="28"/>
  <c r="BE21" i="28"/>
  <c r="CF21" i="28"/>
  <c r="AF13" i="28"/>
  <c r="BE13" i="28"/>
  <c r="CF13" i="28"/>
  <c r="AF8" i="28"/>
  <c r="BE8" i="28"/>
  <c r="CF8" i="28"/>
  <c r="AE114" i="28"/>
  <c r="BD114" i="28"/>
  <c r="CE114" i="28"/>
  <c r="AE106" i="28"/>
  <c r="BD106" i="28"/>
  <c r="CE106" i="28"/>
  <c r="AE98" i="28"/>
  <c r="BD98" i="28"/>
  <c r="CE98" i="28"/>
  <c r="AE90" i="28"/>
  <c r="BD90" i="28"/>
  <c r="CE90" i="28"/>
  <c r="AE82" i="28"/>
  <c r="BD82" i="28"/>
  <c r="CE82" i="28"/>
  <c r="AE74" i="28"/>
  <c r="BD74" i="28"/>
  <c r="CE74" i="28"/>
  <c r="AE66" i="28"/>
  <c r="BD66" i="28"/>
  <c r="CE66" i="28"/>
  <c r="AE57" i="28"/>
  <c r="BD57" i="28"/>
  <c r="CE57" i="28"/>
  <c r="AE49" i="28"/>
  <c r="BD49" i="28"/>
  <c r="CE49" i="28"/>
  <c r="AE41" i="28"/>
  <c r="BD41" i="28"/>
  <c r="CE41" i="28"/>
  <c r="AE33" i="28"/>
  <c r="BD33" i="28"/>
  <c r="CE33" i="28"/>
  <c r="AE25" i="28"/>
  <c r="BD25" i="28"/>
  <c r="CE25" i="28"/>
  <c r="AE17" i="28"/>
  <c r="BD17" i="28"/>
  <c r="CE17" i="28"/>
  <c r="BD9" i="28"/>
  <c r="AE9" i="28"/>
  <c r="CE9" i="28"/>
  <c r="AG115" i="28"/>
  <c r="BF115" i="28"/>
  <c r="CG115" i="28"/>
  <c r="AG107" i="28"/>
  <c r="BF107" i="28"/>
  <c r="CG107" i="28"/>
  <c r="AG99" i="28"/>
  <c r="BF99" i="28"/>
  <c r="CG99" i="28"/>
  <c r="BF91" i="28"/>
  <c r="AG91" i="28"/>
  <c r="CG91" i="28"/>
  <c r="AG83" i="28"/>
  <c r="BF83" i="28"/>
  <c r="CG83" i="28"/>
  <c r="AG75" i="28"/>
  <c r="BF75" i="28"/>
  <c r="CG75" i="28"/>
  <c r="AG67" i="28"/>
  <c r="BF67" i="28"/>
  <c r="CG67" i="28"/>
  <c r="AG58" i="28"/>
  <c r="BF58" i="28"/>
  <c r="CG58" i="28"/>
  <c r="AG50" i="28"/>
  <c r="BF50" i="28"/>
  <c r="CG50" i="28"/>
  <c r="AG42" i="28"/>
  <c r="BF42" i="28"/>
  <c r="CG42" i="28"/>
  <c r="AG33" i="28"/>
  <c r="BF33" i="28"/>
  <c r="CG33" i="28"/>
  <c r="AG25" i="28"/>
  <c r="BF25" i="28"/>
  <c r="CG25" i="28"/>
  <c r="AG17" i="28"/>
  <c r="BF17" i="28"/>
  <c r="CG17" i="28"/>
  <c r="BF9" i="28"/>
  <c r="AG9" i="28"/>
  <c r="CG9" i="28"/>
  <c r="AI113" i="28"/>
  <c r="BH113" i="28"/>
  <c r="CI113" i="28"/>
  <c r="AI105" i="28"/>
  <c r="BH105" i="28"/>
  <c r="CI105" i="28"/>
  <c r="BH97" i="28"/>
  <c r="AI97" i="28"/>
  <c r="CI97" i="28"/>
  <c r="AI88" i="28"/>
  <c r="BH88" i="28"/>
  <c r="CI88" i="28"/>
  <c r="AI80" i="28"/>
  <c r="BH80" i="28"/>
  <c r="CI80" i="28"/>
  <c r="AI72" i="28"/>
  <c r="BH72" i="28"/>
  <c r="CI72" i="28"/>
  <c r="AI64" i="28"/>
  <c r="BH64" i="28"/>
  <c r="CI64" i="28"/>
  <c r="AI55" i="28"/>
  <c r="BH55" i="28"/>
  <c r="CI55" i="28"/>
  <c r="AI47" i="28"/>
  <c r="BH47" i="28"/>
  <c r="CI47" i="28"/>
  <c r="AI39" i="28"/>
  <c r="BH39" i="28"/>
  <c r="CI39" i="28"/>
  <c r="AI31" i="28"/>
  <c r="BH31" i="28"/>
  <c r="CI31" i="28"/>
  <c r="AI23" i="28"/>
  <c r="BH23" i="28"/>
  <c r="CI23" i="28"/>
  <c r="AI15" i="28"/>
  <c r="BH15" i="28"/>
  <c r="CI15" i="28"/>
  <c r="AI62" i="28"/>
  <c r="BH62" i="28"/>
  <c r="CI62" i="28"/>
  <c r="CT149" i="28"/>
  <c r="DB149" i="28" s="1"/>
  <c r="CV159" i="28"/>
  <c r="DF159" i="28" s="1"/>
  <c r="DN119" i="28"/>
  <c r="AN117" i="29"/>
  <c r="CX119" i="28"/>
  <c r="DH119" i="28" s="1"/>
  <c r="CW122" i="28"/>
  <c r="CV125" i="28"/>
  <c r="DD125" i="28" s="1"/>
  <c r="CU128" i="28"/>
  <c r="CT131" i="28"/>
  <c r="DB131" i="28" s="1"/>
  <c r="CW138" i="28"/>
  <c r="CV141" i="28"/>
  <c r="DD141" i="28" s="1"/>
  <c r="CU144" i="28"/>
  <c r="CT147" i="28"/>
  <c r="CZ147" i="28" s="1"/>
  <c r="CX151" i="28"/>
  <c r="DI151" i="28" s="1"/>
  <c r="CV157" i="28"/>
  <c r="DE157" i="28" s="1"/>
  <c r="CU160" i="28"/>
  <c r="CT163" i="28"/>
  <c r="CZ163" i="28" s="1"/>
  <c r="CU131" i="28"/>
  <c r="CT166" i="28"/>
  <c r="DA166" i="28" s="1"/>
  <c r="CV123" i="28"/>
  <c r="DD123" i="28" s="1"/>
  <c r="CX165" i="28"/>
  <c r="DJ165" i="28" s="1"/>
  <c r="CV150" i="28"/>
  <c r="DD150" i="28" s="1"/>
  <c r="CW137" i="28"/>
  <c r="AH109" i="28"/>
  <c r="BG109" i="28"/>
  <c r="CH109" i="28"/>
  <c r="AH101" i="28"/>
  <c r="BG101" i="28"/>
  <c r="CH101" i="28"/>
  <c r="AH93" i="28"/>
  <c r="BG93" i="28"/>
  <c r="CH93" i="28"/>
  <c r="AH85" i="28"/>
  <c r="BG85" i="28"/>
  <c r="CH85" i="28"/>
  <c r="AH77" i="28"/>
  <c r="CH77" i="28"/>
  <c r="BG77" i="28"/>
  <c r="AH69" i="28"/>
  <c r="BG69" i="28"/>
  <c r="CH69" i="28"/>
  <c r="AH60" i="28"/>
  <c r="BG60" i="28"/>
  <c r="CH60" i="28"/>
  <c r="AH52" i="28"/>
  <c r="BG52" i="28"/>
  <c r="CH52" i="28"/>
  <c r="AH44" i="28"/>
  <c r="BG44" i="28"/>
  <c r="CH44" i="28"/>
  <c r="AH36" i="28"/>
  <c r="BG36" i="28"/>
  <c r="CH36" i="28"/>
  <c r="AH28" i="28"/>
  <c r="BG28" i="28"/>
  <c r="CH28" i="28"/>
  <c r="AH20" i="28"/>
  <c r="BG20" i="28"/>
  <c r="CH20" i="28"/>
  <c r="AH12" i="28"/>
  <c r="BG12" i="28"/>
  <c r="CH12" i="28"/>
  <c r="AH117" i="28"/>
  <c r="BG117" i="28"/>
  <c r="CH117" i="28"/>
  <c r="AF109" i="28"/>
  <c r="BE109" i="28"/>
  <c r="CF109" i="28"/>
  <c r="AF101" i="28"/>
  <c r="BE101" i="28"/>
  <c r="CF101" i="28"/>
  <c r="AF93" i="28"/>
  <c r="BE93" i="28"/>
  <c r="CF93" i="28"/>
  <c r="AF85" i="28"/>
  <c r="BE85" i="28"/>
  <c r="CF85" i="28"/>
  <c r="AF77" i="28"/>
  <c r="BE77" i="28"/>
  <c r="CF77" i="28"/>
  <c r="AF69" i="28"/>
  <c r="BE69" i="28"/>
  <c r="CF69" i="28"/>
  <c r="AF60" i="28"/>
  <c r="BE60" i="28"/>
  <c r="CF60" i="28"/>
  <c r="AF52" i="28"/>
  <c r="BE52" i="28"/>
  <c r="CF52" i="28"/>
  <c r="AF44" i="28"/>
  <c r="BE44" i="28"/>
  <c r="CF44" i="28"/>
  <c r="AF36" i="28"/>
  <c r="BE36" i="28"/>
  <c r="CF36" i="28"/>
  <c r="AF28" i="28"/>
  <c r="BE28" i="28"/>
  <c r="CF28" i="28"/>
  <c r="AF20" i="28"/>
  <c r="BE20" i="28"/>
  <c r="CF20" i="28"/>
  <c r="AF12" i="28"/>
  <c r="BE12" i="28"/>
  <c r="CF12" i="28"/>
  <c r="AF117" i="28"/>
  <c r="BE117" i="28"/>
  <c r="CF117" i="28"/>
  <c r="AE113" i="28"/>
  <c r="BD113" i="28"/>
  <c r="CE113" i="28"/>
  <c r="AE105" i="28"/>
  <c r="CE105" i="28"/>
  <c r="BD105" i="28"/>
  <c r="AE97" i="28"/>
  <c r="BD97" i="28"/>
  <c r="CE97" i="28"/>
  <c r="AE89" i="28"/>
  <c r="CE89" i="28"/>
  <c r="BD89" i="28"/>
  <c r="AE81" i="28"/>
  <c r="BD81" i="28"/>
  <c r="CE81" i="28"/>
  <c r="AE73" i="28"/>
  <c r="BD73" i="28"/>
  <c r="CE73" i="28"/>
  <c r="AE65" i="28"/>
  <c r="BD65" i="28"/>
  <c r="CE65" i="28"/>
  <c r="AE56" i="28"/>
  <c r="BD56" i="28"/>
  <c r="CE56" i="28"/>
  <c r="AE48" i="28"/>
  <c r="BD48" i="28"/>
  <c r="CE48" i="28"/>
  <c r="AE40" i="28"/>
  <c r="BD40" i="28"/>
  <c r="CE40" i="28"/>
  <c r="AE32" i="28"/>
  <c r="BD32" i="28"/>
  <c r="CE32" i="28"/>
  <c r="AE24" i="28"/>
  <c r="BD24" i="28"/>
  <c r="CE24" i="28"/>
  <c r="AE16" i="28"/>
  <c r="BD16" i="28"/>
  <c r="CE16" i="28"/>
  <c r="AE62" i="28"/>
  <c r="BD62" i="28"/>
  <c r="CE62" i="28"/>
  <c r="AG114" i="28"/>
  <c r="BF114" i="28"/>
  <c r="CG114" i="28"/>
  <c r="AG106" i="28"/>
  <c r="BF106" i="28"/>
  <c r="CG106" i="28"/>
  <c r="AG98" i="28"/>
  <c r="BF98" i="28"/>
  <c r="CG98" i="28"/>
  <c r="AG90" i="28"/>
  <c r="BF90" i="28"/>
  <c r="CG90" i="28"/>
  <c r="AG82" i="28"/>
  <c r="BF82" i="28"/>
  <c r="CG82" i="28"/>
  <c r="AG74" i="28"/>
  <c r="BF74" i="28"/>
  <c r="CG74" i="28"/>
  <c r="AG66" i="28"/>
  <c r="BF66" i="28"/>
  <c r="CG66" i="28"/>
  <c r="AG57" i="28"/>
  <c r="BF57" i="28"/>
  <c r="CG57" i="28"/>
  <c r="AG49" i="28"/>
  <c r="BF49" i="28"/>
  <c r="CG49" i="28"/>
  <c r="AG41" i="28"/>
  <c r="BF41" i="28"/>
  <c r="CG41" i="28"/>
  <c r="AG32" i="28"/>
  <c r="BF32" i="28"/>
  <c r="CG32" i="28"/>
  <c r="AG24" i="28"/>
  <c r="BF24" i="28"/>
  <c r="CG24" i="28"/>
  <c r="AG16" i="28"/>
  <c r="BF16" i="28"/>
  <c r="CG16" i="28"/>
  <c r="AG34" i="28"/>
  <c r="BF34" i="28"/>
  <c r="CG34" i="28"/>
  <c r="AI112" i="28"/>
  <c r="BH112" i="28"/>
  <c r="CI112" i="28"/>
  <c r="AI104" i="28"/>
  <c r="BH104" i="28"/>
  <c r="CI104" i="28"/>
  <c r="AI96" i="28"/>
  <c r="BH96" i="28"/>
  <c r="CI96" i="28"/>
  <c r="AI87" i="28"/>
  <c r="BH87" i="28"/>
  <c r="CI87" i="28"/>
  <c r="AI79" i="28"/>
  <c r="BH79" i="28"/>
  <c r="CI79" i="28"/>
  <c r="AI71" i="28"/>
  <c r="BH71" i="28"/>
  <c r="CI71" i="28"/>
  <c r="AI63" i="28"/>
  <c r="BH63" i="28"/>
  <c r="CI63" i="28"/>
  <c r="AI54" i="28"/>
  <c r="BH54" i="28"/>
  <c r="CI54" i="28"/>
  <c r="AI46" i="28"/>
  <c r="BH46" i="28"/>
  <c r="CI46" i="28"/>
  <c r="AI38" i="28"/>
  <c r="BH38" i="28"/>
  <c r="CI38" i="28"/>
  <c r="AI30" i="28"/>
  <c r="BH30" i="28"/>
  <c r="CI30" i="28"/>
  <c r="AI22" i="28"/>
  <c r="BH22" i="28"/>
  <c r="CI22" i="28"/>
  <c r="AI14" i="28"/>
  <c r="BH14" i="28"/>
  <c r="CI14" i="28"/>
  <c r="AI8" i="28"/>
  <c r="CI8" i="28"/>
  <c r="BH8" i="28"/>
  <c r="CX118" i="28"/>
  <c r="DH118" i="28" s="1"/>
  <c r="CX121" i="28"/>
  <c r="DJ121" i="28" s="1"/>
  <c r="CW124" i="28"/>
  <c r="CV127" i="28"/>
  <c r="DD127" i="28" s="1"/>
  <c r="CU130" i="28"/>
  <c r="CT133" i="28"/>
  <c r="DA133" i="28" s="1"/>
  <c r="CX137" i="28"/>
  <c r="CW140" i="28"/>
  <c r="CV143" i="28"/>
  <c r="DE143" i="28" s="1"/>
  <c r="CU146" i="28"/>
  <c r="CX153" i="28"/>
  <c r="DJ153" i="28" s="1"/>
  <c r="CW156" i="28"/>
  <c r="CU162" i="28"/>
  <c r="CT165" i="28"/>
  <c r="CZ165" i="28" s="1"/>
  <c r="CW119" i="28"/>
  <c r="CV122" i="28"/>
  <c r="DF122" i="28" s="1"/>
  <c r="CW135" i="28"/>
  <c r="CV138" i="28"/>
  <c r="DF138" i="28" s="1"/>
  <c r="CV154" i="28"/>
  <c r="CX122" i="28"/>
  <c r="DH122" i="28" s="1"/>
  <c r="CV128" i="28"/>
  <c r="DD128" i="28" s="1"/>
  <c r="CT134" i="28"/>
  <c r="CX138" i="28"/>
  <c r="DH138" i="28" s="1"/>
  <c r="CV144" i="28"/>
  <c r="DD144" i="28" s="1"/>
  <c r="CU147" i="28"/>
  <c r="CT150" i="28"/>
  <c r="CV160" i="28"/>
  <c r="DE160" i="28" s="1"/>
  <c r="CU163" i="28"/>
  <c r="CW120" i="28"/>
  <c r="CU126" i="28"/>
  <c r="CT129" i="28"/>
  <c r="CX133" i="28"/>
  <c r="DH133" i="28" s="1"/>
  <c r="CW136" i="28"/>
  <c r="CV139" i="28"/>
  <c r="DD139" i="28" s="1"/>
  <c r="CU142" i="28"/>
  <c r="CT145" i="28"/>
  <c r="CW152" i="28"/>
  <c r="CV155" i="28"/>
  <c r="DF155" i="28" s="1"/>
  <c r="CU158" i="28"/>
  <c r="CU118" i="28"/>
  <c r="CU121" i="28"/>
  <c r="CW131" i="28"/>
  <c r="CV134" i="28"/>
  <c r="DD134" i="28" s="1"/>
  <c r="CW147" i="28"/>
  <c r="CW163" i="28"/>
  <c r="CV166" i="28"/>
  <c r="DE166" i="28" s="1"/>
  <c r="CV121" i="28"/>
  <c r="DE121" i="28" s="1"/>
  <c r="CU124" i="28"/>
  <c r="CT127" i="28"/>
  <c r="CZ127" i="28" s="1"/>
  <c r="CX131" i="28"/>
  <c r="CW134" i="28"/>
  <c r="CV137" i="28"/>
  <c r="DD137" i="28" s="1"/>
  <c r="CU140" i="28"/>
  <c r="CT143" i="28"/>
  <c r="CZ143" i="28" s="1"/>
  <c r="CX147" i="28"/>
  <c r="CW150" i="28"/>
  <c r="CU156" i="28"/>
  <c r="CT159" i="28"/>
  <c r="CZ159" i="28" s="1"/>
  <c r="CX163" i="28"/>
  <c r="DH163" i="28" s="1"/>
  <c r="CW166" i="28"/>
  <c r="CW118" i="28"/>
  <c r="CW121" i="28"/>
  <c r="CT130" i="28"/>
  <c r="DB130" i="28" s="1"/>
  <c r="CX134" i="28"/>
  <c r="DH134" i="28" s="1"/>
  <c r="CV140" i="28"/>
  <c r="DE140" i="28" s="1"/>
  <c r="CT146" i="28"/>
  <c r="CZ146" i="28" s="1"/>
  <c r="CT162" i="28"/>
  <c r="CZ162" i="28" s="1"/>
  <c r="AH116" i="28"/>
  <c r="BG116" i="28"/>
  <c r="CH116" i="28"/>
  <c r="AH108" i="28"/>
  <c r="BG108" i="28"/>
  <c r="CH108" i="28"/>
  <c r="AH100" i="28"/>
  <c r="BG100" i="28"/>
  <c r="CH100" i="28"/>
  <c r="AH92" i="28"/>
  <c r="BG92" i="28"/>
  <c r="CH92" i="28"/>
  <c r="AH84" i="28"/>
  <c r="BG84" i="28"/>
  <c r="CH84" i="28"/>
  <c r="AH76" i="28"/>
  <c r="BG76" i="28"/>
  <c r="CH76" i="28"/>
  <c r="AH68" i="28"/>
  <c r="BG68" i="28"/>
  <c r="CH68" i="28"/>
  <c r="AH59" i="28"/>
  <c r="BG59" i="28"/>
  <c r="CH59" i="28"/>
  <c r="AH51" i="28"/>
  <c r="BG51" i="28"/>
  <c r="CH51" i="28"/>
  <c r="AH43" i="28"/>
  <c r="BG43" i="28"/>
  <c r="CH43" i="28"/>
  <c r="AH35" i="28"/>
  <c r="BG35" i="28"/>
  <c r="CH35" i="28"/>
  <c r="AH27" i="28"/>
  <c r="BG27" i="28"/>
  <c r="CH27" i="28"/>
  <c r="AH19" i="28"/>
  <c r="BG19" i="28"/>
  <c r="CH19" i="28"/>
  <c r="AH11" i="28"/>
  <c r="BG11" i="28"/>
  <c r="CH11" i="28"/>
  <c r="AF116" i="28"/>
  <c r="CF116" i="28"/>
  <c r="BE116" i="28"/>
  <c r="AF108" i="28"/>
  <c r="BE108" i="28"/>
  <c r="CF108" i="28"/>
  <c r="AF100" i="28"/>
  <c r="BE100" i="28"/>
  <c r="CF100" i="28"/>
  <c r="AF92" i="28"/>
  <c r="CF92" i="28"/>
  <c r="BE92" i="28"/>
  <c r="AF84" i="28"/>
  <c r="BE84" i="28"/>
  <c r="CF84" i="28"/>
  <c r="AF76" i="28"/>
  <c r="BE76" i="28"/>
  <c r="CF76" i="28"/>
  <c r="AF68" i="28"/>
  <c r="BE68" i="28"/>
  <c r="CF68" i="28"/>
  <c r="AF59" i="28"/>
  <c r="BE59" i="28"/>
  <c r="CF59" i="28"/>
  <c r="AF51" i="28"/>
  <c r="BE51" i="28"/>
  <c r="CF51" i="28"/>
  <c r="AF43" i="28"/>
  <c r="BE43" i="28"/>
  <c r="CF43" i="28"/>
  <c r="AF35" i="28"/>
  <c r="BE35" i="28"/>
  <c r="CF35" i="28"/>
  <c r="AF27" i="28"/>
  <c r="BE27" i="28"/>
  <c r="CF27" i="28"/>
  <c r="AF19" i="28"/>
  <c r="BE19" i="28"/>
  <c r="CF19" i="28"/>
  <c r="AF11" i="28"/>
  <c r="BE11" i="28"/>
  <c r="CF11" i="28"/>
  <c r="BD112" i="28"/>
  <c r="AE112" i="28"/>
  <c r="CE112" i="28"/>
  <c r="BD104" i="28"/>
  <c r="AE104" i="28"/>
  <c r="CE104" i="28"/>
  <c r="AE96" i="28"/>
  <c r="BD96" i="28"/>
  <c r="CE96" i="28"/>
  <c r="BD88" i="28"/>
  <c r="AE88" i="28"/>
  <c r="CE88" i="28"/>
  <c r="BD80" i="28"/>
  <c r="AE80" i="28"/>
  <c r="CE80" i="28"/>
  <c r="AE72" i="28"/>
  <c r="BD72" i="28"/>
  <c r="CE72" i="28"/>
  <c r="AE64" i="28"/>
  <c r="BD64" i="28"/>
  <c r="CE64" i="28"/>
  <c r="AE55" i="28"/>
  <c r="BD55" i="28"/>
  <c r="CE55" i="28"/>
  <c r="AE47" i="28"/>
  <c r="BD47" i="28"/>
  <c r="CE47" i="28"/>
  <c r="AE39" i="28"/>
  <c r="BD39" i="28"/>
  <c r="CE39" i="28"/>
  <c r="AE31" i="28"/>
  <c r="BD31" i="28"/>
  <c r="CE31" i="28"/>
  <c r="AE23" i="28"/>
  <c r="BD23" i="28"/>
  <c r="CE23" i="28"/>
  <c r="AE15" i="28"/>
  <c r="BD15" i="28"/>
  <c r="CE15" i="28"/>
  <c r="AG113" i="28"/>
  <c r="BF113" i="28"/>
  <c r="CG113" i="28"/>
  <c r="AG105" i="28"/>
  <c r="BF105" i="28"/>
  <c r="CG105" i="28"/>
  <c r="AG97" i="28"/>
  <c r="BF97" i="28"/>
  <c r="CG97" i="28"/>
  <c r="AG89" i="28"/>
  <c r="BF89" i="28"/>
  <c r="CG89" i="28"/>
  <c r="AG81" i="28"/>
  <c r="BF81" i="28"/>
  <c r="CG81" i="28"/>
  <c r="AG73" i="28"/>
  <c r="BF73" i="28"/>
  <c r="CG73" i="28"/>
  <c r="AG65" i="28"/>
  <c r="BF65" i="28"/>
  <c r="CG65" i="28"/>
  <c r="AG56" i="28"/>
  <c r="BF56" i="28"/>
  <c r="CG56" i="28"/>
  <c r="AG48" i="28"/>
  <c r="BF48" i="28"/>
  <c r="CG48" i="28"/>
  <c r="AG40" i="28"/>
  <c r="BF40" i="28"/>
  <c r="CG40" i="28"/>
  <c r="AG31" i="28"/>
  <c r="BF31" i="28"/>
  <c r="CG31" i="28"/>
  <c r="AG23" i="28"/>
  <c r="BF23" i="28"/>
  <c r="CG23" i="28"/>
  <c r="AG15" i="28"/>
  <c r="BF15" i="28"/>
  <c r="CG15" i="28"/>
  <c r="AG62" i="28"/>
  <c r="BF62" i="28"/>
  <c r="CG62" i="28"/>
  <c r="AI111" i="28"/>
  <c r="BH111" i="28"/>
  <c r="CI111" i="28"/>
  <c r="AI103" i="28"/>
  <c r="BH103" i="28"/>
  <c r="CI103" i="28"/>
  <c r="AI95" i="28"/>
  <c r="BH95" i="28"/>
  <c r="CI95" i="28"/>
  <c r="AI86" i="28"/>
  <c r="BH86" i="28"/>
  <c r="CI86" i="28"/>
  <c r="AI78" i="28"/>
  <c r="BH78" i="28"/>
  <c r="CI78" i="28"/>
  <c r="AI70" i="28"/>
  <c r="BH70" i="28"/>
  <c r="CI70" i="28"/>
  <c r="AI61" i="28"/>
  <c r="BH61" i="28"/>
  <c r="CI61" i="28"/>
  <c r="AI53" i="28"/>
  <c r="BH53" i="28"/>
  <c r="CI53" i="28"/>
  <c r="AI45" i="28"/>
  <c r="BH45" i="28"/>
  <c r="CI45" i="28"/>
  <c r="AI37" i="28"/>
  <c r="BH37" i="28"/>
  <c r="CI37" i="28"/>
  <c r="AI29" i="28"/>
  <c r="BH29" i="28"/>
  <c r="CI29" i="28"/>
  <c r="AI21" i="28"/>
  <c r="BH21" i="28"/>
  <c r="CI21" i="28"/>
  <c r="AI13" i="28"/>
  <c r="BH13" i="28"/>
  <c r="CI13" i="28"/>
  <c r="AI117" i="28"/>
  <c r="CI117" i="28"/>
  <c r="BH117" i="28"/>
  <c r="CX132" i="28"/>
  <c r="DI132" i="28" s="1"/>
  <c r="CT144" i="28"/>
  <c r="DB144" i="28" s="1"/>
  <c r="CX148" i="28"/>
  <c r="DJ148" i="28" s="1"/>
  <c r="CT123" i="28"/>
  <c r="DB123" i="28" s="1"/>
  <c r="CT139" i="28"/>
  <c r="DB139" i="28" s="1"/>
  <c r="CX166" i="28"/>
  <c r="DH166" i="28" s="1"/>
  <c r="AH115" i="28"/>
  <c r="BG115" i="28"/>
  <c r="CH115" i="28"/>
  <c r="AH107" i="28"/>
  <c r="BG107" i="28"/>
  <c r="CH107" i="28"/>
  <c r="AH99" i="28"/>
  <c r="BG99" i="28"/>
  <c r="CH99" i="28"/>
  <c r="AH91" i="28"/>
  <c r="BG91" i="28"/>
  <c r="CH91" i="28"/>
  <c r="AH83" i="28"/>
  <c r="BG83" i="28"/>
  <c r="CH83" i="28"/>
  <c r="AH75" i="28"/>
  <c r="BG75" i="28"/>
  <c r="CH75" i="28"/>
  <c r="AH67" i="28"/>
  <c r="BG67" i="28"/>
  <c r="CH67" i="28"/>
  <c r="AH58" i="28"/>
  <c r="BG58" i="28"/>
  <c r="CH58" i="28"/>
  <c r="AH50" i="28"/>
  <c r="BG50" i="28"/>
  <c r="CH50" i="28"/>
  <c r="AH42" i="28"/>
  <c r="BG42" i="28"/>
  <c r="CH42" i="28"/>
  <c r="AH34" i="28"/>
  <c r="BG34" i="28"/>
  <c r="CH34" i="28"/>
  <c r="AH26" i="28"/>
  <c r="BG26" i="28"/>
  <c r="CH26" i="28"/>
  <c r="AH18" i="28"/>
  <c r="BG18" i="28"/>
  <c r="CH18" i="28"/>
  <c r="AH10" i="28"/>
  <c r="BG10" i="28"/>
  <c r="CH10" i="28"/>
  <c r="AF115" i="28"/>
  <c r="BE115" i="28"/>
  <c r="CF115" i="28"/>
  <c r="BE107" i="28"/>
  <c r="AF107" i="28"/>
  <c r="CF107" i="28"/>
  <c r="BE99" i="28"/>
  <c r="AF99" i="28"/>
  <c r="CF99" i="28"/>
  <c r="BE91" i="28"/>
  <c r="AF91" i="28"/>
  <c r="CF91" i="28"/>
  <c r="AF83" i="28"/>
  <c r="BE83" i="28"/>
  <c r="CF83" i="28"/>
  <c r="AF75" i="28"/>
  <c r="BE75" i="28"/>
  <c r="CF75" i="28"/>
  <c r="AF67" i="28"/>
  <c r="BE67" i="28"/>
  <c r="CF67" i="28"/>
  <c r="AF58" i="28"/>
  <c r="BE58" i="28"/>
  <c r="CF58" i="28"/>
  <c r="AF50" i="28"/>
  <c r="BE50" i="28"/>
  <c r="CF50" i="28"/>
  <c r="AF42" i="28"/>
  <c r="BE42" i="28"/>
  <c r="CF42" i="28"/>
  <c r="AF34" i="28"/>
  <c r="BE34" i="28"/>
  <c r="CF34" i="28"/>
  <c r="AF26" i="28"/>
  <c r="BE26" i="28"/>
  <c r="CF26" i="28"/>
  <c r="AF18" i="28"/>
  <c r="BE18" i="28"/>
  <c r="CF18" i="28"/>
  <c r="BE10" i="28"/>
  <c r="AF10" i="28"/>
  <c r="CF10" i="28"/>
  <c r="AE111" i="28"/>
  <c r="BD111" i="28"/>
  <c r="CE111" i="28"/>
  <c r="AE103" i="28"/>
  <c r="BD103" i="28"/>
  <c r="CE103" i="28"/>
  <c r="AE95" i="28"/>
  <c r="BD95" i="28"/>
  <c r="CE95" i="28"/>
  <c r="AE87" i="28"/>
  <c r="BD87" i="28"/>
  <c r="CE87" i="28"/>
  <c r="AE79" i="28"/>
  <c r="BD79" i="28"/>
  <c r="CE79" i="28"/>
  <c r="AE71" i="28"/>
  <c r="BD71" i="28"/>
  <c r="CE71" i="28"/>
  <c r="AE63" i="28"/>
  <c r="BD63" i="28"/>
  <c r="CE63" i="28"/>
  <c r="AE54" i="28"/>
  <c r="BD54" i="28"/>
  <c r="CE54" i="28"/>
  <c r="AE46" i="28"/>
  <c r="BD46" i="28"/>
  <c r="CE46" i="28"/>
  <c r="AE38" i="28"/>
  <c r="BD38" i="28"/>
  <c r="CE38" i="28"/>
  <c r="AE30" i="28"/>
  <c r="BD30" i="28"/>
  <c r="CE30" i="28"/>
  <c r="AE22" i="28"/>
  <c r="BD22" i="28"/>
  <c r="CE22" i="28"/>
  <c r="AE14" i="28"/>
  <c r="BD14" i="28"/>
  <c r="CE14" i="28"/>
  <c r="AG112" i="28"/>
  <c r="BF112" i="28"/>
  <c r="CG112" i="28"/>
  <c r="AG104" i="28"/>
  <c r="BF104" i="28"/>
  <c r="CG104" i="28"/>
  <c r="AG96" i="28"/>
  <c r="BF96" i="28"/>
  <c r="CG96" i="28"/>
  <c r="AG88" i="28"/>
  <c r="BF88" i="28"/>
  <c r="CG88" i="28"/>
  <c r="AG80" i="28"/>
  <c r="BF80" i="28"/>
  <c r="CG80" i="28"/>
  <c r="AG72" i="28"/>
  <c r="BF72" i="28"/>
  <c r="CG72" i="28"/>
  <c r="AG64" i="28"/>
  <c r="BF64" i="28"/>
  <c r="CG64" i="28"/>
  <c r="AG55" i="28"/>
  <c r="BF55" i="28"/>
  <c r="CG55" i="28"/>
  <c r="AG47" i="28"/>
  <c r="BF47" i="28"/>
  <c r="CG47" i="28"/>
  <c r="AG39" i="28"/>
  <c r="BF39" i="28"/>
  <c r="CG39" i="28"/>
  <c r="AG30" i="28"/>
  <c r="BF30" i="28"/>
  <c r="CG30" i="28"/>
  <c r="AG22" i="28"/>
  <c r="BF22" i="28"/>
  <c r="CG22" i="28"/>
  <c r="AG14" i="28"/>
  <c r="BF14" i="28"/>
  <c r="CG14" i="28"/>
  <c r="AG8" i="28"/>
  <c r="BF8" i="28"/>
  <c r="CG8" i="28"/>
  <c r="AI110" i="28"/>
  <c r="BH110" i="28"/>
  <c r="CI110" i="28"/>
  <c r="AI102" i="28"/>
  <c r="BH102" i="28"/>
  <c r="CI102" i="28"/>
  <c r="AI94" i="28"/>
  <c r="BH94" i="28"/>
  <c r="CI94" i="28"/>
  <c r="AI85" i="28"/>
  <c r="BH85" i="28"/>
  <c r="CI85" i="28"/>
  <c r="AI77" i="28"/>
  <c r="BH77" i="28"/>
  <c r="CI77" i="28"/>
  <c r="AI69" i="28"/>
  <c r="BH69" i="28"/>
  <c r="CI69" i="28"/>
  <c r="AI60" i="28"/>
  <c r="BH60" i="28"/>
  <c r="CI60" i="28"/>
  <c r="AI52" i="28"/>
  <c r="BH52" i="28"/>
  <c r="CI52" i="28"/>
  <c r="AI44" i="28"/>
  <c r="BH44" i="28"/>
  <c r="CI44" i="28"/>
  <c r="AI36" i="28"/>
  <c r="CI36" i="28"/>
  <c r="BH36" i="28"/>
  <c r="AI28" i="28"/>
  <c r="BH28" i="28"/>
  <c r="CI28" i="28"/>
  <c r="AI20" i="28"/>
  <c r="BH20" i="28"/>
  <c r="CI20" i="28"/>
  <c r="AI12" i="28"/>
  <c r="BH12" i="28"/>
  <c r="CI12" i="28"/>
  <c r="CT128" i="28"/>
  <c r="CX164" i="28"/>
  <c r="DH164" i="28" s="1"/>
  <c r="CX130" i="28"/>
  <c r="DH130" i="28" s="1"/>
  <c r="CT142" i="28"/>
  <c r="DB142" i="28" s="1"/>
  <c r="CX146" i="28"/>
  <c r="DH146" i="28" s="1"/>
  <c r="CX162" i="28"/>
  <c r="DH162" i="28" s="1"/>
  <c r="CT137" i="28"/>
  <c r="DA137" i="28" s="1"/>
  <c r="CX120" i="28"/>
  <c r="DI120" i="28" s="1"/>
  <c r="CT132" i="28"/>
  <c r="DA132" i="28" s="1"/>
  <c r="CX136" i="28"/>
  <c r="DJ136" i="28" s="1"/>
  <c r="CT148" i="28"/>
  <c r="DB148" i="28" s="1"/>
  <c r="CT164" i="28"/>
  <c r="DB164" i="28" s="1"/>
  <c r="CV132" i="28"/>
  <c r="DD132" i="28" s="1"/>
  <c r="CV148" i="28"/>
  <c r="DF148" i="28" s="1"/>
  <c r="CV164" i="28"/>
  <c r="DE164" i="28" s="1"/>
  <c r="AH114" i="28"/>
  <c r="CH114" i="28"/>
  <c r="BG114" i="28"/>
  <c r="AH106" i="28"/>
  <c r="CH106" i="28"/>
  <c r="BG106" i="28"/>
  <c r="AH98" i="28"/>
  <c r="BG98" i="28"/>
  <c r="CH98" i="28"/>
  <c r="AH90" i="28"/>
  <c r="CH90" i="28"/>
  <c r="BG90" i="28"/>
  <c r="AH82" i="28"/>
  <c r="BG82" i="28"/>
  <c r="CH82" i="28"/>
  <c r="AH74" i="28"/>
  <c r="BG74" i="28"/>
  <c r="CH74" i="28"/>
  <c r="AH66" i="28"/>
  <c r="BG66" i="28"/>
  <c r="CH66" i="28"/>
  <c r="AH57" i="28"/>
  <c r="BG57" i="28"/>
  <c r="CH57" i="28"/>
  <c r="AH49" i="28"/>
  <c r="BG49" i="28"/>
  <c r="CH49" i="28"/>
  <c r="AH41" i="28"/>
  <c r="BG41" i="28"/>
  <c r="CH41" i="28"/>
  <c r="AH33" i="28"/>
  <c r="BG33" i="28"/>
  <c r="CH33" i="28"/>
  <c r="AH25" i="28"/>
  <c r="BG25" i="28"/>
  <c r="CH25" i="28"/>
  <c r="AH17" i="28"/>
  <c r="BG17" i="28"/>
  <c r="CH17" i="28"/>
  <c r="BG9" i="28"/>
  <c r="AH9" i="28"/>
  <c r="CH9" i="28"/>
  <c r="AF114" i="28"/>
  <c r="BE114" i="28"/>
  <c r="CF114" i="28"/>
  <c r="AF106" i="28"/>
  <c r="BE106" i="28"/>
  <c r="CF106" i="28"/>
  <c r="AF98" i="28"/>
  <c r="BE98" i="28"/>
  <c r="CF98" i="28"/>
  <c r="AF90" i="28"/>
  <c r="BE90" i="28"/>
  <c r="CF90" i="28"/>
  <c r="AF82" i="28"/>
  <c r="BE82" i="28"/>
  <c r="CF82" i="28"/>
  <c r="AF74" i="28"/>
  <c r="BE74" i="28"/>
  <c r="CF74" i="28"/>
  <c r="AF66" i="28"/>
  <c r="BE66" i="28"/>
  <c r="CF66" i="28"/>
  <c r="AF57" i="28"/>
  <c r="BE57" i="28"/>
  <c r="CF57" i="28"/>
  <c r="AF49" i="28"/>
  <c r="BE49" i="28"/>
  <c r="CF49" i="28"/>
  <c r="AF41" i="28"/>
  <c r="BE41" i="28"/>
  <c r="CF41" i="28"/>
  <c r="AF33" i="28"/>
  <c r="BE33" i="28"/>
  <c r="CF33" i="28"/>
  <c r="AF25" i="28"/>
  <c r="BE25" i="28"/>
  <c r="CF25" i="28"/>
  <c r="AF17" i="28"/>
  <c r="BE17" i="28"/>
  <c r="CF17" i="28"/>
  <c r="AF9" i="28"/>
  <c r="BE9" i="28"/>
  <c r="CF9" i="28"/>
  <c r="AE110" i="28"/>
  <c r="BD110" i="28"/>
  <c r="CE110" i="28"/>
  <c r="AE102" i="28"/>
  <c r="BD102" i="28"/>
  <c r="CE102" i="28"/>
  <c r="AE94" i="28"/>
  <c r="BD94" i="28"/>
  <c r="CE94" i="28"/>
  <c r="AE86" i="28"/>
  <c r="BD86" i="28"/>
  <c r="CE86" i="28"/>
  <c r="AE78" i="28"/>
  <c r="BD78" i="28"/>
  <c r="CE78" i="28"/>
  <c r="AE70" i="28"/>
  <c r="BD70" i="28"/>
  <c r="CE70" i="28"/>
  <c r="BD61" i="28"/>
  <c r="AE61" i="28"/>
  <c r="CE61" i="28"/>
  <c r="AE53" i="28"/>
  <c r="BD53" i="28"/>
  <c r="CE53" i="28"/>
  <c r="BD45" i="28"/>
  <c r="AE45" i="28"/>
  <c r="CE45" i="28"/>
  <c r="AE37" i="28"/>
  <c r="BD37" i="28"/>
  <c r="CE37" i="28"/>
  <c r="BD29" i="28"/>
  <c r="AE29" i="28"/>
  <c r="CE29" i="28"/>
  <c r="AE21" i="28"/>
  <c r="BD21" i="28"/>
  <c r="CE21" i="28"/>
  <c r="AE13" i="28"/>
  <c r="BD13" i="28"/>
  <c r="CE13" i="28"/>
  <c r="AE8" i="28"/>
  <c r="BD8" i="28"/>
  <c r="CE8" i="28"/>
  <c r="AG111" i="28"/>
  <c r="BF111" i="28"/>
  <c r="CG111" i="28"/>
  <c r="AG103" i="28"/>
  <c r="CG103" i="28"/>
  <c r="BF103" i="28"/>
  <c r="AG95" i="28"/>
  <c r="BF95" i="28"/>
  <c r="CG95" i="28"/>
  <c r="AG87" i="28"/>
  <c r="BF87" i="28"/>
  <c r="CG87" i="28"/>
  <c r="AG79" i="28"/>
  <c r="BF79" i="28"/>
  <c r="CG79" i="28"/>
  <c r="AG71" i="28"/>
  <c r="BF71" i="28"/>
  <c r="CG71" i="28"/>
  <c r="AG63" i="28"/>
  <c r="BF63" i="28"/>
  <c r="CG63" i="28"/>
  <c r="AG54" i="28"/>
  <c r="BF54" i="28"/>
  <c r="CG54" i="28"/>
  <c r="AG46" i="28"/>
  <c r="BF46" i="28"/>
  <c r="CG46" i="28"/>
  <c r="AG38" i="28"/>
  <c r="BF38" i="28"/>
  <c r="CG38" i="28"/>
  <c r="AG29" i="28"/>
  <c r="BF29" i="28"/>
  <c r="CG29" i="28"/>
  <c r="AG21" i="28"/>
  <c r="BF21" i="28"/>
  <c r="CG21" i="28"/>
  <c r="AG13" i="28"/>
  <c r="BF13" i="28"/>
  <c r="CG13" i="28"/>
  <c r="AG117" i="28"/>
  <c r="BF117" i="28"/>
  <c r="CG117" i="28"/>
  <c r="AI109" i="28"/>
  <c r="BH109" i="28"/>
  <c r="CI109" i="28"/>
  <c r="AI101" i="28"/>
  <c r="CI101" i="28"/>
  <c r="BH101" i="28"/>
  <c r="AI93" i="28"/>
  <c r="CI93" i="28"/>
  <c r="BH93" i="28"/>
  <c r="BH84" i="28"/>
  <c r="AI84" i="28"/>
  <c r="CI84" i="28"/>
  <c r="AI76" i="28"/>
  <c r="BH76" i="28"/>
  <c r="CI76" i="28"/>
  <c r="AI68" i="28"/>
  <c r="BH68" i="28"/>
  <c r="CI68" i="28"/>
  <c r="AI59" i="28"/>
  <c r="BH59" i="28"/>
  <c r="CI59" i="28"/>
  <c r="AI51" i="28"/>
  <c r="BH51" i="28"/>
  <c r="CI51" i="28"/>
  <c r="AI43" i="28"/>
  <c r="BH43" i="28"/>
  <c r="CI43" i="28"/>
  <c r="AI35" i="28"/>
  <c r="BH35" i="28"/>
  <c r="CI35" i="28"/>
  <c r="AI27" i="28"/>
  <c r="BH27" i="28"/>
  <c r="CI27" i="28"/>
  <c r="AI19" i="28"/>
  <c r="BH19" i="28"/>
  <c r="CI19" i="28"/>
  <c r="AI11" i="28"/>
  <c r="BH11" i="28"/>
  <c r="CI11" i="28"/>
  <c r="CX129" i="28"/>
  <c r="DI129" i="28" s="1"/>
  <c r="CV167" i="28"/>
  <c r="DD167" i="28" s="1"/>
  <c r="CU120" i="28"/>
  <c r="CX127" i="28"/>
  <c r="DI127" i="28" s="1"/>
  <c r="CW130" i="28"/>
  <c r="CV133" i="28"/>
  <c r="DD133" i="28" s="1"/>
  <c r="CX143" i="28"/>
  <c r="DJ143" i="28" s="1"/>
  <c r="CW146" i="28"/>
  <c r="CV149" i="28"/>
  <c r="CU152" i="28"/>
  <c r="CX159" i="28"/>
  <c r="CW162" i="28"/>
  <c r="CV165" i="28"/>
  <c r="DE165" i="28" s="1"/>
  <c r="CU139" i="28"/>
  <c r="CU155" i="28"/>
  <c r="CT153" i="28"/>
  <c r="DA153" i="28" s="1"/>
  <c r="CV126" i="28"/>
  <c r="DE126" i="28" s="1"/>
  <c r="CV142" i="28"/>
  <c r="DE142" i="28" s="1"/>
  <c r="CV158" i="28"/>
  <c r="DE158" i="28" s="1"/>
  <c r="CV118" i="28"/>
  <c r="DF118" i="28" s="1"/>
  <c r="CW142" i="28"/>
  <c r="CU164" i="28"/>
  <c r="CW129" i="28"/>
  <c r="CX158" i="28"/>
  <c r="DJ158" i="28" s="1"/>
  <c r="BG113" i="28"/>
  <c r="AH113" i="28"/>
  <c r="CH113" i="28"/>
  <c r="BG105" i="28"/>
  <c r="AH105" i="28"/>
  <c r="CH105" i="28"/>
  <c r="BG97" i="28"/>
  <c r="AH97" i="28"/>
  <c r="CH97" i="28"/>
  <c r="AH89" i="28"/>
  <c r="BG89" i="28"/>
  <c r="CH89" i="28"/>
  <c r="BG81" i="28"/>
  <c r="AH81" i="28"/>
  <c r="CH81" i="28"/>
  <c r="AH73" i="28"/>
  <c r="BG73" i="28"/>
  <c r="CH73" i="28"/>
  <c r="AH65" i="28"/>
  <c r="BG65" i="28"/>
  <c r="CH65" i="28"/>
  <c r="AH56" i="28"/>
  <c r="BG56" i="28"/>
  <c r="CH56" i="28"/>
  <c r="AH48" i="28"/>
  <c r="BG48" i="28"/>
  <c r="CH48" i="28"/>
  <c r="AH40" i="28"/>
  <c r="BG40" i="28"/>
  <c r="CH40" i="28"/>
  <c r="AH32" i="28"/>
  <c r="BG32" i="28"/>
  <c r="CH32" i="28"/>
  <c r="AH24" i="28"/>
  <c r="BG24" i="28"/>
  <c r="CH24" i="28"/>
  <c r="AH16" i="28"/>
  <c r="BG16" i="28"/>
  <c r="CH16" i="28"/>
  <c r="AH62" i="28"/>
  <c r="BG62" i="28"/>
  <c r="CH62" i="28"/>
  <c r="AF113" i="28"/>
  <c r="BE113" i="28"/>
  <c r="CF113" i="28"/>
  <c r="AF105" i="28"/>
  <c r="BE105" i="28"/>
  <c r="CF105" i="28"/>
  <c r="AF97" i="28"/>
  <c r="BE97" i="28"/>
  <c r="CF97" i="28"/>
  <c r="AF89" i="28"/>
  <c r="BE89" i="28"/>
  <c r="CF89" i="28"/>
  <c r="AF81" i="28"/>
  <c r="BE81" i="28"/>
  <c r="CF81" i="28"/>
  <c r="AF73" i="28"/>
  <c r="BE73" i="28"/>
  <c r="CF73" i="28"/>
  <c r="AF65" i="28"/>
  <c r="BE65" i="28"/>
  <c r="CF65" i="28"/>
  <c r="BE56" i="28"/>
  <c r="AF56" i="28"/>
  <c r="CF56" i="28"/>
  <c r="BE48" i="28"/>
  <c r="AF48" i="28"/>
  <c r="CF48" i="28"/>
  <c r="AF40" i="28"/>
  <c r="BE40" i="28"/>
  <c r="CF40" i="28"/>
  <c r="BE32" i="28"/>
  <c r="AF32" i="28"/>
  <c r="CF32" i="28"/>
  <c r="AF24" i="28"/>
  <c r="BE24" i="28"/>
  <c r="CF24" i="28"/>
  <c r="BE16" i="28"/>
  <c r="AF16" i="28"/>
  <c r="CF16" i="28"/>
  <c r="AF62" i="28"/>
  <c r="BE62" i="28"/>
  <c r="CF62" i="28"/>
  <c r="AE109" i="28"/>
  <c r="BD109" i="28"/>
  <c r="CE109" i="28"/>
  <c r="AE101" i="28"/>
  <c r="BD101" i="28"/>
  <c r="CE101" i="28"/>
  <c r="AE93" i="28"/>
  <c r="BD93" i="28"/>
  <c r="CE93" i="28"/>
  <c r="BD85" i="28"/>
  <c r="AE85" i="28"/>
  <c r="CE85" i="28"/>
  <c r="AE77" i="28"/>
  <c r="BD77" i="28"/>
  <c r="CE77" i="28"/>
  <c r="AE69" i="28"/>
  <c r="BD69" i="28"/>
  <c r="CE69" i="28"/>
  <c r="AE60" i="28"/>
  <c r="BD60" i="28"/>
  <c r="CE60" i="28"/>
  <c r="AE52" i="28"/>
  <c r="BD52" i="28"/>
  <c r="CE52" i="28"/>
  <c r="AE44" i="28"/>
  <c r="BD44" i="28"/>
  <c r="CE44" i="28"/>
  <c r="AE36" i="28"/>
  <c r="BD36" i="28"/>
  <c r="CE36" i="28"/>
  <c r="AE28" i="28"/>
  <c r="BD28" i="28"/>
  <c r="CE28" i="28"/>
  <c r="AE20" i="28"/>
  <c r="BD20" i="28"/>
  <c r="CE20" i="28"/>
  <c r="AE12" i="28"/>
  <c r="BD12" i="28"/>
  <c r="CE12" i="28"/>
  <c r="BD117" i="28"/>
  <c r="AE117" i="28"/>
  <c r="CE117" i="28"/>
  <c r="BF110" i="28"/>
  <c r="AG110" i="28"/>
  <c r="CG110" i="28"/>
  <c r="AG102" i="28"/>
  <c r="BF102" i="28"/>
  <c r="CG102" i="28"/>
  <c r="BF94" i="28"/>
  <c r="CG94" i="28"/>
  <c r="AG94" i="28"/>
  <c r="BF86" i="28"/>
  <c r="AG86" i="28"/>
  <c r="CG86" i="28"/>
  <c r="BF78" i="28"/>
  <c r="AG78" i="28"/>
  <c r="CG78" i="28"/>
  <c r="AG70" i="28"/>
  <c r="BF70" i="28"/>
  <c r="CG70" i="28"/>
  <c r="AG61" i="28"/>
  <c r="BF61" i="28"/>
  <c r="CG61" i="28"/>
  <c r="AG53" i="28"/>
  <c r="BF53" i="28"/>
  <c r="CG53" i="28"/>
  <c r="AG45" i="28"/>
  <c r="BF45" i="28"/>
  <c r="CG45" i="28"/>
  <c r="AG37" i="28"/>
  <c r="BF37" i="28"/>
  <c r="CG37" i="28"/>
  <c r="AG28" i="28"/>
  <c r="BF28" i="28"/>
  <c r="CG28" i="28"/>
  <c r="AG20" i="28"/>
  <c r="BF20" i="28"/>
  <c r="CG20" i="28"/>
  <c r="AG12" i="28"/>
  <c r="BF12" i="28"/>
  <c r="CG12" i="28"/>
  <c r="BH116" i="28"/>
  <c r="AI116" i="28"/>
  <c r="CI116" i="28"/>
  <c r="AI108" i="28"/>
  <c r="BH108" i="28"/>
  <c r="CI108" i="28"/>
  <c r="BH100" i="28"/>
  <c r="AI100" i="28"/>
  <c r="CI100" i="28"/>
  <c r="BH92" i="28"/>
  <c r="AI92" i="28"/>
  <c r="CI92" i="28"/>
  <c r="AI83" i="28"/>
  <c r="BH83" i="28"/>
  <c r="CI83" i="28"/>
  <c r="AI75" i="28"/>
  <c r="BH75" i="28"/>
  <c r="CI75" i="28"/>
  <c r="AI67" i="28"/>
  <c r="BH67" i="28"/>
  <c r="CI67" i="28"/>
  <c r="AI58" i="28"/>
  <c r="BH58" i="28"/>
  <c r="CI58" i="28"/>
  <c r="AI50" i="28"/>
  <c r="BH50" i="28"/>
  <c r="CI50" i="28"/>
  <c r="AI42" i="28"/>
  <c r="BH42" i="28"/>
  <c r="CI42" i="28"/>
  <c r="AI34" i="28"/>
  <c r="BH34" i="28"/>
  <c r="CI34" i="28"/>
  <c r="AI26" i="28"/>
  <c r="BH26" i="28"/>
  <c r="CI26" i="28"/>
  <c r="AI18" i="28"/>
  <c r="BH18" i="28"/>
  <c r="CI18" i="28"/>
  <c r="AI10" i="28"/>
  <c r="BH10" i="28"/>
  <c r="CI10" i="28"/>
  <c r="CU122" i="28"/>
  <c r="CT125" i="28"/>
  <c r="CV135" i="28"/>
  <c r="DD135" i="28" s="1"/>
  <c r="CU138" i="28"/>
  <c r="CT141" i="28"/>
  <c r="CZ141" i="28" s="1"/>
  <c r="CX145" i="28"/>
  <c r="CV151" i="28"/>
  <c r="DD151" i="28" s="1"/>
  <c r="CU154" i="28"/>
  <c r="CT157" i="28"/>
  <c r="CZ157" i="28" s="1"/>
  <c r="CX161" i="28"/>
  <c r="CW164" i="28"/>
  <c r="CV130" i="28"/>
  <c r="DF130" i="28" s="1"/>
  <c r="CW143" i="28"/>
  <c r="CV146" i="28"/>
  <c r="DF146" i="28" s="1"/>
  <c r="CV162" i="28"/>
  <c r="DF162" i="28" s="1"/>
  <c r="DF119" i="28"/>
  <c r="CT155" i="28"/>
  <c r="CZ155" i="28" s="1"/>
  <c r="CV120" i="28"/>
  <c r="DD120" i="28" s="1"/>
  <c r="CT126" i="28"/>
  <c r="DA126" i="28" s="1"/>
  <c r="CV136" i="28"/>
  <c r="DD136" i="28" s="1"/>
  <c r="CV152" i="28"/>
  <c r="DD152" i="28" s="1"/>
  <c r="CT118" i="28"/>
  <c r="CZ118" i="28" s="1"/>
  <c r="CT121" i="28"/>
  <c r="CX125" i="28"/>
  <c r="DH125" i="28" s="1"/>
  <c r="CW128" i="28"/>
  <c r="CV131" i="28"/>
  <c r="DD131" i="28" s="1"/>
  <c r="CU134" i="28"/>
  <c r="CX141" i="28"/>
  <c r="CW144" i="28"/>
  <c r="CV147" i="28"/>
  <c r="DE147" i="28" s="1"/>
  <c r="CX157" i="28"/>
  <c r="DI157" i="28" s="1"/>
  <c r="CW160" i="28"/>
  <c r="CV163" i="28"/>
  <c r="CU166" i="28"/>
  <c r="CW123" i="28"/>
  <c r="CU129" i="28"/>
  <c r="CW139" i="28"/>
  <c r="CU145" i="28"/>
  <c r="CW155" i="28"/>
  <c r="CX123" i="28"/>
  <c r="CW126" i="28"/>
  <c r="CV129" i="28"/>
  <c r="DD129" i="28" s="1"/>
  <c r="CU132" i="28"/>
  <c r="CT135" i="28"/>
  <c r="CZ135" i="28" s="1"/>
  <c r="CX139" i="28"/>
  <c r="CV145" i="28"/>
  <c r="DE145" i="28" s="1"/>
  <c r="CU148" i="28"/>
  <c r="CT151" i="28"/>
  <c r="CZ151" i="28" s="1"/>
  <c r="CX155" i="28"/>
  <c r="DI155" i="28" s="1"/>
  <c r="CW158" i="28"/>
  <c r="CT167" i="28"/>
  <c r="CZ167" i="28" s="1"/>
  <c r="CT119" i="28"/>
  <c r="CZ119" i="28" s="1"/>
  <c r="CT122" i="28"/>
  <c r="CZ122" i="28" s="1"/>
  <c r="CX126" i="28"/>
  <c r="DH126" i="28" s="1"/>
  <c r="CT138" i="28"/>
  <c r="CZ138" i="28" s="1"/>
  <c r="CX142" i="28"/>
  <c r="DH142" i="28" s="1"/>
  <c r="CT154" i="28"/>
  <c r="DA154" i="28" s="1"/>
  <c r="CW161" i="28"/>
  <c r="AH112" i="28"/>
  <c r="BG112" i="28"/>
  <c r="CH112" i="28"/>
  <c r="AH104" i="28"/>
  <c r="BG104" i="28"/>
  <c r="CH104" i="28"/>
  <c r="AH96" i="28"/>
  <c r="BG96" i="28"/>
  <c r="CH96" i="28"/>
  <c r="AH88" i="28"/>
  <c r="BG88" i="28"/>
  <c r="CH88" i="28"/>
  <c r="AH80" i="28"/>
  <c r="BG80" i="28"/>
  <c r="CH80" i="28"/>
  <c r="AH72" i="28"/>
  <c r="BG72" i="28"/>
  <c r="CH72" i="28"/>
  <c r="AH64" i="28"/>
  <c r="BG64" i="28"/>
  <c r="CH64" i="28"/>
  <c r="AH55" i="28"/>
  <c r="BG55" i="28"/>
  <c r="CH55" i="28"/>
  <c r="AH47" i="28"/>
  <c r="BG47" i="28"/>
  <c r="CH47" i="28"/>
  <c r="AH39" i="28"/>
  <c r="BG39" i="28"/>
  <c r="CH39" i="28"/>
  <c r="AH31" i="28"/>
  <c r="BG31" i="28"/>
  <c r="CH31" i="28"/>
  <c r="AH23" i="28"/>
  <c r="BG23" i="28"/>
  <c r="CH23" i="28"/>
  <c r="AH15" i="28"/>
  <c r="BG15" i="28"/>
  <c r="CH15" i="28"/>
  <c r="AF112" i="28"/>
  <c r="BE112" i="28"/>
  <c r="CF112" i="28"/>
  <c r="BE104" i="28"/>
  <c r="AF104" i="28"/>
  <c r="CF104" i="28"/>
  <c r="AF96" i="28"/>
  <c r="BE96" i="28"/>
  <c r="CF96" i="28"/>
  <c r="AF88" i="28"/>
  <c r="BE88" i="28"/>
  <c r="CF88" i="28"/>
  <c r="AF80" i="28"/>
  <c r="BE80" i="28"/>
  <c r="CF80" i="28"/>
  <c r="AF72" i="28"/>
  <c r="BE72" i="28"/>
  <c r="CF72" i="28"/>
  <c r="AF64" i="28"/>
  <c r="BE64" i="28"/>
  <c r="CF64" i="28"/>
  <c r="AF55" i="28"/>
  <c r="BE55" i="28"/>
  <c r="CF55" i="28"/>
  <c r="AF47" i="28"/>
  <c r="BE47" i="28"/>
  <c r="CF47" i="28"/>
  <c r="AF39" i="28"/>
  <c r="BE39" i="28"/>
  <c r="CF39" i="28"/>
  <c r="AF31" i="28"/>
  <c r="BE31" i="28"/>
  <c r="CF31" i="28"/>
  <c r="AF23" i="28"/>
  <c r="BE23" i="28"/>
  <c r="CF23" i="28"/>
  <c r="AF15" i="28"/>
  <c r="BE15" i="28"/>
  <c r="CF15" i="28"/>
  <c r="AE116" i="28"/>
  <c r="BD116" i="28"/>
  <c r="CE116" i="28"/>
  <c r="AE108" i="28"/>
  <c r="BD108" i="28"/>
  <c r="CE108" i="28"/>
  <c r="AE100" i="28"/>
  <c r="BD100" i="28"/>
  <c r="CE100" i="28"/>
  <c r="AE92" i="28"/>
  <c r="BD92" i="28"/>
  <c r="CE92" i="28"/>
  <c r="AE84" i="28"/>
  <c r="BD84" i="28"/>
  <c r="CE84" i="28"/>
  <c r="AE76" i="28"/>
  <c r="BD76" i="28"/>
  <c r="CE76" i="28"/>
  <c r="AE68" i="28"/>
  <c r="BD68" i="28"/>
  <c r="CE68" i="28"/>
  <c r="AE59" i="28"/>
  <c r="BD59" i="28"/>
  <c r="CE59" i="28"/>
  <c r="AE51" i="28"/>
  <c r="BD51" i="28"/>
  <c r="CE51" i="28"/>
  <c r="AE43" i="28"/>
  <c r="BD43" i="28"/>
  <c r="CE43" i="28"/>
  <c r="AE35" i="28"/>
  <c r="BD35" i="28"/>
  <c r="CE35" i="28"/>
  <c r="AE27" i="28"/>
  <c r="BD27" i="28"/>
  <c r="CE27" i="28"/>
  <c r="AE19" i="28"/>
  <c r="BD19" i="28"/>
  <c r="CE19" i="28"/>
  <c r="AE11" i="28"/>
  <c r="BD11" i="28"/>
  <c r="CE11" i="28"/>
  <c r="AG109" i="28"/>
  <c r="BF109" i="28"/>
  <c r="CG109" i="28"/>
  <c r="AG101" i="28"/>
  <c r="BF101" i="28"/>
  <c r="CG101" i="28"/>
  <c r="AG93" i="28"/>
  <c r="BF93" i="28"/>
  <c r="CG93" i="28"/>
  <c r="AG85" i="28"/>
  <c r="BF85" i="28"/>
  <c r="CG85" i="28"/>
  <c r="AG77" i="28"/>
  <c r="BF77" i="28"/>
  <c r="CG77" i="28"/>
  <c r="AG69" i="28"/>
  <c r="BF69" i="28"/>
  <c r="CG69" i="28"/>
  <c r="AG60" i="28"/>
  <c r="BF60" i="28"/>
  <c r="CG60" i="28"/>
  <c r="AG52" i="28"/>
  <c r="BF52" i="28"/>
  <c r="CG52" i="28"/>
  <c r="AG44" i="28"/>
  <c r="BF44" i="28"/>
  <c r="CG44" i="28"/>
  <c r="AG36" i="28"/>
  <c r="BF36" i="28"/>
  <c r="CG36" i="28"/>
  <c r="AG27" i="28"/>
  <c r="BF27" i="28"/>
  <c r="CG27" i="28"/>
  <c r="BF19" i="28"/>
  <c r="AG19" i="28"/>
  <c r="CG19" i="28"/>
  <c r="AG11" i="28"/>
  <c r="BF11" i="28"/>
  <c r="CG11" i="28"/>
  <c r="AI115" i="28"/>
  <c r="BH115" i="28"/>
  <c r="CI115" i="28"/>
  <c r="AI107" i="28"/>
  <c r="BH107" i="28"/>
  <c r="CI107" i="28"/>
  <c r="AI99" i="28"/>
  <c r="BH99" i="28"/>
  <c r="CI99" i="28"/>
  <c r="AI91" i="28"/>
  <c r="BH91" i="28"/>
  <c r="CI91" i="28"/>
  <c r="AI82" i="28"/>
  <c r="BH82" i="28"/>
  <c r="CI82" i="28"/>
  <c r="AI74" i="28"/>
  <c r="BH74" i="28"/>
  <c r="CI74" i="28"/>
  <c r="AI66" i="28"/>
  <c r="BH66" i="28"/>
  <c r="CI66" i="28"/>
  <c r="BH57" i="28"/>
  <c r="AI57" i="28"/>
  <c r="CI57" i="28"/>
  <c r="AI49" i="28"/>
  <c r="BH49" i="28"/>
  <c r="CI49" i="28"/>
  <c r="BH41" i="28"/>
  <c r="AI41" i="28"/>
  <c r="CI41" i="28"/>
  <c r="AI33" i="28"/>
  <c r="BH33" i="28"/>
  <c r="CI33" i="28"/>
  <c r="AI25" i="28"/>
  <c r="BH25" i="28"/>
  <c r="CI25" i="28"/>
  <c r="BH17" i="28"/>
  <c r="AI17" i="28"/>
  <c r="CI17" i="28"/>
  <c r="AI9" i="28"/>
  <c r="BH9" i="28"/>
  <c r="CI9" i="28"/>
  <c r="CW148" i="28"/>
  <c r="CT120" i="28"/>
  <c r="CZ120" i="28" s="1"/>
  <c r="CX124" i="28"/>
  <c r="DJ124" i="28" s="1"/>
  <c r="CT136" i="28"/>
  <c r="DB136" i="28" s="1"/>
  <c r="CT152" i="28"/>
  <c r="DB152" i="28" s="1"/>
  <c r="CX156" i="28"/>
  <c r="DJ156" i="28" s="1"/>
  <c r="CX135" i="28"/>
  <c r="DJ135" i="28" s="1"/>
  <c r="CV161" i="28"/>
  <c r="DD161" i="28" s="1"/>
  <c r="U10" i="2"/>
  <c r="S20" i="2"/>
  <c r="BD41" i="27"/>
  <c r="AY41" i="27"/>
  <c r="BE53" i="27"/>
  <c r="AZ53" i="27"/>
  <c r="BF60" i="27"/>
  <c r="BA60" i="27"/>
  <c r="AV60" i="27"/>
  <c r="BG64" i="27"/>
  <c r="AW64" i="27"/>
  <c r="BB64" i="27"/>
  <c r="BH69" i="27"/>
  <c r="BC69" i="27"/>
  <c r="AX69" i="27"/>
  <c r="BD77" i="27"/>
  <c r="AY77" i="27"/>
  <c r="BE81" i="27"/>
  <c r="AZ81" i="27"/>
  <c r="BF90" i="27"/>
  <c r="BA90" i="27"/>
  <c r="AV90" i="27"/>
  <c r="BG95" i="27"/>
  <c r="BB95" i="27"/>
  <c r="AW95" i="27"/>
  <c r="BH99" i="27"/>
  <c r="BC99" i="27"/>
  <c r="AX99" i="27"/>
  <c r="BD104" i="27"/>
  <c r="AY104" i="27"/>
  <c r="BE108" i="27"/>
  <c r="AZ108" i="27"/>
  <c r="BF114" i="27"/>
  <c r="BA114" i="27"/>
  <c r="AV114" i="27"/>
  <c r="BG118" i="27"/>
  <c r="BB118" i="27"/>
  <c r="AW118" i="27"/>
  <c r="BH123" i="27"/>
  <c r="BC123" i="27"/>
  <c r="AX123" i="27"/>
  <c r="BD126" i="27"/>
  <c r="AY126" i="27"/>
  <c r="BE129" i="27"/>
  <c r="AZ129" i="27"/>
  <c r="BF133" i="27"/>
  <c r="BA133" i="27"/>
  <c r="AV133" i="27"/>
  <c r="BG136" i="27"/>
  <c r="BB136" i="27"/>
  <c r="AW136" i="27"/>
  <c r="BH139" i="27"/>
  <c r="BC139" i="27"/>
  <c r="AX139" i="27"/>
  <c r="BD142" i="27"/>
  <c r="AY142" i="27"/>
  <c r="BE145" i="27"/>
  <c r="AZ145" i="27"/>
  <c r="BF149" i="27"/>
  <c r="BA149" i="27"/>
  <c r="AV149" i="27"/>
  <c r="BG152" i="27"/>
  <c r="BB152" i="27"/>
  <c r="AW152" i="27"/>
  <c r="BH155" i="27"/>
  <c r="BC155" i="27"/>
  <c r="AX155" i="27"/>
  <c r="BD158" i="27"/>
  <c r="AY158" i="27"/>
  <c r="BE161" i="27"/>
  <c r="AZ161" i="27"/>
  <c r="BF165" i="27"/>
  <c r="BA165" i="27"/>
  <c r="AV165" i="27"/>
  <c r="BG168" i="27"/>
  <c r="BB168" i="27"/>
  <c r="AW168" i="27"/>
  <c r="BH171" i="27"/>
  <c r="BC171" i="27"/>
  <c r="AX171" i="27"/>
  <c r="BD174" i="27"/>
  <c r="AY174" i="27"/>
  <c r="BE177" i="27"/>
  <c r="AZ177" i="27"/>
  <c r="BF181" i="27"/>
  <c r="BA181" i="27"/>
  <c r="AV181" i="27"/>
  <c r="BG184" i="27"/>
  <c r="BB184" i="27"/>
  <c r="AW184" i="27"/>
  <c r="BH187" i="27"/>
  <c r="BC187" i="27"/>
  <c r="AX187" i="27"/>
  <c r="BD190" i="27"/>
  <c r="AY190" i="27"/>
  <c r="BE193" i="27"/>
  <c r="AZ193" i="27"/>
  <c r="BF197" i="27"/>
  <c r="BA197" i="27"/>
  <c r="AV197" i="27"/>
  <c r="BG200" i="27"/>
  <c r="BB200" i="27"/>
  <c r="AW200" i="27"/>
  <c r="BH203" i="27"/>
  <c r="BC203" i="27"/>
  <c r="AX203" i="27"/>
  <c r="BD206" i="27"/>
  <c r="AY206" i="27"/>
  <c r="BE209" i="27"/>
  <c r="AZ209" i="27"/>
  <c r="BF213" i="27"/>
  <c r="BA213" i="27"/>
  <c r="AV213" i="27"/>
  <c r="BG216" i="27"/>
  <c r="BB216" i="27"/>
  <c r="AW216" i="27"/>
  <c r="BH219" i="27"/>
  <c r="BC219" i="27"/>
  <c r="AX219" i="27"/>
  <c r="BD222" i="27"/>
  <c r="AY222" i="27"/>
  <c r="BE225" i="27"/>
  <c r="AZ225" i="27"/>
  <c r="BF229" i="27"/>
  <c r="BA229" i="27"/>
  <c r="AV229" i="27"/>
  <c r="BG232" i="27"/>
  <c r="AW232" i="27"/>
  <c r="BB232" i="27"/>
  <c r="BH235" i="27"/>
  <c r="BC235" i="27"/>
  <c r="AX235" i="27"/>
  <c r="BD238" i="27"/>
  <c r="AY238" i="27"/>
  <c r="BE241" i="27"/>
  <c r="AZ241" i="27"/>
  <c r="BF245" i="27"/>
  <c r="BA245" i="27"/>
  <c r="AV245" i="27"/>
  <c r="BG248" i="27"/>
  <c r="BB248" i="27"/>
  <c r="AW248" i="27"/>
  <c r="BH251" i="27"/>
  <c r="BC251" i="27"/>
  <c r="AX251" i="27"/>
  <c r="BD254" i="27"/>
  <c r="AY254" i="27"/>
  <c r="BE257" i="27"/>
  <c r="AZ257" i="27"/>
  <c r="BF261" i="27"/>
  <c r="BA261" i="27"/>
  <c r="AV261" i="27"/>
  <c r="BG264" i="27"/>
  <c r="BB264" i="27"/>
  <c r="AW264" i="27"/>
  <c r="BH267" i="27"/>
  <c r="BC267" i="27"/>
  <c r="AX267" i="27"/>
  <c r="BD270" i="27"/>
  <c r="AY270" i="27"/>
  <c r="BE273" i="27"/>
  <c r="AZ273" i="27"/>
  <c r="BF277" i="27"/>
  <c r="BA277" i="27"/>
  <c r="AV277" i="27"/>
  <c r="BG280" i="27"/>
  <c r="BB280" i="27"/>
  <c r="AW280" i="27"/>
  <c r="BH283" i="27"/>
  <c r="AX283" i="27"/>
  <c r="BC283" i="27"/>
  <c r="BD286" i="27"/>
  <c r="AY286" i="27"/>
  <c r="BE289" i="27"/>
  <c r="AZ289" i="27"/>
  <c r="BF293" i="27"/>
  <c r="BA293" i="27"/>
  <c r="AV293" i="27"/>
  <c r="BG296" i="27"/>
  <c r="BB296" i="27"/>
  <c r="AW296" i="27"/>
  <c r="BH299" i="27"/>
  <c r="BC299" i="27"/>
  <c r="AX299" i="27"/>
  <c r="BD302" i="27"/>
  <c r="AY302" i="27"/>
  <c r="BE305" i="27"/>
  <c r="AZ305" i="27"/>
  <c r="BF309" i="27"/>
  <c r="BA309" i="27"/>
  <c r="AV309" i="27"/>
  <c r="BG312" i="27"/>
  <c r="BB312" i="27"/>
  <c r="AW312" i="27"/>
  <c r="BH315" i="27"/>
  <c r="BC315" i="27"/>
  <c r="AX315" i="27"/>
  <c r="BD318" i="27"/>
  <c r="AY318" i="27"/>
  <c r="BE321" i="27"/>
  <c r="AZ321" i="27"/>
  <c r="BF325" i="27"/>
  <c r="BA325" i="27"/>
  <c r="AV325" i="27"/>
  <c r="BG328" i="27"/>
  <c r="BB328" i="27"/>
  <c r="AW328" i="27"/>
  <c r="BH331" i="27"/>
  <c r="BC331" i="27"/>
  <c r="AX331" i="27"/>
  <c r="AY334" i="27"/>
  <c r="BD334" i="27"/>
  <c r="BE337" i="27"/>
  <c r="AZ337" i="27"/>
  <c r="BF341" i="27"/>
  <c r="BA341" i="27"/>
  <c r="AV341" i="27"/>
  <c r="BG344" i="27"/>
  <c r="BB344" i="27"/>
  <c r="AW344" i="27"/>
  <c r="BH347" i="27"/>
  <c r="BC347" i="27"/>
  <c r="AX347" i="27"/>
  <c r="BD350" i="27"/>
  <c r="AY350" i="27"/>
  <c r="BE353" i="27"/>
  <c r="AZ353" i="27"/>
  <c r="BF357" i="27"/>
  <c r="BA357" i="27"/>
  <c r="AV357" i="27"/>
  <c r="BG360" i="27"/>
  <c r="BB360" i="27"/>
  <c r="AW360" i="27"/>
  <c r="BH363" i="27"/>
  <c r="BC363" i="27"/>
  <c r="AX363" i="27"/>
  <c r="BF23" i="27"/>
  <c r="BA23" i="27"/>
  <c r="AV23" i="27"/>
  <c r="BH44" i="27"/>
  <c r="BC44" i="27"/>
  <c r="AX44" i="27"/>
  <c r="BF38" i="27"/>
  <c r="BA38" i="27"/>
  <c r="AV38" i="27"/>
  <c r="BH106" i="27"/>
  <c r="BC106" i="27"/>
  <c r="AX106" i="27"/>
  <c r="BG78" i="27"/>
  <c r="BB78" i="27"/>
  <c r="AW78" i="27"/>
  <c r="BF55" i="27"/>
  <c r="BA55" i="27"/>
  <c r="AV55" i="27"/>
  <c r="BE31" i="27"/>
  <c r="AZ31" i="27"/>
  <c r="BD18" i="27"/>
  <c r="AY18" i="27"/>
  <c r="BG8" i="27"/>
  <c r="BB8" i="27"/>
  <c r="AW8" i="27"/>
  <c r="BH17" i="27"/>
  <c r="BC17" i="27"/>
  <c r="AX17" i="27"/>
  <c r="BH21" i="27"/>
  <c r="BC21" i="27"/>
  <c r="AX21" i="27"/>
  <c r="BE24" i="27"/>
  <c r="AZ24" i="27"/>
  <c r="BD28" i="27"/>
  <c r="AY28" i="27"/>
  <c r="BG33" i="27"/>
  <c r="BB33" i="27"/>
  <c r="AW33" i="27"/>
  <c r="BE45" i="27"/>
  <c r="AZ45" i="27"/>
  <c r="BF58" i="27"/>
  <c r="BA58" i="27"/>
  <c r="AV58" i="27"/>
  <c r="BH75" i="27"/>
  <c r="BC75" i="27"/>
  <c r="AX75" i="27"/>
  <c r="BH82" i="27"/>
  <c r="BC82" i="27"/>
  <c r="AX82" i="27"/>
  <c r="BG91" i="27"/>
  <c r="BB91" i="27"/>
  <c r="AW91" i="27"/>
  <c r="BD112" i="27"/>
  <c r="AY112" i="27"/>
  <c r="AZ121" i="27"/>
  <c r="BE121" i="27"/>
  <c r="BG6" i="27"/>
  <c r="AW6" i="27"/>
  <c r="BB6" i="27"/>
  <c r="BD30" i="27"/>
  <c r="AY30" i="27"/>
  <c r="BE41" i="27"/>
  <c r="AZ41" i="27"/>
  <c r="BF54" i="27"/>
  <c r="BA54" i="27"/>
  <c r="AV54" i="27"/>
  <c r="BG60" i="27"/>
  <c r="BB60" i="27"/>
  <c r="AW60" i="27"/>
  <c r="BH64" i="27"/>
  <c r="BC64" i="27"/>
  <c r="AX64" i="27"/>
  <c r="BD69" i="27"/>
  <c r="AY69" i="27"/>
  <c r="BE77" i="27"/>
  <c r="AZ77" i="27"/>
  <c r="BF84" i="27"/>
  <c r="BA84" i="27"/>
  <c r="AV84" i="27"/>
  <c r="BG90" i="27"/>
  <c r="BB90" i="27"/>
  <c r="AW90" i="27"/>
  <c r="BH95" i="27"/>
  <c r="BC95" i="27"/>
  <c r="AX95" i="27"/>
  <c r="BD99" i="27"/>
  <c r="AY99" i="27"/>
  <c r="BE104" i="27"/>
  <c r="AZ104" i="27"/>
  <c r="BF109" i="27"/>
  <c r="AV109" i="27"/>
  <c r="BA109" i="27"/>
  <c r="BG114" i="27"/>
  <c r="BB114" i="27"/>
  <c r="AW114" i="27"/>
  <c r="BH118" i="27"/>
  <c r="BC118" i="27"/>
  <c r="AX118" i="27"/>
  <c r="BD123" i="27"/>
  <c r="AY123" i="27"/>
  <c r="BE126" i="27"/>
  <c r="AZ126" i="27"/>
  <c r="BF130" i="27"/>
  <c r="BA130" i="27"/>
  <c r="AV130" i="27"/>
  <c r="BG133" i="27"/>
  <c r="BB133" i="27"/>
  <c r="AW133" i="27"/>
  <c r="BH136" i="27"/>
  <c r="BC136" i="27"/>
  <c r="AX136" i="27"/>
  <c r="BD139" i="27"/>
  <c r="AY139" i="27"/>
  <c r="BE142" i="27"/>
  <c r="AZ142" i="27"/>
  <c r="BF146" i="27"/>
  <c r="BA146" i="27"/>
  <c r="AV146" i="27"/>
  <c r="BG149" i="27"/>
  <c r="BB149" i="27"/>
  <c r="AW149" i="27"/>
  <c r="BH152" i="27"/>
  <c r="BC152" i="27"/>
  <c r="AX152" i="27"/>
  <c r="BD155" i="27"/>
  <c r="AY155" i="27"/>
  <c r="BE158" i="27"/>
  <c r="AZ158" i="27"/>
  <c r="BF162" i="27"/>
  <c r="BA162" i="27"/>
  <c r="AV162" i="27"/>
  <c r="BG165" i="27"/>
  <c r="BB165" i="27"/>
  <c r="AW165" i="27"/>
  <c r="BH168" i="27"/>
  <c r="BC168" i="27"/>
  <c r="AX168" i="27"/>
  <c r="BD171" i="27"/>
  <c r="AY171" i="27"/>
  <c r="BE174" i="27"/>
  <c r="AZ174" i="27"/>
  <c r="BF178" i="27"/>
  <c r="BA178" i="27"/>
  <c r="AV178" i="27"/>
  <c r="BG181" i="27"/>
  <c r="BB181" i="27"/>
  <c r="AW181" i="27"/>
  <c r="BH184" i="27"/>
  <c r="BC184" i="27"/>
  <c r="AX184" i="27"/>
  <c r="BD187" i="27"/>
  <c r="AY187" i="27"/>
  <c r="BE190" i="27"/>
  <c r="AZ190" i="27"/>
  <c r="BF194" i="27"/>
  <c r="BA194" i="27"/>
  <c r="AV194" i="27"/>
  <c r="BG197" i="27"/>
  <c r="BB197" i="27"/>
  <c r="AW197" i="27"/>
  <c r="BH200" i="27"/>
  <c r="BC200" i="27"/>
  <c r="AX200" i="27"/>
  <c r="BD203" i="27"/>
  <c r="AY203" i="27"/>
  <c r="BE206" i="27"/>
  <c r="AZ206" i="27"/>
  <c r="BF210" i="27"/>
  <c r="BA210" i="27"/>
  <c r="AV210" i="27"/>
  <c r="BG213" i="27"/>
  <c r="BB213" i="27"/>
  <c r="AW213" i="27"/>
  <c r="BH216" i="27"/>
  <c r="BC216" i="27"/>
  <c r="AX216" i="27"/>
  <c r="BD219" i="27"/>
  <c r="AY219" i="27"/>
  <c r="BE222" i="27"/>
  <c r="AZ222" i="27"/>
  <c r="BF226" i="27"/>
  <c r="BA226" i="27"/>
  <c r="AV226" i="27"/>
  <c r="BG229" i="27"/>
  <c r="BB229" i="27"/>
  <c r="AW229" i="27"/>
  <c r="BH232" i="27"/>
  <c r="BC232" i="27"/>
  <c r="AX232" i="27"/>
  <c r="BD235" i="27"/>
  <c r="AY235" i="27"/>
  <c r="BE238" i="27"/>
  <c r="AZ238" i="27"/>
  <c r="BF242" i="27"/>
  <c r="BA242" i="27"/>
  <c r="AV242" i="27"/>
  <c r="BG245" i="27"/>
  <c r="BB245" i="27"/>
  <c r="AW245" i="27"/>
  <c r="BH248" i="27"/>
  <c r="BC248" i="27"/>
  <c r="AX248" i="27"/>
  <c r="BD251" i="27"/>
  <c r="AY251" i="27"/>
  <c r="BE254" i="27"/>
  <c r="AZ254" i="27"/>
  <c r="BF258" i="27"/>
  <c r="BA258" i="27"/>
  <c r="AV258" i="27"/>
  <c r="BG261" i="27"/>
  <c r="BB261" i="27"/>
  <c r="AW261" i="27"/>
  <c r="BH264" i="27"/>
  <c r="BC264" i="27"/>
  <c r="AX264" i="27"/>
  <c r="BD267" i="27"/>
  <c r="AY267" i="27"/>
  <c r="BE270" i="27"/>
  <c r="AZ270" i="27"/>
  <c r="BF274" i="27"/>
  <c r="BA274" i="27"/>
  <c r="AV274" i="27"/>
  <c r="BG277" i="27"/>
  <c r="BB277" i="27"/>
  <c r="AW277" i="27"/>
  <c r="BH280" i="27"/>
  <c r="BC280" i="27"/>
  <c r="AX280" i="27"/>
  <c r="BD283" i="27"/>
  <c r="AY283" i="27"/>
  <c r="BE286" i="27"/>
  <c r="AZ286" i="27"/>
  <c r="BF290" i="27"/>
  <c r="BA290" i="27"/>
  <c r="AV290" i="27"/>
  <c r="BG293" i="27"/>
  <c r="BB293" i="27"/>
  <c r="AW293" i="27"/>
  <c r="BH296" i="27"/>
  <c r="BC296" i="27"/>
  <c r="AX296" i="27"/>
  <c r="BD299" i="27"/>
  <c r="AY299" i="27"/>
  <c r="BE302" i="27"/>
  <c r="AZ302" i="27"/>
  <c r="BF306" i="27"/>
  <c r="BA306" i="27"/>
  <c r="AV306" i="27"/>
  <c r="BG309" i="27"/>
  <c r="BB309" i="27"/>
  <c r="AW309" i="27"/>
  <c r="BH312" i="27"/>
  <c r="BC312" i="27"/>
  <c r="AX312" i="27"/>
  <c r="BD315" i="27"/>
  <c r="AY315" i="27"/>
  <c r="BE318" i="27"/>
  <c r="AZ318" i="27"/>
  <c r="BF322" i="27"/>
  <c r="BA322" i="27"/>
  <c r="AV322" i="27"/>
  <c r="BG325" i="27"/>
  <c r="BB325" i="27"/>
  <c r="AW325" i="27"/>
  <c r="BH328" i="27"/>
  <c r="BC328" i="27"/>
  <c r="AX328" i="27"/>
  <c r="BD331" i="27"/>
  <c r="AY331" i="27"/>
  <c r="BE334" i="27"/>
  <c r="AZ334" i="27"/>
  <c r="BF338" i="27"/>
  <c r="BA338" i="27"/>
  <c r="AV338" i="27"/>
  <c r="BG341" i="27"/>
  <c r="BB341" i="27"/>
  <c r="AW341" i="27"/>
  <c r="BH344" i="27"/>
  <c r="BC344" i="27"/>
  <c r="AX344" i="27"/>
  <c r="BD347" i="27"/>
  <c r="AY347" i="27"/>
  <c r="BE350" i="27"/>
  <c r="AZ350" i="27"/>
  <c r="BF354" i="27"/>
  <c r="BA354" i="27"/>
  <c r="AV354" i="27"/>
  <c r="BG357" i="27"/>
  <c r="BB357" i="27"/>
  <c r="AW357" i="27"/>
  <c r="BH360" i="27"/>
  <c r="BC360" i="27"/>
  <c r="AX360" i="27"/>
  <c r="BD363" i="27"/>
  <c r="AY363" i="27"/>
  <c r="BF86" i="27"/>
  <c r="BA86" i="27"/>
  <c r="AV86" i="27"/>
  <c r="BG44" i="27"/>
  <c r="BB44" i="27"/>
  <c r="AW44" i="27"/>
  <c r="BE37" i="27"/>
  <c r="AZ37" i="27"/>
  <c r="BG106" i="27"/>
  <c r="BB106" i="27"/>
  <c r="AW106" i="27"/>
  <c r="BF78" i="27"/>
  <c r="BA78" i="27"/>
  <c r="AV78" i="27"/>
  <c r="BE48" i="27"/>
  <c r="AZ48" i="27"/>
  <c r="BD31" i="27"/>
  <c r="AY31" i="27"/>
  <c r="BH18" i="27"/>
  <c r="BC18" i="27"/>
  <c r="AX18" i="27"/>
  <c r="BF8" i="27"/>
  <c r="BA8" i="27"/>
  <c r="AV8" i="27"/>
  <c r="BG21" i="27"/>
  <c r="BB21" i="27"/>
  <c r="AW21" i="27"/>
  <c r="BH28" i="27"/>
  <c r="BC28" i="27"/>
  <c r="AX28" i="27"/>
  <c r="BF33" i="27"/>
  <c r="BA33" i="27"/>
  <c r="AV33" i="27"/>
  <c r="BG51" i="27"/>
  <c r="BB51" i="27"/>
  <c r="AW51" i="27"/>
  <c r="BE67" i="27"/>
  <c r="AZ67" i="27"/>
  <c r="BG75" i="27"/>
  <c r="BB75" i="27"/>
  <c r="AW75" i="27"/>
  <c r="BF91" i="27"/>
  <c r="BA91" i="27"/>
  <c r="AV91" i="27"/>
  <c r="BH112" i="27"/>
  <c r="BC112" i="27"/>
  <c r="AX112" i="27"/>
  <c r="BF6" i="27"/>
  <c r="BA6" i="27"/>
  <c r="AV6" i="27"/>
  <c r="BH30" i="27"/>
  <c r="BC30" i="27"/>
  <c r="AX30" i="27"/>
  <c r="BF47" i="27"/>
  <c r="BA47" i="27"/>
  <c r="AV47" i="27"/>
  <c r="BG54" i="27"/>
  <c r="BB54" i="27"/>
  <c r="AW54" i="27"/>
  <c r="BH60" i="27"/>
  <c r="BC60" i="27"/>
  <c r="AX60" i="27"/>
  <c r="BD64" i="27"/>
  <c r="AY64" i="27"/>
  <c r="BE69" i="27"/>
  <c r="AZ69" i="27"/>
  <c r="BF79" i="27"/>
  <c r="BA79" i="27"/>
  <c r="AV79" i="27"/>
  <c r="BG84" i="27"/>
  <c r="BB84" i="27"/>
  <c r="AW84" i="27"/>
  <c r="BH90" i="27"/>
  <c r="BC90" i="27"/>
  <c r="AX90" i="27"/>
  <c r="BD95" i="27"/>
  <c r="AY95" i="27"/>
  <c r="BE99" i="27"/>
  <c r="AZ99" i="27"/>
  <c r="BF105" i="27"/>
  <c r="BA105" i="27"/>
  <c r="AV105" i="27"/>
  <c r="BG109" i="27"/>
  <c r="BB109" i="27"/>
  <c r="AW109" i="27"/>
  <c r="BH114" i="27"/>
  <c r="BC114" i="27"/>
  <c r="AX114" i="27"/>
  <c r="AY118" i="27"/>
  <c r="BD118" i="27"/>
  <c r="BE123" i="27"/>
  <c r="AZ123" i="27"/>
  <c r="BF127" i="27"/>
  <c r="BA127" i="27"/>
  <c r="AV127" i="27"/>
  <c r="BG130" i="27"/>
  <c r="BB130" i="27"/>
  <c r="AW130" i="27"/>
  <c r="BH133" i="27"/>
  <c r="BC133" i="27"/>
  <c r="AX133" i="27"/>
  <c r="BD136" i="27"/>
  <c r="AY136" i="27"/>
  <c r="BE139" i="27"/>
  <c r="AZ139" i="27"/>
  <c r="BF143" i="27"/>
  <c r="BA143" i="27"/>
  <c r="AV143" i="27"/>
  <c r="BG146" i="27"/>
  <c r="BB146" i="27"/>
  <c r="AW146" i="27"/>
  <c r="BH149" i="27"/>
  <c r="BC149" i="27"/>
  <c r="AX149" i="27"/>
  <c r="BD152" i="27"/>
  <c r="AY152" i="27"/>
  <c r="BE155" i="27"/>
  <c r="AZ155" i="27"/>
  <c r="BF159" i="27"/>
  <c r="BA159" i="27"/>
  <c r="AV159" i="27"/>
  <c r="BG162" i="27"/>
  <c r="BB162" i="27"/>
  <c r="AW162" i="27"/>
  <c r="BH165" i="27"/>
  <c r="BC165" i="27"/>
  <c r="AX165" i="27"/>
  <c r="BD168" i="27"/>
  <c r="AY168" i="27"/>
  <c r="BE171" i="27"/>
  <c r="AZ171" i="27"/>
  <c r="BF175" i="27"/>
  <c r="BA175" i="27"/>
  <c r="AV175" i="27"/>
  <c r="BG178" i="27"/>
  <c r="BB178" i="27"/>
  <c r="AW178" i="27"/>
  <c r="BH181" i="27"/>
  <c r="BC181" i="27"/>
  <c r="AX181" i="27"/>
  <c r="BD184" i="27"/>
  <c r="AY184" i="27"/>
  <c r="BE187" i="27"/>
  <c r="AZ187" i="27"/>
  <c r="BF191" i="27"/>
  <c r="BA191" i="27"/>
  <c r="AV191" i="27"/>
  <c r="BG194" i="27"/>
  <c r="BB194" i="27"/>
  <c r="AW194" i="27"/>
  <c r="BH197" i="27"/>
  <c r="BC197" i="27"/>
  <c r="AX197" i="27"/>
  <c r="BD200" i="27"/>
  <c r="AY200" i="27"/>
  <c r="BE203" i="27"/>
  <c r="AZ203" i="27"/>
  <c r="BF207" i="27"/>
  <c r="BA207" i="27"/>
  <c r="AV207" i="27"/>
  <c r="BG210" i="27"/>
  <c r="BB210" i="27"/>
  <c r="AW210" i="27"/>
  <c r="BH213" i="27"/>
  <c r="BC213" i="27"/>
  <c r="AX213" i="27"/>
  <c r="BD216" i="27"/>
  <c r="AY216" i="27"/>
  <c r="BE219" i="27"/>
  <c r="AZ219" i="27"/>
  <c r="BF223" i="27"/>
  <c r="BA223" i="27"/>
  <c r="AV223" i="27"/>
  <c r="BG226" i="27"/>
  <c r="BB226" i="27"/>
  <c r="AW226" i="27"/>
  <c r="BH229" i="27"/>
  <c r="BC229" i="27"/>
  <c r="AX229" i="27"/>
  <c r="BD232" i="27"/>
  <c r="AY232" i="27"/>
  <c r="BE235" i="27"/>
  <c r="AZ235" i="27"/>
  <c r="BF239" i="27"/>
  <c r="BA239" i="27"/>
  <c r="AV239" i="27"/>
  <c r="BG242" i="27"/>
  <c r="BB242" i="27"/>
  <c r="AW242" i="27"/>
  <c r="BH245" i="27"/>
  <c r="BC245" i="27"/>
  <c r="AX245" i="27"/>
  <c r="BD248" i="27"/>
  <c r="AY248" i="27"/>
  <c r="BE251" i="27"/>
  <c r="AZ251" i="27"/>
  <c r="BF255" i="27"/>
  <c r="BA255" i="27"/>
  <c r="AV255" i="27"/>
  <c r="BG258" i="27"/>
  <c r="BB258" i="27"/>
  <c r="AW258" i="27"/>
  <c r="BH261" i="27"/>
  <c r="BC261" i="27"/>
  <c r="AX261" i="27"/>
  <c r="BD264" i="27"/>
  <c r="AY264" i="27"/>
  <c r="BE267" i="27"/>
  <c r="AZ267" i="27"/>
  <c r="BF271" i="27"/>
  <c r="BA271" i="27"/>
  <c r="AV271" i="27"/>
  <c r="BG274" i="27"/>
  <c r="BB274" i="27"/>
  <c r="AW274" i="27"/>
  <c r="BH277" i="27"/>
  <c r="BC277" i="27"/>
  <c r="AX277" i="27"/>
  <c r="BD280" i="27"/>
  <c r="AY280" i="27"/>
  <c r="BE283" i="27"/>
  <c r="AZ283" i="27"/>
  <c r="BF287" i="27"/>
  <c r="BA287" i="27"/>
  <c r="AV287" i="27"/>
  <c r="BG290" i="27"/>
  <c r="BB290" i="27"/>
  <c r="AW290" i="27"/>
  <c r="BH293" i="27"/>
  <c r="BC293" i="27"/>
  <c r="AX293" i="27"/>
  <c r="BD296" i="27"/>
  <c r="AY296" i="27"/>
  <c r="BE299" i="27"/>
  <c r="AZ299" i="27"/>
  <c r="BF303" i="27"/>
  <c r="BA303" i="27"/>
  <c r="AV303" i="27"/>
  <c r="BG306" i="27"/>
  <c r="BB306" i="27"/>
  <c r="AW306" i="27"/>
  <c r="BH309" i="27"/>
  <c r="BC309" i="27"/>
  <c r="AX309" i="27"/>
  <c r="BD312" i="27"/>
  <c r="AY312" i="27"/>
  <c r="BE315" i="27"/>
  <c r="AZ315" i="27"/>
  <c r="BF319" i="27"/>
  <c r="BA319" i="27"/>
  <c r="AV319" i="27"/>
  <c r="BG322" i="27"/>
  <c r="BB322" i="27"/>
  <c r="AW322" i="27"/>
  <c r="BH325" i="27"/>
  <c r="BC325" i="27"/>
  <c r="AX325" i="27"/>
  <c r="BD328" i="27"/>
  <c r="AY328" i="27"/>
  <c r="BE331" i="27"/>
  <c r="AZ331" i="27"/>
  <c r="BF335" i="27"/>
  <c r="BA335" i="27"/>
  <c r="AV335" i="27"/>
  <c r="BG338" i="27"/>
  <c r="BB338" i="27"/>
  <c r="AW338" i="27"/>
  <c r="BH341" i="27"/>
  <c r="BC341" i="27"/>
  <c r="AX341" i="27"/>
  <c r="BD344" i="27"/>
  <c r="AY344" i="27"/>
  <c r="BE347" i="27"/>
  <c r="AZ347" i="27"/>
  <c r="BF351" i="27"/>
  <c r="BA351" i="27"/>
  <c r="AV351" i="27"/>
  <c r="BG354" i="27"/>
  <c r="BB354" i="27"/>
  <c r="AW354" i="27"/>
  <c r="BH357" i="27"/>
  <c r="BC357" i="27"/>
  <c r="AX357" i="27"/>
  <c r="BD360" i="27"/>
  <c r="AY360" i="27"/>
  <c r="BE363" i="27"/>
  <c r="AZ363" i="27"/>
  <c r="BE85" i="27"/>
  <c r="AZ85" i="27"/>
  <c r="BD37" i="27"/>
  <c r="AY37" i="27"/>
  <c r="BE50" i="27"/>
  <c r="AZ50" i="27"/>
  <c r="BF106" i="27"/>
  <c r="BA106" i="27"/>
  <c r="AV106" i="27"/>
  <c r="BE70" i="27"/>
  <c r="AZ70" i="27"/>
  <c r="BD48" i="27"/>
  <c r="AY48" i="27"/>
  <c r="BH31" i="27"/>
  <c r="BC31" i="27"/>
  <c r="AX31" i="27"/>
  <c r="BG18" i="27"/>
  <c r="BB18" i="27"/>
  <c r="AW18" i="27"/>
  <c r="BE7" i="27"/>
  <c r="AZ7" i="27"/>
  <c r="BG10" i="27"/>
  <c r="BB10" i="27"/>
  <c r="AW10" i="27"/>
  <c r="BG11" i="27"/>
  <c r="BB11" i="27"/>
  <c r="AW11" i="27"/>
  <c r="BF21" i="27"/>
  <c r="BA21" i="27"/>
  <c r="AV21" i="27"/>
  <c r="BE40" i="27"/>
  <c r="AZ40" i="27"/>
  <c r="BD45" i="27"/>
  <c r="AY45" i="27"/>
  <c r="BF51" i="27"/>
  <c r="BA51" i="27"/>
  <c r="AV51" i="27"/>
  <c r="BD67" i="27"/>
  <c r="AY67" i="27"/>
  <c r="BF75" i="27"/>
  <c r="BA75" i="27"/>
  <c r="AV75" i="27"/>
  <c r="BG82" i="27"/>
  <c r="BB82" i="27"/>
  <c r="AW82" i="27"/>
  <c r="BE102" i="27"/>
  <c r="AZ102" i="27"/>
  <c r="BG112" i="27"/>
  <c r="AW112" i="27"/>
  <c r="BB112" i="27"/>
  <c r="BE13" i="27"/>
  <c r="AZ13" i="27"/>
  <c r="BG19" i="27"/>
  <c r="BB19" i="27"/>
  <c r="AW19" i="27"/>
  <c r="BD9" i="27"/>
  <c r="AY9" i="27"/>
  <c r="BG47" i="27"/>
  <c r="BB47" i="27"/>
  <c r="AW47" i="27"/>
  <c r="BH54" i="27"/>
  <c r="BC54" i="27"/>
  <c r="AX54" i="27"/>
  <c r="BD60" i="27"/>
  <c r="AY60" i="27"/>
  <c r="BE64" i="27"/>
  <c r="AZ64" i="27"/>
  <c r="BF72" i="27"/>
  <c r="BA72" i="27"/>
  <c r="AV72" i="27"/>
  <c r="BG79" i="27"/>
  <c r="BB79" i="27"/>
  <c r="AW79" i="27"/>
  <c r="BH84" i="27"/>
  <c r="BC84" i="27"/>
  <c r="AX84" i="27"/>
  <c r="BD90" i="27"/>
  <c r="AY90" i="27"/>
  <c r="BE95" i="27"/>
  <c r="AZ95" i="27"/>
  <c r="BF100" i="27"/>
  <c r="BA100" i="27"/>
  <c r="AV100" i="27"/>
  <c r="BG105" i="27"/>
  <c r="BB105" i="27"/>
  <c r="AW105" i="27"/>
  <c r="BH109" i="27"/>
  <c r="BC109" i="27"/>
  <c r="AX109" i="27"/>
  <c r="BD114" i="27"/>
  <c r="AY114" i="27"/>
  <c r="BE118" i="27"/>
  <c r="AZ118" i="27"/>
  <c r="BF124" i="27"/>
  <c r="BA124" i="27"/>
  <c r="AV124" i="27"/>
  <c r="BG127" i="27"/>
  <c r="BB127" i="27"/>
  <c r="AW127" i="27"/>
  <c r="BH130" i="27"/>
  <c r="BC130" i="27"/>
  <c r="AX130" i="27"/>
  <c r="BD133" i="27"/>
  <c r="AY133" i="27"/>
  <c r="BE136" i="27"/>
  <c r="AZ136" i="27"/>
  <c r="BF140" i="27"/>
  <c r="BA140" i="27"/>
  <c r="AV140" i="27"/>
  <c r="BG143" i="27"/>
  <c r="BB143" i="27"/>
  <c r="AW143" i="27"/>
  <c r="BH146" i="27"/>
  <c r="BC146" i="27"/>
  <c r="AX146" i="27"/>
  <c r="BD149" i="27"/>
  <c r="AY149" i="27"/>
  <c r="BE152" i="27"/>
  <c r="AZ152" i="27"/>
  <c r="BF156" i="27"/>
  <c r="BA156" i="27"/>
  <c r="AV156" i="27"/>
  <c r="BG159" i="27"/>
  <c r="BB159" i="27"/>
  <c r="AW159" i="27"/>
  <c r="BH162" i="27"/>
  <c r="BC162" i="27"/>
  <c r="AX162" i="27"/>
  <c r="BD165" i="27"/>
  <c r="AY165" i="27"/>
  <c r="BE168" i="27"/>
  <c r="AZ168" i="27"/>
  <c r="BF172" i="27"/>
  <c r="BA172" i="27"/>
  <c r="AV172" i="27"/>
  <c r="BG175" i="27"/>
  <c r="BB175" i="27"/>
  <c r="AW175" i="27"/>
  <c r="BH178" i="27"/>
  <c r="BC178" i="27"/>
  <c r="AX178" i="27"/>
  <c r="BD181" i="27"/>
  <c r="AY181" i="27"/>
  <c r="BE184" i="27"/>
  <c r="AZ184" i="27"/>
  <c r="BF188" i="27"/>
  <c r="BA188" i="27"/>
  <c r="AV188" i="27"/>
  <c r="BG191" i="27"/>
  <c r="BB191" i="27"/>
  <c r="AW191" i="27"/>
  <c r="BH194" i="27"/>
  <c r="BC194" i="27"/>
  <c r="AX194" i="27"/>
  <c r="BD197" i="27"/>
  <c r="AY197" i="27"/>
  <c r="BE200" i="27"/>
  <c r="AZ200" i="27"/>
  <c r="BF204" i="27"/>
  <c r="BA204" i="27"/>
  <c r="AV204" i="27"/>
  <c r="BG207" i="27"/>
  <c r="BB207" i="27"/>
  <c r="AW207" i="27"/>
  <c r="BH210" i="27"/>
  <c r="BC210" i="27"/>
  <c r="AX210" i="27"/>
  <c r="BD213" i="27"/>
  <c r="AY213" i="27"/>
  <c r="BE216" i="27"/>
  <c r="AZ216" i="27"/>
  <c r="BF220" i="27"/>
  <c r="BA220" i="27"/>
  <c r="AV220" i="27"/>
  <c r="BG223" i="27"/>
  <c r="BB223" i="27"/>
  <c r="AW223" i="27"/>
  <c r="BH226" i="27"/>
  <c r="BC226" i="27"/>
  <c r="AX226" i="27"/>
  <c r="BD229" i="27"/>
  <c r="AY229" i="27"/>
  <c r="BE232" i="27"/>
  <c r="AZ232" i="27"/>
  <c r="BF236" i="27"/>
  <c r="BA236" i="27"/>
  <c r="AV236" i="27"/>
  <c r="BG239" i="27"/>
  <c r="BB239" i="27"/>
  <c r="AW239" i="27"/>
  <c r="BH242" i="27"/>
  <c r="BC242" i="27"/>
  <c r="AX242" i="27"/>
  <c r="BD245" i="27"/>
  <c r="AY245" i="27"/>
  <c r="BE248" i="27"/>
  <c r="AZ248" i="27"/>
  <c r="BF252" i="27"/>
  <c r="BA252" i="27"/>
  <c r="AV252" i="27"/>
  <c r="BG255" i="27"/>
  <c r="BB255" i="27"/>
  <c r="AW255" i="27"/>
  <c r="BH258" i="27"/>
  <c r="BC258" i="27"/>
  <c r="AX258" i="27"/>
  <c r="BD261" i="27"/>
  <c r="AY261" i="27"/>
  <c r="BE264" i="27"/>
  <c r="AZ264" i="27"/>
  <c r="BF268" i="27"/>
  <c r="BA268" i="27"/>
  <c r="AV268" i="27"/>
  <c r="BG271" i="27"/>
  <c r="BB271" i="27"/>
  <c r="AW271" i="27"/>
  <c r="BH274" i="27"/>
  <c r="BC274" i="27"/>
  <c r="AX274" i="27"/>
  <c r="BD277" i="27"/>
  <c r="AY277" i="27"/>
  <c r="BE280" i="27"/>
  <c r="AZ280" i="27"/>
  <c r="BF284" i="27"/>
  <c r="BA284" i="27"/>
  <c r="AV284" i="27"/>
  <c r="BG287" i="27"/>
  <c r="BB287" i="27"/>
  <c r="AW287" i="27"/>
  <c r="BH290" i="27"/>
  <c r="BC290" i="27"/>
  <c r="AX290" i="27"/>
  <c r="BD293" i="27"/>
  <c r="AY293" i="27"/>
  <c r="BE296" i="27"/>
  <c r="AZ296" i="27"/>
  <c r="BF300" i="27"/>
  <c r="BA300" i="27"/>
  <c r="AV300" i="27"/>
  <c r="BG303" i="27"/>
  <c r="BB303" i="27"/>
  <c r="AW303" i="27"/>
  <c r="BH306" i="27"/>
  <c r="BC306" i="27"/>
  <c r="AX306" i="27"/>
  <c r="BD309" i="27"/>
  <c r="AY309" i="27"/>
  <c r="BE312" i="27"/>
  <c r="AZ312" i="27"/>
  <c r="BF316" i="27"/>
  <c r="BA316" i="27"/>
  <c r="AV316" i="27"/>
  <c r="BG319" i="27"/>
  <c r="BB319" i="27"/>
  <c r="AW319" i="27"/>
  <c r="BH322" i="27"/>
  <c r="BC322" i="27"/>
  <c r="AX322" i="27"/>
  <c r="BD325" i="27"/>
  <c r="AY325" i="27"/>
  <c r="BE328" i="27"/>
  <c r="AZ328" i="27"/>
  <c r="BF332" i="27"/>
  <c r="BA332" i="27"/>
  <c r="AV332" i="27"/>
  <c r="BG335" i="27"/>
  <c r="BB335" i="27"/>
  <c r="AW335" i="27"/>
  <c r="BH338" i="27"/>
  <c r="BC338" i="27"/>
  <c r="AX338" i="27"/>
  <c r="BD341" i="27"/>
  <c r="AY341" i="27"/>
  <c r="BE344" i="27"/>
  <c r="AZ344" i="27"/>
  <c r="BF348" i="27"/>
  <c r="BA348" i="27"/>
  <c r="AV348" i="27"/>
  <c r="BG351" i="27"/>
  <c r="BB351" i="27"/>
  <c r="AW351" i="27"/>
  <c r="BH354" i="27"/>
  <c r="BC354" i="27"/>
  <c r="AX354" i="27"/>
  <c r="BD357" i="27"/>
  <c r="AY357" i="27"/>
  <c r="BE360" i="27"/>
  <c r="AZ360" i="27"/>
  <c r="BF364" i="27"/>
  <c r="BA364" i="27"/>
  <c r="AV364" i="27"/>
  <c r="BD85" i="27"/>
  <c r="AY85" i="27"/>
  <c r="BF44" i="27"/>
  <c r="BA44" i="27"/>
  <c r="AV44" i="27"/>
  <c r="BH37" i="27"/>
  <c r="BC37" i="27"/>
  <c r="AX37" i="27"/>
  <c r="BD50" i="27"/>
  <c r="AY50" i="27"/>
  <c r="BE96" i="27"/>
  <c r="AZ96" i="27"/>
  <c r="AY70" i="27"/>
  <c r="BD70" i="27"/>
  <c r="BH48" i="27"/>
  <c r="BC48" i="27"/>
  <c r="AX48" i="27"/>
  <c r="BG31" i="27"/>
  <c r="BB31" i="27"/>
  <c r="AW31" i="27"/>
  <c r="BF18" i="27"/>
  <c r="BA18" i="27"/>
  <c r="AV18" i="27"/>
  <c r="BF10" i="27"/>
  <c r="BA10" i="27"/>
  <c r="AV10" i="27"/>
  <c r="BF11" i="27"/>
  <c r="BA11" i="27"/>
  <c r="AV11" i="27"/>
  <c r="BG17" i="27"/>
  <c r="BB17" i="27"/>
  <c r="AW17" i="27"/>
  <c r="BE20" i="27"/>
  <c r="AZ20" i="27"/>
  <c r="BD24" i="27"/>
  <c r="AY24" i="27"/>
  <c r="BG28" i="27"/>
  <c r="BB28" i="27"/>
  <c r="AW28" i="27"/>
  <c r="BD40" i="27"/>
  <c r="AY40" i="27"/>
  <c r="BH45" i="27"/>
  <c r="BC45" i="27"/>
  <c r="AX45" i="27"/>
  <c r="BE59" i="27"/>
  <c r="AZ59" i="27"/>
  <c r="BH67" i="27"/>
  <c r="AX67" i="27"/>
  <c r="BC67" i="27"/>
  <c r="BE74" i="27"/>
  <c r="AZ74" i="27"/>
  <c r="BF82" i="27"/>
  <c r="BA82" i="27"/>
  <c r="AV82" i="27"/>
  <c r="AY102" i="27"/>
  <c r="BD102" i="27"/>
  <c r="BF112" i="27"/>
  <c r="BA112" i="27"/>
  <c r="AV112" i="27"/>
  <c r="BD121" i="27"/>
  <c r="AY121" i="27"/>
  <c r="BF19" i="27"/>
  <c r="BA19" i="27"/>
  <c r="AV19" i="27"/>
  <c r="BH47" i="27"/>
  <c r="BC47" i="27"/>
  <c r="AX47" i="27"/>
  <c r="AY54" i="27"/>
  <c r="BD54" i="27"/>
  <c r="BE60" i="27"/>
  <c r="AZ60" i="27"/>
  <c r="BF65" i="27"/>
  <c r="BA65" i="27"/>
  <c r="AV65" i="27"/>
  <c r="BG72" i="27"/>
  <c r="BB72" i="27"/>
  <c r="AW72" i="27"/>
  <c r="BH79" i="27"/>
  <c r="BC79" i="27"/>
  <c r="AX79" i="27"/>
  <c r="BD84" i="27"/>
  <c r="AY84" i="27"/>
  <c r="BE90" i="27"/>
  <c r="AZ90" i="27"/>
  <c r="BF97" i="27"/>
  <c r="BA97" i="27"/>
  <c r="AV97" i="27"/>
  <c r="BG100" i="27"/>
  <c r="BB100" i="27"/>
  <c r="AW100" i="27"/>
  <c r="BH105" i="27"/>
  <c r="BC105" i="27"/>
  <c r="AX105" i="27"/>
  <c r="BD109" i="27"/>
  <c r="AY109" i="27"/>
  <c r="BE114" i="27"/>
  <c r="AZ114" i="27"/>
  <c r="BF119" i="27"/>
  <c r="BA119" i="27"/>
  <c r="AV119" i="27"/>
  <c r="BG124" i="27"/>
  <c r="BB124" i="27"/>
  <c r="AW124" i="27"/>
  <c r="BH127" i="27"/>
  <c r="BC127" i="27"/>
  <c r="AX127" i="27"/>
  <c r="BD130" i="27"/>
  <c r="AY130" i="27"/>
  <c r="BE133" i="27"/>
  <c r="AZ133" i="27"/>
  <c r="BF137" i="27"/>
  <c r="BA137" i="27"/>
  <c r="AV137" i="27"/>
  <c r="BG140" i="27"/>
  <c r="BB140" i="27"/>
  <c r="AW140" i="27"/>
  <c r="BH143" i="27"/>
  <c r="BC143" i="27"/>
  <c r="AX143" i="27"/>
  <c r="BD146" i="27"/>
  <c r="AY146" i="27"/>
  <c r="BE149" i="27"/>
  <c r="AZ149" i="27"/>
  <c r="BF153" i="27"/>
  <c r="BA153" i="27"/>
  <c r="AV153" i="27"/>
  <c r="BG156" i="27"/>
  <c r="BB156" i="27"/>
  <c r="AW156" i="27"/>
  <c r="BH159" i="27"/>
  <c r="BC159" i="27"/>
  <c r="AX159" i="27"/>
  <c r="BD162" i="27"/>
  <c r="AY162" i="27"/>
  <c r="BE165" i="27"/>
  <c r="AZ165" i="27"/>
  <c r="BF169" i="27"/>
  <c r="BA169" i="27"/>
  <c r="AV169" i="27"/>
  <c r="BG172" i="27"/>
  <c r="BB172" i="27"/>
  <c r="AW172" i="27"/>
  <c r="BH175" i="27"/>
  <c r="BC175" i="27"/>
  <c r="AX175" i="27"/>
  <c r="BD178" i="27"/>
  <c r="AY178" i="27"/>
  <c r="BE181" i="27"/>
  <c r="AZ181" i="27"/>
  <c r="BF185" i="27"/>
  <c r="BA185" i="27"/>
  <c r="AV185" i="27"/>
  <c r="BG188" i="27"/>
  <c r="BB188" i="27"/>
  <c r="AW188" i="27"/>
  <c r="BH191" i="27"/>
  <c r="BC191" i="27"/>
  <c r="AX191" i="27"/>
  <c r="BD194" i="27"/>
  <c r="AY194" i="27"/>
  <c r="BE197" i="27"/>
  <c r="AZ197" i="27"/>
  <c r="BF201" i="27"/>
  <c r="BA201" i="27"/>
  <c r="AV201" i="27"/>
  <c r="BG204" i="27"/>
  <c r="BB204" i="27"/>
  <c r="AW204" i="27"/>
  <c r="BH207" i="27"/>
  <c r="BC207" i="27"/>
  <c r="AX207" i="27"/>
  <c r="BD210" i="27"/>
  <c r="AY210" i="27"/>
  <c r="BE213" i="27"/>
  <c r="AZ213" i="27"/>
  <c r="BF217" i="27"/>
  <c r="BA217" i="27"/>
  <c r="AV217" i="27"/>
  <c r="BG220" i="27"/>
  <c r="BB220" i="27"/>
  <c r="AW220" i="27"/>
  <c r="BH223" i="27"/>
  <c r="BC223" i="27"/>
  <c r="AX223" i="27"/>
  <c r="BD226" i="27"/>
  <c r="AY226" i="27"/>
  <c r="BE229" i="27"/>
  <c r="AZ229" i="27"/>
  <c r="BF233" i="27"/>
  <c r="BA233" i="27"/>
  <c r="AV233" i="27"/>
  <c r="BG236" i="27"/>
  <c r="BB236" i="27"/>
  <c r="AW236" i="27"/>
  <c r="BH239" i="27"/>
  <c r="BC239" i="27"/>
  <c r="AX239" i="27"/>
  <c r="BD242" i="27"/>
  <c r="AY242" i="27"/>
  <c r="BE245" i="27"/>
  <c r="AZ245" i="27"/>
  <c r="BF249" i="27"/>
  <c r="BA249" i="27"/>
  <c r="AV249" i="27"/>
  <c r="BG252" i="27"/>
  <c r="BB252" i="27"/>
  <c r="AW252" i="27"/>
  <c r="BH255" i="27"/>
  <c r="BC255" i="27"/>
  <c r="AX255" i="27"/>
  <c r="BD258" i="27"/>
  <c r="AY258" i="27"/>
  <c r="BE261" i="27"/>
  <c r="AZ261" i="27"/>
  <c r="BF265" i="27"/>
  <c r="BA265" i="27"/>
  <c r="AV265" i="27"/>
  <c r="BG268" i="27"/>
  <c r="BB268" i="27"/>
  <c r="AW268" i="27"/>
  <c r="BH271" i="27"/>
  <c r="BC271" i="27"/>
  <c r="AX271" i="27"/>
  <c r="BD274" i="27"/>
  <c r="AY274" i="27"/>
  <c r="BE277" i="27"/>
  <c r="AZ277" i="27"/>
  <c r="BF281" i="27"/>
  <c r="BA281" i="27"/>
  <c r="AV281" i="27"/>
  <c r="BG284" i="27"/>
  <c r="BB284" i="27"/>
  <c r="AW284" i="27"/>
  <c r="BH287" i="27"/>
  <c r="BC287" i="27"/>
  <c r="AX287" i="27"/>
  <c r="BD290" i="27"/>
  <c r="AY290" i="27"/>
  <c r="BE293" i="27"/>
  <c r="AZ293" i="27"/>
  <c r="BF297" i="27"/>
  <c r="BA297" i="27"/>
  <c r="AV297" i="27"/>
  <c r="BG300" i="27"/>
  <c r="BB300" i="27"/>
  <c r="AW300" i="27"/>
  <c r="BH303" i="27"/>
  <c r="BC303" i="27"/>
  <c r="AX303" i="27"/>
  <c r="BD306" i="27"/>
  <c r="AY306" i="27"/>
  <c r="BE309" i="27"/>
  <c r="AZ309" i="27"/>
  <c r="BF313" i="27"/>
  <c r="BA313" i="27"/>
  <c r="AV313" i="27"/>
  <c r="BG316" i="27"/>
  <c r="BB316" i="27"/>
  <c r="AW316" i="27"/>
  <c r="BH319" i="27"/>
  <c r="BC319" i="27"/>
  <c r="AX319" i="27"/>
  <c r="BD322" i="27"/>
  <c r="AY322" i="27"/>
  <c r="BE325" i="27"/>
  <c r="AZ325" i="27"/>
  <c r="BF329" i="27"/>
  <c r="BA329" i="27"/>
  <c r="AV329" i="27"/>
  <c r="BG332" i="27"/>
  <c r="BB332" i="27"/>
  <c r="AW332" i="27"/>
  <c r="BH335" i="27"/>
  <c r="BC335" i="27"/>
  <c r="AX335" i="27"/>
  <c r="BD338" i="27"/>
  <c r="AY338" i="27"/>
  <c r="BE341" i="27"/>
  <c r="AZ341" i="27"/>
  <c r="BF345" i="27"/>
  <c r="BA345" i="27"/>
  <c r="AV345" i="27"/>
  <c r="BG348" i="27"/>
  <c r="BB348" i="27"/>
  <c r="AW348" i="27"/>
  <c r="BH351" i="27"/>
  <c r="BC351" i="27"/>
  <c r="AX351" i="27"/>
  <c r="BD354" i="27"/>
  <c r="AY354" i="27"/>
  <c r="BE357" i="27"/>
  <c r="AZ357" i="27"/>
  <c r="BF361" i="27"/>
  <c r="BA361" i="27"/>
  <c r="AV361" i="27"/>
  <c r="BG364" i="27"/>
  <c r="BB364" i="27"/>
  <c r="AW364" i="27"/>
  <c r="BE32" i="27"/>
  <c r="AZ32" i="27"/>
  <c r="BH85" i="27"/>
  <c r="BC85" i="27"/>
  <c r="AX85" i="27"/>
  <c r="BE43" i="27"/>
  <c r="AZ43" i="27"/>
  <c r="BG37" i="27"/>
  <c r="BB37" i="27"/>
  <c r="AW37" i="27"/>
  <c r="BH50" i="27"/>
  <c r="BC50" i="27"/>
  <c r="AX50" i="27"/>
  <c r="BD96" i="27"/>
  <c r="AY96" i="27"/>
  <c r="BH70" i="27"/>
  <c r="BC70" i="27"/>
  <c r="AX70" i="27"/>
  <c r="BG48" i="27"/>
  <c r="BB48" i="27"/>
  <c r="AW48" i="27"/>
  <c r="BF31" i="27"/>
  <c r="BA31" i="27"/>
  <c r="AV31" i="27"/>
  <c r="BE15" i="27"/>
  <c r="AZ15" i="27"/>
  <c r="BE12" i="27"/>
  <c r="AZ12" i="27"/>
  <c r="BE14" i="27"/>
  <c r="AZ14" i="27"/>
  <c r="BF17" i="27"/>
  <c r="BA17" i="27"/>
  <c r="AV17" i="27"/>
  <c r="BH24" i="27"/>
  <c r="BC24" i="27"/>
  <c r="AX24" i="27"/>
  <c r="BF28" i="27"/>
  <c r="BA28" i="27"/>
  <c r="AV28" i="27"/>
  <c r="BH40" i="27"/>
  <c r="BC40" i="27"/>
  <c r="AX40" i="27"/>
  <c r="BD59" i="27"/>
  <c r="AY59" i="27"/>
  <c r="BG67" i="27"/>
  <c r="BB67" i="27"/>
  <c r="AW67" i="27"/>
  <c r="BD74" i="27"/>
  <c r="AY74" i="27"/>
  <c r="BE92" i="27"/>
  <c r="AZ92" i="27"/>
  <c r="BH102" i="27"/>
  <c r="BC102" i="27"/>
  <c r="AX102" i="27"/>
  <c r="BE111" i="27"/>
  <c r="AZ111" i="27"/>
  <c r="BH121" i="27"/>
  <c r="BC121" i="27"/>
  <c r="AX121" i="27"/>
  <c r="BE71" i="27"/>
  <c r="AZ71" i="27"/>
  <c r="BG30" i="27"/>
  <c r="BB30" i="27"/>
  <c r="AW30" i="27"/>
  <c r="BD47" i="27"/>
  <c r="AY47" i="27"/>
  <c r="BE54" i="27"/>
  <c r="AZ54" i="27"/>
  <c r="BF61" i="27"/>
  <c r="AV61" i="27"/>
  <c r="BA61" i="27"/>
  <c r="BG65" i="27"/>
  <c r="BB65" i="27"/>
  <c r="AW65" i="27"/>
  <c r="BH72" i="27"/>
  <c r="BC72" i="27"/>
  <c r="AX72" i="27"/>
  <c r="BD79" i="27"/>
  <c r="AY79" i="27"/>
  <c r="BE84" i="27"/>
  <c r="AZ84" i="27"/>
  <c r="BF93" i="27"/>
  <c r="BA93" i="27"/>
  <c r="AV93" i="27"/>
  <c r="BG97" i="27"/>
  <c r="BB97" i="27"/>
  <c r="AW97" i="27"/>
  <c r="BH100" i="27"/>
  <c r="BC100" i="27"/>
  <c r="AX100" i="27"/>
  <c r="BD105" i="27"/>
  <c r="AY105" i="27"/>
  <c r="BE109" i="27"/>
  <c r="AZ109" i="27"/>
  <c r="BF115" i="27"/>
  <c r="BA115" i="27"/>
  <c r="AV115" i="27"/>
  <c r="BG119" i="27"/>
  <c r="BB119" i="27"/>
  <c r="AW119" i="27"/>
  <c r="BH124" i="27"/>
  <c r="BC124" i="27"/>
  <c r="AX124" i="27"/>
  <c r="BD127" i="27"/>
  <c r="AY127" i="27"/>
  <c r="BE130" i="27"/>
  <c r="AZ130" i="27"/>
  <c r="BF134" i="27"/>
  <c r="BA134" i="27"/>
  <c r="AV134" i="27"/>
  <c r="BG137" i="27"/>
  <c r="BB137" i="27"/>
  <c r="AW137" i="27"/>
  <c r="BH140" i="27"/>
  <c r="BC140" i="27"/>
  <c r="AX140" i="27"/>
  <c r="BD143" i="27"/>
  <c r="AY143" i="27"/>
  <c r="BE146" i="27"/>
  <c r="AZ146" i="27"/>
  <c r="BF150" i="27"/>
  <c r="BA150" i="27"/>
  <c r="AV150" i="27"/>
  <c r="BG153" i="27"/>
  <c r="BB153" i="27"/>
  <c r="AW153" i="27"/>
  <c r="BH156" i="27"/>
  <c r="BC156" i="27"/>
  <c r="AX156" i="27"/>
  <c r="BD159" i="27"/>
  <c r="AY159" i="27"/>
  <c r="BE162" i="27"/>
  <c r="AZ162" i="27"/>
  <c r="BF166" i="27"/>
  <c r="BA166" i="27"/>
  <c r="AV166" i="27"/>
  <c r="BG169" i="27"/>
  <c r="BB169" i="27"/>
  <c r="AW169" i="27"/>
  <c r="BH172" i="27"/>
  <c r="BC172" i="27"/>
  <c r="AX172" i="27"/>
  <c r="BD175" i="27"/>
  <c r="AY175" i="27"/>
  <c r="BE178" i="27"/>
  <c r="AZ178" i="27"/>
  <c r="BF182" i="27"/>
  <c r="BA182" i="27"/>
  <c r="AV182" i="27"/>
  <c r="BG185" i="27"/>
  <c r="BB185" i="27"/>
  <c r="AW185" i="27"/>
  <c r="BH188" i="27"/>
  <c r="BC188" i="27"/>
  <c r="AX188" i="27"/>
  <c r="BD191" i="27"/>
  <c r="AY191" i="27"/>
  <c r="BE194" i="27"/>
  <c r="AZ194" i="27"/>
  <c r="BF198" i="27"/>
  <c r="BA198" i="27"/>
  <c r="AV198" i="27"/>
  <c r="BG201" i="27"/>
  <c r="BB201" i="27"/>
  <c r="AW201" i="27"/>
  <c r="BH204" i="27"/>
  <c r="BC204" i="27"/>
  <c r="AX204" i="27"/>
  <c r="BD207" i="27"/>
  <c r="AY207" i="27"/>
  <c r="BE210" i="27"/>
  <c r="AZ210" i="27"/>
  <c r="BF214" i="27"/>
  <c r="BA214" i="27"/>
  <c r="AV214" i="27"/>
  <c r="BG217" i="27"/>
  <c r="BB217" i="27"/>
  <c r="AW217" i="27"/>
  <c r="BH220" i="27"/>
  <c r="BC220" i="27"/>
  <c r="AX220" i="27"/>
  <c r="BD223" i="27"/>
  <c r="AY223" i="27"/>
  <c r="BE226" i="27"/>
  <c r="AZ226" i="27"/>
  <c r="BF230" i="27"/>
  <c r="BA230" i="27"/>
  <c r="AV230" i="27"/>
  <c r="BG233" i="27"/>
  <c r="BB233" i="27"/>
  <c r="AW233" i="27"/>
  <c r="BH236" i="27"/>
  <c r="BC236" i="27"/>
  <c r="AX236" i="27"/>
  <c r="BD239" i="27"/>
  <c r="AY239" i="27"/>
  <c r="BE242" i="27"/>
  <c r="AZ242" i="27"/>
  <c r="BF246" i="27"/>
  <c r="BA246" i="27"/>
  <c r="AV246" i="27"/>
  <c r="BG249" i="27"/>
  <c r="BB249" i="27"/>
  <c r="AW249" i="27"/>
  <c r="BH252" i="27"/>
  <c r="BC252" i="27"/>
  <c r="AX252" i="27"/>
  <c r="BD255" i="27"/>
  <c r="AY255" i="27"/>
  <c r="BE258" i="27"/>
  <c r="AZ258" i="27"/>
  <c r="BF262" i="27"/>
  <c r="BA262" i="27"/>
  <c r="AV262" i="27"/>
  <c r="BG265" i="27"/>
  <c r="BB265" i="27"/>
  <c r="AW265" i="27"/>
  <c r="BH268" i="27"/>
  <c r="BC268" i="27"/>
  <c r="AX268" i="27"/>
  <c r="BD271" i="27"/>
  <c r="AY271" i="27"/>
  <c r="BE274" i="27"/>
  <c r="AZ274" i="27"/>
  <c r="BF278" i="27"/>
  <c r="BA278" i="27"/>
  <c r="AV278" i="27"/>
  <c r="BG281" i="27"/>
  <c r="BB281" i="27"/>
  <c r="AW281" i="27"/>
  <c r="BH284" i="27"/>
  <c r="BC284" i="27"/>
  <c r="AX284" i="27"/>
  <c r="BD287" i="27"/>
  <c r="AY287" i="27"/>
  <c r="BE290" i="27"/>
  <c r="AZ290" i="27"/>
  <c r="BF294" i="27"/>
  <c r="BA294" i="27"/>
  <c r="AV294" i="27"/>
  <c r="BG297" i="27"/>
  <c r="BB297" i="27"/>
  <c r="AW297" i="27"/>
  <c r="BH300" i="27"/>
  <c r="BC300" i="27"/>
  <c r="AX300" i="27"/>
  <c r="BD303" i="27"/>
  <c r="AY303" i="27"/>
  <c r="BE306" i="27"/>
  <c r="AZ306" i="27"/>
  <c r="BF310" i="27"/>
  <c r="BA310" i="27"/>
  <c r="AV310" i="27"/>
  <c r="BG313" i="27"/>
  <c r="BB313" i="27"/>
  <c r="AW313" i="27"/>
  <c r="BH316" i="27"/>
  <c r="BC316" i="27"/>
  <c r="AX316" i="27"/>
  <c r="BD319" i="27"/>
  <c r="AY319" i="27"/>
  <c r="BE322" i="27"/>
  <c r="AZ322" i="27"/>
  <c r="BF326" i="27"/>
  <c r="BA326" i="27"/>
  <c r="AV326" i="27"/>
  <c r="BG329" i="27"/>
  <c r="BB329" i="27"/>
  <c r="AW329" i="27"/>
  <c r="BH332" i="27"/>
  <c r="BC332" i="27"/>
  <c r="AX332" i="27"/>
  <c r="BD335" i="27"/>
  <c r="AY335" i="27"/>
  <c r="BE338" i="27"/>
  <c r="AZ338" i="27"/>
  <c r="BF342" i="27"/>
  <c r="BA342" i="27"/>
  <c r="AV342" i="27"/>
  <c r="BG345" i="27"/>
  <c r="BB345" i="27"/>
  <c r="AW345" i="27"/>
  <c r="BH348" i="27"/>
  <c r="BC348" i="27"/>
  <c r="AX348" i="27"/>
  <c r="BD351" i="27"/>
  <c r="AY351" i="27"/>
  <c r="BE354" i="27"/>
  <c r="AZ354" i="27"/>
  <c r="BF358" i="27"/>
  <c r="BA358" i="27"/>
  <c r="AV358" i="27"/>
  <c r="BG361" i="27"/>
  <c r="BB361" i="27"/>
  <c r="AW361" i="27"/>
  <c r="BH364" i="27"/>
  <c r="BC364" i="27"/>
  <c r="AX364" i="27"/>
  <c r="BD32" i="27"/>
  <c r="AY32" i="27"/>
  <c r="BG85" i="27"/>
  <c r="BB85" i="27"/>
  <c r="AW85" i="27"/>
  <c r="BE76" i="27"/>
  <c r="AZ76" i="27"/>
  <c r="BD43" i="27"/>
  <c r="AY43" i="27"/>
  <c r="BG50" i="27"/>
  <c r="BB50" i="27"/>
  <c r="AW50" i="27"/>
  <c r="BH96" i="27"/>
  <c r="BC96" i="27"/>
  <c r="AX96" i="27"/>
  <c r="BG70" i="27"/>
  <c r="BB70" i="27"/>
  <c r="AW70" i="27"/>
  <c r="BF48" i="27"/>
  <c r="BA48" i="27"/>
  <c r="AV48" i="27"/>
  <c r="BE26" i="27"/>
  <c r="AZ26" i="27"/>
  <c r="BD15" i="27"/>
  <c r="AY15" i="27"/>
  <c r="BD7" i="27"/>
  <c r="AY7" i="27"/>
  <c r="BE16" i="27"/>
  <c r="AZ16" i="27"/>
  <c r="BD20" i="27"/>
  <c r="AY20" i="27"/>
  <c r="BE34" i="27"/>
  <c r="AZ34" i="27"/>
  <c r="BG40" i="27"/>
  <c r="BB40" i="27"/>
  <c r="AW40" i="27"/>
  <c r="BG45" i="27"/>
  <c r="BB45" i="27"/>
  <c r="AW45" i="27"/>
  <c r="BH59" i="27"/>
  <c r="BC59" i="27"/>
  <c r="AX59" i="27"/>
  <c r="BF67" i="27"/>
  <c r="BA67" i="27"/>
  <c r="AV67" i="27"/>
  <c r="BH74" i="27"/>
  <c r="BC74" i="27"/>
  <c r="AX74" i="27"/>
  <c r="BD92" i="27"/>
  <c r="AY92" i="27"/>
  <c r="BG102" i="27"/>
  <c r="BB102" i="27"/>
  <c r="AW102" i="27"/>
  <c r="BD13" i="27"/>
  <c r="AY13" i="27"/>
  <c r="BF30" i="27"/>
  <c r="BA30" i="27"/>
  <c r="AV30" i="27"/>
  <c r="BE47" i="27"/>
  <c r="AZ47" i="27"/>
  <c r="BF56" i="27"/>
  <c r="BA56" i="27"/>
  <c r="AV56" i="27"/>
  <c r="BG61" i="27"/>
  <c r="BB61" i="27"/>
  <c r="AW61" i="27"/>
  <c r="BH65" i="27"/>
  <c r="BC65" i="27"/>
  <c r="AX65" i="27"/>
  <c r="BD72" i="27"/>
  <c r="AY72" i="27"/>
  <c r="BE79" i="27"/>
  <c r="AZ79" i="27"/>
  <c r="BF88" i="27"/>
  <c r="BA88" i="27"/>
  <c r="AV88" i="27"/>
  <c r="BG93" i="27"/>
  <c r="BB93" i="27"/>
  <c r="AW93" i="27"/>
  <c r="BH97" i="27"/>
  <c r="BC97" i="27"/>
  <c r="AX97" i="27"/>
  <c r="BD100" i="27"/>
  <c r="AY100" i="27"/>
  <c r="AZ105" i="27"/>
  <c r="BE105" i="27"/>
  <c r="BF110" i="27"/>
  <c r="BA110" i="27"/>
  <c r="AV110" i="27"/>
  <c r="BG115" i="27"/>
  <c r="BB115" i="27"/>
  <c r="AW115" i="27"/>
  <c r="BH119" i="27"/>
  <c r="BC119" i="27"/>
  <c r="AX119" i="27"/>
  <c r="BD124" i="27"/>
  <c r="AY124" i="27"/>
  <c r="BE127" i="27"/>
  <c r="AZ127" i="27"/>
  <c r="BF131" i="27"/>
  <c r="BA131" i="27"/>
  <c r="AV131" i="27"/>
  <c r="BG134" i="27"/>
  <c r="BB134" i="27"/>
  <c r="AW134" i="27"/>
  <c r="BH137" i="27"/>
  <c r="BC137" i="27"/>
  <c r="AX137" i="27"/>
  <c r="BD140" i="27"/>
  <c r="AY140" i="27"/>
  <c r="BE143" i="27"/>
  <c r="AZ143" i="27"/>
  <c r="BF147" i="27"/>
  <c r="BA147" i="27"/>
  <c r="AV147" i="27"/>
  <c r="BG150" i="27"/>
  <c r="BB150" i="27"/>
  <c r="AW150" i="27"/>
  <c r="BH153" i="27"/>
  <c r="BC153" i="27"/>
  <c r="AX153" i="27"/>
  <c r="BD156" i="27"/>
  <c r="AY156" i="27"/>
  <c r="BE159" i="27"/>
  <c r="AZ159" i="27"/>
  <c r="BF163" i="27"/>
  <c r="BA163" i="27"/>
  <c r="AV163" i="27"/>
  <c r="BG166" i="27"/>
  <c r="BB166" i="27"/>
  <c r="AW166" i="27"/>
  <c r="BH169" i="27"/>
  <c r="BC169" i="27"/>
  <c r="AX169" i="27"/>
  <c r="BD172" i="27"/>
  <c r="AY172" i="27"/>
  <c r="BE175" i="27"/>
  <c r="AZ175" i="27"/>
  <c r="BF179" i="27"/>
  <c r="BA179" i="27"/>
  <c r="AV179" i="27"/>
  <c r="BG182" i="27"/>
  <c r="BB182" i="27"/>
  <c r="AW182" i="27"/>
  <c r="BH185" i="27"/>
  <c r="BC185" i="27"/>
  <c r="AX185" i="27"/>
  <c r="BD188" i="27"/>
  <c r="AY188" i="27"/>
  <c r="BE191" i="27"/>
  <c r="AZ191" i="27"/>
  <c r="BF195" i="27"/>
  <c r="BA195" i="27"/>
  <c r="AV195" i="27"/>
  <c r="BG198" i="27"/>
  <c r="BB198" i="27"/>
  <c r="AW198" i="27"/>
  <c r="BH201" i="27"/>
  <c r="BC201" i="27"/>
  <c r="AX201" i="27"/>
  <c r="BD204" i="27"/>
  <c r="AY204" i="27"/>
  <c r="BE207" i="27"/>
  <c r="AZ207" i="27"/>
  <c r="BF211" i="27"/>
  <c r="BA211" i="27"/>
  <c r="AV211" i="27"/>
  <c r="BG214" i="27"/>
  <c r="BB214" i="27"/>
  <c r="AW214" i="27"/>
  <c r="BH217" i="27"/>
  <c r="BC217" i="27"/>
  <c r="AX217" i="27"/>
  <c r="BD220" i="27"/>
  <c r="AY220" i="27"/>
  <c r="BE223" i="27"/>
  <c r="AZ223" i="27"/>
  <c r="BF227" i="27"/>
  <c r="BA227" i="27"/>
  <c r="AV227" i="27"/>
  <c r="BG230" i="27"/>
  <c r="BB230" i="27"/>
  <c r="AW230" i="27"/>
  <c r="BH233" i="27"/>
  <c r="BC233" i="27"/>
  <c r="AX233" i="27"/>
  <c r="BD236" i="27"/>
  <c r="AY236" i="27"/>
  <c r="BE239" i="27"/>
  <c r="AZ239" i="27"/>
  <c r="BF243" i="27"/>
  <c r="BA243" i="27"/>
  <c r="AV243" i="27"/>
  <c r="BG246" i="27"/>
  <c r="BB246" i="27"/>
  <c r="AW246" i="27"/>
  <c r="BH249" i="27"/>
  <c r="BC249" i="27"/>
  <c r="AX249" i="27"/>
  <c r="BD252" i="27"/>
  <c r="AY252" i="27"/>
  <c r="BE255" i="27"/>
  <c r="AZ255" i="27"/>
  <c r="BF259" i="27"/>
  <c r="BA259" i="27"/>
  <c r="AV259" i="27"/>
  <c r="BG262" i="27"/>
  <c r="BB262" i="27"/>
  <c r="AW262" i="27"/>
  <c r="BH265" i="27"/>
  <c r="BC265" i="27"/>
  <c r="AX265" i="27"/>
  <c r="BD268" i="27"/>
  <c r="AY268" i="27"/>
  <c r="BE271" i="27"/>
  <c r="AZ271" i="27"/>
  <c r="BF275" i="27"/>
  <c r="BA275" i="27"/>
  <c r="AV275" i="27"/>
  <c r="BG278" i="27"/>
  <c r="BB278" i="27"/>
  <c r="AW278" i="27"/>
  <c r="BH281" i="27"/>
  <c r="BC281" i="27"/>
  <c r="AX281" i="27"/>
  <c r="BD284" i="27"/>
  <c r="AY284" i="27"/>
  <c r="BE287" i="27"/>
  <c r="AZ287" i="27"/>
  <c r="BF291" i="27"/>
  <c r="BA291" i="27"/>
  <c r="AV291" i="27"/>
  <c r="BG294" i="27"/>
  <c r="BB294" i="27"/>
  <c r="AW294" i="27"/>
  <c r="BH297" i="27"/>
  <c r="BC297" i="27"/>
  <c r="AX297" i="27"/>
  <c r="BD300" i="27"/>
  <c r="AY300" i="27"/>
  <c r="BE303" i="27"/>
  <c r="AZ303" i="27"/>
  <c r="BF307" i="27"/>
  <c r="BA307" i="27"/>
  <c r="AV307" i="27"/>
  <c r="BG310" i="27"/>
  <c r="BB310" i="27"/>
  <c r="AW310" i="27"/>
  <c r="BH313" i="27"/>
  <c r="BC313" i="27"/>
  <c r="AX313" i="27"/>
  <c r="BD316" i="27"/>
  <c r="AY316" i="27"/>
  <c r="BE319" i="27"/>
  <c r="AZ319" i="27"/>
  <c r="BF323" i="27"/>
  <c r="BA323" i="27"/>
  <c r="AV323" i="27"/>
  <c r="BG326" i="27"/>
  <c r="BB326" i="27"/>
  <c r="AW326" i="27"/>
  <c r="BH329" i="27"/>
  <c r="BC329" i="27"/>
  <c r="AX329" i="27"/>
  <c r="BD332" i="27"/>
  <c r="AY332" i="27"/>
  <c r="BE335" i="27"/>
  <c r="AZ335" i="27"/>
  <c r="BF339" i="27"/>
  <c r="BA339" i="27"/>
  <c r="AV339" i="27"/>
  <c r="BG342" i="27"/>
  <c r="BB342" i="27"/>
  <c r="AW342" i="27"/>
  <c r="BH345" i="27"/>
  <c r="BC345" i="27"/>
  <c r="AX345" i="27"/>
  <c r="BD348" i="27"/>
  <c r="AY348" i="27"/>
  <c r="BE351" i="27"/>
  <c r="AZ351" i="27"/>
  <c r="BF355" i="27"/>
  <c r="BA355" i="27"/>
  <c r="AV355" i="27"/>
  <c r="BG358" i="27"/>
  <c r="BB358" i="27"/>
  <c r="AW358" i="27"/>
  <c r="BH361" i="27"/>
  <c r="BC361" i="27"/>
  <c r="AX361" i="27"/>
  <c r="BD364" i="27"/>
  <c r="AY364" i="27"/>
  <c r="BH32" i="27"/>
  <c r="BC32" i="27"/>
  <c r="AX32" i="27"/>
  <c r="BD76" i="27"/>
  <c r="AY76" i="27"/>
  <c r="BH43" i="27"/>
  <c r="BC43" i="27"/>
  <c r="AX43" i="27"/>
  <c r="BF37" i="27"/>
  <c r="BA37" i="27"/>
  <c r="AV37" i="27"/>
  <c r="BG96" i="27"/>
  <c r="BB96" i="27"/>
  <c r="AW96" i="27"/>
  <c r="BF70" i="27"/>
  <c r="BA70" i="27"/>
  <c r="AV70" i="27"/>
  <c r="BE42" i="27"/>
  <c r="AZ42" i="27"/>
  <c r="BD26" i="27"/>
  <c r="AY26" i="27"/>
  <c r="BH15" i="27"/>
  <c r="BC15" i="27"/>
  <c r="AX15" i="27"/>
  <c r="BH7" i="27"/>
  <c r="BC7" i="27"/>
  <c r="AX7" i="27"/>
  <c r="BD12" i="27"/>
  <c r="AY12" i="27"/>
  <c r="BD14" i="27"/>
  <c r="AY14" i="27"/>
  <c r="BH20" i="27"/>
  <c r="BC20" i="27"/>
  <c r="AX20" i="27"/>
  <c r="BD34" i="27"/>
  <c r="AY34" i="27"/>
  <c r="BF40" i="27"/>
  <c r="BA40" i="27"/>
  <c r="AV40" i="27"/>
  <c r="BF45" i="27"/>
  <c r="BA45" i="27"/>
  <c r="AV45" i="27"/>
  <c r="BG59" i="27"/>
  <c r="BB59" i="27"/>
  <c r="AW59" i="27"/>
  <c r="BE66" i="27"/>
  <c r="AZ66" i="27"/>
  <c r="BG74" i="27"/>
  <c r="BB74" i="27"/>
  <c r="AW74" i="27"/>
  <c r="BH92" i="27"/>
  <c r="BC92" i="27"/>
  <c r="AX92" i="27"/>
  <c r="BF102" i="27"/>
  <c r="BA102" i="27"/>
  <c r="AV102" i="27"/>
  <c r="BD111" i="27"/>
  <c r="AY111" i="27"/>
  <c r="BH13" i="27"/>
  <c r="BC13" i="27"/>
  <c r="AX13" i="27"/>
  <c r="BE46" i="27"/>
  <c r="AZ46" i="27"/>
  <c r="BH9" i="27"/>
  <c r="BC9" i="27"/>
  <c r="AX9" i="27"/>
  <c r="BF49" i="27"/>
  <c r="BA49" i="27"/>
  <c r="AV49" i="27"/>
  <c r="BG56" i="27"/>
  <c r="BB56" i="27"/>
  <c r="AW56" i="27"/>
  <c r="BH61" i="27"/>
  <c r="BC61" i="27"/>
  <c r="AX61" i="27"/>
  <c r="BD65" i="27"/>
  <c r="AY65" i="27"/>
  <c r="BE72" i="27"/>
  <c r="AZ72" i="27"/>
  <c r="BF80" i="27"/>
  <c r="BA80" i="27"/>
  <c r="AV80" i="27"/>
  <c r="BG88" i="27"/>
  <c r="BB88" i="27"/>
  <c r="AW88" i="27"/>
  <c r="BH93" i="27"/>
  <c r="BC93" i="27"/>
  <c r="AX93" i="27"/>
  <c r="BD97" i="27"/>
  <c r="AY97" i="27"/>
  <c r="BE100" i="27"/>
  <c r="AZ100" i="27"/>
  <c r="BF107" i="27"/>
  <c r="BA107" i="27"/>
  <c r="AV107" i="27"/>
  <c r="BG110" i="27"/>
  <c r="BB110" i="27"/>
  <c r="AW110" i="27"/>
  <c r="BH115" i="27"/>
  <c r="AX115" i="27"/>
  <c r="BC115" i="27"/>
  <c r="BD119" i="27"/>
  <c r="AY119" i="27"/>
  <c r="BE124" i="27"/>
  <c r="AZ124" i="27"/>
  <c r="BF128" i="27"/>
  <c r="BA128" i="27"/>
  <c r="AV128" i="27"/>
  <c r="BG131" i="27"/>
  <c r="BB131" i="27"/>
  <c r="AW131" i="27"/>
  <c r="BH134" i="27"/>
  <c r="BC134" i="27"/>
  <c r="AX134" i="27"/>
  <c r="BD137" i="27"/>
  <c r="AY137" i="27"/>
  <c r="BE140" i="27"/>
  <c r="AZ140" i="27"/>
  <c r="BF144" i="27"/>
  <c r="BA144" i="27"/>
  <c r="AV144" i="27"/>
  <c r="BG147" i="27"/>
  <c r="BB147" i="27"/>
  <c r="AW147" i="27"/>
  <c r="BH150" i="27"/>
  <c r="BC150" i="27"/>
  <c r="AX150" i="27"/>
  <c r="BD153" i="27"/>
  <c r="AY153" i="27"/>
  <c r="BE156" i="27"/>
  <c r="AZ156" i="27"/>
  <c r="BF160" i="27"/>
  <c r="BA160" i="27"/>
  <c r="AV160" i="27"/>
  <c r="BG163" i="27"/>
  <c r="BB163" i="27"/>
  <c r="AW163" i="27"/>
  <c r="BH166" i="27"/>
  <c r="BC166" i="27"/>
  <c r="AX166" i="27"/>
  <c r="BD169" i="27"/>
  <c r="AY169" i="27"/>
  <c r="BE172" i="27"/>
  <c r="AZ172" i="27"/>
  <c r="BF176" i="27"/>
  <c r="BA176" i="27"/>
  <c r="AV176" i="27"/>
  <c r="BG179" i="27"/>
  <c r="BB179" i="27"/>
  <c r="AW179" i="27"/>
  <c r="BH182" i="27"/>
  <c r="BC182" i="27"/>
  <c r="AX182" i="27"/>
  <c r="BD185" i="27"/>
  <c r="AY185" i="27"/>
  <c r="BE188" i="27"/>
  <c r="AZ188" i="27"/>
  <c r="BF192" i="27"/>
  <c r="BA192" i="27"/>
  <c r="AV192" i="27"/>
  <c r="BG195" i="27"/>
  <c r="BB195" i="27"/>
  <c r="AW195" i="27"/>
  <c r="BH198" i="27"/>
  <c r="BC198" i="27"/>
  <c r="AX198" i="27"/>
  <c r="BD201" i="27"/>
  <c r="AY201" i="27"/>
  <c r="BE204" i="27"/>
  <c r="AZ204" i="27"/>
  <c r="BF208" i="27"/>
  <c r="BA208" i="27"/>
  <c r="AV208" i="27"/>
  <c r="BG211" i="27"/>
  <c r="BB211" i="27"/>
  <c r="AW211" i="27"/>
  <c r="BH214" i="27"/>
  <c r="BC214" i="27"/>
  <c r="AX214" i="27"/>
  <c r="BD217" i="27"/>
  <c r="AY217" i="27"/>
  <c r="BE220" i="27"/>
  <c r="AZ220" i="27"/>
  <c r="BF224" i="27"/>
  <c r="BA224" i="27"/>
  <c r="AV224" i="27"/>
  <c r="BG227" i="27"/>
  <c r="BB227" i="27"/>
  <c r="AW227" i="27"/>
  <c r="BH230" i="27"/>
  <c r="BC230" i="27"/>
  <c r="AX230" i="27"/>
  <c r="BD233" i="27"/>
  <c r="AY233" i="27"/>
  <c r="BE236" i="27"/>
  <c r="AZ236" i="27"/>
  <c r="BF240" i="27"/>
  <c r="BA240" i="27"/>
  <c r="AV240" i="27"/>
  <c r="BG243" i="27"/>
  <c r="BB243" i="27"/>
  <c r="AW243" i="27"/>
  <c r="BH246" i="27"/>
  <c r="BC246" i="27"/>
  <c r="AX246" i="27"/>
  <c r="BD249" i="27"/>
  <c r="AY249" i="27"/>
  <c r="BE252" i="27"/>
  <c r="AZ252" i="27"/>
  <c r="BF256" i="27"/>
  <c r="BA256" i="27"/>
  <c r="AV256" i="27"/>
  <c r="BG259" i="27"/>
  <c r="BB259" i="27"/>
  <c r="AW259" i="27"/>
  <c r="BH262" i="27"/>
  <c r="BC262" i="27"/>
  <c r="AX262" i="27"/>
  <c r="BD265" i="27"/>
  <c r="AY265" i="27"/>
  <c r="BE268" i="27"/>
  <c r="AZ268" i="27"/>
  <c r="BF272" i="27"/>
  <c r="BA272" i="27"/>
  <c r="AV272" i="27"/>
  <c r="BG275" i="27"/>
  <c r="BB275" i="27"/>
  <c r="AW275" i="27"/>
  <c r="BH278" i="27"/>
  <c r="BC278" i="27"/>
  <c r="AX278" i="27"/>
  <c r="BD281" i="27"/>
  <c r="AY281" i="27"/>
  <c r="BE284" i="27"/>
  <c r="AZ284" i="27"/>
  <c r="BF288" i="27"/>
  <c r="BA288" i="27"/>
  <c r="AV288" i="27"/>
  <c r="BG291" i="27"/>
  <c r="BB291" i="27"/>
  <c r="AW291" i="27"/>
  <c r="BH294" i="27"/>
  <c r="BC294" i="27"/>
  <c r="AX294" i="27"/>
  <c r="BD297" i="27"/>
  <c r="AY297" i="27"/>
  <c r="BE300" i="27"/>
  <c r="AZ300" i="27"/>
  <c r="BF304" i="27"/>
  <c r="BA304" i="27"/>
  <c r="AV304" i="27"/>
  <c r="BG307" i="27"/>
  <c r="BB307" i="27"/>
  <c r="AW307" i="27"/>
  <c r="BH310" i="27"/>
  <c r="BC310" i="27"/>
  <c r="AX310" i="27"/>
  <c r="BD313" i="27"/>
  <c r="AY313" i="27"/>
  <c r="BE316" i="27"/>
  <c r="AZ316" i="27"/>
  <c r="BF320" i="27"/>
  <c r="BA320" i="27"/>
  <c r="AV320" i="27"/>
  <c r="BG323" i="27"/>
  <c r="BB323" i="27"/>
  <c r="AW323" i="27"/>
  <c r="BH326" i="27"/>
  <c r="BC326" i="27"/>
  <c r="AX326" i="27"/>
  <c r="BD329" i="27"/>
  <c r="AY329" i="27"/>
  <c r="BE332" i="27"/>
  <c r="AZ332" i="27"/>
  <c r="BF336" i="27"/>
  <c r="BA336" i="27"/>
  <c r="AV336" i="27"/>
  <c r="BG339" i="27"/>
  <c r="BB339" i="27"/>
  <c r="AW339" i="27"/>
  <c r="BH342" i="27"/>
  <c r="BC342" i="27"/>
  <c r="AX342" i="27"/>
  <c r="BD345" i="27"/>
  <c r="AY345" i="27"/>
  <c r="BE348" i="27"/>
  <c r="AZ348" i="27"/>
  <c r="BF352" i="27"/>
  <c r="BA352" i="27"/>
  <c r="AV352" i="27"/>
  <c r="BG355" i="27"/>
  <c r="BB355" i="27"/>
  <c r="AW355" i="27"/>
  <c r="BH358" i="27"/>
  <c r="BC358" i="27"/>
  <c r="AX358" i="27"/>
  <c r="BD361" i="27"/>
  <c r="AY361" i="27"/>
  <c r="BE364" i="27"/>
  <c r="AZ364" i="27"/>
  <c r="BG32" i="27"/>
  <c r="AW32" i="27"/>
  <c r="BB32" i="27"/>
  <c r="BF85" i="27"/>
  <c r="BA85" i="27"/>
  <c r="AV85" i="27"/>
  <c r="BH76" i="27"/>
  <c r="BC76" i="27"/>
  <c r="AX76" i="27"/>
  <c r="BG43" i="27"/>
  <c r="BB43" i="27"/>
  <c r="AW43" i="27"/>
  <c r="BF50" i="27"/>
  <c r="BA50" i="27"/>
  <c r="AV50" i="27"/>
  <c r="BF96" i="27"/>
  <c r="BA96" i="27"/>
  <c r="AV96" i="27"/>
  <c r="BE62" i="27"/>
  <c r="AZ62" i="27"/>
  <c r="BD42" i="27"/>
  <c r="AY42" i="27"/>
  <c r="BH26" i="27"/>
  <c r="BC26" i="27"/>
  <c r="AX26" i="27"/>
  <c r="BG15" i="27"/>
  <c r="BB15" i="27"/>
  <c r="AW15" i="27"/>
  <c r="BH12" i="27"/>
  <c r="BC12" i="27"/>
  <c r="AX12" i="27"/>
  <c r="BH14" i="27"/>
  <c r="BC14" i="27"/>
  <c r="AX14" i="27"/>
  <c r="BG24" i="27"/>
  <c r="BB24" i="27"/>
  <c r="AW24" i="27"/>
  <c r="BH34" i="27"/>
  <c r="BC34" i="27"/>
  <c r="AX34" i="27"/>
  <c r="BE39" i="27"/>
  <c r="AZ39" i="27"/>
  <c r="BE52" i="27"/>
  <c r="AZ52" i="27"/>
  <c r="BF59" i="27"/>
  <c r="BA59" i="27"/>
  <c r="AV59" i="27"/>
  <c r="BF74" i="27"/>
  <c r="BA74" i="27"/>
  <c r="AV74" i="27"/>
  <c r="BG92" i="27"/>
  <c r="BB92" i="27"/>
  <c r="AW92" i="27"/>
  <c r="BE101" i="27"/>
  <c r="AZ101" i="27"/>
  <c r="BH111" i="27"/>
  <c r="BC111" i="27"/>
  <c r="AX111" i="27"/>
  <c r="BG121" i="27"/>
  <c r="BB121" i="27"/>
  <c r="AW121" i="27"/>
  <c r="BD71" i="27"/>
  <c r="AY71" i="27"/>
  <c r="BF35" i="27"/>
  <c r="BA35" i="27"/>
  <c r="AV35" i="27"/>
  <c r="BG49" i="27"/>
  <c r="BB49" i="27"/>
  <c r="AW49" i="27"/>
  <c r="BH56" i="27"/>
  <c r="BC56" i="27"/>
  <c r="AX56" i="27"/>
  <c r="BD61" i="27"/>
  <c r="AY61" i="27"/>
  <c r="BE65" i="27"/>
  <c r="AZ65" i="27"/>
  <c r="BF73" i="27"/>
  <c r="BA73" i="27"/>
  <c r="AV73" i="27"/>
  <c r="BG80" i="27"/>
  <c r="AW80" i="27"/>
  <c r="BB80" i="27"/>
  <c r="BH88" i="27"/>
  <c r="BC88" i="27"/>
  <c r="AX88" i="27"/>
  <c r="BD93" i="27"/>
  <c r="AY93" i="27"/>
  <c r="BE97" i="27"/>
  <c r="AZ97" i="27"/>
  <c r="BF103" i="27"/>
  <c r="BA103" i="27"/>
  <c r="AV103" i="27"/>
  <c r="BG107" i="27"/>
  <c r="BB107" i="27"/>
  <c r="AW107" i="27"/>
  <c r="BH110" i="27"/>
  <c r="BC110" i="27"/>
  <c r="AX110" i="27"/>
  <c r="BD115" i="27"/>
  <c r="AY115" i="27"/>
  <c r="BE119" i="27"/>
  <c r="AZ119" i="27"/>
  <c r="BF125" i="27"/>
  <c r="AV125" i="27"/>
  <c r="BA125" i="27"/>
  <c r="BG128" i="27"/>
  <c r="AW128" i="27"/>
  <c r="BB128" i="27"/>
  <c r="BH131" i="27"/>
  <c r="AX131" i="27"/>
  <c r="BC131" i="27"/>
  <c r="AY134" i="27"/>
  <c r="BD134" i="27"/>
  <c r="AZ137" i="27"/>
  <c r="BE137" i="27"/>
  <c r="BF141" i="27"/>
  <c r="AV141" i="27"/>
  <c r="BA141" i="27"/>
  <c r="BG144" i="27"/>
  <c r="BB144" i="27"/>
  <c r="AW144" i="27"/>
  <c r="BH147" i="27"/>
  <c r="BC147" i="27"/>
  <c r="AX147" i="27"/>
  <c r="BD150" i="27"/>
  <c r="AY150" i="27"/>
  <c r="BE153" i="27"/>
  <c r="AZ153" i="27"/>
  <c r="BF157" i="27"/>
  <c r="BA157" i="27"/>
  <c r="AV157" i="27"/>
  <c r="BG160" i="27"/>
  <c r="BB160" i="27"/>
  <c r="AW160" i="27"/>
  <c r="BH163" i="27"/>
  <c r="BC163" i="27"/>
  <c r="AX163" i="27"/>
  <c r="BD166" i="27"/>
  <c r="AY166" i="27"/>
  <c r="BE169" i="27"/>
  <c r="AZ169" i="27"/>
  <c r="BF173" i="27"/>
  <c r="BA173" i="27"/>
  <c r="AV173" i="27"/>
  <c r="BG176" i="27"/>
  <c r="BB176" i="27"/>
  <c r="AW176" i="27"/>
  <c r="BH179" i="27"/>
  <c r="BC179" i="27"/>
  <c r="AX179" i="27"/>
  <c r="BD182" i="27"/>
  <c r="AY182" i="27"/>
  <c r="BE185" i="27"/>
  <c r="AZ185" i="27"/>
  <c r="BF189" i="27"/>
  <c r="BA189" i="27"/>
  <c r="AV189" i="27"/>
  <c r="BG192" i="27"/>
  <c r="BB192" i="27"/>
  <c r="AW192" i="27"/>
  <c r="BH195" i="27"/>
  <c r="BC195" i="27"/>
  <c r="AX195" i="27"/>
  <c r="BD198" i="27"/>
  <c r="AY198" i="27"/>
  <c r="BE201" i="27"/>
  <c r="AZ201" i="27"/>
  <c r="BF205" i="27"/>
  <c r="BA205" i="27"/>
  <c r="AV205" i="27"/>
  <c r="BG208" i="27"/>
  <c r="BB208" i="27"/>
  <c r="AW208" i="27"/>
  <c r="BH211" i="27"/>
  <c r="BC211" i="27"/>
  <c r="AX211" i="27"/>
  <c r="BD214" i="27"/>
  <c r="AY214" i="27"/>
  <c r="BE217" i="27"/>
  <c r="AZ217" i="27"/>
  <c r="BF221" i="27"/>
  <c r="BA221" i="27"/>
  <c r="AV221" i="27"/>
  <c r="BG224" i="27"/>
  <c r="BB224" i="27"/>
  <c r="AW224" i="27"/>
  <c r="BH227" i="27"/>
  <c r="BC227" i="27"/>
  <c r="AX227" i="27"/>
  <c r="BD230" i="27"/>
  <c r="AY230" i="27"/>
  <c r="BE233" i="27"/>
  <c r="AZ233" i="27"/>
  <c r="BF237" i="27"/>
  <c r="BA237" i="27"/>
  <c r="AV237" i="27"/>
  <c r="BG240" i="27"/>
  <c r="BB240" i="27"/>
  <c r="AW240" i="27"/>
  <c r="BH243" i="27"/>
  <c r="BC243" i="27"/>
  <c r="AX243" i="27"/>
  <c r="BD246" i="27"/>
  <c r="AY246" i="27"/>
  <c r="BE249" i="27"/>
  <c r="AZ249" i="27"/>
  <c r="BF253" i="27"/>
  <c r="BA253" i="27"/>
  <c r="AV253" i="27"/>
  <c r="BG256" i="27"/>
  <c r="BB256" i="27"/>
  <c r="AW256" i="27"/>
  <c r="BH259" i="27"/>
  <c r="BC259" i="27"/>
  <c r="AX259" i="27"/>
  <c r="BD262" i="27"/>
  <c r="AY262" i="27"/>
  <c r="BE265" i="27"/>
  <c r="AZ265" i="27"/>
  <c r="BF269" i="27"/>
  <c r="BA269" i="27"/>
  <c r="AV269" i="27"/>
  <c r="BG272" i="27"/>
  <c r="BB272" i="27"/>
  <c r="AW272" i="27"/>
  <c r="BH275" i="27"/>
  <c r="BC275" i="27"/>
  <c r="AX275" i="27"/>
  <c r="BD278" i="27"/>
  <c r="AY278" i="27"/>
  <c r="BE281" i="27"/>
  <c r="AZ281" i="27"/>
  <c r="BF285" i="27"/>
  <c r="BA285" i="27"/>
  <c r="AV285" i="27"/>
  <c r="BG288" i="27"/>
  <c r="BB288" i="27"/>
  <c r="AW288" i="27"/>
  <c r="BH291" i="27"/>
  <c r="BC291" i="27"/>
  <c r="AX291" i="27"/>
  <c r="BD294" i="27"/>
  <c r="AY294" i="27"/>
  <c r="BE297" i="27"/>
  <c r="AZ297" i="27"/>
  <c r="BF301" i="27"/>
  <c r="BA301" i="27"/>
  <c r="AV301" i="27"/>
  <c r="BG304" i="27"/>
  <c r="BB304" i="27"/>
  <c r="AW304" i="27"/>
  <c r="BH307" i="27"/>
  <c r="BC307" i="27"/>
  <c r="AX307" i="27"/>
  <c r="BD310" i="27"/>
  <c r="AY310" i="27"/>
  <c r="BE313" i="27"/>
  <c r="AZ313" i="27"/>
  <c r="BF317" i="27"/>
  <c r="BA317" i="27"/>
  <c r="AV317" i="27"/>
  <c r="BG320" i="27"/>
  <c r="BB320" i="27"/>
  <c r="AW320" i="27"/>
  <c r="BH323" i="27"/>
  <c r="BC323" i="27"/>
  <c r="AX323" i="27"/>
  <c r="BD326" i="27"/>
  <c r="AY326" i="27"/>
  <c r="BE329" i="27"/>
  <c r="AZ329" i="27"/>
  <c r="BF333" i="27"/>
  <c r="BA333" i="27"/>
  <c r="AV333" i="27"/>
  <c r="BG336" i="27"/>
  <c r="BB336" i="27"/>
  <c r="AW336" i="27"/>
  <c r="BH339" i="27"/>
  <c r="BC339" i="27"/>
  <c r="AX339" i="27"/>
  <c r="BD342" i="27"/>
  <c r="AY342" i="27"/>
  <c r="BE345" i="27"/>
  <c r="AZ345" i="27"/>
  <c r="BF349" i="27"/>
  <c r="BA349" i="27"/>
  <c r="AV349" i="27"/>
  <c r="BG352" i="27"/>
  <c r="BB352" i="27"/>
  <c r="AW352" i="27"/>
  <c r="BH355" i="27"/>
  <c r="BC355" i="27"/>
  <c r="AX355" i="27"/>
  <c r="BD358" i="27"/>
  <c r="AY358" i="27"/>
  <c r="BE361" i="27"/>
  <c r="AZ361" i="27"/>
  <c r="BF365" i="27"/>
  <c r="BA365" i="27"/>
  <c r="AV365" i="27"/>
  <c r="BG76" i="27"/>
  <c r="BB76" i="27"/>
  <c r="AW76" i="27"/>
  <c r="BE87" i="27"/>
  <c r="AZ87" i="27"/>
  <c r="BD62" i="27"/>
  <c r="AY62" i="27"/>
  <c r="BH42" i="27"/>
  <c r="BC42" i="27"/>
  <c r="AX42" i="27"/>
  <c r="BG26" i="27"/>
  <c r="BB26" i="27"/>
  <c r="AW26" i="27"/>
  <c r="BF15" i="27"/>
  <c r="BA15" i="27"/>
  <c r="AV15" i="27"/>
  <c r="BD16" i="27"/>
  <c r="AY16" i="27"/>
  <c r="BG20" i="27"/>
  <c r="BB20" i="27"/>
  <c r="AW20" i="27"/>
  <c r="BF24" i="27"/>
  <c r="BA24" i="27"/>
  <c r="AV24" i="27"/>
  <c r="BG34" i="27"/>
  <c r="BB34" i="27"/>
  <c r="AW34" i="27"/>
  <c r="BD52" i="27"/>
  <c r="AY52" i="27"/>
  <c r="BE58" i="27"/>
  <c r="AZ58" i="27"/>
  <c r="BD66" i="27"/>
  <c r="AY66" i="27"/>
  <c r="BE83" i="27"/>
  <c r="AZ83" i="27"/>
  <c r="BF92" i="27"/>
  <c r="BA92" i="27"/>
  <c r="AV92" i="27"/>
  <c r="BG111" i="27"/>
  <c r="BB111" i="27"/>
  <c r="AW111" i="27"/>
  <c r="BF121" i="27"/>
  <c r="BA121" i="27"/>
  <c r="AV121" i="27"/>
  <c r="BH71" i="27"/>
  <c r="BC71" i="27"/>
  <c r="AX71" i="27"/>
  <c r="BG35" i="27"/>
  <c r="BB35" i="27"/>
  <c r="AW35" i="27"/>
  <c r="BH49" i="27"/>
  <c r="BC49" i="27"/>
  <c r="AX49" i="27"/>
  <c r="BD56" i="27"/>
  <c r="AY56" i="27"/>
  <c r="BE61" i="27"/>
  <c r="AZ61" i="27"/>
  <c r="BF68" i="27"/>
  <c r="BA68" i="27"/>
  <c r="AV68" i="27"/>
  <c r="BG73" i="27"/>
  <c r="BB73" i="27"/>
  <c r="AW73" i="27"/>
  <c r="BH80" i="27"/>
  <c r="BC80" i="27"/>
  <c r="AX80" i="27"/>
  <c r="BD88" i="27"/>
  <c r="AY88" i="27"/>
  <c r="BE93" i="27"/>
  <c r="AZ93" i="27"/>
  <c r="BF98" i="27"/>
  <c r="BA98" i="27"/>
  <c r="AV98" i="27"/>
  <c r="BG103" i="27"/>
  <c r="BB103" i="27"/>
  <c r="AW103" i="27"/>
  <c r="BH107" i="27"/>
  <c r="BC107" i="27"/>
  <c r="AX107" i="27"/>
  <c r="BD110" i="27"/>
  <c r="AY110" i="27"/>
  <c r="BE115" i="27"/>
  <c r="AZ115" i="27"/>
  <c r="BF120" i="27"/>
  <c r="BA120" i="27"/>
  <c r="AV120" i="27"/>
  <c r="BG125" i="27"/>
  <c r="BB125" i="27"/>
  <c r="AW125" i="27"/>
  <c r="BH128" i="27"/>
  <c r="BC128" i="27"/>
  <c r="AX128" i="27"/>
  <c r="BD131" i="27"/>
  <c r="AY131" i="27"/>
  <c r="BE134" i="27"/>
  <c r="AZ134" i="27"/>
  <c r="BF138" i="27"/>
  <c r="BA138" i="27"/>
  <c r="AV138" i="27"/>
  <c r="BG141" i="27"/>
  <c r="BB141" i="27"/>
  <c r="AW141" i="27"/>
  <c r="BH144" i="27"/>
  <c r="AX144" i="27"/>
  <c r="BC144" i="27"/>
  <c r="BD147" i="27"/>
  <c r="AY147" i="27"/>
  <c r="BE150" i="27"/>
  <c r="AZ150" i="27"/>
  <c r="BF154" i="27"/>
  <c r="BA154" i="27"/>
  <c r="AV154" i="27"/>
  <c r="BG157" i="27"/>
  <c r="BB157" i="27"/>
  <c r="AW157" i="27"/>
  <c r="BH160" i="27"/>
  <c r="BC160" i="27"/>
  <c r="AX160" i="27"/>
  <c r="BD163" i="27"/>
  <c r="AY163" i="27"/>
  <c r="BE166" i="27"/>
  <c r="AZ166" i="27"/>
  <c r="BF170" i="27"/>
  <c r="BA170" i="27"/>
  <c r="AV170" i="27"/>
  <c r="BG173" i="27"/>
  <c r="BB173" i="27"/>
  <c r="AW173" i="27"/>
  <c r="BH176" i="27"/>
  <c r="BC176" i="27"/>
  <c r="AX176" i="27"/>
  <c r="BD179" i="27"/>
  <c r="AY179" i="27"/>
  <c r="BE182" i="27"/>
  <c r="AZ182" i="27"/>
  <c r="BF186" i="27"/>
  <c r="BA186" i="27"/>
  <c r="AV186" i="27"/>
  <c r="BG189" i="27"/>
  <c r="BB189" i="27"/>
  <c r="AW189" i="27"/>
  <c r="BH192" i="27"/>
  <c r="BC192" i="27"/>
  <c r="AX192" i="27"/>
  <c r="BD195" i="27"/>
  <c r="AY195" i="27"/>
  <c r="BE198" i="27"/>
  <c r="AZ198" i="27"/>
  <c r="BF202" i="27"/>
  <c r="BA202" i="27"/>
  <c r="AV202" i="27"/>
  <c r="BG205" i="27"/>
  <c r="BB205" i="27"/>
  <c r="AW205" i="27"/>
  <c r="BH208" i="27"/>
  <c r="BC208" i="27"/>
  <c r="AX208" i="27"/>
  <c r="BD211" i="27"/>
  <c r="AY211" i="27"/>
  <c r="BE214" i="27"/>
  <c r="AZ214" i="27"/>
  <c r="BF218" i="27"/>
  <c r="BA218" i="27"/>
  <c r="AV218" i="27"/>
  <c r="BG221" i="27"/>
  <c r="BB221" i="27"/>
  <c r="AW221" i="27"/>
  <c r="BH224" i="27"/>
  <c r="BC224" i="27"/>
  <c r="AX224" i="27"/>
  <c r="BD227" i="27"/>
  <c r="AY227" i="27"/>
  <c r="BE230" i="27"/>
  <c r="AZ230" i="27"/>
  <c r="BF234" i="27"/>
  <c r="BA234" i="27"/>
  <c r="AV234" i="27"/>
  <c r="BG237" i="27"/>
  <c r="BB237" i="27"/>
  <c r="AW237" i="27"/>
  <c r="BH240" i="27"/>
  <c r="BC240" i="27"/>
  <c r="AX240" i="27"/>
  <c r="BD243" i="27"/>
  <c r="AY243" i="27"/>
  <c r="BE246" i="27"/>
  <c r="AZ246" i="27"/>
  <c r="BF250" i="27"/>
  <c r="BA250" i="27"/>
  <c r="AV250" i="27"/>
  <c r="BG253" i="27"/>
  <c r="BB253" i="27"/>
  <c r="AW253" i="27"/>
  <c r="BH256" i="27"/>
  <c r="BC256" i="27"/>
  <c r="AX256" i="27"/>
  <c r="BD259" i="27"/>
  <c r="AY259" i="27"/>
  <c r="BE262" i="27"/>
  <c r="AZ262" i="27"/>
  <c r="BF266" i="27"/>
  <c r="BA266" i="27"/>
  <c r="AV266" i="27"/>
  <c r="BG269" i="27"/>
  <c r="BB269" i="27"/>
  <c r="AW269" i="27"/>
  <c r="BH272" i="27"/>
  <c r="BC272" i="27"/>
  <c r="AX272" i="27"/>
  <c r="BD275" i="27"/>
  <c r="AY275" i="27"/>
  <c r="BE278" i="27"/>
  <c r="AZ278" i="27"/>
  <c r="BF282" i="27"/>
  <c r="BA282" i="27"/>
  <c r="AV282" i="27"/>
  <c r="BG285" i="27"/>
  <c r="BB285" i="27"/>
  <c r="AW285" i="27"/>
  <c r="BH288" i="27"/>
  <c r="BC288" i="27"/>
  <c r="AX288" i="27"/>
  <c r="BD291" i="27"/>
  <c r="AY291" i="27"/>
  <c r="BE294" i="27"/>
  <c r="AZ294" i="27"/>
  <c r="BF298" i="27"/>
  <c r="BA298" i="27"/>
  <c r="AV298" i="27"/>
  <c r="BG301" i="27"/>
  <c r="BB301" i="27"/>
  <c r="AW301" i="27"/>
  <c r="BH304" i="27"/>
  <c r="BC304" i="27"/>
  <c r="AX304" i="27"/>
  <c r="BD307" i="27"/>
  <c r="AY307" i="27"/>
  <c r="BE310" i="27"/>
  <c r="AZ310" i="27"/>
  <c r="BF314" i="27"/>
  <c r="BA314" i="27"/>
  <c r="AV314" i="27"/>
  <c r="BG317" i="27"/>
  <c r="BB317" i="27"/>
  <c r="AW317" i="27"/>
  <c r="BH320" i="27"/>
  <c r="BC320" i="27"/>
  <c r="AX320" i="27"/>
  <c r="BD323" i="27"/>
  <c r="AY323" i="27"/>
  <c r="BE326" i="27"/>
  <c r="AZ326" i="27"/>
  <c r="BF330" i="27"/>
  <c r="BA330" i="27"/>
  <c r="AV330" i="27"/>
  <c r="BG333" i="27"/>
  <c r="BB333" i="27"/>
  <c r="AW333" i="27"/>
  <c r="BH336" i="27"/>
  <c r="BC336" i="27"/>
  <c r="AX336" i="27"/>
  <c r="BD339" i="27"/>
  <c r="AY339" i="27"/>
  <c r="BE342" i="27"/>
  <c r="AZ342" i="27"/>
  <c r="BF346" i="27"/>
  <c r="BA346" i="27"/>
  <c r="AV346" i="27"/>
  <c r="BG349" i="27"/>
  <c r="BB349" i="27"/>
  <c r="AW349" i="27"/>
  <c r="BH352" i="27"/>
  <c r="BC352" i="27"/>
  <c r="AX352" i="27"/>
  <c r="BD355" i="27"/>
  <c r="AY355" i="27"/>
  <c r="BE358" i="27"/>
  <c r="AZ358" i="27"/>
  <c r="BF362" i="27"/>
  <c r="BA362" i="27"/>
  <c r="AV362" i="27"/>
  <c r="BG365" i="27"/>
  <c r="BB365" i="27"/>
  <c r="AW365" i="27"/>
  <c r="BF32" i="27"/>
  <c r="BA32" i="27"/>
  <c r="AV32" i="27"/>
  <c r="BF43" i="27"/>
  <c r="BA43" i="27"/>
  <c r="AV43" i="27"/>
  <c r="BE27" i="27"/>
  <c r="AZ27" i="27"/>
  <c r="BE116" i="27"/>
  <c r="AZ116" i="27"/>
  <c r="BD87" i="27"/>
  <c r="AY87" i="27"/>
  <c r="BH62" i="27"/>
  <c r="BC62" i="27"/>
  <c r="AX62" i="27"/>
  <c r="BG42" i="27"/>
  <c r="BB42" i="27"/>
  <c r="AW42" i="27"/>
  <c r="BF26" i="27"/>
  <c r="BA26" i="27"/>
  <c r="AV26" i="27"/>
  <c r="BE8" i="27"/>
  <c r="AZ8" i="27"/>
  <c r="BG7" i="27"/>
  <c r="BB7" i="27"/>
  <c r="AW7" i="27"/>
  <c r="BG12" i="27"/>
  <c r="BB12" i="27"/>
  <c r="AW12" i="27"/>
  <c r="BH16" i="27"/>
  <c r="BC16" i="27"/>
  <c r="AX16" i="27"/>
  <c r="BF20" i="27"/>
  <c r="BA20" i="27"/>
  <c r="AV20" i="27"/>
  <c r="BE29" i="27"/>
  <c r="AZ29" i="27"/>
  <c r="BF34" i="27"/>
  <c r="BA34" i="27"/>
  <c r="AV34" i="27"/>
  <c r="BH52" i="27"/>
  <c r="BC52" i="27"/>
  <c r="AX52" i="27"/>
  <c r="BH66" i="27"/>
  <c r="BC66" i="27"/>
  <c r="AX66" i="27"/>
  <c r="BD83" i="27"/>
  <c r="AY83" i="27"/>
  <c r="BE91" i="27"/>
  <c r="AZ91" i="27"/>
  <c r="BF111" i="27"/>
  <c r="BA111" i="27"/>
  <c r="AV111" i="27"/>
  <c r="BE6" i="27"/>
  <c r="AZ6" i="27"/>
  <c r="BG13" i="27"/>
  <c r="BB13" i="27"/>
  <c r="AW13" i="27"/>
  <c r="BD46" i="27"/>
  <c r="AY46" i="27"/>
  <c r="BH35" i="27"/>
  <c r="AX35" i="27"/>
  <c r="BC35" i="27"/>
  <c r="BD49" i="27"/>
  <c r="AY49" i="27"/>
  <c r="BE56" i="27"/>
  <c r="AZ56" i="27"/>
  <c r="BF63" i="27"/>
  <c r="BA63" i="27"/>
  <c r="AV63" i="27"/>
  <c r="BG68" i="27"/>
  <c r="BB68" i="27"/>
  <c r="AW68" i="27"/>
  <c r="BH73" i="27"/>
  <c r="BC73" i="27"/>
  <c r="AX73" i="27"/>
  <c r="BD80" i="27"/>
  <c r="AY80" i="27"/>
  <c r="BE88" i="27"/>
  <c r="AZ88" i="27"/>
  <c r="BF94" i="27"/>
  <c r="BA94" i="27"/>
  <c r="AV94" i="27"/>
  <c r="BG98" i="27"/>
  <c r="BB98" i="27"/>
  <c r="AW98" i="27"/>
  <c r="BH103" i="27"/>
  <c r="BC103" i="27"/>
  <c r="AX103" i="27"/>
  <c r="BD107" i="27"/>
  <c r="AY107" i="27"/>
  <c r="BE110" i="27"/>
  <c r="AZ110" i="27"/>
  <c r="BF117" i="27"/>
  <c r="BA117" i="27"/>
  <c r="AV117" i="27"/>
  <c r="BG120" i="27"/>
  <c r="BB120" i="27"/>
  <c r="AW120" i="27"/>
  <c r="BH125" i="27"/>
  <c r="BC125" i="27"/>
  <c r="AX125" i="27"/>
  <c r="BD128" i="27"/>
  <c r="AY128" i="27"/>
  <c r="BE131" i="27"/>
  <c r="AZ131" i="27"/>
  <c r="BF135" i="27"/>
  <c r="BA135" i="27"/>
  <c r="AV135" i="27"/>
  <c r="BG138" i="27"/>
  <c r="BB138" i="27"/>
  <c r="AW138" i="27"/>
  <c r="BH141" i="27"/>
  <c r="BC141" i="27"/>
  <c r="AX141" i="27"/>
  <c r="BD144" i="27"/>
  <c r="AY144" i="27"/>
  <c r="BE147" i="27"/>
  <c r="AZ147" i="27"/>
  <c r="BF151" i="27"/>
  <c r="BA151" i="27"/>
  <c r="AV151" i="27"/>
  <c r="BG154" i="27"/>
  <c r="BB154" i="27"/>
  <c r="AW154" i="27"/>
  <c r="BH157" i="27"/>
  <c r="BC157" i="27"/>
  <c r="AX157" i="27"/>
  <c r="BD160" i="27"/>
  <c r="AY160" i="27"/>
  <c r="BE163" i="27"/>
  <c r="AZ163" i="27"/>
  <c r="BF167" i="27"/>
  <c r="BA167" i="27"/>
  <c r="AV167" i="27"/>
  <c r="BG170" i="27"/>
  <c r="BB170" i="27"/>
  <c r="AW170" i="27"/>
  <c r="BH173" i="27"/>
  <c r="BC173" i="27"/>
  <c r="AX173" i="27"/>
  <c r="BD176" i="27"/>
  <c r="AY176" i="27"/>
  <c r="BE179" i="27"/>
  <c r="AZ179" i="27"/>
  <c r="BF183" i="27"/>
  <c r="BA183" i="27"/>
  <c r="AV183" i="27"/>
  <c r="BG186" i="27"/>
  <c r="BB186" i="27"/>
  <c r="AW186" i="27"/>
  <c r="BH189" i="27"/>
  <c r="BC189" i="27"/>
  <c r="AX189" i="27"/>
  <c r="BD192" i="27"/>
  <c r="AY192" i="27"/>
  <c r="BE195" i="27"/>
  <c r="AZ195" i="27"/>
  <c r="BF199" i="27"/>
  <c r="BA199" i="27"/>
  <c r="AV199" i="27"/>
  <c r="BG202" i="27"/>
  <c r="BB202" i="27"/>
  <c r="AW202" i="27"/>
  <c r="BH205" i="27"/>
  <c r="BC205" i="27"/>
  <c r="AX205" i="27"/>
  <c r="BD208" i="27"/>
  <c r="AY208" i="27"/>
  <c r="BE211" i="27"/>
  <c r="AZ211" i="27"/>
  <c r="BF215" i="27"/>
  <c r="BA215" i="27"/>
  <c r="AV215" i="27"/>
  <c r="BG218" i="27"/>
  <c r="BB218" i="27"/>
  <c r="AW218" i="27"/>
  <c r="BH221" i="27"/>
  <c r="BC221" i="27"/>
  <c r="AX221" i="27"/>
  <c r="BD224" i="27"/>
  <c r="AY224" i="27"/>
  <c r="BE227" i="27"/>
  <c r="AZ227" i="27"/>
  <c r="BF231" i="27"/>
  <c r="BA231" i="27"/>
  <c r="AV231" i="27"/>
  <c r="BG234" i="27"/>
  <c r="BB234" i="27"/>
  <c r="AW234" i="27"/>
  <c r="BH237" i="27"/>
  <c r="BC237" i="27"/>
  <c r="AX237" i="27"/>
  <c r="BD240" i="27"/>
  <c r="AY240" i="27"/>
  <c r="BE243" i="27"/>
  <c r="AZ243" i="27"/>
  <c r="BF247" i="27"/>
  <c r="BA247" i="27"/>
  <c r="AV247" i="27"/>
  <c r="BG250" i="27"/>
  <c r="BB250" i="27"/>
  <c r="AW250" i="27"/>
  <c r="BH253" i="27"/>
  <c r="BC253" i="27"/>
  <c r="AX253" i="27"/>
  <c r="BD256" i="27"/>
  <c r="AY256" i="27"/>
  <c r="BE259" i="27"/>
  <c r="AZ259" i="27"/>
  <c r="BF263" i="27"/>
  <c r="BA263" i="27"/>
  <c r="AV263" i="27"/>
  <c r="BG266" i="27"/>
  <c r="BB266" i="27"/>
  <c r="AW266" i="27"/>
  <c r="BH269" i="27"/>
  <c r="BC269" i="27"/>
  <c r="AX269" i="27"/>
  <c r="BD272" i="27"/>
  <c r="AY272" i="27"/>
  <c r="BE275" i="27"/>
  <c r="AZ275" i="27"/>
  <c r="BF279" i="27"/>
  <c r="BA279" i="27"/>
  <c r="AV279" i="27"/>
  <c r="BG282" i="27"/>
  <c r="BB282" i="27"/>
  <c r="AW282" i="27"/>
  <c r="BH285" i="27"/>
  <c r="BC285" i="27"/>
  <c r="AX285" i="27"/>
  <c r="BD288" i="27"/>
  <c r="AY288" i="27"/>
  <c r="BE291" i="27"/>
  <c r="AZ291" i="27"/>
  <c r="BF295" i="27"/>
  <c r="BA295" i="27"/>
  <c r="AV295" i="27"/>
  <c r="BG298" i="27"/>
  <c r="BB298" i="27"/>
  <c r="AW298" i="27"/>
  <c r="BH301" i="27"/>
  <c r="BC301" i="27"/>
  <c r="AX301" i="27"/>
  <c r="BD304" i="27"/>
  <c r="AY304" i="27"/>
  <c r="BE307" i="27"/>
  <c r="AZ307" i="27"/>
  <c r="BF311" i="27"/>
  <c r="BA311" i="27"/>
  <c r="AV311" i="27"/>
  <c r="BG314" i="27"/>
  <c r="BB314" i="27"/>
  <c r="AW314" i="27"/>
  <c r="BH317" i="27"/>
  <c r="BC317" i="27"/>
  <c r="AX317" i="27"/>
  <c r="BD320" i="27"/>
  <c r="AY320" i="27"/>
  <c r="BE323" i="27"/>
  <c r="AZ323" i="27"/>
  <c r="BF327" i="27"/>
  <c r="BA327" i="27"/>
  <c r="AV327" i="27"/>
  <c r="BG330" i="27"/>
  <c r="BB330" i="27"/>
  <c r="AW330" i="27"/>
  <c r="BH333" i="27"/>
  <c r="BC333" i="27"/>
  <c r="AX333" i="27"/>
  <c r="BD336" i="27"/>
  <c r="AY336" i="27"/>
  <c r="BE339" i="27"/>
  <c r="AZ339" i="27"/>
  <c r="BF343" i="27"/>
  <c r="BA343" i="27"/>
  <c r="AV343" i="27"/>
  <c r="BG346" i="27"/>
  <c r="BB346" i="27"/>
  <c r="AW346" i="27"/>
  <c r="BH349" i="27"/>
  <c r="BC349" i="27"/>
  <c r="AX349" i="27"/>
  <c r="BD352" i="27"/>
  <c r="AY352" i="27"/>
  <c r="BE355" i="27"/>
  <c r="AZ355" i="27"/>
  <c r="BF359" i="27"/>
  <c r="BA359" i="27"/>
  <c r="AV359" i="27"/>
  <c r="BG362" i="27"/>
  <c r="BB362" i="27"/>
  <c r="AW362" i="27"/>
  <c r="BH365" i="27"/>
  <c r="BC365" i="27"/>
  <c r="AX365" i="27"/>
  <c r="BF76" i="27"/>
  <c r="BA76" i="27"/>
  <c r="AV76" i="27"/>
  <c r="BD27" i="27"/>
  <c r="AY27" i="27"/>
  <c r="BD116" i="27"/>
  <c r="AY116" i="27"/>
  <c r="BH87" i="27"/>
  <c r="BC87" i="27"/>
  <c r="AX87" i="27"/>
  <c r="BG62" i="27"/>
  <c r="BB62" i="27"/>
  <c r="AW62" i="27"/>
  <c r="BF42" i="27"/>
  <c r="BA42" i="27"/>
  <c r="AV42" i="27"/>
  <c r="BE22" i="27"/>
  <c r="AZ22" i="27"/>
  <c r="BF7" i="27"/>
  <c r="BA7" i="27"/>
  <c r="AV7" i="27"/>
  <c r="BF12" i="27"/>
  <c r="BA12" i="27"/>
  <c r="AV12" i="27"/>
  <c r="BG14" i="27"/>
  <c r="BB14" i="27"/>
  <c r="AW14" i="27"/>
  <c r="AZ25" i="27"/>
  <c r="BE25" i="27"/>
  <c r="BD29" i="27"/>
  <c r="AY29" i="27"/>
  <c r="BE33" i="27"/>
  <c r="AZ33" i="27"/>
  <c r="BD39" i="27"/>
  <c r="AY39" i="27"/>
  <c r="BG52" i="27"/>
  <c r="BB52" i="27"/>
  <c r="AW52" i="27"/>
  <c r="BH83" i="27"/>
  <c r="AX83" i="27"/>
  <c r="BC83" i="27"/>
  <c r="BD101" i="27"/>
  <c r="AY101" i="27"/>
  <c r="BE122" i="27"/>
  <c r="AZ122" i="27"/>
  <c r="BF13" i="27"/>
  <c r="AV13" i="27"/>
  <c r="BA13" i="27"/>
  <c r="BH46" i="27"/>
  <c r="BC46" i="27"/>
  <c r="AX46" i="27"/>
  <c r="BG9" i="27"/>
  <c r="BB9" i="27"/>
  <c r="AW9" i="27"/>
  <c r="BD35" i="27"/>
  <c r="AY35" i="27"/>
  <c r="BE49" i="27"/>
  <c r="AZ49" i="27"/>
  <c r="BF57" i="27"/>
  <c r="BA57" i="27"/>
  <c r="AV57" i="27"/>
  <c r="BG63" i="27"/>
  <c r="BB63" i="27"/>
  <c r="AW63" i="27"/>
  <c r="BH68" i="27"/>
  <c r="BC68" i="27"/>
  <c r="AX68" i="27"/>
  <c r="BD73" i="27"/>
  <c r="AY73" i="27"/>
  <c r="BE80" i="27"/>
  <c r="AZ80" i="27"/>
  <c r="BF89" i="27"/>
  <c r="BA89" i="27"/>
  <c r="AV89" i="27"/>
  <c r="BG94" i="27"/>
  <c r="BB94" i="27"/>
  <c r="AW94" i="27"/>
  <c r="BH98" i="27"/>
  <c r="BC98" i="27"/>
  <c r="AX98" i="27"/>
  <c r="BD103" i="27"/>
  <c r="AY103" i="27"/>
  <c r="BE107" i="27"/>
  <c r="AZ107" i="27"/>
  <c r="BF113" i="27"/>
  <c r="BA113" i="27"/>
  <c r="AV113" i="27"/>
  <c r="BG117" i="27"/>
  <c r="BB117" i="27"/>
  <c r="AW117" i="27"/>
  <c r="BH120" i="27"/>
  <c r="BC120" i="27"/>
  <c r="AX120" i="27"/>
  <c r="BD125" i="27"/>
  <c r="AY125" i="27"/>
  <c r="BE128" i="27"/>
  <c r="AZ128" i="27"/>
  <c r="BF132" i="27"/>
  <c r="BA132" i="27"/>
  <c r="AV132" i="27"/>
  <c r="BG135" i="27"/>
  <c r="BB135" i="27"/>
  <c r="AW135" i="27"/>
  <c r="BH138" i="27"/>
  <c r="BC138" i="27"/>
  <c r="AX138" i="27"/>
  <c r="BD141" i="27"/>
  <c r="AY141" i="27"/>
  <c r="BE144" i="27"/>
  <c r="AZ144" i="27"/>
  <c r="BF148" i="27"/>
  <c r="BA148" i="27"/>
  <c r="AV148" i="27"/>
  <c r="BG151" i="27"/>
  <c r="BB151" i="27"/>
  <c r="AW151" i="27"/>
  <c r="BH154" i="27"/>
  <c r="BC154" i="27"/>
  <c r="AX154" i="27"/>
  <c r="BD157" i="27"/>
  <c r="AY157" i="27"/>
  <c r="BE160" i="27"/>
  <c r="AZ160" i="27"/>
  <c r="BF164" i="27"/>
  <c r="BA164" i="27"/>
  <c r="AV164" i="27"/>
  <c r="BG167" i="27"/>
  <c r="BB167" i="27"/>
  <c r="AW167" i="27"/>
  <c r="BH170" i="27"/>
  <c r="BC170" i="27"/>
  <c r="AX170" i="27"/>
  <c r="BD173" i="27"/>
  <c r="AY173" i="27"/>
  <c r="BE176" i="27"/>
  <c r="AZ176" i="27"/>
  <c r="BF180" i="27"/>
  <c r="BA180" i="27"/>
  <c r="AV180" i="27"/>
  <c r="BG183" i="27"/>
  <c r="BB183" i="27"/>
  <c r="AW183" i="27"/>
  <c r="BH186" i="27"/>
  <c r="BC186" i="27"/>
  <c r="AX186" i="27"/>
  <c r="BD189" i="27"/>
  <c r="AY189" i="27"/>
  <c r="BE192" i="27"/>
  <c r="AZ192" i="27"/>
  <c r="BF196" i="27"/>
  <c r="BA196" i="27"/>
  <c r="AV196" i="27"/>
  <c r="BG199" i="27"/>
  <c r="BB199" i="27"/>
  <c r="AW199" i="27"/>
  <c r="BH202" i="27"/>
  <c r="BC202" i="27"/>
  <c r="AX202" i="27"/>
  <c r="BD205" i="27"/>
  <c r="AY205" i="27"/>
  <c r="BE208" i="27"/>
  <c r="AZ208" i="27"/>
  <c r="BF212" i="27"/>
  <c r="BA212" i="27"/>
  <c r="AV212" i="27"/>
  <c r="BG215" i="27"/>
  <c r="BB215" i="27"/>
  <c r="AW215" i="27"/>
  <c r="BH218" i="27"/>
  <c r="BC218" i="27"/>
  <c r="AX218" i="27"/>
  <c r="BD221" i="27"/>
  <c r="AY221" i="27"/>
  <c r="BE224" i="27"/>
  <c r="AZ224" i="27"/>
  <c r="BF228" i="27"/>
  <c r="BA228" i="27"/>
  <c r="AV228" i="27"/>
  <c r="BG231" i="27"/>
  <c r="BB231" i="27"/>
  <c r="AW231" i="27"/>
  <c r="BH234" i="27"/>
  <c r="BC234" i="27"/>
  <c r="AX234" i="27"/>
  <c r="BD237" i="27"/>
  <c r="AY237" i="27"/>
  <c r="BE240" i="27"/>
  <c r="AZ240" i="27"/>
  <c r="BF244" i="27"/>
  <c r="BA244" i="27"/>
  <c r="AV244" i="27"/>
  <c r="BG247" i="27"/>
  <c r="BB247" i="27"/>
  <c r="AW247" i="27"/>
  <c r="BH250" i="27"/>
  <c r="BC250" i="27"/>
  <c r="AX250" i="27"/>
  <c r="BD253" i="27"/>
  <c r="AY253" i="27"/>
  <c r="BE256" i="27"/>
  <c r="AZ256" i="27"/>
  <c r="BF260" i="27"/>
  <c r="BA260" i="27"/>
  <c r="AV260" i="27"/>
  <c r="BG263" i="27"/>
  <c r="BB263" i="27"/>
  <c r="AW263" i="27"/>
  <c r="BH266" i="27"/>
  <c r="BC266" i="27"/>
  <c r="AX266" i="27"/>
  <c r="BD269" i="27"/>
  <c r="AY269" i="27"/>
  <c r="BE272" i="27"/>
  <c r="AZ272" i="27"/>
  <c r="BF276" i="27"/>
  <c r="BA276" i="27"/>
  <c r="AV276" i="27"/>
  <c r="BG279" i="27"/>
  <c r="BB279" i="27"/>
  <c r="AW279" i="27"/>
  <c r="BH282" i="27"/>
  <c r="BC282" i="27"/>
  <c r="AX282" i="27"/>
  <c r="BD285" i="27"/>
  <c r="AY285" i="27"/>
  <c r="BE288" i="27"/>
  <c r="AZ288" i="27"/>
  <c r="BF292" i="27"/>
  <c r="BA292" i="27"/>
  <c r="AV292" i="27"/>
  <c r="BG295" i="27"/>
  <c r="BB295" i="27"/>
  <c r="AW295" i="27"/>
  <c r="BH298" i="27"/>
  <c r="BC298" i="27"/>
  <c r="AX298" i="27"/>
  <c r="BD301" i="27"/>
  <c r="AY301" i="27"/>
  <c r="BE304" i="27"/>
  <c r="AZ304" i="27"/>
  <c r="BF308" i="27"/>
  <c r="BA308" i="27"/>
  <c r="AV308" i="27"/>
  <c r="BG311" i="27"/>
  <c r="BB311" i="27"/>
  <c r="AW311" i="27"/>
  <c r="BH314" i="27"/>
  <c r="BC314" i="27"/>
  <c r="AX314" i="27"/>
  <c r="BD317" i="27"/>
  <c r="AY317" i="27"/>
  <c r="BE320" i="27"/>
  <c r="AZ320" i="27"/>
  <c r="BF324" i="27"/>
  <c r="BA324" i="27"/>
  <c r="AV324" i="27"/>
  <c r="BG327" i="27"/>
  <c r="BB327" i="27"/>
  <c r="AW327" i="27"/>
  <c r="BH330" i="27"/>
  <c r="BC330" i="27"/>
  <c r="AX330" i="27"/>
  <c r="BD333" i="27"/>
  <c r="AY333" i="27"/>
  <c r="BE336" i="27"/>
  <c r="AZ336" i="27"/>
  <c r="BF340" i="27"/>
  <c r="BA340" i="27"/>
  <c r="AV340" i="27"/>
  <c r="BG343" i="27"/>
  <c r="BB343" i="27"/>
  <c r="AW343" i="27"/>
  <c r="BH346" i="27"/>
  <c r="BC346" i="27"/>
  <c r="AX346" i="27"/>
  <c r="BD349" i="27"/>
  <c r="AY349" i="27"/>
  <c r="BE352" i="27"/>
  <c r="AZ352" i="27"/>
  <c r="BF356" i="27"/>
  <c r="BA356" i="27"/>
  <c r="AV356" i="27"/>
  <c r="BG359" i="27"/>
  <c r="BB359" i="27"/>
  <c r="AW359" i="27"/>
  <c r="BH362" i="27"/>
  <c r="BC362" i="27"/>
  <c r="AX362" i="27"/>
  <c r="BD365" i="27"/>
  <c r="AY365" i="27"/>
  <c r="BE23" i="27"/>
  <c r="AZ23" i="27"/>
  <c r="BE38" i="27"/>
  <c r="AZ38" i="27"/>
  <c r="BH27" i="27"/>
  <c r="BC27" i="27"/>
  <c r="AX27" i="27"/>
  <c r="BH116" i="27"/>
  <c r="BC116" i="27"/>
  <c r="AX116" i="27"/>
  <c r="BG87" i="27"/>
  <c r="BB87" i="27"/>
  <c r="AW87" i="27"/>
  <c r="BF62" i="27"/>
  <c r="BA62" i="27"/>
  <c r="AV62" i="27"/>
  <c r="BE36" i="27"/>
  <c r="AZ36" i="27"/>
  <c r="AY22" i="27"/>
  <c r="BD22" i="27"/>
  <c r="BE10" i="27"/>
  <c r="AZ10" i="27"/>
  <c r="BE11" i="27"/>
  <c r="AZ11" i="27"/>
  <c r="BF14" i="27"/>
  <c r="BA14" i="27"/>
  <c r="AV14" i="27"/>
  <c r="BH29" i="27"/>
  <c r="BC29" i="27"/>
  <c r="AX29" i="27"/>
  <c r="BH39" i="27"/>
  <c r="BC39" i="27"/>
  <c r="AX39" i="27"/>
  <c r="BF52" i="27"/>
  <c r="BA52" i="27"/>
  <c r="AV52" i="27"/>
  <c r="BD58" i="27"/>
  <c r="AY58" i="27"/>
  <c r="BG83" i="27"/>
  <c r="BB83" i="27"/>
  <c r="AW83" i="27"/>
  <c r="BH101" i="27"/>
  <c r="BC101" i="27"/>
  <c r="AX101" i="27"/>
  <c r="BD122" i="27"/>
  <c r="AY122" i="27"/>
  <c r="BE19" i="27"/>
  <c r="AZ19" i="27"/>
  <c r="BG71" i="27"/>
  <c r="BB71" i="27"/>
  <c r="AW71" i="27"/>
  <c r="BE35" i="27"/>
  <c r="AZ35" i="27"/>
  <c r="BF53" i="27"/>
  <c r="BA53" i="27"/>
  <c r="AV53" i="27"/>
  <c r="BG57" i="27"/>
  <c r="BB57" i="27"/>
  <c r="AW57" i="27"/>
  <c r="BH63" i="27"/>
  <c r="BC63" i="27"/>
  <c r="AX63" i="27"/>
  <c r="BD68" i="27"/>
  <c r="AY68" i="27"/>
  <c r="AZ73" i="27"/>
  <c r="BE73" i="27"/>
  <c r="BF81" i="27"/>
  <c r="BA81" i="27"/>
  <c r="AV81" i="27"/>
  <c r="BG89" i="27"/>
  <c r="BB89" i="27"/>
  <c r="AW89" i="27"/>
  <c r="BH94" i="27"/>
  <c r="BC94" i="27"/>
  <c r="AX94" i="27"/>
  <c r="BD98" i="27"/>
  <c r="AY98" i="27"/>
  <c r="BE103" i="27"/>
  <c r="AZ103" i="27"/>
  <c r="BF108" i="27"/>
  <c r="BA108" i="27"/>
  <c r="AV108" i="27"/>
  <c r="BG113" i="27"/>
  <c r="BB113" i="27"/>
  <c r="AW113" i="27"/>
  <c r="BH117" i="27"/>
  <c r="BC117" i="27"/>
  <c r="AX117" i="27"/>
  <c r="BD120" i="27"/>
  <c r="AY120" i="27"/>
  <c r="BE125" i="27"/>
  <c r="AZ125" i="27"/>
  <c r="BF129" i="27"/>
  <c r="BA129" i="27"/>
  <c r="AV129" i="27"/>
  <c r="BG132" i="27"/>
  <c r="BB132" i="27"/>
  <c r="AW132" i="27"/>
  <c r="BH135" i="27"/>
  <c r="BC135" i="27"/>
  <c r="AX135" i="27"/>
  <c r="BD138" i="27"/>
  <c r="AY138" i="27"/>
  <c r="BE141" i="27"/>
  <c r="AZ141" i="27"/>
  <c r="BF145" i="27"/>
  <c r="BA145" i="27"/>
  <c r="AV145" i="27"/>
  <c r="BG148" i="27"/>
  <c r="BB148" i="27"/>
  <c r="AW148" i="27"/>
  <c r="BH151" i="27"/>
  <c r="BC151" i="27"/>
  <c r="AX151" i="27"/>
  <c r="BD154" i="27"/>
  <c r="AY154" i="27"/>
  <c r="BE157" i="27"/>
  <c r="AZ157" i="27"/>
  <c r="BF161" i="27"/>
  <c r="BA161" i="27"/>
  <c r="AV161" i="27"/>
  <c r="BG164" i="27"/>
  <c r="BB164" i="27"/>
  <c r="AW164" i="27"/>
  <c r="BH167" i="27"/>
  <c r="BC167" i="27"/>
  <c r="AX167" i="27"/>
  <c r="BD170" i="27"/>
  <c r="AY170" i="27"/>
  <c r="BE173" i="27"/>
  <c r="AZ173" i="27"/>
  <c r="BF177" i="27"/>
  <c r="BA177" i="27"/>
  <c r="AV177" i="27"/>
  <c r="BG180" i="27"/>
  <c r="BB180" i="27"/>
  <c r="AW180" i="27"/>
  <c r="BH183" i="27"/>
  <c r="BC183" i="27"/>
  <c r="AX183" i="27"/>
  <c r="BD186" i="27"/>
  <c r="AY186" i="27"/>
  <c r="BE189" i="27"/>
  <c r="AZ189" i="27"/>
  <c r="BF193" i="27"/>
  <c r="BA193" i="27"/>
  <c r="AV193" i="27"/>
  <c r="BG196" i="27"/>
  <c r="BB196" i="27"/>
  <c r="AW196" i="27"/>
  <c r="BH199" i="27"/>
  <c r="BC199" i="27"/>
  <c r="AX199" i="27"/>
  <c r="BD202" i="27"/>
  <c r="AY202" i="27"/>
  <c r="BE205" i="27"/>
  <c r="AZ205" i="27"/>
  <c r="BF209" i="27"/>
  <c r="BA209" i="27"/>
  <c r="AV209" i="27"/>
  <c r="BG212" i="27"/>
  <c r="BB212" i="27"/>
  <c r="AW212" i="27"/>
  <c r="BH215" i="27"/>
  <c r="BC215" i="27"/>
  <c r="AX215" i="27"/>
  <c r="BD218" i="27"/>
  <c r="AY218" i="27"/>
  <c r="BE221" i="27"/>
  <c r="AZ221" i="27"/>
  <c r="BF225" i="27"/>
  <c r="BA225" i="27"/>
  <c r="AV225" i="27"/>
  <c r="BG228" i="27"/>
  <c r="BB228" i="27"/>
  <c r="AW228" i="27"/>
  <c r="BH231" i="27"/>
  <c r="BC231" i="27"/>
  <c r="AX231" i="27"/>
  <c r="BD234" i="27"/>
  <c r="AY234" i="27"/>
  <c r="BE237" i="27"/>
  <c r="AZ237" i="27"/>
  <c r="BF241" i="27"/>
  <c r="BA241" i="27"/>
  <c r="AV241" i="27"/>
  <c r="BG244" i="27"/>
  <c r="BB244" i="27"/>
  <c r="AW244" i="27"/>
  <c r="BH247" i="27"/>
  <c r="BC247" i="27"/>
  <c r="AX247" i="27"/>
  <c r="BD250" i="27"/>
  <c r="AY250" i="27"/>
  <c r="BE253" i="27"/>
  <c r="AZ253" i="27"/>
  <c r="BF257" i="27"/>
  <c r="BA257" i="27"/>
  <c r="AV257" i="27"/>
  <c r="BG260" i="27"/>
  <c r="BB260" i="27"/>
  <c r="AW260" i="27"/>
  <c r="BH263" i="27"/>
  <c r="BC263" i="27"/>
  <c r="AX263" i="27"/>
  <c r="BD266" i="27"/>
  <c r="AY266" i="27"/>
  <c r="BE269" i="27"/>
  <c r="AZ269" i="27"/>
  <c r="BF273" i="27"/>
  <c r="BA273" i="27"/>
  <c r="AV273" i="27"/>
  <c r="BG276" i="27"/>
  <c r="BB276" i="27"/>
  <c r="AW276" i="27"/>
  <c r="BH279" i="27"/>
  <c r="BC279" i="27"/>
  <c r="AX279" i="27"/>
  <c r="BD282" i="27"/>
  <c r="AY282" i="27"/>
  <c r="BE285" i="27"/>
  <c r="AZ285" i="27"/>
  <c r="BF289" i="27"/>
  <c r="BA289" i="27"/>
  <c r="AV289" i="27"/>
  <c r="BG292" i="27"/>
  <c r="BB292" i="27"/>
  <c r="AW292" i="27"/>
  <c r="BH295" i="27"/>
  <c r="BC295" i="27"/>
  <c r="AX295" i="27"/>
  <c r="BD298" i="27"/>
  <c r="AY298" i="27"/>
  <c r="BE301" i="27"/>
  <c r="AZ301" i="27"/>
  <c r="BF305" i="27"/>
  <c r="BA305" i="27"/>
  <c r="AV305" i="27"/>
  <c r="BG308" i="27"/>
  <c r="BB308" i="27"/>
  <c r="AW308" i="27"/>
  <c r="BH311" i="27"/>
  <c r="BC311" i="27"/>
  <c r="AX311" i="27"/>
  <c r="BD314" i="27"/>
  <c r="AY314" i="27"/>
  <c r="BE317" i="27"/>
  <c r="AZ317" i="27"/>
  <c r="BF321" i="27"/>
  <c r="BA321" i="27"/>
  <c r="AV321" i="27"/>
  <c r="BG324" i="27"/>
  <c r="BB324" i="27"/>
  <c r="AW324" i="27"/>
  <c r="BH327" i="27"/>
  <c r="BC327" i="27"/>
  <c r="AX327" i="27"/>
  <c r="BD330" i="27"/>
  <c r="AY330" i="27"/>
  <c r="BE333" i="27"/>
  <c r="AZ333" i="27"/>
  <c r="BF337" i="27"/>
  <c r="BA337" i="27"/>
  <c r="AV337" i="27"/>
  <c r="BG340" i="27"/>
  <c r="BB340" i="27"/>
  <c r="AW340" i="27"/>
  <c r="BH343" i="27"/>
  <c r="BC343" i="27"/>
  <c r="AX343" i="27"/>
  <c r="BD346" i="27"/>
  <c r="AY346" i="27"/>
  <c r="BE349" i="27"/>
  <c r="AZ349" i="27"/>
  <c r="BF353" i="27"/>
  <c r="BA353" i="27"/>
  <c r="AV353" i="27"/>
  <c r="BG356" i="27"/>
  <c r="BB356" i="27"/>
  <c r="AW356" i="27"/>
  <c r="BH359" i="27"/>
  <c r="BC359" i="27"/>
  <c r="AX359" i="27"/>
  <c r="BD362" i="27"/>
  <c r="AY362" i="27"/>
  <c r="BE365" i="27"/>
  <c r="AZ365" i="27"/>
  <c r="BE86" i="27"/>
  <c r="AZ86" i="27"/>
  <c r="BD23" i="27"/>
  <c r="AY23" i="27"/>
  <c r="AY38" i="27"/>
  <c r="BD38" i="27"/>
  <c r="BG27" i="27"/>
  <c r="BB27" i="27"/>
  <c r="AW27" i="27"/>
  <c r="BG116" i="27"/>
  <c r="BB116" i="27"/>
  <c r="AW116" i="27"/>
  <c r="BF87" i="27"/>
  <c r="BA87" i="27"/>
  <c r="AV87" i="27"/>
  <c r="BE55" i="27"/>
  <c r="AZ55" i="27"/>
  <c r="BD36" i="27"/>
  <c r="AY36" i="27"/>
  <c r="BH22" i="27"/>
  <c r="BC22" i="27"/>
  <c r="AX22" i="27"/>
  <c r="BD8" i="27"/>
  <c r="AY8" i="27"/>
  <c r="BE17" i="27"/>
  <c r="AZ17" i="27"/>
  <c r="BG16" i="27"/>
  <c r="AW16" i="27"/>
  <c r="BB16" i="27"/>
  <c r="BD25" i="27"/>
  <c r="AY25" i="27"/>
  <c r="BG29" i="27"/>
  <c r="BB29" i="27"/>
  <c r="AW29" i="27"/>
  <c r="BD33" i="27"/>
  <c r="AY33" i="27"/>
  <c r="BE51" i="27"/>
  <c r="AZ51" i="27"/>
  <c r="BH58" i="27"/>
  <c r="BC58" i="27"/>
  <c r="AX58" i="27"/>
  <c r="BG66" i="27"/>
  <c r="BB66" i="27"/>
  <c r="AW66" i="27"/>
  <c r="BF83" i="27"/>
  <c r="BA83" i="27"/>
  <c r="AV83" i="27"/>
  <c r="BD91" i="27"/>
  <c r="AY91" i="27"/>
  <c r="BH122" i="27"/>
  <c r="BC122" i="27"/>
  <c r="AX122" i="27"/>
  <c r="BD6" i="27"/>
  <c r="AY6" i="27"/>
  <c r="BF71" i="27"/>
  <c r="BA71" i="27"/>
  <c r="AV71" i="27"/>
  <c r="BF41" i="27"/>
  <c r="BA41" i="27"/>
  <c r="AV41" i="27"/>
  <c r="BG53" i="27"/>
  <c r="BB53" i="27"/>
  <c r="AW53" i="27"/>
  <c r="BH57" i="27"/>
  <c r="BC57" i="27"/>
  <c r="AX57" i="27"/>
  <c r="BD63" i="27"/>
  <c r="AY63" i="27"/>
  <c r="BE68" i="27"/>
  <c r="AZ68" i="27"/>
  <c r="BF77" i="27"/>
  <c r="AV77" i="27"/>
  <c r="BA77" i="27"/>
  <c r="BG81" i="27"/>
  <c r="BB81" i="27"/>
  <c r="AW81" i="27"/>
  <c r="BH89" i="27"/>
  <c r="BC89" i="27"/>
  <c r="AX89" i="27"/>
  <c r="BD94" i="27"/>
  <c r="AY94" i="27"/>
  <c r="BE98" i="27"/>
  <c r="AZ98" i="27"/>
  <c r="BF104" i="27"/>
  <c r="BA104" i="27"/>
  <c r="AV104" i="27"/>
  <c r="BG108" i="27"/>
  <c r="BB108" i="27"/>
  <c r="AW108" i="27"/>
  <c r="BH113" i="27"/>
  <c r="BC113" i="27"/>
  <c r="AX113" i="27"/>
  <c r="BD117" i="27"/>
  <c r="AY117" i="27"/>
  <c r="BE120" i="27"/>
  <c r="AZ120" i="27"/>
  <c r="BF126" i="27"/>
  <c r="BA126" i="27"/>
  <c r="AV126" i="27"/>
  <c r="BG129" i="27"/>
  <c r="BB129" i="27"/>
  <c r="AW129" i="27"/>
  <c r="BH132" i="27"/>
  <c r="BC132" i="27"/>
  <c r="AX132" i="27"/>
  <c r="BD135" i="27"/>
  <c r="AY135" i="27"/>
  <c r="BE138" i="27"/>
  <c r="AZ138" i="27"/>
  <c r="BF142" i="27"/>
  <c r="BA142" i="27"/>
  <c r="AV142" i="27"/>
  <c r="BG145" i="27"/>
  <c r="BB145" i="27"/>
  <c r="AW145" i="27"/>
  <c r="BH148" i="27"/>
  <c r="BC148" i="27"/>
  <c r="AX148" i="27"/>
  <c r="BD151" i="27"/>
  <c r="AY151" i="27"/>
  <c r="BE154" i="27"/>
  <c r="AZ154" i="27"/>
  <c r="BA158" i="27"/>
  <c r="BF158" i="27"/>
  <c r="AV158" i="27"/>
  <c r="BB161" i="27"/>
  <c r="BG161" i="27"/>
  <c r="AW161" i="27"/>
  <c r="BC164" i="27"/>
  <c r="BH164" i="27"/>
  <c r="AX164" i="27"/>
  <c r="BD167" i="27"/>
  <c r="AY167" i="27"/>
  <c r="BE170" i="27"/>
  <c r="AZ170" i="27"/>
  <c r="BA174" i="27"/>
  <c r="BF174" i="27"/>
  <c r="AV174" i="27"/>
  <c r="BB177" i="27"/>
  <c r="BG177" i="27"/>
  <c r="AW177" i="27"/>
  <c r="BC180" i="27"/>
  <c r="BH180" i="27"/>
  <c r="AX180" i="27"/>
  <c r="BD183" i="27"/>
  <c r="AY183" i="27"/>
  <c r="BE186" i="27"/>
  <c r="AZ186" i="27"/>
  <c r="BA190" i="27"/>
  <c r="BF190" i="27"/>
  <c r="AV190" i="27"/>
  <c r="BB193" i="27"/>
  <c r="BG193" i="27"/>
  <c r="AW193" i="27"/>
  <c r="BH196" i="27"/>
  <c r="BC196" i="27"/>
  <c r="AX196" i="27"/>
  <c r="BD199" i="27"/>
  <c r="AY199" i="27"/>
  <c r="BE202" i="27"/>
  <c r="AZ202" i="27"/>
  <c r="BF206" i="27"/>
  <c r="BA206" i="27"/>
  <c r="AV206" i="27"/>
  <c r="BG209" i="27"/>
  <c r="BB209" i="27"/>
  <c r="AW209" i="27"/>
  <c r="BH212" i="27"/>
  <c r="BC212" i="27"/>
  <c r="AX212" i="27"/>
  <c r="BD215" i="27"/>
  <c r="AY215" i="27"/>
  <c r="BE218" i="27"/>
  <c r="AZ218" i="27"/>
  <c r="BF222" i="27"/>
  <c r="BA222" i="27"/>
  <c r="AV222" i="27"/>
  <c r="BG225" i="27"/>
  <c r="BB225" i="27"/>
  <c r="AW225" i="27"/>
  <c r="BH228" i="27"/>
  <c r="BC228" i="27"/>
  <c r="AX228" i="27"/>
  <c r="BD231" i="27"/>
  <c r="AY231" i="27"/>
  <c r="BE234" i="27"/>
  <c r="AZ234" i="27"/>
  <c r="BF238" i="27"/>
  <c r="BA238" i="27"/>
  <c r="AV238" i="27"/>
  <c r="BG241" i="27"/>
  <c r="BB241" i="27"/>
  <c r="AW241" i="27"/>
  <c r="BH244" i="27"/>
  <c r="BC244" i="27"/>
  <c r="AX244" i="27"/>
  <c r="BD247" i="27"/>
  <c r="AY247" i="27"/>
  <c r="BE250" i="27"/>
  <c r="AZ250" i="27"/>
  <c r="BF254" i="27"/>
  <c r="BA254" i="27"/>
  <c r="AV254" i="27"/>
  <c r="BG257" i="27"/>
  <c r="BB257" i="27"/>
  <c r="AW257" i="27"/>
  <c r="BH260" i="27"/>
  <c r="BC260" i="27"/>
  <c r="AX260" i="27"/>
  <c r="BD263" i="27"/>
  <c r="AY263" i="27"/>
  <c r="BE266" i="27"/>
  <c r="AZ266" i="27"/>
  <c r="BF270" i="27"/>
  <c r="BA270" i="27"/>
  <c r="AV270" i="27"/>
  <c r="BG273" i="27"/>
  <c r="BB273" i="27"/>
  <c r="AW273" i="27"/>
  <c r="BH276" i="27"/>
  <c r="BC276" i="27"/>
  <c r="AX276" i="27"/>
  <c r="BD279" i="27"/>
  <c r="AY279" i="27"/>
  <c r="BE282" i="27"/>
  <c r="AZ282" i="27"/>
  <c r="BF286" i="27"/>
  <c r="BA286" i="27"/>
  <c r="AV286" i="27"/>
  <c r="BG289" i="27"/>
  <c r="BB289" i="27"/>
  <c r="AW289" i="27"/>
  <c r="BH292" i="27"/>
  <c r="BC292" i="27"/>
  <c r="AX292" i="27"/>
  <c r="BD295" i="27"/>
  <c r="AY295" i="27"/>
  <c r="BE298" i="27"/>
  <c r="AZ298" i="27"/>
  <c r="BF302" i="27"/>
  <c r="BA302" i="27"/>
  <c r="AV302" i="27"/>
  <c r="BG305" i="27"/>
  <c r="BB305" i="27"/>
  <c r="AW305" i="27"/>
  <c r="BH308" i="27"/>
  <c r="BC308" i="27"/>
  <c r="AX308" i="27"/>
  <c r="BD311" i="27"/>
  <c r="AY311" i="27"/>
  <c r="BE314" i="27"/>
  <c r="AZ314" i="27"/>
  <c r="BF318" i="27"/>
  <c r="BA318" i="27"/>
  <c r="AV318" i="27"/>
  <c r="BG321" i="27"/>
  <c r="BB321" i="27"/>
  <c r="AW321" i="27"/>
  <c r="BH324" i="27"/>
  <c r="BC324" i="27"/>
  <c r="AX324" i="27"/>
  <c r="BD327" i="27"/>
  <c r="AY327" i="27"/>
  <c r="BE330" i="27"/>
  <c r="AZ330" i="27"/>
  <c r="BF334" i="27"/>
  <c r="BA334" i="27"/>
  <c r="AV334" i="27"/>
  <c r="BG337" i="27"/>
  <c r="BB337" i="27"/>
  <c r="AW337" i="27"/>
  <c r="BH340" i="27"/>
  <c r="BC340" i="27"/>
  <c r="AX340" i="27"/>
  <c r="BD343" i="27"/>
  <c r="AY343" i="27"/>
  <c r="BE346" i="27"/>
  <c r="AZ346" i="27"/>
  <c r="BF350" i="27"/>
  <c r="BA350" i="27"/>
  <c r="AV350" i="27"/>
  <c r="BG353" i="27"/>
  <c r="BB353" i="27"/>
  <c r="AW353" i="27"/>
  <c r="BH356" i="27"/>
  <c r="BC356" i="27"/>
  <c r="AX356" i="27"/>
  <c r="BD359" i="27"/>
  <c r="AY359" i="27"/>
  <c r="BE362" i="27"/>
  <c r="AZ362" i="27"/>
  <c r="AY86" i="27"/>
  <c r="BD86" i="27"/>
  <c r="BH23" i="27"/>
  <c r="BC23" i="27"/>
  <c r="AX23" i="27"/>
  <c r="BH38" i="27"/>
  <c r="BC38" i="27"/>
  <c r="AX38" i="27"/>
  <c r="BF116" i="27"/>
  <c r="BA116" i="27"/>
  <c r="AV116" i="27"/>
  <c r="BE78" i="27"/>
  <c r="AZ78" i="27"/>
  <c r="BD55" i="27"/>
  <c r="AY55" i="27"/>
  <c r="BH36" i="27"/>
  <c r="BC36" i="27"/>
  <c r="AX36" i="27"/>
  <c r="BG22" i="27"/>
  <c r="BB22" i="27"/>
  <c r="AW22" i="27"/>
  <c r="BH8" i="27"/>
  <c r="BC8" i="27"/>
  <c r="AX8" i="27"/>
  <c r="BF16" i="27"/>
  <c r="BA16" i="27"/>
  <c r="AV16" i="27"/>
  <c r="BH25" i="27"/>
  <c r="BC25" i="27"/>
  <c r="AX25" i="27"/>
  <c r="BF29" i="27"/>
  <c r="AV29" i="27"/>
  <c r="BA29" i="27"/>
  <c r="BH33" i="27"/>
  <c r="BC33" i="27"/>
  <c r="AX33" i="27"/>
  <c r="BF66" i="27"/>
  <c r="BA66" i="27"/>
  <c r="AV66" i="27"/>
  <c r="BE82" i="27"/>
  <c r="AZ82" i="27"/>
  <c r="BH91" i="27"/>
  <c r="BC91" i="27"/>
  <c r="AX91" i="27"/>
  <c r="BG101" i="27"/>
  <c r="BB101" i="27"/>
  <c r="AW101" i="27"/>
  <c r="BH6" i="27"/>
  <c r="BC6" i="27"/>
  <c r="AX6" i="27"/>
  <c r="BE30" i="27"/>
  <c r="AZ30" i="27"/>
  <c r="BG46" i="27"/>
  <c r="BB46" i="27"/>
  <c r="AW46" i="27"/>
  <c r="BG41" i="27"/>
  <c r="BB41" i="27"/>
  <c r="AW41" i="27"/>
  <c r="BH53" i="27"/>
  <c r="BC53" i="27"/>
  <c r="AX53" i="27"/>
  <c r="BD57" i="27"/>
  <c r="AY57" i="27"/>
  <c r="BE63" i="27"/>
  <c r="AZ63" i="27"/>
  <c r="BF69" i="27"/>
  <c r="BA69" i="27"/>
  <c r="AV69" i="27"/>
  <c r="BG77" i="27"/>
  <c r="BB77" i="27"/>
  <c r="AW77" i="27"/>
  <c r="BH81" i="27"/>
  <c r="BC81" i="27"/>
  <c r="AX81" i="27"/>
  <c r="BD89" i="27"/>
  <c r="AY89" i="27"/>
  <c r="BE94" i="27"/>
  <c r="AZ94" i="27"/>
  <c r="BF99" i="27"/>
  <c r="BA99" i="27"/>
  <c r="AV99" i="27"/>
  <c r="BG104" i="27"/>
  <c r="BB104" i="27"/>
  <c r="AW104" i="27"/>
  <c r="BH108" i="27"/>
  <c r="BC108" i="27"/>
  <c r="AX108" i="27"/>
  <c r="BD113" i="27"/>
  <c r="AY113" i="27"/>
  <c r="BE117" i="27"/>
  <c r="AZ117" i="27"/>
  <c r="BF123" i="27"/>
  <c r="BA123" i="27"/>
  <c r="AV123" i="27"/>
  <c r="BG126" i="27"/>
  <c r="BB126" i="27"/>
  <c r="AW126" i="27"/>
  <c r="BH129" i="27"/>
  <c r="BC129" i="27"/>
  <c r="AX129" i="27"/>
  <c r="BD132" i="27"/>
  <c r="AY132" i="27"/>
  <c r="BE135" i="27"/>
  <c r="AZ135" i="27"/>
  <c r="BF139" i="27"/>
  <c r="BA139" i="27"/>
  <c r="AV139" i="27"/>
  <c r="BG142" i="27"/>
  <c r="BB142" i="27"/>
  <c r="AW142" i="27"/>
  <c r="BH145" i="27"/>
  <c r="BC145" i="27"/>
  <c r="AX145" i="27"/>
  <c r="BD148" i="27"/>
  <c r="AY148" i="27"/>
  <c r="BE151" i="27"/>
  <c r="AZ151" i="27"/>
  <c r="BF155" i="27"/>
  <c r="BA155" i="27"/>
  <c r="AV155" i="27"/>
  <c r="BG158" i="27"/>
  <c r="BB158" i="27"/>
  <c r="AW158" i="27"/>
  <c r="BH161" i="27"/>
  <c r="BC161" i="27"/>
  <c r="AX161" i="27"/>
  <c r="BD164" i="27"/>
  <c r="AY164" i="27"/>
  <c r="BE167" i="27"/>
  <c r="AZ167" i="27"/>
  <c r="BF171" i="27"/>
  <c r="BA171" i="27"/>
  <c r="AV171" i="27"/>
  <c r="BG174" i="27"/>
  <c r="BB174" i="27"/>
  <c r="AW174" i="27"/>
  <c r="BH177" i="27"/>
  <c r="BC177" i="27"/>
  <c r="AX177" i="27"/>
  <c r="BD180" i="27"/>
  <c r="AY180" i="27"/>
  <c r="BE183" i="27"/>
  <c r="AZ183" i="27"/>
  <c r="BF187" i="27"/>
  <c r="BA187" i="27"/>
  <c r="AV187" i="27"/>
  <c r="BG190" i="27"/>
  <c r="BB190" i="27"/>
  <c r="AW190" i="27"/>
  <c r="BH193" i="27"/>
  <c r="BC193" i="27"/>
  <c r="AX193" i="27"/>
  <c r="BD196" i="27"/>
  <c r="AY196" i="27"/>
  <c r="BE199" i="27"/>
  <c r="AZ199" i="27"/>
  <c r="BF203" i="27"/>
  <c r="BA203" i="27"/>
  <c r="AV203" i="27"/>
  <c r="BG206" i="27"/>
  <c r="BB206" i="27"/>
  <c r="AW206" i="27"/>
  <c r="BH209" i="27"/>
  <c r="BC209" i="27"/>
  <c r="AX209" i="27"/>
  <c r="BD212" i="27"/>
  <c r="AY212" i="27"/>
  <c r="BE215" i="27"/>
  <c r="AZ215" i="27"/>
  <c r="BF219" i="27"/>
  <c r="BA219" i="27"/>
  <c r="AV219" i="27"/>
  <c r="BG222" i="27"/>
  <c r="BB222" i="27"/>
  <c r="AW222" i="27"/>
  <c r="BH225" i="27"/>
  <c r="BC225" i="27"/>
  <c r="AX225" i="27"/>
  <c r="BD228" i="27"/>
  <c r="AY228" i="27"/>
  <c r="BE231" i="27"/>
  <c r="AZ231" i="27"/>
  <c r="BF235" i="27"/>
  <c r="BA235" i="27"/>
  <c r="AV235" i="27"/>
  <c r="BG238" i="27"/>
  <c r="BB238" i="27"/>
  <c r="AW238" i="27"/>
  <c r="BH241" i="27"/>
  <c r="BC241" i="27"/>
  <c r="AX241" i="27"/>
  <c r="BD244" i="27"/>
  <c r="AY244" i="27"/>
  <c r="BE247" i="27"/>
  <c r="AZ247" i="27"/>
  <c r="BF251" i="27"/>
  <c r="BA251" i="27"/>
  <c r="AV251" i="27"/>
  <c r="BG254" i="27"/>
  <c r="BB254" i="27"/>
  <c r="AW254" i="27"/>
  <c r="BH257" i="27"/>
  <c r="BC257" i="27"/>
  <c r="AX257" i="27"/>
  <c r="BD260" i="27"/>
  <c r="AY260" i="27"/>
  <c r="BE263" i="27"/>
  <c r="AZ263" i="27"/>
  <c r="BF267" i="27"/>
  <c r="BA267" i="27"/>
  <c r="AV267" i="27"/>
  <c r="BG270" i="27"/>
  <c r="BB270" i="27"/>
  <c r="AW270" i="27"/>
  <c r="BH273" i="27"/>
  <c r="BC273" i="27"/>
  <c r="AX273" i="27"/>
  <c r="BD276" i="27"/>
  <c r="AY276" i="27"/>
  <c r="BE279" i="27"/>
  <c r="AZ279" i="27"/>
  <c r="BF283" i="27"/>
  <c r="BA283" i="27"/>
  <c r="AV283" i="27"/>
  <c r="BG286" i="27"/>
  <c r="BB286" i="27"/>
  <c r="AW286" i="27"/>
  <c r="BH289" i="27"/>
  <c r="BC289" i="27"/>
  <c r="AX289" i="27"/>
  <c r="BD292" i="27"/>
  <c r="AY292" i="27"/>
  <c r="BE295" i="27"/>
  <c r="AZ295" i="27"/>
  <c r="BF299" i="27"/>
  <c r="BA299" i="27"/>
  <c r="AV299" i="27"/>
  <c r="BG302" i="27"/>
  <c r="BB302" i="27"/>
  <c r="AW302" i="27"/>
  <c r="BH305" i="27"/>
  <c r="BC305" i="27"/>
  <c r="AX305" i="27"/>
  <c r="BD308" i="27"/>
  <c r="AY308" i="27"/>
  <c r="BE311" i="27"/>
  <c r="AZ311" i="27"/>
  <c r="BF315" i="27"/>
  <c r="BA315" i="27"/>
  <c r="AV315" i="27"/>
  <c r="BG318" i="27"/>
  <c r="BB318" i="27"/>
  <c r="AW318" i="27"/>
  <c r="BH321" i="27"/>
  <c r="BC321" i="27"/>
  <c r="AX321" i="27"/>
  <c r="BD324" i="27"/>
  <c r="AY324" i="27"/>
  <c r="BE327" i="27"/>
  <c r="AZ327" i="27"/>
  <c r="BF331" i="27"/>
  <c r="BA331" i="27"/>
  <c r="AV331" i="27"/>
  <c r="BG334" i="27"/>
  <c r="BB334" i="27"/>
  <c r="AW334" i="27"/>
  <c r="BH337" i="27"/>
  <c r="BC337" i="27"/>
  <c r="AX337" i="27"/>
  <c r="BD340" i="27"/>
  <c r="AY340" i="27"/>
  <c r="BE343" i="27"/>
  <c r="AZ343" i="27"/>
  <c r="BF347" i="27"/>
  <c r="BA347" i="27"/>
  <c r="AV347" i="27"/>
  <c r="BG350" i="27"/>
  <c r="BB350" i="27"/>
  <c r="AW350" i="27"/>
  <c r="BH353" i="27"/>
  <c r="BC353" i="27"/>
  <c r="AX353" i="27"/>
  <c r="BD356" i="27"/>
  <c r="AY356" i="27"/>
  <c r="BE359" i="27"/>
  <c r="AZ359" i="27"/>
  <c r="BF363" i="27"/>
  <c r="BA363" i="27"/>
  <c r="AV363" i="27"/>
  <c r="BH86" i="27"/>
  <c r="BC86" i="27"/>
  <c r="AX86" i="27"/>
  <c r="BG23" i="27"/>
  <c r="BB23" i="27"/>
  <c r="AW23" i="27"/>
  <c r="BE44" i="27"/>
  <c r="AZ44" i="27"/>
  <c r="BG38" i="27"/>
  <c r="BB38" i="27"/>
  <c r="AW38" i="27"/>
  <c r="BF27" i="27"/>
  <c r="BA27" i="27"/>
  <c r="AV27" i="27"/>
  <c r="BE106" i="27"/>
  <c r="AZ106" i="27"/>
  <c r="BD78" i="27"/>
  <c r="AY78" i="27"/>
  <c r="BH55" i="27"/>
  <c r="BC55" i="27"/>
  <c r="AX55" i="27"/>
  <c r="BG36" i="27"/>
  <c r="BB36" i="27"/>
  <c r="AW36" i="27"/>
  <c r="BF22" i="27"/>
  <c r="BA22" i="27"/>
  <c r="AV22" i="27"/>
  <c r="BD10" i="27"/>
  <c r="AY10" i="27"/>
  <c r="BD11" i="27"/>
  <c r="AY11" i="27"/>
  <c r="BE21" i="27"/>
  <c r="AZ21" i="27"/>
  <c r="BG25" i="27"/>
  <c r="BB25" i="27"/>
  <c r="AW25" i="27"/>
  <c r="BE28" i="27"/>
  <c r="AZ28" i="27"/>
  <c r="BG39" i="27"/>
  <c r="BB39" i="27"/>
  <c r="AW39" i="27"/>
  <c r="BD51" i="27"/>
  <c r="AY51" i="27"/>
  <c r="BE75" i="27"/>
  <c r="AZ75" i="27"/>
  <c r="BF101" i="27"/>
  <c r="BA101" i="27"/>
  <c r="AV101" i="27"/>
  <c r="BG122" i="27"/>
  <c r="BB122" i="27"/>
  <c r="AW122" i="27"/>
  <c r="BD19" i="27"/>
  <c r="AY19" i="27"/>
  <c r="BF46" i="27"/>
  <c r="BA46" i="27"/>
  <c r="AV46" i="27"/>
  <c r="BF9" i="27"/>
  <c r="BA9" i="27"/>
  <c r="AV9" i="27"/>
  <c r="BH41" i="27"/>
  <c r="BC41" i="27"/>
  <c r="AX41" i="27"/>
  <c r="BD53" i="27"/>
  <c r="AY53" i="27"/>
  <c r="AZ57" i="27"/>
  <c r="BE57" i="27"/>
  <c r="BF64" i="27"/>
  <c r="BA64" i="27"/>
  <c r="AV64" i="27"/>
  <c r="BG69" i="27"/>
  <c r="BB69" i="27"/>
  <c r="AW69" i="27"/>
  <c r="BH77" i="27"/>
  <c r="BC77" i="27"/>
  <c r="AX77" i="27"/>
  <c r="BD81" i="27"/>
  <c r="AY81" i="27"/>
  <c r="AZ89" i="27"/>
  <c r="BE89" i="27"/>
  <c r="BF95" i="27"/>
  <c r="BA95" i="27"/>
  <c r="AV95" i="27"/>
  <c r="BG99" i="27"/>
  <c r="BB99" i="27"/>
  <c r="AW99" i="27"/>
  <c r="BH104" i="27"/>
  <c r="BC104" i="27"/>
  <c r="AX104" i="27"/>
  <c r="BD108" i="27"/>
  <c r="AY108" i="27"/>
  <c r="BE113" i="27"/>
  <c r="AZ113" i="27"/>
  <c r="BF118" i="27"/>
  <c r="BA118" i="27"/>
  <c r="AV118" i="27"/>
  <c r="BG123" i="27"/>
  <c r="BB123" i="27"/>
  <c r="AW123" i="27"/>
  <c r="BH126" i="27"/>
  <c r="BC126" i="27"/>
  <c r="AX126" i="27"/>
  <c r="BD129" i="27"/>
  <c r="AY129" i="27"/>
  <c r="BE132" i="27"/>
  <c r="AZ132" i="27"/>
  <c r="BF136" i="27"/>
  <c r="BA136" i="27"/>
  <c r="AV136" i="27"/>
  <c r="BG139" i="27"/>
  <c r="BB139" i="27"/>
  <c r="AW139" i="27"/>
  <c r="BH142" i="27"/>
  <c r="BC142" i="27"/>
  <c r="AX142" i="27"/>
  <c r="BD145" i="27"/>
  <c r="AY145" i="27"/>
  <c r="BE148" i="27"/>
  <c r="AZ148" i="27"/>
  <c r="BA152" i="27"/>
  <c r="BF152" i="27"/>
  <c r="AV152" i="27"/>
  <c r="BB155" i="27"/>
  <c r="BG155" i="27"/>
  <c r="AW155" i="27"/>
  <c r="BC158" i="27"/>
  <c r="BH158" i="27"/>
  <c r="AX158" i="27"/>
  <c r="BD161" i="27"/>
  <c r="AY161" i="27"/>
  <c r="BE164" i="27"/>
  <c r="AZ164" i="27"/>
  <c r="BA168" i="27"/>
  <c r="BF168" i="27"/>
  <c r="AV168" i="27"/>
  <c r="BB171" i="27"/>
  <c r="BG171" i="27"/>
  <c r="AW171" i="27"/>
  <c r="BC174" i="27"/>
  <c r="BH174" i="27"/>
  <c r="AX174" i="27"/>
  <c r="BD177" i="27"/>
  <c r="AY177" i="27"/>
  <c r="BE180" i="27"/>
  <c r="AZ180" i="27"/>
  <c r="BA184" i="27"/>
  <c r="BF184" i="27"/>
  <c r="AV184" i="27"/>
  <c r="BB187" i="27"/>
  <c r="BG187" i="27"/>
  <c r="AW187" i="27"/>
  <c r="BC190" i="27"/>
  <c r="BH190" i="27"/>
  <c r="AX190" i="27"/>
  <c r="BD193" i="27"/>
  <c r="AY193" i="27"/>
  <c r="BE196" i="27"/>
  <c r="AZ196" i="27"/>
  <c r="BF200" i="27"/>
  <c r="BA200" i="27"/>
  <c r="AV200" i="27"/>
  <c r="BB203" i="27"/>
  <c r="BG203" i="27"/>
  <c r="AW203" i="27"/>
  <c r="BC206" i="27"/>
  <c r="BH206" i="27"/>
  <c r="AX206" i="27"/>
  <c r="BD209" i="27"/>
  <c r="AY209" i="27"/>
  <c r="BE212" i="27"/>
  <c r="AZ212" i="27"/>
  <c r="BA216" i="27"/>
  <c r="BF216" i="27"/>
  <c r="AV216" i="27"/>
  <c r="BB219" i="27"/>
  <c r="BG219" i="27"/>
  <c r="AW219" i="27"/>
  <c r="BC222" i="27"/>
  <c r="BH222" i="27"/>
  <c r="AX222" i="27"/>
  <c r="BD225" i="27"/>
  <c r="AY225" i="27"/>
  <c r="BE228" i="27"/>
  <c r="AZ228" i="27"/>
  <c r="BA232" i="27"/>
  <c r="BF232" i="27"/>
  <c r="AV232" i="27"/>
  <c r="BB235" i="27"/>
  <c r="BG235" i="27"/>
  <c r="AW235" i="27"/>
  <c r="BC238" i="27"/>
  <c r="BH238" i="27"/>
  <c r="AX238" i="27"/>
  <c r="BD241" i="27"/>
  <c r="AY241" i="27"/>
  <c r="BE244" i="27"/>
  <c r="AZ244" i="27"/>
  <c r="BA248" i="27"/>
  <c r="BF248" i="27"/>
  <c r="AV248" i="27"/>
  <c r="BG251" i="27"/>
  <c r="BB251" i="27"/>
  <c r="AW251" i="27"/>
  <c r="BC254" i="27"/>
  <c r="BH254" i="27"/>
  <c r="AX254" i="27"/>
  <c r="BD257" i="27"/>
  <c r="AY257" i="27"/>
  <c r="BE260" i="27"/>
  <c r="AZ260" i="27"/>
  <c r="BA264" i="27"/>
  <c r="BF264" i="27"/>
  <c r="AV264" i="27"/>
  <c r="BB267" i="27"/>
  <c r="BG267" i="27"/>
  <c r="AW267" i="27"/>
  <c r="BC270" i="27"/>
  <c r="BH270" i="27"/>
  <c r="AX270" i="27"/>
  <c r="BD273" i="27"/>
  <c r="AY273" i="27"/>
  <c r="BE276" i="27"/>
  <c r="AZ276" i="27"/>
  <c r="BA280" i="27"/>
  <c r="BF280" i="27"/>
  <c r="AV280" i="27"/>
  <c r="BB283" i="27"/>
  <c r="BG283" i="27"/>
  <c r="AW283" i="27"/>
  <c r="BC286" i="27"/>
  <c r="BH286" i="27"/>
  <c r="AX286" i="27"/>
  <c r="BD289" i="27"/>
  <c r="AY289" i="27"/>
  <c r="BE292" i="27"/>
  <c r="AZ292" i="27"/>
  <c r="BA296" i="27"/>
  <c r="BF296" i="27"/>
  <c r="AV296" i="27"/>
  <c r="BB299" i="27"/>
  <c r="BG299" i="27"/>
  <c r="AW299" i="27"/>
  <c r="BH302" i="27"/>
  <c r="BC302" i="27"/>
  <c r="AX302" i="27"/>
  <c r="BD305" i="27"/>
  <c r="AY305" i="27"/>
  <c r="BE308" i="27"/>
  <c r="AZ308" i="27"/>
  <c r="BA312" i="27"/>
  <c r="BF312" i="27"/>
  <c r="AV312" i="27"/>
  <c r="BB315" i="27"/>
  <c r="BG315" i="27"/>
  <c r="AW315" i="27"/>
  <c r="BC318" i="27"/>
  <c r="BH318" i="27"/>
  <c r="AX318" i="27"/>
  <c r="BD321" i="27"/>
  <c r="AY321" i="27"/>
  <c r="BE324" i="27"/>
  <c r="AZ324" i="27"/>
  <c r="BA328" i="27"/>
  <c r="BF328" i="27"/>
  <c r="AV328" i="27"/>
  <c r="BB331" i="27"/>
  <c r="BG331" i="27"/>
  <c r="AW331" i="27"/>
  <c r="BC334" i="27"/>
  <c r="BH334" i="27"/>
  <c r="AX334" i="27"/>
  <c r="BD337" i="27"/>
  <c r="AY337" i="27"/>
  <c r="BE340" i="27"/>
  <c r="AZ340" i="27"/>
  <c r="BA344" i="27"/>
  <c r="BF344" i="27"/>
  <c r="AV344" i="27"/>
  <c r="BB347" i="27"/>
  <c r="BG347" i="27"/>
  <c r="AW347" i="27"/>
  <c r="BC350" i="27"/>
  <c r="BH350" i="27"/>
  <c r="AX350" i="27"/>
  <c r="BD353" i="27"/>
  <c r="AY353" i="27"/>
  <c r="BE356" i="27"/>
  <c r="AZ356" i="27"/>
  <c r="BA360" i="27"/>
  <c r="BF360" i="27"/>
  <c r="AV360" i="27"/>
  <c r="BB363" i="27"/>
  <c r="BG363" i="27"/>
  <c r="AW363" i="27"/>
  <c r="BG86" i="27"/>
  <c r="BB86" i="27"/>
  <c r="AW86" i="27"/>
  <c r="BD44" i="27"/>
  <c r="AY44" i="27"/>
  <c r="BD106" i="27"/>
  <c r="AY106" i="27"/>
  <c r="BH78" i="27"/>
  <c r="BC78" i="27"/>
  <c r="AX78" i="27"/>
  <c r="BG55" i="27"/>
  <c r="BB55" i="27"/>
  <c r="AW55" i="27"/>
  <c r="BF36" i="27"/>
  <c r="BA36" i="27"/>
  <c r="AV36" i="27"/>
  <c r="BE18" i="27"/>
  <c r="AZ18" i="27"/>
  <c r="BH10" i="27"/>
  <c r="BC10" i="27"/>
  <c r="AX10" i="27"/>
  <c r="BH11" i="27"/>
  <c r="BC11" i="27"/>
  <c r="AX11" i="27"/>
  <c r="BD17" i="27"/>
  <c r="AY17" i="27"/>
  <c r="BD21" i="27"/>
  <c r="AY21" i="27"/>
  <c r="BF25" i="27"/>
  <c r="BA25" i="27"/>
  <c r="AV25" i="27"/>
  <c r="BF39" i="27"/>
  <c r="BA39" i="27"/>
  <c r="AV39" i="27"/>
  <c r="BH51" i="27"/>
  <c r="AX51" i="27"/>
  <c r="BC51" i="27"/>
  <c r="BG58" i="27"/>
  <c r="BB58" i="27"/>
  <c r="AW58" i="27"/>
  <c r="BD75" i="27"/>
  <c r="AY75" i="27"/>
  <c r="BD82" i="27"/>
  <c r="AY82" i="27"/>
  <c r="BE112" i="27"/>
  <c r="AZ112" i="27"/>
  <c r="BF122" i="27"/>
  <c r="BA122" i="27"/>
  <c r="AV122" i="27"/>
  <c r="BH19" i="27"/>
  <c r="AX19" i="27"/>
  <c r="BC19" i="27"/>
  <c r="AZ9" i="27"/>
  <c r="BE9" i="27"/>
  <c r="AH7" i="23"/>
  <c r="CG12" i="23" s="1"/>
  <c r="BO65" i="27"/>
  <c r="AH6" i="23"/>
  <c r="CF12" i="23" s="1"/>
  <c r="BO35" i="27"/>
  <c r="AH9" i="23"/>
  <c r="CI12" i="23" s="1"/>
  <c r="BO155" i="27"/>
  <c r="AH10" i="23"/>
  <c r="CJ12" i="23" s="1"/>
  <c r="BO215" i="27"/>
  <c r="AH5" i="23"/>
  <c r="BO20" i="27"/>
  <c r="BC4" i="3"/>
  <c r="AH8" i="23"/>
  <c r="CH12" i="23" s="1"/>
  <c r="BO95" i="27"/>
  <c r="BD4" i="3"/>
  <c r="BO292" i="27"/>
  <c r="BA6" i="3"/>
  <c r="BL293" i="27"/>
  <c r="AO11" i="23"/>
  <c r="AP11" i="23"/>
  <c r="AQ11" i="23"/>
  <c r="BP33" i="23"/>
  <c r="AQ5" i="23"/>
  <c r="BP23" i="23"/>
  <c r="BP24" i="23"/>
  <c r="AP5" i="23"/>
  <c r="AO5" i="23"/>
  <c r="BP14" i="23"/>
  <c r="BP15" i="23"/>
  <c r="AO10" i="23"/>
  <c r="AP10" i="23"/>
  <c r="BP41" i="23"/>
  <c r="AQ10" i="23"/>
  <c r="BP32" i="23"/>
  <c r="BP42" i="23"/>
  <c r="BN59" i="23"/>
  <c r="BN17" i="23"/>
  <c r="BN60" i="23"/>
  <c r="BN18" i="23"/>
  <c r="BN50" i="23"/>
  <c r="BN61" i="23"/>
  <c r="BN16" i="23"/>
  <c r="BN51" i="23"/>
  <c r="BN62" i="23"/>
  <c r="BN52" i="23"/>
  <c r="BN63" i="23"/>
  <c r="BN53" i="23"/>
  <c r="BN32" i="23"/>
  <c r="BN41" i="23"/>
  <c r="BN54" i="23"/>
  <c r="BN33" i="23"/>
  <c r="BN42" i="23"/>
  <c r="BN5" i="23"/>
  <c r="BN34" i="23"/>
  <c r="BN43" i="23"/>
  <c r="BN6" i="23"/>
  <c r="BN35" i="23"/>
  <c r="BN44" i="23"/>
  <c r="BN7" i="23"/>
  <c r="BN23" i="23"/>
  <c r="BN36" i="23"/>
  <c r="BN45" i="23"/>
  <c r="BN15" i="23"/>
  <c r="BN8" i="23"/>
  <c r="BN24" i="23"/>
  <c r="BN9" i="23"/>
  <c r="BN25" i="23"/>
  <c r="BN26" i="23"/>
  <c r="BN14" i="23"/>
  <c r="BN27" i="23"/>
  <c r="BP43" i="23"/>
  <c r="AO9" i="23"/>
  <c r="BP34" i="23"/>
  <c r="AO8" i="23"/>
  <c r="BP44" i="23"/>
  <c r="AP9" i="23"/>
  <c r="BP35" i="23"/>
  <c r="AP8" i="23"/>
  <c r="BP45" i="23"/>
  <c r="AQ9" i="23"/>
  <c r="BP36" i="23"/>
  <c r="AQ8" i="23"/>
  <c r="BP25" i="23"/>
  <c r="AO7" i="23"/>
  <c r="BP26" i="23"/>
  <c r="AP7" i="23"/>
  <c r="BP27" i="23"/>
  <c r="AQ7" i="23"/>
  <c r="BP16" i="23"/>
  <c r="AO6" i="23"/>
  <c r="BP17" i="23"/>
  <c r="AP6" i="23"/>
  <c r="BP18" i="23"/>
  <c r="AQ6" i="23"/>
  <c r="BP54" i="23"/>
  <c r="BP63" i="23"/>
  <c r="BP9" i="23"/>
  <c r="AG10" i="23"/>
  <c r="BP53" i="23"/>
  <c r="BP62" i="23"/>
  <c r="BP8" i="23"/>
  <c r="BP52" i="23"/>
  <c r="BP61" i="23"/>
  <c r="BP7" i="23"/>
  <c r="AG6" i="23"/>
  <c r="AG11" i="23"/>
  <c r="AG8" i="23"/>
  <c r="AG9" i="23"/>
  <c r="BP51" i="23"/>
  <c r="BP60" i="23"/>
  <c r="BP6" i="23"/>
  <c r="BP50" i="23"/>
  <c r="BP59" i="23"/>
  <c r="BP5" i="23"/>
  <c r="AG5" i="23"/>
  <c r="AG7" i="23"/>
  <c r="O18" i="2"/>
  <c r="Q18" i="2" s="1"/>
  <c r="P17" i="2"/>
  <c r="R17" i="2" s="1"/>
  <c r="AZ43" i="3"/>
  <c r="R12" i="2"/>
  <c r="AZ83" i="3"/>
  <c r="BB141" i="3"/>
  <c r="BB105" i="3"/>
  <c r="BB136" i="3"/>
  <c r="BB131" i="3"/>
  <c r="BB156" i="3"/>
  <c r="BB126" i="3"/>
  <c r="BB151" i="3"/>
  <c r="BB121" i="3"/>
  <c r="BB162" i="3"/>
  <c r="BB117" i="3"/>
  <c r="BB158" i="3"/>
  <c r="BB112" i="3"/>
  <c r="BB143" i="3"/>
  <c r="BB107" i="3"/>
  <c r="BB138" i="3"/>
  <c r="BB133" i="3"/>
  <c r="BB124" i="3"/>
  <c r="BB149" i="3"/>
  <c r="BB119" i="3"/>
  <c r="BB160" i="3"/>
  <c r="BB114" i="3"/>
  <c r="BB145" i="3"/>
  <c r="BB109" i="3"/>
  <c r="BB140" i="3"/>
  <c r="BB130" i="3"/>
  <c r="BB155" i="3"/>
  <c r="BB125" i="3"/>
  <c r="BB150" i="3"/>
  <c r="BB129" i="3"/>
  <c r="BB115" i="3"/>
  <c r="BB128" i="3"/>
  <c r="BB153" i="3"/>
  <c r="BB123" i="3"/>
  <c r="BB148" i="3"/>
  <c r="BB146" i="3"/>
  <c r="BB110" i="3"/>
  <c r="BB157" i="3"/>
  <c r="BB142" i="3"/>
  <c r="BB106" i="3"/>
  <c r="BB137" i="3"/>
  <c r="BB132" i="3"/>
  <c r="BB127" i="3"/>
  <c r="BB152" i="3"/>
  <c r="BB104" i="3"/>
  <c r="BB135" i="3"/>
  <c r="BB122" i="3"/>
  <c r="BB163" i="3"/>
  <c r="BB118" i="3"/>
  <c r="BB159" i="3"/>
  <c r="BB113" i="3"/>
  <c r="BB154" i="3"/>
  <c r="BB139" i="3"/>
  <c r="BB111" i="3"/>
  <c r="BB120" i="3"/>
  <c r="BB161" i="3"/>
  <c r="BB147" i="3"/>
  <c r="BB134" i="3"/>
  <c r="BB144" i="3"/>
  <c r="BB108" i="3"/>
  <c r="BB116" i="3"/>
  <c r="BA134" i="3"/>
  <c r="BA129" i="3"/>
  <c r="BA154" i="3"/>
  <c r="BA124" i="3"/>
  <c r="BA149" i="3"/>
  <c r="BA119" i="3"/>
  <c r="BA160" i="3"/>
  <c r="BA114" i="3"/>
  <c r="BA145" i="3"/>
  <c r="BA146" i="3"/>
  <c r="BA110" i="3"/>
  <c r="BA141" i="3"/>
  <c r="BA105" i="3"/>
  <c r="BA136" i="3"/>
  <c r="BA131" i="3"/>
  <c r="BA156" i="3"/>
  <c r="BA126" i="3"/>
  <c r="BA151" i="3"/>
  <c r="BA117" i="3"/>
  <c r="BA158" i="3"/>
  <c r="BA112" i="3"/>
  <c r="BA143" i="3"/>
  <c r="BA107" i="3"/>
  <c r="BA138" i="3"/>
  <c r="BA133" i="3"/>
  <c r="BA163" i="3"/>
  <c r="BA123" i="3"/>
  <c r="BA148" i="3"/>
  <c r="BA118" i="3"/>
  <c r="BA159" i="3"/>
  <c r="BA144" i="3"/>
  <c r="BA108" i="3"/>
  <c r="BA150" i="3"/>
  <c r="BA121" i="3"/>
  <c r="BA162" i="3"/>
  <c r="BA116" i="3"/>
  <c r="BA139" i="3"/>
  <c r="BA122" i="3"/>
  <c r="BA135" i="3"/>
  <c r="BA130" i="3"/>
  <c r="BA155" i="3"/>
  <c r="BA125" i="3"/>
  <c r="BA120" i="3"/>
  <c r="BA161" i="3"/>
  <c r="BA128" i="3"/>
  <c r="BA153" i="3"/>
  <c r="BA115" i="3"/>
  <c r="BA147" i="3"/>
  <c r="BA111" i="3"/>
  <c r="BA142" i="3"/>
  <c r="BA106" i="3"/>
  <c r="BA132" i="3"/>
  <c r="BA157" i="3"/>
  <c r="BA104" i="3"/>
  <c r="BA152" i="3"/>
  <c r="BA140" i="3"/>
  <c r="BA113" i="3"/>
  <c r="BA137" i="3"/>
  <c r="BA109" i="3"/>
  <c r="BA127" i="3"/>
  <c r="BA24" i="3"/>
  <c r="AZ127" i="3"/>
  <c r="AZ152" i="3"/>
  <c r="AZ122" i="3"/>
  <c r="AZ163" i="3"/>
  <c r="AZ117" i="3"/>
  <c r="AZ158" i="3"/>
  <c r="AZ112" i="3"/>
  <c r="AZ143" i="3"/>
  <c r="AZ107" i="3"/>
  <c r="AZ138" i="3"/>
  <c r="AZ139" i="3"/>
  <c r="AZ134" i="3"/>
  <c r="AZ129" i="3"/>
  <c r="AZ154" i="3"/>
  <c r="AZ124" i="3"/>
  <c r="AZ149" i="3"/>
  <c r="AZ119" i="3"/>
  <c r="AZ160" i="3"/>
  <c r="AZ146" i="3"/>
  <c r="AZ110" i="3"/>
  <c r="AZ141" i="3"/>
  <c r="AZ105" i="3"/>
  <c r="AZ136" i="3"/>
  <c r="AZ131" i="3"/>
  <c r="AZ156" i="3"/>
  <c r="AZ116" i="3"/>
  <c r="AZ147" i="3"/>
  <c r="AZ111" i="3"/>
  <c r="AZ142" i="3"/>
  <c r="AZ137" i="3"/>
  <c r="AZ114" i="3"/>
  <c r="AZ145" i="3"/>
  <c r="AZ109" i="3"/>
  <c r="AZ132" i="3"/>
  <c r="AZ157" i="3"/>
  <c r="AZ118" i="3"/>
  <c r="AZ104" i="3"/>
  <c r="AZ128" i="3"/>
  <c r="AZ153" i="3"/>
  <c r="AZ123" i="3"/>
  <c r="AZ148" i="3"/>
  <c r="AZ159" i="3"/>
  <c r="AZ115" i="3"/>
  <c r="AZ113" i="3"/>
  <c r="AZ126" i="3"/>
  <c r="AZ151" i="3"/>
  <c r="AZ121" i="3"/>
  <c r="AZ162" i="3"/>
  <c r="AZ144" i="3"/>
  <c r="AZ108" i="3"/>
  <c r="AZ140" i="3"/>
  <c r="AZ135" i="3"/>
  <c r="AZ125" i="3"/>
  <c r="AZ150" i="3"/>
  <c r="AZ120" i="3"/>
  <c r="AZ106" i="3"/>
  <c r="AZ133" i="3"/>
  <c r="AZ155" i="3"/>
  <c r="AZ161" i="3"/>
  <c r="AZ130" i="3"/>
  <c r="Q13" i="2"/>
  <c r="R13" i="2" s="1"/>
  <c r="BD119" i="3"/>
  <c r="BD160" i="3"/>
  <c r="BD114" i="3"/>
  <c r="BD145" i="3"/>
  <c r="BD109" i="3"/>
  <c r="BD140" i="3"/>
  <c r="BD104" i="3"/>
  <c r="BD135" i="3"/>
  <c r="BD131" i="3"/>
  <c r="BD156" i="3"/>
  <c r="BD126" i="3"/>
  <c r="BD151" i="3"/>
  <c r="BD121" i="3"/>
  <c r="BD162" i="3"/>
  <c r="BD116" i="3"/>
  <c r="BD147" i="3"/>
  <c r="BD111" i="3"/>
  <c r="BD138" i="3"/>
  <c r="BD133" i="3"/>
  <c r="BD128" i="3"/>
  <c r="BD153" i="3"/>
  <c r="BD123" i="3"/>
  <c r="BD148" i="3"/>
  <c r="BD144" i="3"/>
  <c r="BD108" i="3"/>
  <c r="BD139" i="3"/>
  <c r="BD142" i="3"/>
  <c r="BD134" i="3"/>
  <c r="BD129" i="3"/>
  <c r="BD154" i="3"/>
  <c r="BD110" i="3"/>
  <c r="BD106" i="3"/>
  <c r="BD137" i="3"/>
  <c r="BD124" i="3"/>
  <c r="BD149" i="3"/>
  <c r="BD146" i="3"/>
  <c r="BD120" i="3"/>
  <c r="BD161" i="3"/>
  <c r="BD115" i="3"/>
  <c r="BD141" i="3"/>
  <c r="BD105" i="3"/>
  <c r="BD118" i="3"/>
  <c r="BD159" i="3"/>
  <c r="BD113" i="3"/>
  <c r="BD136" i="3"/>
  <c r="BD107" i="3"/>
  <c r="BD132" i="3"/>
  <c r="BD157" i="3"/>
  <c r="BD127" i="3"/>
  <c r="BD152" i="3"/>
  <c r="BD143" i="3"/>
  <c r="BD117" i="3"/>
  <c r="BD158" i="3"/>
  <c r="BD155" i="3"/>
  <c r="BD130" i="3"/>
  <c r="BD163" i="3"/>
  <c r="BD112" i="3"/>
  <c r="BD150" i="3"/>
  <c r="BD122" i="3"/>
  <c r="BD125" i="3"/>
  <c r="BC112" i="3"/>
  <c r="BC143" i="3"/>
  <c r="BC107" i="3"/>
  <c r="BC138" i="3"/>
  <c r="BC133" i="3"/>
  <c r="BC128" i="3"/>
  <c r="BC153" i="3"/>
  <c r="BC124" i="3"/>
  <c r="BC149" i="3"/>
  <c r="BC119" i="3"/>
  <c r="BC160" i="3"/>
  <c r="BC114" i="3"/>
  <c r="BC145" i="3"/>
  <c r="BC109" i="3"/>
  <c r="BC140" i="3"/>
  <c r="BC104" i="3"/>
  <c r="BC131" i="3"/>
  <c r="BC156" i="3"/>
  <c r="BC126" i="3"/>
  <c r="BC151" i="3"/>
  <c r="BC121" i="3"/>
  <c r="BC162" i="3"/>
  <c r="BC116" i="3"/>
  <c r="BC147" i="3"/>
  <c r="BC136" i="3"/>
  <c r="BC137" i="3"/>
  <c r="BC132" i="3"/>
  <c r="BC157" i="3"/>
  <c r="BC127" i="3"/>
  <c r="BC122" i="3"/>
  <c r="BC163" i="3"/>
  <c r="BC139" i="3"/>
  <c r="BC130" i="3"/>
  <c r="BC155" i="3"/>
  <c r="BC117" i="3"/>
  <c r="BC158" i="3"/>
  <c r="BC113" i="3"/>
  <c r="BC144" i="3"/>
  <c r="BC108" i="3"/>
  <c r="BC135" i="3"/>
  <c r="BC134" i="3"/>
  <c r="BC111" i="3"/>
  <c r="BC142" i="3"/>
  <c r="BC106" i="3"/>
  <c r="BC129" i="3"/>
  <c r="BC154" i="3"/>
  <c r="BC125" i="3"/>
  <c r="BC150" i="3"/>
  <c r="BC120" i="3"/>
  <c r="BC161" i="3"/>
  <c r="BC146" i="3"/>
  <c r="BC110" i="3"/>
  <c r="BC148" i="3"/>
  <c r="BC152" i="3"/>
  <c r="BC105" i="3"/>
  <c r="BC115" i="3"/>
  <c r="BC141" i="3"/>
  <c r="BC123" i="3"/>
  <c r="BC159" i="3"/>
  <c r="BC118" i="3"/>
  <c r="AZ46" i="3"/>
  <c r="BA10" i="3"/>
  <c r="BA45" i="3"/>
  <c r="AZ52" i="3"/>
  <c r="BA5" i="3"/>
  <c r="AZ66" i="3"/>
  <c r="BC8" i="3"/>
  <c r="AM182" i="9"/>
  <c r="AM230" i="9"/>
  <c r="AM242" i="9"/>
  <c r="AM254" i="9"/>
  <c r="AM266" i="9"/>
  <c r="AM278" i="9"/>
  <c r="AM302" i="9"/>
  <c r="AM314" i="9"/>
  <c r="AM326" i="9"/>
  <c r="AM350" i="9"/>
  <c r="AM362" i="9"/>
  <c r="AM127" i="9"/>
  <c r="AM139" i="9"/>
  <c r="AM151" i="9"/>
  <c r="AM163" i="9"/>
  <c r="AM175" i="9"/>
  <c r="AM187" i="9"/>
  <c r="AM199" i="9"/>
  <c r="AM211" i="9"/>
  <c r="AM223" i="9"/>
  <c r="AM235" i="9"/>
  <c r="AM247" i="9"/>
  <c r="AM259" i="9"/>
  <c r="AM283" i="9"/>
  <c r="AM295" i="9"/>
  <c r="AM307" i="9"/>
  <c r="AM331" i="9"/>
  <c r="AM144" i="9"/>
  <c r="AM156" i="9"/>
  <c r="AM180" i="9"/>
  <c r="AM192" i="9"/>
  <c r="AM204" i="9"/>
  <c r="AM216" i="9"/>
  <c r="AM228" i="9"/>
  <c r="AM240" i="9"/>
  <c r="AM252" i="9"/>
  <c r="AM264" i="9"/>
  <c r="AM276" i="9"/>
  <c r="AM288" i="9"/>
  <c r="AM300" i="9"/>
  <c r="AM312" i="9"/>
  <c r="AM348" i="9"/>
  <c r="AM125" i="9"/>
  <c r="AM137" i="9"/>
  <c r="AM161" i="9"/>
  <c r="AM173" i="9"/>
  <c r="AM185" i="9"/>
  <c r="AM233" i="9"/>
  <c r="AM245" i="9"/>
  <c r="AM257" i="9"/>
  <c r="AM269" i="9"/>
  <c r="AM281" i="9"/>
  <c r="AM305" i="9"/>
  <c r="AM317" i="9"/>
  <c r="AM329" i="9"/>
  <c r="AM341" i="9"/>
  <c r="AM166" i="9"/>
  <c r="AM178" i="9"/>
  <c r="AM190" i="9"/>
  <c r="AM202" i="9"/>
  <c r="AM214" i="9"/>
  <c r="AM226" i="9"/>
  <c r="AM238" i="9"/>
  <c r="AM250" i="9"/>
  <c r="AM262" i="9"/>
  <c r="AM274" i="9"/>
  <c r="AM298" i="9"/>
  <c r="AM310" i="9"/>
  <c r="AM123" i="9"/>
  <c r="AM135" i="9"/>
  <c r="AM147" i="9"/>
  <c r="AM159" i="9"/>
  <c r="AM171" i="9"/>
  <c r="AM183" i="9"/>
  <c r="AM243" i="9"/>
  <c r="AM255" i="9"/>
  <c r="AM291" i="9"/>
  <c r="AM303" i="9"/>
  <c r="AM315" i="9"/>
  <c r="AM327" i="9"/>
  <c r="AM339" i="9"/>
  <c r="AM351" i="9"/>
  <c r="AM363" i="9"/>
  <c r="AM128" i="9"/>
  <c r="AM140" i="9"/>
  <c r="AM152" i="9"/>
  <c r="AM176" i="9"/>
  <c r="AM188" i="9"/>
  <c r="AM200" i="9"/>
  <c r="AM212" i="9"/>
  <c r="AM224" i="9"/>
  <c r="AM248" i="9"/>
  <c r="AM260" i="9"/>
  <c r="AM272" i="9"/>
  <c r="AM284" i="9"/>
  <c r="AM296" i="9"/>
  <c r="AM320" i="9"/>
  <c r="AM332" i="9"/>
  <c r="AM344" i="9"/>
  <c r="AM169" i="9"/>
  <c r="AM181" i="9"/>
  <c r="AM205" i="9"/>
  <c r="AM229" i="9"/>
  <c r="AM241" i="9"/>
  <c r="AM253" i="9"/>
  <c r="AM265" i="9"/>
  <c r="AM289" i="9"/>
  <c r="AM301" i="9"/>
  <c r="AM313" i="9"/>
  <c r="AM325" i="9"/>
  <c r="AM337" i="9"/>
  <c r="AM126" i="9"/>
  <c r="AM138" i="9"/>
  <c r="AM150" i="9"/>
  <c r="AM174" i="9"/>
  <c r="AM186" i="9"/>
  <c r="AM198" i="9"/>
  <c r="AM210" i="9"/>
  <c r="AM222" i="9"/>
  <c r="AM246" i="9"/>
  <c r="AM270" i="9"/>
  <c r="AM282" i="9"/>
  <c r="AM294" i="9"/>
  <c r="AM318" i="9"/>
  <c r="AM330" i="9"/>
  <c r="AM342" i="9"/>
  <c r="AM167" i="9"/>
  <c r="AM179" i="9"/>
  <c r="AM203" i="9"/>
  <c r="AM215" i="9"/>
  <c r="AM239" i="9"/>
  <c r="AM263" i="9"/>
  <c r="AM299" i="9"/>
  <c r="AM311" i="9"/>
  <c r="AM323" i="9"/>
  <c r="AM124" i="9"/>
  <c r="AM136" i="9"/>
  <c r="AM148" i="9"/>
  <c r="AM160" i="9"/>
  <c r="AM172" i="9"/>
  <c r="AM184" i="9"/>
  <c r="AM196" i="9"/>
  <c r="AM208" i="9"/>
  <c r="AM232" i="9"/>
  <c r="AM244" i="9"/>
  <c r="AM268" i="9"/>
  <c r="AM280" i="9"/>
  <c r="AM292" i="9"/>
  <c r="AM304" i="9"/>
  <c r="AM316" i="9"/>
  <c r="AM340" i="9"/>
  <c r="AM352" i="9"/>
  <c r="AM364" i="9"/>
  <c r="AM129" i="9"/>
  <c r="AM165" i="9"/>
  <c r="AM189" i="9"/>
  <c r="AM201" i="9"/>
  <c r="AM213" i="9"/>
  <c r="AM237" i="9"/>
  <c r="AM261" i="9"/>
  <c r="AM285" i="9"/>
  <c r="AM297" i="9"/>
  <c r="AM309" i="9"/>
  <c r="AM333" i="9"/>
  <c r="AM134" i="9"/>
  <c r="AM146" i="9"/>
  <c r="AM158" i="9"/>
  <c r="AM170" i="9"/>
  <c r="AM194" i="9"/>
  <c r="AM206" i="9"/>
  <c r="AM218" i="9"/>
  <c r="AM290" i="9"/>
  <c r="AM338" i="9"/>
  <c r="AM271" i="9"/>
  <c r="AM319" i="9"/>
  <c r="AM343" i="9"/>
  <c r="AM355" i="9"/>
  <c r="AM132" i="9"/>
  <c r="AM168" i="9"/>
  <c r="AM324" i="9"/>
  <c r="AM336" i="9"/>
  <c r="AM360" i="9"/>
  <c r="AM149" i="9"/>
  <c r="AM197" i="9"/>
  <c r="AM209" i="9"/>
  <c r="AM221" i="9"/>
  <c r="AM293" i="9"/>
  <c r="AM353" i="9"/>
  <c r="AM130" i="9"/>
  <c r="AM142" i="9"/>
  <c r="AM154" i="9"/>
  <c r="AM286" i="9"/>
  <c r="AM322" i="9"/>
  <c r="AM334" i="9"/>
  <c r="AM346" i="9"/>
  <c r="AM358" i="9"/>
  <c r="AM195" i="9"/>
  <c r="AM207" i="9"/>
  <c r="AM219" i="9"/>
  <c r="AM231" i="9"/>
  <c r="AM267" i="9"/>
  <c r="AM279" i="9"/>
  <c r="AM164" i="9"/>
  <c r="AM236" i="9"/>
  <c r="AM308" i="9"/>
  <c r="AM356" i="9"/>
  <c r="AM133" i="9"/>
  <c r="AM145" i="9"/>
  <c r="AM157" i="9"/>
  <c r="AM193" i="9"/>
  <c r="AM217" i="9"/>
  <c r="AM277" i="9"/>
  <c r="AM349" i="9"/>
  <c r="AM361" i="9"/>
  <c r="AM162" i="9"/>
  <c r="AM234" i="9"/>
  <c r="AM258" i="9"/>
  <c r="AM306" i="9"/>
  <c r="AM354" i="9"/>
  <c r="AM131" i="9"/>
  <c r="AM143" i="9"/>
  <c r="AM155" i="9"/>
  <c r="AM191" i="9"/>
  <c r="AM227" i="9"/>
  <c r="AM251" i="9"/>
  <c r="AM275" i="9"/>
  <c r="AM287" i="9"/>
  <c r="AM335" i="9"/>
  <c r="AM347" i="9"/>
  <c r="AM359" i="9"/>
  <c r="AM220" i="9"/>
  <c r="AM256" i="9"/>
  <c r="AM328" i="9"/>
  <c r="AM141" i="9"/>
  <c r="AM153" i="9"/>
  <c r="AM177" i="9"/>
  <c r="AM225" i="9"/>
  <c r="AM249" i="9"/>
  <c r="AM273" i="9"/>
  <c r="AM321" i="9"/>
  <c r="AM345" i="9"/>
  <c r="AM357" i="9"/>
  <c r="AZ68" i="3"/>
  <c r="BA68" i="3"/>
  <c r="AZ50" i="3"/>
  <c r="BA69" i="3"/>
  <c r="AZ32" i="3"/>
  <c r="AZ54" i="3"/>
  <c r="BD45" i="3"/>
  <c r="AZ38" i="3"/>
  <c r="BD79" i="3"/>
  <c r="BD89" i="3"/>
  <c r="AZ30" i="3"/>
  <c r="AZ87" i="3"/>
  <c r="AZ18" i="3"/>
  <c r="AZ86" i="3"/>
  <c r="BC52" i="3"/>
  <c r="BD95" i="3"/>
  <c r="BA77" i="3"/>
  <c r="BA23" i="3"/>
  <c r="BC43" i="3"/>
  <c r="BD14" i="3"/>
  <c r="AZ100" i="3"/>
  <c r="AZ78" i="3"/>
  <c r="BD76" i="3"/>
  <c r="BA12" i="3"/>
  <c r="AZ103" i="3"/>
  <c r="BD22" i="3"/>
  <c r="AZ88" i="3"/>
  <c r="AZ20" i="3"/>
  <c r="R15" i="2"/>
  <c r="BA17" i="3"/>
  <c r="BD59" i="3"/>
  <c r="BA21" i="3"/>
  <c r="AZ90" i="3"/>
  <c r="BD50" i="3"/>
  <c r="AZ11" i="3"/>
  <c r="BD34" i="3"/>
  <c r="AZ35" i="3"/>
  <c r="BD46" i="3"/>
  <c r="AZ81" i="3"/>
  <c r="BA82" i="3"/>
  <c r="BD27" i="3"/>
  <c r="BD70" i="3"/>
  <c r="BA22" i="3"/>
  <c r="BC103" i="3"/>
  <c r="BA46" i="3"/>
  <c r="AZ72" i="3"/>
  <c r="BA37" i="3"/>
  <c r="AZ12" i="3"/>
  <c r="BA25" i="3"/>
  <c r="BA51" i="3"/>
  <c r="BA73" i="3"/>
  <c r="AZ58" i="3"/>
  <c r="AZ55" i="3"/>
  <c r="BD21" i="3"/>
  <c r="AZ39" i="3"/>
  <c r="BA98" i="3"/>
  <c r="BC9" i="3"/>
  <c r="BA27" i="3"/>
  <c r="BB7" i="3"/>
  <c r="BB94" i="3"/>
  <c r="AZ60" i="3"/>
  <c r="BA34" i="3"/>
  <c r="BA59" i="3"/>
  <c r="BA11" i="3"/>
  <c r="AZ89" i="3"/>
  <c r="AZ41" i="3"/>
  <c r="BD35" i="3"/>
  <c r="BA89" i="3"/>
  <c r="AZ95" i="3"/>
  <c r="AZ65" i="3"/>
  <c r="AZ80" i="3"/>
  <c r="BA54" i="3"/>
  <c r="BD62" i="3"/>
  <c r="BD43" i="3"/>
  <c r="BD56" i="3"/>
  <c r="BD58" i="3"/>
  <c r="BC100" i="3"/>
  <c r="BD60" i="3"/>
  <c r="AZ16" i="3"/>
  <c r="BA39" i="3"/>
  <c r="BD100" i="3"/>
  <c r="BD5" i="3"/>
  <c r="BD69" i="3"/>
  <c r="BC28" i="3"/>
  <c r="AZ73" i="3"/>
  <c r="BB86" i="3"/>
  <c r="BC24" i="3"/>
  <c r="BC95" i="3"/>
  <c r="BD18" i="3"/>
  <c r="AZ22" i="3"/>
  <c r="BA83" i="3"/>
  <c r="BA35" i="3"/>
  <c r="BD103" i="3"/>
  <c r="BD51" i="3"/>
  <c r="BA103" i="3"/>
  <c r="BA79" i="3"/>
  <c r="AZ94" i="3"/>
  <c r="AZ26" i="3"/>
  <c r="AZ79" i="3"/>
  <c r="AZ61" i="3"/>
  <c r="BA43" i="3"/>
  <c r="BD49" i="3"/>
  <c r="BA31" i="3"/>
  <c r="AZ56" i="3"/>
  <c r="BA81" i="3"/>
  <c r="BD80" i="3"/>
  <c r="BD102" i="3"/>
  <c r="BC36" i="3"/>
  <c r="AZ24" i="3"/>
  <c r="AZ8" i="3"/>
  <c r="AZ63" i="3"/>
  <c r="AZ51" i="3"/>
  <c r="BD98" i="3"/>
  <c r="BA58" i="3"/>
  <c r="BA28" i="3"/>
  <c r="BD68" i="3"/>
  <c r="BA53" i="3"/>
  <c r="BD40" i="3"/>
  <c r="BD20" i="3"/>
  <c r="BA13" i="3"/>
  <c r="BD28" i="3"/>
  <c r="AZ25" i="3"/>
  <c r="BA38" i="3"/>
  <c r="AZ14" i="3"/>
  <c r="BD33" i="3"/>
  <c r="BD85" i="3"/>
  <c r="BD94" i="3"/>
  <c r="AZ28" i="3"/>
  <c r="BD63" i="3"/>
  <c r="AZ76" i="3"/>
  <c r="AZ62" i="3"/>
  <c r="AZ97" i="3"/>
  <c r="AZ92" i="3"/>
  <c r="BA18" i="3"/>
  <c r="AZ23" i="3"/>
  <c r="BD101" i="3"/>
  <c r="BD78" i="3"/>
  <c r="BA87" i="3"/>
  <c r="BA94" i="3"/>
  <c r="AZ31" i="3"/>
  <c r="BD64" i="3"/>
  <c r="BA97" i="3"/>
  <c r="BD88" i="3"/>
  <c r="BC44" i="3"/>
  <c r="BA44" i="3"/>
  <c r="BC78" i="3"/>
  <c r="BC26" i="3"/>
  <c r="BC18" i="3"/>
  <c r="BC14" i="3"/>
  <c r="AZ49" i="3"/>
  <c r="BB34" i="3"/>
  <c r="AZ40" i="3"/>
  <c r="BA14" i="3"/>
  <c r="BA26" i="3"/>
  <c r="BA76" i="3"/>
  <c r="BA7" i="3"/>
  <c r="BD24" i="3"/>
  <c r="BB40" i="3"/>
  <c r="AZ64" i="3"/>
  <c r="BC64" i="3"/>
  <c r="BD91" i="3"/>
  <c r="BC91" i="3"/>
  <c r="BA91" i="3"/>
  <c r="AZ27" i="3"/>
  <c r="BB80" i="3"/>
  <c r="AZ44" i="3"/>
  <c r="BB28" i="3"/>
  <c r="BB73" i="3"/>
  <c r="BD65" i="3"/>
  <c r="P16" i="2"/>
  <c r="O16" i="2"/>
  <c r="Q16" i="2" s="1"/>
  <c r="BB55" i="3"/>
  <c r="BB18" i="3"/>
  <c r="BB77" i="3"/>
  <c r="BB60" i="3"/>
  <c r="BC73" i="3"/>
  <c r="BA95" i="3"/>
  <c r="BB45" i="3"/>
  <c r="BB25" i="3"/>
  <c r="BB64" i="3"/>
  <c r="BB41" i="3"/>
  <c r="BB32" i="3"/>
  <c r="BB13" i="3"/>
  <c r="BB17" i="3"/>
  <c r="BB37" i="3"/>
  <c r="BB26" i="3"/>
  <c r="BB89" i="3"/>
  <c r="BB79" i="3"/>
  <c r="BB53" i="3"/>
  <c r="BB63" i="3"/>
  <c r="BB91" i="3"/>
  <c r="BB96" i="3"/>
  <c r="BB90" i="3"/>
  <c r="BB81" i="3"/>
  <c r="BB70" i="3"/>
  <c r="BB16" i="3"/>
  <c r="BB66" i="3"/>
  <c r="BB102" i="3"/>
  <c r="BB22" i="3"/>
  <c r="BB27" i="3"/>
  <c r="BB8" i="3"/>
  <c r="BB49" i="3"/>
  <c r="BB76" i="3"/>
  <c r="BB88" i="3"/>
  <c r="BB29" i="3"/>
  <c r="BB11" i="3"/>
  <c r="BB57" i="3"/>
  <c r="BB4" i="3"/>
  <c r="BB69" i="3"/>
  <c r="BB44" i="3"/>
  <c r="BB12" i="3"/>
  <c r="BB51" i="3"/>
  <c r="BB98" i="3"/>
  <c r="BB87" i="3"/>
  <c r="BB9" i="3"/>
  <c r="BB58" i="3"/>
  <c r="BB46" i="3"/>
  <c r="BB95" i="3"/>
  <c r="BB68" i="3"/>
  <c r="BB101" i="3"/>
  <c r="BB52" i="3"/>
  <c r="BB21" i="3"/>
  <c r="BB5" i="3"/>
  <c r="BD31" i="3"/>
  <c r="BB43" i="3"/>
  <c r="BB72" i="3"/>
  <c r="BB36" i="3"/>
  <c r="BB14" i="3"/>
  <c r="BB24" i="3"/>
  <c r="BD67" i="3"/>
  <c r="BC15" i="3"/>
  <c r="BA42" i="3"/>
  <c r="BA90" i="3"/>
  <c r="BB30" i="3"/>
  <c r="BB99" i="3"/>
  <c r="AZ71" i="3"/>
  <c r="BA19" i="3"/>
  <c r="BA36" i="3"/>
  <c r="R14" i="2"/>
  <c r="BA47" i="3"/>
  <c r="R11" i="2"/>
  <c r="BA49" i="3"/>
  <c r="AZ19" i="3"/>
  <c r="BB85" i="3"/>
  <c r="BB19" i="3"/>
  <c r="BD19" i="3"/>
  <c r="AZ15" i="3"/>
  <c r="BB15" i="3"/>
  <c r="AZ9" i="3"/>
  <c r="BA65" i="3"/>
  <c r="BA41" i="3"/>
  <c r="BA100" i="3"/>
  <c r="BA66" i="3"/>
  <c r="BA102" i="3"/>
  <c r="BD17" i="3"/>
  <c r="BD7" i="3"/>
  <c r="BD42" i="3"/>
  <c r="BC62" i="3"/>
  <c r="BC53" i="3"/>
  <c r="BB31" i="3"/>
  <c r="BA8" i="3"/>
  <c r="BA78" i="3"/>
  <c r="BA99" i="3"/>
  <c r="BB83" i="3"/>
  <c r="AZ17" i="3"/>
  <c r="BB78" i="3"/>
  <c r="BA20" i="3"/>
  <c r="BA9" i="3"/>
  <c r="BC99" i="3"/>
  <c r="BB59" i="3"/>
  <c r="BB61" i="3"/>
  <c r="BD71" i="3"/>
  <c r="BA30" i="3"/>
  <c r="BB82" i="3"/>
  <c r="BB65" i="3"/>
  <c r="AZ99" i="3"/>
  <c r="AZ102" i="3"/>
  <c r="BA60" i="3"/>
  <c r="BA57" i="3"/>
  <c r="BD82" i="3"/>
  <c r="BD38" i="3"/>
  <c r="BD87" i="3"/>
  <c r="BD41" i="3"/>
  <c r="BA50" i="3"/>
  <c r="BB6" i="3"/>
  <c r="BB97" i="3"/>
  <c r="BA29" i="3"/>
  <c r="BA55" i="3"/>
  <c r="BD15" i="3"/>
  <c r="BA86" i="3"/>
  <c r="BA63" i="3"/>
  <c r="AZ42" i="3"/>
  <c r="AZ36" i="3"/>
  <c r="BB54" i="3"/>
  <c r="AZ29" i="3"/>
  <c r="AZ10" i="3"/>
  <c r="AZ57" i="3"/>
  <c r="BA61" i="3"/>
  <c r="BB39" i="3"/>
  <c r="BD11" i="3"/>
  <c r="BC20" i="3"/>
  <c r="BC67" i="3"/>
  <c r="BD39" i="3"/>
  <c r="BA70" i="3"/>
  <c r="AZ67" i="3"/>
  <c r="BD9" i="3"/>
  <c r="BD72" i="3"/>
  <c r="AZ82" i="3"/>
  <c r="BD96" i="3"/>
  <c r="BB62" i="3"/>
  <c r="BC69" i="3"/>
  <c r="BC45" i="3"/>
  <c r="BC21" i="3"/>
  <c r="BA96" i="3"/>
  <c r="BA80" i="3"/>
  <c r="BA72" i="3"/>
  <c r="BA64" i="3"/>
  <c r="BA56" i="3"/>
  <c r="BA40" i="3"/>
  <c r="BA32" i="3"/>
  <c r="BA16" i="3"/>
  <c r="BA4" i="3"/>
  <c r="AZ101" i="3"/>
  <c r="AZ85" i="3"/>
  <c r="AZ69" i="3"/>
  <c r="AZ53" i="3"/>
  <c r="AZ45" i="3"/>
  <c r="AZ37" i="3"/>
  <c r="AZ21" i="3"/>
  <c r="AZ13" i="3"/>
  <c r="AZ5" i="3"/>
  <c r="BD32" i="3"/>
  <c r="BB23" i="3"/>
  <c r="BD55" i="3"/>
  <c r="BB42" i="3"/>
  <c r="BB56" i="3"/>
  <c r="BD81" i="3"/>
  <c r="BB67" i="3"/>
  <c r="BB71" i="3"/>
  <c r="BD52" i="3"/>
  <c r="BB38" i="3"/>
  <c r="BD97" i="3"/>
  <c r="BD66" i="3"/>
  <c r="BD36" i="3"/>
  <c r="BD26" i="3"/>
  <c r="BD8" i="3"/>
  <c r="BB100" i="3"/>
  <c r="BB92" i="3"/>
  <c r="BB50" i="3"/>
  <c r="BB20" i="3"/>
  <c r="BB10" i="3"/>
  <c r="BC29" i="3"/>
  <c r="BA88" i="3"/>
  <c r="BB35" i="3"/>
  <c r="BA15" i="3"/>
  <c r="AZ93" i="3"/>
  <c r="BC7" i="3"/>
  <c r="BB74" i="3"/>
  <c r="BC74" i="3"/>
  <c r="BD74" i="3"/>
  <c r="AZ74" i="3"/>
  <c r="AZ34" i="3"/>
  <c r="AZ77" i="3"/>
  <c r="AZ59" i="3"/>
  <c r="BD75" i="3"/>
  <c r="AZ75" i="3"/>
  <c r="BA75" i="3"/>
  <c r="BB75" i="3"/>
  <c r="AZ33" i="3"/>
  <c r="BA33" i="3"/>
  <c r="BB33" i="3"/>
  <c r="BA84" i="3"/>
  <c r="AZ84" i="3"/>
  <c r="BB84" i="3"/>
  <c r="BD84" i="3"/>
  <c r="BC93" i="3"/>
  <c r="BA93" i="3"/>
  <c r="BD93" i="3"/>
  <c r="BB93" i="3"/>
  <c r="BB47" i="3"/>
  <c r="AZ47" i="3"/>
  <c r="BD48" i="3"/>
  <c r="BA48" i="3"/>
  <c r="AZ48" i="3"/>
  <c r="BB48" i="3"/>
  <c r="BA62" i="3"/>
  <c r="BA67" i="3"/>
  <c r="BA71" i="3"/>
  <c r="BD12" i="3"/>
  <c r="BC32" i="3"/>
  <c r="BD37" i="3"/>
  <c r="BD77" i="3"/>
  <c r="BD25" i="3"/>
  <c r="BD57" i="3"/>
  <c r="BD92" i="3"/>
  <c r="AZ6" i="3"/>
  <c r="BA74" i="3"/>
  <c r="AZ91" i="3"/>
  <c r="AZ70" i="3"/>
  <c r="BA92" i="3"/>
  <c r="BC58" i="3"/>
  <c r="BD13" i="3"/>
  <c r="BD44" i="3"/>
  <c r="BC98" i="3"/>
  <c r="R18" i="2"/>
  <c r="BC77" i="3"/>
  <c r="BD99" i="3"/>
  <c r="BC101" i="3"/>
  <c r="BC97" i="3"/>
  <c r="BC75" i="3"/>
  <c r="BC16" i="3"/>
  <c r="BD90" i="3"/>
  <c r="BC90" i="3"/>
  <c r="BC31" i="3"/>
  <c r="BC35" i="3"/>
  <c r="BD73" i="3"/>
  <c r="BC84" i="3"/>
  <c r="BD54" i="3"/>
  <c r="BD47" i="3"/>
  <c r="BC46" i="3"/>
  <c r="U16" i="2"/>
  <c r="U11" i="2"/>
  <c r="U18" i="2"/>
  <c r="U17" i="2"/>
  <c r="U12" i="2"/>
  <c r="U14" i="2"/>
  <c r="U19" i="2"/>
  <c r="U13" i="2"/>
  <c r="U15" i="2"/>
  <c r="BD30" i="3"/>
  <c r="BD16" i="3"/>
  <c r="BD23" i="3"/>
  <c r="BC54" i="3"/>
  <c r="BC55" i="3"/>
  <c r="BC92" i="3"/>
  <c r="BC48" i="3"/>
  <c r="BC33" i="3"/>
  <c r="BC80" i="3"/>
  <c r="BC49" i="3"/>
  <c r="BC71" i="3"/>
  <c r="BC47" i="3"/>
  <c r="BC70" i="3"/>
  <c r="BC79" i="3"/>
  <c r="BC38" i="3"/>
  <c r="BC13" i="3"/>
  <c r="BC66" i="3"/>
  <c r="BC56" i="3"/>
  <c r="BC83" i="3"/>
  <c r="BC39" i="3"/>
  <c r="BC6" i="3"/>
  <c r="BC61" i="3"/>
  <c r="BC12" i="3"/>
  <c r="BC41" i="3"/>
  <c r="BC30" i="3"/>
  <c r="BC27" i="3"/>
  <c r="BC5" i="3"/>
  <c r="BC81" i="3"/>
  <c r="BC37" i="3"/>
  <c r="BC19" i="3"/>
  <c r="BC63" i="3"/>
  <c r="BC87" i="3"/>
  <c r="BC59" i="3"/>
  <c r="BC72" i="3"/>
  <c r="BC10" i="3"/>
  <c r="BC102" i="3"/>
  <c r="BC86" i="3"/>
  <c r="BC40" i="3"/>
  <c r="BC89" i="3"/>
  <c r="BC96" i="3"/>
  <c r="BC57" i="3"/>
  <c r="BC76" i="3"/>
  <c r="BC50" i="3"/>
  <c r="BC42" i="3"/>
  <c r="BC94" i="3"/>
  <c r="BC34" i="3"/>
  <c r="BC60" i="3"/>
  <c r="BC25" i="3"/>
  <c r="BC22" i="3"/>
  <c r="BC88" i="3"/>
  <c r="BC85" i="3"/>
  <c r="BC51" i="3"/>
  <c r="BC11" i="3"/>
  <c r="BC23" i="3"/>
  <c r="BB103" i="3"/>
  <c r="AZ98" i="3"/>
  <c r="O10" i="2"/>
  <c r="Q10" i="2" s="1"/>
  <c r="R10" i="2" s="1"/>
  <c r="P21" i="3"/>
  <c r="Q21" i="3" s="1"/>
  <c r="P19" i="3"/>
  <c r="Q19" i="3" s="1"/>
  <c r="P22" i="3"/>
  <c r="Q22" i="3" s="1"/>
  <c r="P17" i="3"/>
  <c r="Q17" i="3" s="1"/>
  <c r="P18" i="3"/>
  <c r="Q18" i="3" s="1"/>
  <c r="P23" i="3"/>
  <c r="Q23" i="3" s="1"/>
  <c r="P20" i="3"/>
  <c r="Q20" i="3" s="1"/>
  <c r="EL120" i="28" l="1"/>
  <c r="EL145" i="28"/>
  <c r="EO146" i="28"/>
  <c r="BP73" i="27"/>
  <c r="AO75" i="31"/>
  <c r="AA84" i="31"/>
  <c r="AA15" i="31"/>
  <c r="AO95" i="31"/>
  <c r="AO64" i="31"/>
  <c r="AA29" i="31"/>
  <c r="AO87" i="31"/>
  <c r="AA61" i="31"/>
  <c r="AA86" i="31"/>
  <c r="AO76" i="31"/>
  <c r="AA54" i="31"/>
  <c r="AO54" i="31"/>
  <c r="AA14" i="31"/>
  <c r="AO14" i="31"/>
  <c r="AO69" i="31"/>
  <c r="AA69" i="31"/>
  <c r="AO68" i="31"/>
  <c r="AA68" i="31"/>
  <c r="AO13" i="31"/>
  <c r="AA13" i="31"/>
  <c r="AA77" i="31"/>
  <c r="AO77" i="31"/>
  <c r="EG167" i="28"/>
  <c r="AA46" i="31"/>
  <c r="AA41" i="31"/>
  <c r="EO133" i="28"/>
  <c r="AO30" i="31"/>
  <c r="AO38" i="31"/>
  <c r="AA26" i="31"/>
  <c r="AA74" i="31"/>
  <c r="AA45" i="31"/>
  <c r="AO83" i="31"/>
  <c r="AA27" i="31"/>
  <c r="AO27" i="31"/>
  <c r="EP146" i="28"/>
  <c r="EL137" i="28"/>
  <c r="EH141" i="28"/>
  <c r="EL134" i="28"/>
  <c r="AI6" i="27"/>
  <c r="AB6" i="27"/>
  <c r="U6" i="27"/>
  <c r="N6" i="27"/>
  <c r="AP6" i="27"/>
  <c r="EK122" i="28"/>
  <c r="EH136" i="28"/>
  <c r="EK164" i="28"/>
  <c r="EH129" i="28"/>
  <c r="D129" i="30"/>
  <c r="J129" i="30" s="1"/>
  <c r="EH135" i="28"/>
  <c r="EH157" i="28"/>
  <c r="EL165" i="28"/>
  <c r="EP130" i="28"/>
  <c r="EL138" i="28"/>
  <c r="EP119" i="28"/>
  <c r="EH139" i="28"/>
  <c r="EP121" i="28"/>
  <c r="EK156" i="28"/>
  <c r="EH159" i="28"/>
  <c r="EL124" i="28"/>
  <c r="EL122" i="28"/>
  <c r="EH150" i="28"/>
  <c r="EO121" i="28"/>
  <c r="EL158" i="28"/>
  <c r="EK124" i="28"/>
  <c r="EP148" i="28"/>
  <c r="EO128" i="28"/>
  <c r="EH161" i="28"/>
  <c r="EH145" i="28"/>
  <c r="EL167" i="28"/>
  <c r="EL142" i="28"/>
  <c r="EG141" i="28"/>
  <c r="EG158" i="28"/>
  <c r="EL163" i="28"/>
  <c r="EP133" i="28"/>
  <c r="EH119" i="28"/>
  <c r="D145" i="30"/>
  <c r="K145" i="30" s="1"/>
  <c r="EG161" i="28"/>
  <c r="EP151" i="28"/>
  <c r="EK167" i="28"/>
  <c r="EH147" i="28"/>
  <c r="EG150" i="28"/>
  <c r="EG146" i="28"/>
  <c r="EO151" i="28"/>
  <c r="K144" i="30"/>
  <c r="K128" i="30"/>
  <c r="K124" i="30"/>
  <c r="EK154" i="28"/>
  <c r="EH155" i="28"/>
  <c r="EH164" i="28"/>
  <c r="EP142" i="28"/>
  <c r="EL141" i="28"/>
  <c r="EK129" i="28"/>
  <c r="EO152" i="28"/>
  <c r="EH160" i="28"/>
  <c r="EL129" i="28"/>
  <c r="EO160" i="28"/>
  <c r="EP140" i="28"/>
  <c r="EP160" i="28"/>
  <c r="EK134" i="28"/>
  <c r="EL156" i="28"/>
  <c r="EG130" i="28"/>
  <c r="EP126" i="28"/>
  <c r="EG148" i="28"/>
  <c r="EG164" i="28"/>
  <c r="EP157" i="28"/>
  <c r="EL154" i="28"/>
  <c r="EH130" i="28"/>
  <c r="EG151" i="28"/>
  <c r="EH121" i="28"/>
  <c r="D121" i="30"/>
  <c r="K121" i="30" s="1"/>
  <c r="EK146" i="28"/>
  <c r="EH148" i="28"/>
  <c r="EL123" i="28"/>
  <c r="EH128" i="28"/>
  <c r="EH163" i="28"/>
  <c r="EO153" i="28"/>
  <c r="EG143" i="28"/>
  <c r="EF121" i="28"/>
  <c r="EG139" i="28"/>
  <c r="EK127" i="28"/>
  <c r="EP153" i="28"/>
  <c r="EP128" i="28"/>
  <c r="EH167" i="28"/>
  <c r="EL127" i="28"/>
  <c r="EK141" i="28"/>
  <c r="EP161" i="28"/>
  <c r="EH138" i="28"/>
  <c r="J143" i="30"/>
  <c r="J167" i="30"/>
  <c r="J139" i="30"/>
  <c r="EH158" i="28"/>
  <c r="EP118" i="28"/>
  <c r="EG126" i="28"/>
  <c r="EG144" i="28"/>
  <c r="EO118" i="28"/>
  <c r="EK118" i="28"/>
  <c r="J120" i="30"/>
  <c r="J153" i="30"/>
  <c r="J144" i="30"/>
  <c r="EG137" i="28"/>
  <c r="EH122" i="28"/>
  <c r="EP152" i="28"/>
  <c r="J161" i="30"/>
  <c r="EG153" i="28"/>
  <c r="EH146" i="28"/>
  <c r="EL118" i="28"/>
  <c r="EO134" i="28"/>
  <c r="J165" i="30"/>
  <c r="J140" i="30"/>
  <c r="DL160" i="28"/>
  <c r="AM151" i="29"/>
  <c r="BG151" i="29" s="1"/>
  <c r="EL135" i="28"/>
  <c r="EO138" i="28"/>
  <c r="EK126" i="28"/>
  <c r="J164" i="30"/>
  <c r="EP134" i="28"/>
  <c r="J147" i="30"/>
  <c r="EL146" i="28"/>
  <c r="J137" i="30"/>
  <c r="K153" i="30"/>
  <c r="J136" i="30"/>
  <c r="J159" i="30"/>
  <c r="EH149" i="28"/>
  <c r="EL150" i="28"/>
  <c r="EG149" i="28"/>
  <c r="J133" i="30"/>
  <c r="K159" i="30"/>
  <c r="EP138" i="28"/>
  <c r="EL164" i="28"/>
  <c r="EL126" i="28"/>
  <c r="EK148" i="28"/>
  <c r="J127" i="30"/>
  <c r="J123" i="30"/>
  <c r="EL143" i="28"/>
  <c r="EK143" i="28"/>
  <c r="DO145" i="28"/>
  <c r="K136" i="30"/>
  <c r="EL148" i="28"/>
  <c r="EP120" i="28"/>
  <c r="EP143" i="28"/>
  <c r="EH151" i="28"/>
  <c r="EK145" i="28"/>
  <c r="J128" i="30"/>
  <c r="EH144" i="28"/>
  <c r="J149" i="30"/>
  <c r="J124" i="30"/>
  <c r="EO149" i="28"/>
  <c r="EG118" i="28"/>
  <c r="EN163" i="28"/>
  <c r="EJ166" i="28"/>
  <c r="EG122" i="28"/>
  <c r="EL128" i="28"/>
  <c r="EH152" i="28"/>
  <c r="EL151" i="28"/>
  <c r="EG123" i="28"/>
  <c r="EP166" i="28"/>
  <c r="EP162" i="28"/>
  <c r="EP164" i="28"/>
  <c r="EH165" i="28"/>
  <c r="EP139" i="28"/>
  <c r="EH140" i="28"/>
  <c r="EP127" i="28"/>
  <c r="EO136" i="28"/>
  <c r="EH142" i="28"/>
  <c r="EP141" i="28"/>
  <c r="EG131" i="28"/>
  <c r="K127" i="30"/>
  <c r="EP154" i="28"/>
  <c r="EP124" i="28"/>
  <c r="EP147" i="28"/>
  <c r="EJ148" i="28"/>
  <c r="EF167" i="28"/>
  <c r="EL136" i="28"/>
  <c r="EP137" i="28"/>
  <c r="EL166" i="28"/>
  <c r="EG165" i="28"/>
  <c r="EK166" i="28"/>
  <c r="EK125" i="28"/>
  <c r="EO156" i="28"/>
  <c r="EO147" i="28"/>
  <c r="EK138" i="28"/>
  <c r="EP163" i="28"/>
  <c r="EG142" i="28"/>
  <c r="EL125" i="28"/>
  <c r="EP136" i="28"/>
  <c r="EK121" i="28"/>
  <c r="K165" i="30"/>
  <c r="EG140" i="28"/>
  <c r="EG134" i="28"/>
  <c r="EP156" i="28"/>
  <c r="EL121" i="28"/>
  <c r="EG132" i="28"/>
  <c r="EO127" i="28"/>
  <c r="EO141" i="28"/>
  <c r="EO144" i="28"/>
  <c r="EO164" i="28"/>
  <c r="EO163" i="28"/>
  <c r="EO140" i="28"/>
  <c r="EO125" i="28"/>
  <c r="EL161" i="28"/>
  <c r="EA18" i="28"/>
  <c r="E18" i="30" s="1"/>
  <c r="EA34" i="28"/>
  <c r="E34" i="30" s="1"/>
  <c r="EA50" i="28"/>
  <c r="E50" i="30" s="1"/>
  <c r="EG136" i="28"/>
  <c r="EG159" i="28"/>
  <c r="EG160" i="28"/>
  <c r="EN134" i="28"/>
  <c r="EN151" i="28"/>
  <c r="EO137" i="28"/>
  <c r="EP144" i="28"/>
  <c r="EK151" i="28"/>
  <c r="EO120" i="28"/>
  <c r="EP165" i="28"/>
  <c r="EK161" i="28"/>
  <c r="EA65" i="28"/>
  <c r="E65" i="30" s="1"/>
  <c r="EA81" i="28"/>
  <c r="E81" i="30" s="1"/>
  <c r="EA97" i="28"/>
  <c r="E97" i="30" s="1"/>
  <c r="EC16" i="28"/>
  <c r="G16" i="30" s="1"/>
  <c r="EC32" i="28"/>
  <c r="G32" i="30" s="1"/>
  <c r="EC48" i="28"/>
  <c r="G48" i="30" s="1"/>
  <c r="EC65" i="28"/>
  <c r="G65" i="30" s="1"/>
  <c r="EK136" i="28"/>
  <c r="EO166" i="28"/>
  <c r="AL158" i="29"/>
  <c r="BF158" i="29" s="1"/>
  <c r="EF161" i="28"/>
  <c r="K133" i="30"/>
  <c r="EH126" i="28"/>
  <c r="EL140" i="28"/>
  <c r="AM133" i="29"/>
  <c r="BG133" i="29" s="1"/>
  <c r="CZ160" i="28"/>
  <c r="EH166" i="28"/>
  <c r="EG127" i="28"/>
  <c r="EL133" i="28"/>
  <c r="EK133" i="28"/>
  <c r="EP132" i="28"/>
  <c r="EH133" i="28"/>
  <c r="EG162" i="28"/>
  <c r="EO139" i="28"/>
  <c r="EJ156" i="28"/>
  <c r="DB160" i="28"/>
  <c r="EH127" i="28"/>
  <c r="EK157" i="28"/>
  <c r="EL157" i="28"/>
  <c r="EK130" i="28"/>
  <c r="EP129" i="28"/>
  <c r="DZ71" i="28"/>
  <c r="EH71" i="28" s="1"/>
  <c r="EA10" i="28"/>
  <c r="E10" i="30" s="1"/>
  <c r="EA26" i="28"/>
  <c r="E26" i="30" s="1"/>
  <c r="EA42" i="28"/>
  <c r="E42" i="30" s="1"/>
  <c r="EA58" i="28"/>
  <c r="E58" i="30" s="1"/>
  <c r="EA75" i="28"/>
  <c r="E75" i="30" s="1"/>
  <c r="EA91" i="28"/>
  <c r="E91" i="30" s="1"/>
  <c r="EA107" i="28"/>
  <c r="E107" i="30" s="1"/>
  <c r="EC10" i="28"/>
  <c r="G10" i="30" s="1"/>
  <c r="EC26" i="28"/>
  <c r="G26" i="30" s="1"/>
  <c r="EC42" i="28"/>
  <c r="G42" i="30" s="1"/>
  <c r="EC58" i="28"/>
  <c r="G58" i="30" s="1"/>
  <c r="EC75" i="28"/>
  <c r="G75" i="30" s="1"/>
  <c r="EC91" i="28"/>
  <c r="G91" i="30" s="1"/>
  <c r="EC107" i="28"/>
  <c r="G107" i="30" s="1"/>
  <c r="EN140" i="28"/>
  <c r="EL152" i="28"/>
  <c r="EL144" i="28"/>
  <c r="EO158" i="28"/>
  <c r="DZ80" i="28"/>
  <c r="EF80" i="28" s="1"/>
  <c r="DZ112" i="28"/>
  <c r="EF112" i="28" s="1"/>
  <c r="EA68" i="28"/>
  <c r="E68" i="30" s="1"/>
  <c r="EA84" i="28"/>
  <c r="E84" i="30" s="1"/>
  <c r="EA100" i="28"/>
  <c r="E100" i="30" s="1"/>
  <c r="EA116" i="28"/>
  <c r="E116" i="30" s="1"/>
  <c r="EC19" i="28"/>
  <c r="G19" i="30" s="1"/>
  <c r="EC35" i="28"/>
  <c r="G35" i="30" s="1"/>
  <c r="EC51" i="28"/>
  <c r="G51" i="30" s="1"/>
  <c r="EC68" i="28"/>
  <c r="G68" i="30" s="1"/>
  <c r="EC84" i="28"/>
  <c r="G84" i="30" s="1"/>
  <c r="EC100" i="28"/>
  <c r="G100" i="30" s="1"/>
  <c r="EC116" i="28"/>
  <c r="G116" i="30" s="1"/>
  <c r="EK152" i="28"/>
  <c r="EP159" i="28"/>
  <c r="EN156" i="28"/>
  <c r="EN120" i="28"/>
  <c r="EH162" i="28"/>
  <c r="EO135" i="28"/>
  <c r="EA16" i="28"/>
  <c r="E16" i="30" s="1"/>
  <c r="EA32" i="28"/>
  <c r="E32" i="30" s="1"/>
  <c r="EA48" i="28"/>
  <c r="E48" i="30" s="1"/>
  <c r="EA113" i="28"/>
  <c r="E113" i="30" s="1"/>
  <c r="EP158" i="28"/>
  <c r="EP135" i="28"/>
  <c r="EF133" i="28"/>
  <c r="EK131" i="28"/>
  <c r="EP145" i="28"/>
  <c r="EL153" i="28"/>
  <c r="EL139" i="28"/>
  <c r="EO155" i="28"/>
  <c r="EH123" i="28"/>
  <c r="EG157" i="28"/>
  <c r="EG154" i="28"/>
  <c r="EH143" i="28"/>
  <c r="EN122" i="28"/>
  <c r="EF120" i="28"/>
  <c r="EF125" i="28"/>
  <c r="EJ153" i="28"/>
  <c r="EN155" i="28"/>
  <c r="EJ149" i="28"/>
  <c r="EO150" i="28"/>
  <c r="EH156" i="28"/>
  <c r="EP150" i="28"/>
  <c r="EJ159" i="28"/>
  <c r="EO122" i="28"/>
  <c r="EK162" i="28"/>
  <c r="EH120" i="28"/>
  <c r="EL132" i="28"/>
  <c r="EN165" i="28"/>
  <c r="EF137" i="28"/>
  <c r="EO145" i="28"/>
  <c r="EK132" i="28"/>
  <c r="EK139" i="28"/>
  <c r="DZ47" i="28"/>
  <c r="EF47" i="28" s="1"/>
  <c r="DZ96" i="28"/>
  <c r="EG96" i="28" s="1"/>
  <c r="EA19" i="28"/>
  <c r="E19" i="30" s="1"/>
  <c r="EA35" i="28"/>
  <c r="E35" i="30" s="1"/>
  <c r="EA51" i="28"/>
  <c r="E51" i="30" s="1"/>
  <c r="EO123" i="28"/>
  <c r="DZ68" i="28"/>
  <c r="EH68" i="28" s="1"/>
  <c r="DZ100" i="28"/>
  <c r="EH100" i="28" s="1"/>
  <c r="EA23" i="28"/>
  <c r="E23" i="30" s="1"/>
  <c r="EA39" i="28"/>
  <c r="E39" i="30" s="1"/>
  <c r="EA55" i="28"/>
  <c r="E55" i="30" s="1"/>
  <c r="EA72" i="28"/>
  <c r="E72" i="30" s="1"/>
  <c r="EA88" i="28"/>
  <c r="E88" i="30" s="1"/>
  <c r="EA104" i="28"/>
  <c r="E104" i="30" s="1"/>
  <c r="EC15" i="28"/>
  <c r="G15" i="30" s="1"/>
  <c r="EC31" i="28"/>
  <c r="G31" i="30" s="1"/>
  <c r="EC47" i="28"/>
  <c r="G47" i="30" s="1"/>
  <c r="EC64" i="28"/>
  <c r="G64" i="30" s="1"/>
  <c r="EC80" i="28"/>
  <c r="G80" i="30" s="1"/>
  <c r="EC96" i="28"/>
  <c r="G96" i="30" s="1"/>
  <c r="EC112" i="28"/>
  <c r="G112" i="30" s="1"/>
  <c r="EN166" i="28"/>
  <c r="K120" i="30"/>
  <c r="EK155" i="28"/>
  <c r="EH125" i="28"/>
  <c r="EP131" i="28"/>
  <c r="EL149" i="28"/>
  <c r="EF134" i="28"/>
  <c r="EO159" i="28"/>
  <c r="DZ67" i="28"/>
  <c r="D67" i="30" s="1"/>
  <c r="EA22" i="28"/>
  <c r="E22" i="30" s="1"/>
  <c r="EA38" i="28"/>
  <c r="E38" i="30" s="1"/>
  <c r="EA54" i="28"/>
  <c r="E54" i="30" s="1"/>
  <c r="EA71" i="28"/>
  <c r="E71" i="30" s="1"/>
  <c r="EA87" i="28"/>
  <c r="E87" i="30" s="1"/>
  <c r="EA103" i="28"/>
  <c r="E103" i="30" s="1"/>
  <c r="EC14" i="28"/>
  <c r="G14" i="30" s="1"/>
  <c r="EC30" i="28"/>
  <c r="G30" i="30" s="1"/>
  <c r="EC46" i="28"/>
  <c r="G46" i="30" s="1"/>
  <c r="EC63" i="28"/>
  <c r="G63" i="30" s="1"/>
  <c r="EC79" i="28"/>
  <c r="G79" i="30" s="1"/>
  <c r="EC95" i="28"/>
  <c r="G95" i="30" s="1"/>
  <c r="EC111" i="28"/>
  <c r="G111" i="30" s="1"/>
  <c r="EO167" i="28"/>
  <c r="EC81" i="28"/>
  <c r="G81" i="30" s="1"/>
  <c r="EH154" i="28"/>
  <c r="K123" i="30"/>
  <c r="EJ155" i="28"/>
  <c r="EJ131" i="28"/>
  <c r="EK135" i="28"/>
  <c r="EJ135" i="28"/>
  <c r="EF143" i="28"/>
  <c r="EK147" i="28"/>
  <c r="EN159" i="28"/>
  <c r="EP123" i="28"/>
  <c r="EJ127" i="28"/>
  <c r="EN135" i="28"/>
  <c r="EP155" i="28"/>
  <c r="EK149" i="28"/>
  <c r="EL147" i="28"/>
  <c r="EL159" i="28"/>
  <c r="EP167" i="28"/>
  <c r="EN149" i="28"/>
  <c r="EN125" i="28"/>
  <c r="EG120" i="28"/>
  <c r="EK153" i="28"/>
  <c r="EK159" i="28"/>
  <c r="EJ143" i="28"/>
  <c r="EJ124" i="28"/>
  <c r="EN167" i="28"/>
  <c r="EJ125" i="28"/>
  <c r="EO124" i="28"/>
  <c r="EN138" i="28"/>
  <c r="EF159" i="28"/>
  <c r="EJ121" i="28"/>
  <c r="EF164" i="28"/>
  <c r="EJ126" i="28"/>
  <c r="EA117" i="28"/>
  <c r="E117" i="30" s="1"/>
  <c r="EA20" i="28"/>
  <c r="E20" i="30" s="1"/>
  <c r="EA36" i="28"/>
  <c r="E36" i="30" s="1"/>
  <c r="EA52" i="28"/>
  <c r="E52" i="30" s="1"/>
  <c r="EA69" i="28"/>
  <c r="E69" i="30" s="1"/>
  <c r="EA85" i="28"/>
  <c r="E85" i="30" s="1"/>
  <c r="EA101" i="28"/>
  <c r="E101" i="30" s="1"/>
  <c r="EC117" i="28"/>
  <c r="G117" i="30" s="1"/>
  <c r="EC20" i="28"/>
  <c r="G20" i="30" s="1"/>
  <c r="EC36" i="28"/>
  <c r="G36" i="30" s="1"/>
  <c r="EC52" i="28"/>
  <c r="G52" i="30" s="1"/>
  <c r="EC69" i="28"/>
  <c r="G69" i="30" s="1"/>
  <c r="EC85" i="28"/>
  <c r="G85" i="30" s="1"/>
  <c r="EC101" i="28"/>
  <c r="G101" i="30" s="1"/>
  <c r="DZ41" i="28"/>
  <c r="EG41" i="28" s="1"/>
  <c r="EA8" i="28"/>
  <c r="E8" i="30" s="1"/>
  <c r="EA21" i="28"/>
  <c r="E21" i="30" s="1"/>
  <c r="EA37" i="28"/>
  <c r="E37" i="30" s="1"/>
  <c r="EA53" i="28"/>
  <c r="E53" i="30" s="1"/>
  <c r="EA70" i="28"/>
  <c r="E70" i="30" s="1"/>
  <c r="EA86" i="28"/>
  <c r="E86" i="30" s="1"/>
  <c r="EA102" i="28"/>
  <c r="E102" i="30" s="1"/>
  <c r="EC8" i="28"/>
  <c r="G8" i="30" s="1"/>
  <c r="EC21" i="28"/>
  <c r="G21" i="30" s="1"/>
  <c r="EC37" i="28"/>
  <c r="G37" i="30" s="1"/>
  <c r="EC53" i="28"/>
  <c r="G53" i="30" s="1"/>
  <c r="EC70" i="28"/>
  <c r="G70" i="30" s="1"/>
  <c r="EC86" i="28"/>
  <c r="G86" i="30" s="1"/>
  <c r="EC102" i="28"/>
  <c r="G102" i="30" s="1"/>
  <c r="EJ140" i="28"/>
  <c r="EN154" i="28"/>
  <c r="EN124" i="28"/>
  <c r="EJ132" i="28"/>
  <c r="EJ137" i="28"/>
  <c r="EJ133" i="28"/>
  <c r="EN118" i="28"/>
  <c r="DZ19" i="28"/>
  <c r="EH19" i="28" s="1"/>
  <c r="EC97" i="28"/>
  <c r="G97" i="30" s="1"/>
  <c r="EG152" i="28"/>
  <c r="EF136" i="28"/>
  <c r="EJ151" i="28"/>
  <c r="EJ161" i="28"/>
  <c r="EN136" i="28"/>
  <c r="EN127" i="28"/>
  <c r="EA28" i="28"/>
  <c r="E28" i="30" s="1"/>
  <c r="EA44" i="28"/>
  <c r="E44" i="30" s="1"/>
  <c r="EA60" i="28"/>
  <c r="E60" i="30" s="1"/>
  <c r="EA77" i="28"/>
  <c r="E77" i="30" s="1"/>
  <c r="EA93" i="28"/>
  <c r="E93" i="30" s="1"/>
  <c r="EA109" i="28"/>
  <c r="E109" i="30" s="1"/>
  <c r="EC12" i="28"/>
  <c r="G12" i="30" s="1"/>
  <c r="EN150" i="28"/>
  <c r="DZ94" i="28"/>
  <c r="EG94" i="28" s="1"/>
  <c r="EA17" i="28"/>
  <c r="E17" i="30" s="1"/>
  <c r="EA33" i="28"/>
  <c r="E33" i="30" s="1"/>
  <c r="EA49" i="28"/>
  <c r="E49" i="30" s="1"/>
  <c r="EA66" i="28"/>
  <c r="E66" i="30" s="1"/>
  <c r="EA82" i="28"/>
  <c r="E82" i="30" s="1"/>
  <c r="EA98" i="28"/>
  <c r="E98" i="30" s="1"/>
  <c r="EA114" i="28"/>
  <c r="E114" i="30" s="1"/>
  <c r="EC17" i="28"/>
  <c r="G17" i="30" s="1"/>
  <c r="EC33" i="28"/>
  <c r="G33" i="30" s="1"/>
  <c r="EC49" i="28"/>
  <c r="G49" i="30" s="1"/>
  <c r="EC66" i="28"/>
  <c r="G66" i="30" s="1"/>
  <c r="EC82" i="28"/>
  <c r="G82" i="30" s="1"/>
  <c r="EC98" i="28"/>
  <c r="G98" i="30" s="1"/>
  <c r="EC114" i="28"/>
  <c r="G114" i="30" s="1"/>
  <c r="EO154" i="28"/>
  <c r="EO142" i="28"/>
  <c r="EK137" i="28"/>
  <c r="EO143" i="28"/>
  <c r="EJ167" i="28"/>
  <c r="EJ164" i="28"/>
  <c r="EF127" i="28"/>
  <c r="EN152" i="28"/>
  <c r="EN143" i="28"/>
  <c r="EJ147" i="28"/>
  <c r="ED19" i="28"/>
  <c r="H19" i="30" s="1"/>
  <c r="ED35" i="28"/>
  <c r="H35" i="30" s="1"/>
  <c r="ED51" i="28"/>
  <c r="H51" i="30" s="1"/>
  <c r="ED68" i="28"/>
  <c r="H68" i="30" s="1"/>
  <c r="ED84" i="28"/>
  <c r="H84" i="30" s="1"/>
  <c r="ED101" i="28"/>
  <c r="H101" i="30" s="1"/>
  <c r="EB117" i="28"/>
  <c r="F117" i="30" s="1"/>
  <c r="EB21" i="28"/>
  <c r="F21" i="30" s="1"/>
  <c r="EB38" i="28"/>
  <c r="F38" i="30" s="1"/>
  <c r="EB54" i="28"/>
  <c r="F54" i="30" s="1"/>
  <c r="EB71" i="28"/>
  <c r="F71" i="30" s="1"/>
  <c r="EB87" i="28"/>
  <c r="F87" i="30" s="1"/>
  <c r="EB103" i="28"/>
  <c r="F103" i="30" s="1"/>
  <c r="DZ8" i="28"/>
  <c r="D8" i="30" s="1"/>
  <c r="DZ21" i="28"/>
  <c r="EG21" i="28" s="1"/>
  <c r="DZ37" i="28"/>
  <c r="D37" i="30" s="1"/>
  <c r="DZ53" i="28"/>
  <c r="D53" i="30" s="1"/>
  <c r="DZ70" i="28"/>
  <c r="D70" i="30" s="1"/>
  <c r="DZ86" i="28"/>
  <c r="D86" i="30" s="1"/>
  <c r="DZ102" i="28"/>
  <c r="D102" i="30" s="1"/>
  <c r="EA9" i="28"/>
  <c r="E9" i="30" s="1"/>
  <c r="EA25" i="28"/>
  <c r="E25" i="30" s="1"/>
  <c r="EA41" i="28"/>
  <c r="E41" i="30" s="1"/>
  <c r="EA57" i="28"/>
  <c r="E57" i="30" s="1"/>
  <c r="EA74" i="28"/>
  <c r="E74" i="30" s="1"/>
  <c r="EA90" i="28"/>
  <c r="E90" i="30" s="1"/>
  <c r="EA106" i="28"/>
  <c r="E106" i="30" s="1"/>
  <c r="EC9" i="28"/>
  <c r="G9" i="30" s="1"/>
  <c r="EC25" i="28"/>
  <c r="G25" i="30" s="1"/>
  <c r="EC41" i="28"/>
  <c r="G41" i="30" s="1"/>
  <c r="EC57" i="28"/>
  <c r="G57" i="30" s="1"/>
  <c r="EC74" i="28"/>
  <c r="G74" i="30" s="1"/>
  <c r="EC90" i="28"/>
  <c r="G90" i="30" s="1"/>
  <c r="EC106" i="28"/>
  <c r="G106" i="30" s="1"/>
  <c r="EK144" i="28"/>
  <c r="EK158" i="28"/>
  <c r="ED13" i="28"/>
  <c r="H13" i="30" s="1"/>
  <c r="ED29" i="28"/>
  <c r="H29" i="30" s="1"/>
  <c r="ED45" i="28"/>
  <c r="H45" i="30" s="1"/>
  <c r="ED61" i="28"/>
  <c r="H61" i="30" s="1"/>
  <c r="ED78" i="28"/>
  <c r="H78" i="30" s="1"/>
  <c r="ED95" i="28"/>
  <c r="H95" i="30" s="1"/>
  <c r="ED111" i="28"/>
  <c r="H111" i="30" s="1"/>
  <c r="EB15" i="28"/>
  <c r="F15" i="30" s="1"/>
  <c r="EB31" i="28"/>
  <c r="F31" i="30" s="1"/>
  <c r="EB48" i="28"/>
  <c r="F48" i="30" s="1"/>
  <c r="EB65" i="28"/>
  <c r="F65" i="30" s="1"/>
  <c r="EB81" i="28"/>
  <c r="F81" i="30" s="1"/>
  <c r="EB97" i="28"/>
  <c r="F97" i="30" s="1"/>
  <c r="EB113" i="28"/>
  <c r="F113" i="30" s="1"/>
  <c r="DZ23" i="28"/>
  <c r="D23" i="30" s="1"/>
  <c r="DZ39" i="28"/>
  <c r="D39" i="30" s="1"/>
  <c r="DZ55" i="28"/>
  <c r="D55" i="30" s="1"/>
  <c r="DZ72" i="28"/>
  <c r="EF72" i="28" s="1"/>
  <c r="DZ88" i="28"/>
  <c r="EH88" i="28" s="1"/>
  <c r="DZ104" i="28"/>
  <c r="D104" i="30" s="1"/>
  <c r="EA11" i="28"/>
  <c r="E11" i="30" s="1"/>
  <c r="EA27" i="28"/>
  <c r="E27" i="30" s="1"/>
  <c r="EA43" i="28"/>
  <c r="E43" i="30" s="1"/>
  <c r="EA59" i="28"/>
  <c r="E59" i="30" s="1"/>
  <c r="EA76" i="28"/>
  <c r="E76" i="30" s="1"/>
  <c r="EA92" i="28"/>
  <c r="E92" i="30" s="1"/>
  <c r="EA108" i="28"/>
  <c r="E108" i="30" s="1"/>
  <c r="EC11" i="28"/>
  <c r="G11" i="30" s="1"/>
  <c r="EC27" i="28"/>
  <c r="G27" i="30" s="1"/>
  <c r="EC43" i="28"/>
  <c r="G43" i="30" s="1"/>
  <c r="EC59" i="28"/>
  <c r="G59" i="30" s="1"/>
  <c r="EC76" i="28"/>
  <c r="G76" i="30" s="1"/>
  <c r="EC92" i="28"/>
  <c r="G92" i="30" s="1"/>
  <c r="EC108" i="28"/>
  <c r="G108" i="30" s="1"/>
  <c r="D157" i="30"/>
  <c r="D141" i="30"/>
  <c r="D125" i="30"/>
  <c r="ED14" i="28"/>
  <c r="H14" i="30" s="1"/>
  <c r="ED30" i="28"/>
  <c r="H30" i="30" s="1"/>
  <c r="ED46" i="28"/>
  <c r="H46" i="30" s="1"/>
  <c r="ED63" i="28"/>
  <c r="H63" i="30" s="1"/>
  <c r="ED79" i="28"/>
  <c r="H79" i="30" s="1"/>
  <c r="ED96" i="28"/>
  <c r="H96" i="30" s="1"/>
  <c r="ED112" i="28"/>
  <c r="H112" i="30" s="1"/>
  <c r="EB16" i="28"/>
  <c r="F16" i="30" s="1"/>
  <c r="EB32" i="28"/>
  <c r="F32" i="30" s="1"/>
  <c r="EB49" i="28"/>
  <c r="F49" i="30" s="1"/>
  <c r="EB66" i="28"/>
  <c r="F66" i="30" s="1"/>
  <c r="EB82" i="28"/>
  <c r="F82" i="30" s="1"/>
  <c r="EB98" i="28"/>
  <c r="F98" i="30" s="1"/>
  <c r="EB114" i="28"/>
  <c r="F114" i="30" s="1"/>
  <c r="DZ16" i="28"/>
  <c r="D16" i="30" s="1"/>
  <c r="DZ32" i="28"/>
  <c r="D32" i="30" s="1"/>
  <c r="DZ48" i="28"/>
  <c r="EG48" i="28" s="1"/>
  <c r="DZ65" i="28"/>
  <c r="D65" i="30" s="1"/>
  <c r="DZ81" i="28"/>
  <c r="D81" i="30" s="1"/>
  <c r="DZ97" i="28"/>
  <c r="D97" i="30" s="1"/>
  <c r="DZ113" i="28"/>
  <c r="D113" i="30" s="1"/>
  <c r="EA12" i="28"/>
  <c r="E12" i="30" s="1"/>
  <c r="EC28" i="28"/>
  <c r="G28" i="30" s="1"/>
  <c r="EC44" i="28"/>
  <c r="G44" i="30" s="1"/>
  <c r="EC60" i="28"/>
  <c r="G60" i="30" s="1"/>
  <c r="EC77" i="28"/>
  <c r="G77" i="30" s="1"/>
  <c r="EC93" i="28"/>
  <c r="G93" i="30" s="1"/>
  <c r="EC109" i="28"/>
  <c r="G109" i="30" s="1"/>
  <c r="EO162" i="28"/>
  <c r="EO132" i="28"/>
  <c r="EK150" i="28"/>
  <c r="D158" i="30"/>
  <c r="D142" i="30"/>
  <c r="D126" i="30"/>
  <c r="EG147" i="28"/>
  <c r="EJ154" i="28"/>
  <c r="EJ138" i="28"/>
  <c r="EJ122" i="28"/>
  <c r="EN139" i="28"/>
  <c r="EN123" i="28"/>
  <c r="EN144" i="28"/>
  <c r="EN128" i="28"/>
  <c r="EP149" i="28"/>
  <c r="EJ157" i="28"/>
  <c r="EJ141" i="28"/>
  <c r="ED18" i="28"/>
  <c r="H18" i="30" s="1"/>
  <c r="ED34" i="28"/>
  <c r="H34" i="30" s="1"/>
  <c r="ED50" i="28"/>
  <c r="H50" i="30" s="1"/>
  <c r="ED67" i="28"/>
  <c r="H67" i="30" s="1"/>
  <c r="ED83" i="28"/>
  <c r="H83" i="30" s="1"/>
  <c r="ED100" i="28"/>
  <c r="H100" i="30" s="1"/>
  <c r="ED116" i="28"/>
  <c r="H116" i="30" s="1"/>
  <c r="EB20" i="28"/>
  <c r="F20" i="30" s="1"/>
  <c r="EB37" i="28"/>
  <c r="F37" i="30" s="1"/>
  <c r="EB53" i="28"/>
  <c r="F53" i="30" s="1"/>
  <c r="EB70" i="28"/>
  <c r="F70" i="30" s="1"/>
  <c r="EB86" i="28"/>
  <c r="F86" i="30" s="1"/>
  <c r="EB102" i="28"/>
  <c r="F102" i="30" s="1"/>
  <c r="DZ117" i="28"/>
  <c r="D117" i="30" s="1"/>
  <c r="DZ20" i="28"/>
  <c r="EG20" i="28" s="1"/>
  <c r="DZ36" i="28"/>
  <c r="D36" i="30" s="1"/>
  <c r="DZ52" i="28"/>
  <c r="D52" i="30" s="1"/>
  <c r="DZ69" i="28"/>
  <c r="D69" i="30" s="1"/>
  <c r="DZ85" i="28"/>
  <c r="D85" i="30" s="1"/>
  <c r="DZ101" i="28"/>
  <c r="D101" i="30" s="1"/>
  <c r="EA62" i="28"/>
  <c r="E62" i="30" s="1"/>
  <c r="EA24" i="28"/>
  <c r="E24" i="30" s="1"/>
  <c r="EA40" i="28"/>
  <c r="E40" i="30" s="1"/>
  <c r="EA56" i="28"/>
  <c r="E56" i="30" s="1"/>
  <c r="EA73" i="28"/>
  <c r="E73" i="30" s="1"/>
  <c r="EA89" i="28"/>
  <c r="E89" i="30" s="1"/>
  <c r="EA105" i="28"/>
  <c r="E105" i="30" s="1"/>
  <c r="EC62" i="28"/>
  <c r="G62" i="30" s="1"/>
  <c r="EC24" i="28"/>
  <c r="G24" i="30" s="1"/>
  <c r="EC40" i="28"/>
  <c r="G40" i="30" s="1"/>
  <c r="EC56" i="28"/>
  <c r="G56" i="30" s="1"/>
  <c r="EC73" i="28"/>
  <c r="G73" i="30" s="1"/>
  <c r="EC89" i="28"/>
  <c r="G89" i="30" s="1"/>
  <c r="EC105" i="28"/>
  <c r="G105" i="30" s="1"/>
  <c r="EL160" i="28"/>
  <c r="EO161" i="28"/>
  <c r="EK163" i="28"/>
  <c r="EO131" i="28"/>
  <c r="D152" i="30"/>
  <c r="EN158" i="28"/>
  <c r="EN142" i="28"/>
  <c r="EN126" i="28"/>
  <c r="EO157" i="28"/>
  <c r="EF139" i="28"/>
  <c r="EF123" i="28"/>
  <c r="EK123" i="28"/>
  <c r="EN133" i="28"/>
  <c r="EG128" i="28"/>
  <c r="EG133" i="28"/>
  <c r="EK140" i="28"/>
  <c r="EG135" i="28"/>
  <c r="EN153" i="28"/>
  <c r="EN137" i="28"/>
  <c r="EN121" i="28"/>
  <c r="D162" i="30"/>
  <c r="D146" i="30"/>
  <c r="D130" i="30"/>
  <c r="EN160" i="28"/>
  <c r="ED20" i="28"/>
  <c r="H20" i="30" s="1"/>
  <c r="ED36" i="28"/>
  <c r="H36" i="30" s="1"/>
  <c r="ED52" i="28"/>
  <c r="H52" i="30" s="1"/>
  <c r="ED69" i="28"/>
  <c r="H69" i="30" s="1"/>
  <c r="ED85" i="28"/>
  <c r="H85" i="30" s="1"/>
  <c r="ED102" i="28"/>
  <c r="H102" i="30" s="1"/>
  <c r="EB8" i="28"/>
  <c r="F8" i="30" s="1"/>
  <c r="EB22" i="28"/>
  <c r="F22" i="30" s="1"/>
  <c r="EB39" i="28"/>
  <c r="F39" i="30" s="1"/>
  <c r="EB55" i="28"/>
  <c r="F55" i="30" s="1"/>
  <c r="EB72" i="28"/>
  <c r="F72" i="30" s="1"/>
  <c r="EB88" i="28"/>
  <c r="F88" i="30" s="1"/>
  <c r="EB104" i="28"/>
  <c r="F104" i="30" s="1"/>
  <c r="DZ14" i="28"/>
  <c r="D14" i="30" s="1"/>
  <c r="DZ30" i="28"/>
  <c r="D30" i="30" s="1"/>
  <c r="DZ46" i="28"/>
  <c r="D46" i="30" s="1"/>
  <c r="DZ63" i="28"/>
  <c r="D63" i="30" s="1"/>
  <c r="DZ79" i="28"/>
  <c r="D79" i="30" s="1"/>
  <c r="DZ95" i="28"/>
  <c r="D95" i="30" s="1"/>
  <c r="DZ111" i="28"/>
  <c r="D111" i="30" s="1"/>
  <c r="EA67" i="28"/>
  <c r="E67" i="30" s="1"/>
  <c r="EA83" i="28"/>
  <c r="E83" i="30" s="1"/>
  <c r="EA99" i="28"/>
  <c r="E99" i="30" s="1"/>
  <c r="EA115" i="28"/>
  <c r="E115" i="30" s="1"/>
  <c r="EC18" i="28"/>
  <c r="G18" i="30" s="1"/>
  <c r="EC34" i="28"/>
  <c r="G34" i="30" s="1"/>
  <c r="EC50" i="28"/>
  <c r="G50" i="30" s="1"/>
  <c r="EC67" i="28"/>
  <c r="G67" i="30" s="1"/>
  <c r="EC83" i="28"/>
  <c r="G83" i="30" s="1"/>
  <c r="EC99" i="28"/>
  <c r="G99" i="30" s="1"/>
  <c r="EC115" i="28"/>
  <c r="G115" i="30" s="1"/>
  <c r="EF132" i="28"/>
  <c r="D132" i="30"/>
  <c r="EF155" i="28"/>
  <c r="D155" i="30"/>
  <c r="ED90" i="28"/>
  <c r="H90" i="30" s="1"/>
  <c r="ED24" i="28"/>
  <c r="H24" i="30" s="1"/>
  <c r="ED40" i="28"/>
  <c r="H40" i="30" s="1"/>
  <c r="ED56" i="28"/>
  <c r="H56" i="30" s="1"/>
  <c r="ED73" i="28"/>
  <c r="H73" i="30" s="1"/>
  <c r="ED89" i="28"/>
  <c r="H89" i="30" s="1"/>
  <c r="ED106" i="28"/>
  <c r="H106" i="30" s="1"/>
  <c r="EB10" i="28"/>
  <c r="F10" i="30" s="1"/>
  <c r="EB26" i="28"/>
  <c r="F26" i="30" s="1"/>
  <c r="EB43" i="28"/>
  <c r="F43" i="30" s="1"/>
  <c r="EB59" i="28"/>
  <c r="F59" i="30" s="1"/>
  <c r="EB76" i="28"/>
  <c r="F76" i="30" s="1"/>
  <c r="EB92" i="28"/>
  <c r="F92" i="30" s="1"/>
  <c r="EB108" i="28"/>
  <c r="F108" i="30" s="1"/>
  <c r="DZ10" i="28"/>
  <c r="D10" i="30" s="1"/>
  <c r="DZ26" i="28"/>
  <c r="D26" i="30" s="1"/>
  <c r="DZ42" i="28"/>
  <c r="D42" i="30" s="1"/>
  <c r="DZ58" i="28"/>
  <c r="EG58" i="28" s="1"/>
  <c r="DZ75" i="28"/>
  <c r="EH75" i="28" s="1"/>
  <c r="DZ91" i="28"/>
  <c r="EG91" i="28" s="1"/>
  <c r="DZ107" i="28"/>
  <c r="D107" i="30" s="1"/>
  <c r="EA14" i="28"/>
  <c r="E14" i="30" s="1"/>
  <c r="EA30" i="28"/>
  <c r="E30" i="30" s="1"/>
  <c r="EA46" i="28"/>
  <c r="E46" i="30" s="1"/>
  <c r="EA63" i="28"/>
  <c r="E63" i="30" s="1"/>
  <c r="EA79" i="28"/>
  <c r="E79" i="30" s="1"/>
  <c r="EA95" i="28"/>
  <c r="E95" i="30" s="1"/>
  <c r="EA111" i="28"/>
  <c r="E111" i="30" s="1"/>
  <c r="EC22" i="28"/>
  <c r="G22" i="30" s="1"/>
  <c r="EC38" i="28"/>
  <c r="G38" i="30" s="1"/>
  <c r="EC54" i="28"/>
  <c r="G54" i="30" s="1"/>
  <c r="EC71" i="28"/>
  <c r="G71" i="30" s="1"/>
  <c r="EC87" i="28"/>
  <c r="G87" i="30" s="1"/>
  <c r="EC103" i="28"/>
  <c r="G103" i="30" s="1"/>
  <c r="EN141" i="28"/>
  <c r="EJ152" i="28"/>
  <c r="EJ136" i="28"/>
  <c r="EJ120" i="28"/>
  <c r="ED17" i="28"/>
  <c r="H17" i="30" s="1"/>
  <c r="ED33" i="28"/>
  <c r="H33" i="30" s="1"/>
  <c r="ED49" i="28"/>
  <c r="H49" i="30" s="1"/>
  <c r="ED66" i="28"/>
  <c r="H66" i="30" s="1"/>
  <c r="ED82" i="28"/>
  <c r="H82" i="30" s="1"/>
  <c r="ED99" i="28"/>
  <c r="H99" i="30" s="1"/>
  <c r="ED115" i="28"/>
  <c r="H115" i="30" s="1"/>
  <c r="EB19" i="28"/>
  <c r="F19" i="30" s="1"/>
  <c r="EB36" i="28"/>
  <c r="F36" i="30" s="1"/>
  <c r="EB52" i="28"/>
  <c r="F52" i="30" s="1"/>
  <c r="EB69" i="28"/>
  <c r="F69" i="30" s="1"/>
  <c r="EB85" i="28"/>
  <c r="F85" i="30" s="1"/>
  <c r="EB101" i="28"/>
  <c r="F101" i="30" s="1"/>
  <c r="DZ11" i="28"/>
  <c r="EH11" i="28" s="1"/>
  <c r="DZ27" i="28"/>
  <c r="EH27" i="28" s="1"/>
  <c r="DZ43" i="28"/>
  <c r="EG43" i="28" s="1"/>
  <c r="DZ59" i="28"/>
  <c r="EG59" i="28" s="1"/>
  <c r="DZ76" i="28"/>
  <c r="EH76" i="28" s="1"/>
  <c r="DZ92" i="28"/>
  <c r="D92" i="30" s="1"/>
  <c r="DZ108" i="28"/>
  <c r="D108" i="30" s="1"/>
  <c r="EA15" i="28"/>
  <c r="E15" i="30" s="1"/>
  <c r="EA31" i="28"/>
  <c r="E31" i="30" s="1"/>
  <c r="EA47" i="28"/>
  <c r="E47" i="30" s="1"/>
  <c r="EA64" i="28"/>
  <c r="E64" i="30" s="1"/>
  <c r="EA80" i="28"/>
  <c r="E80" i="30" s="1"/>
  <c r="EA96" i="28"/>
  <c r="E96" i="30" s="1"/>
  <c r="EA112" i="28"/>
  <c r="E112" i="30" s="1"/>
  <c r="EC23" i="28"/>
  <c r="G23" i="30" s="1"/>
  <c r="EC39" i="28"/>
  <c r="G39" i="30" s="1"/>
  <c r="EC55" i="28"/>
  <c r="G55" i="30" s="1"/>
  <c r="EC72" i="28"/>
  <c r="G72" i="30" s="1"/>
  <c r="EC88" i="28"/>
  <c r="G88" i="30" s="1"/>
  <c r="EC104" i="28"/>
  <c r="G104" i="30" s="1"/>
  <c r="EJ118" i="28"/>
  <c r="EF140" i="28"/>
  <c r="EF124" i="28"/>
  <c r="EH137" i="28"/>
  <c r="EP122" i="28"/>
  <c r="EN119" i="28"/>
  <c r="AO125" i="29"/>
  <c r="BI125" i="29" s="1"/>
  <c r="J26" i="29" s="1"/>
  <c r="D118" i="30"/>
  <c r="EK128" i="28"/>
  <c r="EG119" i="28"/>
  <c r="EK142" i="28"/>
  <c r="EF166" i="28"/>
  <c r="D166" i="30"/>
  <c r="D150" i="30"/>
  <c r="D134" i="30"/>
  <c r="EK165" i="28"/>
  <c r="EJ162" i="28"/>
  <c r="EJ146" i="28"/>
  <c r="EJ130" i="28"/>
  <c r="EJ163" i="28"/>
  <c r="D148" i="30"/>
  <c r="EJ139" i="28"/>
  <c r="ED15" i="28"/>
  <c r="H15" i="30" s="1"/>
  <c r="ED31" i="28"/>
  <c r="H31" i="30" s="1"/>
  <c r="ED47" i="28"/>
  <c r="H47" i="30" s="1"/>
  <c r="ED64" i="28"/>
  <c r="H64" i="30" s="1"/>
  <c r="ED80" i="28"/>
  <c r="H80" i="30" s="1"/>
  <c r="ED97" i="28"/>
  <c r="H97" i="30" s="1"/>
  <c r="ED113" i="28"/>
  <c r="H113" i="30" s="1"/>
  <c r="EB17" i="28"/>
  <c r="F17" i="30" s="1"/>
  <c r="EB33" i="28"/>
  <c r="F33" i="30" s="1"/>
  <c r="EB50" i="28"/>
  <c r="F50" i="30" s="1"/>
  <c r="EB67" i="28"/>
  <c r="F67" i="30" s="1"/>
  <c r="EB83" i="28"/>
  <c r="F83" i="30" s="1"/>
  <c r="EB99" i="28"/>
  <c r="F99" i="30" s="1"/>
  <c r="EB115" i="28"/>
  <c r="F115" i="30" s="1"/>
  <c r="DZ17" i="28"/>
  <c r="D17" i="30" s="1"/>
  <c r="DZ33" i="28"/>
  <c r="D33" i="30" s="1"/>
  <c r="DZ49" i="28"/>
  <c r="D49" i="30" s="1"/>
  <c r="DZ66" i="28"/>
  <c r="EH66" i="28" s="1"/>
  <c r="DZ82" i="28"/>
  <c r="D82" i="30" s="1"/>
  <c r="DZ98" i="28"/>
  <c r="EG98" i="28" s="1"/>
  <c r="DZ114" i="28"/>
  <c r="EG114" i="28" s="1"/>
  <c r="EA13" i="28"/>
  <c r="E13" i="30" s="1"/>
  <c r="EA29" i="28"/>
  <c r="E29" i="30" s="1"/>
  <c r="EA45" i="28"/>
  <c r="E45" i="30" s="1"/>
  <c r="EA61" i="28"/>
  <c r="E61" i="30" s="1"/>
  <c r="EA78" i="28"/>
  <c r="E78" i="30" s="1"/>
  <c r="EA94" i="28"/>
  <c r="E94" i="30" s="1"/>
  <c r="EA110" i="28"/>
  <c r="E110" i="30" s="1"/>
  <c r="EC13" i="28"/>
  <c r="G13" i="30" s="1"/>
  <c r="EC29" i="28"/>
  <c r="G29" i="30" s="1"/>
  <c r="EC45" i="28"/>
  <c r="G45" i="30" s="1"/>
  <c r="EC61" i="28"/>
  <c r="G61" i="30" s="1"/>
  <c r="EC78" i="28"/>
  <c r="G78" i="30" s="1"/>
  <c r="EC94" i="28"/>
  <c r="G94" i="30" s="1"/>
  <c r="EC110" i="28"/>
  <c r="G110" i="30" s="1"/>
  <c r="EN157" i="28"/>
  <c r="EN164" i="28"/>
  <c r="EN148" i="28"/>
  <c r="EN132" i="28"/>
  <c r="EF165" i="28"/>
  <c r="EF149" i="28"/>
  <c r="D151" i="30"/>
  <c r="D135" i="30"/>
  <c r="EF156" i="28"/>
  <c r="D156" i="30"/>
  <c r="EL131" i="28"/>
  <c r="ED11" i="28"/>
  <c r="H11" i="30" s="1"/>
  <c r="ED27" i="28"/>
  <c r="H27" i="30" s="1"/>
  <c r="ED43" i="28"/>
  <c r="H43" i="30" s="1"/>
  <c r="ED59" i="28"/>
  <c r="H59" i="30" s="1"/>
  <c r="ED76" i="28"/>
  <c r="H76" i="30" s="1"/>
  <c r="ED93" i="28"/>
  <c r="H93" i="30" s="1"/>
  <c r="ED109" i="28"/>
  <c r="H109" i="30" s="1"/>
  <c r="EB13" i="28"/>
  <c r="F13" i="30" s="1"/>
  <c r="EB29" i="28"/>
  <c r="F29" i="30" s="1"/>
  <c r="EB46" i="28"/>
  <c r="F46" i="30" s="1"/>
  <c r="EB63" i="28"/>
  <c r="F63" i="30" s="1"/>
  <c r="EB79" i="28"/>
  <c r="F79" i="30" s="1"/>
  <c r="EB95" i="28"/>
  <c r="F95" i="30" s="1"/>
  <c r="EB111" i="28"/>
  <c r="F111" i="30" s="1"/>
  <c r="DZ13" i="28"/>
  <c r="D13" i="30" s="1"/>
  <c r="DZ29" i="28"/>
  <c r="D29" i="30" s="1"/>
  <c r="DZ45" i="28"/>
  <c r="D45" i="30" s="1"/>
  <c r="DZ61" i="28"/>
  <c r="D61" i="30" s="1"/>
  <c r="DZ78" i="28"/>
  <c r="D78" i="30" s="1"/>
  <c r="DZ110" i="28"/>
  <c r="EF110" i="28" s="1"/>
  <c r="ED117" i="28"/>
  <c r="H117" i="30" s="1"/>
  <c r="ED21" i="28"/>
  <c r="H21" i="30" s="1"/>
  <c r="ED37" i="28"/>
  <c r="H37" i="30" s="1"/>
  <c r="ED53" i="28"/>
  <c r="H53" i="30" s="1"/>
  <c r="ED70" i="28"/>
  <c r="H70" i="30" s="1"/>
  <c r="ED86" i="28"/>
  <c r="H86" i="30" s="1"/>
  <c r="ED103" i="28"/>
  <c r="H103" i="30" s="1"/>
  <c r="EB62" i="28"/>
  <c r="F62" i="30" s="1"/>
  <c r="EB23" i="28"/>
  <c r="F23" i="30" s="1"/>
  <c r="EB40" i="28"/>
  <c r="F40" i="30" s="1"/>
  <c r="EB56" i="28"/>
  <c r="F56" i="30" s="1"/>
  <c r="EB73" i="28"/>
  <c r="F73" i="30" s="1"/>
  <c r="EB89" i="28"/>
  <c r="F89" i="30" s="1"/>
  <c r="EB105" i="28"/>
  <c r="F105" i="30" s="1"/>
  <c r="DZ15" i="28"/>
  <c r="D15" i="30" s="1"/>
  <c r="DZ31" i="28"/>
  <c r="D31" i="30" s="1"/>
  <c r="DZ64" i="28"/>
  <c r="D64" i="30" s="1"/>
  <c r="D154" i="30"/>
  <c r="D138" i="30"/>
  <c r="D122" i="30"/>
  <c r="ED8" i="28"/>
  <c r="H8" i="30" s="1"/>
  <c r="ED22" i="28"/>
  <c r="H22" i="30" s="1"/>
  <c r="ED38" i="28"/>
  <c r="H38" i="30" s="1"/>
  <c r="ED54" i="28"/>
  <c r="H54" i="30" s="1"/>
  <c r="ED71" i="28"/>
  <c r="H71" i="30" s="1"/>
  <c r="ED87" i="28"/>
  <c r="H87" i="30" s="1"/>
  <c r="ED104" i="28"/>
  <c r="H104" i="30" s="1"/>
  <c r="EB34" i="28"/>
  <c r="F34" i="30" s="1"/>
  <c r="EB24" i="28"/>
  <c r="F24" i="30" s="1"/>
  <c r="EB41" i="28"/>
  <c r="F41" i="30" s="1"/>
  <c r="EB57" i="28"/>
  <c r="F57" i="30" s="1"/>
  <c r="EB74" i="28"/>
  <c r="F74" i="30" s="1"/>
  <c r="EB90" i="28"/>
  <c r="F90" i="30" s="1"/>
  <c r="EB106" i="28"/>
  <c r="F106" i="30" s="1"/>
  <c r="DZ62" i="28"/>
  <c r="D62" i="30" s="1"/>
  <c r="DZ24" i="28"/>
  <c r="D24" i="30" s="1"/>
  <c r="DZ40" i="28"/>
  <c r="D40" i="30" s="1"/>
  <c r="DZ56" i="28"/>
  <c r="EG56" i="28" s="1"/>
  <c r="DZ73" i="28"/>
  <c r="D73" i="30" s="1"/>
  <c r="DZ89" i="28"/>
  <c r="D89" i="30" s="1"/>
  <c r="DZ105" i="28"/>
  <c r="D105" i="30" s="1"/>
  <c r="EP125" i="28"/>
  <c r="ED10" i="28"/>
  <c r="H10" i="30" s="1"/>
  <c r="ED26" i="28"/>
  <c r="H26" i="30" s="1"/>
  <c r="ED42" i="28"/>
  <c r="H42" i="30" s="1"/>
  <c r="ED58" i="28"/>
  <c r="H58" i="30" s="1"/>
  <c r="ED75" i="28"/>
  <c r="H75" i="30" s="1"/>
  <c r="ED92" i="28"/>
  <c r="H92" i="30" s="1"/>
  <c r="ED108" i="28"/>
  <c r="H108" i="30" s="1"/>
  <c r="EB12" i="28"/>
  <c r="F12" i="30" s="1"/>
  <c r="EB28" i="28"/>
  <c r="F28" i="30" s="1"/>
  <c r="EB45" i="28"/>
  <c r="F45" i="30" s="1"/>
  <c r="EB61" i="28"/>
  <c r="F61" i="30" s="1"/>
  <c r="EB78" i="28"/>
  <c r="F78" i="30" s="1"/>
  <c r="EB94" i="28"/>
  <c r="F94" i="30" s="1"/>
  <c r="EB110" i="28"/>
  <c r="F110" i="30" s="1"/>
  <c r="DZ12" i="28"/>
  <c r="EH12" i="28" s="1"/>
  <c r="DZ28" i="28"/>
  <c r="D28" i="30" s="1"/>
  <c r="DZ44" i="28"/>
  <c r="EG44" i="28" s="1"/>
  <c r="DZ60" i="28"/>
  <c r="EH60" i="28" s="1"/>
  <c r="DZ77" i="28"/>
  <c r="D77" i="30" s="1"/>
  <c r="DZ93" i="28"/>
  <c r="EF93" i="28" s="1"/>
  <c r="DZ109" i="28"/>
  <c r="EG109" i="28" s="1"/>
  <c r="EC113" i="28"/>
  <c r="G113" i="30" s="1"/>
  <c r="EK160" i="28"/>
  <c r="EL130" i="28"/>
  <c r="EJ160" i="28"/>
  <c r="EJ144" i="28"/>
  <c r="EJ128" i="28"/>
  <c r="EN161" i="28"/>
  <c r="EN145" i="28"/>
  <c r="EN129" i="28"/>
  <c r="EN147" i="28"/>
  <c r="EN131" i="28"/>
  <c r="EJ158" i="28"/>
  <c r="EJ142" i="28"/>
  <c r="EJ165" i="28"/>
  <c r="EH153" i="28"/>
  <c r="EF153" i="28"/>
  <c r="EJ123" i="28"/>
  <c r="EO130" i="28"/>
  <c r="EO148" i="28"/>
  <c r="EG124" i="28"/>
  <c r="EN162" i="28"/>
  <c r="EN146" i="28"/>
  <c r="EN130" i="28"/>
  <c r="EO119" i="28"/>
  <c r="EF144" i="28"/>
  <c r="EF128" i="28"/>
  <c r="EJ145" i="28"/>
  <c r="EJ129" i="28"/>
  <c r="EJ150" i="28"/>
  <c r="EJ134" i="28"/>
  <c r="EF147" i="28"/>
  <c r="EF131" i="28"/>
  <c r="D131" i="30"/>
  <c r="ED12" i="28"/>
  <c r="H12" i="30" s="1"/>
  <c r="ED28" i="28"/>
  <c r="H28" i="30" s="1"/>
  <c r="ED44" i="28"/>
  <c r="H44" i="30" s="1"/>
  <c r="ED60" i="28"/>
  <c r="H60" i="30" s="1"/>
  <c r="ED77" i="28"/>
  <c r="H77" i="30" s="1"/>
  <c r="ED94" i="28"/>
  <c r="H94" i="30" s="1"/>
  <c r="ED110" i="28"/>
  <c r="H110" i="30" s="1"/>
  <c r="EB14" i="28"/>
  <c r="F14" i="30" s="1"/>
  <c r="EB30" i="28"/>
  <c r="F30" i="30" s="1"/>
  <c r="EB47" i="28"/>
  <c r="F47" i="30" s="1"/>
  <c r="EB64" i="28"/>
  <c r="F64" i="30" s="1"/>
  <c r="EB80" i="28"/>
  <c r="F80" i="30" s="1"/>
  <c r="EB96" i="28"/>
  <c r="F96" i="30" s="1"/>
  <c r="EB112" i="28"/>
  <c r="F112" i="30" s="1"/>
  <c r="DZ22" i="28"/>
  <c r="D22" i="30" s="1"/>
  <c r="DZ38" i="28"/>
  <c r="D38" i="30" s="1"/>
  <c r="DZ54" i="28"/>
  <c r="D54" i="30" s="1"/>
  <c r="DZ87" i="28"/>
  <c r="EF87" i="28" s="1"/>
  <c r="DZ103" i="28"/>
  <c r="EF103" i="28" s="1"/>
  <c r="D119" i="30"/>
  <c r="ED16" i="28"/>
  <c r="H16" i="30" s="1"/>
  <c r="ED32" i="28"/>
  <c r="H32" i="30" s="1"/>
  <c r="ED48" i="28"/>
  <c r="H48" i="30" s="1"/>
  <c r="ED65" i="28"/>
  <c r="H65" i="30" s="1"/>
  <c r="ED81" i="28"/>
  <c r="H81" i="30" s="1"/>
  <c r="ED98" i="28"/>
  <c r="H98" i="30" s="1"/>
  <c r="ED114" i="28"/>
  <c r="H114" i="30" s="1"/>
  <c r="EB18" i="28"/>
  <c r="F18" i="30" s="1"/>
  <c r="EB35" i="28"/>
  <c r="F35" i="30" s="1"/>
  <c r="EB51" i="28"/>
  <c r="F51" i="30" s="1"/>
  <c r="EB68" i="28"/>
  <c r="F68" i="30" s="1"/>
  <c r="EB84" i="28"/>
  <c r="F84" i="30" s="1"/>
  <c r="EB100" i="28"/>
  <c r="F100" i="30" s="1"/>
  <c r="EB116" i="28"/>
  <c r="F116" i="30" s="1"/>
  <c r="DZ18" i="28"/>
  <c r="D18" i="30" s="1"/>
  <c r="DZ34" i="28"/>
  <c r="D34" i="30" s="1"/>
  <c r="DZ50" i="28"/>
  <c r="D50" i="30" s="1"/>
  <c r="DZ83" i="28"/>
  <c r="D83" i="30" s="1"/>
  <c r="DZ99" i="28"/>
  <c r="D99" i="30" s="1"/>
  <c r="DZ115" i="28"/>
  <c r="D115" i="30" s="1"/>
  <c r="ED9" i="28"/>
  <c r="H9" i="30" s="1"/>
  <c r="ED25" i="28"/>
  <c r="H25" i="30" s="1"/>
  <c r="ED41" i="28"/>
  <c r="H41" i="30" s="1"/>
  <c r="ED57" i="28"/>
  <c r="H57" i="30" s="1"/>
  <c r="ED74" i="28"/>
  <c r="H74" i="30" s="1"/>
  <c r="ED91" i="28"/>
  <c r="H91" i="30" s="1"/>
  <c r="ED107" i="28"/>
  <c r="H107" i="30" s="1"/>
  <c r="EB11" i="28"/>
  <c r="F11" i="30" s="1"/>
  <c r="EB27" i="28"/>
  <c r="F27" i="30" s="1"/>
  <c r="EB44" i="28"/>
  <c r="F44" i="30" s="1"/>
  <c r="EB60" i="28"/>
  <c r="F60" i="30" s="1"/>
  <c r="EB77" i="28"/>
  <c r="F77" i="30" s="1"/>
  <c r="EB93" i="28"/>
  <c r="F93" i="30" s="1"/>
  <c r="EB109" i="28"/>
  <c r="F109" i="30" s="1"/>
  <c r="DZ35" i="28"/>
  <c r="D35" i="30" s="1"/>
  <c r="DZ51" i="28"/>
  <c r="EF51" i="28" s="1"/>
  <c r="DZ84" i="28"/>
  <c r="D84" i="30" s="1"/>
  <c r="DZ116" i="28"/>
  <c r="D116" i="30" s="1"/>
  <c r="D160" i="30"/>
  <c r="EO165" i="28"/>
  <c r="EH118" i="28"/>
  <c r="EF163" i="28"/>
  <c r="D163" i="30"/>
  <c r="EL162" i="28"/>
  <c r="EO129" i="28"/>
  <c r="EG138" i="28"/>
  <c r="ED62" i="28"/>
  <c r="H62" i="30" s="1"/>
  <c r="ED23" i="28"/>
  <c r="H23" i="30" s="1"/>
  <c r="ED39" i="28"/>
  <c r="H39" i="30" s="1"/>
  <c r="ED55" i="28"/>
  <c r="H55" i="30" s="1"/>
  <c r="ED72" i="28"/>
  <c r="H72" i="30" s="1"/>
  <c r="ED88" i="28"/>
  <c r="H88" i="30" s="1"/>
  <c r="ED105" i="28"/>
  <c r="H105" i="30" s="1"/>
  <c r="EB9" i="28"/>
  <c r="F9" i="30" s="1"/>
  <c r="EB25" i="28"/>
  <c r="F25" i="30" s="1"/>
  <c r="EB42" i="28"/>
  <c r="F42" i="30" s="1"/>
  <c r="EB58" i="28"/>
  <c r="F58" i="30" s="1"/>
  <c r="EB75" i="28"/>
  <c r="F75" i="30" s="1"/>
  <c r="EB91" i="28"/>
  <c r="F91" i="30" s="1"/>
  <c r="EB107" i="28"/>
  <c r="F107" i="30" s="1"/>
  <c r="DZ9" i="28"/>
  <c r="D9" i="30" s="1"/>
  <c r="DZ25" i="28"/>
  <c r="D25" i="30" s="1"/>
  <c r="DZ57" i="28"/>
  <c r="D57" i="30" s="1"/>
  <c r="DZ74" i="28"/>
  <c r="D74" i="30" s="1"/>
  <c r="DZ90" i="28"/>
  <c r="D90" i="30" s="1"/>
  <c r="DZ106" i="28"/>
  <c r="EH106" i="28" s="1"/>
  <c r="K137" i="30"/>
  <c r="EL155" i="28"/>
  <c r="DO149" i="28"/>
  <c r="AM148" i="29"/>
  <c r="BG148" i="29" s="1"/>
  <c r="AM139" i="29"/>
  <c r="BG139" i="29" s="1"/>
  <c r="AM121" i="29"/>
  <c r="BG121" i="29" s="1"/>
  <c r="DJ151" i="28"/>
  <c r="DP149" i="28"/>
  <c r="AO152" i="29"/>
  <c r="BI152" i="29" s="1"/>
  <c r="DM133" i="28"/>
  <c r="AO155" i="29"/>
  <c r="BI155" i="29" s="1"/>
  <c r="J29" i="29" s="1"/>
  <c r="AP150" i="29"/>
  <c r="BJ150" i="29" s="1"/>
  <c r="AM134" i="29"/>
  <c r="BG134" i="29" s="1"/>
  <c r="DM127" i="28"/>
  <c r="DH152" i="28"/>
  <c r="DJ152" i="28"/>
  <c r="DO125" i="28"/>
  <c r="DI152" i="28"/>
  <c r="AO149" i="29"/>
  <c r="BI149" i="29" s="1"/>
  <c r="DI154" i="28"/>
  <c r="AL122" i="29"/>
  <c r="BF122" i="29" s="1"/>
  <c r="DM167" i="28"/>
  <c r="CZ124" i="28"/>
  <c r="AO157" i="29"/>
  <c r="BI157" i="29" s="1"/>
  <c r="DO165" i="28"/>
  <c r="DA124" i="28"/>
  <c r="DB124" i="28"/>
  <c r="DI160" i="28"/>
  <c r="DH144" i="28"/>
  <c r="DA158" i="28"/>
  <c r="DL158" i="28"/>
  <c r="AM155" i="29"/>
  <c r="BG155" i="29" s="1"/>
  <c r="H29" i="29" s="1"/>
  <c r="DO132" i="28"/>
  <c r="DP144" i="28"/>
  <c r="CZ158" i="28"/>
  <c r="AM159" i="29"/>
  <c r="BG159" i="29" s="1"/>
  <c r="AL156" i="29"/>
  <c r="BF156" i="29" s="1"/>
  <c r="AM117" i="29"/>
  <c r="BG117" i="29" s="1"/>
  <c r="AP142" i="29"/>
  <c r="BJ142" i="29" s="1"/>
  <c r="DI144" i="28"/>
  <c r="DA161" i="28"/>
  <c r="BI123" i="29"/>
  <c r="BN123" i="29"/>
  <c r="DJ140" i="28"/>
  <c r="AM149" i="29"/>
  <c r="BG149" i="29" s="1"/>
  <c r="DO133" i="28"/>
  <c r="DD153" i="28"/>
  <c r="AO139" i="29"/>
  <c r="BI139" i="29" s="1"/>
  <c r="DD124" i="28"/>
  <c r="AM141" i="29"/>
  <c r="BG141" i="29" s="1"/>
  <c r="AM147" i="29"/>
  <c r="BG147" i="29" s="1"/>
  <c r="DI140" i="28"/>
  <c r="AP147" i="29"/>
  <c r="BJ147" i="29" s="1"/>
  <c r="DJ149" i="28"/>
  <c r="AO165" i="29"/>
  <c r="BI165" i="29" s="1"/>
  <c r="J30" i="29" s="1"/>
  <c r="DI149" i="28"/>
  <c r="AM135" i="29"/>
  <c r="DH165" i="28"/>
  <c r="DD143" i="28"/>
  <c r="DH121" i="28"/>
  <c r="AO151" i="29"/>
  <c r="DI128" i="28"/>
  <c r="DI167" i="28"/>
  <c r="DI162" i="28"/>
  <c r="CW13" i="28"/>
  <c r="AO11" i="29" s="1"/>
  <c r="BI11" i="29" s="1"/>
  <c r="CW29" i="28"/>
  <c r="AO27" i="29" s="1"/>
  <c r="BI27" i="29" s="1"/>
  <c r="CW45" i="28"/>
  <c r="DO45" i="28" s="1"/>
  <c r="CW61" i="28"/>
  <c r="DO61" i="28" s="1"/>
  <c r="CT99" i="28"/>
  <c r="DA99" i="28" s="1"/>
  <c r="CU71" i="28"/>
  <c r="DM71" i="28" s="1"/>
  <c r="CU87" i="28"/>
  <c r="DM87" i="28" s="1"/>
  <c r="CU103" i="28"/>
  <c r="DM103" i="28" s="1"/>
  <c r="CW21" i="28"/>
  <c r="AO19" i="29" s="1"/>
  <c r="BI19" i="29" s="1"/>
  <c r="CW37" i="28"/>
  <c r="DO37" i="28" s="1"/>
  <c r="CW53" i="28"/>
  <c r="AO51" i="29" s="1"/>
  <c r="BI51" i="29" s="1"/>
  <c r="CU63" i="28"/>
  <c r="DM63" i="28" s="1"/>
  <c r="CU79" i="28"/>
  <c r="DM79" i="28" s="1"/>
  <c r="CU95" i="28"/>
  <c r="DM95" i="28" s="1"/>
  <c r="CU111" i="28"/>
  <c r="DM111" i="28" s="1"/>
  <c r="DI130" i="28"/>
  <c r="DB163" i="28"/>
  <c r="DD159" i="28"/>
  <c r="DE138" i="28"/>
  <c r="DF125" i="28"/>
  <c r="BN147" i="29"/>
  <c r="AM123" i="29"/>
  <c r="BG123" i="29" s="1"/>
  <c r="DE146" i="28"/>
  <c r="DD148" i="28"/>
  <c r="CZ142" i="28"/>
  <c r="DA142" i="28"/>
  <c r="DF157" i="28"/>
  <c r="CZ148" i="28"/>
  <c r="DJ130" i="28"/>
  <c r="DI148" i="28"/>
  <c r="CW90" i="28"/>
  <c r="DO90" i="28" s="1"/>
  <c r="CW106" i="28"/>
  <c r="DO106" i="28" s="1"/>
  <c r="DF164" i="28"/>
  <c r="DH167" i="28"/>
  <c r="DA123" i="28"/>
  <c r="DF141" i="28"/>
  <c r="DH150" i="28"/>
  <c r="CZ123" i="28"/>
  <c r="DE122" i="28"/>
  <c r="CZ156" i="28"/>
  <c r="DH156" i="28"/>
  <c r="DA148" i="28"/>
  <c r="DH153" i="28"/>
  <c r="AM163" i="29"/>
  <c r="CW114" i="28"/>
  <c r="DO114" i="28" s="1"/>
  <c r="DA140" i="28"/>
  <c r="CZ164" i="28"/>
  <c r="CZ166" i="28"/>
  <c r="BN163" i="29"/>
  <c r="DJ119" i="28"/>
  <c r="DH158" i="28"/>
  <c r="CU26" i="28"/>
  <c r="AM24" i="29" s="1"/>
  <c r="BG24" i="29" s="1"/>
  <c r="CU42" i="28"/>
  <c r="DM42" i="28" s="1"/>
  <c r="CU58" i="28"/>
  <c r="DM58" i="28" s="1"/>
  <c r="CU75" i="28"/>
  <c r="DM75" i="28" s="1"/>
  <c r="CW10" i="28"/>
  <c r="DO10" i="28" s="1"/>
  <c r="CW26" i="28"/>
  <c r="AO24" i="29" s="1"/>
  <c r="BI24" i="29" s="1"/>
  <c r="CW42" i="28"/>
  <c r="DO42" i="28" s="1"/>
  <c r="CW58" i="28"/>
  <c r="DO58" i="28" s="1"/>
  <c r="CW75" i="28"/>
  <c r="DO75" i="28" s="1"/>
  <c r="CW91" i="28"/>
  <c r="DO91" i="28" s="1"/>
  <c r="CW107" i="28"/>
  <c r="AO105" i="29" s="1"/>
  <c r="BI105" i="29" s="1"/>
  <c r="J24" i="29" s="1"/>
  <c r="BL125" i="29"/>
  <c r="DH154" i="28"/>
  <c r="DI164" i="28"/>
  <c r="CZ152" i="28"/>
  <c r="DA149" i="28"/>
  <c r="CZ149" i="28"/>
  <c r="DI119" i="28"/>
  <c r="DH120" i="28"/>
  <c r="CU65" i="28"/>
  <c r="AM63" i="29" s="1"/>
  <c r="BG63" i="29" s="1"/>
  <c r="CU81" i="28"/>
  <c r="AM79" i="29" s="1"/>
  <c r="BG79" i="29" s="1"/>
  <c r="CU97" i="28"/>
  <c r="DM97" i="28" s="1"/>
  <c r="CU113" i="28"/>
  <c r="AM111" i="29" s="1"/>
  <c r="CW16" i="28"/>
  <c r="DO16" i="28" s="1"/>
  <c r="CW32" i="28"/>
  <c r="DO32" i="28" s="1"/>
  <c r="CW48" i="28"/>
  <c r="DO48" i="28" s="1"/>
  <c r="CW65" i="28"/>
  <c r="DO65" i="28" s="1"/>
  <c r="DE151" i="28"/>
  <c r="CT105" i="28"/>
  <c r="CZ105" i="28" s="1"/>
  <c r="CU117" i="28"/>
  <c r="DM117" i="28" s="1"/>
  <c r="CU20" i="28"/>
  <c r="AM18" i="29" s="1"/>
  <c r="BG18" i="29" s="1"/>
  <c r="CU36" i="28"/>
  <c r="AM34" i="29" s="1"/>
  <c r="CU52" i="28"/>
  <c r="AM50" i="29" s="1"/>
  <c r="CU69" i="28"/>
  <c r="DM69" i="28" s="1"/>
  <c r="CU85" i="28"/>
  <c r="DM85" i="28" s="1"/>
  <c r="CU101" i="28"/>
  <c r="DM101" i="28" s="1"/>
  <c r="CW20" i="28"/>
  <c r="DO20" i="28" s="1"/>
  <c r="CW36" i="28"/>
  <c r="DO36" i="28" s="1"/>
  <c r="CW52" i="28"/>
  <c r="DO52" i="28" s="1"/>
  <c r="DD157" i="28"/>
  <c r="CZ154" i="28"/>
  <c r="DD160" i="28"/>
  <c r="DI143" i="28"/>
  <c r="DB132" i="28"/>
  <c r="CU62" i="28"/>
  <c r="DM62" i="28" s="1"/>
  <c r="CU24" i="28"/>
  <c r="DM24" i="28" s="1"/>
  <c r="CU40" i="28"/>
  <c r="DM40" i="28" s="1"/>
  <c r="CU73" i="28"/>
  <c r="DM73" i="28" s="1"/>
  <c r="CU89" i="28"/>
  <c r="AM87" i="29" s="1"/>
  <c r="CU105" i="28"/>
  <c r="DM105" i="28" s="1"/>
  <c r="CW62" i="28"/>
  <c r="DO62" i="28" s="1"/>
  <c r="CW24" i="28"/>
  <c r="DO24" i="28" s="1"/>
  <c r="CW40" i="28"/>
  <c r="AO38" i="29" s="1"/>
  <c r="BI38" i="29" s="1"/>
  <c r="CW56" i="28"/>
  <c r="AO54" i="29" s="1"/>
  <c r="CW73" i="28"/>
  <c r="DO73" i="28" s="1"/>
  <c r="CW89" i="28"/>
  <c r="DO89" i="28" s="1"/>
  <c r="DE132" i="28"/>
  <c r="CU12" i="28"/>
  <c r="DM12" i="28" s="1"/>
  <c r="CU28" i="28"/>
  <c r="AM26" i="29" s="1"/>
  <c r="BG26" i="29" s="1"/>
  <c r="CU44" i="28"/>
  <c r="DM44" i="28" s="1"/>
  <c r="CU60" i="28"/>
  <c r="DM60" i="28" s="1"/>
  <c r="CU77" i="28"/>
  <c r="AM75" i="29" s="1"/>
  <c r="BG75" i="29" s="1"/>
  <c r="H21" i="29" s="1"/>
  <c r="CU93" i="28"/>
  <c r="DM93" i="28" s="1"/>
  <c r="CU109" i="28"/>
  <c r="DM109" i="28" s="1"/>
  <c r="CW12" i="28"/>
  <c r="AO10" i="29" s="1"/>
  <c r="BI10" i="29" s="1"/>
  <c r="CW28" i="28"/>
  <c r="AO26" i="29" s="1"/>
  <c r="BI26" i="29" s="1"/>
  <c r="CW44" i="28"/>
  <c r="AO42" i="29" s="1"/>
  <c r="BI42" i="29" s="1"/>
  <c r="CW60" i="28"/>
  <c r="DO60" i="28" s="1"/>
  <c r="CU72" i="28"/>
  <c r="DM72" i="28" s="1"/>
  <c r="CU88" i="28"/>
  <c r="AM86" i="29" s="1"/>
  <c r="BG86" i="29" s="1"/>
  <c r="CW15" i="28"/>
  <c r="DO15" i="28" s="1"/>
  <c r="CW31" i="28"/>
  <c r="AO29" i="29" s="1"/>
  <c r="BI29" i="29" s="1"/>
  <c r="CW47" i="28"/>
  <c r="DO47" i="28" s="1"/>
  <c r="CW64" i="28"/>
  <c r="DO64" i="28" s="1"/>
  <c r="CW80" i="28"/>
  <c r="DO80" i="28" s="1"/>
  <c r="CW96" i="28"/>
  <c r="DO96" i="28" s="1"/>
  <c r="CW112" i="28"/>
  <c r="AO110" i="29" s="1"/>
  <c r="BI110" i="29" s="1"/>
  <c r="DH136" i="28"/>
  <c r="DH143" i="28"/>
  <c r="DJ120" i="28"/>
  <c r="CZ144" i="28"/>
  <c r="DE162" i="28"/>
  <c r="DD145" i="28"/>
  <c r="DI134" i="28"/>
  <c r="CZ126" i="28"/>
  <c r="DD118" i="28"/>
  <c r="DI146" i="28"/>
  <c r="DH127" i="28"/>
  <c r="DF158" i="28"/>
  <c r="DA139" i="28"/>
  <c r="DA144" i="28"/>
  <c r="CU99" i="28"/>
  <c r="AM97" i="29" s="1"/>
  <c r="BG97" i="29" s="1"/>
  <c r="DE134" i="28"/>
  <c r="CT70" i="28"/>
  <c r="AL68" i="29" s="1"/>
  <c r="CU9" i="28"/>
  <c r="AM7" i="29" s="1"/>
  <c r="CU25" i="28"/>
  <c r="AM23" i="29" s="1"/>
  <c r="BG23" i="29" s="1"/>
  <c r="CU41" i="28"/>
  <c r="AM39" i="29" s="1"/>
  <c r="BG39" i="29" s="1"/>
  <c r="CU57" i="28"/>
  <c r="DM57" i="28" s="1"/>
  <c r="CU74" i="28"/>
  <c r="DM74" i="28" s="1"/>
  <c r="CU90" i="28"/>
  <c r="AM88" i="29" s="1"/>
  <c r="CU106" i="28"/>
  <c r="AM104" i="29" s="1"/>
  <c r="BG104" i="29" s="1"/>
  <c r="CW25" i="28"/>
  <c r="AO23" i="29" s="1"/>
  <c r="CW41" i="28"/>
  <c r="DO41" i="28" s="1"/>
  <c r="CW57" i="28"/>
  <c r="AO55" i="29" s="1"/>
  <c r="BI55" i="29" s="1"/>
  <c r="CW74" i="28"/>
  <c r="AO72" i="29" s="1"/>
  <c r="BI72" i="29" s="1"/>
  <c r="BL165" i="29"/>
  <c r="DE130" i="28"/>
  <c r="DE118" i="28"/>
  <c r="DH157" i="28"/>
  <c r="DD158" i="28"/>
  <c r="DB153" i="28"/>
  <c r="DE150" i="28"/>
  <c r="DA127" i="28"/>
  <c r="BN143" i="29"/>
  <c r="DD164" i="28"/>
  <c r="DD147" i="28"/>
  <c r="DD165" i="28"/>
  <c r="DH148" i="28"/>
  <c r="DD140" i="28"/>
  <c r="DD121" i="28"/>
  <c r="DA122" i="28"/>
  <c r="CT78" i="28"/>
  <c r="DB78" i="28" s="1"/>
  <c r="CU17" i="28"/>
  <c r="DM17" i="28" s="1"/>
  <c r="CU33" i="28"/>
  <c r="DM33" i="28" s="1"/>
  <c r="CU49" i="28"/>
  <c r="DM49" i="28" s="1"/>
  <c r="CU66" i="28"/>
  <c r="AM64" i="29" s="1"/>
  <c r="BG64" i="29" s="1"/>
  <c r="CU82" i="28"/>
  <c r="AM80" i="29" s="1"/>
  <c r="BG80" i="29" s="1"/>
  <c r="CU98" i="28"/>
  <c r="DM98" i="28" s="1"/>
  <c r="CU114" i="28"/>
  <c r="DM114" i="28" s="1"/>
  <c r="CW17" i="28"/>
  <c r="AO15" i="29" s="1"/>
  <c r="BI15" i="29" s="1"/>
  <c r="CW33" i="28"/>
  <c r="AO31" i="29" s="1"/>
  <c r="BI31" i="29" s="1"/>
  <c r="CW49" i="28"/>
  <c r="DO49" i="28" s="1"/>
  <c r="CW66" i="28"/>
  <c r="DO66" i="28" s="1"/>
  <c r="CW82" i="28"/>
  <c r="DO82" i="28" s="1"/>
  <c r="CW98" i="28"/>
  <c r="DO98" i="28" s="1"/>
  <c r="BN131" i="29"/>
  <c r="BN130" i="29"/>
  <c r="DD166" i="28"/>
  <c r="DI150" i="28"/>
  <c r="DB166" i="28"/>
  <c r="CZ136" i="28"/>
  <c r="CX41" i="28"/>
  <c r="DH41" i="28" s="1"/>
  <c r="CX57" i="28"/>
  <c r="DH57" i="28" s="1"/>
  <c r="CU104" i="28"/>
  <c r="DH155" i="28"/>
  <c r="AP137" i="29"/>
  <c r="DP139" i="28"/>
  <c r="DJ139" i="28"/>
  <c r="AP121" i="29"/>
  <c r="DP123" i="28"/>
  <c r="DI123" i="28"/>
  <c r="DJ123" i="28"/>
  <c r="DD163" i="28"/>
  <c r="AN161" i="29"/>
  <c r="DN163" i="28"/>
  <c r="DF163" i="28"/>
  <c r="DP141" i="28"/>
  <c r="AP139" i="29"/>
  <c r="DJ141" i="28"/>
  <c r="DI141" i="28"/>
  <c r="DA121" i="28"/>
  <c r="AL119" i="29"/>
  <c r="DL121" i="28"/>
  <c r="DB121" i="28"/>
  <c r="DP161" i="28"/>
  <c r="AP159" i="29"/>
  <c r="DJ161" i="28"/>
  <c r="DP145" i="28"/>
  <c r="AP143" i="29"/>
  <c r="DI145" i="28"/>
  <c r="DJ145" i="28"/>
  <c r="DL125" i="28"/>
  <c r="AL123" i="29"/>
  <c r="DB125" i="28"/>
  <c r="CX18" i="28"/>
  <c r="DH18" i="28" s="1"/>
  <c r="CX34" i="28"/>
  <c r="DI34" i="28" s="1"/>
  <c r="CX50" i="28"/>
  <c r="DH50" i="28" s="1"/>
  <c r="CX67" i="28"/>
  <c r="DH67" i="28" s="1"/>
  <c r="CX83" i="28"/>
  <c r="DH83" i="28" s="1"/>
  <c r="CV20" i="28"/>
  <c r="DD20" i="28" s="1"/>
  <c r="CV37" i="28"/>
  <c r="DD37" i="28" s="1"/>
  <c r="CV53" i="28"/>
  <c r="DD53" i="28" s="1"/>
  <c r="CV70" i="28"/>
  <c r="DE70" i="28" s="1"/>
  <c r="CV102" i="28"/>
  <c r="DD102" i="28" s="1"/>
  <c r="CT69" i="28"/>
  <c r="CZ69" i="28" s="1"/>
  <c r="CT101" i="28"/>
  <c r="CZ101" i="28" s="1"/>
  <c r="DE163" i="28"/>
  <c r="DE167" i="28"/>
  <c r="AN165" i="29"/>
  <c r="DN167" i="28"/>
  <c r="CX11" i="28"/>
  <c r="DH11" i="28" s="1"/>
  <c r="CX27" i="28"/>
  <c r="DH27" i="28" s="1"/>
  <c r="CX43" i="28"/>
  <c r="DH43" i="28" s="1"/>
  <c r="CX59" i="28"/>
  <c r="DH59" i="28" s="1"/>
  <c r="CX76" i="28"/>
  <c r="DH76" i="28" s="1"/>
  <c r="CX93" i="28"/>
  <c r="DH93" i="28" s="1"/>
  <c r="CX109" i="28"/>
  <c r="DH109" i="28" s="1"/>
  <c r="CV13" i="28"/>
  <c r="DD13" i="28" s="1"/>
  <c r="CV29" i="28"/>
  <c r="DD29" i="28" s="1"/>
  <c r="CV46" i="28"/>
  <c r="DD46" i="28" s="1"/>
  <c r="CV63" i="28"/>
  <c r="DD63" i="28" s="1"/>
  <c r="CV79" i="28"/>
  <c r="DD79" i="28" s="1"/>
  <c r="CV95" i="28"/>
  <c r="DF95" i="28" s="1"/>
  <c r="CV111" i="28"/>
  <c r="DD111" i="28" s="1"/>
  <c r="CT13" i="28"/>
  <c r="CZ13" i="28" s="1"/>
  <c r="DA136" i="28"/>
  <c r="AL134" i="29"/>
  <c r="DL136" i="28"/>
  <c r="DR136" i="28" s="1"/>
  <c r="CX9" i="28"/>
  <c r="DH9" i="28" s="1"/>
  <c r="CX25" i="28"/>
  <c r="DH25" i="28" s="1"/>
  <c r="CX74" i="28"/>
  <c r="DI74" i="28" s="1"/>
  <c r="CX91" i="28"/>
  <c r="DH91" i="28" s="1"/>
  <c r="CX107" i="28"/>
  <c r="DH107" i="28" s="1"/>
  <c r="CV11" i="28"/>
  <c r="DD11" i="28" s="1"/>
  <c r="CV27" i="28"/>
  <c r="DE27" i="28" s="1"/>
  <c r="CV44" i="28"/>
  <c r="DE44" i="28" s="1"/>
  <c r="CV60" i="28"/>
  <c r="DE60" i="28" s="1"/>
  <c r="CV77" i="28"/>
  <c r="DD77" i="28" s="1"/>
  <c r="CV93" i="28"/>
  <c r="DE93" i="28" s="1"/>
  <c r="CV109" i="28"/>
  <c r="DD109" i="28" s="1"/>
  <c r="CT19" i="28"/>
  <c r="CZ19" i="28" s="1"/>
  <c r="CT84" i="28"/>
  <c r="DA84" i="28" s="1"/>
  <c r="AL120" i="29"/>
  <c r="DL122" i="28"/>
  <c r="DB122" i="28"/>
  <c r="AP153" i="29"/>
  <c r="DP155" i="28"/>
  <c r="DJ155" i="28"/>
  <c r="DO139" i="28"/>
  <c r="AO137" i="29"/>
  <c r="DO160" i="28"/>
  <c r="AO158" i="29"/>
  <c r="DM134" i="28"/>
  <c r="AM132" i="29"/>
  <c r="DN162" i="28"/>
  <c r="AN160" i="29"/>
  <c r="DD162" i="28"/>
  <c r="DM122" i="28"/>
  <c r="AM120" i="29"/>
  <c r="DA138" i="28"/>
  <c r="DI161" i="28"/>
  <c r="DJ142" i="28"/>
  <c r="AP140" i="29"/>
  <c r="DP142" i="28"/>
  <c r="DI142" i="28"/>
  <c r="DL135" i="28"/>
  <c r="DR135" i="28" s="1"/>
  <c r="AL133" i="29"/>
  <c r="DB135" i="28"/>
  <c r="AL116" i="29"/>
  <c r="DL118" i="28"/>
  <c r="DB118" i="28"/>
  <c r="AN134" i="29"/>
  <c r="DN136" i="28"/>
  <c r="DF136" i="28"/>
  <c r="DD130" i="28"/>
  <c r="AN128" i="29"/>
  <c r="DN130" i="28"/>
  <c r="DL157" i="28"/>
  <c r="DT157" i="28" s="1"/>
  <c r="AL155" i="29"/>
  <c r="DA157" i="28"/>
  <c r="DB157" i="28"/>
  <c r="DB141" i="28"/>
  <c r="AL139" i="29"/>
  <c r="DL141" i="28"/>
  <c r="DT141" i="28" s="1"/>
  <c r="DM155" i="28"/>
  <c r="AM153" i="29"/>
  <c r="DE161" i="28"/>
  <c r="AN159" i="29"/>
  <c r="DN161" i="28"/>
  <c r="DF161" i="28"/>
  <c r="DP156" i="28"/>
  <c r="AP154" i="29"/>
  <c r="DI156" i="28"/>
  <c r="DH124" i="28"/>
  <c r="CT11" i="28"/>
  <c r="DB11" i="28" s="1"/>
  <c r="CT27" i="28"/>
  <c r="DB27" i="28" s="1"/>
  <c r="CT43" i="28"/>
  <c r="DB43" i="28" s="1"/>
  <c r="CT76" i="28"/>
  <c r="DB76" i="28" s="1"/>
  <c r="CT92" i="28"/>
  <c r="DB92" i="28" s="1"/>
  <c r="CT108" i="28"/>
  <c r="DB108" i="28" s="1"/>
  <c r="CU31" i="28"/>
  <c r="CU47" i="28"/>
  <c r="DL119" i="28"/>
  <c r="DR119" i="28" s="1"/>
  <c r="AL117" i="29"/>
  <c r="DB119" i="28"/>
  <c r="AL149" i="29"/>
  <c r="DL151" i="28"/>
  <c r="DT151" i="28" s="1"/>
  <c r="DB151" i="28"/>
  <c r="DA151" i="28"/>
  <c r="DM132" i="28"/>
  <c r="AM130" i="29"/>
  <c r="DM129" i="28"/>
  <c r="AM127" i="29"/>
  <c r="DP157" i="28"/>
  <c r="AP155" i="29"/>
  <c r="DJ157" i="28"/>
  <c r="DN131" i="28"/>
  <c r="AN129" i="29"/>
  <c r="DF131" i="28"/>
  <c r="DE131" i="28"/>
  <c r="DM154" i="28"/>
  <c r="AM152" i="29"/>
  <c r="DM138" i="28"/>
  <c r="AM136" i="29"/>
  <c r="CX92" i="28"/>
  <c r="DI92" i="28" s="1"/>
  <c r="CV78" i="28"/>
  <c r="DD78" i="28" s="1"/>
  <c r="CV110" i="28"/>
  <c r="DD110" i="28" s="1"/>
  <c r="CU16" i="28"/>
  <c r="CU32" i="28"/>
  <c r="CU48" i="28"/>
  <c r="CW81" i="28"/>
  <c r="CW97" i="28"/>
  <c r="CW113" i="28"/>
  <c r="DO129" i="28"/>
  <c r="AO127" i="29"/>
  <c r="DI139" i="28"/>
  <c r="DO162" i="28"/>
  <c r="AO160" i="29"/>
  <c r="DA141" i="28"/>
  <c r="DP124" i="28"/>
  <c r="DU124" i="28" s="1"/>
  <c r="AP122" i="29"/>
  <c r="DI124" i="28"/>
  <c r="CX17" i="28"/>
  <c r="DH17" i="28" s="1"/>
  <c r="CV19" i="28"/>
  <c r="DD19" i="28" s="1"/>
  <c r="DA43" i="28"/>
  <c r="DO161" i="28"/>
  <c r="AO159" i="29"/>
  <c r="AL136" i="29"/>
  <c r="DL138" i="28"/>
  <c r="DB138" i="28"/>
  <c r="DM148" i="28"/>
  <c r="AM146" i="29"/>
  <c r="DO155" i="28"/>
  <c r="AO153" i="29"/>
  <c r="DO128" i="28"/>
  <c r="AO126" i="29"/>
  <c r="DL155" i="28"/>
  <c r="AL153" i="29"/>
  <c r="DB155" i="28"/>
  <c r="DA155" i="28"/>
  <c r="DB120" i="28"/>
  <c r="CX10" i="28"/>
  <c r="DH10" i="28" s="1"/>
  <c r="CX26" i="28"/>
  <c r="DH26" i="28" s="1"/>
  <c r="CX42" i="28"/>
  <c r="DH42" i="28" s="1"/>
  <c r="CX58" i="28"/>
  <c r="DH58" i="28" s="1"/>
  <c r="CX75" i="28"/>
  <c r="DJ75" i="28" s="1"/>
  <c r="CX108" i="28"/>
  <c r="DJ108" i="28" s="1"/>
  <c r="CV12" i="28"/>
  <c r="DD12" i="28" s="1"/>
  <c r="CV28" i="28"/>
  <c r="DD28" i="28" s="1"/>
  <c r="CV45" i="28"/>
  <c r="DD45" i="28" s="1"/>
  <c r="CV61" i="28"/>
  <c r="DD61" i="28" s="1"/>
  <c r="CT77" i="28"/>
  <c r="DA77" i="28" s="1"/>
  <c r="CT93" i="28"/>
  <c r="CZ93" i="28" s="1"/>
  <c r="CT109" i="28"/>
  <c r="DA109" i="28" s="1"/>
  <c r="DA135" i="28"/>
  <c r="DN142" i="28"/>
  <c r="AN140" i="29"/>
  <c r="DD142" i="28"/>
  <c r="DF142" i="28"/>
  <c r="DP159" i="28"/>
  <c r="AP157" i="29"/>
  <c r="DJ159" i="28"/>
  <c r="DI159" i="28"/>
  <c r="DH159" i="28"/>
  <c r="DP129" i="28"/>
  <c r="AP127" i="29"/>
  <c r="DJ129" i="28"/>
  <c r="DH129" i="28"/>
  <c r="CX19" i="28"/>
  <c r="DJ19" i="28" s="1"/>
  <c r="CX35" i="28"/>
  <c r="DJ35" i="28" s="1"/>
  <c r="CX51" i="28"/>
  <c r="DH51" i="28" s="1"/>
  <c r="CX68" i="28"/>
  <c r="DJ68" i="28" s="1"/>
  <c r="CX101" i="28"/>
  <c r="DH101" i="28" s="1"/>
  <c r="CV117" i="28"/>
  <c r="DD117" i="28" s="1"/>
  <c r="CV21" i="28"/>
  <c r="DD21" i="28" s="1"/>
  <c r="CV38" i="28"/>
  <c r="DD38" i="28" s="1"/>
  <c r="CV54" i="28"/>
  <c r="DF54" i="28" s="1"/>
  <c r="CV71" i="28"/>
  <c r="DD71" i="28" s="1"/>
  <c r="CV87" i="28"/>
  <c r="DD87" i="28" s="1"/>
  <c r="CV103" i="28"/>
  <c r="DD103" i="28" s="1"/>
  <c r="CT8" i="28"/>
  <c r="CZ8" i="28" s="1"/>
  <c r="CT21" i="28"/>
  <c r="CZ21" i="28" s="1"/>
  <c r="DP135" i="28"/>
  <c r="AP133" i="29"/>
  <c r="DH135" i="28"/>
  <c r="DI135" i="28"/>
  <c r="DL152" i="28"/>
  <c r="DU152" i="28" s="1"/>
  <c r="AL150" i="29"/>
  <c r="DA152" i="28"/>
  <c r="DO148" i="28"/>
  <c r="AO146" i="29"/>
  <c r="CX33" i="28"/>
  <c r="DH33" i="28" s="1"/>
  <c r="CX49" i="28"/>
  <c r="DH49" i="28" s="1"/>
  <c r="CX66" i="28"/>
  <c r="DH66" i="28" s="1"/>
  <c r="CX82" i="28"/>
  <c r="DH82" i="28" s="1"/>
  <c r="CX99" i="28"/>
  <c r="DH99" i="28" s="1"/>
  <c r="CX115" i="28"/>
  <c r="DI115" i="28" s="1"/>
  <c r="CV36" i="28"/>
  <c r="DE36" i="28" s="1"/>
  <c r="CV52" i="28"/>
  <c r="CV69" i="28"/>
  <c r="DE69" i="28" s="1"/>
  <c r="CV85" i="28"/>
  <c r="DD85" i="28" s="1"/>
  <c r="CV101" i="28"/>
  <c r="DD101" i="28" s="1"/>
  <c r="CT59" i="28"/>
  <c r="DA59" i="28" s="1"/>
  <c r="CU15" i="28"/>
  <c r="CU64" i="28"/>
  <c r="CU80" i="28"/>
  <c r="CU96" i="28"/>
  <c r="CU112" i="28"/>
  <c r="CW23" i="28"/>
  <c r="CW39" i="28"/>
  <c r="CW55" i="28"/>
  <c r="CW72" i="28"/>
  <c r="CW88" i="28"/>
  <c r="CW104" i="28"/>
  <c r="DL167" i="28"/>
  <c r="AL165" i="29"/>
  <c r="DB167" i="28"/>
  <c r="DN129" i="28"/>
  <c r="AN127" i="29"/>
  <c r="DF129" i="28"/>
  <c r="DO123" i="28"/>
  <c r="AO121" i="29"/>
  <c r="DN147" i="28"/>
  <c r="AN145" i="29"/>
  <c r="DF147" i="28"/>
  <c r="DL126" i="28"/>
  <c r="AL124" i="29"/>
  <c r="DB126" i="28"/>
  <c r="DD146" i="28"/>
  <c r="AN144" i="29"/>
  <c r="DN146" i="28"/>
  <c r="DN151" i="28"/>
  <c r="AN149" i="29"/>
  <c r="DF151" i="28"/>
  <c r="DE135" i="28"/>
  <c r="AN133" i="29"/>
  <c r="DN135" i="28"/>
  <c r="DF135" i="28"/>
  <c r="DA119" i="28"/>
  <c r="DE129" i="28"/>
  <c r="DN133" i="28"/>
  <c r="AN131" i="29"/>
  <c r="DE133" i="28"/>
  <c r="DF133" i="28"/>
  <c r="DA125" i="28"/>
  <c r="DL120" i="28"/>
  <c r="AL118" i="29"/>
  <c r="DA120" i="28"/>
  <c r="DN145" i="28"/>
  <c r="AN143" i="29"/>
  <c r="DF145" i="28"/>
  <c r="DO126" i="28"/>
  <c r="AO124" i="29"/>
  <c r="DO144" i="28"/>
  <c r="AO142" i="29"/>
  <c r="DP125" i="28"/>
  <c r="AP123" i="29"/>
  <c r="DJ125" i="28"/>
  <c r="DE152" i="28"/>
  <c r="AN150" i="29"/>
  <c r="DN152" i="28"/>
  <c r="DF152" i="28"/>
  <c r="DO143" i="28"/>
  <c r="AO141" i="29"/>
  <c r="DO164" i="28"/>
  <c r="AO162" i="29"/>
  <c r="DA167" i="28"/>
  <c r="DN126" i="28"/>
  <c r="AN124" i="29"/>
  <c r="DD126" i="28"/>
  <c r="DF126" i="28"/>
  <c r="DI125" i="28"/>
  <c r="DE136" i="28"/>
  <c r="DM152" i="28"/>
  <c r="AM150" i="29"/>
  <c r="CT35" i="28"/>
  <c r="CZ35" i="28" s="1"/>
  <c r="CT51" i="28"/>
  <c r="DB51" i="28" s="1"/>
  <c r="CT68" i="28"/>
  <c r="CZ68" i="28" s="1"/>
  <c r="CT100" i="28"/>
  <c r="CZ100" i="28" s="1"/>
  <c r="CT116" i="28"/>
  <c r="DA116" i="28" s="1"/>
  <c r="CU23" i="28"/>
  <c r="CU39" i="28"/>
  <c r="CU55" i="28"/>
  <c r="AL152" i="29"/>
  <c r="DL154" i="28"/>
  <c r="DT154" i="28" s="1"/>
  <c r="DB154" i="28"/>
  <c r="DP126" i="28"/>
  <c r="AP124" i="29"/>
  <c r="DJ126" i="28"/>
  <c r="DI126" i="28"/>
  <c r="DO158" i="28"/>
  <c r="AO156" i="29"/>
  <c r="DH139" i="28"/>
  <c r="DH123" i="28"/>
  <c r="DM145" i="28"/>
  <c r="AM143" i="29"/>
  <c r="DM166" i="28"/>
  <c r="AM164" i="29"/>
  <c r="DH141" i="28"/>
  <c r="CZ121" i="28"/>
  <c r="AN118" i="29"/>
  <c r="DN120" i="28"/>
  <c r="DE120" i="28"/>
  <c r="DF120" i="28"/>
  <c r="DH161" i="28"/>
  <c r="DH145" i="28"/>
  <c r="CZ125" i="28"/>
  <c r="CX100" i="28"/>
  <c r="DH100" i="28" s="1"/>
  <c r="CX116" i="28"/>
  <c r="DJ116" i="28" s="1"/>
  <c r="CV86" i="28"/>
  <c r="DD86" i="28" s="1"/>
  <c r="CT117" i="28"/>
  <c r="DA117" i="28" s="1"/>
  <c r="CT85" i="28"/>
  <c r="CZ85" i="28" s="1"/>
  <c r="CU56" i="28"/>
  <c r="CW105" i="28"/>
  <c r="DP158" i="28"/>
  <c r="AP156" i="29"/>
  <c r="DI158" i="28"/>
  <c r="DA118" i="28"/>
  <c r="AN147" i="29"/>
  <c r="DN149" i="28"/>
  <c r="DF149" i="28"/>
  <c r="DE149" i="28"/>
  <c r="DD149" i="28"/>
  <c r="DF167" i="28"/>
  <c r="CT102" i="28"/>
  <c r="DB102" i="28" s="1"/>
  <c r="DN132" i="28"/>
  <c r="AN130" i="29"/>
  <c r="CZ137" i="28"/>
  <c r="AL135" i="29"/>
  <c r="DL137" i="28"/>
  <c r="DR137" i="28" s="1"/>
  <c r="DP162" i="28"/>
  <c r="AP160" i="29"/>
  <c r="DP146" i="28"/>
  <c r="AP144" i="29"/>
  <c r="DL128" i="28"/>
  <c r="AL126" i="29"/>
  <c r="CX12" i="28"/>
  <c r="DH12" i="28" s="1"/>
  <c r="CX28" i="28"/>
  <c r="DH28" i="28" s="1"/>
  <c r="CX44" i="28"/>
  <c r="DH44" i="28" s="1"/>
  <c r="CX60" i="28"/>
  <c r="DH60" i="28" s="1"/>
  <c r="CX77" i="28"/>
  <c r="DH77" i="28" s="1"/>
  <c r="CX94" i="28"/>
  <c r="DH94" i="28" s="1"/>
  <c r="CX110" i="28"/>
  <c r="DH110" i="28" s="1"/>
  <c r="CV14" i="28"/>
  <c r="DD14" i="28" s="1"/>
  <c r="CV30" i="28"/>
  <c r="DD30" i="28" s="1"/>
  <c r="CV47" i="28"/>
  <c r="DD47" i="28" s="1"/>
  <c r="CV64" i="28"/>
  <c r="DD64" i="28" s="1"/>
  <c r="CV80" i="28"/>
  <c r="DD80" i="28" s="1"/>
  <c r="CV96" i="28"/>
  <c r="DD96" i="28" s="1"/>
  <c r="CV112" i="28"/>
  <c r="DD112" i="28" s="1"/>
  <c r="CT22" i="28"/>
  <c r="CZ22" i="28" s="1"/>
  <c r="CT38" i="28"/>
  <c r="CZ38" i="28" s="1"/>
  <c r="CT71" i="28"/>
  <c r="CZ71" i="28" s="1"/>
  <c r="CT87" i="28"/>
  <c r="CZ87" i="28" s="1"/>
  <c r="CT103" i="28"/>
  <c r="CZ103" i="28" s="1"/>
  <c r="DP132" i="28"/>
  <c r="AP130" i="29"/>
  <c r="CT88" i="28"/>
  <c r="CZ88" i="28" s="1"/>
  <c r="CT104" i="28"/>
  <c r="CZ104" i="28" s="1"/>
  <c r="DP147" i="28"/>
  <c r="AP145" i="29"/>
  <c r="AP129" i="29"/>
  <c r="DP131" i="28"/>
  <c r="DO163" i="28"/>
  <c r="AO161" i="29"/>
  <c r="CZ145" i="28"/>
  <c r="AL143" i="29"/>
  <c r="DL145" i="28"/>
  <c r="DL129" i="28"/>
  <c r="AL127" i="29"/>
  <c r="DL134" i="28"/>
  <c r="AL132" i="29"/>
  <c r="DD154" i="28"/>
  <c r="AN152" i="29"/>
  <c r="DN154" i="28"/>
  <c r="DP137" i="28"/>
  <c r="AP135" i="29"/>
  <c r="CX14" i="28"/>
  <c r="DH14" i="28" s="1"/>
  <c r="CX30" i="28"/>
  <c r="DH30" i="28" s="1"/>
  <c r="CX46" i="28"/>
  <c r="DH46" i="28" s="1"/>
  <c r="CX63" i="28"/>
  <c r="DH63" i="28" s="1"/>
  <c r="CX79" i="28"/>
  <c r="DH79" i="28" s="1"/>
  <c r="CV16" i="28"/>
  <c r="DD16" i="28" s="1"/>
  <c r="CV32" i="28"/>
  <c r="DD32" i="28" s="1"/>
  <c r="CV49" i="28"/>
  <c r="DD49" i="28" s="1"/>
  <c r="CT16" i="28"/>
  <c r="CZ16" i="28" s="1"/>
  <c r="CT32" i="28"/>
  <c r="CZ32" i="28" s="1"/>
  <c r="CT48" i="28"/>
  <c r="CZ48" i="28" s="1"/>
  <c r="CT65" i="28"/>
  <c r="CZ65" i="28" s="1"/>
  <c r="CT81" i="28"/>
  <c r="CZ81" i="28" s="1"/>
  <c r="CT97" i="28"/>
  <c r="CZ97" i="28" s="1"/>
  <c r="CT113" i="28"/>
  <c r="CZ113" i="28" s="1"/>
  <c r="DB145" i="28"/>
  <c r="DL131" i="28"/>
  <c r="AL129" i="29"/>
  <c r="DA165" i="28"/>
  <c r="CX64" i="28"/>
  <c r="DJ64" i="28" s="1"/>
  <c r="CX80" i="28"/>
  <c r="DJ80" i="28" s="1"/>
  <c r="CV50" i="28"/>
  <c r="DF50" i="28" s="1"/>
  <c r="CT17" i="28"/>
  <c r="DB17" i="28" s="1"/>
  <c r="DE156" i="28"/>
  <c r="AN154" i="29"/>
  <c r="DN156" i="28"/>
  <c r="DF140" i="28"/>
  <c r="DB159" i="28"/>
  <c r="DF121" i="28"/>
  <c r="DF123" i="28"/>
  <c r="DF144" i="28"/>
  <c r="DJ122" i="28"/>
  <c r="DE141" i="28"/>
  <c r="CX40" i="28"/>
  <c r="DJ40" i="28" s="1"/>
  <c r="CX56" i="28"/>
  <c r="DJ56" i="28" s="1"/>
  <c r="CV10" i="28"/>
  <c r="DF10" i="28" s="1"/>
  <c r="CV26" i="28"/>
  <c r="DF26" i="28" s="1"/>
  <c r="CT91" i="28"/>
  <c r="DB91" i="28" s="1"/>
  <c r="CT20" i="28"/>
  <c r="CZ20" i="28" s="1"/>
  <c r="CT36" i="28"/>
  <c r="DB36" i="28" s="1"/>
  <c r="CT52" i="28"/>
  <c r="CZ52" i="28" s="1"/>
  <c r="DO142" i="28"/>
  <c r="AO140" i="29"/>
  <c r="DN158" i="28"/>
  <c r="AN156" i="29"/>
  <c r="DM139" i="28"/>
  <c r="AM137" i="29"/>
  <c r="DP143" i="28"/>
  <c r="AP141" i="29"/>
  <c r="DM120" i="28"/>
  <c r="AM118" i="29"/>
  <c r="CX84" i="28"/>
  <c r="DH84" i="28" s="1"/>
  <c r="CW9" i="28"/>
  <c r="DE148" i="28"/>
  <c r="AN146" i="29"/>
  <c r="DN148" i="28"/>
  <c r="DP164" i="28"/>
  <c r="AP162" i="29"/>
  <c r="DE154" i="28"/>
  <c r="DA128" i="28"/>
  <c r="CX13" i="28"/>
  <c r="DH13" i="28" s="1"/>
  <c r="CX29" i="28"/>
  <c r="DH29" i="28" s="1"/>
  <c r="CX45" i="28"/>
  <c r="DH45" i="28" s="1"/>
  <c r="CX61" i="28"/>
  <c r="DH61" i="28" s="1"/>
  <c r="CX78" i="28"/>
  <c r="DI78" i="28" s="1"/>
  <c r="CX95" i="28"/>
  <c r="DH95" i="28" s="1"/>
  <c r="CX111" i="28"/>
  <c r="DI111" i="28" s="1"/>
  <c r="CV15" i="28"/>
  <c r="DD15" i="28" s="1"/>
  <c r="CV31" i="28"/>
  <c r="DD31" i="28" s="1"/>
  <c r="CV48" i="28"/>
  <c r="DD48" i="28" s="1"/>
  <c r="CV65" i="28"/>
  <c r="DF65" i="28" s="1"/>
  <c r="CV81" i="28"/>
  <c r="DD81" i="28" s="1"/>
  <c r="CV97" i="28"/>
  <c r="DD97" i="28" s="1"/>
  <c r="CV113" i="28"/>
  <c r="DD113" i="28" s="1"/>
  <c r="CT23" i="28"/>
  <c r="DA23" i="28" s="1"/>
  <c r="CT39" i="28"/>
  <c r="CZ39" i="28" s="1"/>
  <c r="CT55" i="28"/>
  <c r="CZ55" i="28" s="1"/>
  <c r="CT72" i="28"/>
  <c r="DB72" i="28" s="1"/>
  <c r="CU11" i="28"/>
  <c r="CU27" i="28"/>
  <c r="CU43" i="28"/>
  <c r="CU59" i="28"/>
  <c r="CU76" i="28"/>
  <c r="CU92" i="28"/>
  <c r="CU108" i="28"/>
  <c r="CW11" i="28"/>
  <c r="CW27" i="28"/>
  <c r="CW43" i="28"/>
  <c r="CW59" i="28"/>
  <c r="CW76" i="28"/>
  <c r="CW92" i="28"/>
  <c r="CW108" i="28"/>
  <c r="AL160" i="29"/>
  <c r="DL162" i="28"/>
  <c r="AP132" i="29"/>
  <c r="DP134" i="28"/>
  <c r="AP161" i="29"/>
  <c r="DP163" i="28"/>
  <c r="DM121" i="28"/>
  <c r="AM119" i="29"/>
  <c r="DM142" i="28"/>
  <c r="AM140" i="29"/>
  <c r="DM126" i="28"/>
  <c r="AM124" i="29"/>
  <c r="CZ150" i="28"/>
  <c r="AL148" i="29"/>
  <c r="DL150" i="28"/>
  <c r="DR150" i="28" s="1"/>
  <c r="DD122" i="28"/>
  <c r="AN120" i="29"/>
  <c r="DN122" i="28"/>
  <c r="DP153" i="28"/>
  <c r="AP151" i="29"/>
  <c r="CZ133" i="28"/>
  <c r="AL131" i="29"/>
  <c r="DL133" i="28"/>
  <c r="DP118" i="28"/>
  <c r="AP116" i="29"/>
  <c r="DA130" i="28"/>
  <c r="DI133" i="28"/>
  <c r="DA150" i="28"/>
  <c r="DB147" i="28"/>
  <c r="AL145" i="29"/>
  <c r="DL147" i="28"/>
  <c r="DM128" i="28"/>
  <c r="AM126" i="29"/>
  <c r="BL131" i="29"/>
  <c r="DF127" i="28"/>
  <c r="CX97" i="28"/>
  <c r="DH97" i="28" s="1"/>
  <c r="CW78" i="28"/>
  <c r="CW110" i="28"/>
  <c r="DJ134" i="28"/>
  <c r="DH128" i="28"/>
  <c r="AP126" i="29"/>
  <c r="DP128" i="28"/>
  <c r="CV43" i="28"/>
  <c r="DE43" i="28" s="1"/>
  <c r="CT10" i="28"/>
  <c r="CZ10" i="28" s="1"/>
  <c r="CW22" i="28"/>
  <c r="CW54" i="28"/>
  <c r="CT37" i="28"/>
  <c r="CT53" i="28"/>
  <c r="CT86" i="28"/>
  <c r="DA86" i="28" s="1"/>
  <c r="DI136" i="28"/>
  <c r="AP134" i="29"/>
  <c r="DP136" i="28"/>
  <c r="DL142" i="28"/>
  <c r="AL140" i="29"/>
  <c r="CT30" i="28"/>
  <c r="CZ30" i="28" s="1"/>
  <c r="CZ139" i="28"/>
  <c r="AL137" i="29"/>
  <c r="DL139" i="28"/>
  <c r="DP148" i="28"/>
  <c r="AP146" i="29"/>
  <c r="CZ130" i="28"/>
  <c r="DL143" i="28"/>
  <c r="DR143" i="28" s="1"/>
  <c r="AL141" i="29"/>
  <c r="AL125" i="29"/>
  <c r="DL127" i="28"/>
  <c r="DT127" i="28" s="1"/>
  <c r="DM118" i="28"/>
  <c r="AM116" i="29"/>
  <c r="DE123" i="28"/>
  <c r="DM147" i="28"/>
  <c r="AM145" i="29"/>
  <c r="AN126" i="29"/>
  <c r="DN128" i="28"/>
  <c r="DO119" i="28"/>
  <c r="AO117" i="29"/>
  <c r="DM130" i="28"/>
  <c r="AM128" i="29"/>
  <c r="CX104" i="28"/>
  <c r="DH104" i="28" s="1"/>
  <c r="CV90" i="28"/>
  <c r="DF90" i="28" s="1"/>
  <c r="CV106" i="28"/>
  <c r="DD106" i="28" s="1"/>
  <c r="CT62" i="28"/>
  <c r="DB62" i="28" s="1"/>
  <c r="CW117" i="28"/>
  <c r="CW69" i="28"/>
  <c r="CW85" i="28"/>
  <c r="CW101" i="28"/>
  <c r="DJ166" i="28"/>
  <c r="DI163" i="28"/>
  <c r="DB129" i="28"/>
  <c r="DE144" i="28"/>
  <c r="DA163" i="28"/>
  <c r="AL161" i="29"/>
  <c r="DL163" i="28"/>
  <c r="DM144" i="28"/>
  <c r="AM142" i="29"/>
  <c r="DN159" i="28"/>
  <c r="AN157" i="29"/>
  <c r="DI121" i="28"/>
  <c r="CX15" i="28"/>
  <c r="DJ15" i="28" s="1"/>
  <c r="CX31" i="28"/>
  <c r="DH31" i="28" s="1"/>
  <c r="CX47" i="28"/>
  <c r="CX113" i="28"/>
  <c r="DH113" i="28" s="1"/>
  <c r="CV17" i="28"/>
  <c r="DF17" i="28" s="1"/>
  <c r="CV33" i="28"/>
  <c r="DD33" i="28" s="1"/>
  <c r="CV67" i="28"/>
  <c r="DE67" i="28" s="1"/>
  <c r="CV83" i="28"/>
  <c r="DD83" i="28" s="1"/>
  <c r="CV99" i="28"/>
  <c r="CV115" i="28"/>
  <c r="CT33" i="28"/>
  <c r="CZ33" i="28" s="1"/>
  <c r="CT49" i="28"/>
  <c r="DA49" i="28" s="1"/>
  <c r="CT66" i="28"/>
  <c r="DB66" i="28" s="1"/>
  <c r="CT82" i="28"/>
  <c r="CT98" i="28"/>
  <c r="DA98" i="28" s="1"/>
  <c r="CT114" i="28"/>
  <c r="CZ114" i="28" s="1"/>
  <c r="CU13" i="28"/>
  <c r="CU29" i="28"/>
  <c r="CU45" i="28"/>
  <c r="CU61" i="28"/>
  <c r="CU78" i="28"/>
  <c r="CU94" i="28"/>
  <c r="CU110" i="28"/>
  <c r="CW94" i="28"/>
  <c r="DE153" i="28"/>
  <c r="AN151" i="29"/>
  <c r="DN153" i="28"/>
  <c r="DH160" i="28"/>
  <c r="AP158" i="29"/>
  <c r="DP160" i="28"/>
  <c r="DP167" i="28"/>
  <c r="AP165" i="29"/>
  <c r="DA131" i="28"/>
  <c r="CX90" i="28"/>
  <c r="CX24" i="28"/>
  <c r="DJ24" i="28" s="1"/>
  <c r="CX73" i="28"/>
  <c r="CX89" i="28"/>
  <c r="CX106" i="28"/>
  <c r="DJ106" i="28" s="1"/>
  <c r="CV59" i="28"/>
  <c r="DD59" i="28" s="1"/>
  <c r="CV76" i="28"/>
  <c r="CV92" i="28"/>
  <c r="DD92" i="28" s="1"/>
  <c r="CV108" i="28"/>
  <c r="DF108" i="28" s="1"/>
  <c r="CT26" i="28"/>
  <c r="DA26" i="28" s="1"/>
  <c r="CT42" i="28"/>
  <c r="DB42" i="28" s="1"/>
  <c r="CT58" i="28"/>
  <c r="DB58" i="28" s="1"/>
  <c r="CT75" i="28"/>
  <c r="CT107" i="28"/>
  <c r="CU14" i="28"/>
  <c r="CU30" i="28"/>
  <c r="CU46" i="28"/>
  <c r="CW38" i="28"/>
  <c r="CW71" i="28"/>
  <c r="CW87" i="28"/>
  <c r="CW103" i="28"/>
  <c r="DN164" i="28"/>
  <c r="AN162" i="29"/>
  <c r="AL128" i="29"/>
  <c r="DL130" i="28"/>
  <c r="AL157" i="29"/>
  <c r="DL159" i="28"/>
  <c r="DT159" i="28" s="1"/>
  <c r="DM140" i="28"/>
  <c r="AM138" i="29"/>
  <c r="DM124" i="28"/>
  <c r="DR124" i="28" s="1"/>
  <c r="AM122" i="29"/>
  <c r="DO147" i="28"/>
  <c r="AO145" i="29"/>
  <c r="DE139" i="28"/>
  <c r="AN137" i="29"/>
  <c r="DN139" i="28"/>
  <c r="DO120" i="28"/>
  <c r="AO118" i="29"/>
  <c r="DM146" i="28"/>
  <c r="AM144" i="29"/>
  <c r="CX8" i="28"/>
  <c r="DH8" i="28" s="1"/>
  <c r="DB162" i="28"/>
  <c r="DA159" i="28"/>
  <c r="DI138" i="28"/>
  <c r="DM160" i="28"/>
  <c r="DR160" i="28" s="1"/>
  <c r="AM158" i="29"/>
  <c r="AN123" i="29"/>
  <c r="DN125" i="28"/>
  <c r="DI153" i="28"/>
  <c r="DI118" i="28"/>
  <c r="DJ147" i="28"/>
  <c r="DJ138" i="28"/>
  <c r="DE125" i="28"/>
  <c r="DJ137" i="28"/>
  <c r="CT94" i="28"/>
  <c r="DB94" i="28" s="1"/>
  <c r="CZ132" i="28"/>
  <c r="AL130" i="29"/>
  <c r="DL132" i="28"/>
  <c r="DF165" i="28"/>
  <c r="CX20" i="28"/>
  <c r="DJ20" i="28" s="1"/>
  <c r="CX36" i="28"/>
  <c r="DJ36" i="28" s="1"/>
  <c r="CX52" i="28"/>
  <c r="CX69" i="28"/>
  <c r="CX85" i="28"/>
  <c r="DH85" i="28" s="1"/>
  <c r="CX102" i="28"/>
  <c r="DH102" i="28" s="1"/>
  <c r="CV8" i="28"/>
  <c r="CV22" i="28"/>
  <c r="CV39" i="28"/>
  <c r="DF39" i="28" s="1"/>
  <c r="CV55" i="28"/>
  <c r="DD55" i="28" s="1"/>
  <c r="CV72" i="28"/>
  <c r="DF72" i="28" s="1"/>
  <c r="CV88" i="28"/>
  <c r="DE88" i="28" s="1"/>
  <c r="CV104" i="28"/>
  <c r="DD104" i="28" s="1"/>
  <c r="CT14" i="28"/>
  <c r="DB14" i="28" s="1"/>
  <c r="CT46" i="28"/>
  <c r="CT63" i="28"/>
  <c r="DB63" i="28" s="1"/>
  <c r="CT79" i="28"/>
  <c r="DA79" i="28" s="1"/>
  <c r="CT95" i="28"/>
  <c r="CZ95" i="28" s="1"/>
  <c r="CT111" i="28"/>
  <c r="CU18" i="28"/>
  <c r="CU34" i="28"/>
  <c r="CU50" i="28"/>
  <c r="CU67" i="28"/>
  <c r="CU83" i="28"/>
  <c r="CU115" i="28"/>
  <c r="CW18" i="28"/>
  <c r="CW34" i="28"/>
  <c r="CW50" i="28"/>
  <c r="CW67" i="28"/>
  <c r="CW83" i="28"/>
  <c r="CW99" i="28"/>
  <c r="CW115" i="28"/>
  <c r="DJ127" i="28"/>
  <c r="CT80" i="28"/>
  <c r="CT112" i="28"/>
  <c r="CZ112" i="28" s="1"/>
  <c r="DM156" i="28"/>
  <c r="AM154" i="29"/>
  <c r="DM158" i="28"/>
  <c r="AM156" i="29"/>
  <c r="DO136" i="28"/>
  <c r="AO134" i="29"/>
  <c r="AN142" i="29"/>
  <c r="DN144" i="28"/>
  <c r="DP122" i="28"/>
  <c r="AP120" i="29"/>
  <c r="DD138" i="28"/>
  <c r="AN136" i="29"/>
  <c r="DN138" i="28"/>
  <c r="DL165" i="28"/>
  <c r="AL163" i="29"/>
  <c r="DN127" i="28"/>
  <c r="AN125" i="29"/>
  <c r="CX22" i="28"/>
  <c r="DH22" i="28" s="1"/>
  <c r="CX38" i="28"/>
  <c r="DH38" i="28" s="1"/>
  <c r="CX54" i="28"/>
  <c r="DH54" i="28" s="1"/>
  <c r="CX87" i="28"/>
  <c r="CV34" i="28"/>
  <c r="DD34" i="28" s="1"/>
  <c r="CV24" i="28"/>
  <c r="DD24" i="28" s="1"/>
  <c r="CV41" i="28"/>
  <c r="DD41" i="28" s="1"/>
  <c r="CV57" i="28"/>
  <c r="DE57" i="28" s="1"/>
  <c r="CV74" i="28"/>
  <c r="DF74" i="28" s="1"/>
  <c r="CT24" i="28"/>
  <c r="CZ24" i="28" s="1"/>
  <c r="CT40" i="28"/>
  <c r="CZ40" i="28" s="1"/>
  <c r="CT56" i="28"/>
  <c r="DA56" i="28" s="1"/>
  <c r="CT73" i="28"/>
  <c r="CZ73" i="28" s="1"/>
  <c r="CT89" i="28"/>
  <c r="DA89" i="28" s="1"/>
  <c r="DI147" i="28"/>
  <c r="DP165" i="28"/>
  <c r="AP163" i="29"/>
  <c r="DN123" i="28"/>
  <c r="AN121" i="29"/>
  <c r="DA134" i="28"/>
  <c r="AN139" i="29"/>
  <c r="DN141" i="28"/>
  <c r="DO122" i="28"/>
  <c r="AO120" i="29"/>
  <c r="CX72" i="28"/>
  <c r="DJ72" i="28" s="1"/>
  <c r="CX88" i="28"/>
  <c r="DI88" i="28" s="1"/>
  <c r="CV42" i="28"/>
  <c r="DF42" i="28" s="1"/>
  <c r="CV58" i="28"/>
  <c r="DF58" i="28" s="1"/>
  <c r="DI166" i="28"/>
  <c r="DP150" i="28"/>
  <c r="AP148" i="29"/>
  <c r="DB143" i="28"/>
  <c r="DA156" i="28"/>
  <c r="AL154" i="29"/>
  <c r="DL156" i="28"/>
  <c r="CZ140" i="28"/>
  <c r="AL138" i="29"/>
  <c r="DL140" i="28"/>
  <c r="DA145" i="28"/>
  <c r="DB134" i="28"/>
  <c r="DB133" i="28"/>
  <c r="CX16" i="28"/>
  <c r="DH16" i="28" s="1"/>
  <c r="CX32" i="28"/>
  <c r="DH32" i="28" s="1"/>
  <c r="CX48" i="28"/>
  <c r="DJ48" i="28" s="1"/>
  <c r="CV18" i="28"/>
  <c r="DD18" i="28" s="1"/>
  <c r="CV94" i="28"/>
  <c r="DD94" i="28" s="1"/>
  <c r="CT12" i="28"/>
  <c r="CT28" i="28"/>
  <c r="CT44" i="28"/>
  <c r="DA44" i="28" s="1"/>
  <c r="CT60" i="28"/>
  <c r="DA60" i="28" s="1"/>
  <c r="DM164" i="28"/>
  <c r="AM162" i="29"/>
  <c r="CZ153" i="28"/>
  <c r="AL151" i="29"/>
  <c r="DL153" i="28"/>
  <c r="DT153" i="28" s="1"/>
  <c r="DO130" i="28"/>
  <c r="AO128" i="29"/>
  <c r="CT29" i="28"/>
  <c r="DA29" i="28" s="1"/>
  <c r="CT45" i="28"/>
  <c r="DA45" i="28" s="1"/>
  <c r="CT61" i="28"/>
  <c r="CZ61" i="28" s="1"/>
  <c r="DL144" i="28"/>
  <c r="AL142" i="29"/>
  <c r="CX117" i="28"/>
  <c r="DJ117" i="28" s="1"/>
  <c r="CX21" i="28"/>
  <c r="CX37" i="28"/>
  <c r="DI37" i="28" s="1"/>
  <c r="CX53" i="28"/>
  <c r="DI53" i="28" s="1"/>
  <c r="CX70" i="28"/>
  <c r="CX86" i="28"/>
  <c r="CX103" i="28"/>
  <c r="DI103" i="28" s="1"/>
  <c r="CV62" i="28"/>
  <c r="DE62" i="28" s="1"/>
  <c r="CV23" i="28"/>
  <c r="CV40" i="28"/>
  <c r="CV56" i="28"/>
  <c r="DE56" i="28" s="1"/>
  <c r="CV73" i="28"/>
  <c r="DE73" i="28" s="1"/>
  <c r="CV89" i="28"/>
  <c r="DD89" i="28" s="1"/>
  <c r="CV105" i="28"/>
  <c r="CT15" i="28"/>
  <c r="DB15" i="28" s="1"/>
  <c r="CT31" i="28"/>
  <c r="CZ31" i="28" s="1"/>
  <c r="CT47" i="28"/>
  <c r="DA47" i="28" s="1"/>
  <c r="CT64" i="28"/>
  <c r="DB64" i="28" s="1"/>
  <c r="CT96" i="28"/>
  <c r="CZ96" i="28" s="1"/>
  <c r="CU19" i="28"/>
  <c r="CU35" i="28"/>
  <c r="CU51" i="28"/>
  <c r="CU68" i="28"/>
  <c r="CU84" i="28"/>
  <c r="CU100" i="28"/>
  <c r="CU116" i="28"/>
  <c r="CW19" i="28"/>
  <c r="CW35" i="28"/>
  <c r="CW51" i="28"/>
  <c r="CW68" i="28"/>
  <c r="CW84" i="28"/>
  <c r="CW100" i="28"/>
  <c r="CW116" i="28"/>
  <c r="AL144" i="29"/>
  <c r="DL146" i="28"/>
  <c r="DO121" i="28"/>
  <c r="AO119" i="29"/>
  <c r="DN137" i="28"/>
  <c r="AN135" i="29"/>
  <c r="DN121" i="28"/>
  <c r="AN119" i="29"/>
  <c r="DD155" i="28"/>
  <c r="AN153" i="29"/>
  <c r="DN155" i="28"/>
  <c r="DM163" i="28"/>
  <c r="AM161" i="29"/>
  <c r="DJ164" i="28"/>
  <c r="DO135" i="28"/>
  <c r="AO133" i="29"/>
  <c r="DM162" i="28"/>
  <c r="AM160" i="29"/>
  <c r="DN143" i="28"/>
  <c r="AN141" i="29"/>
  <c r="DO124" i="28"/>
  <c r="DT124" i="28" s="1"/>
  <c r="AO122" i="29"/>
  <c r="CX71" i="28"/>
  <c r="DJ71" i="28" s="1"/>
  <c r="DA146" i="28"/>
  <c r="DA143" i="28"/>
  <c r="DN150" i="28"/>
  <c r="AN148" i="29"/>
  <c r="DM131" i="28"/>
  <c r="AM129" i="29"/>
  <c r="AN155" i="29"/>
  <c r="DN157" i="28"/>
  <c r="DO138" i="28"/>
  <c r="AO136" i="29"/>
  <c r="DL149" i="28"/>
  <c r="AL147" i="29"/>
  <c r="CV9" i="28"/>
  <c r="DE9" i="28" s="1"/>
  <c r="CV91" i="28"/>
  <c r="DF91" i="28" s="1"/>
  <c r="CT9" i="28"/>
  <c r="DA9" i="28" s="1"/>
  <c r="DA162" i="28"/>
  <c r="DB146" i="28"/>
  <c r="DF137" i="28"/>
  <c r="DI165" i="28"/>
  <c r="DF139" i="28"/>
  <c r="DF128" i="28"/>
  <c r="DE127" i="28"/>
  <c r="CV35" i="28"/>
  <c r="DD35" i="28" s="1"/>
  <c r="CW30" i="28"/>
  <c r="CT110" i="28"/>
  <c r="CZ110" i="28" s="1"/>
  <c r="CT54" i="28"/>
  <c r="DB54" i="28" s="1"/>
  <c r="DL123" i="28"/>
  <c r="DR123" i="28" s="1"/>
  <c r="AL121" i="29"/>
  <c r="DO118" i="28"/>
  <c r="AO116" i="29"/>
  <c r="DO150" i="28"/>
  <c r="AO148" i="29"/>
  <c r="DO134" i="28"/>
  <c r="AO132" i="29"/>
  <c r="DN134" i="28"/>
  <c r="AN132" i="29"/>
  <c r="DO152" i="28"/>
  <c r="AO150" i="29"/>
  <c r="DP133" i="28"/>
  <c r="AP131" i="29"/>
  <c r="DP138" i="28"/>
  <c r="AP136" i="29"/>
  <c r="DJ132" i="28"/>
  <c r="DO140" i="28"/>
  <c r="AO138" i="29"/>
  <c r="CX96" i="28"/>
  <c r="DJ96" i="28" s="1"/>
  <c r="CX112" i="28"/>
  <c r="DJ112" i="28" s="1"/>
  <c r="CV66" i="28"/>
  <c r="DF66" i="28" s="1"/>
  <c r="CV82" i="28"/>
  <c r="DE82" i="28" s="1"/>
  <c r="CV98" i="28"/>
  <c r="DF98" i="28" s="1"/>
  <c r="CV114" i="28"/>
  <c r="DF114" i="28" s="1"/>
  <c r="CW93" i="28"/>
  <c r="CW109" i="28"/>
  <c r="DE137" i="28"/>
  <c r="DE155" i="28"/>
  <c r="DL166" i="28"/>
  <c r="AL164" i="29"/>
  <c r="DE128" i="28"/>
  <c r="DH151" i="28"/>
  <c r="DP119" i="28"/>
  <c r="AP117" i="29"/>
  <c r="BH117" i="29"/>
  <c r="BM117" i="29"/>
  <c r="DF143" i="28"/>
  <c r="CX62" i="28"/>
  <c r="DI62" i="28" s="1"/>
  <c r="CX23" i="28"/>
  <c r="DI23" i="28" s="1"/>
  <c r="CX39" i="28"/>
  <c r="DI39" i="28" s="1"/>
  <c r="CX55" i="28"/>
  <c r="CX105" i="28"/>
  <c r="DH105" i="28" s="1"/>
  <c r="CV25" i="28"/>
  <c r="DD25" i="28" s="1"/>
  <c r="CV75" i="28"/>
  <c r="DE75" i="28" s="1"/>
  <c r="CV107" i="28"/>
  <c r="DD107" i="28" s="1"/>
  <c r="CT25" i="28"/>
  <c r="DA25" i="28" s="1"/>
  <c r="CT41" i="28"/>
  <c r="CZ41" i="28" s="1"/>
  <c r="CT57" i="28"/>
  <c r="DB57" i="28" s="1"/>
  <c r="CT74" i="28"/>
  <c r="DA74" i="28" s="1"/>
  <c r="CT90" i="28"/>
  <c r="CT106" i="28"/>
  <c r="CZ106" i="28" s="1"/>
  <c r="CU8" i="28"/>
  <c r="CU21" i="28"/>
  <c r="CU37" i="28"/>
  <c r="CU53" i="28"/>
  <c r="CU70" i="28"/>
  <c r="CU86" i="28"/>
  <c r="CU102" i="28"/>
  <c r="CW8" i="28"/>
  <c r="CW70" i="28"/>
  <c r="CW86" i="28"/>
  <c r="CW102" i="28"/>
  <c r="DM159" i="28"/>
  <c r="AM157" i="29"/>
  <c r="DE124" i="28"/>
  <c r="AN122" i="29"/>
  <c r="DN124" i="28"/>
  <c r="DS124" i="28" s="1"/>
  <c r="DJ131" i="28"/>
  <c r="DJ133" i="28"/>
  <c r="DP154" i="28"/>
  <c r="AP152" i="29"/>
  <c r="DB165" i="28"/>
  <c r="CX65" i="28"/>
  <c r="DH65" i="28" s="1"/>
  <c r="CX81" i="28"/>
  <c r="DJ81" i="28" s="1"/>
  <c r="CX98" i="28"/>
  <c r="DI98" i="28" s="1"/>
  <c r="CX114" i="28"/>
  <c r="DH114" i="28" s="1"/>
  <c r="CV51" i="28"/>
  <c r="DE51" i="28" s="1"/>
  <c r="CV68" i="28"/>
  <c r="DD68" i="28" s="1"/>
  <c r="CV84" i="28"/>
  <c r="DF84" i="28" s="1"/>
  <c r="CV100" i="28"/>
  <c r="DF100" i="28" s="1"/>
  <c r="CV116" i="28"/>
  <c r="DE116" i="28" s="1"/>
  <c r="CT18" i="28"/>
  <c r="DA18" i="28" s="1"/>
  <c r="CT34" i="28"/>
  <c r="CZ34" i="28" s="1"/>
  <c r="CT50" i="28"/>
  <c r="CZ50" i="28" s="1"/>
  <c r="CT83" i="28"/>
  <c r="DA83" i="28" s="1"/>
  <c r="CT115" i="28"/>
  <c r="DA115" i="28" s="1"/>
  <c r="CU22" i="28"/>
  <c r="CU38" i="28"/>
  <c r="CU54" i="28"/>
  <c r="CW14" i="28"/>
  <c r="CW46" i="28"/>
  <c r="CW63" i="28"/>
  <c r="CW79" i="28"/>
  <c r="CW95" i="28"/>
  <c r="CW111" i="28"/>
  <c r="DN118" i="28"/>
  <c r="AN116" i="29"/>
  <c r="AN163" i="29"/>
  <c r="DN165" i="28"/>
  <c r="DO146" i="28"/>
  <c r="AO144" i="29"/>
  <c r="DP127" i="28"/>
  <c r="AP125" i="29"/>
  <c r="DF132" i="28"/>
  <c r="DA164" i="28"/>
  <c r="AL162" i="29"/>
  <c r="DL164" i="28"/>
  <c r="DL148" i="28"/>
  <c r="AL146" i="29"/>
  <c r="DP120" i="28"/>
  <c r="AP118" i="29"/>
  <c r="DB137" i="28"/>
  <c r="DJ162" i="28"/>
  <c r="DJ146" i="28"/>
  <c r="DP130" i="28"/>
  <c r="AP128" i="29"/>
  <c r="CZ128" i="28"/>
  <c r="CU10" i="28"/>
  <c r="CU91" i="28"/>
  <c r="CU107" i="28"/>
  <c r="AP164" i="29"/>
  <c r="DP166" i="28"/>
  <c r="DH132" i="28"/>
  <c r="DN140" i="28"/>
  <c r="AN138" i="29"/>
  <c r="DO166" i="28"/>
  <c r="AO164" i="29"/>
  <c r="DH147" i="28"/>
  <c r="DH131" i="28"/>
  <c r="DF166" i="28"/>
  <c r="AN164" i="29"/>
  <c r="DN166" i="28"/>
  <c r="DO131" i="28"/>
  <c r="AO129" i="29"/>
  <c r="CZ129" i="28"/>
  <c r="AN158" i="29"/>
  <c r="DN160" i="28"/>
  <c r="CZ134" i="28"/>
  <c r="DF154" i="28"/>
  <c r="DB128" i="28"/>
  <c r="DO156" i="28"/>
  <c r="AO154" i="29"/>
  <c r="DH137" i="28"/>
  <c r="DP121" i="28"/>
  <c r="AP119" i="29"/>
  <c r="CW77" i="28"/>
  <c r="DO137" i="28"/>
  <c r="AO135" i="29"/>
  <c r="DI131" i="28"/>
  <c r="DF160" i="28"/>
  <c r="DI122" i="28"/>
  <c r="DP151" i="28"/>
  <c r="AP149" i="29"/>
  <c r="CZ131" i="28"/>
  <c r="DI137" i="28"/>
  <c r="DF156" i="28"/>
  <c r="DJ163" i="28"/>
  <c r="DB127" i="28"/>
  <c r="DF150" i="28"/>
  <c r="DF134" i="28"/>
  <c r="CZ161" i="28"/>
  <c r="AL159" i="29"/>
  <c r="DL161" i="28"/>
  <c r="DA129" i="28"/>
  <c r="DB150" i="28"/>
  <c r="DA147" i="28"/>
  <c r="DP140" i="28"/>
  <c r="AP138" i="29"/>
  <c r="DE159" i="28"/>
  <c r="DJ118" i="28"/>
  <c r="CT67" i="28"/>
  <c r="DA67" i="28" s="1"/>
  <c r="BP15" i="27"/>
  <c r="BP105" i="27"/>
  <c r="BP195" i="27"/>
  <c r="BP231" i="27"/>
  <c r="BP263" i="27"/>
  <c r="BP131" i="27"/>
  <c r="BP171" i="27"/>
  <c r="BP97" i="27"/>
  <c r="BR6" i="27"/>
  <c r="BR284" i="27"/>
  <c r="BN269" i="27"/>
  <c r="BN261" i="27"/>
  <c r="BR151" i="27"/>
  <c r="BR93" i="27"/>
  <c r="BN181" i="27"/>
  <c r="BN21" i="27"/>
  <c r="BN144" i="27"/>
  <c r="BR220" i="27"/>
  <c r="BR54" i="27"/>
  <c r="BN247" i="27"/>
  <c r="BN114" i="27"/>
  <c r="BR112" i="27"/>
  <c r="BN142" i="27"/>
  <c r="BR240" i="27"/>
  <c r="BN187" i="27"/>
  <c r="BR318" i="27"/>
  <c r="BN86" i="27"/>
  <c r="BN245" i="27"/>
  <c r="BN189" i="27"/>
  <c r="BR214" i="27"/>
  <c r="BR157" i="27"/>
  <c r="BN244" i="27"/>
  <c r="BN339" i="27"/>
  <c r="BR55" i="27"/>
  <c r="BR148" i="27"/>
  <c r="BR250" i="27"/>
  <c r="BN250" i="27"/>
  <c r="BN160" i="27"/>
  <c r="BN164" i="27"/>
  <c r="BN226" i="27"/>
  <c r="BP57" i="27"/>
  <c r="BP35" i="27"/>
  <c r="BP31" i="27"/>
  <c r="BP114" i="27"/>
  <c r="BP199" i="27"/>
  <c r="BP235" i="27"/>
  <c r="BP267" i="27"/>
  <c r="BP135" i="27"/>
  <c r="BP9" i="27"/>
  <c r="BP34" i="27"/>
  <c r="BN6" i="27"/>
  <c r="BN105" i="27"/>
  <c r="BN61" i="27"/>
  <c r="BN53" i="27"/>
  <c r="BN208" i="27"/>
  <c r="BR276" i="27"/>
  <c r="BR161" i="27"/>
  <c r="BR248" i="27"/>
  <c r="BR251" i="27"/>
  <c r="BR331" i="27"/>
  <c r="BN125" i="27"/>
  <c r="BR353" i="27"/>
  <c r="BN317" i="27"/>
  <c r="BN179" i="27"/>
  <c r="BR241" i="27"/>
  <c r="BR183" i="27"/>
  <c r="BR35" i="27"/>
  <c r="BN123" i="27"/>
  <c r="BR185" i="27"/>
  <c r="BN243" i="27"/>
  <c r="BN77" i="27"/>
  <c r="BN272" i="27"/>
  <c r="BR340" i="27"/>
  <c r="BN180" i="27"/>
  <c r="BN211" i="27"/>
  <c r="BN304" i="27"/>
  <c r="BR84" i="27"/>
  <c r="BR186" i="27"/>
  <c r="BR32" i="27"/>
  <c r="BN327" i="27"/>
  <c r="BN323" i="27"/>
  <c r="BR150" i="27"/>
  <c r="BR169" i="27"/>
  <c r="BN56" i="27"/>
  <c r="BR129" i="27"/>
  <c r="BN281" i="27"/>
  <c r="BP210" i="27"/>
  <c r="BP110" i="27"/>
  <c r="BP76" i="27"/>
  <c r="BP178" i="27"/>
  <c r="BP48" i="27"/>
  <c r="BP123" i="27"/>
  <c r="BP203" i="27"/>
  <c r="BP239" i="27"/>
  <c r="BP271" i="27"/>
  <c r="BP139" i="27"/>
  <c r="BP36" i="27"/>
  <c r="BP83" i="27"/>
  <c r="BN133" i="27"/>
  <c r="BN186" i="27"/>
  <c r="BN156" i="27"/>
  <c r="BR279" i="27"/>
  <c r="BR306" i="27"/>
  <c r="BN65" i="27"/>
  <c r="BR255" i="27"/>
  <c r="BR121" i="27"/>
  <c r="BN311" i="27"/>
  <c r="BR70" i="27"/>
  <c r="BR224" i="27"/>
  <c r="BR99" i="27"/>
  <c r="BN205" i="27"/>
  <c r="BR285" i="27"/>
  <c r="BR221" i="27"/>
  <c r="BR87" i="27"/>
  <c r="BN197" i="27"/>
  <c r="BR222" i="27"/>
  <c r="BR165" i="27"/>
  <c r="BR155" i="27"/>
  <c r="BR303" i="27"/>
  <c r="BN8" i="27"/>
  <c r="BN18" i="27"/>
  <c r="BN52" i="27"/>
  <c r="BN147" i="27"/>
  <c r="BN240" i="27"/>
  <c r="BN335" i="27"/>
  <c r="BN310" i="27"/>
  <c r="BR166" i="27"/>
  <c r="BR178" i="27"/>
  <c r="BR167" i="27"/>
  <c r="BN45" i="27"/>
  <c r="BR332" i="27"/>
  <c r="BN223" i="27"/>
  <c r="BR286" i="27"/>
  <c r="BN257" i="27"/>
  <c r="BP242" i="27"/>
  <c r="BP201" i="27"/>
  <c r="BP41" i="27"/>
  <c r="BP148" i="27"/>
  <c r="BP280" i="27"/>
  <c r="BP248" i="27"/>
  <c r="BP216" i="27"/>
  <c r="BP184" i="27"/>
  <c r="BP79" i="27"/>
  <c r="BP51" i="27"/>
  <c r="BP93" i="27"/>
  <c r="BP19" i="27"/>
  <c r="BP161" i="27"/>
  <c r="BP129" i="27"/>
  <c r="BP261" i="27"/>
  <c r="BP229" i="27"/>
  <c r="BP197" i="27"/>
  <c r="BP101" i="27"/>
  <c r="BP33" i="27"/>
  <c r="BP109" i="27"/>
  <c r="BP21" i="27"/>
  <c r="BP166" i="27"/>
  <c r="BP134" i="27"/>
  <c r="BP270" i="27"/>
  <c r="BP238" i="27"/>
  <c r="BP206" i="27"/>
  <c r="BP125" i="27"/>
  <c r="BP68" i="27"/>
  <c r="BN297" i="27"/>
  <c r="BN346" i="27"/>
  <c r="BN322" i="27"/>
  <c r="BR197" i="27"/>
  <c r="BN118" i="27"/>
  <c r="BR321" i="27"/>
  <c r="BR156" i="27"/>
  <c r="BN312" i="27"/>
  <c r="BN155" i="27"/>
  <c r="BR350" i="27"/>
  <c r="BR192" i="27"/>
  <c r="BN349" i="27"/>
  <c r="BR22" i="27"/>
  <c r="BR307" i="27"/>
  <c r="BN10" i="27"/>
  <c r="BR288" i="27"/>
  <c r="BR139" i="27"/>
  <c r="BN287" i="27"/>
  <c r="BN120" i="27"/>
  <c r="BR333" i="27"/>
  <c r="BR160" i="27"/>
  <c r="BN324" i="27"/>
  <c r="BN165" i="27"/>
  <c r="BN82" i="27"/>
  <c r="BR19" i="27"/>
  <c r="BN161" i="27"/>
  <c r="BR233" i="27"/>
  <c r="BR83" i="27"/>
  <c r="BN231" i="27"/>
  <c r="BN64" i="27"/>
  <c r="BR270" i="27"/>
  <c r="BR104" i="27"/>
  <c r="BN268" i="27"/>
  <c r="BN109" i="27"/>
  <c r="BN241" i="27"/>
  <c r="BN298" i="27"/>
  <c r="BR356" i="27"/>
  <c r="BR193" i="27"/>
  <c r="BN358" i="27"/>
  <c r="BN191" i="27"/>
  <c r="BN24" i="27"/>
  <c r="BR230" i="27"/>
  <c r="BR64" i="27"/>
  <c r="BN228" i="27"/>
  <c r="BN69" i="27"/>
  <c r="BN153" i="27"/>
  <c r="BN193" i="27"/>
  <c r="BR117" i="27"/>
  <c r="BN38" i="27"/>
  <c r="BR242" i="27"/>
  <c r="BR76" i="27"/>
  <c r="BN232" i="27"/>
  <c r="BN75" i="27"/>
  <c r="BR271" i="27"/>
  <c r="BN353" i="27"/>
  <c r="BN314" i="27"/>
  <c r="BN25" i="27"/>
  <c r="BR209" i="27"/>
  <c r="BR59" i="27"/>
  <c r="BP43" i="27"/>
  <c r="BP144" i="27"/>
  <c r="BP276" i="27"/>
  <c r="BP244" i="27"/>
  <c r="BP212" i="27"/>
  <c r="BP180" i="27"/>
  <c r="BP39" i="27"/>
  <c r="BP25" i="27"/>
  <c r="BP53" i="27"/>
  <c r="BP44" i="27"/>
  <c r="BP157" i="27"/>
  <c r="BP289" i="27"/>
  <c r="BP257" i="27"/>
  <c r="BP225" i="27"/>
  <c r="BP193" i="27"/>
  <c r="BP90" i="27"/>
  <c r="BP13" i="27"/>
  <c r="BP100" i="27"/>
  <c r="BP58" i="27"/>
  <c r="BP162" i="27"/>
  <c r="BP130" i="27"/>
  <c r="BP266" i="27"/>
  <c r="BP234" i="27"/>
  <c r="BP202" i="27"/>
  <c r="BP117" i="27"/>
  <c r="BP55" i="27"/>
  <c r="R22" i="2"/>
  <c r="BR13" i="27"/>
  <c r="BR40" i="27"/>
  <c r="BR188" i="27"/>
  <c r="BR261" i="27"/>
  <c r="BN182" i="27"/>
  <c r="BN23" i="27"/>
  <c r="BR219" i="27"/>
  <c r="BR63" i="27"/>
  <c r="BN219" i="27"/>
  <c r="BN60" i="27"/>
  <c r="BR256" i="27"/>
  <c r="BN365" i="27"/>
  <c r="BR39" i="27"/>
  <c r="BR25" i="27"/>
  <c r="BR77" i="27"/>
  <c r="BR352" i="27"/>
  <c r="BR202" i="27"/>
  <c r="BN351" i="27"/>
  <c r="BN192" i="27"/>
  <c r="BN35" i="27"/>
  <c r="BR231" i="27"/>
  <c r="BR73" i="27"/>
  <c r="BN229" i="27"/>
  <c r="BR30" i="27"/>
  <c r="BR315" i="27"/>
  <c r="BN50" i="27"/>
  <c r="BR296" i="27"/>
  <c r="BR147" i="27"/>
  <c r="BN295" i="27"/>
  <c r="BN128" i="27"/>
  <c r="BR341" i="27"/>
  <c r="BR175" i="27"/>
  <c r="BN332" i="27"/>
  <c r="BN173" i="27"/>
  <c r="BN354" i="27"/>
  <c r="BR43" i="27"/>
  <c r="BN273" i="27"/>
  <c r="BR257" i="27"/>
  <c r="BR107" i="27"/>
  <c r="BN255" i="27"/>
  <c r="BN88" i="27"/>
  <c r="BR301" i="27"/>
  <c r="BR128" i="27"/>
  <c r="BN292" i="27"/>
  <c r="BN217" i="27"/>
  <c r="BN138" i="27"/>
  <c r="BN178" i="27"/>
  <c r="BR181" i="27"/>
  <c r="BN102" i="27"/>
  <c r="BR305" i="27"/>
  <c r="BR140" i="27"/>
  <c r="BN296" i="27"/>
  <c r="BN139" i="27"/>
  <c r="BR334" i="27"/>
  <c r="BR53" i="27"/>
  <c r="BR291" i="27"/>
  <c r="BN329" i="27"/>
  <c r="BR273" i="27"/>
  <c r="BR123" i="27"/>
  <c r="BP172" i="27"/>
  <c r="BP140" i="27"/>
  <c r="BP272" i="27"/>
  <c r="BP240" i="27"/>
  <c r="BP208" i="27"/>
  <c r="BP176" i="27"/>
  <c r="BP60" i="27"/>
  <c r="BP28" i="27"/>
  <c r="BP72" i="27"/>
  <c r="BP8" i="27"/>
  <c r="BP153" i="27"/>
  <c r="BP285" i="27"/>
  <c r="BP253" i="27"/>
  <c r="BP221" i="27"/>
  <c r="BP189" i="27"/>
  <c r="BP56" i="27"/>
  <c r="BP59" i="27"/>
  <c r="BP88" i="27"/>
  <c r="BP67" i="27"/>
  <c r="BP158" i="27"/>
  <c r="BP126" i="27"/>
  <c r="BP262" i="27"/>
  <c r="BP230" i="27"/>
  <c r="BP198" i="27"/>
  <c r="BP108" i="27"/>
  <c r="BP40" i="27"/>
  <c r="BR110" i="27"/>
  <c r="BN66" i="27"/>
  <c r="BR252" i="27"/>
  <c r="BR90" i="27"/>
  <c r="BN246" i="27"/>
  <c r="BN87" i="27"/>
  <c r="BR282" i="27"/>
  <c r="BR127" i="27"/>
  <c r="BN283" i="27"/>
  <c r="BN124" i="27"/>
  <c r="BR319" i="27"/>
  <c r="BN17" i="27"/>
  <c r="BN305" i="27"/>
  <c r="BN337" i="27"/>
  <c r="BR141" i="27"/>
  <c r="BN62" i="27"/>
  <c r="BR266" i="27"/>
  <c r="BR100" i="27"/>
  <c r="BN256" i="27"/>
  <c r="BN99" i="27"/>
  <c r="BR294" i="27"/>
  <c r="BR137" i="27"/>
  <c r="BN293" i="27"/>
  <c r="BR47" i="27"/>
  <c r="BN9" i="27"/>
  <c r="BR85" i="27"/>
  <c r="BR360" i="27"/>
  <c r="BR210" i="27"/>
  <c r="BN359" i="27"/>
  <c r="BN200" i="27"/>
  <c r="BN43" i="27"/>
  <c r="BR239" i="27"/>
  <c r="BR81" i="27"/>
  <c r="BN237" i="27"/>
  <c r="BR86" i="27"/>
  <c r="BR339" i="27"/>
  <c r="BN210" i="27"/>
  <c r="BR320" i="27"/>
  <c r="BR170" i="27"/>
  <c r="BN319" i="27"/>
  <c r="BN152" i="27"/>
  <c r="BR365" i="27"/>
  <c r="BR199" i="27"/>
  <c r="BN364" i="27"/>
  <c r="BN218" i="27"/>
  <c r="BR24" i="27"/>
  <c r="BR172" i="27"/>
  <c r="BR245" i="27"/>
  <c r="BN166" i="27"/>
  <c r="BN7" i="27"/>
  <c r="BR203" i="27"/>
  <c r="BN360" i="27"/>
  <c r="BN203" i="27"/>
  <c r="BN44" i="27"/>
  <c r="BR23" i="27"/>
  <c r="BR355" i="27"/>
  <c r="BR45" i="27"/>
  <c r="BR336" i="27"/>
  <c r="BP168" i="27"/>
  <c r="BP136" i="27"/>
  <c r="BP268" i="27"/>
  <c r="BP236" i="27"/>
  <c r="BP204" i="27"/>
  <c r="BP121" i="27"/>
  <c r="BP45" i="27"/>
  <c r="BP120" i="27"/>
  <c r="BP49" i="27"/>
  <c r="BP94" i="27"/>
  <c r="BP149" i="27"/>
  <c r="BP281" i="27"/>
  <c r="BP249" i="27"/>
  <c r="BP217" i="27"/>
  <c r="BP185" i="27"/>
  <c r="BP106" i="27"/>
  <c r="BP75" i="27"/>
  <c r="BP54" i="27"/>
  <c r="BP104" i="27"/>
  <c r="BP154" i="27"/>
  <c r="BP290" i="27"/>
  <c r="BP258" i="27"/>
  <c r="BP226" i="27"/>
  <c r="BP194" i="27"/>
  <c r="BP99" i="27"/>
  <c r="BP30" i="27"/>
  <c r="BN357" i="27"/>
  <c r="BR9" i="27"/>
  <c r="BN258" i="27"/>
  <c r="BR316" i="27"/>
  <c r="BR154" i="27"/>
  <c r="BN318" i="27"/>
  <c r="BN151" i="27"/>
  <c r="BR346" i="27"/>
  <c r="BR190" i="27"/>
  <c r="BN347" i="27"/>
  <c r="BN188" i="27"/>
  <c r="BN29" i="27"/>
  <c r="BN321" i="27"/>
  <c r="BR29" i="27"/>
  <c r="BR12" i="27"/>
  <c r="BR205" i="27"/>
  <c r="BN126" i="27"/>
  <c r="BR329" i="27"/>
  <c r="BR164" i="27"/>
  <c r="BN320" i="27"/>
  <c r="BN163" i="27"/>
  <c r="BR358" i="27"/>
  <c r="BR200" i="27"/>
  <c r="BN49" i="27"/>
  <c r="BN345" i="27"/>
  <c r="BR34" i="27"/>
  <c r="BR149" i="27"/>
  <c r="BN70" i="27"/>
  <c r="BR274" i="27"/>
  <c r="BR108" i="27"/>
  <c r="BN264" i="27"/>
  <c r="BN107" i="27"/>
  <c r="BR302" i="27"/>
  <c r="BR145" i="27"/>
  <c r="BN301" i="27"/>
  <c r="BN97" i="27"/>
  <c r="BN145" i="27"/>
  <c r="BR109" i="27"/>
  <c r="BN30" i="27"/>
  <c r="BR234" i="27"/>
  <c r="BR68" i="27"/>
  <c r="BN224" i="27"/>
  <c r="BN67" i="27"/>
  <c r="BR263" i="27"/>
  <c r="BR105" i="27"/>
  <c r="BR94" i="27"/>
  <c r="BN361" i="27"/>
  <c r="BR236" i="27"/>
  <c r="BR74" i="27"/>
  <c r="BN230" i="27"/>
  <c r="BN71" i="27"/>
  <c r="BR267" i="27"/>
  <c r="BR111" i="27"/>
  <c r="BN267" i="27"/>
  <c r="BN108" i="27"/>
  <c r="BN209" i="27"/>
  <c r="BN233" i="27"/>
  <c r="BR125" i="27"/>
  <c r="BN46" i="27"/>
  <c r="BP164" i="27"/>
  <c r="BP132" i="27"/>
  <c r="BP264" i="27"/>
  <c r="BP232" i="27"/>
  <c r="BP200" i="27"/>
  <c r="BP112" i="27"/>
  <c r="BP46" i="27"/>
  <c r="BP111" i="27"/>
  <c r="BP26" i="27"/>
  <c r="BP86" i="27"/>
  <c r="BP145" i="27"/>
  <c r="BP277" i="27"/>
  <c r="BP245" i="27"/>
  <c r="BP213" i="27"/>
  <c r="BP181" i="27"/>
  <c r="BP71" i="27"/>
  <c r="BP122" i="27"/>
  <c r="BP89" i="27"/>
  <c r="BP63" i="27"/>
  <c r="BP150" i="27"/>
  <c r="BP286" i="27"/>
  <c r="BP254" i="27"/>
  <c r="BP222" i="27"/>
  <c r="BP190" i="27"/>
  <c r="BP84" i="27"/>
  <c r="BP66" i="27"/>
  <c r="BN356" i="27"/>
  <c r="BR10" i="27"/>
  <c r="BN362" i="27"/>
  <c r="BN73" i="27"/>
  <c r="BR217" i="27"/>
  <c r="BR67" i="27"/>
  <c r="BN215" i="27"/>
  <c r="BN48" i="27"/>
  <c r="BR254" i="27"/>
  <c r="BR88" i="27"/>
  <c r="BN252" i="27"/>
  <c r="BN93" i="27"/>
  <c r="BR37" i="27"/>
  <c r="BR17" i="27"/>
  <c r="BR196" i="27"/>
  <c r="BR269" i="27"/>
  <c r="BN190" i="27"/>
  <c r="BN31" i="27"/>
  <c r="BR227" i="27"/>
  <c r="BR71" i="27"/>
  <c r="BN227" i="27"/>
  <c r="BN68" i="27"/>
  <c r="BR264" i="27"/>
  <c r="BR18" i="27"/>
  <c r="BR69" i="27"/>
  <c r="BR20" i="27"/>
  <c r="BR213" i="27"/>
  <c r="BN134" i="27"/>
  <c r="BR337" i="27"/>
  <c r="BR171" i="27"/>
  <c r="BN328" i="27"/>
  <c r="BN171" i="27"/>
  <c r="BN12" i="27"/>
  <c r="BR208" i="27"/>
  <c r="BN169" i="27"/>
  <c r="BN90" i="27"/>
  <c r="BN122" i="27"/>
  <c r="BR173" i="27"/>
  <c r="BN94" i="27"/>
  <c r="BR297" i="27"/>
  <c r="BR132" i="27"/>
  <c r="BN288" i="27"/>
  <c r="BN131" i="27"/>
  <c r="BR326" i="27"/>
  <c r="BR168" i="27"/>
  <c r="BR158" i="27"/>
  <c r="BN242" i="27"/>
  <c r="BR300" i="27"/>
  <c r="BR138" i="27"/>
  <c r="BN302" i="27"/>
  <c r="BN135" i="27"/>
  <c r="BR330" i="27"/>
  <c r="BR174" i="27"/>
  <c r="BN331" i="27"/>
  <c r="BN265" i="27"/>
  <c r="BN202" i="27"/>
  <c r="BN234" i="27"/>
  <c r="BR189" i="27"/>
  <c r="BN110" i="27"/>
  <c r="BP160" i="27"/>
  <c r="BP128" i="27"/>
  <c r="BP260" i="27"/>
  <c r="BP228" i="27"/>
  <c r="BP196" i="27"/>
  <c r="BP103" i="27"/>
  <c r="BP12" i="27"/>
  <c r="BP102" i="27"/>
  <c r="BP11" i="27"/>
  <c r="BP173" i="27"/>
  <c r="BP141" i="27"/>
  <c r="BP273" i="27"/>
  <c r="BP241" i="27"/>
  <c r="BP209" i="27"/>
  <c r="BP177" i="27"/>
  <c r="BP62" i="27"/>
  <c r="BP70" i="27"/>
  <c r="BP87" i="27"/>
  <c r="BP18" i="27"/>
  <c r="BP146" i="27"/>
  <c r="BP282" i="27"/>
  <c r="BP250" i="27"/>
  <c r="BP218" i="27"/>
  <c r="BP186" i="27"/>
  <c r="BP47" i="27"/>
  <c r="BP37" i="27"/>
  <c r="BN168" i="27"/>
  <c r="BR7" i="27"/>
  <c r="BR299" i="27"/>
  <c r="BR42" i="27"/>
  <c r="BR280" i="27"/>
  <c r="BR131" i="27"/>
  <c r="BN279" i="27"/>
  <c r="BN112" i="27"/>
  <c r="BR325" i="27"/>
  <c r="BR152" i="27"/>
  <c r="BN316" i="27"/>
  <c r="BN157" i="27"/>
  <c r="BR118" i="27"/>
  <c r="BN106" i="27"/>
  <c r="BR260" i="27"/>
  <c r="BR98" i="27"/>
  <c r="BN254" i="27"/>
  <c r="BN95" i="27"/>
  <c r="BR290" i="27"/>
  <c r="BR135" i="27"/>
  <c r="BN291" i="27"/>
  <c r="BN132" i="27"/>
  <c r="BR327" i="27"/>
  <c r="BR14" i="27"/>
  <c r="BN57" i="27"/>
  <c r="BR204" i="27"/>
  <c r="BR277" i="27"/>
  <c r="BN198" i="27"/>
  <c r="BN39" i="27"/>
  <c r="BR235" i="27"/>
  <c r="BR79" i="27"/>
  <c r="BN235" i="27"/>
  <c r="BN76" i="27"/>
  <c r="BR272" i="27"/>
  <c r="BN162" i="27"/>
  <c r="BR16" i="27"/>
  <c r="BR44" i="27"/>
  <c r="BR237" i="27"/>
  <c r="BN158" i="27"/>
  <c r="BR361" i="27"/>
  <c r="BR195" i="27"/>
  <c r="BN352" i="27"/>
  <c r="BN195" i="27"/>
  <c r="BN36" i="27"/>
  <c r="BR232" i="27"/>
  <c r="BN289" i="27"/>
  <c r="BN306" i="27"/>
  <c r="BR364" i="27"/>
  <c r="BR201" i="27"/>
  <c r="BR51" i="27"/>
  <c r="BN199" i="27"/>
  <c r="BN32" i="27"/>
  <c r="BP156" i="27"/>
  <c r="BP288" i="27"/>
  <c r="BP256" i="27"/>
  <c r="BP224" i="27"/>
  <c r="BP192" i="27"/>
  <c r="BP92" i="27"/>
  <c r="BP16" i="27"/>
  <c r="BP91" i="27"/>
  <c r="BP14" i="27"/>
  <c r="BP169" i="27"/>
  <c r="BP137" i="27"/>
  <c r="BP269" i="27"/>
  <c r="BP237" i="27"/>
  <c r="BP205" i="27"/>
  <c r="BP119" i="27"/>
  <c r="BP61" i="27"/>
  <c r="BP17" i="27"/>
  <c r="BP69" i="27"/>
  <c r="BP174" i="27"/>
  <c r="BP142" i="27"/>
  <c r="BP278" i="27"/>
  <c r="BP246" i="27"/>
  <c r="BP214" i="27"/>
  <c r="BP182" i="27"/>
  <c r="BP82" i="27"/>
  <c r="BP27" i="27"/>
  <c r="BN278" i="27"/>
  <c r="BR31" i="27"/>
  <c r="BR363" i="27"/>
  <c r="BR61" i="27"/>
  <c r="BR344" i="27"/>
  <c r="BR194" i="27"/>
  <c r="BN343" i="27"/>
  <c r="BN184" i="27"/>
  <c r="BN27" i="27"/>
  <c r="BR223" i="27"/>
  <c r="BR65" i="27"/>
  <c r="BN221" i="27"/>
  <c r="BN33" i="27"/>
  <c r="BN266" i="27"/>
  <c r="BR324" i="27"/>
  <c r="BR162" i="27"/>
  <c r="BN326" i="27"/>
  <c r="BN159" i="27"/>
  <c r="BR354" i="27"/>
  <c r="BR198" i="27"/>
  <c r="BN355" i="27"/>
  <c r="BN196" i="27"/>
  <c r="BN37" i="27"/>
  <c r="BR126" i="27"/>
  <c r="BN146" i="27"/>
  <c r="BR268" i="27"/>
  <c r="BR106" i="27"/>
  <c r="BN262" i="27"/>
  <c r="BN103" i="27"/>
  <c r="BR298" i="27"/>
  <c r="BR143" i="27"/>
  <c r="BN299" i="27"/>
  <c r="BN140" i="27"/>
  <c r="BR335" i="27"/>
  <c r="BR78" i="27"/>
  <c r="BN249" i="27"/>
  <c r="BR228" i="27"/>
  <c r="BR66" i="27"/>
  <c r="BN222" i="27"/>
  <c r="BN63" i="27"/>
  <c r="BR259" i="27"/>
  <c r="BR103" i="27"/>
  <c r="BN259" i="27"/>
  <c r="BN100" i="27"/>
  <c r="BR295" i="27"/>
  <c r="BR21" i="27"/>
  <c r="BR283" i="27"/>
  <c r="BN313" i="27"/>
  <c r="BR265" i="27"/>
  <c r="BR115" i="27"/>
  <c r="BN263" i="27"/>
  <c r="BN96" i="27"/>
  <c r="BR309" i="27"/>
  <c r="BR136" i="27"/>
  <c r="BR102" i="27"/>
  <c r="BN34" i="27"/>
  <c r="BR244" i="27"/>
  <c r="BR82" i="27"/>
  <c r="BN238" i="27"/>
  <c r="BN79" i="27"/>
  <c r="BR275" i="27"/>
  <c r="BR119" i="27"/>
  <c r="BN275" i="27"/>
  <c r="BN116" i="27"/>
  <c r="BN282" i="27"/>
  <c r="BN175" i="27"/>
  <c r="BN172" i="27"/>
  <c r="BN344" i="27"/>
  <c r="BN201" i="27"/>
  <c r="BN350" i="27"/>
  <c r="BR56" i="27"/>
  <c r="BN309" i="27"/>
  <c r="BN47" i="27"/>
  <c r="BR28" i="27"/>
  <c r="BR179" i="27"/>
  <c r="BR89" i="27"/>
  <c r="BR8" i="27"/>
  <c r="BR187" i="27"/>
  <c r="BN325" i="27"/>
  <c r="BN177" i="27"/>
  <c r="BN55" i="27"/>
  <c r="BN92" i="27"/>
  <c r="BR122" i="27"/>
  <c r="BR113" i="27"/>
  <c r="BN14" i="27"/>
  <c r="BN51" i="27"/>
  <c r="BN149" i="27"/>
  <c r="BR287" i="27"/>
  <c r="BN41" i="27"/>
  <c r="BN340" i="27"/>
  <c r="BP115" i="27"/>
  <c r="BP52" i="27"/>
  <c r="BP163" i="27"/>
  <c r="BP127" i="27"/>
  <c r="BR133" i="27"/>
  <c r="BP20" i="27"/>
  <c r="BP65" i="27"/>
  <c r="BP78" i="27"/>
  <c r="BP175" i="27"/>
  <c r="BP207" i="27"/>
  <c r="BP243" i="27"/>
  <c r="BP275" i="27"/>
  <c r="BP143" i="27"/>
  <c r="BP113" i="27"/>
  <c r="BP98" i="27"/>
  <c r="BN84" i="27"/>
  <c r="BR142" i="27"/>
  <c r="BN315" i="27"/>
  <c r="BR153" i="27"/>
  <c r="BR52" i="27"/>
  <c r="BN170" i="27"/>
  <c r="BR159" i="27"/>
  <c r="BN284" i="27"/>
  <c r="BR163" i="27"/>
  <c r="BR62" i="27"/>
  <c r="BR97" i="27"/>
  <c r="BN150" i="27"/>
  <c r="BN117" i="27"/>
  <c r="BN336" i="27"/>
  <c r="BN185" i="27"/>
  <c r="BN206" i="27"/>
  <c r="BN85" i="27"/>
  <c r="BN280" i="27"/>
  <c r="BR348" i="27"/>
  <c r="BR46" i="27"/>
  <c r="BR176" i="27"/>
  <c r="BR116" i="27"/>
  <c r="BR26" i="27"/>
  <c r="BR342" i="27"/>
  <c r="BN83" i="27"/>
  <c r="BN176" i="27"/>
  <c r="BN271" i="27"/>
  <c r="BN174" i="27"/>
  <c r="BN338" i="27"/>
  <c r="BR328" i="27"/>
  <c r="BR322" i="27"/>
  <c r="BN204" i="27"/>
  <c r="BN274" i="27"/>
  <c r="BR75" i="27"/>
  <c r="BN91" i="27"/>
  <c r="BR33" i="27"/>
  <c r="BP274" i="27"/>
  <c r="BP233" i="27"/>
  <c r="BP188" i="27"/>
  <c r="BP22" i="27"/>
  <c r="BP10" i="27"/>
  <c r="BP77" i="27"/>
  <c r="BP179" i="27"/>
  <c r="BP211" i="27"/>
  <c r="BP247" i="27"/>
  <c r="BP279" i="27"/>
  <c r="BP147" i="27"/>
  <c r="BP50" i="27"/>
  <c r="BP107" i="27"/>
  <c r="BR314" i="27"/>
  <c r="BN333" i="27"/>
  <c r="BN59" i="27"/>
  <c r="BN300" i="27"/>
  <c r="BN111" i="27"/>
  <c r="BR41" i="27"/>
  <c r="BR60" i="27"/>
  <c r="BR191" i="27"/>
  <c r="BN214" i="27"/>
  <c r="BN13" i="27"/>
  <c r="BN28" i="27"/>
  <c r="BR249" i="27"/>
  <c r="BR343" i="27"/>
  <c r="BN72" i="27"/>
  <c r="BR27" i="27"/>
  <c r="BR50" i="27"/>
  <c r="BR311" i="27"/>
  <c r="BN16" i="27"/>
  <c r="BN74" i="27"/>
  <c r="BN213" i="27"/>
  <c r="BN348" i="27"/>
  <c r="BR281" i="27"/>
  <c r="BN137" i="27"/>
  <c r="BR278" i="27"/>
  <c r="BN19" i="27"/>
  <c r="BN104" i="27"/>
  <c r="BN207" i="27"/>
  <c r="BR146" i="27"/>
  <c r="BR207" i="27"/>
  <c r="BN330" i="27"/>
  <c r="BN127" i="27"/>
  <c r="BN363" i="27"/>
  <c r="BN81" i="27"/>
  <c r="BR225" i="27"/>
  <c r="BN248" i="27"/>
  <c r="BP138" i="27"/>
  <c r="BP265" i="27"/>
  <c r="BP220" i="27"/>
  <c r="BN285" i="27"/>
  <c r="BP215" i="27"/>
  <c r="BP7" i="27"/>
  <c r="BP116" i="27"/>
  <c r="BP183" i="27"/>
  <c r="BP219" i="27"/>
  <c r="BP251" i="27"/>
  <c r="BP283" i="27"/>
  <c r="BP151" i="27"/>
  <c r="BP85" i="27"/>
  <c r="BP124" i="27"/>
  <c r="BR226" i="27"/>
  <c r="BN276" i="27"/>
  <c r="BN216" i="27"/>
  <c r="BN148" i="27"/>
  <c r="BR218" i="27"/>
  <c r="BR134" i="27"/>
  <c r="BN341" i="27"/>
  <c r="BN251" i="27"/>
  <c r="BR312" i="27"/>
  <c r="BR349" i="27"/>
  <c r="BR120" i="27"/>
  <c r="BR229" i="27"/>
  <c r="BR216" i="27"/>
  <c r="BN239" i="27"/>
  <c r="BR38" i="27"/>
  <c r="BN98" i="27"/>
  <c r="BR184" i="27"/>
  <c r="BR124" i="27"/>
  <c r="BN290" i="27"/>
  <c r="BN236" i="27"/>
  <c r="BR310" i="27"/>
  <c r="BN342" i="27"/>
  <c r="BN89" i="27"/>
  <c r="BR215" i="27"/>
  <c r="BR317" i="27"/>
  <c r="BN40" i="27"/>
  <c r="BN143" i="27"/>
  <c r="BR253" i="27"/>
  <c r="BR72" i="27"/>
  <c r="BR347" i="27"/>
  <c r="BN294" i="27"/>
  <c r="BR206" i="27"/>
  <c r="BN101" i="27"/>
  <c r="BN121" i="27"/>
  <c r="BR92" i="27"/>
  <c r="BP170" i="27"/>
  <c r="BP133" i="27"/>
  <c r="BP252" i="27"/>
  <c r="BR262" i="27"/>
  <c r="BP292" i="27"/>
  <c r="BP38" i="27"/>
  <c r="BP29" i="27"/>
  <c r="BP187" i="27"/>
  <c r="BP223" i="27"/>
  <c r="BP255" i="27"/>
  <c r="BP287" i="27"/>
  <c r="BP159" i="27"/>
  <c r="BP81" i="27"/>
  <c r="BP32" i="27"/>
  <c r="BN22" i="27"/>
  <c r="BN136" i="27"/>
  <c r="BN119" i="27"/>
  <c r="BR247" i="27"/>
  <c r="BN270" i="27"/>
  <c r="BR243" i="27"/>
  <c r="BN253" i="27"/>
  <c r="BR357" i="27"/>
  <c r="BR58" i="27"/>
  <c r="BN303" i="27"/>
  <c r="BR293" i="27"/>
  <c r="BR36" i="27"/>
  <c r="BN220" i="27"/>
  <c r="BR345" i="27"/>
  <c r="BN130" i="27"/>
  <c r="BN113" i="27"/>
  <c r="BR49" i="27"/>
  <c r="BN183" i="27"/>
  <c r="BN26" i="27"/>
  <c r="BN225" i="27"/>
  <c r="BR48" i="27"/>
  <c r="BN78" i="27"/>
  <c r="BR57" i="27"/>
  <c r="BR144" i="27"/>
  <c r="BR246" i="27"/>
  <c r="BR338" i="27"/>
  <c r="BN15" i="27"/>
  <c r="BR308" i="27"/>
  <c r="BN11" i="27"/>
  <c r="BR15" i="27"/>
  <c r="BR130" i="27"/>
  <c r="BR362" i="27"/>
  <c r="BN260" i="27"/>
  <c r="BR11" i="27"/>
  <c r="BR258" i="27"/>
  <c r="BP6" i="27"/>
  <c r="BP42" i="27"/>
  <c r="BP165" i="27"/>
  <c r="BP284" i="27"/>
  <c r="BP95" i="27"/>
  <c r="BN334" i="27"/>
  <c r="BP155" i="27"/>
  <c r="BP23" i="27"/>
  <c r="BP80" i="27"/>
  <c r="BP191" i="27"/>
  <c r="BP227" i="27"/>
  <c r="BP259" i="27"/>
  <c r="BP291" i="27"/>
  <c r="BP167" i="27"/>
  <c r="BP64" i="27"/>
  <c r="BP74" i="27"/>
  <c r="BR101" i="27"/>
  <c r="BR212" i="27"/>
  <c r="BN286" i="27"/>
  <c r="BN307" i="27"/>
  <c r="BR114" i="27"/>
  <c r="BR323" i="27"/>
  <c r="BN141" i="27"/>
  <c r="BR95" i="27"/>
  <c r="BN154" i="27"/>
  <c r="BR304" i="27"/>
  <c r="BN80" i="27"/>
  <c r="BN194" i="27"/>
  <c r="BN20" i="27"/>
  <c r="BR91" i="27"/>
  <c r="BN58" i="27"/>
  <c r="BR351" i="27"/>
  <c r="BN212" i="27"/>
  <c r="BR289" i="27"/>
  <c r="BN129" i="27"/>
  <c r="BN277" i="27"/>
  <c r="BN115" i="27"/>
  <c r="BR177" i="27"/>
  <c r="BN308" i="27"/>
  <c r="BR80" i="27"/>
  <c r="BR182" i="27"/>
  <c r="BR211" i="27"/>
  <c r="BR313" i="27"/>
  <c r="BR180" i="27"/>
  <c r="BR238" i="27"/>
  <c r="BR359" i="27"/>
  <c r="BR292" i="27"/>
  <c r="BN167" i="27"/>
  <c r="BR96" i="27"/>
  <c r="BN42" i="27"/>
  <c r="BN54" i="27"/>
  <c r="BP96" i="27"/>
  <c r="BP118" i="27"/>
  <c r="BP24" i="27"/>
  <c r="BP152" i="27"/>
  <c r="CE12" i="23"/>
  <c r="BO293" i="27"/>
  <c r="BP293" i="27" s="1"/>
  <c r="BL294" i="27"/>
  <c r="U35" i="3"/>
  <c r="W35" i="3"/>
  <c r="AL9" i="23"/>
  <c r="AM9" i="23"/>
  <c r="AN9" i="23"/>
  <c r="AL8" i="23"/>
  <c r="AM8" i="23"/>
  <c r="AN8" i="23"/>
  <c r="AN11" i="23"/>
  <c r="AL11" i="23"/>
  <c r="AM11" i="23"/>
  <c r="AL7" i="23"/>
  <c r="AM7" i="23"/>
  <c r="AN7" i="23"/>
  <c r="AM6" i="23"/>
  <c r="AN6" i="23"/>
  <c r="AL6" i="23"/>
  <c r="AN5" i="23"/>
  <c r="AM5" i="23"/>
  <c r="AL5" i="23"/>
  <c r="AL10" i="23"/>
  <c r="AM10" i="23"/>
  <c r="AN10" i="23"/>
  <c r="U41" i="3"/>
  <c r="W41" i="3"/>
  <c r="T41" i="3"/>
  <c r="V41" i="3"/>
  <c r="S41" i="3"/>
  <c r="T38" i="3"/>
  <c r="W38" i="3"/>
  <c r="U38" i="3"/>
  <c r="S38" i="3"/>
  <c r="V38" i="3"/>
  <c r="V40" i="3"/>
  <c r="S40" i="3"/>
  <c r="T40" i="3"/>
  <c r="W40" i="3"/>
  <c r="U40" i="3"/>
  <c r="T35" i="3"/>
  <c r="S35" i="3"/>
  <c r="V35" i="3"/>
  <c r="S36" i="3"/>
  <c r="W36" i="3"/>
  <c r="T36" i="3"/>
  <c r="U36" i="3"/>
  <c r="V36" i="3"/>
  <c r="V39" i="3"/>
  <c r="T39" i="3"/>
  <c r="W39" i="3"/>
  <c r="S39" i="3"/>
  <c r="U39" i="3"/>
  <c r="U37" i="3"/>
  <c r="S37" i="3"/>
  <c r="W37" i="3"/>
  <c r="T37" i="3"/>
  <c r="V37" i="3"/>
  <c r="R16" i="2"/>
  <c r="V16" i="2" s="1"/>
  <c r="BC82" i="3"/>
  <c r="BD61" i="3"/>
  <c r="BC65" i="3"/>
  <c r="BD86" i="3"/>
  <c r="BA52" i="3"/>
  <c r="BA101" i="3"/>
  <c r="AZ96" i="3"/>
  <c r="BD83" i="3"/>
  <c r="BA85" i="3"/>
  <c r="BC68" i="3"/>
  <c r="BD53" i="3"/>
  <c r="BD29" i="3"/>
  <c r="BD10" i="3"/>
  <c r="BD6" i="3"/>
  <c r="BC17" i="3"/>
  <c r="AZ7" i="3"/>
  <c r="T10" i="2"/>
  <c r="T14" i="2"/>
  <c r="V11" i="2"/>
  <c r="V10" i="2"/>
  <c r="T13" i="2"/>
  <c r="T18" i="2"/>
  <c r="T15" i="2"/>
  <c r="T19" i="2"/>
  <c r="E5" i="3"/>
  <c r="V15" i="2"/>
  <c r="V13" i="2"/>
  <c r="T11" i="2"/>
  <c r="V14" i="2"/>
  <c r="E7" i="3"/>
  <c r="G28" i="3" s="1"/>
  <c r="T12" i="2"/>
  <c r="T17" i="2"/>
  <c r="V12" i="2"/>
  <c r="DT145" i="28" l="1"/>
  <c r="K129" i="30"/>
  <c r="BL151" i="29"/>
  <c r="J145" i="30"/>
  <c r="EF94" i="28"/>
  <c r="EF71" i="28"/>
  <c r="EG71" i="28"/>
  <c r="D68" i="30"/>
  <c r="J68" i="30" s="1"/>
  <c r="J121" i="30"/>
  <c r="K113" i="30"/>
  <c r="K97" i="30"/>
  <c r="K23" i="30"/>
  <c r="EG100" i="28"/>
  <c r="D71" i="30"/>
  <c r="J71" i="30" s="1"/>
  <c r="EG80" i="28"/>
  <c r="EG101" i="28"/>
  <c r="EH111" i="28"/>
  <c r="D100" i="30"/>
  <c r="K100" i="30" s="1"/>
  <c r="EG38" i="28"/>
  <c r="EF100" i="28"/>
  <c r="D80" i="30"/>
  <c r="EH80" i="28"/>
  <c r="EF19" i="28"/>
  <c r="EH112" i="28"/>
  <c r="D112" i="30"/>
  <c r="D96" i="30"/>
  <c r="DU160" i="28"/>
  <c r="EH45" i="28"/>
  <c r="DS160" i="28"/>
  <c r="DT160" i="28"/>
  <c r="EP82" i="28"/>
  <c r="EG27" i="28"/>
  <c r="EK89" i="28"/>
  <c r="EL69" i="28"/>
  <c r="EO82" i="28"/>
  <c r="EP84" i="28"/>
  <c r="J32" i="30"/>
  <c r="J22" i="30"/>
  <c r="K151" i="30"/>
  <c r="J55" i="30"/>
  <c r="BK158" i="29"/>
  <c r="J9" i="30"/>
  <c r="K160" i="30"/>
  <c r="J115" i="30"/>
  <c r="EG112" i="28"/>
  <c r="EH92" i="28"/>
  <c r="J45" i="30"/>
  <c r="J49" i="30"/>
  <c r="EK8" i="28"/>
  <c r="J108" i="30"/>
  <c r="J46" i="30"/>
  <c r="J85" i="30"/>
  <c r="K158" i="30"/>
  <c r="J70" i="30"/>
  <c r="J116" i="30"/>
  <c r="J40" i="30"/>
  <c r="J29" i="30"/>
  <c r="J33" i="30"/>
  <c r="J42" i="30"/>
  <c r="J99" i="30"/>
  <c r="J30" i="30"/>
  <c r="J69" i="30"/>
  <c r="J53" i="30"/>
  <c r="J83" i="30"/>
  <c r="J24" i="30"/>
  <c r="K122" i="30"/>
  <c r="J64" i="30"/>
  <c r="J13" i="30"/>
  <c r="J17" i="30"/>
  <c r="K134" i="30"/>
  <c r="K118" i="30"/>
  <c r="J26" i="30"/>
  <c r="J14" i="30"/>
  <c r="K130" i="30"/>
  <c r="J52" i="30"/>
  <c r="J16" i="30"/>
  <c r="K141" i="30"/>
  <c r="J104" i="30"/>
  <c r="J37" i="30"/>
  <c r="J50" i="30"/>
  <c r="EL26" i="28"/>
  <c r="J62" i="30"/>
  <c r="K138" i="30"/>
  <c r="J31" i="30"/>
  <c r="K150" i="30"/>
  <c r="J10" i="30"/>
  <c r="K146" i="30"/>
  <c r="J36" i="30"/>
  <c r="J54" i="30"/>
  <c r="K157" i="30"/>
  <c r="J90" i="30"/>
  <c r="J84" i="30"/>
  <c r="J34" i="30"/>
  <c r="K119" i="30"/>
  <c r="J38" i="30"/>
  <c r="J77" i="30"/>
  <c r="EP73" i="28"/>
  <c r="K154" i="30"/>
  <c r="J15" i="30"/>
  <c r="K135" i="30"/>
  <c r="K148" i="30"/>
  <c r="J111" i="30"/>
  <c r="K162" i="30"/>
  <c r="K152" i="30"/>
  <c r="J113" i="30"/>
  <c r="J8" i="30"/>
  <c r="J92" i="30"/>
  <c r="J18" i="30"/>
  <c r="J117" i="30"/>
  <c r="J97" i="30"/>
  <c r="J74" i="30"/>
  <c r="J95" i="30"/>
  <c r="J57" i="30"/>
  <c r="J89" i="30"/>
  <c r="J78" i="30"/>
  <c r="J82" i="30"/>
  <c r="J79" i="30"/>
  <c r="K126" i="30"/>
  <c r="J81" i="30"/>
  <c r="J39" i="30"/>
  <c r="J102" i="30"/>
  <c r="J67" i="30"/>
  <c r="K125" i="30"/>
  <c r="J105" i="30"/>
  <c r="J107" i="30"/>
  <c r="J25" i="30"/>
  <c r="J35" i="30"/>
  <c r="J28" i="30"/>
  <c r="J73" i="30"/>
  <c r="J61" i="30"/>
  <c r="J63" i="30"/>
  <c r="J101" i="30"/>
  <c r="K142" i="30"/>
  <c r="J65" i="30"/>
  <c r="J23" i="30"/>
  <c r="J86" i="30"/>
  <c r="EP18" i="28"/>
  <c r="EP11" i="28"/>
  <c r="K37" i="30"/>
  <c r="EO40" i="28"/>
  <c r="EL38" i="28"/>
  <c r="EH17" i="28"/>
  <c r="EK11" i="28"/>
  <c r="EP19" i="28"/>
  <c r="EP78" i="28"/>
  <c r="EO78" i="28"/>
  <c r="EP103" i="28"/>
  <c r="K92" i="30"/>
  <c r="EH26" i="28"/>
  <c r="EL117" i="28"/>
  <c r="K17" i="30"/>
  <c r="EG26" i="28"/>
  <c r="EL65" i="28"/>
  <c r="EK65" i="28"/>
  <c r="EH64" i="28"/>
  <c r="EP87" i="28"/>
  <c r="EP93" i="28"/>
  <c r="D41" i="30"/>
  <c r="EH14" i="28"/>
  <c r="EF86" i="28"/>
  <c r="EH93" i="28"/>
  <c r="EP37" i="28"/>
  <c r="EL95" i="28"/>
  <c r="EL10" i="28"/>
  <c r="K85" i="30"/>
  <c r="EK31" i="28"/>
  <c r="EO37" i="28"/>
  <c r="EG66" i="28"/>
  <c r="EP102" i="28"/>
  <c r="EK70" i="28"/>
  <c r="EL89" i="28"/>
  <c r="EG110" i="28"/>
  <c r="EO104" i="28"/>
  <c r="EL92" i="28"/>
  <c r="EG55" i="28"/>
  <c r="EG83" i="28"/>
  <c r="EO93" i="28"/>
  <c r="EP66" i="28"/>
  <c r="EK50" i="28"/>
  <c r="EH39" i="28"/>
  <c r="EK103" i="28"/>
  <c r="EG88" i="28"/>
  <c r="EG31" i="28"/>
  <c r="K111" i="30"/>
  <c r="EH91" i="28"/>
  <c r="EK10" i="28"/>
  <c r="EH32" i="28"/>
  <c r="EL87" i="28"/>
  <c r="EG86" i="28"/>
  <c r="EJ31" i="28"/>
  <c r="EJ38" i="28"/>
  <c r="EL110" i="28"/>
  <c r="EO86" i="28"/>
  <c r="EN38" i="28"/>
  <c r="EJ89" i="28"/>
  <c r="EN86" i="28"/>
  <c r="EK88" i="28"/>
  <c r="EL20" i="28"/>
  <c r="K86" i="30"/>
  <c r="EO100" i="28"/>
  <c r="EL48" i="28"/>
  <c r="EN94" i="28"/>
  <c r="EN78" i="28"/>
  <c r="EJ47" i="28"/>
  <c r="K10" i="30"/>
  <c r="EK57" i="28"/>
  <c r="EH108" i="28"/>
  <c r="EK83" i="28"/>
  <c r="EL86" i="28"/>
  <c r="EG23" i="28"/>
  <c r="EJ27" i="28"/>
  <c r="EF18" i="28"/>
  <c r="K82" i="30"/>
  <c r="EL23" i="28"/>
  <c r="EP106" i="28"/>
  <c r="EH10" i="28"/>
  <c r="EH65" i="28"/>
  <c r="EO67" i="28"/>
  <c r="EK21" i="28"/>
  <c r="EG115" i="28"/>
  <c r="K105" i="30"/>
  <c r="EK64" i="28"/>
  <c r="EH105" i="28"/>
  <c r="EP70" i="28"/>
  <c r="EP115" i="28"/>
  <c r="EO115" i="28"/>
  <c r="K8" i="30"/>
  <c r="EF65" i="28"/>
  <c r="EG18" i="28"/>
  <c r="EL94" i="28"/>
  <c r="EH77" i="28"/>
  <c r="EL33" i="28"/>
  <c r="EH107" i="28"/>
  <c r="EP24" i="28"/>
  <c r="EJ24" i="28"/>
  <c r="EL8" i="28"/>
  <c r="EL53" i="28"/>
  <c r="EG10" i="28"/>
  <c r="EG111" i="28"/>
  <c r="EF108" i="28"/>
  <c r="EH55" i="28"/>
  <c r="EK117" i="28"/>
  <c r="EH56" i="28"/>
  <c r="EP89" i="28"/>
  <c r="EG11" i="28"/>
  <c r="EH16" i="28"/>
  <c r="EG63" i="28"/>
  <c r="EL103" i="28"/>
  <c r="K61" i="30"/>
  <c r="K15" i="30"/>
  <c r="EO20" i="28"/>
  <c r="EG84" i="28"/>
  <c r="EH15" i="28"/>
  <c r="EL99" i="28"/>
  <c r="EG15" i="28"/>
  <c r="EF109" i="28"/>
  <c r="EN93" i="28"/>
  <c r="EH28" i="28"/>
  <c r="EH43" i="28"/>
  <c r="EP101" i="28"/>
  <c r="EJ25" i="28"/>
  <c r="EN81" i="28"/>
  <c r="EF38" i="28"/>
  <c r="EK62" i="28"/>
  <c r="K63" i="30"/>
  <c r="EP83" i="28"/>
  <c r="EK48" i="28"/>
  <c r="EG72" i="28"/>
  <c r="EF84" i="28"/>
  <c r="EJ68" i="28"/>
  <c r="EN97" i="28"/>
  <c r="EJ103" i="28"/>
  <c r="EN72" i="28"/>
  <c r="EH40" i="28"/>
  <c r="EJ44" i="28"/>
  <c r="EL57" i="28"/>
  <c r="EG105" i="28"/>
  <c r="EG61" i="28"/>
  <c r="EK99" i="28"/>
  <c r="EF56" i="28"/>
  <c r="K69" i="30"/>
  <c r="EK26" i="28"/>
  <c r="EL104" i="28"/>
  <c r="EH69" i="28"/>
  <c r="EP112" i="28"/>
  <c r="EO29" i="28"/>
  <c r="EL41" i="28"/>
  <c r="EG40" i="28"/>
  <c r="EK105" i="28"/>
  <c r="EK46" i="28"/>
  <c r="EJ105" i="28"/>
  <c r="K52" i="30"/>
  <c r="EN113" i="28"/>
  <c r="EN15" i="28"/>
  <c r="EO34" i="28"/>
  <c r="EN63" i="28"/>
  <c r="EO113" i="28"/>
  <c r="EO90" i="28"/>
  <c r="EG116" i="28"/>
  <c r="EK100" i="28"/>
  <c r="EP53" i="28"/>
  <c r="EO10" i="28"/>
  <c r="EL50" i="28"/>
  <c r="EO54" i="28"/>
  <c r="EP17" i="28"/>
  <c r="EO64" i="28"/>
  <c r="K46" i="30"/>
  <c r="EP100" i="28"/>
  <c r="EO17" i="28"/>
  <c r="EH101" i="28"/>
  <c r="EN115" i="28"/>
  <c r="K16" i="30"/>
  <c r="EN116" i="28"/>
  <c r="EK18" i="28"/>
  <c r="EO70" i="28"/>
  <c r="EH46" i="28"/>
  <c r="EJ106" i="28"/>
  <c r="EN70" i="28"/>
  <c r="EN11" i="28"/>
  <c r="K55" i="30"/>
  <c r="EF107" i="28"/>
  <c r="EL66" i="28"/>
  <c r="EO32" i="28"/>
  <c r="EP113" i="28"/>
  <c r="EL106" i="28"/>
  <c r="EL105" i="28"/>
  <c r="EH61" i="28"/>
  <c r="EL54" i="28"/>
  <c r="EK20" i="28"/>
  <c r="EP29" i="28"/>
  <c r="K77" i="30"/>
  <c r="EG35" i="28"/>
  <c r="EG103" i="28"/>
  <c r="EG64" i="28"/>
  <c r="EO76" i="28"/>
  <c r="EK63" i="28"/>
  <c r="EP35" i="28"/>
  <c r="EL97" i="28"/>
  <c r="EK60" i="28"/>
  <c r="J160" i="30"/>
  <c r="EN48" i="28"/>
  <c r="EG77" i="28"/>
  <c r="EN104" i="28"/>
  <c r="EH95" i="28"/>
  <c r="EN76" i="28"/>
  <c r="EG92" i="28"/>
  <c r="EG107" i="28"/>
  <c r="EO73" i="28"/>
  <c r="EN31" i="28"/>
  <c r="K53" i="30"/>
  <c r="EN49" i="28"/>
  <c r="EN40" i="28"/>
  <c r="EP46" i="28"/>
  <c r="EJ22" i="28"/>
  <c r="EH41" i="28"/>
  <c r="EO45" i="28"/>
  <c r="EK71" i="28"/>
  <c r="EJ97" i="28"/>
  <c r="EF8" i="28"/>
  <c r="EN35" i="28"/>
  <c r="EP10" i="28"/>
  <c r="EO74" i="28"/>
  <c r="EF41" i="28"/>
  <c r="EL28" i="28"/>
  <c r="EP104" i="28"/>
  <c r="EG12" i="28"/>
  <c r="EP80" i="28"/>
  <c r="EO11" i="28"/>
  <c r="EL85" i="28"/>
  <c r="EK33" i="28"/>
  <c r="K30" i="30"/>
  <c r="EL70" i="28"/>
  <c r="EK39" i="28"/>
  <c r="EH8" i="28"/>
  <c r="EL31" i="28"/>
  <c r="EP34" i="28"/>
  <c r="EG113" i="28"/>
  <c r="EK97" i="28"/>
  <c r="EO57" i="28"/>
  <c r="EO48" i="28"/>
  <c r="EL62" i="28"/>
  <c r="EK47" i="28"/>
  <c r="EP75" i="28"/>
  <c r="EL73" i="28"/>
  <c r="EK28" i="28"/>
  <c r="EP47" i="28"/>
  <c r="EJ45" i="28"/>
  <c r="EP40" i="28"/>
  <c r="EF15" i="28"/>
  <c r="EH85" i="28"/>
  <c r="EP95" i="28"/>
  <c r="EO18" i="28"/>
  <c r="EG16" i="28"/>
  <c r="EO51" i="28"/>
  <c r="EP110" i="28"/>
  <c r="EL111" i="28"/>
  <c r="EO75" i="28"/>
  <c r="EP31" i="28"/>
  <c r="EF28" i="28"/>
  <c r="EL108" i="28"/>
  <c r="EO80" i="28"/>
  <c r="EL55" i="28"/>
  <c r="EK69" i="28"/>
  <c r="EK108" i="28"/>
  <c r="EJ67" i="28"/>
  <c r="EH113" i="28"/>
  <c r="EK32" i="28"/>
  <c r="EO35" i="28"/>
  <c r="EF48" i="28"/>
  <c r="EN46" i="28"/>
  <c r="EN84" i="28"/>
  <c r="EL115" i="28"/>
  <c r="EK43" i="28"/>
  <c r="EL21" i="28"/>
  <c r="BL133" i="29"/>
  <c r="EG99" i="28"/>
  <c r="EP76" i="28"/>
  <c r="EL43" i="28"/>
  <c r="EK115" i="28"/>
  <c r="EO31" i="28"/>
  <c r="EO46" i="28"/>
  <c r="EO95" i="28"/>
  <c r="EG8" i="28"/>
  <c r="EK77" i="28"/>
  <c r="EH47" i="28"/>
  <c r="EH44" i="28"/>
  <c r="EF67" i="28"/>
  <c r="K33" i="30"/>
  <c r="K64" i="30"/>
  <c r="EO103" i="28"/>
  <c r="EK111" i="28"/>
  <c r="EG49" i="28"/>
  <c r="D47" i="30"/>
  <c r="EG81" i="28"/>
  <c r="EO114" i="28"/>
  <c r="EJ42" i="28"/>
  <c r="K73" i="30"/>
  <c r="EH31" i="28"/>
  <c r="EL46" i="28"/>
  <c r="EJ93" i="28"/>
  <c r="EN9" i="28"/>
  <c r="EL24" i="28"/>
  <c r="EL67" i="28"/>
  <c r="EP15" i="28"/>
  <c r="EK24" i="28"/>
  <c r="EG47" i="28"/>
  <c r="EK95" i="28"/>
  <c r="EK36" i="28"/>
  <c r="EH58" i="28"/>
  <c r="EO106" i="28"/>
  <c r="EG17" i="28"/>
  <c r="EP97" i="28"/>
  <c r="EF73" i="28"/>
  <c r="EN22" i="28"/>
  <c r="EJ111" i="28"/>
  <c r="EN27" i="28"/>
  <c r="K117" i="30"/>
  <c r="J135" i="30"/>
  <c r="EO49" i="28"/>
  <c r="EO69" i="28"/>
  <c r="EF46" i="28"/>
  <c r="EN36" i="28"/>
  <c r="EO14" i="28"/>
  <c r="EG53" i="28"/>
  <c r="EO101" i="28"/>
  <c r="EJ82" i="28"/>
  <c r="J125" i="30"/>
  <c r="EJ54" i="28"/>
  <c r="EG68" i="28"/>
  <c r="EO107" i="28"/>
  <c r="EP27" i="28"/>
  <c r="EL12" i="28"/>
  <c r="EF68" i="28"/>
  <c r="EH73" i="28"/>
  <c r="EF96" i="28"/>
  <c r="EG46" i="28"/>
  <c r="EL45" i="28"/>
  <c r="EG51" i="28"/>
  <c r="EG67" i="28"/>
  <c r="EF106" i="28"/>
  <c r="EN23" i="28"/>
  <c r="EH62" i="28"/>
  <c r="EF116" i="28"/>
  <c r="K40" i="30"/>
  <c r="EP38" i="28"/>
  <c r="EN28" i="28"/>
  <c r="EK12" i="28"/>
  <c r="EG73" i="28"/>
  <c r="EO38" i="28"/>
  <c r="EL22" i="28"/>
  <c r="EO47" i="28"/>
  <c r="EJ57" i="28"/>
  <c r="EJ23" i="28"/>
  <c r="EF61" i="28"/>
  <c r="EF17" i="28"/>
  <c r="EJ50" i="28"/>
  <c r="EG30" i="28"/>
  <c r="J118" i="30"/>
  <c r="EH36" i="28"/>
  <c r="EO112" i="28"/>
  <c r="EP45" i="28"/>
  <c r="EF111" i="28"/>
  <c r="EH53" i="28"/>
  <c r="EK98" i="28"/>
  <c r="EK87" i="28"/>
  <c r="EF85" i="28"/>
  <c r="EJ86" i="28"/>
  <c r="EF113" i="28"/>
  <c r="EF32" i="28"/>
  <c r="EP42" i="28"/>
  <c r="EO60" i="28"/>
  <c r="EH109" i="28"/>
  <c r="EO42" i="28"/>
  <c r="K62" i="30"/>
  <c r="EP22" i="28"/>
  <c r="EH49" i="28"/>
  <c r="EO97" i="28"/>
  <c r="EP20" i="28"/>
  <c r="EO27" i="28"/>
  <c r="EP49" i="28"/>
  <c r="EK67" i="28"/>
  <c r="EL72" i="28"/>
  <c r="K101" i="30"/>
  <c r="EK101" i="28"/>
  <c r="EH117" i="28"/>
  <c r="EP79" i="28"/>
  <c r="EL113" i="28"/>
  <c r="EH21" i="28"/>
  <c r="EG117" i="28"/>
  <c r="EK66" i="28"/>
  <c r="EH67" i="28"/>
  <c r="EK109" i="28"/>
  <c r="EO41" i="28"/>
  <c r="EK116" i="28"/>
  <c r="EN62" i="28"/>
  <c r="EH96" i="28"/>
  <c r="EO28" i="28"/>
  <c r="EN41" i="28"/>
  <c r="EP8" i="28"/>
  <c r="EG62" i="28"/>
  <c r="EK23" i="28"/>
  <c r="EL101" i="28"/>
  <c r="EO15" i="28"/>
  <c r="J154" i="30"/>
  <c r="EF64" i="28"/>
  <c r="EJ46" i="28"/>
  <c r="EJ115" i="28"/>
  <c r="EN47" i="28"/>
  <c r="K81" i="30"/>
  <c r="EP51" i="28"/>
  <c r="EF10" i="28"/>
  <c r="EK86" i="28"/>
  <c r="EK54" i="28"/>
  <c r="EJ16" i="28"/>
  <c r="EF55" i="28"/>
  <c r="EK93" i="28"/>
  <c r="EO9" i="28"/>
  <c r="EH78" i="28"/>
  <c r="K49" i="30"/>
  <c r="EK74" i="28"/>
  <c r="EH48" i="28"/>
  <c r="EK22" i="28"/>
  <c r="EO116" i="28"/>
  <c r="K29" i="30"/>
  <c r="BN125" i="29"/>
  <c r="EG19" i="28"/>
  <c r="EO91" i="28"/>
  <c r="EO65" i="28"/>
  <c r="EK80" i="28"/>
  <c r="EH94" i="28"/>
  <c r="EL61" i="28"/>
  <c r="D19" i="30"/>
  <c r="EN91" i="28"/>
  <c r="EP71" i="28"/>
  <c r="EJ14" i="28"/>
  <c r="EH29" i="28"/>
  <c r="EK79" i="28"/>
  <c r="EN108" i="28"/>
  <c r="EN26" i="28"/>
  <c r="EN71" i="28"/>
  <c r="EJ56" i="28"/>
  <c r="EN21" i="28"/>
  <c r="D94" i="30"/>
  <c r="EF29" i="28"/>
  <c r="EJ79" i="28"/>
  <c r="EJ13" i="28"/>
  <c r="EN59" i="28"/>
  <c r="EL37" i="28"/>
  <c r="J151" i="30"/>
  <c r="EF114" i="28"/>
  <c r="J134" i="30"/>
  <c r="EO85" i="28"/>
  <c r="EL32" i="28"/>
  <c r="EJ88" i="28"/>
  <c r="EH102" i="28"/>
  <c r="EK114" i="28"/>
  <c r="EO30" i="28"/>
  <c r="J152" i="30"/>
  <c r="EO13" i="28"/>
  <c r="EO68" i="28"/>
  <c r="EN67" i="28"/>
  <c r="EJ114" i="28"/>
  <c r="EJ49" i="28"/>
  <c r="EN96" i="28"/>
  <c r="EN30" i="28"/>
  <c r="J157" i="30"/>
  <c r="EF104" i="28"/>
  <c r="EN13" i="28"/>
  <c r="EN88" i="28"/>
  <c r="EJ109" i="28"/>
  <c r="EN74" i="28"/>
  <c r="EL90" i="28"/>
  <c r="EJ80" i="28"/>
  <c r="EG60" i="28"/>
  <c r="EO92" i="28"/>
  <c r="EK90" i="28"/>
  <c r="EO8" i="28"/>
  <c r="EG78" i="28"/>
  <c r="EJ61" i="28"/>
  <c r="EN92" i="28"/>
  <c r="J138" i="30"/>
  <c r="EJ40" i="28"/>
  <c r="EN117" i="28"/>
  <c r="EF78" i="28"/>
  <c r="EF13" i="28"/>
  <c r="EJ63" i="28"/>
  <c r="EN109" i="28"/>
  <c r="EN43" i="28"/>
  <c r="EK59" i="28"/>
  <c r="EJ59" i="28"/>
  <c r="EP96" i="28"/>
  <c r="EP111" i="28"/>
  <c r="EN69" i="28"/>
  <c r="EH37" i="28"/>
  <c r="EG85" i="28"/>
  <c r="EP50" i="28"/>
  <c r="EJ20" i="28"/>
  <c r="EN50" i="28"/>
  <c r="EJ98" i="28"/>
  <c r="EJ32" i="28"/>
  <c r="EN79" i="28"/>
  <c r="EN14" i="28"/>
  <c r="EL79" i="28"/>
  <c r="K79" i="30"/>
  <c r="K13" i="30"/>
  <c r="EP92" i="28"/>
  <c r="EP109" i="28"/>
  <c r="EO26" i="28"/>
  <c r="EH114" i="28"/>
  <c r="EK56" i="28"/>
  <c r="EO21" i="28"/>
  <c r="EG29" i="28"/>
  <c r="EO109" i="28"/>
  <c r="EL59" i="28"/>
  <c r="EG75" i="28"/>
  <c r="EH72" i="28"/>
  <c r="EL88" i="28"/>
  <c r="EL114" i="28"/>
  <c r="EG102" i="28"/>
  <c r="EK14" i="28"/>
  <c r="EK13" i="28"/>
  <c r="EO111" i="28"/>
  <c r="EP108" i="28"/>
  <c r="EL27" i="28"/>
  <c r="EK51" i="28"/>
  <c r="EJ107" i="28"/>
  <c r="EG87" i="28"/>
  <c r="EO117" i="28"/>
  <c r="EH82" i="28"/>
  <c r="EK40" i="28"/>
  <c r="EP117" i="28"/>
  <c r="EG13" i="28"/>
  <c r="EL19" i="28"/>
  <c r="EL102" i="28"/>
  <c r="EF49" i="28"/>
  <c r="EJ99" i="28"/>
  <c r="EJ33" i="28"/>
  <c r="EN80" i="28"/>
  <c r="EP67" i="28"/>
  <c r="EL98" i="28"/>
  <c r="EP30" i="28"/>
  <c r="EH81" i="28"/>
  <c r="EO96" i="28"/>
  <c r="EO108" i="28"/>
  <c r="EN55" i="28"/>
  <c r="EO44" i="28"/>
  <c r="EL13" i="28"/>
  <c r="EN107" i="28"/>
  <c r="EF83" i="28"/>
  <c r="EN114" i="28"/>
  <c r="EL56" i="28"/>
  <c r="EN60" i="28"/>
  <c r="EK94" i="28"/>
  <c r="K42" i="30"/>
  <c r="EG89" i="28"/>
  <c r="EO59" i="28"/>
  <c r="EJ110" i="28"/>
  <c r="EN42" i="28"/>
  <c r="EH59" i="28"/>
  <c r="EN87" i="28"/>
  <c r="EN37" i="28"/>
  <c r="EH79" i="28"/>
  <c r="EP69" i="28"/>
  <c r="EF45" i="28"/>
  <c r="EJ95" i="28"/>
  <c r="EJ29" i="28"/>
  <c r="EG42" i="28"/>
  <c r="J148" i="30"/>
  <c r="K102" i="30"/>
  <c r="EO50" i="28"/>
  <c r="EF92" i="28"/>
  <c r="EP14" i="28"/>
  <c r="EK53" i="28"/>
  <c r="J130" i="30"/>
  <c r="EO79" i="28"/>
  <c r="EK113" i="28"/>
  <c r="EF52" i="28"/>
  <c r="EJ70" i="28"/>
  <c r="J158" i="30"/>
  <c r="EF97" i="28"/>
  <c r="EJ66" i="28"/>
  <c r="EN112" i="28"/>
  <c r="J141" i="30"/>
  <c r="EP26" i="28"/>
  <c r="EF57" i="28"/>
  <c r="EJ91" i="28"/>
  <c r="EJ9" i="28"/>
  <c r="EJ60" i="28"/>
  <c r="EN25" i="28"/>
  <c r="EN16" i="28"/>
  <c r="EL40" i="28"/>
  <c r="EJ112" i="28"/>
  <c r="EP59" i="28"/>
  <c r="EK61" i="28"/>
  <c r="EO71" i="28"/>
  <c r="EF77" i="28"/>
  <c r="EH42" i="28"/>
  <c r="EF62" i="28"/>
  <c r="EJ41" i="28"/>
  <c r="EN8" i="28"/>
  <c r="EN103" i="28"/>
  <c r="EO66" i="28"/>
  <c r="EF33" i="28"/>
  <c r="EJ83" i="28"/>
  <c r="EJ17" i="28"/>
  <c r="EN64" i="28"/>
  <c r="EP68" i="28"/>
  <c r="EH20" i="28"/>
  <c r="EJ69" i="28"/>
  <c r="EN106" i="28"/>
  <c r="EL49" i="28"/>
  <c r="EP13" i="28"/>
  <c r="EG37" i="28"/>
  <c r="EF53" i="28"/>
  <c r="EN101" i="28"/>
  <c r="EN19" i="28"/>
  <c r="EP58" i="28"/>
  <c r="EL44" i="28"/>
  <c r="EO25" i="28"/>
  <c r="EG34" i="28"/>
  <c r="EO98" i="28"/>
  <c r="EF90" i="28"/>
  <c r="EF25" i="28"/>
  <c r="EJ75" i="28"/>
  <c r="EK112" i="28"/>
  <c r="EO94" i="28"/>
  <c r="EP43" i="28"/>
  <c r="EG28" i="28"/>
  <c r="EO58" i="28"/>
  <c r="K31" i="30"/>
  <c r="D103" i="30"/>
  <c r="J131" i="30"/>
  <c r="K131" i="30"/>
  <c r="EL52" i="28"/>
  <c r="K107" i="30"/>
  <c r="EP90" i="28"/>
  <c r="EK73" i="28"/>
  <c r="EO53" i="28"/>
  <c r="EP52" i="28"/>
  <c r="EG45" i="28"/>
  <c r="EK29" i="28"/>
  <c r="EJ94" i="28"/>
  <c r="EJ28" i="28"/>
  <c r="EN75" i="28"/>
  <c r="EN10" i="28"/>
  <c r="EL76" i="28"/>
  <c r="EP56" i="28"/>
  <c r="EG33" i="28"/>
  <c r="EK17" i="28"/>
  <c r="EF105" i="28"/>
  <c r="EF40" i="28"/>
  <c r="EJ90" i="28"/>
  <c r="K14" i="30"/>
  <c r="EP85" i="28"/>
  <c r="K36" i="30"/>
  <c r="EK76" i="28"/>
  <c r="EH104" i="28"/>
  <c r="EG95" i="28"/>
  <c r="EK72" i="28"/>
  <c r="EO52" i="28"/>
  <c r="K70" i="30"/>
  <c r="EG69" i="28"/>
  <c r="EF43" i="28"/>
  <c r="D43" i="30"/>
  <c r="EF91" i="28"/>
  <c r="D91" i="30"/>
  <c r="K57" i="30"/>
  <c r="EH86" i="28"/>
  <c r="EL71" i="28"/>
  <c r="EG36" i="28"/>
  <c r="EO83" i="28"/>
  <c r="J146" i="30"/>
  <c r="K34" i="30"/>
  <c r="EH74" i="28"/>
  <c r="EL58" i="28"/>
  <c r="EP39" i="28"/>
  <c r="EP44" i="28"/>
  <c r="EF117" i="28"/>
  <c r="EJ53" i="28"/>
  <c r="EN100" i="28"/>
  <c r="EN34" i="28"/>
  <c r="EH84" i="28"/>
  <c r="EL60" i="28"/>
  <c r="EP25" i="28"/>
  <c r="EH50" i="28"/>
  <c r="EL18" i="28"/>
  <c r="EL107" i="28"/>
  <c r="EO88" i="28"/>
  <c r="EF81" i="28"/>
  <c r="EF16" i="28"/>
  <c r="EL112" i="28"/>
  <c r="EP60" i="28"/>
  <c r="EJ87" i="28"/>
  <c r="EJ21" i="28"/>
  <c r="EN68" i="28"/>
  <c r="K28" i="30"/>
  <c r="EP81" i="28"/>
  <c r="K89" i="30"/>
  <c r="EK96" i="28"/>
  <c r="EP77" i="28"/>
  <c r="K45" i="30"/>
  <c r="D51" i="30"/>
  <c r="EJ116" i="28"/>
  <c r="EJ51" i="28"/>
  <c r="EN98" i="28"/>
  <c r="EN32" i="28"/>
  <c r="K24" i="30"/>
  <c r="EK34" i="28"/>
  <c r="J119" i="30"/>
  <c r="EP86" i="28"/>
  <c r="EF22" i="28"/>
  <c r="EJ64" i="28"/>
  <c r="EN110" i="28"/>
  <c r="EN44" i="28"/>
  <c r="K78" i="30"/>
  <c r="EL63" i="28"/>
  <c r="EK45" i="28"/>
  <c r="K108" i="30"/>
  <c r="EL36" i="28"/>
  <c r="EH33" i="28"/>
  <c r="EL17" i="28"/>
  <c r="EK106" i="28"/>
  <c r="EO87" i="28"/>
  <c r="K95" i="30"/>
  <c r="EP36" i="28"/>
  <c r="EF60" i="28"/>
  <c r="D60" i="30"/>
  <c r="EP99" i="28"/>
  <c r="EK104" i="28"/>
  <c r="EO99" i="28"/>
  <c r="EO24" i="28"/>
  <c r="J150" i="30"/>
  <c r="EG79" i="28"/>
  <c r="EK55" i="28"/>
  <c r="EO36" i="28"/>
  <c r="EH52" i="28"/>
  <c r="EP116" i="28"/>
  <c r="EF27" i="28"/>
  <c r="D27" i="30"/>
  <c r="EJ52" i="28"/>
  <c r="EN99" i="28"/>
  <c r="EN33" i="28"/>
  <c r="EF75" i="28"/>
  <c r="D75" i="30"/>
  <c r="EJ108" i="28"/>
  <c r="EJ43" i="28"/>
  <c r="EN89" i="28"/>
  <c r="EN24" i="28"/>
  <c r="EG32" i="28"/>
  <c r="EL16" i="28"/>
  <c r="J155" i="30"/>
  <c r="K155" i="30"/>
  <c r="K39" i="30"/>
  <c r="EL15" i="28"/>
  <c r="EF95" i="28"/>
  <c r="EF30" i="28"/>
  <c r="EJ72" i="28"/>
  <c r="EJ8" i="28"/>
  <c r="EN52" i="28"/>
  <c r="EH70" i="28"/>
  <c r="EK38" i="28"/>
  <c r="K84" i="30"/>
  <c r="K18" i="30"/>
  <c r="EH57" i="28"/>
  <c r="EL42" i="28"/>
  <c r="EP23" i="28"/>
  <c r="K32" i="30"/>
  <c r="EK16" i="28"/>
  <c r="EG104" i="28"/>
  <c r="EK81" i="28"/>
  <c r="EO61" i="28"/>
  <c r="EP28" i="28"/>
  <c r="EO84" i="28"/>
  <c r="EF69" i="28"/>
  <c r="EK44" i="28"/>
  <c r="EP9" i="28"/>
  <c r="EH34" i="28"/>
  <c r="EP114" i="28"/>
  <c r="EG106" i="28"/>
  <c r="EK91" i="28"/>
  <c r="EO72" i="28"/>
  <c r="EF39" i="28"/>
  <c r="EJ81" i="28"/>
  <c r="EJ15" i="28"/>
  <c r="EN61" i="28"/>
  <c r="EL96" i="28"/>
  <c r="EO12" i="28"/>
  <c r="EF102" i="28"/>
  <c r="EF37" i="28"/>
  <c r="EF74" i="28"/>
  <c r="EF9" i="28"/>
  <c r="EJ58" i="28"/>
  <c r="EN105" i="28"/>
  <c r="EN39" i="28"/>
  <c r="J163" i="30"/>
  <c r="K163" i="30"/>
  <c r="EF35" i="28"/>
  <c r="EJ77" i="28"/>
  <c r="EJ11" i="28"/>
  <c r="EN57" i="28"/>
  <c r="D87" i="30"/>
  <c r="EF44" i="28"/>
  <c r="D44" i="30"/>
  <c r="EJ78" i="28"/>
  <c r="EJ12" i="28"/>
  <c r="EN58" i="28"/>
  <c r="EF89" i="28"/>
  <c r="EF24" i="28"/>
  <c r="EJ74" i="28"/>
  <c r="EJ34" i="28"/>
  <c r="EN54" i="28"/>
  <c r="J122" i="30"/>
  <c r="EF31" i="28"/>
  <c r="EJ73" i="28"/>
  <c r="EJ62" i="28"/>
  <c r="EN53" i="28"/>
  <c r="J156" i="30"/>
  <c r="K156" i="30"/>
  <c r="EF11" i="28"/>
  <c r="D11" i="30"/>
  <c r="EF58" i="28"/>
  <c r="D58" i="30"/>
  <c r="K25" i="30"/>
  <c r="J162" i="30"/>
  <c r="EL100" i="28"/>
  <c r="EL25" i="28"/>
  <c r="EO62" i="28"/>
  <c r="EP12" i="28"/>
  <c r="EJ102" i="28"/>
  <c r="EJ37" i="28"/>
  <c r="EN83" i="28"/>
  <c r="EN18" i="28"/>
  <c r="EH51" i="28"/>
  <c r="EK27" i="28"/>
  <c r="EH18" i="28"/>
  <c r="EP98" i="28"/>
  <c r="EG90" i="28"/>
  <c r="EK75" i="28"/>
  <c r="EO55" i="28"/>
  <c r="EH103" i="28"/>
  <c r="EL80" i="28"/>
  <c r="EJ71" i="28"/>
  <c r="EJ117" i="28"/>
  <c r="EN51" i="28"/>
  <c r="EF115" i="28"/>
  <c r="EF50" i="28"/>
  <c r="EJ100" i="28"/>
  <c r="EJ35" i="28"/>
  <c r="D110" i="30"/>
  <c r="D114" i="30"/>
  <c r="J166" i="30"/>
  <c r="K166" i="30"/>
  <c r="EJ101" i="28"/>
  <c r="EJ36" i="28"/>
  <c r="EN82" i="28"/>
  <c r="EN17" i="28"/>
  <c r="EF42" i="28"/>
  <c r="EJ92" i="28"/>
  <c r="EJ26" i="28"/>
  <c r="EN73" i="28"/>
  <c r="EN90" i="28"/>
  <c r="K9" i="30"/>
  <c r="J132" i="30"/>
  <c r="K132" i="30"/>
  <c r="EF79" i="28"/>
  <c r="EF14" i="28"/>
  <c r="EJ55" i="28"/>
  <c r="EN102" i="28"/>
  <c r="K115" i="30"/>
  <c r="EL84" i="28"/>
  <c r="EH25" i="28"/>
  <c r="EL9" i="28"/>
  <c r="K54" i="30"/>
  <c r="EH35" i="28"/>
  <c r="EL11" i="28"/>
  <c r="J126" i="30"/>
  <c r="EL116" i="28"/>
  <c r="EO81" i="28"/>
  <c r="EG74" i="28"/>
  <c r="EK58" i="28"/>
  <c r="EO39" i="28"/>
  <c r="EF23" i="28"/>
  <c r="EJ65" i="28"/>
  <c r="EN111" i="28"/>
  <c r="EN45" i="28"/>
  <c r="EH87" i="28"/>
  <c r="EL64" i="28"/>
  <c r="EF21" i="28"/>
  <c r="D21" i="30"/>
  <c r="D109" i="30"/>
  <c r="EF98" i="28"/>
  <c r="D98" i="30"/>
  <c r="K35" i="30"/>
  <c r="K99" i="30"/>
  <c r="EL68" i="28"/>
  <c r="EH9" i="28"/>
  <c r="EP105" i="28"/>
  <c r="K38" i="30"/>
  <c r="EP107" i="28"/>
  <c r="EH115" i="28"/>
  <c r="EK84" i="28"/>
  <c r="EP65" i="28"/>
  <c r="EG57" i="28"/>
  <c r="EK42" i="28"/>
  <c r="EO23" i="28"/>
  <c r="EF88" i="28"/>
  <c r="D88" i="30"/>
  <c r="EL47" i="28"/>
  <c r="EL78" i="28"/>
  <c r="EK35" i="28"/>
  <c r="EO16" i="28"/>
  <c r="EH24" i="28"/>
  <c r="EG54" i="28"/>
  <c r="EK30" i="28"/>
  <c r="EH110" i="28"/>
  <c r="EL29" i="28"/>
  <c r="EF99" i="28"/>
  <c r="EF34" i="28"/>
  <c r="EJ84" i="28"/>
  <c r="EJ18" i="28"/>
  <c r="EN65" i="28"/>
  <c r="EH89" i="28"/>
  <c r="EL74" i="28"/>
  <c r="EP54" i="28"/>
  <c r="EP21" i="28"/>
  <c r="EF54" i="28"/>
  <c r="EJ96" i="28"/>
  <c r="EJ30" i="28"/>
  <c r="EN77" i="28"/>
  <c r="EN12" i="28"/>
  <c r="EH13" i="28"/>
  <c r="EK110" i="28"/>
  <c r="K26" i="30"/>
  <c r="EH98" i="28"/>
  <c r="EL83" i="28"/>
  <c r="EP64" i="28"/>
  <c r="EK41" i="28"/>
  <c r="EO22" i="28"/>
  <c r="EH30" i="28"/>
  <c r="EO43" i="28"/>
  <c r="EF12" i="28"/>
  <c r="D12" i="30"/>
  <c r="EK52" i="28"/>
  <c r="EP33" i="28"/>
  <c r="EG82" i="28"/>
  <c r="EH63" i="28"/>
  <c r="EL39" i="28"/>
  <c r="EG108" i="28"/>
  <c r="EK85" i="28"/>
  <c r="EO33" i="28"/>
  <c r="EO89" i="28"/>
  <c r="EF82" i="28"/>
  <c r="K65" i="30"/>
  <c r="EH23" i="28"/>
  <c r="EG14" i="28"/>
  <c r="EO102" i="28"/>
  <c r="EK102" i="28"/>
  <c r="EJ85" i="28"/>
  <c r="EJ19" i="28"/>
  <c r="EN66" i="28"/>
  <c r="EF26" i="28"/>
  <c r="EJ76" i="28"/>
  <c r="EJ10" i="28"/>
  <c r="EN56" i="28"/>
  <c r="EH97" i="28"/>
  <c r="EL82" i="28"/>
  <c r="EP63" i="28"/>
  <c r="K104" i="30"/>
  <c r="EL81" i="28"/>
  <c r="EP61" i="28"/>
  <c r="EF63" i="28"/>
  <c r="EJ104" i="28"/>
  <c r="EJ39" i="28"/>
  <c r="EN85" i="28"/>
  <c r="EN20" i="28"/>
  <c r="EK37" i="28"/>
  <c r="K83" i="30"/>
  <c r="EK107" i="28"/>
  <c r="EP88" i="28"/>
  <c r="EG97" i="28"/>
  <c r="EK82" i="28"/>
  <c r="EO63" i="28"/>
  <c r="EG39" i="28"/>
  <c r="EK15" i="28"/>
  <c r="K22" i="30"/>
  <c r="EG70" i="28"/>
  <c r="EO19" i="28"/>
  <c r="EF101" i="28"/>
  <c r="EF36" i="28"/>
  <c r="EL109" i="28"/>
  <c r="EP91" i="28"/>
  <c r="J142" i="30"/>
  <c r="EH99" i="28"/>
  <c r="EK68" i="28"/>
  <c r="EP48" i="28"/>
  <c r="EK25" i="28"/>
  <c r="EP62" i="28"/>
  <c r="D48" i="30"/>
  <c r="EJ113" i="28"/>
  <c r="EJ48" i="28"/>
  <c r="EN95" i="28"/>
  <c r="EN29" i="28"/>
  <c r="EH54" i="28"/>
  <c r="EO110" i="28"/>
  <c r="EF70" i="28"/>
  <c r="D93" i="30"/>
  <c r="EF76" i="28"/>
  <c r="D76" i="30"/>
  <c r="K90" i="30"/>
  <c r="EP74" i="28"/>
  <c r="K67" i="30"/>
  <c r="EL91" i="28"/>
  <c r="EP72" i="28"/>
  <c r="EL30" i="28"/>
  <c r="EH116" i="28"/>
  <c r="EL93" i="28"/>
  <c r="EP57" i="28"/>
  <c r="EH83" i="28"/>
  <c r="EL51" i="28"/>
  <c r="EP32" i="28"/>
  <c r="EG25" i="28"/>
  <c r="EK9" i="28"/>
  <c r="D72" i="30"/>
  <c r="EH38" i="28"/>
  <c r="EP94" i="28"/>
  <c r="EG50" i="28"/>
  <c r="D106" i="30"/>
  <c r="EH22" i="28"/>
  <c r="EG93" i="28"/>
  <c r="EK78" i="28"/>
  <c r="EG24" i="28"/>
  <c r="EL34" i="28"/>
  <c r="D56" i="30"/>
  <c r="EG76" i="28"/>
  <c r="EK19" i="28"/>
  <c r="EK92" i="28"/>
  <c r="EO56" i="28"/>
  <c r="EF66" i="28"/>
  <c r="D66" i="30"/>
  <c r="EF59" i="28"/>
  <c r="D59" i="30"/>
  <c r="K74" i="30"/>
  <c r="EG52" i="28"/>
  <c r="K116" i="30"/>
  <c r="K50" i="30"/>
  <c r="EH90" i="28"/>
  <c r="EL75" i="28"/>
  <c r="EP55" i="28"/>
  <c r="EG65" i="28"/>
  <c r="EK49" i="28"/>
  <c r="EL14" i="28"/>
  <c r="EF20" i="28"/>
  <c r="D20" i="30"/>
  <c r="EL77" i="28"/>
  <c r="EP41" i="28"/>
  <c r="EL35" i="28"/>
  <c r="EP16" i="28"/>
  <c r="EG9" i="28"/>
  <c r="EO105" i="28"/>
  <c r="EG22" i="28"/>
  <c r="EO77" i="28"/>
  <c r="DU158" i="28"/>
  <c r="BL139" i="29"/>
  <c r="BL121" i="29"/>
  <c r="BL148" i="29"/>
  <c r="BN152" i="29"/>
  <c r="DL99" i="28"/>
  <c r="BN155" i="29"/>
  <c r="AL97" i="29"/>
  <c r="BF97" i="29" s="1"/>
  <c r="DB99" i="28"/>
  <c r="CZ99" i="28"/>
  <c r="AM77" i="29"/>
  <c r="BG77" i="29" s="1"/>
  <c r="DM36" i="28"/>
  <c r="DT165" i="28"/>
  <c r="DM66" i="28"/>
  <c r="AO96" i="29"/>
  <c r="BI96" i="29" s="1"/>
  <c r="BN149" i="29"/>
  <c r="DO57" i="28"/>
  <c r="DU149" i="28"/>
  <c r="DI11" i="28"/>
  <c r="DA97" i="28"/>
  <c r="AO34" i="29"/>
  <c r="BI34" i="29" s="1"/>
  <c r="DJ95" i="28"/>
  <c r="DA32" i="28"/>
  <c r="AO18" i="29"/>
  <c r="BI18" i="29" s="1"/>
  <c r="BN157" i="29"/>
  <c r="DT152" i="28"/>
  <c r="DB32" i="28"/>
  <c r="AM99" i="29"/>
  <c r="BG99" i="29" s="1"/>
  <c r="AM93" i="29"/>
  <c r="BG93" i="29" s="1"/>
  <c r="DO33" i="28"/>
  <c r="BK122" i="29"/>
  <c r="BL134" i="29"/>
  <c r="AM38" i="29"/>
  <c r="BG38" i="29" s="1"/>
  <c r="DR165" i="28"/>
  <c r="DO44" i="28"/>
  <c r="BO150" i="29"/>
  <c r="DU127" i="28"/>
  <c r="AO80" i="29"/>
  <c r="BI80" i="29" s="1"/>
  <c r="DS132" i="28"/>
  <c r="DR167" i="28"/>
  <c r="BK156" i="29"/>
  <c r="DM25" i="28"/>
  <c r="BO147" i="29"/>
  <c r="DT125" i="28"/>
  <c r="AO50" i="29"/>
  <c r="BI50" i="29" s="1"/>
  <c r="DR126" i="28"/>
  <c r="DR157" i="28"/>
  <c r="AO73" i="29"/>
  <c r="BI73" i="29" s="1"/>
  <c r="DS119" i="28"/>
  <c r="DS134" i="28"/>
  <c r="DF110" i="28"/>
  <c r="DT133" i="28"/>
  <c r="DO112" i="28"/>
  <c r="DT131" i="28"/>
  <c r="DT134" i="28"/>
  <c r="DB22" i="28"/>
  <c r="AM15" i="29"/>
  <c r="BG15" i="29" s="1"/>
  <c r="AM69" i="29"/>
  <c r="BG69" i="29" s="1"/>
  <c r="DM106" i="28"/>
  <c r="AM107" i="29"/>
  <c r="BG107" i="29" s="1"/>
  <c r="DM26" i="28"/>
  <c r="DU140" i="28"/>
  <c r="DA81" i="28"/>
  <c r="DA87" i="28"/>
  <c r="DI43" i="28"/>
  <c r="DI67" i="28"/>
  <c r="DA22" i="28"/>
  <c r="DI30" i="28"/>
  <c r="DI110" i="28"/>
  <c r="DJ30" i="28"/>
  <c r="DF102" i="28"/>
  <c r="DB113" i="28"/>
  <c r="DI109" i="28"/>
  <c r="AM85" i="29"/>
  <c r="BG85" i="29" s="1"/>
  <c r="H22" i="29" s="1"/>
  <c r="AM83" i="29"/>
  <c r="BG83" i="29" s="1"/>
  <c r="DO74" i="28"/>
  <c r="DM82" i="28"/>
  <c r="DO28" i="28"/>
  <c r="DO21" i="28"/>
  <c r="DO13" i="28"/>
  <c r="DO26" i="28"/>
  <c r="DR158" i="28"/>
  <c r="DS158" i="28"/>
  <c r="AM109" i="29"/>
  <c r="BG109" i="29" s="1"/>
  <c r="DJ9" i="28"/>
  <c r="DU151" i="28"/>
  <c r="DB105" i="28"/>
  <c r="DJ11" i="28"/>
  <c r="DE96" i="28"/>
  <c r="DO17" i="28"/>
  <c r="DA13" i="28"/>
  <c r="DU122" i="28"/>
  <c r="AM72" i="29"/>
  <c r="BG72" i="29" s="1"/>
  <c r="AM58" i="29"/>
  <c r="BG58" i="29" s="1"/>
  <c r="DJ44" i="28"/>
  <c r="AM112" i="29"/>
  <c r="BG112" i="29" s="1"/>
  <c r="DE63" i="28"/>
  <c r="AM115" i="29"/>
  <c r="BG115" i="29" s="1"/>
  <c r="H25" i="29" s="1"/>
  <c r="AO104" i="29"/>
  <c r="BI104" i="29" s="1"/>
  <c r="DB101" i="28"/>
  <c r="DI44" i="28"/>
  <c r="DJ12" i="28"/>
  <c r="DE29" i="28"/>
  <c r="DS141" i="28"/>
  <c r="AO88" i="29"/>
  <c r="BI88" i="29" s="1"/>
  <c r="DM28" i="28"/>
  <c r="BO142" i="29"/>
  <c r="BL159" i="29"/>
  <c r="BG34" i="29"/>
  <c r="BL34" i="29"/>
  <c r="DE30" i="28"/>
  <c r="DJ110" i="28"/>
  <c r="DI48" i="28"/>
  <c r="DO53" i="28"/>
  <c r="DT122" i="28"/>
  <c r="BN11" i="29"/>
  <c r="BN55" i="29"/>
  <c r="DO107" i="28"/>
  <c r="BN165" i="29"/>
  <c r="DI79" i="28"/>
  <c r="DB88" i="28"/>
  <c r="DI12" i="28"/>
  <c r="DF32" i="28"/>
  <c r="DB71" i="28"/>
  <c r="CZ78" i="28"/>
  <c r="DR131" i="28"/>
  <c r="DR141" i="28"/>
  <c r="DR127" i="28"/>
  <c r="AO39" i="29"/>
  <c r="BI39" i="29" s="1"/>
  <c r="DS122" i="28"/>
  <c r="AO43" i="29"/>
  <c r="BI43" i="29" s="1"/>
  <c r="AO40" i="29"/>
  <c r="BI40" i="29" s="1"/>
  <c r="DT158" i="28"/>
  <c r="BL141" i="29"/>
  <c r="DA71" i="28"/>
  <c r="DB81" i="28"/>
  <c r="DS155" i="28"/>
  <c r="BL155" i="29"/>
  <c r="DB93" i="28"/>
  <c r="DF45" i="28"/>
  <c r="DA8" i="28"/>
  <c r="DO29" i="28"/>
  <c r="AM91" i="29"/>
  <c r="BG91" i="29" s="1"/>
  <c r="CZ76" i="28"/>
  <c r="AO94" i="29"/>
  <c r="BI94" i="29" s="1"/>
  <c r="BL123" i="29"/>
  <c r="DU138" i="28"/>
  <c r="DU154" i="28"/>
  <c r="DJ79" i="28"/>
  <c r="DF80" i="28"/>
  <c r="DB77" i="28"/>
  <c r="AM101" i="29"/>
  <c r="BG101" i="29" s="1"/>
  <c r="DS138" i="28"/>
  <c r="DJ101" i="28"/>
  <c r="AM56" i="29"/>
  <c r="BG56" i="29" s="1"/>
  <c r="DF30" i="28"/>
  <c r="AO47" i="29"/>
  <c r="BI47" i="29" s="1"/>
  <c r="DT138" i="28"/>
  <c r="DS128" i="28"/>
  <c r="DA91" i="28"/>
  <c r="DM81" i="28"/>
  <c r="BL117" i="29"/>
  <c r="DB104" i="28"/>
  <c r="DJ13" i="28"/>
  <c r="DI94" i="28"/>
  <c r="DJ94" i="28"/>
  <c r="AL76" i="29"/>
  <c r="DM20" i="28"/>
  <c r="DM99" i="28"/>
  <c r="DM41" i="28"/>
  <c r="DO12" i="28"/>
  <c r="BL149" i="29"/>
  <c r="BL147" i="29"/>
  <c r="DB55" i="28"/>
  <c r="DR151" i="28"/>
  <c r="DE79" i="28"/>
  <c r="DF61" i="28"/>
  <c r="AO35" i="29"/>
  <c r="DB13" i="28"/>
  <c r="DO25" i="28"/>
  <c r="DI83" i="28"/>
  <c r="DA113" i="28"/>
  <c r="DB23" i="28"/>
  <c r="DE112" i="28"/>
  <c r="DF112" i="28"/>
  <c r="BN139" i="29"/>
  <c r="DH48" i="28"/>
  <c r="DE58" i="28"/>
  <c r="DJ111" i="28"/>
  <c r="DE64" i="28"/>
  <c r="DU119" i="28"/>
  <c r="DF64" i="28"/>
  <c r="DA78" i="28"/>
  <c r="DE13" i="28"/>
  <c r="DD10" i="28"/>
  <c r="DE32" i="28"/>
  <c r="DJ45" i="28"/>
  <c r="DA103" i="28"/>
  <c r="DB97" i="28"/>
  <c r="DF16" i="28"/>
  <c r="DB103" i="28"/>
  <c r="AM96" i="29"/>
  <c r="BG96" i="29" s="1"/>
  <c r="DL78" i="28"/>
  <c r="DI59" i="28"/>
  <c r="DE53" i="28"/>
  <c r="DM88" i="28"/>
  <c r="DF53" i="28"/>
  <c r="DE26" i="28"/>
  <c r="DR140" i="28"/>
  <c r="BL23" i="29"/>
  <c r="AO63" i="29"/>
  <c r="BI63" i="29" s="1"/>
  <c r="DF109" i="28"/>
  <c r="DO31" i="28"/>
  <c r="DJ91" i="28"/>
  <c r="DM65" i="28"/>
  <c r="BG135" i="29"/>
  <c r="H27" i="29" s="1"/>
  <c r="BL135" i="29"/>
  <c r="DR164" i="28"/>
  <c r="DH88" i="28"/>
  <c r="DJ46" i="28"/>
  <c r="DB39" i="28"/>
  <c r="DS165" i="28"/>
  <c r="DJ28" i="28"/>
  <c r="DI16" i="28"/>
  <c r="DA105" i="28"/>
  <c r="AO62" i="29"/>
  <c r="BI62" i="29" s="1"/>
  <c r="DI57" i="28"/>
  <c r="DI28" i="28"/>
  <c r="DT147" i="28"/>
  <c r="AM10" i="29"/>
  <c r="BG10" i="29" s="1"/>
  <c r="DF70" i="28"/>
  <c r="AO22" i="29"/>
  <c r="BI22" i="29" s="1"/>
  <c r="BN51" i="29"/>
  <c r="DF28" i="28"/>
  <c r="DI18" i="28"/>
  <c r="DT156" i="28"/>
  <c r="DF15" i="28"/>
  <c r="DB48" i="28"/>
  <c r="DF47" i="28"/>
  <c r="DS146" i="28"/>
  <c r="DL105" i="28"/>
  <c r="DR105" i="28" s="1"/>
  <c r="DJ18" i="28"/>
  <c r="DB87" i="28"/>
  <c r="DJ93" i="28"/>
  <c r="AL103" i="29"/>
  <c r="BF103" i="29" s="1"/>
  <c r="DR147" i="28"/>
  <c r="AM55" i="29"/>
  <c r="BG55" i="29" s="1"/>
  <c r="AO56" i="29"/>
  <c r="BI56" i="29" s="1"/>
  <c r="DE110" i="28"/>
  <c r="DT137" i="28"/>
  <c r="DI46" i="28"/>
  <c r="DJ57" i="28"/>
  <c r="DA21" i="28"/>
  <c r="DJ34" i="28"/>
  <c r="DR130" i="28"/>
  <c r="DO40" i="28"/>
  <c r="DE117" i="28"/>
  <c r="DD42" i="28"/>
  <c r="AM95" i="29"/>
  <c r="BG95" i="29" s="1"/>
  <c r="H23" i="29" s="1"/>
  <c r="DE102" i="28"/>
  <c r="DE91" i="28"/>
  <c r="DU126" i="28"/>
  <c r="BI151" i="29"/>
  <c r="BN151" i="29"/>
  <c r="DS127" i="28"/>
  <c r="DB8" i="28"/>
  <c r="BF68" i="29"/>
  <c r="BK68" i="29"/>
  <c r="BG50" i="29"/>
  <c r="BL50" i="29"/>
  <c r="DJ77" i="28"/>
  <c r="AM31" i="29"/>
  <c r="BG31" i="29" s="1"/>
  <c r="DS121" i="28"/>
  <c r="DM52" i="28"/>
  <c r="CZ70" i="28"/>
  <c r="DR121" i="28"/>
  <c r="DA70" i="28"/>
  <c r="DM77" i="28"/>
  <c r="AO87" i="29"/>
  <c r="AM71" i="29"/>
  <c r="DI63" i="28"/>
  <c r="DB65" i="28"/>
  <c r="DF96" i="28"/>
  <c r="DR133" i="28"/>
  <c r="DI80" i="28"/>
  <c r="BL24" i="29"/>
  <c r="DE42" i="28"/>
  <c r="DH56" i="28"/>
  <c r="DF103" i="28"/>
  <c r="DB70" i="28"/>
  <c r="DJ78" i="28"/>
  <c r="DH72" i="28"/>
  <c r="DT121" i="28"/>
  <c r="DI97" i="28"/>
  <c r="AO30" i="29"/>
  <c r="BI30" i="29" s="1"/>
  <c r="DA65" i="28"/>
  <c r="DU121" i="28"/>
  <c r="DJ63" i="28"/>
  <c r="CZ94" i="28"/>
  <c r="DH80" i="28"/>
  <c r="AM61" i="29"/>
  <c r="BG61" i="29" s="1"/>
  <c r="DU135" i="28"/>
  <c r="DI32" i="28"/>
  <c r="DI72" i="28"/>
  <c r="DD26" i="28"/>
  <c r="DL70" i="28"/>
  <c r="AO59" i="29"/>
  <c r="BI59" i="29" s="1"/>
  <c r="AM73" i="29"/>
  <c r="BG73" i="29" s="1"/>
  <c r="DF37" i="28"/>
  <c r="AM103" i="29"/>
  <c r="DF97" i="28"/>
  <c r="DI77" i="28"/>
  <c r="DI68" i="28"/>
  <c r="DE37" i="28"/>
  <c r="BN31" i="29"/>
  <c r="DS126" i="28"/>
  <c r="DA61" i="28"/>
  <c r="BL39" i="29"/>
  <c r="DB30" i="28"/>
  <c r="DU150" i="28"/>
  <c r="DT167" i="28"/>
  <c r="DS137" i="28"/>
  <c r="DE38" i="28"/>
  <c r="DT150" i="28"/>
  <c r="DS147" i="28"/>
  <c r="DI50" i="28"/>
  <c r="DI112" i="28"/>
  <c r="DE80" i="28"/>
  <c r="DJ60" i="28"/>
  <c r="DU165" i="28"/>
  <c r="DS125" i="28"/>
  <c r="DM9" i="28"/>
  <c r="DB117" i="28"/>
  <c r="DA27" i="28"/>
  <c r="DS136" i="28"/>
  <c r="DU120" i="28"/>
  <c r="AO8" i="29"/>
  <c r="DF20" i="28"/>
  <c r="DR153" i="28"/>
  <c r="CZ91" i="28"/>
  <c r="DR125" i="28"/>
  <c r="DF46" i="28"/>
  <c r="DI96" i="28"/>
  <c r="AO64" i="29"/>
  <c r="AM47" i="29"/>
  <c r="DI27" i="28"/>
  <c r="AM67" i="29"/>
  <c r="DT136" i="28"/>
  <c r="DJ27" i="28"/>
  <c r="DE19" i="28"/>
  <c r="DB16" i="28"/>
  <c r="DE46" i="28"/>
  <c r="DI60" i="28"/>
  <c r="DE35" i="28"/>
  <c r="AO112" i="29"/>
  <c r="DB109" i="28"/>
  <c r="DU136" i="28"/>
  <c r="CZ27" i="28"/>
  <c r="DF27" i="28"/>
  <c r="DU125" i="28"/>
  <c r="DM89" i="28"/>
  <c r="DT126" i="28"/>
  <c r="DR122" i="28"/>
  <c r="BG88" i="29"/>
  <c r="BL88" i="29"/>
  <c r="BI54" i="29"/>
  <c r="BN54" i="29"/>
  <c r="BG111" i="29"/>
  <c r="BL111" i="29"/>
  <c r="DD57" i="28"/>
  <c r="DM90" i="28"/>
  <c r="DM113" i="28"/>
  <c r="BN38" i="29"/>
  <c r="DO56" i="28"/>
  <c r="DT146" i="28"/>
  <c r="BL18" i="29"/>
  <c r="AO89" i="29"/>
  <c r="AM40" i="29"/>
  <c r="BL80" i="29"/>
  <c r="DS157" i="28"/>
  <c r="DA62" i="28"/>
  <c r="DU118" i="28"/>
  <c r="DI35" i="28"/>
  <c r="DI17" i="28"/>
  <c r="AO78" i="29"/>
  <c r="AM70" i="29"/>
  <c r="BG70" i="29" s="1"/>
  <c r="BN19" i="29"/>
  <c r="DJ29" i="28"/>
  <c r="DF49" i="28"/>
  <c r="DE106" i="28"/>
  <c r="BN26" i="29"/>
  <c r="AO58" i="29"/>
  <c r="BI58" i="29" s="1"/>
  <c r="AM42" i="29"/>
  <c r="BG42" i="29" s="1"/>
  <c r="DA101" i="28"/>
  <c r="DI93" i="28"/>
  <c r="AM22" i="29"/>
  <c r="DE114" i="28"/>
  <c r="DJ14" i="28"/>
  <c r="DB38" i="28"/>
  <c r="DF14" i="28"/>
  <c r="DF78" i="28"/>
  <c r="CZ62" i="28"/>
  <c r="DE90" i="28"/>
  <c r="BN10" i="29"/>
  <c r="DF93" i="28"/>
  <c r="DJ76" i="28"/>
  <c r="DJ67" i="28"/>
  <c r="AO14" i="29"/>
  <c r="BI14" i="29" s="1"/>
  <c r="DU157" i="28"/>
  <c r="AO71" i="29"/>
  <c r="BI71" i="29" s="1"/>
  <c r="DF48" i="28"/>
  <c r="DE14" i="28"/>
  <c r="DT118" i="28"/>
  <c r="BL97" i="29"/>
  <c r="DR118" i="28"/>
  <c r="DA69" i="28"/>
  <c r="DF77" i="28"/>
  <c r="DJ50" i="28"/>
  <c r="CZ11" i="28"/>
  <c r="DA11" i="28"/>
  <c r="AM60" i="29"/>
  <c r="DE49" i="28"/>
  <c r="DI14" i="28"/>
  <c r="DA38" i="28"/>
  <c r="DE95" i="28"/>
  <c r="DI76" i="28"/>
  <c r="DI56" i="28"/>
  <c r="BL75" i="29"/>
  <c r="DU134" i="28"/>
  <c r="BN24" i="29"/>
  <c r="DB69" i="28"/>
  <c r="DH15" i="28"/>
  <c r="DA10" i="28"/>
  <c r="DA102" i="28"/>
  <c r="DE98" i="28"/>
  <c r="DE10" i="28"/>
  <c r="DJ74" i="28"/>
  <c r="DH64" i="28"/>
  <c r="AO45" i="29"/>
  <c r="BI45" i="29" s="1"/>
  <c r="DA88" i="28"/>
  <c r="DB85" i="28"/>
  <c r="BG87" i="29"/>
  <c r="BL87" i="29"/>
  <c r="DT166" i="28"/>
  <c r="DR159" i="28"/>
  <c r="DE54" i="28"/>
  <c r="DI19" i="28"/>
  <c r="DJ41" i="28"/>
  <c r="DJ83" i="28"/>
  <c r="BN29" i="29"/>
  <c r="DD95" i="28"/>
  <c r="DS166" i="28"/>
  <c r="DS140" i="28"/>
  <c r="DT149" i="28"/>
  <c r="BN72" i="29"/>
  <c r="DF44" i="28"/>
  <c r="DF111" i="28"/>
  <c r="DS152" i="28"/>
  <c r="AO46" i="29"/>
  <c r="AO60" i="29"/>
  <c r="BG163" i="29"/>
  <c r="BL163" i="29"/>
  <c r="DE66" i="28"/>
  <c r="DE18" i="28"/>
  <c r="DH40" i="28"/>
  <c r="DU137" i="28"/>
  <c r="DB84" i="28"/>
  <c r="CZ43" i="28"/>
  <c r="AO13" i="29"/>
  <c r="BN13" i="29" s="1"/>
  <c r="DU166" i="28"/>
  <c r="DT140" i="28"/>
  <c r="DR144" i="28"/>
  <c r="BL104" i="29"/>
  <c r="DF11" i="28"/>
  <c r="DT130" i="28"/>
  <c r="DT120" i="28"/>
  <c r="DI40" i="28"/>
  <c r="BN105" i="29"/>
  <c r="DF29" i="28"/>
  <c r="DU130" i="28"/>
  <c r="DI51" i="28"/>
  <c r="DE20" i="28"/>
  <c r="DJ109" i="28"/>
  <c r="DI41" i="28"/>
  <c r="CZ77" i="28"/>
  <c r="CZ64" i="28"/>
  <c r="DH53" i="28"/>
  <c r="DH24" i="28"/>
  <c r="DH68" i="28"/>
  <c r="DH111" i="28"/>
  <c r="DD100" i="28"/>
  <c r="DH23" i="28"/>
  <c r="DD62" i="28"/>
  <c r="DH35" i="28"/>
  <c r="DH62" i="28"/>
  <c r="DH37" i="28"/>
  <c r="DB60" i="28"/>
  <c r="DB116" i="28"/>
  <c r="DH19" i="28"/>
  <c r="CZ109" i="28"/>
  <c r="CZ89" i="28"/>
  <c r="DH39" i="28"/>
  <c r="DD91" i="28"/>
  <c r="DD72" i="28"/>
  <c r="DD84" i="28"/>
  <c r="CZ29" i="28"/>
  <c r="CZ56" i="28"/>
  <c r="DD74" i="28"/>
  <c r="CZ58" i="28"/>
  <c r="CZ66" i="28"/>
  <c r="DI81" i="28"/>
  <c r="CZ15" i="28"/>
  <c r="DJ98" i="28"/>
  <c r="DI71" i="28"/>
  <c r="DE34" i="28"/>
  <c r="DA95" i="28"/>
  <c r="DI24" i="28"/>
  <c r="DA33" i="28"/>
  <c r="DF92" i="28"/>
  <c r="DH98" i="28"/>
  <c r="DJ62" i="28"/>
  <c r="CZ79" i="28"/>
  <c r="DD88" i="28"/>
  <c r="DH20" i="28"/>
  <c r="DI22" i="28"/>
  <c r="DE72" i="28"/>
  <c r="DD108" i="28"/>
  <c r="DD67" i="28"/>
  <c r="DB56" i="28"/>
  <c r="DE83" i="28"/>
  <c r="DF59" i="28"/>
  <c r="DA39" i="28"/>
  <c r="CZ117" i="28"/>
  <c r="DB35" i="28"/>
  <c r="DH75" i="28"/>
  <c r="DR138" i="28"/>
  <c r="CZ84" i="28"/>
  <c r="DE39" i="28"/>
  <c r="DH106" i="28"/>
  <c r="CZ49" i="28"/>
  <c r="DF55" i="28"/>
  <c r="DU163" i="28"/>
  <c r="DB20" i="28"/>
  <c r="DJ31" i="28"/>
  <c r="DE113" i="28"/>
  <c r="DR128" i="28"/>
  <c r="DS133" i="28"/>
  <c r="DH115" i="28"/>
  <c r="DD54" i="28"/>
  <c r="DF36" i="28"/>
  <c r="CZ115" i="28"/>
  <c r="CZ18" i="28"/>
  <c r="CZ74" i="28"/>
  <c r="DH103" i="28"/>
  <c r="DB44" i="28"/>
  <c r="DB115" i="28"/>
  <c r="DB61" i="28"/>
  <c r="DI20" i="28"/>
  <c r="DE97" i="28"/>
  <c r="DR154" i="28"/>
  <c r="DJ115" i="28"/>
  <c r="DD44" i="28"/>
  <c r="DH74" i="28"/>
  <c r="DA31" i="28"/>
  <c r="DB29" i="28"/>
  <c r="CZ86" i="28"/>
  <c r="CZ23" i="28"/>
  <c r="DH78" i="28"/>
  <c r="DT142" i="28"/>
  <c r="DB49" i="28"/>
  <c r="DE15" i="28"/>
  <c r="DE61" i="28"/>
  <c r="DJ99" i="28"/>
  <c r="DA100" i="28"/>
  <c r="CZ57" i="28"/>
  <c r="DD75" i="28"/>
  <c r="CZ9" i="28"/>
  <c r="DD56" i="28"/>
  <c r="DJ53" i="28"/>
  <c r="CZ42" i="28"/>
  <c r="DD17" i="28"/>
  <c r="DI106" i="28"/>
  <c r="DI95" i="28"/>
  <c r="DS142" i="28"/>
  <c r="DJ17" i="28"/>
  <c r="DJ58" i="28"/>
  <c r="DD27" i="28"/>
  <c r="DA58" i="28"/>
  <c r="DH108" i="28"/>
  <c r="DI99" i="28"/>
  <c r="DI75" i="28"/>
  <c r="DU141" i="28"/>
  <c r="DH36" i="28"/>
  <c r="DD36" i="28"/>
  <c r="DI58" i="28"/>
  <c r="DF38" i="28"/>
  <c r="DD93" i="28"/>
  <c r="DU161" i="28"/>
  <c r="DR161" i="28"/>
  <c r="DA54" i="28"/>
  <c r="BH163" i="29"/>
  <c r="BM163" i="29"/>
  <c r="DO14" i="28"/>
  <c r="AO12" i="29"/>
  <c r="DN116" i="28"/>
  <c r="AN114" i="29"/>
  <c r="DF116" i="28"/>
  <c r="DN51" i="28"/>
  <c r="AN49" i="29"/>
  <c r="DF51" i="28"/>
  <c r="DP81" i="28"/>
  <c r="AP79" i="29"/>
  <c r="BJ152" i="29"/>
  <c r="BO152" i="29"/>
  <c r="BG157" i="29"/>
  <c r="BL157" i="29"/>
  <c r="DM70" i="28"/>
  <c r="AM68" i="29"/>
  <c r="AL88" i="29"/>
  <c r="DL90" i="28"/>
  <c r="DB90" i="28"/>
  <c r="DP55" i="28"/>
  <c r="AP53" i="29"/>
  <c r="DJ55" i="28"/>
  <c r="DN82" i="28"/>
  <c r="AN80" i="29"/>
  <c r="DD82" i="28"/>
  <c r="BH132" i="29"/>
  <c r="BM132" i="29"/>
  <c r="DA90" i="28"/>
  <c r="DI55" i="28"/>
  <c r="BG161" i="29"/>
  <c r="BL161" i="29"/>
  <c r="DO68" i="28"/>
  <c r="AO66" i="29"/>
  <c r="DM51" i="28"/>
  <c r="AM49" i="29"/>
  <c r="AL45" i="29"/>
  <c r="DL47" i="28"/>
  <c r="DT47" i="28" s="1"/>
  <c r="DP86" i="28"/>
  <c r="AP84" i="29"/>
  <c r="DI86" i="28"/>
  <c r="DH86" i="28"/>
  <c r="BF142" i="29"/>
  <c r="BK142" i="29"/>
  <c r="DP16" i="28"/>
  <c r="AP14" i="29"/>
  <c r="DJ16" i="28"/>
  <c r="DP87" i="28"/>
  <c r="AP85" i="29"/>
  <c r="DI87" i="28"/>
  <c r="DJ87" i="28"/>
  <c r="DH87" i="28"/>
  <c r="BH125" i="29"/>
  <c r="I26" i="29" s="1"/>
  <c r="BM125" i="29"/>
  <c r="DO50" i="28"/>
  <c r="AO48" i="29"/>
  <c r="DM18" i="28"/>
  <c r="AM16" i="29"/>
  <c r="DP69" i="28"/>
  <c r="AP67" i="29"/>
  <c r="DJ69" i="28"/>
  <c r="DI69" i="28"/>
  <c r="DH69" i="28"/>
  <c r="DB47" i="28"/>
  <c r="AL24" i="29"/>
  <c r="DL26" i="28"/>
  <c r="DB26" i="28"/>
  <c r="CZ26" i="28"/>
  <c r="BF125" i="29"/>
  <c r="G26" i="29" s="1"/>
  <c r="BK125" i="29"/>
  <c r="BI23" i="29"/>
  <c r="BN23" i="29"/>
  <c r="BF159" i="29"/>
  <c r="BK159" i="29"/>
  <c r="BJ119" i="29"/>
  <c r="BO119" i="29"/>
  <c r="BJ164" i="29"/>
  <c r="BO164" i="29"/>
  <c r="BF146" i="29"/>
  <c r="BK146" i="29"/>
  <c r="BH116" i="29"/>
  <c r="BM116" i="29"/>
  <c r="DM54" i="28"/>
  <c r="AM52" i="29"/>
  <c r="DM53" i="28"/>
  <c r="AM51" i="29"/>
  <c r="DN25" i="28"/>
  <c r="AN23" i="29"/>
  <c r="DF25" i="28"/>
  <c r="DP96" i="28"/>
  <c r="AP94" i="29"/>
  <c r="DH96" i="28"/>
  <c r="DL54" i="28"/>
  <c r="AL52" i="29"/>
  <c r="CZ54" i="28"/>
  <c r="DO30" i="28"/>
  <c r="AO28" i="29"/>
  <c r="BH155" i="29"/>
  <c r="I29" i="29" s="1"/>
  <c r="BM155" i="29"/>
  <c r="DP70" i="28"/>
  <c r="AP68" i="29"/>
  <c r="DI70" i="28"/>
  <c r="DJ70" i="28"/>
  <c r="DH70" i="28"/>
  <c r="BF154" i="29"/>
  <c r="BK154" i="29"/>
  <c r="BJ163" i="29"/>
  <c r="BO163" i="29"/>
  <c r="DL111" i="28"/>
  <c r="DR111" i="28" s="1"/>
  <c r="AL109" i="29"/>
  <c r="DB111" i="28"/>
  <c r="CZ111" i="28"/>
  <c r="DA111" i="28"/>
  <c r="DP52" i="28"/>
  <c r="AP50" i="29"/>
  <c r="DJ52" i="28"/>
  <c r="DH52" i="28"/>
  <c r="BF130" i="29"/>
  <c r="BK130" i="29"/>
  <c r="BJ138" i="29"/>
  <c r="BO138" i="29"/>
  <c r="BH158" i="29"/>
  <c r="BM158" i="29"/>
  <c r="DM107" i="28"/>
  <c r="AM105" i="29"/>
  <c r="BJ128" i="29"/>
  <c r="BO128" i="29"/>
  <c r="BL64" i="29"/>
  <c r="DM38" i="28"/>
  <c r="AM36" i="29"/>
  <c r="AL48" i="29"/>
  <c r="DL50" i="28"/>
  <c r="DB50" i="28"/>
  <c r="DN100" i="28"/>
  <c r="AN98" i="29"/>
  <c r="DP65" i="28"/>
  <c r="AP63" i="29"/>
  <c r="DJ65" i="28"/>
  <c r="DO102" i="28"/>
  <c r="AO100" i="29"/>
  <c r="DM37" i="28"/>
  <c r="AM35" i="29"/>
  <c r="AL72" i="29"/>
  <c r="DL74" i="28"/>
  <c r="DR74" i="28" s="1"/>
  <c r="DN107" i="28"/>
  <c r="AN105" i="29"/>
  <c r="DF107" i="28"/>
  <c r="DP39" i="28"/>
  <c r="AP37" i="29"/>
  <c r="DJ39" i="28"/>
  <c r="BJ117" i="29"/>
  <c r="BO117" i="29"/>
  <c r="DO109" i="28"/>
  <c r="AO107" i="29"/>
  <c r="DN66" i="28"/>
  <c r="AN64" i="29"/>
  <c r="DD66" i="28"/>
  <c r="BJ136" i="29"/>
  <c r="BO136" i="29"/>
  <c r="BI132" i="29"/>
  <c r="BN132" i="29"/>
  <c r="DL110" i="28"/>
  <c r="AL108" i="29"/>
  <c r="DB110" i="28"/>
  <c r="DE100" i="28"/>
  <c r="DI65" i="28"/>
  <c r="BG129" i="29"/>
  <c r="BL129" i="29"/>
  <c r="DF40" i="28"/>
  <c r="AN38" i="29"/>
  <c r="DN40" i="28"/>
  <c r="DE40" i="28"/>
  <c r="DD40" i="28"/>
  <c r="DA110" i="28"/>
  <c r="DN18" i="28"/>
  <c r="AN16" i="29"/>
  <c r="DF18" i="28"/>
  <c r="DL24" i="28"/>
  <c r="DR24" i="28" s="1"/>
  <c r="AL22" i="29"/>
  <c r="DB24" i="28"/>
  <c r="DO18" i="28"/>
  <c r="AO16" i="29"/>
  <c r="DN22" i="28"/>
  <c r="AN20" i="29"/>
  <c r="DE22" i="28"/>
  <c r="DD22" i="28"/>
  <c r="DJ86" i="28"/>
  <c r="DI52" i="28"/>
  <c r="BH157" i="29"/>
  <c r="BM157" i="29"/>
  <c r="DP104" i="28"/>
  <c r="AP102" i="29"/>
  <c r="DI104" i="28"/>
  <c r="DJ104" i="28"/>
  <c r="BI164" i="29"/>
  <c r="BN164" i="29"/>
  <c r="DM91" i="28"/>
  <c r="AM89" i="29"/>
  <c r="BJ125" i="29"/>
  <c r="K26" i="29" s="1"/>
  <c r="BO125" i="29"/>
  <c r="DO111" i="28"/>
  <c r="AO109" i="29"/>
  <c r="DM22" i="28"/>
  <c r="AM20" i="29"/>
  <c r="DO86" i="28"/>
  <c r="AO84" i="29"/>
  <c r="DM21" i="28"/>
  <c r="AM19" i="29"/>
  <c r="DO93" i="28"/>
  <c r="AO91" i="29"/>
  <c r="BF121" i="29"/>
  <c r="BK121" i="29"/>
  <c r="DE25" i="28"/>
  <c r="DF23" i="28"/>
  <c r="AN21" i="29"/>
  <c r="DN23" i="28"/>
  <c r="DD23" i="28"/>
  <c r="DN58" i="28"/>
  <c r="AN56" i="29"/>
  <c r="DN41" i="28"/>
  <c r="AN39" i="29"/>
  <c r="DF41" i="28"/>
  <c r="DA80" i="28"/>
  <c r="AL78" i="29"/>
  <c r="DL80" i="28"/>
  <c r="DT80" i="28" s="1"/>
  <c r="DB80" i="28"/>
  <c r="CZ80" i="28"/>
  <c r="AN6" i="29"/>
  <c r="DN8" i="28"/>
  <c r="DE8" i="28"/>
  <c r="DF8" i="28"/>
  <c r="DD8" i="28"/>
  <c r="DE41" i="28"/>
  <c r="DO87" i="28"/>
  <c r="AO85" i="29"/>
  <c r="AL73" i="29"/>
  <c r="DL75" i="28"/>
  <c r="DT75" i="28" s="1"/>
  <c r="DB75" i="28"/>
  <c r="CZ75" i="28"/>
  <c r="DA75" i="28"/>
  <c r="DP90" i="28"/>
  <c r="AP88" i="29"/>
  <c r="DI90" i="28"/>
  <c r="DJ90" i="28"/>
  <c r="DH90" i="28"/>
  <c r="BH151" i="29"/>
  <c r="BM151" i="29"/>
  <c r="DM29" i="28"/>
  <c r="AM27" i="29"/>
  <c r="DO78" i="28"/>
  <c r="AO76" i="29"/>
  <c r="BI135" i="29"/>
  <c r="J27" i="29" s="1"/>
  <c r="BN135" i="29"/>
  <c r="BI154" i="29"/>
  <c r="BN154" i="29"/>
  <c r="BI129" i="29"/>
  <c r="BN129" i="29"/>
  <c r="DM10" i="28"/>
  <c r="AM8" i="29"/>
  <c r="BF162" i="29"/>
  <c r="BK162" i="29"/>
  <c r="DO95" i="28"/>
  <c r="AO93" i="29"/>
  <c r="AL32" i="29"/>
  <c r="DL34" i="28"/>
  <c r="DB34" i="28"/>
  <c r="DE84" i="28"/>
  <c r="AN82" i="29"/>
  <c r="DN84" i="28"/>
  <c r="DP114" i="28"/>
  <c r="AP112" i="29"/>
  <c r="DJ114" i="28"/>
  <c r="DO70" i="28"/>
  <c r="AO68" i="29"/>
  <c r="DM8" i="28"/>
  <c r="AM6" i="29"/>
  <c r="DA57" i="28"/>
  <c r="AL55" i="29"/>
  <c r="DL57" i="28"/>
  <c r="DR57" i="28" s="1"/>
  <c r="DP105" i="28"/>
  <c r="AP103" i="29"/>
  <c r="DP23" i="28"/>
  <c r="AP21" i="29"/>
  <c r="DJ23" i="28"/>
  <c r="DD114" i="28"/>
  <c r="AN112" i="29"/>
  <c r="DN114" i="28"/>
  <c r="BJ131" i="29"/>
  <c r="BO131" i="29"/>
  <c r="BI148" i="29"/>
  <c r="BN148" i="29"/>
  <c r="AL7" i="29"/>
  <c r="DL9" i="28"/>
  <c r="DB9" i="28"/>
  <c r="DD9" i="28"/>
  <c r="AN7" i="29"/>
  <c r="DN9" i="28"/>
  <c r="DF9" i="28"/>
  <c r="BF147" i="29"/>
  <c r="BK147" i="29"/>
  <c r="BH148" i="29"/>
  <c r="BM148" i="29"/>
  <c r="DN105" i="28"/>
  <c r="AN103" i="29"/>
  <c r="DE105" i="28"/>
  <c r="DF105" i="28"/>
  <c r="DD105" i="28"/>
  <c r="DB89" i="28"/>
  <c r="AL87" i="29"/>
  <c r="DL89" i="28"/>
  <c r="BH137" i="29"/>
  <c r="BM137" i="29"/>
  <c r="DP47" i="28"/>
  <c r="AP45" i="29"/>
  <c r="DI47" i="28"/>
  <c r="DJ47" i="28"/>
  <c r="DH47" i="28"/>
  <c r="BG142" i="29"/>
  <c r="BL142" i="29"/>
  <c r="BJ146" i="29"/>
  <c r="BO146" i="29"/>
  <c r="BH138" i="29"/>
  <c r="BM138" i="29"/>
  <c r="BI144" i="29"/>
  <c r="BN144" i="29"/>
  <c r="DO79" i="28"/>
  <c r="AO77" i="29"/>
  <c r="DL115" i="28"/>
  <c r="AL113" i="29"/>
  <c r="DO8" i="28"/>
  <c r="AO6" i="29"/>
  <c r="DN75" i="28"/>
  <c r="AN73" i="29"/>
  <c r="DF75" i="28"/>
  <c r="DN35" i="28"/>
  <c r="AN33" i="29"/>
  <c r="DF35" i="28"/>
  <c r="DE107" i="28"/>
  <c r="DI105" i="28"/>
  <c r="DP71" i="28"/>
  <c r="AP69" i="29"/>
  <c r="DH71" i="28"/>
  <c r="BI133" i="29"/>
  <c r="BN133" i="29"/>
  <c r="BH119" i="29"/>
  <c r="BM119" i="29"/>
  <c r="DO116" i="28"/>
  <c r="AO114" i="29"/>
  <c r="DM100" i="28"/>
  <c r="AM98" i="29"/>
  <c r="AL26" i="29"/>
  <c r="DL28" i="28"/>
  <c r="DA28" i="28"/>
  <c r="CZ28" i="28"/>
  <c r="DB28" i="28"/>
  <c r="DJ105" i="28"/>
  <c r="BH136" i="29"/>
  <c r="BM136" i="29"/>
  <c r="BG156" i="29"/>
  <c r="BL156" i="29"/>
  <c r="DO38" i="28"/>
  <c r="AO36" i="29"/>
  <c r="DP89" i="28"/>
  <c r="AP87" i="29"/>
  <c r="DI89" i="28"/>
  <c r="DJ89" i="28"/>
  <c r="DH89" i="28"/>
  <c r="BJ165" i="29"/>
  <c r="K30" i="29" s="1"/>
  <c r="BO165" i="29"/>
  <c r="DO94" i="28"/>
  <c r="AO92" i="29"/>
  <c r="DF22" i="28"/>
  <c r="DA53" i="28"/>
  <c r="AL51" i="29"/>
  <c r="DL53" i="28"/>
  <c r="DB53" i="28"/>
  <c r="CZ53" i="28"/>
  <c r="BG126" i="29"/>
  <c r="BL126" i="29"/>
  <c r="CZ67" i="28"/>
  <c r="AL65" i="29"/>
  <c r="DL67" i="28"/>
  <c r="DB67" i="28"/>
  <c r="DO77" i="28"/>
  <c r="AO75" i="29"/>
  <c r="BN15" i="29"/>
  <c r="DO63" i="28"/>
  <c r="AO61" i="29"/>
  <c r="AL16" i="29"/>
  <c r="DL18" i="28"/>
  <c r="DE68" i="28"/>
  <c r="AN66" i="29"/>
  <c r="DN68" i="28"/>
  <c r="DF68" i="28"/>
  <c r="DP98" i="28"/>
  <c r="AP96" i="29"/>
  <c r="BH122" i="29"/>
  <c r="BM122" i="29"/>
  <c r="DM102" i="28"/>
  <c r="AM100" i="29"/>
  <c r="AL104" i="29"/>
  <c r="DL106" i="28"/>
  <c r="DT106" i="28" s="1"/>
  <c r="DA41" i="28"/>
  <c r="AL39" i="29"/>
  <c r="DL41" i="28"/>
  <c r="DB41" i="28"/>
  <c r="DD58" i="28"/>
  <c r="AP60" i="29"/>
  <c r="DP62" i="28"/>
  <c r="BF164" i="29"/>
  <c r="BK164" i="29"/>
  <c r="DD98" i="28"/>
  <c r="AN96" i="29"/>
  <c r="DN98" i="28"/>
  <c r="BI150" i="29"/>
  <c r="BN150" i="29"/>
  <c r="BI116" i="29"/>
  <c r="BN116" i="29"/>
  <c r="DA50" i="28"/>
  <c r="BI136" i="29"/>
  <c r="BN136" i="29"/>
  <c r="DN89" i="28"/>
  <c r="AN87" i="29"/>
  <c r="DE89" i="28"/>
  <c r="DF89" i="28"/>
  <c r="DP21" i="28"/>
  <c r="AP19" i="29"/>
  <c r="DJ21" i="28"/>
  <c r="DI21" i="28"/>
  <c r="DH21" i="28"/>
  <c r="DL12" i="28"/>
  <c r="DR12" i="28" s="1"/>
  <c r="AL10" i="29"/>
  <c r="DA12" i="28"/>
  <c r="CZ12" i="28"/>
  <c r="DB12" i="28"/>
  <c r="BF138" i="29"/>
  <c r="BK138" i="29"/>
  <c r="DB106" i="28"/>
  <c r="DP88" i="28"/>
  <c r="AP86" i="29"/>
  <c r="DJ88" i="28"/>
  <c r="DL63" i="28"/>
  <c r="DR63" i="28" s="1"/>
  <c r="AL61" i="29"/>
  <c r="CZ63" i="28"/>
  <c r="DI8" i="28"/>
  <c r="AP6" i="29"/>
  <c r="DP8" i="28"/>
  <c r="DJ8" i="28"/>
  <c r="BI145" i="29"/>
  <c r="J28" i="29" s="1"/>
  <c r="BN145" i="29"/>
  <c r="DP73" i="28"/>
  <c r="AP71" i="29"/>
  <c r="DI73" i="28"/>
  <c r="DJ73" i="28"/>
  <c r="DH73" i="28"/>
  <c r="DN115" i="28"/>
  <c r="AN113" i="29"/>
  <c r="DF115" i="28"/>
  <c r="DE115" i="28"/>
  <c r="DD115" i="28"/>
  <c r="BI117" i="29"/>
  <c r="BN117" i="29"/>
  <c r="BG7" i="29"/>
  <c r="BL7" i="29"/>
  <c r="DL37" i="28"/>
  <c r="DT37" i="28" s="1"/>
  <c r="AL35" i="29"/>
  <c r="DA37" i="28"/>
  <c r="CZ37" i="28"/>
  <c r="DB37" i="28"/>
  <c r="DN43" i="28"/>
  <c r="AN41" i="29"/>
  <c r="DF43" i="28"/>
  <c r="DD43" i="28"/>
  <c r="BJ149" i="29"/>
  <c r="BO149" i="29"/>
  <c r="BH164" i="29"/>
  <c r="BM164" i="29"/>
  <c r="BJ118" i="29"/>
  <c r="BO118" i="29"/>
  <c r="DO46" i="28"/>
  <c r="AO44" i="29"/>
  <c r="CZ83" i="28"/>
  <c r="AL81" i="29"/>
  <c r="DL83" i="28"/>
  <c r="DB83" i="28"/>
  <c r="DD116" i="28"/>
  <c r="DD51" i="28"/>
  <c r="DH81" i="28"/>
  <c r="DM86" i="28"/>
  <c r="AM84" i="29"/>
  <c r="CZ90" i="28"/>
  <c r="CZ25" i="28"/>
  <c r="AL23" i="29"/>
  <c r="DL25" i="28"/>
  <c r="DB25" i="28"/>
  <c r="DH55" i="28"/>
  <c r="DF82" i="28"/>
  <c r="DP112" i="28"/>
  <c r="AP110" i="29"/>
  <c r="DH112" i="28"/>
  <c r="BI138" i="29"/>
  <c r="BN138" i="29"/>
  <c r="DA34" i="28"/>
  <c r="DI114" i="28"/>
  <c r="DR149" i="28"/>
  <c r="DA106" i="28"/>
  <c r="DN91" i="28"/>
  <c r="AN89" i="29"/>
  <c r="BI122" i="29"/>
  <c r="BN122" i="29"/>
  <c r="BH135" i="29"/>
  <c r="I27" i="29" s="1"/>
  <c r="BM135" i="29"/>
  <c r="DO84" i="28"/>
  <c r="AO82" i="29"/>
  <c r="DM68" i="28"/>
  <c r="AM66" i="29"/>
  <c r="CZ47" i="28"/>
  <c r="DP117" i="28"/>
  <c r="AP115" i="29"/>
  <c r="DI117" i="28"/>
  <c r="DH117" i="28"/>
  <c r="DB18" i="28"/>
  <c r="AP30" i="29"/>
  <c r="DP32" i="28"/>
  <c r="DJ32" i="28"/>
  <c r="DB74" i="28"/>
  <c r="BJ120" i="29"/>
  <c r="BO120" i="29"/>
  <c r="BG154" i="29"/>
  <c r="BL154" i="29"/>
  <c r="DE23" i="28"/>
  <c r="AL44" i="29"/>
  <c r="DL46" i="28"/>
  <c r="DA46" i="28"/>
  <c r="DB46" i="28"/>
  <c r="CZ46" i="28"/>
  <c r="BH123" i="29"/>
  <c r="BM123" i="29"/>
  <c r="DA24" i="28"/>
  <c r="DA63" i="28"/>
  <c r="DE99" i="28"/>
  <c r="AN97" i="29"/>
  <c r="DN99" i="28"/>
  <c r="DF99" i="28"/>
  <c r="DD99" i="28"/>
  <c r="BJ151" i="29"/>
  <c r="BO151" i="29"/>
  <c r="BG124" i="29"/>
  <c r="BL124" i="29"/>
  <c r="BF144" i="29"/>
  <c r="BK144" i="29"/>
  <c r="DM116" i="28"/>
  <c r="AM114" i="29"/>
  <c r="DL96" i="28"/>
  <c r="DT96" i="28" s="1"/>
  <c r="AL94" i="29"/>
  <c r="DL15" i="28"/>
  <c r="DT15" i="28" s="1"/>
  <c r="AL13" i="29"/>
  <c r="AL43" i="29"/>
  <c r="DL45" i="28"/>
  <c r="DT45" i="28" s="1"/>
  <c r="BJ148" i="29"/>
  <c r="BO148" i="29"/>
  <c r="DS123" i="28"/>
  <c r="DL56" i="28"/>
  <c r="AL54" i="29"/>
  <c r="DN74" i="28"/>
  <c r="AN72" i="29"/>
  <c r="DN34" i="28"/>
  <c r="AN32" i="29"/>
  <c r="AP36" i="29"/>
  <c r="DP38" i="28"/>
  <c r="DO67" i="28"/>
  <c r="AO65" i="29"/>
  <c r="DM34" i="28"/>
  <c r="AM32" i="29"/>
  <c r="AN102" i="29"/>
  <c r="DN104" i="28"/>
  <c r="BN27" i="29"/>
  <c r="DA73" i="28"/>
  <c r="DI38" i="28"/>
  <c r="DS139" i="28"/>
  <c r="DJ103" i="28"/>
  <c r="DS164" i="28"/>
  <c r="DO103" i="28"/>
  <c r="AO101" i="29"/>
  <c r="DL107" i="28"/>
  <c r="AL105" i="29"/>
  <c r="DN76" i="28"/>
  <c r="AN74" i="29"/>
  <c r="DS153" i="28"/>
  <c r="DM45" i="28"/>
  <c r="AM43" i="29"/>
  <c r="AL80" i="29"/>
  <c r="DL82" i="28"/>
  <c r="DD50" i="28"/>
  <c r="DF106" i="28"/>
  <c r="AN104" i="29"/>
  <c r="DN106" i="28"/>
  <c r="BG116" i="29"/>
  <c r="BL116" i="29"/>
  <c r="DB79" i="28"/>
  <c r="DI36" i="28"/>
  <c r="DI113" i="28"/>
  <c r="DU133" i="28"/>
  <c r="DS150" i="28"/>
  <c r="DO92" i="28"/>
  <c r="AO90" i="29"/>
  <c r="DM76" i="28"/>
  <c r="AM74" i="29"/>
  <c r="DL55" i="28"/>
  <c r="AL53" i="29"/>
  <c r="DN97" i="28"/>
  <c r="AN95" i="29"/>
  <c r="DF31" i="28"/>
  <c r="AN29" i="29"/>
  <c r="DN31" i="28"/>
  <c r="AP76" i="29"/>
  <c r="DP78" i="28"/>
  <c r="DP13" i="28"/>
  <c r="AP11" i="29"/>
  <c r="DU164" i="28"/>
  <c r="DR139" i="28"/>
  <c r="DB52" i="28"/>
  <c r="DB107" i="28"/>
  <c r="DN10" i="28"/>
  <c r="AN8" i="29"/>
  <c r="DL113" i="28"/>
  <c r="AL111" i="29"/>
  <c r="DA48" i="28"/>
  <c r="AL46" i="29"/>
  <c r="DL48" i="28"/>
  <c r="DN49" i="28"/>
  <c r="AN47" i="29"/>
  <c r="DP79" i="28"/>
  <c r="AP77" i="29"/>
  <c r="DP14" i="28"/>
  <c r="AP12" i="29"/>
  <c r="BF127" i="29"/>
  <c r="BK127" i="29"/>
  <c r="BJ129" i="29"/>
  <c r="BO129" i="29"/>
  <c r="DA55" i="28"/>
  <c r="DE31" i="28"/>
  <c r="DI13" i="28"/>
  <c r="BF126" i="29"/>
  <c r="BK126" i="29"/>
  <c r="BF135" i="29"/>
  <c r="G27" i="29" s="1"/>
  <c r="BK135" i="29"/>
  <c r="DS149" i="28"/>
  <c r="DL117" i="28"/>
  <c r="DR117" i="28" s="1"/>
  <c r="AL115" i="29"/>
  <c r="DH116" i="28"/>
  <c r="BI156" i="29"/>
  <c r="BN156" i="29"/>
  <c r="BF152" i="29"/>
  <c r="BK152" i="29"/>
  <c r="DB68" i="28"/>
  <c r="BH124" i="29"/>
  <c r="BM124" i="29"/>
  <c r="DT164" i="28"/>
  <c r="BJ123" i="29"/>
  <c r="BO123" i="29"/>
  <c r="DS145" i="28"/>
  <c r="BL63" i="29"/>
  <c r="DU167" i="28"/>
  <c r="DM96" i="28"/>
  <c r="AM94" i="29"/>
  <c r="DD52" i="28"/>
  <c r="AN50" i="29"/>
  <c r="DN52" i="28"/>
  <c r="BJ133" i="29"/>
  <c r="BO133" i="29"/>
  <c r="DP68" i="28"/>
  <c r="AP66" i="29"/>
  <c r="DA93" i="28"/>
  <c r="AL91" i="29"/>
  <c r="DL93" i="28"/>
  <c r="DR93" i="28" s="1"/>
  <c r="DE78" i="28"/>
  <c r="DN12" i="28"/>
  <c r="AN10" i="29"/>
  <c r="DR148" i="28"/>
  <c r="DI33" i="28"/>
  <c r="DT162" i="28"/>
  <c r="DM32" i="28"/>
  <c r="AM30" i="29"/>
  <c r="DN110" i="28"/>
  <c r="AN108" i="29"/>
  <c r="DI108" i="28"/>
  <c r="BG136" i="29"/>
  <c r="BL136" i="29"/>
  <c r="AL41" i="29"/>
  <c r="DL43" i="28"/>
  <c r="DF52" i="28"/>
  <c r="DJ33" i="28"/>
  <c r="BH159" i="29"/>
  <c r="BM159" i="29"/>
  <c r="DJ84" i="28"/>
  <c r="BF139" i="29"/>
  <c r="BK139" i="29"/>
  <c r="BF133" i="29"/>
  <c r="BK133" i="29"/>
  <c r="DR134" i="28"/>
  <c r="DS167" i="28"/>
  <c r="DN70" i="28"/>
  <c r="AN68" i="29"/>
  <c r="DI100" i="28"/>
  <c r="DP34" i="28"/>
  <c r="AP32" i="29"/>
  <c r="BJ143" i="29"/>
  <c r="BO143" i="29"/>
  <c r="BF131" i="29"/>
  <c r="BK131" i="29"/>
  <c r="BF148" i="29"/>
  <c r="BK148" i="29"/>
  <c r="DO76" i="28"/>
  <c r="AO74" i="29"/>
  <c r="DM59" i="28"/>
  <c r="AM57" i="29"/>
  <c r="BH156" i="29"/>
  <c r="BM156" i="29"/>
  <c r="DL52" i="28"/>
  <c r="AL50" i="29"/>
  <c r="AN48" i="29"/>
  <c r="DN50" i="28"/>
  <c r="DP64" i="28"/>
  <c r="AP62" i="29"/>
  <c r="BJ135" i="29"/>
  <c r="K27" i="29" s="1"/>
  <c r="BO135" i="29"/>
  <c r="BJ145" i="29"/>
  <c r="K28" i="29" s="1"/>
  <c r="BO145" i="29"/>
  <c r="BJ130" i="29"/>
  <c r="BO130" i="29"/>
  <c r="AL36" i="29"/>
  <c r="DL38" i="28"/>
  <c r="AN78" i="29"/>
  <c r="DN80" i="28"/>
  <c r="DN14" i="28"/>
  <c r="AN12" i="29"/>
  <c r="DP60" i="28"/>
  <c r="AP58" i="29"/>
  <c r="BH147" i="29"/>
  <c r="BM147" i="29"/>
  <c r="DP116" i="28"/>
  <c r="AP114" i="29"/>
  <c r="DM55" i="28"/>
  <c r="AM53" i="29"/>
  <c r="DA68" i="28"/>
  <c r="AL66" i="29"/>
  <c r="DL68" i="28"/>
  <c r="DJ100" i="28"/>
  <c r="BI141" i="29"/>
  <c r="BN141" i="29"/>
  <c r="BH144" i="29"/>
  <c r="BM144" i="29"/>
  <c r="BI121" i="29"/>
  <c r="BN121" i="29"/>
  <c r="DO104" i="28"/>
  <c r="AO102" i="29"/>
  <c r="DM80" i="28"/>
  <c r="AM78" i="29"/>
  <c r="DP82" i="28"/>
  <c r="AP80" i="29"/>
  <c r="BI146" i="29"/>
  <c r="BN146" i="29"/>
  <c r="DN87" i="28"/>
  <c r="AN85" i="29"/>
  <c r="DN21" i="28"/>
  <c r="AN19" i="29"/>
  <c r="BJ127" i="29"/>
  <c r="BO127" i="29"/>
  <c r="DP42" i="28"/>
  <c r="AP40" i="29"/>
  <c r="BF153" i="29"/>
  <c r="BK153" i="29"/>
  <c r="DM16" i="28"/>
  <c r="AM14" i="29"/>
  <c r="DP92" i="28"/>
  <c r="AP90" i="29"/>
  <c r="BJ155" i="29"/>
  <c r="K29" i="29" s="1"/>
  <c r="BO155" i="29"/>
  <c r="DL108" i="28"/>
  <c r="AL106" i="29"/>
  <c r="DJ92" i="28"/>
  <c r="DT135" i="28"/>
  <c r="BI158" i="29"/>
  <c r="BN158" i="29"/>
  <c r="AN75" i="29"/>
  <c r="DN77" i="28"/>
  <c r="DN11" i="28"/>
  <c r="AN9" i="29"/>
  <c r="DN79" i="28"/>
  <c r="AN77" i="29"/>
  <c r="AN11" i="29"/>
  <c r="DN13" i="28"/>
  <c r="AP57" i="29"/>
  <c r="DP59" i="28"/>
  <c r="BH165" i="29"/>
  <c r="I30" i="29" s="1"/>
  <c r="BM165" i="29"/>
  <c r="CZ36" i="28"/>
  <c r="DU145" i="28"/>
  <c r="DM104" i="28"/>
  <c r="AM102" i="29"/>
  <c r="DE77" i="28"/>
  <c r="DO100" i="28"/>
  <c r="AO98" i="29"/>
  <c r="DM84" i="28"/>
  <c r="AM82" i="29"/>
  <c r="DL64" i="28"/>
  <c r="DT64" i="28" s="1"/>
  <c r="AL62" i="29"/>
  <c r="AL27" i="29"/>
  <c r="DL29" i="28"/>
  <c r="BI128" i="29"/>
  <c r="BN128" i="29"/>
  <c r="BI120" i="29"/>
  <c r="BN120" i="29"/>
  <c r="DL40" i="28"/>
  <c r="DR40" i="28" s="1"/>
  <c r="AL38" i="29"/>
  <c r="DN57" i="28"/>
  <c r="AN55" i="29"/>
  <c r="DP22" i="28"/>
  <c r="AP20" i="29"/>
  <c r="DA64" i="28"/>
  <c r="DO34" i="28"/>
  <c r="AO32" i="29"/>
  <c r="AN86" i="29"/>
  <c r="DN88" i="28"/>
  <c r="DB45" i="28"/>
  <c r="BG158" i="29"/>
  <c r="BL158" i="29"/>
  <c r="DA40" i="28"/>
  <c r="DE24" i="28"/>
  <c r="BF157" i="29"/>
  <c r="BK157" i="29"/>
  <c r="DB31" i="28"/>
  <c r="DE55" i="28"/>
  <c r="DO71" i="28"/>
  <c r="AO69" i="29"/>
  <c r="DN59" i="28"/>
  <c r="AN57" i="29"/>
  <c r="DM13" i="28"/>
  <c r="AM11" i="29"/>
  <c r="AL64" i="29"/>
  <c r="DL66" i="28"/>
  <c r="DT66" i="28" s="1"/>
  <c r="AN31" i="29"/>
  <c r="DN33" i="28"/>
  <c r="DS159" i="28"/>
  <c r="DB73" i="28"/>
  <c r="DD90" i="28"/>
  <c r="AN88" i="29"/>
  <c r="DN90" i="28"/>
  <c r="DU148" i="28"/>
  <c r="DA42" i="28"/>
  <c r="DO110" i="28"/>
  <c r="AO108" i="29"/>
  <c r="DP97" i="28"/>
  <c r="AP95" i="29"/>
  <c r="BJ161" i="29"/>
  <c r="BO161" i="29"/>
  <c r="DO59" i="28"/>
  <c r="AO57" i="29"/>
  <c r="DM43" i="28"/>
  <c r="AM41" i="29"/>
  <c r="DL39" i="28"/>
  <c r="AL37" i="29"/>
  <c r="DF81" i="28"/>
  <c r="AN79" i="29"/>
  <c r="DN81" i="28"/>
  <c r="AN13" i="29"/>
  <c r="DN15" i="28"/>
  <c r="DJ61" i="28"/>
  <c r="AP59" i="29"/>
  <c r="DP61" i="28"/>
  <c r="DS148" i="28"/>
  <c r="DE21" i="28"/>
  <c r="DL91" i="28"/>
  <c r="DT91" i="28" s="1"/>
  <c r="AL89" i="29"/>
  <c r="DF76" i="28"/>
  <c r="DS156" i="28"/>
  <c r="DF33" i="28"/>
  <c r="DL97" i="28"/>
  <c r="DR97" i="28" s="1"/>
  <c r="AL95" i="29"/>
  <c r="DL32" i="28"/>
  <c r="AL30" i="29"/>
  <c r="DN32" i="28"/>
  <c r="AN30" i="29"/>
  <c r="DP63" i="28"/>
  <c r="AP61" i="29"/>
  <c r="DU147" i="28"/>
  <c r="DU132" i="28"/>
  <c r="AL101" i="29"/>
  <c r="DL103" i="28"/>
  <c r="DR103" i="28" s="1"/>
  <c r="BH130" i="29"/>
  <c r="BM130" i="29"/>
  <c r="DB21" i="28"/>
  <c r="DA85" i="28"/>
  <c r="AL83" i="29"/>
  <c r="DL85" i="28"/>
  <c r="DR85" i="28" s="1"/>
  <c r="BG164" i="29"/>
  <c r="BL164" i="29"/>
  <c r="DM39" i="28"/>
  <c r="AM37" i="29"/>
  <c r="DJ25" i="28"/>
  <c r="DF13" i="28"/>
  <c r="BG150" i="29"/>
  <c r="BL150" i="29"/>
  <c r="DT143" i="28"/>
  <c r="BI142" i="29"/>
  <c r="BN142" i="29"/>
  <c r="BH131" i="29"/>
  <c r="BM131" i="29"/>
  <c r="DS135" i="28"/>
  <c r="DT123" i="28"/>
  <c r="DO88" i="28"/>
  <c r="AO86" i="29"/>
  <c r="DM64" i="28"/>
  <c r="AM62" i="29"/>
  <c r="AN34" i="29"/>
  <c r="DN36" i="28"/>
  <c r="DT148" i="28"/>
  <c r="AP49" i="29"/>
  <c r="DP51" i="28"/>
  <c r="DU129" i="28"/>
  <c r="BH140" i="29"/>
  <c r="BM140" i="29"/>
  <c r="DL77" i="28"/>
  <c r="AL75" i="29"/>
  <c r="DN61" i="28"/>
  <c r="AN59" i="29"/>
  <c r="DP108" i="28"/>
  <c r="AP106" i="29"/>
  <c r="DN19" i="28"/>
  <c r="AN17" i="29"/>
  <c r="DP17" i="28"/>
  <c r="AP15" i="29"/>
  <c r="BI127" i="29"/>
  <c r="BN127" i="29"/>
  <c r="DH92" i="28"/>
  <c r="BG152" i="29"/>
  <c r="BL152" i="29"/>
  <c r="BF149" i="29"/>
  <c r="BK149" i="29"/>
  <c r="AL25" i="29"/>
  <c r="DL27" i="28"/>
  <c r="DF19" i="28"/>
  <c r="DF87" i="28"/>
  <c r="DJ51" i="28"/>
  <c r="BG120" i="29"/>
  <c r="BL120" i="29"/>
  <c r="BF120" i="29"/>
  <c r="BK120" i="29"/>
  <c r="DD60" i="28"/>
  <c r="AN51" i="29"/>
  <c r="DN53" i="28"/>
  <c r="AP81" i="29"/>
  <c r="DP83" i="28"/>
  <c r="DP18" i="28"/>
  <c r="AP16" i="29"/>
  <c r="DP57" i="28"/>
  <c r="AP55" i="29"/>
  <c r="DO43" i="28"/>
  <c r="AO41" i="29"/>
  <c r="DM27" i="28"/>
  <c r="AM25" i="29"/>
  <c r="DN65" i="28"/>
  <c r="AN63" i="29"/>
  <c r="BH146" i="29"/>
  <c r="BM146" i="29"/>
  <c r="BG118" i="29"/>
  <c r="BL118" i="29"/>
  <c r="BI140" i="29"/>
  <c r="BN140" i="29"/>
  <c r="DL36" i="28"/>
  <c r="DR36" i="28" s="1"/>
  <c r="AL34" i="29"/>
  <c r="BH154" i="29"/>
  <c r="BM154" i="29"/>
  <c r="DA17" i="28"/>
  <c r="AL15" i="29"/>
  <c r="DL17" i="28"/>
  <c r="DR17" i="28" s="1"/>
  <c r="BF143" i="29"/>
  <c r="BK143" i="29"/>
  <c r="AL20" i="29"/>
  <c r="DL22" i="28"/>
  <c r="AN62" i="29"/>
  <c r="DN64" i="28"/>
  <c r="AP108" i="29"/>
  <c r="DP110" i="28"/>
  <c r="DP44" i="28"/>
  <c r="AP42" i="29"/>
  <c r="BJ144" i="29"/>
  <c r="BO144" i="29"/>
  <c r="DN86" i="28"/>
  <c r="AN84" i="29"/>
  <c r="DP100" i="28"/>
  <c r="AP98" i="29"/>
  <c r="DR166" i="28"/>
  <c r="DM23" i="28"/>
  <c r="AM21" i="29"/>
  <c r="CZ51" i="28"/>
  <c r="AL49" i="29"/>
  <c r="DL51" i="28"/>
  <c r="DF86" i="28"/>
  <c r="DT144" i="28"/>
  <c r="BF118" i="29"/>
  <c r="BK118" i="29"/>
  <c r="BH133" i="29"/>
  <c r="BM133" i="29"/>
  <c r="DO72" i="28"/>
  <c r="AO70" i="29"/>
  <c r="DM15" i="28"/>
  <c r="AM13" i="29"/>
  <c r="AN99" i="29"/>
  <c r="DN101" i="28"/>
  <c r="DP66" i="28"/>
  <c r="AP64" i="29"/>
  <c r="DL21" i="28"/>
  <c r="AL19" i="29"/>
  <c r="DF71" i="28"/>
  <c r="AN69" i="29"/>
  <c r="DN71" i="28"/>
  <c r="AN115" i="29"/>
  <c r="DN117" i="28"/>
  <c r="CZ44" i="28"/>
  <c r="DP26" i="28"/>
  <c r="AP24" i="29"/>
  <c r="BI126" i="29"/>
  <c r="BN126" i="29"/>
  <c r="BF136" i="29"/>
  <c r="BK136" i="29"/>
  <c r="DT129" i="28"/>
  <c r="DN78" i="28"/>
  <c r="AN76" i="29"/>
  <c r="BG127" i="29"/>
  <c r="BL127" i="29"/>
  <c r="CZ92" i="28"/>
  <c r="AL90" i="29"/>
  <c r="DL92" i="28"/>
  <c r="BH134" i="29"/>
  <c r="BM134" i="29"/>
  <c r="DU142" i="28"/>
  <c r="BI137" i="29"/>
  <c r="BN137" i="29"/>
  <c r="DA19" i="28"/>
  <c r="AL17" i="29"/>
  <c r="DL19" i="28"/>
  <c r="DF60" i="28"/>
  <c r="AN58" i="29"/>
  <c r="DN60" i="28"/>
  <c r="DP107" i="28"/>
  <c r="AP105" i="29"/>
  <c r="DP25" i="28"/>
  <c r="AP23" i="29"/>
  <c r="AL11" i="29"/>
  <c r="DL13" i="28"/>
  <c r="DN63" i="28"/>
  <c r="AN61" i="29"/>
  <c r="DP109" i="28"/>
  <c r="AP107" i="29"/>
  <c r="DP43" i="28"/>
  <c r="AP41" i="29"/>
  <c r="BJ159" i="29"/>
  <c r="BO159" i="29"/>
  <c r="BJ139" i="29"/>
  <c r="BO139" i="29"/>
  <c r="DU123" i="28"/>
  <c r="DR156" i="28"/>
  <c r="DM115" i="28"/>
  <c r="AM113" i="29"/>
  <c r="DN72" i="28"/>
  <c r="AN70" i="29"/>
  <c r="BG144" i="29"/>
  <c r="BL144" i="29"/>
  <c r="BF128" i="29"/>
  <c r="BK128" i="29"/>
  <c r="DM46" i="28"/>
  <c r="AM44" i="29"/>
  <c r="DE108" i="28"/>
  <c r="AN106" i="29"/>
  <c r="DN108" i="28"/>
  <c r="DM110" i="28"/>
  <c r="AM108" i="29"/>
  <c r="DL114" i="28"/>
  <c r="AL112" i="29"/>
  <c r="DL49" i="28"/>
  <c r="DR49" i="28" s="1"/>
  <c r="AL47" i="29"/>
  <c r="DN17" i="28"/>
  <c r="AN15" i="29"/>
  <c r="DO101" i="28"/>
  <c r="AO99" i="29"/>
  <c r="DB40" i="28"/>
  <c r="DF57" i="28"/>
  <c r="DJ54" i="28"/>
  <c r="BH126" i="29"/>
  <c r="BM126" i="29"/>
  <c r="BF141" i="29"/>
  <c r="BK141" i="29"/>
  <c r="BF137" i="29"/>
  <c r="BK137" i="29"/>
  <c r="AL28" i="29"/>
  <c r="DL30" i="28"/>
  <c r="BF140" i="29"/>
  <c r="BK140" i="29"/>
  <c r="AL84" i="29"/>
  <c r="DL86" i="28"/>
  <c r="DO54" i="28"/>
  <c r="AO52" i="29"/>
  <c r="DA114" i="28"/>
  <c r="DI64" i="28"/>
  <c r="DU153" i="28"/>
  <c r="BJ132" i="29"/>
  <c r="BO132" i="29"/>
  <c r="DO27" i="28"/>
  <c r="AO25" i="29"/>
  <c r="DM11" i="28"/>
  <c r="AM9" i="29"/>
  <c r="AL21" i="29"/>
  <c r="DL23" i="28"/>
  <c r="DD65" i="28"/>
  <c r="DP111" i="28"/>
  <c r="AP109" i="29"/>
  <c r="DP45" i="28"/>
  <c r="AP43" i="29"/>
  <c r="DJ113" i="28"/>
  <c r="DL81" i="28"/>
  <c r="AL79" i="29"/>
  <c r="DA16" i="28"/>
  <c r="AL14" i="29"/>
  <c r="DL16" i="28"/>
  <c r="DE16" i="28"/>
  <c r="AN14" i="29"/>
  <c r="DN16" i="28"/>
  <c r="AP44" i="29"/>
  <c r="DP46" i="28"/>
  <c r="BH152" i="29"/>
  <c r="BM152" i="29"/>
  <c r="DA104" i="28"/>
  <c r="AL102" i="29"/>
  <c r="DL104" i="28"/>
  <c r="AL85" i="29"/>
  <c r="DL87" i="28"/>
  <c r="DR87" i="28" s="1"/>
  <c r="DU146" i="28"/>
  <c r="BJ156" i="29"/>
  <c r="BO156" i="29"/>
  <c r="DA52" i="28"/>
  <c r="BG143" i="29"/>
  <c r="BL143" i="29"/>
  <c r="BJ124" i="29"/>
  <c r="BO124" i="29"/>
  <c r="BI124" i="29"/>
  <c r="BN124" i="29"/>
  <c r="DR120" i="28"/>
  <c r="BF124" i="29"/>
  <c r="BK124" i="29"/>
  <c r="BH127" i="29"/>
  <c r="BM127" i="29"/>
  <c r="DO55" i="28"/>
  <c r="AO53" i="29"/>
  <c r="CZ108" i="28"/>
  <c r="BF150" i="29"/>
  <c r="BK150" i="29"/>
  <c r="AP33" i="29"/>
  <c r="DP35" i="28"/>
  <c r="AN43" i="29"/>
  <c r="DN45" i="28"/>
  <c r="DT128" i="28"/>
  <c r="BI159" i="29"/>
  <c r="BN159" i="29"/>
  <c r="DE101" i="28"/>
  <c r="BJ122" i="29"/>
  <c r="BO122" i="29"/>
  <c r="DO113" i="28"/>
  <c r="AO111" i="29"/>
  <c r="DR129" i="28"/>
  <c r="BF117" i="29"/>
  <c r="BK117" i="29"/>
  <c r="DL11" i="28"/>
  <c r="AL9" i="29"/>
  <c r="BJ154" i="29"/>
  <c r="BO154" i="29"/>
  <c r="DJ42" i="28"/>
  <c r="BF155" i="29"/>
  <c r="G29" i="29" s="1"/>
  <c r="BK155" i="29"/>
  <c r="BJ140" i="29"/>
  <c r="BO140" i="29"/>
  <c r="DT139" i="28"/>
  <c r="DN37" i="28"/>
  <c r="AN35" i="29"/>
  <c r="AP65" i="29"/>
  <c r="DP67" i="28"/>
  <c r="BF123" i="29"/>
  <c r="BK123" i="29"/>
  <c r="BJ121" i="29"/>
  <c r="BO121" i="29"/>
  <c r="DP41" i="28"/>
  <c r="AP39" i="29"/>
  <c r="BH141" i="29"/>
  <c r="BM141" i="29"/>
  <c r="BI119" i="29"/>
  <c r="BN119" i="29"/>
  <c r="DO51" i="28"/>
  <c r="AO49" i="29"/>
  <c r="DM35" i="28"/>
  <c r="AM33" i="29"/>
  <c r="DD73" i="28"/>
  <c r="AN71" i="29"/>
  <c r="DN73" i="28"/>
  <c r="DF62" i="28"/>
  <c r="AN60" i="29"/>
  <c r="DN62" i="28"/>
  <c r="DP53" i="28"/>
  <c r="AP51" i="29"/>
  <c r="BF151" i="29"/>
  <c r="BK151" i="29"/>
  <c r="CZ60" i="28"/>
  <c r="AL58" i="29"/>
  <c r="DL60" i="28"/>
  <c r="DR60" i="28" s="1"/>
  <c r="DP72" i="28"/>
  <c r="AP70" i="29"/>
  <c r="BH139" i="29"/>
  <c r="BM139" i="29"/>
  <c r="DS144" i="28"/>
  <c r="DA112" i="28"/>
  <c r="AL110" i="29"/>
  <c r="DL112" i="28"/>
  <c r="DA15" i="28"/>
  <c r="DO115" i="28"/>
  <c r="AO113" i="29"/>
  <c r="DM83" i="28"/>
  <c r="AM81" i="29"/>
  <c r="AL93" i="29"/>
  <c r="DL95" i="28"/>
  <c r="DR95" i="28" s="1"/>
  <c r="CZ14" i="28"/>
  <c r="DP102" i="28"/>
  <c r="AP100" i="29"/>
  <c r="DP36" i="28"/>
  <c r="AP34" i="29"/>
  <c r="DR146" i="28"/>
  <c r="BG122" i="29"/>
  <c r="BL122" i="29"/>
  <c r="DB112" i="28"/>
  <c r="DA30" i="28"/>
  <c r="DM30" i="28"/>
  <c r="AM28" i="29"/>
  <c r="AL56" i="29"/>
  <c r="DL58" i="28"/>
  <c r="DT58" i="28" s="1"/>
  <c r="DM94" i="28"/>
  <c r="AM92" i="29"/>
  <c r="CZ98" i="28"/>
  <c r="DN83" i="28"/>
  <c r="AN81" i="29"/>
  <c r="DP31" i="28"/>
  <c r="AP29" i="29"/>
  <c r="DR163" i="28"/>
  <c r="DO85" i="28"/>
  <c r="AO83" i="29"/>
  <c r="DJ38" i="28"/>
  <c r="BG145" i="29"/>
  <c r="H28" i="29" s="1"/>
  <c r="BL145" i="29"/>
  <c r="DS143" i="28"/>
  <c r="DJ102" i="28"/>
  <c r="DO22" i="28"/>
  <c r="AO20" i="29"/>
  <c r="AL8" i="29"/>
  <c r="DL10" i="28"/>
  <c r="DT10" i="28" s="1"/>
  <c r="DE50" i="28"/>
  <c r="BG140" i="29"/>
  <c r="BL140" i="29"/>
  <c r="DR162" i="28"/>
  <c r="DO11" i="28"/>
  <c r="AO9" i="29"/>
  <c r="DT132" i="28"/>
  <c r="BJ141" i="29"/>
  <c r="BO141" i="29"/>
  <c r="AL18" i="29"/>
  <c r="DL20" i="28"/>
  <c r="DP56" i="28"/>
  <c r="AP54" i="29"/>
  <c r="DB114" i="28"/>
  <c r="DJ97" i="28"/>
  <c r="BI161" i="29"/>
  <c r="BN161" i="29"/>
  <c r="DE81" i="28"/>
  <c r="DI61" i="28"/>
  <c r="AN110" i="29"/>
  <c r="DN112" i="28"/>
  <c r="DE47" i="28"/>
  <c r="AN45" i="29"/>
  <c r="DN47" i="28"/>
  <c r="AP92" i="29"/>
  <c r="DP94" i="28"/>
  <c r="DP28" i="28"/>
  <c r="AP26" i="29"/>
  <c r="BJ160" i="29"/>
  <c r="BO160" i="29"/>
  <c r="CZ102" i="28"/>
  <c r="AL100" i="29"/>
  <c r="DL102" i="28"/>
  <c r="DA36" i="28"/>
  <c r="DR145" i="28"/>
  <c r="CZ116" i="28"/>
  <c r="AL114" i="29"/>
  <c r="DL116" i="28"/>
  <c r="AL33" i="29"/>
  <c r="DL35" i="28"/>
  <c r="DJ107" i="28"/>
  <c r="BH150" i="29"/>
  <c r="BM150" i="29"/>
  <c r="DS129" i="28"/>
  <c r="DO39" i="28"/>
  <c r="AO37" i="29"/>
  <c r="AN83" i="29"/>
  <c r="DN85" i="28"/>
  <c r="AP113" i="29"/>
  <c r="DP115" i="28"/>
  <c r="DP49" i="28"/>
  <c r="AP47" i="29"/>
  <c r="DR152" i="28"/>
  <c r="AL6" i="29"/>
  <c r="DL8" i="28"/>
  <c r="DN54" i="28"/>
  <c r="AN52" i="29"/>
  <c r="DP101" i="28"/>
  <c r="AP99" i="29"/>
  <c r="AP73" i="29"/>
  <c r="DP75" i="28"/>
  <c r="DP10" i="28"/>
  <c r="AP8" i="29"/>
  <c r="BI153" i="29"/>
  <c r="BN153" i="29"/>
  <c r="DT161" i="28"/>
  <c r="DE85" i="28"/>
  <c r="DI82" i="28"/>
  <c r="DO97" i="28"/>
  <c r="AO95" i="29"/>
  <c r="DE45" i="28"/>
  <c r="DI42" i="28"/>
  <c r="BG130" i="29"/>
  <c r="BL130" i="29"/>
  <c r="DT119" i="28"/>
  <c r="DA76" i="28"/>
  <c r="AL74" i="29"/>
  <c r="DL76" i="28"/>
  <c r="DF101" i="28"/>
  <c r="DJ82" i="28"/>
  <c r="DU156" i="28"/>
  <c r="DF21" i="28"/>
  <c r="BG153" i="29"/>
  <c r="BL153" i="29"/>
  <c r="DJ26" i="28"/>
  <c r="DS118" i="28"/>
  <c r="BL86" i="29"/>
  <c r="BH160" i="29"/>
  <c r="BM160" i="29"/>
  <c r="DN109" i="28"/>
  <c r="AN107" i="29"/>
  <c r="AN42" i="29"/>
  <c r="DN44" i="28"/>
  <c r="AP89" i="29"/>
  <c r="DP91" i="28"/>
  <c r="DP9" i="28"/>
  <c r="AP7" i="29"/>
  <c r="DE111" i="28"/>
  <c r="AN109" i="29"/>
  <c r="DN111" i="28"/>
  <c r="DN46" i="28"/>
  <c r="AN44" i="29"/>
  <c r="DP93" i="28"/>
  <c r="AP91" i="29"/>
  <c r="DP27" i="28"/>
  <c r="AP25" i="29"/>
  <c r="DL101" i="28"/>
  <c r="DR101" i="28" s="1"/>
  <c r="AL99" i="29"/>
  <c r="DN102" i="28"/>
  <c r="AN100" i="29"/>
  <c r="DA51" i="28"/>
  <c r="DE11" i="28"/>
  <c r="DI25" i="28"/>
  <c r="DO35" i="28"/>
  <c r="AO33" i="29"/>
  <c r="DM19" i="28"/>
  <c r="AM17" i="29"/>
  <c r="DL31" i="28"/>
  <c r="AL29" i="29"/>
  <c r="DL61" i="28"/>
  <c r="DT61" i="28" s="1"/>
  <c r="AL59" i="29"/>
  <c r="DF94" i="28"/>
  <c r="AN92" i="29"/>
  <c r="DN94" i="28"/>
  <c r="DN42" i="28"/>
  <c r="AN40" i="29"/>
  <c r="DL73" i="28"/>
  <c r="DR73" i="28" s="1"/>
  <c r="AL71" i="29"/>
  <c r="DN24" i="28"/>
  <c r="AN22" i="29"/>
  <c r="DP54" i="28"/>
  <c r="AP52" i="29"/>
  <c r="BF163" i="29"/>
  <c r="BK163" i="29"/>
  <c r="BH142" i="29"/>
  <c r="BM142" i="29"/>
  <c r="DO99" i="28"/>
  <c r="AO97" i="29"/>
  <c r="DM67" i="28"/>
  <c r="AM65" i="29"/>
  <c r="AL12" i="29"/>
  <c r="DL14" i="28"/>
  <c r="DN55" i="28"/>
  <c r="AN53" i="29"/>
  <c r="BI118" i="29"/>
  <c r="BN118" i="29"/>
  <c r="DB96" i="28"/>
  <c r="DF73" i="28"/>
  <c r="DA14" i="28"/>
  <c r="DI102" i="28"/>
  <c r="DM14" i="28"/>
  <c r="AM12" i="29"/>
  <c r="DE92" i="28"/>
  <c r="AN90" i="29"/>
  <c r="DN92" i="28"/>
  <c r="BJ158" i="29"/>
  <c r="BO158" i="29"/>
  <c r="DM78" i="28"/>
  <c r="AM76" i="29"/>
  <c r="AL96" i="29"/>
  <c r="DL98" i="28"/>
  <c r="DB33" i="28"/>
  <c r="AL31" i="29"/>
  <c r="DL33" i="28"/>
  <c r="DP113" i="28"/>
  <c r="AP111" i="29"/>
  <c r="BF161" i="29"/>
  <c r="BK161" i="29"/>
  <c r="DO69" i="28"/>
  <c r="AO67" i="29"/>
  <c r="DF24" i="28"/>
  <c r="DJ22" i="28"/>
  <c r="DF104" i="28"/>
  <c r="DA107" i="28"/>
  <c r="DE76" i="28"/>
  <c r="DU128" i="28"/>
  <c r="DA82" i="28"/>
  <c r="DE33" i="28"/>
  <c r="DI31" i="28"/>
  <c r="BF145" i="29"/>
  <c r="G28" i="29" s="1"/>
  <c r="BK145" i="29"/>
  <c r="BJ116" i="29"/>
  <c r="BO116" i="29"/>
  <c r="BH120" i="29"/>
  <c r="BM120" i="29"/>
  <c r="DR142" i="28"/>
  <c r="BF160" i="29"/>
  <c r="BK160" i="29"/>
  <c r="DM108" i="28"/>
  <c r="AM106" i="29"/>
  <c r="CZ72" i="28"/>
  <c r="AL70" i="29"/>
  <c r="DL72" i="28"/>
  <c r="DF113" i="28"/>
  <c r="AN111" i="29"/>
  <c r="DN113" i="28"/>
  <c r="DN48" i="28"/>
  <c r="AN46" i="29"/>
  <c r="DP95" i="28"/>
  <c r="AP93" i="29"/>
  <c r="DP29" i="28"/>
  <c r="AP27" i="29"/>
  <c r="DO9" i="28"/>
  <c r="AO7" i="29"/>
  <c r="DE87" i="28"/>
  <c r="DP84" i="28"/>
  <c r="AP82" i="29"/>
  <c r="DU143" i="28"/>
  <c r="DN26" i="28"/>
  <c r="AN24" i="29"/>
  <c r="DU144" i="28"/>
  <c r="DB98" i="28"/>
  <c r="DF83" i="28"/>
  <c r="BF129" i="29"/>
  <c r="BK129" i="29"/>
  <c r="DL65" i="28"/>
  <c r="AL63" i="29"/>
  <c r="AP28" i="29"/>
  <c r="DP30" i="28"/>
  <c r="BF132" i="29"/>
  <c r="BK132" i="29"/>
  <c r="DT163" i="28"/>
  <c r="DL88" i="28"/>
  <c r="AL86" i="29"/>
  <c r="DE65" i="28"/>
  <c r="DI45" i="28"/>
  <c r="AL69" i="29"/>
  <c r="DL71" i="28"/>
  <c r="DU162" i="28"/>
  <c r="DB86" i="28"/>
  <c r="DO105" i="28"/>
  <c r="AO103" i="29"/>
  <c r="DA20" i="28"/>
  <c r="DS120" i="28"/>
  <c r="DB100" i="28"/>
  <c r="AL98" i="29"/>
  <c r="DL100" i="28"/>
  <c r="DB19" i="28"/>
  <c r="DF79" i="28"/>
  <c r="DJ59" i="28"/>
  <c r="BH149" i="29"/>
  <c r="BM149" i="29"/>
  <c r="DO23" i="28"/>
  <c r="AO21" i="29"/>
  <c r="CZ59" i="28"/>
  <c r="AL57" i="29"/>
  <c r="DL59" i="28"/>
  <c r="DD69" i="28"/>
  <c r="DI84" i="28"/>
  <c r="DP19" i="28"/>
  <c r="AP17" i="29"/>
  <c r="BJ157" i="29"/>
  <c r="BO157" i="29"/>
  <c r="DL109" i="28"/>
  <c r="DR109" i="28" s="1"/>
  <c r="AL107" i="29"/>
  <c r="AN26" i="29"/>
  <c r="DN28" i="28"/>
  <c r="DT155" i="28"/>
  <c r="DA108" i="28"/>
  <c r="DI66" i="28"/>
  <c r="DO81" i="28"/>
  <c r="AO79" i="29"/>
  <c r="DE28" i="28"/>
  <c r="DI26" i="28"/>
  <c r="BH129" i="29"/>
  <c r="BM129" i="29"/>
  <c r="DR132" i="28"/>
  <c r="DM47" i="28"/>
  <c r="AM45" i="29"/>
  <c r="DB59" i="28"/>
  <c r="DF85" i="28"/>
  <c r="DJ66" i="28"/>
  <c r="DF117" i="28"/>
  <c r="DR155" i="28"/>
  <c r="DJ10" i="28"/>
  <c r="DS130" i="28"/>
  <c r="BF116" i="29"/>
  <c r="BK116" i="29"/>
  <c r="BN110" i="29"/>
  <c r="DS162" i="28"/>
  <c r="DU155" i="28"/>
  <c r="DE86" i="28"/>
  <c r="DN20" i="28"/>
  <c r="AN18" i="29"/>
  <c r="DP50" i="28"/>
  <c r="AP48" i="29"/>
  <c r="DS163" i="28"/>
  <c r="DU139" i="28"/>
  <c r="DA35" i="28"/>
  <c r="DI107" i="28"/>
  <c r="DI9" i="28"/>
  <c r="BG160" i="29"/>
  <c r="BL160" i="29"/>
  <c r="BH153" i="29"/>
  <c r="BM153" i="29"/>
  <c r="DO19" i="28"/>
  <c r="AO17" i="29"/>
  <c r="DN56" i="28"/>
  <c r="AN54" i="29"/>
  <c r="DP103" i="28"/>
  <c r="DU103" i="28" s="1"/>
  <c r="AP101" i="29"/>
  <c r="DJ37" i="28"/>
  <c r="AP35" i="29"/>
  <c r="DP37" i="28"/>
  <c r="CZ45" i="28"/>
  <c r="BG162" i="29"/>
  <c r="BL162" i="29"/>
  <c r="DL44" i="28"/>
  <c r="DR44" i="28" s="1"/>
  <c r="AL42" i="29"/>
  <c r="DP48" i="28"/>
  <c r="AP46" i="29"/>
  <c r="BH121" i="29"/>
  <c r="BM121" i="29"/>
  <c r="BI134" i="29"/>
  <c r="BN134" i="29"/>
  <c r="DA96" i="28"/>
  <c r="DO83" i="28"/>
  <c r="AO81" i="29"/>
  <c r="DM50" i="28"/>
  <c r="AM48" i="29"/>
  <c r="DL79" i="28"/>
  <c r="AL77" i="29"/>
  <c r="DD39" i="28"/>
  <c r="AN37" i="29"/>
  <c r="DN39" i="28"/>
  <c r="DJ85" i="28"/>
  <c r="AP83" i="29"/>
  <c r="DP85" i="28"/>
  <c r="DP20" i="28"/>
  <c r="AP18" i="29"/>
  <c r="DA94" i="28"/>
  <c r="AL92" i="29"/>
  <c r="DL94" i="28"/>
  <c r="DE74" i="28"/>
  <c r="DI54" i="28"/>
  <c r="BG138" i="29"/>
  <c r="BL138" i="29"/>
  <c r="DF56" i="28"/>
  <c r="DE104" i="28"/>
  <c r="DI85" i="28"/>
  <c r="BH162" i="29"/>
  <c r="BM162" i="29"/>
  <c r="CZ107" i="28"/>
  <c r="AL40" i="29"/>
  <c r="DL42" i="28"/>
  <c r="DR42" i="28" s="1"/>
  <c r="DD76" i="28"/>
  <c r="DP106" i="28"/>
  <c r="AP104" i="29"/>
  <c r="AP22" i="29"/>
  <c r="DP24" i="28"/>
  <c r="DM61" i="28"/>
  <c r="AM59" i="29"/>
  <c r="CZ82" i="28"/>
  <c r="CZ17" i="28"/>
  <c r="DN67" i="28"/>
  <c r="AN65" i="29"/>
  <c r="DP15" i="28"/>
  <c r="AP13" i="29"/>
  <c r="DO117" i="28"/>
  <c r="AO115" i="29"/>
  <c r="DL62" i="28"/>
  <c r="DR62" i="28" s="1"/>
  <c r="AL60" i="29"/>
  <c r="DF34" i="28"/>
  <c r="BG128" i="29"/>
  <c r="BL128" i="29"/>
  <c r="DB95" i="28"/>
  <c r="DF88" i="28"/>
  <c r="BJ134" i="29"/>
  <c r="BO134" i="29"/>
  <c r="DE59" i="28"/>
  <c r="BJ126" i="29"/>
  <c r="BO126" i="29"/>
  <c r="DA66" i="28"/>
  <c r="DE17" i="28"/>
  <c r="DI15" i="28"/>
  <c r="BN42" i="29"/>
  <c r="BL26" i="29"/>
  <c r="BG119" i="29"/>
  <c r="BL119" i="29"/>
  <c r="DO108" i="28"/>
  <c r="AO106" i="29"/>
  <c r="DM92" i="28"/>
  <c r="AM90" i="29"/>
  <c r="BJ162" i="29"/>
  <c r="BO162" i="29"/>
  <c r="DE71" i="28"/>
  <c r="BG137" i="29"/>
  <c r="BL137" i="29"/>
  <c r="DB10" i="28"/>
  <c r="DP40" i="28"/>
  <c r="AP38" i="29"/>
  <c r="DB82" i="28"/>
  <c r="DF67" i="28"/>
  <c r="DP80" i="28"/>
  <c r="AP78" i="29"/>
  <c r="DU131" i="28"/>
  <c r="DA72" i="28"/>
  <c r="DE48" i="28"/>
  <c r="DI29" i="28"/>
  <c r="AN94" i="29"/>
  <c r="DN96" i="28"/>
  <c r="DN30" i="28"/>
  <c r="AN28" i="29"/>
  <c r="DP77" i="28"/>
  <c r="AP75" i="29"/>
  <c r="DP12" i="28"/>
  <c r="AP10" i="29"/>
  <c r="DM56" i="28"/>
  <c r="AM54" i="29"/>
  <c r="BH118" i="29"/>
  <c r="BM118" i="29"/>
  <c r="DS154" i="28"/>
  <c r="DF63" i="28"/>
  <c r="DJ43" i="28"/>
  <c r="BI162" i="29"/>
  <c r="BN162" i="29"/>
  <c r="BH143" i="29"/>
  <c r="BM143" i="29"/>
  <c r="BL79" i="29"/>
  <c r="DS151" i="28"/>
  <c r="BH145" i="29"/>
  <c r="I28" i="29" s="1"/>
  <c r="BM145" i="29"/>
  <c r="BF165" i="29"/>
  <c r="G30" i="29" s="1"/>
  <c r="BK165" i="29"/>
  <c r="DM112" i="28"/>
  <c r="AM110" i="29"/>
  <c r="DN69" i="28"/>
  <c r="AN67" i="29"/>
  <c r="AP97" i="29"/>
  <c r="DP99" i="28"/>
  <c r="DP33" i="28"/>
  <c r="AP31" i="29"/>
  <c r="DE103" i="28"/>
  <c r="AN101" i="29"/>
  <c r="DN103" i="28"/>
  <c r="DN38" i="28"/>
  <c r="AN36" i="29"/>
  <c r="DU159" i="28"/>
  <c r="DE94" i="28"/>
  <c r="DP58" i="28"/>
  <c r="AP56" i="29"/>
  <c r="BG146" i="29"/>
  <c r="BL146" i="29"/>
  <c r="DA92" i="28"/>
  <c r="DE52" i="28"/>
  <c r="DI49" i="28"/>
  <c r="BI160" i="29"/>
  <c r="BN160" i="29"/>
  <c r="DM48" i="28"/>
  <c r="AM46" i="29"/>
  <c r="DE12" i="28"/>
  <c r="DI10" i="28"/>
  <c r="DS131" i="28"/>
  <c r="DM31" i="28"/>
  <c r="AM29" i="29"/>
  <c r="DF69" i="28"/>
  <c r="DJ49" i="28"/>
  <c r="DS161" i="28"/>
  <c r="DI101" i="28"/>
  <c r="DF12" i="28"/>
  <c r="BH128" i="29"/>
  <c r="BM128" i="29"/>
  <c r="BG132" i="29"/>
  <c r="BL132" i="29"/>
  <c r="BJ153" i="29"/>
  <c r="BO153" i="29"/>
  <c r="DL84" i="28"/>
  <c r="AL82" i="29"/>
  <c r="DN93" i="28"/>
  <c r="AN91" i="29"/>
  <c r="DN27" i="28"/>
  <c r="AN25" i="29"/>
  <c r="DP74" i="28"/>
  <c r="AP72" i="29"/>
  <c r="BF134" i="29"/>
  <c r="BK134" i="29"/>
  <c r="DN95" i="28"/>
  <c r="AN93" i="29"/>
  <c r="DN29" i="28"/>
  <c r="AN27" i="29"/>
  <c r="DP76" i="28"/>
  <c r="AP74" i="29"/>
  <c r="AP9" i="29"/>
  <c r="DP11" i="28"/>
  <c r="DL69" i="28"/>
  <c r="DR69" i="28" s="1"/>
  <c r="AL67" i="29"/>
  <c r="DD70" i="28"/>
  <c r="DI116" i="28"/>
  <c r="DH34" i="28"/>
  <c r="BF119" i="29"/>
  <c r="BK119" i="29"/>
  <c r="BH161" i="29"/>
  <c r="BM161" i="29"/>
  <c r="BJ137" i="29"/>
  <c r="BO137" i="29"/>
  <c r="DE109" i="28"/>
  <c r="DI91" i="28"/>
  <c r="V17" i="2"/>
  <c r="BO294" i="27"/>
  <c r="BP294" i="27" s="1"/>
  <c r="BL295" i="27"/>
  <c r="V18" i="2"/>
  <c r="V19" i="2"/>
  <c r="T16" i="2"/>
  <c r="AC5" i="23"/>
  <c r="AD5" i="23" s="1"/>
  <c r="AC11" i="23"/>
  <c r="AD11" i="23" s="1"/>
  <c r="BU62" i="23" s="1"/>
  <c r="AC10" i="23"/>
  <c r="AD10" i="23" s="1"/>
  <c r="BU54" i="23" s="1"/>
  <c r="AC9" i="23"/>
  <c r="AD9" i="23" s="1"/>
  <c r="BU44" i="23" s="1"/>
  <c r="AC8" i="23"/>
  <c r="AD8" i="23" s="1"/>
  <c r="BU34" i="23" s="1"/>
  <c r="AC7" i="23"/>
  <c r="AD7" i="23" s="1"/>
  <c r="AC6" i="23"/>
  <c r="AD6" i="23" s="1"/>
  <c r="BU17" i="23" s="1"/>
  <c r="E8" i="3"/>
  <c r="Z376" i="9"/>
  <c r="Y325" i="9"/>
  <c r="AA14" i="9"/>
  <c r="AA353" i="9"/>
  <c r="Z312" i="9"/>
  <c r="AA141" i="9"/>
  <c r="AA238" i="9"/>
  <c r="Z243" i="9"/>
  <c r="Y393" i="9"/>
  <c r="AB221" i="9"/>
  <c r="AA336" i="9"/>
  <c r="AC261" i="9"/>
  <c r="Y127" i="9"/>
  <c r="AA87" i="9"/>
  <c r="Y319" i="9"/>
  <c r="AC206" i="9"/>
  <c r="AA108" i="9"/>
  <c r="Z355" i="9"/>
  <c r="AB148" i="9"/>
  <c r="AB326" i="9"/>
  <c r="AB324" i="9"/>
  <c r="Y249" i="9"/>
  <c r="AB36" i="9"/>
  <c r="AB389" i="9"/>
  <c r="AC150" i="9"/>
  <c r="AB102" i="9"/>
  <c r="AC195" i="9"/>
  <c r="AB391" i="9"/>
  <c r="Z254" i="9"/>
  <c r="Y47" i="9"/>
  <c r="AA48" i="9"/>
  <c r="AC109" i="9"/>
  <c r="AB63" i="9"/>
  <c r="AB131" i="9"/>
  <c r="AA380" i="9"/>
  <c r="AB348" i="9"/>
  <c r="AB158" i="9"/>
  <c r="AC338" i="9"/>
  <c r="Z257" i="9"/>
  <c r="AC138" i="9"/>
  <c r="AC287" i="9"/>
  <c r="AB374" i="9"/>
  <c r="Z297" i="9"/>
  <c r="Z381" i="9"/>
  <c r="AC50" i="9"/>
  <c r="Z350" i="9"/>
  <c r="AC26" i="9"/>
  <c r="CI39" i="21"/>
  <c r="Y338" i="9"/>
  <c r="Z117" i="9"/>
  <c r="AB259" i="9"/>
  <c r="AC93" i="9"/>
  <c r="AC314" i="9"/>
  <c r="AB367" i="9"/>
  <c r="AC373" i="9"/>
  <c r="AB361" i="9"/>
  <c r="AA73" i="9"/>
  <c r="AB201" i="9"/>
  <c r="AA226" i="9"/>
  <c r="AB53" i="9"/>
  <c r="Z26" i="9"/>
  <c r="AA361" i="9"/>
  <c r="AA128" i="9"/>
  <c r="AB239" i="9"/>
  <c r="AC328" i="9"/>
  <c r="AC305" i="9"/>
  <c r="AB237" i="9"/>
  <c r="AC117" i="9"/>
  <c r="AC356" i="9"/>
  <c r="AC28" i="9"/>
  <c r="Y184" i="9"/>
  <c r="Z281" i="9"/>
  <c r="Y215" i="9"/>
  <c r="Y375" i="9"/>
  <c r="AA39" i="9"/>
  <c r="AB383" i="9"/>
  <c r="AC292" i="9"/>
  <c r="AC48" i="9"/>
  <c r="Y254" i="9"/>
  <c r="AA308" i="9"/>
  <c r="Z316" i="9"/>
  <c r="AB93" i="9"/>
  <c r="Z157" i="9"/>
  <c r="AA139" i="9"/>
  <c r="AA379" i="9"/>
  <c r="AB290" i="9"/>
  <c r="AA364" i="9"/>
  <c r="AB58" i="9"/>
  <c r="AA233" i="9"/>
  <c r="AA9" i="9"/>
  <c r="AB306" i="9"/>
  <c r="Y271" i="9"/>
  <c r="AA197" i="9"/>
  <c r="Z48" i="9"/>
  <c r="AB392" i="9"/>
  <c r="AB355" i="9"/>
  <c r="Y33" i="9"/>
  <c r="Y315" i="9"/>
  <c r="Y251" i="9"/>
  <c r="AB32" i="9"/>
  <c r="Y280" i="9"/>
  <c r="Z276" i="9"/>
  <c r="Z369" i="9"/>
  <c r="AC288" i="9"/>
  <c r="Z251" i="9"/>
  <c r="Y376" i="9"/>
  <c r="AA212" i="9"/>
  <c r="Y237" i="9"/>
  <c r="AC377" i="9"/>
  <c r="Z291" i="9"/>
  <c r="Z289" i="9"/>
  <c r="AC60" i="9"/>
  <c r="Z364" i="9"/>
  <c r="AC372" i="9"/>
  <c r="Z259" i="9"/>
  <c r="AA404" i="9"/>
  <c r="AB45" i="9"/>
  <c r="Y388" i="9"/>
  <c r="AC334" i="9"/>
  <c r="AC332" i="9"/>
  <c r="Y333" i="9"/>
  <c r="AB331" i="9"/>
  <c r="AA37" i="9"/>
  <c r="AC400" i="9"/>
  <c r="AB402" i="9"/>
  <c r="Z93" i="9"/>
  <c r="Y285" i="9"/>
  <c r="Z218" i="9"/>
  <c r="Z107" i="9"/>
  <c r="Y234" i="9"/>
  <c r="AB240" i="9"/>
  <c r="AB182" i="9"/>
  <c r="Y321" i="9"/>
  <c r="AC190" i="9"/>
  <c r="AA17" i="9"/>
  <c r="AA254" i="9"/>
  <c r="AA154" i="9"/>
  <c r="Z367" i="9"/>
  <c r="Z168" i="9"/>
  <c r="Z163" i="9"/>
  <c r="AB231" i="9"/>
  <c r="Z392" i="9"/>
  <c r="Z385" i="9"/>
  <c r="AB238" i="9"/>
  <c r="AA115" i="9"/>
  <c r="Y86" i="9"/>
  <c r="AC30" i="9"/>
  <c r="Z9" i="9"/>
  <c r="AC29" i="9"/>
  <c r="Y231" i="9"/>
  <c r="Z15" i="9"/>
  <c r="AB234" i="9"/>
  <c r="Z393" i="9"/>
  <c r="Y53" i="9"/>
  <c r="AA68" i="9"/>
  <c r="Z390" i="9"/>
  <c r="Y363" i="9"/>
  <c r="Z286" i="9"/>
  <c r="Z302" i="9"/>
  <c r="AB168" i="9"/>
  <c r="AA177" i="9"/>
  <c r="AB350" i="9"/>
  <c r="AB124" i="9"/>
  <c r="Y390" i="9"/>
  <c r="AB296" i="9"/>
  <c r="Y81" i="9"/>
  <c r="Y193" i="9"/>
  <c r="AC108" i="9"/>
  <c r="Y190" i="9"/>
  <c r="AC106" i="9"/>
  <c r="AB236" i="9"/>
  <c r="AA22" i="9"/>
  <c r="AC189" i="9"/>
  <c r="Y76" i="9"/>
  <c r="AC257" i="9"/>
  <c r="Z374" i="9"/>
  <c r="AA125" i="9"/>
  <c r="Y324" i="9"/>
  <c r="AC360" i="9"/>
  <c r="Y356" i="9"/>
  <c r="AB99" i="9"/>
  <c r="AB311" i="9"/>
  <c r="Z167" i="9"/>
  <c r="AA11" i="9"/>
  <c r="Y160" i="9"/>
  <c r="AA196" i="9"/>
  <c r="Y11" i="9"/>
  <c r="AB342" i="9"/>
  <c r="AC120" i="9"/>
  <c r="AB133" i="9"/>
  <c r="Y222" i="9"/>
  <c r="AC45" i="9"/>
  <c r="AC47" i="9"/>
  <c r="Z39" i="9"/>
  <c r="AC222" i="9"/>
  <c r="AB276" i="9"/>
  <c r="AB253" i="9"/>
  <c r="AB225" i="9"/>
  <c r="AC213" i="9"/>
  <c r="AB346" i="9"/>
  <c r="AA203" i="9"/>
  <c r="AA297" i="9"/>
  <c r="AB333" i="9"/>
  <c r="Y36" i="9"/>
  <c r="Z337" i="9"/>
  <c r="AB96" i="9"/>
  <c r="AC69" i="9"/>
  <c r="AC348" i="9"/>
  <c r="Z317" i="9"/>
  <c r="AB382" i="9"/>
  <c r="Y245" i="9"/>
  <c r="Y25" i="9"/>
  <c r="AC41" i="9"/>
  <c r="Z24" i="9"/>
  <c r="AB338" i="9"/>
  <c r="Y401" i="9"/>
  <c r="Z306" i="9"/>
  <c r="AC235" i="9"/>
  <c r="Y389" i="9"/>
  <c r="AA31" i="9"/>
  <c r="AB211" i="9"/>
  <c r="Y72" i="9"/>
  <c r="AB336" i="9"/>
  <c r="AC321" i="9"/>
  <c r="Y293" i="9"/>
  <c r="Y28" i="9"/>
  <c r="Y357" i="9"/>
  <c r="AB85" i="9"/>
  <c r="Y320" i="9"/>
  <c r="AB191" i="9"/>
  <c r="AB116" i="9"/>
  <c r="AB130" i="9"/>
  <c r="AB345" i="9"/>
  <c r="Y335" i="9"/>
  <c r="AA266" i="9"/>
  <c r="AC298" i="9"/>
  <c r="Z153" i="9"/>
  <c r="Y307" i="9"/>
  <c r="Z21" i="9"/>
  <c r="AC344" i="9"/>
  <c r="Y130" i="9"/>
  <c r="AB25" i="9"/>
  <c r="Z241" i="9"/>
  <c r="AB303" i="9"/>
  <c r="AB233" i="9"/>
  <c r="Z110" i="9"/>
  <c r="Y54" i="9"/>
  <c r="Y371" i="9"/>
  <c r="AB235" i="9"/>
  <c r="AC225" i="9"/>
  <c r="Y196" i="9"/>
  <c r="AA214" i="9"/>
  <c r="Y219" i="9"/>
  <c r="Z208" i="9"/>
  <c r="Y128" i="9"/>
  <c r="AA285" i="9"/>
  <c r="AA246" i="9"/>
  <c r="AC66" i="9"/>
  <c r="AC399" i="9"/>
  <c r="AC40" i="9"/>
  <c r="AA209" i="9"/>
  <c r="Z128" i="9"/>
  <c r="Y391" i="9"/>
  <c r="AC367" i="9"/>
  <c r="AB52" i="9"/>
  <c r="AB371" i="9"/>
  <c r="AA225" i="9"/>
  <c r="Y144" i="9"/>
  <c r="AA261" i="9"/>
  <c r="Y177" i="9"/>
  <c r="Y313" i="9"/>
  <c r="Z255" i="9"/>
  <c r="AA383" i="9"/>
  <c r="Y63" i="9"/>
  <c r="AB297" i="9"/>
  <c r="Y378" i="9"/>
  <c r="AC380" i="9"/>
  <c r="AB245" i="9"/>
  <c r="AA250" i="9"/>
  <c r="AC53" i="9"/>
  <c r="Y399" i="9"/>
  <c r="AB126" i="9"/>
  <c r="Z264" i="9"/>
  <c r="AC57" i="9"/>
  <c r="Y17" i="9"/>
  <c r="Y296" i="9"/>
  <c r="Y34" i="9"/>
  <c r="Z216" i="9"/>
  <c r="AA109" i="9"/>
  <c r="AB7" i="9"/>
  <c r="AB247" i="9"/>
  <c r="Z273" i="9"/>
  <c r="AB107" i="9"/>
  <c r="AA158" i="9"/>
  <c r="Y140" i="9"/>
  <c r="Z137" i="9"/>
  <c r="AA317" i="9"/>
  <c r="AC5" i="9"/>
  <c r="AA377" i="9"/>
  <c r="Y240" i="9"/>
  <c r="AA35" i="9"/>
  <c r="Y326" i="9"/>
  <c r="AC386" i="9"/>
  <c r="AA291" i="9"/>
  <c r="AA341" i="9"/>
  <c r="AA136" i="9"/>
  <c r="AA400" i="9"/>
  <c r="AC9" i="9"/>
  <c r="AA192" i="9"/>
  <c r="AA58" i="9"/>
  <c r="AB224" i="9"/>
  <c r="AC187" i="9"/>
  <c r="Z352" i="9"/>
  <c r="AC27" i="9"/>
  <c r="AC96" i="9"/>
  <c r="Y270" i="9"/>
  <c r="Z94" i="9"/>
  <c r="AC7" i="9"/>
  <c r="Z267" i="9"/>
  <c r="AA138" i="9"/>
  <c r="AA369" i="9"/>
  <c r="Y187" i="9"/>
  <c r="AA135" i="9"/>
  <c r="AA38" i="9"/>
  <c r="Y210" i="9"/>
  <c r="Y38" i="9"/>
  <c r="AA185" i="9"/>
  <c r="AB400" i="9"/>
  <c r="AA56" i="9"/>
  <c r="Z133" i="9"/>
  <c r="AC155" i="9"/>
  <c r="Z322" i="9"/>
  <c r="Y157" i="9"/>
  <c r="AA402" i="9"/>
  <c r="AA349" i="9"/>
  <c r="AA40" i="9"/>
  <c r="Z279" i="9"/>
  <c r="AB98" i="9"/>
  <c r="Y52" i="9"/>
  <c r="Y16" i="9"/>
  <c r="AC307" i="9"/>
  <c r="AA346" i="9"/>
  <c r="AA296" i="9"/>
  <c r="AB199" i="9"/>
  <c r="AC264" i="9"/>
  <c r="Z90" i="9"/>
  <c r="AA19" i="9"/>
  <c r="AB55" i="9"/>
  <c r="AB354" i="9"/>
  <c r="AB379" i="9"/>
  <c r="Y37" i="9"/>
  <c r="AB185" i="9"/>
  <c r="AB6" i="9"/>
  <c r="AB125" i="9"/>
  <c r="Z282" i="9"/>
  <c r="Z358" i="9"/>
  <c r="AB387" i="9"/>
  <c r="AA304" i="9"/>
  <c r="AC95" i="9"/>
  <c r="AB232" i="9"/>
  <c r="Z29" i="9"/>
  <c r="Z307" i="9"/>
  <c r="AA146" i="9"/>
  <c r="AB12" i="9"/>
  <c r="AC331" i="9"/>
  <c r="AC23" i="9"/>
  <c r="Z203" i="9"/>
  <c r="Y282" i="9"/>
  <c r="Y114" i="9"/>
  <c r="AC147" i="9"/>
  <c r="Y261" i="9"/>
  <c r="AA301" i="9"/>
  <c r="Z256" i="9"/>
  <c r="Z34" i="9"/>
  <c r="AC278" i="9"/>
  <c r="AB316" i="9"/>
  <c r="AC388" i="9"/>
  <c r="AB295" i="9"/>
  <c r="Z23" i="9"/>
  <c r="AA252" i="9"/>
  <c r="Z262" i="9"/>
  <c r="AB390" i="9"/>
  <c r="AB394" i="9"/>
  <c r="Y67" i="9"/>
  <c r="AA176" i="9"/>
  <c r="AA52" i="9"/>
  <c r="AB195" i="9"/>
  <c r="AC141" i="9"/>
  <c r="AC168" i="9"/>
  <c r="Y129" i="9"/>
  <c r="AA230" i="9"/>
  <c r="AB82" i="9"/>
  <c r="AA221" i="9"/>
  <c r="AB122" i="9"/>
  <c r="Y185" i="9"/>
  <c r="Z265" i="9"/>
  <c r="Z311" i="9"/>
  <c r="AB385" i="9"/>
  <c r="AC234" i="9"/>
  <c r="AB332" i="9"/>
  <c r="AC403" i="9"/>
  <c r="Z343" i="9"/>
  <c r="AC365" i="9"/>
  <c r="AC383" i="9"/>
  <c r="AC169" i="9"/>
  <c r="Y352" i="9"/>
  <c r="AB340" i="9"/>
  <c r="AA338" i="9"/>
  <c r="Z377" i="9"/>
  <c r="AC384" i="9"/>
  <c r="AB186" i="9"/>
  <c r="AB18" i="9"/>
  <c r="AA179" i="9"/>
  <c r="AB286" i="9"/>
  <c r="AC270" i="9"/>
  <c r="AC14" i="9"/>
  <c r="AB249" i="9"/>
  <c r="Y272" i="9"/>
  <c r="AC368" i="9"/>
  <c r="AA348" i="9"/>
  <c r="AC132" i="9"/>
  <c r="AA166" i="9"/>
  <c r="Y232" i="9"/>
  <c r="AB65" i="9"/>
  <c r="AA373" i="9"/>
  <c r="Z147" i="9"/>
  <c r="AA224" i="9"/>
  <c r="AC229" i="9"/>
  <c r="AB77" i="9"/>
  <c r="AA207" i="9"/>
  <c r="AC291" i="9"/>
  <c r="AC295" i="9"/>
  <c r="Y392" i="9"/>
  <c r="Z293" i="9"/>
  <c r="Z320" i="9"/>
  <c r="AA145" i="9"/>
  <c r="Y151" i="9"/>
  <c r="AC167" i="9"/>
  <c r="Z89" i="9"/>
  <c r="AA117" i="9"/>
  <c r="Z249" i="9"/>
  <c r="AC199" i="9"/>
  <c r="AC100" i="9"/>
  <c r="AA180" i="9"/>
  <c r="AA320" i="9"/>
  <c r="Z13" i="9"/>
  <c r="Z177" i="9"/>
  <c r="AB210" i="9"/>
  <c r="Y69" i="9"/>
  <c r="Z296" i="9"/>
  <c r="AC163" i="9"/>
  <c r="Y290" i="9"/>
  <c r="Z285" i="9"/>
  <c r="Z45" i="9"/>
  <c r="Y92" i="9"/>
  <c r="Z67" i="9"/>
  <c r="AA397" i="9"/>
  <c r="Z205" i="9"/>
  <c r="Z152" i="9"/>
  <c r="AA258" i="9"/>
  <c r="AC312" i="9"/>
  <c r="AC35" i="9"/>
  <c r="Y57" i="9"/>
  <c r="AA310" i="9"/>
  <c r="AA104" i="9"/>
  <c r="Y101" i="9"/>
  <c r="AB399" i="9"/>
  <c r="Z331" i="9"/>
  <c r="AB293" i="9"/>
  <c r="AC326" i="9"/>
  <c r="Z50" i="9"/>
  <c r="AA395" i="9"/>
  <c r="Z134" i="9"/>
  <c r="Z313" i="9"/>
  <c r="AA370" i="9"/>
  <c r="AC390" i="9"/>
  <c r="AA71" i="9"/>
  <c r="Y109" i="9"/>
  <c r="AA260" i="9"/>
  <c r="AC62" i="9"/>
  <c r="AB37" i="9"/>
  <c r="AA276" i="9"/>
  <c r="AB84" i="9"/>
  <c r="Y164" i="9"/>
  <c r="AA6" i="9"/>
  <c r="Z404" i="9"/>
  <c r="AC315" i="9"/>
  <c r="Y116" i="9"/>
  <c r="AB167" i="9"/>
  <c r="Z332" i="9"/>
  <c r="AA216" i="9"/>
  <c r="Z106" i="9"/>
  <c r="AA24" i="9"/>
  <c r="AC15" i="9"/>
  <c r="AA144" i="9"/>
  <c r="AC90" i="9"/>
  <c r="Z222" i="9"/>
  <c r="Z41" i="9"/>
  <c r="AC311" i="9"/>
  <c r="Z52" i="9"/>
  <c r="Z166" i="9"/>
  <c r="AA30" i="9"/>
  <c r="Z51" i="9"/>
  <c r="AB277" i="9"/>
  <c r="Y355" i="9"/>
  <c r="AA321" i="9"/>
  <c r="Y79" i="9"/>
  <c r="AA86" i="9"/>
  <c r="Y143" i="9"/>
  <c r="AB95" i="9"/>
  <c r="AC258" i="9"/>
  <c r="Z348" i="9"/>
  <c r="AA42" i="9"/>
  <c r="AB304" i="9"/>
  <c r="Z5" i="9"/>
  <c r="Y155" i="9"/>
  <c r="Y139" i="9"/>
  <c r="AA15" i="9"/>
  <c r="AC88" i="9"/>
  <c r="Y42" i="9"/>
  <c r="Y194" i="9"/>
  <c r="Y244" i="9"/>
  <c r="AC162" i="9"/>
  <c r="AA137" i="9"/>
  <c r="Y281" i="9"/>
  <c r="AC284" i="9"/>
  <c r="AB323" i="9"/>
  <c r="AB78" i="9"/>
  <c r="Y206" i="9"/>
  <c r="AB14" i="9"/>
  <c r="AC275" i="9"/>
  <c r="AA365" i="9"/>
  <c r="AC359" i="9"/>
  <c r="Y260" i="9"/>
  <c r="Y50" i="9"/>
  <c r="Z32" i="9"/>
  <c r="Z231" i="9"/>
  <c r="Y283" i="9"/>
  <c r="Y233" i="9"/>
  <c r="AB49" i="9"/>
  <c r="Y379" i="9"/>
  <c r="AB200" i="9"/>
  <c r="Y6" i="9"/>
  <c r="Y105" i="9"/>
  <c r="Y83" i="9"/>
  <c r="Z341" i="9"/>
  <c r="Y119" i="9"/>
  <c r="AA81" i="9"/>
  <c r="AC198" i="9"/>
  <c r="Y331" i="9"/>
  <c r="AC176" i="9"/>
  <c r="AC186" i="9"/>
  <c r="AB57" i="9"/>
  <c r="AC201" i="9"/>
  <c r="Z356" i="9"/>
  <c r="AA160" i="9"/>
  <c r="AB349" i="9"/>
  <c r="AA181" i="9"/>
  <c r="Z140" i="9"/>
  <c r="Y183" i="9"/>
  <c r="AB184" i="9"/>
  <c r="Y102" i="9"/>
  <c r="Y295" i="9"/>
  <c r="AB222" i="9"/>
  <c r="AB33" i="9"/>
  <c r="Y209" i="9"/>
  <c r="Z189" i="9"/>
  <c r="AC36" i="9"/>
  <c r="AA76" i="9"/>
  <c r="AC160" i="9"/>
  <c r="AC393" i="9"/>
  <c r="AB317" i="9"/>
  <c r="AB228" i="9"/>
  <c r="Z232" i="9"/>
  <c r="Z154" i="9"/>
  <c r="AC121" i="9"/>
  <c r="AA183" i="9"/>
  <c r="AA396" i="9"/>
  <c r="Y227" i="9"/>
  <c r="Y181" i="9"/>
  <c r="Z60" i="9"/>
  <c r="AA279" i="9"/>
  <c r="AB207" i="9"/>
  <c r="AC318" i="9"/>
  <c r="Z164" i="9"/>
  <c r="Z22" i="9"/>
  <c r="Z109" i="9"/>
  <c r="AC395" i="9"/>
  <c r="AA74" i="9"/>
  <c r="AA262" i="9"/>
  <c r="AA102" i="9"/>
  <c r="Y273" i="9"/>
  <c r="AC118" i="9"/>
  <c r="Z135" i="9"/>
  <c r="Z373" i="9"/>
  <c r="Z288" i="9"/>
  <c r="Z180" i="9"/>
  <c r="AB56" i="9"/>
  <c r="AA43" i="9"/>
  <c r="AA47" i="9"/>
  <c r="AC116" i="9"/>
  <c r="AC236" i="9"/>
  <c r="AC297" i="9"/>
  <c r="Z349" i="9"/>
  <c r="AC43" i="9"/>
  <c r="AA234" i="9"/>
  <c r="Z401" i="9"/>
  <c r="Z178" i="9"/>
  <c r="AB294" i="9"/>
  <c r="Y8" i="9"/>
  <c r="AC149" i="9"/>
  <c r="Z357" i="9"/>
  <c r="AC226" i="9"/>
  <c r="AB246" i="9"/>
  <c r="AA88" i="9"/>
  <c r="Z33" i="9"/>
  <c r="AB16" i="9"/>
  <c r="AA123" i="9"/>
  <c r="AC396" i="9"/>
  <c r="AA290" i="9"/>
  <c r="AC363" i="9"/>
  <c r="AB216" i="9"/>
  <c r="Z400" i="9"/>
  <c r="AB173" i="9"/>
  <c r="AC248" i="9"/>
  <c r="AB309" i="9"/>
  <c r="Z335" i="9"/>
  <c r="Y205" i="9"/>
  <c r="AB27" i="9"/>
  <c r="AB214" i="9"/>
  <c r="AB160" i="9"/>
  <c r="AA96" i="9"/>
  <c r="Y171" i="9"/>
  <c r="AC114" i="9"/>
  <c r="AA140" i="9"/>
  <c r="AA257" i="9"/>
  <c r="Y154" i="9"/>
  <c r="Z361" i="9"/>
  <c r="Y58" i="9"/>
  <c r="Z371" i="9"/>
  <c r="Z206" i="9"/>
  <c r="AB198" i="9"/>
  <c r="AA7" i="9"/>
  <c r="AA99" i="9"/>
  <c r="Y396" i="9"/>
  <c r="Y370" i="9"/>
  <c r="AB67" i="9"/>
  <c r="AA70" i="9"/>
  <c r="Y368" i="9"/>
  <c r="AC385" i="9"/>
  <c r="Y385" i="9"/>
  <c r="AB312" i="9"/>
  <c r="AA116" i="9"/>
  <c r="Z46" i="9"/>
  <c r="AA374" i="9"/>
  <c r="Y31" i="9"/>
  <c r="AA403" i="9"/>
  <c r="Z253" i="9"/>
  <c r="Y182" i="9"/>
  <c r="Y110" i="9"/>
  <c r="AB376" i="9"/>
  <c r="Y167" i="9"/>
  <c r="AA92" i="9"/>
  <c r="Y77" i="9"/>
  <c r="AA268" i="9"/>
  <c r="Z220" i="9"/>
  <c r="Z213" i="9"/>
  <c r="AC209" i="9"/>
  <c r="AC283" i="9"/>
  <c r="AB118" i="9"/>
  <c r="AC262" i="9"/>
  <c r="AC172" i="9"/>
  <c r="Z40" i="9"/>
  <c r="AB282" i="9"/>
  <c r="Z124" i="9"/>
  <c r="AC302" i="9"/>
  <c r="Y255" i="9"/>
  <c r="AC193" i="9"/>
  <c r="AA164" i="9"/>
  <c r="Y104" i="9"/>
  <c r="Z325" i="9"/>
  <c r="Y123" i="9"/>
  <c r="Z271" i="9"/>
  <c r="AB35" i="9"/>
  <c r="Z277" i="9"/>
  <c r="Z47" i="9"/>
  <c r="Z84" i="9"/>
  <c r="Y238" i="9"/>
  <c r="AA142" i="9"/>
  <c r="Z142" i="9"/>
  <c r="Y80" i="9"/>
  <c r="AA307" i="9"/>
  <c r="AC345" i="9"/>
  <c r="AB377" i="9"/>
  <c r="AC54" i="9"/>
  <c r="AA331" i="9"/>
  <c r="Z155" i="9"/>
  <c r="AB165" i="9"/>
  <c r="AA280" i="9"/>
  <c r="AA293" i="9"/>
  <c r="AA244" i="9"/>
  <c r="AC404" i="9"/>
  <c r="Z240" i="9"/>
  <c r="AB24" i="9"/>
  <c r="AA18" i="9"/>
  <c r="Y170" i="9"/>
  <c r="Z10" i="9"/>
  <c r="Y62" i="9"/>
  <c r="Z99" i="9"/>
  <c r="AA46" i="9"/>
  <c r="AA211" i="9"/>
  <c r="AC58" i="9"/>
  <c r="AC354" i="9"/>
  <c r="AA288" i="9"/>
  <c r="AA113" i="9"/>
  <c r="AB154" i="9"/>
  <c r="Y400" i="9"/>
  <c r="Y243" i="9"/>
  <c r="AA129" i="9"/>
  <c r="AA45" i="9"/>
  <c r="AC111" i="9"/>
  <c r="AC361" i="9"/>
  <c r="AA319" i="9"/>
  <c r="AA25" i="9"/>
  <c r="AB113" i="9"/>
  <c r="AB142" i="9"/>
  <c r="AA345" i="9"/>
  <c r="Z126" i="9"/>
  <c r="Z395" i="9"/>
  <c r="Z102" i="9"/>
  <c r="Z387" i="9"/>
  <c r="AB272" i="9"/>
  <c r="Z62" i="9"/>
  <c r="AB28" i="9"/>
  <c r="Y12" i="9"/>
  <c r="Z197" i="9"/>
  <c r="Y305" i="9"/>
  <c r="Z72" i="9"/>
  <c r="AA111" i="9"/>
  <c r="AC381" i="9"/>
  <c r="Z87" i="9"/>
  <c r="AA149" i="9"/>
  <c r="AB29" i="9"/>
  <c r="AA385" i="9"/>
  <c r="AB370" i="9"/>
  <c r="Z202" i="9"/>
  <c r="AB121" i="9"/>
  <c r="Z8" i="9"/>
  <c r="AC333" i="9"/>
  <c r="Z229" i="9"/>
  <c r="AB13" i="9"/>
  <c r="AC341" i="9"/>
  <c r="Y19" i="9"/>
  <c r="Z108" i="9"/>
  <c r="AB204" i="9"/>
  <c r="Y93" i="9"/>
  <c r="AC265" i="9"/>
  <c r="Y64" i="9"/>
  <c r="AA29" i="9"/>
  <c r="Z396" i="9"/>
  <c r="AC309" i="9"/>
  <c r="Y106" i="9"/>
  <c r="AC316" i="9"/>
  <c r="AA371" i="9"/>
  <c r="AA83" i="9"/>
  <c r="AC31" i="9"/>
  <c r="AA220" i="9"/>
  <c r="AA393" i="9"/>
  <c r="Z184" i="9"/>
  <c r="AC12" i="9"/>
  <c r="AB363" i="9"/>
  <c r="AB76" i="9"/>
  <c r="Y216" i="9"/>
  <c r="Z201" i="9"/>
  <c r="Y149" i="9"/>
  <c r="Y191" i="9"/>
  <c r="AC175" i="9"/>
  <c r="AB144" i="9"/>
  <c r="AC123" i="9"/>
  <c r="Z95" i="9"/>
  <c r="AB215" i="9"/>
  <c r="Z70" i="9"/>
  <c r="AA105" i="9"/>
  <c r="AB298" i="9"/>
  <c r="AA271" i="9"/>
  <c r="AB117" i="9"/>
  <c r="AA249" i="9"/>
  <c r="AC67" i="9"/>
  <c r="AC19" i="9"/>
  <c r="AC185" i="9"/>
  <c r="Y341" i="9"/>
  <c r="Z80" i="9"/>
  <c r="AA325" i="9"/>
  <c r="AA162" i="9"/>
  <c r="AB183" i="9"/>
  <c r="Z146" i="9"/>
  <c r="Z383" i="9"/>
  <c r="Z83" i="9"/>
  <c r="Y242" i="9"/>
  <c r="Y22" i="9"/>
  <c r="AA57" i="9"/>
  <c r="Y166" i="9"/>
  <c r="Z198" i="9"/>
  <c r="AA256" i="9"/>
  <c r="Y304" i="9"/>
  <c r="AA368" i="9"/>
  <c r="AA205" i="9"/>
  <c r="AC32" i="9"/>
  <c r="Y312" i="9"/>
  <c r="AB120" i="9"/>
  <c r="Y153" i="9"/>
  <c r="Z42" i="9"/>
  <c r="Z359" i="9"/>
  <c r="Z56" i="9"/>
  <c r="Z82" i="9"/>
  <c r="Y35" i="9"/>
  <c r="Y141" i="9"/>
  <c r="AB301" i="9"/>
  <c r="AC173" i="9"/>
  <c r="Z172" i="9"/>
  <c r="Z244" i="9"/>
  <c r="AB152" i="9"/>
  <c r="Y347" i="9"/>
  <c r="Z397" i="9"/>
  <c r="Z114" i="9"/>
  <c r="AA267" i="9"/>
  <c r="AA287" i="9"/>
  <c r="Y362" i="9"/>
  <c r="AA295" i="9"/>
  <c r="AC152" i="9"/>
  <c r="AC11" i="9"/>
  <c r="AA294" i="9"/>
  <c r="Z18" i="9"/>
  <c r="AB156" i="9"/>
  <c r="AA122" i="9"/>
  <c r="Y275" i="9"/>
  <c r="Z224" i="9"/>
  <c r="AB369" i="9"/>
  <c r="AA202" i="9"/>
  <c r="AC183" i="9"/>
  <c r="AA283" i="9"/>
  <c r="AC289" i="9"/>
  <c r="AA328" i="9"/>
  <c r="Z260" i="9"/>
  <c r="AA61" i="9"/>
  <c r="AA208" i="9"/>
  <c r="AA300" i="9"/>
  <c r="Y289" i="9"/>
  <c r="AB347" i="9"/>
  <c r="Z378" i="9"/>
  <c r="Z284" i="9"/>
  <c r="AB141" i="9"/>
  <c r="AB242" i="9"/>
  <c r="AB192" i="9"/>
  <c r="AB72" i="9"/>
  <c r="AA163" i="9"/>
  <c r="Z63" i="9"/>
  <c r="Z116" i="9"/>
  <c r="AA390" i="9"/>
  <c r="Z191" i="9"/>
  <c r="AB138" i="9"/>
  <c r="AC182" i="9"/>
  <c r="Z158" i="9"/>
  <c r="AA359" i="9"/>
  <c r="Z100" i="9"/>
  <c r="AB284" i="9"/>
  <c r="AB39" i="9"/>
  <c r="Y133" i="9"/>
  <c r="AA121" i="9"/>
  <c r="AC207" i="9"/>
  <c r="AC294" i="9"/>
  <c r="AC98" i="9"/>
  <c r="AC308" i="9"/>
  <c r="AC290" i="9"/>
  <c r="AB213" i="9"/>
  <c r="AC233" i="9"/>
  <c r="Y284" i="9"/>
  <c r="Y94" i="9"/>
  <c r="Z239" i="9"/>
  <c r="Y30" i="9"/>
  <c r="Z360" i="9"/>
  <c r="AB47" i="9"/>
  <c r="Y302" i="9"/>
  <c r="AA269" i="9"/>
  <c r="AB129" i="9"/>
  <c r="AB280" i="9"/>
  <c r="AA188" i="9"/>
  <c r="AC263" i="9"/>
  <c r="Z165" i="9"/>
  <c r="Z54" i="9"/>
  <c r="AC129" i="9"/>
  <c r="AC280" i="9"/>
  <c r="Y91" i="9"/>
  <c r="AB305" i="9"/>
  <c r="AC125" i="9"/>
  <c r="AB104" i="9"/>
  <c r="AA143" i="9"/>
  <c r="AB269" i="9"/>
  <c r="AC143" i="9"/>
  <c r="AB161" i="9"/>
  <c r="AB21" i="9"/>
  <c r="AB15" i="9"/>
  <c r="AB149" i="9"/>
  <c r="AB44" i="9"/>
  <c r="AA232" i="9"/>
  <c r="AA50" i="9"/>
  <c r="AA347" i="9"/>
  <c r="AA281" i="9"/>
  <c r="AB314" i="9"/>
  <c r="AC392" i="9"/>
  <c r="Y395" i="9"/>
  <c r="AB327" i="9"/>
  <c r="Z7" i="9"/>
  <c r="AB352" i="9"/>
  <c r="AB403" i="9"/>
  <c r="AA103" i="9"/>
  <c r="Z386" i="9"/>
  <c r="AB89" i="9"/>
  <c r="AB128" i="9"/>
  <c r="Z149" i="9"/>
  <c r="Z235" i="9"/>
  <c r="AC84" i="9"/>
  <c r="AA241" i="9"/>
  <c r="AC398" i="9"/>
  <c r="AB386" i="9"/>
  <c r="AB5" i="9"/>
  <c r="Y90" i="9"/>
  <c r="AB88" i="9"/>
  <c r="AB328" i="9"/>
  <c r="AB91" i="9"/>
  <c r="AB46" i="9"/>
  <c r="AA329" i="9"/>
  <c r="AC232" i="9"/>
  <c r="AA94" i="9"/>
  <c r="Y147" i="9"/>
  <c r="AB241" i="9"/>
  <c r="Y146" i="9"/>
  <c r="AB189" i="9"/>
  <c r="Y173" i="9"/>
  <c r="AC350" i="9"/>
  <c r="Z219" i="9"/>
  <c r="Z156" i="9"/>
  <c r="Z132" i="9"/>
  <c r="Y107" i="9"/>
  <c r="Z388" i="9"/>
  <c r="AC329" i="9"/>
  <c r="AC131" i="9"/>
  <c r="AA264" i="9"/>
  <c r="AA195" i="9"/>
  <c r="AA284" i="9"/>
  <c r="Z101" i="9"/>
  <c r="Z379" i="9"/>
  <c r="AA330" i="9"/>
  <c r="AC77" i="9"/>
  <c r="Z182" i="9"/>
  <c r="Z221" i="9"/>
  <c r="Y136" i="9"/>
  <c r="AA27" i="9"/>
  <c r="Y48" i="9"/>
  <c r="AC313" i="9"/>
  <c r="Z75" i="9"/>
  <c r="Z246" i="9"/>
  <c r="Z85" i="9"/>
  <c r="Y348" i="9"/>
  <c r="Y267" i="9"/>
  <c r="AB11" i="9"/>
  <c r="Y288" i="9"/>
  <c r="Y10" i="9"/>
  <c r="Z143" i="9"/>
  <c r="AC268" i="9"/>
  <c r="Z78" i="9"/>
  <c r="AB362" i="9"/>
  <c r="Z353" i="9"/>
  <c r="AC340" i="9"/>
  <c r="AB157" i="9"/>
  <c r="Z145" i="9"/>
  <c r="AB38" i="9"/>
  <c r="AC304" i="9"/>
  <c r="Z384" i="9"/>
  <c r="AB172" i="9"/>
  <c r="AC83" i="9"/>
  <c r="AC346" i="9"/>
  <c r="Z20" i="9"/>
  <c r="Z228" i="9"/>
  <c r="AC10" i="9"/>
  <c r="AB404" i="9"/>
  <c r="Y310" i="9"/>
  <c r="Y195" i="9"/>
  <c r="AB380" i="9"/>
  <c r="Y365" i="9"/>
  <c r="AC44" i="9"/>
  <c r="AB178" i="9"/>
  <c r="Y203" i="9"/>
  <c r="AB79" i="9"/>
  <c r="AB307" i="9"/>
  <c r="AB353" i="9"/>
  <c r="Y265" i="9"/>
  <c r="AC323" i="9"/>
  <c r="AB258" i="9"/>
  <c r="Z129" i="9"/>
  <c r="AC282" i="9"/>
  <c r="Y39" i="9"/>
  <c r="Z333" i="9"/>
  <c r="Z44" i="9"/>
  <c r="Z190" i="9"/>
  <c r="AB356" i="9"/>
  <c r="AA172" i="9"/>
  <c r="Z77" i="9"/>
  <c r="AB169" i="9"/>
  <c r="AB319" i="9"/>
  <c r="AC82" i="9"/>
  <c r="Z64" i="9"/>
  <c r="Z151" i="9"/>
  <c r="AC180" i="9"/>
  <c r="AB140" i="9"/>
  <c r="AB271" i="9"/>
  <c r="Y383" i="9"/>
  <c r="Y253" i="9"/>
  <c r="Z298" i="9"/>
  <c r="Z27" i="9"/>
  <c r="Z113" i="9"/>
  <c r="Z354" i="9"/>
  <c r="AB50" i="9"/>
  <c r="AB264" i="9"/>
  <c r="AC127" i="9"/>
  <c r="Z315" i="9"/>
  <c r="Z340" i="9"/>
  <c r="AA322" i="9"/>
  <c r="AC191" i="9"/>
  <c r="AB365" i="9"/>
  <c r="AC221" i="9"/>
  <c r="Z73" i="9"/>
  <c r="AB270" i="9"/>
  <c r="Y239" i="9"/>
  <c r="AC39" i="9"/>
  <c r="AA292" i="9"/>
  <c r="Z319" i="9"/>
  <c r="AA20" i="9"/>
  <c r="AA389" i="9"/>
  <c r="AC56" i="9"/>
  <c r="AB373" i="9"/>
  <c r="Y158" i="9"/>
  <c r="Y137" i="9"/>
  <c r="Y23" i="9"/>
  <c r="AC247" i="9"/>
  <c r="AB343" i="9"/>
  <c r="Z122" i="9"/>
  <c r="Y56" i="9"/>
  <c r="AC271" i="9"/>
  <c r="AB320" i="9"/>
  <c r="Y353" i="9"/>
  <c r="AA386" i="9"/>
  <c r="Y366" i="9"/>
  <c r="AC134" i="9"/>
  <c r="AA89" i="9"/>
  <c r="Z160" i="9"/>
  <c r="AA80" i="9"/>
  <c r="Z261" i="9"/>
  <c r="AA344" i="9"/>
  <c r="AA240" i="9"/>
  <c r="AC122" i="9"/>
  <c r="AB218" i="9"/>
  <c r="AB278" i="9"/>
  <c r="AA201" i="9"/>
  <c r="AC237" i="9"/>
  <c r="AB19" i="9"/>
  <c r="Z238" i="9"/>
  <c r="Y373" i="9"/>
  <c r="AB127" i="9"/>
  <c r="Z11" i="9"/>
  <c r="AB83" i="9"/>
  <c r="AA53" i="9"/>
  <c r="Y230" i="9"/>
  <c r="AB330" i="9"/>
  <c r="AA306" i="9"/>
  <c r="AC230" i="9"/>
  <c r="Y354" i="9"/>
  <c r="AC135" i="9"/>
  <c r="Y246" i="9"/>
  <c r="Z242" i="9"/>
  <c r="AB205" i="9"/>
  <c r="AB114" i="9"/>
  <c r="Y252" i="9"/>
  <c r="AC194" i="9"/>
  <c r="AB48" i="9"/>
  <c r="AC94" i="9"/>
  <c r="Y350" i="9"/>
  <c r="Y256" i="9"/>
  <c r="Y175" i="9"/>
  <c r="AA10" i="9"/>
  <c r="Z365" i="9"/>
  <c r="Y346" i="9"/>
  <c r="Y345" i="9"/>
  <c r="Y44" i="9"/>
  <c r="AB92" i="9"/>
  <c r="AA363" i="9"/>
  <c r="Y29" i="9"/>
  <c r="AA313" i="9"/>
  <c r="AC214" i="9"/>
  <c r="AC260" i="9"/>
  <c r="Z38" i="9"/>
  <c r="AA44" i="9"/>
  <c r="AB61" i="9"/>
  <c r="AA299" i="9"/>
  <c r="AA339" i="9"/>
  <c r="AC243" i="9"/>
  <c r="AB94" i="9"/>
  <c r="AA72" i="9"/>
  <c r="AA91" i="9"/>
  <c r="AC104" i="9"/>
  <c r="AA66" i="9"/>
  <c r="Z196" i="9"/>
  <c r="Z366" i="9"/>
  <c r="Z310" i="9"/>
  <c r="AC211" i="9"/>
  <c r="AB139" i="9"/>
  <c r="Z339" i="9"/>
  <c r="Y263" i="9"/>
  <c r="AC203" i="9"/>
  <c r="AB111" i="9"/>
  <c r="AA124" i="9"/>
  <c r="Y172" i="9"/>
  <c r="AA231" i="9"/>
  <c r="AB196" i="9"/>
  <c r="AC355" i="9"/>
  <c r="Z58" i="9"/>
  <c r="AA210" i="9"/>
  <c r="AC269" i="9"/>
  <c r="AC259" i="9"/>
  <c r="AA198" i="9"/>
  <c r="AB26" i="9"/>
  <c r="AC113" i="9"/>
  <c r="AC33" i="9"/>
  <c r="Z215" i="9"/>
  <c r="AA375" i="9"/>
  <c r="AC242" i="9"/>
  <c r="AA187" i="9"/>
  <c r="Y377" i="9"/>
  <c r="AC75" i="9"/>
  <c r="AC244" i="9"/>
  <c r="Y361" i="9"/>
  <c r="Y99" i="9"/>
  <c r="AB248" i="9"/>
  <c r="Z370" i="9"/>
  <c r="Y359" i="9"/>
  <c r="AA51" i="9"/>
  <c r="Z174" i="9"/>
  <c r="AA343" i="9"/>
  <c r="Z118" i="9"/>
  <c r="Z141" i="9"/>
  <c r="AC17" i="9"/>
  <c r="AB268" i="9"/>
  <c r="Z250" i="9"/>
  <c r="Z136" i="9"/>
  <c r="Y316" i="9"/>
  <c r="Z183" i="9"/>
  <c r="AA357" i="9"/>
  <c r="AC274" i="9"/>
  <c r="Z275" i="9"/>
  <c r="AC21" i="9"/>
  <c r="AC124" i="9"/>
  <c r="AA253" i="9"/>
  <c r="AB384" i="9"/>
  <c r="AA206" i="9"/>
  <c r="Z270" i="9"/>
  <c r="Y150" i="9"/>
  <c r="AB321" i="9"/>
  <c r="AA98" i="9"/>
  <c r="AA5" i="9"/>
  <c r="Y134" i="9"/>
  <c r="Y327" i="9"/>
  <c r="AA133" i="9"/>
  <c r="AA298" i="9"/>
  <c r="AA34" i="9"/>
  <c r="AA248" i="9"/>
  <c r="AC210" i="9"/>
  <c r="Y142" i="9"/>
  <c r="AB135" i="9"/>
  <c r="AB30" i="9"/>
  <c r="AB229" i="9"/>
  <c r="AA355" i="9"/>
  <c r="AC13" i="9"/>
  <c r="AA161" i="9"/>
  <c r="AC174" i="9"/>
  <c r="AA263" i="9"/>
  <c r="AC64" i="9"/>
  <c r="AA245" i="9"/>
  <c r="Y226" i="9"/>
  <c r="AB212" i="9"/>
  <c r="AB287" i="9"/>
  <c r="AB285" i="9"/>
  <c r="AA265" i="9"/>
  <c r="AB134" i="9"/>
  <c r="AC18" i="9"/>
  <c r="AB322" i="9"/>
  <c r="AC179" i="9"/>
  <c r="AB302" i="9"/>
  <c r="Y145" i="9"/>
  <c r="Y364" i="9"/>
  <c r="Z236" i="9"/>
  <c r="AA175" i="9"/>
  <c r="Y20" i="9"/>
  <c r="Y174" i="9"/>
  <c r="AB163" i="9"/>
  <c r="AA360" i="9"/>
  <c r="AB105" i="9"/>
  <c r="Z187" i="9"/>
  <c r="AA49" i="9"/>
  <c r="Y258" i="9"/>
  <c r="AA26" i="9"/>
  <c r="AA63" i="9"/>
  <c r="Z92" i="9"/>
  <c r="Z301" i="9"/>
  <c r="AC279" i="9"/>
  <c r="Z55" i="9"/>
  <c r="Y26" i="9"/>
  <c r="AB310" i="9"/>
  <c r="Y229" i="9"/>
  <c r="AB40" i="9"/>
  <c r="Y372" i="9"/>
  <c r="AC79" i="9"/>
  <c r="Y121" i="9"/>
  <c r="AB34" i="9"/>
  <c r="AA200" i="9"/>
  <c r="AA171" i="9"/>
  <c r="AC74" i="9"/>
  <c r="Y100" i="9"/>
  <c r="Z398" i="9"/>
  <c r="AA77" i="9"/>
  <c r="Z338" i="9"/>
  <c r="AA67" i="9"/>
  <c r="AC20" i="9"/>
  <c r="AC376" i="9"/>
  <c r="Z280" i="9"/>
  <c r="Y111" i="9"/>
  <c r="AA32" i="9"/>
  <c r="AB108" i="9"/>
  <c r="AC184" i="9"/>
  <c r="Z334" i="9"/>
  <c r="AB275" i="9"/>
  <c r="Z382" i="9"/>
  <c r="AA184" i="9"/>
  <c r="Y212" i="9"/>
  <c r="AC267" i="9"/>
  <c r="AA59" i="9"/>
  <c r="AA372" i="9"/>
  <c r="AA316" i="9"/>
  <c r="AA173" i="9"/>
  <c r="Z176" i="9"/>
  <c r="AB300" i="9"/>
  <c r="Z402" i="9"/>
  <c r="Z194" i="9"/>
  <c r="AB291" i="9"/>
  <c r="AA277" i="9"/>
  <c r="AC97" i="9"/>
  <c r="AA97" i="9"/>
  <c r="AB153" i="9"/>
  <c r="Y402" i="9"/>
  <c r="Y112" i="9"/>
  <c r="Y95" i="9"/>
  <c r="AC81" i="9"/>
  <c r="AC339" i="9"/>
  <c r="Y84" i="9"/>
  <c r="AC140" i="9"/>
  <c r="Z68" i="9"/>
  <c r="AC171" i="9"/>
  <c r="AB174" i="9"/>
  <c r="Z327" i="9"/>
  <c r="AB401" i="9"/>
  <c r="AC87" i="9"/>
  <c r="AB74" i="9"/>
  <c r="Y178" i="9"/>
  <c r="Y298" i="9"/>
  <c r="Z188" i="9"/>
  <c r="AA193" i="9"/>
  <c r="AA392" i="9"/>
  <c r="Z389" i="9"/>
  <c r="AA401" i="9"/>
  <c r="Y87" i="9"/>
  <c r="AC276" i="9"/>
  <c r="AB260" i="9"/>
  <c r="AB123" i="9"/>
  <c r="Y380" i="9"/>
  <c r="AC224" i="9"/>
  <c r="AA342" i="9"/>
  <c r="AC349" i="9"/>
  <c r="Y13" i="9"/>
  <c r="Y125" i="9"/>
  <c r="AC402" i="9"/>
  <c r="AB256" i="9"/>
  <c r="AC181" i="9"/>
  <c r="AA324" i="9"/>
  <c r="Z43" i="9"/>
  <c r="Z171" i="9"/>
  <c r="AB289" i="9"/>
  <c r="AB255" i="9"/>
  <c r="AB351" i="9"/>
  <c r="AC91" i="9"/>
  <c r="Y217" i="9"/>
  <c r="Z326" i="9"/>
  <c r="AA16" i="9"/>
  <c r="AC153" i="9"/>
  <c r="Y169" i="9"/>
  <c r="Y96" i="9"/>
  <c r="AB202" i="9"/>
  <c r="AB9" i="9"/>
  <c r="Y386" i="9"/>
  <c r="AA55" i="9"/>
  <c r="Y51" i="9"/>
  <c r="Z230" i="9"/>
  <c r="AB243" i="9"/>
  <c r="Z399" i="9"/>
  <c r="AB59" i="9"/>
  <c r="AB398" i="9"/>
  <c r="Z120" i="9"/>
  <c r="AB366" i="9"/>
  <c r="Y287" i="9"/>
  <c r="AA227" i="9"/>
  <c r="AB64" i="9"/>
  <c r="Y228" i="9"/>
  <c r="Z36" i="9"/>
  <c r="AC227" i="9"/>
  <c r="AB283" i="9"/>
  <c r="AA114" i="9"/>
  <c r="AA247" i="9"/>
  <c r="AA190" i="9"/>
  <c r="AA182" i="9"/>
  <c r="AC85" i="9"/>
  <c r="Z372" i="9"/>
  <c r="AC378" i="9"/>
  <c r="AA79" i="9"/>
  <c r="Y43" i="9"/>
  <c r="AA388" i="9"/>
  <c r="Z86" i="9"/>
  <c r="AC217" i="9"/>
  <c r="Z161" i="9"/>
  <c r="AB230" i="9"/>
  <c r="Z336" i="9"/>
  <c r="AB203" i="9"/>
  <c r="AB318" i="9"/>
  <c r="AB171" i="9"/>
  <c r="Z278" i="9"/>
  <c r="AB250" i="9"/>
  <c r="AC281" i="9"/>
  <c r="AA376" i="9"/>
  <c r="AC142" i="9"/>
  <c r="AC73" i="9"/>
  <c r="Z103" i="9"/>
  <c r="AB313" i="9"/>
  <c r="AA168" i="9"/>
  <c r="Y165" i="9"/>
  <c r="AB359" i="9"/>
  <c r="AA13" i="9"/>
  <c r="Z200" i="9"/>
  <c r="AB288" i="9"/>
  <c r="AC92" i="9"/>
  <c r="AC205" i="9"/>
  <c r="AB299" i="9"/>
  <c r="Y202" i="9"/>
  <c r="Z175" i="9"/>
  <c r="AA131" i="9"/>
  <c r="Y236" i="9"/>
  <c r="Y21" i="9"/>
  <c r="Y330" i="9"/>
  <c r="AB334" i="9"/>
  <c r="Z76" i="9"/>
  <c r="AA90" i="9"/>
  <c r="AC296" i="9"/>
  <c r="Y398" i="9"/>
  <c r="Y213" i="9"/>
  <c r="AA235" i="9"/>
  <c r="AB22" i="9"/>
  <c r="AC370" i="9"/>
  <c r="Z69" i="9"/>
  <c r="AC322" i="9"/>
  <c r="AC327" i="9"/>
  <c r="AB137" i="9"/>
  <c r="AB90" i="9"/>
  <c r="Y131" i="9"/>
  <c r="Y360" i="9"/>
  <c r="AA352" i="9"/>
  <c r="Y297" i="9"/>
  <c r="AA391" i="9"/>
  <c r="Z403" i="9"/>
  <c r="AC24" i="9"/>
  <c r="Y276" i="9"/>
  <c r="Y124" i="9"/>
  <c r="AC68" i="9"/>
  <c r="AA191" i="9"/>
  <c r="Z71" i="9"/>
  <c r="Y176" i="9"/>
  <c r="AA110" i="9"/>
  <c r="AA157" i="9"/>
  <c r="AA270" i="9"/>
  <c r="AB396" i="9"/>
  <c r="AB119" i="9"/>
  <c r="AC101" i="9"/>
  <c r="AC364" i="9"/>
  <c r="Y115" i="9"/>
  <c r="Y199" i="9"/>
  <c r="AA23" i="9"/>
  <c r="AB226" i="9"/>
  <c r="Z287" i="9"/>
  <c r="Y286" i="9"/>
  <c r="Y269" i="9"/>
  <c r="Y49" i="9"/>
  <c r="Z37" i="9"/>
  <c r="Y73" i="9"/>
  <c r="Y351" i="9"/>
  <c r="Z148" i="9"/>
  <c r="Y108" i="9"/>
  <c r="Z303" i="9"/>
  <c r="AC103" i="9"/>
  <c r="Z217" i="9"/>
  <c r="AA120" i="9"/>
  <c r="AC374" i="9"/>
  <c r="AC146" i="9"/>
  <c r="AA215" i="9"/>
  <c r="AC76" i="9"/>
  <c r="Z318" i="9"/>
  <c r="Y66" i="9"/>
  <c r="Z300" i="9"/>
  <c r="AB136" i="9"/>
  <c r="AB170" i="9"/>
  <c r="Z25" i="9"/>
  <c r="AC136" i="9"/>
  <c r="AB8" i="9"/>
  <c r="AC379" i="9"/>
  <c r="AC252" i="9"/>
  <c r="AA155" i="9"/>
  <c r="Y88" i="9"/>
  <c r="Y32" i="9"/>
  <c r="Z150" i="9"/>
  <c r="AA165" i="9"/>
  <c r="Z127" i="9"/>
  <c r="AB329" i="9"/>
  <c r="Y71" i="9"/>
  <c r="Y294" i="9"/>
  <c r="AA64" i="9"/>
  <c r="Z309" i="9"/>
  <c r="AB388" i="9"/>
  <c r="AC358" i="9"/>
  <c r="Y224" i="9"/>
  <c r="Y322" i="9"/>
  <c r="AA289" i="9"/>
  <c r="Z329" i="9"/>
  <c r="AA62" i="9"/>
  <c r="AC241" i="9"/>
  <c r="Y162" i="9"/>
  <c r="AC303" i="9"/>
  <c r="AC272" i="9"/>
  <c r="Y250" i="9"/>
  <c r="AC157" i="9"/>
  <c r="Y323" i="9"/>
  <c r="Y200" i="9"/>
  <c r="Y301" i="9"/>
  <c r="AB344" i="9"/>
  <c r="Y204" i="9"/>
  <c r="AB175" i="9"/>
  <c r="Y189" i="9"/>
  <c r="Z290" i="9"/>
  <c r="AB325" i="9"/>
  <c r="AC371" i="9"/>
  <c r="AB87" i="9"/>
  <c r="AC196" i="9"/>
  <c r="AA8" i="9"/>
  <c r="Z131" i="9"/>
  <c r="AB31" i="9"/>
  <c r="Y98" i="9"/>
  <c r="Z97" i="9"/>
  <c r="Z245" i="9"/>
  <c r="Y340" i="9"/>
  <c r="AA399" i="9"/>
  <c r="Z263" i="9"/>
  <c r="AC110" i="9"/>
  <c r="Z294" i="9"/>
  <c r="AB75" i="9"/>
  <c r="AC86" i="9"/>
  <c r="AC335" i="9"/>
  <c r="AB266" i="9"/>
  <c r="AB146" i="9"/>
  <c r="AA394" i="9"/>
  <c r="Z130" i="9"/>
  <c r="AB73" i="9"/>
  <c r="AA75" i="9"/>
  <c r="AC238" i="9"/>
  <c r="Y381" i="9"/>
  <c r="Y70" i="9"/>
  <c r="Y279" i="9"/>
  <c r="AC148" i="9"/>
  <c r="Y7" i="9"/>
  <c r="Z49" i="9"/>
  <c r="Y78" i="9"/>
  <c r="AC166" i="9"/>
  <c r="AA398" i="9"/>
  <c r="AA223" i="9"/>
  <c r="AB395" i="9"/>
  <c r="AA186" i="9"/>
  <c r="AA12" i="9"/>
  <c r="Y369" i="9"/>
  <c r="AA358" i="9"/>
  <c r="AA217" i="9"/>
  <c r="Z173" i="9"/>
  <c r="AA309" i="9"/>
  <c r="Y367" i="9"/>
  <c r="AC200" i="9"/>
  <c r="AB60" i="9"/>
  <c r="AA41" i="9"/>
  <c r="Z74" i="9"/>
  <c r="AC293" i="9"/>
  <c r="Z225" i="9"/>
  <c r="AC78" i="9"/>
  <c r="Z247" i="9"/>
  <c r="AB251" i="9"/>
  <c r="AA236" i="9"/>
  <c r="Y328" i="9"/>
  <c r="AA107" i="9"/>
  <c r="Z35" i="9"/>
  <c r="Z14" i="9"/>
  <c r="AA65" i="9"/>
  <c r="Y192" i="9"/>
  <c r="Y46" i="9"/>
  <c r="Y318" i="9"/>
  <c r="AA255" i="9"/>
  <c r="Z59" i="9"/>
  <c r="Z283" i="9"/>
  <c r="Y218" i="9"/>
  <c r="AA199" i="9"/>
  <c r="AB358" i="9"/>
  <c r="AB378" i="9"/>
  <c r="Z305" i="9"/>
  <c r="AC159" i="9"/>
  <c r="AB101" i="9"/>
  <c r="AA118" i="9"/>
  <c r="AA259" i="9"/>
  <c r="Y394" i="9"/>
  <c r="Y225" i="9"/>
  <c r="AB357" i="9"/>
  <c r="AC105" i="9"/>
  <c r="AB315" i="9"/>
  <c r="Y266" i="9"/>
  <c r="Y349" i="9"/>
  <c r="AA150" i="9"/>
  <c r="AA151" i="9"/>
  <c r="AA340" i="9"/>
  <c r="Y314" i="9"/>
  <c r="AA229" i="9"/>
  <c r="AC266" i="9"/>
  <c r="AA286" i="9"/>
  <c r="AA213" i="9"/>
  <c r="Y235" i="9"/>
  <c r="Z237" i="9"/>
  <c r="AC89" i="9"/>
  <c r="AC34" i="9"/>
  <c r="AC52" i="9"/>
  <c r="AC202" i="9"/>
  <c r="AC219" i="9"/>
  <c r="Y179" i="9"/>
  <c r="AC246" i="9"/>
  <c r="Z181" i="9"/>
  <c r="AC394" i="9"/>
  <c r="Y262" i="9"/>
  <c r="AA95" i="9"/>
  <c r="Z112" i="9"/>
  <c r="AA333" i="9"/>
  <c r="Y332" i="9"/>
  <c r="Z233" i="9"/>
  <c r="AA60" i="9"/>
  <c r="AC158" i="9"/>
  <c r="AC59" i="9"/>
  <c r="Y75" i="9"/>
  <c r="AC366" i="9"/>
  <c r="AA174" i="9"/>
  <c r="Z234" i="9"/>
  <c r="Z192" i="9"/>
  <c r="AA84" i="9"/>
  <c r="Z111" i="9"/>
  <c r="Z330" i="9"/>
  <c r="Y248" i="9"/>
  <c r="Z209" i="9"/>
  <c r="AB159" i="9"/>
  <c r="Z81" i="9"/>
  <c r="AB166" i="9"/>
  <c r="Z210" i="9"/>
  <c r="Y148" i="9"/>
  <c r="AA159" i="9"/>
  <c r="AC382" i="9"/>
  <c r="AC240" i="9"/>
  <c r="Z123" i="9"/>
  <c r="AA82" i="9"/>
  <c r="Z266" i="9"/>
  <c r="Y163" i="9"/>
  <c r="Z30" i="9"/>
  <c r="AA350" i="9"/>
  <c r="Y397" i="9"/>
  <c r="AC251" i="9"/>
  <c r="AB187" i="9"/>
  <c r="Z115" i="9"/>
  <c r="AB197" i="9"/>
  <c r="Y40" i="9"/>
  <c r="Y103" i="9"/>
  <c r="AB368" i="9"/>
  <c r="Y208" i="9"/>
  <c r="Y309" i="9"/>
  <c r="AC330" i="9"/>
  <c r="AA112" i="9"/>
  <c r="Y337" i="9"/>
  <c r="Z391" i="9"/>
  <c r="Z6" i="9"/>
  <c r="AC192" i="9"/>
  <c r="AC137" i="9"/>
  <c r="AC228" i="9"/>
  <c r="AB339" i="9"/>
  <c r="AC299" i="9"/>
  <c r="Z91" i="9"/>
  <c r="AB274" i="9"/>
  <c r="AA323" i="9"/>
  <c r="AB292" i="9"/>
  <c r="Y132" i="9"/>
  <c r="Y342" i="9"/>
  <c r="AC215" i="9"/>
  <c r="AB188" i="9"/>
  <c r="AB132" i="9"/>
  <c r="Y41" i="9"/>
  <c r="Z17" i="9"/>
  <c r="AB41" i="9"/>
  <c r="AA314" i="9"/>
  <c r="Y14" i="9"/>
  <c r="Y291" i="9"/>
  <c r="Y161" i="9"/>
  <c r="AA178" i="9"/>
  <c r="Z362" i="9"/>
  <c r="AC391" i="9"/>
  <c r="AA237" i="9"/>
  <c r="Z207" i="9"/>
  <c r="AA100" i="9"/>
  <c r="AA194" i="9"/>
  <c r="Y55" i="9"/>
  <c r="Y384" i="9"/>
  <c r="AC285" i="9"/>
  <c r="AA382" i="9"/>
  <c r="AA282" i="9"/>
  <c r="AB181" i="9"/>
  <c r="AA170" i="9"/>
  <c r="Z96" i="9"/>
  <c r="AA326" i="9"/>
  <c r="AA28" i="9"/>
  <c r="Z248" i="9"/>
  <c r="AC255" i="9"/>
  <c r="AC353" i="9"/>
  <c r="AA251" i="9"/>
  <c r="AC324" i="9"/>
  <c r="AC231" i="9"/>
  <c r="AA278" i="9"/>
  <c r="Y65" i="9"/>
  <c r="AB267" i="9"/>
  <c r="Y247" i="9"/>
  <c r="Z16" i="9"/>
  <c r="AA335" i="9"/>
  <c r="Z314" i="9"/>
  <c r="Y403" i="9"/>
  <c r="AB337" i="9"/>
  <c r="AB257" i="9"/>
  <c r="Z346" i="9"/>
  <c r="AC99" i="9"/>
  <c r="AC387" i="9"/>
  <c r="Y168" i="9"/>
  <c r="AA218" i="9"/>
  <c r="AB179" i="9"/>
  <c r="AB110" i="9"/>
  <c r="Y343" i="9"/>
  <c r="AB220" i="9"/>
  <c r="Z170" i="9"/>
  <c r="Z308" i="9"/>
  <c r="Y201" i="9"/>
  <c r="AA356" i="9"/>
  <c r="AC389" i="9"/>
  <c r="Z324" i="9"/>
  <c r="AA126" i="9"/>
  <c r="Y299" i="9"/>
  <c r="AC306" i="9"/>
  <c r="AB42" i="9"/>
  <c r="Z53" i="9"/>
  <c r="AC216" i="9"/>
  <c r="AC301" i="9"/>
  <c r="Y122" i="9"/>
  <c r="AA130" i="9"/>
  <c r="Y311" i="9"/>
  <c r="Y329" i="9"/>
  <c r="Y152" i="9"/>
  <c r="AB372" i="9"/>
  <c r="AC51" i="9"/>
  <c r="AB71" i="9"/>
  <c r="AC107" i="9"/>
  <c r="AB106" i="9"/>
  <c r="Z269" i="9"/>
  <c r="AA36" i="9"/>
  <c r="AA148" i="9"/>
  <c r="AC102" i="9"/>
  <c r="AC65" i="9"/>
  <c r="AB393" i="9"/>
  <c r="AB308" i="9"/>
  <c r="Y68" i="9"/>
  <c r="AA127" i="9"/>
  <c r="Z272" i="9"/>
  <c r="AA302" i="9"/>
  <c r="AB209" i="9"/>
  <c r="AC277" i="9"/>
  <c r="Z321" i="9"/>
  <c r="AA33" i="9"/>
  <c r="Y306" i="9"/>
  <c r="AC161" i="9"/>
  <c r="AC319" i="9"/>
  <c r="Y292" i="9"/>
  <c r="AB194" i="9"/>
  <c r="AA167" i="9"/>
  <c r="AC362" i="9"/>
  <c r="Z227" i="9"/>
  <c r="AC343" i="9"/>
  <c r="AA54" i="9"/>
  <c r="Z185" i="9"/>
  <c r="AC397" i="9"/>
  <c r="Y24" i="9"/>
  <c r="AA303" i="9"/>
  <c r="AB177" i="9"/>
  <c r="Y382" i="9"/>
  <c r="Y274" i="9"/>
  <c r="AB217" i="9"/>
  <c r="AA274" i="9"/>
  <c r="Z169" i="9"/>
  <c r="AC253" i="9"/>
  <c r="AB223" i="9"/>
  <c r="Z394" i="9"/>
  <c r="Z328" i="9"/>
  <c r="AB62" i="9"/>
  <c r="Y82" i="9"/>
  <c r="Y207" i="9"/>
  <c r="Y61" i="9"/>
  <c r="AC369" i="9"/>
  <c r="AA334" i="9"/>
  <c r="AC401" i="9"/>
  <c r="Z204" i="9"/>
  <c r="Z162" i="9"/>
  <c r="Y85" i="9"/>
  <c r="Y317" i="9"/>
  <c r="AC164" i="9"/>
  <c r="AA228" i="9"/>
  <c r="AB164" i="9"/>
  <c r="Y120" i="9"/>
  <c r="Z199" i="9"/>
  <c r="AA132" i="9"/>
  <c r="Y45" i="9"/>
  <c r="AC170" i="9"/>
  <c r="AA351" i="9"/>
  <c r="Y126" i="9"/>
  <c r="Y18" i="9"/>
  <c r="Y156" i="9"/>
  <c r="AB162" i="9"/>
  <c r="AB219" i="9"/>
  <c r="AB81" i="9"/>
  <c r="Z66" i="9"/>
  <c r="AB10" i="9"/>
  <c r="AB193" i="9"/>
  <c r="AC337" i="9"/>
  <c r="Y220" i="9"/>
  <c r="Z193" i="9"/>
  <c r="AA106" i="9"/>
  <c r="Y60" i="9"/>
  <c r="AA318" i="9"/>
  <c r="AA273" i="9"/>
  <c r="Z105" i="9"/>
  <c r="AB263" i="9"/>
  <c r="AC6" i="9"/>
  <c r="AC139" i="9"/>
  <c r="Z368" i="9"/>
  <c r="Z295" i="9"/>
  <c r="AA189" i="9"/>
  <c r="Y259" i="9"/>
  <c r="AC128" i="9"/>
  <c r="AB100" i="9"/>
  <c r="AB51" i="9"/>
  <c r="AB381" i="9"/>
  <c r="Z214" i="9"/>
  <c r="AC156" i="9"/>
  <c r="Z212" i="9"/>
  <c r="Z323" i="9"/>
  <c r="Y387" i="9"/>
  <c r="Z351" i="9"/>
  <c r="Z179" i="9"/>
  <c r="Y336" i="9"/>
  <c r="AB261" i="9"/>
  <c r="Y214" i="9"/>
  <c r="AB66" i="9"/>
  <c r="AC273" i="9"/>
  <c r="Z274" i="9"/>
  <c r="Y74" i="9"/>
  <c r="Z138" i="9"/>
  <c r="Y159" i="9"/>
  <c r="Y27" i="9"/>
  <c r="AC133" i="9"/>
  <c r="AC177" i="9"/>
  <c r="Z223" i="9"/>
  <c r="Z268" i="9"/>
  <c r="Y344" i="9"/>
  <c r="AA169" i="9"/>
  <c r="AB190" i="9"/>
  <c r="AC49" i="9"/>
  <c r="Z79" i="9"/>
  <c r="Z121" i="9"/>
  <c r="Y186" i="9"/>
  <c r="AA69" i="9"/>
  <c r="AC351" i="9"/>
  <c r="AA204" i="9"/>
  <c r="AB360" i="9"/>
  <c r="Y113" i="9"/>
  <c r="AB112" i="9"/>
  <c r="AC119" i="9"/>
  <c r="Z12" i="9"/>
  <c r="Z226" i="9"/>
  <c r="AA147" i="9"/>
  <c r="AB335" i="9"/>
  <c r="Z31" i="9"/>
  <c r="AC325" i="9"/>
  <c r="Z144" i="9"/>
  <c r="AB151" i="9"/>
  <c r="AC63" i="9"/>
  <c r="Y277" i="9"/>
  <c r="AC218" i="9"/>
  <c r="Y118" i="9"/>
  <c r="Z65" i="9"/>
  <c r="AB155" i="9"/>
  <c r="AC208" i="9"/>
  <c r="AB17" i="9"/>
  <c r="AC310" i="9"/>
  <c r="Z299" i="9"/>
  <c r="AC151" i="9"/>
  <c r="AC178" i="9"/>
  <c r="Z139" i="9"/>
  <c r="Z380" i="9"/>
  <c r="AC154" i="9"/>
  <c r="AC320" i="9"/>
  <c r="AC46" i="9"/>
  <c r="AA305" i="9"/>
  <c r="Z347" i="9"/>
  <c r="AB145" i="9"/>
  <c r="AC317" i="9"/>
  <c r="AA332" i="9"/>
  <c r="AB252" i="9"/>
  <c r="Z363" i="9"/>
  <c r="AB86" i="9"/>
  <c r="Z119" i="9"/>
  <c r="AC37" i="9"/>
  <c r="AC245" i="9"/>
  <c r="AC8" i="9"/>
  <c r="Y308" i="9"/>
  <c r="AB97" i="9"/>
  <c r="AA153" i="9"/>
  <c r="Z345" i="9"/>
  <c r="AC144" i="9"/>
  <c r="Y404" i="9"/>
  <c r="AC249" i="9"/>
  <c r="AC55" i="9"/>
  <c r="Y339" i="9"/>
  <c r="AA101" i="9"/>
  <c r="AC130" i="9"/>
  <c r="AB227" i="9"/>
  <c r="AA367" i="9"/>
  <c r="AC212" i="9"/>
  <c r="AB281" i="9"/>
  <c r="Y89" i="9"/>
  <c r="AA93" i="9"/>
  <c r="AA219" i="9"/>
  <c r="Z258" i="9"/>
  <c r="Y15" i="9"/>
  <c r="AC70" i="9"/>
  <c r="AB208" i="9"/>
  <c r="Y97" i="9"/>
  <c r="AC22" i="9"/>
  <c r="Y334" i="9"/>
  <c r="AA134" i="9"/>
  <c r="AA152" i="9"/>
  <c r="AC223" i="9"/>
  <c r="AC375" i="9"/>
  <c r="Y117" i="9"/>
  <c r="AC80" i="9"/>
  <c r="AB273" i="9"/>
  <c r="Y211" i="9"/>
  <c r="AA327" i="9"/>
  <c r="AA384" i="9"/>
  <c r="AA362" i="9"/>
  <c r="Y278" i="9"/>
  <c r="AC286" i="9"/>
  <c r="AA337" i="9"/>
  <c r="AB375" i="9"/>
  <c r="AA242" i="9"/>
  <c r="AC239" i="9"/>
  <c r="AC165" i="9"/>
  <c r="AB176" i="9"/>
  <c r="AC300" i="9"/>
  <c r="AB262" i="9"/>
  <c r="AB103" i="9"/>
  <c r="AC38" i="9"/>
  <c r="Z88" i="9"/>
  <c r="AB265" i="9"/>
  <c r="AC254" i="9"/>
  <c r="Z159" i="9"/>
  <c r="AB69" i="9"/>
  <c r="AB397" i="9"/>
  <c r="AC25" i="9"/>
  <c r="AA222" i="9"/>
  <c r="AB23" i="9"/>
  <c r="Y358" i="9"/>
  <c r="AC357" i="9"/>
  <c r="Y135" i="9"/>
  <c r="AB115" i="9"/>
  <c r="AB54" i="9"/>
  <c r="AA381" i="9"/>
  <c r="AC250" i="9"/>
  <c r="AA243" i="9"/>
  <c r="AC256" i="9"/>
  <c r="AC220" i="9"/>
  <c r="Z252" i="9"/>
  <c r="AB180" i="9"/>
  <c r="AB70" i="9"/>
  <c r="AB80" i="9"/>
  <c r="AC71" i="9"/>
  <c r="AB150" i="9"/>
  <c r="Y264" i="9"/>
  <c r="AA239" i="9"/>
  <c r="Z28" i="9"/>
  <c r="AA119" i="9"/>
  <c r="Z57" i="9"/>
  <c r="AA21" i="9"/>
  <c r="AB20" i="9"/>
  <c r="AA311" i="9"/>
  <c r="AA275" i="9"/>
  <c r="Y198" i="9"/>
  <c r="AB364" i="9"/>
  <c r="AC16" i="9"/>
  <c r="AB244" i="9"/>
  <c r="AA354" i="9"/>
  <c r="AC61" i="9"/>
  <c r="Z186" i="9"/>
  <c r="Y138" i="9"/>
  <c r="AB43" i="9"/>
  <c r="AA85" i="9"/>
  <c r="AC342" i="9"/>
  <c r="AC347" i="9"/>
  <c r="Y223" i="9"/>
  <c r="Y257" i="9"/>
  <c r="AB254" i="9"/>
  <c r="Z19" i="9"/>
  <c r="AC42" i="9"/>
  <c r="AA378" i="9"/>
  <c r="AB279" i="9"/>
  <c r="Y241" i="9"/>
  <c r="Z304" i="9"/>
  <c r="Y268" i="9"/>
  <c r="AA272" i="9"/>
  <c r="Z211" i="9"/>
  <c r="AC115" i="9"/>
  <c r="Z61" i="9"/>
  <c r="AC126" i="9"/>
  <c r="AC72" i="9"/>
  <c r="AB109" i="9"/>
  <c r="Y59" i="9"/>
  <c r="Z104" i="9"/>
  <c r="AA315" i="9"/>
  <c r="AC204" i="9"/>
  <c r="Y300" i="9"/>
  <c r="Y180" i="9"/>
  <c r="Y9" i="9"/>
  <c r="Z195" i="9"/>
  <c r="AB68" i="9"/>
  <c r="Z292" i="9"/>
  <c r="AC145" i="9"/>
  <c r="Y188" i="9"/>
  <c r="AC188" i="9"/>
  <c r="AA366" i="9"/>
  <c r="Z98" i="9"/>
  <c r="AA387" i="9"/>
  <c r="AC197" i="9"/>
  <c r="Y197" i="9"/>
  <c r="AB206" i="9"/>
  <c r="AC336" i="9"/>
  <c r="AA156" i="9"/>
  <c r="Y221" i="9"/>
  <c r="AC112" i="9"/>
  <c r="AA78" i="9"/>
  <c r="Y374" i="9"/>
  <c r="Z342" i="9"/>
  <c r="Z375" i="9"/>
  <c r="AB341" i="9"/>
  <c r="AC352" i="9"/>
  <c r="AB143" i="9"/>
  <c r="Z125" i="9"/>
  <c r="Z344" i="9"/>
  <c r="AB147" i="9"/>
  <c r="AA312" i="9"/>
  <c r="Y303" i="9"/>
  <c r="AD6" i="27" l="1"/>
  <c r="W6" i="27"/>
  <c r="P6" i="27"/>
  <c r="AK6" i="27"/>
  <c r="AR6" i="27"/>
  <c r="AD18" i="27"/>
  <c r="P18" i="27"/>
  <c r="W18" i="27"/>
  <c r="AK18" i="27"/>
  <c r="AR18" i="27"/>
  <c r="K71" i="30"/>
  <c r="K68" i="30"/>
  <c r="J112" i="30"/>
  <c r="J80" i="30"/>
  <c r="J96" i="30"/>
  <c r="J100" i="30"/>
  <c r="K112" i="30"/>
  <c r="K96" i="30"/>
  <c r="K80" i="30"/>
  <c r="K72" i="30"/>
  <c r="J94" i="30"/>
  <c r="K20" i="30"/>
  <c r="K87" i="30"/>
  <c r="K51" i="30"/>
  <c r="J19" i="30"/>
  <c r="J41" i="30"/>
  <c r="K106" i="30"/>
  <c r="K103" i="30"/>
  <c r="K109" i="30"/>
  <c r="K114" i="30"/>
  <c r="K56" i="30"/>
  <c r="K110" i="30"/>
  <c r="K93" i="30"/>
  <c r="K48" i="30"/>
  <c r="K41" i="30"/>
  <c r="K94" i="30"/>
  <c r="J51" i="30"/>
  <c r="J103" i="30"/>
  <c r="J20" i="30"/>
  <c r="J48" i="30"/>
  <c r="J110" i="30"/>
  <c r="DS99" i="28"/>
  <c r="DT99" i="28"/>
  <c r="DU99" i="28"/>
  <c r="DT33" i="28"/>
  <c r="J47" i="30"/>
  <c r="K47" i="30"/>
  <c r="J114" i="30"/>
  <c r="J87" i="30"/>
  <c r="J93" i="30"/>
  <c r="K19" i="30"/>
  <c r="J109" i="30"/>
  <c r="J106" i="30"/>
  <c r="J72" i="30"/>
  <c r="J76" i="30"/>
  <c r="K76" i="30"/>
  <c r="J98" i="30"/>
  <c r="K98" i="30"/>
  <c r="J27" i="30"/>
  <c r="K27" i="30"/>
  <c r="J88" i="30"/>
  <c r="K88" i="30"/>
  <c r="J58" i="30"/>
  <c r="K58" i="30"/>
  <c r="J75" i="30"/>
  <c r="K75" i="30"/>
  <c r="J59" i="30"/>
  <c r="K59" i="30"/>
  <c r="J56" i="30"/>
  <c r="J21" i="30"/>
  <c r="K21" i="30"/>
  <c r="J60" i="30"/>
  <c r="K60" i="30"/>
  <c r="J91" i="30"/>
  <c r="K91" i="30"/>
  <c r="J12" i="30"/>
  <c r="K12" i="30"/>
  <c r="J11" i="30"/>
  <c r="K11" i="30"/>
  <c r="J66" i="30"/>
  <c r="K66" i="30"/>
  <c r="J44" i="30"/>
  <c r="K44" i="30"/>
  <c r="J43" i="30"/>
  <c r="K43" i="30"/>
  <c r="BN96" i="29"/>
  <c r="BK97" i="29"/>
  <c r="DR99" i="28"/>
  <c r="DU50" i="28"/>
  <c r="DR65" i="28"/>
  <c r="BL77" i="29"/>
  <c r="BL99" i="29"/>
  <c r="BL93" i="29"/>
  <c r="BN34" i="29"/>
  <c r="BN18" i="29"/>
  <c r="DS28" i="28"/>
  <c r="BL38" i="29"/>
  <c r="BL107" i="29"/>
  <c r="DR78" i="28"/>
  <c r="DR112" i="28"/>
  <c r="BL58" i="29"/>
  <c r="BN47" i="29"/>
  <c r="BN80" i="29"/>
  <c r="BN73" i="29"/>
  <c r="DT94" i="28"/>
  <c r="DU113" i="28"/>
  <c r="DT26" i="28"/>
  <c r="DS111" i="28"/>
  <c r="DS50" i="28"/>
  <c r="BL69" i="29"/>
  <c r="DT70" i="28"/>
  <c r="DR88" i="28"/>
  <c r="DR25" i="28"/>
  <c r="BN88" i="29"/>
  <c r="BN50" i="29"/>
  <c r="DT39" i="28"/>
  <c r="BL115" i="29"/>
  <c r="BL85" i="29"/>
  <c r="DR81" i="28"/>
  <c r="BI13" i="29"/>
  <c r="DU54" i="28"/>
  <c r="BL15" i="29"/>
  <c r="DR113" i="28"/>
  <c r="DT28" i="28"/>
  <c r="DR55" i="28"/>
  <c r="DS54" i="28"/>
  <c r="DT112" i="28"/>
  <c r="DU86" i="28"/>
  <c r="BL112" i="29"/>
  <c r="DT117" i="28"/>
  <c r="DT105" i="28"/>
  <c r="DU111" i="28"/>
  <c r="DS105" i="28"/>
  <c r="DT13" i="28"/>
  <c r="DS117" i="28"/>
  <c r="BN58" i="29"/>
  <c r="BL83" i="29"/>
  <c r="BL70" i="29"/>
  <c r="BN63" i="29"/>
  <c r="DT83" i="28"/>
  <c r="DT12" i="28"/>
  <c r="DU12" i="28"/>
  <c r="BL55" i="29"/>
  <c r="DR96" i="28"/>
  <c r="DR82" i="28"/>
  <c r="DT107" i="28"/>
  <c r="BL31" i="29"/>
  <c r="BN56" i="29"/>
  <c r="DT29" i="28"/>
  <c r="DS96" i="28"/>
  <c r="BN22" i="29"/>
  <c r="DT21" i="28"/>
  <c r="DR28" i="28"/>
  <c r="DR106" i="28"/>
  <c r="DU76" i="28"/>
  <c r="BL72" i="29"/>
  <c r="DT22" i="28"/>
  <c r="DR77" i="28"/>
  <c r="BN104" i="29"/>
  <c r="DR70" i="28"/>
  <c r="BL73" i="29"/>
  <c r="DU58" i="28"/>
  <c r="BK103" i="29"/>
  <c r="DR89" i="28"/>
  <c r="BN40" i="29"/>
  <c r="DS47" i="28"/>
  <c r="BL109" i="29"/>
  <c r="BL101" i="29"/>
  <c r="BL10" i="29"/>
  <c r="BN39" i="29"/>
  <c r="BN94" i="29"/>
  <c r="DU24" i="28"/>
  <c r="DS113" i="28"/>
  <c r="DT113" i="28"/>
  <c r="DR68" i="28"/>
  <c r="DU70" i="28"/>
  <c r="DS30" i="28"/>
  <c r="BL56" i="29"/>
  <c r="DU105" i="28"/>
  <c r="BN62" i="29"/>
  <c r="DR15" i="28"/>
  <c r="DS56" i="28"/>
  <c r="DT53" i="28"/>
  <c r="DR56" i="28"/>
  <c r="DS70" i="28"/>
  <c r="DS15" i="28"/>
  <c r="DR41" i="28"/>
  <c r="BL91" i="29"/>
  <c r="BN43" i="29"/>
  <c r="DT24" i="28"/>
  <c r="DU56" i="28"/>
  <c r="BL42" i="29"/>
  <c r="DT55" i="28"/>
  <c r="DS19" i="28"/>
  <c r="BL95" i="29"/>
  <c r="DU15" i="28"/>
  <c r="DR52" i="28"/>
  <c r="DU78" i="28"/>
  <c r="DR90" i="28"/>
  <c r="BL61" i="29"/>
  <c r="DU106" i="28"/>
  <c r="DR8" i="28"/>
  <c r="DU83" i="28"/>
  <c r="DT110" i="28"/>
  <c r="DR9" i="28"/>
  <c r="DR47" i="28"/>
  <c r="DU110" i="28"/>
  <c r="BN45" i="29"/>
  <c r="DS110" i="28"/>
  <c r="BF76" i="29"/>
  <c r="BK76" i="29"/>
  <c r="DS51" i="28"/>
  <c r="DT78" i="28"/>
  <c r="DR110" i="28"/>
  <c r="BL96" i="29"/>
  <c r="BN14" i="29"/>
  <c r="DS78" i="28"/>
  <c r="BI35" i="29"/>
  <c r="BN35" i="29"/>
  <c r="BN59" i="29"/>
  <c r="BN30" i="29"/>
  <c r="DS43" i="28"/>
  <c r="DT56" i="28"/>
  <c r="DU47" i="28"/>
  <c r="BG103" i="29"/>
  <c r="BL103" i="29"/>
  <c r="BG71" i="29"/>
  <c r="BL71" i="29"/>
  <c r="BI87" i="29"/>
  <c r="BN87" i="29"/>
  <c r="DR30" i="28"/>
  <c r="DS71" i="28"/>
  <c r="DT9" i="28"/>
  <c r="DU72" i="28"/>
  <c r="DT36" i="28"/>
  <c r="DT11" i="28"/>
  <c r="DR92" i="28"/>
  <c r="DT19" i="28"/>
  <c r="DU19" i="28"/>
  <c r="DU30" i="28"/>
  <c r="DU49" i="28"/>
  <c r="DT81" i="28"/>
  <c r="DU77" i="28"/>
  <c r="DU36" i="28"/>
  <c r="DS45" i="28"/>
  <c r="DT62" i="28"/>
  <c r="DT115" i="28"/>
  <c r="DT34" i="28"/>
  <c r="DS80" i="28"/>
  <c r="DR80" i="28"/>
  <c r="DU40" i="28"/>
  <c r="DS12" i="28"/>
  <c r="DS34" i="28"/>
  <c r="DS64" i="28"/>
  <c r="DU28" i="28"/>
  <c r="DU34" i="28"/>
  <c r="DU115" i="28"/>
  <c r="DT35" i="28"/>
  <c r="BI112" i="29"/>
  <c r="BN112" i="29"/>
  <c r="BG67" i="29"/>
  <c r="BL67" i="29"/>
  <c r="BG47" i="29"/>
  <c r="BL47" i="29"/>
  <c r="BN71" i="29"/>
  <c r="BI64" i="29"/>
  <c r="BN64" i="29"/>
  <c r="BI8" i="29"/>
  <c r="BN8" i="29"/>
  <c r="DU14" i="28"/>
  <c r="DT25" i="28"/>
  <c r="DS93" i="28"/>
  <c r="DS46" i="28"/>
  <c r="DR43" i="28"/>
  <c r="DT111" i="28"/>
  <c r="DU75" i="28"/>
  <c r="DS112" i="28"/>
  <c r="DU43" i="28"/>
  <c r="DU25" i="28"/>
  <c r="DT54" i="28"/>
  <c r="DR32" i="28"/>
  <c r="DT41" i="28"/>
  <c r="BI78" i="29"/>
  <c r="BN78" i="29"/>
  <c r="BG60" i="29"/>
  <c r="BL60" i="29"/>
  <c r="DU31" i="28"/>
  <c r="DU41" i="28"/>
  <c r="DS108" i="28"/>
  <c r="BI89" i="29"/>
  <c r="BN89" i="29"/>
  <c r="DT73" i="28"/>
  <c r="DS102" i="28"/>
  <c r="BG22" i="29"/>
  <c r="BL22" i="29"/>
  <c r="BG40" i="29"/>
  <c r="BL40" i="29"/>
  <c r="DU45" i="28"/>
  <c r="DU114" i="28"/>
  <c r="DS79" i="28"/>
  <c r="DS23" i="28"/>
  <c r="BI60" i="29"/>
  <c r="BN60" i="29"/>
  <c r="DR16" i="28"/>
  <c r="BI46" i="29"/>
  <c r="BN46" i="29"/>
  <c r="DS38" i="28"/>
  <c r="DU10" i="28"/>
  <c r="DU26" i="28"/>
  <c r="DT51" i="28"/>
  <c r="DT90" i="28"/>
  <c r="DU57" i="28"/>
  <c r="DT89" i="28"/>
  <c r="DU85" i="28"/>
  <c r="DS85" i="28"/>
  <c r="DS89" i="28"/>
  <c r="DS29" i="28"/>
  <c r="DS27" i="28"/>
  <c r="DR48" i="28"/>
  <c r="DR108" i="28"/>
  <c r="DS98" i="28"/>
  <c r="DR116" i="28"/>
  <c r="DU107" i="28"/>
  <c r="DT57" i="28"/>
  <c r="DU11" i="28"/>
  <c r="DT65" i="28"/>
  <c r="DS26" i="28"/>
  <c r="DT74" i="28"/>
  <c r="DS90" i="28"/>
  <c r="DS57" i="28"/>
  <c r="DR26" i="28"/>
  <c r="DU29" i="28"/>
  <c r="DU27" i="28"/>
  <c r="DU67" i="28"/>
  <c r="DT30" i="28"/>
  <c r="DU18" i="28"/>
  <c r="DR45" i="28"/>
  <c r="DT104" i="28"/>
  <c r="DU37" i="28"/>
  <c r="DU82" i="28"/>
  <c r="DT46" i="28"/>
  <c r="DU89" i="28"/>
  <c r="DR59" i="28"/>
  <c r="DU74" i="28"/>
  <c r="DT108" i="28"/>
  <c r="DS39" i="28"/>
  <c r="DT23" i="28"/>
  <c r="DR67" i="28"/>
  <c r="DT27" i="28"/>
  <c r="DR27" i="28"/>
  <c r="DU48" i="28"/>
  <c r="DU53" i="28"/>
  <c r="DS37" i="28"/>
  <c r="DS53" i="28"/>
  <c r="DT67" i="28"/>
  <c r="DS36" i="28"/>
  <c r="DS107" i="28"/>
  <c r="DR38" i="28"/>
  <c r="DS44" i="28"/>
  <c r="DU102" i="28"/>
  <c r="DR35" i="28"/>
  <c r="DS13" i="28"/>
  <c r="DU117" i="28"/>
  <c r="DR21" i="28"/>
  <c r="DS22" i="28"/>
  <c r="DS18" i="28"/>
  <c r="DR13" i="28"/>
  <c r="DU92" i="28"/>
  <c r="DU100" i="28"/>
  <c r="DS81" i="28"/>
  <c r="DT59" i="28"/>
  <c r="DU13" i="28"/>
  <c r="DU21" i="28"/>
  <c r="DS41" i="28"/>
  <c r="DT18" i="28"/>
  <c r="DS109" i="28"/>
  <c r="DR79" i="28"/>
  <c r="DR94" i="28"/>
  <c r="DT101" i="28"/>
  <c r="DU109" i="28"/>
  <c r="DU101" i="28"/>
  <c r="DU94" i="28"/>
  <c r="DS20" i="28"/>
  <c r="DT44" i="28"/>
  <c r="DS49" i="28"/>
  <c r="DU38" i="28"/>
  <c r="DS68" i="28"/>
  <c r="DT38" i="28"/>
  <c r="DS9" i="28"/>
  <c r="DT50" i="28"/>
  <c r="DS82" i="28"/>
  <c r="DS17" i="28"/>
  <c r="DS87" i="28"/>
  <c r="DS115" i="28"/>
  <c r="DR39" i="28"/>
  <c r="DT82" i="28"/>
  <c r="BF67" i="29"/>
  <c r="BK67" i="29"/>
  <c r="BH101" i="29"/>
  <c r="BM101" i="29"/>
  <c r="BH93" i="29"/>
  <c r="BM93" i="29"/>
  <c r="BF77" i="29"/>
  <c r="BK77" i="29"/>
  <c r="BJ101" i="29"/>
  <c r="BO101" i="29"/>
  <c r="BF70" i="29"/>
  <c r="BK70" i="29"/>
  <c r="BG65" i="29"/>
  <c r="H20" i="29" s="1"/>
  <c r="BL65" i="29"/>
  <c r="BJ9" i="29"/>
  <c r="BO9" i="29"/>
  <c r="BH36" i="29"/>
  <c r="BM36" i="29"/>
  <c r="BJ97" i="29"/>
  <c r="BO97" i="29"/>
  <c r="BJ75" i="29"/>
  <c r="K21" i="29" s="1"/>
  <c r="BO75" i="29"/>
  <c r="BJ13" i="29"/>
  <c r="BO13" i="29"/>
  <c r="BJ83" i="29"/>
  <c r="BO83" i="29"/>
  <c r="BG45" i="29"/>
  <c r="BL45" i="29"/>
  <c r="BF86" i="29"/>
  <c r="BK86" i="29"/>
  <c r="BI7" i="29"/>
  <c r="BN7" i="29"/>
  <c r="DT69" i="28"/>
  <c r="BH92" i="29"/>
  <c r="BM92" i="29"/>
  <c r="BI33" i="29"/>
  <c r="BN33" i="29"/>
  <c r="BH44" i="29"/>
  <c r="BM44" i="29"/>
  <c r="BJ89" i="29"/>
  <c r="BO89" i="29"/>
  <c r="BJ8" i="29"/>
  <c r="BO8" i="29"/>
  <c r="BH83" i="29"/>
  <c r="BM83" i="29"/>
  <c r="BF33" i="29"/>
  <c r="BK33" i="29"/>
  <c r="BH45" i="29"/>
  <c r="BM45" i="29"/>
  <c r="BH81" i="29"/>
  <c r="BM81" i="29"/>
  <c r="BJ100" i="29"/>
  <c r="BO100" i="29"/>
  <c r="DT52" i="28"/>
  <c r="BH71" i="29"/>
  <c r="BM71" i="29"/>
  <c r="BO33" i="29"/>
  <c r="BJ33" i="29"/>
  <c r="DR58" i="28"/>
  <c r="DU46" i="28"/>
  <c r="BF79" i="29"/>
  <c r="BK79" i="29"/>
  <c r="BI25" i="29"/>
  <c r="BN25" i="29"/>
  <c r="BF28" i="29"/>
  <c r="BK28" i="29"/>
  <c r="BF112" i="29"/>
  <c r="BK112" i="29"/>
  <c r="DR46" i="28"/>
  <c r="DR115" i="28"/>
  <c r="DU66" i="28"/>
  <c r="BG21" i="29"/>
  <c r="BL21" i="29"/>
  <c r="BF20" i="29"/>
  <c r="BK20" i="29"/>
  <c r="DU108" i="28"/>
  <c r="DR64" i="28"/>
  <c r="DS103" i="28"/>
  <c r="BH30" i="29"/>
  <c r="BM30" i="29"/>
  <c r="DT60" i="28"/>
  <c r="DU61" i="28"/>
  <c r="BF37" i="29"/>
  <c r="BK37" i="29"/>
  <c r="BH31" i="29"/>
  <c r="BM31" i="29"/>
  <c r="DT71" i="28"/>
  <c r="DU22" i="28"/>
  <c r="DT100" i="28"/>
  <c r="BH9" i="29"/>
  <c r="BM9" i="29"/>
  <c r="BF106" i="29"/>
  <c r="BK106" i="29"/>
  <c r="BH85" i="29"/>
  <c r="I22" i="29" s="1"/>
  <c r="BM85" i="29"/>
  <c r="BI102" i="29"/>
  <c r="BN102" i="29"/>
  <c r="BJ62" i="29"/>
  <c r="BO62" i="29"/>
  <c r="BG57" i="29"/>
  <c r="BL57" i="29"/>
  <c r="BH108" i="29"/>
  <c r="BM108" i="29"/>
  <c r="DU68" i="28"/>
  <c r="BF111" i="29"/>
  <c r="BK111" i="29"/>
  <c r="DT92" i="28"/>
  <c r="BG43" i="29"/>
  <c r="BL43" i="29"/>
  <c r="DT103" i="28"/>
  <c r="BH102" i="29"/>
  <c r="BM102" i="29"/>
  <c r="BG114" i="29"/>
  <c r="BL114" i="29"/>
  <c r="DT84" i="28"/>
  <c r="DR86" i="28"/>
  <c r="BI44" i="29"/>
  <c r="BN44" i="29"/>
  <c r="BF35" i="29"/>
  <c r="BK35" i="29"/>
  <c r="BJ6" i="29"/>
  <c r="BO6" i="29"/>
  <c r="BH87" i="29"/>
  <c r="BM87" i="29"/>
  <c r="DT49" i="28"/>
  <c r="BF39" i="29"/>
  <c r="BK39" i="29"/>
  <c r="BJ96" i="29"/>
  <c r="BO96" i="29"/>
  <c r="BI61" i="29"/>
  <c r="BN61" i="29"/>
  <c r="BJ87" i="29"/>
  <c r="BO87" i="29"/>
  <c r="BI114" i="29"/>
  <c r="BN114" i="29"/>
  <c r="DU71" i="28"/>
  <c r="DS75" i="28"/>
  <c r="BF7" i="29"/>
  <c r="BK7" i="29"/>
  <c r="BF32" i="29"/>
  <c r="BK32" i="29"/>
  <c r="DR29" i="28"/>
  <c r="BF78" i="29"/>
  <c r="BK78" i="29"/>
  <c r="DS58" i="28"/>
  <c r="BI91" i="29"/>
  <c r="BN91" i="29"/>
  <c r="BI109" i="29"/>
  <c r="BN109" i="29"/>
  <c r="DS24" i="28"/>
  <c r="BH38" i="29"/>
  <c r="BM38" i="29"/>
  <c r="BJ37" i="29"/>
  <c r="BO37" i="29"/>
  <c r="DR37" i="28"/>
  <c r="BF109" i="29"/>
  <c r="BK109" i="29"/>
  <c r="BH23" i="29"/>
  <c r="BM23" i="29"/>
  <c r="BG16" i="29"/>
  <c r="BL16" i="29"/>
  <c r="BI66" i="29"/>
  <c r="BN66" i="29"/>
  <c r="DS116" i="28"/>
  <c r="BH27" i="29"/>
  <c r="BM27" i="29"/>
  <c r="BJ56" i="29"/>
  <c r="BO56" i="29"/>
  <c r="BF42" i="29"/>
  <c r="BK42" i="29"/>
  <c r="BJ74" i="29"/>
  <c r="BO74" i="29"/>
  <c r="BJ72" i="29"/>
  <c r="BO72" i="29"/>
  <c r="BH67" i="29"/>
  <c r="BM67" i="29"/>
  <c r="BI106" i="29"/>
  <c r="BN106" i="29"/>
  <c r="BJ22" i="29"/>
  <c r="BO22" i="29"/>
  <c r="BI81" i="29"/>
  <c r="BN81" i="29"/>
  <c r="BI17" i="29"/>
  <c r="BN17" i="29"/>
  <c r="DT31" i="28"/>
  <c r="BF57" i="29"/>
  <c r="BK57" i="29"/>
  <c r="BF96" i="29"/>
  <c r="BK96" i="29"/>
  <c r="BG12" i="29"/>
  <c r="BL12" i="29"/>
  <c r="BH53" i="29"/>
  <c r="BM53" i="29"/>
  <c r="BF71" i="29"/>
  <c r="BK71" i="29"/>
  <c r="BI95" i="29"/>
  <c r="J23" i="29" s="1"/>
  <c r="BN95" i="29"/>
  <c r="BF6" i="29"/>
  <c r="BK6" i="29"/>
  <c r="BI37" i="29"/>
  <c r="BN37" i="29"/>
  <c r="BJ65" i="29"/>
  <c r="K20" i="29" s="1"/>
  <c r="BO65" i="29"/>
  <c r="DT42" i="28"/>
  <c r="BJ44" i="29"/>
  <c r="BO44" i="29"/>
  <c r="BJ109" i="29"/>
  <c r="BO109" i="29"/>
  <c r="DT40" i="28"/>
  <c r="BF11" i="29"/>
  <c r="BK11" i="29"/>
  <c r="BH115" i="29"/>
  <c r="I25" i="29" s="1"/>
  <c r="BM115" i="29"/>
  <c r="DS101" i="28"/>
  <c r="DR23" i="28"/>
  <c r="BJ42" i="29"/>
  <c r="BO42" i="29"/>
  <c r="BF34" i="29"/>
  <c r="BK34" i="29"/>
  <c r="BH63" i="29"/>
  <c r="BM63" i="29"/>
  <c r="BJ16" i="29"/>
  <c r="BO16" i="29"/>
  <c r="BH59" i="29"/>
  <c r="BM59" i="29"/>
  <c r="BI86" i="29"/>
  <c r="BN86" i="29"/>
  <c r="BF101" i="29"/>
  <c r="BK101" i="29"/>
  <c r="DS32" i="28"/>
  <c r="BJ59" i="29"/>
  <c r="BO59" i="29"/>
  <c r="BJ95" i="29"/>
  <c r="K23" i="29" s="1"/>
  <c r="BO95" i="29"/>
  <c r="BH55" i="29"/>
  <c r="BM55" i="29"/>
  <c r="DS11" i="28"/>
  <c r="BF36" i="29"/>
  <c r="BK36" i="29"/>
  <c r="DU64" i="28"/>
  <c r="BJ77" i="29"/>
  <c r="BO77" i="29"/>
  <c r="BH95" i="29"/>
  <c r="I23" i="29" s="1"/>
  <c r="BM95" i="29"/>
  <c r="BG32" i="29"/>
  <c r="BL32" i="29"/>
  <c r="BH72" i="29"/>
  <c r="BM72" i="29"/>
  <c r="DR71" i="28"/>
  <c r="DT114" i="28"/>
  <c r="DU98" i="28"/>
  <c r="DT63" i="28"/>
  <c r="BI92" i="29"/>
  <c r="BN92" i="29"/>
  <c r="DT116" i="28"/>
  <c r="BI6" i="29"/>
  <c r="BN6" i="29"/>
  <c r="DS114" i="28"/>
  <c r="BJ112" i="29"/>
  <c r="BO112" i="29"/>
  <c r="BN93" i="29"/>
  <c r="BI93" i="29"/>
  <c r="DT93" i="28"/>
  <c r="DR66" i="28"/>
  <c r="BH64" i="29"/>
  <c r="BM64" i="29"/>
  <c r="DU39" i="28"/>
  <c r="BI100" i="29"/>
  <c r="BN100" i="29"/>
  <c r="DR50" i="28"/>
  <c r="BG105" i="29"/>
  <c r="H24" i="29" s="1"/>
  <c r="BL105" i="29"/>
  <c r="DS25" i="28"/>
  <c r="BF24" i="29"/>
  <c r="BK24" i="29"/>
  <c r="BJ85" i="29"/>
  <c r="K22" i="29" s="1"/>
  <c r="BO85" i="29"/>
  <c r="DT68" i="28"/>
  <c r="BJ79" i="29"/>
  <c r="BO79" i="29"/>
  <c r="BI12" i="29"/>
  <c r="BN12" i="29"/>
  <c r="BH25" i="29"/>
  <c r="BM25" i="29"/>
  <c r="BG46" i="29"/>
  <c r="BL46" i="29"/>
  <c r="BG54" i="29"/>
  <c r="BL54" i="29"/>
  <c r="BJ31" i="29"/>
  <c r="BO31" i="29"/>
  <c r="DS69" i="28"/>
  <c r="BH28" i="29"/>
  <c r="BM28" i="29"/>
  <c r="BJ78" i="29"/>
  <c r="BO78" i="29"/>
  <c r="BH65" i="29"/>
  <c r="I20" i="29" s="1"/>
  <c r="BM65" i="29"/>
  <c r="BJ104" i="29"/>
  <c r="BO104" i="29"/>
  <c r="BH24" i="29"/>
  <c r="BM24" i="29"/>
  <c r="BH111" i="29"/>
  <c r="BM111" i="29"/>
  <c r="BG76" i="29"/>
  <c r="BL76" i="29"/>
  <c r="DR14" i="28"/>
  <c r="BF59" i="29"/>
  <c r="BK59" i="29"/>
  <c r="BM42" i="29"/>
  <c r="BH42" i="29"/>
  <c r="BF74" i="29"/>
  <c r="BK74" i="29"/>
  <c r="DT97" i="28"/>
  <c r="BF114" i="29"/>
  <c r="BK114" i="29"/>
  <c r="BJ54" i="29"/>
  <c r="BO54" i="29"/>
  <c r="BF8" i="29"/>
  <c r="BK8" i="29"/>
  <c r="BJ51" i="29"/>
  <c r="BO51" i="29"/>
  <c r="BG33" i="29"/>
  <c r="BL33" i="29"/>
  <c r="BJ39" i="29"/>
  <c r="BO39" i="29"/>
  <c r="BH35" i="29"/>
  <c r="BM35" i="29"/>
  <c r="DS16" i="28"/>
  <c r="BF84" i="29"/>
  <c r="BK84" i="29"/>
  <c r="BI99" i="29"/>
  <c r="BN99" i="29"/>
  <c r="BG108" i="29"/>
  <c r="BL108" i="29"/>
  <c r="BJ41" i="29"/>
  <c r="BO41" i="29"/>
  <c r="BJ23" i="29"/>
  <c r="BO23" i="29"/>
  <c r="BF17" i="29"/>
  <c r="BK17" i="29"/>
  <c r="BF90" i="29"/>
  <c r="BK90" i="29"/>
  <c r="BH99" i="29"/>
  <c r="BM99" i="29"/>
  <c r="DU44" i="28"/>
  <c r="DS65" i="28"/>
  <c r="DS61" i="28"/>
  <c r="DU51" i="28"/>
  <c r="DT88" i="28"/>
  <c r="DT85" i="28"/>
  <c r="DR75" i="28"/>
  <c r="BF30" i="29"/>
  <c r="BK30" i="29"/>
  <c r="BG41" i="29"/>
  <c r="BL41" i="29"/>
  <c r="DU97" i="28"/>
  <c r="BF64" i="29"/>
  <c r="BK64" i="29"/>
  <c r="DS88" i="28"/>
  <c r="BF27" i="29"/>
  <c r="BK27" i="29"/>
  <c r="BG102" i="29"/>
  <c r="BL102" i="29"/>
  <c r="DU59" i="28"/>
  <c r="DS77" i="28"/>
  <c r="BJ40" i="29"/>
  <c r="BO40" i="29"/>
  <c r="BF66" i="29"/>
  <c r="BK66" i="29"/>
  <c r="BJ58" i="29"/>
  <c r="BO58" i="29"/>
  <c r="BI74" i="29"/>
  <c r="BN74" i="29"/>
  <c r="BJ32" i="29"/>
  <c r="BO32" i="29"/>
  <c r="BG30" i="29"/>
  <c r="BL30" i="29"/>
  <c r="DU93" i="28"/>
  <c r="DU79" i="28"/>
  <c r="BJ11" i="29"/>
  <c r="BO11" i="29"/>
  <c r="DS97" i="28"/>
  <c r="DS74" i="28"/>
  <c r="BJ115" i="29"/>
  <c r="K25" i="29" s="1"/>
  <c r="BO115" i="29"/>
  <c r="BJ71" i="29"/>
  <c r="BO71" i="29"/>
  <c r="DS106" i="28"/>
  <c r="BI36" i="29"/>
  <c r="BN36" i="29"/>
  <c r="DT8" i="28"/>
  <c r="BJ45" i="29"/>
  <c r="BO45" i="29"/>
  <c r="BH112" i="29"/>
  <c r="BM112" i="29"/>
  <c r="BF55" i="29"/>
  <c r="BK55" i="29"/>
  <c r="DT95" i="28"/>
  <c r="BG19" i="29"/>
  <c r="BL19" i="29"/>
  <c r="BJ102" i="29"/>
  <c r="BO102" i="29"/>
  <c r="BH20" i="29"/>
  <c r="BM20" i="29"/>
  <c r="BH16" i="29"/>
  <c r="BM16" i="29"/>
  <c r="DT17" i="28"/>
  <c r="DS66" i="28"/>
  <c r="DT102" i="28"/>
  <c r="BF48" i="29"/>
  <c r="BK48" i="29"/>
  <c r="DR107" i="28"/>
  <c r="BF52" i="29"/>
  <c r="BK52" i="29"/>
  <c r="BG51" i="29"/>
  <c r="BL51" i="29"/>
  <c r="BI48" i="29"/>
  <c r="BN48" i="29"/>
  <c r="DU87" i="28"/>
  <c r="BJ84" i="29"/>
  <c r="BO84" i="29"/>
  <c r="BF88" i="29"/>
  <c r="BK88" i="29"/>
  <c r="DU81" i="28"/>
  <c r="DT14" i="28"/>
  <c r="BF92" i="29"/>
  <c r="BK92" i="29"/>
  <c r="BH37" i="29"/>
  <c r="BM37" i="29"/>
  <c r="BJ46" i="29"/>
  <c r="BO46" i="29"/>
  <c r="BJ35" i="29"/>
  <c r="BO35" i="29"/>
  <c r="BI21" i="29"/>
  <c r="BN21" i="29"/>
  <c r="BF98" i="29"/>
  <c r="BK98" i="29"/>
  <c r="BJ27" i="29"/>
  <c r="BO27" i="29"/>
  <c r="BJ111" i="29"/>
  <c r="BO111" i="29"/>
  <c r="BH40" i="29"/>
  <c r="BM40" i="29"/>
  <c r="BH109" i="29"/>
  <c r="BM109" i="29"/>
  <c r="BH107" i="29"/>
  <c r="BM107" i="29"/>
  <c r="BJ73" i="29"/>
  <c r="BO73" i="29"/>
  <c r="BJ47" i="29"/>
  <c r="BO47" i="29"/>
  <c r="BJ26" i="29"/>
  <c r="BO26" i="29"/>
  <c r="BH110" i="29"/>
  <c r="BM110" i="29"/>
  <c r="BI9" i="29"/>
  <c r="BN9" i="29"/>
  <c r="BN20" i="29"/>
  <c r="BI20" i="29"/>
  <c r="BI83" i="29"/>
  <c r="BN83" i="29"/>
  <c r="BG92" i="29"/>
  <c r="BL92" i="29"/>
  <c r="BF110" i="29"/>
  <c r="BK110" i="29"/>
  <c r="BJ70" i="29"/>
  <c r="BO70" i="29"/>
  <c r="BI111" i="29"/>
  <c r="BN111" i="29"/>
  <c r="BH14" i="29"/>
  <c r="BM14" i="29"/>
  <c r="BH69" i="29"/>
  <c r="BM69" i="29"/>
  <c r="BG13" i="29"/>
  <c r="BL13" i="29"/>
  <c r="BJ98" i="29"/>
  <c r="BO98" i="29"/>
  <c r="BG25" i="29"/>
  <c r="BL25" i="29"/>
  <c r="BF25" i="29"/>
  <c r="BK25" i="29"/>
  <c r="BJ15" i="29"/>
  <c r="BO15" i="29"/>
  <c r="BF75" i="29"/>
  <c r="G21" i="29" s="1"/>
  <c r="BK75" i="29"/>
  <c r="BJ49" i="29"/>
  <c r="BO49" i="29"/>
  <c r="BF83" i="29"/>
  <c r="BK83" i="29"/>
  <c r="BI108" i="29"/>
  <c r="BN108" i="29"/>
  <c r="BH88" i="29"/>
  <c r="BM88" i="29"/>
  <c r="BG11" i="29"/>
  <c r="BL11" i="29"/>
  <c r="BH86" i="29"/>
  <c r="BM86" i="29"/>
  <c r="BF38" i="29"/>
  <c r="BK38" i="29"/>
  <c r="BF62" i="29"/>
  <c r="BK62" i="29"/>
  <c r="DR104" i="28"/>
  <c r="BJ57" i="29"/>
  <c r="BO57" i="29"/>
  <c r="BH75" i="29"/>
  <c r="I21" i="29" s="1"/>
  <c r="BM75" i="29"/>
  <c r="DU42" i="28"/>
  <c r="DU60" i="28"/>
  <c r="BH48" i="29"/>
  <c r="BM48" i="29"/>
  <c r="DT76" i="28"/>
  <c r="BF91" i="29"/>
  <c r="BK91" i="29"/>
  <c r="DS52" i="28"/>
  <c r="BH47" i="29"/>
  <c r="BM47" i="29"/>
  <c r="BF53" i="29"/>
  <c r="BK53" i="29"/>
  <c r="BH104" i="29"/>
  <c r="BM104" i="29"/>
  <c r="BH74" i="29"/>
  <c r="BM74" i="29"/>
  <c r="BI65" i="29"/>
  <c r="J20" i="29" s="1"/>
  <c r="BN65" i="29"/>
  <c r="BF54" i="29"/>
  <c r="BK54" i="29"/>
  <c r="BF43" i="29"/>
  <c r="BK43" i="29"/>
  <c r="BH97" i="29"/>
  <c r="BM97" i="29"/>
  <c r="BH41" i="29"/>
  <c r="BM41" i="29"/>
  <c r="DU73" i="28"/>
  <c r="BF61" i="29"/>
  <c r="BK61" i="29"/>
  <c r="DU62" i="28"/>
  <c r="BF104" i="29"/>
  <c r="BK104" i="29"/>
  <c r="BI75" i="29"/>
  <c r="J21" i="29" s="1"/>
  <c r="BN75" i="29"/>
  <c r="BF113" i="29"/>
  <c r="BK113" i="29"/>
  <c r="DR114" i="28"/>
  <c r="DS84" i="28"/>
  <c r="DS8" i="28"/>
  <c r="BH39" i="29"/>
  <c r="BM39" i="29"/>
  <c r="BH21" i="29"/>
  <c r="BM21" i="29"/>
  <c r="DU104" i="28"/>
  <c r="BI107" i="29"/>
  <c r="BN107" i="29"/>
  <c r="BH105" i="29"/>
  <c r="I24" i="29" s="1"/>
  <c r="BM105" i="29"/>
  <c r="BG36" i="29"/>
  <c r="BL36" i="29"/>
  <c r="BJ50" i="29"/>
  <c r="BO50" i="29"/>
  <c r="DT20" i="28"/>
  <c r="BJ68" i="29"/>
  <c r="BO68" i="29"/>
  <c r="DR53" i="28"/>
  <c r="BH80" i="29"/>
  <c r="BM80" i="29"/>
  <c r="BG68" i="29"/>
  <c r="BL68" i="29"/>
  <c r="BF60" i="29"/>
  <c r="BK60" i="29"/>
  <c r="BJ48" i="29"/>
  <c r="BO48" i="29"/>
  <c r="BJ17" i="29"/>
  <c r="BO17" i="29"/>
  <c r="BF69" i="29"/>
  <c r="BK69" i="29"/>
  <c r="BF12" i="29"/>
  <c r="BK12" i="29"/>
  <c r="DS42" i="28"/>
  <c r="BF29" i="29"/>
  <c r="BK29" i="29"/>
  <c r="BJ25" i="29"/>
  <c r="BO25" i="29"/>
  <c r="BJ99" i="29"/>
  <c r="BO99" i="29"/>
  <c r="BF93" i="29"/>
  <c r="BK93" i="29"/>
  <c r="DS62" i="28"/>
  <c r="BI49" i="29"/>
  <c r="BN49" i="29"/>
  <c r="DR72" i="28"/>
  <c r="BH43" i="29"/>
  <c r="BM43" i="29"/>
  <c r="BI53" i="29"/>
  <c r="BN53" i="29"/>
  <c r="BF102" i="29"/>
  <c r="BK102" i="29"/>
  <c r="BH15" i="29"/>
  <c r="BM15" i="29"/>
  <c r="BJ107" i="29"/>
  <c r="BO107" i="29"/>
  <c r="BJ105" i="29"/>
  <c r="K24" i="29" s="1"/>
  <c r="BO105" i="29"/>
  <c r="BJ108" i="29"/>
  <c r="BO108" i="29"/>
  <c r="BF15" i="29"/>
  <c r="BK15" i="29"/>
  <c r="BJ81" i="29"/>
  <c r="BO81" i="29"/>
  <c r="DU17" i="28"/>
  <c r="BF95" i="29"/>
  <c r="G23" i="29" s="1"/>
  <c r="BK95" i="29"/>
  <c r="BF89" i="29"/>
  <c r="BK89" i="29"/>
  <c r="BH13" i="29"/>
  <c r="BM13" i="29"/>
  <c r="BI57" i="29"/>
  <c r="BN57" i="29"/>
  <c r="BI32" i="29"/>
  <c r="BN32" i="29"/>
  <c r="BJ90" i="29"/>
  <c r="BO90" i="29"/>
  <c r="BJ80" i="29"/>
  <c r="BO80" i="29"/>
  <c r="BG53" i="29"/>
  <c r="BL53" i="29"/>
  <c r="BH12" i="29"/>
  <c r="BM12" i="29"/>
  <c r="BF50" i="29"/>
  <c r="BK50" i="29"/>
  <c r="BF41" i="29"/>
  <c r="BK41" i="29"/>
  <c r="BH50" i="29"/>
  <c r="BM50" i="29"/>
  <c r="BH8" i="29"/>
  <c r="BM8" i="29"/>
  <c r="DS55" i="28"/>
  <c r="DS76" i="28"/>
  <c r="BF13" i="29"/>
  <c r="BK13" i="29"/>
  <c r="BF23" i="29"/>
  <c r="BK23" i="29"/>
  <c r="BJ19" i="29"/>
  <c r="BO19" i="29"/>
  <c r="BJ60" i="29"/>
  <c r="BO60" i="29"/>
  <c r="BG100" i="29"/>
  <c r="BL100" i="29"/>
  <c r="BH66" i="29"/>
  <c r="BM66" i="29"/>
  <c r="DT77" i="28"/>
  <c r="BH33" i="29"/>
  <c r="BM33" i="29"/>
  <c r="BH103" i="29"/>
  <c r="BM103" i="29"/>
  <c r="BH7" i="29"/>
  <c r="BM7" i="29"/>
  <c r="BG6" i="29"/>
  <c r="BL6" i="29"/>
  <c r="BH82" i="29"/>
  <c r="BM82" i="29"/>
  <c r="BF73" i="29"/>
  <c r="BK73" i="29"/>
  <c r="BH6" i="29"/>
  <c r="BM6" i="29"/>
  <c r="BI84" i="29"/>
  <c r="BN84" i="29"/>
  <c r="BG89" i="29"/>
  <c r="BL89" i="29"/>
  <c r="BI16" i="29"/>
  <c r="BN16" i="29"/>
  <c r="DT109" i="28"/>
  <c r="BJ63" i="29"/>
  <c r="BO63" i="29"/>
  <c r="DU52" i="28"/>
  <c r="BG52" i="29"/>
  <c r="BL52" i="29"/>
  <c r="BJ14" i="29"/>
  <c r="BO14" i="29"/>
  <c r="BH49" i="29"/>
  <c r="BM49" i="29"/>
  <c r="BH94" i="29"/>
  <c r="BM94" i="29"/>
  <c r="BJ18" i="29"/>
  <c r="BO18" i="29"/>
  <c r="BH26" i="29"/>
  <c r="BM26" i="29"/>
  <c r="BJ82" i="29"/>
  <c r="BO82" i="29"/>
  <c r="BJ52" i="29"/>
  <c r="BO52" i="29"/>
  <c r="BH100" i="29"/>
  <c r="BM100" i="29"/>
  <c r="BJ7" i="29"/>
  <c r="BO7" i="29"/>
  <c r="BG81" i="29"/>
  <c r="BL81" i="29"/>
  <c r="BH60" i="29"/>
  <c r="BM60" i="29"/>
  <c r="BF21" i="29"/>
  <c r="BK21" i="29"/>
  <c r="BH106" i="29"/>
  <c r="BM106" i="29"/>
  <c r="BH70" i="29"/>
  <c r="BM70" i="29"/>
  <c r="BJ24" i="29"/>
  <c r="BO24" i="29"/>
  <c r="BF19" i="29"/>
  <c r="BK19" i="29"/>
  <c r="BI70" i="29"/>
  <c r="BN70" i="29"/>
  <c r="BH84" i="29"/>
  <c r="BM84" i="29"/>
  <c r="BI41" i="29"/>
  <c r="BN41" i="29"/>
  <c r="BH17" i="29"/>
  <c r="BM17" i="29"/>
  <c r="BH57" i="29"/>
  <c r="BM57" i="29"/>
  <c r="BG82" i="29"/>
  <c r="BL82" i="29"/>
  <c r="BH11" i="29"/>
  <c r="BM11" i="29"/>
  <c r="DS14" i="28"/>
  <c r="BH68" i="29"/>
  <c r="BM68" i="29"/>
  <c r="DS48" i="28"/>
  <c r="DS10" i="28"/>
  <c r="BJ76" i="29"/>
  <c r="BO76" i="29"/>
  <c r="BG74" i="29"/>
  <c r="BL74" i="29"/>
  <c r="BF105" i="29"/>
  <c r="G24" i="29" s="1"/>
  <c r="BK105" i="29"/>
  <c r="BF44" i="29"/>
  <c r="BK44" i="29"/>
  <c r="DU32" i="28"/>
  <c r="BG66" i="29"/>
  <c r="BL66" i="29"/>
  <c r="BH89" i="29"/>
  <c r="BM89" i="29"/>
  <c r="DS83" i="28"/>
  <c r="BH113" i="29"/>
  <c r="BM113" i="29"/>
  <c r="DR102" i="28"/>
  <c r="BF26" i="29"/>
  <c r="BK26" i="29"/>
  <c r="DS35" i="28"/>
  <c r="BI77" i="29"/>
  <c r="BN77" i="29"/>
  <c r="BJ21" i="29"/>
  <c r="BO21" i="29"/>
  <c r="BG8" i="29"/>
  <c r="BL8" i="29"/>
  <c r="BI76" i="29"/>
  <c r="BN76" i="29"/>
  <c r="BI85" i="29"/>
  <c r="J22" i="29" s="1"/>
  <c r="BN85" i="29"/>
  <c r="DT86" i="28"/>
  <c r="DR91" i="28"/>
  <c r="DU65" i="28"/>
  <c r="BJ94" i="29"/>
  <c r="BO94" i="29"/>
  <c r="DR54" i="28"/>
  <c r="DU16" i="28"/>
  <c r="BF45" i="29"/>
  <c r="BK45" i="29"/>
  <c r="BJ93" i="29"/>
  <c r="BO93" i="29"/>
  <c r="DS95" i="28"/>
  <c r="BG29" i="29"/>
  <c r="BL29" i="29"/>
  <c r="DU33" i="28"/>
  <c r="BJ10" i="29"/>
  <c r="BO10" i="29"/>
  <c r="BJ38" i="29"/>
  <c r="BO38" i="29"/>
  <c r="BI115" i="29"/>
  <c r="J25" i="29" s="1"/>
  <c r="BN115" i="29"/>
  <c r="BG59" i="29"/>
  <c r="BL59" i="29"/>
  <c r="BF40" i="29"/>
  <c r="BK40" i="29"/>
  <c r="DU20" i="28"/>
  <c r="BH18" i="29"/>
  <c r="BM18" i="29"/>
  <c r="BF107" i="29"/>
  <c r="BK107" i="29"/>
  <c r="BJ28" i="29"/>
  <c r="BO28" i="29"/>
  <c r="DU84" i="28"/>
  <c r="DU95" i="28"/>
  <c r="BF31" i="29"/>
  <c r="BK31" i="29"/>
  <c r="DS92" i="28"/>
  <c r="BG17" i="29"/>
  <c r="BL17" i="29"/>
  <c r="BJ91" i="29"/>
  <c r="BO91" i="29"/>
  <c r="BH52" i="29"/>
  <c r="BM52" i="29"/>
  <c r="BJ113" i="29"/>
  <c r="BO113" i="29"/>
  <c r="BJ92" i="29"/>
  <c r="BO92" i="29"/>
  <c r="BF18" i="29"/>
  <c r="BK18" i="29"/>
  <c r="BJ29" i="29"/>
  <c r="BO29" i="29"/>
  <c r="BF56" i="29"/>
  <c r="BK56" i="29"/>
  <c r="BJ34" i="29"/>
  <c r="BO34" i="29"/>
  <c r="DR83" i="28"/>
  <c r="DR20" i="28"/>
  <c r="BF58" i="29"/>
  <c r="BK58" i="29"/>
  <c r="BF9" i="29"/>
  <c r="BK9" i="29"/>
  <c r="DT16" i="28"/>
  <c r="BF14" i="29"/>
  <c r="BK14" i="29"/>
  <c r="BG9" i="29"/>
  <c r="BL9" i="29"/>
  <c r="BF47" i="29"/>
  <c r="BK47" i="29"/>
  <c r="DS72" i="28"/>
  <c r="BH61" i="29"/>
  <c r="BM61" i="29"/>
  <c r="DS60" i="28"/>
  <c r="BH76" i="29"/>
  <c r="BM76" i="29"/>
  <c r="DT72" i="28"/>
  <c r="BF49" i="29"/>
  <c r="BK49" i="29"/>
  <c r="DS86" i="28"/>
  <c r="BH62" i="29"/>
  <c r="BM62" i="29"/>
  <c r="DT43" i="28"/>
  <c r="BH51" i="29"/>
  <c r="BM51" i="29"/>
  <c r="DT32" i="28"/>
  <c r="BH34" i="29"/>
  <c r="BM34" i="29"/>
  <c r="BG37" i="29"/>
  <c r="BL37" i="29"/>
  <c r="BJ61" i="29"/>
  <c r="BO61" i="29"/>
  <c r="BH79" i="29"/>
  <c r="BM79" i="29"/>
  <c r="DS59" i="28"/>
  <c r="DR84" i="28"/>
  <c r="BH77" i="29"/>
  <c r="BM77" i="29"/>
  <c r="BG14" i="29"/>
  <c r="BL14" i="29"/>
  <c r="BH19" i="29"/>
  <c r="BM19" i="29"/>
  <c r="BG78" i="29"/>
  <c r="BL78" i="29"/>
  <c r="BJ114" i="29"/>
  <c r="BO114" i="29"/>
  <c r="DT48" i="28"/>
  <c r="BG94" i="29"/>
  <c r="BL94" i="29"/>
  <c r="BF115" i="29"/>
  <c r="G25" i="29" s="1"/>
  <c r="BK115" i="29"/>
  <c r="BF46" i="29"/>
  <c r="BK46" i="29"/>
  <c r="DS31" i="28"/>
  <c r="DR76" i="28"/>
  <c r="BJ36" i="29"/>
  <c r="BO36" i="29"/>
  <c r="BF94" i="29"/>
  <c r="BK94" i="29"/>
  <c r="BJ30" i="29"/>
  <c r="BO30" i="29"/>
  <c r="DS91" i="28"/>
  <c r="BJ110" i="29"/>
  <c r="BO110" i="29"/>
  <c r="BF81" i="29"/>
  <c r="BK81" i="29"/>
  <c r="BJ86" i="29"/>
  <c r="BO86" i="29"/>
  <c r="DR33" i="28"/>
  <c r="DR18" i="28"/>
  <c r="DS67" i="28"/>
  <c r="BF51" i="29"/>
  <c r="BK51" i="29"/>
  <c r="BG98" i="29"/>
  <c r="BL98" i="29"/>
  <c r="DT79" i="28"/>
  <c r="DU23" i="28"/>
  <c r="BI68" i="29"/>
  <c r="BN68" i="29"/>
  <c r="DR10" i="28"/>
  <c r="BJ88" i="29"/>
  <c r="BO88" i="29"/>
  <c r="DT87" i="28"/>
  <c r="BG20" i="29"/>
  <c r="BL20" i="29"/>
  <c r="BF72" i="29"/>
  <c r="BK72" i="29"/>
  <c r="BH98" i="29"/>
  <c r="BM98" i="29"/>
  <c r="DU96" i="28"/>
  <c r="BJ67" i="29"/>
  <c r="BO67" i="29"/>
  <c r="BG49" i="29"/>
  <c r="BL49" i="29"/>
  <c r="BJ53" i="29"/>
  <c r="BO53" i="29"/>
  <c r="BG110" i="29"/>
  <c r="BL110" i="29"/>
  <c r="BH91" i="29"/>
  <c r="BM91" i="29"/>
  <c r="BF82" i="29"/>
  <c r="BK82" i="29"/>
  <c r="DR31" i="28"/>
  <c r="BG90" i="29"/>
  <c r="BL90" i="29"/>
  <c r="DR61" i="28"/>
  <c r="BG48" i="29"/>
  <c r="BL48" i="29"/>
  <c r="BH54" i="29"/>
  <c r="BM54" i="29"/>
  <c r="BI79" i="29"/>
  <c r="BN79" i="29"/>
  <c r="BI103" i="29"/>
  <c r="BN103" i="29"/>
  <c r="BF63" i="29"/>
  <c r="BK63" i="29"/>
  <c r="BH46" i="29"/>
  <c r="BM46" i="29"/>
  <c r="BG106" i="29"/>
  <c r="BL106" i="29"/>
  <c r="BI67" i="29"/>
  <c r="BN67" i="29"/>
  <c r="BH90" i="29"/>
  <c r="BM90" i="29"/>
  <c r="BI97" i="29"/>
  <c r="BN97" i="29"/>
  <c r="BH22" i="29"/>
  <c r="BM22" i="29"/>
  <c r="DS94" i="28"/>
  <c r="DR19" i="28"/>
  <c r="BF99" i="29"/>
  <c r="BK99" i="29"/>
  <c r="DU91" i="28"/>
  <c r="BF100" i="29"/>
  <c r="BK100" i="29"/>
  <c r="BG28" i="29"/>
  <c r="BL28" i="29"/>
  <c r="BI113" i="29"/>
  <c r="BN113" i="29"/>
  <c r="DS73" i="28"/>
  <c r="DU35" i="28"/>
  <c r="BF85" i="29"/>
  <c r="G22" i="29" s="1"/>
  <c r="BK85" i="29"/>
  <c r="BJ43" i="29"/>
  <c r="BO43" i="29"/>
  <c r="DR11" i="28"/>
  <c r="BI52" i="29"/>
  <c r="BN52" i="29"/>
  <c r="BG44" i="29"/>
  <c r="BL44" i="29"/>
  <c r="BG113" i="29"/>
  <c r="BL113" i="29"/>
  <c r="DS63" i="28"/>
  <c r="BH58" i="29"/>
  <c r="BM58" i="29"/>
  <c r="BJ64" i="29"/>
  <c r="BO64" i="29"/>
  <c r="BJ55" i="29"/>
  <c r="BO55" i="29"/>
  <c r="BJ106" i="29"/>
  <c r="BO106" i="29"/>
  <c r="BG62" i="29"/>
  <c r="BL62" i="29"/>
  <c r="DU63" i="28"/>
  <c r="DS33" i="28"/>
  <c r="BI69" i="29"/>
  <c r="BN69" i="29"/>
  <c r="BJ20" i="29"/>
  <c r="BO20" i="29"/>
  <c r="BI98" i="29"/>
  <c r="BN98" i="29"/>
  <c r="DS21" i="28"/>
  <c r="DU116" i="28"/>
  <c r="BH78" i="29"/>
  <c r="BM78" i="29"/>
  <c r="BH10" i="29"/>
  <c r="BM10" i="29"/>
  <c r="BJ66" i="29"/>
  <c r="BO66" i="29"/>
  <c r="BJ12" i="29"/>
  <c r="BO12" i="29"/>
  <c r="BH29" i="29"/>
  <c r="BM29" i="29"/>
  <c r="BI90" i="29"/>
  <c r="BN90" i="29"/>
  <c r="BF80" i="29"/>
  <c r="BK80" i="29"/>
  <c r="BI101" i="29"/>
  <c r="BN101" i="29"/>
  <c r="DS104" i="28"/>
  <c r="BH32" i="29"/>
  <c r="BM32" i="29"/>
  <c r="BI82" i="29"/>
  <c r="BN82" i="29"/>
  <c r="DU112" i="28"/>
  <c r="BG84" i="29"/>
  <c r="BL84" i="29"/>
  <c r="DU8" i="28"/>
  <c r="DU88" i="28"/>
  <c r="BF10" i="29"/>
  <c r="BK10" i="29"/>
  <c r="DR98" i="28"/>
  <c r="BH96" i="29"/>
  <c r="BM96" i="29"/>
  <c r="BF16" i="29"/>
  <c r="BK16" i="29"/>
  <c r="BF65" i="29"/>
  <c r="G20" i="29" s="1"/>
  <c r="BK65" i="29"/>
  <c r="DR100" i="28"/>
  <c r="BJ69" i="29"/>
  <c r="BO69" i="29"/>
  <c r="BH73" i="29"/>
  <c r="BM73" i="29"/>
  <c r="BF87" i="29"/>
  <c r="BK87" i="29"/>
  <c r="DU9" i="28"/>
  <c r="BJ103" i="29"/>
  <c r="BO103" i="29"/>
  <c r="DR34" i="28"/>
  <c r="BG27" i="29"/>
  <c r="BL27" i="29"/>
  <c r="DU90" i="28"/>
  <c r="DU80" i="28"/>
  <c r="BH56" i="29"/>
  <c r="BM56" i="29"/>
  <c r="DR22" i="28"/>
  <c r="BF22" i="29"/>
  <c r="BK22" i="29"/>
  <c r="DS40" i="28"/>
  <c r="BF108" i="29"/>
  <c r="BK108" i="29"/>
  <c r="BG35" i="29"/>
  <c r="BL35" i="29"/>
  <c r="DS100" i="28"/>
  <c r="BI28" i="29"/>
  <c r="BN28" i="29"/>
  <c r="DU69" i="28"/>
  <c r="DR51" i="28"/>
  <c r="DT98" i="28"/>
  <c r="DU55" i="28"/>
  <c r="BH114" i="29"/>
  <c r="BM114" i="29"/>
  <c r="BO295" i="27"/>
  <c r="BP295" i="27" s="1"/>
  <c r="BL296" i="27"/>
  <c r="BU9" i="23"/>
  <c r="BU8" i="23"/>
  <c r="BU25" i="23"/>
  <c r="BU61" i="23"/>
  <c r="BU7" i="23"/>
  <c r="BU53" i="23"/>
  <c r="BU52" i="23"/>
  <c r="BU63" i="23"/>
  <c r="BU26" i="23"/>
  <c r="BU27" i="23"/>
  <c r="BU35" i="23"/>
  <c r="BU36" i="23"/>
  <c r="BU45" i="23"/>
  <c r="BU16" i="23"/>
  <c r="BU18" i="23"/>
  <c r="BU43" i="23"/>
  <c r="BH206" i="3"/>
  <c r="BJ37" i="3"/>
  <c r="BJ180" i="3"/>
  <c r="BG47" i="3"/>
  <c r="BH314" i="3"/>
  <c r="BJ183" i="3"/>
  <c r="BH345" i="3"/>
  <c r="BJ13" i="3"/>
  <c r="BJ162" i="3"/>
  <c r="BH309" i="3"/>
  <c r="BH293" i="3"/>
  <c r="BH297" i="3"/>
  <c r="BI26" i="3"/>
  <c r="BI56" i="3"/>
  <c r="BJ126" i="3"/>
  <c r="BK290" i="3"/>
  <c r="BG263" i="3"/>
  <c r="BI306" i="3"/>
  <c r="BK39" i="3"/>
  <c r="BG321" i="3"/>
  <c r="BG359" i="3"/>
  <c r="BH279" i="3"/>
  <c r="BJ338" i="3"/>
  <c r="BK113" i="3"/>
  <c r="BI17" i="3"/>
  <c r="BG236" i="3"/>
  <c r="BK69" i="3"/>
  <c r="BJ238" i="3"/>
  <c r="BI5" i="3"/>
  <c r="BH224" i="3"/>
  <c r="BI355" i="3"/>
  <c r="BH184" i="3"/>
  <c r="BJ103" i="3"/>
  <c r="BH337" i="3"/>
  <c r="BH8" i="3"/>
  <c r="BI15" i="3"/>
  <c r="BI162" i="3"/>
  <c r="BH14" i="3"/>
  <c r="BH310" i="3"/>
  <c r="BI93" i="3"/>
  <c r="BJ217" i="3"/>
  <c r="BG49" i="3"/>
  <c r="BI89" i="3"/>
  <c r="BH258" i="3"/>
  <c r="BJ353" i="3"/>
  <c r="BJ95" i="3"/>
  <c r="BK336" i="3"/>
  <c r="BK107" i="3"/>
  <c r="BI341" i="3"/>
  <c r="BK61" i="3"/>
  <c r="BH210" i="3"/>
  <c r="BH155" i="3"/>
  <c r="BG274" i="3"/>
  <c r="BG111" i="3"/>
  <c r="BI238" i="3"/>
  <c r="BG62" i="3"/>
  <c r="BK103" i="3"/>
  <c r="BJ121" i="3"/>
  <c r="BI242" i="3"/>
  <c r="BG272" i="3"/>
  <c r="BJ295" i="3"/>
  <c r="BJ58" i="3"/>
  <c r="BI63" i="3"/>
  <c r="BG80" i="3"/>
  <c r="BK355" i="3"/>
  <c r="BK102" i="3"/>
  <c r="BK138" i="3"/>
  <c r="BI99" i="3"/>
  <c r="BH357" i="3"/>
  <c r="BK32" i="3"/>
  <c r="BI94" i="3"/>
  <c r="BH22" i="3"/>
  <c r="BH135" i="3"/>
  <c r="BH77" i="3"/>
  <c r="BG8" i="3"/>
  <c r="BG118" i="3"/>
  <c r="BH338" i="3"/>
  <c r="BG318" i="3"/>
  <c r="BJ26" i="3"/>
  <c r="BJ168" i="3"/>
  <c r="BI336" i="3"/>
  <c r="BK208" i="3"/>
  <c r="BK163" i="3"/>
  <c r="BG196" i="3"/>
  <c r="BH153" i="3"/>
  <c r="BJ294" i="3"/>
  <c r="BI29" i="3"/>
  <c r="BJ178" i="3"/>
  <c r="BH229" i="3"/>
  <c r="BK298" i="3"/>
  <c r="BG85" i="3"/>
  <c r="BJ49" i="3"/>
  <c r="BG191" i="3"/>
  <c r="BI169" i="3"/>
  <c r="BH321" i="3"/>
  <c r="BH260" i="3"/>
  <c r="BK100" i="3"/>
  <c r="BG278" i="3"/>
  <c r="BK233" i="3"/>
  <c r="BJ236" i="3"/>
  <c r="BG31" i="3"/>
  <c r="BI274" i="3"/>
  <c r="BG171" i="3"/>
  <c r="BH146" i="3"/>
  <c r="BH126" i="3"/>
  <c r="BK345" i="3"/>
  <c r="BG160" i="3"/>
  <c r="BH87" i="3"/>
  <c r="BG52" i="3"/>
  <c r="BK222" i="3"/>
  <c r="BK30" i="3"/>
  <c r="BH134" i="3"/>
  <c r="BH30" i="3"/>
  <c r="BG64" i="3"/>
  <c r="BJ169" i="3"/>
  <c r="BJ244" i="3"/>
  <c r="BJ38" i="3"/>
  <c r="BG233" i="3"/>
  <c r="BG20" i="3"/>
  <c r="BJ210" i="3"/>
  <c r="BH199" i="3"/>
  <c r="BK274" i="3"/>
  <c r="BH20" i="3"/>
  <c r="BK132" i="3"/>
  <c r="BH259" i="3"/>
  <c r="BK206" i="3"/>
  <c r="BK130" i="3"/>
  <c r="BH202" i="3"/>
  <c r="BI128" i="3"/>
  <c r="BG195" i="3"/>
  <c r="BG339" i="3"/>
  <c r="BH151" i="3"/>
  <c r="BG186" i="3"/>
  <c r="BH70" i="3"/>
  <c r="BJ249" i="3"/>
  <c r="BI7" i="3"/>
  <c r="BI192" i="3"/>
  <c r="BG252" i="3"/>
  <c r="BJ52" i="3"/>
  <c r="BH318" i="3"/>
  <c r="BI37" i="3"/>
  <c r="BK62" i="3"/>
  <c r="BI278" i="3"/>
  <c r="BI311" i="3"/>
  <c r="BK24" i="3"/>
  <c r="BI13" i="3"/>
  <c r="BG276" i="3"/>
  <c r="BH353" i="3"/>
  <c r="BJ108" i="3"/>
  <c r="BJ248" i="3"/>
  <c r="BK241" i="3"/>
  <c r="BJ207" i="3"/>
  <c r="BI357" i="3"/>
  <c r="BG287" i="3"/>
  <c r="BH215" i="3"/>
  <c r="BG363" i="3"/>
  <c r="BI8" i="3"/>
  <c r="BJ167" i="3"/>
  <c r="BK358" i="3"/>
  <c r="BJ197" i="3"/>
  <c r="BK344" i="3"/>
  <c r="BK46" i="3"/>
  <c r="BH264" i="3"/>
  <c r="BG97" i="3"/>
  <c r="BH117" i="3"/>
  <c r="BH216" i="3"/>
  <c r="BG319" i="3"/>
  <c r="BG299" i="3"/>
  <c r="BJ314" i="3"/>
  <c r="BJ348" i="3"/>
  <c r="BI196" i="3"/>
  <c r="BJ173" i="3"/>
  <c r="BI140" i="3"/>
  <c r="BH192" i="3"/>
  <c r="BH247" i="3"/>
  <c r="BJ213" i="3"/>
  <c r="BH256" i="3"/>
  <c r="BG289" i="3"/>
  <c r="BI31" i="3"/>
  <c r="BK149" i="3"/>
  <c r="BJ226" i="3"/>
  <c r="BJ347" i="3"/>
  <c r="BG268" i="3"/>
  <c r="BJ73" i="3"/>
  <c r="BH282" i="3"/>
  <c r="BI235" i="3"/>
  <c r="BK186" i="3"/>
  <c r="BH164" i="3"/>
  <c r="BJ240" i="3"/>
  <c r="BJ282" i="3"/>
  <c r="BH141" i="3"/>
  <c r="BK331" i="3"/>
  <c r="BJ269" i="3"/>
  <c r="BJ260" i="3"/>
  <c r="BH320" i="3"/>
  <c r="BH107" i="3"/>
  <c r="BJ174" i="3"/>
  <c r="BK145" i="3"/>
  <c r="BJ322" i="3"/>
  <c r="BJ143" i="3"/>
  <c r="BH254" i="3"/>
  <c r="BJ306" i="3"/>
  <c r="BI219" i="3"/>
  <c r="BI14" i="3"/>
  <c r="BI347" i="3"/>
  <c r="BG235" i="3"/>
  <c r="BJ94" i="3"/>
  <c r="BJ188" i="3"/>
  <c r="BI206" i="3"/>
  <c r="AO6" i="27"/>
  <c r="BH243" i="3"/>
  <c r="BH296" i="3"/>
  <c r="BG282" i="3"/>
  <c r="BG152" i="3"/>
  <c r="BJ337" i="3"/>
  <c r="BK311" i="3"/>
  <c r="BH148" i="3"/>
  <c r="BJ63" i="3"/>
  <c r="AH18" i="27"/>
  <c r="BJ318" i="3"/>
  <c r="BK221" i="3"/>
  <c r="BH186" i="3"/>
  <c r="BK280" i="3"/>
  <c r="BH349" i="3"/>
  <c r="BK15" i="3"/>
  <c r="BK330" i="3"/>
  <c r="BH188" i="3"/>
  <c r="BI160" i="3"/>
  <c r="BG312" i="3"/>
  <c r="BJ265" i="3"/>
  <c r="BJ342" i="3"/>
  <c r="BI151" i="3"/>
  <c r="BK262" i="3"/>
  <c r="BH227" i="3"/>
  <c r="BG349" i="3"/>
  <c r="BK174" i="3"/>
  <c r="BG40" i="3"/>
  <c r="BG27" i="3"/>
  <c r="BI314" i="3"/>
  <c r="BG237" i="3"/>
  <c r="BH175" i="3"/>
  <c r="BJ359" i="3"/>
  <c r="BG306" i="3"/>
  <c r="BJ281" i="3"/>
  <c r="BG273" i="3"/>
  <c r="BI23" i="3"/>
  <c r="BK60" i="3"/>
  <c r="BH343" i="3"/>
  <c r="BH64" i="3"/>
  <c r="BI334" i="3"/>
  <c r="BI221" i="3"/>
  <c r="BG87" i="3"/>
  <c r="BJ234" i="3"/>
  <c r="BH154" i="3"/>
  <c r="BJ33" i="3"/>
  <c r="BG153" i="3"/>
  <c r="BK155" i="3"/>
  <c r="BI124" i="3"/>
  <c r="BH40" i="3"/>
  <c r="BH209" i="3"/>
  <c r="BH292" i="3"/>
  <c r="BH331" i="3"/>
  <c r="BI75" i="3"/>
  <c r="BK70" i="3"/>
  <c r="BH204" i="3"/>
  <c r="BJ344" i="3"/>
  <c r="BJ258" i="3"/>
  <c r="BI225" i="3"/>
  <c r="BI73" i="3"/>
  <c r="BG333" i="3"/>
  <c r="BH228" i="3"/>
  <c r="BH67" i="3"/>
  <c r="BI81" i="3"/>
  <c r="BG347" i="3"/>
  <c r="BH272" i="3"/>
  <c r="BH342" i="3"/>
  <c r="BK286" i="3"/>
  <c r="BG122" i="3"/>
  <c r="BH251" i="3"/>
  <c r="BK4" i="3"/>
  <c r="BH194" i="3"/>
  <c r="BI144" i="3"/>
  <c r="BG225" i="3"/>
  <c r="BG162" i="3"/>
  <c r="BJ199" i="3"/>
  <c r="BK246" i="3"/>
  <c r="BH159" i="3"/>
  <c r="BK225" i="3"/>
  <c r="BH288" i="3"/>
  <c r="BJ165" i="3"/>
  <c r="BI275" i="3"/>
  <c r="BI280" i="3"/>
  <c r="BK9" i="3"/>
  <c r="BG324" i="3"/>
  <c r="BG240" i="3"/>
  <c r="BG72" i="3"/>
  <c r="BK36" i="3"/>
  <c r="BK252" i="3"/>
  <c r="BI263" i="3"/>
  <c r="BI288" i="3"/>
  <c r="BJ86" i="3"/>
  <c r="BG15" i="3"/>
  <c r="BG126" i="3"/>
  <c r="BK169" i="3"/>
  <c r="BG302" i="3"/>
  <c r="BJ155" i="3"/>
  <c r="BI304" i="3"/>
  <c r="BH230" i="3"/>
  <c r="BG22" i="3"/>
  <c r="BH250" i="3"/>
  <c r="BJ302" i="3"/>
  <c r="BK23" i="3"/>
  <c r="BK58" i="3"/>
  <c r="BI360" i="3"/>
  <c r="BI103" i="3"/>
  <c r="BH94" i="3"/>
  <c r="BG108" i="3"/>
  <c r="BK78" i="3"/>
  <c r="BK350" i="3"/>
  <c r="BK5" i="3"/>
  <c r="BI24" i="3"/>
  <c r="BK302" i="3"/>
  <c r="BK199" i="3"/>
  <c r="BI145" i="3"/>
  <c r="BI328" i="3"/>
  <c r="BH323" i="3"/>
  <c r="BH359" i="3"/>
  <c r="BJ242" i="3"/>
  <c r="BI106" i="3"/>
  <c r="BK117" i="3"/>
  <c r="BG128" i="3"/>
  <c r="BG158" i="3"/>
  <c r="BK189" i="3"/>
  <c r="BG202" i="3"/>
  <c r="BJ5" i="3"/>
  <c r="M6" i="27"/>
  <c r="BK321" i="3"/>
  <c r="BK154" i="3"/>
  <c r="BJ261" i="3"/>
  <c r="BJ228" i="3"/>
  <c r="BJ137" i="3"/>
  <c r="BI261" i="3"/>
  <c r="BK147" i="3"/>
  <c r="BI322" i="3"/>
  <c r="BG294" i="3"/>
  <c r="BI10" i="3"/>
  <c r="BG174" i="3"/>
  <c r="BK59" i="3"/>
  <c r="BK134" i="3"/>
  <c r="BJ69" i="3"/>
  <c r="BK14" i="3"/>
  <c r="BI276" i="3"/>
  <c r="BJ321" i="3"/>
  <c r="BI342" i="3"/>
  <c r="BI91" i="3"/>
  <c r="BJ177" i="3"/>
  <c r="BG129" i="3"/>
  <c r="BI104" i="3"/>
  <c r="BK74" i="3"/>
  <c r="BJ55" i="3"/>
  <c r="BG316" i="3"/>
  <c r="BG244" i="3"/>
  <c r="BI117" i="3"/>
  <c r="BI294" i="3"/>
  <c r="BK51" i="3"/>
  <c r="BG164" i="3"/>
  <c r="BG350" i="3"/>
  <c r="BH130" i="3"/>
  <c r="BK238" i="3"/>
  <c r="BK360" i="3"/>
  <c r="BH111" i="3"/>
  <c r="BI317" i="3"/>
  <c r="BI60" i="3"/>
  <c r="BI131" i="3"/>
  <c r="BK17" i="3"/>
  <c r="BG283" i="3"/>
  <c r="BI316" i="3"/>
  <c r="BI30" i="3"/>
  <c r="BI65" i="3"/>
  <c r="BI185" i="3"/>
  <c r="BI174" i="3"/>
  <c r="BK339" i="3"/>
  <c r="BH358" i="3"/>
  <c r="BG154" i="3"/>
  <c r="BH354" i="3"/>
  <c r="BJ325" i="3"/>
  <c r="BG106" i="3"/>
  <c r="BI12" i="3"/>
  <c r="BH329" i="3"/>
  <c r="BH98" i="3"/>
  <c r="BG11" i="3"/>
  <c r="BG26" i="3"/>
  <c r="BJ297" i="3"/>
  <c r="BI55" i="3"/>
  <c r="BG221" i="3"/>
  <c r="BG143" i="3"/>
  <c r="BH362" i="3"/>
  <c r="BG292" i="3"/>
  <c r="BH208" i="3"/>
  <c r="BI348" i="3"/>
  <c r="BH78" i="3"/>
  <c r="BH307" i="3"/>
  <c r="BI194" i="3"/>
  <c r="BG142" i="3"/>
  <c r="BI39" i="3"/>
  <c r="AA18" i="27"/>
  <c r="BK13" i="3"/>
  <c r="BI249" i="3"/>
  <c r="BH149" i="3"/>
  <c r="BJ245" i="3"/>
  <c r="BH281" i="3"/>
  <c r="BJ113" i="3"/>
  <c r="BI239" i="3"/>
  <c r="BJ83" i="3"/>
  <c r="BJ195" i="3"/>
  <c r="BI135" i="3"/>
  <c r="BI248" i="3"/>
  <c r="BJ17" i="3"/>
  <c r="BI34" i="3"/>
  <c r="BK151" i="3"/>
  <c r="BK205" i="3"/>
  <c r="BG60" i="3"/>
  <c r="BI172" i="3"/>
  <c r="BJ114" i="3"/>
  <c r="BK307" i="3"/>
  <c r="BJ163" i="3"/>
  <c r="BK239" i="3"/>
  <c r="BH200" i="3"/>
  <c r="BG151" i="3"/>
  <c r="BK181" i="3"/>
  <c r="BK127" i="3"/>
  <c r="BJ284" i="3"/>
  <c r="BH47" i="3"/>
  <c r="BJ125" i="3"/>
  <c r="BK232" i="3"/>
  <c r="BI61" i="3"/>
  <c r="BJ78" i="3"/>
  <c r="BH263" i="3"/>
  <c r="BK129" i="3"/>
  <c r="BI270" i="3"/>
  <c r="BJ77" i="3"/>
  <c r="BJ307" i="3"/>
  <c r="BG73" i="3"/>
  <c r="BJ208" i="3"/>
  <c r="BK324" i="3"/>
  <c r="BG61" i="3"/>
  <c r="BG358" i="3"/>
  <c r="BJ53" i="3"/>
  <c r="BG270" i="3"/>
  <c r="BJ39" i="3"/>
  <c r="BH73" i="3"/>
  <c r="BG29" i="3"/>
  <c r="BJ329" i="3"/>
  <c r="AO18" i="27"/>
  <c r="BG94" i="3"/>
  <c r="BI290" i="3"/>
  <c r="BJ231" i="3"/>
  <c r="BH179" i="3"/>
  <c r="BG7" i="3"/>
  <c r="BK231" i="3"/>
  <c r="BI118" i="3"/>
  <c r="BI125" i="3"/>
  <c r="BJ148" i="3"/>
  <c r="BJ22" i="3"/>
  <c r="BI307" i="3"/>
  <c r="BK122" i="3"/>
  <c r="BJ47" i="3"/>
  <c r="BH173" i="3"/>
  <c r="BG115" i="3"/>
  <c r="BK236" i="3"/>
  <c r="BK261" i="3"/>
  <c r="BI208" i="3"/>
  <c r="BG19" i="3"/>
  <c r="BK116" i="3"/>
  <c r="BI182" i="3"/>
  <c r="BJ14" i="3"/>
  <c r="BK316" i="3"/>
  <c r="BI171" i="3"/>
  <c r="BH72" i="3"/>
  <c r="BI345" i="3"/>
  <c r="BH306" i="3"/>
  <c r="BI216" i="3"/>
  <c r="BI137" i="3"/>
  <c r="BI126" i="3"/>
  <c r="BJ134" i="3"/>
  <c r="BJ159" i="3"/>
  <c r="BK137" i="3"/>
  <c r="BK283" i="3"/>
  <c r="BJ35" i="3"/>
  <c r="BK44" i="3"/>
  <c r="BI346" i="3"/>
  <c r="BK209" i="3"/>
  <c r="BK212" i="3"/>
  <c r="BJ333" i="3"/>
  <c r="BJ133" i="3"/>
  <c r="BI303" i="3"/>
  <c r="BH165" i="3"/>
  <c r="BG348" i="3"/>
  <c r="BJ118" i="3"/>
  <c r="BK303" i="3"/>
  <c r="BJ179" i="3"/>
  <c r="BI40" i="3"/>
  <c r="BK202" i="3"/>
  <c r="BH23" i="3"/>
  <c r="BH156" i="3"/>
  <c r="BI110" i="3"/>
  <c r="BJ66" i="3"/>
  <c r="BK194" i="3"/>
  <c r="BH234" i="3"/>
  <c r="BJ196" i="3"/>
  <c r="BG198" i="3"/>
  <c r="BH62" i="3"/>
  <c r="BJ212" i="3"/>
  <c r="BJ270" i="3"/>
  <c r="BI299" i="3"/>
  <c r="BH231" i="3"/>
  <c r="BI42" i="3"/>
  <c r="BG322" i="3"/>
  <c r="BK216" i="3"/>
  <c r="BH356" i="3"/>
  <c r="BK328" i="3"/>
  <c r="BH83" i="3"/>
  <c r="BH302" i="3"/>
  <c r="BH49" i="3"/>
  <c r="BJ57" i="3"/>
  <c r="BI330" i="3"/>
  <c r="BI326" i="3"/>
  <c r="BI175" i="3"/>
  <c r="BK10" i="3"/>
  <c r="BI156" i="3"/>
  <c r="BI22" i="3"/>
  <c r="BK185" i="3"/>
  <c r="BI232" i="3"/>
  <c r="BJ247" i="3"/>
  <c r="BJ317" i="3"/>
  <c r="BH169" i="3"/>
  <c r="BJ312" i="3"/>
  <c r="BG175" i="3"/>
  <c r="BK192" i="3"/>
  <c r="BI80" i="3"/>
  <c r="BI284" i="3"/>
  <c r="BK226" i="3"/>
  <c r="BG351" i="3"/>
  <c r="BG346" i="3"/>
  <c r="BI198" i="3"/>
  <c r="BI344" i="3"/>
  <c r="BG296" i="3"/>
  <c r="BJ25" i="3"/>
  <c r="BG123" i="3"/>
  <c r="BK141" i="3"/>
  <c r="BH157" i="3"/>
  <c r="BI54" i="3"/>
  <c r="BH55" i="3"/>
  <c r="BG133" i="3"/>
  <c r="BG336" i="3"/>
  <c r="BI115" i="3"/>
  <c r="BG146" i="3"/>
  <c r="BH44" i="3"/>
  <c r="BI148" i="3"/>
  <c r="BI215" i="3"/>
  <c r="BH129" i="3"/>
  <c r="BI64" i="3"/>
  <c r="BH328" i="3"/>
  <c r="BK211" i="3"/>
  <c r="BK295" i="3"/>
  <c r="BG165" i="3"/>
  <c r="BJ46" i="3"/>
  <c r="BI102" i="3"/>
  <c r="BK50" i="3"/>
  <c r="BH80" i="3"/>
  <c r="BJ138" i="3"/>
  <c r="BK351" i="3"/>
  <c r="BJ233" i="3"/>
  <c r="BK179" i="3"/>
  <c r="BJ298" i="3"/>
  <c r="BK131" i="3"/>
  <c r="BG54" i="3"/>
  <c r="BG184" i="3"/>
  <c r="BJ190" i="3"/>
  <c r="BJ54" i="3"/>
  <c r="BH51" i="3"/>
  <c r="BK219" i="3"/>
  <c r="BI86" i="3"/>
  <c r="BG170" i="3"/>
  <c r="BK235" i="3"/>
  <c r="BJ96" i="3"/>
  <c r="BI209" i="3"/>
  <c r="BG193" i="3"/>
  <c r="BK166" i="3"/>
  <c r="BG228" i="3"/>
  <c r="BI52" i="3"/>
  <c r="BI195" i="3"/>
  <c r="BJ16" i="3"/>
  <c r="BG223" i="3"/>
  <c r="BG132" i="3"/>
  <c r="BK42" i="3"/>
  <c r="BK230" i="3"/>
  <c r="BK140" i="3"/>
  <c r="BH58" i="3"/>
  <c r="BH217" i="3"/>
  <c r="BJ356" i="3"/>
  <c r="BG226" i="3"/>
  <c r="BG361" i="3"/>
  <c r="BG303" i="3"/>
  <c r="BK220" i="3"/>
  <c r="BI92" i="3"/>
  <c r="BI332" i="3"/>
  <c r="BH287" i="3"/>
  <c r="BG334" i="3"/>
  <c r="BJ343" i="3"/>
  <c r="BH116" i="3"/>
  <c r="BJ132" i="3"/>
  <c r="BG341" i="3"/>
  <c r="BK190" i="3"/>
  <c r="BK21" i="3"/>
  <c r="BH269" i="3"/>
  <c r="BI161" i="3"/>
  <c r="BH15" i="3"/>
  <c r="BI57" i="3"/>
  <c r="BI308" i="3"/>
  <c r="BI223" i="3"/>
  <c r="BG311" i="3"/>
  <c r="BJ101" i="3"/>
  <c r="BH271" i="3"/>
  <c r="BI85" i="3"/>
  <c r="BK118" i="3"/>
  <c r="BI237" i="3"/>
  <c r="BH193" i="3"/>
  <c r="BI184" i="3"/>
  <c r="BH240" i="3"/>
  <c r="BH75" i="3"/>
  <c r="BG329" i="3"/>
  <c r="BJ304" i="3"/>
  <c r="BJ301" i="3"/>
  <c r="BJ21" i="3"/>
  <c r="BJ71" i="3"/>
  <c r="BK20" i="3"/>
  <c r="BG99" i="3"/>
  <c r="BH284" i="3"/>
  <c r="BK329" i="3"/>
  <c r="BI41" i="3"/>
  <c r="BG70" i="3"/>
  <c r="BJ87" i="3"/>
  <c r="BI351" i="3"/>
  <c r="BG256" i="3"/>
  <c r="BI27" i="3"/>
  <c r="BK266" i="3"/>
  <c r="BI323" i="3"/>
  <c r="BK79" i="3"/>
  <c r="BK95" i="3"/>
  <c r="BJ206" i="3"/>
  <c r="BH166" i="3"/>
  <c r="BG300" i="3"/>
  <c r="BG81" i="3"/>
  <c r="BI20" i="3"/>
  <c r="BJ237" i="3"/>
  <c r="BJ186" i="3"/>
  <c r="BG23" i="3"/>
  <c r="BH50" i="3"/>
  <c r="BH213" i="3"/>
  <c r="BK182" i="3"/>
  <c r="BG63" i="3"/>
  <c r="BK325" i="3"/>
  <c r="BH168" i="3"/>
  <c r="BG139" i="3"/>
  <c r="BI159" i="3"/>
  <c r="BJ209" i="3"/>
  <c r="BG317" i="3"/>
  <c r="BI153" i="3"/>
  <c r="BG148" i="3"/>
  <c r="BI197" i="3"/>
  <c r="BJ12" i="3"/>
  <c r="BK361" i="3"/>
  <c r="BK110" i="3"/>
  <c r="BH203" i="3"/>
  <c r="BI265" i="3"/>
  <c r="BK158" i="3"/>
  <c r="BH232" i="3"/>
  <c r="BJ243" i="3"/>
  <c r="BJ28" i="3"/>
  <c r="BJ24" i="3"/>
  <c r="BK338" i="3"/>
  <c r="BJ202" i="3"/>
  <c r="BH139" i="3"/>
  <c r="BG157" i="3"/>
  <c r="BI335" i="3"/>
  <c r="BI214" i="3"/>
  <c r="BK175" i="3"/>
  <c r="BJ142" i="3"/>
  <c r="BH69" i="3"/>
  <c r="BH218" i="3"/>
  <c r="BG330" i="3"/>
  <c r="BG6" i="3"/>
  <c r="BK244" i="3"/>
  <c r="BK341" i="3"/>
  <c r="BI339" i="3"/>
  <c r="BK150" i="3"/>
  <c r="BJ255" i="3"/>
  <c r="BJ70" i="3"/>
  <c r="BG112" i="3"/>
  <c r="BI233" i="3"/>
  <c r="BJ268" i="3"/>
  <c r="BJ327" i="3"/>
  <c r="BI44" i="3"/>
  <c r="BH9" i="3"/>
  <c r="BJ211" i="3"/>
  <c r="BH246" i="3"/>
  <c r="BJ23" i="3"/>
  <c r="BH195" i="3"/>
  <c r="BK248" i="3"/>
  <c r="BG271" i="3"/>
  <c r="BG125" i="3"/>
  <c r="BI6" i="3"/>
  <c r="BI204" i="3"/>
  <c r="BG180" i="3"/>
  <c r="BI155" i="3"/>
  <c r="BJ51" i="3"/>
  <c r="BK335" i="3"/>
  <c r="BH160" i="3"/>
  <c r="BG262" i="3"/>
  <c r="BJ81" i="3"/>
  <c r="BG35" i="3"/>
  <c r="BJ316" i="3"/>
  <c r="BJ220" i="3"/>
  <c r="BI321" i="3"/>
  <c r="BJ109" i="3"/>
  <c r="BJ324" i="3"/>
  <c r="BH223" i="3"/>
  <c r="BJ97" i="3"/>
  <c r="BI241" i="3"/>
  <c r="BJ144" i="3"/>
  <c r="BG331" i="3"/>
  <c r="BH17" i="3"/>
  <c r="BG114" i="3"/>
  <c r="BH283" i="3"/>
  <c r="BJ60" i="3"/>
  <c r="BK119" i="3"/>
  <c r="BJ99" i="3"/>
  <c r="BH332" i="3"/>
  <c r="BH237" i="3"/>
  <c r="BG222" i="3"/>
  <c r="BG105" i="3"/>
  <c r="BG41" i="3"/>
  <c r="BH361" i="3"/>
  <c r="BI47" i="3"/>
  <c r="BG243" i="3"/>
  <c r="BG255" i="3"/>
  <c r="BJ311" i="3"/>
  <c r="BJ218" i="3"/>
  <c r="BH196" i="3"/>
  <c r="BJ182" i="3"/>
  <c r="BG90" i="3"/>
  <c r="BH239" i="3"/>
  <c r="BJ166" i="3"/>
  <c r="BI255" i="3"/>
  <c r="BI286" i="3"/>
  <c r="BI50" i="3"/>
  <c r="BH142" i="3"/>
  <c r="BG337" i="3"/>
  <c r="BH5" i="3"/>
  <c r="BJ123" i="3"/>
  <c r="BK256" i="3"/>
  <c r="BK342" i="3"/>
  <c r="BI165" i="3"/>
  <c r="BK89" i="3"/>
  <c r="BG291" i="3"/>
  <c r="BI313" i="3"/>
  <c r="BH38" i="3"/>
  <c r="BH319" i="3"/>
  <c r="BK255" i="3"/>
  <c r="BK92" i="3"/>
  <c r="BJ198" i="3"/>
  <c r="BH112" i="3"/>
  <c r="BH119" i="3"/>
  <c r="BH110" i="3"/>
  <c r="BI247" i="3"/>
  <c r="BG59" i="3"/>
  <c r="BI358" i="3"/>
  <c r="BG254" i="3"/>
  <c r="BG135" i="3"/>
  <c r="BI295" i="3"/>
  <c r="BJ277" i="3"/>
  <c r="BK167" i="3"/>
  <c r="BG113" i="3"/>
  <c r="BK304" i="3"/>
  <c r="BH143" i="3"/>
  <c r="BH4" i="3"/>
  <c r="BH109" i="3"/>
  <c r="BI205" i="3"/>
  <c r="BK214" i="3"/>
  <c r="BJ292" i="3"/>
  <c r="BJ290" i="3"/>
  <c r="BJ74" i="3"/>
  <c r="BG21" i="3"/>
  <c r="BI77" i="3"/>
  <c r="BK67" i="3"/>
  <c r="BI166" i="3"/>
  <c r="BG130" i="3"/>
  <c r="BJ122" i="3"/>
  <c r="BK227" i="3"/>
  <c r="BK63" i="3"/>
  <c r="BH56" i="3"/>
  <c r="BJ224" i="3"/>
  <c r="BI87" i="3"/>
  <c r="BG66" i="3"/>
  <c r="BJ254" i="3"/>
  <c r="BK297" i="3"/>
  <c r="BG238" i="3"/>
  <c r="BI199" i="3"/>
  <c r="BG285" i="3"/>
  <c r="BK161" i="3"/>
  <c r="BH54" i="3"/>
  <c r="BJ215" i="3"/>
  <c r="BH53" i="3"/>
  <c r="BH122" i="3"/>
  <c r="BG16" i="3"/>
  <c r="BK293" i="3"/>
  <c r="BG56" i="3"/>
  <c r="BG155" i="3"/>
  <c r="BH18" i="3"/>
  <c r="BJ44" i="3"/>
  <c r="BG150" i="3"/>
  <c r="BI116" i="3"/>
  <c r="BK35" i="3"/>
  <c r="BK354" i="3"/>
  <c r="BG345" i="3"/>
  <c r="BI72" i="3"/>
  <c r="BJ146" i="3"/>
  <c r="BH197" i="3"/>
  <c r="BH41" i="3"/>
  <c r="BG338" i="3"/>
  <c r="BG74" i="3"/>
  <c r="BJ230" i="3"/>
  <c r="BI285" i="3"/>
  <c r="BI88" i="3"/>
  <c r="BI325" i="3"/>
  <c r="BH235" i="3"/>
  <c r="BG102" i="3"/>
  <c r="BH327" i="3"/>
  <c r="BH89" i="3"/>
  <c r="BK196" i="3"/>
  <c r="BG25" i="3"/>
  <c r="BI129" i="3"/>
  <c r="BH37" i="3"/>
  <c r="BI127" i="3"/>
  <c r="BG209" i="3"/>
  <c r="BH150" i="3"/>
  <c r="BJ111" i="3"/>
  <c r="BG42" i="3"/>
  <c r="BK301" i="3"/>
  <c r="BG281" i="3"/>
  <c r="BH24" i="3"/>
  <c r="BH291" i="3"/>
  <c r="BI258" i="3"/>
  <c r="BK45" i="3"/>
  <c r="BI352" i="3"/>
  <c r="BI38" i="3"/>
  <c r="BJ273" i="3"/>
  <c r="BI273" i="3"/>
  <c r="BK65" i="3"/>
  <c r="BG297" i="3"/>
  <c r="BH61" i="3"/>
  <c r="BH162" i="3"/>
  <c r="BJ41" i="3"/>
  <c r="BI260" i="3"/>
  <c r="BK142" i="3"/>
  <c r="BG247" i="3"/>
  <c r="BI143" i="3"/>
  <c r="BJ151" i="3"/>
  <c r="BH333" i="3"/>
  <c r="BH163" i="3"/>
  <c r="BG176" i="3"/>
  <c r="BI164" i="3"/>
  <c r="BJ135" i="3"/>
  <c r="BG45" i="3"/>
  <c r="BI282" i="3"/>
  <c r="BH120" i="3"/>
  <c r="BJ303" i="3"/>
  <c r="BG24" i="3"/>
  <c r="BI4" i="3"/>
  <c r="BK207" i="3"/>
  <c r="BJ43" i="3"/>
  <c r="BJ117" i="3"/>
  <c r="BH316" i="3"/>
  <c r="BG210" i="3"/>
  <c r="BK173" i="3"/>
  <c r="BI318" i="3"/>
  <c r="BG124" i="3"/>
  <c r="BI213" i="3"/>
  <c r="BI292" i="3"/>
  <c r="BH274" i="3"/>
  <c r="BJ276" i="3"/>
  <c r="BI79" i="3"/>
  <c r="BG58" i="3"/>
  <c r="BH12" i="3"/>
  <c r="BG69" i="3"/>
  <c r="BH101" i="3"/>
  <c r="BK133" i="3"/>
  <c r="BK343" i="3"/>
  <c r="BK111" i="3"/>
  <c r="BI157" i="3"/>
  <c r="BJ131" i="3"/>
  <c r="BG110" i="3"/>
  <c r="BK26" i="3"/>
  <c r="BG342" i="3"/>
  <c r="BJ323" i="3"/>
  <c r="BG68" i="3"/>
  <c r="BJ19" i="3"/>
  <c r="BJ275" i="3"/>
  <c r="BH205" i="3"/>
  <c r="BI150" i="3"/>
  <c r="BJ221" i="3"/>
  <c r="BH82" i="3"/>
  <c r="BI301" i="3"/>
  <c r="BK260" i="3"/>
  <c r="BK198" i="3"/>
  <c r="BG104" i="3"/>
  <c r="BI152" i="3"/>
  <c r="BH335" i="3"/>
  <c r="BJ30" i="3"/>
  <c r="BG307" i="3"/>
  <c r="BG14" i="3"/>
  <c r="BI229" i="3"/>
  <c r="BG117" i="3"/>
  <c r="BI298" i="3"/>
  <c r="BH198" i="3"/>
  <c r="BK313" i="3"/>
  <c r="BK270" i="3"/>
  <c r="BK284" i="3"/>
  <c r="BK11" i="3"/>
  <c r="BG353" i="3"/>
  <c r="BI158" i="3"/>
  <c r="BG57" i="3"/>
  <c r="BH13" i="3"/>
  <c r="BK215" i="3"/>
  <c r="BK98" i="3"/>
  <c r="BJ286" i="3"/>
  <c r="BG251" i="3"/>
  <c r="BH249" i="3"/>
  <c r="BH66" i="3"/>
  <c r="BJ150" i="3"/>
  <c r="BJ310" i="3"/>
  <c r="BK277" i="3"/>
  <c r="BI252" i="3"/>
  <c r="BH96" i="3"/>
  <c r="BG183" i="3"/>
  <c r="BG266" i="3"/>
  <c r="BI353" i="3"/>
  <c r="BJ193" i="3"/>
  <c r="BK348" i="3"/>
  <c r="BI331" i="3"/>
  <c r="BI25" i="3"/>
  <c r="BI28" i="3"/>
  <c r="BH185" i="3"/>
  <c r="BH183" i="3"/>
  <c r="BI324" i="3"/>
  <c r="BJ136" i="3"/>
  <c r="BK240" i="3"/>
  <c r="BJ107" i="3"/>
  <c r="BH340" i="3"/>
  <c r="BK80" i="3"/>
  <c r="BG120" i="3"/>
  <c r="BG161" i="3"/>
  <c r="BK247" i="3"/>
  <c r="BH350" i="3"/>
  <c r="BJ112" i="3"/>
  <c r="BH28" i="3"/>
  <c r="BI132" i="3"/>
  <c r="BI267" i="3"/>
  <c r="BI121" i="3"/>
  <c r="BH190" i="3"/>
  <c r="BG103" i="3"/>
  <c r="BK287" i="3"/>
  <c r="BI180" i="3"/>
  <c r="BI189" i="3"/>
  <c r="BK97" i="3"/>
  <c r="BK101" i="3"/>
  <c r="BK278" i="3"/>
  <c r="BI236" i="3"/>
  <c r="BH170" i="3"/>
  <c r="BK317" i="3"/>
  <c r="BG83" i="3"/>
  <c r="BG168" i="3"/>
  <c r="BI333" i="3"/>
  <c r="BJ110" i="3"/>
  <c r="BH176" i="3"/>
  <c r="BH290" i="3"/>
  <c r="BK337" i="3"/>
  <c r="BJ246" i="3"/>
  <c r="BJ79" i="3"/>
  <c r="BH241" i="3"/>
  <c r="BI309" i="3"/>
  <c r="BI66" i="3"/>
  <c r="BJ119" i="3"/>
  <c r="BG48" i="3"/>
  <c r="BG91" i="3"/>
  <c r="BJ130" i="3"/>
  <c r="BH280" i="3"/>
  <c r="AA6" i="27"/>
  <c r="BG32" i="3"/>
  <c r="BG327" i="3"/>
  <c r="BG96" i="3"/>
  <c r="BH46" i="3"/>
  <c r="BJ191" i="3"/>
  <c r="BJ330" i="3"/>
  <c r="BK68" i="3"/>
  <c r="BK242" i="3"/>
  <c r="BG93" i="3"/>
  <c r="BG250" i="3"/>
  <c r="BI74" i="3"/>
  <c r="BK43" i="3"/>
  <c r="BI83" i="3"/>
  <c r="BK90" i="3"/>
  <c r="BI356" i="3"/>
  <c r="BI361" i="3"/>
  <c r="BH245" i="3"/>
  <c r="BI95" i="3"/>
  <c r="BH355" i="3"/>
  <c r="BI254" i="3"/>
  <c r="BJ65" i="3"/>
  <c r="BH225" i="3"/>
  <c r="BI300" i="3"/>
  <c r="BG357" i="3"/>
  <c r="BJ176" i="3"/>
  <c r="BK105" i="3"/>
  <c r="BK210" i="3"/>
  <c r="BG340" i="3"/>
  <c r="BJ20" i="3"/>
  <c r="BH219" i="3"/>
  <c r="BG182" i="3"/>
  <c r="BK85" i="3"/>
  <c r="BJ287" i="3"/>
  <c r="BI147" i="3"/>
  <c r="BK357" i="3"/>
  <c r="BJ115" i="3"/>
  <c r="BH212" i="3"/>
  <c r="BJ291" i="3"/>
  <c r="BI43" i="3"/>
  <c r="BG354" i="3"/>
  <c r="BI59" i="3"/>
  <c r="BG362" i="3"/>
  <c r="BG352" i="3"/>
  <c r="T18" i="27"/>
  <c r="BH285" i="3"/>
  <c r="BI33" i="3"/>
  <c r="BH90" i="3"/>
  <c r="BJ319" i="3"/>
  <c r="BJ158" i="3"/>
  <c r="BK273" i="3"/>
  <c r="BI32" i="3"/>
  <c r="BK243" i="3"/>
  <c r="BH48" i="3"/>
  <c r="BI35" i="3"/>
  <c r="BG156" i="3"/>
  <c r="BK157" i="3"/>
  <c r="BK54" i="3"/>
  <c r="BH42" i="3"/>
  <c r="BH29" i="3"/>
  <c r="BI101" i="3"/>
  <c r="BK71" i="3"/>
  <c r="BG248" i="3"/>
  <c r="BI123" i="3"/>
  <c r="BH305" i="3"/>
  <c r="BI228" i="3"/>
  <c r="BK123" i="3"/>
  <c r="BJ120" i="3"/>
  <c r="BH10" i="3"/>
  <c r="BI259" i="3"/>
  <c r="BG216" i="3"/>
  <c r="BG92" i="3"/>
  <c r="BJ80" i="3"/>
  <c r="BH158" i="3"/>
  <c r="BK148" i="3"/>
  <c r="BK265" i="3"/>
  <c r="BH124" i="3"/>
  <c r="BK177" i="3"/>
  <c r="BI359" i="3"/>
  <c r="BK52" i="3"/>
  <c r="BG207" i="3"/>
  <c r="BJ56" i="3"/>
  <c r="BK139" i="3"/>
  <c r="BH138" i="3"/>
  <c r="BH26" i="3"/>
  <c r="BI119" i="3"/>
  <c r="BJ11" i="3"/>
  <c r="BI226" i="3"/>
  <c r="BG65" i="3"/>
  <c r="BJ61" i="3"/>
  <c r="BH121" i="3"/>
  <c r="BJ85" i="3"/>
  <c r="BJ64" i="3"/>
  <c r="BH242" i="3"/>
  <c r="BJ59" i="3"/>
  <c r="BH233" i="3"/>
  <c r="BJ205" i="3"/>
  <c r="BJ355" i="3"/>
  <c r="BI210" i="3"/>
  <c r="BI114" i="3"/>
  <c r="BH59" i="3"/>
  <c r="BG205" i="3"/>
  <c r="BK31" i="3"/>
  <c r="BK359" i="3"/>
  <c r="BK88" i="3"/>
  <c r="BI250" i="3"/>
  <c r="BJ328" i="3"/>
  <c r="BK77" i="3"/>
  <c r="BG163" i="3"/>
  <c r="BK83" i="3"/>
  <c r="BG28" i="3"/>
  <c r="BJ222" i="3"/>
  <c r="BI312" i="3"/>
  <c r="BK234" i="3"/>
  <c r="BI340" i="3"/>
  <c r="BG323" i="3"/>
  <c r="BG231" i="3"/>
  <c r="BH299" i="3"/>
  <c r="BK171" i="3"/>
  <c r="BI220" i="3"/>
  <c r="BG218" i="3"/>
  <c r="BK204" i="3"/>
  <c r="BG286" i="3"/>
  <c r="BJ15" i="3"/>
  <c r="BI246" i="3"/>
  <c r="BI349" i="3"/>
  <c r="BK285" i="3"/>
  <c r="BH248" i="3"/>
  <c r="BG208" i="3"/>
  <c r="BH289" i="3"/>
  <c r="BG177" i="3"/>
  <c r="BI186" i="3"/>
  <c r="BJ9" i="3"/>
  <c r="BH311" i="3"/>
  <c r="BJ194" i="3"/>
  <c r="BG230" i="3"/>
  <c r="BK218" i="3"/>
  <c r="BH85" i="3"/>
  <c r="BG326" i="3"/>
  <c r="BJ106" i="3"/>
  <c r="BK223" i="3"/>
  <c r="BH303" i="3"/>
  <c r="BJ62" i="3"/>
  <c r="BI188" i="3"/>
  <c r="BK306" i="3"/>
  <c r="BG79" i="3"/>
  <c r="BG293" i="3"/>
  <c r="BK347" i="3"/>
  <c r="BG199" i="3"/>
  <c r="BG332" i="3"/>
  <c r="BH43" i="3"/>
  <c r="BG229" i="3"/>
  <c r="BK217" i="3"/>
  <c r="BJ154" i="3"/>
  <c r="BI46" i="3"/>
  <c r="BJ340" i="3"/>
  <c r="BH118" i="3"/>
  <c r="BG166" i="3"/>
  <c r="BK176" i="3"/>
  <c r="BI163" i="3"/>
  <c r="BJ279" i="3"/>
  <c r="BH152" i="3"/>
  <c r="BI296" i="3"/>
  <c r="BG121" i="3"/>
  <c r="BK271" i="3"/>
  <c r="BI268" i="3"/>
  <c r="BH187" i="3"/>
  <c r="BG77" i="3"/>
  <c r="BI16" i="3"/>
  <c r="BJ92" i="3"/>
  <c r="BJ227" i="3"/>
  <c r="BK272" i="3"/>
  <c r="BJ29" i="3"/>
  <c r="BH65" i="3"/>
  <c r="BG95" i="3"/>
  <c r="BJ299" i="3"/>
  <c r="BK178" i="3"/>
  <c r="BJ7" i="3"/>
  <c r="BJ272" i="3"/>
  <c r="BK264" i="3"/>
  <c r="BG279" i="3"/>
  <c r="BJ160" i="3"/>
  <c r="BH132" i="3"/>
  <c r="BI82" i="3"/>
  <c r="BK73" i="3"/>
  <c r="BI244" i="3"/>
  <c r="BJ189" i="3"/>
  <c r="BI130" i="3"/>
  <c r="BJ285" i="3"/>
  <c r="BI343" i="3"/>
  <c r="BJ271" i="3"/>
  <c r="BK87" i="3"/>
  <c r="BG9" i="3"/>
  <c r="BG179" i="3"/>
  <c r="BG213" i="3"/>
  <c r="BK296" i="3"/>
  <c r="BH341" i="3"/>
  <c r="BK76" i="3"/>
  <c r="BI136" i="3"/>
  <c r="BK124" i="3"/>
  <c r="BI111" i="3"/>
  <c r="BJ105" i="3"/>
  <c r="BI97" i="3"/>
  <c r="BH35" i="3"/>
  <c r="BG82" i="3"/>
  <c r="BK305" i="3"/>
  <c r="BJ262" i="3"/>
  <c r="BK159" i="3"/>
  <c r="BG259" i="3"/>
  <c r="BJ259" i="3"/>
  <c r="BJ50" i="3"/>
  <c r="BH76" i="3"/>
  <c r="BH277" i="3"/>
  <c r="BG12" i="3"/>
  <c r="BG304" i="3"/>
  <c r="BI190" i="3"/>
  <c r="BK319" i="3"/>
  <c r="BI271" i="3"/>
  <c r="BH140" i="3"/>
  <c r="BJ264" i="3"/>
  <c r="BK340" i="3"/>
  <c r="BK276" i="3"/>
  <c r="BH360" i="3"/>
  <c r="BH312" i="3"/>
  <c r="BK66" i="3"/>
  <c r="BH7" i="3"/>
  <c r="BG89" i="3"/>
  <c r="BG13" i="3"/>
  <c r="BI227" i="3"/>
  <c r="BJ257" i="3"/>
  <c r="BH174" i="3"/>
  <c r="BI287" i="3"/>
  <c r="BI338" i="3"/>
  <c r="BH114" i="3"/>
  <c r="BK310" i="3"/>
  <c r="BJ300" i="3"/>
  <c r="BG140" i="3"/>
  <c r="BH125" i="3"/>
  <c r="BH92" i="3"/>
  <c r="BG204" i="3"/>
  <c r="BG5" i="3"/>
  <c r="BJ362" i="3"/>
  <c r="BI350" i="3"/>
  <c r="BI49" i="3"/>
  <c r="BH131" i="3"/>
  <c r="BH31" i="3"/>
  <c r="BG269" i="3"/>
  <c r="BI315" i="3"/>
  <c r="BH60" i="3"/>
  <c r="BK57" i="3"/>
  <c r="BI224" i="3"/>
  <c r="BH57" i="3"/>
  <c r="BK326" i="3"/>
  <c r="BG328" i="3"/>
  <c r="BH313" i="3"/>
  <c r="BG109" i="3"/>
  <c r="BG178" i="3"/>
  <c r="BG224" i="3"/>
  <c r="BG206" i="3"/>
  <c r="BK308" i="3"/>
  <c r="BH262" i="3"/>
  <c r="BK16" i="3"/>
  <c r="BI142" i="3"/>
  <c r="BG84" i="3"/>
  <c r="BH104" i="3"/>
  <c r="BG314" i="3"/>
  <c r="BK363" i="3"/>
  <c r="BH128" i="3"/>
  <c r="BI293" i="3"/>
  <c r="BH177" i="3"/>
  <c r="BH317" i="3"/>
  <c r="BH113" i="3"/>
  <c r="AH6" i="27"/>
  <c r="BJ293" i="3"/>
  <c r="BI9" i="3"/>
  <c r="BK362" i="3"/>
  <c r="BG4" i="3"/>
  <c r="BK125" i="3"/>
  <c r="BI120" i="3"/>
  <c r="BG343" i="3"/>
  <c r="BI181" i="3"/>
  <c r="BH91" i="3"/>
  <c r="BK41" i="3"/>
  <c r="BG239" i="3"/>
  <c r="BH171" i="3"/>
  <c r="BG141" i="3"/>
  <c r="BK165" i="3"/>
  <c r="BG76" i="3"/>
  <c r="BJ331" i="3"/>
  <c r="BK156" i="3"/>
  <c r="BK332" i="3"/>
  <c r="BJ345" i="3"/>
  <c r="BH34" i="3"/>
  <c r="BI218" i="3"/>
  <c r="BK281" i="3"/>
  <c r="BG187" i="3"/>
  <c r="BH322" i="3"/>
  <c r="BG214" i="3"/>
  <c r="BK40" i="3"/>
  <c r="BK299" i="3"/>
  <c r="BG194" i="3"/>
  <c r="BG325" i="3"/>
  <c r="BH11" i="3"/>
  <c r="BK144" i="3"/>
  <c r="BG290" i="3"/>
  <c r="BG197" i="3"/>
  <c r="BJ309" i="3"/>
  <c r="BJ72" i="3"/>
  <c r="BJ204" i="3"/>
  <c r="BK19" i="3"/>
  <c r="BH180" i="3"/>
  <c r="BJ336" i="3"/>
  <c r="BK203" i="3"/>
  <c r="BH336" i="3"/>
  <c r="BH52" i="3"/>
  <c r="BI11" i="3"/>
  <c r="BJ219" i="3"/>
  <c r="BJ91" i="3"/>
  <c r="BI100" i="3"/>
  <c r="BG295" i="3"/>
  <c r="BJ147" i="3"/>
  <c r="BH63" i="3"/>
  <c r="BH308" i="3"/>
  <c r="BJ139" i="3"/>
  <c r="BK135" i="3"/>
  <c r="BG67" i="3"/>
  <c r="BI108" i="3"/>
  <c r="BK120" i="3"/>
  <c r="BJ283" i="3"/>
  <c r="BI48" i="3"/>
  <c r="BG55" i="3"/>
  <c r="BI138" i="3"/>
  <c r="BK275" i="3"/>
  <c r="BK162" i="3"/>
  <c r="BH182" i="3"/>
  <c r="BG335" i="3"/>
  <c r="BJ357" i="3"/>
  <c r="BK289" i="3"/>
  <c r="BI363" i="3"/>
  <c r="BG38" i="3"/>
  <c r="BH261" i="3"/>
  <c r="BK314" i="3"/>
  <c r="BG275" i="3"/>
  <c r="BG119" i="3"/>
  <c r="BG211" i="3"/>
  <c r="BH100" i="3"/>
  <c r="BJ315" i="3"/>
  <c r="BG107" i="3"/>
  <c r="BI98" i="3"/>
  <c r="BK93" i="3"/>
  <c r="BJ32" i="3"/>
  <c r="BI240" i="3"/>
  <c r="BK309" i="3"/>
  <c r="BK254" i="3"/>
  <c r="BG310" i="3"/>
  <c r="BJ89" i="3"/>
  <c r="BI320" i="3"/>
  <c r="M18" i="27"/>
  <c r="BK29" i="3"/>
  <c r="BH236" i="3"/>
  <c r="BI51" i="3"/>
  <c r="BJ145" i="3"/>
  <c r="BK200" i="3"/>
  <c r="T6" i="27"/>
  <c r="BI187" i="3"/>
  <c r="BJ36" i="3"/>
  <c r="BG232" i="3"/>
  <c r="BH253" i="3"/>
  <c r="BG189" i="3"/>
  <c r="BJ93" i="3"/>
  <c r="BK164" i="3"/>
  <c r="BJ18" i="3"/>
  <c r="BG258" i="3"/>
  <c r="BG10" i="3"/>
  <c r="BI262" i="3"/>
  <c r="BK315" i="3"/>
  <c r="BG50" i="3"/>
  <c r="BJ296" i="3"/>
  <c r="BK237" i="3"/>
  <c r="BJ216" i="3"/>
  <c r="BJ251" i="3"/>
  <c r="BK56" i="3"/>
  <c r="BJ305" i="3"/>
  <c r="BJ76" i="3"/>
  <c r="BH105" i="3"/>
  <c r="BI19" i="3"/>
  <c r="BJ104" i="3"/>
  <c r="BK28" i="3"/>
  <c r="BK291" i="3"/>
  <c r="BK55" i="3"/>
  <c r="BH71" i="3"/>
  <c r="BG181" i="3"/>
  <c r="BH136" i="3"/>
  <c r="BI84" i="3"/>
  <c r="BH252" i="3"/>
  <c r="BI78" i="3"/>
  <c r="BK108" i="3"/>
  <c r="BK106" i="3"/>
  <c r="BI178" i="3"/>
  <c r="BJ187" i="3"/>
  <c r="BI269" i="3"/>
  <c r="BG260" i="3"/>
  <c r="BI149" i="3"/>
  <c r="BJ48" i="3"/>
  <c r="BI277" i="3"/>
  <c r="BG36" i="3"/>
  <c r="BJ346" i="3"/>
  <c r="BG227" i="3"/>
  <c r="BH68" i="3"/>
  <c r="BI217" i="3"/>
  <c r="BH344" i="3"/>
  <c r="BH178" i="3"/>
  <c r="BJ266" i="3"/>
  <c r="BK249" i="3"/>
  <c r="BG264" i="3"/>
  <c r="BG136" i="3"/>
  <c r="BH172" i="3"/>
  <c r="BK53" i="3"/>
  <c r="BK72" i="3"/>
  <c r="BI62" i="3"/>
  <c r="BI281" i="3"/>
  <c r="BI113" i="3"/>
  <c r="BH255" i="3"/>
  <c r="BG220" i="3"/>
  <c r="BH226" i="3"/>
  <c r="BH33" i="3"/>
  <c r="BK197" i="3"/>
  <c r="BJ280" i="3"/>
  <c r="BK121" i="3"/>
  <c r="BJ308" i="3"/>
  <c r="BJ223" i="3"/>
  <c r="BK195" i="3"/>
  <c r="BJ84" i="3"/>
  <c r="BH19" i="3"/>
  <c r="BJ4" i="3"/>
  <c r="BI45" i="3"/>
  <c r="BK172" i="3"/>
  <c r="BG253" i="3"/>
  <c r="BI76" i="3"/>
  <c r="BG200" i="3"/>
  <c r="BH315" i="3"/>
  <c r="BJ239" i="3"/>
  <c r="BG33" i="3"/>
  <c r="BI222" i="3"/>
  <c r="BG53" i="3"/>
  <c r="BK168" i="3"/>
  <c r="BG149" i="3"/>
  <c r="BK75" i="3"/>
  <c r="BK136" i="3"/>
  <c r="BH167" i="3"/>
  <c r="BG17" i="3"/>
  <c r="BH363" i="3"/>
  <c r="BJ232" i="3"/>
  <c r="BJ8" i="3"/>
  <c r="BK349" i="3"/>
  <c r="BK38" i="3"/>
  <c r="BH273" i="3"/>
  <c r="BG167" i="3"/>
  <c r="BG116" i="3"/>
  <c r="BG277" i="3"/>
  <c r="BH348" i="3"/>
  <c r="BI18" i="3"/>
  <c r="BH32" i="3"/>
  <c r="BK269" i="3"/>
  <c r="BI177" i="3"/>
  <c r="BH191" i="3"/>
  <c r="BI362" i="3"/>
  <c r="BI207" i="3"/>
  <c r="BK18" i="3"/>
  <c r="BJ31" i="3"/>
  <c r="BI176" i="3"/>
  <c r="BK322" i="3"/>
  <c r="BG188" i="3"/>
  <c r="BG37" i="3"/>
  <c r="BI256" i="3"/>
  <c r="BG137" i="3"/>
  <c r="BI69" i="3"/>
  <c r="BJ241" i="3"/>
  <c r="BJ203" i="3"/>
  <c r="BG144" i="3"/>
  <c r="BJ361" i="3"/>
  <c r="BK143" i="3"/>
  <c r="BG242" i="3"/>
  <c r="BK245" i="3"/>
  <c r="BJ82" i="3"/>
  <c r="BJ170" i="3"/>
  <c r="BI251" i="3"/>
  <c r="BJ200" i="3"/>
  <c r="BH36" i="3"/>
  <c r="BK312" i="3"/>
  <c r="BG313" i="3"/>
  <c r="BH339" i="3"/>
  <c r="BK279" i="3"/>
  <c r="BK86" i="3"/>
  <c r="BH189" i="3"/>
  <c r="BK253" i="3"/>
  <c r="BG18" i="3"/>
  <c r="BG305" i="3"/>
  <c r="BG215" i="3"/>
  <c r="BI167" i="3"/>
  <c r="BI193" i="3"/>
  <c r="BH39" i="3"/>
  <c r="BG39" i="3"/>
  <c r="BK33" i="3"/>
  <c r="BH326" i="3"/>
  <c r="BH21" i="3"/>
  <c r="BK34" i="3"/>
  <c r="BH99" i="3"/>
  <c r="BG44" i="3"/>
  <c r="BK48" i="3"/>
  <c r="BG51" i="3"/>
  <c r="BH294" i="3"/>
  <c r="BJ352" i="3"/>
  <c r="BI297" i="3"/>
  <c r="BJ98" i="3"/>
  <c r="BI283" i="3"/>
  <c r="BI141" i="3"/>
  <c r="BJ289" i="3"/>
  <c r="BI58" i="3"/>
  <c r="BG145" i="3"/>
  <c r="BH266" i="3"/>
  <c r="BH137" i="3"/>
  <c r="BH102" i="3"/>
  <c r="BJ274" i="3"/>
  <c r="BK25" i="3"/>
  <c r="BH147" i="3"/>
  <c r="BI212" i="3"/>
  <c r="BG257" i="3"/>
  <c r="BJ181" i="3"/>
  <c r="BH257" i="3"/>
  <c r="BJ288" i="3"/>
  <c r="BJ153" i="3"/>
  <c r="BG234" i="3"/>
  <c r="BH207" i="3"/>
  <c r="BK327" i="3"/>
  <c r="BK47" i="3"/>
  <c r="BI266" i="3"/>
  <c r="BK294" i="3"/>
  <c r="BJ253" i="3"/>
  <c r="BG320" i="3"/>
  <c r="BJ225" i="3"/>
  <c r="BK84" i="3"/>
  <c r="BJ350" i="3"/>
  <c r="BI53" i="3"/>
  <c r="BG267" i="3"/>
  <c r="BK153" i="3"/>
  <c r="BG101" i="3"/>
  <c r="BK292" i="3"/>
  <c r="BK126" i="3"/>
  <c r="BK282" i="3"/>
  <c r="BK146" i="3"/>
  <c r="BJ172" i="3"/>
  <c r="BI107" i="3"/>
  <c r="BG356" i="3"/>
  <c r="BK201" i="3"/>
  <c r="BI289" i="3"/>
  <c r="BK224" i="3"/>
  <c r="BH276" i="3"/>
  <c r="BI146" i="3"/>
  <c r="BI90" i="3"/>
  <c r="BH221" i="3"/>
  <c r="BI327" i="3"/>
  <c r="BG246" i="3"/>
  <c r="BK109" i="3"/>
  <c r="BI243" i="3"/>
  <c r="BI67" i="3"/>
  <c r="BJ10" i="3"/>
  <c r="BJ116" i="3"/>
  <c r="BK263" i="3"/>
  <c r="BI122" i="3"/>
  <c r="BG284" i="3"/>
  <c r="BJ45" i="3"/>
  <c r="BH211" i="3"/>
  <c r="BG280" i="3"/>
  <c r="BK82" i="3"/>
  <c r="BH346" i="3"/>
  <c r="BK213" i="3"/>
  <c r="BG78" i="3"/>
  <c r="BG190" i="3"/>
  <c r="BJ326" i="3"/>
  <c r="BH74" i="3"/>
  <c r="BI230" i="3"/>
  <c r="BI173" i="3"/>
  <c r="BJ6" i="3"/>
  <c r="BH214" i="3"/>
  <c r="BI134" i="3"/>
  <c r="BK183" i="3"/>
  <c r="BH27" i="3"/>
  <c r="BH81" i="3"/>
  <c r="BJ161" i="3"/>
  <c r="BJ88" i="3"/>
  <c r="BJ334" i="3"/>
  <c r="BH300" i="3"/>
  <c r="BK91" i="3"/>
  <c r="BJ100" i="3"/>
  <c r="BG86" i="3"/>
  <c r="BG217" i="3"/>
  <c r="BK268" i="3"/>
  <c r="BJ128" i="3"/>
  <c r="BJ263" i="3"/>
  <c r="BJ252" i="3"/>
  <c r="BH93" i="3"/>
  <c r="BJ278" i="3"/>
  <c r="BK352" i="3"/>
  <c r="BK229" i="3"/>
  <c r="BH79" i="3"/>
  <c r="BK258" i="3"/>
  <c r="BJ27" i="3"/>
  <c r="BK114" i="3"/>
  <c r="BJ360" i="3"/>
  <c r="BI96" i="3"/>
  <c r="BG34" i="3"/>
  <c r="BH161" i="3"/>
  <c r="BH268" i="3"/>
  <c r="BI168" i="3"/>
  <c r="BG98" i="3"/>
  <c r="BH334" i="3"/>
  <c r="BK12" i="3"/>
  <c r="BG355" i="3"/>
  <c r="BG203" i="3"/>
  <c r="BH304" i="3"/>
  <c r="BI272" i="3"/>
  <c r="BG308" i="3"/>
  <c r="BK6" i="3"/>
  <c r="BH115" i="3"/>
  <c r="BK188" i="3"/>
  <c r="BK128" i="3"/>
  <c r="BJ256" i="3"/>
  <c r="BI264" i="3"/>
  <c r="BH181" i="3"/>
  <c r="BG261" i="3"/>
  <c r="BK333" i="3"/>
  <c r="BH352" i="3"/>
  <c r="BH238" i="3"/>
  <c r="BI183" i="3"/>
  <c r="BG147" i="3"/>
  <c r="BK152" i="3"/>
  <c r="BJ127" i="3"/>
  <c r="BG219" i="3"/>
  <c r="BK228" i="3"/>
  <c r="BH244" i="3"/>
  <c r="BG43" i="3"/>
  <c r="BH127" i="3"/>
  <c r="BH295" i="3"/>
  <c r="BK356" i="3"/>
  <c r="BJ67" i="3"/>
  <c r="BJ339" i="3"/>
  <c r="BK184" i="3"/>
  <c r="BJ267" i="3"/>
  <c r="BG288" i="3"/>
  <c r="BJ235" i="3"/>
  <c r="BK115" i="3"/>
  <c r="BJ152" i="3"/>
  <c r="BH123" i="3"/>
  <c r="BG249" i="3"/>
  <c r="BJ320" i="3"/>
  <c r="BG212" i="3"/>
  <c r="BH222" i="3"/>
  <c r="BJ349" i="3"/>
  <c r="BJ354" i="3"/>
  <c r="BG127" i="3"/>
  <c r="BJ75" i="3"/>
  <c r="BH95" i="3"/>
  <c r="BG100" i="3"/>
  <c r="BG71" i="3"/>
  <c r="BH301" i="3"/>
  <c r="BH6" i="3"/>
  <c r="BG309" i="3"/>
  <c r="BJ68" i="3"/>
  <c r="BG241" i="3"/>
  <c r="BK320" i="3"/>
  <c r="BH220" i="3"/>
  <c r="BK318" i="3"/>
  <c r="BH347" i="3"/>
  <c r="BI71" i="3"/>
  <c r="BI133" i="3"/>
  <c r="BJ250" i="3"/>
  <c r="BH201" i="3"/>
  <c r="BJ341" i="3"/>
  <c r="BJ140" i="3"/>
  <c r="BK180" i="3"/>
  <c r="BJ229" i="3"/>
  <c r="BK160" i="3"/>
  <c r="BI112" i="3"/>
  <c r="BH325" i="3"/>
  <c r="BH103" i="3"/>
  <c r="BK96" i="3"/>
  <c r="BI310" i="3"/>
  <c r="BG344" i="3"/>
  <c r="BI305" i="3"/>
  <c r="BJ214" i="3"/>
  <c r="BI105" i="3"/>
  <c r="BH145" i="3"/>
  <c r="BG88" i="3"/>
  <c r="BK22" i="3"/>
  <c r="BJ90" i="3"/>
  <c r="BK267" i="3"/>
  <c r="BI231" i="3"/>
  <c r="BI154" i="3"/>
  <c r="BH16" i="3"/>
  <c r="BG159" i="3"/>
  <c r="BK300" i="3"/>
  <c r="BG245" i="3"/>
  <c r="BI201" i="3"/>
  <c r="BI319" i="3"/>
  <c r="BK193" i="3"/>
  <c r="BK250" i="3"/>
  <c r="BK112" i="3"/>
  <c r="BJ42" i="3"/>
  <c r="BK187" i="3"/>
  <c r="BI109" i="3"/>
  <c r="BG30" i="3"/>
  <c r="BG360" i="3"/>
  <c r="BG192" i="3"/>
  <c r="BG315" i="3"/>
  <c r="BI200" i="3"/>
  <c r="BK104" i="3"/>
  <c r="BI291" i="3"/>
  <c r="BI21" i="3"/>
  <c r="BK81" i="3"/>
  <c r="BG131" i="3"/>
  <c r="BJ129" i="3"/>
  <c r="BJ34" i="3"/>
  <c r="BH144" i="3"/>
  <c r="BG134" i="3"/>
  <c r="BK353" i="3"/>
  <c r="BK323" i="3"/>
  <c r="BK251" i="3"/>
  <c r="BH25" i="3"/>
  <c r="BI211" i="3"/>
  <c r="BG173" i="3"/>
  <c r="BI234" i="3"/>
  <c r="BK7" i="3"/>
  <c r="BI279" i="3"/>
  <c r="BJ124" i="3"/>
  <c r="BI354" i="3"/>
  <c r="BH286" i="3"/>
  <c r="BI202" i="3"/>
  <c r="BJ332" i="3"/>
  <c r="BH278" i="3"/>
  <c r="BI257" i="3"/>
  <c r="BG75" i="3"/>
  <c r="BH84" i="3"/>
  <c r="BI139" i="3"/>
  <c r="BJ171" i="3"/>
  <c r="BH97" i="3"/>
  <c r="BI203" i="3"/>
  <c r="BG301" i="3"/>
  <c r="BK288" i="3"/>
  <c r="BI253" i="3"/>
  <c r="BK257" i="3"/>
  <c r="BH133" i="3"/>
  <c r="BJ192" i="3"/>
  <c r="BI68" i="3"/>
  <c r="BH86" i="3"/>
  <c r="BH88" i="3"/>
  <c r="BI302" i="3"/>
  <c r="BK94" i="3"/>
  <c r="BG265" i="3"/>
  <c r="BH108" i="3"/>
  <c r="BJ363" i="3"/>
  <c r="BH298" i="3"/>
  <c r="BJ184" i="3"/>
  <c r="BG185" i="3"/>
  <c r="BG298" i="3"/>
  <c r="BH267" i="3"/>
  <c r="BJ335" i="3"/>
  <c r="BK170" i="3"/>
  <c r="BK64" i="3"/>
  <c r="BK334" i="3"/>
  <c r="BJ157" i="3"/>
  <c r="BK99" i="3"/>
  <c r="BK259" i="3"/>
  <c r="BI337" i="3"/>
  <c r="BG138" i="3"/>
  <c r="BK346" i="3"/>
  <c r="BK191" i="3"/>
  <c r="BI179" i="3"/>
  <c r="BK49" i="3"/>
  <c r="BI191" i="3"/>
  <c r="BH275" i="3"/>
  <c r="BI245" i="3"/>
  <c r="BJ40" i="3"/>
  <c r="BH351" i="3"/>
  <c r="BJ185" i="3"/>
  <c r="BJ102" i="3"/>
  <c r="BH265" i="3"/>
  <c r="BJ175" i="3"/>
  <c r="BJ351" i="3"/>
  <c r="BG46" i="3"/>
  <c r="BJ141" i="3"/>
  <c r="BI170" i="3"/>
  <c r="BH45" i="3"/>
  <c r="BI36" i="3"/>
  <c r="BK37" i="3"/>
  <c r="BH270" i="3"/>
  <c r="BI70" i="3"/>
  <c r="BJ164" i="3"/>
  <c r="BG169" i="3"/>
  <c r="BK27" i="3"/>
  <c r="BG172" i="3"/>
  <c r="BJ149" i="3"/>
  <c r="BJ201" i="3"/>
  <c r="BK8" i="3"/>
  <c r="BJ313" i="3"/>
  <c r="BH330" i="3"/>
  <c r="BI329" i="3"/>
  <c r="BH324" i="3"/>
  <c r="BG201" i="3"/>
  <c r="BH106" i="3"/>
  <c r="BJ358" i="3"/>
  <c r="BJ156" i="3"/>
  <c r="CN6" i="27" l="1"/>
  <c r="GF6" i="27"/>
  <c r="EJ6" i="27"/>
  <c r="BM343" i="3"/>
  <c r="BM82" i="3"/>
  <c r="BL98" i="3"/>
  <c r="BL237" i="3"/>
  <c r="BO285" i="3"/>
  <c r="BN90" i="3"/>
  <c r="BN262" i="3"/>
  <c r="BL242" i="3"/>
  <c r="BP267" i="3"/>
  <c r="BL241" i="3"/>
  <c r="BP8" i="3"/>
  <c r="BM73" i="3"/>
  <c r="BN210" i="3"/>
  <c r="BN255" i="3"/>
  <c r="BM240" i="3"/>
  <c r="BM241" i="3"/>
  <c r="BP40" i="3"/>
  <c r="BM144" i="3"/>
  <c r="BL159" i="3"/>
  <c r="BP285" i="3"/>
  <c r="BL79" i="3"/>
  <c r="BP77" i="3"/>
  <c r="BM66" i="3"/>
  <c r="BN353" i="3"/>
  <c r="BM271" i="3"/>
  <c r="BO359" i="3"/>
  <c r="BM99" i="3"/>
  <c r="BN265" i="3"/>
  <c r="BO264" i="3"/>
  <c r="BL24" i="3"/>
  <c r="BO102" i="3"/>
  <c r="BN109" i="3"/>
  <c r="BM334" i="3"/>
  <c r="BP26" i="3"/>
  <c r="BN35" i="3"/>
  <c r="BL4" i="3"/>
  <c r="BS134" i="3"/>
  <c r="BX134" i="3" s="1"/>
  <c r="BS9" i="3"/>
  <c r="BS195" i="3"/>
  <c r="BX195" i="3" s="1"/>
  <c r="BS67" i="3"/>
  <c r="BX67" i="3" s="1"/>
  <c r="BS197" i="3"/>
  <c r="BX197" i="3" s="1"/>
  <c r="BS78" i="3"/>
  <c r="BX78" i="3" s="1"/>
  <c r="BS29" i="3"/>
  <c r="BS8" i="3"/>
  <c r="BS139" i="3"/>
  <c r="BS69" i="3"/>
  <c r="BX69" i="3" s="1"/>
  <c r="BS199" i="3"/>
  <c r="BX199" i="3" s="1"/>
  <c r="BS60" i="3"/>
  <c r="BX60" i="3" s="1"/>
  <c r="BS68" i="3"/>
  <c r="BX68" i="3" s="1"/>
  <c r="BS181" i="3"/>
  <c r="BX181" i="3" s="1"/>
  <c r="BS124" i="3"/>
  <c r="BX124" i="3" s="1"/>
  <c r="BS31" i="3"/>
  <c r="BS137" i="3"/>
  <c r="BX137" i="3" s="1"/>
  <c r="BS89" i="3"/>
  <c r="BX89" i="3" s="1"/>
  <c r="BS71" i="3"/>
  <c r="BX71" i="3" s="1"/>
  <c r="BS20" i="3"/>
  <c r="BS150" i="3"/>
  <c r="BX150" i="3" s="1"/>
  <c r="BS43" i="3"/>
  <c r="BX43" i="3" s="1"/>
  <c r="BS187" i="3"/>
  <c r="BX187" i="3" s="1"/>
  <c r="BS91" i="3"/>
  <c r="BX91" i="3" s="1"/>
  <c r="BS58" i="3"/>
  <c r="BX58" i="3" s="1"/>
  <c r="BS149" i="3"/>
  <c r="BS128" i="3"/>
  <c r="BX128" i="3" s="1"/>
  <c r="BS81" i="3"/>
  <c r="BX81" i="3" s="1"/>
  <c r="BS213" i="3"/>
  <c r="BX213" i="3" s="1"/>
  <c r="BS95" i="3"/>
  <c r="BX95" i="3" s="1"/>
  <c r="BS35" i="3"/>
  <c r="BX35" i="3" s="1"/>
  <c r="BS38" i="3"/>
  <c r="BS151" i="3"/>
  <c r="BX151" i="3" s="1"/>
  <c r="BS116" i="3"/>
  <c r="BX116" i="3" s="1"/>
  <c r="BS21" i="3"/>
  <c r="BS158" i="3"/>
  <c r="BX158" i="3" s="1"/>
  <c r="BS131" i="3"/>
  <c r="BX131" i="3" s="1"/>
  <c r="BS61" i="3"/>
  <c r="BS191" i="3"/>
  <c r="BX191" i="3" s="1"/>
  <c r="BS140" i="3"/>
  <c r="BX140" i="3" s="1"/>
  <c r="BS47" i="3"/>
  <c r="BS170" i="3"/>
  <c r="BS109" i="3"/>
  <c r="BX109" i="3" s="1"/>
  <c r="BS119" i="3"/>
  <c r="BX119" i="3" s="1"/>
  <c r="BS99" i="3"/>
  <c r="BS230" i="3"/>
  <c r="BX230" i="3" s="1"/>
  <c r="BS86" i="3"/>
  <c r="BS354" i="3"/>
  <c r="BX354" i="3" s="1"/>
  <c r="BS189" i="3"/>
  <c r="BX189" i="3" s="1"/>
  <c r="BS228" i="3"/>
  <c r="BX228" i="3" s="1"/>
  <c r="BS122" i="3"/>
  <c r="BX122" i="3" s="1"/>
  <c r="BS334" i="3"/>
  <c r="BX334" i="3" s="1"/>
  <c r="BS155" i="3"/>
  <c r="BX155" i="3" s="1"/>
  <c r="BS72" i="3"/>
  <c r="BX72" i="3" s="1"/>
  <c r="BS115" i="3"/>
  <c r="BX115" i="3" s="1"/>
  <c r="BS333" i="3"/>
  <c r="BX333" i="3" s="1"/>
  <c r="BS186" i="3"/>
  <c r="BX186" i="3" s="1"/>
  <c r="BS82" i="3"/>
  <c r="BX82" i="3" s="1"/>
  <c r="BS63" i="3"/>
  <c r="BX63" i="3" s="1"/>
  <c r="BS12" i="3"/>
  <c r="BS142" i="3"/>
  <c r="BX142" i="3" s="1"/>
  <c r="BS17" i="3"/>
  <c r="BX17" i="3" s="1"/>
  <c r="BS203" i="3"/>
  <c r="BX203" i="3" s="1"/>
  <c r="BS105" i="3"/>
  <c r="BS44" i="3"/>
  <c r="BS178" i="3"/>
  <c r="BX178" i="3" s="1"/>
  <c r="BS87" i="3"/>
  <c r="BX87" i="3" s="1"/>
  <c r="BS207" i="3"/>
  <c r="BX207" i="3" s="1"/>
  <c r="BS296" i="3"/>
  <c r="BS253" i="3"/>
  <c r="BX253" i="3" s="1"/>
  <c r="BS209" i="3"/>
  <c r="BS70" i="3"/>
  <c r="BS295" i="3"/>
  <c r="BX295" i="3" s="1"/>
  <c r="BS50" i="3"/>
  <c r="BS141" i="3"/>
  <c r="BX141" i="3" s="1"/>
  <c r="BS120" i="3"/>
  <c r="BX120" i="3" s="1"/>
  <c r="BS74" i="3"/>
  <c r="BX74" i="3" s="1"/>
  <c r="BS205" i="3"/>
  <c r="BX205" i="3" s="1"/>
  <c r="BS85" i="3"/>
  <c r="BX85" i="3" s="1"/>
  <c r="BS37" i="3"/>
  <c r="BX37" i="3" s="1"/>
  <c r="BS16" i="3"/>
  <c r="BS102" i="3"/>
  <c r="BX102" i="3" s="1"/>
  <c r="BS51" i="3"/>
  <c r="BX51" i="3" s="1"/>
  <c r="BS117" i="3"/>
  <c r="BX117" i="3" s="1"/>
  <c r="BS56" i="3"/>
  <c r="BX56" i="3" s="1"/>
  <c r="BS359" i="3"/>
  <c r="BX359" i="3" s="1"/>
  <c r="BS317" i="3"/>
  <c r="BS260" i="3"/>
  <c r="BX260" i="3" s="1"/>
  <c r="BS24" i="3"/>
  <c r="BS358" i="3"/>
  <c r="BX358" i="3" s="1"/>
  <c r="BS322" i="3"/>
  <c r="BX322" i="3" s="1"/>
  <c r="BS222" i="3"/>
  <c r="BX222" i="3" s="1"/>
  <c r="BS104" i="3"/>
  <c r="BX104" i="3" s="1"/>
  <c r="BS216" i="3"/>
  <c r="BX216" i="3" s="1"/>
  <c r="BS321" i="3"/>
  <c r="BX321" i="3" s="1"/>
  <c r="BS278" i="3"/>
  <c r="BX278" i="3" s="1"/>
  <c r="BS28" i="3"/>
  <c r="BX28" i="3" s="1"/>
  <c r="BS231" i="3"/>
  <c r="BX231" i="3" s="1"/>
  <c r="BS66" i="3"/>
  <c r="BS118" i="3"/>
  <c r="BX118" i="3" s="1"/>
  <c r="BS200" i="3"/>
  <c r="BX200" i="3" s="1"/>
  <c r="BS314" i="3"/>
  <c r="BX314" i="3" s="1"/>
  <c r="BS148" i="3"/>
  <c r="BX148" i="3" s="1"/>
  <c r="BS240" i="3"/>
  <c r="BS325" i="3"/>
  <c r="BX325" i="3" s="1"/>
  <c r="BS162" i="3"/>
  <c r="BX162" i="3" s="1"/>
  <c r="BS238" i="3"/>
  <c r="BX238" i="3" s="1"/>
  <c r="BS330" i="3"/>
  <c r="BX330" i="3" s="1"/>
  <c r="BS284" i="3"/>
  <c r="BX284" i="3" s="1"/>
  <c r="BS40" i="3"/>
  <c r="BX40" i="3" s="1"/>
  <c r="BS256" i="3"/>
  <c r="BX256" i="3" s="1"/>
  <c r="BS194" i="3"/>
  <c r="BX194" i="3" s="1"/>
  <c r="BS251" i="3"/>
  <c r="BX251" i="3" s="1"/>
  <c r="BS7" i="3"/>
  <c r="BS255" i="3"/>
  <c r="BX255" i="3" s="1"/>
  <c r="BS204" i="3"/>
  <c r="BX204" i="3" s="1"/>
  <c r="BS172" i="3"/>
  <c r="BX172" i="3" s="1"/>
  <c r="BS219" i="3"/>
  <c r="BX219" i="3" s="1"/>
  <c r="BS107" i="3"/>
  <c r="BX107" i="3" s="1"/>
  <c r="BS202" i="3"/>
  <c r="BX202" i="3" s="1"/>
  <c r="BS356" i="3"/>
  <c r="BX356" i="3" s="1"/>
  <c r="BS169" i="3"/>
  <c r="BX169" i="3" s="1"/>
  <c r="BS84" i="3"/>
  <c r="BX84" i="3" s="1"/>
  <c r="BS201" i="3"/>
  <c r="BX201" i="3" s="1"/>
  <c r="BS361" i="3"/>
  <c r="BX361" i="3" s="1"/>
  <c r="BS308" i="3"/>
  <c r="BX308" i="3" s="1"/>
  <c r="BS173" i="3"/>
  <c r="BX173" i="3" s="1"/>
  <c r="BS198" i="3"/>
  <c r="BX198" i="3" s="1"/>
  <c r="BS360" i="3"/>
  <c r="BX360" i="3" s="1"/>
  <c r="BS318" i="3"/>
  <c r="BX318" i="3" s="1"/>
  <c r="BX8" i="3"/>
  <c r="BX66" i="3"/>
  <c r="BX16" i="3"/>
  <c r="BS123" i="3"/>
  <c r="BX123" i="3" s="1"/>
  <c r="BS97" i="3"/>
  <c r="BX97" i="3" s="1"/>
  <c r="BS171" i="3"/>
  <c r="BX171" i="3" s="1"/>
  <c r="BS214" i="3"/>
  <c r="BX214" i="3" s="1"/>
  <c r="BS154" i="3"/>
  <c r="BX154" i="3" s="1"/>
  <c r="BS75" i="3"/>
  <c r="BS304" i="3"/>
  <c r="BX304" i="3" s="1"/>
  <c r="BS177" i="3"/>
  <c r="BX177" i="3" s="1"/>
  <c r="BS103" i="3"/>
  <c r="BX103" i="3" s="1"/>
  <c r="BS303" i="3"/>
  <c r="BX303" i="3" s="1"/>
  <c r="BS174" i="3"/>
  <c r="BX174" i="3" s="1"/>
  <c r="BS324" i="3"/>
  <c r="BX324" i="3" s="1"/>
  <c r="BS144" i="3"/>
  <c r="BX144" i="3" s="1"/>
  <c r="BS320" i="3"/>
  <c r="BX320" i="3" s="1"/>
  <c r="BS277" i="3"/>
  <c r="BX277" i="3" s="1"/>
  <c r="BS316" i="3"/>
  <c r="BX316" i="3" s="1"/>
  <c r="BS112" i="3"/>
  <c r="BX112" i="3" s="1"/>
  <c r="BS319" i="3"/>
  <c r="BX319" i="3" s="1"/>
  <c r="BS282" i="3"/>
  <c r="BX282" i="3" s="1"/>
  <c r="BS190" i="3"/>
  <c r="BX190" i="3" s="1"/>
  <c r="BS14" i="3"/>
  <c r="BS176" i="3"/>
  <c r="BX176" i="3" s="1"/>
  <c r="BS281" i="3"/>
  <c r="BX281" i="3" s="1"/>
  <c r="BS237" i="3"/>
  <c r="BX237" i="3" s="1"/>
  <c r="BS19" i="3"/>
  <c r="BS167" i="3"/>
  <c r="BX167" i="3" s="1"/>
  <c r="BS280" i="3"/>
  <c r="BX280" i="3" s="1"/>
  <c r="BS236" i="3"/>
  <c r="BX236" i="3" s="1"/>
  <c r="BS347" i="3"/>
  <c r="BX347" i="3" s="1"/>
  <c r="BS54" i="3"/>
  <c r="BX54" i="3" s="1"/>
  <c r="BS279" i="3"/>
  <c r="BX279" i="3" s="1"/>
  <c r="BS242" i="3"/>
  <c r="BX242" i="3" s="1"/>
  <c r="BS300" i="3"/>
  <c r="BX300" i="3" s="1"/>
  <c r="BX44" i="3"/>
  <c r="BS53" i="3"/>
  <c r="BS6" i="3"/>
  <c r="BS5" i="3"/>
  <c r="BS287" i="3"/>
  <c r="BX287" i="3" s="1"/>
  <c r="BS262" i="3"/>
  <c r="BX262" i="3" s="1"/>
  <c r="BS90" i="3"/>
  <c r="BX90" i="3" s="1"/>
  <c r="BS57" i="3"/>
  <c r="BX57" i="3" s="1"/>
  <c r="BS270" i="3"/>
  <c r="BX270" i="3" s="1"/>
  <c r="BS221" i="3"/>
  <c r="BX221" i="3" s="1"/>
  <c r="BS49" i="3"/>
  <c r="BX49" i="3" s="1"/>
  <c r="BS269" i="3"/>
  <c r="BX269" i="3" s="1"/>
  <c r="BS362" i="3"/>
  <c r="BX362" i="3" s="1"/>
  <c r="BS93" i="3"/>
  <c r="BX93" i="3" s="1"/>
  <c r="BS164" i="3"/>
  <c r="BX164" i="3" s="1"/>
  <c r="BS341" i="3"/>
  <c r="BX341" i="3" s="1"/>
  <c r="BS355" i="3"/>
  <c r="BX355" i="3" s="1"/>
  <c r="BS48" i="3"/>
  <c r="BX48" i="3" s="1"/>
  <c r="BS161" i="3"/>
  <c r="BX161" i="3" s="1"/>
  <c r="BS346" i="3"/>
  <c r="BX346" i="3" s="1"/>
  <c r="BS244" i="3"/>
  <c r="BX244" i="3" s="1"/>
  <c r="BS157" i="3"/>
  <c r="BX157" i="3" s="1"/>
  <c r="BS156" i="3"/>
  <c r="BX156" i="3" s="1"/>
  <c r="BS345" i="3"/>
  <c r="BX345" i="3" s="1"/>
  <c r="BS302" i="3"/>
  <c r="BX302" i="3" s="1"/>
  <c r="BS88" i="3"/>
  <c r="BX88" i="3" s="1"/>
  <c r="BS33" i="3"/>
  <c r="BX33" i="3" s="1"/>
  <c r="BS344" i="3"/>
  <c r="BX344" i="3" s="1"/>
  <c r="BS301" i="3"/>
  <c r="BX301" i="3" s="1"/>
  <c r="BS138" i="3"/>
  <c r="BX138" i="3" s="1"/>
  <c r="BS143" i="3"/>
  <c r="BX143" i="3" s="1"/>
  <c r="BS343" i="3"/>
  <c r="BX343" i="3" s="1"/>
  <c r="BS306" i="3"/>
  <c r="BX306" i="3" s="1"/>
  <c r="BS307" i="3"/>
  <c r="BX307" i="3" s="1"/>
  <c r="BS183" i="3"/>
  <c r="BS77" i="3"/>
  <c r="BX77" i="3" s="1"/>
  <c r="BS125" i="3"/>
  <c r="BX125" i="3" s="1"/>
  <c r="BS350" i="3"/>
  <c r="BX350" i="3" s="1"/>
  <c r="BS326" i="3"/>
  <c r="BX326" i="3" s="1"/>
  <c r="BS106" i="3"/>
  <c r="BX106" i="3" s="1"/>
  <c r="BS249" i="3"/>
  <c r="BX249" i="3" s="1"/>
  <c r="BS363" i="3"/>
  <c r="BS76" i="3"/>
  <c r="BX76" i="3" s="1"/>
  <c r="BS248" i="3"/>
  <c r="BX248" i="3" s="1"/>
  <c r="BS196" i="3"/>
  <c r="BS179" i="3"/>
  <c r="BX179" i="3" s="1"/>
  <c r="BS160" i="3"/>
  <c r="BX160" i="3" s="1"/>
  <c r="BS265" i="3"/>
  <c r="BX265" i="3" s="1"/>
  <c r="BS212" i="3"/>
  <c r="BX212" i="3" s="1"/>
  <c r="BS259" i="3"/>
  <c r="BX259" i="3" s="1"/>
  <c r="BS152" i="3"/>
  <c r="BX152" i="3" s="1"/>
  <c r="BS264" i="3"/>
  <c r="BX264" i="3" s="1"/>
  <c r="BS210" i="3"/>
  <c r="BX210" i="3" s="1"/>
  <c r="BS283" i="3"/>
  <c r="BX283" i="3" s="1"/>
  <c r="BS15" i="3"/>
  <c r="BS263" i="3"/>
  <c r="BX263" i="3" s="1"/>
  <c r="BS220" i="3"/>
  <c r="BX220" i="3" s="1"/>
  <c r="BS235" i="3"/>
  <c r="BX235" i="3" s="1"/>
  <c r="BS13" i="3"/>
  <c r="BS114" i="3"/>
  <c r="BX114" i="3" s="1"/>
  <c r="BS218" i="3"/>
  <c r="BX218" i="3" s="1"/>
  <c r="BS34" i="3"/>
  <c r="BS234" i="3"/>
  <c r="BX234" i="3" s="1"/>
  <c r="BS92" i="3"/>
  <c r="BS217" i="3"/>
  <c r="BX217" i="3" s="1"/>
  <c r="BS26" i="3"/>
  <c r="BS340" i="3"/>
  <c r="BX340" i="3" s="1"/>
  <c r="BX139" i="3"/>
  <c r="BX38" i="3"/>
  <c r="BS132" i="3"/>
  <c r="BX132" i="3" s="1"/>
  <c r="BS136" i="3"/>
  <c r="BX136" i="3" s="1"/>
  <c r="BS52" i="3"/>
  <c r="BX52" i="3" s="1"/>
  <c r="BS241" i="3"/>
  <c r="BX241" i="3" s="1"/>
  <c r="BS332" i="3"/>
  <c r="BX332" i="3" s="1"/>
  <c r="BS215" i="3"/>
  <c r="BX215" i="3" s="1"/>
  <c r="BS313" i="3"/>
  <c r="BX313" i="3" s="1"/>
  <c r="BS73" i="3"/>
  <c r="BX73" i="3" s="1"/>
  <c r="BS32" i="3"/>
  <c r="BX32" i="3" s="1"/>
  <c r="BS312" i="3"/>
  <c r="BX312" i="3" s="1"/>
  <c r="BS342" i="3"/>
  <c r="BX342" i="3" s="1"/>
  <c r="BS110" i="3"/>
  <c r="BX110" i="3" s="1"/>
  <c r="BS42" i="3"/>
  <c r="BX42" i="3" s="1"/>
  <c r="BS329" i="3"/>
  <c r="BX329" i="3" s="1"/>
  <c r="BS286" i="3"/>
  <c r="BX286" i="3" s="1"/>
  <c r="BS36" i="3"/>
  <c r="BS239" i="3"/>
  <c r="BX239" i="3" s="1"/>
  <c r="BS328" i="3"/>
  <c r="BX328" i="3" s="1"/>
  <c r="BS285" i="3"/>
  <c r="BX285" i="3" s="1"/>
  <c r="BS348" i="3"/>
  <c r="BX348" i="3" s="1"/>
  <c r="BS127" i="3"/>
  <c r="BX127" i="3" s="1"/>
  <c r="BS327" i="3"/>
  <c r="BX327" i="3" s="1"/>
  <c r="BS290" i="3"/>
  <c r="BX290" i="3" s="1"/>
  <c r="BS243" i="3"/>
  <c r="BX243" i="3" s="1"/>
  <c r="BS22" i="3"/>
  <c r="BX22" i="3" s="1"/>
  <c r="BS184" i="3"/>
  <c r="BX184" i="3" s="1"/>
  <c r="BS289" i="3"/>
  <c r="BX289" i="3" s="1"/>
  <c r="BS246" i="3"/>
  <c r="BX246" i="3" s="1"/>
  <c r="BS80" i="3"/>
  <c r="BS175" i="3"/>
  <c r="BX175" i="3" s="1"/>
  <c r="BS288" i="3"/>
  <c r="BX288" i="3" s="1"/>
  <c r="BS245" i="3"/>
  <c r="BX245" i="3" s="1"/>
  <c r="BS79" i="3"/>
  <c r="BX79" i="3" s="1"/>
  <c r="BX70" i="3"/>
  <c r="BX24" i="3"/>
  <c r="BS39" i="3"/>
  <c r="BX39" i="3" s="1"/>
  <c r="BS27" i="3"/>
  <c r="BS46" i="3"/>
  <c r="BX46" i="3" s="1"/>
  <c r="BS305" i="3"/>
  <c r="BX305" i="3" s="1"/>
  <c r="BS339" i="3"/>
  <c r="BS64" i="3"/>
  <c r="BX64" i="3" s="1"/>
  <c r="BS258" i="3"/>
  <c r="BS252" i="3"/>
  <c r="BX252" i="3" s="1"/>
  <c r="BS113" i="3"/>
  <c r="BS257" i="3"/>
  <c r="BX257" i="3" s="1"/>
  <c r="BS323" i="3"/>
  <c r="BX323" i="3" s="1"/>
  <c r="BS111" i="3"/>
  <c r="BX111" i="3" s="1"/>
  <c r="BS247" i="3"/>
  <c r="BX247" i="3" s="1"/>
  <c r="BS188" i="3"/>
  <c r="BX188" i="3" s="1"/>
  <c r="BS357" i="3"/>
  <c r="BX357" i="3" s="1"/>
  <c r="BS211" i="3"/>
  <c r="BX211" i="3" s="1"/>
  <c r="BS100" i="3"/>
  <c r="BX100" i="3" s="1"/>
  <c r="BS185" i="3"/>
  <c r="BX185" i="3" s="1"/>
  <c r="BS349" i="3"/>
  <c r="BX349" i="3" s="1"/>
  <c r="BS291" i="3"/>
  <c r="BX291" i="3" s="1"/>
  <c r="BS55" i="3"/>
  <c r="BX55" i="3" s="1"/>
  <c r="BS182" i="3"/>
  <c r="BX182" i="3" s="1"/>
  <c r="BS353" i="3"/>
  <c r="BX353" i="3" s="1"/>
  <c r="BS276" i="3"/>
  <c r="BS165" i="3"/>
  <c r="BX165" i="3" s="1"/>
  <c r="BS180" i="3"/>
  <c r="BX180" i="3" s="1"/>
  <c r="BS352" i="3"/>
  <c r="BX352" i="3" s="1"/>
  <c r="BS310" i="3"/>
  <c r="BX310" i="3" s="1"/>
  <c r="BS96" i="3"/>
  <c r="BX96" i="3" s="1"/>
  <c r="BS41" i="3"/>
  <c r="BS351" i="3"/>
  <c r="BX351" i="3" s="1"/>
  <c r="BS309" i="3"/>
  <c r="BX309" i="3" s="1"/>
  <c r="BS224" i="3"/>
  <c r="BX363" i="3"/>
  <c r="BX18" i="3"/>
  <c r="BS98" i="3"/>
  <c r="BX98" i="3" s="1"/>
  <c r="BS163" i="3"/>
  <c r="BX163" i="3" s="1"/>
  <c r="BS62" i="3"/>
  <c r="BX62" i="3" s="1"/>
  <c r="BS65" i="3"/>
  <c r="BX65" i="3" s="1"/>
  <c r="BS299" i="3"/>
  <c r="BX299" i="3" s="1"/>
  <c r="BS145" i="3"/>
  <c r="BX145" i="3" s="1"/>
  <c r="BS146" i="3"/>
  <c r="BX146" i="3" s="1"/>
  <c r="BS292" i="3"/>
  <c r="BX292" i="3" s="1"/>
  <c r="BS223" i="3"/>
  <c r="BX223" i="3" s="1"/>
  <c r="BS166" i="3"/>
  <c r="BX166" i="3" s="1"/>
  <c r="BS18" i="3"/>
  <c r="BS229" i="3"/>
  <c r="BX229" i="3" s="1"/>
  <c r="BS311" i="3"/>
  <c r="BX311" i="3" s="1"/>
  <c r="BS274" i="3"/>
  <c r="BX274" i="3" s="1"/>
  <c r="BS10" i="3"/>
  <c r="BS133" i="3"/>
  <c r="BX133" i="3" s="1"/>
  <c r="BS168" i="3"/>
  <c r="BX168" i="3" s="1"/>
  <c r="BS273" i="3"/>
  <c r="BX273" i="3" s="1"/>
  <c r="BS226" i="3"/>
  <c r="BX226" i="3" s="1"/>
  <c r="BS11" i="3"/>
  <c r="BX11" i="3" s="1"/>
  <c r="BS159" i="3"/>
  <c r="BS272" i="3"/>
  <c r="BX272" i="3" s="1"/>
  <c r="BS225" i="3"/>
  <c r="BX225" i="3" s="1"/>
  <c r="BS315" i="3"/>
  <c r="BX315" i="3" s="1"/>
  <c r="BS23" i="3"/>
  <c r="BS271" i="3"/>
  <c r="BX271" i="3" s="1"/>
  <c r="BS233" i="3"/>
  <c r="BX233" i="3" s="1"/>
  <c r="BS268" i="3"/>
  <c r="BX268" i="3" s="1"/>
  <c r="BS45" i="3"/>
  <c r="BX45" i="3" s="1"/>
  <c r="BS121" i="3"/>
  <c r="BS232" i="3"/>
  <c r="BX232" i="3" s="1"/>
  <c r="BS94" i="3"/>
  <c r="BX94" i="3" s="1"/>
  <c r="BS267" i="3"/>
  <c r="BX267" i="3" s="1"/>
  <c r="BX80" i="3"/>
  <c r="BX20" i="3"/>
  <c r="BS261" i="3"/>
  <c r="BX261" i="3" s="1"/>
  <c r="BS193" i="3"/>
  <c r="BX193" i="3" s="1"/>
  <c r="BS293" i="3"/>
  <c r="BX293" i="3" s="1"/>
  <c r="BS297" i="3"/>
  <c r="BX297" i="3" s="1"/>
  <c r="BS331" i="3"/>
  <c r="BX331" i="3" s="1"/>
  <c r="BS126" i="3"/>
  <c r="BX126" i="3" s="1"/>
  <c r="BS130" i="3"/>
  <c r="BS254" i="3"/>
  <c r="BX254" i="3" s="1"/>
  <c r="BS4" i="3"/>
  <c r="BX4" i="3" s="1"/>
  <c r="BS153" i="3"/>
  <c r="BX153" i="3" s="1"/>
  <c r="BS101" i="3"/>
  <c r="BX101" i="3" s="1"/>
  <c r="BS135" i="3"/>
  <c r="BX135" i="3" s="1"/>
  <c r="BX258" i="3"/>
  <c r="BS227" i="3"/>
  <c r="BX227" i="3" s="1"/>
  <c r="BS266" i="3"/>
  <c r="BX266" i="3" s="1"/>
  <c r="BS337" i="3"/>
  <c r="BX337" i="3" s="1"/>
  <c r="BS335" i="3"/>
  <c r="BX335" i="3" s="1"/>
  <c r="BX47" i="3"/>
  <c r="BS129" i="3"/>
  <c r="BX129" i="3" s="1"/>
  <c r="BS206" i="3"/>
  <c r="BX206" i="3" s="1"/>
  <c r="BS294" i="3"/>
  <c r="BX294" i="3" s="1"/>
  <c r="BS298" i="3"/>
  <c r="BX298" i="3" s="1"/>
  <c r="BX14" i="3"/>
  <c r="BX7" i="3"/>
  <c r="BX50" i="3"/>
  <c r="BS250" i="3"/>
  <c r="BX250" i="3" s="1"/>
  <c r="BS83" i="3"/>
  <c r="BX83" i="3" s="1"/>
  <c r="BS59" i="3"/>
  <c r="BX59" i="3" s="1"/>
  <c r="BS275" i="3"/>
  <c r="BX275" i="3" s="1"/>
  <c r="BS147" i="3"/>
  <c r="BX147" i="3" s="1"/>
  <c r="BS108" i="3"/>
  <c r="BX108" i="3" s="1"/>
  <c r="BS25" i="3"/>
  <c r="BX25" i="3" s="1"/>
  <c r="BS30" i="3"/>
  <c r="BX30" i="3" s="1"/>
  <c r="BX339" i="3"/>
  <c r="BX36" i="3"/>
  <c r="BX6" i="3"/>
  <c r="BX5" i="3"/>
  <c r="BS208" i="3"/>
  <c r="BX208" i="3" s="1"/>
  <c r="BX86" i="3"/>
  <c r="BS338" i="3"/>
  <c r="BX338" i="3" s="1"/>
  <c r="BX105" i="3"/>
  <c r="BS336" i="3"/>
  <c r="BX336" i="3" s="1"/>
  <c r="BS192" i="3"/>
  <c r="BX192" i="3" s="1"/>
  <c r="BX99" i="3"/>
  <c r="BX92" i="3"/>
  <c r="BX53" i="3"/>
  <c r="BM52" i="3"/>
  <c r="BM278" i="3"/>
  <c r="BO210" i="3"/>
  <c r="BN136" i="3"/>
  <c r="EV6" i="27"/>
  <c r="GR6" i="27"/>
  <c r="CZ6" i="27"/>
  <c r="BM248" i="3"/>
  <c r="BP305" i="3"/>
  <c r="BM167" i="3"/>
  <c r="BP245" i="3"/>
  <c r="BM39" i="3"/>
  <c r="BO355" i="3"/>
  <c r="BP198" i="3"/>
  <c r="BO62" i="3"/>
  <c r="BP257" i="3"/>
  <c r="BN53" i="3"/>
  <c r="BM299" i="3"/>
  <c r="BP193" i="3"/>
  <c r="BO241" i="3"/>
  <c r="BP234" i="3"/>
  <c r="BL273" i="3"/>
  <c r="BL353" i="3"/>
  <c r="BN189" i="3"/>
  <c r="BM322" i="3"/>
  <c r="BM174" i="3"/>
  <c r="BM214" i="3"/>
  <c r="BP164" i="3"/>
  <c r="BL229" i="3"/>
  <c r="BM289" i="3"/>
  <c r="BP120" i="3"/>
  <c r="BM363" i="3"/>
  <c r="BL352" i="3"/>
  <c r="BP313" i="3"/>
  <c r="BM259" i="3"/>
  <c r="BL224" i="3"/>
  <c r="BL205" i="3"/>
  <c r="BN176" i="3"/>
  <c r="BO291" i="3"/>
  <c r="BM92" i="3"/>
  <c r="BL311" i="3"/>
  <c r="BN145" i="3"/>
  <c r="BM176" i="3"/>
  <c r="BO361" i="3"/>
  <c r="BN259" i="3"/>
  <c r="BO246" i="3"/>
  <c r="BN343" i="3"/>
  <c r="BL192" i="3"/>
  <c r="BO314" i="3"/>
  <c r="BN173" i="3"/>
  <c r="BN76" i="3"/>
  <c r="BN312" i="3"/>
  <c r="BO204" i="3"/>
  <c r="BN11" i="3"/>
  <c r="BM165" i="3"/>
  <c r="BO340" i="3"/>
  <c r="BM307" i="3"/>
  <c r="BL123" i="3"/>
  <c r="BP322" i="3"/>
  <c r="BP57" i="3"/>
  <c r="BN133" i="3"/>
  <c r="BN286" i="3"/>
  <c r="BP269" i="3"/>
  <c r="BP218" i="3"/>
  <c r="BP253" i="3"/>
  <c r="BP167" i="3"/>
  <c r="BN71" i="3"/>
  <c r="BL342" i="3"/>
  <c r="BM95" i="3"/>
  <c r="BL304" i="3"/>
  <c r="BL134" i="3"/>
  <c r="BM360" i="3"/>
  <c r="BO90" i="3"/>
  <c r="BL166" i="3"/>
  <c r="BP289" i="3"/>
  <c r="BL210" i="3"/>
  <c r="BP317" i="3"/>
  <c r="BO256" i="3"/>
  <c r="BL332" i="3"/>
  <c r="BN25" i="3"/>
  <c r="BO189" i="3"/>
  <c r="BM30" i="3"/>
  <c r="BM68" i="3"/>
  <c r="BM21" i="3"/>
  <c r="BL308" i="3"/>
  <c r="BL233" i="3"/>
  <c r="BN65" i="3"/>
  <c r="BP176" i="3"/>
  <c r="BN212" i="3"/>
  <c r="BM121" i="3"/>
  <c r="BP282" i="3"/>
  <c r="BP160" i="3"/>
  <c r="BL206" i="3"/>
  <c r="BM233" i="3"/>
  <c r="CN18" i="27"/>
  <c r="GF18" i="27"/>
  <c r="EJ18" i="27"/>
  <c r="BM137" i="3"/>
  <c r="BO333" i="3"/>
  <c r="BL107" i="3"/>
  <c r="BN298" i="3"/>
  <c r="BM33" i="3"/>
  <c r="BM313" i="3"/>
  <c r="BO184" i="3"/>
  <c r="BL14" i="3"/>
  <c r="BL12" i="3"/>
  <c r="BM348" i="3"/>
  <c r="BL67" i="3"/>
  <c r="BO174" i="3"/>
  <c r="BM351" i="3"/>
  <c r="BN324" i="3"/>
  <c r="BO223" i="3"/>
  <c r="BL37" i="3"/>
  <c r="BM219" i="3"/>
  <c r="BN97" i="3"/>
  <c r="BN29" i="3"/>
  <c r="BP188" i="3"/>
  <c r="BP163" i="3"/>
  <c r="BL44" i="3"/>
  <c r="BM170" i="3"/>
  <c r="BM11" i="3"/>
  <c r="BP124" i="3"/>
  <c r="BN257" i="3"/>
  <c r="BP5" i="3"/>
  <c r="BP360" i="3"/>
  <c r="BM94" i="3"/>
  <c r="BL197" i="3"/>
  <c r="BO230" i="3"/>
  <c r="BL60" i="3"/>
  <c r="BO250" i="3"/>
  <c r="BM193" i="3"/>
  <c r="BO147" i="3"/>
  <c r="BP78" i="3"/>
  <c r="BP44" i="3"/>
  <c r="BL246" i="3"/>
  <c r="BN252" i="3"/>
  <c r="BO145" i="3"/>
  <c r="BN245" i="3"/>
  <c r="BO129" i="3"/>
  <c r="BN198" i="3"/>
  <c r="BL40" i="3"/>
  <c r="BN284" i="3"/>
  <c r="BN20" i="3"/>
  <c r="BN303" i="3"/>
  <c r="BL194" i="3"/>
  <c r="BO43" i="3"/>
  <c r="BN43" i="3"/>
  <c r="BL254" i="3"/>
  <c r="BL351" i="3"/>
  <c r="BM110" i="3"/>
  <c r="BN96" i="3"/>
  <c r="BL290" i="3"/>
  <c r="BM172" i="3"/>
  <c r="BN33" i="3"/>
  <c r="BO38" i="3"/>
  <c r="BM6" i="3"/>
  <c r="BL59" i="3"/>
  <c r="BM273" i="3"/>
  <c r="BO357" i="3"/>
  <c r="BM324" i="3"/>
  <c r="BM347" i="3"/>
  <c r="BP306" i="3"/>
  <c r="BO169" i="3"/>
  <c r="BP126" i="3"/>
  <c r="BN246" i="3"/>
  <c r="BN274" i="3"/>
  <c r="BL49" i="3"/>
  <c r="BM42" i="3"/>
  <c r="BP346" i="3"/>
  <c r="BN167" i="3"/>
  <c r="BL309" i="3"/>
  <c r="BL103" i="3"/>
  <c r="BM146" i="3"/>
  <c r="BN291" i="3"/>
  <c r="BO153" i="3"/>
  <c r="BM71" i="3"/>
  <c r="BP25" i="3"/>
  <c r="BP224" i="3"/>
  <c r="BO75" i="3"/>
  <c r="BP153" i="3"/>
  <c r="BL149" i="3"/>
  <c r="BN361" i="3"/>
  <c r="BM272" i="3"/>
  <c r="BM201" i="3"/>
  <c r="BL32" i="3"/>
  <c r="BP118" i="3"/>
  <c r="BP287" i="3"/>
  <c r="BO269" i="3"/>
  <c r="BM171" i="3"/>
  <c r="BO240" i="3"/>
  <c r="BO194" i="3"/>
  <c r="BN236" i="3"/>
  <c r="BL13" i="3"/>
  <c r="BO20" i="3"/>
  <c r="BP259" i="3"/>
  <c r="BO300" i="3"/>
  <c r="BM141" i="3"/>
  <c r="EP6" i="27"/>
  <c r="CT6" i="27"/>
  <c r="GL6" i="27"/>
  <c r="BP249" i="3"/>
  <c r="BO68" i="3"/>
  <c r="BP121" i="3"/>
  <c r="BP76" i="3"/>
  <c r="BM320" i="3"/>
  <c r="BO17" i="3"/>
  <c r="BL265" i="3"/>
  <c r="BO83" i="3"/>
  <c r="BO130" i="3"/>
  <c r="BO171" i="3"/>
  <c r="BO6" i="3"/>
  <c r="BO64" i="3"/>
  <c r="BL140" i="3"/>
  <c r="BO206" i="3"/>
  <c r="BN135" i="3"/>
  <c r="BP266" i="3"/>
  <c r="BM60" i="3"/>
  <c r="BP32" i="3"/>
  <c r="BO59" i="3"/>
  <c r="BO170" i="3"/>
  <c r="BP151" i="3"/>
  <c r="BO293" i="3"/>
  <c r="BP79" i="3"/>
  <c r="BN201" i="3"/>
  <c r="BM35" i="3"/>
  <c r="BM108" i="3"/>
  <c r="BN301" i="3"/>
  <c r="BN282" i="3"/>
  <c r="BL300" i="3"/>
  <c r="BL360" i="3"/>
  <c r="BP173" i="3"/>
  <c r="BP291" i="3"/>
  <c r="BN319" i="3"/>
  <c r="BL138" i="3"/>
  <c r="BL83" i="3"/>
  <c r="BL215" i="3"/>
  <c r="BO79" i="3"/>
  <c r="BM198" i="3"/>
  <c r="BL127" i="3"/>
  <c r="BO42" i="3"/>
  <c r="BM352" i="3"/>
  <c r="BO304" i="3"/>
  <c r="BL306" i="3"/>
  <c r="BP93" i="3"/>
  <c r="BM181" i="3"/>
  <c r="BL42" i="3"/>
  <c r="BO150" i="3"/>
  <c r="BN127" i="3"/>
  <c r="BO341" i="3"/>
  <c r="BL240" i="3"/>
  <c r="BL10" i="3"/>
  <c r="BL326" i="3"/>
  <c r="BL89" i="3"/>
  <c r="BP102" i="3"/>
  <c r="BM150" i="3"/>
  <c r="BO58" i="3"/>
  <c r="BO48" i="3"/>
  <c r="BN184" i="3"/>
  <c r="BL208" i="3"/>
  <c r="BO358" i="3"/>
  <c r="BL281" i="3"/>
  <c r="BM76" i="3"/>
  <c r="BL80" i="3"/>
  <c r="BM270" i="3"/>
  <c r="BN271" i="3"/>
  <c r="BN175" i="3"/>
  <c r="BM103" i="3"/>
  <c r="BN269" i="3"/>
  <c r="BN99" i="3"/>
  <c r="BN275" i="3"/>
  <c r="BM74" i="3"/>
  <c r="BM159" i="3"/>
  <c r="BO166" i="3"/>
  <c r="BN229" i="3"/>
  <c r="BO232" i="3"/>
  <c r="BL43" i="3"/>
  <c r="BM48" i="3"/>
  <c r="BM49" i="3"/>
  <c r="BM288" i="3"/>
  <c r="BM356" i="3"/>
  <c r="BO30" i="3"/>
  <c r="BN180" i="3"/>
  <c r="BL313" i="3"/>
  <c r="BM36" i="3"/>
  <c r="BP9" i="3"/>
  <c r="BL356" i="3"/>
  <c r="BM83" i="3"/>
  <c r="BN300" i="3"/>
  <c r="BO332" i="3"/>
  <c r="BM221" i="3"/>
  <c r="BO200" i="3"/>
  <c r="BP238" i="3"/>
  <c r="BN330" i="3"/>
  <c r="BN143" i="3"/>
  <c r="BP49" i="3"/>
  <c r="BO41" i="3"/>
  <c r="BN130" i="3"/>
  <c r="BM125" i="3"/>
  <c r="BN220" i="3"/>
  <c r="BL230" i="3"/>
  <c r="BP201" i="3"/>
  <c r="BN164" i="3"/>
  <c r="BP142" i="3"/>
  <c r="BN117" i="3"/>
  <c r="BN139" i="3"/>
  <c r="BU262" i="3"/>
  <c r="BZ262" i="3" s="1"/>
  <c r="BU72" i="3"/>
  <c r="BZ72" i="3" s="1"/>
  <c r="BU206" i="3"/>
  <c r="BZ206" i="3" s="1"/>
  <c r="BU12" i="3"/>
  <c r="BU214" i="3"/>
  <c r="BZ214" i="3" s="1"/>
  <c r="BU20" i="3"/>
  <c r="BU350" i="3"/>
  <c r="BZ350" i="3" s="1"/>
  <c r="BU169" i="3"/>
  <c r="BZ169" i="3" s="1"/>
  <c r="BU145" i="3"/>
  <c r="BZ145" i="3" s="1"/>
  <c r="BU302" i="3"/>
  <c r="BZ302" i="3" s="1"/>
  <c r="BU115" i="3"/>
  <c r="BZ115" i="3" s="1"/>
  <c r="BU93" i="3"/>
  <c r="BU51" i="3"/>
  <c r="BZ51" i="3" s="1"/>
  <c r="BU353" i="3"/>
  <c r="BZ353" i="3" s="1"/>
  <c r="BU149" i="3"/>
  <c r="BU284" i="3"/>
  <c r="BZ284" i="3" s="1"/>
  <c r="BU108" i="3"/>
  <c r="BZ108" i="3" s="1"/>
  <c r="BU326" i="3"/>
  <c r="BZ326" i="3" s="1"/>
  <c r="BU138" i="3"/>
  <c r="BZ138" i="3" s="1"/>
  <c r="BU270" i="3"/>
  <c r="BZ270" i="3" s="1"/>
  <c r="BU80" i="3"/>
  <c r="BZ80" i="3" s="1"/>
  <c r="BU278" i="3"/>
  <c r="BZ278" i="3" s="1"/>
  <c r="BU94" i="3"/>
  <c r="BZ94" i="3" s="1"/>
  <c r="BU64" i="3"/>
  <c r="BZ64" i="3" s="1"/>
  <c r="BU49" i="3"/>
  <c r="BZ49" i="3" s="1"/>
  <c r="BU207" i="3"/>
  <c r="BZ207" i="3" s="1"/>
  <c r="BN4" i="3"/>
  <c r="BU11" i="3"/>
  <c r="BU168" i="3"/>
  <c r="BZ168" i="3" s="1"/>
  <c r="BU232" i="3"/>
  <c r="BZ232" i="3" s="1"/>
  <c r="BU59" i="3"/>
  <c r="BZ59" i="3" s="1"/>
  <c r="BU211" i="3"/>
  <c r="BZ211" i="3" s="1"/>
  <c r="BU348" i="3"/>
  <c r="BZ348" i="3" s="1"/>
  <c r="BU240" i="3"/>
  <c r="BU42" i="3"/>
  <c r="BZ42" i="3" s="1"/>
  <c r="BU208" i="3"/>
  <c r="BZ208" i="3" s="1"/>
  <c r="BU334" i="3"/>
  <c r="BZ334" i="3" s="1"/>
  <c r="BU146" i="3"/>
  <c r="BZ146" i="3" s="1"/>
  <c r="BU342" i="3"/>
  <c r="BZ342" i="3" s="1"/>
  <c r="BU154" i="3"/>
  <c r="BZ154" i="3" s="1"/>
  <c r="BU130" i="3"/>
  <c r="BU106" i="3"/>
  <c r="BU271" i="3"/>
  <c r="BZ271" i="3" s="1"/>
  <c r="BU79" i="3"/>
  <c r="BZ79" i="3" s="1"/>
  <c r="BU70" i="3"/>
  <c r="BZ70" i="3" s="1"/>
  <c r="BU231" i="3"/>
  <c r="BZ231" i="3" s="1"/>
  <c r="BU312" i="3"/>
  <c r="BZ312" i="3" s="1"/>
  <c r="BU117" i="3"/>
  <c r="BZ117" i="3" s="1"/>
  <c r="BU275" i="3"/>
  <c r="BU107" i="3"/>
  <c r="BZ107" i="3" s="1"/>
  <c r="BU272" i="3"/>
  <c r="BZ272" i="3" s="1"/>
  <c r="BU50" i="3"/>
  <c r="BU216" i="3"/>
  <c r="BZ216" i="3" s="1"/>
  <c r="BU58" i="3"/>
  <c r="BU41" i="3"/>
  <c r="BU199" i="3"/>
  <c r="BZ199" i="3" s="1"/>
  <c r="BU167" i="3"/>
  <c r="BZ167" i="3" s="1"/>
  <c r="BU335" i="3"/>
  <c r="BU153" i="3"/>
  <c r="BZ153" i="3" s="1"/>
  <c r="BU129" i="3"/>
  <c r="BZ129" i="3" s="1"/>
  <c r="BU295" i="3"/>
  <c r="BU29" i="3"/>
  <c r="BZ29" i="3" s="1"/>
  <c r="BU179" i="3"/>
  <c r="BZ179" i="3" s="1"/>
  <c r="BU339" i="3"/>
  <c r="BZ339" i="3" s="1"/>
  <c r="BU120" i="3"/>
  <c r="BZ120" i="3" s="1"/>
  <c r="BU36" i="3"/>
  <c r="BU186" i="3"/>
  <c r="BZ186" i="3" s="1"/>
  <c r="BU18" i="3"/>
  <c r="BU176" i="3"/>
  <c r="BZ176" i="3" s="1"/>
  <c r="BU336" i="3"/>
  <c r="BZ336" i="3" s="1"/>
  <c r="BU114" i="3"/>
  <c r="BZ114" i="3" s="1"/>
  <c r="BU280" i="3"/>
  <c r="BZ280" i="3" s="1"/>
  <c r="BU122" i="3"/>
  <c r="BZ122" i="3" s="1"/>
  <c r="BU99" i="3"/>
  <c r="BU263" i="3"/>
  <c r="BZ263" i="3" s="1"/>
  <c r="BU230" i="3"/>
  <c r="BZ230" i="3" s="1"/>
  <c r="BU57" i="3"/>
  <c r="BZ57" i="3" s="1"/>
  <c r="BU215" i="3"/>
  <c r="BZ215" i="3" s="1"/>
  <c r="BU190" i="3"/>
  <c r="BZ190" i="3" s="1"/>
  <c r="BU358" i="3"/>
  <c r="BZ358" i="3" s="1"/>
  <c r="BU101" i="3"/>
  <c r="BZ101" i="3" s="1"/>
  <c r="BU242" i="3"/>
  <c r="BZ242" i="3" s="1"/>
  <c r="BU39" i="3"/>
  <c r="BU245" i="3"/>
  <c r="BZ245" i="3" s="1"/>
  <c r="BU78" i="3"/>
  <c r="BZ78" i="3" s="1"/>
  <c r="BU239" i="3"/>
  <c r="BZ239" i="3" s="1"/>
  <c r="BU26" i="3"/>
  <c r="BU183" i="3"/>
  <c r="BU34" i="3"/>
  <c r="BU191" i="3"/>
  <c r="BZ191" i="3" s="1"/>
  <c r="BU160" i="3"/>
  <c r="BU327" i="3"/>
  <c r="BZ327" i="3" s="1"/>
  <c r="BU294" i="3"/>
  <c r="BZ294" i="3" s="1"/>
  <c r="BU113" i="3"/>
  <c r="BU279" i="3"/>
  <c r="BZ279" i="3" s="1"/>
  <c r="BU254" i="3"/>
  <c r="BZ254" i="3" s="1"/>
  <c r="BU65" i="3"/>
  <c r="BZ65" i="3" s="1"/>
  <c r="BU162" i="3"/>
  <c r="BZ162" i="3" s="1"/>
  <c r="BU306" i="3"/>
  <c r="BZ306" i="3" s="1"/>
  <c r="BU97" i="3"/>
  <c r="BZ97" i="3" s="1"/>
  <c r="BU309" i="3"/>
  <c r="BZ309" i="3" s="1"/>
  <c r="BU170" i="3"/>
  <c r="BZ170" i="3" s="1"/>
  <c r="BU137" i="3"/>
  <c r="BZ137" i="3" s="1"/>
  <c r="BU303" i="3"/>
  <c r="BZ303" i="3" s="1"/>
  <c r="BU85" i="3"/>
  <c r="BZ85" i="3" s="1"/>
  <c r="BU247" i="3"/>
  <c r="BZ247" i="3" s="1"/>
  <c r="BU92" i="3"/>
  <c r="BZ92" i="3" s="1"/>
  <c r="BU255" i="3"/>
  <c r="BZ255" i="3" s="1"/>
  <c r="BU222" i="3"/>
  <c r="BZ222" i="3" s="1"/>
  <c r="BU28" i="3"/>
  <c r="BU357" i="3"/>
  <c r="BU175" i="3"/>
  <c r="BZ175" i="3" s="1"/>
  <c r="BU343" i="3"/>
  <c r="BZ343" i="3" s="1"/>
  <c r="BU318" i="3"/>
  <c r="BZ318" i="3" s="1"/>
  <c r="BU131" i="3"/>
  <c r="BZ131" i="3" s="1"/>
  <c r="BU225" i="3"/>
  <c r="BZ225" i="3" s="1"/>
  <c r="BU8" i="3"/>
  <c r="BU158" i="3"/>
  <c r="BZ158" i="3" s="1"/>
  <c r="BU198" i="3"/>
  <c r="BZ198" i="3" s="1"/>
  <c r="BU5" i="3"/>
  <c r="BU144" i="3"/>
  <c r="BZ144" i="3" s="1"/>
  <c r="BU311" i="3"/>
  <c r="BZ311" i="3" s="1"/>
  <c r="BU152" i="3"/>
  <c r="BZ152" i="3" s="1"/>
  <c r="BU319" i="3"/>
  <c r="BZ319" i="3" s="1"/>
  <c r="BU286" i="3"/>
  <c r="BZ286" i="3" s="1"/>
  <c r="BU100" i="3"/>
  <c r="BZ100" i="3" s="1"/>
  <c r="BU71" i="3"/>
  <c r="BU238" i="3"/>
  <c r="BZ238" i="3" s="1"/>
  <c r="BU43" i="3"/>
  <c r="BZ43" i="3" s="1"/>
  <c r="BU27" i="3"/>
  <c r="BZ27" i="3" s="1"/>
  <c r="BU310" i="3"/>
  <c r="BZ310" i="3" s="1"/>
  <c r="BU289" i="3"/>
  <c r="BZ289" i="3" s="1"/>
  <c r="BU75" i="3"/>
  <c r="BZ75" i="3" s="1"/>
  <c r="BU220" i="3"/>
  <c r="BZ220" i="3" s="1"/>
  <c r="BU19" i="3"/>
  <c r="BU297" i="3"/>
  <c r="BZ297" i="3" s="1"/>
  <c r="BU62" i="3"/>
  <c r="BU250" i="3"/>
  <c r="BZ250" i="3" s="1"/>
  <c r="BU47" i="3"/>
  <c r="BU189" i="3"/>
  <c r="BZ189" i="3" s="1"/>
  <c r="BU44" i="3"/>
  <c r="BU194" i="3"/>
  <c r="BZ194" i="3" s="1"/>
  <c r="BU355" i="3"/>
  <c r="BZ355" i="3" s="1"/>
  <c r="BU136" i="3"/>
  <c r="BZ136" i="3" s="1"/>
  <c r="BU344" i="3"/>
  <c r="BZ344" i="3" s="1"/>
  <c r="BU140" i="3"/>
  <c r="BZ140" i="3" s="1"/>
  <c r="BU299" i="3"/>
  <c r="BZ299" i="3" s="1"/>
  <c r="BU84" i="3"/>
  <c r="BZ84" i="3" s="1"/>
  <c r="BU264" i="3"/>
  <c r="BZ264" i="3" s="1"/>
  <c r="BU88" i="3"/>
  <c r="BZ88" i="3" s="1"/>
  <c r="BU243" i="3"/>
  <c r="BZ243" i="3" s="1"/>
  <c r="BU33" i="3"/>
  <c r="BZ33" i="3" s="1"/>
  <c r="BU192" i="3"/>
  <c r="BZ192" i="3" s="1"/>
  <c r="BU37" i="3"/>
  <c r="BZ37" i="3" s="1"/>
  <c r="BU187" i="3"/>
  <c r="BZ187" i="3" s="1"/>
  <c r="BU324" i="3"/>
  <c r="BZ324" i="3" s="1"/>
  <c r="BU351" i="3"/>
  <c r="BZ351" i="3" s="1"/>
  <c r="BU337" i="3"/>
  <c r="BZ337" i="3" s="1"/>
  <c r="BU134" i="3"/>
  <c r="BZ134" i="3" s="1"/>
  <c r="BU268" i="3"/>
  <c r="BZ268" i="3" s="1"/>
  <c r="BU246" i="3"/>
  <c r="BZ246" i="3" s="1"/>
  <c r="BU281" i="3"/>
  <c r="BZ281" i="3" s="1"/>
  <c r="BU60" i="3"/>
  <c r="BZ60" i="3" s="1"/>
  <c r="BU212" i="3"/>
  <c r="BZ212" i="3" s="1"/>
  <c r="BU359" i="3"/>
  <c r="BZ359" i="3" s="1"/>
  <c r="BU360" i="3"/>
  <c r="BZ360" i="3" s="1"/>
  <c r="BU314" i="3"/>
  <c r="BZ314" i="3" s="1"/>
  <c r="BU104" i="3"/>
  <c r="BZ104" i="3" s="1"/>
  <c r="BU253" i="3"/>
  <c r="BZ253" i="3" s="1"/>
  <c r="BU116" i="3"/>
  <c r="BZ116" i="3" s="1"/>
  <c r="BU258" i="3"/>
  <c r="BZ258" i="3" s="1"/>
  <c r="BU55" i="3"/>
  <c r="BZ55" i="3" s="1"/>
  <c r="BU197" i="3"/>
  <c r="BZ197" i="3" s="1"/>
  <c r="BU52" i="3"/>
  <c r="BZ52" i="3" s="1"/>
  <c r="BU202" i="3"/>
  <c r="BZ202" i="3" s="1"/>
  <c r="BU362" i="3"/>
  <c r="BZ362" i="3" s="1"/>
  <c r="BU143" i="3"/>
  <c r="BZ143" i="3" s="1"/>
  <c r="BU352" i="3"/>
  <c r="BZ352" i="3" s="1"/>
  <c r="BU148" i="3"/>
  <c r="BZ148" i="3" s="1"/>
  <c r="BU307" i="3"/>
  <c r="BZ307" i="3" s="1"/>
  <c r="BU91" i="3"/>
  <c r="BZ91" i="3" s="1"/>
  <c r="BU288" i="3"/>
  <c r="BZ288" i="3" s="1"/>
  <c r="BU95" i="3"/>
  <c r="BZ95" i="3" s="1"/>
  <c r="BU251" i="3"/>
  <c r="BZ251" i="3" s="1"/>
  <c r="BU40" i="3"/>
  <c r="BZ40" i="3" s="1"/>
  <c r="BU200" i="3"/>
  <c r="BZ200" i="3" s="1"/>
  <c r="BU45" i="3"/>
  <c r="BZ45" i="3" s="1"/>
  <c r="BU195" i="3"/>
  <c r="BU332" i="3"/>
  <c r="BZ332" i="3" s="1"/>
  <c r="BU35" i="3"/>
  <c r="BZ35" i="3" s="1"/>
  <c r="BU345" i="3"/>
  <c r="BZ345" i="3" s="1"/>
  <c r="BU141" i="3"/>
  <c r="BZ141" i="3" s="1"/>
  <c r="BU276" i="3"/>
  <c r="BZ276" i="3" s="1"/>
  <c r="BU320" i="3"/>
  <c r="BZ320" i="3" s="1"/>
  <c r="BU15" i="3"/>
  <c r="BU165" i="3"/>
  <c r="BZ165" i="3" s="1"/>
  <c r="BU317" i="3"/>
  <c r="BZ317" i="3" s="1"/>
  <c r="BU178" i="3"/>
  <c r="BZ178" i="3" s="1"/>
  <c r="BU322" i="3"/>
  <c r="BZ322" i="3" s="1"/>
  <c r="BU111" i="3"/>
  <c r="BZ111" i="3" s="1"/>
  <c r="BU261" i="3"/>
  <c r="BZ261" i="3" s="1"/>
  <c r="BU124" i="3"/>
  <c r="BZ124" i="3" s="1"/>
  <c r="BU266" i="3"/>
  <c r="BZ266" i="3" s="1"/>
  <c r="BU61" i="3"/>
  <c r="BZ61" i="3" s="1"/>
  <c r="BU205" i="3"/>
  <c r="BZ205" i="3" s="1"/>
  <c r="BU66" i="3"/>
  <c r="BU210" i="3"/>
  <c r="BZ210" i="3" s="1"/>
  <c r="BU9" i="3"/>
  <c r="BU151" i="3"/>
  <c r="BZ151" i="3" s="1"/>
  <c r="BU6" i="3"/>
  <c r="BZ6" i="3" s="1"/>
  <c r="BU156" i="3"/>
  <c r="BZ156" i="3" s="1"/>
  <c r="BU315" i="3"/>
  <c r="BZ315" i="3" s="1"/>
  <c r="BU98" i="3"/>
  <c r="BZ98" i="3" s="1"/>
  <c r="BU296" i="3"/>
  <c r="BZ296" i="3" s="1"/>
  <c r="BU102" i="3"/>
  <c r="BZ102" i="3" s="1"/>
  <c r="BU259" i="3"/>
  <c r="BZ259" i="3" s="1"/>
  <c r="BU48" i="3"/>
  <c r="BZ48" i="3" s="1"/>
  <c r="BU224" i="3"/>
  <c r="BU53" i="3"/>
  <c r="BZ53" i="3" s="1"/>
  <c r="BU203" i="3"/>
  <c r="BZ203" i="3" s="1"/>
  <c r="BU340" i="3"/>
  <c r="BZ340" i="3" s="1"/>
  <c r="BZ50" i="3"/>
  <c r="BU109" i="3"/>
  <c r="BZ109" i="3" s="1"/>
  <c r="BU89" i="3"/>
  <c r="BZ89" i="3" s="1"/>
  <c r="BU228" i="3"/>
  <c r="BZ228" i="3" s="1"/>
  <c r="BU363" i="3"/>
  <c r="BU241" i="3"/>
  <c r="BZ241" i="3" s="1"/>
  <c r="BU23" i="3"/>
  <c r="BU173" i="3"/>
  <c r="BZ173" i="3" s="1"/>
  <c r="BU325" i="3"/>
  <c r="BZ325" i="3" s="1"/>
  <c r="BU185" i="3"/>
  <c r="BZ185" i="3" s="1"/>
  <c r="BU330" i="3"/>
  <c r="BZ330" i="3" s="1"/>
  <c r="BU119" i="3"/>
  <c r="BZ119" i="3" s="1"/>
  <c r="BU269" i="3"/>
  <c r="BZ269" i="3" s="1"/>
  <c r="BU132" i="3"/>
  <c r="BZ132" i="3" s="1"/>
  <c r="BU274" i="3"/>
  <c r="BZ274" i="3" s="1"/>
  <c r="BU68" i="3"/>
  <c r="BZ68" i="3" s="1"/>
  <c r="BU213" i="3"/>
  <c r="BZ213" i="3" s="1"/>
  <c r="BU73" i="3"/>
  <c r="BZ73" i="3" s="1"/>
  <c r="BU218" i="3"/>
  <c r="BZ218" i="3" s="1"/>
  <c r="BU16" i="3"/>
  <c r="BU159" i="3"/>
  <c r="BZ159" i="3" s="1"/>
  <c r="BU13" i="3"/>
  <c r="BU163" i="3"/>
  <c r="BZ163" i="3" s="1"/>
  <c r="BU323" i="3"/>
  <c r="BZ323" i="3" s="1"/>
  <c r="BU105" i="3"/>
  <c r="BZ105" i="3" s="1"/>
  <c r="BU304" i="3"/>
  <c r="BZ304" i="3" s="1"/>
  <c r="BU110" i="3"/>
  <c r="BZ110" i="3" s="1"/>
  <c r="BU267" i="3"/>
  <c r="BZ267" i="3" s="1"/>
  <c r="BU56" i="3"/>
  <c r="BZ56" i="3" s="1"/>
  <c r="BZ41" i="3"/>
  <c r="BU233" i="3"/>
  <c r="BZ233" i="3" s="1"/>
  <c r="BU157" i="3"/>
  <c r="BZ157" i="3" s="1"/>
  <c r="BU292" i="3"/>
  <c r="BZ292" i="3" s="1"/>
  <c r="BU86" i="3"/>
  <c r="BU305" i="3"/>
  <c r="BZ305" i="3" s="1"/>
  <c r="BU96" i="3"/>
  <c r="BZ96" i="3" s="1"/>
  <c r="BU236" i="3"/>
  <c r="BZ236" i="3" s="1"/>
  <c r="BU4" i="3"/>
  <c r="BU249" i="3"/>
  <c r="BZ249" i="3" s="1"/>
  <c r="BU31" i="3"/>
  <c r="BZ31" i="3" s="1"/>
  <c r="BU181" i="3"/>
  <c r="BZ181" i="3" s="1"/>
  <c r="BU333" i="3"/>
  <c r="BZ333" i="3" s="1"/>
  <c r="BU193" i="3"/>
  <c r="BZ193" i="3" s="1"/>
  <c r="BU338" i="3"/>
  <c r="BZ338" i="3" s="1"/>
  <c r="BU127" i="3"/>
  <c r="BZ127" i="3" s="1"/>
  <c r="BU277" i="3"/>
  <c r="BZ277" i="3" s="1"/>
  <c r="BU139" i="3"/>
  <c r="BZ139" i="3" s="1"/>
  <c r="BU282" i="3"/>
  <c r="BZ282" i="3" s="1"/>
  <c r="BU76" i="3"/>
  <c r="BU221" i="3"/>
  <c r="BZ221" i="3" s="1"/>
  <c r="BU81" i="3"/>
  <c r="BU226" i="3"/>
  <c r="BZ226" i="3" s="1"/>
  <c r="BU24" i="3"/>
  <c r="BZ24" i="3" s="1"/>
  <c r="BU166" i="3"/>
  <c r="BZ166" i="3" s="1"/>
  <c r="BU21" i="3"/>
  <c r="BZ21" i="3" s="1"/>
  <c r="BU171" i="3"/>
  <c r="BZ171" i="3" s="1"/>
  <c r="BU331" i="3"/>
  <c r="BZ331" i="3" s="1"/>
  <c r="BU112" i="3"/>
  <c r="BZ112" i="3" s="1"/>
  <c r="BZ5" i="3"/>
  <c r="BU7" i="3"/>
  <c r="BU219" i="3"/>
  <c r="BZ219" i="3" s="1"/>
  <c r="BU10" i="3"/>
  <c r="BU123" i="3"/>
  <c r="BZ123" i="3" s="1"/>
  <c r="BU14" i="3"/>
  <c r="BU164" i="3"/>
  <c r="BZ164" i="3" s="1"/>
  <c r="BU300" i="3"/>
  <c r="BZ300" i="3" s="1"/>
  <c r="BU161" i="3"/>
  <c r="BZ161" i="3" s="1"/>
  <c r="BU313" i="3"/>
  <c r="BZ313" i="3" s="1"/>
  <c r="BU103" i="3"/>
  <c r="BZ103" i="3" s="1"/>
  <c r="BU244" i="3"/>
  <c r="BZ244" i="3" s="1"/>
  <c r="BU63" i="3"/>
  <c r="BZ63" i="3" s="1"/>
  <c r="BU257" i="3"/>
  <c r="BZ257" i="3" s="1"/>
  <c r="BU38" i="3"/>
  <c r="BZ38" i="3" s="1"/>
  <c r="BU188" i="3"/>
  <c r="BZ188" i="3" s="1"/>
  <c r="BU341" i="3"/>
  <c r="BZ341" i="3" s="1"/>
  <c r="BU201" i="3"/>
  <c r="BZ201" i="3" s="1"/>
  <c r="BU346" i="3"/>
  <c r="BZ346" i="3" s="1"/>
  <c r="BU135" i="3"/>
  <c r="BZ135" i="3" s="1"/>
  <c r="BU285" i="3"/>
  <c r="BZ285" i="3" s="1"/>
  <c r="BU147" i="3"/>
  <c r="BZ147" i="3" s="1"/>
  <c r="BU290" i="3"/>
  <c r="BZ290" i="3" s="1"/>
  <c r="BU83" i="3"/>
  <c r="BZ83" i="3" s="1"/>
  <c r="BU229" i="3"/>
  <c r="BZ229" i="3" s="1"/>
  <c r="BU87" i="3"/>
  <c r="BZ87" i="3" s="1"/>
  <c r="BU234" i="3"/>
  <c r="BZ234" i="3" s="1"/>
  <c r="BU32" i="3"/>
  <c r="BU174" i="3"/>
  <c r="BZ174" i="3" s="1"/>
  <c r="BZ106" i="3"/>
  <c r="BU67" i="3"/>
  <c r="BZ67" i="3" s="1"/>
  <c r="BU283" i="3"/>
  <c r="BZ283" i="3" s="1"/>
  <c r="BU69" i="3"/>
  <c r="BZ69" i="3" s="1"/>
  <c r="BU248" i="3"/>
  <c r="BZ248" i="3" s="1"/>
  <c r="BU74" i="3"/>
  <c r="BZ74" i="3" s="1"/>
  <c r="BU227" i="3"/>
  <c r="BZ227" i="3" s="1"/>
  <c r="BU17" i="3"/>
  <c r="BU177" i="3"/>
  <c r="BZ177" i="3" s="1"/>
  <c r="BU22" i="3"/>
  <c r="BU172" i="3"/>
  <c r="BZ172" i="3" s="1"/>
  <c r="BU308" i="3"/>
  <c r="BZ308" i="3" s="1"/>
  <c r="BU223" i="3"/>
  <c r="BZ223" i="3" s="1"/>
  <c r="BU321" i="3"/>
  <c r="BZ321" i="3" s="1"/>
  <c r="BU118" i="3"/>
  <c r="BZ118" i="3" s="1"/>
  <c r="BU252" i="3"/>
  <c r="BZ252" i="3" s="1"/>
  <c r="BU121" i="3"/>
  <c r="BU265" i="3"/>
  <c r="BZ265" i="3" s="1"/>
  <c r="BU46" i="3"/>
  <c r="BZ46" i="3" s="1"/>
  <c r="BU196" i="3"/>
  <c r="BZ196" i="3" s="1"/>
  <c r="BU349" i="3"/>
  <c r="BZ349" i="3" s="1"/>
  <c r="BU209" i="3"/>
  <c r="BZ209" i="3" s="1"/>
  <c r="BU354" i="3"/>
  <c r="BZ354" i="3" s="1"/>
  <c r="BU142" i="3"/>
  <c r="BZ142" i="3" s="1"/>
  <c r="BU293" i="3"/>
  <c r="BZ293" i="3" s="1"/>
  <c r="BU155" i="3"/>
  <c r="BZ155" i="3" s="1"/>
  <c r="BU298" i="3"/>
  <c r="BZ298" i="3" s="1"/>
  <c r="BU90" i="3"/>
  <c r="BZ90" i="3" s="1"/>
  <c r="BU237" i="3"/>
  <c r="BZ237" i="3" s="1"/>
  <c r="BZ66" i="3"/>
  <c r="BZ26" i="3"/>
  <c r="BU125" i="3"/>
  <c r="BZ125" i="3" s="1"/>
  <c r="BU82" i="3"/>
  <c r="BZ82" i="3" s="1"/>
  <c r="BU329" i="3"/>
  <c r="BZ329" i="3" s="1"/>
  <c r="BU217" i="3"/>
  <c r="BZ217" i="3" s="1"/>
  <c r="BU347" i="3"/>
  <c r="BZ347" i="3" s="1"/>
  <c r="BU235" i="3"/>
  <c r="BZ235" i="3" s="1"/>
  <c r="BU126" i="3"/>
  <c r="BZ126" i="3" s="1"/>
  <c r="BU361" i="3"/>
  <c r="BZ361" i="3" s="1"/>
  <c r="BU128" i="3"/>
  <c r="BZ128" i="3" s="1"/>
  <c r="BU25" i="3"/>
  <c r="BU260" i="3"/>
  <c r="BZ260" i="3" s="1"/>
  <c r="BU150" i="3"/>
  <c r="BZ150" i="3" s="1"/>
  <c r="BU328" i="3"/>
  <c r="BZ328" i="3" s="1"/>
  <c r="BU184" i="3"/>
  <c r="BZ184" i="3" s="1"/>
  <c r="BU182" i="3"/>
  <c r="BZ182" i="3" s="1"/>
  <c r="BU301" i="3"/>
  <c r="BZ301" i="3" s="1"/>
  <c r="BU133" i="3"/>
  <c r="BZ133" i="3" s="1"/>
  <c r="BU30" i="3"/>
  <c r="BZ30" i="3" s="1"/>
  <c r="BU273" i="3"/>
  <c r="BZ273" i="3" s="1"/>
  <c r="BZ113" i="3"/>
  <c r="BU291" i="3"/>
  <c r="BZ291" i="3" s="1"/>
  <c r="BU180" i="3"/>
  <c r="BZ180" i="3" s="1"/>
  <c r="BU54" i="3"/>
  <c r="BZ54" i="3" s="1"/>
  <c r="BU77" i="3"/>
  <c r="BZ77" i="3" s="1"/>
  <c r="BU316" i="3"/>
  <c r="BZ316" i="3" s="1"/>
  <c r="BU204" i="3"/>
  <c r="BZ204" i="3" s="1"/>
  <c r="BU256" i="3"/>
  <c r="BZ256" i="3" s="1"/>
  <c r="BU287" i="3"/>
  <c r="BZ287" i="3" s="1"/>
  <c r="BU356" i="3"/>
  <c r="BZ356" i="3" s="1"/>
  <c r="BZ275" i="3"/>
  <c r="BZ32" i="3"/>
  <c r="BZ15" i="3"/>
  <c r="BZ28" i="3"/>
  <c r="BZ36" i="3"/>
  <c r="BZ240" i="3"/>
  <c r="BZ149" i="3"/>
  <c r="BZ224" i="3"/>
  <c r="BZ335" i="3"/>
  <c r="BZ11" i="3"/>
  <c r="BZ130" i="3"/>
  <c r="BZ357" i="3"/>
  <c r="BZ160" i="3"/>
  <c r="BZ7" i="3"/>
  <c r="BZ16" i="3"/>
  <c r="BZ76" i="3"/>
  <c r="BZ86" i="3"/>
  <c r="BZ47" i="3"/>
  <c r="BZ195" i="3"/>
  <c r="BZ23" i="3"/>
  <c r="BZ8" i="3"/>
  <c r="BZ20" i="3"/>
  <c r="BZ295" i="3"/>
  <c r="BZ44" i="3"/>
  <c r="BZ71" i="3"/>
  <c r="BZ99" i="3"/>
  <c r="BZ39" i="3"/>
  <c r="BZ19" i="3"/>
  <c r="BZ121" i="3"/>
  <c r="BZ4" i="3"/>
  <c r="BZ183" i="3"/>
  <c r="BM19" i="3"/>
  <c r="BM346" i="3"/>
  <c r="BO135" i="3"/>
  <c r="BO81" i="3"/>
  <c r="BP222" i="3"/>
  <c r="BO51" i="3"/>
  <c r="BM9" i="3"/>
  <c r="BO328" i="3"/>
  <c r="BM133" i="3"/>
  <c r="BN227" i="3"/>
  <c r="BM330" i="3"/>
  <c r="BP133" i="3"/>
  <c r="BM160" i="3"/>
  <c r="BO76" i="3"/>
  <c r="BO110" i="3"/>
  <c r="BM257" i="3"/>
  <c r="BM140" i="3"/>
  <c r="BL207" i="3"/>
  <c r="BO316" i="3"/>
  <c r="BM244" i="3"/>
  <c r="BO320" i="3"/>
  <c r="BL310" i="3"/>
  <c r="BP210" i="3"/>
  <c r="BN186" i="3"/>
  <c r="BN256" i="3"/>
  <c r="BO182" i="3"/>
  <c r="BM65" i="3"/>
  <c r="BL97" i="3"/>
  <c r="BN226" i="3"/>
  <c r="BO197" i="3"/>
  <c r="BN250" i="3"/>
  <c r="BN142" i="3"/>
  <c r="BO351" i="3"/>
  <c r="BM199" i="3"/>
  <c r="BN359" i="3"/>
  <c r="BM362" i="3"/>
  <c r="BP46" i="3"/>
  <c r="BO297" i="3"/>
  <c r="BO133" i="3"/>
  <c r="BM105" i="3"/>
  <c r="BP274" i="3"/>
  <c r="BP157" i="3"/>
  <c r="BM216" i="3"/>
  <c r="BP177" i="3"/>
  <c r="BL221" i="3"/>
  <c r="BP229" i="3"/>
  <c r="BP202" i="3"/>
  <c r="BM106" i="3"/>
  <c r="BO40" i="3"/>
  <c r="BL75" i="3"/>
  <c r="BM208" i="3"/>
  <c r="BM237" i="3"/>
  <c r="BL211" i="3"/>
  <c r="BO60" i="3"/>
  <c r="BM12" i="3"/>
  <c r="BM45" i="3"/>
  <c r="BL234" i="3"/>
  <c r="BN66" i="3"/>
  <c r="BO31" i="3"/>
  <c r="BL178" i="3"/>
  <c r="BO99" i="3"/>
  <c r="BN340" i="3"/>
  <c r="BL354" i="3"/>
  <c r="BO80" i="3"/>
  <c r="BO244" i="3"/>
  <c r="BM212" i="3"/>
  <c r="BL55" i="3"/>
  <c r="BL223" i="3"/>
  <c r="BM57" i="3"/>
  <c r="BL228" i="3"/>
  <c r="BN18" i="3"/>
  <c r="BL299" i="3"/>
  <c r="BP16" i="3"/>
  <c r="BN354" i="3"/>
  <c r="BP183" i="3"/>
  <c r="BO146" i="3"/>
  <c r="BN195" i="3"/>
  <c r="BP35" i="3"/>
  <c r="BL325" i="3"/>
  <c r="BM238" i="3"/>
  <c r="BM242" i="3"/>
  <c r="BN51" i="3"/>
  <c r="BP42" i="3"/>
  <c r="BL248" i="3"/>
  <c r="BL345" i="3"/>
  <c r="BM75" i="3"/>
  <c r="BM353" i="3"/>
  <c r="BM78" i="3"/>
  <c r="BP263" i="3"/>
  <c r="BL179" i="3"/>
  <c r="BM41" i="3"/>
  <c r="BN162" i="3"/>
  <c r="BM336" i="3"/>
  <c r="BO103" i="3"/>
  <c r="BN237" i="3"/>
  <c r="BL156" i="3"/>
  <c r="BO32" i="3"/>
  <c r="BP320" i="3"/>
  <c r="BM335" i="3"/>
  <c r="BL333" i="3"/>
  <c r="BM8" i="3"/>
  <c r="BO344" i="3"/>
  <c r="BL350" i="3"/>
  <c r="BN243" i="3"/>
  <c r="BM90" i="3"/>
  <c r="BN287" i="3"/>
  <c r="BM310" i="3"/>
  <c r="BP319" i="3"/>
  <c r="BN225" i="3"/>
  <c r="BP19" i="3"/>
  <c r="BP12" i="3"/>
  <c r="BL260" i="3"/>
  <c r="BL91" i="3"/>
  <c r="BL337" i="3"/>
  <c r="BM67" i="3"/>
  <c r="BL341" i="3"/>
  <c r="BL147" i="3"/>
  <c r="BL334" i="3"/>
  <c r="BO34" i="3"/>
  <c r="BN289" i="3"/>
  <c r="BO65" i="3"/>
  <c r="BO179" i="3"/>
  <c r="BN78" i="3"/>
  <c r="BP243" i="3"/>
  <c r="BM116" i="3"/>
  <c r="BM145" i="3"/>
  <c r="BP327" i="3"/>
  <c r="BL90" i="3"/>
  <c r="BN293" i="3"/>
  <c r="BN254" i="3"/>
  <c r="BL243" i="3"/>
  <c r="BO47" i="3"/>
  <c r="BN113" i="3"/>
  <c r="BO148" i="3"/>
  <c r="BP29" i="3"/>
  <c r="BL45" i="3"/>
  <c r="BN327" i="3"/>
  <c r="BN207" i="3"/>
  <c r="BL173" i="3"/>
  <c r="BL112" i="3"/>
  <c r="BN307" i="3"/>
  <c r="BN339" i="3"/>
  <c r="BP83" i="3"/>
  <c r="BM286" i="3"/>
  <c r="BP270" i="3"/>
  <c r="BL217" i="3"/>
  <c r="BL115" i="3"/>
  <c r="BM252" i="3"/>
  <c r="BO255" i="3"/>
  <c r="BL68" i="3"/>
  <c r="BO27" i="3"/>
  <c r="BO181" i="3"/>
  <c r="BM81" i="3"/>
  <c r="BN101" i="3"/>
  <c r="BO268" i="3"/>
  <c r="BN120" i="3"/>
  <c r="BM301" i="3"/>
  <c r="BO335" i="3"/>
  <c r="BN224" i="3"/>
  <c r="BL199" i="3"/>
  <c r="BO140" i="3"/>
  <c r="BP97" i="3"/>
  <c r="BL120" i="3"/>
  <c r="BN278" i="3"/>
  <c r="BL250" i="3"/>
  <c r="BO52" i="3"/>
  <c r="BP315" i="3"/>
  <c r="BL74" i="3"/>
  <c r="BN190" i="3"/>
  <c r="BM59" i="3"/>
  <c r="BL320" i="3"/>
  <c r="BN47" i="3"/>
  <c r="BN37" i="3"/>
  <c r="BP174" i="3"/>
  <c r="BL283" i="3"/>
  <c r="BO339" i="3"/>
  <c r="BM220" i="3"/>
  <c r="BP296" i="3"/>
  <c r="BP24" i="3"/>
  <c r="BO159" i="3"/>
  <c r="BP55" i="3"/>
  <c r="BN216" i="3"/>
  <c r="BN309" i="3"/>
  <c r="BP52" i="3"/>
  <c r="BP207" i="3"/>
  <c r="BM280" i="3"/>
  <c r="BN203" i="3"/>
  <c r="BN211" i="3"/>
  <c r="BN126" i="3"/>
  <c r="BO15" i="3"/>
  <c r="BL117" i="3"/>
  <c r="BM102" i="3"/>
  <c r="BP264" i="3"/>
  <c r="BL204" i="3"/>
  <c r="BN221" i="3"/>
  <c r="BO228" i="3"/>
  <c r="BM190" i="3"/>
  <c r="FZ6" i="27"/>
  <c r="CH6" i="27"/>
  <c r="ED6" i="27"/>
  <c r="BL184" i="3"/>
  <c r="BO217" i="3"/>
  <c r="BM266" i="3"/>
  <c r="BO72" i="3"/>
  <c r="BM180" i="3"/>
  <c r="BO233" i="3"/>
  <c r="BP154" i="3"/>
  <c r="BP50" i="3"/>
  <c r="BL9" i="3"/>
  <c r="BP268" i="3"/>
  <c r="BP101" i="3"/>
  <c r="BO360" i="3"/>
  <c r="BN261" i="3"/>
  <c r="BP80" i="3"/>
  <c r="BO138" i="3"/>
  <c r="BP168" i="3"/>
  <c r="BL266" i="3"/>
  <c r="BL347" i="3"/>
  <c r="BP109" i="3"/>
  <c r="BM303" i="3"/>
  <c r="BO298" i="3"/>
  <c r="BO122" i="3"/>
  <c r="BP310" i="3"/>
  <c r="BN77" i="3"/>
  <c r="BP303" i="3"/>
  <c r="BL46" i="3"/>
  <c r="BL5" i="3"/>
  <c r="BP106" i="3"/>
  <c r="BO286" i="3"/>
  <c r="BP290" i="3"/>
  <c r="BN166" i="3"/>
  <c r="BM297" i="3"/>
  <c r="BL329" i="3"/>
  <c r="BL355" i="3"/>
  <c r="BM127" i="3"/>
  <c r="BP87" i="3"/>
  <c r="BP63" i="3"/>
  <c r="BL28" i="3"/>
  <c r="BN56" i="3"/>
  <c r="BM115" i="3"/>
  <c r="BN362" i="3"/>
  <c r="BP299" i="3"/>
  <c r="BN69" i="3"/>
  <c r="BP308" i="3"/>
  <c r="BN306" i="3"/>
  <c r="BP74" i="3"/>
  <c r="BL301" i="3"/>
  <c r="BN91" i="3"/>
  <c r="BN87" i="3"/>
  <c r="BO334" i="3"/>
  <c r="BP318" i="3"/>
  <c r="BL201" i="3"/>
  <c r="BN218" i="3"/>
  <c r="BL279" i="3"/>
  <c r="BL129" i="3"/>
  <c r="BN363" i="3"/>
  <c r="BP271" i="3"/>
  <c r="BN85" i="3"/>
  <c r="BP347" i="3"/>
  <c r="BO311" i="3"/>
  <c r="BN57" i="3"/>
  <c r="BL282" i="3"/>
  <c r="BM177" i="3"/>
  <c r="BN206" i="3"/>
  <c r="BM27" i="3"/>
  <c r="BO310" i="3"/>
  <c r="BO117" i="3"/>
  <c r="BO118" i="3"/>
  <c r="BN168" i="3"/>
  <c r="BL61" i="3"/>
  <c r="BM243" i="3"/>
  <c r="BO307" i="3"/>
  <c r="BL121" i="3"/>
  <c r="BL305" i="3"/>
  <c r="BM10" i="3"/>
  <c r="BN123" i="3"/>
  <c r="BO337" i="3"/>
  <c r="BN331" i="3"/>
  <c r="BO208" i="3"/>
  <c r="BN134" i="3"/>
  <c r="BL359" i="3"/>
  <c r="BL220" i="3"/>
  <c r="BL314" i="3"/>
  <c r="BN50" i="3"/>
  <c r="BO53" i="3"/>
  <c r="BN197" i="3"/>
  <c r="BL284" i="3"/>
  <c r="BO209" i="3"/>
  <c r="BM85" i="3"/>
  <c r="BM298" i="3"/>
  <c r="BM226" i="3"/>
  <c r="BP7" i="3"/>
  <c r="BM113" i="3"/>
  <c r="BL288" i="3"/>
  <c r="BN153" i="3"/>
  <c r="BM187" i="3"/>
  <c r="BN67" i="3"/>
  <c r="BN44" i="3"/>
  <c r="BO331" i="3"/>
  <c r="BP199" i="3"/>
  <c r="BP361" i="3"/>
  <c r="BM265" i="3"/>
  <c r="BO296" i="3"/>
  <c r="BO326" i="3"/>
  <c r="BP217" i="3"/>
  <c r="BO283" i="3"/>
  <c r="BM46" i="3"/>
  <c r="BP144" i="3"/>
  <c r="BO276" i="3"/>
  <c r="BN151" i="3"/>
  <c r="BL295" i="3"/>
  <c r="BN160" i="3"/>
  <c r="BN146" i="3"/>
  <c r="BM211" i="3"/>
  <c r="BL253" i="3"/>
  <c r="BO25" i="3"/>
  <c r="BP337" i="3"/>
  <c r="BM34" i="3"/>
  <c r="BO265" i="3"/>
  <c r="BN179" i="3"/>
  <c r="BP108" i="3"/>
  <c r="BO288" i="3"/>
  <c r="BM191" i="3"/>
  <c r="BO277" i="3"/>
  <c r="BP152" i="3"/>
  <c r="BO294" i="3"/>
  <c r="BN107" i="3"/>
  <c r="BP208" i="3"/>
  <c r="BN231" i="3"/>
  <c r="BO262" i="3"/>
  <c r="BO303" i="3"/>
  <c r="BN244" i="3"/>
  <c r="BO105" i="3"/>
  <c r="BP350" i="3"/>
  <c r="BL196" i="3"/>
  <c r="BN103" i="3"/>
  <c r="BP247" i="3"/>
  <c r="BL340" i="3"/>
  <c r="BN283" i="3"/>
  <c r="BP212" i="3"/>
  <c r="BO178" i="3"/>
  <c r="BM15" i="3"/>
  <c r="BL108" i="3"/>
  <c r="BL52" i="3"/>
  <c r="BM88" i="3"/>
  <c r="BN122" i="3"/>
  <c r="BO287" i="3"/>
  <c r="BL277" i="3"/>
  <c r="BN24" i="3"/>
  <c r="BL346" i="3"/>
  <c r="BL176" i="3"/>
  <c r="BN80" i="3"/>
  <c r="BN40" i="3"/>
  <c r="BO279" i="3"/>
  <c r="BL307" i="3"/>
  <c r="BN157" i="3"/>
  <c r="BP333" i="3"/>
  <c r="BN358" i="3"/>
  <c r="BP226" i="3"/>
  <c r="BM119" i="3"/>
  <c r="BM130" i="3"/>
  <c r="BL276" i="3"/>
  <c r="BP278" i="3"/>
  <c r="BM107" i="3"/>
  <c r="BN344" i="3"/>
  <c r="BP86" i="3"/>
  <c r="BN247" i="3"/>
  <c r="BO11" i="3"/>
  <c r="BL51" i="3"/>
  <c r="BN60" i="3"/>
  <c r="BP180" i="3"/>
  <c r="BL131" i="3"/>
  <c r="BL135" i="3"/>
  <c r="BM126" i="3"/>
  <c r="BO93" i="3"/>
  <c r="BL31" i="3"/>
  <c r="BP139" i="3"/>
  <c r="BO106" i="3"/>
  <c r="BO175" i="3"/>
  <c r="BP205" i="3"/>
  <c r="BP73" i="3"/>
  <c r="BM147" i="3"/>
  <c r="BL171" i="3"/>
  <c r="BL119" i="3"/>
  <c r="BL255" i="3"/>
  <c r="BM262" i="3"/>
  <c r="BN147" i="3"/>
  <c r="BL81" i="3"/>
  <c r="BP209" i="3"/>
  <c r="BO104" i="3"/>
  <c r="BM124" i="3"/>
  <c r="BP111" i="3"/>
  <c r="BL293" i="3"/>
  <c r="BO271" i="3"/>
  <c r="BN333" i="3"/>
  <c r="BP34" i="3"/>
  <c r="BL116" i="3"/>
  <c r="BP331" i="3"/>
  <c r="BO299" i="3"/>
  <c r="BM164" i="3"/>
  <c r="BM276" i="3"/>
  <c r="BM236" i="3"/>
  <c r="BN234" i="3"/>
  <c r="BP11" i="3"/>
  <c r="BO349" i="3"/>
  <c r="BM118" i="3"/>
  <c r="BO282" i="3"/>
  <c r="BO222" i="3"/>
  <c r="BP48" i="3"/>
  <c r="BP31" i="3"/>
  <c r="BM152" i="3"/>
  <c r="BM253" i="3"/>
  <c r="BO260" i="3"/>
  <c r="BN248" i="3"/>
  <c r="BO9" i="3"/>
  <c r="BN239" i="3"/>
  <c r="BL348" i="3"/>
  <c r="BL87" i="3"/>
  <c r="BL38" i="3"/>
  <c r="BM24" i="3"/>
  <c r="BP81" i="3"/>
  <c r="BP95" i="3"/>
  <c r="BO195" i="3"/>
  <c r="BN27" i="3"/>
  <c r="BP114" i="3"/>
  <c r="BL161" i="3"/>
  <c r="BN253" i="3"/>
  <c r="BM357" i="3"/>
  <c r="BN34" i="3"/>
  <c r="BL136" i="3"/>
  <c r="BN323" i="3"/>
  <c r="BM285" i="3"/>
  <c r="BN131" i="3"/>
  <c r="BP363" i="3"/>
  <c r="BN177" i="3"/>
  <c r="BM63" i="3"/>
  <c r="BM166" i="3"/>
  <c r="BM128" i="3"/>
  <c r="BM315" i="3"/>
  <c r="BP165" i="3"/>
  <c r="BM29" i="3"/>
  <c r="BM120" i="3"/>
  <c r="BL84" i="3"/>
  <c r="BL324" i="3"/>
  <c r="BO363" i="3"/>
  <c r="BN264" i="3"/>
  <c r="BP292" i="3"/>
  <c r="BL86" i="3"/>
  <c r="BL218" i="3"/>
  <c r="BO82" i="3"/>
  <c r="BM5" i="3"/>
  <c r="BN326" i="3"/>
  <c r="BN310" i="3"/>
  <c r="BO111" i="3"/>
  <c r="BO164" i="3"/>
  <c r="BM37" i="3"/>
  <c r="BN46" i="3"/>
  <c r="BL163" i="3"/>
  <c r="BO10" i="3"/>
  <c r="BO7" i="3"/>
  <c r="BL137" i="3"/>
  <c r="BP105" i="3"/>
  <c r="BN41" i="3"/>
  <c r="BO280" i="3"/>
  <c r="BO157" i="3"/>
  <c r="BP355" i="3"/>
  <c r="BL209" i="3"/>
  <c r="BP197" i="3"/>
  <c r="BO131" i="3"/>
  <c r="BO295" i="3"/>
  <c r="BN297" i="3"/>
  <c r="BN108" i="3"/>
  <c r="BN31" i="3"/>
  <c r="BN318" i="3"/>
  <c r="BL54" i="3"/>
  <c r="BN129" i="3"/>
  <c r="BN48" i="3"/>
  <c r="BL164" i="3"/>
  <c r="BO354" i="3"/>
  <c r="GL18" i="27"/>
  <c r="EP18" i="27"/>
  <c r="CT18" i="27"/>
  <c r="BN196" i="3"/>
  <c r="BP301" i="3"/>
  <c r="BP98" i="3"/>
  <c r="BL272" i="3"/>
  <c r="BP196" i="3"/>
  <c r="BN63" i="3"/>
  <c r="BP340" i="3"/>
  <c r="BM284" i="3"/>
  <c r="BL142" i="3"/>
  <c r="BN281" i="3"/>
  <c r="BL172" i="3"/>
  <c r="BP273" i="3"/>
  <c r="BO121" i="3"/>
  <c r="BL109" i="3"/>
  <c r="BM327" i="3"/>
  <c r="BM43" i="3"/>
  <c r="BP20" i="3"/>
  <c r="BN28" i="3"/>
  <c r="FZ18" i="27"/>
  <c r="CH18" i="27"/>
  <c r="ED18" i="27"/>
  <c r="BO199" i="3"/>
  <c r="BP61" i="3"/>
  <c r="BP138" i="3"/>
  <c r="BL62" i="3"/>
  <c r="BP28" i="3"/>
  <c r="BM290" i="3"/>
  <c r="BO165" i="3"/>
  <c r="BO50" i="3"/>
  <c r="BL322" i="3"/>
  <c r="BL225" i="3"/>
  <c r="BP246" i="3"/>
  <c r="BP107" i="3"/>
  <c r="BL30" i="3"/>
  <c r="BP178" i="3"/>
  <c r="BP6" i="3"/>
  <c r="BO187" i="3"/>
  <c r="BP332" i="3"/>
  <c r="BM231" i="3"/>
  <c r="BL203" i="3"/>
  <c r="BM194" i="3"/>
  <c r="BM235" i="3"/>
  <c r="BL169" i="3"/>
  <c r="BO220" i="3"/>
  <c r="BP22" i="3"/>
  <c r="BM61" i="3"/>
  <c r="BP112" i="3"/>
  <c r="BM302" i="3"/>
  <c r="BO270" i="3"/>
  <c r="BL111" i="3"/>
  <c r="BN88" i="3"/>
  <c r="BP225" i="3"/>
  <c r="BP216" i="3"/>
  <c r="BM269" i="3"/>
  <c r="BP65" i="3"/>
  <c r="BP187" i="3"/>
  <c r="BP66" i="3"/>
  <c r="BO95" i="3"/>
  <c r="BM155" i="3"/>
  <c r="BM156" i="3"/>
  <c r="BO154" i="3"/>
  <c r="BL180" i="3"/>
  <c r="BO91" i="3"/>
  <c r="BP41" i="3"/>
  <c r="BO273" i="3"/>
  <c r="BM251" i="3"/>
  <c r="BM258" i="3"/>
  <c r="BN280" i="3"/>
  <c r="BN82" i="3"/>
  <c r="BO29" i="3"/>
  <c r="BN6" i="3"/>
  <c r="BP328" i="3"/>
  <c r="BN58" i="3"/>
  <c r="BM62" i="3"/>
  <c r="BP286" i="3"/>
  <c r="BL71" i="3"/>
  <c r="BM311" i="3"/>
  <c r="BP279" i="3"/>
  <c r="BM101" i="3"/>
  <c r="BO141" i="3"/>
  <c r="BL271" i="3"/>
  <c r="BO193" i="3"/>
  <c r="BO196" i="3"/>
  <c r="BN193" i="3"/>
  <c r="BP258" i="3"/>
  <c r="BO167" i="3"/>
  <c r="BL69" i="3"/>
  <c r="BO57" i="3"/>
  <c r="BL249" i="3"/>
  <c r="BN352" i="3"/>
  <c r="BV26" i="3"/>
  <c r="BV169" i="3"/>
  <c r="CA169" i="3" s="1"/>
  <c r="BV330" i="3"/>
  <c r="CA330" i="3" s="1"/>
  <c r="BV126" i="3"/>
  <c r="BV55" i="3"/>
  <c r="CA55" i="3" s="1"/>
  <c r="BV224" i="3"/>
  <c r="CA224" i="3" s="1"/>
  <c r="BV22" i="3"/>
  <c r="CA22" i="3" s="1"/>
  <c r="BV173" i="3"/>
  <c r="CA173" i="3" s="1"/>
  <c r="BV326" i="3"/>
  <c r="CA326" i="3" s="1"/>
  <c r="BV204" i="3"/>
  <c r="CA204" i="3" s="1"/>
  <c r="BV40" i="3"/>
  <c r="BV185" i="3"/>
  <c r="CA185" i="3" s="1"/>
  <c r="BV346" i="3"/>
  <c r="CA346" i="3" s="1"/>
  <c r="BV142" i="3"/>
  <c r="CA142" i="3" s="1"/>
  <c r="BV292" i="3"/>
  <c r="BV176" i="3"/>
  <c r="BV321" i="3"/>
  <c r="CA321" i="3" s="1"/>
  <c r="BV125" i="3"/>
  <c r="CA125" i="3" s="1"/>
  <c r="BV278" i="3"/>
  <c r="BV16" i="3"/>
  <c r="BV271" i="3"/>
  <c r="CA271" i="3" s="1"/>
  <c r="BV73" i="3"/>
  <c r="BV234" i="3"/>
  <c r="BV25" i="3"/>
  <c r="CA25" i="3" s="1"/>
  <c r="BV323" i="3"/>
  <c r="CA323" i="3" s="1"/>
  <c r="BV128" i="3"/>
  <c r="CA128" i="3" s="1"/>
  <c r="BV273" i="3"/>
  <c r="CA273" i="3" s="1"/>
  <c r="BV77" i="3"/>
  <c r="CA77" i="3" s="1"/>
  <c r="BV230" i="3"/>
  <c r="CA230" i="3" s="1"/>
  <c r="BV32" i="3"/>
  <c r="CA32" i="3" s="1"/>
  <c r="BV200" i="3"/>
  <c r="CA200" i="3" s="1"/>
  <c r="BV345" i="3"/>
  <c r="CA345" i="3" s="1"/>
  <c r="BV149" i="3"/>
  <c r="CA149" i="3" s="1"/>
  <c r="BV302" i="3"/>
  <c r="CA302" i="3" s="1"/>
  <c r="BV231" i="3"/>
  <c r="CA231" i="3" s="1"/>
  <c r="BV34" i="3"/>
  <c r="CA34" i="3" s="1"/>
  <c r="BV194" i="3"/>
  <c r="CA194" i="3" s="1"/>
  <c r="BV349" i="3"/>
  <c r="CA349" i="3" s="1"/>
  <c r="BV163" i="3"/>
  <c r="CA163" i="3" s="1"/>
  <c r="BV29" i="3"/>
  <c r="BV251" i="3"/>
  <c r="CA251" i="3" s="1"/>
  <c r="BV59" i="3"/>
  <c r="CA59" i="3" s="1"/>
  <c r="BV116" i="3"/>
  <c r="CA116" i="3" s="1"/>
  <c r="BV123" i="3"/>
  <c r="CA123" i="3" s="1"/>
  <c r="BV267" i="3"/>
  <c r="CA267" i="3" s="1"/>
  <c r="BV88" i="3"/>
  <c r="CA88" i="3" s="1"/>
  <c r="BV233" i="3"/>
  <c r="CA233" i="3" s="1"/>
  <c r="BV37" i="3"/>
  <c r="CA37" i="3" s="1"/>
  <c r="BV190" i="3"/>
  <c r="CA190" i="3" s="1"/>
  <c r="BV119" i="3"/>
  <c r="CA119" i="3" s="1"/>
  <c r="BV288" i="3"/>
  <c r="CA288" i="3" s="1"/>
  <c r="BV82" i="3"/>
  <c r="CA82" i="3" s="1"/>
  <c r="BV237" i="3"/>
  <c r="CA237" i="3" s="1"/>
  <c r="BV124" i="3"/>
  <c r="CA124" i="3" s="1"/>
  <c r="BV115" i="3"/>
  <c r="CA115" i="3" s="1"/>
  <c r="BV104" i="3"/>
  <c r="CA104" i="3" s="1"/>
  <c r="BV249" i="3"/>
  <c r="BV53" i="3"/>
  <c r="BV206" i="3"/>
  <c r="BV71" i="3"/>
  <c r="CA71" i="3" s="1"/>
  <c r="BV240" i="3"/>
  <c r="CA240" i="3" s="1"/>
  <c r="BV35" i="3"/>
  <c r="BV189" i="3"/>
  <c r="CA189" i="3" s="1"/>
  <c r="BV342" i="3"/>
  <c r="BV268" i="3"/>
  <c r="CA268" i="3" s="1"/>
  <c r="BV335" i="3"/>
  <c r="BV137" i="3"/>
  <c r="CA137" i="3" s="1"/>
  <c r="BV298" i="3"/>
  <c r="BV94" i="3"/>
  <c r="CA94" i="3" s="1"/>
  <c r="BV19" i="3"/>
  <c r="BV192" i="3"/>
  <c r="CA192" i="3" s="1"/>
  <c r="BV337" i="3"/>
  <c r="CA337" i="3" s="1"/>
  <c r="BV141" i="3"/>
  <c r="CA141" i="3" s="1"/>
  <c r="BV294" i="3"/>
  <c r="BV95" i="3"/>
  <c r="CA95" i="3" s="1"/>
  <c r="BV264" i="3"/>
  <c r="CA264" i="3" s="1"/>
  <c r="BV58" i="3"/>
  <c r="CA58" i="3" s="1"/>
  <c r="BV213" i="3"/>
  <c r="CA213" i="3" s="1"/>
  <c r="BV30" i="3"/>
  <c r="CA30" i="3" s="1"/>
  <c r="BV295" i="3"/>
  <c r="CA295" i="3" s="1"/>
  <c r="BV97" i="3"/>
  <c r="CA97" i="3" s="1"/>
  <c r="BV258" i="3"/>
  <c r="CA258" i="3" s="1"/>
  <c r="BV54" i="3"/>
  <c r="CA54" i="3" s="1"/>
  <c r="BV83" i="3"/>
  <c r="BV351" i="3"/>
  <c r="CA351" i="3" s="1"/>
  <c r="BV75" i="3"/>
  <c r="CA75" i="3" s="1"/>
  <c r="BV315" i="3"/>
  <c r="CA315" i="3" s="1"/>
  <c r="BV91" i="3"/>
  <c r="CA91" i="3" s="1"/>
  <c r="CA234" i="3"/>
  <c r="BV361" i="3"/>
  <c r="CA361" i="3" s="1"/>
  <c r="BV300" i="3"/>
  <c r="CA300" i="3" s="1"/>
  <c r="BV152" i="3"/>
  <c r="CA152" i="3" s="1"/>
  <c r="BV297" i="3"/>
  <c r="CA297" i="3" s="1"/>
  <c r="BV101" i="3"/>
  <c r="CA101" i="3" s="1"/>
  <c r="BV254" i="3"/>
  <c r="CA254" i="3" s="1"/>
  <c r="BV183" i="3"/>
  <c r="CA183" i="3" s="1"/>
  <c r="BV352" i="3"/>
  <c r="CA352" i="3" s="1"/>
  <c r="BV146" i="3"/>
  <c r="CA146" i="3" s="1"/>
  <c r="BV301" i="3"/>
  <c r="CA301" i="3" s="1"/>
  <c r="BV362" i="3"/>
  <c r="CA362" i="3" s="1"/>
  <c r="BV244" i="3"/>
  <c r="CA244" i="3" s="1"/>
  <c r="BV168" i="3"/>
  <c r="CA168" i="3" s="1"/>
  <c r="BV313" i="3"/>
  <c r="CA313" i="3" s="1"/>
  <c r="BV117" i="3"/>
  <c r="CA117" i="3" s="1"/>
  <c r="BV270" i="3"/>
  <c r="CA270" i="3" s="1"/>
  <c r="BV135" i="3"/>
  <c r="CA135" i="3" s="1"/>
  <c r="BV304" i="3"/>
  <c r="CA304" i="3" s="1"/>
  <c r="BV98" i="3"/>
  <c r="CA98" i="3" s="1"/>
  <c r="BV253" i="3"/>
  <c r="CA253" i="3" s="1"/>
  <c r="BV188" i="3"/>
  <c r="BV52" i="3"/>
  <c r="CA52" i="3" s="1"/>
  <c r="BV56" i="3"/>
  <c r="BV201" i="3"/>
  <c r="CA201" i="3" s="1"/>
  <c r="BV10" i="3"/>
  <c r="BV158" i="3"/>
  <c r="CA158" i="3" s="1"/>
  <c r="BV87" i="3"/>
  <c r="CA87" i="3" s="1"/>
  <c r="BV256" i="3"/>
  <c r="CA256" i="3" s="1"/>
  <c r="BV50" i="3"/>
  <c r="CA50" i="3" s="1"/>
  <c r="BV205" i="3"/>
  <c r="CA205" i="3" s="1"/>
  <c r="BV358" i="3"/>
  <c r="BV159" i="3"/>
  <c r="CA159" i="3" s="1"/>
  <c r="BV328" i="3"/>
  <c r="CA328" i="3" s="1"/>
  <c r="BV122" i="3"/>
  <c r="CA122" i="3" s="1"/>
  <c r="BV277" i="3"/>
  <c r="CA277" i="3" s="1"/>
  <c r="BV284" i="3"/>
  <c r="CA284" i="3" s="1"/>
  <c r="BV20" i="3"/>
  <c r="BV161" i="3"/>
  <c r="CA161" i="3" s="1"/>
  <c r="BV322" i="3"/>
  <c r="CA322" i="3" s="1"/>
  <c r="BV118" i="3"/>
  <c r="BV196" i="3"/>
  <c r="CA196" i="3" s="1"/>
  <c r="BV243" i="3"/>
  <c r="BV76" i="3"/>
  <c r="CA76" i="3" s="1"/>
  <c r="CA206" i="3"/>
  <c r="BV343" i="3"/>
  <c r="CA343" i="3" s="1"/>
  <c r="CA342" i="3"/>
  <c r="BV212" i="3"/>
  <c r="CA212" i="3" s="1"/>
  <c r="BV228" i="3"/>
  <c r="CA228" i="3" s="1"/>
  <c r="BV47" i="3"/>
  <c r="CA47" i="3" s="1"/>
  <c r="BV216" i="3"/>
  <c r="CA216" i="3" s="1"/>
  <c r="BV14" i="3"/>
  <c r="BV165" i="3"/>
  <c r="CA165" i="3" s="1"/>
  <c r="BV318" i="3"/>
  <c r="CA318" i="3" s="1"/>
  <c r="BV247" i="3"/>
  <c r="CA247" i="3" s="1"/>
  <c r="BV49" i="3"/>
  <c r="BV210" i="3"/>
  <c r="CA210" i="3" s="1"/>
  <c r="BV4" i="3"/>
  <c r="BV227" i="3"/>
  <c r="CA227" i="3" s="1"/>
  <c r="BV63" i="3"/>
  <c r="BV232" i="3"/>
  <c r="CA232" i="3" s="1"/>
  <c r="BV28" i="3"/>
  <c r="CA28" i="3" s="1"/>
  <c r="BV181" i="3"/>
  <c r="BV334" i="3"/>
  <c r="CA334" i="3" s="1"/>
  <c r="BV199" i="3"/>
  <c r="CA199" i="3" s="1"/>
  <c r="BV6" i="3"/>
  <c r="BV162" i="3"/>
  <c r="CA162" i="3" s="1"/>
  <c r="BV317" i="3"/>
  <c r="CA317" i="3" s="1"/>
  <c r="BV8" i="3"/>
  <c r="CA8" i="3" s="1"/>
  <c r="BV308" i="3"/>
  <c r="CA308" i="3" s="1"/>
  <c r="BV120" i="3"/>
  <c r="CA120" i="3" s="1"/>
  <c r="BV265" i="3"/>
  <c r="CA265" i="3" s="1"/>
  <c r="BV69" i="3"/>
  <c r="BV222" i="3"/>
  <c r="BV151" i="3"/>
  <c r="CA151" i="3" s="1"/>
  <c r="BV320" i="3"/>
  <c r="CA320" i="3" s="1"/>
  <c r="BV114" i="3"/>
  <c r="CA114" i="3" s="1"/>
  <c r="BV269" i="3"/>
  <c r="CA269" i="3" s="1"/>
  <c r="BV252" i="3"/>
  <c r="CA252" i="3" s="1"/>
  <c r="BV223" i="3"/>
  <c r="CA223" i="3" s="1"/>
  <c r="BV27" i="3"/>
  <c r="BV186" i="3"/>
  <c r="CA186" i="3" s="1"/>
  <c r="BV341" i="3"/>
  <c r="CA341" i="3" s="1"/>
  <c r="BV131" i="3"/>
  <c r="CA131" i="3" s="1"/>
  <c r="BV80" i="3"/>
  <c r="CA80" i="3" s="1"/>
  <c r="BV225" i="3"/>
  <c r="CA225" i="3" s="1"/>
  <c r="BV31" i="3"/>
  <c r="BV182" i="3"/>
  <c r="CA182" i="3" s="1"/>
  <c r="BV43" i="3"/>
  <c r="BV355" i="3"/>
  <c r="CA355" i="3" s="1"/>
  <c r="BV275" i="3"/>
  <c r="BV155" i="3"/>
  <c r="CA155" i="3" s="1"/>
  <c r="BV331" i="3"/>
  <c r="CA331" i="3" s="1"/>
  <c r="BV111" i="3"/>
  <c r="CA111" i="3" s="1"/>
  <c r="BV280" i="3"/>
  <c r="CA280" i="3" s="1"/>
  <c r="BV74" i="3"/>
  <c r="CA74" i="3" s="1"/>
  <c r="BV229" i="3"/>
  <c r="BV92" i="3"/>
  <c r="CA92" i="3" s="1"/>
  <c r="BV311" i="3"/>
  <c r="CA311" i="3" s="1"/>
  <c r="BV113" i="3"/>
  <c r="CA113" i="3" s="1"/>
  <c r="BV274" i="3"/>
  <c r="CA274" i="3" s="1"/>
  <c r="BV70" i="3"/>
  <c r="CA70" i="3" s="1"/>
  <c r="BV9" i="3"/>
  <c r="BV127" i="3"/>
  <c r="BV296" i="3"/>
  <c r="CA296" i="3" s="1"/>
  <c r="BV90" i="3"/>
  <c r="CA90" i="3" s="1"/>
  <c r="BV245" i="3"/>
  <c r="CA245" i="3" s="1"/>
  <c r="BV156" i="3"/>
  <c r="CA156" i="3" s="1"/>
  <c r="BV263" i="3"/>
  <c r="CA263" i="3" s="1"/>
  <c r="BV65" i="3"/>
  <c r="CA65" i="3" s="1"/>
  <c r="BV226" i="3"/>
  <c r="CA226" i="3" s="1"/>
  <c r="BV18" i="3"/>
  <c r="BV291" i="3"/>
  <c r="CA291" i="3" s="1"/>
  <c r="BO4" i="3"/>
  <c r="BV184" i="3"/>
  <c r="CA184" i="3" s="1"/>
  <c r="BV329" i="3"/>
  <c r="CA329" i="3" s="1"/>
  <c r="BV133" i="3"/>
  <c r="CA133" i="3" s="1"/>
  <c r="BV286" i="3"/>
  <c r="CA286" i="3" s="1"/>
  <c r="BV215" i="3"/>
  <c r="BV21" i="3"/>
  <c r="BV178" i="3"/>
  <c r="CA178" i="3" s="1"/>
  <c r="BV333" i="3"/>
  <c r="CA333" i="3" s="1"/>
  <c r="BV99" i="3"/>
  <c r="BV287" i="3"/>
  <c r="CA287" i="3" s="1"/>
  <c r="BV89" i="3"/>
  <c r="BV250" i="3"/>
  <c r="CA250" i="3" s="1"/>
  <c r="BV46" i="3"/>
  <c r="BV363" i="3"/>
  <c r="BV144" i="3"/>
  <c r="CA144" i="3" s="1"/>
  <c r="BV289" i="3"/>
  <c r="CA289" i="3" s="1"/>
  <c r="BV93" i="3"/>
  <c r="CA93" i="3" s="1"/>
  <c r="BV246" i="3"/>
  <c r="CA246" i="3" s="1"/>
  <c r="BV299" i="3"/>
  <c r="CA299" i="3" s="1"/>
  <c r="BV340" i="3"/>
  <c r="CA340" i="3" s="1"/>
  <c r="BV15" i="3"/>
  <c r="BV179" i="3"/>
  <c r="CA179" i="3" s="1"/>
  <c r="CA6" i="3"/>
  <c r="BV100" i="3"/>
  <c r="CA100" i="3" s="1"/>
  <c r="CA249" i="3"/>
  <c r="BV147" i="3"/>
  <c r="CA147" i="3" s="1"/>
  <c r="BV332" i="3"/>
  <c r="CA332" i="3" s="1"/>
  <c r="CA181" i="3"/>
  <c r="BV175" i="3"/>
  <c r="BV344" i="3"/>
  <c r="CA344" i="3" s="1"/>
  <c r="BV138" i="3"/>
  <c r="CA138" i="3" s="1"/>
  <c r="BV293" i="3"/>
  <c r="CA293" i="3" s="1"/>
  <c r="BV347" i="3"/>
  <c r="CA347" i="3" s="1"/>
  <c r="BV33" i="3"/>
  <c r="CA33" i="3" s="1"/>
  <c r="BV177" i="3"/>
  <c r="CA177" i="3" s="1"/>
  <c r="BV338" i="3"/>
  <c r="CA338" i="3" s="1"/>
  <c r="BV134" i="3"/>
  <c r="BV260" i="3"/>
  <c r="CA260" i="3" s="1"/>
  <c r="BV191" i="3"/>
  <c r="CA191" i="3" s="1"/>
  <c r="BV360" i="3"/>
  <c r="CA360" i="3" s="1"/>
  <c r="BV154" i="3"/>
  <c r="CA154" i="3" s="1"/>
  <c r="BV309" i="3"/>
  <c r="CA309" i="3" s="1"/>
  <c r="BV356" i="3"/>
  <c r="CA356" i="3" s="1"/>
  <c r="BV327" i="3"/>
  <c r="CA327" i="3" s="1"/>
  <c r="BV129" i="3"/>
  <c r="CA129" i="3" s="1"/>
  <c r="BV290" i="3"/>
  <c r="CA290" i="3" s="1"/>
  <c r="BV86" i="3"/>
  <c r="CA86" i="3" s="1"/>
  <c r="BV68" i="3"/>
  <c r="BV79" i="3"/>
  <c r="CA79" i="3" s="1"/>
  <c r="BV248" i="3"/>
  <c r="CA248" i="3" s="1"/>
  <c r="BV42" i="3"/>
  <c r="CA42" i="3" s="1"/>
  <c r="BV197" i="3"/>
  <c r="CA197" i="3" s="1"/>
  <c r="BV350" i="3"/>
  <c r="CA350" i="3" s="1"/>
  <c r="BV279" i="3"/>
  <c r="CA279" i="3" s="1"/>
  <c r="BV81" i="3"/>
  <c r="CA81" i="3" s="1"/>
  <c r="BV242" i="3"/>
  <c r="CA242" i="3" s="1"/>
  <c r="BV38" i="3"/>
  <c r="BV348" i="3"/>
  <c r="CA348" i="3" s="1"/>
  <c r="BV12" i="3"/>
  <c r="BV153" i="3"/>
  <c r="BV314" i="3"/>
  <c r="BV110" i="3"/>
  <c r="BV39" i="3"/>
  <c r="CA39" i="3" s="1"/>
  <c r="BV208" i="3"/>
  <c r="CA208" i="3" s="1"/>
  <c r="BV7" i="3"/>
  <c r="BV157" i="3"/>
  <c r="CA157" i="3" s="1"/>
  <c r="BV310" i="3"/>
  <c r="CA310" i="3" s="1"/>
  <c r="BV140" i="3"/>
  <c r="CA140" i="3" s="1"/>
  <c r="BV219" i="3"/>
  <c r="CA219" i="3" s="1"/>
  <c r="BV44" i="3"/>
  <c r="CA44" i="3" s="1"/>
  <c r="BV283" i="3"/>
  <c r="CA283" i="3" s="1"/>
  <c r="BV139" i="3"/>
  <c r="CA139" i="3" s="1"/>
  <c r="CA292" i="3"/>
  <c r="BV235" i="3"/>
  <c r="CA235" i="3" s="1"/>
  <c r="CA99" i="3"/>
  <c r="BV276" i="3"/>
  <c r="CA276" i="3" s="1"/>
  <c r="BV239" i="3"/>
  <c r="CA239" i="3" s="1"/>
  <c r="BV41" i="3"/>
  <c r="CA41" i="3" s="1"/>
  <c r="BV202" i="3"/>
  <c r="BV357" i="3"/>
  <c r="CA357" i="3" s="1"/>
  <c r="BV195" i="3"/>
  <c r="CA195" i="3" s="1"/>
  <c r="BV96" i="3"/>
  <c r="BV241" i="3"/>
  <c r="CA241" i="3" s="1"/>
  <c r="BV45" i="3"/>
  <c r="CA45" i="3" s="1"/>
  <c r="BV198" i="3"/>
  <c r="CA198" i="3" s="1"/>
  <c r="BV107" i="3"/>
  <c r="CA107" i="3" s="1"/>
  <c r="BV255" i="3"/>
  <c r="CA255" i="3" s="1"/>
  <c r="BV57" i="3"/>
  <c r="BV218" i="3"/>
  <c r="CA218" i="3" s="1"/>
  <c r="BV11" i="3"/>
  <c r="BV259" i="3"/>
  <c r="CA259" i="3" s="1"/>
  <c r="BV48" i="3"/>
  <c r="CA48" i="3" s="1"/>
  <c r="BV193" i="3"/>
  <c r="CA193" i="3" s="1"/>
  <c r="BV354" i="3"/>
  <c r="CA354" i="3" s="1"/>
  <c r="BV150" i="3"/>
  <c r="CA150" i="3" s="1"/>
  <c r="BV324" i="3"/>
  <c r="CA324" i="3" s="1"/>
  <c r="BV143" i="3"/>
  <c r="BV312" i="3"/>
  <c r="CA312" i="3" s="1"/>
  <c r="BV106" i="3"/>
  <c r="CA106" i="3" s="1"/>
  <c r="BV261" i="3"/>
  <c r="CA261" i="3" s="1"/>
  <c r="BV220" i="3"/>
  <c r="CA220" i="3" s="1"/>
  <c r="BV5" i="3"/>
  <c r="BV145" i="3"/>
  <c r="CA145" i="3" s="1"/>
  <c r="BV306" i="3"/>
  <c r="CA306" i="3" s="1"/>
  <c r="BV102" i="3"/>
  <c r="CA102" i="3" s="1"/>
  <c r="BV132" i="3"/>
  <c r="CA132" i="3" s="1"/>
  <c r="BV72" i="3"/>
  <c r="CA72" i="3" s="1"/>
  <c r="BV217" i="3"/>
  <c r="CA217" i="3" s="1"/>
  <c r="BV24" i="3"/>
  <c r="BV174" i="3"/>
  <c r="CA174" i="3" s="1"/>
  <c r="BV103" i="3"/>
  <c r="BV272" i="3"/>
  <c r="CA272" i="3" s="1"/>
  <c r="BV66" i="3"/>
  <c r="CA66" i="3" s="1"/>
  <c r="BV221" i="3"/>
  <c r="CA221" i="3" s="1"/>
  <c r="BV60" i="3"/>
  <c r="BV23" i="3"/>
  <c r="CA127" i="3"/>
  <c r="BV51" i="3"/>
  <c r="CA51" i="3" s="1"/>
  <c r="CA298" i="3"/>
  <c r="CA63" i="3"/>
  <c r="BV108" i="3"/>
  <c r="CA108" i="3" s="1"/>
  <c r="BV203" i="3"/>
  <c r="CA203" i="3" s="1"/>
  <c r="CA176" i="3"/>
  <c r="BV236" i="3"/>
  <c r="CA236" i="3" s="1"/>
  <c r="BV187" i="3"/>
  <c r="CA187" i="3" s="1"/>
  <c r="CA278" i="3"/>
  <c r="BV305" i="3"/>
  <c r="CA305" i="3" s="1"/>
  <c r="BV36" i="3"/>
  <c r="CA36" i="3" s="1"/>
  <c r="BV170" i="3"/>
  <c r="CA170" i="3" s="1"/>
  <c r="BV136" i="3"/>
  <c r="CA136" i="3" s="1"/>
  <c r="BV316" i="3"/>
  <c r="CA316" i="3" s="1"/>
  <c r="CA57" i="3"/>
  <c r="CA26" i="3"/>
  <c r="CA9" i="3"/>
  <c r="BV109" i="3"/>
  <c r="CA109" i="3" s="1"/>
  <c r="BV112" i="3"/>
  <c r="CA112" i="3" s="1"/>
  <c r="BV325" i="3"/>
  <c r="CA325" i="3" s="1"/>
  <c r="BV281" i="3"/>
  <c r="CA281" i="3" s="1"/>
  <c r="BV180" i="3"/>
  <c r="CA180" i="3" s="1"/>
  <c r="BV148" i="3"/>
  <c r="CA148" i="3" s="1"/>
  <c r="CA4" i="3"/>
  <c r="BV303" i="3"/>
  <c r="CA303" i="3" s="1"/>
  <c r="BV262" i="3"/>
  <c r="CA262" i="3" s="1"/>
  <c r="BV257" i="3"/>
  <c r="BV67" i="3"/>
  <c r="CA67" i="3" s="1"/>
  <c r="BV85" i="3"/>
  <c r="CA85" i="3" s="1"/>
  <c r="BV164" i="3"/>
  <c r="CA27" i="3"/>
  <c r="BV105" i="3"/>
  <c r="CA105" i="3" s="1"/>
  <c r="BV353" i="3"/>
  <c r="CA353" i="3" s="1"/>
  <c r="BV61" i="3"/>
  <c r="CA61" i="3" s="1"/>
  <c r="BV64" i="3"/>
  <c r="BV238" i="3"/>
  <c r="CA238" i="3" s="1"/>
  <c r="BV359" i="3"/>
  <c r="CA359" i="3" s="1"/>
  <c r="CA12" i="3"/>
  <c r="BV266" i="3"/>
  <c r="CA266" i="3" s="1"/>
  <c r="BV319" i="3"/>
  <c r="CA319" i="3" s="1"/>
  <c r="BV214" i="3"/>
  <c r="CA214" i="3" s="1"/>
  <c r="BV209" i="3"/>
  <c r="CA209" i="3" s="1"/>
  <c r="BV167" i="3"/>
  <c r="CA167" i="3" s="1"/>
  <c r="CA222" i="3"/>
  <c r="BV339" i="3"/>
  <c r="CA339" i="3" s="1"/>
  <c r="BV285" i="3"/>
  <c r="CA285" i="3" s="1"/>
  <c r="BV62" i="3"/>
  <c r="CA62" i="3" s="1"/>
  <c r="BV121" i="3"/>
  <c r="CA121" i="3" s="1"/>
  <c r="BV171" i="3"/>
  <c r="CA171" i="3" s="1"/>
  <c r="BV17" i="3"/>
  <c r="BV336" i="3"/>
  <c r="CA336" i="3" s="1"/>
  <c r="CA69" i="3"/>
  <c r="BV211" i="3"/>
  <c r="CA211" i="3" s="1"/>
  <c r="BV282" i="3"/>
  <c r="CA282" i="3" s="1"/>
  <c r="BV207" i="3"/>
  <c r="CA207" i="3" s="1"/>
  <c r="BV166" i="3"/>
  <c r="CA166" i="3" s="1"/>
  <c r="BV130" i="3"/>
  <c r="CA130" i="3" s="1"/>
  <c r="BV84" i="3"/>
  <c r="CA84" i="3" s="1"/>
  <c r="CA15" i="3"/>
  <c r="BV160" i="3"/>
  <c r="CA160" i="3" s="1"/>
  <c r="BV78" i="3"/>
  <c r="BV13" i="3"/>
  <c r="BV307" i="3"/>
  <c r="CA307" i="3" s="1"/>
  <c r="BV172" i="3"/>
  <c r="CA172" i="3" s="1"/>
  <c r="CA14" i="3"/>
  <c r="BL247" i="3"/>
  <c r="BN84" i="3"/>
  <c r="BL11" i="3"/>
  <c r="BL363" i="3"/>
  <c r="BQ363" i="3" s="1"/>
  <c r="BM162" i="3"/>
  <c r="BM123" i="3"/>
  <c r="BO219" i="3"/>
  <c r="BN258" i="3"/>
  <c r="BM196" i="3"/>
  <c r="BN329" i="3"/>
  <c r="BL189" i="3"/>
  <c r="BM329" i="3"/>
  <c r="BL251" i="3"/>
  <c r="BL287" i="3"/>
  <c r="BM195" i="3"/>
  <c r="BP37" i="3"/>
  <c r="BL319" i="3"/>
  <c r="BO176" i="3"/>
  <c r="BL114" i="3"/>
  <c r="BP256" i="3"/>
  <c r="BN346" i="3"/>
  <c r="BL106" i="3"/>
  <c r="BO305" i="3"/>
  <c r="BM246" i="3"/>
  <c r="BN260" i="3"/>
  <c r="BL76" i="3"/>
  <c r="BQ76" i="3" s="1"/>
  <c r="BL144" i="3"/>
  <c r="BL331" i="3"/>
  <c r="BO224" i="3"/>
  <c r="BM154" i="3"/>
  <c r="BP56" i="3"/>
  <c r="BP272" i="3"/>
  <c r="BO352" i="3"/>
  <c r="BM316" i="3"/>
  <c r="BL193" i="3"/>
  <c r="BQ193" i="3" s="1"/>
  <c r="BM333" i="3"/>
  <c r="BN348" i="3"/>
  <c r="BN241" i="3"/>
  <c r="BO207" i="3"/>
  <c r="BO227" i="3"/>
  <c r="BP51" i="3"/>
  <c r="BL262" i="3"/>
  <c r="BL150" i="3"/>
  <c r="BO96" i="3"/>
  <c r="BM361" i="3"/>
  <c r="BL316" i="3"/>
  <c r="BM354" i="3"/>
  <c r="BO248" i="3"/>
  <c r="BN155" i="3"/>
  <c r="BL104" i="3"/>
  <c r="BP284" i="3"/>
  <c r="BM18" i="3"/>
  <c r="BP300" i="3"/>
  <c r="BL170" i="3"/>
  <c r="BO123" i="3"/>
  <c r="BM358" i="3"/>
  <c r="BO124" i="3"/>
  <c r="BP326" i="3"/>
  <c r="BN355" i="3"/>
  <c r="BM54" i="3"/>
  <c r="BN320" i="3"/>
  <c r="BL56" i="3"/>
  <c r="BM223" i="3"/>
  <c r="BO234" i="3"/>
  <c r="BP334" i="3"/>
  <c r="BP335" i="3"/>
  <c r="BP70" i="3"/>
  <c r="BN5" i="3"/>
  <c r="BM91" i="3"/>
  <c r="BL285" i="3"/>
  <c r="BO151" i="3"/>
  <c r="BO109" i="3"/>
  <c r="BO115" i="3"/>
  <c r="BO221" i="3"/>
  <c r="BM182" i="3"/>
  <c r="BM331" i="3"/>
  <c r="BL321" i="3"/>
  <c r="BP69" i="3"/>
  <c r="BP219" i="3"/>
  <c r="BO55" i="3"/>
  <c r="BO84" i="3"/>
  <c r="BL35" i="3"/>
  <c r="BN332" i="3"/>
  <c r="BO313" i="3"/>
  <c r="BL167" i="3"/>
  <c r="BM209" i="3"/>
  <c r="BL16" i="3"/>
  <c r="BO54" i="3"/>
  <c r="BO350" i="3"/>
  <c r="BN121" i="3"/>
  <c r="BM13" i="3"/>
  <c r="BP220" i="3"/>
  <c r="BN217" i="3"/>
  <c r="BP309" i="3"/>
  <c r="BL238" i="3"/>
  <c r="BM53" i="3"/>
  <c r="BL231" i="3"/>
  <c r="BN23" i="3"/>
  <c r="BN118" i="3"/>
  <c r="BP148" i="3"/>
  <c r="BO45" i="3"/>
  <c r="BL361" i="3"/>
  <c r="BN17" i="3"/>
  <c r="BO254" i="3"/>
  <c r="BP90" i="3"/>
  <c r="BM264" i="3"/>
  <c r="BP244" i="3"/>
  <c r="BL7" i="3"/>
  <c r="BM25" i="3"/>
  <c r="BO278" i="3"/>
  <c r="BN124" i="3"/>
  <c r="BO338" i="3"/>
  <c r="BP358" i="3"/>
  <c r="BM249" i="3"/>
  <c r="BO160" i="3"/>
  <c r="BL330" i="3"/>
  <c r="BO112" i="3"/>
  <c r="BO231" i="3"/>
  <c r="BP228" i="3"/>
  <c r="BL153" i="3"/>
  <c r="BO56" i="3"/>
  <c r="BP230" i="3"/>
  <c r="BO253" i="3"/>
  <c r="BM139" i="3"/>
  <c r="BM79" i="3"/>
  <c r="BM69" i="3"/>
  <c r="BO356" i="3"/>
  <c r="BN240" i="3"/>
  <c r="BL143" i="3"/>
  <c r="BP344" i="3"/>
  <c r="BN192" i="3"/>
  <c r="BP125" i="3"/>
  <c r="BL26" i="3"/>
  <c r="BP338" i="3"/>
  <c r="BM158" i="3"/>
  <c r="BM58" i="3"/>
  <c r="BM175" i="3"/>
  <c r="BL335" i="3"/>
  <c r="BO35" i="3"/>
  <c r="BO249" i="3"/>
  <c r="BL245" i="3"/>
  <c r="BL93" i="3"/>
  <c r="BL94" i="3"/>
  <c r="BM93" i="3"/>
  <c r="BL338" i="3"/>
  <c r="BM117" i="3"/>
  <c r="BN345" i="3"/>
  <c r="BL168" i="3"/>
  <c r="BN21" i="3"/>
  <c r="BL186" i="3"/>
  <c r="BP175" i="3"/>
  <c r="BO329" i="3"/>
  <c r="BN55" i="3"/>
  <c r="BM114" i="3"/>
  <c r="BP38" i="3"/>
  <c r="BN171" i="3"/>
  <c r="BO119" i="3"/>
  <c r="BN187" i="3"/>
  <c r="BO28" i="3"/>
  <c r="BN335" i="3"/>
  <c r="BL177" i="3"/>
  <c r="BL182" i="3"/>
  <c r="BL202" i="3"/>
  <c r="BM185" i="3"/>
  <c r="BL213" i="3"/>
  <c r="BO14" i="3"/>
  <c r="BM267" i="3"/>
  <c r="BM232" i="3"/>
  <c r="BL292" i="3"/>
  <c r="BM332" i="3"/>
  <c r="BO46" i="3"/>
  <c r="BL158" i="3"/>
  <c r="BM340" i="3"/>
  <c r="BM317" i="3"/>
  <c r="BL339" i="3"/>
  <c r="BP294" i="3"/>
  <c r="BM283" i="3"/>
  <c r="BP356" i="3"/>
  <c r="BP104" i="3"/>
  <c r="BP295" i="3"/>
  <c r="BL187" i="3"/>
  <c r="BP117" i="3"/>
  <c r="BO18" i="3"/>
  <c r="BN128" i="3"/>
  <c r="BM131" i="3"/>
  <c r="BN93" i="3"/>
  <c r="BO74" i="3"/>
  <c r="BL146" i="3"/>
  <c r="BL188" i="3"/>
  <c r="BM328" i="3"/>
  <c r="BP116" i="3"/>
  <c r="BL96" i="3"/>
  <c r="BP359" i="3"/>
  <c r="BP119" i="3"/>
  <c r="BM309" i="3"/>
  <c r="BO292" i="3"/>
  <c r="BM304" i="3"/>
  <c r="BL336" i="3"/>
  <c r="BL264" i="3"/>
  <c r="BN208" i="3"/>
  <c r="BL36" i="3"/>
  <c r="BN149" i="3"/>
  <c r="BO203" i="3"/>
  <c r="BO13" i="3"/>
  <c r="BO139" i="3"/>
  <c r="BN205" i="3"/>
  <c r="BO242" i="3"/>
  <c r="BP203" i="3"/>
  <c r="BN81" i="3"/>
  <c r="BP276" i="3"/>
  <c r="BO321" i="3"/>
  <c r="BO100" i="3"/>
  <c r="BO16" i="3"/>
  <c r="BO183" i="3"/>
  <c r="BM129" i="3"/>
  <c r="BM323" i="3"/>
  <c r="BP184" i="3"/>
  <c r="BP166" i="3"/>
  <c r="BP195" i="3"/>
  <c r="BP14" i="3"/>
  <c r="BP33" i="3"/>
  <c r="BN59" i="3"/>
  <c r="BM55" i="3"/>
  <c r="BN148" i="3"/>
  <c r="BM111" i="3"/>
  <c r="BN138" i="3"/>
  <c r="BO94" i="3"/>
  <c r="BL259" i="3"/>
  <c r="BM205" i="3"/>
  <c r="BP134" i="3"/>
  <c r="BT204" i="3"/>
  <c r="BY204" i="3" s="1"/>
  <c r="BT8" i="3"/>
  <c r="BT167" i="3"/>
  <c r="BY167" i="3" s="1"/>
  <c r="BT344" i="3"/>
  <c r="BY344" i="3" s="1"/>
  <c r="BT138" i="3"/>
  <c r="BT359" i="3"/>
  <c r="BY359" i="3" s="1"/>
  <c r="BT53" i="3"/>
  <c r="BY53" i="3" s="1"/>
  <c r="BT206" i="3"/>
  <c r="BT32" i="3"/>
  <c r="BT185" i="3"/>
  <c r="BT338" i="3"/>
  <c r="BT92" i="3"/>
  <c r="BT253" i="3"/>
  <c r="BT55" i="3"/>
  <c r="BT232" i="3"/>
  <c r="BT26" i="3"/>
  <c r="BT179" i="3"/>
  <c r="BY179" i="3" s="1"/>
  <c r="BT292" i="3"/>
  <c r="BT94" i="3"/>
  <c r="BY94" i="3" s="1"/>
  <c r="BT255" i="3"/>
  <c r="BY255" i="3" s="1"/>
  <c r="BT73" i="3"/>
  <c r="BT226" i="3"/>
  <c r="BT307" i="3"/>
  <c r="BT141" i="3"/>
  <c r="BT294" i="3"/>
  <c r="BT120" i="3"/>
  <c r="BY120" i="3" s="1"/>
  <c r="BT273" i="3"/>
  <c r="BY273" i="3" s="1"/>
  <c r="BT67" i="3"/>
  <c r="BT180" i="3"/>
  <c r="BY180" i="3" s="1"/>
  <c r="BT341" i="3"/>
  <c r="BY341" i="3" s="1"/>
  <c r="BT143" i="3"/>
  <c r="BY143" i="3" s="1"/>
  <c r="BT320" i="3"/>
  <c r="BY320" i="3" s="1"/>
  <c r="BT114" i="3"/>
  <c r="BY114" i="3" s="1"/>
  <c r="BT267" i="3"/>
  <c r="BY267" i="3" s="1"/>
  <c r="BT29" i="3"/>
  <c r="BY29" i="3" s="1"/>
  <c r="BT182" i="3"/>
  <c r="BT10" i="3"/>
  <c r="BT161" i="3"/>
  <c r="BY161" i="3" s="1"/>
  <c r="BT314" i="3"/>
  <c r="BT196" i="3"/>
  <c r="BY196" i="3" s="1"/>
  <c r="BT357" i="3"/>
  <c r="BY357" i="3" s="1"/>
  <c r="BT159" i="3"/>
  <c r="BY159" i="3" s="1"/>
  <c r="BT336" i="3"/>
  <c r="BY336" i="3" s="1"/>
  <c r="BT130" i="3"/>
  <c r="BY130" i="3" s="1"/>
  <c r="BT323" i="3"/>
  <c r="BY323" i="3" s="1"/>
  <c r="BT268" i="3"/>
  <c r="BY268" i="3" s="1"/>
  <c r="BT70" i="3"/>
  <c r="BT231" i="3"/>
  <c r="BY231" i="3" s="1"/>
  <c r="BT49" i="3"/>
  <c r="BY49" i="3" s="1"/>
  <c r="BT202" i="3"/>
  <c r="BY202" i="3" s="1"/>
  <c r="BT351" i="3"/>
  <c r="BY351" i="3" s="1"/>
  <c r="BT117" i="3"/>
  <c r="BT270" i="3"/>
  <c r="BT96" i="3"/>
  <c r="BT249" i="3"/>
  <c r="BT43" i="3"/>
  <c r="BT156" i="3"/>
  <c r="BT317" i="3"/>
  <c r="BT119" i="3"/>
  <c r="BY119" i="3" s="1"/>
  <c r="BT296" i="3"/>
  <c r="BY296" i="3" s="1"/>
  <c r="BT90" i="3"/>
  <c r="BY90" i="3" s="1"/>
  <c r="BT243" i="3"/>
  <c r="BT356" i="3"/>
  <c r="BT158" i="3"/>
  <c r="BT319" i="3"/>
  <c r="BT137" i="3"/>
  <c r="BY137" i="3" s="1"/>
  <c r="BT290" i="3"/>
  <c r="BY290" i="3" s="1"/>
  <c r="BT44" i="3"/>
  <c r="BY44" i="3" s="1"/>
  <c r="BT205" i="3"/>
  <c r="BT9" i="3"/>
  <c r="BT184" i="3"/>
  <c r="BT337" i="3"/>
  <c r="BT131" i="3"/>
  <c r="BT244" i="3"/>
  <c r="BY244" i="3" s="1"/>
  <c r="BT46" i="3"/>
  <c r="BT207" i="3"/>
  <c r="BY207" i="3" s="1"/>
  <c r="BT19" i="3"/>
  <c r="BT178" i="3"/>
  <c r="BT363" i="3"/>
  <c r="BT93" i="3"/>
  <c r="BY93" i="3" s="1"/>
  <c r="BT246" i="3"/>
  <c r="BY246" i="3" s="1"/>
  <c r="BT72" i="3"/>
  <c r="BY72" i="3" s="1"/>
  <c r="BT225" i="3"/>
  <c r="BY225" i="3" s="1"/>
  <c r="BT21" i="3"/>
  <c r="BT260" i="3"/>
  <c r="BY260" i="3" s="1"/>
  <c r="BT62" i="3"/>
  <c r="BY62" i="3" s="1"/>
  <c r="BT223" i="3"/>
  <c r="BY223" i="3" s="1"/>
  <c r="BT41" i="3"/>
  <c r="BT194" i="3"/>
  <c r="BY194" i="3" s="1"/>
  <c r="BT299" i="3"/>
  <c r="BY299" i="3" s="1"/>
  <c r="BY131" i="3"/>
  <c r="BY337" i="3"/>
  <c r="BY307" i="3"/>
  <c r="BY356" i="3"/>
  <c r="BT332" i="3"/>
  <c r="BY332" i="3" s="1"/>
  <c r="BT134" i="3"/>
  <c r="BY134" i="3" s="1"/>
  <c r="BT295" i="3"/>
  <c r="BY295" i="3" s="1"/>
  <c r="BT113" i="3"/>
  <c r="BY113" i="3" s="1"/>
  <c r="BT266" i="3"/>
  <c r="BY266" i="3" s="1"/>
  <c r="BT22" i="3"/>
  <c r="BY22" i="3" s="1"/>
  <c r="BT181" i="3"/>
  <c r="BY181" i="3" s="1"/>
  <c r="BT334" i="3"/>
  <c r="BY334" i="3" s="1"/>
  <c r="BT160" i="3"/>
  <c r="BT313" i="3"/>
  <c r="BT107" i="3"/>
  <c r="BT220" i="3"/>
  <c r="BY220" i="3" s="1"/>
  <c r="BT23" i="3"/>
  <c r="BT183" i="3"/>
  <c r="BY183" i="3" s="1"/>
  <c r="BT360" i="3"/>
  <c r="BY360" i="3" s="1"/>
  <c r="BT154" i="3"/>
  <c r="BY154" i="3" s="1"/>
  <c r="BT361" i="3"/>
  <c r="BT69" i="3"/>
  <c r="BY69" i="3" s="1"/>
  <c r="BT222" i="3"/>
  <c r="BT48" i="3"/>
  <c r="BY48" i="3" s="1"/>
  <c r="BT201" i="3"/>
  <c r="BT354" i="3"/>
  <c r="BY354" i="3" s="1"/>
  <c r="BT108" i="3"/>
  <c r="BY108" i="3" s="1"/>
  <c r="BT269" i="3"/>
  <c r="BY269" i="3" s="1"/>
  <c r="BT71" i="3"/>
  <c r="BY71" i="3" s="1"/>
  <c r="BT248" i="3"/>
  <c r="BY248" i="3" s="1"/>
  <c r="BT42" i="3"/>
  <c r="BT195" i="3"/>
  <c r="BT308" i="3"/>
  <c r="BY308" i="3" s="1"/>
  <c r="BT110" i="3"/>
  <c r="BY110" i="3" s="1"/>
  <c r="BT271" i="3"/>
  <c r="BY271" i="3" s="1"/>
  <c r="BT89" i="3"/>
  <c r="BY89" i="3" s="1"/>
  <c r="BT242" i="3"/>
  <c r="BY242" i="3" s="1"/>
  <c r="BT339" i="3"/>
  <c r="BY339" i="3" s="1"/>
  <c r="BT157" i="3"/>
  <c r="BT310" i="3"/>
  <c r="BY310" i="3" s="1"/>
  <c r="BT136" i="3"/>
  <c r="BY136" i="3" s="1"/>
  <c r="BT289" i="3"/>
  <c r="BY289" i="3" s="1"/>
  <c r="BT83" i="3"/>
  <c r="BY83" i="3" s="1"/>
  <c r="BT324" i="3"/>
  <c r="BY324" i="3" s="1"/>
  <c r="BT126" i="3"/>
  <c r="BY126" i="3" s="1"/>
  <c r="BT287" i="3"/>
  <c r="BY287" i="3" s="1"/>
  <c r="BT105" i="3"/>
  <c r="BT258" i="3"/>
  <c r="BY258" i="3" s="1"/>
  <c r="BT355" i="3"/>
  <c r="BY355" i="3" s="1"/>
  <c r="BY158" i="3"/>
  <c r="BY253" i="3"/>
  <c r="BY292" i="3"/>
  <c r="BY178" i="3"/>
  <c r="BT45" i="3"/>
  <c r="BY45" i="3" s="1"/>
  <c r="BT198" i="3"/>
  <c r="BY198" i="3" s="1"/>
  <c r="BT25" i="3"/>
  <c r="BY25" i="3" s="1"/>
  <c r="BT177" i="3"/>
  <c r="BY177" i="3" s="1"/>
  <c r="BT330" i="3"/>
  <c r="BY330" i="3" s="1"/>
  <c r="BT84" i="3"/>
  <c r="BY84" i="3" s="1"/>
  <c r="BT245" i="3"/>
  <c r="BY245" i="3" s="1"/>
  <c r="BT47" i="3"/>
  <c r="BT224" i="3"/>
  <c r="BT20" i="3"/>
  <c r="BY20" i="3" s="1"/>
  <c r="BT171" i="3"/>
  <c r="BY171" i="3" s="1"/>
  <c r="BT284" i="3"/>
  <c r="BT86" i="3"/>
  <c r="BY86" i="3" s="1"/>
  <c r="BT247" i="3"/>
  <c r="BY247" i="3" s="1"/>
  <c r="BT65" i="3"/>
  <c r="BT218" i="3"/>
  <c r="BY218" i="3" s="1"/>
  <c r="BT362" i="3"/>
  <c r="BY362" i="3" s="1"/>
  <c r="BT133" i="3"/>
  <c r="BT286" i="3"/>
  <c r="BY286" i="3" s="1"/>
  <c r="BT112" i="3"/>
  <c r="BY112" i="3" s="1"/>
  <c r="BT265" i="3"/>
  <c r="BY265" i="3" s="1"/>
  <c r="BT59" i="3"/>
  <c r="BT172" i="3"/>
  <c r="BY172" i="3" s="1"/>
  <c r="BT333" i="3"/>
  <c r="BY333" i="3" s="1"/>
  <c r="BT135" i="3"/>
  <c r="BT312" i="3"/>
  <c r="BY312" i="3" s="1"/>
  <c r="BT106" i="3"/>
  <c r="BY106" i="3" s="1"/>
  <c r="BT259" i="3"/>
  <c r="BY259" i="3" s="1"/>
  <c r="BT15" i="3"/>
  <c r="BT174" i="3"/>
  <c r="BY174" i="3" s="1"/>
  <c r="BT335" i="3"/>
  <c r="BY335" i="3" s="1"/>
  <c r="BT153" i="3"/>
  <c r="BT306" i="3"/>
  <c r="BY306" i="3" s="1"/>
  <c r="BT60" i="3"/>
  <c r="BY60" i="3" s="1"/>
  <c r="BT221" i="3"/>
  <c r="BY221" i="3" s="1"/>
  <c r="BT24" i="3"/>
  <c r="BT200" i="3"/>
  <c r="BY200" i="3" s="1"/>
  <c r="BT353" i="3"/>
  <c r="BY353" i="3" s="1"/>
  <c r="BT147" i="3"/>
  <c r="BY147" i="3" s="1"/>
  <c r="BT37" i="3"/>
  <c r="BY37" i="3" s="1"/>
  <c r="BT190" i="3"/>
  <c r="BY190" i="3" s="1"/>
  <c r="BT18" i="3"/>
  <c r="BT169" i="3"/>
  <c r="BT322" i="3"/>
  <c r="BY322" i="3" s="1"/>
  <c r="BT275" i="3"/>
  <c r="BY275" i="3" s="1"/>
  <c r="BY55" i="3"/>
  <c r="BY243" i="3"/>
  <c r="BY363" i="3"/>
  <c r="BT109" i="3"/>
  <c r="BY109" i="3" s="1"/>
  <c r="BT262" i="3"/>
  <c r="BY262" i="3" s="1"/>
  <c r="BT88" i="3"/>
  <c r="BY88" i="3" s="1"/>
  <c r="BT241" i="3"/>
  <c r="BY241" i="3" s="1"/>
  <c r="BT35" i="3"/>
  <c r="BY35" i="3" s="1"/>
  <c r="BT148" i="3"/>
  <c r="BT309" i="3"/>
  <c r="BY309" i="3" s="1"/>
  <c r="BT111" i="3"/>
  <c r="BT288" i="3"/>
  <c r="BY288" i="3" s="1"/>
  <c r="BT82" i="3"/>
  <c r="BY82" i="3" s="1"/>
  <c r="BT235" i="3"/>
  <c r="BY235" i="3" s="1"/>
  <c r="BT348" i="3"/>
  <c r="BY348" i="3" s="1"/>
  <c r="BT150" i="3"/>
  <c r="BY150" i="3" s="1"/>
  <c r="BT311" i="3"/>
  <c r="BY311" i="3" s="1"/>
  <c r="BT129" i="3"/>
  <c r="BY129" i="3" s="1"/>
  <c r="BT282" i="3"/>
  <c r="BY282" i="3" s="1"/>
  <c r="BT36" i="3"/>
  <c r="BT197" i="3"/>
  <c r="BY197" i="3" s="1"/>
  <c r="BT350" i="3"/>
  <c r="BT176" i="3"/>
  <c r="BY176" i="3" s="1"/>
  <c r="BT329" i="3"/>
  <c r="BY329" i="3" s="1"/>
  <c r="BT123" i="3"/>
  <c r="BT236" i="3"/>
  <c r="BY236" i="3" s="1"/>
  <c r="BT38" i="3"/>
  <c r="BY38" i="3" s="1"/>
  <c r="BT199" i="3"/>
  <c r="BY199" i="3" s="1"/>
  <c r="BT11" i="3"/>
  <c r="BY11" i="3" s="1"/>
  <c r="BT170" i="3"/>
  <c r="BY170" i="3" s="1"/>
  <c r="BT343" i="3"/>
  <c r="BY343" i="3" s="1"/>
  <c r="BT85" i="3"/>
  <c r="BY85" i="3" s="1"/>
  <c r="BT238" i="3"/>
  <c r="BY238" i="3" s="1"/>
  <c r="BT64" i="3"/>
  <c r="BY64" i="3" s="1"/>
  <c r="BT217" i="3"/>
  <c r="BT13" i="3"/>
  <c r="BT124" i="3"/>
  <c r="BY124" i="3" s="1"/>
  <c r="BT285" i="3"/>
  <c r="BY285" i="3" s="1"/>
  <c r="BT87" i="3"/>
  <c r="BY87" i="3" s="1"/>
  <c r="BT264" i="3"/>
  <c r="BY264" i="3" s="1"/>
  <c r="BT58" i="3"/>
  <c r="BY58" i="3" s="1"/>
  <c r="BT211" i="3"/>
  <c r="BY211" i="3" s="1"/>
  <c r="BT101" i="3"/>
  <c r="BY101" i="3" s="1"/>
  <c r="BT254" i="3"/>
  <c r="BY254" i="3" s="1"/>
  <c r="BT80" i="3"/>
  <c r="BY80" i="3" s="1"/>
  <c r="BT233" i="3"/>
  <c r="BY233" i="3" s="1"/>
  <c r="BT27" i="3"/>
  <c r="BY27" i="3" s="1"/>
  <c r="BT291" i="3"/>
  <c r="BY291" i="3" s="1"/>
  <c r="BY141" i="3"/>
  <c r="BY46" i="3"/>
  <c r="BY36" i="3"/>
  <c r="BY226" i="3"/>
  <c r="BY9" i="3"/>
  <c r="BY294" i="3"/>
  <c r="BY32" i="3"/>
  <c r="BY206" i="3"/>
  <c r="BY319" i="3"/>
  <c r="BT14" i="3"/>
  <c r="BY14" i="3" s="1"/>
  <c r="BT173" i="3"/>
  <c r="BY173" i="3" s="1"/>
  <c r="BT326" i="3"/>
  <c r="BY326" i="3" s="1"/>
  <c r="BT152" i="3"/>
  <c r="BY152" i="3" s="1"/>
  <c r="BT305" i="3"/>
  <c r="BY305" i="3" s="1"/>
  <c r="BT99" i="3"/>
  <c r="BY99" i="3" s="1"/>
  <c r="BT212" i="3"/>
  <c r="BY212" i="3" s="1"/>
  <c r="BT16" i="3"/>
  <c r="BT175" i="3"/>
  <c r="BT352" i="3"/>
  <c r="BY352" i="3" s="1"/>
  <c r="BT146" i="3"/>
  <c r="BY146" i="3" s="1"/>
  <c r="BT331" i="3"/>
  <c r="BY331" i="3" s="1"/>
  <c r="BT61" i="3"/>
  <c r="BT214" i="3"/>
  <c r="BY214" i="3" s="1"/>
  <c r="BT40" i="3"/>
  <c r="BY40" i="3" s="1"/>
  <c r="BT193" i="3"/>
  <c r="BT346" i="3"/>
  <c r="BY346" i="3" s="1"/>
  <c r="BT100" i="3"/>
  <c r="BY100" i="3" s="1"/>
  <c r="BT261" i="3"/>
  <c r="BY261" i="3" s="1"/>
  <c r="BT63" i="3"/>
  <c r="BY63" i="3" s="1"/>
  <c r="BT240" i="3"/>
  <c r="BY240" i="3" s="1"/>
  <c r="BT34" i="3"/>
  <c r="BY34" i="3" s="1"/>
  <c r="BT187" i="3"/>
  <c r="BY187" i="3" s="1"/>
  <c r="BT300" i="3"/>
  <c r="BY300" i="3" s="1"/>
  <c r="BT102" i="3"/>
  <c r="BY102" i="3" s="1"/>
  <c r="BT263" i="3"/>
  <c r="BY263" i="3" s="1"/>
  <c r="BT81" i="3"/>
  <c r="BY81" i="3" s="1"/>
  <c r="BT234" i="3"/>
  <c r="BY234" i="3" s="1"/>
  <c r="BT315" i="3"/>
  <c r="BY315" i="3" s="1"/>
  <c r="BT149" i="3"/>
  <c r="BT302" i="3"/>
  <c r="BY302" i="3" s="1"/>
  <c r="BT128" i="3"/>
  <c r="BY128" i="3" s="1"/>
  <c r="BT281" i="3"/>
  <c r="BY281" i="3" s="1"/>
  <c r="BT75" i="3"/>
  <c r="BT188" i="3"/>
  <c r="BY188" i="3" s="1"/>
  <c r="BT349" i="3"/>
  <c r="BY349" i="3" s="1"/>
  <c r="BT151" i="3"/>
  <c r="BY151" i="3" s="1"/>
  <c r="BT328" i="3"/>
  <c r="BY328" i="3" s="1"/>
  <c r="BT122" i="3"/>
  <c r="BY122" i="3" s="1"/>
  <c r="BT6" i="3"/>
  <c r="BY6" i="3" s="1"/>
  <c r="BT165" i="3"/>
  <c r="BY165" i="3" s="1"/>
  <c r="BT318" i="3"/>
  <c r="BT144" i="3"/>
  <c r="BY144" i="3" s="1"/>
  <c r="BT297" i="3"/>
  <c r="BY297" i="3" s="1"/>
  <c r="BT91" i="3"/>
  <c r="BY91" i="3" s="1"/>
  <c r="BT347" i="3"/>
  <c r="BY347" i="3" s="1"/>
  <c r="BY13" i="3"/>
  <c r="BY193" i="3"/>
  <c r="BY232" i="3"/>
  <c r="BY222" i="3"/>
  <c r="BY59" i="3"/>
  <c r="BY117" i="3"/>
  <c r="BY16" i="3"/>
  <c r="BY153" i="3"/>
  <c r="BY157" i="3"/>
  <c r="BY338" i="3"/>
  <c r="BY133" i="3"/>
  <c r="BT76" i="3"/>
  <c r="BY76" i="3" s="1"/>
  <c r="BT237" i="3"/>
  <c r="BY237" i="3" s="1"/>
  <c r="BT39" i="3"/>
  <c r="BY39" i="3" s="1"/>
  <c r="BT216" i="3"/>
  <c r="BY216" i="3" s="1"/>
  <c r="BT12" i="3"/>
  <c r="BT163" i="3"/>
  <c r="BY163" i="3" s="1"/>
  <c r="BT276" i="3"/>
  <c r="BY276" i="3" s="1"/>
  <c r="BT78" i="3"/>
  <c r="BY78" i="3" s="1"/>
  <c r="BT239" i="3"/>
  <c r="BT57" i="3"/>
  <c r="BY57" i="3" s="1"/>
  <c r="BT210" i="3"/>
  <c r="BY210" i="3" s="1"/>
  <c r="BT358" i="3"/>
  <c r="BY358" i="3" s="1"/>
  <c r="BT125" i="3"/>
  <c r="BY125" i="3" s="1"/>
  <c r="BT278" i="3"/>
  <c r="BY278" i="3" s="1"/>
  <c r="BT104" i="3"/>
  <c r="BY104" i="3" s="1"/>
  <c r="BT257" i="3"/>
  <c r="BY257" i="3" s="1"/>
  <c r="BT51" i="3"/>
  <c r="BY51" i="3" s="1"/>
  <c r="BT164" i="3"/>
  <c r="BY164" i="3" s="1"/>
  <c r="BT325" i="3"/>
  <c r="BY325" i="3" s="1"/>
  <c r="BT127" i="3"/>
  <c r="BY127" i="3" s="1"/>
  <c r="BT304" i="3"/>
  <c r="BY304" i="3" s="1"/>
  <c r="BT98" i="3"/>
  <c r="BT251" i="3"/>
  <c r="BY251" i="3" s="1"/>
  <c r="BT7" i="3"/>
  <c r="BT166" i="3"/>
  <c r="BY166" i="3" s="1"/>
  <c r="BT327" i="3"/>
  <c r="BY327" i="3" s="1"/>
  <c r="BT145" i="3"/>
  <c r="BY145" i="3" s="1"/>
  <c r="BT298" i="3"/>
  <c r="BY298" i="3" s="1"/>
  <c r="BT52" i="3"/>
  <c r="BY52" i="3" s="1"/>
  <c r="BT213" i="3"/>
  <c r="BY213" i="3" s="1"/>
  <c r="BT17" i="3"/>
  <c r="BT192" i="3"/>
  <c r="BT345" i="3"/>
  <c r="BY345" i="3" s="1"/>
  <c r="BT139" i="3"/>
  <c r="BY139" i="3" s="1"/>
  <c r="BT252" i="3"/>
  <c r="BY252" i="3" s="1"/>
  <c r="BT54" i="3"/>
  <c r="BY54" i="3" s="1"/>
  <c r="BT215" i="3"/>
  <c r="BY215" i="3" s="1"/>
  <c r="BT33" i="3"/>
  <c r="BY33" i="3" s="1"/>
  <c r="BT186" i="3"/>
  <c r="BY186" i="3" s="1"/>
  <c r="BT68" i="3"/>
  <c r="BY68" i="3" s="1"/>
  <c r="BT229" i="3"/>
  <c r="BY229" i="3" s="1"/>
  <c r="BT31" i="3"/>
  <c r="BT208" i="3"/>
  <c r="BY208" i="3" s="1"/>
  <c r="BM4" i="3"/>
  <c r="BT155" i="3"/>
  <c r="BY155" i="3" s="1"/>
  <c r="BY43" i="3"/>
  <c r="BY249" i="3"/>
  <c r="BY135" i="3"/>
  <c r="BY284" i="3"/>
  <c r="BY149" i="3"/>
  <c r="BY67" i="3"/>
  <c r="BY92" i="3"/>
  <c r="BY205" i="3"/>
  <c r="BY96" i="3"/>
  <c r="BY156" i="3"/>
  <c r="BY317" i="3"/>
  <c r="BY111" i="3"/>
  <c r="BY185" i="3"/>
  <c r="BY350" i="3"/>
  <c r="BY24" i="3"/>
  <c r="BT142" i="3"/>
  <c r="BY142" i="3" s="1"/>
  <c r="BT321" i="3"/>
  <c r="BY321" i="3" s="1"/>
  <c r="BT77" i="3"/>
  <c r="BY77" i="3" s="1"/>
  <c r="BT256" i="3"/>
  <c r="BT132" i="3"/>
  <c r="BY132" i="3" s="1"/>
  <c r="BY123" i="3"/>
  <c r="BT140" i="3"/>
  <c r="BY140" i="3" s="1"/>
  <c r="BT303" i="3"/>
  <c r="BY303" i="3" s="1"/>
  <c r="BT115" i="3"/>
  <c r="BY115" i="3" s="1"/>
  <c r="BT230" i="3"/>
  <c r="BY230" i="3" s="1"/>
  <c r="BT50" i="3"/>
  <c r="BT293" i="3"/>
  <c r="BY293" i="3" s="1"/>
  <c r="BY160" i="3"/>
  <c r="BT301" i="3"/>
  <c r="BY301" i="3" s="1"/>
  <c r="BT121" i="3"/>
  <c r="BY121" i="3" s="1"/>
  <c r="BT228" i="3"/>
  <c r="BY228" i="3" s="1"/>
  <c r="BT56" i="3"/>
  <c r="BY56" i="3" s="1"/>
  <c r="BT203" i="3"/>
  <c r="BY203" i="3" s="1"/>
  <c r="BT95" i="3"/>
  <c r="BY95" i="3" s="1"/>
  <c r="BY239" i="3"/>
  <c r="BY217" i="3"/>
  <c r="BT103" i="3"/>
  <c r="BY103" i="3" s="1"/>
  <c r="BT274" i="3"/>
  <c r="BT30" i="3"/>
  <c r="BT209" i="3"/>
  <c r="BT316" i="3"/>
  <c r="BY316" i="3" s="1"/>
  <c r="BT272" i="3"/>
  <c r="BY272" i="3" s="1"/>
  <c r="BY73" i="3"/>
  <c r="BY184" i="3"/>
  <c r="BY42" i="3"/>
  <c r="BT280" i="3"/>
  <c r="BY280" i="3" s="1"/>
  <c r="BT28" i="3"/>
  <c r="BY28" i="3" s="1"/>
  <c r="BT191" i="3"/>
  <c r="BY191" i="3" s="1"/>
  <c r="BT5" i="3"/>
  <c r="BY5" i="3" s="1"/>
  <c r="BT118" i="3"/>
  <c r="BY118" i="3" s="1"/>
  <c r="BT66" i="3"/>
  <c r="BY66" i="3" s="1"/>
  <c r="BY318" i="3"/>
  <c r="BY313" i="3"/>
  <c r="BT74" i="3"/>
  <c r="BY74" i="3" s="1"/>
  <c r="BT189" i="3"/>
  <c r="BY189" i="3" s="1"/>
  <c r="BT4" i="3"/>
  <c r="BT116" i="3"/>
  <c r="BY116" i="3" s="1"/>
  <c r="BT279" i="3"/>
  <c r="BY279" i="3" s="1"/>
  <c r="BT219" i="3"/>
  <c r="BY219" i="3" s="1"/>
  <c r="BY175" i="3"/>
  <c r="BT227" i="3"/>
  <c r="BY227" i="3" s="1"/>
  <c r="BT342" i="3"/>
  <c r="BY342" i="3" s="1"/>
  <c r="BT162" i="3"/>
  <c r="BY162" i="3" s="1"/>
  <c r="BT277" i="3"/>
  <c r="BY277" i="3" s="1"/>
  <c r="BT97" i="3"/>
  <c r="BY97" i="3" s="1"/>
  <c r="BY224" i="3"/>
  <c r="BY201" i="3"/>
  <c r="BY192" i="3"/>
  <c r="BT168" i="3"/>
  <c r="BY168" i="3" s="1"/>
  <c r="BT283" i="3"/>
  <c r="BY283" i="3" s="1"/>
  <c r="BT79" i="3"/>
  <c r="BY79" i="3" s="1"/>
  <c r="BT250" i="3"/>
  <c r="BY250" i="3" s="1"/>
  <c r="BY270" i="3"/>
  <c r="BY26" i="3"/>
  <c r="BY107" i="3"/>
  <c r="BY361" i="3"/>
  <c r="BY4" i="3"/>
  <c r="BT340" i="3"/>
  <c r="BY340" i="3" s="1"/>
  <c r="BY23" i="3"/>
  <c r="BY15" i="3"/>
  <c r="BY7" i="3"/>
  <c r="BY18" i="3"/>
  <c r="BY19" i="3"/>
  <c r="BM157" i="3"/>
  <c r="BO120" i="3"/>
  <c r="BN72" i="3"/>
  <c r="BN270" i="3"/>
  <c r="BN347" i="3"/>
  <c r="BN52" i="3"/>
  <c r="BO214" i="3"/>
  <c r="BL47" i="3"/>
  <c r="BP304" i="3"/>
  <c r="BN116" i="3"/>
  <c r="BM295" i="3"/>
  <c r="BM7" i="3"/>
  <c r="BM263" i="3"/>
  <c r="BL17" i="3"/>
  <c r="BN219" i="3"/>
  <c r="BN183" i="3"/>
  <c r="BO37" i="3"/>
  <c r="BP281" i="3"/>
  <c r="BN314" i="3"/>
  <c r="BL139" i="3"/>
  <c r="BP181" i="3"/>
  <c r="BL132" i="3"/>
  <c r="BN61" i="3"/>
  <c r="BL174" i="3"/>
  <c r="BP275" i="3"/>
  <c r="BL183" i="3"/>
  <c r="BP354" i="3"/>
  <c r="BM274" i="3"/>
  <c r="BP325" i="3"/>
  <c r="BO88" i="3"/>
  <c r="BM200" i="3"/>
  <c r="BP159" i="3"/>
  <c r="BL294" i="3"/>
  <c r="BP18" i="3"/>
  <c r="BO161" i="3"/>
  <c r="BL261" i="3"/>
  <c r="BO267" i="3"/>
  <c r="BN302" i="3"/>
  <c r="BP182" i="3"/>
  <c r="BM254" i="3"/>
  <c r="BN305" i="3"/>
  <c r="BN349" i="3"/>
  <c r="BM197" i="3"/>
  <c r="BP330" i="3"/>
  <c r="BO21" i="3"/>
  <c r="BN15" i="3"/>
  <c r="BL50" i="3"/>
  <c r="BO125" i="3"/>
  <c r="BO322" i="3"/>
  <c r="BM142" i="3"/>
  <c r="BM184" i="3"/>
  <c r="BM225" i="3"/>
  <c r="BM349" i="3"/>
  <c r="BP200" i="3"/>
  <c r="BP130" i="3"/>
  <c r="BO163" i="3"/>
  <c r="BO284" i="3"/>
  <c r="BO289" i="3"/>
  <c r="BP156" i="3"/>
  <c r="BO168" i="3"/>
  <c r="BL105" i="3"/>
  <c r="BP236" i="3"/>
  <c r="BM186" i="3"/>
  <c r="BM50" i="3"/>
  <c r="BO114" i="3"/>
  <c r="BN230" i="3"/>
  <c r="BN73" i="3"/>
  <c r="BP58" i="3"/>
  <c r="BL318" i="3"/>
  <c r="BM337" i="3"/>
  <c r="BM227" i="3"/>
  <c r="BN268" i="3"/>
  <c r="BO186" i="3"/>
  <c r="BM204" i="3"/>
  <c r="BN188" i="3"/>
  <c r="BL244" i="3"/>
  <c r="BQ244" i="3" s="1"/>
  <c r="BO302" i="3"/>
  <c r="BN308" i="3"/>
  <c r="BL118" i="3"/>
  <c r="BQ118" i="3" s="1"/>
  <c r="BO301" i="3"/>
  <c r="BN292" i="3"/>
  <c r="BM32" i="3"/>
  <c r="BO327" i="3"/>
  <c r="BL175" i="3"/>
  <c r="BL126" i="3"/>
  <c r="BM14" i="3"/>
  <c r="BL22" i="3"/>
  <c r="BO318" i="3"/>
  <c r="BP206" i="3"/>
  <c r="BP54" i="3"/>
  <c r="BO258" i="3"/>
  <c r="BO198" i="3"/>
  <c r="BM169" i="3"/>
  <c r="BN111" i="3"/>
  <c r="BO86" i="3"/>
  <c r="BL222" i="3"/>
  <c r="BO63" i="3"/>
  <c r="BM344" i="3"/>
  <c r="BN272" i="3"/>
  <c r="BP254" i="3"/>
  <c r="BP255" i="3"/>
  <c r="BP223" i="3"/>
  <c r="BO247" i="3"/>
  <c r="BM77" i="3"/>
  <c r="BP262" i="3"/>
  <c r="BP136" i="3"/>
  <c r="BM228" i="3"/>
  <c r="BP233" i="3"/>
  <c r="BP323" i="3"/>
  <c r="BO132" i="3"/>
  <c r="BM38" i="3"/>
  <c r="BN304" i="3"/>
  <c r="BM22" i="3"/>
  <c r="BM178" i="3"/>
  <c r="BM287" i="3"/>
  <c r="BP352" i="3"/>
  <c r="BP100" i="3"/>
  <c r="BL227" i="3"/>
  <c r="BO362" i="3"/>
  <c r="BN263" i="3"/>
  <c r="BL302" i="3"/>
  <c r="BO274" i="3"/>
  <c r="BO239" i="3"/>
  <c r="BM222" i="3"/>
  <c r="BP240" i="3"/>
  <c r="BO152" i="3"/>
  <c r="BM321" i="3"/>
  <c r="BP185" i="3"/>
  <c r="BP36" i="3"/>
  <c r="BO275" i="3"/>
  <c r="BL145" i="3"/>
  <c r="BN235" i="3"/>
  <c r="BN19" i="3"/>
  <c r="BO343" i="3"/>
  <c r="BN222" i="3"/>
  <c r="BL291" i="3"/>
  <c r="BN156" i="3"/>
  <c r="BN100" i="3"/>
  <c r="BO39" i="3"/>
  <c r="BN296" i="3"/>
  <c r="BO73" i="3"/>
  <c r="BN170" i="3"/>
  <c r="BL95" i="3"/>
  <c r="BP353" i="3"/>
  <c r="BN165" i="3"/>
  <c r="BM300" i="3"/>
  <c r="BN13" i="3"/>
  <c r="BM281" i="3"/>
  <c r="BO213" i="3"/>
  <c r="BL27" i="3"/>
  <c r="BO347" i="3"/>
  <c r="BL191" i="3"/>
  <c r="BL286" i="3"/>
  <c r="BP122" i="3"/>
  <c r="BN32" i="3"/>
  <c r="BN351" i="3"/>
  <c r="BM149" i="3"/>
  <c r="BN125" i="3"/>
  <c r="BM192" i="3"/>
  <c r="BO136" i="3"/>
  <c r="BL85" i="3"/>
  <c r="BM64" i="3"/>
  <c r="BP288" i="3"/>
  <c r="BN316" i="3"/>
  <c r="BL70" i="3"/>
  <c r="BL214" i="3"/>
  <c r="BP13" i="3"/>
  <c r="BP343" i="3"/>
  <c r="BL33" i="3"/>
  <c r="BL327" i="3"/>
  <c r="BN49" i="3"/>
  <c r="BN95" i="3"/>
  <c r="BO191" i="3"/>
  <c r="BO70" i="3"/>
  <c r="BP329" i="3"/>
  <c r="BP149" i="3"/>
  <c r="BL212" i="3"/>
  <c r="BO22" i="3"/>
  <c r="BP341" i="3"/>
  <c r="BP123" i="3"/>
  <c r="BN337" i="3"/>
  <c r="BN141" i="3"/>
  <c r="BM104" i="3"/>
  <c r="BO173" i="3"/>
  <c r="BL289" i="3"/>
  <c r="BN150" i="3"/>
  <c r="BM189" i="3"/>
  <c r="BL25" i="3"/>
  <c r="BQ25" i="3" s="1"/>
  <c r="BP96" i="3"/>
  <c r="BN30" i="3"/>
  <c r="BL101" i="3"/>
  <c r="BN39" i="3"/>
  <c r="BO348" i="3"/>
  <c r="BM173" i="3"/>
  <c r="BL357" i="3"/>
  <c r="BN242" i="3"/>
  <c r="BM89" i="3"/>
  <c r="BP150" i="3"/>
  <c r="BL280" i="3"/>
  <c r="BL99" i="3"/>
  <c r="BN194" i="3"/>
  <c r="BO172" i="3"/>
  <c r="BM239" i="3"/>
  <c r="BN105" i="3"/>
  <c r="BP103" i="3"/>
  <c r="BP85" i="3"/>
  <c r="BL102" i="3"/>
  <c r="BM326" i="3"/>
  <c r="BO71" i="3"/>
  <c r="BO229" i="3"/>
  <c r="BM16" i="3"/>
  <c r="BL162" i="3"/>
  <c r="BN341" i="3"/>
  <c r="BN233" i="3"/>
  <c r="BN238" i="3"/>
  <c r="BL141" i="3"/>
  <c r="BL328" i="3"/>
  <c r="BO92" i="3"/>
  <c r="BO345" i="3"/>
  <c r="BN42" i="3"/>
  <c r="BN144" i="3"/>
  <c r="BP115" i="3"/>
  <c r="BP336" i="3"/>
  <c r="BM96" i="3"/>
  <c r="BM245" i="3"/>
  <c r="BN110" i="3"/>
  <c r="BO101" i="3"/>
  <c r="BO323" i="3"/>
  <c r="BN299" i="3"/>
  <c r="BN223" i="3"/>
  <c r="BW132" i="3"/>
  <c r="CB132" i="3" s="1"/>
  <c r="BW233" i="3"/>
  <c r="CB233" i="3" s="1"/>
  <c r="BW203" i="3"/>
  <c r="CB203" i="3" s="1"/>
  <c r="BW181" i="3"/>
  <c r="CB181" i="3" s="1"/>
  <c r="BW167" i="3"/>
  <c r="CB167" i="3" s="1"/>
  <c r="BW14" i="3"/>
  <c r="BW78" i="3"/>
  <c r="CB78" i="3" s="1"/>
  <c r="BW162" i="3"/>
  <c r="CB162" i="3" s="1"/>
  <c r="BW119" i="3"/>
  <c r="CB119" i="3" s="1"/>
  <c r="BW83" i="3"/>
  <c r="CB83" i="3" s="1"/>
  <c r="BW111" i="3"/>
  <c r="BW6" i="3"/>
  <c r="BW71" i="3"/>
  <c r="BW298" i="3"/>
  <c r="CB298" i="3" s="1"/>
  <c r="BW268" i="3"/>
  <c r="BW254" i="3"/>
  <c r="BW176" i="3"/>
  <c r="BW92" i="3"/>
  <c r="BW193" i="3"/>
  <c r="CB193" i="3" s="1"/>
  <c r="BW163" i="3"/>
  <c r="CB163" i="3" s="1"/>
  <c r="BW135" i="3"/>
  <c r="CB135" i="3" s="1"/>
  <c r="BW107" i="3"/>
  <c r="BW20" i="3"/>
  <c r="BW38" i="3"/>
  <c r="BW96" i="3"/>
  <c r="CB96" i="3" s="1"/>
  <c r="BW363" i="3"/>
  <c r="BW341" i="3"/>
  <c r="CB341" i="3" s="1"/>
  <c r="BW327" i="3"/>
  <c r="CB327" i="3" s="1"/>
  <c r="BW35" i="3"/>
  <c r="BW95" i="3"/>
  <c r="CB95" i="3" s="1"/>
  <c r="BW322" i="3"/>
  <c r="BW292" i="3"/>
  <c r="BW278" i="3"/>
  <c r="CB278" i="3" s="1"/>
  <c r="BW89" i="3"/>
  <c r="CB89" i="3" s="1"/>
  <c r="BW45" i="3"/>
  <c r="CB45" i="3" s="1"/>
  <c r="BW281" i="3"/>
  <c r="CB281" i="3" s="1"/>
  <c r="BW251" i="3"/>
  <c r="CB251" i="3" s="1"/>
  <c r="BW229" i="3"/>
  <c r="CB229" i="3" s="1"/>
  <c r="BW215" i="3"/>
  <c r="CB215" i="3" s="1"/>
  <c r="BW66" i="3"/>
  <c r="BW126" i="3"/>
  <c r="BW210" i="3"/>
  <c r="CB210" i="3" s="1"/>
  <c r="BW180" i="3"/>
  <c r="CB180" i="3" s="1"/>
  <c r="BW166" i="3"/>
  <c r="CB166" i="3" s="1"/>
  <c r="BW264" i="3"/>
  <c r="CB264" i="3" s="1"/>
  <c r="BW61" i="3"/>
  <c r="CB61" i="3" s="1"/>
  <c r="BW297" i="3"/>
  <c r="CB297" i="3" s="1"/>
  <c r="BW267" i="3"/>
  <c r="CB267" i="3" s="1"/>
  <c r="BW245" i="3"/>
  <c r="CB245" i="3" s="1"/>
  <c r="BW231" i="3"/>
  <c r="CB231" i="3" s="1"/>
  <c r="BW82" i="3"/>
  <c r="CB82" i="3" s="1"/>
  <c r="BW142" i="3"/>
  <c r="CB142" i="3" s="1"/>
  <c r="BW226" i="3"/>
  <c r="BW196" i="3"/>
  <c r="BW182" i="3"/>
  <c r="BW139" i="3"/>
  <c r="CB139" i="3" s="1"/>
  <c r="BW17" i="3"/>
  <c r="BW91" i="3"/>
  <c r="CB91" i="3" s="1"/>
  <c r="BW362" i="3"/>
  <c r="BW332" i="3"/>
  <c r="CB332" i="3" s="1"/>
  <c r="BW318" i="3"/>
  <c r="BW224" i="3"/>
  <c r="BW18" i="3"/>
  <c r="BW257" i="3"/>
  <c r="BW227" i="3"/>
  <c r="CB227" i="3" s="1"/>
  <c r="BW205" i="3"/>
  <c r="CB205" i="3" s="1"/>
  <c r="BW191" i="3"/>
  <c r="CB191" i="3" s="1"/>
  <c r="BW42" i="3"/>
  <c r="BW102" i="3"/>
  <c r="BW186" i="3"/>
  <c r="CB186" i="3" s="1"/>
  <c r="BW156" i="3"/>
  <c r="CB156" i="3" s="1"/>
  <c r="BW136" i="3"/>
  <c r="CB136" i="3" s="1"/>
  <c r="BW320" i="3"/>
  <c r="CB320" i="3" s="1"/>
  <c r="BW44" i="3"/>
  <c r="BW141" i="3"/>
  <c r="BW75" i="3"/>
  <c r="BW356" i="3"/>
  <c r="BW342" i="3"/>
  <c r="CB342" i="3" s="1"/>
  <c r="BW288" i="3"/>
  <c r="CB288" i="3" s="1"/>
  <c r="BW109" i="3"/>
  <c r="CB109" i="3" s="1"/>
  <c r="BW345" i="3"/>
  <c r="CB345" i="3" s="1"/>
  <c r="BW315" i="3"/>
  <c r="CB315" i="3" s="1"/>
  <c r="BW293" i="3"/>
  <c r="CB293" i="3" s="1"/>
  <c r="BW279" i="3"/>
  <c r="CB279" i="3" s="1"/>
  <c r="BW125" i="3"/>
  <c r="CB125" i="3" s="1"/>
  <c r="BW361" i="3"/>
  <c r="CB361" i="3" s="1"/>
  <c r="BW331" i="3"/>
  <c r="CB331" i="3" s="1"/>
  <c r="BW309" i="3"/>
  <c r="CB309" i="3" s="1"/>
  <c r="BW295" i="3"/>
  <c r="CB295" i="3" s="1"/>
  <c r="BW146" i="3"/>
  <c r="CB146" i="3" s="1"/>
  <c r="BW63" i="3"/>
  <c r="CB63" i="3" s="1"/>
  <c r="BW290" i="3"/>
  <c r="CB290" i="3" s="1"/>
  <c r="BW260" i="3"/>
  <c r="BW246" i="3"/>
  <c r="CB246" i="3" s="1"/>
  <c r="BW67" i="3"/>
  <c r="CB67" i="3" s="1"/>
  <c r="BW84" i="3"/>
  <c r="CB84" i="3" s="1"/>
  <c r="BW185" i="3"/>
  <c r="BW155" i="3"/>
  <c r="CB155" i="3" s="1"/>
  <c r="BW120" i="3"/>
  <c r="BW88" i="3"/>
  <c r="BW160" i="3"/>
  <c r="BW85" i="3"/>
  <c r="CB85" i="3" s="1"/>
  <c r="BW321" i="3"/>
  <c r="BW291" i="3"/>
  <c r="CB291" i="3" s="1"/>
  <c r="BW269" i="3"/>
  <c r="CB269" i="3" s="1"/>
  <c r="BW255" i="3"/>
  <c r="CB255" i="3" s="1"/>
  <c r="BW106" i="3"/>
  <c r="BW21" i="3"/>
  <c r="BW250" i="3"/>
  <c r="BW220" i="3"/>
  <c r="CB220" i="3" s="1"/>
  <c r="BW206" i="3"/>
  <c r="BW336" i="3"/>
  <c r="CB336" i="3" s="1"/>
  <c r="BW108" i="3"/>
  <c r="BW209" i="3"/>
  <c r="CB209" i="3" s="1"/>
  <c r="BW179" i="3"/>
  <c r="CB179" i="3" s="1"/>
  <c r="BW157" i="3"/>
  <c r="CB157" i="3" s="1"/>
  <c r="BW137" i="3"/>
  <c r="CB137" i="3" s="1"/>
  <c r="BW8" i="3"/>
  <c r="CB8" i="3" s="1"/>
  <c r="BW54" i="3"/>
  <c r="BW129" i="3"/>
  <c r="CB129" i="3" s="1"/>
  <c r="BW56" i="3"/>
  <c r="CB56" i="3" s="1"/>
  <c r="BW357" i="3"/>
  <c r="CB357" i="3" s="1"/>
  <c r="BW343" i="3"/>
  <c r="CB343" i="3" s="1"/>
  <c r="BW51" i="3"/>
  <c r="BP4" i="3"/>
  <c r="BW338" i="3"/>
  <c r="CB338" i="3" s="1"/>
  <c r="BW308" i="3"/>
  <c r="CB308" i="3" s="1"/>
  <c r="BW24" i="3"/>
  <c r="BW70" i="3"/>
  <c r="CB70" i="3" s="1"/>
  <c r="BW154" i="3"/>
  <c r="CB154" i="3" s="1"/>
  <c r="BW99" i="3"/>
  <c r="CB99" i="3" s="1"/>
  <c r="BW64" i="3"/>
  <c r="CB64" i="3" s="1"/>
  <c r="BW359" i="3"/>
  <c r="CB359" i="3" s="1"/>
  <c r="BW7" i="3"/>
  <c r="CB7" i="3" s="1"/>
  <c r="BW72" i="3"/>
  <c r="CB72" i="3" s="1"/>
  <c r="BW354" i="3"/>
  <c r="CB354" i="3" s="1"/>
  <c r="BW324" i="3"/>
  <c r="BW310" i="3"/>
  <c r="CB310" i="3" s="1"/>
  <c r="BW168" i="3"/>
  <c r="CB168" i="3" s="1"/>
  <c r="BW148" i="3"/>
  <c r="CB148" i="3" s="1"/>
  <c r="BW249" i="3"/>
  <c r="BW219" i="3"/>
  <c r="BW197" i="3"/>
  <c r="CB197" i="3" s="1"/>
  <c r="BW183" i="3"/>
  <c r="CB183" i="3" s="1"/>
  <c r="BW12" i="3"/>
  <c r="BW30" i="3"/>
  <c r="BW73" i="3"/>
  <c r="CB73" i="3" s="1"/>
  <c r="BW355" i="3"/>
  <c r="BW333" i="3"/>
  <c r="CB333" i="3" s="1"/>
  <c r="BW319" i="3"/>
  <c r="CB319" i="3" s="1"/>
  <c r="BW26" i="3"/>
  <c r="CB26" i="3" s="1"/>
  <c r="BW87" i="3"/>
  <c r="CB87" i="3" s="1"/>
  <c r="BW314" i="3"/>
  <c r="BW284" i="3"/>
  <c r="CB284" i="3" s="1"/>
  <c r="BW270" i="3"/>
  <c r="CB270" i="3" s="1"/>
  <c r="BW304" i="3"/>
  <c r="BW37" i="3"/>
  <c r="BW273" i="3"/>
  <c r="CB273" i="3" s="1"/>
  <c r="BW243" i="3"/>
  <c r="BW221" i="3"/>
  <c r="CB221" i="3" s="1"/>
  <c r="BW207" i="3"/>
  <c r="CB207" i="3" s="1"/>
  <c r="BW58" i="3"/>
  <c r="CB58" i="3" s="1"/>
  <c r="BW118" i="3"/>
  <c r="BW202" i="3"/>
  <c r="CB202" i="3" s="1"/>
  <c r="BW172" i="3"/>
  <c r="CB172" i="3" s="1"/>
  <c r="BW158" i="3"/>
  <c r="CB158" i="3" s="1"/>
  <c r="BW200" i="3"/>
  <c r="CB200" i="3" s="1"/>
  <c r="BW60" i="3"/>
  <c r="CB60" i="3" s="1"/>
  <c r="BW161" i="3"/>
  <c r="CB161" i="3" s="1"/>
  <c r="BW115" i="3"/>
  <c r="CB115" i="3" s="1"/>
  <c r="BW57" i="3"/>
  <c r="CB57" i="3" s="1"/>
  <c r="BW358" i="3"/>
  <c r="CB358" i="3" s="1"/>
  <c r="BW296" i="3"/>
  <c r="CB296" i="3" s="1"/>
  <c r="BW74" i="3"/>
  <c r="CB74" i="3" s="1"/>
  <c r="BW134" i="3"/>
  <c r="CB134" i="3" s="1"/>
  <c r="BW218" i="3"/>
  <c r="CB218" i="3" s="1"/>
  <c r="BW188" i="3"/>
  <c r="CB188" i="3" s="1"/>
  <c r="BW174" i="3"/>
  <c r="CB174" i="3" s="1"/>
  <c r="BW328" i="3"/>
  <c r="CB328" i="3" s="1"/>
  <c r="BW76" i="3"/>
  <c r="CB76" i="3" s="1"/>
  <c r="BW177" i="3"/>
  <c r="CB177" i="3" s="1"/>
  <c r="BW144" i="3"/>
  <c r="CB144" i="3" s="1"/>
  <c r="BW104" i="3"/>
  <c r="CB104" i="3" s="1"/>
  <c r="BW65" i="3"/>
  <c r="CB65" i="3" s="1"/>
  <c r="BW360" i="3"/>
  <c r="CB360" i="3" s="1"/>
  <c r="BW77" i="3"/>
  <c r="CB77" i="3" s="1"/>
  <c r="BW313" i="3"/>
  <c r="CB313" i="3" s="1"/>
  <c r="BW283" i="3"/>
  <c r="BW261" i="3"/>
  <c r="CB261" i="3" s="1"/>
  <c r="BW247" i="3"/>
  <c r="CB247" i="3" s="1"/>
  <c r="BW34" i="3"/>
  <c r="BW94" i="3"/>
  <c r="CB94" i="3" s="1"/>
  <c r="BW178" i="3"/>
  <c r="CB178" i="3" s="1"/>
  <c r="BW145" i="3"/>
  <c r="CB145" i="3" s="1"/>
  <c r="BW121" i="3"/>
  <c r="CB121" i="3" s="1"/>
  <c r="BW256" i="3"/>
  <c r="CB256" i="3" s="1"/>
  <c r="BW36" i="3"/>
  <c r="BW128" i="3"/>
  <c r="CB128" i="3" s="1"/>
  <c r="BW49" i="3"/>
  <c r="BW348" i="3"/>
  <c r="CB348" i="3" s="1"/>
  <c r="BW334" i="3"/>
  <c r="CB334" i="3" s="1"/>
  <c r="BW4" i="3"/>
  <c r="BW101" i="3"/>
  <c r="CB101" i="3" s="1"/>
  <c r="BW337" i="3"/>
  <c r="CB337" i="3" s="1"/>
  <c r="BW307" i="3"/>
  <c r="BW285" i="3"/>
  <c r="CB285" i="3" s="1"/>
  <c r="BW271" i="3"/>
  <c r="CB271" i="3" s="1"/>
  <c r="BW122" i="3"/>
  <c r="CB122" i="3" s="1"/>
  <c r="BW39" i="3"/>
  <c r="BW266" i="3"/>
  <c r="CB266" i="3" s="1"/>
  <c r="BW236" i="3"/>
  <c r="CB236" i="3" s="1"/>
  <c r="BW222" i="3"/>
  <c r="CB222" i="3" s="1"/>
  <c r="BW216" i="3"/>
  <c r="CB216" i="3" s="1"/>
  <c r="BW124" i="3"/>
  <c r="CB124" i="3" s="1"/>
  <c r="BW225" i="3"/>
  <c r="CB225" i="3" s="1"/>
  <c r="BW195" i="3"/>
  <c r="BW173" i="3"/>
  <c r="CB173" i="3" s="1"/>
  <c r="BW159" i="3"/>
  <c r="CB159" i="3" s="1"/>
  <c r="CB102" i="3"/>
  <c r="CB249" i="3"/>
  <c r="BW138" i="3"/>
  <c r="CB138" i="3" s="1"/>
  <c r="BW55" i="3"/>
  <c r="CB55" i="3" s="1"/>
  <c r="BW282" i="3"/>
  <c r="CB282" i="3" s="1"/>
  <c r="BW252" i="3"/>
  <c r="CB252" i="3" s="1"/>
  <c r="BW238" i="3"/>
  <c r="CB238" i="3" s="1"/>
  <c r="BW344" i="3"/>
  <c r="CB344" i="3" s="1"/>
  <c r="BW140" i="3"/>
  <c r="BW241" i="3"/>
  <c r="CB241" i="3" s="1"/>
  <c r="BW211" i="3"/>
  <c r="CB211" i="3" s="1"/>
  <c r="BW189" i="3"/>
  <c r="CB189" i="3" s="1"/>
  <c r="BW175" i="3"/>
  <c r="CB175" i="3" s="1"/>
  <c r="BW5" i="3"/>
  <c r="CB5" i="3" s="1"/>
  <c r="BW19" i="3"/>
  <c r="BW48" i="3"/>
  <c r="CB48" i="3" s="1"/>
  <c r="BW347" i="3"/>
  <c r="CB347" i="3" s="1"/>
  <c r="BW325" i="3"/>
  <c r="BW311" i="3"/>
  <c r="BW98" i="3"/>
  <c r="BW10" i="3"/>
  <c r="BW242" i="3"/>
  <c r="CB242" i="3" s="1"/>
  <c r="BW212" i="3"/>
  <c r="BW198" i="3"/>
  <c r="CB198" i="3" s="1"/>
  <c r="BW272" i="3"/>
  <c r="BW100" i="3"/>
  <c r="CB100" i="3" s="1"/>
  <c r="BW201" i="3"/>
  <c r="BW171" i="3"/>
  <c r="CB171" i="3" s="1"/>
  <c r="BW147" i="3"/>
  <c r="CB147" i="3" s="1"/>
  <c r="BW123" i="3"/>
  <c r="CB123" i="3" s="1"/>
  <c r="BW28" i="3"/>
  <c r="CB28" i="3" s="1"/>
  <c r="BW46" i="3"/>
  <c r="CB46" i="3" s="1"/>
  <c r="BW113" i="3"/>
  <c r="BW22" i="3"/>
  <c r="BW349" i="3"/>
  <c r="CB349" i="3" s="1"/>
  <c r="BW335" i="3"/>
  <c r="CB335" i="3" s="1"/>
  <c r="BW43" i="3"/>
  <c r="CB43" i="3" s="1"/>
  <c r="BW103" i="3"/>
  <c r="CB103" i="3" s="1"/>
  <c r="BW330" i="3"/>
  <c r="CB330" i="3" s="1"/>
  <c r="BW300" i="3"/>
  <c r="CB300" i="3" s="1"/>
  <c r="BW286" i="3"/>
  <c r="CB286" i="3" s="1"/>
  <c r="BW184" i="3"/>
  <c r="CB184" i="3" s="1"/>
  <c r="BW53" i="3"/>
  <c r="CB53" i="3" s="1"/>
  <c r="BW289" i="3"/>
  <c r="CB289" i="3" s="1"/>
  <c r="BW259" i="3"/>
  <c r="CB259" i="3" s="1"/>
  <c r="BW237" i="3"/>
  <c r="CB237" i="3" s="1"/>
  <c r="BW223" i="3"/>
  <c r="CB223" i="3" s="1"/>
  <c r="BW59" i="3"/>
  <c r="CB59" i="3" s="1"/>
  <c r="BW41" i="3"/>
  <c r="CB41" i="3" s="1"/>
  <c r="BW346" i="3"/>
  <c r="CB346" i="3" s="1"/>
  <c r="BW316" i="3"/>
  <c r="CB316" i="3" s="1"/>
  <c r="BW302" i="3"/>
  <c r="CB302" i="3" s="1"/>
  <c r="BW312" i="3"/>
  <c r="CB312" i="3" s="1"/>
  <c r="BW69" i="3"/>
  <c r="CB69" i="3" s="1"/>
  <c r="BW305" i="3"/>
  <c r="CB305" i="3" s="1"/>
  <c r="BW275" i="3"/>
  <c r="CB275" i="3" s="1"/>
  <c r="BW253" i="3"/>
  <c r="CB253" i="3" s="1"/>
  <c r="BW239" i="3"/>
  <c r="CB239" i="3" s="1"/>
  <c r="BW25" i="3"/>
  <c r="BW86" i="3"/>
  <c r="BW170" i="3"/>
  <c r="CB170" i="3" s="1"/>
  <c r="BW133" i="3"/>
  <c r="BW105" i="3"/>
  <c r="BW192" i="3"/>
  <c r="CB192" i="3" s="1"/>
  <c r="BW15" i="3"/>
  <c r="BW79" i="3"/>
  <c r="CB79" i="3" s="1"/>
  <c r="BW306" i="3"/>
  <c r="CB306" i="3" s="1"/>
  <c r="BW276" i="3"/>
  <c r="CB276" i="3" s="1"/>
  <c r="BW262" i="3"/>
  <c r="BW240" i="3"/>
  <c r="CB240" i="3" s="1"/>
  <c r="BW29" i="3"/>
  <c r="CB29" i="3" s="1"/>
  <c r="BW265" i="3"/>
  <c r="CB265" i="3" s="1"/>
  <c r="BW235" i="3"/>
  <c r="CB235" i="3" s="1"/>
  <c r="BW213" i="3"/>
  <c r="CB213" i="3" s="1"/>
  <c r="BW199" i="3"/>
  <c r="CB199" i="3" s="1"/>
  <c r="BW50" i="3"/>
  <c r="CB50" i="3" s="1"/>
  <c r="BW110" i="3"/>
  <c r="CB110" i="3" s="1"/>
  <c r="BW194" i="3"/>
  <c r="CB194" i="3" s="1"/>
  <c r="BW164" i="3"/>
  <c r="CB164" i="3" s="1"/>
  <c r="BW149" i="3"/>
  <c r="CB149" i="3" s="1"/>
  <c r="BW127" i="3"/>
  <c r="CB127" i="3" s="1"/>
  <c r="BW52" i="3"/>
  <c r="CB52" i="3" s="1"/>
  <c r="BW153" i="3"/>
  <c r="CB153" i="3" s="1"/>
  <c r="BW97" i="3"/>
  <c r="CB97" i="3" s="1"/>
  <c r="BW23" i="3"/>
  <c r="CB23" i="3" s="1"/>
  <c r="BW350" i="3"/>
  <c r="CB350" i="3" s="1"/>
  <c r="BW352" i="3"/>
  <c r="CB352" i="3" s="1"/>
  <c r="BW117" i="3"/>
  <c r="CB117" i="3" s="1"/>
  <c r="BW353" i="3"/>
  <c r="CB353" i="3" s="1"/>
  <c r="BW323" i="3"/>
  <c r="CB323" i="3" s="1"/>
  <c r="BW301" i="3"/>
  <c r="CB301" i="3" s="1"/>
  <c r="BW287" i="3"/>
  <c r="CB287" i="3" s="1"/>
  <c r="CB75" i="3"/>
  <c r="CB106" i="3"/>
  <c r="CB324" i="3"/>
  <c r="CB268" i="3"/>
  <c r="CB250" i="3"/>
  <c r="BW169" i="3"/>
  <c r="CB169" i="3" s="1"/>
  <c r="BW317" i="3"/>
  <c r="CB317" i="3" s="1"/>
  <c r="BW27" i="3"/>
  <c r="CB27" i="3" s="1"/>
  <c r="BW299" i="3"/>
  <c r="CB299" i="3" s="1"/>
  <c r="BW152" i="3"/>
  <c r="BW62" i="3"/>
  <c r="BW294" i="3"/>
  <c r="CB294" i="3" s="1"/>
  <c r="CB292" i="3"/>
  <c r="CB283" i="3"/>
  <c r="CB219" i="3"/>
  <c r="CB113" i="3"/>
  <c r="CB120" i="3"/>
  <c r="CB318" i="3"/>
  <c r="BW131" i="3"/>
  <c r="CB131" i="3" s="1"/>
  <c r="BW303" i="3"/>
  <c r="CB303" i="3" s="1"/>
  <c r="BW112" i="3"/>
  <c r="CB112" i="3" s="1"/>
  <c r="BW277" i="3"/>
  <c r="BW116" i="3"/>
  <c r="CB116" i="3" s="1"/>
  <c r="BW47" i="3"/>
  <c r="BW351" i="3"/>
  <c r="CB351" i="3" s="1"/>
  <c r="CB322" i="3"/>
  <c r="CB355" i="3"/>
  <c r="CB254" i="3"/>
  <c r="CB20" i="3"/>
  <c r="CB262" i="3"/>
  <c r="CB321" i="3"/>
  <c r="CB176" i="3"/>
  <c r="CB311" i="3"/>
  <c r="BW81" i="3"/>
  <c r="CB81" i="3" s="1"/>
  <c r="BW90" i="3"/>
  <c r="CB90" i="3" s="1"/>
  <c r="BW13" i="3"/>
  <c r="BW263" i="3"/>
  <c r="CB263" i="3" s="1"/>
  <c r="BW217" i="3"/>
  <c r="CB217" i="3" s="1"/>
  <c r="BW143" i="3"/>
  <c r="CB143" i="3" s="1"/>
  <c r="BW280" i="3"/>
  <c r="CB280" i="3" s="1"/>
  <c r="CB196" i="3"/>
  <c r="CB362" i="3"/>
  <c r="CB160" i="3"/>
  <c r="CB35" i="3"/>
  <c r="CB314" i="3"/>
  <c r="CB6" i="3"/>
  <c r="BW33" i="3"/>
  <c r="CB33" i="3" s="1"/>
  <c r="BW150" i="3"/>
  <c r="CB150" i="3" s="1"/>
  <c r="BW340" i="3"/>
  <c r="CB340" i="3" s="1"/>
  <c r="BW114" i="3"/>
  <c r="CB114" i="3" s="1"/>
  <c r="BW187" i="3"/>
  <c r="CB187" i="3" s="1"/>
  <c r="BW274" i="3"/>
  <c r="CB274" i="3" s="1"/>
  <c r="BW248" i="3"/>
  <c r="CB248" i="3" s="1"/>
  <c r="CB140" i="3"/>
  <c r="CB38" i="3"/>
  <c r="CB363" i="3"/>
  <c r="CB108" i="3"/>
  <c r="CB307" i="3"/>
  <c r="CB36" i="3"/>
  <c r="BW40" i="3"/>
  <c r="CB40" i="3" s="1"/>
  <c r="BW234" i="3"/>
  <c r="CB234" i="3" s="1"/>
  <c r="BW326" i="3"/>
  <c r="CB326" i="3" s="1"/>
  <c r="BW31" i="3"/>
  <c r="CB31" i="3" s="1"/>
  <c r="BW165" i="3"/>
  <c r="CB165" i="3" s="1"/>
  <c r="BW80" i="3"/>
  <c r="CB107" i="3"/>
  <c r="CB19" i="3"/>
  <c r="CB201" i="3"/>
  <c r="CB224" i="3"/>
  <c r="BW9" i="3"/>
  <c r="CB9" i="3" s="1"/>
  <c r="BW204" i="3"/>
  <c r="CB204" i="3" s="1"/>
  <c r="BW232" i="3"/>
  <c r="CB232" i="3" s="1"/>
  <c r="BW258" i="3"/>
  <c r="CB258" i="3" s="1"/>
  <c r="BW151" i="3"/>
  <c r="CB151" i="3" s="1"/>
  <c r="BW244" i="3"/>
  <c r="CB244" i="3" s="1"/>
  <c r="CB185" i="3"/>
  <c r="CB88" i="3"/>
  <c r="CB152" i="3"/>
  <c r="CB212" i="3"/>
  <c r="CB22" i="3"/>
  <c r="CB206" i="3"/>
  <c r="CB304" i="3"/>
  <c r="BW11" i="3"/>
  <c r="CB11" i="3" s="1"/>
  <c r="BW190" i="3"/>
  <c r="CB190" i="3" s="1"/>
  <c r="BW93" i="3"/>
  <c r="CB93" i="3" s="1"/>
  <c r="BW228" i="3"/>
  <c r="CB228" i="3" s="1"/>
  <c r="BW16" i="3"/>
  <c r="CB16" i="3" s="1"/>
  <c r="BW32" i="3"/>
  <c r="CB32" i="3" s="1"/>
  <c r="BW208" i="3"/>
  <c r="CB208" i="3" s="1"/>
  <c r="CB272" i="3"/>
  <c r="BW329" i="3"/>
  <c r="CB329" i="3" s="1"/>
  <c r="BW214" i="3"/>
  <c r="CB214" i="3" s="1"/>
  <c r="BW130" i="3"/>
  <c r="CB130" i="3" s="1"/>
  <c r="CB42" i="3"/>
  <c r="BW230" i="3"/>
  <c r="CB230" i="3" s="1"/>
  <c r="CB49" i="3"/>
  <c r="CB71" i="3"/>
  <c r="CB257" i="3"/>
  <c r="BW68" i="3"/>
  <c r="CB68" i="3" s="1"/>
  <c r="CB356" i="3"/>
  <c r="CB325" i="3"/>
  <c r="BW339" i="3"/>
  <c r="CB339" i="3" s="1"/>
  <c r="CB4" i="3"/>
  <c r="BN325" i="3"/>
  <c r="BM20" i="3"/>
  <c r="BP147" i="3"/>
  <c r="BQ147" i="3" s="1"/>
  <c r="BP75" i="3"/>
  <c r="BL297" i="3"/>
  <c r="BN45" i="3"/>
  <c r="BP62" i="3"/>
  <c r="BO212" i="3"/>
  <c r="BL274" i="3"/>
  <c r="BQ274" i="3" s="1"/>
  <c r="BN285" i="3"/>
  <c r="BL58" i="3"/>
  <c r="BQ58" i="3" s="1"/>
  <c r="BL252" i="3"/>
  <c r="BL349" i="3"/>
  <c r="BN273" i="3"/>
  <c r="BQ273" i="3" s="1"/>
  <c r="BO336" i="3"/>
  <c r="BN228" i="3"/>
  <c r="BQ228" i="3" s="1"/>
  <c r="BO353" i="3"/>
  <c r="BQ353" i="3" s="1"/>
  <c r="BM210" i="3"/>
  <c r="BQ210" i="3" s="1"/>
  <c r="BM203" i="3"/>
  <c r="BN70" i="3"/>
  <c r="BN204" i="3"/>
  <c r="BO158" i="3"/>
  <c r="BP131" i="3"/>
  <c r="BN38" i="3"/>
  <c r="BQ38" i="3" s="1"/>
  <c r="BL122" i="3"/>
  <c r="BN89" i="3"/>
  <c r="BO251" i="3"/>
  <c r="BN294" i="3"/>
  <c r="BN83" i="3"/>
  <c r="BQ83" i="3" s="1"/>
  <c r="BL125" i="3"/>
  <c r="BQ125" i="3" s="1"/>
  <c r="BM318" i="3"/>
  <c r="BL78" i="3"/>
  <c r="BL198" i="3"/>
  <c r="BQ198" i="3" s="1"/>
  <c r="BM342" i="3"/>
  <c r="BM163" i="3"/>
  <c r="BN152" i="3"/>
  <c r="BN350" i="3"/>
  <c r="BP64" i="3"/>
  <c r="BO185" i="3"/>
  <c r="BP248" i="3"/>
  <c r="BQ248" i="3" s="1"/>
  <c r="BP250" i="3"/>
  <c r="BM234" i="3"/>
  <c r="BP17" i="3"/>
  <c r="BM277" i="3"/>
  <c r="BN8" i="3"/>
  <c r="BP170" i="3"/>
  <c r="BN311" i="3"/>
  <c r="BP84" i="3"/>
  <c r="BP45" i="3"/>
  <c r="BM312" i="3"/>
  <c r="BO134" i="3"/>
  <c r="BN161" i="3"/>
  <c r="BM98" i="3"/>
  <c r="BM215" i="3"/>
  <c r="BM306" i="3"/>
  <c r="BO225" i="3"/>
  <c r="BO319" i="3"/>
  <c r="BM291" i="3"/>
  <c r="BL18" i="3"/>
  <c r="BQ18" i="3" s="1"/>
  <c r="BN178" i="3"/>
  <c r="BL53" i="3"/>
  <c r="BN12" i="3"/>
  <c r="BO346" i="3"/>
  <c r="BQ346" i="3" s="1"/>
  <c r="BN357" i="3"/>
  <c r="BO23" i="3"/>
  <c r="BP213" i="3"/>
  <c r="BM56" i="3"/>
  <c r="BO156" i="3"/>
  <c r="BM17" i="3"/>
  <c r="BP194" i="3"/>
  <c r="BQ194" i="3" s="1"/>
  <c r="BO89" i="3"/>
  <c r="BO325" i="3"/>
  <c r="BN181" i="3"/>
  <c r="BO211" i="3"/>
  <c r="BN137" i="3"/>
  <c r="BL257" i="3"/>
  <c r="BN251" i="3"/>
  <c r="BO144" i="3"/>
  <c r="BQ144" i="3" s="1"/>
  <c r="BL77" i="3"/>
  <c r="BP146" i="3"/>
  <c r="BL343" i="3"/>
  <c r="BP43" i="3"/>
  <c r="BO308" i="3"/>
  <c r="BP60" i="3"/>
  <c r="BN209" i="3"/>
  <c r="BP21" i="3"/>
  <c r="BP39" i="3"/>
  <c r="BO97" i="3"/>
  <c r="BP241" i="3"/>
  <c r="BN74" i="3"/>
  <c r="BP132" i="3"/>
  <c r="BO261" i="3"/>
  <c r="BO44" i="3"/>
  <c r="BP235" i="3"/>
  <c r="BM268" i="3"/>
  <c r="BL160" i="3"/>
  <c r="BQ160" i="3" s="1"/>
  <c r="BL154" i="3"/>
  <c r="BO108" i="3"/>
  <c r="BQ108" i="3" s="1"/>
  <c r="BO5" i="3"/>
  <c r="BL20" i="3"/>
  <c r="BL216" i="3"/>
  <c r="BL155" i="3"/>
  <c r="BO116" i="3"/>
  <c r="BQ116" i="3" s="1"/>
  <c r="BN86" i="3"/>
  <c r="BO66" i="3"/>
  <c r="BP339" i="3"/>
  <c r="BN163" i="3"/>
  <c r="BN191" i="3"/>
  <c r="BM224" i="3"/>
  <c r="BP161" i="3"/>
  <c r="BL362" i="3"/>
  <c r="BP293" i="3"/>
  <c r="BO324" i="3"/>
  <c r="BL181" i="3"/>
  <c r="BP351" i="3"/>
  <c r="BQ351" i="3" s="1"/>
  <c r="BP321" i="3"/>
  <c r="BN75" i="3"/>
  <c r="BO238" i="3"/>
  <c r="BN102" i="3"/>
  <c r="BN199" i="3"/>
  <c r="BP190" i="3"/>
  <c r="BN321" i="3"/>
  <c r="BO218" i="3"/>
  <c r="BM275" i="3"/>
  <c r="BP348" i="3"/>
  <c r="BM292" i="3"/>
  <c r="BL219" i="3"/>
  <c r="BQ219" i="3" s="1"/>
  <c r="BL236" i="3"/>
  <c r="BM51" i="3"/>
  <c r="BQ51" i="3" s="1"/>
  <c r="BP345" i="3"/>
  <c r="BM134" i="3"/>
  <c r="BO137" i="3"/>
  <c r="BN92" i="3"/>
  <c r="BM161" i="3"/>
  <c r="BM339" i="3"/>
  <c r="BM40" i="3"/>
  <c r="BQ40" i="3" s="1"/>
  <c r="BM122" i="3"/>
  <c r="BO190" i="3"/>
  <c r="BM80" i="3"/>
  <c r="BQ80" i="3" s="1"/>
  <c r="BP265" i="3"/>
  <c r="BL190" i="3"/>
  <c r="BL303" i="3"/>
  <c r="BM341" i="3"/>
  <c r="BM26" i="3"/>
  <c r="BP297" i="3"/>
  <c r="BO215" i="3"/>
  <c r="BL269" i="3"/>
  <c r="BQ269" i="3" s="1"/>
  <c r="BO205" i="3"/>
  <c r="BP231" i="3"/>
  <c r="BQ231" i="3" s="1"/>
  <c r="BO127" i="3"/>
  <c r="BO61" i="3"/>
  <c r="BL226" i="3"/>
  <c r="BP113" i="3"/>
  <c r="BL66" i="3"/>
  <c r="BP179" i="3"/>
  <c r="BL130" i="3"/>
  <c r="BQ130" i="3" s="1"/>
  <c r="BL6" i="3"/>
  <c r="BQ6" i="3" s="1"/>
  <c r="BM179" i="3"/>
  <c r="BO201" i="3"/>
  <c r="BP314" i="3"/>
  <c r="BP155" i="3"/>
  <c r="BM279" i="3"/>
  <c r="BL21" i="3"/>
  <c r="BQ21" i="3" s="1"/>
  <c r="BP260" i="3"/>
  <c r="BP191" i="3"/>
  <c r="BM218" i="3"/>
  <c r="BP88" i="3"/>
  <c r="BN290" i="3"/>
  <c r="BL34" i="3"/>
  <c r="BO33" i="3"/>
  <c r="BN279" i="3"/>
  <c r="BP311" i="3"/>
  <c r="BO216" i="3"/>
  <c r="BO202" i="3"/>
  <c r="BM255" i="3"/>
  <c r="BQ255" i="3" s="1"/>
  <c r="BO142" i="3"/>
  <c r="BM217" i="3"/>
  <c r="BM138" i="3"/>
  <c r="BO126" i="3"/>
  <c r="BQ126" i="3" s="1"/>
  <c r="BP67" i="3"/>
  <c r="BN7" i="3"/>
  <c r="BN16" i="3"/>
  <c r="BM293" i="3"/>
  <c r="BO24" i="3"/>
  <c r="BO149" i="3"/>
  <c r="BP140" i="3"/>
  <c r="BL64" i="3"/>
  <c r="BN360" i="3"/>
  <c r="BM87" i="3"/>
  <c r="BQ87" i="3" s="1"/>
  <c r="BM70" i="3"/>
  <c r="BP312" i="3"/>
  <c r="BN79" i="3"/>
  <c r="BQ79" i="3" s="1"/>
  <c r="DF18" i="27"/>
  <c r="GX18" i="27"/>
  <c r="FB18" i="27"/>
  <c r="BM261" i="3"/>
  <c r="BL270" i="3"/>
  <c r="BQ270" i="3" s="1"/>
  <c r="BP227" i="3"/>
  <c r="BM72" i="3"/>
  <c r="BL258" i="3"/>
  <c r="BQ258" i="3" s="1"/>
  <c r="BP171" i="3"/>
  <c r="BQ171" i="3" s="1"/>
  <c r="BM151" i="3"/>
  <c r="BN214" i="3"/>
  <c r="BL29" i="3"/>
  <c r="BQ29" i="3" s="1"/>
  <c r="BN26" i="3"/>
  <c r="BN114" i="3"/>
  <c r="BQ114" i="3" s="1"/>
  <c r="BN119" i="3"/>
  <c r="BQ119" i="3" s="1"/>
  <c r="BP316" i="3"/>
  <c r="BN277" i="3"/>
  <c r="BO67" i="3"/>
  <c r="BO243" i="3"/>
  <c r="BL157" i="3"/>
  <c r="BQ157" i="3" s="1"/>
  <c r="BL41" i="3"/>
  <c r="BQ41" i="3" s="1"/>
  <c r="BM97" i="3"/>
  <c r="BP189" i="3"/>
  <c r="BQ189" i="3" s="1"/>
  <c r="BN334" i="3"/>
  <c r="BQ334" i="3" s="1"/>
  <c r="BO315" i="3"/>
  <c r="BN182" i="3"/>
  <c r="BQ182" i="3" s="1"/>
  <c r="BO235" i="3"/>
  <c r="BP158" i="3"/>
  <c r="BL263" i="3"/>
  <c r="BQ263" i="3" s="1"/>
  <c r="BN104" i="3"/>
  <c r="BQ104" i="3" s="1"/>
  <c r="BL165" i="3"/>
  <c r="BQ165" i="3" s="1"/>
  <c r="BL128" i="3"/>
  <c r="BL323" i="3"/>
  <c r="BQ323" i="3" s="1"/>
  <c r="BP71" i="3"/>
  <c r="BL195" i="3"/>
  <c r="BQ195" i="3" s="1"/>
  <c r="BP237" i="3"/>
  <c r="BN342" i="3"/>
  <c r="BM86" i="3"/>
  <c r="BL275" i="3"/>
  <c r="BP211" i="3"/>
  <c r="BP192" i="3"/>
  <c r="BN106" i="3"/>
  <c r="BO98" i="3"/>
  <c r="BM202" i="3"/>
  <c r="BO281" i="3"/>
  <c r="BQ281" i="3" s="1"/>
  <c r="BP110" i="3"/>
  <c r="BO290" i="3"/>
  <c r="BN115" i="3"/>
  <c r="BQ115" i="3" s="1"/>
  <c r="BL232" i="3"/>
  <c r="BN64" i="3"/>
  <c r="BL19" i="3"/>
  <c r="BO192" i="3"/>
  <c r="BO263" i="3"/>
  <c r="BO177" i="3"/>
  <c r="BO162" i="3"/>
  <c r="BP214" i="3"/>
  <c r="BM23" i="3"/>
  <c r="BL133" i="3"/>
  <c r="BQ133" i="3" s="1"/>
  <c r="BO128" i="3"/>
  <c r="BP261" i="3"/>
  <c r="BL344" i="3"/>
  <c r="BQ344" i="3" s="1"/>
  <c r="BM112" i="3"/>
  <c r="BL48" i="3"/>
  <c r="BQ48" i="3" s="1"/>
  <c r="BM345" i="3"/>
  <c r="BM350" i="3"/>
  <c r="BM109" i="3"/>
  <c r="BQ109" i="3" s="1"/>
  <c r="BM359" i="3"/>
  <c r="BQ359" i="3" s="1"/>
  <c r="BL200" i="3"/>
  <c r="BP242" i="3"/>
  <c r="BP30" i="3"/>
  <c r="BN276" i="3"/>
  <c r="BQ276" i="3" s="1"/>
  <c r="BP162" i="3"/>
  <c r="BM296" i="3"/>
  <c r="BM314" i="3"/>
  <c r="BN215" i="3"/>
  <c r="BN328" i="3"/>
  <c r="BQ328" i="3" s="1"/>
  <c r="BL82" i="3"/>
  <c r="BO188" i="3"/>
  <c r="BN36" i="3"/>
  <c r="BO69" i="3"/>
  <c r="BO85" i="3"/>
  <c r="BQ85" i="3" s="1"/>
  <c r="BP135" i="3"/>
  <c r="BN54" i="3"/>
  <c r="BQ54" i="3" s="1"/>
  <c r="BM44" i="3"/>
  <c r="BP251" i="3"/>
  <c r="BL92" i="3"/>
  <c r="BL235" i="3"/>
  <c r="BL57" i="3"/>
  <c r="BQ57" i="3" s="1"/>
  <c r="BP143" i="3"/>
  <c r="BP59" i="3"/>
  <c r="BM143" i="3"/>
  <c r="BP141" i="3"/>
  <c r="BL65" i="3"/>
  <c r="BQ65" i="3" s="1"/>
  <c r="BP324" i="3"/>
  <c r="BP129" i="3"/>
  <c r="BQ129" i="3" s="1"/>
  <c r="BN14" i="3"/>
  <c r="FB6" i="27"/>
  <c r="DF6" i="27"/>
  <c r="GX6" i="27"/>
  <c r="BP72" i="3"/>
  <c r="BO180" i="3"/>
  <c r="BQ180" i="3" s="1"/>
  <c r="BL113" i="3"/>
  <c r="BO77" i="3"/>
  <c r="BN202" i="3"/>
  <c r="BP27" i="3"/>
  <c r="BO78" i="3"/>
  <c r="BO236" i="3"/>
  <c r="BO306" i="3"/>
  <c r="BP91" i="3"/>
  <c r="BM206" i="3"/>
  <c r="BM207" i="3"/>
  <c r="BM183" i="3"/>
  <c r="BM168" i="3"/>
  <c r="BL151" i="3"/>
  <c r="BL152" i="3"/>
  <c r="BP232" i="3"/>
  <c r="BN10" i="3"/>
  <c r="BM305" i="3"/>
  <c r="BN112" i="3"/>
  <c r="BL73" i="3"/>
  <c r="BQ73" i="3" s="1"/>
  <c r="BL298" i="3"/>
  <c r="BL63" i="3"/>
  <c r="BQ63" i="3" s="1"/>
  <c r="BP172" i="3"/>
  <c r="BP239" i="3"/>
  <c r="BN158" i="3"/>
  <c r="BN322" i="3"/>
  <c r="BQ322" i="3" s="1"/>
  <c r="BL39" i="3"/>
  <c r="BQ39" i="3" s="1"/>
  <c r="BO107" i="3"/>
  <c r="BQ107" i="3" s="1"/>
  <c r="BN62" i="3"/>
  <c r="BP47" i="3"/>
  <c r="BM31" i="3"/>
  <c r="BQ31" i="3" s="1"/>
  <c r="BM213" i="3"/>
  <c r="BO143" i="3"/>
  <c r="BP53" i="3"/>
  <c r="BO266" i="3"/>
  <c r="BL358" i="3"/>
  <c r="BQ358" i="3" s="1"/>
  <c r="BP15" i="3"/>
  <c r="BN174" i="3"/>
  <c r="BL148" i="3"/>
  <c r="BN9" i="3"/>
  <c r="BQ9" i="3" s="1"/>
  <c r="BM47" i="3"/>
  <c r="BP145" i="3"/>
  <c r="BN154" i="3"/>
  <c r="BN159" i="3"/>
  <c r="BQ159" i="3" s="1"/>
  <c r="BL100" i="3"/>
  <c r="BP280" i="3"/>
  <c r="BQ280" i="3" s="1"/>
  <c r="BP277" i="3"/>
  <c r="BN213" i="3"/>
  <c r="BP307" i="3"/>
  <c r="BQ307" i="3" s="1"/>
  <c r="BP127" i="3"/>
  <c r="BP99" i="3"/>
  <c r="BP94" i="3"/>
  <c r="BO26" i="3"/>
  <c r="BP283" i="3"/>
  <c r="BQ283" i="3" s="1"/>
  <c r="BM229" i="3"/>
  <c r="BQ229" i="3" s="1"/>
  <c r="BP221" i="3"/>
  <c r="BL23" i="3"/>
  <c r="BN172" i="3"/>
  <c r="BM100" i="3"/>
  <c r="BN266" i="3"/>
  <c r="BP23" i="3"/>
  <c r="BM338" i="3"/>
  <c r="BL317" i="3"/>
  <c r="BM355" i="3"/>
  <c r="BQ355" i="3" s="1"/>
  <c r="BO330" i="3"/>
  <c r="BO237" i="3"/>
  <c r="BP68" i="3"/>
  <c r="BN98" i="3"/>
  <c r="BO272" i="3"/>
  <c r="BM250" i="3"/>
  <c r="BP186" i="3"/>
  <c r="BQ186" i="3" s="1"/>
  <c r="BL8" i="3"/>
  <c r="BN185" i="3"/>
  <c r="BL185" i="3"/>
  <c r="BM325" i="3"/>
  <c r="BP302" i="3"/>
  <c r="BQ302" i="3" s="1"/>
  <c r="BO312" i="3"/>
  <c r="BL15" i="3"/>
  <c r="BO12" i="3"/>
  <c r="BM230" i="3"/>
  <c r="GR18" i="27"/>
  <c r="EV18" i="27"/>
  <c r="CZ18" i="27"/>
  <c r="BL124" i="3"/>
  <c r="BQ124" i="3" s="1"/>
  <c r="BL88" i="3"/>
  <c r="BP362" i="3"/>
  <c r="BP92" i="3"/>
  <c r="BO317" i="3"/>
  <c r="BO259" i="3"/>
  <c r="BN288" i="3"/>
  <c r="BP137" i="3"/>
  <c r="BM148" i="3"/>
  <c r="BO309" i="3"/>
  <c r="BQ309" i="3" s="1"/>
  <c r="BM294" i="3"/>
  <c r="BN267" i="3"/>
  <c r="BM319" i="3"/>
  <c r="BN317" i="3"/>
  <c r="BN232" i="3"/>
  <c r="BM135" i="3"/>
  <c r="BL110" i="3"/>
  <c r="BP357" i="3"/>
  <c r="BP128" i="3"/>
  <c r="BL278" i="3"/>
  <c r="BP349" i="3"/>
  <c r="BO342" i="3"/>
  <c r="BN313" i="3"/>
  <c r="BQ313" i="3" s="1"/>
  <c r="BO155" i="3"/>
  <c r="BN94" i="3"/>
  <c r="BP215" i="3"/>
  <c r="BM188" i="3"/>
  <c r="BP204" i="3"/>
  <c r="BM260" i="3"/>
  <c r="BM84" i="3"/>
  <c r="BN132" i="3"/>
  <c r="BP252" i="3"/>
  <c r="BP169" i="3"/>
  <c r="BO113" i="3"/>
  <c r="BN315" i="3"/>
  <c r="BL267" i="3"/>
  <c r="BQ267" i="3" s="1"/>
  <c r="BN200" i="3"/>
  <c r="BL296" i="3"/>
  <c r="BN169" i="3"/>
  <c r="BN22" i="3"/>
  <c r="BL72" i="3"/>
  <c r="BO36" i="3"/>
  <c r="BO19" i="3"/>
  <c r="BM282" i="3"/>
  <c r="BL239" i="3"/>
  <c r="BQ239" i="3" s="1"/>
  <c r="BL312" i="3"/>
  <c r="BN338" i="3"/>
  <c r="BP89" i="3"/>
  <c r="BP10" i="3"/>
  <c r="BM136" i="3"/>
  <c r="BM308" i="3"/>
  <c r="BM256" i="3"/>
  <c r="BL268" i="3"/>
  <c r="BL256" i="3"/>
  <c r="BN356" i="3"/>
  <c r="BQ356" i="3" s="1"/>
  <c r="BO8" i="3"/>
  <c r="BP342" i="3"/>
  <c r="BO252" i="3"/>
  <c r="BN295" i="3"/>
  <c r="BO245" i="3"/>
  <c r="BM247" i="3"/>
  <c r="BP82" i="3"/>
  <c r="BO226" i="3"/>
  <c r="BO49" i="3"/>
  <c r="BM28" i="3"/>
  <c r="BM153" i="3"/>
  <c r="BM132" i="3"/>
  <c r="BO87" i="3"/>
  <c r="BN249" i="3"/>
  <c r="BN336" i="3"/>
  <c r="BN140" i="3"/>
  <c r="BL315" i="3"/>
  <c r="BP298" i="3"/>
  <c r="BN68" i="3"/>
  <c r="BO257" i="3"/>
  <c r="BQ230" i="3"/>
  <c r="BQ105" i="3"/>
  <c r="BQ289" i="3"/>
  <c r="BQ331" i="3"/>
  <c r="BQ81" i="3"/>
  <c r="BQ253" i="3"/>
  <c r="BQ284" i="3"/>
  <c r="BQ46" i="3"/>
  <c r="BQ286" i="3"/>
  <c r="BQ139" i="3"/>
  <c r="BQ175" i="3"/>
  <c r="BQ333" i="3"/>
  <c r="BQ291" i="3"/>
  <c r="BQ326" i="3"/>
  <c r="CA126" i="3"/>
  <c r="CB195" i="3"/>
  <c r="CB39" i="3"/>
  <c r="CB34" i="3"/>
  <c r="BX31" i="3"/>
  <c r="BY41" i="3"/>
  <c r="BY21" i="3"/>
  <c r="BY70" i="3"/>
  <c r="BQ176" i="3"/>
  <c r="CA164" i="3"/>
  <c r="CA257" i="3"/>
  <c r="CA78" i="3"/>
  <c r="CB118" i="3"/>
  <c r="CB12" i="3"/>
  <c r="CB24" i="3"/>
  <c r="BQ299" i="3"/>
  <c r="BX26" i="3"/>
  <c r="BX34" i="3"/>
  <c r="BX13" i="3"/>
  <c r="BX29" i="3"/>
  <c r="BY10" i="3"/>
  <c r="BY182" i="3"/>
  <c r="BY138" i="3"/>
  <c r="BY8" i="3"/>
  <c r="BQ167" i="3"/>
  <c r="BQ352" i="3"/>
  <c r="CA23" i="3"/>
  <c r="CA60" i="3"/>
  <c r="CA103" i="3"/>
  <c r="CA11" i="3"/>
  <c r="CA96" i="3"/>
  <c r="CA202" i="3"/>
  <c r="CB51" i="3"/>
  <c r="CB54" i="3"/>
  <c r="BQ310" i="3"/>
  <c r="BX9" i="3"/>
  <c r="BZ34" i="3"/>
  <c r="BQ96" i="3"/>
  <c r="CA7" i="3"/>
  <c r="CA110" i="3"/>
  <c r="CA314" i="3"/>
  <c r="CA153" i="3"/>
  <c r="CA38" i="3"/>
  <c r="CA68" i="3"/>
  <c r="CA134" i="3"/>
  <c r="CA175" i="3"/>
  <c r="CB18" i="3"/>
  <c r="CB17" i="3"/>
  <c r="CB182" i="3"/>
  <c r="CB226" i="3"/>
  <c r="BX317" i="3"/>
  <c r="BX183" i="3"/>
  <c r="BY12" i="3"/>
  <c r="BZ18" i="3"/>
  <c r="CA363" i="3"/>
  <c r="CA46" i="3"/>
  <c r="CA89" i="3"/>
  <c r="CA229" i="3"/>
  <c r="CB126" i="3"/>
  <c r="CB66" i="3"/>
  <c r="CB92" i="3"/>
  <c r="CB111" i="3"/>
  <c r="CB14" i="3"/>
  <c r="BX209" i="3"/>
  <c r="BX296" i="3"/>
  <c r="BZ17" i="3"/>
  <c r="BZ58" i="3"/>
  <c r="CA43" i="3"/>
  <c r="CA31" i="3"/>
  <c r="CA49" i="3"/>
  <c r="CB80" i="3"/>
  <c r="CB62" i="3"/>
  <c r="BX12" i="3"/>
  <c r="BY148" i="3"/>
  <c r="BZ14" i="3"/>
  <c r="BZ10" i="3"/>
  <c r="BZ62" i="3"/>
  <c r="BQ287" i="3"/>
  <c r="BQ42" i="3"/>
  <c r="CA118" i="3"/>
  <c r="CA20" i="3"/>
  <c r="CA358" i="3"/>
  <c r="CA188" i="3"/>
  <c r="CB15" i="3"/>
  <c r="CB25" i="3"/>
  <c r="BX121" i="3"/>
  <c r="BX23" i="3"/>
  <c r="BX61" i="3"/>
  <c r="BX21" i="3"/>
  <c r="BQ55" i="3"/>
  <c r="BY169" i="3"/>
  <c r="BQ301" i="3"/>
  <c r="CA83" i="3"/>
  <c r="CA294" i="3"/>
  <c r="CA35" i="3"/>
  <c r="CB98" i="3"/>
  <c r="BX224" i="3"/>
  <c r="BX113" i="3"/>
  <c r="BX75" i="3"/>
  <c r="BX149" i="3"/>
  <c r="BY105" i="3"/>
  <c r="BZ363" i="3"/>
  <c r="BZ93" i="3"/>
  <c r="BZ12" i="3"/>
  <c r="BQ240" i="3"/>
  <c r="BO296" i="27"/>
  <c r="BP296" i="27" s="1"/>
  <c r="BL297" i="27"/>
  <c r="CJ16" i="23"/>
  <c r="CI16" i="23"/>
  <c r="CH16" i="23"/>
  <c r="CF16" i="23"/>
  <c r="CE16" i="23"/>
  <c r="CK16" i="23"/>
  <c r="CG16" i="23"/>
  <c r="CM4" i="3"/>
  <c r="CI25" i="3"/>
  <c r="CI10" i="3"/>
  <c r="CK91" i="3"/>
  <c r="CI86" i="3"/>
  <c r="CI30" i="3"/>
  <c r="CN99" i="3"/>
  <c r="CM84" i="3"/>
  <c r="CF97" i="3"/>
  <c r="CF16" i="3"/>
  <c r="CH88" i="3"/>
  <c r="CK86" i="3"/>
  <c r="CH71" i="3"/>
  <c r="CF11" i="3"/>
  <c r="CO31" i="3"/>
  <c r="CN17" i="3"/>
  <c r="CF101" i="3"/>
  <c r="CG95" i="3"/>
  <c r="CF65" i="3"/>
  <c r="CH34" i="3"/>
  <c r="CL49" i="3"/>
  <c r="CG28" i="3"/>
  <c r="CH60" i="3"/>
  <c r="CJ85" i="3"/>
  <c r="CL17" i="3"/>
  <c r="CO68" i="3"/>
  <c r="CJ16" i="3"/>
  <c r="CJ77" i="3"/>
  <c r="CJ13" i="3"/>
  <c r="CF17" i="3"/>
  <c r="CG59" i="3"/>
  <c r="CN85" i="3"/>
  <c r="CI35" i="3"/>
  <c r="CK92" i="3"/>
  <c r="CJ60" i="3"/>
  <c r="CM54" i="3"/>
  <c r="CO44" i="3"/>
  <c r="CJ47" i="3"/>
  <c r="CH65" i="3"/>
  <c r="CJ41" i="3"/>
  <c r="CG86" i="3"/>
  <c r="CF79" i="3"/>
  <c r="CH53" i="3"/>
  <c r="CJ78" i="3"/>
  <c r="CL27" i="3"/>
  <c r="CH84" i="3"/>
  <c r="CN10" i="3"/>
  <c r="CM15" i="3"/>
  <c r="CL7" i="3"/>
  <c r="CG80" i="3"/>
  <c r="CH73" i="3"/>
  <c r="CJ61" i="3"/>
  <c r="CJ91" i="3"/>
  <c r="CH59" i="3"/>
  <c r="CO61" i="3"/>
  <c r="CH42" i="3"/>
  <c r="CL58" i="3"/>
  <c r="CF80" i="3"/>
  <c r="CI87" i="3"/>
  <c r="CM13" i="3"/>
  <c r="CM78" i="3"/>
  <c r="CM30" i="3"/>
  <c r="CI67" i="3"/>
  <c r="CN62" i="3"/>
  <c r="CM32" i="3"/>
  <c r="CI102" i="3"/>
  <c r="CN7" i="3"/>
  <c r="CH64" i="3"/>
  <c r="CL94" i="3"/>
  <c r="CH74" i="3"/>
  <c r="CM94" i="3"/>
  <c r="CI76" i="3"/>
  <c r="CL69" i="3"/>
  <c r="CG83" i="3"/>
  <c r="CG27" i="3"/>
  <c r="CN8" i="3"/>
  <c r="CG52" i="3"/>
  <c r="CM19" i="3"/>
  <c r="CF28" i="3"/>
  <c r="CJ17" i="3"/>
  <c r="CH98" i="3"/>
  <c r="CL103" i="3"/>
  <c r="CM83" i="3"/>
  <c r="CN66" i="3"/>
  <c r="CI36" i="3"/>
  <c r="CM40" i="3"/>
  <c r="CL6" i="3"/>
  <c r="CJ27" i="3"/>
  <c r="CH31" i="3"/>
  <c r="CN59" i="3"/>
  <c r="CI50" i="3"/>
  <c r="CH4" i="3"/>
  <c r="CK21" i="3"/>
  <c r="CF52" i="3"/>
  <c r="CO42" i="3"/>
  <c r="CI43" i="3"/>
  <c r="CL29" i="3"/>
  <c r="CL52" i="3"/>
  <c r="CO18" i="3"/>
  <c r="CF56" i="3"/>
  <c r="CG6" i="3"/>
  <c r="CG21" i="3"/>
  <c r="CO8" i="3"/>
  <c r="CF103" i="3"/>
  <c r="CK18" i="3"/>
  <c r="CI82" i="3"/>
  <c r="CH52" i="3"/>
  <c r="CH77" i="3"/>
  <c r="CI93" i="3"/>
  <c r="CG88" i="3"/>
  <c r="CK31" i="3"/>
  <c r="CK17" i="3"/>
  <c r="CF13" i="3"/>
  <c r="CM5" i="3"/>
  <c r="CI99" i="3"/>
  <c r="CK70" i="3"/>
  <c r="CH28" i="3"/>
  <c r="CF54" i="3"/>
  <c r="CI4" i="3"/>
  <c r="CG93" i="3"/>
  <c r="CI53" i="3"/>
  <c r="CO100" i="3"/>
  <c r="CN71" i="3"/>
  <c r="CM47" i="3"/>
  <c r="CG14" i="3"/>
  <c r="CG103" i="3"/>
  <c r="CN83" i="3"/>
  <c r="CG40" i="3"/>
  <c r="CG48" i="3"/>
  <c r="CM23" i="3"/>
  <c r="CK94" i="3"/>
  <c r="CK35" i="3"/>
  <c r="CK69" i="3"/>
  <c r="CJ38" i="3"/>
  <c r="CH10" i="3"/>
  <c r="CI96" i="3"/>
  <c r="CI48" i="3"/>
  <c r="CG63" i="3"/>
  <c r="CM79" i="3"/>
  <c r="CO64" i="3"/>
  <c r="CI20" i="3"/>
  <c r="CK57" i="3"/>
  <c r="CK89" i="3"/>
  <c r="CL51" i="3"/>
  <c r="CN98" i="3"/>
  <c r="CM12" i="3"/>
  <c r="CK71" i="3"/>
  <c r="CO87" i="3"/>
  <c r="CN68" i="3"/>
  <c r="CL45" i="3"/>
  <c r="CI42" i="3"/>
  <c r="CK64" i="3"/>
  <c r="CK65" i="3"/>
  <c r="CH78" i="3"/>
  <c r="CG65" i="3"/>
  <c r="CK93" i="3"/>
  <c r="CN53" i="3"/>
  <c r="CJ66" i="3"/>
  <c r="CL68" i="3"/>
  <c r="CJ56" i="3"/>
  <c r="CI41" i="3"/>
  <c r="CH61" i="3"/>
  <c r="CI18" i="3"/>
  <c r="CO15" i="3"/>
  <c r="CH29" i="3"/>
  <c r="CO6" i="3"/>
  <c r="CG46" i="3"/>
  <c r="CG85" i="3"/>
  <c r="CH11" i="3"/>
  <c r="CJ89" i="3"/>
  <c r="CL14" i="3"/>
  <c r="CI40" i="3"/>
  <c r="CH17" i="3"/>
  <c r="CH9" i="3"/>
  <c r="CK11" i="3"/>
  <c r="CJ55" i="3"/>
  <c r="CO77" i="3"/>
  <c r="CN36" i="3"/>
  <c r="CG33" i="3"/>
  <c r="CK58" i="3"/>
  <c r="CL20" i="3"/>
  <c r="CM96" i="3"/>
  <c r="CJ29" i="3"/>
  <c r="CG37" i="3"/>
  <c r="CG10" i="3"/>
  <c r="CL31" i="3"/>
  <c r="CI38" i="3"/>
  <c r="CK102" i="3"/>
  <c r="CJ25" i="3"/>
  <c r="CO14" i="3"/>
  <c r="CO13" i="3"/>
  <c r="CF9" i="3"/>
  <c r="CG50" i="3"/>
  <c r="CF70" i="3"/>
  <c r="CL48" i="3"/>
  <c r="CK53" i="3"/>
  <c r="CN82" i="3"/>
  <c r="CJ75" i="3"/>
  <c r="CG84" i="3"/>
  <c r="CJ58" i="3"/>
  <c r="CF19" i="3"/>
  <c r="CM89" i="3"/>
  <c r="CO81" i="3"/>
  <c r="CF84" i="3"/>
  <c r="CM50" i="3"/>
  <c r="CK68" i="3"/>
  <c r="CI29" i="3"/>
  <c r="CK6" i="3"/>
  <c r="CH66" i="3"/>
  <c r="CF99" i="3"/>
  <c r="CK51" i="3"/>
  <c r="CO73" i="3"/>
  <c r="CI77" i="3"/>
  <c r="CG96" i="3"/>
  <c r="CK103" i="3"/>
  <c r="CO46" i="3"/>
  <c r="CJ34" i="3"/>
  <c r="CI7" i="3"/>
  <c r="CJ8" i="3"/>
  <c r="CM10" i="3"/>
  <c r="CM48" i="3"/>
  <c r="CG79" i="3"/>
  <c r="CF76" i="3"/>
  <c r="CM72" i="3"/>
  <c r="CF30" i="3"/>
  <c r="CM45" i="3"/>
  <c r="CN58" i="3"/>
  <c r="CI27" i="3"/>
  <c r="CL98" i="3"/>
  <c r="CI11" i="3"/>
  <c r="CL99" i="3"/>
  <c r="CG8" i="3"/>
  <c r="CI26" i="3"/>
  <c r="CJ76" i="3"/>
  <c r="CM90" i="3"/>
  <c r="CG72" i="3"/>
  <c r="CK23" i="3"/>
  <c r="CM37" i="3"/>
  <c r="CM55" i="3"/>
  <c r="CH56" i="3"/>
  <c r="CO89" i="3"/>
  <c r="CH87" i="3"/>
  <c r="CI88" i="3"/>
  <c r="CO55" i="3"/>
  <c r="CJ94" i="3"/>
  <c r="CH58" i="3"/>
  <c r="CL55" i="3"/>
  <c r="CK66" i="3"/>
  <c r="CM17" i="3"/>
  <c r="CJ92" i="3"/>
  <c r="CG62" i="3"/>
  <c r="CI17" i="3"/>
  <c r="CM39" i="3"/>
  <c r="CF63" i="3"/>
  <c r="CG49" i="3"/>
  <c r="CO57" i="3"/>
  <c r="CH67" i="3"/>
  <c r="CG98" i="3"/>
  <c r="CI37" i="3"/>
  <c r="CK26" i="3"/>
  <c r="CM25" i="3"/>
  <c r="CI94" i="3"/>
  <c r="CJ73" i="3"/>
  <c r="CL84" i="3"/>
  <c r="CN103" i="3"/>
  <c r="CJ98" i="3"/>
  <c r="CH93" i="3"/>
  <c r="CK87" i="3"/>
  <c r="CJ39" i="3"/>
  <c r="CM76" i="3"/>
  <c r="CO11" i="3"/>
  <c r="CI80" i="3"/>
  <c r="CM74" i="3"/>
  <c r="CG42" i="3"/>
  <c r="CO20" i="3"/>
  <c r="CM56" i="3"/>
  <c r="CJ14" i="3"/>
  <c r="CL35" i="3"/>
  <c r="CO59" i="3"/>
  <c r="CO10" i="3"/>
  <c r="CJ4" i="3"/>
  <c r="CH99" i="3"/>
  <c r="CK28" i="3"/>
  <c r="CN67" i="3"/>
  <c r="CJ11" i="3"/>
  <c r="CH92" i="3"/>
  <c r="CF42" i="3"/>
  <c r="CJ50" i="3"/>
  <c r="CF37" i="3"/>
  <c r="CG69" i="3"/>
  <c r="CG18" i="3"/>
  <c r="CO67" i="3"/>
  <c r="CI95" i="3"/>
  <c r="CG34" i="3"/>
  <c r="CO95" i="3"/>
  <c r="CN5" i="3"/>
  <c r="CM88" i="3"/>
  <c r="CJ26" i="3"/>
  <c r="CM14" i="3"/>
  <c r="CH23" i="3"/>
  <c r="CO27" i="3"/>
  <c r="CI47" i="3"/>
  <c r="CK47" i="3"/>
  <c r="CH38" i="3"/>
  <c r="CF92" i="3"/>
  <c r="CN44" i="3"/>
  <c r="CF93" i="3"/>
  <c r="CG31" i="3"/>
  <c r="CI31" i="3"/>
  <c r="CJ21" i="3"/>
  <c r="CI28" i="3"/>
  <c r="CJ28" i="3"/>
  <c r="CH48" i="3"/>
  <c r="CM57" i="3"/>
  <c r="CN42" i="3"/>
  <c r="CO71" i="3"/>
  <c r="CH39" i="3"/>
  <c r="CH55" i="3"/>
  <c r="CH26" i="3"/>
  <c r="CI66" i="3"/>
  <c r="CN63" i="3"/>
  <c r="CM26" i="3"/>
  <c r="CI33" i="3"/>
  <c r="CG55" i="3"/>
  <c r="CM18" i="3"/>
  <c r="CM95" i="3"/>
  <c r="CG60" i="3"/>
  <c r="CI63" i="3"/>
  <c r="CL62" i="3"/>
  <c r="CJ53" i="3"/>
  <c r="CN81" i="3"/>
  <c r="CJ93" i="3"/>
  <c r="CM81" i="3"/>
  <c r="CG16" i="3"/>
  <c r="CK29" i="3"/>
  <c r="CF64" i="3"/>
  <c r="CN16" i="3"/>
  <c r="CF60" i="3"/>
  <c r="CL59" i="3"/>
  <c r="CJ64" i="3"/>
  <c r="CO82" i="3"/>
  <c r="CK10" i="3"/>
  <c r="CH32" i="3"/>
  <c r="CF51" i="3"/>
  <c r="CN79" i="3"/>
  <c r="CG20" i="3"/>
  <c r="CI75" i="3"/>
  <c r="CN75" i="3"/>
  <c r="CF43" i="3"/>
  <c r="CN37" i="3"/>
  <c r="CI101" i="3"/>
  <c r="CJ88" i="3"/>
  <c r="CG66" i="3"/>
  <c r="CH22" i="3"/>
  <c r="CG91" i="3"/>
  <c r="CI98" i="3"/>
  <c r="CK16" i="3"/>
  <c r="CL100" i="3"/>
  <c r="CJ45" i="3"/>
  <c r="CI92" i="3"/>
  <c r="CN6" i="3"/>
  <c r="CL19" i="3"/>
  <c r="CJ80" i="3"/>
  <c r="CL72" i="3"/>
  <c r="CJ84" i="3"/>
  <c r="CF48" i="3"/>
  <c r="CL28" i="3"/>
  <c r="CN93" i="3"/>
  <c r="CI60" i="3"/>
  <c r="CL74" i="3"/>
  <c r="CM24" i="3"/>
  <c r="CL5" i="3"/>
  <c r="CH95" i="3"/>
  <c r="CH86" i="3"/>
  <c r="CO94" i="3"/>
  <c r="CH101" i="3"/>
  <c r="CM75" i="3"/>
  <c r="CJ6" i="3"/>
  <c r="CO41" i="3"/>
  <c r="CJ83" i="3"/>
  <c r="CL75" i="3"/>
  <c r="CH89" i="3"/>
  <c r="CI15" i="3"/>
  <c r="CI65" i="3"/>
  <c r="CJ5" i="3"/>
  <c r="CL101" i="3"/>
  <c r="CK55" i="3"/>
  <c r="CO70" i="3"/>
  <c r="CG13" i="3"/>
  <c r="CH69" i="3"/>
  <c r="CO17" i="3"/>
  <c r="CJ74" i="3"/>
  <c r="CO12" i="3"/>
  <c r="CM8" i="3"/>
  <c r="CM98" i="3"/>
  <c r="CN18" i="3"/>
  <c r="CJ24" i="3"/>
  <c r="CL39" i="3"/>
  <c r="CM91" i="3"/>
  <c r="CH46" i="3"/>
  <c r="CK74" i="3"/>
  <c r="CF22" i="3"/>
  <c r="CJ62" i="3"/>
  <c r="CF36" i="3"/>
  <c r="CJ86" i="3"/>
  <c r="CF10" i="3"/>
  <c r="CK54" i="3"/>
  <c r="CO39" i="3"/>
  <c r="CK46" i="3"/>
  <c r="CO35" i="3"/>
  <c r="CH57" i="3"/>
  <c r="CL37" i="3"/>
  <c r="CJ54" i="3"/>
  <c r="CI32" i="3"/>
  <c r="CG78" i="3"/>
  <c r="CJ30" i="3"/>
  <c r="CI83" i="3"/>
  <c r="CK100" i="3"/>
  <c r="CJ19" i="3"/>
  <c r="CL21" i="3"/>
  <c r="CJ9" i="3"/>
  <c r="CF100" i="3"/>
  <c r="CO78" i="3"/>
  <c r="CH30" i="3"/>
  <c r="CI12" i="3"/>
  <c r="CG54" i="3"/>
  <c r="CI23" i="3"/>
  <c r="CG57" i="3"/>
  <c r="CI58" i="3"/>
  <c r="CK96" i="3"/>
  <c r="CG15" i="3"/>
  <c r="CM52" i="3"/>
  <c r="CL78" i="3"/>
  <c r="CG39" i="3"/>
  <c r="CI70" i="3"/>
  <c r="CM42" i="3"/>
  <c r="CN43" i="3"/>
  <c r="CM29" i="3"/>
  <c r="CM101" i="3"/>
  <c r="CM67" i="3"/>
  <c r="CF14" i="3"/>
  <c r="CG44" i="3"/>
  <c r="CG5" i="3"/>
  <c r="CI57" i="3"/>
  <c r="CO45" i="3"/>
  <c r="CH18" i="3"/>
  <c r="CI45" i="3"/>
  <c r="CF15" i="3"/>
  <c r="CG29" i="3"/>
  <c r="CJ103" i="3"/>
  <c r="CK20" i="3"/>
  <c r="CK52" i="3"/>
  <c r="CF62" i="3"/>
  <c r="CG23" i="3"/>
  <c r="CO32" i="3"/>
  <c r="CK81" i="3"/>
  <c r="CI16" i="3"/>
  <c r="CL93" i="3"/>
  <c r="CG11" i="3"/>
  <c r="CH5" i="3"/>
  <c r="CN14" i="3"/>
  <c r="CK42" i="3"/>
  <c r="CO66" i="3"/>
  <c r="CJ70" i="3"/>
  <c r="CN102" i="3"/>
  <c r="CL4" i="3"/>
  <c r="CJ65" i="3"/>
  <c r="CH20" i="3"/>
  <c r="CK24" i="3"/>
  <c r="CF89" i="3"/>
  <c r="CF66" i="3"/>
  <c r="CF47" i="3"/>
  <c r="CL8" i="3"/>
  <c r="CI97" i="3"/>
  <c r="CH50" i="3"/>
  <c r="CN77" i="3"/>
  <c r="CJ71" i="3"/>
  <c r="CH103" i="3"/>
  <c r="CL96" i="3"/>
  <c r="CN15" i="3"/>
  <c r="CJ37" i="3"/>
  <c r="CI61" i="3"/>
  <c r="CL76" i="3"/>
  <c r="CM16" i="3"/>
  <c r="CL23" i="3"/>
  <c r="CF86" i="3"/>
  <c r="CH27" i="3"/>
  <c r="CF20" i="3"/>
  <c r="CH13" i="3"/>
  <c r="CH97" i="3"/>
  <c r="CL73" i="3"/>
  <c r="CF67" i="3"/>
  <c r="CK9" i="3"/>
  <c r="CH75" i="3"/>
  <c r="CJ100" i="3"/>
  <c r="CK15" i="3"/>
  <c r="CK63" i="3"/>
  <c r="CI34" i="3"/>
  <c r="CG51" i="3"/>
  <c r="CO52" i="3"/>
  <c r="CF69" i="3"/>
  <c r="CH76" i="3"/>
  <c r="CI69" i="3"/>
  <c r="CG87" i="3"/>
  <c r="CL9" i="3"/>
  <c r="CO22" i="3"/>
  <c r="CN95" i="3"/>
  <c r="CH14" i="3"/>
  <c r="CM62" i="3"/>
  <c r="CI81" i="3"/>
  <c r="CG81" i="3"/>
  <c r="CG71" i="3"/>
  <c r="CN87" i="3"/>
  <c r="CF98" i="3"/>
  <c r="CG32" i="3"/>
  <c r="CH12" i="3"/>
  <c r="CF81" i="3"/>
  <c r="CF61" i="3"/>
  <c r="CL90" i="3"/>
  <c r="CG17" i="3"/>
  <c r="CG97" i="3"/>
  <c r="CG41" i="3"/>
  <c r="CK22" i="3"/>
  <c r="CF41" i="3"/>
  <c r="CH45" i="3"/>
  <c r="CI8" i="3"/>
  <c r="CF34" i="3"/>
  <c r="CK62" i="3"/>
  <c r="CF87" i="3"/>
  <c r="CL22" i="3"/>
  <c r="CL47" i="3"/>
  <c r="CF49" i="3"/>
  <c r="CG56" i="3"/>
  <c r="CO33" i="3"/>
  <c r="CJ42" i="3"/>
  <c r="CM59" i="3"/>
  <c r="CI74" i="3"/>
  <c r="CI56" i="3"/>
  <c r="CO37" i="3"/>
  <c r="CG43" i="3"/>
  <c r="CI52" i="3"/>
  <c r="CH96" i="3"/>
  <c r="CF83" i="3"/>
  <c r="CI49" i="3"/>
  <c r="CH94" i="3"/>
  <c r="CF91" i="3"/>
  <c r="CL56" i="3"/>
  <c r="CN61" i="3"/>
  <c r="CG7" i="3"/>
  <c r="CO9" i="3"/>
  <c r="CI68" i="3"/>
  <c r="CF4" i="3"/>
  <c r="CK72" i="3"/>
  <c r="CK67" i="3"/>
  <c r="CM36" i="3"/>
  <c r="CM7" i="3"/>
  <c r="CF68" i="3"/>
  <c r="CF5" i="3"/>
  <c r="CJ79" i="3"/>
  <c r="CH36" i="3"/>
  <c r="CM60" i="3"/>
  <c r="CJ22" i="3"/>
  <c r="CF31" i="3"/>
  <c r="CG47" i="3"/>
  <c r="CI9" i="3"/>
  <c r="CK61" i="3"/>
  <c r="CL63" i="3"/>
  <c r="CI84" i="3"/>
  <c r="CN35" i="3"/>
  <c r="CK48" i="3"/>
  <c r="CF6" i="3"/>
  <c r="CF44" i="3"/>
  <c r="CF72" i="3"/>
  <c r="CG24" i="3"/>
  <c r="CI59" i="3"/>
  <c r="CF12" i="3"/>
  <c r="CK7" i="3"/>
  <c r="CH44" i="3"/>
  <c r="CG30" i="3"/>
  <c r="CL15" i="3"/>
  <c r="CF90" i="3"/>
  <c r="CG76" i="3"/>
  <c r="CI85" i="3"/>
  <c r="CH7" i="3"/>
  <c r="CM87" i="3"/>
  <c r="CN73" i="3"/>
  <c r="CL87" i="3"/>
  <c r="CL70" i="3"/>
  <c r="CK98" i="3"/>
  <c r="CH54" i="3"/>
  <c r="CJ81" i="3"/>
  <c r="CO58" i="3"/>
  <c r="CJ57" i="3"/>
  <c r="CH72" i="3"/>
  <c r="CM58" i="3"/>
  <c r="CM77" i="3"/>
  <c r="CM49" i="3"/>
  <c r="CF8" i="3"/>
  <c r="CO80" i="3"/>
  <c r="CN13" i="3"/>
  <c r="CJ72" i="3"/>
  <c r="CI51" i="3"/>
  <c r="CF78" i="3"/>
  <c r="CM6" i="3"/>
  <c r="CO65" i="3"/>
  <c r="CK8" i="3"/>
  <c r="CO21" i="3"/>
  <c r="CK13" i="3"/>
  <c r="CM63" i="3"/>
  <c r="CH43" i="3"/>
  <c r="CJ97" i="3"/>
  <c r="CG100" i="3"/>
  <c r="CH83" i="3"/>
  <c r="CM86" i="3"/>
  <c r="CI46" i="3"/>
  <c r="CH70" i="3"/>
  <c r="CM21" i="3"/>
  <c r="CF32" i="3"/>
  <c r="CF96" i="3"/>
  <c r="CL13" i="3"/>
  <c r="CM70" i="3"/>
  <c r="CH37" i="3"/>
  <c r="CK12" i="3"/>
  <c r="CM9" i="3"/>
  <c r="CK5" i="3"/>
  <c r="CN64" i="3"/>
  <c r="CH24" i="3"/>
  <c r="CF7" i="3"/>
  <c r="CI54" i="3"/>
  <c r="CL24" i="3"/>
  <c r="CG38" i="3"/>
  <c r="CO28" i="3"/>
  <c r="CI71" i="3"/>
  <c r="CI64" i="3"/>
  <c r="CL40" i="3"/>
  <c r="CF38" i="3"/>
  <c r="CI73" i="3"/>
  <c r="CO99" i="3"/>
  <c r="CN101" i="3"/>
  <c r="CO40" i="3"/>
  <c r="CK4" i="3"/>
  <c r="CH47" i="3"/>
  <c r="CH8" i="3"/>
  <c r="CM92" i="3"/>
  <c r="CM64" i="3"/>
  <c r="CJ18" i="3"/>
  <c r="CJ7" i="3"/>
  <c r="CK37" i="3"/>
  <c r="CK59" i="3"/>
  <c r="CG75" i="3"/>
  <c r="CO74" i="3"/>
  <c r="CM69" i="3"/>
  <c r="CN9" i="3"/>
  <c r="CG26" i="3"/>
  <c r="CG77" i="3"/>
  <c r="CG12" i="3"/>
  <c r="CN33" i="3"/>
  <c r="CJ68" i="3"/>
  <c r="CO38" i="3"/>
  <c r="CO79" i="3"/>
  <c r="CG89" i="3"/>
  <c r="CG64" i="3"/>
  <c r="CJ95" i="3"/>
  <c r="CG45" i="3"/>
  <c r="CM68" i="3"/>
  <c r="CH6" i="3"/>
  <c r="CF21" i="3"/>
  <c r="CG94" i="3"/>
  <c r="CO98" i="3"/>
  <c r="CH90" i="3"/>
  <c r="CK90" i="3"/>
  <c r="CJ46" i="3"/>
  <c r="CN78" i="3"/>
  <c r="CJ51" i="3"/>
  <c r="CH51" i="3"/>
  <c r="CL32" i="3"/>
  <c r="CK60" i="3"/>
  <c r="CG67" i="3"/>
  <c r="CN88" i="3"/>
  <c r="CF35" i="3"/>
  <c r="CK30" i="3"/>
  <c r="CL77" i="3"/>
  <c r="CM20" i="3"/>
  <c r="CO43" i="3"/>
  <c r="CJ67" i="3"/>
  <c r="CN80" i="3"/>
  <c r="CF75" i="3"/>
  <c r="CO24" i="3"/>
  <c r="CH100" i="3"/>
  <c r="CF40" i="3"/>
  <c r="CJ40" i="3"/>
  <c r="CN48" i="3"/>
  <c r="CH19" i="3"/>
  <c r="CM44" i="3"/>
  <c r="CL30" i="3"/>
  <c r="CO30" i="3"/>
  <c r="CI24" i="3"/>
  <c r="CI78" i="3"/>
  <c r="CN91" i="3"/>
  <c r="CI103" i="3"/>
  <c r="CJ32" i="3"/>
  <c r="CM22" i="3"/>
  <c r="CM73" i="3"/>
  <c r="CG19" i="3"/>
  <c r="CJ87" i="3"/>
  <c r="CK97" i="3"/>
  <c r="CM102" i="3"/>
  <c r="CH25" i="3"/>
  <c r="CI44" i="3"/>
  <c r="CM97" i="3"/>
  <c r="CK38" i="3"/>
  <c r="CF74" i="3"/>
  <c r="CO4" i="3"/>
  <c r="CO84" i="3"/>
  <c r="CL46" i="3"/>
  <c r="CO19" i="3"/>
  <c r="CJ69" i="3"/>
  <c r="CO5" i="3"/>
  <c r="CN34" i="3"/>
  <c r="CH49" i="3"/>
  <c r="CN4" i="3"/>
  <c r="CH91" i="3"/>
  <c r="CK83" i="3"/>
  <c r="CL57" i="3"/>
  <c r="CL41" i="3"/>
  <c r="CL92" i="3"/>
  <c r="CG102" i="3"/>
  <c r="CJ99" i="3"/>
  <c r="CG22" i="3"/>
  <c r="CK85" i="3"/>
  <c r="CJ15" i="3"/>
  <c r="CI89" i="3"/>
  <c r="CG92" i="3"/>
  <c r="CG58" i="3"/>
  <c r="CL79" i="3"/>
  <c r="CO36" i="3"/>
  <c r="CN32" i="3"/>
  <c r="CK99" i="3"/>
  <c r="CO16" i="3"/>
  <c r="CJ59" i="3"/>
  <c r="CL36" i="3"/>
  <c r="CF88" i="3"/>
  <c r="CN100" i="3"/>
  <c r="CF59" i="3"/>
  <c r="CF50" i="3"/>
  <c r="CF57" i="3"/>
  <c r="CK36" i="3"/>
  <c r="CJ101" i="3"/>
  <c r="CG36" i="3"/>
  <c r="CO86" i="3"/>
  <c r="CF39" i="3"/>
  <c r="CJ36" i="3"/>
  <c r="CF46" i="3"/>
  <c r="CO34" i="3"/>
  <c r="CM28" i="3"/>
  <c r="CM80" i="3"/>
  <c r="CF45" i="3"/>
  <c r="CK88" i="3"/>
  <c r="CM46" i="3"/>
  <c r="CH85" i="3"/>
  <c r="CI72" i="3"/>
  <c r="CI100" i="3"/>
  <c r="CH16" i="3"/>
  <c r="CJ48" i="3"/>
  <c r="CF23" i="3"/>
  <c r="CF77" i="3"/>
  <c r="CG70" i="3"/>
  <c r="CF29" i="3"/>
  <c r="CI62" i="3"/>
  <c r="CN12" i="3"/>
  <c r="CN39" i="3"/>
  <c r="CL34" i="3"/>
  <c r="CM11" i="3"/>
  <c r="CK14" i="3"/>
  <c r="CF102" i="3"/>
  <c r="CO60" i="3"/>
  <c r="CM82" i="3"/>
  <c r="CJ82" i="3"/>
  <c r="CL80" i="3"/>
  <c r="CH62" i="3"/>
  <c r="CM27" i="3"/>
  <c r="CL83" i="3"/>
  <c r="CF55" i="3"/>
  <c r="CN86" i="3"/>
  <c r="CN38" i="3"/>
  <c r="CL18" i="3"/>
  <c r="CM66" i="3"/>
  <c r="CJ44" i="3"/>
  <c r="CF71" i="3"/>
  <c r="CI55" i="3"/>
  <c r="CF18" i="3"/>
  <c r="CK19" i="3"/>
  <c r="CI90" i="3"/>
  <c r="CG4" i="3"/>
  <c r="CI13" i="3"/>
  <c r="CF25" i="3"/>
  <c r="CG35" i="3"/>
  <c r="CJ10" i="3"/>
  <c r="CN76" i="3"/>
  <c r="CL33" i="3"/>
  <c r="CH63" i="3"/>
  <c r="CM85" i="3"/>
  <c r="CG82" i="3"/>
  <c r="CJ12" i="3"/>
  <c r="CM99" i="3"/>
  <c r="CL91" i="3"/>
  <c r="CL10" i="3"/>
  <c r="CG90" i="3"/>
  <c r="CI19" i="3"/>
  <c r="CH79" i="3"/>
  <c r="CO83" i="3"/>
  <c r="CO29" i="3"/>
  <c r="CF58" i="3"/>
  <c r="CL25" i="3"/>
  <c r="CI39" i="3"/>
  <c r="CM38" i="3"/>
  <c r="CK27" i="3"/>
  <c r="CF53" i="3"/>
  <c r="CL12" i="3"/>
  <c r="CH35" i="3"/>
  <c r="CM103" i="3"/>
  <c r="CO23" i="3"/>
  <c r="CF27" i="3"/>
  <c r="CK101" i="3"/>
  <c r="CI14" i="3"/>
  <c r="CH82" i="3"/>
  <c r="CL102" i="3"/>
  <c r="CJ31" i="3"/>
  <c r="CO96" i="3"/>
  <c r="CI22" i="3"/>
  <c r="CG61" i="3"/>
  <c r="CG73" i="3"/>
  <c r="CF26" i="3"/>
  <c r="CH81" i="3"/>
  <c r="CF94" i="3"/>
  <c r="CJ33" i="3"/>
  <c r="CO26" i="3"/>
  <c r="CN11" i="3"/>
  <c r="CJ20" i="3"/>
  <c r="CH33" i="3"/>
  <c r="CG53" i="3"/>
  <c r="CO90" i="3"/>
  <c r="CM93" i="3"/>
  <c r="CM65" i="3"/>
  <c r="CG99" i="3"/>
  <c r="CL50" i="3"/>
  <c r="CH68" i="3"/>
  <c r="CL26" i="3"/>
  <c r="CI79" i="3"/>
  <c r="CI21" i="3"/>
  <c r="CG74" i="3"/>
  <c r="CK95" i="3"/>
  <c r="CH40" i="3"/>
  <c r="CH41" i="3"/>
  <c r="CG9" i="3"/>
  <c r="CL89" i="3"/>
  <c r="CJ35" i="3"/>
  <c r="CJ23" i="3"/>
  <c r="CL42" i="3"/>
  <c r="CN89" i="3"/>
  <c r="CL38" i="3"/>
  <c r="CF82" i="3"/>
  <c r="CN96" i="3"/>
  <c r="CO56" i="3"/>
  <c r="CJ63" i="3"/>
  <c r="CF33" i="3"/>
  <c r="CO97" i="3"/>
  <c r="CL97" i="3"/>
  <c r="CO91" i="3"/>
  <c r="CI6" i="3"/>
  <c r="CJ43" i="3"/>
  <c r="CH80" i="3"/>
  <c r="CI5" i="3"/>
  <c r="CJ90" i="3"/>
  <c r="CI91" i="3"/>
  <c r="CO25" i="3"/>
  <c r="CL11" i="3"/>
  <c r="CH21" i="3"/>
  <c r="CF73" i="3"/>
  <c r="CK25" i="3"/>
  <c r="CJ52" i="3"/>
  <c r="CG68" i="3"/>
  <c r="CL16" i="3"/>
  <c r="CM100" i="3"/>
  <c r="CG25" i="3"/>
  <c r="CK45" i="3"/>
  <c r="CM31" i="3"/>
  <c r="CM43" i="3"/>
  <c r="CF95" i="3"/>
  <c r="CG101" i="3"/>
  <c r="CK75" i="3"/>
  <c r="CH15" i="3"/>
  <c r="CF85" i="3"/>
  <c r="CL66" i="3"/>
  <c r="CF24" i="3"/>
  <c r="CL95" i="3"/>
  <c r="CM61" i="3"/>
  <c r="CJ49" i="3"/>
  <c r="CJ102" i="3"/>
  <c r="CJ96" i="3"/>
  <c r="CK80" i="3"/>
  <c r="CK78" i="3"/>
  <c r="CN31" i="3"/>
  <c r="CH102" i="3"/>
  <c r="CO7" i="3"/>
  <c r="BQ349" i="3" l="1"/>
  <c r="BQ191" i="3"/>
  <c r="BQ317" i="3"/>
  <c r="BQ17" i="3"/>
  <c r="BQ251" i="3"/>
  <c r="BQ342" i="3"/>
  <c r="BQ345" i="3"/>
  <c r="BQ336" i="3"/>
  <c r="BQ53" i="3"/>
  <c r="BQ163" i="3"/>
  <c r="BQ70" i="3"/>
  <c r="BQ325" i="3"/>
  <c r="BQ77" i="3"/>
  <c r="BQ185" i="3"/>
  <c r="BQ179" i="3"/>
  <c r="BQ8" i="3"/>
  <c r="BQ72" i="3"/>
  <c r="BQ162" i="3"/>
  <c r="BQ290" i="3"/>
  <c r="BQ226" i="3"/>
  <c r="BQ236" i="3"/>
  <c r="BQ101" i="3"/>
  <c r="BQ50" i="3"/>
  <c r="BQ132" i="3"/>
  <c r="BQ308" i="3"/>
  <c r="BQ294" i="3"/>
  <c r="BQ362" i="3"/>
  <c r="BQ338" i="3"/>
  <c r="BQ47" i="3"/>
  <c r="BQ211" i="3"/>
  <c r="BQ20" i="3"/>
  <c r="BQ337" i="3"/>
  <c r="BQ88" i="3"/>
  <c r="BQ312" i="3"/>
  <c r="BQ100" i="3"/>
  <c r="BQ62" i="3"/>
  <c r="BQ298" i="3"/>
  <c r="BQ296" i="3"/>
  <c r="BQ350" i="3"/>
  <c r="BQ232" i="3"/>
  <c r="BQ277" i="3"/>
  <c r="BQ297" i="3"/>
  <c r="BQ169" i="3"/>
  <c r="BQ122" i="3"/>
  <c r="BQ23" i="3"/>
  <c r="BQ314" i="3"/>
  <c r="BQ64" i="3"/>
  <c r="BQ235" i="3"/>
  <c r="BQ339" i="3"/>
  <c r="BQ187" i="3"/>
  <c r="BQ172" i="3"/>
  <c r="BQ92" i="3"/>
  <c r="BQ148" i="3"/>
  <c r="BQ19" i="3"/>
  <c r="BQ212" i="3"/>
  <c r="BQ33" i="3"/>
  <c r="BQ156" i="3"/>
  <c r="BQ275" i="3"/>
  <c r="BQ304" i="3"/>
  <c r="BY50" i="3"/>
  <c r="BY61" i="3"/>
  <c r="BQ335" i="3"/>
  <c r="BQ35" i="3"/>
  <c r="BQ262" i="3"/>
  <c r="BQ316" i="3"/>
  <c r="BQ137" i="3"/>
  <c r="BQ135" i="3"/>
  <c r="BQ152" i="3"/>
  <c r="BQ113" i="3"/>
  <c r="BQ250" i="3"/>
  <c r="BQ221" i="3"/>
  <c r="BQ32" i="3"/>
  <c r="BQ60" i="3"/>
  <c r="BQ37" i="3"/>
  <c r="BQ14" i="3"/>
  <c r="BQ311" i="3"/>
  <c r="BX41" i="3"/>
  <c r="BQ15" i="3"/>
  <c r="BQ66" i="3"/>
  <c r="CB37" i="3"/>
  <c r="BQ99" i="3"/>
  <c r="BQ149" i="3"/>
  <c r="BQ222" i="3"/>
  <c r="BQ174" i="3"/>
  <c r="BY274" i="3"/>
  <c r="BY256" i="3"/>
  <c r="BQ36" i="3"/>
  <c r="BQ177" i="3"/>
  <c r="BQ143" i="3"/>
  <c r="BQ319" i="3"/>
  <c r="BQ247" i="3"/>
  <c r="CA21" i="3"/>
  <c r="CA335" i="3"/>
  <c r="CA53" i="3"/>
  <c r="CA29" i="3"/>
  <c r="BQ30" i="3"/>
  <c r="BQ28" i="3"/>
  <c r="BQ324" i="3"/>
  <c r="BQ11" i="3"/>
  <c r="BQ131" i="3"/>
  <c r="BQ7" i="3"/>
  <c r="BQ201" i="3"/>
  <c r="BQ106" i="3"/>
  <c r="BQ278" i="3"/>
  <c r="BQ120" i="3"/>
  <c r="BQ341" i="3"/>
  <c r="BQ178" i="3"/>
  <c r="BQ97" i="3"/>
  <c r="BZ13" i="3"/>
  <c r="BQ71" i="3"/>
  <c r="BQ192" i="3"/>
  <c r="BX130" i="3"/>
  <c r="BX196" i="3"/>
  <c r="BX240" i="3"/>
  <c r="BQ4" i="3"/>
  <c r="BQ237" i="3"/>
  <c r="CB21" i="3"/>
  <c r="BQ102" i="3"/>
  <c r="BQ95" i="3"/>
  <c r="BQ22" i="3"/>
  <c r="BQ61" i="3"/>
  <c r="BQ214" i="3"/>
  <c r="BY30" i="3"/>
  <c r="BY195" i="3"/>
  <c r="CA24" i="3"/>
  <c r="BQ249" i="3"/>
  <c r="BQ271" i="3"/>
  <c r="BQ142" i="3"/>
  <c r="BQ209" i="3"/>
  <c r="BQ84" i="3"/>
  <c r="BQ234" i="3"/>
  <c r="BQ5" i="3"/>
  <c r="BQ173" i="3"/>
  <c r="BQ330" i="3"/>
  <c r="BQ127" i="3"/>
  <c r="BQ265" i="3"/>
  <c r="BQ153" i="3"/>
  <c r="BQ49" i="3"/>
  <c r="BQ246" i="3"/>
  <c r="BQ197" i="3"/>
  <c r="BQ44" i="3"/>
  <c r="BQ332" i="3"/>
  <c r="BQ98" i="3"/>
  <c r="CB141" i="3"/>
  <c r="BQ343" i="3"/>
  <c r="BQ227" i="3"/>
  <c r="BQ94" i="3"/>
  <c r="BQ238" i="3"/>
  <c r="BQ16" i="3"/>
  <c r="BQ223" i="3"/>
  <c r="CA64" i="3"/>
  <c r="CA243" i="3"/>
  <c r="CA73" i="3"/>
  <c r="BQ203" i="3"/>
  <c r="BQ138" i="3"/>
  <c r="BQ161" i="3"/>
  <c r="BQ279" i="3"/>
  <c r="BQ340" i="3"/>
  <c r="BQ288" i="3"/>
  <c r="BQ220" i="3"/>
  <c r="BQ305" i="3"/>
  <c r="BQ347" i="3"/>
  <c r="BQ204" i="3"/>
  <c r="BQ217" i="3"/>
  <c r="BQ75" i="3"/>
  <c r="BQ207" i="3"/>
  <c r="BQ360" i="3"/>
  <c r="BQ206" i="3"/>
  <c r="BQ233" i="3"/>
  <c r="BX19" i="3"/>
  <c r="BQ241" i="3"/>
  <c r="BQ357" i="3"/>
  <c r="CB13" i="3"/>
  <c r="CB105" i="3"/>
  <c r="CB30" i="3"/>
  <c r="CB44" i="3"/>
  <c r="CB260" i="3"/>
  <c r="BQ318" i="3"/>
  <c r="BQ181" i="3"/>
  <c r="BY98" i="3"/>
  <c r="BY17" i="3"/>
  <c r="BQ93" i="3"/>
  <c r="BQ69" i="3"/>
  <c r="BQ361" i="3"/>
  <c r="BQ285" i="3"/>
  <c r="BQ56" i="3"/>
  <c r="BQ170" i="3"/>
  <c r="CA275" i="3"/>
  <c r="CA10" i="3"/>
  <c r="CA5" i="3"/>
  <c r="BQ225" i="3"/>
  <c r="BQ218" i="3"/>
  <c r="BQ348" i="3"/>
  <c r="BQ293" i="3"/>
  <c r="BQ121" i="3"/>
  <c r="BQ303" i="3"/>
  <c r="BQ266" i="3"/>
  <c r="BQ184" i="3"/>
  <c r="BQ327" i="3"/>
  <c r="BQ91" i="3"/>
  <c r="BQ90" i="3"/>
  <c r="BZ25" i="3"/>
  <c r="BZ81" i="3"/>
  <c r="BQ89" i="3"/>
  <c r="BQ300" i="3"/>
  <c r="BQ320" i="3"/>
  <c r="BQ141" i="3"/>
  <c r="BQ59" i="3"/>
  <c r="BQ259" i="3"/>
  <c r="BQ205" i="3"/>
  <c r="BX10" i="3"/>
  <c r="BQ188" i="3"/>
  <c r="BQ112" i="3"/>
  <c r="BQ155" i="3"/>
  <c r="BQ168" i="3"/>
  <c r="BQ261" i="3"/>
  <c r="BY75" i="3"/>
  <c r="BY314" i="3"/>
  <c r="BQ213" i="3"/>
  <c r="BQ245" i="3"/>
  <c r="BQ26" i="3"/>
  <c r="BQ321" i="3"/>
  <c r="CA13" i="3"/>
  <c r="CA19" i="3"/>
  <c r="CA16" i="3"/>
  <c r="BQ86" i="3"/>
  <c r="BQ111" i="3"/>
  <c r="BQ52" i="3"/>
  <c r="BQ134" i="3"/>
  <c r="BQ74" i="3"/>
  <c r="BQ199" i="3"/>
  <c r="BQ45" i="3"/>
  <c r="BQ260" i="3"/>
  <c r="BQ243" i="3"/>
  <c r="BQ78" i="3"/>
  <c r="BZ22" i="3"/>
  <c r="BQ43" i="3"/>
  <c r="BQ215" i="3"/>
  <c r="BQ103" i="3"/>
  <c r="BQ254" i="3"/>
  <c r="BQ67" i="3"/>
  <c r="BX27" i="3"/>
  <c r="BQ242" i="3"/>
  <c r="BQ140" i="3"/>
  <c r="CB47" i="3"/>
  <c r="BQ256" i="3"/>
  <c r="BQ158" i="3"/>
  <c r="BQ82" i="3"/>
  <c r="BQ190" i="3"/>
  <c r="CB277" i="3"/>
  <c r="CB133" i="3"/>
  <c r="CB10" i="3"/>
  <c r="BQ13" i="3"/>
  <c r="BQ145" i="3"/>
  <c r="BY65" i="3"/>
  <c r="BQ292" i="3"/>
  <c r="BQ146" i="3"/>
  <c r="BQ329" i="3"/>
  <c r="CA143" i="3"/>
  <c r="CA56" i="3"/>
  <c r="CA215" i="3"/>
  <c r="CA18" i="3"/>
  <c r="CA40" i="3"/>
  <c r="BQ196" i="3"/>
  <c r="BQ295" i="3"/>
  <c r="BQ117" i="3"/>
  <c r="BQ224" i="3"/>
  <c r="BQ27" i="3"/>
  <c r="BQ34" i="3"/>
  <c r="BQ354" i="3"/>
  <c r="BQ110" i="3"/>
  <c r="BQ208" i="3"/>
  <c r="BQ10" i="3"/>
  <c r="BQ306" i="3"/>
  <c r="BX276" i="3"/>
  <c r="BX159" i="3"/>
  <c r="BQ315" i="3"/>
  <c r="BQ154" i="3"/>
  <c r="BQ268" i="3"/>
  <c r="BQ200" i="3"/>
  <c r="BQ257" i="3"/>
  <c r="BQ252" i="3"/>
  <c r="CB86" i="3"/>
  <c r="CB243" i="3"/>
  <c r="BQ183" i="3"/>
  <c r="BY209" i="3"/>
  <c r="BY31" i="3"/>
  <c r="BY47" i="3"/>
  <c r="BQ202" i="3"/>
  <c r="BQ150" i="3"/>
  <c r="CA17" i="3"/>
  <c r="BQ272" i="3"/>
  <c r="BQ164" i="3"/>
  <c r="BQ264" i="3"/>
  <c r="BQ128" i="3"/>
  <c r="BQ136" i="3"/>
  <c r="BQ151" i="3"/>
  <c r="BQ282" i="3"/>
  <c r="BQ216" i="3"/>
  <c r="BQ68" i="3"/>
  <c r="BZ9" i="3"/>
  <c r="BQ12" i="3"/>
  <c r="BQ166" i="3"/>
  <c r="BQ123" i="3"/>
  <c r="BX15" i="3"/>
  <c r="BX170" i="3"/>
  <c r="BQ24" i="3"/>
  <c r="BO297" i="27"/>
  <c r="BP297" i="27" s="1"/>
  <c r="BL298" i="27"/>
  <c r="CO54" i="3"/>
  <c r="CK32" i="3"/>
  <c r="CL64" i="3"/>
  <c r="CO92" i="3"/>
  <c r="CL82" i="3"/>
  <c r="CN55" i="3"/>
  <c r="CK43" i="3"/>
  <c r="CL60" i="3"/>
  <c r="CK73" i="3"/>
  <c r="CN25" i="3"/>
  <c r="CK41" i="3"/>
  <c r="CO69" i="3"/>
  <c r="CN20" i="3"/>
  <c r="CN28" i="3"/>
  <c r="CK82" i="3"/>
  <c r="CO101" i="3"/>
  <c r="CN19" i="3"/>
  <c r="CN46" i="3"/>
  <c r="CL85" i="3"/>
  <c r="CK49" i="3"/>
  <c r="CO48" i="3"/>
  <c r="CN60" i="3"/>
  <c r="CL61" i="3"/>
  <c r="CN97" i="3"/>
  <c r="CN23" i="3"/>
  <c r="CL44" i="3"/>
  <c r="CM51" i="3"/>
  <c r="CL54" i="3"/>
  <c r="CK44" i="3"/>
  <c r="CO102" i="3"/>
  <c r="CK33" i="3"/>
  <c r="CO53" i="3"/>
  <c r="CK77" i="3"/>
  <c r="CN21" i="3"/>
  <c r="CN24" i="3"/>
  <c r="CO63" i="3"/>
  <c r="CK84" i="3"/>
  <c r="CN70" i="3"/>
  <c r="CL67" i="3"/>
  <c r="CN90" i="3"/>
  <c r="CL81" i="3"/>
  <c r="CO49" i="3"/>
  <c r="CN49" i="3"/>
  <c r="CN45" i="3"/>
  <c r="CN26" i="3"/>
  <c r="CN27" i="3"/>
  <c r="CN65" i="3"/>
  <c r="CN69" i="3"/>
  <c r="CM34" i="3"/>
  <c r="CN72" i="3"/>
  <c r="CN40" i="3"/>
  <c r="CL65" i="3"/>
  <c r="CL43" i="3"/>
  <c r="CN56" i="3"/>
  <c r="CN57" i="3"/>
  <c r="CK76" i="3"/>
  <c r="CK40" i="3"/>
  <c r="CN51" i="3"/>
  <c r="CN22" i="3"/>
  <c r="CO51" i="3"/>
  <c r="CO88" i="3"/>
  <c r="CK39" i="3"/>
  <c r="CO76" i="3"/>
  <c r="CM53" i="3"/>
  <c r="CN41" i="3"/>
  <c r="CM33" i="3"/>
  <c r="CL53" i="3"/>
  <c r="CM41" i="3"/>
  <c r="CO50" i="3"/>
  <c r="CL88" i="3"/>
  <c r="CO75" i="3"/>
  <c r="CO72" i="3"/>
  <c r="CN29" i="3"/>
  <c r="CL86" i="3"/>
  <c r="CO47" i="3"/>
  <c r="CO85" i="3"/>
  <c r="CL71" i="3"/>
  <c r="CN47" i="3"/>
  <c r="CK56" i="3"/>
  <c r="CO93" i="3"/>
  <c r="CK79" i="3"/>
  <c r="CN94" i="3"/>
  <c r="CN74" i="3"/>
  <c r="CN84" i="3"/>
  <c r="CN50" i="3"/>
  <c r="CO103" i="3"/>
  <c r="CM71" i="3"/>
  <c r="CK34" i="3"/>
  <c r="CN52" i="3"/>
  <c r="CN92" i="3"/>
  <c r="CN54" i="3"/>
  <c r="CN30" i="3"/>
  <c r="CM35" i="3"/>
  <c r="CO62" i="3"/>
  <c r="CK50" i="3"/>
  <c r="BO298" i="27" l="1"/>
  <c r="BP298" i="27" s="1"/>
  <c r="BL299" i="27"/>
  <c r="BO299" i="27" l="1"/>
  <c r="BP299" i="27" s="1"/>
  <c r="BL300" i="27"/>
  <c r="BO300" i="27" l="1"/>
  <c r="BP300" i="27" s="1"/>
  <c r="BL301" i="27"/>
  <c r="BO301" i="27" l="1"/>
  <c r="BP301" i="27" s="1"/>
  <c r="BL302" i="27"/>
  <c r="BO302" i="27" l="1"/>
  <c r="BP302" i="27" s="1"/>
  <c r="BL303" i="27"/>
  <c r="BO303" i="27" l="1"/>
  <c r="BP303" i="27" s="1"/>
  <c r="BL304" i="27"/>
  <c r="BO304" i="27" l="1"/>
  <c r="BP304" i="27" s="1"/>
  <c r="BL305" i="27"/>
  <c r="BO305" i="27" l="1"/>
  <c r="BL306" i="27"/>
  <c r="CL101" i="21"/>
  <c r="CL47" i="21"/>
  <c r="CM163" i="21"/>
  <c r="CI147" i="21"/>
  <c r="CK53" i="21"/>
  <c r="CI15" i="21"/>
  <c r="CK104" i="21"/>
  <c r="CI145" i="21"/>
  <c r="U51" i="3"/>
  <c r="CL88" i="21"/>
  <c r="W49" i="3"/>
  <c r="CM165" i="21"/>
  <c r="CM143" i="21"/>
  <c r="CL160" i="21"/>
  <c r="CI138" i="21"/>
  <c r="CK16" i="21"/>
  <c r="CK108" i="21"/>
  <c r="CK52" i="21"/>
  <c r="CM147" i="21"/>
  <c r="CJ126" i="21"/>
  <c r="CJ100" i="21"/>
  <c r="CL17" i="21"/>
  <c r="CL118" i="21"/>
  <c r="CI105" i="21"/>
  <c r="CK144" i="21"/>
  <c r="CL151" i="21"/>
  <c r="CL60" i="21"/>
  <c r="CL86" i="21"/>
  <c r="CJ106" i="21"/>
  <c r="CJ52" i="21"/>
  <c r="CM100" i="21"/>
  <c r="CJ82" i="21"/>
  <c r="CM23" i="21"/>
  <c r="CK110" i="21"/>
  <c r="CI32" i="21"/>
  <c r="CK118" i="21"/>
  <c r="CM14" i="21"/>
  <c r="CK111" i="21"/>
  <c r="CJ26" i="21"/>
  <c r="CM42" i="21"/>
  <c r="CJ13" i="21"/>
  <c r="CK164" i="21"/>
  <c r="CJ127" i="21"/>
  <c r="CI162" i="21"/>
  <c r="CM164" i="21"/>
  <c r="CK8" i="21"/>
  <c r="CI117" i="21"/>
  <c r="CL67" i="21"/>
  <c r="CL21" i="21"/>
  <c r="CM107" i="21"/>
  <c r="CI16" i="21"/>
  <c r="CJ134" i="21"/>
  <c r="CI78" i="21"/>
  <c r="CL154" i="21"/>
  <c r="CM153" i="21"/>
  <c r="V52" i="3"/>
  <c r="CL25" i="21"/>
  <c r="U50" i="3"/>
  <c r="CK27" i="21"/>
  <c r="CI133" i="21"/>
  <c r="CJ90" i="21"/>
  <c r="CK24" i="21"/>
  <c r="S53" i="3"/>
  <c r="CM60" i="21"/>
  <c r="CM166" i="21"/>
  <c r="CK122" i="21"/>
  <c r="CK14" i="21"/>
  <c r="CM118" i="21"/>
  <c r="CK63" i="21"/>
  <c r="U52" i="3"/>
  <c r="CK149" i="21"/>
  <c r="CL77" i="21"/>
  <c r="T47" i="3"/>
  <c r="CI26" i="21"/>
  <c r="CJ130" i="21"/>
  <c r="CL56" i="21"/>
  <c r="CI121" i="21"/>
  <c r="CK86" i="21"/>
  <c r="CK35" i="21"/>
  <c r="CM57" i="21"/>
  <c r="CI132" i="21"/>
  <c r="CM11" i="21"/>
  <c r="CK83" i="21"/>
  <c r="CM47" i="21"/>
  <c r="CI25" i="21"/>
  <c r="T49" i="3"/>
  <c r="CK138" i="21"/>
  <c r="CJ128" i="21"/>
  <c r="CI76" i="21"/>
  <c r="CM150" i="21"/>
  <c r="CJ10" i="21"/>
  <c r="CK127" i="21"/>
  <c r="CJ74" i="21"/>
  <c r="CI102" i="21"/>
  <c r="CK67" i="21"/>
  <c r="CK69" i="21"/>
  <c r="CK76" i="21"/>
  <c r="CJ142" i="21"/>
  <c r="CK157" i="21"/>
  <c r="CK17" i="21"/>
  <c r="CI90" i="21"/>
  <c r="CM115" i="21"/>
  <c r="CM63" i="21"/>
  <c r="CM36" i="21"/>
  <c r="CK134" i="21"/>
  <c r="CK125" i="21"/>
  <c r="CI99" i="21"/>
  <c r="CI127" i="21"/>
  <c r="CJ31" i="21"/>
  <c r="CL157" i="21"/>
  <c r="CJ73" i="21"/>
  <c r="CM66" i="21"/>
  <c r="CM133" i="21"/>
  <c r="CI53" i="21"/>
  <c r="CM155" i="21"/>
  <c r="CL146" i="21"/>
  <c r="CJ53" i="21"/>
  <c r="CI59" i="21"/>
  <c r="CK123" i="21"/>
  <c r="CK131" i="21"/>
  <c r="CK121" i="21"/>
  <c r="CJ17" i="21"/>
  <c r="CJ117" i="21"/>
  <c r="CL41" i="21"/>
  <c r="CJ113" i="21"/>
  <c r="CI94" i="21"/>
  <c r="CM127" i="21"/>
  <c r="CL34" i="21"/>
  <c r="CL19" i="21"/>
  <c r="CJ94" i="21"/>
  <c r="CJ149" i="21"/>
  <c r="CJ135" i="21"/>
  <c r="CJ158" i="21"/>
  <c r="CI128" i="21"/>
  <c r="CJ54" i="21"/>
  <c r="CI38" i="21"/>
  <c r="CI146" i="21"/>
  <c r="CK142" i="21"/>
  <c r="CM62" i="21"/>
  <c r="CJ115" i="21"/>
  <c r="CM84" i="21"/>
  <c r="CJ103" i="21"/>
  <c r="CJ58" i="21"/>
  <c r="CK28" i="21"/>
  <c r="CL132" i="21"/>
  <c r="CM131" i="21"/>
  <c r="CI74" i="21"/>
  <c r="CM129" i="21"/>
  <c r="CM99" i="21"/>
  <c r="CJ139" i="21"/>
  <c r="CI77" i="21"/>
  <c r="CK59" i="21"/>
  <c r="CL167" i="21"/>
  <c r="CL134" i="21"/>
  <c r="CI164" i="21"/>
  <c r="CI106" i="21"/>
  <c r="CM85" i="21"/>
  <c r="CL128" i="21"/>
  <c r="V51" i="3"/>
  <c r="CM122" i="21"/>
  <c r="CK156" i="21"/>
  <c r="CK39" i="21"/>
  <c r="CI93" i="21"/>
  <c r="CL32" i="21"/>
  <c r="CI152" i="21"/>
  <c r="CI87" i="21"/>
  <c r="CI114" i="21"/>
  <c r="CK158" i="21"/>
  <c r="CJ76" i="21"/>
  <c r="CK50" i="21"/>
  <c r="CI61" i="21"/>
  <c r="CM68" i="21"/>
  <c r="CJ166" i="21"/>
  <c r="CK128" i="21"/>
  <c r="CI47" i="21"/>
  <c r="CL53" i="21"/>
  <c r="CM16" i="21"/>
  <c r="CJ141" i="21"/>
  <c r="CL59" i="21"/>
  <c r="S51" i="3"/>
  <c r="CM142" i="21"/>
  <c r="CM145" i="21"/>
  <c r="CI28" i="21"/>
  <c r="CJ161" i="21"/>
  <c r="CJ86" i="21"/>
  <c r="CM38" i="21"/>
  <c r="CL116" i="21"/>
  <c r="CK58" i="21"/>
  <c r="T53" i="3"/>
  <c r="CM139" i="21"/>
  <c r="CL139" i="21"/>
  <c r="CL121" i="21"/>
  <c r="CL83" i="21"/>
  <c r="CM55" i="21"/>
  <c r="CK73" i="21"/>
  <c r="CJ62" i="21"/>
  <c r="CJ59" i="21"/>
  <c r="W53" i="3"/>
  <c r="CM119" i="21"/>
  <c r="CI24" i="21"/>
  <c r="CI135" i="21"/>
  <c r="CI124" i="21"/>
  <c r="S49" i="3"/>
  <c r="CK42" i="21"/>
  <c r="CL105" i="21"/>
  <c r="CM27" i="21"/>
  <c r="CM33" i="21"/>
  <c r="CM136" i="21"/>
  <c r="CJ99" i="21"/>
  <c r="CJ30" i="21"/>
  <c r="CJ9" i="21"/>
  <c r="CK130" i="21"/>
  <c r="CM138" i="21"/>
  <c r="CJ152" i="21"/>
  <c r="CL71" i="21"/>
  <c r="CJ39" i="21"/>
  <c r="CM111" i="21"/>
  <c r="CI66" i="21"/>
  <c r="CI98" i="21"/>
  <c r="CK93" i="21"/>
  <c r="CK102" i="21"/>
  <c r="CL120" i="21"/>
  <c r="CM8" i="21"/>
  <c r="CM95" i="21"/>
  <c r="CL102" i="21"/>
  <c r="CJ120" i="21"/>
  <c r="CK82" i="21"/>
  <c r="CL99" i="21"/>
  <c r="CL96" i="21"/>
  <c r="V50" i="3"/>
  <c r="CL40" i="21"/>
  <c r="CK37" i="21"/>
  <c r="CK33" i="21"/>
  <c r="CM116" i="21"/>
  <c r="CL78" i="21"/>
  <c r="CJ125" i="21"/>
  <c r="U53" i="3"/>
  <c r="CL75" i="21"/>
  <c r="CM41" i="21"/>
  <c r="CI122" i="21"/>
  <c r="CL159" i="21"/>
  <c r="CK55" i="21"/>
  <c r="CJ89" i="21"/>
  <c r="CJ34" i="21"/>
  <c r="CJ80" i="21"/>
  <c r="CM104" i="21"/>
  <c r="CJ104" i="21"/>
  <c r="CM135" i="21"/>
  <c r="CM78" i="21"/>
  <c r="CM126" i="21"/>
  <c r="CK105" i="21"/>
  <c r="CL162" i="21"/>
  <c r="CI111" i="21"/>
  <c r="CM73" i="21"/>
  <c r="CL31" i="21"/>
  <c r="CJ8" i="21"/>
  <c r="CM102" i="21"/>
  <c r="CM59" i="21"/>
  <c r="CL51" i="21"/>
  <c r="CK46" i="21"/>
  <c r="CJ60" i="21"/>
  <c r="CK153" i="21"/>
  <c r="CL138" i="21"/>
  <c r="CK147" i="21"/>
  <c r="CM152" i="21"/>
  <c r="CK66" i="21"/>
  <c r="CK41" i="21"/>
  <c r="CJ45" i="21"/>
  <c r="CJ57" i="21"/>
  <c r="CM162" i="21"/>
  <c r="CI27" i="21"/>
  <c r="CI141" i="21"/>
  <c r="CM140" i="21"/>
  <c r="CL152" i="21"/>
  <c r="CJ27" i="21"/>
  <c r="CK68" i="21"/>
  <c r="CM109" i="21"/>
  <c r="CJ71" i="21"/>
  <c r="CM76" i="21"/>
  <c r="CM31" i="21"/>
  <c r="CI10" i="21"/>
  <c r="CL164" i="21"/>
  <c r="CL10" i="21"/>
  <c r="CJ119" i="21"/>
  <c r="CJ162" i="21"/>
  <c r="CM157" i="21"/>
  <c r="CI130" i="21"/>
  <c r="CL107" i="21"/>
  <c r="CL57" i="21"/>
  <c r="CL44" i="21"/>
  <c r="CM21" i="21"/>
  <c r="CJ18" i="21"/>
  <c r="CL143" i="21"/>
  <c r="CL84" i="21"/>
  <c r="CK129" i="21"/>
  <c r="CJ48" i="21"/>
  <c r="S48" i="3"/>
  <c r="CM110" i="21"/>
  <c r="CJ14" i="21"/>
  <c r="CI113" i="21"/>
  <c r="CM161" i="21"/>
  <c r="CK34" i="21"/>
  <c r="CJ114" i="21"/>
  <c r="CI50" i="21"/>
  <c r="CI103" i="21"/>
  <c r="CJ159" i="21"/>
  <c r="CJ22" i="21"/>
  <c r="CJ108" i="21"/>
  <c r="CL64" i="21"/>
  <c r="CK120" i="21"/>
  <c r="CJ121" i="21"/>
  <c r="CI88" i="21"/>
  <c r="CJ29" i="21"/>
  <c r="CI82" i="21"/>
  <c r="CK159" i="21"/>
  <c r="CI36" i="21"/>
  <c r="CK132" i="21"/>
  <c r="CI86" i="21"/>
  <c r="CM154" i="21"/>
  <c r="CL166" i="21"/>
  <c r="CL114" i="21"/>
  <c r="CJ87" i="21"/>
  <c r="CK99" i="21"/>
  <c r="CM24" i="21"/>
  <c r="CK143" i="21"/>
  <c r="CL115" i="21"/>
  <c r="CI140" i="21"/>
  <c r="CK126" i="21"/>
  <c r="CI60" i="21"/>
  <c r="CK136" i="21"/>
  <c r="CJ123" i="21"/>
  <c r="CJ40" i="21"/>
  <c r="CI52" i="21"/>
  <c r="CI123" i="21"/>
  <c r="CM117" i="21"/>
  <c r="CK47" i="21"/>
  <c r="CK71" i="21"/>
  <c r="CI22" i="21"/>
  <c r="CI75" i="21"/>
  <c r="CM46" i="21"/>
  <c r="CM18" i="21"/>
  <c r="CJ144" i="21"/>
  <c r="CM123" i="21"/>
  <c r="CI71" i="21"/>
  <c r="CL12" i="21"/>
  <c r="CK38" i="21"/>
  <c r="CJ102" i="21"/>
  <c r="CJ32" i="21"/>
  <c r="CK54" i="21"/>
  <c r="CL149" i="21"/>
  <c r="CJ66" i="21"/>
  <c r="CK124" i="21"/>
  <c r="CJ111" i="21"/>
  <c r="CK117" i="21"/>
  <c r="CL87" i="21"/>
  <c r="CJ140" i="21"/>
  <c r="CL50" i="21"/>
  <c r="CK64" i="21"/>
  <c r="CL18" i="21"/>
  <c r="CJ148" i="21"/>
  <c r="CL123" i="21"/>
  <c r="CL48" i="21"/>
  <c r="CI148" i="21"/>
  <c r="CI167" i="21"/>
  <c r="CI155" i="21"/>
  <c r="CJ84" i="21"/>
  <c r="CM149" i="21"/>
  <c r="CI96" i="21"/>
  <c r="CM80" i="21"/>
  <c r="CK90" i="21"/>
  <c r="CM77" i="21"/>
  <c r="CM120" i="21"/>
  <c r="S47" i="3"/>
  <c r="CL73" i="21"/>
  <c r="W51" i="3"/>
  <c r="CL104" i="21"/>
  <c r="CL74" i="21"/>
  <c r="CK18" i="21"/>
  <c r="CM159" i="21"/>
  <c r="CI107" i="21"/>
  <c r="CJ112" i="21"/>
  <c r="CI134" i="21"/>
  <c r="CL125" i="21"/>
  <c r="CI149" i="21"/>
  <c r="CM13" i="21"/>
  <c r="CL14" i="21"/>
  <c r="CL130" i="21"/>
  <c r="CM70" i="21"/>
  <c r="CJ154" i="21"/>
  <c r="CI157" i="21"/>
  <c r="CI49" i="21"/>
  <c r="CM10" i="21"/>
  <c r="CI109" i="21"/>
  <c r="CL69" i="21"/>
  <c r="CM83" i="21"/>
  <c r="CI161" i="21"/>
  <c r="CJ78" i="21"/>
  <c r="CK32" i="21"/>
  <c r="CI136" i="21"/>
  <c r="CK155" i="21"/>
  <c r="CK51" i="21"/>
  <c r="CI110" i="21"/>
  <c r="CL94" i="21"/>
  <c r="CI154" i="21"/>
  <c r="CK165" i="21"/>
  <c r="CJ28" i="21"/>
  <c r="CI104" i="21"/>
  <c r="CI137" i="21"/>
  <c r="CI20" i="21"/>
  <c r="CL108" i="21"/>
  <c r="CM67" i="21"/>
  <c r="CL9" i="21"/>
  <c r="CK10" i="21"/>
  <c r="CI51" i="21"/>
  <c r="CM54" i="21"/>
  <c r="CL24" i="21"/>
  <c r="CM53" i="21"/>
  <c r="CL52" i="21"/>
  <c r="CJ12" i="21"/>
  <c r="CK95" i="21"/>
  <c r="CL109" i="21"/>
  <c r="CI166" i="21"/>
  <c r="CL66" i="21"/>
  <c r="V47" i="3"/>
  <c r="CK94" i="21"/>
  <c r="CJ136" i="21"/>
  <c r="CM114" i="21"/>
  <c r="CI54" i="21"/>
  <c r="CJ109" i="21"/>
  <c r="CK44" i="21"/>
  <c r="U48" i="3"/>
  <c r="CJ160" i="21"/>
  <c r="CM43" i="21"/>
  <c r="CM94" i="21"/>
  <c r="CI115" i="21"/>
  <c r="CK139" i="21"/>
  <c r="CL126" i="21"/>
  <c r="CJ101" i="21"/>
  <c r="CM74" i="21"/>
  <c r="CL45" i="21"/>
  <c r="CK84" i="21"/>
  <c r="CJ129" i="21"/>
  <c r="CM96" i="21"/>
  <c r="CK65" i="21"/>
  <c r="CL20" i="21"/>
  <c r="CL122" i="21"/>
  <c r="CJ68" i="21"/>
  <c r="CK30" i="21"/>
  <c r="CK163" i="21"/>
  <c r="CI43" i="21"/>
  <c r="CJ93" i="21"/>
  <c r="CI160" i="21"/>
  <c r="CM106" i="21"/>
  <c r="CK22" i="21"/>
  <c r="CJ51" i="21"/>
  <c r="W47" i="3"/>
  <c r="CI57" i="21"/>
  <c r="CJ20" i="21"/>
  <c r="CL85" i="21"/>
  <c r="CJ24" i="21"/>
  <c r="CJ46" i="21"/>
  <c r="CL16" i="21"/>
  <c r="CI8" i="21"/>
  <c r="CI35" i="21"/>
  <c r="CJ122" i="21"/>
  <c r="CK152" i="21"/>
  <c r="CL165" i="21"/>
  <c r="CM105" i="21"/>
  <c r="V49" i="3"/>
  <c r="CJ42" i="21"/>
  <c r="CM48" i="21"/>
  <c r="CM160" i="21"/>
  <c r="CL55" i="21"/>
  <c r="CJ25" i="21"/>
  <c r="CJ91" i="21"/>
  <c r="CK137" i="21"/>
  <c r="CI48" i="21"/>
  <c r="CK154" i="21"/>
  <c r="CK161" i="21"/>
  <c r="CJ70" i="21"/>
  <c r="CI73" i="21"/>
  <c r="CM97" i="21"/>
  <c r="CK80" i="21"/>
  <c r="CL30" i="21"/>
  <c r="CM19" i="21"/>
  <c r="CI118" i="21"/>
  <c r="CM113" i="21"/>
  <c r="CJ37" i="21"/>
  <c r="CI23" i="21"/>
  <c r="CL63" i="21"/>
  <c r="CJ35" i="21"/>
  <c r="CK57" i="21"/>
  <c r="CM37" i="21"/>
  <c r="U49" i="3"/>
  <c r="CI85" i="21"/>
  <c r="CM65" i="21"/>
  <c r="CJ61" i="21"/>
  <c r="CI79" i="21"/>
  <c r="CJ146" i="21"/>
  <c r="CJ38" i="21"/>
  <c r="CM141" i="21"/>
  <c r="CK79" i="21"/>
  <c r="CI156" i="21"/>
  <c r="CM82" i="21"/>
  <c r="CK106" i="21"/>
  <c r="CJ133" i="21"/>
  <c r="CL49" i="21"/>
  <c r="CL70" i="21"/>
  <c r="CL136" i="21"/>
  <c r="CL91" i="21"/>
  <c r="CK56" i="21"/>
  <c r="CM98" i="21"/>
  <c r="CM93" i="21"/>
  <c r="CJ138" i="21"/>
  <c r="CI159" i="21"/>
  <c r="CJ36" i="21"/>
  <c r="CM69" i="21"/>
  <c r="CL133" i="21"/>
  <c r="T51" i="3"/>
  <c r="CJ72" i="21"/>
  <c r="CJ16" i="21"/>
  <c r="CJ150" i="21"/>
  <c r="CM90" i="21"/>
  <c r="S50" i="3"/>
  <c r="CJ11" i="21"/>
  <c r="CL54" i="21"/>
  <c r="CK11" i="21"/>
  <c r="CL36" i="21"/>
  <c r="CJ49" i="21"/>
  <c r="CK89" i="21"/>
  <c r="CI18" i="21"/>
  <c r="CL97" i="21"/>
  <c r="CL145" i="21"/>
  <c r="CM167" i="21"/>
  <c r="CJ41" i="21"/>
  <c r="CM71" i="21"/>
  <c r="CM61" i="21"/>
  <c r="CM103" i="21"/>
  <c r="CM156" i="21"/>
  <c r="CJ85" i="21"/>
  <c r="CI46" i="21"/>
  <c r="CL33" i="21"/>
  <c r="CJ157" i="21"/>
  <c r="CJ105" i="21"/>
  <c r="CI17" i="21"/>
  <c r="CL161" i="21"/>
  <c r="CM50" i="21"/>
  <c r="CI116" i="21"/>
  <c r="CL163" i="21"/>
  <c r="CJ55" i="21"/>
  <c r="CM125" i="21"/>
  <c r="CL117" i="21"/>
  <c r="CL38" i="21"/>
  <c r="CM29" i="21"/>
  <c r="CJ65" i="21"/>
  <c r="CI37" i="21"/>
  <c r="CJ96" i="21"/>
  <c r="CK112" i="21"/>
  <c r="CK113" i="21"/>
  <c r="CM137" i="21"/>
  <c r="CJ110" i="21"/>
  <c r="CJ63" i="21"/>
  <c r="CL46" i="21"/>
  <c r="CL58" i="21"/>
  <c r="CI65" i="21"/>
  <c r="CK12" i="21"/>
  <c r="CM49" i="21"/>
  <c r="CI112" i="21"/>
  <c r="CJ64" i="21"/>
  <c r="CJ77" i="21"/>
  <c r="CK40" i="21"/>
  <c r="CJ118" i="21"/>
  <c r="CI33" i="21"/>
  <c r="CK60" i="21"/>
  <c r="CL27" i="21"/>
  <c r="CM148" i="21"/>
  <c r="CK19" i="21"/>
  <c r="V48" i="3"/>
  <c r="CL129" i="21"/>
  <c r="CI9" i="21"/>
  <c r="CK72" i="21"/>
  <c r="CJ33" i="21"/>
  <c r="CL76" i="21"/>
  <c r="CJ47" i="21"/>
  <c r="CK13" i="21"/>
  <c r="CM128" i="21"/>
  <c r="CI67" i="21"/>
  <c r="CK109" i="21"/>
  <c r="CI64" i="21"/>
  <c r="CL158" i="21"/>
  <c r="CL13" i="21"/>
  <c r="CI126" i="21"/>
  <c r="CK107" i="21"/>
  <c r="CM9" i="21"/>
  <c r="CL11" i="21"/>
  <c r="CL68" i="21"/>
  <c r="CI129" i="21"/>
  <c r="CK85" i="21"/>
  <c r="CJ67" i="21"/>
  <c r="CM44" i="21"/>
  <c r="CL100" i="21"/>
  <c r="CM75" i="21"/>
  <c r="CL89" i="21"/>
  <c r="S52" i="3"/>
  <c r="CJ107" i="21"/>
  <c r="CK74" i="21"/>
  <c r="CL144" i="21"/>
  <c r="CK92" i="21"/>
  <c r="CJ50" i="21"/>
  <c r="CM101" i="21"/>
  <c r="CL131" i="21"/>
  <c r="CI125" i="21"/>
  <c r="CL43" i="21"/>
  <c r="CI91" i="21"/>
  <c r="CJ165" i="21"/>
  <c r="CM112" i="21"/>
  <c r="CK31" i="21"/>
  <c r="CL80" i="21"/>
  <c r="CJ75" i="21"/>
  <c r="CK98" i="21"/>
  <c r="CI42" i="21"/>
  <c r="CK150" i="21"/>
  <c r="CJ15" i="21"/>
  <c r="CI58" i="21"/>
  <c r="CI131" i="21"/>
  <c r="CL103" i="21"/>
  <c r="CI19" i="21"/>
  <c r="CI95" i="21"/>
  <c r="CM26" i="21"/>
  <c r="CL79" i="21"/>
  <c r="CM35" i="21"/>
  <c r="CM132" i="21"/>
  <c r="CK115" i="21"/>
  <c r="CM17" i="21"/>
  <c r="CL81" i="21"/>
  <c r="CJ21" i="21"/>
  <c r="CK162" i="21"/>
  <c r="CI70" i="21"/>
  <c r="CM32" i="21"/>
  <c r="CM130" i="21"/>
  <c r="CK49" i="21"/>
  <c r="CJ81" i="21"/>
  <c r="V53" i="3"/>
  <c r="CJ56" i="21"/>
  <c r="CJ83" i="21"/>
  <c r="CI40" i="21"/>
  <c r="CK100" i="21"/>
  <c r="CJ88" i="21"/>
  <c r="CI150" i="21"/>
  <c r="CL15" i="21"/>
  <c r="CM91" i="21"/>
  <c r="CI143" i="21"/>
  <c r="CI62" i="21"/>
  <c r="CK101" i="21"/>
  <c r="CK91" i="21"/>
  <c r="CK87" i="21"/>
  <c r="CL155" i="21"/>
  <c r="CL22" i="21"/>
  <c r="CL141" i="21"/>
  <c r="CI120" i="21"/>
  <c r="CM87" i="21"/>
  <c r="CM25" i="21"/>
  <c r="CK148" i="21"/>
  <c r="CL65" i="21"/>
  <c r="CL93" i="21"/>
  <c r="CM72" i="21"/>
  <c r="CK116" i="21"/>
  <c r="CK133" i="21"/>
  <c r="CJ155" i="21"/>
  <c r="CI44" i="21"/>
  <c r="CI72" i="21"/>
  <c r="CM12" i="21"/>
  <c r="CL28" i="21"/>
  <c r="CI56" i="21"/>
  <c r="CI29" i="21"/>
  <c r="CI80" i="21"/>
  <c r="CM15" i="21"/>
  <c r="CM92" i="21"/>
  <c r="CK167" i="21"/>
  <c r="CL110" i="21"/>
  <c r="CJ164" i="21"/>
  <c r="CL29" i="21"/>
  <c r="CL106" i="21"/>
  <c r="CI45" i="21"/>
  <c r="CM121" i="21"/>
  <c r="CL111" i="21"/>
  <c r="CM151" i="21"/>
  <c r="CI11" i="21"/>
  <c r="CM22" i="21"/>
  <c r="CM64" i="21"/>
  <c r="CK151" i="21"/>
  <c r="CL82" i="21"/>
  <c r="CL62" i="21"/>
  <c r="CL147" i="21"/>
  <c r="CL135" i="21"/>
  <c r="CJ97" i="21"/>
  <c r="CI165" i="21"/>
  <c r="CL148" i="21"/>
  <c r="CK26" i="21"/>
  <c r="CL90" i="21"/>
  <c r="CL156" i="21"/>
  <c r="CI163" i="21"/>
  <c r="CK140" i="21"/>
  <c r="CJ151" i="21"/>
  <c r="CI158" i="21"/>
  <c r="CM86" i="21"/>
  <c r="CM40" i="21"/>
  <c r="CL150" i="21"/>
  <c r="CL119" i="21"/>
  <c r="CI68" i="21"/>
  <c r="CL26" i="21"/>
  <c r="CJ116" i="21"/>
  <c r="CJ137" i="21"/>
  <c r="CM58" i="21"/>
  <c r="CL92" i="21"/>
  <c r="CM52" i="21"/>
  <c r="CK21" i="21"/>
  <c r="CM144" i="21"/>
  <c r="CK36" i="21"/>
  <c r="CI101" i="21"/>
  <c r="CK43" i="21"/>
  <c r="W48" i="3"/>
  <c r="CI119" i="21"/>
  <c r="CL39" i="21"/>
  <c r="CM146" i="21"/>
  <c r="CI142" i="21"/>
  <c r="CL72" i="21"/>
  <c r="CI30" i="21"/>
  <c r="CK75" i="21"/>
  <c r="CJ98" i="21"/>
  <c r="CJ69" i="21"/>
  <c r="CK81" i="21"/>
  <c r="CI69" i="21"/>
  <c r="CL124" i="21"/>
  <c r="CI41" i="21"/>
  <c r="CL98" i="21"/>
  <c r="CM56" i="21"/>
  <c r="CM39" i="21"/>
  <c r="CM45" i="21"/>
  <c r="CI34" i="21"/>
  <c r="CL113" i="21"/>
  <c r="CI108" i="21"/>
  <c r="CI139" i="21"/>
  <c r="CJ19" i="21"/>
  <c r="CM134" i="21"/>
  <c r="U47" i="3"/>
  <c r="CM30" i="21"/>
  <c r="CJ153" i="21"/>
  <c r="CJ143" i="21"/>
  <c r="CK29" i="21"/>
  <c r="W52" i="3"/>
  <c r="CL95" i="21"/>
  <c r="CK114" i="21"/>
  <c r="CI55" i="21"/>
  <c r="CJ43" i="21"/>
  <c r="CK15" i="21"/>
  <c r="CK62" i="21"/>
  <c r="W50" i="3"/>
  <c r="CI89" i="21"/>
  <c r="CI92" i="21"/>
  <c r="CJ95" i="21"/>
  <c r="CM81" i="21"/>
  <c r="CK141" i="21"/>
  <c r="CK78" i="21"/>
  <c r="CI63" i="21"/>
  <c r="CJ147" i="21"/>
  <c r="CL37" i="21"/>
  <c r="CK146" i="21"/>
  <c r="CK9" i="21"/>
  <c r="CK70" i="21"/>
  <c r="CL42" i="21"/>
  <c r="CL140" i="21"/>
  <c r="CK88" i="21"/>
  <c r="CI31" i="21"/>
  <c r="CM158" i="21"/>
  <c r="CJ23" i="21"/>
  <c r="CK20" i="21"/>
  <c r="CK48" i="21"/>
  <c r="CM108" i="21"/>
  <c r="CI144" i="21"/>
  <c r="CL8" i="21"/>
  <c r="T50" i="3"/>
  <c r="CJ156" i="21"/>
  <c r="CM79" i="21"/>
  <c r="CK166" i="21"/>
  <c r="CK96" i="21"/>
  <c r="CL23" i="21"/>
  <c r="CI12" i="21"/>
  <c r="CM124" i="21"/>
  <c r="CI151" i="21"/>
  <c r="CM89" i="21"/>
  <c r="CK145" i="21"/>
  <c r="CK135" i="21"/>
  <c r="CK77" i="21"/>
  <c r="CK45" i="21"/>
  <c r="CK61" i="21"/>
  <c r="CJ167" i="21"/>
  <c r="CL35" i="21"/>
  <c r="CJ145" i="21"/>
  <c r="CJ44" i="21"/>
  <c r="CL137" i="21"/>
  <c r="CJ163" i="21"/>
  <c r="CK119" i="21"/>
  <c r="T48" i="3"/>
  <c r="CL61" i="21"/>
  <c r="CM28" i="21"/>
  <c r="CI153" i="21"/>
  <c r="CM20" i="21"/>
  <c r="CI83" i="21"/>
  <c r="CM88" i="21"/>
  <c r="CI13" i="21"/>
  <c r="T52" i="3"/>
  <c r="CJ92" i="21"/>
  <c r="CJ132" i="21"/>
  <c r="CK23" i="21"/>
  <c r="CK160" i="21"/>
  <c r="CI84" i="21"/>
  <c r="CM51" i="21"/>
  <c r="CJ124" i="21"/>
  <c r="CJ79" i="21"/>
  <c r="CK25" i="21"/>
  <c r="CI100" i="21"/>
  <c r="CI97" i="21"/>
  <c r="CL127" i="21"/>
  <c r="CL112" i="21"/>
  <c r="CK97" i="21"/>
  <c r="CL142" i="21"/>
  <c r="CI14" i="21"/>
  <c r="CJ131" i="21"/>
  <c r="CI81" i="21"/>
  <c r="CI21" i="21"/>
  <c r="CM34" i="21"/>
  <c r="CK103" i="21"/>
  <c r="CL153" i="21"/>
  <c r="BP305" i="27" l="1"/>
  <c r="BO306" i="27"/>
  <c r="BP306" i="27" s="1"/>
  <c r="BL307" i="27"/>
  <c r="BO307" i="27" l="1"/>
  <c r="BP307" i="27" s="1"/>
  <c r="BL308" i="27"/>
  <c r="BO308" i="27" l="1"/>
  <c r="BP308" i="27" s="1"/>
  <c r="BL309" i="27"/>
  <c r="BO309" i="27" l="1"/>
  <c r="BP309" i="27" s="1"/>
  <c r="BL310" i="27"/>
  <c r="BO310" i="27" l="1"/>
  <c r="BP310" i="27" s="1"/>
  <c r="BL311" i="27"/>
  <c r="BO311" i="27" l="1"/>
  <c r="BP311" i="27" s="1"/>
  <c r="BL312" i="27"/>
  <c r="BO312" i="27" l="1"/>
  <c r="BP312" i="27" s="1"/>
  <c r="BL313" i="27"/>
  <c r="BO313" i="27" l="1"/>
  <c r="BP313" i="27" s="1"/>
  <c r="BL314" i="27"/>
  <c r="BO314" i="27" l="1"/>
  <c r="BP314" i="27" s="1"/>
  <c r="BL315" i="27"/>
  <c r="BO315" i="27" l="1"/>
  <c r="BP315" i="27" s="1"/>
  <c r="BL316" i="27"/>
  <c r="BO316" i="27" l="1"/>
  <c r="BP316" i="27" s="1"/>
  <c r="BL317" i="27"/>
  <c r="BO317" i="27" l="1"/>
  <c r="BP317" i="27" s="1"/>
  <c r="BL318" i="27"/>
  <c r="V164" i="27" l="1"/>
  <c r="AC164" i="27"/>
  <c r="AQ164" i="27"/>
  <c r="O164" i="27"/>
  <c r="AJ164" i="27"/>
  <c r="Y284" i="27"/>
  <c r="AM284" i="27"/>
  <c r="AT284" i="27"/>
  <c r="R284" i="27"/>
  <c r="AF284" i="27"/>
  <c r="AT215" i="27"/>
  <c r="AM215" i="27"/>
  <c r="AF215" i="27"/>
  <c r="Y215" i="27"/>
  <c r="R215" i="27"/>
  <c r="Y359" i="27"/>
  <c r="AT359" i="27"/>
  <c r="AF359" i="27"/>
  <c r="AM359" i="27"/>
  <c r="R359" i="27"/>
  <c r="AE253" i="27"/>
  <c r="X253" i="27"/>
  <c r="AS253" i="27"/>
  <c r="AL253" i="27"/>
  <c r="Q253" i="27"/>
  <c r="AP341" i="27"/>
  <c r="N341" i="27"/>
  <c r="AB341" i="27"/>
  <c r="AI341" i="27"/>
  <c r="U341" i="27"/>
  <c r="U100" i="27"/>
  <c r="N100" i="27"/>
  <c r="AP100" i="27"/>
  <c r="AI100" i="27"/>
  <c r="AB100" i="27"/>
  <c r="O156" i="27"/>
  <c r="AJ156" i="27"/>
  <c r="V156" i="27"/>
  <c r="AQ156" i="27"/>
  <c r="AC156" i="27"/>
  <c r="AC195" i="27"/>
  <c r="O195" i="27"/>
  <c r="AQ195" i="27"/>
  <c r="AJ195" i="27"/>
  <c r="V195" i="27"/>
  <c r="W59" i="27"/>
  <c r="AR59" i="27"/>
  <c r="AK59" i="27"/>
  <c r="P59" i="27"/>
  <c r="AI6" i="23"/>
  <c r="AD59" i="27"/>
  <c r="AS328" i="27"/>
  <c r="AE328" i="27"/>
  <c r="AL328" i="27"/>
  <c r="X328" i="27"/>
  <c r="Q328" i="27"/>
  <c r="AT346" i="27"/>
  <c r="AF346" i="27"/>
  <c r="R346" i="27"/>
  <c r="AM346" i="27"/>
  <c r="Y346" i="27"/>
  <c r="AI174" i="27"/>
  <c r="U174" i="27"/>
  <c r="N174" i="27"/>
  <c r="AB174" i="27"/>
  <c r="AP174" i="27"/>
  <c r="N11" i="27"/>
  <c r="AI11" i="27"/>
  <c r="AP11" i="27"/>
  <c r="AB11" i="27"/>
  <c r="U11" i="27"/>
  <c r="AK63" i="27"/>
  <c r="W63" i="27"/>
  <c r="P63" i="27"/>
  <c r="AD63" i="27"/>
  <c r="AR63" i="27"/>
  <c r="AP27" i="27"/>
  <c r="AI27" i="27"/>
  <c r="AB27" i="27"/>
  <c r="U27" i="27"/>
  <c r="N27" i="27"/>
  <c r="AT160" i="27"/>
  <c r="AM160" i="27"/>
  <c r="R160" i="27"/>
  <c r="Y160" i="27"/>
  <c r="AF160" i="27"/>
  <c r="AP214" i="27"/>
  <c r="AI214" i="27"/>
  <c r="U214" i="27"/>
  <c r="AB214" i="27"/>
  <c r="N214" i="27"/>
  <c r="AC162" i="27"/>
  <c r="AJ162" i="27"/>
  <c r="O162" i="27"/>
  <c r="V162" i="27"/>
  <c r="AQ162" i="27"/>
  <c r="AF209" i="27"/>
  <c r="R209" i="27"/>
  <c r="Y209" i="27"/>
  <c r="AM209" i="27"/>
  <c r="AT209" i="27"/>
  <c r="AP320" i="27"/>
  <c r="AI320" i="27"/>
  <c r="AB320" i="27"/>
  <c r="U320" i="27"/>
  <c r="N320" i="27"/>
  <c r="U141" i="27"/>
  <c r="AB141" i="27"/>
  <c r="N141" i="27"/>
  <c r="AP141" i="27"/>
  <c r="AI141" i="27"/>
  <c r="N316" i="27"/>
  <c r="AP316" i="27"/>
  <c r="AB316" i="27"/>
  <c r="U316" i="27"/>
  <c r="AI316" i="27"/>
  <c r="AS172" i="27"/>
  <c r="X172" i="27"/>
  <c r="AL172" i="27"/>
  <c r="Q172" i="27"/>
  <c r="AE172" i="27"/>
  <c r="AD169" i="27"/>
  <c r="AK169" i="27"/>
  <c r="AR169" i="27"/>
  <c r="W169" i="27"/>
  <c r="P169" i="27"/>
  <c r="AL294" i="27"/>
  <c r="Q294" i="27"/>
  <c r="AS294" i="27"/>
  <c r="AE294" i="27"/>
  <c r="X294" i="27"/>
  <c r="AB221" i="27"/>
  <c r="U221" i="27"/>
  <c r="N221" i="27"/>
  <c r="AP221" i="27"/>
  <c r="AI221" i="27"/>
  <c r="AP266" i="27"/>
  <c r="N266" i="27"/>
  <c r="AB266" i="27"/>
  <c r="U266" i="27"/>
  <c r="AI266" i="27"/>
  <c r="Y338" i="27"/>
  <c r="R338" i="27"/>
  <c r="AT338" i="27"/>
  <c r="AF338" i="27"/>
  <c r="AM338" i="27"/>
  <c r="AI21" i="27"/>
  <c r="U21" i="27"/>
  <c r="N21" i="27"/>
  <c r="AP21" i="27"/>
  <c r="AB21" i="27"/>
  <c r="AT134" i="27"/>
  <c r="AF134" i="27"/>
  <c r="R134" i="27"/>
  <c r="AM134" i="27"/>
  <c r="Y134" i="27"/>
  <c r="AS28" i="27"/>
  <c r="AL28" i="27"/>
  <c r="AE28" i="27"/>
  <c r="X28" i="27"/>
  <c r="Q28" i="27"/>
  <c r="AI250" i="27"/>
  <c r="U250" i="27"/>
  <c r="N250" i="27"/>
  <c r="AB250" i="27"/>
  <c r="AP250" i="27"/>
  <c r="AC278" i="27"/>
  <c r="AQ278" i="27"/>
  <c r="V278" i="27"/>
  <c r="O278" i="27"/>
  <c r="AJ278" i="27"/>
  <c r="AD42" i="27"/>
  <c r="P42" i="27"/>
  <c r="AK42" i="27"/>
  <c r="AR42" i="27"/>
  <c r="W42" i="27"/>
  <c r="V17" i="27"/>
  <c r="AQ17" i="27"/>
  <c r="AJ17" i="27"/>
  <c r="AC17" i="27"/>
  <c r="O17" i="27"/>
  <c r="AL98" i="27"/>
  <c r="X98" i="27"/>
  <c r="Q98" i="27"/>
  <c r="AE98" i="27"/>
  <c r="AS98" i="27"/>
  <c r="AC133" i="27"/>
  <c r="AJ133" i="27"/>
  <c r="AQ133" i="27"/>
  <c r="V133" i="27"/>
  <c r="O133" i="27"/>
  <c r="Q205" i="27"/>
  <c r="AL205" i="27"/>
  <c r="AS205" i="27"/>
  <c r="AE205" i="27"/>
  <c r="X205" i="27"/>
  <c r="AT167" i="27"/>
  <c r="AF167" i="27"/>
  <c r="R167" i="27"/>
  <c r="AM167" i="27"/>
  <c r="Y167" i="27"/>
  <c r="O173" i="27"/>
  <c r="V173" i="27"/>
  <c r="AQ173" i="27"/>
  <c r="AC173" i="27"/>
  <c r="AJ173" i="27"/>
  <c r="AQ204" i="27"/>
  <c r="AC204" i="27"/>
  <c r="O204" i="27"/>
  <c r="V204" i="27"/>
  <c r="AJ204" i="27"/>
  <c r="AQ196" i="27"/>
  <c r="V196" i="27"/>
  <c r="O196" i="27"/>
  <c r="AC196" i="27"/>
  <c r="AJ196" i="27"/>
  <c r="AF120" i="27"/>
  <c r="R120" i="27"/>
  <c r="Y120" i="27"/>
  <c r="AT120" i="27"/>
  <c r="AM120" i="27"/>
  <c r="W312" i="27"/>
  <c r="AR312" i="27"/>
  <c r="AK312" i="27"/>
  <c r="AD312" i="27"/>
  <c r="P312" i="27"/>
  <c r="AQ303" i="27"/>
  <c r="AJ303" i="27"/>
  <c r="AC303" i="27"/>
  <c r="O303" i="27"/>
  <c r="V303" i="27"/>
  <c r="AT182" i="27"/>
  <c r="AF182" i="27"/>
  <c r="R182" i="27"/>
  <c r="Y182" i="27"/>
  <c r="AM182" i="27"/>
  <c r="AT250" i="27"/>
  <c r="AF250" i="27"/>
  <c r="R250" i="27"/>
  <c r="AM250" i="27"/>
  <c r="Y250" i="27"/>
  <c r="W248" i="27"/>
  <c r="P248" i="27"/>
  <c r="AK248" i="27"/>
  <c r="AD248" i="27"/>
  <c r="AR248" i="27"/>
  <c r="V40" i="27"/>
  <c r="AJ40" i="27"/>
  <c r="AC40" i="27"/>
  <c r="O40" i="27"/>
  <c r="AQ40" i="27"/>
  <c r="Y84" i="27"/>
  <c r="AT84" i="27"/>
  <c r="AF84" i="27"/>
  <c r="AM84" i="27"/>
  <c r="R84" i="27"/>
  <c r="AC55" i="27"/>
  <c r="V55" i="27"/>
  <c r="O55" i="27"/>
  <c r="AJ55" i="27"/>
  <c r="AQ55" i="27"/>
  <c r="X136" i="27"/>
  <c r="AS136" i="27"/>
  <c r="AL136" i="27"/>
  <c r="Q136" i="27"/>
  <c r="AE136" i="27"/>
  <c r="X35" i="27"/>
  <c r="AS35" i="27"/>
  <c r="AE35" i="27"/>
  <c r="Q35" i="27"/>
  <c r="AL35" i="27"/>
  <c r="AJ242" i="27"/>
  <c r="V242" i="27"/>
  <c r="AQ242" i="27"/>
  <c r="AC242" i="27"/>
  <c r="O242" i="27"/>
  <c r="AK150" i="27"/>
  <c r="P150" i="27"/>
  <c r="AR150" i="27"/>
  <c r="AD150" i="27"/>
  <c r="W150" i="27"/>
  <c r="AS286" i="27"/>
  <c r="AE286" i="27"/>
  <c r="X286" i="27"/>
  <c r="Q286" i="27"/>
  <c r="AL286" i="27"/>
  <c r="AP97" i="27"/>
  <c r="U97" i="27"/>
  <c r="N97" i="27"/>
  <c r="AI97" i="27"/>
  <c r="AB97" i="27"/>
  <c r="AE318" i="27"/>
  <c r="Q318" i="27"/>
  <c r="AL318" i="27"/>
  <c r="X318" i="27"/>
  <c r="AS318" i="27"/>
  <c r="AJ66" i="27"/>
  <c r="AC66" i="27"/>
  <c r="V66" i="27"/>
  <c r="AQ66" i="27"/>
  <c r="O66" i="27"/>
  <c r="AQ338" i="27"/>
  <c r="AJ338" i="27"/>
  <c r="O338" i="27"/>
  <c r="V338" i="27"/>
  <c r="AC338" i="27"/>
  <c r="Y216" i="27"/>
  <c r="AM216" i="27"/>
  <c r="AF216" i="27"/>
  <c r="R216" i="27"/>
  <c r="AT216" i="27"/>
  <c r="AC34" i="27"/>
  <c r="O34" i="27"/>
  <c r="V34" i="27"/>
  <c r="AQ34" i="27"/>
  <c r="AJ34" i="27"/>
  <c r="AB275" i="27"/>
  <c r="N275" i="27"/>
  <c r="U275" i="27"/>
  <c r="AP275" i="27"/>
  <c r="AI275" i="27"/>
  <c r="AQ305" i="27"/>
  <c r="V305" i="27"/>
  <c r="O305" i="27"/>
  <c r="AJ305" i="27"/>
  <c r="AC305" i="27"/>
  <c r="R228" i="27"/>
  <c r="Y228" i="27"/>
  <c r="AF228" i="27"/>
  <c r="AT228" i="27"/>
  <c r="AM228" i="27"/>
  <c r="V118" i="27"/>
  <c r="AJ118" i="27"/>
  <c r="AC118" i="27"/>
  <c r="AQ118" i="27"/>
  <c r="O118" i="27"/>
  <c r="AR230" i="27"/>
  <c r="AK230" i="27"/>
  <c r="W230" i="27"/>
  <c r="P230" i="27"/>
  <c r="AD230" i="27"/>
  <c r="AI32" i="27"/>
  <c r="AB32" i="27"/>
  <c r="U32" i="27"/>
  <c r="N32" i="27"/>
  <c r="AP32" i="27"/>
  <c r="AC113" i="27"/>
  <c r="V113" i="27"/>
  <c r="AQ113" i="27"/>
  <c r="O113" i="27"/>
  <c r="AJ113" i="27"/>
  <c r="U187" i="27"/>
  <c r="AB187" i="27"/>
  <c r="AP187" i="27"/>
  <c r="AI187" i="27"/>
  <c r="N187" i="27"/>
  <c r="AT292" i="27"/>
  <c r="AM292" i="27"/>
  <c r="Y292" i="27"/>
  <c r="R292" i="27"/>
  <c r="AF292" i="27"/>
  <c r="AD215" i="27"/>
  <c r="AR215" i="27"/>
  <c r="AK215" i="27"/>
  <c r="P215" i="27"/>
  <c r="W215" i="27"/>
  <c r="AR309" i="27"/>
  <c r="W309" i="27"/>
  <c r="AK309" i="27"/>
  <c r="AD309" i="27"/>
  <c r="P309" i="27"/>
  <c r="AS141" i="27"/>
  <c r="AL141" i="27"/>
  <c r="Q141" i="27"/>
  <c r="X141" i="27"/>
  <c r="AE141" i="27"/>
  <c r="AQ136" i="27"/>
  <c r="AC136" i="27"/>
  <c r="O136" i="27"/>
  <c r="AJ136" i="27"/>
  <c r="V136" i="27"/>
  <c r="AB105" i="27"/>
  <c r="AP105" i="27"/>
  <c r="N105" i="27"/>
  <c r="AI105" i="27"/>
  <c r="U105" i="27"/>
  <c r="AP365" i="27"/>
  <c r="AB365" i="27"/>
  <c r="AI365" i="27"/>
  <c r="N365" i="27"/>
  <c r="U365" i="27"/>
  <c r="AD85" i="27"/>
  <c r="AK85" i="27"/>
  <c r="W85" i="27"/>
  <c r="AR85" i="27"/>
  <c r="P85" i="27"/>
  <c r="V238" i="27"/>
  <c r="O238" i="27"/>
  <c r="AC238" i="27"/>
  <c r="AJ238" i="27"/>
  <c r="AQ238" i="27"/>
  <c r="AS186" i="27"/>
  <c r="Q186" i="27"/>
  <c r="X186" i="27"/>
  <c r="AE186" i="27"/>
  <c r="AL186" i="27"/>
  <c r="Q29" i="27"/>
  <c r="AL29" i="27"/>
  <c r="AE29" i="27"/>
  <c r="AS29" i="27"/>
  <c r="X29" i="27"/>
  <c r="AL178" i="27"/>
  <c r="Q178" i="27"/>
  <c r="AE178" i="27"/>
  <c r="X178" i="27"/>
  <c r="AS178" i="27"/>
  <c r="AQ361" i="27"/>
  <c r="AJ361" i="27"/>
  <c r="V361" i="27"/>
  <c r="AC361" i="27"/>
  <c r="O361" i="27"/>
  <c r="AJ31" i="27"/>
  <c r="AQ31" i="27"/>
  <c r="AC31" i="27"/>
  <c r="V31" i="27"/>
  <c r="O31" i="27"/>
  <c r="AF166" i="27"/>
  <c r="AM166" i="27"/>
  <c r="Y166" i="27"/>
  <c r="AT166" i="27"/>
  <c r="R166" i="27"/>
  <c r="AK220" i="27"/>
  <c r="AD220" i="27"/>
  <c r="AR220" i="27"/>
  <c r="W220" i="27"/>
  <c r="P220" i="27"/>
  <c r="AI162" i="27"/>
  <c r="U162" i="27"/>
  <c r="N162" i="27"/>
  <c r="AB162" i="27"/>
  <c r="AP162" i="27"/>
  <c r="AB223" i="27"/>
  <c r="U223" i="27"/>
  <c r="N223" i="27"/>
  <c r="AP223" i="27"/>
  <c r="AI223" i="27"/>
  <c r="AF230" i="27"/>
  <c r="AT230" i="27"/>
  <c r="R230" i="27"/>
  <c r="AM230" i="27"/>
  <c r="Y230" i="27"/>
  <c r="Q133" i="27"/>
  <c r="AE133" i="27"/>
  <c r="X133" i="27"/>
  <c r="AS133" i="27"/>
  <c r="AL133" i="27"/>
  <c r="AE159" i="27"/>
  <c r="Q159" i="27"/>
  <c r="X159" i="27"/>
  <c r="AS159" i="27"/>
  <c r="AL159" i="27"/>
  <c r="AL274" i="27"/>
  <c r="X274" i="27"/>
  <c r="Q274" i="27"/>
  <c r="AS274" i="27"/>
  <c r="AE274" i="27"/>
  <c r="AR343" i="27"/>
  <c r="AK343" i="27"/>
  <c r="W343" i="27"/>
  <c r="AD343" i="27"/>
  <c r="P343" i="27"/>
  <c r="W44" i="27"/>
  <c r="AD44" i="27"/>
  <c r="AR44" i="27"/>
  <c r="AK44" i="27"/>
  <c r="P44" i="27"/>
  <c r="AT151" i="27"/>
  <c r="AM151" i="27"/>
  <c r="AF151" i="27"/>
  <c r="Y151" i="27"/>
  <c r="R151" i="27"/>
  <c r="AS197" i="27"/>
  <c r="X197" i="27"/>
  <c r="AE197" i="27"/>
  <c r="Q197" i="27"/>
  <c r="AL197" i="27"/>
  <c r="AQ292" i="27"/>
  <c r="V292" i="27"/>
  <c r="O292" i="27"/>
  <c r="AC292" i="27"/>
  <c r="AJ292" i="27"/>
  <c r="AJ58" i="27"/>
  <c r="AC58" i="27"/>
  <c r="V58" i="27"/>
  <c r="O58" i="27"/>
  <c r="AQ58" i="27"/>
  <c r="AP203" i="27"/>
  <c r="AI203" i="27"/>
  <c r="U203" i="27"/>
  <c r="N203" i="27"/>
  <c r="AB203" i="27"/>
  <c r="Q60" i="27"/>
  <c r="AS60" i="27"/>
  <c r="AL60" i="27"/>
  <c r="AE60" i="27"/>
  <c r="X60" i="27"/>
  <c r="AE266" i="27"/>
  <c r="AL266" i="27"/>
  <c r="X266" i="27"/>
  <c r="Q266" i="27"/>
  <c r="AS266" i="27"/>
  <c r="AI190" i="27"/>
  <c r="U190" i="27"/>
  <c r="N190" i="27"/>
  <c r="AP190" i="27"/>
  <c r="AB190" i="27"/>
  <c r="R54" i="27"/>
  <c r="AT54" i="27"/>
  <c r="Y54" i="27"/>
  <c r="AM54" i="27"/>
  <c r="AF54" i="27"/>
  <c r="AJ121" i="27"/>
  <c r="AC121" i="27"/>
  <c r="AQ121" i="27"/>
  <c r="V121" i="27"/>
  <c r="O121" i="27"/>
  <c r="AE346" i="27"/>
  <c r="X346" i="27"/>
  <c r="AS346" i="27"/>
  <c r="Q346" i="27"/>
  <c r="AL346" i="27"/>
  <c r="U233" i="27"/>
  <c r="N233" i="27"/>
  <c r="AB233" i="27"/>
  <c r="AI233" i="27"/>
  <c r="AP233" i="27"/>
  <c r="AR359" i="27"/>
  <c r="AD359" i="27"/>
  <c r="AK359" i="27"/>
  <c r="P359" i="27"/>
  <c r="W359" i="27"/>
  <c r="AS212" i="27"/>
  <c r="AL212" i="27"/>
  <c r="AE212" i="27"/>
  <c r="Q212" i="27"/>
  <c r="X212" i="27"/>
  <c r="AS18" i="27"/>
  <c r="AE18" i="27"/>
  <c r="X18" i="27"/>
  <c r="Q18" i="27"/>
  <c r="AL18" i="27"/>
  <c r="AE316" i="27"/>
  <c r="Q316" i="27"/>
  <c r="AS316" i="27"/>
  <c r="X316" i="27"/>
  <c r="AL316" i="27"/>
  <c r="AQ172" i="27"/>
  <c r="O172" i="27"/>
  <c r="AJ172" i="27"/>
  <c r="V172" i="27"/>
  <c r="AC172" i="27"/>
  <c r="AE334" i="27"/>
  <c r="Q334" i="27"/>
  <c r="AS334" i="27"/>
  <c r="X334" i="27"/>
  <c r="AL334" i="27"/>
  <c r="AD209" i="27"/>
  <c r="AK209" i="27"/>
  <c r="P209" i="27"/>
  <c r="AR209" i="27"/>
  <c r="W209" i="27"/>
  <c r="AS153" i="27"/>
  <c r="X153" i="27"/>
  <c r="AL153" i="27"/>
  <c r="Q153" i="27"/>
  <c r="AE153" i="27"/>
  <c r="X64" i="27"/>
  <c r="Q64" i="27"/>
  <c r="AL64" i="27"/>
  <c r="AS64" i="27"/>
  <c r="AE64" i="27"/>
  <c r="AQ131" i="27"/>
  <c r="AJ131" i="27"/>
  <c r="V131" i="27"/>
  <c r="O131" i="27"/>
  <c r="AC131" i="27"/>
  <c r="AD279" i="27"/>
  <c r="AK279" i="27"/>
  <c r="P279" i="27"/>
  <c r="AR279" i="27"/>
  <c r="W279" i="27"/>
  <c r="AP71" i="27"/>
  <c r="AI71" i="27"/>
  <c r="AB71" i="27"/>
  <c r="U71" i="27"/>
  <c r="N71" i="27"/>
  <c r="W188" i="27"/>
  <c r="AR188" i="27"/>
  <c r="AK188" i="27"/>
  <c r="AD188" i="27"/>
  <c r="P188" i="27"/>
  <c r="AC137" i="27"/>
  <c r="V137" i="27"/>
  <c r="AJ137" i="27"/>
  <c r="AQ137" i="27"/>
  <c r="O137" i="27"/>
  <c r="AT192" i="27"/>
  <c r="AF192" i="27"/>
  <c r="AM192" i="27"/>
  <c r="Y192" i="27"/>
  <c r="R192" i="27"/>
  <c r="O125" i="27"/>
  <c r="V125" i="27"/>
  <c r="AC125" i="27"/>
  <c r="AQ125" i="27"/>
  <c r="AJ125" i="27"/>
  <c r="AS336" i="27"/>
  <c r="Q336" i="27"/>
  <c r="AE336" i="27"/>
  <c r="X336" i="27"/>
  <c r="AL336" i="27"/>
  <c r="AQ322" i="27"/>
  <c r="AJ322" i="27"/>
  <c r="AC322" i="27"/>
  <c r="O322" i="27"/>
  <c r="V322" i="27"/>
  <c r="AT100" i="27"/>
  <c r="AM100" i="27"/>
  <c r="AF100" i="27"/>
  <c r="Y100" i="27"/>
  <c r="R100" i="27"/>
  <c r="AM11" i="27"/>
  <c r="AT11" i="27"/>
  <c r="Y11" i="27"/>
  <c r="R11" i="27"/>
  <c r="AF11" i="27"/>
  <c r="AT78" i="27"/>
  <c r="AF78" i="27"/>
  <c r="Y78" i="27"/>
  <c r="R78" i="27"/>
  <c r="AM78" i="27"/>
  <c r="N145" i="27"/>
  <c r="AB145" i="27"/>
  <c r="AP145" i="27"/>
  <c r="U145" i="27"/>
  <c r="AI145" i="27"/>
  <c r="U152" i="27"/>
  <c r="AI152" i="27"/>
  <c r="AP152" i="27"/>
  <c r="N152" i="27"/>
  <c r="AB152" i="27"/>
  <c r="U110" i="27"/>
  <c r="AB110" i="27"/>
  <c r="AP110" i="27"/>
  <c r="AI110" i="27"/>
  <c r="N110" i="27"/>
  <c r="AT91" i="27"/>
  <c r="AM91" i="27"/>
  <c r="Y91" i="27"/>
  <c r="AF91" i="27"/>
  <c r="R91" i="27"/>
  <c r="AC215" i="27"/>
  <c r="AJ215" i="27"/>
  <c r="V215" i="27"/>
  <c r="AQ215" i="27"/>
  <c r="O215" i="27"/>
  <c r="AL166" i="27"/>
  <c r="Q166" i="27"/>
  <c r="AS166" i="27"/>
  <c r="AE166" i="27"/>
  <c r="X166" i="27"/>
  <c r="AB149" i="27"/>
  <c r="AP149" i="27"/>
  <c r="AI149" i="27"/>
  <c r="N149" i="27"/>
  <c r="U149" i="27"/>
  <c r="AB66" i="27"/>
  <c r="N66" i="27"/>
  <c r="AI66" i="27"/>
  <c r="U66" i="27"/>
  <c r="AP66" i="27"/>
  <c r="AK147" i="27"/>
  <c r="AR147" i="27"/>
  <c r="W147" i="27"/>
  <c r="AD147" i="27"/>
  <c r="P147" i="27"/>
  <c r="W187" i="27"/>
  <c r="AD187" i="27"/>
  <c r="AR187" i="27"/>
  <c r="AK187" i="27"/>
  <c r="P187" i="27"/>
  <c r="AL148" i="27"/>
  <c r="Q148" i="27"/>
  <c r="AE148" i="27"/>
  <c r="AS148" i="27"/>
  <c r="X148" i="27"/>
  <c r="AK316" i="27"/>
  <c r="AD316" i="27"/>
  <c r="W316" i="27"/>
  <c r="P316" i="27"/>
  <c r="AR316" i="27"/>
  <c r="Y214" i="27"/>
  <c r="R214" i="27"/>
  <c r="AT214" i="27"/>
  <c r="AF214" i="27"/>
  <c r="AM214" i="27"/>
  <c r="R176" i="27"/>
  <c r="AT176" i="27"/>
  <c r="Y176" i="27"/>
  <c r="AF176" i="27"/>
  <c r="AM176" i="27"/>
  <c r="W106" i="27"/>
  <c r="AD106" i="27"/>
  <c r="AR106" i="27"/>
  <c r="AK106" i="27"/>
  <c r="P106" i="27"/>
  <c r="AI253" i="27"/>
  <c r="N253" i="27"/>
  <c r="AB253" i="27"/>
  <c r="AP253" i="27"/>
  <c r="U253" i="27"/>
  <c r="AF64" i="27"/>
  <c r="AM64" i="27"/>
  <c r="R64" i="27"/>
  <c r="Y64" i="27"/>
  <c r="AT64" i="27"/>
  <c r="AL326" i="27"/>
  <c r="AS326" i="27"/>
  <c r="Q326" i="27"/>
  <c r="X326" i="27"/>
  <c r="AE326" i="27"/>
  <c r="AR288" i="27"/>
  <c r="P288" i="27"/>
  <c r="W288" i="27"/>
  <c r="AK288" i="27"/>
  <c r="AD288" i="27"/>
  <c r="P17" i="27"/>
  <c r="W17" i="27"/>
  <c r="AD17" i="27"/>
  <c r="AR17" i="27"/>
  <c r="AK17" i="27"/>
  <c r="W361" i="27"/>
  <c r="P361" i="27"/>
  <c r="AR361" i="27"/>
  <c r="AK361" i="27"/>
  <c r="AD361" i="27"/>
  <c r="U330" i="27"/>
  <c r="N330" i="27"/>
  <c r="AP330" i="27"/>
  <c r="AB330" i="27"/>
  <c r="AI330" i="27"/>
  <c r="AT36" i="27"/>
  <c r="Y36" i="27"/>
  <c r="AF36" i="27"/>
  <c r="R36" i="27"/>
  <c r="AM36" i="27"/>
  <c r="AI52" i="27"/>
  <c r="AB52" i="27"/>
  <c r="U52" i="27"/>
  <c r="AP52" i="27"/>
  <c r="N52" i="27"/>
  <c r="AD102" i="27"/>
  <c r="P102" i="27"/>
  <c r="W102" i="27"/>
  <c r="AR102" i="27"/>
  <c r="AK102" i="27"/>
  <c r="AE245" i="27"/>
  <c r="Q245" i="27"/>
  <c r="AL245" i="27"/>
  <c r="X245" i="27"/>
  <c r="AS245" i="27"/>
  <c r="AQ74" i="27"/>
  <c r="AC74" i="27"/>
  <c r="V74" i="27"/>
  <c r="AJ74" i="27"/>
  <c r="O74" i="27"/>
  <c r="AD200" i="27"/>
  <c r="AR200" i="27"/>
  <c r="P200" i="27"/>
  <c r="W200" i="27"/>
  <c r="AK200" i="27"/>
  <c r="W303" i="27"/>
  <c r="AK303" i="27"/>
  <c r="P303" i="27"/>
  <c r="AD303" i="27"/>
  <c r="AR303" i="27"/>
  <c r="N91" i="27"/>
  <c r="AB91" i="27"/>
  <c r="AP91" i="27"/>
  <c r="AI91" i="27"/>
  <c r="U91" i="27"/>
  <c r="AD208" i="27"/>
  <c r="P208" i="27"/>
  <c r="AR208" i="27"/>
  <c r="AK208" i="27"/>
  <c r="W208" i="27"/>
  <c r="O317" i="27"/>
  <c r="V317" i="27"/>
  <c r="AQ317" i="27"/>
  <c r="AJ317" i="27"/>
  <c r="AC317" i="27"/>
  <c r="N302" i="27"/>
  <c r="AP302" i="27"/>
  <c r="AI302" i="27"/>
  <c r="AB302" i="27"/>
  <c r="U302" i="27"/>
  <c r="AT83" i="27"/>
  <c r="AM83" i="27"/>
  <c r="AF83" i="27"/>
  <c r="R83" i="27"/>
  <c r="Y83" i="27"/>
  <c r="AT202" i="27"/>
  <c r="AM202" i="27"/>
  <c r="R202" i="27"/>
  <c r="Y202" i="27"/>
  <c r="AF202" i="27"/>
  <c r="U82" i="27"/>
  <c r="AI82" i="27"/>
  <c r="AB82" i="27"/>
  <c r="N82" i="27"/>
  <c r="AP82" i="27"/>
  <c r="AM242" i="27"/>
  <c r="AF242" i="27"/>
  <c r="Y242" i="27"/>
  <c r="AT242" i="27"/>
  <c r="R242" i="27"/>
  <c r="AL329" i="27"/>
  <c r="AE329" i="27"/>
  <c r="X329" i="27"/>
  <c r="AS329" i="27"/>
  <c r="Q329" i="27"/>
  <c r="O219" i="27"/>
  <c r="AJ219" i="27"/>
  <c r="AQ219" i="27"/>
  <c r="AC219" i="27"/>
  <c r="V219" i="27"/>
  <c r="AR143" i="27"/>
  <c r="W143" i="27"/>
  <c r="P143" i="27"/>
  <c r="AK143" i="27"/>
  <c r="AD143" i="27"/>
  <c r="AM92" i="27"/>
  <c r="R92" i="27"/>
  <c r="AF92" i="27"/>
  <c r="AT92" i="27"/>
  <c r="Y92" i="27"/>
  <c r="AT348" i="27"/>
  <c r="AF348" i="27"/>
  <c r="AM348" i="27"/>
  <c r="Y348" i="27"/>
  <c r="R348" i="27"/>
  <c r="AC244" i="27"/>
  <c r="AJ244" i="27"/>
  <c r="O244" i="27"/>
  <c r="AQ244" i="27"/>
  <c r="V244" i="27"/>
  <c r="AF156" i="27"/>
  <c r="Y156" i="27"/>
  <c r="AM156" i="27"/>
  <c r="AT156" i="27"/>
  <c r="R156" i="27"/>
  <c r="AL21" i="27"/>
  <c r="Q21" i="27"/>
  <c r="AE21" i="27"/>
  <c r="X21" i="27"/>
  <c r="AS21" i="27"/>
  <c r="V63" i="27"/>
  <c r="AQ63" i="27"/>
  <c r="AJ63" i="27"/>
  <c r="AC63" i="27"/>
  <c r="O63" i="27"/>
  <c r="P244" i="27"/>
  <c r="AD244" i="27"/>
  <c r="AR244" i="27"/>
  <c r="W244" i="27"/>
  <c r="AK244" i="27"/>
  <c r="U297" i="27"/>
  <c r="N297" i="27"/>
  <c r="AB297" i="27"/>
  <c r="AP297" i="27"/>
  <c r="AI297" i="27"/>
  <c r="P10" i="27"/>
  <c r="AD10" i="27"/>
  <c r="AR10" i="27"/>
  <c r="AK10" i="27"/>
  <c r="W10" i="27"/>
  <c r="AR9" i="27"/>
  <c r="AD9" i="27"/>
  <c r="P9" i="27"/>
  <c r="AK9" i="27"/>
  <c r="W9" i="27"/>
  <c r="P24" i="27"/>
  <c r="W24" i="27"/>
  <c r="AR24" i="27"/>
  <c r="AK24" i="27"/>
  <c r="AD24" i="27"/>
  <c r="AC281" i="27"/>
  <c r="AJ281" i="27"/>
  <c r="AQ281" i="27"/>
  <c r="V281" i="27"/>
  <c r="O281" i="27"/>
  <c r="AB121" i="27"/>
  <c r="U121" i="27"/>
  <c r="AI121" i="27"/>
  <c r="AP121" i="27"/>
  <c r="N121" i="27"/>
  <c r="W311" i="27"/>
  <c r="AD311" i="27"/>
  <c r="P311" i="27"/>
  <c r="AK311" i="27"/>
  <c r="AR311" i="27"/>
  <c r="AT183" i="27"/>
  <c r="R183" i="27"/>
  <c r="Y183" i="27"/>
  <c r="AM183" i="27"/>
  <c r="AF183" i="27"/>
  <c r="U255" i="27"/>
  <c r="AI255" i="27"/>
  <c r="AB255" i="27"/>
  <c r="N255" i="27"/>
  <c r="AP255" i="27"/>
  <c r="AM35" i="27"/>
  <c r="R35" i="27"/>
  <c r="AT35" i="27"/>
  <c r="Y35" i="27"/>
  <c r="AF35" i="27"/>
  <c r="AD323" i="27"/>
  <c r="AR323" i="27"/>
  <c r="P323" i="27"/>
  <c r="AK323" i="27"/>
  <c r="W323" i="27"/>
  <c r="R73" i="27"/>
  <c r="AF73" i="27"/>
  <c r="Y73" i="27"/>
  <c r="AT73" i="27"/>
  <c r="AM73" i="27"/>
  <c r="W165" i="27"/>
  <c r="AR165" i="27"/>
  <c r="AD165" i="27"/>
  <c r="AK165" i="27"/>
  <c r="P165" i="27"/>
  <c r="Y168" i="27"/>
  <c r="AF168" i="27"/>
  <c r="AM168" i="27"/>
  <c r="R168" i="27"/>
  <c r="AT168" i="27"/>
  <c r="AR33" i="27"/>
  <c r="AD33" i="27"/>
  <c r="AK33" i="27"/>
  <c r="P33" i="27"/>
  <c r="W33" i="27"/>
  <c r="AE57" i="27"/>
  <c r="Q57" i="27"/>
  <c r="AL57" i="27"/>
  <c r="X57" i="27"/>
  <c r="AS57" i="27"/>
  <c r="P74" i="27"/>
  <c r="AK74" i="27"/>
  <c r="AI8" i="23"/>
  <c r="AD74" i="27"/>
  <c r="AR74" i="27"/>
  <c r="W74" i="27"/>
  <c r="AL282" i="27"/>
  <c r="AE282" i="27"/>
  <c r="X282" i="27"/>
  <c r="AS282" i="27"/>
  <c r="Q282" i="27"/>
  <c r="AF178" i="27"/>
  <c r="AM178" i="27"/>
  <c r="Y178" i="27"/>
  <c r="R178" i="27"/>
  <c r="AT178" i="27"/>
  <c r="AL317" i="27"/>
  <c r="AE317" i="27"/>
  <c r="AS317" i="27"/>
  <c r="Q317" i="27"/>
  <c r="X317" i="27"/>
  <c r="AC97" i="27"/>
  <c r="AQ97" i="27"/>
  <c r="AJ97" i="27"/>
  <c r="V97" i="27"/>
  <c r="O97" i="27"/>
  <c r="AJ340" i="27"/>
  <c r="O340" i="27"/>
  <c r="AC340" i="27"/>
  <c r="V340" i="27"/>
  <c r="AQ340" i="27"/>
  <c r="AS36" i="27"/>
  <c r="Q36" i="27"/>
  <c r="AL36" i="27"/>
  <c r="X36" i="27"/>
  <c r="AE36" i="27"/>
  <c r="AF199" i="27"/>
  <c r="AM199" i="27"/>
  <c r="Y199" i="27"/>
  <c r="AT199" i="27"/>
  <c r="R199" i="27"/>
  <c r="N109" i="27"/>
  <c r="AB109" i="27"/>
  <c r="AP109" i="27"/>
  <c r="AI109" i="27"/>
  <c r="U109" i="27"/>
  <c r="N327" i="27"/>
  <c r="AI327" i="27"/>
  <c r="U327" i="27"/>
  <c r="AP327" i="27"/>
  <c r="AB327" i="27"/>
  <c r="AR104" i="27"/>
  <c r="AK104" i="27"/>
  <c r="AD104" i="27"/>
  <c r="P104" i="27"/>
  <c r="W104" i="27"/>
  <c r="AP240" i="27"/>
  <c r="AI240" i="27"/>
  <c r="U240" i="27"/>
  <c r="AB240" i="27"/>
  <c r="N240" i="27"/>
  <c r="AT42" i="27"/>
  <c r="AF42" i="27"/>
  <c r="AM42" i="27"/>
  <c r="Y42" i="27"/>
  <c r="R42" i="27"/>
  <c r="W172" i="27"/>
  <c r="AD172" i="27"/>
  <c r="AK172" i="27"/>
  <c r="AR172" i="27"/>
  <c r="P172" i="27"/>
  <c r="AK176" i="27"/>
  <c r="AD176" i="27"/>
  <c r="W176" i="27"/>
  <c r="AR176" i="27"/>
  <c r="P176" i="27"/>
  <c r="X71" i="27"/>
  <c r="AS71" i="27"/>
  <c r="Q71" i="27"/>
  <c r="AL71" i="27"/>
  <c r="AE71" i="27"/>
  <c r="N165" i="27"/>
  <c r="AB165" i="27"/>
  <c r="AI165" i="27"/>
  <c r="AP165" i="27"/>
  <c r="U165" i="27"/>
  <c r="O291" i="27"/>
  <c r="V291" i="27"/>
  <c r="AJ291" i="27"/>
  <c r="AQ291" i="27"/>
  <c r="AC291" i="27"/>
  <c r="AT231" i="27"/>
  <c r="AM231" i="27"/>
  <c r="AF231" i="27"/>
  <c r="Y231" i="27"/>
  <c r="R231" i="27"/>
  <c r="AD115" i="27"/>
  <c r="W115" i="27"/>
  <c r="P115" i="27"/>
  <c r="AR115" i="27"/>
  <c r="AK115" i="27"/>
  <c r="R364" i="27"/>
  <c r="Y364" i="27"/>
  <c r="AT364" i="27"/>
  <c r="AF364" i="27"/>
  <c r="AM364" i="27"/>
  <c r="AR60" i="27"/>
  <c r="P60" i="27"/>
  <c r="AK60" i="27"/>
  <c r="W60" i="27"/>
  <c r="AD60" i="27"/>
  <c r="V286" i="27"/>
  <c r="AQ286" i="27"/>
  <c r="O286" i="27"/>
  <c r="AJ286" i="27"/>
  <c r="AC286" i="27"/>
  <c r="AQ218" i="27"/>
  <c r="AJ218" i="27"/>
  <c r="O218" i="27"/>
  <c r="V218" i="27"/>
  <c r="AC218" i="27"/>
  <c r="AL125" i="27"/>
  <c r="AS125" i="27"/>
  <c r="Q125" i="27"/>
  <c r="X125" i="27"/>
  <c r="AE125" i="27"/>
  <c r="Q47" i="27"/>
  <c r="AL47" i="27"/>
  <c r="AS47" i="27"/>
  <c r="AE47" i="27"/>
  <c r="X47" i="27"/>
  <c r="O348" i="27"/>
  <c r="AC348" i="27"/>
  <c r="V348" i="27"/>
  <c r="AJ348" i="27"/>
  <c r="AQ348" i="27"/>
  <c r="O186" i="27"/>
  <c r="V186" i="27"/>
  <c r="AC186" i="27"/>
  <c r="AQ186" i="27"/>
  <c r="AJ186" i="27"/>
  <c r="W351" i="27"/>
  <c r="AR351" i="27"/>
  <c r="P351" i="27"/>
  <c r="AK351" i="27"/>
  <c r="AD351" i="27"/>
  <c r="AK110" i="27"/>
  <c r="AR110" i="27"/>
  <c r="P110" i="27"/>
  <c r="AD110" i="27"/>
  <c r="W110" i="27"/>
  <c r="P84" i="27"/>
  <c r="W84" i="27"/>
  <c r="AR84" i="27"/>
  <c r="AD84" i="27"/>
  <c r="AK84" i="27"/>
  <c r="AI153" i="27"/>
  <c r="AB153" i="27"/>
  <c r="U153" i="27"/>
  <c r="AP153" i="27"/>
  <c r="N153" i="27"/>
  <c r="P252" i="27"/>
  <c r="AR252" i="27"/>
  <c r="AK252" i="27"/>
  <c r="AD252" i="27"/>
  <c r="W252" i="27"/>
  <c r="U224" i="27"/>
  <c r="AI224" i="27"/>
  <c r="AB224" i="27"/>
  <c r="N224" i="27"/>
  <c r="AP224" i="27"/>
  <c r="R24" i="27"/>
  <c r="AT24" i="27"/>
  <c r="AF24" i="27"/>
  <c r="AM24" i="27"/>
  <c r="Y24" i="27"/>
  <c r="AM32" i="27"/>
  <c r="Y32" i="27"/>
  <c r="AF32" i="27"/>
  <c r="AT32" i="27"/>
  <c r="R32" i="27"/>
  <c r="AI67" i="27"/>
  <c r="AP67" i="27"/>
  <c r="AB67" i="27"/>
  <c r="U67" i="27"/>
  <c r="N67" i="27"/>
  <c r="O48" i="27"/>
  <c r="AQ48" i="27"/>
  <c r="V48" i="27"/>
  <c r="AC48" i="27"/>
  <c r="AJ48" i="27"/>
  <c r="AJ256" i="27"/>
  <c r="AQ256" i="27"/>
  <c r="V256" i="27"/>
  <c r="AC256" i="27"/>
  <c r="O256" i="27"/>
  <c r="W125" i="27"/>
  <c r="AR125" i="27"/>
  <c r="AD125" i="27"/>
  <c r="P125" i="27"/>
  <c r="AK125" i="27"/>
  <c r="N127" i="27"/>
  <c r="AB127" i="27"/>
  <c r="AI127" i="27"/>
  <c r="AP127" i="27"/>
  <c r="U127" i="27"/>
  <c r="AQ181" i="27"/>
  <c r="O181" i="27"/>
  <c r="V181" i="27"/>
  <c r="AJ181" i="27"/>
  <c r="AC181" i="27"/>
  <c r="W146" i="27"/>
  <c r="AD146" i="27"/>
  <c r="P146" i="27"/>
  <c r="AR146" i="27"/>
  <c r="AK146" i="27"/>
  <c r="AD318" i="27"/>
  <c r="AR318" i="27"/>
  <c r="P318" i="27"/>
  <c r="W318" i="27"/>
  <c r="AK318" i="27"/>
  <c r="Q323" i="27"/>
  <c r="X323" i="27"/>
  <c r="AL323" i="27"/>
  <c r="AS323" i="27"/>
  <c r="AE323" i="27"/>
  <c r="W308" i="27"/>
  <c r="AK308" i="27"/>
  <c r="AR308" i="27"/>
  <c r="AD308" i="27"/>
  <c r="P308" i="27"/>
  <c r="W225" i="27"/>
  <c r="P225" i="27"/>
  <c r="AR225" i="27"/>
  <c r="AK225" i="27"/>
  <c r="AD225" i="27"/>
  <c r="R249" i="27"/>
  <c r="AF249" i="27"/>
  <c r="AT249" i="27"/>
  <c r="AM249" i="27"/>
  <c r="Y249" i="27"/>
  <c r="AM286" i="27"/>
  <c r="R286" i="27"/>
  <c r="AT286" i="27"/>
  <c r="AF286" i="27"/>
  <c r="Y286" i="27"/>
  <c r="O342" i="27"/>
  <c r="AJ342" i="27"/>
  <c r="AC342" i="27"/>
  <c r="V342" i="27"/>
  <c r="AQ342" i="27"/>
  <c r="R194" i="27"/>
  <c r="AT194" i="27"/>
  <c r="AM194" i="27"/>
  <c r="Y194" i="27"/>
  <c r="AF194" i="27"/>
  <c r="P237" i="27"/>
  <c r="W237" i="27"/>
  <c r="AR237" i="27"/>
  <c r="AD237" i="27"/>
  <c r="AK237" i="27"/>
  <c r="V117" i="27"/>
  <c r="AC117" i="27"/>
  <c r="AQ117" i="27"/>
  <c r="O117" i="27"/>
  <c r="AJ117" i="27"/>
  <c r="AL221" i="27"/>
  <c r="AE221" i="27"/>
  <c r="Q221" i="27"/>
  <c r="X221" i="27"/>
  <c r="AS221" i="27"/>
  <c r="AS284" i="27"/>
  <c r="AE284" i="27"/>
  <c r="X284" i="27"/>
  <c r="Q284" i="27"/>
  <c r="AL284" i="27"/>
  <c r="W62" i="27"/>
  <c r="AR62" i="27"/>
  <c r="AK62" i="27"/>
  <c r="P62" i="27"/>
  <c r="AD62" i="27"/>
  <c r="V328" i="27"/>
  <c r="AJ328" i="27"/>
  <c r="AQ328" i="27"/>
  <c r="O328" i="27"/>
  <c r="AC328" i="27"/>
  <c r="AS359" i="27"/>
  <c r="AL359" i="27"/>
  <c r="AE359" i="27"/>
  <c r="X359" i="27"/>
  <c r="Q359" i="27"/>
  <c r="W40" i="27"/>
  <c r="AK40" i="27"/>
  <c r="AD40" i="27"/>
  <c r="P40" i="27"/>
  <c r="AR40" i="27"/>
  <c r="AQ184" i="27"/>
  <c r="V184" i="27"/>
  <c r="O184" i="27"/>
  <c r="AJ184" i="27"/>
  <c r="AC184" i="27"/>
  <c r="AM23" i="27"/>
  <c r="Y23" i="27"/>
  <c r="R23" i="27"/>
  <c r="AT23" i="27"/>
  <c r="AF23" i="27"/>
  <c r="X264" i="27"/>
  <c r="Q264" i="27"/>
  <c r="AL264" i="27"/>
  <c r="AE264" i="27"/>
  <c r="AS264" i="27"/>
  <c r="O313" i="27"/>
  <c r="AQ313" i="27"/>
  <c r="AC313" i="27"/>
  <c r="V313" i="27"/>
  <c r="AJ313" i="27"/>
  <c r="R225" i="27"/>
  <c r="Y225" i="27"/>
  <c r="AF225" i="27"/>
  <c r="AT225" i="27"/>
  <c r="AM225" i="27"/>
  <c r="P183" i="27"/>
  <c r="AD183" i="27"/>
  <c r="AR183" i="27"/>
  <c r="AK183" i="27"/>
  <c r="W183" i="27"/>
  <c r="AL249" i="27"/>
  <c r="AE249" i="27"/>
  <c r="Q249" i="27"/>
  <c r="X249" i="27"/>
  <c r="AS249" i="27"/>
  <c r="AJ255" i="27"/>
  <c r="V255" i="27"/>
  <c r="O255" i="27"/>
  <c r="AQ255" i="27"/>
  <c r="AC255" i="27"/>
  <c r="AE242" i="27"/>
  <c r="AS242" i="27"/>
  <c r="X242" i="27"/>
  <c r="Q242" i="27"/>
  <c r="AL242" i="27"/>
  <c r="AP325" i="27"/>
  <c r="AB325" i="27"/>
  <c r="N325" i="27"/>
  <c r="AI325" i="27"/>
  <c r="U325" i="27"/>
  <c r="AL254" i="27"/>
  <c r="X254" i="27"/>
  <c r="Q254" i="27"/>
  <c r="AS254" i="27"/>
  <c r="AE254" i="27"/>
  <c r="Y353" i="27"/>
  <c r="AM353" i="27"/>
  <c r="AT353" i="27"/>
  <c r="R353" i="27"/>
  <c r="AF353" i="27"/>
  <c r="AD293" i="27"/>
  <c r="P293" i="27"/>
  <c r="AR293" i="27"/>
  <c r="W293" i="27"/>
  <c r="AK293" i="27"/>
  <c r="N287" i="27"/>
  <c r="AB287" i="27"/>
  <c r="U287" i="27"/>
  <c r="AP287" i="27"/>
  <c r="AI287" i="27"/>
  <c r="Y235" i="27"/>
  <c r="AM235" i="27"/>
  <c r="AF235" i="27"/>
  <c r="AT235" i="27"/>
  <c r="R235" i="27"/>
  <c r="AM330" i="27"/>
  <c r="R330" i="27"/>
  <c r="AF330" i="27"/>
  <c r="AT330" i="27"/>
  <c r="Y330" i="27"/>
  <c r="AB358" i="27"/>
  <c r="AP358" i="27"/>
  <c r="U358" i="27"/>
  <c r="N358" i="27"/>
  <c r="AI358" i="27"/>
  <c r="Q314" i="27"/>
  <c r="AE314" i="27"/>
  <c r="AS314" i="27"/>
  <c r="AL314" i="27"/>
  <c r="X314" i="27"/>
  <c r="R290" i="27"/>
  <c r="AM290" i="27"/>
  <c r="Y290" i="27"/>
  <c r="AF290" i="27"/>
  <c r="AT290" i="27"/>
  <c r="AT343" i="27"/>
  <c r="AF343" i="27"/>
  <c r="AM343" i="27"/>
  <c r="Y343" i="27"/>
  <c r="R343" i="27"/>
  <c r="AR207" i="27"/>
  <c r="W207" i="27"/>
  <c r="AD207" i="27"/>
  <c r="P207" i="27"/>
  <c r="AK207" i="27"/>
  <c r="AI346" i="27"/>
  <c r="AP346" i="27"/>
  <c r="N346" i="27"/>
  <c r="U346" i="27"/>
  <c r="AB346" i="27"/>
  <c r="N65" i="27"/>
  <c r="U65" i="27"/>
  <c r="AI65" i="27"/>
  <c r="AP65" i="27"/>
  <c r="AB65" i="27"/>
  <c r="AR142" i="27"/>
  <c r="AK142" i="27"/>
  <c r="AD142" i="27"/>
  <c r="W142" i="27"/>
  <c r="P142" i="27"/>
  <c r="AI315" i="27"/>
  <c r="AB315" i="27"/>
  <c r="N315" i="27"/>
  <c r="U315" i="27"/>
  <c r="AP315" i="27"/>
  <c r="Y265" i="27"/>
  <c r="AT265" i="27"/>
  <c r="AM265" i="27"/>
  <c r="R265" i="27"/>
  <c r="AF265" i="27"/>
  <c r="O263" i="27"/>
  <c r="AQ263" i="27"/>
  <c r="AC263" i="27"/>
  <c r="AJ263" i="27"/>
  <c r="V263" i="27"/>
  <c r="N258" i="27"/>
  <c r="U258" i="27"/>
  <c r="AI258" i="27"/>
  <c r="AB258" i="27"/>
  <c r="AP258" i="27"/>
  <c r="N159" i="27"/>
  <c r="U159" i="27"/>
  <c r="AI159" i="27"/>
  <c r="AB159" i="27"/>
  <c r="AP159" i="27"/>
  <c r="Y103" i="27"/>
  <c r="AF103" i="27"/>
  <c r="R103" i="27"/>
  <c r="AT103" i="27"/>
  <c r="AM103" i="27"/>
  <c r="Q195" i="27"/>
  <c r="X195" i="27"/>
  <c r="AS195" i="27"/>
  <c r="AL195" i="27"/>
  <c r="AE195" i="27"/>
  <c r="P170" i="27"/>
  <c r="AD170" i="27"/>
  <c r="W170" i="27"/>
  <c r="AK170" i="27"/>
  <c r="AR170" i="27"/>
  <c r="Q272" i="27"/>
  <c r="AS272" i="27"/>
  <c r="X272" i="27"/>
  <c r="AE272" i="27"/>
  <c r="AL272" i="27"/>
  <c r="AT29" i="27"/>
  <c r="AF29" i="27"/>
  <c r="Y29" i="27"/>
  <c r="R29" i="27"/>
  <c r="AM29" i="27"/>
  <c r="AT15" i="27"/>
  <c r="AF15" i="27"/>
  <c r="Y15" i="27"/>
  <c r="R15" i="27"/>
  <c r="AM15" i="27"/>
  <c r="AB184" i="27"/>
  <c r="N184" i="27"/>
  <c r="AI184" i="27"/>
  <c r="AP184" i="27"/>
  <c r="U184" i="27"/>
  <c r="AF318" i="27"/>
  <c r="AT318" i="27"/>
  <c r="R318" i="27"/>
  <c r="AM318" i="27"/>
  <c r="Y318" i="27"/>
  <c r="N163" i="27"/>
  <c r="AI163" i="27"/>
  <c r="AP163" i="27"/>
  <c r="U163" i="27"/>
  <c r="AB163" i="27"/>
  <c r="N123" i="27"/>
  <c r="AP123" i="27"/>
  <c r="AI123" i="27"/>
  <c r="U123" i="27"/>
  <c r="AB123" i="27"/>
  <c r="AF334" i="27"/>
  <c r="Y334" i="27"/>
  <c r="R334" i="27"/>
  <c r="AM334" i="27"/>
  <c r="AT334" i="27"/>
  <c r="AK284" i="27"/>
  <c r="W284" i="27"/>
  <c r="P284" i="27"/>
  <c r="AD284" i="27"/>
  <c r="AR284" i="27"/>
  <c r="P365" i="27"/>
  <c r="W365" i="27"/>
  <c r="AR365" i="27"/>
  <c r="AD365" i="27"/>
  <c r="AK365" i="27"/>
  <c r="AJ324" i="27"/>
  <c r="V324" i="27"/>
  <c r="AQ324" i="27"/>
  <c r="AC324" i="27"/>
  <c r="O324" i="27"/>
  <c r="AT304" i="27"/>
  <c r="R304" i="27"/>
  <c r="Y304" i="27"/>
  <c r="AM304" i="27"/>
  <c r="AF304" i="27"/>
  <c r="Q152" i="27"/>
  <c r="AS152" i="27"/>
  <c r="AE152" i="27"/>
  <c r="AL152" i="27"/>
  <c r="X152" i="27"/>
  <c r="AK50" i="27"/>
  <c r="P50" i="27"/>
  <c r="AD50" i="27"/>
  <c r="W50" i="27"/>
  <c r="AR50" i="27"/>
  <c r="V84" i="27"/>
  <c r="O84" i="27"/>
  <c r="AC84" i="27"/>
  <c r="AQ84" i="27"/>
  <c r="AJ84" i="27"/>
  <c r="V363" i="27"/>
  <c r="O363" i="27"/>
  <c r="AQ363" i="27"/>
  <c r="AC363" i="27"/>
  <c r="AJ363" i="27"/>
  <c r="Y213" i="27"/>
  <c r="R213" i="27"/>
  <c r="AT213" i="27"/>
  <c r="AF213" i="27"/>
  <c r="AM213" i="27"/>
  <c r="U226" i="27"/>
  <c r="AP226" i="27"/>
  <c r="N226" i="27"/>
  <c r="AI226" i="27"/>
  <c r="AB226" i="27"/>
  <c r="AM27" i="27"/>
  <c r="AF27" i="27"/>
  <c r="Y27" i="27"/>
  <c r="R27" i="27"/>
  <c r="AT27" i="27"/>
  <c r="AD8" i="27"/>
  <c r="W8" i="27"/>
  <c r="P8" i="27"/>
  <c r="AR8" i="27"/>
  <c r="AK8" i="27"/>
  <c r="AI37" i="27"/>
  <c r="N37" i="27"/>
  <c r="AB37" i="27"/>
  <c r="AP37" i="27"/>
  <c r="U37" i="27"/>
  <c r="V85" i="27"/>
  <c r="O85" i="27"/>
  <c r="AJ85" i="27"/>
  <c r="AC85" i="27"/>
  <c r="AQ85" i="27"/>
  <c r="O45" i="27"/>
  <c r="V45" i="27"/>
  <c r="AQ45" i="27"/>
  <c r="AC45" i="27"/>
  <c r="AJ45" i="27"/>
  <c r="AF161" i="27"/>
  <c r="R161" i="27"/>
  <c r="AT161" i="27"/>
  <c r="AM161" i="27"/>
  <c r="Y161" i="27"/>
  <c r="AK301" i="27"/>
  <c r="W301" i="27"/>
  <c r="P301" i="27"/>
  <c r="AD301" i="27"/>
  <c r="AR301" i="27"/>
  <c r="U77" i="27"/>
  <c r="N77" i="27"/>
  <c r="AP77" i="27"/>
  <c r="AI77" i="27"/>
  <c r="AB77" i="27"/>
  <c r="AE308" i="27"/>
  <c r="Q308" i="27"/>
  <c r="AL308" i="27"/>
  <c r="AS308" i="27"/>
  <c r="X308" i="27"/>
  <c r="AS118" i="27"/>
  <c r="AE118" i="27"/>
  <c r="X118" i="27"/>
  <c r="Q118" i="27"/>
  <c r="AL118" i="27"/>
  <c r="AR327" i="27"/>
  <c r="P327" i="27"/>
  <c r="W327" i="27"/>
  <c r="AK327" i="27"/>
  <c r="AD327" i="27"/>
  <c r="AQ284" i="27"/>
  <c r="AJ284" i="27"/>
  <c r="AC284" i="27"/>
  <c r="V284" i="27"/>
  <c r="O284" i="27"/>
  <c r="Y267" i="27"/>
  <c r="AT267" i="27"/>
  <c r="R267" i="27"/>
  <c r="AM267" i="27"/>
  <c r="AF267" i="27"/>
  <c r="R121" i="27"/>
  <c r="Y121" i="27"/>
  <c r="AT121" i="27"/>
  <c r="AM121" i="27"/>
  <c r="AF121" i="27"/>
  <c r="AP232" i="27"/>
  <c r="N232" i="27"/>
  <c r="AB232" i="27"/>
  <c r="U232" i="27"/>
  <c r="AI232" i="27"/>
  <c r="AI8" i="27"/>
  <c r="N8" i="27"/>
  <c r="U8" i="27"/>
  <c r="AB8" i="27"/>
  <c r="AP8" i="27"/>
  <c r="P113" i="27"/>
  <c r="AR113" i="27"/>
  <c r="AD113" i="27"/>
  <c r="W113" i="27"/>
  <c r="AK113" i="27"/>
  <c r="Q302" i="27"/>
  <c r="AS302" i="27"/>
  <c r="X302" i="27"/>
  <c r="AE302" i="27"/>
  <c r="AL302" i="27"/>
  <c r="AM162" i="27"/>
  <c r="AT162" i="27"/>
  <c r="Y162" i="27"/>
  <c r="AF162" i="27"/>
  <c r="R162" i="27"/>
  <c r="N7" i="27"/>
  <c r="U7" i="27"/>
  <c r="AP7" i="27"/>
  <c r="AI7" i="27"/>
  <c r="AB7" i="27"/>
  <c r="AJ298" i="27"/>
  <c r="AC298" i="27"/>
  <c r="O298" i="27"/>
  <c r="V298" i="27"/>
  <c r="AQ298" i="27"/>
  <c r="AP196" i="27"/>
  <c r="AB196" i="27"/>
  <c r="U196" i="27"/>
  <c r="N196" i="27"/>
  <c r="AI196" i="27"/>
  <c r="AT102" i="27"/>
  <c r="R102" i="27"/>
  <c r="AM102" i="27"/>
  <c r="Y102" i="27"/>
  <c r="AF102" i="27"/>
  <c r="O280" i="27"/>
  <c r="AJ280" i="27"/>
  <c r="AQ280" i="27"/>
  <c r="V280" i="27"/>
  <c r="AC280" i="27"/>
  <c r="AF317" i="27"/>
  <c r="Y317" i="27"/>
  <c r="R317" i="27"/>
  <c r="AT317" i="27"/>
  <c r="AM317" i="27"/>
  <c r="AR189" i="27"/>
  <c r="AK189" i="27"/>
  <c r="AD189" i="27"/>
  <c r="P189" i="27"/>
  <c r="W189" i="27"/>
  <c r="X281" i="27"/>
  <c r="AL281" i="27"/>
  <c r="AE281" i="27"/>
  <c r="AS281" i="27"/>
  <c r="Q281" i="27"/>
  <c r="P300" i="27"/>
  <c r="AK300" i="27"/>
  <c r="AR300" i="27"/>
  <c r="W300" i="27"/>
  <c r="AD300" i="27"/>
  <c r="AM356" i="27"/>
  <c r="Y356" i="27"/>
  <c r="AF356" i="27"/>
  <c r="AT356" i="27"/>
  <c r="R356" i="27"/>
  <c r="AR276" i="27"/>
  <c r="W276" i="27"/>
  <c r="AK276" i="27"/>
  <c r="AD276" i="27"/>
  <c r="P276" i="27"/>
  <c r="AB161" i="27"/>
  <c r="U161" i="27"/>
  <c r="AI161" i="27"/>
  <c r="N161" i="27"/>
  <c r="AP161" i="27"/>
  <c r="AM63" i="27"/>
  <c r="Y63" i="27"/>
  <c r="AF63" i="27"/>
  <c r="R63" i="27"/>
  <c r="AT63" i="27"/>
  <c r="AP210" i="27"/>
  <c r="U210" i="27"/>
  <c r="AB210" i="27"/>
  <c r="AI210" i="27"/>
  <c r="N210" i="27"/>
  <c r="R89" i="27"/>
  <c r="Y89" i="27"/>
  <c r="AM89" i="27"/>
  <c r="AT89" i="27"/>
  <c r="AF89" i="27"/>
  <c r="AE194" i="27"/>
  <c r="AL194" i="27"/>
  <c r="AS194" i="27"/>
  <c r="Q194" i="27"/>
  <c r="X194" i="27"/>
  <c r="O119" i="27"/>
  <c r="AJ119" i="27"/>
  <c r="AQ119" i="27"/>
  <c r="V119" i="27"/>
  <c r="AC119" i="27"/>
  <c r="AC111" i="27"/>
  <c r="O111" i="27"/>
  <c r="V111" i="27"/>
  <c r="AJ111" i="27"/>
  <c r="AQ111" i="27"/>
  <c r="AK239" i="27"/>
  <c r="P239" i="27"/>
  <c r="AD239" i="27"/>
  <c r="W239" i="27"/>
  <c r="AR239" i="27"/>
  <c r="AT206" i="27"/>
  <c r="R206" i="27"/>
  <c r="AM206" i="27"/>
  <c r="AF206" i="27"/>
  <c r="Y206" i="27"/>
  <c r="AT37" i="27"/>
  <c r="R37" i="27"/>
  <c r="AM37" i="27"/>
  <c r="AF37" i="27"/>
  <c r="Y37" i="27"/>
  <c r="AE74" i="27"/>
  <c r="Q74" i="27"/>
  <c r="AS74" i="27"/>
  <c r="AJ8" i="23"/>
  <c r="AL74" i="27"/>
  <c r="X74" i="27"/>
  <c r="AI34" i="27"/>
  <c r="AP34" i="27"/>
  <c r="U34" i="27"/>
  <c r="AB34" i="27"/>
  <c r="N34" i="27"/>
  <c r="AM224" i="27"/>
  <c r="Y224" i="27"/>
  <c r="AF224" i="27"/>
  <c r="R224" i="27"/>
  <c r="AT224" i="27"/>
  <c r="U243" i="27"/>
  <c r="AP243" i="27"/>
  <c r="AI243" i="27"/>
  <c r="N243" i="27"/>
  <c r="AB243" i="27"/>
  <c r="AF175" i="27"/>
  <c r="AM175" i="27"/>
  <c r="AT175" i="27"/>
  <c r="Y175" i="27"/>
  <c r="R175" i="27"/>
  <c r="X54" i="27"/>
  <c r="AE54" i="27"/>
  <c r="AL54" i="27"/>
  <c r="Q54" i="27"/>
  <c r="AS54" i="27"/>
  <c r="AD136" i="27"/>
  <c r="P136" i="27"/>
  <c r="AR136" i="27"/>
  <c r="AK136" i="27"/>
  <c r="W136" i="27"/>
  <c r="AI272" i="27"/>
  <c r="AB272" i="27"/>
  <c r="U272" i="27"/>
  <c r="AP272" i="27"/>
  <c r="N272" i="27"/>
  <c r="Q220" i="27"/>
  <c r="X220" i="27"/>
  <c r="AS220" i="27"/>
  <c r="AL220" i="27"/>
  <c r="AE220" i="27"/>
  <c r="R279" i="27"/>
  <c r="AF279" i="27"/>
  <c r="AT279" i="27"/>
  <c r="Y279" i="27"/>
  <c r="AM279" i="27"/>
  <c r="V287" i="27"/>
  <c r="AQ287" i="27"/>
  <c r="O287" i="27"/>
  <c r="AJ287" i="27"/>
  <c r="AC287" i="27"/>
  <c r="P350" i="27"/>
  <c r="W350" i="27"/>
  <c r="AD350" i="27"/>
  <c r="AR350" i="27"/>
  <c r="AK350" i="27"/>
  <c r="V71" i="27"/>
  <c r="AC71" i="27"/>
  <c r="O71" i="27"/>
  <c r="AJ71" i="27"/>
  <c r="AQ71" i="27"/>
  <c r="AI68" i="27"/>
  <c r="U68" i="27"/>
  <c r="N68" i="27"/>
  <c r="AB68" i="27"/>
  <c r="AP68" i="27"/>
  <c r="AF203" i="27"/>
  <c r="Y203" i="27"/>
  <c r="AM203" i="27"/>
  <c r="AT203" i="27"/>
  <c r="R203" i="27"/>
  <c r="O28" i="27"/>
  <c r="AJ28" i="27"/>
  <c r="AC28" i="27"/>
  <c r="AQ28" i="27"/>
  <c r="V28" i="27"/>
  <c r="AT179" i="27"/>
  <c r="Y179" i="27"/>
  <c r="R179" i="27"/>
  <c r="AF179" i="27"/>
  <c r="AM179" i="27"/>
  <c r="AC107" i="27"/>
  <c r="AJ107" i="27"/>
  <c r="V107" i="27"/>
  <c r="AQ107" i="27"/>
  <c r="O107" i="27"/>
  <c r="R79" i="27"/>
  <c r="AF79" i="27"/>
  <c r="AT79" i="27"/>
  <c r="AM79" i="27"/>
  <c r="Y79" i="27"/>
  <c r="AC16" i="27"/>
  <c r="AQ16" i="27"/>
  <c r="O16" i="27"/>
  <c r="AJ16" i="27"/>
  <c r="V16" i="27"/>
  <c r="AJ42" i="27"/>
  <c r="AQ42" i="27"/>
  <c r="O42" i="27"/>
  <c r="AC42" i="27"/>
  <c r="V42" i="27"/>
  <c r="Y43" i="27"/>
  <c r="R43" i="27"/>
  <c r="AF43" i="27"/>
  <c r="AM43" i="27"/>
  <c r="AT43" i="27"/>
  <c r="P257" i="27"/>
  <c r="AR257" i="27"/>
  <c r="AD257" i="27"/>
  <c r="AK257" i="27"/>
  <c r="W257" i="27"/>
  <c r="AT307" i="27"/>
  <c r="AM307" i="27"/>
  <c r="Y307" i="27"/>
  <c r="R307" i="27"/>
  <c r="AF307" i="27"/>
  <c r="AI87" i="27"/>
  <c r="AP87" i="27"/>
  <c r="N87" i="27"/>
  <c r="AB87" i="27"/>
  <c r="U87" i="27"/>
  <c r="N193" i="27"/>
  <c r="AP193" i="27"/>
  <c r="AI193" i="27"/>
  <c r="AB193" i="27"/>
  <c r="U193" i="27"/>
  <c r="N216" i="27"/>
  <c r="AP216" i="27"/>
  <c r="AI216" i="27"/>
  <c r="AB216" i="27"/>
  <c r="U216" i="27"/>
  <c r="AK330" i="27"/>
  <c r="P330" i="27"/>
  <c r="AD330" i="27"/>
  <c r="AR330" i="27"/>
  <c r="W330" i="27"/>
  <c r="AE173" i="27"/>
  <c r="AL173" i="27"/>
  <c r="Q173" i="27"/>
  <c r="X173" i="27"/>
  <c r="AS173" i="27"/>
  <c r="Y191" i="27"/>
  <c r="AT191" i="27"/>
  <c r="AF191" i="27"/>
  <c r="AM191" i="27"/>
  <c r="R191" i="27"/>
  <c r="AK69" i="27"/>
  <c r="AD69" i="27"/>
  <c r="AI7" i="23"/>
  <c r="W69" i="27"/>
  <c r="AR69" i="27"/>
  <c r="P69" i="27"/>
  <c r="AS108" i="27"/>
  <c r="AL108" i="27"/>
  <c r="X108" i="27"/>
  <c r="Q108" i="27"/>
  <c r="AE108" i="27"/>
  <c r="P65" i="27"/>
  <c r="W65" i="27"/>
  <c r="AR65" i="27"/>
  <c r="AD65" i="27"/>
  <c r="AK65" i="27"/>
  <c r="AM310" i="27"/>
  <c r="AT310" i="27"/>
  <c r="AF310" i="27"/>
  <c r="R310" i="27"/>
  <c r="Y310" i="27"/>
  <c r="AM48" i="27"/>
  <c r="AF48" i="27"/>
  <c r="R48" i="27"/>
  <c r="AT48" i="27"/>
  <c r="Y48" i="27"/>
  <c r="AQ24" i="27"/>
  <c r="O24" i="27"/>
  <c r="V24" i="27"/>
  <c r="AC24" i="27"/>
  <c r="AJ24" i="27"/>
  <c r="O309" i="27"/>
  <c r="V309" i="27"/>
  <c r="AQ309" i="27"/>
  <c r="AJ309" i="27"/>
  <c r="AC309" i="27"/>
  <c r="Y38" i="27"/>
  <c r="AM38" i="27"/>
  <c r="AF38" i="27"/>
  <c r="AT38" i="27"/>
  <c r="R38" i="27"/>
  <c r="AC142" i="27"/>
  <c r="V142" i="27"/>
  <c r="AQ142" i="27"/>
  <c r="AJ142" i="27"/>
  <c r="O142" i="27"/>
  <c r="AS293" i="27"/>
  <c r="AL293" i="27"/>
  <c r="AE293" i="27"/>
  <c r="X293" i="27"/>
  <c r="Q293" i="27"/>
  <c r="O267" i="27"/>
  <c r="AC267" i="27"/>
  <c r="AQ267" i="27"/>
  <c r="V267" i="27"/>
  <c r="AJ267" i="27"/>
  <c r="W7" i="27"/>
  <c r="P7" i="27"/>
  <c r="AR7" i="27"/>
  <c r="AK7" i="27"/>
  <c r="AD7" i="27"/>
  <c r="AC93" i="27"/>
  <c r="AJ93" i="27"/>
  <c r="O93" i="27"/>
  <c r="AQ93" i="27"/>
  <c r="V93" i="27"/>
  <c r="Y117" i="27"/>
  <c r="AM117" i="27"/>
  <c r="R117" i="27"/>
  <c r="AT117" i="27"/>
  <c r="AF117" i="27"/>
  <c r="AL31" i="27"/>
  <c r="Q31" i="27"/>
  <c r="AS31" i="27"/>
  <c r="AE31" i="27"/>
  <c r="X31" i="27"/>
  <c r="U188" i="27"/>
  <c r="N188" i="27"/>
  <c r="AB188" i="27"/>
  <c r="AP188" i="27"/>
  <c r="AI188" i="27"/>
  <c r="AJ103" i="27"/>
  <c r="AC103" i="27"/>
  <c r="O103" i="27"/>
  <c r="V103" i="27"/>
  <c r="AQ103" i="27"/>
  <c r="AJ7" i="27"/>
  <c r="AC7" i="27"/>
  <c r="O7" i="27"/>
  <c r="AQ7" i="27"/>
  <c r="V7" i="27"/>
  <c r="AE196" i="27"/>
  <c r="Q196" i="27"/>
  <c r="AS196" i="27"/>
  <c r="X196" i="27"/>
  <c r="AL196" i="27"/>
  <c r="AF96" i="27"/>
  <c r="AT96" i="27"/>
  <c r="AM96" i="27"/>
  <c r="Y96" i="27"/>
  <c r="R96" i="27"/>
  <c r="AD71" i="27"/>
  <c r="AR71" i="27"/>
  <c r="AK71" i="27"/>
  <c r="W71" i="27"/>
  <c r="P71" i="27"/>
  <c r="X58" i="27"/>
  <c r="AS58" i="27"/>
  <c r="Q58" i="27"/>
  <c r="AL58" i="27"/>
  <c r="AE58" i="27"/>
  <c r="AS140" i="27"/>
  <c r="AL140" i="27"/>
  <c r="X140" i="27"/>
  <c r="Q140" i="27"/>
  <c r="AE140" i="27"/>
  <c r="V243" i="27"/>
  <c r="O243" i="27"/>
  <c r="AQ243" i="27"/>
  <c r="AC243" i="27"/>
  <c r="AJ243" i="27"/>
  <c r="W22" i="27"/>
  <c r="AD22" i="27"/>
  <c r="P22" i="27"/>
  <c r="AR22" i="27"/>
  <c r="AK22" i="27"/>
  <c r="AM333" i="27"/>
  <c r="AT333" i="27"/>
  <c r="Y333" i="27"/>
  <c r="AF333" i="27"/>
  <c r="R333" i="27"/>
  <c r="W214" i="27"/>
  <c r="AD214" i="27"/>
  <c r="P214" i="27"/>
  <c r="AR214" i="27"/>
  <c r="AK214" i="27"/>
  <c r="AE244" i="27"/>
  <c r="X244" i="27"/>
  <c r="Q244" i="27"/>
  <c r="AL244" i="27"/>
  <c r="AS244" i="27"/>
  <c r="AC254" i="27"/>
  <c r="AQ254" i="27"/>
  <c r="O254" i="27"/>
  <c r="AJ254" i="27"/>
  <c r="V254" i="27"/>
  <c r="AQ145" i="27"/>
  <c r="AJ145" i="27"/>
  <c r="O145" i="27"/>
  <c r="V145" i="27"/>
  <c r="AC145" i="27"/>
  <c r="AJ334" i="27"/>
  <c r="O334" i="27"/>
  <c r="AC334" i="27"/>
  <c r="AQ334" i="27"/>
  <c r="V334" i="27"/>
  <c r="AR267" i="27"/>
  <c r="P267" i="27"/>
  <c r="W267" i="27"/>
  <c r="AK267" i="27"/>
  <c r="AD267" i="27"/>
  <c r="AK93" i="27"/>
  <c r="P93" i="27"/>
  <c r="W93" i="27"/>
  <c r="AD93" i="27"/>
  <c r="AR93" i="27"/>
  <c r="AJ144" i="27"/>
  <c r="V144" i="27"/>
  <c r="O144" i="27"/>
  <c r="AQ144" i="27"/>
  <c r="AC144" i="27"/>
  <c r="V158" i="27"/>
  <c r="AC158" i="27"/>
  <c r="O158" i="27"/>
  <c r="AJ158" i="27"/>
  <c r="AQ158" i="27"/>
  <c r="Y339" i="27"/>
  <c r="AM339" i="27"/>
  <c r="AT339" i="27"/>
  <c r="R339" i="27"/>
  <c r="AF339" i="27"/>
  <c r="R113" i="27"/>
  <c r="AT113" i="27"/>
  <c r="Y113" i="27"/>
  <c r="AF113" i="27"/>
  <c r="AM113" i="27"/>
  <c r="AC352" i="27"/>
  <c r="V352" i="27"/>
  <c r="AJ352" i="27"/>
  <c r="O352" i="27"/>
  <c r="AQ352" i="27"/>
  <c r="AT323" i="27"/>
  <c r="AF323" i="27"/>
  <c r="AM323" i="27"/>
  <c r="Y323" i="27"/>
  <c r="R323" i="27"/>
  <c r="AP120" i="27"/>
  <c r="AB120" i="27"/>
  <c r="U120" i="27"/>
  <c r="AI120" i="27"/>
  <c r="N120" i="27"/>
  <c r="AJ262" i="27"/>
  <c r="V262" i="27"/>
  <c r="O262" i="27"/>
  <c r="AQ262" i="27"/>
  <c r="AC262" i="27"/>
  <c r="U292" i="27"/>
  <c r="N292" i="27"/>
  <c r="AP292" i="27"/>
  <c r="AB292" i="27"/>
  <c r="AI292" i="27"/>
  <c r="R350" i="27"/>
  <c r="AF350" i="27"/>
  <c r="Y350" i="27"/>
  <c r="AT350" i="27"/>
  <c r="AM350" i="27"/>
  <c r="V6" i="27"/>
  <c r="AJ6" i="27"/>
  <c r="AQ6" i="27"/>
  <c r="AC6" i="27"/>
  <c r="O6" i="27"/>
  <c r="O302" i="27"/>
  <c r="V302" i="27"/>
  <c r="AQ302" i="27"/>
  <c r="AJ302" i="27"/>
  <c r="AC302" i="27"/>
  <c r="P228" i="27"/>
  <c r="AR228" i="27"/>
  <c r="W228" i="27"/>
  <c r="AK228" i="27"/>
  <c r="AD228" i="27"/>
  <c r="AK280" i="27"/>
  <c r="W280" i="27"/>
  <c r="AD280" i="27"/>
  <c r="AR280" i="27"/>
  <c r="P280" i="27"/>
  <c r="U151" i="27"/>
  <c r="AB151" i="27"/>
  <c r="N151" i="27"/>
  <c r="AP151" i="27"/>
  <c r="AI151" i="27"/>
  <c r="V228" i="27"/>
  <c r="AJ228" i="27"/>
  <c r="AC228" i="27"/>
  <c r="AQ228" i="27"/>
  <c r="O228" i="27"/>
  <c r="AK119" i="27"/>
  <c r="P119" i="27"/>
  <c r="AR119" i="27"/>
  <c r="W119" i="27"/>
  <c r="AD119" i="27"/>
  <c r="AT47" i="27"/>
  <c r="AM47" i="27"/>
  <c r="AF47" i="27"/>
  <c r="Y47" i="27"/>
  <c r="R47" i="27"/>
  <c r="W139" i="27"/>
  <c r="P139" i="27"/>
  <c r="AD139" i="27"/>
  <c r="AR139" i="27"/>
  <c r="AK139" i="27"/>
  <c r="AD265" i="27"/>
  <c r="P265" i="27"/>
  <c r="AK265" i="27"/>
  <c r="W265" i="27"/>
  <c r="AR265" i="27"/>
  <c r="U219" i="27"/>
  <c r="N219" i="27"/>
  <c r="AB219" i="27"/>
  <c r="AI219" i="27"/>
  <c r="AP219" i="27"/>
  <c r="AJ126" i="27"/>
  <c r="V126" i="27"/>
  <c r="AC126" i="27"/>
  <c r="AQ126" i="27"/>
  <c r="O126" i="27"/>
  <c r="AM185" i="27"/>
  <c r="R185" i="27"/>
  <c r="AT185" i="27"/>
  <c r="Y185" i="27"/>
  <c r="AF185" i="27"/>
  <c r="AB115" i="27"/>
  <c r="U115" i="27"/>
  <c r="AP115" i="27"/>
  <c r="N115" i="27"/>
  <c r="AI115" i="27"/>
  <c r="AQ225" i="27"/>
  <c r="AJ225" i="27"/>
  <c r="AC225" i="27"/>
  <c r="V225" i="27"/>
  <c r="O225" i="27"/>
  <c r="AQ67" i="27"/>
  <c r="AJ67" i="27"/>
  <c r="O67" i="27"/>
  <c r="AC67" i="27"/>
  <c r="V67" i="27"/>
  <c r="AR328" i="27"/>
  <c r="AK328" i="27"/>
  <c r="W328" i="27"/>
  <c r="AD328" i="27"/>
  <c r="P328" i="27"/>
  <c r="U48" i="27"/>
  <c r="AP48" i="27"/>
  <c r="AB48" i="27"/>
  <c r="AI48" i="27"/>
  <c r="N48" i="27"/>
  <c r="AI22" i="27"/>
  <c r="AB22" i="27"/>
  <c r="U22" i="27"/>
  <c r="N22" i="27"/>
  <c r="AP22" i="27"/>
  <c r="AD128" i="27"/>
  <c r="P128" i="27"/>
  <c r="AK128" i="27"/>
  <c r="W128" i="27"/>
  <c r="AR128" i="27"/>
  <c r="AK246" i="27"/>
  <c r="P246" i="27"/>
  <c r="W246" i="27"/>
  <c r="AD246" i="27"/>
  <c r="AR246" i="27"/>
  <c r="AB182" i="27"/>
  <c r="U182" i="27"/>
  <c r="N182" i="27"/>
  <c r="AP182" i="27"/>
  <c r="AI182" i="27"/>
  <c r="AE181" i="27"/>
  <c r="Q181" i="27"/>
  <c r="AL181" i="27"/>
  <c r="X181" i="27"/>
  <c r="AS181" i="27"/>
  <c r="AK356" i="27"/>
  <c r="P356" i="27"/>
  <c r="W356" i="27"/>
  <c r="AD356" i="27"/>
  <c r="AR356" i="27"/>
  <c r="AI333" i="27"/>
  <c r="AP333" i="27"/>
  <c r="U333" i="27"/>
  <c r="AB333" i="27"/>
  <c r="N333" i="27"/>
  <c r="N103" i="27"/>
  <c r="AP103" i="27"/>
  <c r="U103" i="27"/>
  <c r="AB103" i="27"/>
  <c r="AI103" i="27"/>
  <c r="W114" i="27"/>
  <c r="AD114" i="27"/>
  <c r="AK114" i="27"/>
  <c r="AR114" i="27"/>
  <c r="P114" i="27"/>
  <c r="AF362" i="27"/>
  <c r="R362" i="27"/>
  <c r="AM362" i="27"/>
  <c r="Y362" i="27"/>
  <c r="AT362" i="27"/>
  <c r="R223" i="27"/>
  <c r="AM223" i="27"/>
  <c r="AF223" i="27"/>
  <c r="AT223" i="27"/>
  <c r="Y223" i="27"/>
  <c r="W168" i="27"/>
  <c r="AK168" i="27"/>
  <c r="P168" i="27"/>
  <c r="AD168" i="27"/>
  <c r="AR168" i="27"/>
  <c r="AF294" i="27"/>
  <c r="Y294" i="27"/>
  <c r="AT294" i="27"/>
  <c r="AM294" i="27"/>
  <c r="R294" i="27"/>
  <c r="N281" i="27"/>
  <c r="U281" i="27"/>
  <c r="AP281" i="27"/>
  <c r="AI281" i="27"/>
  <c r="AB281" i="27"/>
  <c r="AP349" i="27"/>
  <c r="AI349" i="27"/>
  <c r="AB349" i="27"/>
  <c r="N349" i="27"/>
  <c r="U349" i="27"/>
  <c r="AB189" i="27"/>
  <c r="AP189" i="27"/>
  <c r="AI189" i="27"/>
  <c r="N189" i="27"/>
  <c r="U189" i="27"/>
  <c r="AM219" i="27"/>
  <c r="DA219" i="27" s="1"/>
  <c r="R219" i="27"/>
  <c r="AT219" i="27"/>
  <c r="Y219" i="27"/>
  <c r="AF219" i="27"/>
  <c r="AE192" i="27"/>
  <c r="Q192" i="27"/>
  <c r="AS192" i="27"/>
  <c r="AL192" i="27"/>
  <c r="X192" i="27"/>
  <c r="Q164" i="27"/>
  <c r="X164" i="27"/>
  <c r="AS164" i="27"/>
  <c r="AE164" i="27"/>
  <c r="AL164" i="27"/>
  <c r="V54" i="27"/>
  <c r="AQ54" i="27"/>
  <c r="AJ54" i="27"/>
  <c r="O54" i="27"/>
  <c r="AC54" i="27"/>
  <c r="AM95" i="27"/>
  <c r="AF95" i="27"/>
  <c r="Y95" i="27"/>
  <c r="AK11" i="23"/>
  <c r="R95" i="27"/>
  <c r="AT95" i="27"/>
  <c r="R300" i="27"/>
  <c r="AF300" i="27"/>
  <c r="AM300" i="27"/>
  <c r="AT300" i="27"/>
  <c r="Y300" i="27"/>
  <c r="AC29" i="27"/>
  <c r="V29" i="27"/>
  <c r="O29" i="27"/>
  <c r="AQ29" i="27"/>
  <c r="AJ29" i="27"/>
  <c r="AR51" i="27"/>
  <c r="W51" i="27"/>
  <c r="P51" i="27"/>
  <c r="AD51" i="27"/>
  <c r="AK51" i="27"/>
  <c r="AS202" i="27"/>
  <c r="Q202" i="27"/>
  <c r="X202" i="27"/>
  <c r="AE202" i="27"/>
  <c r="AL202" i="27"/>
  <c r="AK331" i="27"/>
  <c r="AR331" i="27"/>
  <c r="P331" i="27"/>
  <c r="W331" i="27"/>
  <c r="AD331" i="27"/>
  <c r="N309" i="27"/>
  <c r="AI309" i="27"/>
  <c r="AP309" i="27"/>
  <c r="U309" i="27"/>
  <c r="AB309" i="27"/>
  <c r="AT272" i="27"/>
  <c r="FC272" i="27" s="1"/>
  <c r="R272" i="27"/>
  <c r="AM272" i="27"/>
  <c r="AF272" i="27"/>
  <c r="Y272" i="27"/>
  <c r="Q295" i="27"/>
  <c r="AS295" i="27"/>
  <c r="AE295" i="27"/>
  <c r="X295" i="27"/>
  <c r="AL295" i="27"/>
  <c r="AJ337" i="27"/>
  <c r="O337" i="27"/>
  <c r="V337" i="27"/>
  <c r="AQ337" i="27"/>
  <c r="AC337" i="27"/>
  <c r="U274" i="27"/>
  <c r="AP274" i="27"/>
  <c r="AI274" i="27"/>
  <c r="AB274" i="27"/>
  <c r="N274" i="27"/>
  <c r="O124" i="27"/>
  <c r="AC124" i="27"/>
  <c r="AJ124" i="27"/>
  <c r="V124" i="27"/>
  <c r="AQ124" i="27"/>
  <c r="AJ120" i="27"/>
  <c r="AC120" i="27"/>
  <c r="O120" i="27"/>
  <c r="V120" i="27"/>
  <c r="AQ120" i="27"/>
  <c r="AQ69" i="27"/>
  <c r="AJ69" i="27"/>
  <c r="AC69" i="27"/>
  <c r="O69" i="27"/>
  <c r="V69" i="27"/>
  <c r="O78" i="27"/>
  <c r="AQ78" i="27"/>
  <c r="AJ78" i="27"/>
  <c r="AC78" i="27"/>
  <c r="V78" i="27"/>
  <c r="AJ36" i="27"/>
  <c r="V36" i="27"/>
  <c r="AQ36" i="27"/>
  <c r="AC36" i="27"/>
  <c r="O36" i="27"/>
  <c r="O271" i="27"/>
  <c r="V271" i="27"/>
  <c r="AQ271" i="27"/>
  <c r="AJ271" i="27"/>
  <c r="AC271" i="27"/>
  <c r="AF201" i="27"/>
  <c r="AT201" i="27"/>
  <c r="R201" i="27"/>
  <c r="AM201" i="27"/>
  <c r="Y201" i="27"/>
  <c r="AP245" i="27"/>
  <c r="AI245" i="27"/>
  <c r="AB245" i="27"/>
  <c r="N245" i="27"/>
  <c r="U245" i="27"/>
  <c r="U241" i="27"/>
  <c r="AP241" i="27"/>
  <c r="N241" i="27"/>
  <c r="AI241" i="27"/>
  <c r="AB241" i="27"/>
  <c r="AT261" i="27"/>
  <c r="AF261" i="27"/>
  <c r="R261" i="27"/>
  <c r="AM261" i="27"/>
  <c r="Y261" i="27"/>
  <c r="AK217" i="27"/>
  <c r="AR217" i="27"/>
  <c r="W217" i="27"/>
  <c r="AD217" i="27"/>
  <c r="P217" i="27"/>
  <c r="AQ206" i="27"/>
  <c r="AC206" i="27"/>
  <c r="AJ206" i="27"/>
  <c r="O206" i="27"/>
  <c r="V206" i="27"/>
  <c r="AR236" i="27"/>
  <c r="AK236" i="27"/>
  <c r="AD236" i="27"/>
  <c r="P236" i="27"/>
  <c r="W236" i="27"/>
  <c r="U195" i="27"/>
  <c r="AP195" i="27"/>
  <c r="AB195" i="27"/>
  <c r="AI195" i="27"/>
  <c r="N195" i="27"/>
  <c r="AS10" i="27"/>
  <c r="X10" i="27"/>
  <c r="Q10" i="27"/>
  <c r="AL10" i="27"/>
  <c r="AE10" i="27"/>
  <c r="AC94" i="27"/>
  <c r="V94" i="27"/>
  <c r="O94" i="27"/>
  <c r="AJ94" i="27"/>
  <c r="AQ94" i="27"/>
  <c r="AM232" i="27"/>
  <c r="Y232" i="27"/>
  <c r="AT232" i="27"/>
  <c r="AF232" i="27"/>
  <c r="R232" i="27"/>
  <c r="X51" i="27"/>
  <c r="AS51" i="27"/>
  <c r="AE51" i="27"/>
  <c r="Q51" i="27"/>
  <c r="AL51" i="27"/>
  <c r="AS285" i="27"/>
  <c r="Q285" i="27"/>
  <c r="AE285" i="27"/>
  <c r="AL285" i="27"/>
  <c r="X285" i="27"/>
  <c r="R193" i="27"/>
  <c r="AF193" i="27"/>
  <c r="Y193" i="27"/>
  <c r="AT193" i="27"/>
  <c r="AM193" i="27"/>
  <c r="AM239" i="27"/>
  <c r="R239" i="27"/>
  <c r="AF239" i="27"/>
  <c r="AT239" i="27"/>
  <c r="Y239" i="27"/>
  <c r="AM240" i="27"/>
  <c r="AT240" i="27"/>
  <c r="Y240" i="27"/>
  <c r="AF240" i="27"/>
  <c r="R240" i="27"/>
  <c r="Y293" i="27"/>
  <c r="AT293" i="27"/>
  <c r="AM293" i="27"/>
  <c r="R293" i="27"/>
  <c r="AF293" i="27"/>
  <c r="AK49" i="27"/>
  <c r="W49" i="27"/>
  <c r="AD49" i="27"/>
  <c r="AI5" i="23"/>
  <c r="P49" i="27"/>
  <c r="AR49" i="27"/>
  <c r="O272" i="27"/>
  <c r="V272" i="27"/>
  <c r="AJ272" i="27"/>
  <c r="AC272" i="27"/>
  <c r="AQ272" i="27"/>
  <c r="X233" i="27"/>
  <c r="AE233" i="27"/>
  <c r="AS233" i="27"/>
  <c r="AL233" i="27"/>
  <c r="Q233" i="27"/>
  <c r="P45" i="27"/>
  <c r="AK45" i="27"/>
  <c r="W45" i="27"/>
  <c r="AD45" i="27"/>
  <c r="AR45" i="27"/>
  <c r="AB116" i="27"/>
  <c r="U116" i="27"/>
  <c r="N116" i="27"/>
  <c r="AI116" i="27"/>
  <c r="AP116" i="27"/>
  <c r="AI271" i="27"/>
  <c r="U271" i="27"/>
  <c r="AP271" i="27"/>
  <c r="N271" i="27"/>
  <c r="AB271" i="27"/>
  <c r="AC251" i="27"/>
  <c r="AQ251" i="27"/>
  <c r="O251" i="27"/>
  <c r="AJ251" i="27"/>
  <c r="V251" i="27"/>
  <c r="U171" i="27"/>
  <c r="AI171" i="27"/>
  <c r="AB171" i="27"/>
  <c r="N171" i="27"/>
  <c r="AP171" i="27"/>
  <c r="U228" i="27"/>
  <c r="N228" i="27"/>
  <c r="AP228" i="27"/>
  <c r="AB228" i="27"/>
  <c r="AI228" i="27"/>
  <c r="AC212" i="27"/>
  <c r="AJ212" i="27"/>
  <c r="O212" i="27"/>
  <c r="AQ212" i="27"/>
  <c r="V212" i="27"/>
  <c r="AF108" i="27"/>
  <c r="Y108" i="27"/>
  <c r="AT108" i="27"/>
  <c r="AM108" i="27"/>
  <c r="R108" i="27"/>
  <c r="AD362" i="27"/>
  <c r="P362" i="27"/>
  <c r="AK362" i="27"/>
  <c r="W362" i="27"/>
  <c r="AR362" i="27"/>
  <c r="AR272" i="27"/>
  <c r="W272" i="27"/>
  <c r="AD272" i="27"/>
  <c r="AK272" i="27"/>
  <c r="P272" i="27"/>
  <c r="AC341" i="27"/>
  <c r="V341" i="27"/>
  <c r="AJ341" i="27"/>
  <c r="O341" i="27"/>
  <c r="AQ341" i="27"/>
  <c r="Y275" i="27"/>
  <c r="AT275" i="27"/>
  <c r="R275" i="27"/>
  <c r="AF275" i="27"/>
  <c r="AM275" i="27"/>
  <c r="AK90" i="27"/>
  <c r="AD90" i="27"/>
  <c r="W90" i="27"/>
  <c r="AR90" i="27"/>
  <c r="P90" i="27"/>
  <c r="P163" i="27"/>
  <c r="AR163" i="27"/>
  <c r="AK163" i="27"/>
  <c r="AD163" i="27"/>
  <c r="W163" i="27"/>
  <c r="AP230" i="27"/>
  <c r="AI230" i="27"/>
  <c r="N230" i="27"/>
  <c r="U230" i="27"/>
  <c r="AB230" i="27"/>
  <c r="W95" i="27"/>
  <c r="P95" i="27"/>
  <c r="AD95" i="27"/>
  <c r="AR95" i="27"/>
  <c r="AI11" i="23"/>
  <c r="AK95" i="27"/>
  <c r="Q305" i="27"/>
  <c r="AL305" i="27"/>
  <c r="X305" i="27"/>
  <c r="AE305" i="27"/>
  <c r="AS305" i="27"/>
  <c r="AK229" i="27"/>
  <c r="P229" i="27"/>
  <c r="AD229" i="27"/>
  <c r="AR229" i="27"/>
  <c r="W229" i="27"/>
  <c r="U231" i="27"/>
  <c r="AB231" i="27"/>
  <c r="N231" i="27"/>
  <c r="AP231" i="27"/>
  <c r="AI231" i="27"/>
  <c r="X112" i="27"/>
  <c r="Q112" i="27"/>
  <c r="AE112" i="27"/>
  <c r="AS112" i="27"/>
  <c r="AL112" i="27"/>
  <c r="X219" i="27"/>
  <c r="Q219" i="27"/>
  <c r="AE219" i="27"/>
  <c r="AL219" i="27"/>
  <c r="AS219" i="27"/>
  <c r="AE199" i="27"/>
  <c r="X199" i="27"/>
  <c r="AL199" i="27"/>
  <c r="AS199" i="27"/>
  <c r="Q199" i="27"/>
  <c r="AP118" i="27"/>
  <c r="AI118" i="27"/>
  <c r="AB118" i="27"/>
  <c r="U118" i="27"/>
  <c r="N118" i="27"/>
  <c r="W254" i="27"/>
  <c r="AD254" i="27"/>
  <c r="AK254" i="27"/>
  <c r="P254" i="27"/>
  <c r="AR254" i="27"/>
  <c r="U338" i="27"/>
  <c r="AB338" i="27"/>
  <c r="AP338" i="27"/>
  <c r="AI338" i="27"/>
  <c r="N338" i="27"/>
  <c r="AI40" i="27"/>
  <c r="AB40" i="27"/>
  <c r="U40" i="27"/>
  <c r="AP40" i="27"/>
  <c r="N40" i="27"/>
  <c r="Q358" i="27"/>
  <c r="X358" i="27"/>
  <c r="AE358" i="27"/>
  <c r="AS358" i="27"/>
  <c r="AL358" i="27"/>
  <c r="P177" i="27"/>
  <c r="AR177" i="27"/>
  <c r="W177" i="27"/>
  <c r="AD177" i="27"/>
  <c r="AK177" i="27"/>
  <c r="AJ41" i="27"/>
  <c r="O41" i="27"/>
  <c r="AQ41" i="27"/>
  <c r="AC41" i="27"/>
  <c r="V41" i="27"/>
  <c r="AI112" i="27"/>
  <c r="N112" i="27"/>
  <c r="AB112" i="27"/>
  <c r="AP112" i="27"/>
  <c r="U112" i="27"/>
  <c r="AJ20" i="27"/>
  <c r="AQ20" i="27"/>
  <c r="V20" i="27"/>
  <c r="O20" i="27"/>
  <c r="AC20" i="27"/>
  <c r="AF289" i="27"/>
  <c r="AT289" i="27"/>
  <c r="R289" i="27"/>
  <c r="AM289" i="27"/>
  <c r="Y289" i="27"/>
  <c r="AP124" i="27"/>
  <c r="U124" i="27"/>
  <c r="N124" i="27"/>
  <c r="AB124" i="27"/>
  <c r="AI124" i="27"/>
  <c r="U328" i="27"/>
  <c r="N328" i="27"/>
  <c r="AB328" i="27"/>
  <c r="AI328" i="27"/>
  <c r="AP328" i="27"/>
  <c r="V14" i="27"/>
  <c r="AQ14" i="27"/>
  <c r="O14" i="27"/>
  <c r="AJ14" i="27"/>
  <c r="AC14" i="27"/>
  <c r="U313" i="27"/>
  <c r="AB313" i="27"/>
  <c r="N313" i="27"/>
  <c r="AI313" i="27"/>
  <c r="AP313" i="27"/>
  <c r="X160" i="27"/>
  <c r="AS160" i="27"/>
  <c r="AL160" i="27"/>
  <c r="Q160" i="27"/>
  <c r="AE160" i="27"/>
  <c r="N218" i="27"/>
  <c r="AI218" i="27"/>
  <c r="AB218" i="27"/>
  <c r="AP218" i="27"/>
  <c r="U218" i="27"/>
  <c r="AK227" i="27"/>
  <c r="W227" i="27"/>
  <c r="P227" i="27"/>
  <c r="AD227" i="27"/>
  <c r="AR227" i="27"/>
  <c r="AB146" i="27"/>
  <c r="N146" i="27"/>
  <c r="U146" i="27"/>
  <c r="AI146" i="27"/>
  <c r="AP146" i="27"/>
  <c r="AF124" i="27"/>
  <c r="Y124" i="27"/>
  <c r="AT124" i="27"/>
  <c r="R124" i="27"/>
  <c r="AM124" i="27"/>
  <c r="O332" i="27"/>
  <c r="AJ332" i="27"/>
  <c r="AC332" i="27"/>
  <c r="V332" i="27"/>
  <c r="AQ332" i="27"/>
  <c r="AI342" i="27"/>
  <c r="AP342" i="27"/>
  <c r="N342" i="27"/>
  <c r="U342" i="27"/>
  <c r="AB342" i="27"/>
  <c r="AL211" i="27"/>
  <c r="AS211" i="27"/>
  <c r="AE211" i="27"/>
  <c r="X211" i="27"/>
  <c r="Q211" i="27"/>
  <c r="AB47" i="27"/>
  <c r="AP47" i="27"/>
  <c r="U47" i="27"/>
  <c r="AI47" i="27"/>
  <c r="N47" i="27"/>
  <c r="AP360" i="27"/>
  <c r="AB360" i="27"/>
  <c r="AI360" i="27"/>
  <c r="U360" i="27"/>
  <c r="N360" i="27"/>
  <c r="O339" i="27"/>
  <c r="AJ339" i="27"/>
  <c r="AQ339" i="27"/>
  <c r="V339" i="27"/>
  <c r="AC339" i="27"/>
  <c r="AC227" i="27"/>
  <c r="AQ227" i="27"/>
  <c r="AJ227" i="27"/>
  <c r="O227" i="27"/>
  <c r="V227" i="27"/>
  <c r="AI138" i="27"/>
  <c r="AB138" i="27"/>
  <c r="AP138" i="27"/>
  <c r="N138" i="27"/>
  <c r="U138" i="27"/>
  <c r="AM204" i="27"/>
  <c r="AF204" i="27"/>
  <c r="AT204" i="27"/>
  <c r="Y204" i="27"/>
  <c r="R204" i="27"/>
  <c r="AT306" i="27"/>
  <c r="AF306" i="27"/>
  <c r="Y306" i="27"/>
  <c r="R306" i="27"/>
  <c r="AM306" i="27"/>
  <c r="AL299" i="27"/>
  <c r="AS299" i="27"/>
  <c r="X299" i="27"/>
  <c r="Q299" i="27"/>
  <c r="AE299" i="27"/>
  <c r="AL88" i="27"/>
  <c r="X88" i="27"/>
  <c r="Q88" i="27"/>
  <c r="AS88" i="27"/>
  <c r="AE88" i="27"/>
  <c r="AP50" i="27"/>
  <c r="AI50" i="27"/>
  <c r="U50" i="27"/>
  <c r="N50" i="27"/>
  <c r="AB50" i="27"/>
  <c r="Y90" i="27"/>
  <c r="AM90" i="27"/>
  <c r="AF90" i="27"/>
  <c r="R90" i="27"/>
  <c r="AT90" i="27"/>
  <c r="AD319" i="27"/>
  <c r="W319" i="27"/>
  <c r="P319" i="27"/>
  <c r="AR319" i="27"/>
  <c r="AK319" i="27"/>
  <c r="AE174" i="27"/>
  <c r="AS174" i="27"/>
  <c r="X174" i="27"/>
  <c r="Q174" i="27"/>
  <c r="AL174" i="27"/>
  <c r="N114" i="27"/>
  <c r="AP114" i="27"/>
  <c r="AI114" i="27"/>
  <c r="U114" i="27"/>
  <c r="AB114" i="27"/>
  <c r="W337" i="27"/>
  <c r="AR337" i="27"/>
  <c r="AD337" i="27"/>
  <c r="P337" i="27"/>
  <c r="AK337" i="27"/>
  <c r="P145" i="27"/>
  <c r="AK145" i="27"/>
  <c r="AR145" i="27"/>
  <c r="AD145" i="27"/>
  <c r="W145" i="27"/>
  <c r="AE238" i="27"/>
  <c r="AS238" i="27"/>
  <c r="AL238" i="27"/>
  <c r="Q238" i="27"/>
  <c r="X238" i="27"/>
  <c r="W174" i="27"/>
  <c r="AK174" i="27"/>
  <c r="P174" i="27"/>
  <c r="AD174" i="27"/>
  <c r="AR174" i="27"/>
  <c r="AT41" i="27"/>
  <c r="AF41" i="27"/>
  <c r="AM41" i="27"/>
  <c r="Y41" i="27"/>
  <c r="R41" i="27"/>
  <c r="O220" i="27"/>
  <c r="AQ220" i="27"/>
  <c r="V220" i="27"/>
  <c r="AJ220" i="27"/>
  <c r="AC220" i="27"/>
  <c r="R241" i="27"/>
  <c r="Y241" i="27"/>
  <c r="AF241" i="27"/>
  <c r="AT241" i="27"/>
  <c r="AM241" i="27"/>
  <c r="AE343" i="27"/>
  <c r="AL343" i="27"/>
  <c r="Q343" i="27"/>
  <c r="X343" i="27"/>
  <c r="AS343" i="27"/>
  <c r="AE104" i="27"/>
  <c r="AS104" i="27"/>
  <c r="Q104" i="27"/>
  <c r="X104" i="27"/>
  <c r="AL104" i="27"/>
  <c r="R141" i="27"/>
  <c r="Y141" i="27"/>
  <c r="AF141" i="27"/>
  <c r="AM141" i="27"/>
  <c r="AT141" i="27"/>
  <c r="AE301" i="27"/>
  <c r="AS301" i="27"/>
  <c r="X301" i="27"/>
  <c r="AL301" i="27"/>
  <c r="Q301" i="27"/>
  <c r="O112" i="27"/>
  <c r="AJ112" i="27"/>
  <c r="AC112" i="27"/>
  <c r="AQ112" i="27"/>
  <c r="V112" i="27"/>
  <c r="O56" i="27"/>
  <c r="AJ56" i="27"/>
  <c r="AC56" i="27"/>
  <c r="AQ56" i="27"/>
  <c r="V56" i="27"/>
  <c r="AL165" i="27"/>
  <c r="AE165" i="27"/>
  <c r="Q165" i="27"/>
  <c r="AS165" i="27"/>
  <c r="X165" i="27"/>
  <c r="AP282" i="27"/>
  <c r="N282" i="27"/>
  <c r="U282" i="27"/>
  <c r="AI282" i="27"/>
  <c r="AB282" i="27"/>
  <c r="Q99" i="27"/>
  <c r="X99" i="27"/>
  <c r="AL99" i="27"/>
  <c r="AE99" i="27"/>
  <c r="AS99" i="27"/>
  <c r="U129" i="27"/>
  <c r="N129" i="27"/>
  <c r="AB129" i="27"/>
  <c r="AI129" i="27"/>
  <c r="AP129" i="27"/>
  <c r="AL17" i="27"/>
  <c r="AS17" i="27"/>
  <c r="Q17" i="27"/>
  <c r="AE17" i="27"/>
  <c r="X17" i="27"/>
  <c r="AF320" i="27"/>
  <c r="Y320" i="27"/>
  <c r="R320" i="27"/>
  <c r="AT320" i="27"/>
  <c r="AM320" i="27"/>
  <c r="AD28" i="27"/>
  <c r="AR28" i="27"/>
  <c r="P28" i="27"/>
  <c r="W28" i="27"/>
  <c r="AK28" i="27"/>
  <c r="AT282" i="27"/>
  <c r="Y282" i="27"/>
  <c r="AF282" i="27"/>
  <c r="AM282" i="27"/>
  <c r="R282" i="27"/>
  <c r="AM303" i="27"/>
  <c r="Y303" i="27"/>
  <c r="AT303" i="27"/>
  <c r="AF303" i="27"/>
  <c r="R303" i="27"/>
  <c r="N63" i="27"/>
  <c r="U63" i="27"/>
  <c r="AI63" i="27"/>
  <c r="AP63" i="27"/>
  <c r="AB63" i="27"/>
  <c r="AJ325" i="27"/>
  <c r="V325" i="27"/>
  <c r="O325" i="27"/>
  <c r="AC325" i="27"/>
  <c r="AQ325" i="27"/>
  <c r="P123" i="27"/>
  <c r="W123" i="27"/>
  <c r="AR123" i="27"/>
  <c r="AK123" i="27"/>
  <c r="AD123" i="27"/>
  <c r="X26" i="27"/>
  <c r="Q26" i="27"/>
  <c r="AL26" i="27"/>
  <c r="AE26" i="27"/>
  <c r="AS26" i="27"/>
  <c r="Y150" i="27"/>
  <c r="AF150" i="27"/>
  <c r="R150" i="27"/>
  <c r="AT150" i="27"/>
  <c r="AM150" i="27"/>
  <c r="AC365" i="27"/>
  <c r="V365" i="27"/>
  <c r="AQ365" i="27"/>
  <c r="AJ365" i="27"/>
  <c r="O365" i="27"/>
  <c r="AL179" i="27"/>
  <c r="AS179" i="27"/>
  <c r="Q179" i="27"/>
  <c r="AE179" i="27"/>
  <c r="X179" i="27"/>
  <c r="AJ9" i="23"/>
  <c r="AS82" i="27"/>
  <c r="AL82" i="27"/>
  <c r="AE82" i="27"/>
  <c r="Q82" i="27"/>
  <c r="X82" i="27"/>
  <c r="W355" i="27"/>
  <c r="P355" i="27"/>
  <c r="AD355" i="27"/>
  <c r="AK355" i="27"/>
  <c r="AR355" i="27"/>
  <c r="AC320" i="27"/>
  <c r="O320" i="27"/>
  <c r="V320" i="27"/>
  <c r="AQ320" i="27"/>
  <c r="AJ320" i="27"/>
  <c r="AF347" i="27"/>
  <c r="Y347" i="27"/>
  <c r="R347" i="27"/>
  <c r="AM347" i="27"/>
  <c r="AT347" i="27"/>
  <c r="X338" i="27"/>
  <c r="Q338" i="27"/>
  <c r="AS338" i="27"/>
  <c r="AL338" i="27"/>
  <c r="AE338" i="27"/>
  <c r="AP80" i="27"/>
  <c r="AI80" i="27"/>
  <c r="U80" i="27"/>
  <c r="AB80" i="27"/>
  <c r="N80" i="27"/>
  <c r="Y154" i="27"/>
  <c r="R154" i="27"/>
  <c r="AM154" i="27"/>
  <c r="AT154" i="27"/>
  <c r="AF154" i="27"/>
  <c r="V270" i="27"/>
  <c r="AJ270" i="27"/>
  <c r="AC270" i="27"/>
  <c r="AQ270" i="27"/>
  <c r="O270" i="27"/>
  <c r="R301" i="27"/>
  <c r="AT301" i="27"/>
  <c r="Y301" i="27"/>
  <c r="AM301" i="27"/>
  <c r="AF301" i="27"/>
  <c r="O11" i="27"/>
  <c r="V11" i="27"/>
  <c r="AC11" i="27"/>
  <c r="AQ11" i="27"/>
  <c r="AJ11" i="27"/>
  <c r="V247" i="27"/>
  <c r="AC247" i="27"/>
  <c r="AJ247" i="27"/>
  <c r="O247" i="27"/>
  <c r="AQ247" i="27"/>
  <c r="AE348" i="27"/>
  <c r="AS348" i="27"/>
  <c r="AL348" i="27"/>
  <c r="X348" i="27"/>
  <c r="Q348" i="27"/>
  <c r="AP318" i="27"/>
  <c r="U318" i="27"/>
  <c r="N318" i="27"/>
  <c r="AB318" i="27"/>
  <c r="AI318" i="27"/>
  <c r="R181" i="27"/>
  <c r="AF181" i="27"/>
  <c r="AM181" i="27"/>
  <c r="Y181" i="27"/>
  <c r="AT181" i="27"/>
  <c r="AE33" i="27"/>
  <c r="X33" i="27"/>
  <c r="Q33" i="27"/>
  <c r="AS33" i="27"/>
  <c r="AL33" i="27"/>
  <c r="AP122" i="27"/>
  <c r="AB122" i="27"/>
  <c r="AI122" i="27"/>
  <c r="N122" i="27"/>
  <c r="U122" i="27"/>
  <c r="P286" i="27"/>
  <c r="AR286" i="27"/>
  <c r="AK286" i="27"/>
  <c r="AD286" i="27"/>
  <c r="W286" i="27"/>
  <c r="AM138" i="27"/>
  <c r="AF138" i="27"/>
  <c r="Y138" i="27"/>
  <c r="AT138" i="27"/>
  <c r="R138" i="27"/>
  <c r="AB200" i="27"/>
  <c r="N200" i="27"/>
  <c r="AP200" i="27"/>
  <c r="AI200" i="27"/>
  <c r="U200" i="27"/>
  <c r="AQ187" i="27"/>
  <c r="O187" i="27"/>
  <c r="AC187" i="27"/>
  <c r="V187" i="27"/>
  <c r="AJ187" i="27"/>
  <c r="AJ50" i="27"/>
  <c r="AC50" i="27"/>
  <c r="O50" i="27"/>
  <c r="V50" i="27"/>
  <c r="AQ50" i="27"/>
  <c r="U332" i="27"/>
  <c r="AI332" i="27"/>
  <c r="AB332" i="27"/>
  <c r="AP332" i="27"/>
  <c r="N332" i="27"/>
  <c r="AE256" i="27"/>
  <c r="AL256" i="27"/>
  <c r="Q256" i="27"/>
  <c r="AS256" i="27"/>
  <c r="X256" i="27"/>
  <c r="AT72" i="27"/>
  <c r="R72" i="27"/>
  <c r="Y72" i="27"/>
  <c r="AM72" i="27"/>
  <c r="AF72" i="27"/>
  <c r="P277" i="27"/>
  <c r="AK277" i="27"/>
  <c r="AR277" i="27"/>
  <c r="W277" i="27"/>
  <c r="AD277" i="27"/>
  <c r="AD219" i="27"/>
  <c r="W219" i="27"/>
  <c r="AR219" i="27"/>
  <c r="AK219" i="27"/>
  <c r="P219" i="27"/>
  <c r="AP176" i="27"/>
  <c r="U176" i="27"/>
  <c r="AI176" i="27"/>
  <c r="N176" i="27"/>
  <c r="AB176" i="27"/>
  <c r="AD195" i="27"/>
  <c r="W195" i="27"/>
  <c r="AK195" i="27"/>
  <c r="AR195" i="27"/>
  <c r="P195" i="27"/>
  <c r="AL11" i="27"/>
  <c r="X11" i="27"/>
  <c r="AE11" i="27"/>
  <c r="Q11" i="27"/>
  <c r="AS11" i="27"/>
  <c r="AP347" i="27"/>
  <c r="AI347" i="27"/>
  <c r="AB347" i="27"/>
  <c r="U347" i="27"/>
  <c r="N347" i="27"/>
  <c r="AF186" i="27"/>
  <c r="AM186" i="27"/>
  <c r="Y186" i="27"/>
  <c r="AT186" i="27"/>
  <c r="R186" i="27"/>
  <c r="AI252" i="27"/>
  <c r="AB252" i="27"/>
  <c r="AP252" i="27"/>
  <c r="N252" i="27"/>
  <c r="U252" i="27"/>
  <c r="AK201" i="27"/>
  <c r="W201" i="27"/>
  <c r="AR201" i="27"/>
  <c r="P201" i="27"/>
  <c r="AD201" i="27"/>
  <c r="Y85" i="27"/>
  <c r="AT85" i="27"/>
  <c r="AM85" i="27"/>
  <c r="R85" i="27"/>
  <c r="AF85" i="27"/>
  <c r="U317" i="27"/>
  <c r="AB317" i="27"/>
  <c r="N317" i="27"/>
  <c r="AP317" i="27"/>
  <c r="AI317" i="27"/>
  <c r="AL63" i="27"/>
  <c r="AE63" i="27"/>
  <c r="AS63" i="27"/>
  <c r="Q63" i="27"/>
  <c r="X63" i="27"/>
  <c r="X89" i="27"/>
  <c r="AS89" i="27"/>
  <c r="AE89" i="27"/>
  <c r="Q89" i="27"/>
  <c r="AL89" i="27"/>
  <c r="AK37" i="27"/>
  <c r="AR37" i="27"/>
  <c r="AD37" i="27"/>
  <c r="P37" i="27"/>
  <c r="W37" i="27"/>
  <c r="U130" i="27"/>
  <c r="N130" i="27"/>
  <c r="AB130" i="27"/>
  <c r="AP130" i="27"/>
  <c r="AI130" i="27"/>
  <c r="AJ183" i="27"/>
  <c r="AC183" i="27"/>
  <c r="O183" i="27"/>
  <c r="AQ183" i="27"/>
  <c r="V183" i="27"/>
  <c r="X250" i="27"/>
  <c r="AS250" i="27"/>
  <c r="AL250" i="27"/>
  <c r="AE250" i="27"/>
  <c r="Q250" i="27"/>
  <c r="AJ347" i="27"/>
  <c r="AC347" i="27"/>
  <c r="V347" i="27"/>
  <c r="O347" i="27"/>
  <c r="AQ347" i="27"/>
  <c r="AQ323" i="27"/>
  <c r="AJ323" i="27"/>
  <c r="AC323" i="27"/>
  <c r="V323" i="27"/>
  <c r="O323" i="27"/>
  <c r="N56" i="27"/>
  <c r="U56" i="27"/>
  <c r="AI56" i="27"/>
  <c r="AP56" i="27"/>
  <c r="AB56" i="27"/>
  <c r="O283" i="27"/>
  <c r="AJ283" i="27"/>
  <c r="AC283" i="27"/>
  <c r="V283" i="27"/>
  <c r="AQ283" i="27"/>
  <c r="W73" i="27"/>
  <c r="AR73" i="27"/>
  <c r="AK73" i="27"/>
  <c r="AD73" i="27"/>
  <c r="P73" i="27"/>
  <c r="AC87" i="27"/>
  <c r="V87" i="27"/>
  <c r="O87" i="27"/>
  <c r="AQ87" i="27"/>
  <c r="AJ87" i="27"/>
  <c r="AF8" i="27"/>
  <c r="Y8" i="27"/>
  <c r="AT8" i="27"/>
  <c r="AM8" i="27"/>
  <c r="R8" i="27"/>
  <c r="AL122" i="27"/>
  <c r="AS122" i="27"/>
  <c r="AE122" i="27"/>
  <c r="X122" i="27"/>
  <c r="Q122" i="27"/>
  <c r="AB53" i="27"/>
  <c r="U53" i="27"/>
  <c r="N53" i="27"/>
  <c r="AP53" i="27"/>
  <c r="AI53" i="27"/>
  <c r="AR285" i="27"/>
  <c r="W285" i="27"/>
  <c r="AD285" i="27"/>
  <c r="AK285" i="27"/>
  <c r="P285" i="27"/>
  <c r="AQ64" i="27"/>
  <c r="AC64" i="27"/>
  <c r="V64" i="27"/>
  <c r="O64" i="27"/>
  <c r="AJ64" i="27"/>
  <c r="AL248" i="27"/>
  <c r="AS248" i="27"/>
  <c r="AE248" i="27"/>
  <c r="X248" i="27"/>
  <c r="Q248" i="27"/>
  <c r="AM31" i="27"/>
  <c r="Y31" i="27"/>
  <c r="AF31" i="27"/>
  <c r="AT31" i="27"/>
  <c r="R31" i="27"/>
  <c r="AL94" i="27"/>
  <c r="AS94" i="27"/>
  <c r="AE94" i="27"/>
  <c r="Q94" i="27"/>
  <c r="X94" i="27"/>
  <c r="AS273" i="27"/>
  <c r="AE273" i="27"/>
  <c r="X273" i="27"/>
  <c r="AL273" i="27"/>
  <c r="Q273" i="27"/>
  <c r="X156" i="27"/>
  <c r="AL156" i="27"/>
  <c r="AS156" i="27"/>
  <c r="Q156" i="27"/>
  <c r="AE156" i="27"/>
  <c r="R7" i="27"/>
  <c r="AF7" i="27"/>
  <c r="AT7" i="27"/>
  <c r="Y7" i="27"/>
  <c r="AM7" i="27"/>
  <c r="O168" i="27"/>
  <c r="AC168" i="27"/>
  <c r="V168" i="27"/>
  <c r="AJ168" i="27"/>
  <c r="AQ168" i="27"/>
  <c r="U170" i="27"/>
  <c r="N170" i="27"/>
  <c r="AI170" i="27"/>
  <c r="AB170" i="27"/>
  <c r="AP170" i="27"/>
  <c r="AI194" i="27"/>
  <c r="AP194" i="27"/>
  <c r="U194" i="27"/>
  <c r="AB194" i="27"/>
  <c r="N194" i="27"/>
  <c r="AQ333" i="27"/>
  <c r="AJ333" i="27"/>
  <c r="O333" i="27"/>
  <c r="V333" i="27"/>
  <c r="AC333" i="27"/>
  <c r="AR262" i="27"/>
  <c r="W262" i="27"/>
  <c r="AK262" i="27"/>
  <c r="AD262" i="27"/>
  <c r="P262" i="27"/>
  <c r="AI204" i="27"/>
  <c r="AB204" i="27"/>
  <c r="AP204" i="27"/>
  <c r="N204" i="27"/>
  <c r="U204" i="27"/>
  <c r="X20" i="27"/>
  <c r="Q20" i="27"/>
  <c r="AL20" i="27"/>
  <c r="AE20" i="27"/>
  <c r="AS20" i="27"/>
  <c r="Y171" i="27"/>
  <c r="AF171" i="27"/>
  <c r="AM171" i="27"/>
  <c r="AT171" i="27"/>
  <c r="R171" i="27"/>
  <c r="AQ115" i="27"/>
  <c r="V115" i="27"/>
  <c r="AJ115" i="27"/>
  <c r="O115" i="27"/>
  <c r="AC115" i="27"/>
  <c r="R305" i="27"/>
  <c r="AM305" i="27"/>
  <c r="AT305" i="27"/>
  <c r="AF305" i="27"/>
  <c r="Y305" i="27"/>
  <c r="AT208" i="27"/>
  <c r="AF208" i="27"/>
  <c r="AM208" i="27"/>
  <c r="Y208" i="27"/>
  <c r="R208" i="27"/>
  <c r="AS222" i="27"/>
  <c r="AL222" i="27"/>
  <c r="AE222" i="27"/>
  <c r="X222" i="27"/>
  <c r="Q222" i="27"/>
  <c r="AB319" i="27"/>
  <c r="AP319" i="27"/>
  <c r="AI319" i="27"/>
  <c r="U319" i="27"/>
  <c r="N319" i="27"/>
  <c r="Q73" i="27"/>
  <c r="AE73" i="27"/>
  <c r="AS73" i="27"/>
  <c r="X73" i="27"/>
  <c r="AL73" i="27"/>
  <c r="AS327" i="27"/>
  <c r="AL327" i="27"/>
  <c r="AE327" i="27"/>
  <c r="Q327" i="27"/>
  <c r="X327" i="27"/>
  <c r="N57" i="27"/>
  <c r="U57" i="27"/>
  <c r="AB57" i="27"/>
  <c r="AI57" i="27"/>
  <c r="AP57" i="27"/>
  <c r="Q124" i="27"/>
  <c r="AE124" i="27"/>
  <c r="AL124" i="27"/>
  <c r="GS124" i="27" s="1"/>
  <c r="X124" i="27"/>
  <c r="AS124" i="27"/>
  <c r="AT18" i="27"/>
  <c r="AF18" i="27"/>
  <c r="AM18" i="27"/>
  <c r="Y18" i="27"/>
  <c r="R18" i="27"/>
  <c r="Y26" i="27"/>
  <c r="AT26" i="27"/>
  <c r="R26" i="27"/>
  <c r="AF26" i="27"/>
  <c r="AM26" i="27"/>
  <c r="AF297" i="27"/>
  <c r="R297" i="27"/>
  <c r="AT297" i="27"/>
  <c r="Y297" i="27"/>
  <c r="AM297" i="27"/>
  <c r="P153" i="27"/>
  <c r="AR153" i="27"/>
  <c r="AD153" i="27"/>
  <c r="AK153" i="27"/>
  <c r="W153" i="27"/>
  <c r="Q19" i="27"/>
  <c r="X19" i="27"/>
  <c r="AL19" i="27"/>
  <c r="AE19" i="27"/>
  <c r="AS19" i="27"/>
  <c r="AB64" i="27"/>
  <c r="AP64" i="27"/>
  <c r="U64" i="27"/>
  <c r="N64" i="27"/>
  <c r="AI64" i="27"/>
  <c r="AP201" i="27"/>
  <c r="N201" i="27"/>
  <c r="AB201" i="27"/>
  <c r="U201" i="27"/>
  <c r="AI201" i="27"/>
  <c r="Q246" i="27"/>
  <c r="X246" i="27"/>
  <c r="AL246" i="27"/>
  <c r="AS246" i="27"/>
  <c r="AE246" i="27"/>
  <c r="AM80" i="27"/>
  <c r="AF80" i="27"/>
  <c r="Y80" i="27"/>
  <c r="R80" i="27"/>
  <c r="AT80" i="27"/>
  <c r="AP54" i="27"/>
  <c r="AI54" i="27"/>
  <c r="U54" i="27"/>
  <c r="AB54" i="27"/>
  <c r="N54" i="27"/>
  <c r="Q263" i="27"/>
  <c r="AS263" i="27"/>
  <c r="X263" i="27"/>
  <c r="AE263" i="27"/>
  <c r="AL263" i="27"/>
  <c r="U143" i="27"/>
  <c r="N143" i="27"/>
  <c r="AI143" i="27"/>
  <c r="AB143" i="27"/>
  <c r="AP143" i="27"/>
  <c r="AF39" i="27"/>
  <c r="AT39" i="27"/>
  <c r="R39" i="27"/>
  <c r="AM39" i="27"/>
  <c r="Y39" i="27"/>
  <c r="AL106" i="27"/>
  <c r="AE106" i="27"/>
  <c r="X106" i="27"/>
  <c r="AS106" i="27"/>
  <c r="Q106" i="27"/>
  <c r="V38" i="27"/>
  <c r="AQ38" i="27"/>
  <c r="AJ38" i="27"/>
  <c r="O38" i="27"/>
  <c r="AC38" i="27"/>
  <c r="V46" i="27"/>
  <c r="O46" i="27"/>
  <c r="AQ46" i="27"/>
  <c r="AJ46" i="27"/>
  <c r="AC46" i="27"/>
  <c r="P182" i="27"/>
  <c r="AR182" i="27"/>
  <c r="AD182" i="27"/>
  <c r="W182" i="27"/>
  <c r="AK182" i="27"/>
  <c r="Q25" i="27"/>
  <c r="X25" i="27"/>
  <c r="AS25" i="27"/>
  <c r="AE25" i="27"/>
  <c r="AL25" i="27"/>
  <c r="R251" i="27"/>
  <c r="AF251" i="27"/>
  <c r="AM251" i="27"/>
  <c r="Y251" i="27"/>
  <c r="AT251" i="27"/>
  <c r="AL55" i="27"/>
  <c r="AE55" i="27"/>
  <c r="Q55" i="27"/>
  <c r="X55" i="27"/>
  <c r="AS55" i="27"/>
  <c r="AE37" i="27"/>
  <c r="AS37" i="27"/>
  <c r="AL37" i="27"/>
  <c r="Q37" i="27"/>
  <c r="X37" i="27"/>
  <c r="AJ351" i="27"/>
  <c r="AQ351" i="27"/>
  <c r="V351" i="27"/>
  <c r="O351" i="27"/>
  <c r="AC351" i="27"/>
  <c r="AB299" i="27"/>
  <c r="AI299" i="27"/>
  <c r="N299" i="27"/>
  <c r="U299" i="27"/>
  <c r="AP299" i="27"/>
  <c r="Q270" i="27"/>
  <c r="AL270" i="27"/>
  <c r="X270" i="27"/>
  <c r="AE270" i="27"/>
  <c r="AS270" i="27"/>
  <c r="AP310" i="27"/>
  <c r="U310" i="27"/>
  <c r="AI310" i="27"/>
  <c r="N310" i="27"/>
  <c r="AB310" i="27"/>
  <c r="AJ83" i="27"/>
  <c r="V83" i="27"/>
  <c r="AC83" i="27"/>
  <c r="O83" i="27"/>
  <c r="AQ83" i="27"/>
  <c r="AD55" i="27"/>
  <c r="P55" i="27"/>
  <c r="AR55" i="27"/>
  <c r="W55" i="27"/>
  <c r="AK55" i="27"/>
  <c r="AI288" i="27"/>
  <c r="AP288" i="27"/>
  <c r="N288" i="27"/>
  <c r="AB288" i="27"/>
  <c r="U288" i="27"/>
  <c r="W91" i="27"/>
  <c r="AR91" i="27"/>
  <c r="AK91" i="27"/>
  <c r="AD91" i="27"/>
  <c r="P91" i="27"/>
  <c r="U286" i="27"/>
  <c r="N286" i="27"/>
  <c r="AI286" i="27"/>
  <c r="AP286" i="27"/>
  <c r="AB286" i="27"/>
  <c r="CU286" i="27" s="1"/>
  <c r="O319" i="27"/>
  <c r="AC319" i="27"/>
  <c r="AJ319" i="27"/>
  <c r="AQ319" i="27"/>
  <c r="V319" i="27"/>
  <c r="AR269" i="27"/>
  <c r="P269" i="27"/>
  <c r="AK269" i="27"/>
  <c r="AD269" i="27"/>
  <c r="W269" i="27"/>
  <c r="AF81" i="27"/>
  <c r="AT81" i="27"/>
  <c r="R81" i="27"/>
  <c r="AM81" i="27"/>
  <c r="Y81" i="27"/>
  <c r="X227" i="27"/>
  <c r="AL227" i="27"/>
  <c r="Q227" i="27"/>
  <c r="AS227" i="27"/>
  <c r="AE227" i="27"/>
  <c r="V311" i="27"/>
  <c r="AJ311" i="27"/>
  <c r="O311" i="27"/>
  <c r="AC311" i="27"/>
  <c r="AQ311" i="27"/>
  <c r="AE257" i="27"/>
  <c r="X257" i="27"/>
  <c r="AL257" i="27"/>
  <c r="AS257" i="27"/>
  <c r="Q257" i="27"/>
  <c r="W23" i="27"/>
  <c r="P23" i="27"/>
  <c r="AR23" i="27"/>
  <c r="AK23" i="27"/>
  <c r="AD23" i="27"/>
  <c r="Y263" i="27"/>
  <c r="R263" i="27"/>
  <c r="AT263" i="27"/>
  <c r="AF263" i="27"/>
  <c r="AM263" i="27"/>
  <c r="AR199" i="27"/>
  <c r="AD199" i="27"/>
  <c r="AK199" i="27"/>
  <c r="P199" i="27"/>
  <c r="W199" i="27"/>
  <c r="AL344" i="27"/>
  <c r="AS344" i="27"/>
  <c r="X344" i="27"/>
  <c r="Q344" i="27"/>
  <c r="AE344" i="27"/>
  <c r="AM308" i="27"/>
  <c r="R308" i="27"/>
  <c r="AT308" i="27"/>
  <c r="AF308" i="27"/>
  <c r="Y308" i="27"/>
  <c r="P255" i="27"/>
  <c r="AR255" i="27"/>
  <c r="AD255" i="27"/>
  <c r="AK255" i="27"/>
  <c r="W255" i="27"/>
  <c r="V147" i="27"/>
  <c r="O147" i="27"/>
  <c r="AJ147" i="27"/>
  <c r="AQ147" i="27"/>
  <c r="AC147" i="27"/>
  <c r="O358" i="27"/>
  <c r="AJ358" i="27"/>
  <c r="AQ358" i="27"/>
  <c r="V358" i="27"/>
  <c r="AC358" i="27"/>
  <c r="AF164" i="27"/>
  <c r="AT164" i="27"/>
  <c r="Y164" i="27"/>
  <c r="R164" i="27"/>
  <c r="AM164" i="27"/>
  <c r="AF237" i="27"/>
  <c r="Y237" i="27"/>
  <c r="AM237" i="27"/>
  <c r="AT237" i="27"/>
  <c r="R237" i="27"/>
  <c r="P129" i="27"/>
  <c r="AD129" i="27"/>
  <c r="AR129" i="27"/>
  <c r="AK129" i="27"/>
  <c r="W129" i="27"/>
  <c r="AR211" i="27"/>
  <c r="AD211" i="27"/>
  <c r="P211" i="27"/>
  <c r="W211" i="27"/>
  <c r="AK211" i="27"/>
  <c r="AF314" i="27"/>
  <c r="R314" i="27"/>
  <c r="AM314" i="27"/>
  <c r="Y314" i="27"/>
  <c r="AT314" i="27"/>
  <c r="AQ194" i="27"/>
  <c r="AJ194" i="27"/>
  <c r="V194" i="27"/>
  <c r="O194" i="27"/>
  <c r="AC194" i="27"/>
  <c r="AL116" i="27"/>
  <c r="AE116" i="27"/>
  <c r="X116" i="27"/>
  <c r="AS116" i="27"/>
  <c r="Q116" i="27"/>
  <c r="AC293" i="27"/>
  <c r="V293" i="27"/>
  <c r="AJ293" i="27"/>
  <c r="O293" i="27"/>
  <c r="AQ293" i="27"/>
  <c r="AM56" i="27"/>
  <c r="AT56" i="27"/>
  <c r="AF56" i="27"/>
  <c r="Y56" i="27"/>
  <c r="R56" i="27"/>
  <c r="X126" i="27"/>
  <c r="AS126" i="27"/>
  <c r="AL126" i="27"/>
  <c r="AE126" i="27"/>
  <c r="Q126" i="27"/>
  <c r="P221" i="27"/>
  <c r="AR221" i="27"/>
  <c r="AK221" i="27"/>
  <c r="W221" i="27"/>
  <c r="AD221" i="27"/>
  <c r="AL14" i="27"/>
  <c r="Q14" i="27"/>
  <c r="AE14" i="27"/>
  <c r="AS14" i="27"/>
  <c r="X14" i="27"/>
  <c r="AR178" i="27"/>
  <c r="AD178" i="27"/>
  <c r="AK178" i="27"/>
  <c r="W178" i="27"/>
  <c r="P178" i="27"/>
  <c r="AR152" i="27"/>
  <c r="AK152" i="27"/>
  <c r="AD152" i="27"/>
  <c r="P152" i="27"/>
  <c r="W152" i="27"/>
  <c r="Y321" i="27"/>
  <c r="AT321" i="27"/>
  <c r="R321" i="27"/>
  <c r="AF321" i="27"/>
  <c r="AM321" i="27"/>
  <c r="AP326" i="27"/>
  <c r="AB326" i="27"/>
  <c r="AI326" i="27"/>
  <c r="U326" i="27"/>
  <c r="N326" i="27"/>
  <c r="AJ336" i="27"/>
  <c r="O336" i="27"/>
  <c r="AC336" i="27"/>
  <c r="AQ336" i="27"/>
  <c r="V336" i="27"/>
  <c r="V203" i="27"/>
  <c r="AC203" i="27"/>
  <c r="AQ203" i="27"/>
  <c r="AJ203" i="27"/>
  <c r="O203" i="27"/>
  <c r="R142" i="27"/>
  <c r="AM142" i="27"/>
  <c r="AT142" i="27"/>
  <c r="AF142" i="27"/>
  <c r="Y142" i="27"/>
  <c r="W124" i="27"/>
  <c r="AR124" i="27"/>
  <c r="AD124" i="27"/>
  <c r="EQ124" i="27" s="1"/>
  <c r="AK124" i="27"/>
  <c r="P124" i="27"/>
  <c r="AM319" i="27"/>
  <c r="R319" i="27"/>
  <c r="AF319" i="27"/>
  <c r="AT319" i="27"/>
  <c r="Y319" i="27"/>
  <c r="AE204" i="27"/>
  <c r="X204" i="27"/>
  <c r="AL204" i="27"/>
  <c r="Q204" i="27"/>
  <c r="AS204" i="27"/>
  <c r="AD261" i="27"/>
  <c r="P261" i="27"/>
  <c r="W261" i="27"/>
  <c r="AR261" i="27"/>
  <c r="AK261" i="27"/>
  <c r="AQ312" i="27"/>
  <c r="AJ312" i="27"/>
  <c r="O312" i="27"/>
  <c r="V312" i="27"/>
  <c r="AC312" i="27"/>
  <c r="N24" i="27"/>
  <c r="AP24" i="27"/>
  <c r="AI24" i="27"/>
  <c r="AB24" i="27"/>
  <c r="U24" i="27"/>
  <c r="AB31" i="27"/>
  <c r="N31" i="27"/>
  <c r="U31" i="27"/>
  <c r="AP31" i="27"/>
  <c r="AI31" i="27"/>
  <c r="AJ27" i="27"/>
  <c r="V27" i="27"/>
  <c r="AC27" i="27"/>
  <c r="O27" i="27"/>
  <c r="AQ27" i="27"/>
  <c r="AK304" i="27"/>
  <c r="AD304" i="27"/>
  <c r="P304" i="27"/>
  <c r="AR304" i="27"/>
  <c r="W304" i="27"/>
  <c r="AI155" i="27"/>
  <c r="AP155" i="27"/>
  <c r="AB155" i="27"/>
  <c r="U155" i="27"/>
  <c r="N155" i="27"/>
  <c r="U38" i="27"/>
  <c r="AP38" i="27"/>
  <c r="AB38" i="27"/>
  <c r="N38" i="27"/>
  <c r="AI38" i="27"/>
  <c r="AD48" i="27"/>
  <c r="W48" i="27"/>
  <c r="AR48" i="27"/>
  <c r="P48" i="27"/>
  <c r="AK48" i="27"/>
  <c r="AD315" i="27"/>
  <c r="AR315" i="27"/>
  <c r="P315" i="27"/>
  <c r="AK315" i="27"/>
  <c r="W315" i="27"/>
  <c r="AM139" i="27"/>
  <c r="Y139" i="27"/>
  <c r="AT139" i="27"/>
  <c r="R139" i="27"/>
  <c r="AF139" i="27"/>
  <c r="AD191" i="27"/>
  <c r="P191" i="27"/>
  <c r="AK191" i="27"/>
  <c r="W191" i="27"/>
  <c r="AR191" i="27"/>
  <c r="AC188" i="27"/>
  <c r="AQ188" i="27"/>
  <c r="O188" i="27"/>
  <c r="AJ188" i="27"/>
  <c r="V188" i="27"/>
  <c r="AE42" i="27"/>
  <c r="Q42" i="27"/>
  <c r="AL42" i="27"/>
  <c r="AS42" i="27"/>
  <c r="X42" i="27"/>
  <c r="AL75" i="27"/>
  <c r="Q75" i="27"/>
  <c r="X75" i="27"/>
  <c r="AE75" i="27"/>
  <c r="AS75" i="27"/>
  <c r="AR332" i="27"/>
  <c r="AK332" i="27"/>
  <c r="AD332" i="27"/>
  <c r="W332" i="27"/>
  <c r="P332" i="27"/>
  <c r="AK171" i="27"/>
  <c r="AD171" i="27"/>
  <c r="AR171" i="27"/>
  <c r="W171" i="27"/>
  <c r="P171" i="27"/>
  <c r="R53" i="27"/>
  <c r="AF53" i="27"/>
  <c r="Y53" i="27"/>
  <c r="AM53" i="27"/>
  <c r="AT53" i="27"/>
  <c r="AJ140" i="27"/>
  <c r="AQ140" i="27"/>
  <c r="V140" i="27"/>
  <c r="AC140" i="27"/>
  <c r="O140" i="27"/>
  <c r="Q353" i="27"/>
  <c r="AE353" i="27"/>
  <c r="AS353" i="27"/>
  <c r="AL353" i="27"/>
  <c r="X353" i="27"/>
  <c r="AQ76" i="27"/>
  <c r="AC76" i="27"/>
  <c r="O76" i="27"/>
  <c r="AJ76" i="27"/>
  <c r="V76" i="27"/>
  <c r="AF344" i="27"/>
  <c r="R344" i="27"/>
  <c r="AT344" i="27"/>
  <c r="Y344" i="27"/>
  <c r="AM344" i="27"/>
  <c r="AQ21" i="27"/>
  <c r="AC21" i="27"/>
  <c r="V21" i="27"/>
  <c r="O21" i="27"/>
  <c r="AJ21" i="27"/>
  <c r="AF86" i="27"/>
  <c r="Y86" i="27"/>
  <c r="R86" i="27"/>
  <c r="AM86" i="27"/>
  <c r="AT86" i="27"/>
  <c r="V101" i="27"/>
  <c r="AC101" i="27"/>
  <c r="AQ101" i="27"/>
  <c r="O101" i="27"/>
  <c r="AJ101" i="27"/>
  <c r="X234" i="27"/>
  <c r="AE234" i="27"/>
  <c r="AS234" i="27"/>
  <c r="Q234" i="27"/>
  <c r="AL234" i="27"/>
  <c r="AS56" i="27"/>
  <c r="X56" i="27"/>
  <c r="AL56" i="27"/>
  <c r="AE56" i="27"/>
  <c r="Q56" i="27"/>
  <c r="N12" i="27"/>
  <c r="AB12" i="27"/>
  <c r="AP12" i="27"/>
  <c r="U12" i="27"/>
  <c r="AI12" i="27"/>
  <c r="AQ51" i="27"/>
  <c r="V51" i="27"/>
  <c r="AC51" i="27"/>
  <c r="O51" i="27"/>
  <c r="AJ51" i="27"/>
  <c r="AS134" i="27"/>
  <c r="X134" i="27"/>
  <c r="AL134" i="27"/>
  <c r="Q134" i="27"/>
  <c r="AE134" i="27"/>
  <c r="V362" i="27"/>
  <c r="AQ362" i="27"/>
  <c r="O362" i="27"/>
  <c r="AC362" i="27"/>
  <c r="AJ362" i="27"/>
  <c r="N305" i="27"/>
  <c r="AI305" i="27"/>
  <c r="AP305" i="27"/>
  <c r="U305" i="27"/>
  <c r="AB305" i="27"/>
  <c r="AK192" i="27"/>
  <c r="P192" i="27"/>
  <c r="AD192" i="27"/>
  <c r="W192" i="27"/>
  <c r="AR192" i="27"/>
  <c r="Q182" i="27"/>
  <c r="X182" i="27"/>
  <c r="AS182" i="27"/>
  <c r="AE182" i="27"/>
  <c r="AL182" i="27"/>
  <c r="X265" i="27"/>
  <c r="Q265" i="27"/>
  <c r="AE265" i="27"/>
  <c r="AL265" i="27"/>
  <c r="AS265" i="27"/>
  <c r="AE144" i="27"/>
  <c r="AL144" i="27"/>
  <c r="AS144" i="27"/>
  <c r="X144" i="27"/>
  <c r="Q144" i="27"/>
  <c r="Q287" i="27"/>
  <c r="AE287" i="27"/>
  <c r="AL287" i="27"/>
  <c r="AS287" i="27"/>
  <c r="X287" i="27"/>
  <c r="AM76" i="27"/>
  <c r="Y76" i="27"/>
  <c r="AT76" i="27"/>
  <c r="AF76" i="27"/>
  <c r="R76" i="27"/>
  <c r="AE92" i="27"/>
  <c r="AS92" i="27"/>
  <c r="X92" i="27"/>
  <c r="Q92" i="27"/>
  <c r="AL92" i="27"/>
  <c r="AE150" i="27"/>
  <c r="X150" i="27"/>
  <c r="AL150" i="27"/>
  <c r="AS150" i="27"/>
  <c r="Q150" i="27"/>
  <c r="Q288" i="27"/>
  <c r="AL288" i="27"/>
  <c r="X288" i="27"/>
  <c r="AS288" i="27"/>
  <c r="AE288" i="27"/>
  <c r="AF316" i="27"/>
  <c r="Y316" i="27"/>
  <c r="AM316" i="27"/>
  <c r="AT316" i="27"/>
  <c r="R316" i="27"/>
  <c r="AR271" i="27"/>
  <c r="AK271" i="27"/>
  <c r="P271" i="27"/>
  <c r="AD271" i="27"/>
  <c r="W271" i="27"/>
  <c r="AD263" i="27"/>
  <c r="W263" i="27"/>
  <c r="AR263" i="27"/>
  <c r="AK263" i="27"/>
  <c r="P263" i="27"/>
  <c r="V77" i="27"/>
  <c r="AJ77" i="27"/>
  <c r="AC77" i="27"/>
  <c r="AQ77" i="27"/>
  <c r="O77" i="27"/>
  <c r="AQ12" i="27"/>
  <c r="V12" i="27"/>
  <c r="O12" i="27"/>
  <c r="AJ12" i="27"/>
  <c r="AC12" i="27"/>
  <c r="AJ185" i="27"/>
  <c r="AC185" i="27"/>
  <c r="O185" i="27"/>
  <c r="AQ185" i="27"/>
  <c r="V185" i="27"/>
  <c r="AB206" i="27"/>
  <c r="N206" i="27"/>
  <c r="AP206" i="27"/>
  <c r="AI206" i="27"/>
  <c r="U206" i="27"/>
  <c r="V248" i="27"/>
  <c r="AQ248" i="27"/>
  <c r="AJ248" i="27"/>
  <c r="O248" i="27"/>
  <c r="AC248" i="27"/>
  <c r="AS342" i="27"/>
  <c r="AE342" i="27"/>
  <c r="X342" i="27"/>
  <c r="Q342" i="27"/>
  <c r="AL342" i="27"/>
  <c r="AK12" i="27"/>
  <c r="AD12" i="27"/>
  <c r="P12" i="27"/>
  <c r="W12" i="27"/>
  <c r="AR12" i="27"/>
  <c r="N198" i="27"/>
  <c r="AP198" i="27"/>
  <c r="U198" i="27"/>
  <c r="AB198" i="27"/>
  <c r="AI198" i="27"/>
  <c r="Q135" i="27"/>
  <c r="AL135" i="27"/>
  <c r="AE135" i="27"/>
  <c r="AS135" i="27"/>
  <c r="X135" i="27"/>
  <c r="AC318" i="27"/>
  <c r="O318" i="27"/>
  <c r="V318" i="27"/>
  <c r="EK318" i="27" s="1"/>
  <c r="AJ318" i="27"/>
  <c r="AQ318" i="27"/>
  <c r="AQ13" i="27"/>
  <c r="AC13" i="27"/>
  <c r="O13" i="27"/>
  <c r="AJ13" i="27"/>
  <c r="V13" i="27"/>
  <c r="R88" i="27"/>
  <c r="AM88" i="27"/>
  <c r="Y88" i="27"/>
  <c r="AT88" i="27"/>
  <c r="AF88" i="27"/>
  <c r="AP265" i="27"/>
  <c r="AI265" i="27"/>
  <c r="AB265" i="27"/>
  <c r="N265" i="27"/>
  <c r="U265" i="27"/>
  <c r="AQ116" i="27"/>
  <c r="AJ116" i="27"/>
  <c r="AC116" i="27"/>
  <c r="V116" i="27"/>
  <c r="O116" i="27"/>
  <c r="R126" i="27"/>
  <c r="AF126" i="27"/>
  <c r="AM126" i="27"/>
  <c r="Y126" i="27"/>
  <c r="AT126" i="27"/>
  <c r="AD173" i="27"/>
  <c r="P173" i="27"/>
  <c r="AK173" i="27"/>
  <c r="AR173" i="27"/>
  <c r="W173" i="27"/>
  <c r="AC174" i="27"/>
  <c r="V174" i="27"/>
  <c r="AQ174" i="27"/>
  <c r="O174" i="27"/>
  <c r="AJ174" i="27"/>
  <c r="AS237" i="27"/>
  <c r="AE237" i="27"/>
  <c r="X237" i="27"/>
  <c r="AL237" i="27"/>
  <c r="Q237" i="27"/>
  <c r="AC179" i="27"/>
  <c r="AJ179" i="27"/>
  <c r="AQ179" i="27"/>
  <c r="V179" i="27"/>
  <c r="O179" i="27"/>
  <c r="AK154" i="27"/>
  <c r="P154" i="27"/>
  <c r="AR154" i="27"/>
  <c r="W154" i="27"/>
  <c r="AD154" i="27"/>
  <c r="N19" i="27"/>
  <c r="U19" i="27"/>
  <c r="AI19" i="27"/>
  <c r="AP19" i="27"/>
  <c r="AB19" i="27"/>
  <c r="AJ11" i="23"/>
  <c r="AE95" i="27"/>
  <c r="AS95" i="27"/>
  <c r="X95" i="27"/>
  <c r="AL95" i="27"/>
  <c r="Q95" i="27"/>
  <c r="Y159" i="27"/>
  <c r="R159" i="27"/>
  <c r="AT159" i="27"/>
  <c r="AM159" i="27"/>
  <c r="AF159" i="27"/>
  <c r="N10" i="27"/>
  <c r="AI10" i="27"/>
  <c r="U10" i="27"/>
  <c r="AB10" i="27"/>
  <c r="AP10" i="27"/>
  <c r="R298" i="27"/>
  <c r="Y298" i="27"/>
  <c r="AM298" i="27"/>
  <c r="AF298" i="27"/>
  <c r="AT298" i="27"/>
  <c r="W36" i="27"/>
  <c r="AD36" i="27"/>
  <c r="P36" i="27"/>
  <c r="AR36" i="27"/>
  <c r="AK36" i="27"/>
  <c r="V176" i="27"/>
  <c r="AC176" i="27"/>
  <c r="AJ176" i="27"/>
  <c r="AQ176" i="27"/>
  <c r="O176" i="27"/>
  <c r="AQ208" i="27"/>
  <c r="O208" i="27"/>
  <c r="V208" i="27"/>
  <c r="AC208" i="27"/>
  <c r="AJ208" i="27"/>
  <c r="X66" i="27"/>
  <c r="AS66" i="27"/>
  <c r="AL66" i="27"/>
  <c r="AE66" i="27"/>
  <c r="Q66" i="27"/>
  <c r="AC163" i="27"/>
  <c r="AJ163" i="27"/>
  <c r="O163" i="27"/>
  <c r="AQ163" i="27"/>
  <c r="V163" i="27"/>
  <c r="R158" i="27"/>
  <c r="Y158" i="27"/>
  <c r="AT158" i="27"/>
  <c r="AF158" i="27"/>
  <c r="AM158" i="27"/>
  <c r="X53" i="27"/>
  <c r="AE53" i="27"/>
  <c r="AS53" i="27"/>
  <c r="AL53" i="27"/>
  <c r="Q53" i="27"/>
  <c r="P68" i="27"/>
  <c r="AR68" i="27"/>
  <c r="AD68" i="27"/>
  <c r="AK68" i="27"/>
  <c r="W68" i="27"/>
  <c r="W87" i="27"/>
  <c r="AK87" i="27"/>
  <c r="AI10" i="23"/>
  <c r="P87" i="27"/>
  <c r="AR87" i="27"/>
  <c r="AD87" i="27"/>
  <c r="X291" i="27"/>
  <c r="Q291" i="27"/>
  <c r="AE291" i="27"/>
  <c r="AL291" i="27"/>
  <c r="AS291" i="27"/>
  <c r="O88" i="27"/>
  <c r="V88" i="27"/>
  <c r="AC88" i="27"/>
  <c r="AQ88" i="27"/>
  <c r="AJ88" i="27"/>
  <c r="AS113" i="27"/>
  <c r="AL113" i="27"/>
  <c r="AE113" i="27"/>
  <c r="Q113" i="27"/>
  <c r="X113" i="27"/>
  <c r="P324" i="27"/>
  <c r="W324" i="27"/>
  <c r="AD324" i="27"/>
  <c r="AR324" i="27"/>
  <c r="AK324" i="27"/>
  <c r="O297" i="27"/>
  <c r="AC297" i="27"/>
  <c r="V297" i="27"/>
  <c r="AQ297" i="27"/>
  <c r="AJ297" i="27"/>
  <c r="AB356" i="27"/>
  <c r="AI356" i="27"/>
  <c r="U356" i="27"/>
  <c r="AP356" i="27"/>
  <c r="N356" i="27"/>
  <c r="O127" i="27"/>
  <c r="AJ127" i="27"/>
  <c r="V127" i="27"/>
  <c r="AQ127" i="27"/>
  <c r="AC127" i="27"/>
  <c r="AQ99" i="27"/>
  <c r="V99" i="27"/>
  <c r="AJ99" i="27"/>
  <c r="O99" i="27"/>
  <c r="AC99" i="27"/>
  <c r="AB244" i="27"/>
  <c r="N244" i="27"/>
  <c r="AI244" i="27"/>
  <c r="U244" i="27"/>
  <c r="AP244" i="27"/>
  <c r="Y327" i="27"/>
  <c r="R327" i="27"/>
  <c r="AF327" i="27"/>
  <c r="AM327" i="27"/>
  <c r="AT327" i="27"/>
  <c r="AD57" i="27"/>
  <c r="P57" i="27"/>
  <c r="AR57" i="27"/>
  <c r="W57" i="27"/>
  <c r="AK57" i="27"/>
  <c r="AC329" i="27"/>
  <c r="AQ329" i="27"/>
  <c r="AJ329" i="27"/>
  <c r="V329" i="27"/>
  <c r="O329" i="27"/>
  <c r="AJ257" i="27"/>
  <c r="AC257" i="27"/>
  <c r="V257" i="27"/>
  <c r="AQ257" i="27"/>
  <c r="O257" i="27"/>
  <c r="AE252" i="27"/>
  <c r="AS252" i="27"/>
  <c r="Q252" i="27"/>
  <c r="X252" i="27"/>
  <c r="AL252" i="27"/>
  <c r="AB128" i="27"/>
  <c r="AI128" i="27"/>
  <c r="U128" i="27"/>
  <c r="N128" i="27"/>
  <c r="AP128" i="27"/>
  <c r="AK66" i="27"/>
  <c r="P66" i="27"/>
  <c r="AD66" i="27"/>
  <c r="W66" i="27"/>
  <c r="AR66" i="27"/>
  <c r="Y61" i="27"/>
  <c r="AT61" i="27"/>
  <c r="AF61" i="27"/>
  <c r="AM61" i="27"/>
  <c r="R61" i="27"/>
  <c r="AS230" i="27"/>
  <c r="AE230" i="27"/>
  <c r="Q230" i="27"/>
  <c r="X230" i="27"/>
  <c r="AL230" i="27"/>
  <c r="AF227" i="27"/>
  <c r="Y227" i="27"/>
  <c r="AM227" i="27"/>
  <c r="AT227" i="27"/>
  <c r="R227" i="27"/>
  <c r="AE6" i="27"/>
  <c r="AS6" i="27"/>
  <c r="X6" i="27"/>
  <c r="Q6" i="27"/>
  <c r="AL6" i="27"/>
  <c r="O275" i="27"/>
  <c r="V275" i="27"/>
  <c r="AQ275" i="27"/>
  <c r="AJ275" i="27"/>
  <c r="AC275" i="27"/>
  <c r="AJ149" i="27"/>
  <c r="AC149" i="27"/>
  <c r="V149" i="27"/>
  <c r="O149" i="27"/>
  <c r="AQ149" i="27"/>
  <c r="AL175" i="27"/>
  <c r="Q175" i="27"/>
  <c r="AE175" i="27"/>
  <c r="X175" i="27"/>
  <c r="AS175" i="27"/>
  <c r="AE43" i="27"/>
  <c r="AS43" i="27"/>
  <c r="AL43" i="27"/>
  <c r="Q43" i="27"/>
  <c r="X43" i="27"/>
  <c r="AJ123" i="27"/>
  <c r="AC123" i="27"/>
  <c r="O123" i="27"/>
  <c r="AQ123" i="27"/>
  <c r="V123" i="27"/>
  <c r="Y244" i="27"/>
  <c r="AT244" i="27"/>
  <c r="R244" i="27"/>
  <c r="AM244" i="27"/>
  <c r="AF244" i="27"/>
  <c r="AC330" i="27"/>
  <c r="O330" i="27"/>
  <c r="V330" i="27"/>
  <c r="AQ330" i="27"/>
  <c r="AJ330" i="27"/>
  <c r="AR14" i="27"/>
  <c r="AK14" i="27"/>
  <c r="AD14" i="27"/>
  <c r="W14" i="27"/>
  <c r="P14" i="27"/>
  <c r="P121" i="27"/>
  <c r="AD121" i="27"/>
  <c r="AR121" i="27"/>
  <c r="AK121" i="27"/>
  <c r="W121" i="27"/>
  <c r="AR251" i="27"/>
  <c r="AK251" i="27"/>
  <c r="P251" i="27"/>
  <c r="AD251" i="27"/>
  <c r="W251" i="27"/>
  <c r="AI61" i="27"/>
  <c r="AP61" i="27"/>
  <c r="AB61" i="27"/>
  <c r="U61" i="27"/>
  <c r="N61" i="27"/>
  <c r="AQ154" i="27"/>
  <c r="AJ154" i="27"/>
  <c r="V154" i="27"/>
  <c r="O154" i="27"/>
  <c r="AC154" i="27"/>
  <c r="AB185" i="27"/>
  <c r="AI185" i="27"/>
  <c r="AP185" i="27"/>
  <c r="N185" i="27"/>
  <c r="U185" i="27"/>
  <c r="AL190" i="27"/>
  <c r="AE190" i="27"/>
  <c r="Q190" i="27"/>
  <c r="X190" i="27"/>
  <c r="AS190" i="27"/>
  <c r="AT234" i="27"/>
  <c r="AF234" i="27"/>
  <c r="AM234" i="27"/>
  <c r="R234" i="27"/>
  <c r="Y234" i="27"/>
  <c r="AP314" i="27"/>
  <c r="AI314" i="27"/>
  <c r="N314" i="27"/>
  <c r="AB314" i="27"/>
  <c r="U314" i="27"/>
  <c r="AE306" i="27"/>
  <c r="Q306" i="27"/>
  <c r="AS306" i="27"/>
  <c r="X306" i="27"/>
  <c r="AL306" i="27"/>
  <c r="P32" i="27"/>
  <c r="AK32" i="27"/>
  <c r="AD32" i="27"/>
  <c r="W32" i="27"/>
  <c r="AR32" i="27"/>
  <c r="AJ211" i="27"/>
  <c r="AQ211" i="27"/>
  <c r="O211" i="27"/>
  <c r="V211" i="27"/>
  <c r="AC211" i="27"/>
  <c r="AQ349" i="27"/>
  <c r="AC349" i="27"/>
  <c r="O349" i="27"/>
  <c r="V349" i="27"/>
  <c r="AJ349" i="27"/>
  <c r="U104" i="27"/>
  <c r="AI104" i="27"/>
  <c r="AB104" i="27"/>
  <c r="N104" i="27"/>
  <c r="AP104" i="27"/>
  <c r="AR336" i="27"/>
  <c r="P336" i="27"/>
  <c r="AD336" i="27"/>
  <c r="AK336" i="27"/>
  <c r="W336" i="27"/>
  <c r="AD100" i="27"/>
  <c r="P100" i="27"/>
  <c r="W100" i="27"/>
  <c r="AK100" i="27"/>
  <c r="AR100" i="27"/>
  <c r="AK108" i="27"/>
  <c r="W108" i="27"/>
  <c r="AR108" i="27"/>
  <c r="AD108" i="27"/>
  <c r="P108" i="27"/>
  <c r="AT109" i="27"/>
  <c r="AM109" i="27"/>
  <c r="AF109" i="27"/>
  <c r="Y109" i="27"/>
  <c r="R109" i="27"/>
  <c r="AT129" i="27"/>
  <c r="R129" i="27"/>
  <c r="AM129" i="27"/>
  <c r="Y129" i="27"/>
  <c r="AF129" i="27"/>
  <c r="X209" i="27"/>
  <c r="AL209" i="27"/>
  <c r="AS209" i="27"/>
  <c r="Q209" i="27"/>
  <c r="AE209" i="27"/>
  <c r="Q215" i="27"/>
  <c r="AL215" i="27"/>
  <c r="X215" i="27"/>
  <c r="AE215" i="27"/>
  <c r="AS215" i="27"/>
  <c r="AE360" i="27"/>
  <c r="AL360" i="27"/>
  <c r="AS360" i="27"/>
  <c r="X360" i="27"/>
  <c r="Q360" i="27"/>
  <c r="AL363" i="27"/>
  <c r="AS363" i="27"/>
  <c r="Q363" i="27"/>
  <c r="AE363" i="27"/>
  <c r="X363" i="27"/>
  <c r="AD243" i="27"/>
  <c r="AK243" i="27"/>
  <c r="P243" i="27"/>
  <c r="AR243" i="27"/>
  <c r="W243" i="27"/>
  <c r="P354" i="27"/>
  <c r="W354" i="27"/>
  <c r="AR354" i="27"/>
  <c r="AD354" i="27"/>
  <c r="AK354" i="27"/>
  <c r="AJ30" i="27"/>
  <c r="AC30" i="27"/>
  <c r="V30" i="27"/>
  <c r="O30" i="27"/>
  <c r="AQ30" i="27"/>
  <c r="AR205" i="27"/>
  <c r="AK205" i="27"/>
  <c r="P205" i="27"/>
  <c r="W205" i="27"/>
  <c r="AD205" i="27"/>
  <c r="N58" i="27"/>
  <c r="U58" i="27"/>
  <c r="AI58" i="27"/>
  <c r="AB58" i="27"/>
  <c r="AP58" i="27"/>
  <c r="O233" i="27"/>
  <c r="AQ233" i="27"/>
  <c r="V233" i="27"/>
  <c r="AC233" i="27"/>
  <c r="AJ233" i="27"/>
  <c r="AR92" i="27"/>
  <c r="W92" i="27"/>
  <c r="AK92" i="27"/>
  <c r="AD92" i="27"/>
  <c r="P92" i="27"/>
  <c r="P21" i="27"/>
  <c r="AK21" i="27"/>
  <c r="AD21" i="27"/>
  <c r="W21" i="27"/>
  <c r="AR21" i="27"/>
  <c r="O75" i="27"/>
  <c r="V75" i="27"/>
  <c r="AQ75" i="27"/>
  <c r="AJ75" i="27"/>
  <c r="AC75" i="27"/>
  <c r="AE298" i="27"/>
  <c r="AL298" i="27"/>
  <c r="AS298" i="27"/>
  <c r="Q298" i="27"/>
  <c r="X298" i="27"/>
  <c r="V360" i="27"/>
  <c r="O360" i="27"/>
  <c r="AJ360" i="27"/>
  <c r="AQ360" i="27"/>
  <c r="AC360" i="27"/>
  <c r="AJ82" i="27"/>
  <c r="O82" i="27"/>
  <c r="AC82" i="27"/>
  <c r="V82" i="27"/>
  <c r="AQ82" i="27"/>
  <c r="R133" i="27"/>
  <c r="AM133" i="27"/>
  <c r="Y133" i="27"/>
  <c r="AT133" i="27"/>
  <c r="AF133" i="27"/>
  <c r="AL193" i="27"/>
  <c r="X193" i="27"/>
  <c r="AE193" i="27"/>
  <c r="Q193" i="27"/>
  <c r="AS193" i="27"/>
  <c r="AL290" i="27"/>
  <c r="X290" i="27"/>
  <c r="Q290" i="27"/>
  <c r="AS290" i="27"/>
  <c r="AE290" i="27"/>
  <c r="AJ210" i="27"/>
  <c r="AQ210" i="27"/>
  <c r="O210" i="27"/>
  <c r="AC210" i="27"/>
  <c r="V210" i="27"/>
  <c r="AE41" i="27"/>
  <c r="Q41" i="27"/>
  <c r="AS41" i="27"/>
  <c r="AL41" i="27"/>
  <c r="X41" i="27"/>
  <c r="N181" i="27"/>
  <c r="AB181" i="27"/>
  <c r="U181" i="27"/>
  <c r="AP181" i="27"/>
  <c r="AI181" i="27"/>
  <c r="O201" i="27"/>
  <c r="AJ201" i="27"/>
  <c r="AQ201" i="27"/>
  <c r="AC201" i="27"/>
  <c r="V201" i="27"/>
  <c r="W334" i="27"/>
  <c r="AK334" i="27"/>
  <c r="AD334" i="27"/>
  <c r="P334" i="27"/>
  <c r="AR334" i="27"/>
  <c r="Q39" i="27"/>
  <c r="AS39" i="27"/>
  <c r="AE39" i="27"/>
  <c r="AL39" i="27"/>
  <c r="X39" i="27"/>
  <c r="AC134" i="27"/>
  <c r="V134" i="27"/>
  <c r="AJ134" i="27"/>
  <c r="O134" i="27"/>
  <c r="AQ134" i="27"/>
  <c r="Y112" i="27"/>
  <c r="AF112" i="27"/>
  <c r="AM112" i="27"/>
  <c r="AT112" i="27"/>
  <c r="R112" i="27"/>
  <c r="AJ241" i="27"/>
  <c r="O241" i="27"/>
  <c r="V241" i="27"/>
  <c r="AQ241" i="27"/>
  <c r="AC241" i="27"/>
  <c r="AS163" i="27"/>
  <c r="X163" i="27"/>
  <c r="AE163" i="27"/>
  <c r="Q163" i="27"/>
  <c r="AL163" i="27"/>
  <c r="AL365" i="27"/>
  <c r="AE365" i="27"/>
  <c r="AS365" i="27"/>
  <c r="Q365" i="27"/>
  <c r="X365" i="27"/>
  <c r="AM50" i="27"/>
  <c r="AT50" i="27"/>
  <c r="Y50" i="27"/>
  <c r="AF50" i="27"/>
  <c r="R50" i="27"/>
  <c r="R132" i="27"/>
  <c r="AT132" i="27"/>
  <c r="Y132" i="27"/>
  <c r="AM132" i="27"/>
  <c r="AF132" i="27"/>
  <c r="Y260" i="27"/>
  <c r="AF260" i="27"/>
  <c r="AM260" i="27"/>
  <c r="R260" i="27"/>
  <c r="AT260" i="27"/>
  <c r="AJ8" i="27"/>
  <c r="AC8" i="27"/>
  <c r="AQ8" i="27"/>
  <c r="V8" i="27"/>
  <c r="O8" i="27"/>
  <c r="AM246" i="27"/>
  <c r="AT246" i="27"/>
  <c r="AF246" i="27"/>
  <c r="Y246" i="27"/>
  <c r="R246" i="27"/>
  <c r="AD287" i="27"/>
  <c r="AR287" i="27"/>
  <c r="W287" i="27"/>
  <c r="AK287" i="27"/>
  <c r="P287" i="27"/>
  <c r="X117" i="27"/>
  <c r="Q117" i="27"/>
  <c r="AL117" i="27"/>
  <c r="AS117" i="27"/>
  <c r="AE117" i="27"/>
  <c r="AK86" i="27"/>
  <c r="P86" i="27"/>
  <c r="AR86" i="27"/>
  <c r="W86" i="27"/>
  <c r="AD86" i="27"/>
  <c r="AR358" i="27"/>
  <c r="AD358" i="27"/>
  <c r="P358" i="27"/>
  <c r="W358" i="27"/>
  <c r="AK358" i="27"/>
  <c r="N18" i="27"/>
  <c r="U18" i="27"/>
  <c r="AP18" i="27"/>
  <c r="AB18" i="27"/>
  <c r="AI18" i="27"/>
  <c r="P133" i="27"/>
  <c r="AK133" i="27"/>
  <c r="AR133" i="27"/>
  <c r="W133" i="27"/>
  <c r="AD133" i="27"/>
  <c r="W117" i="27"/>
  <c r="AD117" i="27"/>
  <c r="AR117" i="27"/>
  <c r="AK117" i="27"/>
  <c r="P117" i="27"/>
  <c r="AM329" i="27"/>
  <c r="Y329" i="27"/>
  <c r="R329" i="27"/>
  <c r="AT329" i="27"/>
  <c r="AF329" i="27"/>
  <c r="X188" i="27"/>
  <c r="Q188" i="27"/>
  <c r="AE188" i="27"/>
  <c r="AL188" i="27"/>
  <c r="AS188" i="27"/>
  <c r="O190" i="27"/>
  <c r="AC190" i="27"/>
  <c r="AJ190" i="27"/>
  <c r="AQ190" i="27"/>
  <c r="V190" i="27"/>
  <c r="AB166" i="27"/>
  <c r="AP166" i="27"/>
  <c r="U166" i="27"/>
  <c r="AI166" i="27"/>
  <c r="N166" i="27"/>
  <c r="R16" i="27"/>
  <c r="AT16" i="27"/>
  <c r="AF16" i="27"/>
  <c r="Y16" i="27"/>
  <c r="AM16" i="27"/>
  <c r="AS123" i="27"/>
  <c r="Q123" i="27"/>
  <c r="X123" i="27"/>
  <c r="AE123" i="27"/>
  <c r="AL123" i="27"/>
  <c r="V261" i="27"/>
  <c r="O261" i="27"/>
  <c r="AJ261" i="27"/>
  <c r="AQ261" i="27"/>
  <c r="AC261" i="27"/>
  <c r="U295" i="27"/>
  <c r="AP295" i="27"/>
  <c r="N295" i="27"/>
  <c r="AB295" i="27"/>
  <c r="AI295" i="27"/>
  <c r="X232" i="27"/>
  <c r="Q232" i="27"/>
  <c r="AS232" i="27"/>
  <c r="AE232" i="27"/>
  <c r="AL232" i="27"/>
  <c r="AQ331" i="27"/>
  <c r="AC331" i="27"/>
  <c r="AJ331" i="27"/>
  <c r="O331" i="27"/>
  <c r="V331" i="27"/>
  <c r="AT336" i="27"/>
  <c r="R336" i="27"/>
  <c r="Y336" i="27"/>
  <c r="AM336" i="27"/>
  <c r="AF336" i="27"/>
  <c r="V80" i="27"/>
  <c r="AC80" i="27"/>
  <c r="AJ80" i="27"/>
  <c r="O80" i="27"/>
  <c r="AQ80" i="27"/>
  <c r="AD235" i="27"/>
  <c r="W235" i="27"/>
  <c r="P235" i="27"/>
  <c r="AR235" i="27"/>
  <c r="AK235" i="27"/>
  <c r="AC191" i="27"/>
  <c r="V191" i="27"/>
  <c r="AQ191" i="27"/>
  <c r="AJ191" i="27"/>
  <c r="O191" i="27"/>
  <c r="Y288" i="27"/>
  <c r="AM288" i="27"/>
  <c r="AT288" i="27"/>
  <c r="R288" i="27"/>
  <c r="AF288" i="27"/>
  <c r="N62" i="27"/>
  <c r="AB62" i="27"/>
  <c r="U62" i="27"/>
  <c r="AP62" i="27"/>
  <c r="AI62" i="27"/>
  <c r="AR162" i="27"/>
  <c r="AD162" i="27"/>
  <c r="P162" i="27"/>
  <c r="W162" i="27"/>
  <c r="AK162" i="27"/>
  <c r="AF19" i="27"/>
  <c r="R19" i="27"/>
  <c r="AT19" i="27"/>
  <c r="AM19" i="27"/>
  <c r="Y19" i="27"/>
  <c r="AT98" i="27"/>
  <c r="R98" i="27"/>
  <c r="AF98" i="27"/>
  <c r="AM98" i="27"/>
  <c r="Y98" i="27"/>
  <c r="AF198" i="27"/>
  <c r="Y198" i="27"/>
  <c r="AM198" i="27"/>
  <c r="R198" i="27"/>
  <c r="AT198" i="27"/>
  <c r="X120" i="27"/>
  <c r="AE120" i="27"/>
  <c r="AS120" i="27"/>
  <c r="AL120" i="27"/>
  <c r="Q120" i="27"/>
  <c r="AI296" i="27"/>
  <c r="U296" i="27"/>
  <c r="AP296" i="27"/>
  <c r="AB296" i="27"/>
  <c r="N296" i="27"/>
  <c r="AT10" i="27"/>
  <c r="AF10" i="27"/>
  <c r="AM10" i="27"/>
  <c r="Y10" i="27"/>
  <c r="R10" i="27"/>
  <c r="AJ310" i="27"/>
  <c r="AQ310" i="27"/>
  <c r="O310" i="27"/>
  <c r="AC310" i="27"/>
  <c r="V310" i="27"/>
  <c r="R111" i="27"/>
  <c r="AT111" i="27"/>
  <c r="AF111" i="27"/>
  <c r="Y111" i="27"/>
  <c r="AM111" i="27"/>
  <c r="N351" i="27"/>
  <c r="AP351" i="27"/>
  <c r="AI351" i="27"/>
  <c r="AB351" i="27"/>
  <c r="U351" i="27"/>
  <c r="AQ59" i="27"/>
  <c r="AJ59" i="27"/>
  <c r="O59" i="27"/>
  <c r="AC59" i="27"/>
  <c r="V59" i="27"/>
  <c r="AQ23" i="27"/>
  <c r="AJ23" i="27"/>
  <c r="V23" i="27"/>
  <c r="AC23" i="27"/>
  <c r="O23" i="27"/>
  <c r="AC235" i="27"/>
  <c r="AQ235" i="27"/>
  <c r="O235" i="27"/>
  <c r="V235" i="27"/>
  <c r="AJ235" i="27"/>
  <c r="W233" i="27"/>
  <c r="AD233" i="27"/>
  <c r="AK233" i="27"/>
  <c r="P233" i="27"/>
  <c r="AR233" i="27"/>
  <c r="AF62" i="27"/>
  <c r="Y62" i="27"/>
  <c r="AM62" i="27"/>
  <c r="R62" i="27"/>
  <c r="AT62" i="27"/>
  <c r="V157" i="27"/>
  <c r="O157" i="27"/>
  <c r="AC157" i="27"/>
  <c r="AQ157" i="27"/>
  <c r="AJ157" i="27"/>
  <c r="AT34" i="27"/>
  <c r="R34" i="27"/>
  <c r="AM34" i="27"/>
  <c r="Y34" i="27"/>
  <c r="AF34" i="27"/>
  <c r="AF287" i="27"/>
  <c r="AT287" i="27"/>
  <c r="Y287" i="27"/>
  <c r="R287" i="27"/>
  <c r="AM287" i="27"/>
  <c r="AQ344" i="27"/>
  <c r="V344" i="27"/>
  <c r="AJ344" i="27"/>
  <c r="O344" i="27"/>
  <c r="AC344" i="27"/>
  <c r="AS187" i="27"/>
  <c r="X187" i="27"/>
  <c r="Q187" i="27"/>
  <c r="AE187" i="27"/>
  <c r="AL187" i="27"/>
  <c r="U291" i="27"/>
  <c r="AI291" i="27"/>
  <c r="AP291" i="27"/>
  <c r="AB291" i="27"/>
  <c r="N291" i="27"/>
  <c r="AM21" i="27"/>
  <c r="AT21" i="27"/>
  <c r="Y21" i="27"/>
  <c r="AF21" i="27"/>
  <c r="R21" i="27"/>
  <c r="Q79" i="27"/>
  <c r="X79" i="27"/>
  <c r="AE79" i="27"/>
  <c r="AS79" i="27"/>
  <c r="AL79" i="27"/>
  <c r="X216" i="27"/>
  <c r="AS216" i="27"/>
  <c r="Q216" i="27"/>
  <c r="AE216" i="27"/>
  <c r="AL216" i="27"/>
  <c r="AQ166" i="27"/>
  <c r="AC166" i="27"/>
  <c r="V166" i="27"/>
  <c r="O166" i="27"/>
  <c r="AJ166" i="27"/>
  <c r="AS149" i="27"/>
  <c r="AL149" i="27"/>
  <c r="Q149" i="27"/>
  <c r="X149" i="27"/>
  <c r="AE149" i="27"/>
  <c r="AF278" i="27"/>
  <c r="AT278" i="27"/>
  <c r="R278" i="27"/>
  <c r="Y278" i="27"/>
  <c r="AM278" i="27"/>
  <c r="AT311" i="27"/>
  <c r="AF311" i="27"/>
  <c r="Y311" i="27"/>
  <c r="AM311" i="27"/>
  <c r="R311" i="27"/>
  <c r="AP43" i="27"/>
  <c r="AB43" i="27"/>
  <c r="N43" i="27"/>
  <c r="U43" i="27"/>
  <c r="AI43" i="27"/>
  <c r="AB242" i="27"/>
  <c r="N242" i="27"/>
  <c r="AP242" i="27"/>
  <c r="AI242" i="27"/>
  <c r="U242" i="27"/>
  <c r="N186" i="27"/>
  <c r="U186" i="27"/>
  <c r="AB186" i="27"/>
  <c r="AP186" i="27"/>
  <c r="AI186" i="27"/>
  <c r="AE280" i="27"/>
  <c r="Q280" i="27"/>
  <c r="AS280" i="27"/>
  <c r="X280" i="27"/>
  <c r="AL280" i="27"/>
  <c r="AR224" i="27"/>
  <c r="P224" i="27"/>
  <c r="AD224" i="27"/>
  <c r="AK224" i="27"/>
  <c r="W224" i="27"/>
  <c r="U284" i="27"/>
  <c r="AB284" i="27"/>
  <c r="AI284" i="27"/>
  <c r="N284" i="27"/>
  <c r="AP284" i="27"/>
  <c r="Q261" i="27"/>
  <c r="X261" i="27"/>
  <c r="AS261" i="27"/>
  <c r="AE261" i="27"/>
  <c r="AL261" i="27"/>
  <c r="R177" i="27"/>
  <c r="AM177" i="27"/>
  <c r="AF177" i="27"/>
  <c r="AT177" i="27"/>
  <c r="Y177" i="27"/>
  <c r="AI361" i="27"/>
  <c r="U361" i="27"/>
  <c r="N361" i="27"/>
  <c r="AB361" i="27"/>
  <c r="AP361" i="27"/>
  <c r="V345" i="27"/>
  <c r="AC345" i="27"/>
  <c r="O345" i="27"/>
  <c r="AQ345" i="27"/>
  <c r="AJ345" i="27"/>
  <c r="AQ236" i="27"/>
  <c r="AJ236" i="27"/>
  <c r="V236" i="27"/>
  <c r="O236" i="27"/>
  <c r="AC236" i="27"/>
  <c r="AD218" i="27"/>
  <c r="P218" i="27"/>
  <c r="AR218" i="27"/>
  <c r="AK218" i="27"/>
  <c r="W218" i="27"/>
  <c r="AP44" i="27"/>
  <c r="N44" i="27"/>
  <c r="AB44" i="27"/>
  <c r="AI44" i="27"/>
  <c r="U44" i="27"/>
  <c r="R70" i="27"/>
  <c r="AT70" i="27"/>
  <c r="AM70" i="27"/>
  <c r="Y70" i="27"/>
  <c r="AF70" i="27"/>
  <c r="AC327" i="27"/>
  <c r="AJ327" i="27"/>
  <c r="AQ327" i="27"/>
  <c r="V327" i="27"/>
  <c r="O327" i="27"/>
  <c r="N268" i="27"/>
  <c r="AB268" i="27"/>
  <c r="U268" i="27"/>
  <c r="AP268" i="27"/>
  <c r="AI268" i="27"/>
  <c r="V321" i="27"/>
  <c r="O321" i="27"/>
  <c r="AC321" i="27"/>
  <c r="AJ321" i="27"/>
  <c r="AQ321" i="27"/>
  <c r="X350" i="27"/>
  <c r="AE350" i="27"/>
  <c r="AS350" i="27"/>
  <c r="Q350" i="27"/>
  <c r="AL350" i="27"/>
  <c r="V18" i="27"/>
  <c r="AC18" i="27"/>
  <c r="O18" i="27"/>
  <c r="AQ18" i="27"/>
  <c r="AJ18" i="27"/>
  <c r="AE225" i="27"/>
  <c r="Q225" i="27"/>
  <c r="AS225" i="27"/>
  <c r="X225" i="27"/>
  <c r="AL225" i="27"/>
  <c r="AQ60" i="27"/>
  <c r="AC60" i="27"/>
  <c r="V60" i="27"/>
  <c r="O60" i="27"/>
  <c r="AJ60" i="27"/>
  <c r="AL259" i="27"/>
  <c r="AS259" i="27"/>
  <c r="X259" i="27"/>
  <c r="AE259" i="27"/>
  <c r="Q259" i="27"/>
  <c r="W159" i="27"/>
  <c r="P159" i="27"/>
  <c r="AD159" i="27"/>
  <c r="AK159" i="27"/>
  <c r="AR159" i="27"/>
  <c r="AI259" i="27"/>
  <c r="U259" i="27"/>
  <c r="N259" i="27"/>
  <c r="AB259" i="27"/>
  <c r="AP259" i="27"/>
  <c r="AE235" i="27"/>
  <c r="AL235" i="27"/>
  <c r="X235" i="27"/>
  <c r="Q235" i="27"/>
  <c r="AS235" i="27"/>
  <c r="AR53" i="27"/>
  <c r="P53" i="27"/>
  <c r="AD53" i="27"/>
  <c r="W53" i="27"/>
  <c r="AK53" i="27"/>
  <c r="U353" i="27"/>
  <c r="AP353" i="27"/>
  <c r="AI353" i="27"/>
  <c r="N353" i="27"/>
  <c r="AB353" i="27"/>
  <c r="AI212" i="27"/>
  <c r="U212" i="27"/>
  <c r="N212" i="27"/>
  <c r="AP212" i="27"/>
  <c r="AB212" i="27"/>
  <c r="N26" i="27"/>
  <c r="AP26" i="27"/>
  <c r="U26" i="27"/>
  <c r="AI26" i="27"/>
  <c r="AB26" i="27"/>
  <c r="AF358" i="27"/>
  <c r="Y358" i="27"/>
  <c r="AT358" i="27"/>
  <c r="R358" i="27"/>
  <c r="AM358" i="27"/>
  <c r="Y212" i="27"/>
  <c r="R212" i="27"/>
  <c r="AM212" i="27"/>
  <c r="AT212" i="27"/>
  <c r="AF212" i="27"/>
  <c r="Q339" i="27"/>
  <c r="AL339" i="27"/>
  <c r="X339" i="27"/>
  <c r="AS339" i="27"/>
  <c r="AE339" i="27"/>
  <c r="AM12" i="27"/>
  <c r="AT12" i="27"/>
  <c r="AF12" i="27"/>
  <c r="R12" i="27"/>
  <c r="Y12" i="27"/>
  <c r="AQ209" i="27"/>
  <c r="AC209" i="27"/>
  <c r="AJ209" i="27"/>
  <c r="V209" i="27"/>
  <c r="O209" i="27"/>
  <c r="R127" i="27"/>
  <c r="AT127" i="27"/>
  <c r="Y127" i="27"/>
  <c r="AF127" i="27"/>
  <c r="AM127" i="27"/>
  <c r="V122" i="27"/>
  <c r="AC122" i="27"/>
  <c r="O122" i="27"/>
  <c r="AJ122" i="27"/>
  <c r="AQ122" i="27"/>
  <c r="AI249" i="27"/>
  <c r="U249" i="27"/>
  <c r="N249" i="27"/>
  <c r="AB249" i="27"/>
  <c r="AP249" i="27"/>
  <c r="P166" i="27"/>
  <c r="AK166" i="27"/>
  <c r="AR166" i="27"/>
  <c r="AD166" i="27"/>
  <c r="W166" i="27"/>
  <c r="V52" i="27"/>
  <c r="O52" i="27"/>
  <c r="AJ52" i="27"/>
  <c r="AQ52" i="27"/>
  <c r="AC52" i="27"/>
  <c r="Y172" i="27"/>
  <c r="R172" i="27"/>
  <c r="AF172" i="27"/>
  <c r="AT172" i="27"/>
  <c r="AM172" i="27"/>
  <c r="AJ231" i="27"/>
  <c r="AQ231" i="27"/>
  <c r="AC231" i="27"/>
  <c r="V231" i="27"/>
  <c r="O231" i="27"/>
  <c r="AQ266" i="27"/>
  <c r="AC266" i="27"/>
  <c r="AJ266" i="27"/>
  <c r="V266" i="27"/>
  <c r="O266" i="27"/>
  <c r="AB173" i="27"/>
  <c r="U173" i="27"/>
  <c r="AP173" i="27"/>
  <c r="AI173" i="27"/>
  <c r="N173" i="27"/>
  <c r="AT45" i="27"/>
  <c r="Y45" i="27"/>
  <c r="AM45" i="27"/>
  <c r="AF45" i="27"/>
  <c r="R45" i="27"/>
  <c r="W35" i="27"/>
  <c r="AR35" i="27"/>
  <c r="P35" i="27"/>
  <c r="AK35" i="27"/>
  <c r="AD35" i="27"/>
  <c r="AM125" i="27"/>
  <c r="R125" i="27"/>
  <c r="AF125" i="27"/>
  <c r="AT125" i="27"/>
  <c r="Y125" i="27"/>
  <c r="AT122" i="27"/>
  <c r="R122" i="27"/>
  <c r="AM122" i="27"/>
  <c r="AF122" i="27"/>
  <c r="Y122" i="27"/>
  <c r="AR76" i="27"/>
  <c r="AK76" i="27"/>
  <c r="AD76" i="27"/>
  <c r="P76" i="27"/>
  <c r="W76" i="27"/>
  <c r="O91" i="27"/>
  <c r="AC91" i="27"/>
  <c r="V91" i="27"/>
  <c r="AQ91" i="27"/>
  <c r="AJ91" i="27"/>
  <c r="W16" i="27"/>
  <c r="AR16" i="27"/>
  <c r="AK16" i="27"/>
  <c r="P16" i="27"/>
  <c r="AD16" i="27"/>
  <c r="V171" i="27"/>
  <c r="AC171" i="27"/>
  <c r="AQ171" i="27"/>
  <c r="AJ171" i="27"/>
  <c r="O171" i="27"/>
  <c r="AS297" i="27"/>
  <c r="AE297" i="27"/>
  <c r="X297" i="27"/>
  <c r="AL297" i="27"/>
  <c r="Q297" i="27"/>
  <c r="AI213" i="27"/>
  <c r="N213" i="27"/>
  <c r="AB213" i="27"/>
  <c r="U213" i="27"/>
  <c r="AP213" i="27"/>
  <c r="Q48" i="27"/>
  <c r="X48" i="27"/>
  <c r="AE48" i="27"/>
  <c r="AL48" i="27"/>
  <c r="AS48" i="27"/>
  <c r="AQ335" i="27"/>
  <c r="AC335" i="27"/>
  <c r="AJ335" i="27"/>
  <c r="V335" i="27"/>
  <c r="O335" i="27"/>
  <c r="AK212" i="27"/>
  <c r="W212" i="27"/>
  <c r="AR212" i="27"/>
  <c r="P212" i="27"/>
  <c r="AD212" i="27"/>
  <c r="AC148" i="27"/>
  <c r="V148" i="27"/>
  <c r="O148" i="27"/>
  <c r="AJ148" i="27"/>
  <c r="AQ148" i="27"/>
  <c r="AB247" i="27"/>
  <c r="U247" i="27"/>
  <c r="AP247" i="27"/>
  <c r="N247" i="27"/>
  <c r="AI247" i="27"/>
  <c r="AM173" i="27"/>
  <c r="Y173" i="27"/>
  <c r="R173" i="27"/>
  <c r="AT173" i="27"/>
  <c r="AF173" i="27"/>
  <c r="N235" i="27"/>
  <c r="EE235" i="27" s="1"/>
  <c r="AP235" i="27"/>
  <c r="AB235" i="27"/>
  <c r="AI235" i="27"/>
  <c r="U235" i="27"/>
  <c r="AT119" i="27"/>
  <c r="AM119" i="27"/>
  <c r="Y119" i="27"/>
  <c r="AF119" i="27"/>
  <c r="R119" i="27"/>
  <c r="X50" i="27"/>
  <c r="AE50" i="27"/>
  <c r="Q50" i="27"/>
  <c r="AS50" i="27"/>
  <c r="AL50" i="27"/>
  <c r="AT170" i="27"/>
  <c r="Y170" i="27"/>
  <c r="AM170" i="27"/>
  <c r="R170" i="27"/>
  <c r="AF170" i="27"/>
  <c r="AP363" i="27"/>
  <c r="AI363" i="27"/>
  <c r="N363" i="27"/>
  <c r="AB363" i="27"/>
  <c r="U363" i="27"/>
  <c r="AC326" i="27"/>
  <c r="O326" i="27"/>
  <c r="V326" i="27"/>
  <c r="AJ326" i="27"/>
  <c r="AQ326" i="27"/>
  <c r="Q129" i="27"/>
  <c r="X129" i="27"/>
  <c r="AS129" i="27"/>
  <c r="AL129" i="27"/>
  <c r="AE129" i="27"/>
  <c r="R190" i="27"/>
  <c r="AT190" i="27"/>
  <c r="Y190" i="27"/>
  <c r="AF190" i="27"/>
  <c r="AM190" i="27"/>
  <c r="AL151" i="27"/>
  <c r="X151" i="27"/>
  <c r="AS151" i="27"/>
  <c r="Q151" i="27"/>
  <c r="AE151" i="27"/>
  <c r="O264" i="27"/>
  <c r="AC264" i="27"/>
  <c r="AQ264" i="27"/>
  <c r="V264" i="27"/>
  <c r="AJ264" i="27"/>
  <c r="U147" i="27"/>
  <c r="AB147" i="27"/>
  <c r="AI147" i="27"/>
  <c r="AP147" i="27"/>
  <c r="N147" i="27"/>
  <c r="R13" i="27"/>
  <c r="Y13" i="27"/>
  <c r="AF13" i="27"/>
  <c r="AT13" i="27"/>
  <c r="AM13" i="27"/>
  <c r="Y187" i="27"/>
  <c r="R187" i="27"/>
  <c r="AM187" i="27"/>
  <c r="AF187" i="27"/>
  <c r="AT187" i="27"/>
  <c r="DG187" i="27" s="1"/>
  <c r="AQ92" i="27"/>
  <c r="AC92" i="27"/>
  <c r="V92" i="27"/>
  <c r="AJ92" i="27"/>
  <c r="O92" i="27"/>
  <c r="AK47" i="27"/>
  <c r="W47" i="27"/>
  <c r="AD47" i="27"/>
  <c r="P47" i="27"/>
  <c r="AR47" i="27"/>
  <c r="AC294" i="27"/>
  <c r="O294" i="27"/>
  <c r="AQ294" i="27"/>
  <c r="AJ294" i="27"/>
  <c r="V294" i="27"/>
  <c r="AI150" i="27"/>
  <c r="AB150" i="27"/>
  <c r="U150" i="27"/>
  <c r="N150" i="27"/>
  <c r="AP150" i="27"/>
  <c r="AP42" i="27"/>
  <c r="AI42" i="27"/>
  <c r="U42" i="27"/>
  <c r="AB42" i="27"/>
  <c r="N42" i="27"/>
  <c r="Y6" i="27"/>
  <c r="AM6" i="27"/>
  <c r="R6" i="27"/>
  <c r="AT6" i="27"/>
  <c r="AF6" i="27"/>
  <c r="GM6" i="27" s="1"/>
  <c r="AF270" i="27"/>
  <c r="R270" i="27"/>
  <c r="AT270" i="27"/>
  <c r="Y270" i="27"/>
  <c r="AM270" i="27"/>
  <c r="R217" i="27"/>
  <c r="AF217" i="27"/>
  <c r="AM217" i="27"/>
  <c r="Y217" i="27"/>
  <c r="AT217" i="27"/>
  <c r="AF136" i="27"/>
  <c r="AT136" i="27"/>
  <c r="AM136" i="27"/>
  <c r="R136" i="27"/>
  <c r="Y136" i="27"/>
  <c r="R222" i="27"/>
  <c r="AT222" i="27"/>
  <c r="AM222" i="27"/>
  <c r="AF222" i="27"/>
  <c r="Y222" i="27"/>
  <c r="AP222" i="27"/>
  <c r="AI222" i="27"/>
  <c r="AB222" i="27"/>
  <c r="U222" i="27"/>
  <c r="N222" i="27"/>
  <c r="W94" i="27"/>
  <c r="AD94" i="27"/>
  <c r="AR94" i="27"/>
  <c r="AK94" i="27"/>
  <c r="P94" i="27"/>
  <c r="AL121" i="27"/>
  <c r="AE121" i="27"/>
  <c r="AS121" i="27"/>
  <c r="X121" i="27"/>
  <c r="Q121" i="27"/>
  <c r="AL62" i="27"/>
  <c r="AS62" i="27"/>
  <c r="X62" i="27"/>
  <c r="AE62" i="27"/>
  <c r="Q62" i="27"/>
  <c r="AD156" i="27"/>
  <c r="P156" i="27"/>
  <c r="W156" i="27"/>
  <c r="AK156" i="27"/>
  <c r="AR156" i="27"/>
  <c r="AB215" i="27"/>
  <c r="U215" i="27"/>
  <c r="N215" i="27"/>
  <c r="AI215" i="27"/>
  <c r="AP215" i="27"/>
  <c r="AS86" i="27"/>
  <c r="AL86" i="27"/>
  <c r="AE86" i="27"/>
  <c r="X86" i="27"/>
  <c r="Q86" i="27"/>
  <c r="AD135" i="27"/>
  <c r="AK135" i="27"/>
  <c r="W135" i="27"/>
  <c r="P135" i="27"/>
  <c r="AR135" i="27"/>
  <c r="AR364" i="27"/>
  <c r="AD364" i="27"/>
  <c r="W364" i="27"/>
  <c r="P364" i="27"/>
  <c r="AK364" i="27"/>
  <c r="AC354" i="27"/>
  <c r="V354" i="27"/>
  <c r="O354" i="27"/>
  <c r="AJ354" i="27"/>
  <c r="AQ354" i="27"/>
  <c r="AL161" i="27"/>
  <c r="X161" i="27"/>
  <c r="Q161" i="27"/>
  <c r="AS161" i="27"/>
  <c r="AE161" i="27"/>
  <c r="AJ355" i="27"/>
  <c r="AC355" i="27"/>
  <c r="V355" i="27"/>
  <c r="AQ355" i="27"/>
  <c r="O355" i="27"/>
  <c r="O169" i="27"/>
  <c r="V169" i="27"/>
  <c r="AC169" i="27"/>
  <c r="AJ169" i="27"/>
  <c r="AQ169" i="27"/>
  <c r="AT256" i="27"/>
  <c r="R256" i="27"/>
  <c r="AM256" i="27"/>
  <c r="AF256" i="27"/>
  <c r="Y256" i="27"/>
  <c r="AK240" i="27"/>
  <c r="AD240" i="27"/>
  <c r="AR240" i="27"/>
  <c r="P240" i="27"/>
  <c r="W240" i="27"/>
  <c r="V9" i="27"/>
  <c r="AQ9" i="27"/>
  <c r="AJ9" i="27"/>
  <c r="AC9" i="27"/>
  <c r="O9" i="27"/>
  <c r="AT57" i="27"/>
  <c r="R57" i="27"/>
  <c r="AF57" i="27"/>
  <c r="AM57" i="27"/>
  <c r="Y57" i="27"/>
  <c r="AJ229" i="27"/>
  <c r="O229" i="27"/>
  <c r="AQ229" i="27"/>
  <c r="V229" i="27"/>
  <c r="AC229" i="27"/>
  <c r="AR186" i="27"/>
  <c r="P186" i="27"/>
  <c r="AK186" i="27"/>
  <c r="W186" i="27"/>
  <c r="AD186" i="27"/>
  <c r="AQ139" i="27"/>
  <c r="AJ139" i="27"/>
  <c r="AC139" i="27"/>
  <c r="V139" i="27"/>
  <c r="O139" i="27"/>
  <c r="AC22" i="27"/>
  <c r="V22" i="27"/>
  <c r="AQ22" i="27"/>
  <c r="AJ22" i="27"/>
  <c r="O22" i="27"/>
  <c r="W127" i="27"/>
  <c r="AD127" i="27"/>
  <c r="P127" i="27"/>
  <c r="AK127" i="27"/>
  <c r="AR127" i="27"/>
  <c r="AF147" i="27"/>
  <c r="AM147" i="27"/>
  <c r="R147" i="27"/>
  <c r="AT147" i="27"/>
  <c r="Y147" i="27"/>
  <c r="U132" i="27"/>
  <c r="N132" i="27"/>
  <c r="AI132" i="27"/>
  <c r="AP132" i="27"/>
  <c r="AB132" i="27"/>
  <c r="AF44" i="27"/>
  <c r="Y44" i="27"/>
  <c r="AM44" i="27"/>
  <c r="R44" i="27"/>
  <c r="AT44" i="27"/>
  <c r="AK179" i="27"/>
  <c r="W179" i="27"/>
  <c r="AD179" i="27"/>
  <c r="P179" i="27"/>
  <c r="AR179" i="27"/>
  <c r="AP14" i="27"/>
  <c r="N14" i="27"/>
  <c r="AB14" i="27"/>
  <c r="AI14" i="27"/>
  <c r="U14" i="27"/>
  <c r="AR167" i="27"/>
  <c r="W167" i="27"/>
  <c r="P167" i="27"/>
  <c r="AK167" i="27"/>
  <c r="AD167" i="27"/>
  <c r="V90" i="27"/>
  <c r="O90" i="27"/>
  <c r="AQ90" i="27"/>
  <c r="AJ90" i="27"/>
  <c r="AC90" i="27"/>
  <c r="O268" i="27"/>
  <c r="AQ268" i="27"/>
  <c r="AJ268" i="27"/>
  <c r="AC268" i="27"/>
  <c r="V268" i="27"/>
  <c r="AS45" i="27"/>
  <c r="AL45" i="27"/>
  <c r="AE45" i="27"/>
  <c r="X45" i="27"/>
  <c r="Q45" i="27"/>
  <c r="AI139" i="27"/>
  <c r="AP139" i="27"/>
  <c r="U139" i="27"/>
  <c r="AB139" i="27"/>
  <c r="N139" i="27"/>
  <c r="R28" i="27"/>
  <c r="AM28" i="27"/>
  <c r="AF28" i="27"/>
  <c r="AT28" i="27"/>
  <c r="Y28" i="27"/>
  <c r="O222" i="27"/>
  <c r="AC222" i="27"/>
  <c r="V222" i="27"/>
  <c r="AQ222" i="27"/>
  <c r="AJ222" i="27"/>
  <c r="R189" i="27"/>
  <c r="AT189" i="27"/>
  <c r="AF189" i="27"/>
  <c r="Y189" i="27"/>
  <c r="AM189" i="27"/>
  <c r="AD298" i="27"/>
  <c r="AR298" i="27"/>
  <c r="W298" i="27"/>
  <c r="P298" i="27"/>
  <c r="AK298" i="27"/>
  <c r="AE203" i="27"/>
  <c r="AL203" i="27"/>
  <c r="AS203" i="27"/>
  <c r="Q203" i="27"/>
  <c r="X203" i="27"/>
  <c r="V180" i="27"/>
  <c r="AJ180" i="27"/>
  <c r="O180" i="27"/>
  <c r="AC180" i="27"/>
  <c r="AQ180" i="27"/>
  <c r="U354" i="27"/>
  <c r="AB354" i="27"/>
  <c r="AI354" i="27"/>
  <c r="N354" i="27"/>
  <c r="AP354" i="27"/>
  <c r="AM152" i="27"/>
  <c r="Y152" i="27"/>
  <c r="AT152" i="27"/>
  <c r="AF152" i="27"/>
  <c r="R152" i="27"/>
  <c r="Q241" i="27"/>
  <c r="AL241" i="27"/>
  <c r="X241" i="27"/>
  <c r="AS241" i="27"/>
  <c r="AE241" i="27"/>
  <c r="AD198" i="27"/>
  <c r="P198" i="27"/>
  <c r="AR198" i="27"/>
  <c r="AK198" i="27"/>
  <c r="W198" i="27"/>
  <c r="X142" i="27"/>
  <c r="AL142" i="27"/>
  <c r="Q142" i="27"/>
  <c r="AS142" i="27"/>
  <c r="AE142" i="27"/>
  <c r="P46" i="27"/>
  <c r="AR46" i="27"/>
  <c r="W46" i="27"/>
  <c r="AD46" i="27"/>
  <c r="AK46" i="27"/>
  <c r="AB352" i="27"/>
  <c r="U352" i="27"/>
  <c r="AI352" i="27"/>
  <c r="N352" i="27"/>
  <c r="AP352" i="27"/>
  <c r="AP99" i="27"/>
  <c r="U99" i="27"/>
  <c r="N99" i="27"/>
  <c r="AI99" i="27"/>
  <c r="AB99" i="27"/>
  <c r="AD307" i="27"/>
  <c r="W307" i="27"/>
  <c r="AR307" i="27"/>
  <c r="AK307" i="27"/>
  <c r="P307" i="27"/>
  <c r="AP119" i="27"/>
  <c r="N119" i="27"/>
  <c r="AI119" i="27"/>
  <c r="AB119" i="27"/>
  <c r="U119" i="27"/>
  <c r="AM262" i="27"/>
  <c r="Y262" i="27"/>
  <c r="AF262" i="27"/>
  <c r="AT262" i="27"/>
  <c r="R262" i="27"/>
  <c r="X304" i="27"/>
  <c r="AS304" i="27"/>
  <c r="Q304" i="27"/>
  <c r="AL304" i="27"/>
  <c r="AE304" i="27"/>
  <c r="AQ95" i="27"/>
  <c r="AJ95" i="27"/>
  <c r="O95" i="27"/>
  <c r="AC95" i="27"/>
  <c r="V95" i="27"/>
  <c r="AS292" i="27"/>
  <c r="X292" i="27"/>
  <c r="AE292" i="27"/>
  <c r="AL292" i="27"/>
  <c r="Q292" i="27"/>
  <c r="AE319" i="27"/>
  <c r="AS319" i="27"/>
  <c r="Q319" i="27"/>
  <c r="AL319" i="27"/>
  <c r="X319" i="27"/>
  <c r="R97" i="27"/>
  <c r="AM97" i="27"/>
  <c r="AF97" i="27"/>
  <c r="Y97" i="27"/>
  <c r="AT97" i="27"/>
  <c r="AK70" i="27"/>
  <c r="AD70" i="27"/>
  <c r="P70" i="27"/>
  <c r="W70" i="27"/>
  <c r="AR70" i="27"/>
  <c r="W122" i="27"/>
  <c r="AR122" i="27"/>
  <c r="P122" i="27"/>
  <c r="AK122" i="27"/>
  <c r="AD122" i="27"/>
  <c r="V129" i="27"/>
  <c r="O129" i="27"/>
  <c r="AJ129" i="27"/>
  <c r="AC129" i="27"/>
  <c r="AQ129" i="27"/>
  <c r="AI192" i="27"/>
  <c r="U192" i="27"/>
  <c r="N192" i="27"/>
  <c r="AB192" i="27"/>
  <c r="AP192" i="27"/>
  <c r="AI263" i="27"/>
  <c r="N263" i="27"/>
  <c r="U263" i="27"/>
  <c r="AP263" i="27"/>
  <c r="FC263" i="27" s="1"/>
  <c r="AB263" i="27"/>
  <c r="AB102" i="27"/>
  <c r="N102" i="27"/>
  <c r="U102" i="27"/>
  <c r="AP102" i="27"/>
  <c r="AI102" i="27"/>
  <c r="U335" i="27"/>
  <c r="N335" i="27"/>
  <c r="AI335" i="27"/>
  <c r="AP335" i="27"/>
  <c r="AB335" i="27"/>
  <c r="AJ221" i="27"/>
  <c r="O221" i="27"/>
  <c r="AQ221" i="27"/>
  <c r="AC221" i="27"/>
  <c r="V221" i="27"/>
  <c r="X347" i="27"/>
  <c r="AL347" i="27"/>
  <c r="Q347" i="27"/>
  <c r="AE347" i="27"/>
  <c r="AS347" i="27"/>
  <c r="AR131" i="27"/>
  <c r="P131" i="27"/>
  <c r="AD131" i="27"/>
  <c r="W131" i="27"/>
  <c r="AK131" i="27"/>
  <c r="O299" i="27"/>
  <c r="V299" i="27"/>
  <c r="AQ299" i="27"/>
  <c r="AJ299" i="27"/>
  <c r="AC299" i="27"/>
  <c r="P79" i="27"/>
  <c r="AK79" i="27"/>
  <c r="W79" i="27"/>
  <c r="AD79" i="27"/>
  <c r="AR79" i="27"/>
  <c r="AB55" i="27"/>
  <c r="U55" i="27"/>
  <c r="N55" i="27"/>
  <c r="AI55" i="27"/>
  <c r="AP55" i="27"/>
  <c r="W196" i="27"/>
  <c r="P196" i="27"/>
  <c r="AR196" i="27"/>
  <c r="AD196" i="27"/>
  <c r="AK196" i="27"/>
  <c r="V200" i="27"/>
  <c r="AQ200" i="27"/>
  <c r="AC200" i="27"/>
  <c r="AJ200" i="27"/>
  <c r="O200" i="27"/>
  <c r="Q247" i="27"/>
  <c r="AE247" i="27"/>
  <c r="AL247" i="27"/>
  <c r="X247" i="27"/>
  <c r="AS247" i="27"/>
  <c r="AT169" i="27"/>
  <c r="R169" i="27"/>
  <c r="AF169" i="27"/>
  <c r="AM169" i="27"/>
  <c r="Y169" i="27"/>
  <c r="AR148" i="27"/>
  <c r="AD148" i="27"/>
  <c r="AK148" i="27"/>
  <c r="W148" i="27"/>
  <c r="P148" i="27"/>
  <c r="Y149" i="27"/>
  <c r="AM149" i="27"/>
  <c r="AF149" i="27"/>
  <c r="AT149" i="27"/>
  <c r="R149" i="27"/>
  <c r="AI178" i="27"/>
  <c r="U178" i="27"/>
  <c r="AP178" i="27"/>
  <c r="N178" i="27"/>
  <c r="AB178" i="27"/>
  <c r="Q255" i="27"/>
  <c r="AS255" i="27"/>
  <c r="AE255" i="27"/>
  <c r="X255" i="27"/>
  <c r="AL255" i="27"/>
  <c r="AP205" i="27"/>
  <c r="AB205" i="27"/>
  <c r="AI205" i="27"/>
  <c r="U205" i="27"/>
  <c r="N205" i="27"/>
  <c r="AB177" i="27"/>
  <c r="N177" i="27"/>
  <c r="AI177" i="27"/>
  <c r="U177" i="27"/>
  <c r="AP177" i="27"/>
  <c r="P29" i="27"/>
  <c r="W29" i="27"/>
  <c r="AK29" i="27"/>
  <c r="AD29" i="27"/>
  <c r="AR29" i="27"/>
  <c r="AJ68" i="27"/>
  <c r="V68" i="27"/>
  <c r="AC68" i="27"/>
  <c r="AQ68" i="27"/>
  <c r="O68" i="27"/>
  <c r="AB183" i="27"/>
  <c r="AI183" i="27"/>
  <c r="N183" i="27"/>
  <c r="AP183" i="27"/>
  <c r="U183" i="27"/>
  <c r="AB220" i="27"/>
  <c r="U220" i="27"/>
  <c r="N220" i="27"/>
  <c r="AP220" i="27"/>
  <c r="AI220" i="27"/>
  <c r="AR27" i="27"/>
  <c r="P27" i="27"/>
  <c r="AK27" i="27"/>
  <c r="AD27" i="27"/>
  <c r="W27" i="27"/>
  <c r="AJ72" i="27"/>
  <c r="AC72" i="27"/>
  <c r="V72" i="27"/>
  <c r="O72" i="27"/>
  <c r="AQ72" i="27"/>
  <c r="AR274" i="27"/>
  <c r="W274" i="27"/>
  <c r="AD274" i="27"/>
  <c r="AK274" i="27"/>
  <c r="P274" i="27"/>
  <c r="Y67" i="27"/>
  <c r="AF67" i="27"/>
  <c r="R67" i="27"/>
  <c r="AM67" i="27"/>
  <c r="AT67" i="27"/>
  <c r="R33" i="27"/>
  <c r="AF33" i="27"/>
  <c r="AT33" i="27"/>
  <c r="Y33" i="27"/>
  <c r="AM33" i="27"/>
  <c r="AE72" i="27"/>
  <c r="AL72" i="27"/>
  <c r="Q72" i="27"/>
  <c r="AS72" i="27"/>
  <c r="X72" i="27"/>
  <c r="AM184" i="27"/>
  <c r="AF184" i="27"/>
  <c r="AT184" i="27"/>
  <c r="Y184" i="27"/>
  <c r="R184" i="27"/>
  <c r="AK137" i="27"/>
  <c r="AD137" i="27"/>
  <c r="P137" i="27"/>
  <c r="W137" i="27"/>
  <c r="AR137" i="27"/>
  <c r="AK260" i="27"/>
  <c r="AD260" i="27"/>
  <c r="W260" i="27"/>
  <c r="P260" i="27"/>
  <c r="AR260" i="27"/>
  <c r="AK38" i="27"/>
  <c r="P38" i="27"/>
  <c r="W38" i="27"/>
  <c r="AD38" i="27"/>
  <c r="AR38" i="27"/>
  <c r="Q77" i="27"/>
  <c r="X77" i="27"/>
  <c r="AS77" i="27"/>
  <c r="AE77" i="27"/>
  <c r="AL77" i="27"/>
  <c r="AD75" i="27"/>
  <c r="AK75" i="27"/>
  <c r="AR75" i="27"/>
  <c r="W75" i="27"/>
  <c r="P75" i="27"/>
  <c r="AL7" i="27"/>
  <c r="AE7" i="27"/>
  <c r="X7" i="27"/>
  <c r="AS7" i="27"/>
  <c r="Q7" i="27"/>
  <c r="X180" i="27"/>
  <c r="AE180" i="27"/>
  <c r="Q180" i="27"/>
  <c r="AS180" i="27"/>
  <c r="AL180" i="27"/>
  <c r="AL303" i="27"/>
  <c r="AS303" i="27"/>
  <c r="AE303" i="27"/>
  <c r="X303" i="27"/>
  <c r="Q303" i="27"/>
  <c r="U254" i="27"/>
  <c r="N254" i="27"/>
  <c r="AI254" i="27"/>
  <c r="AP254" i="27"/>
  <c r="AB254" i="27"/>
  <c r="U107" i="27"/>
  <c r="AI107" i="27"/>
  <c r="AB107" i="27"/>
  <c r="N107" i="27"/>
  <c r="AP107" i="27"/>
  <c r="AI227" i="27"/>
  <c r="AB227" i="27"/>
  <c r="AP227" i="27"/>
  <c r="U227" i="27"/>
  <c r="GG227" i="27" s="1"/>
  <c r="N227" i="27"/>
  <c r="AD270" i="27"/>
  <c r="W270" i="27"/>
  <c r="AR270" i="27"/>
  <c r="P270" i="27"/>
  <c r="AK270" i="27"/>
  <c r="AF259" i="27"/>
  <c r="AM259" i="27"/>
  <c r="Y259" i="27"/>
  <c r="AT259" i="27"/>
  <c r="R259" i="27"/>
  <c r="AT264" i="27"/>
  <c r="Y264" i="27"/>
  <c r="R264" i="27"/>
  <c r="AM264" i="27"/>
  <c r="AF264" i="27"/>
  <c r="Q310" i="27"/>
  <c r="AS310" i="27"/>
  <c r="AL310" i="27"/>
  <c r="AE310" i="27"/>
  <c r="X310" i="27"/>
  <c r="AT349" i="27"/>
  <c r="Y349" i="27"/>
  <c r="AF349" i="27"/>
  <c r="AM349" i="27"/>
  <c r="R349" i="27"/>
  <c r="AI289" i="27"/>
  <c r="U289" i="27"/>
  <c r="AP289" i="27"/>
  <c r="N289" i="27"/>
  <c r="AB289" i="27"/>
  <c r="O33" i="27"/>
  <c r="AJ33" i="27"/>
  <c r="AC33" i="27"/>
  <c r="AQ33" i="27"/>
  <c r="V33" i="27"/>
  <c r="AD39" i="27"/>
  <c r="P39" i="27"/>
  <c r="AR39" i="27"/>
  <c r="W39" i="27"/>
  <c r="AK39" i="27"/>
  <c r="AI29" i="27"/>
  <c r="U29" i="27"/>
  <c r="AP29" i="27"/>
  <c r="AB29" i="27"/>
  <c r="N29" i="27"/>
  <c r="CI29" i="27" s="1"/>
  <c r="AB285" i="27"/>
  <c r="AI285" i="27"/>
  <c r="U285" i="27"/>
  <c r="N285" i="27"/>
  <c r="AP285" i="27"/>
  <c r="AR249" i="27"/>
  <c r="AK249" i="27"/>
  <c r="P249" i="27"/>
  <c r="W249" i="27"/>
  <c r="AD249" i="27"/>
  <c r="AF55" i="27"/>
  <c r="R55" i="27"/>
  <c r="AM55" i="27"/>
  <c r="Y55" i="27"/>
  <c r="AT55" i="27"/>
  <c r="AF128" i="27"/>
  <c r="R128" i="27"/>
  <c r="Y128" i="27"/>
  <c r="AT128" i="27"/>
  <c r="AM128" i="27"/>
  <c r="X177" i="27"/>
  <c r="AL177" i="27"/>
  <c r="AE177" i="27"/>
  <c r="AS177" i="27"/>
  <c r="Q177" i="27"/>
  <c r="Q176" i="27"/>
  <c r="AL176" i="27"/>
  <c r="AE176" i="27"/>
  <c r="X176" i="27"/>
  <c r="AS176" i="27"/>
  <c r="AR112" i="27"/>
  <c r="P112" i="27"/>
  <c r="AK112" i="27"/>
  <c r="W112" i="27"/>
  <c r="AD112" i="27"/>
  <c r="AR250" i="27"/>
  <c r="P250" i="27"/>
  <c r="W250" i="27"/>
  <c r="AD250" i="27"/>
  <c r="AK250" i="27"/>
  <c r="AL46" i="27"/>
  <c r="AS46" i="27"/>
  <c r="Q46" i="27"/>
  <c r="X46" i="27"/>
  <c r="AE46" i="27"/>
  <c r="Q226" i="27"/>
  <c r="AS226" i="27"/>
  <c r="X226" i="27"/>
  <c r="AE226" i="27"/>
  <c r="AL226" i="27"/>
  <c r="Q154" i="27"/>
  <c r="X154" i="27"/>
  <c r="AE154" i="27"/>
  <c r="AL154" i="27"/>
  <c r="AS154" i="27"/>
  <c r="AK181" i="27"/>
  <c r="AR181" i="27"/>
  <c r="AD181" i="27"/>
  <c r="W181" i="27"/>
  <c r="P181" i="27"/>
  <c r="AL313" i="27"/>
  <c r="AE313" i="27"/>
  <c r="Q313" i="27"/>
  <c r="AS313" i="27"/>
  <c r="X313" i="27"/>
  <c r="AP41" i="27"/>
  <c r="U41" i="27"/>
  <c r="AI41" i="27"/>
  <c r="AB41" i="27"/>
  <c r="N41" i="27"/>
  <c r="U293" i="27"/>
  <c r="N293" i="27"/>
  <c r="AP293" i="27"/>
  <c r="AI293" i="27"/>
  <c r="AB293" i="27"/>
  <c r="AR140" i="27"/>
  <c r="AK140" i="27"/>
  <c r="W140" i="27"/>
  <c r="P140" i="27"/>
  <c r="AD140" i="27"/>
  <c r="AB86" i="27"/>
  <c r="AI86" i="27"/>
  <c r="AP86" i="27"/>
  <c r="N86" i="27"/>
  <c r="U86" i="27"/>
  <c r="AB125" i="27"/>
  <c r="AI125" i="27"/>
  <c r="AP125" i="27"/>
  <c r="N125" i="27"/>
  <c r="U125" i="27"/>
  <c r="AD99" i="27"/>
  <c r="P99" i="27"/>
  <c r="W99" i="27"/>
  <c r="AR99" i="27"/>
  <c r="AK99" i="27"/>
  <c r="AR326" i="27"/>
  <c r="W326" i="27"/>
  <c r="AK326" i="27"/>
  <c r="AD326" i="27"/>
  <c r="P326" i="27"/>
  <c r="AR273" i="27"/>
  <c r="P273" i="27"/>
  <c r="AD273" i="27"/>
  <c r="W273" i="27"/>
  <c r="AK273" i="27"/>
  <c r="AQ65" i="27"/>
  <c r="AJ65" i="27"/>
  <c r="AC65" i="27"/>
  <c r="O65" i="27"/>
  <c r="V65" i="27"/>
  <c r="R180" i="27"/>
  <c r="AF180" i="27"/>
  <c r="AM180" i="27"/>
  <c r="AT180" i="27"/>
  <c r="Y180" i="27"/>
  <c r="AS110" i="27"/>
  <c r="AL110" i="27"/>
  <c r="AE110" i="27"/>
  <c r="X110" i="27"/>
  <c r="Q110" i="27"/>
  <c r="AB134" i="27"/>
  <c r="AI134" i="27"/>
  <c r="N134" i="27"/>
  <c r="U134" i="27"/>
  <c r="AP134" i="27"/>
  <c r="O276" i="27"/>
  <c r="AJ276" i="27"/>
  <c r="AQ276" i="27"/>
  <c r="V276" i="27"/>
  <c r="AC276" i="27"/>
  <c r="AI101" i="27"/>
  <c r="U101" i="27"/>
  <c r="N101" i="27"/>
  <c r="AB101" i="27"/>
  <c r="AP101" i="27"/>
  <c r="V62" i="27"/>
  <c r="AQ62" i="27"/>
  <c r="AJ62" i="27"/>
  <c r="AC62" i="27"/>
  <c r="O62" i="27"/>
  <c r="Q231" i="27"/>
  <c r="AS231" i="27"/>
  <c r="AE231" i="27"/>
  <c r="X231" i="27"/>
  <c r="AL231" i="27"/>
  <c r="AM245" i="27"/>
  <c r="AT245" i="27"/>
  <c r="AF245" i="27"/>
  <c r="R245" i="27"/>
  <c r="Y245" i="27"/>
  <c r="AS341" i="27"/>
  <c r="X341" i="27"/>
  <c r="AL341" i="27"/>
  <c r="Q341" i="27"/>
  <c r="AE341" i="27"/>
  <c r="AL68" i="27"/>
  <c r="AE68" i="27"/>
  <c r="AS68" i="27"/>
  <c r="Q68" i="27"/>
  <c r="X68" i="27"/>
  <c r="N237" i="27"/>
  <c r="AP237" i="27"/>
  <c r="AB237" i="27"/>
  <c r="AI237" i="27"/>
  <c r="U237" i="27"/>
  <c r="AC250" i="27"/>
  <c r="AJ250" i="27"/>
  <c r="AQ250" i="27"/>
  <c r="V250" i="27"/>
  <c r="O250" i="27"/>
  <c r="AD363" i="27"/>
  <c r="AK363" i="27"/>
  <c r="W363" i="27"/>
  <c r="P363" i="27"/>
  <c r="AR363" i="27"/>
  <c r="AK43" i="27"/>
  <c r="AD43" i="27"/>
  <c r="W43" i="27"/>
  <c r="AR43" i="27"/>
  <c r="P43" i="27"/>
  <c r="O146" i="27"/>
  <c r="V146" i="27"/>
  <c r="AQ146" i="27"/>
  <c r="AJ146" i="27"/>
  <c r="AC146" i="27"/>
  <c r="AQ300" i="27"/>
  <c r="AJ300" i="27"/>
  <c r="V300" i="27"/>
  <c r="AC300" i="27"/>
  <c r="O300" i="27"/>
  <c r="U69" i="27"/>
  <c r="N69" i="27"/>
  <c r="AB69" i="27"/>
  <c r="AI69" i="27"/>
  <c r="AP69" i="27"/>
  <c r="R105" i="27"/>
  <c r="AF105" i="27"/>
  <c r="Y105" i="27"/>
  <c r="AM105" i="27"/>
  <c r="AT105" i="27"/>
  <c r="AK296" i="27"/>
  <c r="AD296" i="27"/>
  <c r="P296" i="27"/>
  <c r="AR296" i="27"/>
  <c r="W296" i="27"/>
  <c r="AT130" i="27"/>
  <c r="AF130" i="27"/>
  <c r="Y130" i="27"/>
  <c r="AM130" i="27"/>
  <c r="R130" i="27"/>
  <c r="Q240" i="27"/>
  <c r="X240" i="27"/>
  <c r="AS240" i="27"/>
  <c r="AL240" i="27"/>
  <c r="AE240" i="27"/>
  <c r="W109" i="27"/>
  <c r="P109" i="27"/>
  <c r="AR109" i="27"/>
  <c r="AK109" i="27"/>
  <c r="AD109" i="27"/>
  <c r="AQ274" i="27"/>
  <c r="V274" i="27"/>
  <c r="AC274" i="27"/>
  <c r="O274" i="27"/>
  <c r="AJ274" i="27"/>
  <c r="Y351" i="27"/>
  <c r="AF351" i="27"/>
  <c r="R351" i="27"/>
  <c r="AT351" i="27"/>
  <c r="AM351" i="27"/>
  <c r="W185" i="27"/>
  <c r="AD185" i="27"/>
  <c r="AR185" i="27"/>
  <c r="P185" i="27"/>
  <c r="AK185" i="27"/>
  <c r="AP331" i="27"/>
  <c r="N331" i="27"/>
  <c r="AB331" i="27"/>
  <c r="AI331" i="27"/>
  <c r="U331" i="27"/>
  <c r="AL269" i="27"/>
  <c r="Q269" i="27"/>
  <c r="AE269" i="27"/>
  <c r="X269" i="27"/>
  <c r="AS269" i="27"/>
  <c r="W333" i="27"/>
  <c r="AR333" i="27"/>
  <c r="AD333" i="27"/>
  <c r="P333" i="27"/>
  <c r="AK333" i="27"/>
  <c r="AP39" i="27"/>
  <c r="AB39" i="27"/>
  <c r="N39" i="27"/>
  <c r="AI39" i="27"/>
  <c r="U39" i="27"/>
  <c r="AT153" i="27"/>
  <c r="AM153" i="27"/>
  <c r="R153" i="27"/>
  <c r="Y153" i="27"/>
  <c r="AF153" i="27"/>
  <c r="AM302" i="27"/>
  <c r="Y302" i="27"/>
  <c r="R302" i="27"/>
  <c r="AF302" i="27"/>
  <c r="AT302" i="27"/>
  <c r="AD241" i="27"/>
  <c r="AK241" i="27"/>
  <c r="P241" i="27"/>
  <c r="W241" i="27"/>
  <c r="AR241" i="27"/>
  <c r="AL262" i="27"/>
  <c r="AE262" i="27"/>
  <c r="Q262" i="27"/>
  <c r="X262" i="27"/>
  <c r="AS262" i="27"/>
  <c r="AF146" i="27"/>
  <c r="R146" i="27"/>
  <c r="AT146" i="27"/>
  <c r="AM146" i="27"/>
  <c r="Y146" i="27"/>
  <c r="AL158" i="27"/>
  <c r="X158" i="27"/>
  <c r="AS158" i="27"/>
  <c r="Q158" i="27"/>
  <c r="AE158" i="27"/>
  <c r="AC167" i="27"/>
  <c r="O167" i="27"/>
  <c r="V167" i="27"/>
  <c r="AQ167" i="27"/>
  <c r="AJ167" i="27"/>
  <c r="AJ150" i="27"/>
  <c r="O150" i="27"/>
  <c r="V150" i="27"/>
  <c r="AQ150" i="27"/>
  <c r="AC150" i="27"/>
  <c r="AJ105" i="27"/>
  <c r="V105" i="27"/>
  <c r="O105" i="27"/>
  <c r="AQ105" i="27"/>
  <c r="AC105" i="27"/>
  <c r="AK34" i="27"/>
  <c r="AR34" i="27"/>
  <c r="AD34" i="27"/>
  <c r="W34" i="27"/>
  <c r="P34" i="27"/>
  <c r="AK151" i="27"/>
  <c r="P151" i="27"/>
  <c r="AD151" i="27"/>
  <c r="AR151" i="27"/>
  <c r="W151" i="27"/>
  <c r="AB308" i="27"/>
  <c r="U308" i="27"/>
  <c r="AI308" i="27"/>
  <c r="N308" i="27"/>
  <c r="AP308" i="27"/>
  <c r="W259" i="27"/>
  <c r="AK259" i="27"/>
  <c r="AD259" i="27"/>
  <c r="P259" i="27"/>
  <c r="AR259" i="27"/>
  <c r="AC295" i="27"/>
  <c r="AQ295" i="27"/>
  <c r="AJ295" i="27"/>
  <c r="V295" i="27"/>
  <c r="O295" i="27"/>
  <c r="Y211" i="27"/>
  <c r="R211" i="27"/>
  <c r="AT211" i="27"/>
  <c r="AM211" i="27"/>
  <c r="AF211" i="27"/>
  <c r="Q96" i="27"/>
  <c r="AE96" i="27"/>
  <c r="X96" i="27"/>
  <c r="AS96" i="27"/>
  <c r="AL96" i="27"/>
  <c r="R87" i="27"/>
  <c r="AM87" i="27"/>
  <c r="AT87" i="27"/>
  <c r="AK10" i="23"/>
  <c r="Y87" i="27"/>
  <c r="AF87" i="27"/>
  <c r="W130" i="27"/>
  <c r="AR130" i="27"/>
  <c r="AK130" i="27"/>
  <c r="AD130" i="27"/>
  <c r="P130" i="27"/>
  <c r="AC226" i="27"/>
  <c r="V226" i="27"/>
  <c r="O226" i="27"/>
  <c r="AQ226" i="27"/>
  <c r="AJ226" i="27"/>
  <c r="AK77" i="27"/>
  <c r="P77" i="27"/>
  <c r="AD77" i="27"/>
  <c r="AR77" i="27"/>
  <c r="W77" i="27"/>
  <c r="N70" i="27"/>
  <c r="U70" i="27"/>
  <c r="AP70" i="27"/>
  <c r="AB70" i="27"/>
  <c r="AI70" i="27"/>
  <c r="O49" i="27"/>
  <c r="AQ49" i="27"/>
  <c r="AJ49" i="27"/>
  <c r="AC49" i="27"/>
  <c r="V49" i="27"/>
  <c r="AL260" i="27"/>
  <c r="X260" i="27"/>
  <c r="Q260" i="27"/>
  <c r="AS260" i="27"/>
  <c r="AE260" i="27"/>
  <c r="U98" i="27"/>
  <c r="N98" i="27"/>
  <c r="AB98" i="27"/>
  <c r="AP98" i="27"/>
  <c r="AI98" i="27"/>
  <c r="U261" i="27"/>
  <c r="AB261" i="27"/>
  <c r="AP261" i="27"/>
  <c r="AI261" i="27"/>
  <c r="N261" i="27"/>
  <c r="AR346" i="27"/>
  <c r="P346" i="27"/>
  <c r="AK346" i="27"/>
  <c r="W346" i="27"/>
  <c r="AD346" i="27"/>
  <c r="AD283" i="27"/>
  <c r="W283" i="27"/>
  <c r="AR283" i="27"/>
  <c r="P283" i="27"/>
  <c r="AK283" i="27"/>
  <c r="AM296" i="27"/>
  <c r="AF296" i="27"/>
  <c r="Y296" i="27"/>
  <c r="AT296" i="27"/>
  <c r="R296" i="27"/>
  <c r="AJ165" i="27"/>
  <c r="AQ165" i="27"/>
  <c r="O165" i="27"/>
  <c r="V165" i="27"/>
  <c r="AC165" i="27"/>
  <c r="P78" i="27"/>
  <c r="AR78" i="27"/>
  <c r="AK78" i="27"/>
  <c r="AD78" i="27"/>
  <c r="W78" i="27"/>
  <c r="P203" i="27"/>
  <c r="AK203" i="27"/>
  <c r="W203" i="27"/>
  <c r="AD203" i="27"/>
  <c r="AR203" i="27"/>
  <c r="X213" i="27"/>
  <c r="AE213" i="27"/>
  <c r="AL213" i="27"/>
  <c r="Q213" i="27"/>
  <c r="AS213" i="27"/>
  <c r="AL80" i="27"/>
  <c r="X80" i="27"/>
  <c r="Q80" i="27"/>
  <c r="AE80" i="27"/>
  <c r="AS80" i="27"/>
  <c r="AB164" i="27"/>
  <c r="U164" i="27"/>
  <c r="AP164" i="27"/>
  <c r="N164" i="27"/>
  <c r="AI164" i="27"/>
  <c r="AR193" i="27"/>
  <c r="AK193" i="27"/>
  <c r="P193" i="27"/>
  <c r="W193" i="27"/>
  <c r="AD193" i="27"/>
  <c r="W226" i="27"/>
  <c r="AD226" i="27"/>
  <c r="AR226" i="27"/>
  <c r="P226" i="27"/>
  <c r="AK226" i="27"/>
  <c r="AK329" i="27"/>
  <c r="W329" i="27"/>
  <c r="AR329" i="27"/>
  <c r="P329" i="27"/>
  <c r="AD329" i="27"/>
  <c r="O246" i="27"/>
  <c r="V246" i="27"/>
  <c r="AQ246" i="27"/>
  <c r="AC246" i="27"/>
  <c r="AJ246" i="27"/>
  <c r="AI75" i="27"/>
  <c r="N75" i="27"/>
  <c r="AP75" i="27"/>
  <c r="AB75" i="27"/>
  <c r="U75" i="27"/>
  <c r="P157" i="27"/>
  <c r="AR157" i="27"/>
  <c r="AD157" i="27"/>
  <c r="AK157" i="27"/>
  <c r="W157" i="27"/>
  <c r="AP209" i="27"/>
  <c r="AB209" i="27"/>
  <c r="CU209" i="27" s="1"/>
  <c r="U209" i="27"/>
  <c r="GG209" i="27" s="1"/>
  <c r="N209" i="27"/>
  <c r="AI209" i="27"/>
  <c r="AQ205" i="27"/>
  <c r="AC205" i="27"/>
  <c r="AJ205" i="27"/>
  <c r="V205" i="27"/>
  <c r="O205" i="27"/>
  <c r="Q357" i="27"/>
  <c r="X357" i="27"/>
  <c r="AL357" i="27"/>
  <c r="AE357" i="27"/>
  <c r="AS357" i="27"/>
  <c r="AD80" i="27"/>
  <c r="AK80" i="27"/>
  <c r="W80" i="27"/>
  <c r="P80" i="27"/>
  <c r="AR80" i="27"/>
  <c r="Q322" i="27"/>
  <c r="X322" i="27"/>
  <c r="AS322" i="27"/>
  <c r="AL322" i="27"/>
  <c r="AE322" i="27"/>
  <c r="AT253" i="27"/>
  <c r="AM253" i="27"/>
  <c r="AF253" i="27"/>
  <c r="Y253" i="27"/>
  <c r="R253" i="27"/>
  <c r="U106" i="27"/>
  <c r="AI106" i="27"/>
  <c r="N106" i="27"/>
  <c r="AP106" i="27"/>
  <c r="AB106" i="27"/>
  <c r="Q355" i="27"/>
  <c r="AL355" i="27"/>
  <c r="AE355" i="27"/>
  <c r="X355" i="27"/>
  <c r="AS355" i="27"/>
  <c r="AM252" i="27"/>
  <c r="AF252" i="27"/>
  <c r="Y252" i="27"/>
  <c r="AT252" i="27"/>
  <c r="R252" i="27"/>
  <c r="P342" i="27"/>
  <c r="W342" i="27"/>
  <c r="AD342" i="27"/>
  <c r="AR342" i="27"/>
  <c r="AK342" i="27"/>
  <c r="AP262" i="27"/>
  <c r="AI262" i="27"/>
  <c r="AB262" i="27"/>
  <c r="U262" i="27"/>
  <c r="N262" i="27"/>
  <c r="AL44" i="27"/>
  <c r="Q44" i="27"/>
  <c r="AS44" i="27"/>
  <c r="X44" i="27"/>
  <c r="AE44" i="27"/>
  <c r="AS97" i="27"/>
  <c r="X97" i="27"/>
  <c r="AE97" i="27"/>
  <c r="Q97" i="27"/>
  <c r="AL97" i="27"/>
  <c r="W292" i="27"/>
  <c r="AK292" i="27"/>
  <c r="P292" i="27"/>
  <c r="AD292" i="27"/>
  <c r="AR292" i="27"/>
  <c r="AF207" i="27"/>
  <c r="Y207" i="27"/>
  <c r="AT207" i="27"/>
  <c r="R207" i="27"/>
  <c r="AM207" i="27"/>
  <c r="AB131" i="27"/>
  <c r="U131" i="27"/>
  <c r="AI131" i="27"/>
  <c r="N131" i="27"/>
  <c r="AP131" i="27"/>
  <c r="AD321" i="27"/>
  <c r="AK321" i="27"/>
  <c r="W321" i="27"/>
  <c r="P321" i="27"/>
  <c r="AR321" i="27"/>
  <c r="U16" i="27"/>
  <c r="AB16" i="27"/>
  <c r="AP16" i="27"/>
  <c r="N16" i="27"/>
  <c r="AI16" i="27"/>
  <c r="W294" i="27"/>
  <c r="AD294" i="27"/>
  <c r="P294" i="27"/>
  <c r="AR294" i="27"/>
  <c r="AK294" i="27"/>
  <c r="AS229" i="27"/>
  <c r="AE229" i="27"/>
  <c r="AL229" i="27"/>
  <c r="X229" i="27"/>
  <c r="Q229" i="27"/>
  <c r="N90" i="27"/>
  <c r="U90" i="27"/>
  <c r="AB90" i="27"/>
  <c r="AI90" i="27"/>
  <c r="AP90" i="27"/>
  <c r="X315" i="27"/>
  <c r="AE315" i="27"/>
  <c r="AS315" i="27"/>
  <c r="AL315" i="27"/>
  <c r="Q315" i="27"/>
  <c r="AR141" i="27"/>
  <c r="P141" i="27"/>
  <c r="AK141" i="27"/>
  <c r="AD141" i="27"/>
  <c r="W141" i="27"/>
  <c r="N304" i="27"/>
  <c r="AI304" i="27"/>
  <c r="AP304" i="27"/>
  <c r="AB304" i="27"/>
  <c r="U304" i="27"/>
  <c r="AE105" i="27"/>
  <c r="AS105" i="27"/>
  <c r="Q105" i="27"/>
  <c r="AL105" i="27"/>
  <c r="X105" i="27"/>
  <c r="P289" i="27"/>
  <c r="AK289" i="27"/>
  <c r="AR289" i="27"/>
  <c r="AD289" i="27"/>
  <c r="W289" i="27"/>
  <c r="Y71" i="27"/>
  <c r="AM71" i="27"/>
  <c r="AT71" i="27"/>
  <c r="R71" i="27"/>
  <c r="AF71" i="27"/>
  <c r="AF365" i="27"/>
  <c r="AM365" i="27"/>
  <c r="Y365" i="27"/>
  <c r="AT365" i="27"/>
  <c r="R365" i="27"/>
  <c r="AJ106" i="27"/>
  <c r="AC106" i="27"/>
  <c r="V106" i="27"/>
  <c r="O106" i="27"/>
  <c r="AQ106" i="27"/>
  <c r="AT104" i="27"/>
  <c r="R104" i="27"/>
  <c r="Y104" i="27"/>
  <c r="AM104" i="27"/>
  <c r="AF104" i="27"/>
  <c r="AR314" i="27"/>
  <c r="W314" i="27"/>
  <c r="P314" i="27"/>
  <c r="AD314" i="27"/>
  <c r="AK314" i="27"/>
  <c r="AK232" i="27"/>
  <c r="W232" i="27"/>
  <c r="AD232" i="27"/>
  <c r="P232" i="27"/>
  <c r="AR232" i="27"/>
  <c r="AR223" i="27"/>
  <c r="AD223" i="27"/>
  <c r="P223" i="27"/>
  <c r="AK223" i="27"/>
  <c r="W223" i="27"/>
  <c r="AL258" i="27"/>
  <c r="AE258" i="27"/>
  <c r="Q258" i="27"/>
  <c r="X258" i="27"/>
  <c r="AS258" i="27"/>
  <c r="U298" i="27"/>
  <c r="AI298" i="27"/>
  <c r="AB298" i="27"/>
  <c r="AP298" i="27"/>
  <c r="N298" i="27"/>
  <c r="AD335" i="27"/>
  <c r="AK335" i="27"/>
  <c r="W335" i="27"/>
  <c r="P335" i="27"/>
  <c r="AR335" i="27"/>
  <c r="AS109" i="27"/>
  <c r="Q109" i="27"/>
  <c r="AL109" i="27"/>
  <c r="AE109" i="27"/>
  <c r="X109" i="27"/>
  <c r="R277" i="27"/>
  <c r="Y277" i="27"/>
  <c r="AF277" i="27"/>
  <c r="AM277" i="27"/>
  <c r="AT277" i="27"/>
  <c r="W348" i="27"/>
  <c r="AK348" i="27"/>
  <c r="P348" i="27"/>
  <c r="AD348" i="27"/>
  <c r="AR348" i="27"/>
  <c r="AP172" i="27"/>
  <c r="N172" i="27"/>
  <c r="U172" i="27"/>
  <c r="AI172" i="27"/>
  <c r="AB172" i="27"/>
  <c r="AI72" i="27"/>
  <c r="N72" i="27"/>
  <c r="AB72" i="27"/>
  <c r="AP72" i="27"/>
  <c r="U72" i="27"/>
  <c r="W103" i="27"/>
  <c r="AD103" i="27"/>
  <c r="AK103" i="27"/>
  <c r="AR103" i="27"/>
  <c r="P103" i="27"/>
  <c r="N322" i="27"/>
  <c r="AI322" i="27"/>
  <c r="U322" i="27"/>
  <c r="AB322" i="27"/>
  <c r="AP322" i="27"/>
  <c r="AM221" i="27"/>
  <c r="AT221" i="27"/>
  <c r="AF221" i="27"/>
  <c r="Y221" i="27"/>
  <c r="R221" i="27"/>
  <c r="AD194" i="27"/>
  <c r="W194" i="27"/>
  <c r="P194" i="27"/>
  <c r="AR194" i="27"/>
  <c r="AK194" i="27"/>
  <c r="O285" i="27"/>
  <c r="V285" i="27"/>
  <c r="AQ285" i="27"/>
  <c r="AC285" i="27"/>
  <c r="AJ285" i="27"/>
  <c r="AF326" i="27"/>
  <c r="AM326" i="27"/>
  <c r="R326" i="27"/>
  <c r="Y326" i="27"/>
  <c r="AT326" i="27"/>
  <c r="AR340" i="27"/>
  <c r="P340" i="27"/>
  <c r="AD340" i="27"/>
  <c r="AK340" i="27"/>
  <c r="W340" i="27"/>
  <c r="AL9" i="27"/>
  <c r="AE9" i="27"/>
  <c r="AS9" i="27"/>
  <c r="Q9" i="27"/>
  <c r="X9" i="27"/>
  <c r="AS91" i="27"/>
  <c r="Q91" i="27"/>
  <c r="X91" i="27"/>
  <c r="AE91" i="27"/>
  <c r="AL91" i="27"/>
  <c r="V152" i="27"/>
  <c r="O152" i="27"/>
  <c r="CI152" i="27" s="1"/>
  <c r="AJ152" i="27"/>
  <c r="AQ152" i="27"/>
  <c r="AC152" i="27"/>
  <c r="N208" i="27"/>
  <c r="AI208" i="27"/>
  <c r="AB208" i="27"/>
  <c r="U208" i="27"/>
  <c r="AP208" i="27"/>
  <c r="O296" i="27"/>
  <c r="AC296" i="27"/>
  <c r="AQ296" i="27"/>
  <c r="V296" i="27"/>
  <c r="AJ296" i="27"/>
  <c r="P54" i="27"/>
  <c r="AD54" i="27"/>
  <c r="CU54" i="27" s="1"/>
  <c r="W54" i="27"/>
  <c r="GG54" i="27" s="1"/>
  <c r="AR54" i="27"/>
  <c r="AK54" i="27"/>
  <c r="AR56" i="27"/>
  <c r="AD56" i="27"/>
  <c r="P56" i="27"/>
  <c r="AK56" i="27"/>
  <c r="W56" i="27"/>
  <c r="R82" i="27"/>
  <c r="AT82" i="27"/>
  <c r="AF82" i="27"/>
  <c r="AK9" i="23"/>
  <c r="AM82" i="27"/>
  <c r="Y82" i="27"/>
  <c r="AQ109" i="27"/>
  <c r="GY109" i="27" s="1"/>
  <c r="AJ109" i="27"/>
  <c r="V109" i="27"/>
  <c r="O109" i="27"/>
  <c r="AC109" i="27"/>
  <c r="AQ193" i="27"/>
  <c r="AJ193" i="27"/>
  <c r="AC193" i="27"/>
  <c r="V193" i="27"/>
  <c r="O193" i="27"/>
  <c r="V160" i="27"/>
  <c r="O160" i="27"/>
  <c r="AQ160" i="27"/>
  <c r="AJ160" i="27"/>
  <c r="AC160" i="27"/>
  <c r="AE311" i="27"/>
  <c r="X311" i="27"/>
  <c r="AL311" i="27"/>
  <c r="AS311" i="27"/>
  <c r="Q311" i="27"/>
  <c r="Q331" i="27"/>
  <c r="AL331" i="27"/>
  <c r="AS331" i="27"/>
  <c r="AE331" i="27"/>
  <c r="X331" i="27"/>
  <c r="AP148" i="27"/>
  <c r="AB148" i="27"/>
  <c r="U148" i="27"/>
  <c r="N148" i="27"/>
  <c r="AI148" i="27"/>
  <c r="Q76" i="27"/>
  <c r="AS76" i="27"/>
  <c r="AL76" i="27"/>
  <c r="AE76" i="27"/>
  <c r="X76" i="27"/>
  <c r="X184" i="27"/>
  <c r="AE184" i="27"/>
  <c r="AS184" i="27"/>
  <c r="AL184" i="27"/>
  <c r="Q184" i="27"/>
  <c r="N357" i="27"/>
  <c r="AP357" i="27"/>
  <c r="AI357" i="27"/>
  <c r="AB357" i="27"/>
  <c r="U357" i="27"/>
  <c r="AT165" i="27"/>
  <c r="R165" i="27"/>
  <c r="AM165" i="27"/>
  <c r="Y165" i="27"/>
  <c r="GG165" i="27" s="1"/>
  <c r="AF165" i="27"/>
  <c r="Q131" i="27"/>
  <c r="AS131" i="27"/>
  <c r="AE131" i="27"/>
  <c r="X131" i="27"/>
  <c r="AL131" i="27"/>
  <c r="AC213" i="27"/>
  <c r="AJ213" i="27"/>
  <c r="O213" i="27"/>
  <c r="AQ213" i="27"/>
  <c r="V213" i="27"/>
  <c r="U111" i="27"/>
  <c r="AB111" i="27"/>
  <c r="AP111" i="27"/>
  <c r="AI111" i="27"/>
  <c r="N111" i="27"/>
  <c r="X40" i="27"/>
  <c r="Q40" i="27"/>
  <c r="AS40" i="27"/>
  <c r="AL40" i="27"/>
  <c r="AE40" i="27"/>
  <c r="X102" i="27"/>
  <c r="AE102" i="27"/>
  <c r="Q102" i="27"/>
  <c r="AS102" i="27"/>
  <c r="AL102" i="27"/>
  <c r="R123" i="27"/>
  <c r="AM123" i="27"/>
  <c r="Y123" i="27"/>
  <c r="AT123" i="27"/>
  <c r="AF123" i="27"/>
  <c r="Q67" i="27"/>
  <c r="AS67" i="27"/>
  <c r="AE67" i="27"/>
  <c r="AL67" i="27"/>
  <c r="X67" i="27"/>
  <c r="P138" i="27"/>
  <c r="AR138" i="27"/>
  <c r="W138" i="27"/>
  <c r="AD138" i="27"/>
  <c r="CU138" i="27" s="1"/>
  <c r="AK138" i="27"/>
  <c r="AF328" i="27"/>
  <c r="Y328" i="27"/>
  <c r="R328" i="27"/>
  <c r="AT328" i="27"/>
  <c r="AM328" i="27"/>
  <c r="AQ44" i="27"/>
  <c r="AJ44" i="27"/>
  <c r="AC44" i="27"/>
  <c r="V44" i="27"/>
  <c r="O44" i="27"/>
  <c r="AR305" i="27"/>
  <c r="P305" i="27"/>
  <c r="AK305" i="27"/>
  <c r="GS305" i="27" s="1"/>
  <c r="W305" i="27"/>
  <c r="AD305" i="27"/>
  <c r="U9" i="27"/>
  <c r="N9" i="27"/>
  <c r="AI9" i="27"/>
  <c r="AP9" i="27"/>
  <c r="AB9" i="27"/>
  <c r="AT325" i="27"/>
  <c r="Y325" i="27"/>
  <c r="R325" i="27"/>
  <c r="AM325" i="27"/>
  <c r="AF325" i="27"/>
  <c r="AK310" i="27"/>
  <c r="AR310" i="27"/>
  <c r="AD310" i="27"/>
  <c r="P310" i="27"/>
  <c r="W310" i="27"/>
  <c r="AK204" i="27"/>
  <c r="AR204" i="27"/>
  <c r="AD204" i="27"/>
  <c r="W204" i="27"/>
  <c r="P204" i="27"/>
  <c r="N345" i="27"/>
  <c r="AP345" i="27"/>
  <c r="AI345" i="27"/>
  <c r="AB345" i="27"/>
  <c r="U345" i="27"/>
  <c r="O239" i="27"/>
  <c r="V239" i="27"/>
  <c r="AJ239" i="27"/>
  <c r="AQ239" i="27"/>
  <c r="AC239" i="27"/>
  <c r="U74" i="27"/>
  <c r="AI74" i="27"/>
  <c r="AP74" i="27"/>
  <c r="AB74" i="27"/>
  <c r="N74" i="27"/>
  <c r="AR268" i="27"/>
  <c r="AK268" i="27"/>
  <c r="P268" i="27"/>
  <c r="AD268" i="27"/>
  <c r="W268" i="27"/>
  <c r="O202" i="27"/>
  <c r="AJ202" i="27"/>
  <c r="V202" i="27"/>
  <c r="AC202" i="27"/>
  <c r="AQ202" i="27"/>
  <c r="X34" i="27"/>
  <c r="AL34" i="27"/>
  <c r="Q34" i="27"/>
  <c r="AE34" i="27"/>
  <c r="AS34" i="27"/>
  <c r="AJ290" i="27"/>
  <c r="AQ290" i="27"/>
  <c r="AC290" i="27"/>
  <c r="V290" i="27"/>
  <c r="O290" i="27"/>
  <c r="V178" i="27"/>
  <c r="AJ178" i="27"/>
  <c r="AC178" i="27"/>
  <c r="AQ178" i="27"/>
  <c r="O178" i="27"/>
  <c r="Q168" i="27"/>
  <c r="AE168" i="27"/>
  <c r="AS168" i="27"/>
  <c r="AL168" i="27"/>
  <c r="X168" i="27"/>
  <c r="AM229" i="27"/>
  <c r="AT229" i="27"/>
  <c r="AF229" i="27"/>
  <c r="R229" i="27"/>
  <c r="Y229" i="27"/>
  <c r="AB339" i="27"/>
  <c r="U339" i="27"/>
  <c r="N339" i="27"/>
  <c r="AI339" i="27"/>
  <c r="AP339" i="27"/>
  <c r="R59" i="27"/>
  <c r="AK6" i="23"/>
  <c r="AF59" i="27"/>
  <c r="AM59" i="27"/>
  <c r="AT59" i="27"/>
  <c r="Y59" i="27"/>
  <c r="Y220" i="27"/>
  <c r="AM220" i="27"/>
  <c r="AT220" i="27"/>
  <c r="AF220" i="27"/>
  <c r="R220" i="27"/>
  <c r="AC143" i="27"/>
  <c r="AQ143" i="27"/>
  <c r="V143" i="27"/>
  <c r="O143" i="27"/>
  <c r="AJ143" i="27"/>
  <c r="AM322" i="27"/>
  <c r="Y322" i="27"/>
  <c r="R322" i="27"/>
  <c r="AF322" i="27"/>
  <c r="AT322" i="27"/>
  <c r="Q38" i="27"/>
  <c r="AL38" i="27"/>
  <c r="AS38" i="27"/>
  <c r="AE38" i="27"/>
  <c r="X38" i="27"/>
  <c r="AP229" i="27"/>
  <c r="U229" i="27"/>
  <c r="N229" i="27"/>
  <c r="AB229" i="27"/>
  <c r="AI229" i="27"/>
  <c r="V47" i="27"/>
  <c r="AC47" i="27"/>
  <c r="AQ47" i="27"/>
  <c r="AJ47" i="27"/>
  <c r="O47" i="27"/>
  <c r="AI217" i="27"/>
  <c r="N217" i="27"/>
  <c r="AP217" i="27"/>
  <c r="U217" i="27"/>
  <c r="AB217" i="27"/>
  <c r="AB79" i="27"/>
  <c r="N79" i="27"/>
  <c r="AP79" i="27"/>
  <c r="U79" i="27"/>
  <c r="AI79" i="27"/>
  <c r="AE167" i="27"/>
  <c r="Q167" i="27"/>
  <c r="AL167" i="27"/>
  <c r="X167" i="27"/>
  <c r="AS167" i="27"/>
  <c r="AQ315" i="27"/>
  <c r="O315" i="27"/>
  <c r="V315" i="27"/>
  <c r="AJ315" i="27"/>
  <c r="AC315" i="27"/>
  <c r="U167" i="27"/>
  <c r="N167" i="27"/>
  <c r="AI167" i="27"/>
  <c r="AB167" i="27"/>
  <c r="AP167" i="27"/>
  <c r="W325" i="27"/>
  <c r="AR325" i="27"/>
  <c r="P325" i="27"/>
  <c r="AK325" i="27"/>
  <c r="AD325" i="27"/>
  <c r="W338" i="27"/>
  <c r="AK338" i="27"/>
  <c r="GS338" i="27" s="1"/>
  <c r="AR338" i="27"/>
  <c r="AD338" i="27"/>
  <c r="P338" i="27"/>
  <c r="Y236" i="27"/>
  <c r="AT236" i="27"/>
  <c r="R236" i="27"/>
  <c r="AF236" i="27"/>
  <c r="AM236" i="27"/>
  <c r="O258" i="27"/>
  <c r="AC258" i="27"/>
  <c r="AQ258" i="27"/>
  <c r="AJ258" i="27"/>
  <c r="V258" i="27"/>
  <c r="AT145" i="27"/>
  <c r="AF145" i="27"/>
  <c r="R145" i="27"/>
  <c r="Y145" i="27"/>
  <c r="AM145" i="27"/>
  <c r="N337" i="27"/>
  <c r="AB337" i="27"/>
  <c r="AI337" i="27"/>
  <c r="U337" i="27"/>
  <c r="AP337" i="27"/>
  <c r="U25" i="27"/>
  <c r="AP25" i="27"/>
  <c r="AI25" i="27"/>
  <c r="AB25" i="27"/>
  <c r="N25" i="27"/>
  <c r="X132" i="27"/>
  <c r="AE132" i="27"/>
  <c r="AS132" i="27"/>
  <c r="Q132" i="27"/>
  <c r="AL132" i="27"/>
  <c r="AL22" i="27"/>
  <c r="Q22" i="27"/>
  <c r="AE22" i="27"/>
  <c r="X22" i="27"/>
  <c r="AS22" i="27"/>
  <c r="Y205" i="27"/>
  <c r="R205" i="27"/>
  <c r="AT205" i="27"/>
  <c r="AF205" i="27"/>
  <c r="AM205" i="27"/>
  <c r="AQ216" i="27"/>
  <c r="AJ216" i="27"/>
  <c r="AC216" i="27"/>
  <c r="O216" i="27"/>
  <c r="V216" i="27"/>
  <c r="V260" i="27"/>
  <c r="AQ260" i="27"/>
  <c r="O260" i="27"/>
  <c r="AC260" i="27"/>
  <c r="AJ260" i="27"/>
  <c r="AK155" i="27"/>
  <c r="W155" i="27"/>
  <c r="AD155" i="27"/>
  <c r="P155" i="27"/>
  <c r="AR155" i="27"/>
  <c r="AE206" i="27"/>
  <c r="X206" i="27"/>
  <c r="Q206" i="27"/>
  <c r="AS206" i="27"/>
  <c r="AL206" i="27"/>
  <c r="AQ132" i="27"/>
  <c r="O132" i="27"/>
  <c r="AJ132" i="27"/>
  <c r="V132" i="27"/>
  <c r="AC132" i="27"/>
  <c r="AI140" i="27"/>
  <c r="U140" i="27"/>
  <c r="N140" i="27"/>
  <c r="AB140" i="27"/>
  <c r="AP140" i="27"/>
  <c r="Q170" i="27"/>
  <c r="AE170" i="27"/>
  <c r="AL170" i="27"/>
  <c r="AS170" i="27"/>
  <c r="X170" i="27"/>
  <c r="AK58" i="27"/>
  <c r="W58" i="27"/>
  <c r="AR58" i="27"/>
  <c r="P58" i="27"/>
  <c r="AD58" i="27"/>
  <c r="Y357" i="27"/>
  <c r="R357" i="27"/>
  <c r="AF357" i="27"/>
  <c r="AT357" i="27"/>
  <c r="AM357" i="27"/>
  <c r="AF148" i="27"/>
  <c r="AM148" i="27"/>
  <c r="Y148" i="27"/>
  <c r="AT148" i="27"/>
  <c r="R148" i="27"/>
  <c r="AF163" i="27"/>
  <c r="EQ163" i="27" s="1"/>
  <c r="AT163" i="27"/>
  <c r="AM163" i="27"/>
  <c r="R163" i="27"/>
  <c r="Y163" i="27"/>
  <c r="X333" i="27"/>
  <c r="Q333" i="27"/>
  <c r="AE333" i="27"/>
  <c r="AS333" i="27"/>
  <c r="AL333" i="27"/>
  <c r="AM285" i="27"/>
  <c r="Y285" i="27"/>
  <c r="AF285" i="27"/>
  <c r="R285" i="27"/>
  <c r="AT285" i="27"/>
  <c r="R52" i="27"/>
  <c r="Y52" i="27"/>
  <c r="AM52" i="27"/>
  <c r="AT52" i="27"/>
  <c r="AF52" i="27"/>
  <c r="AQ81" i="27"/>
  <c r="AC81" i="27"/>
  <c r="V81" i="27"/>
  <c r="O81" i="27"/>
  <c r="AJ81" i="27"/>
  <c r="Y309" i="27"/>
  <c r="R309" i="27"/>
  <c r="AT309" i="27"/>
  <c r="AM309" i="27"/>
  <c r="AF309" i="27"/>
  <c r="AQ128" i="27"/>
  <c r="V128" i="27"/>
  <c r="AC128" i="27"/>
  <c r="O128" i="27"/>
  <c r="AJ128" i="27"/>
  <c r="R137" i="27"/>
  <c r="AF137" i="27"/>
  <c r="AM137" i="27"/>
  <c r="Y137" i="27"/>
  <c r="AT137" i="27"/>
  <c r="AQ356" i="27"/>
  <c r="O356" i="27"/>
  <c r="V356" i="27"/>
  <c r="AJ356" i="27"/>
  <c r="AC356" i="27"/>
  <c r="AB334" i="27"/>
  <c r="N334" i="27"/>
  <c r="U334" i="27"/>
  <c r="AP334" i="27"/>
  <c r="AI334" i="27"/>
  <c r="AF361" i="27"/>
  <c r="AT361" i="27"/>
  <c r="AM361" i="27"/>
  <c r="R361" i="27"/>
  <c r="Y361" i="27"/>
  <c r="AC282" i="27"/>
  <c r="O282" i="27"/>
  <c r="AQ282" i="27"/>
  <c r="AJ282" i="27"/>
  <c r="V282" i="27"/>
  <c r="AF99" i="27"/>
  <c r="Y99" i="27"/>
  <c r="R99" i="27"/>
  <c r="AT99" i="27"/>
  <c r="AM99" i="27"/>
  <c r="Y143" i="27"/>
  <c r="AF143" i="27"/>
  <c r="R143" i="27"/>
  <c r="AM143" i="27"/>
  <c r="AT143" i="27"/>
  <c r="AR341" i="27"/>
  <c r="AD341" i="27"/>
  <c r="W341" i="27"/>
  <c r="AK341" i="27"/>
  <c r="P341" i="27"/>
  <c r="AP30" i="27"/>
  <c r="N30" i="27"/>
  <c r="U30" i="27"/>
  <c r="AB30" i="27"/>
  <c r="AI30" i="27"/>
  <c r="AL320" i="27"/>
  <c r="AE320" i="27"/>
  <c r="Q320" i="27"/>
  <c r="AS320" i="27"/>
  <c r="X320" i="27"/>
  <c r="Q143" i="27"/>
  <c r="AL143" i="27"/>
  <c r="AS143" i="27"/>
  <c r="AE143" i="27"/>
  <c r="X143" i="27"/>
  <c r="AM66" i="27"/>
  <c r="AF66" i="27"/>
  <c r="AT66" i="27"/>
  <c r="R66" i="27"/>
  <c r="Y66" i="27"/>
  <c r="X12" i="27"/>
  <c r="AL12" i="27"/>
  <c r="AS12" i="27"/>
  <c r="Q12" i="27"/>
  <c r="AE12" i="27"/>
  <c r="U126" i="27"/>
  <c r="AP126" i="27"/>
  <c r="AB126" i="27"/>
  <c r="N126" i="27"/>
  <c r="AI126" i="27"/>
  <c r="AF218" i="27"/>
  <c r="AM218" i="27"/>
  <c r="Y218" i="27"/>
  <c r="R218" i="27"/>
  <c r="AT218" i="27"/>
  <c r="AR31" i="27"/>
  <c r="AD31" i="27"/>
  <c r="P31" i="27"/>
  <c r="W31" i="27"/>
  <c r="EK31" i="27" s="1"/>
  <c r="AK31" i="27"/>
  <c r="O100" i="27"/>
  <c r="AQ100" i="27"/>
  <c r="AC100" i="27"/>
  <c r="AJ100" i="27"/>
  <c r="V100" i="27"/>
  <c r="AR349" i="27"/>
  <c r="AK349" i="27"/>
  <c r="P349" i="27"/>
  <c r="W349" i="27"/>
  <c r="AD349" i="27"/>
  <c r="P290" i="27"/>
  <c r="W290" i="27"/>
  <c r="AK290" i="27"/>
  <c r="AR290" i="27"/>
  <c r="AD290" i="27"/>
  <c r="N81" i="27"/>
  <c r="AP81" i="27"/>
  <c r="AB81" i="27"/>
  <c r="AI81" i="27"/>
  <c r="U81" i="27"/>
  <c r="R238" i="27"/>
  <c r="Y238" i="27"/>
  <c r="AF238" i="27"/>
  <c r="AM238" i="27"/>
  <c r="AT238" i="27"/>
  <c r="Y14" i="27"/>
  <c r="AT14" i="27"/>
  <c r="AF14" i="27"/>
  <c r="AM14" i="27"/>
  <c r="R14" i="27"/>
  <c r="Q83" i="27"/>
  <c r="AS83" i="27"/>
  <c r="AL83" i="27"/>
  <c r="X83" i="27"/>
  <c r="AE83" i="27"/>
  <c r="AQ141" i="27"/>
  <c r="AJ141" i="27"/>
  <c r="O141" i="27"/>
  <c r="AC141" i="27"/>
  <c r="V141" i="27"/>
  <c r="AK98" i="27"/>
  <c r="P98" i="27"/>
  <c r="AD98" i="27"/>
  <c r="AR98" i="27"/>
  <c r="W98" i="27"/>
  <c r="AF226" i="27"/>
  <c r="Y226" i="27"/>
  <c r="AT226" i="27"/>
  <c r="R226" i="27"/>
  <c r="CI226" i="27" s="1"/>
  <c r="AM226" i="27"/>
  <c r="W30" i="27"/>
  <c r="AR30" i="27"/>
  <c r="AK30" i="27"/>
  <c r="AD30" i="27"/>
  <c r="P30" i="27"/>
  <c r="R254" i="27"/>
  <c r="AM254" i="27"/>
  <c r="AT254" i="27"/>
  <c r="AF254" i="27"/>
  <c r="Y254" i="27"/>
  <c r="AL239" i="27"/>
  <c r="AE239" i="27"/>
  <c r="Q239" i="27"/>
  <c r="AS239" i="27"/>
  <c r="X239" i="27"/>
  <c r="V269" i="27"/>
  <c r="AQ269" i="27"/>
  <c r="O269" i="27"/>
  <c r="AC269" i="27"/>
  <c r="AJ269" i="27"/>
  <c r="O350" i="27"/>
  <c r="AJ350" i="27"/>
  <c r="AQ350" i="27"/>
  <c r="AC350" i="27"/>
  <c r="V350" i="27"/>
  <c r="X127" i="27"/>
  <c r="AS127" i="27"/>
  <c r="AE127" i="27"/>
  <c r="AL127" i="27"/>
  <c r="Q127" i="27"/>
  <c r="AL207" i="27"/>
  <c r="AE207" i="27"/>
  <c r="Q207" i="27"/>
  <c r="AS207" i="27"/>
  <c r="X207" i="27"/>
  <c r="AQ346" i="27"/>
  <c r="AJ346" i="27"/>
  <c r="AC346" i="27"/>
  <c r="O346" i="27"/>
  <c r="V346" i="27"/>
  <c r="AQ259" i="27"/>
  <c r="AJ259" i="27"/>
  <c r="AC259" i="27"/>
  <c r="O259" i="27"/>
  <c r="V259" i="27"/>
  <c r="AB158" i="27"/>
  <c r="N158" i="27"/>
  <c r="AP158" i="27"/>
  <c r="AI158" i="27"/>
  <c r="U158" i="27"/>
  <c r="Y144" i="27"/>
  <c r="AF144" i="27"/>
  <c r="AT144" i="27"/>
  <c r="AM144" i="27"/>
  <c r="R144" i="27"/>
  <c r="W345" i="27"/>
  <c r="AD345" i="27"/>
  <c r="AR345" i="27"/>
  <c r="AK345" i="27"/>
  <c r="P345" i="27"/>
  <c r="AP51" i="27"/>
  <c r="U51" i="27"/>
  <c r="AI51" i="27"/>
  <c r="N51" i="27"/>
  <c r="AB51" i="27"/>
  <c r="AM247" i="27"/>
  <c r="Y247" i="27"/>
  <c r="AF247" i="27"/>
  <c r="AT247" i="27"/>
  <c r="R247" i="27"/>
  <c r="AD180" i="27"/>
  <c r="AR180" i="27"/>
  <c r="P180" i="27"/>
  <c r="AK180" i="27"/>
  <c r="W180" i="27"/>
  <c r="AI83" i="27"/>
  <c r="U83" i="27"/>
  <c r="N83" i="27"/>
  <c r="AP83" i="27"/>
  <c r="AB83" i="27"/>
  <c r="Y40" i="27"/>
  <c r="AT40" i="27"/>
  <c r="R40" i="27"/>
  <c r="AF40" i="27"/>
  <c r="AM40" i="27"/>
  <c r="U35" i="27"/>
  <c r="AB35" i="27"/>
  <c r="N35" i="27"/>
  <c r="AP35" i="27"/>
  <c r="AI35" i="27"/>
  <c r="AJ199" i="27"/>
  <c r="V199" i="27"/>
  <c r="O199" i="27"/>
  <c r="AQ199" i="27"/>
  <c r="AC199" i="27"/>
  <c r="AD347" i="27"/>
  <c r="AR347" i="27"/>
  <c r="P347" i="27"/>
  <c r="AK347" i="27"/>
  <c r="W347" i="27"/>
  <c r="Q217" i="27"/>
  <c r="X217" i="27"/>
  <c r="AE217" i="27"/>
  <c r="AL217" i="27"/>
  <c r="AS217" i="27"/>
  <c r="AP364" i="27"/>
  <c r="AB364" i="27"/>
  <c r="U364" i="27"/>
  <c r="N364" i="27"/>
  <c r="AI364" i="27"/>
  <c r="V288" i="27"/>
  <c r="O288" i="27"/>
  <c r="AC288" i="27"/>
  <c r="AQ288" i="27"/>
  <c r="AJ288" i="27"/>
  <c r="R77" i="27"/>
  <c r="AT77" i="27"/>
  <c r="AM77" i="27"/>
  <c r="Y77" i="27"/>
  <c r="AF77" i="27"/>
  <c r="U84" i="27"/>
  <c r="N84" i="27"/>
  <c r="AB84" i="27"/>
  <c r="AP84" i="27"/>
  <c r="AI84" i="27"/>
  <c r="AI340" i="27"/>
  <c r="AB340" i="27"/>
  <c r="N340" i="27"/>
  <c r="AP340" i="27"/>
  <c r="U340" i="27"/>
  <c r="AI355" i="27"/>
  <c r="U355" i="27"/>
  <c r="AB355" i="27"/>
  <c r="N355" i="27"/>
  <c r="AP355" i="27"/>
  <c r="AR339" i="27"/>
  <c r="P339" i="27"/>
  <c r="AK339" i="27"/>
  <c r="AD339" i="27"/>
  <c r="W339" i="27"/>
  <c r="AB142" i="27"/>
  <c r="CU142" i="27" s="1"/>
  <c r="AP142" i="27"/>
  <c r="AI142" i="27"/>
  <c r="U142" i="27"/>
  <c r="N142" i="27"/>
  <c r="AL16" i="27"/>
  <c r="AS16" i="27"/>
  <c r="Q16" i="27"/>
  <c r="X16" i="27"/>
  <c r="AE16" i="27"/>
  <c r="O277" i="27"/>
  <c r="AJ277" i="27"/>
  <c r="AQ277" i="27"/>
  <c r="V277" i="27"/>
  <c r="AC277" i="27"/>
  <c r="U312" i="27"/>
  <c r="N312" i="27"/>
  <c r="AP312" i="27"/>
  <c r="AI312" i="27"/>
  <c r="AB312" i="27"/>
  <c r="W275" i="27"/>
  <c r="AK275" i="27"/>
  <c r="P275" i="27"/>
  <c r="AR275" i="27"/>
  <c r="AD275" i="27"/>
  <c r="AJ37" i="27"/>
  <c r="AQ37" i="27"/>
  <c r="O37" i="27"/>
  <c r="AC37" i="27"/>
  <c r="V37" i="27"/>
  <c r="P344" i="27"/>
  <c r="AD344" i="27"/>
  <c r="W344" i="27"/>
  <c r="AR344" i="27"/>
  <c r="AK344" i="27"/>
  <c r="P20" i="27"/>
  <c r="W20" i="27"/>
  <c r="AR20" i="27"/>
  <c r="AK20" i="27"/>
  <c r="AD20" i="27"/>
  <c r="AQ314" i="27"/>
  <c r="FC314" i="27" s="1"/>
  <c r="AJ314" i="27"/>
  <c r="V314" i="27"/>
  <c r="O314" i="27"/>
  <c r="AC314" i="27"/>
  <c r="O138" i="27"/>
  <c r="AJ138" i="27"/>
  <c r="V138" i="27"/>
  <c r="AQ138" i="27"/>
  <c r="AC138" i="27"/>
  <c r="P132" i="27"/>
  <c r="W132" i="27"/>
  <c r="AD132" i="27"/>
  <c r="AK132" i="27"/>
  <c r="AR132" i="27"/>
  <c r="AI108" i="27"/>
  <c r="AB108" i="27"/>
  <c r="N108" i="27"/>
  <c r="AP108" i="27"/>
  <c r="U108" i="27"/>
  <c r="AI137" i="27"/>
  <c r="AB137" i="27"/>
  <c r="N137" i="27"/>
  <c r="AP137" i="27"/>
  <c r="U137" i="27"/>
  <c r="N168" i="27"/>
  <c r="AB168" i="27"/>
  <c r="AI168" i="27"/>
  <c r="AP168" i="27"/>
  <c r="U168" i="27"/>
  <c r="AJ73" i="27"/>
  <c r="AC73" i="27"/>
  <c r="O73" i="27"/>
  <c r="AQ73" i="27"/>
  <c r="V73" i="27"/>
  <c r="AB270" i="27"/>
  <c r="AP270" i="27"/>
  <c r="GY270" i="27" s="1"/>
  <c r="N270" i="27"/>
  <c r="U270" i="27"/>
  <c r="AI270" i="27"/>
  <c r="X277" i="27"/>
  <c r="Q277" i="27"/>
  <c r="AE277" i="27"/>
  <c r="AL277" i="27"/>
  <c r="AS277" i="27"/>
  <c r="AD202" i="27"/>
  <c r="AK202" i="27"/>
  <c r="W202" i="27"/>
  <c r="P202" i="27"/>
  <c r="AR202" i="27"/>
  <c r="AT195" i="27"/>
  <c r="AF195" i="27"/>
  <c r="CU195" i="27" s="1"/>
  <c r="Y195" i="27"/>
  <c r="AM195" i="27"/>
  <c r="R195" i="27"/>
  <c r="X61" i="27"/>
  <c r="Q61" i="27"/>
  <c r="AE61" i="27"/>
  <c r="AL61" i="27"/>
  <c r="AS61" i="27"/>
  <c r="W253" i="27"/>
  <c r="AR253" i="27"/>
  <c r="AD253" i="27"/>
  <c r="AK253" i="27"/>
  <c r="P253" i="27"/>
  <c r="AR15" i="27"/>
  <c r="P15" i="27"/>
  <c r="AD15" i="27"/>
  <c r="AK15" i="27"/>
  <c r="W15" i="27"/>
  <c r="AI73" i="27"/>
  <c r="N73" i="27"/>
  <c r="U73" i="27"/>
  <c r="AP73" i="27"/>
  <c r="AB73" i="27"/>
  <c r="AT295" i="27"/>
  <c r="R295" i="27"/>
  <c r="AF295" i="27"/>
  <c r="AM295" i="27"/>
  <c r="Y295" i="27"/>
  <c r="AE300" i="27"/>
  <c r="Q300" i="27"/>
  <c r="AS300" i="27"/>
  <c r="AL300" i="27"/>
  <c r="X300" i="27"/>
  <c r="AT255" i="27"/>
  <c r="AF255" i="27"/>
  <c r="Y255" i="27"/>
  <c r="R255" i="27"/>
  <c r="AM255" i="27"/>
  <c r="P111" i="27"/>
  <c r="AR111" i="27"/>
  <c r="W111" i="27"/>
  <c r="AK111" i="27"/>
  <c r="AD111" i="27"/>
  <c r="R22" i="27"/>
  <c r="Y22" i="27"/>
  <c r="AM22" i="27"/>
  <c r="AT22" i="27"/>
  <c r="AF22" i="27"/>
  <c r="AQ161" i="27"/>
  <c r="AC161" i="27"/>
  <c r="AJ161" i="27"/>
  <c r="V161" i="27"/>
  <c r="O161" i="27"/>
  <c r="AR164" i="27"/>
  <c r="AD164" i="27"/>
  <c r="P164" i="27"/>
  <c r="AK164" i="27"/>
  <c r="W164" i="27"/>
  <c r="AE8" i="27"/>
  <c r="AL8" i="27"/>
  <c r="AS8" i="27"/>
  <c r="Q8" i="27"/>
  <c r="X8" i="27"/>
  <c r="X356" i="27"/>
  <c r="Q356" i="27"/>
  <c r="AL356" i="27"/>
  <c r="AE356" i="27"/>
  <c r="AS356" i="27"/>
  <c r="AS268" i="27"/>
  <c r="AL268" i="27"/>
  <c r="Q268" i="27"/>
  <c r="X268" i="27"/>
  <c r="AE268" i="27"/>
  <c r="R30" i="27"/>
  <c r="AM30" i="27"/>
  <c r="AT30" i="27"/>
  <c r="AF30" i="27"/>
  <c r="Y30" i="27"/>
  <c r="X337" i="27"/>
  <c r="AL337" i="27"/>
  <c r="Q337" i="27"/>
  <c r="AE337" i="27"/>
  <c r="AS337" i="27"/>
  <c r="P161" i="27"/>
  <c r="AR161" i="27"/>
  <c r="W161" i="27"/>
  <c r="AD161" i="27"/>
  <c r="AK161" i="27"/>
  <c r="W25" i="27"/>
  <c r="AD25" i="27"/>
  <c r="AK25" i="27"/>
  <c r="P25" i="27"/>
  <c r="AR25" i="27"/>
  <c r="O306" i="27"/>
  <c r="AQ306" i="27"/>
  <c r="AJ306" i="27"/>
  <c r="AC306" i="27"/>
  <c r="V306" i="27"/>
  <c r="AC301" i="27"/>
  <c r="V301" i="27"/>
  <c r="O301" i="27"/>
  <c r="AQ301" i="27"/>
  <c r="AJ301" i="27"/>
  <c r="AI290" i="27"/>
  <c r="U290" i="27"/>
  <c r="AP290" i="27"/>
  <c r="N290" i="27"/>
  <c r="AB290" i="27"/>
  <c r="AQ104" i="27"/>
  <c r="AJ104" i="27"/>
  <c r="V104" i="27"/>
  <c r="AC104" i="27"/>
  <c r="O104" i="27"/>
  <c r="AL223" i="27"/>
  <c r="Q223" i="27"/>
  <c r="AS223" i="27"/>
  <c r="X223" i="27"/>
  <c r="AE223" i="27"/>
  <c r="Q100" i="27"/>
  <c r="EE100" i="27" s="1"/>
  <c r="X100" i="27"/>
  <c r="AS100" i="27"/>
  <c r="AE100" i="27"/>
  <c r="AL100" i="27"/>
  <c r="P222" i="27"/>
  <c r="AK222" i="27"/>
  <c r="AD222" i="27"/>
  <c r="AR222" i="27"/>
  <c r="W222" i="27"/>
  <c r="R196" i="27"/>
  <c r="AF196" i="27"/>
  <c r="AT196" i="27"/>
  <c r="Y196" i="27"/>
  <c r="AM196" i="27"/>
  <c r="AI303" i="27"/>
  <c r="U303" i="27"/>
  <c r="AP303" i="27"/>
  <c r="AB303" i="27"/>
  <c r="N303" i="27"/>
  <c r="AF155" i="27"/>
  <c r="Y155" i="27"/>
  <c r="AT155" i="27"/>
  <c r="AM155" i="27"/>
  <c r="R155" i="27"/>
  <c r="AS59" i="27"/>
  <c r="AL59" i="27"/>
  <c r="AE59" i="27"/>
  <c r="AJ6" i="23"/>
  <c r="X59" i="27"/>
  <c r="Q59" i="27"/>
  <c r="AP85" i="27"/>
  <c r="N85" i="27"/>
  <c r="U85" i="27"/>
  <c r="AI85" i="27"/>
  <c r="AB85" i="27"/>
  <c r="P258" i="27"/>
  <c r="AD258" i="27"/>
  <c r="AR258" i="27"/>
  <c r="AK258" i="27"/>
  <c r="W258" i="27"/>
  <c r="AB78" i="27"/>
  <c r="AP78" i="27"/>
  <c r="AI78" i="27"/>
  <c r="N78" i="27"/>
  <c r="U78" i="27"/>
  <c r="AC234" i="27"/>
  <c r="AJ234" i="27"/>
  <c r="AQ234" i="27"/>
  <c r="V234" i="27"/>
  <c r="O234" i="27"/>
  <c r="O198" i="27"/>
  <c r="AJ198" i="27"/>
  <c r="AQ198" i="27"/>
  <c r="AC198" i="27"/>
  <c r="V198" i="27"/>
  <c r="Q138" i="27"/>
  <c r="AE138" i="27"/>
  <c r="AL138" i="27"/>
  <c r="AS138" i="27"/>
  <c r="X138" i="27"/>
  <c r="AI267" i="27"/>
  <c r="N267" i="27"/>
  <c r="AP267" i="27"/>
  <c r="U267" i="27"/>
  <c r="AB267" i="27"/>
  <c r="Q171" i="27"/>
  <c r="AL171" i="27"/>
  <c r="AE171" i="27"/>
  <c r="X171" i="27"/>
  <c r="AS171" i="27"/>
  <c r="AF360" i="27"/>
  <c r="AT360" i="27"/>
  <c r="R360" i="27"/>
  <c r="AM360" i="27"/>
  <c r="Y360" i="27"/>
  <c r="AT257" i="27"/>
  <c r="AF257" i="27"/>
  <c r="Y257" i="27"/>
  <c r="AM257" i="27"/>
  <c r="R257" i="27"/>
  <c r="AE147" i="27"/>
  <c r="AS147" i="27"/>
  <c r="X147" i="27"/>
  <c r="AL147" i="27"/>
  <c r="Q147" i="27"/>
  <c r="R93" i="27"/>
  <c r="AT93" i="27"/>
  <c r="AF93" i="27"/>
  <c r="Y93" i="27"/>
  <c r="AM93" i="27"/>
  <c r="AB76" i="27"/>
  <c r="U76" i="27"/>
  <c r="AP76" i="27"/>
  <c r="N76" i="27"/>
  <c r="AI76" i="27"/>
  <c r="AQ353" i="27"/>
  <c r="AC353" i="27"/>
  <c r="V353" i="27"/>
  <c r="AJ353" i="27"/>
  <c r="O353" i="27"/>
  <c r="Q354" i="27"/>
  <c r="AS354" i="27"/>
  <c r="X354" i="27"/>
  <c r="AL354" i="27"/>
  <c r="AE354" i="27"/>
  <c r="P61" i="27"/>
  <c r="W61" i="27"/>
  <c r="AR61" i="27"/>
  <c r="AD61" i="27"/>
  <c r="AK61" i="27"/>
  <c r="AR234" i="27"/>
  <c r="W234" i="27"/>
  <c r="AK234" i="27"/>
  <c r="AD234" i="27"/>
  <c r="P234" i="27"/>
  <c r="AD120" i="27"/>
  <c r="P120" i="27"/>
  <c r="AK120" i="27"/>
  <c r="W120" i="27"/>
  <c r="AR120" i="27"/>
  <c r="N169" i="27"/>
  <c r="AI169" i="27"/>
  <c r="AP169" i="27"/>
  <c r="AB169" i="27"/>
  <c r="U169" i="27"/>
  <c r="AL111" i="27"/>
  <c r="X111" i="27"/>
  <c r="Q111" i="27"/>
  <c r="AS111" i="27"/>
  <c r="AE111" i="27"/>
  <c r="Q90" i="27"/>
  <c r="AE90" i="27"/>
  <c r="X90" i="27"/>
  <c r="AL90" i="27"/>
  <c r="AS90" i="27"/>
  <c r="AT331" i="27"/>
  <c r="R331" i="27"/>
  <c r="AM331" i="27"/>
  <c r="AF331" i="27"/>
  <c r="Y331" i="27"/>
  <c r="AM274" i="27"/>
  <c r="AF274" i="27"/>
  <c r="Y274" i="27"/>
  <c r="R274" i="27"/>
  <c r="AT274" i="27"/>
  <c r="AS103" i="27"/>
  <c r="AL103" i="27"/>
  <c r="X103" i="27"/>
  <c r="AE103" i="27"/>
  <c r="Q103" i="27"/>
  <c r="Q332" i="27"/>
  <c r="AE332" i="27"/>
  <c r="AL332" i="27"/>
  <c r="X332" i="27"/>
  <c r="AS332" i="27"/>
  <c r="Y269" i="27"/>
  <c r="AM269" i="27"/>
  <c r="AF269" i="27"/>
  <c r="R269" i="27"/>
  <c r="AT269" i="27"/>
  <c r="AI350" i="27"/>
  <c r="N350" i="27"/>
  <c r="U350" i="27"/>
  <c r="AB350" i="27"/>
  <c r="AP350" i="27"/>
  <c r="X283" i="27"/>
  <c r="AS283" i="27"/>
  <c r="AL283" i="27"/>
  <c r="Q283" i="27"/>
  <c r="AE283" i="27"/>
  <c r="Y75" i="27"/>
  <c r="AT75" i="27"/>
  <c r="AM75" i="27"/>
  <c r="R75" i="27"/>
  <c r="AF75" i="27"/>
  <c r="AP33" i="27"/>
  <c r="AB33" i="27"/>
  <c r="U33" i="27"/>
  <c r="N33" i="27"/>
  <c r="AI33" i="27"/>
  <c r="AT157" i="27"/>
  <c r="R157" i="27"/>
  <c r="AM157" i="27"/>
  <c r="Y157" i="27"/>
  <c r="AF157" i="27"/>
  <c r="AI343" i="27"/>
  <c r="U343" i="27"/>
  <c r="N343" i="27"/>
  <c r="AB343" i="27"/>
  <c r="AP343" i="27"/>
  <c r="U202" i="27"/>
  <c r="AB202" i="27"/>
  <c r="AI202" i="27"/>
  <c r="AP202" i="27"/>
  <c r="N202" i="27"/>
  <c r="AS128" i="27"/>
  <c r="X128" i="27"/>
  <c r="AL128" i="27"/>
  <c r="Q128" i="27"/>
  <c r="AE128" i="27"/>
  <c r="U136" i="27"/>
  <c r="AP136" i="27"/>
  <c r="N136" i="27"/>
  <c r="AI136" i="27"/>
  <c r="AB136" i="27"/>
  <c r="P322" i="27"/>
  <c r="AD322" i="27"/>
  <c r="AR322" i="27"/>
  <c r="W322" i="27"/>
  <c r="AK322" i="27"/>
  <c r="AT363" i="27"/>
  <c r="AF363" i="27"/>
  <c r="R363" i="27"/>
  <c r="AM363" i="27"/>
  <c r="Y363" i="27"/>
  <c r="AS362" i="27"/>
  <c r="AL362" i="27"/>
  <c r="Q362" i="27"/>
  <c r="X362" i="27"/>
  <c r="AE362" i="27"/>
  <c r="AT337" i="27"/>
  <c r="R337" i="27"/>
  <c r="Y337" i="27"/>
  <c r="AF337" i="27"/>
  <c r="AM337" i="27"/>
  <c r="N324" i="27"/>
  <c r="AB324" i="27"/>
  <c r="AP324" i="27"/>
  <c r="U324" i="27"/>
  <c r="AI324" i="27"/>
  <c r="R60" i="27"/>
  <c r="AM60" i="27"/>
  <c r="Y60" i="27"/>
  <c r="AF60" i="27"/>
  <c r="AT60" i="27"/>
  <c r="AC170" i="27"/>
  <c r="AQ170" i="27"/>
  <c r="AJ170" i="27"/>
  <c r="V170" i="27"/>
  <c r="O170" i="27"/>
  <c r="O304" i="27"/>
  <c r="AC304" i="27"/>
  <c r="AJ304" i="27"/>
  <c r="AQ304" i="27"/>
  <c r="V304" i="27"/>
  <c r="AE296" i="27"/>
  <c r="AS296" i="27"/>
  <c r="X296" i="27"/>
  <c r="AL296" i="27"/>
  <c r="Q296" i="27"/>
  <c r="Q81" i="27"/>
  <c r="X81" i="27"/>
  <c r="AL81" i="27"/>
  <c r="AE81" i="27"/>
  <c r="AS81" i="27"/>
  <c r="X49" i="27"/>
  <c r="Q49" i="27"/>
  <c r="AE49" i="27"/>
  <c r="AJ5" i="23"/>
  <c r="AS49" i="27"/>
  <c r="AL49" i="27"/>
  <c r="X330" i="27"/>
  <c r="AE330" i="27"/>
  <c r="Q330" i="27"/>
  <c r="AS330" i="27"/>
  <c r="AL330" i="27"/>
  <c r="W317" i="27"/>
  <c r="AD317" i="27"/>
  <c r="AR317" i="27"/>
  <c r="FC317" i="27" s="1"/>
  <c r="AK317" i="27"/>
  <c r="P317" i="27"/>
  <c r="AK206" i="27"/>
  <c r="AR206" i="27"/>
  <c r="AD206" i="27"/>
  <c r="W206" i="27"/>
  <c r="EK206" i="27" s="1"/>
  <c r="P206" i="27"/>
  <c r="Q87" i="27"/>
  <c r="X87" i="27"/>
  <c r="AJ10" i="23"/>
  <c r="AS87" i="27"/>
  <c r="AE87" i="27"/>
  <c r="AL87" i="27"/>
  <c r="Q27" i="27"/>
  <c r="AS27" i="27"/>
  <c r="AE27" i="27"/>
  <c r="AL27" i="27"/>
  <c r="X27" i="27"/>
  <c r="AS312" i="27"/>
  <c r="AL312" i="27"/>
  <c r="AE312" i="27"/>
  <c r="Q312" i="27"/>
  <c r="X312" i="27"/>
  <c r="AQ155" i="27"/>
  <c r="AC155" i="27"/>
  <c r="AJ155" i="27"/>
  <c r="O155" i="27"/>
  <c r="V155" i="27"/>
  <c r="V249" i="27"/>
  <c r="AJ249" i="27"/>
  <c r="O249" i="27"/>
  <c r="AQ249" i="27"/>
  <c r="AC249" i="27"/>
  <c r="P210" i="27"/>
  <c r="AD210" i="27"/>
  <c r="AK210" i="27"/>
  <c r="AR210" i="27"/>
  <c r="W210" i="27"/>
  <c r="Q321" i="27"/>
  <c r="AS321" i="27"/>
  <c r="AE321" i="27"/>
  <c r="X321" i="27"/>
  <c r="AL321" i="27"/>
  <c r="AT116" i="27"/>
  <c r="R116" i="27"/>
  <c r="AM116" i="27"/>
  <c r="Y116" i="27"/>
  <c r="AF116" i="27"/>
  <c r="AE251" i="27"/>
  <c r="Q251" i="27"/>
  <c r="X251" i="27"/>
  <c r="AL251" i="27"/>
  <c r="AS251" i="27"/>
  <c r="Y118" i="27"/>
  <c r="AM118" i="27"/>
  <c r="AT118" i="27"/>
  <c r="AF118" i="27"/>
  <c r="R118" i="27"/>
  <c r="AJ189" i="27"/>
  <c r="AQ189" i="27"/>
  <c r="O189" i="27"/>
  <c r="V189" i="27"/>
  <c r="AC189" i="27"/>
  <c r="AQ175" i="27"/>
  <c r="AJ175" i="27"/>
  <c r="V175" i="27"/>
  <c r="AC175" i="27"/>
  <c r="O175" i="27"/>
  <c r="AB329" i="27"/>
  <c r="AI329" i="27"/>
  <c r="U329" i="27"/>
  <c r="AP329" i="27"/>
  <c r="N329" i="27"/>
  <c r="X364" i="27"/>
  <c r="Q364" i="27"/>
  <c r="AL364" i="27"/>
  <c r="AE364" i="27"/>
  <c r="AS364" i="27"/>
  <c r="R355" i="27"/>
  <c r="AM355" i="27"/>
  <c r="Y355" i="27"/>
  <c r="AT355" i="27"/>
  <c r="AF355" i="27"/>
  <c r="AC214" i="27"/>
  <c r="V214" i="27"/>
  <c r="AQ214" i="27"/>
  <c r="AJ214" i="27"/>
  <c r="O214" i="27"/>
  <c r="AJ279" i="27"/>
  <c r="V279" i="27"/>
  <c r="AQ279" i="27"/>
  <c r="O279" i="27"/>
  <c r="AC279" i="27"/>
  <c r="AQ26" i="27"/>
  <c r="V26" i="27"/>
  <c r="O26" i="27"/>
  <c r="AJ26" i="27"/>
  <c r="AC26" i="27"/>
  <c r="AT352" i="27"/>
  <c r="R352" i="27"/>
  <c r="Y352" i="27"/>
  <c r="AM352" i="27"/>
  <c r="AF352" i="27"/>
  <c r="AI135" i="27"/>
  <c r="AB135" i="27"/>
  <c r="U135" i="27"/>
  <c r="N135" i="27"/>
  <c r="AP135" i="27"/>
  <c r="N113" i="27"/>
  <c r="U113" i="27"/>
  <c r="AP113" i="27"/>
  <c r="AB113" i="27"/>
  <c r="AI113" i="27"/>
  <c r="AF131" i="27"/>
  <c r="R131" i="27"/>
  <c r="AT131" i="27"/>
  <c r="AM131" i="27"/>
  <c r="Y131" i="27"/>
  <c r="O232" i="27"/>
  <c r="V232" i="27"/>
  <c r="AQ232" i="27"/>
  <c r="AC232" i="27"/>
  <c r="AJ232" i="27"/>
  <c r="AQ19" i="27"/>
  <c r="AJ19" i="27"/>
  <c r="O19" i="27"/>
  <c r="AC19" i="27"/>
  <c r="V19" i="27"/>
  <c r="AR190" i="27"/>
  <c r="P190" i="27"/>
  <c r="CI190" i="27" s="1"/>
  <c r="AK190" i="27"/>
  <c r="AD190" i="27"/>
  <c r="W190" i="27"/>
  <c r="AR299" i="27"/>
  <c r="W299" i="27"/>
  <c r="AD299" i="27"/>
  <c r="AK299" i="27"/>
  <c r="P299" i="27"/>
  <c r="AK64" i="27"/>
  <c r="W64" i="27"/>
  <c r="P64" i="27"/>
  <c r="AD64" i="27"/>
  <c r="AR64" i="27"/>
  <c r="AM20" i="27"/>
  <c r="AF20" i="27"/>
  <c r="R20" i="27"/>
  <c r="Y20" i="27"/>
  <c r="AT20" i="27"/>
  <c r="P116" i="27"/>
  <c r="AK116" i="27"/>
  <c r="AR116" i="27"/>
  <c r="AD116" i="27"/>
  <c r="W116" i="27"/>
  <c r="Y94" i="27"/>
  <c r="AF94" i="27"/>
  <c r="AT94" i="27"/>
  <c r="AM94" i="27"/>
  <c r="R94" i="27"/>
  <c r="X224" i="27"/>
  <c r="AE224" i="27"/>
  <c r="AL224" i="27"/>
  <c r="Q224" i="27"/>
  <c r="AS224" i="27"/>
  <c r="AT58" i="27"/>
  <c r="R58" i="27"/>
  <c r="AM58" i="27"/>
  <c r="AF58" i="27"/>
  <c r="Y58" i="27"/>
  <c r="R273" i="27"/>
  <c r="AM273" i="27"/>
  <c r="AT273" i="27"/>
  <c r="AF273" i="27"/>
  <c r="Y273" i="27"/>
  <c r="AJ35" i="27"/>
  <c r="O35" i="27"/>
  <c r="AC35" i="27"/>
  <c r="V35" i="27"/>
  <c r="AQ35" i="27"/>
  <c r="AL278" i="27"/>
  <c r="AS278" i="27"/>
  <c r="Q278" i="27"/>
  <c r="X278" i="27"/>
  <c r="AE278" i="27"/>
  <c r="O15" i="27"/>
  <c r="V15" i="27"/>
  <c r="AC15" i="27"/>
  <c r="AJ15" i="27"/>
  <c r="AQ15" i="27"/>
  <c r="AB45" i="27"/>
  <c r="U45" i="27"/>
  <c r="N45" i="27"/>
  <c r="AI45" i="27"/>
  <c r="AP45" i="27"/>
  <c r="AF268" i="27"/>
  <c r="AT268" i="27"/>
  <c r="R268" i="27"/>
  <c r="Y268" i="27"/>
  <c r="AM268" i="27"/>
  <c r="AL162" i="27"/>
  <c r="AS162" i="27"/>
  <c r="AE162" i="27"/>
  <c r="Q162" i="27"/>
  <c r="X162" i="27"/>
  <c r="AF354" i="27"/>
  <c r="R354" i="27"/>
  <c r="AM354" i="27"/>
  <c r="AT354" i="27"/>
  <c r="Y354" i="27"/>
  <c r="AT283" i="27"/>
  <c r="Y283" i="27"/>
  <c r="R283" i="27"/>
  <c r="AM283" i="27"/>
  <c r="AF283" i="27"/>
  <c r="W97" i="27"/>
  <c r="P97" i="27"/>
  <c r="AK97" i="27"/>
  <c r="AR97" i="27"/>
  <c r="AD97" i="27"/>
  <c r="AL198" i="27"/>
  <c r="DA198" i="27" s="1"/>
  <c r="Q198" i="27"/>
  <c r="AS198" i="27"/>
  <c r="X198" i="27"/>
  <c r="AE198" i="27"/>
  <c r="AJ217" i="27"/>
  <c r="V217" i="27"/>
  <c r="AQ217" i="27"/>
  <c r="AC217" i="27"/>
  <c r="O217" i="27"/>
  <c r="AL32" i="27"/>
  <c r="Q32" i="27"/>
  <c r="X32" i="27"/>
  <c r="AE32" i="27"/>
  <c r="AS32" i="27"/>
  <c r="AE69" i="27"/>
  <c r="Q69" i="27"/>
  <c r="AS69" i="27"/>
  <c r="AJ7" i="23"/>
  <c r="AL69" i="27"/>
  <c r="X69" i="27"/>
  <c r="U269" i="27"/>
  <c r="AP269" i="27"/>
  <c r="AI269" i="27"/>
  <c r="AB269" i="27"/>
  <c r="N269" i="27"/>
  <c r="AS243" i="27"/>
  <c r="Q243" i="27"/>
  <c r="AL243" i="27"/>
  <c r="X243" i="27"/>
  <c r="AE243" i="27"/>
  <c r="U154" i="27"/>
  <c r="AP154" i="27"/>
  <c r="N154" i="27"/>
  <c r="CI154" i="27" s="1"/>
  <c r="AI154" i="27"/>
  <c r="AB154" i="27"/>
  <c r="AB95" i="27"/>
  <c r="AP95" i="27"/>
  <c r="GY95" i="27" s="1"/>
  <c r="U95" i="27"/>
  <c r="AI95" i="27"/>
  <c r="N95" i="27"/>
  <c r="CI95" i="27" s="1"/>
  <c r="AS130" i="27"/>
  <c r="Q130" i="27"/>
  <c r="X130" i="27"/>
  <c r="AL130" i="27"/>
  <c r="AE130" i="27"/>
  <c r="U89" i="27"/>
  <c r="AB89" i="27"/>
  <c r="AP89" i="27"/>
  <c r="AI89" i="27"/>
  <c r="N89" i="27"/>
  <c r="AE114" i="27"/>
  <c r="AL114" i="27"/>
  <c r="Q114" i="27"/>
  <c r="AS114" i="27"/>
  <c r="X114" i="27"/>
  <c r="Q276" i="27"/>
  <c r="AS276" i="27"/>
  <c r="AL276" i="27"/>
  <c r="AE276" i="27"/>
  <c r="X276" i="27"/>
  <c r="N23" i="27"/>
  <c r="AP23" i="27"/>
  <c r="AI23" i="27"/>
  <c r="AB23" i="27"/>
  <c r="U23" i="27"/>
  <c r="AD266" i="27"/>
  <c r="P266" i="27"/>
  <c r="W266" i="27"/>
  <c r="AK266" i="27"/>
  <c r="AR266" i="27"/>
  <c r="AC25" i="27"/>
  <c r="AQ25" i="27"/>
  <c r="V25" i="27"/>
  <c r="O25" i="27"/>
  <c r="AJ25" i="27"/>
  <c r="AK313" i="27"/>
  <c r="AR313" i="27"/>
  <c r="W313" i="27"/>
  <c r="AD313" i="27"/>
  <c r="P313" i="27"/>
  <c r="P295" i="27"/>
  <c r="AR295" i="27"/>
  <c r="AD295" i="27"/>
  <c r="AK295" i="27"/>
  <c r="W295" i="27"/>
  <c r="W83" i="27"/>
  <c r="P83" i="27"/>
  <c r="AR83" i="27"/>
  <c r="AK83" i="27"/>
  <c r="AD83" i="27"/>
  <c r="X65" i="27"/>
  <c r="AL65" i="27"/>
  <c r="AS65" i="27"/>
  <c r="AE65" i="27"/>
  <c r="Q65" i="27"/>
  <c r="AL335" i="27"/>
  <c r="Q335" i="27"/>
  <c r="AE335" i="27"/>
  <c r="X335" i="27"/>
  <c r="AS335" i="27"/>
  <c r="AP94" i="27"/>
  <c r="AB94" i="27"/>
  <c r="U94" i="27"/>
  <c r="AI94" i="27"/>
  <c r="N94" i="27"/>
  <c r="AB15" i="27"/>
  <c r="U15" i="27"/>
  <c r="AI15" i="27"/>
  <c r="N15" i="27"/>
  <c r="AP15" i="27"/>
  <c r="Y345" i="27"/>
  <c r="R345" i="27"/>
  <c r="AM345" i="27"/>
  <c r="AF345" i="27"/>
  <c r="AT345" i="27"/>
  <c r="AP279" i="27"/>
  <c r="AI279" i="27"/>
  <c r="U279" i="27"/>
  <c r="N279" i="27"/>
  <c r="AB279" i="27"/>
  <c r="N248" i="27"/>
  <c r="AI248" i="27"/>
  <c r="AB248" i="27"/>
  <c r="AP248" i="27"/>
  <c r="U248" i="27"/>
  <c r="X324" i="27"/>
  <c r="Q324" i="27"/>
  <c r="AS324" i="27"/>
  <c r="FC324" i="27" s="1"/>
  <c r="AE324" i="27"/>
  <c r="AL324" i="27"/>
  <c r="AR11" i="27"/>
  <c r="P11" i="27"/>
  <c r="AD11" i="27"/>
  <c r="AK11" i="27"/>
  <c r="W11" i="27"/>
  <c r="AF324" i="27"/>
  <c r="Y324" i="27"/>
  <c r="R324" i="27"/>
  <c r="AT324" i="27"/>
  <c r="AM324" i="27"/>
  <c r="AK306" i="27"/>
  <c r="W306" i="27"/>
  <c r="AR306" i="27"/>
  <c r="AD306" i="27"/>
  <c r="P306" i="27"/>
  <c r="AR88" i="27"/>
  <c r="W88" i="27"/>
  <c r="AD88" i="27"/>
  <c r="AK88" i="27"/>
  <c r="P88" i="27"/>
  <c r="V289" i="27"/>
  <c r="O289" i="27"/>
  <c r="AJ289" i="27"/>
  <c r="AC289" i="27"/>
  <c r="AQ289" i="27"/>
  <c r="AE70" i="27"/>
  <c r="Q70" i="27"/>
  <c r="AS70" i="27"/>
  <c r="X70" i="27"/>
  <c r="AL70" i="27"/>
  <c r="AF135" i="27"/>
  <c r="R135" i="27"/>
  <c r="AT135" i="27"/>
  <c r="AM135" i="27"/>
  <c r="Y135" i="27"/>
  <c r="AF280" i="27"/>
  <c r="R280" i="27"/>
  <c r="Y280" i="27"/>
  <c r="AT280" i="27"/>
  <c r="AM280" i="27"/>
  <c r="W357" i="27"/>
  <c r="P357" i="27"/>
  <c r="AD357" i="27"/>
  <c r="AR357" i="27"/>
  <c r="AK357" i="27"/>
  <c r="U236" i="27"/>
  <c r="N236" i="27"/>
  <c r="AP236" i="27"/>
  <c r="AB236" i="27"/>
  <c r="AI236" i="27"/>
  <c r="AC357" i="27"/>
  <c r="AQ357" i="27"/>
  <c r="V357" i="27"/>
  <c r="O357" i="27"/>
  <c r="AJ357" i="27"/>
  <c r="Y101" i="27"/>
  <c r="AM101" i="27"/>
  <c r="AF101" i="27"/>
  <c r="R101" i="27"/>
  <c r="AT101" i="27"/>
  <c r="AP239" i="27"/>
  <c r="N239" i="27"/>
  <c r="AB239" i="27"/>
  <c r="U239" i="27"/>
  <c r="AI239" i="27"/>
  <c r="N234" i="27"/>
  <c r="U234" i="27"/>
  <c r="AP234" i="27"/>
  <c r="AI234" i="27"/>
  <c r="AB234" i="27"/>
  <c r="AS115" i="27"/>
  <c r="X115" i="27"/>
  <c r="AL115" i="27"/>
  <c r="AE115" i="27"/>
  <c r="Q115" i="27"/>
  <c r="AK118" i="27"/>
  <c r="AD118" i="27"/>
  <c r="AR118" i="27"/>
  <c r="W118" i="27"/>
  <c r="P118" i="27"/>
  <c r="V240" i="27"/>
  <c r="AC240" i="27"/>
  <c r="AJ240" i="27"/>
  <c r="AQ240" i="27"/>
  <c r="DG240" i="27" s="1"/>
  <c r="O240" i="27"/>
  <c r="Q93" i="27"/>
  <c r="AS93" i="27"/>
  <c r="AL93" i="27"/>
  <c r="AE93" i="27"/>
  <c r="X93" i="27"/>
  <c r="AJ89" i="27"/>
  <c r="AQ89" i="27"/>
  <c r="AC89" i="27"/>
  <c r="V89" i="27"/>
  <c r="O89" i="27"/>
  <c r="AL23" i="27"/>
  <c r="AS23" i="27"/>
  <c r="Q23" i="27"/>
  <c r="X23" i="27"/>
  <c r="AE23" i="27"/>
  <c r="U251" i="27"/>
  <c r="N251" i="27"/>
  <c r="AI251" i="27"/>
  <c r="GS251" i="27" s="1"/>
  <c r="AP251" i="27"/>
  <c r="AB251" i="27"/>
  <c r="U264" i="27"/>
  <c r="N264" i="27"/>
  <c r="AB264" i="27"/>
  <c r="AP264" i="27"/>
  <c r="AI264" i="27"/>
  <c r="N348" i="27"/>
  <c r="AP348" i="27"/>
  <c r="GY348" i="27" s="1"/>
  <c r="AI348" i="27"/>
  <c r="U348" i="27"/>
  <c r="AB348" i="27"/>
  <c r="AR126" i="27"/>
  <c r="AK126" i="27"/>
  <c r="W126" i="27"/>
  <c r="P126" i="27"/>
  <c r="AD126" i="27"/>
  <c r="X279" i="27"/>
  <c r="AL279" i="27"/>
  <c r="Q279" i="27"/>
  <c r="AS279" i="27"/>
  <c r="AE279" i="27"/>
  <c r="AM243" i="27"/>
  <c r="AF243" i="27"/>
  <c r="AT243" i="27"/>
  <c r="Y243" i="27"/>
  <c r="R243" i="27"/>
  <c r="U160" i="27"/>
  <c r="AI160" i="27"/>
  <c r="N160" i="27"/>
  <c r="AB160" i="27"/>
  <c r="AP160" i="27"/>
  <c r="AF271" i="27"/>
  <c r="R271" i="27"/>
  <c r="Y271" i="27"/>
  <c r="AM271" i="27"/>
  <c r="AT271" i="27"/>
  <c r="AJ253" i="27"/>
  <c r="AC253" i="27"/>
  <c r="O253" i="27"/>
  <c r="AQ253" i="27"/>
  <c r="V253" i="27"/>
  <c r="V192" i="27"/>
  <c r="AC192" i="27"/>
  <c r="AQ192" i="27"/>
  <c r="FC192" i="27" s="1"/>
  <c r="AJ192" i="27"/>
  <c r="O192" i="27"/>
  <c r="P96" i="27"/>
  <c r="AK96" i="27"/>
  <c r="W96" i="27"/>
  <c r="AR96" i="27"/>
  <c r="AD96" i="27"/>
  <c r="AF17" i="27"/>
  <c r="AT17" i="27"/>
  <c r="Y17" i="27"/>
  <c r="AM17" i="27"/>
  <c r="R17" i="27"/>
  <c r="AF335" i="27"/>
  <c r="R335" i="27"/>
  <c r="Y335" i="27"/>
  <c r="AM335" i="27"/>
  <c r="AT335" i="27"/>
  <c r="W213" i="27"/>
  <c r="P213" i="27"/>
  <c r="AK213" i="27"/>
  <c r="AR213" i="27"/>
  <c r="AD213" i="27"/>
  <c r="AT74" i="27"/>
  <c r="FC74" i="27" s="1"/>
  <c r="AM74" i="27"/>
  <c r="R74" i="27"/>
  <c r="AF74" i="27"/>
  <c r="AK8" i="23"/>
  <c r="AS8" i="23" s="1"/>
  <c r="Y74" i="27"/>
  <c r="AT332" i="27"/>
  <c r="Y332" i="27"/>
  <c r="AF332" i="27"/>
  <c r="R332" i="27"/>
  <c r="AM332" i="27"/>
  <c r="N307" i="27"/>
  <c r="AP307" i="27"/>
  <c r="AI307" i="27"/>
  <c r="U307" i="27"/>
  <c r="AB307" i="27"/>
  <c r="P264" i="27"/>
  <c r="AK264" i="27"/>
  <c r="AD264" i="27"/>
  <c r="W264" i="27"/>
  <c r="AR264" i="27"/>
  <c r="X309" i="27"/>
  <c r="Q309" i="27"/>
  <c r="AE309" i="27"/>
  <c r="AL309" i="27"/>
  <c r="AS309" i="27"/>
  <c r="AR353" i="27"/>
  <c r="W353" i="27"/>
  <c r="P353" i="27"/>
  <c r="AD353" i="27"/>
  <c r="AK353" i="27"/>
  <c r="P297" i="27"/>
  <c r="AK297" i="27"/>
  <c r="W297" i="27"/>
  <c r="AD297" i="27"/>
  <c r="AR297" i="27"/>
  <c r="AM248" i="27"/>
  <c r="AT248" i="27"/>
  <c r="Y248" i="27"/>
  <c r="R248" i="27"/>
  <c r="AF248" i="27"/>
  <c r="AT281" i="27"/>
  <c r="AM281" i="27"/>
  <c r="AF281" i="27"/>
  <c r="Y281" i="27"/>
  <c r="R281" i="27"/>
  <c r="X119" i="27"/>
  <c r="Q119" i="27"/>
  <c r="AE119" i="27"/>
  <c r="AS119" i="27"/>
  <c r="AL119" i="27"/>
  <c r="AP306" i="27"/>
  <c r="AB306" i="27"/>
  <c r="AI306" i="27"/>
  <c r="U306" i="27"/>
  <c r="N306" i="27"/>
  <c r="Q30" i="27"/>
  <c r="AL30" i="27"/>
  <c r="AS30" i="27"/>
  <c r="AE30" i="27"/>
  <c r="X30" i="27"/>
  <c r="AJ102" i="27"/>
  <c r="V102" i="27"/>
  <c r="AC102" i="27"/>
  <c r="O102" i="27"/>
  <c r="AQ102" i="27"/>
  <c r="N49" i="27"/>
  <c r="AI49" i="27"/>
  <c r="AP49" i="27"/>
  <c r="AB49" i="27"/>
  <c r="U49" i="27"/>
  <c r="AS169" i="27"/>
  <c r="AL169" i="27"/>
  <c r="Q169" i="27"/>
  <c r="AE169" i="27"/>
  <c r="GM169" i="27" s="1"/>
  <c r="X169" i="27"/>
  <c r="AR144" i="27"/>
  <c r="AK144" i="27"/>
  <c r="AD144" i="27"/>
  <c r="P144" i="27"/>
  <c r="W144" i="27"/>
  <c r="AM188" i="27"/>
  <c r="R188" i="27"/>
  <c r="CI188" i="27" s="1"/>
  <c r="AT188" i="27"/>
  <c r="Y188" i="27"/>
  <c r="AF188" i="27"/>
  <c r="AQ53" i="27"/>
  <c r="AJ53" i="27"/>
  <c r="AC53" i="27"/>
  <c r="V53" i="27"/>
  <c r="O53" i="27"/>
  <c r="AQ10" i="27"/>
  <c r="AC10" i="27"/>
  <c r="V10" i="27"/>
  <c r="O10" i="27"/>
  <c r="AJ10" i="27"/>
  <c r="V70" i="27"/>
  <c r="AQ70" i="27"/>
  <c r="GY70" i="27" s="1"/>
  <c r="AJ70" i="27"/>
  <c r="AC70" i="27"/>
  <c r="O70" i="27"/>
  <c r="V108" i="27"/>
  <c r="O108" i="27"/>
  <c r="AQ108" i="27"/>
  <c r="AC108" i="27"/>
  <c r="AJ108" i="27"/>
  <c r="AQ98" i="27"/>
  <c r="AC98" i="27"/>
  <c r="V98" i="27"/>
  <c r="AJ98" i="27"/>
  <c r="O98" i="27"/>
  <c r="AD19" i="27"/>
  <c r="W19" i="27"/>
  <c r="P19" i="27"/>
  <c r="AK19" i="27"/>
  <c r="AR19" i="27"/>
  <c r="AI300" i="27"/>
  <c r="GS300" i="27" s="1"/>
  <c r="AB300" i="27"/>
  <c r="U300" i="27"/>
  <c r="N300" i="27"/>
  <c r="AP300" i="27"/>
  <c r="AB36" i="27"/>
  <c r="N36" i="27"/>
  <c r="AI36" i="27"/>
  <c r="U36" i="27"/>
  <c r="CO36" i="27" s="1"/>
  <c r="AP36" i="27"/>
  <c r="N256" i="27"/>
  <c r="AI256" i="27"/>
  <c r="U256" i="27"/>
  <c r="AP256" i="27"/>
  <c r="AB256" i="27"/>
  <c r="AQ96" i="27"/>
  <c r="O96" i="27"/>
  <c r="AJ96" i="27"/>
  <c r="V96" i="27"/>
  <c r="AC96" i="27"/>
  <c r="W256" i="27"/>
  <c r="P256" i="27"/>
  <c r="AR256" i="27"/>
  <c r="AK256" i="27"/>
  <c r="AD256" i="27"/>
  <c r="AK216" i="27"/>
  <c r="GS216" i="27" s="1"/>
  <c r="W216" i="27"/>
  <c r="AR216" i="27"/>
  <c r="AD216" i="27"/>
  <c r="CU216" i="27" s="1"/>
  <c r="P216" i="27"/>
  <c r="Q15" i="27"/>
  <c r="X15" i="27"/>
  <c r="AL15" i="27"/>
  <c r="AE15" i="27"/>
  <c r="AS15" i="27"/>
  <c r="AP157" i="27"/>
  <c r="U157" i="27"/>
  <c r="N157" i="27"/>
  <c r="AB157" i="27"/>
  <c r="AI157" i="27"/>
  <c r="AB46" i="27"/>
  <c r="N46" i="27"/>
  <c r="AP46" i="27"/>
  <c r="U46" i="27"/>
  <c r="AI46" i="27"/>
  <c r="AL191" i="27"/>
  <c r="X191" i="27"/>
  <c r="Q191" i="27"/>
  <c r="AS191" i="27"/>
  <c r="AE191" i="27"/>
  <c r="AP20" i="27"/>
  <c r="AB20" i="27"/>
  <c r="N20" i="27"/>
  <c r="U20" i="27"/>
  <c r="AI20" i="27"/>
  <c r="AS349" i="27"/>
  <c r="X349" i="27"/>
  <c r="AE349" i="27"/>
  <c r="AL349" i="27"/>
  <c r="Q349" i="27"/>
  <c r="AI175" i="27"/>
  <c r="AB175" i="27"/>
  <c r="U175" i="27"/>
  <c r="N175" i="27"/>
  <c r="AP175" i="27"/>
  <c r="AF69" i="27"/>
  <c r="AT69" i="27"/>
  <c r="AK7" i="23"/>
  <c r="R69" i="27"/>
  <c r="Y69" i="27"/>
  <c r="AM69" i="27"/>
  <c r="AQ159" i="27"/>
  <c r="AC159" i="27"/>
  <c r="GM159" i="27" s="1"/>
  <c r="O159" i="27"/>
  <c r="AJ159" i="27"/>
  <c r="V159" i="27"/>
  <c r="AI280" i="27"/>
  <c r="AB280" i="27"/>
  <c r="AP280" i="27"/>
  <c r="U280" i="27"/>
  <c r="N280" i="27"/>
  <c r="AB13" i="27"/>
  <c r="AP13" i="27"/>
  <c r="AI13" i="27"/>
  <c r="N13" i="27"/>
  <c r="U13" i="27"/>
  <c r="AR89" i="27"/>
  <c r="W89" i="27"/>
  <c r="P89" i="27"/>
  <c r="AD89" i="27"/>
  <c r="AK89" i="27"/>
  <c r="AR67" i="27"/>
  <c r="P67" i="27"/>
  <c r="W67" i="27"/>
  <c r="AK67" i="27"/>
  <c r="AD67" i="27"/>
  <c r="X214" i="27"/>
  <c r="AS214" i="27"/>
  <c r="AL214" i="27"/>
  <c r="Q214" i="27"/>
  <c r="AE214" i="27"/>
  <c r="AM341" i="27"/>
  <c r="AF341" i="27"/>
  <c r="Y341" i="27"/>
  <c r="R341" i="27"/>
  <c r="AT341" i="27"/>
  <c r="AI211" i="27"/>
  <c r="N211" i="27"/>
  <c r="AP211" i="27"/>
  <c r="AB211" i="27"/>
  <c r="U211" i="27"/>
  <c r="AF233" i="27"/>
  <c r="Y233" i="27"/>
  <c r="R233" i="27"/>
  <c r="AM233" i="27"/>
  <c r="AT233" i="27"/>
  <c r="AF210" i="27"/>
  <c r="R210" i="27"/>
  <c r="AM210" i="27"/>
  <c r="Y210" i="27"/>
  <c r="AT210" i="27"/>
  <c r="V245" i="27"/>
  <c r="O245" i="27"/>
  <c r="AC245" i="27"/>
  <c r="AJ245" i="27"/>
  <c r="AQ245" i="27"/>
  <c r="AF340" i="27"/>
  <c r="AT340" i="27"/>
  <c r="R340" i="27"/>
  <c r="Y340" i="27"/>
  <c r="AM340" i="27"/>
  <c r="AB278" i="27"/>
  <c r="N278" i="27"/>
  <c r="U278" i="27"/>
  <c r="AI278" i="27"/>
  <c r="AP278" i="27"/>
  <c r="AP238" i="27"/>
  <c r="U238" i="27"/>
  <c r="AB238" i="27"/>
  <c r="AI238" i="27"/>
  <c r="N238" i="27"/>
  <c r="X289" i="27"/>
  <c r="AE289" i="27"/>
  <c r="AL289" i="27"/>
  <c r="Q289" i="27"/>
  <c r="AS289" i="27"/>
  <c r="W242" i="27"/>
  <c r="P242" i="27"/>
  <c r="AD242" i="27"/>
  <c r="AK242" i="27"/>
  <c r="AR242" i="27"/>
  <c r="AC86" i="27"/>
  <c r="GM86" i="27" s="1"/>
  <c r="AJ86" i="27"/>
  <c r="AQ86" i="27"/>
  <c r="V86" i="27"/>
  <c r="O86" i="27"/>
  <c r="AC224" i="27"/>
  <c r="AQ224" i="27"/>
  <c r="AJ224" i="27"/>
  <c r="O224" i="27"/>
  <c r="V224" i="27"/>
  <c r="X271" i="27"/>
  <c r="AE271" i="27"/>
  <c r="AS271" i="27"/>
  <c r="Q271" i="27"/>
  <c r="AL271" i="27"/>
  <c r="N28" i="27"/>
  <c r="AI28" i="27"/>
  <c r="AP28" i="27"/>
  <c r="U28" i="27"/>
  <c r="AB28" i="27"/>
  <c r="AM174" i="27"/>
  <c r="R174" i="27"/>
  <c r="Y174" i="27"/>
  <c r="AT174" i="27"/>
  <c r="AF174" i="27"/>
  <c r="AQ230" i="27"/>
  <c r="AJ230" i="27"/>
  <c r="O230" i="27"/>
  <c r="AC230" i="27"/>
  <c r="V230" i="27"/>
  <c r="AP362" i="27"/>
  <c r="AI362" i="27"/>
  <c r="U362" i="27"/>
  <c r="N362" i="27"/>
  <c r="AB362" i="27"/>
  <c r="Y65" i="27"/>
  <c r="AM65" i="27"/>
  <c r="AF65" i="27"/>
  <c r="AT65" i="27"/>
  <c r="R65" i="27"/>
  <c r="AM114" i="27"/>
  <c r="AT114" i="27"/>
  <c r="Y114" i="27"/>
  <c r="R114" i="27"/>
  <c r="AF114" i="27"/>
  <c r="Q183" i="27"/>
  <c r="AL183" i="27"/>
  <c r="AS183" i="27"/>
  <c r="AE183" i="27"/>
  <c r="X183" i="27"/>
  <c r="AB359" i="27"/>
  <c r="AI359" i="27"/>
  <c r="U359" i="27"/>
  <c r="N359" i="27"/>
  <c r="AP359" i="27"/>
  <c r="W281" i="27"/>
  <c r="AR281" i="27"/>
  <c r="AD281" i="27"/>
  <c r="AK281" i="27"/>
  <c r="P281" i="27"/>
  <c r="AT107" i="27"/>
  <c r="AM107" i="27"/>
  <c r="AF107" i="27"/>
  <c r="Y107" i="27"/>
  <c r="R107" i="27"/>
  <c r="AF25" i="27"/>
  <c r="Y25" i="27"/>
  <c r="R25" i="27"/>
  <c r="AT25" i="27"/>
  <c r="AM25" i="27"/>
  <c r="W107" i="27"/>
  <c r="P107" i="27"/>
  <c r="AR107" i="27"/>
  <c r="AD107" i="27"/>
  <c r="AK107" i="27"/>
  <c r="X325" i="27"/>
  <c r="AL325" i="27"/>
  <c r="Q325" i="27"/>
  <c r="AE325" i="27"/>
  <c r="AS325" i="27"/>
  <c r="Q340" i="27"/>
  <c r="AS340" i="27"/>
  <c r="X340" i="27"/>
  <c r="AL340" i="27"/>
  <c r="AE340" i="27"/>
  <c r="AP92" i="27"/>
  <c r="GY92" i="27" s="1"/>
  <c r="U92" i="27"/>
  <c r="AB92" i="27"/>
  <c r="AI92" i="27"/>
  <c r="N92" i="27"/>
  <c r="R291" i="27"/>
  <c r="AM291" i="27"/>
  <c r="AF291" i="27"/>
  <c r="Y291" i="27"/>
  <c r="AT291" i="27"/>
  <c r="P352" i="27"/>
  <c r="AR352" i="27"/>
  <c r="W352" i="27"/>
  <c r="AK352" i="27"/>
  <c r="AD352" i="27"/>
  <c r="AR197" i="27"/>
  <c r="W197" i="27"/>
  <c r="AD197" i="27"/>
  <c r="P197" i="27"/>
  <c r="AK197" i="27"/>
  <c r="N156" i="27"/>
  <c r="AB156" i="27"/>
  <c r="AI156" i="27"/>
  <c r="U156" i="27"/>
  <c r="AP156" i="27"/>
  <c r="AL137" i="27"/>
  <c r="X137" i="27"/>
  <c r="AS137" i="27"/>
  <c r="AE137" i="27"/>
  <c r="Q137" i="27"/>
  <c r="AQ197" i="27"/>
  <c r="AC197" i="27"/>
  <c r="AJ197" i="27"/>
  <c r="O197" i="27"/>
  <c r="V197" i="27"/>
  <c r="V151" i="27"/>
  <c r="AQ151" i="27"/>
  <c r="O151" i="27"/>
  <c r="EE151" i="27" s="1"/>
  <c r="AC151" i="27"/>
  <c r="AJ151" i="27"/>
  <c r="AT46" i="27"/>
  <c r="R46" i="27"/>
  <c r="Y46" i="27"/>
  <c r="AF46" i="27"/>
  <c r="AM46" i="27"/>
  <c r="Q361" i="27"/>
  <c r="AL361" i="27"/>
  <c r="X361" i="27"/>
  <c r="AE361" i="27"/>
  <c r="AS361" i="27"/>
  <c r="AS352" i="27"/>
  <c r="AL352" i="27"/>
  <c r="X352" i="27"/>
  <c r="Q352" i="27"/>
  <c r="AE352" i="27"/>
  <c r="AD105" i="27"/>
  <c r="P105" i="27"/>
  <c r="AR105" i="27"/>
  <c r="W105" i="27"/>
  <c r="AK105" i="27"/>
  <c r="N88" i="27"/>
  <c r="AI88" i="27"/>
  <c r="AP88" i="27"/>
  <c r="AB88" i="27"/>
  <c r="U88" i="27"/>
  <c r="AM106" i="27"/>
  <c r="AT106" i="27"/>
  <c r="AF106" i="27"/>
  <c r="Y106" i="27"/>
  <c r="R106" i="27"/>
  <c r="U321" i="27"/>
  <c r="AI321" i="27"/>
  <c r="AB321" i="27"/>
  <c r="AP321" i="27"/>
  <c r="N321" i="27"/>
  <c r="AE139" i="27"/>
  <c r="X139" i="27"/>
  <c r="AS139" i="27"/>
  <c r="Q139" i="27"/>
  <c r="AL139" i="27"/>
  <c r="AS267" i="27"/>
  <c r="AL267" i="27"/>
  <c r="X267" i="27"/>
  <c r="AE267" i="27"/>
  <c r="Q267" i="27"/>
  <c r="AQ273" i="27"/>
  <c r="AJ273" i="27"/>
  <c r="V273" i="27"/>
  <c r="O273" i="27"/>
  <c r="AC273" i="27"/>
  <c r="AD320" i="27"/>
  <c r="AR320" i="27"/>
  <c r="AK320" i="27"/>
  <c r="W320" i="27"/>
  <c r="P320" i="27"/>
  <c r="W82" i="27"/>
  <c r="AR82" i="27"/>
  <c r="AK82" i="27"/>
  <c r="AI9" i="23"/>
  <c r="P82" i="27"/>
  <c r="AD82" i="27"/>
  <c r="AM197" i="27"/>
  <c r="R197" i="27"/>
  <c r="Y197" i="27"/>
  <c r="AT197" i="27"/>
  <c r="AF197" i="27"/>
  <c r="U301" i="27"/>
  <c r="N301" i="27"/>
  <c r="AP301" i="27"/>
  <c r="AB301" i="27"/>
  <c r="AI301" i="27"/>
  <c r="P149" i="27"/>
  <c r="AR149" i="27"/>
  <c r="W149" i="27"/>
  <c r="AK149" i="27"/>
  <c r="AD149" i="27"/>
  <c r="AB117" i="27"/>
  <c r="U117" i="27"/>
  <c r="N117" i="27"/>
  <c r="AI117" i="27"/>
  <c r="AP117" i="27"/>
  <c r="AE13" i="27"/>
  <c r="AL13" i="27"/>
  <c r="AS13" i="27"/>
  <c r="Q13" i="27"/>
  <c r="X13" i="27"/>
  <c r="AS101" i="27"/>
  <c r="AL101" i="27"/>
  <c r="X101" i="27"/>
  <c r="Q101" i="27"/>
  <c r="AE101" i="27"/>
  <c r="AR238" i="27"/>
  <c r="P238" i="27"/>
  <c r="AD238" i="27"/>
  <c r="W238" i="27"/>
  <c r="AK238" i="27"/>
  <c r="AP294" i="27"/>
  <c r="AB294" i="27"/>
  <c r="U294" i="27"/>
  <c r="N294" i="27"/>
  <c r="GA294" i="27" s="1"/>
  <c r="AI294" i="27"/>
  <c r="AQ43" i="27"/>
  <c r="O43" i="27"/>
  <c r="AC43" i="27"/>
  <c r="AJ43" i="27"/>
  <c r="V43" i="27"/>
  <c r="AT258" i="27"/>
  <c r="Y258" i="27"/>
  <c r="AM258" i="27"/>
  <c r="AF258" i="27"/>
  <c r="R258" i="27"/>
  <c r="U257" i="27"/>
  <c r="AI257" i="27"/>
  <c r="N257" i="27"/>
  <c r="AB257" i="27"/>
  <c r="AP257" i="27"/>
  <c r="P360" i="27"/>
  <c r="AR360" i="27"/>
  <c r="AK360" i="27"/>
  <c r="AD360" i="27"/>
  <c r="W360" i="27"/>
  <c r="N283" i="27"/>
  <c r="AB283" i="27"/>
  <c r="U283" i="27"/>
  <c r="AP283" i="27"/>
  <c r="AI283" i="27"/>
  <c r="AD101" i="27"/>
  <c r="AR101" i="27"/>
  <c r="W101" i="27"/>
  <c r="P101" i="27"/>
  <c r="AK101" i="27"/>
  <c r="AK291" i="27"/>
  <c r="AD291" i="27"/>
  <c r="P291" i="27"/>
  <c r="W291" i="27"/>
  <c r="AR291" i="27"/>
  <c r="AP260" i="27"/>
  <c r="AB260" i="27"/>
  <c r="N260" i="27"/>
  <c r="U260" i="27"/>
  <c r="AI260" i="27"/>
  <c r="AJ153" i="27"/>
  <c r="O153" i="27"/>
  <c r="V153" i="27"/>
  <c r="AC153" i="27"/>
  <c r="AQ153" i="27"/>
  <c r="U60" i="27"/>
  <c r="AI60" i="27"/>
  <c r="AP60" i="27"/>
  <c r="AB60" i="27"/>
  <c r="N60" i="27"/>
  <c r="AC79" i="27"/>
  <c r="AQ79" i="27"/>
  <c r="AJ79" i="27"/>
  <c r="O79" i="27"/>
  <c r="V79" i="27"/>
  <c r="N273" i="27"/>
  <c r="AB273" i="27"/>
  <c r="U273" i="27"/>
  <c r="AI273" i="27"/>
  <c r="AP273" i="27"/>
  <c r="AI191" i="27"/>
  <c r="AB191" i="27"/>
  <c r="U191" i="27"/>
  <c r="AP191" i="27"/>
  <c r="N191" i="27"/>
  <c r="AQ114" i="27"/>
  <c r="AC114" i="27"/>
  <c r="V114" i="27"/>
  <c r="AJ114" i="27"/>
  <c r="O114" i="27"/>
  <c r="AK278" i="27"/>
  <c r="AD278" i="27"/>
  <c r="W278" i="27"/>
  <c r="P278" i="27"/>
  <c r="AR278" i="27"/>
  <c r="AQ57" i="27"/>
  <c r="GY57" i="27" s="1"/>
  <c r="AC57" i="27"/>
  <c r="AJ57" i="27"/>
  <c r="O57" i="27"/>
  <c r="CI57" i="27" s="1"/>
  <c r="V57" i="27"/>
  <c r="AB277" i="27"/>
  <c r="AI277" i="27"/>
  <c r="U277" i="27"/>
  <c r="N277" i="27"/>
  <c r="AP277" i="27"/>
  <c r="W282" i="27"/>
  <c r="AD282" i="27"/>
  <c r="CU282" i="27" s="1"/>
  <c r="AR282" i="27"/>
  <c r="AK282" i="27"/>
  <c r="P282" i="27"/>
  <c r="AF200" i="27"/>
  <c r="AT200" i="27"/>
  <c r="R200" i="27"/>
  <c r="AM200" i="27"/>
  <c r="Y200" i="27"/>
  <c r="AQ182" i="27"/>
  <c r="AC182" i="27"/>
  <c r="O182" i="27"/>
  <c r="AJ182" i="27"/>
  <c r="V182" i="27"/>
  <c r="AE85" i="27"/>
  <c r="AL85" i="27"/>
  <c r="AS85" i="27"/>
  <c r="Q85" i="27"/>
  <c r="X85" i="27"/>
  <c r="AL157" i="27"/>
  <c r="AS157" i="27"/>
  <c r="Q157" i="27"/>
  <c r="AE157" i="27"/>
  <c r="X157" i="27"/>
  <c r="AF140" i="27"/>
  <c r="R140" i="27"/>
  <c r="Y140" i="27"/>
  <c r="AT140" i="27"/>
  <c r="AM140" i="27"/>
  <c r="AQ252" i="27"/>
  <c r="AC252" i="27"/>
  <c r="AJ252" i="27"/>
  <c r="V252" i="27"/>
  <c r="O252" i="27"/>
  <c r="AF68" i="27"/>
  <c r="EQ68" i="27" s="1"/>
  <c r="AM68" i="27"/>
  <c r="Y68" i="27"/>
  <c r="R68" i="27"/>
  <c r="AT68" i="27"/>
  <c r="AD52" i="27"/>
  <c r="W52" i="27"/>
  <c r="AK52" i="27"/>
  <c r="P52" i="27"/>
  <c r="AR52" i="27"/>
  <c r="Q201" i="27"/>
  <c r="AL201" i="27"/>
  <c r="X201" i="27"/>
  <c r="AE201" i="27"/>
  <c r="AS201" i="27"/>
  <c r="P231" i="27"/>
  <c r="AR231" i="27"/>
  <c r="W231" i="27"/>
  <c r="AD231" i="27"/>
  <c r="AK231" i="27"/>
  <c r="AF342" i="27"/>
  <c r="AT342" i="27"/>
  <c r="AM342" i="27"/>
  <c r="Y342" i="27"/>
  <c r="R342" i="27"/>
  <c r="Q84" i="27"/>
  <c r="AL84" i="27"/>
  <c r="X84" i="27"/>
  <c r="AS84" i="27"/>
  <c r="AE84" i="27"/>
  <c r="AI246" i="27"/>
  <c r="AP246" i="27"/>
  <c r="U246" i="27"/>
  <c r="AB246" i="27"/>
  <c r="N246" i="27"/>
  <c r="AB179" i="27"/>
  <c r="AP179" i="27"/>
  <c r="AI179" i="27"/>
  <c r="U179" i="27"/>
  <c r="N179" i="27"/>
  <c r="AM115" i="27"/>
  <c r="AF115" i="27"/>
  <c r="R115" i="27"/>
  <c r="AT115" i="27"/>
  <c r="Y115" i="27"/>
  <c r="O237" i="27"/>
  <c r="V237" i="27"/>
  <c r="AJ237" i="27"/>
  <c r="AQ237" i="27"/>
  <c r="AC237" i="27"/>
  <c r="AE185" i="27"/>
  <c r="Q185" i="27"/>
  <c r="X185" i="27"/>
  <c r="AL185" i="27"/>
  <c r="AS185" i="27"/>
  <c r="AM299" i="27"/>
  <c r="R299" i="27"/>
  <c r="AF299" i="27"/>
  <c r="AT299" i="27"/>
  <c r="Y299" i="27"/>
  <c r="CO299" i="27" s="1"/>
  <c r="AB323" i="27"/>
  <c r="U323" i="27"/>
  <c r="AI323" i="27"/>
  <c r="AP323" i="27"/>
  <c r="N323" i="27"/>
  <c r="N59" i="27"/>
  <c r="AP59" i="27"/>
  <c r="AB59" i="27"/>
  <c r="U59" i="27"/>
  <c r="AI59" i="27"/>
  <c r="X200" i="27"/>
  <c r="AL200" i="27"/>
  <c r="Q200" i="27"/>
  <c r="AS200" i="27"/>
  <c r="AE200" i="27"/>
  <c r="AB180" i="27"/>
  <c r="N180" i="27"/>
  <c r="AI180" i="27"/>
  <c r="AP180" i="27"/>
  <c r="FC180" i="27" s="1"/>
  <c r="U180" i="27"/>
  <c r="AM49" i="27"/>
  <c r="R49" i="27"/>
  <c r="AT49" i="27"/>
  <c r="Y49" i="27"/>
  <c r="AK5" i="23"/>
  <c r="AF49" i="27"/>
  <c r="Q218" i="27"/>
  <c r="AE218" i="27"/>
  <c r="X218" i="27"/>
  <c r="AL218" i="27"/>
  <c r="AS218" i="27"/>
  <c r="AK41" i="27"/>
  <c r="W41" i="27"/>
  <c r="P41" i="27"/>
  <c r="AR41" i="27"/>
  <c r="AD41" i="27"/>
  <c r="GM41" i="27" s="1"/>
  <c r="AK247" i="27"/>
  <c r="W247" i="27"/>
  <c r="AR247" i="27"/>
  <c r="AD247" i="27"/>
  <c r="P247" i="27"/>
  <c r="AK134" i="27"/>
  <c r="P134" i="27"/>
  <c r="AR134" i="27"/>
  <c r="W134" i="27"/>
  <c r="AD134" i="27"/>
  <c r="AM276" i="27"/>
  <c r="Y276" i="27"/>
  <c r="R276" i="27"/>
  <c r="AT276" i="27"/>
  <c r="AF276" i="27"/>
  <c r="AC359" i="27"/>
  <c r="O359" i="27"/>
  <c r="V359" i="27"/>
  <c r="AJ359" i="27"/>
  <c r="AQ359" i="27"/>
  <c r="AR160" i="27"/>
  <c r="AD160" i="27"/>
  <c r="P160" i="27"/>
  <c r="AK160" i="27"/>
  <c r="W160" i="27"/>
  <c r="X52" i="27"/>
  <c r="AL52" i="27"/>
  <c r="AS52" i="27"/>
  <c r="Q52" i="27"/>
  <c r="AE52" i="27"/>
  <c r="AJ39" i="27"/>
  <c r="V39" i="27"/>
  <c r="AQ39" i="27"/>
  <c r="O39" i="27"/>
  <c r="AC39" i="27"/>
  <c r="U336" i="27"/>
  <c r="N336" i="27"/>
  <c r="AP336" i="27"/>
  <c r="AI336" i="27"/>
  <c r="AB336" i="27"/>
  <c r="GM336" i="27" s="1"/>
  <c r="R315" i="27"/>
  <c r="Y315" i="27"/>
  <c r="AT315" i="27"/>
  <c r="AM315" i="27"/>
  <c r="AF315" i="27"/>
  <c r="Q307" i="27"/>
  <c r="AL307" i="27"/>
  <c r="X307" i="27"/>
  <c r="AE307" i="27"/>
  <c r="AS307" i="27"/>
  <c r="AJ308" i="27"/>
  <c r="O308" i="27"/>
  <c r="AQ308" i="27"/>
  <c r="AC308" i="27"/>
  <c r="V308" i="27"/>
  <c r="AL146" i="27"/>
  <c r="Q146" i="27"/>
  <c r="AE146" i="27"/>
  <c r="AS146" i="27"/>
  <c r="X146" i="27"/>
  <c r="AS345" i="27"/>
  <c r="AL345" i="27"/>
  <c r="AE345" i="27"/>
  <c r="X345" i="27"/>
  <c r="Q345" i="27"/>
  <c r="O307" i="27"/>
  <c r="AQ307" i="27"/>
  <c r="AC307" i="27"/>
  <c r="AJ307" i="27"/>
  <c r="V307" i="27"/>
  <c r="AB207" i="27"/>
  <c r="N207" i="27"/>
  <c r="AP207" i="27"/>
  <c r="U207" i="27"/>
  <c r="AI207" i="27"/>
  <c r="V110" i="27"/>
  <c r="AC110" i="27"/>
  <c r="AQ110" i="27"/>
  <c r="AJ110" i="27"/>
  <c r="O110" i="27"/>
  <c r="AI96" i="27"/>
  <c r="AB96" i="27"/>
  <c r="AP96" i="27"/>
  <c r="N96" i="27"/>
  <c r="U96" i="27"/>
  <c r="AI93" i="27"/>
  <c r="U93" i="27"/>
  <c r="AB93" i="27"/>
  <c r="N93" i="27"/>
  <c r="AP93" i="27"/>
  <c r="R266" i="27"/>
  <c r="AM266" i="27"/>
  <c r="AF266" i="27"/>
  <c r="AT266" i="27"/>
  <c r="Y266" i="27"/>
  <c r="AR81" i="27"/>
  <c r="P81" i="27"/>
  <c r="AK81" i="27"/>
  <c r="AD81" i="27"/>
  <c r="W81" i="27"/>
  <c r="EK81" i="27" s="1"/>
  <c r="X275" i="27"/>
  <c r="AS275" i="27"/>
  <c r="AL275" i="27"/>
  <c r="AE275" i="27"/>
  <c r="Q275" i="27"/>
  <c r="AR158" i="27"/>
  <c r="AD158" i="27"/>
  <c r="W158" i="27"/>
  <c r="AK158" i="27"/>
  <c r="P158" i="27"/>
  <c r="AC130" i="27"/>
  <c r="AJ130" i="27"/>
  <c r="V130" i="27"/>
  <c r="O130" i="27"/>
  <c r="AQ130" i="27"/>
  <c r="N17" i="27"/>
  <c r="AI17" i="27"/>
  <c r="AB17" i="27"/>
  <c r="U17" i="27"/>
  <c r="AP17" i="27"/>
  <c r="AF9" i="27"/>
  <c r="AM9" i="27"/>
  <c r="Y9" i="27"/>
  <c r="R9" i="27"/>
  <c r="AT9" i="27"/>
  <c r="AJ223" i="27"/>
  <c r="O223" i="27"/>
  <c r="EE223" i="27" s="1"/>
  <c r="V223" i="27"/>
  <c r="AC223" i="27"/>
  <c r="AQ223" i="27"/>
  <c r="P26" i="27"/>
  <c r="W26" i="27"/>
  <c r="AK26" i="27"/>
  <c r="AD26" i="27"/>
  <c r="AR26" i="27"/>
  <c r="AE107" i="27"/>
  <c r="AS107" i="27"/>
  <c r="X107" i="27"/>
  <c r="AL107" i="27"/>
  <c r="Q107" i="27"/>
  <c r="Q145" i="27"/>
  <c r="X145" i="27"/>
  <c r="AE145" i="27"/>
  <c r="AS145" i="27"/>
  <c r="AL145" i="27"/>
  <c r="AP133" i="27"/>
  <c r="N133" i="27"/>
  <c r="AI133" i="27"/>
  <c r="U133" i="27"/>
  <c r="AB133" i="27"/>
  <c r="EQ133" i="27" s="1"/>
  <c r="AD245" i="27"/>
  <c r="W245" i="27"/>
  <c r="AK245" i="27"/>
  <c r="AR245" i="27"/>
  <c r="P245" i="27"/>
  <c r="Q189" i="27"/>
  <c r="AE189" i="27"/>
  <c r="GM189" i="27" s="1"/>
  <c r="X189" i="27"/>
  <c r="AS189" i="27"/>
  <c r="AL189" i="27"/>
  <c r="AC32" i="27"/>
  <c r="V32" i="27"/>
  <c r="O32" i="27"/>
  <c r="AQ32" i="27"/>
  <c r="AJ32" i="27"/>
  <c r="AB344" i="27"/>
  <c r="AI344" i="27"/>
  <c r="U344" i="27"/>
  <c r="AP344" i="27"/>
  <c r="N344" i="27"/>
  <c r="W184" i="27"/>
  <c r="AR184" i="27"/>
  <c r="AD184" i="27"/>
  <c r="EQ184" i="27" s="1"/>
  <c r="P184" i="27"/>
  <c r="AK184" i="27"/>
  <c r="Y312" i="27"/>
  <c r="R312" i="27"/>
  <c r="AM312" i="27"/>
  <c r="AF312" i="27"/>
  <c r="AT312" i="27"/>
  <c r="O265" i="27"/>
  <c r="V265" i="27"/>
  <c r="AC265" i="27"/>
  <c r="AJ265" i="27"/>
  <c r="AQ265" i="27"/>
  <c r="AJ343" i="27"/>
  <c r="O343" i="27"/>
  <c r="V343" i="27"/>
  <c r="AC343" i="27"/>
  <c r="AQ343" i="27"/>
  <c r="AD13" i="27"/>
  <c r="AR13" i="27"/>
  <c r="AK13" i="27"/>
  <c r="P13" i="27"/>
  <c r="W13" i="27"/>
  <c r="Q236" i="27"/>
  <c r="AL236" i="27"/>
  <c r="AS236" i="27"/>
  <c r="AE236" i="27"/>
  <c r="X236" i="27"/>
  <c r="AB225" i="27"/>
  <c r="AI225" i="27"/>
  <c r="U225" i="27"/>
  <c r="N225" i="27"/>
  <c r="AP225" i="27"/>
  <c r="AE208" i="27"/>
  <c r="X208" i="27"/>
  <c r="AL208" i="27"/>
  <c r="Q208" i="27"/>
  <c r="AS208" i="27"/>
  <c r="O364" i="27"/>
  <c r="AJ364" i="27"/>
  <c r="V364" i="27"/>
  <c r="AC364" i="27"/>
  <c r="AQ364" i="27"/>
  <c r="AS351" i="27"/>
  <c r="AE351" i="27"/>
  <c r="Q351" i="27"/>
  <c r="X351" i="27"/>
  <c r="AL351" i="27"/>
  <c r="DA351" i="27" s="1"/>
  <c r="AE155" i="27"/>
  <c r="AL155" i="27"/>
  <c r="AS155" i="27"/>
  <c r="X155" i="27"/>
  <c r="Q155" i="27"/>
  <c r="W72" i="27"/>
  <c r="AD72" i="27"/>
  <c r="P72" i="27"/>
  <c r="AR72" i="27"/>
  <c r="AK72" i="27"/>
  <c r="P175" i="27"/>
  <c r="W175" i="27"/>
  <c r="AD175" i="27"/>
  <c r="AR175" i="27"/>
  <c r="AK175" i="27"/>
  <c r="AP311" i="27"/>
  <c r="N311" i="27"/>
  <c r="AI311" i="27"/>
  <c r="U311" i="27"/>
  <c r="AB311" i="27"/>
  <c r="AT110" i="27"/>
  <c r="AM110" i="27"/>
  <c r="R110" i="27"/>
  <c r="Y110" i="27"/>
  <c r="AF110" i="27"/>
  <c r="Q210" i="27"/>
  <c r="AS210" i="27"/>
  <c r="X210" i="27"/>
  <c r="AE210" i="27"/>
  <c r="AL210" i="27"/>
  <c r="AE228" i="27"/>
  <c r="CU228" i="27" s="1"/>
  <c r="X228" i="27"/>
  <c r="AS228" i="27"/>
  <c r="AL228" i="27"/>
  <c r="Q228" i="27"/>
  <c r="AI199" i="27"/>
  <c r="AP199" i="27"/>
  <c r="N199" i="27"/>
  <c r="U199" i="27"/>
  <c r="AB199" i="27"/>
  <c r="AS78" i="27"/>
  <c r="Q78" i="27"/>
  <c r="X78" i="27"/>
  <c r="AL78" i="27"/>
  <c r="AE78" i="27"/>
  <c r="AM313" i="27"/>
  <c r="Y313" i="27"/>
  <c r="AT313" i="27"/>
  <c r="AF313" i="27"/>
  <c r="R313" i="27"/>
  <c r="V316" i="27"/>
  <c r="AC316" i="27"/>
  <c r="O316" i="27"/>
  <c r="AJ316" i="27"/>
  <c r="AQ316" i="27"/>
  <c r="AJ207" i="27"/>
  <c r="O207" i="27"/>
  <c r="V207" i="27"/>
  <c r="AQ207" i="27"/>
  <c r="AC207" i="27"/>
  <c r="W302" i="27"/>
  <c r="AK302" i="27"/>
  <c r="AD302" i="27"/>
  <c r="AR302" i="27"/>
  <c r="P302" i="27"/>
  <c r="V177" i="27"/>
  <c r="O177" i="27"/>
  <c r="AC177" i="27"/>
  <c r="AJ177" i="27"/>
  <c r="AQ177" i="27"/>
  <c r="AB276" i="27"/>
  <c r="AP276" i="27"/>
  <c r="AI276" i="27"/>
  <c r="U276" i="27"/>
  <c r="N276" i="27"/>
  <c r="AB144" i="27"/>
  <c r="U144" i="27"/>
  <c r="AI144" i="27"/>
  <c r="N144" i="27"/>
  <c r="AP144" i="27"/>
  <c r="AJ61" i="27"/>
  <c r="AC61" i="27"/>
  <c r="V61" i="27"/>
  <c r="O61" i="27"/>
  <c r="AQ61" i="27"/>
  <c r="AT51" i="27"/>
  <c r="R51" i="27"/>
  <c r="AF51" i="27"/>
  <c r="AM51" i="27"/>
  <c r="Y51" i="27"/>
  <c r="O135" i="27"/>
  <c r="V135" i="27"/>
  <c r="AC135" i="27"/>
  <c r="AQ135" i="27"/>
  <c r="AJ135" i="27"/>
  <c r="AE24" i="27"/>
  <c r="AS24" i="27"/>
  <c r="X24" i="27"/>
  <c r="AL24" i="27"/>
  <c r="Q24" i="27"/>
  <c r="N197" i="27"/>
  <c r="AB197" i="27"/>
  <c r="AI197" i="27"/>
  <c r="U197" i="27"/>
  <c r="AP197" i="27"/>
  <c r="CI243" i="27"/>
  <c r="CO359" i="27"/>
  <c r="GY298" i="27"/>
  <c r="FC304" i="27"/>
  <c r="DG304" i="27"/>
  <c r="DA122" i="27"/>
  <c r="DA143" i="27"/>
  <c r="GS186" i="27"/>
  <c r="EQ194" i="27"/>
  <c r="CU194" i="27"/>
  <c r="GM194" i="27"/>
  <c r="GY216" i="27"/>
  <c r="CI193" i="27"/>
  <c r="GY150" i="27"/>
  <c r="FC150" i="27"/>
  <c r="DG150" i="27"/>
  <c r="DG128" i="27"/>
  <c r="GM317" i="27"/>
  <c r="DA338" i="27"/>
  <c r="DG176" i="27"/>
  <c r="EQ213" i="27"/>
  <c r="DG203" i="27"/>
  <c r="GG358" i="27"/>
  <c r="CO71" i="27"/>
  <c r="EE11" i="27"/>
  <c r="GA11" i="27"/>
  <c r="CI11" i="27"/>
  <c r="BO318" i="27"/>
  <c r="BP318" i="27" s="1"/>
  <c r="BL319" i="27"/>
  <c r="CO351" i="27" l="1"/>
  <c r="GG221" i="27"/>
  <c r="CU99" i="27"/>
  <c r="GM47" i="27"/>
  <c r="GG159" i="27"/>
  <c r="CO173" i="27"/>
  <c r="CO192" i="27"/>
  <c r="EQ14" i="27"/>
  <c r="DG91" i="27"/>
  <c r="EQ263" i="27"/>
  <c r="FC31" i="27"/>
  <c r="GM88" i="27"/>
  <c r="CO204" i="27"/>
  <c r="DG339" i="27"/>
  <c r="CU284" i="27"/>
  <c r="DA165" i="27"/>
  <c r="GS73" i="27"/>
  <c r="GS143" i="27"/>
  <c r="EW152" i="27"/>
  <c r="FC284" i="27"/>
  <c r="GG262" i="27"/>
  <c r="FC109" i="27"/>
  <c r="CO292" i="27"/>
  <c r="EQ31" i="27"/>
  <c r="CI100" i="27"/>
  <c r="CO262" i="27"/>
  <c r="EE186" i="27"/>
  <c r="FC187" i="27"/>
  <c r="GY152" i="27"/>
  <c r="CO159" i="27"/>
  <c r="EK227" i="27"/>
  <c r="GY187" i="27"/>
  <c r="EK292" i="27"/>
  <c r="EK262" i="27"/>
  <c r="CO227" i="27"/>
  <c r="EE78" i="27"/>
  <c r="CO145" i="27"/>
  <c r="GM232" i="27"/>
  <c r="EQ322" i="27"/>
  <c r="GG141" i="27"/>
  <c r="GA12" i="27"/>
  <c r="DA66" i="27"/>
  <c r="GS165" i="27"/>
  <c r="DG7" i="27"/>
  <c r="EK173" i="27"/>
  <c r="GS26" i="27"/>
  <c r="GA336" i="27"/>
  <c r="CO41" i="27"/>
  <c r="CU323" i="27"/>
  <c r="GM252" i="27"/>
  <c r="GY105" i="27"/>
  <c r="DA242" i="27"/>
  <c r="EQ211" i="27"/>
  <c r="CU280" i="27"/>
  <c r="CU36" i="27"/>
  <c r="CI329" i="27"/>
  <c r="EW222" i="27"/>
  <c r="GG338" i="27"/>
  <c r="DA328" i="27"/>
  <c r="FC123" i="27"/>
  <c r="DA221" i="27"/>
  <c r="GM172" i="27"/>
  <c r="DG284" i="27"/>
  <c r="GY24" i="27"/>
  <c r="CI235" i="27"/>
  <c r="EE72" i="27"/>
  <c r="GY184" i="27"/>
  <c r="GS133" i="27"/>
  <c r="EE185" i="27"/>
  <c r="CO230" i="27"/>
  <c r="GS309" i="27"/>
  <c r="GG347" i="27"/>
  <c r="GM99" i="27"/>
  <c r="GM24" i="27"/>
  <c r="GY91" i="27"/>
  <c r="EE343" i="27"/>
  <c r="GA235" i="27"/>
  <c r="DG31" i="27"/>
  <c r="CU263" i="27"/>
  <c r="EW73" i="27"/>
  <c r="FC91" i="27"/>
  <c r="EW219" i="27"/>
  <c r="GY31" i="27"/>
  <c r="CU88" i="27"/>
  <c r="CI84" i="27"/>
  <c r="GS239" i="27"/>
  <c r="CO254" i="27"/>
  <c r="GM31" i="27"/>
  <c r="GG292" i="27"/>
  <c r="DA73" i="27"/>
  <c r="GS219" i="27"/>
  <c r="EQ88" i="27"/>
  <c r="GA315" i="27"/>
  <c r="DA115" i="27"/>
  <c r="EK117" i="27"/>
  <c r="EQ301" i="27"/>
  <c r="EE159" i="27"/>
  <c r="EQ349" i="27"/>
  <c r="EQ188" i="27"/>
  <c r="GM126" i="27"/>
  <c r="CI179" i="27"/>
  <c r="GA126" i="27"/>
  <c r="CO163" i="27"/>
  <c r="GM21" i="27"/>
  <c r="DG96" i="27"/>
  <c r="GA357" i="27"/>
  <c r="GM282" i="27"/>
  <c r="GM291" i="27"/>
  <c r="EQ346" i="27"/>
  <c r="CU94" i="27"/>
  <c r="EQ249" i="27"/>
  <c r="GA103" i="27"/>
  <c r="DA326" i="27"/>
  <c r="EW42" i="27"/>
  <c r="EE325" i="27"/>
  <c r="CO255" i="27"/>
  <c r="FC96" i="27"/>
  <c r="DA61" i="27"/>
  <c r="GA100" i="27"/>
  <c r="EQ282" i="27"/>
  <c r="GA155" i="27"/>
  <c r="CO239" i="27"/>
  <c r="EW285" i="27"/>
  <c r="GA95" i="27"/>
  <c r="EQ23" i="27"/>
  <c r="EE95" i="27"/>
  <c r="CU173" i="27"/>
  <c r="EK289" i="27"/>
  <c r="GS264" i="27"/>
  <c r="GY234" i="27"/>
  <c r="CO217" i="27"/>
  <c r="GM296" i="27"/>
  <c r="EW127" i="27"/>
  <c r="FC163" i="27"/>
  <c r="GS203" i="27"/>
  <c r="EW181" i="27"/>
  <c r="EK122" i="27"/>
  <c r="DA187" i="27"/>
  <c r="GY48" i="27"/>
  <c r="GG124" i="27"/>
  <c r="DA286" i="27"/>
  <c r="CI63" i="27"/>
  <c r="DG170" i="27"/>
  <c r="EE190" i="27"/>
  <c r="DA319" i="27"/>
  <c r="GM263" i="27"/>
  <c r="CU355" i="27"/>
  <c r="CO296" i="27"/>
  <c r="DG131" i="27"/>
  <c r="GG34" i="27"/>
  <c r="FC254" i="27"/>
  <c r="GY220" i="27"/>
  <c r="GA205" i="27"/>
  <c r="DA256" i="27"/>
  <c r="EE129" i="27"/>
  <c r="GS119" i="27"/>
  <c r="EW198" i="27"/>
  <c r="GY123" i="27"/>
  <c r="EK166" i="27"/>
  <c r="EQ112" i="27"/>
  <c r="GG334" i="27"/>
  <c r="FC298" i="27"/>
  <c r="CI314" i="27"/>
  <c r="GY127" i="27"/>
  <c r="CO66" i="27"/>
  <c r="GY185" i="27"/>
  <c r="GY263" i="27"/>
  <c r="EK48" i="27"/>
  <c r="CI261" i="27"/>
  <c r="FC203" i="27"/>
  <c r="CO178" i="27"/>
  <c r="GG288" i="27"/>
  <c r="EE80" i="27"/>
  <c r="CI246" i="27"/>
  <c r="FC176" i="27"/>
  <c r="GG247" i="27"/>
  <c r="DA80" i="27"/>
  <c r="GA56" i="27"/>
  <c r="DA238" i="27"/>
  <c r="CU14" i="27"/>
  <c r="GA206" i="27"/>
  <c r="EW124" i="27"/>
  <c r="GA334" i="27"/>
  <c r="EQ244" i="27"/>
  <c r="GS243" i="27"/>
  <c r="GS140" i="27"/>
  <c r="EK71" i="27"/>
  <c r="CO7" i="27"/>
  <c r="GA42" i="27"/>
  <c r="GY272" i="27"/>
  <c r="CI7" i="27"/>
  <c r="GS184" i="27"/>
  <c r="EK359" i="27"/>
  <c r="GS117" i="27"/>
  <c r="EE127" i="27"/>
  <c r="CU47" i="27"/>
  <c r="CI286" i="27"/>
  <c r="GY327" i="27"/>
  <c r="DA36" i="27"/>
  <c r="EQ317" i="27"/>
  <c r="CI297" i="27"/>
  <c r="CU233" i="27"/>
  <c r="EE121" i="27"/>
  <c r="GY54" i="27"/>
  <c r="CO162" i="27"/>
  <c r="EW186" i="27"/>
  <c r="GM305" i="27"/>
  <c r="DG21" i="27"/>
  <c r="GA162" i="27"/>
  <c r="CU317" i="27"/>
  <c r="CI147" i="27"/>
  <c r="GS221" i="27"/>
  <c r="EE316" i="27"/>
  <c r="GA275" i="27"/>
  <c r="GY237" i="27"/>
  <c r="EW187" i="27"/>
  <c r="DG127" i="27"/>
  <c r="GG166" i="27"/>
  <c r="FC48" i="27"/>
  <c r="GS286" i="27"/>
  <c r="GG71" i="27"/>
  <c r="CI121" i="27"/>
  <c r="EW203" i="27"/>
  <c r="GY176" i="27"/>
  <c r="CO166" i="27"/>
  <c r="DG48" i="27"/>
  <c r="DA124" i="27"/>
  <c r="GY284" i="27"/>
  <c r="GS198" i="27"/>
  <c r="DG263" i="27"/>
  <c r="EE261" i="27"/>
  <c r="DA117" i="27"/>
  <c r="DA311" i="27"/>
  <c r="GM160" i="27"/>
  <c r="DA179" i="27"/>
  <c r="DG242" i="27"/>
  <c r="DA119" i="27"/>
  <c r="GS95" i="27"/>
  <c r="EK363" i="27"/>
  <c r="CU75" i="27"/>
  <c r="GS104" i="27"/>
  <c r="GS255" i="27"/>
  <c r="DG73" i="27"/>
  <c r="CI127" i="27"/>
  <c r="EE254" i="27"/>
  <c r="EE205" i="27"/>
  <c r="CI56" i="27"/>
  <c r="EW80" i="27"/>
  <c r="GY129" i="27"/>
  <c r="DA186" i="27"/>
  <c r="GS42" i="27"/>
  <c r="CO123" i="27"/>
  <c r="GY186" i="27"/>
  <c r="EE18" i="27"/>
  <c r="EQ233" i="27"/>
  <c r="EK66" i="27"/>
  <c r="CO247" i="27"/>
  <c r="DG328" i="27"/>
  <c r="DA243" i="27"/>
  <c r="DA42" i="27"/>
  <c r="DG298" i="27"/>
  <c r="GS36" i="27"/>
  <c r="GG359" i="27"/>
  <c r="GA246" i="27"/>
  <c r="DA140" i="27"/>
  <c r="EQ47" i="27"/>
  <c r="GS240" i="27"/>
  <c r="DG329" i="27"/>
  <c r="EQ136" i="27"/>
  <c r="GM233" i="27"/>
  <c r="EE297" i="27"/>
  <c r="EK247" i="27"/>
  <c r="GG48" i="27"/>
  <c r="GG296" i="27"/>
  <c r="CO122" i="27"/>
  <c r="EE144" i="27"/>
  <c r="EW221" i="27"/>
  <c r="EW243" i="27"/>
  <c r="CO48" i="27"/>
  <c r="EW286" i="27"/>
  <c r="EW140" i="27"/>
  <c r="EE29" i="27"/>
  <c r="EW36" i="27"/>
  <c r="EW302" i="27"/>
  <c r="EK32" i="27"/>
  <c r="GG315" i="27"/>
  <c r="EE39" i="27"/>
  <c r="FC53" i="27"/>
  <c r="GM154" i="27"/>
  <c r="EK317" i="27"/>
  <c r="GS304" i="27"/>
  <c r="GA33" i="27"/>
  <c r="GM247" i="27"/>
  <c r="CI67" i="27"/>
  <c r="GG256" i="27"/>
  <c r="CO288" i="27"/>
  <c r="EK230" i="27"/>
  <c r="GY61" i="27"/>
  <c r="GG271" i="27"/>
  <c r="DG251" i="27"/>
  <c r="GM45" i="27"/>
  <c r="GA116" i="27"/>
  <c r="EE64" i="27"/>
  <c r="EE113" i="27"/>
  <c r="CO333" i="27"/>
  <c r="EQ178" i="27"/>
  <c r="EQ204" i="27"/>
  <c r="EE209" i="27"/>
  <c r="GA150" i="27"/>
  <c r="CO284" i="27"/>
  <c r="AS11" i="23"/>
  <c r="BV62" i="23" s="1"/>
  <c r="CO182" i="27"/>
  <c r="FC294" i="27"/>
  <c r="CU53" i="27"/>
  <c r="GM225" i="27"/>
  <c r="GA129" i="27"/>
  <c r="CI334" i="27"/>
  <c r="GY134" i="27"/>
  <c r="EE353" i="27"/>
  <c r="EK298" i="27"/>
  <c r="GY203" i="27"/>
  <c r="CU112" i="27"/>
  <c r="DA176" i="27"/>
  <c r="DG327" i="27"/>
  <c r="GS318" i="27"/>
  <c r="CO302" i="27"/>
  <c r="FC21" i="27"/>
  <c r="DA203" i="27"/>
  <c r="DG134" i="27"/>
  <c r="EW184" i="27"/>
  <c r="CO179" i="27"/>
  <c r="EQ166" i="27"/>
  <c r="CI287" i="27"/>
  <c r="EQ355" i="27"/>
  <c r="GM355" i="27"/>
  <c r="FC266" i="27"/>
  <c r="CU320" i="27"/>
  <c r="GY240" i="27"/>
  <c r="CO31" i="27"/>
  <c r="GG31" i="27"/>
  <c r="DG163" i="27"/>
  <c r="GY163" i="27"/>
  <c r="DA222" i="27"/>
  <c r="GM142" i="27"/>
  <c r="GA301" i="27"/>
  <c r="FC234" i="27"/>
  <c r="EK217" i="27"/>
  <c r="GY83" i="27"/>
  <c r="EW238" i="27"/>
  <c r="GM213" i="27"/>
  <c r="DA335" i="27"/>
  <c r="EQ229" i="27"/>
  <c r="GY75" i="27"/>
  <c r="CI34" i="27"/>
  <c r="DG185" i="27"/>
  <c r="EQ86" i="27"/>
  <c r="GM14" i="27"/>
  <c r="GA132" i="27"/>
  <c r="GS127" i="27"/>
  <c r="GM22" i="27"/>
  <c r="EK47" i="27"/>
  <c r="CU213" i="27"/>
  <c r="EQ209" i="27"/>
  <c r="GA261" i="27"/>
  <c r="FC291" i="27"/>
  <c r="FC271" i="27"/>
  <c r="GY266" i="27"/>
  <c r="EQ269" i="27"/>
  <c r="CI128" i="27"/>
  <c r="EK296" i="27"/>
  <c r="CO314" i="27"/>
  <c r="CI97" i="27"/>
  <c r="CO34" i="27"/>
  <c r="CI274" i="27"/>
  <c r="GY254" i="27"/>
  <c r="EQ183" i="27"/>
  <c r="CI205" i="27"/>
  <c r="DA152" i="27"/>
  <c r="GA127" i="27"/>
  <c r="EW256" i="27"/>
  <c r="GA190" i="27"/>
  <c r="CO363" i="27"/>
  <c r="EW338" i="27"/>
  <c r="DA127" i="27"/>
  <c r="EE329" i="27"/>
  <c r="EK26" i="27"/>
  <c r="GM173" i="27"/>
  <c r="EK34" i="27"/>
  <c r="EK338" i="27"/>
  <c r="FC185" i="27"/>
  <c r="GA188" i="27"/>
  <c r="EE132" i="27"/>
  <c r="GM249" i="27"/>
  <c r="GS285" i="27"/>
  <c r="GM229" i="27"/>
  <c r="DG302" i="27"/>
  <c r="GG146" i="27"/>
  <c r="GA97" i="27"/>
  <c r="GM320" i="27"/>
  <c r="DG105" i="27"/>
  <c r="FC7" i="27"/>
  <c r="CO338" i="27"/>
  <c r="GG363" i="27"/>
  <c r="EW328" i="27"/>
  <c r="GG47" i="27"/>
  <c r="EQ296" i="27"/>
  <c r="DA104" i="27"/>
  <c r="GS181" i="27"/>
  <c r="CI132" i="27"/>
  <c r="CU249" i="27"/>
  <c r="FC83" i="27"/>
  <c r="CU172" i="27"/>
  <c r="CU322" i="27"/>
  <c r="EQ142" i="27"/>
  <c r="GA329" i="27"/>
  <c r="GS256" i="27"/>
  <c r="GM280" i="27"/>
  <c r="GG313" i="27"/>
  <c r="GY96" i="27"/>
  <c r="GS308" i="27"/>
  <c r="DA84" i="27"/>
  <c r="CU269" i="27"/>
  <c r="DG177" i="27"/>
  <c r="CI145" i="27"/>
  <c r="EW104" i="27"/>
  <c r="EQ172" i="27"/>
  <c r="GA107" i="27"/>
  <c r="EE97" i="27"/>
  <c r="GM346" i="27"/>
  <c r="CO141" i="27"/>
  <c r="EW66" i="27"/>
  <c r="GY7" i="27"/>
  <c r="GA34" i="27"/>
  <c r="CO47" i="27"/>
  <c r="GG314" i="27"/>
  <c r="DG129" i="27"/>
  <c r="DA181" i="27"/>
  <c r="DG123" i="27"/>
  <c r="EE34" i="27"/>
  <c r="EW326" i="27"/>
  <c r="GA128" i="27"/>
  <c r="GS222" i="27"/>
  <c r="EK314" i="27"/>
  <c r="EE274" i="27"/>
  <c r="DG271" i="27"/>
  <c r="DG192" i="27"/>
  <c r="DG83" i="27"/>
  <c r="FC75" i="27"/>
  <c r="GM209" i="27"/>
  <c r="GG217" i="27"/>
  <c r="CU23" i="27"/>
  <c r="GA208" i="27"/>
  <c r="FC107" i="27"/>
  <c r="CU223" i="27"/>
  <c r="EE56" i="27"/>
  <c r="DG313" i="27"/>
  <c r="GA274" i="27"/>
  <c r="GY271" i="27"/>
  <c r="GM23" i="27"/>
  <c r="EQ280" i="27"/>
  <c r="DA184" i="27"/>
  <c r="EW165" i="27"/>
  <c r="GS326" i="27"/>
  <c r="FC242" i="27"/>
  <c r="GS80" i="27"/>
  <c r="CU86" i="27"/>
  <c r="EW335" i="27"/>
  <c r="DA95" i="27"/>
  <c r="GS238" i="27"/>
  <c r="CO344" i="27"/>
  <c r="EK223" i="27"/>
  <c r="DA130" i="27"/>
  <c r="EW119" i="27"/>
  <c r="CI177" i="27"/>
  <c r="CI301" i="27"/>
  <c r="CU183" i="27"/>
  <c r="GA277" i="27"/>
  <c r="DG79" i="27"/>
  <c r="DA257" i="27"/>
  <c r="CO70" i="27"/>
  <c r="EW271" i="27"/>
  <c r="FC65" i="27"/>
  <c r="CU130" i="27"/>
  <c r="GY157" i="27"/>
  <c r="DG350" i="27"/>
  <c r="EK169" i="27"/>
  <c r="CO202" i="27"/>
  <c r="CO138" i="27"/>
  <c r="GG170" i="27"/>
  <c r="AS6" i="23"/>
  <c r="BV17" i="23" s="1"/>
  <c r="CO348" i="27"/>
  <c r="DA289" i="27"/>
  <c r="CO39" i="27"/>
  <c r="EQ250" i="27"/>
  <c r="EK264" i="27"/>
  <c r="CI270" i="27"/>
  <c r="GS254" i="27"/>
  <c r="EQ149" i="27"/>
  <c r="EQ127" i="27"/>
  <c r="CU222" i="27"/>
  <c r="FC148" i="27"/>
  <c r="GM259" i="27"/>
  <c r="DG288" i="27"/>
  <c r="GA331" i="27"/>
  <c r="EW358" i="27"/>
  <c r="EW287" i="27"/>
  <c r="GY241" i="27"/>
  <c r="GS290" i="27"/>
  <c r="CI109" i="27"/>
  <c r="CO121" i="27"/>
  <c r="GS171" i="27"/>
  <c r="EK358" i="27"/>
  <c r="CI251" i="27"/>
  <c r="DA327" i="27"/>
  <c r="CO319" i="27"/>
  <c r="DG122" i="27"/>
  <c r="GY87" i="27"/>
  <c r="EW56" i="27"/>
  <c r="GS37" i="27"/>
  <c r="CO218" i="27"/>
  <c r="FC358" i="27"/>
  <c r="GA272" i="27"/>
  <c r="DA206" i="27"/>
  <c r="GM124" i="27"/>
  <c r="DG309" i="27"/>
  <c r="CU95" i="27"/>
  <c r="CU164" i="27"/>
  <c r="DA120" i="27"/>
  <c r="GA254" i="27"/>
  <c r="DA196" i="27"/>
  <c r="EW173" i="27"/>
  <c r="FC54" i="27"/>
  <c r="CO89" i="27"/>
  <c r="EE63" i="27"/>
  <c r="GM356" i="27"/>
  <c r="CO280" i="27"/>
  <c r="EE162" i="27"/>
  <c r="GM327" i="27"/>
  <c r="FC45" i="27"/>
  <c r="GG8" i="27"/>
  <c r="EQ84" i="27"/>
  <c r="EW284" i="27"/>
  <c r="GA29" i="27"/>
  <c r="CO258" i="27"/>
  <c r="EW65" i="27"/>
  <c r="GA249" i="27"/>
  <c r="EQ284" i="27"/>
  <c r="CU318" i="27"/>
  <c r="FC240" i="27"/>
  <c r="GS33" i="27"/>
  <c r="GG329" i="27"/>
  <c r="EE317" i="27"/>
  <c r="EK18" i="27"/>
  <c r="DA162" i="27"/>
  <c r="GS365" i="27"/>
  <c r="EE215" i="27"/>
  <c r="EW305" i="27"/>
  <c r="CI42" i="27"/>
  <c r="CO221" i="27"/>
  <c r="DA341" i="27"/>
  <c r="GM215" i="27"/>
  <c r="GA59" i="27"/>
  <c r="GA60" i="27"/>
  <c r="EE258" i="27"/>
  <c r="GA320" i="27"/>
  <c r="CO216" i="27"/>
  <c r="GA108" i="27"/>
  <c r="EK102" i="27"/>
  <c r="EQ295" i="27"/>
  <c r="DA354" i="27"/>
  <c r="EK28" i="27"/>
  <c r="GM300" i="27"/>
  <c r="DA98" i="27"/>
  <c r="EW102" i="27"/>
  <c r="CI118" i="27"/>
  <c r="GS87" i="27"/>
  <c r="EK33" i="27"/>
  <c r="GA356" i="27"/>
  <c r="EQ314" i="27"/>
  <c r="GM254" i="27"/>
  <c r="CI62" i="27"/>
  <c r="GG219" i="27"/>
  <c r="GY282" i="27"/>
  <c r="CU278" i="27"/>
  <c r="FC283" i="27"/>
  <c r="EW258" i="27"/>
  <c r="GA341" i="27"/>
  <c r="GA253" i="27"/>
  <c r="CI348" i="27"/>
  <c r="CI268" i="27"/>
  <c r="FC131" i="27"/>
  <c r="GS296" i="27"/>
  <c r="EK356" i="27"/>
  <c r="CU22" i="27"/>
  <c r="DA168" i="27"/>
  <c r="GA314" i="27"/>
  <c r="GY339" i="27"/>
  <c r="GM285" i="27"/>
  <c r="GA38" i="27"/>
  <c r="CI174" i="27"/>
  <c r="GA174" i="27"/>
  <c r="EE174" i="27"/>
  <c r="EK232" i="27"/>
  <c r="GG232" i="27"/>
  <c r="CI120" i="27"/>
  <c r="GA120" i="27"/>
  <c r="EE120" i="27"/>
  <c r="FC76" i="27"/>
  <c r="DG76" i="27"/>
  <c r="GY76" i="27"/>
  <c r="CU73" i="27"/>
  <c r="EQ73" i="27"/>
  <c r="EE259" i="27"/>
  <c r="GA259" i="27"/>
  <c r="CI259" i="27"/>
  <c r="EK167" i="27"/>
  <c r="GG167" i="27"/>
  <c r="CU40" i="27"/>
  <c r="FC322" i="27"/>
  <c r="GY322" i="27"/>
  <c r="GA232" i="27"/>
  <c r="EE232" i="27"/>
  <c r="CI232" i="27"/>
  <c r="EW167" i="27"/>
  <c r="GS167" i="27"/>
  <c r="CO55" i="27"/>
  <c r="EK55" i="27"/>
  <c r="GG55" i="27"/>
  <c r="EW37" i="27"/>
  <c r="CU250" i="27"/>
  <c r="EK121" i="27"/>
  <c r="GY148" i="27"/>
  <c r="GS358" i="27"/>
  <c r="CO167" i="27"/>
  <c r="EQ321" i="27"/>
  <c r="GM321" i="27"/>
  <c r="CU321" i="27"/>
  <c r="CU119" i="27"/>
  <c r="EQ119" i="27"/>
  <c r="CU357" i="27"/>
  <c r="GM357" i="27"/>
  <c r="EQ357" i="27"/>
  <c r="EQ116" i="27"/>
  <c r="GM116" i="27"/>
  <c r="CU116" i="27"/>
  <c r="EE214" i="27"/>
  <c r="CI214" i="27"/>
  <c r="DG118" i="27"/>
  <c r="FC118" i="27"/>
  <c r="CI161" i="27"/>
  <c r="EE161" i="27"/>
  <c r="GA161" i="27"/>
  <c r="CI167" i="27"/>
  <c r="EE167" i="27"/>
  <c r="GA167" i="27"/>
  <c r="GM310" i="27"/>
  <c r="EQ310" i="27"/>
  <c r="CU310" i="27"/>
  <c r="GY56" i="27"/>
  <c r="DG56" i="27"/>
  <c r="GA194" i="27"/>
  <c r="EE194" i="27"/>
  <c r="DG314" i="27"/>
  <c r="GY314" i="27"/>
  <c r="GM90" i="27"/>
  <c r="CU90" i="27"/>
  <c r="EQ90" i="27"/>
  <c r="CI255" i="27"/>
  <c r="GA255" i="27"/>
  <c r="FC355" i="27"/>
  <c r="DG355" i="27"/>
  <c r="EW76" i="27"/>
  <c r="DA76" i="27"/>
  <c r="EE111" i="27"/>
  <c r="CI111" i="27"/>
  <c r="GY209" i="27"/>
  <c r="FC209" i="27"/>
  <c r="EW310" i="27"/>
  <c r="GS310" i="27"/>
  <c r="DA310" i="27"/>
  <c r="GA319" i="27"/>
  <c r="CI319" i="27"/>
  <c r="EE319" i="27"/>
  <c r="CO193" i="27"/>
  <c r="EK193" i="27"/>
  <c r="GG193" i="27"/>
  <c r="DA10" i="27"/>
  <c r="DG241" i="27"/>
  <c r="FC337" i="27"/>
  <c r="GM48" i="27"/>
  <c r="EW31" i="27"/>
  <c r="EQ216" i="27"/>
  <c r="DA287" i="27"/>
  <c r="EK272" i="27"/>
  <c r="GM62" i="27"/>
  <c r="GY286" i="27"/>
  <c r="EK255" i="27"/>
  <c r="EW10" i="27"/>
  <c r="GG121" i="27"/>
  <c r="GM203" i="27"/>
  <c r="GY223" i="27"/>
  <c r="GM275" i="27"/>
  <c r="GY55" i="27"/>
  <c r="GM250" i="27"/>
  <c r="CI141" i="27"/>
  <c r="CI363" i="27"/>
  <c r="GA363" i="27"/>
  <c r="GY137" i="27"/>
  <c r="FC137" i="27"/>
  <c r="EK355" i="27"/>
  <c r="GG355" i="27"/>
  <c r="EE165" i="27"/>
  <c r="GA165" i="27"/>
  <c r="CI165" i="27"/>
  <c r="CU244" i="27"/>
  <c r="GM244" i="27"/>
  <c r="EQ50" i="27"/>
  <c r="GM50" i="27"/>
  <c r="CO90" i="27"/>
  <c r="GG90" i="27"/>
  <c r="EQ71" i="27"/>
  <c r="GG255" i="27"/>
  <c r="DG322" i="27"/>
  <c r="GS76" i="27"/>
  <c r="FC211" i="27"/>
  <c r="DG211" i="27"/>
  <c r="GA69" i="27"/>
  <c r="EE69" i="27"/>
  <c r="DA97" i="27"/>
  <c r="GS97" i="27"/>
  <c r="EK58" i="27"/>
  <c r="CO58" i="27"/>
  <c r="FC329" i="27"/>
  <c r="GY329" i="27"/>
  <c r="GM290" i="27"/>
  <c r="CU290" i="27"/>
  <c r="GA73" i="27"/>
  <c r="CI73" i="27"/>
  <c r="GY349" i="27"/>
  <c r="FC349" i="27"/>
  <c r="FC356" i="27"/>
  <c r="DG356" i="27"/>
  <c r="EE262" i="27"/>
  <c r="GA262" i="27"/>
  <c r="CO264" i="27"/>
  <c r="GG264" i="27"/>
  <c r="CU77" i="27"/>
  <c r="EQ77" i="27"/>
  <c r="GG212" i="27"/>
  <c r="CO212" i="27"/>
  <c r="GY166" i="27"/>
  <c r="FC166" i="27"/>
  <c r="DG166" i="27"/>
  <c r="GS244" i="27"/>
  <c r="DA244" i="27"/>
  <c r="GA286" i="27"/>
  <c r="EE286" i="27"/>
  <c r="FC333" i="27"/>
  <c r="GY333" i="27"/>
  <c r="CU187" i="27"/>
  <c r="EQ187" i="27"/>
  <c r="GG116" i="27"/>
  <c r="CO116" i="27"/>
  <c r="EK116" i="27"/>
  <c r="GM187" i="27"/>
  <c r="GM149" i="27"/>
  <c r="GA147" i="27"/>
  <c r="EW254" i="27"/>
  <c r="DG209" i="27"/>
  <c r="DG137" i="27"/>
  <c r="GY211" i="27"/>
  <c r="GY156" i="27"/>
  <c r="FC156" i="27"/>
  <c r="CU348" i="27"/>
  <c r="GM348" i="27"/>
  <c r="EQ348" i="27"/>
  <c r="EK19" i="27"/>
  <c r="GY170" i="27"/>
  <c r="FC170" i="27"/>
  <c r="CO169" i="27"/>
  <c r="GG169" i="27"/>
  <c r="EE222" i="27"/>
  <c r="GA222" i="27"/>
  <c r="GG138" i="27"/>
  <c r="EK138" i="27"/>
  <c r="DA269" i="27"/>
  <c r="GY268" i="27"/>
  <c r="FC268" i="27"/>
  <c r="GA109" i="27"/>
  <c r="EE109" i="27"/>
  <c r="DG6" i="27"/>
  <c r="GY6" i="27"/>
  <c r="FC6" i="27"/>
  <c r="EW297" i="27"/>
  <c r="EE173" i="27"/>
  <c r="GA173" i="27"/>
  <c r="GY300" i="27"/>
  <c r="DG300" i="27"/>
  <c r="GA264" i="27"/>
  <c r="CI264" i="27"/>
  <c r="EQ113" i="27"/>
  <c r="CU113" i="27"/>
  <c r="GY346" i="27"/>
  <c r="FC346" i="27"/>
  <c r="DG346" i="27"/>
  <c r="EQ220" i="27"/>
  <c r="GM220" i="27"/>
  <c r="CU220" i="27"/>
  <c r="EQ103" i="27"/>
  <c r="CU103" i="27"/>
  <c r="GM103" i="27"/>
  <c r="DG70" i="27"/>
  <c r="FC70" i="27"/>
  <c r="GY354" i="27"/>
  <c r="FC354" i="27"/>
  <c r="FC186" i="27"/>
  <c r="DG186" i="27"/>
  <c r="GY119" i="27"/>
  <c r="DG119" i="27"/>
  <c r="DG224" i="27"/>
  <c r="GY224" i="27"/>
  <c r="GG80" i="27"/>
  <c r="EK80" i="27"/>
  <c r="CO80" i="27"/>
  <c r="GG319" i="27"/>
  <c r="EK319" i="27"/>
  <c r="GM262" i="27"/>
  <c r="CU262" i="27"/>
  <c r="DA7" i="27"/>
  <c r="EW7" i="27"/>
  <c r="FC303" i="27"/>
  <c r="GY303" i="27"/>
  <c r="EW14" i="27"/>
  <c r="DA14" i="27"/>
  <c r="GS14" i="27"/>
  <c r="DG333" i="27"/>
  <c r="EK212" i="27"/>
  <c r="DG184" i="27"/>
  <c r="EE363" i="27"/>
  <c r="EK90" i="27"/>
  <c r="GA325" i="27"/>
  <c r="CI325" i="27"/>
  <c r="GA23" i="27"/>
  <c r="CI23" i="27"/>
  <c r="EE23" i="27"/>
  <c r="DA108" i="27"/>
  <c r="EW108" i="27"/>
  <c r="EK347" i="27"/>
  <c r="CO347" i="27"/>
  <c r="DG171" i="27"/>
  <c r="GY171" i="27"/>
  <c r="EQ259" i="27"/>
  <c r="CU259" i="27"/>
  <c r="CI18" i="27"/>
  <c r="GA18" i="27"/>
  <c r="DG44" i="27"/>
  <c r="GY44" i="27"/>
  <c r="CO187" i="27"/>
  <c r="GG187" i="27"/>
  <c r="GS188" i="27"/>
  <c r="EW188" i="27"/>
  <c r="DA188" i="27"/>
  <c r="CU181" i="27"/>
  <c r="GM181" i="27"/>
  <c r="EQ181" i="27"/>
  <c r="GA211" i="27"/>
  <c r="CI211" i="27"/>
  <c r="EE211" i="27"/>
  <c r="CO128" i="27"/>
  <c r="EK128" i="27"/>
  <c r="GG128" i="27"/>
  <c r="GG237" i="27"/>
  <c r="CO237" i="27"/>
  <c r="EK237" i="27"/>
  <c r="CU143" i="27"/>
  <c r="GS327" i="27"/>
  <c r="GY122" i="27"/>
  <c r="FC122" i="27"/>
  <c r="DG286" i="27"/>
  <c r="FC286" i="27"/>
  <c r="EK328" i="27"/>
  <c r="CO328" i="27"/>
  <c r="GG328" i="27"/>
  <c r="CI173" i="27"/>
  <c r="CI194" i="27"/>
  <c r="GA111" i="27"/>
  <c r="GY337" i="27"/>
  <c r="EQ61" i="27"/>
  <c r="AS9" i="23"/>
  <c r="BV44" i="23" s="1"/>
  <c r="EW192" i="27"/>
  <c r="GY239" i="27"/>
  <c r="GA317" i="27"/>
  <c r="GS155" i="27"/>
  <c r="FC275" i="27"/>
  <c r="DG266" i="27"/>
  <c r="CU124" i="27"/>
  <c r="DG54" i="27"/>
  <c r="FC241" i="27"/>
  <c r="CI254" i="27"/>
  <c r="DA51" i="27"/>
  <c r="EE302" i="27"/>
  <c r="GA311" i="27"/>
  <c r="CU155" i="27"/>
  <c r="CI265" i="27"/>
  <c r="EK133" i="27"/>
  <c r="FC179" i="27"/>
  <c r="FC84" i="27"/>
  <c r="CU342" i="27"/>
  <c r="EK201" i="27"/>
  <c r="FC68" i="27"/>
  <c r="GM57" i="27"/>
  <c r="CI257" i="27"/>
  <c r="EK149" i="27"/>
  <c r="FC361" i="27"/>
  <c r="GG92" i="27"/>
  <c r="FC119" i="27"/>
  <c r="FC309" i="27"/>
  <c r="GS65" i="27"/>
  <c r="GS31" i="27"/>
  <c r="GA63" i="27"/>
  <c r="CI249" i="27"/>
  <c r="GM302" i="27"/>
  <c r="FC316" i="27"/>
  <c r="EQ185" i="27"/>
  <c r="EW365" i="27"/>
  <c r="EK258" i="27"/>
  <c r="EQ203" i="27"/>
  <c r="GM284" i="27"/>
  <c r="EW33" i="27"/>
  <c r="EQ327" i="27"/>
  <c r="EE141" i="27"/>
  <c r="CU71" i="27"/>
  <c r="DA365" i="27"/>
  <c r="EW341" i="27"/>
  <c r="GG258" i="27"/>
  <c r="CO8" i="27"/>
  <c r="EW196" i="27"/>
  <c r="CU203" i="27"/>
  <c r="DA31" i="27"/>
  <c r="EE42" i="27"/>
  <c r="GM216" i="27"/>
  <c r="EQ215" i="27"/>
  <c r="GS206" i="27"/>
  <c r="GS120" i="27"/>
  <c r="EE249" i="27"/>
  <c r="GG18" i="27"/>
  <c r="EQ164" i="27"/>
  <c r="EK329" i="27"/>
  <c r="CI199" i="27"/>
  <c r="DA225" i="27"/>
  <c r="DG133" i="27"/>
  <c r="FC223" i="27"/>
  <c r="DA301" i="27"/>
  <c r="DA340" i="27"/>
  <c r="DA233" i="27"/>
  <c r="EW214" i="27"/>
  <c r="EE10" i="27"/>
  <c r="GA309" i="27"/>
  <c r="GY11" i="27"/>
  <c r="GG198" i="27"/>
  <c r="CO97" i="27"/>
  <c r="EW268" i="27"/>
  <c r="GS116" i="27"/>
  <c r="EW171" i="27"/>
  <c r="EE270" i="27"/>
  <c r="EK37" i="27"/>
  <c r="GY288" i="27"/>
  <c r="EW120" i="27"/>
  <c r="GA141" i="27"/>
  <c r="GM71" i="27"/>
  <c r="GS341" i="27"/>
  <c r="DG223" i="27"/>
  <c r="GS196" i="27"/>
  <c r="DA173" i="27"/>
  <c r="EQ356" i="27"/>
  <c r="CU215" i="27"/>
  <c r="DA284" i="27"/>
  <c r="EW206" i="27"/>
  <c r="CO18" i="27"/>
  <c r="GM164" i="27"/>
  <c r="CU84" i="27"/>
  <c r="GG89" i="27"/>
  <c r="CO329" i="27"/>
  <c r="GM95" i="27"/>
  <c r="DA177" i="27"/>
  <c r="GM210" i="27"/>
  <c r="GM175" i="27"/>
  <c r="GM351" i="27"/>
  <c r="EQ32" i="27"/>
  <c r="GS245" i="27"/>
  <c r="GA81" i="27"/>
  <c r="GA93" i="27"/>
  <c r="EE345" i="27"/>
  <c r="GG218" i="27"/>
  <c r="GG140" i="27"/>
  <c r="EQ182" i="27"/>
  <c r="EW153" i="27"/>
  <c r="GA291" i="27"/>
  <c r="GM258" i="27"/>
  <c r="DG43" i="27"/>
  <c r="GG320" i="27"/>
  <c r="DA88" i="27"/>
  <c r="EE361" i="27"/>
  <c r="GM362" i="27"/>
  <c r="GM69" i="27"/>
  <c r="EW213" i="27"/>
  <c r="EK190" i="27"/>
  <c r="EQ304" i="27"/>
  <c r="GS331" i="27"/>
  <c r="GM111" i="27"/>
  <c r="DG147" i="27"/>
  <c r="CI171" i="27"/>
  <c r="GS164" i="27"/>
  <c r="GG195" i="27"/>
  <c r="GM37" i="27"/>
  <c r="DG14" i="27"/>
  <c r="EE66" i="27"/>
  <c r="GS38" i="27"/>
  <c r="CO220" i="27"/>
  <c r="GM328" i="27"/>
  <c r="DA298" i="27"/>
  <c r="EE365" i="27"/>
  <c r="GS71" i="27"/>
  <c r="GA181" i="27"/>
  <c r="EQ176" i="27"/>
  <c r="EE48" i="27"/>
  <c r="GS173" i="27"/>
  <c r="EQ48" i="27"/>
  <c r="EQ62" i="27"/>
  <c r="GS284" i="27"/>
  <c r="GS10" i="27"/>
  <c r="DG337" i="27"/>
  <c r="GM84" i="27"/>
  <c r="EQ95" i="27"/>
  <c r="CU311" i="27"/>
  <c r="EK155" i="27"/>
  <c r="EK236" i="27"/>
  <c r="DG145" i="27"/>
  <c r="GS146" i="27"/>
  <c r="EK39" i="27"/>
  <c r="GM218" i="27"/>
  <c r="FC323" i="27"/>
  <c r="CO342" i="27"/>
  <c r="EE231" i="27"/>
  <c r="CI140" i="27"/>
  <c r="EW260" i="27"/>
  <c r="DA294" i="27"/>
  <c r="EE238" i="27"/>
  <c r="GY301" i="27"/>
  <c r="GA267" i="27"/>
  <c r="CO139" i="27"/>
  <c r="EK106" i="27"/>
  <c r="EE289" i="27"/>
  <c r="GA213" i="27"/>
  <c r="CI236" i="27"/>
  <c r="EE94" i="27"/>
  <c r="EW83" i="27"/>
  <c r="EK64" i="27"/>
  <c r="GA279" i="27"/>
  <c r="CO60" i="27"/>
  <c r="CO322" i="27"/>
  <c r="GG136" i="27"/>
  <c r="CI331" i="27"/>
  <c r="DG303" i="27"/>
  <c r="EW290" i="27"/>
  <c r="GM77" i="27"/>
  <c r="EE288" i="27"/>
  <c r="EK346" i="27"/>
  <c r="EE193" i="27"/>
  <c r="EK152" i="27"/>
  <c r="EK181" i="27"/>
  <c r="GG191" i="27"/>
  <c r="DG257" i="27"/>
  <c r="CU149" i="27"/>
  <c r="EW28" i="27"/>
  <c r="EK280" i="27"/>
  <c r="EK8" i="27"/>
  <c r="EW327" i="27"/>
  <c r="GA316" i="27"/>
  <c r="EK218" i="27"/>
  <c r="FC246" i="27"/>
  <c r="FC184" i="27"/>
  <c r="DA240" i="27"/>
  <c r="EW240" i="27"/>
  <c r="DG65" i="27"/>
  <c r="FC145" i="27"/>
  <c r="DA146" i="27"/>
  <c r="EW296" i="27"/>
  <c r="DG282" i="27"/>
  <c r="EE268" i="27"/>
  <c r="DA271" i="27"/>
  <c r="CO19" i="27"/>
  <c r="GM119" i="27"/>
  <c r="FC237" i="27"/>
  <c r="EK322" i="27"/>
  <c r="EE331" i="27"/>
  <c r="EE236" i="27"/>
  <c r="EK60" i="27"/>
  <c r="FC92" i="27"/>
  <c r="EE158" i="27"/>
  <c r="GG301" i="27"/>
  <c r="GS258" i="27"/>
  <c r="GM223" i="27"/>
  <c r="EW146" i="27"/>
  <c r="FC282" i="27"/>
  <c r="EE264" i="27"/>
  <c r="DG156" i="27"/>
  <c r="FC300" i="27"/>
  <c r="EQ343" i="27"/>
  <c r="DG160" i="27"/>
  <c r="GG59" i="27"/>
  <c r="GA101" i="27"/>
  <c r="EW267" i="27"/>
  <c r="GY65" i="27"/>
  <c r="GS108" i="27"/>
  <c r="GY102" i="27"/>
  <c r="GM182" i="27"/>
  <c r="GA345" i="27"/>
  <c r="CI189" i="27"/>
  <c r="EE275" i="27"/>
  <c r="EQ223" i="27"/>
  <c r="DA153" i="27"/>
  <c r="EQ218" i="27"/>
  <c r="CU182" i="27"/>
  <c r="EQ53" i="27"/>
  <c r="FC57" i="27"/>
  <c r="GY131" i="27"/>
  <c r="CI69" i="27"/>
  <c r="GA72" i="27"/>
  <c r="DA175" i="27"/>
  <c r="DG157" i="27"/>
  <c r="CU218" i="27"/>
  <c r="GS351" i="27"/>
  <c r="GG39" i="27"/>
  <c r="DA144" i="27"/>
  <c r="FC20" i="27"/>
  <c r="EE253" i="27"/>
  <c r="EQ130" i="27"/>
  <c r="EK79" i="27"/>
  <c r="DG349" i="27"/>
  <c r="GY118" i="27"/>
  <c r="GM342" i="27"/>
  <c r="EE101" i="27"/>
  <c r="GM155" i="27"/>
  <c r="DG84" i="27"/>
  <c r="GY84" i="27"/>
  <c r="GM323" i="27"/>
  <c r="DA148" i="27"/>
  <c r="CU55" i="27"/>
  <c r="GG306" i="27"/>
  <c r="GA55" i="27"/>
  <c r="EK324" i="27"/>
  <c r="CU229" i="27"/>
  <c r="DG272" i="27"/>
  <c r="CO189" i="27"/>
  <c r="CU161" i="27"/>
  <c r="GG158" i="27"/>
  <c r="GM56" i="27"/>
  <c r="DG188" i="27"/>
  <c r="FC115" i="27"/>
  <c r="GA236" i="27"/>
  <c r="GS289" i="27"/>
  <c r="CI248" i="27"/>
  <c r="FC19" i="27"/>
  <c r="EE279" i="27"/>
  <c r="GS364" i="27"/>
  <c r="DG189" i="27"/>
  <c r="EQ78" i="27"/>
  <c r="CO85" i="27"/>
  <c r="EE340" i="27"/>
  <c r="EW217" i="27"/>
  <c r="EW143" i="27"/>
  <c r="CU356" i="27"/>
  <c r="DA309" i="27"/>
  <c r="EW132" i="27"/>
  <c r="FC155" i="27"/>
  <c r="DG260" i="27"/>
  <c r="DA25" i="27"/>
  <c r="CO315" i="27"/>
  <c r="EW79" i="27"/>
  <c r="CO59" i="27"/>
  <c r="DG74" i="27"/>
  <c r="GS325" i="27"/>
  <c r="FC102" i="27"/>
  <c r="CI213" i="27"/>
  <c r="FC357" i="27"/>
  <c r="DG148" i="27"/>
  <c r="GY9" i="27"/>
  <c r="EE322" i="27"/>
  <c r="GA335" i="27"/>
  <c r="EW314" i="27"/>
  <c r="EQ106" i="27"/>
  <c r="GS253" i="27"/>
  <c r="CI357" i="27"/>
  <c r="EE226" i="27"/>
  <c r="DG193" i="27"/>
  <c r="DG77" i="27"/>
  <c r="GM226" i="27"/>
  <c r="GS295" i="27"/>
  <c r="GY308" i="27"/>
  <c r="FC105" i="27"/>
  <c r="CI240" i="27"/>
  <c r="DA65" i="27"/>
  <c r="EQ99" i="27"/>
  <c r="DA33" i="27"/>
  <c r="EK303" i="27"/>
  <c r="GA67" i="27"/>
  <c r="EW255" i="27"/>
  <c r="GG178" i="27"/>
  <c r="FC55" i="27"/>
  <c r="CO131" i="27"/>
  <c r="GS335" i="27"/>
  <c r="GG192" i="27"/>
  <c r="GS70" i="27"/>
  <c r="EK354" i="27"/>
  <c r="GM222" i="27"/>
  <c r="CU139" i="27"/>
  <c r="GY45" i="27"/>
  <c r="CU9" i="27"/>
  <c r="GG156" i="27"/>
  <c r="GM94" i="27"/>
  <c r="CU136" i="27"/>
  <c r="GM150" i="27"/>
  <c r="CI47" i="27"/>
  <c r="DG92" i="27"/>
  <c r="EW264" i="27"/>
  <c r="DA129" i="27"/>
  <c r="GA119" i="27"/>
  <c r="CI16" i="27"/>
  <c r="GM35" i="27"/>
  <c r="EW212" i="27"/>
  <c r="EW242" i="27"/>
  <c r="FC216" i="27"/>
  <c r="CO120" i="27"/>
  <c r="EW162" i="27"/>
  <c r="CU62" i="27"/>
  <c r="EQ123" i="27"/>
  <c r="DG358" i="27"/>
  <c r="EE246" i="27"/>
  <c r="GM8" i="27"/>
  <c r="EE334" i="27"/>
  <c r="EQ290" i="27"/>
  <c r="EK82" i="27"/>
  <c r="DG75" i="27"/>
  <c r="GS30" i="27"/>
  <c r="DG109" i="27"/>
  <c r="FC104" i="27"/>
  <c r="GG123" i="27"/>
  <c r="GS257" i="27"/>
  <c r="DG57" i="27"/>
  <c r="GY356" i="27"/>
  <c r="DG291" i="27"/>
  <c r="EQ174" i="27"/>
  <c r="EE12" i="27"/>
  <c r="EE206" i="27"/>
  <c r="DA12" i="27"/>
  <c r="GA271" i="27"/>
  <c r="GA287" i="27"/>
  <c r="DA305" i="27"/>
  <c r="GS56" i="27"/>
  <c r="DG42" i="27"/>
  <c r="GY304" i="27"/>
  <c r="EK204" i="27"/>
  <c r="DA321" i="27"/>
  <c r="GS152" i="27"/>
  <c r="EW194" i="27"/>
  <c r="CI129" i="27"/>
  <c r="GM147" i="27"/>
  <c r="GM269" i="27"/>
  <c r="FC73" i="27"/>
  <c r="CO171" i="27"/>
  <c r="FC204" i="27"/>
  <c r="DG194" i="27"/>
  <c r="EE7" i="27"/>
  <c r="DA285" i="27"/>
  <c r="GM53" i="27"/>
  <c r="EE73" i="27"/>
  <c r="GA183" i="27"/>
  <c r="CO37" i="27"/>
  <c r="DG317" i="27"/>
  <c r="EE347" i="27"/>
  <c r="CI176" i="27"/>
  <c r="CU50" i="27"/>
  <c r="GS122" i="27"/>
  <c r="GG318" i="27"/>
  <c r="CI80" i="27"/>
  <c r="CO355" i="27"/>
  <c r="DG99" i="27"/>
  <c r="GY145" i="27"/>
  <c r="EQ114" i="27"/>
  <c r="EK339" i="27"/>
  <c r="CI313" i="27"/>
  <c r="EK124" i="27"/>
  <c r="EE20" i="27"/>
  <c r="GM230" i="27"/>
  <c r="CU275" i="27"/>
  <c r="GS362" i="27"/>
  <c r="GS271" i="27"/>
  <c r="CI195" i="27"/>
  <c r="CU217" i="27"/>
  <c r="EW274" i="27"/>
  <c r="CI272" i="27"/>
  <c r="EK331" i="27"/>
  <c r="DG95" i="27"/>
  <c r="GM333" i="27"/>
  <c r="FC128" i="27"/>
  <c r="EQ22" i="27"/>
  <c r="GY115" i="27"/>
  <c r="CI126" i="27"/>
  <c r="CU6" i="27"/>
  <c r="CI262" i="27"/>
  <c r="EK89" i="27"/>
  <c r="EW160" i="27"/>
  <c r="CO38" i="27"/>
  <c r="EW272" i="27"/>
  <c r="CU243" i="27"/>
  <c r="DA170" i="27"/>
  <c r="FC146" i="27"/>
  <c r="EW48" i="27"/>
  <c r="GY67" i="27"/>
  <c r="GY245" i="27"/>
  <c r="GG91" i="27"/>
  <c r="CI44" i="27"/>
  <c r="EQ361" i="27"/>
  <c r="CO186" i="27"/>
  <c r="EQ365" i="27"/>
  <c r="GY141" i="27"/>
  <c r="CI187" i="27"/>
  <c r="EE305" i="27"/>
  <c r="EQ318" i="27"/>
  <c r="GA242" i="27"/>
  <c r="GS303" i="27"/>
  <c r="DG173" i="27"/>
  <c r="EE250" i="27"/>
  <c r="CO21" i="27"/>
  <c r="GM141" i="27"/>
  <c r="DA209" i="27"/>
  <c r="FC63" i="27"/>
  <c r="DA11" i="27"/>
  <c r="FC328" i="27"/>
  <c r="EK158" i="27"/>
  <c r="CO334" i="27"/>
  <c r="EW244" i="27"/>
  <c r="DG58" i="27"/>
  <c r="GS7" i="27"/>
  <c r="DG142" i="27"/>
  <c r="GM330" i="27"/>
  <c r="DG87" i="27"/>
  <c r="CO287" i="27"/>
  <c r="DG220" i="27"/>
  <c r="GA243" i="27"/>
  <c r="DG162" i="27"/>
  <c r="GA284" i="27"/>
  <c r="DG152" i="27"/>
  <c r="GM163" i="27"/>
  <c r="EK159" i="27"/>
  <c r="EW263" i="27"/>
  <c r="CU346" i="27"/>
  <c r="GS287" i="27"/>
  <c r="EE293" i="27"/>
  <c r="DG254" i="27"/>
  <c r="EE255" i="27"/>
  <c r="EQ40" i="27"/>
  <c r="EK221" i="27"/>
  <c r="CI146" i="27"/>
  <c r="GG127" i="27"/>
  <c r="DG125" i="27"/>
  <c r="CU48" i="27"/>
  <c r="EK348" i="27"/>
  <c r="GG60" i="27"/>
  <c r="CO165" i="27"/>
  <c r="DG71" i="27"/>
  <c r="DG165" i="27"/>
  <c r="EW323" i="27"/>
  <c r="GA121" i="27"/>
  <c r="GY21" i="27"/>
  <c r="EW82" i="27"/>
  <c r="CI302" i="27"/>
  <c r="CO326" i="27"/>
  <c r="DA149" i="27"/>
  <c r="CI215" i="27"/>
  <c r="EW346" i="27"/>
  <c r="GG203" i="27"/>
  <c r="DA292" i="27"/>
  <c r="GS44" i="27"/>
  <c r="CU166" i="27"/>
  <c r="GG29" i="27"/>
  <c r="CI186" i="27"/>
  <c r="GY365" i="27"/>
  <c r="DG215" i="27"/>
  <c r="GS187" i="27"/>
  <c r="GM113" i="27"/>
  <c r="GG66" i="27"/>
  <c r="GM97" i="27"/>
  <c r="EQ286" i="27"/>
  <c r="EQ242" i="27"/>
  <c r="GG173" i="27"/>
  <c r="EW21" i="27"/>
  <c r="EK141" i="27"/>
  <c r="CI346" i="27"/>
  <c r="DG164" i="27"/>
  <c r="EK21" i="27"/>
  <c r="CI253" i="27"/>
  <c r="GY328" i="27"/>
  <c r="EE314" i="27"/>
  <c r="GA268" i="27"/>
  <c r="EQ195" i="27"/>
  <c r="CI288" i="27"/>
  <c r="GA353" i="27"/>
  <c r="GS148" i="27"/>
  <c r="CI335" i="27"/>
  <c r="GG298" i="27"/>
  <c r="EQ285" i="27"/>
  <c r="FC339" i="27"/>
  <c r="EW364" i="27"/>
  <c r="GG322" i="27"/>
  <c r="DA217" i="27"/>
  <c r="DA260" i="27"/>
  <c r="GA238" i="27"/>
  <c r="GG180" i="27"/>
  <c r="EK185" i="27"/>
  <c r="GG246" i="27"/>
  <c r="GS231" i="27"/>
  <c r="EK291" i="27"/>
  <c r="DA361" i="27"/>
  <c r="EK325" i="27"/>
  <c r="CU28" i="27"/>
  <c r="GG86" i="27"/>
  <c r="GS349" i="27"/>
  <c r="CI98" i="27"/>
  <c r="GM251" i="27"/>
  <c r="CO45" i="27"/>
  <c r="DA35" i="27"/>
  <c r="EQ64" i="27"/>
  <c r="EK131" i="27"/>
  <c r="GA27" i="27"/>
  <c r="FC363" i="27"/>
  <c r="GA136" i="27"/>
  <c r="DA103" i="27"/>
  <c r="GA90" i="27"/>
  <c r="GM196" i="27"/>
  <c r="GG164" i="27"/>
  <c r="DA16" i="27"/>
  <c r="DG40" i="27"/>
  <c r="GA240" i="27"/>
  <c r="GY165" i="27"/>
  <c r="CO82" i="27"/>
  <c r="FC71" i="27"/>
  <c r="FC152" i="27"/>
  <c r="GG326" i="27"/>
  <c r="EE272" i="27"/>
  <c r="CO124" i="27"/>
  <c r="GY155" i="27"/>
  <c r="DA296" i="27"/>
  <c r="GY42" i="27"/>
  <c r="GA193" i="27"/>
  <c r="DG204" i="27"/>
  <c r="GA215" i="27"/>
  <c r="GY58" i="27"/>
  <c r="GA44" i="27"/>
  <c r="CI206" i="27"/>
  <c r="GS292" i="27"/>
  <c r="EW318" i="27"/>
  <c r="EQ230" i="27"/>
  <c r="CI119" i="27"/>
  <c r="GS263" i="27"/>
  <c r="DG55" i="27"/>
  <c r="GY74" i="27"/>
  <c r="GM106" i="27"/>
  <c r="CO324" i="27"/>
  <c r="CI279" i="27"/>
  <c r="EE248" i="27"/>
  <c r="FC95" i="27"/>
  <c r="EE175" i="27"/>
  <c r="GM139" i="27"/>
  <c r="EW92" i="27"/>
  <c r="GY37" i="27"/>
  <c r="GY215" i="27"/>
  <c r="EQ117" i="27"/>
  <c r="GA346" i="27"/>
  <c r="EK163" i="27"/>
  <c r="EK123" i="27"/>
  <c r="EW11" i="27"/>
  <c r="GA226" i="27"/>
  <c r="GG37" i="27"/>
  <c r="GS21" i="27"/>
  <c r="GA250" i="27"/>
  <c r="GY162" i="27"/>
  <c r="EE287" i="27"/>
  <c r="CO203" i="27"/>
  <c r="GM166" i="27"/>
  <c r="GA347" i="27"/>
  <c r="EE38" i="27"/>
  <c r="FC87" i="27"/>
  <c r="GY189" i="27"/>
  <c r="EW309" i="27"/>
  <c r="DA274" i="27"/>
  <c r="EQ6" i="27"/>
  <c r="GG139" i="27"/>
  <c r="EE16" i="27"/>
  <c r="CO29" i="27"/>
  <c r="EK334" i="27"/>
  <c r="FC220" i="27"/>
  <c r="FC142" i="27"/>
  <c r="GM136" i="27"/>
  <c r="DA290" i="27"/>
  <c r="EQ94" i="27"/>
  <c r="EQ154" i="27"/>
  <c r="EK59" i="27"/>
  <c r="DG155" i="27"/>
  <c r="GG208" i="27"/>
  <c r="CO252" i="27"/>
  <c r="CU97" i="27"/>
  <c r="GG163" i="27"/>
  <c r="FC165" i="27"/>
  <c r="GG82" i="27"/>
  <c r="EQ141" i="27"/>
  <c r="GY71" i="27"/>
  <c r="DA21" i="27"/>
  <c r="EQ21" i="27"/>
  <c r="CO152" i="27"/>
  <c r="CI250" i="27"/>
  <c r="DA325" i="27"/>
  <c r="FC162" i="27"/>
  <c r="EQ8" i="27"/>
  <c r="EQ330" i="27"/>
  <c r="EK203" i="27"/>
  <c r="EW176" i="27"/>
  <c r="CI347" i="27"/>
  <c r="EK326" i="27"/>
  <c r="CO356" i="27"/>
  <c r="CU147" i="27"/>
  <c r="EW351" i="27"/>
  <c r="FC42" i="27"/>
  <c r="FC189" i="27"/>
  <c r="EK216" i="27"/>
  <c r="EW12" i="27"/>
  <c r="DA314" i="27"/>
  <c r="GY204" i="27"/>
  <c r="GS274" i="27"/>
  <c r="GS129" i="27"/>
  <c r="DG361" i="27"/>
  <c r="CO181" i="27"/>
  <c r="GS132" i="27"/>
  <c r="EW292" i="27"/>
  <c r="DA318" i="27"/>
  <c r="EQ139" i="27"/>
  <c r="CI293" i="27"/>
  <c r="GY357" i="27"/>
  <c r="GY125" i="27"/>
  <c r="EE119" i="27"/>
  <c r="GA16" i="27"/>
  <c r="DA263" i="27"/>
  <c r="DG9" i="27"/>
  <c r="GM55" i="27"/>
  <c r="EK29" i="27"/>
  <c r="DA83" i="27"/>
  <c r="CI72" i="27"/>
  <c r="GA322" i="27"/>
  <c r="EK209" i="27"/>
  <c r="GM183" i="27"/>
  <c r="EQ217" i="27"/>
  <c r="CU106" i="27"/>
  <c r="GY142" i="27"/>
  <c r="GS168" i="27"/>
  <c r="GA248" i="27"/>
  <c r="GG85" i="27"/>
  <c r="GA154" i="27"/>
  <c r="GS321" i="27"/>
  <c r="GS28" i="27"/>
  <c r="GA20" i="27"/>
  <c r="GS92" i="27"/>
  <c r="CI228" i="27"/>
  <c r="EQ208" i="27"/>
  <c r="GY343" i="27"/>
  <c r="EK17" i="27"/>
  <c r="GG93" i="27"/>
  <c r="CO345" i="27"/>
  <c r="CI247" i="27"/>
  <c r="GM237" i="27"/>
  <c r="EK157" i="27"/>
  <c r="GS191" i="27"/>
  <c r="EK294" i="27"/>
  <c r="GS149" i="27"/>
  <c r="FC174" i="27"/>
  <c r="GS224" i="27"/>
  <c r="DA20" i="27"/>
  <c r="EE15" i="27"/>
  <c r="EW70" i="27"/>
  <c r="CU169" i="27"/>
  <c r="FC353" i="27"/>
  <c r="EW253" i="27"/>
  <c r="EE240" i="27"/>
  <c r="CU118" i="27"/>
  <c r="CI83" i="27"/>
  <c r="EW269" i="27"/>
  <c r="CO170" i="27"/>
  <c r="EK120" i="27"/>
  <c r="DA255" i="27"/>
  <c r="DA37" i="27"/>
  <c r="GS194" i="27"/>
  <c r="EE153" i="27"/>
  <c r="CU141" i="27"/>
  <c r="GG152" i="27"/>
  <c r="CU8" i="27"/>
  <c r="GS176" i="27"/>
  <c r="EW295" i="27"/>
  <c r="GS314" i="27"/>
  <c r="FC215" i="27"/>
  <c r="DA212" i="27"/>
  <c r="CO158" i="27"/>
  <c r="FC9" i="27"/>
  <c r="EQ55" i="27"/>
  <c r="GS83" i="27"/>
  <c r="GY164" i="27"/>
  <c r="CO209" i="27"/>
  <c r="CO331" i="27"/>
  <c r="CO303" i="27"/>
  <c r="EE154" i="27"/>
  <c r="EW321" i="27"/>
  <c r="GS236" i="27"/>
  <c r="EE146" i="27"/>
  <c r="GA49" i="27"/>
  <c r="DA277" i="27"/>
  <c r="EW60" i="27"/>
  <c r="GM260" i="27"/>
  <c r="GA283" i="27"/>
  <c r="CO43" i="27"/>
  <c r="DA82" i="27"/>
  <c r="DA106" i="27"/>
  <c r="GS242" i="27"/>
  <c r="GM211" i="27"/>
  <c r="DG45" i="27"/>
  <c r="EE103" i="27"/>
  <c r="GA293" i="27"/>
  <c r="GS316" i="27"/>
  <c r="GS346" i="27"/>
  <c r="CU226" i="27"/>
  <c r="GY77" i="27"/>
  <c r="GG287" i="27"/>
  <c r="DA253" i="27"/>
  <c r="GG356" i="27"/>
  <c r="EQ147" i="27"/>
  <c r="CU333" i="27"/>
  <c r="GY104" i="27"/>
  <c r="GG64" i="27"/>
  <c r="GG181" i="27"/>
  <c r="EK171" i="27"/>
  <c r="DG308" i="27"/>
  <c r="DG102" i="27"/>
  <c r="CU35" i="27"/>
  <c r="CI322" i="27"/>
  <c r="GM217" i="27"/>
  <c r="EK85" i="27"/>
  <c r="EK156" i="27"/>
  <c r="GG316" i="27"/>
  <c r="GS145" i="27"/>
  <c r="GS323" i="27"/>
  <c r="DA346" i="27"/>
  <c r="CO346" i="27"/>
  <c r="CU163" i="27"/>
  <c r="GM123" i="27"/>
  <c r="GA302" i="27"/>
  <c r="CU174" i="27"/>
  <c r="EK165" i="27"/>
  <c r="EQ226" i="27"/>
  <c r="EK315" i="27"/>
  <c r="DG365" i="27"/>
  <c r="GG21" i="27"/>
  <c r="CU21" i="27"/>
  <c r="FC77" i="27"/>
  <c r="GS162" i="27"/>
  <c r="EK287" i="27"/>
  <c r="CU330" i="27"/>
  <c r="EK127" i="27"/>
  <c r="GM40" i="27"/>
  <c r="EQ247" i="27"/>
  <c r="DA295" i="27"/>
  <c r="GM112" i="27"/>
  <c r="GY128" i="27"/>
  <c r="DA56" i="27"/>
  <c r="EQ333" i="27"/>
  <c r="DG53" i="27"/>
  <c r="GY193" i="27"/>
  <c r="DG216" i="27"/>
  <c r="DA194" i="27"/>
  <c r="EQ222" i="27"/>
  <c r="DG104" i="27"/>
  <c r="GG204" i="27"/>
  <c r="GM242" i="27"/>
  <c r="EW129" i="27"/>
  <c r="CO64" i="27"/>
  <c r="CI284" i="27"/>
  <c r="DA44" i="27"/>
  <c r="GM195" i="27"/>
  <c r="GA80" i="27"/>
  <c r="GG120" i="27"/>
  <c r="GM286" i="27"/>
  <c r="CO318" i="27"/>
  <c r="GS212" i="27"/>
  <c r="GG171" i="27"/>
  <c r="EW122" i="27"/>
  <c r="EW148" i="27"/>
  <c r="FC125" i="27"/>
  <c r="FC308" i="27"/>
  <c r="CO298" i="27"/>
  <c r="CI345" i="27"/>
  <c r="CU285" i="27"/>
  <c r="GG339" i="27"/>
  <c r="FC164" i="27"/>
  <c r="DA364" i="27"/>
  <c r="EK178" i="27"/>
  <c r="EW30" i="27"/>
  <c r="GS217" i="27"/>
  <c r="GG331" i="27"/>
  <c r="GS79" i="27"/>
  <c r="EE126" i="27"/>
  <c r="CO136" i="27"/>
  <c r="EW168" i="27"/>
  <c r="DA251" i="27"/>
  <c r="DA264" i="27"/>
  <c r="GG348" i="27"/>
  <c r="GG303" i="27"/>
  <c r="GY73" i="27"/>
  <c r="CO156" i="27"/>
  <c r="EE294" i="27"/>
  <c r="EE283" i="27"/>
  <c r="GY260" i="27"/>
  <c r="EE183" i="27"/>
  <c r="GG265" i="27"/>
  <c r="CI183" i="27"/>
  <c r="EE67" i="27"/>
  <c r="DA297" i="27"/>
  <c r="CU123" i="27"/>
  <c r="GM174" i="27"/>
  <c r="FC11" i="27"/>
  <c r="FC193" i="27"/>
  <c r="CU242" i="27"/>
  <c r="EE284" i="27"/>
  <c r="EW44" i="27"/>
  <c r="EK136" i="27"/>
  <c r="GA179" i="27"/>
  <c r="FC260" i="27"/>
  <c r="GA24" i="27"/>
  <c r="EW228" i="27"/>
  <c r="CU265" i="27"/>
  <c r="GS189" i="27"/>
  <c r="GM308" i="27"/>
  <c r="GA39" i="27"/>
  <c r="DA214" i="27"/>
  <c r="CI353" i="27"/>
  <c r="EE140" i="27"/>
  <c r="GG236" i="27"/>
  <c r="EW251" i="27"/>
  <c r="EE51" i="27"/>
  <c r="GA313" i="27"/>
  <c r="CU78" i="27"/>
  <c r="GM72" i="27"/>
  <c r="EK351" i="27"/>
  <c r="GA364" i="27"/>
  <c r="GG225" i="27"/>
  <c r="GS312" i="27"/>
  <c r="EK184" i="27"/>
  <c r="GM133" i="27"/>
  <c r="GM9" i="27"/>
  <c r="EQ275" i="27"/>
  <c r="EQ336" i="27"/>
  <c r="GS160" i="27"/>
  <c r="EE134" i="27"/>
  <c r="EW117" i="27"/>
  <c r="CU230" i="27"/>
  <c r="GA214" i="27"/>
  <c r="GA297" i="27"/>
  <c r="EK192" i="27"/>
  <c r="CU198" i="27"/>
  <c r="CI24" i="27"/>
  <c r="DG238" i="27"/>
  <c r="CI340" i="27"/>
  <c r="EW17" i="27"/>
  <c r="FC160" i="27"/>
  <c r="DA258" i="27"/>
  <c r="EQ291" i="27"/>
  <c r="GM185" i="27"/>
  <c r="GA140" i="27"/>
  <c r="CI289" i="27"/>
  <c r="CI336" i="27"/>
  <c r="GS260" i="27"/>
  <c r="GY130" i="27"/>
  <c r="FC200" i="27"/>
  <c r="GS283" i="27"/>
  <c r="EW306" i="27"/>
  <c r="EQ83" i="27"/>
  <c r="EK268" i="27"/>
  <c r="EE58" i="27"/>
  <c r="GS138" i="27"/>
  <c r="FC100" i="27"/>
  <c r="EE339" i="27"/>
  <c r="CO40" i="27"/>
  <c r="EK44" i="27"/>
  <c r="CU122" i="27"/>
  <c r="EQ235" i="27"/>
  <c r="EK139" i="27"/>
  <c r="EE60" i="27"/>
  <c r="EW300" i="27"/>
  <c r="EE93" i="27"/>
  <c r="EW294" i="27"/>
  <c r="CI238" i="27"/>
  <c r="DG115" i="27"/>
  <c r="CO313" i="27"/>
  <c r="EQ57" i="27"/>
  <c r="DA300" i="27"/>
  <c r="CI93" i="27"/>
  <c r="GS294" i="27"/>
  <c r="DA362" i="27"/>
  <c r="EW234" i="27"/>
  <c r="CU57" i="27"/>
  <c r="GG36" i="27"/>
  <c r="EK276" i="27"/>
  <c r="CO52" i="27"/>
  <c r="CU273" i="27"/>
  <c r="EE267" i="27"/>
  <c r="EK36" i="27"/>
  <c r="EW179" i="27"/>
  <c r="EE341" i="27"/>
  <c r="DA17" i="27"/>
  <c r="EQ159" i="27"/>
  <c r="CO26" i="27"/>
  <c r="GA289" i="27"/>
  <c r="EE84" i="27"/>
  <c r="CI267" i="27"/>
  <c r="GY144" i="27"/>
  <c r="CU159" i="27"/>
  <c r="CU185" i="27"/>
  <c r="EE336" i="27"/>
  <c r="GY175" i="27"/>
  <c r="EW89" i="27"/>
  <c r="DG20" i="27"/>
  <c r="DA132" i="27"/>
  <c r="GS29" i="27"/>
  <c r="GY291" i="27"/>
  <c r="EK52" i="27"/>
  <c r="GG149" i="27"/>
  <c r="EW189" i="27"/>
  <c r="GY361" i="27"/>
  <c r="EQ265" i="27"/>
  <c r="GG81" i="27"/>
  <c r="CU308" i="27"/>
  <c r="EW277" i="27"/>
  <c r="GA257" i="27"/>
  <c r="EQ260" i="27"/>
  <c r="CO92" i="27"/>
  <c r="CU210" i="27"/>
  <c r="DA189" i="27"/>
  <c r="CO81" i="27"/>
  <c r="GS267" i="27"/>
  <c r="DA60" i="27"/>
  <c r="GM273" i="27"/>
  <c r="EE257" i="27"/>
  <c r="CU260" i="27"/>
  <c r="EK92" i="27"/>
  <c r="EW145" i="27"/>
  <c r="EQ210" i="27"/>
  <c r="CU252" i="27"/>
  <c r="DG68" i="27"/>
  <c r="GS228" i="27"/>
  <c r="GY107" i="27"/>
  <c r="DA267" i="27"/>
  <c r="GS60" i="27"/>
  <c r="EQ273" i="27"/>
  <c r="CU184" i="27"/>
  <c r="DA145" i="27"/>
  <c r="EQ252" i="27"/>
  <c r="GY68" i="27"/>
  <c r="GA146" i="27"/>
  <c r="GS61" i="27"/>
  <c r="DG107" i="27"/>
  <c r="DG237" i="27"/>
  <c r="GS51" i="27"/>
  <c r="CI283" i="27"/>
  <c r="GM184" i="27"/>
  <c r="CU247" i="27"/>
  <c r="EE24" i="27"/>
  <c r="CI101" i="27"/>
  <c r="DA323" i="27"/>
  <c r="EW110" i="27"/>
  <c r="CO107" i="27"/>
  <c r="CO149" i="27"/>
  <c r="GM130" i="27"/>
  <c r="EQ155" i="27"/>
  <c r="CI39" i="27"/>
  <c r="EQ308" i="27"/>
  <c r="GS277" i="27"/>
  <c r="CU211" i="27"/>
  <c r="GM265" i="27"/>
  <c r="EE200" i="27"/>
  <c r="GY273" i="27"/>
  <c r="EW23" i="27"/>
  <c r="GS110" i="27"/>
  <c r="CU200" i="27"/>
  <c r="DG101" i="27"/>
  <c r="CU291" i="27"/>
  <c r="EK248" i="27"/>
  <c r="GS17" i="27"/>
  <c r="GM167" i="27"/>
  <c r="CO109" i="27"/>
  <c r="EW262" i="27"/>
  <c r="GA241" i="27"/>
  <c r="DA235" i="27"/>
  <c r="CO244" i="27"/>
  <c r="CO291" i="27"/>
  <c r="EW46" i="27"/>
  <c r="EE320" i="27"/>
  <c r="CU189" i="27"/>
  <c r="EE57" i="27"/>
  <c r="GM307" i="27"/>
  <c r="GA52" i="27"/>
  <c r="FC101" i="27"/>
  <c r="DG46" i="27"/>
  <c r="CI256" i="27"/>
  <c r="EK279" i="27"/>
  <c r="GY324" i="27"/>
  <c r="GA94" i="27"/>
  <c r="GM161" i="27"/>
  <c r="GA138" i="27"/>
  <c r="EE46" i="27"/>
  <c r="DA307" i="27"/>
  <c r="DA32" i="27"/>
  <c r="GA278" i="27"/>
  <c r="CO214" i="27"/>
  <c r="GG353" i="27"/>
  <c r="GS85" i="27"/>
  <c r="GM306" i="27"/>
  <c r="FC161" i="27"/>
  <c r="EK20" i="27"/>
  <c r="CI180" i="27"/>
  <c r="EE290" i="27"/>
  <c r="GG132" i="27"/>
  <c r="EE22" i="27"/>
  <c r="FC258" i="27"/>
  <c r="EW339" i="27"/>
  <c r="GS202" i="27"/>
  <c r="GM148" i="27"/>
  <c r="CI82" i="27"/>
  <c r="DG72" i="27"/>
  <c r="GM277" i="27"/>
  <c r="GS232" i="27"/>
  <c r="GG104" i="27"/>
  <c r="CI304" i="27"/>
  <c r="CU294" i="27"/>
  <c r="EQ44" i="27"/>
  <c r="DA226" i="27"/>
  <c r="CO213" i="27"/>
  <c r="GG98" i="27"/>
  <c r="GG226" i="27"/>
  <c r="CU105" i="27"/>
  <c r="CI105" i="27"/>
  <c r="FC110" i="27"/>
  <c r="GM65" i="27"/>
  <c r="CI99" i="27"/>
  <c r="DA41" i="27"/>
  <c r="CU33" i="27"/>
  <c r="CU270" i="27"/>
  <c r="DG167" i="27"/>
  <c r="GS22" i="27"/>
  <c r="DA355" i="27"/>
  <c r="FC94" i="27"/>
  <c r="DG151" i="27"/>
  <c r="FC231" i="27"/>
  <c r="CI212" i="27"/>
  <c r="GA70" i="27"/>
  <c r="GS345" i="27"/>
  <c r="EK361" i="27"/>
  <c r="CU261" i="27"/>
  <c r="GM43" i="27"/>
  <c r="FC233" i="27"/>
  <c r="CI310" i="27"/>
  <c r="GY334" i="27"/>
  <c r="DA210" i="27"/>
  <c r="GS100" i="27"/>
  <c r="EE306" i="27"/>
  <c r="CU66" i="27"/>
  <c r="DA252" i="27"/>
  <c r="EE237" i="27"/>
  <c r="CO174" i="27"/>
  <c r="EK88" i="27"/>
  <c r="GY342" i="27"/>
  <c r="EQ12" i="27"/>
  <c r="EQ316" i="27"/>
  <c r="DG305" i="27"/>
  <c r="EQ140" i="27"/>
  <c r="CU152" i="27"/>
  <c r="DA211" i="27"/>
  <c r="EQ255" i="27"/>
  <c r="EQ199" i="27"/>
  <c r="CO143" i="27"/>
  <c r="EQ246" i="27"/>
  <c r="GA201" i="27"/>
  <c r="FC124" i="27"/>
  <c r="GM248" i="27"/>
  <c r="CI252" i="27"/>
  <c r="CU186" i="27"/>
  <c r="GM11" i="27"/>
  <c r="GM256" i="27"/>
  <c r="EK56" i="27"/>
  <c r="GA41" i="27"/>
  <c r="GA299" i="27"/>
  <c r="FC306" i="27"/>
  <c r="GY227" i="27"/>
  <c r="CO199" i="27"/>
  <c r="EK305" i="27"/>
  <c r="DA275" i="27"/>
  <c r="GA202" i="27"/>
  <c r="CO22" i="27"/>
  <c r="GM219" i="27"/>
  <c r="GG151" i="27"/>
  <c r="EK228" i="27"/>
  <c r="GY267" i="27"/>
  <c r="DG22" i="27"/>
  <c r="EK103" i="27"/>
  <c r="GG257" i="27"/>
  <c r="EK16" i="27"/>
  <c r="GA28" i="27"/>
  <c r="DG287" i="27"/>
  <c r="GS54" i="27"/>
  <c r="GM243" i="27"/>
  <c r="FC194" i="27"/>
  <c r="GG162" i="27"/>
  <c r="GA8" i="27"/>
  <c r="GS121" i="27"/>
  <c r="DA161" i="27"/>
  <c r="FC27" i="27"/>
  <c r="FC226" i="27"/>
  <c r="CU363" i="27"/>
  <c r="GM29" i="27"/>
  <c r="GS170" i="27"/>
  <c r="GA195" i="27"/>
  <c r="FC265" i="27"/>
  <c r="FC255" i="27"/>
  <c r="GM117" i="27"/>
  <c r="CI342" i="27"/>
  <c r="GY146" i="27"/>
  <c r="GS48" i="27"/>
  <c r="FC67" i="27"/>
  <c r="GS24" i="27"/>
  <c r="GG224" i="27"/>
  <c r="GA47" i="27"/>
  <c r="CI327" i="27"/>
  <c r="DG97" i="27"/>
  <c r="GS282" i="27"/>
  <c r="CU165" i="27"/>
  <c r="DG281" i="27"/>
  <c r="CU10" i="27"/>
  <c r="GA348" i="27"/>
  <c r="CU82" i="27"/>
  <c r="GG83" i="27"/>
  <c r="CI91" i="27"/>
  <c r="DG245" i="27"/>
  <c r="EE102" i="27"/>
  <c r="GG330" i="27"/>
  <c r="EQ326" i="27"/>
  <c r="EW106" i="27"/>
  <c r="GA176" i="27"/>
  <c r="CO316" i="27"/>
  <c r="GA187" i="27"/>
  <c r="GA149" i="27"/>
  <c r="EW166" i="27"/>
  <c r="CO91" i="27"/>
  <c r="CI125" i="27"/>
  <c r="EE71" i="27"/>
  <c r="GY64" i="27"/>
  <c r="GY153" i="27"/>
  <c r="FC121" i="27"/>
  <c r="CU190" i="27"/>
  <c r="GS266" i="27"/>
  <c r="EW58" i="27"/>
  <c r="EE44" i="27"/>
  <c r="EE133" i="27"/>
  <c r="CU361" i="27"/>
  <c r="EK186" i="27"/>
  <c r="GM365" i="27"/>
  <c r="GS136" i="27"/>
  <c r="DG141" i="27"/>
  <c r="EW215" i="27"/>
  <c r="CI305" i="27"/>
  <c r="DA34" i="27"/>
  <c r="GM318" i="27"/>
  <c r="EE242" i="27"/>
  <c r="DA303" i="27"/>
  <c r="FC173" i="27"/>
  <c r="DG169" i="27"/>
  <c r="GS209" i="27"/>
  <c r="DG63" i="27"/>
  <c r="DA195" i="27"/>
  <c r="EW182" i="27"/>
  <c r="GS182" i="27"/>
  <c r="CU156" i="27"/>
  <c r="GM156" i="27"/>
  <c r="CI233" i="27"/>
  <c r="GA233" i="27"/>
  <c r="GS324" i="27"/>
  <c r="EW324" i="27"/>
  <c r="DG198" i="27"/>
  <c r="CU231" i="27"/>
  <c r="GM231" i="27"/>
  <c r="FC86" i="27"/>
  <c r="DG86" i="27"/>
  <c r="EW154" i="27"/>
  <c r="DA154" i="27"/>
  <c r="GM206" i="27"/>
  <c r="EQ206" i="27"/>
  <c r="GY136" i="27"/>
  <c r="DG136" i="27"/>
  <c r="DA131" i="27"/>
  <c r="EE326" i="27"/>
  <c r="DA190" i="27"/>
  <c r="EW190" i="27"/>
  <c r="GY206" i="27"/>
  <c r="FC206" i="27"/>
  <c r="DG206" i="27"/>
  <c r="CU56" i="27"/>
  <c r="EQ56" i="27"/>
  <c r="CO27" i="27"/>
  <c r="GG27" i="27"/>
  <c r="EK27" i="27"/>
  <c r="DA288" i="27"/>
  <c r="EW288" i="27"/>
  <c r="GS288" i="27"/>
  <c r="GM347" i="27"/>
  <c r="EQ347" i="27"/>
  <c r="CU347" i="27"/>
  <c r="CO337" i="27"/>
  <c r="EK337" i="27"/>
  <c r="GG337" i="27"/>
  <c r="GS50" i="27"/>
  <c r="DA50" i="27"/>
  <c r="EW50" i="27"/>
  <c r="DG338" i="27"/>
  <c r="FC338" i="27"/>
  <c r="GY338" i="27"/>
  <c r="FC228" i="27"/>
  <c r="GY228" i="27"/>
  <c r="GS185" i="27"/>
  <c r="DA185" i="27"/>
  <c r="FC262" i="27"/>
  <c r="DG262" i="27"/>
  <c r="GY120" i="27"/>
  <c r="DG120" i="27"/>
  <c r="FC120" i="27"/>
  <c r="EE96" i="27"/>
  <c r="GA96" i="27"/>
  <c r="CI96" i="27"/>
  <c r="CO188" i="27"/>
  <c r="EQ7" i="27"/>
  <c r="CU7" i="27"/>
  <c r="GM7" i="27"/>
  <c r="EQ267" i="27"/>
  <c r="GM267" i="27"/>
  <c r="CU267" i="27"/>
  <c r="EK38" i="27"/>
  <c r="GG38" i="27"/>
  <c r="CI216" i="27"/>
  <c r="GA87" i="27"/>
  <c r="CI87" i="27"/>
  <c r="CI68" i="27"/>
  <c r="GS350" i="27"/>
  <c r="DA272" i="27"/>
  <c r="CU37" i="27"/>
  <c r="CI123" i="27"/>
  <c r="EQ325" i="27"/>
  <c r="GG244" i="27"/>
  <c r="EQ152" i="27"/>
  <c r="GA203" i="27"/>
  <c r="GY159" i="27"/>
  <c r="GY36" i="27"/>
  <c r="DG36" i="27"/>
  <c r="EQ334" i="27"/>
  <c r="GM334" i="27"/>
  <c r="EW229" i="27"/>
  <c r="GS229" i="27"/>
  <c r="EQ287" i="27"/>
  <c r="FC318" i="27"/>
  <c r="DG318" i="27"/>
  <c r="GY318" i="27"/>
  <c r="DG326" i="27"/>
  <c r="FC326" i="27"/>
  <c r="GM115" i="27"/>
  <c r="CU115" i="27"/>
  <c r="EQ115" i="27"/>
  <c r="GM339" i="27"/>
  <c r="EQ339" i="27"/>
  <c r="CU339" i="27"/>
  <c r="GG285" i="27"/>
  <c r="EK285" i="27"/>
  <c r="CO285" i="27"/>
  <c r="GM201" i="27"/>
  <c r="CU201" i="27"/>
  <c r="CI54" i="27"/>
  <c r="GA54" i="27"/>
  <c r="EE54" i="27"/>
  <c r="EE328" i="27"/>
  <c r="GA328" i="27"/>
  <c r="CI328" i="27"/>
  <c r="EW139" i="27"/>
  <c r="GS139" i="27"/>
  <c r="DA139" i="27"/>
  <c r="CO103" i="27"/>
  <c r="DA87" i="27"/>
  <c r="CU12" i="27"/>
  <c r="DG228" i="27"/>
  <c r="DG360" i="27"/>
  <c r="GY360" i="27"/>
  <c r="DA330" i="27"/>
  <c r="GS330" i="27"/>
  <c r="CU288" i="27"/>
  <c r="EQ288" i="27"/>
  <c r="GY143" i="27"/>
  <c r="FC143" i="27"/>
  <c r="EE292" i="27"/>
  <c r="GA292" i="27"/>
  <c r="GY330" i="27"/>
  <c r="FC330" i="27"/>
  <c r="GA66" i="27"/>
  <c r="DG116" i="27"/>
  <c r="GY116" i="27"/>
  <c r="EE76" i="27"/>
  <c r="CI76" i="27"/>
  <c r="GA76" i="27"/>
  <c r="DA204" i="27"/>
  <c r="GS204" i="27"/>
  <c r="CO269" i="27"/>
  <c r="GG57" i="27"/>
  <c r="CO57" i="27"/>
  <c r="EK57" i="27"/>
  <c r="EE204" i="27"/>
  <c r="GA204" i="27"/>
  <c r="CI122" i="27"/>
  <c r="DA320" i="27"/>
  <c r="GS320" i="27"/>
  <c r="EW320" i="27"/>
  <c r="EQ241" i="27"/>
  <c r="CU241" i="27"/>
  <c r="DG227" i="27"/>
  <c r="FC227" i="27"/>
  <c r="GG14" i="27"/>
  <c r="CO14" i="27"/>
  <c r="EK14" i="27"/>
  <c r="EK293" i="27"/>
  <c r="CO293" i="27"/>
  <c r="GG293" i="27"/>
  <c r="GS337" i="27"/>
  <c r="EW337" i="27"/>
  <c r="DA337" i="27"/>
  <c r="GM168" i="27"/>
  <c r="EQ168" i="27"/>
  <c r="CU168" i="27"/>
  <c r="EW47" i="27"/>
  <c r="GS47" i="27"/>
  <c r="GY326" i="27"/>
  <c r="GG22" i="27"/>
  <c r="DA216" i="27"/>
  <c r="EW204" i="27"/>
  <c r="EK312" i="27"/>
  <c r="CO312" i="27"/>
  <c r="DA57" i="27"/>
  <c r="EW57" i="27"/>
  <c r="EE137" i="27"/>
  <c r="CI137" i="27"/>
  <c r="CO309" i="27"/>
  <c r="EK309" i="27"/>
  <c r="FC168" i="27"/>
  <c r="GY168" i="27"/>
  <c r="GA142" i="27"/>
  <c r="EE142" i="27"/>
  <c r="EW315" i="27"/>
  <c r="DG34" i="27"/>
  <c r="GY34" i="27"/>
  <c r="CU121" i="27"/>
  <c r="GM121" i="27"/>
  <c r="EQ121" i="27"/>
  <c r="GS99" i="27"/>
  <c r="EW99" i="27"/>
  <c r="DA99" i="27"/>
  <c r="GY154" i="27"/>
  <c r="DG154" i="27"/>
  <c r="GG12" i="27"/>
  <c r="EK12" i="27"/>
  <c r="EQ332" i="27"/>
  <c r="CU332" i="27"/>
  <c r="GM332" i="27"/>
  <c r="GA358" i="27"/>
  <c r="EE358" i="27"/>
  <c r="CI358" i="27"/>
  <c r="GA227" i="27"/>
  <c r="EE227" i="27"/>
  <c r="CI227" i="27"/>
  <c r="EQ46" i="27"/>
  <c r="GM46" i="27"/>
  <c r="GA153" i="27"/>
  <c r="CI153" i="27"/>
  <c r="CU171" i="27"/>
  <c r="EQ171" i="27"/>
  <c r="GM171" i="27"/>
  <c r="GG56" i="27"/>
  <c r="CO56" i="27"/>
  <c r="EQ360" i="27"/>
  <c r="CU360" i="27"/>
  <c r="FC112" i="27"/>
  <c r="GY112" i="27"/>
  <c r="DG112" i="27"/>
  <c r="CO95" i="27"/>
  <c r="EK95" i="27"/>
  <c r="GG95" i="27"/>
  <c r="EQ120" i="27"/>
  <c r="GG349" i="27"/>
  <c r="EK349" i="27"/>
  <c r="CO349" i="27"/>
  <c r="EW185" i="27"/>
  <c r="GM52" i="27"/>
  <c r="CU52" i="27"/>
  <c r="CU303" i="27"/>
  <c r="EQ303" i="27"/>
  <c r="EE104" i="27"/>
  <c r="GA104" i="27"/>
  <c r="GA337" i="27"/>
  <c r="CI295" i="27"/>
  <c r="EQ66" i="27"/>
  <c r="GM66" i="27"/>
  <c r="EE88" i="27"/>
  <c r="GA88" i="27"/>
  <c r="CI88" i="27"/>
  <c r="CO126" i="27"/>
  <c r="GG126" i="27"/>
  <c r="EK126" i="27"/>
  <c r="DA77" i="27"/>
  <c r="GS77" i="27"/>
  <c r="CU129" i="27"/>
  <c r="GY38" i="27"/>
  <c r="DG38" i="27"/>
  <c r="FC38" i="27"/>
  <c r="GG194" i="27"/>
  <c r="EK194" i="27"/>
  <c r="CO194" i="27"/>
  <c r="CU87" i="27"/>
  <c r="EQ87" i="27"/>
  <c r="DG85" i="27"/>
  <c r="GY85" i="27"/>
  <c r="FC85" i="27"/>
  <c r="EQ138" i="27"/>
  <c r="GM138" i="27"/>
  <c r="GS112" i="27"/>
  <c r="EW112" i="27"/>
  <c r="DA112" i="27"/>
  <c r="GS218" i="27"/>
  <c r="EW218" i="27"/>
  <c r="CI112" i="27"/>
  <c r="GA112" i="27"/>
  <c r="CO341" i="27"/>
  <c r="EK341" i="27"/>
  <c r="GG341" i="27"/>
  <c r="GY29" i="27"/>
  <c r="DG29" i="27"/>
  <c r="FC29" i="27"/>
  <c r="GA333" i="27"/>
  <c r="EE333" i="27"/>
  <c r="CI333" i="27"/>
  <c r="GA252" i="27"/>
  <c r="EQ353" i="27"/>
  <c r="CU353" i="27"/>
  <c r="FC295" i="27"/>
  <c r="GY295" i="27"/>
  <c r="EK249" i="27"/>
  <c r="GG249" i="27"/>
  <c r="EE221" i="27"/>
  <c r="CI221" i="27"/>
  <c r="CI285" i="27"/>
  <c r="CO6" i="27"/>
  <c r="EK6" i="27"/>
  <c r="CI356" i="27"/>
  <c r="GG174" i="27"/>
  <c r="EK174" i="27"/>
  <c r="FC188" i="27"/>
  <c r="GY188" i="27"/>
  <c r="EQ38" i="27"/>
  <c r="GM38" i="27"/>
  <c r="CU38" i="27"/>
  <c r="DG221" i="27"/>
  <c r="GY221" i="27"/>
  <c r="FC221" i="27"/>
  <c r="GG143" i="27"/>
  <c r="EK143" i="27"/>
  <c r="GG53" i="27"/>
  <c r="EK53" i="27"/>
  <c r="CO53" i="27"/>
  <c r="EK219" i="27"/>
  <c r="CO219" i="27"/>
  <c r="GY247" i="27"/>
  <c r="FC247" i="27"/>
  <c r="DG247" i="27"/>
  <c r="CO129" i="27"/>
  <c r="GG129" i="27"/>
  <c r="EK129" i="27"/>
  <c r="EQ104" i="27"/>
  <c r="CU104" i="27"/>
  <c r="GM104" i="27"/>
  <c r="GS313" i="27"/>
  <c r="DA313" i="27"/>
  <c r="EW313" i="27"/>
  <c r="GS163" i="27"/>
  <c r="EW163" i="27"/>
  <c r="DA163" i="27"/>
  <c r="CI217" i="27"/>
  <c r="EE217" i="27"/>
  <c r="GA217" i="27"/>
  <c r="GG69" i="27"/>
  <c r="EK69" i="27"/>
  <c r="CO69" i="27"/>
  <c r="CI300" i="27"/>
  <c r="GA300" i="27"/>
  <c r="GY244" i="27"/>
  <c r="DG244" i="27"/>
  <c r="FC244" i="27"/>
  <c r="GG109" i="27"/>
  <c r="DA218" i="27"/>
  <c r="GM360" i="27"/>
  <c r="FC305" i="27"/>
  <c r="FC116" i="27"/>
  <c r="FC154" i="27"/>
  <c r="GS230" i="27"/>
  <c r="EW230" i="27"/>
  <c r="GG108" i="27"/>
  <c r="EK108" i="27"/>
  <c r="GY248" i="27"/>
  <c r="FC248" i="27"/>
  <c r="GY347" i="27"/>
  <c r="DG347" i="27"/>
  <c r="EE354" i="27"/>
  <c r="GM358" i="27"/>
  <c r="CI298" i="27"/>
  <c r="EE298" i="27"/>
  <c r="GA298" i="27"/>
  <c r="EW150" i="27"/>
  <c r="GS150" i="27"/>
  <c r="DA150" i="27"/>
  <c r="EK304" i="27"/>
  <c r="GG304" i="27"/>
  <c r="CO304" i="27"/>
  <c r="EE201" i="27"/>
  <c r="CI201" i="27"/>
  <c r="EE26" i="27"/>
  <c r="GA26" i="27"/>
  <c r="CI26" i="27"/>
  <c r="GA50" i="27"/>
  <c r="EE50" i="27"/>
  <c r="CI50" i="27"/>
  <c r="CO365" i="27"/>
  <c r="GG365" i="27"/>
  <c r="EK365" i="27"/>
  <c r="GY28" i="27"/>
  <c r="DG28" i="27"/>
  <c r="FC28" i="27"/>
  <c r="DA141" i="27"/>
  <c r="EW141" i="27"/>
  <c r="GS342" i="27"/>
  <c r="DA342" i="27"/>
  <c r="GA124" i="27"/>
  <c r="EE124" i="27"/>
  <c r="CI124" i="27"/>
  <c r="GM20" i="27"/>
  <c r="CU20" i="27"/>
  <c r="EQ20" i="27"/>
  <c r="EQ108" i="27"/>
  <c r="GM108" i="27"/>
  <c r="CU108" i="27"/>
  <c r="GY10" i="27"/>
  <c r="FC10" i="27"/>
  <c r="DG10" i="27"/>
  <c r="EQ274" i="27"/>
  <c r="CU274" i="27"/>
  <c r="GM274" i="27"/>
  <c r="FC219" i="27"/>
  <c r="DG219" i="27"/>
  <c r="CU214" i="27"/>
  <c r="GM214" i="27"/>
  <c r="EQ214" i="27"/>
  <c r="EW71" i="27"/>
  <c r="GS190" i="27"/>
  <c r="DG342" i="27"/>
  <c r="CI204" i="27"/>
  <c r="EQ186" i="27"/>
  <c r="CO142" i="27"/>
  <c r="GG142" i="27"/>
  <c r="GY293" i="27"/>
  <c r="FC293" i="27"/>
  <c r="GM125" i="27"/>
  <c r="EQ125" i="27"/>
  <c r="CU125" i="27"/>
  <c r="DA208" i="27"/>
  <c r="EK162" i="27"/>
  <c r="EK91" i="27"/>
  <c r="EW266" i="27"/>
  <c r="EQ190" i="27"/>
  <c r="GY287" i="27"/>
  <c r="GY121" i="27"/>
  <c r="DG67" i="27"/>
  <c r="DG255" i="27"/>
  <c r="EW161" i="27"/>
  <c r="EE176" i="27"/>
  <c r="EQ243" i="27"/>
  <c r="DA48" i="27"/>
  <c r="EK244" i="27"/>
  <c r="DG146" i="27"/>
  <c r="EE47" i="27"/>
  <c r="GY281" i="27"/>
  <c r="EW170" i="27"/>
  <c r="FC245" i="27"/>
  <c r="EE348" i="27"/>
  <c r="EE135" i="27"/>
  <c r="GY51" i="27"/>
  <c r="GA210" i="27"/>
  <c r="GG72" i="27"/>
  <c r="CO72" i="27"/>
  <c r="GY208" i="27"/>
  <c r="GA13" i="27"/>
  <c r="CI13" i="27"/>
  <c r="GS183" i="27"/>
  <c r="DA183" i="27"/>
  <c r="EW183" i="27"/>
  <c r="GS279" i="27"/>
  <c r="EW279" i="27"/>
  <c r="GM18" i="27"/>
  <c r="CU18" i="27"/>
  <c r="EQ18" i="27"/>
  <c r="CI220" i="27"/>
  <c r="GA220" i="27"/>
  <c r="GS178" i="27"/>
  <c r="EW178" i="27"/>
  <c r="DA178" i="27"/>
  <c r="EW55" i="27"/>
  <c r="DA55" i="27"/>
  <c r="EK205" i="27"/>
  <c r="GG205" i="27"/>
  <c r="CO205" i="27"/>
  <c r="GM17" i="27"/>
  <c r="EQ17" i="27"/>
  <c r="EE156" i="27"/>
  <c r="GA156" i="27"/>
  <c r="CI156" i="27"/>
  <c r="CI164" i="27"/>
  <c r="EE164" i="27"/>
  <c r="GS220" i="27"/>
  <c r="DA220" i="27"/>
  <c r="EW220" i="27"/>
  <c r="DG264" i="27"/>
  <c r="FC264" i="27"/>
  <c r="GS272" i="27"/>
  <c r="GS106" i="27"/>
  <c r="EE91" i="27"/>
  <c r="EQ165" i="27"/>
  <c r="DG27" i="27"/>
  <c r="DG226" i="27"/>
  <c r="FC141" i="27"/>
  <c r="GA71" i="27"/>
  <c r="GM152" i="27"/>
  <c r="CI149" i="27"/>
  <c r="CI8" i="27"/>
  <c r="EK330" i="27"/>
  <c r="DA121" i="27"/>
  <c r="EW34" i="27"/>
  <c r="GS166" i="27"/>
  <c r="GM326" i="27"/>
  <c r="EW24" i="27"/>
  <c r="EE68" i="27"/>
  <c r="GA342" i="27"/>
  <c r="GY194" i="27"/>
  <c r="CI242" i="27"/>
  <c r="GG186" i="27"/>
  <c r="GM361" i="27"/>
  <c r="DA54" i="27"/>
  <c r="GA125" i="27"/>
  <c r="EK142" i="27"/>
  <c r="CU79" i="27"/>
  <c r="GM79" i="27"/>
  <c r="EQ79" i="27"/>
  <c r="EE45" i="27"/>
  <c r="CI45" i="27"/>
  <c r="GA45" i="27"/>
  <c r="CO9" i="27"/>
  <c r="GG9" i="27"/>
  <c r="EK9" i="27"/>
  <c r="GA102" i="27"/>
  <c r="CI102" i="27"/>
  <c r="GA91" i="27"/>
  <c r="GY226" i="27"/>
  <c r="EE342" i="27"/>
  <c r="EE125" i="27"/>
  <c r="FC97" i="27"/>
  <c r="GY27" i="27"/>
  <c r="CI71" i="27"/>
  <c r="EE8" i="27"/>
  <c r="CO330" i="27"/>
  <c r="EW121" i="27"/>
  <c r="GS34" i="27"/>
  <c r="DA166" i="27"/>
  <c r="DA24" i="27"/>
  <c r="GS215" i="27"/>
  <c r="EW54" i="27"/>
  <c r="GY63" i="27"/>
  <c r="GM10" i="27"/>
  <c r="EE220" i="27"/>
  <c r="DA136" i="27"/>
  <c r="GA172" i="27"/>
  <c r="EE172" i="27"/>
  <c r="CI172" i="27"/>
  <c r="CI178" i="27"/>
  <c r="EE178" i="27"/>
  <c r="FC33" i="27"/>
  <c r="DG33" i="27"/>
  <c r="GY33" i="27"/>
  <c r="EE92" i="27"/>
  <c r="CI92" i="27"/>
  <c r="GA92" i="27"/>
  <c r="GY97" i="27"/>
  <c r="EE123" i="27"/>
  <c r="EQ82" i="27"/>
  <c r="DG153" i="27"/>
  <c r="EK224" i="27"/>
  <c r="DG159" i="27"/>
  <c r="FC64" i="27"/>
  <c r="EQ10" i="27"/>
  <c r="DG293" i="27"/>
  <c r="CU29" i="27"/>
  <c r="GA178" i="27"/>
  <c r="EW136" i="27"/>
  <c r="GY249" i="27"/>
  <c r="FC249" i="27"/>
  <c r="DG249" i="27"/>
  <c r="DA266" i="27"/>
  <c r="FC287" i="27"/>
  <c r="FC153" i="27"/>
  <c r="CO224" i="27"/>
  <c r="FC281" i="27"/>
  <c r="DG64" i="27"/>
  <c r="GY265" i="27"/>
  <c r="GS55" i="27"/>
  <c r="EQ29" i="27"/>
  <c r="CI133" i="27"/>
  <c r="EW280" i="27"/>
  <c r="DA113" i="27"/>
  <c r="EW113" i="27"/>
  <c r="GS113" i="27"/>
  <c r="EK263" i="27"/>
  <c r="CO263" i="27"/>
  <c r="GG263" i="27"/>
  <c r="EQ254" i="27"/>
  <c r="EK23" i="27"/>
  <c r="CO23" i="27"/>
  <c r="GG23" i="27"/>
  <c r="CI308" i="27"/>
  <c r="GA308" i="27"/>
  <c r="GM82" i="27"/>
  <c r="CU365" i="27"/>
  <c r="GM190" i="27"/>
  <c r="FC159" i="27"/>
  <c r="DG121" i="27"/>
  <c r="GS161" i="27"/>
  <c r="DG265" i="27"/>
  <c r="CO83" i="27"/>
  <c r="EW209" i="27"/>
  <c r="CI344" i="27"/>
  <c r="GS275" i="27"/>
  <c r="GM315" i="27"/>
  <c r="GS336" i="27"/>
  <c r="GS39" i="27"/>
  <c r="GA160" i="27"/>
  <c r="GS134" i="27"/>
  <c r="EE41" i="27"/>
  <c r="GA218" i="27"/>
  <c r="GA237" i="27"/>
  <c r="CO282" i="27"/>
  <c r="EQ153" i="27"/>
  <c r="DA360" i="27"/>
  <c r="GG238" i="27"/>
  <c r="CI117" i="27"/>
  <c r="GS359" i="27"/>
  <c r="EE114" i="27"/>
  <c r="EE230" i="27"/>
  <c r="EW211" i="27"/>
  <c r="GS159" i="27"/>
  <c r="FC69" i="27"/>
  <c r="CO300" i="27"/>
  <c r="EK49" i="27"/>
  <c r="EK119" i="27"/>
  <c r="GM335" i="27"/>
  <c r="EE271" i="27"/>
  <c r="GG243" i="27"/>
  <c r="EW348" i="27"/>
  <c r="EK240" i="27"/>
  <c r="GS115" i="27"/>
  <c r="CU236" i="27"/>
  <c r="GG88" i="27"/>
  <c r="CU248" i="27"/>
  <c r="GG15" i="27"/>
  <c r="CO65" i="27"/>
  <c r="EW25" i="27"/>
  <c r="CU114" i="27"/>
  <c r="EK130" i="27"/>
  <c r="GS69" i="27"/>
  <c r="DA58" i="27"/>
  <c r="DG299" i="27"/>
  <c r="FC26" i="27"/>
  <c r="CO118" i="27"/>
  <c r="GG210" i="27"/>
  <c r="EW249" i="27"/>
  <c r="GA312" i="27"/>
  <c r="AS5" i="23"/>
  <c r="BV7" i="23" s="1"/>
  <c r="EQ324" i="27"/>
  <c r="EE202" i="27"/>
  <c r="CO343" i="27"/>
  <c r="GG75" i="27"/>
  <c r="GY332" i="27"/>
  <c r="CU331" i="27"/>
  <c r="FC169" i="27"/>
  <c r="EK61" i="27"/>
  <c r="GS353" i="27"/>
  <c r="EQ76" i="27"/>
  <c r="GG360" i="27"/>
  <c r="DG138" i="27"/>
  <c r="CI198" i="27"/>
  <c r="GS78" i="27"/>
  <c r="GM85" i="27"/>
  <c r="GY290" i="27"/>
  <c r="CI30" i="27"/>
  <c r="EW356" i="27"/>
  <c r="EW111" i="27"/>
  <c r="GY255" i="27"/>
  <c r="GY253" i="27"/>
  <c r="GS195" i="27"/>
  <c r="GM137" i="27"/>
  <c r="EK277" i="27"/>
  <c r="DG364" i="27"/>
  <c r="EW35" i="27"/>
  <c r="EW316" i="27"/>
  <c r="FC351" i="27"/>
  <c r="EW208" i="27"/>
  <c r="GA133" i="27"/>
  <c r="GS246" i="27"/>
  <c r="EE252" i="27"/>
  <c r="CU117" i="27"/>
  <c r="GM177" i="27"/>
  <c r="GS344" i="27"/>
  <c r="GG336" i="27"/>
  <c r="CI323" i="27"/>
  <c r="CO260" i="27"/>
  <c r="GS135" i="27"/>
  <c r="GG51" i="27"/>
  <c r="CU207" i="27"/>
  <c r="GM316" i="27"/>
  <c r="DA265" i="27"/>
  <c r="CU158" i="27"/>
  <c r="EK308" i="27"/>
  <c r="GY359" i="27"/>
  <c r="EK200" i="27"/>
  <c r="DA299" i="27"/>
  <c r="CI115" i="27"/>
  <c r="CI85" i="27"/>
  <c r="GY182" i="27"/>
  <c r="GA282" i="27"/>
  <c r="EW114" i="27"/>
  <c r="GG267" i="27"/>
  <c r="CO281" i="27"/>
  <c r="DG183" i="27"/>
  <c r="EE28" i="27"/>
  <c r="CU341" i="27"/>
  <c r="EE36" i="27"/>
  <c r="EW303" i="27"/>
  <c r="EK316" i="27"/>
  <c r="CO364" i="27"/>
  <c r="FC312" i="27"/>
  <c r="CU17" i="27"/>
  <c r="EW342" i="27"/>
  <c r="EW282" i="27"/>
  <c r="DA74" i="27"/>
  <c r="CU199" i="27"/>
  <c r="CU197" i="27"/>
  <c r="EK24" i="27"/>
  <c r="FC302" i="27"/>
  <c r="GG199" i="27"/>
  <c r="CO228" i="27"/>
  <c r="EE308" i="27"/>
  <c r="EE359" i="27"/>
  <c r="CU246" i="27"/>
  <c r="CO257" i="27"/>
  <c r="EE149" i="27"/>
  <c r="FC196" i="27"/>
  <c r="CI271" i="27"/>
  <c r="GM200" i="27"/>
  <c r="GA230" i="27"/>
  <c r="CO86" i="27"/>
  <c r="GG131" i="27"/>
  <c r="GS25" i="27"/>
  <c r="CI237" i="27"/>
  <c r="DG51" i="27"/>
  <c r="EK72" i="27"/>
  <c r="DA89" i="27"/>
  <c r="EE312" i="27"/>
  <c r="CI202" i="27"/>
  <c r="EW239" i="27"/>
  <c r="EE108" i="27"/>
  <c r="CO15" i="27"/>
  <c r="GY169" i="27"/>
  <c r="CO248" i="27"/>
  <c r="EE160" i="27"/>
  <c r="EQ28" i="27"/>
  <c r="FC46" i="27"/>
  <c r="GA117" i="27"/>
  <c r="GY20" i="27"/>
  <c r="CO49" i="27"/>
  <c r="EK246" i="27"/>
  <c r="EE179" i="27"/>
  <c r="GM295" i="27"/>
  <c r="EW349" i="27"/>
  <c r="DA349" i="27"/>
  <c r="EK282" i="27"/>
  <c r="GY299" i="27"/>
  <c r="CU238" i="27"/>
  <c r="GS352" i="27"/>
  <c r="CO340" i="27"/>
  <c r="EW107" i="27"/>
  <c r="CU359" i="27"/>
  <c r="EK114" i="27"/>
  <c r="GY289" i="27"/>
  <c r="EK238" i="27"/>
  <c r="CO245" i="27"/>
  <c r="GY341" i="27"/>
  <c r="DG214" i="27"/>
  <c r="GA46" i="27"/>
  <c r="FC253" i="27"/>
  <c r="CU271" i="27"/>
  <c r="CU126" i="27"/>
  <c r="GG115" i="27"/>
  <c r="EK239" i="27"/>
  <c r="DA280" i="27"/>
  <c r="GM289" i="27"/>
  <c r="DA248" i="27"/>
  <c r="CU335" i="27"/>
  <c r="GA25" i="27"/>
  <c r="EW32" i="27"/>
  <c r="GS19" i="27"/>
  <c r="GG352" i="27"/>
  <c r="GG214" i="27"/>
  <c r="DG210" i="27"/>
  <c r="CU312" i="27"/>
  <c r="CI324" i="27"/>
  <c r="EW343" i="27"/>
  <c r="EK332" i="27"/>
  <c r="DA169" i="27"/>
  <c r="EK353" i="27"/>
  <c r="EW360" i="27"/>
  <c r="DG78" i="27"/>
  <c r="EW85" i="27"/>
  <c r="GA196" i="27"/>
  <c r="CO25" i="27"/>
  <c r="GG111" i="27"/>
  <c r="EK253" i="27"/>
  <c r="GS137" i="27"/>
  <c r="EK275" i="27"/>
  <c r="FC340" i="27"/>
  <c r="EK84" i="27"/>
  <c r="FC35" i="27"/>
  <c r="EQ51" i="27"/>
  <c r="DA158" i="27"/>
  <c r="GY259" i="27"/>
  <c r="GM98" i="27"/>
  <c r="EW81" i="27"/>
  <c r="GM100" i="27"/>
  <c r="DG126" i="27"/>
  <c r="GG30" i="27"/>
  <c r="EK99" i="27"/>
  <c r="CU309" i="27"/>
  <c r="EQ81" i="27"/>
  <c r="GM58" i="27"/>
  <c r="CO132" i="27"/>
  <c r="GA22" i="27"/>
  <c r="EQ25" i="27"/>
  <c r="CI337" i="27"/>
  <c r="DG325" i="27"/>
  <c r="GS315" i="27"/>
  <c r="EE143" i="27"/>
  <c r="GS339" i="27"/>
  <c r="EQ74" i="27"/>
  <c r="GM325" i="27"/>
  <c r="CU67" i="27"/>
  <c r="EE40" i="27"/>
  <c r="GY213" i="27"/>
  <c r="GA131" i="27"/>
  <c r="EQ148" i="27"/>
  <c r="GA82" i="27"/>
  <c r="FC208" i="27"/>
  <c r="GS322" i="27"/>
  <c r="GY72" i="27"/>
  <c r="EW223" i="27"/>
  <c r="EW232" i="27"/>
  <c r="EK104" i="27"/>
  <c r="GS105" i="27"/>
  <c r="CU44" i="27"/>
  <c r="GS262" i="27"/>
  <c r="DG252" i="27"/>
  <c r="CU253" i="27"/>
  <c r="FC80" i="27"/>
  <c r="GS226" i="27"/>
  <c r="DA193" i="27"/>
  <c r="CU80" i="27"/>
  <c r="GG213" i="27"/>
  <c r="DA261" i="27"/>
  <c r="CO98" i="27"/>
  <c r="GG77" i="27"/>
  <c r="CO226" i="27"/>
  <c r="CO87" i="27"/>
  <c r="GG259" i="27"/>
  <c r="EQ151" i="27"/>
  <c r="EQ105" i="27"/>
  <c r="EE150" i="27"/>
  <c r="EE241" i="27"/>
  <c r="GM153" i="27"/>
  <c r="FC331" i="27"/>
  <c r="CU109" i="27"/>
  <c r="CO240" i="27"/>
  <c r="DG296" i="27"/>
  <c r="DA237" i="27"/>
  <c r="GM245" i="27"/>
  <c r="CO101" i="27"/>
  <c r="GY110" i="27"/>
  <c r="EQ65" i="27"/>
  <c r="GA99" i="27"/>
  <c r="GS41" i="27"/>
  <c r="FC250" i="27"/>
  <c r="EW128" i="27"/>
  <c r="DG310" i="27"/>
  <c r="CU107" i="27"/>
  <c r="GA77" i="27"/>
  <c r="GS67" i="27"/>
  <c r="FC274" i="27"/>
  <c r="GS27" i="27"/>
  <c r="EK183" i="27"/>
  <c r="DG205" i="27"/>
  <c r="GY178" i="27"/>
  <c r="DA200" i="27"/>
  <c r="GG196" i="27"/>
  <c r="DA347" i="27"/>
  <c r="FC292" i="27"/>
  <c r="GG119" i="27"/>
  <c r="GA352" i="27"/>
  <c r="GY198" i="27"/>
  <c r="GM354" i="27"/>
  <c r="EE203" i="27"/>
  <c r="CO222" i="27"/>
  <c r="GA139" i="27"/>
  <c r="EQ132" i="27"/>
  <c r="EW147" i="27"/>
  <c r="EW22" i="27"/>
  <c r="DG139" i="27"/>
  <c r="CI354" i="27"/>
  <c r="GS62" i="27"/>
  <c r="GG150" i="27"/>
  <c r="GY47" i="27"/>
  <c r="CO147" i="27"/>
  <c r="FC151" i="27"/>
  <c r="EQ129" i="27"/>
  <c r="EK50" i="27"/>
  <c r="GS247" i="27"/>
  <c r="EK297" i="27"/>
  <c r="EQ91" i="27"/>
  <c r="EE266" i="27"/>
  <c r="FC52" i="27"/>
  <c r="EE122" i="27"/>
  <c r="GY12" i="27"/>
  <c r="EE212" i="27"/>
  <c r="GS53" i="27"/>
  <c r="EW235" i="27"/>
  <c r="EW159" i="27"/>
  <c r="CO361" i="27"/>
  <c r="EK242" i="27"/>
  <c r="CU43" i="27"/>
  <c r="FC149" i="27"/>
  <c r="GS291" i="27"/>
  <c r="GY233" i="27"/>
  <c r="CI351" i="27"/>
  <c r="GA310" i="27"/>
  <c r="CU120" i="27"/>
  <c r="CU19" i="27"/>
  <c r="DG190" i="27"/>
  <c r="GG188" i="27"/>
  <c r="EQ358" i="27"/>
  <c r="CU287" i="27"/>
  <c r="FC8" i="27"/>
  <c r="FC50" i="27"/>
  <c r="CI163" i="27"/>
  <c r="GS241" i="27"/>
  <c r="EW201" i="27"/>
  <c r="CU193" i="27"/>
  <c r="DG82" i="27"/>
  <c r="CO233" i="27"/>
  <c r="GY243" i="27"/>
  <c r="EW109" i="27"/>
  <c r="EW100" i="27"/>
  <c r="EE349" i="27"/>
  <c r="GY32" i="27"/>
  <c r="GA57" i="27"/>
  <c r="EE52" i="27"/>
  <c r="EW275" i="27"/>
  <c r="GS214" i="27"/>
  <c r="CO32" i="27"/>
  <c r="GG325" i="27"/>
  <c r="GG223" i="27"/>
  <c r="EK243" i="27"/>
  <c r="CU295" i="27"/>
  <c r="GS356" i="27"/>
  <c r="DG363" i="27"/>
  <c r="DG24" i="27"/>
  <c r="EE218" i="27"/>
  <c r="GY138" i="27"/>
  <c r="GY53" i="27"/>
  <c r="GM114" i="27"/>
  <c r="GG299" i="27"/>
  <c r="EQ200" i="27"/>
  <c r="CI230" i="27"/>
  <c r="EK86" i="27"/>
  <c r="GS16" i="27"/>
  <c r="DA111" i="27"/>
  <c r="EW304" i="27"/>
  <c r="FC51" i="27"/>
  <c r="DA239" i="27"/>
  <c r="CI108" i="27"/>
  <c r="DG290" i="27"/>
  <c r="EK15" i="27"/>
  <c r="GG248" i="27"/>
  <c r="GM28" i="27"/>
  <c r="GY46" i="27"/>
  <c r="EE117" i="27"/>
  <c r="EK306" i="27"/>
  <c r="CO246" i="27"/>
  <c r="EQ278" i="27"/>
  <c r="EW103" i="27"/>
  <c r="EE245" i="27"/>
  <c r="CI52" i="27"/>
  <c r="GA84" i="27"/>
  <c r="EQ137" i="27"/>
  <c r="FC24" i="27"/>
  <c r="GG32" i="27"/>
  <c r="CO325" i="27"/>
  <c r="EE210" i="27"/>
  <c r="DA356" i="27"/>
  <c r="GY363" i="27"/>
  <c r="CI218" i="27"/>
  <c r="GG182" i="27"/>
  <c r="GS103" i="27"/>
  <c r="FC138" i="27"/>
  <c r="GS361" i="27"/>
  <c r="GG206" i="27"/>
  <c r="CO198" i="27"/>
  <c r="DA353" i="27"/>
  <c r="CI10" i="27"/>
  <c r="DA39" i="27"/>
  <c r="GS111" i="27"/>
  <c r="DA304" i="27"/>
  <c r="EK164" i="27"/>
  <c r="GY69" i="27"/>
  <c r="GG45" i="27"/>
  <c r="FC290" i="27"/>
  <c r="EQ311" i="27"/>
  <c r="GA256" i="27"/>
  <c r="CO133" i="27"/>
  <c r="CO306" i="27"/>
  <c r="GM278" i="27"/>
  <c r="GG282" i="27"/>
  <c r="EQ144" i="27"/>
  <c r="GY364" i="27"/>
  <c r="GM236" i="27"/>
  <c r="EQ93" i="27"/>
  <c r="EQ307" i="27"/>
  <c r="GG49" i="27"/>
  <c r="CI114" i="27"/>
  <c r="DA273" i="27"/>
  <c r="GG362" i="27"/>
  <c r="DG278" i="27"/>
  <c r="CO223" i="27"/>
  <c r="EK210" i="27"/>
  <c r="CO317" i="27"/>
  <c r="CO130" i="27"/>
  <c r="EK182" i="27"/>
  <c r="CO61" i="27"/>
  <c r="GG185" i="27"/>
  <c r="CI309" i="27"/>
  <c r="EW361" i="27"/>
  <c r="CO206" i="27"/>
  <c r="GS268" i="27"/>
  <c r="EK198" i="27"/>
  <c r="EW353" i="27"/>
  <c r="EW116" i="27"/>
  <c r="GA10" i="27"/>
  <c r="DA249" i="27"/>
  <c r="EW39" i="27"/>
  <c r="EW354" i="27"/>
  <c r="EE81" i="27"/>
  <c r="EE90" i="27"/>
  <c r="CO164" i="27"/>
  <c r="DG69" i="27"/>
  <c r="EW340" i="27"/>
  <c r="CI33" i="27"/>
  <c r="GM324" i="27"/>
  <c r="EK45" i="27"/>
  <c r="CU251" i="27"/>
  <c r="GS348" i="27"/>
  <c r="GM311" i="27"/>
  <c r="EE256" i="27"/>
  <c r="GS301" i="27"/>
  <c r="GG133" i="27"/>
  <c r="CO96" i="27"/>
  <c r="GG277" i="27"/>
  <c r="DG60" i="27"/>
  <c r="GM101" i="27"/>
  <c r="EK105" i="27"/>
  <c r="GG137" i="27"/>
  <c r="EW69" i="27"/>
  <c r="FC98" i="27"/>
  <c r="GY30" i="27"/>
  <c r="GA74" i="27"/>
  <c r="GG202" i="27"/>
  <c r="GG97" i="27"/>
  <c r="GS233" i="27"/>
  <c r="GG65" i="27"/>
  <c r="CI27" i="27"/>
  <c r="EQ315" i="27"/>
  <c r="GA258" i="27"/>
  <c r="CO210" i="27"/>
  <c r="EK118" i="27"/>
  <c r="GG317" i="27"/>
  <c r="GG130" i="27"/>
  <c r="CO360" i="27"/>
  <c r="CI138" i="27"/>
  <c r="GG61" i="27"/>
  <c r="CO185" i="27"/>
  <c r="EE309" i="27"/>
  <c r="CU64" i="27"/>
  <c r="DA268" i="27"/>
  <c r="DA116" i="27"/>
  <c r="EQ228" i="27"/>
  <c r="GS249" i="27"/>
  <c r="FC332" i="27"/>
  <c r="GS354" i="27"/>
  <c r="CI81" i="27"/>
  <c r="CI90" i="27"/>
  <c r="GA30" i="27"/>
  <c r="GS340" i="27"/>
  <c r="GM331" i="27"/>
  <c r="EE33" i="27"/>
  <c r="CI136" i="27"/>
  <c r="CU324" i="27"/>
  <c r="GM76" i="27"/>
  <c r="EQ251" i="27"/>
  <c r="DA348" i="27"/>
  <c r="GS225" i="27"/>
  <c r="GA199" i="27"/>
  <c r="EW301" i="27"/>
  <c r="DG175" i="27"/>
  <c r="EW115" i="27"/>
  <c r="CI258" i="27"/>
  <c r="EK97" i="27"/>
  <c r="EW233" i="27"/>
  <c r="CU302" i="27"/>
  <c r="EK65" i="27"/>
  <c r="EQ161" i="27"/>
  <c r="GG118" i="27"/>
  <c r="GG291" i="27"/>
  <c r="GS58" i="27"/>
  <c r="EW195" i="27"/>
  <c r="FC288" i="27"/>
  <c r="DA171" i="27"/>
  <c r="GM228" i="27"/>
  <c r="DG332" i="27"/>
  <c r="GY101" i="27"/>
  <c r="EE30" i="27"/>
  <c r="EQ331" i="27"/>
  <c r="EE136" i="27"/>
  <c r="DG324" i="27"/>
  <c r="CU76" i="27"/>
  <c r="GA270" i="27"/>
  <c r="CI94" i="27"/>
  <c r="EQ248" i="27"/>
  <c r="EW225" i="27"/>
  <c r="CO88" i="27"/>
  <c r="EE13" i="27"/>
  <c r="GS211" i="27"/>
  <c r="DA308" i="27"/>
  <c r="EK360" i="27"/>
  <c r="EQ189" i="27"/>
  <c r="CU154" i="27"/>
  <c r="GY276" i="27"/>
  <c r="EE32" i="27"/>
  <c r="EK189" i="27"/>
  <c r="GY26" i="27"/>
  <c r="FC345" i="27"/>
  <c r="EQ85" i="27"/>
  <c r="EE243" i="27"/>
  <c r="EE323" i="27"/>
  <c r="EE277" i="27"/>
  <c r="GY278" i="27"/>
  <c r="CI277" i="27"/>
  <c r="EE301" i="27"/>
  <c r="CI294" i="27"/>
  <c r="GG280" i="27"/>
  <c r="EK336" i="27"/>
  <c r="DA92" i="27"/>
  <c r="GM191" i="27"/>
  <c r="EW96" i="27"/>
  <c r="DA93" i="27"/>
  <c r="CI135" i="27"/>
  <c r="DG88" i="27"/>
  <c r="CI316" i="27"/>
  <c r="CO336" i="27"/>
  <c r="GA114" i="27"/>
  <c r="CO180" i="27"/>
  <c r="EK362" i="27"/>
  <c r="FC133" i="27"/>
  <c r="FC257" i="27"/>
  <c r="GY179" i="27"/>
  <c r="DG89" i="27"/>
  <c r="GM93" i="27"/>
  <c r="EK180" i="27"/>
  <c r="CO362" i="27"/>
  <c r="CI144" i="27"/>
  <c r="GY257" i="27"/>
  <c r="DA344" i="27"/>
  <c r="DA359" i="27"/>
  <c r="GA323" i="27"/>
  <c r="DA28" i="27"/>
  <c r="EE199" i="27"/>
  <c r="GA144" i="27"/>
  <c r="CI130" i="27"/>
  <c r="CI278" i="27"/>
  <c r="CU60" i="27"/>
  <c r="EQ234" i="27"/>
  <c r="CI234" i="27"/>
  <c r="EW59" i="27"/>
  <c r="EQ306" i="27"/>
  <c r="DA15" i="27"/>
  <c r="CO20" i="27"/>
  <c r="GY277" i="27"/>
  <c r="EQ345" i="27"/>
  <c r="EK350" i="27"/>
  <c r="FC269" i="27"/>
  <c r="GA290" i="27"/>
  <c r="EW202" i="27"/>
  <c r="GA239" i="27"/>
  <c r="CO76" i="27"/>
  <c r="GG160" i="27"/>
  <c r="CU277" i="27"/>
  <c r="EE304" i="27"/>
  <c r="EE229" i="27"/>
  <c r="GM294" i="27"/>
  <c r="GA355" i="27"/>
  <c r="DA78" i="27"/>
  <c r="EK283" i="27"/>
  <c r="GS49" i="27"/>
  <c r="EK269" i="27"/>
  <c r="GA105" i="27"/>
  <c r="EK300" i="27"/>
  <c r="EE43" i="27"/>
  <c r="EE86" i="27"/>
  <c r="FC140" i="27"/>
  <c r="GA285" i="27"/>
  <c r="GM33" i="27"/>
  <c r="EQ270" i="27"/>
  <c r="GA303" i="27"/>
  <c r="CO75" i="27"/>
  <c r="GG260" i="27"/>
  <c r="EE148" i="27"/>
  <c r="GA169" i="27"/>
  <c r="EW131" i="27"/>
  <c r="EE192" i="27"/>
  <c r="EQ70" i="27"/>
  <c r="EQ298" i="27"/>
  <c r="GS90" i="27"/>
  <c r="GY167" i="27"/>
  <c r="FC229" i="27"/>
  <c r="GS355" i="27"/>
  <c r="DA86" i="27"/>
  <c r="GS156" i="27"/>
  <c r="GY94" i="27"/>
  <c r="GG270" i="27"/>
  <c r="DG13" i="27"/>
  <c r="GA170" i="27"/>
  <c r="CO148" i="27"/>
  <c r="GG335" i="27"/>
  <c r="GM16" i="27"/>
  <c r="DA125" i="27"/>
  <c r="EE166" i="27"/>
  <c r="EW350" i="27"/>
  <c r="EE321" i="27"/>
  <c r="CI70" i="27"/>
  <c r="DA345" i="27"/>
  <c r="GM261" i="27"/>
  <c r="FC280" i="27"/>
  <c r="EK278" i="27"/>
  <c r="EE216" i="27"/>
  <c r="EE344" i="27"/>
  <c r="GY235" i="27"/>
  <c r="EQ59" i="27"/>
  <c r="CI191" i="27"/>
  <c r="EK235" i="27"/>
  <c r="DA336" i="27"/>
  <c r="EE295" i="27"/>
  <c r="GY16" i="27"/>
  <c r="FC117" i="27"/>
  <c r="EW134" i="27"/>
  <c r="DG334" i="27"/>
  <c r="GS75" i="27"/>
  <c r="GM205" i="27"/>
  <c r="GM30" i="27"/>
  <c r="EK215" i="27"/>
  <c r="CI306" i="27"/>
  <c r="CO154" i="27"/>
  <c r="GS43" i="27"/>
  <c r="CU264" i="27"/>
  <c r="GY355" i="27"/>
  <c r="CO339" i="27"/>
  <c r="GA163" i="27"/>
  <c r="FC214" i="27"/>
  <c r="EK233" i="27"/>
  <c r="EK109" i="27"/>
  <c r="DG275" i="27"/>
  <c r="EE82" i="27"/>
  <c r="GS32" i="27"/>
  <c r="EK226" i="27"/>
  <c r="EK320" i="27"/>
  <c r="DA315" i="27"/>
  <c r="GA221" i="27"/>
  <c r="EE105" i="27"/>
  <c r="CI365" i="27"/>
  <c r="DG110" i="27"/>
  <c r="CU325" i="27"/>
  <c r="DG341" i="27"/>
  <c r="CO297" i="27"/>
  <c r="GY149" i="27"/>
  <c r="DG100" i="27"/>
  <c r="CI66" i="27"/>
  <c r="DA232" i="27"/>
  <c r="DA159" i="27"/>
  <c r="EE196" i="27"/>
  <c r="DG253" i="27"/>
  <c r="EQ231" i="27"/>
  <c r="EK213" i="27"/>
  <c r="FC34" i="27"/>
  <c r="CU176" i="27"/>
  <c r="FC243" i="27"/>
  <c r="GA166" i="27"/>
  <c r="GA295" i="27"/>
  <c r="DG295" i="27"/>
  <c r="EE356" i="27"/>
  <c r="DA22" i="27"/>
  <c r="CI22" i="27"/>
  <c r="DA182" i="27"/>
  <c r="GY147" i="27"/>
  <c r="EK333" i="27"/>
  <c r="GS360" i="27"/>
  <c r="CI150" i="27"/>
  <c r="CU351" i="27"/>
  <c r="DG50" i="27"/>
  <c r="EW216" i="27"/>
  <c r="GA216" i="27"/>
  <c r="CU314" i="27"/>
  <c r="CO104" i="27"/>
  <c r="CU204" i="27"/>
  <c r="GG215" i="27"/>
  <c r="FC43" i="27"/>
  <c r="GA58" i="27"/>
  <c r="EQ58" i="27"/>
  <c r="GG361" i="27"/>
  <c r="CO54" i="27"/>
  <c r="GM44" i="27"/>
  <c r="DG143" i="27"/>
  <c r="EK245" i="27"/>
  <c r="CI241" i="27"/>
  <c r="CU206" i="27"/>
  <c r="GG268" i="27"/>
  <c r="FC299" i="27"/>
  <c r="GM288" i="27"/>
  <c r="CI292" i="27"/>
  <c r="GG6" i="27"/>
  <c r="CO353" i="27"/>
  <c r="GM271" i="27"/>
  <c r="GA212" i="27"/>
  <c r="GY151" i="27"/>
  <c r="GS200" i="27"/>
  <c r="DA230" i="27"/>
  <c r="CU148" i="27"/>
  <c r="GA354" i="27"/>
  <c r="EQ167" i="27"/>
  <c r="GY86" i="27"/>
  <c r="DA262" i="27"/>
  <c r="GG99" i="27"/>
  <c r="DA90" i="27"/>
  <c r="EK25" i="27"/>
  <c r="DA134" i="27"/>
  <c r="CU254" i="27"/>
  <c r="EE70" i="27"/>
  <c r="EQ335" i="27"/>
  <c r="EK98" i="27"/>
  <c r="EQ261" i="27"/>
  <c r="GM298" i="27"/>
  <c r="EE285" i="27"/>
  <c r="CU334" i="27"/>
  <c r="DA339" i="27"/>
  <c r="EK75" i="27"/>
  <c r="FC72" i="27"/>
  <c r="EQ205" i="27"/>
  <c r="CO84" i="27"/>
  <c r="GG340" i="27"/>
  <c r="DG208" i="27"/>
  <c r="EK220" i="27"/>
  <c r="CI142" i="27"/>
  <c r="EQ126" i="27"/>
  <c r="EW78" i="27"/>
  <c r="EQ33" i="27"/>
  <c r="EQ312" i="27"/>
  <c r="DA202" i="27"/>
  <c r="FC136" i="27"/>
  <c r="GG239" i="27"/>
  <c r="DA324" i="27"/>
  <c r="GA137" i="27"/>
  <c r="CU45" i="27"/>
  <c r="DG168" i="27"/>
  <c r="CI290" i="27"/>
  <c r="EK270" i="27"/>
  <c r="DG94" i="27"/>
  <c r="GM303" i="27"/>
  <c r="GS248" i="27"/>
  <c r="DG248" i="27"/>
  <c r="GA135" i="27"/>
  <c r="DA85" i="27"/>
  <c r="DA350" i="27"/>
  <c r="GS154" i="27"/>
  <c r="EQ156" i="27"/>
  <c r="CU191" i="27"/>
  <c r="GG300" i="27"/>
  <c r="FC36" i="27"/>
  <c r="EQ277" i="27"/>
  <c r="GG20" i="27"/>
  <c r="EQ294" i="27"/>
  <c r="CU306" i="27"/>
  <c r="EW336" i="27"/>
  <c r="GA344" i="27"/>
  <c r="EK260" i="27"/>
  <c r="CO238" i="27"/>
  <c r="DA49" i="27"/>
  <c r="DA102" i="27"/>
  <c r="DA343" i="27"/>
  <c r="EW247" i="27"/>
  <c r="GY140" i="27"/>
  <c r="EQ52" i="27"/>
  <c r="EE233" i="27"/>
  <c r="DG233" i="27"/>
  <c r="CU65" i="27"/>
  <c r="GY214" i="27"/>
  <c r="GM105" i="27"/>
  <c r="EW105" i="27"/>
  <c r="EQ258" i="27"/>
  <c r="DA100" i="27"/>
  <c r="GS223" i="27"/>
  <c r="GM287" i="27"/>
  <c r="CU153" i="27"/>
  <c r="GY8" i="27"/>
  <c r="CI159" i="27"/>
  <c r="EW330" i="27"/>
  <c r="CU358" i="27"/>
  <c r="DG161" i="27"/>
  <c r="CI203" i="27"/>
  <c r="FC213" i="27"/>
  <c r="EE118" i="27"/>
  <c r="CO115" i="27"/>
  <c r="FC347" i="27"/>
  <c r="GS235" i="27"/>
  <c r="FC235" i="27"/>
  <c r="FC360" i="27"/>
  <c r="EW87" i="27"/>
  <c r="GM349" i="27"/>
  <c r="GG309" i="27"/>
  <c r="CI104" i="27"/>
  <c r="GS57" i="27"/>
  <c r="CI361" i="27"/>
  <c r="EK188" i="27"/>
  <c r="GA143" i="27"/>
  <c r="EW241" i="27"/>
  <c r="FC198" i="27"/>
  <c r="EK132" i="27"/>
  <c r="CU132" i="27"/>
  <c r="GY292" i="27"/>
  <c r="GM353" i="27"/>
  <c r="EE171" i="27"/>
  <c r="GA122" i="27"/>
  <c r="GY139" i="27"/>
  <c r="EE139" i="27"/>
  <c r="GG148" i="27"/>
  <c r="FC167" i="27"/>
  <c r="GA86" i="27"/>
  <c r="EE99" i="27"/>
  <c r="GS125" i="27"/>
  <c r="GS131" i="27"/>
  <c r="CO119" i="27"/>
  <c r="EE337" i="27"/>
  <c r="GA304" i="27"/>
  <c r="CU304" i="27"/>
  <c r="CU98" i="27"/>
  <c r="EW345" i="27"/>
  <c r="GM83" i="27"/>
  <c r="EW75" i="27"/>
  <c r="CU178" i="27"/>
  <c r="GA209" i="27"/>
  <c r="EW355" i="27"/>
  <c r="CI355" i="27"/>
  <c r="DA229" i="27"/>
  <c r="CO79" i="27"/>
  <c r="CU234" i="27"/>
  <c r="GG76" i="27"/>
  <c r="GM270" i="27"/>
  <c r="EE169" i="27"/>
  <c r="GG269" i="27"/>
  <c r="EW156" i="27"/>
  <c r="GY88" i="27"/>
  <c r="CI46" i="27"/>
  <c r="GY117" i="27"/>
  <c r="DA306" i="27"/>
  <c r="GS280" i="27"/>
  <c r="DA247" i="27"/>
  <c r="EE61" i="27"/>
  <c r="GY13" i="27"/>
  <c r="EW158" i="27"/>
  <c r="GG275" i="27"/>
  <c r="FC315" i="27"/>
  <c r="EW41" i="27"/>
  <c r="CI182" i="27"/>
  <c r="FC277" i="27"/>
  <c r="DG273" i="27"/>
  <c r="EE360" i="27"/>
  <c r="FC230" i="27"/>
  <c r="GG233" i="27"/>
  <c r="EK222" i="27"/>
  <c r="GY262" i="27"/>
  <c r="DA105" i="27"/>
  <c r="CI266" i="27"/>
  <c r="CO77" i="27"/>
  <c r="CU258" i="27"/>
  <c r="DA223" i="27"/>
  <c r="DG8" i="27"/>
  <c r="GA159" i="27"/>
  <c r="EK196" i="27"/>
  <c r="GY161" i="27"/>
  <c r="GG253" i="27"/>
  <c r="DG213" i="27"/>
  <c r="GA118" i="27"/>
  <c r="EK115" i="27"/>
  <c r="GA40" i="27"/>
  <c r="DG235" i="27"/>
  <c r="EQ328" i="27"/>
  <c r="EW38" i="27"/>
  <c r="EK147" i="27"/>
  <c r="GA351" i="27"/>
  <c r="GG87" i="27"/>
  <c r="CU349" i="27"/>
  <c r="EE170" i="27"/>
  <c r="GG222" i="27"/>
  <c r="FC12" i="27"/>
  <c r="GA361" i="27"/>
  <c r="CI143" i="27"/>
  <c r="CU245" i="27"/>
  <c r="DA241" i="27"/>
  <c r="EE181" i="27"/>
  <c r="GY310" i="27"/>
  <c r="GM132" i="27"/>
  <c r="DG292" i="27"/>
  <c r="CO259" i="27"/>
  <c r="GA171" i="27"/>
  <c r="GM151" i="27"/>
  <c r="GM122" i="27"/>
  <c r="FC139" i="27"/>
  <c r="GA200" i="27"/>
  <c r="EK148" i="27"/>
  <c r="CI86" i="27"/>
  <c r="GS86" i="27"/>
  <c r="EK352" i="27"/>
  <c r="EW125" i="27"/>
  <c r="EQ111" i="27"/>
  <c r="GM304" i="27"/>
  <c r="CO335" i="27"/>
  <c r="EQ98" i="27"/>
  <c r="GS261" i="27"/>
  <c r="CU83" i="27"/>
  <c r="DA75" i="27"/>
  <c r="GM178" i="27"/>
  <c r="GY205" i="27"/>
  <c r="CO30" i="27"/>
  <c r="CI209" i="27"/>
  <c r="EE355" i="27"/>
  <c r="GA229" i="27"/>
  <c r="GY331" i="27"/>
  <c r="GG79" i="27"/>
  <c r="GG33" i="27"/>
  <c r="GM234" i="27"/>
  <c r="EK76" i="27"/>
  <c r="EW137" i="27"/>
  <c r="EW15" i="27"/>
  <c r="CI169" i="27"/>
  <c r="EE303" i="27"/>
  <c r="CI113" i="27"/>
  <c r="CO350" i="27"/>
  <c r="DA156" i="27"/>
  <c r="DA96" i="27"/>
  <c r="FC88" i="27"/>
  <c r="EE191" i="27"/>
  <c r="DA59" i="27"/>
  <c r="DG117" i="27"/>
  <c r="GS306" i="27"/>
  <c r="CI25" i="27"/>
  <c r="GY78" i="27"/>
  <c r="EE180" i="27"/>
  <c r="EW200" i="27"/>
  <c r="DG231" i="27"/>
  <c r="CU140" i="27"/>
  <c r="EW291" i="27"/>
  <c r="CU30" i="27"/>
  <c r="CI239" i="27"/>
  <c r="EE131" i="27"/>
  <c r="GY22" i="27"/>
  <c r="GM12" i="27"/>
  <c r="EW27" i="27"/>
  <c r="CU100" i="27"/>
  <c r="CO196" i="27"/>
  <c r="GM67" i="27"/>
  <c r="CO253" i="27"/>
  <c r="GY210" i="27"/>
  <c r="EW347" i="27"/>
  <c r="CI40" i="27"/>
  <c r="GY252" i="27"/>
  <c r="CO235" i="27"/>
  <c r="CU328" i="27"/>
  <c r="GS147" i="27"/>
  <c r="EE351" i="27"/>
  <c r="EK87" i="27"/>
  <c r="CO50" i="27"/>
  <c r="GS193" i="27"/>
  <c r="EE291" i="27"/>
  <c r="CI170" i="27"/>
  <c r="GA185" i="27"/>
  <c r="DG12" i="27"/>
  <c r="EQ309" i="27"/>
  <c r="GG242" i="27"/>
  <c r="EW319" i="27"/>
  <c r="EQ245" i="27"/>
  <c r="CO195" i="27"/>
  <c r="CI181" i="27"/>
  <c r="FC310" i="27"/>
  <c r="EQ80" i="27"/>
  <c r="EK259" i="27"/>
  <c r="FC259" i="27"/>
  <c r="FC14" i="27"/>
  <c r="CU151" i="27"/>
  <c r="EQ122" i="27"/>
  <c r="CI200" i="27"/>
  <c r="EW86" i="27"/>
  <c r="CI131" i="27"/>
  <c r="EQ16" i="27"/>
  <c r="CU111" i="27"/>
  <c r="GA192" i="27"/>
  <c r="EK335" i="27"/>
  <c r="GM51" i="27"/>
  <c r="EW261" i="27"/>
  <c r="GS298" i="27"/>
  <c r="GM345" i="27"/>
  <c r="DA164" i="27"/>
  <c r="FC178" i="27"/>
  <c r="FC205" i="27"/>
  <c r="DA322" i="27"/>
  <c r="EK30" i="27"/>
  <c r="CI229" i="27"/>
  <c r="GY229" i="27"/>
  <c r="GG183" i="27"/>
  <c r="DG331" i="27"/>
  <c r="CO33" i="27"/>
  <c r="GS343" i="27"/>
  <c r="DA137" i="27"/>
  <c r="DG270" i="27"/>
  <c r="GS15" i="27"/>
  <c r="FC348" i="27"/>
  <c r="CI303" i="27"/>
  <c r="GA113" i="27"/>
  <c r="DG269" i="27"/>
  <c r="GG350" i="27"/>
  <c r="GS96" i="27"/>
  <c r="GS88" i="27"/>
  <c r="GA191" i="27"/>
  <c r="EQ300" i="27"/>
  <c r="GG28" i="27"/>
  <c r="CO117" i="27"/>
  <c r="GM359" i="27"/>
  <c r="CU68" i="27"/>
  <c r="DG140" i="27"/>
  <c r="EW210" i="27"/>
  <c r="FC311" i="27"/>
  <c r="GS72" i="27"/>
  <c r="GM364" i="27"/>
  <c r="DG236" i="27"/>
  <c r="EE184" i="27"/>
  <c r="CI9" i="27"/>
  <c r="GM266" i="27"/>
  <c r="CU39" i="27"/>
  <c r="GS52" i="27"/>
  <c r="CU134" i="27"/>
  <c r="FC218" i="27"/>
  <c r="EQ180" i="27"/>
  <c r="CU179" i="27"/>
  <c r="EW252" i="27"/>
  <c r="GA260" i="27"/>
  <c r="EQ283" i="27"/>
  <c r="DG258" i="27"/>
  <c r="GA321" i="27"/>
  <c r="EK46" i="27"/>
  <c r="EQ92" i="27"/>
  <c r="FC325" i="27"/>
  <c r="EW67" i="27"/>
  <c r="DG280" i="27"/>
  <c r="FC256" i="27"/>
  <c r="EQ256" i="27"/>
  <c r="EW19" i="27"/>
  <c r="GM297" i="27"/>
  <c r="GY335" i="27"/>
  <c r="GY264" i="27"/>
  <c r="GG251" i="27"/>
  <c r="CO357" i="27"/>
  <c r="GS357" i="27"/>
  <c r="CO11" i="27"/>
  <c r="GG154" i="27"/>
  <c r="DG217" i="27"/>
  <c r="CU268" i="27"/>
  <c r="GY35" i="27"/>
  <c r="GM131" i="27"/>
  <c r="FC296" i="27"/>
  <c r="GY90" i="27"/>
  <c r="EK111" i="27"/>
  <c r="CU91" i="27"/>
  <c r="DA215" i="27"/>
  <c r="EK77" i="27"/>
  <c r="GM91" i="27"/>
  <c r="DA109" i="27"/>
  <c r="DA27" i="27"/>
  <c r="FC82" i="27"/>
  <c r="DG32" i="27"/>
  <c r="GA266" i="27"/>
  <c r="FC190" i="27"/>
  <c r="EQ100" i="27"/>
  <c r="CI223" i="27"/>
  <c r="EQ67" i="27"/>
  <c r="EQ253" i="27"/>
  <c r="GS347" i="27"/>
  <c r="GG235" i="27"/>
  <c r="CU235" i="27"/>
  <c r="EE130" i="27"/>
  <c r="DA147" i="27"/>
  <c r="DA128" i="27"/>
  <c r="CO150" i="27"/>
  <c r="EW138" i="27"/>
  <c r="DA53" i="27"/>
  <c r="CI291" i="27"/>
  <c r="CI185" i="27"/>
  <c r="GM309" i="27"/>
  <c r="CO242" i="27"/>
  <c r="GS319" i="27"/>
  <c r="DG274" i="27"/>
  <c r="CI64" i="27"/>
  <c r="GS201" i="27"/>
  <c r="GG284" i="27"/>
  <c r="CU188" i="27"/>
  <c r="CO44" i="27"/>
  <c r="EK195" i="27"/>
  <c r="DG259" i="27"/>
  <c r="GY14" i="27"/>
  <c r="GA151" i="27"/>
  <c r="GM19" i="27"/>
  <c r="GG332" i="27"/>
  <c r="CI148" i="27"/>
  <c r="GM81" i="27"/>
  <c r="GS107" i="27"/>
  <c r="CI192" i="27"/>
  <c r="CU70" i="27"/>
  <c r="CU51" i="27"/>
  <c r="GS98" i="27"/>
  <c r="EW298" i="27"/>
  <c r="EE55" i="27"/>
  <c r="CU345" i="27"/>
  <c r="DA29" i="27"/>
  <c r="CU74" i="27"/>
  <c r="GA339" i="27"/>
  <c r="EW164" i="27"/>
  <c r="DG178" i="27"/>
  <c r="EW322" i="27"/>
  <c r="DG229" i="27"/>
  <c r="CO183" i="27"/>
  <c r="EW331" i="27"/>
  <c r="GY126" i="27"/>
  <c r="EE239" i="27"/>
  <c r="EE234" i="27"/>
  <c r="GY251" i="27"/>
  <c r="FC270" i="27"/>
  <c r="GS169" i="27"/>
  <c r="DG348" i="27"/>
  <c r="GY269" i="27"/>
  <c r="GM60" i="27"/>
  <c r="CO160" i="27"/>
  <c r="EW88" i="27"/>
  <c r="CU300" i="27"/>
  <c r="CO28" i="27"/>
  <c r="GS93" i="27"/>
  <c r="DG277" i="27"/>
  <c r="CU362" i="27"/>
  <c r="EQ359" i="27"/>
  <c r="DA133" i="27"/>
  <c r="GG40" i="27"/>
  <c r="EK271" i="27"/>
  <c r="GY135" i="27"/>
  <c r="EK177" i="27"/>
  <c r="FC225" i="27"/>
  <c r="DG158" i="27"/>
  <c r="EW93" i="27"/>
  <c r="GS59" i="27"/>
  <c r="GY82" i="27"/>
  <c r="GA223" i="27"/>
  <c r="FC32" i="27"/>
  <c r="CO320" i="27"/>
  <c r="GA365" i="27"/>
  <c r="GA145" i="27"/>
  <c r="GY190" i="27"/>
  <c r="CI77" i="27"/>
  <c r="GY325" i="27"/>
  <c r="FC341" i="27"/>
  <c r="GG297" i="27"/>
  <c r="GY100" i="27"/>
  <c r="CI196" i="27"/>
  <c r="GM253" i="27"/>
  <c r="GM176" i="27"/>
  <c r="DG243" i="27"/>
  <c r="CI166" i="27"/>
  <c r="GM235" i="27"/>
  <c r="DG47" i="27"/>
  <c r="GG333" i="27"/>
  <c r="EK150" i="27"/>
  <c r="DA138" i="27"/>
  <c r="EW53" i="27"/>
  <c r="CI349" i="27"/>
  <c r="GY50" i="27"/>
  <c r="GM314" i="27"/>
  <c r="CO215" i="27"/>
  <c r="GY43" i="27"/>
  <c r="GY274" i="27"/>
  <c r="CU58" i="27"/>
  <c r="GA64" i="27"/>
  <c r="DA201" i="27"/>
  <c r="EK284" i="27"/>
  <c r="GM188" i="27"/>
  <c r="EK54" i="27"/>
  <c r="GG245" i="27"/>
  <c r="CO268" i="27"/>
  <c r="EE116" i="27"/>
  <c r="EQ271" i="27"/>
  <c r="CI151" i="27"/>
  <c r="EQ19" i="27"/>
  <c r="CO332" i="27"/>
  <c r="GA148" i="27"/>
  <c r="CU167" i="27"/>
  <c r="CU81" i="27"/>
  <c r="DG16" i="27"/>
  <c r="EW90" i="27"/>
  <c r="GG25" i="27"/>
  <c r="DA107" i="27"/>
  <c r="EW98" i="27"/>
  <c r="CU298" i="27"/>
  <c r="CI55" i="27"/>
  <c r="EW29" i="27"/>
  <c r="GM74" i="27"/>
  <c r="CI339" i="27"/>
  <c r="CU205" i="27"/>
  <c r="GG84" i="27"/>
  <c r="EK340" i="27"/>
  <c r="GG220" i="27"/>
  <c r="DA331" i="27"/>
  <c r="FC126" i="27"/>
  <c r="GM312" i="27"/>
  <c r="GA234" i="27"/>
  <c r="EQ45" i="27"/>
  <c r="FC251" i="27"/>
  <c r="CO270" i="27"/>
  <c r="EW169" i="27"/>
  <c r="EW248" i="27"/>
  <c r="EQ60" i="27"/>
  <c r="EK160" i="27"/>
  <c r="EQ191" i="27"/>
  <c r="EQ362" i="27"/>
  <c r="GS102" i="27"/>
  <c r="EW49" i="27"/>
  <c r="EW237" i="27"/>
  <c r="GA68" i="27"/>
  <c r="FC252" i="27"/>
  <c r="DA43" i="27"/>
  <c r="FC334" i="27"/>
  <c r="GY52" i="27"/>
  <c r="GY275" i="27"/>
  <c r="EE145" i="27"/>
  <c r="GG41" i="27"/>
  <c r="DA81" i="27"/>
  <c r="GM96" i="27"/>
  <c r="CU59" i="27"/>
  <c r="EK68" i="27"/>
  <c r="DG276" i="27"/>
  <c r="CO207" i="27"/>
  <c r="GM199" i="27"/>
  <c r="GA78" i="27"/>
  <c r="EE197" i="27"/>
  <c r="CI280" i="27"/>
  <c r="GA324" i="27"/>
  <c r="CI20" i="27"/>
  <c r="EE251" i="27"/>
  <c r="CI60" i="27"/>
  <c r="GA269" i="27"/>
  <c r="EE300" i="27"/>
  <c r="FC207" i="27"/>
  <c r="FC278" i="27"/>
  <c r="EE311" i="27"/>
  <c r="EW344" i="27"/>
  <c r="CU144" i="27"/>
  <c r="CU177" i="27"/>
  <c r="CO265" i="27"/>
  <c r="EK207" i="27"/>
  <c r="EE307" i="27"/>
  <c r="DG340" i="27"/>
  <c r="GM107" i="27"/>
  <c r="GY238" i="27"/>
  <c r="GA340" i="27"/>
  <c r="FC175" i="27"/>
  <c r="GY207" i="27"/>
  <c r="EE110" i="27"/>
  <c r="CI107" i="27"/>
  <c r="GG175" i="27"/>
  <c r="EK191" i="27"/>
  <c r="CU157" i="27"/>
  <c r="EW281" i="27"/>
  <c r="DG17" i="27"/>
  <c r="GG70" i="27"/>
  <c r="GG289" i="27"/>
  <c r="DG306" i="27"/>
  <c r="CU313" i="27"/>
  <c r="CU25" i="27"/>
  <c r="CO114" i="27"/>
  <c r="CU89" i="27"/>
  <c r="CU69" i="27"/>
  <c r="GG283" i="27"/>
  <c r="GM15" i="27"/>
  <c r="EW273" i="27"/>
  <c r="CI224" i="27"/>
  <c r="EE299" i="27"/>
  <c r="EQ26" i="27"/>
  <c r="GG279" i="27"/>
  <c r="CO321" i="27"/>
  <c r="CI210" i="27"/>
  <c r="GY81" i="27"/>
  <c r="GS157" i="27"/>
  <c r="GG354" i="27"/>
  <c r="EW257" i="27"/>
  <c r="DG267" i="27"/>
  <c r="GA306" i="27"/>
  <c r="CU316" i="27"/>
  <c r="GG26" i="27"/>
  <c r="GG11" i="27"/>
  <c r="EQ341" i="27"/>
  <c r="EK302" i="27"/>
  <c r="GY174" i="27"/>
  <c r="CO275" i="27"/>
  <c r="DA316" i="27"/>
  <c r="GM341" i="27"/>
  <c r="EQ232" i="27"/>
  <c r="EE224" i="27"/>
  <c r="DA67" i="27"/>
  <c r="GA231" i="27"/>
  <c r="EE115" i="27"/>
  <c r="GM313" i="27"/>
  <c r="CO146" i="27"/>
  <c r="GY296" i="27"/>
  <c r="GY351" i="27"/>
  <c r="EW61" i="27"/>
  <c r="EK170" i="27"/>
  <c r="DA114" i="27"/>
  <c r="GS299" i="27"/>
  <c r="GM26" i="27"/>
  <c r="CO354" i="27"/>
  <c r="EK357" i="27"/>
  <c r="EQ131" i="27"/>
  <c r="CO111" i="27"/>
  <c r="DG98" i="27"/>
  <c r="EK364" i="27"/>
  <c r="EQ75" i="27"/>
  <c r="GG177" i="27"/>
  <c r="GY340" i="27"/>
  <c r="GS208" i="27"/>
  <c r="GY217" i="27"/>
  <c r="CI78" i="27"/>
  <c r="FC89" i="27"/>
  <c r="GM343" i="27"/>
  <c r="FC267" i="27"/>
  <c r="DG239" i="27"/>
  <c r="GS234" i="27"/>
  <c r="CU137" i="27"/>
  <c r="CO137" i="27"/>
  <c r="EK251" i="27"/>
  <c r="EQ264" i="27"/>
  <c r="CO279" i="27"/>
  <c r="GY225" i="27"/>
  <c r="GS311" i="27"/>
  <c r="GG321" i="27"/>
  <c r="FC301" i="27"/>
  <c r="DA46" i="27"/>
  <c r="GS20" i="27"/>
  <c r="GY306" i="27"/>
  <c r="GA280" i="27"/>
  <c r="GY283" i="27"/>
  <c r="GY315" i="27"/>
  <c r="DG230" i="27"/>
  <c r="CI341" i="27"/>
  <c r="EQ107" i="27"/>
  <c r="GG216" i="27"/>
  <c r="GA123" i="27"/>
  <c r="EW224" i="27"/>
  <c r="EK313" i="27"/>
  <c r="GG302" i="27"/>
  <c r="GA115" i="27"/>
  <c r="EQ313" i="27"/>
  <c r="DG351" i="27"/>
  <c r="CU61" i="27"/>
  <c r="EE188" i="27"/>
  <c r="CI299" i="27"/>
  <c r="CU26" i="27"/>
  <c r="DA228" i="27"/>
  <c r="EK70" i="27"/>
  <c r="DA70" i="27"/>
  <c r="GM75" i="27"/>
  <c r="GY89" i="27"/>
  <c r="DG343" i="27"/>
  <c r="CO267" i="27"/>
  <c r="EK137" i="27"/>
  <c r="GA251" i="27"/>
  <c r="GS269" i="27"/>
  <c r="EW95" i="27"/>
  <c r="DG225" i="27"/>
  <c r="GY160" i="27"/>
  <c r="DG301" i="27"/>
  <c r="EE280" i="27"/>
  <c r="FC13" i="27"/>
  <c r="DG283" i="27"/>
  <c r="GY230" i="27"/>
  <c r="GY199" i="27"/>
  <c r="DA13" i="27"/>
  <c r="GY344" i="27"/>
  <c r="DG81" i="27"/>
  <c r="DG93" i="27"/>
  <c r="DG307" i="27"/>
  <c r="DG200" i="27"/>
  <c r="EW278" i="27"/>
  <c r="GY191" i="27"/>
  <c r="DA283" i="27"/>
  <c r="GG345" i="27"/>
  <c r="FC236" i="27"/>
  <c r="EW191" i="27"/>
  <c r="FC359" i="27"/>
  <c r="GG281" i="27"/>
  <c r="CO294" i="27"/>
  <c r="EQ320" i="27"/>
  <c r="GY242" i="27"/>
  <c r="GS158" i="27"/>
  <c r="EQ237" i="27"/>
  <c r="DG35" i="27"/>
  <c r="GM208" i="27"/>
  <c r="EQ169" i="27"/>
  <c r="GS273" i="27"/>
  <c r="CO301" i="27"/>
  <c r="GY280" i="27"/>
  <c r="CU283" i="27"/>
  <c r="EW311" i="27"/>
  <c r="DA157" i="27"/>
  <c r="CI269" i="27"/>
  <c r="FC17" i="27"/>
  <c r="GM118" i="27"/>
  <c r="GA61" i="27"/>
  <c r="GM39" i="27"/>
  <c r="CI74" i="27"/>
  <c r="DA69" i="27"/>
  <c r="EQ364" i="27"/>
  <c r="FC30" i="27"/>
  <c r="EQ89" i="27"/>
  <c r="CO236" i="27"/>
  <c r="EE324" i="27"/>
  <c r="CU15" i="27"/>
  <c r="EK154" i="27"/>
  <c r="CO175" i="27"/>
  <c r="GG344" i="27"/>
  <c r="EW246" i="27"/>
  <c r="GS179" i="27"/>
  <c r="CO283" i="27"/>
  <c r="GA307" i="27"/>
  <c r="EK197" i="27"/>
  <c r="GG276" i="27"/>
  <c r="EQ157" i="27"/>
  <c r="CU296" i="27"/>
  <c r="CU266" i="27"/>
  <c r="DA110" i="27"/>
  <c r="DA281" i="27"/>
  <c r="DA192" i="27"/>
  <c r="DG335" i="27"/>
  <c r="CO289" i="27"/>
  <c r="DA224" i="27"/>
  <c r="EQ118" i="27"/>
  <c r="EK146" i="27"/>
  <c r="FC182" i="27"/>
  <c r="GS281" i="27"/>
  <c r="CI61" i="27"/>
  <c r="EE282" i="27"/>
  <c r="GA245" i="27"/>
  <c r="DA245" i="27"/>
  <c r="EW357" i="27"/>
  <c r="GS192" i="27"/>
  <c r="FC335" i="27"/>
  <c r="EE74" i="27"/>
  <c r="GG364" i="27"/>
  <c r="GM322" i="27"/>
  <c r="CO177" i="27"/>
  <c r="FC217" i="27"/>
  <c r="FC79" i="27"/>
  <c r="GM89" i="27"/>
  <c r="CU343" i="27"/>
  <c r="EK202" i="27"/>
  <c r="FC239" i="27"/>
  <c r="DA234" i="27"/>
  <c r="CO251" i="27"/>
  <c r="EQ15" i="27"/>
  <c r="CI15" i="27"/>
  <c r="FC135" i="27"/>
  <c r="EE269" i="27"/>
  <c r="EK96" i="27"/>
  <c r="FC273" i="27"/>
  <c r="EK321" i="27"/>
  <c r="CU93" i="27"/>
  <c r="GS46" i="27"/>
  <c r="DA246" i="27"/>
  <c r="DG312" i="27"/>
  <c r="GY158" i="27"/>
  <c r="EQ297" i="27"/>
  <c r="EK281" i="27"/>
  <c r="FC158" i="27"/>
  <c r="EW276" i="27"/>
  <c r="CI245" i="27"/>
  <c r="CI231" i="27"/>
  <c r="CI282" i="27"/>
  <c r="EQ134" i="27"/>
  <c r="GA15" i="27"/>
  <c r="DG135" i="27"/>
  <c r="GY323" i="27"/>
  <c r="EK135" i="27"/>
  <c r="FC210" i="27"/>
  <c r="CO278" i="27"/>
  <c r="FC114" i="27"/>
  <c r="GA349" i="27"/>
  <c r="CU102" i="27"/>
  <c r="DA279" i="27"/>
  <c r="GS276" i="27"/>
  <c r="CO276" i="27"/>
  <c r="EK265" i="27"/>
  <c r="EK307" i="27"/>
  <c r="EQ101" i="27"/>
  <c r="EW51" i="27"/>
  <c r="DA236" i="27"/>
  <c r="EQ262" i="27"/>
  <c r="EW236" i="27"/>
  <c r="EW175" i="27"/>
  <c r="CU13" i="27"/>
  <c r="EW307" i="27"/>
  <c r="EK41" i="27"/>
  <c r="EQ225" i="27"/>
  <c r="EQ160" i="27"/>
  <c r="FC191" i="27"/>
  <c r="EW133" i="27"/>
  <c r="FC344" i="27"/>
  <c r="GM238" i="27"/>
  <c r="DA302" i="27"/>
  <c r="GG312" i="27"/>
  <c r="DG199" i="27"/>
  <c r="GY307" i="27"/>
  <c r="GM32" i="27"/>
  <c r="EE189" i="27"/>
  <c r="GS302" i="27"/>
  <c r="CI155" i="27"/>
  <c r="GY200" i="27"/>
  <c r="GA158" i="27"/>
  <c r="GG117" i="27"/>
  <c r="EE155" i="27"/>
  <c r="GY246" i="27"/>
  <c r="EE276" i="27"/>
  <c r="EW52" i="27"/>
  <c r="CU289" i="27"/>
  <c r="DA19" i="27"/>
  <c r="EQ279" i="27"/>
  <c r="GY316" i="27"/>
  <c r="EK140" i="27"/>
  <c r="GY93" i="27"/>
  <c r="CU175" i="27"/>
  <c r="EW283" i="27"/>
  <c r="CO140" i="27"/>
  <c r="DG180" i="27"/>
  <c r="GS13" i="27"/>
  <c r="GG101" i="27"/>
  <c r="DG316" i="27"/>
  <c r="CI208" i="27"/>
  <c r="GY180" i="27"/>
  <c r="EK13" i="27"/>
  <c r="GM276" i="27"/>
  <c r="GY302" i="27"/>
  <c r="GG351" i="27"/>
  <c r="GG189" i="27"/>
  <c r="CU85" i="27"/>
  <c r="CO225" i="27"/>
  <c r="DA160" i="27"/>
  <c r="GM59" i="27"/>
  <c r="EK199" i="27"/>
  <c r="GS307" i="27"/>
  <c r="FC276" i="27"/>
  <c r="GS175" i="27"/>
  <c r="DG144" i="27"/>
  <c r="CU133" i="27"/>
  <c r="EK257" i="27"/>
  <c r="CU336" i="27"/>
  <c r="EK344" i="27"/>
  <c r="GM197" i="27"/>
  <c r="GY345" i="27"/>
  <c r="GG24" i="27"/>
  <c r="EE313" i="27"/>
  <c r="GS81" i="27"/>
  <c r="CU72" i="27"/>
  <c r="EK225" i="27"/>
  <c r="EQ96" i="27"/>
  <c r="EQ323" i="27"/>
  <c r="CI359" i="27"/>
  <c r="FC144" i="27"/>
  <c r="GM246" i="27"/>
  <c r="GM110" i="27"/>
  <c r="FC307" i="27"/>
  <c r="CO271" i="27"/>
  <c r="CO24" i="27"/>
  <c r="EQ72" i="27"/>
  <c r="EW312" i="27"/>
  <c r="CO135" i="27"/>
  <c r="CU96" i="27"/>
  <c r="GA359" i="27"/>
  <c r="EE265" i="27"/>
  <c r="EQ9" i="27"/>
  <c r="GG135" i="27"/>
  <c r="FC157" i="27"/>
  <c r="GG184" i="27"/>
  <c r="DG114" i="27"/>
  <c r="GY114" i="27"/>
  <c r="EQ276" i="27"/>
  <c r="CO184" i="27"/>
  <c r="GG200" i="27"/>
  <c r="GG273" i="27"/>
  <c r="GS101" i="27"/>
  <c r="GG46" i="27"/>
  <c r="CU256" i="27"/>
  <c r="GA134" i="27"/>
  <c r="EE364" i="27"/>
  <c r="CI343" i="27"/>
  <c r="CU276" i="27"/>
  <c r="GG278" i="27"/>
  <c r="DG345" i="27"/>
  <c r="GG52" i="27"/>
  <c r="DA167" i="27"/>
  <c r="GG228" i="27"/>
  <c r="CI134" i="27"/>
  <c r="GA343" i="27"/>
  <c r="GM144" i="27"/>
  <c r="EE352" i="27"/>
  <c r="GY256" i="27"/>
  <c r="DA135" i="27"/>
  <c r="GA51" i="27"/>
  <c r="DA207" i="27"/>
  <c r="GG13" i="27"/>
  <c r="GS197" i="27"/>
  <c r="EW352" i="27"/>
  <c r="DG207" i="27"/>
  <c r="DA276" i="27"/>
  <c r="GM73" i="27"/>
  <c r="GA110" i="27"/>
  <c r="GA207" i="27"/>
  <c r="EW13" i="27"/>
  <c r="GG197" i="27"/>
  <c r="CI197" i="27"/>
  <c r="DA278" i="27"/>
  <c r="GM340" i="27"/>
  <c r="EK175" i="27"/>
  <c r="CO191" i="27"/>
  <c r="GM157" i="27"/>
  <c r="EE49" i="27"/>
  <c r="GS210" i="27"/>
  <c r="DA52" i="27"/>
  <c r="EQ266" i="27"/>
  <c r="GS252" i="27"/>
  <c r="CU24" i="27"/>
  <c r="DG218" i="27"/>
  <c r="EQ351" i="27"/>
  <c r="DG61" i="27"/>
  <c r="EW299" i="27"/>
  <c r="DA26" i="27"/>
  <c r="EE228" i="27"/>
  <c r="CO200" i="27"/>
  <c r="EQ39" i="27"/>
  <c r="CI352" i="27"/>
  <c r="FC81" i="27"/>
  <c r="DA101" i="27"/>
  <c r="EE9" i="27"/>
  <c r="EQ289" i="27"/>
  <c r="FC364" i="27"/>
  <c r="GA177" i="27"/>
  <c r="EK208" i="27"/>
  <c r="GY183" i="27"/>
  <c r="EQ236" i="27"/>
  <c r="CI207" i="27"/>
  <c r="CU225" i="27"/>
  <c r="CU160" i="27"/>
  <c r="CI321" i="27"/>
  <c r="CI28" i="27"/>
  <c r="CI36" i="27"/>
  <c r="DG256" i="27"/>
  <c r="CO93" i="27"/>
  <c r="FC93" i="27"/>
  <c r="GA180" i="27"/>
  <c r="CU180" i="27"/>
  <c r="EW362" i="27"/>
  <c r="CU307" i="27"/>
  <c r="CO157" i="27"/>
  <c r="CO17" i="27"/>
  <c r="EW20" i="27"/>
  <c r="CI276" i="27"/>
  <c r="EQ175" i="27"/>
  <c r="CI175" i="27"/>
  <c r="DG344" i="27"/>
  <c r="CO13" i="27"/>
  <c r="DG246" i="27"/>
  <c r="DG179" i="27"/>
  <c r="EK179" i="27"/>
  <c r="GM283" i="27"/>
  <c r="EE260" i="27"/>
  <c r="CU92" i="27"/>
  <c r="GA197" i="27"/>
  <c r="EE85" i="27"/>
  <c r="CU110" i="27"/>
  <c r="DG353" i="27"/>
  <c r="GA189" i="27"/>
  <c r="CI160" i="27"/>
  <c r="EW157" i="27"/>
  <c r="EE25" i="27"/>
  <c r="EW72" i="27"/>
  <c r="EE177" i="27"/>
  <c r="GM180" i="27"/>
  <c r="GG157" i="27"/>
  <c r="GG17" i="27"/>
  <c r="GA276" i="27"/>
  <c r="CI260" i="27"/>
  <c r="GG307" i="27"/>
  <c r="EQ69" i="27"/>
  <c r="GA9" i="27"/>
  <c r="GM61" i="27"/>
  <c r="GS265" i="27"/>
  <c r="GM134" i="27"/>
  <c r="GM158" i="27"/>
  <c r="CU364" i="27"/>
  <c r="DA72" i="27"/>
  <c r="CU208" i="27"/>
  <c r="GY79" i="27"/>
  <c r="EK267" i="27"/>
  <c r="GG96" i="27"/>
  <c r="DA191" i="27"/>
  <c r="CO277" i="27"/>
  <c r="EK301" i="27"/>
  <c r="GY17" i="27"/>
  <c r="EQ197" i="27"/>
  <c r="GM140" i="27"/>
  <c r="CI51" i="27"/>
  <c r="GY353" i="27"/>
  <c r="CO307" i="27"/>
  <c r="CU32" i="27"/>
  <c r="EK107" i="27"/>
  <c r="CI184" i="27"/>
  <c r="EK214" i="27"/>
  <c r="EQ158" i="27"/>
  <c r="CU237" i="27"/>
  <c r="EK345" i="27"/>
  <c r="EW135" i="27"/>
  <c r="DG323" i="27"/>
  <c r="FC199" i="27"/>
  <c r="GG294" i="27"/>
  <c r="CO51" i="27"/>
  <c r="CI315" i="27"/>
  <c r="CI110" i="27"/>
  <c r="EW130" i="27"/>
  <c r="DG182" i="27"/>
  <c r="GS114" i="27"/>
  <c r="EW245" i="27"/>
  <c r="CO308" i="27"/>
  <c r="EQ177" i="27"/>
  <c r="GY177" i="27"/>
  <c r="EQ340" i="27"/>
  <c r="EE208" i="27"/>
  <c r="FC78" i="27"/>
  <c r="GY236" i="27"/>
  <c r="FC343" i="27"/>
  <c r="GS207" i="27"/>
  <c r="GY60" i="27"/>
  <c r="DG311" i="27"/>
  <c r="CI311" i="27"/>
  <c r="CO273" i="27"/>
  <c r="CI59" i="27"/>
  <c r="CO46" i="27"/>
  <c r="DG359" i="27"/>
  <c r="EW144" i="27"/>
  <c r="GY133" i="27"/>
  <c r="EQ13" i="27"/>
  <c r="EQ179" i="27"/>
  <c r="CO197" i="27"/>
  <c r="GS278" i="27"/>
  <c r="GM68" i="27"/>
  <c r="DG234" i="27"/>
  <c r="CO35" i="27"/>
  <c r="EW193" i="27"/>
  <c r="EE315" i="27"/>
  <c r="GS130" i="27"/>
  <c r="EQ24" i="27"/>
  <c r="GG342" i="27"/>
  <c r="GA228" i="27"/>
  <c r="GG308" i="27"/>
  <c r="EW101" i="27"/>
  <c r="GG107" i="27"/>
  <c r="FC177" i="27"/>
  <c r="CU340" i="27"/>
  <c r="CO208" i="27"/>
  <c r="FC183" i="27"/>
  <c r="EW207" i="27"/>
  <c r="FC60" i="27"/>
  <c r="GY311" i="27"/>
  <c r="EK273" i="27"/>
  <c r="GA36" i="27"/>
  <c r="EK93" i="27"/>
  <c r="EE59" i="27"/>
  <c r="GA175" i="27"/>
  <c r="GS144" i="27"/>
  <c r="GM179" i="27"/>
  <c r="GG179" i="27"/>
  <c r="GM92" i="27"/>
  <c r="GA184" i="27"/>
  <c r="CU297" i="27"/>
  <c r="EW197" i="27"/>
  <c r="GY218" i="27"/>
  <c r="EK342" i="27"/>
  <c r="EW26" i="27"/>
  <c r="GG201" i="27"/>
  <c r="EE207" i="27"/>
  <c r="AS7" i="23"/>
  <c r="DA197" i="27"/>
  <c r="GY352" i="27"/>
  <c r="EW359" i="27"/>
  <c r="GM13" i="27"/>
  <c r="GS89" i="27"/>
  <c r="GM279" i="27"/>
  <c r="CI312" i="27"/>
  <c r="EQ35" i="27"/>
  <c r="DG191" i="27"/>
  <c r="CU46" i="27"/>
  <c r="CO108" i="27"/>
  <c r="GA85" i="27"/>
  <c r="EK83" i="27"/>
  <c r="CI158" i="27"/>
  <c r="EE278" i="27"/>
  <c r="FC289" i="27"/>
  <c r="GG324" i="27"/>
  <c r="GM78" i="27"/>
  <c r="EQ238" i="27"/>
  <c r="CI307" i="27"/>
  <c r="CU279" i="27"/>
  <c r="CI364" i="27"/>
  <c r="GS35" i="27"/>
  <c r="GG207" i="27"/>
  <c r="CU101" i="27"/>
  <c r="GM264" i="27"/>
  <c r="GM352" i="27"/>
  <c r="CO155" i="27"/>
  <c r="DA312" i="27"/>
  <c r="EK51" i="27"/>
  <c r="FC238" i="27"/>
  <c r="CI49" i="27"/>
  <c r="GY312" i="27"/>
  <c r="EQ30" i="27"/>
  <c r="GM25" i="27"/>
  <c r="FC16" i="27"/>
  <c r="EW289" i="27"/>
  <c r="EQ173" i="27"/>
  <c r="CI58" i="27"/>
  <c r="AS10" i="23"/>
  <c r="FC129" i="27"/>
  <c r="GG357" i="27"/>
  <c r="CU16" i="27"/>
  <c r="CU131" i="27"/>
  <c r="CO99" i="27"/>
  <c r="EE147" i="27"/>
  <c r="GG44" i="27"/>
  <c r="GA186" i="27"/>
  <c r="GA305" i="27"/>
  <c r="GS12" i="27"/>
  <c r="CO201" i="27"/>
  <c r="GM64" i="27"/>
  <c r="EW308" i="27"/>
  <c r="FC147" i="27"/>
  <c r="CO249" i="27"/>
  <c r="DG26" i="27"/>
  <c r="EQ43" i="27"/>
  <c r="DA291" i="27"/>
  <c r="FC61" i="27"/>
  <c r="CO12" i="27"/>
  <c r="EE310" i="27"/>
  <c r="EQ201" i="27"/>
  <c r="GM204" i="27"/>
  <c r="GM129" i="27"/>
  <c r="DG30" i="27"/>
  <c r="DA79" i="27"/>
  <c r="DA357" i="27"/>
  <c r="FC134" i="27"/>
  <c r="DA254" i="27"/>
  <c r="GY192" i="27"/>
  <c r="DG354" i="27"/>
  <c r="CI139" i="27"/>
  <c r="CI222" i="27"/>
  <c r="DG268" i="27"/>
  <c r="CU31" i="27"/>
  <c r="FC56" i="27"/>
  <c r="DA282" i="27"/>
  <c r="DA47" i="27"/>
  <c r="DG357" i="27"/>
  <c r="GM70" i="27"/>
  <c r="GS237" i="27"/>
  <c r="EK101" i="27"/>
  <c r="FC58" i="27"/>
  <c r="EE128" i="27"/>
  <c r="GG155" i="27"/>
  <c r="EK299" i="27"/>
  <c r="EK187" i="27"/>
  <c r="GG122" i="27"/>
  <c r="EQ342" i="27"/>
  <c r="EE357" i="27"/>
  <c r="GY98" i="27"/>
  <c r="EE107" i="27"/>
  <c r="DA352" i="27"/>
  <c r="GG147" i="27"/>
  <c r="FC44" i="27"/>
  <c r="GG19" i="27"/>
  <c r="GA265" i="27"/>
  <c r="CI12" i="27"/>
  <c r="EK288" i="27"/>
  <c r="GY317" i="27"/>
  <c r="GG114" i="27"/>
  <c r="FC47" i="27"/>
  <c r="EW16" i="27"/>
  <c r="CI41" i="27"/>
  <c r="DG289" i="27"/>
  <c r="CO352" i="27"/>
  <c r="EE213" i="27"/>
  <c r="GY173" i="27"/>
  <c r="GS128" i="27"/>
  <c r="DA38" i="27"/>
  <c r="CU326" i="27"/>
  <c r="GA130" i="27"/>
  <c r="CI317" i="27"/>
  <c r="DA30" i="27"/>
  <c r="GA164" i="27"/>
  <c r="EW226" i="27"/>
  <c r="EE335" i="27"/>
  <c r="GM186" i="27"/>
  <c r="EW43" i="27"/>
  <c r="GG58" i="27"/>
  <c r="EW265" i="27"/>
  <c r="GY305" i="27"/>
  <c r="CI38" i="27"/>
  <c r="GA288" i="27"/>
  <c r="GM80" i="27"/>
  <c r="GG50" i="27"/>
  <c r="EE138" i="27"/>
  <c r="FC342" i="27"/>
  <c r="GS328" i="27"/>
  <c r="GY219" i="27"/>
  <c r="EE87" i="27"/>
  <c r="DA358" i="27"/>
  <c r="GS82" i="27"/>
  <c r="DG149" i="27"/>
  <c r="FC365" i="27"/>
  <c r="EW97" i="27"/>
  <c r="FC171" i="27"/>
  <c r="EE195" i="27"/>
  <c r="GA7" i="27"/>
  <c r="CU315" i="27"/>
  <c r="EW325" i="27"/>
  <c r="CU327" i="27"/>
  <c r="DG330" i="27"/>
  <c r="EE187" i="27"/>
  <c r="CI320" i="27"/>
  <c r="EK11" i="27"/>
  <c r="CI116" i="27"/>
  <c r="GM120" i="27"/>
  <c r="CO358" i="27"/>
  <c r="GM165" i="27"/>
  <c r="FC327" i="27"/>
  <c r="GS66" i="27"/>
  <c r="CI162" i="27"/>
  <c r="EE27" i="27"/>
  <c r="GG103" i="27"/>
  <c r="FC22" i="27"/>
  <c r="EQ37" i="27"/>
  <c r="GG346" i="27"/>
  <c r="GY358" i="27"/>
  <c r="DG11" i="27"/>
  <c r="GG230" i="27"/>
  <c r="GM241" i="27"/>
  <c r="CO243" i="27"/>
  <c r="CO232" i="27"/>
  <c r="EW77" i="27"/>
  <c r="EE163" i="27"/>
  <c r="EE346" i="27"/>
  <c r="CO127" i="27"/>
  <c r="FC224" i="27"/>
  <c r="GG240" i="27"/>
  <c r="EQ110" i="27"/>
  <c r="CI275" i="27"/>
  <c r="GS141" i="27"/>
  <c r="GS11" i="27"/>
  <c r="GY231" i="27"/>
  <c r="CI103" i="27"/>
  <c r="EK22" i="27"/>
  <c r="CU232" i="27"/>
  <c r="FC127" i="27"/>
  <c r="GA224" i="27"/>
  <c r="EQ302" i="27"/>
  <c r="EE112" i="27"/>
  <c r="EK40" i="27"/>
  <c r="EE77" i="27"/>
  <c r="DG315" i="27"/>
  <c r="DG52" i="27"/>
  <c r="DG174" i="27"/>
  <c r="GY309" i="27"/>
  <c r="GM87" i="27"/>
  <c r="GY258" i="27"/>
  <c r="GS153" i="27"/>
  <c r="GS109" i="27"/>
  <c r="GS297" i="27"/>
  <c r="EW149" i="27"/>
  <c r="DA71" i="27"/>
  <c r="EQ97" i="27"/>
  <c r="GY197" i="27"/>
  <c r="FC197" i="27"/>
  <c r="DG197" i="27"/>
  <c r="CO144" i="27"/>
  <c r="EK144" i="27"/>
  <c r="GG144" i="27"/>
  <c r="GS199" i="27"/>
  <c r="DA199" i="27"/>
  <c r="EW199" i="27"/>
  <c r="EK311" i="27"/>
  <c r="GG311" i="27"/>
  <c r="CO311" i="27"/>
  <c r="GA225" i="27"/>
  <c r="CI225" i="27"/>
  <c r="EE225" i="27"/>
  <c r="CU344" i="27"/>
  <c r="EQ344" i="27"/>
  <c r="GM344" i="27"/>
  <c r="GA17" i="27"/>
  <c r="CI17" i="27"/>
  <c r="EE17" i="27"/>
  <c r="GM207" i="27"/>
  <c r="EQ207" i="27"/>
  <c r="GY336" i="27"/>
  <c r="DG336" i="27"/>
  <c r="FC336" i="27"/>
  <c r="EW180" i="27"/>
  <c r="GS180" i="27"/>
  <c r="DA180" i="27"/>
  <c r="FC59" i="27"/>
  <c r="GY59" i="27"/>
  <c r="DG59" i="27"/>
  <c r="GG323" i="27"/>
  <c r="EK323" i="27"/>
  <c r="CO323" i="27"/>
  <c r="CI273" i="27"/>
  <c r="EE273" i="27"/>
  <c r="GA273" i="27"/>
  <c r="GM257" i="27"/>
  <c r="EQ257" i="27"/>
  <c r="CU257" i="27"/>
  <c r="GY294" i="27"/>
  <c r="DG294" i="27"/>
  <c r="GM301" i="27"/>
  <c r="CU301" i="27"/>
  <c r="FC321" i="27"/>
  <c r="GY321" i="27"/>
  <c r="DG321" i="27"/>
  <c r="CI362" i="27"/>
  <c r="GA362" i="27"/>
  <c r="EE362" i="27"/>
  <c r="DG362" i="27"/>
  <c r="FC362" i="27"/>
  <c r="GY362" i="27"/>
  <c r="EK211" i="27"/>
  <c r="GG211" i="27"/>
  <c r="CO211" i="27"/>
  <c r="CI157" i="27"/>
  <c r="GA157" i="27"/>
  <c r="EE157" i="27"/>
  <c r="EK256" i="27"/>
  <c r="CO256" i="27"/>
  <c r="GM36" i="27"/>
  <c r="EQ36" i="27"/>
  <c r="EQ49" i="27"/>
  <c r="GM49" i="27"/>
  <c r="CU49" i="27"/>
  <c r="DG49" i="27"/>
  <c r="FC49" i="27"/>
  <c r="GY49" i="27"/>
  <c r="AX8" i="23"/>
  <c r="BV34" i="23"/>
  <c r="BV35" i="23"/>
  <c r="BV36" i="23"/>
  <c r="GG234" i="27"/>
  <c r="EK234" i="27"/>
  <c r="CO234" i="27"/>
  <c r="EQ239" i="27"/>
  <c r="GM239" i="27"/>
  <c r="CU239" i="27"/>
  <c r="DG279" i="27"/>
  <c r="FC279" i="27"/>
  <c r="GY279" i="27"/>
  <c r="FC15" i="27"/>
  <c r="DG15" i="27"/>
  <c r="GY15" i="27"/>
  <c r="EW94" i="27"/>
  <c r="GS94" i="27"/>
  <c r="DA94" i="27"/>
  <c r="CO94" i="27"/>
  <c r="GG94" i="27"/>
  <c r="EK94" i="27"/>
  <c r="DA23" i="27"/>
  <c r="GS23" i="27"/>
  <c r="GY23" i="27"/>
  <c r="DG23" i="27"/>
  <c r="FC23" i="27"/>
  <c r="EE89" i="27"/>
  <c r="CI89" i="27"/>
  <c r="GA89" i="27"/>
  <c r="DA45" i="27"/>
  <c r="EW45" i="27"/>
  <c r="GS45" i="27"/>
  <c r="FC113" i="27"/>
  <c r="DG113" i="27"/>
  <c r="GY113" i="27"/>
  <c r="EK113" i="27"/>
  <c r="CO113" i="27"/>
  <c r="GG113" i="27"/>
  <c r="GM135" i="27"/>
  <c r="CU135" i="27"/>
  <c r="EQ135" i="27"/>
  <c r="GS329" i="27"/>
  <c r="DA329" i="27"/>
  <c r="EW329" i="27"/>
  <c r="GM329" i="27"/>
  <c r="CU329" i="27"/>
  <c r="EQ329" i="27"/>
  <c r="GY202" i="27"/>
  <c r="DG202" i="27"/>
  <c r="FC202" i="27"/>
  <c r="EQ202" i="27"/>
  <c r="GM202" i="27"/>
  <c r="CU202" i="27"/>
  <c r="GG343" i="27"/>
  <c r="EK343" i="27"/>
  <c r="FC350" i="27"/>
  <c r="GY350" i="27"/>
  <c r="CU350" i="27"/>
  <c r="EQ350" i="27"/>
  <c r="GM350" i="27"/>
  <c r="EE350" i="27"/>
  <c r="GA350" i="27"/>
  <c r="CI350" i="27"/>
  <c r="EK78" i="27"/>
  <c r="GG78" i="27"/>
  <c r="CO78" i="27"/>
  <c r="GG290" i="27"/>
  <c r="EK290" i="27"/>
  <c r="CO290" i="27"/>
  <c r="GG73" i="27"/>
  <c r="EK73" i="27"/>
  <c r="CO73" i="27"/>
  <c r="GS270" i="27"/>
  <c r="DA270" i="27"/>
  <c r="EW270" i="27"/>
  <c r="GG168" i="27"/>
  <c r="CO168" i="27"/>
  <c r="EK168" i="27"/>
  <c r="EE168" i="27"/>
  <c r="CI168" i="27"/>
  <c r="GA168" i="27"/>
  <c r="GY108" i="27"/>
  <c r="FC108" i="27"/>
  <c r="DG108" i="27"/>
  <c r="GS142" i="27"/>
  <c r="DA142" i="27"/>
  <c r="EW142" i="27"/>
  <c r="EW84" i="27"/>
  <c r="GS84" i="27"/>
  <c r="CI35" i="27"/>
  <c r="GA35" i="27"/>
  <c r="EE35" i="27"/>
  <c r="GG35" i="27"/>
  <c r="EK35" i="27"/>
  <c r="EE83" i="27"/>
  <c r="GA83" i="27"/>
  <c r="DA126" i="27"/>
  <c r="GS126" i="27"/>
  <c r="EW126" i="27"/>
  <c r="GS334" i="27"/>
  <c r="EW334" i="27"/>
  <c r="DA334" i="27"/>
  <c r="FC25" i="27"/>
  <c r="GY25" i="27"/>
  <c r="DG25" i="27"/>
  <c r="EQ337" i="27"/>
  <c r="GM337" i="27"/>
  <c r="CU337" i="27"/>
  <c r="CI79" i="27"/>
  <c r="EE79" i="27"/>
  <c r="GA79" i="27"/>
  <c r="GG229" i="27"/>
  <c r="EK229" i="27"/>
  <c r="CO229" i="27"/>
  <c r="GS74" i="27"/>
  <c r="EW74" i="27"/>
  <c r="EK74" i="27"/>
  <c r="GG74" i="27"/>
  <c r="CO74" i="27"/>
  <c r="GS9" i="27"/>
  <c r="DA9" i="27"/>
  <c r="EW9" i="27"/>
  <c r="FC111" i="27"/>
  <c r="DG111" i="27"/>
  <c r="GY111" i="27"/>
  <c r="DA172" i="27"/>
  <c r="EW172" i="27"/>
  <c r="GS172" i="27"/>
  <c r="GG172" i="27"/>
  <c r="EK172" i="27"/>
  <c r="CO172" i="27"/>
  <c r="DG172" i="27"/>
  <c r="GY172" i="27"/>
  <c r="FC172" i="27"/>
  <c r="FC90" i="27"/>
  <c r="DG90" i="27"/>
  <c r="GG16" i="27"/>
  <c r="CO16" i="27"/>
  <c r="FC106" i="27"/>
  <c r="GY106" i="27"/>
  <c r="DG106" i="27"/>
  <c r="GA106" i="27"/>
  <c r="EE106" i="27"/>
  <c r="CI106" i="27"/>
  <c r="CO106" i="27"/>
  <c r="GG106" i="27"/>
  <c r="EE75" i="27"/>
  <c r="CI75" i="27"/>
  <c r="GA75" i="27"/>
  <c r="GY261" i="27"/>
  <c r="FC261" i="27"/>
  <c r="DG261" i="27"/>
  <c r="CO261" i="27"/>
  <c r="EK261" i="27"/>
  <c r="GG261" i="27"/>
  <c r="GA98" i="27"/>
  <c r="EE98" i="27"/>
  <c r="DG39" i="27"/>
  <c r="FC39" i="27"/>
  <c r="GY39" i="27"/>
  <c r="CO134" i="27"/>
  <c r="EK134" i="27"/>
  <c r="GG134" i="27"/>
  <c r="CO125" i="27"/>
  <c r="GG125" i="27"/>
  <c r="EK125" i="27"/>
  <c r="GM293" i="27"/>
  <c r="EQ293" i="27"/>
  <c r="CU293" i="27"/>
  <c r="EW293" i="27"/>
  <c r="DA293" i="27"/>
  <c r="GS293" i="27"/>
  <c r="CU41" i="27"/>
  <c r="EQ41" i="27"/>
  <c r="DG41" i="27"/>
  <c r="GY41" i="27"/>
  <c r="FC41" i="27"/>
  <c r="FC285" i="27"/>
  <c r="GY285" i="27"/>
  <c r="DG285" i="27"/>
  <c r="CU227" i="27"/>
  <c r="EQ227" i="27"/>
  <c r="GM227" i="27"/>
  <c r="EW227" i="27"/>
  <c r="GS227" i="27"/>
  <c r="DA227" i="27"/>
  <c r="EK254" i="27"/>
  <c r="GG254" i="27"/>
  <c r="EW177" i="27"/>
  <c r="GS177" i="27"/>
  <c r="GS205" i="27"/>
  <c r="DA205" i="27"/>
  <c r="EW205" i="27"/>
  <c r="GG102" i="27"/>
  <c r="CO102" i="27"/>
  <c r="GM102" i="27"/>
  <c r="EQ102" i="27"/>
  <c r="CI263" i="27"/>
  <c r="GA263" i="27"/>
  <c r="EE263" i="27"/>
  <c r="GM192" i="27"/>
  <c r="EQ192" i="27"/>
  <c r="CU192" i="27"/>
  <c r="FC99" i="27"/>
  <c r="GY99" i="27"/>
  <c r="FC352" i="27"/>
  <c r="DG352" i="27"/>
  <c r="EQ352" i="27"/>
  <c r="CU352" i="27"/>
  <c r="CU354" i="27"/>
  <c r="EQ354" i="27"/>
  <c r="GA14" i="27"/>
  <c r="EE14" i="27"/>
  <c r="CI14" i="27"/>
  <c r="GY132" i="27"/>
  <c r="DG132" i="27"/>
  <c r="FC132" i="27"/>
  <c r="DG222" i="27"/>
  <c r="FC222" i="27"/>
  <c r="GY222" i="27"/>
  <c r="CU42" i="27"/>
  <c r="GM42" i="27"/>
  <c r="EQ42" i="27"/>
  <c r="GG42" i="27"/>
  <c r="CO42" i="27"/>
  <c r="EK42" i="27"/>
  <c r="EQ150" i="27"/>
  <c r="CU150" i="27"/>
  <c r="GM363" i="27"/>
  <c r="EQ363" i="27"/>
  <c r="DA363" i="27"/>
  <c r="EW363" i="27"/>
  <c r="GS363" i="27"/>
  <c r="GA247" i="27"/>
  <c r="EE247" i="27"/>
  <c r="DA213" i="27"/>
  <c r="GS213" i="27"/>
  <c r="GM212" i="27"/>
  <c r="CU212" i="27"/>
  <c r="EQ212" i="27"/>
  <c r="GY212" i="27"/>
  <c r="FC212" i="27"/>
  <c r="DG212" i="27"/>
  <c r="EW259" i="27"/>
  <c r="GS259" i="27"/>
  <c r="DA259" i="27"/>
  <c r="GM268" i="27"/>
  <c r="EQ268" i="27"/>
  <c r="EK43" i="27"/>
  <c r="GG43" i="27"/>
  <c r="CI43" i="27"/>
  <c r="GA43" i="27"/>
  <c r="CI296" i="27"/>
  <c r="GA296" i="27"/>
  <c r="EE296" i="27"/>
  <c r="DA62" i="27"/>
  <c r="EW62" i="27"/>
  <c r="GY62" i="27"/>
  <c r="FC62" i="27"/>
  <c r="DG62" i="27"/>
  <c r="EK62" i="27"/>
  <c r="GG62" i="27"/>
  <c r="CO62" i="27"/>
  <c r="EE62" i="27"/>
  <c r="GA62" i="27"/>
  <c r="EK295" i="27"/>
  <c r="GG295" i="27"/>
  <c r="CO295" i="27"/>
  <c r="EW18" i="27"/>
  <c r="DA18" i="27"/>
  <c r="GS18" i="27"/>
  <c r="GY18" i="27"/>
  <c r="DG18" i="27"/>
  <c r="FC18" i="27"/>
  <c r="FC181" i="27"/>
  <c r="DG181" i="27"/>
  <c r="GY181" i="27"/>
  <c r="CU128" i="27"/>
  <c r="EQ128" i="27"/>
  <c r="GM128" i="27"/>
  <c r="CI244" i="27"/>
  <c r="EE244" i="27"/>
  <c r="GA244" i="27"/>
  <c r="CO10" i="27"/>
  <c r="GG10" i="27"/>
  <c r="EK10" i="27"/>
  <c r="GY19" i="27"/>
  <c r="DG19" i="27"/>
  <c r="GA19" i="27"/>
  <c r="CI19" i="27"/>
  <c r="EE19" i="27"/>
  <c r="GM198" i="27"/>
  <c r="EQ198" i="27"/>
  <c r="EE198" i="27"/>
  <c r="GA198" i="27"/>
  <c r="EQ305" i="27"/>
  <c r="CU305" i="27"/>
  <c r="GG305" i="27"/>
  <c r="CO305" i="27"/>
  <c r="DA155" i="27"/>
  <c r="EW155" i="27"/>
  <c r="GA31" i="27"/>
  <c r="EE31" i="27"/>
  <c r="CI31" i="27"/>
  <c r="GA326" i="27"/>
  <c r="CI326" i="27"/>
  <c r="EK286" i="27"/>
  <c r="CO286" i="27"/>
  <c r="GG286" i="27"/>
  <c r="CO310" i="27"/>
  <c r="GG310" i="27"/>
  <c r="EK310" i="27"/>
  <c r="EQ299" i="27"/>
  <c r="CU299" i="27"/>
  <c r="GM299" i="27"/>
  <c r="GM143" i="27"/>
  <c r="EQ143" i="27"/>
  <c r="EQ54" i="27"/>
  <c r="GM54" i="27"/>
  <c r="GY201" i="27"/>
  <c r="FC201" i="27"/>
  <c r="DG201" i="27"/>
  <c r="DA64" i="27"/>
  <c r="EW64" i="27"/>
  <c r="GS64" i="27"/>
  <c r="DG319" i="27"/>
  <c r="GY319" i="27"/>
  <c r="FC319" i="27"/>
  <c r="EQ319" i="27"/>
  <c r="GM319" i="27"/>
  <c r="CU319" i="27"/>
  <c r="EQ170" i="27"/>
  <c r="CU170" i="27"/>
  <c r="GM170" i="27"/>
  <c r="GA53" i="27"/>
  <c r="EE53" i="27"/>
  <c r="CI53" i="27"/>
  <c r="DG130" i="27"/>
  <c r="FC130" i="27"/>
  <c r="DA317" i="27"/>
  <c r="GS317" i="27"/>
  <c r="EW317" i="27"/>
  <c r="GG252" i="27"/>
  <c r="EK252" i="27"/>
  <c r="CO176" i="27"/>
  <c r="EK176" i="27"/>
  <c r="GG176" i="27"/>
  <c r="GA332" i="27"/>
  <c r="CI332" i="27"/>
  <c r="EE332" i="27"/>
  <c r="GS332" i="27"/>
  <c r="DA332" i="27"/>
  <c r="EW332" i="27"/>
  <c r="EE318" i="27"/>
  <c r="GA318" i="27"/>
  <c r="CI318" i="27"/>
  <c r="GY80" i="27"/>
  <c r="DG80" i="27"/>
  <c r="GM63" i="27"/>
  <c r="CU63" i="27"/>
  <c r="EQ63" i="27"/>
  <c r="GS63" i="27"/>
  <c r="EW63" i="27"/>
  <c r="DA63" i="27"/>
  <c r="EK63" i="27"/>
  <c r="CO63" i="27"/>
  <c r="GG63" i="27"/>
  <c r="GA360" i="27"/>
  <c r="CI360" i="27"/>
  <c r="CU146" i="27"/>
  <c r="EQ146" i="27"/>
  <c r="GM146" i="27"/>
  <c r="FC313" i="27"/>
  <c r="GY313" i="27"/>
  <c r="DG124" i="27"/>
  <c r="GY124" i="27"/>
  <c r="GG112" i="27"/>
  <c r="EK112" i="27"/>
  <c r="CO112" i="27"/>
  <c r="GY40" i="27"/>
  <c r="FC40" i="27"/>
  <c r="DA40" i="27"/>
  <c r="GS40" i="27"/>
  <c r="EW40" i="27"/>
  <c r="GA338" i="27"/>
  <c r="CI338" i="27"/>
  <c r="EE338" i="27"/>
  <c r="EQ338" i="27"/>
  <c r="CU338" i="27"/>
  <c r="GM338" i="27"/>
  <c r="EW118" i="27"/>
  <c r="DA118" i="27"/>
  <c r="GS118" i="27"/>
  <c r="EW231" i="27"/>
  <c r="DA231" i="27"/>
  <c r="EK231" i="27"/>
  <c r="CO231" i="27"/>
  <c r="GG231" i="27"/>
  <c r="FC195" i="27"/>
  <c r="GY195" i="27"/>
  <c r="DG195" i="27"/>
  <c r="GG241" i="27"/>
  <c r="EK241" i="27"/>
  <c r="CO241" i="27"/>
  <c r="EK274" i="27"/>
  <c r="GG274" i="27"/>
  <c r="CO274" i="27"/>
  <c r="GM281" i="27"/>
  <c r="EQ281" i="27"/>
  <c r="CU281" i="27"/>
  <c r="EE281" i="27"/>
  <c r="CI281" i="27"/>
  <c r="GA281" i="27"/>
  <c r="GY103" i="27"/>
  <c r="FC103" i="27"/>
  <c r="DG103" i="27"/>
  <c r="EW333" i="27"/>
  <c r="DA333" i="27"/>
  <c r="GS333" i="27"/>
  <c r="GA182" i="27"/>
  <c r="EE182" i="27"/>
  <c r="GA48" i="27"/>
  <c r="CI48" i="27"/>
  <c r="EQ219" i="27"/>
  <c r="CU219" i="27"/>
  <c r="CI219" i="27"/>
  <c r="EE219" i="27"/>
  <c r="GA219" i="27"/>
  <c r="GS151" i="27"/>
  <c r="EW151" i="27"/>
  <c r="DA151" i="27"/>
  <c r="CO151" i="27"/>
  <c r="EK151" i="27"/>
  <c r="EE6" i="27"/>
  <c r="CI6" i="27"/>
  <c r="GA6" i="27"/>
  <c r="DA6" i="27"/>
  <c r="EW6" i="27"/>
  <c r="GS6" i="27"/>
  <c r="GM292" i="27"/>
  <c r="EQ292" i="27"/>
  <c r="CU292" i="27"/>
  <c r="EQ193" i="27"/>
  <c r="GM193" i="27"/>
  <c r="GG68" i="27"/>
  <c r="CO68" i="27"/>
  <c r="GS68" i="27"/>
  <c r="EW68" i="27"/>
  <c r="DA68" i="27"/>
  <c r="GG272" i="27"/>
  <c r="CO272" i="27"/>
  <c r="CU272" i="27"/>
  <c r="EQ272" i="27"/>
  <c r="GM272" i="27"/>
  <c r="CU34" i="27"/>
  <c r="EQ34" i="27"/>
  <c r="GM34" i="27"/>
  <c r="GG161" i="27"/>
  <c r="CO161" i="27"/>
  <c r="EK161" i="27"/>
  <c r="CU196" i="27"/>
  <c r="EQ196" i="27"/>
  <c r="GY196" i="27"/>
  <c r="DG196" i="27"/>
  <c r="EK7" i="27"/>
  <c r="GG7" i="27"/>
  <c r="EW8" i="27"/>
  <c r="DA8" i="27"/>
  <c r="GS8" i="27"/>
  <c r="FC232" i="27"/>
  <c r="DG232" i="27"/>
  <c r="GY232" i="27"/>
  <c r="DG37" i="27"/>
  <c r="FC37" i="27"/>
  <c r="GA37" i="27"/>
  <c r="EE37" i="27"/>
  <c r="CI37" i="27"/>
  <c r="GS123" i="27"/>
  <c r="EW123" i="27"/>
  <c r="DA123" i="27"/>
  <c r="CI65" i="27"/>
  <c r="GA65" i="27"/>
  <c r="EE65" i="27"/>
  <c r="GM127" i="27"/>
  <c r="CU127" i="27"/>
  <c r="GG67" i="27"/>
  <c r="EK67" i="27"/>
  <c r="CO67" i="27"/>
  <c r="GM224" i="27"/>
  <c r="CU224" i="27"/>
  <c r="EQ224" i="27"/>
  <c r="CO153" i="27"/>
  <c r="GG153" i="27"/>
  <c r="EK153" i="27"/>
  <c r="CU240" i="27"/>
  <c r="EQ240" i="27"/>
  <c r="GM240" i="27"/>
  <c r="EK327" i="27"/>
  <c r="GG327" i="27"/>
  <c r="CO327" i="27"/>
  <c r="GA327" i="27"/>
  <c r="EE327" i="27"/>
  <c r="EQ109" i="27"/>
  <c r="GM109" i="27"/>
  <c r="CU255" i="27"/>
  <c r="GM255" i="27"/>
  <c r="FC297" i="27"/>
  <c r="GY297" i="27"/>
  <c r="DG297" i="27"/>
  <c r="EW91" i="27"/>
  <c r="GS91" i="27"/>
  <c r="DA91" i="27"/>
  <c r="EE330" i="27"/>
  <c r="GA330" i="27"/>
  <c r="CI330" i="27"/>
  <c r="GY66" i="27"/>
  <c r="DG66" i="27"/>
  <c r="FC66" i="27"/>
  <c r="CO110" i="27"/>
  <c r="EK110" i="27"/>
  <c r="GG110" i="27"/>
  <c r="EE152" i="27"/>
  <c r="GA152" i="27"/>
  <c r="GG145" i="27"/>
  <c r="EK145" i="27"/>
  <c r="EQ145" i="27"/>
  <c r="CU145" i="27"/>
  <c r="GM145" i="27"/>
  <c r="CO190" i="27"/>
  <c r="GG190" i="27"/>
  <c r="CU162" i="27"/>
  <c r="EQ162" i="27"/>
  <c r="GM162" i="27"/>
  <c r="CO105" i="27"/>
  <c r="GG105" i="27"/>
  <c r="GA32" i="27"/>
  <c r="CI32" i="27"/>
  <c r="DG250" i="27"/>
  <c r="GY250" i="27"/>
  <c r="GG250" i="27"/>
  <c r="CO250" i="27"/>
  <c r="EK250" i="27"/>
  <c r="GS250" i="27"/>
  <c r="EW250" i="27"/>
  <c r="DA250" i="27"/>
  <c r="CI21" i="27"/>
  <c r="GA21" i="27"/>
  <c r="EE21" i="27"/>
  <c r="GG266" i="27"/>
  <c r="EK266" i="27"/>
  <c r="CO266" i="27"/>
  <c r="GM221" i="27"/>
  <c r="CU221" i="27"/>
  <c r="EQ221" i="27"/>
  <c r="DG320" i="27"/>
  <c r="FC320" i="27"/>
  <c r="GY320" i="27"/>
  <c r="CU27" i="27"/>
  <c r="GM27" i="27"/>
  <c r="EQ27" i="27"/>
  <c r="CU11" i="27"/>
  <c r="EQ11" i="27"/>
  <c r="DA174" i="27"/>
  <c r="EW174" i="27"/>
  <c r="GS174" i="27"/>
  <c r="CO100" i="27"/>
  <c r="EK100" i="27"/>
  <c r="GG100" i="27"/>
  <c r="AX6" i="23"/>
  <c r="BV63" i="23"/>
  <c r="BO319" i="27"/>
  <c r="BP319" i="27" s="1"/>
  <c r="BL320" i="27"/>
  <c r="BV16" i="23" l="1"/>
  <c r="BV18" i="23"/>
  <c r="CF17" i="23" s="1"/>
  <c r="BV45" i="23"/>
  <c r="BV61" i="23"/>
  <c r="CK17" i="23" s="1"/>
  <c r="AX11" i="23"/>
  <c r="BA11" i="23" s="1"/>
  <c r="BV43" i="23"/>
  <c r="AX9" i="23"/>
  <c r="AY9" i="23" s="1"/>
  <c r="BV8" i="23"/>
  <c r="AX5" i="23"/>
  <c r="AY5" i="23" s="1"/>
  <c r="BV9" i="23"/>
  <c r="BV26" i="23"/>
  <c r="BV27" i="23"/>
  <c r="BV25" i="23"/>
  <c r="AX7" i="23"/>
  <c r="CH17" i="23"/>
  <c r="BV53" i="23"/>
  <c r="AX10" i="23"/>
  <c r="BV54" i="23"/>
  <c r="BV52" i="23"/>
  <c r="AZ8" i="23"/>
  <c r="BC8" i="23"/>
  <c r="BA8" i="23"/>
  <c r="AY8" i="23"/>
  <c r="BB8" i="23"/>
  <c r="BB6" i="23"/>
  <c r="BA6" i="23"/>
  <c r="AY6" i="23"/>
  <c r="AZ6" i="23"/>
  <c r="BC6" i="23"/>
  <c r="BO320" i="27"/>
  <c r="BP320" i="27" s="1"/>
  <c r="BL321" i="27"/>
  <c r="AZ11" i="23" l="1"/>
  <c r="BB11" i="23"/>
  <c r="CI17" i="23"/>
  <c r="AY11" i="23"/>
  <c r="BC11" i="23"/>
  <c r="BA5" i="23"/>
  <c r="AZ5" i="23"/>
  <c r="BC5" i="23"/>
  <c r="BA9" i="23"/>
  <c r="AZ9" i="23"/>
  <c r="BB9" i="23"/>
  <c r="CE17" i="23"/>
  <c r="BC9" i="23"/>
  <c r="CG17" i="23"/>
  <c r="CJ17" i="23"/>
  <c r="BA7" i="23"/>
  <c r="BC7" i="23"/>
  <c r="AZ7" i="23"/>
  <c r="AY7" i="23"/>
  <c r="BB7" i="23"/>
  <c r="BA10" i="23"/>
  <c r="AY10" i="23"/>
  <c r="BB10" i="23"/>
  <c r="AZ10" i="23"/>
  <c r="BC10" i="23"/>
  <c r="BD8" i="23"/>
  <c r="BD6" i="23"/>
  <c r="BO321" i="27"/>
  <c r="BP321" i="27" s="1"/>
  <c r="BL322" i="27"/>
  <c r="BD11" i="23" l="1"/>
  <c r="BD9" i="23"/>
  <c r="BB5" i="23"/>
  <c r="BD5" i="23" s="1"/>
  <c r="BD7" i="23"/>
  <c r="BD10" i="23"/>
  <c r="BO322" i="27"/>
  <c r="BP322" i="27" s="1"/>
  <c r="BL323" i="27"/>
  <c r="BO323" i="27" l="1"/>
  <c r="BP323" i="27" s="1"/>
  <c r="BL324" i="27"/>
  <c r="BO324" i="27" l="1"/>
  <c r="BP324" i="27" s="1"/>
  <c r="BL325" i="27"/>
  <c r="BO325" i="27" l="1"/>
  <c r="BP325" i="27" s="1"/>
  <c r="BL326" i="27"/>
  <c r="BO326" i="27" l="1"/>
  <c r="BP326" i="27" s="1"/>
  <c r="BL327" i="27"/>
  <c r="BO327" i="27" l="1"/>
  <c r="BP327" i="27" s="1"/>
  <c r="BL328" i="27"/>
  <c r="AN84" i="5"/>
  <c r="AL297" i="5"/>
  <c r="AN214" i="5"/>
  <c r="AH168" i="27"/>
  <c r="M119" i="27"/>
  <c r="AK87" i="5"/>
  <c r="AN233" i="5"/>
  <c r="AM279" i="5"/>
  <c r="AA21" i="27"/>
  <c r="AL300" i="5"/>
  <c r="AJ195" i="5"/>
  <c r="M295" i="27"/>
  <c r="AA42" i="27"/>
  <c r="AJ350" i="5"/>
  <c r="AJ6" i="5"/>
  <c r="AN231" i="5"/>
  <c r="AK303" i="5"/>
  <c r="AL339" i="5"/>
  <c r="AK260" i="5"/>
  <c r="AN97" i="5"/>
  <c r="AL168" i="5"/>
  <c r="AN248" i="5"/>
  <c r="AL166" i="5"/>
  <c r="AL258" i="5"/>
  <c r="AN25" i="5"/>
  <c r="AN179" i="5"/>
  <c r="AK272" i="5"/>
  <c r="M283" i="27"/>
  <c r="AO39" i="27"/>
  <c r="AH242" i="27"/>
  <c r="AO248" i="27"/>
  <c r="AO353" i="27"/>
  <c r="AK99" i="5"/>
  <c r="M254" i="27"/>
  <c r="AO263" i="27"/>
  <c r="AM354" i="5"/>
  <c r="AL93" i="5"/>
  <c r="AK180" i="5"/>
  <c r="AM118" i="5"/>
  <c r="AL26" i="5"/>
  <c r="AK294" i="5"/>
  <c r="AL347" i="5"/>
  <c r="AL189" i="5"/>
  <c r="AK335" i="5"/>
  <c r="T45" i="27"/>
  <c r="AJ19" i="5"/>
  <c r="AO230" i="27"/>
  <c r="AK16" i="5"/>
  <c r="AK288" i="5"/>
  <c r="AJ220" i="5"/>
  <c r="AN338" i="5"/>
  <c r="AK168" i="5"/>
  <c r="AM119" i="5"/>
  <c r="AJ346" i="5"/>
  <c r="AH308" i="27"/>
  <c r="M136" i="27"/>
  <c r="T341" i="27"/>
  <c r="T98" i="27"/>
  <c r="AH184" i="27"/>
  <c r="AO172" i="27"/>
  <c r="T252" i="27"/>
  <c r="AM159" i="5"/>
  <c r="AK189" i="5"/>
  <c r="AK252" i="5"/>
  <c r="AM19" i="5"/>
  <c r="AM316" i="5"/>
  <c r="AL330" i="5"/>
  <c r="AM207" i="5"/>
  <c r="AL151" i="5"/>
  <c r="AO179" i="27"/>
  <c r="T156" i="27"/>
  <c r="AM348" i="5"/>
  <c r="AJ36" i="5"/>
  <c r="AK79" i="5"/>
  <c r="AH28" i="27"/>
  <c r="AH179" i="27"/>
  <c r="AL331" i="5"/>
  <c r="AN178" i="5"/>
  <c r="AJ296" i="5"/>
  <c r="AK129" i="5"/>
  <c r="AA137" i="27"/>
  <c r="AL220" i="5"/>
  <c r="AM240" i="5"/>
  <c r="AO340" i="27"/>
  <c r="AL10" i="5"/>
  <c r="AM46" i="5"/>
  <c r="AN234" i="5"/>
  <c r="AM120" i="5"/>
  <c r="AO190" i="27"/>
  <c r="AO265" i="27"/>
  <c r="AJ96" i="5"/>
  <c r="AH343" i="27"/>
  <c r="AL320" i="5"/>
  <c r="M82" i="27"/>
  <c r="M183" i="27"/>
  <c r="AH96" i="27"/>
  <c r="T209" i="27"/>
  <c r="AK319" i="5"/>
  <c r="AN124" i="5"/>
  <c r="AJ150" i="5"/>
  <c r="AH205" i="27"/>
  <c r="AM211" i="5"/>
  <c r="AK300" i="5"/>
  <c r="AJ145" i="5"/>
  <c r="T213" i="27"/>
  <c r="M275" i="27"/>
  <c r="AM169" i="5"/>
  <c r="AN345" i="5"/>
  <c r="AM225" i="5"/>
  <c r="AN305" i="5"/>
  <c r="AN310" i="5"/>
  <c r="M292" i="27"/>
  <c r="AJ34" i="5"/>
  <c r="AL232" i="5"/>
  <c r="AK137" i="5"/>
  <c r="AL291" i="5"/>
  <c r="AM195" i="5"/>
  <c r="AN321" i="5"/>
  <c r="AL235" i="5"/>
  <c r="T151" i="27"/>
  <c r="T262" i="27"/>
  <c r="AJ262" i="5"/>
  <c r="AK55" i="5"/>
  <c r="M145" i="27"/>
  <c r="AH211" i="27"/>
  <c r="AJ74" i="5"/>
  <c r="AM178" i="5"/>
  <c r="AL132" i="5"/>
  <c r="AA161" i="27"/>
  <c r="T139" i="27"/>
  <c r="AN148" i="5"/>
  <c r="AJ298" i="5"/>
  <c r="T181" i="27"/>
  <c r="AL82" i="5"/>
  <c r="AM184" i="5"/>
  <c r="AA311" i="27"/>
  <c r="AJ80" i="5"/>
  <c r="AA248" i="27"/>
  <c r="AK42" i="5"/>
  <c r="AH132" i="27"/>
  <c r="AM6" i="5"/>
  <c r="M246" i="27"/>
  <c r="AJ104" i="5"/>
  <c r="AN183" i="5"/>
  <c r="AN198" i="5"/>
  <c r="AL87" i="5"/>
  <c r="AJ232" i="5"/>
  <c r="AO118" i="27"/>
  <c r="AK15" i="5"/>
  <c r="AM136" i="5"/>
  <c r="AN103" i="5"/>
  <c r="AL136" i="5"/>
  <c r="AL207" i="5"/>
  <c r="AK90" i="5"/>
  <c r="AM122" i="5"/>
  <c r="AL85" i="5"/>
  <c r="AJ154" i="5"/>
  <c r="AL107" i="5"/>
  <c r="AO126" i="27"/>
  <c r="AM179" i="5"/>
  <c r="AO252" i="27"/>
  <c r="AM143" i="5"/>
  <c r="AL192" i="5"/>
  <c r="AL40" i="5"/>
  <c r="AN199" i="5"/>
  <c r="AO125" i="27"/>
  <c r="AM196" i="5"/>
  <c r="AL354" i="5"/>
  <c r="AH79" i="27"/>
  <c r="AH281" i="27"/>
  <c r="AN211" i="5"/>
  <c r="AJ163" i="5"/>
  <c r="M209" i="27"/>
  <c r="AH12" i="27"/>
  <c r="AH182" i="27"/>
  <c r="M212" i="27"/>
  <c r="AA214" i="27"/>
  <c r="AJ160" i="5"/>
  <c r="AO275" i="27"/>
  <c r="T59" i="27"/>
  <c r="M268" i="27"/>
  <c r="AO160" i="27"/>
  <c r="AH178" i="27"/>
  <c r="AL233" i="5"/>
  <c r="AH32" i="27"/>
  <c r="AA282" i="27"/>
  <c r="AO127" i="27"/>
  <c r="AA289" i="27"/>
  <c r="M128" i="27"/>
  <c r="AH43" i="27"/>
  <c r="T324" i="27"/>
  <c r="AN167" i="5"/>
  <c r="AN121" i="5"/>
  <c r="AA357" i="27"/>
  <c r="AA212" i="27"/>
  <c r="AH63" i="27"/>
  <c r="AH214" i="27"/>
  <c r="AH314" i="27"/>
  <c r="AK211" i="5"/>
  <c r="AN243" i="5"/>
  <c r="AK222" i="5"/>
  <c r="AL125" i="5"/>
  <c r="M276" i="27"/>
  <c r="AL146" i="5"/>
  <c r="AL360" i="5"/>
  <c r="T164" i="27"/>
  <c r="AH317" i="27"/>
  <c r="AJ340" i="5"/>
  <c r="M223" i="27"/>
  <c r="M75" i="27"/>
  <c r="M245" i="27"/>
  <c r="M81" i="27"/>
  <c r="AO83" i="27"/>
  <c r="M107" i="27"/>
  <c r="AJ294" i="5"/>
  <c r="AA50" i="27"/>
  <c r="AN125" i="5"/>
  <c r="AM259" i="5"/>
  <c r="AM107" i="5"/>
  <c r="AH233" i="27"/>
  <c r="AH50" i="27"/>
  <c r="AN220" i="5"/>
  <c r="AH165" i="27"/>
  <c r="T163" i="27"/>
  <c r="AJ336" i="5"/>
  <c r="AH127" i="27"/>
  <c r="AL12" i="5"/>
  <c r="AM335" i="5"/>
  <c r="AM57" i="5"/>
  <c r="AK183" i="5"/>
  <c r="AK312" i="5"/>
  <c r="AJ55" i="5"/>
  <c r="AL6" i="5"/>
  <c r="AJ158" i="5"/>
  <c r="AM241" i="5"/>
  <c r="AJ82" i="5"/>
  <c r="AK7" i="5"/>
  <c r="AL153" i="5"/>
  <c r="AK150" i="5"/>
  <c r="AJ120" i="5"/>
  <c r="AJ244" i="5"/>
  <c r="AK334" i="5"/>
  <c r="AM145" i="5"/>
  <c r="AK152" i="5"/>
  <c r="AO94" i="27"/>
  <c r="AA199" i="27"/>
  <c r="AN66" i="5"/>
  <c r="AA44" i="27"/>
  <c r="AH280" i="27"/>
  <c r="AO250" i="27"/>
  <c r="M235" i="27"/>
  <c r="AM7" i="5"/>
  <c r="AM73" i="5"/>
  <c r="AL155" i="5"/>
  <c r="AM104" i="5"/>
  <c r="AJ239" i="5"/>
  <c r="AH221" i="27"/>
  <c r="AJ218" i="5"/>
  <c r="AN46" i="5"/>
  <c r="AN363" i="5"/>
  <c r="AO124" i="27"/>
  <c r="AN94" i="5"/>
  <c r="AN223" i="5"/>
  <c r="AL110" i="5"/>
  <c r="AH135" i="27"/>
  <c r="AK20" i="5"/>
  <c r="AM133" i="5"/>
  <c r="AN348" i="5"/>
  <c r="AM299" i="5"/>
  <c r="AL287" i="5"/>
  <c r="AL75" i="5"/>
  <c r="AJ85" i="5"/>
  <c r="M330" i="27"/>
  <c r="AO210" i="27"/>
  <c r="AK154" i="5"/>
  <c r="AJ228" i="5"/>
  <c r="AK40" i="5"/>
  <c r="AM226" i="5"/>
  <c r="AL17" i="5"/>
  <c r="AA41" i="27"/>
  <c r="AO116" i="27"/>
  <c r="AA364" i="27"/>
  <c r="AA114" i="27"/>
  <c r="AM149" i="5"/>
  <c r="AK230" i="5"/>
  <c r="M180" i="27"/>
  <c r="AM127" i="5"/>
  <c r="AL119" i="5"/>
  <c r="AN329" i="5"/>
  <c r="AA221" i="27"/>
  <c r="K22" i="3"/>
  <c r="AJ353" i="5"/>
  <c r="AL255" i="5"/>
  <c r="AM47" i="5"/>
  <c r="AK355" i="5"/>
  <c r="AK270" i="5"/>
  <c r="AK135" i="5"/>
  <c r="AK296" i="5"/>
  <c r="AK285" i="5"/>
  <c r="AH51" i="27"/>
  <c r="AL164" i="5"/>
  <c r="AN250" i="5"/>
  <c r="AH25" i="27"/>
  <c r="AN68" i="5"/>
  <c r="AM364" i="5"/>
  <c r="AM212" i="5"/>
  <c r="AA142" i="27"/>
  <c r="AM193" i="5"/>
  <c r="T311" i="27"/>
  <c r="AK149" i="5"/>
  <c r="T303" i="27"/>
  <c r="AJ222" i="5"/>
  <c r="M286" i="27"/>
  <c r="AH197" i="27"/>
  <c r="AL121" i="5"/>
  <c r="AK271" i="5"/>
  <c r="AM61" i="5"/>
  <c r="AN102" i="5"/>
  <c r="T343" i="27"/>
  <c r="AK18" i="5"/>
  <c r="AL236" i="5"/>
  <c r="AJ219" i="5"/>
  <c r="AJ313" i="5"/>
  <c r="AK175" i="5"/>
  <c r="AK139" i="5"/>
  <c r="AM340" i="5"/>
  <c r="AN222" i="5"/>
  <c r="AM25" i="5"/>
  <c r="AK225" i="5"/>
  <c r="AM63" i="5"/>
  <c r="K21" i="3"/>
  <c r="AL130" i="5"/>
  <c r="AK364" i="5"/>
  <c r="AH319" i="27"/>
  <c r="AM278" i="5"/>
  <c r="AK208" i="5"/>
  <c r="AL313" i="5"/>
  <c r="AK255" i="5"/>
  <c r="AO326" i="27"/>
  <c r="AM187" i="5"/>
  <c r="AL276" i="5"/>
  <c r="AM341" i="5"/>
  <c r="AN33" i="5"/>
  <c r="AM45" i="5"/>
  <c r="AA107" i="27"/>
  <c r="AJ46" i="5"/>
  <c r="AO218" i="27"/>
  <c r="AK57" i="5"/>
  <c r="M110" i="27"/>
  <c r="AK92" i="5"/>
  <c r="AH164" i="27"/>
  <c r="AL29" i="5"/>
  <c r="AM209" i="5"/>
  <c r="AH360" i="27"/>
  <c r="AM60" i="5"/>
  <c r="AL277" i="5"/>
  <c r="M350" i="27"/>
  <c r="AM308" i="5"/>
  <c r="AN165" i="5"/>
  <c r="AJ184" i="5"/>
  <c r="AJ106" i="5"/>
  <c r="AK359" i="5"/>
  <c r="AJ204" i="5"/>
  <c r="AJ253" i="5"/>
  <c r="AN10" i="5"/>
  <c r="AK291" i="5"/>
  <c r="AL364" i="5"/>
  <c r="AM75" i="5"/>
  <c r="AK31" i="5"/>
  <c r="AO309" i="27"/>
  <c r="AN153" i="5"/>
  <c r="AN267" i="5"/>
  <c r="AK145" i="5"/>
  <c r="AM31" i="5"/>
  <c r="AM147" i="5"/>
  <c r="AJ62" i="5"/>
  <c r="AM70" i="5"/>
  <c r="T322" i="27"/>
  <c r="AH266" i="27"/>
  <c r="AJ13" i="5"/>
  <c r="T69" i="27"/>
  <c r="AN31" i="5"/>
  <c r="AO288" i="27"/>
  <c r="AJ168" i="5"/>
  <c r="AK362" i="5"/>
  <c r="AM24" i="5"/>
  <c r="AJ247" i="5"/>
  <c r="AH115" i="27"/>
  <c r="AN209" i="5"/>
  <c r="AJ286" i="5"/>
  <c r="AL179" i="5"/>
  <c r="AO90" i="27"/>
  <c r="AM297" i="5"/>
  <c r="AO59" i="27"/>
  <c r="AO16" i="27"/>
  <c r="AA29" i="27"/>
  <c r="T344" i="27"/>
  <c r="M158" i="27"/>
  <c r="M262" i="27"/>
  <c r="T253" i="27"/>
  <c r="AH77" i="27"/>
  <c r="AH230" i="27"/>
  <c r="M175" i="27"/>
  <c r="AA116" i="27"/>
  <c r="AN176" i="5"/>
  <c r="T74" i="27"/>
  <c r="AA136" i="27"/>
  <c r="AO219" i="27"/>
  <c r="AO156" i="27"/>
  <c r="AK89" i="5"/>
  <c r="AA159" i="27"/>
  <c r="AH103" i="27"/>
  <c r="AN145" i="5"/>
  <c r="AA139" i="27"/>
  <c r="T141" i="27"/>
  <c r="AA235" i="27"/>
  <c r="AJ149" i="5"/>
  <c r="AO245" i="27"/>
  <c r="T122" i="27"/>
  <c r="AN122" i="5"/>
  <c r="AJ347" i="5"/>
  <c r="AN60" i="5"/>
  <c r="AL97" i="5"/>
  <c r="AK332" i="5"/>
  <c r="AH311" i="27"/>
  <c r="AK126" i="5"/>
  <c r="M320" i="27"/>
  <c r="AM5" i="5"/>
  <c r="T166" i="27"/>
  <c r="AM21" i="5"/>
  <c r="AO320" i="27"/>
  <c r="AM137" i="5"/>
  <c r="AN216" i="5"/>
  <c r="AO31" i="27"/>
  <c r="AJ326" i="5"/>
  <c r="AO308" i="27"/>
  <c r="M80" i="27"/>
  <c r="M12" i="27"/>
  <c r="AM246" i="5"/>
  <c r="AJ364" i="5"/>
  <c r="T26" i="27"/>
  <c r="M185" i="27"/>
  <c r="AN225" i="5"/>
  <c r="AH73" i="27"/>
  <c r="AA298" i="27"/>
  <c r="AJ152" i="5"/>
  <c r="AL241" i="5"/>
  <c r="AJ322" i="5"/>
  <c r="AN287" i="5"/>
  <c r="AL16" i="5"/>
  <c r="AA27" i="27"/>
  <c r="AA294" i="27"/>
  <c r="AM300" i="5"/>
  <c r="AH141" i="27"/>
  <c r="AO343" i="27"/>
  <c r="AN83" i="5"/>
  <c r="AM14" i="5"/>
  <c r="T101" i="27"/>
  <c r="AA97" i="27"/>
  <c r="AO104" i="27"/>
  <c r="AJ300" i="5"/>
  <c r="AA295" i="27"/>
  <c r="M217" i="27"/>
  <c r="AJ121" i="5"/>
  <c r="AH106" i="27"/>
  <c r="AL104" i="5"/>
  <c r="T196" i="27"/>
  <c r="AN20" i="5"/>
  <c r="AH312" i="27"/>
  <c r="AM351" i="5"/>
  <c r="AM94" i="5"/>
  <c r="AM85" i="5"/>
  <c r="AJ63" i="5"/>
  <c r="AN288" i="5"/>
  <c r="AN105" i="5"/>
  <c r="AL36" i="5"/>
  <c r="AL143" i="5"/>
  <c r="AL105" i="5"/>
  <c r="AN181" i="5"/>
  <c r="AJ28" i="5"/>
  <c r="AK44" i="5"/>
  <c r="AA177" i="27"/>
  <c r="AN82" i="5"/>
  <c r="AJ349" i="5"/>
  <c r="AL112" i="5"/>
  <c r="AM362" i="5"/>
  <c r="M184" i="27"/>
  <c r="AK82" i="5"/>
  <c r="AN173" i="5"/>
  <c r="AN101" i="5"/>
  <c r="AK235" i="5"/>
  <c r="AN42" i="5"/>
  <c r="AM148" i="5"/>
  <c r="AM50" i="5"/>
  <c r="AM276" i="5"/>
  <c r="AH277" i="27"/>
  <c r="M243" i="27"/>
  <c r="AJ144" i="5"/>
  <c r="AH48" i="27"/>
  <c r="AN327" i="5"/>
  <c r="AM345" i="5"/>
  <c r="AM337" i="5"/>
  <c r="M290" i="27"/>
  <c r="AO67" i="27"/>
  <c r="AM97" i="5"/>
  <c r="AL351" i="5"/>
  <c r="AJ79" i="5"/>
  <c r="AA54" i="27"/>
  <c r="AL252" i="5"/>
  <c r="AL178" i="5"/>
  <c r="AN249" i="5"/>
  <c r="M241" i="27"/>
  <c r="AM15" i="5"/>
  <c r="AM298" i="5"/>
  <c r="AJ32" i="5"/>
  <c r="AK327" i="5"/>
  <c r="AO342" i="27"/>
  <c r="AL59" i="5"/>
  <c r="M159" i="27"/>
  <c r="AL335" i="5"/>
  <c r="AK264" i="5"/>
  <c r="AL55" i="5"/>
  <c r="AL308" i="5"/>
  <c r="AM128" i="5"/>
  <c r="AK70" i="5"/>
  <c r="AJ23" i="5"/>
  <c r="M187" i="27"/>
  <c r="T187" i="27"/>
  <c r="AK96" i="5"/>
  <c r="AA326" i="27"/>
  <c r="M139" i="27"/>
  <c r="AJ197" i="5"/>
  <c r="T248" i="27"/>
  <c r="AL49" i="5"/>
  <c r="AK123" i="5"/>
  <c r="M177" i="27"/>
  <c r="AA202" i="27"/>
  <c r="AL20" i="5"/>
  <c r="T55" i="27"/>
  <c r="AJ271" i="5"/>
  <c r="AK130" i="5"/>
  <c r="AL282" i="5"/>
  <c r="AK157" i="5"/>
  <c r="AN47" i="5"/>
  <c r="AO147" i="27"/>
  <c r="AL70" i="5"/>
  <c r="AA365" i="27"/>
  <c r="AJ169" i="5"/>
  <c r="AK256" i="5"/>
  <c r="AK188" i="5"/>
  <c r="AJ113" i="5"/>
  <c r="AN237" i="5"/>
  <c r="AJ175" i="5"/>
  <c r="AL200" i="5"/>
  <c r="AM32" i="5"/>
  <c r="AH126" i="27"/>
  <c r="AN175" i="5"/>
  <c r="AN244" i="5"/>
  <c r="AJ174" i="5"/>
  <c r="AN126" i="5"/>
  <c r="AM64" i="5"/>
  <c r="AJ20" i="5"/>
  <c r="AJ344" i="5"/>
  <c r="AH322" i="27"/>
  <c r="AH67" i="27"/>
  <c r="AN284" i="5"/>
  <c r="M11" i="27"/>
  <c r="AN140" i="5"/>
  <c r="AM294" i="5"/>
  <c r="AN258" i="5"/>
  <c r="AJ201" i="5"/>
  <c r="AJ274" i="5"/>
  <c r="AA170" i="27"/>
  <c r="AK30" i="5"/>
  <c r="AJ57" i="5"/>
  <c r="AK361" i="5"/>
  <c r="AM34" i="5"/>
  <c r="M90" i="27"/>
  <c r="AM263" i="5"/>
  <c r="AM84" i="5"/>
  <c r="AJ125" i="5"/>
  <c r="AK142" i="5"/>
  <c r="AJ212" i="5"/>
  <c r="AN359" i="5"/>
  <c r="AL215" i="5"/>
  <c r="AH251" i="27"/>
  <c r="AJ362" i="5"/>
  <c r="AM160" i="5"/>
  <c r="AO244" i="27"/>
  <c r="M325" i="27"/>
  <c r="AL206" i="5"/>
  <c r="AN45" i="5"/>
  <c r="AM157" i="5"/>
  <c r="AL182" i="5"/>
  <c r="AO20" i="27"/>
  <c r="AM349" i="5"/>
  <c r="AM29" i="5"/>
  <c r="AM237" i="5"/>
  <c r="AJ272" i="5"/>
  <c r="AO299" i="27"/>
  <c r="AJ213" i="5"/>
  <c r="AJ308" i="5"/>
  <c r="AL284" i="5"/>
  <c r="AL214" i="5"/>
  <c r="AN307" i="5"/>
  <c r="AN85" i="5"/>
  <c r="AJ200" i="5"/>
  <c r="AJ248" i="5"/>
  <c r="AJ133" i="5"/>
  <c r="AN112" i="5"/>
  <c r="AJ324" i="5"/>
  <c r="AM347" i="5"/>
  <c r="AJ325" i="5"/>
  <c r="AM77" i="5"/>
  <c r="AL64" i="5"/>
  <c r="AK116" i="5"/>
  <c r="T105" i="27"/>
  <c r="AO321" i="27"/>
  <c r="AN265" i="5"/>
  <c r="AL27" i="5"/>
  <c r="AL32" i="5"/>
  <c r="AN57" i="5"/>
  <c r="AM83" i="5"/>
  <c r="AJ176" i="5"/>
  <c r="AL342" i="5"/>
  <c r="AK301" i="5"/>
  <c r="AA201" i="27"/>
  <c r="AN293" i="5"/>
  <c r="AH218" i="27"/>
  <c r="AL221" i="5"/>
  <c r="M112" i="27"/>
  <c r="AA233" i="27"/>
  <c r="AM230" i="5"/>
  <c r="AM206" i="5"/>
  <c r="AH259" i="27"/>
  <c r="AJ173" i="5"/>
  <c r="AM78" i="5"/>
  <c r="AL54" i="5"/>
  <c r="AJ123" i="5"/>
  <c r="T120" i="27"/>
  <c r="M298" i="27"/>
  <c r="AN354" i="5"/>
  <c r="AA131" i="27"/>
  <c r="T104" i="27"/>
  <c r="AA290" i="27"/>
  <c r="AM217" i="5"/>
  <c r="AA112" i="27"/>
  <c r="AO144" i="27"/>
  <c r="AM269" i="5"/>
  <c r="T320" i="27"/>
  <c r="AA75" i="27"/>
  <c r="M40" i="27"/>
  <c r="T70" i="27"/>
  <c r="M201" i="27"/>
  <c r="AH180" i="27"/>
  <c r="AA15" i="27"/>
  <c r="AO171" i="27"/>
  <c r="AA257" i="27"/>
  <c r="AH263" i="27"/>
  <c r="AN107" i="5"/>
  <c r="AM234" i="5"/>
  <c r="AA70" i="27"/>
  <c r="AM216" i="5"/>
  <c r="AN323" i="5"/>
  <c r="AK194" i="5"/>
  <c r="AN201" i="5"/>
  <c r="AN108" i="5"/>
  <c r="AL134" i="5"/>
  <c r="T180" i="27"/>
  <c r="AO364" i="27"/>
  <c r="M129" i="27"/>
  <c r="AK337" i="5"/>
  <c r="AK346" i="5"/>
  <c r="AM185" i="5"/>
  <c r="AO36" i="27"/>
  <c r="AN61" i="5"/>
  <c r="T244" i="27"/>
  <c r="AO111" i="27"/>
  <c r="T295" i="27"/>
  <c r="T67" i="27"/>
  <c r="M161" i="27"/>
  <c r="T92" i="27"/>
  <c r="AN34" i="5"/>
  <c r="AO196" i="27"/>
  <c r="AH27" i="27"/>
  <c r="AH120" i="27"/>
  <c r="AM113" i="5"/>
  <c r="T174" i="27"/>
  <c r="M22" i="27"/>
  <c r="AN274" i="5"/>
  <c r="AM363" i="5"/>
  <c r="T8" i="27"/>
  <c r="AA348" i="27"/>
  <c r="AK176" i="5"/>
  <c r="AA152" i="27"/>
  <c r="T255" i="27"/>
  <c r="AL41" i="5"/>
  <c r="AK50" i="5"/>
  <c r="AK103" i="5"/>
  <c r="AN72" i="5"/>
  <c r="AM210" i="5"/>
  <c r="AH229" i="27"/>
  <c r="T334" i="27"/>
  <c r="AH330" i="27"/>
  <c r="M91" i="27"/>
  <c r="AK61" i="5"/>
  <c r="T136" i="27"/>
  <c r="AN65" i="5"/>
  <c r="M278" i="27"/>
  <c r="AN133" i="5"/>
  <c r="AK10" i="5"/>
  <c r="AO10" i="27"/>
  <c r="AA92" i="27"/>
  <c r="AA175" i="27"/>
  <c r="AO199" i="27"/>
  <c r="AN314" i="5"/>
  <c r="AH273" i="27"/>
  <c r="AA321" i="27"/>
  <c r="AJ91" i="5"/>
  <c r="T281" i="27"/>
  <c r="AH170" i="27"/>
  <c r="T284" i="27"/>
  <c r="T165" i="27"/>
  <c r="M288" i="27"/>
  <c r="K18" i="3"/>
  <c r="AJ320" i="5"/>
  <c r="AJ299" i="5"/>
  <c r="AL177" i="5"/>
  <c r="T246" i="27"/>
  <c r="AA307" i="27"/>
  <c r="AK349" i="5"/>
  <c r="AJ148" i="5"/>
  <c r="AH62" i="27"/>
  <c r="K17" i="3"/>
  <c r="AM115" i="5"/>
  <c r="AL35" i="5"/>
  <c r="AL133" i="5"/>
  <c r="AO55" i="27"/>
  <c r="AJ172" i="5"/>
  <c r="T287" i="27"/>
  <c r="T25" i="27"/>
  <c r="AO51" i="27"/>
  <c r="AK262" i="5"/>
  <c r="M269" i="27"/>
  <c r="M221" i="27"/>
  <c r="AN155" i="5"/>
  <c r="AL187" i="5"/>
  <c r="AM12" i="5"/>
  <c r="AK104" i="5"/>
  <c r="AN70" i="5"/>
  <c r="AM144" i="5"/>
  <c r="AK315" i="5"/>
  <c r="AN164" i="5"/>
  <c r="T114" i="27"/>
  <c r="AK65" i="5"/>
  <c r="AH340" i="27"/>
  <c r="AK27" i="5"/>
  <c r="AK317" i="5"/>
  <c r="AM292" i="5"/>
  <c r="AL74" i="5"/>
  <c r="AL243" i="5"/>
  <c r="T107" i="27"/>
  <c r="AK182" i="5"/>
  <c r="AM311" i="5"/>
  <c r="AL100" i="5"/>
  <c r="AL185" i="5"/>
  <c r="AJ267" i="5"/>
  <c r="AL362" i="5"/>
  <c r="AN326" i="5"/>
  <c r="AL118" i="5"/>
  <c r="AJ215" i="5"/>
  <c r="T221" i="27"/>
  <c r="AH236" i="27"/>
  <c r="AM304" i="5"/>
  <c r="AM231" i="5"/>
  <c r="AM192" i="5"/>
  <c r="AJ278" i="5"/>
  <c r="AK19" i="5"/>
  <c r="AH321" i="27"/>
  <c r="AJ124" i="5"/>
  <c r="AH250" i="27"/>
  <c r="AK218" i="5"/>
  <c r="AL52" i="5"/>
  <c r="AH158" i="27"/>
  <c r="AA216" i="27"/>
  <c r="AK134" i="5"/>
  <c r="AM30" i="5"/>
  <c r="AN358" i="5"/>
  <c r="AH46" i="27"/>
  <c r="AK269" i="5"/>
  <c r="AJ345" i="5"/>
  <c r="AL115" i="5"/>
  <c r="AK193" i="5"/>
  <c r="AN169" i="5"/>
  <c r="AN11" i="5"/>
  <c r="AN35" i="5"/>
  <c r="AO204" i="27"/>
  <c r="AK84" i="5"/>
  <c r="AJ226" i="5"/>
  <c r="M236" i="27"/>
  <c r="AK251" i="5"/>
  <c r="AL148" i="5"/>
  <c r="AO194" i="27"/>
  <c r="AL169" i="5"/>
  <c r="AK26" i="5"/>
  <c r="AN131" i="5"/>
  <c r="T215" i="27"/>
  <c r="AJ87" i="5"/>
  <c r="AA192" i="27"/>
  <c r="AJ10" i="5"/>
  <c r="M134" i="27"/>
  <c r="AJ128" i="5"/>
  <c r="AN350" i="5"/>
  <c r="AO87" i="27"/>
  <c r="AK160" i="5"/>
  <c r="AA228" i="27"/>
  <c r="M354" i="27"/>
  <c r="AA81" i="27"/>
  <c r="AA270" i="27"/>
  <c r="AK234" i="5"/>
  <c r="AN254" i="5"/>
  <c r="T298" i="27"/>
  <c r="AL84" i="5"/>
  <c r="T286" i="27"/>
  <c r="T318" i="27"/>
  <c r="AN210" i="5"/>
  <c r="AO290" i="27"/>
  <c r="AO228" i="27"/>
  <c r="AJ64" i="5"/>
  <c r="AL265" i="5"/>
  <c r="AO207" i="27"/>
  <c r="AA293" i="27"/>
  <c r="T15" i="27"/>
  <c r="AK138" i="5"/>
  <c r="AJ65" i="5"/>
  <c r="AJ211" i="5"/>
  <c r="AN236" i="5"/>
  <c r="AJ250" i="5"/>
  <c r="AL135" i="5"/>
  <c r="AA256" i="27"/>
  <c r="AM197" i="5"/>
  <c r="AK344" i="5"/>
  <c r="AN186" i="5"/>
  <c r="AH76" i="27"/>
  <c r="AN290" i="5"/>
  <c r="AJ164" i="5"/>
  <c r="AK23" i="5"/>
  <c r="AM282" i="5"/>
  <c r="AA315" i="27"/>
  <c r="AO110" i="27"/>
  <c r="M287" i="27"/>
  <c r="AL161" i="5"/>
  <c r="AM44" i="5"/>
  <c r="M191" i="27"/>
  <c r="AN64" i="5"/>
  <c r="T264" i="27"/>
  <c r="AN28" i="5"/>
  <c r="AN158" i="5"/>
  <c r="AH176" i="27"/>
  <c r="AL260" i="5"/>
  <c r="AN147" i="5"/>
  <c r="AO266" i="27"/>
  <c r="T63" i="27"/>
  <c r="M339" i="27"/>
  <c r="AL95" i="5"/>
  <c r="AK246" i="5"/>
  <c r="AH329" i="27"/>
  <c r="AK170" i="5"/>
  <c r="AK290" i="5"/>
  <c r="AK276" i="5"/>
  <c r="AM317" i="5"/>
  <c r="M63" i="27"/>
  <c r="AO33" i="27"/>
  <c r="AM307" i="5"/>
  <c r="AA8" i="27"/>
  <c r="AJ216" i="5"/>
  <c r="AO362" i="27"/>
  <c r="AK221" i="5"/>
  <c r="AL48" i="5"/>
  <c r="AJ52" i="5"/>
  <c r="M207" i="27"/>
  <c r="AL289" i="5"/>
  <c r="AK75" i="5"/>
  <c r="AN285" i="5"/>
  <c r="T102" i="27"/>
  <c r="AK184" i="5"/>
  <c r="AM10" i="5"/>
  <c r="AK13" i="5"/>
  <c r="M341" i="27"/>
  <c r="AH54" i="27"/>
  <c r="AM181" i="5"/>
  <c r="AN343" i="5"/>
  <c r="AM39" i="5"/>
  <c r="AJ183" i="5"/>
  <c r="T296" i="27"/>
  <c r="AO79" i="27"/>
  <c r="AK195" i="5"/>
  <c r="AJ301" i="5"/>
  <c r="AH154" i="27"/>
  <c r="AA47" i="27"/>
  <c r="AA84" i="27"/>
  <c r="AA352" i="27"/>
  <c r="AO177" i="27"/>
  <c r="AA329" i="27"/>
  <c r="AH130" i="27"/>
  <c r="AO255" i="27"/>
  <c r="T7" i="27"/>
  <c r="AJ77" i="5"/>
  <c r="AH296" i="27"/>
  <c r="M363" i="27"/>
  <c r="AL67" i="5"/>
  <c r="AK69" i="5"/>
  <c r="AJ333" i="5"/>
  <c r="AL357" i="5"/>
  <c r="AO201" i="27"/>
  <c r="T100" i="27"/>
  <c r="AH175" i="27"/>
  <c r="T32" i="27"/>
  <c r="M289" i="27"/>
  <c r="T42" i="27"/>
  <c r="AN228" i="5"/>
  <c r="AM319" i="5"/>
  <c r="AJ157" i="5"/>
  <c r="AK171" i="5"/>
  <c r="AJ240" i="5"/>
  <c r="AK322" i="5"/>
  <c r="AL117" i="5"/>
  <c r="AN129" i="5"/>
  <c r="AO138" i="27"/>
  <c r="AO213" i="27"/>
  <c r="AM142" i="5"/>
  <c r="AO71" i="27"/>
  <c r="AA172" i="27"/>
  <c r="AK110" i="5"/>
  <c r="M326" i="27"/>
  <c r="M265" i="27"/>
  <c r="AH112" i="27"/>
  <c r="AN37" i="5"/>
  <c r="AJ127" i="5"/>
  <c r="AM99" i="5"/>
  <c r="T82" i="27"/>
  <c r="AO140" i="27"/>
  <c r="AL295" i="5"/>
  <c r="AL149" i="5"/>
  <c r="AK45" i="5"/>
  <c r="AA168" i="27"/>
  <c r="AH13" i="27"/>
  <c r="AK177" i="5"/>
  <c r="T77" i="27"/>
  <c r="AM129" i="5"/>
  <c r="AK105" i="5"/>
  <c r="AN200" i="5"/>
  <c r="AH351" i="27"/>
  <c r="M346" i="27"/>
  <c r="AN119" i="5"/>
  <c r="AK112" i="5"/>
  <c r="AN16" i="5"/>
  <c r="AL194" i="5"/>
  <c r="AJ203" i="5"/>
  <c r="AL103" i="5"/>
  <c r="AL245" i="5"/>
  <c r="AO69" i="27"/>
  <c r="AJ159" i="5"/>
  <c r="AJ268" i="5"/>
  <c r="AN189" i="5"/>
  <c r="M234" i="27"/>
  <c r="AJ277" i="5"/>
  <c r="AJ86" i="5"/>
  <c r="T159" i="27"/>
  <c r="AL191" i="5"/>
  <c r="AL226" i="5"/>
  <c r="AO262" i="27"/>
  <c r="AK226" i="5"/>
  <c r="AA153" i="27"/>
  <c r="AK33" i="5"/>
  <c r="AN14" i="5"/>
  <c r="AJ136" i="5"/>
  <c r="AL338" i="5"/>
  <c r="AM238" i="5"/>
  <c r="AL273" i="5"/>
  <c r="T24" i="27"/>
  <c r="AK148" i="5"/>
  <c r="AO25" i="27"/>
  <c r="AO222" i="27"/>
  <c r="T183" i="27"/>
  <c r="AL137" i="5"/>
  <c r="AA164" i="27"/>
  <c r="AN362" i="5"/>
  <c r="AN360" i="5"/>
  <c r="AA281" i="27"/>
  <c r="AM140" i="5"/>
  <c r="AH83" i="27"/>
  <c r="AN352" i="5"/>
  <c r="AH110" i="27"/>
  <c r="AN263" i="5"/>
  <c r="AH258" i="27"/>
  <c r="AL123" i="5"/>
  <c r="AM218" i="5"/>
  <c r="AM172" i="5"/>
  <c r="M51" i="27"/>
  <c r="AL96" i="5"/>
  <c r="T216" i="27"/>
  <c r="AL280" i="5"/>
  <c r="AA213" i="27"/>
  <c r="AK283" i="5"/>
  <c r="AJ88" i="5"/>
  <c r="AN93" i="5"/>
  <c r="AN120" i="5"/>
  <c r="AH310" i="27"/>
  <c r="M210" i="27"/>
  <c r="AO7" i="27"/>
  <c r="AJ38" i="5"/>
  <c r="T199" i="27"/>
  <c r="T291" i="27"/>
  <c r="AL7" i="5"/>
  <c r="AL227" i="5"/>
  <c r="AM208" i="5"/>
  <c r="AN111" i="5"/>
  <c r="AJ263" i="5"/>
  <c r="AK360" i="5"/>
  <c r="AM138" i="5"/>
  <c r="AM336" i="5"/>
  <c r="AL271" i="5"/>
  <c r="AM112" i="5"/>
  <c r="AJ221" i="5"/>
  <c r="AJ363" i="5"/>
  <c r="AL259" i="5"/>
  <c r="AM200" i="5"/>
  <c r="AL37" i="5"/>
  <c r="AK22" i="5"/>
  <c r="AJ256" i="5"/>
  <c r="AN128" i="5"/>
  <c r="AN144" i="5"/>
  <c r="AO17" i="27"/>
  <c r="AJ24" i="5"/>
  <c r="AO307" i="27"/>
  <c r="AN202" i="5"/>
  <c r="AJ41" i="5"/>
  <c r="AL218" i="5"/>
  <c r="AA118" i="27"/>
  <c r="AK162" i="5"/>
  <c r="AK143" i="5"/>
  <c r="AL157" i="5"/>
  <c r="AN276" i="5"/>
  <c r="AH206" i="27"/>
  <c r="AO287" i="27"/>
  <c r="AL127" i="5"/>
  <c r="AL171" i="5"/>
  <c r="T297" i="27"/>
  <c r="AO200" i="27"/>
  <c r="AJ140" i="5"/>
  <c r="AJ178" i="5"/>
  <c r="AJ290" i="5"/>
  <c r="AA126" i="27"/>
  <c r="AK287" i="5"/>
  <c r="AN86" i="5"/>
  <c r="M247" i="27"/>
  <c r="AH192" i="27"/>
  <c r="AJ291" i="5"/>
  <c r="AM334" i="5"/>
  <c r="AA240" i="27"/>
  <c r="M193" i="27"/>
  <c r="AL78" i="5"/>
  <c r="AN275" i="5"/>
  <c r="AM170" i="5"/>
  <c r="AO348" i="27"/>
  <c r="AM301" i="5"/>
  <c r="M118" i="27"/>
  <c r="AL144" i="5"/>
  <c r="AK102" i="5"/>
  <c r="AO73" i="27"/>
  <c r="AN318" i="5"/>
  <c r="AK153" i="5"/>
  <c r="AL307" i="5"/>
  <c r="AA237" i="27"/>
  <c r="AK62" i="5"/>
  <c r="T227" i="27"/>
  <c r="AJ78" i="5"/>
  <c r="AL246" i="5"/>
  <c r="AJ7" i="5"/>
  <c r="AM152" i="5"/>
  <c r="AM154" i="5"/>
  <c r="AJ317" i="5"/>
  <c r="AK345" i="5"/>
  <c r="AK172" i="5"/>
  <c r="AL129" i="5"/>
  <c r="AJ83" i="5"/>
  <c r="AH235" i="27"/>
  <c r="T87" i="27"/>
  <c r="AM290" i="5"/>
  <c r="AO61" i="27"/>
  <c r="AJ132" i="5"/>
  <c r="M213" i="27"/>
  <c r="AM344" i="5"/>
  <c r="AJ42" i="5"/>
  <c r="AN340" i="5"/>
  <c r="AM204" i="5"/>
  <c r="AJ330" i="5"/>
  <c r="AM338" i="5"/>
  <c r="AL58" i="5"/>
  <c r="AL145" i="5"/>
  <c r="AA327" i="27"/>
  <c r="T225" i="27"/>
  <c r="T309" i="27"/>
  <c r="AM346" i="5"/>
  <c r="M273" i="27"/>
  <c r="AL19" i="5"/>
  <c r="T62" i="27"/>
  <c r="AH136" i="27"/>
  <c r="AM357" i="5"/>
  <c r="AM244" i="5"/>
  <c r="AO117" i="27"/>
  <c r="AA31" i="27"/>
  <c r="AN256" i="5"/>
  <c r="AM253" i="5"/>
  <c r="AK284" i="5"/>
  <c r="AL239" i="5"/>
  <c r="AK212" i="5"/>
  <c r="AL247" i="5"/>
  <c r="AJ135" i="5"/>
  <c r="AN113" i="5"/>
  <c r="AK295" i="5"/>
  <c r="AK257" i="5"/>
  <c r="AN289" i="5"/>
  <c r="AL283" i="5"/>
  <c r="AO86" i="27"/>
  <c r="AK101" i="5"/>
  <c r="AL56" i="5"/>
  <c r="AK114" i="5"/>
  <c r="AA219" i="27"/>
  <c r="T292" i="27"/>
  <c r="M78" i="27"/>
  <c r="AH202" i="27"/>
  <c r="AA93" i="27"/>
  <c r="AO164" i="27"/>
  <c r="M208" i="27"/>
  <c r="T339" i="27"/>
  <c r="AH57" i="27"/>
  <c r="AA274" i="27"/>
  <c r="AA63" i="27"/>
  <c r="T317" i="27"/>
  <c r="AN197" i="5"/>
  <c r="AO84" i="27"/>
  <c r="AA251" i="27"/>
  <c r="AH80" i="27"/>
  <c r="T79" i="27"/>
  <c r="AN185" i="5"/>
  <c r="AA323" i="27"/>
  <c r="AL167" i="5"/>
  <c r="AO129" i="27"/>
  <c r="AM318" i="5"/>
  <c r="T280" i="27"/>
  <c r="AO42" i="27"/>
  <c r="AJ101" i="5"/>
  <c r="AA182" i="27"/>
  <c r="AN361" i="5"/>
  <c r="AM158" i="5"/>
  <c r="AJ138" i="5"/>
  <c r="M77" i="27"/>
  <c r="T239" i="27"/>
  <c r="M178" i="27"/>
  <c r="AK97" i="5"/>
  <c r="M124" i="27"/>
  <c r="T154" i="27"/>
  <c r="AK238" i="5"/>
  <c r="AA206" i="27"/>
  <c r="M299" i="27"/>
  <c r="AJ246" i="5"/>
  <c r="AL278" i="5"/>
  <c r="AL175" i="5"/>
  <c r="T314" i="27"/>
  <c r="AH248" i="27"/>
  <c r="AK254" i="5"/>
  <c r="AO302" i="27"/>
  <c r="T337" i="27"/>
  <c r="AL33" i="5"/>
  <c r="AA23" i="27"/>
  <c r="AA80" i="27"/>
  <c r="AO329" i="27"/>
  <c r="M357" i="27"/>
  <c r="M255" i="27"/>
  <c r="AJ9" i="5"/>
  <c r="AL321" i="5"/>
  <c r="AM106" i="5"/>
  <c r="AJ233" i="5"/>
  <c r="T276" i="27"/>
  <c r="AN279" i="5"/>
  <c r="AN306" i="5"/>
  <c r="AL292" i="5"/>
  <c r="AL57" i="5"/>
  <c r="AL81" i="5"/>
  <c r="AM186" i="5"/>
  <c r="AM270" i="5"/>
  <c r="AN118" i="5"/>
  <c r="T217" i="27"/>
  <c r="AK306" i="5"/>
  <c r="AJ84" i="5"/>
  <c r="AK363" i="5"/>
  <c r="AN282" i="5"/>
  <c r="AM339" i="5"/>
  <c r="AN194" i="5"/>
  <c r="AJ11" i="5"/>
  <c r="AJ270" i="5"/>
  <c r="T327" i="27"/>
  <c r="AO235" i="27"/>
  <c r="AA223" i="27"/>
  <c r="AM322" i="5"/>
  <c r="AL28" i="5"/>
  <c r="AH357" i="27"/>
  <c r="AO242" i="27"/>
  <c r="M125" i="27"/>
  <c r="AL190" i="5"/>
  <c r="AL141" i="5"/>
  <c r="AH10" i="27"/>
  <c r="AK146" i="5"/>
  <c r="AK115" i="5"/>
  <c r="AJ181" i="5"/>
  <c r="AM91" i="5"/>
  <c r="AK37" i="5"/>
  <c r="AA191" i="27"/>
  <c r="AH337" i="27"/>
  <c r="AJ342" i="5"/>
  <c r="AA19" i="27"/>
  <c r="AL124" i="5"/>
  <c r="AM88" i="5"/>
  <c r="AO181" i="27"/>
  <c r="AJ90" i="5"/>
  <c r="AM190" i="5"/>
  <c r="M147" i="27"/>
  <c r="AL204" i="5"/>
  <c r="AO70" i="27"/>
  <c r="AM303" i="5"/>
  <c r="T11" i="27"/>
  <c r="M204" i="27"/>
  <c r="AL251" i="5"/>
  <c r="AM235" i="5"/>
  <c r="AJ348" i="5"/>
  <c r="AN134" i="5"/>
  <c r="AJ130" i="5"/>
  <c r="AK187" i="5"/>
  <c r="T184" i="27"/>
  <c r="AH309" i="27"/>
  <c r="AJ51" i="5"/>
  <c r="AM40" i="5"/>
  <c r="AN324" i="5"/>
  <c r="AK6" i="5"/>
  <c r="AN141" i="5"/>
  <c r="AK263" i="5"/>
  <c r="T211" i="27"/>
  <c r="AN143" i="5"/>
  <c r="AL237" i="5"/>
  <c r="M151" i="27"/>
  <c r="AN245" i="5"/>
  <c r="AA346" i="27"/>
  <c r="M218" i="27"/>
  <c r="T37" i="27"/>
  <c r="AJ217" i="5"/>
  <c r="AA287" i="27"/>
  <c r="AM229" i="5"/>
  <c r="AA360" i="27"/>
  <c r="AM41" i="5"/>
  <c r="AN315" i="5"/>
  <c r="AO298" i="27"/>
  <c r="AK323" i="5"/>
  <c r="AJ306" i="5"/>
  <c r="AK350" i="5"/>
  <c r="M244" i="27"/>
  <c r="AL340" i="5"/>
  <c r="AJ194" i="5"/>
  <c r="AJ357" i="5"/>
  <c r="AK133" i="5"/>
  <c r="AL303" i="5"/>
  <c r="AJ111" i="5"/>
  <c r="AM48" i="5"/>
  <c r="AN311" i="5"/>
  <c r="AM199" i="5"/>
  <c r="AN95" i="5"/>
  <c r="AL222" i="5"/>
  <c r="AL319" i="5"/>
  <c r="AJ191" i="5"/>
  <c r="AN91" i="5"/>
  <c r="AK292" i="5"/>
  <c r="AH20" i="27"/>
  <c r="M189" i="27"/>
  <c r="AM105" i="5"/>
  <c r="AK232" i="5"/>
  <c r="AH161" i="27"/>
  <c r="AL279" i="5"/>
  <c r="AK185" i="5"/>
  <c r="AJ285" i="5"/>
  <c r="AK128" i="5"/>
  <c r="AN90" i="5"/>
  <c r="AO154" i="27"/>
  <c r="AJ302" i="5"/>
  <c r="AJ255" i="5"/>
  <c r="AJ49" i="5"/>
  <c r="AM124" i="5"/>
  <c r="T258" i="27"/>
  <c r="AL72" i="5"/>
  <c r="AL269" i="5"/>
  <c r="AK220" i="5"/>
  <c r="AK266" i="5"/>
  <c r="AJ112" i="5"/>
  <c r="AK202" i="5"/>
  <c r="AN76" i="5"/>
  <c r="M225" i="27"/>
  <c r="AM36" i="5"/>
  <c r="AN162" i="5"/>
  <c r="AK124" i="5"/>
  <c r="AA155" i="27"/>
  <c r="M251" i="27"/>
  <c r="AN269" i="5"/>
  <c r="AN132" i="5"/>
  <c r="AH365" i="27"/>
  <c r="AN154" i="5"/>
  <c r="AH24" i="27"/>
  <c r="AM66" i="5"/>
  <c r="AL210" i="5"/>
  <c r="T124" i="27"/>
  <c r="AL131" i="5"/>
  <c r="AK186" i="5"/>
  <c r="AJ167" i="5"/>
  <c r="AM189" i="5"/>
  <c r="AL344" i="5"/>
  <c r="AA106" i="27"/>
  <c r="M176" i="27"/>
  <c r="AA190" i="27"/>
  <c r="AJ107" i="5"/>
  <c r="AK67" i="5"/>
  <c r="AO46" i="27"/>
  <c r="AN17" i="5"/>
  <c r="AJ35" i="5"/>
  <c r="AO115" i="27"/>
  <c r="AK191" i="5"/>
  <c r="AN278" i="5"/>
  <c r="AJ18" i="5"/>
  <c r="AN240" i="5"/>
  <c r="AM176" i="5"/>
  <c r="AM111" i="5"/>
  <c r="T176" i="27"/>
  <c r="AN36" i="5"/>
  <c r="AN89" i="5"/>
  <c r="AK204" i="5"/>
  <c r="AK237" i="5"/>
  <c r="AL199" i="5"/>
  <c r="AN301" i="5"/>
  <c r="AN217" i="5"/>
  <c r="AM215" i="5"/>
  <c r="AK348" i="5"/>
  <c r="AO285" i="27"/>
  <c r="AJ59" i="5"/>
  <c r="AN56" i="5"/>
  <c r="AO182" i="27"/>
  <c r="AO193" i="27"/>
  <c r="AJ26" i="5"/>
  <c r="AH39" i="27"/>
  <c r="AO315" i="27"/>
  <c r="M258" i="27"/>
  <c r="AM110" i="5"/>
  <c r="AA220" i="27"/>
  <c r="M31" i="27"/>
  <c r="M79" i="27"/>
  <c r="M179" i="27"/>
  <c r="AJ188" i="5"/>
  <c r="AJ295" i="5"/>
  <c r="AO35" i="27"/>
  <c r="AH198" i="27"/>
  <c r="AH226" i="27"/>
  <c r="AM245" i="5"/>
  <c r="T207" i="27"/>
  <c r="M72" i="27"/>
  <c r="AM54" i="5"/>
  <c r="AO240" i="27"/>
  <c r="AH172" i="27"/>
  <c r="AA94" i="27"/>
  <c r="AA11" i="27"/>
  <c r="AH268" i="27"/>
  <c r="AJ331" i="5"/>
  <c r="M307" i="27"/>
  <c r="M228" i="27"/>
  <c r="AK161" i="5"/>
  <c r="AL79" i="5"/>
  <c r="AL108" i="5"/>
  <c r="M215" i="27"/>
  <c r="M257" i="27"/>
  <c r="AJ283" i="5"/>
  <c r="AH116" i="27"/>
  <c r="T78" i="27"/>
  <c r="AH14" i="27"/>
  <c r="M256" i="27"/>
  <c r="AH354" i="27"/>
  <c r="AO360" i="27"/>
  <c r="AH247" i="27"/>
  <c r="AH217" i="27"/>
  <c r="AJ122" i="5"/>
  <c r="T22" i="27"/>
  <c r="T130" i="27"/>
  <c r="AO114" i="27"/>
  <c r="AH30" i="27"/>
  <c r="AO165" i="27"/>
  <c r="M205" i="27"/>
  <c r="M62" i="27"/>
  <c r="AJ339" i="5"/>
  <c r="AO318" i="27"/>
  <c r="AO280" i="27"/>
  <c r="AL209" i="5"/>
  <c r="AK307" i="5"/>
  <c r="M130" i="27"/>
  <c r="AJ116" i="5"/>
  <c r="AL263" i="5"/>
  <c r="AH203" i="27"/>
  <c r="AM320" i="5"/>
  <c r="T197" i="27"/>
  <c r="AK243" i="5"/>
  <c r="AK167" i="5"/>
  <c r="AJ196" i="5"/>
  <c r="AL213" i="5"/>
  <c r="AM287" i="5"/>
  <c r="AJ180" i="5"/>
  <c r="AJ76" i="5"/>
  <c r="AM168" i="5"/>
  <c r="AJ115" i="5"/>
  <c r="AK158" i="5"/>
  <c r="AM194" i="5"/>
  <c r="AN99" i="5"/>
  <c r="AL349" i="5"/>
  <c r="AN227" i="5"/>
  <c r="AM286" i="5"/>
  <c r="AK228" i="5"/>
  <c r="AJ153" i="5"/>
  <c r="T365" i="27"/>
  <c r="AM125" i="5"/>
  <c r="T250" i="27"/>
  <c r="AN50" i="5"/>
  <c r="AJ186" i="5"/>
  <c r="AA273" i="27"/>
  <c r="AA33" i="27"/>
  <c r="AK299" i="5"/>
  <c r="AK347" i="5"/>
  <c r="AJ170" i="5"/>
  <c r="AH42" i="27"/>
  <c r="AH22" i="27"/>
  <c r="AL22" i="5"/>
  <c r="AO328" i="27"/>
  <c r="AK28" i="5"/>
  <c r="AM227" i="5"/>
  <c r="AN73" i="5"/>
  <c r="AL310" i="5"/>
  <c r="AM191" i="5"/>
  <c r="T118" i="27"/>
  <c r="AL50" i="5"/>
  <c r="AA288" i="27"/>
  <c r="AM289" i="5"/>
  <c r="AL318" i="5"/>
  <c r="AN180" i="5"/>
  <c r="AN174" i="5"/>
  <c r="AL163" i="5"/>
  <c r="AN204" i="5"/>
  <c r="AM323" i="5"/>
  <c r="AH292" i="27"/>
  <c r="AJ61" i="5"/>
  <c r="M83" i="27"/>
  <c r="AO143" i="27"/>
  <c r="AA66" i="27"/>
  <c r="AJ258" i="5"/>
  <c r="AM72" i="5"/>
  <c r="AM65" i="5"/>
  <c r="AM81" i="5"/>
  <c r="AL348" i="5"/>
  <c r="AK244" i="5"/>
  <c r="AL13" i="5"/>
  <c r="AM139" i="5"/>
  <c r="AM222" i="5"/>
  <c r="AH356" i="27"/>
  <c r="AN192" i="5"/>
  <c r="AL198" i="5"/>
  <c r="M169" i="27"/>
  <c r="AL31" i="5"/>
  <c r="AN247" i="5"/>
  <c r="AL203" i="5"/>
  <c r="AM131" i="5"/>
  <c r="AN196" i="5"/>
  <c r="AJ307" i="5"/>
  <c r="AN29" i="5"/>
  <c r="AN317" i="5"/>
  <c r="AL268" i="5"/>
  <c r="AL324" i="5"/>
  <c r="AL202" i="5"/>
  <c r="AL89" i="5"/>
  <c r="AA254" i="27"/>
  <c r="AM37" i="5"/>
  <c r="AL65" i="5"/>
  <c r="AM266" i="5"/>
  <c r="AM108" i="5"/>
  <c r="M270" i="27"/>
  <c r="AL184" i="5"/>
  <c r="AN292" i="5"/>
  <c r="AM95" i="5"/>
  <c r="AO158" i="27"/>
  <c r="AL299" i="5"/>
  <c r="AM116" i="5"/>
  <c r="M348" i="27"/>
  <c r="AH269" i="27"/>
  <c r="AK192" i="5"/>
  <c r="AL322" i="5"/>
  <c r="AK286" i="5"/>
  <c r="AJ359" i="5"/>
  <c r="AN22" i="5"/>
  <c r="M58" i="27"/>
  <c r="AK131" i="5"/>
  <c r="AK119" i="5"/>
  <c r="AM252" i="5"/>
  <c r="AN163" i="5"/>
  <c r="AJ54" i="5"/>
  <c r="AK77" i="5"/>
  <c r="AO232" i="27"/>
  <c r="T30" i="27"/>
  <c r="AM228" i="5"/>
  <c r="AO152" i="27"/>
  <c r="AH225" i="27"/>
  <c r="AH186" i="27"/>
  <c r="T240" i="27"/>
  <c r="AK275" i="5"/>
  <c r="AM76" i="5"/>
  <c r="AN96" i="5"/>
  <c r="AL315" i="5"/>
  <c r="AJ289" i="5"/>
  <c r="M261" i="27"/>
  <c r="M167" i="27"/>
  <c r="AN157" i="5"/>
  <c r="AL181" i="5"/>
  <c r="AJ73" i="5"/>
  <c r="AA231" i="27"/>
  <c r="AJ208" i="5"/>
  <c r="AK239" i="5"/>
  <c r="AL244" i="5"/>
  <c r="AL23" i="5"/>
  <c r="T231" i="27"/>
  <c r="AK328" i="5"/>
  <c r="AM153" i="5"/>
  <c r="AL359" i="5"/>
  <c r="AM295" i="5"/>
  <c r="AN152" i="5"/>
  <c r="AN319" i="5"/>
  <c r="AL275" i="5"/>
  <c r="T326" i="27"/>
  <c r="AJ312" i="5"/>
  <c r="AN264" i="5"/>
  <c r="AM13" i="5"/>
  <c r="AN260" i="5"/>
  <c r="AJ243" i="5"/>
  <c r="AO53" i="27"/>
  <c r="AK338" i="5"/>
  <c r="AM53" i="5"/>
  <c r="T66" i="27"/>
  <c r="AN43" i="5"/>
  <c r="AH47" i="27"/>
  <c r="AL229" i="5"/>
  <c r="AL272" i="5"/>
  <c r="AK190" i="5"/>
  <c r="AN44" i="5"/>
  <c r="AA302" i="27"/>
  <c r="AH108" i="27"/>
  <c r="AN23" i="5"/>
  <c r="AK210" i="5"/>
  <c r="T237" i="27"/>
  <c r="AO254" i="27"/>
  <c r="AK229" i="5"/>
  <c r="AM56" i="5"/>
  <c r="AJ165" i="5"/>
  <c r="AN304" i="5"/>
  <c r="AM239" i="5"/>
  <c r="AJ334" i="5"/>
  <c r="T321" i="27"/>
  <c r="AL165" i="5"/>
  <c r="AM164" i="5"/>
  <c r="AM27" i="5"/>
  <c r="AJ126" i="5"/>
  <c r="AN40" i="5"/>
  <c r="AN336" i="5"/>
  <c r="AK58" i="5"/>
  <c r="AM58" i="5"/>
  <c r="AL250" i="5"/>
  <c r="AL225" i="5"/>
  <c r="AL240" i="5"/>
  <c r="M153" i="27"/>
  <c r="AH201" i="27"/>
  <c r="AH271" i="27"/>
  <c r="AH325" i="27"/>
  <c r="M111" i="27"/>
  <c r="AO93" i="27"/>
  <c r="AH293" i="27"/>
  <c r="AA154" i="27"/>
  <c r="M263" i="27"/>
  <c r="AK259" i="5"/>
  <c r="AH209" i="27"/>
  <c r="AH200" i="27"/>
  <c r="AH167" i="27"/>
  <c r="AH139" i="27"/>
  <c r="T212" i="27"/>
  <c r="T113" i="27"/>
  <c r="AK201" i="5"/>
  <c r="M202" i="27"/>
  <c r="T93" i="27"/>
  <c r="AK173" i="5"/>
  <c r="AO180" i="27"/>
  <c r="AL290" i="5"/>
  <c r="AH191" i="27"/>
  <c r="M358" i="27"/>
  <c r="M105" i="27"/>
  <c r="AK111" i="5"/>
  <c r="AN156" i="5"/>
  <c r="AK47" i="5"/>
  <c r="AL301" i="5"/>
  <c r="AL140" i="5"/>
  <c r="AM59" i="5"/>
  <c r="AJ17" i="5"/>
  <c r="AK318" i="5"/>
  <c r="AL43" i="5"/>
  <c r="AO203" i="27"/>
  <c r="AL312" i="5"/>
  <c r="AA362" i="27"/>
  <c r="M211" i="27"/>
  <c r="AO337" i="27"/>
  <c r="T149" i="27"/>
  <c r="AA138" i="27"/>
  <c r="AA344" i="27"/>
  <c r="M170" i="27"/>
  <c r="AA156" i="27"/>
  <c r="AN355" i="5"/>
  <c r="M93" i="27"/>
  <c r="T278" i="27"/>
  <c r="AA162" i="27"/>
  <c r="M231" i="27"/>
  <c r="AK14" i="5"/>
  <c r="M115" i="27"/>
  <c r="T279" i="27"/>
  <c r="M253" i="27"/>
  <c r="AA125" i="27"/>
  <c r="T233" i="27"/>
  <c r="AK156" i="5"/>
  <c r="AL325" i="5"/>
  <c r="AN364" i="5"/>
  <c r="AL170" i="5"/>
  <c r="AL71" i="5"/>
  <c r="AN54" i="5"/>
  <c r="AM92" i="5"/>
  <c r="T84" i="27"/>
  <c r="AO175" i="27"/>
  <c r="AH287" i="27"/>
  <c r="M43" i="27"/>
  <c r="AO271" i="27"/>
  <c r="AJ37" i="5"/>
  <c r="AJ182" i="5"/>
  <c r="AK12" i="5"/>
  <c r="AA291" i="27"/>
  <c r="AJ109" i="5"/>
  <c r="AK163" i="5"/>
  <c r="AL211" i="5"/>
  <c r="AN195" i="5"/>
  <c r="AL302" i="5"/>
  <c r="AN151" i="5"/>
  <c r="AM327" i="5"/>
  <c r="AM134" i="5"/>
  <c r="AM219" i="5"/>
  <c r="AM162" i="5"/>
  <c r="AL152" i="5"/>
  <c r="AH81" i="27"/>
  <c r="AO220" i="27"/>
  <c r="AM283" i="5"/>
  <c r="AJ293" i="5"/>
  <c r="AJ335" i="5"/>
  <c r="AN351" i="5"/>
  <c r="AH149" i="27"/>
  <c r="AN259" i="5"/>
  <c r="AN337" i="5"/>
  <c r="AK274" i="5"/>
  <c r="AK41" i="5"/>
  <c r="AK329" i="5"/>
  <c r="AM356" i="5"/>
  <c r="AN7" i="5"/>
  <c r="T203" i="27"/>
  <c r="AH113" i="27"/>
  <c r="AL193" i="5"/>
  <c r="AN18" i="5"/>
  <c r="AH60" i="27"/>
  <c r="AJ266" i="5"/>
  <c r="AO48" i="27"/>
  <c r="AM243" i="5"/>
  <c r="AN9" i="5"/>
  <c r="AM309" i="5"/>
  <c r="AL30" i="5"/>
  <c r="AJ199" i="5"/>
  <c r="AM350" i="5"/>
  <c r="AK324" i="5"/>
  <c r="AJ89" i="5"/>
  <c r="AM310" i="5"/>
  <c r="AJ44" i="5"/>
  <c r="AM312" i="5"/>
  <c r="AN230" i="5"/>
  <c r="AN38" i="5"/>
  <c r="AH11" i="27"/>
  <c r="AK321" i="5"/>
  <c r="AA117" i="27"/>
  <c r="AN221" i="5"/>
  <c r="AJ234" i="5"/>
  <c r="AK34" i="5"/>
  <c r="AL42" i="5"/>
  <c r="M30" i="27"/>
  <c r="AN117" i="5"/>
  <c r="AM174" i="5"/>
  <c r="AM188" i="5"/>
  <c r="AO269" i="27"/>
  <c r="AH245" i="27"/>
  <c r="AN297" i="5"/>
  <c r="AN41" i="5"/>
  <c r="AK32" i="5"/>
  <c r="AA299" i="27"/>
  <c r="M267" i="27"/>
  <c r="M206" i="27"/>
  <c r="AM161" i="5"/>
  <c r="AL159" i="5"/>
  <c r="AH105" i="27"/>
  <c r="AN212" i="5"/>
  <c r="AK165" i="5"/>
  <c r="AM221" i="5"/>
  <c r="AA263" i="27"/>
  <c r="AL197" i="5"/>
  <c r="AJ207" i="5"/>
  <c r="AN295" i="5"/>
  <c r="AM71" i="5"/>
  <c r="AK197" i="5"/>
  <c r="AL327" i="5"/>
  <c r="AN224" i="5"/>
  <c r="AJ273" i="5"/>
  <c r="M274" i="27"/>
  <c r="AN71" i="5"/>
  <c r="AK24" i="5"/>
  <c r="AN344" i="5"/>
  <c r="AN346" i="5"/>
  <c r="AO88" i="27"/>
  <c r="AL296" i="5"/>
  <c r="AL208" i="5"/>
  <c r="AM141" i="5"/>
  <c r="AK93" i="5"/>
  <c r="AN262" i="5"/>
  <c r="AO187" i="27"/>
  <c r="AO170" i="27"/>
  <c r="AH304" i="27"/>
  <c r="AK289" i="5"/>
  <c r="AM89" i="5"/>
  <c r="AJ225" i="5"/>
  <c r="K19" i="3"/>
  <c r="AN12" i="5"/>
  <c r="AK314" i="5"/>
  <c r="AK216" i="5"/>
  <c r="AL102" i="5"/>
  <c r="M165" i="27"/>
  <c r="AN166" i="5"/>
  <c r="AL212" i="5"/>
  <c r="AJ231" i="5"/>
  <c r="AK354" i="5"/>
  <c r="AN302" i="5"/>
  <c r="M46" i="27"/>
  <c r="AN135" i="5"/>
  <c r="AK11" i="5"/>
  <c r="AK273" i="5"/>
  <c r="AM248" i="5"/>
  <c r="AL98" i="5"/>
  <c r="AH336" i="27"/>
  <c r="AL69" i="5"/>
  <c r="AO64" i="27"/>
  <c r="AL242" i="5"/>
  <c r="AK140" i="5"/>
  <c r="AM267" i="5"/>
  <c r="AA261" i="27"/>
  <c r="T19" i="27"/>
  <c r="AK54" i="5"/>
  <c r="M109" i="27"/>
  <c r="AJ143" i="5"/>
  <c r="AK118" i="5"/>
  <c r="AN255" i="5"/>
  <c r="AO305" i="27"/>
  <c r="M142" i="27"/>
  <c r="AN241" i="5"/>
  <c r="AK219" i="5"/>
  <c r="AN303" i="5"/>
  <c r="AK311" i="5"/>
  <c r="T338" i="27"/>
  <c r="AM214" i="5"/>
  <c r="T191" i="27"/>
  <c r="AN30" i="5"/>
  <c r="AL51" i="5"/>
  <c r="AM343" i="5"/>
  <c r="AL156" i="5"/>
  <c r="AM326" i="5"/>
  <c r="AK196" i="5"/>
  <c r="AL350" i="5"/>
  <c r="AL24" i="5"/>
  <c r="T348" i="27"/>
  <c r="AK100" i="5"/>
  <c r="AH239" i="27"/>
  <c r="AJ265" i="5"/>
  <c r="AH15" i="27"/>
  <c r="AO354" i="27"/>
  <c r="AJ343" i="5"/>
  <c r="AJ81" i="5"/>
  <c r="AM74" i="5"/>
  <c r="AJ110" i="5"/>
  <c r="AK179" i="5"/>
  <c r="AA140" i="27"/>
  <c r="AN52" i="5"/>
  <c r="AL46" i="5"/>
  <c r="AA178" i="27"/>
  <c r="M242" i="27"/>
  <c r="AN187" i="5"/>
  <c r="AH181" i="27"/>
  <c r="AA244" i="27"/>
  <c r="AN330" i="5"/>
  <c r="AJ131" i="5"/>
  <c r="AM43" i="5"/>
  <c r="AO225" i="27"/>
  <c r="AM23" i="5"/>
  <c r="AN106" i="5"/>
  <c r="AA58" i="27"/>
  <c r="AJ287" i="5"/>
  <c r="AJ151" i="5"/>
  <c r="M89" i="27"/>
  <c r="AL356" i="5"/>
  <c r="AM17" i="5"/>
  <c r="M280" i="27"/>
  <c r="M343" i="27"/>
  <c r="AO227" i="27"/>
  <c r="AL253" i="5"/>
  <c r="AA351" i="27"/>
  <c r="AO134" i="27"/>
  <c r="AL116" i="5"/>
  <c r="T300" i="27"/>
  <c r="AO11" i="27"/>
  <c r="AH107" i="27"/>
  <c r="AA205" i="27"/>
  <c r="AA96" i="27"/>
  <c r="AA284" i="27"/>
  <c r="AK340" i="5"/>
  <c r="AA312" i="27"/>
  <c r="AO260" i="27"/>
  <c r="M271" i="27"/>
  <c r="AL248" i="5"/>
  <c r="M127" i="27"/>
  <c r="AL5" i="5"/>
  <c r="AJ99" i="5"/>
  <c r="AN353" i="5"/>
  <c r="M279" i="27"/>
  <c r="AN116" i="5"/>
  <c r="AN341" i="5"/>
  <c r="AM342" i="5"/>
  <c r="AM261" i="5"/>
  <c r="AA37" i="27"/>
  <c r="AN203" i="5"/>
  <c r="AM284" i="5"/>
  <c r="AA85" i="27"/>
  <c r="AH324" i="27"/>
  <c r="AA132" i="27"/>
  <c r="AJ56" i="5"/>
  <c r="T85" i="27"/>
  <c r="M338" i="27"/>
  <c r="AO365" i="27"/>
  <c r="AM79" i="5"/>
  <c r="AO221" i="27"/>
  <c r="T329" i="27"/>
  <c r="AK155" i="5"/>
  <c r="AA196" i="27"/>
  <c r="AH270" i="27"/>
  <c r="AA350" i="27"/>
  <c r="AA342" i="27"/>
  <c r="T41" i="27"/>
  <c r="M8" i="27"/>
  <c r="AK304" i="5"/>
  <c r="AH17" i="27"/>
  <c r="AM90" i="5"/>
  <c r="AN339" i="5"/>
  <c r="AJ68" i="5"/>
  <c r="AK144" i="5"/>
  <c r="T361" i="27"/>
  <c r="AM163" i="5"/>
  <c r="T137" i="27"/>
  <c r="AH264" i="27"/>
  <c r="AH275" i="27"/>
  <c r="M61" i="27"/>
  <c r="T103" i="27"/>
  <c r="AJ58" i="5"/>
  <c r="AH316" i="27"/>
  <c r="AM232" i="5"/>
  <c r="AL73" i="5"/>
  <c r="M340" i="27"/>
  <c r="AH345" i="27"/>
  <c r="AK39" i="5"/>
  <c r="AL264" i="5"/>
  <c r="AN79" i="5"/>
  <c r="AL334" i="5"/>
  <c r="T29" i="27"/>
  <c r="M296" i="27"/>
  <c r="M104" i="27"/>
  <c r="M52" i="27"/>
  <c r="AJ292" i="5"/>
  <c r="AN286" i="5"/>
  <c r="AO211" i="27"/>
  <c r="AH358" i="27"/>
  <c r="AA184" i="27"/>
  <c r="AA341" i="27"/>
  <c r="AH75" i="27"/>
  <c r="T330" i="27"/>
  <c r="AH66" i="27"/>
  <c r="AL326" i="5"/>
  <c r="AL158" i="5"/>
  <c r="AJ187" i="5"/>
  <c r="AL91" i="5"/>
  <c r="AM182" i="5"/>
  <c r="T38" i="27"/>
  <c r="AA241" i="27"/>
  <c r="AH148" i="27"/>
  <c r="AM275" i="5"/>
  <c r="AM291" i="5"/>
  <c r="M219" i="27"/>
  <c r="AA260" i="27"/>
  <c r="AA181" i="27"/>
  <c r="AH194" i="27"/>
  <c r="T111" i="27"/>
  <c r="T135" i="27"/>
  <c r="T363" i="27"/>
  <c r="AO319" i="27"/>
  <c r="T145" i="27"/>
  <c r="AN333" i="5"/>
  <c r="AM242" i="5"/>
  <c r="AA167" i="27"/>
  <c r="T138" i="27"/>
  <c r="AH326" i="27"/>
  <c r="AK268" i="5"/>
  <c r="AA200" i="27"/>
  <c r="AJ45" i="5"/>
  <c r="AA67" i="27"/>
  <c r="M277" i="27"/>
  <c r="AN215" i="5"/>
  <c r="AM249" i="5"/>
  <c r="M214" i="27"/>
  <c r="AH69" i="27"/>
  <c r="AL138" i="5"/>
  <c r="AM52" i="5"/>
  <c r="M146" i="27"/>
  <c r="AJ303" i="5"/>
  <c r="AN246" i="5"/>
  <c r="AJ108" i="5"/>
  <c r="AM42" i="5"/>
  <c r="AL309" i="5"/>
  <c r="AH52" i="27"/>
  <c r="AL47" i="5"/>
  <c r="AM9" i="5"/>
  <c r="AM198" i="5"/>
  <c r="AO146" i="27"/>
  <c r="AJ224" i="5"/>
  <c r="T186" i="27"/>
  <c r="AK66" i="5"/>
  <c r="T10" i="27"/>
  <c r="T61" i="27"/>
  <c r="AH327" i="27"/>
  <c r="AH286" i="27"/>
  <c r="M152" i="27"/>
  <c r="AA264" i="27"/>
  <c r="T64" i="27"/>
  <c r="AH151" i="27"/>
  <c r="AH254" i="27"/>
  <c r="AN271" i="5"/>
  <c r="T275" i="27"/>
  <c r="AK80" i="5"/>
  <c r="AJ166" i="5"/>
  <c r="AO12" i="27"/>
  <c r="AO231" i="27"/>
  <c r="AJ327" i="5"/>
  <c r="AO24" i="27"/>
  <c r="AJ202" i="5"/>
  <c r="AO98" i="27"/>
  <c r="T35" i="27"/>
  <c r="AN150" i="5"/>
  <c r="AH85" i="27"/>
  <c r="AJ134" i="5"/>
  <c r="AO327" i="27"/>
  <c r="AK174" i="5"/>
  <c r="AM236" i="5"/>
  <c r="AO150" i="27"/>
  <c r="AJ341" i="5"/>
  <c r="T293" i="27"/>
  <c r="AJ30" i="5"/>
  <c r="AJ12" i="5"/>
  <c r="AH33" i="27"/>
  <c r="M168" i="27"/>
  <c r="AJ276" i="5"/>
  <c r="AK76" i="5"/>
  <c r="AL217" i="5"/>
  <c r="M186" i="27"/>
  <c r="AJ264" i="5"/>
  <c r="M132" i="27"/>
  <c r="M328" i="27"/>
  <c r="AO8" i="27"/>
  <c r="AH92" i="27"/>
  <c r="AL305" i="5"/>
  <c r="AN160" i="5"/>
  <c r="AJ206" i="5"/>
  <c r="T354" i="27"/>
  <c r="T360" i="27"/>
  <c r="AL44" i="5"/>
  <c r="AO32" i="27"/>
  <c r="M67" i="27"/>
  <c r="AN190" i="5"/>
  <c r="AJ70" i="5"/>
  <c r="AO103" i="27"/>
  <c r="AN26" i="5"/>
  <c r="AA115" i="27"/>
  <c r="AO223" i="27"/>
  <c r="T86" i="27"/>
  <c r="AH228" i="27"/>
  <c r="AH45" i="27"/>
  <c r="M293" i="27"/>
  <c r="AK83" i="5"/>
  <c r="AH315" i="27"/>
  <c r="AA34" i="27"/>
  <c r="AK298" i="5"/>
  <c r="AJ356" i="5"/>
  <c r="AM260" i="5"/>
  <c r="AO352" i="27"/>
  <c r="AJ223" i="5"/>
  <c r="AO139" i="27"/>
  <c r="M302" i="27"/>
  <c r="AL88" i="5"/>
  <c r="M70" i="27"/>
  <c r="AL306" i="5"/>
  <c r="AO173" i="27"/>
  <c r="AK351" i="5"/>
  <c r="AN229" i="5"/>
  <c r="M164" i="27"/>
  <c r="AA95" i="27"/>
  <c r="AO273" i="27"/>
  <c r="AL361" i="5"/>
  <c r="T325" i="27"/>
  <c r="AA105" i="27"/>
  <c r="T282" i="27"/>
  <c r="AH137" i="27"/>
  <c r="AO293" i="27"/>
  <c r="AM150" i="5"/>
  <c r="AL262" i="5"/>
  <c r="AJ249" i="5"/>
  <c r="AO82" i="27"/>
  <c r="T46" i="27"/>
  <c r="AM49" i="5"/>
  <c r="AL34" i="5"/>
  <c r="M32" i="27"/>
  <c r="AA110" i="27"/>
  <c r="T185" i="27"/>
  <c r="AA308" i="27"/>
  <c r="T351" i="27"/>
  <c r="T34" i="27"/>
  <c r="M347" i="27"/>
  <c r="AK181" i="5"/>
  <c r="AH347" i="27"/>
  <c r="AA72" i="27"/>
  <c r="AH232" i="27"/>
  <c r="AK46" i="5"/>
  <c r="AL120" i="5"/>
  <c r="M349" i="27"/>
  <c r="T153" i="27"/>
  <c r="AL38" i="5"/>
  <c r="AK25" i="5"/>
  <c r="AL219" i="5"/>
  <c r="AH207" i="27"/>
  <c r="T33" i="27"/>
  <c r="M352" i="27"/>
  <c r="AH187" i="27"/>
  <c r="AM264" i="5"/>
  <c r="M310" i="27"/>
  <c r="AK127" i="5"/>
  <c r="AA222" i="27"/>
  <c r="M364" i="27"/>
  <c r="AK35" i="5"/>
  <c r="AN69" i="5"/>
  <c r="AO105" i="27"/>
  <c r="AH36" i="27"/>
  <c r="AM360" i="5"/>
  <c r="AM175" i="5"/>
  <c r="AJ284" i="5"/>
  <c r="AL21" i="5"/>
  <c r="AO38" i="27"/>
  <c r="T313" i="27"/>
  <c r="AN342" i="5"/>
  <c r="AN137" i="5"/>
  <c r="AA324" i="27"/>
  <c r="AH278" i="27"/>
  <c r="AM268" i="5"/>
  <c r="AJ351" i="5"/>
  <c r="AJ100" i="5"/>
  <c r="AJ355" i="5"/>
  <c r="M123" i="27"/>
  <c r="M260" i="27"/>
  <c r="AL68" i="5"/>
  <c r="AH166" i="27"/>
  <c r="AK342" i="5"/>
  <c r="AO120" i="27"/>
  <c r="AK217" i="5"/>
  <c r="T170" i="27"/>
  <c r="AL353" i="5"/>
  <c r="AA174" i="27"/>
  <c r="AJ162" i="5"/>
  <c r="AK302" i="5"/>
  <c r="AA133" i="27"/>
  <c r="T128" i="27"/>
  <c r="AA356" i="27"/>
  <c r="T177" i="27"/>
  <c r="T27" i="27"/>
  <c r="T52" i="27"/>
  <c r="AJ316" i="5"/>
  <c r="T134" i="27"/>
  <c r="T340" i="27"/>
  <c r="AL355" i="5"/>
  <c r="AN219" i="5"/>
  <c r="AH71" i="27"/>
  <c r="AA197" i="27"/>
  <c r="AK242" i="5"/>
  <c r="AM8" i="5"/>
  <c r="AH279" i="27"/>
  <c r="AK258" i="5"/>
  <c r="AO270" i="27"/>
  <c r="T182" i="27"/>
  <c r="AO135" i="27"/>
  <c r="AM123" i="5"/>
  <c r="AM146" i="5"/>
  <c r="AL109" i="5"/>
  <c r="AO341" i="27"/>
  <c r="AH9" i="27"/>
  <c r="AN80" i="5"/>
  <c r="AO224" i="27"/>
  <c r="T241" i="27"/>
  <c r="AA187" i="27"/>
  <c r="AA268" i="27"/>
  <c r="T158" i="27"/>
  <c r="AH237" i="27"/>
  <c r="AO54" i="27"/>
  <c r="AH362" i="27"/>
  <c r="AO229" i="27"/>
  <c r="AL114" i="5"/>
  <c r="T307" i="27"/>
  <c r="AN184" i="5"/>
  <c r="AM258" i="5"/>
  <c r="AN291" i="5"/>
  <c r="AK305" i="5"/>
  <c r="AL90" i="5"/>
  <c r="AA316" i="27"/>
  <c r="AJ314" i="5"/>
  <c r="AJ235" i="5"/>
  <c r="AN191" i="5"/>
  <c r="AH290" i="27"/>
  <c r="T95" i="27"/>
  <c r="AJ69" i="5"/>
  <c r="T283" i="27"/>
  <c r="AO27" i="27"/>
  <c r="M44" i="27"/>
  <c r="AA101" i="27"/>
  <c r="AH118" i="27"/>
  <c r="T347" i="27"/>
  <c r="M336" i="27"/>
  <c r="AL154" i="5"/>
  <c r="AA333" i="27"/>
  <c r="AJ8" i="5"/>
  <c r="AH313" i="27"/>
  <c r="AA60" i="27"/>
  <c r="AH291" i="27"/>
  <c r="T133" i="27"/>
  <c r="M360" i="27"/>
  <c r="T265" i="27"/>
  <c r="M141" i="27"/>
  <c r="AM271" i="5"/>
  <c r="AN268" i="5"/>
  <c r="AA109" i="27"/>
  <c r="AA204" i="27"/>
  <c r="AJ114" i="5"/>
  <c r="AL285" i="5"/>
  <c r="T202" i="27"/>
  <c r="AL317" i="5"/>
  <c r="AK78" i="5"/>
  <c r="AK326" i="5"/>
  <c r="AL25" i="5"/>
  <c r="AN13" i="5"/>
  <c r="AN8" i="5"/>
  <c r="M150" i="27"/>
  <c r="AL8" i="5"/>
  <c r="AO251" i="27"/>
  <c r="AL254" i="5"/>
  <c r="AJ237" i="5"/>
  <c r="AO92" i="27"/>
  <c r="AK261" i="5"/>
  <c r="AL336" i="5"/>
  <c r="M308" i="27"/>
  <c r="T126" i="27"/>
  <c r="AH190" i="27"/>
  <c r="T49" i="27"/>
  <c r="M100" i="27"/>
  <c r="AA57" i="27"/>
  <c r="T274" i="27"/>
  <c r="AO236" i="27"/>
  <c r="AO283" i="27"/>
  <c r="M259" i="27"/>
  <c r="AA358" i="27"/>
  <c r="T323" i="27"/>
  <c r="T201" i="27"/>
  <c r="AA83" i="27"/>
  <c r="T160" i="27"/>
  <c r="AH349" i="27"/>
  <c r="AH145" i="27"/>
  <c r="AO60" i="27"/>
  <c r="AO22" i="27"/>
  <c r="AN283" i="5"/>
  <c r="AA186" i="27"/>
  <c r="AH359" i="27"/>
  <c r="AN32" i="5"/>
  <c r="AN149" i="5"/>
  <c r="AJ98" i="5"/>
  <c r="AM330" i="5"/>
  <c r="AM224" i="5"/>
  <c r="AN316" i="5"/>
  <c r="AA309" i="27"/>
  <c r="AJ22" i="5"/>
  <c r="T355" i="27"/>
  <c r="AN357" i="5"/>
  <c r="AL160" i="5"/>
  <c r="AO30" i="27"/>
  <c r="AA225" i="27"/>
  <c r="M240" i="27"/>
  <c r="AO237" i="27"/>
  <c r="M21" i="27"/>
  <c r="AA215" i="27"/>
  <c r="AJ29" i="5"/>
  <c r="AK203" i="5"/>
  <c r="AH155" i="27"/>
  <c r="AO108" i="27"/>
  <c r="AN298" i="5"/>
  <c r="T319" i="27"/>
  <c r="AO279" i="27"/>
  <c r="AK325" i="5"/>
  <c r="AA22" i="27"/>
  <c r="AO148" i="27"/>
  <c r="M190" i="27"/>
  <c r="AA300" i="27"/>
  <c r="AO217" i="27"/>
  <c r="AN110" i="5"/>
  <c r="AH49" i="27"/>
  <c r="M57" i="27"/>
  <c r="AJ318" i="5"/>
  <c r="AA127" i="27"/>
  <c r="AH208" i="27"/>
  <c r="AM213" i="5"/>
  <c r="AO95" i="27"/>
  <c r="AO259" i="27"/>
  <c r="AJ139" i="5"/>
  <c r="AA207" i="27"/>
  <c r="M126" i="27"/>
  <c r="M248" i="27"/>
  <c r="AH70" i="27"/>
  <c r="AN138" i="5"/>
  <c r="AH140" i="27"/>
  <c r="T261" i="27"/>
  <c r="AO132" i="27"/>
  <c r="T193" i="27"/>
  <c r="AL201" i="5"/>
  <c r="AM296" i="5"/>
  <c r="AO226" i="27"/>
  <c r="AA310" i="27"/>
  <c r="AH302" i="27"/>
  <c r="AH150" i="27"/>
  <c r="AK308" i="5"/>
  <c r="AO344" i="27"/>
  <c r="AK336" i="5"/>
  <c r="T259" i="27"/>
  <c r="AA141" i="27"/>
  <c r="AK281" i="5"/>
  <c r="T272" i="27"/>
  <c r="AL343" i="5"/>
  <c r="T54" i="27"/>
  <c r="AJ269" i="5"/>
  <c r="AO208" i="27"/>
  <c r="AH284" i="27"/>
  <c r="AO151" i="27"/>
  <c r="M140" i="27"/>
  <c r="AJ93" i="5"/>
  <c r="T312" i="27"/>
  <c r="AH102" i="27"/>
  <c r="AJ156" i="5"/>
  <c r="AM288" i="5"/>
  <c r="AK60" i="5"/>
  <c r="AL9" i="5"/>
  <c r="AK72" i="5"/>
  <c r="AN328" i="5"/>
  <c r="AJ209" i="5"/>
  <c r="AA56" i="27"/>
  <c r="AH21" i="27"/>
  <c r="M313" i="27"/>
  <c r="AA335" i="27"/>
  <c r="AO247" i="27"/>
  <c r="AO14" i="27"/>
  <c r="AJ71" i="5"/>
  <c r="AM82" i="5"/>
  <c r="AK56" i="5"/>
  <c r="AH305" i="27"/>
  <c r="T219" i="27"/>
  <c r="AH196" i="27"/>
  <c r="AO324" i="27"/>
  <c r="AA176" i="27"/>
  <c r="AN300" i="5"/>
  <c r="T245" i="27"/>
  <c r="M222" i="27"/>
  <c r="AA43" i="27"/>
  <c r="AA143" i="27"/>
  <c r="AA73" i="27"/>
  <c r="AK122" i="5"/>
  <c r="AO282" i="27"/>
  <c r="AA227" i="27"/>
  <c r="M9" i="27"/>
  <c r="T20" i="27"/>
  <c r="T171" i="27"/>
  <c r="T230" i="27"/>
  <c r="AA188" i="27"/>
  <c r="AM109" i="5"/>
  <c r="AK320" i="5"/>
  <c r="AO81" i="27"/>
  <c r="AO331" i="27"/>
  <c r="M317" i="27"/>
  <c r="AA226" i="27"/>
  <c r="AM100" i="5"/>
  <c r="AM114" i="5"/>
  <c r="M157" i="27"/>
  <c r="AK132" i="5"/>
  <c r="M133" i="27"/>
  <c r="AA337" i="27"/>
  <c r="M333" i="27"/>
  <c r="T75" i="27"/>
  <c r="AM273" i="5"/>
  <c r="AO253" i="27"/>
  <c r="M226" i="27"/>
  <c r="AN123" i="5"/>
  <c r="T267" i="27"/>
  <c r="AO157" i="27"/>
  <c r="AK343" i="5"/>
  <c r="M359" i="27"/>
  <c r="AN313" i="5"/>
  <c r="AM98" i="5"/>
  <c r="AM251" i="5"/>
  <c r="AA10" i="27"/>
  <c r="AM324" i="5"/>
  <c r="AK241" i="5"/>
  <c r="AL293" i="5"/>
  <c r="AH97" i="27"/>
  <c r="AN349" i="5"/>
  <c r="AN239" i="5"/>
  <c r="M272" i="27"/>
  <c r="M10" i="27"/>
  <c r="AH188" i="27"/>
  <c r="M36" i="27"/>
  <c r="AO145" i="27"/>
  <c r="AM130" i="5"/>
  <c r="AA313" i="27"/>
  <c r="M102" i="27"/>
  <c r="AO13" i="27"/>
  <c r="M88" i="27"/>
  <c r="AA262" i="27"/>
  <c r="T308" i="27"/>
  <c r="AA353" i="27"/>
  <c r="M199" i="27"/>
  <c r="AH26" i="27"/>
  <c r="AO330" i="27"/>
  <c r="AH265" i="27"/>
  <c r="T315" i="27"/>
  <c r="AH129" i="27"/>
  <c r="AM156" i="5"/>
  <c r="AH193" i="27"/>
  <c r="AH94" i="27"/>
  <c r="AO272" i="27"/>
  <c r="AL162" i="5"/>
  <c r="AK352" i="5"/>
  <c r="AL92" i="5"/>
  <c r="AJ95" i="5"/>
  <c r="AL106" i="5"/>
  <c r="AK207" i="5"/>
  <c r="AK265" i="5"/>
  <c r="AN273" i="5"/>
  <c r="AJ257" i="5"/>
  <c r="T72" i="27"/>
  <c r="AK293" i="5"/>
  <c r="AM257" i="5"/>
  <c r="AN232" i="5"/>
  <c r="T294" i="27"/>
  <c r="M361" i="27"/>
  <c r="AA245" i="27"/>
  <c r="AH338" i="27"/>
  <c r="T147" i="27"/>
  <c r="AH16" i="27"/>
  <c r="M203" i="27"/>
  <c r="AA108" i="27"/>
  <c r="AJ338" i="5"/>
  <c r="T349" i="27"/>
  <c r="AH204" i="27"/>
  <c r="AA266" i="27"/>
  <c r="AL249" i="5"/>
  <c r="AL196" i="5"/>
  <c r="AA340" i="27"/>
  <c r="T342" i="27"/>
  <c r="AH288" i="27"/>
  <c r="AA119" i="27"/>
  <c r="AA151" i="27"/>
  <c r="AA363" i="27"/>
  <c r="AA232" i="27"/>
  <c r="AA217" i="27"/>
  <c r="AO9" i="27"/>
  <c r="AO142" i="27"/>
  <c r="AH361" i="27"/>
  <c r="T210" i="27"/>
  <c r="AH249" i="27"/>
  <c r="AK36" i="5"/>
  <c r="AJ305" i="5"/>
  <c r="AN270" i="5"/>
  <c r="AJ147" i="5"/>
  <c r="AL113" i="5"/>
  <c r="T115" i="27"/>
  <c r="AK353" i="5"/>
  <c r="AO133" i="27"/>
  <c r="AM101" i="5"/>
  <c r="AH224" i="27"/>
  <c r="T94" i="27"/>
  <c r="AJ361" i="5"/>
  <c r="AN5" i="5"/>
  <c r="AA359" i="27"/>
  <c r="AA338" i="27"/>
  <c r="AJ254" i="5"/>
  <c r="M103" i="27"/>
  <c r="M160" i="27"/>
  <c r="AA62" i="27"/>
  <c r="AA68" i="27"/>
  <c r="AO257" i="27"/>
  <c r="AH121" i="27"/>
  <c r="T306" i="27"/>
  <c r="AA130" i="27"/>
  <c r="M121" i="27"/>
  <c r="T200" i="27"/>
  <c r="AA275" i="27"/>
  <c r="AO297" i="27"/>
  <c r="AJ321" i="5"/>
  <c r="AO15" i="27"/>
  <c r="M66" i="27"/>
  <c r="M106" i="27"/>
  <c r="AL358" i="5"/>
  <c r="M334" i="27"/>
  <c r="AO130" i="27"/>
  <c r="M143" i="27"/>
  <c r="AA230" i="27"/>
  <c r="AO58" i="27"/>
  <c r="AK147" i="5"/>
  <c r="AH38" i="27"/>
  <c r="AA26" i="27"/>
  <c r="AH114" i="27"/>
  <c r="AH157" i="27"/>
  <c r="AL94" i="5"/>
  <c r="AA189" i="27"/>
  <c r="AH298" i="27"/>
  <c r="AO356" i="27"/>
  <c r="AO119" i="27"/>
  <c r="AA122" i="27"/>
  <c r="AL18" i="5"/>
  <c r="T335" i="27"/>
  <c r="AH111" i="27"/>
  <c r="T273" i="27"/>
  <c r="AO323" i="27"/>
  <c r="T56" i="27"/>
  <c r="T175" i="27"/>
  <c r="AA180" i="27"/>
  <c r="AH8" i="27"/>
  <c r="T328" i="27"/>
  <c r="AN27" i="5"/>
  <c r="AA347" i="27"/>
  <c r="AM205" i="5"/>
  <c r="M73" i="27"/>
  <c r="AO333" i="27"/>
  <c r="AL345" i="5"/>
  <c r="AA78" i="27"/>
  <c r="AK331" i="5"/>
  <c r="T266" i="27"/>
  <c r="AH223" i="27"/>
  <c r="AH306" i="27"/>
  <c r="AJ311" i="5"/>
  <c r="AH241" i="27"/>
  <c r="AO189" i="27"/>
  <c r="AO202" i="27"/>
  <c r="AK68" i="5"/>
  <c r="AO186" i="27"/>
  <c r="M306" i="27"/>
  <c r="AL341" i="5"/>
  <c r="M252" i="27"/>
  <c r="T116" i="27"/>
  <c r="AA49" i="27"/>
  <c r="AO50" i="27"/>
  <c r="AL266" i="5"/>
  <c r="AH295" i="27"/>
  <c r="AK117" i="5"/>
  <c r="AN334" i="5"/>
  <c r="AA39" i="27"/>
  <c r="T194" i="27"/>
  <c r="AM293" i="5"/>
  <c r="T168" i="27"/>
  <c r="AK278" i="5"/>
  <c r="AK231" i="5"/>
  <c r="AH260" i="27"/>
  <c r="T290" i="27"/>
  <c r="AN218" i="5"/>
  <c r="AO185" i="27"/>
  <c r="AO310" i="27"/>
  <c r="M68" i="27"/>
  <c r="M49" i="27"/>
  <c r="AN115" i="5"/>
  <c r="AJ39" i="5"/>
  <c r="AL11" i="5"/>
  <c r="AO76" i="27"/>
  <c r="AJ297" i="5"/>
  <c r="M322" i="27"/>
  <c r="AA163" i="27"/>
  <c r="AH53" i="27"/>
  <c r="AA209" i="27"/>
  <c r="T80" i="27"/>
  <c r="AH133" i="27"/>
  <c r="AA120" i="27"/>
  <c r="T152" i="27"/>
  <c r="T362" i="27"/>
  <c r="AN104" i="5"/>
  <c r="M92" i="27"/>
  <c r="AK63" i="5"/>
  <c r="AH171" i="27"/>
  <c r="T109" i="27"/>
  <c r="AN49" i="5"/>
  <c r="AK159" i="5"/>
  <c r="AK209" i="5"/>
  <c r="AN15" i="5"/>
  <c r="AK236" i="5"/>
  <c r="AN109" i="5"/>
  <c r="AA77" i="27"/>
  <c r="AM302" i="5"/>
  <c r="AO239" i="27"/>
  <c r="M345" i="27"/>
  <c r="AH55" i="27"/>
  <c r="AA69" i="27"/>
  <c r="AH160" i="27"/>
  <c r="AM177" i="5"/>
  <c r="AK164" i="5"/>
  <c r="M362" i="27"/>
  <c r="AO346" i="27"/>
  <c r="T242" i="27"/>
  <c r="AH177" i="27"/>
  <c r="AA13" i="27"/>
  <c r="AH29" i="27"/>
  <c r="AH303" i="27"/>
  <c r="AJ129" i="5"/>
  <c r="AO281" i="27"/>
  <c r="M220" i="27"/>
  <c r="M282" i="27"/>
  <c r="AO336" i="27"/>
  <c r="AO131" i="27"/>
  <c r="AN63" i="5"/>
  <c r="AA147" i="27"/>
  <c r="AN139" i="5"/>
  <c r="AO80" i="27"/>
  <c r="AN127" i="5"/>
  <c r="AJ185" i="5"/>
  <c r="AH98" i="27"/>
  <c r="AL39" i="5"/>
  <c r="M56" i="27"/>
  <c r="AH59" i="27"/>
  <c r="AJ72" i="5"/>
  <c r="AK357" i="5"/>
  <c r="AJ214" i="5"/>
  <c r="AM274" i="5"/>
  <c r="AJ171" i="5"/>
  <c r="AJ190" i="5"/>
  <c r="AN272" i="5"/>
  <c r="AK200" i="5"/>
  <c r="AO289" i="27"/>
  <c r="AJ60" i="5"/>
  <c r="AA247" i="27"/>
  <c r="AL304" i="5"/>
  <c r="T251" i="27"/>
  <c r="AA305" i="27"/>
  <c r="AH222" i="27"/>
  <c r="T179" i="27"/>
  <c r="AO347" i="27"/>
  <c r="T289" i="27"/>
  <c r="AA128" i="27"/>
  <c r="AJ280" i="5"/>
  <c r="M15" i="27"/>
  <c r="AJ310" i="5"/>
  <c r="AA25" i="27"/>
  <c r="M116" i="27"/>
  <c r="AO332" i="27"/>
  <c r="T146" i="27"/>
  <c r="AK169" i="5"/>
  <c r="AO122" i="27"/>
  <c r="AA20" i="27"/>
  <c r="AK8" i="5"/>
  <c r="M353" i="27"/>
  <c r="AA269" i="27"/>
  <c r="AO195" i="27"/>
  <c r="AL270" i="5"/>
  <c r="AK277" i="5"/>
  <c r="AK21" i="5"/>
  <c r="AJ25" i="5"/>
  <c r="AK136" i="5"/>
  <c r="AN87" i="5"/>
  <c r="AA144" i="27"/>
  <c r="AO136" i="27"/>
  <c r="AO40" i="27"/>
  <c r="AO65" i="27"/>
  <c r="AA165" i="27"/>
  <c r="AO278" i="27"/>
  <c r="AH231" i="27"/>
  <c r="AL267" i="5"/>
  <c r="AA283" i="27"/>
  <c r="AH199" i="27"/>
  <c r="AN161" i="5"/>
  <c r="AO41" i="27"/>
  <c r="T277" i="27"/>
  <c r="AJ27" i="5"/>
  <c r="AA253" i="27"/>
  <c r="AH35" i="27"/>
  <c r="AH124" i="27"/>
  <c r="M26" i="27"/>
  <c r="T162" i="27"/>
  <c r="M53" i="27"/>
  <c r="AL63" i="5"/>
  <c r="AO161" i="27"/>
  <c r="AJ21" i="5"/>
  <c r="AO174" i="27"/>
  <c r="AK125" i="5"/>
  <c r="M342" i="27"/>
  <c r="AO192" i="27"/>
  <c r="T247" i="27"/>
  <c r="T198" i="27"/>
  <c r="T214" i="27"/>
  <c r="AJ118" i="5"/>
  <c r="AH90" i="27"/>
  <c r="AN88" i="5"/>
  <c r="AH219" i="27"/>
  <c r="T305" i="27"/>
  <c r="AH252" i="27"/>
  <c r="AH95" i="27"/>
  <c r="AO359" i="27"/>
  <c r="AJ119" i="5"/>
  <c r="AO57" i="27"/>
  <c r="AN235" i="5"/>
  <c r="M87" i="27"/>
  <c r="M24" i="27"/>
  <c r="AJ142" i="5"/>
  <c r="M97" i="27"/>
  <c r="AH334" i="27"/>
  <c r="AA82" i="27"/>
  <c r="M108" i="27"/>
  <c r="AA160" i="27"/>
  <c r="AL174" i="5"/>
  <c r="AH283" i="27"/>
  <c r="M114" i="27"/>
  <c r="M144" i="27"/>
  <c r="AH72" i="27"/>
  <c r="AK224" i="5"/>
  <c r="AA76" i="27"/>
  <c r="AH244" i="27"/>
  <c r="AO137" i="27"/>
  <c r="M365" i="27"/>
  <c r="AA303" i="27"/>
  <c r="AH44" i="27"/>
  <c r="AL150" i="5"/>
  <c r="AA194" i="27"/>
  <c r="T268" i="27"/>
  <c r="M34" i="27"/>
  <c r="T51" i="27"/>
  <c r="T299" i="27"/>
  <c r="AA277" i="27"/>
  <c r="T13" i="27"/>
  <c r="AL234" i="5"/>
  <c r="T205" i="27"/>
  <c r="AH274" i="27"/>
  <c r="AL61" i="5"/>
  <c r="AH128" i="27"/>
  <c r="T234" i="27"/>
  <c r="AO168" i="27"/>
  <c r="AJ67" i="5"/>
  <c r="AN356" i="5"/>
  <c r="AJ337" i="5"/>
  <c r="AJ352" i="5"/>
  <c r="M23" i="27"/>
  <c r="AO149" i="27"/>
  <c r="M17" i="27"/>
  <c r="AA166" i="27"/>
  <c r="AA185" i="27"/>
  <c r="AJ66" i="5"/>
  <c r="AK51" i="5"/>
  <c r="AA169" i="27"/>
  <c r="T269" i="27"/>
  <c r="M237" i="27"/>
  <c r="T359" i="27"/>
  <c r="M137" i="27"/>
  <c r="AA349" i="27"/>
  <c r="M149" i="27"/>
  <c r="AH320" i="27"/>
  <c r="M148" i="27"/>
  <c r="AA322" i="27"/>
  <c r="AJ94" i="5"/>
  <c r="AO334" i="27"/>
  <c r="AA334" i="27"/>
  <c r="AH41" i="27"/>
  <c r="AL216" i="5"/>
  <c r="AN74" i="5"/>
  <c r="AM103" i="5"/>
  <c r="AO311" i="27"/>
  <c r="AA292" i="27"/>
  <c r="M192" i="27"/>
  <c r="T178" i="27"/>
  <c r="AA296" i="27"/>
  <c r="AH272" i="27"/>
  <c r="T89" i="27"/>
  <c r="AA258" i="27"/>
  <c r="M321" i="27"/>
  <c r="AH99" i="27"/>
  <c r="M96" i="27"/>
  <c r="M332" i="27"/>
  <c r="AO26" i="27"/>
  <c r="T331" i="27"/>
  <c r="AA301" i="27"/>
  <c r="AO317" i="27"/>
  <c r="AJ53" i="5"/>
  <c r="AL139" i="5"/>
  <c r="AN322" i="5"/>
  <c r="AJ230" i="5"/>
  <c r="T208" i="27"/>
  <c r="AN62" i="5"/>
  <c r="AN208" i="5"/>
  <c r="AJ117" i="5"/>
  <c r="AM96" i="5"/>
  <c r="M16" i="27"/>
  <c r="AO233" i="27"/>
  <c r="AH210" i="27"/>
  <c r="AA278" i="27"/>
  <c r="AM201" i="5"/>
  <c r="AL224" i="5"/>
  <c r="AO188" i="27"/>
  <c r="T57" i="27"/>
  <c r="T260" i="27"/>
  <c r="AM250" i="5"/>
  <c r="T129" i="27"/>
  <c r="AH162" i="27"/>
  <c r="AN67" i="5"/>
  <c r="AN78" i="5"/>
  <c r="T108" i="27"/>
  <c r="AM16" i="5"/>
  <c r="AO178" i="27"/>
  <c r="AO214" i="27"/>
  <c r="AH289" i="27"/>
  <c r="AK17" i="5"/>
  <c r="AO357" i="27"/>
  <c r="AM55" i="5"/>
  <c r="AA102" i="27"/>
  <c r="AM126" i="5"/>
  <c r="AM361" i="5"/>
  <c r="AL66" i="5"/>
  <c r="AM331" i="5"/>
  <c r="AJ323" i="5"/>
  <c r="AL337" i="5"/>
  <c r="AK81" i="5"/>
  <c r="AN251" i="5"/>
  <c r="AN331" i="5"/>
  <c r="AN308" i="5"/>
  <c r="AK74" i="5"/>
  <c r="AN266" i="5"/>
  <c r="AK213" i="5"/>
  <c r="AO184" i="27"/>
  <c r="AJ309" i="5"/>
  <c r="AA265" i="27"/>
  <c r="AA193" i="27"/>
  <c r="K23" i="3"/>
  <c r="M224" i="27"/>
  <c r="T304" i="27"/>
  <c r="AN81" i="5"/>
  <c r="T353" i="27"/>
  <c r="T44" i="27"/>
  <c r="T47" i="27"/>
  <c r="AH64" i="27"/>
  <c r="AO109" i="27"/>
  <c r="M42" i="27"/>
  <c r="T285" i="27"/>
  <c r="AO351" i="27"/>
  <c r="M41" i="27"/>
  <c r="AO350" i="27"/>
  <c r="AH40" i="27"/>
  <c r="AA134" i="27"/>
  <c r="AH350" i="27"/>
  <c r="T256" i="27"/>
  <c r="AM183" i="5"/>
  <c r="AK86" i="5"/>
  <c r="AO304" i="27"/>
  <c r="AJ189" i="5"/>
  <c r="K20" i="3"/>
  <c r="AJ177" i="5"/>
  <c r="AH61" i="27"/>
  <c r="AK245" i="5"/>
  <c r="AO44" i="27"/>
  <c r="M311" i="27"/>
  <c r="AN335" i="5"/>
  <c r="AA354" i="27"/>
  <c r="AM306" i="5"/>
  <c r="AH307" i="27"/>
  <c r="T12" i="27"/>
  <c r="AH123" i="27"/>
  <c r="T125" i="27"/>
  <c r="AM80" i="5"/>
  <c r="T65" i="27"/>
  <c r="T167" i="27"/>
  <c r="AK94" i="5"/>
  <c r="AL60" i="5"/>
  <c r="AJ193" i="5"/>
  <c r="T144" i="27"/>
  <c r="AL101" i="5"/>
  <c r="T97" i="27"/>
  <c r="AL80" i="5"/>
  <c r="AN98" i="5"/>
  <c r="AH262" i="27"/>
  <c r="T16" i="27"/>
  <c r="AJ5" i="5"/>
  <c r="T173" i="27"/>
  <c r="M14" i="27"/>
  <c r="AH189" i="27"/>
  <c r="AN172" i="5"/>
  <c r="AK313" i="5"/>
  <c r="AO72" i="27"/>
  <c r="AJ105" i="5"/>
  <c r="AA252" i="27"/>
  <c r="AH240" i="27"/>
  <c r="AH74" i="27"/>
  <c r="T288" i="27"/>
  <c r="AO34" i="27"/>
  <c r="M335" i="27"/>
  <c r="M315" i="27"/>
  <c r="AM328" i="5"/>
  <c r="AO349" i="27"/>
  <c r="AO77" i="27"/>
  <c r="AO312" i="27"/>
  <c r="AM33" i="5"/>
  <c r="AK223" i="5"/>
  <c r="T336" i="27"/>
  <c r="M37" i="27"/>
  <c r="AO56" i="27"/>
  <c r="AA272" i="27"/>
  <c r="M166" i="27"/>
  <c r="AH344" i="27"/>
  <c r="AO291" i="27"/>
  <c r="AJ192" i="5"/>
  <c r="M285" i="27"/>
  <c r="AA203" i="27"/>
  <c r="M173" i="27"/>
  <c r="T127" i="27"/>
  <c r="AO155" i="27"/>
  <c r="AH257" i="27"/>
  <c r="M74" i="27"/>
  <c r="M54" i="27"/>
  <c r="T229" i="27"/>
  <c r="AA46" i="27"/>
  <c r="M284" i="27"/>
  <c r="M163" i="27"/>
  <c r="M294" i="27"/>
  <c r="AH332" i="27"/>
  <c r="AN261" i="5"/>
  <c r="AO113" i="27"/>
  <c r="AA53" i="27"/>
  <c r="AH267" i="27"/>
  <c r="M76" i="27"/>
  <c r="M45" i="27"/>
  <c r="AA208" i="27"/>
  <c r="AL316" i="5"/>
  <c r="AK178" i="5"/>
  <c r="AM171" i="5"/>
  <c r="M327" i="27"/>
  <c r="T345" i="27"/>
  <c r="AA339" i="27"/>
  <c r="AH243" i="27"/>
  <c r="T150" i="27"/>
  <c r="AO102" i="27"/>
  <c r="AM203" i="5"/>
  <c r="T356" i="27"/>
  <c r="AO241" i="27"/>
  <c r="AN177" i="5"/>
  <c r="AH144" i="27"/>
  <c r="T188" i="27"/>
  <c r="AJ33" i="5"/>
  <c r="AJ161" i="5"/>
  <c r="T48" i="27"/>
  <c r="AJ14" i="5"/>
  <c r="AO361" i="27"/>
  <c r="AA104" i="27"/>
  <c r="T301" i="27"/>
  <c r="M281" i="27"/>
  <c r="T263" i="27"/>
  <c r="AO29" i="27"/>
  <c r="AA36" i="27"/>
  <c r="AH276" i="27"/>
  <c r="AA17" i="27"/>
  <c r="T224" i="27"/>
  <c r="AO322" i="27"/>
  <c r="AO183" i="27"/>
  <c r="AA157" i="27"/>
  <c r="AL122" i="5"/>
  <c r="AN193" i="5"/>
  <c r="AH88" i="27"/>
  <c r="AN238" i="5"/>
  <c r="AA61" i="27"/>
  <c r="AJ16" i="5"/>
  <c r="AA238" i="27"/>
  <c r="AJ146" i="5"/>
  <c r="AA40" i="27"/>
  <c r="AH220" i="27"/>
  <c r="T110" i="27"/>
  <c r="AO256" i="27"/>
  <c r="AO284" i="27"/>
  <c r="AL15" i="5"/>
  <c r="AH89" i="27"/>
  <c r="AA332" i="27"/>
  <c r="T235" i="27"/>
  <c r="AA91" i="27"/>
  <c r="AJ358" i="5"/>
  <c r="AL329" i="5"/>
  <c r="T17" i="27"/>
  <c r="AK88" i="5"/>
  <c r="AN24" i="5"/>
  <c r="AN226" i="5"/>
  <c r="AN281" i="5"/>
  <c r="M195" i="27"/>
  <c r="M135" i="27"/>
  <c r="AA243" i="27"/>
  <c r="AM256" i="5"/>
  <c r="AH101" i="27"/>
  <c r="T192" i="27"/>
  <c r="M50" i="27"/>
  <c r="AL256" i="5"/>
  <c r="AO159" i="27"/>
  <c r="M316" i="27"/>
  <c r="AK233" i="5"/>
  <c r="AO49" i="27"/>
  <c r="AM20" i="5"/>
  <c r="AA65" i="27"/>
  <c r="AJ103" i="5"/>
  <c r="AO198" i="27"/>
  <c r="AA328" i="27"/>
  <c r="M71" i="27"/>
  <c r="AH131" i="27"/>
  <c r="AH256" i="27"/>
  <c r="T112" i="27"/>
  <c r="AM255" i="5"/>
  <c r="AA210" i="27"/>
  <c r="AO345" i="27"/>
  <c r="AJ251" i="5"/>
  <c r="AN114" i="5"/>
  <c r="AK38" i="5"/>
  <c r="AL186" i="5"/>
  <c r="AJ241" i="5"/>
  <c r="AK120" i="5"/>
  <c r="AN170" i="5"/>
  <c r="AJ229" i="5"/>
  <c r="T88" i="27"/>
  <c r="AL62" i="5"/>
  <c r="AN6" i="5"/>
  <c r="AK64" i="5"/>
  <c r="AJ238" i="5"/>
  <c r="T220" i="27"/>
  <c r="AK198" i="5"/>
  <c r="AN253" i="5"/>
  <c r="M197" i="27"/>
  <c r="AL261" i="5"/>
  <c r="AO276" i="27"/>
  <c r="AL83" i="5"/>
  <c r="M198" i="27"/>
  <c r="AK29" i="5"/>
  <c r="AL286" i="5"/>
  <c r="M69" i="27"/>
  <c r="AA173" i="27"/>
  <c r="AH65" i="27"/>
  <c r="AH328" i="27"/>
  <c r="M39" i="27"/>
  <c r="AJ259" i="5"/>
  <c r="AK333" i="5"/>
  <c r="AO212" i="27"/>
  <c r="M29" i="27"/>
  <c r="AL346" i="5"/>
  <c r="AA146" i="27"/>
  <c r="M171" i="27"/>
  <c r="T36" i="27"/>
  <c r="AA249" i="27"/>
  <c r="AA38" i="27"/>
  <c r="AL314" i="5"/>
  <c r="AL147" i="5"/>
  <c r="AK59" i="5"/>
  <c r="AL352" i="5"/>
  <c r="AL288" i="5"/>
  <c r="AK267" i="5"/>
  <c r="AM93" i="5"/>
  <c r="AL183" i="5"/>
  <c r="AL298" i="5"/>
  <c r="AH300" i="27"/>
  <c r="AA171" i="27"/>
  <c r="AH122" i="27"/>
  <c r="AO268" i="27"/>
  <c r="AJ205" i="5"/>
  <c r="AO89" i="27"/>
  <c r="AM325" i="5"/>
  <c r="AO205" i="27"/>
  <c r="AO197" i="27"/>
  <c r="AM166" i="5"/>
  <c r="AK107" i="5"/>
  <c r="AO306" i="27"/>
  <c r="AL14" i="5"/>
  <c r="AM332" i="5"/>
  <c r="AA121" i="27"/>
  <c r="M351" i="27"/>
  <c r="AA236" i="27"/>
  <c r="AH355" i="27"/>
  <c r="AA271" i="27"/>
  <c r="AO300" i="27"/>
  <c r="AO206" i="27"/>
  <c r="AH213" i="27"/>
  <c r="AL231" i="5"/>
  <c r="AJ179" i="5"/>
  <c r="AH212" i="27"/>
  <c r="T83" i="27"/>
  <c r="AL323" i="5"/>
  <c r="AH7" i="27"/>
  <c r="AK356" i="5"/>
  <c r="T232" i="27"/>
  <c r="AN320" i="5"/>
  <c r="M194" i="27"/>
  <c r="AK280" i="5"/>
  <c r="AO91" i="27"/>
  <c r="M101" i="27"/>
  <c r="AO52" i="27"/>
  <c r="AH68" i="27"/>
  <c r="AA14" i="27"/>
  <c r="AA7" i="27"/>
  <c r="AL328" i="5"/>
  <c r="AH146" i="27"/>
  <c r="M155" i="27"/>
  <c r="AJ227" i="5"/>
  <c r="AA343" i="27"/>
  <c r="AO294" i="27"/>
  <c r="AJ260" i="5"/>
  <c r="AH125" i="27"/>
  <c r="AN51" i="5"/>
  <c r="T238" i="27"/>
  <c r="AA129" i="27"/>
  <c r="M249" i="27"/>
  <c r="T161" i="27"/>
  <c r="M324" i="27"/>
  <c r="AA79" i="27"/>
  <c r="AO97" i="27"/>
  <c r="AA103" i="27"/>
  <c r="M337" i="27"/>
  <c r="AL257" i="5"/>
  <c r="AO62" i="27"/>
  <c r="T143" i="27"/>
  <c r="AN55" i="5"/>
  <c r="AA336" i="27"/>
  <c r="AA211" i="27"/>
  <c r="AH23" i="27"/>
  <c r="AN312" i="5"/>
  <c r="AM262" i="5"/>
  <c r="AL180" i="5"/>
  <c r="AJ40" i="5"/>
  <c r="AH353" i="27"/>
  <c r="AA234" i="27"/>
  <c r="T132" i="27"/>
  <c r="AO325" i="27"/>
  <c r="AL99" i="5"/>
  <c r="AM358" i="5"/>
  <c r="AO335" i="27"/>
  <c r="AN280" i="5"/>
  <c r="M98" i="27"/>
  <c r="AH56" i="27"/>
  <c r="AM233" i="5"/>
  <c r="AK9" i="5"/>
  <c r="AK358" i="5"/>
  <c r="T302" i="27"/>
  <c r="AA48" i="27"/>
  <c r="AL274" i="5"/>
  <c r="AO123" i="27"/>
  <c r="AA195" i="27"/>
  <c r="T195" i="27"/>
  <c r="AJ137" i="5"/>
  <c r="AJ210" i="5"/>
  <c r="T40" i="27"/>
  <c r="M227" i="27"/>
  <c r="AL223" i="5"/>
  <c r="AK206" i="5"/>
  <c r="M309" i="27"/>
  <c r="AL228" i="5"/>
  <c r="M174" i="27"/>
  <c r="AH297" i="27"/>
  <c r="AH318" i="27"/>
  <c r="AL205" i="5"/>
  <c r="AK214" i="5"/>
  <c r="AK316" i="5"/>
  <c r="T249" i="27"/>
  <c r="M323" i="27"/>
  <c r="AA90" i="27"/>
  <c r="AO45" i="27"/>
  <c r="AH86" i="27"/>
  <c r="AN53" i="5"/>
  <c r="AH104" i="27"/>
  <c r="AH333" i="27"/>
  <c r="M229" i="27"/>
  <c r="AH142" i="27"/>
  <c r="AL363" i="5"/>
  <c r="AO74" i="27"/>
  <c r="AH352" i="27"/>
  <c r="AM305" i="5"/>
  <c r="AA286" i="27"/>
  <c r="T28" i="27"/>
  <c r="T310" i="27"/>
  <c r="M188" i="27"/>
  <c r="AO101" i="27"/>
  <c r="AO296" i="27"/>
  <c r="AO75" i="27"/>
  <c r="AO264" i="27"/>
  <c r="M94" i="27"/>
  <c r="AM321" i="5"/>
  <c r="AA51" i="27"/>
  <c r="AO314" i="27"/>
  <c r="AA86" i="27"/>
  <c r="AL142" i="5"/>
  <c r="M156" i="27"/>
  <c r="AK310" i="5"/>
  <c r="AK166" i="5"/>
  <c r="AA239" i="27"/>
  <c r="AH134" i="27"/>
  <c r="M200" i="27"/>
  <c r="AA28" i="27"/>
  <c r="AN136" i="5"/>
  <c r="T76" i="27"/>
  <c r="AJ319" i="5"/>
  <c r="T121" i="27"/>
  <c r="M319" i="27"/>
  <c r="AA198" i="27"/>
  <c r="AA306" i="27"/>
  <c r="AH195" i="27"/>
  <c r="AH299" i="27"/>
  <c r="AO107" i="27"/>
  <c r="M122" i="27"/>
  <c r="AM87" i="5"/>
  <c r="M314" i="27"/>
  <c r="AH183" i="27"/>
  <c r="AL238" i="5"/>
  <c r="AA255" i="27"/>
  <c r="AA280" i="27"/>
  <c r="AJ360" i="5"/>
  <c r="AK282" i="5"/>
  <c r="AL281" i="5"/>
  <c r="AJ198" i="5"/>
  <c r="AN299" i="5"/>
  <c r="AL188" i="5"/>
  <c r="AN59" i="5"/>
  <c r="AH147" i="27"/>
  <c r="AM117" i="5"/>
  <c r="M172" i="27"/>
  <c r="M59" i="27"/>
  <c r="AK250" i="5"/>
  <c r="AK215" i="5"/>
  <c r="M230" i="27"/>
  <c r="T123" i="27"/>
  <c r="AO47" i="27"/>
  <c r="AM285" i="5"/>
  <c r="M64" i="27"/>
  <c r="AH93" i="27"/>
  <c r="AJ48" i="5"/>
  <c r="T140" i="27"/>
  <c r="T106" i="27"/>
  <c r="AA64" i="27"/>
  <c r="AK109" i="5"/>
  <c r="AH346" i="27"/>
  <c r="M99" i="27"/>
  <c r="AK339" i="5"/>
  <c r="T357" i="27"/>
  <c r="M48" i="27"/>
  <c r="AA149" i="27"/>
  <c r="AN205" i="5"/>
  <c r="M7" i="27"/>
  <c r="M28" i="27"/>
  <c r="AJ281" i="5"/>
  <c r="AN171" i="5"/>
  <c r="AJ92" i="5"/>
  <c r="AJ354" i="5"/>
  <c r="AN332" i="5"/>
  <c r="T157" i="27"/>
  <c r="AM35" i="5"/>
  <c r="AA317" i="27"/>
  <c r="AJ75" i="5"/>
  <c r="AH261" i="27"/>
  <c r="AH163" i="27"/>
  <c r="AL311" i="5"/>
  <c r="AL333" i="5"/>
  <c r="AO153" i="27"/>
  <c r="AK247" i="5"/>
  <c r="AN182" i="5"/>
  <c r="AA148" i="27"/>
  <c r="AA24" i="27"/>
  <c r="AO274" i="27"/>
  <c r="AN242" i="5"/>
  <c r="AO292" i="27"/>
  <c r="AH82" i="27"/>
  <c r="AL173" i="5"/>
  <c r="AH173" i="27"/>
  <c r="AM121" i="5"/>
  <c r="AH363" i="27"/>
  <c r="AA319" i="27"/>
  <c r="AJ288" i="5"/>
  <c r="T333" i="27"/>
  <c r="AL172" i="5"/>
  <c r="T117" i="27"/>
  <c r="AA35" i="27"/>
  <c r="M297" i="27"/>
  <c r="AH117" i="27"/>
  <c r="AH109" i="27"/>
  <c r="AA331" i="27"/>
  <c r="AK73" i="5"/>
  <c r="AO99" i="27"/>
  <c r="AK98" i="5"/>
  <c r="AO169" i="27"/>
  <c r="T189" i="27"/>
  <c r="AJ252" i="5"/>
  <c r="AN213" i="5"/>
  <c r="AN19" i="5"/>
  <c r="AK249" i="5"/>
  <c r="AL294" i="5"/>
  <c r="AK108" i="5"/>
  <c r="AM359" i="5"/>
  <c r="AH238" i="27"/>
  <c r="AN39" i="5"/>
  <c r="M65" i="27"/>
  <c r="T39" i="27"/>
  <c r="AK297" i="5"/>
  <c r="AA111" i="27"/>
  <c r="M117" i="27"/>
  <c r="AO121" i="27"/>
  <c r="AM135" i="5"/>
  <c r="T23" i="27"/>
  <c r="AO234" i="27"/>
  <c r="T142" i="27"/>
  <c r="M33" i="27"/>
  <c r="AO243" i="27"/>
  <c r="M181" i="27"/>
  <c r="AJ15" i="5"/>
  <c r="T131" i="27"/>
  <c r="AJ315" i="5"/>
  <c r="AL128" i="5"/>
  <c r="AN277" i="5"/>
  <c r="AH246" i="27"/>
  <c r="AN21" i="5"/>
  <c r="AN207" i="5"/>
  <c r="T71" i="27"/>
  <c r="AA320" i="27"/>
  <c r="AM28" i="5"/>
  <c r="AA145" i="27"/>
  <c r="AM265" i="5"/>
  <c r="T226" i="27"/>
  <c r="AO96" i="27"/>
  <c r="AJ50" i="5"/>
  <c r="AJ242" i="5"/>
  <c r="T31" i="27"/>
  <c r="AM353" i="5"/>
  <c r="AH234" i="27"/>
  <c r="M55" i="27"/>
  <c r="AM151" i="5"/>
  <c r="AH216" i="27"/>
  <c r="M138" i="27"/>
  <c r="T254" i="27"/>
  <c r="AM220" i="5"/>
  <c r="AH138" i="27"/>
  <c r="AN252" i="5"/>
  <c r="M113" i="27"/>
  <c r="AJ328" i="5"/>
  <c r="AO209" i="27"/>
  <c r="AH282" i="27"/>
  <c r="AO141" i="27"/>
  <c r="AM277" i="5"/>
  <c r="AO43" i="27"/>
  <c r="AO100" i="27"/>
  <c r="M25" i="27"/>
  <c r="AA87" i="27"/>
  <c r="AO358" i="27"/>
  <c r="M266" i="27"/>
  <c r="AO85" i="27"/>
  <c r="AJ97" i="5"/>
  <c r="AH253" i="27"/>
  <c r="AL126" i="5"/>
  <c r="AH342" i="27"/>
  <c r="M329" i="27"/>
  <c r="AO363" i="27"/>
  <c r="AO19" i="27"/>
  <c r="AA98" i="27"/>
  <c r="AA224" i="27"/>
  <c r="AH255" i="27"/>
  <c r="T155" i="27"/>
  <c r="T169" i="27"/>
  <c r="AO166" i="27"/>
  <c r="AK253" i="5"/>
  <c r="M84" i="27"/>
  <c r="T148" i="27"/>
  <c r="AA135" i="27"/>
  <c r="M162" i="27"/>
  <c r="M264" i="27"/>
  <c r="AN142" i="5"/>
  <c r="T271" i="27"/>
  <c r="AN146" i="5"/>
  <c r="AA59" i="27"/>
  <c r="AA52" i="27"/>
  <c r="T222" i="27"/>
  <c r="T243" i="27"/>
  <c r="M331" i="27"/>
  <c r="AH119" i="27"/>
  <c r="AA246" i="27"/>
  <c r="AA32" i="27"/>
  <c r="AM51" i="5"/>
  <c r="AO286" i="27"/>
  <c r="M35" i="27"/>
  <c r="AH339" i="27"/>
  <c r="AH331" i="27"/>
  <c r="AJ245" i="5"/>
  <c r="AH84" i="27"/>
  <c r="AO355" i="27"/>
  <c r="M232" i="27"/>
  <c r="T43" i="27"/>
  <c r="AA355" i="27"/>
  <c r="M303" i="27"/>
  <c r="AM18" i="5"/>
  <c r="AA250" i="27"/>
  <c r="AK309" i="5"/>
  <c r="AO28" i="27"/>
  <c r="AM132" i="5"/>
  <c r="AA12" i="27"/>
  <c r="AO338" i="27"/>
  <c r="AO267" i="27"/>
  <c r="AH335" i="27"/>
  <c r="AJ43" i="5"/>
  <c r="AH364" i="27"/>
  <c r="AN188" i="5"/>
  <c r="AK48" i="5"/>
  <c r="AO66" i="27"/>
  <c r="AM223" i="5"/>
  <c r="AL195" i="5"/>
  <c r="T14" i="27"/>
  <c r="AH78" i="27"/>
  <c r="AA267" i="27"/>
  <c r="T190" i="27"/>
  <c r="M312" i="27"/>
  <c r="AA183" i="27"/>
  <c r="M305" i="27"/>
  <c r="T350" i="27"/>
  <c r="M239" i="27"/>
  <c r="AH156" i="27"/>
  <c r="AK106" i="5"/>
  <c r="T73" i="27"/>
  <c r="AM272" i="5"/>
  <c r="AA99" i="27"/>
  <c r="AM280" i="5"/>
  <c r="T270" i="27"/>
  <c r="AJ275" i="5"/>
  <c r="AO37" i="27"/>
  <c r="AK121" i="5"/>
  <c r="AM11" i="5"/>
  <c r="T60" i="27"/>
  <c r="M154" i="27"/>
  <c r="AM180" i="5"/>
  <c r="T99" i="27"/>
  <c r="AA179" i="27"/>
  <c r="AO128" i="27"/>
  <c r="AN168" i="5"/>
  <c r="AA279" i="27"/>
  <c r="AH215" i="27"/>
  <c r="T358" i="27"/>
  <c r="AA9" i="27"/>
  <c r="AN48" i="5"/>
  <c r="AM254" i="5"/>
  <c r="AJ279" i="5"/>
  <c r="AJ329" i="5"/>
  <c r="AA16" i="27"/>
  <c r="M13" i="27"/>
  <c r="AL86" i="5"/>
  <c r="T90" i="27"/>
  <c r="AM315" i="5"/>
  <c r="AA304" i="27"/>
  <c r="AM102" i="5"/>
  <c r="M301" i="27"/>
  <c r="AH143" i="27"/>
  <c r="AM247" i="5"/>
  <c r="AA318" i="27"/>
  <c r="M238" i="27"/>
  <c r="AH301" i="27"/>
  <c r="AN77" i="5"/>
  <c r="AO63" i="27"/>
  <c r="T223" i="27"/>
  <c r="AH185" i="27"/>
  <c r="AM167" i="5"/>
  <c r="AM333" i="5"/>
  <c r="T172" i="27"/>
  <c r="M60" i="27"/>
  <c r="AA123" i="27"/>
  <c r="AH285" i="27"/>
  <c r="AL76" i="5"/>
  <c r="AK151" i="5"/>
  <c r="AM38" i="5"/>
  <c r="AL45" i="5"/>
  <c r="AM69" i="5"/>
  <c r="M250" i="27"/>
  <c r="AJ141" i="5"/>
  <c r="AK95" i="5"/>
  <c r="AJ332" i="5"/>
  <c r="AJ282" i="5"/>
  <c r="AA325" i="27"/>
  <c r="AL332" i="5"/>
  <c r="M19" i="27"/>
  <c r="AN130" i="5"/>
  <c r="AM26" i="5"/>
  <c r="AN58" i="5"/>
  <c r="M304" i="27"/>
  <c r="AN159" i="5"/>
  <c r="AJ261" i="5"/>
  <c r="AO301" i="27"/>
  <c r="M216" i="27"/>
  <c r="AM62" i="5"/>
  <c r="T68" i="27"/>
  <c r="AA259" i="27"/>
  <c r="AH91" i="27"/>
  <c r="AK85" i="5"/>
  <c r="AO163" i="27"/>
  <c r="AO215" i="27"/>
  <c r="AO191" i="27"/>
  <c r="AK141" i="5"/>
  <c r="T332" i="27"/>
  <c r="AA361" i="27"/>
  <c r="AJ47" i="5"/>
  <c r="T206" i="27"/>
  <c r="M318" i="27"/>
  <c r="AH294" i="27"/>
  <c r="AK52" i="5"/>
  <c r="AO112" i="27"/>
  <c r="AK71" i="5"/>
  <c r="AJ31" i="5"/>
  <c r="M233" i="27"/>
  <c r="AL176" i="5"/>
  <c r="AN296" i="5"/>
  <c r="T58" i="27"/>
  <c r="AM202" i="5"/>
  <c r="AA88" i="27"/>
  <c r="AA276" i="27"/>
  <c r="AO23" i="27"/>
  <c r="M196" i="27"/>
  <c r="AK91" i="5"/>
  <c r="T204" i="27"/>
  <c r="AA100" i="27"/>
  <c r="AO78" i="27"/>
  <c r="AN100" i="5"/>
  <c r="AK240" i="5"/>
  <c r="AH31" i="27"/>
  <c r="AL53" i="5"/>
  <c r="AH323" i="27"/>
  <c r="AH174" i="27"/>
  <c r="T236" i="27"/>
  <c r="AL77" i="5"/>
  <c r="AN294" i="5"/>
  <c r="M86" i="27"/>
  <c r="AN92" i="5"/>
  <c r="T228" i="27"/>
  <c r="T9" i="27"/>
  <c r="AA74" i="27"/>
  <c r="AL111" i="5"/>
  <c r="AO258" i="27"/>
  <c r="AK227" i="5"/>
  <c r="AM155" i="5"/>
  <c r="AO176" i="27"/>
  <c r="AA30" i="27"/>
  <c r="AM352" i="5"/>
  <c r="T21" i="27"/>
  <c r="AK49" i="5"/>
  <c r="AH34" i="27"/>
  <c r="T257" i="27"/>
  <c r="AJ155" i="5"/>
  <c r="M300" i="27"/>
  <c r="AK205" i="5"/>
  <c r="AO21" i="27"/>
  <c r="AN309" i="5"/>
  <c r="AN325" i="5"/>
  <c r="M120" i="27"/>
  <c r="AK53" i="5"/>
  <c r="AO339" i="27"/>
  <c r="AH58" i="27"/>
  <c r="AN347" i="5"/>
  <c r="AM355" i="5"/>
  <c r="M344" i="27"/>
  <c r="AM281" i="5"/>
  <c r="AA218" i="27"/>
  <c r="M20" i="27"/>
  <c r="AA89" i="27"/>
  <c r="AN75" i="5"/>
  <c r="AO238" i="27"/>
  <c r="AH152" i="27"/>
  <c r="T346" i="27"/>
  <c r="AH169" i="27"/>
  <c r="AO167" i="27"/>
  <c r="AO162" i="27"/>
  <c r="T316" i="27"/>
  <c r="AA297" i="27"/>
  <c r="AK113" i="5"/>
  <c r="T119" i="27"/>
  <c r="AJ304" i="5"/>
  <c r="M95" i="27"/>
  <c r="AO68" i="27"/>
  <c r="AK43" i="5"/>
  <c r="M356" i="27"/>
  <c r="AO277" i="27"/>
  <c r="AO261" i="27"/>
  <c r="AA113" i="27"/>
  <c r="AH19" i="27"/>
  <c r="M47" i="27"/>
  <c r="AA345" i="27"/>
  <c r="AJ236" i="5"/>
  <c r="AA71" i="27"/>
  <c r="T96" i="27"/>
  <c r="T50" i="27"/>
  <c r="AA330" i="27"/>
  <c r="AH153" i="27"/>
  <c r="AK341" i="5"/>
  <c r="T364" i="27"/>
  <c r="AK330" i="5"/>
  <c r="AH341" i="27"/>
  <c r="M355" i="27"/>
  <c r="AA55" i="27"/>
  <c r="AH87" i="27"/>
  <c r="AN206" i="5"/>
  <c r="AK279" i="5"/>
  <c r="AA150" i="27"/>
  <c r="AA229" i="27"/>
  <c r="AA158" i="27"/>
  <c r="AO246" i="27"/>
  <c r="AK199" i="5"/>
  <c r="AN257" i="5"/>
  <c r="M85" i="27"/>
  <c r="AL230" i="5"/>
  <c r="AO249" i="27"/>
  <c r="T91" i="27"/>
  <c r="AM173" i="5"/>
  <c r="AA285" i="27"/>
  <c r="AM68" i="5"/>
  <c r="AK248" i="5"/>
  <c r="AM86" i="5"/>
  <c r="AH100" i="27"/>
  <c r="AO295" i="27"/>
  <c r="AH37" i="27"/>
  <c r="AH348" i="27"/>
  <c r="AO216" i="27"/>
  <c r="AA314" i="27"/>
  <c r="AM22" i="5"/>
  <c r="AO316" i="27"/>
  <c r="M182" i="27"/>
  <c r="T218" i="27"/>
  <c r="M131" i="27"/>
  <c r="T352" i="27"/>
  <c r="AK5" i="5"/>
  <c r="AO313" i="27"/>
  <c r="M27" i="27"/>
  <c r="AJ102" i="5"/>
  <c r="T53" i="27"/>
  <c r="AA45" i="27"/>
  <c r="AH159" i="27"/>
  <c r="AM313" i="5"/>
  <c r="AO303" i="27"/>
  <c r="M38" i="27"/>
  <c r="AO106" i="27"/>
  <c r="AA124" i="27"/>
  <c r="AM165" i="5"/>
  <c r="AH227" i="27"/>
  <c r="AM314" i="5"/>
  <c r="AM67" i="5"/>
  <c r="AA242" i="27"/>
  <c r="T81" i="27"/>
  <c r="AM329" i="5"/>
  <c r="M291" i="27"/>
  <c r="FZ291" i="27" l="1"/>
  <c r="CH291" i="27"/>
  <c r="ED291" i="27"/>
  <c r="CN81" i="27"/>
  <c r="GF81" i="27"/>
  <c r="EJ81" i="27"/>
  <c r="CT242" i="27"/>
  <c r="GL242" i="27"/>
  <c r="EP242" i="27"/>
  <c r="CZ227" i="27"/>
  <c r="GR227" i="27"/>
  <c r="EV227" i="27"/>
  <c r="CT124" i="27"/>
  <c r="EP124" i="27"/>
  <c r="GL124" i="27"/>
  <c r="GX106" i="27"/>
  <c r="FB106" i="27"/>
  <c r="DF106" i="27"/>
  <c r="FZ38" i="27"/>
  <c r="CH38" i="27"/>
  <c r="ED38" i="27"/>
  <c r="FB303" i="27"/>
  <c r="GX303" i="27"/>
  <c r="DF303" i="27"/>
  <c r="GR159" i="27"/>
  <c r="EV159" i="27"/>
  <c r="CZ159" i="27"/>
  <c r="CT45" i="27"/>
  <c r="EP45" i="27"/>
  <c r="GL45" i="27"/>
  <c r="GF53" i="27"/>
  <c r="CN53" i="27"/>
  <c r="EJ53" i="27"/>
  <c r="FZ27" i="27"/>
  <c r="ED27" i="27"/>
  <c r="CH27" i="27"/>
  <c r="FB313" i="27"/>
  <c r="DF313" i="27"/>
  <c r="GX313" i="27"/>
  <c r="FZ131" i="27"/>
  <c r="CH131" i="27"/>
  <c r="ED131" i="27"/>
  <c r="EJ218" i="27"/>
  <c r="GF218" i="27"/>
  <c r="CN218" i="27"/>
  <c r="CH182" i="27"/>
  <c r="ED182" i="27"/>
  <c r="FZ182" i="27"/>
  <c r="DF316" i="27"/>
  <c r="FB316" i="27"/>
  <c r="GX316" i="27"/>
  <c r="GL314" i="27"/>
  <c r="EP314" i="27"/>
  <c r="CT314" i="27"/>
  <c r="FB216" i="27"/>
  <c r="GX216" i="27"/>
  <c r="DF216" i="27"/>
  <c r="GR37" i="27"/>
  <c r="EV37" i="27"/>
  <c r="CZ37" i="27"/>
  <c r="DF295" i="27"/>
  <c r="FB295" i="27"/>
  <c r="GX295" i="27"/>
  <c r="CZ100" i="27"/>
  <c r="GR100" i="27"/>
  <c r="EV100" i="27"/>
  <c r="CT285" i="27"/>
  <c r="GL285" i="27"/>
  <c r="EP285" i="27"/>
  <c r="CN91" i="27"/>
  <c r="EJ91" i="27"/>
  <c r="GF91" i="27"/>
  <c r="FB249" i="27"/>
  <c r="GX249" i="27"/>
  <c r="DF249" i="27"/>
  <c r="CH85" i="27"/>
  <c r="FZ85" i="27"/>
  <c r="ED85" i="27"/>
  <c r="FB246" i="27"/>
  <c r="GX246" i="27"/>
  <c r="DF246" i="27"/>
  <c r="EP158" i="27"/>
  <c r="CT158" i="27"/>
  <c r="GL158" i="27"/>
  <c r="GL229" i="27"/>
  <c r="EP229" i="27"/>
  <c r="CT229" i="27"/>
  <c r="GL150" i="27"/>
  <c r="EP150" i="27"/>
  <c r="CT150" i="27"/>
  <c r="GR87" i="27"/>
  <c r="EV87" i="27"/>
  <c r="CZ87" i="27"/>
  <c r="CT55" i="27"/>
  <c r="GL55" i="27"/>
  <c r="EP55" i="27"/>
  <c r="CZ153" i="27"/>
  <c r="EV153" i="27"/>
  <c r="GR153" i="27"/>
  <c r="CN50" i="27"/>
  <c r="GF50" i="27"/>
  <c r="EJ50" i="27"/>
  <c r="CN96" i="27"/>
  <c r="GF96" i="27"/>
  <c r="EJ96" i="27"/>
  <c r="CT71" i="27"/>
  <c r="EP71" i="27"/>
  <c r="GL71" i="27"/>
  <c r="ED47" i="27"/>
  <c r="CH47" i="27"/>
  <c r="FZ47" i="27"/>
  <c r="CZ19" i="27"/>
  <c r="GR19" i="27"/>
  <c r="EV19" i="27"/>
  <c r="CT113" i="27"/>
  <c r="GL113" i="27"/>
  <c r="EP113" i="27"/>
  <c r="GX261" i="27"/>
  <c r="FB261" i="27"/>
  <c r="DF261" i="27"/>
  <c r="GX277" i="27"/>
  <c r="FB277" i="27"/>
  <c r="DF277" i="27"/>
  <c r="GX68" i="27"/>
  <c r="FB68" i="27"/>
  <c r="DF68" i="27"/>
  <c r="CH95" i="27"/>
  <c r="FZ95" i="27"/>
  <c r="ED95" i="27"/>
  <c r="EJ119" i="27"/>
  <c r="GF119" i="27"/>
  <c r="CN119" i="27"/>
  <c r="EP297" i="27"/>
  <c r="CT297" i="27"/>
  <c r="GL297" i="27"/>
  <c r="GF316" i="27"/>
  <c r="EJ316" i="27"/>
  <c r="CN316" i="27"/>
  <c r="GX162" i="27"/>
  <c r="FB162" i="27"/>
  <c r="DF162" i="27"/>
  <c r="GX167" i="27"/>
  <c r="FB167" i="27"/>
  <c r="DF167" i="27"/>
  <c r="GR169" i="27"/>
  <c r="EV169" i="27"/>
  <c r="CZ169" i="27"/>
  <c r="GR152" i="27"/>
  <c r="EV152" i="27"/>
  <c r="CZ152" i="27"/>
  <c r="FB238" i="27"/>
  <c r="GX238" i="27"/>
  <c r="DF238" i="27"/>
  <c r="EP89" i="27"/>
  <c r="GL89" i="27"/>
  <c r="CT89" i="27"/>
  <c r="ED20" i="27"/>
  <c r="CH20" i="27"/>
  <c r="FZ20" i="27"/>
  <c r="EP218" i="27"/>
  <c r="CT218" i="27"/>
  <c r="GL218" i="27"/>
  <c r="GR58" i="27"/>
  <c r="CZ58" i="27"/>
  <c r="EV58" i="27"/>
  <c r="CH120" i="27"/>
  <c r="ED120" i="27"/>
  <c r="FZ120" i="27"/>
  <c r="GX21" i="27"/>
  <c r="DF21" i="27"/>
  <c r="FB21" i="27"/>
  <c r="CH300" i="27"/>
  <c r="ED300" i="27"/>
  <c r="FZ300" i="27"/>
  <c r="CN257" i="27"/>
  <c r="EJ257" i="27"/>
  <c r="GF257" i="27"/>
  <c r="CZ34" i="27"/>
  <c r="EV34" i="27"/>
  <c r="GR34" i="27"/>
  <c r="GF21" i="27"/>
  <c r="EJ21" i="27"/>
  <c r="CN21" i="27"/>
  <c r="EP30" i="27"/>
  <c r="CT30" i="27"/>
  <c r="GL30" i="27"/>
  <c r="GX176" i="27"/>
  <c r="FB176" i="27"/>
  <c r="DF176" i="27"/>
  <c r="FB258" i="27"/>
  <c r="DF258" i="27"/>
  <c r="GX258" i="27"/>
  <c r="CT74" i="27"/>
  <c r="GL74" i="27"/>
  <c r="EP74" i="27"/>
  <c r="EJ9" i="27"/>
  <c r="GF9" i="27"/>
  <c r="CN9" i="27"/>
  <c r="GF228" i="27"/>
  <c r="CN228" i="27"/>
  <c r="EJ228" i="27"/>
  <c r="ED86" i="27"/>
  <c r="FZ86" i="27"/>
  <c r="CH86" i="27"/>
  <c r="EJ236" i="27"/>
  <c r="CN236" i="27"/>
  <c r="GF236" i="27"/>
  <c r="GR174" i="27"/>
  <c r="EV174" i="27"/>
  <c r="CZ174" i="27"/>
  <c r="GR323" i="27"/>
  <c r="EV323" i="27"/>
  <c r="CZ323" i="27"/>
  <c r="EV31" i="27"/>
  <c r="GR31" i="27"/>
  <c r="CZ31" i="27"/>
  <c r="GX78" i="27"/>
  <c r="FB78" i="27"/>
  <c r="DF78" i="27"/>
  <c r="EP100" i="27"/>
  <c r="CT100" i="27"/>
  <c r="GL100" i="27"/>
  <c r="EJ204" i="27"/>
  <c r="CN204" i="27"/>
  <c r="GF204" i="27"/>
  <c r="CH196" i="27"/>
  <c r="ED196" i="27"/>
  <c r="FZ196" i="27"/>
  <c r="FB23" i="27"/>
  <c r="GX23" i="27"/>
  <c r="DF23" i="27"/>
  <c r="GL276" i="27"/>
  <c r="CT276" i="27"/>
  <c r="EP276" i="27"/>
  <c r="CT88" i="27"/>
  <c r="EP88" i="27"/>
  <c r="GL88" i="27"/>
  <c r="EJ58" i="27"/>
  <c r="GF58" i="27"/>
  <c r="CN58" i="27"/>
  <c r="CH233" i="27"/>
  <c r="ED233" i="27"/>
  <c r="FZ233" i="27"/>
  <c r="FB112" i="27"/>
  <c r="GX112" i="27"/>
  <c r="DF112" i="27"/>
  <c r="CZ294" i="27"/>
  <c r="GR294" i="27"/>
  <c r="EV294" i="27"/>
  <c r="CH318" i="27"/>
  <c r="FZ318" i="27"/>
  <c r="ED318" i="27"/>
  <c r="EJ206" i="27"/>
  <c r="CN206" i="27"/>
  <c r="GF206" i="27"/>
  <c r="GX191" i="27"/>
  <c r="FB191" i="27"/>
  <c r="DF191" i="27"/>
  <c r="DF215" i="27"/>
  <c r="GX215" i="27"/>
  <c r="FB215" i="27"/>
  <c r="GX163" i="27"/>
  <c r="DF163" i="27"/>
  <c r="FB163" i="27"/>
  <c r="CZ91" i="27"/>
  <c r="EV91" i="27"/>
  <c r="GR91" i="27"/>
  <c r="GL259" i="27"/>
  <c r="CT259" i="27"/>
  <c r="EP259" i="27"/>
  <c r="EJ68" i="27"/>
  <c r="CN68" i="27"/>
  <c r="GF68" i="27"/>
  <c r="ED216" i="27"/>
  <c r="FZ216" i="27"/>
  <c r="CH216" i="27"/>
  <c r="FB301" i="27"/>
  <c r="DF301" i="27"/>
  <c r="GX301" i="27"/>
  <c r="ED304" i="27"/>
  <c r="FZ304" i="27"/>
  <c r="CH304" i="27"/>
  <c r="ED19" i="27"/>
  <c r="FZ19" i="27"/>
  <c r="CH19" i="27"/>
  <c r="CT325" i="27"/>
  <c r="GL325" i="27"/>
  <c r="EP325" i="27"/>
  <c r="FZ250" i="27"/>
  <c r="ED250" i="27"/>
  <c r="CH250" i="27"/>
  <c r="GR285" i="27"/>
  <c r="EV285" i="27"/>
  <c r="CZ285" i="27"/>
  <c r="GL123" i="27"/>
  <c r="CT123" i="27"/>
  <c r="EP123" i="27"/>
  <c r="ED60" i="27"/>
  <c r="FZ60" i="27"/>
  <c r="CH60" i="27"/>
  <c r="CN172" i="27"/>
  <c r="EJ172" i="27"/>
  <c r="GF172" i="27"/>
  <c r="CZ185" i="27"/>
  <c r="EV185" i="27"/>
  <c r="GR185" i="27"/>
  <c r="GF223" i="27"/>
  <c r="CN223" i="27"/>
  <c r="EJ223" i="27"/>
  <c r="FB63" i="27"/>
  <c r="GX63" i="27"/>
  <c r="DF63" i="27"/>
  <c r="EV301" i="27"/>
  <c r="GR301" i="27"/>
  <c r="CZ301" i="27"/>
  <c r="FZ238" i="27"/>
  <c r="CH238" i="27"/>
  <c r="ED238" i="27"/>
  <c r="EP318" i="27"/>
  <c r="GL318" i="27"/>
  <c r="CT318" i="27"/>
  <c r="GR143" i="27"/>
  <c r="EV143" i="27"/>
  <c r="CZ143" i="27"/>
  <c r="CH301" i="27"/>
  <c r="ED301" i="27"/>
  <c r="FZ301" i="27"/>
  <c r="GL304" i="27"/>
  <c r="EP304" i="27"/>
  <c r="CT304" i="27"/>
  <c r="GF90" i="27"/>
  <c r="CN90" i="27"/>
  <c r="EJ90" i="27"/>
  <c r="CH13" i="27"/>
  <c r="FZ13" i="27"/>
  <c r="ED13" i="27"/>
  <c r="CT16" i="27"/>
  <c r="GL16" i="27"/>
  <c r="EP16" i="27"/>
  <c r="GL9" i="27"/>
  <c r="EP9" i="27"/>
  <c r="CT9" i="27"/>
  <c r="EV215" i="27"/>
  <c r="GR215" i="27"/>
  <c r="CZ215" i="27"/>
  <c r="CT279" i="27"/>
  <c r="GL279" i="27"/>
  <c r="EP279" i="27"/>
  <c r="DF128" i="27"/>
  <c r="GX128" i="27"/>
  <c r="FB128" i="27"/>
  <c r="EP179" i="27"/>
  <c r="GL179" i="27"/>
  <c r="CT179" i="27"/>
  <c r="EJ99" i="27"/>
  <c r="CN99" i="27"/>
  <c r="GF99" i="27"/>
  <c r="ED154" i="27"/>
  <c r="CH154" i="27"/>
  <c r="FZ154" i="27"/>
  <c r="EJ60" i="27"/>
  <c r="GF60" i="27"/>
  <c r="CN60" i="27"/>
  <c r="GX37" i="27"/>
  <c r="FB37" i="27"/>
  <c r="DF37" i="27"/>
  <c r="EJ270" i="27"/>
  <c r="GF270" i="27"/>
  <c r="CN270" i="27"/>
  <c r="EP99" i="27"/>
  <c r="GL99" i="27"/>
  <c r="CT99" i="27"/>
  <c r="EJ73" i="27"/>
  <c r="CN73" i="27"/>
  <c r="GF73" i="27"/>
  <c r="EV156" i="27"/>
  <c r="CZ156" i="27"/>
  <c r="GR156" i="27"/>
  <c r="CH239" i="27"/>
  <c r="FZ239" i="27"/>
  <c r="ED239" i="27"/>
  <c r="FZ305" i="27"/>
  <c r="ED305" i="27"/>
  <c r="CH305" i="27"/>
  <c r="GL183" i="27"/>
  <c r="EP183" i="27"/>
  <c r="CT183" i="27"/>
  <c r="FZ312" i="27"/>
  <c r="ED312" i="27"/>
  <c r="CH312" i="27"/>
  <c r="EJ190" i="27"/>
  <c r="GF190" i="27"/>
  <c r="CN190" i="27"/>
  <c r="GL267" i="27"/>
  <c r="EP267" i="27"/>
  <c r="CT267" i="27"/>
  <c r="GR78" i="27"/>
  <c r="EV78" i="27"/>
  <c r="CZ78" i="27"/>
  <c r="EJ14" i="27"/>
  <c r="GF14" i="27"/>
  <c r="CN14" i="27"/>
  <c r="FB66" i="27"/>
  <c r="GX66" i="27"/>
  <c r="DF66" i="27"/>
  <c r="DF267" i="27"/>
  <c r="GX267" i="27"/>
  <c r="FB267" i="27"/>
  <c r="CT12" i="27"/>
  <c r="GL12" i="27"/>
  <c r="EP12" i="27"/>
  <c r="GX28" i="27"/>
  <c r="FB28" i="27"/>
  <c r="DF28" i="27"/>
  <c r="EP250" i="27"/>
  <c r="CT250" i="27"/>
  <c r="GL250" i="27"/>
  <c r="ED303" i="27"/>
  <c r="FZ303" i="27"/>
  <c r="CH303" i="27"/>
  <c r="CN43" i="27"/>
  <c r="EJ43" i="27"/>
  <c r="GF43" i="27"/>
  <c r="CH232" i="27"/>
  <c r="ED232" i="27"/>
  <c r="FZ232" i="27"/>
  <c r="EV84" i="27"/>
  <c r="GR84" i="27"/>
  <c r="CZ84" i="27"/>
  <c r="FZ35" i="27"/>
  <c r="CH35" i="27"/>
  <c r="ED35" i="27"/>
  <c r="DF286" i="27"/>
  <c r="FB286" i="27"/>
  <c r="GX286" i="27"/>
  <c r="CT32" i="27"/>
  <c r="GL32" i="27"/>
  <c r="EP32" i="27"/>
  <c r="CT246" i="27"/>
  <c r="GL246" i="27"/>
  <c r="EP246" i="27"/>
  <c r="CZ119" i="27"/>
  <c r="GR119" i="27"/>
  <c r="EV119" i="27"/>
  <c r="GF243" i="27"/>
  <c r="EJ243" i="27"/>
  <c r="CN243" i="27"/>
  <c r="CN222" i="27"/>
  <c r="EJ222" i="27"/>
  <c r="GF222" i="27"/>
  <c r="GL52" i="27"/>
  <c r="CT52" i="27"/>
  <c r="EP52" i="27"/>
  <c r="GL59" i="27"/>
  <c r="CT59" i="27"/>
  <c r="EP59" i="27"/>
  <c r="CN271" i="27"/>
  <c r="GF271" i="27"/>
  <c r="EJ271" i="27"/>
  <c r="ED264" i="27"/>
  <c r="FZ264" i="27"/>
  <c r="CH264" i="27"/>
  <c r="FZ162" i="27"/>
  <c r="CH162" i="27"/>
  <c r="ED162" i="27"/>
  <c r="EP135" i="27"/>
  <c r="CT135" i="27"/>
  <c r="GL135" i="27"/>
  <c r="GF148" i="27"/>
  <c r="EJ148" i="27"/>
  <c r="CN148" i="27"/>
  <c r="FZ84" i="27"/>
  <c r="ED84" i="27"/>
  <c r="CH84" i="27"/>
  <c r="GX166" i="27"/>
  <c r="FB166" i="27"/>
  <c r="DF166" i="27"/>
  <c r="GF169" i="27"/>
  <c r="EJ169" i="27"/>
  <c r="CN169" i="27"/>
  <c r="CN155" i="27"/>
  <c r="EJ155" i="27"/>
  <c r="GF155" i="27"/>
  <c r="GR255" i="27"/>
  <c r="CZ255" i="27"/>
  <c r="EV255" i="27"/>
  <c r="CT224" i="27"/>
  <c r="GL224" i="27"/>
  <c r="EP224" i="27"/>
  <c r="GL98" i="27"/>
  <c r="EP98" i="27"/>
  <c r="CT98" i="27"/>
  <c r="DF19" i="27"/>
  <c r="FB19" i="27"/>
  <c r="GX19" i="27"/>
  <c r="EV253" i="27"/>
  <c r="GR253" i="27"/>
  <c r="CZ253" i="27"/>
  <c r="DF85" i="27"/>
  <c r="GX85" i="27"/>
  <c r="FB85" i="27"/>
  <c r="FZ266" i="27"/>
  <c r="ED266" i="27"/>
  <c r="CH266" i="27"/>
  <c r="CT87" i="27"/>
  <c r="GL87" i="27"/>
  <c r="EP87" i="27"/>
  <c r="CH25" i="27"/>
  <c r="FZ25" i="27"/>
  <c r="ED25" i="27"/>
  <c r="GX100" i="27"/>
  <c r="DF100" i="27"/>
  <c r="FB100" i="27"/>
  <c r="GX43" i="27"/>
  <c r="FB43" i="27"/>
  <c r="DF43" i="27"/>
  <c r="FB141" i="27"/>
  <c r="GX141" i="27"/>
  <c r="DF141" i="27"/>
  <c r="GR282" i="27"/>
  <c r="CZ282" i="27"/>
  <c r="EV282" i="27"/>
  <c r="FB209" i="27"/>
  <c r="DF209" i="27"/>
  <c r="GX209" i="27"/>
  <c r="ED113" i="27"/>
  <c r="FZ113" i="27"/>
  <c r="CH113" i="27"/>
  <c r="EV138" i="27"/>
  <c r="CZ138" i="27"/>
  <c r="GR138" i="27"/>
  <c r="CN254" i="27"/>
  <c r="EJ254" i="27"/>
  <c r="GF254" i="27"/>
  <c r="CH138" i="27"/>
  <c r="FZ138" i="27"/>
  <c r="ED138" i="27"/>
  <c r="CZ216" i="27"/>
  <c r="EV216" i="27"/>
  <c r="GR216" i="27"/>
  <c r="ED55" i="27"/>
  <c r="CH55" i="27"/>
  <c r="FZ55" i="27"/>
  <c r="GR234" i="27"/>
  <c r="EV234" i="27"/>
  <c r="CZ234" i="27"/>
  <c r="EJ31" i="27"/>
  <c r="GF31" i="27"/>
  <c r="CN31" i="27"/>
  <c r="FB96" i="27"/>
  <c r="DF96" i="27"/>
  <c r="GX96" i="27"/>
  <c r="EJ226" i="27"/>
  <c r="CN226" i="27"/>
  <c r="GF226" i="27"/>
  <c r="CT145" i="27"/>
  <c r="EP145" i="27"/>
  <c r="GL145" i="27"/>
  <c r="GL320" i="27"/>
  <c r="EP320" i="27"/>
  <c r="CT320" i="27"/>
  <c r="EJ71" i="27"/>
  <c r="CN71" i="27"/>
  <c r="GF71" i="27"/>
  <c r="CZ246" i="27"/>
  <c r="GR246" i="27"/>
  <c r="EV246" i="27"/>
  <c r="GF131" i="27"/>
  <c r="CN131" i="27"/>
  <c r="EJ131" i="27"/>
  <c r="CH181" i="27"/>
  <c r="FZ181" i="27"/>
  <c r="ED181" i="27"/>
  <c r="GX243" i="27"/>
  <c r="DF243" i="27"/>
  <c r="FB243" i="27"/>
  <c r="FZ33" i="27"/>
  <c r="CH33" i="27"/>
  <c r="ED33" i="27"/>
  <c r="GF142" i="27"/>
  <c r="EJ142" i="27"/>
  <c r="CN142" i="27"/>
  <c r="FB234" i="27"/>
  <c r="DF234" i="27"/>
  <c r="GX234" i="27"/>
  <c r="GF23" i="27"/>
  <c r="CN23" i="27"/>
  <c r="EJ23" i="27"/>
  <c r="DF121" i="27"/>
  <c r="FB121" i="27"/>
  <c r="GX121" i="27"/>
  <c r="ED117" i="27"/>
  <c r="CH117" i="27"/>
  <c r="FZ117" i="27"/>
  <c r="EP111" i="27"/>
  <c r="GL111" i="27"/>
  <c r="CT111" i="27"/>
  <c r="GF39" i="27"/>
  <c r="CN39" i="27"/>
  <c r="EJ39" i="27"/>
  <c r="ED65" i="27"/>
  <c r="CH65" i="27"/>
  <c r="FZ65" i="27"/>
  <c r="CZ238" i="27"/>
  <c r="EV238" i="27"/>
  <c r="GR238" i="27"/>
  <c r="CN189" i="27"/>
  <c r="GF189" i="27"/>
  <c r="EJ189" i="27"/>
  <c r="DF169" i="27"/>
  <c r="FB169" i="27"/>
  <c r="GX169" i="27"/>
  <c r="FB99" i="27"/>
  <c r="GX99" i="27"/>
  <c r="DF99" i="27"/>
  <c r="GR109" i="27"/>
  <c r="EV109" i="27"/>
  <c r="CZ109" i="27"/>
  <c r="EV117" i="27"/>
  <c r="CZ117" i="27"/>
  <c r="GR117" i="27"/>
  <c r="FZ297" i="27"/>
  <c r="CH297" i="27"/>
  <c r="ED297" i="27"/>
  <c r="EP35" i="27"/>
  <c r="GL35" i="27"/>
  <c r="CT35" i="27"/>
  <c r="GF117" i="27"/>
  <c r="CN117" i="27"/>
  <c r="EJ117" i="27"/>
  <c r="CT319" i="27"/>
  <c r="EP319" i="27"/>
  <c r="GL319" i="27"/>
  <c r="CZ173" i="27"/>
  <c r="EV173" i="27"/>
  <c r="GR173" i="27"/>
  <c r="CZ82" i="27"/>
  <c r="GR82" i="27"/>
  <c r="EV82" i="27"/>
  <c r="DF292" i="27"/>
  <c r="FB292" i="27"/>
  <c r="GX292" i="27"/>
  <c r="GX274" i="27"/>
  <c r="DF274" i="27"/>
  <c r="FB274" i="27"/>
  <c r="EP24" i="27"/>
  <c r="GL24" i="27"/>
  <c r="CT24" i="27"/>
  <c r="GL148" i="27"/>
  <c r="CT148" i="27"/>
  <c r="EP148" i="27"/>
  <c r="DF153" i="27"/>
  <c r="GX153" i="27"/>
  <c r="FB153" i="27"/>
  <c r="GR163" i="27"/>
  <c r="CZ163" i="27"/>
  <c r="EV163" i="27"/>
  <c r="CZ261" i="27"/>
  <c r="GR261" i="27"/>
  <c r="EV261" i="27"/>
  <c r="GL317" i="27"/>
  <c r="EP317" i="27"/>
  <c r="CT317" i="27"/>
  <c r="CN157" i="27"/>
  <c r="GF157" i="27"/>
  <c r="EJ157" i="27"/>
  <c r="CH28" i="27"/>
  <c r="FZ28" i="27"/>
  <c r="ED28" i="27"/>
  <c r="CH7" i="27"/>
  <c r="FZ7" i="27"/>
  <c r="ED7" i="27"/>
  <c r="CT149" i="27"/>
  <c r="GL149" i="27"/>
  <c r="EP149" i="27"/>
  <c r="ED48" i="27"/>
  <c r="FZ48" i="27"/>
  <c r="CH48" i="27"/>
  <c r="CH99" i="27"/>
  <c r="ED99" i="27"/>
  <c r="FZ99" i="27"/>
  <c r="GL64" i="27"/>
  <c r="EP64" i="27"/>
  <c r="CT64" i="27"/>
  <c r="CN106" i="27"/>
  <c r="EJ106" i="27"/>
  <c r="GF106" i="27"/>
  <c r="EJ140" i="27"/>
  <c r="GF140" i="27"/>
  <c r="CN140" i="27"/>
  <c r="EV93" i="27"/>
  <c r="CZ93" i="27"/>
  <c r="GR93" i="27"/>
  <c r="FZ64" i="27"/>
  <c r="CH64" i="27"/>
  <c r="ED64" i="27"/>
  <c r="GX47" i="27"/>
  <c r="FB47" i="27"/>
  <c r="DF47" i="27"/>
  <c r="EJ123" i="27"/>
  <c r="CN123" i="27"/>
  <c r="GF123" i="27"/>
  <c r="ED230" i="27"/>
  <c r="FZ230" i="27"/>
  <c r="CH230" i="27"/>
  <c r="CH59" i="27"/>
  <c r="FZ59" i="27"/>
  <c r="ED59" i="27"/>
  <c r="FZ172" i="27"/>
  <c r="CH172" i="27"/>
  <c r="ED172" i="27"/>
  <c r="CZ147" i="27"/>
  <c r="EV147" i="27"/>
  <c r="GR147" i="27"/>
  <c r="CT280" i="27"/>
  <c r="GL280" i="27"/>
  <c r="EP280" i="27"/>
  <c r="EP255" i="27"/>
  <c r="CT255" i="27"/>
  <c r="GL255" i="27"/>
  <c r="GR183" i="27"/>
  <c r="CZ183" i="27"/>
  <c r="EV183" i="27"/>
  <c r="CH314" i="27"/>
  <c r="ED314" i="27"/>
  <c r="FZ314" i="27"/>
  <c r="FZ122" i="27"/>
  <c r="ED122" i="27"/>
  <c r="CH122" i="27"/>
  <c r="FB107" i="27"/>
  <c r="GX107" i="27"/>
  <c r="DF107" i="27"/>
  <c r="GR299" i="27"/>
  <c r="EV299" i="27"/>
  <c r="CZ299" i="27"/>
  <c r="CZ195" i="27"/>
  <c r="GR195" i="27"/>
  <c r="EV195" i="27"/>
  <c r="EP306" i="27"/>
  <c r="GL306" i="27"/>
  <c r="CT306" i="27"/>
  <c r="GL198" i="27"/>
  <c r="EP198" i="27"/>
  <c r="CT198" i="27"/>
  <c r="FZ319" i="27"/>
  <c r="ED319" i="27"/>
  <c r="CH319" i="27"/>
  <c r="GF121" i="27"/>
  <c r="EJ121" i="27"/>
  <c r="CN121" i="27"/>
  <c r="CN76" i="27"/>
  <c r="EJ76" i="27"/>
  <c r="GF76" i="27"/>
  <c r="CT28" i="27"/>
  <c r="GL28" i="27"/>
  <c r="EP28" i="27"/>
  <c r="ED200" i="27"/>
  <c r="FZ200" i="27"/>
  <c r="CH200" i="27"/>
  <c r="EV134" i="27"/>
  <c r="CZ134" i="27"/>
  <c r="GR134" i="27"/>
  <c r="CT239" i="27"/>
  <c r="GL239" i="27"/>
  <c r="EP239" i="27"/>
  <c r="ED156" i="27"/>
  <c r="CH156" i="27"/>
  <c r="FZ156" i="27"/>
  <c r="GL86" i="27"/>
  <c r="CT86" i="27"/>
  <c r="EP86" i="27"/>
  <c r="DF314" i="27"/>
  <c r="FB314" i="27"/>
  <c r="GX314" i="27"/>
  <c r="GL51" i="27"/>
  <c r="EP51" i="27"/>
  <c r="CT51" i="27"/>
  <c r="FZ94" i="27"/>
  <c r="ED94" i="27"/>
  <c r="CH94" i="27"/>
  <c r="DF264" i="27"/>
  <c r="GX264" i="27"/>
  <c r="FB264" i="27"/>
  <c r="DF75" i="27"/>
  <c r="FB75" i="27"/>
  <c r="GX75" i="27"/>
  <c r="GX296" i="27"/>
  <c r="DF296" i="27"/>
  <c r="FB296" i="27"/>
  <c r="DF101" i="27"/>
  <c r="GX101" i="27"/>
  <c r="FB101" i="27"/>
  <c r="CH188" i="27"/>
  <c r="FZ188" i="27"/>
  <c r="ED188" i="27"/>
  <c r="GF310" i="27"/>
  <c r="CN310" i="27"/>
  <c r="EJ310" i="27"/>
  <c r="GF28" i="27"/>
  <c r="EJ28" i="27"/>
  <c r="CN28" i="27"/>
  <c r="EP286" i="27"/>
  <c r="GL286" i="27"/>
  <c r="CT286" i="27"/>
  <c r="FB74" i="27"/>
  <c r="GX74" i="27"/>
  <c r="DF74" i="27"/>
  <c r="CZ142" i="27"/>
  <c r="EV142" i="27"/>
  <c r="GR142" i="27"/>
  <c r="CH229" i="27"/>
  <c r="ED229" i="27"/>
  <c r="FZ229" i="27"/>
  <c r="CZ104" i="27"/>
  <c r="GR104" i="27"/>
  <c r="EV104" i="27"/>
  <c r="EV86" i="27"/>
  <c r="CZ86" i="27"/>
  <c r="GR86" i="27"/>
  <c r="DF45" i="27"/>
  <c r="FB45" i="27"/>
  <c r="GX45" i="27"/>
  <c r="GL90" i="27"/>
  <c r="CT90" i="27"/>
  <c r="EP90" i="27"/>
  <c r="FZ323" i="27"/>
  <c r="ED323" i="27"/>
  <c r="CH323" i="27"/>
  <c r="GF249" i="27"/>
  <c r="EJ249" i="27"/>
  <c r="CN249" i="27"/>
  <c r="CZ318" i="27"/>
  <c r="GR318" i="27"/>
  <c r="EV318" i="27"/>
  <c r="GR297" i="27"/>
  <c r="CZ297" i="27"/>
  <c r="EV297" i="27"/>
  <c r="ED174" i="27"/>
  <c r="FZ174" i="27"/>
  <c r="CH174" i="27"/>
  <c r="ED309" i="27"/>
  <c r="FZ309" i="27"/>
  <c r="CH309" i="27"/>
  <c r="ED227" i="27"/>
  <c r="CH227" i="27"/>
  <c r="FZ227" i="27"/>
  <c r="GF40" i="27"/>
  <c r="EJ40" i="27"/>
  <c r="CN40" i="27"/>
  <c r="EJ195" i="27"/>
  <c r="CN195" i="27"/>
  <c r="GF195" i="27"/>
  <c r="EP195" i="27"/>
  <c r="CT195" i="27"/>
  <c r="GL195" i="27"/>
  <c r="DF123" i="27"/>
  <c r="GX123" i="27"/>
  <c r="FB123" i="27"/>
  <c r="EP48" i="27"/>
  <c r="GL48" i="27"/>
  <c r="CT48" i="27"/>
  <c r="CN302" i="27"/>
  <c r="GF302" i="27"/>
  <c r="EJ302" i="27"/>
  <c r="GR56" i="27"/>
  <c r="EV56" i="27"/>
  <c r="CZ56" i="27"/>
  <c r="FZ98" i="27"/>
  <c r="CH98" i="27"/>
  <c r="ED98" i="27"/>
  <c r="GX325" i="27"/>
  <c r="DF325" i="27"/>
  <c r="FB325" i="27"/>
  <c r="EJ132" i="27"/>
  <c r="CN132" i="27"/>
  <c r="GF132" i="27"/>
  <c r="EP234" i="27"/>
  <c r="CT234" i="27"/>
  <c r="GL234" i="27"/>
  <c r="CZ23" i="27"/>
  <c r="EV23" i="27"/>
  <c r="GR23" i="27"/>
  <c r="CT211" i="27"/>
  <c r="GL211" i="27"/>
  <c r="EP211" i="27"/>
  <c r="GF143" i="27"/>
  <c r="CN143" i="27"/>
  <c r="EJ143" i="27"/>
  <c r="FB62" i="27"/>
  <c r="DF62" i="27"/>
  <c r="GX62" i="27"/>
  <c r="CT103" i="27"/>
  <c r="EP103" i="27"/>
  <c r="GL103" i="27"/>
  <c r="DF97" i="27"/>
  <c r="FB97" i="27"/>
  <c r="GX97" i="27"/>
  <c r="EP79" i="27"/>
  <c r="GL79" i="27"/>
  <c r="CT79" i="27"/>
  <c r="ED324" i="27"/>
  <c r="CH324" i="27"/>
  <c r="FZ324" i="27"/>
  <c r="GF161" i="27"/>
  <c r="CN161" i="27"/>
  <c r="EJ161" i="27"/>
  <c r="ED249" i="27"/>
  <c r="FZ249" i="27"/>
  <c r="CH249" i="27"/>
  <c r="GL129" i="27"/>
  <c r="EP129" i="27"/>
  <c r="CT129" i="27"/>
  <c r="CN238" i="27"/>
  <c r="GF238" i="27"/>
  <c r="EJ238" i="27"/>
  <c r="CZ125" i="27"/>
  <c r="EV125" i="27"/>
  <c r="GR125" i="27"/>
  <c r="GX294" i="27"/>
  <c r="FB294" i="27"/>
  <c r="DF294" i="27"/>
  <c r="CH155" i="27"/>
  <c r="ED155" i="27"/>
  <c r="FZ155" i="27"/>
  <c r="GR146" i="27"/>
  <c r="CZ146" i="27"/>
  <c r="EV146" i="27"/>
  <c r="EP7" i="27"/>
  <c r="GL7" i="27"/>
  <c r="CT7" i="27"/>
  <c r="GL14" i="27"/>
  <c r="EP14" i="27"/>
  <c r="CT14" i="27"/>
  <c r="EV68" i="27"/>
  <c r="CZ68" i="27"/>
  <c r="GR68" i="27"/>
  <c r="GX52" i="27"/>
  <c r="FB52" i="27"/>
  <c r="DF52" i="27"/>
  <c r="FZ101" i="27"/>
  <c r="ED101" i="27"/>
  <c r="CH101" i="27"/>
  <c r="FB91" i="27"/>
  <c r="DF91" i="27"/>
  <c r="GX91" i="27"/>
  <c r="FZ194" i="27"/>
  <c r="ED194" i="27"/>
  <c r="CH194" i="27"/>
  <c r="EJ232" i="27"/>
  <c r="GF232" i="27"/>
  <c r="CN232" i="27"/>
  <c r="GR7" i="27"/>
  <c r="EV7" i="27"/>
  <c r="CZ7" i="27"/>
  <c r="EJ83" i="27"/>
  <c r="GF83" i="27"/>
  <c r="CN83" i="27"/>
  <c r="EV212" i="27"/>
  <c r="GR212" i="27"/>
  <c r="CZ212" i="27"/>
  <c r="CZ213" i="27"/>
  <c r="EV213" i="27"/>
  <c r="GR213" i="27"/>
  <c r="DF206" i="27"/>
  <c r="FB206" i="27"/>
  <c r="GX206" i="27"/>
  <c r="FB300" i="27"/>
  <c r="DF300" i="27"/>
  <c r="GX300" i="27"/>
  <c r="EP271" i="27"/>
  <c r="CT271" i="27"/>
  <c r="GL271" i="27"/>
  <c r="CT236" i="27"/>
  <c r="EP236" i="27"/>
  <c r="GL236" i="27"/>
  <c r="CT121" i="27"/>
  <c r="GL121" i="27"/>
  <c r="EP121" i="27"/>
  <c r="FB306" i="27"/>
  <c r="GX306" i="27"/>
  <c r="DF306" i="27"/>
  <c r="DF197" i="27"/>
  <c r="GX197" i="27"/>
  <c r="FB197" i="27"/>
  <c r="DF205" i="27"/>
  <c r="FB205" i="27"/>
  <c r="GX205" i="27"/>
  <c r="FB89" i="27"/>
  <c r="DF89" i="27"/>
  <c r="GX89" i="27"/>
  <c r="FB268" i="27"/>
  <c r="DF268" i="27"/>
  <c r="GX268" i="27"/>
  <c r="GR122" i="27"/>
  <c r="EV122" i="27"/>
  <c r="CZ122" i="27"/>
  <c r="CT171" i="27"/>
  <c r="GL171" i="27"/>
  <c r="EP171" i="27"/>
  <c r="CZ300" i="27"/>
  <c r="GR300" i="27"/>
  <c r="EV300" i="27"/>
  <c r="GL38" i="27"/>
  <c r="EP38" i="27"/>
  <c r="CT38" i="27"/>
  <c r="EP249" i="27"/>
  <c r="GL249" i="27"/>
  <c r="CT249" i="27"/>
  <c r="CN36" i="27"/>
  <c r="EJ36" i="27"/>
  <c r="GF36" i="27"/>
  <c r="CH171" i="27"/>
  <c r="FZ171" i="27"/>
  <c r="ED171" i="27"/>
  <c r="EP146" i="27"/>
  <c r="CT146" i="27"/>
  <c r="GL146" i="27"/>
  <c r="CH29" i="27"/>
  <c r="ED29" i="27"/>
  <c r="FZ29" i="27"/>
  <c r="FB212" i="27"/>
  <c r="DF212" i="27"/>
  <c r="GX212" i="27"/>
  <c r="CH39" i="27"/>
  <c r="FZ39" i="27"/>
  <c r="ED39" i="27"/>
  <c r="EV65" i="27"/>
  <c r="GR65" i="27"/>
  <c r="CZ65" i="27"/>
  <c r="EP173" i="27"/>
  <c r="CT173" i="27"/>
  <c r="GL173" i="27"/>
  <c r="FZ69" i="27"/>
  <c r="ED69" i="27"/>
  <c r="CH69" i="27"/>
  <c r="ED198" i="27"/>
  <c r="CH198" i="27"/>
  <c r="FZ198" i="27"/>
  <c r="FB276" i="27"/>
  <c r="GX276" i="27"/>
  <c r="DF276" i="27"/>
  <c r="ED197" i="27"/>
  <c r="CH197" i="27"/>
  <c r="FZ197" i="27"/>
  <c r="CN220" i="27"/>
  <c r="EJ220" i="27"/>
  <c r="GF220" i="27"/>
  <c r="CN88" i="27"/>
  <c r="EJ88" i="27"/>
  <c r="GF88" i="27"/>
  <c r="EP210" i="27"/>
  <c r="CT210" i="27"/>
  <c r="GL210" i="27"/>
  <c r="GF112" i="27"/>
  <c r="EJ112" i="27"/>
  <c r="CN112" i="27"/>
  <c r="CZ256" i="27"/>
  <c r="EV256" i="27"/>
  <c r="GR256" i="27"/>
  <c r="EV131" i="27"/>
  <c r="CZ131" i="27"/>
  <c r="GR131" i="27"/>
  <c r="FZ71" i="27"/>
  <c r="ED71" i="27"/>
  <c r="CH71" i="27"/>
  <c r="DF198" i="27"/>
  <c r="FB198" i="27"/>
  <c r="GX198" i="27"/>
  <c r="CT65" i="27"/>
  <c r="EP65" i="27"/>
  <c r="GL65" i="27"/>
  <c r="DF49" i="27"/>
  <c r="FB49" i="27"/>
  <c r="GX49" i="27"/>
  <c r="ED316" i="27"/>
  <c r="FZ316" i="27"/>
  <c r="CH316" i="27"/>
  <c r="FB159" i="27"/>
  <c r="GX159" i="27"/>
  <c r="DF159" i="27"/>
  <c r="CH50" i="27"/>
  <c r="FZ50" i="27"/>
  <c r="ED50" i="27"/>
  <c r="CN192" i="27"/>
  <c r="GF192" i="27"/>
  <c r="EJ192" i="27"/>
  <c r="CZ101" i="27"/>
  <c r="GR101" i="27"/>
  <c r="EV101" i="27"/>
  <c r="EP243" i="27"/>
  <c r="CT243" i="27"/>
  <c r="GL243" i="27"/>
  <c r="CH135" i="27"/>
  <c r="FZ135" i="27"/>
  <c r="ED135" i="27"/>
  <c r="CH195" i="27"/>
  <c r="FZ195" i="27"/>
  <c r="ED195" i="27"/>
  <c r="EJ17" i="27"/>
  <c r="GF17" i="27"/>
  <c r="CN17" i="27"/>
  <c r="EP91" i="27"/>
  <c r="CT91" i="27"/>
  <c r="GL91" i="27"/>
  <c r="CN235" i="27"/>
  <c r="EJ235" i="27"/>
  <c r="GF235" i="27"/>
  <c r="CZ89" i="27"/>
  <c r="GR89" i="27"/>
  <c r="EV89" i="27"/>
  <c r="DF284" i="27"/>
  <c r="GX284" i="27"/>
  <c r="FB284" i="27"/>
  <c r="FB256" i="27"/>
  <c r="GX256" i="27"/>
  <c r="DF256" i="27"/>
  <c r="GF110" i="27"/>
  <c r="EJ110" i="27"/>
  <c r="CN110" i="27"/>
  <c r="EV220" i="27"/>
  <c r="CZ220" i="27"/>
  <c r="GR220" i="27"/>
  <c r="CT40" i="27"/>
  <c r="GL40" i="27"/>
  <c r="EP40" i="27"/>
  <c r="GL238" i="27"/>
  <c r="CT238" i="27"/>
  <c r="EP238" i="27"/>
  <c r="CT61" i="27"/>
  <c r="GL61" i="27"/>
  <c r="EP61" i="27"/>
  <c r="EV88" i="27"/>
  <c r="CZ88" i="27"/>
  <c r="GR88" i="27"/>
  <c r="CT157" i="27"/>
  <c r="GL157" i="27"/>
  <c r="EP157" i="27"/>
  <c r="DF183" i="27"/>
  <c r="FB183" i="27"/>
  <c r="GX183" i="27"/>
  <c r="GX322" i="27"/>
  <c r="FB322" i="27"/>
  <c r="DF322" i="27"/>
  <c r="EJ224" i="27"/>
  <c r="CN224" i="27"/>
  <c r="GF224" i="27"/>
  <c r="GL17" i="27"/>
  <c r="EP17" i="27"/>
  <c r="CT17" i="27"/>
  <c r="EV276" i="27"/>
  <c r="GR276" i="27"/>
  <c r="CZ276" i="27"/>
  <c r="EP36" i="27"/>
  <c r="CT36" i="27"/>
  <c r="GL36" i="27"/>
  <c r="FB29" i="27"/>
  <c r="DF29" i="27"/>
  <c r="GX29" i="27"/>
  <c r="EJ263" i="27"/>
  <c r="GF263" i="27"/>
  <c r="CN263" i="27"/>
  <c r="FZ281" i="27"/>
  <c r="ED281" i="27"/>
  <c r="CH281" i="27"/>
  <c r="EJ301" i="27"/>
  <c r="GF301" i="27"/>
  <c r="CN301" i="27"/>
  <c r="CT104" i="27"/>
  <c r="EP104" i="27"/>
  <c r="GL104" i="27"/>
  <c r="CN48" i="27"/>
  <c r="GF48" i="27"/>
  <c r="EJ48" i="27"/>
  <c r="EJ188" i="27"/>
  <c r="CN188" i="27"/>
  <c r="GF188" i="27"/>
  <c r="CZ144" i="27"/>
  <c r="EV144" i="27"/>
  <c r="GR144" i="27"/>
  <c r="DF241" i="27"/>
  <c r="FB241" i="27"/>
  <c r="GX241" i="27"/>
  <c r="GX102" i="27"/>
  <c r="DF102" i="27"/>
  <c r="FB102" i="27"/>
  <c r="GF150" i="27"/>
  <c r="CN150" i="27"/>
  <c r="EJ150" i="27"/>
  <c r="GR243" i="27"/>
  <c r="EV243" i="27"/>
  <c r="CZ243" i="27"/>
  <c r="CT208" i="27"/>
  <c r="EP208" i="27"/>
  <c r="GL208" i="27"/>
  <c r="CH45" i="27"/>
  <c r="FZ45" i="27"/>
  <c r="ED45" i="27"/>
  <c r="CH76" i="27"/>
  <c r="ED76" i="27"/>
  <c r="FZ76" i="27"/>
  <c r="GR267" i="27"/>
  <c r="CZ267" i="27"/>
  <c r="EV267" i="27"/>
  <c r="EP53" i="27"/>
  <c r="GL53" i="27"/>
  <c r="CT53" i="27"/>
  <c r="DF113" i="27"/>
  <c r="GX113" i="27"/>
  <c r="FB113" i="27"/>
  <c r="ED294" i="27"/>
  <c r="FZ294" i="27"/>
  <c r="CH294" i="27"/>
  <c r="FZ163" i="27"/>
  <c r="ED163" i="27"/>
  <c r="CH163" i="27"/>
  <c r="ED284" i="27"/>
  <c r="FZ284" i="27"/>
  <c r="CH284" i="27"/>
  <c r="EP46" i="27"/>
  <c r="CT46" i="27"/>
  <c r="GL46" i="27"/>
  <c r="GF229" i="27"/>
  <c r="CN229" i="27"/>
  <c r="EJ229" i="27"/>
  <c r="CH54" i="27"/>
  <c r="FZ54" i="27"/>
  <c r="ED54" i="27"/>
  <c r="ED74" i="27"/>
  <c r="CH74" i="27"/>
  <c r="FZ74" i="27"/>
  <c r="EV257" i="27"/>
  <c r="CZ257" i="27"/>
  <c r="GR257" i="27"/>
  <c r="FB155" i="27"/>
  <c r="DF155" i="27"/>
  <c r="GX155" i="27"/>
  <c r="GF127" i="27"/>
  <c r="CN127" i="27"/>
  <c r="EJ127" i="27"/>
  <c r="ED173" i="27"/>
  <c r="FZ173" i="27"/>
  <c r="CH173" i="27"/>
  <c r="EP203" i="27"/>
  <c r="GL203" i="27"/>
  <c r="CT203" i="27"/>
  <c r="ED285" i="27"/>
  <c r="FZ285" i="27"/>
  <c r="CH285" i="27"/>
  <c r="DF291" i="27"/>
  <c r="FB291" i="27"/>
  <c r="GX291" i="27"/>
  <c r="FZ166" i="27"/>
  <c r="ED166" i="27"/>
  <c r="CH166" i="27"/>
  <c r="EP272" i="27"/>
  <c r="GL272" i="27"/>
  <c r="CT272" i="27"/>
  <c r="DF56" i="27"/>
  <c r="GX56" i="27"/>
  <c r="FB56" i="27"/>
  <c r="ED37" i="27"/>
  <c r="FZ37" i="27"/>
  <c r="CH37" i="27"/>
  <c r="DF312" i="27"/>
  <c r="FB312" i="27"/>
  <c r="GX312" i="27"/>
  <c r="GX77" i="27"/>
  <c r="DF77" i="27"/>
  <c r="FB77" i="27"/>
  <c r="CH315" i="27"/>
  <c r="FZ315" i="27"/>
  <c r="ED315" i="27"/>
  <c r="GX34" i="27"/>
  <c r="DF34" i="27"/>
  <c r="FB34" i="27"/>
  <c r="EJ288" i="27"/>
  <c r="CN288" i="27"/>
  <c r="GF288" i="27"/>
  <c r="CZ74" i="27"/>
  <c r="EV74" i="27"/>
  <c r="GR74" i="27"/>
  <c r="CZ240" i="27"/>
  <c r="GR240" i="27"/>
  <c r="EV240" i="27"/>
  <c r="EP252" i="27"/>
  <c r="GL252" i="27"/>
  <c r="CT252" i="27"/>
  <c r="FB72" i="27"/>
  <c r="GX72" i="27"/>
  <c r="DF72" i="27"/>
  <c r="GR189" i="27"/>
  <c r="CZ189" i="27"/>
  <c r="EV189" i="27"/>
  <c r="CH14" i="27"/>
  <c r="FZ14" i="27"/>
  <c r="ED14" i="27"/>
  <c r="GF173" i="27"/>
  <c r="CN173" i="27"/>
  <c r="EJ173" i="27"/>
  <c r="EJ16" i="27"/>
  <c r="GF16" i="27"/>
  <c r="CN16" i="27"/>
  <c r="GR262" i="27"/>
  <c r="CZ262" i="27"/>
  <c r="EV262" i="27"/>
  <c r="GF97" i="27"/>
  <c r="CN97" i="27"/>
  <c r="EJ97" i="27"/>
  <c r="CN144" i="27"/>
  <c r="EJ144" i="27"/>
  <c r="GF144" i="27"/>
  <c r="GF167" i="27"/>
  <c r="EJ167" i="27"/>
  <c r="CN167" i="27"/>
  <c r="EJ65" i="27"/>
  <c r="GF65" i="27"/>
  <c r="CN65" i="27"/>
  <c r="EJ125" i="27"/>
  <c r="CN125" i="27"/>
  <c r="GF125" i="27"/>
  <c r="CZ123" i="27"/>
  <c r="GR123" i="27"/>
  <c r="EV123" i="27"/>
  <c r="CN12" i="27"/>
  <c r="GF12" i="27"/>
  <c r="EJ12" i="27"/>
  <c r="GR307" i="27"/>
  <c r="EV307" i="27"/>
  <c r="CZ307" i="27"/>
  <c r="ED311" i="27"/>
  <c r="CH311" i="27"/>
  <c r="FZ311" i="27"/>
  <c r="FB44" i="27"/>
  <c r="GX44" i="27"/>
  <c r="DF44" i="27"/>
  <c r="CZ61" i="27"/>
  <c r="EV61" i="27"/>
  <c r="GR61" i="27"/>
  <c r="F20" i="3"/>
  <c r="GX304" i="27"/>
  <c r="DF304" i="27"/>
  <c r="FB304" i="27"/>
  <c r="GF256" i="27"/>
  <c r="CN256" i="27"/>
  <c r="EJ256" i="27"/>
  <c r="CT134" i="27"/>
  <c r="GL134" i="27"/>
  <c r="EP134" i="27"/>
  <c r="GR40" i="27"/>
  <c r="EV40" i="27"/>
  <c r="CZ40" i="27"/>
  <c r="FZ41" i="27"/>
  <c r="ED41" i="27"/>
  <c r="CH41" i="27"/>
  <c r="GF285" i="27"/>
  <c r="CN285" i="27"/>
  <c r="EJ285" i="27"/>
  <c r="FZ42" i="27"/>
  <c r="CH42" i="27"/>
  <c r="ED42" i="27"/>
  <c r="FB109" i="27"/>
  <c r="DF109" i="27"/>
  <c r="GX109" i="27"/>
  <c r="GR64" i="27"/>
  <c r="EV64" i="27"/>
  <c r="CZ64" i="27"/>
  <c r="CN47" i="27"/>
  <c r="EJ47" i="27"/>
  <c r="GF47" i="27"/>
  <c r="CN44" i="27"/>
  <c r="GF44" i="27"/>
  <c r="EJ44" i="27"/>
  <c r="CN304" i="27"/>
  <c r="EJ304" i="27"/>
  <c r="GF304" i="27"/>
  <c r="FZ224" i="27"/>
  <c r="CH224" i="27"/>
  <c r="ED224" i="27"/>
  <c r="F23" i="3"/>
  <c r="CT193" i="27"/>
  <c r="EP193" i="27"/>
  <c r="GL193" i="27"/>
  <c r="CT265" i="27"/>
  <c r="GL265" i="27"/>
  <c r="EP265" i="27"/>
  <c r="FB184" i="27"/>
  <c r="DF184" i="27"/>
  <c r="GX184" i="27"/>
  <c r="GL102" i="27"/>
  <c r="CT102" i="27"/>
  <c r="EP102" i="27"/>
  <c r="GR289" i="27"/>
  <c r="EV289" i="27"/>
  <c r="CZ289" i="27"/>
  <c r="GX214" i="27"/>
  <c r="DF214" i="27"/>
  <c r="FB214" i="27"/>
  <c r="FB178" i="27"/>
  <c r="DF178" i="27"/>
  <c r="GX178" i="27"/>
  <c r="GF108" i="27"/>
  <c r="EJ108" i="27"/>
  <c r="CN108" i="27"/>
  <c r="CZ162" i="27"/>
  <c r="EV162" i="27"/>
  <c r="GR162" i="27"/>
  <c r="CN129" i="27"/>
  <c r="GF129" i="27"/>
  <c r="EJ129" i="27"/>
  <c r="EJ260" i="27"/>
  <c r="GF260" i="27"/>
  <c r="CN260" i="27"/>
  <c r="CN57" i="27"/>
  <c r="EJ57" i="27"/>
  <c r="GF57" i="27"/>
  <c r="GX188" i="27"/>
  <c r="FB188" i="27"/>
  <c r="DF188" i="27"/>
  <c r="GL278" i="27"/>
  <c r="CT278" i="27"/>
  <c r="EP278" i="27"/>
  <c r="GR210" i="27"/>
  <c r="EV210" i="27"/>
  <c r="CZ210" i="27"/>
  <c r="FB233" i="27"/>
  <c r="GX233" i="27"/>
  <c r="DF233" i="27"/>
  <c r="FZ16" i="27"/>
  <c r="ED16" i="27"/>
  <c r="CH16" i="27"/>
  <c r="GF208" i="27"/>
  <c r="EJ208" i="27"/>
  <c r="CN208" i="27"/>
  <c r="FB317" i="27"/>
  <c r="GX317" i="27"/>
  <c r="DF317" i="27"/>
  <c r="EP301" i="27"/>
  <c r="GL301" i="27"/>
  <c r="CT301" i="27"/>
  <c r="GX26" i="27"/>
  <c r="FB26" i="27"/>
  <c r="DF26" i="27"/>
  <c r="FZ96" i="27"/>
  <c r="CH96" i="27"/>
  <c r="ED96" i="27"/>
  <c r="GR99" i="27"/>
  <c r="EV99" i="27"/>
  <c r="CZ99" i="27"/>
  <c r="ED321" i="27"/>
  <c r="CH321" i="27"/>
  <c r="FZ321" i="27"/>
  <c r="GL258" i="27"/>
  <c r="EP258" i="27"/>
  <c r="CT258" i="27"/>
  <c r="EJ89" i="27"/>
  <c r="CN89" i="27"/>
  <c r="GF89" i="27"/>
  <c r="CZ272" i="27"/>
  <c r="EV272" i="27"/>
  <c r="GR272" i="27"/>
  <c r="CT296" i="27"/>
  <c r="GL296" i="27"/>
  <c r="EP296" i="27"/>
  <c r="GF178" i="27"/>
  <c r="EJ178" i="27"/>
  <c r="CN178" i="27"/>
  <c r="CH192" i="27"/>
  <c r="FZ192" i="27"/>
  <c r="ED192" i="27"/>
  <c r="EP292" i="27"/>
  <c r="GL292" i="27"/>
  <c r="CT292" i="27"/>
  <c r="DF311" i="27"/>
  <c r="GX311" i="27"/>
  <c r="FB311" i="27"/>
  <c r="GR41" i="27"/>
  <c r="CZ41" i="27"/>
  <c r="EV41" i="27"/>
  <c r="GL322" i="27"/>
  <c r="EP322" i="27"/>
  <c r="CT322" i="27"/>
  <c r="ED148" i="27"/>
  <c r="CH148" i="27"/>
  <c r="FZ148" i="27"/>
  <c r="EV320" i="27"/>
  <c r="CZ320" i="27"/>
  <c r="GR320" i="27"/>
  <c r="CH149" i="27"/>
  <c r="ED149" i="27"/>
  <c r="FZ149" i="27"/>
  <c r="ED137" i="27"/>
  <c r="FZ137" i="27"/>
  <c r="CH137" i="27"/>
  <c r="ED237" i="27"/>
  <c r="CH237" i="27"/>
  <c r="FZ237" i="27"/>
  <c r="GF269" i="27"/>
  <c r="EJ269" i="27"/>
  <c r="CN269" i="27"/>
  <c r="GL169" i="27"/>
  <c r="EP169" i="27"/>
  <c r="CT169" i="27"/>
  <c r="GL185" i="27"/>
  <c r="CT185" i="27"/>
  <c r="EP185" i="27"/>
  <c r="EP166" i="27"/>
  <c r="GL166" i="27"/>
  <c r="CT166" i="27"/>
  <c r="CH17" i="27"/>
  <c r="FZ17" i="27"/>
  <c r="ED17" i="27"/>
  <c r="DF149" i="27"/>
  <c r="FB149" i="27"/>
  <c r="GX149" i="27"/>
  <c r="FZ23" i="27"/>
  <c r="CH23" i="27"/>
  <c r="ED23" i="27"/>
  <c r="FB168" i="27"/>
  <c r="GX168" i="27"/>
  <c r="DF168" i="27"/>
  <c r="GF234" i="27"/>
  <c r="EJ234" i="27"/>
  <c r="CN234" i="27"/>
  <c r="EV128" i="27"/>
  <c r="CZ128" i="27"/>
  <c r="GR128" i="27"/>
  <c r="CZ274" i="27"/>
  <c r="EV274" i="27"/>
  <c r="GR274" i="27"/>
  <c r="CN205" i="27"/>
  <c r="EJ205" i="27"/>
  <c r="GF205" i="27"/>
  <c r="CN13" i="27"/>
  <c r="GF13" i="27"/>
  <c r="EJ13" i="27"/>
  <c r="EP277" i="27"/>
  <c r="GL277" i="27"/>
  <c r="CT277" i="27"/>
  <c r="GF299" i="27"/>
  <c r="CN299" i="27"/>
  <c r="EJ299" i="27"/>
  <c r="CN51" i="27"/>
  <c r="GF51" i="27"/>
  <c r="EJ51" i="27"/>
  <c r="CH34" i="27"/>
  <c r="ED34" i="27"/>
  <c r="FZ34" i="27"/>
  <c r="GF268" i="27"/>
  <c r="EJ268" i="27"/>
  <c r="CN268" i="27"/>
  <c r="GL194" i="27"/>
  <c r="CT194" i="27"/>
  <c r="EP194" i="27"/>
  <c r="GR44" i="27"/>
  <c r="EV44" i="27"/>
  <c r="CZ44" i="27"/>
  <c r="GL303" i="27"/>
  <c r="CT303" i="27"/>
  <c r="EP303" i="27"/>
  <c r="DF137" i="27"/>
  <c r="GX137" i="27"/>
  <c r="FB137" i="27"/>
  <c r="EV244" i="27"/>
  <c r="CZ244" i="27"/>
  <c r="GR244" i="27"/>
  <c r="EP76" i="27"/>
  <c r="GL76" i="27"/>
  <c r="CT76" i="27"/>
  <c r="GR72" i="27"/>
  <c r="EV72" i="27"/>
  <c r="CZ72" i="27"/>
  <c r="ED144" i="27"/>
  <c r="CH144" i="27"/>
  <c r="FZ144" i="27"/>
  <c r="ED114" i="27"/>
  <c r="CH114" i="27"/>
  <c r="FZ114" i="27"/>
  <c r="GR283" i="27"/>
  <c r="EV283" i="27"/>
  <c r="CZ283" i="27"/>
  <c r="GL160" i="27"/>
  <c r="CT160" i="27"/>
  <c r="EP160" i="27"/>
  <c r="ED108" i="27"/>
  <c r="CH108" i="27"/>
  <c r="FZ108" i="27"/>
  <c r="EP82" i="27"/>
  <c r="GL82" i="27"/>
  <c r="CT82" i="27"/>
  <c r="FZ97" i="27"/>
  <c r="ED97" i="27"/>
  <c r="CH97" i="27"/>
  <c r="FZ24" i="27"/>
  <c r="ED24" i="27"/>
  <c r="CH24" i="27"/>
  <c r="ED87" i="27"/>
  <c r="FZ87" i="27"/>
  <c r="CH87" i="27"/>
  <c r="DF57" i="27"/>
  <c r="FB57" i="27"/>
  <c r="GX57" i="27"/>
  <c r="EV95" i="27"/>
  <c r="CZ95" i="27"/>
  <c r="GR95" i="27"/>
  <c r="EV252" i="27"/>
  <c r="GR252" i="27"/>
  <c r="CZ252" i="27"/>
  <c r="GF305" i="27"/>
  <c r="CN305" i="27"/>
  <c r="EJ305" i="27"/>
  <c r="EV219" i="27"/>
  <c r="CZ219" i="27"/>
  <c r="GR219" i="27"/>
  <c r="EV90" i="27"/>
  <c r="CZ90" i="27"/>
  <c r="GR90" i="27"/>
  <c r="GF214" i="27"/>
  <c r="CN214" i="27"/>
  <c r="EJ214" i="27"/>
  <c r="CN198" i="27"/>
  <c r="GF198" i="27"/>
  <c r="EJ198" i="27"/>
  <c r="CN247" i="27"/>
  <c r="GF247" i="27"/>
  <c r="EJ247" i="27"/>
  <c r="GX192" i="27"/>
  <c r="FB192" i="27"/>
  <c r="DF192" i="27"/>
  <c r="GX174" i="27"/>
  <c r="FB174" i="27"/>
  <c r="DF174" i="27"/>
  <c r="DF161" i="27"/>
  <c r="FB161" i="27"/>
  <c r="GX161" i="27"/>
  <c r="ED53" i="27"/>
  <c r="FZ53" i="27"/>
  <c r="CH53" i="27"/>
  <c r="EJ162" i="27"/>
  <c r="CN162" i="27"/>
  <c r="GF162" i="27"/>
  <c r="CH26" i="27"/>
  <c r="ED26" i="27"/>
  <c r="FZ26" i="27"/>
  <c r="EV124" i="27"/>
  <c r="GR124" i="27"/>
  <c r="CZ124" i="27"/>
  <c r="EV35" i="27"/>
  <c r="CZ35" i="27"/>
  <c r="GR35" i="27"/>
  <c r="GL253" i="27"/>
  <c r="EP253" i="27"/>
  <c r="CT253" i="27"/>
  <c r="CN277" i="27"/>
  <c r="GF277" i="27"/>
  <c r="EJ277" i="27"/>
  <c r="GX41" i="27"/>
  <c r="DF41" i="27"/>
  <c r="FB41" i="27"/>
  <c r="GR199" i="27"/>
  <c r="EV199" i="27"/>
  <c r="CZ199" i="27"/>
  <c r="GL283" i="27"/>
  <c r="EP283" i="27"/>
  <c r="CT283" i="27"/>
  <c r="EV231" i="27"/>
  <c r="GR231" i="27"/>
  <c r="CZ231" i="27"/>
  <c r="DF278" i="27"/>
  <c r="GX278" i="27"/>
  <c r="FB278" i="27"/>
  <c r="CT165" i="27"/>
  <c r="GL165" i="27"/>
  <c r="EP165" i="27"/>
  <c r="GX65" i="27"/>
  <c r="FB65" i="27"/>
  <c r="DF65" i="27"/>
  <c r="FB40" i="27"/>
  <c r="DF40" i="27"/>
  <c r="GX40" i="27"/>
  <c r="GX136" i="27"/>
  <c r="FB136" i="27"/>
  <c r="DF136" i="27"/>
  <c r="CT144" i="27"/>
  <c r="EP144" i="27"/>
  <c r="GL144" i="27"/>
  <c r="FB195" i="27"/>
  <c r="DF195" i="27"/>
  <c r="GX195" i="27"/>
  <c r="EP269" i="27"/>
  <c r="CT269" i="27"/>
  <c r="GL269" i="27"/>
  <c r="EP20" i="27"/>
  <c r="GL20" i="27"/>
  <c r="CT20" i="27"/>
  <c r="DF122" i="27"/>
  <c r="GX122" i="27"/>
  <c r="FB122" i="27"/>
  <c r="CN146" i="27"/>
  <c r="EJ146" i="27"/>
  <c r="GF146" i="27"/>
  <c r="CH116" i="27"/>
  <c r="FZ116" i="27"/>
  <c r="ED116" i="27"/>
  <c r="EP25" i="27"/>
  <c r="CT25" i="27"/>
  <c r="GL25" i="27"/>
  <c r="ED15" i="27"/>
  <c r="CH15" i="27"/>
  <c r="FZ15" i="27"/>
  <c r="CT128" i="27"/>
  <c r="EP128" i="27"/>
  <c r="GL128" i="27"/>
  <c r="CN289" i="27"/>
  <c r="GF289" i="27"/>
  <c r="EJ289" i="27"/>
  <c r="EJ179" i="27"/>
  <c r="CN179" i="27"/>
  <c r="GF179" i="27"/>
  <c r="CZ222" i="27"/>
  <c r="EV222" i="27"/>
  <c r="GR222" i="27"/>
  <c r="GL305" i="27"/>
  <c r="CT305" i="27"/>
  <c r="EP305" i="27"/>
  <c r="EJ251" i="27"/>
  <c r="GF251" i="27"/>
  <c r="CN251" i="27"/>
  <c r="EP247" i="27"/>
  <c r="CT247" i="27"/>
  <c r="GL247" i="27"/>
  <c r="GX289" i="27"/>
  <c r="FB289" i="27"/>
  <c r="DF289" i="27"/>
  <c r="EV59" i="27"/>
  <c r="CZ59" i="27"/>
  <c r="GR59" i="27"/>
  <c r="FZ56" i="27"/>
  <c r="ED56" i="27"/>
  <c r="CH56" i="27"/>
  <c r="EV98" i="27"/>
  <c r="GR98" i="27"/>
  <c r="CZ98" i="27"/>
  <c r="DF80" i="27"/>
  <c r="GX80" i="27"/>
  <c r="FB80" i="27"/>
  <c r="EP147" i="27"/>
  <c r="GL147" i="27"/>
  <c r="CT147" i="27"/>
  <c r="FB131" i="27"/>
  <c r="GX131" i="27"/>
  <c r="DF131" i="27"/>
  <c r="CH282" i="27"/>
  <c r="ED282" i="27"/>
  <c r="FZ282" i="27"/>
  <c r="FZ220" i="27"/>
  <c r="CH220" i="27"/>
  <c r="ED220" i="27"/>
  <c r="GX281" i="27"/>
  <c r="FB281" i="27"/>
  <c r="DF281" i="27"/>
  <c r="GR303" i="27"/>
  <c r="EV303" i="27"/>
  <c r="CZ303" i="27"/>
  <c r="GR29" i="27"/>
  <c r="CZ29" i="27"/>
  <c r="EV29" i="27"/>
  <c r="EP13" i="27"/>
  <c r="CT13" i="27"/>
  <c r="GL13" i="27"/>
  <c r="GR177" i="27"/>
  <c r="EV177" i="27"/>
  <c r="CZ177" i="27"/>
  <c r="CN242" i="27"/>
  <c r="GF242" i="27"/>
  <c r="EJ242" i="27"/>
  <c r="EV160" i="27"/>
  <c r="CZ160" i="27"/>
  <c r="GR160" i="27"/>
  <c r="CT69" i="27"/>
  <c r="EP69" i="27"/>
  <c r="GL69" i="27"/>
  <c r="CZ55" i="27"/>
  <c r="EV55" i="27"/>
  <c r="GR55" i="27"/>
  <c r="FB239" i="27"/>
  <c r="DF239" i="27"/>
  <c r="GX239" i="27"/>
  <c r="EP77" i="27"/>
  <c r="CT77" i="27"/>
  <c r="GL77" i="27"/>
  <c r="CN109" i="27"/>
  <c r="EJ109" i="27"/>
  <c r="GF109" i="27"/>
  <c r="CZ171" i="27"/>
  <c r="EV171" i="27"/>
  <c r="GR171" i="27"/>
  <c r="ED92" i="27"/>
  <c r="FZ92" i="27"/>
  <c r="CH92" i="27"/>
  <c r="EJ152" i="27"/>
  <c r="CN152" i="27"/>
  <c r="GF152" i="27"/>
  <c r="GL120" i="27"/>
  <c r="CT120" i="27"/>
  <c r="EP120" i="27"/>
  <c r="CZ133" i="27"/>
  <c r="GR133" i="27"/>
  <c r="EV133" i="27"/>
  <c r="CN80" i="27"/>
  <c r="EJ80" i="27"/>
  <c r="GF80" i="27"/>
  <c r="EP209" i="27"/>
  <c r="GL209" i="27"/>
  <c r="CT209" i="27"/>
  <c r="GR53" i="27"/>
  <c r="CZ53" i="27"/>
  <c r="EV53" i="27"/>
  <c r="CT163" i="27"/>
  <c r="GL163" i="27"/>
  <c r="EP163" i="27"/>
  <c r="CH322" i="27"/>
  <c r="ED322" i="27"/>
  <c r="FZ322" i="27"/>
  <c r="DF76" i="27"/>
  <c r="GX76" i="27"/>
  <c r="FB76" i="27"/>
  <c r="ED49" i="27"/>
  <c r="CH49" i="27"/>
  <c r="FZ49" i="27"/>
  <c r="CH68" i="27"/>
  <c r="FZ68" i="27"/>
  <c r="ED68" i="27"/>
  <c r="FB310" i="27"/>
  <c r="DF310" i="27"/>
  <c r="GX310" i="27"/>
  <c r="FB185" i="27"/>
  <c r="GX185" i="27"/>
  <c r="DF185" i="27"/>
  <c r="EJ290" i="27"/>
  <c r="CN290" i="27"/>
  <c r="GF290" i="27"/>
  <c r="GR260" i="27"/>
  <c r="CZ260" i="27"/>
  <c r="EV260" i="27"/>
  <c r="CN168" i="27"/>
  <c r="EJ168" i="27"/>
  <c r="GF168" i="27"/>
  <c r="EJ194" i="27"/>
  <c r="GF194" i="27"/>
  <c r="CN194" i="27"/>
  <c r="EP39" i="27"/>
  <c r="GL39" i="27"/>
  <c r="CT39" i="27"/>
  <c r="EV295" i="27"/>
  <c r="GR295" i="27"/>
  <c r="CZ295" i="27"/>
  <c r="DF50" i="27"/>
  <c r="GX50" i="27"/>
  <c r="FB50" i="27"/>
  <c r="GL49" i="27"/>
  <c r="EP49" i="27"/>
  <c r="CT49" i="27"/>
  <c r="EJ116" i="27"/>
  <c r="GF116" i="27"/>
  <c r="CN116" i="27"/>
  <c r="ED252" i="27"/>
  <c r="FZ252" i="27"/>
  <c r="CH252" i="27"/>
  <c r="FZ306" i="27"/>
  <c r="ED306" i="27"/>
  <c r="CH306" i="27"/>
  <c r="GX186" i="27"/>
  <c r="DF186" i="27"/>
  <c r="FB186" i="27"/>
  <c r="GX202" i="27"/>
  <c r="DF202" i="27"/>
  <c r="FB202" i="27"/>
  <c r="DF189" i="27"/>
  <c r="FB189" i="27"/>
  <c r="GX189" i="27"/>
  <c r="EV241" i="27"/>
  <c r="GR241" i="27"/>
  <c r="CZ241" i="27"/>
  <c r="CZ306" i="27"/>
  <c r="GR306" i="27"/>
  <c r="EV306" i="27"/>
  <c r="GR223" i="27"/>
  <c r="CZ223" i="27"/>
  <c r="EV223" i="27"/>
  <c r="GF266" i="27"/>
  <c r="CN266" i="27"/>
  <c r="EJ266" i="27"/>
  <c r="EP78" i="27"/>
  <c r="CT78" i="27"/>
  <c r="GL78" i="27"/>
  <c r="CH73" i="27"/>
  <c r="FZ73" i="27"/>
  <c r="ED73" i="27"/>
  <c r="GR8" i="27"/>
  <c r="EV8" i="27"/>
  <c r="CZ8" i="27"/>
  <c r="CT180" i="27"/>
  <c r="GL180" i="27"/>
  <c r="EP180" i="27"/>
  <c r="GF175" i="27"/>
  <c r="CN175" i="27"/>
  <c r="EJ175" i="27"/>
  <c r="EJ56" i="27"/>
  <c r="GF56" i="27"/>
  <c r="CN56" i="27"/>
  <c r="GX323" i="27"/>
  <c r="FB323" i="27"/>
  <c r="DF323" i="27"/>
  <c r="EJ273" i="27"/>
  <c r="CN273" i="27"/>
  <c r="GF273" i="27"/>
  <c r="EV111" i="27"/>
  <c r="CZ111" i="27"/>
  <c r="GR111" i="27"/>
  <c r="GL122" i="27"/>
  <c r="EP122" i="27"/>
  <c r="CT122" i="27"/>
  <c r="DF119" i="27"/>
  <c r="FB119" i="27"/>
  <c r="GX119" i="27"/>
  <c r="GR298" i="27"/>
  <c r="EV298" i="27"/>
  <c r="CZ298" i="27"/>
  <c r="CT189" i="27"/>
  <c r="GL189" i="27"/>
  <c r="EP189" i="27"/>
  <c r="EV157" i="27"/>
  <c r="GR157" i="27"/>
  <c r="CZ157" i="27"/>
  <c r="EV114" i="27"/>
  <c r="GR114" i="27"/>
  <c r="CZ114" i="27"/>
  <c r="GL26" i="27"/>
  <c r="EP26" i="27"/>
  <c r="CT26" i="27"/>
  <c r="GR38" i="27"/>
  <c r="CZ38" i="27"/>
  <c r="EV38" i="27"/>
  <c r="GX58" i="27"/>
  <c r="FB58" i="27"/>
  <c r="DF58" i="27"/>
  <c r="EP230" i="27"/>
  <c r="CT230" i="27"/>
  <c r="GL230" i="27"/>
  <c r="CH143" i="27"/>
  <c r="ED143" i="27"/>
  <c r="FZ143" i="27"/>
  <c r="FB130" i="27"/>
  <c r="GX130" i="27"/>
  <c r="DF130" i="27"/>
  <c r="CH106" i="27"/>
  <c r="FZ106" i="27"/>
  <c r="ED106" i="27"/>
  <c r="FZ66" i="27"/>
  <c r="ED66" i="27"/>
  <c r="CH66" i="27"/>
  <c r="DF15" i="27"/>
  <c r="GX15" i="27"/>
  <c r="FB15" i="27"/>
  <c r="DF297" i="27"/>
  <c r="FB297" i="27"/>
  <c r="GX297" i="27"/>
  <c r="GL275" i="27"/>
  <c r="CT275" i="27"/>
  <c r="EP275" i="27"/>
  <c r="EJ200" i="27"/>
  <c r="CN200" i="27"/>
  <c r="GF200" i="27"/>
  <c r="ED121" i="27"/>
  <c r="CH121" i="27"/>
  <c r="FZ121" i="27"/>
  <c r="EP130" i="27"/>
  <c r="CT130" i="27"/>
  <c r="GL130" i="27"/>
  <c r="GF306" i="27"/>
  <c r="EJ306" i="27"/>
  <c r="CN306" i="27"/>
  <c r="GR121" i="27"/>
  <c r="CZ121" i="27"/>
  <c r="EV121" i="27"/>
  <c r="DF257" i="27"/>
  <c r="FB257" i="27"/>
  <c r="GX257" i="27"/>
  <c r="EP68" i="27"/>
  <c r="GL68" i="27"/>
  <c r="CT68" i="27"/>
  <c r="CT62" i="27"/>
  <c r="EP62" i="27"/>
  <c r="GL62" i="27"/>
  <c r="CH160" i="27"/>
  <c r="ED160" i="27"/>
  <c r="FZ160" i="27"/>
  <c r="FZ103" i="27"/>
  <c r="CH103" i="27"/>
  <c r="ED103" i="27"/>
  <c r="GF94" i="27"/>
  <c r="CN94" i="27"/>
  <c r="EJ94" i="27"/>
  <c r="GR224" i="27"/>
  <c r="CZ224" i="27"/>
  <c r="EV224" i="27"/>
  <c r="FB133" i="27"/>
  <c r="GX133" i="27"/>
  <c r="DF133" i="27"/>
  <c r="EJ115" i="27"/>
  <c r="GF115" i="27"/>
  <c r="CN115" i="27"/>
  <c r="CZ249" i="27"/>
  <c r="EV249" i="27"/>
  <c r="GR249" i="27"/>
  <c r="EJ210" i="27"/>
  <c r="GF210" i="27"/>
  <c r="CN210" i="27"/>
  <c r="FB142" i="27"/>
  <c r="GX142" i="27"/>
  <c r="DF142" i="27"/>
  <c r="FB9" i="27"/>
  <c r="DF9" i="27"/>
  <c r="GX9" i="27"/>
  <c r="EP217" i="27"/>
  <c r="GL217" i="27"/>
  <c r="CT217" i="27"/>
  <c r="EP232" i="27"/>
  <c r="CT232" i="27"/>
  <c r="GL232" i="27"/>
  <c r="EP151" i="27"/>
  <c r="CT151" i="27"/>
  <c r="GL151" i="27"/>
  <c r="GL119" i="27"/>
  <c r="CT119" i="27"/>
  <c r="EP119" i="27"/>
  <c r="CZ288" i="27"/>
  <c r="EV288" i="27"/>
  <c r="GR288" i="27"/>
  <c r="GL266" i="27"/>
  <c r="CT266" i="27"/>
  <c r="EP266" i="27"/>
  <c r="GR204" i="27"/>
  <c r="EV204" i="27"/>
  <c r="CZ204" i="27"/>
  <c r="CT108" i="27"/>
  <c r="EP108" i="27"/>
  <c r="GL108" i="27"/>
  <c r="CH203" i="27"/>
  <c r="FZ203" i="27"/>
  <c r="ED203" i="27"/>
  <c r="GR16" i="27"/>
  <c r="EV16" i="27"/>
  <c r="CZ16" i="27"/>
  <c r="GF147" i="27"/>
  <c r="EJ147" i="27"/>
  <c r="CN147" i="27"/>
  <c r="CT245" i="27"/>
  <c r="EP245" i="27"/>
  <c r="GL245" i="27"/>
  <c r="EJ294" i="27"/>
  <c r="GF294" i="27"/>
  <c r="CN294" i="27"/>
  <c r="EJ72" i="27"/>
  <c r="CN72" i="27"/>
  <c r="GF72" i="27"/>
  <c r="FB272" i="27"/>
  <c r="GX272" i="27"/>
  <c r="DF272" i="27"/>
  <c r="GR94" i="27"/>
  <c r="CZ94" i="27"/>
  <c r="EV94" i="27"/>
  <c r="GR193" i="27"/>
  <c r="CZ193" i="27"/>
  <c r="EV193" i="27"/>
  <c r="GR129" i="27"/>
  <c r="CZ129" i="27"/>
  <c r="EV129" i="27"/>
  <c r="CN315" i="27"/>
  <c r="GF315" i="27"/>
  <c r="EJ315" i="27"/>
  <c r="GR265" i="27"/>
  <c r="CZ265" i="27"/>
  <c r="EV265" i="27"/>
  <c r="EV26" i="27"/>
  <c r="GR26" i="27"/>
  <c r="CZ26" i="27"/>
  <c r="ED199" i="27"/>
  <c r="FZ199" i="27"/>
  <c r="CH199" i="27"/>
  <c r="EJ308" i="27"/>
  <c r="GF308" i="27"/>
  <c r="CN308" i="27"/>
  <c r="EP262" i="27"/>
  <c r="CT262" i="27"/>
  <c r="GL262" i="27"/>
  <c r="ED88" i="27"/>
  <c r="FZ88" i="27"/>
  <c r="CH88" i="27"/>
  <c r="GX13" i="27"/>
  <c r="DF13" i="27"/>
  <c r="FB13" i="27"/>
  <c r="FZ102" i="27"/>
  <c r="ED102" i="27"/>
  <c r="CH102" i="27"/>
  <c r="CT313" i="27"/>
  <c r="GL313" i="27"/>
  <c r="EP313" i="27"/>
  <c r="DF145" i="27"/>
  <c r="FB145" i="27"/>
  <c r="GX145" i="27"/>
  <c r="ED36" i="27"/>
  <c r="FZ36" i="27"/>
  <c r="CH36" i="27"/>
  <c r="CZ188" i="27"/>
  <c r="EV188" i="27"/>
  <c r="GR188" i="27"/>
  <c r="CH10" i="27"/>
  <c r="ED10" i="27"/>
  <c r="FZ10" i="27"/>
  <c r="FZ272" i="27"/>
  <c r="ED272" i="27"/>
  <c r="CH272" i="27"/>
  <c r="GR97" i="27"/>
  <c r="CZ97" i="27"/>
  <c r="EV97" i="27"/>
  <c r="EP10" i="27"/>
  <c r="CT10" i="27"/>
  <c r="GL10" i="27"/>
  <c r="FB157" i="27"/>
  <c r="GX157" i="27"/>
  <c r="DF157" i="27"/>
  <c r="EJ267" i="27"/>
  <c r="GF267" i="27"/>
  <c r="CN267" i="27"/>
  <c r="CH226" i="27"/>
  <c r="FZ226" i="27"/>
  <c r="ED226" i="27"/>
  <c r="DF253" i="27"/>
  <c r="FB253" i="27"/>
  <c r="GX253" i="27"/>
  <c r="CN75" i="27"/>
  <c r="GF75" i="27"/>
  <c r="EJ75" i="27"/>
  <c r="FZ133" i="27"/>
  <c r="ED133" i="27"/>
  <c r="CH133" i="27"/>
  <c r="FZ157" i="27"/>
  <c r="CH157" i="27"/>
  <c r="ED157" i="27"/>
  <c r="EP226" i="27"/>
  <c r="GL226" i="27"/>
  <c r="CT226" i="27"/>
  <c r="ED317" i="27"/>
  <c r="CH317" i="27"/>
  <c r="FZ317" i="27"/>
  <c r="FB81" i="27"/>
  <c r="DF81" i="27"/>
  <c r="GX81" i="27"/>
  <c r="GL188" i="27"/>
  <c r="CT188" i="27"/>
  <c r="EP188" i="27"/>
  <c r="GF230" i="27"/>
  <c r="EJ230" i="27"/>
  <c r="CN230" i="27"/>
  <c r="GF171" i="27"/>
  <c r="EJ171" i="27"/>
  <c r="CN171" i="27"/>
  <c r="GF20" i="27"/>
  <c r="CN20" i="27"/>
  <c r="EJ20" i="27"/>
  <c r="CH9" i="27"/>
  <c r="FZ9" i="27"/>
  <c r="ED9" i="27"/>
  <c r="CT227" i="27"/>
  <c r="EP227" i="27"/>
  <c r="GL227" i="27"/>
  <c r="GX282" i="27"/>
  <c r="DF282" i="27"/>
  <c r="FB282" i="27"/>
  <c r="EP73" i="27"/>
  <c r="CT73" i="27"/>
  <c r="GL73" i="27"/>
  <c r="EP143" i="27"/>
  <c r="CT143" i="27"/>
  <c r="GL143" i="27"/>
  <c r="EP43" i="27"/>
  <c r="CT43" i="27"/>
  <c r="GL43" i="27"/>
  <c r="CH222" i="27"/>
  <c r="FZ222" i="27"/>
  <c r="ED222" i="27"/>
  <c r="CN245" i="27"/>
  <c r="GF245" i="27"/>
  <c r="EJ245" i="27"/>
  <c r="CT176" i="27"/>
  <c r="GL176" i="27"/>
  <c r="EP176" i="27"/>
  <c r="DF324" i="27"/>
  <c r="GX324" i="27"/>
  <c r="FB324" i="27"/>
  <c r="GR196" i="27"/>
  <c r="EV196" i="27"/>
  <c r="CZ196" i="27"/>
  <c r="GF219" i="27"/>
  <c r="EJ219" i="27"/>
  <c r="CN219" i="27"/>
  <c r="EV305" i="27"/>
  <c r="CZ305" i="27"/>
  <c r="GR305" i="27"/>
  <c r="FB14" i="27"/>
  <c r="DF14" i="27"/>
  <c r="GX14" i="27"/>
  <c r="GX247" i="27"/>
  <c r="FB247" i="27"/>
  <c r="DF247" i="27"/>
  <c r="CH313" i="27"/>
  <c r="ED313" i="27"/>
  <c r="FZ313" i="27"/>
  <c r="GR21" i="27"/>
  <c r="CZ21" i="27"/>
  <c r="EV21" i="27"/>
  <c r="GL56" i="27"/>
  <c r="CT56" i="27"/>
  <c r="EP56" i="27"/>
  <c r="GR102" i="27"/>
  <c r="CZ102" i="27"/>
  <c r="EV102" i="27"/>
  <c r="EJ312" i="27"/>
  <c r="GF312" i="27"/>
  <c r="CN312" i="27"/>
  <c r="ED140" i="27"/>
  <c r="CH140" i="27"/>
  <c r="FZ140" i="27"/>
  <c r="DF151" i="27"/>
  <c r="GX151" i="27"/>
  <c r="FB151" i="27"/>
  <c r="CZ284" i="27"/>
  <c r="EV284" i="27"/>
  <c r="GR284" i="27"/>
  <c r="GX208" i="27"/>
  <c r="FB208" i="27"/>
  <c r="DF208" i="27"/>
  <c r="GF54" i="27"/>
  <c r="CN54" i="27"/>
  <c r="EJ54" i="27"/>
  <c r="EJ272" i="27"/>
  <c r="CN272" i="27"/>
  <c r="GF272" i="27"/>
  <c r="GL141" i="27"/>
  <c r="CT141" i="27"/>
  <c r="EP141" i="27"/>
  <c r="GF259" i="27"/>
  <c r="CN259" i="27"/>
  <c r="EJ259" i="27"/>
  <c r="EV150" i="27"/>
  <c r="CZ150" i="27"/>
  <c r="GR150" i="27"/>
  <c r="EV302" i="27"/>
  <c r="CZ302" i="27"/>
  <c r="GR302" i="27"/>
  <c r="EP310" i="27"/>
  <c r="CT310" i="27"/>
  <c r="GL310" i="27"/>
  <c r="DF226" i="27"/>
  <c r="FB226" i="27"/>
  <c r="GX226" i="27"/>
  <c r="EJ193" i="27"/>
  <c r="GF193" i="27"/>
  <c r="CN193" i="27"/>
  <c r="GX132" i="27"/>
  <c r="FB132" i="27"/>
  <c r="DF132" i="27"/>
  <c r="GF261" i="27"/>
  <c r="CN261" i="27"/>
  <c r="EJ261" i="27"/>
  <c r="EV140" i="27"/>
  <c r="CZ140" i="27"/>
  <c r="GR140" i="27"/>
  <c r="GR70" i="27"/>
  <c r="CZ70" i="27"/>
  <c r="EV70" i="27"/>
  <c r="ED248" i="27"/>
  <c r="FZ248" i="27"/>
  <c r="CH248" i="27"/>
  <c r="ED126" i="27"/>
  <c r="FZ126" i="27"/>
  <c r="CH126" i="27"/>
  <c r="CT207" i="27"/>
  <c r="EP207" i="27"/>
  <c r="GL207" i="27"/>
  <c r="GX259" i="27"/>
  <c r="FB259" i="27"/>
  <c r="DF259" i="27"/>
  <c r="DF95" i="27"/>
  <c r="GX95" i="27"/>
  <c r="FB95" i="27"/>
  <c r="CZ208" i="27"/>
  <c r="EV208" i="27"/>
  <c r="GR208" i="27"/>
  <c r="GL127" i="27"/>
  <c r="EP127" i="27"/>
  <c r="CT127" i="27"/>
  <c r="ED57" i="27"/>
  <c r="FZ57" i="27"/>
  <c r="CH57" i="27"/>
  <c r="EV49" i="27"/>
  <c r="CZ49" i="27"/>
  <c r="GR49" i="27"/>
  <c r="FB217" i="27"/>
  <c r="DF217" i="27"/>
  <c r="GX217" i="27"/>
  <c r="EP300" i="27"/>
  <c r="CT300" i="27"/>
  <c r="GL300" i="27"/>
  <c r="ED190" i="27"/>
  <c r="CH190" i="27"/>
  <c r="FZ190" i="27"/>
  <c r="FB148" i="27"/>
  <c r="DF148" i="27"/>
  <c r="GX148" i="27"/>
  <c r="CT22" i="27"/>
  <c r="GL22" i="27"/>
  <c r="EP22" i="27"/>
  <c r="DF279" i="27"/>
  <c r="FB279" i="27"/>
  <c r="GX279" i="27"/>
  <c r="GF319" i="27"/>
  <c r="EJ319" i="27"/>
  <c r="CN319" i="27"/>
  <c r="GX108" i="27"/>
  <c r="DF108" i="27"/>
  <c r="FB108" i="27"/>
  <c r="EV155" i="27"/>
  <c r="CZ155" i="27"/>
  <c r="GR155" i="27"/>
  <c r="EP215" i="27"/>
  <c r="GL215" i="27"/>
  <c r="CT215" i="27"/>
  <c r="CH21" i="27"/>
  <c r="ED21" i="27"/>
  <c r="FZ21" i="27"/>
  <c r="FB237" i="27"/>
  <c r="DF237" i="27"/>
  <c r="GX237" i="27"/>
  <c r="FZ240" i="27"/>
  <c r="CH240" i="27"/>
  <c r="ED240" i="27"/>
  <c r="EP225" i="27"/>
  <c r="CT225" i="27"/>
  <c r="GL225" i="27"/>
  <c r="FB30" i="27"/>
  <c r="DF30" i="27"/>
  <c r="GX30" i="27"/>
  <c r="EP309" i="27"/>
  <c r="CT309" i="27"/>
  <c r="GL309" i="27"/>
  <c r="EP186" i="27"/>
  <c r="GL186" i="27"/>
  <c r="CT186" i="27"/>
  <c r="FB22" i="27"/>
  <c r="GX22" i="27"/>
  <c r="DF22" i="27"/>
  <c r="GX60" i="27"/>
  <c r="DF60" i="27"/>
  <c r="FB60" i="27"/>
  <c r="EV145" i="27"/>
  <c r="CZ145" i="27"/>
  <c r="GR145" i="27"/>
  <c r="EJ160" i="27"/>
  <c r="GF160" i="27"/>
  <c r="CN160" i="27"/>
  <c r="EP83" i="27"/>
  <c r="GL83" i="27"/>
  <c r="CT83" i="27"/>
  <c r="GF201" i="27"/>
  <c r="EJ201" i="27"/>
  <c r="CN201" i="27"/>
  <c r="EJ323" i="27"/>
  <c r="GF323" i="27"/>
  <c r="CN323" i="27"/>
  <c r="CH259" i="27"/>
  <c r="FZ259" i="27"/>
  <c r="ED259" i="27"/>
  <c r="DF283" i="27"/>
  <c r="FB283" i="27"/>
  <c r="GX283" i="27"/>
  <c r="FB236" i="27"/>
  <c r="GX236" i="27"/>
  <c r="DF236" i="27"/>
  <c r="GF274" i="27"/>
  <c r="CN274" i="27"/>
  <c r="EJ274" i="27"/>
  <c r="GL57" i="27"/>
  <c r="EP57" i="27"/>
  <c r="CT57" i="27"/>
  <c r="CH100" i="27"/>
  <c r="FZ100" i="27"/>
  <c r="ED100" i="27"/>
  <c r="GF49" i="27"/>
  <c r="CN49" i="27"/>
  <c r="EJ49" i="27"/>
  <c r="CZ190" i="27"/>
  <c r="EV190" i="27"/>
  <c r="GR190" i="27"/>
  <c r="GF126" i="27"/>
  <c r="EJ126" i="27"/>
  <c r="CN126" i="27"/>
  <c r="FZ308" i="27"/>
  <c r="CH308" i="27"/>
  <c r="ED308" i="27"/>
  <c r="DF92" i="27"/>
  <c r="FB92" i="27"/>
  <c r="GX92" i="27"/>
  <c r="DF251" i="27"/>
  <c r="FB251" i="27"/>
  <c r="GX251" i="27"/>
  <c r="FZ150" i="27"/>
  <c r="CH150" i="27"/>
  <c r="ED150" i="27"/>
  <c r="EJ202" i="27"/>
  <c r="GF202" i="27"/>
  <c r="CN202" i="27"/>
  <c r="CT204" i="27"/>
  <c r="GL204" i="27"/>
  <c r="EP204" i="27"/>
  <c r="CT109" i="27"/>
  <c r="EP109" i="27"/>
  <c r="GL109" i="27"/>
  <c r="FZ141" i="27"/>
  <c r="ED141" i="27"/>
  <c r="CH141" i="27"/>
  <c r="GF265" i="27"/>
  <c r="EJ265" i="27"/>
  <c r="CN265" i="27"/>
  <c r="CN133" i="27"/>
  <c r="EJ133" i="27"/>
  <c r="GF133" i="27"/>
  <c r="EV291" i="27"/>
  <c r="GR291" i="27"/>
  <c r="CZ291" i="27"/>
  <c r="GL60" i="27"/>
  <c r="CT60" i="27"/>
  <c r="EP60" i="27"/>
  <c r="GR313" i="27"/>
  <c r="EV313" i="27"/>
  <c r="CZ313" i="27"/>
  <c r="EV118" i="27"/>
  <c r="GR118" i="27"/>
  <c r="CZ118" i="27"/>
  <c r="GL101" i="27"/>
  <c r="CT101" i="27"/>
  <c r="EP101" i="27"/>
  <c r="FZ44" i="27"/>
  <c r="ED44" i="27"/>
  <c r="CH44" i="27"/>
  <c r="FB27" i="27"/>
  <c r="DF27" i="27"/>
  <c r="GX27" i="27"/>
  <c r="CN283" i="27"/>
  <c r="EJ283" i="27"/>
  <c r="GF283" i="27"/>
  <c r="EJ95" i="27"/>
  <c r="CN95" i="27"/>
  <c r="GF95" i="27"/>
  <c r="GR290" i="27"/>
  <c r="EV290" i="27"/>
  <c r="CZ290" i="27"/>
  <c r="EP316" i="27"/>
  <c r="GL316" i="27"/>
  <c r="CT316" i="27"/>
  <c r="GF307" i="27"/>
  <c r="CN307" i="27"/>
  <c r="EJ307" i="27"/>
  <c r="DF229" i="27"/>
  <c r="FB229" i="27"/>
  <c r="GX229" i="27"/>
  <c r="FB54" i="27"/>
  <c r="DF54" i="27"/>
  <c r="GX54" i="27"/>
  <c r="CZ237" i="27"/>
  <c r="GR237" i="27"/>
  <c r="EV237" i="27"/>
  <c r="GF158" i="27"/>
  <c r="CN158" i="27"/>
  <c r="EJ158" i="27"/>
  <c r="EP268" i="27"/>
  <c r="GL268" i="27"/>
  <c r="CT268" i="27"/>
  <c r="EP187" i="27"/>
  <c r="CT187" i="27"/>
  <c r="GL187" i="27"/>
  <c r="CN241" i="27"/>
  <c r="GF241" i="27"/>
  <c r="EJ241" i="27"/>
  <c r="GX224" i="27"/>
  <c r="DF224" i="27"/>
  <c r="FB224" i="27"/>
  <c r="EV9" i="27"/>
  <c r="CZ9" i="27"/>
  <c r="GR9" i="27"/>
  <c r="FB135" i="27"/>
  <c r="DF135" i="27"/>
  <c r="GX135" i="27"/>
  <c r="GF182" i="27"/>
  <c r="CN182" i="27"/>
  <c r="EJ182" i="27"/>
  <c r="DF270" i="27"/>
  <c r="FB270" i="27"/>
  <c r="GX270" i="27"/>
  <c r="CZ279" i="27"/>
  <c r="GR279" i="27"/>
  <c r="EV279" i="27"/>
  <c r="CT197" i="27"/>
  <c r="GL197" i="27"/>
  <c r="EP197" i="27"/>
  <c r="EV71" i="27"/>
  <c r="CZ71" i="27"/>
  <c r="GR71" i="27"/>
  <c r="CN134" i="27"/>
  <c r="EJ134" i="27"/>
  <c r="GF134" i="27"/>
  <c r="GF52" i="27"/>
  <c r="CN52" i="27"/>
  <c r="EJ52" i="27"/>
  <c r="GF27" i="27"/>
  <c r="CN27" i="27"/>
  <c r="EJ27" i="27"/>
  <c r="GF177" i="27"/>
  <c r="EJ177" i="27"/>
  <c r="CN177" i="27"/>
  <c r="GF128" i="27"/>
  <c r="CN128" i="27"/>
  <c r="EJ128" i="27"/>
  <c r="EP133" i="27"/>
  <c r="CT133" i="27"/>
  <c r="GL133" i="27"/>
  <c r="EP174" i="27"/>
  <c r="CT174" i="27"/>
  <c r="GL174" i="27"/>
  <c r="EJ170" i="27"/>
  <c r="GF170" i="27"/>
  <c r="CN170" i="27"/>
  <c r="DF120" i="27"/>
  <c r="GX120" i="27"/>
  <c r="FB120" i="27"/>
  <c r="CZ166" i="27"/>
  <c r="GR166" i="27"/>
  <c r="EV166" i="27"/>
  <c r="FZ260" i="27"/>
  <c r="CH260" i="27"/>
  <c r="ED260" i="27"/>
  <c r="FZ123" i="27"/>
  <c r="ED123" i="27"/>
  <c r="CH123" i="27"/>
  <c r="EV278" i="27"/>
  <c r="GR278" i="27"/>
  <c r="CZ278" i="27"/>
  <c r="GL324" i="27"/>
  <c r="EP324" i="27"/>
  <c r="CT324" i="27"/>
  <c r="EJ313" i="27"/>
  <c r="CN313" i="27"/>
  <c r="GF313" i="27"/>
  <c r="GX38" i="27"/>
  <c r="DF38" i="27"/>
  <c r="FB38" i="27"/>
  <c r="EV36" i="27"/>
  <c r="CZ36" i="27"/>
  <c r="GR36" i="27"/>
  <c r="FB105" i="27"/>
  <c r="GX105" i="27"/>
  <c r="DF105" i="27"/>
  <c r="CT222" i="27"/>
  <c r="GL222" i="27"/>
  <c r="EP222" i="27"/>
  <c r="ED310" i="27"/>
  <c r="FZ310" i="27"/>
  <c r="CH310" i="27"/>
  <c r="GR187" i="27"/>
  <c r="EV187" i="27"/>
  <c r="CZ187" i="27"/>
  <c r="EJ33" i="27"/>
  <c r="GF33" i="27"/>
  <c r="CN33" i="27"/>
  <c r="GR207" i="27"/>
  <c r="EV207" i="27"/>
  <c r="CZ207" i="27"/>
  <c r="EJ153" i="27"/>
  <c r="CN153" i="27"/>
  <c r="GF153" i="27"/>
  <c r="EV232" i="27"/>
  <c r="CZ232" i="27"/>
  <c r="GR232" i="27"/>
  <c r="GL72" i="27"/>
  <c r="EP72" i="27"/>
  <c r="CT72" i="27"/>
  <c r="EJ34" i="27"/>
  <c r="GF34" i="27"/>
  <c r="CN34" i="27"/>
  <c r="GL308" i="27"/>
  <c r="EP308" i="27"/>
  <c r="CT308" i="27"/>
  <c r="CN185" i="27"/>
  <c r="EJ185" i="27"/>
  <c r="GF185" i="27"/>
  <c r="GL110" i="27"/>
  <c r="EP110" i="27"/>
  <c r="CT110" i="27"/>
  <c r="CH32" i="27"/>
  <c r="FZ32" i="27"/>
  <c r="ED32" i="27"/>
  <c r="CN46" i="27"/>
  <c r="GF46" i="27"/>
  <c r="EJ46" i="27"/>
  <c r="DF82" i="27"/>
  <c r="GX82" i="27"/>
  <c r="FB82" i="27"/>
  <c r="DF293" i="27"/>
  <c r="GX293" i="27"/>
  <c r="FB293" i="27"/>
  <c r="GR137" i="27"/>
  <c r="CZ137" i="27"/>
  <c r="EV137" i="27"/>
  <c r="EJ282" i="27"/>
  <c r="CN282" i="27"/>
  <c r="GF282" i="27"/>
  <c r="CT105" i="27"/>
  <c r="GL105" i="27"/>
  <c r="EP105" i="27"/>
  <c r="EJ325" i="27"/>
  <c r="CN325" i="27"/>
  <c r="GF325" i="27"/>
  <c r="FB273" i="27"/>
  <c r="DF273" i="27"/>
  <c r="GX273" i="27"/>
  <c r="EP95" i="27"/>
  <c r="CT95" i="27"/>
  <c r="GL95" i="27"/>
  <c r="CH164" i="27"/>
  <c r="ED164" i="27"/>
  <c r="FZ164" i="27"/>
  <c r="FB173" i="27"/>
  <c r="DF173" i="27"/>
  <c r="GX173" i="27"/>
  <c r="CH70" i="27"/>
  <c r="ED70" i="27"/>
  <c r="FZ70" i="27"/>
  <c r="ED302" i="27"/>
  <c r="CH302" i="27"/>
  <c r="FZ302" i="27"/>
  <c r="FB139" i="27"/>
  <c r="GX139" i="27"/>
  <c r="DF139" i="27"/>
  <c r="GL34" i="27"/>
  <c r="EP34" i="27"/>
  <c r="CT34" i="27"/>
  <c r="EV315" i="27"/>
  <c r="CZ315" i="27"/>
  <c r="GR315" i="27"/>
  <c r="FZ293" i="27"/>
  <c r="CH293" i="27"/>
  <c r="ED293" i="27"/>
  <c r="EV45" i="27"/>
  <c r="GR45" i="27"/>
  <c r="CZ45" i="27"/>
  <c r="EV228" i="27"/>
  <c r="CZ228" i="27"/>
  <c r="GR228" i="27"/>
  <c r="EJ86" i="27"/>
  <c r="CN86" i="27"/>
  <c r="GF86" i="27"/>
  <c r="DF223" i="27"/>
  <c r="FB223" i="27"/>
  <c r="GX223" i="27"/>
  <c r="EP115" i="27"/>
  <c r="GL115" i="27"/>
  <c r="CT115" i="27"/>
  <c r="GX103" i="27"/>
  <c r="FB103" i="27"/>
  <c r="DF103" i="27"/>
  <c r="ED67" i="27"/>
  <c r="CH67" i="27"/>
  <c r="FZ67" i="27"/>
  <c r="DF32" i="27"/>
  <c r="FB32" i="27"/>
  <c r="GX32" i="27"/>
  <c r="CZ92" i="27"/>
  <c r="EV92" i="27"/>
  <c r="GR92" i="27"/>
  <c r="FB8" i="27"/>
  <c r="GX8" i="27"/>
  <c r="DF8" i="27"/>
  <c r="ED132" i="27"/>
  <c r="FZ132" i="27"/>
  <c r="CH132" i="27"/>
  <c r="FZ186" i="27"/>
  <c r="ED186" i="27"/>
  <c r="CH186" i="27"/>
  <c r="CH168" i="27"/>
  <c r="ED168" i="27"/>
  <c r="FZ168" i="27"/>
  <c r="EV33" i="27"/>
  <c r="CZ33" i="27"/>
  <c r="GR33" i="27"/>
  <c r="EJ293" i="27"/>
  <c r="CN293" i="27"/>
  <c r="GF293" i="27"/>
  <c r="GX150" i="27"/>
  <c r="FB150" i="27"/>
  <c r="DF150" i="27"/>
  <c r="EV85" i="27"/>
  <c r="GR85" i="27"/>
  <c r="CZ85" i="27"/>
  <c r="GF35" i="27"/>
  <c r="EJ35" i="27"/>
  <c r="CN35" i="27"/>
  <c r="FB98" i="27"/>
  <c r="GX98" i="27"/>
  <c r="DF98" i="27"/>
  <c r="DF24" i="27"/>
  <c r="FB24" i="27"/>
  <c r="GX24" i="27"/>
  <c r="FB231" i="27"/>
  <c r="DF231" i="27"/>
  <c r="GX231" i="27"/>
  <c r="DF12" i="27"/>
  <c r="GX12" i="27"/>
  <c r="FB12" i="27"/>
  <c r="CN275" i="27"/>
  <c r="GF275" i="27"/>
  <c r="EJ275" i="27"/>
  <c r="EV254" i="27"/>
  <c r="GR254" i="27"/>
  <c r="CZ254" i="27"/>
  <c r="GR151" i="27"/>
  <c r="CZ151" i="27"/>
  <c r="EV151" i="27"/>
  <c r="CN64" i="27"/>
  <c r="GF64" i="27"/>
  <c r="EJ64" i="27"/>
  <c r="EP264" i="27"/>
  <c r="CT264" i="27"/>
  <c r="GL264" i="27"/>
  <c r="ED152" i="27"/>
  <c r="CH152" i="27"/>
  <c r="FZ152" i="27"/>
  <c r="GR286" i="27"/>
  <c r="EV286" i="27"/>
  <c r="CZ286" i="27"/>
  <c r="EJ61" i="27"/>
  <c r="GF61" i="27"/>
  <c r="CN61" i="27"/>
  <c r="EJ10" i="27"/>
  <c r="GF10" i="27"/>
  <c r="CN10" i="27"/>
  <c r="GF186" i="27"/>
  <c r="EJ186" i="27"/>
  <c r="CN186" i="27"/>
  <c r="FB146" i="27"/>
  <c r="DF146" i="27"/>
  <c r="GX146" i="27"/>
  <c r="EV52" i="27"/>
  <c r="GR52" i="27"/>
  <c r="CZ52" i="27"/>
  <c r="CH146" i="27"/>
  <c r="ED146" i="27"/>
  <c r="FZ146" i="27"/>
  <c r="EV69" i="27"/>
  <c r="CZ69" i="27"/>
  <c r="GR69" i="27"/>
  <c r="CH214" i="27"/>
  <c r="FZ214" i="27"/>
  <c r="ED214" i="27"/>
  <c r="FZ277" i="27"/>
  <c r="CH277" i="27"/>
  <c r="ED277" i="27"/>
  <c r="CT67" i="27"/>
  <c r="GL67" i="27"/>
  <c r="EP67" i="27"/>
  <c r="GL200" i="27"/>
  <c r="CT200" i="27"/>
  <c r="EP200" i="27"/>
  <c r="CZ326" i="27"/>
  <c r="GR326" i="27"/>
  <c r="EV326" i="27"/>
  <c r="GF138" i="27"/>
  <c r="EJ138" i="27"/>
  <c r="CN138" i="27"/>
  <c r="EP167" i="27"/>
  <c r="CT167" i="27"/>
  <c r="GL167" i="27"/>
  <c r="GF145" i="27"/>
  <c r="CN145" i="27"/>
  <c r="EJ145" i="27"/>
  <c r="FB319" i="27"/>
  <c r="DF319" i="27"/>
  <c r="GX319" i="27"/>
  <c r="GF135" i="27"/>
  <c r="CN135" i="27"/>
  <c r="EJ135" i="27"/>
  <c r="EJ111" i="27"/>
  <c r="GF111" i="27"/>
  <c r="CN111" i="27"/>
  <c r="EV194" i="27"/>
  <c r="CZ194" i="27"/>
  <c r="GR194" i="27"/>
  <c r="GL181" i="27"/>
  <c r="EP181" i="27"/>
  <c r="CT181" i="27"/>
  <c r="EP260" i="27"/>
  <c r="CT260" i="27"/>
  <c r="GL260" i="27"/>
  <c r="ED219" i="27"/>
  <c r="CH219" i="27"/>
  <c r="FZ219" i="27"/>
  <c r="CZ148" i="27"/>
  <c r="EV148" i="27"/>
  <c r="GR148" i="27"/>
  <c r="EP241" i="27"/>
  <c r="CT241" i="27"/>
  <c r="GL241" i="27"/>
  <c r="GF38" i="27"/>
  <c r="CN38" i="27"/>
  <c r="EJ38" i="27"/>
  <c r="CZ66" i="27"/>
  <c r="EV66" i="27"/>
  <c r="GR66" i="27"/>
  <c r="GR75" i="27"/>
  <c r="CZ75" i="27"/>
  <c r="EV75" i="27"/>
  <c r="CT184" i="27"/>
  <c r="EP184" i="27"/>
  <c r="GL184" i="27"/>
  <c r="GX211" i="27"/>
  <c r="FB211" i="27"/>
  <c r="DF211" i="27"/>
  <c r="CH52" i="27"/>
  <c r="ED52" i="27"/>
  <c r="FZ52" i="27"/>
  <c r="ED104" i="27"/>
  <c r="CH104" i="27"/>
  <c r="FZ104" i="27"/>
  <c r="FZ296" i="27"/>
  <c r="CH296" i="27"/>
  <c r="ED296" i="27"/>
  <c r="GF29" i="27"/>
  <c r="EJ29" i="27"/>
  <c r="CN29" i="27"/>
  <c r="EV316" i="27"/>
  <c r="CZ316" i="27"/>
  <c r="GR316" i="27"/>
  <c r="EJ103" i="27"/>
  <c r="GF103" i="27"/>
  <c r="CN103" i="27"/>
  <c r="ED61" i="27"/>
  <c r="CH61" i="27"/>
  <c r="FZ61" i="27"/>
  <c r="CZ275" i="27"/>
  <c r="GR275" i="27"/>
  <c r="EV275" i="27"/>
  <c r="EV264" i="27"/>
  <c r="GR264" i="27"/>
  <c r="CZ264" i="27"/>
  <c r="CN137" i="27"/>
  <c r="GF137" i="27"/>
  <c r="EJ137" i="27"/>
  <c r="GR17" i="27"/>
  <c r="EV17" i="27"/>
  <c r="CZ17" i="27"/>
  <c r="ED8" i="27"/>
  <c r="FZ8" i="27"/>
  <c r="CH8" i="27"/>
  <c r="EJ41" i="27"/>
  <c r="CN41" i="27"/>
  <c r="GF41" i="27"/>
  <c r="GR270" i="27"/>
  <c r="EV270" i="27"/>
  <c r="CZ270" i="27"/>
  <c r="EP196" i="27"/>
  <c r="CT196" i="27"/>
  <c r="GL196" i="27"/>
  <c r="GX221" i="27"/>
  <c r="FB221" i="27"/>
  <c r="DF221" i="27"/>
  <c r="GF85" i="27"/>
  <c r="CN85" i="27"/>
  <c r="EJ85" i="27"/>
  <c r="GL132" i="27"/>
  <c r="EP132" i="27"/>
  <c r="CT132" i="27"/>
  <c r="CZ324" i="27"/>
  <c r="EV324" i="27"/>
  <c r="GR324" i="27"/>
  <c r="GL85" i="27"/>
  <c r="EP85" i="27"/>
  <c r="CT85" i="27"/>
  <c r="EP37" i="27"/>
  <c r="CT37" i="27"/>
  <c r="GL37" i="27"/>
  <c r="FZ279" i="27"/>
  <c r="CH279" i="27"/>
  <c r="ED279" i="27"/>
  <c r="FZ127" i="27"/>
  <c r="CH127" i="27"/>
  <c r="ED127" i="27"/>
  <c r="FZ271" i="27"/>
  <c r="ED271" i="27"/>
  <c r="CH271" i="27"/>
  <c r="FB260" i="27"/>
  <c r="DF260" i="27"/>
  <c r="GX260" i="27"/>
  <c r="GL312" i="27"/>
  <c r="CT312" i="27"/>
  <c r="EP312" i="27"/>
  <c r="EP284" i="27"/>
  <c r="GL284" i="27"/>
  <c r="CT284" i="27"/>
  <c r="EP96" i="27"/>
  <c r="CT96" i="27"/>
  <c r="GL96" i="27"/>
  <c r="GL205" i="27"/>
  <c r="EP205" i="27"/>
  <c r="CT205" i="27"/>
  <c r="GR107" i="27"/>
  <c r="CZ107" i="27"/>
  <c r="EV107" i="27"/>
  <c r="GX11" i="27"/>
  <c r="DF11" i="27"/>
  <c r="FB11" i="27"/>
  <c r="EJ300" i="27"/>
  <c r="GF300" i="27"/>
  <c r="CN300" i="27"/>
  <c r="GX134" i="27"/>
  <c r="FB134" i="27"/>
  <c r="DF134" i="27"/>
  <c r="FB227" i="27"/>
  <c r="DF227" i="27"/>
  <c r="GX227" i="27"/>
  <c r="FZ280" i="27"/>
  <c r="CH280" i="27"/>
  <c r="ED280" i="27"/>
  <c r="FZ89" i="27"/>
  <c r="ED89" i="27"/>
  <c r="CH89" i="27"/>
  <c r="EP58" i="27"/>
  <c r="CT58" i="27"/>
  <c r="GL58" i="27"/>
  <c r="GX225" i="27"/>
  <c r="DF225" i="27"/>
  <c r="FB225" i="27"/>
  <c r="GL244" i="27"/>
  <c r="CT244" i="27"/>
  <c r="EP244" i="27"/>
  <c r="EV181" i="27"/>
  <c r="CZ181" i="27"/>
  <c r="GR181" i="27"/>
  <c r="ED242" i="27"/>
  <c r="CH242" i="27"/>
  <c r="FZ242" i="27"/>
  <c r="CT178" i="27"/>
  <c r="EP178" i="27"/>
  <c r="GL178" i="27"/>
  <c r="EP140" i="27"/>
  <c r="GL140" i="27"/>
  <c r="CT140" i="27"/>
  <c r="GR15" i="27"/>
  <c r="CZ15" i="27"/>
  <c r="EV15" i="27"/>
  <c r="GR239" i="27"/>
  <c r="CZ239" i="27"/>
  <c r="EV239" i="27"/>
  <c r="EJ191" i="27"/>
  <c r="CN191" i="27"/>
  <c r="GF191" i="27"/>
  <c r="CH142" i="27"/>
  <c r="ED142" i="27"/>
  <c r="FZ142" i="27"/>
  <c r="GX305" i="27"/>
  <c r="DF305" i="27"/>
  <c r="FB305" i="27"/>
  <c r="FZ109" i="27"/>
  <c r="CH109" i="27"/>
  <c r="ED109" i="27"/>
  <c r="GF19" i="27"/>
  <c r="CN19" i="27"/>
  <c r="EJ19" i="27"/>
  <c r="GL261" i="27"/>
  <c r="EP261" i="27"/>
  <c r="CT261" i="27"/>
  <c r="FB64" i="27"/>
  <c r="DF64" i="27"/>
  <c r="GX64" i="27"/>
  <c r="CH46" i="27"/>
  <c r="FZ46" i="27"/>
  <c r="ED46" i="27"/>
  <c r="FZ165" i="27"/>
  <c r="ED165" i="27"/>
  <c r="CH165" i="27"/>
  <c r="F19" i="3"/>
  <c r="CZ304" i="27"/>
  <c r="EV304" i="27"/>
  <c r="GR304" i="27"/>
  <c r="GX170" i="27"/>
  <c r="FB170" i="27"/>
  <c r="DF170" i="27"/>
  <c r="DF187" i="27"/>
  <c r="FB187" i="27"/>
  <c r="GX187" i="27"/>
  <c r="FB88" i="27"/>
  <c r="DF88" i="27"/>
  <c r="GX88" i="27"/>
  <c r="ED274" i="27"/>
  <c r="CH274" i="27"/>
  <c r="FZ274" i="27"/>
  <c r="EP263" i="27"/>
  <c r="CT263" i="27"/>
  <c r="GL263" i="27"/>
  <c r="EV105" i="27"/>
  <c r="GR105" i="27"/>
  <c r="CZ105" i="27"/>
  <c r="FZ206" i="27"/>
  <c r="CH206" i="27"/>
  <c r="ED206" i="27"/>
  <c r="ED267" i="27"/>
  <c r="CH267" i="27"/>
  <c r="FZ267" i="27"/>
  <c r="CT299" i="27"/>
  <c r="GL299" i="27"/>
  <c r="EP299" i="27"/>
  <c r="GR245" i="27"/>
  <c r="CZ245" i="27"/>
  <c r="EV245" i="27"/>
  <c r="GX269" i="27"/>
  <c r="DF269" i="27"/>
  <c r="FB269" i="27"/>
  <c r="FZ30" i="27"/>
  <c r="ED30" i="27"/>
  <c r="CH30" i="27"/>
  <c r="GL117" i="27"/>
  <c r="CT117" i="27"/>
  <c r="EP117" i="27"/>
  <c r="CZ11" i="27"/>
  <c r="GR11" i="27"/>
  <c r="EV11" i="27"/>
  <c r="GX48" i="27"/>
  <c r="DF48" i="27"/>
  <c r="FB48" i="27"/>
  <c r="GR60" i="27"/>
  <c r="EV60" i="27"/>
  <c r="CZ60" i="27"/>
  <c r="CZ113" i="27"/>
  <c r="GR113" i="27"/>
  <c r="EV113" i="27"/>
  <c r="GF203" i="27"/>
  <c r="EJ203" i="27"/>
  <c r="CN203" i="27"/>
  <c r="EV149" i="27"/>
  <c r="GR149" i="27"/>
  <c r="CZ149" i="27"/>
  <c r="GX220" i="27"/>
  <c r="DF220" i="27"/>
  <c r="FB220" i="27"/>
  <c r="EV81" i="27"/>
  <c r="GR81" i="27"/>
  <c r="CZ81" i="27"/>
  <c r="GL291" i="27"/>
  <c r="CT291" i="27"/>
  <c r="EP291" i="27"/>
  <c r="DF271" i="27"/>
  <c r="FB271" i="27"/>
  <c r="GX271" i="27"/>
  <c r="FZ43" i="27"/>
  <c r="ED43" i="27"/>
  <c r="CH43" i="27"/>
  <c r="CZ287" i="27"/>
  <c r="GR287" i="27"/>
  <c r="EV287" i="27"/>
  <c r="DF175" i="27"/>
  <c r="GX175" i="27"/>
  <c r="FB175" i="27"/>
  <c r="EJ84" i="27"/>
  <c r="CN84" i="27"/>
  <c r="GF84" i="27"/>
  <c r="EJ233" i="27"/>
  <c r="CN233" i="27"/>
  <c r="GF233" i="27"/>
  <c r="GL125" i="27"/>
  <c r="CT125" i="27"/>
  <c r="EP125" i="27"/>
  <c r="CH253" i="27"/>
  <c r="ED253" i="27"/>
  <c r="FZ253" i="27"/>
  <c r="CN279" i="27"/>
  <c r="EJ279" i="27"/>
  <c r="GF279" i="27"/>
  <c r="ED115" i="27"/>
  <c r="CH115" i="27"/>
  <c r="FZ115" i="27"/>
  <c r="CH231" i="27"/>
  <c r="FZ231" i="27"/>
  <c r="ED231" i="27"/>
  <c r="CT162" i="27"/>
  <c r="EP162" i="27"/>
  <c r="GL162" i="27"/>
  <c r="CN278" i="27"/>
  <c r="GF278" i="27"/>
  <c r="EJ278" i="27"/>
  <c r="CH93" i="27"/>
  <c r="FZ93" i="27"/>
  <c r="ED93" i="27"/>
  <c r="GL156" i="27"/>
  <c r="CT156" i="27"/>
  <c r="EP156" i="27"/>
  <c r="FZ170" i="27"/>
  <c r="CH170" i="27"/>
  <c r="ED170" i="27"/>
  <c r="GL138" i="27"/>
  <c r="EP138" i="27"/>
  <c r="CT138" i="27"/>
  <c r="EJ149" i="27"/>
  <c r="CN149" i="27"/>
  <c r="GF149" i="27"/>
  <c r="ED211" i="27"/>
  <c r="CH211" i="27"/>
  <c r="FZ211" i="27"/>
  <c r="FB203" i="27"/>
  <c r="DF203" i="27"/>
  <c r="GX203" i="27"/>
  <c r="CH105" i="27"/>
  <c r="FZ105" i="27"/>
  <c r="ED105" i="27"/>
  <c r="EV191" i="27"/>
  <c r="CZ191" i="27"/>
  <c r="GR191" i="27"/>
  <c r="FB180" i="27"/>
  <c r="DF180" i="27"/>
  <c r="GX180" i="27"/>
  <c r="GF93" i="27"/>
  <c r="CN93" i="27"/>
  <c r="EJ93" i="27"/>
  <c r="FZ202" i="27"/>
  <c r="ED202" i="27"/>
  <c r="CH202" i="27"/>
  <c r="EJ113" i="27"/>
  <c r="CN113" i="27"/>
  <c r="GF113" i="27"/>
  <c r="GF212" i="27"/>
  <c r="EJ212" i="27"/>
  <c r="CN212" i="27"/>
  <c r="EV139" i="27"/>
  <c r="CZ139" i="27"/>
  <c r="GR139" i="27"/>
  <c r="CZ167" i="27"/>
  <c r="GR167" i="27"/>
  <c r="EV167" i="27"/>
  <c r="EV200" i="27"/>
  <c r="CZ200" i="27"/>
  <c r="GR200" i="27"/>
  <c r="GR209" i="27"/>
  <c r="EV209" i="27"/>
  <c r="CZ209" i="27"/>
  <c r="FZ263" i="27"/>
  <c r="ED263" i="27"/>
  <c r="CH263" i="27"/>
  <c r="CT154" i="27"/>
  <c r="EP154" i="27"/>
  <c r="GL154" i="27"/>
  <c r="GR293" i="27"/>
  <c r="EV293" i="27"/>
  <c r="CZ293" i="27"/>
  <c r="GX93" i="27"/>
  <c r="DF93" i="27"/>
  <c r="FB93" i="27"/>
  <c r="ED111" i="27"/>
  <c r="FZ111" i="27"/>
  <c r="CH111" i="27"/>
  <c r="CZ325" i="27"/>
  <c r="EV325" i="27"/>
  <c r="GR325" i="27"/>
  <c r="GR271" i="27"/>
  <c r="EV271" i="27"/>
  <c r="CZ271" i="27"/>
  <c r="GR201" i="27"/>
  <c r="CZ201" i="27"/>
  <c r="EV201" i="27"/>
  <c r="FZ153" i="27"/>
  <c r="ED153" i="27"/>
  <c r="CH153" i="27"/>
  <c r="EJ321" i="27"/>
  <c r="GF321" i="27"/>
  <c r="CN321" i="27"/>
  <c r="FB254" i="27"/>
  <c r="GX254" i="27"/>
  <c r="DF254" i="27"/>
  <c r="EJ237" i="27"/>
  <c r="GF237" i="27"/>
  <c r="CN237" i="27"/>
  <c r="GR108" i="27"/>
  <c r="CZ108" i="27"/>
  <c r="EV108" i="27"/>
  <c r="GL302" i="27"/>
  <c r="EP302" i="27"/>
  <c r="CT302" i="27"/>
  <c r="GR47" i="27"/>
  <c r="EV47" i="27"/>
  <c r="CZ47" i="27"/>
  <c r="GF66" i="27"/>
  <c r="EJ66" i="27"/>
  <c r="CN66" i="27"/>
  <c r="FB53" i="27"/>
  <c r="GX53" i="27"/>
  <c r="DF53" i="27"/>
  <c r="CN326" i="27"/>
  <c r="GF326" i="27"/>
  <c r="EJ326" i="27"/>
  <c r="GF231" i="27"/>
  <c r="EJ231" i="27"/>
  <c r="CN231" i="27"/>
  <c r="EP231" i="27"/>
  <c r="GL231" i="27"/>
  <c r="CT231" i="27"/>
  <c r="ED167" i="27"/>
  <c r="FZ167" i="27"/>
  <c r="CH167" i="27"/>
  <c r="FZ261" i="27"/>
  <c r="CH261" i="27"/>
  <c r="ED261" i="27"/>
  <c r="CN240" i="27"/>
  <c r="GF240" i="27"/>
  <c r="EJ240" i="27"/>
  <c r="EV186" i="27"/>
  <c r="CZ186" i="27"/>
  <c r="GR186" i="27"/>
  <c r="GR225" i="27"/>
  <c r="EV225" i="27"/>
  <c r="CZ225" i="27"/>
  <c r="DF152" i="27"/>
  <c r="FB152" i="27"/>
  <c r="GX152" i="27"/>
  <c r="CN30" i="27"/>
  <c r="GF30" i="27"/>
  <c r="EJ30" i="27"/>
  <c r="DF232" i="27"/>
  <c r="GX232" i="27"/>
  <c r="FB232" i="27"/>
  <c r="ED58" i="27"/>
  <c r="FZ58" i="27"/>
  <c r="CH58" i="27"/>
  <c r="EV269" i="27"/>
  <c r="CZ269" i="27"/>
  <c r="GR269" i="27"/>
  <c r="DF158" i="27"/>
  <c r="GX158" i="27"/>
  <c r="FB158" i="27"/>
  <c r="FZ270" i="27"/>
  <c r="ED270" i="27"/>
  <c r="CH270" i="27"/>
  <c r="EP254" i="27"/>
  <c r="CT254" i="27"/>
  <c r="GL254" i="27"/>
  <c r="ED169" i="27"/>
  <c r="CH169" i="27"/>
  <c r="FZ169" i="27"/>
  <c r="CT66" i="27"/>
  <c r="GL66" i="27"/>
  <c r="EP66" i="27"/>
  <c r="GX143" i="27"/>
  <c r="DF143" i="27"/>
  <c r="FB143" i="27"/>
  <c r="ED83" i="27"/>
  <c r="CH83" i="27"/>
  <c r="FZ83" i="27"/>
  <c r="CZ292" i="27"/>
  <c r="GR292" i="27"/>
  <c r="EV292" i="27"/>
  <c r="CT288" i="27"/>
  <c r="EP288" i="27"/>
  <c r="GL288" i="27"/>
  <c r="CN118" i="27"/>
  <c r="GF118" i="27"/>
  <c r="EJ118" i="27"/>
  <c r="EV22" i="27"/>
  <c r="CZ22" i="27"/>
  <c r="GR22" i="27"/>
  <c r="CZ42" i="27"/>
  <c r="EV42" i="27"/>
  <c r="GR42" i="27"/>
  <c r="EP33" i="27"/>
  <c r="GL33" i="27"/>
  <c r="CT33" i="27"/>
  <c r="GL273" i="27"/>
  <c r="EP273" i="27"/>
  <c r="CT273" i="27"/>
  <c r="EJ250" i="27"/>
  <c r="CN250" i="27"/>
  <c r="GF250" i="27"/>
  <c r="CN197" i="27"/>
  <c r="EJ197" i="27"/>
  <c r="GF197" i="27"/>
  <c r="CZ203" i="27"/>
  <c r="GR203" i="27"/>
  <c r="EV203" i="27"/>
  <c r="CH130" i="27"/>
  <c r="ED130" i="27"/>
  <c r="FZ130" i="27"/>
  <c r="DF280" i="27"/>
  <c r="FB280" i="27"/>
  <c r="GX280" i="27"/>
  <c r="DF318" i="27"/>
  <c r="FB318" i="27"/>
  <c r="GX318" i="27"/>
  <c r="ED62" i="27"/>
  <c r="FZ62" i="27"/>
  <c r="CH62" i="27"/>
  <c r="ED205" i="27"/>
  <c r="FZ205" i="27"/>
  <c r="CH205" i="27"/>
  <c r="DF165" i="27"/>
  <c r="FB165" i="27"/>
  <c r="GX165" i="27"/>
  <c r="CZ30" i="27"/>
  <c r="EV30" i="27"/>
  <c r="GR30" i="27"/>
  <c r="DF114" i="27"/>
  <c r="FB114" i="27"/>
  <c r="GX114" i="27"/>
  <c r="CN130" i="27"/>
  <c r="EJ130" i="27"/>
  <c r="GF130" i="27"/>
  <c r="EJ22" i="27"/>
  <c r="GF22" i="27"/>
  <c r="CN22" i="27"/>
  <c r="CZ217" i="27"/>
  <c r="GR217" i="27"/>
  <c r="EV217" i="27"/>
  <c r="CZ247" i="27"/>
  <c r="GR247" i="27"/>
  <c r="EV247" i="27"/>
  <c r="ED256" i="27"/>
  <c r="FZ256" i="27"/>
  <c r="CH256" i="27"/>
  <c r="CZ14" i="27"/>
  <c r="EV14" i="27"/>
  <c r="GR14" i="27"/>
  <c r="EJ78" i="27"/>
  <c r="GF78" i="27"/>
  <c r="CN78" i="27"/>
  <c r="GR116" i="27"/>
  <c r="CZ116" i="27"/>
  <c r="EV116" i="27"/>
  <c r="ED257" i="27"/>
  <c r="FZ257" i="27"/>
  <c r="CH257" i="27"/>
  <c r="ED215" i="27"/>
  <c r="FZ215" i="27"/>
  <c r="CH215" i="27"/>
  <c r="CH228" i="27"/>
  <c r="FZ228" i="27"/>
  <c r="ED228" i="27"/>
  <c r="CH307" i="27"/>
  <c r="ED307" i="27"/>
  <c r="FZ307" i="27"/>
  <c r="GR268" i="27"/>
  <c r="EV268" i="27"/>
  <c r="CZ268" i="27"/>
  <c r="EP11" i="27"/>
  <c r="GL11" i="27"/>
  <c r="CT11" i="27"/>
  <c r="EP94" i="27"/>
  <c r="GL94" i="27"/>
  <c r="CT94" i="27"/>
  <c r="EV172" i="27"/>
  <c r="CZ172" i="27"/>
  <c r="GR172" i="27"/>
  <c r="FB240" i="27"/>
  <c r="DF240" i="27"/>
  <c r="GX240" i="27"/>
  <c r="ED72" i="27"/>
  <c r="CH72" i="27"/>
  <c r="FZ72" i="27"/>
  <c r="GF207" i="27"/>
  <c r="EJ207" i="27"/>
  <c r="CN207" i="27"/>
  <c r="GR226" i="27"/>
  <c r="CZ226" i="27"/>
  <c r="EV226" i="27"/>
  <c r="EV198" i="27"/>
  <c r="GR198" i="27"/>
  <c r="CZ198" i="27"/>
  <c r="DF35" i="27"/>
  <c r="FB35" i="27"/>
  <c r="GX35" i="27"/>
  <c r="ED179" i="27"/>
  <c r="CH179" i="27"/>
  <c r="FZ179" i="27"/>
  <c r="CH79" i="27"/>
  <c r="ED79" i="27"/>
  <c r="FZ79" i="27"/>
  <c r="FZ31" i="27"/>
  <c r="ED31" i="27"/>
  <c r="CH31" i="27"/>
  <c r="CT220" i="27"/>
  <c r="EP220" i="27"/>
  <c r="GL220" i="27"/>
  <c r="FZ258" i="27"/>
  <c r="ED258" i="27"/>
  <c r="CH258" i="27"/>
  <c r="GX315" i="27"/>
  <c r="FB315" i="27"/>
  <c r="DF315" i="27"/>
  <c r="GR39" i="27"/>
  <c r="CZ39" i="27"/>
  <c r="EV39" i="27"/>
  <c r="FB193" i="27"/>
  <c r="GX193" i="27"/>
  <c r="DF193" i="27"/>
  <c r="GX182" i="27"/>
  <c r="FB182" i="27"/>
  <c r="DF182" i="27"/>
  <c r="FB285" i="27"/>
  <c r="GX285" i="27"/>
  <c r="DF285" i="27"/>
  <c r="CN176" i="27"/>
  <c r="GF176" i="27"/>
  <c r="EJ176" i="27"/>
  <c r="FB115" i="27"/>
  <c r="GX115" i="27"/>
  <c r="DF115" i="27"/>
  <c r="GX46" i="27"/>
  <c r="FB46" i="27"/>
  <c r="DF46" i="27"/>
  <c r="EP190" i="27"/>
  <c r="GL190" i="27"/>
  <c r="CT190" i="27"/>
  <c r="FZ176" i="27"/>
  <c r="ED176" i="27"/>
  <c r="CH176" i="27"/>
  <c r="CT106" i="27"/>
  <c r="GL106" i="27"/>
  <c r="EP106" i="27"/>
  <c r="CN124" i="27"/>
  <c r="EJ124" i="27"/>
  <c r="GF124" i="27"/>
  <c r="EV24" i="27"/>
  <c r="GR24" i="27"/>
  <c r="CZ24" i="27"/>
  <c r="CH251" i="27"/>
  <c r="ED251" i="27"/>
  <c r="FZ251" i="27"/>
  <c r="EP155" i="27"/>
  <c r="CT155" i="27"/>
  <c r="GL155" i="27"/>
  <c r="CH225" i="27"/>
  <c r="ED225" i="27"/>
  <c r="FZ225" i="27"/>
  <c r="GF258" i="27"/>
  <c r="EJ258" i="27"/>
  <c r="CN258" i="27"/>
  <c r="FB154" i="27"/>
  <c r="GX154" i="27"/>
  <c r="DF154" i="27"/>
  <c r="EV161" i="27"/>
  <c r="GR161" i="27"/>
  <c r="CZ161" i="27"/>
  <c r="ED189" i="27"/>
  <c r="CH189" i="27"/>
  <c r="FZ189" i="27"/>
  <c r="EV20" i="27"/>
  <c r="GR20" i="27"/>
  <c r="CZ20" i="27"/>
  <c r="CH244" i="27"/>
  <c r="FZ244" i="27"/>
  <c r="ED244" i="27"/>
  <c r="GX298" i="27"/>
  <c r="DF298" i="27"/>
  <c r="FB298" i="27"/>
  <c r="GL287" i="27"/>
  <c r="CT287" i="27"/>
  <c r="EP287" i="27"/>
  <c r="CN37" i="27"/>
  <c r="GF37" i="27"/>
  <c r="EJ37" i="27"/>
  <c r="FZ218" i="27"/>
  <c r="CH218" i="27"/>
  <c r="ED218" i="27"/>
  <c r="CH151" i="27"/>
  <c r="FZ151" i="27"/>
  <c r="ED151" i="27"/>
  <c r="EJ211" i="27"/>
  <c r="CN211" i="27"/>
  <c r="GF211" i="27"/>
  <c r="EV309" i="27"/>
  <c r="CZ309" i="27"/>
  <c r="GR309" i="27"/>
  <c r="EJ184" i="27"/>
  <c r="GF184" i="27"/>
  <c r="CN184" i="27"/>
  <c r="ED204" i="27"/>
  <c r="CH204" i="27"/>
  <c r="FZ204" i="27"/>
  <c r="EJ11" i="27"/>
  <c r="GF11" i="27"/>
  <c r="CN11" i="27"/>
  <c r="FB70" i="27"/>
  <c r="GX70" i="27"/>
  <c r="DF70" i="27"/>
  <c r="CH147" i="27"/>
  <c r="ED147" i="27"/>
  <c r="FZ147" i="27"/>
  <c r="FB181" i="27"/>
  <c r="DF181" i="27"/>
  <c r="GX181" i="27"/>
  <c r="EP19" i="27"/>
  <c r="GL19" i="27"/>
  <c r="CT19" i="27"/>
  <c r="EP191" i="27"/>
  <c r="CT191" i="27"/>
  <c r="GL191" i="27"/>
  <c r="CZ10" i="27"/>
  <c r="GR10" i="27"/>
  <c r="EV10" i="27"/>
  <c r="FZ125" i="27"/>
  <c r="CH125" i="27"/>
  <c r="ED125" i="27"/>
  <c r="GX242" i="27"/>
  <c r="FB242" i="27"/>
  <c r="DF242" i="27"/>
  <c r="EP223" i="27"/>
  <c r="GL223" i="27"/>
  <c r="CT223" i="27"/>
  <c r="DF235" i="27"/>
  <c r="GX235" i="27"/>
  <c r="FB235" i="27"/>
  <c r="CN217" i="27"/>
  <c r="GF217" i="27"/>
  <c r="EJ217" i="27"/>
  <c r="GF276" i="27"/>
  <c r="EJ276" i="27"/>
  <c r="CN276" i="27"/>
  <c r="FZ255" i="27"/>
  <c r="ED255" i="27"/>
  <c r="CH255" i="27"/>
  <c r="GL80" i="27"/>
  <c r="CT80" i="27"/>
  <c r="EP80" i="27"/>
  <c r="GL23" i="27"/>
  <c r="CT23" i="27"/>
  <c r="EP23" i="27"/>
  <c r="FB302" i="27"/>
  <c r="DF302" i="27"/>
  <c r="GX302" i="27"/>
  <c r="GR248" i="27"/>
  <c r="EV248" i="27"/>
  <c r="CZ248" i="27"/>
  <c r="GF314" i="27"/>
  <c r="EJ314" i="27"/>
  <c r="CN314" i="27"/>
  <c r="ED299" i="27"/>
  <c r="FZ299" i="27"/>
  <c r="CH299" i="27"/>
  <c r="GL206" i="27"/>
  <c r="EP206" i="27"/>
  <c r="CT206" i="27"/>
  <c r="CN154" i="27"/>
  <c r="EJ154" i="27"/>
  <c r="GF154" i="27"/>
  <c r="CH124" i="27"/>
  <c r="FZ124" i="27"/>
  <c r="ED124" i="27"/>
  <c r="ED178" i="27"/>
  <c r="FZ178" i="27"/>
  <c r="CH178" i="27"/>
  <c r="EJ239" i="27"/>
  <c r="CN239" i="27"/>
  <c r="GF239" i="27"/>
  <c r="FZ77" i="27"/>
  <c r="CH77" i="27"/>
  <c r="ED77" i="27"/>
  <c r="EP182" i="27"/>
  <c r="CT182" i="27"/>
  <c r="GL182" i="27"/>
  <c r="GX42" i="27"/>
  <c r="DF42" i="27"/>
  <c r="FB42" i="27"/>
  <c r="EJ280" i="27"/>
  <c r="GF280" i="27"/>
  <c r="CN280" i="27"/>
  <c r="DF129" i="27"/>
  <c r="GX129" i="27"/>
  <c r="FB129" i="27"/>
  <c r="CT323" i="27"/>
  <c r="GL323" i="27"/>
  <c r="EP323" i="27"/>
  <c r="EJ79" i="27"/>
  <c r="GF79" i="27"/>
  <c r="CN79" i="27"/>
  <c r="EV80" i="27"/>
  <c r="CZ80" i="27"/>
  <c r="GR80" i="27"/>
  <c r="CT251" i="27"/>
  <c r="EP251" i="27"/>
  <c r="GL251" i="27"/>
  <c r="FB84" i="27"/>
  <c r="DF84" i="27"/>
  <c r="GX84" i="27"/>
  <c r="EJ317" i="27"/>
  <c r="CN317" i="27"/>
  <c r="GF317" i="27"/>
  <c r="GL63" i="27"/>
  <c r="CT63" i="27"/>
  <c r="EP63" i="27"/>
  <c r="EP274" i="27"/>
  <c r="GL274" i="27"/>
  <c r="CT274" i="27"/>
  <c r="CZ57" i="27"/>
  <c r="GR57" i="27"/>
  <c r="EV57" i="27"/>
  <c r="ED208" i="27"/>
  <c r="FZ208" i="27"/>
  <c r="CH208" i="27"/>
  <c r="GX164" i="27"/>
  <c r="FB164" i="27"/>
  <c r="DF164" i="27"/>
  <c r="CT93" i="27"/>
  <c r="GL93" i="27"/>
  <c r="EP93" i="27"/>
  <c r="EV202" i="27"/>
  <c r="CZ202" i="27"/>
  <c r="GR202" i="27"/>
  <c r="FZ78" i="27"/>
  <c r="CH78" i="27"/>
  <c r="ED78" i="27"/>
  <c r="CN292" i="27"/>
  <c r="EJ292" i="27"/>
  <c r="GF292" i="27"/>
  <c r="GL219" i="27"/>
  <c r="CT219" i="27"/>
  <c r="EP219" i="27"/>
  <c r="FB86" i="27"/>
  <c r="DF86" i="27"/>
  <c r="GX86" i="27"/>
  <c r="EP31" i="27"/>
  <c r="GL31" i="27"/>
  <c r="CT31" i="27"/>
  <c r="DF117" i="27"/>
  <c r="FB117" i="27"/>
  <c r="GX117" i="27"/>
  <c r="GR136" i="27"/>
  <c r="EV136" i="27"/>
  <c r="CZ136" i="27"/>
  <c r="CN62" i="27"/>
  <c r="GF62" i="27"/>
  <c r="EJ62" i="27"/>
  <c r="FZ273" i="27"/>
  <c r="CH273" i="27"/>
  <c r="ED273" i="27"/>
  <c r="CN309" i="27"/>
  <c r="GF309" i="27"/>
  <c r="EJ309" i="27"/>
  <c r="EJ225" i="27"/>
  <c r="CN225" i="27"/>
  <c r="GF225" i="27"/>
  <c r="ED213" i="27"/>
  <c r="FZ213" i="27"/>
  <c r="CH213" i="27"/>
  <c r="FB61" i="27"/>
  <c r="GX61" i="27"/>
  <c r="DF61" i="27"/>
  <c r="EJ87" i="27"/>
  <c r="CN87" i="27"/>
  <c r="GF87" i="27"/>
  <c r="GR235" i="27"/>
  <c r="CZ235" i="27"/>
  <c r="EV235" i="27"/>
  <c r="CN227" i="27"/>
  <c r="GF227" i="27"/>
  <c r="EJ227" i="27"/>
  <c r="CT237" i="27"/>
  <c r="EP237" i="27"/>
  <c r="GL237" i="27"/>
  <c r="FB73" i="27"/>
  <c r="GX73" i="27"/>
  <c r="DF73" i="27"/>
  <c r="CH118" i="27"/>
  <c r="FZ118" i="27"/>
  <c r="ED118" i="27"/>
  <c r="CH193" i="27"/>
  <c r="ED193" i="27"/>
  <c r="FZ193" i="27"/>
  <c r="CT240" i="27"/>
  <c r="GL240" i="27"/>
  <c r="EP240" i="27"/>
  <c r="EV192" i="27"/>
  <c r="GR192" i="27"/>
  <c r="CZ192" i="27"/>
  <c r="ED247" i="27"/>
  <c r="FZ247" i="27"/>
  <c r="CH247" i="27"/>
  <c r="GL126" i="27"/>
  <c r="EP126" i="27"/>
  <c r="CT126" i="27"/>
  <c r="GX200" i="27"/>
  <c r="FB200" i="27"/>
  <c r="DF200" i="27"/>
  <c r="EJ297" i="27"/>
  <c r="CN297" i="27"/>
  <c r="GF297" i="27"/>
  <c r="GX287" i="27"/>
  <c r="DF287" i="27"/>
  <c r="FB287" i="27"/>
  <c r="EV206" i="27"/>
  <c r="GR206" i="27"/>
  <c r="CZ206" i="27"/>
  <c r="CT118" i="27"/>
  <c r="EP118" i="27"/>
  <c r="GL118" i="27"/>
  <c r="DF307" i="27"/>
  <c r="GX307" i="27"/>
  <c r="FB307" i="27"/>
  <c r="DF17" i="27"/>
  <c r="FB17" i="27"/>
  <c r="GX17" i="27"/>
  <c r="CN291" i="27"/>
  <c r="EJ291" i="27"/>
  <c r="GF291" i="27"/>
  <c r="GF199" i="27"/>
  <c r="CN199" i="27"/>
  <c r="EJ199" i="27"/>
  <c r="GX7" i="27"/>
  <c r="FB7" i="27"/>
  <c r="DF7" i="27"/>
  <c r="CH210" i="27"/>
  <c r="ED210" i="27"/>
  <c r="FZ210" i="27"/>
  <c r="GR310" i="27"/>
  <c r="CZ310" i="27"/>
  <c r="EV310" i="27"/>
  <c r="GL213" i="27"/>
  <c r="EP213" i="27"/>
  <c r="CT213" i="27"/>
  <c r="CN216" i="27"/>
  <c r="EJ216" i="27"/>
  <c r="GF216" i="27"/>
  <c r="ED51" i="27"/>
  <c r="FZ51" i="27"/>
  <c r="CH51" i="27"/>
  <c r="GR258" i="27"/>
  <c r="CZ258" i="27"/>
  <c r="EV258" i="27"/>
  <c r="GR110" i="27"/>
  <c r="EV110" i="27"/>
  <c r="CZ110" i="27"/>
  <c r="CZ83" i="27"/>
  <c r="EV83" i="27"/>
  <c r="GR83" i="27"/>
  <c r="GL281" i="27"/>
  <c r="EP281" i="27"/>
  <c r="CT281" i="27"/>
  <c r="GL164" i="27"/>
  <c r="CT164" i="27"/>
  <c r="EP164" i="27"/>
  <c r="CN183" i="27"/>
  <c r="GF183" i="27"/>
  <c r="EJ183" i="27"/>
  <c r="GX222" i="27"/>
  <c r="FB222" i="27"/>
  <c r="DF222" i="27"/>
  <c r="FB25" i="27"/>
  <c r="GX25" i="27"/>
  <c r="DF25" i="27"/>
  <c r="EJ24" i="27"/>
  <c r="CN24" i="27"/>
  <c r="GF24" i="27"/>
  <c r="EP153" i="27"/>
  <c r="GL153" i="27"/>
  <c r="CT153" i="27"/>
  <c r="DF262" i="27"/>
  <c r="GX262" i="27"/>
  <c r="FB262" i="27"/>
  <c r="GF159" i="27"/>
  <c r="CN159" i="27"/>
  <c r="EJ159" i="27"/>
  <c r="FZ234" i="27"/>
  <c r="CH234" i="27"/>
  <c r="ED234" i="27"/>
  <c r="GX69" i="27"/>
  <c r="DF69" i="27"/>
  <c r="FB69" i="27"/>
  <c r="EJ77" i="27"/>
  <c r="CN77" i="27"/>
  <c r="GF77" i="27"/>
  <c r="EV13" i="27"/>
  <c r="CZ13" i="27"/>
  <c r="GR13" i="27"/>
  <c r="GL168" i="27"/>
  <c r="CT168" i="27"/>
  <c r="EP168" i="27"/>
  <c r="FB140" i="27"/>
  <c r="DF140" i="27"/>
  <c r="GX140" i="27"/>
  <c r="CN82" i="27"/>
  <c r="GF82" i="27"/>
  <c r="EJ82" i="27"/>
  <c r="GR112" i="27"/>
  <c r="EV112" i="27"/>
  <c r="CZ112" i="27"/>
  <c r="FZ265" i="27"/>
  <c r="ED265" i="27"/>
  <c r="CH265" i="27"/>
  <c r="CH326" i="27"/>
  <c r="ED326" i="27"/>
  <c r="FZ326" i="27"/>
  <c r="CT172" i="27"/>
  <c r="EP172" i="27"/>
  <c r="GL172" i="27"/>
  <c r="FB71" i="27"/>
  <c r="GX71" i="27"/>
  <c r="DF71" i="27"/>
  <c r="GX213" i="27"/>
  <c r="DF213" i="27"/>
  <c r="FB213" i="27"/>
  <c r="FB138" i="27"/>
  <c r="DF138" i="27"/>
  <c r="GX138" i="27"/>
  <c r="GF42" i="27"/>
  <c r="CN42" i="27"/>
  <c r="EJ42" i="27"/>
  <c r="CH289" i="27"/>
  <c r="ED289" i="27"/>
  <c r="FZ289" i="27"/>
  <c r="GF32" i="27"/>
  <c r="CN32" i="27"/>
  <c r="EJ32" i="27"/>
  <c r="GR175" i="27"/>
  <c r="EV175" i="27"/>
  <c r="CZ175" i="27"/>
  <c r="CN100" i="27"/>
  <c r="GF100" i="27"/>
  <c r="EJ100" i="27"/>
  <c r="GX201" i="27"/>
  <c r="DF201" i="27"/>
  <c r="FB201" i="27"/>
  <c r="GR296" i="27"/>
  <c r="EV296" i="27"/>
  <c r="CZ296" i="27"/>
  <c r="CN7" i="27"/>
  <c r="EJ7" i="27"/>
  <c r="GF7" i="27"/>
  <c r="FB255" i="27"/>
  <c r="DF255" i="27"/>
  <c r="GX255" i="27"/>
  <c r="EV130" i="27"/>
  <c r="CZ130" i="27"/>
  <c r="GR130" i="27"/>
  <c r="FB177" i="27"/>
  <c r="DF177" i="27"/>
  <c r="GX177" i="27"/>
  <c r="EP84" i="27"/>
  <c r="GL84" i="27"/>
  <c r="CT84" i="27"/>
  <c r="EP47" i="27"/>
  <c r="CT47" i="27"/>
  <c r="GL47" i="27"/>
  <c r="GR154" i="27"/>
  <c r="EV154" i="27"/>
  <c r="CZ154" i="27"/>
  <c r="GX79" i="27"/>
  <c r="DF79" i="27"/>
  <c r="FB79" i="27"/>
  <c r="EJ296" i="27"/>
  <c r="GF296" i="27"/>
  <c r="CN296" i="27"/>
  <c r="CZ54" i="27"/>
  <c r="GR54" i="27"/>
  <c r="EV54" i="27"/>
  <c r="EJ102" i="27"/>
  <c r="GF102" i="27"/>
  <c r="CN102" i="27"/>
  <c r="ED207" i="27"/>
  <c r="CH207" i="27"/>
  <c r="FZ207" i="27"/>
  <c r="GL8" i="27"/>
  <c r="EP8" i="27"/>
  <c r="CT8" i="27"/>
  <c r="GX33" i="27"/>
  <c r="FB33" i="27"/>
  <c r="DF33" i="27"/>
  <c r="FZ63" i="27"/>
  <c r="ED63" i="27"/>
  <c r="CH63" i="27"/>
  <c r="CN63" i="27"/>
  <c r="EJ63" i="27"/>
  <c r="GF63" i="27"/>
  <c r="GX266" i="27"/>
  <c r="DF266" i="27"/>
  <c r="FB266" i="27"/>
  <c r="EV176" i="27"/>
  <c r="CZ176" i="27"/>
  <c r="GR176" i="27"/>
  <c r="GF264" i="27"/>
  <c r="CN264" i="27"/>
  <c r="EJ264" i="27"/>
  <c r="FZ191" i="27"/>
  <c r="ED191" i="27"/>
  <c r="CH191" i="27"/>
  <c r="CH287" i="27"/>
  <c r="ED287" i="27"/>
  <c r="FZ287" i="27"/>
  <c r="FB110" i="27"/>
  <c r="DF110" i="27"/>
  <c r="GX110" i="27"/>
  <c r="EP315" i="27"/>
  <c r="CT315" i="27"/>
  <c r="GL315" i="27"/>
  <c r="CZ76" i="27"/>
  <c r="GR76" i="27"/>
  <c r="EV76" i="27"/>
  <c r="CT256" i="27"/>
  <c r="GL256" i="27"/>
  <c r="EP256" i="27"/>
  <c r="CN15" i="27"/>
  <c r="GF15" i="27"/>
  <c r="EJ15" i="27"/>
  <c r="CT293" i="27"/>
  <c r="EP293" i="27"/>
  <c r="GL293" i="27"/>
  <c r="GX207" i="27"/>
  <c r="FB207" i="27"/>
  <c r="DF207" i="27"/>
  <c r="GX228" i="27"/>
  <c r="DF228" i="27"/>
  <c r="FB228" i="27"/>
  <c r="GX290" i="27"/>
  <c r="FB290" i="27"/>
  <c r="DF290" i="27"/>
  <c r="GF318" i="27"/>
  <c r="EJ318" i="27"/>
  <c r="CN318" i="27"/>
  <c r="EJ286" i="27"/>
  <c r="CN286" i="27"/>
  <c r="GF286" i="27"/>
  <c r="CN298" i="27"/>
  <c r="EJ298" i="27"/>
  <c r="GF298" i="27"/>
  <c r="EP270" i="27"/>
  <c r="GL270" i="27"/>
  <c r="CT270" i="27"/>
  <c r="GL81" i="27"/>
  <c r="EP81" i="27"/>
  <c r="CT81" i="27"/>
  <c r="GL228" i="27"/>
  <c r="EP228" i="27"/>
  <c r="CT228" i="27"/>
  <c r="GX87" i="27"/>
  <c r="FB87" i="27"/>
  <c r="DF87" i="27"/>
  <c r="CH134" i="27"/>
  <c r="FZ134" i="27"/>
  <c r="ED134" i="27"/>
  <c r="EP192" i="27"/>
  <c r="CT192" i="27"/>
  <c r="GL192" i="27"/>
  <c r="CN215" i="27"/>
  <c r="EJ215" i="27"/>
  <c r="GF215" i="27"/>
  <c r="FB194" i="27"/>
  <c r="GX194" i="27"/>
  <c r="DF194" i="27"/>
  <c r="CH236" i="27"/>
  <c r="ED236" i="27"/>
  <c r="FZ236" i="27"/>
  <c r="FB204" i="27"/>
  <c r="DF204" i="27"/>
  <c r="GX204" i="27"/>
  <c r="GR46" i="27"/>
  <c r="CZ46" i="27"/>
  <c r="EV46" i="27"/>
  <c r="EP216" i="27"/>
  <c r="GL216" i="27"/>
  <c r="CT216" i="27"/>
  <c r="EV158" i="27"/>
  <c r="GR158" i="27"/>
  <c r="CZ158" i="27"/>
  <c r="GR250" i="27"/>
  <c r="EV250" i="27"/>
  <c r="CZ250" i="27"/>
  <c r="CZ321" i="27"/>
  <c r="EV321" i="27"/>
  <c r="GR321" i="27"/>
  <c r="GR236" i="27"/>
  <c r="CZ236" i="27"/>
  <c r="EV236" i="27"/>
  <c r="EJ221" i="27"/>
  <c r="CN221" i="27"/>
  <c r="GF221" i="27"/>
  <c r="EJ107" i="27"/>
  <c r="CN107" i="27"/>
  <c r="GF107" i="27"/>
  <c r="EJ114" i="27"/>
  <c r="CN114" i="27"/>
  <c r="GF114" i="27"/>
  <c r="FZ221" i="27"/>
  <c r="ED221" i="27"/>
  <c r="CH221" i="27"/>
  <c r="CH269" i="27"/>
  <c r="ED269" i="27"/>
  <c r="FZ269" i="27"/>
  <c r="DF51" i="27"/>
  <c r="GX51" i="27"/>
  <c r="FB51" i="27"/>
  <c r="EJ25" i="27"/>
  <c r="CN25" i="27"/>
  <c r="GF25" i="27"/>
  <c r="CN287" i="27"/>
  <c r="GF287" i="27"/>
  <c r="EJ287" i="27"/>
  <c r="DF55" i="27"/>
  <c r="FB55" i="27"/>
  <c r="GX55" i="27"/>
  <c r="F17" i="3"/>
  <c r="GR62" i="27"/>
  <c r="CZ62" i="27"/>
  <c r="EV62" i="27"/>
  <c r="CT307" i="27"/>
  <c r="EP307" i="27"/>
  <c r="GL307" i="27"/>
  <c r="GF246" i="27"/>
  <c r="EJ246" i="27"/>
  <c r="CN246" i="27"/>
  <c r="F18" i="3"/>
  <c r="FZ288" i="27"/>
  <c r="ED288" i="27"/>
  <c r="CH288" i="27"/>
  <c r="CN165" i="27"/>
  <c r="GF165" i="27"/>
  <c r="EJ165" i="27"/>
  <c r="EJ284" i="27"/>
  <c r="CN284" i="27"/>
  <c r="GF284" i="27"/>
  <c r="CZ170" i="27"/>
  <c r="GR170" i="27"/>
  <c r="EV170" i="27"/>
  <c r="EJ281" i="27"/>
  <c r="GF281" i="27"/>
  <c r="CN281" i="27"/>
  <c r="CT321" i="27"/>
  <c r="GL321" i="27"/>
  <c r="EP321" i="27"/>
  <c r="CZ273" i="27"/>
  <c r="GR273" i="27"/>
  <c r="EV273" i="27"/>
  <c r="GX199" i="27"/>
  <c r="DF199" i="27"/>
  <c r="FB199" i="27"/>
  <c r="CT175" i="27"/>
  <c r="GL175" i="27"/>
  <c r="EP175" i="27"/>
  <c r="EP92" i="27"/>
  <c r="CT92" i="27"/>
  <c r="GL92" i="27"/>
  <c r="GX10" i="27"/>
  <c r="FB10" i="27"/>
  <c r="DF10" i="27"/>
  <c r="CH278" i="27"/>
  <c r="FZ278" i="27"/>
  <c r="ED278" i="27"/>
  <c r="CN136" i="27"/>
  <c r="GF136" i="27"/>
  <c r="EJ136" i="27"/>
  <c r="ED91" i="27"/>
  <c r="CH91" i="27"/>
  <c r="FZ91" i="27"/>
  <c r="EV229" i="27"/>
  <c r="CZ229" i="27"/>
  <c r="GR229" i="27"/>
  <c r="GF255" i="27"/>
  <c r="EJ255" i="27"/>
  <c r="CN255" i="27"/>
  <c r="EP152" i="27"/>
  <c r="CT152" i="27"/>
  <c r="GL152" i="27"/>
  <c r="CN8" i="27"/>
  <c r="GF8" i="27"/>
  <c r="EJ8" i="27"/>
  <c r="FZ22" i="27"/>
  <c r="ED22" i="27"/>
  <c r="CH22" i="27"/>
  <c r="GF174" i="27"/>
  <c r="EJ174" i="27"/>
  <c r="CN174" i="27"/>
  <c r="GR120" i="27"/>
  <c r="EV120" i="27"/>
  <c r="CZ120" i="27"/>
  <c r="GR27" i="27"/>
  <c r="CZ27" i="27"/>
  <c r="EV27" i="27"/>
  <c r="GX196" i="27"/>
  <c r="DF196" i="27"/>
  <c r="FB196" i="27"/>
  <c r="GF92" i="27"/>
  <c r="EJ92" i="27"/>
  <c r="CN92" i="27"/>
  <c r="FZ161" i="27"/>
  <c r="ED161" i="27"/>
  <c r="CH161" i="27"/>
  <c r="CN67" i="27"/>
  <c r="EJ67" i="27"/>
  <c r="GF67" i="27"/>
  <c r="EJ295" i="27"/>
  <c r="CN295" i="27"/>
  <c r="GF295" i="27"/>
  <c r="GX111" i="27"/>
  <c r="FB111" i="27"/>
  <c r="DF111" i="27"/>
  <c r="GF244" i="27"/>
  <c r="CN244" i="27"/>
  <c r="EJ244" i="27"/>
  <c r="DF36" i="27"/>
  <c r="GX36" i="27"/>
  <c r="FB36" i="27"/>
  <c r="CH129" i="27"/>
  <c r="FZ129" i="27"/>
  <c r="ED129" i="27"/>
  <c r="CN180" i="27"/>
  <c r="EJ180" i="27"/>
  <c r="GF180" i="27"/>
  <c r="EP70" i="27"/>
  <c r="CT70" i="27"/>
  <c r="GL70" i="27"/>
  <c r="CZ263" i="27"/>
  <c r="EV263" i="27"/>
  <c r="GR263" i="27"/>
  <c r="GL257" i="27"/>
  <c r="EP257" i="27"/>
  <c r="CT257" i="27"/>
  <c r="GX171" i="27"/>
  <c r="FB171" i="27"/>
  <c r="DF171" i="27"/>
  <c r="EP15" i="27"/>
  <c r="CT15" i="27"/>
  <c r="GL15" i="27"/>
  <c r="CZ180" i="27"/>
  <c r="EV180" i="27"/>
  <c r="GR180" i="27"/>
  <c r="ED201" i="27"/>
  <c r="CH201" i="27"/>
  <c r="FZ201" i="27"/>
  <c r="GF70" i="27"/>
  <c r="CN70" i="27"/>
  <c r="EJ70" i="27"/>
  <c r="ED40" i="27"/>
  <c r="CH40" i="27"/>
  <c r="FZ40" i="27"/>
  <c r="EP75" i="27"/>
  <c r="CT75" i="27"/>
  <c r="GL75" i="27"/>
  <c r="CN320" i="27"/>
  <c r="GF320" i="27"/>
  <c r="EJ320" i="27"/>
  <c r="GX144" i="27"/>
  <c r="DF144" i="27"/>
  <c r="FB144" i="27"/>
  <c r="CT112" i="27"/>
  <c r="EP112" i="27"/>
  <c r="GL112" i="27"/>
  <c r="GL290" i="27"/>
  <c r="EP290" i="27"/>
  <c r="CT290" i="27"/>
  <c r="EJ104" i="27"/>
  <c r="CN104" i="27"/>
  <c r="GF104" i="27"/>
  <c r="EP131" i="27"/>
  <c r="GL131" i="27"/>
  <c r="CT131" i="27"/>
  <c r="CH298" i="27"/>
  <c r="ED298" i="27"/>
  <c r="FZ298" i="27"/>
  <c r="GF120" i="27"/>
  <c r="EJ120" i="27"/>
  <c r="CN120" i="27"/>
  <c r="EV259" i="27"/>
  <c r="CZ259" i="27"/>
  <c r="GR259" i="27"/>
  <c r="GL233" i="27"/>
  <c r="EP233" i="27"/>
  <c r="CT233" i="27"/>
  <c r="ED112" i="27"/>
  <c r="FZ112" i="27"/>
  <c r="CH112" i="27"/>
  <c r="EV218" i="27"/>
  <c r="GR218" i="27"/>
  <c r="CZ218" i="27"/>
  <c r="GL201" i="27"/>
  <c r="EP201" i="27"/>
  <c r="CT201" i="27"/>
  <c r="GX321" i="27"/>
  <c r="FB321" i="27"/>
  <c r="DF321" i="27"/>
  <c r="CN105" i="27"/>
  <c r="EJ105" i="27"/>
  <c r="GF105" i="27"/>
  <c r="GX299" i="27"/>
  <c r="FB299" i="27"/>
  <c r="DF299" i="27"/>
  <c r="GX20" i="27"/>
  <c r="FB20" i="27"/>
  <c r="DF20" i="27"/>
  <c r="CH325" i="27"/>
  <c r="ED325" i="27"/>
  <c r="FZ325" i="27"/>
  <c r="DF244" i="27"/>
  <c r="FB244" i="27"/>
  <c r="GX244" i="27"/>
  <c r="GR251" i="27"/>
  <c r="CZ251" i="27"/>
  <c r="EV251" i="27"/>
  <c r="CH90" i="27"/>
  <c r="FZ90" i="27"/>
  <c r="ED90" i="27"/>
  <c r="CT170" i="27"/>
  <c r="EP170" i="27"/>
  <c r="GL170" i="27"/>
  <c r="ED11" i="27"/>
  <c r="CH11" i="27"/>
  <c r="FZ11" i="27"/>
  <c r="CZ67" i="27"/>
  <c r="GR67" i="27"/>
  <c r="EV67" i="27"/>
  <c r="CZ322" i="27"/>
  <c r="GR322" i="27"/>
  <c r="EV322" i="27"/>
  <c r="GR126" i="27"/>
  <c r="CZ126" i="27"/>
  <c r="EV126" i="27"/>
  <c r="GX147" i="27"/>
  <c r="FB147" i="27"/>
  <c r="DF147" i="27"/>
  <c r="GF55" i="27"/>
  <c r="EJ55" i="27"/>
  <c r="CN55" i="27"/>
  <c r="CT202" i="27"/>
  <c r="EP202" i="27"/>
  <c r="GL202" i="27"/>
  <c r="ED177" i="27"/>
  <c r="CH177" i="27"/>
  <c r="FZ177" i="27"/>
  <c r="GF248" i="27"/>
  <c r="CN248" i="27"/>
  <c r="EJ248" i="27"/>
  <c r="CH139" i="27"/>
  <c r="ED139" i="27"/>
  <c r="FZ139" i="27"/>
  <c r="EP326" i="27"/>
  <c r="CT326" i="27"/>
  <c r="GL326" i="27"/>
  <c r="GF187" i="27"/>
  <c r="EJ187" i="27"/>
  <c r="CN187" i="27"/>
  <c r="FZ187" i="27"/>
  <c r="ED187" i="27"/>
  <c r="CH187" i="27"/>
  <c r="FZ159" i="27"/>
  <c r="CH159" i="27"/>
  <c r="ED159" i="27"/>
  <c r="FZ241" i="27"/>
  <c r="CH241" i="27"/>
  <c r="ED241" i="27"/>
  <c r="EP54" i="27"/>
  <c r="CT54" i="27"/>
  <c r="GL54" i="27"/>
  <c r="GX67" i="27"/>
  <c r="DF67" i="27"/>
  <c r="FB67" i="27"/>
  <c r="FZ290" i="27"/>
  <c r="ED290" i="27"/>
  <c r="CH290" i="27"/>
  <c r="GR48" i="27"/>
  <c r="EV48" i="27"/>
  <c r="CZ48" i="27"/>
  <c r="FZ243" i="27"/>
  <c r="ED243" i="27"/>
  <c r="CH243" i="27"/>
  <c r="CZ277" i="27"/>
  <c r="GR277" i="27"/>
  <c r="EV277" i="27"/>
  <c r="CH184" i="27"/>
  <c r="FZ184" i="27"/>
  <c r="ED184" i="27"/>
  <c r="EP177" i="27"/>
  <c r="GL177" i="27"/>
  <c r="CT177" i="27"/>
  <c r="EV312" i="27"/>
  <c r="GR312" i="27"/>
  <c r="CZ312" i="27"/>
  <c r="EJ196" i="27"/>
  <c r="GF196" i="27"/>
  <c r="CN196" i="27"/>
  <c r="EV106" i="27"/>
  <c r="GR106" i="27"/>
  <c r="CZ106" i="27"/>
  <c r="CH217" i="27"/>
  <c r="ED217" i="27"/>
  <c r="FZ217" i="27"/>
  <c r="CT295" i="27"/>
  <c r="GL295" i="27"/>
  <c r="EP295" i="27"/>
  <c r="FB104" i="27"/>
  <c r="GX104" i="27"/>
  <c r="DF104" i="27"/>
  <c r="GL97" i="27"/>
  <c r="EP97" i="27"/>
  <c r="CT97" i="27"/>
  <c r="CN101" i="27"/>
  <c r="GF101" i="27"/>
  <c r="EJ101" i="27"/>
  <c r="GR141" i="27"/>
  <c r="EV141" i="27"/>
  <c r="CZ141" i="27"/>
  <c r="GL294" i="27"/>
  <c r="CT294" i="27"/>
  <c r="EP294" i="27"/>
  <c r="EP27" i="27"/>
  <c r="CT27" i="27"/>
  <c r="GL27" i="27"/>
  <c r="EP298" i="27"/>
  <c r="GL298" i="27"/>
  <c r="CT298" i="27"/>
  <c r="GR73" i="27"/>
  <c r="EV73" i="27"/>
  <c r="CZ73" i="27"/>
  <c r="ED185" i="27"/>
  <c r="FZ185" i="27"/>
  <c r="CH185" i="27"/>
  <c r="EJ26" i="27"/>
  <c r="GF26" i="27"/>
  <c r="CN26" i="27"/>
  <c r="FZ12" i="27"/>
  <c r="CH12" i="27"/>
  <c r="ED12" i="27"/>
  <c r="FZ80" i="27"/>
  <c r="ED80" i="27"/>
  <c r="CH80" i="27"/>
  <c r="GX308" i="27"/>
  <c r="FB308" i="27"/>
  <c r="DF308" i="27"/>
  <c r="DF31" i="27"/>
  <c r="FB31" i="27"/>
  <c r="GX31" i="27"/>
  <c r="GX320" i="27"/>
  <c r="FB320" i="27"/>
  <c r="DF320" i="27"/>
  <c r="GF166" i="27"/>
  <c r="CN166" i="27"/>
  <c r="EJ166" i="27"/>
  <c r="CH320" i="27"/>
  <c r="ED320" i="27"/>
  <c r="FZ320" i="27"/>
  <c r="CZ311" i="27"/>
  <c r="GR311" i="27"/>
  <c r="EV311" i="27"/>
  <c r="EJ122" i="27"/>
  <c r="GF122" i="27"/>
  <c r="CN122" i="27"/>
  <c r="DF245" i="27"/>
  <c r="FB245" i="27"/>
  <c r="GX245" i="27"/>
  <c r="EP235" i="27"/>
  <c r="CT235" i="27"/>
  <c r="GL235" i="27"/>
  <c r="GF141" i="27"/>
  <c r="EJ141" i="27"/>
  <c r="CN141" i="27"/>
  <c r="CT139" i="27"/>
  <c r="EP139" i="27"/>
  <c r="GL139" i="27"/>
  <c r="GR103" i="27"/>
  <c r="EV103" i="27"/>
  <c r="CZ103" i="27"/>
  <c r="GL159" i="27"/>
  <c r="CT159" i="27"/>
  <c r="EP159" i="27"/>
  <c r="FB156" i="27"/>
  <c r="GX156" i="27"/>
  <c r="DF156" i="27"/>
  <c r="FB219" i="27"/>
  <c r="GX219" i="27"/>
  <c r="DF219" i="27"/>
  <c r="EP136" i="27"/>
  <c r="GL136" i="27"/>
  <c r="CT136" i="27"/>
  <c r="CN74" i="27"/>
  <c r="GF74" i="27"/>
  <c r="EJ74" i="27"/>
  <c r="GL116" i="27"/>
  <c r="EP116" i="27"/>
  <c r="CT116" i="27"/>
  <c r="FZ175" i="27"/>
  <c r="CH175" i="27"/>
  <c r="ED175" i="27"/>
  <c r="EV230" i="27"/>
  <c r="GR230" i="27"/>
  <c r="CZ230" i="27"/>
  <c r="CZ77" i="27"/>
  <c r="EV77" i="27"/>
  <c r="GR77" i="27"/>
  <c r="CN253" i="27"/>
  <c r="GF253" i="27"/>
  <c r="EJ253" i="27"/>
  <c r="ED262" i="27"/>
  <c r="FZ262" i="27"/>
  <c r="CH262" i="27"/>
  <c r="ED158" i="27"/>
  <c r="FZ158" i="27"/>
  <c r="CH158" i="27"/>
  <c r="GL29" i="27"/>
  <c r="EP29" i="27"/>
  <c r="CT29" i="27"/>
  <c r="GX16" i="27"/>
  <c r="DF16" i="27"/>
  <c r="FB16" i="27"/>
  <c r="GX59" i="27"/>
  <c r="DF59" i="27"/>
  <c r="FB59" i="27"/>
  <c r="FB90" i="27"/>
  <c r="DF90" i="27"/>
  <c r="GX90" i="27"/>
  <c r="CZ115" i="27"/>
  <c r="EV115" i="27"/>
  <c r="GR115" i="27"/>
  <c r="DF288" i="27"/>
  <c r="GX288" i="27"/>
  <c r="FB288" i="27"/>
  <c r="CN69" i="27"/>
  <c r="GF69" i="27"/>
  <c r="EJ69" i="27"/>
  <c r="EV266" i="27"/>
  <c r="CZ266" i="27"/>
  <c r="GR266" i="27"/>
  <c r="CN322" i="27"/>
  <c r="GF322" i="27"/>
  <c r="EJ322" i="27"/>
  <c r="FB309" i="27"/>
  <c r="GX309" i="27"/>
  <c r="DF309" i="27"/>
  <c r="GR164" i="27"/>
  <c r="EV164" i="27"/>
  <c r="CZ164" i="27"/>
  <c r="CH110" i="27"/>
  <c r="FZ110" i="27"/>
  <c r="ED110" i="27"/>
  <c r="GX218" i="27"/>
  <c r="FB218" i="27"/>
  <c r="DF218" i="27"/>
  <c r="CT107" i="27"/>
  <c r="EP107" i="27"/>
  <c r="GL107" i="27"/>
  <c r="FB326" i="27"/>
  <c r="GX326" i="27"/>
  <c r="DF326" i="27"/>
  <c r="CZ319" i="27"/>
  <c r="GR319" i="27"/>
  <c r="EV319" i="27"/>
  <c r="F21" i="3"/>
  <c r="CZ197" i="27"/>
  <c r="GR197" i="27"/>
  <c r="EV197" i="27"/>
  <c r="FZ286" i="27"/>
  <c r="CH286" i="27"/>
  <c r="ED286" i="27"/>
  <c r="EJ303" i="27"/>
  <c r="GF303" i="27"/>
  <c r="CN303" i="27"/>
  <c r="GF311" i="27"/>
  <c r="EJ311" i="27"/>
  <c r="CN311" i="27"/>
  <c r="CT142" i="27"/>
  <c r="EP142" i="27"/>
  <c r="GL142" i="27"/>
  <c r="GR25" i="27"/>
  <c r="EV25" i="27"/>
  <c r="CZ25" i="27"/>
  <c r="GR51" i="27"/>
  <c r="CZ51" i="27"/>
  <c r="EV51" i="27"/>
  <c r="F22" i="3"/>
  <c r="CT221" i="27"/>
  <c r="EP221" i="27"/>
  <c r="GL221" i="27"/>
  <c r="ED180" i="27"/>
  <c r="FZ180" i="27"/>
  <c r="CH180" i="27"/>
  <c r="GL114" i="27"/>
  <c r="CT114" i="27"/>
  <c r="EP114" i="27"/>
  <c r="GX116" i="27"/>
  <c r="DF116" i="27"/>
  <c r="FB116" i="27"/>
  <c r="EP41" i="27"/>
  <c r="GL41" i="27"/>
  <c r="CT41" i="27"/>
  <c r="DF210" i="27"/>
  <c r="FB210" i="27"/>
  <c r="GX210" i="27"/>
  <c r="GR135" i="27"/>
  <c r="EV135" i="27"/>
  <c r="CZ135" i="27"/>
  <c r="FB124" i="27"/>
  <c r="DF124" i="27"/>
  <c r="GX124" i="27"/>
  <c r="EV221" i="27"/>
  <c r="CZ221" i="27"/>
  <c r="GR221" i="27"/>
  <c r="CH235" i="27"/>
  <c r="ED235" i="27"/>
  <c r="FZ235" i="27"/>
  <c r="GX250" i="27"/>
  <c r="FB250" i="27"/>
  <c r="DF250" i="27"/>
  <c r="GR280" i="27"/>
  <c r="CZ280" i="27"/>
  <c r="EV280" i="27"/>
  <c r="EP44" i="27"/>
  <c r="CT44" i="27"/>
  <c r="GL44" i="27"/>
  <c r="CT199" i="27"/>
  <c r="EP199" i="27"/>
  <c r="GL199" i="27"/>
  <c r="DF94" i="27"/>
  <c r="FB94" i="27"/>
  <c r="GX94" i="27"/>
  <c r="EV127" i="27"/>
  <c r="GR127" i="27"/>
  <c r="CZ127" i="27"/>
  <c r="EJ163" i="27"/>
  <c r="GF163" i="27"/>
  <c r="CN163" i="27"/>
  <c r="CZ165" i="27"/>
  <c r="GR165" i="27"/>
  <c r="EV165" i="27"/>
  <c r="CZ50" i="27"/>
  <c r="GR50" i="27"/>
  <c r="EV50" i="27"/>
  <c r="EV233" i="27"/>
  <c r="GR233" i="27"/>
  <c r="CZ233" i="27"/>
  <c r="EP50" i="27"/>
  <c r="GL50" i="27"/>
  <c r="CT50" i="27"/>
  <c r="ED107" i="27"/>
  <c r="CH107" i="27"/>
  <c r="FZ107" i="27"/>
  <c r="DF83" i="27"/>
  <c r="GX83" i="27"/>
  <c r="FB83" i="27"/>
  <c r="FZ81" i="27"/>
  <c r="CH81" i="27"/>
  <c r="ED81" i="27"/>
  <c r="ED245" i="27"/>
  <c r="FZ245" i="27"/>
  <c r="CH245" i="27"/>
  <c r="ED75" i="27"/>
  <c r="CH75" i="27"/>
  <c r="FZ75" i="27"/>
  <c r="FZ223" i="27"/>
  <c r="ED223" i="27"/>
  <c r="CH223" i="27"/>
  <c r="EV317" i="27"/>
  <c r="GR317" i="27"/>
  <c r="CZ317" i="27"/>
  <c r="EJ164" i="27"/>
  <c r="CN164" i="27"/>
  <c r="GF164" i="27"/>
  <c r="ED276" i="27"/>
  <c r="CH276" i="27"/>
  <c r="FZ276" i="27"/>
  <c r="CZ314" i="27"/>
  <c r="GR314" i="27"/>
  <c r="EV314" i="27"/>
  <c r="CZ214" i="27"/>
  <c r="EV214" i="27"/>
  <c r="GR214" i="27"/>
  <c r="CZ63" i="27"/>
  <c r="EV63" i="27"/>
  <c r="GR63" i="27"/>
  <c r="EP212" i="27"/>
  <c r="GL212" i="27"/>
  <c r="CT212" i="27"/>
  <c r="EJ324" i="27"/>
  <c r="GF324" i="27"/>
  <c r="CN324" i="27"/>
  <c r="EV43" i="27"/>
  <c r="CZ43" i="27"/>
  <c r="GR43" i="27"/>
  <c r="ED128" i="27"/>
  <c r="CH128" i="27"/>
  <c r="FZ128" i="27"/>
  <c r="GL289" i="27"/>
  <c r="CT289" i="27"/>
  <c r="EP289" i="27"/>
  <c r="FB127" i="27"/>
  <c r="GX127" i="27"/>
  <c r="DF127" i="27"/>
  <c r="EP282" i="27"/>
  <c r="CT282" i="27"/>
  <c r="GL282" i="27"/>
  <c r="GR32" i="27"/>
  <c r="CZ32" i="27"/>
  <c r="EV32" i="27"/>
  <c r="CZ178" i="27"/>
  <c r="EV178" i="27"/>
  <c r="GR178" i="27"/>
  <c r="GX160" i="27"/>
  <c r="FB160" i="27"/>
  <c r="DF160" i="27"/>
  <c r="FZ268" i="27"/>
  <c r="ED268" i="27"/>
  <c r="CH268" i="27"/>
  <c r="CN59" i="27"/>
  <c r="EJ59" i="27"/>
  <c r="GF59" i="27"/>
  <c r="DF275" i="27"/>
  <c r="FB275" i="27"/>
  <c r="GX275" i="27"/>
  <c r="GL214" i="27"/>
  <c r="CT214" i="27"/>
  <c r="EP214" i="27"/>
  <c r="CH212" i="27"/>
  <c r="ED212" i="27"/>
  <c r="FZ212" i="27"/>
  <c r="EV182" i="27"/>
  <c r="CZ182" i="27"/>
  <c r="GR182" i="27"/>
  <c r="EV12" i="27"/>
  <c r="GR12" i="27"/>
  <c r="CZ12" i="27"/>
  <c r="ED209" i="27"/>
  <c r="FZ209" i="27"/>
  <c r="CH209" i="27"/>
  <c r="EV281" i="27"/>
  <c r="CZ281" i="27"/>
  <c r="GR281" i="27"/>
  <c r="CZ79" i="27"/>
  <c r="GR79" i="27"/>
  <c r="EV79" i="27"/>
  <c r="DF125" i="27"/>
  <c r="GX125" i="27"/>
  <c r="FB125" i="27"/>
  <c r="DF252" i="27"/>
  <c r="GX252" i="27"/>
  <c r="FB252" i="27"/>
  <c r="FB126" i="27"/>
  <c r="GX126" i="27"/>
  <c r="DF126" i="27"/>
  <c r="GX118" i="27"/>
  <c r="FB118" i="27"/>
  <c r="DF118" i="27"/>
  <c r="ED246" i="27"/>
  <c r="CH246" i="27"/>
  <c r="FZ246" i="27"/>
  <c r="GR132" i="27"/>
  <c r="EV132" i="27"/>
  <c r="CZ132" i="27"/>
  <c r="CT248" i="27"/>
  <c r="GL248" i="27"/>
  <c r="EP248" i="27"/>
  <c r="EP311" i="27"/>
  <c r="CT311" i="27"/>
  <c r="GL311" i="27"/>
  <c r="GF181" i="27"/>
  <c r="CN181" i="27"/>
  <c r="EJ181" i="27"/>
  <c r="EJ139" i="27"/>
  <c r="GF139" i="27"/>
  <c r="CN139" i="27"/>
  <c r="CT161" i="27"/>
  <c r="EP161" i="27"/>
  <c r="GL161" i="27"/>
  <c r="GR211" i="27"/>
  <c r="CZ211" i="27"/>
  <c r="EV211" i="27"/>
  <c r="FZ145" i="27"/>
  <c r="ED145" i="27"/>
  <c r="CH145" i="27"/>
  <c r="EJ262" i="27"/>
  <c r="GF262" i="27"/>
  <c r="CN262" i="27"/>
  <c r="GF151" i="27"/>
  <c r="CN151" i="27"/>
  <c r="EJ151" i="27"/>
  <c r="FZ292" i="27"/>
  <c r="ED292" i="27"/>
  <c r="CH292" i="27"/>
  <c r="CH275" i="27"/>
  <c r="ED275" i="27"/>
  <c r="FZ275" i="27"/>
  <c r="CN213" i="27"/>
  <c r="EJ213" i="27"/>
  <c r="GF213" i="27"/>
  <c r="GR205" i="27"/>
  <c r="CZ205" i="27"/>
  <c r="EV205" i="27"/>
  <c r="CN209" i="27"/>
  <c r="GF209" i="27"/>
  <c r="EJ209" i="27"/>
  <c r="EV96" i="27"/>
  <c r="CZ96" i="27"/>
  <c r="GR96" i="27"/>
  <c r="ED183" i="27"/>
  <c r="FZ183" i="27"/>
  <c r="CH183" i="27"/>
  <c r="ED82" i="27"/>
  <c r="FZ82" i="27"/>
  <c r="CH82" i="27"/>
  <c r="DF265" i="27"/>
  <c r="GX265" i="27"/>
  <c r="FB265" i="27"/>
  <c r="GX190" i="27"/>
  <c r="FB190" i="27"/>
  <c r="DF190" i="27"/>
  <c r="EP137" i="27"/>
  <c r="GL137" i="27"/>
  <c r="CT137" i="27"/>
  <c r="CZ179" i="27"/>
  <c r="GR179" i="27"/>
  <c r="EV179" i="27"/>
  <c r="GR28" i="27"/>
  <c r="CZ28" i="27"/>
  <c r="EV28" i="27"/>
  <c r="CN156" i="27"/>
  <c r="GF156" i="27"/>
  <c r="EJ156" i="27"/>
  <c r="GX179" i="27"/>
  <c r="DF179" i="27"/>
  <c r="FB179" i="27"/>
  <c r="GF252" i="27"/>
  <c r="CN252" i="27"/>
  <c r="EJ252" i="27"/>
  <c r="DF172" i="27"/>
  <c r="FB172" i="27"/>
  <c r="GX172" i="27"/>
  <c r="EV184" i="27"/>
  <c r="CZ184" i="27"/>
  <c r="GR184" i="27"/>
  <c r="EJ98" i="27"/>
  <c r="CN98" i="27"/>
  <c r="GF98" i="27"/>
  <c r="FZ136" i="27"/>
  <c r="ED136" i="27"/>
  <c r="CH136" i="27"/>
  <c r="GR308" i="27"/>
  <c r="CZ308" i="27"/>
  <c r="EV308" i="27"/>
  <c r="GX230" i="27"/>
  <c r="FB230" i="27"/>
  <c r="DF230" i="27"/>
  <c r="GF45" i="27"/>
  <c r="EJ45" i="27"/>
  <c r="CN45" i="27"/>
  <c r="FB263" i="27"/>
  <c r="DF263" i="27"/>
  <c r="GX263" i="27"/>
  <c r="ED254" i="27"/>
  <c r="CH254" i="27"/>
  <c r="FZ254" i="27"/>
  <c r="FB248" i="27"/>
  <c r="DF248" i="27"/>
  <c r="GX248" i="27"/>
  <c r="EV242" i="27"/>
  <c r="GR242" i="27"/>
  <c r="CZ242" i="27"/>
  <c r="GX39" i="27"/>
  <c r="DF39" i="27"/>
  <c r="FB39" i="27"/>
  <c r="FZ283" i="27"/>
  <c r="CH283" i="27"/>
  <c r="ED283" i="27"/>
  <c r="EP42" i="27"/>
  <c r="GL42" i="27"/>
  <c r="CT42" i="27"/>
  <c r="ED295" i="27"/>
  <c r="CH295" i="27"/>
  <c r="FZ295" i="27"/>
  <c r="CT21" i="27"/>
  <c r="EP21" i="27"/>
  <c r="GL21" i="27"/>
  <c r="ED119" i="27"/>
  <c r="FZ119" i="27"/>
  <c r="CH119" i="27"/>
  <c r="GR168" i="27"/>
  <c r="CZ168" i="27"/>
  <c r="EV168" i="27"/>
  <c r="CH327" i="27"/>
  <c r="FZ327" i="27"/>
  <c r="CN327" i="27"/>
  <c r="ED327" i="27"/>
  <c r="GF327" i="27"/>
  <c r="CT327" i="27"/>
  <c r="EJ327" i="27"/>
  <c r="GL327" i="27"/>
  <c r="EP327" i="27"/>
  <c r="GR327" i="27"/>
  <c r="EV327" i="27"/>
  <c r="DF327" i="27"/>
  <c r="GX327" i="27"/>
  <c r="FB327" i="27"/>
  <c r="CZ327" i="27"/>
  <c r="BO328" i="27"/>
  <c r="BP328" i="27" s="1"/>
  <c r="BL329" i="27"/>
  <c r="CH328" i="27" l="1"/>
  <c r="FZ328" i="27"/>
  <c r="CN328" i="27"/>
  <c r="ED328" i="27"/>
  <c r="GF328" i="27"/>
  <c r="EJ328" i="27"/>
  <c r="CT328" i="27"/>
  <c r="GL328" i="27"/>
  <c r="EP328" i="27"/>
  <c r="DF328" i="27"/>
  <c r="GX328" i="27"/>
  <c r="FB328" i="27"/>
  <c r="CZ328" i="27"/>
  <c r="GR328" i="27"/>
  <c r="EV328" i="27"/>
  <c r="BO329" i="27"/>
  <c r="BP329" i="27" s="1"/>
  <c r="BL330" i="27"/>
  <c r="CH329" i="27" l="1"/>
  <c r="FZ329" i="27"/>
  <c r="CN329" i="27"/>
  <c r="ED329" i="27"/>
  <c r="GF329" i="27"/>
  <c r="EJ329" i="27"/>
  <c r="CT329" i="27"/>
  <c r="GL329" i="27"/>
  <c r="EP329" i="27"/>
  <c r="CZ329" i="27"/>
  <c r="GR329" i="27"/>
  <c r="EV329" i="27"/>
  <c r="DF329" i="27"/>
  <c r="GX329" i="27"/>
  <c r="FB329" i="27"/>
  <c r="BO330" i="27"/>
  <c r="BP330" i="27" s="1"/>
  <c r="BL331" i="27"/>
  <c r="CT330" i="27" l="1"/>
  <c r="GL330" i="27"/>
  <c r="CH330" i="27"/>
  <c r="EP330" i="27"/>
  <c r="FZ330" i="27"/>
  <c r="ED330" i="27"/>
  <c r="CN330" i="27"/>
  <c r="GF330" i="27"/>
  <c r="CZ330" i="27"/>
  <c r="GR330" i="27"/>
  <c r="EV330" i="27"/>
  <c r="DF330" i="27"/>
  <c r="GX330" i="27"/>
  <c r="FB330" i="27"/>
  <c r="EJ330" i="27"/>
  <c r="BO331" i="27"/>
  <c r="BP331" i="27" s="1"/>
  <c r="BL332" i="27"/>
  <c r="CH331" i="27" l="1"/>
  <c r="FZ331" i="27"/>
  <c r="ED331" i="27"/>
  <c r="CN331" i="27"/>
  <c r="GF331" i="27"/>
  <c r="EJ331" i="27"/>
  <c r="CT331" i="27"/>
  <c r="GL331" i="27"/>
  <c r="EP331" i="27"/>
  <c r="CZ331" i="27"/>
  <c r="GR331" i="27"/>
  <c r="DF331" i="27"/>
  <c r="EV331" i="27"/>
  <c r="GX331" i="27"/>
  <c r="FB331" i="27"/>
  <c r="BO332" i="27"/>
  <c r="BP332" i="27" s="1"/>
  <c r="BL333" i="27"/>
  <c r="CT332" i="27" l="1"/>
  <c r="GL332" i="27"/>
  <c r="CH332" i="27"/>
  <c r="CN332" i="27"/>
  <c r="FZ332" i="27"/>
  <c r="GF332" i="27"/>
  <c r="ED332" i="27"/>
  <c r="EJ332" i="27"/>
  <c r="EP332" i="27"/>
  <c r="CZ332" i="27"/>
  <c r="GR332" i="27"/>
  <c r="EV332" i="27"/>
  <c r="DF332" i="27"/>
  <c r="GX332" i="27"/>
  <c r="FB332" i="27"/>
  <c r="BO333" i="27"/>
  <c r="BP333" i="27" s="1"/>
  <c r="BL334" i="27"/>
  <c r="CH333" i="27" l="1"/>
  <c r="FZ333" i="27"/>
  <c r="ED333" i="27"/>
  <c r="CN333" i="27"/>
  <c r="GF333" i="27"/>
  <c r="DF333" i="27"/>
  <c r="GX333" i="27"/>
  <c r="CT333" i="27"/>
  <c r="FB333" i="27"/>
  <c r="GL333" i="27"/>
  <c r="EP333" i="27"/>
  <c r="EJ333" i="27"/>
  <c r="CZ333" i="27"/>
  <c r="GR333" i="27"/>
  <c r="EV333" i="27"/>
  <c r="BO334" i="27"/>
  <c r="BP334" i="27" s="1"/>
  <c r="BL335" i="27"/>
  <c r="ED334" i="27" l="1"/>
  <c r="CH334" i="27"/>
  <c r="CN334" i="27"/>
  <c r="GF334" i="27"/>
  <c r="EJ334" i="27"/>
  <c r="FZ334" i="27"/>
  <c r="CT334" i="27"/>
  <c r="GL334" i="27"/>
  <c r="EP334" i="27"/>
  <c r="EV334" i="27"/>
  <c r="DF334" i="27"/>
  <c r="CZ334" i="27"/>
  <c r="GX334" i="27"/>
  <c r="GR334" i="27"/>
  <c r="FB334" i="27"/>
  <c r="BO335" i="27"/>
  <c r="BP335" i="27" s="1"/>
  <c r="BL336" i="27"/>
  <c r="CH335" i="27" l="1"/>
  <c r="FZ335" i="27"/>
  <c r="ED335" i="27"/>
  <c r="CN335" i="27"/>
  <c r="CT335" i="27"/>
  <c r="GF335" i="27"/>
  <c r="GL335" i="27"/>
  <c r="EJ335" i="27"/>
  <c r="EP335" i="27"/>
  <c r="CZ335" i="27"/>
  <c r="GR335" i="27"/>
  <c r="EV335" i="27"/>
  <c r="DF335" i="27"/>
  <c r="GX335" i="27"/>
  <c r="FB335" i="27"/>
  <c r="BO336" i="27"/>
  <c r="BP336" i="27" s="1"/>
  <c r="BL337" i="27"/>
  <c r="CH336" i="27" l="1"/>
  <c r="FZ336" i="27"/>
  <c r="ED336" i="27"/>
  <c r="EJ336" i="27"/>
  <c r="CT336" i="27"/>
  <c r="GL336" i="27"/>
  <c r="EP336" i="27"/>
  <c r="CN336" i="27"/>
  <c r="FB336" i="27"/>
  <c r="CZ336" i="27"/>
  <c r="GR336" i="27"/>
  <c r="EV336" i="27"/>
  <c r="GF336" i="27"/>
  <c r="DF336" i="27"/>
  <c r="GX336" i="27"/>
  <c r="BO337" i="27"/>
  <c r="BP337" i="27" s="1"/>
  <c r="BL338" i="27"/>
  <c r="CH337" i="27" l="1"/>
  <c r="FZ337" i="27"/>
  <c r="ED337" i="27"/>
  <c r="CN337" i="27"/>
  <c r="GF337" i="27"/>
  <c r="EJ337" i="27"/>
  <c r="CT337" i="27"/>
  <c r="GL337" i="27"/>
  <c r="EP337" i="27"/>
  <c r="DF337" i="27"/>
  <c r="GX337" i="27"/>
  <c r="FB337" i="27"/>
  <c r="CZ337" i="27"/>
  <c r="GR337" i="27"/>
  <c r="EV337" i="27"/>
  <c r="BO338" i="27"/>
  <c r="BP338" i="27" s="1"/>
  <c r="BL339" i="27"/>
  <c r="CH338" i="27" l="1"/>
  <c r="FZ338" i="27"/>
  <c r="ED338" i="27"/>
  <c r="EJ338" i="27"/>
  <c r="EP338" i="27"/>
  <c r="CN338" i="27"/>
  <c r="CT338" i="27"/>
  <c r="DF338" i="27"/>
  <c r="CZ338" i="27"/>
  <c r="GX338" i="27"/>
  <c r="GR338" i="27"/>
  <c r="FB338" i="27"/>
  <c r="EV338" i="27"/>
  <c r="GF338" i="27"/>
  <c r="GL338" i="27"/>
  <c r="BO339" i="27"/>
  <c r="BP339" i="27" s="1"/>
  <c r="BL340" i="27"/>
  <c r="CH339" i="27" l="1"/>
  <c r="FZ339" i="27"/>
  <c r="ED339" i="27"/>
  <c r="GL339" i="27"/>
  <c r="EP339" i="27"/>
  <c r="CN339" i="27"/>
  <c r="GF339" i="27"/>
  <c r="EJ339" i="27"/>
  <c r="CZ339" i="27"/>
  <c r="GR339" i="27"/>
  <c r="EV339" i="27"/>
  <c r="DF339" i="27"/>
  <c r="GX339" i="27"/>
  <c r="FB339" i="27"/>
  <c r="CT339" i="27"/>
  <c r="BO340" i="27"/>
  <c r="BP340" i="27" s="1"/>
  <c r="BL341" i="27"/>
  <c r="ED340" i="27" l="1"/>
  <c r="CT340" i="27"/>
  <c r="CN340" i="27"/>
  <c r="GL340" i="27"/>
  <c r="GF340" i="27"/>
  <c r="EP340" i="27"/>
  <c r="EJ340" i="27"/>
  <c r="CH340" i="27"/>
  <c r="FZ340" i="27"/>
  <c r="DF340" i="27"/>
  <c r="GX340" i="27"/>
  <c r="FB340" i="27"/>
  <c r="CZ340" i="27"/>
  <c r="GR340" i="27"/>
  <c r="EV340" i="27"/>
  <c r="BO341" i="27"/>
  <c r="BP341" i="27" s="1"/>
  <c r="BL342" i="27"/>
  <c r="CH341" i="27" l="1"/>
  <c r="FZ341" i="27"/>
  <c r="ED341" i="27"/>
  <c r="EP341" i="27"/>
  <c r="CN341" i="27"/>
  <c r="GF341" i="27"/>
  <c r="EJ341" i="27"/>
  <c r="CT341" i="27"/>
  <c r="GR341" i="27"/>
  <c r="EV341" i="27"/>
  <c r="GL341" i="27"/>
  <c r="DF341" i="27"/>
  <c r="GX341" i="27"/>
  <c r="FB341" i="27"/>
  <c r="CZ341" i="27"/>
  <c r="BO342" i="27"/>
  <c r="BP342" i="27" s="1"/>
  <c r="BL343" i="27"/>
  <c r="EJ342" i="27" l="1"/>
  <c r="CT342" i="27"/>
  <c r="CH342" i="27"/>
  <c r="GL342" i="27"/>
  <c r="FZ342" i="27"/>
  <c r="CN342" i="27"/>
  <c r="EP342" i="27"/>
  <c r="DF342" i="27"/>
  <c r="GX342" i="27"/>
  <c r="FB342" i="27"/>
  <c r="ED342" i="27"/>
  <c r="CZ342" i="27"/>
  <c r="GF342" i="27"/>
  <c r="GR342" i="27"/>
  <c r="EV342" i="27"/>
  <c r="BO343" i="27"/>
  <c r="BP343" i="27" s="1"/>
  <c r="BL344" i="27"/>
  <c r="CH343" i="27" l="1"/>
  <c r="FZ343" i="27"/>
  <c r="CN343" i="27"/>
  <c r="ED343" i="27"/>
  <c r="GF343" i="27"/>
  <c r="CT343" i="27"/>
  <c r="EJ343" i="27"/>
  <c r="GL343" i="27"/>
  <c r="EP343" i="27"/>
  <c r="CZ343" i="27"/>
  <c r="GR343" i="27"/>
  <c r="EV343" i="27"/>
  <c r="DF343" i="27"/>
  <c r="GX343" i="27"/>
  <c r="FB343" i="27"/>
  <c r="BO344" i="27"/>
  <c r="BP344" i="27" s="1"/>
  <c r="BL345" i="27"/>
  <c r="CH344" i="27" l="1"/>
  <c r="FZ344" i="27"/>
  <c r="CN344" i="27"/>
  <c r="ED344" i="27"/>
  <c r="GF344" i="27"/>
  <c r="EJ344" i="27"/>
  <c r="CT344" i="27"/>
  <c r="GL344" i="27"/>
  <c r="EP344" i="27"/>
  <c r="DF344" i="27"/>
  <c r="GX344" i="27"/>
  <c r="FB344" i="27"/>
  <c r="CZ344" i="27"/>
  <c r="GR344" i="27"/>
  <c r="EV344" i="27"/>
  <c r="BO345" i="27"/>
  <c r="BP345" i="27" s="1"/>
  <c r="BL346" i="27"/>
  <c r="CH345" i="27" l="1"/>
  <c r="FZ345" i="27"/>
  <c r="CN345" i="27"/>
  <c r="ED345" i="27"/>
  <c r="GF345" i="27"/>
  <c r="EJ345" i="27"/>
  <c r="CT345" i="27"/>
  <c r="GL345" i="27"/>
  <c r="EP345" i="27"/>
  <c r="CZ345" i="27"/>
  <c r="GR345" i="27"/>
  <c r="EV345" i="27"/>
  <c r="DF345" i="27"/>
  <c r="GX345" i="27"/>
  <c r="FB345" i="27"/>
  <c r="BO346" i="27"/>
  <c r="BP346" i="27" s="1"/>
  <c r="BL347" i="27"/>
  <c r="CN346" i="27" l="1"/>
  <c r="GF346" i="27"/>
  <c r="EJ346" i="27"/>
  <c r="CT346" i="27"/>
  <c r="GL346" i="27"/>
  <c r="CH346" i="27"/>
  <c r="EP346" i="27"/>
  <c r="FZ346" i="27"/>
  <c r="ED346" i="27"/>
  <c r="CZ346" i="27"/>
  <c r="GR346" i="27"/>
  <c r="EV346" i="27"/>
  <c r="DF346" i="27"/>
  <c r="GX346" i="27"/>
  <c r="FB346" i="27"/>
  <c r="BO347" i="27"/>
  <c r="BP347" i="27" s="1"/>
  <c r="BL348" i="27"/>
  <c r="EJ347" i="27" l="1"/>
  <c r="CT347" i="27"/>
  <c r="GL347" i="27"/>
  <c r="EP347" i="27"/>
  <c r="CH347" i="27"/>
  <c r="FZ347" i="27"/>
  <c r="ED347" i="27"/>
  <c r="CN347" i="27"/>
  <c r="GF347" i="27"/>
  <c r="EV347" i="27"/>
  <c r="GX347" i="27"/>
  <c r="FB347" i="27"/>
  <c r="CZ347" i="27"/>
  <c r="GR347" i="27"/>
  <c r="DF347" i="27"/>
  <c r="BO348" i="27"/>
  <c r="BP348" i="27" s="1"/>
  <c r="BL349" i="27"/>
  <c r="ED348" i="27" l="1"/>
  <c r="EJ348" i="27"/>
  <c r="CT348" i="27"/>
  <c r="GL348" i="27"/>
  <c r="EP348" i="27"/>
  <c r="CH348" i="27"/>
  <c r="CN348" i="27"/>
  <c r="GF348" i="27"/>
  <c r="CZ348" i="27"/>
  <c r="GR348" i="27"/>
  <c r="EV348" i="27"/>
  <c r="DF348" i="27"/>
  <c r="GX348" i="27"/>
  <c r="FB348" i="27"/>
  <c r="FZ348" i="27"/>
  <c r="BO349" i="27"/>
  <c r="BP349" i="27" s="1"/>
  <c r="BL350" i="27"/>
  <c r="CN349" i="27" l="1"/>
  <c r="GF349" i="27"/>
  <c r="EJ349" i="27"/>
  <c r="CH349" i="27"/>
  <c r="FZ349" i="27"/>
  <c r="ED349" i="27"/>
  <c r="EV349" i="27"/>
  <c r="DF349" i="27"/>
  <c r="GX349" i="27"/>
  <c r="CT349" i="27"/>
  <c r="FB349" i="27"/>
  <c r="GL349" i="27"/>
  <c r="EP349" i="27"/>
  <c r="CZ349" i="27"/>
  <c r="GR349" i="27"/>
  <c r="BO350" i="27"/>
  <c r="BP350" i="27" s="1"/>
  <c r="BL351" i="27"/>
  <c r="CH350" i="27" l="1"/>
  <c r="FZ350" i="27"/>
  <c r="ED350" i="27"/>
  <c r="GL350" i="27"/>
  <c r="EP350" i="27"/>
  <c r="CN350" i="27"/>
  <c r="GF350" i="27"/>
  <c r="EJ350" i="27"/>
  <c r="CZ350" i="27"/>
  <c r="GR350" i="27"/>
  <c r="EV350" i="27"/>
  <c r="DF350" i="27"/>
  <c r="GX350" i="27"/>
  <c r="FB350" i="27"/>
  <c r="CT350" i="27"/>
  <c r="BO351" i="27"/>
  <c r="BP351" i="27" s="1"/>
  <c r="BL352" i="27"/>
  <c r="CH351" i="27" l="1"/>
  <c r="FZ351" i="27"/>
  <c r="ED351" i="27"/>
  <c r="CN351" i="27"/>
  <c r="GF351" i="27"/>
  <c r="EJ351" i="27"/>
  <c r="CT351" i="27"/>
  <c r="GL351" i="27"/>
  <c r="EP351" i="27"/>
  <c r="CZ351" i="27"/>
  <c r="GR351" i="27"/>
  <c r="EV351" i="27"/>
  <c r="DF351" i="27"/>
  <c r="GX351" i="27"/>
  <c r="FB351" i="27"/>
  <c r="BO352" i="27"/>
  <c r="BP352" i="27" s="1"/>
  <c r="BL353" i="27"/>
  <c r="CH352" i="27" l="1"/>
  <c r="FZ352" i="27"/>
  <c r="ED352" i="27"/>
  <c r="EP352" i="27"/>
  <c r="CN352" i="27"/>
  <c r="GF352" i="27"/>
  <c r="EJ352" i="27"/>
  <c r="CT352" i="27"/>
  <c r="DF352" i="27"/>
  <c r="GX352" i="27"/>
  <c r="FB352" i="27"/>
  <c r="CZ352" i="27"/>
  <c r="GR352" i="27"/>
  <c r="EV352" i="27"/>
  <c r="GL352" i="27"/>
  <c r="BO353" i="27"/>
  <c r="BP353" i="27" s="1"/>
  <c r="BL354" i="27"/>
  <c r="CH353" i="27" l="1"/>
  <c r="FZ353" i="27"/>
  <c r="ED353" i="27"/>
  <c r="CT353" i="27"/>
  <c r="GL353" i="27"/>
  <c r="EP353" i="27"/>
  <c r="CN353" i="27"/>
  <c r="GF353" i="27"/>
  <c r="EJ353" i="27"/>
  <c r="CZ353" i="27"/>
  <c r="GR353" i="27"/>
  <c r="EV353" i="27"/>
  <c r="DF353" i="27"/>
  <c r="GX353" i="27"/>
  <c r="FB353" i="27"/>
  <c r="BO354" i="27"/>
  <c r="BP354" i="27" s="1"/>
  <c r="BL355" i="27"/>
  <c r="CH354" i="27" l="1"/>
  <c r="FZ354" i="27"/>
  <c r="ED354" i="27"/>
  <c r="CN354" i="27"/>
  <c r="CT354" i="27"/>
  <c r="GF354" i="27"/>
  <c r="GL354" i="27"/>
  <c r="EJ354" i="27"/>
  <c r="EP354" i="27"/>
  <c r="DF354" i="27"/>
  <c r="CZ354" i="27"/>
  <c r="GX354" i="27"/>
  <c r="GR354" i="27"/>
  <c r="FB354" i="27"/>
  <c r="EV354" i="27"/>
  <c r="BO355" i="27"/>
  <c r="BP355" i="27" s="1"/>
  <c r="BL356" i="27"/>
  <c r="CH355" i="27" l="1"/>
  <c r="FZ355" i="27"/>
  <c r="ED355" i="27"/>
  <c r="CT355" i="27"/>
  <c r="GL355" i="27"/>
  <c r="EP355" i="27"/>
  <c r="CN355" i="27"/>
  <c r="GF355" i="27"/>
  <c r="EJ355" i="27"/>
  <c r="CZ355" i="27"/>
  <c r="GR355" i="27"/>
  <c r="EV355" i="27"/>
  <c r="DF355" i="27"/>
  <c r="GX355" i="27"/>
  <c r="FB355" i="27"/>
  <c r="BO356" i="27"/>
  <c r="BP356" i="27" s="1"/>
  <c r="BL357" i="27"/>
  <c r="CH356" i="27" l="1"/>
  <c r="FZ356" i="27"/>
  <c r="ED356" i="27"/>
  <c r="CT356" i="27"/>
  <c r="CN356" i="27"/>
  <c r="GL356" i="27"/>
  <c r="GF356" i="27"/>
  <c r="EP356" i="27"/>
  <c r="EJ356" i="27"/>
  <c r="DF356" i="27"/>
  <c r="GX356" i="27"/>
  <c r="FB356" i="27"/>
  <c r="CZ356" i="27"/>
  <c r="GR356" i="27"/>
  <c r="EV356" i="27"/>
  <c r="BO357" i="27"/>
  <c r="BP357" i="27" s="1"/>
  <c r="BL358" i="27"/>
  <c r="CH357" i="27" l="1"/>
  <c r="FZ357" i="27"/>
  <c r="ED357" i="27"/>
  <c r="CT357" i="27"/>
  <c r="GL357" i="27"/>
  <c r="EP357" i="27"/>
  <c r="CN357" i="27"/>
  <c r="GF357" i="27"/>
  <c r="EJ357" i="27"/>
  <c r="GX357" i="27"/>
  <c r="FB357" i="27"/>
  <c r="CZ357" i="27"/>
  <c r="GR357" i="27"/>
  <c r="EV357" i="27"/>
  <c r="DF357" i="27"/>
  <c r="BO358" i="27"/>
  <c r="BP358" i="27" s="1"/>
  <c r="BL359" i="27"/>
  <c r="CH358" i="27" l="1"/>
  <c r="GL358" i="27"/>
  <c r="FZ358" i="27"/>
  <c r="CN358" i="27"/>
  <c r="EP358" i="27"/>
  <c r="ED358" i="27"/>
  <c r="GF358" i="27"/>
  <c r="EJ358" i="27"/>
  <c r="DF358" i="27"/>
  <c r="GX358" i="27"/>
  <c r="FB358" i="27"/>
  <c r="CZ358" i="27"/>
  <c r="CT358" i="27"/>
  <c r="GR358" i="27"/>
  <c r="EV358" i="27"/>
  <c r="BO359" i="27"/>
  <c r="BP359" i="27" s="1"/>
  <c r="BL360" i="27"/>
  <c r="ED359" i="27" l="1"/>
  <c r="GF359" i="27"/>
  <c r="CT359" i="27"/>
  <c r="EJ359" i="27"/>
  <c r="GL359" i="27"/>
  <c r="EP359" i="27"/>
  <c r="CH359" i="27"/>
  <c r="GX359" i="27"/>
  <c r="FB359" i="27"/>
  <c r="CZ359" i="27"/>
  <c r="GR359" i="27"/>
  <c r="EV359" i="27"/>
  <c r="FZ359" i="27"/>
  <c r="CN359" i="27"/>
  <c r="DF359" i="27"/>
  <c r="BO360" i="27"/>
  <c r="BP360" i="27" s="1"/>
  <c r="BL361" i="27"/>
  <c r="EP360" i="27" l="1"/>
  <c r="CH360" i="27"/>
  <c r="FZ360" i="27"/>
  <c r="CN360" i="27"/>
  <c r="ED360" i="27"/>
  <c r="GF360" i="27"/>
  <c r="EJ360" i="27"/>
  <c r="CT360" i="27"/>
  <c r="CZ360" i="27"/>
  <c r="GR360" i="27"/>
  <c r="EV360" i="27"/>
  <c r="GL360" i="27"/>
  <c r="DF360" i="27"/>
  <c r="GX360" i="27"/>
  <c r="FB360" i="27"/>
  <c r="BO361" i="27"/>
  <c r="BP361" i="27" s="1"/>
  <c r="BL362" i="27"/>
  <c r="CH361" i="27" l="1"/>
  <c r="FZ361" i="27"/>
  <c r="CN361" i="27"/>
  <c r="ED361" i="27"/>
  <c r="GF361" i="27"/>
  <c r="EJ361" i="27"/>
  <c r="CT361" i="27"/>
  <c r="GL361" i="27"/>
  <c r="EP361" i="27"/>
  <c r="GX361" i="27"/>
  <c r="FB361" i="27"/>
  <c r="CZ361" i="27"/>
  <c r="GR361" i="27"/>
  <c r="EV361" i="27"/>
  <c r="DF361" i="27"/>
  <c r="BO362" i="27"/>
  <c r="BP362" i="27" s="1"/>
  <c r="BL363" i="27"/>
  <c r="ED362" i="27" l="1"/>
  <c r="CN362" i="27"/>
  <c r="GF362" i="27"/>
  <c r="EJ362" i="27"/>
  <c r="CT362" i="27"/>
  <c r="GL362" i="27"/>
  <c r="CH362" i="27"/>
  <c r="EP362" i="27"/>
  <c r="FZ362" i="27"/>
  <c r="CZ362" i="27"/>
  <c r="GR362" i="27"/>
  <c r="EV362" i="27"/>
  <c r="DF362" i="27"/>
  <c r="GX362" i="27"/>
  <c r="FB362" i="27"/>
  <c r="BO363" i="27"/>
  <c r="BP363" i="27" s="1"/>
  <c r="BL364" i="27"/>
  <c r="CN363" i="27" l="1"/>
  <c r="GF363" i="27"/>
  <c r="EJ363" i="27"/>
  <c r="CT363" i="27"/>
  <c r="GL363" i="27"/>
  <c r="EP363" i="27"/>
  <c r="CH363" i="27"/>
  <c r="FZ363" i="27"/>
  <c r="ED363" i="27"/>
  <c r="CZ363" i="27"/>
  <c r="GR363" i="27"/>
  <c r="DF363" i="27"/>
  <c r="EV363" i="27"/>
  <c r="GX363" i="27"/>
  <c r="FB363" i="27"/>
  <c r="BO364" i="27"/>
  <c r="BP364" i="27" s="1"/>
  <c r="BL365" i="27"/>
  <c r="CH364" i="27" l="1"/>
  <c r="CN364" i="27"/>
  <c r="FZ364" i="27"/>
  <c r="GF364" i="27"/>
  <c r="ED364" i="27"/>
  <c r="EJ364" i="27"/>
  <c r="CT364" i="27"/>
  <c r="GL364" i="27"/>
  <c r="EP364" i="27"/>
  <c r="CZ364" i="27"/>
  <c r="GR364" i="27"/>
  <c r="EV364" i="27"/>
  <c r="DF364" i="27"/>
  <c r="GX364" i="27"/>
  <c r="FB364" i="27"/>
  <c r="BO365" i="27"/>
  <c r="BP365" i="27" s="1"/>
  <c r="CN365" i="27" l="1"/>
  <c r="GF365" i="27"/>
  <c r="EJ365" i="27"/>
  <c r="CH365" i="27"/>
  <c r="FZ365" i="27"/>
  <c r="ED365" i="27"/>
  <c r="CZ365" i="27"/>
  <c r="GR365" i="27"/>
  <c r="EV365" i="27"/>
  <c r="DF365" i="27"/>
  <c r="GX365" i="27"/>
  <c r="CT365" i="27"/>
  <c r="FB365" i="27"/>
  <c r="GL365" i="27"/>
  <c r="EP365" i="27"/>
  <c r="G10" i="5" l="1"/>
  <c r="Q10" i="5" s="1"/>
  <c r="X11" i="5"/>
  <c r="X7" i="5"/>
  <c r="X8" i="5"/>
  <c r="X12" i="5"/>
  <c r="X9" i="5"/>
  <c r="X10" i="5"/>
  <c r="X13" i="5"/>
  <c r="X6" i="5"/>
  <c r="X5" i="5"/>
  <c r="AB4" i="3" l="1"/>
  <c r="L8" i="31" s="1"/>
  <c r="AF8" i="31" s="1"/>
  <c r="AB8" i="3"/>
  <c r="AH8" i="3" s="1"/>
  <c r="AB11" i="3"/>
  <c r="L15" i="31" s="1"/>
  <c r="AF15" i="31" s="1"/>
  <c r="AB10" i="3"/>
  <c r="L14" i="31" s="1"/>
  <c r="AF14" i="31" s="1"/>
  <c r="AB7" i="3"/>
  <c r="L11" i="31" s="1"/>
  <c r="AF11" i="31" s="1"/>
  <c r="AB9" i="3"/>
  <c r="L13" i="31" s="1"/>
  <c r="AF13" i="31" s="1"/>
  <c r="AB12" i="3"/>
  <c r="L16" i="31" s="1"/>
  <c r="AF16" i="31" s="1"/>
  <c r="AB6" i="3"/>
  <c r="AH6" i="3" s="1"/>
  <c r="AB5" i="3"/>
  <c r="L9" i="31" s="1"/>
  <c r="AF9" i="31" s="1"/>
  <c r="H10" i="5"/>
  <c r="R10" i="5" s="1"/>
  <c r="G11" i="5"/>
  <c r="Q11" i="5" s="1"/>
  <c r="Y5" i="5"/>
  <c r="X22" i="5"/>
  <c r="Y6" i="5"/>
  <c r="Y10" i="5"/>
  <c r="Y12" i="5"/>
  <c r="X21" i="5"/>
  <c r="X16" i="5"/>
  <c r="Y8" i="5"/>
  <c r="Y11" i="5"/>
  <c r="Y13" i="5"/>
  <c r="X23" i="5"/>
  <c r="X15" i="5"/>
  <c r="X19" i="5"/>
  <c r="X18" i="5"/>
  <c r="Y9" i="5"/>
  <c r="X17" i="5"/>
  <c r="X14" i="5"/>
  <c r="Y7" i="5"/>
  <c r="X20" i="5"/>
  <c r="AH7" i="3" l="1"/>
  <c r="AH9" i="3"/>
  <c r="AH10" i="3"/>
  <c r="L10" i="31"/>
  <c r="AF10" i="31" s="1"/>
  <c r="AH12" i="3"/>
  <c r="AH11" i="3"/>
  <c r="AH5" i="3"/>
  <c r="L12" i="31"/>
  <c r="AF12" i="31" s="1"/>
  <c r="BD12" i="31" s="1"/>
  <c r="AH4" i="3"/>
  <c r="AC7" i="3"/>
  <c r="AC11" i="3"/>
  <c r="AI11" i="3" s="1"/>
  <c r="AC4" i="3"/>
  <c r="AI4" i="3" s="1"/>
  <c r="AC10" i="3"/>
  <c r="M14" i="31" s="1"/>
  <c r="AG14" i="31" s="1"/>
  <c r="AC8" i="3"/>
  <c r="M12" i="31" s="1"/>
  <c r="AG12" i="31" s="1"/>
  <c r="AC6" i="3"/>
  <c r="AI6" i="3" s="1"/>
  <c r="AC5" i="3"/>
  <c r="AI5" i="3" s="1"/>
  <c r="AC9" i="3"/>
  <c r="AI9" i="3" s="1"/>
  <c r="AC12" i="3"/>
  <c r="AI12" i="3" s="1"/>
  <c r="AB19" i="3"/>
  <c r="AB17" i="3"/>
  <c r="AB21" i="3"/>
  <c r="AB16" i="3"/>
  <c r="AB13" i="3"/>
  <c r="AB20" i="3"/>
  <c r="AB18" i="3"/>
  <c r="AB14" i="3"/>
  <c r="AB22" i="3"/>
  <c r="AB15" i="3"/>
  <c r="M8" i="31"/>
  <c r="AG8" i="31" s="1"/>
  <c r="AI8" i="3"/>
  <c r="BD13" i="31"/>
  <c r="AR13" i="31"/>
  <c r="AX13" i="31" s="1"/>
  <c r="BD11" i="31"/>
  <c r="AR11" i="31"/>
  <c r="AX11" i="31" s="1"/>
  <c r="BD14" i="31"/>
  <c r="AR14" i="31"/>
  <c r="AX14" i="31" s="1"/>
  <c r="BD15" i="31"/>
  <c r="AR15" i="31"/>
  <c r="AX15" i="31" s="1"/>
  <c r="BD8" i="31"/>
  <c r="AR8" i="31"/>
  <c r="AX8" i="31" s="1"/>
  <c r="BD10" i="31"/>
  <c r="AR10" i="31"/>
  <c r="AX10" i="31" s="1"/>
  <c r="BD16" i="31"/>
  <c r="AR16" i="31"/>
  <c r="AX16" i="31" s="1"/>
  <c r="M11" i="31"/>
  <c r="AG11" i="31" s="1"/>
  <c r="AI7" i="3"/>
  <c r="BD9" i="31"/>
  <c r="AR9" i="31"/>
  <c r="AX9" i="31" s="1"/>
  <c r="I10" i="5"/>
  <c r="S10" i="5" s="1"/>
  <c r="H11" i="5"/>
  <c r="R11" i="5" s="1"/>
  <c r="G12" i="5"/>
  <c r="Q12" i="5" s="1"/>
  <c r="I11" i="5"/>
  <c r="S11" i="5" s="1"/>
  <c r="J10" i="5"/>
  <c r="T10" i="5" s="1"/>
  <c r="G14" i="5"/>
  <c r="Q14" i="5" s="1"/>
  <c r="Z12" i="5"/>
  <c r="X26" i="5"/>
  <c r="Z9" i="5"/>
  <c r="X25" i="5"/>
  <c r="L6" i="27"/>
  <c r="Y17" i="5"/>
  <c r="Y16" i="5"/>
  <c r="AA10" i="5"/>
  <c r="AA7" i="5"/>
  <c r="Z23" i="5"/>
  <c r="Y19" i="5"/>
  <c r="X24" i="5"/>
  <c r="Y23" i="5"/>
  <c r="Y20" i="5"/>
  <c r="Z14" i="5"/>
  <c r="Y22" i="5"/>
  <c r="X28" i="5"/>
  <c r="AA12" i="5"/>
  <c r="AA8" i="5"/>
  <c r="Z8" i="5"/>
  <c r="Z22" i="5"/>
  <c r="Y21" i="5"/>
  <c r="Z17" i="5"/>
  <c r="Z20" i="5"/>
  <c r="Z19" i="5"/>
  <c r="Y15" i="5"/>
  <c r="Z7" i="5"/>
  <c r="Z10" i="5"/>
  <c r="X27" i="5"/>
  <c r="AA13" i="5"/>
  <c r="X30" i="5"/>
  <c r="AA14" i="5"/>
  <c r="AA11" i="5"/>
  <c r="Z18" i="5"/>
  <c r="Z21" i="5"/>
  <c r="X32" i="5"/>
  <c r="X31" i="5"/>
  <c r="Y18" i="5"/>
  <c r="AA5" i="5"/>
  <c r="AA9" i="5"/>
  <c r="Z13" i="5"/>
  <c r="Z6" i="5"/>
  <c r="Z5" i="5"/>
  <c r="Z11" i="5"/>
  <c r="X29" i="5"/>
  <c r="AA6" i="5"/>
  <c r="L7" i="27"/>
  <c r="Y14" i="5"/>
  <c r="Z16" i="5"/>
  <c r="Z15" i="5"/>
  <c r="M9" i="31" l="1"/>
  <c r="AG9" i="31" s="1"/>
  <c r="AR12" i="31"/>
  <c r="AX12" i="31" s="1"/>
  <c r="M16" i="31"/>
  <c r="AG16" i="31" s="1"/>
  <c r="BE16" i="31" s="1"/>
  <c r="M15" i="31"/>
  <c r="AG15" i="31" s="1"/>
  <c r="M10" i="31"/>
  <c r="AG10" i="31" s="1"/>
  <c r="BE10" i="31" s="1"/>
  <c r="M13" i="31"/>
  <c r="AG13" i="31" s="1"/>
  <c r="BE13" i="31" s="1"/>
  <c r="AI10" i="3"/>
  <c r="AE4" i="3"/>
  <c r="O8" i="31" s="1"/>
  <c r="AI8" i="31" s="1"/>
  <c r="AE13" i="3"/>
  <c r="O17" i="31" s="1"/>
  <c r="AI17" i="31" s="1"/>
  <c r="AE10" i="3"/>
  <c r="O14" i="31" s="1"/>
  <c r="AI14" i="31" s="1"/>
  <c r="AE5" i="3"/>
  <c r="AK5" i="3" s="1"/>
  <c r="AE9" i="3"/>
  <c r="AK9" i="3" s="1"/>
  <c r="AE7" i="3"/>
  <c r="O11" i="31" s="1"/>
  <c r="AI11" i="31" s="1"/>
  <c r="AE8" i="3"/>
  <c r="O12" i="31" s="1"/>
  <c r="AI12" i="31" s="1"/>
  <c r="AE12" i="3"/>
  <c r="O16" i="31" s="1"/>
  <c r="AI16" i="31" s="1"/>
  <c r="AE6" i="3"/>
  <c r="AK6" i="3" s="1"/>
  <c r="AE11" i="3"/>
  <c r="O15" i="31" s="1"/>
  <c r="AI15" i="31" s="1"/>
  <c r="AD19" i="3"/>
  <c r="N23" i="31" s="1"/>
  <c r="AH23" i="31" s="1"/>
  <c r="AD22" i="3"/>
  <c r="N26" i="31" s="1"/>
  <c r="AH26" i="31" s="1"/>
  <c r="AD12" i="3"/>
  <c r="N16" i="31" s="1"/>
  <c r="AH16" i="31" s="1"/>
  <c r="AD21" i="3"/>
  <c r="N25" i="31" s="1"/>
  <c r="AH25" i="31" s="1"/>
  <c r="AD10" i="3"/>
  <c r="N14" i="31" s="1"/>
  <c r="AH14" i="31" s="1"/>
  <c r="AD17" i="3"/>
  <c r="AD6" i="3"/>
  <c r="N10" i="31" s="1"/>
  <c r="AH10" i="31" s="1"/>
  <c r="AD11" i="3"/>
  <c r="AJ11" i="3" s="1"/>
  <c r="AD20" i="3"/>
  <c r="N24" i="31" s="1"/>
  <c r="AH24" i="31" s="1"/>
  <c r="AD4" i="3"/>
  <c r="N8" i="31" s="1"/>
  <c r="AH8" i="31" s="1"/>
  <c r="AD13" i="3"/>
  <c r="N17" i="31" s="1"/>
  <c r="AH17" i="31" s="1"/>
  <c r="AD14" i="3"/>
  <c r="AJ14" i="3" s="1"/>
  <c r="AD16" i="3"/>
  <c r="N20" i="31" s="1"/>
  <c r="AH20" i="31" s="1"/>
  <c r="AD5" i="3"/>
  <c r="AJ5" i="3" s="1"/>
  <c r="AD8" i="3"/>
  <c r="AJ8" i="3" s="1"/>
  <c r="AD7" i="3"/>
  <c r="AJ7" i="3" s="1"/>
  <c r="AD18" i="3"/>
  <c r="N22" i="31" s="1"/>
  <c r="AH22" i="31" s="1"/>
  <c r="AD15" i="3"/>
  <c r="N19" i="31" s="1"/>
  <c r="AH19" i="31" s="1"/>
  <c r="AD9" i="3"/>
  <c r="N13" i="31" s="1"/>
  <c r="AH13" i="31" s="1"/>
  <c r="EC7" i="27"/>
  <c r="CG7" i="27"/>
  <c r="FY7" i="27"/>
  <c r="AC20" i="3"/>
  <c r="AC22" i="3"/>
  <c r="AC16" i="3"/>
  <c r="AC13" i="3"/>
  <c r="AC19" i="3"/>
  <c r="AC21" i="3"/>
  <c r="AC15" i="3"/>
  <c r="AC17" i="3"/>
  <c r="AC18" i="3"/>
  <c r="AC14" i="3"/>
  <c r="FY6" i="27"/>
  <c r="CG6" i="27"/>
  <c r="EC6" i="27"/>
  <c r="AB25" i="3"/>
  <c r="AB26" i="3"/>
  <c r="AB23" i="3"/>
  <c r="AB29" i="3"/>
  <c r="AB24" i="3"/>
  <c r="AB30" i="3"/>
  <c r="AB27" i="3"/>
  <c r="AB31" i="3"/>
  <c r="AB28" i="3"/>
  <c r="G13" i="5"/>
  <c r="Q13" i="5" s="1"/>
  <c r="L22" i="31"/>
  <c r="AF22" i="31" s="1"/>
  <c r="AH18" i="3"/>
  <c r="AH20" i="3"/>
  <c r="L24" i="31"/>
  <c r="AF24" i="31" s="1"/>
  <c r="L17" i="31"/>
  <c r="AF17" i="31" s="1"/>
  <c r="AH13" i="3"/>
  <c r="L20" i="31"/>
  <c r="AF20" i="31" s="1"/>
  <c r="AH16" i="3"/>
  <c r="L25" i="31"/>
  <c r="AF25" i="31" s="1"/>
  <c r="AH21" i="3"/>
  <c r="L19" i="31"/>
  <c r="AF19" i="31" s="1"/>
  <c r="AH15" i="3"/>
  <c r="AH17" i="3"/>
  <c r="L21" i="31"/>
  <c r="AF21" i="31" s="1"/>
  <c r="L26" i="31"/>
  <c r="AF26" i="31" s="1"/>
  <c r="AH22" i="3"/>
  <c r="L23" i="31"/>
  <c r="AF23" i="31" s="1"/>
  <c r="AH19" i="3"/>
  <c r="AH14" i="3"/>
  <c r="L18" i="31"/>
  <c r="AF18" i="31" s="1"/>
  <c r="O13" i="31"/>
  <c r="AI13" i="31" s="1"/>
  <c r="AJ10" i="3"/>
  <c r="N9" i="31"/>
  <c r="AH9" i="31" s="1"/>
  <c r="AJ9" i="3"/>
  <c r="BE9" i="31"/>
  <c r="AS9" i="31"/>
  <c r="AY9" i="31" s="1"/>
  <c r="BE11" i="31"/>
  <c r="AS11" i="31"/>
  <c r="AY11" i="31" s="1"/>
  <c r="AS10" i="31"/>
  <c r="AY10" i="31" s="1"/>
  <c r="BE12" i="31"/>
  <c r="AS12" i="31"/>
  <c r="AY12" i="31" s="1"/>
  <c r="BE14" i="31"/>
  <c r="AS14" i="31"/>
  <c r="AY14" i="31" s="1"/>
  <c r="BE8" i="31"/>
  <c r="AS8" i="31"/>
  <c r="AY8" i="31" s="1"/>
  <c r="BE15" i="31"/>
  <c r="AS15" i="31"/>
  <c r="AY15" i="31" s="1"/>
  <c r="N21" i="31"/>
  <c r="AH21" i="31" s="1"/>
  <c r="AJ17" i="3"/>
  <c r="N18" i="31"/>
  <c r="AH18" i="31" s="1"/>
  <c r="K10" i="5"/>
  <c r="U10" i="5" s="1"/>
  <c r="H12" i="5"/>
  <c r="R12" i="5" s="1"/>
  <c r="I12" i="5"/>
  <c r="S12" i="5" s="1"/>
  <c r="K11" i="5"/>
  <c r="U11" i="5" s="1"/>
  <c r="G15" i="5"/>
  <c r="Q15" i="5" s="1"/>
  <c r="J11" i="5"/>
  <c r="T11" i="5" s="1"/>
  <c r="AB17" i="5"/>
  <c r="Z26" i="5"/>
  <c r="AA15" i="5"/>
  <c r="AA17" i="5"/>
  <c r="AB13" i="5"/>
  <c r="AB19" i="5"/>
  <c r="X39" i="5"/>
  <c r="S6" i="27"/>
  <c r="Y31" i="5"/>
  <c r="Y25" i="5"/>
  <c r="AB9" i="5"/>
  <c r="X38" i="5"/>
  <c r="AA16" i="5"/>
  <c r="AA22" i="5"/>
  <c r="Z29" i="5"/>
  <c r="X41" i="5"/>
  <c r="AB11" i="5"/>
  <c r="Z30" i="5"/>
  <c r="X37" i="5"/>
  <c r="AB15" i="5"/>
  <c r="Z27" i="5"/>
  <c r="AB14" i="5"/>
  <c r="Y24" i="5"/>
  <c r="X45" i="5"/>
  <c r="AB23" i="5"/>
  <c r="X40" i="5"/>
  <c r="AB10" i="5"/>
  <c r="L8" i="27"/>
  <c r="AB16" i="5"/>
  <c r="Z24" i="5"/>
  <c r="Z25" i="5"/>
  <c r="AA20" i="5"/>
  <c r="AB6" i="5"/>
  <c r="L9" i="27"/>
  <c r="Y29" i="5"/>
  <c r="AB5" i="5"/>
  <c r="AB8" i="5"/>
  <c r="AB20" i="5"/>
  <c r="X47" i="5"/>
  <c r="Y28" i="5"/>
  <c r="S7" i="27"/>
  <c r="AB12" i="5"/>
  <c r="AA23" i="5"/>
  <c r="Y27" i="5"/>
  <c r="Z31" i="5"/>
  <c r="X43" i="5"/>
  <c r="X36" i="5"/>
  <c r="X44" i="5"/>
  <c r="AA19" i="5"/>
  <c r="AB21" i="5"/>
  <c r="AB18" i="5"/>
  <c r="X42" i="5"/>
  <c r="X34" i="5"/>
  <c r="AB7" i="5"/>
  <c r="AO4" i="3"/>
  <c r="Z6" i="27"/>
  <c r="X46" i="5"/>
  <c r="Z28" i="5"/>
  <c r="AA18" i="5"/>
  <c r="Z7" i="27"/>
  <c r="X33" i="5"/>
  <c r="Y26" i="5"/>
  <c r="Y30" i="5"/>
  <c r="AA21" i="5"/>
  <c r="L10" i="27"/>
  <c r="AB22" i="5"/>
  <c r="X35" i="5"/>
  <c r="AO5" i="3"/>
  <c r="AS16" i="31" l="1"/>
  <c r="AY16" i="31" s="1"/>
  <c r="AJ22" i="3"/>
  <c r="AJ13" i="3"/>
  <c r="AJ12" i="3"/>
  <c r="N15" i="31"/>
  <c r="AH15" i="31" s="1"/>
  <c r="AT15" i="31" s="1"/>
  <c r="AZ15" i="31" s="1"/>
  <c r="AK8" i="3"/>
  <c r="AS13" i="31"/>
  <c r="AY13" i="31" s="1"/>
  <c r="N12" i="31"/>
  <c r="AH12" i="31" s="1"/>
  <c r="AT12" i="31" s="1"/>
  <c r="AZ12" i="31" s="1"/>
  <c r="O10" i="31"/>
  <c r="AI10" i="31" s="1"/>
  <c r="BG10" i="31" s="1"/>
  <c r="AJ6" i="3"/>
  <c r="AK4" i="3"/>
  <c r="AJ15" i="3"/>
  <c r="O9" i="31"/>
  <c r="AI9" i="31" s="1"/>
  <c r="AU9" i="31" s="1"/>
  <c r="BA9" i="31" s="1"/>
  <c r="AJ18" i="3"/>
  <c r="AJ4" i="3"/>
  <c r="AK13" i="3"/>
  <c r="N11" i="31"/>
  <c r="AH11" i="31" s="1"/>
  <c r="BF11" i="31" s="1"/>
  <c r="AK11" i="3"/>
  <c r="AJ16" i="3"/>
  <c r="AJ20" i="3"/>
  <c r="AJ21" i="3"/>
  <c r="AK10" i="3"/>
  <c r="AK7" i="3"/>
  <c r="AJ19" i="3"/>
  <c r="AF4" i="3"/>
  <c r="P8" i="31" s="1"/>
  <c r="AF18" i="3"/>
  <c r="P22" i="31" s="1"/>
  <c r="AF12" i="3"/>
  <c r="P16" i="31" s="1"/>
  <c r="AF22" i="3"/>
  <c r="P26" i="31" s="1"/>
  <c r="AF21" i="3"/>
  <c r="AL21" i="3" s="1"/>
  <c r="AF17" i="3"/>
  <c r="P21" i="31" s="1"/>
  <c r="AF10" i="3"/>
  <c r="AL10" i="3" s="1"/>
  <c r="AF8" i="3"/>
  <c r="P12" i="31" s="1"/>
  <c r="AF6" i="3"/>
  <c r="P10" i="31" s="1"/>
  <c r="AF19" i="3"/>
  <c r="P23" i="31" s="1"/>
  <c r="AF13" i="3"/>
  <c r="AL13" i="3" s="1"/>
  <c r="AF9" i="3"/>
  <c r="AF20" i="3"/>
  <c r="AL20" i="3" s="1"/>
  <c r="AF5" i="3"/>
  <c r="AL5" i="3" s="1"/>
  <c r="AF15" i="3"/>
  <c r="AL15" i="3" s="1"/>
  <c r="AF11" i="3"/>
  <c r="P15" i="31" s="1"/>
  <c r="AF14" i="3"/>
  <c r="AL14" i="3" s="1"/>
  <c r="AF16" i="3"/>
  <c r="P20" i="31" s="1"/>
  <c r="AF7" i="3"/>
  <c r="P11" i="31" s="1"/>
  <c r="EC8" i="27"/>
  <c r="CG8" i="27"/>
  <c r="FY8" i="27"/>
  <c r="AB38" i="3"/>
  <c r="AB41" i="3"/>
  <c r="AB39" i="3"/>
  <c r="AB42" i="3"/>
  <c r="AB40" i="3"/>
  <c r="AB37" i="3"/>
  <c r="AB34" i="3"/>
  <c r="AB32" i="3"/>
  <c r="AB35" i="3"/>
  <c r="AB36" i="3"/>
  <c r="AB33" i="3"/>
  <c r="CG9" i="27"/>
  <c r="EC9" i="27"/>
  <c r="FY9" i="27"/>
  <c r="AE21" i="3"/>
  <c r="AE17" i="3"/>
  <c r="AE16" i="3"/>
  <c r="AE20" i="3"/>
  <c r="AE22" i="3"/>
  <c r="AE14" i="3"/>
  <c r="AE19" i="3"/>
  <c r="AE18" i="3"/>
  <c r="AE15" i="3"/>
  <c r="CG10" i="27"/>
  <c r="EC10" i="27"/>
  <c r="FY10" i="27"/>
  <c r="CS6" i="27"/>
  <c r="CW6" i="27" s="1"/>
  <c r="EO6" i="27"/>
  <c r="ER6" i="27" s="1"/>
  <c r="GK6" i="27"/>
  <c r="HF6" i="27" s="1"/>
  <c r="AB44" i="3"/>
  <c r="AB43" i="3"/>
  <c r="AB45" i="3"/>
  <c r="AB46" i="3"/>
  <c r="EI6" i="27"/>
  <c r="CM6" i="27"/>
  <c r="GE6" i="27"/>
  <c r="AD29" i="3"/>
  <c r="AD24" i="3"/>
  <c r="AD23" i="3"/>
  <c r="AD26" i="3"/>
  <c r="AD30" i="3"/>
  <c r="AD25" i="3"/>
  <c r="AD28" i="3"/>
  <c r="AD27" i="3"/>
  <c r="EO7" i="27"/>
  <c r="ET7" i="27" s="1"/>
  <c r="GK7" i="27"/>
  <c r="GP7" i="27" s="1"/>
  <c r="CS7" i="27"/>
  <c r="CX7" i="27" s="1"/>
  <c r="AC26" i="3"/>
  <c r="AC24" i="3"/>
  <c r="AC29" i="3"/>
  <c r="AC30" i="3"/>
  <c r="AC28" i="3"/>
  <c r="AC27" i="3"/>
  <c r="AC25" i="3"/>
  <c r="AC23" i="3"/>
  <c r="GE7" i="27"/>
  <c r="EI7" i="27"/>
  <c r="CM7" i="27"/>
  <c r="BD22" i="31"/>
  <c r="AR22" i="31"/>
  <c r="AX22" i="31" s="1"/>
  <c r="AH23" i="3"/>
  <c r="L27" i="31"/>
  <c r="AF27" i="31" s="1"/>
  <c r="AI17" i="3"/>
  <c r="M21" i="31"/>
  <c r="AG21" i="31" s="1"/>
  <c r="GB7" i="27"/>
  <c r="GD7" i="27"/>
  <c r="HD7" i="27"/>
  <c r="GC7" i="27"/>
  <c r="BD26" i="31"/>
  <c r="AR26" i="31"/>
  <c r="AX26" i="31" s="1"/>
  <c r="BD20" i="31"/>
  <c r="AR20" i="31"/>
  <c r="AX20" i="31" s="1"/>
  <c r="L30" i="31"/>
  <c r="AF30" i="31" s="1"/>
  <c r="AH26" i="3"/>
  <c r="AI15" i="3"/>
  <c r="M19" i="31"/>
  <c r="AG19" i="31" s="1"/>
  <c r="CJ7" i="27"/>
  <c r="DL7" i="27"/>
  <c r="CL7" i="27"/>
  <c r="CK7" i="27"/>
  <c r="BD21" i="31"/>
  <c r="AR21" i="31"/>
  <c r="AX21" i="31" s="1"/>
  <c r="AH28" i="3"/>
  <c r="L32" i="31"/>
  <c r="AF32" i="31" s="1"/>
  <c r="L29" i="31"/>
  <c r="AF29" i="31" s="1"/>
  <c r="AH25" i="3"/>
  <c r="M25" i="31"/>
  <c r="AG25" i="31" s="1"/>
  <c r="AI21" i="3"/>
  <c r="EF7" i="27"/>
  <c r="EH7" i="27"/>
  <c r="EG7" i="27"/>
  <c r="FH7" i="27"/>
  <c r="L35" i="31"/>
  <c r="AF35" i="31" s="1"/>
  <c r="AH31" i="3"/>
  <c r="EH6" i="27"/>
  <c r="EF6" i="27"/>
  <c r="FH6" i="27"/>
  <c r="EG6" i="27"/>
  <c r="AI19" i="3"/>
  <c r="M23" i="31"/>
  <c r="AG23" i="31" s="1"/>
  <c r="BD18" i="31"/>
  <c r="AR18" i="31"/>
  <c r="AX18" i="31" s="1"/>
  <c r="BD17" i="31"/>
  <c r="AR17" i="31"/>
  <c r="AX17" i="31" s="1"/>
  <c r="L31" i="31"/>
  <c r="AF31" i="31" s="1"/>
  <c r="AH27" i="3"/>
  <c r="CL6" i="27"/>
  <c r="CJ6" i="27"/>
  <c r="DL6" i="27"/>
  <c r="CK6" i="27"/>
  <c r="M17" i="31"/>
  <c r="AG17" i="31" s="1"/>
  <c r="AI13" i="3"/>
  <c r="AK12" i="3"/>
  <c r="BD19" i="31"/>
  <c r="AR19" i="31"/>
  <c r="AX19" i="31" s="1"/>
  <c r="BD24" i="31"/>
  <c r="AR24" i="31"/>
  <c r="AX24" i="31" s="1"/>
  <c r="L34" i="31"/>
  <c r="AF34" i="31" s="1"/>
  <c r="AH30" i="3"/>
  <c r="GD6" i="27"/>
  <c r="GC6" i="27"/>
  <c r="HD6" i="27"/>
  <c r="GB6" i="27"/>
  <c r="AI16" i="3"/>
  <c r="M20" i="31"/>
  <c r="AG20" i="31" s="1"/>
  <c r="AH24" i="3"/>
  <c r="L28" i="31"/>
  <c r="AF28" i="31" s="1"/>
  <c r="M18" i="31"/>
  <c r="AG18" i="31" s="1"/>
  <c r="AI14" i="3"/>
  <c r="M26" i="31"/>
  <c r="AG26" i="31" s="1"/>
  <c r="AI22" i="3"/>
  <c r="H13" i="5"/>
  <c r="R13" i="5" s="1"/>
  <c r="BD23" i="31"/>
  <c r="AR23" i="31"/>
  <c r="AX23" i="31" s="1"/>
  <c r="BD25" i="31"/>
  <c r="AR25" i="31"/>
  <c r="AX25" i="31" s="1"/>
  <c r="L33" i="31"/>
  <c r="AF33" i="31" s="1"/>
  <c r="AH29" i="3"/>
  <c r="M22" i="31"/>
  <c r="AG22" i="31" s="1"/>
  <c r="AI18" i="3"/>
  <c r="AI20" i="3"/>
  <c r="M24" i="31"/>
  <c r="AG24" i="31" s="1"/>
  <c r="P25" i="31"/>
  <c r="AL9" i="3"/>
  <c r="P13" i="31"/>
  <c r="BF22" i="31"/>
  <c r="AT22" i="31"/>
  <c r="AZ22" i="31" s="1"/>
  <c r="BF12" i="31"/>
  <c r="BF20" i="31"/>
  <c r="AT20" i="31"/>
  <c r="AZ20" i="31" s="1"/>
  <c r="BF18" i="31"/>
  <c r="AT18" i="31"/>
  <c r="AZ18" i="31" s="1"/>
  <c r="BF17" i="31"/>
  <c r="AT17" i="31"/>
  <c r="AZ17" i="31" s="1"/>
  <c r="BF8" i="31"/>
  <c r="AT8" i="31"/>
  <c r="AZ8" i="31" s="1"/>
  <c r="BF24" i="31"/>
  <c r="AT24" i="31"/>
  <c r="AZ24" i="31" s="1"/>
  <c r="BF10" i="31"/>
  <c r="AT10" i="31"/>
  <c r="AZ10" i="31" s="1"/>
  <c r="BF21" i="31"/>
  <c r="AT21" i="31"/>
  <c r="AZ21" i="31" s="1"/>
  <c r="BF25" i="31"/>
  <c r="AT25" i="31"/>
  <c r="AZ25" i="31" s="1"/>
  <c r="BF16" i="31"/>
  <c r="AT16" i="31"/>
  <c r="AZ16" i="31" s="1"/>
  <c r="BF23" i="31"/>
  <c r="AT23" i="31"/>
  <c r="AZ23" i="31" s="1"/>
  <c r="BG12" i="31"/>
  <c r="AU12" i="31"/>
  <c r="BA12" i="31" s="1"/>
  <c r="BG14" i="31"/>
  <c r="AU14" i="31"/>
  <c r="BA14" i="31" s="1"/>
  <c r="BF13" i="31"/>
  <c r="AT13" i="31"/>
  <c r="AZ13" i="31" s="1"/>
  <c r="BF19" i="31"/>
  <c r="AT19" i="31"/>
  <c r="AZ19" i="31" s="1"/>
  <c r="DN7" i="27"/>
  <c r="GO7" i="27"/>
  <c r="BF9" i="31"/>
  <c r="AT9" i="31"/>
  <c r="AZ9" i="31" s="1"/>
  <c r="BF14" i="31"/>
  <c r="AT14" i="31"/>
  <c r="AZ14" i="31" s="1"/>
  <c r="BF26" i="31"/>
  <c r="AT26" i="31"/>
  <c r="AZ26" i="31" s="1"/>
  <c r="BG15" i="31"/>
  <c r="AU15" i="31"/>
  <c r="BA15" i="31" s="1"/>
  <c r="BG16" i="31"/>
  <c r="AU16" i="31"/>
  <c r="BA16" i="31" s="1"/>
  <c r="BG11" i="31"/>
  <c r="AU11" i="31"/>
  <c r="BA11" i="31" s="1"/>
  <c r="BG13" i="31"/>
  <c r="AU13" i="31"/>
  <c r="BA13" i="31" s="1"/>
  <c r="BG9" i="31"/>
  <c r="BG17" i="31"/>
  <c r="AU17" i="31"/>
  <c r="BA17" i="31" s="1"/>
  <c r="BG8" i="31"/>
  <c r="AU8" i="31"/>
  <c r="BA8" i="31" s="1"/>
  <c r="AL22" i="3"/>
  <c r="AL17" i="3"/>
  <c r="P24" i="31"/>
  <c r="I13" i="5"/>
  <c r="S13" i="5" s="1"/>
  <c r="K12" i="5"/>
  <c r="U12" i="5" s="1"/>
  <c r="J12" i="5"/>
  <c r="T12" i="5" s="1"/>
  <c r="G16" i="5"/>
  <c r="Q16" i="5" s="1"/>
  <c r="X48" i="5"/>
  <c r="Z10" i="27"/>
  <c r="Z35" i="5"/>
  <c r="L18" i="27"/>
  <c r="AB29" i="5"/>
  <c r="Z8" i="27"/>
  <c r="Y32" i="5"/>
  <c r="Z37" i="5"/>
  <c r="L17" i="27"/>
  <c r="Z38" i="5"/>
  <c r="AO8" i="3"/>
  <c r="L19" i="27"/>
  <c r="Z34" i="5"/>
  <c r="Y33" i="5"/>
  <c r="AA31" i="5"/>
  <c r="L20" i="27"/>
  <c r="Y36" i="5"/>
  <c r="Y38" i="5"/>
  <c r="AO6" i="3"/>
  <c r="X51" i="5"/>
  <c r="AB26" i="5"/>
  <c r="AQ4" i="3"/>
  <c r="AN6" i="27"/>
  <c r="S8" i="27"/>
  <c r="AB27" i="5"/>
  <c r="AA27" i="5"/>
  <c r="L11" i="27"/>
  <c r="AG7" i="27"/>
  <c r="AB28" i="5"/>
  <c r="AN7" i="27"/>
  <c r="X53" i="5"/>
  <c r="AA26" i="5"/>
  <c r="AA29" i="5"/>
  <c r="L22" i="27"/>
  <c r="S10" i="27"/>
  <c r="AB24" i="5"/>
  <c r="Y35" i="5"/>
  <c r="AA28" i="5"/>
  <c r="AA25" i="5"/>
  <c r="AO7" i="3"/>
  <c r="Z33" i="5"/>
  <c r="L13" i="27"/>
  <c r="L15" i="27"/>
  <c r="X50" i="5"/>
  <c r="AA24" i="5"/>
  <c r="Z32" i="5"/>
  <c r="AB30" i="5"/>
  <c r="L23" i="27"/>
  <c r="L21" i="27"/>
  <c r="L16" i="27"/>
  <c r="AB31" i="5"/>
  <c r="Y34" i="5"/>
  <c r="AP4" i="3"/>
  <c r="Z9" i="27"/>
  <c r="S9" i="27"/>
  <c r="Z36" i="5"/>
  <c r="L12" i="27"/>
  <c r="Y37" i="5"/>
  <c r="X49" i="5"/>
  <c r="AB25" i="5"/>
  <c r="X52" i="5"/>
  <c r="AP5" i="3"/>
  <c r="AG6" i="27"/>
  <c r="L14" i="27"/>
  <c r="AA30" i="5"/>
  <c r="BF15" i="31" l="1"/>
  <c r="AU10" i="31"/>
  <c r="BA10" i="31" s="1"/>
  <c r="P14" i="31"/>
  <c r="AL16" i="3"/>
  <c r="AL19" i="3"/>
  <c r="CW7" i="27"/>
  <c r="GN7" i="27"/>
  <c r="HF7" i="27"/>
  <c r="DN6" i="27"/>
  <c r="P19" i="31"/>
  <c r="AJ19" i="31" s="1"/>
  <c r="P9" i="31"/>
  <c r="CV6" i="27"/>
  <c r="AT11" i="31"/>
  <c r="AZ11" i="31" s="1"/>
  <c r="CX6" i="27"/>
  <c r="AL6" i="3"/>
  <c r="AL18" i="3"/>
  <c r="FJ6" i="27"/>
  <c r="ES6" i="27"/>
  <c r="AL4" i="3"/>
  <c r="ET6" i="27"/>
  <c r="AL12" i="3"/>
  <c r="P17" i="31"/>
  <c r="Q17" i="31" s="1"/>
  <c r="P18" i="31"/>
  <c r="Q18" i="31" s="1"/>
  <c r="CV7" i="27"/>
  <c r="GP6" i="27"/>
  <c r="ER7" i="27"/>
  <c r="ES7" i="27"/>
  <c r="AL11" i="3"/>
  <c r="GO6" i="27"/>
  <c r="FJ7" i="27"/>
  <c r="AL7" i="3"/>
  <c r="AL8" i="3"/>
  <c r="GN6" i="27"/>
  <c r="AE26" i="3"/>
  <c r="AE25" i="3"/>
  <c r="AE28" i="3"/>
  <c r="AE23" i="3"/>
  <c r="AE27" i="3"/>
  <c r="AE24" i="3"/>
  <c r="AE29" i="3"/>
  <c r="AE30" i="3"/>
  <c r="AD34" i="3"/>
  <c r="AD36" i="3"/>
  <c r="AD37" i="3"/>
  <c r="AD32" i="3"/>
  <c r="AD33" i="3"/>
  <c r="AD31" i="3"/>
  <c r="AD35" i="3"/>
  <c r="AF23" i="3"/>
  <c r="AF29" i="3"/>
  <c r="AF27" i="3"/>
  <c r="AF30" i="3"/>
  <c r="AF24" i="3"/>
  <c r="AF28" i="3"/>
  <c r="AF25" i="3"/>
  <c r="AF26" i="3"/>
  <c r="AB49" i="3"/>
  <c r="AB51" i="3"/>
  <c r="AB50" i="3"/>
  <c r="AB48" i="3"/>
  <c r="AB47" i="3"/>
  <c r="AB52" i="3"/>
  <c r="CG14" i="27"/>
  <c r="EC14" i="27"/>
  <c r="FY14" i="27"/>
  <c r="EC18" i="27"/>
  <c r="FY18" i="27"/>
  <c r="CG18" i="27"/>
  <c r="EI9" i="27"/>
  <c r="GE9" i="27"/>
  <c r="CM9" i="27"/>
  <c r="EO9" i="27"/>
  <c r="GK9" i="27"/>
  <c r="CS9" i="27"/>
  <c r="EC23" i="27"/>
  <c r="CG23" i="27"/>
  <c r="FY23" i="27"/>
  <c r="FY16" i="27"/>
  <c r="EC16" i="27"/>
  <c r="CG16" i="27"/>
  <c r="CM8" i="27"/>
  <c r="GE8" i="27"/>
  <c r="EI8" i="27"/>
  <c r="CS8" i="27"/>
  <c r="GK8" i="27"/>
  <c r="EO8" i="27"/>
  <c r="FY20" i="27"/>
  <c r="EC20" i="27"/>
  <c r="CG20" i="27"/>
  <c r="CG21" i="27"/>
  <c r="FY21" i="27"/>
  <c r="EC21" i="27"/>
  <c r="EC11" i="27"/>
  <c r="CG11" i="27"/>
  <c r="FY11" i="27"/>
  <c r="FY22" i="27"/>
  <c r="EC22" i="27"/>
  <c r="CG22" i="27"/>
  <c r="CG13" i="27"/>
  <c r="FY13" i="27"/>
  <c r="EC13" i="27"/>
  <c r="AC36" i="3"/>
  <c r="AC37" i="3"/>
  <c r="AC34" i="3"/>
  <c r="AC33" i="3"/>
  <c r="AC35" i="3"/>
  <c r="AC32" i="3"/>
  <c r="AC31" i="3"/>
  <c r="CY7" i="27"/>
  <c r="EU7" i="27"/>
  <c r="GQ7" i="27"/>
  <c r="EC15" i="27"/>
  <c r="CG15" i="27"/>
  <c r="FY15" i="27"/>
  <c r="GE10" i="27"/>
  <c r="EI10" i="27"/>
  <c r="CM10" i="27"/>
  <c r="CG17" i="27"/>
  <c r="EC17" i="27"/>
  <c r="FY17" i="27"/>
  <c r="DE6" i="27"/>
  <c r="DH6" i="27" s="1"/>
  <c r="GW6" i="27"/>
  <c r="HB6" i="27" s="1"/>
  <c r="FA6" i="27"/>
  <c r="FL6" i="27" s="1"/>
  <c r="EO10" i="27"/>
  <c r="GK10" i="27"/>
  <c r="CS10" i="27"/>
  <c r="EU6" i="27"/>
  <c r="GQ6" i="27"/>
  <c r="CY6" i="27"/>
  <c r="CG19" i="27"/>
  <c r="FY19" i="27"/>
  <c r="EC19" i="27"/>
  <c r="GW7" i="27"/>
  <c r="HA7" i="27" s="1"/>
  <c r="FA7" i="27"/>
  <c r="FF7" i="27" s="1"/>
  <c r="DE7" i="27"/>
  <c r="DI7" i="27" s="1"/>
  <c r="CG12" i="27"/>
  <c r="FY12" i="27"/>
  <c r="EC12" i="27"/>
  <c r="BE24" i="31"/>
  <c r="AS24" i="31"/>
  <c r="AY24" i="31" s="1"/>
  <c r="BE18" i="31"/>
  <c r="AS18" i="31"/>
  <c r="AY18" i="31" s="1"/>
  <c r="BE21" i="31"/>
  <c r="AS21" i="31"/>
  <c r="AY21" i="31" s="1"/>
  <c r="HE7" i="27"/>
  <c r="GI7" i="27"/>
  <c r="GJ7" i="27"/>
  <c r="GH7" i="27"/>
  <c r="M28" i="31"/>
  <c r="AG28" i="31" s="1"/>
  <c r="AI24" i="3"/>
  <c r="AJ30" i="3"/>
  <c r="N34" i="31"/>
  <c r="AH34" i="31" s="1"/>
  <c r="L50" i="31"/>
  <c r="AF50" i="31" s="1"/>
  <c r="AH46" i="3"/>
  <c r="HD10" i="27"/>
  <c r="GC10" i="27"/>
  <c r="GB10" i="27"/>
  <c r="GD10" i="27"/>
  <c r="O24" i="31"/>
  <c r="AI24" i="31" s="1"/>
  <c r="AK20" i="3"/>
  <c r="L40" i="31"/>
  <c r="AF40" i="31" s="1"/>
  <c r="AH36" i="3"/>
  <c r="L45" i="31"/>
  <c r="AF45" i="31" s="1"/>
  <c r="AH41" i="3"/>
  <c r="BD28" i="31"/>
  <c r="AR28" i="31"/>
  <c r="AX28" i="31" s="1"/>
  <c r="BE17" i="31"/>
  <c r="AS17" i="31"/>
  <c r="AY17" i="31" s="1"/>
  <c r="BE25" i="31"/>
  <c r="AS25" i="31"/>
  <c r="AY25" i="31" s="1"/>
  <c r="AI26" i="3"/>
  <c r="M30" i="31"/>
  <c r="AG30" i="31" s="1"/>
  <c r="N30" i="31"/>
  <c r="AH30" i="31" s="1"/>
  <c r="AJ26" i="3"/>
  <c r="L49" i="31"/>
  <c r="AF49" i="31" s="1"/>
  <c r="AH45" i="3"/>
  <c r="EF10" i="27"/>
  <c r="EG10" i="27"/>
  <c r="FH10" i="27"/>
  <c r="EH10" i="27"/>
  <c r="O20" i="31"/>
  <c r="AI20" i="31" s="1"/>
  <c r="AK16" i="3"/>
  <c r="L39" i="31"/>
  <c r="AF39" i="31" s="1"/>
  <c r="AH35" i="3"/>
  <c r="L42" i="31"/>
  <c r="AF42" i="31" s="1"/>
  <c r="AH38" i="3"/>
  <c r="H14" i="5"/>
  <c r="R14" i="5" s="1"/>
  <c r="BD34" i="31"/>
  <c r="AR34" i="31"/>
  <c r="AX34" i="31" s="1"/>
  <c r="BD27" i="31"/>
  <c r="AR27" i="31"/>
  <c r="AX27" i="31" s="1"/>
  <c r="AI23" i="3"/>
  <c r="M27" i="31"/>
  <c r="AG27" i="31" s="1"/>
  <c r="N27" i="31"/>
  <c r="AH27" i="31" s="1"/>
  <c r="AJ23" i="3"/>
  <c r="L47" i="31"/>
  <c r="AF47" i="31" s="1"/>
  <c r="AH43" i="3"/>
  <c r="CK10" i="27"/>
  <c r="CJ10" i="27"/>
  <c r="DL10" i="27"/>
  <c r="CL10" i="27"/>
  <c r="O21" i="31"/>
  <c r="AI21" i="31" s="1"/>
  <c r="AK17" i="3"/>
  <c r="AH32" i="3"/>
  <c r="L36" i="31"/>
  <c r="AF36" i="31" s="1"/>
  <c r="GC8" i="27"/>
  <c r="HD8" i="27"/>
  <c r="GB8" i="27"/>
  <c r="GD8" i="27"/>
  <c r="BE22" i="31"/>
  <c r="AS22" i="31"/>
  <c r="AY22" i="31" s="1"/>
  <c r="BE20" i="31"/>
  <c r="AS20" i="31"/>
  <c r="AY20" i="31" s="1"/>
  <c r="BD35" i="31"/>
  <c r="AR35" i="31"/>
  <c r="AX35" i="31" s="1"/>
  <c r="BD29" i="31"/>
  <c r="AR29" i="31"/>
  <c r="AX29" i="31" s="1"/>
  <c r="M29" i="31"/>
  <c r="AG29" i="31" s="1"/>
  <c r="AI25" i="3"/>
  <c r="AJ24" i="3"/>
  <c r="N28" i="31"/>
  <c r="AH28" i="31" s="1"/>
  <c r="L48" i="31"/>
  <c r="AF48" i="31" s="1"/>
  <c r="AH44" i="3"/>
  <c r="O19" i="31"/>
  <c r="AI19" i="31" s="1"/>
  <c r="AK15" i="3"/>
  <c r="O25" i="31"/>
  <c r="AI25" i="31" s="1"/>
  <c r="AK21" i="3"/>
  <c r="L38" i="31"/>
  <c r="AF38" i="31" s="1"/>
  <c r="AH34" i="3"/>
  <c r="CK8" i="27"/>
  <c r="CJ8" i="27"/>
  <c r="DL8" i="27"/>
  <c r="CL8" i="27"/>
  <c r="BE23" i="31"/>
  <c r="AS23" i="31"/>
  <c r="AY23" i="31" s="1"/>
  <c r="BD32" i="31"/>
  <c r="AR32" i="31"/>
  <c r="AX32" i="31" s="1"/>
  <c r="BE19" i="31"/>
  <c r="AS19" i="31"/>
  <c r="AY19" i="31" s="1"/>
  <c r="M31" i="31"/>
  <c r="AG31" i="31" s="1"/>
  <c r="AI27" i="3"/>
  <c r="N33" i="31"/>
  <c r="AH33" i="31" s="1"/>
  <c r="AJ29" i="3"/>
  <c r="O22" i="31"/>
  <c r="AI22" i="31" s="1"/>
  <c r="AK18" i="3"/>
  <c r="GC9" i="27"/>
  <c r="GB9" i="27"/>
  <c r="HD9" i="27"/>
  <c r="GD9" i="27"/>
  <c r="L41" i="31"/>
  <c r="AF41" i="31" s="1"/>
  <c r="AH37" i="3"/>
  <c r="EF8" i="27"/>
  <c r="EH8" i="27"/>
  <c r="FH8" i="27"/>
  <c r="EG8" i="27"/>
  <c r="BD33" i="31"/>
  <c r="AR33" i="31"/>
  <c r="AX33" i="31" s="1"/>
  <c r="M32" i="31"/>
  <c r="AG32" i="31" s="1"/>
  <c r="AI28" i="3"/>
  <c r="N31" i="31"/>
  <c r="AH31" i="31" s="1"/>
  <c r="AJ27" i="3"/>
  <c r="GH6" i="27"/>
  <c r="GI6" i="27"/>
  <c r="HE6" i="27"/>
  <c r="GJ6" i="27"/>
  <c r="O23" i="31"/>
  <c r="AI23" i="31" s="1"/>
  <c r="AK19" i="3"/>
  <c r="EG9" i="27"/>
  <c r="FH9" i="27"/>
  <c r="EF9" i="27"/>
  <c r="EH9" i="27"/>
  <c r="L44" i="31"/>
  <c r="AF44" i="31" s="1"/>
  <c r="AH40" i="3"/>
  <c r="BE26" i="31"/>
  <c r="AS26" i="31"/>
  <c r="AY26" i="31" s="1"/>
  <c r="CP7" i="27"/>
  <c r="DM7" i="27"/>
  <c r="CQ7" i="27"/>
  <c r="CR7" i="27"/>
  <c r="M34" i="31"/>
  <c r="AG34" i="31" s="1"/>
  <c r="AI30" i="3"/>
  <c r="AJ28" i="3"/>
  <c r="N32" i="31"/>
  <c r="AH32" i="31" s="1"/>
  <c r="CR6" i="27"/>
  <c r="DM6" i="27"/>
  <c r="CQ6" i="27"/>
  <c r="CP6" i="27"/>
  <c r="O18" i="31"/>
  <c r="AI18" i="31" s="1"/>
  <c r="AK14" i="3"/>
  <c r="CL9" i="27"/>
  <c r="CJ9" i="27"/>
  <c r="CK9" i="27"/>
  <c r="DL9" i="27"/>
  <c r="L46" i="31"/>
  <c r="AF46" i="31" s="1"/>
  <c r="AH42" i="3"/>
  <c r="BD31" i="31"/>
  <c r="AR31" i="31"/>
  <c r="AX31" i="31" s="1"/>
  <c r="BD30" i="31"/>
  <c r="AR30" i="31"/>
  <c r="AX30" i="31" s="1"/>
  <c r="EM7" i="27"/>
  <c r="FI7" i="27"/>
  <c r="EL7" i="27"/>
  <c r="EN7" i="27"/>
  <c r="AI29" i="3"/>
  <c r="M33" i="31"/>
  <c r="AG33" i="31" s="1"/>
  <c r="N29" i="31"/>
  <c r="AH29" i="31" s="1"/>
  <c r="AJ25" i="3"/>
  <c r="EM6" i="27"/>
  <c r="FI6" i="27"/>
  <c r="EN6" i="27"/>
  <c r="EL6" i="27"/>
  <c r="O26" i="31"/>
  <c r="AI26" i="31" s="1"/>
  <c r="AK22" i="3"/>
  <c r="L37" i="31"/>
  <c r="AF37" i="31" s="1"/>
  <c r="AH33" i="3"/>
  <c r="L43" i="31"/>
  <c r="AF43" i="31" s="1"/>
  <c r="AH39" i="3"/>
  <c r="AJ20" i="31"/>
  <c r="Q20" i="31"/>
  <c r="Q15" i="31"/>
  <c r="AJ15" i="31"/>
  <c r="Q19" i="31"/>
  <c r="Q9" i="31"/>
  <c r="AJ9" i="31"/>
  <c r="Q24" i="31"/>
  <c r="AJ24" i="31"/>
  <c r="Q23" i="31"/>
  <c r="AJ23" i="31"/>
  <c r="Q10" i="31"/>
  <c r="AJ10" i="31"/>
  <c r="Q21" i="31"/>
  <c r="AJ21" i="31"/>
  <c r="Q26" i="31"/>
  <c r="AJ26" i="31"/>
  <c r="Q16" i="31"/>
  <c r="AJ16" i="31"/>
  <c r="Q22" i="31"/>
  <c r="AJ22" i="31"/>
  <c r="Q11" i="31"/>
  <c r="AJ11" i="31"/>
  <c r="AJ18" i="31"/>
  <c r="Q13" i="31"/>
  <c r="AJ13" i="31"/>
  <c r="Q12" i="31"/>
  <c r="AJ12" i="31"/>
  <c r="Q14" i="31"/>
  <c r="AJ14" i="31"/>
  <c r="Q25" i="31"/>
  <c r="AJ25" i="31"/>
  <c r="FE6" i="27"/>
  <c r="Q8" i="31"/>
  <c r="AJ8" i="31"/>
  <c r="I14" i="5"/>
  <c r="S14" i="5" s="1"/>
  <c r="K13" i="5"/>
  <c r="U13" i="5" s="1"/>
  <c r="G17" i="5"/>
  <c r="Q17" i="5" s="1"/>
  <c r="J13" i="5"/>
  <c r="T13" i="5" s="1"/>
  <c r="AO14" i="3"/>
  <c r="AA32" i="5"/>
  <c r="S13" i="27"/>
  <c r="Z41" i="5"/>
  <c r="Y42" i="5"/>
  <c r="L25" i="27"/>
  <c r="AO13" i="3"/>
  <c r="X57" i="5"/>
  <c r="AN9" i="27"/>
  <c r="L32" i="27"/>
  <c r="AO15" i="3"/>
  <c r="Z39" i="5"/>
  <c r="AR4" i="3"/>
  <c r="AB32" i="5"/>
  <c r="X54" i="5"/>
  <c r="AO9" i="3"/>
  <c r="AO21" i="3"/>
  <c r="L24" i="27"/>
  <c r="L33" i="27"/>
  <c r="AA36" i="5"/>
  <c r="AO20" i="3"/>
  <c r="AB33" i="5"/>
  <c r="AB37" i="5"/>
  <c r="Z42" i="5"/>
  <c r="L29" i="27"/>
  <c r="Z11" i="27"/>
  <c r="S14" i="27"/>
  <c r="Z40" i="5"/>
  <c r="L26" i="27"/>
  <c r="AG8" i="27"/>
  <c r="L30" i="27"/>
  <c r="Y39" i="5"/>
  <c r="AA37" i="5"/>
  <c r="AO12" i="3"/>
  <c r="Z43" i="5"/>
  <c r="AA33" i="5"/>
  <c r="Z13" i="27"/>
  <c r="X56" i="5"/>
  <c r="AO18" i="3"/>
  <c r="Z14" i="27"/>
  <c r="L28" i="27"/>
  <c r="AO17" i="3"/>
  <c r="AA34" i="5"/>
  <c r="Y40" i="5"/>
  <c r="AB34" i="5"/>
  <c r="Z12" i="27"/>
  <c r="AA35" i="5"/>
  <c r="AO11" i="3"/>
  <c r="AO19" i="3"/>
  <c r="S12" i="27"/>
  <c r="AQ5" i="3"/>
  <c r="Y41" i="5"/>
  <c r="AG9" i="27"/>
  <c r="AO16" i="3"/>
  <c r="AN10" i="27"/>
  <c r="AN8" i="27"/>
  <c r="R17" i="3"/>
  <c r="AP6" i="3"/>
  <c r="AB35" i="5"/>
  <c r="Y43" i="5"/>
  <c r="AG10" i="27"/>
  <c r="X55" i="5"/>
  <c r="AB36" i="5"/>
  <c r="AO10" i="3"/>
  <c r="S11" i="27"/>
  <c r="L27" i="27"/>
  <c r="AQ6" i="3"/>
  <c r="L31" i="27"/>
  <c r="AP7" i="3"/>
  <c r="DI6" i="27" l="1"/>
  <c r="DP6" i="27"/>
  <c r="DJ6" i="27"/>
  <c r="HA6" i="27"/>
  <c r="GZ6" i="27"/>
  <c r="HH6" i="27"/>
  <c r="AJ17" i="31"/>
  <c r="BH17" i="31" s="1"/>
  <c r="DH7" i="27"/>
  <c r="FL7" i="27"/>
  <c r="DP7" i="27"/>
  <c r="FD7" i="27"/>
  <c r="FE7" i="27"/>
  <c r="GZ7" i="27"/>
  <c r="HH7" i="27"/>
  <c r="HB7" i="27"/>
  <c r="FF6" i="27"/>
  <c r="DJ7" i="27"/>
  <c r="FD6" i="27"/>
  <c r="AE36" i="3"/>
  <c r="AE31" i="3"/>
  <c r="AE32" i="3"/>
  <c r="AE34" i="3"/>
  <c r="AE35" i="3"/>
  <c r="AE33" i="3"/>
  <c r="AB54" i="3"/>
  <c r="AB55" i="3"/>
  <c r="AB56" i="3"/>
  <c r="AB53" i="3"/>
  <c r="AD42" i="3"/>
  <c r="AD38" i="3"/>
  <c r="AD41" i="3"/>
  <c r="AD40" i="3"/>
  <c r="AD39" i="3"/>
  <c r="AF36" i="3"/>
  <c r="AF31" i="3"/>
  <c r="AF34" i="3"/>
  <c r="AF35" i="3"/>
  <c r="AF32" i="3"/>
  <c r="AF33" i="3"/>
  <c r="FY29" i="27"/>
  <c r="EC29" i="27"/>
  <c r="CG29" i="27"/>
  <c r="GW8" i="27"/>
  <c r="FA8" i="27"/>
  <c r="DE8" i="27"/>
  <c r="AC38" i="3"/>
  <c r="AC39" i="3"/>
  <c r="AC40" i="3"/>
  <c r="AC41" i="3"/>
  <c r="AC42" i="3"/>
  <c r="EI14" i="27"/>
  <c r="GE14" i="27"/>
  <c r="CM14" i="27"/>
  <c r="FA9" i="27"/>
  <c r="DE9" i="27"/>
  <c r="GW9" i="27"/>
  <c r="GK11" i="27"/>
  <c r="EO11" i="27"/>
  <c r="CS11" i="27"/>
  <c r="CM11" i="27"/>
  <c r="GE11" i="27"/>
  <c r="EI11" i="27"/>
  <c r="FA10" i="27"/>
  <c r="GW10" i="27"/>
  <c r="DE10" i="27"/>
  <c r="CS12" i="27"/>
  <c r="GK12" i="27"/>
  <c r="EO12" i="27"/>
  <c r="CG26" i="27"/>
  <c r="FY26" i="27"/>
  <c r="EC26" i="27"/>
  <c r="CG24" i="27"/>
  <c r="FY24" i="27"/>
  <c r="EC24" i="27"/>
  <c r="EC25" i="27"/>
  <c r="CG25" i="27"/>
  <c r="FY25" i="27"/>
  <c r="GQ8" i="27"/>
  <c r="EU8" i="27"/>
  <c r="CY8" i="27"/>
  <c r="T17" i="3"/>
  <c r="EC28" i="27"/>
  <c r="FY28" i="27"/>
  <c r="CG28" i="27"/>
  <c r="FY27" i="27"/>
  <c r="EC27" i="27"/>
  <c r="CG27" i="27"/>
  <c r="CY10" i="27"/>
  <c r="GQ10" i="27"/>
  <c r="EU10" i="27"/>
  <c r="CM12" i="27"/>
  <c r="GE12" i="27"/>
  <c r="EI12" i="27"/>
  <c r="EC31" i="27"/>
  <c r="CG31" i="27"/>
  <c r="FY31" i="27"/>
  <c r="EC30" i="27"/>
  <c r="CG30" i="27"/>
  <c r="FY30" i="27"/>
  <c r="GK14" i="27"/>
  <c r="CS14" i="27"/>
  <c r="EO14" i="27"/>
  <c r="GE13" i="27"/>
  <c r="CM13" i="27"/>
  <c r="EI13" i="27"/>
  <c r="CG33" i="27"/>
  <c r="FY33" i="27"/>
  <c r="EC33" i="27"/>
  <c r="FY32" i="27"/>
  <c r="EC32" i="27"/>
  <c r="CG32" i="27"/>
  <c r="EO13" i="27"/>
  <c r="CS13" i="27"/>
  <c r="GK13" i="27"/>
  <c r="CY9" i="27"/>
  <c r="EU9" i="27"/>
  <c r="GQ9" i="27"/>
  <c r="BD46" i="31"/>
  <c r="AR46" i="31"/>
  <c r="AX46" i="31" s="1"/>
  <c r="BE31" i="31"/>
  <c r="AS31" i="31"/>
  <c r="AY31" i="31" s="1"/>
  <c r="BG25" i="31"/>
  <c r="AU25" i="31"/>
  <c r="BA25" i="31" s="1"/>
  <c r="BE29" i="31"/>
  <c r="AS29" i="31"/>
  <c r="AY29" i="31" s="1"/>
  <c r="AU21" i="31"/>
  <c r="BA21" i="31" s="1"/>
  <c r="BG21" i="31"/>
  <c r="BF27" i="31"/>
  <c r="AT27" i="31"/>
  <c r="AZ27" i="31" s="1"/>
  <c r="H15" i="5"/>
  <c r="R15" i="5" s="1"/>
  <c r="BE30" i="31"/>
  <c r="AS30" i="31"/>
  <c r="AY30" i="31" s="1"/>
  <c r="GP10" i="27"/>
  <c r="GN10" i="27"/>
  <c r="GO10" i="27"/>
  <c r="HF10" i="27"/>
  <c r="CJ17" i="27"/>
  <c r="CL17" i="27"/>
  <c r="DL17" i="27"/>
  <c r="CK17" i="27"/>
  <c r="HG7" i="27"/>
  <c r="GV7" i="27"/>
  <c r="GU7" i="27"/>
  <c r="GT7" i="27"/>
  <c r="M41" i="31"/>
  <c r="AG41" i="31" s="1"/>
  <c r="AI37" i="3"/>
  <c r="FH20" i="27"/>
  <c r="EF20" i="27"/>
  <c r="EH20" i="27"/>
  <c r="EG20" i="27"/>
  <c r="CK16" i="27"/>
  <c r="CL16" i="27"/>
  <c r="CJ16" i="27"/>
  <c r="DL16" i="27"/>
  <c r="ET9" i="27"/>
  <c r="ES9" i="27"/>
  <c r="ER9" i="27"/>
  <c r="FJ9" i="27"/>
  <c r="GB14" i="27"/>
  <c r="GD14" i="27"/>
  <c r="HD14" i="27"/>
  <c r="GC14" i="27"/>
  <c r="L53" i="31"/>
  <c r="AF53" i="31" s="1"/>
  <c r="AH49" i="3"/>
  <c r="P27" i="31"/>
  <c r="AL23" i="3"/>
  <c r="O34" i="31"/>
  <c r="AI34" i="31" s="1"/>
  <c r="AK30" i="3"/>
  <c r="BE27" i="31"/>
  <c r="AS27" i="31"/>
  <c r="AY27" i="31" s="1"/>
  <c r="BD45" i="31"/>
  <c r="AR45" i="31"/>
  <c r="AX45" i="31" s="1"/>
  <c r="EF19" i="27"/>
  <c r="EG19" i="27"/>
  <c r="FH19" i="27"/>
  <c r="EH19" i="27"/>
  <c r="ES10" i="27"/>
  <c r="ET10" i="27"/>
  <c r="FJ10" i="27"/>
  <c r="ER10" i="27"/>
  <c r="CQ10" i="27"/>
  <c r="CR10" i="27"/>
  <c r="CP10" i="27"/>
  <c r="DM10" i="27"/>
  <c r="EY7" i="27"/>
  <c r="EX7" i="27"/>
  <c r="EZ7" i="27"/>
  <c r="FK7" i="27"/>
  <c r="M40" i="31"/>
  <c r="AG40" i="31" s="1"/>
  <c r="AI36" i="3"/>
  <c r="GC11" i="27"/>
  <c r="GD11" i="27"/>
  <c r="GB11" i="27"/>
  <c r="HD11" i="27"/>
  <c r="GB20" i="27"/>
  <c r="GD20" i="27"/>
  <c r="HD20" i="27"/>
  <c r="GC20" i="27"/>
  <c r="EH16" i="27"/>
  <c r="EG16" i="27"/>
  <c r="FH16" i="27"/>
  <c r="EF16" i="27"/>
  <c r="DM9" i="27"/>
  <c r="CP9" i="27"/>
  <c r="CR9" i="27"/>
  <c r="CQ9" i="27"/>
  <c r="FH14" i="27"/>
  <c r="EF14" i="27"/>
  <c r="EH14" i="27"/>
  <c r="EG14" i="27"/>
  <c r="P30" i="31"/>
  <c r="AL26" i="3"/>
  <c r="N39" i="31"/>
  <c r="AH39" i="31" s="1"/>
  <c r="AJ35" i="3"/>
  <c r="O33" i="31"/>
  <c r="AI33" i="31" s="1"/>
  <c r="AK29" i="3"/>
  <c r="BD43" i="31"/>
  <c r="AR43" i="31"/>
  <c r="AX43" i="31" s="1"/>
  <c r="BG19" i="31"/>
  <c r="AU19" i="31"/>
  <c r="BA19" i="31" s="1"/>
  <c r="EH12" i="27"/>
  <c r="EG12" i="27"/>
  <c r="FH12" i="27"/>
  <c r="EF12" i="27"/>
  <c r="HD19" i="27"/>
  <c r="GB19" i="27"/>
  <c r="GD19" i="27"/>
  <c r="GC19" i="27"/>
  <c r="EM10" i="27"/>
  <c r="EL10" i="27"/>
  <c r="FI10" i="27"/>
  <c r="EN10" i="27"/>
  <c r="DC7" i="27"/>
  <c r="DB7" i="27"/>
  <c r="DD7" i="27"/>
  <c r="DO7" i="27"/>
  <c r="EG13" i="27"/>
  <c r="EH13" i="27"/>
  <c r="FH13" i="27"/>
  <c r="EF13" i="27"/>
  <c r="CK11" i="27"/>
  <c r="CL11" i="27"/>
  <c r="CJ11" i="27"/>
  <c r="DL11" i="27"/>
  <c r="FJ8" i="27"/>
  <c r="ER8" i="27"/>
  <c r="ES8" i="27"/>
  <c r="ET8" i="27"/>
  <c r="GD16" i="27"/>
  <c r="HD16" i="27"/>
  <c r="GC16" i="27"/>
  <c r="GB16" i="27"/>
  <c r="GJ9" i="27"/>
  <c r="GI9" i="27"/>
  <c r="GH9" i="27"/>
  <c r="HE9" i="27"/>
  <c r="CL14" i="27"/>
  <c r="CJ14" i="27"/>
  <c r="DL14" i="27"/>
  <c r="CK14" i="27"/>
  <c r="P29" i="31"/>
  <c r="AL25" i="3"/>
  <c r="N35" i="31"/>
  <c r="AH35" i="31" s="1"/>
  <c r="AJ31" i="3"/>
  <c r="AK24" i="3"/>
  <c r="O28" i="31"/>
  <c r="AI28" i="31" s="1"/>
  <c r="BF32" i="31"/>
  <c r="AT32" i="31"/>
  <c r="AZ32" i="31" s="1"/>
  <c r="BF31" i="31"/>
  <c r="AT31" i="31"/>
  <c r="AZ31" i="31" s="1"/>
  <c r="BD42" i="31"/>
  <c r="AR42" i="31"/>
  <c r="AX42" i="31" s="1"/>
  <c r="BD40" i="31"/>
  <c r="AR40" i="31"/>
  <c r="AX40" i="31" s="1"/>
  <c r="BD50" i="31"/>
  <c r="AR50" i="31"/>
  <c r="AX50" i="31" s="1"/>
  <c r="GB12" i="27"/>
  <c r="GD12" i="27"/>
  <c r="HD12" i="27"/>
  <c r="GC12" i="27"/>
  <c r="DL19" i="27"/>
  <c r="CJ19" i="27"/>
  <c r="CK19" i="27"/>
  <c r="CL19" i="27"/>
  <c r="GH10" i="27"/>
  <c r="GJ10" i="27"/>
  <c r="GI10" i="27"/>
  <c r="HE10" i="27"/>
  <c r="M35" i="31"/>
  <c r="AG35" i="31" s="1"/>
  <c r="AI31" i="3"/>
  <c r="HD13" i="27"/>
  <c r="GC13" i="27"/>
  <c r="GD13" i="27"/>
  <c r="GB13" i="27"/>
  <c r="EG11" i="27"/>
  <c r="EF11" i="27"/>
  <c r="FH11" i="27"/>
  <c r="EH11" i="27"/>
  <c r="GN8" i="27"/>
  <c r="GP8" i="27"/>
  <c r="GO8" i="27"/>
  <c r="HF8" i="27"/>
  <c r="GB23" i="27"/>
  <c r="GD23" i="27"/>
  <c r="GC23" i="27"/>
  <c r="HD23" i="27"/>
  <c r="EM9" i="27"/>
  <c r="FI9" i="27"/>
  <c r="EL9" i="27"/>
  <c r="EN9" i="27"/>
  <c r="L56" i="31"/>
  <c r="AF56" i="31" s="1"/>
  <c r="AH52" i="3"/>
  <c r="P32" i="31"/>
  <c r="AL28" i="3"/>
  <c r="N37" i="31"/>
  <c r="AH37" i="31" s="1"/>
  <c r="AJ33" i="3"/>
  <c r="AK27" i="3"/>
  <c r="O31" i="31"/>
  <c r="AI31" i="31" s="1"/>
  <c r="AR37" i="31"/>
  <c r="AX37" i="31" s="1"/>
  <c r="BD37" i="31"/>
  <c r="BF29" i="31"/>
  <c r="AT29" i="31"/>
  <c r="AZ29" i="31" s="1"/>
  <c r="BG22" i="31"/>
  <c r="AU22" i="31"/>
  <c r="BA22" i="31" s="1"/>
  <c r="BD48" i="31"/>
  <c r="AR48" i="31"/>
  <c r="AX48" i="31" s="1"/>
  <c r="BF34" i="31"/>
  <c r="AT34" i="31"/>
  <c r="AZ34" i="31" s="1"/>
  <c r="DL12" i="27"/>
  <c r="CK12" i="27"/>
  <c r="CJ12" i="27"/>
  <c r="CL12" i="27"/>
  <c r="DC6" i="27"/>
  <c r="DD6" i="27"/>
  <c r="DB6" i="27"/>
  <c r="DO6" i="27"/>
  <c r="DQ6" i="27" s="1"/>
  <c r="M36" i="31"/>
  <c r="AG36" i="31" s="1"/>
  <c r="AI32" i="3"/>
  <c r="CJ13" i="27"/>
  <c r="CL13" i="27"/>
  <c r="DL13" i="27"/>
  <c r="CK13" i="27"/>
  <c r="EH21" i="27"/>
  <c r="FH21" i="27"/>
  <c r="EF21" i="27"/>
  <c r="EG21" i="27"/>
  <c r="CV8" i="27"/>
  <c r="CX8" i="27"/>
  <c r="DN8" i="27"/>
  <c r="CW8" i="27"/>
  <c r="CL23" i="27"/>
  <c r="CK23" i="27"/>
  <c r="DL23" i="27"/>
  <c r="CJ23" i="27"/>
  <c r="AH47" i="3"/>
  <c r="L51" i="31"/>
  <c r="AF51" i="31" s="1"/>
  <c r="P28" i="31"/>
  <c r="AL24" i="3"/>
  <c r="N36" i="31"/>
  <c r="AH36" i="31" s="1"/>
  <c r="AJ32" i="3"/>
  <c r="O27" i="31"/>
  <c r="AI27" i="31" s="1"/>
  <c r="AK23" i="3"/>
  <c r="BE33" i="31"/>
  <c r="AS33" i="31"/>
  <c r="AY33" i="31" s="1"/>
  <c r="BG23" i="31"/>
  <c r="AU23" i="31"/>
  <c r="BA23" i="31" s="1"/>
  <c r="BE32" i="31"/>
  <c r="AS32" i="31"/>
  <c r="AY32" i="31" s="1"/>
  <c r="BF28" i="31"/>
  <c r="AT28" i="31"/>
  <c r="AZ28" i="31" s="1"/>
  <c r="AR36" i="31"/>
  <c r="AX36" i="31" s="1"/>
  <c r="BD36" i="31"/>
  <c r="BQ5" i="23"/>
  <c r="BD39" i="31"/>
  <c r="AR39" i="31"/>
  <c r="AX39" i="31" s="1"/>
  <c r="AR49" i="31"/>
  <c r="AX49" i="31" s="1"/>
  <c r="BD49" i="31"/>
  <c r="BG24" i="31"/>
  <c r="AU24" i="31"/>
  <c r="BA24" i="31" s="1"/>
  <c r="HG6" i="27"/>
  <c r="HI6" i="27" s="1"/>
  <c r="GV6" i="27"/>
  <c r="GT6" i="27"/>
  <c r="GU6" i="27"/>
  <c r="HD15" i="27"/>
  <c r="GC15" i="27"/>
  <c r="GD15" i="27"/>
  <c r="GB15" i="27"/>
  <c r="M39" i="31"/>
  <c r="AG39" i="31" s="1"/>
  <c r="AI35" i="3"/>
  <c r="CK22" i="27"/>
  <c r="DL22" i="27"/>
  <c r="CJ22" i="27"/>
  <c r="CL22" i="27"/>
  <c r="GC21" i="27"/>
  <c r="GD21" i="27"/>
  <c r="GB21" i="27"/>
  <c r="HD21" i="27"/>
  <c r="EL8" i="27"/>
  <c r="EN8" i="27"/>
  <c r="EM8" i="27"/>
  <c r="FI8" i="27"/>
  <c r="EF23" i="27"/>
  <c r="EH23" i="27"/>
  <c r="EG23" i="27"/>
  <c r="FH23" i="27"/>
  <c r="CK18" i="27"/>
  <c r="CL18" i="27"/>
  <c r="CJ18" i="27"/>
  <c r="DL18" i="27"/>
  <c r="L52" i="31"/>
  <c r="AF52" i="31" s="1"/>
  <c r="AH48" i="3"/>
  <c r="P34" i="31"/>
  <c r="AL30" i="3"/>
  <c r="N41" i="31"/>
  <c r="AH41" i="31" s="1"/>
  <c r="AJ37" i="3"/>
  <c r="AK28" i="3"/>
  <c r="O32" i="31"/>
  <c r="AI32" i="31" s="1"/>
  <c r="AU26" i="31"/>
  <c r="BA26" i="31" s="1"/>
  <c r="BG26" i="31"/>
  <c r="BG18" i="31"/>
  <c r="AU18" i="31"/>
  <c r="BA18" i="31" s="1"/>
  <c r="AS34" i="31"/>
  <c r="AY34" i="31" s="1"/>
  <c r="BE34" i="31"/>
  <c r="BD41" i="31"/>
  <c r="AR41" i="31"/>
  <c r="AX41" i="31" s="1"/>
  <c r="BF33" i="31"/>
  <c r="AT33" i="31"/>
  <c r="AZ33" i="31" s="1"/>
  <c r="BD38" i="31"/>
  <c r="AR38" i="31"/>
  <c r="AX38" i="31" s="1"/>
  <c r="BD47" i="31"/>
  <c r="AR47" i="31"/>
  <c r="AX47" i="31" s="1"/>
  <c r="EZ6" i="27"/>
  <c r="EX6" i="27"/>
  <c r="EY6" i="27"/>
  <c r="FK6" i="27"/>
  <c r="FM6" i="27" s="1"/>
  <c r="HD17" i="27"/>
  <c r="GD17" i="27"/>
  <c r="GC17" i="27"/>
  <c r="GB17" i="27"/>
  <c r="CL15" i="27"/>
  <c r="DL15" i="27"/>
  <c r="CK15" i="27"/>
  <c r="CJ15" i="27"/>
  <c r="M37" i="31"/>
  <c r="AG37" i="31" s="1"/>
  <c r="AI33" i="3"/>
  <c r="EF22" i="27"/>
  <c r="EH22" i="27"/>
  <c r="FH22" i="27"/>
  <c r="EG22" i="27"/>
  <c r="CK21" i="27"/>
  <c r="CL21" i="27"/>
  <c r="DL21" i="27"/>
  <c r="CJ21" i="27"/>
  <c r="HE8" i="27"/>
  <c r="GJ8" i="27"/>
  <c r="GI8" i="27"/>
  <c r="GH8" i="27"/>
  <c r="CV9" i="27"/>
  <c r="CW9" i="27"/>
  <c r="CX9" i="27"/>
  <c r="DN9" i="27"/>
  <c r="GB18" i="27"/>
  <c r="GC18" i="27"/>
  <c r="HD18" i="27"/>
  <c r="GD18" i="27"/>
  <c r="L54" i="31"/>
  <c r="AF54" i="31" s="1"/>
  <c r="AH50" i="3"/>
  <c r="P31" i="31"/>
  <c r="AL27" i="3"/>
  <c r="N40" i="31"/>
  <c r="AH40" i="31" s="1"/>
  <c r="AJ36" i="3"/>
  <c r="O29" i="31"/>
  <c r="AI29" i="31" s="1"/>
  <c r="AK25" i="3"/>
  <c r="AR44" i="31"/>
  <c r="AX44" i="31" s="1"/>
  <c r="BD44" i="31"/>
  <c r="BG20" i="31"/>
  <c r="AU20" i="31"/>
  <c r="BA20" i="31" s="1"/>
  <c r="AT30" i="31"/>
  <c r="AZ30" i="31" s="1"/>
  <c r="BF30" i="31"/>
  <c r="BE28" i="31"/>
  <c r="AS28" i="31"/>
  <c r="AY28" i="31" s="1"/>
  <c r="CW10" i="27"/>
  <c r="CX10" i="27"/>
  <c r="DN10" i="27"/>
  <c r="CV10" i="27"/>
  <c r="EG17" i="27"/>
  <c r="EF17" i="27"/>
  <c r="EH17" i="27"/>
  <c r="FH17" i="27"/>
  <c r="EG15" i="27"/>
  <c r="EF15" i="27"/>
  <c r="FH15" i="27"/>
  <c r="EH15" i="27"/>
  <c r="M38" i="31"/>
  <c r="AG38" i="31" s="1"/>
  <c r="AI34" i="3"/>
  <c r="GC22" i="27"/>
  <c r="GD22" i="27"/>
  <c r="GB22" i="27"/>
  <c r="HD22" i="27"/>
  <c r="CL20" i="27"/>
  <c r="DL20" i="27"/>
  <c r="CK20" i="27"/>
  <c r="CJ20" i="27"/>
  <c r="DM8" i="27"/>
  <c r="CR8" i="27"/>
  <c r="CP8" i="27"/>
  <c r="CQ8" i="27"/>
  <c r="GO9" i="27"/>
  <c r="HF9" i="27"/>
  <c r="GN9" i="27"/>
  <c r="GP9" i="27"/>
  <c r="EF18" i="27"/>
  <c r="EG18" i="27"/>
  <c r="FH18" i="27"/>
  <c r="EH18" i="27"/>
  <c r="L55" i="31"/>
  <c r="AF55" i="31" s="1"/>
  <c r="AH51" i="3"/>
  <c r="P33" i="31"/>
  <c r="AL29" i="3"/>
  <c r="N38" i="31"/>
  <c r="AH38" i="31" s="1"/>
  <c r="AJ34" i="3"/>
  <c r="O30" i="31"/>
  <c r="AI30" i="31" s="1"/>
  <c r="AK26" i="3"/>
  <c r="BH25" i="31"/>
  <c r="AV25" i="31"/>
  <c r="BB25" i="31" s="1"/>
  <c r="BH14" i="31"/>
  <c r="AV14" i="31"/>
  <c r="BB14" i="31" s="1"/>
  <c r="BH12" i="31"/>
  <c r="AV12" i="31"/>
  <c r="BB12" i="31" s="1"/>
  <c r="BH13" i="31"/>
  <c r="AV13" i="31"/>
  <c r="BB13" i="31" s="1"/>
  <c r="BH18" i="31"/>
  <c r="AV18" i="31"/>
  <c r="BB18" i="31" s="1"/>
  <c r="BH11" i="31"/>
  <c r="AV11" i="31"/>
  <c r="BB11" i="31" s="1"/>
  <c r="BH22" i="31"/>
  <c r="AV22" i="31"/>
  <c r="BB22" i="31" s="1"/>
  <c r="BH16" i="31"/>
  <c r="AV16" i="31"/>
  <c r="BB16" i="31" s="1"/>
  <c r="BH26" i="31"/>
  <c r="AV26" i="31"/>
  <c r="BB26" i="31" s="1"/>
  <c r="BH21" i="31"/>
  <c r="AV21" i="31"/>
  <c r="BB21" i="31" s="1"/>
  <c r="BH10" i="31"/>
  <c r="AV10" i="31"/>
  <c r="BB10" i="31" s="1"/>
  <c r="BH23" i="31"/>
  <c r="AV23" i="31"/>
  <c r="BB23" i="31" s="1"/>
  <c r="BH24" i="31"/>
  <c r="AV24" i="31"/>
  <c r="BB24" i="31" s="1"/>
  <c r="BH9" i="31"/>
  <c r="AV9" i="31"/>
  <c r="BB9" i="31" s="1"/>
  <c r="BH19" i="31"/>
  <c r="AV19" i="31"/>
  <c r="BB19" i="31" s="1"/>
  <c r="BH15" i="31"/>
  <c r="AV15" i="31"/>
  <c r="BB15" i="31" s="1"/>
  <c r="BH20" i="31"/>
  <c r="AV20" i="31"/>
  <c r="BB20" i="31" s="1"/>
  <c r="BH8" i="31"/>
  <c r="AV8" i="31"/>
  <c r="BB8" i="31" s="1"/>
  <c r="I15" i="5"/>
  <c r="S15" i="5" s="1"/>
  <c r="K14" i="5"/>
  <c r="U14" i="5" s="1"/>
  <c r="J14" i="5"/>
  <c r="T14" i="5" s="1"/>
  <c r="G18" i="5"/>
  <c r="Q18" i="5" s="1"/>
  <c r="AP10" i="3"/>
  <c r="AQ8" i="3"/>
  <c r="AA42" i="5"/>
  <c r="AN11" i="27"/>
  <c r="AO26" i="3"/>
  <c r="AP8" i="3"/>
  <c r="L41" i="27"/>
  <c r="AA38" i="5"/>
  <c r="L43" i="27"/>
  <c r="AP11" i="3"/>
  <c r="Z16" i="27"/>
  <c r="S18" i="27"/>
  <c r="X59" i="5"/>
  <c r="AR5" i="3"/>
  <c r="AA41" i="5"/>
  <c r="AQ7" i="3"/>
  <c r="AQ9" i="3"/>
  <c r="S16" i="27"/>
  <c r="Z45" i="5"/>
  <c r="AO25" i="3"/>
  <c r="L36" i="27"/>
  <c r="Z47" i="5"/>
  <c r="X62" i="5"/>
  <c r="AB42" i="5"/>
  <c r="AN13" i="27"/>
  <c r="AO29" i="3"/>
  <c r="AA43" i="5"/>
  <c r="L35" i="27"/>
  <c r="AB41" i="5"/>
  <c r="AO22" i="3"/>
  <c r="AB39" i="5"/>
  <c r="AG12" i="27"/>
  <c r="X61" i="5"/>
  <c r="S17" i="27"/>
  <c r="L34" i="27"/>
  <c r="X58" i="5"/>
  <c r="AS4" i="3"/>
  <c r="AO30" i="3"/>
  <c r="AG13" i="27"/>
  <c r="AN12" i="27"/>
  <c r="Z15" i="27"/>
  <c r="AO24" i="3"/>
  <c r="AO31" i="3"/>
  <c r="Z18" i="27"/>
  <c r="S15" i="27"/>
  <c r="AO27" i="3"/>
  <c r="Z46" i="5"/>
  <c r="AP9" i="3"/>
  <c r="L38" i="27"/>
  <c r="L37" i="27"/>
  <c r="Z44" i="5"/>
  <c r="Y46" i="5"/>
  <c r="X63" i="5"/>
  <c r="Y47" i="5"/>
  <c r="X60" i="5"/>
  <c r="AO23" i="3"/>
  <c r="R18" i="3"/>
  <c r="Y45" i="5"/>
  <c r="AA40" i="5"/>
  <c r="Y44" i="5"/>
  <c r="AO28" i="3"/>
  <c r="AB38" i="5"/>
  <c r="L39" i="27"/>
  <c r="Z17" i="27"/>
  <c r="L42" i="27"/>
  <c r="L40" i="27"/>
  <c r="AA39" i="5"/>
  <c r="AG11" i="27"/>
  <c r="AB40" i="5"/>
  <c r="AV17" i="31" l="1"/>
  <c r="BB17" i="31" s="1"/>
  <c r="HI7" i="27"/>
  <c r="HM7" i="27" s="1"/>
  <c r="DQ7" i="27"/>
  <c r="DW7" i="27" s="1"/>
  <c r="FM7" i="27"/>
  <c r="EI18" i="27"/>
  <c r="CM18" i="27"/>
  <c r="GE18" i="27"/>
  <c r="CG39" i="27"/>
  <c r="FY39" i="27"/>
  <c r="EC39" i="27"/>
  <c r="CG40" i="27"/>
  <c r="EC40" i="27"/>
  <c r="FY40" i="27"/>
  <c r="AE37" i="3"/>
  <c r="AE40" i="3"/>
  <c r="AE41" i="3"/>
  <c r="AE39" i="3"/>
  <c r="AE42" i="3"/>
  <c r="AE38" i="3"/>
  <c r="EI17" i="27"/>
  <c r="GE17" i="27"/>
  <c r="CM17" i="27"/>
  <c r="AD46" i="3"/>
  <c r="AD45" i="3"/>
  <c r="AD43" i="3"/>
  <c r="AD44" i="3"/>
  <c r="AB62" i="3"/>
  <c r="AB61" i="3"/>
  <c r="AB59" i="3"/>
  <c r="AB58" i="3"/>
  <c r="AB60" i="3"/>
  <c r="AB57" i="3"/>
  <c r="EC41" i="27"/>
  <c r="CG41" i="27"/>
  <c r="FY41" i="27"/>
  <c r="CG42" i="27"/>
  <c r="FY42" i="27"/>
  <c r="EC42" i="27"/>
  <c r="CG43" i="27"/>
  <c r="FY43" i="27"/>
  <c r="EC43" i="27"/>
  <c r="AF37" i="3"/>
  <c r="AF41" i="3"/>
  <c r="AF40" i="3"/>
  <c r="AF39" i="3"/>
  <c r="AF38" i="3"/>
  <c r="CS17" i="27"/>
  <c r="EO17" i="27"/>
  <c r="GK17" i="27"/>
  <c r="GQ12" i="27"/>
  <c r="EU12" i="27"/>
  <c r="CY12" i="27"/>
  <c r="EI16" i="27"/>
  <c r="CM16" i="27"/>
  <c r="GE16" i="27"/>
  <c r="GE15" i="27"/>
  <c r="CM15" i="27"/>
  <c r="EI15" i="27"/>
  <c r="DE12" i="27"/>
  <c r="FA12" i="27"/>
  <c r="GW12" i="27"/>
  <c r="CS18" i="27"/>
  <c r="GK18" i="27"/>
  <c r="EO18" i="27"/>
  <c r="AC44" i="3"/>
  <c r="AC45" i="3"/>
  <c r="AC46" i="3"/>
  <c r="AC43" i="3"/>
  <c r="CS16" i="27"/>
  <c r="GK16" i="27"/>
  <c r="EO16" i="27"/>
  <c r="EO15" i="27"/>
  <c r="GK15" i="27"/>
  <c r="CS15" i="27"/>
  <c r="CY13" i="27"/>
  <c r="EU13" i="27"/>
  <c r="GQ13" i="27"/>
  <c r="AT4" i="3"/>
  <c r="GW13" i="27"/>
  <c r="DE13" i="27"/>
  <c r="FA13" i="27"/>
  <c r="EC38" i="27"/>
  <c r="CG38" i="27"/>
  <c r="FY38" i="27"/>
  <c r="FY36" i="27"/>
  <c r="EC36" i="27"/>
  <c r="CG36" i="27"/>
  <c r="CG37" i="27"/>
  <c r="EC37" i="27"/>
  <c r="FY37" i="27"/>
  <c r="EC35" i="27"/>
  <c r="CG35" i="27"/>
  <c r="FY35" i="27"/>
  <c r="FY34" i="27"/>
  <c r="EC34" i="27"/>
  <c r="CG34" i="27"/>
  <c r="EU11" i="27"/>
  <c r="GQ11" i="27"/>
  <c r="CY11" i="27"/>
  <c r="T18" i="3"/>
  <c r="DE11" i="27"/>
  <c r="GW11" i="27"/>
  <c r="FA11" i="27"/>
  <c r="DU7" i="27"/>
  <c r="BD53" i="31"/>
  <c r="AR53" i="31"/>
  <c r="AX53" i="31" s="1"/>
  <c r="HD27" i="27"/>
  <c r="GB27" i="27"/>
  <c r="GC27" i="27"/>
  <c r="GD27" i="27"/>
  <c r="M45" i="31"/>
  <c r="AG45" i="31" s="1"/>
  <c r="AI41" i="3"/>
  <c r="L58" i="31"/>
  <c r="AF58" i="31" s="1"/>
  <c r="AH54" i="3"/>
  <c r="GC30" i="27"/>
  <c r="GD30" i="27"/>
  <c r="HD30" i="27"/>
  <c r="GB30" i="27"/>
  <c r="CP12" i="27"/>
  <c r="CQ12" i="27"/>
  <c r="CR12" i="27"/>
  <c r="DM12" i="27"/>
  <c r="GZ9" i="27"/>
  <c r="HH9" i="27"/>
  <c r="HB9" i="27"/>
  <c r="HA9" i="27"/>
  <c r="M44" i="31"/>
  <c r="AG44" i="31" s="1"/>
  <c r="AI40" i="3"/>
  <c r="GB29" i="27"/>
  <c r="GC29" i="27"/>
  <c r="HD29" i="27"/>
  <c r="GD29" i="27"/>
  <c r="EH27" i="27"/>
  <c r="EG27" i="27"/>
  <c r="EF27" i="27"/>
  <c r="FH27" i="27"/>
  <c r="EG29" i="27"/>
  <c r="EH29" i="27"/>
  <c r="FH29" i="27"/>
  <c r="EF29" i="27"/>
  <c r="CL30" i="27"/>
  <c r="CK30" i="27"/>
  <c r="DL30" i="27"/>
  <c r="CJ30" i="27"/>
  <c r="N43" i="31"/>
  <c r="AH43" i="31" s="1"/>
  <c r="AJ39" i="3"/>
  <c r="AU33" i="31"/>
  <c r="BA33" i="31" s="1"/>
  <c r="BG33" i="31"/>
  <c r="ER12" i="27"/>
  <c r="FJ12" i="27"/>
  <c r="ET12" i="27"/>
  <c r="ES12" i="27"/>
  <c r="CR11" i="27"/>
  <c r="DM11" i="27"/>
  <c r="CQ11" i="27"/>
  <c r="CP11" i="27"/>
  <c r="BG32" i="31"/>
  <c r="AU32" i="31"/>
  <c r="BA32" i="31" s="1"/>
  <c r="P40" i="31"/>
  <c r="AL36" i="3"/>
  <c r="ET13" i="27"/>
  <c r="FJ13" i="27"/>
  <c r="ER13" i="27"/>
  <c r="ES13" i="27"/>
  <c r="CQ13" i="27"/>
  <c r="DM13" i="27"/>
  <c r="CP13" i="27"/>
  <c r="CR13" i="27"/>
  <c r="FH25" i="27"/>
  <c r="EH25" i="27"/>
  <c r="EF25" i="27"/>
  <c r="EG25" i="27"/>
  <c r="HF12" i="27"/>
  <c r="GN12" i="27"/>
  <c r="GP12" i="27"/>
  <c r="GO12" i="27"/>
  <c r="FQ6" i="27"/>
  <c r="FS6" i="27"/>
  <c r="CL32" i="27"/>
  <c r="DL32" i="27"/>
  <c r="CJ32" i="27"/>
  <c r="CK32" i="27"/>
  <c r="GI13" i="27"/>
  <c r="HE13" i="27"/>
  <c r="GH13" i="27"/>
  <c r="GJ13" i="27"/>
  <c r="EF24" i="27"/>
  <c r="EG24" i="27"/>
  <c r="EH24" i="27"/>
  <c r="FH24" i="27"/>
  <c r="L59" i="31"/>
  <c r="AF59" i="31" s="1"/>
  <c r="AH55" i="3"/>
  <c r="AU30" i="31"/>
  <c r="BA30" i="31" s="1"/>
  <c r="BG30" i="31"/>
  <c r="AR54" i="31"/>
  <c r="AX54" i="31" s="1"/>
  <c r="BD54" i="31"/>
  <c r="AR52" i="31"/>
  <c r="AX52" i="31" s="1"/>
  <c r="BD52" i="31"/>
  <c r="BF37" i="31"/>
  <c r="AT37" i="31"/>
  <c r="AZ37" i="31" s="1"/>
  <c r="BF38" i="31"/>
  <c r="AT38" i="31"/>
  <c r="AZ38" i="31" s="1"/>
  <c r="BG29" i="31"/>
  <c r="AU29" i="31"/>
  <c r="BA29" i="31" s="1"/>
  <c r="BG27" i="31"/>
  <c r="AU27" i="31"/>
  <c r="BA27" i="31" s="1"/>
  <c r="BE36" i="31"/>
  <c r="AS36" i="31"/>
  <c r="AY36" i="31" s="1"/>
  <c r="Q32" i="31"/>
  <c r="AJ32" i="31"/>
  <c r="BE35" i="31"/>
  <c r="AS35" i="31"/>
  <c r="AY35" i="31" s="1"/>
  <c r="BG28" i="31"/>
  <c r="AU28" i="31"/>
  <c r="BA28" i="31" s="1"/>
  <c r="EG32" i="27"/>
  <c r="EF32" i="27"/>
  <c r="EH32" i="27"/>
  <c r="FH32" i="27"/>
  <c r="EG30" i="27"/>
  <c r="EH30" i="27"/>
  <c r="FH30" i="27"/>
  <c r="EF30" i="27"/>
  <c r="DL28" i="27"/>
  <c r="CK28" i="27"/>
  <c r="CJ28" i="27"/>
  <c r="CL28" i="27"/>
  <c r="GC24" i="27"/>
  <c r="HD24" i="27"/>
  <c r="GB24" i="27"/>
  <c r="GD24" i="27"/>
  <c r="DN12" i="27"/>
  <c r="CV12" i="27"/>
  <c r="CX12" i="27"/>
  <c r="CW12" i="27"/>
  <c r="DI9" i="27"/>
  <c r="DJ9" i="27"/>
  <c r="DH9" i="27"/>
  <c r="DP9" i="27"/>
  <c r="M43" i="31"/>
  <c r="AG43" i="31" s="1"/>
  <c r="AI39" i="3"/>
  <c r="AJ40" i="3"/>
  <c r="N44" i="31"/>
  <c r="AH44" i="31" s="1"/>
  <c r="O37" i="31"/>
  <c r="AI37" i="31" s="1"/>
  <c r="AK33" i="3"/>
  <c r="DU6" i="27"/>
  <c r="DW6" i="27"/>
  <c r="BQ14" i="23"/>
  <c r="BF39" i="31"/>
  <c r="AT39" i="31"/>
  <c r="AZ39" i="31" s="1"/>
  <c r="AS40" i="31"/>
  <c r="AY40" i="31" s="1"/>
  <c r="BE40" i="31"/>
  <c r="AS41" i="31"/>
  <c r="AY41" i="31" s="1"/>
  <c r="BE41" i="31"/>
  <c r="H16" i="5"/>
  <c r="R16" i="5" s="1"/>
  <c r="GU9" i="27"/>
  <c r="GT9" i="27"/>
  <c r="HG9" i="27"/>
  <c r="GV9" i="27"/>
  <c r="HD32" i="27"/>
  <c r="GD32" i="27"/>
  <c r="GC32" i="27"/>
  <c r="GB32" i="27"/>
  <c r="GD31" i="27"/>
  <c r="GC31" i="27"/>
  <c r="GB31" i="27"/>
  <c r="HD31" i="27"/>
  <c r="GD28" i="27"/>
  <c r="HD28" i="27"/>
  <c r="GC28" i="27"/>
  <c r="GB28" i="27"/>
  <c r="DB8" i="27"/>
  <c r="DO8" i="27"/>
  <c r="DD8" i="27"/>
  <c r="DC8" i="27"/>
  <c r="CJ24" i="27"/>
  <c r="CK24" i="27"/>
  <c r="DL24" i="27"/>
  <c r="CL24" i="27"/>
  <c r="DP10" i="27"/>
  <c r="DH10" i="27"/>
  <c r="DI10" i="27"/>
  <c r="DJ10" i="27"/>
  <c r="FL9" i="27"/>
  <c r="FF9" i="27"/>
  <c r="FD9" i="27"/>
  <c r="FE9" i="27"/>
  <c r="M42" i="31"/>
  <c r="AG42" i="31" s="1"/>
  <c r="AI38" i="3"/>
  <c r="AL33" i="3"/>
  <c r="P37" i="31"/>
  <c r="N45" i="31"/>
  <c r="AH45" i="31" s="1"/>
  <c r="AJ41" i="3"/>
  <c r="O39" i="31"/>
  <c r="AI39" i="31" s="1"/>
  <c r="AK35" i="3"/>
  <c r="Q33" i="31"/>
  <c r="AJ33" i="31"/>
  <c r="BE38" i="31"/>
  <c r="AS38" i="31"/>
  <c r="AY38" i="31" s="1"/>
  <c r="AT40" i="31"/>
  <c r="AZ40" i="31" s="1"/>
  <c r="BF40" i="31"/>
  <c r="BF41" i="31"/>
  <c r="AT41" i="31"/>
  <c r="AZ41" i="31" s="1"/>
  <c r="BF36" i="31"/>
  <c r="AT36" i="31"/>
  <c r="AZ36" i="31" s="1"/>
  <c r="BD56" i="31"/>
  <c r="AR56" i="31"/>
  <c r="AX56" i="31" s="1"/>
  <c r="FQ7" i="27"/>
  <c r="FS7" i="27"/>
  <c r="EZ9" i="27"/>
  <c r="FK9" i="27"/>
  <c r="EY9" i="27"/>
  <c r="EX9" i="27"/>
  <c r="FH33" i="27"/>
  <c r="EH33" i="27"/>
  <c r="EG33" i="27"/>
  <c r="EF33" i="27"/>
  <c r="CL31" i="27"/>
  <c r="CJ31" i="27"/>
  <c r="DL31" i="27"/>
  <c r="CK31" i="27"/>
  <c r="EZ10" i="27"/>
  <c r="EX10" i="27"/>
  <c r="FK10" i="27"/>
  <c r="EY10" i="27"/>
  <c r="EF28" i="27"/>
  <c r="FH28" i="27"/>
  <c r="EH28" i="27"/>
  <c r="EG28" i="27"/>
  <c r="EZ8" i="27"/>
  <c r="EX8" i="27"/>
  <c r="FK8" i="27"/>
  <c r="EY8" i="27"/>
  <c r="EF26" i="27"/>
  <c r="EG26" i="27"/>
  <c r="EH26" i="27"/>
  <c r="FH26" i="27"/>
  <c r="HA10" i="27"/>
  <c r="HB10" i="27"/>
  <c r="HH10" i="27"/>
  <c r="GZ10" i="27"/>
  <c r="CW11" i="27"/>
  <c r="DN11" i="27"/>
  <c r="CV11" i="27"/>
  <c r="CX11" i="27"/>
  <c r="CR14" i="27"/>
  <c r="CP14" i="27"/>
  <c r="DM14" i="27"/>
  <c r="CQ14" i="27"/>
  <c r="DH8" i="27"/>
  <c r="DI8" i="27"/>
  <c r="DP8" i="27"/>
  <c r="DJ8" i="27"/>
  <c r="P36" i="31"/>
  <c r="AL32" i="3"/>
  <c r="AJ38" i="3"/>
  <c r="N42" i="31"/>
  <c r="AH42" i="31" s="1"/>
  <c r="O38" i="31"/>
  <c r="AI38" i="31" s="1"/>
  <c r="AK34" i="3"/>
  <c r="AU31" i="31"/>
  <c r="BA31" i="31" s="1"/>
  <c r="BG31" i="31"/>
  <c r="BF35" i="31"/>
  <c r="AT35" i="31"/>
  <c r="AZ35" i="31" s="1"/>
  <c r="AJ30" i="31"/>
  <c r="Q30" i="31"/>
  <c r="BG34" i="31"/>
  <c r="AU34" i="31"/>
  <c r="BA34" i="31" s="1"/>
  <c r="DC9" i="27"/>
  <c r="DD9" i="27"/>
  <c r="DB9" i="27"/>
  <c r="DO9" i="27"/>
  <c r="GD33" i="27"/>
  <c r="HD33" i="27"/>
  <c r="GB33" i="27"/>
  <c r="GC33" i="27"/>
  <c r="ES14" i="27"/>
  <c r="FJ14" i="27"/>
  <c r="ET14" i="27"/>
  <c r="ER14" i="27"/>
  <c r="EF31" i="27"/>
  <c r="FH31" i="27"/>
  <c r="EH31" i="27"/>
  <c r="EG31" i="27"/>
  <c r="GU10" i="27"/>
  <c r="HG10" i="27"/>
  <c r="GT10" i="27"/>
  <c r="GV10" i="27"/>
  <c r="GU8" i="27"/>
  <c r="GT8" i="27"/>
  <c r="HG8" i="27"/>
  <c r="GV8" i="27"/>
  <c r="GB26" i="27"/>
  <c r="GC26" i="27"/>
  <c r="HD26" i="27"/>
  <c r="GD26" i="27"/>
  <c r="FE10" i="27"/>
  <c r="FD10" i="27"/>
  <c r="FF10" i="27"/>
  <c r="FL10" i="27"/>
  <c r="FJ11" i="27"/>
  <c r="ES11" i="27"/>
  <c r="ET11" i="27"/>
  <c r="ER11" i="27"/>
  <c r="GJ14" i="27"/>
  <c r="GH14" i="27"/>
  <c r="GI14" i="27"/>
  <c r="HE14" i="27"/>
  <c r="FF8" i="27"/>
  <c r="FD8" i="27"/>
  <c r="FE8" i="27"/>
  <c r="FL8" i="27"/>
  <c r="AL35" i="3"/>
  <c r="P39" i="31"/>
  <c r="AJ42" i="3"/>
  <c r="N46" i="31"/>
  <c r="AH46" i="31" s="1"/>
  <c r="O36" i="31"/>
  <c r="AI36" i="31" s="1"/>
  <c r="AK32" i="3"/>
  <c r="BD55" i="31"/>
  <c r="AR55" i="31"/>
  <c r="AX55" i="31" s="1"/>
  <c r="Q31" i="31"/>
  <c r="AJ31" i="31"/>
  <c r="BE37" i="31"/>
  <c r="AS37" i="31"/>
  <c r="AY37" i="31" s="1"/>
  <c r="Q34" i="31"/>
  <c r="AJ34" i="31"/>
  <c r="BE39" i="31"/>
  <c r="AS39" i="31"/>
  <c r="AY39" i="31" s="1"/>
  <c r="HM6" i="27"/>
  <c r="HO6" i="27"/>
  <c r="AJ28" i="31"/>
  <c r="Q28" i="31"/>
  <c r="GN13" i="27"/>
  <c r="GO13" i="27"/>
  <c r="HF13" i="27"/>
  <c r="GP13" i="27"/>
  <c r="CK33" i="27"/>
  <c r="CJ33" i="27"/>
  <c r="CL33" i="27"/>
  <c r="DL33" i="27"/>
  <c r="CV14" i="27"/>
  <c r="CX14" i="27"/>
  <c r="DN14" i="27"/>
  <c r="CW14" i="27"/>
  <c r="FI12" i="27"/>
  <c r="EM12" i="27"/>
  <c r="EN12" i="27"/>
  <c r="EL12" i="27"/>
  <c r="DB10" i="27"/>
  <c r="DD10" i="27"/>
  <c r="DC10" i="27"/>
  <c r="DO10" i="27"/>
  <c r="HD25" i="27"/>
  <c r="GC25" i="27"/>
  <c r="GB25" i="27"/>
  <c r="GD25" i="27"/>
  <c r="CJ26" i="27"/>
  <c r="CL26" i="27"/>
  <c r="CK26" i="27"/>
  <c r="DL26" i="27"/>
  <c r="EN11" i="27"/>
  <c r="EL11" i="27"/>
  <c r="FI11" i="27"/>
  <c r="EM11" i="27"/>
  <c r="GP11" i="27"/>
  <c r="GN11" i="27"/>
  <c r="HF11" i="27"/>
  <c r="GO11" i="27"/>
  <c r="FI14" i="27"/>
  <c r="EN14" i="27"/>
  <c r="EM14" i="27"/>
  <c r="EL14" i="27"/>
  <c r="HA8" i="27"/>
  <c r="GZ8" i="27"/>
  <c r="HH8" i="27"/>
  <c r="HB8" i="27"/>
  <c r="P38" i="31"/>
  <c r="AL34" i="3"/>
  <c r="L57" i="31"/>
  <c r="AF57" i="31" s="1"/>
  <c r="AH53" i="3"/>
  <c r="O35" i="31"/>
  <c r="AI35" i="31" s="1"/>
  <c r="AK31" i="3"/>
  <c r="BD51" i="31"/>
  <c r="AR51" i="31"/>
  <c r="AX51" i="31" s="1"/>
  <c r="AJ29" i="31"/>
  <c r="Q29" i="31"/>
  <c r="Q27" i="31"/>
  <c r="AJ27" i="31"/>
  <c r="DN13" i="27"/>
  <c r="CV13" i="27"/>
  <c r="CX13" i="27"/>
  <c r="CW13" i="27"/>
  <c r="EN13" i="27"/>
  <c r="EL13" i="27"/>
  <c r="EM13" i="27"/>
  <c r="FI13" i="27"/>
  <c r="GN14" i="27"/>
  <c r="GP14" i="27"/>
  <c r="HF14" i="27"/>
  <c r="GO14" i="27"/>
  <c r="GI12" i="27"/>
  <c r="GJ12" i="27"/>
  <c r="GH12" i="27"/>
  <c r="HE12" i="27"/>
  <c r="DL27" i="27"/>
  <c r="CK27" i="27"/>
  <c r="CL27" i="27"/>
  <c r="CJ27" i="27"/>
  <c r="CL25" i="27"/>
  <c r="CK25" i="27"/>
  <c r="CJ25" i="27"/>
  <c r="DL25" i="27"/>
  <c r="HE11" i="27"/>
  <c r="GH11" i="27"/>
  <c r="GI11" i="27"/>
  <c r="GJ11" i="27"/>
  <c r="AI42" i="3"/>
  <c r="M46" i="31"/>
  <c r="AG46" i="31" s="1"/>
  <c r="DL29" i="27"/>
  <c r="CL29" i="27"/>
  <c r="CJ29" i="27"/>
  <c r="CK29" i="27"/>
  <c r="P35" i="31"/>
  <c r="AL31" i="3"/>
  <c r="L60" i="31"/>
  <c r="AF60" i="31" s="1"/>
  <c r="AH56" i="3"/>
  <c r="O40" i="31"/>
  <c r="AI40" i="31" s="1"/>
  <c r="AK36" i="3"/>
  <c r="I16" i="5"/>
  <c r="S16" i="5" s="1"/>
  <c r="K15" i="5"/>
  <c r="U15" i="5" s="1"/>
  <c r="J15" i="5"/>
  <c r="T15" i="5" s="1"/>
  <c r="G19" i="5"/>
  <c r="Q19" i="5" s="1"/>
  <c r="Y50" i="5"/>
  <c r="L47" i="27"/>
  <c r="AG15" i="27"/>
  <c r="L59" i="27"/>
  <c r="Y52" i="5"/>
  <c r="Z52" i="5"/>
  <c r="AN17" i="27"/>
  <c r="S19" i="27"/>
  <c r="AO33" i="3"/>
  <c r="L55" i="27"/>
  <c r="S23" i="27"/>
  <c r="AO32" i="3"/>
  <c r="L48" i="27"/>
  <c r="AQ13" i="3"/>
  <c r="Y53" i="5"/>
  <c r="L53" i="27"/>
  <c r="AO35" i="3"/>
  <c r="AB44" i="5"/>
  <c r="Z49" i="5"/>
  <c r="AP13" i="3"/>
  <c r="AN16" i="27"/>
  <c r="AR6" i="3"/>
  <c r="AA46" i="5"/>
  <c r="L51" i="27"/>
  <c r="L46" i="27"/>
  <c r="Y51" i="5"/>
  <c r="AP12" i="3"/>
  <c r="AO38" i="3"/>
  <c r="L49" i="27"/>
  <c r="Y48" i="5"/>
  <c r="Z23" i="27"/>
  <c r="L63" i="27"/>
  <c r="AR7" i="3"/>
  <c r="AN15" i="27"/>
  <c r="Z20" i="27"/>
  <c r="AB46" i="5"/>
  <c r="AO41" i="3"/>
  <c r="S21" i="27"/>
  <c r="AO36" i="3"/>
  <c r="AG18" i="27"/>
  <c r="Z53" i="5"/>
  <c r="AB45" i="5"/>
  <c r="AO37" i="3"/>
  <c r="AB43" i="5"/>
  <c r="AP15" i="3"/>
  <c r="X69" i="5"/>
  <c r="Z51" i="5"/>
  <c r="L50" i="27"/>
  <c r="AO39" i="3"/>
  <c r="Z19" i="27"/>
  <c r="AQ10" i="3"/>
  <c r="AG14" i="27"/>
  <c r="L44" i="27"/>
  <c r="AO40" i="3"/>
  <c r="X66" i="5"/>
  <c r="AQ11" i="3"/>
  <c r="S22" i="27"/>
  <c r="AG16" i="27"/>
  <c r="AP14" i="3"/>
  <c r="L57" i="27"/>
  <c r="L58" i="27"/>
  <c r="Z50" i="5"/>
  <c r="X64" i="5"/>
  <c r="L60" i="27"/>
  <c r="L45" i="27"/>
  <c r="AN14" i="27"/>
  <c r="Z22" i="27"/>
  <c r="Y49" i="5"/>
  <c r="Z21" i="27"/>
  <c r="AG17" i="27"/>
  <c r="L52" i="27"/>
  <c r="L54" i="27"/>
  <c r="X67" i="5"/>
  <c r="AO34" i="3"/>
  <c r="Z48" i="5"/>
  <c r="L61" i="27"/>
  <c r="AQ12" i="3"/>
  <c r="AS5" i="3"/>
  <c r="AA45" i="5"/>
  <c r="AA44" i="5"/>
  <c r="L56" i="27"/>
  <c r="L62" i="27"/>
  <c r="S20" i="27"/>
  <c r="X65" i="5"/>
  <c r="X68" i="5"/>
  <c r="DQ10" i="27" l="1"/>
  <c r="HO7" i="27"/>
  <c r="HI9" i="27"/>
  <c r="DQ9" i="27"/>
  <c r="FM9" i="27"/>
  <c r="FQ9" i="27" s="1"/>
  <c r="HI10" i="27"/>
  <c r="HO10" i="27" s="1"/>
  <c r="DQ8" i="27"/>
  <c r="HI8" i="27"/>
  <c r="HM8" i="27" s="1"/>
  <c r="FM8" i="27"/>
  <c r="FS8" i="27" s="1"/>
  <c r="FM10" i="27"/>
  <c r="FQ10" i="27" s="1"/>
  <c r="AE43" i="3"/>
  <c r="AE45" i="3"/>
  <c r="AE44" i="3"/>
  <c r="EI22" i="27"/>
  <c r="GE22" i="27"/>
  <c r="CM22" i="27"/>
  <c r="GK20" i="27"/>
  <c r="CS20" i="27"/>
  <c r="EO20" i="27"/>
  <c r="EO21" i="27"/>
  <c r="CS21" i="27"/>
  <c r="GK21" i="27"/>
  <c r="CS19" i="27"/>
  <c r="EO19" i="27"/>
  <c r="GK19" i="27"/>
  <c r="CY16" i="27"/>
  <c r="EU16" i="27"/>
  <c r="GQ16" i="27"/>
  <c r="AD50" i="3"/>
  <c r="AD51" i="3"/>
  <c r="AD48" i="3"/>
  <c r="AD47" i="3"/>
  <c r="AD49" i="3"/>
  <c r="AD52" i="3"/>
  <c r="EC47" i="27"/>
  <c r="CG47" i="27"/>
  <c r="FY47" i="27"/>
  <c r="EC48" i="27"/>
  <c r="CG48" i="27"/>
  <c r="FY48" i="27"/>
  <c r="EC49" i="27"/>
  <c r="CG49" i="27"/>
  <c r="FY49" i="27"/>
  <c r="FY44" i="27"/>
  <c r="EC44" i="27"/>
  <c r="CG44" i="27"/>
  <c r="CG46" i="27"/>
  <c r="FY46" i="27"/>
  <c r="EC46" i="27"/>
  <c r="CG45" i="27"/>
  <c r="FY45" i="27"/>
  <c r="EC45" i="27"/>
  <c r="EO23" i="27"/>
  <c r="GK23" i="27"/>
  <c r="CS23" i="27"/>
  <c r="GW16" i="27"/>
  <c r="FA16" i="27"/>
  <c r="DE16" i="27"/>
  <c r="EC57" i="27"/>
  <c r="CG57" i="27"/>
  <c r="FY57" i="27"/>
  <c r="CG59" i="27"/>
  <c r="FY59" i="27"/>
  <c r="EC59" i="27"/>
  <c r="FY56" i="27"/>
  <c r="EC56" i="27"/>
  <c r="CG56" i="27"/>
  <c r="EC58" i="27"/>
  <c r="CG58" i="27"/>
  <c r="FY58" i="27"/>
  <c r="AC49" i="3"/>
  <c r="AC51" i="3"/>
  <c r="AC47" i="3"/>
  <c r="AC48" i="3"/>
  <c r="AC50" i="3"/>
  <c r="AC52" i="3"/>
  <c r="CG52" i="27"/>
  <c r="FY52" i="27"/>
  <c r="EC52" i="27"/>
  <c r="EC51" i="27"/>
  <c r="FY51" i="27"/>
  <c r="CG51" i="27"/>
  <c r="EC50" i="27"/>
  <c r="FY50" i="27"/>
  <c r="CG50" i="27"/>
  <c r="CY18" i="27"/>
  <c r="GQ18" i="27"/>
  <c r="EU18" i="27"/>
  <c r="AT5" i="3"/>
  <c r="FA17" i="27"/>
  <c r="DE17" i="27"/>
  <c r="GW17" i="27"/>
  <c r="EC53" i="27"/>
  <c r="CG53" i="27"/>
  <c r="FY53" i="27"/>
  <c r="FY54" i="27"/>
  <c r="EC54" i="27"/>
  <c r="CG54" i="27"/>
  <c r="FY55" i="27"/>
  <c r="EC55" i="27"/>
  <c r="CG55" i="27"/>
  <c r="GQ17" i="27"/>
  <c r="EU17" i="27"/>
  <c r="CY17" i="27"/>
  <c r="GE23" i="27"/>
  <c r="EI23" i="27"/>
  <c r="CM23" i="27"/>
  <c r="CS22" i="27"/>
  <c r="EO22" i="27"/>
  <c r="GK22" i="27"/>
  <c r="GE20" i="27"/>
  <c r="CM20" i="27"/>
  <c r="EI20" i="27"/>
  <c r="EI21" i="27"/>
  <c r="GE21" i="27"/>
  <c r="CM21" i="27"/>
  <c r="CM19" i="27"/>
  <c r="EI19" i="27"/>
  <c r="GE19" i="27"/>
  <c r="EC60" i="27"/>
  <c r="CG60" i="27"/>
  <c r="FY60" i="27"/>
  <c r="FY61" i="27"/>
  <c r="CG61" i="27"/>
  <c r="EC61" i="27"/>
  <c r="CG63" i="27"/>
  <c r="EC63" i="27"/>
  <c r="FY63" i="27"/>
  <c r="FY62" i="27"/>
  <c r="EC62" i="27"/>
  <c r="CG62" i="27"/>
  <c r="GQ15" i="27"/>
  <c r="CY15" i="27"/>
  <c r="EU15" i="27"/>
  <c r="CY14" i="27"/>
  <c r="EU14" i="27"/>
  <c r="GQ14" i="27"/>
  <c r="AB65" i="3"/>
  <c r="AB64" i="3"/>
  <c r="AB67" i="3"/>
  <c r="AB63" i="3"/>
  <c r="AB68" i="3"/>
  <c r="AB66" i="3"/>
  <c r="AF42" i="3"/>
  <c r="AF43" i="3"/>
  <c r="AF45" i="3"/>
  <c r="AF44" i="3"/>
  <c r="DE15" i="27"/>
  <c r="FA15" i="27"/>
  <c r="GW15" i="27"/>
  <c r="GW14" i="27"/>
  <c r="DE14" i="27"/>
  <c r="FA14" i="27"/>
  <c r="DW9" i="27"/>
  <c r="DU9" i="27"/>
  <c r="HM10" i="27"/>
  <c r="DU8" i="27"/>
  <c r="DW8" i="27"/>
  <c r="DU10" i="27"/>
  <c r="DW10" i="27"/>
  <c r="AV33" i="31"/>
  <c r="BB33" i="31" s="1"/>
  <c r="BH33" i="31"/>
  <c r="CW15" i="27"/>
  <c r="DN15" i="27"/>
  <c r="CV15" i="27"/>
  <c r="CX15" i="27"/>
  <c r="DI12" i="27"/>
  <c r="DJ12" i="27"/>
  <c r="DH12" i="27"/>
  <c r="DP12" i="27"/>
  <c r="BE46" i="31"/>
  <c r="AS46" i="31"/>
  <c r="AY46" i="31" s="1"/>
  <c r="BH34" i="31"/>
  <c r="AV34" i="31"/>
  <c r="BB34" i="31" s="1"/>
  <c r="FS9" i="27"/>
  <c r="BE42" i="31"/>
  <c r="AS42" i="31"/>
  <c r="AY42" i="31" s="1"/>
  <c r="BF43" i="31"/>
  <c r="AT43" i="31"/>
  <c r="AZ43" i="31" s="1"/>
  <c r="BE45" i="31"/>
  <c r="AS45" i="31"/>
  <c r="AY45" i="31" s="1"/>
  <c r="EF34" i="27"/>
  <c r="EH34" i="27"/>
  <c r="EG34" i="27"/>
  <c r="FH34" i="27"/>
  <c r="CL36" i="27"/>
  <c r="CK36" i="27"/>
  <c r="CJ36" i="27"/>
  <c r="DL36" i="27"/>
  <c r="HH13" i="27"/>
  <c r="GZ13" i="27"/>
  <c r="HA13" i="27"/>
  <c r="HB13" i="27"/>
  <c r="GO15" i="27"/>
  <c r="GP15" i="27"/>
  <c r="GN15" i="27"/>
  <c r="HF15" i="27"/>
  <c r="M48" i="31"/>
  <c r="AG48" i="31" s="1"/>
  <c r="AI44" i="3"/>
  <c r="EL15" i="27"/>
  <c r="EN15" i="27"/>
  <c r="EM15" i="27"/>
  <c r="FI15" i="27"/>
  <c r="FK12" i="27"/>
  <c r="EY12" i="27"/>
  <c r="EZ12" i="27"/>
  <c r="EX12" i="27"/>
  <c r="HD43" i="27"/>
  <c r="GD43" i="27"/>
  <c r="GB43" i="27"/>
  <c r="GC43" i="27"/>
  <c r="N47" i="31"/>
  <c r="AH47" i="31" s="1"/>
  <c r="AJ43" i="3"/>
  <c r="O42" i="31"/>
  <c r="AI42" i="31" s="1"/>
  <c r="AK38" i="3"/>
  <c r="CK40" i="27"/>
  <c r="CJ40" i="27"/>
  <c r="DL40" i="27"/>
  <c r="CL40" i="27"/>
  <c r="BG40" i="31"/>
  <c r="AU40" i="31"/>
  <c r="BA40" i="31" s="1"/>
  <c r="EG43" i="27"/>
  <c r="EH43" i="27"/>
  <c r="EF43" i="27"/>
  <c r="FH43" i="27"/>
  <c r="BD60" i="31"/>
  <c r="AR60" i="31"/>
  <c r="AX60" i="31" s="1"/>
  <c r="BD57" i="31"/>
  <c r="AR57" i="31"/>
  <c r="AX57" i="31" s="1"/>
  <c r="BG38" i="31"/>
  <c r="AU38" i="31"/>
  <c r="BA38" i="31" s="1"/>
  <c r="H17" i="5"/>
  <c r="R17" i="5" s="1"/>
  <c r="BD59" i="31"/>
  <c r="AR59" i="31"/>
  <c r="AX59" i="31" s="1"/>
  <c r="GD34" i="27"/>
  <c r="HD34" i="27"/>
  <c r="GB34" i="27"/>
  <c r="GC34" i="27"/>
  <c r="EF36" i="27"/>
  <c r="EH36" i="27"/>
  <c r="EG36" i="27"/>
  <c r="FH36" i="27"/>
  <c r="ER15" i="27"/>
  <c r="ES15" i="27"/>
  <c r="FJ15" i="27"/>
  <c r="ET15" i="27"/>
  <c r="DM15" i="27"/>
  <c r="CR15" i="27"/>
  <c r="CP15" i="27"/>
  <c r="CQ15" i="27"/>
  <c r="GV12" i="27"/>
  <c r="GU12" i="27"/>
  <c r="HG12" i="27"/>
  <c r="GT12" i="27"/>
  <c r="CL43" i="27"/>
  <c r="CK43" i="27"/>
  <c r="CJ43" i="27"/>
  <c r="DL43" i="27"/>
  <c r="L61" i="31"/>
  <c r="AF61" i="31" s="1"/>
  <c r="AH57" i="3"/>
  <c r="N49" i="31"/>
  <c r="AH49" i="31" s="1"/>
  <c r="AJ45" i="3"/>
  <c r="O46" i="31"/>
  <c r="AI46" i="31" s="1"/>
  <c r="AK42" i="3"/>
  <c r="EH39" i="27"/>
  <c r="EF39" i="27"/>
  <c r="EG39" i="27"/>
  <c r="FH39" i="27"/>
  <c r="BH32" i="31"/>
  <c r="AV32" i="31"/>
  <c r="BB32" i="31" s="1"/>
  <c r="CJ34" i="27"/>
  <c r="CK34" i="27"/>
  <c r="CL34" i="27"/>
  <c r="DL34" i="27"/>
  <c r="EG41" i="27"/>
  <c r="FH41" i="27"/>
  <c r="EF41" i="27"/>
  <c r="EH41" i="27"/>
  <c r="AV29" i="31"/>
  <c r="BB29" i="31" s="1"/>
  <c r="BH29" i="31"/>
  <c r="BF42" i="31"/>
  <c r="AT42" i="31"/>
  <c r="AZ42" i="31" s="1"/>
  <c r="BG39" i="31"/>
  <c r="AU39" i="31"/>
  <c r="BA39" i="31" s="1"/>
  <c r="GD35" i="27"/>
  <c r="GB35" i="27"/>
  <c r="HD35" i="27"/>
  <c r="GC35" i="27"/>
  <c r="GD36" i="27"/>
  <c r="GC36" i="27"/>
  <c r="GB36" i="27"/>
  <c r="HD36" i="27"/>
  <c r="ES16" i="27"/>
  <c r="ET16" i="27"/>
  <c r="FJ16" i="27"/>
  <c r="ER16" i="27"/>
  <c r="ER18" i="27"/>
  <c r="FJ18" i="27"/>
  <c r="ET18" i="27"/>
  <c r="ES18" i="27"/>
  <c r="HE15" i="27"/>
  <c r="GJ15" i="27"/>
  <c r="GI15" i="27"/>
  <c r="GH15" i="27"/>
  <c r="GP17" i="27"/>
  <c r="HF17" i="27"/>
  <c r="GN17" i="27"/>
  <c r="GO17" i="27"/>
  <c r="P42" i="31"/>
  <c r="AL38" i="3"/>
  <c r="EF42" i="27"/>
  <c r="EG42" i="27"/>
  <c r="FH42" i="27"/>
  <c r="EH42" i="27"/>
  <c r="L64" i="31"/>
  <c r="AF64" i="31" s="1"/>
  <c r="AH60" i="3"/>
  <c r="N50" i="31"/>
  <c r="AH50" i="31" s="1"/>
  <c r="AJ46" i="3"/>
  <c r="AK39" i="3"/>
  <c r="O43" i="31"/>
  <c r="AI43" i="31" s="1"/>
  <c r="GD39" i="27"/>
  <c r="GB39" i="27"/>
  <c r="HD39" i="27"/>
  <c r="GC39" i="27"/>
  <c r="AU35" i="31"/>
  <c r="BA35" i="31" s="1"/>
  <c r="BG35" i="31"/>
  <c r="CJ37" i="27"/>
  <c r="CL37" i="27"/>
  <c r="CK37" i="27"/>
  <c r="DL37" i="27"/>
  <c r="EL17" i="27"/>
  <c r="FI17" i="27"/>
  <c r="EM17" i="27"/>
  <c r="EN17" i="27"/>
  <c r="Q35" i="31"/>
  <c r="AJ35" i="31"/>
  <c r="AJ38" i="31"/>
  <c r="Q38" i="31"/>
  <c r="AV28" i="31"/>
  <c r="BB28" i="31" s="1"/>
  <c r="BH28" i="31"/>
  <c r="BG36" i="31"/>
  <c r="AU36" i="31"/>
  <c r="BA36" i="31" s="1"/>
  <c r="AU37" i="31"/>
  <c r="BA37" i="31" s="1"/>
  <c r="BG37" i="31"/>
  <c r="HM9" i="27"/>
  <c r="HO9" i="27"/>
  <c r="FL11" i="27"/>
  <c r="FD11" i="27"/>
  <c r="FE11" i="27"/>
  <c r="FF11" i="27"/>
  <c r="CJ35" i="27"/>
  <c r="CL35" i="27"/>
  <c r="DL35" i="27"/>
  <c r="CK35" i="27"/>
  <c r="GD38" i="27"/>
  <c r="GC38" i="27"/>
  <c r="HD38" i="27"/>
  <c r="GB38" i="27"/>
  <c r="HF16" i="27"/>
  <c r="GO16" i="27"/>
  <c r="GN16" i="27"/>
  <c r="GP16" i="27"/>
  <c r="GN18" i="27"/>
  <c r="HF18" i="27"/>
  <c r="GO18" i="27"/>
  <c r="GP18" i="27"/>
  <c r="GI16" i="27"/>
  <c r="GH16" i="27"/>
  <c r="HE16" i="27"/>
  <c r="GJ16" i="27"/>
  <c r="ET17" i="27"/>
  <c r="ER17" i="27"/>
  <c r="FJ17" i="27"/>
  <c r="ES17" i="27"/>
  <c r="P43" i="31"/>
  <c r="AL39" i="3"/>
  <c r="HD42" i="27"/>
  <c r="GD42" i="27"/>
  <c r="GC42" i="27"/>
  <c r="GB42" i="27"/>
  <c r="L62" i="31"/>
  <c r="AF62" i="31" s="1"/>
  <c r="AH58" i="3"/>
  <c r="O45" i="31"/>
  <c r="AI45" i="31" s="1"/>
  <c r="AK41" i="3"/>
  <c r="DL39" i="27"/>
  <c r="CK39" i="27"/>
  <c r="CJ39" i="27"/>
  <c r="CL39" i="27"/>
  <c r="BH30" i="31"/>
  <c r="AV30" i="31"/>
  <c r="BB30" i="31" s="1"/>
  <c r="EF40" i="27"/>
  <c r="EG40" i="27"/>
  <c r="FH40" i="27"/>
  <c r="EH40" i="27"/>
  <c r="BF46" i="31"/>
  <c r="AT46" i="31"/>
  <c r="AZ46" i="31" s="1"/>
  <c r="BF45" i="31"/>
  <c r="AT45" i="31"/>
  <c r="AZ45" i="31" s="1"/>
  <c r="AT44" i="31"/>
  <c r="AZ44" i="31" s="1"/>
  <c r="BF44" i="31"/>
  <c r="HA11" i="27"/>
  <c r="GZ11" i="27"/>
  <c r="HB11" i="27"/>
  <c r="HH11" i="27"/>
  <c r="DD11" i="27"/>
  <c r="DC11" i="27"/>
  <c r="DO11" i="27"/>
  <c r="DB11" i="27"/>
  <c r="FH35" i="27"/>
  <c r="EF35" i="27"/>
  <c r="EG35" i="27"/>
  <c r="EH35" i="27"/>
  <c r="CJ38" i="27"/>
  <c r="CK38" i="27"/>
  <c r="CL38" i="27"/>
  <c r="DL38" i="27"/>
  <c r="GT13" i="27"/>
  <c r="GV13" i="27"/>
  <c r="GU13" i="27"/>
  <c r="HG13" i="27"/>
  <c r="CX16" i="27"/>
  <c r="DN16" i="27"/>
  <c r="CW16" i="27"/>
  <c r="CV16" i="27"/>
  <c r="CX18" i="27"/>
  <c r="CV18" i="27"/>
  <c r="CW18" i="27"/>
  <c r="DN18" i="27"/>
  <c r="CP16" i="27"/>
  <c r="CQ16" i="27"/>
  <c r="DM16" i="27"/>
  <c r="CR16" i="27"/>
  <c r="DN17" i="27"/>
  <c r="CX17" i="27"/>
  <c r="CW17" i="27"/>
  <c r="CV17" i="27"/>
  <c r="AL40" i="3"/>
  <c r="P44" i="31"/>
  <c r="CK42" i="27"/>
  <c r="CJ42" i="27"/>
  <c r="CL42" i="27"/>
  <c r="DL42" i="27"/>
  <c r="L63" i="31"/>
  <c r="AF63" i="31" s="1"/>
  <c r="AH59" i="3"/>
  <c r="O44" i="31"/>
  <c r="AI44" i="31" s="1"/>
  <c r="AK40" i="3"/>
  <c r="GH18" i="27"/>
  <c r="GJ18" i="27"/>
  <c r="GI18" i="27"/>
  <c r="HE18" i="27"/>
  <c r="BE43" i="31"/>
  <c r="AS43" i="31"/>
  <c r="AY43" i="31" s="1"/>
  <c r="DH13" i="27"/>
  <c r="DP13" i="27"/>
  <c r="DJ13" i="27"/>
  <c r="DI13" i="27"/>
  <c r="M49" i="31"/>
  <c r="AG49" i="31" s="1"/>
  <c r="AI45" i="3"/>
  <c r="N48" i="31"/>
  <c r="AH48" i="31" s="1"/>
  <c r="AJ44" i="3"/>
  <c r="AV31" i="31"/>
  <c r="BB31" i="31" s="1"/>
  <c r="BH31" i="31"/>
  <c r="Q36" i="31"/>
  <c r="AJ36" i="31"/>
  <c r="AJ37" i="31"/>
  <c r="Q37" i="31"/>
  <c r="DP11" i="27"/>
  <c r="DJ11" i="27"/>
  <c r="DH11" i="27"/>
  <c r="DI11" i="27"/>
  <c r="HG11" i="27"/>
  <c r="GU11" i="27"/>
  <c r="GV11" i="27"/>
  <c r="GT11" i="27"/>
  <c r="GD37" i="27"/>
  <c r="GC37" i="27"/>
  <c r="GB37" i="27"/>
  <c r="HD37" i="27"/>
  <c r="EF38" i="27"/>
  <c r="FH38" i="27"/>
  <c r="EH38" i="27"/>
  <c r="EG38" i="27"/>
  <c r="EZ13" i="27"/>
  <c r="EX13" i="27"/>
  <c r="FK13" i="27"/>
  <c r="EY13" i="27"/>
  <c r="M47" i="31"/>
  <c r="AG47" i="31" s="1"/>
  <c r="AI43" i="3"/>
  <c r="GZ12" i="27"/>
  <c r="HA12" i="27"/>
  <c r="HH12" i="27"/>
  <c r="HB12" i="27"/>
  <c r="EN16" i="27"/>
  <c r="FI16" i="27"/>
  <c r="EM16" i="27"/>
  <c r="EL16" i="27"/>
  <c r="P45" i="31"/>
  <c r="AL41" i="3"/>
  <c r="GB41" i="27"/>
  <c r="HD41" i="27"/>
  <c r="GD41" i="27"/>
  <c r="GC41" i="27"/>
  <c r="L65" i="31"/>
  <c r="AF65" i="31" s="1"/>
  <c r="AH61" i="3"/>
  <c r="DM17" i="27"/>
  <c r="CQ17" i="27"/>
  <c r="CR17" i="27"/>
  <c r="CP17" i="27"/>
  <c r="O41" i="31"/>
  <c r="AI41" i="31" s="1"/>
  <c r="AK37" i="3"/>
  <c r="DM18" i="27"/>
  <c r="CP18" i="27"/>
  <c r="CR18" i="27"/>
  <c r="CQ18" i="27"/>
  <c r="DC12" i="27"/>
  <c r="DD12" i="27"/>
  <c r="DO12" i="27"/>
  <c r="DB12" i="27"/>
  <c r="BH27" i="31"/>
  <c r="AV27" i="31"/>
  <c r="BB27" i="31" s="1"/>
  <c r="Q39" i="31"/>
  <c r="AJ39" i="31"/>
  <c r="AJ40" i="31"/>
  <c r="Q40" i="31"/>
  <c r="BE44" i="31"/>
  <c r="AS44" i="31"/>
  <c r="AY44" i="31" s="1"/>
  <c r="BD58" i="31"/>
  <c r="AR58" i="31"/>
  <c r="AX58" i="31" s="1"/>
  <c r="FK11" i="27"/>
  <c r="EZ11" i="27"/>
  <c r="EX11" i="27"/>
  <c r="EY11" i="27"/>
  <c r="FH37" i="27"/>
  <c r="EH37" i="27"/>
  <c r="EG37" i="27"/>
  <c r="EF37" i="27"/>
  <c r="FE13" i="27"/>
  <c r="FL13" i="27"/>
  <c r="FD13" i="27"/>
  <c r="FF13" i="27"/>
  <c r="DC13" i="27"/>
  <c r="DB13" i="27"/>
  <c r="DD13" i="27"/>
  <c r="DO13" i="27"/>
  <c r="M50" i="31"/>
  <c r="AG50" i="31" s="1"/>
  <c r="AI46" i="3"/>
  <c r="FE12" i="27"/>
  <c r="FL12" i="27"/>
  <c r="FD12" i="27"/>
  <c r="FF12" i="27"/>
  <c r="P41" i="31"/>
  <c r="AL37" i="3"/>
  <c r="CL41" i="27"/>
  <c r="DL41" i="27"/>
  <c r="CJ41" i="27"/>
  <c r="CK41" i="27"/>
  <c r="L66" i="31"/>
  <c r="AF66" i="31" s="1"/>
  <c r="AH62" i="3"/>
  <c r="GJ17" i="27"/>
  <c r="HE17" i="27"/>
  <c r="GI17" i="27"/>
  <c r="GH17" i="27"/>
  <c r="GC40" i="27"/>
  <c r="GB40" i="27"/>
  <c r="GD40" i="27"/>
  <c r="HD40" i="27"/>
  <c r="EN18" i="27"/>
  <c r="FI18" i="27"/>
  <c r="EL18" i="27"/>
  <c r="EM18" i="27"/>
  <c r="I17" i="5"/>
  <c r="S17" i="5" s="1"/>
  <c r="K16" i="5"/>
  <c r="U16" i="5" s="1"/>
  <c r="J16" i="5"/>
  <c r="T16" i="5" s="1"/>
  <c r="G20" i="5"/>
  <c r="Q20" i="5" s="1"/>
  <c r="Z28" i="27"/>
  <c r="AB47" i="5"/>
  <c r="R19" i="3"/>
  <c r="Z27" i="27"/>
  <c r="AP17" i="3"/>
  <c r="S31" i="27"/>
  <c r="S24" i="27"/>
  <c r="L90" i="27"/>
  <c r="L84" i="27"/>
  <c r="AO56" i="3"/>
  <c r="S28" i="27"/>
  <c r="L79" i="27"/>
  <c r="L73" i="27"/>
  <c r="L68" i="27"/>
  <c r="L66" i="27"/>
  <c r="AO44" i="3"/>
  <c r="AQ16" i="3"/>
  <c r="AO49" i="3"/>
  <c r="AG22" i="27"/>
  <c r="Z29" i="27"/>
  <c r="Y56" i="5"/>
  <c r="L92" i="27"/>
  <c r="AB48" i="5"/>
  <c r="L71" i="27"/>
  <c r="L94" i="27"/>
  <c r="Z55" i="5"/>
  <c r="L85" i="27"/>
  <c r="AO51" i="3"/>
  <c r="AG21" i="27"/>
  <c r="Z25" i="27"/>
  <c r="AO58" i="3"/>
  <c r="AB52" i="5"/>
  <c r="X70" i="5"/>
  <c r="AN19" i="27"/>
  <c r="AA49" i="5"/>
  <c r="AB51" i="5"/>
  <c r="Z24" i="27"/>
  <c r="AR9" i="3"/>
  <c r="AA51" i="5"/>
  <c r="AO59" i="3"/>
  <c r="AR10" i="3"/>
  <c r="L64" i="27"/>
  <c r="X72" i="5"/>
  <c r="L86" i="27"/>
  <c r="L80" i="27"/>
  <c r="S25" i="27"/>
  <c r="AP19" i="3"/>
  <c r="L69" i="27"/>
  <c r="Z56" i="5"/>
  <c r="AO47" i="3"/>
  <c r="L76" i="27"/>
  <c r="AO50" i="3"/>
  <c r="AA48" i="5"/>
  <c r="AG20" i="27"/>
  <c r="AO48" i="3"/>
  <c r="X73" i="5"/>
  <c r="L75" i="27"/>
  <c r="L83" i="27"/>
  <c r="L89" i="27"/>
  <c r="L78" i="27"/>
  <c r="AB50" i="5"/>
  <c r="AP18" i="3"/>
  <c r="L65" i="27"/>
  <c r="AO57" i="3"/>
  <c r="AA50" i="5"/>
  <c r="Z54" i="5"/>
  <c r="AB49" i="5"/>
  <c r="AO54" i="3"/>
  <c r="L67" i="27"/>
  <c r="L70" i="27"/>
  <c r="AG19" i="27"/>
  <c r="S26" i="27"/>
  <c r="L81" i="27"/>
  <c r="Z57" i="5"/>
  <c r="AN20" i="27"/>
  <c r="AO53" i="3"/>
  <c r="S30" i="27"/>
  <c r="AO60" i="3"/>
  <c r="AO55" i="3"/>
  <c r="Z31" i="27"/>
  <c r="AO45" i="3"/>
  <c r="AA47" i="5"/>
  <c r="AS6" i="3"/>
  <c r="Z33" i="27"/>
  <c r="Y57" i="5"/>
  <c r="Y55" i="5"/>
  <c r="L72" i="27"/>
  <c r="AN21" i="27"/>
  <c r="AO61" i="3"/>
  <c r="X71" i="5"/>
  <c r="AQ15" i="3"/>
  <c r="AR8" i="3"/>
  <c r="L77" i="27"/>
  <c r="AQ14" i="3"/>
  <c r="Z26" i="27"/>
  <c r="L87" i="27"/>
  <c r="AO52" i="3"/>
  <c r="S32" i="27"/>
  <c r="AO42" i="3"/>
  <c r="S33" i="27"/>
  <c r="AN22" i="27"/>
  <c r="S27" i="27"/>
  <c r="L82" i="27"/>
  <c r="L88" i="27"/>
  <c r="Z32" i="27"/>
  <c r="S29" i="27"/>
  <c r="AP16" i="3"/>
  <c r="L93" i="27"/>
  <c r="AO43" i="3"/>
  <c r="AO46" i="3"/>
  <c r="AN18" i="27"/>
  <c r="Y54" i="5"/>
  <c r="L74" i="27"/>
  <c r="L91" i="27"/>
  <c r="AA52" i="5"/>
  <c r="Z30" i="27"/>
  <c r="HO8" i="27" l="1"/>
  <c r="FS10" i="27"/>
  <c r="HI11" i="27"/>
  <c r="DQ13" i="27"/>
  <c r="FQ8" i="27"/>
  <c r="DQ12" i="27"/>
  <c r="HI12" i="27"/>
  <c r="HO12" i="27" s="1"/>
  <c r="HI13" i="27"/>
  <c r="HM13" i="27" s="1"/>
  <c r="FM11" i="27"/>
  <c r="FS11" i="27" s="1"/>
  <c r="DQ11" i="27"/>
  <c r="FM12" i="27"/>
  <c r="EO29" i="27"/>
  <c r="GK29" i="27"/>
  <c r="CS29" i="27"/>
  <c r="AE47" i="3"/>
  <c r="AE48" i="3"/>
  <c r="AE51" i="3"/>
  <c r="AE49" i="3"/>
  <c r="AE46" i="3"/>
  <c r="AE50" i="3"/>
  <c r="AB72" i="3"/>
  <c r="AB70" i="3"/>
  <c r="AB69" i="3"/>
  <c r="AB71" i="3"/>
  <c r="AD55" i="3"/>
  <c r="AD53" i="3"/>
  <c r="AD56" i="3"/>
  <c r="AD54" i="3"/>
  <c r="AF49" i="3"/>
  <c r="AF48" i="3"/>
  <c r="AF46" i="3"/>
  <c r="AF51" i="3"/>
  <c r="AF50" i="3"/>
  <c r="AF47" i="3"/>
  <c r="EC78" i="27"/>
  <c r="FY78" i="27"/>
  <c r="CG78" i="27"/>
  <c r="CG82" i="27"/>
  <c r="FY82" i="27"/>
  <c r="EC82" i="27"/>
  <c r="CG81" i="27"/>
  <c r="EC81" i="27"/>
  <c r="FY81" i="27"/>
  <c r="EC80" i="27"/>
  <c r="FY80" i="27"/>
  <c r="CG80" i="27"/>
  <c r="EC79" i="27"/>
  <c r="CG79" i="27"/>
  <c r="FY79" i="27"/>
  <c r="FA21" i="27"/>
  <c r="DE21" i="27"/>
  <c r="GW21" i="27"/>
  <c r="DE20" i="27"/>
  <c r="FA20" i="27"/>
  <c r="GW20" i="27"/>
  <c r="GK26" i="27"/>
  <c r="EO26" i="27"/>
  <c r="CS26" i="27"/>
  <c r="EO25" i="27"/>
  <c r="GK25" i="27"/>
  <c r="CS25" i="27"/>
  <c r="CS24" i="27"/>
  <c r="EO24" i="27"/>
  <c r="GK24" i="27"/>
  <c r="AT6" i="3"/>
  <c r="T19" i="3"/>
  <c r="DE19" i="27"/>
  <c r="FA19" i="27"/>
  <c r="GW19" i="27"/>
  <c r="FA18" i="27"/>
  <c r="GW18" i="27"/>
  <c r="DE18" i="27"/>
  <c r="GK27" i="27"/>
  <c r="CS27" i="27"/>
  <c r="EO27" i="27"/>
  <c r="CS28" i="27"/>
  <c r="EO28" i="27"/>
  <c r="GK28" i="27"/>
  <c r="FY83" i="27"/>
  <c r="EC83" i="27"/>
  <c r="CG83" i="27"/>
  <c r="CG87" i="27"/>
  <c r="FY87" i="27"/>
  <c r="EC87" i="27"/>
  <c r="CG86" i="27"/>
  <c r="EC86" i="27"/>
  <c r="FY86" i="27"/>
  <c r="CG85" i="27"/>
  <c r="EC85" i="27"/>
  <c r="FY85" i="27"/>
  <c r="FY84" i="27"/>
  <c r="EC84" i="27"/>
  <c r="CG84" i="27"/>
  <c r="FY88" i="27"/>
  <c r="CG88" i="27"/>
  <c r="EC88" i="27"/>
  <c r="EI30" i="27"/>
  <c r="GE30" i="27"/>
  <c r="CM30" i="27"/>
  <c r="EI31" i="27"/>
  <c r="CM31" i="27"/>
  <c r="GE31" i="27"/>
  <c r="GK33" i="27"/>
  <c r="CS33" i="27"/>
  <c r="EO33" i="27"/>
  <c r="GK32" i="27"/>
  <c r="CS32" i="27"/>
  <c r="EO32" i="27"/>
  <c r="AC55" i="3"/>
  <c r="AC54" i="3"/>
  <c r="AC56" i="3"/>
  <c r="AC53" i="3"/>
  <c r="CM27" i="27"/>
  <c r="EI27" i="27"/>
  <c r="GE27" i="27"/>
  <c r="CM28" i="27"/>
  <c r="GE28" i="27"/>
  <c r="EI28" i="27"/>
  <c r="EO31" i="27"/>
  <c r="CS31" i="27"/>
  <c r="GK31" i="27"/>
  <c r="GK30" i="27"/>
  <c r="CS30" i="27"/>
  <c r="EO30" i="27"/>
  <c r="FY70" i="27"/>
  <c r="CG70" i="27"/>
  <c r="EC70" i="27"/>
  <c r="EC72" i="27"/>
  <c r="CG72" i="27"/>
  <c r="FY72" i="27"/>
  <c r="EC69" i="27"/>
  <c r="FY69" i="27"/>
  <c r="CG69" i="27"/>
  <c r="FY68" i="27"/>
  <c r="EC68" i="27"/>
  <c r="CG68" i="27"/>
  <c r="FY71" i="27"/>
  <c r="CG71" i="27"/>
  <c r="EC71" i="27"/>
  <c r="CG67" i="27"/>
  <c r="FY67" i="27"/>
  <c r="EC67" i="27"/>
  <c r="FY66" i="27"/>
  <c r="CG66" i="27"/>
  <c r="EC66" i="27"/>
  <c r="CG64" i="27"/>
  <c r="FY64" i="27"/>
  <c r="EC64" i="27"/>
  <c r="FY65" i="27"/>
  <c r="CG65" i="27"/>
  <c r="EC65" i="27"/>
  <c r="GE26" i="27"/>
  <c r="EI26" i="27"/>
  <c r="CM26" i="27"/>
  <c r="EI25" i="27"/>
  <c r="GE25" i="27"/>
  <c r="CM25" i="27"/>
  <c r="GE24" i="27"/>
  <c r="EI24" i="27"/>
  <c r="CM24" i="27"/>
  <c r="CY22" i="27"/>
  <c r="EU22" i="27"/>
  <c r="GQ22" i="27"/>
  <c r="CG92" i="27"/>
  <c r="FY92" i="27"/>
  <c r="EC92" i="27"/>
  <c r="EC89" i="27"/>
  <c r="CG89" i="27"/>
  <c r="FY89" i="27"/>
  <c r="EC93" i="27"/>
  <c r="FY93" i="27"/>
  <c r="CG93" i="27"/>
  <c r="CG94" i="27"/>
  <c r="EC94" i="27"/>
  <c r="FY94" i="27"/>
  <c r="CG91" i="27"/>
  <c r="FY91" i="27"/>
  <c r="EC91" i="27"/>
  <c r="EC90" i="27"/>
  <c r="FY90" i="27"/>
  <c r="CG90" i="27"/>
  <c r="GE32" i="27"/>
  <c r="EI32" i="27"/>
  <c r="CM32" i="27"/>
  <c r="CM33" i="27"/>
  <c r="EI33" i="27"/>
  <c r="GE33" i="27"/>
  <c r="DE22" i="27"/>
  <c r="GW22" i="27"/>
  <c r="FA22" i="27"/>
  <c r="FY74" i="27"/>
  <c r="EC74" i="27"/>
  <c r="CG74" i="27"/>
  <c r="CG76" i="27"/>
  <c r="FY76" i="27"/>
  <c r="EC76" i="27"/>
  <c r="CG75" i="27"/>
  <c r="EC75" i="27"/>
  <c r="FY75" i="27"/>
  <c r="FY77" i="27"/>
  <c r="EC77" i="27"/>
  <c r="CG77" i="27"/>
  <c r="FY73" i="27"/>
  <c r="CG73" i="27"/>
  <c r="EC73" i="27"/>
  <c r="CM29" i="27"/>
  <c r="EI29" i="27"/>
  <c r="GE29" i="27"/>
  <c r="EU20" i="27"/>
  <c r="CY20" i="27"/>
  <c r="GQ20" i="27"/>
  <c r="EU21" i="27"/>
  <c r="CY21" i="27"/>
  <c r="GQ21" i="27"/>
  <c r="GQ19" i="27"/>
  <c r="CY19" i="27"/>
  <c r="EU19" i="27"/>
  <c r="DW11" i="27"/>
  <c r="DU11" i="27"/>
  <c r="BF48" i="31"/>
  <c r="AT48" i="31"/>
  <c r="AZ48" i="31" s="1"/>
  <c r="BD63" i="31"/>
  <c r="AR63" i="31"/>
  <c r="AX63" i="31" s="1"/>
  <c r="FH59" i="27"/>
  <c r="EF59" i="27"/>
  <c r="EG59" i="27"/>
  <c r="EH59" i="27"/>
  <c r="HH16" i="27"/>
  <c r="HA16" i="27"/>
  <c r="HB16" i="27"/>
  <c r="GZ16" i="27"/>
  <c r="HO13" i="27"/>
  <c r="Q42" i="31"/>
  <c r="AJ42" i="31"/>
  <c r="N53" i="31"/>
  <c r="AH53" i="31" s="1"/>
  <c r="AJ49" i="3"/>
  <c r="DC18" i="27"/>
  <c r="DO18" i="27"/>
  <c r="DB18" i="27"/>
  <c r="DD18" i="27"/>
  <c r="HD52" i="27"/>
  <c r="GB52" i="27"/>
  <c r="GD52" i="27"/>
  <c r="GC52" i="27"/>
  <c r="DJ14" i="27"/>
  <c r="DH14" i="27"/>
  <c r="DI14" i="27"/>
  <c r="DP14" i="27"/>
  <c r="DW13" i="27"/>
  <c r="DU13" i="27"/>
  <c r="AV37" i="31"/>
  <c r="BB37" i="31" s="1"/>
  <c r="BH37" i="31"/>
  <c r="FS12" i="27"/>
  <c r="FQ12" i="27"/>
  <c r="ES22" i="27"/>
  <c r="FJ22" i="27"/>
  <c r="ET22" i="27"/>
  <c r="ER22" i="27"/>
  <c r="CJ55" i="27"/>
  <c r="DL55" i="27"/>
  <c r="CL55" i="27"/>
  <c r="CK55" i="27"/>
  <c r="EH53" i="27"/>
  <c r="EG53" i="27"/>
  <c r="FH53" i="27"/>
  <c r="EF53" i="27"/>
  <c r="BF50" i="31"/>
  <c r="AT50" i="31"/>
  <c r="AZ50" i="31" s="1"/>
  <c r="EF46" i="27"/>
  <c r="EG46" i="27"/>
  <c r="FH46" i="27"/>
  <c r="EH46" i="27"/>
  <c r="EH49" i="27"/>
  <c r="EG49" i="27"/>
  <c r="FH49" i="27"/>
  <c r="EF49" i="27"/>
  <c r="AL45" i="3"/>
  <c r="P49" i="31"/>
  <c r="L69" i="31"/>
  <c r="AF69" i="31" s="1"/>
  <c r="AH65" i="3"/>
  <c r="EG62" i="27"/>
  <c r="FH62" i="27"/>
  <c r="EF62" i="27"/>
  <c r="EH62" i="27"/>
  <c r="GB60" i="27"/>
  <c r="GD60" i="27"/>
  <c r="GC60" i="27"/>
  <c r="HD60" i="27"/>
  <c r="FI21" i="27"/>
  <c r="EN21" i="27"/>
  <c r="EL21" i="27"/>
  <c r="EM21" i="27"/>
  <c r="DU12" i="27"/>
  <c r="DW12" i="27"/>
  <c r="BG41" i="31"/>
  <c r="AU41" i="31"/>
  <c r="BA41" i="31" s="1"/>
  <c r="FM13" i="27"/>
  <c r="DB16" i="27"/>
  <c r="DC16" i="27"/>
  <c r="DO16" i="27"/>
  <c r="DD16" i="27"/>
  <c r="CW20" i="27"/>
  <c r="DN20" i="27"/>
  <c r="CV20" i="27"/>
  <c r="CX20" i="27"/>
  <c r="BE50" i="31"/>
  <c r="AS50" i="31"/>
  <c r="AY50" i="31" s="1"/>
  <c r="BG45" i="31"/>
  <c r="AU45" i="31"/>
  <c r="BA45" i="31" s="1"/>
  <c r="Q43" i="31"/>
  <c r="AJ43" i="31"/>
  <c r="BF47" i="31"/>
  <c r="AT47" i="31"/>
  <c r="AZ47" i="31" s="1"/>
  <c r="HH14" i="27"/>
  <c r="HB14" i="27"/>
  <c r="GZ14" i="27"/>
  <c r="HA14" i="27"/>
  <c r="AL43" i="3"/>
  <c r="P47" i="31"/>
  <c r="GV14" i="27"/>
  <c r="GT14" i="27"/>
  <c r="GU14" i="27"/>
  <c r="HG14" i="27"/>
  <c r="GD62" i="27"/>
  <c r="HD62" i="27"/>
  <c r="GB62" i="27"/>
  <c r="GC62" i="27"/>
  <c r="CK60" i="27"/>
  <c r="CJ60" i="27"/>
  <c r="CL60" i="27"/>
  <c r="DL60" i="27"/>
  <c r="EM20" i="27"/>
  <c r="FI20" i="27"/>
  <c r="EN20" i="27"/>
  <c r="EL20" i="27"/>
  <c r="DN22" i="27"/>
  <c r="CW22" i="27"/>
  <c r="CX22" i="27"/>
  <c r="CV22" i="27"/>
  <c r="EG55" i="27"/>
  <c r="EF55" i="27"/>
  <c r="EH55" i="27"/>
  <c r="FH55" i="27"/>
  <c r="HH17" i="27"/>
  <c r="HA17" i="27"/>
  <c r="GZ17" i="27"/>
  <c r="HB17" i="27"/>
  <c r="CL50" i="27"/>
  <c r="CJ50" i="27"/>
  <c r="DL50" i="27"/>
  <c r="CK50" i="27"/>
  <c r="CL52" i="27"/>
  <c r="CK52" i="27"/>
  <c r="CJ52" i="27"/>
  <c r="DL52" i="27"/>
  <c r="GC59" i="27"/>
  <c r="GB59" i="27"/>
  <c r="GD59" i="27"/>
  <c r="HD59" i="27"/>
  <c r="HD46" i="27"/>
  <c r="GC46" i="27"/>
  <c r="GB46" i="27"/>
  <c r="GD46" i="27"/>
  <c r="GB48" i="27"/>
  <c r="GC48" i="27"/>
  <c r="GD48" i="27"/>
  <c r="HD48" i="27"/>
  <c r="N51" i="31"/>
  <c r="AH51" i="31" s="1"/>
  <c r="AJ47" i="3"/>
  <c r="GN19" i="27"/>
  <c r="GP19" i="27"/>
  <c r="GO19" i="27"/>
  <c r="HF19" i="27"/>
  <c r="GO20" i="27"/>
  <c r="GN20" i="27"/>
  <c r="GP20" i="27"/>
  <c r="HF20" i="27"/>
  <c r="AV36" i="31"/>
  <c r="BB36" i="31" s="1"/>
  <c r="BH36" i="31"/>
  <c r="BE49" i="31"/>
  <c r="AS49" i="31"/>
  <c r="AY49" i="31" s="1"/>
  <c r="BH38" i="31"/>
  <c r="AV38" i="31"/>
  <c r="BB38" i="31" s="1"/>
  <c r="AR64" i="31"/>
  <c r="AX64" i="31" s="1"/>
  <c r="BD64" i="31"/>
  <c r="AU46" i="31"/>
  <c r="BA46" i="31" s="1"/>
  <c r="BG46" i="31"/>
  <c r="GZ15" i="27"/>
  <c r="HH15" i="27"/>
  <c r="HB15" i="27"/>
  <c r="HA15" i="27"/>
  <c r="AL42" i="3"/>
  <c r="P46" i="31"/>
  <c r="EZ14" i="27"/>
  <c r="EY14" i="27"/>
  <c r="FK14" i="27"/>
  <c r="EX14" i="27"/>
  <c r="GC63" i="27"/>
  <c r="HD63" i="27"/>
  <c r="GD63" i="27"/>
  <c r="GB63" i="27"/>
  <c r="EG60" i="27"/>
  <c r="EH60" i="27"/>
  <c r="FH60" i="27"/>
  <c r="EF60" i="27"/>
  <c r="CR20" i="27"/>
  <c r="DM20" i="27"/>
  <c r="CQ20" i="27"/>
  <c r="CP20" i="27"/>
  <c r="DM23" i="27"/>
  <c r="CP23" i="27"/>
  <c r="CR23" i="27"/>
  <c r="CQ23" i="27"/>
  <c r="GC55" i="27"/>
  <c r="GB55" i="27"/>
  <c r="GD55" i="27"/>
  <c r="HD55" i="27"/>
  <c r="DI17" i="27"/>
  <c r="DP17" i="27"/>
  <c r="DH17" i="27"/>
  <c r="DJ17" i="27"/>
  <c r="GD50" i="27"/>
  <c r="GB50" i="27"/>
  <c r="HD50" i="27"/>
  <c r="GC50" i="27"/>
  <c r="M56" i="31"/>
  <c r="AG56" i="31" s="1"/>
  <c r="AI52" i="3"/>
  <c r="HD58" i="27"/>
  <c r="GC58" i="27"/>
  <c r="GD58" i="27"/>
  <c r="GB58" i="27"/>
  <c r="CJ59" i="27"/>
  <c r="CK59" i="27"/>
  <c r="CL59" i="27"/>
  <c r="DL59" i="27"/>
  <c r="CX23" i="27"/>
  <c r="CW23" i="27"/>
  <c r="DN23" i="27"/>
  <c r="CV23" i="27"/>
  <c r="DL46" i="27"/>
  <c r="CJ46" i="27"/>
  <c r="CK46" i="27"/>
  <c r="CL46" i="27"/>
  <c r="DL48" i="27"/>
  <c r="CJ48" i="27"/>
  <c r="CK48" i="27"/>
  <c r="CL48" i="27"/>
  <c r="AJ48" i="3"/>
  <c r="N52" i="31"/>
  <c r="AH52" i="31" s="1"/>
  <c r="ES19" i="27"/>
  <c r="ER19" i="27"/>
  <c r="ET19" i="27"/>
  <c r="FJ19" i="27"/>
  <c r="CR22" i="27"/>
  <c r="CP22" i="27"/>
  <c r="CQ22" i="27"/>
  <c r="DM22" i="27"/>
  <c r="Q41" i="31"/>
  <c r="AJ41" i="31"/>
  <c r="BH39" i="31"/>
  <c r="AV39" i="31"/>
  <c r="BB39" i="31" s="1"/>
  <c r="BD62" i="31"/>
  <c r="AR62" i="31"/>
  <c r="AX62" i="31" s="1"/>
  <c r="BH35" i="31"/>
  <c r="AV35" i="31"/>
  <c r="BB35" i="31" s="1"/>
  <c r="H18" i="5"/>
  <c r="R18" i="5" s="1"/>
  <c r="FF15" i="27"/>
  <c r="FD15" i="27"/>
  <c r="FE15" i="27"/>
  <c r="FL15" i="27"/>
  <c r="L70" i="31"/>
  <c r="AF70" i="31" s="1"/>
  <c r="AH66" i="3"/>
  <c r="DD14" i="27"/>
  <c r="DO14" i="27"/>
  <c r="DB14" i="27"/>
  <c r="DC14" i="27"/>
  <c r="EH63" i="27"/>
  <c r="FH63" i="27"/>
  <c r="EG63" i="27"/>
  <c r="EF63" i="27"/>
  <c r="HE19" i="27"/>
  <c r="GJ19" i="27"/>
  <c r="GI19" i="27"/>
  <c r="GH19" i="27"/>
  <c r="GI20" i="27"/>
  <c r="GJ20" i="27"/>
  <c r="HE20" i="27"/>
  <c r="GH20" i="27"/>
  <c r="EL23" i="27"/>
  <c r="FI23" i="27"/>
  <c r="EN23" i="27"/>
  <c r="EM23" i="27"/>
  <c r="DL54" i="27"/>
  <c r="CK54" i="27"/>
  <c r="CL54" i="27"/>
  <c r="CJ54" i="27"/>
  <c r="FD17" i="27"/>
  <c r="FF17" i="27"/>
  <c r="FE17" i="27"/>
  <c r="FL17" i="27"/>
  <c r="EG50" i="27"/>
  <c r="EH50" i="27"/>
  <c r="EF50" i="27"/>
  <c r="FH50" i="27"/>
  <c r="AI50" i="3"/>
  <c r="M54" i="31"/>
  <c r="AG54" i="31" s="1"/>
  <c r="CK58" i="27"/>
  <c r="CJ58" i="27"/>
  <c r="DL58" i="27"/>
  <c r="CL58" i="27"/>
  <c r="GB57" i="27"/>
  <c r="HD57" i="27"/>
  <c r="GD57" i="27"/>
  <c r="GC57" i="27"/>
  <c r="GP23" i="27"/>
  <c r="GN23" i="27"/>
  <c r="HF23" i="27"/>
  <c r="GO23" i="27"/>
  <c r="CK44" i="27"/>
  <c r="CL44" i="27"/>
  <c r="CJ44" i="27"/>
  <c r="DL44" i="27"/>
  <c r="EG48" i="27"/>
  <c r="EH48" i="27"/>
  <c r="FH48" i="27"/>
  <c r="EF48" i="27"/>
  <c r="N55" i="31"/>
  <c r="AH55" i="31" s="1"/>
  <c r="AJ51" i="3"/>
  <c r="CW19" i="27"/>
  <c r="CX19" i="27"/>
  <c r="CV19" i="27"/>
  <c r="DN19" i="27"/>
  <c r="GH22" i="27"/>
  <c r="HE22" i="27"/>
  <c r="GI22" i="27"/>
  <c r="GJ22" i="27"/>
  <c r="BQ23" i="23"/>
  <c r="AJ45" i="31"/>
  <c r="Q45" i="31"/>
  <c r="BF49" i="31"/>
  <c r="AT49" i="31"/>
  <c r="AZ49" i="31" s="1"/>
  <c r="DH15" i="27"/>
  <c r="DJ15" i="27"/>
  <c r="DP15" i="27"/>
  <c r="DI15" i="27"/>
  <c r="L72" i="31"/>
  <c r="AF72" i="31" s="1"/>
  <c r="AH68" i="3"/>
  <c r="FK15" i="27"/>
  <c r="EX15" i="27"/>
  <c r="EZ15" i="27"/>
  <c r="EY15" i="27"/>
  <c r="CJ63" i="27"/>
  <c r="DL63" i="27"/>
  <c r="CL63" i="27"/>
  <c r="CK63" i="27"/>
  <c r="EN19" i="27"/>
  <c r="FI19" i="27"/>
  <c r="EL19" i="27"/>
  <c r="EM19" i="27"/>
  <c r="HE23" i="27"/>
  <c r="GI23" i="27"/>
  <c r="GH23" i="27"/>
  <c r="GJ23" i="27"/>
  <c r="EG54" i="27"/>
  <c r="FH54" i="27"/>
  <c r="EF54" i="27"/>
  <c r="EH54" i="27"/>
  <c r="CJ51" i="27"/>
  <c r="CK51" i="27"/>
  <c r="CL51" i="27"/>
  <c r="DL51" i="27"/>
  <c r="M52" i="31"/>
  <c r="AG52" i="31" s="1"/>
  <c r="AI48" i="3"/>
  <c r="FH58" i="27"/>
  <c r="EG58" i="27"/>
  <c r="EF58" i="27"/>
  <c r="EH58" i="27"/>
  <c r="DL57" i="27"/>
  <c r="CL57" i="27"/>
  <c r="CJ57" i="27"/>
  <c r="CK57" i="27"/>
  <c r="ER23" i="27"/>
  <c r="ES23" i="27"/>
  <c r="ET23" i="27"/>
  <c r="FJ23" i="27"/>
  <c r="EF44" i="27"/>
  <c r="EG44" i="27"/>
  <c r="FH44" i="27"/>
  <c r="EH44" i="27"/>
  <c r="GC47" i="27"/>
  <c r="GD47" i="27"/>
  <c r="GB47" i="27"/>
  <c r="HD47" i="27"/>
  <c r="N54" i="31"/>
  <c r="AH54" i="31" s="1"/>
  <c r="AJ50" i="3"/>
  <c r="GN21" i="27"/>
  <c r="GP21" i="27"/>
  <c r="HF21" i="27"/>
  <c r="GO21" i="27"/>
  <c r="FI22" i="27"/>
  <c r="EM22" i="27"/>
  <c r="EN22" i="27"/>
  <c r="EL22" i="27"/>
  <c r="BD66" i="31"/>
  <c r="AR66" i="31"/>
  <c r="AX66" i="31" s="1"/>
  <c r="Q44" i="31"/>
  <c r="AJ44" i="31"/>
  <c r="BG43" i="31"/>
  <c r="AU43" i="31"/>
  <c r="BA43" i="31" s="1"/>
  <c r="L67" i="31"/>
  <c r="AF67" i="31" s="1"/>
  <c r="AH63" i="3"/>
  <c r="DO15" i="27"/>
  <c r="DQ15" i="27" s="1"/>
  <c r="DD15" i="27"/>
  <c r="DB15" i="27"/>
  <c r="DC15" i="27"/>
  <c r="FH61" i="27"/>
  <c r="EF61" i="27"/>
  <c r="EH61" i="27"/>
  <c r="EG61" i="27"/>
  <c r="CQ19" i="27"/>
  <c r="DM19" i="27"/>
  <c r="CR19" i="27"/>
  <c r="CP19" i="27"/>
  <c r="DB17" i="27"/>
  <c r="DD17" i="27"/>
  <c r="DO17" i="27"/>
  <c r="DC17" i="27"/>
  <c r="GB54" i="27"/>
  <c r="HD54" i="27"/>
  <c r="GD54" i="27"/>
  <c r="GC54" i="27"/>
  <c r="HD51" i="27"/>
  <c r="GD51" i="27"/>
  <c r="GB51" i="27"/>
  <c r="GC51" i="27"/>
  <c r="AI47" i="3"/>
  <c r="M51" i="31"/>
  <c r="AG51" i="31" s="1"/>
  <c r="CL56" i="27"/>
  <c r="CK56" i="27"/>
  <c r="CJ56" i="27"/>
  <c r="DL56" i="27"/>
  <c r="EG57" i="27"/>
  <c r="EH57" i="27"/>
  <c r="FH57" i="27"/>
  <c r="EF57" i="27"/>
  <c r="FH45" i="27"/>
  <c r="EG45" i="27"/>
  <c r="EF45" i="27"/>
  <c r="EH45" i="27"/>
  <c r="GB44" i="27"/>
  <c r="HD44" i="27"/>
  <c r="GD44" i="27"/>
  <c r="GC44" i="27"/>
  <c r="CL47" i="27"/>
  <c r="CJ47" i="27"/>
  <c r="CK47" i="27"/>
  <c r="DL47" i="27"/>
  <c r="DN21" i="27"/>
  <c r="CX21" i="27"/>
  <c r="CV21" i="27"/>
  <c r="CW21" i="27"/>
  <c r="AK44" i="3"/>
  <c r="O48" i="31"/>
  <c r="AI48" i="31" s="1"/>
  <c r="BD65" i="31"/>
  <c r="AR65" i="31"/>
  <c r="AX65" i="31" s="1"/>
  <c r="AS47" i="31"/>
  <c r="AY47" i="31" s="1"/>
  <c r="BE47" i="31"/>
  <c r="HM11" i="27"/>
  <c r="HO11" i="27"/>
  <c r="BG44" i="31"/>
  <c r="AU44" i="31"/>
  <c r="BA44" i="31" s="1"/>
  <c r="BD61" i="31"/>
  <c r="AR61" i="31"/>
  <c r="AX61" i="31" s="1"/>
  <c r="BQ6" i="23"/>
  <c r="AH67" i="3"/>
  <c r="L71" i="31"/>
  <c r="AF71" i="31" s="1"/>
  <c r="GU15" i="27"/>
  <c r="GT15" i="27"/>
  <c r="GV15" i="27"/>
  <c r="HG15" i="27"/>
  <c r="CJ61" i="27"/>
  <c r="CL61" i="27"/>
  <c r="DL61" i="27"/>
  <c r="CK61" i="27"/>
  <c r="CP21" i="27"/>
  <c r="CR21" i="27"/>
  <c r="CQ21" i="27"/>
  <c r="DM21" i="27"/>
  <c r="EZ17" i="27"/>
  <c r="FK17" i="27"/>
  <c r="EX17" i="27"/>
  <c r="EY17" i="27"/>
  <c r="GC53" i="27"/>
  <c r="GD53" i="27"/>
  <c r="HD53" i="27"/>
  <c r="GB53" i="27"/>
  <c r="FK18" i="27"/>
  <c r="EX18" i="27"/>
  <c r="EY18" i="27"/>
  <c r="EZ18" i="27"/>
  <c r="FH51" i="27"/>
  <c r="EH51" i="27"/>
  <c r="EG51" i="27"/>
  <c r="EF51" i="27"/>
  <c r="AI51" i="3"/>
  <c r="M55" i="31"/>
  <c r="AG55" i="31" s="1"/>
  <c r="FH56" i="27"/>
  <c r="EF56" i="27"/>
  <c r="EH56" i="27"/>
  <c r="EG56" i="27"/>
  <c r="DP16" i="27"/>
  <c r="DJ16" i="27"/>
  <c r="DH16" i="27"/>
  <c r="DI16" i="27"/>
  <c r="GB45" i="27"/>
  <c r="GD45" i="27"/>
  <c r="HD45" i="27"/>
  <c r="GC45" i="27"/>
  <c r="GB49" i="27"/>
  <c r="GC49" i="27"/>
  <c r="HD49" i="27"/>
  <c r="GD49" i="27"/>
  <c r="FH47" i="27"/>
  <c r="EG47" i="27"/>
  <c r="EF47" i="27"/>
  <c r="EH47" i="27"/>
  <c r="HG16" i="27"/>
  <c r="GU16" i="27"/>
  <c r="GV16" i="27"/>
  <c r="GT16" i="27"/>
  <c r="ER21" i="27"/>
  <c r="FJ21" i="27"/>
  <c r="ET21" i="27"/>
  <c r="ES21" i="27"/>
  <c r="O49" i="31"/>
  <c r="AI49" i="31" s="1"/>
  <c r="AK45" i="3"/>
  <c r="AV40" i="31"/>
  <c r="BB40" i="31" s="1"/>
  <c r="BH40" i="31"/>
  <c r="BG42" i="31"/>
  <c r="AU42" i="31"/>
  <c r="BA42" i="31" s="1"/>
  <c r="BE48" i="31"/>
  <c r="AS48" i="31"/>
  <c r="AY48" i="31" s="1"/>
  <c r="FD14" i="27"/>
  <c r="FF14" i="27"/>
  <c r="FE14" i="27"/>
  <c r="FL14" i="27"/>
  <c r="P48" i="31"/>
  <c r="AL44" i="3"/>
  <c r="L68" i="31"/>
  <c r="AF68" i="31" s="1"/>
  <c r="AH64" i="3"/>
  <c r="CL62" i="27"/>
  <c r="DL62" i="27"/>
  <c r="CJ62" i="27"/>
  <c r="CK62" i="27"/>
  <c r="GD61" i="27"/>
  <c r="GB61" i="27"/>
  <c r="HD61" i="27"/>
  <c r="GC61" i="27"/>
  <c r="GJ21" i="27"/>
  <c r="GI21" i="27"/>
  <c r="HE21" i="27"/>
  <c r="GH21" i="27"/>
  <c r="HF22" i="27"/>
  <c r="GN22" i="27"/>
  <c r="GP22" i="27"/>
  <c r="GO22" i="27"/>
  <c r="GV17" i="27"/>
  <c r="HG17" i="27"/>
  <c r="GT17" i="27"/>
  <c r="GU17" i="27"/>
  <c r="CL53" i="27"/>
  <c r="CK53" i="27"/>
  <c r="DL53" i="27"/>
  <c r="CJ53" i="27"/>
  <c r="HG18" i="27"/>
  <c r="GV18" i="27"/>
  <c r="GU18" i="27"/>
  <c r="GT18" i="27"/>
  <c r="EF52" i="27"/>
  <c r="EH52" i="27"/>
  <c r="EG52" i="27"/>
  <c r="FH52" i="27"/>
  <c r="M53" i="31"/>
  <c r="AG53" i="31" s="1"/>
  <c r="AI49" i="3"/>
  <c r="GB56" i="27"/>
  <c r="GD56" i="27"/>
  <c r="HD56" i="27"/>
  <c r="GC56" i="27"/>
  <c r="FE16" i="27"/>
  <c r="FL16" i="27"/>
  <c r="FF16" i="27"/>
  <c r="FD16" i="27"/>
  <c r="CL45" i="27"/>
  <c r="DL45" i="27"/>
  <c r="CJ45" i="27"/>
  <c r="CK45" i="27"/>
  <c r="CK49" i="27"/>
  <c r="CL49" i="27"/>
  <c r="CJ49" i="27"/>
  <c r="DL49" i="27"/>
  <c r="N56" i="31"/>
  <c r="AH56" i="31" s="1"/>
  <c r="AJ52" i="3"/>
  <c r="EZ16" i="27"/>
  <c r="EY16" i="27"/>
  <c r="EX16" i="27"/>
  <c r="FK16" i="27"/>
  <c r="FM16" i="27" s="1"/>
  <c r="ET20" i="27"/>
  <c r="FJ20" i="27"/>
  <c r="ES20" i="27"/>
  <c r="ER20" i="27"/>
  <c r="O47" i="31"/>
  <c r="AI47" i="31" s="1"/>
  <c r="AK43" i="3"/>
  <c r="I18" i="5"/>
  <c r="S18" i="5" s="1"/>
  <c r="K17" i="5"/>
  <c r="U17" i="5" s="1"/>
  <c r="G21" i="5"/>
  <c r="Q21" i="5" s="1"/>
  <c r="J17" i="5"/>
  <c r="T17" i="5" s="1"/>
  <c r="AA53" i="5"/>
  <c r="L107" i="27"/>
  <c r="X75" i="5"/>
  <c r="Z42" i="27"/>
  <c r="AO86" i="3"/>
  <c r="L108" i="27"/>
  <c r="Z62" i="5"/>
  <c r="S35" i="27"/>
  <c r="Z39" i="27"/>
  <c r="Z37" i="27"/>
  <c r="L114" i="27"/>
  <c r="Z43" i="27"/>
  <c r="L104" i="27"/>
  <c r="S39" i="27"/>
  <c r="AN29" i="27"/>
  <c r="AG28" i="27"/>
  <c r="L101" i="27"/>
  <c r="AQ21" i="3"/>
  <c r="L103" i="27"/>
  <c r="AP24" i="3"/>
  <c r="AB56" i="5"/>
  <c r="AQ22" i="3"/>
  <c r="AO69" i="3"/>
  <c r="AB53" i="5"/>
  <c r="AO65" i="3"/>
  <c r="AP28" i="3"/>
  <c r="L100" i="27"/>
  <c r="AP22" i="3"/>
  <c r="Z59" i="5"/>
  <c r="AN27" i="27"/>
  <c r="AO76" i="3"/>
  <c r="AQ17" i="3"/>
  <c r="Z36" i="27"/>
  <c r="AO71" i="3"/>
  <c r="L117" i="27"/>
  <c r="AO63" i="3"/>
  <c r="AO91" i="3"/>
  <c r="Y60" i="5"/>
  <c r="AN28" i="27"/>
  <c r="L121" i="27"/>
  <c r="S42" i="27"/>
  <c r="S34" i="27"/>
  <c r="AA54" i="5"/>
  <c r="AS8" i="3"/>
  <c r="AO72" i="3"/>
  <c r="AR11" i="3"/>
  <c r="L112" i="27"/>
  <c r="AA56" i="5"/>
  <c r="AG24" i="27"/>
  <c r="L116" i="27"/>
  <c r="AG25" i="27"/>
  <c r="L106" i="27"/>
  <c r="AQ18" i="3"/>
  <c r="AQ20" i="3"/>
  <c r="Y63" i="5"/>
  <c r="AO80" i="3"/>
  <c r="Z38" i="27"/>
  <c r="AO85" i="3"/>
  <c r="X74" i="5"/>
  <c r="AO73" i="3"/>
  <c r="L99" i="27"/>
  <c r="Z63" i="5"/>
  <c r="AO74" i="3"/>
  <c r="L102" i="27"/>
  <c r="AQ19" i="3"/>
  <c r="AO78" i="3"/>
  <c r="AO66" i="3"/>
  <c r="R20" i="3"/>
  <c r="AO67" i="3"/>
  <c r="AN24" i="27"/>
  <c r="AO88" i="3"/>
  <c r="AP25" i="3"/>
  <c r="AG27" i="27"/>
  <c r="Y59" i="5"/>
  <c r="Z34" i="27"/>
  <c r="AO79" i="3"/>
  <c r="AO77" i="3"/>
  <c r="AP21" i="3"/>
  <c r="AO87" i="3"/>
  <c r="AN31" i="27"/>
  <c r="AS7" i="3"/>
  <c r="AP23" i="3"/>
  <c r="AA55" i="5"/>
  <c r="AG31" i="27"/>
  <c r="S36" i="27"/>
  <c r="L123" i="27"/>
  <c r="AN26" i="27"/>
  <c r="AO89" i="3"/>
  <c r="L115" i="27"/>
  <c r="S43" i="27"/>
  <c r="Y61" i="5"/>
  <c r="AB54" i="5"/>
  <c r="L105" i="27"/>
  <c r="Y62" i="5"/>
  <c r="Y58" i="5"/>
  <c r="AO84" i="3"/>
  <c r="AG29" i="27"/>
  <c r="AO90" i="3"/>
  <c r="L119" i="27"/>
  <c r="S41" i="27"/>
  <c r="S40" i="27"/>
  <c r="AO82" i="3"/>
  <c r="AQ23" i="3"/>
  <c r="AO83" i="3"/>
  <c r="Z41" i="27"/>
  <c r="AN23" i="27"/>
  <c r="L120" i="27"/>
  <c r="AB55" i="5"/>
  <c r="L110" i="27"/>
  <c r="Z60" i="5"/>
  <c r="L98" i="27"/>
  <c r="Z40" i="27"/>
  <c r="L113" i="27"/>
  <c r="Z61" i="5"/>
  <c r="S38" i="27"/>
  <c r="AO62" i="3"/>
  <c r="L97" i="27"/>
  <c r="L109" i="27"/>
  <c r="AO68" i="3"/>
  <c r="X76" i="5"/>
  <c r="AO92" i="3"/>
  <c r="AO81" i="3"/>
  <c r="AG26" i="27"/>
  <c r="AG23" i="27"/>
  <c r="AR12" i="3"/>
  <c r="AG30" i="27"/>
  <c r="S37" i="27"/>
  <c r="AP20" i="3"/>
  <c r="L95" i="27"/>
  <c r="Z58" i="5"/>
  <c r="L118" i="27"/>
  <c r="L122" i="27"/>
  <c r="Z35" i="27"/>
  <c r="AN25" i="27"/>
  <c r="AO64" i="3"/>
  <c r="AP26" i="3"/>
  <c r="AN30" i="27"/>
  <c r="AO70" i="3"/>
  <c r="L111" i="27"/>
  <c r="AO75" i="3"/>
  <c r="AP27" i="3"/>
  <c r="L96" i="27"/>
  <c r="HM12" i="27" l="1"/>
  <c r="FQ11" i="27"/>
  <c r="DQ16" i="27"/>
  <c r="HI15" i="27"/>
  <c r="HO15" i="27" s="1"/>
  <c r="FM17" i="27"/>
  <c r="DQ17" i="27"/>
  <c r="DQ14" i="27"/>
  <c r="DU14" i="27" s="1"/>
  <c r="FM15" i="27"/>
  <c r="FQ15" i="27" s="1"/>
  <c r="EU29" i="27"/>
  <c r="CY29" i="27"/>
  <c r="GQ29" i="27"/>
  <c r="CM38" i="27"/>
  <c r="EI38" i="27"/>
  <c r="GE38" i="27"/>
  <c r="CM37" i="27"/>
  <c r="EI37" i="27"/>
  <c r="GE37" i="27"/>
  <c r="GE36" i="27"/>
  <c r="CM36" i="27"/>
  <c r="EI36" i="27"/>
  <c r="GE34" i="27"/>
  <c r="CM34" i="27"/>
  <c r="EI34" i="27"/>
  <c r="EI35" i="27"/>
  <c r="GE35" i="27"/>
  <c r="CM35" i="27"/>
  <c r="GW31" i="27"/>
  <c r="DE31" i="27"/>
  <c r="FA31" i="27"/>
  <c r="GW30" i="27"/>
  <c r="FA30" i="27"/>
  <c r="DE30" i="27"/>
  <c r="CS41" i="27"/>
  <c r="EO41" i="27"/>
  <c r="GK41" i="27"/>
  <c r="GK42" i="27"/>
  <c r="CS42" i="27"/>
  <c r="EO42" i="27"/>
  <c r="GK43" i="27"/>
  <c r="EO43" i="27"/>
  <c r="CS43" i="27"/>
  <c r="AE55" i="3"/>
  <c r="AE54" i="3"/>
  <c r="AE53" i="3"/>
  <c r="AE52" i="3"/>
  <c r="AF53" i="3"/>
  <c r="AF54" i="3"/>
  <c r="AF55" i="3"/>
  <c r="AF52" i="3"/>
  <c r="AB75" i="3"/>
  <c r="AB73" i="3"/>
  <c r="AB74" i="3"/>
  <c r="AD59" i="3"/>
  <c r="AD60" i="3"/>
  <c r="AD62" i="3"/>
  <c r="AD57" i="3"/>
  <c r="AD58" i="3"/>
  <c r="AD61" i="3"/>
  <c r="AT7" i="3"/>
  <c r="FY116" i="27"/>
  <c r="CG116" i="27"/>
  <c r="EC116" i="27"/>
  <c r="CG119" i="27"/>
  <c r="EC119" i="27"/>
  <c r="FY119" i="27"/>
  <c r="CG123" i="27"/>
  <c r="FY123" i="27"/>
  <c r="EC123" i="27"/>
  <c r="CG118" i="27"/>
  <c r="EC118" i="27"/>
  <c r="FY118" i="27"/>
  <c r="CG120" i="27"/>
  <c r="FY120" i="27"/>
  <c r="EC120" i="27"/>
  <c r="EC121" i="27"/>
  <c r="FY121" i="27"/>
  <c r="CG121" i="27"/>
  <c r="EC122" i="27"/>
  <c r="FY122" i="27"/>
  <c r="CG122" i="27"/>
  <c r="EC117" i="27"/>
  <c r="CG117" i="27"/>
  <c r="FY117" i="27"/>
  <c r="CM40" i="27"/>
  <c r="EI40" i="27"/>
  <c r="GE40" i="27"/>
  <c r="GE39" i="27"/>
  <c r="EI39" i="27"/>
  <c r="CM39" i="27"/>
  <c r="DE25" i="27"/>
  <c r="FA25" i="27"/>
  <c r="GW25" i="27"/>
  <c r="FA24" i="27"/>
  <c r="DE24" i="27"/>
  <c r="GW24" i="27"/>
  <c r="GW23" i="27"/>
  <c r="FA23" i="27"/>
  <c r="DE23" i="27"/>
  <c r="FY106" i="27"/>
  <c r="EC106" i="27"/>
  <c r="CG106" i="27"/>
  <c r="EC105" i="27"/>
  <c r="FY105" i="27"/>
  <c r="CG105" i="27"/>
  <c r="EC107" i="27"/>
  <c r="CG107" i="27"/>
  <c r="FY107" i="27"/>
  <c r="EC102" i="27"/>
  <c r="FY102" i="27"/>
  <c r="CG102" i="27"/>
  <c r="EC103" i="27"/>
  <c r="CG103" i="27"/>
  <c r="FY103" i="27"/>
  <c r="CG104" i="27"/>
  <c r="FY104" i="27"/>
  <c r="EC104" i="27"/>
  <c r="EC97" i="27"/>
  <c r="FY97" i="27"/>
  <c r="CG97" i="27"/>
  <c r="FY95" i="27"/>
  <c r="CG95" i="27"/>
  <c r="EC95" i="27"/>
  <c r="FY100" i="27"/>
  <c r="EC100" i="27"/>
  <c r="CG100" i="27"/>
  <c r="CG99" i="27"/>
  <c r="FY99" i="27"/>
  <c r="EC99" i="27"/>
  <c r="CG96" i="27"/>
  <c r="FY96" i="27"/>
  <c r="EC96" i="27"/>
  <c r="FY101" i="27"/>
  <c r="EC101" i="27"/>
  <c r="CG101" i="27"/>
  <c r="CG98" i="27"/>
  <c r="EC98" i="27"/>
  <c r="FY98" i="27"/>
  <c r="CY28" i="27"/>
  <c r="EU28" i="27"/>
  <c r="GQ28" i="27"/>
  <c r="CY27" i="27"/>
  <c r="EU27" i="27"/>
  <c r="GQ27" i="27"/>
  <c r="AT8" i="3"/>
  <c r="GE43" i="27"/>
  <c r="CM43" i="27"/>
  <c r="EI43" i="27"/>
  <c r="EI41" i="27"/>
  <c r="CM41" i="27"/>
  <c r="GE41" i="27"/>
  <c r="CM42" i="27"/>
  <c r="EI42" i="27"/>
  <c r="GE42" i="27"/>
  <c r="DE28" i="27"/>
  <c r="GW28" i="27"/>
  <c r="FA28" i="27"/>
  <c r="FA27" i="27"/>
  <c r="GW27" i="27"/>
  <c r="DE27" i="27"/>
  <c r="FY111" i="27"/>
  <c r="EC111" i="27"/>
  <c r="CG111" i="27"/>
  <c r="FY114" i="27"/>
  <c r="CG114" i="27"/>
  <c r="EC114" i="27"/>
  <c r="EC115" i="27"/>
  <c r="CG115" i="27"/>
  <c r="FY115" i="27"/>
  <c r="CG108" i="27"/>
  <c r="EC108" i="27"/>
  <c r="FY108" i="27"/>
  <c r="CG113" i="27"/>
  <c r="EC113" i="27"/>
  <c r="FY113" i="27"/>
  <c r="FY109" i="27"/>
  <c r="EC109" i="27"/>
  <c r="CG109" i="27"/>
  <c r="CG112" i="27"/>
  <c r="FY112" i="27"/>
  <c r="EC112" i="27"/>
  <c r="CG110" i="27"/>
  <c r="FY110" i="27"/>
  <c r="EC110" i="27"/>
  <c r="GQ26" i="27"/>
  <c r="CY26" i="27"/>
  <c r="EU26" i="27"/>
  <c r="FA29" i="27"/>
  <c r="GW29" i="27"/>
  <c r="DE29" i="27"/>
  <c r="AC60" i="3"/>
  <c r="AC57" i="3"/>
  <c r="AC61" i="3"/>
  <c r="AC58" i="3"/>
  <c r="AC62" i="3"/>
  <c r="AC59" i="3"/>
  <c r="GK39" i="27"/>
  <c r="CS39" i="27"/>
  <c r="EO39" i="27"/>
  <c r="GK40" i="27"/>
  <c r="EO40" i="27"/>
  <c r="CS40" i="27"/>
  <c r="GQ30" i="27"/>
  <c r="EU30" i="27"/>
  <c r="CY30" i="27"/>
  <c r="GQ31" i="27"/>
  <c r="CY31" i="27"/>
  <c r="EU31" i="27"/>
  <c r="T20" i="3"/>
  <c r="DE26" i="27"/>
  <c r="GW26" i="27"/>
  <c r="FA26" i="27"/>
  <c r="GK36" i="27"/>
  <c r="CS36" i="27"/>
  <c r="EO36" i="27"/>
  <c r="CS37" i="27"/>
  <c r="GK37" i="27"/>
  <c r="EO37" i="27"/>
  <c r="CS38" i="27"/>
  <c r="GK38" i="27"/>
  <c r="EO38" i="27"/>
  <c r="GK35" i="27"/>
  <c r="EO35" i="27"/>
  <c r="CS35" i="27"/>
  <c r="CS34" i="27"/>
  <c r="GK34" i="27"/>
  <c r="EO34" i="27"/>
  <c r="CY24" i="27"/>
  <c r="GQ24" i="27"/>
  <c r="EU24" i="27"/>
  <c r="EU25" i="27"/>
  <c r="GQ25" i="27"/>
  <c r="CY25" i="27"/>
  <c r="GQ23" i="27"/>
  <c r="CY23" i="27"/>
  <c r="EU23" i="27"/>
  <c r="FQ17" i="27"/>
  <c r="FS17" i="27"/>
  <c r="DU17" i="27"/>
  <c r="DW17" i="27"/>
  <c r="AJ46" i="31"/>
  <c r="Q46" i="31"/>
  <c r="AK49" i="3"/>
  <c r="O53" i="31"/>
  <c r="AI53" i="31" s="1"/>
  <c r="DU15" i="27"/>
  <c r="DW15" i="27"/>
  <c r="BF51" i="31"/>
  <c r="AT51" i="31"/>
  <c r="AZ51" i="31" s="1"/>
  <c r="DO21" i="27"/>
  <c r="DD21" i="27"/>
  <c r="DB21" i="27"/>
  <c r="DC21" i="27"/>
  <c r="FH73" i="27"/>
  <c r="EH73" i="27"/>
  <c r="EF73" i="27"/>
  <c r="EG73" i="27"/>
  <c r="CL75" i="27"/>
  <c r="CK75" i="27"/>
  <c r="DL75" i="27"/>
  <c r="CJ75" i="27"/>
  <c r="HB22" i="27"/>
  <c r="GZ22" i="27"/>
  <c r="HA22" i="27"/>
  <c r="HH22" i="27"/>
  <c r="HI22" i="27" s="1"/>
  <c r="CW31" i="27"/>
  <c r="DN31" i="27"/>
  <c r="CX31" i="27"/>
  <c r="CV31" i="27"/>
  <c r="AI53" i="3"/>
  <c r="M57" i="31"/>
  <c r="AG57" i="31" s="1"/>
  <c r="CX33" i="27"/>
  <c r="CW33" i="27"/>
  <c r="CV33" i="27"/>
  <c r="DN33" i="27"/>
  <c r="EF88" i="27"/>
  <c r="FH88" i="27"/>
  <c r="EG88" i="27"/>
  <c r="EH88" i="27"/>
  <c r="DL85" i="27"/>
  <c r="CJ85" i="27"/>
  <c r="CK85" i="27"/>
  <c r="CL85" i="27"/>
  <c r="EF83" i="27"/>
  <c r="EH83" i="27"/>
  <c r="EG83" i="27"/>
  <c r="FH83" i="27"/>
  <c r="DH18" i="27"/>
  <c r="DJ18" i="27"/>
  <c r="DI18" i="27"/>
  <c r="DP18" i="27"/>
  <c r="DQ18" i="27" s="1"/>
  <c r="GD79" i="27"/>
  <c r="GC79" i="27"/>
  <c r="GB79" i="27"/>
  <c r="HD79" i="27"/>
  <c r="CL81" i="27"/>
  <c r="DL81" i="27"/>
  <c r="CJ81" i="27"/>
  <c r="CK81" i="27"/>
  <c r="AL50" i="3"/>
  <c r="P54" i="31"/>
  <c r="AJ55" i="3"/>
  <c r="N59" i="31"/>
  <c r="AH59" i="31" s="1"/>
  <c r="BF52" i="31"/>
  <c r="AT52" i="31"/>
  <c r="AZ52" i="31" s="1"/>
  <c r="BD67" i="31"/>
  <c r="AR67" i="31"/>
  <c r="AX67" i="31" s="1"/>
  <c r="BH42" i="31"/>
  <c r="AV42" i="31"/>
  <c r="BB42" i="31" s="1"/>
  <c r="GH25" i="27"/>
  <c r="GJ25" i="27"/>
  <c r="GI25" i="27"/>
  <c r="HE25" i="27"/>
  <c r="EG64" i="27"/>
  <c r="FH64" i="27"/>
  <c r="EF64" i="27"/>
  <c r="EH64" i="27"/>
  <c r="CK67" i="27"/>
  <c r="CJ67" i="27"/>
  <c r="CL67" i="27"/>
  <c r="DL67" i="27"/>
  <c r="GC69" i="27"/>
  <c r="HD69" i="27"/>
  <c r="GD69" i="27"/>
  <c r="GB69" i="27"/>
  <c r="HI17" i="27"/>
  <c r="BD69" i="31"/>
  <c r="AR69" i="31"/>
  <c r="AX69" i="31" s="1"/>
  <c r="EL33" i="27"/>
  <c r="EN33" i="27"/>
  <c r="FI33" i="27"/>
  <c r="EM33" i="27"/>
  <c r="EH91" i="27"/>
  <c r="EF91" i="27"/>
  <c r="FH91" i="27"/>
  <c r="EG91" i="27"/>
  <c r="FH93" i="27"/>
  <c r="EF93" i="27"/>
  <c r="EG93" i="27"/>
  <c r="EH93" i="27"/>
  <c r="BE53" i="31"/>
  <c r="AS53" i="31"/>
  <c r="AY53" i="31" s="1"/>
  <c r="FQ16" i="27"/>
  <c r="FS16" i="27"/>
  <c r="DU16" i="27"/>
  <c r="DW16" i="27"/>
  <c r="GO25" i="27"/>
  <c r="GP25" i="27"/>
  <c r="GN25" i="27"/>
  <c r="HF25" i="27"/>
  <c r="HA21" i="27"/>
  <c r="GZ21" i="27"/>
  <c r="HH21" i="27"/>
  <c r="HB21" i="27"/>
  <c r="BG49" i="31"/>
  <c r="AU49" i="31"/>
  <c r="BA49" i="31" s="1"/>
  <c r="AV45" i="31"/>
  <c r="BB45" i="31" s="1"/>
  <c r="BH45" i="31"/>
  <c r="AJ47" i="31"/>
  <c r="Q47" i="31"/>
  <c r="AJ49" i="31"/>
  <c r="Q49" i="31"/>
  <c r="EX21" i="27"/>
  <c r="FK21" i="27"/>
  <c r="EZ21" i="27"/>
  <c r="EY21" i="27"/>
  <c r="CJ73" i="27"/>
  <c r="CL73" i="27"/>
  <c r="CK73" i="27"/>
  <c r="DL73" i="27"/>
  <c r="EF76" i="27"/>
  <c r="EH76" i="27"/>
  <c r="EG76" i="27"/>
  <c r="FH76" i="27"/>
  <c r="DI22" i="27"/>
  <c r="DH22" i="27"/>
  <c r="DJ22" i="27"/>
  <c r="DP22" i="27"/>
  <c r="DM33" i="27"/>
  <c r="CR33" i="27"/>
  <c r="CQ33" i="27"/>
  <c r="CP33" i="27"/>
  <c r="GC91" i="27"/>
  <c r="HD91" i="27"/>
  <c r="GB91" i="27"/>
  <c r="GD91" i="27"/>
  <c r="GC89" i="27"/>
  <c r="HD89" i="27"/>
  <c r="GB89" i="27"/>
  <c r="GD89" i="27"/>
  <c r="GV22" i="27"/>
  <c r="HG22" i="27"/>
  <c r="GT22" i="27"/>
  <c r="GU22" i="27"/>
  <c r="FI25" i="27"/>
  <c r="EN25" i="27"/>
  <c r="EL25" i="27"/>
  <c r="EM25" i="27"/>
  <c r="GC64" i="27"/>
  <c r="GB64" i="27"/>
  <c r="GD64" i="27"/>
  <c r="HD64" i="27"/>
  <c r="EF71" i="27"/>
  <c r="EH71" i="27"/>
  <c r="EG71" i="27"/>
  <c r="FH71" i="27"/>
  <c r="EH69" i="27"/>
  <c r="FH69" i="27"/>
  <c r="EF69" i="27"/>
  <c r="EG69" i="27"/>
  <c r="FJ31" i="27"/>
  <c r="ES31" i="27"/>
  <c r="ER31" i="27"/>
  <c r="ET31" i="27"/>
  <c r="AI56" i="3"/>
  <c r="M60" i="31"/>
  <c r="AG60" i="31" s="1"/>
  <c r="GP33" i="27"/>
  <c r="HF33" i="27"/>
  <c r="GN33" i="27"/>
  <c r="GO33" i="27"/>
  <c r="DL88" i="27"/>
  <c r="CK88" i="27"/>
  <c r="CJ88" i="27"/>
  <c r="CL88" i="27"/>
  <c r="GB86" i="27"/>
  <c r="GC86" i="27"/>
  <c r="HD86" i="27"/>
  <c r="GD86" i="27"/>
  <c r="GC83" i="27"/>
  <c r="GB83" i="27"/>
  <c r="GD83" i="27"/>
  <c r="HD83" i="27"/>
  <c r="HB18" i="27"/>
  <c r="HH18" i="27"/>
  <c r="HI18" i="27" s="1"/>
  <c r="HA18" i="27"/>
  <c r="GZ18" i="27"/>
  <c r="FJ25" i="27"/>
  <c r="ER25" i="27"/>
  <c r="ET25" i="27"/>
  <c r="ES25" i="27"/>
  <c r="DH21" i="27"/>
  <c r="DJ21" i="27"/>
  <c r="DI21" i="27"/>
  <c r="DP21" i="27"/>
  <c r="CK79" i="27"/>
  <c r="CJ79" i="27"/>
  <c r="DL79" i="27"/>
  <c r="CL79" i="27"/>
  <c r="EF82" i="27"/>
  <c r="EH82" i="27"/>
  <c r="FH82" i="27"/>
  <c r="EG82" i="27"/>
  <c r="AL51" i="3"/>
  <c r="P55" i="31"/>
  <c r="L75" i="31"/>
  <c r="AF75" i="31" s="1"/>
  <c r="AH71" i="3"/>
  <c r="O55" i="31"/>
  <c r="AI55" i="31" s="1"/>
  <c r="AK51" i="3"/>
  <c r="AR68" i="31"/>
  <c r="AX68" i="31" s="1"/>
  <c r="BD68" i="31"/>
  <c r="BE54" i="31"/>
  <c r="AS54" i="31"/>
  <c r="AY54" i="31" s="1"/>
  <c r="GV20" i="27"/>
  <c r="GU20" i="27"/>
  <c r="GT20" i="27"/>
  <c r="HG20" i="27"/>
  <c r="GC73" i="27"/>
  <c r="GB73" i="27"/>
  <c r="HD73" i="27"/>
  <c r="GD73" i="27"/>
  <c r="GD76" i="27"/>
  <c r="GC76" i="27"/>
  <c r="GB76" i="27"/>
  <c r="HD76" i="27"/>
  <c r="CR32" i="27"/>
  <c r="CQ32" i="27"/>
  <c r="DM32" i="27"/>
  <c r="CP32" i="27"/>
  <c r="CJ91" i="27"/>
  <c r="CL91" i="27"/>
  <c r="CK91" i="27"/>
  <c r="DL91" i="27"/>
  <c r="CJ89" i="27"/>
  <c r="CL89" i="27"/>
  <c r="CK89" i="27"/>
  <c r="DL89" i="27"/>
  <c r="FK22" i="27"/>
  <c r="EZ22" i="27"/>
  <c r="EX22" i="27"/>
  <c r="EY22" i="27"/>
  <c r="CR26" i="27"/>
  <c r="CQ26" i="27"/>
  <c r="CP26" i="27"/>
  <c r="DM26" i="27"/>
  <c r="CJ64" i="27"/>
  <c r="CL64" i="27"/>
  <c r="DL64" i="27"/>
  <c r="CK64" i="27"/>
  <c r="CJ71" i="27"/>
  <c r="CL71" i="27"/>
  <c r="DL71" i="27"/>
  <c r="CK71" i="27"/>
  <c r="GB72" i="27"/>
  <c r="GD72" i="27"/>
  <c r="HD72" i="27"/>
  <c r="GC72" i="27"/>
  <c r="FI28" i="27"/>
  <c r="EL28" i="27"/>
  <c r="EM28" i="27"/>
  <c r="EN28" i="27"/>
  <c r="M58" i="31"/>
  <c r="AG58" i="31" s="1"/>
  <c r="AI54" i="3"/>
  <c r="GI31" i="27"/>
  <c r="GH31" i="27"/>
  <c r="GJ31" i="27"/>
  <c r="HE31" i="27"/>
  <c r="HD88" i="27"/>
  <c r="GD88" i="27"/>
  <c r="GB88" i="27"/>
  <c r="GC88" i="27"/>
  <c r="EH86" i="27"/>
  <c r="FH86" i="27"/>
  <c r="EF86" i="27"/>
  <c r="EG86" i="27"/>
  <c r="GO28" i="27"/>
  <c r="HF28" i="27"/>
  <c r="GN28" i="27"/>
  <c r="GP28" i="27"/>
  <c r="FD18" i="27"/>
  <c r="FE18" i="27"/>
  <c r="FL18" i="27"/>
  <c r="FM18" i="27" s="1"/>
  <c r="FF18" i="27"/>
  <c r="CW26" i="27"/>
  <c r="CV26" i="27"/>
  <c r="DN26" i="27"/>
  <c r="CX26" i="27"/>
  <c r="FE21" i="27"/>
  <c r="FD21" i="27"/>
  <c r="FF21" i="27"/>
  <c r="FL21" i="27"/>
  <c r="EH79" i="27"/>
  <c r="EG79" i="27"/>
  <c r="FH79" i="27"/>
  <c r="EF79" i="27"/>
  <c r="GC82" i="27"/>
  <c r="GB82" i="27"/>
  <c r="HD82" i="27"/>
  <c r="GD82" i="27"/>
  <c r="P50" i="31"/>
  <c r="AL46" i="3"/>
  <c r="L73" i="31"/>
  <c r="AF73" i="31" s="1"/>
  <c r="AH69" i="3"/>
  <c r="AK48" i="3"/>
  <c r="O52" i="31"/>
  <c r="AI52" i="31" s="1"/>
  <c r="BG48" i="31"/>
  <c r="AU48" i="31"/>
  <c r="BA48" i="31" s="1"/>
  <c r="DC20" i="27"/>
  <c r="DD20" i="27"/>
  <c r="DB20" i="27"/>
  <c r="DO20" i="27"/>
  <c r="CJ77" i="27"/>
  <c r="CK77" i="27"/>
  <c r="CL77" i="27"/>
  <c r="DL77" i="27"/>
  <c r="DL76" i="27"/>
  <c r="CJ76" i="27"/>
  <c r="CL76" i="27"/>
  <c r="CK76" i="27"/>
  <c r="EM32" i="27"/>
  <c r="EL32" i="27"/>
  <c r="FI32" i="27"/>
  <c r="EN32" i="27"/>
  <c r="HD94" i="27"/>
  <c r="GD94" i="27"/>
  <c r="GC94" i="27"/>
  <c r="GB94" i="27"/>
  <c r="FH89" i="27"/>
  <c r="EF89" i="27"/>
  <c r="EH89" i="27"/>
  <c r="EG89" i="27"/>
  <c r="DO22" i="27"/>
  <c r="DB22" i="27"/>
  <c r="DD22" i="27"/>
  <c r="DC22" i="27"/>
  <c r="EM26" i="27"/>
  <c r="EL26" i="27"/>
  <c r="EN26" i="27"/>
  <c r="FI26" i="27"/>
  <c r="EH66" i="27"/>
  <c r="FH66" i="27"/>
  <c r="EG66" i="27"/>
  <c r="EF66" i="27"/>
  <c r="HD71" i="27"/>
  <c r="GD71" i="27"/>
  <c r="GB71" i="27"/>
  <c r="GC71" i="27"/>
  <c r="CJ72" i="27"/>
  <c r="DL72" i="27"/>
  <c r="CL72" i="27"/>
  <c r="CK72" i="27"/>
  <c r="GJ28" i="27"/>
  <c r="HE28" i="27"/>
  <c r="GI28" i="27"/>
  <c r="GH28" i="27"/>
  <c r="M59" i="31"/>
  <c r="AG59" i="31" s="1"/>
  <c r="AI55" i="3"/>
  <c r="CQ31" i="27"/>
  <c r="CP31" i="27"/>
  <c r="DM31" i="27"/>
  <c r="CR31" i="27"/>
  <c r="CJ84" i="27"/>
  <c r="CL84" i="27"/>
  <c r="DL84" i="27"/>
  <c r="CK84" i="27"/>
  <c r="CK86" i="27"/>
  <c r="CJ86" i="27"/>
  <c r="CL86" i="27"/>
  <c r="DL86" i="27"/>
  <c r="ER28" i="27"/>
  <c r="FJ28" i="27"/>
  <c r="ET28" i="27"/>
  <c r="ES28" i="27"/>
  <c r="HH19" i="27"/>
  <c r="GZ19" i="27"/>
  <c r="HA19" i="27"/>
  <c r="HB19" i="27"/>
  <c r="ER26" i="27"/>
  <c r="ES26" i="27"/>
  <c r="FJ26" i="27"/>
  <c r="ET26" i="27"/>
  <c r="DL80" i="27"/>
  <c r="CJ80" i="27"/>
  <c r="CK80" i="27"/>
  <c r="CL80" i="27"/>
  <c r="CJ82" i="27"/>
  <c r="CL82" i="27"/>
  <c r="DL82" i="27"/>
  <c r="CK82" i="27"/>
  <c r="P52" i="31"/>
  <c r="AL48" i="3"/>
  <c r="L74" i="31"/>
  <c r="AF74" i="31" s="1"/>
  <c r="AH70" i="3"/>
  <c r="O51" i="31"/>
  <c r="AI51" i="31" s="1"/>
  <c r="AK47" i="3"/>
  <c r="BG47" i="31"/>
  <c r="AU47" i="31"/>
  <c r="BA47" i="31" s="1"/>
  <c r="Q48" i="31"/>
  <c r="AJ48" i="31"/>
  <c r="BD71" i="31"/>
  <c r="AR71" i="31"/>
  <c r="AX71" i="31" s="1"/>
  <c r="BE52" i="31"/>
  <c r="AS52" i="31"/>
  <c r="AY52" i="31" s="1"/>
  <c r="H19" i="5"/>
  <c r="R19" i="5" s="1"/>
  <c r="EY19" i="27"/>
  <c r="EX19" i="27"/>
  <c r="EZ19" i="27"/>
  <c r="FK19" i="27"/>
  <c r="EY20" i="27"/>
  <c r="EX20" i="27"/>
  <c r="FK20" i="27"/>
  <c r="EZ20" i="27"/>
  <c r="EF77" i="27"/>
  <c r="EH77" i="27"/>
  <c r="FH77" i="27"/>
  <c r="EG77" i="27"/>
  <c r="CK74" i="27"/>
  <c r="CL74" i="27"/>
  <c r="DL74" i="27"/>
  <c r="CJ74" i="27"/>
  <c r="GI32" i="27"/>
  <c r="GH32" i="27"/>
  <c r="GJ32" i="27"/>
  <c r="HE32" i="27"/>
  <c r="FH94" i="27"/>
  <c r="EF94" i="27"/>
  <c r="EH94" i="27"/>
  <c r="EG94" i="27"/>
  <c r="FH92" i="27"/>
  <c r="EH92" i="27"/>
  <c r="EF92" i="27"/>
  <c r="EG92" i="27"/>
  <c r="CQ24" i="27"/>
  <c r="CP24" i="27"/>
  <c r="CR24" i="27"/>
  <c r="DM24" i="27"/>
  <c r="GJ26" i="27"/>
  <c r="GH26" i="27"/>
  <c r="HE26" i="27"/>
  <c r="GI26" i="27"/>
  <c r="DL66" i="27"/>
  <c r="CK66" i="27"/>
  <c r="CJ66" i="27"/>
  <c r="CL66" i="27"/>
  <c r="CK68" i="27"/>
  <c r="CJ68" i="27"/>
  <c r="DL68" i="27"/>
  <c r="CL68" i="27"/>
  <c r="EH72" i="27"/>
  <c r="EF72" i="27"/>
  <c r="FH72" i="27"/>
  <c r="EG72" i="27"/>
  <c r="ER30" i="27"/>
  <c r="ES30" i="27"/>
  <c r="FJ30" i="27"/>
  <c r="ET30" i="27"/>
  <c r="CQ28" i="27"/>
  <c r="CR28" i="27"/>
  <c r="DM28" i="27"/>
  <c r="CP28" i="27"/>
  <c r="ET32" i="27"/>
  <c r="ES32" i="27"/>
  <c r="ER32" i="27"/>
  <c r="FJ32" i="27"/>
  <c r="EM31" i="27"/>
  <c r="EL31" i="27"/>
  <c r="FI31" i="27"/>
  <c r="EN31" i="27"/>
  <c r="EF84" i="27"/>
  <c r="EH84" i="27"/>
  <c r="EG84" i="27"/>
  <c r="FH84" i="27"/>
  <c r="EH87" i="27"/>
  <c r="EG87" i="27"/>
  <c r="FH87" i="27"/>
  <c r="EF87" i="27"/>
  <c r="CX28" i="27"/>
  <c r="DN28" i="27"/>
  <c r="CV28" i="27"/>
  <c r="CW28" i="27"/>
  <c r="FL19" i="27"/>
  <c r="FD19" i="27"/>
  <c r="FE19" i="27"/>
  <c r="FF19" i="27"/>
  <c r="GO24" i="27"/>
  <c r="GP24" i="27"/>
  <c r="HF24" i="27"/>
  <c r="GN24" i="27"/>
  <c r="GO26" i="27"/>
  <c r="GP26" i="27"/>
  <c r="HF26" i="27"/>
  <c r="GN26" i="27"/>
  <c r="GB80" i="27"/>
  <c r="GC80" i="27"/>
  <c r="GD80" i="27"/>
  <c r="HD80" i="27"/>
  <c r="CL78" i="27"/>
  <c r="DL78" i="27"/>
  <c r="CJ78" i="27"/>
  <c r="CK78" i="27"/>
  <c r="P53" i="31"/>
  <c r="AL49" i="3"/>
  <c r="L76" i="31"/>
  <c r="AF76" i="31" s="1"/>
  <c r="AH72" i="3"/>
  <c r="BE51" i="31"/>
  <c r="AS51" i="31"/>
  <c r="AY51" i="31" s="1"/>
  <c r="BQ32" i="23"/>
  <c r="AT55" i="31"/>
  <c r="AZ55" i="31" s="1"/>
  <c r="BF55" i="31"/>
  <c r="BD70" i="31"/>
  <c r="AR70" i="31"/>
  <c r="AX70" i="31" s="1"/>
  <c r="FM14" i="27"/>
  <c r="HI14" i="27"/>
  <c r="BH43" i="31"/>
  <c r="AV43" i="31"/>
  <c r="BB43" i="31" s="1"/>
  <c r="DD19" i="27"/>
  <c r="DO19" i="27"/>
  <c r="DB19" i="27"/>
  <c r="DC19" i="27"/>
  <c r="GJ29" i="27"/>
  <c r="GI29" i="27"/>
  <c r="HE29" i="27"/>
  <c r="GH29" i="27"/>
  <c r="GD77" i="27"/>
  <c r="GC77" i="27"/>
  <c r="GB77" i="27"/>
  <c r="HD77" i="27"/>
  <c r="FH74" i="27"/>
  <c r="EG74" i="27"/>
  <c r="EF74" i="27"/>
  <c r="EH74" i="27"/>
  <c r="CL90" i="27"/>
  <c r="CJ90" i="27"/>
  <c r="CK90" i="27"/>
  <c r="DL90" i="27"/>
  <c r="DL94" i="27"/>
  <c r="CJ94" i="27"/>
  <c r="CL94" i="27"/>
  <c r="CK94" i="27"/>
  <c r="GC92" i="27"/>
  <c r="HD92" i="27"/>
  <c r="GD92" i="27"/>
  <c r="GB92" i="27"/>
  <c r="EM24" i="27"/>
  <c r="EN24" i="27"/>
  <c r="EL24" i="27"/>
  <c r="FI24" i="27"/>
  <c r="EF65" i="27"/>
  <c r="FH65" i="27"/>
  <c r="EG65" i="27"/>
  <c r="EH65" i="27"/>
  <c r="GB66" i="27"/>
  <c r="GD66" i="27"/>
  <c r="GC66" i="27"/>
  <c r="HD66" i="27"/>
  <c r="EF68" i="27"/>
  <c r="FH68" i="27"/>
  <c r="EG68" i="27"/>
  <c r="EH68" i="27"/>
  <c r="FH70" i="27"/>
  <c r="EH70" i="27"/>
  <c r="EG70" i="27"/>
  <c r="EF70" i="27"/>
  <c r="CW30" i="27"/>
  <c r="DN30" i="27"/>
  <c r="CV30" i="27"/>
  <c r="CX30" i="27"/>
  <c r="GH27" i="27"/>
  <c r="HE27" i="27"/>
  <c r="GJ27" i="27"/>
  <c r="GI27" i="27"/>
  <c r="CW32" i="27"/>
  <c r="DN32" i="27"/>
  <c r="CX32" i="27"/>
  <c r="CV32" i="27"/>
  <c r="CR30" i="27"/>
  <c r="DM30" i="27"/>
  <c r="CP30" i="27"/>
  <c r="CQ30" i="27"/>
  <c r="GD84" i="27"/>
  <c r="GB84" i="27"/>
  <c r="GC84" i="27"/>
  <c r="HD84" i="27"/>
  <c r="GB87" i="27"/>
  <c r="HD87" i="27"/>
  <c r="GD87" i="27"/>
  <c r="GC87" i="27"/>
  <c r="ET27" i="27"/>
  <c r="ES27" i="27"/>
  <c r="FJ27" i="27"/>
  <c r="ER27" i="27"/>
  <c r="DH19" i="27"/>
  <c r="DI19" i="27"/>
  <c r="DP19" i="27"/>
  <c r="DJ19" i="27"/>
  <c r="ET24" i="27"/>
  <c r="FJ24" i="27"/>
  <c r="ER24" i="27"/>
  <c r="ES24" i="27"/>
  <c r="HB20" i="27"/>
  <c r="HH20" i="27"/>
  <c r="HI20" i="27" s="1"/>
  <c r="GZ20" i="27"/>
  <c r="HA20" i="27"/>
  <c r="EH80" i="27"/>
  <c r="EG80" i="27"/>
  <c r="FH80" i="27"/>
  <c r="EF80" i="27"/>
  <c r="GC78" i="27"/>
  <c r="GD78" i="27"/>
  <c r="GB78" i="27"/>
  <c r="HD78" i="27"/>
  <c r="N58" i="31"/>
  <c r="AH58" i="31" s="1"/>
  <c r="AJ54" i="3"/>
  <c r="CX29" i="27"/>
  <c r="CW29" i="27"/>
  <c r="DN29" i="27"/>
  <c r="CV29" i="27"/>
  <c r="AT56" i="31"/>
  <c r="AZ56" i="31" s="1"/>
  <c r="BF56" i="31"/>
  <c r="BE55" i="31"/>
  <c r="AS55" i="31"/>
  <c r="AY55" i="31" s="1"/>
  <c r="BF54" i="31"/>
  <c r="AT54" i="31"/>
  <c r="AZ54" i="31" s="1"/>
  <c r="BD72" i="31"/>
  <c r="AR72" i="31"/>
  <c r="AX72" i="31" s="1"/>
  <c r="BH41" i="31"/>
  <c r="AV41" i="31"/>
  <c r="BB41" i="31" s="1"/>
  <c r="FQ13" i="27"/>
  <c r="FS13" i="27"/>
  <c r="HG19" i="27"/>
  <c r="HI19" i="27" s="1"/>
  <c r="GV19" i="27"/>
  <c r="GU19" i="27"/>
  <c r="GT19" i="27"/>
  <c r="FI29" i="27"/>
  <c r="EM29" i="27"/>
  <c r="EN29" i="27"/>
  <c r="EL29" i="27"/>
  <c r="GB75" i="27"/>
  <c r="HD75" i="27"/>
  <c r="GC75" i="27"/>
  <c r="GD75" i="27"/>
  <c r="HD74" i="27"/>
  <c r="GC74" i="27"/>
  <c r="GD74" i="27"/>
  <c r="GB74" i="27"/>
  <c r="HD90" i="27"/>
  <c r="GB90" i="27"/>
  <c r="GD90" i="27"/>
  <c r="GC90" i="27"/>
  <c r="DL93" i="27"/>
  <c r="CK93" i="27"/>
  <c r="CJ93" i="27"/>
  <c r="CL93" i="27"/>
  <c r="CL92" i="27"/>
  <c r="DL92" i="27"/>
  <c r="CJ92" i="27"/>
  <c r="CK92" i="27"/>
  <c r="GH24" i="27"/>
  <c r="HE24" i="27"/>
  <c r="GJ24" i="27"/>
  <c r="GI24" i="27"/>
  <c r="DL65" i="27"/>
  <c r="CL65" i="27"/>
  <c r="CJ65" i="27"/>
  <c r="CK65" i="27"/>
  <c r="EG67" i="27"/>
  <c r="EH67" i="27"/>
  <c r="FH67" i="27"/>
  <c r="EF67" i="27"/>
  <c r="GD68" i="27"/>
  <c r="HD68" i="27"/>
  <c r="GB68" i="27"/>
  <c r="GC68" i="27"/>
  <c r="CL70" i="27"/>
  <c r="DL70" i="27"/>
  <c r="CK70" i="27"/>
  <c r="CJ70" i="27"/>
  <c r="GO30" i="27"/>
  <c r="GN30" i="27"/>
  <c r="HF30" i="27"/>
  <c r="GP30" i="27"/>
  <c r="EM27" i="27"/>
  <c r="EL27" i="27"/>
  <c r="EN27" i="27"/>
  <c r="FI27" i="27"/>
  <c r="HF32" i="27"/>
  <c r="GP32" i="27"/>
  <c r="GN32" i="27"/>
  <c r="GO32" i="27"/>
  <c r="GI30" i="27"/>
  <c r="GH30" i="27"/>
  <c r="GJ30" i="27"/>
  <c r="HE30" i="27"/>
  <c r="GD85" i="27"/>
  <c r="HD85" i="27"/>
  <c r="GC85" i="27"/>
  <c r="GB85" i="27"/>
  <c r="CK87" i="27"/>
  <c r="CJ87" i="27"/>
  <c r="DL87" i="27"/>
  <c r="CL87" i="27"/>
  <c r="DN27" i="27"/>
  <c r="CX27" i="27"/>
  <c r="CV27" i="27"/>
  <c r="CW27" i="27"/>
  <c r="DN24" i="27"/>
  <c r="CW24" i="27"/>
  <c r="CV24" i="27"/>
  <c r="CX24" i="27"/>
  <c r="FE20" i="27"/>
  <c r="FD20" i="27"/>
  <c r="FF20" i="27"/>
  <c r="FL20" i="27"/>
  <c r="GC81" i="27"/>
  <c r="HD81" i="27"/>
  <c r="GB81" i="27"/>
  <c r="GD81" i="27"/>
  <c r="EH78" i="27"/>
  <c r="FH78" i="27"/>
  <c r="EF78" i="27"/>
  <c r="EG78" i="27"/>
  <c r="N60" i="31"/>
  <c r="AH60" i="31" s="1"/>
  <c r="AJ56" i="3"/>
  <c r="O54" i="31"/>
  <c r="AI54" i="31" s="1"/>
  <c r="AK50" i="3"/>
  <c r="HF29" i="27"/>
  <c r="GO29" i="27"/>
  <c r="GN29" i="27"/>
  <c r="GP29" i="27"/>
  <c r="BH44" i="31"/>
  <c r="AV44" i="31"/>
  <c r="BB44" i="31" s="1"/>
  <c r="BE56" i="31"/>
  <c r="AS56" i="31"/>
  <c r="AY56" i="31" s="1"/>
  <c r="BQ7" i="23"/>
  <c r="BF53" i="31"/>
  <c r="AT53" i="31"/>
  <c r="AZ53" i="31" s="1"/>
  <c r="HI16" i="27"/>
  <c r="GT21" i="27"/>
  <c r="GU21" i="27"/>
  <c r="GV21" i="27"/>
  <c r="HG21" i="27"/>
  <c r="CQ29" i="27"/>
  <c r="DM29" i="27"/>
  <c r="CP29" i="27"/>
  <c r="CR29" i="27"/>
  <c r="EG75" i="27"/>
  <c r="EF75" i="27"/>
  <c r="FH75" i="27"/>
  <c r="EH75" i="27"/>
  <c r="FE22" i="27"/>
  <c r="FD22" i="27"/>
  <c r="FL22" i="27"/>
  <c r="FF22" i="27"/>
  <c r="GI33" i="27"/>
  <c r="GJ33" i="27"/>
  <c r="GH33" i="27"/>
  <c r="HE33" i="27"/>
  <c r="EF90" i="27"/>
  <c r="EH90" i="27"/>
  <c r="EG90" i="27"/>
  <c r="FH90" i="27"/>
  <c r="GD93" i="27"/>
  <c r="HD93" i="27"/>
  <c r="GB93" i="27"/>
  <c r="GC93" i="27"/>
  <c r="DM25" i="27"/>
  <c r="CP25" i="27"/>
  <c r="CR25" i="27"/>
  <c r="CQ25" i="27"/>
  <c r="GD65" i="27"/>
  <c r="GB65" i="27"/>
  <c r="HD65" i="27"/>
  <c r="GC65" i="27"/>
  <c r="HD67" i="27"/>
  <c r="GB67" i="27"/>
  <c r="GD67" i="27"/>
  <c r="GC67" i="27"/>
  <c r="CK69" i="27"/>
  <c r="CL69" i="27"/>
  <c r="CJ69" i="27"/>
  <c r="DL69" i="27"/>
  <c r="GB70" i="27"/>
  <c r="GD70" i="27"/>
  <c r="GC70" i="27"/>
  <c r="HD70" i="27"/>
  <c r="GN31" i="27"/>
  <c r="GP31" i="27"/>
  <c r="GO31" i="27"/>
  <c r="HF31" i="27"/>
  <c r="CR27" i="27"/>
  <c r="CP27" i="27"/>
  <c r="CQ27" i="27"/>
  <c r="DM27" i="27"/>
  <c r="ES33" i="27"/>
  <c r="FJ33" i="27"/>
  <c r="ET33" i="27"/>
  <c r="ER33" i="27"/>
  <c r="EM30" i="27"/>
  <c r="EN30" i="27"/>
  <c r="FI30" i="27"/>
  <c r="EL30" i="27"/>
  <c r="EG85" i="27"/>
  <c r="EH85" i="27"/>
  <c r="FH85" i="27"/>
  <c r="EF85" i="27"/>
  <c r="DL83" i="27"/>
  <c r="CJ83" i="27"/>
  <c r="CL83" i="27"/>
  <c r="CK83" i="27"/>
  <c r="GP27" i="27"/>
  <c r="GO27" i="27"/>
  <c r="HF27" i="27"/>
  <c r="GN27" i="27"/>
  <c r="DN25" i="27"/>
  <c r="CV25" i="27"/>
  <c r="CX25" i="27"/>
  <c r="CW25" i="27"/>
  <c r="DH20" i="27"/>
  <c r="DI20" i="27"/>
  <c r="DP20" i="27"/>
  <c r="DJ20" i="27"/>
  <c r="EG81" i="27"/>
  <c r="EH81" i="27"/>
  <c r="EF81" i="27"/>
  <c r="FH81" i="27"/>
  <c r="P51" i="31"/>
  <c r="AL47" i="3"/>
  <c r="N57" i="31"/>
  <c r="AH57" i="31" s="1"/>
  <c r="AJ53" i="3"/>
  <c r="AK46" i="3"/>
  <c r="O50" i="31"/>
  <c r="AI50" i="31" s="1"/>
  <c r="ES29" i="27"/>
  <c r="ER29" i="27"/>
  <c r="FJ29" i="27"/>
  <c r="ET29" i="27"/>
  <c r="I19" i="5"/>
  <c r="S19" i="5" s="1"/>
  <c r="K18" i="5"/>
  <c r="U18" i="5" s="1"/>
  <c r="J18" i="5"/>
  <c r="T18" i="5" s="1"/>
  <c r="G22" i="5"/>
  <c r="Q22" i="5" s="1"/>
  <c r="Y65" i="5"/>
  <c r="Z54" i="27"/>
  <c r="S58" i="27"/>
  <c r="Z44" i="27"/>
  <c r="AA62" i="5"/>
  <c r="L131" i="27"/>
  <c r="L150" i="27"/>
  <c r="AO95" i="3"/>
  <c r="Z49" i="27"/>
  <c r="L145" i="27"/>
  <c r="AO103" i="3"/>
  <c r="AA59" i="5"/>
  <c r="AP29" i="3"/>
  <c r="AA60" i="5"/>
  <c r="AO101" i="3"/>
  <c r="Z55" i="27"/>
  <c r="AQ28" i="3"/>
  <c r="AQ29" i="3"/>
  <c r="AO112" i="3"/>
  <c r="AQ24" i="3"/>
  <c r="L125" i="27"/>
  <c r="AP33" i="3"/>
  <c r="AG39" i="27"/>
  <c r="AN33" i="27"/>
  <c r="AO94" i="3"/>
  <c r="L134" i="27"/>
  <c r="Y67" i="5"/>
  <c r="AQ26" i="3"/>
  <c r="S62" i="27"/>
  <c r="S44" i="27"/>
  <c r="L140" i="27"/>
  <c r="AG36" i="27"/>
  <c r="AG33" i="27"/>
  <c r="S48" i="27"/>
  <c r="AO107" i="3"/>
  <c r="S60" i="27"/>
  <c r="AO99" i="3"/>
  <c r="AO97" i="3"/>
  <c r="L124" i="27"/>
  <c r="AN38" i="27"/>
  <c r="AO110" i="3"/>
  <c r="AO120" i="3"/>
  <c r="AN34" i="27"/>
  <c r="AN32" i="27"/>
  <c r="L144" i="27"/>
  <c r="AO115" i="3"/>
  <c r="S57" i="27"/>
  <c r="AS9" i="3"/>
  <c r="L128" i="27"/>
  <c r="S52" i="27"/>
  <c r="Z67" i="5"/>
  <c r="Z57" i="27"/>
  <c r="X78" i="5"/>
  <c r="AO117" i="3"/>
  <c r="Z52" i="27"/>
  <c r="Z61" i="27"/>
  <c r="AN39" i="27"/>
  <c r="Z53" i="27"/>
  <c r="AB58" i="5"/>
  <c r="AQ25" i="3"/>
  <c r="AQ30" i="3"/>
  <c r="AR13" i="3"/>
  <c r="Z60" i="27"/>
  <c r="Z46" i="27"/>
  <c r="L137" i="27"/>
  <c r="Z50" i="27"/>
  <c r="AP34" i="3"/>
  <c r="S61" i="27"/>
  <c r="AO104" i="3"/>
  <c r="L149" i="27"/>
  <c r="Y68" i="5"/>
  <c r="S47" i="27"/>
  <c r="L148" i="27"/>
  <c r="Y64" i="5"/>
  <c r="L146" i="27"/>
  <c r="AG32" i="27"/>
  <c r="AP36" i="3"/>
  <c r="AO114" i="3"/>
  <c r="AO105" i="3"/>
  <c r="Z47" i="27"/>
  <c r="AR16" i="3"/>
  <c r="AO98" i="3"/>
  <c r="AO108" i="3"/>
  <c r="Z63" i="27"/>
  <c r="S51" i="27"/>
  <c r="Y66" i="5"/>
  <c r="S53" i="27"/>
  <c r="S55" i="27"/>
  <c r="AA57" i="5"/>
  <c r="AO111" i="3"/>
  <c r="AN36" i="27"/>
  <c r="AP30" i="3"/>
  <c r="L136" i="27"/>
  <c r="L151" i="27"/>
  <c r="AP35" i="3"/>
  <c r="AO106" i="3"/>
  <c r="AN35" i="27"/>
  <c r="Z68" i="5"/>
  <c r="S54" i="27"/>
  <c r="AO119" i="3"/>
  <c r="L132" i="27"/>
  <c r="AO109" i="3"/>
  <c r="AB60" i="5"/>
  <c r="L139" i="27"/>
  <c r="S46" i="27"/>
  <c r="L133" i="27"/>
  <c r="AP32" i="3"/>
  <c r="Z59" i="27"/>
  <c r="AG37" i="27"/>
  <c r="AN40" i="27"/>
  <c r="AB59" i="5"/>
  <c r="X77" i="5"/>
  <c r="L129" i="27"/>
  <c r="L138" i="27"/>
  <c r="AS10" i="3"/>
  <c r="Z66" i="5"/>
  <c r="AO113" i="3"/>
  <c r="Z65" i="5"/>
  <c r="AG38" i="27"/>
  <c r="AO96" i="3"/>
  <c r="S45" i="27"/>
  <c r="AR15" i="3"/>
  <c r="AR17" i="3"/>
  <c r="S59" i="27"/>
  <c r="AB57" i="5"/>
  <c r="S63" i="27"/>
  <c r="L147" i="27"/>
  <c r="AN37" i="27"/>
  <c r="AR14" i="3"/>
  <c r="Z56" i="27"/>
  <c r="AO116" i="3"/>
  <c r="L130" i="27"/>
  <c r="Z62" i="27"/>
  <c r="AO93" i="3"/>
  <c r="AG34" i="27"/>
  <c r="Z51" i="27"/>
  <c r="AO118" i="3"/>
  <c r="AA58" i="5"/>
  <c r="AG40" i="27"/>
  <c r="AA61" i="5"/>
  <c r="AP31" i="3"/>
  <c r="AB62" i="5"/>
  <c r="AQ27" i="3"/>
  <c r="S56" i="27"/>
  <c r="S50" i="27"/>
  <c r="Z45" i="27"/>
  <c r="S49" i="27"/>
  <c r="L141" i="27"/>
  <c r="Z58" i="27"/>
  <c r="AO100" i="3"/>
  <c r="L143" i="27"/>
  <c r="Z64" i="5"/>
  <c r="Z48" i="27"/>
  <c r="AO102" i="3"/>
  <c r="AB61" i="5"/>
  <c r="L142" i="27"/>
  <c r="AO121" i="3"/>
  <c r="AG35" i="27"/>
  <c r="L127" i="27"/>
  <c r="L126" i="27"/>
  <c r="L135" i="27"/>
  <c r="HI21" i="27" l="1"/>
  <c r="DW14" i="27"/>
  <c r="DQ20" i="27"/>
  <c r="FM21" i="27"/>
  <c r="HM15" i="27"/>
  <c r="DQ21" i="27"/>
  <c r="DW21" i="27" s="1"/>
  <c r="FS15" i="27"/>
  <c r="FM19" i="27"/>
  <c r="FQ19" i="27" s="1"/>
  <c r="FM22" i="27"/>
  <c r="FM20" i="27"/>
  <c r="AE61" i="3"/>
  <c r="AE59" i="3"/>
  <c r="AE56" i="3"/>
  <c r="AE57" i="3"/>
  <c r="AE60" i="3"/>
  <c r="AE58" i="3"/>
  <c r="FA39" i="27"/>
  <c r="GW39" i="27"/>
  <c r="DE39" i="27"/>
  <c r="FA40" i="27"/>
  <c r="DE40" i="27"/>
  <c r="GW40" i="27"/>
  <c r="AD63" i="3"/>
  <c r="AD64" i="3"/>
  <c r="AD67" i="3"/>
  <c r="AD65" i="3"/>
  <c r="AD66" i="3"/>
  <c r="AT10" i="3"/>
  <c r="EI62" i="27"/>
  <c r="CM62" i="27"/>
  <c r="GE62" i="27"/>
  <c r="GE63" i="27"/>
  <c r="EI63" i="27"/>
  <c r="CM63" i="27"/>
  <c r="CM60" i="27"/>
  <c r="GE60" i="27"/>
  <c r="EI60" i="27"/>
  <c r="EI61" i="27"/>
  <c r="GE61" i="27"/>
  <c r="CM61" i="27"/>
  <c r="CM47" i="27"/>
  <c r="EI47" i="27"/>
  <c r="GE47" i="27"/>
  <c r="CM48" i="27"/>
  <c r="EI48" i="27"/>
  <c r="GE48" i="27"/>
  <c r="EI49" i="27"/>
  <c r="CM49" i="27"/>
  <c r="GE49" i="27"/>
  <c r="CM46" i="27"/>
  <c r="EI46" i="27"/>
  <c r="GE46" i="27"/>
  <c r="EI45" i="27"/>
  <c r="CM45" i="27"/>
  <c r="GE45" i="27"/>
  <c r="CM44" i="27"/>
  <c r="EI44" i="27"/>
  <c r="GE44" i="27"/>
  <c r="CS47" i="27"/>
  <c r="GK47" i="27"/>
  <c r="EO47" i="27"/>
  <c r="EO48" i="27"/>
  <c r="GK48" i="27"/>
  <c r="CS48" i="27"/>
  <c r="CS49" i="27"/>
  <c r="GK49" i="27"/>
  <c r="EO49" i="27"/>
  <c r="GK44" i="27"/>
  <c r="EO44" i="27"/>
  <c r="CS44" i="27"/>
  <c r="EO46" i="27"/>
  <c r="GK46" i="27"/>
  <c r="CS46" i="27"/>
  <c r="EO45" i="27"/>
  <c r="GK45" i="27"/>
  <c r="CS45" i="27"/>
  <c r="AB76" i="3"/>
  <c r="AB77" i="3"/>
  <c r="AF56" i="3"/>
  <c r="AF60" i="3"/>
  <c r="AF59" i="3"/>
  <c r="AF57" i="3"/>
  <c r="AF58" i="3"/>
  <c r="AF61" i="3"/>
  <c r="AT9" i="3"/>
  <c r="CM59" i="27"/>
  <c r="EI59" i="27"/>
  <c r="GE59" i="27"/>
  <c r="CM58" i="27"/>
  <c r="GE58" i="27"/>
  <c r="EI58" i="27"/>
  <c r="CM57" i="27"/>
  <c r="GE57" i="27"/>
  <c r="EI57" i="27"/>
  <c r="EI56" i="27"/>
  <c r="CM56" i="27"/>
  <c r="GE56" i="27"/>
  <c r="EO59" i="27"/>
  <c r="CS59" i="27"/>
  <c r="GK59" i="27"/>
  <c r="GK57" i="27"/>
  <c r="EO57" i="27"/>
  <c r="CS57" i="27"/>
  <c r="EO58" i="27"/>
  <c r="CS58" i="27"/>
  <c r="GK58" i="27"/>
  <c r="CS56" i="27"/>
  <c r="EO56" i="27"/>
  <c r="GK56" i="27"/>
  <c r="DE36" i="27"/>
  <c r="FA36" i="27"/>
  <c r="GW36" i="27"/>
  <c r="GW37" i="27"/>
  <c r="FA37" i="27"/>
  <c r="DE37" i="27"/>
  <c r="DE38" i="27"/>
  <c r="GW38" i="27"/>
  <c r="FA38" i="27"/>
  <c r="EO53" i="27"/>
  <c r="GK53" i="27"/>
  <c r="CS53" i="27"/>
  <c r="EO55" i="27"/>
  <c r="GK55" i="27"/>
  <c r="CS55" i="27"/>
  <c r="GK54" i="27"/>
  <c r="EO54" i="27"/>
  <c r="CS54" i="27"/>
  <c r="CY35" i="27"/>
  <c r="GQ35" i="27"/>
  <c r="EU35" i="27"/>
  <c r="CY34" i="27"/>
  <c r="GQ34" i="27"/>
  <c r="EU34" i="27"/>
  <c r="CY33" i="27"/>
  <c r="GQ33" i="27"/>
  <c r="EU33" i="27"/>
  <c r="EU32" i="27"/>
  <c r="GQ32" i="27"/>
  <c r="CY32" i="27"/>
  <c r="CG150" i="27"/>
  <c r="EC150" i="27"/>
  <c r="FY150" i="27"/>
  <c r="EC146" i="27"/>
  <c r="CG146" i="27"/>
  <c r="FY146" i="27"/>
  <c r="EC149" i="27"/>
  <c r="FY149" i="27"/>
  <c r="CG149" i="27"/>
  <c r="CG143" i="27"/>
  <c r="FY143" i="27"/>
  <c r="EC143" i="27"/>
  <c r="CG144" i="27"/>
  <c r="EC144" i="27"/>
  <c r="FY144" i="27"/>
  <c r="FY148" i="27"/>
  <c r="CG148" i="27"/>
  <c r="EC148" i="27"/>
  <c r="CG145" i="27"/>
  <c r="FY145" i="27"/>
  <c r="EC145" i="27"/>
  <c r="FY147" i="27"/>
  <c r="EC147" i="27"/>
  <c r="CG147" i="27"/>
  <c r="FY151" i="27"/>
  <c r="CG151" i="27"/>
  <c r="EC151" i="27"/>
  <c r="EC142" i="27"/>
  <c r="CG142" i="27"/>
  <c r="FY142" i="27"/>
  <c r="GQ36" i="27"/>
  <c r="CY36" i="27"/>
  <c r="EU36" i="27"/>
  <c r="EU37" i="27"/>
  <c r="CY37" i="27"/>
  <c r="GQ37" i="27"/>
  <c r="GQ38" i="27"/>
  <c r="CY38" i="27"/>
  <c r="EU38" i="27"/>
  <c r="AC66" i="3"/>
  <c r="AC67" i="3"/>
  <c r="AC63" i="3"/>
  <c r="AC64" i="3"/>
  <c r="AC65" i="3"/>
  <c r="CM55" i="27"/>
  <c r="GE55" i="27"/>
  <c r="EI55" i="27"/>
  <c r="EI54" i="27"/>
  <c r="CM54" i="27"/>
  <c r="GE54" i="27"/>
  <c r="GE53" i="27"/>
  <c r="EI53" i="27"/>
  <c r="CM53" i="27"/>
  <c r="EC135" i="27"/>
  <c r="CG135" i="27"/>
  <c r="FY135" i="27"/>
  <c r="FY136" i="27"/>
  <c r="CG136" i="27"/>
  <c r="EC136" i="27"/>
  <c r="EC134" i="27"/>
  <c r="FY134" i="27"/>
  <c r="CG134" i="27"/>
  <c r="FY140" i="27"/>
  <c r="CG140" i="27"/>
  <c r="EC140" i="27"/>
  <c r="CG133" i="27"/>
  <c r="FY133" i="27"/>
  <c r="EC133" i="27"/>
  <c r="EC139" i="27"/>
  <c r="FY139" i="27"/>
  <c r="CG139" i="27"/>
  <c r="EC132" i="27"/>
  <c r="FY132" i="27"/>
  <c r="CG132" i="27"/>
  <c r="EC141" i="27"/>
  <c r="CG141" i="27"/>
  <c r="FY141" i="27"/>
  <c r="EC138" i="27"/>
  <c r="FY138" i="27"/>
  <c r="CG138" i="27"/>
  <c r="FY137" i="27"/>
  <c r="EC137" i="27"/>
  <c r="CG137" i="27"/>
  <c r="EC128" i="27"/>
  <c r="FY128" i="27"/>
  <c r="CG128" i="27"/>
  <c r="CG125" i="27"/>
  <c r="FY125" i="27"/>
  <c r="EC125" i="27"/>
  <c r="EC127" i="27"/>
  <c r="CG127" i="27"/>
  <c r="FY127" i="27"/>
  <c r="EC131" i="27"/>
  <c r="CG131" i="27"/>
  <c r="FY131" i="27"/>
  <c r="EC130" i="27"/>
  <c r="CG130" i="27"/>
  <c r="FY130" i="27"/>
  <c r="FY124" i="27"/>
  <c r="CG124" i="27"/>
  <c r="EC124" i="27"/>
  <c r="FY126" i="27"/>
  <c r="CG126" i="27"/>
  <c r="EC126" i="27"/>
  <c r="FY129" i="27"/>
  <c r="EC129" i="27"/>
  <c r="CG129" i="27"/>
  <c r="GQ40" i="27"/>
  <c r="EU40" i="27"/>
  <c r="CY40" i="27"/>
  <c r="CY39" i="27"/>
  <c r="EU39" i="27"/>
  <c r="GQ39" i="27"/>
  <c r="EO60" i="27"/>
  <c r="CS60" i="27"/>
  <c r="GK60" i="27"/>
  <c r="EO62" i="27"/>
  <c r="CS62" i="27"/>
  <c r="GK62" i="27"/>
  <c r="EO63" i="27"/>
  <c r="CS63" i="27"/>
  <c r="GK63" i="27"/>
  <c r="CS61" i="27"/>
  <c r="EO61" i="27"/>
  <c r="GK61" i="27"/>
  <c r="CM52" i="27"/>
  <c r="EI52" i="27"/>
  <c r="GE52" i="27"/>
  <c r="EI51" i="27"/>
  <c r="CM51" i="27"/>
  <c r="GE51" i="27"/>
  <c r="EI50" i="27"/>
  <c r="GE50" i="27"/>
  <c r="CM50" i="27"/>
  <c r="CS51" i="27"/>
  <c r="GK51" i="27"/>
  <c r="EO51" i="27"/>
  <c r="CS52" i="27"/>
  <c r="GK52" i="27"/>
  <c r="EO52" i="27"/>
  <c r="GK50" i="27"/>
  <c r="CS50" i="27"/>
  <c r="EO50" i="27"/>
  <c r="GW34" i="27"/>
  <c r="FA34" i="27"/>
  <c r="DE34" i="27"/>
  <c r="DE35" i="27"/>
  <c r="FA35" i="27"/>
  <c r="GW35" i="27"/>
  <c r="FA32" i="27"/>
  <c r="GW32" i="27"/>
  <c r="DE32" i="27"/>
  <c r="FA33" i="27"/>
  <c r="GW33" i="27"/>
  <c r="DE33" i="27"/>
  <c r="HM18" i="27"/>
  <c r="HO18" i="27"/>
  <c r="BQ8" i="23"/>
  <c r="DL110" i="27"/>
  <c r="CL110" i="27"/>
  <c r="CK110" i="27"/>
  <c r="CJ110" i="27"/>
  <c r="FJ43" i="27"/>
  <c r="ER43" i="27"/>
  <c r="ES43" i="27"/>
  <c r="ET43" i="27"/>
  <c r="EG112" i="27"/>
  <c r="EF112" i="27"/>
  <c r="FH112" i="27"/>
  <c r="EH112" i="27"/>
  <c r="FI41" i="27"/>
  <c r="EN41" i="27"/>
  <c r="EM41" i="27"/>
  <c r="EL41" i="27"/>
  <c r="AL54" i="3"/>
  <c r="P58" i="31"/>
  <c r="GO43" i="27"/>
  <c r="GN43" i="27"/>
  <c r="GP43" i="27"/>
  <c r="HF43" i="27"/>
  <c r="FF30" i="27"/>
  <c r="FE30" i="27"/>
  <c r="FD30" i="27"/>
  <c r="FL30" i="27"/>
  <c r="FI34" i="27"/>
  <c r="EM34" i="27"/>
  <c r="EN34" i="27"/>
  <c r="EL34" i="27"/>
  <c r="CQ37" i="27"/>
  <c r="CP37" i="27"/>
  <c r="CR37" i="27"/>
  <c r="DM37" i="27"/>
  <c r="BG50" i="31"/>
  <c r="AU50" i="31"/>
  <c r="BA50" i="31" s="1"/>
  <c r="DQ19" i="27"/>
  <c r="HO20" i="27"/>
  <c r="HM20" i="27"/>
  <c r="FJ40" i="27"/>
  <c r="ES40" i="27"/>
  <c r="ET40" i="27"/>
  <c r="ER40" i="27"/>
  <c r="M65" i="31"/>
  <c r="AG65" i="31" s="1"/>
  <c r="AI61" i="3"/>
  <c r="CR41" i="27"/>
  <c r="CQ41" i="27"/>
  <c r="DM41" i="27"/>
  <c r="CP41" i="27"/>
  <c r="P59" i="31"/>
  <c r="AL55" i="3"/>
  <c r="AJ62" i="3"/>
  <c r="N66" i="31"/>
  <c r="AH66" i="31" s="1"/>
  <c r="FQ20" i="27"/>
  <c r="FS20" i="27"/>
  <c r="Q53" i="31"/>
  <c r="AJ53" i="31"/>
  <c r="GN40" i="27"/>
  <c r="GO40" i="27"/>
  <c r="HF40" i="27"/>
  <c r="GP40" i="27"/>
  <c r="M61" i="31"/>
  <c r="AG61" i="31" s="1"/>
  <c r="AI57" i="3"/>
  <c r="N61" i="31"/>
  <c r="AH61" i="31" s="1"/>
  <c r="AJ57" i="3"/>
  <c r="HO21" i="27"/>
  <c r="HM21" i="27"/>
  <c r="DO31" i="27"/>
  <c r="DD31" i="27"/>
  <c r="DB31" i="27"/>
  <c r="DC31" i="27"/>
  <c r="DC28" i="27"/>
  <c r="DD28" i="27"/>
  <c r="DB28" i="27"/>
  <c r="DO28" i="27"/>
  <c r="GC96" i="27"/>
  <c r="HD96" i="27"/>
  <c r="GB96" i="27"/>
  <c r="GD96" i="27"/>
  <c r="EH95" i="27"/>
  <c r="EG95" i="27"/>
  <c r="FH95" i="27"/>
  <c r="EF95" i="27"/>
  <c r="CJ104" i="27"/>
  <c r="CL104" i="27"/>
  <c r="DL104" i="27"/>
  <c r="CK104" i="27"/>
  <c r="CK107" i="27"/>
  <c r="CL107" i="27"/>
  <c r="CJ107" i="27"/>
  <c r="DL107" i="27"/>
  <c r="DH23" i="27"/>
  <c r="DP23" i="27"/>
  <c r="DI23" i="27"/>
  <c r="DJ23" i="27"/>
  <c r="DJ25" i="27"/>
  <c r="DH25" i="27"/>
  <c r="DP25" i="27"/>
  <c r="DI25" i="27"/>
  <c r="CK117" i="27"/>
  <c r="DL117" i="27"/>
  <c r="CJ117" i="27"/>
  <c r="CL117" i="27"/>
  <c r="EG120" i="27"/>
  <c r="EH120" i="27"/>
  <c r="EF120" i="27"/>
  <c r="FH120" i="27"/>
  <c r="CL123" i="27"/>
  <c r="CK123" i="27"/>
  <c r="DL123" i="27"/>
  <c r="CJ123" i="27"/>
  <c r="FH114" i="27"/>
  <c r="EF114" i="27"/>
  <c r="EG114" i="27"/>
  <c r="EH114" i="27"/>
  <c r="EM37" i="27"/>
  <c r="FI37" i="27"/>
  <c r="EL37" i="27"/>
  <c r="EN37" i="27"/>
  <c r="CK113" i="27"/>
  <c r="DL113" i="27"/>
  <c r="CL113" i="27"/>
  <c r="CJ113" i="27"/>
  <c r="DU20" i="27"/>
  <c r="DW20" i="27"/>
  <c r="Q52" i="31"/>
  <c r="AJ52" i="31"/>
  <c r="DC23" i="27"/>
  <c r="DB23" i="27"/>
  <c r="DD23" i="27"/>
  <c r="DO23" i="27"/>
  <c r="ES34" i="27"/>
  <c r="ET34" i="27"/>
  <c r="FJ34" i="27"/>
  <c r="ER34" i="27"/>
  <c r="CX38" i="27"/>
  <c r="CV38" i="27"/>
  <c r="CW38" i="27"/>
  <c r="DN38" i="27"/>
  <c r="HA26" i="27"/>
  <c r="HH26" i="27"/>
  <c r="HI26" i="27" s="1"/>
  <c r="GZ26" i="27"/>
  <c r="HB26" i="27"/>
  <c r="GU31" i="27"/>
  <c r="GV31" i="27"/>
  <c r="HG31" i="27"/>
  <c r="GT31" i="27"/>
  <c r="GB98" i="27"/>
  <c r="GD98" i="27"/>
  <c r="GC98" i="27"/>
  <c r="HD98" i="27"/>
  <c r="CJ96" i="27"/>
  <c r="CK96" i="27"/>
  <c r="CL96" i="27"/>
  <c r="DL96" i="27"/>
  <c r="CK95" i="27"/>
  <c r="CL95" i="27"/>
  <c r="CJ95" i="27"/>
  <c r="DL95" i="27"/>
  <c r="HD103" i="27"/>
  <c r="GD103" i="27"/>
  <c r="GC103" i="27"/>
  <c r="GB103" i="27"/>
  <c r="FH107" i="27"/>
  <c r="EF107" i="27"/>
  <c r="EH107" i="27"/>
  <c r="EG107" i="27"/>
  <c r="FD23" i="27"/>
  <c r="FE23" i="27"/>
  <c r="FF23" i="27"/>
  <c r="FL23" i="27"/>
  <c r="CQ39" i="27"/>
  <c r="CR39" i="27"/>
  <c r="DM39" i="27"/>
  <c r="CP39" i="27"/>
  <c r="EH117" i="27"/>
  <c r="EG117" i="27"/>
  <c r="FH117" i="27"/>
  <c r="EF117" i="27"/>
  <c r="HD120" i="27"/>
  <c r="GC120" i="27"/>
  <c r="GB120" i="27"/>
  <c r="GD120" i="27"/>
  <c r="HD119" i="27"/>
  <c r="GC119" i="27"/>
  <c r="GB119" i="27"/>
  <c r="GD119" i="27"/>
  <c r="EG113" i="27"/>
  <c r="EH113" i="27"/>
  <c r="EF113" i="27"/>
  <c r="FH113" i="27"/>
  <c r="DJ30" i="27"/>
  <c r="DP30" i="27"/>
  <c r="DI30" i="27"/>
  <c r="DH30" i="27"/>
  <c r="FD28" i="27"/>
  <c r="FF28" i="27"/>
  <c r="FE28" i="27"/>
  <c r="FL28" i="27"/>
  <c r="HM19" i="27"/>
  <c r="HO19" i="27"/>
  <c r="AR73" i="31"/>
  <c r="AX73" i="31" s="1"/>
  <c r="BD73" i="31"/>
  <c r="BE58" i="31"/>
  <c r="AS58" i="31"/>
  <c r="AY58" i="31" s="1"/>
  <c r="FQ22" i="27"/>
  <c r="FS22" i="27"/>
  <c r="DW18" i="27"/>
  <c r="DU18" i="27"/>
  <c r="GU23" i="27"/>
  <c r="GT23" i="27"/>
  <c r="GV23" i="27"/>
  <c r="HG23" i="27"/>
  <c r="HF34" i="27"/>
  <c r="GP34" i="27"/>
  <c r="GO34" i="27"/>
  <c r="GN34" i="27"/>
  <c r="ET37" i="27"/>
  <c r="ES37" i="27"/>
  <c r="FJ37" i="27"/>
  <c r="ER37" i="27"/>
  <c r="DP26" i="27"/>
  <c r="DI26" i="27"/>
  <c r="DJ26" i="27"/>
  <c r="DH26" i="27"/>
  <c r="DJ29" i="27"/>
  <c r="DI29" i="27"/>
  <c r="DP29" i="27"/>
  <c r="DH29" i="27"/>
  <c r="FD27" i="27"/>
  <c r="FL27" i="27"/>
  <c r="FE27" i="27"/>
  <c r="FF27" i="27"/>
  <c r="EN35" i="27"/>
  <c r="EL35" i="27"/>
  <c r="FI35" i="27"/>
  <c r="EM35" i="27"/>
  <c r="CK114" i="27"/>
  <c r="DL114" i="27"/>
  <c r="CL114" i="27"/>
  <c r="CJ114" i="27"/>
  <c r="DQ22" i="27"/>
  <c r="DU21" i="27"/>
  <c r="BH46" i="31"/>
  <c r="AV46" i="31"/>
  <c r="BB46" i="31" s="1"/>
  <c r="HO14" i="27"/>
  <c r="HM14" i="27"/>
  <c r="AS59" i="31"/>
  <c r="AY59" i="31" s="1"/>
  <c r="BE59" i="31"/>
  <c r="AJ50" i="31"/>
  <c r="Q50" i="31"/>
  <c r="AU55" i="31"/>
  <c r="BA55" i="31" s="1"/>
  <c r="BG55" i="31"/>
  <c r="BH49" i="31"/>
  <c r="AV49" i="31"/>
  <c r="BB49" i="31" s="1"/>
  <c r="DD25" i="27"/>
  <c r="DO25" i="27"/>
  <c r="DQ25" i="27" s="1"/>
  <c r="DB25" i="27"/>
  <c r="DC25" i="27"/>
  <c r="CW34" i="27"/>
  <c r="CV34" i="27"/>
  <c r="CX34" i="27"/>
  <c r="DN34" i="27"/>
  <c r="GN37" i="27"/>
  <c r="HF37" i="27"/>
  <c r="GO37" i="27"/>
  <c r="GP37" i="27"/>
  <c r="DO30" i="27"/>
  <c r="DD30" i="27"/>
  <c r="DC30" i="27"/>
  <c r="DB30" i="27"/>
  <c r="ER39" i="27"/>
  <c r="ET39" i="27"/>
  <c r="FJ39" i="27"/>
  <c r="ES39" i="27"/>
  <c r="AI60" i="3"/>
  <c r="M64" i="31"/>
  <c r="AG64" i="31" s="1"/>
  <c r="GZ29" i="27"/>
  <c r="HB29" i="27"/>
  <c r="HA29" i="27"/>
  <c r="HH29" i="27"/>
  <c r="GC112" i="27"/>
  <c r="HD112" i="27"/>
  <c r="GB112" i="27"/>
  <c r="GD112" i="27"/>
  <c r="GC108" i="27"/>
  <c r="GD108" i="27"/>
  <c r="HD108" i="27"/>
  <c r="GB108" i="27"/>
  <c r="GD114" i="27"/>
  <c r="HD114" i="27"/>
  <c r="GB114" i="27"/>
  <c r="GC114" i="27"/>
  <c r="HB28" i="27"/>
  <c r="HA28" i="27"/>
  <c r="HH28" i="27"/>
  <c r="GZ28" i="27"/>
  <c r="EL43" i="27"/>
  <c r="EM43" i="27"/>
  <c r="FI43" i="27"/>
  <c r="EN43" i="27"/>
  <c r="FH98" i="27"/>
  <c r="EH98" i="27"/>
  <c r="EF98" i="27"/>
  <c r="EG98" i="27"/>
  <c r="EG99" i="27"/>
  <c r="EF99" i="27"/>
  <c r="EH99" i="27"/>
  <c r="FH99" i="27"/>
  <c r="GB95" i="27"/>
  <c r="HD95" i="27"/>
  <c r="GC95" i="27"/>
  <c r="GD95" i="27"/>
  <c r="CJ103" i="27"/>
  <c r="DL103" i="27"/>
  <c r="CK103" i="27"/>
  <c r="CL103" i="27"/>
  <c r="CL105" i="27"/>
  <c r="CJ105" i="27"/>
  <c r="DL105" i="27"/>
  <c r="CK105" i="27"/>
  <c r="HH23" i="27"/>
  <c r="GZ23" i="27"/>
  <c r="HA23" i="27"/>
  <c r="HB23" i="27"/>
  <c r="EM39" i="27"/>
  <c r="EN39" i="27"/>
  <c r="EL39" i="27"/>
  <c r="FI39" i="27"/>
  <c r="CK122" i="27"/>
  <c r="CL122" i="27"/>
  <c r="CJ122" i="27"/>
  <c r="DL122" i="27"/>
  <c r="DL120" i="27"/>
  <c r="CK120" i="27"/>
  <c r="CL120" i="27"/>
  <c r="CJ120" i="27"/>
  <c r="EF119" i="27"/>
  <c r="EH119" i="27"/>
  <c r="FH119" i="27"/>
  <c r="EG119" i="27"/>
  <c r="N64" i="31"/>
  <c r="AH64" i="31" s="1"/>
  <c r="AJ60" i="3"/>
  <c r="AL53" i="3"/>
  <c r="P57" i="31"/>
  <c r="ER42" i="27"/>
  <c r="ET42" i="27"/>
  <c r="ES42" i="27"/>
  <c r="FJ42" i="27"/>
  <c r="HH30" i="27"/>
  <c r="HA30" i="27"/>
  <c r="HB30" i="27"/>
  <c r="GZ30" i="27"/>
  <c r="CQ34" i="27"/>
  <c r="CP34" i="27"/>
  <c r="CR34" i="27"/>
  <c r="DM34" i="27"/>
  <c r="HE38" i="27"/>
  <c r="GJ38" i="27"/>
  <c r="GI38" i="27"/>
  <c r="GH38" i="27"/>
  <c r="BF57" i="31"/>
  <c r="AT57" i="31"/>
  <c r="AZ57" i="31" s="1"/>
  <c r="H20" i="5"/>
  <c r="R20" i="5" s="1"/>
  <c r="AS60" i="31"/>
  <c r="AY60" i="31" s="1"/>
  <c r="BE60" i="31"/>
  <c r="HM17" i="27"/>
  <c r="HO17" i="27"/>
  <c r="GT25" i="27"/>
  <c r="GV25" i="27"/>
  <c r="HG25" i="27"/>
  <c r="GU25" i="27"/>
  <c r="CX35" i="27"/>
  <c r="DN35" i="27"/>
  <c r="CV35" i="27"/>
  <c r="CW35" i="27"/>
  <c r="CW37" i="27"/>
  <c r="DN37" i="27"/>
  <c r="CX37" i="27"/>
  <c r="CV37" i="27"/>
  <c r="EX30" i="27"/>
  <c r="EZ30" i="27"/>
  <c r="FK30" i="27"/>
  <c r="EY30" i="27"/>
  <c r="CW39" i="27"/>
  <c r="CX39" i="27"/>
  <c r="DN39" i="27"/>
  <c r="CV39" i="27"/>
  <c r="FE29" i="27"/>
  <c r="FL29" i="27"/>
  <c r="FF29" i="27"/>
  <c r="FD29" i="27"/>
  <c r="EY26" i="27"/>
  <c r="EZ26" i="27"/>
  <c r="EX26" i="27"/>
  <c r="FK26" i="27"/>
  <c r="CK112" i="27"/>
  <c r="DL112" i="27"/>
  <c r="CL112" i="27"/>
  <c r="CJ112" i="27"/>
  <c r="FH108" i="27"/>
  <c r="EF108" i="27"/>
  <c r="EG108" i="27"/>
  <c r="EH108" i="27"/>
  <c r="CK111" i="27"/>
  <c r="CL111" i="27"/>
  <c r="DL111" i="27"/>
  <c r="CJ111" i="27"/>
  <c r="DH28" i="27"/>
  <c r="DI28" i="27"/>
  <c r="DJ28" i="27"/>
  <c r="DP28" i="27"/>
  <c r="CR43" i="27"/>
  <c r="CP43" i="27"/>
  <c r="CQ43" i="27"/>
  <c r="DM43" i="27"/>
  <c r="HG27" i="27"/>
  <c r="GV27" i="27"/>
  <c r="GT27" i="27"/>
  <c r="GU27" i="27"/>
  <c r="DL98" i="27"/>
  <c r="CK98" i="27"/>
  <c r="CJ98" i="27"/>
  <c r="CL98" i="27"/>
  <c r="GB99" i="27"/>
  <c r="HD99" i="27"/>
  <c r="GD99" i="27"/>
  <c r="GC99" i="27"/>
  <c r="CL97" i="27"/>
  <c r="DL97" i="27"/>
  <c r="CJ97" i="27"/>
  <c r="CK97" i="27"/>
  <c r="EG103" i="27"/>
  <c r="EH103" i="27"/>
  <c r="EF103" i="27"/>
  <c r="FH103" i="27"/>
  <c r="GB105" i="27"/>
  <c r="GC105" i="27"/>
  <c r="GD105" i="27"/>
  <c r="HD105" i="27"/>
  <c r="HB24" i="27"/>
  <c r="HA24" i="27"/>
  <c r="GZ24" i="27"/>
  <c r="HH24" i="27"/>
  <c r="HE39" i="27"/>
  <c r="GI39" i="27"/>
  <c r="GJ39" i="27"/>
  <c r="GH39" i="27"/>
  <c r="HD122" i="27"/>
  <c r="GD122" i="27"/>
  <c r="GB122" i="27"/>
  <c r="GC122" i="27"/>
  <c r="GB118" i="27"/>
  <c r="HD118" i="27"/>
  <c r="GC118" i="27"/>
  <c r="GD118" i="27"/>
  <c r="CJ119" i="27"/>
  <c r="DL119" i="27"/>
  <c r="CL119" i="27"/>
  <c r="CK119" i="27"/>
  <c r="N63" i="31"/>
  <c r="AH63" i="31" s="1"/>
  <c r="AJ59" i="3"/>
  <c r="AK52" i="3"/>
  <c r="O56" i="31"/>
  <c r="AI56" i="31" s="1"/>
  <c r="CW42" i="27"/>
  <c r="DN42" i="27"/>
  <c r="CV42" i="27"/>
  <c r="CX42" i="27"/>
  <c r="FF31" i="27"/>
  <c r="FE31" i="27"/>
  <c r="FD31" i="27"/>
  <c r="FL31" i="27"/>
  <c r="GH34" i="27"/>
  <c r="GI34" i="27"/>
  <c r="GJ34" i="27"/>
  <c r="HE34" i="27"/>
  <c r="EM38" i="27"/>
  <c r="FI38" i="27"/>
  <c r="EL38" i="27"/>
  <c r="EN38" i="27"/>
  <c r="HO22" i="27"/>
  <c r="HM22" i="27"/>
  <c r="FQ14" i="27"/>
  <c r="FS14" i="27"/>
  <c r="BG51" i="31"/>
  <c r="AU51" i="31"/>
  <c r="BA51" i="31" s="1"/>
  <c r="FQ18" i="27"/>
  <c r="FS18" i="27"/>
  <c r="AR75" i="31"/>
  <c r="AX75" i="31" s="1"/>
  <c r="BD75" i="31"/>
  <c r="BH47" i="31"/>
  <c r="AV47" i="31"/>
  <c r="BB47" i="31" s="1"/>
  <c r="BF59" i="31"/>
  <c r="AT59" i="31"/>
  <c r="AZ59" i="31" s="1"/>
  <c r="BE57" i="31"/>
  <c r="AS57" i="31"/>
  <c r="AY57" i="31" s="1"/>
  <c r="EX25" i="27"/>
  <c r="FK25" i="27"/>
  <c r="EZ25" i="27"/>
  <c r="EY25" i="27"/>
  <c r="ET35" i="27"/>
  <c r="ER35" i="27"/>
  <c r="FJ35" i="27"/>
  <c r="ES35" i="27"/>
  <c r="ET36" i="27"/>
  <c r="FJ36" i="27"/>
  <c r="ER36" i="27"/>
  <c r="ES36" i="27"/>
  <c r="GV30" i="27"/>
  <c r="GU30" i="27"/>
  <c r="GT30" i="27"/>
  <c r="HG30" i="27"/>
  <c r="HF39" i="27"/>
  <c r="GO39" i="27"/>
  <c r="GN39" i="27"/>
  <c r="GP39" i="27"/>
  <c r="DD26" i="27"/>
  <c r="DC26" i="27"/>
  <c r="DO26" i="27"/>
  <c r="DB26" i="27"/>
  <c r="CJ109" i="27"/>
  <c r="DL109" i="27"/>
  <c r="CK109" i="27"/>
  <c r="CL109" i="27"/>
  <c r="CL108" i="27"/>
  <c r="DL108" i="27"/>
  <c r="CJ108" i="27"/>
  <c r="CK108" i="27"/>
  <c r="EG111" i="27"/>
  <c r="EH111" i="27"/>
  <c r="FH111" i="27"/>
  <c r="EF111" i="27"/>
  <c r="GH42" i="27"/>
  <c r="GI42" i="27"/>
  <c r="HE42" i="27"/>
  <c r="GJ42" i="27"/>
  <c r="GI43" i="27"/>
  <c r="GH43" i="27"/>
  <c r="GJ43" i="27"/>
  <c r="HE43" i="27"/>
  <c r="EY27" i="27"/>
  <c r="FK27" i="27"/>
  <c r="EZ27" i="27"/>
  <c r="EX27" i="27"/>
  <c r="CJ101" i="27"/>
  <c r="CK101" i="27"/>
  <c r="CL101" i="27"/>
  <c r="DL101" i="27"/>
  <c r="CK99" i="27"/>
  <c r="DL99" i="27"/>
  <c r="CL99" i="27"/>
  <c r="CJ99" i="27"/>
  <c r="GB97" i="27"/>
  <c r="GC97" i="27"/>
  <c r="HD97" i="27"/>
  <c r="GD97" i="27"/>
  <c r="CK102" i="27"/>
  <c r="CL102" i="27"/>
  <c r="CJ102" i="27"/>
  <c r="DL102" i="27"/>
  <c r="FH105" i="27"/>
  <c r="EG105" i="27"/>
  <c r="EF105" i="27"/>
  <c r="EH105" i="27"/>
  <c r="DJ24" i="27"/>
  <c r="DP24" i="27"/>
  <c r="DI24" i="27"/>
  <c r="DH24" i="27"/>
  <c r="GJ40" i="27"/>
  <c r="HE40" i="27"/>
  <c r="GI40" i="27"/>
  <c r="GH40" i="27"/>
  <c r="FH122" i="27"/>
  <c r="EF122" i="27"/>
  <c r="EG122" i="27"/>
  <c r="EH122" i="27"/>
  <c r="EG118" i="27"/>
  <c r="EF118" i="27"/>
  <c r="FH118" i="27"/>
  <c r="EH118" i="27"/>
  <c r="EG116" i="27"/>
  <c r="FH116" i="27"/>
  <c r="EH116" i="27"/>
  <c r="EF116" i="27"/>
  <c r="AH74" i="3"/>
  <c r="L78" i="31"/>
  <c r="AF78" i="31" s="1"/>
  <c r="O57" i="31"/>
  <c r="AI57" i="31" s="1"/>
  <c r="AK53" i="3"/>
  <c r="GP42" i="27"/>
  <c r="GO42" i="27"/>
  <c r="HF42" i="27"/>
  <c r="GN42" i="27"/>
  <c r="DI31" i="27"/>
  <c r="DJ31" i="27"/>
  <c r="DH31" i="27"/>
  <c r="DP31" i="27"/>
  <c r="DQ31" i="27" s="1"/>
  <c r="EL36" i="27"/>
  <c r="EM36" i="27"/>
  <c r="EN36" i="27"/>
  <c r="FI36" i="27"/>
  <c r="CR38" i="27"/>
  <c r="DM38" i="27"/>
  <c r="CP38" i="27"/>
  <c r="CQ38" i="27"/>
  <c r="AJ51" i="31"/>
  <c r="Q51" i="31"/>
  <c r="BG54" i="31"/>
  <c r="AU54" i="31"/>
  <c r="BA54" i="31" s="1"/>
  <c r="FS21" i="27"/>
  <c r="FQ21" i="27"/>
  <c r="BG52" i="31"/>
  <c r="AU52" i="31"/>
  <c r="BA52" i="31" s="1"/>
  <c r="Q55" i="31"/>
  <c r="AJ55" i="31"/>
  <c r="EZ24" i="27"/>
  <c r="EY24" i="27"/>
  <c r="EX24" i="27"/>
  <c r="FK24" i="27"/>
  <c r="GP35" i="27"/>
  <c r="GO35" i="27"/>
  <c r="HF35" i="27"/>
  <c r="GN35" i="27"/>
  <c r="CX36" i="27"/>
  <c r="CV36" i="27"/>
  <c r="CW36" i="27"/>
  <c r="DN36" i="27"/>
  <c r="M63" i="31"/>
  <c r="AG63" i="31" s="1"/>
  <c r="AI59" i="3"/>
  <c r="GU26" i="27"/>
  <c r="HG26" i="27"/>
  <c r="GT26" i="27"/>
  <c r="GV26" i="27"/>
  <c r="EG109" i="27"/>
  <c r="FH109" i="27"/>
  <c r="EF109" i="27"/>
  <c r="EH109" i="27"/>
  <c r="GD115" i="27"/>
  <c r="GC115" i="27"/>
  <c r="GB115" i="27"/>
  <c r="HD115" i="27"/>
  <c r="HD111" i="27"/>
  <c r="GD111" i="27"/>
  <c r="GB111" i="27"/>
  <c r="GC111" i="27"/>
  <c r="EL42" i="27"/>
  <c r="EM42" i="27"/>
  <c r="EN42" i="27"/>
  <c r="FI42" i="27"/>
  <c r="DO27" i="27"/>
  <c r="DD27" i="27"/>
  <c r="DB27" i="27"/>
  <c r="DC27" i="27"/>
  <c r="FH101" i="27"/>
  <c r="EH101" i="27"/>
  <c r="EF101" i="27"/>
  <c r="EG101" i="27"/>
  <c r="CJ100" i="27"/>
  <c r="CL100" i="27"/>
  <c r="DL100" i="27"/>
  <c r="CK100" i="27"/>
  <c r="EH97" i="27"/>
  <c r="EG97" i="27"/>
  <c r="FH97" i="27"/>
  <c r="EF97" i="27"/>
  <c r="GC102" i="27"/>
  <c r="HD102" i="27"/>
  <c r="GB102" i="27"/>
  <c r="GD102" i="27"/>
  <c r="CL106" i="27"/>
  <c r="CJ106" i="27"/>
  <c r="CK106" i="27"/>
  <c r="DL106" i="27"/>
  <c r="FL24" i="27"/>
  <c r="FF24" i="27"/>
  <c r="FD24" i="27"/>
  <c r="FE24" i="27"/>
  <c r="EN40" i="27"/>
  <c r="FI40" i="27"/>
  <c r="EL40" i="27"/>
  <c r="EM40" i="27"/>
  <c r="DL121" i="27"/>
  <c r="CJ121" i="27"/>
  <c r="CK121" i="27"/>
  <c r="CL121" i="27"/>
  <c r="DL118" i="27"/>
  <c r="CK118" i="27"/>
  <c r="CL118" i="27"/>
  <c r="CJ118" i="27"/>
  <c r="DL116" i="27"/>
  <c r="CK116" i="27"/>
  <c r="CL116" i="27"/>
  <c r="CJ116" i="27"/>
  <c r="L77" i="31"/>
  <c r="AF77" i="31" s="1"/>
  <c r="AH73" i="3"/>
  <c r="O58" i="31"/>
  <c r="AI58" i="31" s="1"/>
  <c r="AK54" i="3"/>
  <c r="HF41" i="27"/>
  <c r="GP41" i="27"/>
  <c r="GO41" i="27"/>
  <c r="GN41" i="27"/>
  <c r="HH31" i="27"/>
  <c r="HA31" i="27"/>
  <c r="HB31" i="27"/>
  <c r="GZ31" i="27"/>
  <c r="CQ36" i="27"/>
  <c r="DM36" i="27"/>
  <c r="CR36" i="27"/>
  <c r="CP36" i="27"/>
  <c r="GT29" i="27"/>
  <c r="GV29" i="27"/>
  <c r="HG29" i="27"/>
  <c r="GU29" i="27"/>
  <c r="HO16" i="27"/>
  <c r="HM16" i="27"/>
  <c r="BH48" i="31"/>
  <c r="AV48" i="31"/>
  <c r="BB48" i="31" s="1"/>
  <c r="BD74" i="31"/>
  <c r="AR74" i="31"/>
  <c r="AX74" i="31" s="1"/>
  <c r="Q54" i="31"/>
  <c r="AJ54" i="31"/>
  <c r="BG53" i="31"/>
  <c r="AU53" i="31"/>
  <c r="BA53" i="31" s="1"/>
  <c r="GU24" i="27"/>
  <c r="HG24" i="27"/>
  <c r="GV24" i="27"/>
  <c r="GT24" i="27"/>
  <c r="ET38" i="27"/>
  <c r="FJ38" i="27"/>
  <c r="ER38" i="27"/>
  <c r="ES38" i="27"/>
  <c r="GP36" i="27"/>
  <c r="HF36" i="27"/>
  <c r="GO36" i="27"/>
  <c r="GN36" i="27"/>
  <c r="M66" i="31"/>
  <c r="AG66" i="31" s="1"/>
  <c r="AI62" i="3"/>
  <c r="EH110" i="27"/>
  <c r="FH110" i="27"/>
  <c r="EF110" i="27"/>
  <c r="EG110" i="27"/>
  <c r="HD109" i="27"/>
  <c r="GD109" i="27"/>
  <c r="GC109" i="27"/>
  <c r="GB109" i="27"/>
  <c r="DL115" i="27"/>
  <c r="CJ115" i="27"/>
  <c r="CK115" i="27"/>
  <c r="CL115" i="27"/>
  <c r="DH27" i="27"/>
  <c r="DP27" i="27"/>
  <c r="DJ27" i="27"/>
  <c r="DI27" i="27"/>
  <c r="CR42" i="27"/>
  <c r="CQ42" i="27"/>
  <c r="CP42" i="27"/>
  <c r="DM42" i="27"/>
  <c r="GV28" i="27"/>
  <c r="GT28" i="27"/>
  <c r="HG28" i="27"/>
  <c r="HI28" i="27" s="1"/>
  <c r="GU28" i="27"/>
  <c r="GC101" i="27"/>
  <c r="HD101" i="27"/>
  <c r="GB101" i="27"/>
  <c r="GD101" i="27"/>
  <c r="EG100" i="27"/>
  <c r="FH100" i="27"/>
  <c r="EF100" i="27"/>
  <c r="EH100" i="27"/>
  <c r="FH104" i="27"/>
  <c r="EG104" i="27"/>
  <c r="EF104" i="27"/>
  <c r="EH104" i="27"/>
  <c r="FH102" i="27"/>
  <c r="EF102" i="27"/>
  <c r="EG102" i="27"/>
  <c r="EH102" i="27"/>
  <c r="EH106" i="27"/>
  <c r="EF106" i="27"/>
  <c r="EG106" i="27"/>
  <c r="FH106" i="27"/>
  <c r="HH25" i="27"/>
  <c r="HB25" i="27"/>
  <c r="GZ25" i="27"/>
  <c r="HA25" i="27"/>
  <c r="CP40" i="27"/>
  <c r="CQ40" i="27"/>
  <c r="DM40" i="27"/>
  <c r="CR40" i="27"/>
  <c r="GC121" i="27"/>
  <c r="GD121" i="27"/>
  <c r="GB121" i="27"/>
  <c r="HD121" i="27"/>
  <c r="EH123" i="27"/>
  <c r="EF123" i="27"/>
  <c r="FH123" i="27"/>
  <c r="EG123" i="27"/>
  <c r="GB116" i="27"/>
  <c r="GD116" i="27"/>
  <c r="HD116" i="27"/>
  <c r="GC116" i="27"/>
  <c r="N65" i="31"/>
  <c r="AH65" i="31" s="1"/>
  <c r="AJ61" i="3"/>
  <c r="L79" i="31"/>
  <c r="AF79" i="31" s="1"/>
  <c r="AH75" i="3"/>
  <c r="O59" i="31"/>
  <c r="AI59" i="31" s="1"/>
  <c r="AK55" i="3"/>
  <c r="FJ41" i="27"/>
  <c r="ER41" i="27"/>
  <c r="ES41" i="27"/>
  <c r="ET41" i="27"/>
  <c r="DM35" i="27"/>
  <c r="CR35" i="27"/>
  <c r="CP35" i="27"/>
  <c r="CQ35" i="27"/>
  <c r="GI36" i="27"/>
  <c r="HE36" i="27"/>
  <c r="GJ36" i="27"/>
  <c r="GH36" i="27"/>
  <c r="DO29" i="27"/>
  <c r="DQ29" i="27" s="1"/>
  <c r="DC29" i="27"/>
  <c r="DD29" i="27"/>
  <c r="DB29" i="27"/>
  <c r="BF60" i="31"/>
  <c r="AT60" i="31"/>
  <c r="AZ60" i="31" s="1"/>
  <c r="BF58" i="31"/>
  <c r="AT58" i="31"/>
  <c r="AZ58" i="31" s="1"/>
  <c r="BD76" i="31"/>
  <c r="AR76" i="31"/>
  <c r="AX76" i="31" s="1"/>
  <c r="BQ15" i="23"/>
  <c r="EZ23" i="27"/>
  <c r="EX23" i="27"/>
  <c r="FK23" i="27"/>
  <c r="EY23" i="27"/>
  <c r="DO24" i="27"/>
  <c r="DB24" i="27"/>
  <c r="DD24" i="27"/>
  <c r="DC24" i="27"/>
  <c r="GO38" i="27"/>
  <c r="GN38" i="27"/>
  <c r="GP38" i="27"/>
  <c r="HF38" i="27"/>
  <c r="FD26" i="27"/>
  <c r="FE26" i="27"/>
  <c r="FL26" i="27"/>
  <c r="FF26" i="27"/>
  <c r="EX31" i="27"/>
  <c r="FK31" i="27"/>
  <c r="FM31" i="27" s="1"/>
  <c r="EZ31" i="27"/>
  <c r="EY31" i="27"/>
  <c r="CW40" i="27"/>
  <c r="CV40" i="27"/>
  <c r="DN40" i="27"/>
  <c r="CX40" i="27"/>
  <c r="M62" i="31"/>
  <c r="AG62" i="31" s="1"/>
  <c r="AI58" i="3"/>
  <c r="HD110" i="27"/>
  <c r="GD110" i="27"/>
  <c r="GB110" i="27"/>
  <c r="GC110" i="27"/>
  <c r="GB113" i="27"/>
  <c r="GC113" i="27"/>
  <c r="HD113" i="27"/>
  <c r="GD113" i="27"/>
  <c r="FH115" i="27"/>
  <c r="EG115" i="27"/>
  <c r="EH115" i="27"/>
  <c r="EF115" i="27"/>
  <c r="HH27" i="27"/>
  <c r="HB27" i="27"/>
  <c r="GZ27" i="27"/>
  <c r="HA27" i="27"/>
  <c r="GI41" i="27"/>
  <c r="GJ41" i="27"/>
  <c r="GH41" i="27"/>
  <c r="HE41" i="27"/>
  <c r="EY28" i="27"/>
  <c r="FK28" i="27"/>
  <c r="FM28" i="27" s="1"/>
  <c r="EZ28" i="27"/>
  <c r="EX28" i="27"/>
  <c r="FH96" i="27"/>
  <c r="EG96" i="27"/>
  <c r="EH96" i="27"/>
  <c r="EF96" i="27"/>
  <c r="HD100" i="27"/>
  <c r="GB100" i="27"/>
  <c r="GD100" i="27"/>
  <c r="GC100" i="27"/>
  <c r="GC104" i="27"/>
  <c r="HD104" i="27"/>
  <c r="GB104" i="27"/>
  <c r="GD104" i="27"/>
  <c r="HD107" i="27"/>
  <c r="GC107" i="27"/>
  <c r="GD107" i="27"/>
  <c r="GB107" i="27"/>
  <c r="GD106" i="27"/>
  <c r="GC106" i="27"/>
  <c r="HD106" i="27"/>
  <c r="GB106" i="27"/>
  <c r="FL25" i="27"/>
  <c r="FD25" i="27"/>
  <c r="FE25" i="27"/>
  <c r="FF25" i="27"/>
  <c r="GB117" i="27"/>
  <c r="GC117" i="27"/>
  <c r="HD117" i="27"/>
  <c r="GD117" i="27"/>
  <c r="EG121" i="27"/>
  <c r="FH121" i="27"/>
  <c r="EF121" i="27"/>
  <c r="EH121" i="27"/>
  <c r="GB123" i="27"/>
  <c r="GD123" i="27"/>
  <c r="GC123" i="27"/>
  <c r="HD123" i="27"/>
  <c r="N62" i="31"/>
  <c r="AH62" i="31" s="1"/>
  <c r="AJ58" i="3"/>
  <c r="AL52" i="3"/>
  <c r="P56" i="31"/>
  <c r="CW43" i="27"/>
  <c r="CX43" i="27"/>
  <c r="DN43" i="27"/>
  <c r="CV43" i="27"/>
  <c r="CW41" i="27"/>
  <c r="CX41" i="27"/>
  <c r="CV41" i="27"/>
  <c r="DN41" i="27"/>
  <c r="HE35" i="27"/>
  <c r="GJ35" i="27"/>
  <c r="GI35" i="27"/>
  <c r="GH35" i="27"/>
  <c r="HE37" i="27"/>
  <c r="GJ37" i="27"/>
  <c r="GI37" i="27"/>
  <c r="GH37" i="27"/>
  <c r="FK29" i="27"/>
  <c r="FM29" i="27" s="1"/>
  <c r="EY29" i="27"/>
  <c r="EZ29" i="27"/>
  <c r="EX29" i="27"/>
  <c r="I20" i="5"/>
  <c r="S20" i="5" s="1"/>
  <c r="K19" i="5"/>
  <c r="U19" i="5" s="1"/>
  <c r="G23" i="5"/>
  <c r="Q23" i="5" s="1"/>
  <c r="J19" i="5"/>
  <c r="T19" i="5" s="1"/>
  <c r="Z70" i="27"/>
  <c r="AG42" i="27"/>
  <c r="AN41" i="27"/>
  <c r="AP38" i="3"/>
  <c r="AG59" i="27"/>
  <c r="Z81" i="27"/>
  <c r="AP46" i="3"/>
  <c r="AQ37" i="3"/>
  <c r="L158" i="27"/>
  <c r="AS13" i="3"/>
  <c r="AQ38" i="3"/>
  <c r="AN49" i="27"/>
  <c r="Z72" i="5"/>
  <c r="AA67" i="5"/>
  <c r="Z85" i="27"/>
  <c r="Z86" i="27"/>
  <c r="AO128" i="3"/>
  <c r="AG57" i="27"/>
  <c r="S68" i="27"/>
  <c r="AG41" i="27"/>
  <c r="X79" i="5"/>
  <c r="Z65" i="27"/>
  <c r="AP43" i="3"/>
  <c r="S75" i="27"/>
  <c r="Z82" i="27"/>
  <c r="Z78" i="27"/>
  <c r="AO140" i="3"/>
  <c r="AG47" i="27"/>
  <c r="L161" i="27"/>
  <c r="AO127" i="3"/>
  <c r="AA63" i="5"/>
  <c r="AN55" i="27"/>
  <c r="AN59" i="27"/>
  <c r="L155" i="27"/>
  <c r="S69" i="27"/>
  <c r="AP51" i="3"/>
  <c r="AR18" i="3"/>
  <c r="AQ41" i="3"/>
  <c r="L165" i="27"/>
  <c r="AO146" i="3"/>
  <c r="Z72" i="27"/>
  <c r="AQ40" i="3"/>
  <c r="AQ36" i="3"/>
  <c r="AB66" i="5"/>
  <c r="AG46" i="27"/>
  <c r="AB64" i="5"/>
  <c r="S85" i="27"/>
  <c r="L168" i="27"/>
  <c r="AO135" i="3"/>
  <c r="S72" i="27"/>
  <c r="AG58" i="27"/>
  <c r="S70" i="27"/>
  <c r="Z77" i="27"/>
  <c r="AQ31" i="3"/>
  <c r="AA64" i="5"/>
  <c r="L163" i="27"/>
  <c r="AG52" i="27"/>
  <c r="L167" i="27"/>
  <c r="AA66" i="5"/>
  <c r="Y72" i="5"/>
  <c r="S74" i="27"/>
  <c r="AN48" i="27"/>
  <c r="L159" i="27"/>
  <c r="AO145" i="3"/>
  <c r="AG55" i="27"/>
  <c r="AP37" i="3"/>
  <c r="AO134" i="3"/>
  <c r="AA65" i="5"/>
  <c r="L171" i="27"/>
  <c r="AG49" i="27"/>
  <c r="AQ43" i="3"/>
  <c r="Z69" i="27"/>
  <c r="L152" i="27"/>
  <c r="AO133" i="3"/>
  <c r="AS11" i="3"/>
  <c r="AO129" i="3"/>
  <c r="AO126" i="3"/>
  <c r="L170" i="27"/>
  <c r="L172" i="27"/>
  <c r="AP50" i="3"/>
  <c r="AP39" i="3"/>
  <c r="X81" i="5"/>
  <c r="AN46" i="27"/>
  <c r="Y69" i="5"/>
  <c r="Z75" i="27"/>
  <c r="S84" i="27"/>
  <c r="AN43" i="27"/>
  <c r="AP48" i="3"/>
  <c r="S73" i="27"/>
  <c r="S67" i="27"/>
  <c r="Z71" i="27"/>
  <c r="AG50" i="27"/>
  <c r="AO131" i="3"/>
  <c r="AN47" i="27"/>
  <c r="AQ34" i="3"/>
  <c r="AG51" i="27"/>
  <c r="AG53" i="27"/>
  <c r="Y71" i="5"/>
  <c r="AO123" i="3"/>
  <c r="X80" i="5"/>
  <c r="L157" i="27"/>
  <c r="AN42" i="27"/>
  <c r="S80" i="27"/>
  <c r="S66" i="27"/>
  <c r="AQ35" i="3"/>
  <c r="L169" i="27"/>
  <c r="AP52" i="3"/>
  <c r="AQ32" i="3"/>
  <c r="Z67" i="27"/>
  <c r="AN57" i="27"/>
  <c r="Z73" i="5"/>
  <c r="S87" i="27"/>
  <c r="S81" i="27"/>
  <c r="AA68" i="5"/>
  <c r="AG48" i="27"/>
  <c r="S77" i="27"/>
  <c r="L164" i="27"/>
  <c r="AO144" i="3"/>
  <c r="AQ33" i="3"/>
  <c r="AN56" i="27"/>
  <c r="S83" i="27"/>
  <c r="S82" i="27"/>
  <c r="AO130" i="3"/>
  <c r="AO143" i="3"/>
  <c r="Z71" i="5"/>
  <c r="AG44" i="27"/>
  <c r="AP44" i="3"/>
  <c r="L160" i="27"/>
  <c r="AP45" i="3"/>
  <c r="AO147" i="3"/>
  <c r="R21" i="3"/>
  <c r="AN44" i="27"/>
  <c r="Z74" i="27"/>
  <c r="L153" i="27"/>
  <c r="AO139" i="3"/>
  <c r="Z88" i="27"/>
  <c r="S78" i="27"/>
  <c r="Y70" i="5"/>
  <c r="AQ42" i="3"/>
  <c r="Z83" i="27"/>
  <c r="AP42" i="3"/>
  <c r="AN50" i="27"/>
  <c r="AO124" i="3"/>
  <c r="Z73" i="27"/>
  <c r="L166" i="27"/>
  <c r="AR19" i="3"/>
  <c r="AO149" i="3"/>
  <c r="AG56" i="27"/>
  <c r="Z70" i="5"/>
  <c r="S79" i="27"/>
  <c r="Z76" i="27"/>
  <c r="AN52" i="27"/>
  <c r="AP41" i="3"/>
  <c r="AG45" i="27"/>
  <c r="S64" i="27"/>
  <c r="L156" i="27"/>
  <c r="AO122" i="3"/>
  <c r="AO148" i="3"/>
  <c r="Z69" i="5"/>
  <c r="Z80" i="27"/>
  <c r="AP49" i="3"/>
  <c r="AN58" i="27"/>
  <c r="S71" i="27"/>
  <c r="AG43" i="27"/>
  <c r="Z79" i="27"/>
  <c r="AO142" i="3"/>
  <c r="AN53" i="27"/>
  <c r="L162" i="27"/>
  <c r="AO138" i="3"/>
  <c r="AP53" i="3"/>
  <c r="S76" i="27"/>
  <c r="AO141" i="3"/>
  <c r="AP47" i="3"/>
  <c r="AQ44" i="3"/>
  <c r="Z64" i="27"/>
  <c r="AP40" i="3"/>
  <c r="AG54" i="27"/>
  <c r="AO125" i="3"/>
  <c r="Z84" i="27"/>
  <c r="AN45" i="27"/>
  <c r="AO137" i="3"/>
  <c r="Z66" i="27"/>
  <c r="AN54" i="27"/>
  <c r="AQ39" i="3"/>
  <c r="AB67" i="5"/>
  <c r="AB65" i="5"/>
  <c r="AB68" i="5"/>
  <c r="AB63" i="5"/>
  <c r="AO136" i="3"/>
  <c r="Z87" i="27"/>
  <c r="S88" i="27"/>
  <c r="Z68" i="27"/>
  <c r="AN51" i="27"/>
  <c r="AR20" i="3"/>
  <c r="AO132" i="3"/>
  <c r="S86" i="27"/>
  <c r="AR21" i="3"/>
  <c r="AS12" i="3"/>
  <c r="L154" i="27"/>
  <c r="S65" i="27"/>
  <c r="DQ24" i="27" l="1"/>
  <c r="FS19" i="27"/>
  <c r="FM27" i="27"/>
  <c r="DQ28" i="27"/>
  <c r="FM23" i="27"/>
  <c r="DQ26" i="27"/>
  <c r="DQ23" i="27"/>
  <c r="HI24" i="27"/>
  <c r="HM24" i="27" s="1"/>
  <c r="HI30" i="27"/>
  <c r="DQ27" i="27"/>
  <c r="HI27" i="27"/>
  <c r="HO27" i="27" s="1"/>
  <c r="HI29" i="27"/>
  <c r="FM30" i="27"/>
  <c r="DQ30" i="27"/>
  <c r="DW30" i="27" s="1"/>
  <c r="HI31" i="27"/>
  <c r="FM26" i="27"/>
  <c r="FS26" i="27" s="1"/>
  <c r="HI25" i="27"/>
  <c r="HO25" i="27" s="1"/>
  <c r="FM24" i="27"/>
  <c r="FM25" i="27"/>
  <c r="FQ25" i="27" s="1"/>
  <c r="AB79" i="3"/>
  <c r="AB80" i="3"/>
  <c r="AB78" i="3"/>
  <c r="AF67" i="3"/>
  <c r="AF64" i="3"/>
  <c r="AF66" i="3"/>
  <c r="AF65" i="3"/>
  <c r="AF63" i="3"/>
  <c r="AF62" i="3"/>
  <c r="AD72" i="3"/>
  <c r="AD69" i="3"/>
  <c r="AD70" i="3"/>
  <c r="AD71" i="3"/>
  <c r="AD68" i="3"/>
  <c r="AE66" i="3"/>
  <c r="AE65" i="3"/>
  <c r="AE64" i="3"/>
  <c r="AE63" i="3"/>
  <c r="AE62" i="3"/>
  <c r="AE67" i="3"/>
  <c r="DE46" i="27"/>
  <c r="FA46" i="27"/>
  <c r="GW46" i="27"/>
  <c r="FA44" i="27"/>
  <c r="DE44" i="27"/>
  <c r="GW44" i="27"/>
  <c r="GW45" i="27"/>
  <c r="DE45" i="27"/>
  <c r="FA45" i="27"/>
  <c r="DE42" i="27"/>
  <c r="FA42" i="27"/>
  <c r="GW42" i="27"/>
  <c r="DE43" i="27"/>
  <c r="GW43" i="27"/>
  <c r="FA43" i="27"/>
  <c r="GW41" i="27"/>
  <c r="DE41" i="27"/>
  <c r="FA41" i="27"/>
  <c r="EO78" i="27"/>
  <c r="CS78" i="27"/>
  <c r="GK78" i="27"/>
  <c r="GK82" i="27"/>
  <c r="EO82" i="27"/>
  <c r="CS82" i="27"/>
  <c r="GK81" i="27"/>
  <c r="CS81" i="27"/>
  <c r="EO81" i="27"/>
  <c r="EO79" i="27"/>
  <c r="CS79" i="27"/>
  <c r="GK79" i="27"/>
  <c r="GK80" i="27"/>
  <c r="CS80" i="27"/>
  <c r="EO80" i="27"/>
  <c r="GK76" i="27"/>
  <c r="EO76" i="27"/>
  <c r="CS76" i="27"/>
  <c r="CS77" i="27"/>
  <c r="GK77" i="27"/>
  <c r="EO77" i="27"/>
  <c r="GK74" i="27"/>
  <c r="EO74" i="27"/>
  <c r="CS74" i="27"/>
  <c r="EO73" i="27"/>
  <c r="GK73" i="27"/>
  <c r="CS73" i="27"/>
  <c r="GK75" i="27"/>
  <c r="EO75" i="27"/>
  <c r="CS75" i="27"/>
  <c r="EU51" i="27"/>
  <c r="GQ51" i="27"/>
  <c r="CY51" i="27"/>
  <c r="GQ52" i="27"/>
  <c r="EU52" i="27"/>
  <c r="CY52" i="27"/>
  <c r="EU50" i="27"/>
  <c r="GQ50" i="27"/>
  <c r="CY50" i="27"/>
  <c r="AT12" i="3"/>
  <c r="AT11" i="3"/>
  <c r="CM81" i="27"/>
  <c r="EI81" i="27"/>
  <c r="GE81" i="27"/>
  <c r="EI82" i="27"/>
  <c r="CM82" i="27"/>
  <c r="GE82" i="27"/>
  <c r="CM80" i="27"/>
  <c r="EI80" i="27"/>
  <c r="GE80" i="27"/>
  <c r="EI78" i="27"/>
  <c r="CM78" i="27"/>
  <c r="GE78" i="27"/>
  <c r="GE79" i="27"/>
  <c r="EI79" i="27"/>
  <c r="CM79" i="27"/>
  <c r="GK72" i="27"/>
  <c r="EO72" i="27"/>
  <c r="CS72" i="27"/>
  <c r="EO69" i="27"/>
  <c r="GK69" i="27"/>
  <c r="CS69" i="27"/>
  <c r="GK68" i="27"/>
  <c r="EO68" i="27"/>
  <c r="CS68" i="27"/>
  <c r="CS71" i="27"/>
  <c r="GK71" i="27"/>
  <c r="EO71" i="27"/>
  <c r="CS70" i="27"/>
  <c r="GK70" i="27"/>
  <c r="EO70" i="27"/>
  <c r="GK66" i="27"/>
  <c r="EO66" i="27"/>
  <c r="CS66" i="27"/>
  <c r="EO65" i="27"/>
  <c r="CS65" i="27"/>
  <c r="GK65" i="27"/>
  <c r="CS64" i="27"/>
  <c r="EO64" i="27"/>
  <c r="GK64" i="27"/>
  <c r="EO67" i="27"/>
  <c r="GK67" i="27"/>
  <c r="CS67" i="27"/>
  <c r="EU57" i="27"/>
  <c r="CY57" i="27"/>
  <c r="GQ57" i="27"/>
  <c r="EU56" i="27"/>
  <c r="GQ56" i="27"/>
  <c r="CY56" i="27"/>
  <c r="GQ58" i="27"/>
  <c r="EU58" i="27"/>
  <c r="CY58" i="27"/>
  <c r="GQ59" i="27"/>
  <c r="EU59" i="27"/>
  <c r="CY59" i="27"/>
  <c r="AC68" i="3"/>
  <c r="AC70" i="3"/>
  <c r="AC71" i="3"/>
  <c r="AC69" i="3"/>
  <c r="CM74" i="27"/>
  <c r="GE74" i="27"/>
  <c r="EI74" i="27"/>
  <c r="GE73" i="27"/>
  <c r="EI73" i="27"/>
  <c r="CM73" i="27"/>
  <c r="CM75" i="27"/>
  <c r="EI75" i="27"/>
  <c r="GE75" i="27"/>
  <c r="EI76" i="27"/>
  <c r="CM76" i="27"/>
  <c r="GE76" i="27"/>
  <c r="CM77" i="27"/>
  <c r="GE77" i="27"/>
  <c r="EI77" i="27"/>
  <c r="DE51" i="27"/>
  <c r="FA51" i="27"/>
  <c r="GW51" i="27"/>
  <c r="GW52" i="27"/>
  <c r="DE52" i="27"/>
  <c r="FA52" i="27"/>
  <c r="DE50" i="27"/>
  <c r="GW50" i="27"/>
  <c r="FA50" i="27"/>
  <c r="EC166" i="27"/>
  <c r="FY166" i="27"/>
  <c r="CG166" i="27"/>
  <c r="CG165" i="27"/>
  <c r="EC165" i="27"/>
  <c r="FY165" i="27"/>
  <c r="FY169" i="27"/>
  <c r="CG169" i="27"/>
  <c r="EC169" i="27"/>
  <c r="EC164" i="27"/>
  <c r="CG164" i="27"/>
  <c r="FY164" i="27"/>
  <c r="CG167" i="27"/>
  <c r="EC167" i="27"/>
  <c r="FY167" i="27"/>
  <c r="FY172" i="27"/>
  <c r="EC172" i="27"/>
  <c r="CG172" i="27"/>
  <c r="FY163" i="27"/>
  <c r="CG163" i="27"/>
  <c r="EC163" i="27"/>
  <c r="EC170" i="27"/>
  <c r="FY170" i="27"/>
  <c r="CG170" i="27"/>
  <c r="CG162" i="27"/>
  <c r="FY162" i="27"/>
  <c r="EC162" i="27"/>
  <c r="FY168" i="27"/>
  <c r="CG168" i="27"/>
  <c r="EC168" i="27"/>
  <c r="EC171" i="27"/>
  <c r="CG171" i="27"/>
  <c r="FY171" i="27"/>
  <c r="EC152" i="27"/>
  <c r="FY152" i="27"/>
  <c r="CG152" i="27"/>
  <c r="CG153" i="27"/>
  <c r="FY153" i="27"/>
  <c r="EC153" i="27"/>
  <c r="FY160" i="27"/>
  <c r="EC160" i="27"/>
  <c r="CG160" i="27"/>
  <c r="CG155" i="27"/>
  <c r="FY155" i="27"/>
  <c r="EC155" i="27"/>
  <c r="FY161" i="27"/>
  <c r="EC161" i="27"/>
  <c r="CG161" i="27"/>
  <c r="FY159" i="27"/>
  <c r="EC159" i="27"/>
  <c r="CG159" i="27"/>
  <c r="CG158" i="27"/>
  <c r="FY158" i="27"/>
  <c r="EC158" i="27"/>
  <c r="EC157" i="27"/>
  <c r="FY157" i="27"/>
  <c r="CG157" i="27"/>
  <c r="EC154" i="27"/>
  <c r="CG154" i="27"/>
  <c r="FY154" i="27"/>
  <c r="FY156" i="27"/>
  <c r="CG156" i="27"/>
  <c r="EC156" i="27"/>
  <c r="EU48" i="27"/>
  <c r="CY48" i="27"/>
  <c r="GQ48" i="27"/>
  <c r="GQ47" i="27"/>
  <c r="CY47" i="27"/>
  <c r="EU47" i="27"/>
  <c r="GQ49" i="27"/>
  <c r="CY49" i="27"/>
  <c r="EU49" i="27"/>
  <c r="CM68" i="27"/>
  <c r="EI68" i="27"/>
  <c r="GE68" i="27"/>
  <c r="CM72" i="27"/>
  <c r="EI72" i="27"/>
  <c r="GE72" i="27"/>
  <c r="GE71" i="27"/>
  <c r="EI71" i="27"/>
  <c r="CM71" i="27"/>
  <c r="GE69" i="27"/>
  <c r="CM69" i="27"/>
  <c r="EI69" i="27"/>
  <c r="EI70" i="27"/>
  <c r="CM70" i="27"/>
  <c r="GE70" i="27"/>
  <c r="CM64" i="27"/>
  <c r="GE64" i="27"/>
  <c r="EI64" i="27"/>
  <c r="EI65" i="27"/>
  <c r="CM65" i="27"/>
  <c r="GE65" i="27"/>
  <c r="EI66" i="27"/>
  <c r="GE66" i="27"/>
  <c r="CM66" i="27"/>
  <c r="EI67" i="27"/>
  <c r="CM67" i="27"/>
  <c r="GE67" i="27"/>
  <c r="FA49" i="27"/>
  <c r="GW49" i="27"/>
  <c r="DE49" i="27"/>
  <c r="FA48" i="27"/>
  <c r="GW48" i="27"/>
  <c r="DE48" i="27"/>
  <c r="GW47" i="27"/>
  <c r="DE47" i="27"/>
  <c r="FA47" i="27"/>
  <c r="CY46" i="27"/>
  <c r="EU46" i="27"/>
  <c r="GQ46" i="27"/>
  <c r="EU45" i="27"/>
  <c r="GQ45" i="27"/>
  <c r="CY45" i="27"/>
  <c r="EU44" i="27"/>
  <c r="GQ44" i="27"/>
  <c r="CY44" i="27"/>
  <c r="EU43" i="27"/>
  <c r="CY43" i="27"/>
  <c r="GQ43" i="27"/>
  <c r="GQ41" i="27"/>
  <c r="CY41" i="27"/>
  <c r="EU41" i="27"/>
  <c r="GQ42" i="27"/>
  <c r="CY42" i="27"/>
  <c r="EU42" i="27"/>
  <c r="GW54" i="27"/>
  <c r="FA54" i="27"/>
  <c r="DE54" i="27"/>
  <c r="FA53" i="27"/>
  <c r="DE53" i="27"/>
  <c r="GW53" i="27"/>
  <c r="FA55" i="27"/>
  <c r="DE55" i="27"/>
  <c r="GW55" i="27"/>
  <c r="EU53" i="27"/>
  <c r="CY53" i="27"/>
  <c r="GQ53" i="27"/>
  <c r="EU54" i="27"/>
  <c r="CY54" i="27"/>
  <c r="GQ54" i="27"/>
  <c r="GQ55" i="27"/>
  <c r="CY55" i="27"/>
  <c r="EU55" i="27"/>
  <c r="T21" i="3"/>
  <c r="AT13" i="3"/>
  <c r="G17" i="3" s="1"/>
  <c r="CM87" i="27"/>
  <c r="EI87" i="27"/>
  <c r="GE87" i="27"/>
  <c r="EI86" i="27"/>
  <c r="CM86" i="27"/>
  <c r="GE86" i="27"/>
  <c r="EI88" i="27"/>
  <c r="GE88" i="27"/>
  <c r="CM88" i="27"/>
  <c r="CM85" i="27"/>
  <c r="EI85" i="27"/>
  <c r="GE85" i="27"/>
  <c r="GE83" i="27"/>
  <c r="EI83" i="27"/>
  <c r="CM83" i="27"/>
  <c r="EI84" i="27"/>
  <c r="GE84" i="27"/>
  <c r="CM84" i="27"/>
  <c r="FA56" i="27"/>
  <c r="GW56" i="27"/>
  <c r="DE56" i="27"/>
  <c r="DE59" i="27"/>
  <c r="FA59" i="27"/>
  <c r="GW59" i="27"/>
  <c r="FA57" i="27"/>
  <c r="GW57" i="27"/>
  <c r="DE57" i="27"/>
  <c r="DE58" i="27"/>
  <c r="GW58" i="27"/>
  <c r="FA58" i="27"/>
  <c r="GK85" i="27"/>
  <c r="EO85" i="27"/>
  <c r="CS85" i="27"/>
  <c r="CS83" i="27"/>
  <c r="EO83" i="27"/>
  <c r="GK83" i="27"/>
  <c r="EO84" i="27"/>
  <c r="CS84" i="27"/>
  <c r="GK84" i="27"/>
  <c r="GK87" i="27"/>
  <c r="CS87" i="27"/>
  <c r="EO87" i="27"/>
  <c r="CS88" i="27"/>
  <c r="EO88" i="27"/>
  <c r="GK88" i="27"/>
  <c r="GK86" i="27"/>
  <c r="EO86" i="27"/>
  <c r="CS86" i="27"/>
  <c r="FS29" i="27"/>
  <c r="FQ29" i="27"/>
  <c r="HM25" i="27"/>
  <c r="FQ24" i="27"/>
  <c r="FS24" i="27"/>
  <c r="DW27" i="27"/>
  <c r="DU27" i="27"/>
  <c r="FS28" i="27"/>
  <c r="FQ28" i="27"/>
  <c r="HO28" i="27"/>
  <c r="HM28" i="27"/>
  <c r="HO30" i="27"/>
  <c r="HM30" i="27"/>
  <c r="HM29" i="27"/>
  <c r="HO29" i="27"/>
  <c r="FS30" i="27"/>
  <c r="FQ30" i="27"/>
  <c r="FQ27" i="27"/>
  <c r="FS27" i="27"/>
  <c r="DU25" i="27"/>
  <c r="DW25" i="27"/>
  <c r="DU24" i="27"/>
  <c r="DW24" i="27"/>
  <c r="HO31" i="27"/>
  <c r="HM31" i="27"/>
  <c r="DW29" i="27"/>
  <c r="DU29" i="27"/>
  <c r="DU28" i="27"/>
  <c r="DW28" i="27"/>
  <c r="BD77" i="31"/>
  <c r="AR77" i="31"/>
  <c r="AX77" i="31" s="1"/>
  <c r="BD78" i="31"/>
  <c r="AR78" i="31"/>
  <c r="AX78" i="31" s="1"/>
  <c r="FQ31" i="27"/>
  <c r="FS31" i="27"/>
  <c r="BE64" i="31"/>
  <c r="AS64" i="31"/>
  <c r="AY64" i="31" s="1"/>
  <c r="BH52" i="31"/>
  <c r="AV52" i="31"/>
  <c r="BB52" i="31" s="1"/>
  <c r="DJ32" i="27"/>
  <c r="DH32" i="27"/>
  <c r="DI32" i="27"/>
  <c r="DP32" i="27"/>
  <c r="HA34" i="27"/>
  <c r="HB34" i="27"/>
  <c r="HH34" i="27"/>
  <c r="GZ34" i="27"/>
  <c r="GP51" i="27"/>
  <c r="GO51" i="27"/>
  <c r="HF51" i="27"/>
  <c r="GN51" i="27"/>
  <c r="HE52" i="27"/>
  <c r="GH52" i="27"/>
  <c r="GI52" i="27"/>
  <c r="GJ52" i="27"/>
  <c r="CX63" i="27"/>
  <c r="DN63" i="27"/>
  <c r="CW63" i="27"/>
  <c r="CV63" i="27"/>
  <c r="GU40" i="27"/>
  <c r="HG40" i="27"/>
  <c r="GV40" i="27"/>
  <c r="GT40" i="27"/>
  <c r="CL124" i="27"/>
  <c r="CK124" i="27"/>
  <c r="DL124" i="27"/>
  <c r="CJ124" i="27"/>
  <c r="GD127" i="27"/>
  <c r="GC127" i="27"/>
  <c r="HD127" i="27"/>
  <c r="GB127" i="27"/>
  <c r="FH128" i="27"/>
  <c r="EH128" i="27"/>
  <c r="EG128" i="27"/>
  <c r="EF128" i="27"/>
  <c r="CK141" i="27"/>
  <c r="CL141" i="27"/>
  <c r="CJ141" i="27"/>
  <c r="DL141" i="27"/>
  <c r="EF133" i="27"/>
  <c r="EH133" i="27"/>
  <c r="EG133" i="27"/>
  <c r="FH133" i="27"/>
  <c r="FH134" i="27"/>
  <c r="EF134" i="27"/>
  <c r="EH134" i="27"/>
  <c r="EG134" i="27"/>
  <c r="FI53" i="27"/>
  <c r="EN53" i="27"/>
  <c r="EL53" i="27"/>
  <c r="EM53" i="27"/>
  <c r="EX38" i="27"/>
  <c r="FK38" i="27"/>
  <c r="EY38" i="27"/>
  <c r="EZ38" i="27"/>
  <c r="GU36" i="27"/>
  <c r="HG36" i="27"/>
  <c r="GT36" i="27"/>
  <c r="GV36" i="27"/>
  <c r="EH147" i="27"/>
  <c r="FH147" i="27"/>
  <c r="EG147" i="27"/>
  <c r="EF147" i="27"/>
  <c r="GC144" i="27"/>
  <c r="GB144" i="27"/>
  <c r="HD144" i="27"/>
  <c r="GD144" i="27"/>
  <c r="FH149" i="27"/>
  <c r="EG149" i="27"/>
  <c r="EF149" i="27"/>
  <c r="EH149" i="27"/>
  <c r="DD32" i="27"/>
  <c r="DC32" i="27"/>
  <c r="DB32" i="27"/>
  <c r="DO32" i="27"/>
  <c r="DC34" i="27"/>
  <c r="DD34" i="27"/>
  <c r="DB34" i="27"/>
  <c r="DO34" i="27"/>
  <c r="HF55" i="27"/>
  <c r="GN55" i="27"/>
  <c r="GO55" i="27"/>
  <c r="GP55" i="27"/>
  <c r="DP38" i="27"/>
  <c r="DJ38" i="27"/>
  <c r="DH38" i="27"/>
  <c r="DI38" i="27"/>
  <c r="ER56" i="27"/>
  <c r="ET56" i="27"/>
  <c r="ES56" i="27"/>
  <c r="FJ56" i="27"/>
  <c r="GO59" i="27"/>
  <c r="GN59" i="27"/>
  <c r="HF59" i="27"/>
  <c r="GP59" i="27"/>
  <c r="CR57" i="27"/>
  <c r="CP57" i="27"/>
  <c r="DM57" i="27"/>
  <c r="CQ57" i="27"/>
  <c r="P60" i="31"/>
  <c r="AL56" i="3"/>
  <c r="CW46" i="27"/>
  <c r="CX46" i="27"/>
  <c r="CV46" i="27"/>
  <c r="DN46" i="27"/>
  <c r="CX49" i="27"/>
  <c r="CW49" i="27"/>
  <c r="DN49" i="27"/>
  <c r="CV49" i="27"/>
  <c r="EM44" i="27"/>
  <c r="EL44" i="27"/>
  <c r="EN44" i="27"/>
  <c r="FI44" i="27"/>
  <c r="GJ49" i="27"/>
  <c r="HE49" i="27"/>
  <c r="GH49" i="27"/>
  <c r="GI49" i="27"/>
  <c r="CQ47" i="27"/>
  <c r="DM47" i="27"/>
  <c r="CP47" i="27"/>
  <c r="CR47" i="27"/>
  <c r="DM63" i="27"/>
  <c r="CP63" i="27"/>
  <c r="CR63" i="27"/>
  <c r="CQ63" i="27"/>
  <c r="AJ65" i="3"/>
  <c r="N69" i="31"/>
  <c r="AH69" i="31" s="1"/>
  <c r="GZ39" i="27"/>
  <c r="HB39" i="27"/>
  <c r="HH39" i="27"/>
  <c r="HA39" i="27"/>
  <c r="FS23" i="27"/>
  <c r="FQ23" i="27"/>
  <c r="HM26" i="27"/>
  <c r="HO26" i="27"/>
  <c r="AT65" i="31"/>
  <c r="AZ65" i="31" s="1"/>
  <c r="BF65" i="31"/>
  <c r="GZ32" i="27"/>
  <c r="HA32" i="27"/>
  <c r="HH32" i="27"/>
  <c r="HB32" i="27"/>
  <c r="FJ50" i="27"/>
  <c r="ES50" i="27"/>
  <c r="ET50" i="27"/>
  <c r="ER50" i="27"/>
  <c r="CW51" i="27"/>
  <c r="DN51" i="27"/>
  <c r="CX51" i="27"/>
  <c r="CV51" i="27"/>
  <c r="EN52" i="27"/>
  <c r="FI52" i="27"/>
  <c r="EM52" i="27"/>
  <c r="EL52" i="27"/>
  <c r="ET63" i="27"/>
  <c r="ER63" i="27"/>
  <c r="FJ63" i="27"/>
  <c r="ES63" i="27"/>
  <c r="CJ129" i="27"/>
  <c r="CL129" i="27"/>
  <c r="CK129" i="27"/>
  <c r="DL129" i="27"/>
  <c r="GD124" i="27"/>
  <c r="GC124" i="27"/>
  <c r="GB124" i="27"/>
  <c r="HD124" i="27"/>
  <c r="CJ127" i="27"/>
  <c r="DL127" i="27"/>
  <c r="CK127" i="27"/>
  <c r="CL127" i="27"/>
  <c r="CJ137" i="27"/>
  <c r="DL137" i="27"/>
  <c r="CK137" i="27"/>
  <c r="CL137" i="27"/>
  <c r="EF141" i="27"/>
  <c r="EG141" i="27"/>
  <c r="EH141" i="27"/>
  <c r="FH141" i="27"/>
  <c r="GB133" i="27"/>
  <c r="GD133" i="27"/>
  <c r="HD133" i="27"/>
  <c r="GC133" i="27"/>
  <c r="EG136" i="27"/>
  <c r="FH136" i="27"/>
  <c r="EF136" i="27"/>
  <c r="EH136" i="27"/>
  <c r="GH53" i="27"/>
  <c r="HE53" i="27"/>
  <c r="GI53" i="27"/>
  <c r="GJ53" i="27"/>
  <c r="DB38" i="27"/>
  <c r="DD38" i="27"/>
  <c r="DC38" i="27"/>
  <c r="DO38" i="27"/>
  <c r="HD142" i="27"/>
  <c r="GB142" i="27"/>
  <c r="GD142" i="27"/>
  <c r="GC142" i="27"/>
  <c r="GB147" i="27"/>
  <c r="GC147" i="27"/>
  <c r="HD147" i="27"/>
  <c r="GD147" i="27"/>
  <c r="FH144" i="27"/>
  <c r="EF144" i="27"/>
  <c r="EH144" i="27"/>
  <c r="EG144" i="27"/>
  <c r="HD146" i="27"/>
  <c r="GD146" i="27"/>
  <c r="GB146" i="27"/>
  <c r="GC146" i="27"/>
  <c r="GU32" i="27"/>
  <c r="HG32" i="27"/>
  <c r="GT32" i="27"/>
  <c r="GV32" i="27"/>
  <c r="FK35" i="27"/>
  <c r="EX35" i="27"/>
  <c r="EZ35" i="27"/>
  <c r="EY35" i="27"/>
  <c r="FJ55" i="27"/>
  <c r="ET55" i="27"/>
  <c r="ES55" i="27"/>
  <c r="ER55" i="27"/>
  <c r="DJ37" i="27"/>
  <c r="DH37" i="27"/>
  <c r="DP37" i="27"/>
  <c r="DI37" i="27"/>
  <c r="CW56" i="27"/>
  <c r="DN56" i="27"/>
  <c r="CV56" i="27"/>
  <c r="CX56" i="27"/>
  <c r="CX59" i="27"/>
  <c r="CW59" i="27"/>
  <c r="CV59" i="27"/>
  <c r="DN59" i="27"/>
  <c r="EN58" i="27"/>
  <c r="EL58" i="27"/>
  <c r="FI58" i="27"/>
  <c r="EM58" i="27"/>
  <c r="GP46" i="27"/>
  <c r="HF46" i="27"/>
  <c r="GN46" i="27"/>
  <c r="GO46" i="27"/>
  <c r="CX48" i="27"/>
  <c r="CV48" i="27"/>
  <c r="CW48" i="27"/>
  <c r="DN48" i="27"/>
  <c r="CQ44" i="27"/>
  <c r="DM44" i="27"/>
  <c r="CR44" i="27"/>
  <c r="CP44" i="27"/>
  <c r="CQ49" i="27"/>
  <c r="DM49" i="27"/>
  <c r="CP49" i="27"/>
  <c r="CR49" i="27"/>
  <c r="EN63" i="27"/>
  <c r="EL63" i="27"/>
  <c r="FI63" i="27"/>
  <c r="EM63" i="27"/>
  <c r="N71" i="31"/>
  <c r="AH71" i="31" s="1"/>
  <c r="AJ67" i="3"/>
  <c r="FF39" i="27"/>
  <c r="FE39" i="27"/>
  <c r="FD39" i="27"/>
  <c r="FL39" i="27"/>
  <c r="AJ56" i="31"/>
  <c r="Q56" i="31"/>
  <c r="BE63" i="31"/>
  <c r="AS63" i="31"/>
  <c r="AY63" i="31" s="1"/>
  <c r="BF63" i="31"/>
  <c r="AT63" i="31"/>
  <c r="AZ63" i="31" s="1"/>
  <c r="H21" i="5"/>
  <c r="R21" i="5" s="1"/>
  <c r="BQ16" i="23"/>
  <c r="BF66" i="31"/>
  <c r="AT66" i="31"/>
  <c r="AZ66" i="31" s="1"/>
  <c r="DW19" i="27"/>
  <c r="DU19" i="27"/>
  <c r="FD32" i="27"/>
  <c r="FE32" i="27"/>
  <c r="FF32" i="27"/>
  <c r="FL32" i="27"/>
  <c r="CW50" i="27"/>
  <c r="CX50" i="27"/>
  <c r="CV50" i="27"/>
  <c r="DN50" i="27"/>
  <c r="CQ50" i="27"/>
  <c r="CR50" i="27"/>
  <c r="DM50" i="27"/>
  <c r="CP50" i="27"/>
  <c r="DM52" i="27"/>
  <c r="CQ52" i="27"/>
  <c r="CP52" i="27"/>
  <c r="CR52" i="27"/>
  <c r="GN62" i="27"/>
  <c r="GP62" i="27"/>
  <c r="HF62" i="27"/>
  <c r="GO62" i="27"/>
  <c r="EF129" i="27"/>
  <c r="EH129" i="27"/>
  <c r="EG129" i="27"/>
  <c r="FH129" i="27"/>
  <c r="GC130" i="27"/>
  <c r="GD130" i="27"/>
  <c r="HD130" i="27"/>
  <c r="GB130" i="27"/>
  <c r="EF127" i="27"/>
  <c r="EG127" i="27"/>
  <c r="FH127" i="27"/>
  <c r="EH127" i="27"/>
  <c r="EH137" i="27"/>
  <c r="FH137" i="27"/>
  <c r="EF137" i="27"/>
  <c r="EG137" i="27"/>
  <c r="CJ132" i="27"/>
  <c r="CK132" i="27"/>
  <c r="DL132" i="27"/>
  <c r="CL132" i="27"/>
  <c r="CK133" i="27"/>
  <c r="CL133" i="27"/>
  <c r="CJ133" i="27"/>
  <c r="DL133" i="27"/>
  <c r="DL136" i="27"/>
  <c r="CJ136" i="27"/>
  <c r="CK136" i="27"/>
  <c r="CL136" i="27"/>
  <c r="GH54" i="27"/>
  <c r="GI54" i="27"/>
  <c r="HE54" i="27"/>
  <c r="GJ54" i="27"/>
  <c r="GT38" i="27"/>
  <c r="HG38" i="27"/>
  <c r="GU38" i="27"/>
  <c r="GV38" i="27"/>
  <c r="CK142" i="27"/>
  <c r="DL142" i="27"/>
  <c r="CJ142" i="27"/>
  <c r="CL142" i="27"/>
  <c r="EF145" i="27"/>
  <c r="EG145" i="27"/>
  <c r="EH145" i="27"/>
  <c r="FH145" i="27"/>
  <c r="CL144" i="27"/>
  <c r="CJ144" i="27"/>
  <c r="CK144" i="27"/>
  <c r="DL144" i="27"/>
  <c r="CJ146" i="27"/>
  <c r="DL146" i="27"/>
  <c r="CK146" i="27"/>
  <c r="CL146" i="27"/>
  <c r="EZ32" i="27"/>
  <c r="EY32" i="27"/>
  <c r="FK32" i="27"/>
  <c r="EX32" i="27"/>
  <c r="GT35" i="27"/>
  <c r="HG35" i="27"/>
  <c r="GV35" i="27"/>
  <c r="GU35" i="27"/>
  <c r="DN53" i="27"/>
  <c r="CV53" i="27"/>
  <c r="CX53" i="27"/>
  <c r="CW53" i="27"/>
  <c r="FD37" i="27"/>
  <c r="FE37" i="27"/>
  <c r="FF37" i="27"/>
  <c r="FL37" i="27"/>
  <c r="GP58" i="27"/>
  <c r="GN58" i="27"/>
  <c r="HF58" i="27"/>
  <c r="GO58" i="27"/>
  <c r="ES59" i="27"/>
  <c r="ET59" i="27"/>
  <c r="ER59" i="27"/>
  <c r="FJ59" i="27"/>
  <c r="GI58" i="27"/>
  <c r="GJ58" i="27"/>
  <c r="GH58" i="27"/>
  <c r="HE58" i="27"/>
  <c r="ER46" i="27"/>
  <c r="FJ46" i="27"/>
  <c r="ES46" i="27"/>
  <c r="ET46" i="27"/>
  <c r="GP48" i="27"/>
  <c r="GO48" i="27"/>
  <c r="HF48" i="27"/>
  <c r="GN48" i="27"/>
  <c r="GH45" i="27"/>
  <c r="GJ45" i="27"/>
  <c r="GI45" i="27"/>
  <c r="HE45" i="27"/>
  <c r="EL49" i="27"/>
  <c r="EM49" i="27"/>
  <c r="FI49" i="27"/>
  <c r="EN49" i="27"/>
  <c r="CP61" i="27"/>
  <c r="DM61" i="27"/>
  <c r="CR61" i="27"/>
  <c r="CQ61" i="27"/>
  <c r="GH63" i="27"/>
  <c r="GJ63" i="27"/>
  <c r="GI63" i="27"/>
  <c r="HE63" i="27"/>
  <c r="AJ64" i="3"/>
  <c r="N68" i="31"/>
  <c r="AH68" i="31" s="1"/>
  <c r="O62" i="31"/>
  <c r="AI62" i="31" s="1"/>
  <c r="AK58" i="3"/>
  <c r="BE62" i="31"/>
  <c r="AS62" i="31"/>
  <c r="AY62" i="31" s="1"/>
  <c r="AS66" i="31"/>
  <c r="AY66" i="31" s="1"/>
  <c r="BE66" i="31"/>
  <c r="BH54" i="31"/>
  <c r="AV54" i="31"/>
  <c r="BB54" i="31" s="1"/>
  <c r="DU31" i="27"/>
  <c r="DW31" i="27"/>
  <c r="BH55" i="31"/>
  <c r="AV55" i="31"/>
  <c r="BB55" i="31" s="1"/>
  <c r="DU26" i="27"/>
  <c r="DW26" i="27"/>
  <c r="HI23" i="27"/>
  <c r="DU23" i="27"/>
  <c r="DW23" i="27"/>
  <c r="BF61" i="31"/>
  <c r="AT61" i="31"/>
  <c r="AZ61" i="31" s="1"/>
  <c r="BH53" i="31"/>
  <c r="AV53" i="31"/>
  <c r="BB53" i="31" s="1"/>
  <c r="AS65" i="31"/>
  <c r="AY65" i="31" s="1"/>
  <c r="BE65" i="31"/>
  <c r="HA35" i="27"/>
  <c r="HB35" i="27"/>
  <c r="HH35" i="27"/>
  <c r="GZ35" i="27"/>
  <c r="HF50" i="27"/>
  <c r="GN50" i="27"/>
  <c r="GO50" i="27"/>
  <c r="GP50" i="27"/>
  <c r="GH50" i="27"/>
  <c r="GI50" i="27"/>
  <c r="HE50" i="27"/>
  <c r="GJ50" i="27"/>
  <c r="CW62" i="27"/>
  <c r="CX62" i="27"/>
  <c r="CV62" i="27"/>
  <c r="DN62" i="27"/>
  <c r="GT39" i="27"/>
  <c r="GV39" i="27"/>
  <c r="GU39" i="27"/>
  <c r="HG39" i="27"/>
  <c r="GB129" i="27"/>
  <c r="HD129" i="27"/>
  <c r="GC129" i="27"/>
  <c r="GD129" i="27"/>
  <c r="CJ130" i="27"/>
  <c r="CL130" i="27"/>
  <c r="DL130" i="27"/>
  <c r="CK130" i="27"/>
  <c r="FH125" i="27"/>
  <c r="EF125" i="27"/>
  <c r="EH125" i="27"/>
  <c r="EG125" i="27"/>
  <c r="GD137" i="27"/>
  <c r="GC137" i="27"/>
  <c r="HD137" i="27"/>
  <c r="GB137" i="27"/>
  <c r="GB132" i="27"/>
  <c r="GC132" i="27"/>
  <c r="HD132" i="27"/>
  <c r="GD132" i="27"/>
  <c r="EG140" i="27"/>
  <c r="EH140" i="27"/>
  <c r="EF140" i="27"/>
  <c r="FH140" i="27"/>
  <c r="GD136" i="27"/>
  <c r="GC136" i="27"/>
  <c r="GB136" i="27"/>
  <c r="HD136" i="27"/>
  <c r="CQ54" i="27"/>
  <c r="CR54" i="27"/>
  <c r="CP54" i="27"/>
  <c r="DM54" i="27"/>
  <c r="M69" i="31"/>
  <c r="AG69" i="31" s="1"/>
  <c r="AI65" i="3"/>
  <c r="GU37" i="27"/>
  <c r="GT37" i="27"/>
  <c r="HG37" i="27"/>
  <c r="GV37" i="27"/>
  <c r="FH142" i="27"/>
  <c r="EG142" i="27"/>
  <c r="EH142" i="27"/>
  <c r="EF142" i="27"/>
  <c r="GC145" i="27"/>
  <c r="GB145" i="27"/>
  <c r="HD145" i="27"/>
  <c r="GD145" i="27"/>
  <c r="FH143" i="27"/>
  <c r="EF143" i="27"/>
  <c r="EG143" i="27"/>
  <c r="EH143" i="27"/>
  <c r="EF146" i="27"/>
  <c r="EG146" i="27"/>
  <c r="EH146" i="27"/>
  <c r="FH146" i="27"/>
  <c r="EX33" i="27"/>
  <c r="EZ33" i="27"/>
  <c r="FK33" i="27"/>
  <c r="EY33" i="27"/>
  <c r="DD35" i="27"/>
  <c r="DB35" i="27"/>
  <c r="DO35" i="27"/>
  <c r="DC35" i="27"/>
  <c r="GP53" i="27"/>
  <c r="GN53" i="27"/>
  <c r="HF53" i="27"/>
  <c r="GO53" i="27"/>
  <c r="HA37" i="27"/>
  <c r="HB37" i="27"/>
  <c r="HH37" i="27"/>
  <c r="GZ37" i="27"/>
  <c r="CV58" i="27"/>
  <c r="CW58" i="27"/>
  <c r="CX58" i="27"/>
  <c r="DN58" i="27"/>
  <c r="HE56" i="27"/>
  <c r="GH56" i="27"/>
  <c r="GI56" i="27"/>
  <c r="GJ56" i="27"/>
  <c r="DM58" i="27"/>
  <c r="CR58" i="27"/>
  <c r="CP58" i="27"/>
  <c r="CQ58" i="27"/>
  <c r="AL61" i="3"/>
  <c r="P65" i="31"/>
  <c r="L81" i="31"/>
  <c r="AF81" i="31" s="1"/>
  <c r="AH77" i="3"/>
  <c r="CV44" i="27"/>
  <c r="CW44" i="27"/>
  <c r="CX44" i="27"/>
  <c r="DN44" i="27"/>
  <c r="ER48" i="27"/>
  <c r="ES48" i="27"/>
  <c r="FJ48" i="27"/>
  <c r="ET48" i="27"/>
  <c r="CR45" i="27"/>
  <c r="CP45" i="27"/>
  <c r="DM45" i="27"/>
  <c r="CQ45" i="27"/>
  <c r="GJ48" i="27"/>
  <c r="GI48" i="27"/>
  <c r="GH48" i="27"/>
  <c r="HE48" i="27"/>
  <c r="HE61" i="27"/>
  <c r="GJ61" i="27"/>
  <c r="GH61" i="27"/>
  <c r="GI61" i="27"/>
  <c r="GJ62" i="27"/>
  <c r="HE62" i="27"/>
  <c r="GI62" i="27"/>
  <c r="GH62" i="27"/>
  <c r="N67" i="31"/>
  <c r="AH67" i="31" s="1"/>
  <c r="AJ63" i="3"/>
  <c r="O64" i="31"/>
  <c r="AI64" i="31" s="1"/>
  <c r="AK60" i="3"/>
  <c r="Q57" i="31"/>
  <c r="AJ57" i="31"/>
  <c r="FF35" i="27"/>
  <c r="FL35" i="27"/>
  <c r="FE35" i="27"/>
  <c r="FD35" i="27"/>
  <c r="ES52" i="27"/>
  <c r="ER52" i="27"/>
  <c r="FJ52" i="27"/>
  <c r="ET52" i="27"/>
  <c r="EM50" i="27"/>
  <c r="FI50" i="27"/>
  <c r="EL50" i="27"/>
  <c r="EN50" i="27"/>
  <c r="GP61" i="27"/>
  <c r="HF61" i="27"/>
  <c r="GN61" i="27"/>
  <c r="GO61" i="27"/>
  <c r="FJ62" i="27"/>
  <c r="ER62" i="27"/>
  <c r="ES62" i="27"/>
  <c r="ET62" i="27"/>
  <c r="FK39" i="27"/>
  <c r="FM39" i="27" s="1"/>
  <c r="EX39" i="27"/>
  <c r="EZ39" i="27"/>
  <c r="EY39" i="27"/>
  <c r="EF126" i="27"/>
  <c r="EH126" i="27"/>
  <c r="FH126" i="27"/>
  <c r="EG126" i="27"/>
  <c r="FH130" i="27"/>
  <c r="EG130" i="27"/>
  <c r="EH130" i="27"/>
  <c r="EF130" i="27"/>
  <c r="GC125" i="27"/>
  <c r="GB125" i="27"/>
  <c r="HD125" i="27"/>
  <c r="GD125" i="27"/>
  <c r="CK138" i="27"/>
  <c r="CJ138" i="27"/>
  <c r="DL138" i="27"/>
  <c r="CL138" i="27"/>
  <c r="EG132" i="27"/>
  <c r="EF132" i="27"/>
  <c r="EH132" i="27"/>
  <c r="FH132" i="27"/>
  <c r="CJ140" i="27"/>
  <c r="CK140" i="27"/>
  <c r="DL140" i="27"/>
  <c r="CL140" i="27"/>
  <c r="GC135" i="27"/>
  <c r="GB135" i="27"/>
  <c r="GD135" i="27"/>
  <c r="HD135" i="27"/>
  <c r="FI54" i="27"/>
  <c r="EM54" i="27"/>
  <c r="EN54" i="27"/>
  <c r="EL54" i="27"/>
  <c r="AI64" i="3"/>
  <c r="M68" i="31"/>
  <c r="AG68" i="31" s="1"/>
  <c r="DO37" i="27"/>
  <c r="DB37" i="27"/>
  <c r="DD37" i="27"/>
  <c r="DC37" i="27"/>
  <c r="EF151" i="27"/>
  <c r="EH151" i="27"/>
  <c r="EG151" i="27"/>
  <c r="FH151" i="27"/>
  <c r="CL145" i="27"/>
  <c r="DL145" i="27"/>
  <c r="CJ145" i="27"/>
  <c r="CK145" i="27"/>
  <c r="GD143" i="27"/>
  <c r="GC143" i="27"/>
  <c r="HD143" i="27"/>
  <c r="GB143" i="27"/>
  <c r="GC150" i="27"/>
  <c r="GB150" i="27"/>
  <c r="HD150" i="27"/>
  <c r="GD150" i="27"/>
  <c r="GT33" i="27"/>
  <c r="HG33" i="27"/>
  <c r="GV33" i="27"/>
  <c r="GU33" i="27"/>
  <c r="CW54" i="27"/>
  <c r="DN54" i="27"/>
  <c r="CV54" i="27"/>
  <c r="CX54" i="27"/>
  <c r="ER53" i="27"/>
  <c r="FJ53" i="27"/>
  <c r="ES53" i="27"/>
  <c r="ET53" i="27"/>
  <c r="HB36" i="27"/>
  <c r="GZ36" i="27"/>
  <c r="HA36" i="27"/>
  <c r="HH36" i="27"/>
  <c r="HI36" i="27" s="1"/>
  <c r="ES58" i="27"/>
  <c r="ET58" i="27"/>
  <c r="ER58" i="27"/>
  <c r="FJ58" i="27"/>
  <c r="DM56" i="27"/>
  <c r="CR56" i="27"/>
  <c r="CQ56" i="27"/>
  <c r="CP56" i="27"/>
  <c r="GJ59" i="27"/>
  <c r="GH59" i="27"/>
  <c r="HE59" i="27"/>
  <c r="GI59" i="27"/>
  <c r="AL58" i="3"/>
  <c r="P62" i="31"/>
  <c r="AH76" i="3"/>
  <c r="L80" i="31"/>
  <c r="AF80" i="31" s="1"/>
  <c r="ES44" i="27"/>
  <c r="FJ44" i="27"/>
  <c r="ET44" i="27"/>
  <c r="ER44" i="27"/>
  <c r="FJ47" i="27"/>
  <c r="ES47" i="27"/>
  <c r="ER47" i="27"/>
  <c r="ET47" i="27"/>
  <c r="EL45" i="27"/>
  <c r="EM45" i="27"/>
  <c r="EN45" i="27"/>
  <c r="FI45" i="27"/>
  <c r="FI48" i="27"/>
  <c r="EM48" i="27"/>
  <c r="EN48" i="27"/>
  <c r="EL48" i="27"/>
  <c r="EN61" i="27"/>
  <c r="EL61" i="27"/>
  <c r="EM61" i="27"/>
  <c r="FI61" i="27"/>
  <c r="CP62" i="27"/>
  <c r="DM62" i="27"/>
  <c r="CQ62" i="27"/>
  <c r="CR62" i="27"/>
  <c r="HB40" i="27"/>
  <c r="HA40" i="27"/>
  <c r="HH40" i="27"/>
  <c r="GZ40" i="27"/>
  <c r="O61" i="31"/>
  <c r="AI61" i="31" s="1"/>
  <c r="AK57" i="3"/>
  <c r="AT62" i="31"/>
  <c r="AZ62" i="31" s="1"/>
  <c r="BF62" i="31"/>
  <c r="AU59" i="31"/>
  <c r="BA59" i="31" s="1"/>
  <c r="BG59" i="31"/>
  <c r="BH51" i="31"/>
  <c r="AV51" i="31"/>
  <c r="BB51" i="31" s="1"/>
  <c r="DW22" i="27"/>
  <c r="DU22" i="27"/>
  <c r="BE61" i="31"/>
  <c r="AS61" i="31"/>
  <c r="AY61" i="31" s="1"/>
  <c r="AJ59" i="31"/>
  <c r="Q59" i="31"/>
  <c r="DI33" i="27"/>
  <c r="DP33" i="27"/>
  <c r="DH33" i="27"/>
  <c r="DJ33" i="27"/>
  <c r="DH35" i="27"/>
  <c r="DI35" i="27"/>
  <c r="DP35" i="27"/>
  <c r="DQ35" i="27" s="1"/>
  <c r="DJ35" i="27"/>
  <c r="GO52" i="27"/>
  <c r="HF52" i="27"/>
  <c r="GN52" i="27"/>
  <c r="GP52" i="27"/>
  <c r="GH51" i="27"/>
  <c r="GI51" i="27"/>
  <c r="GJ51" i="27"/>
  <c r="HE51" i="27"/>
  <c r="ES61" i="27"/>
  <c r="ET61" i="27"/>
  <c r="ER61" i="27"/>
  <c r="FJ61" i="27"/>
  <c r="HF60" i="27"/>
  <c r="GO60" i="27"/>
  <c r="GP60" i="27"/>
  <c r="GN60" i="27"/>
  <c r="DO39" i="27"/>
  <c r="DD39" i="27"/>
  <c r="DB39" i="27"/>
  <c r="DC39" i="27"/>
  <c r="CJ126" i="27"/>
  <c r="DL126" i="27"/>
  <c r="CL126" i="27"/>
  <c r="CK126" i="27"/>
  <c r="GC131" i="27"/>
  <c r="GB131" i="27"/>
  <c r="GD131" i="27"/>
  <c r="HD131" i="27"/>
  <c r="CJ125" i="27"/>
  <c r="CL125" i="27"/>
  <c r="CK125" i="27"/>
  <c r="DL125" i="27"/>
  <c r="GD138" i="27"/>
  <c r="HD138" i="27"/>
  <c r="GB138" i="27"/>
  <c r="GC138" i="27"/>
  <c r="DL139" i="27"/>
  <c r="CL139" i="27"/>
  <c r="CJ139" i="27"/>
  <c r="CK139" i="27"/>
  <c r="GD140" i="27"/>
  <c r="GB140" i="27"/>
  <c r="HD140" i="27"/>
  <c r="GC140" i="27"/>
  <c r="DL135" i="27"/>
  <c r="CL135" i="27"/>
  <c r="CK135" i="27"/>
  <c r="CJ135" i="27"/>
  <c r="EN55" i="27"/>
  <c r="EL55" i="27"/>
  <c r="FI55" i="27"/>
  <c r="EM55" i="27"/>
  <c r="M67" i="31"/>
  <c r="AG67" i="31" s="1"/>
  <c r="AI63" i="3"/>
  <c r="EY37" i="27"/>
  <c r="FK37" i="27"/>
  <c r="EX37" i="27"/>
  <c r="EZ37" i="27"/>
  <c r="CJ151" i="27"/>
  <c r="CL151" i="27"/>
  <c r="DL151" i="27"/>
  <c r="CK151" i="27"/>
  <c r="EH148" i="27"/>
  <c r="EF148" i="27"/>
  <c r="EG148" i="27"/>
  <c r="FH148" i="27"/>
  <c r="DL143" i="27"/>
  <c r="CL143" i="27"/>
  <c r="CJ143" i="27"/>
  <c r="CK143" i="27"/>
  <c r="EF150" i="27"/>
  <c r="EH150" i="27"/>
  <c r="FH150" i="27"/>
  <c r="EG150" i="27"/>
  <c r="DC33" i="27"/>
  <c r="DB33" i="27"/>
  <c r="DO33" i="27"/>
  <c r="DQ33" i="27" s="1"/>
  <c r="DD33" i="27"/>
  <c r="ER54" i="27"/>
  <c r="FJ54" i="27"/>
  <c r="ES54" i="27"/>
  <c r="ET54" i="27"/>
  <c r="FE36" i="27"/>
  <c r="FF36" i="27"/>
  <c r="FL36" i="27"/>
  <c r="FD36" i="27"/>
  <c r="CV57" i="27"/>
  <c r="CX57" i="27"/>
  <c r="DN57" i="27"/>
  <c r="CW57" i="27"/>
  <c r="EM56" i="27"/>
  <c r="EL56" i="27"/>
  <c r="FI56" i="27"/>
  <c r="EN56" i="27"/>
  <c r="EN59" i="27"/>
  <c r="EL59" i="27"/>
  <c r="EM59" i="27"/>
  <c r="FI59" i="27"/>
  <c r="P61" i="31"/>
  <c r="AL57" i="3"/>
  <c r="DN45" i="27"/>
  <c r="CW45" i="27"/>
  <c r="CX45" i="27"/>
  <c r="CV45" i="27"/>
  <c r="GP44" i="27"/>
  <c r="GO44" i="27"/>
  <c r="GN44" i="27"/>
  <c r="HF44" i="27"/>
  <c r="GO47" i="27"/>
  <c r="GP47" i="27"/>
  <c r="HF47" i="27"/>
  <c r="GN47" i="27"/>
  <c r="GH46" i="27"/>
  <c r="GJ46" i="27"/>
  <c r="GI46" i="27"/>
  <c r="HE46" i="27"/>
  <c r="CQ48" i="27"/>
  <c r="DM48" i="27"/>
  <c r="CR48" i="27"/>
  <c r="CP48" i="27"/>
  <c r="EM60" i="27"/>
  <c r="EL60" i="27"/>
  <c r="EN60" i="27"/>
  <c r="FI60" i="27"/>
  <c r="EN62" i="27"/>
  <c r="EL62" i="27"/>
  <c r="EM62" i="27"/>
  <c r="FI62" i="27"/>
  <c r="DH40" i="27"/>
  <c r="DI40" i="27"/>
  <c r="DJ40" i="27"/>
  <c r="DP40" i="27"/>
  <c r="O60" i="31"/>
  <c r="AI60" i="31" s="1"/>
  <c r="AK56" i="3"/>
  <c r="BQ41" i="23"/>
  <c r="BG58" i="31"/>
  <c r="AU58" i="31"/>
  <c r="BA58" i="31" s="1"/>
  <c r="Q58" i="31"/>
  <c r="AJ58" i="31"/>
  <c r="HH33" i="27"/>
  <c r="HA33" i="27"/>
  <c r="GZ33" i="27"/>
  <c r="HB33" i="27"/>
  <c r="DJ34" i="27"/>
  <c r="DH34" i="27"/>
  <c r="DI34" i="27"/>
  <c r="DP34" i="27"/>
  <c r="CV52" i="27"/>
  <c r="CW52" i="27"/>
  <c r="CX52" i="27"/>
  <c r="DN52" i="27"/>
  <c r="CQ51" i="27"/>
  <c r="CR51" i="27"/>
  <c r="DM51" i="27"/>
  <c r="CP51" i="27"/>
  <c r="CX61" i="27"/>
  <c r="CV61" i="27"/>
  <c r="CW61" i="27"/>
  <c r="DN61" i="27"/>
  <c r="CV60" i="27"/>
  <c r="CW60" i="27"/>
  <c r="CX60" i="27"/>
  <c r="DN60" i="27"/>
  <c r="DD40" i="27"/>
  <c r="DC40" i="27"/>
  <c r="DB40" i="27"/>
  <c r="DO40" i="27"/>
  <c r="GB126" i="27"/>
  <c r="GD126" i="27"/>
  <c r="HD126" i="27"/>
  <c r="GC126" i="27"/>
  <c r="CK131" i="27"/>
  <c r="DL131" i="27"/>
  <c r="CL131" i="27"/>
  <c r="CJ131" i="27"/>
  <c r="CJ128" i="27"/>
  <c r="CL128" i="27"/>
  <c r="DL128" i="27"/>
  <c r="CK128" i="27"/>
  <c r="EF138" i="27"/>
  <c r="EG138" i="27"/>
  <c r="EH138" i="27"/>
  <c r="FH138" i="27"/>
  <c r="GB139" i="27"/>
  <c r="HD139" i="27"/>
  <c r="GD139" i="27"/>
  <c r="GC139" i="27"/>
  <c r="CK134" i="27"/>
  <c r="CJ134" i="27"/>
  <c r="CL134" i="27"/>
  <c r="DL134" i="27"/>
  <c r="EG135" i="27"/>
  <c r="EF135" i="27"/>
  <c r="FH135" i="27"/>
  <c r="EH135" i="27"/>
  <c r="GJ55" i="27"/>
  <c r="HE55" i="27"/>
  <c r="GH55" i="27"/>
  <c r="GI55" i="27"/>
  <c r="M71" i="31"/>
  <c r="AG71" i="31" s="1"/>
  <c r="AI67" i="3"/>
  <c r="FK36" i="27"/>
  <c r="EZ36" i="27"/>
  <c r="EY36" i="27"/>
  <c r="EX36" i="27"/>
  <c r="GC151" i="27"/>
  <c r="GB151" i="27"/>
  <c r="HD151" i="27"/>
  <c r="GD151" i="27"/>
  <c r="CL148" i="27"/>
  <c r="DL148" i="27"/>
  <c r="CK148" i="27"/>
  <c r="CJ148" i="27"/>
  <c r="CJ149" i="27"/>
  <c r="DL149" i="27"/>
  <c r="CK149" i="27"/>
  <c r="CL149" i="27"/>
  <c r="CJ150" i="27"/>
  <c r="DL150" i="27"/>
  <c r="CL150" i="27"/>
  <c r="CK150" i="27"/>
  <c r="FK34" i="27"/>
  <c r="EY34" i="27"/>
  <c r="EZ34" i="27"/>
  <c r="EX34" i="27"/>
  <c r="GN54" i="27"/>
  <c r="GO54" i="27"/>
  <c r="GP54" i="27"/>
  <c r="HF54" i="27"/>
  <c r="FF38" i="27"/>
  <c r="FL38" i="27"/>
  <c r="FM38" i="27" s="1"/>
  <c r="FD38" i="27"/>
  <c r="FE38" i="27"/>
  <c r="DP36" i="27"/>
  <c r="DJ36" i="27"/>
  <c r="DH36" i="27"/>
  <c r="DI36" i="27"/>
  <c r="ET57" i="27"/>
  <c r="ES57" i="27"/>
  <c r="FJ57" i="27"/>
  <c r="ER57" i="27"/>
  <c r="EM57" i="27"/>
  <c r="EN57" i="27"/>
  <c r="FI57" i="27"/>
  <c r="EL57" i="27"/>
  <c r="DM59" i="27"/>
  <c r="CR59" i="27"/>
  <c r="CQ59" i="27"/>
  <c r="CP59" i="27"/>
  <c r="AL59" i="3"/>
  <c r="P63" i="31"/>
  <c r="GP45" i="27"/>
  <c r="GO45" i="27"/>
  <c r="GN45" i="27"/>
  <c r="HF45" i="27"/>
  <c r="ES49" i="27"/>
  <c r="FJ49" i="27"/>
  <c r="ER49" i="27"/>
  <c r="ET49" i="27"/>
  <c r="CV47" i="27"/>
  <c r="CX47" i="27"/>
  <c r="DN47" i="27"/>
  <c r="CW47" i="27"/>
  <c r="EM46" i="27"/>
  <c r="FI46" i="27"/>
  <c r="EL46" i="27"/>
  <c r="EN46" i="27"/>
  <c r="GJ47" i="27"/>
  <c r="GI47" i="27"/>
  <c r="HE47" i="27"/>
  <c r="GH47" i="27"/>
  <c r="GI60" i="27"/>
  <c r="GJ60" i="27"/>
  <c r="GH60" i="27"/>
  <c r="HE60" i="27"/>
  <c r="FL40" i="27"/>
  <c r="FF40" i="27"/>
  <c r="FE40" i="27"/>
  <c r="FD40" i="27"/>
  <c r="O63" i="31"/>
  <c r="AI63" i="31" s="1"/>
  <c r="AK59" i="3"/>
  <c r="BD79" i="31"/>
  <c r="AR79" i="31"/>
  <c r="AX79" i="31" s="1"/>
  <c r="BG57" i="31"/>
  <c r="AU57" i="31"/>
  <c r="BA57" i="31" s="1"/>
  <c r="BG56" i="31"/>
  <c r="AU56" i="31"/>
  <c r="BA56" i="31" s="1"/>
  <c r="BF64" i="31"/>
  <c r="AT64" i="31"/>
  <c r="AZ64" i="31" s="1"/>
  <c r="BH50" i="31"/>
  <c r="AV50" i="31"/>
  <c r="BB50" i="31" s="1"/>
  <c r="FD33" i="27"/>
  <c r="FE33" i="27"/>
  <c r="FF33" i="27"/>
  <c r="FL33" i="27"/>
  <c r="FL34" i="27"/>
  <c r="FE34" i="27"/>
  <c r="FD34" i="27"/>
  <c r="FF34" i="27"/>
  <c r="ET51" i="27"/>
  <c r="ER51" i="27"/>
  <c r="ES51" i="27"/>
  <c r="FJ51" i="27"/>
  <c r="EM51" i="27"/>
  <c r="EL51" i="27"/>
  <c r="EN51" i="27"/>
  <c r="FI51" i="27"/>
  <c r="GP63" i="27"/>
  <c r="GO63" i="27"/>
  <c r="GN63" i="27"/>
  <c r="HF63" i="27"/>
  <c r="ES60" i="27"/>
  <c r="FJ60" i="27"/>
  <c r="ER60" i="27"/>
  <c r="ET60" i="27"/>
  <c r="EZ40" i="27"/>
  <c r="EX40" i="27"/>
  <c r="FK40" i="27"/>
  <c r="EY40" i="27"/>
  <c r="EH124" i="27"/>
  <c r="EG124" i="27"/>
  <c r="FH124" i="27"/>
  <c r="EF124" i="27"/>
  <c r="EH131" i="27"/>
  <c r="FH131" i="27"/>
  <c r="EG131" i="27"/>
  <c r="EF131" i="27"/>
  <c r="GD128" i="27"/>
  <c r="HD128" i="27"/>
  <c r="GB128" i="27"/>
  <c r="GC128" i="27"/>
  <c r="GD141" i="27"/>
  <c r="GB141" i="27"/>
  <c r="GC141" i="27"/>
  <c r="HD141" i="27"/>
  <c r="EF139" i="27"/>
  <c r="FH139" i="27"/>
  <c r="EG139" i="27"/>
  <c r="EH139" i="27"/>
  <c r="GC134" i="27"/>
  <c r="GD134" i="27"/>
  <c r="HD134" i="27"/>
  <c r="GB134" i="27"/>
  <c r="DM53" i="27"/>
  <c r="CP53" i="27"/>
  <c r="CQ53" i="27"/>
  <c r="CR53" i="27"/>
  <c r="CR55" i="27"/>
  <c r="CP55" i="27"/>
  <c r="DM55" i="27"/>
  <c r="CQ55" i="27"/>
  <c r="M70" i="31"/>
  <c r="AG70" i="31" s="1"/>
  <c r="AI66" i="3"/>
  <c r="DC36" i="27"/>
  <c r="DD36" i="27"/>
  <c r="DO36" i="27"/>
  <c r="DQ36" i="27" s="1"/>
  <c r="DB36" i="27"/>
  <c r="DL147" i="27"/>
  <c r="CL147" i="27"/>
  <c r="CJ147" i="27"/>
  <c r="CK147" i="27"/>
  <c r="GB148" i="27"/>
  <c r="HD148" i="27"/>
  <c r="GD148" i="27"/>
  <c r="GC148" i="27"/>
  <c r="GB149" i="27"/>
  <c r="HD149" i="27"/>
  <c r="GD149" i="27"/>
  <c r="GC149" i="27"/>
  <c r="GT34" i="27"/>
  <c r="HG34" i="27"/>
  <c r="HI34" i="27" s="1"/>
  <c r="GV34" i="27"/>
  <c r="GU34" i="27"/>
  <c r="CW55" i="27"/>
  <c r="CX55" i="27"/>
  <c r="DN55" i="27"/>
  <c r="CV55" i="27"/>
  <c r="HA38" i="27"/>
  <c r="GZ38" i="27"/>
  <c r="HB38" i="27"/>
  <c r="HH38" i="27"/>
  <c r="HI38" i="27" s="1"/>
  <c r="GN56" i="27"/>
  <c r="GO56" i="27"/>
  <c r="HF56" i="27"/>
  <c r="GP56" i="27"/>
  <c r="GN57" i="27"/>
  <c r="HF57" i="27"/>
  <c r="GO57" i="27"/>
  <c r="GP57" i="27"/>
  <c r="GI57" i="27"/>
  <c r="GH57" i="27"/>
  <c r="GJ57" i="27"/>
  <c r="HE57" i="27"/>
  <c r="P64" i="31"/>
  <c r="AL60" i="3"/>
  <c r="ER45" i="27"/>
  <c r="ES45" i="27"/>
  <c r="ET45" i="27"/>
  <c r="FJ45" i="27"/>
  <c r="GN49" i="27"/>
  <c r="GO49" i="27"/>
  <c r="HF49" i="27"/>
  <c r="GP49" i="27"/>
  <c r="GJ44" i="27"/>
  <c r="GI44" i="27"/>
  <c r="HE44" i="27"/>
  <c r="GH44" i="27"/>
  <c r="CQ46" i="27"/>
  <c r="DM46" i="27"/>
  <c r="CP46" i="27"/>
  <c r="CR46" i="27"/>
  <c r="EL47" i="27"/>
  <c r="EM47" i="27"/>
  <c r="FI47" i="27"/>
  <c r="EN47" i="27"/>
  <c r="CQ60" i="27"/>
  <c r="CP60" i="27"/>
  <c r="CR60" i="27"/>
  <c r="DM60" i="27"/>
  <c r="N70" i="31"/>
  <c r="AH70" i="31" s="1"/>
  <c r="AJ66" i="3"/>
  <c r="DP39" i="27"/>
  <c r="DI39" i="27"/>
  <c r="DJ39" i="27"/>
  <c r="DH39" i="27"/>
  <c r="AK61" i="3"/>
  <c r="O65" i="31"/>
  <c r="AI65" i="31" s="1"/>
  <c r="I21" i="5"/>
  <c r="S21" i="5" s="1"/>
  <c r="K20" i="5"/>
  <c r="U20" i="5" s="1"/>
  <c r="G24" i="5"/>
  <c r="Q24" i="5" s="1"/>
  <c r="J20" i="5"/>
  <c r="T20" i="5" s="1"/>
  <c r="AS18" i="3"/>
  <c r="Y76" i="5"/>
  <c r="AQ54" i="3"/>
  <c r="AN85" i="27"/>
  <c r="Z90" i="27"/>
  <c r="AG60" i="27"/>
  <c r="S106" i="27"/>
  <c r="L205" i="27"/>
  <c r="S102" i="27"/>
  <c r="AN65" i="27"/>
  <c r="AA71" i="5"/>
  <c r="AA72" i="5"/>
  <c r="L190" i="27"/>
  <c r="AS16" i="3"/>
  <c r="AG74" i="27"/>
  <c r="AG82" i="27"/>
  <c r="AR27" i="3"/>
  <c r="AO169" i="3"/>
  <c r="AO170" i="3"/>
  <c r="AG72" i="27"/>
  <c r="AO162" i="3"/>
  <c r="L193" i="27"/>
  <c r="AP71" i="3"/>
  <c r="AP55" i="3"/>
  <c r="AR31" i="3"/>
  <c r="AP67" i="3"/>
  <c r="AO151" i="3"/>
  <c r="Y73" i="5"/>
  <c r="AG86" i="27"/>
  <c r="L204" i="27"/>
  <c r="AO161" i="3"/>
  <c r="AN70" i="27"/>
  <c r="AN80" i="27"/>
  <c r="AB70" i="5"/>
  <c r="S90" i="27"/>
  <c r="S89" i="27"/>
  <c r="AO163" i="3"/>
  <c r="Z122" i="27"/>
  <c r="Z113" i="27"/>
  <c r="L202" i="27"/>
  <c r="AG63" i="27"/>
  <c r="AN87" i="27"/>
  <c r="Z104" i="27"/>
  <c r="AN76" i="27"/>
  <c r="Z99" i="27"/>
  <c r="L207" i="27"/>
  <c r="AG78" i="27"/>
  <c r="AP75" i="3"/>
  <c r="L195" i="27"/>
  <c r="AN66" i="27"/>
  <c r="AR26" i="3"/>
  <c r="L180" i="27"/>
  <c r="Z110" i="27"/>
  <c r="AQ52" i="3"/>
  <c r="AO154" i="3"/>
  <c r="AQ56" i="3"/>
  <c r="AO150" i="3"/>
  <c r="S112" i="27"/>
  <c r="AN67" i="27"/>
  <c r="AO165" i="3"/>
  <c r="AN77" i="27"/>
  <c r="S99" i="27"/>
  <c r="AG87" i="27"/>
  <c r="AN73" i="27"/>
  <c r="Z75" i="5"/>
  <c r="AG73" i="27"/>
  <c r="AP70" i="3"/>
  <c r="AQ45" i="3"/>
  <c r="L187" i="27"/>
  <c r="L194" i="27"/>
  <c r="S105" i="27"/>
  <c r="AA70" i="5"/>
  <c r="AP58" i="3"/>
  <c r="Z109" i="27"/>
  <c r="AG62" i="27"/>
  <c r="AR28" i="3"/>
  <c r="S94" i="27"/>
  <c r="L211" i="27"/>
  <c r="S104" i="27"/>
  <c r="AQ55" i="3"/>
  <c r="S108" i="27"/>
  <c r="Y75" i="5"/>
  <c r="S96" i="27"/>
  <c r="X83" i="5"/>
  <c r="Z118" i="27"/>
  <c r="L183" i="27"/>
  <c r="AN68" i="27"/>
  <c r="AP60" i="3"/>
  <c r="L173" i="27"/>
  <c r="Z74" i="5"/>
  <c r="AG80" i="27"/>
  <c r="AG61" i="27"/>
  <c r="Z95" i="27"/>
  <c r="L197" i="27"/>
  <c r="AN71" i="27"/>
  <c r="Z89" i="27"/>
  <c r="Z107" i="27"/>
  <c r="AN78" i="27"/>
  <c r="S95" i="27"/>
  <c r="AG65" i="27"/>
  <c r="AN75" i="27"/>
  <c r="AN84" i="27"/>
  <c r="AR29" i="3"/>
  <c r="AQ46" i="3"/>
  <c r="Z121" i="27"/>
  <c r="Z111" i="27"/>
  <c r="Z116" i="27"/>
  <c r="X84" i="5"/>
  <c r="L206" i="27"/>
  <c r="AP66" i="3"/>
  <c r="Z106" i="27"/>
  <c r="L178" i="27"/>
  <c r="AG64" i="27"/>
  <c r="AQ51" i="3"/>
  <c r="AG88" i="27"/>
  <c r="AG79" i="27"/>
  <c r="S100" i="27"/>
  <c r="AP62" i="3"/>
  <c r="AG85" i="27"/>
  <c r="X82" i="5"/>
  <c r="AG70" i="27"/>
  <c r="AO168" i="3"/>
  <c r="AN74" i="27"/>
  <c r="S115" i="27"/>
  <c r="AP57" i="3"/>
  <c r="AG69" i="27"/>
  <c r="AR24" i="3"/>
  <c r="AN62" i="27"/>
  <c r="Z94" i="27"/>
  <c r="AB71" i="5"/>
  <c r="Z123" i="27"/>
  <c r="AG76" i="27"/>
  <c r="AB69" i="5"/>
  <c r="L185" i="27"/>
  <c r="L209" i="27"/>
  <c r="L203" i="27"/>
  <c r="Z119" i="27"/>
  <c r="L181" i="27"/>
  <c r="L189" i="27"/>
  <c r="Z105" i="27"/>
  <c r="AG83" i="27"/>
  <c r="S93" i="27"/>
  <c r="AO167" i="3"/>
  <c r="AP61" i="3"/>
  <c r="L174" i="27"/>
  <c r="L198" i="27"/>
  <c r="Z96" i="27"/>
  <c r="S110" i="27"/>
  <c r="Z93" i="27"/>
  <c r="AN63" i="27"/>
  <c r="AQ47" i="3"/>
  <c r="AR30" i="3"/>
  <c r="Z108" i="27"/>
  <c r="AQ61" i="3"/>
  <c r="AO156" i="3"/>
  <c r="AN82" i="27"/>
  <c r="S103" i="27"/>
  <c r="AR23" i="3"/>
  <c r="L176" i="27"/>
  <c r="AA69" i="5"/>
  <c r="AO158" i="3"/>
  <c r="S101" i="27"/>
  <c r="L175" i="27"/>
  <c r="L201" i="27"/>
  <c r="AS14" i="3"/>
  <c r="AP68" i="3"/>
  <c r="AP64" i="3"/>
  <c r="AO160" i="3"/>
  <c r="AQ48" i="3"/>
  <c r="AN72" i="27"/>
  <c r="Z97" i="27"/>
  <c r="L210" i="27"/>
  <c r="AN88" i="27"/>
  <c r="AG71" i="27"/>
  <c r="L179" i="27"/>
  <c r="S113" i="27"/>
  <c r="L199" i="27"/>
  <c r="S114" i="27"/>
  <c r="AP73" i="3"/>
  <c r="Z117" i="27"/>
  <c r="Z102" i="27"/>
  <c r="L188" i="27"/>
  <c r="AG67" i="27"/>
  <c r="L184" i="27"/>
  <c r="Z92" i="27"/>
  <c r="AN64" i="27"/>
  <c r="AN79" i="27"/>
  <c r="S98" i="27"/>
  <c r="AQ53" i="3"/>
  <c r="L196" i="27"/>
  <c r="Z114" i="27"/>
  <c r="AN81" i="27"/>
  <c r="AN61" i="27"/>
  <c r="AG84" i="27"/>
  <c r="AQ58" i="3"/>
  <c r="AO159" i="3"/>
  <c r="AB72" i="5"/>
  <c r="Z100" i="27"/>
  <c r="AP74" i="3"/>
  <c r="AO155" i="3"/>
  <c r="AP56" i="3"/>
  <c r="Y74" i="5"/>
  <c r="L208" i="27"/>
  <c r="AP54" i="3"/>
  <c r="AG66" i="27"/>
  <c r="AG68" i="27"/>
  <c r="S109" i="27"/>
  <c r="AN86" i="27"/>
  <c r="S107" i="27"/>
  <c r="S97" i="27"/>
  <c r="AP72" i="3"/>
  <c r="AO153" i="3"/>
  <c r="L177" i="27"/>
  <c r="AO157" i="3"/>
  <c r="Z76" i="5"/>
  <c r="AS17" i="3"/>
  <c r="AQ62" i="3"/>
  <c r="L200" i="27"/>
  <c r="AO164" i="3"/>
  <c r="Z120" i="27"/>
  <c r="S91" i="27"/>
  <c r="AG77" i="27"/>
  <c r="L186" i="27"/>
  <c r="AN60" i="27"/>
  <c r="AO166" i="3"/>
  <c r="Z91" i="27"/>
  <c r="AG75" i="27"/>
  <c r="AQ60" i="3"/>
  <c r="AO152" i="3"/>
  <c r="AP63" i="3"/>
  <c r="Z101" i="27"/>
  <c r="AN83" i="27"/>
  <c r="AP69" i="3"/>
  <c r="AP65" i="3"/>
  <c r="Z115" i="27"/>
  <c r="L191" i="27"/>
  <c r="Z103" i="27"/>
  <c r="AP59" i="3"/>
  <c r="AQ50" i="3"/>
  <c r="L192" i="27"/>
  <c r="AG81" i="27"/>
  <c r="AQ59" i="3"/>
  <c r="AR22" i="3"/>
  <c r="Z112" i="27"/>
  <c r="S111" i="27"/>
  <c r="AQ49" i="3"/>
  <c r="AR25" i="3"/>
  <c r="AN69" i="27"/>
  <c r="Z98" i="27"/>
  <c r="AQ57" i="3"/>
  <c r="AS15" i="3"/>
  <c r="S92" i="27"/>
  <c r="L182" i="27"/>
  <c r="FQ26" i="27" l="1"/>
  <c r="HO24" i="27"/>
  <c r="HM27" i="27"/>
  <c r="FS25" i="27"/>
  <c r="DU30" i="27"/>
  <c r="HI39" i="27"/>
  <c r="DQ37" i="27"/>
  <c r="DU37" i="27" s="1"/>
  <c r="FM37" i="27"/>
  <c r="FS37" i="27" s="1"/>
  <c r="DQ38" i="27"/>
  <c r="FM35" i="27"/>
  <c r="HI37" i="27"/>
  <c r="HI32" i="27"/>
  <c r="HM32" i="27" s="1"/>
  <c r="DQ32" i="27"/>
  <c r="DQ39" i="27"/>
  <c r="FM36" i="27"/>
  <c r="FQ36" i="27" s="1"/>
  <c r="DQ34" i="27"/>
  <c r="DU34" i="27" s="1"/>
  <c r="HI40" i="27"/>
  <c r="FM40" i="27"/>
  <c r="HI35" i="27"/>
  <c r="FM34" i="27"/>
  <c r="FS34" i="27" s="1"/>
  <c r="AE68" i="3"/>
  <c r="AE71" i="3"/>
  <c r="AE70" i="3"/>
  <c r="AE69" i="3"/>
  <c r="CS98" i="27"/>
  <c r="GK98" i="27"/>
  <c r="EO98" i="27"/>
  <c r="CS97" i="27"/>
  <c r="EO97" i="27"/>
  <c r="GK97" i="27"/>
  <c r="EO95" i="27"/>
  <c r="CS95" i="27"/>
  <c r="GK95" i="27"/>
  <c r="CS100" i="27"/>
  <c r="GK100" i="27"/>
  <c r="EO100" i="27"/>
  <c r="EO101" i="27"/>
  <c r="CS101" i="27"/>
  <c r="GK101" i="27"/>
  <c r="CS96" i="27"/>
  <c r="EO96" i="27"/>
  <c r="GK96" i="27"/>
  <c r="GK99" i="27"/>
  <c r="EO99" i="27"/>
  <c r="CS99" i="27"/>
  <c r="CS89" i="27"/>
  <c r="GK89" i="27"/>
  <c r="EO89" i="27"/>
  <c r="GK93" i="27"/>
  <c r="CS93" i="27"/>
  <c r="EO93" i="27"/>
  <c r="GK91" i="27"/>
  <c r="CS91" i="27"/>
  <c r="EO91" i="27"/>
  <c r="EO94" i="27"/>
  <c r="GK94" i="27"/>
  <c r="CS94" i="27"/>
  <c r="GK90" i="27"/>
  <c r="CS90" i="27"/>
  <c r="EO90" i="27"/>
  <c r="CS92" i="27"/>
  <c r="GK92" i="27"/>
  <c r="EO92" i="27"/>
  <c r="GW84" i="27"/>
  <c r="DE84" i="27"/>
  <c r="FA84" i="27"/>
  <c r="GW87" i="27"/>
  <c r="FA87" i="27"/>
  <c r="DE87" i="27"/>
  <c r="FA88" i="27"/>
  <c r="DE88" i="27"/>
  <c r="GW88" i="27"/>
  <c r="DE86" i="27"/>
  <c r="GW86" i="27"/>
  <c r="FA86" i="27"/>
  <c r="DE85" i="27"/>
  <c r="FA85" i="27"/>
  <c r="GW85" i="27"/>
  <c r="GW83" i="27"/>
  <c r="FA83" i="27"/>
  <c r="DE83" i="27"/>
  <c r="AF71" i="3"/>
  <c r="AF68" i="3"/>
  <c r="AF69" i="3"/>
  <c r="AF70" i="3"/>
  <c r="AD74" i="3"/>
  <c r="AD73" i="3"/>
  <c r="AD75" i="3"/>
  <c r="AB81" i="3"/>
  <c r="AB82" i="3"/>
  <c r="AB83" i="3"/>
  <c r="AC72" i="3"/>
  <c r="AC74" i="3"/>
  <c r="AC75" i="3"/>
  <c r="AC73" i="3"/>
  <c r="AT15" i="3"/>
  <c r="AT14" i="3"/>
  <c r="CY79" i="27"/>
  <c r="GQ79" i="27"/>
  <c r="EU79" i="27"/>
  <c r="CY82" i="27"/>
  <c r="GQ82" i="27"/>
  <c r="EU82" i="27"/>
  <c r="EU81" i="27"/>
  <c r="GQ81" i="27"/>
  <c r="CY81" i="27"/>
  <c r="EU80" i="27"/>
  <c r="CY80" i="27"/>
  <c r="GQ80" i="27"/>
  <c r="EU78" i="27"/>
  <c r="CY78" i="27"/>
  <c r="GQ78" i="27"/>
  <c r="FA70" i="27"/>
  <c r="DE70" i="27"/>
  <c r="GW70" i="27"/>
  <c r="GW68" i="27"/>
  <c r="FA68" i="27"/>
  <c r="DE68" i="27"/>
  <c r="GW69" i="27"/>
  <c r="FA69" i="27"/>
  <c r="DE69" i="27"/>
  <c r="DE71" i="27"/>
  <c r="FA71" i="27"/>
  <c r="GW71" i="27"/>
  <c r="GW72" i="27"/>
  <c r="DE72" i="27"/>
  <c r="FA72" i="27"/>
  <c r="EI106" i="27"/>
  <c r="CM106" i="27"/>
  <c r="GE106" i="27"/>
  <c r="GE102" i="27"/>
  <c r="EI102" i="27"/>
  <c r="CM102" i="27"/>
  <c r="EI103" i="27"/>
  <c r="CM103" i="27"/>
  <c r="GE103" i="27"/>
  <c r="EI107" i="27"/>
  <c r="CM107" i="27"/>
  <c r="GE107" i="27"/>
  <c r="GE104" i="27"/>
  <c r="CM104" i="27"/>
  <c r="EI104" i="27"/>
  <c r="GE105" i="27"/>
  <c r="EI105" i="27"/>
  <c r="CM105" i="27"/>
  <c r="GQ86" i="27"/>
  <c r="EU86" i="27"/>
  <c r="CY86" i="27"/>
  <c r="EU88" i="27"/>
  <c r="CY88" i="27"/>
  <c r="GQ88" i="27"/>
  <c r="EU87" i="27"/>
  <c r="GQ87" i="27"/>
  <c r="CY87" i="27"/>
  <c r="GQ84" i="27"/>
  <c r="EU84" i="27"/>
  <c r="CY84" i="27"/>
  <c r="CY85" i="27"/>
  <c r="GQ85" i="27"/>
  <c r="EU85" i="27"/>
  <c r="CY83" i="27"/>
  <c r="GQ83" i="27"/>
  <c r="EU83" i="27"/>
  <c r="DE81" i="27"/>
  <c r="GW81" i="27"/>
  <c r="FA81" i="27"/>
  <c r="FA82" i="27"/>
  <c r="DE82" i="27"/>
  <c r="GW82" i="27"/>
  <c r="FA80" i="27"/>
  <c r="DE80" i="27"/>
  <c r="GW80" i="27"/>
  <c r="GW79" i="27"/>
  <c r="FA79" i="27"/>
  <c r="DE79" i="27"/>
  <c r="GW78" i="27"/>
  <c r="DE78" i="27"/>
  <c r="FA78" i="27"/>
  <c r="AT18" i="3"/>
  <c r="GE113" i="27"/>
  <c r="CM113" i="27"/>
  <c r="EI113" i="27"/>
  <c r="GE112" i="27"/>
  <c r="CM112" i="27"/>
  <c r="EI112" i="27"/>
  <c r="CM109" i="27"/>
  <c r="EI109" i="27"/>
  <c r="GE109" i="27"/>
  <c r="CM115" i="27"/>
  <c r="GE115" i="27"/>
  <c r="EI115" i="27"/>
  <c r="CM108" i="27"/>
  <c r="EI108" i="27"/>
  <c r="GE108" i="27"/>
  <c r="CM114" i="27"/>
  <c r="GE114" i="27"/>
  <c r="EI114" i="27"/>
  <c r="CM110" i="27"/>
  <c r="EI110" i="27"/>
  <c r="GE110" i="27"/>
  <c r="EI111" i="27"/>
  <c r="GE111" i="27"/>
  <c r="CM111" i="27"/>
  <c r="CS117" i="27"/>
  <c r="GK117" i="27"/>
  <c r="EO117" i="27"/>
  <c r="EO121" i="27"/>
  <c r="CS121" i="27"/>
  <c r="GK121" i="27"/>
  <c r="CS120" i="27"/>
  <c r="EO120" i="27"/>
  <c r="GK120" i="27"/>
  <c r="GK122" i="27"/>
  <c r="CS122" i="27"/>
  <c r="EO122" i="27"/>
  <c r="GK116" i="27"/>
  <c r="EO116" i="27"/>
  <c r="CS116" i="27"/>
  <c r="EO123" i="27"/>
  <c r="CS123" i="27"/>
  <c r="GK123" i="27"/>
  <c r="EO118" i="27"/>
  <c r="CS118" i="27"/>
  <c r="GK118" i="27"/>
  <c r="EO119" i="27"/>
  <c r="CS119" i="27"/>
  <c r="GK119" i="27"/>
  <c r="FA77" i="27"/>
  <c r="GW77" i="27"/>
  <c r="DE77" i="27"/>
  <c r="DE73" i="27"/>
  <c r="FA73" i="27"/>
  <c r="GW73" i="27"/>
  <c r="GW75" i="27"/>
  <c r="FA75" i="27"/>
  <c r="DE75" i="27"/>
  <c r="DE74" i="27"/>
  <c r="FA74" i="27"/>
  <c r="GW74" i="27"/>
  <c r="FA76" i="27"/>
  <c r="DE76" i="27"/>
  <c r="GW76" i="27"/>
  <c r="AT16" i="3"/>
  <c r="GE96" i="27"/>
  <c r="CM96" i="27"/>
  <c r="EI96" i="27"/>
  <c r="GE97" i="27"/>
  <c r="EI97" i="27"/>
  <c r="CM97" i="27"/>
  <c r="CM100" i="27"/>
  <c r="EI100" i="27"/>
  <c r="GE100" i="27"/>
  <c r="EI99" i="27"/>
  <c r="CM99" i="27"/>
  <c r="GE99" i="27"/>
  <c r="EI95" i="27"/>
  <c r="GE95" i="27"/>
  <c r="CM95" i="27"/>
  <c r="GE101" i="27"/>
  <c r="EI101" i="27"/>
  <c r="CM101" i="27"/>
  <c r="EI98" i="27"/>
  <c r="CM98" i="27"/>
  <c r="GE98" i="27"/>
  <c r="CM94" i="27"/>
  <c r="GE94" i="27"/>
  <c r="EI94" i="27"/>
  <c r="EI92" i="27"/>
  <c r="GE92" i="27"/>
  <c r="CM92" i="27"/>
  <c r="CM90" i="27"/>
  <c r="GE90" i="27"/>
  <c r="EI90" i="27"/>
  <c r="CM89" i="27"/>
  <c r="EI89" i="27"/>
  <c r="GE89" i="27"/>
  <c r="EI93" i="27"/>
  <c r="CM93" i="27"/>
  <c r="GE93" i="27"/>
  <c r="CM91" i="27"/>
  <c r="GE91" i="27"/>
  <c r="EI91" i="27"/>
  <c r="GK113" i="27"/>
  <c r="CS113" i="27"/>
  <c r="EO113" i="27"/>
  <c r="EO112" i="27"/>
  <c r="GK112" i="27"/>
  <c r="CS112" i="27"/>
  <c r="CS114" i="27"/>
  <c r="EO114" i="27"/>
  <c r="GK114" i="27"/>
  <c r="GK109" i="27"/>
  <c r="EO109" i="27"/>
  <c r="CS109" i="27"/>
  <c r="CS108" i="27"/>
  <c r="EO108" i="27"/>
  <c r="GK108" i="27"/>
  <c r="EO111" i="27"/>
  <c r="CS111" i="27"/>
  <c r="GK111" i="27"/>
  <c r="GK110" i="27"/>
  <c r="EO110" i="27"/>
  <c r="CS110" i="27"/>
  <c r="CS115" i="27"/>
  <c r="GK115" i="27"/>
  <c r="EO115" i="27"/>
  <c r="CY66" i="27"/>
  <c r="GQ66" i="27"/>
  <c r="EU66" i="27"/>
  <c r="EU67" i="27"/>
  <c r="GQ67" i="27"/>
  <c r="CY67" i="27"/>
  <c r="CY65" i="27"/>
  <c r="GQ65" i="27"/>
  <c r="EU65" i="27"/>
  <c r="GQ64" i="27"/>
  <c r="EU64" i="27"/>
  <c r="CY64" i="27"/>
  <c r="GQ63" i="27"/>
  <c r="EU63" i="27"/>
  <c r="CY63" i="27"/>
  <c r="CY62" i="27"/>
  <c r="EU62" i="27"/>
  <c r="GQ62" i="27"/>
  <c r="EU61" i="27"/>
  <c r="GQ61" i="27"/>
  <c r="CY61" i="27"/>
  <c r="GQ60" i="27"/>
  <c r="EU60" i="27"/>
  <c r="CY60" i="27"/>
  <c r="EO102" i="27"/>
  <c r="GK102" i="27"/>
  <c r="CS102" i="27"/>
  <c r="CS107" i="27"/>
  <c r="EO107" i="27"/>
  <c r="GK107" i="27"/>
  <c r="GK103" i="27"/>
  <c r="CS103" i="27"/>
  <c r="EO103" i="27"/>
  <c r="EO104" i="27"/>
  <c r="GK104" i="27"/>
  <c r="CS104" i="27"/>
  <c r="CS106" i="27"/>
  <c r="EO106" i="27"/>
  <c r="GK106" i="27"/>
  <c r="EO105" i="27"/>
  <c r="GK105" i="27"/>
  <c r="CS105" i="27"/>
  <c r="FY190" i="27"/>
  <c r="EC190" i="27"/>
  <c r="CG190" i="27"/>
  <c r="FY188" i="27"/>
  <c r="EC188" i="27"/>
  <c r="CG188" i="27"/>
  <c r="EC198" i="27"/>
  <c r="FY198" i="27"/>
  <c r="CG198" i="27"/>
  <c r="FY192" i="27"/>
  <c r="CG192" i="27"/>
  <c r="EC192" i="27"/>
  <c r="CG197" i="27"/>
  <c r="EC197" i="27"/>
  <c r="FY197" i="27"/>
  <c r="CG189" i="27"/>
  <c r="FY189" i="27"/>
  <c r="EC189" i="27"/>
  <c r="FY194" i="27"/>
  <c r="CG194" i="27"/>
  <c r="EC194" i="27"/>
  <c r="EC196" i="27"/>
  <c r="FY196" i="27"/>
  <c r="CG196" i="27"/>
  <c r="CG186" i="27"/>
  <c r="FY186" i="27"/>
  <c r="EC186" i="27"/>
  <c r="EC191" i="27"/>
  <c r="FY191" i="27"/>
  <c r="CG191" i="27"/>
  <c r="CG195" i="27"/>
  <c r="EC195" i="27"/>
  <c r="FY195" i="27"/>
  <c r="FY187" i="27"/>
  <c r="EC187" i="27"/>
  <c r="CG187" i="27"/>
  <c r="EC193" i="27"/>
  <c r="FY193" i="27"/>
  <c r="CG193" i="27"/>
  <c r="EC174" i="27"/>
  <c r="CG174" i="27"/>
  <c r="FY174" i="27"/>
  <c r="FY173" i="27"/>
  <c r="EC173" i="27"/>
  <c r="CG173" i="27"/>
  <c r="CG176" i="27"/>
  <c r="FY176" i="27"/>
  <c r="EC176" i="27"/>
  <c r="CG177" i="27"/>
  <c r="EC177" i="27"/>
  <c r="FY177" i="27"/>
  <c r="EC178" i="27"/>
  <c r="FY178" i="27"/>
  <c r="CG178" i="27"/>
  <c r="FY183" i="27"/>
  <c r="CG183" i="27"/>
  <c r="EC183" i="27"/>
  <c r="CG182" i="27"/>
  <c r="FY182" i="27"/>
  <c r="EC182" i="27"/>
  <c r="EC175" i="27"/>
  <c r="CG175" i="27"/>
  <c r="FY175" i="27"/>
  <c r="CG181" i="27"/>
  <c r="EC181" i="27"/>
  <c r="FY181" i="27"/>
  <c r="CG179" i="27"/>
  <c r="EC179" i="27"/>
  <c r="FY179" i="27"/>
  <c r="FY184" i="27"/>
  <c r="CG184" i="27"/>
  <c r="EC184" i="27"/>
  <c r="EC185" i="27"/>
  <c r="CG185" i="27"/>
  <c r="FY185" i="27"/>
  <c r="FY180" i="27"/>
  <c r="CG180" i="27"/>
  <c r="EC180" i="27"/>
  <c r="GQ71" i="27"/>
  <c r="EU71" i="27"/>
  <c r="CY71" i="27"/>
  <c r="CY68" i="27"/>
  <c r="GQ68" i="27"/>
  <c r="EU68" i="27"/>
  <c r="EU69" i="27"/>
  <c r="CY69" i="27"/>
  <c r="GQ69" i="27"/>
  <c r="EU72" i="27"/>
  <c r="CY72" i="27"/>
  <c r="GQ72" i="27"/>
  <c r="CY70" i="27"/>
  <c r="EU70" i="27"/>
  <c r="GQ70" i="27"/>
  <c r="AT17" i="3"/>
  <c r="CY73" i="27"/>
  <c r="EU73" i="27"/>
  <c r="GQ73" i="27"/>
  <c r="CY74" i="27"/>
  <c r="EU74" i="27"/>
  <c r="GQ74" i="27"/>
  <c r="GQ76" i="27"/>
  <c r="CY76" i="27"/>
  <c r="EU76" i="27"/>
  <c r="EU77" i="27"/>
  <c r="CY77" i="27"/>
  <c r="GQ77" i="27"/>
  <c r="GQ75" i="27"/>
  <c r="EU75" i="27"/>
  <c r="CY75" i="27"/>
  <c r="FA64" i="27"/>
  <c r="GW64" i="27"/>
  <c r="DE64" i="27"/>
  <c r="DE65" i="27"/>
  <c r="FA65" i="27"/>
  <c r="GW65" i="27"/>
  <c r="FA67" i="27"/>
  <c r="GW67" i="27"/>
  <c r="DE67" i="27"/>
  <c r="DE66" i="27"/>
  <c r="FA66" i="27"/>
  <c r="GW66" i="27"/>
  <c r="FA63" i="27"/>
  <c r="DE63" i="27"/>
  <c r="GW63" i="27"/>
  <c r="GW61" i="27"/>
  <c r="FA61" i="27"/>
  <c r="DE61" i="27"/>
  <c r="GW60" i="27"/>
  <c r="DE60" i="27"/>
  <c r="FA60" i="27"/>
  <c r="GW62" i="27"/>
  <c r="FA62" i="27"/>
  <c r="DE62" i="27"/>
  <c r="FY203" i="27"/>
  <c r="EC203" i="27"/>
  <c r="CG203" i="27"/>
  <c r="CG200" i="27"/>
  <c r="EC200" i="27"/>
  <c r="FY200" i="27"/>
  <c r="CG208" i="27"/>
  <c r="EC208" i="27"/>
  <c r="FY208" i="27"/>
  <c r="CG204" i="27"/>
  <c r="EC204" i="27"/>
  <c r="FY204" i="27"/>
  <c r="FY209" i="27"/>
  <c r="CG209" i="27"/>
  <c r="EC209" i="27"/>
  <c r="FY207" i="27"/>
  <c r="EC207" i="27"/>
  <c r="CG207" i="27"/>
  <c r="CG205" i="27"/>
  <c r="EC205" i="27"/>
  <c r="FY205" i="27"/>
  <c r="FY211" i="27"/>
  <c r="CG211" i="27"/>
  <c r="EC211" i="27"/>
  <c r="FY201" i="27"/>
  <c r="CG201" i="27"/>
  <c r="EC201" i="27"/>
  <c r="CG206" i="27"/>
  <c r="FY206" i="27"/>
  <c r="EC206" i="27"/>
  <c r="EC210" i="27"/>
  <c r="CG210" i="27"/>
  <c r="FY210" i="27"/>
  <c r="CG202" i="27"/>
  <c r="FY202" i="27"/>
  <c r="EC202" i="27"/>
  <c r="CG199" i="27"/>
  <c r="FY199" i="27"/>
  <c r="EC199" i="27"/>
  <c r="AT70" i="31"/>
  <c r="AZ70" i="31" s="1"/>
  <c r="BF70" i="31"/>
  <c r="DU36" i="27"/>
  <c r="DW36" i="27"/>
  <c r="FS38" i="27"/>
  <c r="FQ38" i="27"/>
  <c r="DQ40" i="27"/>
  <c r="HO40" i="27"/>
  <c r="HM40" i="27"/>
  <c r="DU39" i="27"/>
  <c r="DW39" i="27"/>
  <c r="HM34" i="27"/>
  <c r="HO34" i="27"/>
  <c r="HG48" i="27"/>
  <c r="GU48" i="27"/>
  <c r="GV48" i="27"/>
  <c r="GT48" i="27"/>
  <c r="FH154" i="27"/>
  <c r="EH154" i="27"/>
  <c r="EG154" i="27"/>
  <c r="EF154" i="27"/>
  <c r="EG159" i="27"/>
  <c r="EH159" i="27"/>
  <c r="EF159" i="27"/>
  <c r="FH159" i="27"/>
  <c r="CJ160" i="27"/>
  <c r="DL160" i="27"/>
  <c r="CL160" i="27"/>
  <c r="CK160" i="27"/>
  <c r="EF152" i="27"/>
  <c r="EH152" i="27"/>
  <c r="EG152" i="27"/>
  <c r="FH152" i="27"/>
  <c r="GB162" i="27"/>
  <c r="GD162" i="27"/>
  <c r="HD162" i="27"/>
  <c r="GC162" i="27"/>
  <c r="CK172" i="27"/>
  <c r="CL172" i="27"/>
  <c r="CJ172" i="27"/>
  <c r="DL172" i="27"/>
  <c r="EF164" i="27"/>
  <c r="EH164" i="27"/>
  <c r="FH164" i="27"/>
  <c r="EG164" i="27"/>
  <c r="HD166" i="27"/>
  <c r="GB166" i="27"/>
  <c r="GD166" i="27"/>
  <c r="GC166" i="27"/>
  <c r="HH51" i="27"/>
  <c r="HB51" i="27"/>
  <c r="HA51" i="27"/>
  <c r="GZ51" i="27"/>
  <c r="EM76" i="27"/>
  <c r="EN76" i="27"/>
  <c r="FI76" i="27"/>
  <c r="EL76" i="27"/>
  <c r="GJ74" i="27"/>
  <c r="HE74" i="27"/>
  <c r="GI74" i="27"/>
  <c r="GH74" i="27"/>
  <c r="FS35" i="27"/>
  <c r="FQ35" i="27"/>
  <c r="DW32" i="27"/>
  <c r="DU32" i="27"/>
  <c r="GT41" i="27"/>
  <c r="GU41" i="27"/>
  <c r="GV41" i="27"/>
  <c r="HG41" i="27"/>
  <c r="GU45" i="27"/>
  <c r="GV45" i="27"/>
  <c r="GT45" i="27"/>
  <c r="HG45" i="27"/>
  <c r="DJ48" i="27"/>
  <c r="DH48" i="27"/>
  <c r="DI48" i="27"/>
  <c r="DP48" i="27"/>
  <c r="EL67" i="27"/>
  <c r="EN67" i="27"/>
  <c r="EM67" i="27"/>
  <c r="FI67" i="27"/>
  <c r="GJ64" i="27"/>
  <c r="HE64" i="27"/>
  <c r="GI64" i="27"/>
  <c r="GH64" i="27"/>
  <c r="DM71" i="27"/>
  <c r="CP71" i="27"/>
  <c r="CR71" i="27"/>
  <c r="CQ71" i="27"/>
  <c r="DM68" i="27"/>
  <c r="CR68" i="27"/>
  <c r="CQ68" i="27"/>
  <c r="CP68" i="27"/>
  <c r="DC58" i="27"/>
  <c r="DB58" i="27"/>
  <c r="DD58" i="27"/>
  <c r="DO58" i="27"/>
  <c r="EY57" i="27"/>
  <c r="FK57" i="27"/>
  <c r="EX57" i="27"/>
  <c r="EZ57" i="27"/>
  <c r="CW65" i="27"/>
  <c r="CV65" i="27"/>
  <c r="DN65" i="27"/>
  <c r="CX65" i="27"/>
  <c r="ES71" i="27"/>
  <c r="ET71" i="27"/>
  <c r="ER71" i="27"/>
  <c r="FJ71" i="27"/>
  <c r="ER69" i="27"/>
  <c r="FJ69" i="27"/>
  <c r="ES69" i="27"/>
  <c r="ET69" i="27"/>
  <c r="CP78" i="27"/>
  <c r="CR78" i="27"/>
  <c r="CQ78" i="27"/>
  <c r="DM78" i="27"/>
  <c r="GI81" i="27"/>
  <c r="GH81" i="27"/>
  <c r="GJ81" i="27"/>
  <c r="HE81" i="27"/>
  <c r="DO52" i="27"/>
  <c r="DB52" i="27"/>
  <c r="DD52" i="27"/>
  <c r="DC52" i="27"/>
  <c r="GP75" i="27"/>
  <c r="HF75" i="27"/>
  <c r="GO75" i="27"/>
  <c r="GN75" i="27"/>
  <c r="GP77" i="27"/>
  <c r="GO77" i="27"/>
  <c r="HF77" i="27"/>
  <c r="GN77" i="27"/>
  <c r="N72" i="31"/>
  <c r="AH72" i="31" s="1"/>
  <c r="AJ68" i="3"/>
  <c r="AL66" i="3"/>
  <c r="P70" i="31"/>
  <c r="HM39" i="27"/>
  <c r="HO39" i="27"/>
  <c r="DW38" i="27"/>
  <c r="DU38" i="27"/>
  <c r="EX55" i="27"/>
  <c r="EY55" i="27"/>
  <c r="FK55" i="27"/>
  <c r="EZ55" i="27"/>
  <c r="EZ53" i="27"/>
  <c r="EY53" i="27"/>
  <c r="FK53" i="27"/>
  <c r="EX53" i="27"/>
  <c r="FE54" i="27"/>
  <c r="FL54" i="27"/>
  <c r="FF54" i="27"/>
  <c r="FD54" i="27"/>
  <c r="CW80" i="27"/>
  <c r="CV80" i="27"/>
  <c r="CX80" i="27"/>
  <c r="DN80" i="27"/>
  <c r="CW82" i="27"/>
  <c r="CV82" i="27"/>
  <c r="CX82" i="27"/>
  <c r="DN82" i="27"/>
  <c r="HB41" i="27"/>
  <c r="HA41" i="27"/>
  <c r="GZ41" i="27"/>
  <c r="HH41" i="27"/>
  <c r="DI45" i="27"/>
  <c r="DJ45" i="27"/>
  <c r="DH45" i="27"/>
  <c r="DP45" i="27"/>
  <c r="HM35" i="27"/>
  <c r="HO35" i="27"/>
  <c r="CX88" i="27"/>
  <c r="CW88" i="27"/>
  <c r="CV88" i="27"/>
  <c r="DN88" i="27"/>
  <c r="ES83" i="27"/>
  <c r="FJ83" i="27"/>
  <c r="ET83" i="27"/>
  <c r="ER83" i="27"/>
  <c r="DJ57" i="27"/>
  <c r="DP57" i="27"/>
  <c r="DI57" i="27"/>
  <c r="DH57" i="27"/>
  <c r="FL56" i="27"/>
  <c r="FE56" i="27"/>
  <c r="FF56" i="27"/>
  <c r="FD56" i="27"/>
  <c r="FI85" i="27"/>
  <c r="EL85" i="27"/>
  <c r="EM85" i="27"/>
  <c r="EN85" i="27"/>
  <c r="HE87" i="27"/>
  <c r="GI87" i="27"/>
  <c r="GJ87" i="27"/>
  <c r="GH87" i="27"/>
  <c r="M75" i="31"/>
  <c r="AG75" i="31" s="1"/>
  <c r="AI71" i="3"/>
  <c r="FS36" i="27"/>
  <c r="FQ40" i="27"/>
  <c r="FS40" i="27"/>
  <c r="HO36" i="27"/>
  <c r="HM36" i="27"/>
  <c r="HM38" i="27"/>
  <c r="HO38" i="27"/>
  <c r="HM37" i="27"/>
  <c r="HO37" i="27"/>
  <c r="FS39" i="27"/>
  <c r="FQ39" i="27"/>
  <c r="BH59" i="31"/>
  <c r="AV59" i="31"/>
  <c r="BB59" i="31" s="1"/>
  <c r="AJ65" i="31"/>
  <c r="Q65" i="31"/>
  <c r="FM32" i="27"/>
  <c r="GN88" i="27"/>
  <c r="GP88" i="27"/>
  <c r="GO88" i="27"/>
  <c r="HF88" i="27"/>
  <c r="ES84" i="27"/>
  <c r="ET84" i="27"/>
  <c r="ER84" i="27"/>
  <c r="FJ84" i="27"/>
  <c r="HA58" i="27"/>
  <c r="GZ58" i="27"/>
  <c r="HB58" i="27"/>
  <c r="HH58" i="27"/>
  <c r="DP56" i="27"/>
  <c r="DH56" i="27"/>
  <c r="DJ56" i="27"/>
  <c r="DI56" i="27"/>
  <c r="GJ83" i="27"/>
  <c r="GH83" i="27"/>
  <c r="GI83" i="27"/>
  <c r="HE83" i="27"/>
  <c r="CP86" i="27"/>
  <c r="CQ86" i="27"/>
  <c r="DM86" i="27"/>
  <c r="CR86" i="27"/>
  <c r="HG53" i="27"/>
  <c r="GU53" i="27"/>
  <c r="GV53" i="27"/>
  <c r="GT53" i="27"/>
  <c r="FF53" i="27"/>
  <c r="FE53" i="27"/>
  <c r="FD53" i="27"/>
  <c r="FL53" i="27"/>
  <c r="FM53" i="27" s="1"/>
  <c r="EX41" i="27"/>
  <c r="EZ41" i="27"/>
  <c r="EY41" i="27"/>
  <c r="FK41" i="27"/>
  <c r="EY44" i="27"/>
  <c r="FK44" i="27"/>
  <c r="EX44" i="27"/>
  <c r="EZ44" i="27"/>
  <c r="DI47" i="27"/>
  <c r="DH47" i="27"/>
  <c r="DJ47" i="27"/>
  <c r="DP47" i="27"/>
  <c r="GJ67" i="27"/>
  <c r="GI67" i="27"/>
  <c r="HE67" i="27"/>
  <c r="GH67" i="27"/>
  <c r="EM65" i="27"/>
  <c r="EL65" i="27"/>
  <c r="FI65" i="27"/>
  <c r="EN65" i="27"/>
  <c r="CQ69" i="27"/>
  <c r="DM69" i="27"/>
  <c r="CP69" i="27"/>
  <c r="CR69" i="27"/>
  <c r="GI68" i="27"/>
  <c r="HE68" i="27"/>
  <c r="GJ68" i="27"/>
  <c r="GH68" i="27"/>
  <c r="DB47" i="27"/>
  <c r="DD47" i="27"/>
  <c r="DC47" i="27"/>
  <c r="DO47" i="27"/>
  <c r="GB154" i="27"/>
  <c r="GC154" i="27"/>
  <c r="GD154" i="27"/>
  <c r="HD154" i="27"/>
  <c r="CL158" i="27"/>
  <c r="CK158" i="27"/>
  <c r="DL158" i="27"/>
  <c r="CJ158" i="27"/>
  <c r="HD155" i="27"/>
  <c r="GD155" i="27"/>
  <c r="GB155" i="27"/>
  <c r="GC155" i="27"/>
  <c r="CJ152" i="27"/>
  <c r="DL152" i="27"/>
  <c r="CL152" i="27"/>
  <c r="CK152" i="27"/>
  <c r="GC168" i="27"/>
  <c r="HD168" i="27"/>
  <c r="GD168" i="27"/>
  <c r="GB168" i="27"/>
  <c r="CJ163" i="27"/>
  <c r="DL163" i="27"/>
  <c r="CL163" i="27"/>
  <c r="CK163" i="27"/>
  <c r="GB164" i="27"/>
  <c r="GD164" i="27"/>
  <c r="GC164" i="27"/>
  <c r="HD164" i="27"/>
  <c r="DL165" i="27"/>
  <c r="CL165" i="27"/>
  <c r="CJ165" i="27"/>
  <c r="CK165" i="27"/>
  <c r="DP52" i="27"/>
  <c r="DJ52" i="27"/>
  <c r="DI52" i="27"/>
  <c r="DH52" i="27"/>
  <c r="GJ76" i="27"/>
  <c r="GH76" i="27"/>
  <c r="GI76" i="27"/>
  <c r="HE76" i="27"/>
  <c r="GH73" i="27"/>
  <c r="GJ73" i="27"/>
  <c r="GI73" i="27"/>
  <c r="HE73" i="27"/>
  <c r="EX59" i="27"/>
  <c r="EZ59" i="27"/>
  <c r="EY59" i="27"/>
  <c r="FK59" i="27"/>
  <c r="GT57" i="27"/>
  <c r="GU57" i="27"/>
  <c r="GV57" i="27"/>
  <c r="HG57" i="27"/>
  <c r="CV64" i="27"/>
  <c r="DN64" i="27"/>
  <c r="CX64" i="27"/>
  <c r="CW64" i="27"/>
  <c r="GO70" i="27"/>
  <c r="GP70" i="27"/>
  <c r="GN70" i="27"/>
  <c r="HF70" i="27"/>
  <c r="CV69" i="27"/>
  <c r="CW69" i="27"/>
  <c r="CX69" i="27"/>
  <c r="DN69" i="27"/>
  <c r="GH79" i="27"/>
  <c r="GI79" i="27"/>
  <c r="HE79" i="27"/>
  <c r="GJ79" i="27"/>
  <c r="DM82" i="27"/>
  <c r="CR82" i="27"/>
  <c r="CQ82" i="27"/>
  <c r="CP82" i="27"/>
  <c r="GT50" i="27"/>
  <c r="GU50" i="27"/>
  <c r="HG50" i="27"/>
  <c r="GV50" i="27"/>
  <c r="CW75" i="27"/>
  <c r="CV75" i="27"/>
  <c r="DN75" i="27"/>
  <c r="CX75" i="27"/>
  <c r="GO74" i="27"/>
  <c r="HF74" i="27"/>
  <c r="GN74" i="27"/>
  <c r="GP74" i="27"/>
  <c r="CV81" i="27"/>
  <c r="DN81" i="27"/>
  <c r="CW81" i="27"/>
  <c r="CX81" i="27"/>
  <c r="FL41" i="27"/>
  <c r="FE41" i="27"/>
  <c r="FD41" i="27"/>
  <c r="FF41" i="27"/>
  <c r="DP42" i="27"/>
  <c r="DJ42" i="27"/>
  <c r="DI42" i="27"/>
  <c r="DH42" i="27"/>
  <c r="FF46" i="27"/>
  <c r="FL46" i="27"/>
  <c r="FD46" i="27"/>
  <c r="FE46" i="27"/>
  <c r="AK65" i="3"/>
  <c r="O69" i="31"/>
  <c r="AI69" i="31" s="1"/>
  <c r="AL63" i="3"/>
  <c r="P67" i="31"/>
  <c r="BG63" i="31"/>
  <c r="AU63" i="31"/>
  <c r="BA63" i="31" s="1"/>
  <c r="AS71" i="31"/>
  <c r="AY71" i="31" s="1"/>
  <c r="BE71" i="31"/>
  <c r="BG60" i="31"/>
  <c r="AU60" i="31"/>
  <c r="BA60" i="31" s="1"/>
  <c r="DW33" i="27"/>
  <c r="DU33" i="27"/>
  <c r="BE67" i="31"/>
  <c r="AS67" i="31"/>
  <c r="AY67" i="31" s="1"/>
  <c r="BD80" i="31"/>
  <c r="AR80" i="31"/>
  <c r="AX80" i="31" s="1"/>
  <c r="BH57" i="31"/>
  <c r="AV57" i="31"/>
  <c r="BB57" i="31" s="1"/>
  <c r="Q60" i="31"/>
  <c r="AJ60" i="31"/>
  <c r="FJ88" i="27"/>
  <c r="ES88" i="27"/>
  <c r="ET88" i="27"/>
  <c r="ER88" i="27"/>
  <c r="GO83" i="27"/>
  <c r="HF83" i="27"/>
  <c r="GP83" i="27"/>
  <c r="GN83" i="27"/>
  <c r="DJ58" i="27"/>
  <c r="DH58" i="27"/>
  <c r="DP58" i="27"/>
  <c r="DI58" i="27"/>
  <c r="GZ56" i="27"/>
  <c r="HA56" i="27"/>
  <c r="HB56" i="27"/>
  <c r="HH56" i="27"/>
  <c r="GI85" i="27"/>
  <c r="GJ85" i="27"/>
  <c r="GH85" i="27"/>
  <c r="HE85" i="27"/>
  <c r="EN86" i="27"/>
  <c r="FI86" i="27"/>
  <c r="EL86" i="27"/>
  <c r="EM86" i="27"/>
  <c r="DD53" i="27"/>
  <c r="DB53" i="27"/>
  <c r="DO53" i="27"/>
  <c r="DC53" i="27"/>
  <c r="DJ54" i="27"/>
  <c r="DI54" i="27"/>
  <c r="DH54" i="27"/>
  <c r="DP54" i="27"/>
  <c r="DC41" i="27"/>
  <c r="DD41" i="27"/>
  <c r="DO41" i="27"/>
  <c r="DB41" i="27"/>
  <c r="DO45" i="27"/>
  <c r="DQ45" i="27" s="1"/>
  <c r="DD45" i="27"/>
  <c r="DB45" i="27"/>
  <c r="DC45" i="27"/>
  <c r="HB47" i="27"/>
  <c r="HH47" i="27"/>
  <c r="GZ47" i="27"/>
  <c r="HA47" i="27"/>
  <c r="CR67" i="27"/>
  <c r="CQ67" i="27"/>
  <c r="DM67" i="27"/>
  <c r="CP67" i="27"/>
  <c r="EN64" i="27"/>
  <c r="EL64" i="27"/>
  <c r="FI64" i="27"/>
  <c r="EM64" i="27"/>
  <c r="GH69" i="27"/>
  <c r="HE69" i="27"/>
  <c r="GI69" i="27"/>
  <c r="GJ69" i="27"/>
  <c r="FI68" i="27"/>
  <c r="EM68" i="27"/>
  <c r="EL68" i="27"/>
  <c r="EN68" i="27"/>
  <c r="GU47" i="27"/>
  <c r="GT47" i="27"/>
  <c r="GV47" i="27"/>
  <c r="HG47" i="27"/>
  <c r="HI47" i="27" s="1"/>
  <c r="CK154" i="27"/>
  <c r="CL154" i="27"/>
  <c r="CJ154" i="27"/>
  <c r="DL154" i="27"/>
  <c r="CL159" i="27"/>
  <c r="CK159" i="27"/>
  <c r="CJ159" i="27"/>
  <c r="DL159" i="27"/>
  <c r="DL155" i="27"/>
  <c r="CJ155" i="27"/>
  <c r="CK155" i="27"/>
  <c r="CL155" i="27"/>
  <c r="GB152" i="27"/>
  <c r="HD152" i="27"/>
  <c r="GC152" i="27"/>
  <c r="GD152" i="27"/>
  <c r="EH162" i="27"/>
  <c r="EF162" i="27"/>
  <c r="FH162" i="27"/>
  <c r="EG162" i="27"/>
  <c r="GC163" i="27"/>
  <c r="GB163" i="27"/>
  <c r="GD163" i="27"/>
  <c r="HD163" i="27"/>
  <c r="DL164" i="27"/>
  <c r="CK164" i="27"/>
  <c r="CL164" i="27"/>
  <c r="CJ164" i="27"/>
  <c r="CK166" i="27"/>
  <c r="DL166" i="27"/>
  <c r="CL166" i="27"/>
  <c r="CJ166" i="27"/>
  <c r="HB52" i="27"/>
  <c r="GZ52" i="27"/>
  <c r="HH52" i="27"/>
  <c r="HA52" i="27"/>
  <c r="CR76" i="27"/>
  <c r="CP76" i="27"/>
  <c r="CQ76" i="27"/>
  <c r="DM76" i="27"/>
  <c r="EN74" i="27"/>
  <c r="FI74" i="27"/>
  <c r="EM74" i="27"/>
  <c r="EL74" i="27"/>
  <c r="AI69" i="3"/>
  <c r="M73" i="31"/>
  <c r="AG73" i="31" s="1"/>
  <c r="GT59" i="27"/>
  <c r="GV59" i="27"/>
  <c r="HG59" i="27"/>
  <c r="GU59" i="27"/>
  <c r="DD57" i="27"/>
  <c r="DB57" i="27"/>
  <c r="DO57" i="27"/>
  <c r="DC57" i="27"/>
  <c r="GN65" i="27"/>
  <c r="HF65" i="27"/>
  <c r="GP65" i="27"/>
  <c r="GO65" i="27"/>
  <c r="CX70" i="27"/>
  <c r="CW70" i="27"/>
  <c r="DN70" i="27"/>
  <c r="CV70" i="27"/>
  <c r="GN69" i="27"/>
  <c r="GO69" i="27"/>
  <c r="GP69" i="27"/>
  <c r="HF69" i="27"/>
  <c r="GH78" i="27"/>
  <c r="GJ78" i="27"/>
  <c r="GI78" i="27"/>
  <c r="HE78" i="27"/>
  <c r="EN82" i="27"/>
  <c r="EL82" i="27"/>
  <c r="FI82" i="27"/>
  <c r="EM82" i="27"/>
  <c r="EX50" i="27"/>
  <c r="FK50" i="27"/>
  <c r="EZ50" i="27"/>
  <c r="EY50" i="27"/>
  <c r="FJ75" i="27"/>
  <c r="ES75" i="27"/>
  <c r="ET75" i="27"/>
  <c r="ER75" i="27"/>
  <c r="FJ77" i="27"/>
  <c r="ES77" i="27"/>
  <c r="ET77" i="27"/>
  <c r="ER77" i="27"/>
  <c r="FJ80" i="27"/>
  <c r="ER80" i="27"/>
  <c r="ES80" i="27"/>
  <c r="ET80" i="27"/>
  <c r="GO81" i="27"/>
  <c r="GN81" i="27"/>
  <c r="GP81" i="27"/>
  <c r="HF81" i="27"/>
  <c r="DJ41" i="27"/>
  <c r="DH41" i="27"/>
  <c r="DP41" i="27"/>
  <c r="DI41" i="27"/>
  <c r="FD45" i="27"/>
  <c r="FF45" i="27"/>
  <c r="FE45" i="27"/>
  <c r="FL45" i="27"/>
  <c r="DI46" i="27"/>
  <c r="DP46" i="27"/>
  <c r="DH46" i="27"/>
  <c r="DJ46" i="27"/>
  <c r="O70" i="31"/>
  <c r="AI70" i="31" s="1"/>
  <c r="AK66" i="3"/>
  <c r="P69" i="31"/>
  <c r="AL65" i="3"/>
  <c r="AU65" i="31"/>
  <c r="BA65" i="31" s="1"/>
  <c r="BG65" i="31"/>
  <c r="BQ9" i="23"/>
  <c r="DW35" i="27"/>
  <c r="DU35" i="27"/>
  <c r="Q61" i="31"/>
  <c r="AJ61" i="31"/>
  <c r="AJ62" i="31"/>
  <c r="Q62" i="31"/>
  <c r="BG64" i="31"/>
  <c r="AU64" i="31"/>
  <c r="BA64" i="31" s="1"/>
  <c r="FM33" i="27"/>
  <c r="AS69" i="31"/>
  <c r="AY69" i="31" s="1"/>
  <c r="BE69" i="31"/>
  <c r="DQ57" i="27"/>
  <c r="FJ87" i="27"/>
  <c r="ES87" i="27"/>
  <c r="ET87" i="27"/>
  <c r="ER87" i="27"/>
  <c r="DN83" i="27"/>
  <c r="CV83" i="27"/>
  <c r="CX83" i="27"/>
  <c r="CW83" i="27"/>
  <c r="HH57" i="27"/>
  <c r="HA57" i="27"/>
  <c r="HB57" i="27"/>
  <c r="GZ57" i="27"/>
  <c r="CR84" i="27"/>
  <c r="CP84" i="27"/>
  <c r="CQ84" i="27"/>
  <c r="DM84" i="27"/>
  <c r="CP85" i="27"/>
  <c r="DM85" i="27"/>
  <c r="CQ85" i="27"/>
  <c r="CR85" i="27"/>
  <c r="EN87" i="27"/>
  <c r="FI87" i="27"/>
  <c r="EL87" i="27"/>
  <c r="EM87" i="27"/>
  <c r="DD55" i="27"/>
  <c r="DB55" i="27"/>
  <c r="DO55" i="27"/>
  <c r="DC55" i="27"/>
  <c r="HH55" i="27"/>
  <c r="GZ55" i="27"/>
  <c r="HB55" i="27"/>
  <c r="HA55" i="27"/>
  <c r="HB54" i="27"/>
  <c r="GZ54" i="27"/>
  <c r="HH54" i="27"/>
  <c r="HA54" i="27"/>
  <c r="GT43" i="27"/>
  <c r="GU43" i="27"/>
  <c r="GV43" i="27"/>
  <c r="HG43" i="27"/>
  <c r="EY45" i="27"/>
  <c r="EZ45" i="27"/>
  <c r="EX45" i="27"/>
  <c r="FK45" i="27"/>
  <c r="GZ48" i="27"/>
  <c r="HA48" i="27"/>
  <c r="HB48" i="27"/>
  <c r="HH48" i="27"/>
  <c r="CP66" i="27"/>
  <c r="CQ66" i="27"/>
  <c r="DM66" i="27"/>
  <c r="CR66" i="27"/>
  <c r="CR64" i="27"/>
  <c r="CP64" i="27"/>
  <c r="DM64" i="27"/>
  <c r="CQ64" i="27"/>
  <c r="FI71" i="27"/>
  <c r="EN71" i="27"/>
  <c r="EL71" i="27"/>
  <c r="EM71" i="27"/>
  <c r="DC48" i="27"/>
  <c r="DB48" i="27"/>
  <c r="DO48" i="27"/>
  <c r="DQ48" i="27" s="1"/>
  <c r="DD48" i="27"/>
  <c r="DL157" i="27"/>
  <c r="CJ157" i="27"/>
  <c r="CK157" i="27"/>
  <c r="CL157" i="27"/>
  <c r="GC159" i="27"/>
  <c r="GB159" i="27"/>
  <c r="HD159" i="27"/>
  <c r="GD159" i="27"/>
  <c r="EH160" i="27"/>
  <c r="FH160" i="27"/>
  <c r="EF160" i="27"/>
  <c r="EG160" i="27"/>
  <c r="GD171" i="27"/>
  <c r="GB171" i="27"/>
  <c r="GC171" i="27"/>
  <c r="HD171" i="27"/>
  <c r="DL162" i="27"/>
  <c r="CK162" i="27"/>
  <c r="CJ162" i="27"/>
  <c r="CL162" i="27"/>
  <c r="EG172" i="27"/>
  <c r="EF172" i="27"/>
  <c r="EH172" i="27"/>
  <c r="FH172" i="27"/>
  <c r="EG169" i="27"/>
  <c r="EF169" i="27"/>
  <c r="FH169" i="27"/>
  <c r="EH169" i="27"/>
  <c r="EG166" i="27"/>
  <c r="EF166" i="27"/>
  <c r="EH166" i="27"/>
  <c r="FH166" i="27"/>
  <c r="FE51" i="27"/>
  <c r="FL51" i="27"/>
  <c r="FD51" i="27"/>
  <c r="FF51" i="27"/>
  <c r="GJ75" i="27"/>
  <c r="GI75" i="27"/>
  <c r="HE75" i="27"/>
  <c r="GH75" i="27"/>
  <c r="CP74" i="27"/>
  <c r="DM74" i="27"/>
  <c r="CR74" i="27"/>
  <c r="CQ74" i="27"/>
  <c r="M74" i="31"/>
  <c r="AG74" i="31" s="1"/>
  <c r="AI70" i="3"/>
  <c r="FK58" i="27"/>
  <c r="EY58" i="27"/>
  <c r="EX58" i="27"/>
  <c r="EZ58" i="27"/>
  <c r="CX67" i="27"/>
  <c r="CW67" i="27"/>
  <c r="CV67" i="27"/>
  <c r="DN67" i="27"/>
  <c r="FJ65" i="27"/>
  <c r="ES65" i="27"/>
  <c r="ER65" i="27"/>
  <c r="ET65" i="27"/>
  <c r="GO71" i="27"/>
  <c r="GP71" i="27"/>
  <c r="GN71" i="27"/>
  <c r="HF71" i="27"/>
  <c r="CX72" i="27"/>
  <c r="CV72" i="27"/>
  <c r="DN72" i="27"/>
  <c r="CW72" i="27"/>
  <c r="EN78" i="27"/>
  <c r="FI78" i="27"/>
  <c r="EM78" i="27"/>
  <c r="EL78" i="27"/>
  <c r="EM81" i="27"/>
  <c r="EN81" i="27"/>
  <c r="EL81" i="27"/>
  <c r="FI81" i="27"/>
  <c r="EZ52" i="27"/>
  <c r="EY52" i="27"/>
  <c r="FK52" i="27"/>
  <c r="EX52" i="27"/>
  <c r="CW73" i="27"/>
  <c r="CV73" i="27"/>
  <c r="CX73" i="27"/>
  <c r="DN73" i="27"/>
  <c r="CW77" i="27"/>
  <c r="DN77" i="27"/>
  <c r="CV77" i="27"/>
  <c r="CX77" i="27"/>
  <c r="GP80" i="27"/>
  <c r="GN80" i="27"/>
  <c r="GO80" i="27"/>
  <c r="HF80" i="27"/>
  <c r="ET82" i="27"/>
  <c r="ES82" i="27"/>
  <c r="ER82" i="27"/>
  <c r="FJ82" i="27"/>
  <c r="FF43" i="27"/>
  <c r="FL43" i="27"/>
  <c r="FD43" i="27"/>
  <c r="FE43" i="27"/>
  <c r="HH45" i="27"/>
  <c r="GZ45" i="27"/>
  <c r="HB45" i="27"/>
  <c r="HA45" i="27"/>
  <c r="N75" i="31"/>
  <c r="AH75" i="31" s="1"/>
  <c r="AJ71" i="3"/>
  <c r="AL64" i="3"/>
  <c r="P68" i="31"/>
  <c r="BQ17" i="23"/>
  <c r="Q64" i="31"/>
  <c r="AJ64" i="31"/>
  <c r="BG61" i="31"/>
  <c r="AU61" i="31"/>
  <c r="BA61" i="31" s="1"/>
  <c r="BG62" i="31"/>
  <c r="AU62" i="31"/>
  <c r="BA62" i="31" s="1"/>
  <c r="BQ25" i="23"/>
  <c r="HO32" i="27"/>
  <c r="CX87" i="27"/>
  <c r="DN87" i="27"/>
  <c r="CV87" i="27"/>
  <c r="CW87" i="27"/>
  <c r="DN85" i="27"/>
  <c r="CV85" i="27"/>
  <c r="CX85" i="27"/>
  <c r="CW85" i="27"/>
  <c r="FF57" i="27"/>
  <c r="FD57" i="27"/>
  <c r="FE57" i="27"/>
  <c r="FL57" i="27"/>
  <c r="FM57" i="27" s="1"/>
  <c r="GH84" i="27"/>
  <c r="GJ84" i="27"/>
  <c r="HE84" i="27"/>
  <c r="GI84" i="27"/>
  <c r="DM88" i="27"/>
  <c r="CQ88" i="27"/>
  <c r="CR88" i="27"/>
  <c r="CP88" i="27"/>
  <c r="CQ87" i="27"/>
  <c r="DM87" i="27"/>
  <c r="CR87" i="27"/>
  <c r="CP87" i="27"/>
  <c r="GU55" i="27"/>
  <c r="HG55" i="27"/>
  <c r="HI55" i="27" s="1"/>
  <c r="GT55" i="27"/>
  <c r="GV55" i="27"/>
  <c r="DP55" i="27"/>
  <c r="DJ55" i="27"/>
  <c r="DI55" i="27"/>
  <c r="DH55" i="27"/>
  <c r="DD43" i="27"/>
  <c r="DB43" i="27"/>
  <c r="DO43" i="27"/>
  <c r="DC43" i="27"/>
  <c r="GU46" i="27"/>
  <c r="HG46" i="27"/>
  <c r="GV46" i="27"/>
  <c r="GT46" i="27"/>
  <c r="FF48" i="27"/>
  <c r="FE48" i="27"/>
  <c r="FL48" i="27"/>
  <c r="FD48" i="27"/>
  <c r="HE66" i="27"/>
  <c r="GJ66" i="27"/>
  <c r="GI66" i="27"/>
  <c r="GH66" i="27"/>
  <c r="HE70" i="27"/>
  <c r="GI70" i="27"/>
  <c r="GH70" i="27"/>
  <c r="GJ70" i="27"/>
  <c r="GI71" i="27"/>
  <c r="GH71" i="27"/>
  <c r="HE71" i="27"/>
  <c r="GJ71" i="27"/>
  <c r="EZ49" i="27"/>
  <c r="EY49" i="27"/>
  <c r="FK49" i="27"/>
  <c r="EX49" i="27"/>
  <c r="EY48" i="27"/>
  <c r="FK48" i="27"/>
  <c r="EZ48" i="27"/>
  <c r="EX48" i="27"/>
  <c r="GD157" i="27"/>
  <c r="HD157" i="27"/>
  <c r="GB157" i="27"/>
  <c r="GC157" i="27"/>
  <c r="CL161" i="27"/>
  <c r="DL161" i="27"/>
  <c r="CK161" i="27"/>
  <c r="CJ161" i="27"/>
  <c r="HD160" i="27"/>
  <c r="GB160" i="27"/>
  <c r="GC160" i="27"/>
  <c r="GD160" i="27"/>
  <c r="CL171" i="27"/>
  <c r="CJ171" i="27"/>
  <c r="DL171" i="27"/>
  <c r="CK171" i="27"/>
  <c r="DL170" i="27"/>
  <c r="CJ170" i="27"/>
  <c r="CL170" i="27"/>
  <c r="CK170" i="27"/>
  <c r="GC172" i="27"/>
  <c r="HD172" i="27"/>
  <c r="GB172" i="27"/>
  <c r="GD172" i="27"/>
  <c r="CK169" i="27"/>
  <c r="CJ169" i="27"/>
  <c r="DL169" i="27"/>
  <c r="CL169" i="27"/>
  <c r="FF50" i="27"/>
  <c r="FE50" i="27"/>
  <c r="FL50" i="27"/>
  <c r="FD50" i="27"/>
  <c r="DI51" i="27"/>
  <c r="DH51" i="27"/>
  <c r="DP51" i="27"/>
  <c r="DJ51" i="27"/>
  <c r="EN75" i="27"/>
  <c r="EL75" i="27"/>
  <c r="FI75" i="27"/>
  <c r="EM75" i="27"/>
  <c r="M72" i="31"/>
  <c r="AG72" i="31" s="1"/>
  <c r="AI68" i="3"/>
  <c r="GU58" i="27"/>
  <c r="GT58" i="27"/>
  <c r="HG58" i="27"/>
  <c r="GV58" i="27"/>
  <c r="GO67" i="27"/>
  <c r="GN67" i="27"/>
  <c r="HF67" i="27"/>
  <c r="GP67" i="27"/>
  <c r="CX66" i="27"/>
  <c r="DN66" i="27"/>
  <c r="CW66" i="27"/>
  <c r="CV66" i="27"/>
  <c r="CW71" i="27"/>
  <c r="DN71" i="27"/>
  <c r="CV71" i="27"/>
  <c r="CX71" i="27"/>
  <c r="FJ72" i="27"/>
  <c r="ES72" i="27"/>
  <c r="ER72" i="27"/>
  <c r="ET72" i="27"/>
  <c r="GJ80" i="27"/>
  <c r="GH80" i="27"/>
  <c r="HE80" i="27"/>
  <c r="GI80" i="27"/>
  <c r="CR81" i="27"/>
  <c r="DM81" i="27"/>
  <c r="CP81" i="27"/>
  <c r="CQ81" i="27"/>
  <c r="GU52" i="27"/>
  <c r="GV52" i="27"/>
  <c r="HG52" i="27"/>
  <c r="HI52" i="27" s="1"/>
  <c r="GT52" i="27"/>
  <c r="GO73" i="27"/>
  <c r="HF73" i="27"/>
  <c r="GN73" i="27"/>
  <c r="GP73" i="27"/>
  <c r="DN76" i="27"/>
  <c r="CV76" i="27"/>
  <c r="CW76" i="27"/>
  <c r="CX76" i="27"/>
  <c r="HF79" i="27"/>
  <c r="GO79" i="27"/>
  <c r="GP79" i="27"/>
  <c r="GN79" i="27"/>
  <c r="HF82" i="27"/>
  <c r="GO82" i="27"/>
  <c r="GP82" i="27"/>
  <c r="GN82" i="27"/>
  <c r="HA43" i="27"/>
  <c r="HB43" i="27"/>
  <c r="GZ43" i="27"/>
  <c r="HH43" i="27"/>
  <c r="HB44" i="27"/>
  <c r="GZ44" i="27"/>
  <c r="HH44" i="27"/>
  <c r="HA44" i="27"/>
  <c r="O71" i="31"/>
  <c r="AI71" i="31" s="1"/>
  <c r="AK67" i="3"/>
  <c r="N74" i="31"/>
  <c r="AH74" i="31" s="1"/>
  <c r="AJ70" i="3"/>
  <c r="AL67" i="3"/>
  <c r="P71" i="31"/>
  <c r="BE68" i="31"/>
  <c r="AS68" i="31"/>
  <c r="AY68" i="31" s="1"/>
  <c r="BF67" i="31"/>
  <c r="AT67" i="31"/>
  <c r="AZ67" i="31" s="1"/>
  <c r="HM23" i="27"/>
  <c r="HO23" i="27"/>
  <c r="BF68" i="31"/>
  <c r="AT68" i="31"/>
  <c r="AZ68" i="31" s="1"/>
  <c r="BF71" i="31"/>
  <c r="AT71" i="31"/>
  <c r="AZ71" i="31" s="1"/>
  <c r="CW86" i="27"/>
  <c r="CX86" i="27"/>
  <c r="DN86" i="27"/>
  <c r="CV86" i="27"/>
  <c r="GN87" i="27"/>
  <c r="GO87" i="27"/>
  <c r="HF87" i="27"/>
  <c r="GP87" i="27"/>
  <c r="ES85" i="27"/>
  <c r="FJ85" i="27"/>
  <c r="ER85" i="27"/>
  <c r="ET85" i="27"/>
  <c r="HB59" i="27"/>
  <c r="HH59" i="27"/>
  <c r="HI59" i="27" s="1"/>
  <c r="HA59" i="27"/>
  <c r="GZ59" i="27"/>
  <c r="EN84" i="27"/>
  <c r="EL84" i="27"/>
  <c r="FI84" i="27"/>
  <c r="EM84" i="27"/>
  <c r="GI88" i="27"/>
  <c r="GJ88" i="27"/>
  <c r="GH88" i="27"/>
  <c r="HE88" i="27"/>
  <c r="H17" i="3"/>
  <c r="I17" i="3" s="1"/>
  <c r="S17" i="3"/>
  <c r="GU54" i="27"/>
  <c r="GV54" i="27"/>
  <c r="HG54" i="27"/>
  <c r="GT54" i="27"/>
  <c r="FL55" i="27"/>
  <c r="FE55" i="27"/>
  <c r="FD55" i="27"/>
  <c r="FF55" i="27"/>
  <c r="EY42" i="27"/>
  <c r="EX42" i="27"/>
  <c r="FK42" i="27"/>
  <c r="EZ42" i="27"/>
  <c r="FK43" i="27"/>
  <c r="EZ43" i="27"/>
  <c r="EX43" i="27"/>
  <c r="EY43" i="27"/>
  <c r="FK46" i="27"/>
  <c r="FM46" i="27" s="1"/>
  <c r="EY46" i="27"/>
  <c r="EX46" i="27"/>
  <c r="EZ46" i="27"/>
  <c r="DJ49" i="27"/>
  <c r="DH49" i="27"/>
  <c r="DP49" i="27"/>
  <c r="DI49" i="27"/>
  <c r="EN66" i="27"/>
  <c r="FI66" i="27"/>
  <c r="EL66" i="27"/>
  <c r="EM66" i="27"/>
  <c r="CQ70" i="27"/>
  <c r="DM70" i="27"/>
  <c r="CR70" i="27"/>
  <c r="CP70" i="27"/>
  <c r="GI72" i="27"/>
  <c r="HE72" i="27"/>
  <c r="GJ72" i="27"/>
  <c r="GH72" i="27"/>
  <c r="DC49" i="27"/>
  <c r="DD49" i="27"/>
  <c r="DB49" i="27"/>
  <c r="DO49" i="27"/>
  <c r="FH156" i="27"/>
  <c r="EF156" i="27"/>
  <c r="EG156" i="27"/>
  <c r="EH156" i="27"/>
  <c r="EF157" i="27"/>
  <c r="EH157" i="27"/>
  <c r="FH157" i="27"/>
  <c r="EG157" i="27"/>
  <c r="EF161" i="27"/>
  <c r="EG161" i="27"/>
  <c r="FH161" i="27"/>
  <c r="EH161" i="27"/>
  <c r="EH153" i="27"/>
  <c r="EG153" i="27"/>
  <c r="FH153" i="27"/>
  <c r="EF153" i="27"/>
  <c r="EG171" i="27"/>
  <c r="EH171" i="27"/>
  <c r="EF171" i="27"/>
  <c r="FH171" i="27"/>
  <c r="HD170" i="27"/>
  <c r="GB170" i="27"/>
  <c r="GD170" i="27"/>
  <c r="GC170" i="27"/>
  <c r="HD167" i="27"/>
  <c r="GC167" i="27"/>
  <c r="GD167" i="27"/>
  <c r="GB167" i="27"/>
  <c r="GB169" i="27"/>
  <c r="GD169" i="27"/>
  <c r="HD169" i="27"/>
  <c r="GC169" i="27"/>
  <c r="HA50" i="27"/>
  <c r="HH50" i="27"/>
  <c r="HI50" i="27" s="1"/>
  <c r="HB50" i="27"/>
  <c r="GZ50" i="27"/>
  <c r="EM77" i="27"/>
  <c r="EN77" i="27"/>
  <c r="FI77" i="27"/>
  <c r="EL77" i="27"/>
  <c r="CQ75" i="27"/>
  <c r="CR75" i="27"/>
  <c r="DM75" i="27"/>
  <c r="CP75" i="27"/>
  <c r="DC56" i="27"/>
  <c r="DD56" i="27"/>
  <c r="DO56" i="27"/>
  <c r="DB56" i="27"/>
  <c r="ET67" i="27"/>
  <c r="ER67" i="27"/>
  <c r="ES67" i="27"/>
  <c r="FJ67" i="27"/>
  <c r="ER66" i="27"/>
  <c r="ET66" i="27"/>
  <c r="ES66" i="27"/>
  <c r="FJ66" i="27"/>
  <c r="CW68" i="27"/>
  <c r="CX68" i="27"/>
  <c r="DN68" i="27"/>
  <c r="CV68" i="27"/>
  <c r="GO72" i="27"/>
  <c r="GN72" i="27"/>
  <c r="GP72" i="27"/>
  <c r="HF72" i="27"/>
  <c r="FI80" i="27"/>
  <c r="EN80" i="27"/>
  <c r="EM80" i="27"/>
  <c r="EL80" i="27"/>
  <c r="DO51" i="27"/>
  <c r="DD51" i="27"/>
  <c r="DB51" i="27"/>
  <c r="DC51" i="27"/>
  <c r="ES73" i="27"/>
  <c r="ER73" i="27"/>
  <c r="FJ73" i="27"/>
  <c r="ET73" i="27"/>
  <c r="ES76" i="27"/>
  <c r="ET76" i="27"/>
  <c r="FJ76" i="27"/>
  <c r="ER76" i="27"/>
  <c r="CX79" i="27"/>
  <c r="DN79" i="27"/>
  <c r="CV79" i="27"/>
  <c r="CW79" i="27"/>
  <c r="GO78" i="27"/>
  <c r="GP78" i="27"/>
  <c r="HF78" i="27"/>
  <c r="GN78" i="27"/>
  <c r="DP43" i="27"/>
  <c r="DH43" i="27"/>
  <c r="DJ43" i="27"/>
  <c r="DI43" i="27"/>
  <c r="DH44" i="27"/>
  <c r="DP44" i="27"/>
  <c r="DI44" i="27"/>
  <c r="DJ44" i="27"/>
  <c r="O66" i="31"/>
  <c r="AI66" i="31" s="1"/>
  <c r="AK62" i="3"/>
  <c r="N73" i="31"/>
  <c r="AH73" i="31" s="1"/>
  <c r="AJ69" i="3"/>
  <c r="L82" i="31"/>
  <c r="AF82" i="31" s="1"/>
  <c r="AH78" i="3"/>
  <c r="BE70" i="31"/>
  <c r="AS70" i="31"/>
  <c r="AY70" i="31" s="1"/>
  <c r="Q63" i="31"/>
  <c r="AJ63" i="31"/>
  <c r="BH58" i="31"/>
  <c r="AV58" i="31"/>
  <c r="BB58" i="31" s="1"/>
  <c r="BQ24" i="23"/>
  <c r="AT69" i="31"/>
  <c r="AZ69" i="31" s="1"/>
  <c r="BF69" i="31"/>
  <c r="ER86" i="27"/>
  <c r="ET86" i="27"/>
  <c r="FJ86" i="27"/>
  <c r="ES86" i="27"/>
  <c r="GP84" i="27"/>
  <c r="GN84" i="27"/>
  <c r="HF84" i="27"/>
  <c r="GO84" i="27"/>
  <c r="GO85" i="27"/>
  <c r="HF85" i="27"/>
  <c r="GP85" i="27"/>
  <c r="GN85" i="27"/>
  <c r="FE59" i="27"/>
  <c r="FL59" i="27"/>
  <c r="FF59" i="27"/>
  <c r="FD59" i="27"/>
  <c r="CR83" i="27"/>
  <c r="CP83" i="27"/>
  <c r="DM83" i="27"/>
  <c r="CQ83" i="27"/>
  <c r="EN88" i="27"/>
  <c r="FI88" i="27"/>
  <c r="EM88" i="27"/>
  <c r="EL88" i="27"/>
  <c r="DC54" i="27"/>
  <c r="DD54" i="27"/>
  <c r="DO54" i="27"/>
  <c r="DB54" i="27"/>
  <c r="HB53" i="27"/>
  <c r="GZ53" i="27"/>
  <c r="HA53" i="27"/>
  <c r="HH53" i="27"/>
  <c r="HI53" i="27" s="1"/>
  <c r="DC42" i="27"/>
  <c r="DB42" i="27"/>
  <c r="DD42" i="27"/>
  <c r="DO42" i="27"/>
  <c r="DC44" i="27"/>
  <c r="DB44" i="27"/>
  <c r="DD44" i="27"/>
  <c r="DO44" i="27"/>
  <c r="DQ44" i="27" s="1"/>
  <c r="DC46" i="27"/>
  <c r="DD46" i="27"/>
  <c r="DB46" i="27"/>
  <c r="DO46" i="27"/>
  <c r="HB49" i="27"/>
  <c r="HH49" i="27"/>
  <c r="GZ49" i="27"/>
  <c r="HA49" i="27"/>
  <c r="GJ65" i="27"/>
  <c r="HE65" i="27"/>
  <c r="GI65" i="27"/>
  <c r="GH65" i="27"/>
  <c r="EN70" i="27"/>
  <c r="EM70" i="27"/>
  <c r="EL70" i="27"/>
  <c r="FI70" i="27"/>
  <c r="FI72" i="27"/>
  <c r="EM72" i="27"/>
  <c r="EL72" i="27"/>
  <c r="EN72" i="27"/>
  <c r="GT49" i="27"/>
  <c r="GU49" i="27"/>
  <c r="HG49" i="27"/>
  <c r="GV49" i="27"/>
  <c r="CJ156" i="27"/>
  <c r="CL156" i="27"/>
  <c r="CK156" i="27"/>
  <c r="DL156" i="27"/>
  <c r="EF158" i="27"/>
  <c r="FH158" i="27"/>
  <c r="EH158" i="27"/>
  <c r="EG158" i="27"/>
  <c r="GB161" i="27"/>
  <c r="GC161" i="27"/>
  <c r="GD161" i="27"/>
  <c r="HD161" i="27"/>
  <c r="GD153" i="27"/>
  <c r="HD153" i="27"/>
  <c r="GB153" i="27"/>
  <c r="GC153" i="27"/>
  <c r="FH168" i="27"/>
  <c r="EG168" i="27"/>
  <c r="EF168" i="27"/>
  <c r="EH168" i="27"/>
  <c r="EG170" i="27"/>
  <c r="FH170" i="27"/>
  <c r="EH170" i="27"/>
  <c r="EF170" i="27"/>
  <c r="FH167" i="27"/>
  <c r="EG167" i="27"/>
  <c r="EH167" i="27"/>
  <c r="EF167" i="27"/>
  <c r="GD165" i="27"/>
  <c r="GC165" i="27"/>
  <c r="GB165" i="27"/>
  <c r="HD165" i="27"/>
  <c r="DP50" i="27"/>
  <c r="DJ50" i="27"/>
  <c r="DI50" i="27"/>
  <c r="DH50" i="27"/>
  <c r="GJ77" i="27"/>
  <c r="GI77" i="27"/>
  <c r="GH77" i="27"/>
  <c r="HE77" i="27"/>
  <c r="DM73" i="27"/>
  <c r="CQ73" i="27"/>
  <c r="CR73" i="27"/>
  <c r="CP73" i="27"/>
  <c r="GU56" i="27"/>
  <c r="GV56" i="27"/>
  <c r="GT56" i="27"/>
  <c r="HG56" i="27"/>
  <c r="GP64" i="27"/>
  <c r="HF64" i="27"/>
  <c r="GN64" i="27"/>
  <c r="GO64" i="27"/>
  <c r="GN66" i="27"/>
  <c r="GP66" i="27"/>
  <c r="HF66" i="27"/>
  <c r="GO66" i="27"/>
  <c r="ES68" i="27"/>
  <c r="ER68" i="27"/>
  <c r="ET68" i="27"/>
  <c r="FJ68" i="27"/>
  <c r="CQ79" i="27"/>
  <c r="CP79" i="27"/>
  <c r="DM79" i="27"/>
  <c r="CR79" i="27"/>
  <c r="CR80" i="27"/>
  <c r="CQ80" i="27"/>
  <c r="CP80" i="27"/>
  <c r="DM80" i="27"/>
  <c r="GU51" i="27"/>
  <c r="GT51" i="27"/>
  <c r="HG51" i="27"/>
  <c r="GV51" i="27"/>
  <c r="CV74" i="27"/>
  <c r="DN74" i="27"/>
  <c r="CX74" i="27"/>
  <c r="CW74" i="27"/>
  <c r="GN76" i="27"/>
  <c r="GO76" i="27"/>
  <c r="GP76" i="27"/>
  <c r="HF76" i="27"/>
  <c r="ET79" i="27"/>
  <c r="ES79" i="27"/>
  <c r="ER79" i="27"/>
  <c r="FJ79" i="27"/>
  <c r="CW78" i="27"/>
  <c r="CV78" i="27"/>
  <c r="DN78" i="27"/>
  <c r="CX78" i="27"/>
  <c r="GZ42" i="27"/>
  <c r="HH42" i="27"/>
  <c r="HB42" i="27"/>
  <c r="HA42" i="27"/>
  <c r="FE44" i="27"/>
  <c r="FD44" i="27"/>
  <c r="FL44" i="27"/>
  <c r="FM44" i="27" s="1"/>
  <c r="FF44" i="27"/>
  <c r="O67" i="31"/>
  <c r="AI67" i="31" s="1"/>
  <c r="AK63" i="3"/>
  <c r="N76" i="31"/>
  <c r="AH76" i="31" s="1"/>
  <c r="AJ72" i="3"/>
  <c r="L84" i="31"/>
  <c r="AF84" i="31" s="1"/>
  <c r="AH80" i="3"/>
  <c r="DQ51" i="27"/>
  <c r="HI33" i="27"/>
  <c r="BD81" i="31"/>
  <c r="AR81" i="31"/>
  <c r="AX81" i="31" s="1"/>
  <c r="H22" i="5"/>
  <c r="R22" i="5" s="1"/>
  <c r="BH56" i="31"/>
  <c r="AV56" i="31"/>
  <c r="BB56" i="31" s="1"/>
  <c r="GO86" i="27"/>
  <c r="GP86" i="27"/>
  <c r="GN86" i="27"/>
  <c r="HF86" i="27"/>
  <c r="CV84" i="27"/>
  <c r="CW84" i="27"/>
  <c r="CX84" i="27"/>
  <c r="DN84" i="27"/>
  <c r="FF58" i="27"/>
  <c r="FE58" i="27"/>
  <c r="FL58" i="27"/>
  <c r="FD58" i="27"/>
  <c r="DH59" i="27"/>
  <c r="DI59" i="27"/>
  <c r="DJ59" i="27"/>
  <c r="DP59" i="27"/>
  <c r="EL83" i="27"/>
  <c r="FI83" i="27"/>
  <c r="EM83" i="27"/>
  <c r="EN83" i="27"/>
  <c r="GI86" i="27"/>
  <c r="GJ86" i="27"/>
  <c r="GH86" i="27"/>
  <c r="HE86" i="27"/>
  <c r="EX54" i="27"/>
  <c r="EY54" i="27"/>
  <c r="FK54" i="27"/>
  <c r="EZ54" i="27"/>
  <c r="DI53" i="27"/>
  <c r="DJ53" i="27"/>
  <c r="DH53" i="27"/>
  <c r="DP53" i="27"/>
  <c r="DQ53" i="27" s="1"/>
  <c r="GV42" i="27"/>
  <c r="GU42" i="27"/>
  <c r="HG42" i="27"/>
  <c r="GT42" i="27"/>
  <c r="GV44" i="27"/>
  <c r="GU44" i="27"/>
  <c r="GT44" i="27"/>
  <c r="HG44" i="27"/>
  <c r="HI44" i="27" s="1"/>
  <c r="FL47" i="27"/>
  <c r="FD47" i="27"/>
  <c r="FF47" i="27"/>
  <c r="FE47" i="27"/>
  <c r="FE49" i="27"/>
  <c r="FD49" i="27"/>
  <c r="FF49" i="27"/>
  <c r="FL49" i="27"/>
  <c r="CP65" i="27"/>
  <c r="DM65" i="27"/>
  <c r="CR65" i="27"/>
  <c r="CQ65" i="27"/>
  <c r="EM69" i="27"/>
  <c r="EN69" i="27"/>
  <c r="FI69" i="27"/>
  <c r="EL69" i="27"/>
  <c r="CQ72" i="27"/>
  <c r="DM72" i="27"/>
  <c r="CP72" i="27"/>
  <c r="CR72" i="27"/>
  <c r="FK47" i="27"/>
  <c r="EY47" i="27"/>
  <c r="EZ47" i="27"/>
  <c r="EX47" i="27"/>
  <c r="GB156" i="27"/>
  <c r="GC156" i="27"/>
  <c r="HD156" i="27"/>
  <c r="GD156" i="27"/>
  <c r="GC158" i="27"/>
  <c r="HD158" i="27"/>
  <c r="GB158" i="27"/>
  <c r="GD158" i="27"/>
  <c r="EH155" i="27"/>
  <c r="FH155" i="27"/>
  <c r="EG155" i="27"/>
  <c r="EF155" i="27"/>
  <c r="CJ153" i="27"/>
  <c r="CK153" i="27"/>
  <c r="CL153" i="27"/>
  <c r="DL153" i="27"/>
  <c r="CL168" i="27"/>
  <c r="DL168" i="27"/>
  <c r="CK168" i="27"/>
  <c r="CJ168" i="27"/>
  <c r="EH163" i="27"/>
  <c r="FH163" i="27"/>
  <c r="EG163" i="27"/>
  <c r="EF163" i="27"/>
  <c r="CL167" i="27"/>
  <c r="CK167" i="27"/>
  <c r="DL167" i="27"/>
  <c r="CJ167" i="27"/>
  <c r="FH165" i="27"/>
  <c r="EG165" i="27"/>
  <c r="EF165" i="27"/>
  <c r="EH165" i="27"/>
  <c r="FL52" i="27"/>
  <c r="FF52" i="27"/>
  <c r="FE52" i="27"/>
  <c r="FD52" i="27"/>
  <c r="CP77" i="27"/>
  <c r="CQ77" i="27"/>
  <c r="DM77" i="27"/>
  <c r="CR77" i="27"/>
  <c r="EN73" i="27"/>
  <c r="EM73" i="27"/>
  <c r="FI73" i="27"/>
  <c r="EL73" i="27"/>
  <c r="DB59" i="27"/>
  <c r="DC59" i="27"/>
  <c r="DO59" i="27"/>
  <c r="DD59" i="27"/>
  <c r="FK56" i="27"/>
  <c r="EZ56" i="27"/>
  <c r="EY56" i="27"/>
  <c r="EX56" i="27"/>
  <c r="ES64" i="27"/>
  <c r="FJ64" i="27"/>
  <c r="ET64" i="27"/>
  <c r="ER64" i="27"/>
  <c r="ET70" i="27"/>
  <c r="ER70" i="27"/>
  <c r="FJ70" i="27"/>
  <c r="ES70" i="27"/>
  <c r="GO68" i="27"/>
  <c r="HF68" i="27"/>
  <c r="GN68" i="27"/>
  <c r="GP68" i="27"/>
  <c r="EM79" i="27"/>
  <c r="EL79" i="27"/>
  <c r="FI79" i="27"/>
  <c r="EN79" i="27"/>
  <c r="GI82" i="27"/>
  <c r="HE82" i="27"/>
  <c r="GJ82" i="27"/>
  <c r="GH82" i="27"/>
  <c r="DC50" i="27"/>
  <c r="DB50" i="27"/>
  <c r="DO50" i="27"/>
  <c r="DQ50" i="27" s="1"/>
  <c r="DD50" i="27"/>
  <c r="EZ51" i="27"/>
  <c r="EX51" i="27"/>
  <c r="EY51" i="27"/>
  <c r="FK51" i="27"/>
  <c r="FM51" i="27" s="1"/>
  <c r="FJ74" i="27"/>
  <c r="ES74" i="27"/>
  <c r="ER74" i="27"/>
  <c r="ET74" i="27"/>
  <c r="ER81" i="27"/>
  <c r="ET81" i="27"/>
  <c r="ES81" i="27"/>
  <c r="FJ81" i="27"/>
  <c r="ER78" i="27"/>
  <c r="FJ78" i="27"/>
  <c r="ES78" i="27"/>
  <c r="ET78" i="27"/>
  <c r="FF42" i="27"/>
  <c r="FD42" i="27"/>
  <c r="FL42" i="27"/>
  <c r="FE42" i="27"/>
  <c r="HA46" i="27"/>
  <c r="HB46" i="27"/>
  <c r="HH46" i="27"/>
  <c r="GZ46" i="27"/>
  <c r="O68" i="31"/>
  <c r="AI68" i="31" s="1"/>
  <c r="AK64" i="3"/>
  <c r="P66" i="31"/>
  <c r="AL62" i="3"/>
  <c r="AH79" i="3"/>
  <c r="L83" i="31"/>
  <c r="AF83" i="31" s="1"/>
  <c r="I22" i="5"/>
  <c r="S22" i="5" s="1"/>
  <c r="K21" i="5"/>
  <c r="U21" i="5" s="1"/>
  <c r="G25" i="5"/>
  <c r="Q25" i="5" s="1"/>
  <c r="J21" i="5"/>
  <c r="T21" i="5" s="1"/>
  <c r="Z133" i="27"/>
  <c r="Z136" i="27"/>
  <c r="AO196" i="3"/>
  <c r="AQ63" i="3"/>
  <c r="AP82" i="3"/>
  <c r="L213" i="27"/>
  <c r="AG102" i="27"/>
  <c r="AG108" i="27"/>
  <c r="AP85" i="3"/>
  <c r="AO186" i="3"/>
  <c r="AP77" i="3"/>
  <c r="L241" i="27"/>
  <c r="AO202" i="3"/>
  <c r="Z151" i="27"/>
  <c r="AR37" i="3"/>
  <c r="Z144" i="27"/>
  <c r="AO205" i="3"/>
  <c r="AB75" i="5"/>
  <c r="AQ77" i="3"/>
  <c r="L244" i="27"/>
  <c r="AG105" i="27"/>
  <c r="AP97" i="3"/>
  <c r="AG114" i="27"/>
  <c r="AS24" i="3"/>
  <c r="AO181" i="3"/>
  <c r="Y78" i="5"/>
  <c r="L258" i="27"/>
  <c r="Z141" i="27"/>
  <c r="Z131" i="27"/>
  <c r="S138" i="27"/>
  <c r="S127" i="27"/>
  <c r="S141" i="27"/>
  <c r="S144" i="27"/>
  <c r="AN107" i="27"/>
  <c r="AN105" i="27"/>
  <c r="AA73" i="5"/>
  <c r="L223" i="27"/>
  <c r="S116" i="27"/>
  <c r="Z126" i="27"/>
  <c r="AO187" i="3"/>
  <c r="AN103" i="27"/>
  <c r="AN89" i="27"/>
  <c r="AP91" i="3"/>
  <c r="AG107" i="27"/>
  <c r="AR42" i="3"/>
  <c r="AP80" i="3"/>
  <c r="Z125" i="27"/>
  <c r="AG115" i="27"/>
  <c r="AS26" i="3"/>
  <c r="S123" i="27"/>
  <c r="S128" i="27"/>
  <c r="AO198" i="3"/>
  <c r="AO185" i="3"/>
  <c r="L222" i="27"/>
  <c r="AR41" i="3"/>
  <c r="AP83" i="3"/>
  <c r="AO203" i="3"/>
  <c r="S124" i="27"/>
  <c r="AG92" i="27"/>
  <c r="AO178" i="3"/>
  <c r="AO173" i="3"/>
  <c r="L251" i="27"/>
  <c r="AO208" i="3"/>
  <c r="AR39" i="3"/>
  <c r="Z142" i="27"/>
  <c r="L255" i="27"/>
  <c r="S136" i="27"/>
  <c r="L228" i="27"/>
  <c r="AN93" i="27"/>
  <c r="S147" i="27"/>
  <c r="L229" i="27"/>
  <c r="L240" i="27"/>
  <c r="AG104" i="27"/>
  <c r="AQ83" i="3"/>
  <c r="AQ66" i="3"/>
  <c r="AP81" i="3"/>
  <c r="AN99" i="27"/>
  <c r="Z150" i="27"/>
  <c r="L249" i="27"/>
  <c r="AQ82" i="3"/>
  <c r="AR35" i="3"/>
  <c r="AS27" i="3"/>
  <c r="AS21" i="3"/>
  <c r="AO174" i="3"/>
  <c r="AO197" i="3"/>
  <c r="AA74" i="5"/>
  <c r="S132" i="27"/>
  <c r="AO199" i="3"/>
  <c r="AQ65" i="3"/>
  <c r="L256" i="27"/>
  <c r="Z148" i="27"/>
  <c r="AR33" i="3"/>
  <c r="AO188" i="3"/>
  <c r="AQ81" i="3"/>
  <c r="L217" i="27"/>
  <c r="X85" i="5"/>
  <c r="AQ71" i="3"/>
  <c r="S118" i="27"/>
  <c r="R22" i="3"/>
  <c r="AR34" i="3"/>
  <c r="AB74" i="5"/>
  <c r="AR38" i="3"/>
  <c r="AR46" i="3"/>
  <c r="S143" i="27"/>
  <c r="S130" i="27"/>
  <c r="L252" i="27"/>
  <c r="S148" i="27"/>
  <c r="AQ78" i="3"/>
  <c r="Z134" i="27"/>
  <c r="AQ75" i="3"/>
  <c r="AG103" i="27"/>
  <c r="AO193" i="3"/>
  <c r="Z137" i="27"/>
  <c r="Z143" i="27"/>
  <c r="L236" i="27"/>
  <c r="AG111" i="27"/>
  <c r="AO182" i="3"/>
  <c r="S134" i="27"/>
  <c r="AP84" i="3"/>
  <c r="AN90" i="27"/>
  <c r="L246" i="27"/>
  <c r="AP98" i="3"/>
  <c r="AG89" i="27"/>
  <c r="AP78" i="3"/>
  <c r="AO191" i="3"/>
  <c r="L218" i="27"/>
  <c r="L235" i="27"/>
  <c r="AP89" i="3"/>
  <c r="AO177" i="3"/>
  <c r="AO172" i="3"/>
  <c r="AG93" i="27"/>
  <c r="AQ76" i="3"/>
  <c r="L257" i="27"/>
  <c r="S119" i="27"/>
  <c r="L254" i="27"/>
  <c r="AQ68" i="3"/>
  <c r="AN98" i="27"/>
  <c r="AG97" i="27"/>
  <c r="L239" i="27"/>
  <c r="AG106" i="27"/>
  <c r="AQ67" i="3"/>
  <c r="AQ84" i="3"/>
  <c r="AO207" i="3"/>
  <c r="AQ80" i="3"/>
  <c r="S145" i="27"/>
  <c r="AP88" i="3"/>
  <c r="AQ85" i="3"/>
  <c r="L220" i="27"/>
  <c r="L227" i="27"/>
  <c r="AR45" i="3"/>
  <c r="L250" i="27"/>
  <c r="AG94" i="27"/>
  <c r="AQ79" i="3"/>
  <c r="S131" i="27"/>
  <c r="AN113" i="27"/>
  <c r="AG91" i="27"/>
  <c r="AP76" i="3"/>
  <c r="S117" i="27"/>
  <c r="S133" i="27"/>
  <c r="AP93" i="3"/>
  <c r="Z145" i="27"/>
  <c r="AR32" i="3"/>
  <c r="AO175" i="3"/>
  <c r="L242" i="27"/>
  <c r="L230" i="27"/>
  <c r="Z78" i="5"/>
  <c r="AQ69" i="3"/>
  <c r="AB73" i="5"/>
  <c r="AR40" i="3"/>
  <c r="AS19" i="3"/>
  <c r="L238" i="27"/>
  <c r="AP87" i="3"/>
  <c r="S142" i="27"/>
  <c r="AO206" i="3"/>
  <c r="Z149" i="27"/>
  <c r="AP79" i="3"/>
  <c r="S146" i="27"/>
  <c r="AG113" i="27"/>
  <c r="AR43" i="3"/>
  <c r="Z130" i="27"/>
  <c r="Y77" i="5"/>
  <c r="L232" i="27"/>
  <c r="AN102" i="27"/>
  <c r="AG90" i="27"/>
  <c r="L245" i="27"/>
  <c r="Z146" i="27"/>
  <c r="AO200" i="3"/>
  <c r="S125" i="27"/>
  <c r="S129" i="27"/>
  <c r="AO171" i="3"/>
  <c r="AO204" i="3"/>
  <c r="AG98" i="27"/>
  <c r="AQ73" i="3"/>
  <c r="AO176" i="3"/>
  <c r="AA75" i="5"/>
  <c r="S140" i="27"/>
  <c r="L233" i="27"/>
  <c r="L247" i="27"/>
  <c r="L219" i="27"/>
  <c r="AG110" i="27"/>
  <c r="AN94" i="27"/>
  <c r="L226" i="27"/>
  <c r="Z139" i="27"/>
  <c r="AO195" i="3"/>
  <c r="AP96" i="3"/>
  <c r="S120" i="27"/>
  <c r="L253" i="27"/>
  <c r="AO201" i="3"/>
  <c r="AN101" i="27"/>
  <c r="AO183" i="3"/>
  <c r="AN100" i="27"/>
  <c r="AN96" i="27"/>
  <c r="AS25" i="3"/>
  <c r="L234" i="27"/>
  <c r="S139" i="27"/>
  <c r="AQ74" i="3"/>
  <c r="Z147" i="27"/>
  <c r="AG96" i="27"/>
  <c r="AN110" i="27"/>
  <c r="AG99" i="27"/>
  <c r="AN111" i="27"/>
  <c r="S135" i="27"/>
  <c r="S121" i="27"/>
  <c r="S122" i="27"/>
  <c r="AO184" i="3"/>
  <c r="S150" i="27"/>
  <c r="AN115" i="27"/>
  <c r="S151" i="27"/>
  <c r="AN91" i="27"/>
  <c r="AS22" i="3"/>
  <c r="AN97" i="27"/>
  <c r="S149" i="27"/>
  <c r="AP86" i="3"/>
  <c r="AN92" i="27"/>
  <c r="Z124" i="27"/>
  <c r="AN95" i="27"/>
  <c r="AN109" i="27"/>
  <c r="AS23" i="3"/>
  <c r="AP94" i="3"/>
  <c r="L215" i="27"/>
  <c r="S126" i="27"/>
  <c r="Z127" i="27"/>
  <c r="L224" i="27"/>
  <c r="AG100" i="27"/>
  <c r="AR44" i="3"/>
  <c r="Z135" i="27"/>
  <c r="Z132" i="27"/>
  <c r="AS20" i="3"/>
  <c r="L221" i="27"/>
  <c r="AP95" i="3"/>
  <c r="Z129" i="27"/>
  <c r="AQ64" i="3"/>
  <c r="AO194" i="3"/>
  <c r="AN104" i="27"/>
  <c r="L237" i="27"/>
  <c r="AP90" i="3"/>
  <c r="L243" i="27"/>
  <c r="L259" i="27"/>
  <c r="AO190" i="3"/>
  <c r="L212" i="27"/>
  <c r="AG95" i="27"/>
  <c r="Z128" i="27"/>
  <c r="Z138" i="27"/>
  <c r="AQ72" i="3"/>
  <c r="AO180" i="3"/>
  <c r="AN108" i="27"/>
  <c r="AN114" i="27"/>
  <c r="L216" i="27"/>
  <c r="AG101" i="27"/>
  <c r="L231" i="27"/>
  <c r="L248" i="27"/>
  <c r="AG109" i="27"/>
  <c r="Z77" i="5"/>
  <c r="AQ70" i="3"/>
  <c r="AO179" i="3"/>
  <c r="X86" i="5"/>
  <c r="AG112" i="27"/>
  <c r="AO209" i="3"/>
  <c r="Z140" i="27"/>
  <c r="L214" i="27"/>
  <c r="AQ86" i="3"/>
  <c r="L225" i="27"/>
  <c r="AN106" i="27"/>
  <c r="AR36" i="3"/>
  <c r="AN112" i="27"/>
  <c r="S137" i="27"/>
  <c r="AO189" i="3"/>
  <c r="AP92" i="3"/>
  <c r="AO192" i="3"/>
  <c r="HI58" i="27" l="1"/>
  <c r="DW37" i="27"/>
  <c r="FM56" i="27"/>
  <c r="HI57" i="27"/>
  <c r="HI48" i="27"/>
  <c r="DW34" i="27"/>
  <c r="FQ37" i="27"/>
  <c r="DQ47" i="27"/>
  <c r="DU47" i="27" s="1"/>
  <c r="DQ52" i="27"/>
  <c r="FM50" i="27"/>
  <c r="FM59" i="27"/>
  <c r="DQ46" i="27"/>
  <c r="FM45" i="27"/>
  <c r="HI56" i="27"/>
  <c r="HI49" i="27"/>
  <c r="DQ54" i="27"/>
  <c r="DU54" i="27" s="1"/>
  <c r="HI54" i="27"/>
  <c r="HM54" i="27" s="1"/>
  <c r="HI51" i="27"/>
  <c r="DQ58" i="27"/>
  <c r="FM49" i="27"/>
  <c r="FM58" i="27"/>
  <c r="FM54" i="27"/>
  <c r="FQ34" i="27"/>
  <c r="DQ59" i="27"/>
  <c r="DW59" i="27" s="1"/>
  <c r="DQ49" i="27"/>
  <c r="DU49" i="27" s="1"/>
  <c r="DQ42" i="27"/>
  <c r="DQ56" i="27"/>
  <c r="FM47" i="27"/>
  <c r="HI45" i="27"/>
  <c r="HO45" i="27" s="1"/>
  <c r="DQ55" i="27"/>
  <c r="FM43" i="27"/>
  <c r="FM55" i="27"/>
  <c r="FQ55" i="27" s="1"/>
  <c r="FM48" i="27"/>
  <c r="FS48" i="27" s="1"/>
  <c r="HI46" i="27"/>
  <c r="AB85" i="3"/>
  <c r="AB84" i="3"/>
  <c r="AD76" i="3"/>
  <c r="AD77" i="3"/>
  <c r="AE73" i="3"/>
  <c r="AE74" i="3"/>
  <c r="AE72" i="3"/>
  <c r="AF73" i="3"/>
  <c r="AF74" i="3"/>
  <c r="AF72" i="3"/>
  <c r="AT21" i="3"/>
  <c r="AT20" i="3"/>
  <c r="AT19" i="3"/>
  <c r="GW106" i="27"/>
  <c r="FA106" i="27"/>
  <c r="DE106" i="27"/>
  <c r="DE107" i="27"/>
  <c r="FA107" i="27"/>
  <c r="GW107" i="27"/>
  <c r="DE104" i="27"/>
  <c r="GW104" i="27"/>
  <c r="FA104" i="27"/>
  <c r="DE103" i="27"/>
  <c r="FA103" i="27"/>
  <c r="GW103" i="27"/>
  <c r="DE102" i="27"/>
  <c r="GW102" i="27"/>
  <c r="FA102" i="27"/>
  <c r="DE105" i="27"/>
  <c r="GW105" i="27"/>
  <c r="FA105" i="27"/>
  <c r="GW97" i="27"/>
  <c r="DE97" i="27"/>
  <c r="FA97" i="27"/>
  <c r="FA95" i="27"/>
  <c r="DE95" i="27"/>
  <c r="GW95" i="27"/>
  <c r="DE99" i="27"/>
  <c r="GW99" i="27"/>
  <c r="FA99" i="27"/>
  <c r="FA98" i="27"/>
  <c r="DE98" i="27"/>
  <c r="GW98" i="27"/>
  <c r="DE100" i="27"/>
  <c r="FA100" i="27"/>
  <c r="GW100" i="27"/>
  <c r="GW96" i="27"/>
  <c r="FA96" i="27"/>
  <c r="DE96" i="27"/>
  <c r="DE101" i="27"/>
  <c r="GW101" i="27"/>
  <c r="FA101" i="27"/>
  <c r="GW89" i="27"/>
  <c r="FA89" i="27"/>
  <c r="DE89" i="27"/>
  <c r="DE93" i="27"/>
  <c r="FA93" i="27"/>
  <c r="GW93" i="27"/>
  <c r="FA91" i="27"/>
  <c r="DE91" i="27"/>
  <c r="GW91" i="27"/>
  <c r="FA94" i="27"/>
  <c r="GW94" i="27"/>
  <c r="DE94" i="27"/>
  <c r="FA90" i="27"/>
  <c r="GW90" i="27"/>
  <c r="DE90" i="27"/>
  <c r="FA92" i="27"/>
  <c r="DE92" i="27"/>
  <c r="GW92" i="27"/>
  <c r="EC248" i="27"/>
  <c r="CG248" i="27"/>
  <c r="FY248" i="27"/>
  <c r="FY245" i="27"/>
  <c r="CG245" i="27"/>
  <c r="EC245" i="27"/>
  <c r="FY258" i="27"/>
  <c r="EC258" i="27"/>
  <c r="CG258" i="27"/>
  <c r="CG249" i="27"/>
  <c r="EC249" i="27"/>
  <c r="FY249" i="27"/>
  <c r="EC247" i="27"/>
  <c r="CG247" i="27"/>
  <c r="FY247" i="27"/>
  <c r="CG255" i="27"/>
  <c r="EC255" i="27"/>
  <c r="FY255" i="27"/>
  <c r="FY252" i="27"/>
  <c r="EC252" i="27"/>
  <c r="CG252" i="27"/>
  <c r="CG253" i="27"/>
  <c r="FY253" i="27"/>
  <c r="EC253" i="27"/>
  <c r="FY259" i="27"/>
  <c r="CG259" i="27"/>
  <c r="EC259" i="27"/>
  <c r="FY246" i="27"/>
  <c r="EC246" i="27"/>
  <c r="CG246" i="27"/>
  <c r="EC257" i="27"/>
  <c r="CG257" i="27"/>
  <c r="FY257" i="27"/>
  <c r="CG250" i="27"/>
  <c r="FY250" i="27"/>
  <c r="EC250" i="27"/>
  <c r="CG251" i="27"/>
  <c r="FY251" i="27"/>
  <c r="EC251" i="27"/>
  <c r="EC244" i="27"/>
  <c r="CG244" i="27"/>
  <c r="FY244" i="27"/>
  <c r="FY254" i="27"/>
  <c r="EC254" i="27"/>
  <c r="CG254" i="27"/>
  <c r="CG256" i="27"/>
  <c r="FY256" i="27"/>
  <c r="EC256" i="27"/>
  <c r="EC243" i="27"/>
  <c r="CG243" i="27"/>
  <c r="FY243" i="27"/>
  <c r="T22" i="3"/>
  <c r="AT25" i="3"/>
  <c r="G18" i="3" s="1"/>
  <c r="CG227" i="27"/>
  <c r="EC227" i="27"/>
  <c r="FY227" i="27"/>
  <c r="CG241" i="27"/>
  <c r="EC241" i="27"/>
  <c r="FY241" i="27"/>
  <c r="CG240" i="27"/>
  <c r="FY240" i="27"/>
  <c r="EC240" i="27"/>
  <c r="CG242" i="27"/>
  <c r="FY242" i="27"/>
  <c r="EC242" i="27"/>
  <c r="CG235" i="27"/>
  <c r="EC235" i="27"/>
  <c r="FY235" i="27"/>
  <c r="EC229" i="27"/>
  <c r="FY229" i="27"/>
  <c r="CG229" i="27"/>
  <c r="EC236" i="27"/>
  <c r="CG236" i="27"/>
  <c r="FY236" i="27"/>
  <c r="FY232" i="27"/>
  <c r="CG232" i="27"/>
  <c r="EC232" i="27"/>
  <c r="FY233" i="27"/>
  <c r="CG233" i="27"/>
  <c r="EC233" i="27"/>
  <c r="CG238" i="27"/>
  <c r="EC238" i="27"/>
  <c r="FY238" i="27"/>
  <c r="FY239" i="27"/>
  <c r="EC239" i="27"/>
  <c r="CG239" i="27"/>
  <c r="FY234" i="27"/>
  <c r="EC234" i="27"/>
  <c r="CG234" i="27"/>
  <c r="EC230" i="27"/>
  <c r="FY230" i="27"/>
  <c r="CG230" i="27"/>
  <c r="FY228" i="27"/>
  <c r="EC228" i="27"/>
  <c r="CG228" i="27"/>
  <c r="FY231" i="27"/>
  <c r="EC231" i="27"/>
  <c r="CG231" i="27"/>
  <c r="FY237" i="27"/>
  <c r="EC237" i="27"/>
  <c r="CG237" i="27"/>
  <c r="CG219" i="27"/>
  <c r="FY219" i="27"/>
  <c r="EC219" i="27"/>
  <c r="CG213" i="27"/>
  <c r="FY213" i="27"/>
  <c r="EC213" i="27"/>
  <c r="EC212" i="27"/>
  <c r="CG212" i="27"/>
  <c r="FY212" i="27"/>
  <c r="EC216" i="27"/>
  <c r="FY216" i="27"/>
  <c r="CG216" i="27"/>
  <c r="FY220" i="27"/>
  <c r="CG220" i="27"/>
  <c r="EC220" i="27"/>
  <c r="CG223" i="27"/>
  <c r="FY223" i="27"/>
  <c r="EC223" i="27"/>
  <c r="FY226" i="27"/>
  <c r="CG226" i="27"/>
  <c r="EC226" i="27"/>
  <c r="EC217" i="27"/>
  <c r="FY217" i="27"/>
  <c r="CG217" i="27"/>
  <c r="FY214" i="27"/>
  <c r="CG214" i="27"/>
  <c r="EC214" i="27"/>
  <c r="FY225" i="27"/>
  <c r="CG225" i="27"/>
  <c r="EC225" i="27"/>
  <c r="EC224" i="27"/>
  <c r="CG224" i="27"/>
  <c r="FY224" i="27"/>
  <c r="EC215" i="27"/>
  <c r="CG215" i="27"/>
  <c r="FY215" i="27"/>
  <c r="EC218" i="27"/>
  <c r="FY218" i="27"/>
  <c r="CG218" i="27"/>
  <c r="CG222" i="27"/>
  <c r="FY222" i="27"/>
  <c r="EC222" i="27"/>
  <c r="CG221" i="27"/>
  <c r="FY221" i="27"/>
  <c r="EC221" i="27"/>
  <c r="CM138" i="27"/>
  <c r="EI138" i="27"/>
  <c r="GE138" i="27"/>
  <c r="CM137" i="27"/>
  <c r="GE137" i="27"/>
  <c r="EI137" i="27"/>
  <c r="GE133" i="27"/>
  <c r="CM133" i="27"/>
  <c r="EI133" i="27"/>
  <c r="CM135" i="27"/>
  <c r="EI135" i="27"/>
  <c r="GE135" i="27"/>
  <c r="CM134" i="27"/>
  <c r="GE134" i="27"/>
  <c r="EI134" i="27"/>
  <c r="CM136" i="27"/>
  <c r="GE136" i="27"/>
  <c r="EI136" i="27"/>
  <c r="CM141" i="27"/>
  <c r="GE141" i="27"/>
  <c r="EI141" i="27"/>
  <c r="GE140" i="27"/>
  <c r="EI140" i="27"/>
  <c r="CM140" i="27"/>
  <c r="GE139" i="27"/>
  <c r="EI139" i="27"/>
  <c r="CM139" i="27"/>
  <c r="EI132" i="27"/>
  <c r="CM132" i="27"/>
  <c r="GE132" i="27"/>
  <c r="GQ107" i="27"/>
  <c r="EU107" i="27"/>
  <c r="CY107" i="27"/>
  <c r="GQ104" i="27"/>
  <c r="EU104" i="27"/>
  <c r="CY104" i="27"/>
  <c r="EU106" i="27"/>
  <c r="CY106" i="27"/>
  <c r="GQ106" i="27"/>
  <c r="GQ102" i="27"/>
  <c r="EU102" i="27"/>
  <c r="CY102" i="27"/>
  <c r="GQ103" i="27"/>
  <c r="EU103" i="27"/>
  <c r="CY103" i="27"/>
  <c r="EU105" i="27"/>
  <c r="CY105" i="27"/>
  <c r="GQ105" i="27"/>
  <c r="AT23" i="3"/>
  <c r="AT24" i="3"/>
  <c r="AT22" i="3"/>
  <c r="GK136" i="27"/>
  <c r="CS136" i="27"/>
  <c r="EO136" i="27"/>
  <c r="EO139" i="27"/>
  <c r="GK139" i="27"/>
  <c r="CS139" i="27"/>
  <c r="CS141" i="27"/>
  <c r="GK141" i="27"/>
  <c r="EO141" i="27"/>
  <c r="GK137" i="27"/>
  <c r="EO137" i="27"/>
  <c r="CS137" i="27"/>
  <c r="GK135" i="27"/>
  <c r="EO135" i="27"/>
  <c r="CS135" i="27"/>
  <c r="EO134" i="27"/>
  <c r="GK134" i="27"/>
  <c r="CS134" i="27"/>
  <c r="GK133" i="27"/>
  <c r="CS133" i="27"/>
  <c r="EO133" i="27"/>
  <c r="GK138" i="27"/>
  <c r="CS138" i="27"/>
  <c r="EO138" i="27"/>
  <c r="CS132" i="27"/>
  <c r="EO132" i="27"/>
  <c r="GK132" i="27"/>
  <c r="CS140" i="27"/>
  <c r="GK140" i="27"/>
  <c r="EO140" i="27"/>
  <c r="CS125" i="27"/>
  <c r="EO125" i="27"/>
  <c r="GK125" i="27"/>
  <c r="GK127" i="27"/>
  <c r="EO127" i="27"/>
  <c r="CS127" i="27"/>
  <c r="CS129" i="27"/>
  <c r="GK129" i="27"/>
  <c r="EO129" i="27"/>
  <c r="EO131" i="27"/>
  <c r="GK131" i="27"/>
  <c r="CS131" i="27"/>
  <c r="EO128" i="27"/>
  <c r="CS128" i="27"/>
  <c r="GK128" i="27"/>
  <c r="CS130" i="27"/>
  <c r="GK130" i="27"/>
  <c r="EO130" i="27"/>
  <c r="GK124" i="27"/>
  <c r="EO124" i="27"/>
  <c r="CS124" i="27"/>
  <c r="EO126" i="27"/>
  <c r="GK126" i="27"/>
  <c r="CS126" i="27"/>
  <c r="CY115" i="27"/>
  <c r="EU115" i="27"/>
  <c r="GQ115" i="27"/>
  <c r="CY110" i="27"/>
  <c r="EU110" i="27"/>
  <c r="GQ110" i="27"/>
  <c r="CY108" i="27"/>
  <c r="GQ108" i="27"/>
  <c r="EU108" i="27"/>
  <c r="GQ113" i="27"/>
  <c r="CY113" i="27"/>
  <c r="EU113" i="27"/>
  <c r="GQ112" i="27"/>
  <c r="CY112" i="27"/>
  <c r="EU112" i="27"/>
  <c r="CY114" i="27"/>
  <c r="EU114" i="27"/>
  <c r="GQ114" i="27"/>
  <c r="EU109" i="27"/>
  <c r="CY109" i="27"/>
  <c r="GQ109" i="27"/>
  <c r="GQ111" i="27"/>
  <c r="EU111" i="27"/>
  <c r="CY111" i="27"/>
  <c r="GE146" i="27"/>
  <c r="EI146" i="27"/>
  <c r="CM146" i="27"/>
  <c r="EI142" i="27"/>
  <c r="CM142" i="27"/>
  <c r="GE142" i="27"/>
  <c r="EI147" i="27"/>
  <c r="GE147" i="27"/>
  <c r="CM147" i="27"/>
  <c r="EI151" i="27"/>
  <c r="GE151" i="27"/>
  <c r="CM151" i="27"/>
  <c r="EI145" i="27"/>
  <c r="GE145" i="27"/>
  <c r="CM145" i="27"/>
  <c r="EI149" i="27"/>
  <c r="CM149" i="27"/>
  <c r="GE149" i="27"/>
  <c r="CM143" i="27"/>
  <c r="EI143" i="27"/>
  <c r="GE143" i="27"/>
  <c r="EI148" i="27"/>
  <c r="GE148" i="27"/>
  <c r="CM148" i="27"/>
  <c r="GE150" i="27"/>
  <c r="CM150" i="27"/>
  <c r="EI150" i="27"/>
  <c r="EI144" i="27"/>
  <c r="GE144" i="27"/>
  <c r="CM144" i="27"/>
  <c r="CS144" i="27"/>
  <c r="GK144" i="27"/>
  <c r="EO144" i="27"/>
  <c r="CS150" i="27"/>
  <c r="EO150" i="27"/>
  <c r="GK150" i="27"/>
  <c r="CS151" i="27"/>
  <c r="GK151" i="27"/>
  <c r="EO151" i="27"/>
  <c r="CS148" i="27"/>
  <c r="EO148" i="27"/>
  <c r="GK148" i="27"/>
  <c r="EO147" i="27"/>
  <c r="CS147" i="27"/>
  <c r="GK147" i="27"/>
  <c r="EO146" i="27"/>
  <c r="CS146" i="27"/>
  <c r="GK146" i="27"/>
  <c r="GK149" i="27"/>
  <c r="CS149" i="27"/>
  <c r="EO149" i="27"/>
  <c r="GK143" i="27"/>
  <c r="CS143" i="27"/>
  <c r="EO143" i="27"/>
  <c r="GK142" i="27"/>
  <c r="EO142" i="27"/>
  <c r="CS142" i="27"/>
  <c r="GK145" i="27"/>
  <c r="EO145" i="27"/>
  <c r="CS145" i="27"/>
  <c r="AC76" i="3"/>
  <c r="AC77" i="3"/>
  <c r="AT27" i="3"/>
  <c r="AT26" i="3"/>
  <c r="CM130" i="27"/>
  <c r="GE130" i="27"/>
  <c r="EI130" i="27"/>
  <c r="GE125" i="27"/>
  <c r="EI125" i="27"/>
  <c r="CM125" i="27"/>
  <c r="CM127" i="27"/>
  <c r="EI127" i="27"/>
  <c r="GE127" i="27"/>
  <c r="CM129" i="27"/>
  <c r="EI129" i="27"/>
  <c r="GE129" i="27"/>
  <c r="EI128" i="27"/>
  <c r="CM128" i="27"/>
  <c r="GE128" i="27"/>
  <c r="GE131" i="27"/>
  <c r="EI131" i="27"/>
  <c r="CM131" i="27"/>
  <c r="CM124" i="27"/>
  <c r="GE124" i="27"/>
  <c r="EI124" i="27"/>
  <c r="CM126" i="27"/>
  <c r="GE126" i="27"/>
  <c r="EI126" i="27"/>
  <c r="GE121" i="27"/>
  <c r="EI121" i="27"/>
  <c r="CM121" i="27"/>
  <c r="GE122" i="27"/>
  <c r="CM122" i="27"/>
  <c r="EI122" i="27"/>
  <c r="EI119" i="27"/>
  <c r="CM119" i="27"/>
  <c r="GE119" i="27"/>
  <c r="CM118" i="27"/>
  <c r="EI118" i="27"/>
  <c r="GE118" i="27"/>
  <c r="CM117" i="27"/>
  <c r="GE117" i="27"/>
  <c r="EI117" i="27"/>
  <c r="GE120" i="27"/>
  <c r="EI120" i="27"/>
  <c r="CM120" i="27"/>
  <c r="CM123" i="27"/>
  <c r="EI123" i="27"/>
  <c r="GE123" i="27"/>
  <c r="GE116" i="27"/>
  <c r="EI116" i="27"/>
  <c r="CM116" i="27"/>
  <c r="DE113" i="27"/>
  <c r="FA113" i="27"/>
  <c r="GW113" i="27"/>
  <c r="GW114" i="27"/>
  <c r="DE114" i="27"/>
  <c r="FA114" i="27"/>
  <c r="FA108" i="27"/>
  <c r="DE108" i="27"/>
  <c r="GW108" i="27"/>
  <c r="GW110" i="27"/>
  <c r="FA110" i="27"/>
  <c r="DE110" i="27"/>
  <c r="DE112" i="27"/>
  <c r="GW112" i="27"/>
  <c r="FA112" i="27"/>
  <c r="FA111" i="27"/>
  <c r="DE111" i="27"/>
  <c r="GW111" i="27"/>
  <c r="GW109" i="27"/>
  <c r="FA109" i="27"/>
  <c r="DE109" i="27"/>
  <c r="GW115" i="27"/>
  <c r="DE115" i="27"/>
  <c r="FA115" i="27"/>
  <c r="EU99" i="27"/>
  <c r="CY99" i="27"/>
  <c r="GQ99" i="27"/>
  <c r="GQ95" i="27"/>
  <c r="EU95" i="27"/>
  <c r="CY95" i="27"/>
  <c r="CY98" i="27"/>
  <c r="EU98" i="27"/>
  <c r="GQ98" i="27"/>
  <c r="CY97" i="27"/>
  <c r="EU97" i="27"/>
  <c r="GQ97" i="27"/>
  <c r="EU100" i="27"/>
  <c r="CY100" i="27"/>
  <c r="GQ100" i="27"/>
  <c r="GQ96" i="27"/>
  <c r="EU96" i="27"/>
  <c r="CY96" i="27"/>
  <c r="CY101" i="27"/>
  <c r="GQ101" i="27"/>
  <c r="EU101" i="27"/>
  <c r="CY89" i="27"/>
  <c r="GQ89" i="27"/>
  <c r="EU89" i="27"/>
  <c r="EU94" i="27"/>
  <c r="CY94" i="27"/>
  <c r="GQ94" i="27"/>
  <c r="CY92" i="27"/>
  <c r="EU92" i="27"/>
  <c r="GQ92" i="27"/>
  <c r="EU93" i="27"/>
  <c r="CY93" i="27"/>
  <c r="GQ93" i="27"/>
  <c r="CY91" i="27"/>
  <c r="GQ91" i="27"/>
  <c r="EU91" i="27"/>
  <c r="GQ90" i="27"/>
  <c r="CY90" i="27"/>
  <c r="EU90" i="27"/>
  <c r="FQ49" i="27"/>
  <c r="FS49" i="27"/>
  <c r="FQ59" i="27"/>
  <c r="FS59" i="27"/>
  <c r="FS46" i="27"/>
  <c r="FQ46" i="27"/>
  <c r="HM55" i="27"/>
  <c r="HO55" i="27"/>
  <c r="HM50" i="27"/>
  <c r="HO50" i="27"/>
  <c r="FQ47" i="27"/>
  <c r="FS47" i="27"/>
  <c r="DW49" i="27"/>
  <c r="HM52" i="27"/>
  <c r="HO52" i="27"/>
  <c r="HM51" i="27"/>
  <c r="HO51" i="27"/>
  <c r="DU46" i="27"/>
  <c r="DW46" i="27"/>
  <c r="DU56" i="27"/>
  <c r="DW56" i="27"/>
  <c r="DW48" i="27"/>
  <c r="DU48" i="27"/>
  <c r="DU50" i="27"/>
  <c r="DW50" i="27"/>
  <c r="FQ54" i="27"/>
  <c r="FS54" i="27"/>
  <c r="DW54" i="27"/>
  <c r="DU55" i="27"/>
  <c r="DW55" i="27"/>
  <c r="FQ58" i="27"/>
  <c r="FS58" i="27"/>
  <c r="HM46" i="27"/>
  <c r="HO46" i="27"/>
  <c r="FQ56" i="27"/>
  <c r="FS56" i="27"/>
  <c r="FQ44" i="27"/>
  <c r="FS44" i="27"/>
  <c r="FQ51" i="27"/>
  <c r="FS51" i="27"/>
  <c r="HM44" i="27"/>
  <c r="HO44" i="27"/>
  <c r="DW53" i="27"/>
  <c r="DU53" i="27"/>
  <c r="HO56" i="27"/>
  <c r="HM56" i="27"/>
  <c r="DW44" i="27"/>
  <c r="DU44" i="27"/>
  <c r="HM53" i="27"/>
  <c r="HO53" i="27"/>
  <c r="HO33" i="27"/>
  <c r="HM33" i="27"/>
  <c r="BQ34" i="23"/>
  <c r="DU42" i="27"/>
  <c r="DW42" i="27"/>
  <c r="AU66" i="31"/>
  <c r="BA66" i="31" s="1"/>
  <c r="BG66" i="31"/>
  <c r="BE72" i="31"/>
  <c r="AS72" i="31"/>
  <c r="AY72" i="31" s="1"/>
  <c r="BQ33" i="23"/>
  <c r="FM41" i="27"/>
  <c r="DL199" i="27"/>
  <c r="CL199" i="27"/>
  <c r="CJ199" i="27"/>
  <c r="CK199" i="27"/>
  <c r="GB206" i="27"/>
  <c r="GD206" i="27"/>
  <c r="HD206" i="27"/>
  <c r="GC206" i="27"/>
  <c r="GB205" i="27"/>
  <c r="GD205" i="27"/>
  <c r="GC205" i="27"/>
  <c r="HD205" i="27"/>
  <c r="HD209" i="27"/>
  <c r="GC209" i="27"/>
  <c r="GD209" i="27"/>
  <c r="GB209" i="27"/>
  <c r="EF200" i="27"/>
  <c r="EG200" i="27"/>
  <c r="EH200" i="27"/>
  <c r="FH200" i="27"/>
  <c r="FD60" i="27"/>
  <c r="FF60" i="27"/>
  <c r="FE60" i="27"/>
  <c r="FL60" i="27"/>
  <c r="FD63" i="27"/>
  <c r="FL63" i="27"/>
  <c r="FE63" i="27"/>
  <c r="FF63" i="27"/>
  <c r="FD65" i="27"/>
  <c r="FE65" i="27"/>
  <c r="FF65" i="27"/>
  <c r="FL65" i="27"/>
  <c r="GT77" i="27"/>
  <c r="GV77" i="27"/>
  <c r="HG77" i="27"/>
  <c r="GU77" i="27"/>
  <c r="DC74" i="27"/>
  <c r="DB74" i="27"/>
  <c r="DD74" i="27"/>
  <c r="DO74" i="27"/>
  <c r="GU72" i="27"/>
  <c r="GT72" i="27"/>
  <c r="HG72" i="27"/>
  <c r="GV72" i="27"/>
  <c r="DD68" i="27"/>
  <c r="DO68" i="27"/>
  <c r="DB68" i="27"/>
  <c r="DC68" i="27"/>
  <c r="EF185" i="27"/>
  <c r="FH185" i="27"/>
  <c r="EH185" i="27"/>
  <c r="EG185" i="27"/>
  <c r="EH181" i="27"/>
  <c r="EF181" i="27"/>
  <c r="FH181" i="27"/>
  <c r="EG181" i="27"/>
  <c r="FH183" i="27"/>
  <c r="EG183" i="27"/>
  <c r="EF183" i="27"/>
  <c r="EH183" i="27"/>
  <c r="CJ177" i="27"/>
  <c r="DL177" i="27"/>
  <c r="CK177" i="27"/>
  <c r="CL177" i="27"/>
  <c r="CL174" i="27"/>
  <c r="CJ174" i="27"/>
  <c r="CK174" i="27"/>
  <c r="DL174" i="27"/>
  <c r="GB195" i="27"/>
  <c r="GD195" i="27"/>
  <c r="HD195" i="27"/>
  <c r="GC195" i="27"/>
  <c r="CL186" i="27"/>
  <c r="DL186" i="27"/>
  <c r="CJ186" i="27"/>
  <c r="CK186" i="27"/>
  <c r="GB189" i="27"/>
  <c r="GD189" i="27"/>
  <c r="GC189" i="27"/>
  <c r="HD189" i="27"/>
  <c r="CL198" i="27"/>
  <c r="CJ198" i="27"/>
  <c r="DL198" i="27"/>
  <c r="CK198" i="27"/>
  <c r="GB190" i="27"/>
  <c r="GD190" i="27"/>
  <c r="GC190" i="27"/>
  <c r="HD190" i="27"/>
  <c r="HF104" i="27"/>
  <c r="GP104" i="27"/>
  <c r="GN104" i="27"/>
  <c r="GO104" i="27"/>
  <c r="CV102" i="27"/>
  <c r="DN102" i="27"/>
  <c r="CW102" i="27"/>
  <c r="CX102" i="27"/>
  <c r="EY61" i="27"/>
  <c r="EZ61" i="27"/>
  <c r="FK61" i="27"/>
  <c r="EX61" i="27"/>
  <c r="FK64" i="27"/>
  <c r="EZ64" i="27"/>
  <c r="EX64" i="27"/>
  <c r="EY64" i="27"/>
  <c r="EY66" i="27"/>
  <c r="FK66" i="27"/>
  <c r="EZ66" i="27"/>
  <c r="EX66" i="27"/>
  <c r="ES115" i="27"/>
  <c r="ER115" i="27"/>
  <c r="FJ115" i="27"/>
  <c r="ET115" i="27"/>
  <c r="ES111" i="27"/>
  <c r="FJ111" i="27"/>
  <c r="ET111" i="27"/>
  <c r="ER111" i="27"/>
  <c r="ER114" i="27"/>
  <c r="ES114" i="27"/>
  <c r="ET114" i="27"/>
  <c r="FJ114" i="27"/>
  <c r="EM91" i="27"/>
  <c r="FI91" i="27"/>
  <c r="EL91" i="27"/>
  <c r="EN91" i="27"/>
  <c r="CQ89" i="27"/>
  <c r="CR89" i="27"/>
  <c r="CP89" i="27"/>
  <c r="DM89" i="27"/>
  <c r="GJ94" i="27"/>
  <c r="GI94" i="27"/>
  <c r="GH94" i="27"/>
  <c r="HE94" i="27"/>
  <c r="CP95" i="27"/>
  <c r="CQ95" i="27"/>
  <c r="CR95" i="27"/>
  <c r="DM95" i="27"/>
  <c r="CR100" i="27"/>
  <c r="CQ100" i="27"/>
  <c r="CP100" i="27"/>
  <c r="DM100" i="27"/>
  <c r="FF76" i="27"/>
  <c r="FE76" i="27"/>
  <c r="FL76" i="27"/>
  <c r="FD76" i="27"/>
  <c r="FL73" i="27"/>
  <c r="FE73" i="27"/>
  <c r="FF73" i="27"/>
  <c r="FD73" i="27"/>
  <c r="GN118" i="27"/>
  <c r="GO118" i="27"/>
  <c r="HF118" i="27"/>
  <c r="GP118" i="27"/>
  <c r="GP116" i="27"/>
  <c r="GN116" i="27"/>
  <c r="HF116" i="27"/>
  <c r="GO116" i="27"/>
  <c r="CV121" i="27"/>
  <c r="CX121" i="27"/>
  <c r="DN121" i="27"/>
  <c r="CW121" i="27"/>
  <c r="HE110" i="27"/>
  <c r="GH110" i="27"/>
  <c r="GJ110" i="27"/>
  <c r="GI110" i="27"/>
  <c r="DM108" i="27"/>
  <c r="CQ108" i="27"/>
  <c r="CP108" i="27"/>
  <c r="CR108" i="27"/>
  <c r="CQ112" i="27"/>
  <c r="CR112" i="27"/>
  <c r="DM112" i="27"/>
  <c r="CP112" i="27"/>
  <c r="DH80" i="27"/>
  <c r="DI80" i="27"/>
  <c r="DP80" i="27"/>
  <c r="DJ80" i="27"/>
  <c r="EY83" i="27"/>
  <c r="EX83" i="27"/>
  <c r="EZ83" i="27"/>
  <c r="FK83" i="27"/>
  <c r="GT84" i="27"/>
  <c r="GU84" i="27"/>
  <c r="HG84" i="27"/>
  <c r="GV84" i="27"/>
  <c r="EZ86" i="27"/>
  <c r="EY86" i="27"/>
  <c r="EX86" i="27"/>
  <c r="FK86" i="27"/>
  <c r="GH107" i="27"/>
  <c r="GI107" i="27"/>
  <c r="GJ107" i="27"/>
  <c r="HE107" i="27"/>
  <c r="GH102" i="27"/>
  <c r="GJ102" i="27"/>
  <c r="HE102" i="27"/>
  <c r="GI102" i="27"/>
  <c r="FL71" i="27"/>
  <c r="FD71" i="27"/>
  <c r="FF71" i="27"/>
  <c r="FE71" i="27"/>
  <c r="HA70" i="27"/>
  <c r="GZ70" i="27"/>
  <c r="HB70" i="27"/>
  <c r="HH70" i="27"/>
  <c r="EZ80" i="27"/>
  <c r="EX80" i="27"/>
  <c r="FK80" i="27"/>
  <c r="EY80" i="27"/>
  <c r="GV79" i="27"/>
  <c r="GT79" i="27"/>
  <c r="HG79" i="27"/>
  <c r="GU79" i="27"/>
  <c r="P73" i="31"/>
  <c r="AL69" i="3"/>
  <c r="DP85" i="27"/>
  <c r="DI85" i="27"/>
  <c r="DJ85" i="27"/>
  <c r="DH85" i="27"/>
  <c r="FL87" i="27"/>
  <c r="FD87" i="27"/>
  <c r="FE87" i="27"/>
  <c r="FF87" i="27"/>
  <c r="ET90" i="27"/>
  <c r="FJ90" i="27"/>
  <c r="ER90" i="27"/>
  <c r="ES90" i="27"/>
  <c r="GN91" i="27"/>
  <c r="GO91" i="27"/>
  <c r="GP91" i="27"/>
  <c r="HF91" i="27"/>
  <c r="ET99" i="27"/>
  <c r="ES99" i="27"/>
  <c r="ER99" i="27"/>
  <c r="FJ99" i="27"/>
  <c r="ES100" i="27"/>
  <c r="ER100" i="27"/>
  <c r="FJ100" i="27"/>
  <c r="ET100" i="27"/>
  <c r="CV97" i="27"/>
  <c r="DN97" i="27"/>
  <c r="CW97" i="27"/>
  <c r="CX97" i="27"/>
  <c r="AJ66" i="31"/>
  <c r="Q66" i="31"/>
  <c r="DU51" i="27"/>
  <c r="DW51" i="27"/>
  <c r="AT76" i="31"/>
  <c r="AZ76" i="31" s="1"/>
  <c r="BF76" i="31"/>
  <c r="DU58" i="27"/>
  <c r="DW58" i="27"/>
  <c r="FS45" i="27"/>
  <c r="FQ45" i="27"/>
  <c r="AJ71" i="31"/>
  <c r="Q71" i="31"/>
  <c r="AV64" i="31"/>
  <c r="BB64" i="31" s="1"/>
  <c r="BH64" i="31"/>
  <c r="FM52" i="27"/>
  <c r="BE74" i="31"/>
  <c r="AS74" i="31"/>
  <c r="AY74" i="31" s="1"/>
  <c r="DU57" i="27"/>
  <c r="DW57" i="27"/>
  <c r="BF72" i="31"/>
  <c r="AT72" i="31"/>
  <c r="AZ72" i="31" s="1"/>
  <c r="EF202" i="27"/>
  <c r="FH202" i="27"/>
  <c r="EG202" i="27"/>
  <c r="EH202" i="27"/>
  <c r="CK206" i="27"/>
  <c r="CL206" i="27"/>
  <c r="CJ206" i="27"/>
  <c r="DL206" i="27"/>
  <c r="EG205" i="27"/>
  <c r="EF205" i="27"/>
  <c r="FH205" i="27"/>
  <c r="EH205" i="27"/>
  <c r="GC204" i="27"/>
  <c r="HD204" i="27"/>
  <c r="GB204" i="27"/>
  <c r="GD204" i="27"/>
  <c r="CK200" i="27"/>
  <c r="DL200" i="27"/>
  <c r="CJ200" i="27"/>
  <c r="CL200" i="27"/>
  <c r="DP60" i="27"/>
  <c r="DI60" i="27"/>
  <c r="DJ60" i="27"/>
  <c r="DH60" i="27"/>
  <c r="HB66" i="27"/>
  <c r="HA66" i="27"/>
  <c r="GZ66" i="27"/>
  <c r="HH66" i="27"/>
  <c r="DJ65" i="27"/>
  <c r="DH65" i="27"/>
  <c r="DP65" i="27"/>
  <c r="DI65" i="27"/>
  <c r="DO77" i="27"/>
  <c r="DC77" i="27"/>
  <c r="DD77" i="27"/>
  <c r="DB77" i="27"/>
  <c r="GU73" i="27"/>
  <c r="GT73" i="27"/>
  <c r="GV73" i="27"/>
  <c r="HG73" i="27"/>
  <c r="DC72" i="27"/>
  <c r="DO72" i="27"/>
  <c r="DD72" i="27"/>
  <c r="DB72" i="27"/>
  <c r="DD71" i="27"/>
  <c r="DO71" i="27"/>
  <c r="DB71" i="27"/>
  <c r="DC71" i="27"/>
  <c r="EF184" i="27"/>
  <c r="EG184" i="27"/>
  <c r="EH184" i="27"/>
  <c r="FH184" i="27"/>
  <c r="CJ181" i="27"/>
  <c r="CL181" i="27"/>
  <c r="DL181" i="27"/>
  <c r="CK181" i="27"/>
  <c r="DL183" i="27"/>
  <c r="CK183" i="27"/>
  <c r="CL183" i="27"/>
  <c r="CJ183" i="27"/>
  <c r="EH176" i="27"/>
  <c r="EG176" i="27"/>
  <c r="FH176" i="27"/>
  <c r="EF176" i="27"/>
  <c r="EG174" i="27"/>
  <c r="EF174" i="27"/>
  <c r="FH174" i="27"/>
  <c r="EH174" i="27"/>
  <c r="EF195" i="27"/>
  <c r="EG195" i="27"/>
  <c r="FH195" i="27"/>
  <c r="EH195" i="27"/>
  <c r="DL196" i="27"/>
  <c r="CJ196" i="27"/>
  <c r="CL196" i="27"/>
  <c r="CK196" i="27"/>
  <c r="CK189" i="27"/>
  <c r="CJ189" i="27"/>
  <c r="DL189" i="27"/>
  <c r="CL189" i="27"/>
  <c r="GC198" i="27"/>
  <c r="GB198" i="27"/>
  <c r="HD198" i="27"/>
  <c r="GD198" i="27"/>
  <c r="CW105" i="27"/>
  <c r="DN105" i="27"/>
  <c r="CX105" i="27"/>
  <c r="CV105" i="27"/>
  <c r="FJ104" i="27"/>
  <c r="ER104" i="27"/>
  <c r="ES104" i="27"/>
  <c r="ET104" i="27"/>
  <c r="GP102" i="27"/>
  <c r="GN102" i="27"/>
  <c r="GO102" i="27"/>
  <c r="HF102" i="27"/>
  <c r="GT62" i="27"/>
  <c r="GV62" i="27"/>
  <c r="HG62" i="27"/>
  <c r="GU62" i="27"/>
  <c r="GU64" i="27"/>
  <c r="GV64" i="27"/>
  <c r="GT64" i="27"/>
  <c r="HG64" i="27"/>
  <c r="GU66" i="27"/>
  <c r="GT66" i="27"/>
  <c r="HG66" i="27"/>
  <c r="GV66" i="27"/>
  <c r="GO115" i="27"/>
  <c r="GP115" i="27"/>
  <c r="HF115" i="27"/>
  <c r="GN115" i="27"/>
  <c r="GO108" i="27"/>
  <c r="GP108" i="27"/>
  <c r="GN108" i="27"/>
  <c r="HF108" i="27"/>
  <c r="CV114" i="27"/>
  <c r="DN114" i="27"/>
  <c r="CX114" i="27"/>
  <c r="CW114" i="27"/>
  <c r="GJ91" i="27"/>
  <c r="GH91" i="27"/>
  <c r="GI91" i="27"/>
  <c r="HE91" i="27"/>
  <c r="EM90" i="27"/>
  <c r="EL90" i="27"/>
  <c r="FI90" i="27"/>
  <c r="EN90" i="27"/>
  <c r="DM94" i="27"/>
  <c r="CR94" i="27"/>
  <c r="CQ94" i="27"/>
  <c r="CP94" i="27"/>
  <c r="HE95" i="27"/>
  <c r="GI95" i="27"/>
  <c r="GJ95" i="27"/>
  <c r="GH95" i="27"/>
  <c r="CQ97" i="27"/>
  <c r="CR97" i="27"/>
  <c r="CP97" i="27"/>
  <c r="DM97" i="27"/>
  <c r="HB74" i="27"/>
  <c r="GZ74" i="27"/>
  <c r="HH74" i="27"/>
  <c r="HA74" i="27"/>
  <c r="DJ73" i="27"/>
  <c r="DP73" i="27"/>
  <c r="DI73" i="27"/>
  <c r="DH73" i="27"/>
  <c r="CV118" i="27"/>
  <c r="CW118" i="27"/>
  <c r="CX118" i="27"/>
  <c r="DN118" i="27"/>
  <c r="ES122" i="27"/>
  <c r="ER122" i="27"/>
  <c r="ET122" i="27"/>
  <c r="FJ122" i="27"/>
  <c r="ER121" i="27"/>
  <c r="ET121" i="27"/>
  <c r="ES121" i="27"/>
  <c r="FJ121" i="27"/>
  <c r="EN110" i="27"/>
  <c r="FI110" i="27"/>
  <c r="EM110" i="27"/>
  <c r="EL110" i="27"/>
  <c r="EL115" i="27"/>
  <c r="FI115" i="27"/>
  <c r="EN115" i="27"/>
  <c r="EM115" i="27"/>
  <c r="GI112" i="27"/>
  <c r="GH112" i="27"/>
  <c r="GJ112" i="27"/>
  <c r="HE112" i="27"/>
  <c r="FE78" i="27"/>
  <c r="FF78" i="27"/>
  <c r="FL78" i="27"/>
  <c r="FD78" i="27"/>
  <c r="FL80" i="27"/>
  <c r="FF80" i="27"/>
  <c r="FD80" i="27"/>
  <c r="FE80" i="27"/>
  <c r="GV83" i="27"/>
  <c r="GT83" i="27"/>
  <c r="GU83" i="27"/>
  <c r="HG83" i="27"/>
  <c r="DD87" i="27"/>
  <c r="DO87" i="27"/>
  <c r="DB87" i="27"/>
  <c r="DC87" i="27"/>
  <c r="HG86" i="27"/>
  <c r="GU86" i="27"/>
  <c r="GT86" i="27"/>
  <c r="GV86" i="27"/>
  <c r="CQ107" i="27"/>
  <c r="CR107" i="27"/>
  <c r="DM107" i="27"/>
  <c r="CP107" i="27"/>
  <c r="GJ106" i="27"/>
  <c r="GI106" i="27"/>
  <c r="GH106" i="27"/>
  <c r="HE106" i="27"/>
  <c r="DP71" i="27"/>
  <c r="DH71" i="27"/>
  <c r="DJ71" i="27"/>
  <c r="DI71" i="27"/>
  <c r="DH70" i="27"/>
  <c r="DI70" i="27"/>
  <c r="DP70" i="27"/>
  <c r="DJ70" i="27"/>
  <c r="DD81" i="27"/>
  <c r="DO81" i="27"/>
  <c r="DC81" i="27"/>
  <c r="DB81" i="27"/>
  <c r="DO79" i="27"/>
  <c r="DB79" i="27"/>
  <c r="DC79" i="27"/>
  <c r="DD79" i="27"/>
  <c r="L87" i="31"/>
  <c r="AF87" i="31" s="1"/>
  <c r="AH83" i="3"/>
  <c r="P72" i="31"/>
  <c r="AL68" i="3"/>
  <c r="FE86" i="27"/>
  <c r="FF86" i="27"/>
  <c r="FD86" i="27"/>
  <c r="FL86" i="27"/>
  <c r="HH87" i="27"/>
  <c r="HA87" i="27"/>
  <c r="GZ87" i="27"/>
  <c r="HB87" i="27"/>
  <c r="CW90" i="27"/>
  <c r="CV90" i="27"/>
  <c r="CX90" i="27"/>
  <c r="DN90" i="27"/>
  <c r="ET93" i="27"/>
  <c r="ER93" i="27"/>
  <c r="ES93" i="27"/>
  <c r="FJ93" i="27"/>
  <c r="GP99" i="27"/>
  <c r="GN99" i="27"/>
  <c r="HF99" i="27"/>
  <c r="GO99" i="27"/>
  <c r="GP100" i="27"/>
  <c r="HF100" i="27"/>
  <c r="GO100" i="27"/>
  <c r="GN100" i="27"/>
  <c r="FJ98" i="27"/>
  <c r="ES98" i="27"/>
  <c r="ER98" i="27"/>
  <c r="ET98" i="27"/>
  <c r="DW52" i="27"/>
  <c r="DU52" i="27"/>
  <c r="FS33" i="27"/>
  <c r="FQ33" i="27"/>
  <c r="BH62" i="31"/>
  <c r="AV62" i="31"/>
  <c r="BB62" i="31" s="1"/>
  <c r="HO47" i="27"/>
  <c r="HM47" i="27"/>
  <c r="FQ32" i="27"/>
  <c r="FS32" i="27"/>
  <c r="HI41" i="27"/>
  <c r="HD202" i="27"/>
  <c r="GB202" i="27"/>
  <c r="GC202" i="27"/>
  <c r="GD202" i="27"/>
  <c r="EG201" i="27"/>
  <c r="EF201" i="27"/>
  <c r="EH201" i="27"/>
  <c r="FH201" i="27"/>
  <c r="CJ205" i="27"/>
  <c r="DL205" i="27"/>
  <c r="CL205" i="27"/>
  <c r="CK205" i="27"/>
  <c r="FH204" i="27"/>
  <c r="EF204" i="27"/>
  <c r="EH204" i="27"/>
  <c r="EG204" i="27"/>
  <c r="CK203" i="27"/>
  <c r="DL203" i="27"/>
  <c r="CJ203" i="27"/>
  <c r="CL203" i="27"/>
  <c r="HA60" i="27"/>
  <c r="HB60" i="27"/>
  <c r="HH60" i="27"/>
  <c r="GZ60" i="27"/>
  <c r="FE66" i="27"/>
  <c r="FD66" i="27"/>
  <c r="FL66" i="27"/>
  <c r="FM66" i="27" s="1"/>
  <c r="FF66" i="27"/>
  <c r="DJ64" i="27"/>
  <c r="DP64" i="27"/>
  <c r="DH64" i="27"/>
  <c r="DI64" i="27"/>
  <c r="FK77" i="27"/>
  <c r="EX77" i="27"/>
  <c r="EY77" i="27"/>
  <c r="EZ77" i="27"/>
  <c r="EX73" i="27"/>
  <c r="FK73" i="27"/>
  <c r="EZ73" i="27"/>
  <c r="EY73" i="27"/>
  <c r="EX72" i="27"/>
  <c r="EZ72" i="27"/>
  <c r="FK72" i="27"/>
  <c r="EY72" i="27"/>
  <c r="EX71" i="27"/>
  <c r="FK71" i="27"/>
  <c r="EY71" i="27"/>
  <c r="EZ71" i="27"/>
  <c r="CL184" i="27"/>
  <c r="DL184" i="27"/>
  <c r="CK184" i="27"/>
  <c r="CJ184" i="27"/>
  <c r="HD175" i="27"/>
  <c r="GB175" i="27"/>
  <c r="GD175" i="27"/>
  <c r="GC175" i="27"/>
  <c r="GD183" i="27"/>
  <c r="GB183" i="27"/>
  <c r="GC183" i="27"/>
  <c r="HD183" i="27"/>
  <c r="GD176" i="27"/>
  <c r="GC176" i="27"/>
  <c r="HD176" i="27"/>
  <c r="GB176" i="27"/>
  <c r="CK193" i="27"/>
  <c r="DL193" i="27"/>
  <c r="CL193" i="27"/>
  <c r="CJ193" i="27"/>
  <c r="CJ195" i="27"/>
  <c r="DL195" i="27"/>
  <c r="CK195" i="27"/>
  <c r="CL195" i="27"/>
  <c r="GB196" i="27"/>
  <c r="GC196" i="27"/>
  <c r="GD196" i="27"/>
  <c r="HD196" i="27"/>
  <c r="GD197" i="27"/>
  <c r="GC197" i="27"/>
  <c r="HD197" i="27"/>
  <c r="GB197" i="27"/>
  <c r="EH198" i="27"/>
  <c r="FH198" i="27"/>
  <c r="EG198" i="27"/>
  <c r="EF198" i="27"/>
  <c r="GP105" i="27"/>
  <c r="GO105" i="27"/>
  <c r="GN105" i="27"/>
  <c r="HF105" i="27"/>
  <c r="ES103" i="27"/>
  <c r="ET103" i="27"/>
  <c r="FJ103" i="27"/>
  <c r="ER103" i="27"/>
  <c r="ES102" i="27"/>
  <c r="ER102" i="27"/>
  <c r="ET102" i="27"/>
  <c r="FJ102" i="27"/>
  <c r="EY62" i="27"/>
  <c r="EZ62" i="27"/>
  <c r="EX62" i="27"/>
  <c r="FK62" i="27"/>
  <c r="EZ65" i="27"/>
  <c r="EX65" i="27"/>
  <c r="EY65" i="27"/>
  <c r="FK65" i="27"/>
  <c r="FM65" i="27" s="1"/>
  <c r="DB66" i="27"/>
  <c r="DO66" i="27"/>
  <c r="DD66" i="27"/>
  <c r="DC66" i="27"/>
  <c r="DN115" i="27"/>
  <c r="CV115" i="27"/>
  <c r="CX115" i="27"/>
  <c r="CW115" i="27"/>
  <c r="ES108" i="27"/>
  <c r="ET108" i="27"/>
  <c r="ER108" i="27"/>
  <c r="FJ108" i="27"/>
  <c r="DN112" i="27"/>
  <c r="CV112" i="27"/>
  <c r="CX112" i="27"/>
  <c r="CW112" i="27"/>
  <c r="CQ91" i="27"/>
  <c r="CR91" i="27"/>
  <c r="DM91" i="27"/>
  <c r="CP91" i="27"/>
  <c r="GJ90" i="27"/>
  <c r="GI90" i="27"/>
  <c r="HE90" i="27"/>
  <c r="GH90" i="27"/>
  <c r="GJ98" i="27"/>
  <c r="HE98" i="27"/>
  <c r="GH98" i="27"/>
  <c r="GI98" i="27"/>
  <c r="EL95" i="27"/>
  <c r="EN95" i="27"/>
  <c r="EM95" i="27"/>
  <c r="FI95" i="27"/>
  <c r="EM97" i="27"/>
  <c r="FI97" i="27"/>
  <c r="EL97" i="27"/>
  <c r="EN97" i="27"/>
  <c r="FF74" i="27"/>
  <c r="FL74" i="27"/>
  <c r="FE74" i="27"/>
  <c r="FD74" i="27"/>
  <c r="DI77" i="27"/>
  <c r="DP77" i="27"/>
  <c r="DH77" i="27"/>
  <c r="DJ77" i="27"/>
  <c r="ET118" i="27"/>
  <c r="ES118" i="27"/>
  <c r="ER118" i="27"/>
  <c r="FJ118" i="27"/>
  <c r="CW122" i="27"/>
  <c r="CX122" i="27"/>
  <c r="DN122" i="27"/>
  <c r="CV122" i="27"/>
  <c r="ER117" i="27"/>
  <c r="FJ117" i="27"/>
  <c r="ET117" i="27"/>
  <c r="ES117" i="27"/>
  <c r="CR110" i="27"/>
  <c r="CP110" i="27"/>
  <c r="DM110" i="27"/>
  <c r="CQ110" i="27"/>
  <c r="HE115" i="27"/>
  <c r="GH115" i="27"/>
  <c r="GI115" i="27"/>
  <c r="GJ115" i="27"/>
  <c r="EM113" i="27"/>
  <c r="EL113" i="27"/>
  <c r="FI113" i="27"/>
  <c r="EN113" i="27"/>
  <c r="DI78" i="27"/>
  <c r="DP78" i="27"/>
  <c r="DH78" i="27"/>
  <c r="DJ78" i="27"/>
  <c r="GZ82" i="27"/>
  <c r="HH82" i="27"/>
  <c r="HB82" i="27"/>
  <c r="HA82" i="27"/>
  <c r="DD83" i="27"/>
  <c r="DO83" i="27"/>
  <c r="DC83" i="27"/>
  <c r="DB83" i="27"/>
  <c r="GT87" i="27"/>
  <c r="GV87" i="27"/>
  <c r="GU87" i="27"/>
  <c r="HG87" i="27"/>
  <c r="CR105" i="27"/>
  <c r="CQ105" i="27"/>
  <c r="CP105" i="27"/>
  <c r="DM105" i="27"/>
  <c r="FI107" i="27"/>
  <c r="EL107" i="27"/>
  <c r="EN107" i="27"/>
  <c r="EM107" i="27"/>
  <c r="CR106" i="27"/>
  <c r="CP106" i="27"/>
  <c r="CQ106" i="27"/>
  <c r="DM106" i="27"/>
  <c r="DP69" i="27"/>
  <c r="DI69" i="27"/>
  <c r="DJ69" i="27"/>
  <c r="DH69" i="27"/>
  <c r="FE70" i="27"/>
  <c r="FL70" i="27"/>
  <c r="FF70" i="27"/>
  <c r="FD70" i="27"/>
  <c r="GT81" i="27"/>
  <c r="GU81" i="27"/>
  <c r="HG81" i="27"/>
  <c r="GV81" i="27"/>
  <c r="L86" i="31"/>
  <c r="AF86" i="31" s="1"/>
  <c r="AH82" i="3"/>
  <c r="P75" i="31"/>
  <c r="AL71" i="3"/>
  <c r="HA86" i="27"/>
  <c r="HH86" i="27"/>
  <c r="HB86" i="27"/>
  <c r="GZ86" i="27"/>
  <c r="FE84" i="27"/>
  <c r="FF84" i="27"/>
  <c r="FL84" i="27"/>
  <c r="FD84" i="27"/>
  <c r="HF90" i="27"/>
  <c r="GO90" i="27"/>
  <c r="GP90" i="27"/>
  <c r="GN90" i="27"/>
  <c r="CW93" i="27"/>
  <c r="CV93" i="27"/>
  <c r="DN93" i="27"/>
  <c r="CX93" i="27"/>
  <c r="HF96" i="27"/>
  <c r="GO96" i="27"/>
  <c r="GN96" i="27"/>
  <c r="GP96" i="27"/>
  <c r="DN100" i="27"/>
  <c r="CW100" i="27"/>
  <c r="CX100" i="27"/>
  <c r="CV100" i="27"/>
  <c r="HF98" i="27"/>
  <c r="GN98" i="27"/>
  <c r="GP98" i="27"/>
  <c r="GO98" i="27"/>
  <c r="AU68" i="31"/>
  <c r="BA68" i="31" s="1"/>
  <c r="BG68" i="31"/>
  <c r="HM58" i="27"/>
  <c r="HO58" i="27"/>
  <c r="AU67" i="31"/>
  <c r="BA67" i="31" s="1"/>
  <c r="BG67" i="31"/>
  <c r="DU45" i="27"/>
  <c r="DW45" i="27"/>
  <c r="BE73" i="31"/>
  <c r="AS73" i="31"/>
  <c r="AY73" i="31" s="1"/>
  <c r="AS75" i="31"/>
  <c r="AY75" i="31" s="1"/>
  <c r="BE75" i="31"/>
  <c r="CJ202" i="27"/>
  <c r="CL202" i="27"/>
  <c r="CK202" i="27"/>
  <c r="DL202" i="27"/>
  <c r="CJ201" i="27"/>
  <c r="CL201" i="27"/>
  <c r="DL201" i="27"/>
  <c r="CK201" i="27"/>
  <c r="DL207" i="27"/>
  <c r="CJ207" i="27"/>
  <c r="CL207" i="27"/>
  <c r="CK207" i="27"/>
  <c r="CL204" i="27"/>
  <c r="CJ204" i="27"/>
  <c r="DL204" i="27"/>
  <c r="CK204" i="27"/>
  <c r="EF203" i="27"/>
  <c r="EH203" i="27"/>
  <c r="FH203" i="27"/>
  <c r="EG203" i="27"/>
  <c r="DJ61" i="27"/>
  <c r="DI61" i="27"/>
  <c r="DH61" i="27"/>
  <c r="DP61" i="27"/>
  <c r="DP66" i="27"/>
  <c r="DJ66" i="27"/>
  <c r="DI66" i="27"/>
  <c r="DH66" i="27"/>
  <c r="HA64" i="27"/>
  <c r="HH64" i="27"/>
  <c r="HB64" i="27"/>
  <c r="GZ64" i="27"/>
  <c r="EY76" i="27"/>
  <c r="FK76" i="27"/>
  <c r="EX76" i="27"/>
  <c r="EZ76" i="27"/>
  <c r="DB73" i="27"/>
  <c r="DC73" i="27"/>
  <c r="DD73" i="27"/>
  <c r="DO73" i="27"/>
  <c r="GU69" i="27"/>
  <c r="HG69" i="27"/>
  <c r="GT69" i="27"/>
  <c r="GV69" i="27"/>
  <c r="GU71" i="27"/>
  <c r="HG71" i="27"/>
  <c r="GV71" i="27"/>
  <c r="GT71" i="27"/>
  <c r="EF180" i="27"/>
  <c r="EG180" i="27"/>
  <c r="FH180" i="27"/>
  <c r="EH180" i="27"/>
  <c r="HD184" i="27"/>
  <c r="GB184" i="27"/>
  <c r="GD184" i="27"/>
  <c r="GC184" i="27"/>
  <c r="DL175" i="27"/>
  <c r="CK175" i="27"/>
  <c r="CL175" i="27"/>
  <c r="CJ175" i="27"/>
  <c r="DL178" i="27"/>
  <c r="CL178" i="27"/>
  <c r="CJ178" i="27"/>
  <c r="CK178" i="27"/>
  <c r="CK176" i="27"/>
  <c r="CL176" i="27"/>
  <c r="DL176" i="27"/>
  <c r="CJ176" i="27"/>
  <c r="GB193" i="27"/>
  <c r="GC193" i="27"/>
  <c r="HD193" i="27"/>
  <c r="GD193" i="27"/>
  <c r="CL191" i="27"/>
  <c r="CJ191" i="27"/>
  <c r="DL191" i="27"/>
  <c r="CK191" i="27"/>
  <c r="FH196" i="27"/>
  <c r="EH196" i="27"/>
  <c r="EF196" i="27"/>
  <c r="EG196" i="27"/>
  <c r="EH197" i="27"/>
  <c r="FH197" i="27"/>
  <c r="EF197" i="27"/>
  <c r="EG197" i="27"/>
  <c r="DL188" i="27"/>
  <c r="CJ188" i="27"/>
  <c r="CK188" i="27"/>
  <c r="CL188" i="27"/>
  <c r="ES105" i="27"/>
  <c r="FJ105" i="27"/>
  <c r="ET105" i="27"/>
  <c r="ER105" i="27"/>
  <c r="CV103" i="27"/>
  <c r="CX103" i="27"/>
  <c r="CW103" i="27"/>
  <c r="DN103" i="27"/>
  <c r="DO60" i="27"/>
  <c r="DB60" i="27"/>
  <c r="DC60" i="27"/>
  <c r="DD60" i="27"/>
  <c r="DC62" i="27"/>
  <c r="DB62" i="27"/>
  <c r="DD62" i="27"/>
  <c r="DO62" i="27"/>
  <c r="GT65" i="27"/>
  <c r="HG65" i="27"/>
  <c r="GV65" i="27"/>
  <c r="GU65" i="27"/>
  <c r="CX110" i="27"/>
  <c r="DN110" i="27"/>
  <c r="CV110" i="27"/>
  <c r="CW110" i="27"/>
  <c r="CW108" i="27"/>
  <c r="CV108" i="27"/>
  <c r="CX108" i="27"/>
  <c r="DN108" i="27"/>
  <c r="GO112" i="27"/>
  <c r="GP112" i="27"/>
  <c r="GN112" i="27"/>
  <c r="HF112" i="27"/>
  <c r="GI93" i="27"/>
  <c r="GJ93" i="27"/>
  <c r="HE93" i="27"/>
  <c r="GH93" i="27"/>
  <c r="CR90" i="27"/>
  <c r="CQ90" i="27"/>
  <c r="CP90" i="27"/>
  <c r="DM90" i="27"/>
  <c r="CQ98" i="27"/>
  <c r="DM98" i="27"/>
  <c r="CR98" i="27"/>
  <c r="CP98" i="27"/>
  <c r="GH99" i="27"/>
  <c r="GI99" i="27"/>
  <c r="GJ99" i="27"/>
  <c r="HE99" i="27"/>
  <c r="HE97" i="27"/>
  <c r="GJ97" i="27"/>
  <c r="GI97" i="27"/>
  <c r="GH97" i="27"/>
  <c r="DH74" i="27"/>
  <c r="DP74" i="27"/>
  <c r="DJ74" i="27"/>
  <c r="DI74" i="27"/>
  <c r="HH77" i="27"/>
  <c r="GZ77" i="27"/>
  <c r="HB77" i="27"/>
  <c r="HA77" i="27"/>
  <c r="GO123" i="27"/>
  <c r="GN123" i="27"/>
  <c r="GP123" i="27"/>
  <c r="HF123" i="27"/>
  <c r="GO122" i="27"/>
  <c r="HF122" i="27"/>
  <c r="GP122" i="27"/>
  <c r="GN122" i="27"/>
  <c r="GO117" i="27"/>
  <c r="GN117" i="27"/>
  <c r="GP117" i="27"/>
  <c r="HF117" i="27"/>
  <c r="EL114" i="27"/>
  <c r="EM114" i="27"/>
  <c r="FI114" i="27"/>
  <c r="EN114" i="27"/>
  <c r="CR115" i="27"/>
  <c r="DM115" i="27"/>
  <c r="CQ115" i="27"/>
  <c r="CP115" i="27"/>
  <c r="CR113" i="27"/>
  <c r="DM113" i="27"/>
  <c r="CP113" i="27"/>
  <c r="CQ113" i="27"/>
  <c r="HB78" i="27"/>
  <c r="GZ78" i="27"/>
  <c r="HH78" i="27"/>
  <c r="HA78" i="27"/>
  <c r="DP82" i="27"/>
  <c r="DJ82" i="27"/>
  <c r="DH82" i="27"/>
  <c r="DI82" i="27"/>
  <c r="EZ85" i="27"/>
  <c r="EY85" i="27"/>
  <c r="FK85" i="27"/>
  <c r="EX85" i="27"/>
  <c r="EY87" i="27"/>
  <c r="EX87" i="27"/>
  <c r="EZ87" i="27"/>
  <c r="FK87" i="27"/>
  <c r="EL105" i="27"/>
  <c r="FI105" i="27"/>
  <c r="EN105" i="27"/>
  <c r="EM105" i="27"/>
  <c r="GI103" i="27"/>
  <c r="HE103" i="27"/>
  <c r="GH103" i="27"/>
  <c r="GJ103" i="27"/>
  <c r="EL106" i="27"/>
  <c r="FI106" i="27"/>
  <c r="EM106" i="27"/>
  <c r="EN106" i="27"/>
  <c r="FD69" i="27"/>
  <c r="FF69" i="27"/>
  <c r="FL69" i="27"/>
  <c r="FE69" i="27"/>
  <c r="GV78" i="27"/>
  <c r="GT78" i="27"/>
  <c r="HG78" i="27"/>
  <c r="HI78" i="27" s="1"/>
  <c r="GU78" i="27"/>
  <c r="EZ81" i="27"/>
  <c r="FK81" i="27"/>
  <c r="EX81" i="27"/>
  <c r="EY81" i="27"/>
  <c r="L85" i="31"/>
  <c r="AF85" i="31" s="1"/>
  <c r="AH81" i="3"/>
  <c r="DJ83" i="27"/>
  <c r="DH83" i="27"/>
  <c r="DI83" i="27"/>
  <c r="DP83" i="27"/>
  <c r="DI86" i="27"/>
  <c r="DJ86" i="27"/>
  <c r="DP86" i="27"/>
  <c r="DH86" i="27"/>
  <c r="DH84" i="27"/>
  <c r="DP84" i="27"/>
  <c r="DJ84" i="27"/>
  <c r="DI84" i="27"/>
  <c r="DN94" i="27"/>
  <c r="CV94" i="27"/>
  <c r="CX94" i="27"/>
  <c r="CW94" i="27"/>
  <c r="GO93" i="27"/>
  <c r="GN93" i="27"/>
  <c r="GP93" i="27"/>
  <c r="HF93" i="27"/>
  <c r="ET96" i="27"/>
  <c r="ER96" i="27"/>
  <c r="ES96" i="27"/>
  <c r="FJ96" i="27"/>
  <c r="GO95" i="27"/>
  <c r="GN95" i="27"/>
  <c r="GP95" i="27"/>
  <c r="HF95" i="27"/>
  <c r="CW98" i="27"/>
  <c r="DN98" i="27"/>
  <c r="CX98" i="27"/>
  <c r="CV98" i="27"/>
  <c r="HO48" i="27"/>
  <c r="HM48" i="27"/>
  <c r="BD82" i="31"/>
  <c r="AR82" i="31"/>
  <c r="AX82" i="31" s="1"/>
  <c r="FS43" i="27"/>
  <c r="FQ43" i="27"/>
  <c r="FQ57" i="27"/>
  <c r="FS57" i="27"/>
  <c r="AT74" i="31"/>
  <c r="AZ74" i="31" s="1"/>
  <c r="BF74" i="31"/>
  <c r="AJ68" i="31"/>
  <c r="Q68" i="31"/>
  <c r="DQ74" i="27"/>
  <c r="AJ69" i="31"/>
  <c r="Q69" i="31"/>
  <c r="BH60" i="31"/>
  <c r="AV60" i="31"/>
  <c r="BB60" i="31" s="1"/>
  <c r="Q67" i="31"/>
  <c r="AJ67" i="31"/>
  <c r="FS53" i="27"/>
  <c r="FQ53" i="27"/>
  <c r="GB210" i="27"/>
  <c r="GC210" i="27"/>
  <c r="GD210" i="27"/>
  <c r="HD210" i="27"/>
  <c r="GC201" i="27"/>
  <c r="GD201" i="27"/>
  <c r="HD201" i="27"/>
  <c r="GB201" i="27"/>
  <c r="FH207" i="27"/>
  <c r="EH207" i="27"/>
  <c r="EG207" i="27"/>
  <c r="EF207" i="27"/>
  <c r="GB208" i="27"/>
  <c r="GD208" i="27"/>
  <c r="HD208" i="27"/>
  <c r="GC208" i="27"/>
  <c r="HD203" i="27"/>
  <c r="GC203" i="27"/>
  <c r="GB203" i="27"/>
  <c r="GD203" i="27"/>
  <c r="FL61" i="27"/>
  <c r="FE61" i="27"/>
  <c r="FF61" i="27"/>
  <c r="FD61" i="27"/>
  <c r="DP67" i="27"/>
  <c r="DI67" i="27"/>
  <c r="DH67" i="27"/>
  <c r="DJ67" i="27"/>
  <c r="FD64" i="27"/>
  <c r="FL64" i="27"/>
  <c r="FF64" i="27"/>
  <c r="FE64" i="27"/>
  <c r="DB76" i="27"/>
  <c r="DC76" i="27"/>
  <c r="DD76" i="27"/>
  <c r="DO76" i="27"/>
  <c r="DD69" i="27"/>
  <c r="DC69" i="27"/>
  <c r="DO69" i="27"/>
  <c r="DB69" i="27"/>
  <c r="CL180" i="27"/>
  <c r="CJ180" i="27"/>
  <c r="DL180" i="27"/>
  <c r="CK180" i="27"/>
  <c r="GB179" i="27"/>
  <c r="GC179" i="27"/>
  <c r="GD179" i="27"/>
  <c r="HD179" i="27"/>
  <c r="EH175" i="27"/>
  <c r="FH175" i="27"/>
  <c r="EG175" i="27"/>
  <c r="EF175" i="27"/>
  <c r="GD178" i="27"/>
  <c r="HD178" i="27"/>
  <c r="GB178" i="27"/>
  <c r="GC178" i="27"/>
  <c r="CL173" i="27"/>
  <c r="DL173" i="27"/>
  <c r="CJ173" i="27"/>
  <c r="CK173" i="27"/>
  <c r="FH193" i="27"/>
  <c r="EF193" i="27"/>
  <c r="EH193" i="27"/>
  <c r="EG193" i="27"/>
  <c r="HD191" i="27"/>
  <c r="GB191" i="27"/>
  <c r="GD191" i="27"/>
  <c r="GC191" i="27"/>
  <c r="FH194" i="27"/>
  <c r="EG194" i="27"/>
  <c r="EH194" i="27"/>
  <c r="EF194" i="27"/>
  <c r="DL197" i="27"/>
  <c r="CJ197" i="27"/>
  <c r="CL197" i="27"/>
  <c r="CK197" i="27"/>
  <c r="EG188" i="27"/>
  <c r="EF188" i="27"/>
  <c r="EH188" i="27"/>
  <c r="FH188" i="27"/>
  <c r="GP106" i="27"/>
  <c r="GN106" i="27"/>
  <c r="HF106" i="27"/>
  <c r="GO106" i="27"/>
  <c r="GO103" i="27"/>
  <c r="GN103" i="27"/>
  <c r="HF103" i="27"/>
  <c r="GP103" i="27"/>
  <c r="EY60" i="27"/>
  <c r="FK60" i="27"/>
  <c r="FM60" i="27" s="1"/>
  <c r="EZ60" i="27"/>
  <c r="EX60" i="27"/>
  <c r="DB63" i="27"/>
  <c r="DO63" i="27"/>
  <c r="DC63" i="27"/>
  <c r="DD63" i="27"/>
  <c r="DB65" i="27"/>
  <c r="DC65" i="27"/>
  <c r="DD65" i="27"/>
  <c r="DO65" i="27"/>
  <c r="ER110" i="27"/>
  <c r="ES110" i="27"/>
  <c r="FJ110" i="27"/>
  <c r="ET110" i="27"/>
  <c r="CV109" i="27"/>
  <c r="CW109" i="27"/>
  <c r="CX109" i="27"/>
  <c r="DN109" i="27"/>
  <c r="ES112" i="27"/>
  <c r="ER112" i="27"/>
  <c r="ET112" i="27"/>
  <c r="FJ112" i="27"/>
  <c r="DM93" i="27"/>
  <c r="CP93" i="27"/>
  <c r="CQ93" i="27"/>
  <c r="CR93" i="27"/>
  <c r="CQ92" i="27"/>
  <c r="DM92" i="27"/>
  <c r="CP92" i="27"/>
  <c r="CR92" i="27"/>
  <c r="EM98" i="27"/>
  <c r="FI98" i="27"/>
  <c r="EL98" i="27"/>
  <c r="EN98" i="27"/>
  <c r="CR99" i="27"/>
  <c r="CP99" i="27"/>
  <c r="CQ99" i="27"/>
  <c r="DM99" i="27"/>
  <c r="FI96" i="27"/>
  <c r="EL96" i="27"/>
  <c r="EM96" i="27"/>
  <c r="EN96" i="27"/>
  <c r="DI75" i="27"/>
  <c r="DH75" i="27"/>
  <c r="DJ75" i="27"/>
  <c r="DP75" i="27"/>
  <c r="FE77" i="27"/>
  <c r="FF77" i="27"/>
  <c r="FD77" i="27"/>
  <c r="FL77" i="27"/>
  <c r="CV123" i="27"/>
  <c r="CX123" i="27"/>
  <c r="DN123" i="27"/>
  <c r="CW123" i="27"/>
  <c r="GO120" i="27"/>
  <c r="HF120" i="27"/>
  <c r="GP120" i="27"/>
  <c r="GN120" i="27"/>
  <c r="CW117" i="27"/>
  <c r="DN117" i="27"/>
  <c r="CV117" i="27"/>
  <c r="CX117" i="27"/>
  <c r="GJ114" i="27"/>
  <c r="GH114" i="27"/>
  <c r="GI114" i="27"/>
  <c r="HE114" i="27"/>
  <c r="GI109" i="27"/>
  <c r="GJ109" i="27"/>
  <c r="GH109" i="27"/>
  <c r="HE109" i="27"/>
  <c r="GI113" i="27"/>
  <c r="GH113" i="27"/>
  <c r="GJ113" i="27"/>
  <c r="HE113" i="27"/>
  <c r="DI79" i="27"/>
  <c r="DH79" i="27"/>
  <c r="DJ79" i="27"/>
  <c r="DP79" i="27"/>
  <c r="FF82" i="27"/>
  <c r="FL82" i="27"/>
  <c r="FD82" i="27"/>
  <c r="FE82" i="27"/>
  <c r="HG85" i="27"/>
  <c r="GU85" i="27"/>
  <c r="GT85" i="27"/>
  <c r="GV85" i="27"/>
  <c r="GT88" i="27"/>
  <c r="GU88" i="27"/>
  <c r="GV88" i="27"/>
  <c r="HG88" i="27"/>
  <c r="GJ105" i="27"/>
  <c r="GI105" i="27"/>
  <c r="HE105" i="27"/>
  <c r="GH105" i="27"/>
  <c r="CP103" i="27"/>
  <c r="CR103" i="27"/>
  <c r="DM103" i="27"/>
  <c r="CQ103" i="27"/>
  <c r="FE72" i="27"/>
  <c r="FD72" i="27"/>
  <c r="FF72" i="27"/>
  <c r="FL72" i="27"/>
  <c r="HH69" i="27"/>
  <c r="HB69" i="27"/>
  <c r="GZ69" i="27"/>
  <c r="HA69" i="27"/>
  <c r="DB78" i="27"/>
  <c r="DC78" i="27"/>
  <c r="DO78" i="27"/>
  <c r="DQ78" i="27" s="1"/>
  <c r="DD78" i="27"/>
  <c r="EY82" i="27"/>
  <c r="EZ82" i="27"/>
  <c r="FK82" i="27"/>
  <c r="EX82" i="27"/>
  <c r="M77" i="31"/>
  <c r="AG77" i="31" s="1"/>
  <c r="AI73" i="3"/>
  <c r="N79" i="31"/>
  <c r="AH79" i="31" s="1"/>
  <c r="AJ75" i="3"/>
  <c r="FD83" i="27"/>
  <c r="FE83" i="27"/>
  <c r="FF83" i="27"/>
  <c r="FL83" i="27"/>
  <c r="HA88" i="27"/>
  <c r="GZ88" i="27"/>
  <c r="HH88" i="27"/>
  <c r="HB88" i="27"/>
  <c r="GZ84" i="27"/>
  <c r="HA84" i="27"/>
  <c r="HB84" i="27"/>
  <c r="HH84" i="27"/>
  <c r="HI84" i="27" s="1"/>
  <c r="GN94" i="27"/>
  <c r="GO94" i="27"/>
  <c r="GP94" i="27"/>
  <c r="HF94" i="27"/>
  <c r="ES89" i="27"/>
  <c r="FJ89" i="27"/>
  <c r="ER89" i="27"/>
  <c r="ET89" i="27"/>
  <c r="DN96" i="27"/>
  <c r="CX96" i="27"/>
  <c r="CV96" i="27"/>
  <c r="CW96" i="27"/>
  <c r="CX95" i="27"/>
  <c r="DN95" i="27"/>
  <c r="CV95" i="27"/>
  <c r="CW95" i="27"/>
  <c r="O73" i="31"/>
  <c r="AI73" i="31" s="1"/>
  <c r="AK69" i="3"/>
  <c r="FM73" i="27"/>
  <c r="HI42" i="27"/>
  <c r="H23" i="5"/>
  <c r="R23" i="5" s="1"/>
  <c r="HM49" i="27"/>
  <c r="HO49" i="27"/>
  <c r="BH63" i="31"/>
  <c r="AV63" i="31"/>
  <c r="BB63" i="31" s="1"/>
  <c r="FQ50" i="27"/>
  <c r="FS50" i="27"/>
  <c r="DW40" i="27"/>
  <c r="DU40" i="27"/>
  <c r="CJ210" i="27"/>
  <c r="CL210" i="27"/>
  <c r="DL210" i="27"/>
  <c r="CK210" i="27"/>
  <c r="EF211" i="27"/>
  <c r="FH211" i="27"/>
  <c r="EH211" i="27"/>
  <c r="EG211" i="27"/>
  <c r="HD207" i="27"/>
  <c r="GB207" i="27"/>
  <c r="GC207" i="27"/>
  <c r="GD207" i="27"/>
  <c r="FH208" i="27"/>
  <c r="EH208" i="27"/>
  <c r="EF208" i="27"/>
  <c r="EG208" i="27"/>
  <c r="DP62" i="27"/>
  <c r="DJ62" i="27"/>
  <c r="DH62" i="27"/>
  <c r="DI62" i="27"/>
  <c r="HH61" i="27"/>
  <c r="HB61" i="27"/>
  <c r="GZ61" i="27"/>
  <c r="HA61" i="27"/>
  <c r="HA67" i="27"/>
  <c r="HH67" i="27"/>
  <c r="HB67" i="27"/>
  <c r="GZ67" i="27"/>
  <c r="DC75" i="27"/>
  <c r="DB75" i="27"/>
  <c r="DD75" i="27"/>
  <c r="DO75" i="27"/>
  <c r="GU76" i="27"/>
  <c r="HG76" i="27"/>
  <c r="GT76" i="27"/>
  <c r="GV76" i="27"/>
  <c r="GT70" i="27"/>
  <c r="HG70" i="27"/>
  <c r="GU70" i="27"/>
  <c r="GV70" i="27"/>
  <c r="EZ69" i="27"/>
  <c r="EX69" i="27"/>
  <c r="FK69" i="27"/>
  <c r="EY69" i="27"/>
  <c r="GB180" i="27"/>
  <c r="GC180" i="27"/>
  <c r="HD180" i="27"/>
  <c r="GD180" i="27"/>
  <c r="EG179" i="27"/>
  <c r="EF179" i="27"/>
  <c r="EH179" i="27"/>
  <c r="FH179" i="27"/>
  <c r="EG182" i="27"/>
  <c r="FH182" i="27"/>
  <c r="EH182" i="27"/>
  <c r="EF182" i="27"/>
  <c r="EG178" i="27"/>
  <c r="EF178" i="27"/>
  <c r="EH178" i="27"/>
  <c r="FH178" i="27"/>
  <c r="EG173" i="27"/>
  <c r="EF173" i="27"/>
  <c r="FH173" i="27"/>
  <c r="EH173" i="27"/>
  <c r="CK187" i="27"/>
  <c r="DL187" i="27"/>
  <c r="CJ187" i="27"/>
  <c r="CL187" i="27"/>
  <c r="EH191" i="27"/>
  <c r="EF191" i="27"/>
  <c r="EG191" i="27"/>
  <c r="FH191" i="27"/>
  <c r="DL194" i="27"/>
  <c r="CL194" i="27"/>
  <c r="CK194" i="27"/>
  <c r="CJ194" i="27"/>
  <c r="EG192" i="27"/>
  <c r="FH192" i="27"/>
  <c r="EH192" i="27"/>
  <c r="EF192" i="27"/>
  <c r="HD188" i="27"/>
  <c r="GC188" i="27"/>
  <c r="GD188" i="27"/>
  <c r="GB188" i="27"/>
  <c r="ES106" i="27"/>
  <c r="ET106" i="27"/>
  <c r="FJ106" i="27"/>
  <c r="ER106" i="27"/>
  <c r="GO107" i="27"/>
  <c r="GP107" i="27"/>
  <c r="HF107" i="27"/>
  <c r="GN107" i="27"/>
  <c r="HG60" i="27"/>
  <c r="HI60" i="27" s="1"/>
  <c r="GV60" i="27"/>
  <c r="GU60" i="27"/>
  <c r="GT60" i="27"/>
  <c r="EZ63" i="27"/>
  <c r="FK63" i="27"/>
  <c r="FM63" i="27" s="1"/>
  <c r="EX63" i="27"/>
  <c r="EY63" i="27"/>
  <c r="DB67" i="27"/>
  <c r="DO67" i="27"/>
  <c r="DD67" i="27"/>
  <c r="DC67" i="27"/>
  <c r="GP110" i="27"/>
  <c r="HF110" i="27"/>
  <c r="GO110" i="27"/>
  <c r="GN110" i="27"/>
  <c r="ET109" i="27"/>
  <c r="FJ109" i="27"/>
  <c r="ER109" i="27"/>
  <c r="ES109" i="27"/>
  <c r="ET113" i="27"/>
  <c r="ES113" i="27"/>
  <c r="FJ113" i="27"/>
  <c r="ER113" i="27"/>
  <c r="EN93" i="27"/>
  <c r="EL93" i="27"/>
  <c r="EM93" i="27"/>
  <c r="FI93" i="27"/>
  <c r="GJ92" i="27"/>
  <c r="HE92" i="27"/>
  <c r="GI92" i="27"/>
  <c r="GH92" i="27"/>
  <c r="CQ101" i="27"/>
  <c r="CP101" i="27"/>
  <c r="CR101" i="27"/>
  <c r="DM101" i="27"/>
  <c r="EL99" i="27"/>
  <c r="EM99" i="27"/>
  <c r="EN99" i="27"/>
  <c r="FI99" i="27"/>
  <c r="CR96" i="27"/>
  <c r="DM96" i="27"/>
  <c r="CP96" i="27"/>
  <c r="CQ96" i="27"/>
  <c r="FE75" i="27"/>
  <c r="FF75" i="27"/>
  <c r="FL75" i="27"/>
  <c r="FD75" i="27"/>
  <c r="GP119" i="27"/>
  <c r="GN119" i="27"/>
  <c r="GO119" i="27"/>
  <c r="HF119" i="27"/>
  <c r="ES123" i="27"/>
  <c r="ET123" i="27"/>
  <c r="FJ123" i="27"/>
  <c r="ER123" i="27"/>
  <c r="ET120" i="27"/>
  <c r="FJ120" i="27"/>
  <c r="ER120" i="27"/>
  <c r="ES120" i="27"/>
  <c r="CR111" i="27"/>
  <c r="DM111" i="27"/>
  <c r="CQ111" i="27"/>
  <c r="CP111" i="27"/>
  <c r="CQ114" i="27"/>
  <c r="CP114" i="27"/>
  <c r="DM114" i="27"/>
  <c r="CR114" i="27"/>
  <c r="EL109" i="27"/>
  <c r="FI109" i="27"/>
  <c r="EN109" i="27"/>
  <c r="EM109" i="27"/>
  <c r="FE79" i="27"/>
  <c r="FL79" i="27"/>
  <c r="FD79" i="27"/>
  <c r="FF79" i="27"/>
  <c r="FE81" i="27"/>
  <c r="FD81" i="27"/>
  <c r="FL81" i="27"/>
  <c r="FM81" i="27" s="1"/>
  <c r="FF81" i="27"/>
  <c r="DD85" i="27"/>
  <c r="DO85" i="27"/>
  <c r="DQ85" i="27" s="1"/>
  <c r="DB85" i="27"/>
  <c r="DC85" i="27"/>
  <c r="DD88" i="27"/>
  <c r="DC88" i="27"/>
  <c r="DO88" i="27"/>
  <c r="DB88" i="27"/>
  <c r="FI104" i="27"/>
  <c r="EL104" i="27"/>
  <c r="EN104" i="27"/>
  <c r="EM104" i="27"/>
  <c r="EL103" i="27"/>
  <c r="FI103" i="27"/>
  <c r="EN103" i="27"/>
  <c r="EM103" i="27"/>
  <c r="DJ72" i="27"/>
  <c r="DP72" i="27"/>
  <c r="DQ72" i="27" s="1"/>
  <c r="DH72" i="27"/>
  <c r="DI72" i="27"/>
  <c r="DH68" i="27"/>
  <c r="DP68" i="27"/>
  <c r="DJ68" i="27"/>
  <c r="DI68" i="27"/>
  <c r="EY78" i="27"/>
  <c r="EX78" i="27"/>
  <c r="EZ78" i="27"/>
  <c r="FK78" i="27"/>
  <c r="FM78" i="27" s="1"/>
  <c r="GT82" i="27"/>
  <c r="GU82" i="27"/>
  <c r="HG82" i="27"/>
  <c r="HI82" i="27" s="1"/>
  <c r="GV82" i="27"/>
  <c r="AI75" i="3"/>
  <c r="M79" i="31"/>
  <c r="AG79" i="31" s="1"/>
  <c r="N77" i="31"/>
  <c r="AH77" i="31" s="1"/>
  <c r="AJ73" i="3"/>
  <c r="GZ83" i="27"/>
  <c r="HH83" i="27"/>
  <c r="HA83" i="27"/>
  <c r="HB83" i="27"/>
  <c r="DJ88" i="27"/>
  <c r="DI88" i="27"/>
  <c r="DH88" i="27"/>
  <c r="DP88" i="27"/>
  <c r="ES92" i="27"/>
  <c r="ER92" i="27"/>
  <c r="ET92" i="27"/>
  <c r="FJ92" i="27"/>
  <c r="ER94" i="27"/>
  <c r="ES94" i="27"/>
  <c r="FJ94" i="27"/>
  <c r="ET94" i="27"/>
  <c r="GO89" i="27"/>
  <c r="HF89" i="27"/>
  <c r="GN89" i="27"/>
  <c r="GP89" i="27"/>
  <c r="GN101" i="27"/>
  <c r="GP101" i="27"/>
  <c r="HF101" i="27"/>
  <c r="GO101" i="27"/>
  <c r="ET95" i="27"/>
  <c r="FJ95" i="27"/>
  <c r="ES95" i="27"/>
  <c r="ER95" i="27"/>
  <c r="O74" i="31"/>
  <c r="AI74" i="31" s="1"/>
  <c r="AK70" i="3"/>
  <c r="BD83" i="31"/>
  <c r="AR83" i="31"/>
  <c r="AX83" i="31" s="1"/>
  <c r="DQ65" i="27"/>
  <c r="BQ50" i="23"/>
  <c r="BF73" i="31"/>
  <c r="AT73" i="31"/>
  <c r="AZ73" i="31" s="1"/>
  <c r="FM42" i="27"/>
  <c r="BG71" i="31"/>
  <c r="AU71" i="31"/>
  <c r="BA71" i="31" s="1"/>
  <c r="DQ43" i="27"/>
  <c r="HI43" i="27"/>
  <c r="BG70" i="31"/>
  <c r="AU70" i="31"/>
  <c r="BA70" i="31" s="1"/>
  <c r="DQ41" i="27"/>
  <c r="BG69" i="31"/>
  <c r="AU69" i="31"/>
  <c r="BA69" i="31" s="1"/>
  <c r="BH65" i="31"/>
  <c r="AV65" i="31"/>
  <c r="BB65" i="31" s="1"/>
  <c r="Q70" i="31"/>
  <c r="AJ70" i="31"/>
  <c r="EG199" i="27"/>
  <c r="FH199" i="27"/>
  <c r="EF199" i="27"/>
  <c r="EH199" i="27"/>
  <c r="EH210" i="27"/>
  <c r="EF210" i="27"/>
  <c r="FH210" i="27"/>
  <c r="EG210" i="27"/>
  <c r="CJ211" i="27"/>
  <c r="DL211" i="27"/>
  <c r="CK211" i="27"/>
  <c r="CL211" i="27"/>
  <c r="EG209" i="27"/>
  <c r="FH209" i="27"/>
  <c r="EH209" i="27"/>
  <c r="EF209" i="27"/>
  <c r="CL208" i="27"/>
  <c r="DL208" i="27"/>
  <c r="CJ208" i="27"/>
  <c r="CK208" i="27"/>
  <c r="FL62" i="27"/>
  <c r="FM62" i="27" s="1"/>
  <c r="FD62" i="27"/>
  <c r="FF62" i="27"/>
  <c r="FE62" i="27"/>
  <c r="HA63" i="27"/>
  <c r="HH63" i="27"/>
  <c r="HB63" i="27"/>
  <c r="GZ63" i="27"/>
  <c r="FL67" i="27"/>
  <c r="FF67" i="27"/>
  <c r="FD67" i="27"/>
  <c r="FE67" i="27"/>
  <c r="EY75" i="27"/>
  <c r="FK75" i="27"/>
  <c r="EX75" i="27"/>
  <c r="EZ75" i="27"/>
  <c r="GT74" i="27"/>
  <c r="HG74" i="27"/>
  <c r="HI74" i="27" s="1"/>
  <c r="GV74" i="27"/>
  <c r="GU74" i="27"/>
  <c r="EY70" i="27"/>
  <c r="FK70" i="27"/>
  <c r="FM70" i="27" s="1"/>
  <c r="EZ70" i="27"/>
  <c r="EX70" i="27"/>
  <c r="EZ68" i="27"/>
  <c r="FK68" i="27"/>
  <c r="EY68" i="27"/>
  <c r="EX68" i="27"/>
  <c r="GD185" i="27"/>
  <c r="GB185" i="27"/>
  <c r="HD185" i="27"/>
  <c r="GC185" i="27"/>
  <c r="CL179" i="27"/>
  <c r="CK179" i="27"/>
  <c r="CJ179" i="27"/>
  <c r="DL179" i="27"/>
  <c r="GC182" i="27"/>
  <c r="GD182" i="27"/>
  <c r="GB182" i="27"/>
  <c r="HD182" i="27"/>
  <c r="HD177" i="27"/>
  <c r="GD177" i="27"/>
  <c r="GB177" i="27"/>
  <c r="GC177" i="27"/>
  <c r="HD173" i="27"/>
  <c r="GD173" i="27"/>
  <c r="GB173" i="27"/>
  <c r="GC173" i="27"/>
  <c r="FH187" i="27"/>
  <c r="EG187" i="27"/>
  <c r="EH187" i="27"/>
  <c r="EF187" i="27"/>
  <c r="EF186" i="27"/>
  <c r="EH186" i="27"/>
  <c r="FH186" i="27"/>
  <c r="EG186" i="27"/>
  <c r="GC194" i="27"/>
  <c r="GD194" i="27"/>
  <c r="HD194" i="27"/>
  <c r="GB194" i="27"/>
  <c r="CL192" i="27"/>
  <c r="DL192" i="27"/>
  <c r="CJ192" i="27"/>
  <c r="CK192" i="27"/>
  <c r="DL190" i="27"/>
  <c r="CJ190" i="27"/>
  <c r="CK190" i="27"/>
  <c r="CL190" i="27"/>
  <c r="CW106" i="27"/>
  <c r="DN106" i="27"/>
  <c r="CV106" i="27"/>
  <c r="CX106" i="27"/>
  <c r="ER107" i="27"/>
  <c r="ET107" i="27"/>
  <c r="FJ107" i="27"/>
  <c r="ES107" i="27"/>
  <c r="DC61" i="27"/>
  <c r="DO61" i="27"/>
  <c r="DB61" i="27"/>
  <c r="DD61" i="27"/>
  <c r="HG63" i="27"/>
  <c r="GV63" i="27"/>
  <c r="GT63" i="27"/>
  <c r="GU63" i="27"/>
  <c r="GU67" i="27"/>
  <c r="GT67" i="27"/>
  <c r="HG67" i="27"/>
  <c r="GV67" i="27"/>
  <c r="GO111" i="27"/>
  <c r="GN111" i="27"/>
  <c r="GP111" i="27"/>
  <c r="HF111" i="27"/>
  <c r="GO109" i="27"/>
  <c r="HF109" i="27"/>
  <c r="GP109" i="27"/>
  <c r="GN109" i="27"/>
  <c r="CW113" i="27"/>
  <c r="CX113" i="27"/>
  <c r="DN113" i="27"/>
  <c r="CV113" i="27"/>
  <c r="HE89" i="27"/>
  <c r="GH89" i="27"/>
  <c r="GI89" i="27"/>
  <c r="GJ89" i="27"/>
  <c r="EL92" i="27"/>
  <c r="EM92" i="27"/>
  <c r="EN92" i="27"/>
  <c r="FI92" i="27"/>
  <c r="EM101" i="27"/>
  <c r="EL101" i="27"/>
  <c r="EN101" i="27"/>
  <c r="FI101" i="27"/>
  <c r="GI100" i="27"/>
  <c r="GJ100" i="27"/>
  <c r="HE100" i="27"/>
  <c r="GH100" i="27"/>
  <c r="GI96" i="27"/>
  <c r="GJ96" i="27"/>
  <c r="GH96" i="27"/>
  <c r="HE96" i="27"/>
  <c r="GZ76" i="27"/>
  <c r="HB76" i="27"/>
  <c r="HH76" i="27"/>
  <c r="HA76" i="27"/>
  <c r="HB75" i="27"/>
  <c r="HH75" i="27"/>
  <c r="GZ75" i="27"/>
  <c r="HA75" i="27"/>
  <c r="CW119" i="27"/>
  <c r="CX119" i="27"/>
  <c r="DN119" i="27"/>
  <c r="CV119" i="27"/>
  <c r="CX116" i="27"/>
  <c r="DN116" i="27"/>
  <c r="CW116" i="27"/>
  <c r="CV116" i="27"/>
  <c r="CX120" i="27"/>
  <c r="CW120" i="27"/>
  <c r="DN120" i="27"/>
  <c r="CV120" i="27"/>
  <c r="HE111" i="27"/>
  <c r="GJ111" i="27"/>
  <c r="GH111" i="27"/>
  <c r="GI111" i="27"/>
  <c r="GH108" i="27"/>
  <c r="GJ108" i="27"/>
  <c r="GI108" i="27"/>
  <c r="HE108" i="27"/>
  <c r="DM109" i="27"/>
  <c r="CP109" i="27"/>
  <c r="CR109" i="27"/>
  <c r="CQ109" i="27"/>
  <c r="HH79" i="27"/>
  <c r="HA79" i="27"/>
  <c r="GZ79" i="27"/>
  <c r="HB79" i="27"/>
  <c r="GZ81" i="27"/>
  <c r="HH81" i="27"/>
  <c r="HB81" i="27"/>
  <c r="HA81" i="27"/>
  <c r="DD84" i="27"/>
  <c r="DB84" i="27"/>
  <c r="DC84" i="27"/>
  <c r="DO84" i="27"/>
  <c r="EY88" i="27"/>
  <c r="EZ88" i="27"/>
  <c r="EX88" i="27"/>
  <c r="FK88" i="27"/>
  <c r="CQ104" i="27"/>
  <c r="CP104" i="27"/>
  <c r="DM104" i="27"/>
  <c r="CR104" i="27"/>
  <c r="CP102" i="27"/>
  <c r="CR102" i="27"/>
  <c r="DM102" i="27"/>
  <c r="CQ102" i="27"/>
  <c r="HA72" i="27"/>
  <c r="GZ72" i="27"/>
  <c r="HB72" i="27"/>
  <c r="HH72" i="27"/>
  <c r="FE68" i="27"/>
  <c r="FD68" i="27"/>
  <c r="FF68" i="27"/>
  <c r="FL68" i="27"/>
  <c r="GT80" i="27"/>
  <c r="HG80" i="27"/>
  <c r="GV80" i="27"/>
  <c r="GU80" i="27"/>
  <c r="DC82" i="27"/>
  <c r="DO82" i="27"/>
  <c r="DB82" i="27"/>
  <c r="DD82" i="27"/>
  <c r="M78" i="31"/>
  <c r="AG78" i="31" s="1"/>
  <c r="AI74" i="3"/>
  <c r="N78" i="31"/>
  <c r="AH78" i="31" s="1"/>
  <c r="AJ74" i="3"/>
  <c r="HA85" i="27"/>
  <c r="HB85" i="27"/>
  <c r="HH85" i="27"/>
  <c r="HI85" i="27" s="1"/>
  <c r="GZ85" i="27"/>
  <c r="FF88" i="27"/>
  <c r="FL88" i="27"/>
  <c r="FE88" i="27"/>
  <c r="FD88" i="27"/>
  <c r="HF92" i="27"/>
  <c r="GO92" i="27"/>
  <c r="GP92" i="27"/>
  <c r="GN92" i="27"/>
  <c r="ET91" i="27"/>
  <c r="ES91" i="27"/>
  <c r="ER91" i="27"/>
  <c r="FJ91" i="27"/>
  <c r="DN89" i="27"/>
  <c r="CX89" i="27"/>
  <c r="CW89" i="27"/>
  <c r="CV89" i="27"/>
  <c r="CX101" i="27"/>
  <c r="CW101" i="27"/>
  <c r="CV101" i="27"/>
  <c r="DN101" i="27"/>
  <c r="GO97" i="27"/>
  <c r="HF97" i="27"/>
  <c r="GN97" i="27"/>
  <c r="GP97" i="27"/>
  <c r="O75" i="31"/>
  <c r="AI75" i="31" s="1"/>
  <c r="AK71" i="3"/>
  <c r="BD84" i="31"/>
  <c r="AR84" i="31"/>
  <c r="AX84" i="31" s="1"/>
  <c r="HM59" i="27"/>
  <c r="HO59" i="27"/>
  <c r="HO57" i="27"/>
  <c r="HM57" i="27"/>
  <c r="AT75" i="31"/>
  <c r="AZ75" i="31" s="1"/>
  <c r="BF75" i="31"/>
  <c r="AV61" i="31"/>
  <c r="BB61" i="31" s="1"/>
  <c r="BH61" i="31"/>
  <c r="BR9" i="23"/>
  <c r="BS9" i="23" s="1"/>
  <c r="BT9" i="23" s="1"/>
  <c r="BW9" i="23" s="1"/>
  <c r="CE9" i="23" s="1"/>
  <c r="BR7" i="23"/>
  <c r="BS7" i="23" s="1"/>
  <c r="BT7" i="23" s="1"/>
  <c r="BW7" i="23" s="1"/>
  <c r="CE7" i="23" s="1"/>
  <c r="BR8" i="23"/>
  <c r="BS8" i="23" s="1"/>
  <c r="BT8" i="23" s="1"/>
  <c r="BW8" i="23" s="1"/>
  <c r="CE8" i="23" s="1"/>
  <c r="BR6" i="23"/>
  <c r="BS6" i="23" s="1"/>
  <c r="BT6" i="23" s="1"/>
  <c r="BW6" i="23" s="1"/>
  <c r="CE6" i="23" s="1"/>
  <c r="BR5" i="23"/>
  <c r="BS5" i="23" s="1"/>
  <c r="BT5" i="23" s="1"/>
  <c r="HI87" i="27"/>
  <c r="HD199" i="27"/>
  <c r="GD199" i="27"/>
  <c r="GB199" i="27"/>
  <c r="GC199" i="27"/>
  <c r="FH206" i="27"/>
  <c r="EF206" i="27"/>
  <c r="EG206" i="27"/>
  <c r="EH206" i="27"/>
  <c r="GB211" i="27"/>
  <c r="HD211" i="27"/>
  <c r="GD211" i="27"/>
  <c r="GC211" i="27"/>
  <c r="DL209" i="27"/>
  <c r="CK209" i="27"/>
  <c r="CL209" i="27"/>
  <c r="CJ209" i="27"/>
  <c r="GD200" i="27"/>
  <c r="GB200" i="27"/>
  <c r="GC200" i="27"/>
  <c r="HD200" i="27"/>
  <c r="HA62" i="27"/>
  <c r="GZ62" i="27"/>
  <c r="HB62" i="27"/>
  <c r="HH62" i="27"/>
  <c r="DH63" i="27"/>
  <c r="DI63" i="27"/>
  <c r="DJ63" i="27"/>
  <c r="DP63" i="27"/>
  <c r="HB65" i="27"/>
  <c r="HH65" i="27"/>
  <c r="HA65" i="27"/>
  <c r="GZ65" i="27"/>
  <c r="GU75" i="27"/>
  <c r="GV75" i="27"/>
  <c r="GT75" i="27"/>
  <c r="HG75" i="27"/>
  <c r="HI75" i="27" s="1"/>
  <c r="EY74" i="27"/>
  <c r="EZ74" i="27"/>
  <c r="FK74" i="27"/>
  <c r="FM74" i="27" s="1"/>
  <c r="EX74" i="27"/>
  <c r="DC70" i="27"/>
  <c r="DB70" i="27"/>
  <c r="DO70" i="27"/>
  <c r="DQ70" i="27" s="1"/>
  <c r="DD70" i="27"/>
  <c r="GT68" i="27"/>
  <c r="GU68" i="27"/>
  <c r="HG68" i="27"/>
  <c r="GV68" i="27"/>
  <c r="CK185" i="27"/>
  <c r="CL185" i="27"/>
  <c r="DL185" i="27"/>
  <c r="CJ185" i="27"/>
  <c r="GC181" i="27"/>
  <c r="HD181" i="27"/>
  <c r="GD181" i="27"/>
  <c r="GB181" i="27"/>
  <c r="CL182" i="27"/>
  <c r="CJ182" i="27"/>
  <c r="DL182" i="27"/>
  <c r="CK182" i="27"/>
  <c r="EH177" i="27"/>
  <c r="EF177" i="27"/>
  <c r="EG177" i="27"/>
  <c r="FH177" i="27"/>
  <c r="GC174" i="27"/>
  <c r="GD174" i="27"/>
  <c r="HD174" i="27"/>
  <c r="GB174" i="27"/>
  <c r="GD187" i="27"/>
  <c r="GC187" i="27"/>
  <c r="HD187" i="27"/>
  <c r="GB187" i="27"/>
  <c r="GB186" i="27"/>
  <c r="GC186" i="27"/>
  <c r="GD186" i="27"/>
  <c r="HD186" i="27"/>
  <c r="EF189" i="27"/>
  <c r="FH189" i="27"/>
  <c r="EG189" i="27"/>
  <c r="EH189" i="27"/>
  <c r="GC192" i="27"/>
  <c r="HD192" i="27"/>
  <c r="GB192" i="27"/>
  <c r="GD192" i="27"/>
  <c r="EF190" i="27"/>
  <c r="EG190" i="27"/>
  <c r="EH190" i="27"/>
  <c r="FH190" i="27"/>
  <c r="CW104" i="27"/>
  <c r="DN104" i="27"/>
  <c r="CX104" i="27"/>
  <c r="CV104" i="27"/>
  <c r="CW107" i="27"/>
  <c r="CV107" i="27"/>
  <c r="CX107" i="27"/>
  <c r="DN107" i="27"/>
  <c r="GU61" i="27"/>
  <c r="GT61" i="27"/>
  <c r="HG61" i="27"/>
  <c r="GV61" i="27"/>
  <c r="DC64" i="27"/>
  <c r="DO64" i="27"/>
  <c r="DQ64" i="27" s="1"/>
  <c r="DB64" i="27"/>
  <c r="DD64" i="27"/>
  <c r="EY67" i="27"/>
  <c r="EZ67" i="27"/>
  <c r="FK67" i="27"/>
  <c r="FM67" i="27" s="1"/>
  <c r="EX67" i="27"/>
  <c r="DN111" i="27"/>
  <c r="CW111" i="27"/>
  <c r="CV111" i="27"/>
  <c r="CX111" i="27"/>
  <c r="GO114" i="27"/>
  <c r="HF114" i="27"/>
  <c r="GP114" i="27"/>
  <c r="GN114" i="27"/>
  <c r="GP113" i="27"/>
  <c r="GN113" i="27"/>
  <c r="HF113" i="27"/>
  <c r="GO113" i="27"/>
  <c r="FI89" i="27"/>
  <c r="EL89" i="27"/>
  <c r="EM89" i="27"/>
  <c r="EN89" i="27"/>
  <c r="EM94" i="27"/>
  <c r="EN94" i="27"/>
  <c r="FI94" i="27"/>
  <c r="EL94" i="27"/>
  <c r="GI101" i="27"/>
  <c r="GJ101" i="27"/>
  <c r="GH101" i="27"/>
  <c r="HE101" i="27"/>
  <c r="EL100" i="27"/>
  <c r="FI100" i="27"/>
  <c r="EM100" i="27"/>
  <c r="EN100" i="27"/>
  <c r="DH76" i="27"/>
  <c r="DP76" i="27"/>
  <c r="DI76" i="27"/>
  <c r="DJ76" i="27"/>
  <c r="HA73" i="27"/>
  <c r="GZ73" i="27"/>
  <c r="HH73" i="27"/>
  <c r="HB73" i="27"/>
  <c r="ER119" i="27"/>
  <c r="ET119" i="27"/>
  <c r="ES119" i="27"/>
  <c r="FJ119" i="27"/>
  <c r="ES116" i="27"/>
  <c r="FJ116" i="27"/>
  <c r="ER116" i="27"/>
  <c r="ET116" i="27"/>
  <c r="GO121" i="27"/>
  <c r="GN121" i="27"/>
  <c r="GP121" i="27"/>
  <c r="HF121" i="27"/>
  <c r="EM111" i="27"/>
  <c r="EN111" i="27"/>
  <c r="FI111" i="27"/>
  <c r="EL111" i="27"/>
  <c r="EN108" i="27"/>
  <c r="EL108" i="27"/>
  <c r="EM108" i="27"/>
  <c r="FI108" i="27"/>
  <c r="EN112" i="27"/>
  <c r="EL112" i="27"/>
  <c r="EM112" i="27"/>
  <c r="FI112" i="27"/>
  <c r="HA80" i="27"/>
  <c r="GZ80" i="27"/>
  <c r="HH80" i="27"/>
  <c r="HB80" i="27"/>
  <c r="DJ81" i="27"/>
  <c r="DH81" i="27"/>
  <c r="DI81" i="27"/>
  <c r="DP81" i="27"/>
  <c r="DQ81" i="27" s="1"/>
  <c r="EZ84" i="27"/>
  <c r="EY84" i="27"/>
  <c r="FK84" i="27"/>
  <c r="EX84" i="27"/>
  <c r="DB86" i="27"/>
  <c r="DD86" i="27"/>
  <c r="DO86" i="27"/>
  <c r="DQ86" i="27" s="1"/>
  <c r="DC86" i="27"/>
  <c r="GH104" i="27"/>
  <c r="GJ104" i="27"/>
  <c r="HE104" i="27"/>
  <c r="GI104" i="27"/>
  <c r="FI102" i="27"/>
  <c r="EN102" i="27"/>
  <c r="EL102" i="27"/>
  <c r="EM102" i="27"/>
  <c r="GZ71" i="27"/>
  <c r="HB71" i="27"/>
  <c r="HH71" i="27"/>
  <c r="HA71" i="27"/>
  <c r="GZ68" i="27"/>
  <c r="HH68" i="27"/>
  <c r="HI68" i="27" s="1"/>
  <c r="HB68" i="27"/>
  <c r="HA68" i="27"/>
  <c r="DB80" i="27"/>
  <c r="DD80" i="27"/>
  <c r="DO80" i="27"/>
  <c r="DC80" i="27"/>
  <c r="EZ79" i="27"/>
  <c r="FK79" i="27"/>
  <c r="FM79" i="27" s="1"/>
  <c r="EX79" i="27"/>
  <c r="EY79" i="27"/>
  <c r="M76" i="31"/>
  <c r="AG76" i="31" s="1"/>
  <c r="AI72" i="3"/>
  <c r="P74" i="31"/>
  <c r="AL70" i="3"/>
  <c r="FD85" i="27"/>
  <c r="FF85" i="27"/>
  <c r="FL85" i="27"/>
  <c r="FE85" i="27"/>
  <c r="DJ87" i="27"/>
  <c r="DI87" i="27"/>
  <c r="DH87" i="27"/>
  <c r="DP87" i="27"/>
  <c r="DQ87" i="27" s="1"/>
  <c r="CW92" i="27"/>
  <c r="CX92" i="27"/>
  <c r="DN92" i="27"/>
  <c r="CV92" i="27"/>
  <c r="CX91" i="27"/>
  <c r="CW91" i="27"/>
  <c r="CV91" i="27"/>
  <c r="DN91" i="27"/>
  <c r="CX99" i="27"/>
  <c r="DN99" i="27"/>
  <c r="CV99" i="27"/>
  <c r="CW99" i="27"/>
  <c r="ET101" i="27"/>
  <c r="ER101" i="27"/>
  <c r="FJ101" i="27"/>
  <c r="ES101" i="27"/>
  <c r="ET97" i="27"/>
  <c r="ES97" i="27"/>
  <c r="ER97" i="27"/>
  <c r="FJ97" i="27"/>
  <c r="O72" i="31"/>
  <c r="AI72" i="31" s="1"/>
  <c r="AK68" i="3"/>
  <c r="I23" i="5"/>
  <c r="S23" i="5" s="1"/>
  <c r="K22" i="5"/>
  <c r="U22" i="5" s="1"/>
  <c r="J22" i="5"/>
  <c r="T22" i="5" s="1"/>
  <c r="G26" i="5"/>
  <c r="Q26" i="5" s="1"/>
  <c r="AG137" i="27"/>
  <c r="S170" i="27"/>
  <c r="L297" i="27"/>
  <c r="AO239" i="3"/>
  <c r="S158" i="27"/>
  <c r="AO247" i="3"/>
  <c r="S155" i="27"/>
  <c r="AP101" i="3"/>
  <c r="AG132" i="27"/>
  <c r="AP111" i="3"/>
  <c r="S154" i="27"/>
  <c r="AO221" i="3"/>
  <c r="AO224" i="3"/>
  <c r="AO251" i="3"/>
  <c r="Z79" i="5"/>
  <c r="L262" i="27"/>
  <c r="L260" i="27"/>
  <c r="AO220" i="3"/>
  <c r="L267" i="27"/>
  <c r="Z162" i="27"/>
  <c r="L298" i="27"/>
  <c r="AB77" i="5"/>
  <c r="S166" i="27"/>
  <c r="AO222" i="3"/>
  <c r="AO256" i="3"/>
  <c r="AP104" i="3"/>
  <c r="AP116" i="3"/>
  <c r="AR59" i="3"/>
  <c r="AQ90" i="3"/>
  <c r="AN127" i="27"/>
  <c r="AO255" i="3"/>
  <c r="Z171" i="27"/>
  <c r="L285" i="27"/>
  <c r="AN131" i="27"/>
  <c r="Y79" i="5"/>
  <c r="AQ87" i="3"/>
  <c r="AN125" i="27"/>
  <c r="AN120" i="27"/>
  <c r="AR60" i="3"/>
  <c r="AR49" i="3"/>
  <c r="AP118" i="3"/>
  <c r="Z163" i="27"/>
  <c r="Z167" i="27"/>
  <c r="AP114" i="3"/>
  <c r="AA76" i="5"/>
  <c r="L286" i="27"/>
  <c r="Y81" i="5"/>
  <c r="AR51" i="3"/>
  <c r="AN134" i="27"/>
  <c r="L296" i="27"/>
  <c r="AG138" i="27"/>
  <c r="AO215" i="3"/>
  <c r="AQ102" i="3"/>
  <c r="AP121" i="3"/>
  <c r="AG124" i="27"/>
  <c r="AO243" i="3"/>
  <c r="AO235" i="3"/>
  <c r="AP105" i="3"/>
  <c r="AS30" i="3"/>
  <c r="L283" i="27"/>
  <c r="AP110" i="3"/>
  <c r="AO226" i="3"/>
  <c r="AG140" i="27"/>
  <c r="AO219" i="3"/>
  <c r="AO238" i="3"/>
  <c r="AG128" i="27"/>
  <c r="AN133" i="27"/>
  <c r="AN141" i="27"/>
  <c r="AO210" i="3"/>
  <c r="AG121" i="27"/>
  <c r="AG120" i="27"/>
  <c r="AG122" i="27"/>
  <c r="AO242" i="3"/>
  <c r="AQ99" i="3"/>
  <c r="AN139" i="27"/>
  <c r="AO231" i="3"/>
  <c r="AN124" i="27"/>
  <c r="AN128" i="27"/>
  <c r="AB76" i="5"/>
  <c r="L268" i="27"/>
  <c r="AN117" i="27"/>
  <c r="X88" i="5"/>
  <c r="AO211" i="3"/>
  <c r="L291" i="27"/>
  <c r="AO241" i="3"/>
  <c r="S153" i="27"/>
  <c r="AP122" i="3"/>
  <c r="AG133" i="27"/>
  <c r="L276" i="27"/>
  <c r="S156" i="27"/>
  <c r="AG131" i="27"/>
  <c r="AP127" i="3"/>
  <c r="S163" i="27"/>
  <c r="X87" i="5"/>
  <c r="AR57" i="3"/>
  <c r="AP120" i="3"/>
  <c r="AN135" i="27"/>
  <c r="AO223" i="3"/>
  <c r="Z153" i="27"/>
  <c r="L266" i="27"/>
  <c r="AQ92" i="3"/>
  <c r="AN122" i="27"/>
  <c r="AO245" i="3"/>
  <c r="S172" i="27"/>
  <c r="AG136" i="27"/>
  <c r="AO234" i="3"/>
  <c r="L295" i="27"/>
  <c r="S171" i="27"/>
  <c r="AN130" i="27"/>
  <c r="AO244" i="3"/>
  <c r="AO252" i="3"/>
  <c r="Z156" i="27"/>
  <c r="S162" i="27"/>
  <c r="AG139" i="27"/>
  <c r="AR56" i="3"/>
  <c r="AO250" i="3"/>
  <c r="AN123" i="27"/>
  <c r="AQ103" i="3"/>
  <c r="AA78" i="5"/>
  <c r="AQ89" i="3"/>
  <c r="AG127" i="27"/>
  <c r="Z172" i="27"/>
  <c r="AQ91" i="3"/>
  <c r="AR53" i="3"/>
  <c r="AP108" i="3"/>
  <c r="S159" i="27"/>
  <c r="AP128" i="3"/>
  <c r="L290" i="27"/>
  <c r="AO236" i="3"/>
  <c r="AO230" i="3"/>
  <c r="L264" i="27"/>
  <c r="AS34" i="3"/>
  <c r="AO213" i="3"/>
  <c r="Z152" i="27"/>
  <c r="AO254" i="3"/>
  <c r="L274" i="27"/>
  <c r="AQ106" i="3"/>
  <c r="AG125" i="27"/>
  <c r="L270" i="27"/>
  <c r="AG123" i="27"/>
  <c r="AG130" i="27"/>
  <c r="Z159" i="27"/>
  <c r="AO246" i="3"/>
  <c r="AQ104" i="3"/>
  <c r="AP115" i="3"/>
  <c r="L280" i="27"/>
  <c r="Z154" i="27"/>
  <c r="AO233" i="3"/>
  <c r="S169" i="27"/>
  <c r="AB78" i="5"/>
  <c r="AG116" i="27"/>
  <c r="Z161" i="27"/>
  <c r="AO228" i="3"/>
  <c r="L271" i="27"/>
  <c r="S165" i="27"/>
  <c r="Z81" i="5"/>
  <c r="Z168" i="27"/>
  <c r="AP112" i="3"/>
  <c r="Z170" i="27"/>
  <c r="AO253" i="3"/>
  <c r="L284" i="27"/>
  <c r="L281" i="27"/>
  <c r="AP107" i="3"/>
  <c r="L275" i="27"/>
  <c r="AO217" i="3"/>
  <c r="AN140" i="27"/>
  <c r="AP99" i="3"/>
  <c r="Y80" i="5"/>
  <c r="AQ100" i="3"/>
  <c r="AN116" i="27"/>
  <c r="AQ94" i="3"/>
  <c r="AQ97" i="3"/>
  <c r="AG117" i="27"/>
  <c r="AP126" i="3"/>
  <c r="S168" i="27"/>
  <c r="S164" i="27"/>
  <c r="Z155" i="27"/>
  <c r="AO229" i="3"/>
  <c r="Z80" i="5"/>
  <c r="S160" i="27"/>
  <c r="AS32" i="3"/>
  <c r="L265" i="27"/>
  <c r="AO232" i="3"/>
  <c r="AP100" i="3"/>
  <c r="AQ96" i="3"/>
  <c r="L288" i="27"/>
  <c r="AO225" i="3"/>
  <c r="AN132" i="27"/>
  <c r="Z157" i="27"/>
  <c r="AS29" i="3"/>
  <c r="AN138" i="27"/>
  <c r="AO257" i="3"/>
  <c r="AG141" i="27"/>
  <c r="L278" i="27"/>
  <c r="AQ101" i="3"/>
  <c r="S167" i="27"/>
  <c r="AR58" i="3"/>
  <c r="AP123" i="3"/>
  <c r="AA77" i="5"/>
  <c r="AP109" i="3"/>
  <c r="L292" i="27"/>
  <c r="AR54" i="3"/>
  <c r="AN136" i="27"/>
  <c r="Z158" i="27"/>
  <c r="S157" i="27"/>
  <c r="AP129" i="3"/>
  <c r="AO214" i="3"/>
  <c r="L263" i="27"/>
  <c r="L272" i="27"/>
  <c r="L277" i="27"/>
  <c r="AN126" i="27"/>
  <c r="AQ88" i="3"/>
  <c r="AO240" i="3"/>
  <c r="AP113" i="3"/>
  <c r="AG119" i="27"/>
  <c r="Z164" i="27"/>
  <c r="Z166" i="27"/>
  <c r="AQ95" i="3"/>
  <c r="AO218" i="3"/>
  <c r="L261" i="27"/>
  <c r="S152" i="27"/>
  <c r="S161" i="27"/>
  <c r="AN121" i="27"/>
  <c r="AR50" i="3"/>
  <c r="Z169" i="27"/>
  <c r="L282" i="27"/>
  <c r="Z160" i="27"/>
  <c r="AS31" i="3"/>
  <c r="AS28" i="3"/>
  <c r="AO212" i="3"/>
  <c r="AP102" i="3"/>
  <c r="AR47" i="3"/>
  <c r="AG126" i="27"/>
  <c r="L273" i="27"/>
  <c r="L279" i="27"/>
  <c r="L289" i="27"/>
  <c r="AO237" i="3"/>
  <c r="AO216" i="3"/>
  <c r="AP103" i="3"/>
  <c r="Z165" i="27"/>
  <c r="L269" i="27"/>
  <c r="AQ93" i="3"/>
  <c r="AP125" i="3"/>
  <c r="AS33" i="3"/>
  <c r="AP106" i="3"/>
  <c r="L287" i="27"/>
  <c r="AO249" i="3"/>
  <c r="AP124" i="3"/>
  <c r="AG134" i="27"/>
  <c r="AG129" i="27"/>
  <c r="AP119" i="3"/>
  <c r="AN119" i="27"/>
  <c r="AO248" i="3"/>
  <c r="AN137" i="27"/>
  <c r="AN129" i="27"/>
  <c r="AG118" i="27"/>
  <c r="AQ105" i="3"/>
  <c r="AO227" i="3"/>
  <c r="AR48" i="3"/>
  <c r="AG135" i="27"/>
  <c r="AP117" i="3"/>
  <c r="AQ98" i="3"/>
  <c r="AR55" i="3"/>
  <c r="L293" i="27"/>
  <c r="AR52" i="3"/>
  <c r="AN118" i="27"/>
  <c r="L294" i="27"/>
  <c r="FM69" i="27" l="1"/>
  <c r="FS55" i="27"/>
  <c r="DW47" i="27"/>
  <c r="DU59" i="27"/>
  <c r="DQ69" i="27"/>
  <c r="HO54" i="27"/>
  <c r="FM87" i="27"/>
  <c r="DQ82" i="27"/>
  <c r="HI64" i="27"/>
  <c r="FM76" i="27"/>
  <c r="DQ67" i="27"/>
  <c r="DQ80" i="27"/>
  <c r="DQ88" i="27"/>
  <c r="DW88" i="27" s="1"/>
  <c r="HI66" i="27"/>
  <c r="FM75" i="27"/>
  <c r="HM45" i="27"/>
  <c r="FM71" i="27"/>
  <c r="FQ71" i="27" s="1"/>
  <c r="FM64" i="27"/>
  <c r="HI76" i="27"/>
  <c r="FM88" i="27"/>
  <c r="DQ73" i="27"/>
  <c r="DW73" i="27" s="1"/>
  <c r="FM85" i="27"/>
  <c r="DQ83" i="27"/>
  <c r="FQ48" i="27"/>
  <c r="FM84" i="27"/>
  <c r="FS84" i="27" s="1"/>
  <c r="DQ75" i="27"/>
  <c r="HI73" i="27"/>
  <c r="HI80" i="27"/>
  <c r="FM68" i="27"/>
  <c r="FQ68" i="27" s="1"/>
  <c r="DQ66" i="27"/>
  <c r="DQ71" i="27"/>
  <c r="DU71" i="27" s="1"/>
  <c r="FM80" i="27"/>
  <c r="FS80" i="27" s="1"/>
  <c r="DQ62" i="27"/>
  <c r="DU62" i="27" s="1"/>
  <c r="FM77" i="27"/>
  <c r="DQ79" i="27"/>
  <c r="HI67" i="27"/>
  <c r="HI71" i="27"/>
  <c r="HM71" i="27" s="1"/>
  <c r="HI70" i="27"/>
  <c r="FM86" i="27"/>
  <c r="FM83" i="27"/>
  <c r="FS83" i="27" s="1"/>
  <c r="HI79" i="27"/>
  <c r="HM79" i="27" s="1"/>
  <c r="FM61" i="27"/>
  <c r="HI72" i="27"/>
  <c r="HI77" i="27"/>
  <c r="DQ77" i="27"/>
  <c r="DW77" i="27" s="1"/>
  <c r="HI88" i="27"/>
  <c r="DQ76" i="27"/>
  <c r="DW76" i="27" s="1"/>
  <c r="HI83" i="27"/>
  <c r="HM83" i="27" s="1"/>
  <c r="FM72" i="27"/>
  <c r="FS72" i="27" s="1"/>
  <c r="CM172" i="27"/>
  <c r="EI172" i="27"/>
  <c r="GE172" i="27"/>
  <c r="GE165" i="27"/>
  <c r="EI165" i="27"/>
  <c r="CM165" i="27"/>
  <c r="CM166" i="27"/>
  <c r="GE166" i="27"/>
  <c r="EI166" i="27"/>
  <c r="CM171" i="27"/>
  <c r="EI171" i="27"/>
  <c r="GE171" i="27"/>
  <c r="EI164" i="27"/>
  <c r="CM164" i="27"/>
  <c r="GE164" i="27"/>
  <c r="CM162" i="27"/>
  <c r="GE162" i="27"/>
  <c r="EI162" i="27"/>
  <c r="CM167" i="27"/>
  <c r="GE167" i="27"/>
  <c r="EI167" i="27"/>
  <c r="GE169" i="27"/>
  <c r="CM169" i="27"/>
  <c r="EI169" i="27"/>
  <c r="EI168" i="27"/>
  <c r="CM168" i="27"/>
  <c r="GE168" i="27"/>
  <c r="CM163" i="27"/>
  <c r="GE163" i="27"/>
  <c r="EI163" i="27"/>
  <c r="GE170" i="27"/>
  <c r="EI170" i="27"/>
  <c r="CM170" i="27"/>
  <c r="EI159" i="27"/>
  <c r="GE159" i="27"/>
  <c r="CM159" i="27"/>
  <c r="CM161" i="27"/>
  <c r="GE161" i="27"/>
  <c r="EI161" i="27"/>
  <c r="EI157" i="27"/>
  <c r="CM157" i="27"/>
  <c r="GE157" i="27"/>
  <c r="GE154" i="27"/>
  <c r="CM154" i="27"/>
  <c r="EI154" i="27"/>
  <c r="CM155" i="27"/>
  <c r="GE155" i="27"/>
  <c r="EI155" i="27"/>
  <c r="CM160" i="27"/>
  <c r="EI160" i="27"/>
  <c r="GE160" i="27"/>
  <c r="GE152" i="27"/>
  <c r="CM152" i="27"/>
  <c r="EI152" i="27"/>
  <c r="GE156" i="27"/>
  <c r="EI156" i="27"/>
  <c r="CM156" i="27"/>
  <c r="GE158" i="27"/>
  <c r="CM158" i="27"/>
  <c r="EI158" i="27"/>
  <c r="CM153" i="27"/>
  <c r="EI153" i="27"/>
  <c r="GE153" i="27"/>
  <c r="DE132" i="27"/>
  <c r="GW132" i="27"/>
  <c r="FA132" i="27"/>
  <c r="DE134" i="27"/>
  <c r="FA134" i="27"/>
  <c r="GW134" i="27"/>
  <c r="FA136" i="27"/>
  <c r="DE136" i="27"/>
  <c r="GW136" i="27"/>
  <c r="FA141" i="27"/>
  <c r="GW141" i="27"/>
  <c r="DE141" i="27"/>
  <c r="FA139" i="27"/>
  <c r="DE139" i="27"/>
  <c r="GW139" i="27"/>
  <c r="FA135" i="27"/>
  <c r="GW135" i="27"/>
  <c r="DE135" i="27"/>
  <c r="FA140" i="27"/>
  <c r="GW140" i="27"/>
  <c r="DE140" i="27"/>
  <c r="DE138" i="27"/>
  <c r="FA138" i="27"/>
  <c r="GW138" i="27"/>
  <c r="FA133" i="27"/>
  <c r="GW133" i="27"/>
  <c r="DE133" i="27"/>
  <c r="GW137" i="27"/>
  <c r="DE137" i="27"/>
  <c r="FA137" i="27"/>
  <c r="GQ129" i="27"/>
  <c r="EU129" i="27"/>
  <c r="CY129" i="27"/>
  <c r="GQ126" i="27"/>
  <c r="EU126" i="27"/>
  <c r="CY126" i="27"/>
  <c r="GQ127" i="27"/>
  <c r="CY127" i="27"/>
  <c r="EU127" i="27"/>
  <c r="EU125" i="27"/>
  <c r="CY125" i="27"/>
  <c r="GQ125" i="27"/>
  <c r="EU131" i="27"/>
  <c r="CY131" i="27"/>
  <c r="GQ131" i="27"/>
  <c r="EU124" i="27"/>
  <c r="GQ124" i="27"/>
  <c r="CY124" i="27"/>
  <c r="EU128" i="27"/>
  <c r="GQ128" i="27"/>
  <c r="CY128" i="27"/>
  <c r="EU130" i="27"/>
  <c r="CY130" i="27"/>
  <c r="GQ130" i="27"/>
  <c r="GQ122" i="27"/>
  <c r="EU122" i="27"/>
  <c r="CY122" i="27"/>
  <c r="EU117" i="27"/>
  <c r="CY117" i="27"/>
  <c r="GQ117" i="27"/>
  <c r="CY116" i="27"/>
  <c r="GQ116" i="27"/>
  <c r="EU116" i="27"/>
  <c r="EU123" i="27"/>
  <c r="GQ123" i="27"/>
  <c r="CY123" i="27"/>
  <c r="CY121" i="27"/>
  <c r="EU121" i="27"/>
  <c r="GQ121" i="27"/>
  <c r="GQ118" i="27"/>
  <c r="EU118" i="27"/>
  <c r="CY118" i="27"/>
  <c r="EU119" i="27"/>
  <c r="GQ119" i="27"/>
  <c r="CY119" i="27"/>
  <c r="CY120" i="27"/>
  <c r="GQ120" i="27"/>
  <c r="EU120" i="27"/>
  <c r="AF75" i="3"/>
  <c r="AF77" i="3"/>
  <c r="AF76" i="3"/>
  <c r="AD78" i="3"/>
  <c r="AD79" i="3"/>
  <c r="AD80" i="3"/>
  <c r="AB86" i="3"/>
  <c r="AB87" i="3"/>
  <c r="AE75" i="3"/>
  <c r="AE76" i="3"/>
  <c r="AE77" i="3"/>
  <c r="AT34" i="3"/>
  <c r="AT33" i="3"/>
  <c r="AT30" i="3"/>
  <c r="AT29" i="3"/>
  <c r="AT28" i="3"/>
  <c r="EU136" i="27"/>
  <c r="GQ136" i="27"/>
  <c r="CY136" i="27"/>
  <c r="GQ134" i="27"/>
  <c r="EU134" i="27"/>
  <c r="CY134" i="27"/>
  <c r="EU140" i="27"/>
  <c r="GQ140" i="27"/>
  <c r="CY140" i="27"/>
  <c r="GQ138" i="27"/>
  <c r="EU138" i="27"/>
  <c r="CY138" i="27"/>
  <c r="EU133" i="27"/>
  <c r="CY133" i="27"/>
  <c r="GQ133" i="27"/>
  <c r="CY132" i="27"/>
  <c r="GQ132" i="27"/>
  <c r="EU132" i="27"/>
  <c r="GQ139" i="27"/>
  <c r="EU139" i="27"/>
  <c r="CY139" i="27"/>
  <c r="EU141" i="27"/>
  <c r="CY141" i="27"/>
  <c r="GQ141" i="27"/>
  <c r="CY135" i="27"/>
  <c r="EU135" i="27"/>
  <c r="GQ135" i="27"/>
  <c r="CY137" i="27"/>
  <c r="GQ137" i="27"/>
  <c r="EU137" i="27"/>
  <c r="CS162" i="27"/>
  <c r="GK162" i="27"/>
  <c r="EO162" i="27"/>
  <c r="CS166" i="27"/>
  <c r="EO166" i="27"/>
  <c r="GK166" i="27"/>
  <c r="GK169" i="27"/>
  <c r="EO169" i="27"/>
  <c r="CS169" i="27"/>
  <c r="CS170" i="27"/>
  <c r="GK170" i="27"/>
  <c r="EO170" i="27"/>
  <c r="EO167" i="27"/>
  <c r="CS167" i="27"/>
  <c r="GK167" i="27"/>
  <c r="CS171" i="27"/>
  <c r="EO171" i="27"/>
  <c r="GK171" i="27"/>
  <c r="GK165" i="27"/>
  <c r="CS165" i="27"/>
  <c r="EO165" i="27"/>
  <c r="CS168" i="27"/>
  <c r="GK168" i="27"/>
  <c r="EO168" i="27"/>
  <c r="CS164" i="27"/>
  <c r="EO164" i="27"/>
  <c r="GK164" i="27"/>
  <c r="GK172" i="27"/>
  <c r="CS172" i="27"/>
  <c r="EO172" i="27"/>
  <c r="EO163" i="27"/>
  <c r="CS163" i="27"/>
  <c r="GK163" i="27"/>
  <c r="EO158" i="27"/>
  <c r="CS158" i="27"/>
  <c r="GK158" i="27"/>
  <c r="CS160" i="27"/>
  <c r="GK160" i="27"/>
  <c r="EO160" i="27"/>
  <c r="GK156" i="27"/>
  <c r="EO156" i="27"/>
  <c r="CS156" i="27"/>
  <c r="EO161" i="27"/>
  <c r="GK161" i="27"/>
  <c r="CS161" i="27"/>
  <c r="EO155" i="27"/>
  <c r="GK155" i="27"/>
  <c r="CS155" i="27"/>
  <c r="GK157" i="27"/>
  <c r="CS157" i="27"/>
  <c r="EO157" i="27"/>
  <c r="CS152" i="27"/>
  <c r="EO152" i="27"/>
  <c r="GK152" i="27"/>
  <c r="CS154" i="27"/>
  <c r="EO154" i="27"/>
  <c r="GK154" i="27"/>
  <c r="EO159" i="27"/>
  <c r="GK159" i="27"/>
  <c r="CS159" i="27"/>
  <c r="CS153" i="27"/>
  <c r="EO153" i="27"/>
  <c r="GK153" i="27"/>
  <c r="AC79" i="3"/>
  <c r="AC80" i="3"/>
  <c r="AC78" i="3"/>
  <c r="AT31" i="3"/>
  <c r="AT32" i="3"/>
  <c r="FA127" i="27"/>
  <c r="DE127" i="27"/>
  <c r="GW127" i="27"/>
  <c r="GW124" i="27"/>
  <c r="FA124" i="27"/>
  <c r="DE124" i="27"/>
  <c r="FA128" i="27"/>
  <c r="DE128" i="27"/>
  <c r="GW128" i="27"/>
  <c r="DE130" i="27"/>
  <c r="GW130" i="27"/>
  <c r="FA130" i="27"/>
  <c r="DE129" i="27"/>
  <c r="FA129" i="27"/>
  <c r="GW129" i="27"/>
  <c r="FA125" i="27"/>
  <c r="GW125" i="27"/>
  <c r="DE125" i="27"/>
  <c r="FA131" i="27"/>
  <c r="GW131" i="27"/>
  <c r="DE131" i="27"/>
  <c r="FA126" i="27"/>
  <c r="DE126" i="27"/>
  <c r="GW126" i="27"/>
  <c r="FA122" i="27"/>
  <c r="GW122" i="27"/>
  <c r="DE122" i="27"/>
  <c r="DE116" i="27"/>
  <c r="GW116" i="27"/>
  <c r="FA116" i="27"/>
  <c r="DE123" i="27"/>
  <c r="FA123" i="27"/>
  <c r="GW123" i="27"/>
  <c r="DE120" i="27"/>
  <c r="GW120" i="27"/>
  <c r="FA120" i="27"/>
  <c r="FA118" i="27"/>
  <c r="DE118" i="27"/>
  <c r="GW118" i="27"/>
  <c r="GW121" i="27"/>
  <c r="FA121" i="27"/>
  <c r="DE121" i="27"/>
  <c r="GW119" i="27"/>
  <c r="DE119" i="27"/>
  <c r="FA119" i="27"/>
  <c r="FA117" i="27"/>
  <c r="GW117" i="27"/>
  <c r="DE117" i="27"/>
  <c r="CG298" i="27"/>
  <c r="FY298" i="27"/>
  <c r="EC298" i="27"/>
  <c r="FY287" i="27"/>
  <c r="EC287" i="27"/>
  <c r="CG287" i="27"/>
  <c r="EC286" i="27"/>
  <c r="FY286" i="27"/>
  <c r="CG286" i="27"/>
  <c r="EC291" i="27"/>
  <c r="CG291" i="27"/>
  <c r="FY291" i="27"/>
  <c r="FY290" i="27"/>
  <c r="CG290" i="27"/>
  <c r="EC290" i="27"/>
  <c r="FY285" i="27"/>
  <c r="EC285" i="27"/>
  <c r="CG285" i="27"/>
  <c r="CG281" i="27"/>
  <c r="FY281" i="27"/>
  <c r="EC281" i="27"/>
  <c r="CG293" i="27"/>
  <c r="EC293" i="27"/>
  <c r="FY293" i="27"/>
  <c r="CG279" i="27"/>
  <c r="EC279" i="27"/>
  <c r="FY279" i="27"/>
  <c r="FY284" i="27"/>
  <c r="EC284" i="27"/>
  <c r="CG284" i="27"/>
  <c r="FY280" i="27"/>
  <c r="EC280" i="27"/>
  <c r="CG280" i="27"/>
  <c r="EC297" i="27"/>
  <c r="CG297" i="27"/>
  <c r="FY297" i="27"/>
  <c r="FY292" i="27"/>
  <c r="CG292" i="27"/>
  <c r="EC292" i="27"/>
  <c r="FY283" i="27"/>
  <c r="CG283" i="27"/>
  <c r="EC283" i="27"/>
  <c r="FY289" i="27"/>
  <c r="CG289" i="27"/>
  <c r="EC289" i="27"/>
  <c r="EC296" i="27"/>
  <c r="FY296" i="27"/>
  <c r="CG296" i="27"/>
  <c r="CG295" i="27"/>
  <c r="EC295" i="27"/>
  <c r="FY295" i="27"/>
  <c r="FY294" i="27"/>
  <c r="CG294" i="27"/>
  <c r="EC294" i="27"/>
  <c r="EC288" i="27"/>
  <c r="CG288" i="27"/>
  <c r="FY288" i="27"/>
  <c r="FY282" i="27"/>
  <c r="CG282" i="27"/>
  <c r="EC282" i="27"/>
  <c r="EC264" i="27"/>
  <c r="CG264" i="27"/>
  <c r="FY264" i="27"/>
  <c r="FY272" i="27"/>
  <c r="CG272" i="27"/>
  <c r="EC272" i="27"/>
  <c r="EC266" i="27"/>
  <c r="CG266" i="27"/>
  <c r="FY266" i="27"/>
  <c r="EC265" i="27"/>
  <c r="CG265" i="27"/>
  <c r="FY265" i="27"/>
  <c r="EC276" i="27"/>
  <c r="CG276" i="27"/>
  <c r="FY276" i="27"/>
  <c r="FY273" i="27"/>
  <c r="EC273" i="27"/>
  <c r="CG273" i="27"/>
  <c r="FY262" i="27"/>
  <c r="CG262" i="27"/>
  <c r="EC262" i="27"/>
  <c r="EC275" i="27"/>
  <c r="CG275" i="27"/>
  <c r="FY275" i="27"/>
  <c r="EC270" i="27"/>
  <c r="CG270" i="27"/>
  <c r="FY270" i="27"/>
  <c r="CG263" i="27"/>
  <c r="EC263" i="27"/>
  <c r="FY263" i="27"/>
  <c r="CG267" i="27"/>
  <c r="FY267" i="27"/>
  <c r="EC267" i="27"/>
  <c r="CG278" i="27"/>
  <c r="FY278" i="27"/>
  <c r="EC278" i="27"/>
  <c r="EC271" i="27"/>
  <c r="CG271" i="27"/>
  <c r="FY271" i="27"/>
  <c r="FY269" i="27"/>
  <c r="CG269" i="27"/>
  <c r="EC269" i="27"/>
  <c r="EC268" i="27"/>
  <c r="CG268" i="27"/>
  <c r="FY268" i="27"/>
  <c r="EC274" i="27"/>
  <c r="CG274" i="27"/>
  <c r="FY274" i="27"/>
  <c r="FY261" i="27"/>
  <c r="EC261" i="27"/>
  <c r="CG261" i="27"/>
  <c r="FY260" i="27"/>
  <c r="CG260" i="27"/>
  <c r="EC260" i="27"/>
  <c r="FY277" i="27"/>
  <c r="CG277" i="27"/>
  <c r="EC277" i="27"/>
  <c r="HO70" i="27"/>
  <c r="HM70" i="27"/>
  <c r="HM77" i="27"/>
  <c r="HO77" i="27"/>
  <c r="HM68" i="27"/>
  <c r="HO68" i="27"/>
  <c r="FS85" i="27"/>
  <c r="FQ85" i="27"/>
  <c r="DW41" i="27"/>
  <c r="DU41" i="27"/>
  <c r="DU65" i="27"/>
  <c r="DW65" i="27"/>
  <c r="HO76" i="27"/>
  <c r="HM76" i="27"/>
  <c r="HO88" i="27"/>
  <c r="HM88" i="27"/>
  <c r="FS87" i="27"/>
  <c r="FQ87" i="27"/>
  <c r="FQ77" i="27"/>
  <c r="FS77" i="27"/>
  <c r="DW83" i="27"/>
  <c r="DU83" i="27"/>
  <c r="DU80" i="27"/>
  <c r="DW80" i="27"/>
  <c r="M80" i="31"/>
  <c r="AG80" i="31" s="1"/>
  <c r="AI76" i="3"/>
  <c r="GT104" i="27"/>
  <c r="GV104" i="27"/>
  <c r="HG104" i="27"/>
  <c r="GU104" i="27"/>
  <c r="FI139" i="27"/>
  <c r="EM139" i="27"/>
  <c r="EN139" i="27"/>
  <c r="EL139" i="27"/>
  <c r="EL136" i="27"/>
  <c r="EM136" i="27"/>
  <c r="EN136" i="27"/>
  <c r="FI136" i="27"/>
  <c r="CP135" i="27"/>
  <c r="CQ135" i="27"/>
  <c r="CR135" i="27"/>
  <c r="DM135" i="27"/>
  <c r="FI138" i="27"/>
  <c r="EM138" i="27"/>
  <c r="EN138" i="27"/>
  <c r="EL138" i="27"/>
  <c r="P77" i="31"/>
  <c r="AL73" i="3"/>
  <c r="DW81" i="27"/>
  <c r="DU81" i="27"/>
  <c r="DQ84" i="27"/>
  <c r="BH70" i="31"/>
  <c r="AV70" i="31"/>
  <c r="BB70" i="31" s="1"/>
  <c r="FM82" i="27"/>
  <c r="FQ65" i="27"/>
  <c r="FS65" i="27"/>
  <c r="O76" i="31"/>
  <c r="AI76" i="31" s="1"/>
  <c r="AK72" i="3"/>
  <c r="FS74" i="27"/>
  <c r="FQ74" i="27"/>
  <c r="HO87" i="27"/>
  <c r="HM87" i="27"/>
  <c r="FQ60" i="27"/>
  <c r="FS60" i="27"/>
  <c r="HI65" i="27"/>
  <c r="HI69" i="27"/>
  <c r="FS76" i="27"/>
  <c r="FQ76" i="27"/>
  <c r="DU79" i="27"/>
  <c r="DW79" i="27"/>
  <c r="HI86" i="27"/>
  <c r="GC218" i="27"/>
  <c r="HD218" i="27"/>
  <c r="GB218" i="27"/>
  <c r="GD218" i="27"/>
  <c r="EG225" i="27"/>
  <c r="EH225" i="27"/>
  <c r="EF225" i="27"/>
  <c r="FH225" i="27"/>
  <c r="EG217" i="27"/>
  <c r="EF217" i="27"/>
  <c r="EH217" i="27"/>
  <c r="FH217" i="27"/>
  <c r="CJ220" i="27"/>
  <c r="DL220" i="27"/>
  <c r="CK220" i="27"/>
  <c r="CL220" i="27"/>
  <c r="EF213" i="27"/>
  <c r="EG213" i="27"/>
  <c r="EH213" i="27"/>
  <c r="FH213" i="27"/>
  <c r="GC237" i="27"/>
  <c r="HD237" i="27"/>
  <c r="GD237" i="27"/>
  <c r="GB237" i="27"/>
  <c r="HD230" i="27"/>
  <c r="GD230" i="27"/>
  <c r="GB230" i="27"/>
  <c r="GC230" i="27"/>
  <c r="GD238" i="27"/>
  <c r="GB238" i="27"/>
  <c r="GC238" i="27"/>
  <c r="HD238" i="27"/>
  <c r="GB232" i="27"/>
  <c r="GD232" i="27"/>
  <c r="HD232" i="27"/>
  <c r="GC232" i="27"/>
  <c r="EH235" i="27"/>
  <c r="EF235" i="27"/>
  <c r="FH235" i="27"/>
  <c r="EG235" i="27"/>
  <c r="GD241" i="27"/>
  <c r="HD241" i="27"/>
  <c r="GB241" i="27"/>
  <c r="GC241" i="27"/>
  <c r="DD102" i="27"/>
  <c r="DO102" i="27"/>
  <c r="DC102" i="27"/>
  <c r="DB102" i="27"/>
  <c r="FQ79" i="27"/>
  <c r="FS79" i="27"/>
  <c r="DW64" i="27"/>
  <c r="DU64" i="27"/>
  <c r="HO80" i="27"/>
  <c r="HM80" i="27"/>
  <c r="DW75" i="27"/>
  <c r="DU75" i="27"/>
  <c r="HO73" i="27"/>
  <c r="HM73" i="27"/>
  <c r="FH221" i="27"/>
  <c r="EH221" i="27"/>
  <c r="EG221" i="27"/>
  <c r="EF221" i="27"/>
  <c r="EF218" i="27"/>
  <c r="EH218" i="27"/>
  <c r="EG218" i="27"/>
  <c r="FH218" i="27"/>
  <c r="CJ225" i="27"/>
  <c r="CL225" i="27"/>
  <c r="DL225" i="27"/>
  <c r="CK225" i="27"/>
  <c r="EG226" i="27"/>
  <c r="EF226" i="27"/>
  <c r="FH226" i="27"/>
  <c r="EH226" i="27"/>
  <c r="GB220" i="27"/>
  <c r="HD220" i="27"/>
  <c r="GD220" i="27"/>
  <c r="GC220" i="27"/>
  <c r="GC213" i="27"/>
  <c r="GB213" i="27"/>
  <c r="GD213" i="27"/>
  <c r="HD213" i="27"/>
  <c r="DL231" i="27"/>
  <c r="CJ231" i="27"/>
  <c r="CL231" i="27"/>
  <c r="CK231" i="27"/>
  <c r="EH230" i="27"/>
  <c r="FH230" i="27"/>
  <c r="EG230" i="27"/>
  <c r="EF230" i="27"/>
  <c r="EH238" i="27"/>
  <c r="FH238" i="27"/>
  <c r="EF238" i="27"/>
  <c r="EG238" i="27"/>
  <c r="GB236" i="27"/>
  <c r="HD236" i="27"/>
  <c r="GD236" i="27"/>
  <c r="GC236" i="27"/>
  <c r="CL235" i="27"/>
  <c r="CJ235" i="27"/>
  <c r="CK235" i="27"/>
  <c r="DL235" i="27"/>
  <c r="EH241" i="27"/>
  <c r="FH241" i="27"/>
  <c r="EG241" i="27"/>
  <c r="EF241" i="27"/>
  <c r="FL90" i="27"/>
  <c r="FD90" i="27"/>
  <c r="FF90" i="27"/>
  <c r="FE90" i="27"/>
  <c r="FL93" i="27"/>
  <c r="FF93" i="27"/>
  <c r="FE93" i="27"/>
  <c r="FD93" i="27"/>
  <c r="DI96" i="27"/>
  <c r="DP96" i="27"/>
  <c r="DQ96" i="27" s="1"/>
  <c r="DH96" i="27"/>
  <c r="DJ96" i="27"/>
  <c r="FF98" i="27"/>
  <c r="FL98" i="27"/>
  <c r="FE98" i="27"/>
  <c r="FD98" i="27"/>
  <c r="DJ97" i="27"/>
  <c r="DP97" i="27"/>
  <c r="DH97" i="27"/>
  <c r="DI97" i="27"/>
  <c r="HH103" i="27"/>
  <c r="GZ103" i="27"/>
  <c r="HB103" i="27"/>
  <c r="HA103" i="27"/>
  <c r="DP107" i="27"/>
  <c r="DI107" i="27"/>
  <c r="DJ107" i="27"/>
  <c r="DH107" i="27"/>
  <c r="DU85" i="27"/>
  <c r="DW85" i="27"/>
  <c r="DU67" i="27"/>
  <c r="DW67" i="27"/>
  <c r="HM74" i="27"/>
  <c r="HO74" i="27"/>
  <c r="FS70" i="27"/>
  <c r="FQ70" i="27"/>
  <c r="FQ78" i="27"/>
  <c r="FS78" i="27"/>
  <c r="ES145" i="27"/>
  <c r="FJ145" i="27"/>
  <c r="ER145" i="27"/>
  <c r="ET145" i="27"/>
  <c r="ET149" i="27"/>
  <c r="FJ149" i="27"/>
  <c r="ER149" i="27"/>
  <c r="ES149" i="27"/>
  <c r="ES147" i="27"/>
  <c r="ER147" i="27"/>
  <c r="ET147" i="27"/>
  <c r="FJ147" i="27"/>
  <c r="ES150" i="27"/>
  <c r="ET150" i="27"/>
  <c r="ER150" i="27"/>
  <c r="FJ150" i="27"/>
  <c r="FI150" i="27"/>
  <c r="EL150" i="27"/>
  <c r="EN150" i="27"/>
  <c r="EM150" i="27"/>
  <c r="CR143" i="27"/>
  <c r="CP143" i="27"/>
  <c r="CQ143" i="27"/>
  <c r="DM143" i="27"/>
  <c r="HE151" i="27"/>
  <c r="GI151" i="27"/>
  <c r="GH151" i="27"/>
  <c r="GJ151" i="27"/>
  <c r="CQ146" i="27"/>
  <c r="DM146" i="27"/>
  <c r="CR146" i="27"/>
  <c r="CP146" i="27"/>
  <c r="EY109" i="27"/>
  <c r="EX109" i="27"/>
  <c r="EZ109" i="27"/>
  <c r="FK109" i="27"/>
  <c r="FM109" i="27" s="1"/>
  <c r="DO113" i="27"/>
  <c r="DC113" i="27"/>
  <c r="DD113" i="27"/>
  <c r="DB113" i="27"/>
  <c r="GV115" i="27"/>
  <c r="GU115" i="27"/>
  <c r="GT115" i="27"/>
  <c r="HG115" i="27"/>
  <c r="GO124" i="27"/>
  <c r="GP124" i="27"/>
  <c r="GN124" i="27"/>
  <c r="HF124" i="27"/>
  <c r="HF131" i="27"/>
  <c r="GN131" i="27"/>
  <c r="GO131" i="27"/>
  <c r="GP131" i="27"/>
  <c r="GP125" i="27"/>
  <c r="GO125" i="27"/>
  <c r="GN125" i="27"/>
  <c r="HF125" i="27"/>
  <c r="DN132" i="27"/>
  <c r="CW132" i="27"/>
  <c r="CX132" i="27"/>
  <c r="CV132" i="27"/>
  <c r="GN134" i="27"/>
  <c r="GO134" i="27"/>
  <c r="GP134" i="27"/>
  <c r="HF134" i="27"/>
  <c r="ES141" i="27"/>
  <c r="ET141" i="27"/>
  <c r="FJ141" i="27"/>
  <c r="ER141" i="27"/>
  <c r="GO136" i="27"/>
  <c r="GN136" i="27"/>
  <c r="HF136" i="27"/>
  <c r="GP136" i="27"/>
  <c r="DJ94" i="27"/>
  <c r="DP94" i="27"/>
  <c r="DI94" i="27"/>
  <c r="DH94" i="27"/>
  <c r="DJ93" i="27"/>
  <c r="DH93" i="27"/>
  <c r="DP93" i="27"/>
  <c r="DI93" i="27"/>
  <c r="FF96" i="27"/>
  <c r="FE96" i="27"/>
  <c r="FL96" i="27"/>
  <c r="FD96" i="27"/>
  <c r="FL99" i="27"/>
  <c r="FD99" i="27"/>
  <c r="FF99" i="27"/>
  <c r="FE99" i="27"/>
  <c r="HB97" i="27"/>
  <c r="HA97" i="27"/>
  <c r="GZ97" i="27"/>
  <c r="HH97" i="27"/>
  <c r="HI97" i="27" s="1"/>
  <c r="FE103" i="27"/>
  <c r="FL103" i="27"/>
  <c r="FF103" i="27"/>
  <c r="FD103" i="27"/>
  <c r="DJ106" i="27"/>
  <c r="DH106" i="27"/>
  <c r="DP106" i="27"/>
  <c r="DI106" i="27"/>
  <c r="DU87" i="27"/>
  <c r="DW87" i="27"/>
  <c r="HM75" i="27"/>
  <c r="HO75" i="27"/>
  <c r="FQ88" i="27"/>
  <c r="FS88" i="27"/>
  <c r="BG74" i="31"/>
  <c r="AU74" i="31"/>
  <c r="BA74" i="31" s="1"/>
  <c r="HM60" i="27"/>
  <c r="HO60" i="27"/>
  <c r="DW86" i="27"/>
  <c r="DU86" i="27"/>
  <c r="DW78" i="27"/>
  <c r="DU78" i="27"/>
  <c r="DW74" i="27"/>
  <c r="DU74" i="27"/>
  <c r="HO78" i="27"/>
  <c r="HM78" i="27"/>
  <c r="FQ86" i="27"/>
  <c r="FS86" i="27"/>
  <c r="EY91" i="27"/>
  <c r="EX91" i="27"/>
  <c r="FK91" i="27"/>
  <c r="EZ91" i="27"/>
  <c r="DO92" i="27"/>
  <c r="DD92" i="27"/>
  <c r="DB92" i="27"/>
  <c r="DC92" i="27"/>
  <c r="HG101" i="27"/>
  <c r="GV101" i="27"/>
  <c r="GU101" i="27"/>
  <c r="GT101" i="27"/>
  <c r="GV97" i="27"/>
  <c r="HG97" i="27"/>
  <c r="GT97" i="27"/>
  <c r="GU97" i="27"/>
  <c r="HG95" i="27"/>
  <c r="GT95" i="27"/>
  <c r="GU95" i="27"/>
  <c r="GV95" i="27"/>
  <c r="FD109" i="27"/>
  <c r="FF109" i="27"/>
  <c r="FE109" i="27"/>
  <c r="FL109" i="27"/>
  <c r="DI110" i="27"/>
  <c r="DH110" i="27"/>
  <c r="DJ110" i="27"/>
  <c r="DP110" i="27"/>
  <c r="GZ114" i="27"/>
  <c r="HB114" i="27"/>
  <c r="HA114" i="27"/>
  <c r="HH114" i="27"/>
  <c r="HI114" i="27" s="1"/>
  <c r="EN123" i="27"/>
  <c r="FI123" i="27"/>
  <c r="EM123" i="27"/>
  <c r="EL123" i="27"/>
  <c r="GJ118" i="27"/>
  <c r="GI118" i="27"/>
  <c r="HE118" i="27"/>
  <c r="GH118" i="27"/>
  <c r="GH122" i="27"/>
  <c r="GJ122" i="27"/>
  <c r="HE122" i="27"/>
  <c r="GI122" i="27"/>
  <c r="GH124" i="27"/>
  <c r="HE124" i="27"/>
  <c r="GI124" i="27"/>
  <c r="GJ124" i="27"/>
  <c r="GI129" i="27"/>
  <c r="GJ129" i="27"/>
  <c r="HE129" i="27"/>
  <c r="GH129" i="27"/>
  <c r="HE125" i="27"/>
  <c r="GH125" i="27"/>
  <c r="GI125" i="27"/>
  <c r="GJ125" i="27"/>
  <c r="HF145" i="27"/>
  <c r="GN145" i="27"/>
  <c r="GP145" i="27"/>
  <c r="GO145" i="27"/>
  <c r="CX149" i="27"/>
  <c r="DN149" i="27"/>
  <c r="CW149" i="27"/>
  <c r="CV149" i="27"/>
  <c r="GN148" i="27"/>
  <c r="GO148" i="27"/>
  <c r="HF148" i="27"/>
  <c r="GP148" i="27"/>
  <c r="CW150" i="27"/>
  <c r="CV150" i="27"/>
  <c r="CX150" i="27"/>
  <c r="DN150" i="27"/>
  <c r="CR150" i="27"/>
  <c r="DM150" i="27"/>
  <c r="CQ150" i="27"/>
  <c r="CP150" i="27"/>
  <c r="HE149" i="27"/>
  <c r="GI149" i="27"/>
  <c r="GJ149" i="27"/>
  <c r="GH149" i="27"/>
  <c r="EN151" i="27"/>
  <c r="EL151" i="27"/>
  <c r="EM151" i="27"/>
  <c r="FI151" i="27"/>
  <c r="EM146" i="27"/>
  <c r="EL146" i="27"/>
  <c r="EN146" i="27"/>
  <c r="FI146" i="27"/>
  <c r="HG114" i="27"/>
  <c r="GT114" i="27"/>
  <c r="GU114" i="27"/>
  <c r="GV114" i="27"/>
  <c r="GT113" i="27"/>
  <c r="HG113" i="27"/>
  <c r="GU113" i="27"/>
  <c r="GV113" i="27"/>
  <c r="EX115" i="27"/>
  <c r="FK115" i="27"/>
  <c r="EZ115" i="27"/>
  <c r="EY115" i="27"/>
  <c r="FJ130" i="27"/>
  <c r="ER130" i="27"/>
  <c r="ET130" i="27"/>
  <c r="ES130" i="27"/>
  <c r="ES131" i="27"/>
  <c r="ER131" i="27"/>
  <c r="ET131" i="27"/>
  <c r="FJ131" i="27"/>
  <c r="FJ125" i="27"/>
  <c r="ET125" i="27"/>
  <c r="ER125" i="27"/>
  <c r="ES125" i="27"/>
  <c r="ER138" i="27"/>
  <c r="ES138" i="27"/>
  <c r="FJ138" i="27"/>
  <c r="ET138" i="27"/>
  <c r="FJ134" i="27"/>
  <c r="ET134" i="27"/>
  <c r="ES134" i="27"/>
  <c r="ER134" i="27"/>
  <c r="GO141" i="27"/>
  <c r="HF141" i="27"/>
  <c r="GP141" i="27"/>
  <c r="GN141" i="27"/>
  <c r="DW70" i="27"/>
  <c r="DU70" i="27"/>
  <c r="HM85" i="27"/>
  <c r="HO85" i="27"/>
  <c r="HO67" i="27"/>
  <c r="HM67" i="27"/>
  <c r="FS81" i="27"/>
  <c r="FQ81" i="27"/>
  <c r="HO71" i="27"/>
  <c r="FQ66" i="27"/>
  <c r="FS66" i="27"/>
  <c r="BH66" i="31"/>
  <c r="AV66" i="31"/>
  <c r="BB66" i="31" s="1"/>
  <c r="FQ61" i="27"/>
  <c r="FS61" i="27"/>
  <c r="HO72" i="27"/>
  <c r="HM72" i="27"/>
  <c r="GU91" i="27"/>
  <c r="GV91" i="27"/>
  <c r="GT91" i="27"/>
  <c r="HG91" i="27"/>
  <c r="GT94" i="27"/>
  <c r="GV94" i="27"/>
  <c r="HG94" i="27"/>
  <c r="GU94" i="27"/>
  <c r="DB101" i="27"/>
  <c r="DD101" i="27"/>
  <c r="DO101" i="27"/>
  <c r="DC101" i="27"/>
  <c r="EY97" i="27"/>
  <c r="FK97" i="27"/>
  <c r="EZ97" i="27"/>
  <c r="EX97" i="27"/>
  <c r="HG99" i="27"/>
  <c r="GV99" i="27"/>
  <c r="GT99" i="27"/>
  <c r="GU99" i="27"/>
  <c r="GZ109" i="27"/>
  <c r="HH109" i="27"/>
  <c r="HA109" i="27"/>
  <c r="HB109" i="27"/>
  <c r="FL110" i="27"/>
  <c r="FD110" i="27"/>
  <c r="FE110" i="27"/>
  <c r="FF110" i="27"/>
  <c r="HH113" i="27"/>
  <c r="GZ113" i="27"/>
  <c r="HB113" i="27"/>
  <c r="HA113" i="27"/>
  <c r="CR123" i="27"/>
  <c r="DM123" i="27"/>
  <c r="CQ123" i="27"/>
  <c r="CP123" i="27"/>
  <c r="EL118" i="27"/>
  <c r="EN118" i="27"/>
  <c r="FI118" i="27"/>
  <c r="EM118" i="27"/>
  <c r="CR121" i="27"/>
  <c r="CQ121" i="27"/>
  <c r="DM121" i="27"/>
  <c r="CP121" i="27"/>
  <c r="CR124" i="27"/>
  <c r="CQ124" i="27"/>
  <c r="DM124" i="27"/>
  <c r="CP124" i="27"/>
  <c r="EL129" i="27"/>
  <c r="EM129" i="27"/>
  <c r="EN129" i="27"/>
  <c r="FI129" i="27"/>
  <c r="EM130" i="27"/>
  <c r="FI130" i="27"/>
  <c r="EL130" i="27"/>
  <c r="EN130" i="27"/>
  <c r="DL256" i="27"/>
  <c r="CK256" i="27"/>
  <c r="CJ256" i="27"/>
  <c r="CL256" i="27"/>
  <c r="HD251" i="27"/>
  <c r="GB251" i="27"/>
  <c r="GC251" i="27"/>
  <c r="GD251" i="27"/>
  <c r="CK246" i="27"/>
  <c r="DL246" i="27"/>
  <c r="CL246" i="27"/>
  <c r="CJ246" i="27"/>
  <c r="CJ253" i="27"/>
  <c r="CL253" i="27"/>
  <c r="CK253" i="27"/>
  <c r="DL253" i="27"/>
  <c r="CL247" i="27"/>
  <c r="CJ247" i="27"/>
  <c r="DL247" i="27"/>
  <c r="CK247" i="27"/>
  <c r="FH245" i="27"/>
  <c r="EH245" i="27"/>
  <c r="EF245" i="27"/>
  <c r="EG245" i="27"/>
  <c r="DW82" i="27"/>
  <c r="DU82" i="27"/>
  <c r="FS75" i="27"/>
  <c r="FQ75" i="27"/>
  <c r="HM82" i="27"/>
  <c r="HO82" i="27"/>
  <c r="FQ69" i="27"/>
  <c r="FS69" i="27"/>
  <c r="BH67" i="31"/>
  <c r="AV67" i="31"/>
  <c r="BB67" i="31" s="1"/>
  <c r="DU66" i="27"/>
  <c r="DW66" i="27"/>
  <c r="HO83" i="27"/>
  <c r="FQ52" i="27"/>
  <c r="FS52" i="27"/>
  <c r="AI77" i="3"/>
  <c r="M81" i="31"/>
  <c r="AG81" i="31" s="1"/>
  <c r="GU103" i="27"/>
  <c r="GV103" i="27"/>
  <c r="GT103" i="27"/>
  <c r="HG103" i="27"/>
  <c r="EZ104" i="27"/>
  <c r="EX104" i="27"/>
  <c r="FK104" i="27"/>
  <c r="EY104" i="27"/>
  <c r="CQ139" i="27"/>
  <c r="CR139" i="27"/>
  <c r="DM139" i="27"/>
  <c r="CP139" i="27"/>
  <c r="CQ141" i="27"/>
  <c r="DM141" i="27"/>
  <c r="CR141" i="27"/>
  <c r="CP141" i="27"/>
  <c r="FI135" i="27"/>
  <c r="EN135" i="27"/>
  <c r="EL135" i="27"/>
  <c r="EM135" i="27"/>
  <c r="GI138" i="27"/>
  <c r="HE138" i="27"/>
  <c r="GH138" i="27"/>
  <c r="GJ138" i="27"/>
  <c r="CL254" i="27"/>
  <c r="CK254" i="27"/>
  <c r="DL254" i="27"/>
  <c r="CJ254" i="27"/>
  <c r="DL251" i="27"/>
  <c r="CJ251" i="27"/>
  <c r="CL251" i="27"/>
  <c r="CK251" i="27"/>
  <c r="EG246" i="27"/>
  <c r="EH246" i="27"/>
  <c r="FH246" i="27"/>
  <c r="EF246" i="27"/>
  <c r="DL252" i="27"/>
  <c r="CL252" i="27"/>
  <c r="CK252" i="27"/>
  <c r="CJ252" i="27"/>
  <c r="EH247" i="27"/>
  <c r="EG247" i="27"/>
  <c r="EF247" i="27"/>
  <c r="FH247" i="27"/>
  <c r="CJ245" i="27"/>
  <c r="DL245" i="27"/>
  <c r="CL245" i="27"/>
  <c r="CK245" i="27"/>
  <c r="BQ18" i="23"/>
  <c r="AT78" i="31"/>
  <c r="AZ78" i="31" s="1"/>
  <c r="BF78" i="31"/>
  <c r="FQ64" i="27"/>
  <c r="FS64" i="27"/>
  <c r="DW72" i="27"/>
  <c r="DU72" i="27"/>
  <c r="FQ73" i="27"/>
  <c r="FS73" i="27"/>
  <c r="DO91" i="27"/>
  <c r="DD91" i="27"/>
  <c r="DC91" i="27"/>
  <c r="DB91" i="27"/>
  <c r="DO94" i="27"/>
  <c r="DD94" i="27"/>
  <c r="DB94" i="27"/>
  <c r="DC94" i="27"/>
  <c r="DO96" i="27"/>
  <c r="DB96" i="27"/>
  <c r="DD96" i="27"/>
  <c r="DC96" i="27"/>
  <c r="DO97" i="27"/>
  <c r="DC97" i="27"/>
  <c r="DD97" i="27"/>
  <c r="DB97" i="27"/>
  <c r="DC99" i="27"/>
  <c r="DB99" i="27"/>
  <c r="DO99" i="27"/>
  <c r="DD99" i="27"/>
  <c r="HB111" i="27"/>
  <c r="HH111" i="27"/>
  <c r="GZ111" i="27"/>
  <c r="HA111" i="27"/>
  <c r="GZ110" i="27"/>
  <c r="HH110" i="27"/>
  <c r="HA110" i="27"/>
  <c r="HB110" i="27"/>
  <c r="FE113" i="27"/>
  <c r="FL113" i="27"/>
  <c r="FF113" i="27"/>
  <c r="FD113" i="27"/>
  <c r="CP120" i="27"/>
  <c r="CQ120" i="27"/>
  <c r="DM120" i="27"/>
  <c r="CR120" i="27"/>
  <c r="DM118" i="27"/>
  <c r="CQ118" i="27"/>
  <c r="CP118" i="27"/>
  <c r="CR118" i="27"/>
  <c r="EN121" i="27"/>
  <c r="FI121" i="27"/>
  <c r="EM121" i="27"/>
  <c r="EL121" i="27"/>
  <c r="CP131" i="27"/>
  <c r="DM131" i="27"/>
  <c r="CR131" i="27"/>
  <c r="CQ131" i="27"/>
  <c r="DM129" i="27"/>
  <c r="CR129" i="27"/>
  <c r="CQ129" i="27"/>
  <c r="CP129" i="27"/>
  <c r="GI130" i="27"/>
  <c r="GH130" i="27"/>
  <c r="HE130" i="27"/>
  <c r="GJ130" i="27"/>
  <c r="CV142" i="27"/>
  <c r="CX142" i="27"/>
  <c r="DN142" i="27"/>
  <c r="CW142" i="27"/>
  <c r="GO149" i="27"/>
  <c r="GP149" i="27"/>
  <c r="HF149" i="27"/>
  <c r="GN149" i="27"/>
  <c r="ER148" i="27"/>
  <c r="ES148" i="27"/>
  <c r="ET148" i="27"/>
  <c r="FJ148" i="27"/>
  <c r="ES144" i="27"/>
  <c r="ER144" i="27"/>
  <c r="ET144" i="27"/>
  <c r="FJ144" i="27"/>
  <c r="HE150" i="27"/>
  <c r="GJ150" i="27"/>
  <c r="GH150" i="27"/>
  <c r="GI150" i="27"/>
  <c r="CR149" i="27"/>
  <c r="DM149" i="27"/>
  <c r="CP149" i="27"/>
  <c r="CQ149" i="27"/>
  <c r="CQ147" i="27"/>
  <c r="CP147" i="27"/>
  <c r="DM147" i="27"/>
  <c r="CR147" i="27"/>
  <c r="GJ146" i="27"/>
  <c r="GH146" i="27"/>
  <c r="GI146" i="27"/>
  <c r="HE146" i="27"/>
  <c r="EX114" i="27"/>
  <c r="EY114" i="27"/>
  <c r="FK114" i="27"/>
  <c r="EZ114" i="27"/>
  <c r="EX108" i="27"/>
  <c r="EZ108" i="27"/>
  <c r="EY108" i="27"/>
  <c r="FK108" i="27"/>
  <c r="DB115" i="27"/>
  <c r="DC115" i="27"/>
  <c r="DO115" i="27"/>
  <c r="DD115" i="27"/>
  <c r="GO130" i="27"/>
  <c r="GP130" i="27"/>
  <c r="GN130" i="27"/>
  <c r="HF130" i="27"/>
  <c r="ET129" i="27"/>
  <c r="ES129" i="27"/>
  <c r="ER129" i="27"/>
  <c r="FJ129" i="27"/>
  <c r="CW125" i="27"/>
  <c r="CX125" i="27"/>
  <c r="DN125" i="27"/>
  <c r="CV125" i="27"/>
  <c r="CX138" i="27"/>
  <c r="DN138" i="27"/>
  <c r="CV138" i="27"/>
  <c r="CW138" i="27"/>
  <c r="DN135" i="27"/>
  <c r="CX135" i="27"/>
  <c r="CW135" i="27"/>
  <c r="CV135" i="27"/>
  <c r="CX141" i="27"/>
  <c r="CW141" i="27"/>
  <c r="DN141" i="27"/>
  <c r="CV141" i="27"/>
  <c r="FK102" i="27"/>
  <c r="EZ102" i="27"/>
  <c r="EY102" i="27"/>
  <c r="EX102" i="27"/>
  <c r="DO107" i="27"/>
  <c r="DD107" i="27"/>
  <c r="DB107" i="27"/>
  <c r="DC107" i="27"/>
  <c r="HE139" i="27"/>
  <c r="GI139" i="27"/>
  <c r="GH139" i="27"/>
  <c r="GJ139" i="27"/>
  <c r="GI136" i="27"/>
  <c r="HE136" i="27"/>
  <c r="GJ136" i="27"/>
  <c r="GH136" i="27"/>
  <c r="EN133" i="27"/>
  <c r="FI133" i="27"/>
  <c r="EM133" i="27"/>
  <c r="EL133" i="27"/>
  <c r="CR138" i="27"/>
  <c r="CP138" i="27"/>
  <c r="DM138" i="27"/>
  <c r="CQ138" i="27"/>
  <c r="GC221" i="27"/>
  <c r="GB221" i="27"/>
  <c r="HD221" i="27"/>
  <c r="GD221" i="27"/>
  <c r="GD215" i="27"/>
  <c r="GC215" i="27"/>
  <c r="HD215" i="27"/>
  <c r="GB215" i="27"/>
  <c r="HD225" i="27"/>
  <c r="GB225" i="27"/>
  <c r="GD225" i="27"/>
  <c r="GC225" i="27"/>
  <c r="DL226" i="27"/>
  <c r="CJ226" i="27"/>
  <c r="CL226" i="27"/>
  <c r="CK226" i="27"/>
  <c r="CK216" i="27"/>
  <c r="CL216" i="27"/>
  <c r="DL216" i="27"/>
  <c r="CJ216" i="27"/>
  <c r="CK213" i="27"/>
  <c r="CJ213" i="27"/>
  <c r="CL213" i="27"/>
  <c r="DL213" i="27"/>
  <c r="FH231" i="27"/>
  <c r="EH231" i="27"/>
  <c r="EG231" i="27"/>
  <c r="EF231" i="27"/>
  <c r="CK234" i="27"/>
  <c r="CL234" i="27"/>
  <c r="DL234" i="27"/>
  <c r="CJ234" i="27"/>
  <c r="DL238" i="27"/>
  <c r="CJ238" i="27"/>
  <c r="CL238" i="27"/>
  <c r="CK238" i="27"/>
  <c r="CJ236" i="27"/>
  <c r="DL236" i="27"/>
  <c r="CK236" i="27"/>
  <c r="CL236" i="27"/>
  <c r="EH242" i="27"/>
  <c r="EG242" i="27"/>
  <c r="EF242" i="27"/>
  <c r="FH242" i="27"/>
  <c r="CK241" i="27"/>
  <c r="CJ241" i="27"/>
  <c r="CL241" i="27"/>
  <c r="DL241" i="27"/>
  <c r="EH254" i="27"/>
  <c r="EF254" i="27"/>
  <c r="FH254" i="27"/>
  <c r="EG254" i="27"/>
  <c r="EF250" i="27"/>
  <c r="EG250" i="27"/>
  <c r="EH250" i="27"/>
  <c r="FH250" i="27"/>
  <c r="HD246" i="27"/>
  <c r="GD246" i="27"/>
  <c r="GB246" i="27"/>
  <c r="GC246" i="27"/>
  <c r="EG252" i="27"/>
  <c r="EH252" i="27"/>
  <c r="EF252" i="27"/>
  <c r="FH252" i="27"/>
  <c r="GB249" i="27"/>
  <c r="HD249" i="27"/>
  <c r="GD249" i="27"/>
  <c r="GC249" i="27"/>
  <c r="GB245" i="27"/>
  <c r="HD245" i="27"/>
  <c r="GC245" i="27"/>
  <c r="GD245" i="27"/>
  <c r="HB94" i="27"/>
  <c r="GZ94" i="27"/>
  <c r="HH94" i="27"/>
  <c r="HA94" i="27"/>
  <c r="DP89" i="27"/>
  <c r="DJ89" i="27"/>
  <c r="DI89" i="27"/>
  <c r="DH89" i="27"/>
  <c r="HB96" i="27"/>
  <c r="HH96" i="27"/>
  <c r="HA96" i="27"/>
  <c r="GZ96" i="27"/>
  <c r="HH99" i="27"/>
  <c r="HA99" i="27"/>
  <c r="GZ99" i="27"/>
  <c r="HB99" i="27"/>
  <c r="FE105" i="27"/>
  <c r="FD105" i="27"/>
  <c r="FL105" i="27"/>
  <c r="FF105" i="27"/>
  <c r="DJ103" i="27"/>
  <c r="DI103" i="27"/>
  <c r="DP103" i="27"/>
  <c r="DH103" i="27"/>
  <c r="FD106" i="27"/>
  <c r="FE106" i="27"/>
  <c r="FF106" i="27"/>
  <c r="FL106" i="27"/>
  <c r="O78" i="31"/>
  <c r="AI78" i="31" s="1"/>
  <c r="AK74" i="3"/>
  <c r="Q74" i="31"/>
  <c r="AJ74" i="31"/>
  <c r="FS67" i="27"/>
  <c r="FQ67" i="27"/>
  <c r="HI61" i="27"/>
  <c r="BQ26" i="23"/>
  <c r="DW43" i="27"/>
  <c r="DU43" i="27"/>
  <c r="FQ63" i="27"/>
  <c r="FS63" i="27"/>
  <c r="BF79" i="31"/>
  <c r="AT79" i="31"/>
  <c r="AZ79" i="31" s="1"/>
  <c r="AV68" i="31"/>
  <c r="BB68" i="31" s="1"/>
  <c r="BH68" i="31"/>
  <c r="AR85" i="31"/>
  <c r="AX85" i="31" s="1"/>
  <c r="BD85" i="31"/>
  <c r="Q72" i="31"/>
  <c r="AJ72" i="31"/>
  <c r="DQ107" i="27"/>
  <c r="HI62" i="27"/>
  <c r="GU93" i="27"/>
  <c r="HG93" i="27"/>
  <c r="GV93" i="27"/>
  <c r="GT93" i="27"/>
  <c r="EZ94" i="27"/>
  <c r="EY94" i="27"/>
  <c r="EX94" i="27"/>
  <c r="FK94" i="27"/>
  <c r="FK96" i="27"/>
  <c r="FM96" i="27" s="1"/>
  <c r="EY96" i="27"/>
  <c r="EX96" i="27"/>
  <c r="EZ96" i="27"/>
  <c r="HG98" i="27"/>
  <c r="GU98" i="27"/>
  <c r="GV98" i="27"/>
  <c r="GT98" i="27"/>
  <c r="FK99" i="27"/>
  <c r="EZ99" i="27"/>
  <c r="EX99" i="27"/>
  <c r="EY99" i="27"/>
  <c r="DJ111" i="27"/>
  <c r="DI111" i="27"/>
  <c r="DH111" i="27"/>
  <c r="DP111" i="27"/>
  <c r="HB108" i="27"/>
  <c r="HH108" i="27"/>
  <c r="GZ108" i="27"/>
  <c r="HA108" i="27"/>
  <c r="DH113" i="27"/>
  <c r="DP113" i="27"/>
  <c r="DJ113" i="27"/>
  <c r="DI113" i="27"/>
  <c r="EL120" i="27"/>
  <c r="EN120" i="27"/>
  <c r="FI120" i="27"/>
  <c r="EM120" i="27"/>
  <c r="GH119" i="27"/>
  <c r="GJ119" i="27"/>
  <c r="HE119" i="27"/>
  <c r="GI119" i="27"/>
  <c r="GH121" i="27"/>
  <c r="GI121" i="27"/>
  <c r="HE121" i="27"/>
  <c r="GJ121" i="27"/>
  <c r="EL131" i="27"/>
  <c r="EN131" i="27"/>
  <c r="EM131" i="27"/>
  <c r="FI131" i="27"/>
  <c r="GH127" i="27"/>
  <c r="GJ127" i="27"/>
  <c r="GI127" i="27"/>
  <c r="HE127" i="27"/>
  <c r="DM130" i="27"/>
  <c r="CR130" i="27"/>
  <c r="CQ130" i="27"/>
  <c r="CP130" i="27"/>
  <c r="FJ142" i="27"/>
  <c r="ER142" i="27"/>
  <c r="ET142" i="27"/>
  <c r="ES142" i="27"/>
  <c r="GO146" i="27"/>
  <c r="GN146" i="27"/>
  <c r="GP146" i="27"/>
  <c r="HF146" i="27"/>
  <c r="CW148" i="27"/>
  <c r="CX148" i="27"/>
  <c r="DN148" i="27"/>
  <c r="CV148" i="27"/>
  <c r="GO144" i="27"/>
  <c r="GP144" i="27"/>
  <c r="GN144" i="27"/>
  <c r="HF144" i="27"/>
  <c r="CP148" i="27"/>
  <c r="DM148" i="27"/>
  <c r="CQ148" i="27"/>
  <c r="CR148" i="27"/>
  <c r="FI149" i="27"/>
  <c r="EM149" i="27"/>
  <c r="EN149" i="27"/>
  <c r="EL149" i="27"/>
  <c r="GH147" i="27"/>
  <c r="GI147" i="27"/>
  <c r="HE147" i="27"/>
  <c r="GJ147" i="27"/>
  <c r="DB111" i="27"/>
  <c r="DC111" i="27"/>
  <c r="DO111" i="27"/>
  <c r="DD111" i="27"/>
  <c r="DO114" i="27"/>
  <c r="DC114" i="27"/>
  <c r="DB114" i="27"/>
  <c r="DD114" i="27"/>
  <c r="GU108" i="27"/>
  <c r="GT108" i="27"/>
  <c r="HG108" i="27"/>
  <c r="HI108" i="27" s="1"/>
  <c r="GV108" i="27"/>
  <c r="CX126" i="27"/>
  <c r="DN126" i="27"/>
  <c r="CV126" i="27"/>
  <c r="CW126" i="27"/>
  <c r="CV130" i="27"/>
  <c r="DN130" i="27"/>
  <c r="CW130" i="27"/>
  <c r="CX130" i="27"/>
  <c r="GP129" i="27"/>
  <c r="GN129" i="27"/>
  <c r="GO129" i="27"/>
  <c r="HF129" i="27"/>
  <c r="FJ140" i="27"/>
  <c r="ET140" i="27"/>
  <c r="ER140" i="27"/>
  <c r="ES140" i="27"/>
  <c r="HF138" i="27"/>
  <c r="GP138" i="27"/>
  <c r="GO138" i="27"/>
  <c r="GN138" i="27"/>
  <c r="ER135" i="27"/>
  <c r="ES135" i="27"/>
  <c r="ET135" i="27"/>
  <c r="FJ135" i="27"/>
  <c r="DN139" i="27"/>
  <c r="CX139" i="27"/>
  <c r="CW139" i="27"/>
  <c r="CV139" i="27"/>
  <c r="GT105" i="27"/>
  <c r="GV105" i="27"/>
  <c r="HG105" i="27"/>
  <c r="GU105" i="27"/>
  <c r="GU102" i="27"/>
  <c r="HG102" i="27"/>
  <c r="GT102" i="27"/>
  <c r="GV102" i="27"/>
  <c r="EX107" i="27"/>
  <c r="EZ107" i="27"/>
  <c r="EY107" i="27"/>
  <c r="FK107" i="27"/>
  <c r="DM140" i="27"/>
  <c r="CP140" i="27"/>
  <c r="CR140" i="27"/>
  <c r="CQ140" i="27"/>
  <c r="CR136" i="27"/>
  <c r="CQ136" i="27"/>
  <c r="CP136" i="27"/>
  <c r="DM136" i="27"/>
  <c r="CR133" i="27"/>
  <c r="DM133" i="27"/>
  <c r="CQ133" i="27"/>
  <c r="CP133" i="27"/>
  <c r="CK221" i="27"/>
  <c r="DL221" i="27"/>
  <c r="CJ221" i="27"/>
  <c r="CL221" i="27"/>
  <c r="DL215" i="27"/>
  <c r="CK215" i="27"/>
  <c r="CJ215" i="27"/>
  <c r="CL215" i="27"/>
  <c r="EG214" i="27"/>
  <c r="FH214" i="27"/>
  <c r="EH214" i="27"/>
  <c r="EF214" i="27"/>
  <c r="GD226" i="27"/>
  <c r="HD226" i="27"/>
  <c r="GB226" i="27"/>
  <c r="GC226" i="27"/>
  <c r="HD216" i="27"/>
  <c r="GB216" i="27"/>
  <c r="GD216" i="27"/>
  <c r="GC216" i="27"/>
  <c r="EF219" i="27"/>
  <c r="EG219" i="27"/>
  <c r="FH219" i="27"/>
  <c r="EH219" i="27"/>
  <c r="HD231" i="27"/>
  <c r="GD231" i="27"/>
  <c r="GB231" i="27"/>
  <c r="GC231" i="27"/>
  <c r="EG234" i="27"/>
  <c r="FH234" i="27"/>
  <c r="EF234" i="27"/>
  <c r="EH234" i="27"/>
  <c r="EH233" i="27"/>
  <c r="EG233" i="27"/>
  <c r="EF233" i="27"/>
  <c r="FH233" i="27"/>
  <c r="FH236" i="27"/>
  <c r="EF236" i="27"/>
  <c r="EH236" i="27"/>
  <c r="EG236" i="27"/>
  <c r="GC242" i="27"/>
  <c r="HD242" i="27"/>
  <c r="GB242" i="27"/>
  <c r="GD242" i="27"/>
  <c r="HD227" i="27"/>
  <c r="GB227" i="27"/>
  <c r="GC227" i="27"/>
  <c r="GD227" i="27"/>
  <c r="GC243" i="27"/>
  <c r="GD243" i="27"/>
  <c r="HD243" i="27"/>
  <c r="GB243" i="27"/>
  <c r="GC254" i="27"/>
  <c r="GD254" i="27"/>
  <c r="HD254" i="27"/>
  <c r="GB254" i="27"/>
  <c r="HD250" i="27"/>
  <c r="GB250" i="27"/>
  <c r="GD250" i="27"/>
  <c r="GC250" i="27"/>
  <c r="EH259" i="27"/>
  <c r="EF259" i="27"/>
  <c r="EG259" i="27"/>
  <c r="FH259" i="27"/>
  <c r="GD252" i="27"/>
  <c r="HD252" i="27"/>
  <c r="GC252" i="27"/>
  <c r="GB252" i="27"/>
  <c r="FH249" i="27"/>
  <c r="EG249" i="27"/>
  <c r="EF249" i="27"/>
  <c r="EH249" i="27"/>
  <c r="GB248" i="27"/>
  <c r="HD248" i="27"/>
  <c r="GD248" i="27"/>
  <c r="GC248" i="27"/>
  <c r="HH92" i="27"/>
  <c r="GZ92" i="27"/>
  <c r="HB92" i="27"/>
  <c r="HA92" i="27"/>
  <c r="FL94" i="27"/>
  <c r="FM94" i="27" s="1"/>
  <c r="FE94" i="27"/>
  <c r="FD94" i="27"/>
  <c r="FF94" i="27"/>
  <c r="FF89" i="27"/>
  <c r="FE89" i="27"/>
  <c r="FL89" i="27"/>
  <c r="FD89" i="27"/>
  <c r="HB100" i="27"/>
  <c r="HH100" i="27"/>
  <c r="GZ100" i="27"/>
  <c r="HA100" i="27"/>
  <c r="DH99" i="27"/>
  <c r="DI99" i="27"/>
  <c r="DJ99" i="27"/>
  <c r="DP99" i="27"/>
  <c r="GZ105" i="27"/>
  <c r="HH105" i="27"/>
  <c r="HA105" i="27"/>
  <c r="HB105" i="27"/>
  <c r="FF104" i="27"/>
  <c r="FL104" i="27"/>
  <c r="FE104" i="27"/>
  <c r="FD104" i="27"/>
  <c r="HA106" i="27"/>
  <c r="HB106" i="27"/>
  <c r="HH106" i="27"/>
  <c r="GZ106" i="27"/>
  <c r="AK73" i="3"/>
  <c r="O77" i="31"/>
  <c r="AI77" i="31" s="1"/>
  <c r="BG75" i="31"/>
  <c r="AU75" i="31"/>
  <c r="BA75" i="31" s="1"/>
  <c r="BE78" i="31"/>
  <c r="AS78" i="31"/>
  <c r="AY78" i="31" s="1"/>
  <c r="HI63" i="27"/>
  <c r="FS62" i="27"/>
  <c r="FQ62" i="27"/>
  <c r="DQ63" i="27"/>
  <c r="HM64" i="27"/>
  <c r="HO64" i="27"/>
  <c r="HO66" i="27"/>
  <c r="HM66" i="27"/>
  <c r="Q75" i="31"/>
  <c r="AJ75" i="31"/>
  <c r="HO41" i="27"/>
  <c r="HM41" i="27"/>
  <c r="AV71" i="31"/>
  <c r="BB71" i="31" s="1"/>
  <c r="BH71" i="31"/>
  <c r="DB93" i="27"/>
  <c r="DC93" i="27"/>
  <c r="DO93" i="27"/>
  <c r="DD93" i="27"/>
  <c r="EZ89" i="27"/>
  <c r="FK89" i="27"/>
  <c r="EY89" i="27"/>
  <c r="EX89" i="27"/>
  <c r="GV96" i="27"/>
  <c r="GT96" i="27"/>
  <c r="GU96" i="27"/>
  <c r="HG96" i="27"/>
  <c r="EX98" i="27"/>
  <c r="FK98" i="27"/>
  <c r="EY98" i="27"/>
  <c r="EZ98" i="27"/>
  <c r="FL115" i="27"/>
  <c r="FE115" i="27"/>
  <c r="FD115" i="27"/>
  <c r="FF115" i="27"/>
  <c r="FE111" i="27"/>
  <c r="FL111" i="27"/>
  <c r="FD111" i="27"/>
  <c r="FF111" i="27"/>
  <c r="DH108" i="27"/>
  <c r="DJ108" i="27"/>
  <c r="DI108" i="27"/>
  <c r="DP108" i="27"/>
  <c r="CR116" i="27"/>
  <c r="CQ116" i="27"/>
  <c r="DM116" i="27"/>
  <c r="CP116" i="27"/>
  <c r="HE120" i="27"/>
  <c r="GH120" i="27"/>
  <c r="GI120" i="27"/>
  <c r="GJ120" i="27"/>
  <c r="CP119" i="27"/>
  <c r="CQ119" i="27"/>
  <c r="CR119" i="27"/>
  <c r="DM119" i="27"/>
  <c r="EM126" i="27"/>
  <c r="EN126" i="27"/>
  <c r="FI126" i="27"/>
  <c r="EL126" i="27"/>
  <c r="GI131" i="27"/>
  <c r="GJ131" i="27"/>
  <c r="GH131" i="27"/>
  <c r="HE131" i="27"/>
  <c r="EM127" i="27"/>
  <c r="EN127" i="27"/>
  <c r="FI127" i="27"/>
  <c r="EL127" i="27"/>
  <c r="GP142" i="27"/>
  <c r="GN142" i="27"/>
  <c r="HF142" i="27"/>
  <c r="GO142" i="27"/>
  <c r="DN146" i="27"/>
  <c r="CW146" i="27"/>
  <c r="CV146" i="27"/>
  <c r="CX146" i="27"/>
  <c r="ES151" i="27"/>
  <c r="ET151" i="27"/>
  <c r="FJ151" i="27"/>
  <c r="ER151" i="27"/>
  <c r="CW144" i="27"/>
  <c r="DN144" i="27"/>
  <c r="CX144" i="27"/>
  <c r="CV144" i="27"/>
  <c r="GJ148" i="27"/>
  <c r="GH148" i="27"/>
  <c r="HE148" i="27"/>
  <c r="GI148" i="27"/>
  <c r="CQ145" i="27"/>
  <c r="CR145" i="27"/>
  <c r="CP145" i="27"/>
  <c r="DM145" i="27"/>
  <c r="EL147" i="27"/>
  <c r="FI147" i="27"/>
  <c r="EN147" i="27"/>
  <c r="EM147" i="27"/>
  <c r="EY111" i="27"/>
  <c r="EZ111" i="27"/>
  <c r="EX111" i="27"/>
  <c r="FK111" i="27"/>
  <c r="FK112" i="27"/>
  <c r="FM112" i="27" s="1"/>
  <c r="EZ112" i="27"/>
  <c r="EX112" i="27"/>
  <c r="EY112" i="27"/>
  <c r="DD108" i="27"/>
  <c r="DC108" i="27"/>
  <c r="DO108" i="27"/>
  <c r="DB108" i="27"/>
  <c r="GP126" i="27"/>
  <c r="GN126" i="27"/>
  <c r="HF126" i="27"/>
  <c r="GO126" i="27"/>
  <c r="GO128" i="27"/>
  <c r="GP128" i="27"/>
  <c r="HF128" i="27"/>
  <c r="GN128" i="27"/>
  <c r="CX129" i="27"/>
  <c r="DN129" i="27"/>
  <c r="CV129" i="27"/>
  <c r="CW129" i="27"/>
  <c r="GO140" i="27"/>
  <c r="GP140" i="27"/>
  <c r="HF140" i="27"/>
  <c r="GN140" i="27"/>
  <c r="ES133" i="27"/>
  <c r="ET133" i="27"/>
  <c r="FJ133" i="27"/>
  <c r="ER133" i="27"/>
  <c r="GO135" i="27"/>
  <c r="HF135" i="27"/>
  <c r="GN135" i="27"/>
  <c r="GP135" i="27"/>
  <c r="GP139" i="27"/>
  <c r="GN139" i="27"/>
  <c r="GO139" i="27"/>
  <c r="HF139" i="27"/>
  <c r="DB105" i="27"/>
  <c r="DC105" i="27"/>
  <c r="DD105" i="27"/>
  <c r="DO105" i="27"/>
  <c r="HG106" i="27"/>
  <c r="HI106" i="27" s="1"/>
  <c r="GT106" i="27"/>
  <c r="GV106" i="27"/>
  <c r="GU106" i="27"/>
  <c r="HG107" i="27"/>
  <c r="GU107" i="27"/>
  <c r="GT107" i="27"/>
  <c r="GV107" i="27"/>
  <c r="EL140" i="27"/>
  <c r="FI140" i="27"/>
  <c r="EN140" i="27"/>
  <c r="EM140" i="27"/>
  <c r="FI134" i="27"/>
  <c r="EM134" i="27"/>
  <c r="EL134" i="27"/>
  <c r="EN134" i="27"/>
  <c r="GI133" i="27"/>
  <c r="GH133" i="27"/>
  <c r="HE133" i="27"/>
  <c r="GJ133" i="27"/>
  <c r="EH222" i="27"/>
  <c r="EF222" i="27"/>
  <c r="FH222" i="27"/>
  <c r="EG222" i="27"/>
  <c r="EH215" i="27"/>
  <c r="EF215" i="27"/>
  <c r="FH215" i="27"/>
  <c r="EG215" i="27"/>
  <c r="CJ214" i="27"/>
  <c r="CK214" i="27"/>
  <c r="CL214" i="27"/>
  <c r="DL214" i="27"/>
  <c r="FH223" i="27"/>
  <c r="EH223" i="27"/>
  <c r="EG223" i="27"/>
  <c r="EF223" i="27"/>
  <c r="EG216" i="27"/>
  <c r="FH216" i="27"/>
  <c r="EF216" i="27"/>
  <c r="EH216" i="27"/>
  <c r="GB219" i="27"/>
  <c r="GC219" i="27"/>
  <c r="HD219" i="27"/>
  <c r="GD219" i="27"/>
  <c r="CL228" i="27"/>
  <c r="DL228" i="27"/>
  <c r="CJ228" i="27"/>
  <c r="CK228" i="27"/>
  <c r="GC234" i="27"/>
  <c r="GD234" i="27"/>
  <c r="HD234" i="27"/>
  <c r="GB234" i="27"/>
  <c r="CJ233" i="27"/>
  <c r="CK233" i="27"/>
  <c r="CL233" i="27"/>
  <c r="DL233" i="27"/>
  <c r="CJ229" i="27"/>
  <c r="DL229" i="27"/>
  <c r="CL229" i="27"/>
  <c r="CK229" i="27"/>
  <c r="CK242" i="27"/>
  <c r="CJ242" i="27"/>
  <c r="DL242" i="27"/>
  <c r="CL242" i="27"/>
  <c r="EH227" i="27"/>
  <c r="EG227" i="27"/>
  <c r="EF227" i="27"/>
  <c r="FH227" i="27"/>
  <c r="CJ243" i="27"/>
  <c r="DL243" i="27"/>
  <c r="CL243" i="27"/>
  <c r="CK243" i="27"/>
  <c r="GC244" i="27"/>
  <c r="HD244" i="27"/>
  <c r="GB244" i="27"/>
  <c r="GD244" i="27"/>
  <c r="CL250" i="27"/>
  <c r="DL250" i="27"/>
  <c r="CJ250" i="27"/>
  <c r="CK250" i="27"/>
  <c r="CL259" i="27"/>
  <c r="CJ259" i="27"/>
  <c r="DL259" i="27"/>
  <c r="CK259" i="27"/>
  <c r="GC255" i="27"/>
  <c r="GD255" i="27"/>
  <c r="GB255" i="27"/>
  <c r="HD255" i="27"/>
  <c r="CJ249" i="27"/>
  <c r="CL249" i="27"/>
  <c r="DL249" i="27"/>
  <c r="CK249" i="27"/>
  <c r="CJ248" i="27"/>
  <c r="CK248" i="27"/>
  <c r="DL248" i="27"/>
  <c r="CL248" i="27"/>
  <c r="DH92" i="27"/>
  <c r="DP92" i="27"/>
  <c r="DI92" i="27"/>
  <c r="DJ92" i="27"/>
  <c r="HA91" i="27"/>
  <c r="HH91" i="27"/>
  <c r="HI91" i="27" s="1"/>
  <c r="HB91" i="27"/>
  <c r="GZ91" i="27"/>
  <c r="HB89" i="27"/>
  <c r="GZ89" i="27"/>
  <c r="HH89" i="27"/>
  <c r="HA89" i="27"/>
  <c r="FF100" i="27"/>
  <c r="FL100" i="27"/>
  <c r="FE100" i="27"/>
  <c r="FD100" i="27"/>
  <c r="HA95" i="27"/>
  <c r="HH95" i="27"/>
  <c r="HB95" i="27"/>
  <c r="GZ95" i="27"/>
  <c r="DI105" i="27"/>
  <c r="DP105" i="27"/>
  <c r="DJ105" i="27"/>
  <c r="DH105" i="27"/>
  <c r="HA104" i="27"/>
  <c r="HB104" i="27"/>
  <c r="HH104" i="27"/>
  <c r="HI104" i="27" s="1"/>
  <c r="GZ104" i="27"/>
  <c r="N81" i="31"/>
  <c r="AH81" i="31" s="1"/>
  <c r="AJ77" i="3"/>
  <c r="BG72" i="31"/>
  <c r="AU72" i="31"/>
  <c r="BA72" i="31" s="1"/>
  <c r="BE76" i="31"/>
  <c r="AS76" i="31"/>
  <c r="AY76" i="31" s="1"/>
  <c r="FM89" i="27"/>
  <c r="CE15" i="23"/>
  <c r="BW5" i="23"/>
  <c r="CE5" i="23" s="1"/>
  <c r="DU69" i="27"/>
  <c r="DW69" i="27"/>
  <c r="H24" i="5"/>
  <c r="R24" i="5" s="1"/>
  <c r="BG73" i="31"/>
  <c r="AU73" i="31"/>
  <c r="BA73" i="31" s="1"/>
  <c r="AS77" i="31"/>
  <c r="AY77" i="31" s="1"/>
  <c r="BE77" i="31"/>
  <c r="BH69" i="31"/>
  <c r="AV69" i="31"/>
  <c r="BB69" i="31" s="1"/>
  <c r="BD87" i="31"/>
  <c r="AR87" i="31"/>
  <c r="AX87" i="31" s="1"/>
  <c r="DQ94" i="27"/>
  <c r="EZ90" i="27"/>
  <c r="EY90" i="27"/>
  <c r="EX90" i="27"/>
  <c r="FK90" i="27"/>
  <c r="FM90" i="27" s="1"/>
  <c r="EY93" i="27"/>
  <c r="FK93" i="27"/>
  <c r="EZ93" i="27"/>
  <c r="EX93" i="27"/>
  <c r="GU89" i="27"/>
  <c r="GV89" i="27"/>
  <c r="GT89" i="27"/>
  <c r="HG89" i="27"/>
  <c r="GV100" i="27"/>
  <c r="HG100" i="27"/>
  <c r="GT100" i="27"/>
  <c r="GU100" i="27"/>
  <c r="DB98" i="27"/>
  <c r="DD98" i="27"/>
  <c r="DO98" i="27"/>
  <c r="DC98" i="27"/>
  <c r="DP115" i="27"/>
  <c r="DH115" i="27"/>
  <c r="DI115" i="27"/>
  <c r="DJ115" i="27"/>
  <c r="FE112" i="27"/>
  <c r="FF112" i="27"/>
  <c r="FL112" i="27"/>
  <c r="FD112" i="27"/>
  <c r="FE108" i="27"/>
  <c r="FD108" i="27"/>
  <c r="FL108" i="27"/>
  <c r="FF108" i="27"/>
  <c r="FI116" i="27"/>
  <c r="EN116" i="27"/>
  <c r="EL116" i="27"/>
  <c r="EM116" i="27"/>
  <c r="EM117" i="27"/>
  <c r="EN117" i="27"/>
  <c r="FI117" i="27"/>
  <c r="EL117" i="27"/>
  <c r="EN119" i="27"/>
  <c r="EL119" i="27"/>
  <c r="EM119" i="27"/>
  <c r="FI119" i="27"/>
  <c r="HE126" i="27"/>
  <c r="GJ126" i="27"/>
  <c r="GH126" i="27"/>
  <c r="GI126" i="27"/>
  <c r="GI128" i="27"/>
  <c r="GJ128" i="27"/>
  <c r="GH128" i="27"/>
  <c r="HE128" i="27"/>
  <c r="CR127" i="27"/>
  <c r="CQ127" i="27"/>
  <c r="CP127" i="27"/>
  <c r="DM127" i="27"/>
  <c r="ES143" i="27"/>
  <c r="ER143" i="27"/>
  <c r="ET143" i="27"/>
  <c r="FJ143" i="27"/>
  <c r="ET146" i="27"/>
  <c r="ES146" i="27"/>
  <c r="FJ146" i="27"/>
  <c r="ER146" i="27"/>
  <c r="GP151" i="27"/>
  <c r="GO151" i="27"/>
  <c r="GN151" i="27"/>
  <c r="HF151" i="27"/>
  <c r="DM144" i="27"/>
  <c r="CQ144" i="27"/>
  <c r="CR144" i="27"/>
  <c r="CP144" i="27"/>
  <c r="EM148" i="27"/>
  <c r="EN148" i="27"/>
  <c r="FI148" i="27"/>
  <c r="EL148" i="27"/>
  <c r="HE145" i="27"/>
  <c r="GI145" i="27"/>
  <c r="GH145" i="27"/>
  <c r="GJ145" i="27"/>
  <c r="GH142" i="27"/>
  <c r="GJ142" i="27"/>
  <c r="GI142" i="27"/>
  <c r="HE142" i="27"/>
  <c r="HG111" i="27"/>
  <c r="HI111" i="27" s="1"/>
  <c r="GT111" i="27"/>
  <c r="GV111" i="27"/>
  <c r="GU111" i="27"/>
  <c r="DD112" i="27"/>
  <c r="DC112" i="27"/>
  <c r="DB112" i="27"/>
  <c r="DO112" i="27"/>
  <c r="GU110" i="27"/>
  <c r="GV110" i="27"/>
  <c r="GT110" i="27"/>
  <c r="HG110" i="27"/>
  <c r="HI110" i="27" s="1"/>
  <c r="FJ126" i="27"/>
  <c r="ET126" i="27"/>
  <c r="ER126" i="27"/>
  <c r="ES126" i="27"/>
  <c r="CV128" i="27"/>
  <c r="DN128" i="27"/>
  <c r="CX128" i="27"/>
  <c r="CW128" i="27"/>
  <c r="CX127" i="27"/>
  <c r="CV127" i="27"/>
  <c r="CW127" i="27"/>
  <c r="DN127" i="27"/>
  <c r="CX140" i="27"/>
  <c r="DN140" i="27"/>
  <c r="CW140" i="27"/>
  <c r="CV140" i="27"/>
  <c r="CX133" i="27"/>
  <c r="CW133" i="27"/>
  <c r="DN133" i="27"/>
  <c r="CV133" i="27"/>
  <c r="CX137" i="27"/>
  <c r="DN137" i="27"/>
  <c r="CW137" i="27"/>
  <c r="CV137" i="27"/>
  <c r="ES139" i="27"/>
  <c r="ER139" i="27"/>
  <c r="FJ139" i="27"/>
  <c r="ET139" i="27"/>
  <c r="EY105" i="27"/>
  <c r="EZ105" i="27"/>
  <c r="FK105" i="27"/>
  <c r="FM105" i="27" s="1"/>
  <c r="EX105" i="27"/>
  <c r="DB106" i="27"/>
  <c r="DD106" i="27"/>
  <c r="DC106" i="27"/>
  <c r="DO106" i="27"/>
  <c r="DQ106" i="27" s="1"/>
  <c r="GJ132" i="27"/>
  <c r="HE132" i="27"/>
  <c r="GH132" i="27"/>
  <c r="GI132" i="27"/>
  <c r="HE140" i="27"/>
  <c r="GH140" i="27"/>
  <c r="GI140" i="27"/>
  <c r="GJ140" i="27"/>
  <c r="GJ134" i="27"/>
  <c r="GH134" i="27"/>
  <c r="GI134" i="27"/>
  <c r="HE134" i="27"/>
  <c r="EL137" i="27"/>
  <c r="EN137" i="27"/>
  <c r="EM137" i="27"/>
  <c r="FI137" i="27"/>
  <c r="HD222" i="27"/>
  <c r="GC222" i="27"/>
  <c r="GB222" i="27"/>
  <c r="GD222" i="27"/>
  <c r="GC224" i="27"/>
  <c r="GB224" i="27"/>
  <c r="HD224" i="27"/>
  <c r="GD224" i="27"/>
  <c r="HD214" i="27"/>
  <c r="GD214" i="27"/>
  <c r="GB214" i="27"/>
  <c r="GC214" i="27"/>
  <c r="GD223" i="27"/>
  <c r="HD223" i="27"/>
  <c r="GC223" i="27"/>
  <c r="GB223" i="27"/>
  <c r="GD212" i="27"/>
  <c r="HD212" i="27"/>
  <c r="GB212" i="27"/>
  <c r="GC212" i="27"/>
  <c r="DL219" i="27"/>
  <c r="CK219" i="27"/>
  <c r="CJ219" i="27"/>
  <c r="CL219" i="27"/>
  <c r="EF228" i="27"/>
  <c r="EG228" i="27"/>
  <c r="EH228" i="27"/>
  <c r="FH228" i="27"/>
  <c r="CL239" i="27"/>
  <c r="CK239" i="27"/>
  <c r="DL239" i="27"/>
  <c r="CJ239" i="27"/>
  <c r="HD233" i="27"/>
  <c r="GD233" i="27"/>
  <c r="GC233" i="27"/>
  <c r="GB233" i="27"/>
  <c r="HD229" i="27"/>
  <c r="GD229" i="27"/>
  <c r="GB229" i="27"/>
  <c r="GC229" i="27"/>
  <c r="EF240" i="27"/>
  <c r="FH240" i="27"/>
  <c r="EH240" i="27"/>
  <c r="EG240" i="27"/>
  <c r="CJ227" i="27"/>
  <c r="DL227" i="27"/>
  <c r="CK227" i="27"/>
  <c r="CL227" i="27"/>
  <c r="EH243" i="27"/>
  <c r="EG243" i="27"/>
  <c r="EF243" i="27"/>
  <c r="FH243" i="27"/>
  <c r="DL244" i="27"/>
  <c r="CJ244" i="27"/>
  <c r="CL244" i="27"/>
  <c r="CK244" i="27"/>
  <c r="GC257" i="27"/>
  <c r="GD257" i="27"/>
  <c r="GB257" i="27"/>
  <c r="HD257" i="27"/>
  <c r="GB259" i="27"/>
  <c r="GD259" i="27"/>
  <c r="GC259" i="27"/>
  <c r="HD259" i="27"/>
  <c r="EF255" i="27"/>
  <c r="EG255" i="27"/>
  <c r="FH255" i="27"/>
  <c r="EH255" i="27"/>
  <c r="CJ258" i="27"/>
  <c r="CL258" i="27"/>
  <c r="DL258" i="27"/>
  <c r="CK258" i="27"/>
  <c r="EF248" i="27"/>
  <c r="EH248" i="27"/>
  <c r="EG248" i="27"/>
  <c r="FH248" i="27"/>
  <c r="FD92" i="27"/>
  <c r="FF92" i="27"/>
  <c r="FL92" i="27"/>
  <c r="FE92" i="27"/>
  <c r="DH91" i="27"/>
  <c r="DI91" i="27"/>
  <c r="DJ91" i="27"/>
  <c r="DP91" i="27"/>
  <c r="FD101" i="27"/>
  <c r="FL101" i="27"/>
  <c r="FF101" i="27"/>
  <c r="FE101" i="27"/>
  <c r="DI100" i="27"/>
  <c r="DJ100" i="27"/>
  <c r="DP100" i="27"/>
  <c r="DH100" i="27"/>
  <c r="DH95" i="27"/>
  <c r="DI95" i="27"/>
  <c r="DP95" i="27"/>
  <c r="DJ95" i="27"/>
  <c r="FD102" i="27"/>
  <c r="FL102" i="27"/>
  <c r="FE102" i="27"/>
  <c r="FF102" i="27"/>
  <c r="DJ104" i="27"/>
  <c r="DP104" i="27"/>
  <c r="DI104" i="27"/>
  <c r="DH104" i="27"/>
  <c r="N80" i="31"/>
  <c r="AH80" i="31" s="1"/>
  <c r="AJ76" i="3"/>
  <c r="BF77" i="31"/>
  <c r="AT77" i="31"/>
  <c r="AZ77" i="31" s="1"/>
  <c r="HO84" i="27"/>
  <c r="HM84" i="27"/>
  <c r="DQ113" i="27"/>
  <c r="BD86" i="31"/>
  <c r="AR86" i="31"/>
  <c r="AX86" i="31" s="1"/>
  <c r="DQ68" i="27"/>
  <c r="FQ41" i="27"/>
  <c r="FS41" i="27"/>
  <c r="DC90" i="27"/>
  <c r="DD90" i="27"/>
  <c r="DB90" i="27"/>
  <c r="DO90" i="27"/>
  <c r="GV92" i="27"/>
  <c r="GT92" i="27"/>
  <c r="GU92" i="27"/>
  <c r="HG92" i="27"/>
  <c r="DC89" i="27"/>
  <c r="DB89" i="27"/>
  <c r="DO89" i="27"/>
  <c r="DQ89" i="27" s="1"/>
  <c r="DD89" i="27"/>
  <c r="DO100" i="27"/>
  <c r="DD100" i="27"/>
  <c r="DB100" i="27"/>
  <c r="DC100" i="27"/>
  <c r="DC95" i="27"/>
  <c r="DO95" i="27"/>
  <c r="DQ95" i="27" s="1"/>
  <c r="DB95" i="27"/>
  <c r="DD95" i="27"/>
  <c r="HA115" i="27"/>
  <c r="GZ115" i="27"/>
  <c r="HB115" i="27"/>
  <c r="HH115" i="27"/>
  <c r="HH112" i="27"/>
  <c r="HB112" i="27"/>
  <c r="HA112" i="27"/>
  <c r="GZ112" i="27"/>
  <c r="FD114" i="27"/>
  <c r="FL114" i="27"/>
  <c r="FF114" i="27"/>
  <c r="FE114" i="27"/>
  <c r="GJ116" i="27"/>
  <c r="HE116" i="27"/>
  <c r="GH116" i="27"/>
  <c r="GI116" i="27"/>
  <c r="HE117" i="27"/>
  <c r="GJ117" i="27"/>
  <c r="GH117" i="27"/>
  <c r="GI117" i="27"/>
  <c r="EL122" i="27"/>
  <c r="EM122" i="27"/>
  <c r="FI122" i="27"/>
  <c r="EN122" i="27"/>
  <c r="DM126" i="27"/>
  <c r="CP126" i="27"/>
  <c r="CR126" i="27"/>
  <c r="CQ126" i="27"/>
  <c r="CR128" i="27"/>
  <c r="CQ128" i="27"/>
  <c r="DM128" i="27"/>
  <c r="CP128" i="27"/>
  <c r="CR125" i="27"/>
  <c r="CQ125" i="27"/>
  <c r="CP125" i="27"/>
  <c r="DM125" i="27"/>
  <c r="CX143" i="27"/>
  <c r="DN143" i="27"/>
  <c r="CW143" i="27"/>
  <c r="CV143" i="27"/>
  <c r="GP147" i="27"/>
  <c r="GN147" i="27"/>
  <c r="HF147" i="27"/>
  <c r="GO147" i="27"/>
  <c r="CW151" i="27"/>
  <c r="DN151" i="27"/>
  <c r="CV151" i="27"/>
  <c r="CX151" i="27"/>
  <c r="GH144" i="27"/>
  <c r="GJ144" i="27"/>
  <c r="HE144" i="27"/>
  <c r="GI144" i="27"/>
  <c r="GH143" i="27"/>
  <c r="GJ143" i="27"/>
  <c r="GI143" i="27"/>
  <c r="HE143" i="27"/>
  <c r="EL145" i="27"/>
  <c r="EM145" i="27"/>
  <c r="EN145" i="27"/>
  <c r="FI145" i="27"/>
  <c r="CP142" i="27"/>
  <c r="CQ142" i="27"/>
  <c r="CR142" i="27"/>
  <c r="DM142" i="27"/>
  <c r="GV109" i="27"/>
  <c r="GT109" i="27"/>
  <c r="GU109" i="27"/>
  <c r="HG109" i="27"/>
  <c r="GU112" i="27"/>
  <c r="GV112" i="27"/>
  <c r="HG112" i="27"/>
  <c r="HI112" i="27" s="1"/>
  <c r="GT112" i="27"/>
  <c r="EY110" i="27"/>
  <c r="EX110" i="27"/>
  <c r="EZ110" i="27"/>
  <c r="FK110" i="27"/>
  <c r="CW124" i="27"/>
  <c r="CX124" i="27"/>
  <c r="CV124" i="27"/>
  <c r="DN124" i="27"/>
  <c r="ES128" i="27"/>
  <c r="ER128" i="27"/>
  <c r="ET128" i="27"/>
  <c r="FJ128" i="27"/>
  <c r="ES127" i="27"/>
  <c r="ER127" i="27"/>
  <c r="FJ127" i="27"/>
  <c r="ET127" i="27"/>
  <c r="GP132" i="27"/>
  <c r="HF132" i="27"/>
  <c r="GN132" i="27"/>
  <c r="GO132" i="27"/>
  <c r="GN133" i="27"/>
  <c r="GP133" i="27"/>
  <c r="GO133" i="27"/>
  <c r="HF133" i="27"/>
  <c r="ES137" i="27"/>
  <c r="FJ137" i="27"/>
  <c r="ER137" i="27"/>
  <c r="ET137" i="27"/>
  <c r="ES136" i="27"/>
  <c r="ER136" i="27"/>
  <c r="ET136" i="27"/>
  <c r="FJ136" i="27"/>
  <c r="DD103" i="27"/>
  <c r="DC103" i="27"/>
  <c r="DB103" i="27"/>
  <c r="DO103" i="27"/>
  <c r="EY106" i="27"/>
  <c r="FK106" i="27"/>
  <c r="EZ106" i="27"/>
  <c r="EX106" i="27"/>
  <c r="CR132" i="27"/>
  <c r="CQ132" i="27"/>
  <c r="CP132" i="27"/>
  <c r="DM132" i="27"/>
  <c r="EM141" i="27"/>
  <c r="FI141" i="27"/>
  <c r="EN141" i="27"/>
  <c r="EL141" i="27"/>
  <c r="CP134" i="27"/>
  <c r="CR134" i="27"/>
  <c r="CQ134" i="27"/>
  <c r="DM134" i="27"/>
  <c r="GI137" i="27"/>
  <c r="GH137" i="27"/>
  <c r="GJ137" i="27"/>
  <c r="HE137" i="27"/>
  <c r="CL222" i="27"/>
  <c r="DL222" i="27"/>
  <c r="CK222" i="27"/>
  <c r="CJ222" i="27"/>
  <c r="CK224" i="27"/>
  <c r="DL224" i="27"/>
  <c r="CL224" i="27"/>
  <c r="CJ224" i="27"/>
  <c r="CK217" i="27"/>
  <c r="DL217" i="27"/>
  <c r="CL217" i="27"/>
  <c r="CJ217" i="27"/>
  <c r="CK223" i="27"/>
  <c r="CJ223" i="27"/>
  <c r="DL223" i="27"/>
  <c r="CL223" i="27"/>
  <c r="DL212" i="27"/>
  <c r="CL212" i="27"/>
  <c r="CK212" i="27"/>
  <c r="CJ212" i="27"/>
  <c r="CK237" i="27"/>
  <c r="CL237" i="27"/>
  <c r="DL237" i="27"/>
  <c r="CJ237" i="27"/>
  <c r="GC228" i="27"/>
  <c r="GB228" i="27"/>
  <c r="HD228" i="27"/>
  <c r="GD228" i="27"/>
  <c r="FH239" i="27"/>
  <c r="EH239" i="27"/>
  <c r="EG239" i="27"/>
  <c r="EF239" i="27"/>
  <c r="EH232" i="27"/>
  <c r="EG232" i="27"/>
  <c r="FH232" i="27"/>
  <c r="EF232" i="27"/>
  <c r="EH229" i="27"/>
  <c r="FH229" i="27"/>
  <c r="EG229" i="27"/>
  <c r="EF229" i="27"/>
  <c r="GD240" i="27"/>
  <c r="GC240" i="27"/>
  <c r="HD240" i="27"/>
  <c r="GB240" i="27"/>
  <c r="H18" i="3"/>
  <c r="I18" i="3" s="1"/>
  <c r="S18" i="3"/>
  <c r="EG256" i="27"/>
  <c r="EH256" i="27"/>
  <c r="FH256" i="27"/>
  <c r="EF256" i="27"/>
  <c r="EH244" i="27"/>
  <c r="EF244" i="27"/>
  <c r="FH244" i="27"/>
  <c r="EG244" i="27"/>
  <c r="DL257" i="27"/>
  <c r="CK257" i="27"/>
  <c r="CJ257" i="27"/>
  <c r="CL257" i="27"/>
  <c r="EG253" i="27"/>
  <c r="EF253" i="27"/>
  <c r="EH253" i="27"/>
  <c r="FH253" i="27"/>
  <c r="CK255" i="27"/>
  <c r="CJ255" i="27"/>
  <c r="CL255" i="27"/>
  <c r="DL255" i="27"/>
  <c r="FH258" i="27"/>
  <c r="EF258" i="27"/>
  <c r="EG258" i="27"/>
  <c r="EH258" i="27"/>
  <c r="DP90" i="27"/>
  <c r="DH90" i="27"/>
  <c r="DI90" i="27"/>
  <c r="DJ90" i="27"/>
  <c r="FE91" i="27"/>
  <c r="FF91" i="27"/>
  <c r="FD91" i="27"/>
  <c r="FL91" i="27"/>
  <c r="FM91" i="27" s="1"/>
  <c r="HB101" i="27"/>
  <c r="GZ101" i="27"/>
  <c r="HH101" i="27"/>
  <c r="HI101" i="27" s="1"/>
  <c r="HA101" i="27"/>
  <c r="HB98" i="27"/>
  <c r="GZ98" i="27"/>
  <c r="HH98" i="27"/>
  <c r="HA98" i="27"/>
  <c r="FD95" i="27"/>
  <c r="FF95" i="27"/>
  <c r="FE95" i="27"/>
  <c r="FL95" i="27"/>
  <c r="GZ102" i="27"/>
  <c r="HH102" i="27"/>
  <c r="HB102" i="27"/>
  <c r="HA102" i="27"/>
  <c r="GZ107" i="27"/>
  <c r="HB107" i="27"/>
  <c r="HA107" i="27"/>
  <c r="HH107" i="27"/>
  <c r="AL72" i="3"/>
  <c r="P76" i="31"/>
  <c r="L88" i="31"/>
  <c r="AF88" i="31" s="1"/>
  <c r="AH84" i="3"/>
  <c r="HI81" i="27"/>
  <c r="DQ61" i="27"/>
  <c r="HM43" i="27"/>
  <c r="HO43" i="27"/>
  <c r="FS42" i="27"/>
  <c r="FQ42" i="27"/>
  <c r="BE79" i="31"/>
  <c r="AS79" i="31"/>
  <c r="AY79" i="31" s="1"/>
  <c r="HO42" i="27"/>
  <c r="HM42" i="27"/>
  <c r="DQ60" i="27"/>
  <c r="Q73" i="31"/>
  <c r="AJ73" i="31"/>
  <c r="DQ108" i="27"/>
  <c r="GU90" i="27"/>
  <c r="HG90" i="27"/>
  <c r="GT90" i="27"/>
  <c r="GV90" i="27"/>
  <c r="EZ92" i="27"/>
  <c r="EX92" i="27"/>
  <c r="EY92" i="27"/>
  <c r="FK92" i="27"/>
  <c r="FM92" i="27" s="1"/>
  <c r="EZ101" i="27"/>
  <c r="EX101" i="27"/>
  <c r="EY101" i="27"/>
  <c r="FK101" i="27"/>
  <c r="FM101" i="27" s="1"/>
  <c r="FK100" i="27"/>
  <c r="EZ100" i="27"/>
  <c r="EX100" i="27"/>
  <c r="EY100" i="27"/>
  <c r="EZ95" i="27"/>
  <c r="FK95" i="27"/>
  <c r="FM95" i="27" s="1"/>
  <c r="EY95" i="27"/>
  <c r="EX95" i="27"/>
  <c r="DP109" i="27"/>
  <c r="DH109" i="27"/>
  <c r="DJ109" i="27"/>
  <c r="DI109" i="27"/>
  <c r="DP112" i="27"/>
  <c r="DJ112" i="27"/>
  <c r="DH112" i="27"/>
  <c r="DI112" i="27"/>
  <c r="DI114" i="27"/>
  <c r="DP114" i="27"/>
  <c r="DH114" i="27"/>
  <c r="DJ114" i="27"/>
  <c r="HE123" i="27"/>
  <c r="GJ123" i="27"/>
  <c r="GI123" i="27"/>
  <c r="GH123" i="27"/>
  <c r="CR117" i="27"/>
  <c r="CP117" i="27"/>
  <c r="CQ117" i="27"/>
  <c r="DM117" i="27"/>
  <c r="CQ122" i="27"/>
  <c r="CP122" i="27"/>
  <c r="CR122" i="27"/>
  <c r="DM122" i="27"/>
  <c r="EL124" i="27"/>
  <c r="EM124" i="27"/>
  <c r="FI124" i="27"/>
  <c r="EN124" i="27"/>
  <c r="EL128" i="27"/>
  <c r="EN128" i="27"/>
  <c r="EM128" i="27"/>
  <c r="FI128" i="27"/>
  <c r="EN125" i="27"/>
  <c r="EM125" i="27"/>
  <c r="FI125" i="27"/>
  <c r="EL125" i="27"/>
  <c r="CX145" i="27"/>
  <c r="CV145" i="27"/>
  <c r="CW145" i="27"/>
  <c r="DN145" i="27"/>
  <c r="GN143" i="27"/>
  <c r="HF143" i="27"/>
  <c r="GP143" i="27"/>
  <c r="GO143" i="27"/>
  <c r="DN147" i="27"/>
  <c r="CW147" i="27"/>
  <c r="CV147" i="27"/>
  <c r="CX147" i="27"/>
  <c r="GO150" i="27"/>
  <c r="HF150" i="27"/>
  <c r="GP150" i="27"/>
  <c r="GN150" i="27"/>
  <c r="EL144" i="27"/>
  <c r="EN144" i="27"/>
  <c r="FI144" i="27"/>
  <c r="EM144" i="27"/>
  <c r="FI143" i="27"/>
  <c r="EL143" i="27"/>
  <c r="EM143" i="27"/>
  <c r="EN143" i="27"/>
  <c r="CQ151" i="27"/>
  <c r="DM151" i="27"/>
  <c r="CP151" i="27"/>
  <c r="CR151" i="27"/>
  <c r="EN142" i="27"/>
  <c r="EM142" i="27"/>
  <c r="FI142" i="27"/>
  <c r="EL142" i="27"/>
  <c r="DB109" i="27"/>
  <c r="DD109" i="27"/>
  <c r="DC109" i="27"/>
  <c r="DO109" i="27"/>
  <c r="EX113" i="27"/>
  <c r="EZ113" i="27"/>
  <c r="EY113" i="27"/>
  <c r="FK113" i="27"/>
  <c r="FM113" i="27" s="1"/>
  <c r="DC110" i="27"/>
  <c r="DB110" i="27"/>
  <c r="DD110" i="27"/>
  <c r="DO110" i="27"/>
  <c r="ET124" i="27"/>
  <c r="FJ124" i="27"/>
  <c r="ER124" i="27"/>
  <c r="ES124" i="27"/>
  <c r="CV131" i="27"/>
  <c r="CX131" i="27"/>
  <c r="CW131" i="27"/>
  <c r="DN131" i="27"/>
  <c r="GP127" i="27"/>
  <c r="GO127" i="27"/>
  <c r="GN127" i="27"/>
  <c r="HF127" i="27"/>
  <c r="FJ132" i="27"/>
  <c r="ES132" i="27"/>
  <c r="ET132" i="27"/>
  <c r="ER132" i="27"/>
  <c r="CX134" i="27"/>
  <c r="CW134" i="27"/>
  <c r="DN134" i="27"/>
  <c r="CV134" i="27"/>
  <c r="HF137" i="27"/>
  <c r="GP137" i="27"/>
  <c r="GO137" i="27"/>
  <c r="GN137" i="27"/>
  <c r="CX136" i="27"/>
  <c r="DN136" i="27"/>
  <c r="CW136" i="27"/>
  <c r="CV136" i="27"/>
  <c r="EY103" i="27"/>
  <c r="FK103" i="27"/>
  <c r="EZ103" i="27"/>
  <c r="EX103" i="27"/>
  <c r="DD104" i="27"/>
  <c r="DC104" i="27"/>
  <c r="DO104" i="27"/>
  <c r="DQ104" i="27" s="1"/>
  <c r="DB104" i="27"/>
  <c r="FI132" i="27"/>
  <c r="EM132" i="27"/>
  <c r="EN132" i="27"/>
  <c r="EL132" i="27"/>
  <c r="GH141" i="27"/>
  <c r="HE141" i="27"/>
  <c r="GI141" i="27"/>
  <c r="GJ141" i="27"/>
  <c r="GH135" i="27"/>
  <c r="HE135" i="27"/>
  <c r="GI135" i="27"/>
  <c r="GJ135" i="27"/>
  <c r="CQ137" i="27"/>
  <c r="CR137" i="27"/>
  <c r="DM137" i="27"/>
  <c r="CP137" i="27"/>
  <c r="CK218" i="27"/>
  <c r="CL218" i="27"/>
  <c r="DL218" i="27"/>
  <c r="CJ218" i="27"/>
  <c r="FH224" i="27"/>
  <c r="EF224" i="27"/>
  <c r="EH224" i="27"/>
  <c r="EG224" i="27"/>
  <c r="GD217" i="27"/>
  <c r="HD217" i="27"/>
  <c r="GB217" i="27"/>
  <c r="GC217" i="27"/>
  <c r="EF220" i="27"/>
  <c r="EH220" i="27"/>
  <c r="FH220" i="27"/>
  <c r="EG220" i="27"/>
  <c r="EG212" i="27"/>
  <c r="FH212" i="27"/>
  <c r="EF212" i="27"/>
  <c r="EH212" i="27"/>
  <c r="FH237" i="27"/>
  <c r="EG237" i="27"/>
  <c r="EF237" i="27"/>
  <c r="EH237" i="27"/>
  <c r="CL230" i="27"/>
  <c r="CK230" i="27"/>
  <c r="CJ230" i="27"/>
  <c r="DL230" i="27"/>
  <c r="GB239" i="27"/>
  <c r="HD239" i="27"/>
  <c r="GD239" i="27"/>
  <c r="GC239" i="27"/>
  <c r="DL232" i="27"/>
  <c r="CL232" i="27"/>
  <c r="CK232" i="27"/>
  <c r="CJ232" i="27"/>
  <c r="GC235" i="27"/>
  <c r="GB235" i="27"/>
  <c r="GD235" i="27"/>
  <c r="HD235" i="27"/>
  <c r="DL240" i="27"/>
  <c r="CL240" i="27"/>
  <c r="CJ240" i="27"/>
  <c r="CK240" i="27"/>
  <c r="HD256" i="27"/>
  <c r="GD256" i="27"/>
  <c r="GB256" i="27"/>
  <c r="GC256" i="27"/>
  <c r="EF251" i="27"/>
  <c r="FH251" i="27"/>
  <c r="EG251" i="27"/>
  <c r="EH251" i="27"/>
  <c r="EH257" i="27"/>
  <c r="EF257" i="27"/>
  <c r="EG257" i="27"/>
  <c r="FH257" i="27"/>
  <c r="GD253" i="27"/>
  <c r="GC253" i="27"/>
  <c r="GB253" i="27"/>
  <c r="HD253" i="27"/>
  <c r="GD247" i="27"/>
  <c r="GC247" i="27"/>
  <c r="HD247" i="27"/>
  <c r="GB247" i="27"/>
  <c r="GD258" i="27"/>
  <c r="GC258" i="27"/>
  <c r="GB258" i="27"/>
  <c r="HD258" i="27"/>
  <c r="GZ90" i="27"/>
  <c r="HH90" i="27"/>
  <c r="HA90" i="27"/>
  <c r="HB90" i="27"/>
  <c r="HA93" i="27"/>
  <c r="HH93" i="27"/>
  <c r="HI93" i="27" s="1"/>
  <c r="GZ93" i="27"/>
  <c r="HB93" i="27"/>
  <c r="DI101" i="27"/>
  <c r="DP101" i="27"/>
  <c r="DJ101" i="27"/>
  <c r="DH101" i="27"/>
  <c r="DP98" i="27"/>
  <c r="DQ98" i="27" s="1"/>
  <c r="DJ98" i="27"/>
  <c r="DI98" i="27"/>
  <c r="DH98" i="27"/>
  <c r="FD97" i="27"/>
  <c r="FL97" i="27"/>
  <c r="FM97" i="27" s="1"/>
  <c r="FF97" i="27"/>
  <c r="FE97" i="27"/>
  <c r="DH102" i="27"/>
  <c r="DJ102" i="27"/>
  <c r="DP102" i="27"/>
  <c r="DQ102" i="27" s="1"/>
  <c r="DI102" i="27"/>
  <c r="FF107" i="27"/>
  <c r="FD107" i="27"/>
  <c r="FL107" i="27"/>
  <c r="FE107" i="27"/>
  <c r="P78" i="31"/>
  <c r="AL74" i="3"/>
  <c r="L89" i="31"/>
  <c r="AF89" i="31" s="1"/>
  <c r="AH85" i="3"/>
  <c r="I24" i="5"/>
  <c r="S24" i="5" s="1"/>
  <c r="K23" i="5"/>
  <c r="U23" i="5" s="1"/>
  <c r="G27" i="5"/>
  <c r="Q27" i="5" s="1"/>
  <c r="J23" i="5"/>
  <c r="T23" i="5" s="1"/>
  <c r="L309" i="27"/>
  <c r="AG152" i="27"/>
  <c r="AP138" i="3"/>
  <c r="L302" i="27"/>
  <c r="Z83" i="5"/>
  <c r="Z185" i="27"/>
  <c r="AP131" i="3"/>
  <c r="AR71" i="3"/>
  <c r="AN159" i="27"/>
  <c r="AR73" i="3"/>
  <c r="Z197" i="27"/>
  <c r="AQ116" i="3"/>
  <c r="Z188" i="27"/>
  <c r="Z209" i="27"/>
  <c r="AO258" i="3"/>
  <c r="AB79" i="5"/>
  <c r="S180" i="27"/>
  <c r="Z200" i="27"/>
  <c r="S189" i="27"/>
  <c r="AP145" i="3"/>
  <c r="L329" i="27"/>
  <c r="L312" i="27"/>
  <c r="L299" i="27"/>
  <c r="AP137" i="3"/>
  <c r="AP146" i="3"/>
  <c r="S195" i="27"/>
  <c r="AO293" i="3"/>
  <c r="AG144" i="27"/>
  <c r="AN144" i="27"/>
  <c r="AQ118" i="3"/>
  <c r="L308" i="27"/>
  <c r="AG151" i="27"/>
  <c r="AN160" i="27"/>
  <c r="AN165" i="27"/>
  <c r="S182" i="27"/>
  <c r="S204" i="27"/>
  <c r="AS36" i="3"/>
  <c r="Z189" i="27"/>
  <c r="L337" i="27"/>
  <c r="AQ114" i="3"/>
  <c r="AG163" i="27"/>
  <c r="AR72" i="3"/>
  <c r="AN170" i="27"/>
  <c r="Z175" i="27"/>
  <c r="S200" i="27"/>
  <c r="Z199" i="27"/>
  <c r="AP148" i="3"/>
  <c r="AP134" i="3"/>
  <c r="Z211" i="27"/>
  <c r="Z191" i="27"/>
  <c r="AQ120" i="3"/>
  <c r="S183" i="27"/>
  <c r="AO259" i="3"/>
  <c r="S181" i="27"/>
  <c r="AS39" i="3"/>
  <c r="AP141" i="3"/>
  <c r="AQ109" i="3"/>
  <c r="L314" i="27"/>
  <c r="AO268" i="3"/>
  <c r="AG165" i="27"/>
  <c r="L311" i="27"/>
  <c r="AO275" i="3"/>
  <c r="AG170" i="27"/>
  <c r="AN169" i="27"/>
  <c r="AQ113" i="3"/>
  <c r="AN158" i="27"/>
  <c r="S207" i="27"/>
  <c r="L315" i="27"/>
  <c r="AO269" i="3"/>
  <c r="AG167" i="27"/>
  <c r="AN163" i="27"/>
  <c r="AR62" i="3"/>
  <c r="Z177" i="27"/>
  <c r="S205" i="27"/>
  <c r="Z184" i="27"/>
  <c r="AN166" i="27"/>
  <c r="Z186" i="27"/>
  <c r="AO276" i="3"/>
  <c r="S198" i="27"/>
  <c r="Z176" i="27"/>
  <c r="AP133" i="3"/>
  <c r="AO261" i="3"/>
  <c r="AG148" i="27"/>
  <c r="L341" i="27"/>
  <c r="AG159" i="27"/>
  <c r="AA79" i="5"/>
  <c r="S196" i="27"/>
  <c r="AN152" i="27"/>
  <c r="AG149" i="27"/>
  <c r="AG155" i="27"/>
  <c r="AO266" i="3"/>
  <c r="AN164" i="27"/>
  <c r="S194" i="27"/>
  <c r="AG172" i="27"/>
  <c r="Z180" i="27"/>
  <c r="AP142" i="3"/>
  <c r="S177" i="27"/>
  <c r="AG145" i="27"/>
  <c r="AN143" i="27"/>
  <c r="AN161" i="27"/>
  <c r="L324" i="27"/>
  <c r="S202" i="27"/>
  <c r="Z206" i="27"/>
  <c r="AN142" i="27"/>
  <c r="AR64" i="3"/>
  <c r="AS35" i="3"/>
  <c r="AO280" i="3"/>
  <c r="Z183" i="27"/>
  <c r="S197" i="27"/>
  <c r="AN155" i="27"/>
  <c r="AO296" i="3"/>
  <c r="S174" i="27"/>
  <c r="AG150" i="27"/>
  <c r="AO270" i="3"/>
  <c r="S187" i="27"/>
  <c r="AO290" i="3"/>
  <c r="AN171" i="27"/>
  <c r="AN167" i="27"/>
  <c r="L322" i="27"/>
  <c r="AR68" i="3"/>
  <c r="AO289" i="3"/>
  <c r="AO282" i="3"/>
  <c r="Z205" i="27"/>
  <c r="AG168" i="27"/>
  <c r="L316" i="27"/>
  <c r="AO273" i="3"/>
  <c r="AG158" i="27"/>
  <c r="AO288" i="3"/>
  <c r="S178" i="27"/>
  <c r="AN145" i="27"/>
  <c r="AO260" i="3"/>
  <c r="AN162" i="27"/>
  <c r="AR63" i="3"/>
  <c r="AG164" i="27"/>
  <c r="L336" i="27"/>
  <c r="AO284" i="3"/>
  <c r="L338" i="27"/>
  <c r="AG161" i="27"/>
  <c r="Z210" i="27"/>
  <c r="AN157" i="27"/>
  <c r="Z179" i="27"/>
  <c r="Z182" i="27"/>
  <c r="L301" i="27"/>
  <c r="Y82" i="5"/>
  <c r="Z207" i="27"/>
  <c r="AO271" i="3"/>
  <c r="AQ111" i="3"/>
  <c r="Z190" i="27"/>
  <c r="AN149" i="27"/>
  <c r="S193" i="27"/>
  <c r="AR61" i="3"/>
  <c r="S199" i="27"/>
  <c r="AN168" i="27"/>
  <c r="L331" i="27"/>
  <c r="AG142" i="27"/>
  <c r="AG169" i="27"/>
  <c r="AN151" i="27"/>
  <c r="L323" i="27"/>
  <c r="S184" i="27"/>
  <c r="AQ110" i="3"/>
  <c r="L320" i="27"/>
  <c r="AS41" i="3"/>
  <c r="L326" i="27"/>
  <c r="AS37" i="3"/>
  <c r="X90" i="5"/>
  <c r="L328" i="27"/>
  <c r="AO265" i="3"/>
  <c r="S201" i="27"/>
  <c r="AP130" i="3"/>
  <c r="AS38" i="3"/>
  <c r="L325" i="27"/>
  <c r="Z204" i="27"/>
  <c r="AO272" i="3"/>
  <c r="S190" i="27"/>
  <c r="AG162" i="27"/>
  <c r="L334" i="27"/>
  <c r="S175" i="27"/>
  <c r="AO281" i="3"/>
  <c r="S208" i="27"/>
  <c r="Z192" i="27"/>
  <c r="AN153" i="27"/>
  <c r="Z187" i="27"/>
  <c r="Z201" i="27"/>
  <c r="L313" i="27"/>
  <c r="AG171" i="27"/>
  <c r="L306" i="27"/>
  <c r="AN146" i="27"/>
  <c r="S211" i="27"/>
  <c r="AS42" i="3"/>
  <c r="AN154" i="27"/>
  <c r="S191" i="27"/>
  <c r="AO286" i="3"/>
  <c r="AG160" i="27"/>
  <c r="AN147" i="27"/>
  <c r="AO295" i="3"/>
  <c r="Z195" i="27"/>
  <c r="AQ108" i="3"/>
  <c r="AG153" i="27"/>
  <c r="AQ119" i="3"/>
  <c r="AN150" i="27"/>
  <c r="Z202" i="27"/>
  <c r="S185" i="27"/>
  <c r="L319" i="27"/>
  <c r="AG147" i="27"/>
  <c r="AO285" i="3"/>
  <c r="L303" i="27"/>
  <c r="L330" i="27"/>
  <c r="AA80" i="5"/>
  <c r="AR67" i="3"/>
  <c r="S176" i="27"/>
  <c r="AO283" i="3"/>
  <c r="AG166" i="27"/>
  <c r="S186" i="27"/>
  <c r="AO264" i="3"/>
  <c r="L340" i="27"/>
  <c r="Z84" i="5"/>
  <c r="AP132" i="3"/>
  <c r="AG154" i="27"/>
  <c r="L333" i="27"/>
  <c r="L339" i="27"/>
  <c r="AP144" i="3"/>
  <c r="AS40" i="3"/>
  <c r="AP143" i="3"/>
  <c r="AP139" i="3"/>
  <c r="L335" i="27"/>
  <c r="L310" i="27"/>
  <c r="S206" i="27"/>
  <c r="Z181" i="27"/>
  <c r="AO291" i="3"/>
  <c r="AB81" i="5"/>
  <c r="AQ115" i="3"/>
  <c r="AQ121" i="3"/>
  <c r="AO262" i="3"/>
  <c r="L317" i="27"/>
  <c r="AQ117" i="3"/>
  <c r="L307" i="27"/>
  <c r="S210" i="27"/>
  <c r="AP147" i="3"/>
  <c r="AR70" i="3"/>
  <c r="AN148" i="27"/>
  <c r="L321" i="27"/>
  <c r="L300" i="27"/>
  <c r="AO274" i="3"/>
  <c r="AG146" i="27"/>
  <c r="S203" i="27"/>
  <c r="R23" i="3"/>
  <c r="L318" i="27"/>
  <c r="S192" i="27"/>
  <c r="AG156" i="27"/>
  <c r="Z194" i="27"/>
  <c r="AO277" i="3"/>
  <c r="AN172" i="27"/>
  <c r="Z82" i="5"/>
  <c r="L305" i="27"/>
  <c r="AO279" i="3"/>
  <c r="Y83" i="5"/>
  <c r="AO294" i="3"/>
  <c r="AG157" i="27"/>
  <c r="AR66" i="3"/>
  <c r="AP136" i="3"/>
  <c r="AN156" i="27"/>
  <c r="AQ112" i="3"/>
  <c r="S188" i="27"/>
  <c r="Z196" i="27"/>
  <c r="Z178" i="27"/>
  <c r="AQ107" i="3"/>
  <c r="AR69" i="3"/>
  <c r="Z198" i="27"/>
  <c r="S209" i="27"/>
  <c r="L332" i="27"/>
  <c r="S179" i="27"/>
  <c r="AP140" i="3"/>
  <c r="AP135" i="3"/>
  <c r="AR65" i="3"/>
  <c r="AO263" i="3"/>
  <c r="AA81" i="5"/>
  <c r="Z193" i="27"/>
  <c r="X89" i="5"/>
  <c r="AO287" i="3"/>
  <c r="Z173" i="27"/>
  <c r="Z174" i="27"/>
  <c r="AG143" i="27"/>
  <c r="Z208" i="27"/>
  <c r="AO267" i="3"/>
  <c r="S173" i="27"/>
  <c r="L327" i="27"/>
  <c r="AB80" i="5"/>
  <c r="AO292" i="3"/>
  <c r="L304" i="27"/>
  <c r="AO278" i="3"/>
  <c r="Z203" i="27"/>
  <c r="FM100" i="27" l="1"/>
  <c r="HI115" i="27"/>
  <c r="HI100" i="27"/>
  <c r="DQ97" i="27"/>
  <c r="HI96" i="27"/>
  <c r="DU77" i="27"/>
  <c r="FS68" i="27"/>
  <c r="DQ93" i="27"/>
  <c r="FM110" i="27"/>
  <c r="HI92" i="27"/>
  <c r="HO92" i="27" s="1"/>
  <c r="FM106" i="27"/>
  <c r="HI103" i="27"/>
  <c r="DU73" i="27"/>
  <c r="DU88" i="27"/>
  <c r="DQ101" i="27"/>
  <c r="DQ114" i="27"/>
  <c r="DQ92" i="27"/>
  <c r="HI113" i="27"/>
  <c r="HO113" i="27" s="1"/>
  <c r="DQ111" i="27"/>
  <c r="FQ84" i="27"/>
  <c r="HO79" i="27"/>
  <c r="DW62" i="27"/>
  <c r="FQ72" i="27"/>
  <c r="FS71" i="27"/>
  <c r="DQ115" i="27"/>
  <c r="FM103" i="27"/>
  <c r="FS103" i="27" s="1"/>
  <c r="FM114" i="27"/>
  <c r="HI105" i="27"/>
  <c r="FM104" i="27"/>
  <c r="FS104" i="27" s="1"/>
  <c r="HI99" i="27"/>
  <c r="DW71" i="27"/>
  <c r="DU76" i="27"/>
  <c r="DQ100" i="27"/>
  <c r="DU100" i="27" s="1"/>
  <c r="FM102" i="27"/>
  <c r="FS102" i="27" s="1"/>
  <c r="DQ90" i="27"/>
  <c r="HI107" i="27"/>
  <c r="HI98" i="27"/>
  <c r="HO98" i="27" s="1"/>
  <c r="HI94" i="27"/>
  <c r="DQ99" i="27"/>
  <c r="DW99" i="27" s="1"/>
  <c r="FM93" i="27"/>
  <c r="FS93" i="27" s="1"/>
  <c r="FM98" i="27"/>
  <c r="FS98" i="27" s="1"/>
  <c r="HI102" i="27"/>
  <c r="HO102" i="27" s="1"/>
  <c r="DQ91" i="27"/>
  <c r="FM115" i="27"/>
  <c r="FQ80" i="27"/>
  <c r="DQ110" i="27"/>
  <c r="DQ109" i="27"/>
  <c r="DQ103" i="27"/>
  <c r="HI109" i="27"/>
  <c r="HO109" i="27" s="1"/>
  <c r="FM99" i="27"/>
  <c r="FS99" i="27" s="1"/>
  <c r="FM108" i="27"/>
  <c r="HI95" i="27"/>
  <c r="FQ83" i="27"/>
  <c r="DQ112" i="27"/>
  <c r="HI89" i="27"/>
  <c r="HO89" i="27" s="1"/>
  <c r="DQ105" i="27"/>
  <c r="DW105" i="27" s="1"/>
  <c r="FM107" i="27"/>
  <c r="FS107" i="27" s="1"/>
  <c r="AE80" i="3"/>
  <c r="AE78" i="3"/>
  <c r="AE79" i="3"/>
  <c r="AD82" i="3"/>
  <c r="AD83" i="3"/>
  <c r="AD81" i="3"/>
  <c r="AB88" i="3"/>
  <c r="AB89" i="3"/>
  <c r="AF80" i="3"/>
  <c r="AF78" i="3"/>
  <c r="AF79" i="3"/>
  <c r="T23" i="3"/>
  <c r="EI208" i="27"/>
  <c r="GE208" i="27"/>
  <c r="CM208" i="27"/>
  <c r="EI203" i="27"/>
  <c r="CM203" i="27"/>
  <c r="GE203" i="27"/>
  <c r="EI206" i="27"/>
  <c r="GE206" i="27"/>
  <c r="CM206" i="27"/>
  <c r="EI205" i="27"/>
  <c r="GE205" i="27"/>
  <c r="CM205" i="27"/>
  <c r="GE209" i="27"/>
  <c r="CM209" i="27"/>
  <c r="EI209" i="27"/>
  <c r="CM202" i="27"/>
  <c r="EI202" i="27"/>
  <c r="GE202" i="27"/>
  <c r="GE210" i="27"/>
  <c r="CM210" i="27"/>
  <c r="EI210" i="27"/>
  <c r="EI201" i="27"/>
  <c r="GE201" i="27"/>
  <c r="CM201" i="27"/>
  <c r="EI207" i="27"/>
  <c r="CM207" i="27"/>
  <c r="GE207" i="27"/>
  <c r="CM211" i="27"/>
  <c r="GE211" i="27"/>
  <c r="EI211" i="27"/>
  <c r="CM204" i="27"/>
  <c r="GE204" i="27"/>
  <c r="EI204" i="27"/>
  <c r="EI200" i="27"/>
  <c r="GE200" i="27"/>
  <c r="CM200" i="27"/>
  <c r="GE199" i="27"/>
  <c r="EI199" i="27"/>
  <c r="CM199" i="27"/>
  <c r="FA168" i="27"/>
  <c r="GW168" i="27"/>
  <c r="DE168" i="27"/>
  <c r="FA166" i="27"/>
  <c r="DE166" i="27"/>
  <c r="GW166" i="27"/>
  <c r="GW162" i="27"/>
  <c r="DE162" i="27"/>
  <c r="FA162" i="27"/>
  <c r="DE165" i="27"/>
  <c r="GW165" i="27"/>
  <c r="FA165" i="27"/>
  <c r="DE163" i="27"/>
  <c r="GW163" i="27"/>
  <c r="FA163" i="27"/>
  <c r="DE167" i="27"/>
  <c r="GW167" i="27"/>
  <c r="FA167" i="27"/>
  <c r="FA171" i="27"/>
  <c r="DE171" i="27"/>
  <c r="GW171" i="27"/>
  <c r="FA172" i="27"/>
  <c r="DE172" i="27"/>
  <c r="GW172" i="27"/>
  <c r="DE169" i="27"/>
  <c r="GW169" i="27"/>
  <c r="FA169" i="27"/>
  <c r="GW170" i="27"/>
  <c r="FA170" i="27"/>
  <c r="DE170" i="27"/>
  <c r="DE164" i="27"/>
  <c r="FA164" i="27"/>
  <c r="GW164" i="27"/>
  <c r="AT40" i="3"/>
  <c r="AT41" i="3"/>
  <c r="AT42" i="3"/>
  <c r="GQ169" i="27"/>
  <c r="EU169" i="27"/>
  <c r="CY169" i="27"/>
  <c r="EU168" i="27"/>
  <c r="GQ168" i="27"/>
  <c r="CY168" i="27"/>
  <c r="CY164" i="27"/>
  <c r="EU164" i="27"/>
  <c r="GQ164" i="27"/>
  <c r="EU166" i="27"/>
  <c r="GQ166" i="27"/>
  <c r="CY166" i="27"/>
  <c r="GQ165" i="27"/>
  <c r="CY165" i="27"/>
  <c r="EU165" i="27"/>
  <c r="GQ171" i="27"/>
  <c r="EU171" i="27"/>
  <c r="CY171" i="27"/>
  <c r="EU162" i="27"/>
  <c r="CY162" i="27"/>
  <c r="GQ162" i="27"/>
  <c r="CY167" i="27"/>
  <c r="EU167" i="27"/>
  <c r="GQ167" i="27"/>
  <c r="EU172" i="27"/>
  <c r="CY172" i="27"/>
  <c r="GQ172" i="27"/>
  <c r="CY163" i="27"/>
  <c r="GQ163" i="27"/>
  <c r="EU163" i="27"/>
  <c r="GQ170" i="27"/>
  <c r="EU170" i="27"/>
  <c r="CY170" i="27"/>
  <c r="GQ154" i="27"/>
  <c r="EU154" i="27"/>
  <c r="CY154" i="27"/>
  <c r="CY159" i="27"/>
  <c r="GQ159" i="27"/>
  <c r="EU159" i="27"/>
  <c r="GQ153" i="27"/>
  <c r="EU153" i="27"/>
  <c r="CY153" i="27"/>
  <c r="EU152" i="27"/>
  <c r="CY152" i="27"/>
  <c r="GQ152" i="27"/>
  <c r="GQ156" i="27"/>
  <c r="EU156" i="27"/>
  <c r="CY156" i="27"/>
  <c r="CY157" i="27"/>
  <c r="GQ157" i="27"/>
  <c r="EU157" i="27"/>
  <c r="EU161" i="27"/>
  <c r="GQ161" i="27"/>
  <c r="CY161" i="27"/>
  <c r="GQ155" i="27"/>
  <c r="CY155" i="27"/>
  <c r="EU155" i="27"/>
  <c r="CY160" i="27"/>
  <c r="GQ160" i="27"/>
  <c r="EU160" i="27"/>
  <c r="GQ158" i="27"/>
  <c r="CY158" i="27"/>
  <c r="EU158" i="27"/>
  <c r="EU143" i="27"/>
  <c r="CY143" i="27"/>
  <c r="GQ143" i="27"/>
  <c r="EU145" i="27"/>
  <c r="CY145" i="27"/>
  <c r="GQ145" i="27"/>
  <c r="EU147" i="27"/>
  <c r="GQ147" i="27"/>
  <c r="CY147" i="27"/>
  <c r="CY150" i="27"/>
  <c r="GQ150" i="27"/>
  <c r="EU150" i="27"/>
  <c r="EU149" i="27"/>
  <c r="CY149" i="27"/>
  <c r="GQ149" i="27"/>
  <c r="EU146" i="27"/>
  <c r="GQ146" i="27"/>
  <c r="CY146" i="27"/>
  <c r="CY148" i="27"/>
  <c r="GQ148" i="27"/>
  <c r="EU148" i="27"/>
  <c r="EU144" i="27"/>
  <c r="GQ144" i="27"/>
  <c r="CY144" i="27"/>
  <c r="EU142" i="27"/>
  <c r="GQ142" i="27"/>
  <c r="CY142" i="27"/>
  <c r="GQ151" i="27"/>
  <c r="EU151" i="27"/>
  <c r="CY151" i="27"/>
  <c r="DE155" i="27"/>
  <c r="FA155" i="27"/>
  <c r="GW155" i="27"/>
  <c r="GW152" i="27"/>
  <c r="FA152" i="27"/>
  <c r="DE152" i="27"/>
  <c r="FA161" i="27"/>
  <c r="DE161" i="27"/>
  <c r="GW161" i="27"/>
  <c r="FA154" i="27"/>
  <c r="GW154" i="27"/>
  <c r="DE154" i="27"/>
  <c r="GW156" i="27"/>
  <c r="DE156" i="27"/>
  <c r="FA156" i="27"/>
  <c r="FA153" i="27"/>
  <c r="DE153" i="27"/>
  <c r="GW153" i="27"/>
  <c r="FA160" i="27"/>
  <c r="GW160" i="27"/>
  <c r="DE160" i="27"/>
  <c r="GW159" i="27"/>
  <c r="DE159" i="27"/>
  <c r="FA159" i="27"/>
  <c r="GW158" i="27"/>
  <c r="DE158" i="27"/>
  <c r="FA158" i="27"/>
  <c r="FA157" i="27"/>
  <c r="GW157" i="27"/>
  <c r="DE157" i="27"/>
  <c r="FA143" i="27"/>
  <c r="GW143" i="27"/>
  <c r="DE143" i="27"/>
  <c r="FA150" i="27"/>
  <c r="DE150" i="27"/>
  <c r="GW150" i="27"/>
  <c r="DE151" i="27"/>
  <c r="GW151" i="27"/>
  <c r="FA151" i="27"/>
  <c r="DE149" i="27"/>
  <c r="GW149" i="27"/>
  <c r="FA149" i="27"/>
  <c r="GW144" i="27"/>
  <c r="DE144" i="27"/>
  <c r="FA144" i="27"/>
  <c r="GW142" i="27"/>
  <c r="FA142" i="27"/>
  <c r="DE142" i="27"/>
  <c r="FA145" i="27"/>
  <c r="DE145" i="27"/>
  <c r="GW145" i="27"/>
  <c r="FA147" i="27"/>
  <c r="DE147" i="27"/>
  <c r="GW147" i="27"/>
  <c r="FA146" i="27"/>
  <c r="GW146" i="27"/>
  <c r="DE146" i="27"/>
  <c r="DE148" i="27"/>
  <c r="GW148" i="27"/>
  <c r="FA148" i="27"/>
  <c r="AT38" i="3"/>
  <c r="AT39" i="3"/>
  <c r="AT36" i="3"/>
  <c r="AT35" i="3"/>
  <c r="AT37" i="3"/>
  <c r="AC82" i="3"/>
  <c r="AC81" i="3"/>
  <c r="CG325" i="27"/>
  <c r="FY325" i="27"/>
  <c r="EC325" i="27"/>
  <c r="FY324" i="27"/>
  <c r="EC324" i="27"/>
  <c r="CG324" i="27"/>
  <c r="CG335" i="27"/>
  <c r="FY335" i="27"/>
  <c r="EC335" i="27"/>
  <c r="EC323" i="27"/>
  <c r="CG323" i="27"/>
  <c r="FY323" i="27"/>
  <c r="CG338" i="27"/>
  <c r="FY338" i="27"/>
  <c r="EC338" i="27"/>
  <c r="FY336" i="27"/>
  <c r="CG336" i="27"/>
  <c r="EC336" i="27"/>
  <c r="EC328" i="27"/>
  <c r="FY328" i="27"/>
  <c r="CG328" i="27"/>
  <c r="CG331" i="27"/>
  <c r="FY331" i="27"/>
  <c r="EC331" i="27"/>
  <c r="EC339" i="27"/>
  <c r="FY339" i="27"/>
  <c r="CG339" i="27"/>
  <c r="EC320" i="27"/>
  <c r="CG320" i="27"/>
  <c r="FY320" i="27"/>
  <c r="CG326" i="27"/>
  <c r="FY326" i="27"/>
  <c r="EC326" i="27"/>
  <c r="EC337" i="27"/>
  <c r="CG337" i="27"/>
  <c r="FY337" i="27"/>
  <c r="CG334" i="27"/>
  <c r="EC334" i="27"/>
  <c r="FY334" i="27"/>
  <c r="EC329" i="27"/>
  <c r="FY329" i="27"/>
  <c r="CG329" i="27"/>
  <c r="FY332" i="27"/>
  <c r="EC332" i="27"/>
  <c r="CG332" i="27"/>
  <c r="CG322" i="27"/>
  <c r="EC322" i="27"/>
  <c r="FY322" i="27"/>
  <c r="CG333" i="27"/>
  <c r="FY333" i="27"/>
  <c r="EC333" i="27"/>
  <c r="EC321" i="27"/>
  <c r="FY321" i="27"/>
  <c r="CG321" i="27"/>
  <c r="EC330" i="27"/>
  <c r="FY330" i="27"/>
  <c r="CG330" i="27"/>
  <c r="FY340" i="27"/>
  <c r="EC340" i="27"/>
  <c r="CG340" i="27"/>
  <c r="EC341" i="27"/>
  <c r="CG341" i="27"/>
  <c r="FY341" i="27"/>
  <c r="EC327" i="27"/>
  <c r="CG327" i="27"/>
  <c r="FY327" i="27"/>
  <c r="EC303" i="27"/>
  <c r="FY303" i="27"/>
  <c r="CG303" i="27"/>
  <c r="FY300" i="27"/>
  <c r="CG300" i="27"/>
  <c r="EC300" i="27"/>
  <c r="FY309" i="27"/>
  <c r="EC309" i="27"/>
  <c r="CG309" i="27"/>
  <c r="CG314" i="27"/>
  <c r="FY314" i="27"/>
  <c r="EC314" i="27"/>
  <c r="EC311" i="27"/>
  <c r="FY311" i="27"/>
  <c r="CG311" i="27"/>
  <c r="FY317" i="27"/>
  <c r="CG317" i="27"/>
  <c r="EC317" i="27"/>
  <c r="FY304" i="27"/>
  <c r="EC304" i="27"/>
  <c r="CG304" i="27"/>
  <c r="CG306" i="27"/>
  <c r="EC306" i="27"/>
  <c r="FY306" i="27"/>
  <c r="FY312" i="27"/>
  <c r="CG312" i="27"/>
  <c r="EC312" i="27"/>
  <c r="EC305" i="27"/>
  <c r="CG305" i="27"/>
  <c r="FY305" i="27"/>
  <c r="EC308" i="27"/>
  <c r="CG308" i="27"/>
  <c r="FY308" i="27"/>
  <c r="EC316" i="27"/>
  <c r="CG316" i="27"/>
  <c r="FY316" i="27"/>
  <c r="CG313" i="27"/>
  <c r="FY313" i="27"/>
  <c r="EC313" i="27"/>
  <c r="EC299" i="27"/>
  <c r="CG299" i="27"/>
  <c r="FY299" i="27"/>
  <c r="CG319" i="27"/>
  <c r="FY319" i="27"/>
  <c r="EC319" i="27"/>
  <c r="EC307" i="27"/>
  <c r="CG307" i="27"/>
  <c r="FY307" i="27"/>
  <c r="EC310" i="27"/>
  <c r="CG310" i="27"/>
  <c r="FY310" i="27"/>
  <c r="CG302" i="27"/>
  <c r="FY302" i="27"/>
  <c r="EC302" i="27"/>
  <c r="EC301" i="27"/>
  <c r="CG301" i="27"/>
  <c r="FY301" i="27"/>
  <c r="EC315" i="27"/>
  <c r="FY315" i="27"/>
  <c r="CG315" i="27"/>
  <c r="EC318" i="27"/>
  <c r="CG318" i="27"/>
  <c r="FY318" i="27"/>
  <c r="EI195" i="27"/>
  <c r="GE195" i="27"/>
  <c r="CM195" i="27"/>
  <c r="CM187" i="27"/>
  <c r="GE187" i="27"/>
  <c r="EI187" i="27"/>
  <c r="CM188" i="27"/>
  <c r="GE188" i="27"/>
  <c r="EI188" i="27"/>
  <c r="EI196" i="27"/>
  <c r="CM196" i="27"/>
  <c r="GE196" i="27"/>
  <c r="GE186" i="27"/>
  <c r="CM186" i="27"/>
  <c r="EI186" i="27"/>
  <c r="CM193" i="27"/>
  <c r="EI193" i="27"/>
  <c r="GE193" i="27"/>
  <c r="EI190" i="27"/>
  <c r="CM190" i="27"/>
  <c r="GE190" i="27"/>
  <c r="GE189" i="27"/>
  <c r="EI189" i="27"/>
  <c r="CM189" i="27"/>
  <c r="EI198" i="27"/>
  <c r="CM198" i="27"/>
  <c r="GE198" i="27"/>
  <c r="GE194" i="27"/>
  <c r="CM194" i="27"/>
  <c r="EI194" i="27"/>
  <c r="GE192" i="27"/>
  <c r="CM192" i="27"/>
  <c r="EI192" i="27"/>
  <c r="CM191" i="27"/>
  <c r="EI191" i="27"/>
  <c r="GE191" i="27"/>
  <c r="GE197" i="27"/>
  <c r="CM197" i="27"/>
  <c r="EI197" i="27"/>
  <c r="EI180" i="27"/>
  <c r="GE180" i="27"/>
  <c r="CM180" i="27"/>
  <c r="GE177" i="27"/>
  <c r="EI177" i="27"/>
  <c r="CM177" i="27"/>
  <c r="CM173" i="27"/>
  <c r="EI173" i="27"/>
  <c r="GE173" i="27"/>
  <c r="EI184" i="27"/>
  <c r="GE184" i="27"/>
  <c r="CM184" i="27"/>
  <c r="CM179" i="27"/>
  <c r="GE179" i="27"/>
  <c r="EI179" i="27"/>
  <c r="EI185" i="27"/>
  <c r="GE185" i="27"/>
  <c r="CM185" i="27"/>
  <c r="CM174" i="27"/>
  <c r="EI174" i="27"/>
  <c r="GE174" i="27"/>
  <c r="GE182" i="27"/>
  <c r="CM182" i="27"/>
  <c r="EI182" i="27"/>
  <c r="EI181" i="27"/>
  <c r="GE181" i="27"/>
  <c r="CM181" i="27"/>
  <c r="EI183" i="27"/>
  <c r="GE183" i="27"/>
  <c r="CM183" i="27"/>
  <c r="CM176" i="27"/>
  <c r="GE176" i="27"/>
  <c r="EI176" i="27"/>
  <c r="GE178" i="27"/>
  <c r="EI178" i="27"/>
  <c r="CM178" i="27"/>
  <c r="GE175" i="27"/>
  <c r="EI175" i="27"/>
  <c r="CM175" i="27"/>
  <c r="CS210" i="27"/>
  <c r="GK210" i="27"/>
  <c r="EO210" i="27"/>
  <c r="GK208" i="27"/>
  <c r="CS208" i="27"/>
  <c r="EO208" i="27"/>
  <c r="CS199" i="27"/>
  <c r="EO199" i="27"/>
  <c r="GK199" i="27"/>
  <c r="GK206" i="27"/>
  <c r="EO206" i="27"/>
  <c r="CS206" i="27"/>
  <c r="CS202" i="27"/>
  <c r="GK202" i="27"/>
  <c r="EO202" i="27"/>
  <c r="CS203" i="27"/>
  <c r="EO203" i="27"/>
  <c r="GK203" i="27"/>
  <c r="GK211" i="27"/>
  <c r="EO211" i="27"/>
  <c r="CS211" i="27"/>
  <c r="EO209" i="27"/>
  <c r="CS209" i="27"/>
  <c r="GK209" i="27"/>
  <c r="CS200" i="27"/>
  <c r="EO200" i="27"/>
  <c r="GK200" i="27"/>
  <c r="EO207" i="27"/>
  <c r="GK207" i="27"/>
  <c r="CS207" i="27"/>
  <c r="CS201" i="27"/>
  <c r="GK201" i="27"/>
  <c r="EO201" i="27"/>
  <c r="CS205" i="27"/>
  <c r="EO205" i="27"/>
  <c r="GK205" i="27"/>
  <c r="GK204" i="27"/>
  <c r="EO204" i="27"/>
  <c r="CS204" i="27"/>
  <c r="EO186" i="27"/>
  <c r="CS186" i="27"/>
  <c r="GK186" i="27"/>
  <c r="EO189" i="27"/>
  <c r="GK189" i="27"/>
  <c r="CS189" i="27"/>
  <c r="GK198" i="27"/>
  <c r="EO198" i="27"/>
  <c r="CS198" i="27"/>
  <c r="GK187" i="27"/>
  <c r="CS187" i="27"/>
  <c r="EO187" i="27"/>
  <c r="EO193" i="27"/>
  <c r="CS193" i="27"/>
  <c r="GK193" i="27"/>
  <c r="GK197" i="27"/>
  <c r="EO197" i="27"/>
  <c r="CS197" i="27"/>
  <c r="CS190" i="27"/>
  <c r="GK190" i="27"/>
  <c r="EO190" i="27"/>
  <c r="GK191" i="27"/>
  <c r="EO191" i="27"/>
  <c r="CS191" i="27"/>
  <c r="CS192" i="27"/>
  <c r="GK192" i="27"/>
  <c r="EO192" i="27"/>
  <c r="CS194" i="27"/>
  <c r="GK194" i="27"/>
  <c r="EO194" i="27"/>
  <c r="EO195" i="27"/>
  <c r="GK195" i="27"/>
  <c r="CS195" i="27"/>
  <c r="EO188" i="27"/>
  <c r="GK188" i="27"/>
  <c r="CS188" i="27"/>
  <c r="CS196" i="27"/>
  <c r="EO196" i="27"/>
  <c r="GK196" i="27"/>
  <c r="CS183" i="27"/>
  <c r="GK183" i="27"/>
  <c r="EO183" i="27"/>
  <c r="EO181" i="27"/>
  <c r="CS181" i="27"/>
  <c r="GK181" i="27"/>
  <c r="EO176" i="27"/>
  <c r="CS176" i="27"/>
  <c r="GK176" i="27"/>
  <c r="GK185" i="27"/>
  <c r="EO185" i="27"/>
  <c r="CS185" i="27"/>
  <c r="EO179" i="27"/>
  <c r="CS179" i="27"/>
  <c r="GK179" i="27"/>
  <c r="EO182" i="27"/>
  <c r="CS182" i="27"/>
  <c r="GK182" i="27"/>
  <c r="GK173" i="27"/>
  <c r="CS173" i="27"/>
  <c r="EO173" i="27"/>
  <c r="GK178" i="27"/>
  <c r="EO178" i="27"/>
  <c r="CS178" i="27"/>
  <c r="EO177" i="27"/>
  <c r="GK177" i="27"/>
  <c r="CS177" i="27"/>
  <c r="CS184" i="27"/>
  <c r="EO184" i="27"/>
  <c r="GK184" i="27"/>
  <c r="CS180" i="27"/>
  <c r="GK180" i="27"/>
  <c r="EO180" i="27"/>
  <c r="GK174" i="27"/>
  <c r="CS174" i="27"/>
  <c r="EO174" i="27"/>
  <c r="CS175" i="27"/>
  <c r="GK175" i="27"/>
  <c r="EO175" i="27"/>
  <c r="FS97" i="27"/>
  <c r="FQ97" i="27"/>
  <c r="DU101" i="27"/>
  <c r="DW101" i="27"/>
  <c r="DU114" i="27"/>
  <c r="DW114" i="27"/>
  <c r="FQ91" i="27"/>
  <c r="FS91" i="27"/>
  <c r="FS106" i="27"/>
  <c r="FQ106" i="27"/>
  <c r="DW95" i="27"/>
  <c r="DU95" i="27"/>
  <c r="FQ105" i="27"/>
  <c r="FS105" i="27"/>
  <c r="HM107" i="27"/>
  <c r="HO107" i="27"/>
  <c r="HM98" i="27"/>
  <c r="HM94" i="27"/>
  <c r="HO94" i="27"/>
  <c r="FQ100" i="27"/>
  <c r="FS100" i="27"/>
  <c r="HM100" i="27"/>
  <c r="HO100" i="27"/>
  <c r="DU115" i="27"/>
  <c r="DW115" i="27"/>
  <c r="DW110" i="27"/>
  <c r="DU110" i="27"/>
  <c r="DU109" i="27"/>
  <c r="DW109" i="27"/>
  <c r="FQ101" i="27"/>
  <c r="FS101" i="27"/>
  <c r="DU103" i="27"/>
  <c r="DW103" i="27"/>
  <c r="FQ110" i="27"/>
  <c r="FS110" i="27"/>
  <c r="HM109" i="27"/>
  <c r="HM115" i="27"/>
  <c r="HO115" i="27"/>
  <c r="HO111" i="27"/>
  <c r="HM111" i="27"/>
  <c r="HO104" i="27"/>
  <c r="HM104" i="27"/>
  <c r="DW102" i="27"/>
  <c r="DU102" i="27"/>
  <c r="DW106" i="27"/>
  <c r="DU106" i="27"/>
  <c r="DW112" i="27"/>
  <c r="DU112" i="27"/>
  <c r="DU92" i="27"/>
  <c r="DW92" i="27"/>
  <c r="FQ98" i="27"/>
  <c r="HM102" i="27"/>
  <c r="DU91" i="27"/>
  <c r="DW91" i="27"/>
  <c r="FS115" i="27"/>
  <c r="FQ115" i="27"/>
  <c r="HO93" i="27"/>
  <c r="HM93" i="27"/>
  <c r="FQ103" i="27"/>
  <c r="FQ95" i="27"/>
  <c r="FS95" i="27"/>
  <c r="FQ114" i="27"/>
  <c r="FS114" i="27"/>
  <c r="FQ96" i="27"/>
  <c r="FS96" i="27"/>
  <c r="FS108" i="27"/>
  <c r="FQ108" i="27"/>
  <c r="HM95" i="27"/>
  <c r="HO95" i="27"/>
  <c r="DU98" i="27"/>
  <c r="DW98" i="27"/>
  <c r="HM101" i="27"/>
  <c r="HO101" i="27"/>
  <c r="DW100" i="27"/>
  <c r="FQ107" i="27"/>
  <c r="FS113" i="27"/>
  <c r="FQ113" i="27"/>
  <c r="FQ92" i="27"/>
  <c r="FS92" i="27"/>
  <c r="DW90" i="27"/>
  <c r="DU90" i="27"/>
  <c r="DU93" i="27"/>
  <c r="DW93" i="27"/>
  <c r="HO105" i="27"/>
  <c r="HM105" i="27"/>
  <c r="HO108" i="27"/>
  <c r="HM108" i="27"/>
  <c r="DW111" i="27"/>
  <c r="DU111" i="27"/>
  <c r="HO99" i="27"/>
  <c r="HM99" i="27"/>
  <c r="DU104" i="27"/>
  <c r="DW104" i="27"/>
  <c r="HO112" i="27"/>
  <c r="HM112" i="27"/>
  <c r="DU89" i="27"/>
  <c r="DW89" i="27"/>
  <c r="HM110" i="27"/>
  <c r="HO110" i="27"/>
  <c r="HM91" i="27"/>
  <c r="HO91" i="27"/>
  <c r="DU97" i="27"/>
  <c r="DW97" i="27"/>
  <c r="AV73" i="31"/>
  <c r="BB73" i="31" s="1"/>
  <c r="BH73" i="31"/>
  <c r="HM103" i="27"/>
  <c r="HO103" i="27"/>
  <c r="BQ42" i="23"/>
  <c r="HO86" i="27"/>
  <c r="HM86" i="27"/>
  <c r="FQ82" i="27"/>
  <c r="FS82" i="27"/>
  <c r="AS80" i="31"/>
  <c r="AY80" i="31" s="1"/>
  <c r="BE80" i="31"/>
  <c r="CK277" i="27"/>
  <c r="CL277" i="27"/>
  <c r="CJ277" i="27"/>
  <c r="DL277" i="27"/>
  <c r="HD274" i="27"/>
  <c r="GB274" i="27"/>
  <c r="GD274" i="27"/>
  <c r="GC274" i="27"/>
  <c r="GB269" i="27"/>
  <c r="GD269" i="27"/>
  <c r="HD269" i="27"/>
  <c r="GC269" i="27"/>
  <c r="HD267" i="27"/>
  <c r="GD267" i="27"/>
  <c r="GC267" i="27"/>
  <c r="GB267" i="27"/>
  <c r="HD275" i="27"/>
  <c r="GB275" i="27"/>
  <c r="GC275" i="27"/>
  <c r="GD275" i="27"/>
  <c r="GC273" i="27"/>
  <c r="HD273" i="27"/>
  <c r="GB273" i="27"/>
  <c r="GD273" i="27"/>
  <c r="CL266" i="27"/>
  <c r="DL266" i="27"/>
  <c r="CJ266" i="27"/>
  <c r="CK266" i="27"/>
  <c r="EF282" i="27"/>
  <c r="EG282" i="27"/>
  <c r="FH282" i="27"/>
  <c r="EH282" i="27"/>
  <c r="HD294" i="27"/>
  <c r="GD294" i="27"/>
  <c r="GB294" i="27"/>
  <c r="GC294" i="27"/>
  <c r="CL289" i="27"/>
  <c r="CJ289" i="27"/>
  <c r="CK289" i="27"/>
  <c r="DL289" i="27"/>
  <c r="GC297" i="27"/>
  <c r="GD297" i="27"/>
  <c r="GB297" i="27"/>
  <c r="HD297" i="27"/>
  <c r="GD284" i="27"/>
  <c r="HD284" i="27"/>
  <c r="GC284" i="27"/>
  <c r="GB284" i="27"/>
  <c r="GD281" i="27"/>
  <c r="GB281" i="27"/>
  <c r="HD281" i="27"/>
  <c r="GC281" i="27"/>
  <c r="GB291" i="27"/>
  <c r="GC291" i="27"/>
  <c r="HD291" i="27"/>
  <c r="GD291" i="27"/>
  <c r="HD287" i="27"/>
  <c r="GD287" i="27"/>
  <c r="GB287" i="27"/>
  <c r="GC287" i="27"/>
  <c r="DP119" i="27"/>
  <c r="DJ119" i="27"/>
  <c r="DI119" i="27"/>
  <c r="DH119" i="27"/>
  <c r="FE120" i="27"/>
  <c r="FL120" i="27"/>
  <c r="FF120" i="27"/>
  <c r="FD120" i="27"/>
  <c r="DP116" i="27"/>
  <c r="DJ116" i="27"/>
  <c r="DH116" i="27"/>
  <c r="DI116" i="27"/>
  <c r="HH131" i="27"/>
  <c r="GZ131" i="27"/>
  <c r="HA131" i="27"/>
  <c r="HB131" i="27"/>
  <c r="FF130" i="27"/>
  <c r="FL130" i="27"/>
  <c r="FD130" i="27"/>
  <c r="FE130" i="27"/>
  <c r="HA124" i="27"/>
  <c r="HB124" i="27"/>
  <c r="GZ124" i="27"/>
  <c r="HH124" i="27"/>
  <c r="M83" i="31"/>
  <c r="AG83" i="31" s="1"/>
  <c r="AI79" i="3"/>
  <c r="ET154" i="27"/>
  <c r="ER154" i="27"/>
  <c r="FJ154" i="27"/>
  <c r="ES154" i="27"/>
  <c r="CX155" i="27"/>
  <c r="CW155" i="27"/>
  <c r="DN155" i="27"/>
  <c r="CV155" i="27"/>
  <c r="GP156" i="27"/>
  <c r="GN156" i="27"/>
  <c r="GO156" i="27"/>
  <c r="HF156" i="27"/>
  <c r="CV163" i="27"/>
  <c r="CW163" i="27"/>
  <c r="DN163" i="27"/>
  <c r="CX163" i="27"/>
  <c r="ET168" i="27"/>
  <c r="ES168" i="27"/>
  <c r="ER168" i="27"/>
  <c r="FJ168" i="27"/>
  <c r="CW171" i="27"/>
  <c r="DN171" i="27"/>
  <c r="CX171" i="27"/>
  <c r="CV171" i="27"/>
  <c r="FJ169" i="27"/>
  <c r="ET169" i="27"/>
  <c r="ES169" i="27"/>
  <c r="ER169" i="27"/>
  <c r="DB137" i="27"/>
  <c r="DC137" i="27"/>
  <c r="DD137" i="27"/>
  <c r="DO137" i="27"/>
  <c r="EY139" i="27"/>
  <c r="EX139" i="27"/>
  <c r="FK139" i="27"/>
  <c r="EZ139" i="27"/>
  <c r="DB138" i="27"/>
  <c r="DC138" i="27"/>
  <c r="DD138" i="27"/>
  <c r="DO138" i="27"/>
  <c r="GU134" i="27"/>
  <c r="GV134" i="27"/>
  <c r="HG134" i="27"/>
  <c r="GT134" i="27"/>
  <c r="O81" i="31"/>
  <c r="AI81" i="31" s="1"/>
  <c r="AK77" i="3"/>
  <c r="P80" i="31"/>
  <c r="AL76" i="3"/>
  <c r="EY119" i="27"/>
  <c r="EX119" i="27"/>
  <c r="FK119" i="27"/>
  <c r="EZ119" i="27"/>
  <c r="GT123" i="27"/>
  <c r="GV123" i="27"/>
  <c r="GU123" i="27"/>
  <c r="HG123" i="27"/>
  <c r="DC122" i="27"/>
  <c r="DO122" i="27"/>
  <c r="DD122" i="27"/>
  <c r="DB122" i="27"/>
  <c r="EX128" i="27"/>
  <c r="EY128" i="27"/>
  <c r="EZ128" i="27"/>
  <c r="FK128" i="27"/>
  <c r="DO125" i="27"/>
  <c r="DB125" i="27"/>
  <c r="DD125" i="27"/>
  <c r="DC125" i="27"/>
  <c r="DO129" i="27"/>
  <c r="DD129" i="27"/>
  <c r="DB129" i="27"/>
  <c r="DC129" i="27"/>
  <c r="FF133" i="27"/>
  <c r="FE133" i="27"/>
  <c r="FD133" i="27"/>
  <c r="FL133" i="27"/>
  <c r="HH135" i="27"/>
  <c r="HA135" i="27"/>
  <c r="HB135" i="27"/>
  <c r="GZ135" i="27"/>
  <c r="HA136" i="27"/>
  <c r="HB136" i="27"/>
  <c r="GZ136" i="27"/>
  <c r="HH136" i="27"/>
  <c r="DJ132" i="27"/>
  <c r="DP132" i="27"/>
  <c r="DH132" i="27"/>
  <c r="DI132" i="27"/>
  <c r="EL156" i="27"/>
  <c r="EM156" i="27"/>
  <c r="FI156" i="27"/>
  <c r="EN156" i="27"/>
  <c r="EN155" i="27"/>
  <c r="FI155" i="27"/>
  <c r="EL155" i="27"/>
  <c r="EM155" i="27"/>
  <c r="EM157" i="27"/>
  <c r="EL157" i="27"/>
  <c r="EN157" i="27"/>
  <c r="FI157" i="27"/>
  <c r="EN170" i="27"/>
  <c r="EL170" i="27"/>
  <c r="EM170" i="27"/>
  <c r="FI170" i="27"/>
  <c r="EM169" i="27"/>
  <c r="EN169" i="27"/>
  <c r="EL169" i="27"/>
  <c r="FI169" i="27"/>
  <c r="DM162" i="27"/>
  <c r="CR162" i="27"/>
  <c r="CQ162" i="27"/>
  <c r="CP162" i="27"/>
  <c r="GI166" i="27"/>
  <c r="GH166" i="27"/>
  <c r="GJ166" i="27"/>
  <c r="HE166" i="27"/>
  <c r="BD89" i="31"/>
  <c r="AR89" i="31"/>
  <c r="AX89" i="31" s="1"/>
  <c r="DU96" i="27"/>
  <c r="DW96" i="27"/>
  <c r="BD88" i="31"/>
  <c r="AR88" i="31"/>
  <c r="AX88" i="31" s="1"/>
  <c r="BF80" i="31"/>
  <c r="AT80" i="31"/>
  <c r="AZ80" i="31" s="1"/>
  <c r="FS89" i="27"/>
  <c r="FQ89" i="27"/>
  <c r="BG76" i="31"/>
  <c r="AU76" i="31"/>
  <c r="BA76" i="31" s="1"/>
  <c r="GB277" i="27"/>
  <c r="GC277" i="27"/>
  <c r="GD277" i="27"/>
  <c r="HD277" i="27"/>
  <c r="DL274" i="27"/>
  <c r="CL274" i="27"/>
  <c r="CK274" i="27"/>
  <c r="CJ274" i="27"/>
  <c r="GD271" i="27"/>
  <c r="GB271" i="27"/>
  <c r="GC271" i="27"/>
  <c r="HD271" i="27"/>
  <c r="CL267" i="27"/>
  <c r="CJ267" i="27"/>
  <c r="CK267" i="27"/>
  <c r="DL267" i="27"/>
  <c r="DL275" i="27"/>
  <c r="CJ275" i="27"/>
  <c r="CL275" i="27"/>
  <c r="CK275" i="27"/>
  <c r="GC276" i="27"/>
  <c r="GD276" i="27"/>
  <c r="GB276" i="27"/>
  <c r="HD276" i="27"/>
  <c r="EH266" i="27"/>
  <c r="EG266" i="27"/>
  <c r="EF266" i="27"/>
  <c r="FH266" i="27"/>
  <c r="CK282" i="27"/>
  <c r="CJ282" i="27"/>
  <c r="CL282" i="27"/>
  <c r="DL282" i="27"/>
  <c r="GD295" i="27"/>
  <c r="GC295" i="27"/>
  <c r="HD295" i="27"/>
  <c r="GB295" i="27"/>
  <c r="GD289" i="27"/>
  <c r="HD289" i="27"/>
  <c r="GB289" i="27"/>
  <c r="GC289" i="27"/>
  <c r="CJ297" i="27"/>
  <c r="CK297" i="27"/>
  <c r="CL297" i="27"/>
  <c r="DL297" i="27"/>
  <c r="GB279" i="27"/>
  <c r="HD279" i="27"/>
  <c r="GC279" i="27"/>
  <c r="GD279" i="27"/>
  <c r="DL281" i="27"/>
  <c r="CK281" i="27"/>
  <c r="CL281" i="27"/>
  <c r="CJ281" i="27"/>
  <c r="CJ291" i="27"/>
  <c r="CL291" i="27"/>
  <c r="CK291" i="27"/>
  <c r="DL291" i="27"/>
  <c r="EF298" i="27"/>
  <c r="FH298" i="27"/>
  <c r="EH298" i="27"/>
  <c r="EG298" i="27"/>
  <c r="GZ119" i="27"/>
  <c r="HB119" i="27"/>
  <c r="HA119" i="27"/>
  <c r="HH119" i="27"/>
  <c r="HA120" i="27"/>
  <c r="GZ120" i="27"/>
  <c r="HH120" i="27"/>
  <c r="HB120" i="27"/>
  <c r="DP122" i="27"/>
  <c r="DH122" i="27"/>
  <c r="DJ122" i="27"/>
  <c r="DI122" i="27"/>
  <c r="FE131" i="27"/>
  <c r="FL131" i="27"/>
  <c r="FD131" i="27"/>
  <c r="FF131" i="27"/>
  <c r="GZ130" i="27"/>
  <c r="HB130" i="27"/>
  <c r="HA130" i="27"/>
  <c r="HH130" i="27"/>
  <c r="HA127" i="27"/>
  <c r="GZ127" i="27"/>
  <c r="HH127" i="27"/>
  <c r="HB127" i="27"/>
  <c r="GO153" i="27"/>
  <c r="HF153" i="27"/>
  <c r="GN153" i="27"/>
  <c r="GP153" i="27"/>
  <c r="DN154" i="27"/>
  <c r="CV154" i="27"/>
  <c r="CW154" i="27"/>
  <c r="CX154" i="27"/>
  <c r="GO155" i="27"/>
  <c r="HF155" i="27"/>
  <c r="GP155" i="27"/>
  <c r="GN155" i="27"/>
  <c r="ES160" i="27"/>
  <c r="ER160" i="27"/>
  <c r="ET160" i="27"/>
  <c r="FJ160" i="27"/>
  <c r="FJ163" i="27"/>
  <c r="ET163" i="27"/>
  <c r="ES163" i="27"/>
  <c r="ER163" i="27"/>
  <c r="GO168" i="27"/>
  <c r="GN168" i="27"/>
  <c r="GP168" i="27"/>
  <c r="HF168" i="27"/>
  <c r="GO167" i="27"/>
  <c r="GP167" i="27"/>
  <c r="HF167" i="27"/>
  <c r="GN167" i="27"/>
  <c r="GO169" i="27"/>
  <c r="GN169" i="27"/>
  <c r="HF169" i="27"/>
  <c r="GP169" i="27"/>
  <c r="GV135" i="27"/>
  <c r="HG135" i="27"/>
  <c r="GU135" i="27"/>
  <c r="GT135" i="27"/>
  <c r="HG139" i="27"/>
  <c r="GU139" i="27"/>
  <c r="GT139" i="27"/>
  <c r="GV139" i="27"/>
  <c r="FK138" i="27"/>
  <c r="EZ138" i="27"/>
  <c r="EY138" i="27"/>
  <c r="EX138" i="27"/>
  <c r="DO136" i="27"/>
  <c r="DC136" i="27"/>
  <c r="DB136" i="27"/>
  <c r="DD136" i="27"/>
  <c r="O80" i="31"/>
  <c r="AI80" i="31" s="1"/>
  <c r="AK76" i="3"/>
  <c r="P81" i="31"/>
  <c r="AL77" i="3"/>
  <c r="DB118" i="27"/>
  <c r="DD118" i="27"/>
  <c r="DC118" i="27"/>
  <c r="DO118" i="27"/>
  <c r="EY123" i="27"/>
  <c r="EX123" i="27"/>
  <c r="EZ123" i="27"/>
  <c r="FK123" i="27"/>
  <c r="EZ122" i="27"/>
  <c r="EX122" i="27"/>
  <c r="FK122" i="27"/>
  <c r="EY122" i="27"/>
  <c r="DO124" i="27"/>
  <c r="DC124" i="27"/>
  <c r="DB124" i="27"/>
  <c r="DD124" i="27"/>
  <c r="EX125" i="27"/>
  <c r="EZ125" i="27"/>
  <c r="FK125" i="27"/>
  <c r="EY125" i="27"/>
  <c r="EY129" i="27"/>
  <c r="EX129" i="27"/>
  <c r="FK129" i="27"/>
  <c r="EZ129" i="27"/>
  <c r="GZ138" i="27"/>
  <c r="HH138" i="27"/>
  <c r="HB138" i="27"/>
  <c r="HA138" i="27"/>
  <c r="FE135" i="27"/>
  <c r="FF135" i="27"/>
  <c r="FD135" i="27"/>
  <c r="FL135" i="27"/>
  <c r="DJ136" i="27"/>
  <c r="DI136" i="27"/>
  <c r="DP136" i="27"/>
  <c r="DH136" i="27"/>
  <c r="HE153" i="27"/>
  <c r="GI153" i="27"/>
  <c r="GJ153" i="27"/>
  <c r="GH153" i="27"/>
  <c r="GH156" i="27"/>
  <c r="GJ156" i="27"/>
  <c r="HE156" i="27"/>
  <c r="GI156" i="27"/>
  <c r="HE155" i="27"/>
  <c r="GI155" i="27"/>
  <c r="GJ155" i="27"/>
  <c r="GH155" i="27"/>
  <c r="FI161" i="27"/>
  <c r="EN161" i="27"/>
  <c r="EM161" i="27"/>
  <c r="EL161" i="27"/>
  <c r="GI170" i="27"/>
  <c r="GJ170" i="27"/>
  <c r="HE170" i="27"/>
  <c r="GH170" i="27"/>
  <c r="CQ169" i="27"/>
  <c r="DM169" i="27"/>
  <c r="CP169" i="27"/>
  <c r="CR169" i="27"/>
  <c r="GJ164" i="27"/>
  <c r="HE164" i="27"/>
  <c r="GH164" i="27"/>
  <c r="GI164" i="27"/>
  <c r="CQ166" i="27"/>
  <c r="DM166" i="27"/>
  <c r="CR166" i="27"/>
  <c r="CP166" i="27"/>
  <c r="HI90" i="27"/>
  <c r="DU60" i="27"/>
  <c r="DW60" i="27"/>
  <c r="Q76" i="31"/>
  <c r="AJ76" i="31"/>
  <c r="HM114" i="27"/>
  <c r="HO114" i="27"/>
  <c r="FM111" i="27"/>
  <c r="AV74" i="31"/>
  <c r="BB74" i="31" s="1"/>
  <c r="BH74" i="31"/>
  <c r="AJ77" i="31"/>
  <c r="Q77" i="31"/>
  <c r="EF260" i="27"/>
  <c r="FH260" i="27"/>
  <c r="EG260" i="27"/>
  <c r="EH260" i="27"/>
  <c r="EG274" i="27"/>
  <c r="EH274" i="27"/>
  <c r="EF274" i="27"/>
  <c r="FH274" i="27"/>
  <c r="DL271" i="27"/>
  <c r="CK271" i="27"/>
  <c r="CL271" i="27"/>
  <c r="CJ271" i="27"/>
  <c r="HD263" i="27"/>
  <c r="GC263" i="27"/>
  <c r="GB263" i="27"/>
  <c r="GD263" i="27"/>
  <c r="FH275" i="27"/>
  <c r="EF275" i="27"/>
  <c r="EH275" i="27"/>
  <c r="EG275" i="27"/>
  <c r="DL276" i="27"/>
  <c r="CJ276" i="27"/>
  <c r="CL276" i="27"/>
  <c r="CK276" i="27"/>
  <c r="EH272" i="27"/>
  <c r="FH272" i="27"/>
  <c r="EF272" i="27"/>
  <c r="EG272" i="27"/>
  <c r="GB282" i="27"/>
  <c r="GD282" i="27"/>
  <c r="HD282" i="27"/>
  <c r="GC282" i="27"/>
  <c r="FH295" i="27"/>
  <c r="EH295" i="27"/>
  <c r="EF295" i="27"/>
  <c r="EG295" i="27"/>
  <c r="EF283" i="27"/>
  <c r="FH283" i="27"/>
  <c r="EH283" i="27"/>
  <c r="EG283" i="27"/>
  <c r="EG297" i="27"/>
  <c r="EF297" i="27"/>
  <c r="EH297" i="27"/>
  <c r="FH297" i="27"/>
  <c r="EF279" i="27"/>
  <c r="FH279" i="27"/>
  <c r="EH279" i="27"/>
  <c r="EG279" i="27"/>
  <c r="CL285" i="27"/>
  <c r="CK285" i="27"/>
  <c r="CJ285" i="27"/>
  <c r="DL285" i="27"/>
  <c r="EG291" i="27"/>
  <c r="EH291" i="27"/>
  <c r="EF291" i="27"/>
  <c r="FH291" i="27"/>
  <c r="HD298" i="27"/>
  <c r="GD298" i="27"/>
  <c r="GC298" i="27"/>
  <c r="GB298" i="27"/>
  <c r="DI121" i="27"/>
  <c r="DP121" i="27"/>
  <c r="DJ121" i="27"/>
  <c r="DH121" i="27"/>
  <c r="DI120" i="27"/>
  <c r="DJ120" i="27"/>
  <c r="DP120" i="27"/>
  <c r="DH120" i="27"/>
  <c r="HA122" i="27"/>
  <c r="GZ122" i="27"/>
  <c r="HH122" i="27"/>
  <c r="HB122" i="27"/>
  <c r="DJ125" i="27"/>
  <c r="DP125" i="27"/>
  <c r="DH125" i="27"/>
  <c r="DI125" i="27"/>
  <c r="DH130" i="27"/>
  <c r="DP130" i="27"/>
  <c r="DJ130" i="27"/>
  <c r="DI130" i="27"/>
  <c r="DJ127" i="27"/>
  <c r="DP127" i="27"/>
  <c r="DH127" i="27"/>
  <c r="DI127" i="27"/>
  <c r="ES153" i="27"/>
  <c r="ER153" i="27"/>
  <c r="ET153" i="27"/>
  <c r="FJ153" i="27"/>
  <c r="GO152" i="27"/>
  <c r="GP152" i="27"/>
  <c r="GN152" i="27"/>
  <c r="HF152" i="27"/>
  <c r="ES155" i="27"/>
  <c r="ET155" i="27"/>
  <c r="ER155" i="27"/>
  <c r="FJ155" i="27"/>
  <c r="GO160" i="27"/>
  <c r="GP160" i="27"/>
  <c r="HF160" i="27"/>
  <c r="GN160" i="27"/>
  <c r="ES172" i="27"/>
  <c r="ET172" i="27"/>
  <c r="ER172" i="27"/>
  <c r="FJ172" i="27"/>
  <c r="CV168" i="27"/>
  <c r="DN168" i="27"/>
  <c r="CW168" i="27"/>
  <c r="CX168" i="27"/>
  <c r="CX167" i="27"/>
  <c r="CW167" i="27"/>
  <c r="CV167" i="27"/>
  <c r="DN167" i="27"/>
  <c r="HF166" i="27"/>
  <c r="GN166" i="27"/>
  <c r="GP166" i="27"/>
  <c r="GO166" i="27"/>
  <c r="EY135" i="27"/>
  <c r="EZ135" i="27"/>
  <c r="FK135" i="27"/>
  <c r="EX135" i="27"/>
  <c r="EY132" i="27"/>
  <c r="FK132" i="27"/>
  <c r="EX132" i="27"/>
  <c r="EZ132" i="27"/>
  <c r="GT138" i="27"/>
  <c r="GU138" i="27"/>
  <c r="HG138" i="27"/>
  <c r="GV138" i="27"/>
  <c r="HG136" i="27"/>
  <c r="HI136" i="27" s="1"/>
  <c r="GV136" i="27"/>
  <c r="GT136" i="27"/>
  <c r="GU136" i="27"/>
  <c r="O79" i="31"/>
  <c r="AI79" i="31" s="1"/>
  <c r="AK75" i="3"/>
  <c r="P79" i="31"/>
  <c r="AL75" i="3"/>
  <c r="EZ118" i="27"/>
  <c r="EX118" i="27"/>
  <c r="EY118" i="27"/>
  <c r="FK118" i="27"/>
  <c r="EY116" i="27"/>
  <c r="EX116" i="27"/>
  <c r="FK116" i="27"/>
  <c r="EZ116" i="27"/>
  <c r="HG122" i="27"/>
  <c r="GU122" i="27"/>
  <c r="GV122" i="27"/>
  <c r="GT122" i="27"/>
  <c r="GV124" i="27"/>
  <c r="HG124" i="27"/>
  <c r="GU124" i="27"/>
  <c r="GT124" i="27"/>
  <c r="EY127" i="27"/>
  <c r="EX127" i="27"/>
  <c r="FK127" i="27"/>
  <c r="EZ127" i="27"/>
  <c r="GT129" i="27"/>
  <c r="GU129" i="27"/>
  <c r="GV129" i="27"/>
  <c r="HG129" i="27"/>
  <c r="FF138" i="27"/>
  <c r="FE138" i="27"/>
  <c r="FL138" i="27"/>
  <c r="FD138" i="27"/>
  <c r="HH139" i="27"/>
  <c r="GZ139" i="27"/>
  <c r="HB139" i="27"/>
  <c r="HA139" i="27"/>
  <c r="FF136" i="27"/>
  <c r="FD136" i="27"/>
  <c r="FL136" i="27"/>
  <c r="FE136" i="27"/>
  <c r="EN153" i="27"/>
  <c r="EM153" i="27"/>
  <c r="EL153" i="27"/>
  <c r="FI153" i="27"/>
  <c r="EN152" i="27"/>
  <c r="EL152" i="27"/>
  <c r="FI152" i="27"/>
  <c r="EM152" i="27"/>
  <c r="DM155" i="27"/>
  <c r="CQ155" i="27"/>
  <c r="CP155" i="27"/>
  <c r="CR155" i="27"/>
  <c r="GJ161" i="27"/>
  <c r="HE161" i="27"/>
  <c r="GI161" i="27"/>
  <c r="GH161" i="27"/>
  <c r="EL163" i="27"/>
  <c r="EM163" i="27"/>
  <c r="EN163" i="27"/>
  <c r="FI163" i="27"/>
  <c r="HE169" i="27"/>
  <c r="GJ169" i="27"/>
  <c r="GI169" i="27"/>
  <c r="GH169" i="27"/>
  <c r="DM164" i="27"/>
  <c r="CR164" i="27"/>
  <c r="CP164" i="27"/>
  <c r="CQ164" i="27"/>
  <c r="CP165" i="27"/>
  <c r="CR165" i="27"/>
  <c r="CQ165" i="27"/>
  <c r="DM165" i="27"/>
  <c r="AJ78" i="31"/>
  <c r="Q78" i="31"/>
  <c r="HO97" i="27"/>
  <c r="HM97" i="27"/>
  <c r="DW94" i="27"/>
  <c r="DU94" i="27"/>
  <c r="H25" i="5"/>
  <c r="R25" i="5" s="1"/>
  <c r="CK260" i="27"/>
  <c r="CJ260" i="27"/>
  <c r="CL260" i="27"/>
  <c r="DL260" i="27"/>
  <c r="GB268" i="27"/>
  <c r="GD268" i="27"/>
  <c r="GC268" i="27"/>
  <c r="HD268" i="27"/>
  <c r="EG271" i="27"/>
  <c r="FH271" i="27"/>
  <c r="EH271" i="27"/>
  <c r="EF271" i="27"/>
  <c r="EH263" i="27"/>
  <c r="EF263" i="27"/>
  <c r="EG263" i="27"/>
  <c r="FH263" i="27"/>
  <c r="EG262" i="27"/>
  <c r="FH262" i="27"/>
  <c r="EF262" i="27"/>
  <c r="EH262" i="27"/>
  <c r="EH276" i="27"/>
  <c r="EG276" i="27"/>
  <c r="FH276" i="27"/>
  <c r="EF276" i="27"/>
  <c r="DL272" i="27"/>
  <c r="CJ272" i="27"/>
  <c r="CK272" i="27"/>
  <c r="CL272" i="27"/>
  <c r="GD288" i="27"/>
  <c r="GB288" i="27"/>
  <c r="GC288" i="27"/>
  <c r="HD288" i="27"/>
  <c r="CK295" i="27"/>
  <c r="DL295" i="27"/>
  <c r="CJ295" i="27"/>
  <c r="CL295" i="27"/>
  <c r="DL283" i="27"/>
  <c r="CK283" i="27"/>
  <c r="CJ283" i="27"/>
  <c r="CL283" i="27"/>
  <c r="CK280" i="27"/>
  <c r="CJ280" i="27"/>
  <c r="DL280" i="27"/>
  <c r="CL280" i="27"/>
  <c r="DL279" i="27"/>
  <c r="CJ279" i="27"/>
  <c r="CK279" i="27"/>
  <c r="CL279" i="27"/>
  <c r="EH285" i="27"/>
  <c r="EG285" i="27"/>
  <c r="EF285" i="27"/>
  <c r="FH285" i="27"/>
  <c r="CJ286" i="27"/>
  <c r="DL286" i="27"/>
  <c r="CK286" i="27"/>
  <c r="CL286" i="27"/>
  <c r="CJ298" i="27"/>
  <c r="CK298" i="27"/>
  <c r="DL298" i="27"/>
  <c r="CL298" i="27"/>
  <c r="FF121" i="27"/>
  <c r="FD121" i="27"/>
  <c r="FE121" i="27"/>
  <c r="FL121" i="27"/>
  <c r="HB123" i="27"/>
  <c r="GZ123" i="27"/>
  <c r="HA123" i="27"/>
  <c r="HH123" i="27"/>
  <c r="FL122" i="27"/>
  <c r="FF122" i="27"/>
  <c r="FE122" i="27"/>
  <c r="FD122" i="27"/>
  <c r="HB125" i="27"/>
  <c r="HH125" i="27"/>
  <c r="HA125" i="27"/>
  <c r="GZ125" i="27"/>
  <c r="HH128" i="27"/>
  <c r="HB128" i="27"/>
  <c r="GZ128" i="27"/>
  <c r="HA128" i="27"/>
  <c r="FD127" i="27"/>
  <c r="FF127" i="27"/>
  <c r="FL127" i="27"/>
  <c r="FE127" i="27"/>
  <c r="CV153" i="27"/>
  <c r="DN153" i="27"/>
  <c r="CW153" i="27"/>
  <c r="CX153" i="27"/>
  <c r="ER152" i="27"/>
  <c r="ET152" i="27"/>
  <c r="FJ152" i="27"/>
  <c r="ES152" i="27"/>
  <c r="CW161" i="27"/>
  <c r="DN161" i="27"/>
  <c r="CX161" i="27"/>
  <c r="CV161" i="27"/>
  <c r="CW160" i="27"/>
  <c r="DN160" i="27"/>
  <c r="CV160" i="27"/>
  <c r="CX160" i="27"/>
  <c r="CV172" i="27"/>
  <c r="CX172" i="27"/>
  <c r="CW172" i="27"/>
  <c r="DN172" i="27"/>
  <c r="ES165" i="27"/>
  <c r="FJ165" i="27"/>
  <c r="ER165" i="27"/>
  <c r="ET165" i="27"/>
  <c r="ET167" i="27"/>
  <c r="ES167" i="27"/>
  <c r="FJ167" i="27"/>
  <c r="ER167" i="27"/>
  <c r="ER166" i="27"/>
  <c r="FJ166" i="27"/>
  <c r="ES166" i="27"/>
  <c r="ET166" i="27"/>
  <c r="DC135" i="27"/>
  <c r="DD135" i="27"/>
  <c r="DO135" i="27"/>
  <c r="DB135" i="27"/>
  <c r="GT132" i="27"/>
  <c r="GU132" i="27"/>
  <c r="GV132" i="27"/>
  <c r="HG132" i="27"/>
  <c r="DB140" i="27"/>
  <c r="DC140" i="27"/>
  <c r="DD140" i="27"/>
  <c r="DO140" i="27"/>
  <c r="EX136" i="27"/>
  <c r="EZ136" i="27"/>
  <c r="FK136" i="27"/>
  <c r="EY136" i="27"/>
  <c r="AH87" i="3"/>
  <c r="L91" i="31"/>
  <c r="AF91" i="31" s="1"/>
  <c r="EY120" i="27"/>
  <c r="EX120" i="27"/>
  <c r="FK120" i="27"/>
  <c r="FM120" i="27" s="1"/>
  <c r="EZ120" i="27"/>
  <c r="HG118" i="27"/>
  <c r="GU118" i="27"/>
  <c r="GT118" i="27"/>
  <c r="GV118" i="27"/>
  <c r="GV116" i="27"/>
  <c r="GU116" i="27"/>
  <c r="GT116" i="27"/>
  <c r="HG116" i="27"/>
  <c r="HG130" i="27"/>
  <c r="HI130" i="27" s="1"/>
  <c r="GT130" i="27"/>
  <c r="GU130" i="27"/>
  <c r="GV130" i="27"/>
  <c r="EX124" i="27"/>
  <c r="EY124" i="27"/>
  <c r="EZ124" i="27"/>
  <c r="FK124" i="27"/>
  <c r="DD127" i="27"/>
  <c r="DC127" i="27"/>
  <c r="DO127" i="27"/>
  <c r="DQ127" i="27" s="1"/>
  <c r="DB127" i="27"/>
  <c r="FE137" i="27"/>
  <c r="FF137" i="27"/>
  <c r="FL137" i="27"/>
  <c r="FD137" i="27"/>
  <c r="DJ138" i="27"/>
  <c r="DP138" i="27"/>
  <c r="DH138" i="27"/>
  <c r="DI138" i="27"/>
  <c r="DH139" i="27"/>
  <c r="DP139" i="27"/>
  <c r="DJ139" i="27"/>
  <c r="DI139" i="27"/>
  <c r="HH134" i="27"/>
  <c r="GZ134" i="27"/>
  <c r="HA134" i="27"/>
  <c r="HB134" i="27"/>
  <c r="CR153" i="27"/>
  <c r="DM153" i="27"/>
  <c r="CQ153" i="27"/>
  <c r="CP153" i="27"/>
  <c r="CR152" i="27"/>
  <c r="CP152" i="27"/>
  <c r="DM152" i="27"/>
  <c r="CQ152" i="27"/>
  <c r="EM154" i="27"/>
  <c r="FI154" i="27"/>
  <c r="EL154" i="27"/>
  <c r="EN154" i="27"/>
  <c r="CQ161" i="27"/>
  <c r="CP161" i="27"/>
  <c r="DM161" i="27"/>
  <c r="CR161" i="27"/>
  <c r="GJ163" i="27"/>
  <c r="GI163" i="27"/>
  <c r="GH163" i="27"/>
  <c r="HE163" i="27"/>
  <c r="EN167" i="27"/>
  <c r="EM167" i="27"/>
  <c r="EL167" i="27"/>
  <c r="FI167" i="27"/>
  <c r="EL164" i="27"/>
  <c r="EN164" i="27"/>
  <c r="FI164" i="27"/>
  <c r="EM164" i="27"/>
  <c r="EL165" i="27"/>
  <c r="FI165" i="27"/>
  <c r="EM165" i="27"/>
  <c r="EN165" i="27"/>
  <c r="DW61" i="27"/>
  <c r="DU61" i="27"/>
  <c r="DW68" i="27"/>
  <c r="DU68" i="27"/>
  <c r="HM62" i="27"/>
  <c r="HO62" i="27"/>
  <c r="FS109" i="27"/>
  <c r="FQ109" i="27"/>
  <c r="GD260" i="27"/>
  <c r="HD260" i="27"/>
  <c r="GC260" i="27"/>
  <c r="GB260" i="27"/>
  <c r="CL268" i="27"/>
  <c r="DL268" i="27"/>
  <c r="CK268" i="27"/>
  <c r="CJ268" i="27"/>
  <c r="EG278" i="27"/>
  <c r="EH278" i="27"/>
  <c r="FH278" i="27"/>
  <c r="EF278" i="27"/>
  <c r="CL263" i="27"/>
  <c r="CK263" i="27"/>
  <c r="CJ263" i="27"/>
  <c r="DL263" i="27"/>
  <c r="DL262" i="27"/>
  <c r="CJ262" i="27"/>
  <c r="CL262" i="27"/>
  <c r="CK262" i="27"/>
  <c r="HD265" i="27"/>
  <c r="GB265" i="27"/>
  <c r="GD265" i="27"/>
  <c r="GC265" i="27"/>
  <c r="GC272" i="27"/>
  <c r="GD272" i="27"/>
  <c r="HD272" i="27"/>
  <c r="GB272" i="27"/>
  <c r="CL288" i="27"/>
  <c r="CJ288" i="27"/>
  <c r="CK288" i="27"/>
  <c r="DL288" i="27"/>
  <c r="CJ296" i="27"/>
  <c r="CK296" i="27"/>
  <c r="CL296" i="27"/>
  <c r="DL296" i="27"/>
  <c r="GD283" i="27"/>
  <c r="HD283" i="27"/>
  <c r="GB283" i="27"/>
  <c r="GC283" i="27"/>
  <c r="EF280" i="27"/>
  <c r="FH280" i="27"/>
  <c r="EH280" i="27"/>
  <c r="EG280" i="27"/>
  <c r="GC293" i="27"/>
  <c r="GD293" i="27"/>
  <c r="HD293" i="27"/>
  <c r="GB293" i="27"/>
  <c r="GB285" i="27"/>
  <c r="GC285" i="27"/>
  <c r="HD285" i="27"/>
  <c r="GD285" i="27"/>
  <c r="HD286" i="27"/>
  <c r="GC286" i="27"/>
  <c r="GB286" i="27"/>
  <c r="GD286" i="27"/>
  <c r="DJ117" i="27"/>
  <c r="DH117" i="27"/>
  <c r="DI117" i="27"/>
  <c r="DP117" i="27"/>
  <c r="HB121" i="27"/>
  <c r="GZ121" i="27"/>
  <c r="HH121" i="27"/>
  <c r="HA121" i="27"/>
  <c r="FE123" i="27"/>
  <c r="FL123" i="27"/>
  <c r="FF123" i="27"/>
  <c r="FD123" i="27"/>
  <c r="HH126" i="27"/>
  <c r="HB126" i="27"/>
  <c r="HA126" i="27"/>
  <c r="GZ126" i="27"/>
  <c r="FL125" i="27"/>
  <c r="FM125" i="27" s="1"/>
  <c r="FF125" i="27"/>
  <c r="FE125" i="27"/>
  <c r="FD125" i="27"/>
  <c r="DH128" i="27"/>
  <c r="DJ128" i="27"/>
  <c r="DP128" i="27"/>
  <c r="DI128" i="27"/>
  <c r="CW159" i="27"/>
  <c r="CX159" i="27"/>
  <c r="DN159" i="27"/>
  <c r="CV159" i="27"/>
  <c r="CV152" i="27"/>
  <c r="CX152" i="27"/>
  <c r="CW152" i="27"/>
  <c r="DN152" i="27"/>
  <c r="HF161" i="27"/>
  <c r="GP161" i="27"/>
  <c r="GN161" i="27"/>
  <c r="GO161" i="27"/>
  <c r="GN158" i="27"/>
  <c r="GO158" i="27"/>
  <c r="HF158" i="27"/>
  <c r="GP158" i="27"/>
  <c r="HF172" i="27"/>
  <c r="GO172" i="27"/>
  <c r="GP172" i="27"/>
  <c r="GN172" i="27"/>
  <c r="CV165" i="27"/>
  <c r="DN165" i="27"/>
  <c r="CX165" i="27"/>
  <c r="CW165" i="27"/>
  <c r="ER170" i="27"/>
  <c r="ET170" i="27"/>
  <c r="ES170" i="27"/>
  <c r="FJ170" i="27"/>
  <c r="DN166" i="27"/>
  <c r="CV166" i="27"/>
  <c r="CW166" i="27"/>
  <c r="CX166" i="27"/>
  <c r="GT141" i="27"/>
  <c r="GU141" i="27"/>
  <c r="HG141" i="27"/>
  <c r="GV141" i="27"/>
  <c r="DB132" i="27"/>
  <c r="DD132" i="27"/>
  <c r="DO132" i="27"/>
  <c r="DC132" i="27"/>
  <c r="GV140" i="27"/>
  <c r="GU140" i="27"/>
  <c r="HG140" i="27"/>
  <c r="GT140" i="27"/>
  <c r="L90" i="31"/>
  <c r="AF90" i="31" s="1"/>
  <c r="AH86" i="3"/>
  <c r="GT120" i="27"/>
  <c r="GV120" i="27"/>
  <c r="HG120" i="27"/>
  <c r="HI120" i="27" s="1"/>
  <c r="GU120" i="27"/>
  <c r="GU121" i="27"/>
  <c r="GV121" i="27"/>
  <c r="HG121" i="27"/>
  <c r="GT121" i="27"/>
  <c r="DC116" i="27"/>
  <c r="DD116" i="27"/>
  <c r="DO116" i="27"/>
  <c r="DB116" i="27"/>
  <c r="DC130" i="27"/>
  <c r="DO130" i="27"/>
  <c r="DB130" i="27"/>
  <c r="DD130" i="27"/>
  <c r="GU131" i="27"/>
  <c r="GV131" i="27"/>
  <c r="GT131" i="27"/>
  <c r="HG131" i="27"/>
  <c r="HG127" i="27"/>
  <c r="GT127" i="27"/>
  <c r="GU127" i="27"/>
  <c r="GV127" i="27"/>
  <c r="DP137" i="27"/>
  <c r="DI137" i="27"/>
  <c r="DH137" i="27"/>
  <c r="DJ137" i="27"/>
  <c r="DP140" i="27"/>
  <c r="DH140" i="27"/>
  <c r="DI140" i="27"/>
  <c r="DJ140" i="27"/>
  <c r="FE139" i="27"/>
  <c r="FF139" i="27"/>
  <c r="FD139" i="27"/>
  <c r="FL139" i="27"/>
  <c r="FE134" i="27"/>
  <c r="FL134" i="27"/>
  <c r="FF134" i="27"/>
  <c r="FD134" i="27"/>
  <c r="EM158" i="27"/>
  <c r="FI158" i="27"/>
  <c r="EN158" i="27"/>
  <c r="EL158" i="27"/>
  <c r="GH152" i="27"/>
  <c r="HE152" i="27"/>
  <c r="GI152" i="27"/>
  <c r="GJ152" i="27"/>
  <c r="CR154" i="27"/>
  <c r="CP154" i="27"/>
  <c r="CQ154" i="27"/>
  <c r="DM154" i="27"/>
  <c r="DM159" i="27"/>
  <c r="CP159" i="27"/>
  <c r="CQ159" i="27"/>
  <c r="CR159" i="27"/>
  <c r="DM163" i="27"/>
  <c r="CQ163" i="27"/>
  <c r="CR163" i="27"/>
  <c r="CP163" i="27"/>
  <c r="GJ167" i="27"/>
  <c r="GI167" i="27"/>
  <c r="HE167" i="27"/>
  <c r="GH167" i="27"/>
  <c r="GJ171" i="27"/>
  <c r="GI171" i="27"/>
  <c r="HE171" i="27"/>
  <c r="GH171" i="27"/>
  <c r="GJ165" i="27"/>
  <c r="GI165" i="27"/>
  <c r="GH165" i="27"/>
  <c r="HE165" i="27"/>
  <c r="FQ90" i="27"/>
  <c r="FS90" i="27"/>
  <c r="HO81" i="27"/>
  <c r="HM81" i="27"/>
  <c r="HM96" i="27"/>
  <c r="HO96" i="27"/>
  <c r="BG77" i="31"/>
  <c r="AU77" i="31"/>
  <c r="BA77" i="31" s="1"/>
  <c r="DW107" i="27"/>
  <c r="DU107" i="27"/>
  <c r="AU78" i="31"/>
  <c r="BA78" i="31" s="1"/>
  <c r="BG78" i="31"/>
  <c r="HM69" i="27"/>
  <c r="HO69" i="27"/>
  <c r="CK261" i="27"/>
  <c r="DL261" i="27"/>
  <c r="CJ261" i="27"/>
  <c r="CL261" i="27"/>
  <c r="EG268" i="27"/>
  <c r="EF268" i="27"/>
  <c r="FH268" i="27"/>
  <c r="EH268" i="27"/>
  <c r="GC278" i="27"/>
  <c r="GD278" i="27"/>
  <c r="GB278" i="27"/>
  <c r="HD278" i="27"/>
  <c r="GD270" i="27"/>
  <c r="GC270" i="27"/>
  <c r="HD270" i="27"/>
  <c r="GB270" i="27"/>
  <c r="GC262" i="27"/>
  <c r="GD262" i="27"/>
  <c r="GB262" i="27"/>
  <c r="HD262" i="27"/>
  <c r="DL265" i="27"/>
  <c r="CK265" i="27"/>
  <c r="CJ265" i="27"/>
  <c r="CL265" i="27"/>
  <c r="GC264" i="27"/>
  <c r="GD264" i="27"/>
  <c r="HD264" i="27"/>
  <c r="GB264" i="27"/>
  <c r="FH288" i="27"/>
  <c r="EG288" i="27"/>
  <c r="EF288" i="27"/>
  <c r="EH288" i="27"/>
  <c r="GD296" i="27"/>
  <c r="HD296" i="27"/>
  <c r="GB296" i="27"/>
  <c r="GC296" i="27"/>
  <c r="EH292" i="27"/>
  <c r="EF292" i="27"/>
  <c r="EG292" i="27"/>
  <c r="FH292" i="27"/>
  <c r="GC280" i="27"/>
  <c r="GB280" i="27"/>
  <c r="HD280" i="27"/>
  <c r="GD280" i="27"/>
  <c r="EG293" i="27"/>
  <c r="EH293" i="27"/>
  <c r="EF293" i="27"/>
  <c r="FH293" i="27"/>
  <c r="FH290" i="27"/>
  <c r="EF290" i="27"/>
  <c r="EG290" i="27"/>
  <c r="EH290" i="27"/>
  <c r="EH286" i="27"/>
  <c r="FH286" i="27"/>
  <c r="EF286" i="27"/>
  <c r="EG286" i="27"/>
  <c r="HB117" i="27"/>
  <c r="GZ117" i="27"/>
  <c r="HA117" i="27"/>
  <c r="HH117" i="27"/>
  <c r="HH118" i="27"/>
  <c r="GZ118" i="27"/>
  <c r="HB118" i="27"/>
  <c r="HA118" i="27"/>
  <c r="DH123" i="27"/>
  <c r="DP123" i="27"/>
  <c r="DI123" i="27"/>
  <c r="DJ123" i="27"/>
  <c r="DJ126" i="27"/>
  <c r="DI126" i="27"/>
  <c r="DH126" i="27"/>
  <c r="DP126" i="27"/>
  <c r="HB129" i="27"/>
  <c r="GZ129" i="27"/>
  <c r="HA129" i="27"/>
  <c r="HH129" i="27"/>
  <c r="FE128" i="27"/>
  <c r="FL128" i="27"/>
  <c r="FF128" i="27"/>
  <c r="FD128" i="27"/>
  <c r="GO159" i="27"/>
  <c r="GN159" i="27"/>
  <c r="GP159" i="27"/>
  <c r="HF159" i="27"/>
  <c r="ES157" i="27"/>
  <c r="ET157" i="27"/>
  <c r="FJ157" i="27"/>
  <c r="ER157" i="27"/>
  <c r="FJ161" i="27"/>
  <c r="ET161" i="27"/>
  <c r="ES161" i="27"/>
  <c r="ER161" i="27"/>
  <c r="CW158" i="27"/>
  <c r="CX158" i="27"/>
  <c r="DN158" i="27"/>
  <c r="CV158" i="27"/>
  <c r="HF164" i="27"/>
  <c r="GN164" i="27"/>
  <c r="GP164" i="27"/>
  <c r="GO164" i="27"/>
  <c r="GP165" i="27"/>
  <c r="HF165" i="27"/>
  <c r="GO165" i="27"/>
  <c r="GN165" i="27"/>
  <c r="GN170" i="27"/>
  <c r="GO170" i="27"/>
  <c r="GP170" i="27"/>
  <c r="HF170" i="27"/>
  <c r="ES162" i="27"/>
  <c r="FJ162" i="27"/>
  <c r="ER162" i="27"/>
  <c r="ET162" i="27"/>
  <c r="DO141" i="27"/>
  <c r="DC141" i="27"/>
  <c r="DD141" i="27"/>
  <c r="DB141" i="27"/>
  <c r="HG133" i="27"/>
  <c r="GT133" i="27"/>
  <c r="GV133" i="27"/>
  <c r="GU133" i="27"/>
  <c r="EY140" i="27"/>
  <c r="EZ140" i="27"/>
  <c r="EX140" i="27"/>
  <c r="FK140" i="27"/>
  <c r="N84" i="31"/>
  <c r="AH84" i="31" s="1"/>
  <c r="AJ80" i="3"/>
  <c r="DO120" i="27"/>
  <c r="DC120" i="27"/>
  <c r="DB120" i="27"/>
  <c r="DD120" i="27"/>
  <c r="EY121" i="27"/>
  <c r="FK121" i="27"/>
  <c r="EX121" i="27"/>
  <c r="EZ121" i="27"/>
  <c r="GU117" i="27"/>
  <c r="GT117" i="27"/>
  <c r="HG117" i="27"/>
  <c r="GV117" i="27"/>
  <c r="EZ130" i="27"/>
  <c r="EY130" i="27"/>
  <c r="EX130" i="27"/>
  <c r="FK130" i="27"/>
  <c r="DB131" i="27"/>
  <c r="DD131" i="27"/>
  <c r="DO131" i="27"/>
  <c r="DC131" i="27"/>
  <c r="DC126" i="27"/>
  <c r="DB126" i="27"/>
  <c r="DO126" i="27"/>
  <c r="DD126" i="27"/>
  <c r="GZ137" i="27"/>
  <c r="HB137" i="27"/>
  <c r="HA137" i="27"/>
  <c r="HH137" i="27"/>
  <c r="HH140" i="27"/>
  <c r="HA140" i="27"/>
  <c r="GZ140" i="27"/>
  <c r="HB140" i="27"/>
  <c r="DH141" i="27"/>
  <c r="DP141" i="27"/>
  <c r="DI141" i="27"/>
  <c r="DJ141" i="27"/>
  <c r="DH134" i="27"/>
  <c r="DJ134" i="27"/>
  <c r="DI134" i="27"/>
  <c r="DP134" i="27"/>
  <c r="CR158" i="27"/>
  <c r="CP158" i="27"/>
  <c r="DM158" i="27"/>
  <c r="CQ158" i="27"/>
  <c r="GI160" i="27"/>
  <c r="HE160" i="27"/>
  <c r="GH160" i="27"/>
  <c r="GJ160" i="27"/>
  <c r="HE154" i="27"/>
  <c r="GJ154" i="27"/>
  <c r="GI154" i="27"/>
  <c r="GH154" i="27"/>
  <c r="GJ159" i="27"/>
  <c r="GI159" i="27"/>
  <c r="GH159" i="27"/>
  <c r="HE159" i="27"/>
  <c r="GJ168" i="27"/>
  <c r="GI168" i="27"/>
  <c r="GH168" i="27"/>
  <c r="HE168" i="27"/>
  <c r="CR167" i="27"/>
  <c r="DM167" i="27"/>
  <c r="CQ167" i="27"/>
  <c r="CP167" i="27"/>
  <c r="EN171" i="27"/>
  <c r="FI171" i="27"/>
  <c r="EM171" i="27"/>
  <c r="EL171" i="27"/>
  <c r="HE172" i="27"/>
  <c r="GH172" i="27"/>
  <c r="GJ172" i="27"/>
  <c r="GI172" i="27"/>
  <c r="BH75" i="31"/>
  <c r="AV75" i="31"/>
  <c r="BB75" i="31" s="1"/>
  <c r="DW63" i="27"/>
  <c r="DU63" i="27"/>
  <c r="HO63" i="27"/>
  <c r="HM63" i="27"/>
  <c r="BH72" i="31"/>
  <c r="AV72" i="31"/>
  <c r="BB72" i="31" s="1"/>
  <c r="HO61" i="27"/>
  <c r="HM61" i="27"/>
  <c r="BR18" i="23"/>
  <c r="BS18" i="23" s="1"/>
  <c r="BT18" i="23" s="1"/>
  <c r="BW18" i="23" s="1"/>
  <c r="CF9" i="23" s="1"/>
  <c r="BR16" i="23"/>
  <c r="BS16" i="23" s="1"/>
  <c r="BT16" i="23" s="1"/>
  <c r="BW16" i="23" s="1"/>
  <c r="CF7" i="23" s="1"/>
  <c r="BR14" i="23"/>
  <c r="BS14" i="23" s="1"/>
  <c r="BT14" i="23" s="1"/>
  <c r="BR17" i="23"/>
  <c r="BS17" i="23" s="1"/>
  <c r="BT17" i="23" s="1"/>
  <c r="BW17" i="23" s="1"/>
  <c r="CF8" i="23" s="1"/>
  <c r="BR15" i="23"/>
  <c r="BS15" i="23" s="1"/>
  <c r="BT15" i="23" s="1"/>
  <c r="BW15" i="23" s="1"/>
  <c r="CF6" i="23" s="1"/>
  <c r="HO65" i="27"/>
  <c r="HM65" i="27"/>
  <c r="DW84" i="27"/>
  <c r="DU84" i="27"/>
  <c r="FH261" i="27"/>
  <c r="EG261" i="27"/>
  <c r="EH261" i="27"/>
  <c r="EF261" i="27"/>
  <c r="EF269" i="27"/>
  <c r="EG269" i="27"/>
  <c r="EH269" i="27"/>
  <c r="FH269" i="27"/>
  <c r="DL278" i="27"/>
  <c r="CL278" i="27"/>
  <c r="CK278" i="27"/>
  <c r="CJ278" i="27"/>
  <c r="CK270" i="27"/>
  <c r="CL270" i="27"/>
  <c r="CJ270" i="27"/>
  <c r="DL270" i="27"/>
  <c r="CL273" i="27"/>
  <c r="CJ273" i="27"/>
  <c r="CK273" i="27"/>
  <c r="DL273" i="27"/>
  <c r="EH265" i="27"/>
  <c r="FH265" i="27"/>
  <c r="EF265" i="27"/>
  <c r="EG265" i="27"/>
  <c r="CJ264" i="27"/>
  <c r="CL264" i="27"/>
  <c r="CK264" i="27"/>
  <c r="DL264" i="27"/>
  <c r="EH294" i="27"/>
  <c r="EF294" i="27"/>
  <c r="FH294" i="27"/>
  <c r="EG294" i="27"/>
  <c r="EG296" i="27"/>
  <c r="FH296" i="27"/>
  <c r="EF296" i="27"/>
  <c r="EH296" i="27"/>
  <c r="CL292" i="27"/>
  <c r="CK292" i="27"/>
  <c r="DL292" i="27"/>
  <c r="CJ292" i="27"/>
  <c r="CJ284" i="27"/>
  <c r="CL284" i="27"/>
  <c r="DL284" i="27"/>
  <c r="CK284" i="27"/>
  <c r="CJ293" i="27"/>
  <c r="CK293" i="27"/>
  <c r="CL293" i="27"/>
  <c r="DL293" i="27"/>
  <c r="CJ290" i="27"/>
  <c r="CL290" i="27"/>
  <c r="CK290" i="27"/>
  <c r="DL290" i="27"/>
  <c r="CJ287" i="27"/>
  <c r="CK287" i="27"/>
  <c r="CL287" i="27"/>
  <c r="DL287" i="27"/>
  <c r="FF117" i="27"/>
  <c r="FL117" i="27"/>
  <c r="FD117" i="27"/>
  <c r="FE117" i="27"/>
  <c r="DI118" i="27"/>
  <c r="DP118" i="27"/>
  <c r="DJ118" i="27"/>
  <c r="DH118" i="27"/>
  <c r="FE116" i="27"/>
  <c r="FF116" i="27"/>
  <c r="FD116" i="27"/>
  <c r="FL116" i="27"/>
  <c r="FM116" i="27" s="1"/>
  <c r="FL126" i="27"/>
  <c r="FF126" i="27"/>
  <c r="FD126" i="27"/>
  <c r="FE126" i="27"/>
  <c r="FL129" i="27"/>
  <c r="FM129" i="27" s="1"/>
  <c r="FD129" i="27"/>
  <c r="FE129" i="27"/>
  <c r="FF129" i="27"/>
  <c r="DJ124" i="27"/>
  <c r="DP124" i="27"/>
  <c r="DI124" i="27"/>
  <c r="DH124" i="27"/>
  <c r="M82" i="31"/>
  <c r="AG82" i="31" s="1"/>
  <c r="AI78" i="3"/>
  <c r="ET159" i="27"/>
  <c r="ER159" i="27"/>
  <c r="ES159" i="27"/>
  <c r="FJ159" i="27"/>
  <c r="CX157" i="27"/>
  <c r="DN157" i="27"/>
  <c r="CV157" i="27"/>
  <c r="CW157" i="27"/>
  <c r="CW156" i="27"/>
  <c r="DN156" i="27"/>
  <c r="CV156" i="27"/>
  <c r="CX156" i="27"/>
  <c r="ER158" i="27"/>
  <c r="ES158" i="27"/>
  <c r="ET158" i="27"/>
  <c r="FJ158" i="27"/>
  <c r="FJ164" i="27"/>
  <c r="ES164" i="27"/>
  <c r="ER164" i="27"/>
  <c r="ET164" i="27"/>
  <c r="GO171" i="27"/>
  <c r="GN171" i="27"/>
  <c r="GP171" i="27"/>
  <c r="HF171" i="27"/>
  <c r="DN170" i="27"/>
  <c r="CX170" i="27"/>
  <c r="CV170" i="27"/>
  <c r="CW170" i="27"/>
  <c r="GO162" i="27"/>
  <c r="GP162" i="27"/>
  <c r="GN162" i="27"/>
  <c r="HF162" i="27"/>
  <c r="EY137" i="27"/>
  <c r="EX137" i="27"/>
  <c r="EZ137" i="27"/>
  <c r="FK137" i="27"/>
  <c r="FM137" i="27" s="1"/>
  <c r="EY141" i="27"/>
  <c r="EX141" i="27"/>
  <c r="FK141" i="27"/>
  <c r="EZ141" i="27"/>
  <c r="DD133" i="27"/>
  <c r="DO133" i="27"/>
  <c r="DC133" i="27"/>
  <c r="DB133" i="27"/>
  <c r="DD134" i="27"/>
  <c r="DO134" i="27"/>
  <c r="DQ134" i="27" s="1"/>
  <c r="DB134" i="27"/>
  <c r="DC134" i="27"/>
  <c r="AJ79" i="3"/>
  <c r="N83" i="31"/>
  <c r="AH83" i="31" s="1"/>
  <c r="DO119" i="27"/>
  <c r="DQ119" i="27" s="1"/>
  <c r="DD119" i="27"/>
  <c r="DB119" i="27"/>
  <c r="DC119" i="27"/>
  <c r="DC121" i="27"/>
  <c r="DD121" i="27"/>
  <c r="DO121" i="27"/>
  <c r="DB121" i="27"/>
  <c r="DO117" i="27"/>
  <c r="DQ117" i="27" s="1"/>
  <c r="DB117" i="27"/>
  <c r="DD117" i="27"/>
  <c r="DC117" i="27"/>
  <c r="DB128" i="27"/>
  <c r="DC128" i="27"/>
  <c r="DO128" i="27"/>
  <c r="DD128" i="27"/>
  <c r="EY131" i="27"/>
  <c r="EX131" i="27"/>
  <c r="FK131" i="27"/>
  <c r="EZ131" i="27"/>
  <c r="EZ126" i="27"/>
  <c r="EY126" i="27"/>
  <c r="FK126" i="27"/>
  <c r="EX126" i="27"/>
  <c r="DJ133" i="27"/>
  <c r="DP133" i="27"/>
  <c r="DI133" i="27"/>
  <c r="DH133" i="27"/>
  <c r="FE140" i="27"/>
  <c r="FL140" i="27"/>
  <c r="FF140" i="27"/>
  <c r="FD140" i="27"/>
  <c r="HA141" i="27"/>
  <c r="HH141" i="27"/>
  <c r="HI141" i="27" s="1"/>
  <c r="GZ141" i="27"/>
  <c r="HB141" i="27"/>
  <c r="FL132" i="27"/>
  <c r="FF132" i="27"/>
  <c r="FE132" i="27"/>
  <c r="FD132" i="27"/>
  <c r="GH158" i="27"/>
  <c r="GI158" i="27"/>
  <c r="GJ158" i="27"/>
  <c r="HE158" i="27"/>
  <c r="FI160" i="27"/>
  <c r="EN160" i="27"/>
  <c r="EL160" i="27"/>
  <c r="EM160" i="27"/>
  <c r="HE157" i="27"/>
  <c r="GJ157" i="27"/>
  <c r="GH157" i="27"/>
  <c r="GI157" i="27"/>
  <c r="EM159" i="27"/>
  <c r="FI159" i="27"/>
  <c r="EN159" i="27"/>
  <c r="EL159" i="27"/>
  <c r="CQ168" i="27"/>
  <c r="CP168" i="27"/>
  <c r="CR168" i="27"/>
  <c r="DM168" i="27"/>
  <c r="EN162" i="27"/>
  <c r="EM162" i="27"/>
  <c r="FI162" i="27"/>
  <c r="EL162" i="27"/>
  <c r="CR171" i="27"/>
  <c r="DM171" i="27"/>
  <c r="CP171" i="27"/>
  <c r="CQ171" i="27"/>
  <c r="FI172" i="27"/>
  <c r="EN172" i="27"/>
  <c r="EM172" i="27"/>
  <c r="EL172" i="27"/>
  <c r="DU108" i="27"/>
  <c r="DW108" i="27"/>
  <c r="FS94" i="27"/>
  <c r="FQ94" i="27"/>
  <c r="HO106" i="27"/>
  <c r="HM106" i="27"/>
  <c r="DU113" i="27"/>
  <c r="DW113" i="27"/>
  <c r="FS112" i="27"/>
  <c r="FQ112" i="27"/>
  <c r="CE25" i="23"/>
  <c r="CE24" i="23"/>
  <c r="CE21" i="23"/>
  <c r="CE23" i="23"/>
  <c r="CE22" i="23"/>
  <c r="BF81" i="31"/>
  <c r="AT81" i="31"/>
  <c r="AZ81" i="31" s="1"/>
  <c r="BE81" i="31"/>
  <c r="AS81" i="31"/>
  <c r="AY81" i="31" s="1"/>
  <c r="EG277" i="27"/>
  <c r="FH277" i="27"/>
  <c r="EF277" i="27"/>
  <c r="EH277" i="27"/>
  <c r="GB261" i="27"/>
  <c r="HD261" i="27"/>
  <c r="GC261" i="27"/>
  <c r="GD261" i="27"/>
  <c r="DL269" i="27"/>
  <c r="CJ269" i="27"/>
  <c r="CK269" i="27"/>
  <c r="CL269" i="27"/>
  <c r="EG267" i="27"/>
  <c r="EH267" i="27"/>
  <c r="EF267" i="27"/>
  <c r="FH267" i="27"/>
  <c r="FH270" i="27"/>
  <c r="EG270" i="27"/>
  <c r="EH270" i="27"/>
  <c r="EF270" i="27"/>
  <c r="EG273" i="27"/>
  <c r="EH273" i="27"/>
  <c r="FH273" i="27"/>
  <c r="EF273" i="27"/>
  <c r="GD266" i="27"/>
  <c r="GB266" i="27"/>
  <c r="GC266" i="27"/>
  <c r="HD266" i="27"/>
  <c r="EF264" i="27"/>
  <c r="EG264" i="27"/>
  <c r="EH264" i="27"/>
  <c r="FH264" i="27"/>
  <c r="CK294" i="27"/>
  <c r="CJ294" i="27"/>
  <c r="DL294" i="27"/>
  <c r="CL294" i="27"/>
  <c r="EF289" i="27"/>
  <c r="FH289" i="27"/>
  <c r="EG289" i="27"/>
  <c r="EH289" i="27"/>
  <c r="HD292" i="27"/>
  <c r="GD292" i="27"/>
  <c r="GB292" i="27"/>
  <c r="GC292" i="27"/>
  <c r="EG284" i="27"/>
  <c r="FH284" i="27"/>
  <c r="EH284" i="27"/>
  <c r="EF284" i="27"/>
  <c r="EF281" i="27"/>
  <c r="EH281" i="27"/>
  <c r="FH281" i="27"/>
  <c r="EG281" i="27"/>
  <c r="GD290" i="27"/>
  <c r="GC290" i="27"/>
  <c r="HD290" i="27"/>
  <c r="GB290" i="27"/>
  <c r="EH287" i="27"/>
  <c r="EF287" i="27"/>
  <c r="FH287" i="27"/>
  <c r="EG287" i="27"/>
  <c r="FE119" i="27"/>
  <c r="FF119" i="27"/>
  <c r="FD119" i="27"/>
  <c r="FL119" i="27"/>
  <c r="FE118" i="27"/>
  <c r="FD118" i="27"/>
  <c r="FL118" i="27"/>
  <c r="FF118" i="27"/>
  <c r="HA116" i="27"/>
  <c r="HB116" i="27"/>
  <c r="HH116" i="27"/>
  <c r="GZ116" i="27"/>
  <c r="DP131" i="27"/>
  <c r="DI131" i="27"/>
  <c r="DJ131" i="27"/>
  <c r="DH131" i="27"/>
  <c r="DI129" i="27"/>
  <c r="DH129" i="27"/>
  <c r="DP129" i="27"/>
  <c r="DJ129" i="27"/>
  <c r="FF124" i="27"/>
  <c r="FL124" i="27"/>
  <c r="FE124" i="27"/>
  <c r="FD124" i="27"/>
  <c r="AI80" i="3"/>
  <c r="M84" i="31"/>
  <c r="AG84" i="31" s="1"/>
  <c r="HF154" i="27"/>
  <c r="GO154" i="27"/>
  <c r="GN154" i="27"/>
  <c r="GP154" i="27"/>
  <c r="GP157" i="27"/>
  <c r="GO157" i="27"/>
  <c r="HF157" i="27"/>
  <c r="GN157" i="27"/>
  <c r="ER156" i="27"/>
  <c r="ET156" i="27"/>
  <c r="ES156" i="27"/>
  <c r="FJ156" i="27"/>
  <c r="GP163" i="27"/>
  <c r="GN163" i="27"/>
  <c r="GO163" i="27"/>
  <c r="HF163" i="27"/>
  <c r="CW164" i="27"/>
  <c r="CX164" i="27"/>
  <c r="DN164" i="27"/>
  <c r="CV164" i="27"/>
  <c r="FJ171" i="27"/>
  <c r="ER171" i="27"/>
  <c r="ES171" i="27"/>
  <c r="ET171" i="27"/>
  <c r="CW169" i="27"/>
  <c r="CV169" i="27"/>
  <c r="DN169" i="27"/>
  <c r="CX169" i="27"/>
  <c r="DN162" i="27"/>
  <c r="CV162" i="27"/>
  <c r="CW162" i="27"/>
  <c r="CX162" i="27"/>
  <c r="GV137" i="27"/>
  <c r="HG137" i="27"/>
  <c r="GT137" i="27"/>
  <c r="GU137" i="27"/>
  <c r="DC139" i="27"/>
  <c r="DO139" i="27"/>
  <c r="DB139" i="27"/>
  <c r="DD139" i="27"/>
  <c r="EX133" i="27"/>
  <c r="EZ133" i="27"/>
  <c r="EY133" i="27"/>
  <c r="FK133" i="27"/>
  <c r="FM133" i="27" s="1"/>
  <c r="EX134" i="27"/>
  <c r="EZ134" i="27"/>
  <c r="FK134" i="27"/>
  <c r="EY134" i="27"/>
  <c r="N82" i="31"/>
  <c r="AH82" i="31" s="1"/>
  <c r="AJ78" i="3"/>
  <c r="HG119" i="27"/>
  <c r="HI119" i="27" s="1"/>
  <c r="GV119" i="27"/>
  <c r="GU119" i="27"/>
  <c r="GT119" i="27"/>
  <c r="DB123" i="27"/>
  <c r="DO123" i="27"/>
  <c r="DC123" i="27"/>
  <c r="DD123" i="27"/>
  <c r="EZ117" i="27"/>
  <c r="EY117" i="27"/>
  <c r="FK117" i="27"/>
  <c r="EX117" i="27"/>
  <c r="GV128" i="27"/>
  <c r="GT128" i="27"/>
  <c r="HG128" i="27"/>
  <c r="GU128" i="27"/>
  <c r="HG125" i="27"/>
  <c r="HI125" i="27" s="1"/>
  <c r="GT125" i="27"/>
  <c r="GV125" i="27"/>
  <c r="GU125" i="27"/>
  <c r="HG126" i="27"/>
  <c r="GT126" i="27"/>
  <c r="GV126" i="27"/>
  <c r="GU126" i="27"/>
  <c r="GZ133" i="27"/>
  <c r="HA133" i="27"/>
  <c r="HH133" i="27"/>
  <c r="HB133" i="27"/>
  <c r="DH135" i="27"/>
  <c r="DI135" i="27"/>
  <c r="DJ135" i="27"/>
  <c r="DP135" i="27"/>
  <c r="FF141" i="27"/>
  <c r="FE141" i="27"/>
  <c r="FL141" i="27"/>
  <c r="FD141" i="27"/>
  <c r="HA132" i="27"/>
  <c r="HH132" i="27"/>
  <c r="GZ132" i="27"/>
  <c r="HB132" i="27"/>
  <c r="CR156" i="27"/>
  <c r="DM156" i="27"/>
  <c r="CQ156" i="27"/>
  <c r="CP156" i="27"/>
  <c r="CP160" i="27"/>
  <c r="DM160" i="27"/>
  <c r="CQ160" i="27"/>
  <c r="CR160" i="27"/>
  <c r="CQ157" i="27"/>
  <c r="CP157" i="27"/>
  <c r="DM157" i="27"/>
  <c r="CR157" i="27"/>
  <c r="CR170" i="27"/>
  <c r="CP170" i="27"/>
  <c r="CQ170" i="27"/>
  <c r="DM170" i="27"/>
  <c r="EN168" i="27"/>
  <c r="EM168" i="27"/>
  <c r="EL168" i="27"/>
  <c r="FI168" i="27"/>
  <c r="GJ162" i="27"/>
  <c r="HE162" i="27"/>
  <c r="GI162" i="27"/>
  <c r="GH162" i="27"/>
  <c r="EM166" i="27"/>
  <c r="FI166" i="27"/>
  <c r="EL166" i="27"/>
  <c r="EN166" i="27"/>
  <c r="DM172" i="27"/>
  <c r="CR172" i="27"/>
  <c r="CP172" i="27"/>
  <c r="CQ172" i="27"/>
  <c r="I25" i="5"/>
  <c r="S25" i="5" s="1"/>
  <c r="K24" i="5"/>
  <c r="U24" i="5" s="1"/>
  <c r="G28" i="5"/>
  <c r="Q28" i="5" s="1"/>
  <c r="J24" i="5"/>
  <c r="T24" i="5" s="1"/>
  <c r="Z256" i="27"/>
  <c r="X93" i="5"/>
  <c r="Z244" i="27"/>
  <c r="S227" i="27"/>
  <c r="AO310" i="3"/>
  <c r="AO306" i="3"/>
  <c r="AO332" i="3"/>
  <c r="Z232" i="27"/>
  <c r="AG188" i="27"/>
  <c r="AN203" i="27"/>
  <c r="AN181" i="27"/>
  <c r="AP160" i="3"/>
  <c r="AN178" i="27"/>
  <c r="AN182" i="27"/>
  <c r="AG184" i="27"/>
  <c r="AP179" i="3"/>
  <c r="AG177" i="27"/>
  <c r="S232" i="27"/>
  <c r="AG182" i="27"/>
  <c r="Z250" i="27"/>
  <c r="AR83" i="3"/>
  <c r="AQ146" i="3"/>
  <c r="AG210" i="27"/>
  <c r="AG209" i="27"/>
  <c r="Y84" i="5"/>
  <c r="AR79" i="3"/>
  <c r="AQ135" i="3"/>
  <c r="Z254" i="27"/>
  <c r="X92" i="5"/>
  <c r="AN198" i="27"/>
  <c r="AQ142" i="3"/>
  <c r="S241" i="27"/>
  <c r="AO324" i="3"/>
  <c r="Z228" i="27"/>
  <c r="Z217" i="27"/>
  <c r="AQ128" i="3"/>
  <c r="L345" i="27"/>
  <c r="AQ125" i="3"/>
  <c r="Z218" i="27"/>
  <c r="S229" i="27"/>
  <c r="AG190" i="27"/>
  <c r="AP170" i="3"/>
  <c r="AO311" i="3"/>
  <c r="AP177" i="3"/>
  <c r="AQ140" i="3"/>
  <c r="Z245" i="27"/>
  <c r="L346" i="27"/>
  <c r="Z255" i="27"/>
  <c r="L351" i="27"/>
  <c r="AS51" i="3"/>
  <c r="AG180" i="27"/>
  <c r="AR82" i="3"/>
  <c r="S237" i="27"/>
  <c r="AO337" i="3"/>
  <c r="AQ148" i="3"/>
  <c r="Z253" i="27"/>
  <c r="AG203" i="27"/>
  <c r="AG194" i="27"/>
  <c r="AQ134" i="3"/>
  <c r="AO331" i="3"/>
  <c r="AN192" i="27"/>
  <c r="AO314" i="3"/>
  <c r="Z230" i="27"/>
  <c r="AR80" i="3"/>
  <c r="Z252" i="27"/>
  <c r="Z229" i="27"/>
  <c r="Z233" i="27"/>
  <c r="Y86" i="5"/>
  <c r="AO305" i="3"/>
  <c r="AO326" i="3"/>
  <c r="AO327" i="3"/>
  <c r="AG205" i="27"/>
  <c r="Z239" i="27"/>
  <c r="AG204" i="27"/>
  <c r="AG176" i="27"/>
  <c r="AR76" i="3"/>
  <c r="AG179" i="27"/>
  <c r="L357" i="27"/>
  <c r="Z219" i="27"/>
  <c r="AN193" i="27"/>
  <c r="AQ139" i="3"/>
  <c r="AO320" i="3"/>
  <c r="AN201" i="27"/>
  <c r="AQ122" i="3"/>
  <c r="AN185" i="27"/>
  <c r="AO300" i="3"/>
  <c r="AQ130" i="3"/>
  <c r="AP171" i="3"/>
  <c r="AS43" i="3"/>
  <c r="Y85" i="5"/>
  <c r="Z248" i="27"/>
  <c r="AP151" i="3"/>
  <c r="AQ141" i="3"/>
  <c r="AS48" i="3"/>
  <c r="AN177" i="27"/>
  <c r="AG173" i="27"/>
  <c r="Z212" i="27"/>
  <c r="AG211" i="27"/>
  <c r="AO321" i="3"/>
  <c r="Z224" i="27"/>
  <c r="S224" i="27"/>
  <c r="AS44" i="3"/>
  <c r="AR78" i="3"/>
  <c r="AQ129" i="3"/>
  <c r="AO328" i="3"/>
  <c r="L362" i="27"/>
  <c r="S214" i="27"/>
  <c r="AG207" i="27"/>
  <c r="AG208" i="27"/>
  <c r="AN202" i="27"/>
  <c r="AN191" i="27"/>
  <c r="AG197" i="27"/>
  <c r="AN190" i="27"/>
  <c r="AO307" i="3"/>
  <c r="L354" i="27"/>
  <c r="S216" i="27"/>
  <c r="S225" i="27"/>
  <c r="AN206" i="27"/>
  <c r="AN194" i="27"/>
  <c r="S212" i="27"/>
  <c r="AO317" i="3"/>
  <c r="Z216" i="27"/>
  <c r="AO336" i="3"/>
  <c r="AP172" i="3"/>
  <c r="AB83" i="5"/>
  <c r="AA83" i="5"/>
  <c r="AN179" i="27"/>
  <c r="AP158" i="3"/>
  <c r="AQ123" i="3"/>
  <c r="AR89" i="3"/>
  <c r="AR88" i="3"/>
  <c r="Z240" i="27"/>
  <c r="L360" i="27"/>
  <c r="AP150" i="3"/>
  <c r="AP152" i="3"/>
  <c r="S234" i="27"/>
  <c r="AO318" i="3"/>
  <c r="S218" i="27"/>
  <c r="AQ144" i="3"/>
  <c r="AG196" i="27"/>
  <c r="AP168" i="3"/>
  <c r="Z221" i="27"/>
  <c r="Z86" i="5"/>
  <c r="AG193" i="27"/>
  <c r="AN211" i="27"/>
  <c r="AS46" i="3"/>
  <c r="AG198" i="27"/>
  <c r="Z227" i="27"/>
  <c r="AO339" i="3"/>
  <c r="Z249" i="27"/>
  <c r="AO319" i="3"/>
  <c r="AQ145" i="3"/>
  <c r="AO323" i="3"/>
  <c r="Z85" i="5"/>
  <c r="AO301" i="3"/>
  <c r="AP166" i="3"/>
  <c r="Z257" i="27"/>
  <c r="AN196" i="27"/>
  <c r="S242" i="27"/>
  <c r="AQ137" i="3"/>
  <c r="AP161" i="3"/>
  <c r="S222" i="27"/>
  <c r="S215" i="27"/>
  <c r="L363" i="27"/>
  <c r="AG189" i="27"/>
  <c r="AO322" i="3"/>
  <c r="Z241" i="27"/>
  <c r="AS49" i="3"/>
  <c r="L344" i="27"/>
  <c r="AR81" i="3"/>
  <c r="Z258" i="27"/>
  <c r="L350" i="27"/>
  <c r="L355" i="27"/>
  <c r="S231" i="27"/>
  <c r="AR74" i="3"/>
  <c r="AO299" i="3"/>
  <c r="L347" i="27"/>
  <c r="AO298" i="3"/>
  <c r="AO315" i="3"/>
  <c r="AG186" i="27"/>
  <c r="AQ126" i="3"/>
  <c r="AN174" i="27"/>
  <c r="L359" i="27"/>
  <c r="AG201" i="27"/>
  <c r="Z237" i="27"/>
  <c r="AA82" i="5"/>
  <c r="AP164" i="3"/>
  <c r="AR77" i="3"/>
  <c r="AP167" i="3"/>
  <c r="Z243" i="27"/>
  <c r="AN173" i="27"/>
  <c r="AP149" i="3"/>
  <c r="AG199" i="27"/>
  <c r="AO325" i="3"/>
  <c r="AQ133" i="3"/>
  <c r="AN204" i="27"/>
  <c r="AN183" i="27"/>
  <c r="S235" i="27"/>
  <c r="L349" i="27"/>
  <c r="X91" i="5"/>
  <c r="AG206" i="27"/>
  <c r="AQ143" i="3"/>
  <c r="AG181" i="27"/>
  <c r="AG185" i="27"/>
  <c r="S236" i="27"/>
  <c r="Z246" i="27"/>
  <c r="AO329" i="3"/>
  <c r="L364" i="27"/>
  <c r="S230" i="27"/>
  <c r="AP162" i="3"/>
  <c r="L353" i="27"/>
  <c r="Z222" i="27"/>
  <c r="AP180" i="3"/>
  <c r="AO334" i="3"/>
  <c r="AG191" i="27"/>
  <c r="AP173" i="3"/>
  <c r="AP169" i="3"/>
  <c r="Z259" i="27"/>
  <c r="AO316" i="3"/>
  <c r="AO330" i="3"/>
  <c r="AO312" i="3"/>
  <c r="AP182" i="3"/>
  <c r="Z231" i="27"/>
  <c r="S228" i="27"/>
  <c r="S240" i="27"/>
  <c r="AR84" i="3"/>
  <c r="AN184" i="27"/>
  <c r="AN195" i="27"/>
  <c r="AP159" i="3"/>
  <c r="S233" i="27"/>
  <c r="AN205" i="27"/>
  <c r="AN189" i="27"/>
  <c r="S221" i="27"/>
  <c r="L343" i="27"/>
  <c r="AG202" i="27"/>
  <c r="AN188" i="27"/>
  <c r="Z213" i="27"/>
  <c r="AO338" i="3"/>
  <c r="AO335" i="3"/>
  <c r="AQ124" i="3"/>
  <c r="AR86" i="3"/>
  <c r="S219" i="27"/>
  <c r="Z236" i="27"/>
  <c r="AO333" i="3"/>
  <c r="AO302" i="3"/>
  <c r="AQ131" i="3"/>
  <c r="AO304" i="3"/>
  <c r="AG200" i="27"/>
  <c r="Z226" i="27"/>
  <c r="Z225" i="27"/>
  <c r="AN186" i="27"/>
  <c r="AN209" i="27"/>
  <c r="AN180" i="27"/>
  <c r="AR87" i="3"/>
  <c r="S223" i="27"/>
  <c r="AG178" i="27"/>
  <c r="AN200" i="27"/>
  <c r="AQ147" i="3"/>
  <c r="AO303" i="3"/>
  <c r="L348" i="27"/>
  <c r="AP175" i="3"/>
  <c r="AO308" i="3"/>
  <c r="Z238" i="27"/>
  <c r="L358" i="27"/>
  <c r="AP181" i="3"/>
  <c r="AP155" i="3"/>
  <c r="AB82" i="5"/>
  <c r="AN210" i="27"/>
  <c r="AP157" i="3"/>
  <c r="Z234" i="27"/>
  <c r="AN187" i="27"/>
  <c r="AN176" i="27"/>
  <c r="AN208" i="27"/>
  <c r="AO297" i="3"/>
  <c r="AR75" i="3"/>
  <c r="AO309" i="3"/>
  <c r="AN199" i="27"/>
  <c r="AG187" i="27"/>
  <c r="S217" i="27"/>
  <c r="S226" i="27"/>
  <c r="AN207" i="27"/>
  <c r="AG174" i="27"/>
  <c r="L361" i="27"/>
  <c r="AN175" i="27"/>
  <c r="AG175" i="27"/>
  <c r="AP156" i="3"/>
  <c r="Z235" i="27"/>
  <c r="S220" i="27"/>
  <c r="AG195" i="27"/>
  <c r="AS45" i="3"/>
  <c r="Z215" i="27"/>
  <c r="AP174" i="3"/>
  <c r="AP165" i="3"/>
  <c r="S213" i="27"/>
  <c r="AP176" i="3"/>
  <c r="L342" i="27"/>
  <c r="AP178" i="3"/>
  <c r="AP153" i="3"/>
  <c r="AS50" i="3"/>
  <c r="X94" i="5"/>
  <c r="AO313" i="3"/>
  <c r="AN197" i="27"/>
  <c r="S239" i="27"/>
  <c r="AG183" i="27"/>
  <c r="AQ136" i="3"/>
  <c r="Z242" i="27"/>
  <c r="AR85" i="3"/>
  <c r="AQ127" i="3"/>
  <c r="Z251" i="27"/>
  <c r="AG192" i="27"/>
  <c r="AQ138" i="3"/>
  <c r="Z214" i="27"/>
  <c r="Z223" i="27"/>
  <c r="S238" i="27"/>
  <c r="L356" i="27"/>
  <c r="AP163" i="3"/>
  <c r="Z247" i="27"/>
  <c r="AS47" i="3"/>
  <c r="Z220" i="27"/>
  <c r="AP154" i="3"/>
  <c r="AQ132" i="3"/>
  <c r="L352" i="27"/>
  <c r="L365" i="27"/>
  <c r="AQ149" i="3"/>
  <c r="HI122" i="27" l="1"/>
  <c r="HM92" i="27"/>
  <c r="FQ102" i="27"/>
  <c r="FQ99" i="27"/>
  <c r="DQ121" i="27"/>
  <c r="HM113" i="27"/>
  <c r="FQ104" i="27"/>
  <c r="FM123" i="27"/>
  <c r="HI126" i="27"/>
  <c r="DQ137" i="27"/>
  <c r="FM121" i="27"/>
  <c r="HI140" i="27"/>
  <c r="FM124" i="27"/>
  <c r="DQ125" i="27"/>
  <c r="DU125" i="27" s="1"/>
  <c r="DQ130" i="27"/>
  <c r="FM122" i="27"/>
  <c r="HI118" i="27"/>
  <c r="FM135" i="27"/>
  <c r="DQ126" i="27"/>
  <c r="DQ140" i="27"/>
  <c r="HI139" i="27"/>
  <c r="HI117" i="27"/>
  <c r="HO117" i="27" s="1"/>
  <c r="DQ139" i="27"/>
  <c r="FM136" i="27"/>
  <c r="FM127" i="27"/>
  <c r="DQ129" i="27"/>
  <c r="HI137" i="27"/>
  <c r="FM132" i="27"/>
  <c r="FM138" i="27"/>
  <c r="DQ136" i="27"/>
  <c r="DW136" i="27" s="1"/>
  <c r="FM131" i="27"/>
  <c r="DQ122" i="27"/>
  <c r="HI121" i="27"/>
  <c r="FM117" i="27"/>
  <c r="HI127" i="27"/>
  <c r="DQ128" i="27"/>
  <c r="FM139" i="27"/>
  <c r="HI131" i="27"/>
  <c r="HO131" i="27" s="1"/>
  <c r="HI135" i="27"/>
  <c r="FM119" i="27"/>
  <c r="FM130" i="27"/>
  <c r="DQ123" i="27"/>
  <c r="HI129" i="27"/>
  <c r="DU99" i="27"/>
  <c r="HI123" i="27"/>
  <c r="FQ93" i="27"/>
  <c r="HI128" i="27"/>
  <c r="FM141" i="27"/>
  <c r="DU105" i="27"/>
  <c r="HM89" i="27"/>
  <c r="HI134" i="27"/>
  <c r="DQ120" i="27"/>
  <c r="FM134" i="27"/>
  <c r="FM118" i="27"/>
  <c r="FS118" i="27" s="1"/>
  <c r="DQ124" i="27"/>
  <c r="HI133" i="27"/>
  <c r="DQ118" i="27"/>
  <c r="FM140" i="27"/>
  <c r="HI132" i="27"/>
  <c r="DQ135" i="27"/>
  <c r="DQ133" i="27"/>
  <c r="HI116" i="27"/>
  <c r="HO116" i="27" s="1"/>
  <c r="FM126" i="27"/>
  <c r="DQ131" i="27"/>
  <c r="DQ141" i="27"/>
  <c r="HI138" i="27"/>
  <c r="FM128" i="27"/>
  <c r="DQ132" i="27"/>
  <c r="HI124" i="27"/>
  <c r="AB92" i="3"/>
  <c r="AB90" i="3"/>
  <c r="AB91" i="3"/>
  <c r="AB93" i="3"/>
  <c r="AD85" i="3"/>
  <c r="AD84" i="3"/>
  <c r="AE82" i="3"/>
  <c r="AE81" i="3"/>
  <c r="AF81" i="3"/>
  <c r="AF82" i="3"/>
  <c r="EC362" i="27"/>
  <c r="FY362" i="27"/>
  <c r="CG362" i="27"/>
  <c r="EC361" i="27"/>
  <c r="FY361" i="27"/>
  <c r="CG361" i="27"/>
  <c r="CG363" i="27"/>
  <c r="FY363" i="27"/>
  <c r="EC363" i="27"/>
  <c r="EC345" i="27"/>
  <c r="CG345" i="27"/>
  <c r="FY345" i="27"/>
  <c r="CG346" i="27"/>
  <c r="FY346" i="27"/>
  <c r="EC346" i="27"/>
  <c r="CG353" i="27"/>
  <c r="FY353" i="27"/>
  <c r="EC353" i="27"/>
  <c r="FY357" i="27"/>
  <c r="CG357" i="27"/>
  <c r="EC357" i="27"/>
  <c r="CG350" i="27"/>
  <c r="EC350" i="27"/>
  <c r="FY350" i="27"/>
  <c r="EC344" i="27"/>
  <c r="CG344" i="27"/>
  <c r="FY344" i="27"/>
  <c r="CG343" i="27"/>
  <c r="FY343" i="27"/>
  <c r="EC343" i="27"/>
  <c r="CG356" i="27"/>
  <c r="FY356" i="27"/>
  <c r="EC356" i="27"/>
  <c r="CG342" i="27"/>
  <c r="FY342" i="27"/>
  <c r="EC342" i="27"/>
  <c r="FY359" i="27"/>
  <c r="EC359" i="27"/>
  <c r="CG359" i="27"/>
  <c r="CG355" i="27"/>
  <c r="FY355" i="27"/>
  <c r="EC355" i="27"/>
  <c r="CG348" i="27"/>
  <c r="EC348" i="27"/>
  <c r="FY348" i="27"/>
  <c r="CG365" i="27"/>
  <c r="FY365" i="27"/>
  <c r="EC365" i="27"/>
  <c r="CG351" i="27"/>
  <c r="FY351" i="27"/>
  <c r="EC351" i="27"/>
  <c r="CG349" i="27"/>
  <c r="EC349" i="27"/>
  <c r="FY349" i="27"/>
  <c r="CG352" i="27"/>
  <c r="FY352" i="27"/>
  <c r="EC352" i="27"/>
  <c r="EC360" i="27"/>
  <c r="CG360" i="27"/>
  <c r="FY360" i="27"/>
  <c r="EC364" i="27"/>
  <c r="CG364" i="27"/>
  <c r="FY364" i="27"/>
  <c r="CG358" i="27"/>
  <c r="FY358" i="27"/>
  <c r="EC358" i="27"/>
  <c r="CG347" i="27"/>
  <c r="FY347" i="27"/>
  <c r="EC347" i="27"/>
  <c r="FY354" i="27"/>
  <c r="EC354" i="27"/>
  <c r="CG354" i="27"/>
  <c r="GE229" i="27"/>
  <c r="CM229" i="27"/>
  <c r="EI229" i="27"/>
  <c r="EI232" i="27"/>
  <c r="CM232" i="27"/>
  <c r="GE232" i="27"/>
  <c r="CM241" i="27"/>
  <c r="GE241" i="27"/>
  <c r="EI241" i="27"/>
  <c r="GE237" i="27"/>
  <c r="CM237" i="27"/>
  <c r="EI237" i="27"/>
  <c r="EI235" i="27"/>
  <c r="CM235" i="27"/>
  <c r="GE235" i="27"/>
  <c r="EI239" i="27"/>
  <c r="CM239" i="27"/>
  <c r="GE239" i="27"/>
  <c r="EI242" i="27"/>
  <c r="CM242" i="27"/>
  <c r="GE242" i="27"/>
  <c r="GE240" i="27"/>
  <c r="EI240" i="27"/>
  <c r="CM240" i="27"/>
  <c r="EI236" i="27"/>
  <c r="CM236" i="27"/>
  <c r="GE236" i="27"/>
  <c r="GE233" i="27"/>
  <c r="EI233" i="27"/>
  <c r="CM233" i="27"/>
  <c r="EI228" i="27"/>
  <c r="CM228" i="27"/>
  <c r="GE228" i="27"/>
  <c r="EI227" i="27"/>
  <c r="GE227" i="27"/>
  <c r="CM227" i="27"/>
  <c r="EI234" i="27"/>
  <c r="GE234" i="27"/>
  <c r="CM234" i="27"/>
  <c r="EI238" i="27"/>
  <c r="GE238" i="27"/>
  <c r="CM238" i="27"/>
  <c r="EI231" i="27"/>
  <c r="GE231" i="27"/>
  <c r="CM231" i="27"/>
  <c r="CM230" i="27"/>
  <c r="GE230" i="27"/>
  <c r="EI230" i="27"/>
  <c r="CM226" i="27"/>
  <c r="EI226" i="27"/>
  <c r="GE226" i="27"/>
  <c r="GE224" i="27"/>
  <c r="CM224" i="27"/>
  <c r="EI224" i="27"/>
  <c r="EI225" i="27"/>
  <c r="CM225" i="27"/>
  <c r="GE225" i="27"/>
  <c r="CM212" i="27"/>
  <c r="GE212" i="27"/>
  <c r="EI212" i="27"/>
  <c r="EI215" i="27"/>
  <c r="CM215" i="27"/>
  <c r="GE215" i="27"/>
  <c r="EI216" i="27"/>
  <c r="CM216" i="27"/>
  <c r="GE216" i="27"/>
  <c r="GE221" i="27"/>
  <c r="EI221" i="27"/>
  <c r="CM221" i="27"/>
  <c r="EI220" i="27"/>
  <c r="CM220" i="27"/>
  <c r="GE220" i="27"/>
  <c r="EI222" i="27"/>
  <c r="CM222" i="27"/>
  <c r="GE222" i="27"/>
  <c r="CM217" i="27"/>
  <c r="GE217" i="27"/>
  <c r="EI217" i="27"/>
  <c r="EI223" i="27"/>
  <c r="GE223" i="27"/>
  <c r="CM223" i="27"/>
  <c r="GE214" i="27"/>
  <c r="EI214" i="27"/>
  <c r="CM214" i="27"/>
  <c r="EI213" i="27"/>
  <c r="GE213" i="27"/>
  <c r="CM213" i="27"/>
  <c r="CM218" i="27"/>
  <c r="GE218" i="27"/>
  <c r="EI218" i="27"/>
  <c r="EI219" i="27"/>
  <c r="CM219" i="27"/>
  <c r="GE219" i="27"/>
  <c r="GK241" i="27"/>
  <c r="EO241" i="27"/>
  <c r="CS241" i="27"/>
  <c r="CS232" i="27"/>
  <c r="EO232" i="27"/>
  <c r="GK232" i="27"/>
  <c r="EO239" i="27"/>
  <c r="CS239" i="27"/>
  <c r="GK239" i="27"/>
  <c r="CS230" i="27"/>
  <c r="EO230" i="27"/>
  <c r="GK230" i="27"/>
  <c r="GK240" i="27"/>
  <c r="EO240" i="27"/>
  <c r="CS240" i="27"/>
  <c r="CS238" i="27"/>
  <c r="EO238" i="27"/>
  <c r="GK238" i="27"/>
  <c r="CS227" i="27"/>
  <c r="GK227" i="27"/>
  <c r="EO227" i="27"/>
  <c r="EO235" i="27"/>
  <c r="GK235" i="27"/>
  <c r="CS235" i="27"/>
  <c r="EO236" i="27"/>
  <c r="CS236" i="27"/>
  <c r="GK236" i="27"/>
  <c r="GK233" i="27"/>
  <c r="CS233" i="27"/>
  <c r="EO233" i="27"/>
  <c r="GK237" i="27"/>
  <c r="EO237" i="27"/>
  <c r="CS237" i="27"/>
  <c r="CS231" i="27"/>
  <c r="GK231" i="27"/>
  <c r="EO231" i="27"/>
  <c r="GK234" i="27"/>
  <c r="CS234" i="27"/>
  <c r="EO234" i="27"/>
  <c r="CS242" i="27"/>
  <c r="GK242" i="27"/>
  <c r="EO242" i="27"/>
  <c r="CS229" i="27"/>
  <c r="GK229" i="27"/>
  <c r="EO229" i="27"/>
  <c r="EO228" i="27"/>
  <c r="GK228" i="27"/>
  <c r="CS228" i="27"/>
  <c r="GK222" i="27"/>
  <c r="EO222" i="27"/>
  <c r="CS222" i="27"/>
  <c r="GK223" i="27"/>
  <c r="EO223" i="27"/>
  <c r="CS223" i="27"/>
  <c r="EO216" i="27"/>
  <c r="GK216" i="27"/>
  <c r="CS216" i="27"/>
  <c r="GK225" i="27"/>
  <c r="EO225" i="27"/>
  <c r="CS225" i="27"/>
  <c r="EO226" i="27"/>
  <c r="GK226" i="27"/>
  <c r="CS226" i="27"/>
  <c r="GK217" i="27"/>
  <c r="EO217" i="27"/>
  <c r="CS217" i="27"/>
  <c r="CS224" i="27"/>
  <c r="EO224" i="27"/>
  <c r="GK224" i="27"/>
  <c r="GK221" i="27"/>
  <c r="EO221" i="27"/>
  <c r="CS221" i="27"/>
  <c r="CS214" i="27"/>
  <c r="EO214" i="27"/>
  <c r="GK214" i="27"/>
  <c r="CS212" i="27"/>
  <c r="GK212" i="27"/>
  <c r="EO212" i="27"/>
  <c r="GK215" i="27"/>
  <c r="EO215" i="27"/>
  <c r="CS215" i="27"/>
  <c r="CS213" i="27"/>
  <c r="EO213" i="27"/>
  <c r="GK213" i="27"/>
  <c r="CS218" i="27"/>
  <c r="EO218" i="27"/>
  <c r="GK218" i="27"/>
  <c r="CS220" i="27"/>
  <c r="GK220" i="27"/>
  <c r="EO220" i="27"/>
  <c r="EO219" i="27"/>
  <c r="CS219" i="27"/>
  <c r="GK219" i="27"/>
  <c r="EO246" i="27"/>
  <c r="CS246" i="27"/>
  <c r="GK246" i="27"/>
  <c r="CS257" i="27"/>
  <c r="GK257" i="27"/>
  <c r="EO257" i="27"/>
  <c r="GK255" i="27"/>
  <c r="CS255" i="27"/>
  <c r="EO255" i="27"/>
  <c r="CS244" i="27"/>
  <c r="EO244" i="27"/>
  <c r="GK244" i="27"/>
  <c r="EO248" i="27"/>
  <c r="CS248" i="27"/>
  <c r="GK248" i="27"/>
  <c r="GK245" i="27"/>
  <c r="CS245" i="27"/>
  <c r="EO245" i="27"/>
  <c r="CS258" i="27"/>
  <c r="GK258" i="27"/>
  <c r="EO258" i="27"/>
  <c r="CS252" i="27"/>
  <c r="EO252" i="27"/>
  <c r="GK252" i="27"/>
  <c r="CS253" i="27"/>
  <c r="GK253" i="27"/>
  <c r="EO253" i="27"/>
  <c r="GK254" i="27"/>
  <c r="CS254" i="27"/>
  <c r="EO254" i="27"/>
  <c r="EO250" i="27"/>
  <c r="GK250" i="27"/>
  <c r="CS250" i="27"/>
  <c r="EO243" i="27"/>
  <c r="GK243" i="27"/>
  <c r="CS243" i="27"/>
  <c r="CS251" i="27"/>
  <c r="GK251" i="27"/>
  <c r="EO251" i="27"/>
  <c r="GK256" i="27"/>
  <c r="EO256" i="27"/>
  <c r="CS256" i="27"/>
  <c r="EO247" i="27"/>
  <c r="CS247" i="27"/>
  <c r="GK247" i="27"/>
  <c r="GK249" i="27"/>
  <c r="CS249" i="27"/>
  <c r="EO249" i="27"/>
  <c r="CS259" i="27"/>
  <c r="GK259" i="27"/>
  <c r="EO259" i="27"/>
  <c r="FA208" i="27"/>
  <c r="DE208" i="27"/>
  <c r="GW208" i="27"/>
  <c r="FA205" i="27"/>
  <c r="DE205" i="27"/>
  <c r="GW205" i="27"/>
  <c r="FA207" i="27"/>
  <c r="DE207" i="27"/>
  <c r="GW207" i="27"/>
  <c r="DE201" i="27"/>
  <c r="FA201" i="27"/>
  <c r="GW201" i="27"/>
  <c r="DE202" i="27"/>
  <c r="GW202" i="27"/>
  <c r="FA202" i="27"/>
  <c r="DE211" i="27"/>
  <c r="GW211" i="27"/>
  <c r="FA211" i="27"/>
  <c r="DE199" i="27"/>
  <c r="GW199" i="27"/>
  <c r="FA199" i="27"/>
  <c r="DE204" i="27"/>
  <c r="FA204" i="27"/>
  <c r="GW204" i="27"/>
  <c r="DE200" i="27"/>
  <c r="FA200" i="27"/>
  <c r="GW200" i="27"/>
  <c r="DE210" i="27"/>
  <c r="FA210" i="27"/>
  <c r="GW210" i="27"/>
  <c r="DE209" i="27"/>
  <c r="GW209" i="27"/>
  <c r="FA209" i="27"/>
  <c r="GW203" i="27"/>
  <c r="FA203" i="27"/>
  <c r="DE203" i="27"/>
  <c r="GW206" i="27"/>
  <c r="DE206" i="27"/>
  <c r="FA206" i="27"/>
  <c r="CY205" i="27"/>
  <c r="EU205" i="27"/>
  <c r="GQ205" i="27"/>
  <c r="EU202" i="27"/>
  <c r="CY202" i="27"/>
  <c r="GQ202" i="27"/>
  <c r="GQ200" i="27"/>
  <c r="CY200" i="27"/>
  <c r="EU200" i="27"/>
  <c r="CY203" i="27"/>
  <c r="EU203" i="27"/>
  <c r="GQ203" i="27"/>
  <c r="GQ199" i="27"/>
  <c r="CY199" i="27"/>
  <c r="EU199" i="27"/>
  <c r="EU207" i="27"/>
  <c r="CY207" i="27"/>
  <c r="GQ207" i="27"/>
  <c r="CY208" i="27"/>
  <c r="EU208" i="27"/>
  <c r="GQ208" i="27"/>
  <c r="CY201" i="27"/>
  <c r="GQ201" i="27"/>
  <c r="EU201" i="27"/>
  <c r="CY211" i="27"/>
  <c r="GQ211" i="27"/>
  <c r="EU211" i="27"/>
  <c r="CY209" i="27"/>
  <c r="GQ209" i="27"/>
  <c r="EU209" i="27"/>
  <c r="CY204" i="27"/>
  <c r="EU204" i="27"/>
  <c r="GQ204" i="27"/>
  <c r="EU210" i="27"/>
  <c r="GQ210" i="27"/>
  <c r="CY210" i="27"/>
  <c r="EU206" i="27"/>
  <c r="GQ206" i="27"/>
  <c r="CY206" i="27"/>
  <c r="AT46" i="3"/>
  <c r="AT47" i="3"/>
  <c r="AT45" i="3"/>
  <c r="AT44" i="3"/>
  <c r="AT43" i="3"/>
  <c r="GW186" i="27"/>
  <c r="FA186" i="27"/>
  <c r="DE186" i="27"/>
  <c r="FA197" i="27"/>
  <c r="GW197" i="27"/>
  <c r="DE197" i="27"/>
  <c r="FA189" i="27"/>
  <c r="DE189" i="27"/>
  <c r="GW189" i="27"/>
  <c r="GW194" i="27"/>
  <c r="DE194" i="27"/>
  <c r="FA194" i="27"/>
  <c r="GW190" i="27"/>
  <c r="FA190" i="27"/>
  <c r="DE190" i="27"/>
  <c r="DE195" i="27"/>
  <c r="FA195" i="27"/>
  <c r="GW195" i="27"/>
  <c r="DE193" i="27"/>
  <c r="GW193" i="27"/>
  <c r="FA193" i="27"/>
  <c r="DE196" i="27"/>
  <c r="FA196" i="27"/>
  <c r="GW196" i="27"/>
  <c r="GW188" i="27"/>
  <c r="FA188" i="27"/>
  <c r="DE188" i="27"/>
  <c r="DE198" i="27"/>
  <c r="GW198" i="27"/>
  <c r="FA198" i="27"/>
  <c r="DE191" i="27"/>
  <c r="GW191" i="27"/>
  <c r="FA191" i="27"/>
  <c r="DE192" i="27"/>
  <c r="FA192" i="27"/>
  <c r="GW192" i="27"/>
  <c r="GW187" i="27"/>
  <c r="FA187" i="27"/>
  <c r="DE187" i="27"/>
  <c r="DE181" i="27"/>
  <c r="FA181" i="27"/>
  <c r="GW181" i="27"/>
  <c r="DE184" i="27"/>
  <c r="GW184" i="27"/>
  <c r="FA184" i="27"/>
  <c r="FA183" i="27"/>
  <c r="DE183" i="27"/>
  <c r="GW183" i="27"/>
  <c r="DE179" i="27"/>
  <c r="FA179" i="27"/>
  <c r="GW179" i="27"/>
  <c r="GW178" i="27"/>
  <c r="FA178" i="27"/>
  <c r="DE178" i="27"/>
  <c r="FA175" i="27"/>
  <c r="DE175" i="27"/>
  <c r="GW175" i="27"/>
  <c r="DE180" i="27"/>
  <c r="GW180" i="27"/>
  <c r="FA180" i="27"/>
  <c r="FA173" i="27"/>
  <c r="GW173" i="27"/>
  <c r="DE173" i="27"/>
  <c r="GW185" i="27"/>
  <c r="FA185" i="27"/>
  <c r="DE185" i="27"/>
  <c r="DE182" i="27"/>
  <c r="GW182" i="27"/>
  <c r="FA182" i="27"/>
  <c r="GW177" i="27"/>
  <c r="DE177" i="27"/>
  <c r="FA177" i="27"/>
  <c r="DE174" i="27"/>
  <c r="GW174" i="27"/>
  <c r="FA174" i="27"/>
  <c r="FA176" i="27"/>
  <c r="DE176" i="27"/>
  <c r="GW176" i="27"/>
  <c r="EU187" i="27"/>
  <c r="GQ187" i="27"/>
  <c r="CY187" i="27"/>
  <c r="GQ194" i="27"/>
  <c r="CY194" i="27"/>
  <c r="EU194" i="27"/>
  <c r="GQ197" i="27"/>
  <c r="EU197" i="27"/>
  <c r="CY197" i="27"/>
  <c r="EU191" i="27"/>
  <c r="CY191" i="27"/>
  <c r="GQ191" i="27"/>
  <c r="CY198" i="27"/>
  <c r="EU198" i="27"/>
  <c r="GQ198" i="27"/>
  <c r="GQ196" i="27"/>
  <c r="EU196" i="27"/>
  <c r="CY196" i="27"/>
  <c r="EU192" i="27"/>
  <c r="CY192" i="27"/>
  <c r="GQ192" i="27"/>
  <c r="EU188" i="27"/>
  <c r="CY188" i="27"/>
  <c r="GQ188" i="27"/>
  <c r="GQ193" i="27"/>
  <c r="CY193" i="27"/>
  <c r="EU193" i="27"/>
  <c r="EU186" i="27"/>
  <c r="CY186" i="27"/>
  <c r="GQ186" i="27"/>
  <c r="GQ190" i="27"/>
  <c r="EU190" i="27"/>
  <c r="CY190" i="27"/>
  <c r="EU189" i="27"/>
  <c r="CY189" i="27"/>
  <c r="GQ189" i="27"/>
  <c r="GQ195" i="27"/>
  <c r="CY195" i="27"/>
  <c r="EU195" i="27"/>
  <c r="EU182" i="27"/>
  <c r="CY182" i="27"/>
  <c r="GQ182" i="27"/>
  <c r="GQ175" i="27"/>
  <c r="CY175" i="27"/>
  <c r="EU175" i="27"/>
  <c r="GQ176" i="27"/>
  <c r="CY176" i="27"/>
  <c r="EU176" i="27"/>
  <c r="GQ177" i="27"/>
  <c r="EU177" i="27"/>
  <c r="CY177" i="27"/>
  <c r="EU179" i="27"/>
  <c r="CY179" i="27"/>
  <c r="GQ179" i="27"/>
  <c r="EU181" i="27"/>
  <c r="GQ181" i="27"/>
  <c r="CY181" i="27"/>
  <c r="EU180" i="27"/>
  <c r="GQ180" i="27"/>
  <c r="CY180" i="27"/>
  <c r="CY183" i="27"/>
  <c r="GQ183" i="27"/>
  <c r="EU183" i="27"/>
  <c r="EU173" i="27"/>
  <c r="GQ173" i="27"/>
  <c r="CY173" i="27"/>
  <c r="EU178" i="27"/>
  <c r="GQ178" i="27"/>
  <c r="CY178" i="27"/>
  <c r="GQ184" i="27"/>
  <c r="CY184" i="27"/>
  <c r="EU184" i="27"/>
  <c r="GQ185" i="27"/>
  <c r="EU185" i="27"/>
  <c r="CY185" i="27"/>
  <c r="EU174" i="27"/>
  <c r="GQ174" i="27"/>
  <c r="CY174" i="27"/>
  <c r="AC83" i="3"/>
  <c r="AC84" i="3"/>
  <c r="AC85" i="3"/>
  <c r="AT48" i="3"/>
  <c r="G19" i="3" s="1"/>
  <c r="AT50" i="3"/>
  <c r="AT49" i="3"/>
  <c r="AT51" i="3"/>
  <c r="DU126" i="27"/>
  <c r="DW126" i="27"/>
  <c r="FQ133" i="27"/>
  <c r="FS133" i="27"/>
  <c r="FQ124" i="27"/>
  <c r="FS124" i="27"/>
  <c r="HO141" i="27"/>
  <c r="HM141" i="27"/>
  <c r="FS137" i="27"/>
  <c r="FQ137" i="27"/>
  <c r="FQ121" i="27"/>
  <c r="FS121" i="27"/>
  <c r="FQ140" i="27"/>
  <c r="FS140" i="27"/>
  <c r="HO129" i="27"/>
  <c r="HM129" i="27"/>
  <c r="HM127" i="27"/>
  <c r="HO127" i="27"/>
  <c r="HM132" i="27"/>
  <c r="HO132" i="27"/>
  <c r="DU124" i="27"/>
  <c r="DW124" i="27"/>
  <c r="FS117" i="27"/>
  <c r="FQ117" i="27"/>
  <c r="HO133" i="27"/>
  <c r="HM133" i="27"/>
  <c r="HM125" i="27"/>
  <c r="HO125" i="27"/>
  <c r="HM119" i="27"/>
  <c r="HO119" i="27"/>
  <c r="DU117" i="27"/>
  <c r="DW117" i="27"/>
  <c r="DU119" i="27"/>
  <c r="DW119" i="27"/>
  <c r="HO140" i="27"/>
  <c r="HM140" i="27"/>
  <c r="FQ139" i="27"/>
  <c r="FS139" i="27"/>
  <c r="HO118" i="27"/>
  <c r="HM118" i="27"/>
  <c r="DW118" i="27"/>
  <c r="DU118" i="27"/>
  <c r="DU130" i="27"/>
  <c r="DW130" i="27"/>
  <c r="DW135" i="27"/>
  <c r="DU135" i="27"/>
  <c r="HM137" i="27"/>
  <c r="HO137" i="27"/>
  <c r="FQ119" i="27"/>
  <c r="FS119" i="27"/>
  <c r="DU133" i="27"/>
  <c r="DW133" i="27"/>
  <c r="FQ116" i="27"/>
  <c r="FS116" i="27"/>
  <c r="HM116" i="27"/>
  <c r="HM128" i="27"/>
  <c r="HO128" i="27"/>
  <c r="DU129" i="27"/>
  <c r="DW129" i="27"/>
  <c r="FS126" i="27"/>
  <c r="FQ126" i="27"/>
  <c r="DW128" i="27"/>
  <c r="DU128" i="27"/>
  <c r="DW121" i="27"/>
  <c r="DU121" i="27"/>
  <c r="DU131" i="27"/>
  <c r="DW131" i="27"/>
  <c r="HM117" i="27"/>
  <c r="DU141" i="27"/>
  <c r="DW141" i="27"/>
  <c r="DW122" i="27"/>
  <c r="DU122" i="27"/>
  <c r="DU123" i="27"/>
  <c r="DW123" i="27"/>
  <c r="DW137" i="27"/>
  <c r="DU137" i="27"/>
  <c r="DU132" i="27"/>
  <c r="DW132" i="27"/>
  <c r="HM126" i="27"/>
  <c r="HO126" i="27"/>
  <c r="FQ134" i="27"/>
  <c r="FS134" i="27"/>
  <c r="FQ132" i="27"/>
  <c r="FS132" i="27"/>
  <c r="FQ141" i="27"/>
  <c r="FS141" i="27"/>
  <c r="FS129" i="27"/>
  <c r="FQ129" i="27"/>
  <c r="DW120" i="27"/>
  <c r="DU120" i="27"/>
  <c r="HM138" i="27"/>
  <c r="HO138" i="27"/>
  <c r="FQ128" i="27"/>
  <c r="FS128" i="27"/>
  <c r="DU139" i="27"/>
  <c r="DW139" i="27"/>
  <c r="DU134" i="27"/>
  <c r="DW134" i="27"/>
  <c r="FS130" i="27"/>
  <c r="FQ130" i="27"/>
  <c r="HM121" i="27"/>
  <c r="HO121" i="27"/>
  <c r="HO124" i="27"/>
  <c r="HM124" i="27"/>
  <c r="BE82" i="31"/>
  <c r="AS82" i="31"/>
  <c r="AY82" i="31" s="1"/>
  <c r="DU140" i="27"/>
  <c r="DW140" i="27"/>
  <c r="HO136" i="27"/>
  <c r="HM136" i="27"/>
  <c r="FQ136" i="27"/>
  <c r="FS136" i="27"/>
  <c r="BH77" i="31"/>
  <c r="AV77" i="31"/>
  <c r="BB77" i="31" s="1"/>
  <c r="AU80" i="31"/>
  <c r="BA80" i="31" s="1"/>
  <c r="BG80" i="31"/>
  <c r="Q80" i="31"/>
  <c r="AJ80" i="31"/>
  <c r="BE83" i="31"/>
  <c r="AS83" i="31"/>
  <c r="AY83" i="31" s="1"/>
  <c r="DQ116" i="27"/>
  <c r="DN175" i="27"/>
  <c r="CW175" i="27"/>
  <c r="CV175" i="27"/>
  <c r="CX175" i="27"/>
  <c r="ER184" i="27"/>
  <c r="ET184" i="27"/>
  <c r="FJ184" i="27"/>
  <c r="ES184" i="27"/>
  <c r="FJ173" i="27"/>
  <c r="ES173" i="27"/>
  <c r="ER173" i="27"/>
  <c r="ET173" i="27"/>
  <c r="FJ179" i="27"/>
  <c r="ES179" i="27"/>
  <c r="ER179" i="27"/>
  <c r="ET179" i="27"/>
  <c r="CV181" i="27"/>
  <c r="CW181" i="27"/>
  <c r="CX181" i="27"/>
  <c r="DN181" i="27"/>
  <c r="CX188" i="27"/>
  <c r="CW188" i="27"/>
  <c r="CV188" i="27"/>
  <c r="DN188" i="27"/>
  <c r="CX194" i="27"/>
  <c r="DN194" i="27"/>
  <c r="CW194" i="27"/>
  <c r="CV194" i="27"/>
  <c r="GP190" i="27"/>
  <c r="HF190" i="27"/>
  <c r="GO190" i="27"/>
  <c r="GN190" i="27"/>
  <c r="ET187" i="27"/>
  <c r="ES187" i="27"/>
  <c r="ER187" i="27"/>
  <c r="FJ187" i="27"/>
  <c r="ER189" i="27"/>
  <c r="FJ189" i="27"/>
  <c r="ES189" i="27"/>
  <c r="ET189" i="27"/>
  <c r="ER204" i="27"/>
  <c r="FJ204" i="27"/>
  <c r="ES204" i="27"/>
  <c r="ET204" i="27"/>
  <c r="CW207" i="27"/>
  <c r="DN207" i="27"/>
  <c r="CX207" i="27"/>
  <c r="CV207" i="27"/>
  <c r="ES209" i="27"/>
  <c r="ER209" i="27"/>
  <c r="FJ209" i="27"/>
  <c r="ET209" i="27"/>
  <c r="GP202" i="27"/>
  <c r="GN202" i="27"/>
  <c r="GO202" i="27"/>
  <c r="HF202" i="27"/>
  <c r="ES208" i="27"/>
  <c r="ER208" i="27"/>
  <c r="FJ208" i="27"/>
  <c r="ET208" i="27"/>
  <c r="HE175" i="27"/>
  <c r="GJ175" i="27"/>
  <c r="GH175" i="27"/>
  <c r="GI175" i="27"/>
  <c r="GJ183" i="27"/>
  <c r="GH183" i="27"/>
  <c r="HE183" i="27"/>
  <c r="GI183" i="27"/>
  <c r="GH174" i="27"/>
  <c r="GJ174" i="27"/>
  <c r="HE174" i="27"/>
  <c r="GI174" i="27"/>
  <c r="CR179" i="27"/>
  <c r="CQ179" i="27"/>
  <c r="CP179" i="27"/>
  <c r="DM179" i="27"/>
  <c r="EN177" i="27"/>
  <c r="FI177" i="27"/>
  <c r="EL177" i="27"/>
  <c r="EM177" i="27"/>
  <c r="GH191" i="27"/>
  <c r="HE191" i="27"/>
  <c r="GI191" i="27"/>
  <c r="GJ191" i="27"/>
  <c r="GJ194" i="27"/>
  <c r="HE194" i="27"/>
  <c r="GI194" i="27"/>
  <c r="GH194" i="27"/>
  <c r="CP190" i="27"/>
  <c r="CR190" i="27"/>
  <c r="CQ190" i="27"/>
  <c r="DM190" i="27"/>
  <c r="GJ196" i="27"/>
  <c r="GH196" i="27"/>
  <c r="HE196" i="27"/>
  <c r="GI196" i="27"/>
  <c r="CQ187" i="27"/>
  <c r="CR187" i="27"/>
  <c r="CP187" i="27"/>
  <c r="DM187" i="27"/>
  <c r="CL301" i="27"/>
  <c r="CK301" i="27"/>
  <c r="DL301" i="27"/>
  <c r="CJ301" i="27"/>
  <c r="HD307" i="27"/>
  <c r="GD307" i="27"/>
  <c r="GB307" i="27"/>
  <c r="GC307" i="27"/>
  <c r="EH299" i="27"/>
  <c r="FH299" i="27"/>
  <c r="EG299" i="27"/>
  <c r="EF299" i="27"/>
  <c r="CJ308" i="27"/>
  <c r="CL308" i="27"/>
  <c r="DL308" i="27"/>
  <c r="CK308" i="27"/>
  <c r="GD306" i="27"/>
  <c r="GB306" i="27"/>
  <c r="HD306" i="27"/>
  <c r="GC306" i="27"/>
  <c r="GD317" i="27"/>
  <c r="HD317" i="27"/>
  <c r="GB317" i="27"/>
  <c r="GC317" i="27"/>
  <c r="EH309" i="27"/>
  <c r="FH309" i="27"/>
  <c r="EF309" i="27"/>
  <c r="EG309" i="27"/>
  <c r="GC327" i="27"/>
  <c r="HD327" i="27"/>
  <c r="GB327" i="27"/>
  <c r="GD327" i="27"/>
  <c r="GB340" i="27"/>
  <c r="HD340" i="27"/>
  <c r="GD340" i="27"/>
  <c r="GC340" i="27"/>
  <c r="GB333" i="27"/>
  <c r="HD333" i="27"/>
  <c r="GC333" i="27"/>
  <c r="GD333" i="27"/>
  <c r="DL329" i="27"/>
  <c r="CK329" i="27"/>
  <c r="CJ329" i="27"/>
  <c r="CL329" i="27"/>
  <c r="EH337" i="27"/>
  <c r="EG337" i="27"/>
  <c r="FH337" i="27"/>
  <c r="EF337" i="27"/>
  <c r="HD339" i="27"/>
  <c r="GD339" i="27"/>
  <c r="GC339" i="27"/>
  <c r="GB339" i="27"/>
  <c r="FH336" i="27"/>
  <c r="EF336" i="27"/>
  <c r="EH336" i="27"/>
  <c r="EG336" i="27"/>
  <c r="EG323" i="27"/>
  <c r="FH323" i="27"/>
  <c r="EF323" i="27"/>
  <c r="EH323" i="27"/>
  <c r="HD325" i="27"/>
  <c r="GD325" i="27"/>
  <c r="GB325" i="27"/>
  <c r="GC325" i="27"/>
  <c r="DH147" i="27"/>
  <c r="DJ147" i="27"/>
  <c r="DI147" i="27"/>
  <c r="DP147" i="27"/>
  <c r="FF144" i="27"/>
  <c r="FD144" i="27"/>
  <c r="FL144" i="27"/>
  <c r="FE144" i="27"/>
  <c r="DJ151" i="27"/>
  <c r="DH151" i="27"/>
  <c r="DI151" i="27"/>
  <c r="DP151" i="27"/>
  <c r="HH157" i="27"/>
  <c r="HB157" i="27"/>
  <c r="HA157" i="27"/>
  <c r="GZ157" i="27"/>
  <c r="DH160" i="27"/>
  <c r="DP160" i="27"/>
  <c r="DJ160" i="27"/>
  <c r="DI160" i="27"/>
  <c r="GZ156" i="27"/>
  <c r="HH156" i="27"/>
  <c r="HA156" i="27"/>
  <c r="HB156" i="27"/>
  <c r="FL152" i="27"/>
  <c r="FD152" i="27"/>
  <c r="FF152" i="27"/>
  <c r="FE152" i="27"/>
  <c r="DD142" i="27"/>
  <c r="DO142" i="27"/>
  <c r="DC142" i="27"/>
  <c r="DB142" i="27"/>
  <c r="DO148" i="27"/>
  <c r="DD148" i="27"/>
  <c r="DB148" i="27"/>
  <c r="DC148" i="27"/>
  <c r="GV150" i="27"/>
  <c r="GT150" i="27"/>
  <c r="GU150" i="27"/>
  <c r="HG150" i="27"/>
  <c r="GU143" i="27"/>
  <c r="GV143" i="27"/>
  <c r="HG143" i="27"/>
  <c r="GT143" i="27"/>
  <c r="DD160" i="27"/>
  <c r="DO160" i="27"/>
  <c r="DC160" i="27"/>
  <c r="DB160" i="27"/>
  <c r="HG157" i="27"/>
  <c r="GT157" i="27"/>
  <c r="GV157" i="27"/>
  <c r="GU157" i="27"/>
  <c r="DB153" i="27"/>
  <c r="DC153" i="27"/>
  <c r="DO153" i="27"/>
  <c r="DD153" i="27"/>
  <c r="GT154" i="27"/>
  <c r="HG154" i="27"/>
  <c r="GV154" i="27"/>
  <c r="GU154" i="27"/>
  <c r="DB172" i="27"/>
  <c r="DD172" i="27"/>
  <c r="DO172" i="27"/>
  <c r="DC172" i="27"/>
  <c r="DC171" i="27"/>
  <c r="DO171" i="27"/>
  <c r="DD171" i="27"/>
  <c r="DB171" i="27"/>
  <c r="EY166" i="27"/>
  <c r="EZ166" i="27"/>
  <c r="EX166" i="27"/>
  <c r="FK166" i="27"/>
  <c r="EX169" i="27"/>
  <c r="FK169" i="27"/>
  <c r="EY169" i="27"/>
  <c r="EZ169" i="27"/>
  <c r="DJ170" i="27"/>
  <c r="DI170" i="27"/>
  <c r="DH170" i="27"/>
  <c r="DP170" i="27"/>
  <c r="FE172" i="27"/>
  <c r="FF172" i="27"/>
  <c r="FD172" i="27"/>
  <c r="FL172" i="27"/>
  <c r="HH163" i="27"/>
  <c r="HA163" i="27"/>
  <c r="HB163" i="27"/>
  <c r="GZ163" i="27"/>
  <c r="HA166" i="27"/>
  <c r="HB166" i="27"/>
  <c r="GZ166" i="27"/>
  <c r="HH166" i="27"/>
  <c r="GH199" i="27"/>
  <c r="GJ199" i="27"/>
  <c r="GI199" i="27"/>
  <c r="HE199" i="27"/>
  <c r="GJ211" i="27"/>
  <c r="GH211" i="27"/>
  <c r="GI211" i="27"/>
  <c r="HE211" i="27"/>
  <c r="EN210" i="27"/>
  <c r="FI210" i="27"/>
  <c r="EL210" i="27"/>
  <c r="EM210" i="27"/>
  <c r="HE209" i="27"/>
  <c r="GJ209" i="27"/>
  <c r="GI209" i="27"/>
  <c r="GH209" i="27"/>
  <c r="CQ203" i="27"/>
  <c r="CR203" i="27"/>
  <c r="CP203" i="27"/>
  <c r="DM203" i="27"/>
  <c r="AH89" i="3"/>
  <c r="L93" i="31"/>
  <c r="AF93" i="31" s="1"/>
  <c r="FS138" i="27"/>
  <c r="FQ138" i="27"/>
  <c r="FQ123" i="27"/>
  <c r="FS123" i="27"/>
  <c r="FS127" i="27"/>
  <c r="FQ127" i="27"/>
  <c r="BH78" i="31"/>
  <c r="AV78" i="31"/>
  <c r="BB78" i="31" s="1"/>
  <c r="HO139" i="27"/>
  <c r="HM139" i="27"/>
  <c r="BG79" i="31"/>
  <c r="AU79" i="31"/>
  <c r="BA79" i="31" s="1"/>
  <c r="BQ35" i="23"/>
  <c r="FJ174" i="27"/>
  <c r="ES174" i="27"/>
  <c r="ER174" i="27"/>
  <c r="ET174" i="27"/>
  <c r="CW184" i="27"/>
  <c r="CX184" i="27"/>
  <c r="CV184" i="27"/>
  <c r="DN184" i="27"/>
  <c r="CV173" i="27"/>
  <c r="CW173" i="27"/>
  <c r="DN173" i="27"/>
  <c r="CX173" i="27"/>
  <c r="CX185" i="27"/>
  <c r="CV185" i="27"/>
  <c r="DN185" i="27"/>
  <c r="CW185" i="27"/>
  <c r="ET181" i="27"/>
  <c r="ES181" i="27"/>
  <c r="ER181" i="27"/>
  <c r="FJ181" i="27"/>
  <c r="GO188" i="27"/>
  <c r="HF188" i="27"/>
  <c r="GP188" i="27"/>
  <c r="GN188" i="27"/>
  <c r="ET192" i="27"/>
  <c r="ER192" i="27"/>
  <c r="FJ192" i="27"/>
  <c r="ES192" i="27"/>
  <c r="DN190" i="27"/>
  <c r="CX190" i="27"/>
  <c r="CV190" i="27"/>
  <c r="CW190" i="27"/>
  <c r="DN187" i="27"/>
  <c r="CX187" i="27"/>
  <c r="CW187" i="27"/>
  <c r="CV187" i="27"/>
  <c r="GP186" i="27"/>
  <c r="GO186" i="27"/>
  <c r="GN186" i="27"/>
  <c r="HF186" i="27"/>
  <c r="HF204" i="27"/>
  <c r="GN204" i="27"/>
  <c r="GO204" i="27"/>
  <c r="GP204" i="27"/>
  <c r="GN207" i="27"/>
  <c r="GO207" i="27"/>
  <c r="HF207" i="27"/>
  <c r="GP207" i="27"/>
  <c r="CW211" i="27"/>
  <c r="DN211" i="27"/>
  <c r="CV211" i="27"/>
  <c r="CX211" i="27"/>
  <c r="CV202" i="27"/>
  <c r="DN202" i="27"/>
  <c r="CX202" i="27"/>
  <c r="CW202" i="27"/>
  <c r="CX208" i="27"/>
  <c r="DN208" i="27"/>
  <c r="CV208" i="27"/>
  <c r="CW208" i="27"/>
  <c r="DM178" i="27"/>
  <c r="CR178" i="27"/>
  <c r="CP178" i="27"/>
  <c r="CQ178" i="27"/>
  <c r="EN183" i="27"/>
  <c r="EL183" i="27"/>
  <c r="FI183" i="27"/>
  <c r="EM183" i="27"/>
  <c r="FI174" i="27"/>
  <c r="EN174" i="27"/>
  <c r="EM174" i="27"/>
  <c r="EL174" i="27"/>
  <c r="CP184" i="27"/>
  <c r="CR184" i="27"/>
  <c r="DM184" i="27"/>
  <c r="CQ184" i="27"/>
  <c r="GH177" i="27"/>
  <c r="GI177" i="27"/>
  <c r="GJ177" i="27"/>
  <c r="HE177" i="27"/>
  <c r="EM191" i="27"/>
  <c r="FI191" i="27"/>
  <c r="EL191" i="27"/>
  <c r="EN191" i="27"/>
  <c r="GH198" i="27"/>
  <c r="HE198" i="27"/>
  <c r="GJ198" i="27"/>
  <c r="GI198" i="27"/>
  <c r="EL190" i="27"/>
  <c r="EM190" i="27"/>
  <c r="FI190" i="27"/>
  <c r="EN190" i="27"/>
  <c r="DM196" i="27"/>
  <c r="CP196" i="27"/>
  <c r="CR196" i="27"/>
  <c r="CQ196" i="27"/>
  <c r="CP195" i="27"/>
  <c r="CQ195" i="27"/>
  <c r="DM195" i="27"/>
  <c r="CR195" i="27"/>
  <c r="GC318" i="27"/>
  <c r="GB318" i="27"/>
  <c r="GD318" i="27"/>
  <c r="HD318" i="27"/>
  <c r="EG301" i="27"/>
  <c r="EF301" i="27"/>
  <c r="FH301" i="27"/>
  <c r="EH301" i="27"/>
  <c r="DL307" i="27"/>
  <c r="CL307" i="27"/>
  <c r="CJ307" i="27"/>
  <c r="CK307" i="27"/>
  <c r="EH313" i="27"/>
  <c r="FH313" i="27"/>
  <c r="EF313" i="27"/>
  <c r="EG313" i="27"/>
  <c r="EH308" i="27"/>
  <c r="EG308" i="27"/>
  <c r="FH308" i="27"/>
  <c r="EF308" i="27"/>
  <c r="EG306" i="27"/>
  <c r="EH306" i="27"/>
  <c r="EF306" i="27"/>
  <c r="FH306" i="27"/>
  <c r="CL311" i="27"/>
  <c r="CK311" i="27"/>
  <c r="CJ311" i="27"/>
  <c r="DL311" i="27"/>
  <c r="GB309" i="27"/>
  <c r="GD309" i="27"/>
  <c r="HD309" i="27"/>
  <c r="GC309" i="27"/>
  <c r="CJ327" i="27"/>
  <c r="CK327" i="27"/>
  <c r="CL327" i="27"/>
  <c r="DL327" i="27"/>
  <c r="CL330" i="27"/>
  <c r="DL330" i="27"/>
  <c r="CK330" i="27"/>
  <c r="CJ330" i="27"/>
  <c r="CK333" i="27"/>
  <c r="CJ333" i="27"/>
  <c r="DL333" i="27"/>
  <c r="CL333" i="27"/>
  <c r="HD329" i="27"/>
  <c r="GC329" i="27"/>
  <c r="GD329" i="27"/>
  <c r="GB329" i="27"/>
  <c r="EG326" i="27"/>
  <c r="FH326" i="27"/>
  <c r="EH326" i="27"/>
  <c r="EF326" i="27"/>
  <c r="FH339" i="27"/>
  <c r="EF339" i="27"/>
  <c r="EH339" i="27"/>
  <c r="EG339" i="27"/>
  <c r="CL336" i="27"/>
  <c r="CK336" i="27"/>
  <c r="DL336" i="27"/>
  <c r="CJ336" i="27"/>
  <c r="FH335" i="27"/>
  <c r="EF335" i="27"/>
  <c r="EH335" i="27"/>
  <c r="EG335" i="27"/>
  <c r="DL325" i="27"/>
  <c r="CK325" i="27"/>
  <c r="CJ325" i="27"/>
  <c r="CL325" i="27"/>
  <c r="FL148" i="27"/>
  <c r="FF148" i="27"/>
  <c r="FE148" i="27"/>
  <c r="FD148" i="27"/>
  <c r="FE147" i="27"/>
  <c r="FL147" i="27"/>
  <c r="FF147" i="27"/>
  <c r="FD147" i="27"/>
  <c r="DP144" i="27"/>
  <c r="DJ144" i="27"/>
  <c r="DI144" i="27"/>
  <c r="DH144" i="27"/>
  <c r="HA150" i="27"/>
  <c r="GZ150" i="27"/>
  <c r="HH150" i="27"/>
  <c r="HB150" i="27"/>
  <c r="FF157" i="27"/>
  <c r="FL157" i="27"/>
  <c r="FE157" i="27"/>
  <c r="FD157" i="27"/>
  <c r="HA160" i="27"/>
  <c r="HH160" i="27"/>
  <c r="GZ160" i="27"/>
  <c r="HB160" i="27"/>
  <c r="DP154" i="27"/>
  <c r="DH154" i="27"/>
  <c r="DI154" i="27"/>
  <c r="DJ154" i="27"/>
  <c r="HA152" i="27"/>
  <c r="GZ152" i="27"/>
  <c r="HB152" i="27"/>
  <c r="HH152" i="27"/>
  <c r="GT142" i="27"/>
  <c r="GV142" i="27"/>
  <c r="GU142" i="27"/>
  <c r="HG142" i="27"/>
  <c r="DO146" i="27"/>
  <c r="DC146" i="27"/>
  <c r="DD146" i="27"/>
  <c r="DB146" i="27"/>
  <c r="DB150" i="27"/>
  <c r="DD150" i="27"/>
  <c r="DC150" i="27"/>
  <c r="DO150" i="27"/>
  <c r="DC143" i="27"/>
  <c r="DO143" i="27"/>
  <c r="DB143" i="27"/>
  <c r="DD143" i="27"/>
  <c r="EZ155" i="27"/>
  <c r="FK155" i="27"/>
  <c r="EX155" i="27"/>
  <c r="EY155" i="27"/>
  <c r="DO157" i="27"/>
  <c r="DC157" i="27"/>
  <c r="DB157" i="27"/>
  <c r="DD157" i="27"/>
  <c r="EZ153" i="27"/>
  <c r="EX153" i="27"/>
  <c r="EY153" i="27"/>
  <c r="FK153" i="27"/>
  <c r="DO170" i="27"/>
  <c r="DC170" i="27"/>
  <c r="DD170" i="27"/>
  <c r="DB170" i="27"/>
  <c r="EZ172" i="27"/>
  <c r="EY172" i="27"/>
  <c r="FK172" i="27"/>
  <c r="EX172" i="27"/>
  <c r="FK171" i="27"/>
  <c r="EZ171" i="27"/>
  <c r="EY171" i="27"/>
  <c r="EX171" i="27"/>
  <c r="HG164" i="27"/>
  <c r="GU164" i="27"/>
  <c r="GT164" i="27"/>
  <c r="GV164" i="27"/>
  <c r="GV169" i="27"/>
  <c r="GT169" i="27"/>
  <c r="GU169" i="27"/>
  <c r="HG169" i="27"/>
  <c r="FD170" i="27"/>
  <c r="FL170" i="27"/>
  <c r="FE170" i="27"/>
  <c r="FF170" i="27"/>
  <c r="HB171" i="27"/>
  <c r="HH171" i="27"/>
  <c r="HA171" i="27"/>
  <c r="GZ171" i="27"/>
  <c r="DH163" i="27"/>
  <c r="DJ163" i="27"/>
  <c r="DP163" i="27"/>
  <c r="DI163" i="27"/>
  <c r="DP166" i="27"/>
  <c r="DH166" i="27"/>
  <c r="DJ166" i="27"/>
  <c r="DI166" i="27"/>
  <c r="DM200" i="27"/>
  <c r="CR200" i="27"/>
  <c r="CP200" i="27"/>
  <c r="CQ200" i="27"/>
  <c r="CP211" i="27"/>
  <c r="DM211" i="27"/>
  <c r="CR211" i="27"/>
  <c r="CQ211" i="27"/>
  <c r="CR210" i="27"/>
  <c r="CQ210" i="27"/>
  <c r="DM210" i="27"/>
  <c r="CP210" i="27"/>
  <c r="CR205" i="27"/>
  <c r="DM205" i="27"/>
  <c r="CP205" i="27"/>
  <c r="CQ205" i="27"/>
  <c r="EN203" i="27"/>
  <c r="EL203" i="27"/>
  <c r="FI203" i="27"/>
  <c r="EM203" i="27"/>
  <c r="AH88" i="3"/>
  <c r="L92" i="31"/>
  <c r="AF92" i="31" s="1"/>
  <c r="HO120" i="27"/>
  <c r="HM120" i="27"/>
  <c r="FQ122" i="27"/>
  <c r="FS122" i="27"/>
  <c r="BD90" i="31"/>
  <c r="AR90" i="31"/>
  <c r="AX90" i="31" s="1"/>
  <c r="HO122" i="27"/>
  <c r="HM122" i="27"/>
  <c r="BD91" i="31"/>
  <c r="AR91" i="31"/>
  <c r="AX91" i="31" s="1"/>
  <c r="FQ111" i="27"/>
  <c r="FS111" i="27"/>
  <c r="BG81" i="31"/>
  <c r="AU81" i="31"/>
  <c r="BA81" i="31" s="1"/>
  <c r="CV174" i="27"/>
  <c r="CX174" i="27"/>
  <c r="CW174" i="27"/>
  <c r="DN174" i="27"/>
  <c r="CW177" i="27"/>
  <c r="DN177" i="27"/>
  <c r="CV177" i="27"/>
  <c r="CX177" i="27"/>
  <c r="GO173" i="27"/>
  <c r="GN173" i="27"/>
  <c r="GP173" i="27"/>
  <c r="HF173" i="27"/>
  <c r="ES185" i="27"/>
  <c r="ER185" i="27"/>
  <c r="FJ185" i="27"/>
  <c r="ET185" i="27"/>
  <c r="FJ183" i="27"/>
  <c r="ER183" i="27"/>
  <c r="ES183" i="27"/>
  <c r="ET183" i="27"/>
  <c r="ES188" i="27"/>
  <c r="ER188" i="27"/>
  <c r="ET188" i="27"/>
  <c r="FJ188" i="27"/>
  <c r="GN192" i="27"/>
  <c r="GO192" i="27"/>
  <c r="GP192" i="27"/>
  <c r="HF192" i="27"/>
  <c r="CW197" i="27"/>
  <c r="DN197" i="27"/>
  <c r="CX197" i="27"/>
  <c r="CV197" i="27"/>
  <c r="HF187" i="27"/>
  <c r="GO187" i="27"/>
  <c r="GN187" i="27"/>
  <c r="GP187" i="27"/>
  <c r="CV186" i="27"/>
  <c r="CW186" i="27"/>
  <c r="CX186" i="27"/>
  <c r="DN186" i="27"/>
  <c r="GO205" i="27"/>
  <c r="GP205" i="27"/>
  <c r="HF205" i="27"/>
  <c r="GN205" i="27"/>
  <c r="ER207" i="27"/>
  <c r="ET207" i="27"/>
  <c r="FJ207" i="27"/>
  <c r="ES207" i="27"/>
  <c r="ET211" i="27"/>
  <c r="ER211" i="27"/>
  <c r="ES211" i="27"/>
  <c r="FJ211" i="27"/>
  <c r="CV206" i="27"/>
  <c r="CW206" i="27"/>
  <c r="CX206" i="27"/>
  <c r="DN206" i="27"/>
  <c r="GO208" i="27"/>
  <c r="GP208" i="27"/>
  <c r="GN208" i="27"/>
  <c r="HF208" i="27"/>
  <c r="EM178" i="27"/>
  <c r="EN178" i="27"/>
  <c r="EL178" i="27"/>
  <c r="FI178" i="27"/>
  <c r="CQ181" i="27"/>
  <c r="CP181" i="27"/>
  <c r="DM181" i="27"/>
  <c r="CR181" i="27"/>
  <c r="CR174" i="27"/>
  <c r="CQ174" i="27"/>
  <c r="DM174" i="27"/>
  <c r="CP174" i="27"/>
  <c r="GI184" i="27"/>
  <c r="GH184" i="27"/>
  <c r="GJ184" i="27"/>
  <c r="HE184" i="27"/>
  <c r="CR180" i="27"/>
  <c r="DM180" i="27"/>
  <c r="CP180" i="27"/>
  <c r="CQ180" i="27"/>
  <c r="CP191" i="27"/>
  <c r="CQ191" i="27"/>
  <c r="CR191" i="27"/>
  <c r="DM191" i="27"/>
  <c r="CR198" i="27"/>
  <c r="CP198" i="27"/>
  <c r="CQ198" i="27"/>
  <c r="DM198" i="27"/>
  <c r="HE193" i="27"/>
  <c r="GI193" i="27"/>
  <c r="GJ193" i="27"/>
  <c r="GH193" i="27"/>
  <c r="FI196" i="27"/>
  <c r="EN196" i="27"/>
  <c r="EL196" i="27"/>
  <c r="EM196" i="27"/>
  <c r="GJ195" i="27"/>
  <c r="HE195" i="27"/>
  <c r="GI195" i="27"/>
  <c r="GH195" i="27"/>
  <c r="CJ318" i="27"/>
  <c r="DL318" i="27"/>
  <c r="CK318" i="27"/>
  <c r="CL318" i="27"/>
  <c r="EG302" i="27"/>
  <c r="EH302" i="27"/>
  <c r="EF302" i="27"/>
  <c r="FH302" i="27"/>
  <c r="EG307" i="27"/>
  <c r="EF307" i="27"/>
  <c r="EH307" i="27"/>
  <c r="FH307" i="27"/>
  <c r="GB313" i="27"/>
  <c r="HD313" i="27"/>
  <c r="GC313" i="27"/>
  <c r="GD313" i="27"/>
  <c r="HD305" i="27"/>
  <c r="GB305" i="27"/>
  <c r="GC305" i="27"/>
  <c r="GD305" i="27"/>
  <c r="CJ306" i="27"/>
  <c r="DL306" i="27"/>
  <c r="CK306" i="27"/>
  <c r="CL306" i="27"/>
  <c r="HD311" i="27"/>
  <c r="GD311" i="27"/>
  <c r="GC311" i="27"/>
  <c r="GB311" i="27"/>
  <c r="EG300" i="27"/>
  <c r="FH300" i="27"/>
  <c r="EF300" i="27"/>
  <c r="EH300" i="27"/>
  <c r="FH327" i="27"/>
  <c r="EF327" i="27"/>
  <c r="EH327" i="27"/>
  <c r="EG327" i="27"/>
  <c r="GB330" i="27"/>
  <c r="GD330" i="27"/>
  <c r="HD330" i="27"/>
  <c r="GC330" i="27"/>
  <c r="GC322" i="27"/>
  <c r="GB322" i="27"/>
  <c r="HD322" i="27"/>
  <c r="GD322" i="27"/>
  <c r="FH329" i="27"/>
  <c r="EG329" i="27"/>
  <c r="EF329" i="27"/>
  <c r="EH329" i="27"/>
  <c r="GC326" i="27"/>
  <c r="GB326" i="27"/>
  <c r="GD326" i="27"/>
  <c r="HD326" i="27"/>
  <c r="FH331" i="27"/>
  <c r="EF331" i="27"/>
  <c r="EH331" i="27"/>
  <c r="EG331" i="27"/>
  <c r="GD336" i="27"/>
  <c r="GC336" i="27"/>
  <c r="HD336" i="27"/>
  <c r="GB336" i="27"/>
  <c r="HD335" i="27"/>
  <c r="GB335" i="27"/>
  <c r="GD335" i="27"/>
  <c r="GC335" i="27"/>
  <c r="M85" i="31"/>
  <c r="AG85" i="31" s="1"/>
  <c r="AI81" i="3"/>
  <c r="HH148" i="27"/>
  <c r="GZ148" i="27"/>
  <c r="HA148" i="27"/>
  <c r="HB148" i="27"/>
  <c r="HA145" i="27"/>
  <c r="HH145" i="27"/>
  <c r="GZ145" i="27"/>
  <c r="HB145" i="27"/>
  <c r="GZ144" i="27"/>
  <c r="HH144" i="27"/>
  <c r="HB144" i="27"/>
  <c r="HA144" i="27"/>
  <c r="DJ150" i="27"/>
  <c r="DI150" i="27"/>
  <c r="DH150" i="27"/>
  <c r="DP150" i="27"/>
  <c r="FD158" i="27"/>
  <c r="FF158" i="27"/>
  <c r="FE158" i="27"/>
  <c r="FL158" i="27"/>
  <c r="FE160" i="27"/>
  <c r="FL160" i="27"/>
  <c r="FF160" i="27"/>
  <c r="FD160" i="27"/>
  <c r="HA154" i="27"/>
  <c r="HH154" i="27"/>
  <c r="HB154" i="27"/>
  <c r="GZ154" i="27"/>
  <c r="HB155" i="27"/>
  <c r="GZ155" i="27"/>
  <c r="HH155" i="27"/>
  <c r="HA155" i="27"/>
  <c r="EZ142" i="27"/>
  <c r="FK142" i="27"/>
  <c r="EX142" i="27"/>
  <c r="EY142" i="27"/>
  <c r="HG146" i="27"/>
  <c r="GV146" i="27"/>
  <c r="GT146" i="27"/>
  <c r="GU146" i="27"/>
  <c r="DB147" i="27"/>
  <c r="DD147" i="27"/>
  <c r="DO147" i="27"/>
  <c r="DQ147" i="27" s="1"/>
  <c r="DC147" i="27"/>
  <c r="EZ143" i="27"/>
  <c r="EX143" i="27"/>
  <c r="FK143" i="27"/>
  <c r="EY143" i="27"/>
  <c r="DO155" i="27"/>
  <c r="DC155" i="27"/>
  <c r="DD155" i="27"/>
  <c r="DB155" i="27"/>
  <c r="DO156" i="27"/>
  <c r="DC156" i="27"/>
  <c r="DB156" i="27"/>
  <c r="DD156" i="27"/>
  <c r="GV153" i="27"/>
  <c r="GT153" i="27"/>
  <c r="HG153" i="27"/>
  <c r="GU153" i="27"/>
  <c r="FK170" i="27"/>
  <c r="EY170" i="27"/>
  <c r="EZ170" i="27"/>
  <c r="EX170" i="27"/>
  <c r="HG167" i="27"/>
  <c r="GU167" i="27"/>
  <c r="GT167" i="27"/>
  <c r="GV167" i="27"/>
  <c r="HG171" i="27"/>
  <c r="GU171" i="27"/>
  <c r="GT171" i="27"/>
  <c r="GV171" i="27"/>
  <c r="EY164" i="27"/>
  <c r="EZ164" i="27"/>
  <c r="FK164" i="27"/>
  <c r="EX164" i="27"/>
  <c r="HB170" i="27"/>
  <c r="HA170" i="27"/>
  <c r="HH170" i="27"/>
  <c r="GZ170" i="27"/>
  <c r="DI171" i="27"/>
  <c r="DP171" i="27"/>
  <c r="DJ171" i="27"/>
  <c r="DH171" i="27"/>
  <c r="FL165" i="27"/>
  <c r="FD165" i="27"/>
  <c r="FF165" i="27"/>
  <c r="FE165" i="27"/>
  <c r="FL166" i="27"/>
  <c r="FM166" i="27" s="1"/>
  <c r="FE166" i="27"/>
  <c r="FF166" i="27"/>
  <c r="FD166" i="27"/>
  <c r="HE200" i="27"/>
  <c r="GJ200" i="27"/>
  <c r="GH200" i="27"/>
  <c r="GI200" i="27"/>
  <c r="GI207" i="27"/>
  <c r="GJ207" i="27"/>
  <c r="HE207" i="27"/>
  <c r="GH207" i="27"/>
  <c r="HE210" i="27"/>
  <c r="GJ210" i="27"/>
  <c r="GH210" i="27"/>
  <c r="GI210" i="27"/>
  <c r="GH205" i="27"/>
  <c r="HE205" i="27"/>
  <c r="GI205" i="27"/>
  <c r="GJ205" i="27"/>
  <c r="DM208" i="27"/>
  <c r="CQ208" i="27"/>
  <c r="CP208" i="27"/>
  <c r="CR208" i="27"/>
  <c r="N85" i="31"/>
  <c r="AH85" i="31" s="1"/>
  <c r="AJ81" i="3"/>
  <c r="DQ170" i="27"/>
  <c r="BQ59" i="23"/>
  <c r="HO90" i="27"/>
  <c r="HM90" i="27"/>
  <c r="GN174" i="27"/>
  <c r="GO174" i="27"/>
  <c r="GP174" i="27"/>
  <c r="HF174" i="27"/>
  <c r="HF177" i="27"/>
  <c r="GN177" i="27"/>
  <c r="GO177" i="27"/>
  <c r="GP177" i="27"/>
  <c r="GO182" i="27"/>
  <c r="GP182" i="27"/>
  <c r="GN182" i="27"/>
  <c r="HF182" i="27"/>
  <c r="GO185" i="27"/>
  <c r="HF185" i="27"/>
  <c r="GN185" i="27"/>
  <c r="GP185" i="27"/>
  <c r="GO183" i="27"/>
  <c r="GP183" i="27"/>
  <c r="HF183" i="27"/>
  <c r="GN183" i="27"/>
  <c r="DN195" i="27"/>
  <c r="CV195" i="27"/>
  <c r="CX195" i="27"/>
  <c r="CW195" i="27"/>
  <c r="DN192" i="27"/>
  <c r="CV192" i="27"/>
  <c r="CX192" i="27"/>
  <c r="CW192" i="27"/>
  <c r="FJ197" i="27"/>
  <c r="ES197" i="27"/>
  <c r="ET197" i="27"/>
  <c r="ER197" i="27"/>
  <c r="CW198" i="27"/>
  <c r="CX198" i="27"/>
  <c r="CV198" i="27"/>
  <c r="DN198" i="27"/>
  <c r="FJ186" i="27"/>
  <c r="ET186" i="27"/>
  <c r="ES186" i="27"/>
  <c r="ER186" i="27"/>
  <c r="FJ205" i="27"/>
  <c r="ES205" i="27"/>
  <c r="ET205" i="27"/>
  <c r="ER205" i="27"/>
  <c r="GP200" i="27"/>
  <c r="GN200" i="27"/>
  <c r="HF200" i="27"/>
  <c r="GO200" i="27"/>
  <c r="HF211" i="27"/>
  <c r="GN211" i="27"/>
  <c r="GP211" i="27"/>
  <c r="GO211" i="27"/>
  <c r="ET206" i="27"/>
  <c r="ES206" i="27"/>
  <c r="FJ206" i="27"/>
  <c r="ER206" i="27"/>
  <c r="ET210" i="27"/>
  <c r="FJ210" i="27"/>
  <c r="ER210" i="27"/>
  <c r="ES210" i="27"/>
  <c r="GJ178" i="27"/>
  <c r="GI178" i="27"/>
  <c r="GH178" i="27"/>
  <c r="HE178" i="27"/>
  <c r="GJ181" i="27"/>
  <c r="GI181" i="27"/>
  <c r="GH181" i="27"/>
  <c r="HE181" i="27"/>
  <c r="CR185" i="27"/>
  <c r="CQ185" i="27"/>
  <c r="CP185" i="27"/>
  <c r="DM185" i="27"/>
  <c r="EN184" i="27"/>
  <c r="FI184" i="27"/>
  <c r="EL184" i="27"/>
  <c r="EM184" i="27"/>
  <c r="GH180" i="27"/>
  <c r="GJ180" i="27"/>
  <c r="HE180" i="27"/>
  <c r="GI180" i="27"/>
  <c r="EM192" i="27"/>
  <c r="EN192" i="27"/>
  <c r="FI192" i="27"/>
  <c r="EL192" i="27"/>
  <c r="EL198" i="27"/>
  <c r="FI198" i="27"/>
  <c r="EM198" i="27"/>
  <c r="EN198" i="27"/>
  <c r="EL193" i="27"/>
  <c r="FI193" i="27"/>
  <c r="EM193" i="27"/>
  <c r="EN193" i="27"/>
  <c r="EL188" i="27"/>
  <c r="EM188" i="27"/>
  <c r="FI188" i="27"/>
  <c r="EN188" i="27"/>
  <c r="EN195" i="27"/>
  <c r="EM195" i="27"/>
  <c r="FI195" i="27"/>
  <c r="EL195" i="27"/>
  <c r="FH318" i="27"/>
  <c r="EG318" i="27"/>
  <c r="EH318" i="27"/>
  <c r="EF318" i="27"/>
  <c r="GD302" i="27"/>
  <c r="GB302" i="27"/>
  <c r="HD302" i="27"/>
  <c r="GC302" i="27"/>
  <c r="FH319" i="27"/>
  <c r="EF319" i="27"/>
  <c r="EH319" i="27"/>
  <c r="EG319" i="27"/>
  <c r="CK313" i="27"/>
  <c r="DL313" i="27"/>
  <c r="CJ313" i="27"/>
  <c r="CL313" i="27"/>
  <c r="CJ305" i="27"/>
  <c r="CL305" i="27"/>
  <c r="CK305" i="27"/>
  <c r="DL305" i="27"/>
  <c r="CK304" i="27"/>
  <c r="CJ304" i="27"/>
  <c r="DL304" i="27"/>
  <c r="CL304" i="27"/>
  <c r="EF311" i="27"/>
  <c r="EH311" i="27"/>
  <c r="EG311" i="27"/>
  <c r="FH311" i="27"/>
  <c r="CL300" i="27"/>
  <c r="CK300" i="27"/>
  <c r="DL300" i="27"/>
  <c r="CJ300" i="27"/>
  <c r="GB341" i="27"/>
  <c r="GC341" i="27"/>
  <c r="HD341" i="27"/>
  <c r="GD341" i="27"/>
  <c r="EH330" i="27"/>
  <c r="FH330" i="27"/>
  <c r="EG330" i="27"/>
  <c r="EF330" i="27"/>
  <c r="EG322" i="27"/>
  <c r="FH322" i="27"/>
  <c r="EF322" i="27"/>
  <c r="EH322" i="27"/>
  <c r="GD334" i="27"/>
  <c r="GC334" i="27"/>
  <c r="GB334" i="27"/>
  <c r="HD334" i="27"/>
  <c r="CK326" i="27"/>
  <c r="CJ326" i="27"/>
  <c r="DL326" i="27"/>
  <c r="CL326" i="27"/>
  <c r="GB331" i="27"/>
  <c r="HD331" i="27"/>
  <c r="GD331" i="27"/>
  <c r="GC331" i="27"/>
  <c r="EF338" i="27"/>
  <c r="EH338" i="27"/>
  <c r="EG338" i="27"/>
  <c r="FH338" i="27"/>
  <c r="CK335" i="27"/>
  <c r="DL335" i="27"/>
  <c r="CL335" i="27"/>
  <c r="CJ335" i="27"/>
  <c r="M86" i="31"/>
  <c r="AG86" i="31" s="1"/>
  <c r="AI82" i="3"/>
  <c r="DH148" i="27"/>
  <c r="DI148" i="27"/>
  <c r="DP148" i="27"/>
  <c r="DJ148" i="27"/>
  <c r="DH145" i="27"/>
  <c r="DJ145" i="27"/>
  <c r="DI145" i="27"/>
  <c r="DP145" i="27"/>
  <c r="FD149" i="27"/>
  <c r="FE149" i="27"/>
  <c r="FL149" i="27"/>
  <c r="FF149" i="27"/>
  <c r="FF150" i="27"/>
  <c r="FE150" i="27"/>
  <c r="FL150" i="27"/>
  <c r="FD150" i="27"/>
  <c r="DH158" i="27"/>
  <c r="DJ158" i="27"/>
  <c r="DP158" i="27"/>
  <c r="DI158" i="27"/>
  <c r="HA153" i="27"/>
  <c r="HH153" i="27"/>
  <c r="HB153" i="27"/>
  <c r="GZ153" i="27"/>
  <c r="FL154" i="27"/>
  <c r="FE154" i="27"/>
  <c r="FF154" i="27"/>
  <c r="FD154" i="27"/>
  <c r="FL155" i="27"/>
  <c r="FF155" i="27"/>
  <c r="FD155" i="27"/>
  <c r="FE155" i="27"/>
  <c r="DC144" i="27"/>
  <c r="DO144" i="27"/>
  <c r="DQ144" i="27" s="1"/>
  <c r="DB144" i="27"/>
  <c r="DD144" i="27"/>
  <c r="EY146" i="27"/>
  <c r="EZ146" i="27"/>
  <c r="FK146" i="27"/>
  <c r="EX146" i="27"/>
  <c r="HG147" i="27"/>
  <c r="GT147" i="27"/>
  <c r="GV147" i="27"/>
  <c r="GU147" i="27"/>
  <c r="EX158" i="27"/>
  <c r="EY158" i="27"/>
  <c r="EZ158" i="27"/>
  <c r="FK158" i="27"/>
  <c r="FM158" i="27" s="1"/>
  <c r="GU155" i="27"/>
  <c r="HG155" i="27"/>
  <c r="HI155" i="27" s="1"/>
  <c r="GV155" i="27"/>
  <c r="GT155" i="27"/>
  <c r="FK156" i="27"/>
  <c r="EX156" i="27"/>
  <c r="EY156" i="27"/>
  <c r="EZ156" i="27"/>
  <c r="EZ159" i="27"/>
  <c r="FK159" i="27"/>
  <c r="EX159" i="27"/>
  <c r="EY159" i="27"/>
  <c r="GT170" i="27"/>
  <c r="GU170" i="27"/>
  <c r="GV170" i="27"/>
  <c r="HG170" i="27"/>
  <c r="EZ167" i="27"/>
  <c r="EY167" i="27"/>
  <c r="EX167" i="27"/>
  <c r="FK167" i="27"/>
  <c r="EY165" i="27"/>
  <c r="EZ165" i="27"/>
  <c r="FK165" i="27"/>
  <c r="EX165" i="27"/>
  <c r="DB164" i="27"/>
  <c r="DC164" i="27"/>
  <c r="DD164" i="27"/>
  <c r="DO164" i="27"/>
  <c r="FF169" i="27"/>
  <c r="FE169" i="27"/>
  <c r="FD169" i="27"/>
  <c r="FL169" i="27"/>
  <c r="FF171" i="27"/>
  <c r="FD171" i="27"/>
  <c r="FL171" i="27"/>
  <c r="FE171" i="27"/>
  <c r="HA165" i="27"/>
  <c r="GZ165" i="27"/>
  <c r="HH165" i="27"/>
  <c r="HB165" i="27"/>
  <c r="DI168" i="27"/>
  <c r="DH168" i="27"/>
  <c r="DJ168" i="27"/>
  <c r="DP168" i="27"/>
  <c r="EL200" i="27"/>
  <c r="FI200" i="27"/>
  <c r="EM200" i="27"/>
  <c r="EN200" i="27"/>
  <c r="CQ207" i="27"/>
  <c r="CR207" i="27"/>
  <c r="CP207" i="27"/>
  <c r="DM207" i="27"/>
  <c r="HE202" i="27"/>
  <c r="GI202" i="27"/>
  <c r="GJ202" i="27"/>
  <c r="GH202" i="27"/>
  <c r="EN205" i="27"/>
  <c r="EL205" i="27"/>
  <c r="FI205" i="27"/>
  <c r="EM205" i="27"/>
  <c r="GJ208" i="27"/>
  <c r="GH208" i="27"/>
  <c r="HE208" i="27"/>
  <c r="GI208" i="27"/>
  <c r="N87" i="31"/>
  <c r="AH87" i="31" s="1"/>
  <c r="AJ83" i="3"/>
  <c r="AT82" i="31"/>
  <c r="AZ82" i="31" s="1"/>
  <c r="BF82" i="31"/>
  <c r="HM130" i="27"/>
  <c r="HO130" i="27"/>
  <c r="FQ135" i="27"/>
  <c r="FS135" i="27"/>
  <c r="FM171" i="27"/>
  <c r="FS125" i="27"/>
  <c r="FQ125" i="27"/>
  <c r="HM123" i="27"/>
  <c r="HO123" i="27"/>
  <c r="ER180" i="27"/>
  <c r="FJ180" i="27"/>
  <c r="ES180" i="27"/>
  <c r="ET180" i="27"/>
  <c r="ER177" i="27"/>
  <c r="ET177" i="27"/>
  <c r="FJ177" i="27"/>
  <c r="ES177" i="27"/>
  <c r="CX182" i="27"/>
  <c r="CV182" i="27"/>
  <c r="CW182" i="27"/>
  <c r="DN182" i="27"/>
  <c r="GO176" i="27"/>
  <c r="GP176" i="27"/>
  <c r="HF176" i="27"/>
  <c r="GN176" i="27"/>
  <c r="CV183" i="27"/>
  <c r="CW183" i="27"/>
  <c r="DN183" i="27"/>
  <c r="CX183" i="27"/>
  <c r="GN195" i="27"/>
  <c r="HF195" i="27"/>
  <c r="GO195" i="27"/>
  <c r="GP195" i="27"/>
  <c r="CX191" i="27"/>
  <c r="DN191" i="27"/>
  <c r="CV191" i="27"/>
  <c r="CW191" i="27"/>
  <c r="HF197" i="27"/>
  <c r="GO197" i="27"/>
  <c r="GP197" i="27"/>
  <c r="GN197" i="27"/>
  <c r="FJ198" i="27"/>
  <c r="ER198" i="27"/>
  <c r="ET198" i="27"/>
  <c r="ES198" i="27"/>
  <c r="CW205" i="27"/>
  <c r="CV205" i="27"/>
  <c r="CX205" i="27"/>
  <c r="DN205" i="27"/>
  <c r="ES200" i="27"/>
  <c r="ET200" i="27"/>
  <c r="FJ200" i="27"/>
  <c r="ER200" i="27"/>
  <c r="GO203" i="27"/>
  <c r="GN203" i="27"/>
  <c r="GP203" i="27"/>
  <c r="HF203" i="27"/>
  <c r="GO206" i="27"/>
  <c r="HF206" i="27"/>
  <c r="GP206" i="27"/>
  <c r="GN206" i="27"/>
  <c r="HF210" i="27"/>
  <c r="GN210" i="27"/>
  <c r="GO210" i="27"/>
  <c r="GP210" i="27"/>
  <c r="EM176" i="27"/>
  <c r="EN176" i="27"/>
  <c r="FI176" i="27"/>
  <c r="EL176" i="27"/>
  <c r="EN181" i="27"/>
  <c r="FI181" i="27"/>
  <c r="EL181" i="27"/>
  <c r="EM181" i="27"/>
  <c r="HE185" i="27"/>
  <c r="GJ185" i="27"/>
  <c r="GI185" i="27"/>
  <c r="GH185" i="27"/>
  <c r="GH173" i="27"/>
  <c r="GI173" i="27"/>
  <c r="HE173" i="27"/>
  <c r="GJ173" i="27"/>
  <c r="EN180" i="27"/>
  <c r="EL180" i="27"/>
  <c r="FI180" i="27"/>
  <c r="EM180" i="27"/>
  <c r="DM192" i="27"/>
  <c r="CP192" i="27"/>
  <c r="CQ192" i="27"/>
  <c r="CR192" i="27"/>
  <c r="DM189" i="27"/>
  <c r="CQ189" i="27"/>
  <c r="CR189" i="27"/>
  <c r="CP189" i="27"/>
  <c r="CP193" i="27"/>
  <c r="CR193" i="27"/>
  <c r="CQ193" i="27"/>
  <c r="DM193" i="27"/>
  <c r="GJ188" i="27"/>
  <c r="GH188" i="27"/>
  <c r="GI188" i="27"/>
  <c r="HE188" i="27"/>
  <c r="DL315" i="27"/>
  <c r="CJ315" i="27"/>
  <c r="CK315" i="27"/>
  <c r="CL315" i="27"/>
  <c r="DL302" i="27"/>
  <c r="CJ302" i="27"/>
  <c r="CK302" i="27"/>
  <c r="CL302" i="27"/>
  <c r="GC319" i="27"/>
  <c r="HD319" i="27"/>
  <c r="GB319" i="27"/>
  <c r="GD319" i="27"/>
  <c r="GC316" i="27"/>
  <c r="GB316" i="27"/>
  <c r="HD316" i="27"/>
  <c r="GD316" i="27"/>
  <c r="EF305" i="27"/>
  <c r="FH305" i="27"/>
  <c r="EG305" i="27"/>
  <c r="EH305" i="27"/>
  <c r="EH304" i="27"/>
  <c r="EF304" i="27"/>
  <c r="EG304" i="27"/>
  <c r="FH304" i="27"/>
  <c r="EH314" i="27"/>
  <c r="FH314" i="27"/>
  <c r="EG314" i="27"/>
  <c r="EF314" i="27"/>
  <c r="HD300" i="27"/>
  <c r="GD300" i="27"/>
  <c r="GC300" i="27"/>
  <c r="GB300" i="27"/>
  <c r="DL341" i="27"/>
  <c r="CJ341" i="27"/>
  <c r="CL341" i="27"/>
  <c r="CK341" i="27"/>
  <c r="CK321" i="27"/>
  <c r="CL321" i="27"/>
  <c r="DL321" i="27"/>
  <c r="CJ321" i="27"/>
  <c r="CL322" i="27"/>
  <c r="CJ322" i="27"/>
  <c r="CK322" i="27"/>
  <c r="DL322" i="27"/>
  <c r="EH334" i="27"/>
  <c r="EF334" i="27"/>
  <c r="EG334" i="27"/>
  <c r="FH334" i="27"/>
  <c r="GD320" i="27"/>
  <c r="GC320" i="27"/>
  <c r="HD320" i="27"/>
  <c r="GB320" i="27"/>
  <c r="CL331" i="27"/>
  <c r="CK331" i="27"/>
  <c r="DL331" i="27"/>
  <c r="CJ331" i="27"/>
  <c r="GD338" i="27"/>
  <c r="GB338" i="27"/>
  <c r="GC338" i="27"/>
  <c r="HD338" i="27"/>
  <c r="DL324" i="27"/>
  <c r="CL324" i="27"/>
  <c r="CK324" i="27"/>
  <c r="CJ324" i="27"/>
  <c r="DH146" i="27"/>
  <c r="DJ146" i="27"/>
  <c r="DI146" i="27"/>
  <c r="DP146" i="27"/>
  <c r="FE145" i="27"/>
  <c r="FL145" i="27"/>
  <c r="FF145" i="27"/>
  <c r="FD145" i="27"/>
  <c r="HA149" i="27"/>
  <c r="GZ149" i="27"/>
  <c r="HB149" i="27"/>
  <c r="HH149" i="27"/>
  <c r="DI143" i="27"/>
  <c r="DH143" i="27"/>
  <c r="DJ143" i="27"/>
  <c r="DP143" i="27"/>
  <c r="GZ158" i="27"/>
  <c r="HB158" i="27"/>
  <c r="HA158" i="27"/>
  <c r="HH158" i="27"/>
  <c r="DH153" i="27"/>
  <c r="DJ153" i="27"/>
  <c r="DP153" i="27"/>
  <c r="DI153" i="27"/>
  <c r="HA161" i="27"/>
  <c r="HB161" i="27"/>
  <c r="HH161" i="27"/>
  <c r="GZ161" i="27"/>
  <c r="DH155" i="27"/>
  <c r="DP155" i="27"/>
  <c r="DJ155" i="27"/>
  <c r="DI155" i="27"/>
  <c r="GT144" i="27"/>
  <c r="HG144" i="27"/>
  <c r="GV144" i="27"/>
  <c r="GU144" i="27"/>
  <c r="GV149" i="27"/>
  <c r="HG149" i="27"/>
  <c r="GU149" i="27"/>
  <c r="GT149" i="27"/>
  <c r="EX147" i="27"/>
  <c r="EZ147" i="27"/>
  <c r="FK147" i="27"/>
  <c r="EY147" i="27"/>
  <c r="DO158" i="27"/>
  <c r="DQ158" i="27" s="1"/>
  <c r="DB158" i="27"/>
  <c r="DD158" i="27"/>
  <c r="DC158" i="27"/>
  <c r="DD161" i="27"/>
  <c r="DO161" i="27"/>
  <c r="DB161" i="27"/>
  <c r="DC161" i="27"/>
  <c r="GU156" i="27"/>
  <c r="GV156" i="27"/>
  <c r="GT156" i="27"/>
  <c r="HG156" i="27"/>
  <c r="HI156" i="27" s="1"/>
  <c r="GV159" i="27"/>
  <c r="HG159" i="27"/>
  <c r="GT159" i="27"/>
  <c r="GU159" i="27"/>
  <c r="EZ163" i="27"/>
  <c r="EY163" i="27"/>
  <c r="EX163" i="27"/>
  <c r="FK163" i="27"/>
  <c r="DB167" i="27"/>
  <c r="DD167" i="27"/>
  <c r="DO167" i="27"/>
  <c r="DC167" i="27"/>
  <c r="DB165" i="27"/>
  <c r="DC165" i="27"/>
  <c r="DO165" i="27"/>
  <c r="DD165" i="27"/>
  <c r="DC168" i="27"/>
  <c r="DO168" i="27"/>
  <c r="DD168" i="27"/>
  <c r="DB168" i="27"/>
  <c r="GZ169" i="27"/>
  <c r="HH169" i="27"/>
  <c r="HA169" i="27"/>
  <c r="HB169" i="27"/>
  <c r="FD167" i="27"/>
  <c r="FE167" i="27"/>
  <c r="FF167" i="27"/>
  <c r="FL167" i="27"/>
  <c r="DI165" i="27"/>
  <c r="DJ165" i="27"/>
  <c r="DH165" i="27"/>
  <c r="DP165" i="27"/>
  <c r="GZ168" i="27"/>
  <c r="HH168" i="27"/>
  <c r="HA168" i="27"/>
  <c r="HB168" i="27"/>
  <c r="EL204" i="27"/>
  <c r="EM204" i="27"/>
  <c r="EN204" i="27"/>
  <c r="FI204" i="27"/>
  <c r="EM207" i="27"/>
  <c r="FI207" i="27"/>
  <c r="EN207" i="27"/>
  <c r="EL207" i="27"/>
  <c r="EN202" i="27"/>
  <c r="EM202" i="27"/>
  <c r="EL202" i="27"/>
  <c r="FI202" i="27"/>
  <c r="CQ206" i="27"/>
  <c r="CR206" i="27"/>
  <c r="DM206" i="27"/>
  <c r="CP206" i="27"/>
  <c r="EL208" i="27"/>
  <c r="FI208" i="27"/>
  <c r="EN208" i="27"/>
  <c r="EM208" i="27"/>
  <c r="AJ82" i="3"/>
  <c r="N86" i="31"/>
  <c r="AH86" i="31" s="1"/>
  <c r="BE84" i="31"/>
  <c r="AS84" i="31"/>
  <c r="AY84" i="31" s="1"/>
  <c r="BF83" i="31"/>
  <c r="AT83" i="31"/>
  <c r="AZ83" i="31" s="1"/>
  <c r="DU127" i="27"/>
  <c r="DW127" i="27"/>
  <c r="HO135" i="27"/>
  <c r="HM135" i="27"/>
  <c r="HF180" i="27"/>
  <c r="GP180" i="27"/>
  <c r="GO180" i="27"/>
  <c r="GN180" i="27"/>
  <c r="CW178" i="27"/>
  <c r="CV178" i="27"/>
  <c r="DN178" i="27"/>
  <c r="CX178" i="27"/>
  <c r="ES182" i="27"/>
  <c r="ET182" i="27"/>
  <c r="ER182" i="27"/>
  <c r="FJ182" i="27"/>
  <c r="CW176" i="27"/>
  <c r="CX176" i="27"/>
  <c r="DN176" i="27"/>
  <c r="CV176" i="27"/>
  <c r="GP196" i="27"/>
  <c r="HF196" i="27"/>
  <c r="GN196" i="27"/>
  <c r="GO196" i="27"/>
  <c r="ES195" i="27"/>
  <c r="ET195" i="27"/>
  <c r="ER195" i="27"/>
  <c r="FJ195" i="27"/>
  <c r="ET191" i="27"/>
  <c r="ER191" i="27"/>
  <c r="ES191" i="27"/>
  <c r="FJ191" i="27"/>
  <c r="HF193" i="27"/>
  <c r="GN193" i="27"/>
  <c r="GP193" i="27"/>
  <c r="GO193" i="27"/>
  <c r="HF198" i="27"/>
  <c r="GP198" i="27"/>
  <c r="GN198" i="27"/>
  <c r="GO198" i="27"/>
  <c r="ET201" i="27"/>
  <c r="ER201" i="27"/>
  <c r="FJ201" i="27"/>
  <c r="ES201" i="27"/>
  <c r="CV200" i="27"/>
  <c r="DN200" i="27"/>
  <c r="CX200" i="27"/>
  <c r="CW200" i="27"/>
  <c r="ER203" i="27"/>
  <c r="ET203" i="27"/>
  <c r="ES203" i="27"/>
  <c r="FJ203" i="27"/>
  <c r="GP199" i="27"/>
  <c r="HF199" i="27"/>
  <c r="GN199" i="27"/>
  <c r="GO199" i="27"/>
  <c r="DN210" i="27"/>
  <c r="CX210" i="27"/>
  <c r="CV210" i="27"/>
  <c r="CW210" i="27"/>
  <c r="GI176" i="27"/>
  <c r="GJ176" i="27"/>
  <c r="GH176" i="27"/>
  <c r="HE176" i="27"/>
  <c r="EN182" i="27"/>
  <c r="EL182" i="27"/>
  <c r="EM182" i="27"/>
  <c r="FI182" i="27"/>
  <c r="EN185" i="27"/>
  <c r="EM185" i="27"/>
  <c r="EL185" i="27"/>
  <c r="FI185" i="27"/>
  <c r="FI173" i="27"/>
  <c r="EN173" i="27"/>
  <c r="EL173" i="27"/>
  <c r="EM173" i="27"/>
  <c r="EM197" i="27"/>
  <c r="EN197" i="27"/>
  <c r="FI197" i="27"/>
  <c r="EL197" i="27"/>
  <c r="GI192" i="27"/>
  <c r="GH192" i="27"/>
  <c r="GJ192" i="27"/>
  <c r="HE192" i="27"/>
  <c r="FI189" i="27"/>
  <c r="EL189" i="27"/>
  <c r="EM189" i="27"/>
  <c r="EN189" i="27"/>
  <c r="EN186" i="27"/>
  <c r="FI186" i="27"/>
  <c r="EM186" i="27"/>
  <c r="EL186" i="27"/>
  <c r="CR188" i="27"/>
  <c r="CQ188" i="27"/>
  <c r="DM188" i="27"/>
  <c r="CP188" i="27"/>
  <c r="GC315" i="27"/>
  <c r="GD315" i="27"/>
  <c r="HD315" i="27"/>
  <c r="GB315" i="27"/>
  <c r="HD310" i="27"/>
  <c r="GC310" i="27"/>
  <c r="GD310" i="27"/>
  <c r="GB310" i="27"/>
  <c r="DL319" i="27"/>
  <c r="CL319" i="27"/>
  <c r="CK319" i="27"/>
  <c r="CJ319" i="27"/>
  <c r="CL316" i="27"/>
  <c r="DL316" i="27"/>
  <c r="CK316" i="27"/>
  <c r="CJ316" i="27"/>
  <c r="EH312" i="27"/>
  <c r="EF312" i="27"/>
  <c r="FH312" i="27"/>
  <c r="EG312" i="27"/>
  <c r="GC304" i="27"/>
  <c r="GD304" i="27"/>
  <c r="HD304" i="27"/>
  <c r="GB304" i="27"/>
  <c r="GB314" i="27"/>
  <c r="HD314" i="27"/>
  <c r="GC314" i="27"/>
  <c r="GD314" i="27"/>
  <c r="CL303" i="27"/>
  <c r="DL303" i="27"/>
  <c r="CJ303" i="27"/>
  <c r="CK303" i="27"/>
  <c r="FH341" i="27"/>
  <c r="EF341" i="27"/>
  <c r="EH341" i="27"/>
  <c r="EG341" i="27"/>
  <c r="GC321" i="27"/>
  <c r="GB321" i="27"/>
  <c r="HD321" i="27"/>
  <c r="GD321" i="27"/>
  <c r="CK332" i="27"/>
  <c r="CJ332" i="27"/>
  <c r="DL332" i="27"/>
  <c r="CL332" i="27"/>
  <c r="CL334" i="27"/>
  <c r="CK334" i="27"/>
  <c r="DL334" i="27"/>
  <c r="CJ334" i="27"/>
  <c r="CK320" i="27"/>
  <c r="DL320" i="27"/>
  <c r="CJ320" i="27"/>
  <c r="CL320" i="27"/>
  <c r="DL328" i="27"/>
  <c r="CK328" i="27"/>
  <c r="CL328" i="27"/>
  <c r="CJ328" i="27"/>
  <c r="CL338" i="27"/>
  <c r="CK338" i="27"/>
  <c r="DL338" i="27"/>
  <c r="CJ338" i="27"/>
  <c r="EG324" i="27"/>
  <c r="EH324" i="27"/>
  <c r="FH324" i="27"/>
  <c r="EF324" i="27"/>
  <c r="HA146" i="27"/>
  <c r="HH146" i="27"/>
  <c r="HB146" i="27"/>
  <c r="GZ146" i="27"/>
  <c r="DJ142" i="27"/>
  <c r="DI142" i="27"/>
  <c r="DP142" i="27"/>
  <c r="DH142" i="27"/>
  <c r="DH149" i="27"/>
  <c r="DJ149" i="27"/>
  <c r="DP149" i="27"/>
  <c r="DI149" i="27"/>
  <c r="HA143" i="27"/>
  <c r="GZ143" i="27"/>
  <c r="HB143" i="27"/>
  <c r="HH143" i="27"/>
  <c r="FD159" i="27"/>
  <c r="FL159" i="27"/>
  <c r="FF159" i="27"/>
  <c r="FE159" i="27"/>
  <c r="FE153" i="27"/>
  <c r="FL153" i="27"/>
  <c r="FD153" i="27"/>
  <c r="FF153" i="27"/>
  <c r="DH161" i="27"/>
  <c r="DI161" i="27"/>
  <c r="DJ161" i="27"/>
  <c r="DP161" i="27"/>
  <c r="DO151" i="27"/>
  <c r="DQ151" i="27" s="1"/>
  <c r="DD151" i="27"/>
  <c r="DC151" i="27"/>
  <c r="DB151" i="27"/>
  <c r="EZ144" i="27"/>
  <c r="EY144" i="27"/>
  <c r="FK144" i="27"/>
  <c r="EX144" i="27"/>
  <c r="DB149" i="27"/>
  <c r="DO149" i="27"/>
  <c r="DC149" i="27"/>
  <c r="DD149" i="27"/>
  <c r="GV145" i="27"/>
  <c r="GT145" i="27"/>
  <c r="GU145" i="27"/>
  <c r="HG145" i="27"/>
  <c r="HG158" i="27"/>
  <c r="HI158" i="27" s="1"/>
  <c r="GT158" i="27"/>
  <c r="GU158" i="27"/>
  <c r="GV158" i="27"/>
  <c r="HG161" i="27"/>
  <c r="HI161" i="27" s="1"/>
  <c r="GT161" i="27"/>
  <c r="GU161" i="27"/>
  <c r="GV161" i="27"/>
  <c r="GV152" i="27"/>
  <c r="HG152" i="27"/>
  <c r="GT152" i="27"/>
  <c r="GU152" i="27"/>
  <c r="DC159" i="27"/>
  <c r="DB159" i="27"/>
  <c r="DD159" i="27"/>
  <c r="DO159" i="27"/>
  <c r="GU163" i="27"/>
  <c r="HG163" i="27"/>
  <c r="GV163" i="27"/>
  <c r="GT163" i="27"/>
  <c r="GU162" i="27"/>
  <c r="GT162" i="27"/>
  <c r="GV162" i="27"/>
  <c r="HG162" i="27"/>
  <c r="GV165" i="27"/>
  <c r="HG165" i="27"/>
  <c r="HI165" i="27" s="1"/>
  <c r="GU165" i="27"/>
  <c r="GT165" i="27"/>
  <c r="GU168" i="27"/>
  <c r="GV168" i="27"/>
  <c r="HG168" i="27"/>
  <c r="HI168" i="27" s="1"/>
  <c r="GT168" i="27"/>
  <c r="HA164" i="27"/>
  <c r="GZ164" i="27"/>
  <c r="HB164" i="27"/>
  <c r="HH164" i="27"/>
  <c r="HI164" i="27" s="1"/>
  <c r="DI169" i="27"/>
  <c r="DP169" i="27"/>
  <c r="DH169" i="27"/>
  <c r="DJ169" i="27"/>
  <c r="HB167" i="27"/>
  <c r="HA167" i="27"/>
  <c r="GZ167" i="27"/>
  <c r="HH167" i="27"/>
  <c r="FL162" i="27"/>
  <c r="FE162" i="27"/>
  <c r="FD162" i="27"/>
  <c r="FF162" i="27"/>
  <c r="FE168" i="27"/>
  <c r="FD168" i="27"/>
  <c r="FL168" i="27"/>
  <c r="FF168" i="27"/>
  <c r="GJ204" i="27"/>
  <c r="HE204" i="27"/>
  <c r="GI204" i="27"/>
  <c r="GH204" i="27"/>
  <c r="CR201" i="27"/>
  <c r="CP201" i="27"/>
  <c r="CQ201" i="27"/>
  <c r="DM201" i="27"/>
  <c r="CR202" i="27"/>
  <c r="DM202" i="27"/>
  <c r="CQ202" i="27"/>
  <c r="CP202" i="27"/>
  <c r="GI206" i="27"/>
  <c r="HE206" i="27"/>
  <c r="GJ206" i="27"/>
  <c r="GH206" i="27"/>
  <c r="P83" i="31"/>
  <c r="AL79" i="3"/>
  <c r="O83" i="31"/>
  <c r="AI83" i="31" s="1"/>
  <c r="AK79" i="3"/>
  <c r="HO134" i="27"/>
  <c r="HM134" i="27"/>
  <c r="BQ43" i="23"/>
  <c r="FQ120" i="27"/>
  <c r="FS120" i="27"/>
  <c r="H26" i="5"/>
  <c r="R26" i="5" s="1"/>
  <c r="HI170" i="27"/>
  <c r="Q81" i="31"/>
  <c r="AJ81" i="31"/>
  <c r="ER175" i="27"/>
  <c r="FJ175" i="27"/>
  <c r="ET175" i="27"/>
  <c r="ES175" i="27"/>
  <c r="CV180" i="27"/>
  <c r="CW180" i="27"/>
  <c r="CX180" i="27"/>
  <c r="DN180" i="27"/>
  <c r="ER178" i="27"/>
  <c r="ET178" i="27"/>
  <c r="FJ178" i="27"/>
  <c r="ES178" i="27"/>
  <c r="GP179" i="27"/>
  <c r="GO179" i="27"/>
  <c r="HF179" i="27"/>
  <c r="GN179" i="27"/>
  <c r="ER176" i="27"/>
  <c r="ES176" i="27"/>
  <c r="ET176" i="27"/>
  <c r="FJ176" i="27"/>
  <c r="ET196" i="27"/>
  <c r="FJ196" i="27"/>
  <c r="ER196" i="27"/>
  <c r="ES196" i="27"/>
  <c r="ER194" i="27"/>
  <c r="ES194" i="27"/>
  <c r="ET194" i="27"/>
  <c r="FJ194" i="27"/>
  <c r="GO191" i="27"/>
  <c r="GN191" i="27"/>
  <c r="HF191" i="27"/>
  <c r="GP191" i="27"/>
  <c r="DN193" i="27"/>
  <c r="CX193" i="27"/>
  <c r="CV193" i="27"/>
  <c r="CW193" i="27"/>
  <c r="CX189" i="27"/>
  <c r="DN189" i="27"/>
  <c r="CV189" i="27"/>
  <c r="CW189" i="27"/>
  <c r="GN201" i="27"/>
  <c r="GO201" i="27"/>
  <c r="HF201" i="27"/>
  <c r="GP201" i="27"/>
  <c r="GP209" i="27"/>
  <c r="GN209" i="27"/>
  <c r="HF209" i="27"/>
  <c r="GO209" i="27"/>
  <c r="CW203" i="27"/>
  <c r="CV203" i="27"/>
  <c r="CX203" i="27"/>
  <c r="DN203" i="27"/>
  <c r="ES199" i="27"/>
  <c r="ET199" i="27"/>
  <c r="FJ199" i="27"/>
  <c r="ER199" i="27"/>
  <c r="DM175" i="27"/>
  <c r="CQ175" i="27"/>
  <c r="CR175" i="27"/>
  <c r="CP175" i="27"/>
  <c r="CQ176" i="27"/>
  <c r="CR176" i="27"/>
  <c r="DM176" i="27"/>
  <c r="CP176" i="27"/>
  <c r="DM182" i="27"/>
  <c r="CP182" i="27"/>
  <c r="CQ182" i="27"/>
  <c r="CR182" i="27"/>
  <c r="EM179" i="27"/>
  <c r="EN179" i="27"/>
  <c r="EL179" i="27"/>
  <c r="FI179" i="27"/>
  <c r="CR173" i="27"/>
  <c r="CQ173" i="27"/>
  <c r="CP173" i="27"/>
  <c r="DM173" i="27"/>
  <c r="DM197" i="27"/>
  <c r="CR197" i="27"/>
  <c r="CP197" i="27"/>
  <c r="CQ197" i="27"/>
  <c r="EN194" i="27"/>
  <c r="EL194" i="27"/>
  <c r="EM194" i="27"/>
  <c r="FI194" i="27"/>
  <c r="GI189" i="27"/>
  <c r="GH189" i="27"/>
  <c r="HE189" i="27"/>
  <c r="GJ189" i="27"/>
  <c r="CQ186" i="27"/>
  <c r="CP186" i="27"/>
  <c r="DM186" i="27"/>
  <c r="CR186" i="27"/>
  <c r="EN187" i="27"/>
  <c r="EL187" i="27"/>
  <c r="EM187" i="27"/>
  <c r="FI187" i="27"/>
  <c r="EH315" i="27"/>
  <c r="EG315" i="27"/>
  <c r="EF315" i="27"/>
  <c r="FH315" i="27"/>
  <c r="CK310" i="27"/>
  <c r="CJ310" i="27"/>
  <c r="DL310" i="27"/>
  <c r="CL310" i="27"/>
  <c r="GB299" i="27"/>
  <c r="GC299" i="27"/>
  <c r="GD299" i="27"/>
  <c r="HD299" i="27"/>
  <c r="EG316" i="27"/>
  <c r="EF316" i="27"/>
  <c r="FH316" i="27"/>
  <c r="EH316" i="27"/>
  <c r="CK312" i="27"/>
  <c r="CL312" i="27"/>
  <c r="CJ312" i="27"/>
  <c r="DL312" i="27"/>
  <c r="FH317" i="27"/>
  <c r="EG317" i="27"/>
  <c r="EH317" i="27"/>
  <c r="EF317" i="27"/>
  <c r="CJ314" i="27"/>
  <c r="DL314" i="27"/>
  <c r="CK314" i="27"/>
  <c r="CL314" i="27"/>
  <c r="GD303" i="27"/>
  <c r="HD303" i="27"/>
  <c r="GC303" i="27"/>
  <c r="GB303" i="27"/>
  <c r="CL340" i="27"/>
  <c r="DL340" i="27"/>
  <c r="CK340" i="27"/>
  <c r="CJ340" i="27"/>
  <c r="EG321" i="27"/>
  <c r="FH321" i="27"/>
  <c r="EF321" i="27"/>
  <c r="EH321" i="27"/>
  <c r="FH332" i="27"/>
  <c r="EH332" i="27"/>
  <c r="EG332" i="27"/>
  <c r="EF332" i="27"/>
  <c r="GC337" i="27"/>
  <c r="HD337" i="27"/>
  <c r="GB337" i="27"/>
  <c r="GD337" i="27"/>
  <c r="EH320" i="27"/>
  <c r="EG320" i="27"/>
  <c r="FH320" i="27"/>
  <c r="EF320" i="27"/>
  <c r="GC328" i="27"/>
  <c r="GB328" i="27"/>
  <c r="HD328" i="27"/>
  <c r="GD328" i="27"/>
  <c r="HD323" i="27"/>
  <c r="GC323" i="27"/>
  <c r="GB323" i="27"/>
  <c r="GD323" i="27"/>
  <c r="GB324" i="27"/>
  <c r="HD324" i="27"/>
  <c r="GD324" i="27"/>
  <c r="GC324" i="27"/>
  <c r="FD146" i="27"/>
  <c r="FL146" i="27"/>
  <c r="FE146" i="27"/>
  <c r="FF146" i="27"/>
  <c r="FD142" i="27"/>
  <c r="FE142" i="27"/>
  <c r="FF142" i="27"/>
  <c r="FL142" i="27"/>
  <c r="FL151" i="27"/>
  <c r="FD151" i="27"/>
  <c r="FF151" i="27"/>
  <c r="FE151" i="27"/>
  <c r="FE143" i="27"/>
  <c r="FF143" i="27"/>
  <c r="FL143" i="27"/>
  <c r="FD143" i="27"/>
  <c r="DP159" i="27"/>
  <c r="DH159" i="27"/>
  <c r="DI159" i="27"/>
  <c r="DJ159" i="27"/>
  <c r="FL156" i="27"/>
  <c r="FE156" i="27"/>
  <c r="FF156" i="27"/>
  <c r="FD156" i="27"/>
  <c r="FL161" i="27"/>
  <c r="FF161" i="27"/>
  <c r="FD161" i="27"/>
  <c r="FE161" i="27"/>
  <c r="FK151" i="27"/>
  <c r="EX151" i="27"/>
  <c r="EY151" i="27"/>
  <c r="EZ151" i="27"/>
  <c r="EY148" i="27"/>
  <c r="EZ148" i="27"/>
  <c r="FK148" i="27"/>
  <c r="EX148" i="27"/>
  <c r="EX149" i="27"/>
  <c r="EZ149" i="27"/>
  <c r="FK149" i="27"/>
  <c r="FM149" i="27" s="1"/>
  <c r="EY149" i="27"/>
  <c r="DD145" i="27"/>
  <c r="DB145" i="27"/>
  <c r="DO145" i="27"/>
  <c r="DC145" i="27"/>
  <c r="EZ160" i="27"/>
  <c r="EX160" i="27"/>
  <c r="EY160" i="27"/>
  <c r="FK160" i="27"/>
  <c r="EX161" i="27"/>
  <c r="EY161" i="27"/>
  <c r="EZ161" i="27"/>
  <c r="FK161" i="27"/>
  <c r="DC152" i="27"/>
  <c r="DB152" i="27"/>
  <c r="DO152" i="27"/>
  <c r="DD152" i="27"/>
  <c r="DB154" i="27"/>
  <c r="DC154" i="27"/>
  <c r="DD154" i="27"/>
  <c r="DO154" i="27"/>
  <c r="DQ154" i="27" s="1"/>
  <c r="DC163" i="27"/>
  <c r="DD163" i="27"/>
  <c r="DB163" i="27"/>
  <c r="DO163" i="27"/>
  <c r="DD162" i="27"/>
  <c r="DO162" i="27"/>
  <c r="DB162" i="27"/>
  <c r="DC162" i="27"/>
  <c r="DD166" i="27"/>
  <c r="DB166" i="27"/>
  <c r="DC166" i="27"/>
  <c r="DO166" i="27"/>
  <c r="DQ166" i="27" s="1"/>
  <c r="EY168" i="27"/>
  <c r="FK168" i="27"/>
  <c r="EX168" i="27"/>
  <c r="EZ168" i="27"/>
  <c r="FE164" i="27"/>
  <c r="FF164" i="27"/>
  <c r="FL164" i="27"/>
  <c r="FM164" i="27" s="1"/>
  <c r="FD164" i="27"/>
  <c r="GZ172" i="27"/>
  <c r="HB172" i="27"/>
  <c r="HA172" i="27"/>
  <c r="HH172" i="27"/>
  <c r="DI167" i="27"/>
  <c r="DJ167" i="27"/>
  <c r="DP167" i="27"/>
  <c r="DH167" i="27"/>
  <c r="DP162" i="27"/>
  <c r="DH162" i="27"/>
  <c r="DI162" i="27"/>
  <c r="DJ162" i="27"/>
  <c r="DM199" i="27"/>
  <c r="CQ199" i="27"/>
  <c r="CP199" i="27"/>
  <c r="CR199" i="27"/>
  <c r="CP204" i="27"/>
  <c r="CQ204" i="27"/>
  <c r="CR204" i="27"/>
  <c r="DM204" i="27"/>
  <c r="GI201" i="27"/>
  <c r="GJ201" i="27"/>
  <c r="HE201" i="27"/>
  <c r="GH201" i="27"/>
  <c r="EM209" i="27"/>
  <c r="EL209" i="27"/>
  <c r="FI209" i="27"/>
  <c r="EN209" i="27"/>
  <c r="EN206" i="27"/>
  <c r="EM206" i="27"/>
  <c r="FI206" i="27"/>
  <c r="EL206" i="27"/>
  <c r="P82" i="31"/>
  <c r="AL78" i="3"/>
  <c r="AK78" i="3"/>
  <c r="O82" i="31"/>
  <c r="AI82" i="31" s="1"/>
  <c r="FS131" i="27"/>
  <c r="FQ131" i="27"/>
  <c r="BW14" i="23"/>
  <c r="CF5" i="23" s="1"/>
  <c r="CF15" i="23"/>
  <c r="BF84" i="31"/>
  <c r="AT84" i="31"/>
  <c r="AZ84" i="31" s="1"/>
  <c r="Q79" i="31"/>
  <c r="AJ79" i="31"/>
  <c r="BH76" i="31"/>
  <c r="AV76" i="31"/>
  <c r="BB76" i="31" s="1"/>
  <c r="DQ138" i="27"/>
  <c r="GO175" i="27"/>
  <c r="GN175" i="27"/>
  <c r="HF175" i="27"/>
  <c r="GP175" i="27"/>
  <c r="GO184" i="27"/>
  <c r="GN184" i="27"/>
  <c r="GP184" i="27"/>
  <c r="HF184" i="27"/>
  <c r="GP178" i="27"/>
  <c r="GN178" i="27"/>
  <c r="GO178" i="27"/>
  <c r="HF178" i="27"/>
  <c r="CW179" i="27"/>
  <c r="CV179" i="27"/>
  <c r="DN179" i="27"/>
  <c r="CX179" i="27"/>
  <c r="GO181" i="27"/>
  <c r="HF181" i="27"/>
  <c r="GN181" i="27"/>
  <c r="GP181" i="27"/>
  <c r="DN196" i="27"/>
  <c r="CX196" i="27"/>
  <c r="CV196" i="27"/>
  <c r="CW196" i="27"/>
  <c r="GN194" i="27"/>
  <c r="GP194" i="27"/>
  <c r="HF194" i="27"/>
  <c r="GO194" i="27"/>
  <c r="ES190" i="27"/>
  <c r="ER190" i="27"/>
  <c r="FJ190" i="27"/>
  <c r="ET190" i="27"/>
  <c r="ET193" i="27"/>
  <c r="ES193" i="27"/>
  <c r="FJ193" i="27"/>
  <c r="ER193" i="27"/>
  <c r="HF189" i="27"/>
  <c r="GP189" i="27"/>
  <c r="GN189" i="27"/>
  <c r="GO189" i="27"/>
  <c r="CX204" i="27"/>
  <c r="CV204" i="27"/>
  <c r="DN204" i="27"/>
  <c r="CW204" i="27"/>
  <c r="CW201" i="27"/>
  <c r="CV201" i="27"/>
  <c r="DN201" i="27"/>
  <c r="CX201" i="27"/>
  <c r="CX209" i="27"/>
  <c r="CV209" i="27"/>
  <c r="DN209" i="27"/>
  <c r="CW209" i="27"/>
  <c r="ET202" i="27"/>
  <c r="ES202" i="27"/>
  <c r="FJ202" i="27"/>
  <c r="ER202" i="27"/>
  <c r="CV199" i="27"/>
  <c r="DN199" i="27"/>
  <c r="CX199" i="27"/>
  <c r="CW199" i="27"/>
  <c r="EL175" i="27"/>
  <c r="FI175" i="27"/>
  <c r="EM175" i="27"/>
  <c r="EN175" i="27"/>
  <c r="CR183" i="27"/>
  <c r="CQ183" i="27"/>
  <c r="CP183" i="27"/>
  <c r="DM183" i="27"/>
  <c r="GI182" i="27"/>
  <c r="GH182" i="27"/>
  <c r="HE182" i="27"/>
  <c r="GJ182" i="27"/>
  <c r="GI179" i="27"/>
  <c r="GH179" i="27"/>
  <c r="GJ179" i="27"/>
  <c r="HE179" i="27"/>
  <c r="CQ177" i="27"/>
  <c r="DM177" i="27"/>
  <c r="CR177" i="27"/>
  <c r="CP177" i="27"/>
  <c r="GI197" i="27"/>
  <c r="GH197" i="27"/>
  <c r="HE197" i="27"/>
  <c r="GJ197" i="27"/>
  <c r="DM194" i="27"/>
  <c r="CQ194" i="27"/>
  <c r="CR194" i="27"/>
  <c r="CP194" i="27"/>
  <c r="GH190" i="27"/>
  <c r="HE190" i="27"/>
  <c r="GJ190" i="27"/>
  <c r="GI190" i="27"/>
  <c r="HE186" i="27"/>
  <c r="GH186" i="27"/>
  <c r="GJ186" i="27"/>
  <c r="GI186" i="27"/>
  <c r="GI187" i="27"/>
  <c r="GJ187" i="27"/>
  <c r="HE187" i="27"/>
  <c r="GH187" i="27"/>
  <c r="GC301" i="27"/>
  <c r="GB301" i="27"/>
  <c r="GD301" i="27"/>
  <c r="HD301" i="27"/>
  <c r="FH310" i="27"/>
  <c r="EH310" i="27"/>
  <c r="EF310" i="27"/>
  <c r="EG310" i="27"/>
  <c r="CL299" i="27"/>
  <c r="CJ299" i="27"/>
  <c r="CK299" i="27"/>
  <c r="DL299" i="27"/>
  <c r="GB308" i="27"/>
  <c r="HD308" i="27"/>
  <c r="GD308" i="27"/>
  <c r="GC308" i="27"/>
  <c r="GC312" i="27"/>
  <c r="GD312" i="27"/>
  <c r="GB312" i="27"/>
  <c r="HD312" i="27"/>
  <c r="CL317" i="27"/>
  <c r="CJ317" i="27"/>
  <c r="CK317" i="27"/>
  <c r="DL317" i="27"/>
  <c r="DL309" i="27"/>
  <c r="CJ309" i="27"/>
  <c r="CL309" i="27"/>
  <c r="CK309" i="27"/>
  <c r="EG303" i="27"/>
  <c r="EF303" i="27"/>
  <c r="FH303" i="27"/>
  <c r="EH303" i="27"/>
  <c r="EH340" i="27"/>
  <c r="EG340" i="27"/>
  <c r="FH340" i="27"/>
  <c r="EF340" i="27"/>
  <c r="FH333" i="27"/>
  <c r="EF333" i="27"/>
  <c r="EH333" i="27"/>
  <c r="EG333" i="27"/>
  <c r="HD332" i="27"/>
  <c r="GB332" i="27"/>
  <c r="GD332" i="27"/>
  <c r="GC332" i="27"/>
  <c r="CJ337" i="27"/>
  <c r="CK337" i="27"/>
  <c r="CL337" i="27"/>
  <c r="DL337" i="27"/>
  <c r="CJ339" i="27"/>
  <c r="CL339" i="27"/>
  <c r="CK339" i="27"/>
  <c r="DL339" i="27"/>
  <c r="EG328" i="27"/>
  <c r="FH328" i="27"/>
  <c r="EF328" i="27"/>
  <c r="EH328" i="27"/>
  <c r="CK323" i="27"/>
  <c r="CJ323" i="27"/>
  <c r="CL323" i="27"/>
  <c r="DL323" i="27"/>
  <c r="EF325" i="27"/>
  <c r="EH325" i="27"/>
  <c r="EG325" i="27"/>
  <c r="FH325" i="27"/>
  <c r="HA147" i="27"/>
  <c r="HH147" i="27"/>
  <c r="HB147" i="27"/>
  <c r="GZ147" i="27"/>
  <c r="HA142" i="27"/>
  <c r="HH142" i="27"/>
  <c r="GZ142" i="27"/>
  <c r="HB142" i="27"/>
  <c r="HB151" i="27"/>
  <c r="HH151" i="27"/>
  <c r="HA151" i="27"/>
  <c r="GZ151" i="27"/>
  <c r="DH157" i="27"/>
  <c r="DP157" i="27"/>
  <c r="DI157" i="27"/>
  <c r="DJ157" i="27"/>
  <c r="GZ159" i="27"/>
  <c r="HH159" i="27"/>
  <c r="HI159" i="27" s="1"/>
  <c r="HB159" i="27"/>
  <c r="HA159" i="27"/>
  <c r="DP156" i="27"/>
  <c r="DJ156" i="27"/>
  <c r="DI156" i="27"/>
  <c r="DH156" i="27"/>
  <c r="DH152" i="27"/>
  <c r="DP152" i="27"/>
  <c r="DJ152" i="27"/>
  <c r="DI152" i="27"/>
  <c r="GV151" i="27"/>
  <c r="HG151" i="27"/>
  <c r="HI151" i="27" s="1"/>
  <c r="GT151" i="27"/>
  <c r="GU151" i="27"/>
  <c r="HG148" i="27"/>
  <c r="GV148" i="27"/>
  <c r="GU148" i="27"/>
  <c r="GT148" i="27"/>
  <c r="EY150" i="27"/>
  <c r="FK150" i="27"/>
  <c r="FM150" i="27" s="1"/>
  <c r="EX150" i="27"/>
  <c r="EZ150" i="27"/>
  <c r="EZ145" i="27"/>
  <c r="EX145" i="27"/>
  <c r="EY145" i="27"/>
  <c r="FK145" i="27"/>
  <c r="GV160" i="27"/>
  <c r="GU160" i="27"/>
  <c r="GT160" i="27"/>
  <c r="HG160" i="27"/>
  <c r="HI160" i="27" s="1"/>
  <c r="EY157" i="27"/>
  <c r="EX157" i="27"/>
  <c r="FK157" i="27"/>
  <c r="FM157" i="27" s="1"/>
  <c r="EZ157" i="27"/>
  <c r="EY152" i="27"/>
  <c r="EX152" i="27"/>
  <c r="FK152" i="27"/>
  <c r="FM152" i="27" s="1"/>
  <c r="EZ152" i="27"/>
  <c r="EZ154" i="27"/>
  <c r="EY154" i="27"/>
  <c r="FK154" i="27"/>
  <c r="EX154" i="27"/>
  <c r="GU172" i="27"/>
  <c r="HG172" i="27"/>
  <c r="GV172" i="27"/>
  <c r="GT172" i="27"/>
  <c r="FK162" i="27"/>
  <c r="EY162" i="27"/>
  <c r="EZ162" i="27"/>
  <c r="EX162" i="27"/>
  <c r="HG166" i="27"/>
  <c r="HI166" i="27" s="1"/>
  <c r="GT166" i="27"/>
  <c r="GV166" i="27"/>
  <c r="GU166" i="27"/>
  <c r="DO169" i="27"/>
  <c r="DQ169" i="27" s="1"/>
  <c r="DD169" i="27"/>
  <c r="DC169" i="27"/>
  <c r="DB169" i="27"/>
  <c r="DJ164" i="27"/>
  <c r="DP164" i="27"/>
  <c r="DH164" i="27"/>
  <c r="DI164" i="27"/>
  <c r="DI172" i="27"/>
  <c r="DP172" i="27"/>
  <c r="DJ172" i="27"/>
  <c r="DH172" i="27"/>
  <c r="FE163" i="27"/>
  <c r="FF163" i="27"/>
  <c r="FD163" i="27"/>
  <c r="FL163" i="27"/>
  <c r="HB162" i="27"/>
  <c r="HA162" i="27"/>
  <c r="GZ162" i="27"/>
  <c r="HH162" i="27"/>
  <c r="EM199" i="27"/>
  <c r="FI199" i="27"/>
  <c r="EL199" i="27"/>
  <c r="EN199" i="27"/>
  <c r="EN211" i="27"/>
  <c r="FI211" i="27"/>
  <c r="EM211" i="27"/>
  <c r="EL211" i="27"/>
  <c r="EN201" i="27"/>
  <c r="FI201" i="27"/>
  <c r="EM201" i="27"/>
  <c r="EL201" i="27"/>
  <c r="CR209" i="27"/>
  <c r="CQ209" i="27"/>
  <c r="CP209" i="27"/>
  <c r="DM209" i="27"/>
  <c r="GI203" i="27"/>
  <c r="GJ203" i="27"/>
  <c r="HE203" i="27"/>
  <c r="GH203" i="27"/>
  <c r="P84" i="31"/>
  <c r="AL80" i="3"/>
  <c r="O84" i="31"/>
  <c r="AI84" i="31" s="1"/>
  <c r="AK80" i="3"/>
  <c r="I26" i="5"/>
  <c r="S26" i="5" s="1"/>
  <c r="K25" i="5"/>
  <c r="U25" i="5" s="1"/>
  <c r="J25" i="5"/>
  <c r="T25" i="5" s="1"/>
  <c r="G29" i="5"/>
  <c r="Q29" i="5" s="1"/>
  <c r="S297" i="27"/>
  <c r="X95" i="5"/>
  <c r="S244" i="27"/>
  <c r="AN214" i="27"/>
  <c r="AG234" i="27"/>
  <c r="AR91" i="3"/>
  <c r="AN234" i="27"/>
  <c r="AQ157" i="3"/>
  <c r="S274" i="27"/>
  <c r="S266" i="27"/>
  <c r="AR95" i="3"/>
  <c r="AN226" i="27"/>
  <c r="AR106" i="3"/>
  <c r="AP209" i="3"/>
  <c r="S247" i="27"/>
  <c r="S296" i="27"/>
  <c r="AR93" i="3"/>
  <c r="AA85" i="5"/>
  <c r="AO341" i="3"/>
  <c r="AN235" i="27"/>
  <c r="AG215" i="27"/>
  <c r="AO344" i="3"/>
  <c r="AG233" i="27"/>
  <c r="AS57" i="3"/>
  <c r="Z294" i="27"/>
  <c r="Z265" i="27"/>
  <c r="Z88" i="5"/>
  <c r="Z276" i="27"/>
  <c r="AQ163" i="3"/>
  <c r="S294" i="27"/>
  <c r="AG222" i="27"/>
  <c r="AO359" i="3"/>
  <c r="Z282" i="27"/>
  <c r="AP201" i="3"/>
  <c r="AG220" i="27"/>
  <c r="AQ183" i="3"/>
  <c r="AQ158" i="3"/>
  <c r="AG223" i="27"/>
  <c r="AS61" i="3"/>
  <c r="AP203" i="3"/>
  <c r="AG218" i="27"/>
  <c r="AS62" i="3"/>
  <c r="AO357" i="3"/>
  <c r="AQ150" i="3"/>
  <c r="AS54" i="3"/>
  <c r="Z279" i="27"/>
  <c r="S245" i="27"/>
  <c r="Z268" i="27"/>
  <c r="X96" i="5"/>
  <c r="AS60" i="3"/>
  <c r="S246" i="27"/>
  <c r="S261" i="27"/>
  <c r="AR103" i="3"/>
  <c r="AQ164" i="3"/>
  <c r="AR92" i="3"/>
  <c r="S253" i="27"/>
  <c r="AS55" i="3"/>
  <c r="AN240" i="27"/>
  <c r="AQ178" i="3"/>
  <c r="AQ169" i="3"/>
  <c r="AP195" i="3"/>
  <c r="AP202" i="3"/>
  <c r="Z261" i="27"/>
  <c r="Z262" i="27"/>
  <c r="AO351" i="3"/>
  <c r="Z297" i="27"/>
  <c r="Z266" i="27"/>
  <c r="AP194" i="3"/>
  <c r="S292" i="27"/>
  <c r="S279" i="27"/>
  <c r="AP196" i="3"/>
  <c r="S286" i="27"/>
  <c r="AP199" i="3"/>
  <c r="AO353" i="3"/>
  <c r="AP189" i="3"/>
  <c r="AN230" i="27"/>
  <c r="AP208" i="3"/>
  <c r="S285" i="27"/>
  <c r="AN223" i="27"/>
  <c r="AB84" i="5"/>
  <c r="S264" i="27"/>
  <c r="AN220" i="27"/>
  <c r="AG214" i="27"/>
  <c r="AG236" i="27"/>
  <c r="AQ161" i="3"/>
  <c r="AQ162" i="3"/>
  <c r="S289" i="27"/>
  <c r="AR109" i="3"/>
  <c r="AR90" i="3"/>
  <c r="S256" i="27"/>
  <c r="AG216" i="27"/>
  <c r="AS53" i="3"/>
  <c r="AQ166" i="3"/>
  <c r="AQ175" i="3"/>
  <c r="AR105" i="3"/>
  <c r="Z296" i="27"/>
  <c r="S268" i="27"/>
  <c r="AQ174" i="3"/>
  <c r="AN227" i="27"/>
  <c r="AN215" i="27"/>
  <c r="Z293" i="27"/>
  <c r="AG226" i="27"/>
  <c r="Z260" i="27"/>
  <c r="S249" i="27"/>
  <c r="AP185" i="3"/>
  <c r="S281" i="27"/>
  <c r="AG217" i="27"/>
  <c r="AN239" i="27"/>
  <c r="AO349" i="3"/>
  <c r="AQ165" i="3"/>
  <c r="AS58" i="3"/>
  <c r="Z273" i="27"/>
  <c r="AG227" i="27"/>
  <c r="S252" i="27"/>
  <c r="Z275" i="27"/>
  <c r="AO348" i="3"/>
  <c r="AQ159" i="3"/>
  <c r="Z278" i="27"/>
  <c r="AP191" i="3"/>
  <c r="AG213" i="27"/>
  <c r="AR94" i="3"/>
  <c r="S291" i="27"/>
  <c r="Z270" i="27"/>
  <c r="AQ181" i="3"/>
  <c r="AP193" i="3"/>
  <c r="AG241" i="27"/>
  <c r="AO350" i="3"/>
  <c r="AP198" i="3"/>
  <c r="AQ176" i="3"/>
  <c r="AG239" i="27"/>
  <c r="Z288" i="27"/>
  <c r="AG230" i="27"/>
  <c r="Z292" i="27"/>
  <c r="AN236" i="27"/>
  <c r="Z277" i="27"/>
  <c r="AN221" i="27"/>
  <c r="AR108" i="3"/>
  <c r="AO352" i="3"/>
  <c r="Z285" i="27"/>
  <c r="AN241" i="27"/>
  <c r="S282" i="27"/>
  <c r="AN212" i="27"/>
  <c r="AP197" i="3"/>
  <c r="S298" i="27"/>
  <c r="AS59" i="3"/>
  <c r="AN225" i="27"/>
  <c r="AQ160" i="3"/>
  <c r="S275" i="27"/>
  <c r="AQ156" i="3"/>
  <c r="AO361" i="3"/>
  <c r="AN216" i="27"/>
  <c r="AN237" i="27"/>
  <c r="AG238" i="27"/>
  <c r="AP190" i="3"/>
  <c r="AN233" i="27"/>
  <c r="AQ172" i="3"/>
  <c r="S243" i="27"/>
  <c r="AG231" i="27"/>
  <c r="AO363" i="3"/>
  <c r="AP200" i="3"/>
  <c r="S250" i="27"/>
  <c r="AQ152" i="3"/>
  <c r="S248" i="27"/>
  <c r="Z284" i="27"/>
  <c r="AO345" i="3"/>
  <c r="AO340" i="3"/>
  <c r="AN217" i="27"/>
  <c r="AR100" i="3"/>
  <c r="AN213" i="27"/>
  <c r="AQ153" i="3"/>
  <c r="AN218" i="27"/>
  <c r="AO347" i="3"/>
  <c r="S284" i="27"/>
  <c r="AA84" i="5"/>
  <c r="AP184" i="3"/>
  <c r="AO358" i="3"/>
  <c r="AN222" i="27"/>
  <c r="AG240" i="27"/>
  <c r="AR104" i="3"/>
  <c r="S295" i="27"/>
  <c r="AP187" i="3"/>
  <c r="Z272" i="27"/>
  <c r="Z274" i="27"/>
  <c r="AG232" i="27"/>
  <c r="AO355" i="3"/>
  <c r="AR98" i="3"/>
  <c r="S287" i="27"/>
  <c r="Z263" i="27"/>
  <c r="AR96" i="3"/>
  <c r="AR102" i="3"/>
  <c r="S265" i="27"/>
  <c r="S280" i="27"/>
  <c r="S290" i="27"/>
  <c r="S283" i="27"/>
  <c r="Z267" i="27"/>
  <c r="AN232" i="27"/>
  <c r="S271" i="27"/>
  <c r="S267" i="27"/>
  <c r="AG237" i="27"/>
  <c r="S263" i="27"/>
  <c r="AG219" i="27"/>
  <c r="Z289" i="27"/>
  <c r="S278" i="27"/>
  <c r="S276" i="27"/>
  <c r="AN231" i="27"/>
  <c r="AG224" i="27"/>
  <c r="S270" i="27"/>
  <c r="AQ171" i="3"/>
  <c r="S288" i="27"/>
  <c r="AQ170" i="3"/>
  <c r="AG225" i="27"/>
  <c r="Z281" i="27"/>
  <c r="AQ180" i="3"/>
  <c r="AR107" i="3"/>
  <c r="AQ168" i="3"/>
  <c r="AQ173" i="3"/>
  <c r="S272" i="27"/>
  <c r="AQ155" i="3"/>
  <c r="AQ151" i="3"/>
  <c r="Z290" i="27"/>
  <c r="Z287" i="27"/>
  <c r="AR110" i="3"/>
  <c r="AQ182" i="3"/>
  <c r="AS56" i="3"/>
  <c r="AN224" i="27"/>
  <c r="S269" i="27"/>
  <c r="AO360" i="3"/>
  <c r="AN219" i="27"/>
  <c r="AQ179" i="3"/>
  <c r="S251" i="27"/>
  <c r="Z271" i="27"/>
  <c r="Z269" i="27"/>
  <c r="S293" i="27"/>
  <c r="AB85" i="5"/>
  <c r="Z295" i="27"/>
  <c r="Z280" i="27"/>
  <c r="AP207" i="3"/>
  <c r="S277" i="27"/>
  <c r="AR101" i="3"/>
  <c r="AG235" i="27"/>
  <c r="AP183" i="3"/>
  <c r="AP205" i="3"/>
  <c r="AP206" i="3"/>
  <c r="AN238" i="27"/>
  <c r="AS52" i="3"/>
  <c r="AP204" i="3"/>
  <c r="Z283" i="27"/>
  <c r="Z87" i="5"/>
  <c r="X97" i="5"/>
  <c r="AO346" i="3"/>
  <c r="AO342" i="3"/>
  <c r="AG212" i="27"/>
  <c r="S258" i="27"/>
  <c r="S255" i="27"/>
  <c r="AP192" i="3"/>
  <c r="S257" i="27"/>
  <c r="S260" i="27"/>
  <c r="AG228" i="27"/>
  <c r="AG229" i="27"/>
  <c r="AG221" i="27"/>
  <c r="Z264" i="27"/>
  <c r="AN229" i="27"/>
  <c r="AR99" i="3"/>
  <c r="Z291" i="27"/>
  <c r="S259" i="27"/>
  <c r="Y87" i="5"/>
  <c r="Z298" i="27"/>
  <c r="AQ167" i="3"/>
  <c r="AO356" i="3"/>
  <c r="Z286" i="27"/>
  <c r="AQ154" i="3"/>
  <c r="AN242" i="27"/>
  <c r="AO343" i="3"/>
  <c r="AP186" i="3"/>
  <c r="AQ177" i="3"/>
  <c r="S254" i="27"/>
  <c r="AP188" i="3"/>
  <c r="AG242" i="27"/>
  <c r="S273" i="27"/>
  <c r="AR97" i="3"/>
  <c r="S262" i="27"/>
  <c r="AN228" i="27"/>
  <c r="AO354" i="3"/>
  <c r="AO362" i="3"/>
  <c r="FM159" i="27" l="1"/>
  <c r="HI169" i="27"/>
  <c r="FM165" i="27"/>
  <c r="FM153" i="27"/>
  <c r="HI172" i="27"/>
  <c r="FM172" i="27"/>
  <c r="DQ172" i="27"/>
  <c r="FM162" i="27"/>
  <c r="FM163" i="27"/>
  <c r="FM151" i="27"/>
  <c r="FM156" i="27"/>
  <c r="FM144" i="27"/>
  <c r="HI144" i="27"/>
  <c r="HI145" i="27"/>
  <c r="HO145" i="27" s="1"/>
  <c r="FM161" i="27"/>
  <c r="HI171" i="27"/>
  <c r="HI157" i="27"/>
  <c r="FM154" i="27"/>
  <c r="FM160" i="27"/>
  <c r="HI152" i="27"/>
  <c r="FM147" i="27"/>
  <c r="DU136" i="27"/>
  <c r="HM131" i="27"/>
  <c r="DQ145" i="27"/>
  <c r="DW125" i="27"/>
  <c r="FQ118" i="27"/>
  <c r="HI163" i="27"/>
  <c r="HO163" i="27" s="1"/>
  <c r="FM170" i="27"/>
  <c r="FM145" i="27"/>
  <c r="DQ160" i="27"/>
  <c r="DQ152" i="27"/>
  <c r="HI167" i="27"/>
  <c r="DQ155" i="27"/>
  <c r="DQ171" i="27"/>
  <c r="FM167" i="27"/>
  <c r="FS167" i="27" s="1"/>
  <c r="HI154" i="27"/>
  <c r="DQ164" i="27"/>
  <c r="HI148" i="27"/>
  <c r="DQ167" i="27"/>
  <c r="HI153" i="27"/>
  <c r="DQ157" i="27"/>
  <c r="DQ168" i="27"/>
  <c r="DU168" i="27" s="1"/>
  <c r="FM155" i="27"/>
  <c r="FQ155" i="27" s="1"/>
  <c r="DQ165" i="27"/>
  <c r="HI162" i="27"/>
  <c r="HM162" i="27" s="1"/>
  <c r="DQ159" i="27"/>
  <c r="DW159" i="27" s="1"/>
  <c r="DQ153" i="27"/>
  <c r="FM169" i="27"/>
  <c r="DQ156" i="27"/>
  <c r="FM168" i="27"/>
  <c r="FS168" i="27" s="1"/>
  <c r="DQ162" i="27"/>
  <c r="DW162" i="27" s="1"/>
  <c r="AD87" i="3"/>
  <c r="AD86" i="3"/>
  <c r="CY242" i="27"/>
  <c r="EU242" i="27"/>
  <c r="GQ242" i="27"/>
  <c r="EU227" i="27"/>
  <c r="CY227" i="27"/>
  <c r="GQ227" i="27"/>
  <c r="GQ239" i="27"/>
  <c r="EU239" i="27"/>
  <c r="CY239" i="27"/>
  <c r="EU234" i="27"/>
  <c r="GQ234" i="27"/>
  <c r="CY234" i="27"/>
  <c r="GQ230" i="27"/>
  <c r="EU230" i="27"/>
  <c r="CY230" i="27"/>
  <c r="GQ241" i="27"/>
  <c r="CY241" i="27"/>
  <c r="EU241" i="27"/>
  <c r="CY236" i="27"/>
  <c r="EU236" i="27"/>
  <c r="GQ236" i="27"/>
  <c r="EU231" i="27"/>
  <c r="GQ231" i="27"/>
  <c r="CY231" i="27"/>
  <c r="CY232" i="27"/>
  <c r="EU232" i="27"/>
  <c r="GQ232" i="27"/>
  <c r="EU238" i="27"/>
  <c r="GQ238" i="27"/>
  <c r="CY238" i="27"/>
  <c r="EU235" i="27"/>
  <c r="GQ235" i="27"/>
  <c r="CY235" i="27"/>
  <c r="CY233" i="27"/>
  <c r="EU233" i="27"/>
  <c r="GQ233" i="27"/>
  <c r="CY229" i="27"/>
  <c r="EU229" i="27"/>
  <c r="GQ229" i="27"/>
  <c r="EU228" i="27"/>
  <c r="GQ228" i="27"/>
  <c r="CY228" i="27"/>
  <c r="GQ237" i="27"/>
  <c r="CY237" i="27"/>
  <c r="EU237" i="27"/>
  <c r="CY240" i="27"/>
  <c r="GQ240" i="27"/>
  <c r="EU240" i="27"/>
  <c r="GQ219" i="27"/>
  <c r="EU219" i="27"/>
  <c r="CY219" i="27"/>
  <c r="CY216" i="27"/>
  <c r="EU216" i="27"/>
  <c r="GQ216" i="27"/>
  <c r="CY212" i="27"/>
  <c r="EU212" i="27"/>
  <c r="GQ212" i="27"/>
  <c r="GQ215" i="27"/>
  <c r="CY215" i="27"/>
  <c r="EU215" i="27"/>
  <c r="CY217" i="27"/>
  <c r="GQ217" i="27"/>
  <c r="EU217" i="27"/>
  <c r="CY222" i="27"/>
  <c r="EU222" i="27"/>
  <c r="GQ222" i="27"/>
  <c r="CY218" i="27"/>
  <c r="GQ218" i="27"/>
  <c r="EU218" i="27"/>
  <c r="CY220" i="27"/>
  <c r="GQ220" i="27"/>
  <c r="EU220" i="27"/>
  <c r="EU213" i="27"/>
  <c r="CY213" i="27"/>
  <c r="GQ213" i="27"/>
  <c r="GQ221" i="27"/>
  <c r="EU221" i="27"/>
  <c r="CY221" i="27"/>
  <c r="EU226" i="27"/>
  <c r="GQ226" i="27"/>
  <c r="CY226" i="27"/>
  <c r="EU225" i="27"/>
  <c r="CY225" i="27"/>
  <c r="GQ225" i="27"/>
  <c r="GQ224" i="27"/>
  <c r="CY224" i="27"/>
  <c r="EU224" i="27"/>
  <c r="CY223" i="27"/>
  <c r="GQ223" i="27"/>
  <c r="EU223" i="27"/>
  <c r="CY214" i="27"/>
  <c r="GQ214" i="27"/>
  <c r="EU214" i="27"/>
  <c r="AT60" i="3"/>
  <c r="AT59" i="3"/>
  <c r="AT62" i="3"/>
  <c r="AT61" i="3"/>
  <c r="GK295" i="27"/>
  <c r="CS295" i="27"/>
  <c r="EO295" i="27"/>
  <c r="CS297" i="27"/>
  <c r="GK297" i="27"/>
  <c r="EO297" i="27"/>
  <c r="CS280" i="27"/>
  <c r="GK280" i="27"/>
  <c r="EO280" i="27"/>
  <c r="CS283" i="27"/>
  <c r="EO283" i="27"/>
  <c r="GK283" i="27"/>
  <c r="CS294" i="27"/>
  <c r="EO294" i="27"/>
  <c r="GK294" i="27"/>
  <c r="EO289" i="27"/>
  <c r="CS289" i="27"/>
  <c r="GK289" i="27"/>
  <c r="EO298" i="27"/>
  <c r="GK298" i="27"/>
  <c r="CS298" i="27"/>
  <c r="GK282" i="27"/>
  <c r="CS282" i="27"/>
  <c r="EO282" i="27"/>
  <c r="CS291" i="27"/>
  <c r="EO291" i="27"/>
  <c r="GK291" i="27"/>
  <c r="CS286" i="27"/>
  <c r="GK286" i="27"/>
  <c r="EO286" i="27"/>
  <c r="GK281" i="27"/>
  <c r="EO281" i="27"/>
  <c r="CS281" i="27"/>
  <c r="GK288" i="27"/>
  <c r="CS288" i="27"/>
  <c r="EO288" i="27"/>
  <c r="GK279" i="27"/>
  <c r="EO279" i="27"/>
  <c r="CS279" i="27"/>
  <c r="EO290" i="27"/>
  <c r="GK290" i="27"/>
  <c r="CS290" i="27"/>
  <c r="CS285" i="27"/>
  <c r="EO285" i="27"/>
  <c r="GK285" i="27"/>
  <c r="EO292" i="27"/>
  <c r="CS292" i="27"/>
  <c r="GK292" i="27"/>
  <c r="CS293" i="27"/>
  <c r="GK293" i="27"/>
  <c r="EO293" i="27"/>
  <c r="GK284" i="27"/>
  <c r="CS284" i="27"/>
  <c r="EO284" i="27"/>
  <c r="CS296" i="27"/>
  <c r="EO296" i="27"/>
  <c r="GK296" i="27"/>
  <c r="CS287" i="27"/>
  <c r="GK287" i="27"/>
  <c r="EO287" i="27"/>
  <c r="CS262" i="27"/>
  <c r="EO262" i="27"/>
  <c r="GK262" i="27"/>
  <c r="EO276" i="27"/>
  <c r="CS276" i="27"/>
  <c r="GK276" i="27"/>
  <c r="CS266" i="27"/>
  <c r="GK266" i="27"/>
  <c r="EO266" i="27"/>
  <c r="CS267" i="27"/>
  <c r="EO267" i="27"/>
  <c r="GK267" i="27"/>
  <c r="EO274" i="27"/>
  <c r="CS274" i="27"/>
  <c r="GK274" i="27"/>
  <c r="EO269" i="27"/>
  <c r="GK269" i="27"/>
  <c r="CS269" i="27"/>
  <c r="GK268" i="27"/>
  <c r="EO268" i="27"/>
  <c r="CS268" i="27"/>
  <c r="EO272" i="27"/>
  <c r="CS272" i="27"/>
  <c r="GK272" i="27"/>
  <c r="GK271" i="27"/>
  <c r="CS271" i="27"/>
  <c r="EO271" i="27"/>
  <c r="EO265" i="27"/>
  <c r="GK265" i="27"/>
  <c r="CS265" i="27"/>
  <c r="CS263" i="27"/>
  <c r="GK263" i="27"/>
  <c r="EO263" i="27"/>
  <c r="GK270" i="27"/>
  <c r="CS270" i="27"/>
  <c r="EO270" i="27"/>
  <c r="CS277" i="27"/>
  <c r="GK277" i="27"/>
  <c r="EO277" i="27"/>
  <c r="CS278" i="27"/>
  <c r="GK278" i="27"/>
  <c r="EO278" i="27"/>
  <c r="EO273" i="27"/>
  <c r="CS273" i="27"/>
  <c r="GK273" i="27"/>
  <c r="EO260" i="27"/>
  <c r="GK260" i="27"/>
  <c r="CS260" i="27"/>
  <c r="GK261" i="27"/>
  <c r="CS261" i="27"/>
  <c r="EO261" i="27"/>
  <c r="CS264" i="27"/>
  <c r="GK264" i="27"/>
  <c r="EO264" i="27"/>
  <c r="EO275" i="27"/>
  <c r="GK275" i="27"/>
  <c r="CS275" i="27"/>
  <c r="AE83" i="3"/>
  <c r="AE84" i="3"/>
  <c r="AT57" i="3"/>
  <c r="AT56" i="3"/>
  <c r="AT55" i="3"/>
  <c r="AT58" i="3"/>
  <c r="AT54" i="3"/>
  <c r="AT52" i="3"/>
  <c r="AT53" i="3"/>
  <c r="CM288" i="27"/>
  <c r="GE288" i="27"/>
  <c r="EI288" i="27"/>
  <c r="EI295" i="27"/>
  <c r="CM295" i="27"/>
  <c r="GE295" i="27"/>
  <c r="CM298" i="27"/>
  <c r="EI298" i="27"/>
  <c r="GE298" i="27"/>
  <c r="CM285" i="27"/>
  <c r="GE285" i="27"/>
  <c r="EI285" i="27"/>
  <c r="GE296" i="27"/>
  <c r="EI296" i="27"/>
  <c r="CM296" i="27"/>
  <c r="CM290" i="27"/>
  <c r="GE290" i="27"/>
  <c r="EI290" i="27"/>
  <c r="GE293" i="27"/>
  <c r="EI293" i="27"/>
  <c r="CM293" i="27"/>
  <c r="EI291" i="27"/>
  <c r="CM291" i="27"/>
  <c r="GE291" i="27"/>
  <c r="EI282" i="27"/>
  <c r="CM282" i="27"/>
  <c r="GE282" i="27"/>
  <c r="CM279" i="27"/>
  <c r="EI279" i="27"/>
  <c r="GE279" i="27"/>
  <c r="GE297" i="27"/>
  <c r="EI297" i="27"/>
  <c r="CM297" i="27"/>
  <c r="GE284" i="27"/>
  <c r="EI284" i="27"/>
  <c r="CM284" i="27"/>
  <c r="GE280" i="27"/>
  <c r="EI280" i="27"/>
  <c r="CM280" i="27"/>
  <c r="EI294" i="27"/>
  <c r="GE294" i="27"/>
  <c r="CM294" i="27"/>
  <c r="GE286" i="27"/>
  <c r="CM286" i="27"/>
  <c r="EI286" i="27"/>
  <c r="GE281" i="27"/>
  <c r="CM281" i="27"/>
  <c r="EI281" i="27"/>
  <c r="EI289" i="27"/>
  <c r="CM289" i="27"/>
  <c r="GE289" i="27"/>
  <c r="GE283" i="27"/>
  <c r="CM283" i="27"/>
  <c r="EI283" i="27"/>
  <c r="GE292" i="27"/>
  <c r="CM292" i="27"/>
  <c r="EI292" i="27"/>
  <c r="CM287" i="27"/>
  <c r="GE287" i="27"/>
  <c r="EI287" i="27"/>
  <c r="AB96" i="3"/>
  <c r="AB94" i="3"/>
  <c r="AB95" i="3"/>
  <c r="EI277" i="27"/>
  <c r="GE277" i="27"/>
  <c r="CM277" i="27"/>
  <c r="EI264" i="27"/>
  <c r="CM264" i="27"/>
  <c r="GE264" i="27"/>
  <c r="GE271" i="27"/>
  <c r="CM271" i="27"/>
  <c r="EI271" i="27"/>
  <c r="GE275" i="27"/>
  <c r="EI275" i="27"/>
  <c r="CM275" i="27"/>
  <c r="GE274" i="27"/>
  <c r="EI274" i="27"/>
  <c r="CM274" i="27"/>
  <c r="CM260" i="27"/>
  <c r="EI260" i="27"/>
  <c r="GE260" i="27"/>
  <c r="EI265" i="27"/>
  <c r="CM265" i="27"/>
  <c r="GE265" i="27"/>
  <c r="EI273" i="27"/>
  <c r="GE273" i="27"/>
  <c r="CM273" i="27"/>
  <c r="GE267" i="27"/>
  <c r="CM267" i="27"/>
  <c r="EI267" i="27"/>
  <c r="EI263" i="27"/>
  <c r="GE263" i="27"/>
  <c r="CM263" i="27"/>
  <c r="EI272" i="27"/>
  <c r="GE272" i="27"/>
  <c r="CM272" i="27"/>
  <c r="GE270" i="27"/>
  <c r="CM270" i="27"/>
  <c r="EI270" i="27"/>
  <c r="GE276" i="27"/>
  <c r="EI276" i="27"/>
  <c r="CM276" i="27"/>
  <c r="CM266" i="27"/>
  <c r="GE266" i="27"/>
  <c r="EI266" i="27"/>
  <c r="CM268" i="27"/>
  <c r="EI268" i="27"/>
  <c r="GE268" i="27"/>
  <c r="GE278" i="27"/>
  <c r="EI278" i="27"/>
  <c r="CM278" i="27"/>
  <c r="CM261" i="27"/>
  <c r="EI261" i="27"/>
  <c r="GE261" i="27"/>
  <c r="EI262" i="27"/>
  <c r="GE262" i="27"/>
  <c r="CM262" i="27"/>
  <c r="EI269" i="27"/>
  <c r="GE269" i="27"/>
  <c r="CM269" i="27"/>
  <c r="GE247" i="27"/>
  <c r="CM247" i="27"/>
  <c r="EI247" i="27"/>
  <c r="GE252" i="27"/>
  <c r="EI252" i="27"/>
  <c r="CM252" i="27"/>
  <c r="CM254" i="27"/>
  <c r="GE254" i="27"/>
  <c r="EI254" i="27"/>
  <c r="CM250" i="27"/>
  <c r="EI250" i="27"/>
  <c r="GE250" i="27"/>
  <c r="CM257" i="27"/>
  <c r="GE257" i="27"/>
  <c r="EI257" i="27"/>
  <c r="CM258" i="27"/>
  <c r="EI258" i="27"/>
  <c r="GE258" i="27"/>
  <c r="CM246" i="27"/>
  <c r="EI246" i="27"/>
  <c r="GE246" i="27"/>
  <c r="CM256" i="27"/>
  <c r="GE256" i="27"/>
  <c r="EI256" i="27"/>
  <c r="GE245" i="27"/>
  <c r="CM245" i="27"/>
  <c r="EI245" i="27"/>
  <c r="GE244" i="27"/>
  <c r="EI244" i="27"/>
  <c r="CM244" i="27"/>
  <c r="EI255" i="27"/>
  <c r="GE255" i="27"/>
  <c r="CM255" i="27"/>
  <c r="GE243" i="27"/>
  <c r="EI243" i="27"/>
  <c r="CM243" i="27"/>
  <c r="EI249" i="27"/>
  <c r="CM249" i="27"/>
  <c r="GE249" i="27"/>
  <c r="GE251" i="27"/>
  <c r="CM251" i="27"/>
  <c r="EI251" i="27"/>
  <c r="CM259" i="27"/>
  <c r="GE259" i="27"/>
  <c r="EI259" i="27"/>
  <c r="GE253" i="27"/>
  <c r="EI253" i="27"/>
  <c r="CM253" i="27"/>
  <c r="CM248" i="27"/>
  <c r="GE248" i="27"/>
  <c r="EI248" i="27"/>
  <c r="AF84" i="3"/>
  <c r="AF83" i="3"/>
  <c r="AC86" i="3"/>
  <c r="FA242" i="27"/>
  <c r="GW242" i="27"/>
  <c r="DE242" i="27"/>
  <c r="FA234" i="27"/>
  <c r="GW234" i="27"/>
  <c r="DE234" i="27"/>
  <c r="GW235" i="27"/>
  <c r="FA235" i="27"/>
  <c r="DE235" i="27"/>
  <c r="GW229" i="27"/>
  <c r="DE229" i="27"/>
  <c r="FA229" i="27"/>
  <c r="GW233" i="27"/>
  <c r="FA233" i="27"/>
  <c r="DE233" i="27"/>
  <c r="DE230" i="27"/>
  <c r="GW230" i="27"/>
  <c r="FA230" i="27"/>
  <c r="GW228" i="27"/>
  <c r="FA228" i="27"/>
  <c r="DE228" i="27"/>
  <c r="DE237" i="27"/>
  <c r="GW237" i="27"/>
  <c r="FA237" i="27"/>
  <c r="DE239" i="27"/>
  <c r="FA239" i="27"/>
  <c r="GW239" i="27"/>
  <c r="DE236" i="27"/>
  <c r="FA236" i="27"/>
  <c r="GW236" i="27"/>
  <c r="FA238" i="27"/>
  <c r="GW238" i="27"/>
  <c r="DE238" i="27"/>
  <c r="DE232" i="27"/>
  <c r="GW232" i="27"/>
  <c r="FA232" i="27"/>
  <c r="DE231" i="27"/>
  <c r="FA231" i="27"/>
  <c r="GW231" i="27"/>
  <c r="GW241" i="27"/>
  <c r="DE241" i="27"/>
  <c r="FA241" i="27"/>
  <c r="GW227" i="27"/>
  <c r="FA227" i="27"/>
  <c r="DE227" i="27"/>
  <c r="DE240" i="27"/>
  <c r="FA240" i="27"/>
  <c r="GW240" i="27"/>
  <c r="DE214" i="27"/>
  <c r="GW214" i="27"/>
  <c r="FA214" i="27"/>
  <c r="FA219" i="27"/>
  <c r="DE219" i="27"/>
  <c r="GW219" i="27"/>
  <c r="DE212" i="27"/>
  <c r="GW212" i="27"/>
  <c r="FA212" i="27"/>
  <c r="GW224" i="27"/>
  <c r="DE224" i="27"/>
  <c r="FA224" i="27"/>
  <c r="GW222" i="27"/>
  <c r="FA222" i="27"/>
  <c r="DE222" i="27"/>
  <c r="DE225" i="27"/>
  <c r="GW225" i="27"/>
  <c r="FA225" i="27"/>
  <c r="DE220" i="27"/>
  <c r="GW220" i="27"/>
  <c r="FA220" i="27"/>
  <c r="DE221" i="27"/>
  <c r="GW221" i="27"/>
  <c r="FA221" i="27"/>
  <c r="FA218" i="27"/>
  <c r="GW218" i="27"/>
  <c r="DE218" i="27"/>
  <c r="DE223" i="27"/>
  <c r="GW223" i="27"/>
  <c r="FA223" i="27"/>
  <c r="FA216" i="27"/>
  <c r="DE216" i="27"/>
  <c r="GW216" i="27"/>
  <c r="DE213" i="27"/>
  <c r="GW213" i="27"/>
  <c r="FA213" i="27"/>
  <c r="GW217" i="27"/>
  <c r="DE217" i="27"/>
  <c r="FA217" i="27"/>
  <c r="FA226" i="27"/>
  <c r="DE226" i="27"/>
  <c r="GW226" i="27"/>
  <c r="DE215" i="27"/>
  <c r="FA215" i="27"/>
  <c r="GW215" i="27"/>
  <c r="DW169" i="27"/>
  <c r="DU169" i="27"/>
  <c r="FS152" i="27"/>
  <c r="FQ152" i="27"/>
  <c r="DW152" i="27"/>
  <c r="DU152" i="27"/>
  <c r="HO161" i="27"/>
  <c r="HM161" i="27"/>
  <c r="DW167" i="27"/>
  <c r="DU167" i="27"/>
  <c r="HO153" i="27"/>
  <c r="HM153" i="27"/>
  <c r="DU157" i="27"/>
  <c r="DW157" i="27"/>
  <c r="FQ162" i="27"/>
  <c r="FS162" i="27"/>
  <c r="HM172" i="27"/>
  <c r="HO172" i="27"/>
  <c r="DW168" i="27"/>
  <c r="HO162" i="27"/>
  <c r="HO166" i="27"/>
  <c r="HM166" i="27"/>
  <c r="FS156" i="27"/>
  <c r="FQ156" i="27"/>
  <c r="DW164" i="27"/>
  <c r="DU164" i="27"/>
  <c r="FQ167" i="27"/>
  <c r="FQ166" i="27"/>
  <c r="FS166" i="27"/>
  <c r="HO167" i="27"/>
  <c r="HM167" i="27"/>
  <c r="DW155" i="27"/>
  <c r="DU155" i="27"/>
  <c r="FQ172" i="27"/>
  <c r="FS172" i="27"/>
  <c r="FS161" i="27"/>
  <c r="FQ161" i="27"/>
  <c r="HM165" i="27"/>
  <c r="HO165" i="27"/>
  <c r="HM156" i="27"/>
  <c r="HO156" i="27"/>
  <c r="FS155" i="27"/>
  <c r="DW154" i="27"/>
  <c r="DU154" i="27"/>
  <c r="FQ154" i="27"/>
  <c r="FS154" i="27"/>
  <c r="FQ157" i="27"/>
  <c r="FS157" i="27"/>
  <c r="HO158" i="27"/>
  <c r="HM158" i="27"/>
  <c r="DU165" i="27"/>
  <c r="DW165" i="27"/>
  <c r="HO155" i="27"/>
  <c r="HM155" i="27"/>
  <c r="FQ168" i="27"/>
  <c r="DW153" i="27"/>
  <c r="DU153" i="27"/>
  <c r="HM159" i="27"/>
  <c r="HO159" i="27"/>
  <c r="HM168" i="27"/>
  <c r="HO168" i="27"/>
  <c r="FQ169" i="27"/>
  <c r="FS169" i="27"/>
  <c r="DU156" i="27"/>
  <c r="DW156" i="27"/>
  <c r="DU172" i="27"/>
  <c r="DW172" i="27"/>
  <c r="FQ163" i="27"/>
  <c r="FS163" i="27"/>
  <c r="HM160" i="27"/>
  <c r="HO160" i="27"/>
  <c r="DW166" i="27"/>
  <c r="DU166" i="27"/>
  <c r="FS160" i="27"/>
  <c r="FQ160" i="27"/>
  <c r="FQ151" i="27"/>
  <c r="FS151" i="27"/>
  <c r="HM170" i="27"/>
  <c r="HO170" i="27"/>
  <c r="DW160" i="27"/>
  <c r="DU160" i="27"/>
  <c r="DU144" i="27"/>
  <c r="DW144" i="27"/>
  <c r="DQ148" i="27"/>
  <c r="EY184" i="27"/>
  <c r="EX184" i="27"/>
  <c r="EZ184" i="27"/>
  <c r="FK184" i="27"/>
  <c r="FK173" i="27"/>
  <c r="EY173" i="27"/>
  <c r="EX173" i="27"/>
  <c r="EZ173" i="27"/>
  <c r="HG181" i="27"/>
  <c r="GT181" i="27"/>
  <c r="GV181" i="27"/>
  <c r="GU181" i="27"/>
  <c r="FK176" i="27"/>
  <c r="EX176" i="27"/>
  <c r="EZ176" i="27"/>
  <c r="EY176" i="27"/>
  <c r="EZ182" i="27"/>
  <c r="EX182" i="27"/>
  <c r="EY182" i="27"/>
  <c r="FK182" i="27"/>
  <c r="EY190" i="27"/>
  <c r="EZ190" i="27"/>
  <c r="FK190" i="27"/>
  <c r="FM190" i="27" s="1"/>
  <c r="EX190" i="27"/>
  <c r="HG188" i="27"/>
  <c r="GV188" i="27"/>
  <c r="GT188" i="27"/>
  <c r="GU188" i="27"/>
  <c r="GT196" i="27"/>
  <c r="GU196" i="27"/>
  <c r="GV196" i="27"/>
  <c r="HG196" i="27"/>
  <c r="FK197" i="27"/>
  <c r="EY197" i="27"/>
  <c r="EX197" i="27"/>
  <c r="EZ197" i="27"/>
  <c r="GZ176" i="27"/>
  <c r="HH176" i="27"/>
  <c r="HB176" i="27"/>
  <c r="HA176" i="27"/>
  <c r="HH177" i="27"/>
  <c r="HA177" i="27"/>
  <c r="HB177" i="27"/>
  <c r="GZ177" i="27"/>
  <c r="HH173" i="27"/>
  <c r="GZ173" i="27"/>
  <c r="HA173" i="27"/>
  <c r="HB173" i="27"/>
  <c r="DH178" i="27"/>
  <c r="DI178" i="27"/>
  <c r="DP178" i="27"/>
  <c r="DJ178" i="27"/>
  <c r="FE183" i="27"/>
  <c r="FL183" i="27"/>
  <c r="FD183" i="27"/>
  <c r="FF183" i="27"/>
  <c r="FD187" i="27"/>
  <c r="FE187" i="27"/>
  <c r="FF187" i="27"/>
  <c r="FL187" i="27"/>
  <c r="FF198" i="27"/>
  <c r="FD198" i="27"/>
  <c r="FL198" i="27"/>
  <c r="FE198" i="27"/>
  <c r="DH196" i="27"/>
  <c r="DJ196" i="27"/>
  <c r="DP196" i="27"/>
  <c r="DI196" i="27"/>
  <c r="FL190" i="27"/>
  <c r="FF190" i="27"/>
  <c r="FD190" i="27"/>
  <c r="FE190" i="27"/>
  <c r="DI197" i="27"/>
  <c r="DH197" i="27"/>
  <c r="DP197" i="27"/>
  <c r="DJ197" i="27"/>
  <c r="GU210" i="27"/>
  <c r="GV210" i="27"/>
  <c r="HG210" i="27"/>
  <c r="GT210" i="27"/>
  <c r="EZ211" i="27"/>
  <c r="FK211" i="27"/>
  <c r="EX211" i="27"/>
  <c r="EY211" i="27"/>
  <c r="DO208" i="27"/>
  <c r="DB208" i="27"/>
  <c r="DD208" i="27"/>
  <c r="DC208" i="27"/>
  <c r="FK203" i="27"/>
  <c r="EY203" i="27"/>
  <c r="EX203" i="27"/>
  <c r="EZ203" i="27"/>
  <c r="HG205" i="27"/>
  <c r="GU205" i="27"/>
  <c r="GV205" i="27"/>
  <c r="GT205" i="27"/>
  <c r="HA203" i="27"/>
  <c r="HH203" i="27"/>
  <c r="GZ203" i="27"/>
  <c r="HB203" i="27"/>
  <c r="FE200" i="27"/>
  <c r="FD200" i="27"/>
  <c r="FF200" i="27"/>
  <c r="FL200" i="27"/>
  <c r="FE211" i="27"/>
  <c r="FD211" i="27"/>
  <c r="FF211" i="27"/>
  <c r="FL211" i="27"/>
  <c r="DP201" i="27"/>
  <c r="DH201" i="27"/>
  <c r="DI201" i="27"/>
  <c r="DJ201" i="27"/>
  <c r="DI208" i="27"/>
  <c r="DJ208" i="27"/>
  <c r="DP208" i="27"/>
  <c r="DH208" i="27"/>
  <c r="GP247" i="27"/>
  <c r="GN247" i="27"/>
  <c r="HF247" i="27"/>
  <c r="GO247" i="27"/>
  <c r="CW251" i="27"/>
  <c r="DN251" i="27"/>
  <c r="CX251" i="27"/>
  <c r="CV251" i="27"/>
  <c r="DN254" i="27"/>
  <c r="CX254" i="27"/>
  <c r="CV254" i="27"/>
  <c r="CW254" i="27"/>
  <c r="FJ258" i="27"/>
  <c r="ER258" i="27"/>
  <c r="ET258" i="27"/>
  <c r="ES258" i="27"/>
  <c r="ES248" i="27"/>
  <c r="ET248" i="27"/>
  <c r="ER248" i="27"/>
  <c r="FJ248" i="27"/>
  <c r="GP257" i="27"/>
  <c r="GO257" i="27"/>
  <c r="HF257" i="27"/>
  <c r="GN257" i="27"/>
  <c r="CV219" i="27"/>
  <c r="CW219" i="27"/>
  <c r="DN219" i="27"/>
  <c r="CX219" i="27"/>
  <c r="GP213" i="27"/>
  <c r="HF213" i="27"/>
  <c r="GN213" i="27"/>
  <c r="GO213" i="27"/>
  <c r="DN212" i="27"/>
  <c r="CV212" i="27"/>
  <c r="CW212" i="27"/>
  <c r="CX212" i="27"/>
  <c r="FJ224" i="27"/>
  <c r="ET224" i="27"/>
  <c r="ER224" i="27"/>
  <c r="ES224" i="27"/>
  <c r="CW225" i="27"/>
  <c r="CV225" i="27"/>
  <c r="DN225" i="27"/>
  <c r="CX225" i="27"/>
  <c r="GN223" i="27"/>
  <c r="GP223" i="27"/>
  <c r="HF223" i="27"/>
  <c r="GO223" i="27"/>
  <c r="GO229" i="27"/>
  <c r="GP229" i="27"/>
  <c r="GN229" i="27"/>
  <c r="HF229" i="27"/>
  <c r="ES231" i="27"/>
  <c r="ER231" i="27"/>
  <c r="FJ231" i="27"/>
  <c r="ET231" i="27"/>
  <c r="GO233" i="27"/>
  <c r="HF233" i="27"/>
  <c r="GN233" i="27"/>
  <c r="GP233" i="27"/>
  <c r="GP227" i="27"/>
  <c r="GO227" i="27"/>
  <c r="GN227" i="27"/>
  <c r="HF227" i="27"/>
  <c r="HF230" i="27"/>
  <c r="GO230" i="27"/>
  <c r="GN230" i="27"/>
  <c r="GP230" i="27"/>
  <c r="DN232" i="27"/>
  <c r="CW232" i="27"/>
  <c r="CX232" i="27"/>
  <c r="CV232" i="27"/>
  <c r="GJ218" i="27"/>
  <c r="HE218" i="27"/>
  <c r="GI218" i="27"/>
  <c r="GH218" i="27"/>
  <c r="CP223" i="27"/>
  <c r="CR223" i="27"/>
  <c r="CQ223" i="27"/>
  <c r="DM223" i="27"/>
  <c r="EL222" i="27"/>
  <c r="EN222" i="27"/>
  <c r="EM222" i="27"/>
  <c r="FI222" i="27"/>
  <c r="CR216" i="27"/>
  <c r="DM216" i="27"/>
  <c r="CQ216" i="27"/>
  <c r="CP216" i="27"/>
  <c r="GJ225" i="27"/>
  <c r="HE225" i="27"/>
  <c r="GI225" i="27"/>
  <c r="GH225" i="27"/>
  <c r="CQ226" i="27"/>
  <c r="CR226" i="27"/>
  <c r="DM226" i="27"/>
  <c r="CP226" i="27"/>
  <c r="GJ238" i="27"/>
  <c r="GI238" i="27"/>
  <c r="HE238" i="27"/>
  <c r="GH238" i="27"/>
  <c r="GH228" i="27"/>
  <c r="GJ228" i="27"/>
  <c r="GI228" i="27"/>
  <c r="HE228" i="27"/>
  <c r="EN236" i="27"/>
  <c r="EL236" i="27"/>
  <c r="FI236" i="27"/>
  <c r="EM236" i="27"/>
  <c r="CR239" i="27"/>
  <c r="CQ239" i="27"/>
  <c r="CP239" i="27"/>
  <c r="DM239" i="27"/>
  <c r="EN241" i="27"/>
  <c r="EM241" i="27"/>
  <c r="EL241" i="27"/>
  <c r="FI241" i="27"/>
  <c r="GJ229" i="27"/>
  <c r="GH229" i="27"/>
  <c r="GI229" i="27"/>
  <c r="HE229" i="27"/>
  <c r="GB358" i="27"/>
  <c r="HD358" i="27"/>
  <c r="GD358" i="27"/>
  <c r="GC358" i="27"/>
  <c r="EF352" i="27"/>
  <c r="EH352" i="27"/>
  <c r="EG352" i="27"/>
  <c r="FH352" i="27"/>
  <c r="CL351" i="27"/>
  <c r="CJ351" i="27"/>
  <c r="CK351" i="27"/>
  <c r="DL351" i="27"/>
  <c r="GC355" i="27"/>
  <c r="GB355" i="27"/>
  <c r="HD355" i="27"/>
  <c r="GD355" i="27"/>
  <c r="FH356" i="27"/>
  <c r="EG356" i="27"/>
  <c r="EF356" i="27"/>
  <c r="EH356" i="27"/>
  <c r="EH344" i="27"/>
  <c r="FH344" i="27"/>
  <c r="EG344" i="27"/>
  <c r="EF344" i="27"/>
  <c r="GC353" i="27"/>
  <c r="GB353" i="27"/>
  <c r="HD353" i="27"/>
  <c r="GD353" i="27"/>
  <c r="EG363" i="27"/>
  <c r="FH363" i="27"/>
  <c r="EF363" i="27"/>
  <c r="EH363" i="27"/>
  <c r="EG362" i="27"/>
  <c r="FH362" i="27"/>
  <c r="EF362" i="27"/>
  <c r="EH362" i="27"/>
  <c r="AK81" i="3"/>
  <c r="O85" i="31"/>
  <c r="AI85" i="31" s="1"/>
  <c r="FQ145" i="27"/>
  <c r="FS145" i="27"/>
  <c r="BH79" i="31"/>
  <c r="AV79" i="31"/>
  <c r="BB79" i="31" s="1"/>
  <c r="BG82" i="31"/>
  <c r="AU82" i="31"/>
  <c r="BA82" i="31" s="1"/>
  <c r="AU83" i="31"/>
  <c r="BA83" i="31" s="1"/>
  <c r="BG83" i="31"/>
  <c r="FQ144" i="27"/>
  <c r="FS144" i="27"/>
  <c r="FQ147" i="27"/>
  <c r="FS147" i="27"/>
  <c r="HO157" i="27"/>
  <c r="HM157" i="27"/>
  <c r="AT87" i="31"/>
  <c r="AZ87" i="31" s="1"/>
  <c r="BF87" i="31"/>
  <c r="HI147" i="27"/>
  <c r="FM143" i="27"/>
  <c r="BE85" i="31"/>
  <c r="AS85" i="31"/>
  <c r="AY85" i="31" s="1"/>
  <c r="FM148" i="27"/>
  <c r="HI150" i="27"/>
  <c r="AV80" i="31"/>
  <c r="BB80" i="31" s="1"/>
  <c r="BH80" i="31"/>
  <c r="DO184" i="27"/>
  <c r="DD184" i="27"/>
  <c r="DC184" i="27"/>
  <c r="DB184" i="27"/>
  <c r="EX183" i="27"/>
  <c r="EZ183" i="27"/>
  <c r="EY183" i="27"/>
  <c r="FK183" i="27"/>
  <c r="EZ181" i="27"/>
  <c r="FK181" i="27"/>
  <c r="EY181" i="27"/>
  <c r="EX181" i="27"/>
  <c r="DC176" i="27"/>
  <c r="DO176" i="27"/>
  <c r="DD176" i="27"/>
  <c r="DB176" i="27"/>
  <c r="EY195" i="27"/>
  <c r="EX195" i="27"/>
  <c r="EZ195" i="27"/>
  <c r="FK195" i="27"/>
  <c r="GV190" i="27"/>
  <c r="GT190" i="27"/>
  <c r="GU190" i="27"/>
  <c r="HG190" i="27"/>
  <c r="DB188" i="27"/>
  <c r="DO188" i="27"/>
  <c r="DC188" i="27"/>
  <c r="DD188" i="27"/>
  <c r="HG198" i="27"/>
  <c r="GT198" i="27"/>
  <c r="GU198" i="27"/>
  <c r="GV198" i="27"/>
  <c r="HG197" i="27"/>
  <c r="GU197" i="27"/>
  <c r="GV197" i="27"/>
  <c r="GT197" i="27"/>
  <c r="DJ176" i="27"/>
  <c r="DP176" i="27"/>
  <c r="DQ176" i="27" s="1"/>
  <c r="DH176" i="27"/>
  <c r="DI176" i="27"/>
  <c r="FL182" i="27"/>
  <c r="FE182" i="27"/>
  <c r="FF182" i="27"/>
  <c r="FD182" i="27"/>
  <c r="FL173" i="27"/>
  <c r="FM173" i="27" s="1"/>
  <c r="FE173" i="27"/>
  <c r="FF173" i="27"/>
  <c r="FD173" i="27"/>
  <c r="FE178" i="27"/>
  <c r="FF178" i="27"/>
  <c r="FL178" i="27"/>
  <c r="FD178" i="27"/>
  <c r="FE184" i="27"/>
  <c r="FD184" i="27"/>
  <c r="FL184" i="27"/>
  <c r="FF184" i="27"/>
  <c r="HH187" i="27"/>
  <c r="HA187" i="27"/>
  <c r="GZ187" i="27"/>
  <c r="HB187" i="27"/>
  <c r="HA198" i="27"/>
  <c r="HB198" i="27"/>
  <c r="GZ198" i="27"/>
  <c r="HH198" i="27"/>
  <c r="FE193" i="27"/>
  <c r="FF193" i="27"/>
  <c r="FD193" i="27"/>
  <c r="FL193" i="27"/>
  <c r="HH190" i="27"/>
  <c r="HA190" i="27"/>
  <c r="GZ190" i="27"/>
  <c r="HB190" i="27"/>
  <c r="GZ197" i="27"/>
  <c r="HH197" i="27"/>
  <c r="HB197" i="27"/>
  <c r="HA197" i="27"/>
  <c r="FK210" i="27"/>
  <c r="EX210" i="27"/>
  <c r="EY210" i="27"/>
  <c r="EZ210" i="27"/>
  <c r="HG211" i="27"/>
  <c r="GU211" i="27"/>
  <c r="GV211" i="27"/>
  <c r="GT211" i="27"/>
  <c r="HG207" i="27"/>
  <c r="GU207" i="27"/>
  <c r="GT207" i="27"/>
  <c r="GV207" i="27"/>
  <c r="DB203" i="27"/>
  <c r="DC203" i="27"/>
  <c r="DO203" i="27"/>
  <c r="DD203" i="27"/>
  <c r="FK205" i="27"/>
  <c r="EZ205" i="27"/>
  <c r="EX205" i="27"/>
  <c r="EY205" i="27"/>
  <c r="FD209" i="27"/>
  <c r="FF209" i="27"/>
  <c r="FL209" i="27"/>
  <c r="FE209" i="27"/>
  <c r="DH200" i="27"/>
  <c r="DI200" i="27"/>
  <c r="DP200" i="27"/>
  <c r="DJ200" i="27"/>
  <c r="HB211" i="27"/>
  <c r="HH211" i="27"/>
  <c r="GZ211" i="27"/>
  <c r="HA211" i="27"/>
  <c r="HA207" i="27"/>
  <c r="HB207" i="27"/>
  <c r="HH207" i="27"/>
  <c r="GZ207" i="27"/>
  <c r="FD208" i="27"/>
  <c r="FF208" i="27"/>
  <c r="FE208" i="27"/>
  <c r="FL208" i="27"/>
  <c r="CW247" i="27"/>
  <c r="CV247" i="27"/>
  <c r="DN247" i="27"/>
  <c r="CX247" i="27"/>
  <c r="DN243" i="27"/>
  <c r="CX243" i="27"/>
  <c r="CW243" i="27"/>
  <c r="CV243" i="27"/>
  <c r="GO254" i="27"/>
  <c r="HF254" i="27"/>
  <c r="GN254" i="27"/>
  <c r="GP254" i="27"/>
  <c r="GO258" i="27"/>
  <c r="GP258" i="27"/>
  <c r="HF258" i="27"/>
  <c r="GN258" i="27"/>
  <c r="HF244" i="27"/>
  <c r="GP244" i="27"/>
  <c r="GO244" i="27"/>
  <c r="GN244" i="27"/>
  <c r="CV257" i="27"/>
  <c r="CX257" i="27"/>
  <c r="DN257" i="27"/>
  <c r="CW257" i="27"/>
  <c r="FJ219" i="27"/>
  <c r="ER219" i="27"/>
  <c r="ES219" i="27"/>
  <c r="ET219" i="27"/>
  <c r="FJ213" i="27"/>
  <c r="ER213" i="27"/>
  <c r="ES213" i="27"/>
  <c r="ET213" i="27"/>
  <c r="GO214" i="27"/>
  <c r="HF214" i="27"/>
  <c r="GN214" i="27"/>
  <c r="GP214" i="27"/>
  <c r="DN224" i="27"/>
  <c r="CW224" i="27"/>
  <c r="CX224" i="27"/>
  <c r="CV224" i="27"/>
  <c r="ER225" i="27"/>
  <c r="FJ225" i="27"/>
  <c r="ES225" i="27"/>
  <c r="ET225" i="27"/>
  <c r="DN222" i="27"/>
  <c r="CW222" i="27"/>
  <c r="CV222" i="27"/>
  <c r="CX222" i="27"/>
  <c r="CV229" i="27"/>
  <c r="CW229" i="27"/>
  <c r="DN229" i="27"/>
  <c r="CX229" i="27"/>
  <c r="HF231" i="27"/>
  <c r="GN231" i="27"/>
  <c r="GP231" i="27"/>
  <c r="GO231" i="27"/>
  <c r="GP236" i="27"/>
  <c r="GN236" i="27"/>
  <c r="HF236" i="27"/>
  <c r="GO236" i="27"/>
  <c r="CW227" i="27"/>
  <c r="DN227" i="27"/>
  <c r="CV227" i="27"/>
  <c r="CX227" i="27"/>
  <c r="ER230" i="27"/>
  <c r="ES230" i="27"/>
  <c r="ET230" i="27"/>
  <c r="FJ230" i="27"/>
  <c r="CX241" i="27"/>
  <c r="DN241" i="27"/>
  <c r="CV241" i="27"/>
  <c r="CW241" i="27"/>
  <c r="CQ218" i="27"/>
  <c r="CR218" i="27"/>
  <c r="CP218" i="27"/>
  <c r="DM218" i="27"/>
  <c r="HE223" i="27"/>
  <c r="GH223" i="27"/>
  <c r="GI223" i="27"/>
  <c r="GJ223" i="27"/>
  <c r="HE220" i="27"/>
  <c r="GJ220" i="27"/>
  <c r="GI220" i="27"/>
  <c r="GH220" i="27"/>
  <c r="FI216" i="27"/>
  <c r="EL216" i="27"/>
  <c r="EN216" i="27"/>
  <c r="EM216" i="27"/>
  <c r="DM225" i="27"/>
  <c r="CP225" i="27"/>
  <c r="CQ225" i="27"/>
  <c r="CR225" i="27"/>
  <c r="EL230" i="27"/>
  <c r="EN230" i="27"/>
  <c r="EM230" i="27"/>
  <c r="FI230" i="27"/>
  <c r="EM238" i="27"/>
  <c r="EL238" i="27"/>
  <c r="EN238" i="27"/>
  <c r="FI238" i="27"/>
  <c r="CP228" i="27"/>
  <c r="CR228" i="27"/>
  <c r="CQ228" i="27"/>
  <c r="DM228" i="27"/>
  <c r="CR240" i="27"/>
  <c r="CP240" i="27"/>
  <c r="DM240" i="27"/>
  <c r="CQ240" i="27"/>
  <c r="EL239" i="27"/>
  <c r="EM239" i="27"/>
  <c r="FI239" i="27"/>
  <c r="EN239" i="27"/>
  <c r="GI241" i="27"/>
  <c r="GJ241" i="27"/>
  <c r="HE241" i="27"/>
  <c r="GH241" i="27"/>
  <c r="CK354" i="27"/>
  <c r="DL354" i="27"/>
  <c r="CJ354" i="27"/>
  <c r="CL354" i="27"/>
  <c r="CJ358" i="27"/>
  <c r="DL358" i="27"/>
  <c r="CL358" i="27"/>
  <c r="CK358" i="27"/>
  <c r="GC352" i="27"/>
  <c r="GB352" i="27"/>
  <c r="HD352" i="27"/>
  <c r="GD352" i="27"/>
  <c r="EG365" i="27"/>
  <c r="FH365" i="27"/>
  <c r="EH365" i="27"/>
  <c r="EF365" i="27"/>
  <c r="CL355" i="27"/>
  <c r="CK355" i="27"/>
  <c r="DL355" i="27"/>
  <c r="CJ355" i="27"/>
  <c r="GD356" i="27"/>
  <c r="GC356" i="27"/>
  <c r="GB356" i="27"/>
  <c r="HD356" i="27"/>
  <c r="GD350" i="27"/>
  <c r="GC350" i="27"/>
  <c r="HD350" i="27"/>
  <c r="GB350" i="27"/>
  <c r="CJ353" i="27"/>
  <c r="CL353" i="27"/>
  <c r="DL353" i="27"/>
  <c r="CK353" i="27"/>
  <c r="HD363" i="27"/>
  <c r="GC363" i="27"/>
  <c r="GB363" i="27"/>
  <c r="GD363" i="27"/>
  <c r="O86" i="31"/>
  <c r="AI86" i="31" s="1"/>
  <c r="AK82" i="3"/>
  <c r="BG84" i="31"/>
  <c r="AU84" i="31"/>
  <c r="BA84" i="31" s="1"/>
  <c r="DW138" i="27"/>
  <c r="DU138" i="27"/>
  <c r="DU145" i="27"/>
  <c r="DW145" i="27"/>
  <c r="BF86" i="31"/>
  <c r="AT86" i="31"/>
  <c r="AZ86" i="31" s="1"/>
  <c r="DQ161" i="27"/>
  <c r="HO144" i="27"/>
  <c r="HM144" i="27"/>
  <c r="BQ51" i="23"/>
  <c r="DU171" i="27"/>
  <c r="DW171" i="27"/>
  <c r="M89" i="31"/>
  <c r="AG89" i="31" s="1"/>
  <c r="AI85" i="3"/>
  <c r="DB174" i="27"/>
  <c r="DD174" i="27"/>
  <c r="DC174" i="27"/>
  <c r="DO174" i="27"/>
  <c r="GU184" i="27"/>
  <c r="HG184" i="27"/>
  <c r="GV184" i="27"/>
  <c r="GT184" i="27"/>
  <c r="HG183" i="27"/>
  <c r="GT183" i="27"/>
  <c r="GV183" i="27"/>
  <c r="GU183" i="27"/>
  <c r="GT179" i="27"/>
  <c r="GU179" i="27"/>
  <c r="GV179" i="27"/>
  <c r="HG179" i="27"/>
  <c r="GV176" i="27"/>
  <c r="GU176" i="27"/>
  <c r="HG176" i="27"/>
  <c r="GT176" i="27"/>
  <c r="DO195" i="27"/>
  <c r="DD195" i="27"/>
  <c r="DC195" i="27"/>
  <c r="DB195" i="27"/>
  <c r="GU186" i="27"/>
  <c r="GT186" i="27"/>
  <c r="GV186" i="27"/>
  <c r="HG186" i="27"/>
  <c r="EY188" i="27"/>
  <c r="FK188" i="27"/>
  <c r="EX188" i="27"/>
  <c r="EZ188" i="27"/>
  <c r="FK198" i="27"/>
  <c r="EZ198" i="27"/>
  <c r="EX198" i="27"/>
  <c r="EY198" i="27"/>
  <c r="FK194" i="27"/>
  <c r="EY194" i="27"/>
  <c r="EX194" i="27"/>
  <c r="EZ194" i="27"/>
  <c r="FL176" i="27"/>
  <c r="FM176" i="27" s="1"/>
  <c r="FE176" i="27"/>
  <c r="FF176" i="27"/>
  <c r="FD176" i="27"/>
  <c r="GZ182" i="27"/>
  <c r="HH182" i="27"/>
  <c r="HB182" i="27"/>
  <c r="HA182" i="27"/>
  <c r="FE180" i="27"/>
  <c r="FD180" i="27"/>
  <c r="FF180" i="27"/>
  <c r="FL180" i="27"/>
  <c r="HH178" i="27"/>
  <c r="HB178" i="27"/>
  <c r="GZ178" i="27"/>
  <c r="HA178" i="27"/>
  <c r="HB184" i="27"/>
  <c r="HA184" i="27"/>
  <c r="HH184" i="27"/>
  <c r="GZ184" i="27"/>
  <c r="HB192" i="27"/>
  <c r="HA192" i="27"/>
  <c r="HH192" i="27"/>
  <c r="GZ192" i="27"/>
  <c r="DI198" i="27"/>
  <c r="DP198" i="27"/>
  <c r="DJ198" i="27"/>
  <c r="DH198" i="27"/>
  <c r="GZ193" i="27"/>
  <c r="HB193" i="27"/>
  <c r="HA193" i="27"/>
  <c r="HH193" i="27"/>
  <c r="FF194" i="27"/>
  <c r="FD194" i="27"/>
  <c r="FL194" i="27"/>
  <c r="FE194" i="27"/>
  <c r="FF197" i="27"/>
  <c r="FE197" i="27"/>
  <c r="FD197" i="27"/>
  <c r="FL197" i="27"/>
  <c r="GU204" i="27"/>
  <c r="HG204" i="27"/>
  <c r="GV204" i="27"/>
  <c r="GT204" i="27"/>
  <c r="DC211" i="27"/>
  <c r="DO211" i="27"/>
  <c r="DB211" i="27"/>
  <c r="DD211" i="27"/>
  <c r="DC207" i="27"/>
  <c r="DD207" i="27"/>
  <c r="DB207" i="27"/>
  <c r="DO207" i="27"/>
  <c r="EZ200" i="27"/>
  <c r="EX200" i="27"/>
  <c r="FK200" i="27"/>
  <c r="FM200" i="27" s="1"/>
  <c r="EY200" i="27"/>
  <c r="DB205" i="27"/>
  <c r="DC205" i="27"/>
  <c r="DD205" i="27"/>
  <c r="DO205" i="27"/>
  <c r="HB209" i="27"/>
  <c r="GZ209" i="27"/>
  <c r="HH209" i="27"/>
  <c r="HA209" i="27"/>
  <c r="HA204" i="27"/>
  <c r="GZ204" i="27"/>
  <c r="HH204" i="27"/>
  <c r="HB204" i="27"/>
  <c r="DI211" i="27"/>
  <c r="DJ211" i="27"/>
  <c r="DH211" i="27"/>
  <c r="DP211" i="27"/>
  <c r="DI207" i="27"/>
  <c r="DJ207" i="27"/>
  <c r="DP207" i="27"/>
  <c r="DH207" i="27"/>
  <c r="ES259" i="27"/>
  <c r="FJ259" i="27"/>
  <c r="ET259" i="27"/>
  <c r="ER259" i="27"/>
  <c r="ET247" i="27"/>
  <c r="FJ247" i="27"/>
  <c r="ES247" i="27"/>
  <c r="ER247" i="27"/>
  <c r="GO243" i="27"/>
  <c r="HF243" i="27"/>
  <c r="GN243" i="27"/>
  <c r="GP243" i="27"/>
  <c r="ER253" i="27"/>
  <c r="FJ253" i="27"/>
  <c r="ES253" i="27"/>
  <c r="ET253" i="27"/>
  <c r="CV258" i="27"/>
  <c r="CW258" i="27"/>
  <c r="CX258" i="27"/>
  <c r="DN258" i="27"/>
  <c r="ER244" i="27"/>
  <c r="ET244" i="27"/>
  <c r="ES244" i="27"/>
  <c r="FJ244" i="27"/>
  <c r="GN246" i="27"/>
  <c r="HF246" i="27"/>
  <c r="GO246" i="27"/>
  <c r="GP246" i="27"/>
  <c r="FJ220" i="27"/>
  <c r="ES220" i="27"/>
  <c r="ET220" i="27"/>
  <c r="ER220" i="27"/>
  <c r="CV213" i="27"/>
  <c r="DN213" i="27"/>
  <c r="CX213" i="27"/>
  <c r="CW213" i="27"/>
  <c r="ET214" i="27"/>
  <c r="ER214" i="27"/>
  <c r="FJ214" i="27"/>
  <c r="ES214" i="27"/>
  <c r="CX217" i="27"/>
  <c r="CV217" i="27"/>
  <c r="CW217" i="27"/>
  <c r="DN217" i="27"/>
  <c r="GP225" i="27"/>
  <c r="HF225" i="27"/>
  <c r="GO225" i="27"/>
  <c r="GN225" i="27"/>
  <c r="ER222" i="27"/>
  <c r="ET222" i="27"/>
  <c r="FJ222" i="27"/>
  <c r="ES222" i="27"/>
  <c r="ES242" i="27"/>
  <c r="ER242" i="27"/>
  <c r="ET242" i="27"/>
  <c r="FJ242" i="27"/>
  <c r="CX231" i="27"/>
  <c r="DN231" i="27"/>
  <c r="CV231" i="27"/>
  <c r="CW231" i="27"/>
  <c r="CW236" i="27"/>
  <c r="DN236" i="27"/>
  <c r="CX236" i="27"/>
  <c r="CV236" i="27"/>
  <c r="GO238" i="27"/>
  <c r="GN238" i="27"/>
  <c r="HF238" i="27"/>
  <c r="GP238" i="27"/>
  <c r="DN230" i="27"/>
  <c r="CX230" i="27"/>
  <c r="CV230" i="27"/>
  <c r="CW230" i="27"/>
  <c r="FJ241" i="27"/>
  <c r="ER241" i="27"/>
  <c r="ET241" i="27"/>
  <c r="ES241" i="27"/>
  <c r="DM213" i="27"/>
  <c r="CP213" i="27"/>
  <c r="CQ213" i="27"/>
  <c r="CR213" i="27"/>
  <c r="EL223" i="27"/>
  <c r="EN223" i="27"/>
  <c r="EM223" i="27"/>
  <c r="FI223" i="27"/>
  <c r="CP220" i="27"/>
  <c r="DM220" i="27"/>
  <c r="CQ220" i="27"/>
  <c r="CR220" i="27"/>
  <c r="GJ215" i="27"/>
  <c r="GH215" i="27"/>
  <c r="GI215" i="27"/>
  <c r="HE215" i="27"/>
  <c r="EM225" i="27"/>
  <c r="EL225" i="27"/>
  <c r="EN225" i="27"/>
  <c r="FI225" i="27"/>
  <c r="GH230" i="27"/>
  <c r="HE230" i="27"/>
  <c r="GJ230" i="27"/>
  <c r="GI230" i="27"/>
  <c r="CQ234" i="27"/>
  <c r="CR234" i="27"/>
  <c r="CP234" i="27"/>
  <c r="DM234" i="27"/>
  <c r="EM228" i="27"/>
  <c r="FI228" i="27"/>
  <c r="EN228" i="27"/>
  <c r="EL228" i="27"/>
  <c r="EL240" i="27"/>
  <c r="FI240" i="27"/>
  <c r="EM240" i="27"/>
  <c r="EN240" i="27"/>
  <c r="HE235" i="27"/>
  <c r="GI235" i="27"/>
  <c r="GJ235" i="27"/>
  <c r="GH235" i="27"/>
  <c r="CR241" i="27"/>
  <c r="CP241" i="27"/>
  <c r="CQ241" i="27"/>
  <c r="DM241" i="27"/>
  <c r="EG354" i="27"/>
  <c r="FH354" i="27"/>
  <c r="EF354" i="27"/>
  <c r="EH354" i="27"/>
  <c r="GB364" i="27"/>
  <c r="HD364" i="27"/>
  <c r="GD364" i="27"/>
  <c r="GC364" i="27"/>
  <c r="DL352" i="27"/>
  <c r="CJ352" i="27"/>
  <c r="CL352" i="27"/>
  <c r="CK352" i="27"/>
  <c r="GD365" i="27"/>
  <c r="HD365" i="27"/>
  <c r="GC365" i="27"/>
  <c r="GB365" i="27"/>
  <c r="DL359" i="27"/>
  <c r="CJ359" i="27"/>
  <c r="CL359" i="27"/>
  <c r="CK359" i="27"/>
  <c r="DL356" i="27"/>
  <c r="CJ356" i="27"/>
  <c r="CL356" i="27"/>
  <c r="CK356" i="27"/>
  <c r="EG350" i="27"/>
  <c r="FH350" i="27"/>
  <c r="EF350" i="27"/>
  <c r="EH350" i="27"/>
  <c r="EH346" i="27"/>
  <c r="EG346" i="27"/>
  <c r="FH346" i="27"/>
  <c r="EF346" i="27"/>
  <c r="CK363" i="27"/>
  <c r="DL363" i="27"/>
  <c r="CL363" i="27"/>
  <c r="CJ363" i="27"/>
  <c r="N88" i="31"/>
  <c r="AH88" i="31" s="1"/>
  <c r="AJ84" i="3"/>
  <c r="BQ27" i="23"/>
  <c r="FS170" i="27"/>
  <c r="FQ170" i="27"/>
  <c r="CF25" i="23"/>
  <c r="CF21" i="23"/>
  <c r="CF24" i="23"/>
  <c r="CF23" i="23"/>
  <c r="CF22" i="23"/>
  <c r="FS153" i="27"/>
  <c r="FQ153" i="27"/>
  <c r="Q83" i="31"/>
  <c r="AJ83" i="31"/>
  <c r="HM169" i="27"/>
  <c r="HO169" i="27"/>
  <c r="DW158" i="27"/>
  <c r="DU158" i="27"/>
  <c r="FM146" i="27"/>
  <c r="AS86" i="31"/>
  <c r="AY86" i="31" s="1"/>
  <c r="BE86" i="31"/>
  <c r="HI146" i="27"/>
  <c r="DQ142" i="27"/>
  <c r="H19" i="3"/>
  <c r="I19" i="3" s="1"/>
  <c r="S19" i="3"/>
  <c r="M88" i="31"/>
  <c r="AG88" i="31" s="1"/>
  <c r="AI84" i="3"/>
  <c r="GU174" i="27"/>
  <c r="GV174" i="27"/>
  <c r="HG174" i="27"/>
  <c r="GT174" i="27"/>
  <c r="DO178" i="27"/>
  <c r="DC178" i="27"/>
  <c r="DD178" i="27"/>
  <c r="DB178" i="27"/>
  <c r="DO183" i="27"/>
  <c r="DC183" i="27"/>
  <c r="DD183" i="27"/>
  <c r="DB183" i="27"/>
  <c r="DB179" i="27"/>
  <c r="DD179" i="27"/>
  <c r="DC179" i="27"/>
  <c r="DO179" i="27"/>
  <c r="EX175" i="27"/>
  <c r="FK175" i="27"/>
  <c r="EY175" i="27"/>
  <c r="EZ175" i="27"/>
  <c r="GT195" i="27"/>
  <c r="GU195" i="27"/>
  <c r="HG195" i="27"/>
  <c r="GV195" i="27"/>
  <c r="DB186" i="27"/>
  <c r="DD186" i="27"/>
  <c r="DC186" i="27"/>
  <c r="DO186" i="27"/>
  <c r="GT192" i="27"/>
  <c r="HG192" i="27"/>
  <c r="GV192" i="27"/>
  <c r="GU192" i="27"/>
  <c r="DC198" i="27"/>
  <c r="DO198" i="27"/>
  <c r="DB198" i="27"/>
  <c r="DD198" i="27"/>
  <c r="DC194" i="27"/>
  <c r="DD194" i="27"/>
  <c r="DO194" i="27"/>
  <c r="DB194" i="27"/>
  <c r="FL174" i="27"/>
  <c r="FF174" i="27"/>
  <c r="FE174" i="27"/>
  <c r="FD174" i="27"/>
  <c r="DJ182" i="27"/>
  <c r="DI182" i="27"/>
  <c r="DP182" i="27"/>
  <c r="DH182" i="27"/>
  <c r="GZ180" i="27"/>
  <c r="HA180" i="27"/>
  <c r="HH180" i="27"/>
  <c r="HB180" i="27"/>
  <c r="HH179" i="27"/>
  <c r="GZ179" i="27"/>
  <c r="HA179" i="27"/>
  <c r="HB179" i="27"/>
  <c r="DP184" i="27"/>
  <c r="DI184" i="27"/>
  <c r="DH184" i="27"/>
  <c r="DJ184" i="27"/>
  <c r="FL192" i="27"/>
  <c r="FE192" i="27"/>
  <c r="FD192" i="27"/>
  <c r="FF192" i="27"/>
  <c r="DI188" i="27"/>
  <c r="DP188" i="27"/>
  <c r="DQ188" i="27" s="1"/>
  <c r="DH188" i="27"/>
  <c r="DJ188" i="27"/>
  <c r="DI193" i="27"/>
  <c r="DP193" i="27"/>
  <c r="DH193" i="27"/>
  <c r="DJ193" i="27"/>
  <c r="DH194" i="27"/>
  <c r="DI194" i="27"/>
  <c r="DJ194" i="27"/>
  <c r="DP194" i="27"/>
  <c r="DH186" i="27"/>
  <c r="DP186" i="27"/>
  <c r="DI186" i="27"/>
  <c r="DJ186" i="27"/>
  <c r="EX204" i="27"/>
  <c r="FK204" i="27"/>
  <c r="EY204" i="27"/>
  <c r="EZ204" i="27"/>
  <c r="EY201" i="27"/>
  <c r="EX201" i="27"/>
  <c r="FK201" i="27"/>
  <c r="EZ201" i="27"/>
  <c r="EX207" i="27"/>
  <c r="EZ207" i="27"/>
  <c r="FK207" i="27"/>
  <c r="EY207" i="27"/>
  <c r="DC200" i="27"/>
  <c r="DO200" i="27"/>
  <c r="DB200" i="27"/>
  <c r="DD200" i="27"/>
  <c r="FL206" i="27"/>
  <c r="FD206" i="27"/>
  <c r="FF206" i="27"/>
  <c r="FE206" i="27"/>
  <c r="DH209" i="27"/>
  <c r="DP209" i="27"/>
  <c r="DJ209" i="27"/>
  <c r="DI209" i="27"/>
  <c r="FE204" i="27"/>
  <c r="FF204" i="27"/>
  <c r="FD204" i="27"/>
  <c r="FL204" i="27"/>
  <c r="FL202" i="27"/>
  <c r="FD202" i="27"/>
  <c r="FF202" i="27"/>
  <c r="FE202" i="27"/>
  <c r="FL207" i="27"/>
  <c r="FD207" i="27"/>
  <c r="FF207" i="27"/>
  <c r="FE207" i="27"/>
  <c r="GP259" i="27"/>
  <c r="GO259" i="27"/>
  <c r="HF259" i="27"/>
  <c r="GN259" i="27"/>
  <c r="CV256" i="27"/>
  <c r="CX256" i="27"/>
  <c r="CW256" i="27"/>
  <c r="DN256" i="27"/>
  <c r="ES243" i="27"/>
  <c r="ET243" i="27"/>
  <c r="ER243" i="27"/>
  <c r="FJ243" i="27"/>
  <c r="GN253" i="27"/>
  <c r="GP253" i="27"/>
  <c r="HF253" i="27"/>
  <c r="GO253" i="27"/>
  <c r="ET245" i="27"/>
  <c r="ES245" i="27"/>
  <c r="FJ245" i="27"/>
  <c r="ER245" i="27"/>
  <c r="DN244" i="27"/>
  <c r="CX244" i="27"/>
  <c r="CW244" i="27"/>
  <c r="CV244" i="27"/>
  <c r="CV246" i="27"/>
  <c r="CX246" i="27"/>
  <c r="CW246" i="27"/>
  <c r="DN246" i="27"/>
  <c r="GN220" i="27"/>
  <c r="GO220" i="27"/>
  <c r="GP220" i="27"/>
  <c r="HF220" i="27"/>
  <c r="CW215" i="27"/>
  <c r="CV215" i="27"/>
  <c r="CX215" i="27"/>
  <c r="DN215" i="27"/>
  <c r="CV214" i="27"/>
  <c r="DN214" i="27"/>
  <c r="CW214" i="27"/>
  <c r="CX214" i="27"/>
  <c r="ES217" i="27"/>
  <c r="FJ217" i="27"/>
  <c r="ER217" i="27"/>
  <c r="ET217" i="27"/>
  <c r="DN216" i="27"/>
  <c r="CW216" i="27"/>
  <c r="CV216" i="27"/>
  <c r="CX216" i="27"/>
  <c r="GP222" i="27"/>
  <c r="GO222" i="27"/>
  <c r="HF222" i="27"/>
  <c r="GN222" i="27"/>
  <c r="GP242" i="27"/>
  <c r="GO242" i="27"/>
  <c r="HF242" i="27"/>
  <c r="GN242" i="27"/>
  <c r="CX237" i="27"/>
  <c r="CW237" i="27"/>
  <c r="DN237" i="27"/>
  <c r="CV237" i="27"/>
  <c r="FJ236" i="27"/>
  <c r="ET236" i="27"/>
  <c r="ER236" i="27"/>
  <c r="ES236" i="27"/>
  <c r="ER238" i="27"/>
  <c r="ES238" i="27"/>
  <c r="ET238" i="27"/>
  <c r="FJ238" i="27"/>
  <c r="HF239" i="27"/>
  <c r="GN239" i="27"/>
  <c r="GO239" i="27"/>
  <c r="GP239" i="27"/>
  <c r="GO241" i="27"/>
  <c r="HF241" i="27"/>
  <c r="GP241" i="27"/>
  <c r="GN241" i="27"/>
  <c r="GI213" i="27"/>
  <c r="GH213" i="27"/>
  <c r="GJ213" i="27"/>
  <c r="HE213" i="27"/>
  <c r="EM217" i="27"/>
  <c r="EN217" i="27"/>
  <c r="FI217" i="27"/>
  <c r="EL217" i="27"/>
  <c r="EM220" i="27"/>
  <c r="EN220" i="27"/>
  <c r="FI220" i="27"/>
  <c r="EL220" i="27"/>
  <c r="CQ215" i="27"/>
  <c r="DM215" i="27"/>
  <c r="CR215" i="27"/>
  <c r="CP215" i="27"/>
  <c r="FI224" i="27"/>
  <c r="EL224" i="27"/>
  <c r="EM224" i="27"/>
  <c r="EN224" i="27"/>
  <c r="DM230" i="27"/>
  <c r="CP230" i="27"/>
  <c r="CQ230" i="27"/>
  <c r="CR230" i="27"/>
  <c r="HE234" i="27"/>
  <c r="GH234" i="27"/>
  <c r="GI234" i="27"/>
  <c r="GJ234" i="27"/>
  <c r="DM233" i="27"/>
  <c r="CR233" i="27"/>
  <c r="CQ233" i="27"/>
  <c r="CP233" i="27"/>
  <c r="GI240" i="27"/>
  <c r="GJ240" i="27"/>
  <c r="GH240" i="27"/>
  <c r="HE240" i="27"/>
  <c r="CP235" i="27"/>
  <c r="DM235" i="27"/>
  <c r="CR235" i="27"/>
  <c r="CQ235" i="27"/>
  <c r="GI232" i="27"/>
  <c r="GH232" i="27"/>
  <c r="HE232" i="27"/>
  <c r="GJ232" i="27"/>
  <c r="HD354" i="27"/>
  <c r="GC354" i="27"/>
  <c r="GB354" i="27"/>
  <c r="GD354" i="27"/>
  <c r="CL364" i="27"/>
  <c r="CJ364" i="27"/>
  <c r="DL364" i="27"/>
  <c r="CK364" i="27"/>
  <c r="HD349" i="27"/>
  <c r="GB349" i="27"/>
  <c r="GD349" i="27"/>
  <c r="GC349" i="27"/>
  <c r="DL365" i="27"/>
  <c r="CK365" i="27"/>
  <c r="CL365" i="27"/>
  <c r="CJ365" i="27"/>
  <c r="FH359" i="27"/>
  <c r="EF359" i="27"/>
  <c r="EH359" i="27"/>
  <c r="EG359" i="27"/>
  <c r="EF343" i="27"/>
  <c r="EH343" i="27"/>
  <c r="EG343" i="27"/>
  <c r="FH343" i="27"/>
  <c r="CJ350" i="27"/>
  <c r="CL350" i="27"/>
  <c r="DL350" i="27"/>
  <c r="CK350" i="27"/>
  <c r="GD346" i="27"/>
  <c r="GC346" i="27"/>
  <c r="GB346" i="27"/>
  <c r="HD346" i="27"/>
  <c r="CL361" i="27"/>
  <c r="CK361" i="27"/>
  <c r="DL361" i="27"/>
  <c r="CJ361" i="27"/>
  <c r="N89" i="31"/>
  <c r="AH89" i="31" s="1"/>
  <c r="AJ85" i="3"/>
  <c r="Q84" i="31"/>
  <c r="AJ84" i="31"/>
  <c r="HO148" i="27"/>
  <c r="HM148" i="27"/>
  <c r="FQ164" i="27"/>
  <c r="FS164" i="27"/>
  <c r="Q82" i="31"/>
  <c r="AJ82" i="31"/>
  <c r="HI176" i="27"/>
  <c r="HM154" i="27"/>
  <c r="HO154" i="27"/>
  <c r="BD92" i="31"/>
  <c r="AR92" i="31"/>
  <c r="AX92" i="31" s="1"/>
  <c r="DQ143" i="27"/>
  <c r="M87" i="31"/>
  <c r="AG87" i="31" s="1"/>
  <c r="AI83" i="3"/>
  <c r="EZ174" i="27"/>
  <c r="FK174" i="27"/>
  <c r="EY174" i="27"/>
  <c r="EX174" i="27"/>
  <c r="GU178" i="27"/>
  <c r="GT178" i="27"/>
  <c r="HG178" i="27"/>
  <c r="GV178" i="27"/>
  <c r="DB180" i="27"/>
  <c r="DO180" i="27"/>
  <c r="DD180" i="27"/>
  <c r="DC180" i="27"/>
  <c r="EY179" i="27"/>
  <c r="FK179" i="27"/>
  <c r="EX179" i="27"/>
  <c r="EZ179" i="27"/>
  <c r="DD175" i="27"/>
  <c r="DC175" i="27"/>
  <c r="DB175" i="27"/>
  <c r="DO175" i="27"/>
  <c r="HG189" i="27"/>
  <c r="GV189" i="27"/>
  <c r="GU189" i="27"/>
  <c r="GT189" i="27"/>
  <c r="EX186" i="27"/>
  <c r="FK186" i="27"/>
  <c r="EY186" i="27"/>
  <c r="EZ186" i="27"/>
  <c r="DD192" i="27"/>
  <c r="DO192" i="27"/>
  <c r="DB192" i="27"/>
  <c r="DC192" i="27"/>
  <c r="GT191" i="27"/>
  <c r="HG191" i="27"/>
  <c r="GV191" i="27"/>
  <c r="GU191" i="27"/>
  <c r="HG194" i="27"/>
  <c r="GU194" i="27"/>
  <c r="GV194" i="27"/>
  <c r="GT194" i="27"/>
  <c r="GZ174" i="27"/>
  <c r="HH174" i="27"/>
  <c r="HA174" i="27"/>
  <c r="HB174" i="27"/>
  <c r="DH185" i="27"/>
  <c r="DI185" i="27"/>
  <c r="DP185" i="27"/>
  <c r="DJ185" i="27"/>
  <c r="DJ180" i="27"/>
  <c r="DP180" i="27"/>
  <c r="DH180" i="27"/>
  <c r="DI180" i="27"/>
  <c r="FF179" i="27"/>
  <c r="FD179" i="27"/>
  <c r="FL179" i="27"/>
  <c r="FE179" i="27"/>
  <c r="HA181" i="27"/>
  <c r="HH181" i="27"/>
  <c r="GZ181" i="27"/>
  <c r="HB181" i="27"/>
  <c r="DJ192" i="27"/>
  <c r="DH192" i="27"/>
  <c r="DI192" i="27"/>
  <c r="DP192" i="27"/>
  <c r="FE188" i="27"/>
  <c r="FD188" i="27"/>
  <c r="FL188" i="27"/>
  <c r="FF188" i="27"/>
  <c r="HA195" i="27"/>
  <c r="HH195" i="27"/>
  <c r="HB195" i="27"/>
  <c r="GZ195" i="27"/>
  <c r="HA194" i="27"/>
  <c r="HH194" i="27"/>
  <c r="HB194" i="27"/>
  <c r="GZ194" i="27"/>
  <c r="FF186" i="27"/>
  <c r="FE186" i="27"/>
  <c r="FL186" i="27"/>
  <c r="FD186" i="27"/>
  <c r="DB206" i="27"/>
  <c r="DC206" i="27"/>
  <c r="DO206" i="27"/>
  <c r="DD206" i="27"/>
  <c r="DD204" i="27"/>
  <c r="DO204" i="27"/>
  <c r="DC204" i="27"/>
  <c r="DB204" i="27"/>
  <c r="HG201" i="27"/>
  <c r="GT201" i="27"/>
  <c r="GV201" i="27"/>
  <c r="GU201" i="27"/>
  <c r="EY199" i="27"/>
  <c r="EZ199" i="27"/>
  <c r="EX199" i="27"/>
  <c r="FK199" i="27"/>
  <c r="GU200" i="27"/>
  <c r="GV200" i="27"/>
  <c r="GT200" i="27"/>
  <c r="HG200" i="27"/>
  <c r="DI206" i="27"/>
  <c r="DH206" i="27"/>
  <c r="DP206" i="27"/>
  <c r="DJ206" i="27"/>
  <c r="HA210" i="27"/>
  <c r="GZ210" i="27"/>
  <c r="HH210" i="27"/>
  <c r="HB210" i="27"/>
  <c r="DI204" i="27"/>
  <c r="DJ204" i="27"/>
  <c r="DP204" i="27"/>
  <c r="DH204" i="27"/>
  <c r="HB202" i="27"/>
  <c r="GZ202" i="27"/>
  <c r="HA202" i="27"/>
  <c r="HH202" i="27"/>
  <c r="HA205" i="27"/>
  <c r="HH205" i="27"/>
  <c r="HI205" i="27" s="1"/>
  <c r="GZ205" i="27"/>
  <c r="HB205" i="27"/>
  <c r="CW259" i="27"/>
  <c r="DN259" i="27"/>
  <c r="CV259" i="27"/>
  <c r="CX259" i="27"/>
  <c r="ES256" i="27"/>
  <c r="ET256" i="27"/>
  <c r="FJ256" i="27"/>
  <c r="ER256" i="27"/>
  <c r="CX250" i="27"/>
  <c r="CV250" i="27"/>
  <c r="DN250" i="27"/>
  <c r="CW250" i="27"/>
  <c r="CV253" i="27"/>
  <c r="CX253" i="27"/>
  <c r="CW253" i="27"/>
  <c r="DN253" i="27"/>
  <c r="DN245" i="27"/>
  <c r="CV245" i="27"/>
  <c r="CW245" i="27"/>
  <c r="CX245" i="27"/>
  <c r="ET255" i="27"/>
  <c r="ES255" i="27"/>
  <c r="FJ255" i="27"/>
  <c r="ER255" i="27"/>
  <c r="ET246" i="27"/>
  <c r="ES246" i="27"/>
  <c r="FJ246" i="27"/>
  <c r="ER246" i="27"/>
  <c r="CV220" i="27"/>
  <c r="CX220" i="27"/>
  <c r="CW220" i="27"/>
  <c r="DN220" i="27"/>
  <c r="ER215" i="27"/>
  <c r="ES215" i="27"/>
  <c r="FJ215" i="27"/>
  <c r="ET215" i="27"/>
  <c r="CX221" i="27"/>
  <c r="CW221" i="27"/>
  <c r="CV221" i="27"/>
  <c r="DN221" i="27"/>
  <c r="GP217" i="27"/>
  <c r="GN217" i="27"/>
  <c r="HF217" i="27"/>
  <c r="GO217" i="27"/>
  <c r="GO216" i="27"/>
  <c r="GN216" i="27"/>
  <c r="HF216" i="27"/>
  <c r="GP216" i="27"/>
  <c r="CX228" i="27"/>
  <c r="CV228" i="27"/>
  <c r="CW228" i="27"/>
  <c r="DN228" i="27"/>
  <c r="CX242" i="27"/>
  <c r="DN242" i="27"/>
  <c r="CW242" i="27"/>
  <c r="CV242" i="27"/>
  <c r="FJ237" i="27"/>
  <c r="ES237" i="27"/>
  <c r="ER237" i="27"/>
  <c r="ET237" i="27"/>
  <c r="CV235" i="27"/>
  <c r="CX235" i="27"/>
  <c r="CW235" i="27"/>
  <c r="DN235" i="27"/>
  <c r="CW238" i="27"/>
  <c r="CX238" i="27"/>
  <c r="DN238" i="27"/>
  <c r="CV238" i="27"/>
  <c r="CX239" i="27"/>
  <c r="DN239" i="27"/>
  <c r="CV239" i="27"/>
  <c r="CW239" i="27"/>
  <c r="GJ219" i="27"/>
  <c r="GH219" i="27"/>
  <c r="HE219" i="27"/>
  <c r="GI219" i="27"/>
  <c r="FI213" i="27"/>
  <c r="EM213" i="27"/>
  <c r="EN213" i="27"/>
  <c r="EL213" i="27"/>
  <c r="HE217" i="27"/>
  <c r="GJ217" i="27"/>
  <c r="GI217" i="27"/>
  <c r="GH217" i="27"/>
  <c r="CQ221" i="27"/>
  <c r="DM221" i="27"/>
  <c r="CR221" i="27"/>
  <c r="CP221" i="27"/>
  <c r="FI215" i="27"/>
  <c r="EM215" i="27"/>
  <c r="EL215" i="27"/>
  <c r="EN215" i="27"/>
  <c r="CQ224" i="27"/>
  <c r="DM224" i="27"/>
  <c r="CR224" i="27"/>
  <c r="CP224" i="27"/>
  <c r="DM231" i="27"/>
  <c r="CP231" i="27"/>
  <c r="CQ231" i="27"/>
  <c r="CR231" i="27"/>
  <c r="EL234" i="27"/>
  <c r="EN234" i="27"/>
  <c r="EM234" i="27"/>
  <c r="FI234" i="27"/>
  <c r="EN233" i="27"/>
  <c r="FI233" i="27"/>
  <c r="EM233" i="27"/>
  <c r="EL233" i="27"/>
  <c r="GJ242" i="27"/>
  <c r="HE242" i="27"/>
  <c r="GI242" i="27"/>
  <c r="GH242" i="27"/>
  <c r="FI235" i="27"/>
  <c r="EM235" i="27"/>
  <c r="EL235" i="27"/>
  <c r="EN235" i="27"/>
  <c r="CQ232" i="27"/>
  <c r="CR232" i="27"/>
  <c r="DM232" i="27"/>
  <c r="CP232" i="27"/>
  <c r="EH347" i="27"/>
  <c r="EF347" i="27"/>
  <c r="EG347" i="27"/>
  <c r="FH347" i="27"/>
  <c r="EH364" i="27"/>
  <c r="EF364" i="27"/>
  <c r="EG364" i="27"/>
  <c r="FH364" i="27"/>
  <c r="EH349" i="27"/>
  <c r="EG349" i="27"/>
  <c r="FH349" i="27"/>
  <c r="EF349" i="27"/>
  <c r="GB348" i="27"/>
  <c r="HD348" i="27"/>
  <c r="GC348" i="27"/>
  <c r="GD348" i="27"/>
  <c r="GC359" i="27"/>
  <c r="GD359" i="27"/>
  <c r="HD359" i="27"/>
  <c r="GB359" i="27"/>
  <c r="HD343" i="27"/>
  <c r="GC343" i="27"/>
  <c r="GB343" i="27"/>
  <c r="GD343" i="27"/>
  <c r="EG357" i="27"/>
  <c r="FH357" i="27"/>
  <c r="EH357" i="27"/>
  <c r="EF357" i="27"/>
  <c r="DL346" i="27"/>
  <c r="CJ346" i="27"/>
  <c r="CL346" i="27"/>
  <c r="CK346" i="27"/>
  <c r="GC361" i="27"/>
  <c r="GB361" i="27"/>
  <c r="HD361" i="27"/>
  <c r="GD361" i="27"/>
  <c r="L97" i="31"/>
  <c r="AF97" i="31" s="1"/>
  <c r="AH93" i="3"/>
  <c r="H27" i="5"/>
  <c r="R27" i="5" s="1"/>
  <c r="FS165" i="27"/>
  <c r="FQ165" i="27"/>
  <c r="DW170" i="27"/>
  <c r="DU170" i="27"/>
  <c r="DW147" i="27"/>
  <c r="DU147" i="27"/>
  <c r="DQ146" i="27"/>
  <c r="DQ178" i="27"/>
  <c r="HI211" i="27"/>
  <c r="DO185" i="27"/>
  <c r="DB185" i="27"/>
  <c r="DC185" i="27"/>
  <c r="DD185" i="27"/>
  <c r="EZ178" i="27"/>
  <c r="EY178" i="27"/>
  <c r="FK178" i="27"/>
  <c r="FM178" i="27" s="1"/>
  <c r="EX178" i="27"/>
  <c r="HG180" i="27"/>
  <c r="HI180" i="27" s="1"/>
  <c r="GV180" i="27"/>
  <c r="GT180" i="27"/>
  <c r="GU180" i="27"/>
  <c r="DD177" i="27"/>
  <c r="DC177" i="27"/>
  <c r="DO177" i="27"/>
  <c r="DB177" i="27"/>
  <c r="HG175" i="27"/>
  <c r="GT175" i="27"/>
  <c r="GV175" i="27"/>
  <c r="GU175" i="27"/>
  <c r="DC189" i="27"/>
  <c r="DB189" i="27"/>
  <c r="DD189" i="27"/>
  <c r="DO189" i="27"/>
  <c r="EX193" i="27"/>
  <c r="EY193" i="27"/>
  <c r="FK193" i="27"/>
  <c r="FM193" i="27" s="1"/>
  <c r="EZ193" i="27"/>
  <c r="EZ192" i="27"/>
  <c r="FK192" i="27"/>
  <c r="FM192" i="27" s="1"/>
  <c r="EX192" i="27"/>
  <c r="EY192" i="27"/>
  <c r="DD191" i="27"/>
  <c r="DB191" i="27"/>
  <c r="DC191" i="27"/>
  <c r="DO191" i="27"/>
  <c r="DD187" i="27"/>
  <c r="DC187" i="27"/>
  <c r="DO187" i="27"/>
  <c r="DB187" i="27"/>
  <c r="DH174" i="27"/>
  <c r="DI174" i="27"/>
  <c r="DP174" i="27"/>
  <c r="DQ174" i="27" s="1"/>
  <c r="DJ174" i="27"/>
  <c r="FF185" i="27"/>
  <c r="FL185" i="27"/>
  <c r="FD185" i="27"/>
  <c r="FE185" i="27"/>
  <c r="HH175" i="27"/>
  <c r="HB175" i="27"/>
  <c r="GZ175" i="27"/>
  <c r="HA175" i="27"/>
  <c r="DJ179" i="27"/>
  <c r="DP179" i="27"/>
  <c r="DI179" i="27"/>
  <c r="DH179" i="27"/>
  <c r="FF181" i="27"/>
  <c r="FL181" i="27"/>
  <c r="FM181" i="27" s="1"/>
  <c r="FE181" i="27"/>
  <c r="FD181" i="27"/>
  <c r="FD191" i="27"/>
  <c r="FE191" i="27"/>
  <c r="FL191" i="27"/>
  <c r="FF191" i="27"/>
  <c r="HA188" i="27"/>
  <c r="GZ188" i="27"/>
  <c r="HH188" i="27"/>
  <c r="HI188" i="27" s="1"/>
  <c r="HB188" i="27"/>
  <c r="FD195" i="27"/>
  <c r="FL195" i="27"/>
  <c r="FE195" i="27"/>
  <c r="FF195" i="27"/>
  <c r="HH189" i="27"/>
  <c r="HI189" i="27" s="1"/>
  <c r="HB189" i="27"/>
  <c r="GZ189" i="27"/>
  <c r="HA189" i="27"/>
  <c r="GZ186" i="27"/>
  <c r="HB186" i="27"/>
  <c r="HH186" i="27"/>
  <c r="HI186" i="27" s="1"/>
  <c r="HA186" i="27"/>
  <c r="GT206" i="27"/>
  <c r="GU206" i="27"/>
  <c r="HG206" i="27"/>
  <c r="GV206" i="27"/>
  <c r="EX209" i="27"/>
  <c r="EY209" i="27"/>
  <c r="FK209" i="27"/>
  <c r="FM209" i="27" s="1"/>
  <c r="EZ209" i="27"/>
  <c r="DC201" i="27"/>
  <c r="DO201" i="27"/>
  <c r="DQ201" i="27" s="1"/>
  <c r="DD201" i="27"/>
  <c r="DB201" i="27"/>
  <c r="DB199" i="27"/>
  <c r="DC199" i="27"/>
  <c r="DD199" i="27"/>
  <c r="DO199" i="27"/>
  <c r="GV202" i="27"/>
  <c r="HG202" i="27"/>
  <c r="HI202" i="27" s="1"/>
  <c r="GU202" i="27"/>
  <c r="GT202" i="27"/>
  <c r="HH206" i="27"/>
  <c r="GZ206" i="27"/>
  <c r="HB206" i="27"/>
  <c r="HA206" i="27"/>
  <c r="FL210" i="27"/>
  <c r="FE210" i="27"/>
  <c r="FF210" i="27"/>
  <c r="FD210" i="27"/>
  <c r="FL199" i="27"/>
  <c r="FE199" i="27"/>
  <c r="FD199" i="27"/>
  <c r="FF199" i="27"/>
  <c r="DJ202" i="27"/>
  <c r="DI202" i="27"/>
  <c r="DP202" i="27"/>
  <c r="DH202" i="27"/>
  <c r="DH205" i="27"/>
  <c r="DP205" i="27"/>
  <c r="DQ205" i="27" s="1"/>
  <c r="DJ205" i="27"/>
  <c r="DI205" i="27"/>
  <c r="ET249" i="27"/>
  <c r="FJ249" i="27"/>
  <c r="ES249" i="27"/>
  <c r="ER249" i="27"/>
  <c r="HF256" i="27"/>
  <c r="GP256" i="27"/>
  <c r="GN256" i="27"/>
  <c r="GO256" i="27"/>
  <c r="GO250" i="27"/>
  <c r="GN250" i="27"/>
  <c r="GP250" i="27"/>
  <c r="HF250" i="27"/>
  <c r="GP252" i="27"/>
  <c r="GN252" i="27"/>
  <c r="GO252" i="27"/>
  <c r="HF252" i="27"/>
  <c r="HF245" i="27"/>
  <c r="GO245" i="27"/>
  <c r="GN245" i="27"/>
  <c r="GP245" i="27"/>
  <c r="CW255" i="27"/>
  <c r="CX255" i="27"/>
  <c r="CV255" i="27"/>
  <c r="DN255" i="27"/>
  <c r="GO218" i="27"/>
  <c r="HF218" i="27"/>
  <c r="GP218" i="27"/>
  <c r="GN218" i="27"/>
  <c r="GO215" i="27"/>
  <c r="GP215" i="27"/>
  <c r="GN215" i="27"/>
  <c r="HF215" i="27"/>
  <c r="ES221" i="27"/>
  <c r="FJ221" i="27"/>
  <c r="ER221" i="27"/>
  <c r="ET221" i="27"/>
  <c r="DN226" i="27"/>
  <c r="CX226" i="27"/>
  <c r="CW226" i="27"/>
  <c r="CV226" i="27"/>
  <c r="FJ216" i="27"/>
  <c r="ER216" i="27"/>
  <c r="ES216" i="27"/>
  <c r="ET216" i="27"/>
  <c r="GO228" i="27"/>
  <c r="GN228" i="27"/>
  <c r="GP228" i="27"/>
  <c r="HF228" i="27"/>
  <c r="FJ234" i="27"/>
  <c r="ET234" i="27"/>
  <c r="ER234" i="27"/>
  <c r="ES234" i="27"/>
  <c r="GP237" i="27"/>
  <c r="GN237" i="27"/>
  <c r="HF237" i="27"/>
  <c r="GO237" i="27"/>
  <c r="GO235" i="27"/>
  <c r="GN235" i="27"/>
  <c r="GP235" i="27"/>
  <c r="HF235" i="27"/>
  <c r="CW240" i="27"/>
  <c r="DN240" i="27"/>
  <c r="CV240" i="27"/>
  <c r="CX240" i="27"/>
  <c r="ES239" i="27"/>
  <c r="FJ239" i="27"/>
  <c r="ET239" i="27"/>
  <c r="ER239" i="27"/>
  <c r="CQ219" i="27"/>
  <c r="DM219" i="27"/>
  <c r="CR219" i="27"/>
  <c r="CP219" i="27"/>
  <c r="DM214" i="27"/>
  <c r="CP214" i="27"/>
  <c r="CR214" i="27"/>
  <c r="CQ214" i="27"/>
  <c r="CQ217" i="27"/>
  <c r="CR217" i="27"/>
  <c r="CP217" i="27"/>
  <c r="DM217" i="27"/>
  <c r="EM221" i="27"/>
  <c r="EL221" i="27"/>
  <c r="FI221" i="27"/>
  <c r="EN221" i="27"/>
  <c r="EM212" i="27"/>
  <c r="EN212" i="27"/>
  <c r="FI212" i="27"/>
  <c r="EL212" i="27"/>
  <c r="GI224" i="27"/>
  <c r="GH224" i="27"/>
  <c r="GJ224" i="27"/>
  <c r="HE224" i="27"/>
  <c r="GJ231" i="27"/>
  <c r="HE231" i="27"/>
  <c r="GH231" i="27"/>
  <c r="GI231" i="27"/>
  <c r="CR227" i="27"/>
  <c r="DM227" i="27"/>
  <c r="CP227" i="27"/>
  <c r="CQ227" i="27"/>
  <c r="GH233" i="27"/>
  <c r="GJ233" i="27"/>
  <c r="HE233" i="27"/>
  <c r="GI233" i="27"/>
  <c r="CP242" i="27"/>
  <c r="DM242" i="27"/>
  <c r="CR242" i="27"/>
  <c r="CQ242" i="27"/>
  <c r="EL237" i="27"/>
  <c r="FI237" i="27"/>
  <c r="EM237" i="27"/>
  <c r="EN237" i="27"/>
  <c r="EM232" i="27"/>
  <c r="FI232" i="27"/>
  <c r="EL232" i="27"/>
  <c r="EN232" i="27"/>
  <c r="GD347" i="27"/>
  <c r="GB347" i="27"/>
  <c r="HD347" i="27"/>
  <c r="GC347" i="27"/>
  <c r="HD360" i="27"/>
  <c r="GD360" i="27"/>
  <c r="GC360" i="27"/>
  <c r="GB360" i="27"/>
  <c r="CL349" i="27"/>
  <c r="DL349" i="27"/>
  <c r="CJ349" i="27"/>
  <c r="CK349" i="27"/>
  <c r="EG348" i="27"/>
  <c r="EF348" i="27"/>
  <c r="EH348" i="27"/>
  <c r="FH348" i="27"/>
  <c r="EH342" i="27"/>
  <c r="FH342" i="27"/>
  <c r="EF342" i="27"/>
  <c r="EG342" i="27"/>
  <c r="CJ343" i="27"/>
  <c r="CL343" i="27"/>
  <c r="CK343" i="27"/>
  <c r="DL343" i="27"/>
  <c r="CK357" i="27"/>
  <c r="DL357" i="27"/>
  <c r="CJ357" i="27"/>
  <c r="CL357" i="27"/>
  <c r="GC345" i="27"/>
  <c r="HD345" i="27"/>
  <c r="GB345" i="27"/>
  <c r="GD345" i="27"/>
  <c r="EG361" i="27"/>
  <c r="FH361" i="27"/>
  <c r="EF361" i="27"/>
  <c r="EH361" i="27"/>
  <c r="L95" i="31"/>
  <c r="AF95" i="31" s="1"/>
  <c r="AH91" i="3"/>
  <c r="HI197" i="27"/>
  <c r="HO164" i="27"/>
  <c r="HM164" i="27"/>
  <c r="FS158" i="27"/>
  <c r="FQ158" i="27"/>
  <c r="FS159" i="27"/>
  <c r="FQ159" i="27"/>
  <c r="FQ149" i="27"/>
  <c r="FS149" i="27"/>
  <c r="BH81" i="31"/>
  <c r="AV81" i="31"/>
  <c r="BB81" i="31" s="1"/>
  <c r="HO152" i="27"/>
  <c r="HM152" i="27"/>
  <c r="DQ149" i="27"/>
  <c r="HI149" i="27"/>
  <c r="FS171" i="27"/>
  <c r="FQ171" i="27"/>
  <c r="DQ207" i="27"/>
  <c r="FM184" i="27"/>
  <c r="FM142" i="27"/>
  <c r="DQ150" i="27"/>
  <c r="HI142" i="27"/>
  <c r="HI143" i="27"/>
  <c r="HI174" i="27"/>
  <c r="DU116" i="27"/>
  <c r="DW116" i="27"/>
  <c r="EY185" i="27"/>
  <c r="EX185" i="27"/>
  <c r="EZ185" i="27"/>
  <c r="FK185" i="27"/>
  <c r="DO173" i="27"/>
  <c r="DC173" i="27"/>
  <c r="DD173" i="27"/>
  <c r="DB173" i="27"/>
  <c r="EY180" i="27"/>
  <c r="EZ180" i="27"/>
  <c r="EX180" i="27"/>
  <c r="FK180" i="27"/>
  <c r="FM180" i="27" s="1"/>
  <c r="EX177" i="27"/>
  <c r="EY177" i="27"/>
  <c r="FK177" i="27"/>
  <c r="EZ177" i="27"/>
  <c r="GT182" i="27"/>
  <c r="HG182" i="27"/>
  <c r="GV182" i="27"/>
  <c r="GU182" i="27"/>
  <c r="EZ189" i="27"/>
  <c r="FK189" i="27"/>
  <c r="EY189" i="27"/>
  <c r="EX189" i="27"/>
  <c r="DC193" i="27"/>
  <c r="DD193" i="27"/>
  <c r="DB193" i="27"/>
  <c r="DO193" i="27"/>
  <c r="DQ193" i="27" s="1"/>
  <c r="DC196" i="27"/>
  <c r="DD196" i="27"/>
  <c r="DO196" i="27"/>
  <c r="DQ196" i="27" s="1"/>
  <c r="DB196" i="27"/>
  <c r="EY191" i="27"/>
  <c r="FK191" i="27"/>
  <c r="EX191" i="27"/>
  <c r="EZ191" i="27"/>
  <c r="GU187" i="27"/>
  <c r="GV187" i="27"/>
  <c r="GT187" i="27"/>
  <c r="HG187" i="27"/>
  <c r="HI187" i="27" s="1"/>
  <c r="FF177" i="27"/>
  <c r="FL177" i="27"/>
  <c r="FD177" i="27"/>
  <c r="FE177" i="27"/>
  <c r="HA185" i="27"/>
  <c r="GZ185" i="27"/>
  <c r="HB185" i="27"/>
  <c r="HH185" i="27"/>
  <c r="DJ175" i="27"/>
  <c r="DH175" i="27"/>
  <c r="DP175" i="27"/>
  <c r="DI175" i="27"/>
  <c r="HH183" i="27"/>
  <c r="HB183" i="27"/>
  <c r="HA183" i="27"/>
  <c r="GZ183" i="27"/>
  <c r="DJ181" i="27"/>
  <c r="DP181" i="27"/>
  <c r="DI181" i="27"/>
  <c r="DH181" i="27"/>
  <c r="HH191" i="27"/>
  <c r="HA191" i="27"/>
  <c r="HB191" i="27"/>
  <c r="GZ191" i="27"/>
  <c r="HA196" i="27"/>
  <c r="HB196" i="27"/>
  <c r="HH196" i="27"/>
  <c r="HI196" i="27" s="1"/>
  <c r="GZ196" i="27"/>
  <c r="DH195" i="27"/>
  <c r="DI195" i="27"/>
  <c r="DJ195" i="27"/>
  <c r="DP195" i="27"/>
  <c r="DJ189" i="27"/>
  <c r="DP189" i="27"/>
  <c r="DH189" i="27"/>
  <c r="DI189" i="27"/>
  <c r="EZ206" i="27"/>
  <c r="FK206" i="27"/>
  <c r="EX206" i="27"/>
  <c r="EY206" i="27"/>
  <c r="GU209" i="27"/>
  <c r="HG209" i="27"/>
  <c r="HI209" i="27" s="1"/>
  <c r="GT209" i="27"/>
  <c r="GV209" i="27"/>
  <c r="GU208" i="27"/>
  <c r="HG208" i="27"/>
  <c r="GV208" i="27"/>
  <c r="GT208" i="27"/>
  <c r="GT199" i="27"/>
  <c r="HG199" i="27"/>
  <c r="GV199" i="27"/>
  <c r="GU199" i="27"/>
  <c r="DC202" i="27"/>
  <c r="DB202" i="27"/>
  <c r="DO202" i="27"/>
  <c r="DD202" i="27"/>
  <c r="DJ203" i="27"/>
  <c r="DI203" i="27"/>
  <c r="DP203" i="27"/>
  <c r="DH203" i="27"/>
  <c r="DJ210" i="27"/>
  <c r="DI210" i="27"/>
  <c r="DP210" i="27"/>
  <c r="DH210" i="27"/>
  <c r="HA199" i="27"/>
  <c r="HH199" i="27"/>
  <c r="HB199" i="27"/>
  <c r="GZ199" i="27"/>
  <c r="GZ201" i="27"/>
  <c r="HH201" i="27"/>
  <c r="HB201" i="27"/>
  <c r="HA201" i="27"/>
  <c r="FE205" i="27"/>
  <c r="FD205" i="27"/>
  <c r="FL205" i="27"/>
  <c r="FF205" i="27"/>
  <c r="CX249" i="27"/>
  <c r="CV249" i="27"/>
  <c r="CW249" i="27"/>
  <c r="DN249" i="27"/>
  <c r="ES251" i="27"/>
  <c r="FJ251" i="27"/>
  <c r="ET251" i="27"/>
  <c r="ER251" i="27"/>
  <c r="FJ250" i="27"/>
  <c r="ES250" i="27"/>
  <c r="ER250" i="27"/>
  <c r="ET250" i="27"/>
  <c r="ET252" i="27"/>
  <c r="ES252" i="27"/>
  <c r="FJ252" i="27"/>
  <c r="ER252" i="27"/>
  <c r="GO248" i="27"/>
  <c r="GP248" i="27"/>
  <c r="HF248" i="27"/>
  <c r="GN248" i="27"/>
  <c r="GN255" i="27"/>
  <c r="GO255" i="27"/>
  <c r="GP255" i="27"/>
  <c r="HF255" i="27"/>
  <c r="ER218" i="27"/>
  <c r="ES218" i="27"/>
  <c r="FJ218" i="27"/>
  <c r="ET218" i="27"/>
  <c r="ES212" i="27"/>
  <c r="ER212" i="27"/>
  <c r="FJ212" i="27"/>
  <c r="ET212" i="27"/>
  <c r="GO221" i="27"/>
  <c r="HF221" i="27"/>
  <c r="GP221" i="27"/>
  <c r="GN221" i="27"/>
  <c r="GO226" i="27"/>
  <c r="GN226" i="27"/>
  <c r="GP226" i="27"/>
  <c r="HF226" i="27"/>
  <c r="DN223" i="27"/>
  <c r="CX223" i="27"/>
  <c r="CW223" i="27"/>
  <c r="CV223" i="27"/>
  <c r="ES228" i="27"/>
  <c r="FJ228" i="27"/>
  <c r="ER228" i="27"/>
  <c r="ET228" i="27"/>
  <c r="DN234" i="27"/>
  <c r="CX234" i="27"/>
  <c r="CV234" i="27"/>
  <c r="CW234" i="27"/>
  <c r="ES233" i="27"/>
  <c r="ET233" i="27"/>
  <c r="FJ233" i="27"/>
  <c r="ER233" i="27"/>
  <c r="ES235" i="27"/>
  <c r="FJ235" i="27"/>
  <c r="ER235" i="27"/>
  <c r="ET235" i="27"/>
  <c r="ET240" i="27"/>
  <c r="ES240" i="27"/>
  <c r="FJ240" i="27"/>
  <c r="ER240" i="27"/>
  <c r="GO232" i="27"/>
  <c r="GP232" i="27"/>
  <c r="GN232" i="27"/>
  <c r="HF232" i="27"/>
  <c r="EN219" i="27"/>
  <c r="EM219" i="27"/>
  <c r="FI219" i="27"/>
  <c r="EL219" i="27"/>
  <c r="EM214" i="27"/>
  <c r="FI214" i="27"/>
  <c r="EN214" i="27"/>
  <c r="EL214" i="27"/>
  <c r="GH222" i="27"/>
  <c r="GJ222" i="27"/>
  <c r="GI222" i="27"/>
  <c r="HE222" i="27"/>
  <c r="GI221" i="27"/>
  <c r="GH221" i="27"/>
  <c r="HE221" i="27"/>
  <c r="GJ221" i="27"/>
  <c r="GH212" i="27"/>
  <c r="GJ212" i="27"/>
  <c r="GI212" i="27"/>
  <c r="HE212" i="27"/>
  <c r="GH226" i="27"/>
  <c r="GI226" i="27"/>
  <c r="HE226" i="27"/>
  <c r="GJ226" i="27"/>
  <c r="EN231" i="27"/>
  <c r="EM231" i="27"/>
  <c r="FI231" i="27"/>
  <c r="EL231" i="27"/>
  <c r="GI227" i="27"/>
  <c r="HE227" i="27"/>
  <c r="GH227" i="27"/>
  <c r="GJ227" i="27"/>
  <c r="GH236" i="27"/>
  <c r="HE236" i="27"/>
  <c r="GI236" i="27"/>
  <c r="GJ236" i="27"/>
  <c r="EL242" i="27"/>
  <c r="EM242" i="27"/>
  <c r="EN242" i="27"/>
  <c r="FI242" i="27"/>
  <c r="CP237" i="27"/>
  <c r="CQ237" i="27"/>
  <c r="DM237" i="27"/>
  <c r="CR237" i="27"/>
  <c r="FI229" i="27"/>
  <c r="EN229" i="27"/>
  <c r="EL229" i="27"/>
  <c r="EM229" i="27"/>
  <c r="DL347" i="27"/>
  <c r="CJ347" i="27"/>
  <c r="CL347" i="27"/>
  <c r="CK347" i="27"/>
  <c r="CK360" i="27"/>
  <c r="DL360" i="27"/>
  <c r="CL360" i="27"/>
  <c r="CJ360" i="27"/>
  <c r="FH351" i="27"/>
  <c r="EF351" i="27"/>
  <c r="EG351" i="27"/>
  <c r="EH351" i="27"/>
  <c r="CJ348" i="27"/>
  <c r="CK348" i="27"/>
  <c r="CL348" i="27"/>
  <c r="DL348" i="27"/>
  <c r="GC342" i="27"/>
  <c r="GB342" i="27"/>
  <c r="HD342" i="27"/>
  <c r="GD342" i="27"/>
  <c r="HD344" i="27"/>
  <c r="GB344" i="27"/>
  <c r="GD344" i="27"/>
  <c r="GC344" i="27"/>
  <c r="HD357" i="27"/>
  <c r="GD357" i="27"/>
  <c r="GB357" i="27"/>
  <c r="GC357" i="27"/>
  <c r="CK345" i="27"/>
  <c r="CJ345" i="27"/>
  <c r="CL345" i="27"/>
  <c r="DL345" i="27"/>
  <c r="CJ362" i="27"/>
  <c r="CL362" i="27"/>
  <c r="DL362" i="27"/>
  <c r="CK362" i="27"/>
  <c r="P86" i="31"/>
  <c r="AL82" i="3"/>
  <c r="AH90" i="3"/>
  <c r="L94" i="31"/>
  <c r="AF94" i="31" s="1"/>
  <c r="FQ150" i="27"/>
  <c r="FS150" i="27"/>
  <c r="HO151" i="27"/>
  <c r="HM151" i="27"/>
  <c r="HO171" i="27"/>
  <c r="HM171" i="27"/>
  <c r="DW151" i="27"/>
  <c r="DU151" i="27"/>
  <c r="BF85" i="31"/>
  <c r="AT85" i="31"/>
  <c r="AZ85" i="31" s="1"/>
  <c r="DQ163" i="27"/>
  <c r="DQ184" i="27"/>
  <c r="AR93" i="31"/>
  <c r="AX93" i="31" s="1"/>
  <c r="BD93" i="31"/>
  <c r="GV185" i="27"/>
  <c r="GT185" i="27"/>
  <c r="GU185" i="27"/>
  <c r="HG185" i="27"/>
  <c r="GV173" i="27"/>
  <c r="GU173" i="27"/>
  <c r="GT173" i="27"/>
  <c r="HG173" i="27"/>
  <c r="HI173" i="27" s="1"/>
  <c r="DB181" i="27"/>
  <c r="DD181" i="27"/>
  <c r="DO181" i="27"/>
  <c r="DQ181" i="27" s="1"/>
  <c r="DC181" i="27"/>
  <c r="GT177" i="27"/>
  <c r="GV177" i="27"/>
  <c r="GU177" i="27"/>
  <c r="HG177" i="27"/>
  <c r="DB182" i="27"/>
  <c r="DC182" i="27"/>
  <c r="DD182" i="27"/>
  <c r="DO182" i="27"/>
  <c r="DC190" i="27"/>
  <c r="DO190" i="27"/>
  <c r="DD190" i="27"/>
  <c r="DB190" i="27"/>
  <c r="GU193" i="27"/>
  <c r="HG193" i="27"/>
  <c r="GV193" i="27"/>
  <c r="GT193" i="27"/>
  <c r="EZ196" i="27"/>
  <c r="EX196" i="27"/>
  <c r="FK196" i="27"/>
  <c r="EY196" i="27"/>
  <c r="DO197" i="27"/>
  <c r="DQ197" i="27" s="1"/>
  <c r="DB197" i="27"/>
  <c r="DC197" i="27"/>
  <c r="DD197" i="27"/>
  <c r="EX187" i="27"/>
  <c r="EY187" i="27"/>
  <c r="FK187" i="27"/>
  <c r="EZ187" i="27"/>
  <c r="DH177" i="27"/>
  <c r="DI177" i="27"/>
  <c r="DP177" i="27"/>
  <c r="DJ177" i="27"/>
  <c r="DI173" i="27"/>
  <c r="DP173" i="27"/>
  <c r="DH173" i="27"/>
  <c r="DJ173" i="27"/>
  <c r="FF175" i="27"/>
  <c r="FD175" i="27"/>
  <c r="FL175" i="27"/>
  <c r="FE175" i="27"/>
  <c r="DJ183" i="27"/>
  <c r="DP183" i="27"/>
  <c r="DI183" i="27"/>
  <c r="DH183" i="27"/>
  <c r="DH187" i="27"/>
  <c r="DI187" i="27"/>
  <c r="DP187" i="27"/>
  <c r="DJ187" i="27"/>
  <c r="DI191" i="27"/>
  <c r="DH191" i="27"/>
  <c r="DP191" i="27"/>
  <c r="DJ191" i="27"/>
  <c r="FL196" i="27"/>
  <c r="FF196" i="27"/>
  <c r="FE196" i="27"/>
  <c r="FD196" i="27"/>
  <c r="DH190" i="27"/>
  <c r="DJ190" i="27"/>
  <c r="DI190" i="27"/>
  <c r="DP190" i="27"/>
  <c r="FE189" i="27"/>
  <c r="FD189" i="27"/>
  <c r="FL189" i="27"/>
  <c r="FF189" i="27"/>
  <c r="DB210" i="27"/>
  <c r="DD210" i="27"/>
  <c r="DO210" i="27"/>
  <c r="DC210" i="27"/>
  <c r="DD209" i="27"/>
  <c r="DC209" i="27"/>
  <c r="DO209" i="27"/>
  <c r="DQ209" i="27" s="1"/>
  <c r="DB209" i="27"/>
  <c r="FK208" i="27"/>
  <c r="EY208" i="27"/>
  <c r="EZ208" i="27"/>
  <c r="EX208" i="27"/>
  <c r="GU203" i="27"/>
  <c r="GV203" i="27"/>
  <c r="GT203" i="27"/>
  <c r="HG203" i="27"/>
  <c r="EX202" i="27"/>
  <c r="EZ202" i="27"/>
  <c r="FK202" i="27"/>
  <c r="FM202" i="27" s="1"/>
  <c r="EY202" i="27"/>
  <c r="FE203" i="27"/>
  <c r="FL203" i="27"/>
  <c r="FM203" i="27" s="1"/>
  <c r="FD203" i="27"/>
  <c r="FF203" i="27"/>
  <c r="HB200" i="27"/>
  <c r="HH200" i="27"/>
  <c r="GZ200" i="27"/>
  <c r="HA200" i="27"/>
  <c r="DJ199" i="27"/>
  <c r="DH199" i="27"/>
  <c r="DI199" i="27"/>
  <c r="DP199" i="27"/>
  <c r="FL201" i="27"/>
  <c r="FF201" i="27"/>
  <c r="FD201" i="27"/>
  <c r="FE201" i="27"/>
  <c r="HH208" i="27"/>
  <c r="HB208" i="27"/>
  <c r="GZ208" i="27"/>
  <c r="HA208" i="27"/>
  <c r="GP249" i="27"/>
  <c r="GN249" i="27"/>
  <c r="GO249" i="27"/>
  <c r="HF249" i="27"/>
  <c r="GO251" i="27"/>
  <c r="GN251" i="27"/>
  <c r="HF251" i="27"/>
  <c r="GP251" i="27"/>
  <c r="FJ254" i="27"/>
  <c r="ER254" i="27"/>
  <c r="ES254" i="27"/>
  <c r="ET254" i="27"/>
  <c r="CV252" i="27"/>
  <c r="DN252" i="27"/>
  <c r="CX252" i="27"/>
  <c r="CW252" i="27"/>
  <c r="CW248" i="27"/>
  <c r="CX248" i="27"/>
  <c r="CV248" i="27"/>
  <c r="DN248" i="27"/>
  <c r="FJ257" i="27"/>
  <c r="ER257" i="27"/>
  <c r="ES257" i="27"/>
  <c r="ET257" i="27"/>
  <c r="GN219" i="27"/>
  <c r="HF219" i="27"/>
  <c r="GP219" i="27"/>
  <c r="GO219" i="27"/>
  <c r="CW218" i="27"/>
  <c r="CX218" i="27"/>
  <c r="CV218" i="27"/>
  <c r="DN218" i="27"/>
  <c r="HF212" i="27"/>
  <c r="GP212" i="27"/>
  <c r="GN212" i="27"/>
  <c r="GO212" i="27"/>
  <c r="GN224" i="27"/>
  <c r="GO224" i="27"/>
  <c r="HF224" i="27"/>
  <c r="GP224" i="27"/>
  <c r="FJ226" i="27"/>
  <c r="ES226" i="27"/>
  <c r="ET226" i="27"/>
  <c r="ER226" i="27"/>
  <c r="FJ223" i="27"/>
  <c r="ET223" i="27"/>
  <c r="ER223" i="27"/>
  <c r="ES223" i="27"/>
  <c r="ES229" i="27"/>
  <c r="ER229" i="27"/>
  <c r="FJ229" i="27"/>
  <c r="ET229" i="27"/>
  <c r="GO234" i="27"/>
  <c r="HF234" i="27"/>
  <c r="GN234" i="27"/>
  <c r="GP234" i="27"/>
  <c r="DN233" i="27"/>
  <c r="CW233" i="27"/>
  <c r="CV233" i="27"/>
  <c r="CX233" i="27"/>
  <c r="ES227" i="27"/>
  <c r="ET227" i="27"/>
  <c r="FJ227" i="27"/>
  <c r="ER227" i="27"/>
  <c r="GN240" i="27"/>
  <c r="HF240" i="27"/>
  <c r="GO240" i="27"/>
  <c r="GP240" i="27"/>
  <c r="FJ232" i="27"/>
  <c r="ET232" i="27"/>
  <c r="ER232" i="27"/>
  <c r="ES232" i="27"/>
  <c r="EM218" i="27"/>
  <c r="FI218" i="27"/>
  <c r="EN218" i="27"/>
  <c r="EL218" i="27"/>
  <c r="GI214" i="27"/>
  <c r="HE214" i="27"/>
  <c r="GH214" i="27"/>
  <c r="GJ214" i="27"/>
  <c r="DM222" i="27"/>
  <c r="CQ222" i="27"/>
  <c r="CR222" i="27"/>
  <c r="CP222" i="27"/>
  <c r="GJ216" i="27"/>
  <c r="HE216" i="27"/>
  <c r="GI216" i="27"/>
  <c r="GH216" i="27"/>
  <c r="CQ212" i="27"/>
  <c r="CP212" i="27"/>
  <c r="CR212" i="27"/>
  <c r="DM212" i="27"/>
  <c r="EL226" i="27"/>
  <c r="FI226" i="27"/>
  <c r="EN226" i="27"/>
  <c r="EM226" i="27"/>
  <c r="CQ238" i="27"/>
  <c r="DM238" i="27"/>
  <c r="CR238" i="27"/>
  <c r="CP238" i="27"/>
  <c r="FI227" i="27"/>
  <c r="EM227" i="27"/>
  <c r="EL227" i="27"/>
  <c r="EN227" i="27"/>
  <c r="CR236" i="27"/>
  <c r="CQ236" i="27"/>
  <c r="DM236" i="27"/>
  <c r="CP236" i="27"/>
  <c r="HE239" i="27"/>
  <c r="GH239" i="27"/>
  <c r="GI239" i="27"/>
  <c r="GJ239" i="27"/>
  <c r="GJ237" i="27"/>
  <c r="GI237" i="27"/>
  <c r="HE237" i="27"/>
  <c r="GH237" i="27"/>
  <c r="CP229" i="27"/>
  <c r="CR229" i="27"/>
  <c r="CQ229" i="27"/>
  <c r="DM229" i="27"/>
  <c r="EF358" i="27"/>
  <c r="EG358" i="27"/>
  <c r="EH358" i="27"/>
  <c r="FH358" i="27"/>
  <c r="EH360" i="27"/>
  <c r="EG360" i="27"/>
  <c r="FH360" i="27"/>
  <c r="EF360" i="27"/>
  <c r="GB351" i="27"/>
  <c r="GD351" i="27"/>
  <c r="GC351" i="27"/>
  <c r="HD351" i="27"/>
  <c r="EH355" i="27"/>
  <c r="EG355" i="27"/>
  <c r="FH355" i="27"/>
  <c r="EF355" i="27"/>
  <c r="DL342" i="27"/>
  <c r="CL342" i="27"/>
  <c r="CK342" i="27"/>
  <c r="CJ342" i="27"/>
  <c r="CL344" i="27"/>
  <c r="DL344" i="27"/>
  <c r="CJ344" i="27"/>
  <c r="CK344" i="27"/>
  <c r="EH353" i="27"/>
  <c r="FH353" i="27"/>
  <c r="EG353" i="27"/>
  <c r="EF353" i="27"/>
  <c r="EH345" i="27"/>
  <c r="FH345" i="27"/>
  <c r="EF345" i="27"/>
  <c r="EG345" i="27"/>
  <c r="HD362" i="27"/>
  <c r="GB362" i="27"/>
  <c r="GC362" i="27"/>
  <c r="GD362" i="27"/>
  <c r="P85" i="31"/>
  <c r="AL81" i="3"/>
  <c r="L96" i="31"/>
  <c r="AF96" i="31" s="1"/>
  <c r="AH92" i="3"/>
  <c r="I27" i="5"/>
  <c r="S27" i="5" s="1"/>
  <c r="K26" i="5"/>
  <c r="U26" i="5" s="1"/>
  <c r="J26" i="5"/>
  <c r="T26" i="5" s="1"/>
  <c r="G30" i="5"/>
  <c r="Q30" i="5" s="1"/>
  <c r="AP240" i="3"/>
  <c r="AG255" i="27"/>
  <c r="AG260" i="27"/>
  <c r="S318" i="27"/>
  <c r="AN266" i="27"/>
  <c r="Y89" i="5"/>
  <c r="Z333" i="27"/>
  <c r="S319" i="27"/>
  <c r="Z332" i="27"/>
  <c r="AN276" i="27"/>
  <c r="AR114" i="3"/>
  <c r="AN269" i="27"/>
  <c r="AQ188" i="3"/>
  <c r="Z305" i="27"/>
  <c r="AN259" i="27"/>
  <c r="AA86" i="5"/>
  <c r="Z338" i="27"/>
  <c r="AS65" i="3"/>
  <c r="AP245" i="3"/>
  <c r="AG244" i="27"/>
  <c r="AQ187" i="3"/>
  <c r="AG269" i="27"/>
  <c r="AQ203" i="3"/>
  <c r="AQ193" i="3"/>
  <c r="Z301" i="27"/>
  <c r="Z322" i="27"/>
  <c r="AN275" i="27"/>
  <c r="AP230" i="3"/>
  <c r="AN255" i="27"/>
  <c r="Z304" i="27"/>
  <c r="AP225" i="3"/>
  <c r="Z335" i="27"/>
  <c r="AQ184" i="3"/>
  <c r="Z307" i="27"/>
  <c r="Z321" i="27"/>
  <c r="AQ197" i="3"/>
  <c r="Z329" i="27"/>
  <c r="AP242" i="3"/>
  <c r="AG268" i="27"/>
  <c r="AN258" i="27"/>
  <c r="AN247" i="27"/>
  <c r="X99" i="5"/>
  <c r="AN261" i="27"/>
  <c r="Z310" i="27"/>
  <c r="AQ206" i="3"/>
  <c r="Z314" i="27"/>
  <c r="AG246" i="27"/>
  <c r="AP215" i="3"/>
  <c r="S301" i="27"/>
  <c r="AG252" i="27"/>
  <c r="AP239" i="3"/>
  <c r="AN252" i="27"/>
  <c r="X98" i="5"/>
  <c r="AG253" i="27"/>
  <c r="AP235" i="3"/>
  <c r="Z330" i="27"/>
  <c r="Z299" i="27"/>
  <c r="AN248" i="27"/>
  <c r="AS70" i="3"/>
  <c r="AN257" i="27"/>
  <c r="AP211" i="3"/>
  <c r="AR112" i="3"/>
  <c r="S312" i="27"/>
  <c r="AP249" i="3"/>
  <c r="S311" i="27"/>
  <c r="Z320" i="27"/>
  <c r="S302" i="27"/>
  <c r="AR117" i="3"/>
  <c r="Z324" i="27"/>
  <c r="AN271" i="27"/>
  <c r="AR111" i="3"/>
  <c r="AQ186" i="3"/>
  <c r="Z326" i="27"/>
  <c r="AN273" i="27"/>
  <c r="AQ191" i="3"/>
  <c r="AN263" i="27"/>
  <c r="AN260" i="27"/>
  <c r="AN246" i="27"/>
  <c r="S304" i="27"/>
  <c r="Z334" i="27"/>
  <c r="AQ194" i="3"/>
  <c r="Z331" i="27"/>
  <c r="Z318" i="27"/>
  <c r="Z328" i="27"/>
  <c r="AG266" i="27"/>
  <c r="Z337" i="27"/>
  <c r="Z309" i="27"/>
  <c r="AR123" i="3"/>
  <c r="Z327" i="27"/>
  <c r="Z317" i="27"/>
  <c r="Z308" i="27"/>
  <c r="AR113" i="3"/>
  <c r="AN272" i="27"/>
  <c r="S306" i="27"/>
  <c r="AQ201" i="3"/>
  <c r="AP213" i="3"/>
  <c r="AG261" i="27"/>
  <c r="AG251" i="27"/>
  <c r="AG262" i="27"/>
  <c r="AR116" i="3"/>
  <c r="AG277" i="27"/>
  <c r="AP255" i="3"/>
  <c r="AG276" i="27"/>
  <c r="AN270" i="27"/>
  <c r="Z319" i="27"/>
  <c r="AG271" i="27"/>
  <c r="AP232" i="3"/>
  <c r="AG249" i="27"/>
  <c r="S307" i="27"/>
  <c r="AP224" i="3"/>
  <c r="AP220" i="3"/>
  <c r="AG275" i="27"/>
  <c r="AN249" i="27"/>
  <c r="AG259" i="27"/>
  <c r="Z325" i="27"/>
  <c r="AS63" i="3"/>
  <c r="AQ192" i="3"/>
  <c r="S310" i="27"/>
  <c r="AP223" i="3"/>
  <c r="AR119" i="3"/>
  <c r="Z303" i="27"/>
  <c r="AR120" i="3"/>
  <c r="Z336" i="27"/>
  <c r="AP256" i="3"/>
  <c r="Z315" i="27"/>
  <c r="AS71" i="3"/>
  <c r="AP234" i="3"/>
  <c r="AB86" i="5"/>
  <c r="Z340" i="27"/>
  <c r="AP219" i="3"/>
  <c r="S316" i="27"/>
  <c r="AQ195" i="3"/>
  <c r="AQ204" i="3"/>
  <c r="AP210" i="3"/>
  <c r="AG250" i="27"/>
  <c r="Z316" i="27"/>
  <c r="AQ202" i="3"/>
  <c r="AP241" i="3"/>
  <c r="AG245" i="27"/>
  <c r="AP222" i="3"/>
  <c r="AN245" i="27"/>
  <c r="AP253" i="3"/>
  <c r="AP227" i="3"/>
  <c r="AG270" i="27"/>
  <c r="Z311" i="27"/>
  <c r="S308" i="27"/>
  <c r="S305" i="27"/>
  <c r="AQ185" i="3"/>
  <c r="AG272" i="27"/>
  <c r="AG248" i="27"/>
  <c r="AP248" i="3"/>
  <c r="AN277" i="27"/>
  <c r="S303" i="27"/>
  <c r="AP254" i="3"/>
  <c r="AG257" i="27"/>
  <c r="X100" i="5"/>
  <c r="AG267" i="27"/>
  <c r="AP231" i="3"/>
  <c r="Z312" i="27"/>
  <c r="AP236" i="3"/>
  <c r="Z302" i="27"/>
  <c r="AQ190" i="3"/>
  <c r="S315" i="27"/>
  <c r="AP244" i="3"/>
  <c r="AQ198" i="3"/>
  <c r="AP233" i="3"/>
  <c r="AP226" i="3"/>
  <c r="AQ205" i="3"/>
  <c r="Z90" i="5"/>
  <c r="Z300" i="27"/>
  <c r="AG263" i="27"/>
  <c r="AA87" i="5"/>
  <c r="S300" i="27"/>
  <c r="AN278" i="27"/>
  <c r="AG274" i="27"/>
  <c r="AN264" i="27"/>
  <c r="AN251" i="27"/>
  <c r="Y90" i="5"/>
  <c r="AS66" i="3"/>
  <c r="AP229" i="3"/>
  <c r="Z341" i="27"/>
  <c r="AP228" i="3"/>
  <c r="AP237" i="3"/>
  <c r="Z89" i="5"/>
  <c r="AR125" i="3"/>
  <c r="Z313" i="27"/>
  <c r="AQ196" i="3"/>
  <c r="AP216" i="3"/>
  <c r="AP252" i="3"/>
  <c r="Z339" i="27"/>
  <c r="AP212" i="3"/>
  <c r="AR122" i="3"/>
  <c r="AN254" i="27"/>
  <c r="AP217" i="3"/>
  <c r="AN256" i="27"/>
  <c r="AQ208" i="3"/>
  <c r="AN265" i="27"/>
  <c r="AG258" i="27"/>
  <c r="AR121" i="3"/>
  <c r="AP250" i="3"/>
  <c r="AQ189" i="3"/>
  <c r="AG254" i="27"/>
  <c r="AP214" i="3"/>
  <c r="AN268" i="27"/>
  <c r="AP246" i="3"/>
  <c r="S309" i="27"/>
  <c r="Z306" i="27"/>
  <c r="Z323" i="27"/>
  <c r="AP243" i="3"/>
  <c r="AN253" i="27"/>
  <c r="AQ200" i="3"/>
  <c r="S313" i="27"/>
  <c r="AB87" i="5"/>
  <c r="AR115" i="3"/>
  <c r="AS68" i="3"/>
  <c r="AR118" i="3"/>
  <c r="AR124" i="3"/>
  <c r="AQ199" i="3"/>
  <c r="AS69" i="3"/>
  <c r="AQ207" i="3"/>
  <c r="AS67" i="3"/>
  <c r="AP238" i="3"/>
  <c r="AP247" i="3"/>
  <c r="AG247" i="27"/>
  <c r="AN243" i="27"/>
  <c r="S314" i="27"/>
  <c r="AG278" i="27"/>
  <c r="AG243" i="27"/>
  <c r="AG273" i="27"/>
  <c r="AN244" i="27"/>
  <c r="AG264" i="27"/>
  <c r="AR126" i="3"/>
  <c r="AN267" i="27"/>
  <c r="AG265" i="27"/>
  <c r="AN250" i="27"/>
  <c r="AP251" i="3"/>
  <c r="AN274" i="27"/>
  <c r="Y88" i="5"/>
  <c r="AQ209" i="3"/>
  <c r="S317" i="27"/>
  <c r="AG256" i="27"/>
  <c r="AS64" i="3"/>
  <c r="AP218" i="3"/>
  <c r="AP221" i="3"/>
  <c r="S299" i="27"/>
  <c r="AN262" i="27"/>
  <c r="DQ198" i="27" l="1"/>
  <c r="FM199" i="27"/>
  <c r="HI192" i="27"/>
  <c r="FM205" i="27"/>
  <c r="FM177" i="27"/>
  <c r="HI185" i="27"/>
  <c r="HI210" i="27"/>
  <c r="HM145" i="27"/>
  <c r="FM210" i="27"/>
  <c r="HI190" i="27"/>
  <c r="FM211" i="27"/>
  <c r="HI182" i="27"/>
  <c r="DQ194" i="27"/>
  <c r="DU159" i="27"/>
  <c r="FM204" i="27"/>
  <c r="FM206" i="27"/>
  <c r="HI194" i="27"/>
  <c r="HM163" i="27"/>
  <c r="FM174" i="27"/>
  <c r="DQ210" i="27"/>
  <c r="DU162" i="27"/>
  <c r="DQ183" i="27"/>
  <c r="DW183" i="27" s="1"/>
  <c r="HI203" i="27"/>
  <c r="FM198" i="27"/>
  <c r="DQ185" i="27"/>
  <c r="DQ192" i="27"/>
  <c r="FM179" i="27"/>
  <c r="DQ208" i="27"/>
  <c r="DQ211" i="27"/>
  <c r="HI206" i="27"/>
  <c r="HM206" i="27" s="1"/>
  <c r="HI208" i="27"/>
  <c r="DQ204" i="27"/>
  <c r="FM196" i="27"/>
  <c r="DQ199" i="27"/>
  <c r="FM197" i="27"/>
  <c r="FM194" i="27"/>
  <c r="DQ190" i="27"/>
  <c r="DQ189" i="27"/>
  <c r="DU189" i="27" s="1"/>
  <c r="HI179" i="27"/>
  <c r="HI207" i="27"/>
  <c r="FM183" i="27"/>
  <c r="DQ195" i="27"/>
  <c r="DQ200" i="27"/>
  <c r="DQ186" i="27"/>
  <c r="HI177" i="27"/>
  <c r="DQ202" i="27"/>
  <c r="DW202" i="27" s="1"/>
  <c r="HI175" i="27"/>
  <c r="HI178" i="27"/>
  <c r="FM188" i="27"/>
  <c r="FS188" i="27" s="1"/>
  <c r="HI184" i="27"/>
  <c r="HI198" i="27"/>
  <c r="HI195" i="27"/>
  <c r="DQ173" i="27"/>
  <c r="DQ187" i="27"/>
  <c r="DU187" i="27" s="1"/>
  <c r="DQ177" i="27"/>
  <c r="FM207" i="27"/>
  <c r="DQ203" i="27"/>
  <c r="FM201" i="27"/>
  <c r="FM208" i="27"/>
  <c r="FM195" i="27"/>
  <c r="HI200" i="27"/>
  <c r="DQ175" i="27"/>
  <c r="DU175" i="27" s="1"/>
  <c r="FM175" i="27"/>
  <c r="FM182" i="27"/>
  <c r="HI201" i="27"/>
  <c r="DQ182" i="27"/>
  <c r="DQ206" i="27"/>
  <c r="HI204" i="27"/>
  <c r="FM189" i="27"/>
  <c r="HI199" i="27"/>
  <c r="HM199" i="27" s="1"/>
  <c r="FM191" i="27"/>
  <c r="DQ191" i="27"/>
  <c r="HI181" i="27"/>
  <c r="HO181" i="27" s="1"/>
  <c r="HI191" i="27"/>
  <c r="FM186" i="27"/>
  <c r="DQ180" i="27"/>
  <c r="DQ179" i="27"/>
  <c r="HI183" i="27"/>
  <c r="HO183" i="27" s="1"/>
  <c r="AE86" i="3"/>
  <c r="AE85" i="3"/>
  <c r="AT67" i="3"/>
  <c r="AT68" i="3"/>
  <c r="AT69" i="3"/>
  <c r="AT70" i="3"/>
  <c r="AT71" i="3"/>
  <c r="AT65" i="3"/>
  <c r="AT64" i="3"/>
  <c r="AT63" i="3"/>
  <c r="AT66" i="3"/>
  <c r="GE304" i="27"/>
  <c r="EI304" i="27"/>
  <c r="CM304" i="27"/>
  <c r="EI299" i="27"/>
  <c r="CM299" i="27"/>
  <c r="GE299" i="27"/>
  <c r="GE313" i="27"/>
  <c r="EI313" i="27"/>
  <c r="CM313" i="27"/>
  <c r="GE307" i="27"/>
  <c r="EI307" i="27"/>
  <c r="CM307" i="27"/>
  <c r="EI315" i="27"/>
  <c r="CM315" i="27"/>
  <c r="GE315" i="27"/>
  <c r="CM300" i="27"/>
  <c r="GE300" i="27"/>
  <c r="EI300" i="27"/>
  <c r="EI319" i="27"/>
  <c r="CM319" i="27"/>
  <c r="GE319" i="27"/>
  <c r="CM311" i="27"/>
  <c r="EI311" i="27"/>
  <c r="GE311" i="27"/>
  <c r="GE301" i="27"/>
  <c r="CM301" i="27"/>
  <c r="EI301" i="27"/>
  <c r="GE312" i="27"/>
  <c r="EI312" i="27"/>
  <c r="CM312" i="27"/>
  <c r="GE303" i="27"/>
  <c r="EI303" i="27"/>
  <c r="CM303" i="27"/>
  <c r="GE314" i="27"/>
  <c r="EI314" i="27"/>
  <c r="CM314" i="27"/>
  <c r="CM306" i="27"/>
  <c r="GE306" i="27"/>
  <c r="EI306" i="27"/>
  <c r="EI310" i="27"/>
  <c r="GE310" i="27"/>
  <c r="CM310" i="27"/>
  <c r="GE317" i="27"/>
  <c r="EI317" i="27"/>
  <c r="CM317" i="27"/>
  <c r="CM302" i="27"/>
  <c r="GE302" i="27"/>
  <c r="EI302" i="27"/>
  <c r="CM316" i="27"/>
  <c r="EI316" i="27"/>
  <c r="GE316" i="27"/>
  <c r="CM309" i="27"/>
  <c r="EI309" i="27"/>
  <c r="GE309" i="27"/>
  <c r="CM318" i="27"/>
  <c r="GE318" i="27"/>
  <c r="EI318" i="27"/>
  <c r="EI305" i="27"/>
  <c r="GE305" i="27"/>
  <c r="CM305" i="27"/>
  <c r="CM308" i="27"/>
  <c r="EI308" i="27"/>
  <c r="GE308" i="27"/>
  <c r="AC89" i="3"/>
  <c r="AC88" i="3"/>
  <c r="AC87" i="3"/>
  <c r="AF85" i="3"/>
  <c r="AF86" i="3"/>
  <c r="AB98" i="3"/>
  <c r="AB97" i="3"/>
  <c r="AB99" i="3"/>
  <c r="EO324" i="27"/>
  <c r="CS324" i="27"/>
  <c r="GK324" i="27"/>
  <c r="CS326" i="27"/>
  <c r="GK326" i="27"/>
  <c r="EO326" i="27"/>
  <c r="GK327" i="27"/>
  <c r="CS327" i="27"/>
  <c r="EO327" i="27"/>
  <c r="CS320" i="27"/>
  <c r="GK320" i="27"/>
  <c r="EO320" i="27"/>
  <c r="EO337" i="27"/>
  <c r="GK337" i="27"/>
  <c r="CS337" i="27"/>
  <c r="EO335" i="27"/>
  <c r="CS335" i="27"/>
  <c r="GK335" i="27"/>
  <c r="CS339" i="27"/>
  <c r="EO339" i="27"/>
  <c r="GK339" i="27"/>
  <c r="GK323" i="27"/>
  <c r="CS323" i="27"/>
  <c r="EO323" i="27"/>
  <c r="CS325" i="27"/>
  <c r="GK325" i="27"/>
  <c r="EO325" i="27"/>
  <c r="CS340" i="27"/>
  <c r="EO340" i="27"/>
  <c r="GK340" i="27"/>
  <c r="EO333" i="27"/>
  <c r="CS333" i="27"/>
  <c r="GK333" i="27"/>
  <c r="CS328" i="27"/>
  <c r="GK328" i="27"/>
  <c r="EO328" i="27"/>
  <c r="CS322" i="27"/>
  <c r="GK322" i="27"/>
  <c r="EO322" i="27"/>
  <c r="EO329" i="27"/>
  <c r="CS329" i="27"/>
  <c r="GK329" i="27"/>
  <c r="GK321" i="27"/>
  <c r="EO321" i="27"/>
  <c r="CS321" i="27"/>
  <c r="EO341" i="27"/>
  <c r="GK341" i="27"/>
  <c r="CS341" i="27"/>
  <c r="CS336" i="27"/>
  <c r="GK336" i="27"/>
  <c r="EO336" i="27"/>
  <c r="CS332" i="27"/>
  <c r="GK332" i="27"/>
  <c r="EO332" i="27"/>
  <c r="GK330" i="27"/>
  <c r="EO330" i="27"/>
  <c r="CS330" i="27"/>
  <c r="GK334" i="27"/>
  <c r="EO334" i="27"/>
  <c r="CS334" i="27"/>
  <c r="CS338" i="27"/>
  <c r="GK338" i="27"/>
  <c r="EO338" i="27"/>
  <c r="EO331" i="27"/>
  <c r="CS331" i="27"/>
  <c r="GK331" i="27"/>
  <c r="CS301" i="27"/>
  <c r="EO301" i="27"/>
  <c r="GK301" i="27"/>
  <c r="GK314" i="27"/>
  <c r="CS314" i="27"/>
  <c r="EO314" i="27"/>
  <c r="GK316" i="27"/>
  <c r="EO316" i="27"/>
  <c r="CS316" i="27"/>
  <c r="EO310" i="27"/>
  <c r="CS310" i="27"/>
  <c r="GK310" i="27"/>
  <c r="EO306" i="27"/>
  <c r="CS306" i="27"/>
  <c r="GK306" i="27"/>
  <c r="CS300" i="27"/>
  <c r="EO300" i="27"/>
  <c r="GK300" i="27"/>
  <c r="CS302" i="27"/>
  <c r="EO302" i="27"/>
  <c r="GK302" i="27"/>
  <c r="CS315" i="27"/>
  <c r="GK315" i="27"/>
  <c r="EO315" i="27"/>
  <c r="EO317" i="27"/>
  <c r="CS317" i="27"/>
  <c r="GK317" i="27"/>
  <c r="CS319" i="27"/>
  <c r="EO319" i="27"/>
  <c r="GK319" i="27"/>
  <c r="EO308" i="27"/>
  <c r="CS308" i="27"/>
  <c r="GK308" i="27"/>
  <c r="EO313" i="27"/>
  <c r="GK313" i="27"/>
  <c r="CS313" i="27"/>
  <c r="GK318" i="27"/>
  <c r="EO318" i="27"/>
  <c r="CS318" i="27"/>
  <c r="GK299" i="27"/>
  <c r="EO299" i="27"/>
  <c r="CS299" i="27"/>
  <c r="GK304" i="27"/>
  <c r="EO304" i="27"/>
  <c r="CS304" i="27"/>
  <c r="CS303" i="27"/>
  <c r="GK303" i="27"/>
  <c r="EO303" i="27"/>
  <c r="CS307" i="27"/>
  <c r="EO307" i="27"/>
  <c r="GK307" i="27"/>
  <c r="GK309" i="27"/>
  <c r="CS309" i="27"/>
  <c r="EO309" i="27"/>
  <c r="CS311" i="27"/>
  <c r="EO311" i="27"/>
  <c r="GK311" i="27"/>
  <c r="GK312" i="27"/>
  <c r="EO312" i="27"/>
  <c r="CS312" i="27"/>
  <c r="EO305" i="27"/>
  <c r="CS305" i="27"/>
  <c r="GK305" i="27"/>
  <c r="AD88" i="3"/>
  <c r="AD89" i="3"/>
  <c r="DE272" i="27"/>
  <c r="FA272" i="27"/>
  <c r="GW272" i="27"/>
  <c r="GW273" i="27"/>
  <c r="DE273" i="27"/>
  <c r="FA273" i="27"/>
  <c r="GW262" i="27"/>
  <c r="DE262" i="27"/>
  <c r="FA262" i="27"/>
  <c r="GW264" i="27"/>
  <c r="FA264" i="27"/>
  <c r="DE264" i="27"/>
  <c r="DE260" i="27"/>
  <c r="FA260" i="27"/>
  <c r="GW260" i="27"/>
  <c r="DE263" i="27"/>
  <c r="GW263" i="27"/>
  <c r="FA263" i="27"/>
  <c r="DE278" i="27"/>
  <c r="FA278" i="27"/>
  <c r="GW278" i="27"/>
  <c r="FA265" i="27"/>
  <c r="GW265" i="27"/>
  <c r="DE265" i="27"/>
  <c r="GW275" i="27"/>
  <c r="DE275" i="27"/>
  <c r="FA275" i="27"/>
  <c r="DE270" i="27"/>
  <c r="FA270" i="27"/>
  <c r="GW270" i="27"/>
  <c r="DE274" i="27"/>
  <c r="GW274" i="27"/>
  <c r="FA274" i="27"/>
  <c r="FA277" i="27"/>
  <c r="GW277" i="27"/>
  <c r="DE277" i="27"/>
  <c r="FA266" i="27"/>
  <c r="DE266" i="27"/>
  <c r="GW266" i="27"/>
  <c r="FA268" i="27"/>
  <c r="DE268" i="27"/>
  <c r="GW268" i="27"/>
  <c r="GW269" i="27"/>
  <c r="FA269" i="27"/>
  <c r="DE269" i="27"/>
  <c r="GW276" i="27"/>
  <c r="FA276" i="27"/>
  <c r="DE276" i="27"/>
  <c r="GW261" i="27"/>
  <c r="DE261" i="27"/>
  <c r="FA261" i="27"/>
  <c r="FA267" i="27"/>
  <c r="DE267" i="27"/>
  <c r="GW267" i="27"/>
  <c r="FA271" i="27"/>
  <c r="GW271" i="27"/>
  <c r="DE271" i="27"/>
  <c r="FA243" i="27"/>
  <c r="GW243" i="27"/>
  <c r="DE243" i="27"/>
  <c r="FA255" i="27"/>
  <c r="GW255" i="27"/>
  <c r="DE255" i="27"/>
  <c r="FA248" i="27"/>
  <c r="DE248" i="27"/>
  <c r="GW248" i="27"/>
  <c r="FA246" i="27"/>
  <c r="DE246" i="27"/>
  <c r="GW246" i="27"/>
  <c r="DE254" i="27"/>
  <c r="GW254" i="27"/>
  <c r="FA254" i="27"/>
  <c r="DE258" i="27"/>
  <c r="FA258" i="27"/>
  <c r="GW258" i="27"/>
  <c r="GW249" i="27"/>
  <c r="FA249" i="27"/>
  <c r="DE249" i="27"/>
  <c r="GW256" i="27"/>
  <c r="FA256" i="27"/>
  <c r="DE256" i="27"/>
  <c r="FA259" i="27"/>
  <c r="GW259" i="27"/>
  <c r="DE259" i="27"/>
  <c r="GW247" i="27"/>
  <c r="DE247" i="27"/>
  <c r="FA247" i="27"/>
  <c r="GW251" i="27"/>
  <c r="FA251" i="27"/>
  <c r="DE251" i="27"/>
  <c r="FA245" i="27"/>
  <c r="GW245" i="27"/>
  <c r="DE245" i="27"/>
  <c r="DE257" i="27"/>
  <c r="FA257" i="27"/>
  <c r="GW257" i="27"/>
  <c r="GW253" i="27"/>
  <c r="DE253" i="27"/>
  <c r="FA253" i="27"/>
  <c r="FA250" i="27"/>
  <c r="GW250" i="27"/>
  <c r="DE250" i="27"/>
  <c r="DE252" i="27"/>
  <c r="GW252" i="27"/>
  <c r="FA252" i="27"/>
  <c r="DE244" i="27"/>
  <c r="GW244" i="27"/>
  <c r="FA244" i="27"/>
  <c r="EU266" i="27"/>
  <c r="GQ266" i="27"/>
  <c r="CY266" i="27"/>
  <c r="EU278" i="27"/>
  <c r="GQ278" i="27"/>
  <c r="CY278" i="27"/>
  <c r="GQ260" i="27"/>
  <c r="EU260" i="27"/>
  <c r="CY260" i="27"/>
  <c r="CY264" i="27"/>
  <c r="EU264" i="27"/>
  <c r="GQ264" i="27"/>
  <c r="CY275" i="27"/>
  <c r="GQ275" i="27"/>
  <c r="EU275" i="27"/>
  <c r="CY277" i="27"/>
  <c r="GQ277" i="27"/>
  <c r="EU277" i="27"/>
  <c r="GQ276" i="27"/>
  <c r="EU276" i="27"/>
  <c r="CY276" i="27"/>
  <c r="GQ269" i="27"/>
  <c r="EU269" i="27"/>
  <c r="CY269" i="27"/>
  <c r="GQ261" i="27"/>
  <c r="CY261" i="27"/>
  <c r="EU261" i="27"/>
  <c r="GQ265" i="27"/>
  <c r="EU265" i="27"/>
  <c r="CY265" i="27"/>
  <c r="EU262" i="27"/>
  <c r="CY262" i="27"/>
  <c r="GQ262" i="27"/>
  <c r="EU273" i="27"/>
  <c r="GQ273" i="27"/>
  <c r="CY273" i="27"/>
  <c r="EU270" i="27"/>
  <c r="GQ270" i="27"/>
  <c r="CY270" i="27"/>
  <c r="EU263" i="27"/>
  <c r="CY263" i="27"/>
  <c r="GQ263" i="27"/>
  <c r="EU267" i="27"/>
  <c r="CY267" i="27"/>
  <c r="GQ267" i="27"/>
  <c r="GQ271" i="27"/>
  <c r="CY271" i="27"/>
  <c r="EU271" i="27"/>
  <c r="GQ268" i="27"/>
  <c r="CY268" i="27"/>
  <c r="EU268" i="27"/>
  <c r="GQ274" i="27"/>
  <c r="CY274" i="27"/>
  <c r="EU274" i="27"/>
  <c r="EU272" i="27"/>
  <c r="GQ272" i="27"/>
  <c r="CY272" i="27"/>
  <c r="GQ256" i="27"/>
  <c r="EU256" i="27"/>
  <c r="CY256" i="27"/>
  <c r="GQ246" i="27"/>
  <c r="CY246" i="27"/>
  <c r="EU246" i="27"/>
  <c r="GQ252" i="27"/>
  <c r="CY252" i="27"/>
  <c r="EU252" i="27"/>
  <c r="GQ259" i="27"/>
  <c r="CY259" i="27"/>
  <c r="EU259" i="27"/>
  <c r="EU247" i="27"/>
  <c r="CY247" i="27"/>
  <c r="GQ247" i="27"/>
  <c r="GQ250" i="27"/>
  <c r="EU250" i="27"/>
  <c r="CY250" i="27"/>
  <c r="EU244" i="27"/>
  <c r="GQ244" i="27"/>
  <c r="CY244" i="27"/>
  <c r="EU251" i="27"/>
  <c r="GQ251" i="27"/>
  <c r="CY251" i="27"/>
  <c r="CY255" i="27"/>
  <c r="EU255" i="27"/>
  <c r="GQ255" i="27"/>
  <c r="CY254" i="27"/>
  <c r="EU254" i="27"/>
  <c r="GQ254" i="27"/>
  <c r="EU245" i="27"/>
  <c r="CY245" i="27"/>
  <c r="GQ245" i="27"/>
  <c r="GQ257" i="27"/>
  <c r="EU257" i="27"/>
  <c r="CY257" i="27"/>
  <c r="CY258" i="27"/>
  <c r="EU258" i="27"/>
  <c r="GQ258" i="27"/>
  <c r="CY253" i="27"/>
  <c r="GQ253" i="27"/>
  <c r="EU253" i="27"/>
  <c r="CY249" i="27"/>
  <c r="GQ249" i="27"/>
  <c r="EU249" i="27"/>
  <c r="EU243" i="27"/>
  <c r="GQ243" i="27"/>
  <c r="CY243" i="27"/>
  <c r="CY248" i="27"/>
  <c r="EU248" i="27"/>
  <c r="GQ248" i="27"/>
  <c r="FQ203" i="27"/>
  <c r="FS203" i="27"/>
  <c r="DU183" i="27"/>
  <c r="DW190" i="27"/>
  <c r="DU190" i="27"/>
  <c r="DW173" i="27"/>
  <c r="DU173" i="27"/>
  <c r="FQ209" i="27"/>
  <c r="FS209" i="27"/>
  <c r="HM186" i="27"/>
  <c r="HO186" i="27"/>
  <c r="DW177" i="27"/>
  <c r="DU177" i="27"/>
  <c r="HO178" i="27"/>
  <c r="HM178" i="27"/>
  <c r="FQ188" i="27"/>
  <c r="HO184" i="27"/>
  <c r="HM184" i="27"/>
  <c r="FS189" i="27"/>
  <c r="FQ189" i="27"/>
  <c r="FS201" i="27"/>
  <c r="FQ201" i="27"/>
  <c r="FQ208" i="27"/>
  <c r="FS208" i="27"/>
  <c r="DW193" i="27"/>
  <c r="DU193" i="27"/>
  <c r="FS180" i="27"/>
  <c r="FQ180" i="27"/>
  <c r="DU205" i="27"/>
  <c r="DW205" i="27"/>
  <c r="FS195" i="27"/>
  <c r="FQ195" i="27"/>
  <c r="DU204" i="27"/>
  <c r="DW204" i="27"/>
  <c r="HM195" i="27"/>
  <c r="HO195" i="27"/>
  <c r="DW192" i="27"/>
  <c r="DU192" i="27"/>
  <c r="FQ194" i="27"/>
  <c r="FS194" i="27"/>
  <c r="HO203" i="27"/>
  <c r="HM203" i="27"/>
  <c r="DW182" i="27"/>
  <c r="DU182" i="27"/>
  <c r="HM185" i="27"/>
  <c r="HO185" i="27"/>
  <c r="HO196" i="27"/>
  <c r="HM196" i="27"/>
  <c r="FS207" i="27"/>
  <c r="FQ207" i="27"/>
  <c r="DU203" i="27"/>
  <c r="DW203" i="27"/>
  <c r="HO209" i="27"/>
  <c r="HM209" i="27"/>
  <c r="FS191" i="27"/>
  <c r="FQ191" i="27"/>
  <c r="HO182" i="27"/>
  <c r="HM182" i="27"/>
  <c r="DW191" i="27"/>
  <c r="DU191" i="27"/>
  <c r="HO200" i="27"/>
  <c r="HM200" i="27"/>
  <c r="FS175" i="27"/>
  <c r="FQ175" i="27"/>
  <c r="FS182" i="27"/>
  <c r="FQ182" i="27"/>
  <c r="HO188" i="27"/>
  <c r="HM188" i="27"/>
  <c r="HM210" i="27"/>
  <c r="HO210" i="27"/>
  <c r="DU206" i="27"/>
  <c r="DW206" i="27"/>
  <c r="HO204" i="27"/>
  <c r="HM204" i="27"/>
  <c r="DU197" i="27"/>
  <c r="DW197" i="27"/>
  <c r="DW195" i="27"/>
  <c r="DU195" i="27"/>
  <c r="HM187" i="27"/>
  <c r="HO187" i="27"/>
  <c r="HM202" i="27"/>
  <c r="HO202" i="27"/>
  <c r="DW201" i="27"/>
  <c r="DU201" i="27"/>
  <c r="FQ181" i="27"/>
  <c r="FS181" i="27"/>
  <c r="HM181" i="27"/>
  <c r="HM191" i="27"/>
  <c r="HO191" i="27"/>
  <c r="FQ186" i="27"/>
  <c r="FS186" i="27"/>
  <c r="DU180" i="27"/>
  <c r="DW180" i="27"/>
  <c r="DU179" i="27"/>
  <c r="DW179" i="27"/>
  <c r="FS176" i="27"/>
  <c r="FQ176" i="27"/>
  <c r="FS198" i="27"/>
  <c r="FQ198" i="27"/>
  <c r="HM183" i="27"/>
  <c r="DU181" i="27"/>
  <c r="DW181" i="27"/>
  <c r="HM177" i="27"/>
  <c r="HO177" i="27"/>
  <c r="HO173" i="27"/>
  <c r="HM173" i="27"/>
  <c r="DU202" i="27"/>
  <c r="DU196" i="27"/>
  <c r="DW196" i="27"/>
  <c r="FQ210" i="27"/>
  <c r="FS210" i="27"/>
  <c r="HO175" i="27"/>
  <c r="HM175" i="27"/>
  <c r="HO180" i="27"/>
  <c r="HM180" i="27"/>
  <c r="DU185" i="27"/>
  <c r="DW185" i="27"/>
  <c r="DW209" i="27"/>
  <c r="DU209" i="27"/>
  <c r="FQ202" i="27"/>
  <c r="FS202" i="27"/>
  <c r="DU210" i="27"/>
  <c r="DW210" i="27"/>
  <c r="FS196" i="27"/>
  <c r="FQ196" i="27"/>
  <c r="HM201" i="27"/>
  <c r="HO201" i="27"/>
  <c r="HO208" i="27"/>
  <c r="HM208" i="27"/>
  <c r="FS206" i="27"/>
  <c r="FQ206" i="27"/>
  <c r="DU199" i="27"/>
  <c r="DW199" i="27"/>
  <c r="DW200" i="27"/>
  <c r="DU200" i="27"/>
  <c r="HM192" i="27"/>
  <c r="HO192" i="27"/>
  <c r="HM190" i="27"/>
  <c r="HO190" i="27"/>
  <c r="HM205" i="27"/>
  <c r="HO205" i="27"/>
  <c r="DU178" i="27"/>
  <c r="DW178" i="27"/>
  <c r="H28" i="5"/>
  <c r="R28" i="5" s="1"/>
  <c r="BD97" i="31"/>
  <c r="AR97" i="31"/>
  <c r="AX97" i="31" s="1"/>
  <c r="DU211" i="27"/>
  <c r="DW211" i="27"/>
  <c r="BH82" i="31"/>
  <c r="AV82" i="31"/>
  <c r="BB82" i="31" s="1"/>
  <c r="DW186" i="27"/>
  <c r="DU186" i="27"/>
  <c r="HI193" i="27"/>
  <c r="FE226" i="27"/>
  <c r="FF226" i="27"/>
  <c r="FL226" i="27"/>
  <c r="FD226" i="27"/>
  <c r="DH216" i="27"/>
  <c r="DP216" i="27"/>
  <c r="DI216" i="27"/>
  <c r="DJ216" i="27"/>
  <c r="FE221" i="27"/>
  <c r="FF221" i="27"/>
  <c r="FL221" i="27"/>
  <c r="FD221" i="27"/>
  <c r="DJ225" i="27"/>
  <c r="DI225" i="27"/>
  <c r="DP225" i="27"/>
  <c r="DH225" i="27"/>
  <c r="GZ212" i="27"/>
  <c r="HH212" i="27"/>
  <c r="HA212" i="27"/>
  <c r="HB212" i="27"/>
  <c r="HA240" i="27"/>
  <c r="HB240" i="27"/>
  <c r="HH240" i="27"/>
  <c r="GZ240" i="27"/>
  <c r="HH241" i="27"/>
  <c r="HA241" i="27"/>
  <c r="HB241" i="27"/>
  <c r="GZ241" i="27"/>
  <c r="HA238" i="27"/>
  <c r="HH238" i="27"/>
  <c r="GZ238" i="27"/>
  <c r="HB238" i="27"/>
  <c r="FE237" i="27"/>
  <c r="FD237" i="27"/>
  <c r="FF237" i="27"/>
  <c r="FL237" i="27"/>
  <c r="DP230" i="27"/>
  <c r="DH230" i="27"/>
  <c r="DI230" i="27"/>
  <c r="DJ230" i="27"/>
  <c r="FE235" i="27"/>
  <c r="FD235" i="27"/>
  <c r="FF235" i="27"/>
  <c r="FL235" i="27"/>
  <c r="AI86" i="3"/>
  <c r="M90" i="31"/>
  <c r="AG90" i="31" s="1"/>
  <c r="P88" i="31"/>
  <c r="AL84" i="3"/>
  <c r="GJ259" i="27"/>
  <c r="GI259" i="27"/>
  <c r="GH259" i="27"/>
  <c r="HE259" i="27"/>
  <c r="DM243" i="27"/>
  <c r="CQ243" i="27"/>
  <c r="CR243" i="27"/>
  <c r="CP243" i="27"/>
  <c r="GJ244" i="27"/>
  <c r="HE244" i="27"/>
  <c r="GI244" i="27"/>
  <c r="GH244" i="27"/>
  <c r="FI246" i="27"/>
  <c r="EL246" i="27"/>
  <c r="EM246" i="27"/>
  <c r="EN246" i="27"/>
  <c r="GI250" i="27"/>
  <c r="GJ250" i="27"/>
  <c r="HE250" i="27"/>
  <c r="GH250" i="27"/>
  <c r="GJ252" i="27"/>
  <c r="GH252" i="27"/>
  <c r="GI252" i="27"/>
  <c r="HE252" i="27"/>
  <c r="GI262" i="27"/>
  <c r="GH262" i="27"/>
  <c r="GJ262" i="27"/>
  <c r="HE262" i="27"/>
  <c r="HE268" i="27"/>
  <c r="GH268" i="27"/>
  <c r="GJ268" i="27"/>
  <c r="GI268" i="27"/>
  <c r="HE276" i="27"/>
  <c r="GI276" i="27"/>
  <c r="GH276" i="27"/>
  <c r="GJ276" i="27"/>
  <c r="GJ263" i="27"/>
  <c r="GH263" i="27"/>
  <c r="GI263" i="27"/>
  <c r="HE263" i="27"/>
  <c r="GH265" i="27"/>
  <c r="HE265" i="27"/>
  <c r="GJ265" i="27"/>
  <c r="GI265" i="27"/>
  <c r="GJ274" i="27"/>
  <c r="HE274" i="27"/>
  <c r="GI274" i="27"/>
  <c r="GH274" i="27"/>
  <c r="CR264" i="27"/>
  <c r="DM264" i="27"/>
  <c r="CQ264" i="27"/>
  <c r="CP264" i="27"/>
  <c r="EM287" i="27"/>
  <c r="EN287" i="27"/>
  <c r="EL287" i="27"/>
  <c r="FI287" i="27"/>
  <c r="GI283" i="27"/>
  <c r="GJ283" i="27"/>
  <c r="HE283" i="27"/>
  <c r="GH283" i="27"/>
  <c r="CR286" i="27"/>
  <c r="DM286" i="27"/>
  <c r="CQ286" i="27"/>
  <c r="CP286" i="27"/>
  <c r="CQ284" i="27"/>
  <c r="DM284" i="27"/>
  <c r="CR284" i="27"/>
  <c r="CP284" i="27"/>
  <c r="CQ279" i="27"/>
  <c r="CR279" i="27"/>
  <c r="CP279" i="27"/>
  <c r="DM279" i="27"/>
  <c r="EL293" i="27"/>
  <c r="EM293" i="27"/>
  <c r="FI293" i="27"/>
  <c r="EN293" i="27"/>
  <c r="EL285" i="27"/>
  <c r="FI285" i="27"/>
  <c r="EN285" i="27"/>
  <c r="EM285" i="27"/>
  <c r="EM295" i="27"/>
  <c r="EL295" i="27"/>
  <c r="EN295" i="27"/>
  <c r="FI295" i="27"/>
  <c r="CV275" i="27"/>
  <c r="CX275" i="27"/>
  <c r="CW275" i="27"/>
  <c r="DN275" i="27"/>
  <c r="GN261" i="27"/>
  <c r="GP261" i="27"/>
  <c r="GO261" i="27"/>
  <c r="HF261" i="27"/>
  <c r="GO278" i="27"/>
  <c r="GP278" i="27"/>
  <c r="HF278" i="27"/>
  <c r="GN278" i="27"/>
  <c r="ES263" i="27"/>
  <c r="ER263" i="27"/>
  <c r="ET263" i="27"/>
  <c r="FJ263" i="27"/>
  <c r="GO271" i="27"/>
  <c r="GN271" i="27"/>
  <c r="HF271" i="27"/>
  <c r="GP271" i="27"/>
  <c r="GN269" i="27"/>
  <c r="GO269" i="27"/>
  <c r="GP269" i="27"/>
  <c r="HF269" i="27"/>
  <c r="FJ266" i="27"/>
  <c r="ER266" i="27"/>
  <c r="ES266" i="27"/>
  <c r="ET266" i="27"/>
  <c r="CX262" i="27"/>
  <c r="CV262" i="27"/>
  <c r="CW262" i="27"/>
  <c r="DN262" i="27"/>
  <c r="DN284" i="27"/>
  <c r="CV284" i="27"/>
  <c r="CW284" i="27"/>
  <c r="CX284" i="27"/>
  <c r="GO285" i="27"/>
  <c r="GP285" i="27"/>
  <c r="GN285" i="27"/>
  <c r="HF285" i="27"/>
  <c r="HF279" i="27"/>
  <c r="GN279" i="27"/>
  <c r="GO279" i="27"/>
  <c r="GP279" i="27"/>
  <c r="HF286" i="27"/>
  <c r="GP286" i="27"/>
  <c r="GO286" i="27"/>
  <c r="GN286" i="27"/>
  <c r="DN298" i="27"/>
  <c r="CV298" i="27"/>
  <c r="CW298" i="27"/>
  <c r="CX298" i="27"/>
  <c r="CX294" i="27"/>
  <c r="CV294" i="27"/>
  <c r="DN294" i="27"/>
  <c r="CW294" i="27"/>
  <c r="GP297" i="27"/>
  <c r="GN297" i="27"/>
  <c r="GO297" i="27"/>
  <c r="HF297" i="27"/>
  <c r="HG214" i="27"/>
  <c r="GU214" i="27"/>
  <c r="GV214" i="27"/>
  <c r="GT214" i="27"/>
  <c r="HG225" i="27"/>
  <c r="GV225" i="27"/>
  <c r="GT225" i="27"/>
  <c r="GU225" i="27"/>
  <c r="GU221" i="27"/>
  <c r="GV221" i="27"/>
  <c r="HG221" i="27"/>
  <c r="GT221" i="27"/>
  <c r="GT218" i="27"/>
  <c r="HG218" i="27"/>
  <c r="GU218" i="27"/>
  <c r="GV218" i="27"/>
  <c r="FK215" i="27"/>
  <c r="EX215" i="27"/>
  <c r="EY215" i="27"/>
  <c r="EZ215" i="27"/>
  <c r="DD216" i="27"/>
  <c r="DB216" i="27"/>
  <c r="DO216" i="27"/>
  <c r="DC216" i="27"/>
  <c r="DD237" i="27"/>
  <c r="DO237" i="27"/>
  <c r="DB237" i="27"/>
  <c r="DC237" i="27"/>
  <c r="HG233" i="27"/>
  <c r="GU233" i="27"/>
  <c r="GV233" i="27"/>
  <c r="GT233" i="27"/>
  <c r="FK238" i="27"/>
  <c r="EZ238" i="27"/>
  <c r="EY238" i="27"/>
  <c r="EX238" i="27"/>
  <c r="EX236" i="27"/>
  <c r="EZ236" i="27"/>
  <c r="EY236" i="27"/>
  <c r="FK236" i="27"/>
  <c r="DB234" i="27"/>
  <c r="DD234" i="27"/>
  <c r="DO234" i="27"/>
  <c r="DC234" i="27"/>
  <c r="EZ227" i="27"/>
  <c r="EY227" i="27"/>
  <c r="EX227" i="27"/>
  <c r="FK227" i="27"/>
  <c r="Q85" i="31"/>
  <c r="AJ85" i="31"/>
  <c r="BD94" i="31"/>
  <c r="AR94" i="31"/>
  <c r="AX94" i="31" s="1"/>
  <c r="HO142" i="27"/>
  <c r="HM142" i="27"/>
  <c r="FQ184" i="27"/>
  <c r="FS184" i="27"/>
  <c r="FM185" i="27"/>
  <c r="FQ174" i="27"/>
  <c r="FS174" i="27"/>
  <c r="FS197" i="27"/>
  <c r="FQ197" i="27"/>
  <c r="BH83" i="31"/>
  <c r="AV83" i="31"/>
  <c r="BB83" i="31" s="1"/>
  <c r="BE89" i="31"/>
  <c r="AS89" i="31"/>
  <c r="AY89" i="31" s="1"/>
  <c r="DU176" i="27"/>
  <c r="DW176" i="27"/>
  <c r="FQ143" i="27"/>
  <c r="FS143" i="27"/>
  <c r="DU148" i="27"/>
  <c r="DW148" i="27"/>
  <c r="FF217" i="27"/>
  <c r="FE217" i="27"/>
  <c r="FL217" i="27"/>
  <c r="FD217" i="27"/>
  <c r="FD216" i="27"/>
  <c r="FF216" i="27"/>
  <c r="FL216" i="27"/>
  <c r="FE216" i="27"/>
  <c r="GZ221" i="27"/>
  <c r="HH221" i="27"/>
  <c r="HB221" i="27"/>
  <c r="HA221" i="27"/>
  <c r="DP222" i="27"/>
  <c r="DJ222" i="27"/>
  <c r="DH222" i="27"/>
  <c r="DI222" i="27"/>
  <c r="DJ212" i="27"/>
  <c r="DP212" i="27"/>
  <c r="DI212" i="27"/>
  <c r="DH212" i="27"/>
  <c r="FE240" i="27"/>
  <c r="FL240" i="27"/>
  <c r="FF240" i="27"/>
  <c r="FD240" i="27"/>
  <c r="HA231" i="27"/>
  <c r="HB231" i="27"/>
  <c r="GZ231" i="27"/>
  <c r="HH231" i="27"/>
  <c r="FD238" i="27"/>
  <c r="FE238" i="27"/>
  <c r="FF238" i="27"/>
  <c r="FL238" i="27"/>
  <c r="GZ237" i="27"/>
  <c r="HH237" i="27"/>
  <c r="HB237" i="27"/>
  <c r="HA237" i="27"/>
  <c r="DH233" i="27"/>
  <c r="DJ233" i="27"/>
  <c r="DP233" i="27"/>
  <c r="DI233" i="27"/>
  <c r="HH235" i="27"/>
  <c r="HB235" i="27"/>
  <c r="HA235" i="27"/>
  <c r="GZ235" i="27"/>
  <c r="FI248" i="27"/>
  <c r="EM248" i="27"/>
  <c r="EL248" i="27"/>
  <c r="EN248" i="27"/>
  <c r="CQ259" i="27"/>
  <c r="DM259" i="27"/>
  <c r="CP259" i="27"/>
  <c r="CR259" i="27"/>
  <c r="EM243" i="27"/>
  <c r="EN243" i="27"/>
  <c r="FI243" i="27"/>
  <c r="EL243" i="27"/>
  <c r="FI245" i="27"/>
  <c r="EM245" i="27"/>
  <c r="EN245" i="27"/>
  <c r="EL245" i="27"/>
  <c r="CP246" i="27"/>
  <c r="DM246" i="27"/>
  <c r="CQ246" i="27"/>
  <c r="CR246" i="27"/>
  <c r="EL250" i="27"/>
  <c r="EN250" i="27"/>
  <c r="FI250" i="27"/>
  <c r="EM250" i="27"/>
  <c r="EN247" i="27"/>
  <c r="EM247" i="27"/>
  <c r="FI247" i="27"/>
  <c r="EL247" i="27"/>
  <c r="EM262" i="27"/>
  <c r="EL262" i="27"/>
  <c r="FI262" i="27"/>
  <c r="EN262" i="27"/>
  <c r="EN268" i="27"/>
  <c r="EM268" i="27"/>
  <c r="FI268" i="27"/>
  <c r="EL268" i="27"/>
  <c r="FI270" i="27"/>
  <c r="EL270" i="27"/>
  <c r="EM270" i="27"/>
  <c r="EN270" i="27"/>
  <c r="FI263" i="27"/>
  <c r="EN263" i="27"/>
  <c r="EM263" i="27"/>
  <c r="EL263" i="27"/>
  <c r="CQ265" i="27"/>
  <c r="CR265" i="27"/>
  <c r="DM265" i="27"/>
  <c r="CP265" i="27"/>
  <c r="CP275" i="27"/>
  <c r="CR275" i="27"/>
  <c r="CQ275" i="27"/>
  <c r="DM275" i="27"/>
  <c r="EN264" i="27"/>
  <c r="EM264" i="27"/>
  <c r="EL264" i="27"/>
  <c r="FI264" i="27"/>
  <c r="HE287" i="27"/>
  <c r="GH287" i="27"/>
  <c r="GI287" i="27"/>
  <c r="GJ287" i="27"/>
  <c r="GJ289" i="27"/>
  <c r="HE289" i="27"/>
  <c r="GH289" i="27"/>
  <c r="GI289" i="27"/>
  <c r="GH286" i="27"/>
  <c r="HE286" i="27"/>
  <c r="GJ286" i="27"/>
  <c r="GI286" i="27"/>
  <c r="FI284" i="27"/>
  <c r="EL284" i="27"/>
  <c r="EM284" i="27"/>
  <c r="EN284" i="27"/>
  <c r="HE282" i="27"/>
  <c r="GJ282" i="27"/>
  <c r="GI282" i="27"/>
  <c r="GH282" i="27"/>
  <c r="GI293" i="27"/>
  <c r="GH293" i="27"/>
  <c r="HE293" i="27"/>
  <c r="GJ293" i="27"/>
  <c r="GH285" i="27"/>
  <c r="HE285" i="27"/>
  <c r="GI285" i="27"/>
  <c r="GJ285" i="27"/>
  <c r="FI288" i="27"/>
  <c r="EM288" i="27"/>
  <c r="EN288" i="27"/>
  <c r="EL288" i="27"/>
  <c r="GN275" i="27"/>
  <c r="GO275" i="27"/>
  <c r="GP275" i="27"/>
  <c r="HF275" i="27"/>
  <c r="CW260" i="27"/>
  <c r="CX260" i="27"/>
  <c r="CV260" i="27"/>
  <c r="DN260" i="27"/>
  <c r="DN278" i="27"/>
  <c r="CV278" i="27"/>
  <c r="CX278" i="27"/>
  <c r="CW278" i="27"/>
  <c r="GP263" i="27"/>
  <c r="GO263" i="27"/>
  <c r="GN263" i="27"/>
  <c r="HF263" i="27"/>
  <c r="GP272" i="27"/>
  <c r="GO272" i="27"/>
  <c r="GN272" i="27"/>
  <c r="HF272" i="27"/>
  <c r="ER269" i="27"/>
  <c r="FJ269" i="27"/>
  <c r="ET269" i="27"/>
  <c r="ES269" i="27"/>
  <c r="GN266" i="27"/>
  <c r="HF266" i="27"/>
  <c r="GP266" i="27"/>
  <c r="GO266" i="27"/>
  <c r="ET287" i="27"/>
  <c r="ER287" i="27"/>
  <c r="FJ287" i="27"/>
  <c r="ES287" i="27"/>
  <c r="GN284" i="27"/>
  <c r="HF284" i="27"/>
  <c r="GO284" i="27"/>
  <c r="GP284" i="27"/>
  <c r="ER285" i="27"/>
  <c r="FJ285" i="27"/>
  <c r="ET285" i="27"/>
  <c r="ES285" i="27"/>
  <c r="ER288" i="27"/>
  <c r="ES288" i="27"/>
  <c r="FJ288" i="27"/>
  <c r="ET288" i="27"/>
  <c r="CV286" i="27"/>
  <c r="CW286" i="27"/>
  <c r="CX286" i="27"/>
  <c r="DN286" i="27"/>
  <c r="GO298" i="27"/>
  <c r="GP298" i="27"/>
  <c r="HF298" i="27"/>
  <c r="GN298" i="27"/>
  <c r="GP283" i="27"/>
  <c r="HF283" i="27"/>
  <c r="GN283" i="27"/>
  <c r="GO283" i="27"/>
  <c r="CV297" i="27"/>
  <c r="CW297" i="27"/>
  <c r="DN297" i="27"/>
  <c r="CX297" i="27"/>
  <c r="DB214" i="27"/>
  <c r="DC214" i="27"/>
  <c r="DD214" i="27"/>
  <c r="DO214" i="27"/>
  <c r="DO225" i="27"/>
  <c r="DD225" i="27"/>
  <c r="DC225" i="27"/>
  <c r="DB225" i="27"/>
  <c r="GT213" i="27"/>
  <c r="GU213" i="27"/>
  <c r="GV213" i="27"/>
  <c r="HG213" i="27"/>
  <c r="DD218" i="27"/>
  <c r="DC218" i="27"/>
  <c r="DO218" i="27"/>
  <c r="DB218" i="27"/>
  <c r="DO215" i="27"/>
  <c r="DD215" i="27"/>
  <c r="DB215" i="27"/>
  <c r="DC215" i="27"/>
  <c r="DC219" i="27"/>
  <c r="DB219" i="27"/>
  <c r="DO219" i="27"/>
  <c r="DD219" i="27"/>
  <c r="GU237" i="27"/>
  <c r="GT237" i="27"/>
  <c r="HG237" i="27"/>
  <c r="HI237" i="27" s="1"/>
  <c r="GV237" i="27"/>
  <c r="EZ233" i="27"/>
  <c r="EY233" i="27"/>
  <c r="FK233" i="27"/>
  <c r="EX233" i="27"/>
  <c r="HG232" i="27"/>
  <c r="GU232" i="27"/>
  <c r="GV232" i="27"/>
  <c r="GT232" i="27"/>
  <c r="DB236" i="27"/>
  <c r="DO236" i="27"/>
  <c r="DC236" i="27"/>
  <c r="DD236" i="27"/>
  <c r="HG234" i="27"/>
  <c r="GV234" i="27"/>
  <c r="GU234" i="27"/>
  <c r="GT234" i="27"/>
  <c r="GV242" i="27"/>
  <c r="GU242" i="27"/>
  <c r="GT242" i="27"/>
  <c r="HG242" i="27"/>
  <c r="FS177" i="27"/>
  <c r="FQ177" i="27"/>
  <c r="FS192" i="27"/>
  <c r="FQ192" i="27"/>
  <c r="DU174" i="27"/>
  <c r="DW174" i="27"/>
  <c r="DU150" i="27"/>
  <c r="DW150" i="27"/>
  <c r="FQ193" i="27"/>
  <c r="FS193" i="27"/>
  <c r="HO149" i="27"/>
  <c r="HM149" i="27"/>
  <c r="HM197" i="27"/>
  <c r="HO197" i="27"/>
  <c r="DW188" i="27"/>
  <c r="DU188" i="27"/>
  <c r="FQ179" i="27"/>
  <c r="FS179" i="27"/>
  <c r="FS200" i="27"/>
  <c r="FQ200" i="27"/>
  <c r="HM176" i="27"/>
  <c r="HO176" i="27"/>
  <c r="AV84" i="31"/>
  <c r="BB84" i="31" s="1"/>
  <c r="BH84" i="31"/>
  <c r="BG86" i="31"/>
  <c r="AU86" i="31"/>
  <c r="BA86" i="31" s="1"/>
  <c r="HM198" i="27"/>
  <c r="HO198" i="27"/>
  <c r="FQ148" i="27"/>
  <c r="FS148" i="27"/>
  <c r="FM187" i="27"/>
  <c r="DJ217" i="27"/>
  <c r="DH217" i="27"/>
  <c r="DP217" i="27"/>
  <c r="DI217" i="27"/>
  <c r="FF223" i="27"/>
  <c r="FL223" i="27"/>
  <c r="FD223" i="27"/>
  <c r="FE223" i="27"/>
  <c r="DP221" i="27"/>
  <c r="DJ221" i="27"/>
  <c r="DI221" i="27"/>
  <c r="DH221" i="27"/>
  <c r="FF222" i="27"/>
  <c r="FE222" i="27"/>
  <c r="FD222" i="27"/>
  <c r="FL222" i="27"/>
  <c r="HB219" i="27"/>
  <c r="GZ219" i="27"/>
  <c r="HA219" i="27"/>
  <c r="HH219" i="27"/>
  <c r="DI240" i="27"/>
  <c r="DH240" i="27"/>
  <c r="DJ240" i="27"/>
  <c r="DP240" i="27"/>
  <c r="FD231" i="27"/>
  <c r="FE231" i="27"/>
  <c r="FF231" i="27"/>
  <c r="FL231" i="27"/>
  <c r="HA236" i="27"/>
  <c r="GZ236" i="27"/>
  <c r="HB236" i="27"/>
  <c r="HH236" i="27"/>
  <c r="DJ237" i="27"/>
  <c r="DI237" i="27"/>
  <c r="DP237" i="27"/>
  <c r="DH237" i="27"/>
  <c r="FF233" i="27"/>
  <c r="FE233" i="27"/>
  <c r="FD233" i="27"/>
  <c r="FL233" i="27"/>
  <c r="FM233" i="27" s="1"/>
  <c r="DP234" i="27"/>
  <c r="DI234" i="27"/>
  <c r="DH234" i="27"/>
  <c r="DJ234" i="27"/>
  <c r="GI248" i="27"/>
  <c r="GH248" i="27"/>
  <c r="GJ248" i="27"/>
  <c r="HE248" i="27"/>
  <c r="EL251" i="27"/>
  <c r="FI251" i="27"/>
  <c r="EN251" i="27"/>
  <c r="EM251" i="27"/>
  <c r="GH243" i="27"/>
  <c r="GJ243" i="27"/>
  <c r="HE243" i="27"/>
  <c r="GI243" i="27"/>
  <c r="CR245" i="27"/>
  <c r="CQ245" i="27"/>
  <c r="DM245" i="27"/>
  <c r="CP245" i="27"/>
  <c r="GH258" i="27"/>
  <c r="HE258" i="27"/>
  <c r="GJ258" i="27"/>
  <c r="GI258" i="27"/>
  <c r="CQ250" i="27"/>
  <c r="CP250" i="27"/>
  <c r="CR250" i="27"/>
  <c r="DM250" i="27"/>
  <c r="CP247" i="27"/>
  <c r="CR247" i="27"/>
  <c r="DM247" i="27"/>
  <c r="CQ247" i="27"/>
  <c r="GI261" i="27"/>
  <c r="GH261" i="27"/>
  <c r="HE261" i="27"/>
  <c r="GJ261" i="27"/>
  <c r="CQ268" i="27"/>
  <c r="CR268" i="27"/>
  <c r="DM268" i="27"/>
  <c r="CP268" i="27"/>
  <c r="CQ270" i="27"/>
  <c r="DM270" i="27"/>
  <c r="CR270" i="27"/>
  <c r="CP270" i="27"/>
  <c r="FI267" i="27"/>
  <c r="EM267" i="27"/>
  <c r="EN267" i="27"/>
  <c r="EL267" i="27"/>
  <c r="FI265" i="27"/>
  <c r="EN265" i="27"/>
  <c r="EM265" i="27"/>
  <c r="EL265" i="27"/>
  <c r="EN275" i="27"/>
  <c r="EL275" i="27"/>
  <c r="EM275" i="27"/>
  <c r="FI275" i="27"/>
  <c r="CQ277" i="27"/>
  <c r="CR277" i="27"/>
  <c r="CP277" i="27"/>
  <c r="DM277" i="27"/>
  <c r="CQ287" i="27"/>
  <c r="CP287" i="27"/>
  <c r="CR287" i="27"/>
  <c r="DM287" i="27"/>
  <c r="CR289" i="27"/>
  <c r="CP289" i="27"/>
  <c r="DM289" i="27"/>
  <c r="CQ289" i="27"/>
  <c r="CR294" i="27"/>
  <c r="CP294" i="27"/>
  <c r="DM294" i="27"/>
  <c r="CQ294" i="27"/>
  <c r="GI284" i="27"/>
  <c r="HE284" i="27"/>
  <c r="GH284" i="27"/>
  <c r="GJ284" i="27"/>
  <c r="CQ282" i="27"/>
  <c r="CR282" i="27"/>
  <c r="CP282" i="27"/>
  <c r="DM282" i="27"/>
  <c r="EM290" i="27"/>
  <c r="EN290" i="27"/>
  <c r="FI290" i="27"/>
  <c r="EL290" i="27"/>
  <c r="DM285" i="27"/>
  <c r="CR285" i="27"/>
  <c r="CP285" i="27"/>
  <c r="CQ285" i="27"/>
  <c r="GI288" i="27"/>
  <c r="HE288" i="27"/>
  <c r="GH288" i="27"/>
  <c r="GJ288" i="27"/>
  <c r="ET275" i="27"/>
  <c r="ES275" i="27"/>
  <c r="ER275" i="27"/>
  <c r="FJ275" i="27"/>
  <c r="GN260" i="27"/>
  <c r="HF260" i="27"/>
  <c r="GO260" i="27"/>
  <c r="GP260" i="27"/>
  <c r="ER277" i="27"/>
  <c r="ET277" i="27"/>
  <c r="FJ277" i="27"/>
  <c r="ES277" i="27"/>
  <c r="CV263" i="27"/>
  <c r="CX263" i="27"/>
  <c r="DN263" i="27"/>
  <c r="CW263" i="27"/>
  <c r="CX272" i="27"/>
  <c r="DN272" i="27"/>
  <c r="CV272" i="27"/>
  <c r="CW272" i="27"/>
  <c r="GN274" i="27"/>
  <c r="GO274" i="27"/>
  <c r="HF274" i="27"/>
  <c r="GP274" i="27"/>
  <c r="CW266" i="27"/>
  <c r="CX266" i="27"/>
  <c r="CV266" i="27"/>
  <c r="DN266" i="27"/>
  <c r="HF287" i="27"/>
  <c r="GP287" i="27"/>
  <c r="GO287" i="27"/>
  <c r="GN287" i="27"/>
  <c r="FJ293" i="27"/>
  <c r="ET293" i="27"/>
  <c r="ER293" i="27"/>
  <c r="ES293" i="27"/>
  <c r="CV285" i="27"/>
  <c r="DN285" i="27"/>
  <c r="CX285" i="27"/>
  <c r="CW285" i="27"/>
  <c r="CV288" i="27"/>
  <c r="CX288" i="27"/>
  <c r="CW288" i="27"/>
  <c r="DN288" i="27"/>
  <c r="HF291" i="27"/>
  <c r="GN291" i="27"/>
  <c r="GO291" i="27"/>
  <c r="GP291" i="27"/>
  <c r="ES298" i="27"/>
  <c r="ER298" i="27"/>
  <c r="ET298" i="27"/>
  <c r="FJ298" i="27"/>
  <c r="FJ283" i="27"/>
  <c r="ER283" i="27"/>
  <c r="ES283" i="27"/>
  <c r="ET283" i="27"/>
  <c r="ER295" i="27"/>
  <c r="ES295" i="27"/>
  <c r="FJ295" i="27"/>
  <c r="ET295" i="27"/>
  <c r="EY223" i="27"/>
  <c r="FK223" i="27"/>
  <c r="EZ223" i="27"/>
  <c r="EX223" i="27"/>
  <c r="EY225" i="27"/>
  <c r="EX225" i="27"/>
  <c r="EZ225" i="27"/>
  <c r="FK225" i="27"/>
  <c r="DD213" i="27"/>
  <c r="DC213" i="27"/>
  <c r="DB213" i="27"/>
  <c r="DO213" i="27"/>
  <c r="GU222" i="27"/>
  <c r="GT222" i="27"/>
  <c r="GV222" i="27"/>
  <c r="HG222" i="27"/>
  <c r="GV215" i="27"/>
  <c r="GT215" i="27"/>
  <c r="HG215" i="27"/>
  <c r="GU215" i="27"/>
  <c r="EY219" i="27"/>
  <c r="EZ219" i="27"/>
  <c r="FK219" i="27"/>
  <c r="EX219" i="27"/>
  <c r="DB228" i="27"/>
  <c r="DO228" i="27"/>
  <c r="DD228" i="27"/>
  <c r="DC228" i="27"/>
  <c r="DC233" i="27"/>
  <c r="DD233" i="27"/>
  <c r="DB233" i="27"/>
  <c r="DO233" i="27"/>
  <c r="DQ233" i="27" s="1"/>
  <c r="EY232" i="27"/>
  <c r="EX232" i="27"/>
  <c r="FK232" i="27"/>
  <c r="EZ232" i="27"/>
  <c r="EZ241" i="27"/>
  <c r="EX241" i="27"/>
  <c r="FK241" i="27"/>
  <c r="EY241" i="27"/>
  <c r="EY234" i="27"/>
  <c r="EX234" i="27"/>
  <c r="EZ234" i="27"/>
  <c r="FK234" i="27"/>
  <c r="EY242" i="27"/>
  <c r="EZ242" i="27"/>
  <c r="EX242" i="27"/>
  <c r="FK242" i="27"/>
  <c r="HM194" i="27"/>
  <c r="HO194" i="27"/>
  <c r="FQ183" i="27"/>
  <c r="FS183" i="27"/>
  <c r="HI221" i="27"/>
  <c r="HM174" i="27"/>
  <c r="HO174" i="27"/>
  <c r="FS178" i="27"/>
  <c r="FQ178" i="27"/>
  <c r="HM207" i="27"/>
  <c r="HO207" i="27"/>
  <c r="DW208" i="27"/>
  <c r="DU208" i="27"/>
  <c r="HH215" i="27"/>
  <c r="GZ215" i="27"/>
  <c r="HB215" i="27"/>
  <c r="HA215" i="27"/>
  <c r="HB217" i="27"/>
  <c r="GZ217" i="27"/>
  <c r="HH217" i="27"/>
  <c r="HA217" i="27"/>
  <c r="HB223" i="27"/>
  <c r="HH223" i="27"/>
  <c r="GZ223" i="27"/>
  <c r="HA223" i="27"/>
  <c r="FL220" i="27"/>
  <c r="FF220" i="27"/>
  <c r="FD220" i="27"/>
  <c r="FE220" i="27"/>
  <c r="HA222" i="27"/>
  <c r="HH222" i="27"/>
  <c r="GZ222" i="27"/>
  <c r="HB222" i="27"/>
  <c r="DJ219" i="27"/>
  <c r="DH219" i="27"/>
  <c r="DI219" i="27"/>
  <c r="DP219" i="27"/>
  <c r="DI227" i="27"/>
  <c r="DP227" i="27"/>
  <c r="DJ227" i="27"/>
  <c r="DH227" i="27"/>
  <c r="DJ231" i="27"/>
  <c r="DP231" i="27"/>
  <c r="DI231" i="27"/>
  <c r="DH231" i="27"/>
  <c r="FL236" i="27"/>
  <c r="FD236" i="27"/>
  <c r="FF236" i="27"/>
  <c r="FE236" i="27"/>
  <c r="DP228" i="27"/>
  <c r="DH228" i="27"/>
  <c r="DI228" i="27"/>
  <c r="DJ228" i="27"/>
  <c r="HB233" i="27"/>
  <c r="HH233" i="27"/>
  <c r="HA233" i="27"/>
  <c r="GZ233" i="27"/>
  <c r="HH234" i="27"/>
  <c r="HI234" i="27" s="1"/>
  <c r="HA234" i="27"/>
  <c r="HB234" i="27"/>
  <c r="GZ234" i="27"/>
  <c r="CR248" i="27"/>
  <c r="DM248" i="27"/>
  <c r="CQ248" i="27"/>
  <c r="CP248" i="27"/>
  <c r="CP251" i="27"/>
  <c r="CQ251" i="27"/>
  <c r="DM251" i="27"/>
  <c r="CR251" i="27"/>
  <c r="CP255" i="27"/>
  <c r="CR255" i="27"/>
  <c r="CQ255" i="27"/>
  <c r="DM255" i="27"/>
  <c r="GI245" i="27"/>
  <c r="HE245" i="27"/>
  <c r="GJ245" i="27"/>
  <c r="GH245" i="27"/>
  <c r="EM258" i="27"/>
  <c r="EL258" i="27"/>
  <c r="FI258" i="27"/>
  <c r="EN258" i="27"/>
  <c r="EM254" i="27"/>
  <c r="EN254" i="27"/>
  <c r="EL254" i="27"/>
  <c r="FI254" i="27"/>
  <c r="GH247" i="27"/>
  <c r="GI247" i="27"/>
  <c r="GJ247" i="27"/>
  <c r="HE247" i="27"/>
  <c r="EM261" i="27"/>
  <c r="EN261" i="27"/>
  <c r="EL261" i="27"/>
  <c r="FI261" i="27"/>
  <c r="EN266" i="27"/>
  <c r="EL266" i="27"/>
  <c r="EM266" i="27"/>
  <c r="FI266" i="27"/>
  <c r="HE270" i="27"/>
  <c r="GJ270" i="27"/>
  <c r="GH270" i="27"/>
  <c r="GI270" i="27"/>
  <c r="CQ267" i="27"/>
  <c r="DM267" i="27"/>
  <c r="CR267" i="27"/>
  <c r="CP267" i="27"/>
  <c r="GI260" i="27"/>
  <c r="GJ260" i="27"/>
  <c r="HE260" i="27"/>
  <c r="GH260" i="27"/>
  <c r="GI275" i="27"/>
  <c r="GH275" i="27"/>
  <c r="GJ275" i="27"/>
  <c r="HE275" i="27"/>
  <c r="GH277" i="27"/>
  <c r="HE277" i="27"/>
  <c r="GJ277" i="27"/>
  <c r="GI277" i="27"/>
  <c r="EM292" i="27"/>
  <c r="EL292" i="27"/>
  <c r="FI292" i="27"/>
  <c r="EN292" i="27"/>
  <c r="EM289" i="27"/>
  <c r="EL289" i="27"/>
  <c r="EN289" i="27"/>
  <c r="FI289" i="27"/>
  <c r="GH294" i="27"/>
  <c r="HE294" i="27"/>
  <c r="GI294" i="27"/>
  <c r="GJ294" i="27"/>
  <c r="CR297" i="27"/>
  <c r="CP297" i="27"/>
  <c r="DM297" i="27"/>
  <c r="CQ297" i="27"/>
  <c r="FI282" i="27"/>
  <c r="EN282" i="27"/>
  <c r="EM282" i="27"/>
  <c r="EL282" i="27"/>
  <c r="GJ290" i="27"/>
  <c r="GH290" i="27"/>
  <c r="GI290" i="27"/>
  <c r="HE290" i="27"/>
  <c r="GI298" i="27"/>
  <c r="HE298" i="27"/>
  <c r="GH298" i="27"/>
  <c r="GJ298" i="27"/>
  <c r="CQ288" i="27"/>
  <c r="CP288" i="27"/>
  <c r="DM288" i="27"/>
  <c r="CR288" i="27"/>
  <c r="ES264" i="27"/>
  <c r="ER264" i="27"/>
  <c r="ET264" i="27"/>
  <c r="FJ264" i="27"/>
  <c r="ER260" i="27"/>
  <c r="FJ260" i="27"/>
  <c r="ET260" i="27"/>
  <c r="ES260" i="27"/>
  <c r="HF277" i="27"/>
  <c r="GN277" i="27"/>
  <c r="GP277" i="27"/>
  <c r="GO277" i="27"/>
  <c r="CV265" i="27"/>
  <c r="DN265" i="27"/>
  <c r="CX265" i="27"/>
  <c r="CW265" i="27"/>
  <c r="ES272" i="27"/>
  <c r="ER272" i="27"/>
  <c r="FJ272" i="27"/>
  <c r="ET272" i="27"/>
  <c r="CV274" i="27"/>
  <c r="CX274" i="27"/>
  <c r="DN274" i="27"/>
  <c r="CW274" i="27"/>
  <c r="HF276" i="27"/>
  <c r="GP276" i="27"/>
  <c r="GN276" i="27"/>
  <c r="GO276" i="27"/>
  <c r="DN287" i="27"/>
  <c r="CV287" i="27"/>
  <c r="CX287" i="27"/>
  <c r="CW287" i="27"/>
  <c r="GP293" i="27"/>
  <c r="HF293" i="27"/>
  <c r="GN293" i="27"/>
  <c r="GO293" i="27"/>
  <c r="CW290" i="27"/>
  <c r="CV290" i="27"/>
  <c r="DN290" i="27"/>
  <c r="CX290" i="27"/>
  <c r="GO288" i="27"/>
  <c r="GP288" i="27"/>
  <c r="GN288" i="27"/>
  <c r="HF288" i="27"/>
  <c r="ES291" i="27"/>
  <c r="ET291" i="27"/>
  <c r="FJ291" i="27"/>
  <c r="ER291" i="27"/>
  <c r="GO289" i="27"/>
  <c r="GP289" i="27"/>
  <c r="HF289" i="27"/>
  <c r="GN289" i="27"/>
  <c r="CV283" i="27"/>
  <c r="CW283" i="27"/>
  <c r="DN283" i="27"/>
  <c r="CX283" i="27"/>
  <c r="CW295" i="27"/>
  <c r="DN295" i="27"/>
  <c r="CV295" i="27"/>
  <c r="CX295" i="27"/>
  <c r="GU223" i="27"/>
  <c r="GT223" i="27"/>
  <c r="HG223" i="27"/>
  <c r="GV223" i="27"/>
  <c r="DO226" i="27"/>
  <c r="DD226" i="27"/>
  <c r="DC226" i="27"/>
  <c r="DB226" i="27"/>
  <c r="EX213" i="27"/>
  <c r="EZ213" i="27"/>
  <c r="FK213" i="27"/>
  <c r="EY213" i="27"/>
  <c r="EY222" i="27"/>
  <c r="EX222" i="27"/>
  <c r="FK222" i="27"/>
  <c r="EZ222" i="27"/>
  <c r="GU212" i="27"/>
  <c r="GV212" i="27"/>
  <c r="GT212" i="27"/>
  <c r="HG212" i="27"/>
  <c r="GU219" i="27"/>
  <c r="GT219" i="27"/>
  <c r="GV219" i="27"/>
  <c r="HG219" i="27"/>
  <c r="HI219" i="27" s="1"/>
  <c r="GV228" i="27"/>
  <c r="HG228" i="27"/>
  <c r="GU228" i="27"/>
  <c r="GT228" i="27"/>
  <c r="DD235" i="27"/>
  <c r="DC235" i="27"/>
  <c r="DO235" i="27"/>
  <c r="DB235" i="27"/>
  <c r="DB232" i="27"/>
  <c r="DO232" i="27"/>
  <c r="DC232" i="27"/>
  <c r="DD232" i="27"/>
  <c r="DO241" i="27"/>
  <c r="DD241" i="27"/>
  <c r="DC241" i="27"/>
  <c r="DB241" i="27"/>
  <c r="DB239" i="27"/>
  <c r="DD239" i="27"/>
  <c r="DC239" i="27"/>
  <c r="DO239" i="27"/>
  <c r="DD242" i="27"/>
  <c r="DO242" i="27"/>
  <c r="DC242" i="27"/>
  <c r="DB242" i="27"/>
  <c r="DW184" i="27"/>
  <c r="DU184" i="27"/>
  <c r="Q86" i="31"/>
  <c r="AJ86" i="31"/>
  <c r="DU198" i="27"/>
  <c r="DW198" i="27"/>
  <c r="HM189" i="27"/>
  <c r="HO189" i="27"/>
  <c r="HM179" i="27"/>
  <c r="HO179" i="27"/>
  <c r="DW194" i="27"/>
  <c r="DU194" i="27"/>
  <c r="BQ52" i="23"/>
  <c r="FQ211" i="27"/>
  <c r="FS211" i="27"/>
  <c r="DQ234" i="27"/>
  <c r="FQ190" i="27"/>
  <c r="FS190" i="27"/>
  <c r="HO150" i="27"/>
  <c r="HM150" i="27"/>
  <c r="AU85" i="31"/>
  <c r="BA85" i="31" s="1"/>
  <c r="BG85" i="31"/>
  <c r="FE215" i="27"/>
  <c r="FL215" i="27"/>
  <c r="FF215" i="27"/>
  <c r="FD215" i="27"/>
  <c r="FF213" i="27"/>
  <c r="FD213" i="27"/>
  <c r="FE213" i="27"/>
  <c r="FL213" i="27"/>
  <c r="DJ223" i="27"/>
  <c r="DI223" i="27"/>
  <c r="DH223" i="27"/>
  <c r="DP223" i="27"/>
  <c r="HB220" i="27"/>
  <c r="HA220" i="27"/>
  <c r="GZ220" i="27"/>
  <c r="HH220" i="27"/>
  <c r="FE224" i="27"/>
  <c r="FF224" i="27"/>
  <c r="FD224" i="27"/>
  <c r="FL224" i="27"/>
  <c r="FD219" i="27"/>
  <c r="FF219" i="27"/>
  <c r="FE219" i="27"/>
  <c r="FL219" i="27"/>
  <c r="FL227" i="27"/>
  <c r="FM227" i="27" s="1"/>
  <c r="FE227" i="27"/>
  <c r="FD227" i="27"/>
  <c r="FF227" i="27"/>
  <c r="FL232" i="27"/>
  <c r="FM232" i="27" s="1"/>
  <c r="FF232" i="27"/>
  <c r="FD232" i="27"/>
  <c r="FE232" i="27"/>
  <c r="DH236" i="27"/>
  <c r="DP236" i="27"/>
  <c r="DJ236" i="27"/>
  <c r="DI236" i="27"/>
  <c r="FL228" i="27"/>
  <c r="FF228" i="27"/>
  <c r="FE228" i="27"/>
  <c r="FD228" i="27"/>
  <c r="FF229" i="27"/>
  <c r="FE229" i="27"/>
  <c r="FD229" i="27"/>
  <c r="FL229" i="27"/>
  <c r="FE234" i="27"/>
  <c r="FF234" i="27"/>
  <c r="FL234" i="27"/>
  <c r="FD234" i="27"/>
  <c r="DM253" i="27"/>
  <c r="CQ253" i="27"/>
  <c r="CP253" i="27"/>
  <c r="CR253" i="27"/>
  <c r="GI251" i="27"/>
  <c r="HE251" i="27"/>
  <c r="GJ251" i="27"/>
  <c r="GH251" i="27"/>
  <c r="GI255" i="27"/>
  <c r="GH255" i="27"/>
  <c r="GJ255" i="27"/>
  <c r="HE255" i="27"/>
  <c r="EN256" i="27"/>
  <c r="FI256" i="27"/>
  <c r="EM256" i="27"/>
  <c r="EL256" i="27"/>
  <c r="CQ258" i="27"/>
  <c r="CP258" i="27"/>
  <c r="DM258" i="27"/>
  <c r="CR258" i="27"/>
  <c r="GJ254" i="27"/>
  <c r="GI254" i="27"/>
  <c r="GH254" i="27"/>
  <c r="HE254" i="27"/>
  <c r="DM269" i="27"/>
  <c r="CQ269" i="27"/>
  <c r="CR269" i="27"/>
  <c r="CP269" i="27"/>
  <c r="CQ261" i="27"/>
  <c r="CR261" i="27"/>
  <c r="DM261" i="27"/>
  <c r="CP261" i="27"/>
  <c r="HE266" i="27"/>
  <c r="GH266" i="27"/>
  <c r="GI266" i="27"/>
  <c r="GJ266" i="27"/>
  <c r="CR272" i="27"/>
  <c r="CP272" i="27"/>
  <c r="DM272" i="27"/>
  <c r="CQ272" i="27"/>
  <c r="HE267" i="27"/>
  <c r="GH267" i="27"/>
  <c r="GJ267" i="27"/>
  <c r="GI267" i="27"/>
  <c r="FI260" i="27"/>
  <c r="EN260" i="27"/>
  <c r="EM260" i="27"/>
  <c r="EL260" i="27"/>
  <c r="EN271" i="27"/>
  <c r="FI271" i="27"/>
  <c r="EL271" i="27"/>
  <c r="EM271" i="27"/>
  <c r="EN277" i="27"/>
  <c r="EL277" i="27"/>
  <c r="EM277" i="27"/>
  <c r="FI277" i="27"/>
  <c r="DM292" i="27"/>
  <c r="CP292" i="27"/>
  <c r="CQ292" i="27"/>
  <c r="CR292" i="27"/>
  <c r="FI281" i="27"/>
  <c r="EL281" i="27"/>
  <c r="EM281" i="27"/>
  <c r="EN281" i="27"/>
  <c r="EM294" i="27"/>
  <c r="FI294" i="27"/>
  <c r="EN294" i="27"/>
  <c r="EL294" i="27"/>
  <c r="FI297" i="27"/>
  <c r="EM297" i="27"/>
  <c r="EL297" i="27"/>
  <c r="EN297" i="27"/>
  <c r="GH291" i="27"/>
  <c r="GJ291" i="27"/>
  <c r="HE291" i="27"/>
  <c r="GI291" i="27"/>
  <c r="CR290" i="27"/>
  <c r="DM290" i="27"/>
  <c r="CQ290" i="27"/>
  <c r="CP290" i="27"/>
  <c r="FI298" i="27"/>
  <c r="EL298" i="27"/>
  <c r="EN298" i="27"/>
  <c r="EM298" i="27"/>
  <c r="GP264" i="27"/>
  <c r="GN264" i="27"/>
  <c r="HF264" i="27"/>
  <c r="GO264" i="27"/>
  <c r="GO273" i="27"/>
  <c r="HF273" i="27"/>
  <c r="GP273" i="27"/>
  <c r="GN273" i="27"/>
  <c r="CW277" i="27"/>
  <c r="DN277" i="27"/>
  <c r="CV277" i="27"/>
  <c r="CX277" i="27"/>
  <c r="GN265" i="27"/>
  <c r="GP265" i="27"/>
  <c r="HF265" i="27"/>
  <c r="GO265" i="27"/>
  <c r="DN268" i="27"/>
  <c r="CW268" i="27"/>
  <c r="CX268" i="27"/>
  <c r="CV268" i="27"/>
  <c r="ET274" i="27"/>
  <c r="FJ274" i="27"/>
  <c r="ES274" i="27"/>
  <c r="ER274" i="27"/>
  <c r="CV276" i="27"/>
  <c r="CW276" i="27"/>
  <c r="CX276" i="27"/>
  <c r="DN276" i="27"/>
  <c r="GO296" i="27"/>
  <c r="HF296" i="27"/>
  <c r="GP296" i="27"/>
  <c r="GN296" i="27"/>
  <c r="CV293" i="27"/>
  <c r="CX293" i="27"/>
  <c r="DN293" i="27"/>
  <c r="CW293" i="27"/>
  <c r="GN290" i="27"/>
  <c r="GO290" i="27"/>
  <c r="HF290" i="27"/>
  <c r="GP290" i="27"/>
  <c r="CX281" i="27"/>
  <c r="CV281" i="27"/>
  <c r="CW281" i="27"/>
  <c r="DN281" i="27"/>
  <c r="DN291" i="27"/>
  <c r="CX291" i="27"/>
  <c r="CV291" i="27"/>
  <c r="CW291" i="27"/>
  <c r="DN289" i="27"/>
  <c r="CX289" i="27"/>
  <c r="CW289" i="27"/>
  <c r="CV289" i="27"/>
  <c r="ER280" i="27"/>
  <c r="ET280" i="27"/>
  <c r="FJ280" i="27"/>
  <c r="ES280" i="27"/>
  <c r="GP295" i="27"/>
  <c r="GN295" i="27"/>
  <c r="HF295" i="27"/>
  <c r="GO295" i="27"/>
  <c r="DB223" i="27"/>
  <c r="DO223" i="27"/>
  <c r="DC223" i="27"/>
  <c r="DD223" i="27"/>
  <c r="GV226" i="27"/>
  <c r="GU226" i="27"/>
  <c r="HG226" i="27"/>
  <c r="GT226" i="27"/>
  <c r="EZ220" i="27"/>
  <c r="FK220" i="27"/>
  <c r="FM220" i="27" s="1"/>
  <c r="EX220" i="27"/>
  <c r="EY220" i="27"/>
  <c r="DB222" i="27"/>
  <c r="DO222" i="27"/>
  <c r="DQ222" i="27" s="1"/>
  <c r="DD222" i="27"/>
  <c r="DC222" i="27"/>
  <c r="FK212" i="27"/>
  <c r="EY212" i="27"/>
  <c r="EX212" i="27"/>
  <c r="EZ212" i="27"/>
  <c r="EY240" i="27"/>
  <c r="EZ240" i="27"/>
  <c r="FK240" i="27"/>
  <c r="EX240" i="27"/>
  <c r="FK228" i="27"/>
  <c r="EX228" i="27"/>
  <c r="EY228" i="27"/>
  <c r="EZ228" i="27"/>
  <c r="GU235" i="27"/>
  <c r="HG235" i="27"/>
  <c r="GV235" i="27"/>
  <c r="GT235" i="27"/>
  <c r="DC231" i="27"/>
  <c r="DO231" i="27"/>
  <c r="DQ231" i="27" s="1"/>
  <c r="DB231" i="27"/>
  <c r="DD231" i="27"/>
  <c r="GV241" i="27"/>
  <c r="HG241" i="27"/>
  <c r="GU241" i="27"/>
  <c r="GT241" i="27"/>
  <c r="EX239" i="27"/>
  <c r="EZ239" i="27"/>
  <c r="EY239" i="27"/>
  <c r="FK239" i="27"/>
  <c r="HI212" i="27"/>
  <c r="DU146" i="27"/>
  <c r="DW146" i="27"/>
  <c r="BF89" i="31"/>
  <c r="AT89" i="31"/>
  <c r="AZ89" i="31" s="1"/>
  <c r="HO146" i="27"/>
  <c r="HM146" i="27"/>
  <c r="FQ146" i="27"/>
  <c r="FS146" i="27"/>
  <c r="BR27" i="23"/>
  <c r="BS27" i="23" s="1"/>
  <c r="BT27" i="23" s="1"/>
  <c r="BW27" i="23" s="1"/>
  <c r="CG9" i="23" s="1"/>
  <c r="BR26" i="23"/>
  <c r="BS26" i="23" s="1"/>
  <c r="BT26" i="23" s="1"/>
  <c r="BW26" i="23" s="1"/>
  <c r="CG8" i="23" s="1"/>
  <c r="BR24" i="23"/>
  <c r="BS24" i="23" s="1"/>
  <c r="BT24" i="23" s="1"/>
  <c r="BW24" i="23" s="1"/>
  <c r="CG6" i="23" s="1"/>
  <c r="BR23" i="23"/>
  <c r="BS23" i="23" s="1"/>
  <c r="BT23" i="23" s="1"/>
  <c r="BR25" i="23"/>
  <c r="BS25" i="23" s="1"/>
  <c r="BT25" i="23" s="1"/>
  <c r="BW25" i="23" s="1"/>
  <c r="CG7" i="23" s="1"/>
  <c r="DW161" i="27"/>
  <c r="DU161" i="27"/>
  <c r="DJ215" i="27"/>
  <c r="DP215" i="27"/>
  <c r="DI215" i="27"/>
  <c r="DH215" i="27"/>
  <c r="HB213" i="27"/>
  <c r="HA213" i="27"/>
  <c r="GZ213" i="27"/>
  <c r="HH213" i="27"/>
  <c r="DJ218" i="27"/>
  <c r="DP218" i="27"/>
  <c r="DQ218" i="27" s="1"/>
  <c r="DI218" i="27"/>
  <c r="DH218" i="27"/>
  <c r="DI220" i="27"/>
  <c r="DJ220" i="27"/>
  <c r="DH220" i="27"/>
  <c r="DP220" i="27"/>
  <c r="DP224" i="27"/>
  <c r="DI224" i="27"/>
  <c r="DJ224" i="27"/>
  <c r="DH224" i="27"/>
  <c r="FD214" i="27"/>
  <c r="FL214" i="27"/>
  <c r="FF214" i="27"/>
  <c r="FE214" i="27"/>
  <c r="HB227" i="27"/>
  <c r="GZ227" i="27"/>
  <c r="HA227" i="27"/>
  <c r="HH227" i="27"/>
  <c r="HB232" i="27"/>
  <c r="HA232" i="27"/>
  <c r="HH232" i="27"/>
  <c r="HI232" i="27" s="1"/>
  <c r="GZ232" i="27"/>
  <c r="HA239" i="27"/>
  <c r="HB239" i="27"/>
  <c r="GZ239" i="27"/>
  <c r="HH239" i="27"/>
  <c r="HH228" i="27"/>
  <c r="HI228" i="27" s="1"/>
  <c r="HA228" i="27"/>
  <c r="HB228" i="27"/>
  <c r="GZ228" i="27"/>
  <c r="DI229" i="27"/>
  <c r="DP229" i="27"/>
  <c r="DH229" i="27"/>
  <c r="DJ229" i="27"/>
  <c r="DJ242" i="27"/>
  <c r="DI242" i="27"/>
  <c r="DP242" i="27"/>
  <c r="DH242" i="27"/>
  <c r="EL253" i="27"/>
  <c r="EN253" i="27"/>
  <c r="EM253" i="27"/>
  <c r="FI253" i="27"/>
  <c r="GI249" i="27"/>
  <c r="GJ249" i="27"/>
  <c r="GH249" i="27"/>
  <c r="HE249" i="27"/>
  <c r="EL255" i="27"/>
  <c r="EN255" i="27"/>
  <c r="EM255" i="27"/>
  <c r="FI255" i="27"/>
  <c r="GH256" i="27"/>
  <c r="GJ256" i="27"/>
  <c r="HE256" i="27"/>
  <c r="GI256" i="27"/>
  <c r="EN257" i="27"/>
  <c r="EM257" i="27"/>
  <c r="FI257" i="27"/>
  <c r="EL257" i="27"/>
  <c r="CQ254" i="27"/>
  <c r="CR254" i="27"/>
  <c r="DM254" i="27"/>
  <c r="CP254" i="27"/>
  <c r="HE269" i="27"/>
  <c r="GI269" i="27"/>
  <c r="GH269" i="27"/>
  <c r="GJ269" i="27"/>
  <c r="CP278" i="27"/>
  <c r="CQ278" i="27"/>
  <c r="DM278" i="27"/>
  <c r="CR278" i="27"/>
  <c r="CR266" i="27"/>
  <c r="CP266" i="27"/>
  <c r="DM266" i="27"/>
  <c r="CQ266" i="27"/>
  <c r="HE272" i="27"/>
  <c r="GI272" i="27"/>
  <c r="GH272" i="27"/>
  <c r="GJ272" i="27"/>
  <c r="CR273" i="27"/>
  <c r="CP273" i="27"/>
  <c r="DM273" i="27"/>
  <c r="CQ273" i="27"/>
  <c r="CQ260" i="27"/>
  <c r="CR260" i="27"/>
  <c r="CP260" i="27"/>
  <c r="DM260" i="27"/>
  <c r="CQ271" i="27"/>
  <c r="CP271" i="27"/>
  <c r="CR271" i="27"/>
  <c r="DM271" i="27"/>
  <c r="L99" i="31"/>
  <c r="AF99" i="31" s="1"/>
  <c r="AH95" i="3"/>
  <c r="GJ292" i="27"/>
  <c r="GH292" i="27"/>
  <c r="GI292" i="27"/>
  <c r="HE292" i="27"/>
  <c r="CQ281" i="27"/>
  <c r="CP281" i="27"/>
  <c r="CR281" i="27"/>
  <c r="DM281" i="27"/>
  <c r="CR280" i="27"/>
  <c r="CP280" i="27"/>
  <c r="CQ280" i="27"/>
  <c r="DM280" i="27"/>
  <c r="HE297" i="27"/>
  <c r="GH297" i="27"/>
  <c r="GI297" i="27"/>
  <c r="GJ297" i="27"/>
  <c r="CQ291" i="27"/>
  <c r="CP291" i="27"/>
  <c r="CR291" i="27"/>
  <c r="DM291" i="27"/>
  <c r="CQ296" i="27"/>
  <c r="DM296" i="27"/>
  <c r="CR296" i="27"/>
  <c r="CP296" i="27"/>
  <c r="CR298" i="27"/>
  <c r="CP298" i="27"/>
  <c r="DM298" i="27"/>
  <c r="CQ298" i="27"/>
  <c r="DN264" i="27"/>
  <c r="CW264" i="27"/>
  <c r="CV264" i="27"/>
  <c r="CX264" i="27"/>
  <c r="CV273" i="27"/>
  <c r="CW273" i="27"/>
  <c r="CX273" i="27"/>
  <c r="DN273" i="27"/>
  <c r="FJ270" i="27"/>
  <c r="ER270" i="27"/>
  <c r="ES270" i="27"/>
  <c r="ET270" i="27"/>
  <c r="ES265" i="27"/>
  <c r="FJ265" i="27"/>
  <c r="ET265" i="27"/>
  <c r="ER265" i="27"/>
  <c r="ES268" i="27"/>
  <c r="FJ268" i="27"/>
  <c r="ER268" i="27"/>
  <c r="ET268" i="27"/>
  <c r="HF267" i="27"/>
  <c r="GN267" i="27"/>
  <c r="GP267" i="27"/>
  <c r="GO267" i="27"/>
  <c r="ET276" i="27"/>
  <c r="FJ276" i="27"/>
  <c r="ER276" i="27"/>
  <c r="ES276" i="27"/>
  <c r="ER296" i="27"/>
  <c r="ES296" i="27"/>
  <c r="FJ296" i="27"/>
  <c r="ET296" i="27"/>
  <c r="GP292" i="27"/>
  <c r="GO292" i="27"/>
  <c r="HF292" i="27"/>
  <c r="GN292" i="27"/>
  <c r="ES290" i="27"/>
  <c r="ER290" i="27"/>
  <c r="ET290" i="27"/>
  <c r="FJ290" i="27"/>
  <c r="FJ281" i="27"/>
  <c r="ES281" i="27"/>
  <c r="ET281" i="27"/>
  <c r="ER281" i="27"/>
  <c r="ET282" i="27"/>
  <c r="FJ282" i="27"/>
  <c r="ER282" i="27"/>
  <c r="ES282" i="27"/>
  <c r="ES289" i="27"/>
  <c r="ET289" i="27"/>
  <c r="ER289" i="27"/>
  <c r="FJ289" i="27"/>
  <c r="GO280" i="27"/>
  <c r="HF280" i="27"/>
  <c r="GN280" i="27"/>
  <c r="GP280" i="27"/>
  <c r="EY224" i="27"/>
  <c r="EZ224" i="27"/>
  <c r="EX224" i="27"/>
  <c r="FK224" i="27"/>
  <c r="FM224" i="27" s="1"/>
  <c r="EX226" i="27"/>
  <c r="EZ226" i="27"/>
  <c r="FK226" i="27"/>
  <c r="FM226" i="27" s="1"/>
  <c r="EY226" i="27"/>
  <c r="GU220" i="27"/>
  <c r="GV220" i="27"/>
  <c r="GT220" i="27"/>
  <c r="HG220" i="27"/>
  <c r="EY217" i="27"/>
  <c r="FK217" i="27"/>
  <c r="FM217" i="27" s="1"/>
  <c r="EZ217" i="27"/>
  <c r="EX217" i="27"/>
  <c r="DC212" i="27"/>
  <c r="DD212" i="27"/>
  <c r="DB212" i="27"/>
  <c r="DO212" i="27"/>
  <c r="DQ212" i="27" s="1"/>
  <c r="GT240" i="27"/>
  <c r="HG240" i="27"/>
  <c r="HI240" i="27" s="1"/>
  <c r="GU240" i="27"/>
  <c r="GV240" i="27"/>
  <c r="GT229" i="27"/>
  <c r="GU229" i="27"/>
  <c r="GV229" i="27"/>
  <c r="HG229" i="27"/>
  <c r="EX235" i="27"/>
  <c r="FK235" i="27"/>
  <c r="FM235" i="27" s="1"/>
  <c r="EY235" i="27"/>
  <c r="EZ235" i="27"/>
  <c r="GT231" i="27"/>
  <c r="HG231" i="27"/>
  <c r="HI231" i="27" s="1"/>
  <c r="GV231" i="27"/>
  <c r="GU231" i="27"/>
  <c r="DC230" i="27"/>
  <c r="DD230" i="27"/>
  <c r="DO230" i="27"/>
  <c r="DQ230" i="27" s="1"/>
  <c r="DB230" i="27"/>
  <c r="HG239" i="27"/>
  <c r="GT239" i="27"/>
  <c r="GU239" i="27"/>
  <c r="GV239" i="27"/>
  <c r="DQ237" i="27"/>
  <c r="DU149" i="27"/>
  <c r="DW149" i="27"/>
  <c r="BD95" i="31"/>
  <c r="AR95" i="31"/>
  <c r="AX95" i="31" s="1"/>
  <c r="BE87" i="31"/>
  <c r="AS87" i="31"/>
  <c r="AY87" i="31" s="1"/>
  <c r="FS204" i="27"/>
  <c r="FQ204" i="27"/>
  <c r="DU142" i="27"/>
  <c r="DW142" i="27"/>
  <c r="FQ173" i="27"/>
  <c r="FS173" i="27"/>
  <c r="HM147" i="27"/>
  <c r="HO147" i="27"/>
  <c r="HA226" i="27"/>
  <c r="HB226" i="27"/>
  <c r="GZ226" i="27"/>
  <c r="HH226" i="27"/>
  <c r="DI213" i="27"/>
  <c r="DH213" i="27"/>
  <c r="DP213" i="27"/>
  <c r="DJ213" i="27"/>
  <c r="GZ218" i="27"/>
  <c r="HA218" i="27"/>
  <c r="HH218" i="27"/>
  <c r="HB218" i="27"/>
  <c r="FD225" i="27"/>
  <c r="FE225" i="27"/>
  <c r="FF225" i="27"/>
  <c r="FL225" i="27"/>
  <c r="HB224" i="27"/>
  <c r="HH224" i="27"/>
  <c r="GZ224" i="27"/>
  <c r="HA224" i="27"/>
  <c r="GZ214" i="27"/>
  <c r="HH214" i="27"/>
  <c r="HA214" i="27"/>
  <c r="HB214" i="27"/>
  <c r="FE241" i="27"/>
  <c r="FD241" i="27"/>
  <c r="FF241" i="27"/>
  <c r="FL241" i="27"/>
  <c r="DJ232" i="27"/>
  <c r="DP232" i="27"/>
  <c r="DQ232" i="27" s="1"/>
  <c r="DH232" i="27"/>
  <c r="DI232" i="27"/>
  <c r="FL239" i="27"/>
  <c r="FE239" i="27"/>
  <c r="FD239" i="27"/>
  <c r="FF239" i="27"/>
  <c r="FE230" i="27"/>
  <c r="FF230" i="27"/>
  <c r="FL230" i="27"/>
  <c r="FD230" i="27"/>
  <c r="HH229" i="27"/>
  <c r="HB229" i="27"/>
  <c r="HA229" i="27"/>
  <c r="GZ229" i="27"/>
  <c r="HH242" i="27"/>
  <c r="HI242" i="27" s="1"/>
  <c r="HA242" i="27"/>
  <c r="GZ242" i="27"/>
  <c r="HB242" i="27"/>
  <c r="GI253" i="27"/>
  <c r="GH253" i="27"/>
  <c r="GJ253" i="27"/>
  <c r="HE253" i="27"/>
  <c r="DM249" i="27"/>
  <c r="CR249" i="27"/>
  <c r="CQ249" i="27"/>
  <c r="CP249" i="27"/>
  <c r="CP244" i="27"/>
  <c r="CR244" i="27"/>
  <c r="CQ244" i="27"/>
  <c r="DM244" i="27"/>
  <c r="CR256" i="27"/>
  <c r="DM256" i="27"/>
  <c r="CQ256" i="27"/>
  <c r="CP256" i="27"/>
  <c r="GI257" i="27"/>
  <c r="GJ257" i="27"/>
  <c r="GH257" i="27"/>
  <c r="HE257" i="27"/>
  <c r="CQ252" i="27"/>
  <c r="CP252" i="27"/>
  <c r="DM252" i="27"/>
  <c r="CR252" i="27"/>
  <c r="EN269" i="27"/>
  <c r="FI269" i="27"/>
  <c r="EL269" i="27"/>
  <c r="EM269" i="27"/>
  <c r="EL278" i="27"/>
  <c r="EN278" i="27"/>
  <c r="EM278" i="27"/>
  <c r="FI278" i="27"/>
  <c r="DM276" i="27"/>
  <c r="CP276" i="27"/>
  <c r="CQ276" i="27"/>
  <c r="CR276" i="27"/>
  <c r="EN272" i="27"/>
  <c r="FI272" i="27"/>
  <c r="EM272" i="27"/>
  <c r="EL272" i="27"/>
  <c r="GJ273" i="27"/>
  <c r="HE273" i="27"/>
  <c r="GH273" i="27"/>
  <c r="GI273" i="27"/>
  <c r="CP274" i="27"/>
  <c r="CQ274" i="27"/>
  <c r="CR274" i="27"/>
  <c r="DM274" i="27"/>
  <c r="GI271" i="27"/>
  <c r="HE271" i="27"/>
  <c r="GH271" i="27"/>
  <c r="GJ271" i="27"/>
  <c r="L98" i="31"/>
  <c r="AF98" i="31" s="1"/>
  <c r="AH94" i="3"/>
  <c r="EL283" i="27"/>
  <c r="FI283" i="27"/>
  <c r="EM283" i="27"/>
  <c r="EN283" i="27"/>
  <c r="GJ281" i="27"/>
  <c r="HE281" i="27"/>
  <c r="GI281" i="27"/>
  <c r="GH281" i="27"/>
  <c r="FI280" i="27"/>
  <c r="EL280" i="27"/>
  <c r="EN280" i="27"/>
  <c r="EM280" i="27"/>
  <c r="GI279" i="27"/>
  <c r="GH279" i="27"/>
  <c r="HE279" i="27"/>
  <c r="GJ279" i="27"/>
  <c r="EM291" i="27"/>
  <c r="FI291" i="27"/>
  <c r="EL291" i="27"/>
  <c r="EN291" i="27"/>
  <c r="FI296" i="27"/>
  <c r="EM296" i="27"/>
  <c r="EN296" i="27"/>
  <c r="EL296" i="27"/>
  <c r="HE295" i="27"/>
  <c r="GJ295" i="27"/>
  <c r="GI295" i="27"/>
  <c r="GH295" i="27"/>
  <c r="O88" i="31"/>
  <c r="AI88" i="31" s="1"/>
  <c r="AK84" i="3"/>
  <c r="ET261" i="27"/>
  <c r="FJ261" i="27"/>
  <c r="ES261" i="27"/>
  <c r="ER261" i="27"/>
  <c r="ES273" i="27"/>
  <c r="FJ273" i="27"/>
  <c r="ER273" i="27"/>
  <c r="ET273" i="27"/>
  <c r="CW270" i="27"/>
  <c r="CX270" i="27"/>
  <c r="CV270" i="27"/>
  <c r="DN270" i="27"/>
  <c r="FJ271" i="27"/>
  <c r="ET271" i="27"/>
  <c r="ER271" i="27"/>
  <c r="ES271" i="27"/>
  <c r="GO268" i="27"/>
  <c r="GP268" i="27"/>
  <c r="HF268" i="27"/>
  <c r="GN268" i="27"/>
  <c r="ER267" i="27"/>
  <c r="ES267" i="27"/>
  <c r="FJ267" i="27"/>
  <c r="ET267" i="27"/>
  <c r="GO262" i="27"/>
  <c r="HF262" i="27"/>
  <c r="GP262" i="27"/>
  <c r="GN262" i="27"/>
  <c r="DN296" i="27"/>
  <c r="CW296" i="27"/>
  <c r="CV296" i="27"/>
  <c r="CX296" i="27"/>
  <c r="CX292" i="27"/>
  <c r="CW292" i="27"/>
  <c r="CV292" i="27"/>
  <c r="DN292" i="27"/>
  <c r="CW279" i="27"/>
  <c r="CX279" i="27"/>
  <c r="CV279" i="27"/>
  <c r="DN279" i="27"/>
  <c r="GO281" i="27"/>
  <c r="GP281" i="27"/>
  <c r="GN281" i="27"/>
  <c r="HF281" i="27"/>
  <c r="CV282" i="27"/>
  <c r="CX282" i="27"/>
  <c r="DN282" i="27"/>
  <c r="CW282" i="27"/>
  <c r="GN294" i="27"/>
  <c r="GP294" i="27"/>
  <c r="HF294" i="27"/>
  <c r="GO294" i="27"/>
  <c r="CW280" i="27"/>
  <c r="CX280" i="27"/>
  <c r="CV280" i="27"/>
  <c r="DN280" i="27"/>
  <c r="DO224" i="27"/>
  <c r="DC224" i="27"/>
  <c r="DD224" i="27"/>
  <c r="DB224" i="27"/>
  <c r="DB221" i="27"/>
  <c r="DO221" i="27"/>
  <c r="DQ221" i="27" s="1"/>
  <c r="DD221" i="27"/>
  <c r="DC221" i="27"/>
  <c r="DD220" i="27"/>
  <c r="DO220" i="27"/>
  <c r="DB220" i="27"/>
  <c r="DC220" i="27"/>
  <c r="GT217" i="27"/>
  <c r="HG217" i="27"/>
  <c r="GU217" i="27"/>
  <c r="GV217" i="27"/>
  <c r="GT216" i="27"/>
  <c r="GV216" i="27"/>
  <c r="HG216" i="27"/>
  <c r="GU216" i="27"/>
  <c r="DC240" i="27"/>
  <c r="DB240" i="27"/>
  <c r="DD240" i="27"/>
  <c r="DO240" i="27"/>
  <c r="FK229" i="27"/>
  <c r="EZ229" i="27"/>
  <c r="EY229" i="27"/>
  <c r="EX229" i="27"/>
  <c r="DC238" i="27"/>
  <c r="DO238" i="27"/>
  <c r="DB238" i="27"/>
  <c r="DD238" i="27"/>
  <c r="EZ231" i="27"/>
  <c r="FK231" i="27"/>
  <c r="FM231" i="27" s="1"/>
  <c r="EY231" i="27"/>
  <c r="EX231" i="27"/>
  <c r="EX230" i="27"/>
  <c r="EY230" i="27"/>
  <c r="FK230" i="27"/>
  <c r="EZ230" i="27"/>
  <c r="HG227" i="27"/>
  <c r="GU227" i="27"/>
  <c r="GT227" i="27"/>
  <c r="GV227" i="27"/>
  <c r="AJ86" i="3"/>
  <c r="N90" i="31"/>
  <c r="AH90" i="31" s="1"/>
  <c r="BD96" i="31"/>
  <c r="AR96" i="31"/>
  <c r="AX96" i="31" s="1"/>
  <c r="DW163" i="27"/>
  <c r="DU163" i="27"/>
  <c r="FQ205" i="27"/>
  <c r="FS205" i="27"/>
  <c r="FQ199" i="27"/>
  <c r="FS199" i="27"/>
  <c r="HM143" i="27"/>
  <c r="HO143" i="27"/>
  <c r="FQ142" i="27"/>
  <c r="FS142" i="27"/>
  <c r="DU207" i="27"/>
  <c r="DW207" i="27"/>
  <c r="HO211" i="27"/>
  <c r="HM211" i="27"/>
  <c r="DU143" i="27"/>
  <c r="DW143" i="27"/>
  <c r="BE88" i="31"/>
  <c r="AS88" i="31"/>
  <c r="AY88" i="31" s="1"/>
  <c r="BF88" i="31"/>
  <c r="AT88" i="31"/>
  <c r="AZ88" i="31" s="1"/>
  <c r="DP226" i="27"/>
  <c r="DJ226" i="27"/>
  <c r="DH226" i="27"/>
  <c r="DI226" i="27"/>
  <c r="HH216" i="27"/>
  <c r="HB216" i="27"/>
  <c r="HA216" i="27"/>
  <c r="GZ216" i="27"/>
  <c r="FD218" i="27"/>
  <c r="FF218" i="27"/>
  <c r="FL218" i="27"/>
  <c r="FE218" i="27"/>
  <c r="HB225" i="27"/>
  <c r="HH225" i="27"/>
  <c r="HA225" i="27"/>
  <c r="GZ225" i="27"/>
  <c r="FE212" i="27"/>
  <c r="FL212" i="27"/>
  <c r="FF212" i="27"/>
  <c r="FD212" i="27"/>
  <c r="DH214" i="27"/>
  <c r="DI214" i="27"/>
  <c r="DP214" i="27"/>
  <c r="DJ214" i="27"/>
  <c r="DP241" i="27"/>
  <c r="DH241" i="27"/>
  <c r="DI241" i="27"/>
  <c r="DJ241" i="27"/>
  <c r="DP238" i="27"/>
  <c r="DJ238" i="27"/>
  <c r="DI238" i="27"/>
  <c r="DH238" i="27"/>
  <c r="DP239" i="27"/>
  <c r="DJ239" i="27"/>
  <c r="DI239" i="27"/>
  <c r="DH239" i="27"/>
  <c r="HH230" i="27"/>
  <c r="GZ230" i="27"/>
  <c r="HA230" i="27"/>
  <c r="HB230" i="27"/>
  <c r="DI235" i="27"/>
  <c r="DJ235" i="27"/>
  <c r="DH235" i="27"/>
  <c r="DP235" i="27"/>
  <c r="FE242" i="27"/>
  <c r="FF242" i="27"/>
  <c r="FD242" i="27"/>
  <c r="FL242" i="27"/>
  <c r="P87" i="31"/>
  <c r="AL83" i="3"/>
  <c r="EM259" i="27"/>
  <c r="EN259" i="27"/>
  <c r="FI259" i="27"/>
  <c r="EL259" i="27"/>
  <c r="FI249" i="27"/>
  <c r="EN249" i="27"/>
  <c r="EM249" i="27"/>
  <c r="EL249" i="27"/>
  <c r="EM244" i="27"/>
  <c r="EN244" i="27"/>
  <c r="EL244" i="27"/>
  <c r="FI244" i="27"/>
  <c r="HE246" i="27"/>
  <c r="GJ246" i="27"/>
  <c r="GI246" i="27"/>
  <c r="GH246" i="27"/>
  <c r="DM257" i="27"/>
  <c r="CQ257" i="27"/>
  <c r="CP257" i="27"/>
  <c r="CR257" i="27"/>
  <c r="EL252" i="27"/>
  <c r="FI252" i="27"/>
  <c r="EN252" i="27"/>
  <c r="EM252" i="27"/>
  <c r="CP262" i="27"/>
  <c r="CR262" i="27"/>
  <c r="CQ262" i="27"/>
  <c r="DM262" i="27"/>
  <c r="GH278" i="27"/>
  <c r="GJ278" i="27"/>
  <c r="HE278" i="27"/>
  <c r="GI278" i="27"/>
  <c r="EL276" i="27"/>
  <c r="EM276" i="27"/>
  <c r="EN276" i="27"/>
  <c r="FI276" i="27"/>
  <c r="CP263" i="27"/>
  <c r="DM263" i="27"/>
  <c r="CR263" i="27"/>
  <c r="CQ263" i="27"/>
  <c r="EN273" i="27"/>
  <c r="FI273" i="27"/>
  <c r="EL273" i="27"/>
  <c r="EM273" i="27"/>
  <c r="FI274" i="27"/>
  <c r="EM274" i="27"/>
  <c r="EL274" i="27"/>
  <c r="EN274" i="27"/>
  <c r="GI264" i="27"/>
  <c r="GJ264" i="27"/>
  <c r="GH264" i="27"/>
  <c r="HE264" i="27"/>
  <c r="L100" i="31"/>
  <c r="AF100" i="31" s="1"/>
  <c r="AH96" i="3"/>
  <c r="CP283" i="27"/>
  <c r="DM283" i="27"/>
  <c r="CQ283" i="27"/>
  <c r="CR283" i="27"/>
  <c r="EM286" i="27"/>
  <c r="FI286" i="27"/>
  <c r="EN286" i="27"/>
  <c r="EL286" i="27"/>
  <c r="GI280" i="27"/>
  <c r="HE280" i="27"/>
  <c r="GJ280" i="27"/>
  <c r="GH280" i="27"/>
  <c r="FI279" i="27"/>
  <c r="EM279" i="27"/>
  <c r="EN279" i="27"/>
  <c r="EL279" i="27"/>
  <c r="CR293" i="27"/>
  <c r="DM293" i="27"/>
  <c r="CQ293" i="27"/>
  <c r="CP293" i="27"/>
  <c r="GI296" i="27"/>
  <c r="HE296" i="27"/>
  <c r="GH296" i="27"/>
  <c r="GJ296" i="27"/>
  <c r="CR295" i="27"/>
  <c r="DM295" i="27"/>
  <c r="CQ295" i="27"/>
  <c r="CP295" i="27"/>
  <c r="O87" i="31"/>
  <c r="AI87" i="31" s="1"/>
  <c r="AK83" i="3"/>
  <c r="CX261" i="27"/>
  <c r="CV261" i="27"/>
  <c r="DN261" i="27"/>
  <c r="CW261" i="27"/>
  <c r="ES278" i="27"/>
  <c r="ET278" i="27"/>
  <c r="FJ278" i="27"/>
  <c r="ER278" i="27"/>
  <c r="GN270" i="27"/>
  <c r="GO270" i="27"/>
  <c r="GP270" i="27"/>
  <c r="HF270" i="27"/>
  <c r="CX271" i="27"/>
  <c r="CW271" i="27"/>
  <c r="CV271" i="27"/>
  <c r="DN271" i="27"/>
  <c r="CX269" i="27"/>
  <c r="CV269" i="27"/>
  <c r="CW269" i="27"/>
  <c r="DN269" i="27"/>
  <c r="CW267" i="27"/>
  <c r="DN267" i="27"/>
  <c r="CX267" i="27"/>
  <c r="CV267" i="27"/>
  <c r="FJ262" i="27"/>
  <c r="ET262" i="27"/>
  <c r="ER262" i="27"/>
  <c r="ES262" i="27"/>
  <c r="FJ284" i="27"/>
  <c r="ES284" i="27"/>
  <c r="ET284" i="27"/>
  <c r="ER284" i="27"/>
  <c r="ER292" i="27"/>
  <c r="FJ292" i="27"/>
  <c r="ES292" i="27"/>
  <c r="ET292" i="27"/>
  <c r="ES279" i="27"/>
  <c r="FJ279" i="27"/>
  <c r="ER279" i="27"/>
  <c r="ET279" i="27"/>
  <c r="ES286" i="27"/>
  <c r="ER286" i="27"/>
  <c r="ET286" i="27"/>
  <c r="FJ286" i="27"/>
  <c r="GP282" i="27"/>
  <c r="GO282" i="27"/>
  <c r="HF282" i="27"/>
  <c r="GN282" i="27"/>
  <c r="ER294" i="27"/>
  <c r="ET294" i="27"/>
  <c r="ES294" i="27"/>
  <c r="FJ294" i="27"/>
  <c r="FJ297" i="27"/>
  <c r="ES297" i="27"/>
  <c r="ET297" i="27"/>
  <c r="ER297" i="27"/>
  <c r="EZ214" i="27"/>
  <c r="EY214" i="27"/>
  <c r="EX214" i="27"/>
  <c r="FK214" i="27"/>
  <c r="FM214" i="27" s="1"/>
  <c r="GU224" i="27"/>
  <c r="GT224" i="27"/>
  <c r="GV224" i="27"/>
  <c r="HG224" i="27"/>
  <c r="EY221" i="27"/>
  <c r="EZ221" i="27"/>
  <c r="EX221" i="27"/>
  <c r="FK221" i="27"/>
  <c r="FM221" i="27" s="1"/>
  <c r="EY218" i="27"/>
  <c r="EZ218" i="27"/>
  <c r="EX218" i="27"/>
  <c r="FK218" i="27"/>
  <c r="FM218" i="27" s="1"/>
  <c r="DO217" i="27"/>
  <c r="DQ217" i="27" s="1"/>
  <c r="DC217" i="27"/>
  <c r="DB217" i="27"/>
  <c r="DD217" i="27"/>
  <c r="EY216" i="27"/>
  <c r="EZ216" i="27"/>
  <c r="FK216" i="27"/>
  <c r="FM216" i="27" s="1"/>
  <c r="EX216" i="27"/>
  <c r="FK237" i="27"/>
  <c r="FM237" i="27" s="1"/>
  <c r="EZ237" i="27"/>
  <c r="EY237" i="27"/>
  <c r="EX237" i="27"/>
  <c r="DB229" i="27"/>
  <c r="DO229" i="27"/>
  <c r="DQ229" i="27" s="1"/>
  <c r="DC229" i="27"/>
  <c r="DD229" i="27"/>
  <c r="GU238" i="27"/>
  <c r="HG238" i="27"/>
  <c r="HI238" i="27" s="1"/>
  <c r="GV238" i="27"/>
  <c r="GT238" i="27"/>
  <c r="GT236" i="27"/>
  <c r="GU236" i="27"/>
  <c r="GV236" i="27"/>
  <c r="HG236" i="27"/>
  <c r="HI236" i="27" s="1"/>
  <c r="GT230" i="27"/>
  <c r="GV230" i="27"/>
  <c r="GU230" i="27"/>
  <c r="HG230" i="27"/>
  <c r="HI230" i="27" s="1"/>
  <c r="DD227" i="27"/>
  <c r="DC227" i="27"/>
  <c r="DO227" i="27"/>
  <c r="DB227" i="27"/>
  <c r="N91" i="31"/>
  <c r="AH91" i="31" s="1"/>
  <c r="AJ87" i="3"/>
  <c r="I28" i="5"/>
  <c r="S28" i="5" s="1"/>
  <c r="K27" i="5"/>
  <c r="U27" i="5" s="1"/>
  <c r="G31" i="5"/>
  <c r="Q31" i="5" s="1"/>
  <c r="J27" i="5"/>
  <c r="T27" i="5" s="1"/>
  <c r="AS74" i="3"/>
  <c r="S356" i="27"/>
  <c r="AQ218" i="3"/>
  <c r="AG279" i="27"/>
  <c r="Z348" i="27"/>
  <c r="AQ214" i="3"/>
  <c r="AP258" i="3"/>
  <c r="Z353" i="27"/>
  <c r="Z342" i="27"/>
  <c r="AQ235" i="3"/>
  <c r="AP274" i="3"/>
  <c r="S326" i="27"/>
  <c r="S334" i="27"/>
  <c r="AR136" i="3"/>
  <c r="AR142" i="3"/>
  <c r="Z365" i="27"/>
  <c r="S353" i="27"/>
  <c r="Z364" i="27"/>
  <c r="AG288" i="27"/>
  <c r="AG315" i="27"/>
  <c r="S342" i="27"/>
  <c r="AG310" i="27"/>
  <c r="AG290" i="27"/>
  <c r="Y94" i="5"/>
  <c r="Y92" i="5"/>
  <c r="AN317" i="27"/>
  <c r="AN296" i="27"/>
  <c r="AQ238" i="3"/>
  <c r="S359" i="27"/>
  <c r="Z346" i="27"/>
  <c r="Z343" i="27"/>
  <c r="Z351" i="27"/>
  <c r="S335" i="27"/>
  <c r="AN303" i="27"/>
  <c r="AP257" i="3"/>
  <c r="AA90" i="5"/>
  <c r="AN300" i="27"/>
  <c r="AG298" i="27"/>
  <c r="AG305" i="27"/>
  <c r="S364" i="27"/>
  <c r="AN313" i="27"/>
  <c r="AN311" i="27"/>
  <c r="AG313" i="27"/>
  <c r="AQ225" i="3"/>
  <c r="AG286" i="27"/>
  <c r="AR132" i="3"/>
  <c r="AP261" i="3"/>
  <c r="AR133" i="3"/>
  <c r="S324" i="27"/>
  <c r="AN308" i="27"/>
  <c r="S323" i="27"/>
  <c r="AQ210" i="3"/>
  <c r="Z359" i="27"/>
  <c r="S330" i="27"/>
  <c r="AN289" i="27"/>
  <c r="AQ213" i="3"/>
  <c r="AR141" i="3"/>
  <c r="AN309" i="27"/>
  <c r="S340" i="27"/>
  <c r="AG304" i="27"/>
  <c r="AN318" i="27"/>
  <c r="AG281" i="27"/>
  <c r="AG284" i="27"/>
  <c r="S351" i="27"/>
  <c r="AG314" i="27"/>
  <c r="S329" i="27"/>
  <c r="AG318" i="27"/>
  <c r="S321" i="27"/>
  <c r="S349" i="27"/>
  <c r="AQ236" i="3"/>
  <c r="AG294" i="27"/>
  <c r="S331" i="27"/>
  <c r="AN287" i="27"/>
  <c r="AG319" i="27"/>
  <c r="AS75" i="3"/>
  <c r="AN314" i="27"/>
  <c r="S347" i="27"/>
  <c r="AG300" i="27"/>
  <c r="AA88" i="5"/>
  <c r="AG285" i="27"/>
  <c r="AN286" i="27"/>
  <c r="AR138" i="3"/>
  <c r="AG316" i="27"/>
  <c r="AA89" i="5"/>
  <c r="Z360" i="27"/>
  <c r="S332" i="27"/>
  <c r="S339" i="27"/>
  <c r="AN305" i="27"/>
  <c r="AR143" i="3"/>
  <c r="AG296" i="27"/>
  <c r="AP264" i="3"/>
  <c r="S345" i="27"/>
  <c r="AS78" i="3"/>
  <c r="Z344" i="27"/>
  <c r="S327" i="27"/>
  <c r="Z347" i="27"/>
  <c r="AG308" i="27"/>
  <c r="AQ229" i="3"/>
  <c r="AG295" i="27"/>
  <c r="AP263" i="3"/>
  <c r="AG287" i="27"/>
  <c r="AG291" i="27"/>
  <c r="AG317" i="27"/>
  <c r="AR140" i="3"/>
  <c r="AN304" i="27"/>
  <c r="S360" i="27"/>
  <c r="AQ237" i="3"/>
  <c r="AN301" i="27"/>
  <c r="AR134" i="3"/>
  <c r="AP268" i="3"/>
  <c r="AN297" i="27"/>
  <c r="AR127" i="3"/>
  <c r="AG280" i="27"/>
  <c r="Z357" i="27"/>
  <c r="AN295" i="27"/>
  <c r="AQ240" i="3"/>
  <c r="AR137" i="3"/>
  <c r="AN284" i="27"/>
  <c r="AQ211" i="3"/>
  <c r="X102" i="5"/>
  <c r="AG309" i="27"/>
  <c r="Z355" i="27"/>
  <c r="AQ228" i="3"/>
  <c r="AG306" i="27"/>
  <c r="AN279" i="27"/>
  <c r="S346" i="27"/>
  <c r="S344" i="27"/>
  <c r="AG282" i="27"/>
  <c r="Z363" i="27"/>
  <c r="Z92" i="5"/>
  <c r="AG289" i="27"/>
  <c r="Z349" i="27"/>
  <c r="Z352" i="27"/>
  <c r="AQ221" i="3"/>
  <c r="AQ239" i="3"/>
  <c r="AN281" i="27"/>
  <c r="AN306" i="27"/>
  <c r="AR135" i="3"/>
  <c r="AQ212" i="3"/>
  <c r="Z362" i="27"/>
  <c r="AQ226" i="3"/>
  <c r="AB88" i="5"/>
  <c r="S322" i="27"/>
  <c r="Z94" i="5"/>
  <c r="Y91" i="5"/>
  <c r="AR130" i="3"/>
  <c r="X103" i="5"/>
  <c r="AS80" i="3"/>
  <c r="S336" i="27"/>
  <c r="Z345" i="27"/>
  <c r="AQ231" i="3"/>
  <c r="AQ232" i="3"/>
  <c r="AN293" i="27"/>
  <c r="Z93" i="5"/>
  <c r="AN315" i="27"/>
  <c r="AN288" i="27"/>
  <c r="S328" i="27"/>
  <c r="S348" i="27"/>
  <c r="AG301" i="27"/>
  <c r="AN280" i="27"/>
  <c r="AN316" i="27"/>
  <c r="AG311" i="27"/>
  <c r="S365" i="27"/>
  <c r="AQ224" i="3"/>
  <c r="S333" i="27"/>
  <c r="AG303" i="27"/>
  <c r="X104" i="5"/>
  <c r="AQ233" i="3"/>
  <c r="AN302" i="27"/>
  <c r="AQ227" i="3"/>
  <c r="AP270" i="3"/>
  <c r="AP271" i="3"/>
  <c r="AN285" i="27"/>
  <c r="AR129" i="3"/>
  <c r="Z356" i="27"/>
  <c r="AP262" i="3"/>
  <c r="AP259" i="3"/>
  <c r="AQ220" i="3"/>
  <c r="AG283" i="27"/>
  <c r="Z358" i="27"/>
  <c r="AN292" i="27"/>
  <c r="AG307" i="27"/>
  <c r="AP273" i="3"/>
  <c r="AN307" i="27"/>
  <c r="AG312" i="27"/>
  <c r="S352" i="27"/>
  <c r="AP267" i="3"/>
  <c r="S325" i="27"/>
  <c r="AR131" i="3"/>
  <c r="AQ219" i="3"/>
  <c r="AS73" i="3"/>
  <c r="AG299" i="27"/>
  <c r="S337" i="27"/>
  <c r="AB89" i="5"/>
  <c r="AQ234" i="3"/>
  <c r="AQ222" i="3"/>
  <c r="AG302" i="27"/>
  <c r="AN282" i="27"/>
  <c r="Z350" i="27"/>
  <c r="AS72" i="3"/>
  <c r="X101" i="5"/>
  <c r="AP272" i="3"/>
  <c r="AP269" i="3"/>
  <c r="AR139" i="3"/>
  <c r="AN319" i="27"/>
  <c r="S354" i="27"/>
  <c r="AG297" i="27"/>
  <c r="AN290" i="27"/>
  <c r="AQ223" i="3"/>
  <c r="S361" i="27"/>
  <c r="AR128" i="3"/>
  <c r="AN312" i="27"/>
  <c r="Y93" i="5"/>
  <c r="AN298" i="27"/>
  <c r="S350" i="27"/>
  <c r="AQ217" i="3"/>
  <c r="AQ230" i="3"/>
  <c r="S355" i="27"/>
  <c r="AS76" i="3"/>
  <c r="AQ215" i="3"/>
  <c r="S343" i="27"/>
  <c r="Z354" i="27"/>
  <c r="S358" i="27"/>
  <c r="Z361" i="27"/>
  <c r="Z91" i="5"/>
  <c r="AN299" i="27"/>
  <c r="AN310" i="27"/>
  <c r="AG293" i="27"/>
  <c r="AP260" i="3"/>
  <c r="AP265" i="3"/>
  <c r="AN294" i="27"/>
  <c r="S357" i="27"/>
  <c r="S363" i="27"/>
  <c r="AB90" i="5"/>
  <c r="AP266" i="3"/>
  <c r="S320" i="27"/>
  <c r="AN291" i="27"/>
  <c r="AS77" i="3"/>
  <c r="AG292" i="27"/>
  <c r="S338" i="27"/>
  <c r="AQ216" i="3"/>
  <c r="AS79" i="3"/>
  <c r="S341" i="27"/>
  <c r="AN283" i="27"/>
  <c r="S362" i="27"/>
  <c r="HI224" i="27" l="1"/>
  <c r="DQ215" i="27"/>
  <c r="HI235" i="27"/>
  <c r="DQ213" i="27"/>
  <c r="FM219" i="27"/>
  <c r="DQ227" i="27"/>
  <c r="HI227" i="27"/>
  <c r="HI239" i="27"/>
  <c r="FM241" i="27"/>
  <c r="DQ216" i="27"/>
  <c r="HO199" i="27"/>
  <c r="HI223" i="27"/>
  <c r="DQ242" i="27"/>
  <c r="DU242" i="27" s="1"/>
  <c r="HO206" i="27"/>
  <c r="DW189" i="27"/>
  <c r="DW187" i="27"/>
  <c r="HI220" i="27"/>
  <c r="DQ236" i="27"/>
  <c r="FM215" i="27"/>
  <c r="DW175" i="27"/>
  <c r="DQ224" i="27"/>
  <c r="DU224" i="27" s="1"/>
  <c r="FM234" i="27"/>
  <c r="FM236" i="27"/>
  <c r="FM228" i="27"/>
  <c r="FM223" i="27"/>
  <c r="DQ220" i="27"/>
  <c r="FM229" i="27"/>
  <c r="FM230" i="27"/>
  <c r="DQ214" i="27"/>
  <c r="DW214" i="27" s="1"/>
  <c r="HI217" i="27"/>
  <c r="DQ225" i="27"/>
  <c r="FM240" i="27"/>
  <c r="FM238" i="27"/>
  <c r="FM212" i="27"/>
  <c r="DQ238" i="27"/>
  <c r="HI216" i="27"/>
  <c r="DQ235" i="27"/>
  <c r="DU235" i="27" s="1"/>
  <c r="HI215" i="27"/>
  <c r="HI213" i="27"/>
  <c r="HI214" i="27"/>
  <c r="HI226" i="27"/>
  <c r="HI218" i="27"/>
  <c r="HO218" i="27" s="1"/>
  <c r="HI241" i="27"/>
  <c r="HM241" i="27" s="1"/>
  <c r="DQ241" i="27"/>
  <c r="HI233" i="27"/>
  <c r="HM233" i="27" s="1"/>
  <c r="HI225" i="27"/>
  <c r="HO225" i="27" s="1"/>
  <c r="HI229" i="27"/>
  <c r="HO229" i="27" s="1"/>
  <c r="DQ239" i="27"/>
  <c r="FM242" i="27"/>
  <c r="HI222" i="27"/>
  <c r="FM225" i="27"/>
  <c r="FS225" i="27" s="1"/>
  <c r="DQ240" i="27"/>
  <c r="FM222" i="27"/>
  <c r="FQ222" i="27" s="1"/>
  <c r="FM239" i="27"/>
  <c r="FM213" i="27"/>
  <c r="DQ219" i="27"/>
  <c r="AD90" i="3"/>
  <c r="AD91" i="3"/>
  <c r="AD92" i="3"/>
  <c r="AD93" i="3"/>
  <c r="AB101" i="3"/>
  <c r="AB102" i="3"/>
  <c r="AB103" i="3"/>
  <c r="AB100" i="3"/>
  <c r="AT80" i="3"/>
  <c r="AT76" i="3"/>
  <c r="AT77" i="3"/>
  <c r="AT78" i="3"/>
  <c r="G20" i="3" s="1"/>
  <c r="AT79" i="3"/>
  <c r="AT72" i="3"/>
  <c r="AT75" i="3"/>
  <c r="AT73" i="3"/>
  <c r="AT74" i="3"/>
  <c r="FA316" i="27"/>
  <c r="GW316" i="27"/>
  <c r="DE316" i="27"/>
  <c r="GW306" i="27"/>
  <c r="DE306" i="27"/>
  <c r="FA306" i="27"/>
  <c r="DE304" i="27"/>
  <c r="GW304" i="27"/>
  <c r="FA304" i="27"/>
  <c r="FA309" i="27"/>
  <c r="GW309" i="27"/>
  <c r="DE309" i="27"/>
  <c r="FA319" i="27"/>
  <c r="DE319" i="27"/>
  <c r="GW319" i="27"/>
  <c r="FA311" i="27"/>
  <c r="DE311" i="27"/>
  <c r="GW311" i="27"/>
  <c r="DE300" i="27"/>
  <c r="FA300" i="27"/>
  <c r="GW300" i="27"/>
  <c r="FA310" i="27"/>
  <c r="GW310" i="27"/>
  <c r="DE310" i="27"/>
  <c r="FA317" i="27"/>
  <c r="DE317" i="27"/>
  <c r="GW317" i="27"/>
  <c r="GW315" i="27"/>
  <c r="FA315" i="27"/>
  <c r="DE315" i="27"/>
  <c r="FA303" i="27"/>
  <c r="DE303" i="27"/>
  <c r="GW303" i="27"/>
  <c r="FA318" i="27"/>
  <c r="GW318" i="27"/>
  <c r="DE318" i="27"/>
  <c r="GW305" i="27"/>
  <c r="FA305" i="27"/>
  <c r="DE305" i="27"/>
  <c r="GW299" i="27"/>
  <c r="FA299" i="27"/>
  <c r="DE299" i="27"/>
  <c r="FA313" i="27"/>
  <c r="DE313" i="27"/>
  <c r="GW313" i="27"/>
  <c r="GW301" i="27"/>
  <c r="FA301" i="27"/>
  <c r="DE301" i="27"/>
  <c r="FA302" i="27"/>
  <c r="DE302" i="27"/>
  <c r="GW302" i="27"/>
  <c r="GW312" i="27"/>
  <c r="DE312" i="27"/>
  <c r="FA312" i="27"/>
  <c r="FA314" i="27"/>
  <c r="DE314" i="27"/>
  <c r="GW314" i="27"/>
  <c r="DE307" i="27"/>
  <c r="GW307" i="27"/>
  <c r="FA307" i="27"/>
  <c r="FA308" i="27"/>
  <c r="DE308" i="27"/>
  <c r="GW308" i="27"/>
  <c r="GW282" i="27"/>
  <c r="DE282" i="27"/>
  <c r="FA282" i="27"/>
  <c r="GW293" i="27"/>
  <c r="DE293" i="27"/>
  <c r="FA293" i="27"/>
  <c r="DE285" i="27"/>
  <c r="GW285" i="27"/>
  <c r="FA285" i="27"/>
  <c r="GW298" i="27"/>
  <c r="FA298" i="27"/>
  <c r="DE298" i="27"/>
  <c r="GW286" i="27"/>
  <c r="FA286" i="27"/>
  <c r="DE286" i="27"/>
  <c r="DE290" i="27"/>
  <c r="GW290" i="27"/>
  <c r="FA290" i="27"/>
  <c r="FA291" i="27"/>
  <c r="DE291" i="27"/>
  <c r="GW291" i="27"/>
  <c r="DE283" i="27"/>
  <c r="GW283" i="27"/>
  <c r="FA283" i="27"/>
  <c r="DE288" i="27"/>
  <c r="FA288" i="27"/>
  <c r="GW288" i="27"/>
  <c r="GW280" i="27"/>
  <c r="DE280" i="27"/>
  <c r="FA280" i="27"/>
  <c r="GW284" i="27"/>
  <c r="FA284" i="27"/>
  <c r="DE284" i="27"/>
  <c r="DE295" i="27"/>
  <c r="GW295" i="27"/>
  <c r="FA295" i="27"/>
  <c r="FA297" i="27"/>
  <c r="DE297" i="27"/>
  <c r="GW297" i="27"/>
  <c r="GW296" i="27"/>
  <c r="FA296" i="27"/>
  <c r="DE296" i="27"/>
  <c r="GW292" i="27"/>
  <c r="DE292" i="27"/>
  <c r="FA292" i="27"/>
  <c r="FA281" i="27"/>
  <c r="DE281" i="27"/>
  <c r="GW281" i="27"/>
  <c r="GW289" i="27"/>
  <c r="FA289" i="27"/>
  <c r="DE289" i="27"/>
  <c r="DE287" i="27"/>
  <c r="GW287" i="27"/>
  <c r="FA287" i="27"/>
  <c r="GW279" i="27"/>
  <c r="FA279" i="27"/>
  <c r="DE279" i="27"/>
  <c r="DE294" i="27"/>
  <c r="GW294" i="27"/>
  <c r="FA294" i="27"/>
  <c r="CS356" i="27"/>
  <c r="EO356" i="27"/>
  <c r="GK356" i="27"/>
  <c r="GK364" i="27"/>
  <c r="CS364" i="27"/>
  <c r="EO364" i="27"/>
  <c r="CS362" i="27"/>
  <c r="GK362" i="27"/>
  <c r="EO362" i="27"/>
  <c r="GK347" i="27"/>
  <c r="EO347" i="27"/>
  <c r="CS347" i="27"/>
  <c r="GK361" i="27"/>
  <c r="EO361" i="27"/>
  <c r="CS361" i="27"/>
  <c r="GK354" i="27"/>
  <c r="CS354" i="27"/>
  <c r="EO354" i="27"/>
  <c r="EO352" i="27"/>
  <c r="CS352" i="27"/>
  <c r="GK352" i="27"/>
  <c r="CS358" i="27"/>
  <c r="GK358" i="27"/>
  <c r="EO358" i="27"/>
  <c r="CS349" i="27"/>
  <c r="GK349" i="27"/>
  <c r="EO349" i="27"/>
  <c r="CS344" i="27"/>
  <c r="GK344" i="27"/>
  <c r="EO344" i="27"/>
  <c r="CS345" i="27"/>
  <c r="GK345" i="27"/>
  <c r="EO345" i="27"/>
  <c r="CS365" i="27"/>
  <c r="GK365" i="27"/>
  <c r="EO365" i="27"/>
  <c r="EO348" i="27"/>
  <c r="CS348" i="27"/>
  <c r="GK348" i="27"/>
  <c r="EO353" i="27"/>
  <c r="CS353" i="27"/>
  <c r="GK353" i="27"/>
  <c r="CS351" i="27"/>
  <c r="GK351" i="27"/>
  <c r="EO351" i="27"/>
  <c r="GK346" i="27"/>
  <c r="CS346" i="27"/>
  <c r="EO346" i="27"/>
  <c r="EO363" i="27"/>
  <c r="CS363" i="27"/>
  <c r="GK363" i="27"/>
  <c r="CS359" i="27"/>
  <c r="EO359" i="27"/>
  <c r="GK359" i="27"/>
  <c r="CS360" i="27"/>
  <c r="GK360" i="27"/>
  <c r="EO360" i="27"/>
  <c r="EO350" i="27"/>
  <c r="GK350" i="27"/>
  <c r="CS350" i="27"/>
  <c r="EO342" i="27"/>
  <c r="CS342" i="27"/>
  <c r="GK342" i="27"/>
  <c r="CS357" i="27"/>
  <c r="GK357" i="27"/>
  <c r="EO357" i="27"/>
  <c r="EO343" i="27"/>
  <c r="GK343" i="27"/>
  <c r="CS343" i="27"/>
  <c r="CS355" i="27"/>
  <c r="GK355" i="27"/>
  <c r="EO355" i="27"/>
  <c r="CM350" i="27"/>
  <c r="GE350" i="27"/>
  <c r="EI350" i="27"/>
  <c r="EI347" i="27"/>
  <c r="CM347" i="27"/>
  <c r="GE347" i="27"/>
  <c r="EI358" i="27"/>
  <c r="CM358" i="27"/>
  <c r="GE358" i="27"/>
  <c r="GE355" i="27"/>
  <c r="EI355" i="27"/>
  <c r="CM355" i="27"/>
  <c r="CM346" i="27"/>
  <c r="GE346" i="27"/>
  <c r="EI346" i="27"/>
  <c r="EI352" i="27"/>
  <c r="CM352" i="27"/>
  <c r="GE352" i="27"/>
  <c r="CM363" i="27"/>
  <c r="GE363" i="27"/>
  <c r="EI363" i="27"/>
  <c r="CM353" i="27"/>
  <c r="GE353" i="27"/>
  <c r="EI353" i="27"/>
  <c r="CM361" i="27"/>
  <c r="GE361" i="27"/>
  <c r="EI361" i="27"/>
  <c r="EI351" i="27"/>
  <c r="CM351" i="27"/>
  <c r="GE351" i="27"/>
  <c r="CM342" i="27"/>
  <c r="GE342" i="27"/>
  <c r="EI342" i="27"/>
  <c r="CM343" i="27"/>
  <c r="GE343" i="27"/>
  <c r="EI343" i="27"/>
  <c r="CM364" i="27"/>
  <c r="EI364" i="27"/>
  <c r="GE364" i="27"/>
  <c r="EI344" i="27"/>
  <c r="CM344" i="27"/>
  <c r="GE344" i="27"/>
  <c r="CM365" i="27"/>
  <c r="GE365" i="27"/>
  <c r="EI365" i="27"/>
  <c r="CM348" i="27"/>
  <c r="GE348" i="27"/>
  <c r="EI348" i="27"/>
  <c r="GE360" i="27"/>
  <c r="EI360" i="27"/>
  <c r="CM360" i="27"/>
  <c r="CM357" i="27"/>
  <c r="GE357" i="27"/>
  <c r="EI357" i="27"/>
  <c r="CM359" i="27"/>
  <c r="GE359" i="27"/>
  <c r="EI359" i="27"/>
  <c r="CM356" i="27"/>
  <c r="GE356" i="27"/>
  <c r="EI356" i="27"/>
  <c r="EI349" i="27"/>
  <c r="GE349" i="27"/>
  <c r="CM349" i="27"/>
  <c r="EI345" i="27"/>
  <c r="CM345" i="27"/>
  <c r="GE345" i="27"/>
  <c r="EI354" i="27"/>
  <c r="GE354" i="27"/>
  <c r="CM354" i="27"/>
  <c r="GE362" i="27"/>
  <c r="EI362" i="27"/>
  <c r="CM362" i="27"/>
  <c r="CM338" i="27"/>
  <c r="GE338" i="27"/>
  <c r="EI338" i="27"/>
  <c r="CM320" i="27"/>
  <c r="GE320" i="27"/>
  <c r="EI320" i="27"/>
  <c r="CM324" i="27"/>
  <c r="GE324" i="27"/>
  <c r="EI324" i="27"/>
  <c r="EI322" i="27"/>
  <c r="GE322" i="27"/>
  <c r="CM322" i="27"/>
  <c r="EI327" i="27"/>
  <c r="CM327" i="27"/>
  <c r="GE327" i="27"/>
  <c r="CM321" i="27"/>
  <c r="GE321" i="27"/>
  <c r="EI321" i="27"/>
  <c r="GE334" i="27"/>
  <c r="CM334" i="27"/>
  <c r="EI334" i="27"/>
  <c r="EI325" i="27"/>
  <c r="CM325" i="27"/>
  <c r="GE325" i="27"/>
  <c r="CM341" i="27"/>
  <c r="GE341" i="27"/>
  <c r="EI341" i="27"/>
  <c r="EI326" i="27"/>
  <c r="CM326" i="27"/>
  <c r="GE326" i="27"/>
  <c r="CM323" i="27"/>
  <c r="GE323" i="27"/>
  <c r="EI323" i="27"/>
  <c r="GE335" i="27"/>
  <c r="CM335" i="27"/>
  <c r="EI335" i="27"/>
  <c r="EI337" i="27"/>
  <c r="GE337" i="27"/>
  <c r="CM337" i="27"/>
  <c r="CM328" i="27"/>
  <c r="GE328" i="27"/>
  <c r="EI328" i="27"/>
  <c r="CM336" i="27"/>
  <c r="EI336" i="27"/>
  <c r="GE336" i="27"/>
  <c r="CM330" i="27"/>
  <c r="GE330" i="27"/>
  <c r="EI330" i="27"/>
  <c r="CM339" i="27"/>
  <c r="GE339" i="27"/>
  <c r="EI339" i="27"/>
  <c r="GE333" i="27"/>
  <c r="EI333" i="27"/>
  <c r="CM333" i="27"/>
  <c r="CM331" i="27"/>
  <c r="GE331" i="27"/>
  <c r="EI331" i="27"/>
  <c r="EI332" i="27"/>
  <c r="CM332" i="27"/>
  <c r="GE332" i="27"/>
  <c r="CM329" i="27"/>
  <c r="GE329" i="27"/>
  <c r="EI329" i="27"/>
  <c r="GE340" i="27"/>
  <c r="EI340" i="27"/>
  <c r="CM340" i="27"/>
  <c r="AC90" i="3"/>
  <c r="AC93" i="3"/>
  <c r="AC91" i="3"/>
  <c r="AC92" i="3"/>
  <c r="GQ317" i="27"/>
  <c r="EU317" i="27"/>
  <c r="CY317" i="27"/>
  <c r="CY315" i="27"/>
  <c r="GQ315" i="27"/>
  <c r="EU315" i="27"/>
  <c r="GQ299" i="27"/>
  <c r="CY299" i="27"/>
  <c r="EU299" i="27"/>
  <c r="EU314" i="27"/>
  <c r="CY314" i="27"/>
  <c r="GQ314" i="27"/>
  <c r="EU300" i="27"/>
  <c r="CY300" i="27"/>
  <c r="GQ300" i="27"/>
  <c r="EU319" i="27"/>
  <c r="CY319" i="27"/>
  <c r="GQ319" i="27"/>
  <c r="CY310" i="27"/>
  <c r="EU310" i="27"/>
  <c r="GQ310" i="27"/>
  <c r="CY312" i="27"/>
  <c r="EU312" i="27"/>
  <c r="GQ312" i="27"/>
  <c r="EU309" i="27"/>
  <c r="CY309" i="27"/>
  <c r="GQ309" i="27"/>
  <c r="EU318" i="27"/>
  <c r="GQ318" i="27"/>
  <c r="CY318" i="27"/>
  <c r="EU311" i="27"/>
  <c r="GQ311" i="27"/>
  <c r="CY311" i="27"/>
  <c r="CY302" i="27"/>
  <c r="EU302" i="27"/>
  <c r="GQ302" i="27"/>
  <c r="CY308" i="27"/>
  <c r="GQ308" i="27"/>
  <c r="EU308" i="27"/>
  <c r="GQ306" i="27"/>
  <c r="EU306" i="27"/>
  <c r="CY306" i="27"/>
  <c r="CY316" i="27"/>
  <c r="GQ316" i="27"/>
  <c r="EU316" i="27"/>
  <c r="CY304" i="27"/>
  <c r="EU304" i="27"/>
  <c r="GQ304" i="27"/>
  <c r="GQ313" i="27"/>
  <c r="EU313" i="27"/>
  <c r="CY313" i="27"/>
  <c r="GQ301" i="27"/>
  <c r="EU301" i="27"/>
  <c r="CY301" i="27"/>
  <c r="EU307" i="27"/>
  <c r="GQ307" i="27"/>
  <c r="CY307" i="27"/>
  <c r="GQ305" i="27"/>
  <c r="EU305" i="27"/>
  <c r="CY305" i="27"/>
  <c r="GQ303" i="27"/>
  <c r="CY303" i="27"/>
  <c r="EU303" i="27"/>
  <c r="GQ292" i="27"/>
  <c r="CY292" i="27"/>
  <c r="EU292" i="27"/>
  <c r="CY284" i="27"/>
  <c r="GQ284" i="27"/>
  <c r="EU284" i="27"/>
  <c r="GQ290" i="27"/>
  <c r="CY290" i="27"/>
  <c r="EU290" i="27"/>
  <c r="GQ279" i="27"/>
  <c r="CY279" i="27"/>
  <c r="EU279" i="27"/>
  <c r="GQ285" i="27"/>
  <c r="EU285" i="27"/>
  <c r="CY285" i="27"/>
  <c r="GQ287" i="27"/>
  <c r="CY287" i="27"/>
  <c r="EU287" i="27"/>
  <c r="GQ294" i="27"/>
  <c r="CY294" i="27"/>
  <c r="EU294" i="27"/>
  <c r="CY288" i="27"/>
  <c r="GQ288" i="27"/>
  <c r="EU288" i="27"/>
  <c r="CY295" i="27"/>
  <c r="EU295" i="27"/>
  <c r="GQ295" i="27"/>
  <c r="GQ280" i="27"/>
  <c r="EU280" i="27"/>
  <c r="CY280" i="27"/>
  <c r="GQ296" i="27"/>
  <c r="CY296" i="27"/>
  <c r="EU296" i="27"/>
  <c r="GQ281" i="27"/>
  <c r="EU281" i="27"/>
  <c r="CY281" i="27"/>
  <c r="CY286" i="27"/>
  <c r="EU286" i="27"/>
  <c r="GQ286" i="27"/>
  <c r="EU298" i="27"/>
  <c r="CY298" i="27"/>
  <c r="GQ298" i="27"/>
  <c r="CY297" i="27"/>
  <c r="EU297" i="27"/>
  <c r="GQ297" i="27"/>
  <c r="EU282" i="27"/>
  <c r="CY282" i="27"/>
  <c r="GQ282" i="27"/>
  <c r="GQ293" i="27"/>
  <c r="EU293" i="27"/>
  <c r="CY293" i="27"/>
  <c r="CY289" i="27"/>
  <c r="GQ289" i="27"/>
  <c r="EU289" i="27"/>
  <c r="GQ291" i="27"/>
  <c r="EU291" i="27"/>
  <c r="CY291" i="27"/>
  <c r="CY283" i="27"/>
  <c r="EU283" i="27"/>
  <c r="GQ283" i="27"/>
  <c r="AE88" i="3"/>
  <c r="AE87" i="3"/>
  <c r="AE89" i="3"/>
  <c r="AF88" i="3"/>
  <c r="AF89" i="3"/>
  <c r="AF87" i="3"/>
  <c r="FS228" i="27"/>
  <c r="FQ228" i="27"/>
  <c r="FQ237" i="27"/>
  <c r="FS237" i="27"/>
  <c r="FQ231" i="27"/>
  <c r="FS231" i="27"/>
  <c r="DW227" i="27"/>
  <c r="DU227" i="27"/>
  <c r="FQ216" i="27"/>
  <c r="FS216" i="27"/>
  <c r="FS241" i="27"/>
  <c r="FQ241" i="27"/>
  <c r="DU212" i="27"/>
  <c r="DW212" i="27"/>
  <c r="FQ224" i="27"/>
  <c r="FS224" i="27"/>
  <c r="FQ232" i="27"/>
  <c r="FS232" i="27"/>
  <c r="DU239" i="27"/>
  <c r="DW239" i="27"/>
  <c r="FQ242" i="27"/>
  <c r="FS242" i="27"/>
  <c r="DW233" i="27"/>
  <c r="DU233" i="27"/>
  <c r="HM222" i="27"/>
  <c r="HO222" i="27"/>
  <c r="FQ225" i="27"/>
  <c r="FS233" i="27"/>
  <c r="FQ233" i="27"/>
  <c r="DU240" i="27"/>
  <c r="DW240" i="27"/>
  <c r="DU229" i="27"/>
  <c r="DW229" i="27"/>
  <c r="FQ230" i="27"/>
  <c r="FS230" i="27"/>
  <c r="FQ239" i="27"/>
  <c r="FS239" i="27"/>
  <c r="FS213" i="27"/>
  <c r="FQ213" i="27"/>
  <c r="DW238" i="27"/>
  <c r="DU238" i="27"/>
  <c r="HM217" i="27"/>
  <c r="HO217" i="27"/>
  <c r="HO231" i="27"/>
  <c r="HM231" i="27"/>
  <c r="DU219" i="27"/>
  <c r="DW219" i="27"/>
  <c r="FS221" i="27"/>
  <c r="FQ221" i="27"/>
  <c r="FS214" i="27"/>
  <c r="FQ214" i="27"/>
  <c r="DW236" i="27"/>
  <c r="DU236" i="27"/>
  <c r="FS215" i="27"/>
  <c r="FQ215" i="27"/>
  <c r="HM219" i="27"/>
  <c r="HO219" i="27"/>
  <c r="DW215" i="27"/>
  <c r="DU215" i="27"/>
  <c r="HM238" i="27"/>
  <c r="HO238" i="27"/>
  <c r="HO216" i="27"/>
  <c r="HM216" i="27"/>
  <c r="DU230" i="27"/>
  <c r="DW230" i="27"/>
  <c r="FS226" i="27"/>
  <c r="FQ226" i="27"/>
  <c r="HO215" i="27"/>
  <c r="HM215" i="27"/>
  <c r="HM230" i="27"/>
  <c r="HO230" i="27"/>
  <c r="HO214" i="27"/>
  <c r="HM214" i="27"/>
  <c r="FQ235" i="27"/>
  <c r="FS235" i="27"/>
  <c r="HM240" i="27"/>
  <c r="HO240" i="27"/>
  <c r="HM226" i="27"/>
  <c r="HO226" i="27"/>
  <c r="FQ223" i="27"/>
  <c r="FS223" i="27"/>
  <c r="DW218" i="27"/>
  <c r="DU218" i="27"/>
  <c r="FQ227" i="27"/>
  <c r="FS227" i="27"/>
  <c r="DW217" i="27"/>
  <c r="DU217" i="27"/>
  <c r="DW220" i="27"/>
  <c r="DU220" i="27"/>
  <c r="HM236" i="27"/>
  <c r="HO236" i="27"/>
  <c r="FQ218" i="27"/>
  <c r="FS218" i="27"/>
  <c r="HM224" i="27"/>
  <c r="HO224" i="27"/>
  <c r="FQ229" i="27"/>
  <c r="FS229" i="27"/>
  <c r="HM232" i="27"/>
  <c r="HO232" i="27"/>
  <c r="HO241" i="27"/>
  <c r="HM235" i="27"/>
  <c r="HO235" i="27"/>
  <c r="DW222" i="27"/>
  <c r="DU222" i="27"/>
  <c r="DW241" i="27"/>
  <c r="DU241" i="27"/>
  <c r="FS236" i="27"/>
  <c r="FQ236" i="27"/>
  <c r="HO233" i="27"/>
  <c r="FQ238" i="27"/>
  <c r="FS238" i="27"/>
  <c r="AU88" i="31"/>
  <c r="BA88" i="31" s="1"/>
  <c r="BG88" i="31"/>
  <c r="HM223" i="27"/>
  <c r="HO223" i="27"/>
  <c r="DU237" i="27"/>
  <c r="DW237" i="27"/>
  <c r="CG15" i="23"/>
  <c r="BW23" i="23"/>
  <c r="CG5" i="23" s="1"/>
  <c r="HM239" i="27"/>
  <c r="HO239" i="27"/>
  <c r="FQ220" i="27"/>
  <c r="FS220" i="27"/>
  <c r="HO227" i="27"/>
  <c r="HM227" i="27"/>
  <c r="FS187" i="27"/>
  <c r="FQ187" i="27"/>
  <c r="HO220" i="27"/>
  <c r="HM220" i="27"/>
  <c r="HM213" i="27"/>
  <c r="HO213" i="27"/>
  <c r="FS212" i="27"/>
  <c r="FQ212" i="27"/>
  <c r="FK249" i="27"/>
  <c r="EZ249" i="27"/>
  <c r="EX249" i="27"/>
  <c r="EY249" i="27"/>
  <c r="DD258" i="27"/>
  <c r="DC258" i="27"/>
  <c r="DB258" i="27"/>
  <c r="DO258" i="27"/>
  <c r="EZ254" i="27"/>
  <c r="FK254" i="27"/>
  <c r="EY254" i="27"/>
  <c r="EX254" i="27"/>
  <c r="DD244" i="27"/>
  <c r="DO244" i="27"/>
  <c r="DC244" i="27"/>
  <c r="DB244" i="27"/>
  <c r="EZ247" i="27"/>
  <c r="EY247" i="27"/>
  <c r="EX247" i="27"/>
  <c r="FK247" i="27"/>
  <c r="DC246" i="27"/>
  <c r="DB246" i="27"/>
  <c r="DO246" i="27"/>
  <c r="DD246" i="27"/>
  <c r="EY274" i="27"/>
  <c r="FK274" i="27"/>
  <c r="EX274" i="27"/>
  <c r="EZ274" i="27"/>
  <c r="GU271" i="27"/>
  <c r="HG271" i="27"/>
  <c r="GV271" i="27"/>
  <c r="GT271" i="27"/>
  <c r="GT270" i="27"/>
  <c r="HG270" i="27"/>
  <c r="GV270" i="27"/>
  <c r="GU270" i="27"/>
  <c r="DC265" i="27"/>
  <c r="DD265" i="27"/>
  <c r="DB265" i="27"/>
  <c r="DO265" i="27"/>
  <c r="GV269" i="27"/>
  <c r="GU269" i="27"/>
  <c r="HG269" i="27"/>
  <c r="GT269" i="27"/>
  <c r="HG275" i="27"/>
  <c r="GT275" i="27"/>
  <c r="GV275" i="27"/>
  <c r="GU275" i="27"/>
  <c r="DC278" i="27"/>
  <c r="DD278" i="27"/>
  <c r="DB278" i="27"/>
  <c r="DO278" i="27"/>
  <c r="DJ244" i="27"/>
  <c r="DH244" i="27"/>
  <c r="DI244" i="27"/>
  <c r="DP244" i="27"/>
  <c r="DQ244" i="27" s="1"/>
  <c r="DP253" i="27"/>
  <c r="DJ253" i="27"/>
  <c r="DH253" i="27"/>
  <c r="DI253" i="27"/>
  <c r="DJ251" i="27"/>
  <c r="DI251" i="27"/>
  <c r="DH251" i="27"/>
  <c r="DP251" i="27"/>
  <c r="FD259" i="27"/>
  <c r="FF259" i="27"/>
  <c r="FE259" i="27"/>
  <c r="FL259" i="27"/>
  <c r="FL258" i="27"/>
  <c r="FF258" i="27"/>
  <c r="FD258" i="27"/>
  <c r="FE258" i="27"/>
  <c r="HA248" i="27"/>
  <c r="GZ248" i="27"/>
  <c r="HH248" i="27"/>
  <c r="HB248" i="27"/>
  <c r="FD243" i="27"/>
  <c r="FF243" i="27"/>
  <c r="FL243" i="27"/>
  <c r="FE243" i="27"/>
  <c r="DJ261" i="27"/>
  <c r="DP261" i="27"/>
  <c r="DH261" i="27"/>
  <c r="DI261" i="27"/>
  <c r="GZ268" i="27"/>
  <c r="HA268" i="27"/>
  <c r="HB268" i="27"/>
  <c r="HH268" i="27"/>
  <c r="FD277" i="27"/>
  <c r="FL277" i="27"/>
  <c r="FF277" i="27"/>
  <c r="FE277" i="27"/>
  <c r="DH275" i="27"/>
  <c r="DJ275" i="27"/>
  <c r="DI275" i="27"/>
  <c r="DP275" i="27"/>
  <c r="FF263" i="27"/>
  <c r="FL263" i="27"/>
  <c r="FD263" i="27"/>
  <c r="FE263" i="27"/>
  <c r="HA264" i="27"/>
  <c r="GZ264" i="27"/>
  <c r="HH264" i="27"/>
  <c r="HB264" i="27"/>
  <c r="FE272" i="27"/>
  <c r="FD272" i="27"/>
  <c r="FL272" i="27"/>
  <c r="FF272" i="27"/>
  <c r="ER312" i="27"/>
  <c r="ES312" i="27"/>
  <c r="FJ312" i="27"/>
  <c r="ET312" i="27"/>
  <c r="GP307" i="27"/>
  <c r="HF307" i="27"/>
  <c r="GN307" i="27"/>
  <c r="GO307" i="27"/>
  <c r="GO304" i="27"/>
  <c r="GN304" i="27"/>
  <c r="GP304" i="27"/>
  <c r="HF304" i="27"/>
  <c r="GO313" i="27"/>
  <c r="GN313" i="27"/>
  <c r="GP313" i="27"/>
  <c r="HF313" i="27"/>
  <c r="GN317" i="27"/>
  <c r="HF317" i="27"/>
  <c r="GP317" i="27"/>
  <c r="GO317" i="27"/>
  <c r="CW302" i="27"/>
  <c r="CV302" i="27"/>
  <c r="CX302" i="27"/>
  <c r="DN302" i="27"/>
  <c r="DN310" i="27"/>
  <c r="CW310" i="27"/>
  <c r="CV310" i="27"/>
  <c r="CX310" i="27"/>
  <c r="GP301" i="27"/>
  <c r="GO301" i="27"/>
  <c r="GN301" i="27"/>
  <c r="HF301" i="27"/>
  <c r="CW338" i="27"/>
  <c r="CV338" i="27"/>
  <c r="CX338" i="27"/>
  <c r="DN338" i="27"/>
  <c r="GO332" i="27"/>
  <c r="GN332" i="27"/>
  <c r="HF332" i="27"/>
  <c r="GP332" i="27"/>
  <c r="CV321" i="27"/>
  <c r="DN321" i="27"/>
  <c r="CX321" i="27"/>
  <c r="CW321" i="27"/>
  <c r="DN322" i="27"/>
  <c r="CW322" i="27"/>
  <c r="CV322" i="27"/>
  <c r="CX322" i="27"/>
  <c r="ET340" i="27"/>
  <c r="ES340" i="27"/>
  <c r="FJ340" i="27"/>
  <c r="ER340" i="27"/>
  <c r="HF339" i="27"/>
  <c r="GP339" i="27"/>
  <c r="GO339" i="27"/>
  <c r="GN339" i="27"/>
  <c r="ES337" i="27"/>
  <c r="FJ337" i="27"/>
  <c r="ER337" i="27"/>
  <c r="ET337" i="27"/>
  <c r="GN326" i="27"/>
  <c r="GP326" i="27"/>
  <c r="GO326" i="27"/>
  <c r="HF326" i="27"/>
  <c r="L103" i="31"/>
  <c r="AF103" i="31" s="1"/>
  <c r="AH99" i="3"/>
  <c r="CQ308" i="27"/>
  <c r="DM308" i="27"/>
  <c r="CR308" i="27"/>
  <c r="CP308" i="27"/>
  <c r="EM309" i="27"/>
  <c r="FI309" i="27"/>
  <c r="EL309" i="27"/>
  <c r="EN309" i="27"/>
  <c r="CQ317" i="27"/>
  <c r="CR317" i="27"/>
  <c r="CP317" i="27"/>
  <c r="DM317" i="27"/>
  <c r="CQ306" i="27"/>
  <c r="DM306" i="27"/>
  <c r="CR306" i="27"/>
  <c r="CP306" i="27"/>
  <c r="EM312" i="27"/>
  <c r="EL312" i="27"/>
  <c r="EN312" i="27"/>
  <c r="FI312" i="27"/>
  <c r="HE319" i="27"/>
  <c r="GJ319" i="27"/>
  <c r="GI319" i="27"/>
  <c r="GH319" i="27"/>
  <c r="FI315" i="27"/>
  <c r="EL315" i="27"/>
  <c r="EN315" i="27"/>
  <c r="EM315" i="27"/>
  <c r="CR299" i="27"/>
  <c r="CQ299" i="27"/>
  <c r="CP299" i="27"/>
  <c r="DM299" i="27"/>
  <c r="DU221" i="27"/>
  <c r="DW221" i="27"/>
  <c r="BF90" i="31"/>
  <c r="AT90" i="31"/>
  <c r="AZ90" i="31" s="1"/>
  <c r="HO234" i="27"/>
  <c r="HM234" i="27"/>
  <c r="DQ223" i="27"/>
  <c r="DW225" i="27"/>
  <c r="DU225" i="27"/>
  <c r="HG249" i="27"/>
  <c r="GT249" i="27"/>
  <c r="GU249" i="27"/>
  <c r="GV249" i="27"/>
  <c r="DC257" i="27"/>
  <c r="DD257" i="27"/>
  <c r="DO257" i="27"/>
  <c r="DB257" i="27"/>
  <c r="DB254" i="27"/>
  <c r="DC254" i="27"/>
  <c r="DD254" i="27"/>
  <c r="DO254" i="27"/>
  <c r="GU244" i="27"/>
  <c r="HG244" i="27"/>
  <c r="GV244" i="27"/>
  <c r="GT244" i="27"/>
  <c r="EX259" i="27"/>
  <c r="EY259" i="27"/>
  <c r="FK259" i="27"/>
  <c r="EZ259" i="27"/>
  <c r="HG246" i="27"/>
  <c r="GV246" i="27"/>
  <c r="GU246" i="27"/>
  <c r="GT246" i="27"/>
  <c r="DO274" i="27"/>
  <c r="DD274" i="27"/>
  <c r="DB274" i="27"/>
  <c r="DC274" i="27"/>
  <c r="GV267" i="27"/>
  <c r="GT267" i="27"/>
  <c r="HG267" i="27"/>
  <c r="GU267" i="27"/>
  <c r="FK270" i="27"/>
  <c r="EZ270" i="27"/>
  <c r="EX270" i="27"/>
  <c r="EY270" i="27"/>
  <c r="EZ265" i="27"/>
  <c r="EY265" i="27"/>
  <c r="FK265" i="27"/>
  <c r="EX265" i="27"/>
  <c r="DO276" i="27"/>
  <c r="DC276" i="27"/>
  <c r="DD276" i="27"/>
  <c r="DB276" i="27"/>
  <c r="DO275" i="27"/>
  <c r="DC275" i="27"/>
  <c r="DB275" i="27"/>
  <c r="DD275" i="27"/>
  <c r="HG278" i="27"/>
  <c r="GU278" i="27"/>
  <c r="GT278" i="27"/>
  <c r="GV278" i="27"/>
  <c r="FE252" i="27"/>
  <c r="FD252" i="27"/>
  <c r="FL252" i="27"/>
  <c r="FF252" i="27"/>
  <c r="HB253" i="27"/>
  <c r="GZ253" i="27"/>
  <c r="HH253" i="27"/>
  <c r="HA253" i="27"/>
  <c r="FL251" i="27"/>
  <c r="FE251" i="27"/>
  <c r="FF251" i="27"/>
  <c r="FD251" i="27"/>
  <c r="DI256" i="27"/>
  <c r="DP256" i="27"/>
  <c r="DH256" i="27"/>
  <c r="DJ256" i="27"/>
  <c r="DP258" i="27"/>
  <c r="DI258" i="27"/>
  <c r="DJ258" i="27"/>
  <c r="DH258" i="27"/>
  <c r="DI248" i="27"/>
  <c r="DH248" i="27"/>
  <c r="DJ248" i="27"/>
  <c r="DP248" i="27"/>
  <c r="DH271" i="27"/>
  <c r="DP271" i="27"/>
  <c r="DJ271" i="27"/>
  <c r="DI271" i="27"/>
  <c r="GZ261" i="27"/>
  <c r="HB261" i="27"/>
  <c r="HH261" i="27"/>
  <c r="HA261" i="27"/>
  <c r="DH268" i="27"/>
  <c r="DJ268" i="27"/>
  <c r="DP268" i="27"/>
  <c r="DI268" i="27"/>
  <c r="FL274" i="27"/>
  <c r="FE274" i="27"/>
  <c r="FD274" i="27"/>
  <c r="FF274" i="27"/>
  <c r="GZ275" i="27"/>
  <c r="HB275" i="27"/>
  <c r="HA275" i="27"/>
  <c r="HH275" i="27"/>
  <c r="HB263" i="27"/>
  <c r="HH263" i="27"/>
  <c r="HA263" i="27"/>
  <c r="GZ263" i="27"/>
  <c r="FE262" i="27"/>
  <c r="FD262" i="27"/>
  <c r="FF262" i="27"/>
  <c r="FL262" i="27"/>
  <c r="DJ272" i="27"/>
  <c r="DP272" i="27"/>
  <c r="DI272" i="27"/>
  <c r="DH272" i="27"/>
  <c r="HF312" i="27"/>
  <c r="GP312" i="27"/>
  <c r="GN312" i="27"/>
  <c r="GO312" i="27"/>
  <c r="FJ307" i="27"/>
  <c r="ES307" i="27"/>
  <c r="ET307" i="27"/>
  <c r="ER307" i="27"/>
  <c r="DN299" i="27"/>
  <c r="CX299" i="27"/>
  <c r="CW299" i="27"/>
  <c r="CV299" i="27"/>
  <c r="ER313" i="27"/>
  <c r="ES313" i="27"/>
  <c r="ET313" i="27"/>
  <c r="FJ313" i="27"/>
  <c r="DN317" i="27"/>
  <c r="CW317" i="27"/>
  <c r="CX317" i="27"/>
  <c r="CV317" i="27"/>
  <c r="GO300" i="27"/>
  <c r="GP300" i="27"/>
  <c r="HF300" i="27"/>
  <c r="GN300" i="27"/>
  <c r="FJ310" i="27"/>
  <c r="ES310" i="27"/>
  <c r="ET310" i="27"/>
  <c r="ER310" i="27"/>
  <c r="ET301" i="27"/>
  <c r="ER301" i="27"/>
  <c r="FJ301" i="27"/>
  <c r="ES301" i="27"/>
  <c r="CW334" i="27"/>
  <c r="CV334" i="27"/>
  <c r="CX334" i="27"/>
  <c r="DN334" i="27"/>
  <c r="CW332" i="27"/>
  <c r="CX332" i="27"/>
  <c r="CV332" i="27"/>
  <c r="DN332" i="27"/>
  <c r="FJ321" i="27"/>
  <c r="ER321" i="27"/>
  <c r="ES321" i="27"/>
  <c r="ET321" i="27"/>
  <c r="ET328" i="27"/>
  <c r="ES328" i="27"/>
  <c r="ER328" i="27"/>
  <c r="FJ328" i="27"/>
  <c r="CX340" i="27"/>
  <c r="DN340" i="27"/>
  <c r="CW340" i="27"/>
  <c r="CV340" i="27"/>
  <c r="FJ339" i="27"/>
  <c r="ER339" i="27"/>
  <c r="ET339" i="27"/>
  <c r="ES339" i="27"/>
  <c r="FJ320" i="27"/>
  <c r="ER320" i="27"/>
  <c r="ET320" i="27"/>
  <c r="ES320" i="27"/>
  <c r="CV326" i="27"/>
  <c r="CW326" i="27"/>
  <c r="CX326" i="27"/>
  <c r="DN326" i="27"/>
  <c r="L101" i="31"/>
  <c r="AF101" i="31" s="1"/>
  <c r="AH97" i="3"/>
  <c r="AL86" i="3"/>
  <c r="P90" i="31"/>
  <c r="CP305" i="27"/>
  <c r="CR305" i="27"/>
  <c r="DM305" i="27"/>
  <c r="CQ305" i="27"/>
  <c r="CR309" i="27"/>
  <c r="CP309" i="27"/>
  <c r="CQ309" i="27"/>
  <c r="DM309" i="27"/>
  <c r="EN317" i="27"/>
  <c r="FI317" i="27"/>
  <c r="EL317" i="27"/>
  <c r="EM317" i="27"/>
  <c r="DM314" i="27"/>
  <c r="CP314" i="27"/>
  <c r="CQ314" i="27"/>
  <c r="CR314" i="27"/>
  <c r="HE312" i="27"/>
  <c r="GI312" i="27"/>
  <c r="GH312" i="27"/>
  <c r="GJ312" i="27"/>
  <c r="CQ319" i="27"/>
  <c r="DM319" i="27"/>
  <c r="CP319" i="27"/>
  <c r="CR319" i="27"/>
  <c r="CR307" i="27"/>
  <c r="CQ307" i="27"/>
  <c r="CP307" i="27"/>
  <c r="DM307" i="27"/>
  <c r="EN299" i="27"/>
  <c r="FI299" i="27"/>
  <c r="EL299" i="27"/>
  <c r="EM299" i="27"/>
  <c r="BH85" i="31"/>
  <c r="AV85" i="31"/>
  <c r="BB85" i="31" s="1"/>
  <c r="GU248" i="27"/>
  <c r="GV248" i="27"/>
  <c r="GT248" i="27"/>
  <c r="HG248" i="27"/>
  <c r="DO249" i="27"/>
  <c r="DC249" i="27"/>
  <c r="DD249" i="27"/>
  <c r="DB249" i="27"/>
  <c r="EZ257" i="27"/>
  <c r="FK257" i="27"/>
  <c r="EY257" i="27"/>
  <c r="EX257" i="27"/>
  <c r="GU255" i="27"/>
  <c r="HG255" i="27"/>
  <c r="GV255" i="27"/>
  <c r="GT255" i="27"/>
  <c r="EX244" i="27"/>
  <c r="EZ244" i="27"/>
  <c r="EY244" i="27"/>
  <c r="FK244" i="27"/>
  <c r="DD259" i="27"/>
  <c r="DC259" i="27"/>
  <c r="DB259" i="27"/>
  <c r="DO259" i="27"/>
  <c r="DC256" i="27"/>
  <c r="DB256" i="27"/>
  <c r="DD256" i="27"/>
  <c r="DO256" i="27"/>
  <c r="GV274" i="27"/>
  <c r="GU274" i="27"/>
  <c r="GT274" i="27"/>
  <c r="HG274" i="27"/>
  <c r="DC267" i="27"/>
  <c r="DB267" i="27"/>
  <c r="DO267" i="27"/>
  <c r="DD267" i="27"/>
  <c r="DC273" i="27"/>
  <c r="DB273" i="27"/>
  <c r="DD273" i="27"/>
  <c r="DO273" i="27"/>
  <c r="GV265" i="27"/>
  <c r="GU265" i="27"/>
  <c r="HG265" i="27"/>
  <c r="GT265" i="27"/>
  <c r="EY276" i="27"/>
  <c r="EZ276" i="27"/>
  <c r="EX276" i="27"/>
  <c r="FK276" i="27"/>
  <c r="FM276" i="27" s="1"/>
  <c r="GV264" i="27"/>
  <c r="HG264" i="27"/>
  <c r="GU264" i="27"/>
  <c r="GT264" i="27"/>
  <c r="EX278" i="27"/>
  <c r="EY278" i="27"/>
  <c r="FK278" i="27"/>
  <c r="EZ278" i="27"/>
  <c r="HH252" i="27"/>
  <c r="HA252" i="27"/>
  <c r="HB252" i="27"/>
  <c r="GZ252" i="27"/>
  <c r="HA257" i="27"/>
  <c r="HB257" i="27"/>
  <c r="GZ257" i="27"/>
  <c r="HH257" i="27"/>
  <c r="HA251" i="27"/>
  <c r="GZ251" i="27"/>
  <c r="HB251" i="27"/>
  <c r="HH251" i="27"/>
  <c r="FD256" i="27"/>
  <c r="FL256" i="27"/>
  <c r="FE256" i="27"/>
  <c r="FF256" i="27"/>
  <c r="FE254" i="27"/>
  <c r="FL254" i="27"/>
  <c r="FD254" i="27"/>
  <c r="FF254" i="27"/>
  <c r="FD248" i="27"/>
  <c r="FF248" i="27"/>
  <c r="FE248" i="27"/>
  <c r="FL248" i="27"/>
  <c r="HA271" i="27"/>
  <c r="HH271" i="27"/>
  <c r="HI271" i="27" s="1"/>
  <c r="GZ271" i="27"/>
  <c r="HB271" i="27"/>
  <c r="DJ276" i="27"/>
  <c r="DH276" i="27"/>
  <c r="DP276" i="27"/>
  <c r="DI276" i="27"/>
  <c r="FF268" i="27"/>
  <c r="FE268" i="27"/>
  <c r="FD268" i="27"/>
  <c r="FL268" i="27"/>
  <c r="HH274" i="27"/>
  <c r="HB274" i="27"/>
  <c r="GZ274" i="27"/>
  <c r="HA274" i="27"/>
  <c r="DP265" i="27"/>
  <c r="DI265" i="27"/>
  <c r="DH265" i="27"/>
  <c r="DJ265" i="27"/>
  <c r="DI263" i="27"/>
  <c r="DJ263" i="27"/>
  <c r="DP263" i="27"/>
  <c r="DH263" i="27"/>
  <c r="DP262" i="27"/>
  <c r="DI262" i="27"/>
  <c r="DH262" i="27"/>
  <c r="DJ262" i="27"/>
  <c r="N93" i="31"/>
  <c r="AH93" i="31" s="1"/>
  <c r="AJ89" i="3"/>
  <c r="GO311" i="27"/>
  <c r="HF311" i="27"/>
  <c r="GN311" i="27"/>
  <c r="GP311" i="27"/>
  <c r="CV307" i="27"/>
  <c r="DN307" i="27"/>
  <c r="CW307" i="27"/>
  <c r="CX307" i="27"/>
  <c r="ET299" i="27"/>
  <c r="FJ299" i="27"/>
  <c r="ES299" i="27"/>
  <c r="ER299" i="27"/>
  <c r="HF308" i="27"/>
  <c r="GP308" i="27"/>
  <c r="GO308" i="27"/>
  <c r="GN308" i="27"/>
  <c r="FJ317" i="27"/>
  <c r="ES317" i="27"/>
  <c r="ER317" i="27"/>
  <c r="ET317" i="27"/>
  <c r="FJ300" i="27"/>
  <c r="ET300" i="27"/>
  <c r="ES300" i="27"/>
  <c r="ER300" i="27"/>
  <c r="CW316" i="27"/>
  <c r="CV316" i="27"/>
  <c r="CX316" i="27"/>
  <c r="DN316" i="27"/>
  <c r="DN301" i="27"/>
  <c r="CX301" i="27"/>
  <c r="CV301" i="27"/>
  <c r="CW301" i="27"/>
  <c r="ET334" i="27"/>
  <c r="ER334" i="27"/>
  <c r="FJ334" i="27"/>
  <c r="ES334" i="27"/>
  <c r="ES336" i="27"/>
  <c r="ET336" i="27"/>
  <c r="FJ336" i="27"/>
  <c r="ER336" i="27"/>
  <c r="GO321" i="27"/>
  <c r="GN321" i="27"/>
  <c r="HF321" i="27"/>
  <c r="GP321" i="27"/>
  <c r="GO328" i="27"/>
  <c r="HF328" i="27"/>
  <c r="GN328" i="27"/>
  <c r="GP328" i="27"/>
  <c r="ER325" i="27"/>
  <c r="ET325" i="27"/>
  <c r="FJ325" i="27"/>
  <c r="ES325" i="27"/>
  <c r="DN339" i="27"/>
  <c r="CX339" i="27"/>
  <c r="CV339" i="27"/>
  <c r="CW339" i="27"/>
  <c r="HF320" i="27"/>
  <c r="GP320" i="27"/>
  <c r="GO320" i="27"/>
  <c r="GN320" i="27"/>
  <c r="GO324" i="27"/>
  <c r="GN324" i="27"/>
  <c r="HF324" i="27"/>
  <c r="GP324" i="27"/>
  <c r="AH98" i="3"/>
  <c r="L102" i="31"/>
  <c r="AF102" i="31" s="1"/>
  <c r="AL85" i="3"/>
  <c r="P89" i="31"/>
  <c r="GH305" i="27"/>
  <c r="HE305" i="27"/>
  <c r="GJ305" i="27"/>
  <c r="GI305" i="27"/>
  <c r="GI316" i="27"/>
  <c r="GJ316" i="27"/>
  <c r="GH316" i="27"/>
  <c r="HE316" i="27"/>
  <c r="HE317" i="27"/>
  <c r="GJ317" i="27"/>
  <c r="GI317" i="27"/>
  <c r="GH317" i="27"/>
  <c r="FI314" i="27"/>
  <c r="EL314" i="27"/>
  <c r="EN314" i="27"/>
  <c r="EM314" i="27"/>
  <c r="EN301" i="27"/>
  <c r="EL301" i="27"/>
  <c r="EM301" i="27"/>
  <c r="FI301" i="27"/>
  <c r="EM319" i="27"/>
  <c r="FI319" i="27"/>
  <c r="EL319" i="27"/>
  <c r="EN319" i="27"/>
  <c r="FI307" i="27"/>
  <c r="EM307" i="27"/>
  <c r="EL307" i="27"/>
  <c r="EN307" i="27"/>
  <c r="DM304" i="27"/>
  <c r="CP304" i="27"/>
  <c r="CQ304" i="27"/>
  <c r="CR304" i="27"/>
  <c r="Q87" i="31"/>
  <c r="AJ87" i="31"/>
  <c r="DQ226" i="27"/>
  <c r="FQ217" i="27"/>
  <c r="FS217" i="27"/>
  <c r="HM242" i="27"/>
  <c r="HO242" i="27"/>
  <c r="DW231" i="27"/>
  <c r="DU231" i="27"/>
  <c r="DW234" i="27"/>
  <c r="DU234" i="27"/>
  <c r="HO193" i="27"/>
  <c r="HM193" i="27"/>
  <c r="H29" i="5"/>
  <c r="R29" i="5" s="1"/>
  <c r="EZ248" i="27"/>
  <c r="EY248" i="27"/>
  <c r="EX248" i="27"/>
  <c r="FK248" i="27"/>
  <c r="EY253" i="27"/>
  <c r="EZ253" i="27"/>
  <c r="FK253" i="27"/>
  <c r="EX253" i="27"/>
  <c r="HG257" i="27"/>
  <c r="GT257" i="27"/>
  <c r="GV257" i="27"/>
  <c r="GU257" i="27"/>
  <c r="EY255" i="27"/>
  <c r="FK255" i="27"/>
  <c r="EZ255" i="27"/>
  <c r="EX255" i="27"/>
  <c r="DC250" i="27"/>
  <c r="DB250" i="27"/>
  <c r="DD250" i="27"/>
  <c r="DO250" i="27"/>
  <c r="HG259" i="27"/>
  <c r="GU259" i="27"/>
  <c r="GV259" i="27"/>
  <c r="GT259" i="27"/>
  <c r="EY256" i="27"/>
  <c r="EX256" i="27"/>
  <c r="EZ256" i="27"/>
  <c r="FK256" i="27"/>
  <c r="FM256" i="27" s="1"/>
  <c r="EZ268" i="27"/>
  <c r="EX268" i="27"/>
  <c r="FK268" i="27"/>
  <c r="EY268" i="27"/>
  <c r="EZ267" i="27"/>
  <c r="FK267" i="27"/>
  <c r="EX267" i="27"/>
  <c r="EY267" i="27"/>
  <c r="GV273" i="27"/>
  <c r="GT273" i="27"/>
  <c r="HG273" i="27"/>
  <c r="GU273" i="27"/>
  <c r="FK261" i="27"/>
  <c r="EX261" i="27"/>
  <c r="EY261" i="27"/>
  <c r="EZ261" i="27"/>
  <c r="GU276" i="27"/>
  <c r="GV276" i="27"/>
  <c r="GT276" i="27"/>
  <c r="HG276" i="27"/>
  <c r="EZ264" i="27"/>
  <c r="EX264" i="27"/>
  <c r="EY264" i="27"/>
  <c r="FK264" i="27"/>
  <c r="DB266" i="27"/>
  <c r="DC266" i="27"/>
  <c r="DO266" i="27"/>
  <c r="DD266" i="27"/>
  <c r="DI252" i="27"/>
  <c r="DP252" i="27"/>
  <c r="DJ252" i="27"/>
  <c r="DH252" i="27"/>
  <c r="FF257" i="27"/>
  <c r="FL257" i="27"/>
  <c r="FD257" i="27"/>
  <c r="FE257" i="27"/>
  <c r="FD247" i="27"/>
  <c r="FE247" i="27"/>
  <c r="FL247" i="27"/>
  <c r="FF247" i="27"/>
  <c r="HH256" i="27"/>
  <c r="HB256" i="27"/>
  <c r="GZ256" i="27"/>
  <c r="HA256" i="27"/>
  <c r="GZ254" i="27"/>
  <c r="HH254" i="27"/>
  <c r="HA254" i="27"/>
  <c r="HB254" i="27"/>
  <c r="DI255" i="27"/>
  <c r="DH255" i="27"/>
  <c r="DP255" i="27"/>
  <c r="DJ255" i="27"/>
  <c r="FE271" i="27"/>
  <c r="FF271" i="27"/>
  <c r="FD271" i="27"/>
  <c r="FL271" i="27"/>
  <c r="FL276" i="27"/>
  <c r="FF276" i="27"/>
  <c r="FD276" i="27"/>
  <c r="FE276" i="27"/>
  <c r="HH266" i="27"/>
  <c r="HB266" i="27"/>
  <c r="GZ266" i="27"/>
  <c r="HA266" i="27"/>
  <c r="DI274" i="27"/>
  <c r="DH274" i="27"/>
  <c r="DJ274" i="27"/>
  <c r="DP274" i="27"/>
  <c r="HA265" i="27"/>
  <c r="HH265" i="27"/>
  <c r="GZ265" i="27"/>
  <c r="HB265" i="27"/>
  <c r="HH260" i="27"/>
  <c r="GZ260" i="27"/>
  <c r="HA260" i="27"/>
  <c r="HB260" i="27"/>
  <c r="GZ262" i="27"/>
  <c r="HB262" i="27"/>
  <c r="HA262" i="27"/>
  <c r="HH262" i="27"/>
  <c r="N92" i="31"/>
  <c r="AH92" i="31" s="1"/>
  <c r="AJ88" i="3"/>
  <c r="ES311" i="27"/>
  <c r="ET311" i="27"/>
  <c r="ER311" i="27"/>
  <c r="FJ311" i="27"/>
  <c r="ES303" i="27"/>
  <c r="ER303" i="27"/>
  <c r="FJ303" i="27"/>
  <c r="ET303" i="27"/>
  <c r="GP299" i="27"/>
  <c r="GO299" i="27"/>
  <c r="GN299" i="27"/>
  <c r="HF299" i="27"/>
  <c r="CX308" i="27"/>
  <c r="DN308" i="27"/>
  <c r="CV308" i="27"/>
  <c r="CW308" i="27"/>
  <c r="ES315" i="27"/>
  <c r="FJ315" i="27"/>
  <c r="ET315" i="27"/>
  <c r="ER315" i="27"/>
  <c r="DN300" i="27"/>
  <c r="CV300" i="27"/>
  <c r="CW300" i="27"/>
  <c r="CX300" i="27"/>
  <c r="FJ316" i="27"/>
  <c r="ER316" i="27"/>
  <c r="ES316" i="27"/>
  <c r="ET316" i="27"/>
  <c r="GO331" i="27"/>
  <c r="GN331" i="27"/>
  <c r="GP331" i="27"/>
  <c r="HF331" i="27"/>
  <c r="GO334" i="27"/>
  <c r="GP334" i="27"/>
  <c r="HF334" i="27"/>
  <c r="GN334" i="27"/>
  <c r="HF336" i="27"/>
  <c r="GN336" i="27"/>
  <c r="GO336" i="27"/>
  <c r="GP336" i="27"/>
  <c r="GP329" i="27"/>
  <c r="HF329" i="27"/>
  <c r="GO329" i="27"/>
  <c r="GN329" i="27"/>
  <c r="DN328" i="27"/>
  <c r="CX328" i="27"/>
  <c r="CV328" i="27"/>
  <c r="CW328" i="27"/>
  <c r="GN325" i="27"/>
  <c r="HF325" i="27"/>
  <c r="GP325" i="27"/>
  <c r="GO325" i="27"/>
  <c r="HF335" i="27"/>
  <c r="GN335" i="27"/>
  <c r="GP335" i="27"/>
  <c r="GO335" i="27"/>
  <c r="CV320" i="27"/>
  <c r="DN320" i="27"/>
  <c r="CX320" i="27"/>
  <c r="CW320" i="27"/>
  <c r="CV324" i="27"/>
  <c r="CX324" i="27"/>
  <c r="DN324" i="27"/>
  <c r="CW324" i="27"/>
  <c r="M91" i="31"/>
  <c r="AG91" i="31" s="1"/>
  <c r="AI87" i="3"/>
  <c r="EN305" i="27"/>
  <c r="EM305" i="27"/>
  <c r="FI305" i="27"/>
  <c r="EL305" i="27"/>
  <c r="FI316" i="27"/>
  <c r="EM316" i="27"/>
  <c r="EN316" i="27"/>
  <c r="EL316" i="27"/>
  <c r="CR310" i="27"/>
  <c r="CQ310" i="27"/>
  <c r="DM310" i="27"/>
  <c r="CP310" i="27"/>
  <c r="GI314" i="27"/>
  <c r="HE314" i="27"/>
  <c r="GH314" i="27"/>
  <c r="GJ314" i="27"/>
  <c r="CR301" i="27"/>
  <c r="DM301" i="27"/>
  <c r="CP301" i="27"/>
  <c r="CQ301" i="27"/>
  <c r="EM300" i="27"/>
  <c r="EL300" i="27"/>
  <c r="FI300" i="27"/>
  <c r="EN300" i="27"/>
  <c r="HE307" i="27"/>
  <c r="GH307" i="27"/>
  <c r="GI307" i="27"/>
  <c r="GJ307" i="27"/>
  <c r="EL304" i="27"/>
  <c r="EN304" i="27"/>
  <c r="FI304" i="27"/>
  <c r="EM304" i="27"/>
  <c r="DW213" i="27"/>
  <c r="DU213" i="27"/>
  <c r="FS240" i="27"/>
  <c r="FQ240" i="27"/>
  <c r="FS185" i="27"/>
  <c r="FQ185" i="27"/>
  <c r="DC248" i="27"/>
  <c r="DO248" i="27"/>
  <c r="DD248" i="27"/>
  <c r="DB248" i="27"/>
  <c r="GV253" i="27"/>
  <c r="HG253" i="27"/>
  <c r="GT253" i="27"/>
  <c r="GU253" i="27"/>
  <c r="HG245" i="27"/>
  <c r="GV245" i="27"/>
  <c r="GT245" i="27"/>
  <c r="GU245" i="27"/>
  <c r="DD255" i="27"/>
  <c r="DC255" i="27"/>
  <c r="DO255" i="27"/>
  <c r="DQ255" i="27" s="1"/>
  <c r="DB255" i="27"/>
  <c r="FK250" i="27"/>
  <c r="EZ250" i="27"/>
  <c r="EX250" i="27"/>
  <c r="EY250" i="27"/>
  <c r="EX252" i="27"/>
  <c r="EY252" i="27"/>
  <c r="EZ252" i="27"/>
  <c r="FK252" i="27"/>
  <c r="GU256" i="27"/>
  <c r="GV256" i="27"/>
  <c r="GT256" i="27"/>
  <c r="HG256" i="27"/>
  <c r="HI256" i="27" s="1"/>
  <c r="DB268" i="27"/>
  <c r="DD268" i="27"/>
  <c r="DC268" i="27"/>
  <c r="DO268" i="27"/>
  <c r="GU263" i="27"/>
  <c r="HG263" i="27"/>
  <c r="GT263" i="27"/>
  <c r="GV263" i="27"/>
  <c r="EY273" i="27"/>
  <c r="EZ273" i="27"/>
  <c r="EX273" i="27"/>
  <c r="FK273" i="27"/>
  <c r="DB261" i="27"/>
  <c r="DD261" i="27"/>
  <c r="DC261" i="27"/>
  <c r="DO261" i="27"/>
  <c r="EZ277" i="27"/>
  <c r="EY277" i="27"/>
  <c r="EX277" i="27"/>
  <c r="FK277" i="27"/>
  <c r="DC264" i="27"/>
  <c r="DO264" i="27"/>
  <c r="DD264" i="27"/>
  <c r="DB264" i="27"/>
  <c r="GV266" i="27"/>
  <c r="HG266" i="27"/>
  <c r="GT266" i="27"/>
  <c r="GU266" i="27"/>
  <c r="DP250" i="27"/>
  <c r="DH250" i="27"/>
  <c r="DJ250" i="27"/>
  <c r="DI250" i="27"/>
  <c r="DP257" i="27"/>
  <c r="DH257" i="27"/>
  <c r="DI257" i="27"/>
  <c r="DJ257" i="27"/>
  <c r="DI247" i="27"/>
  <c r="DP247" i="27"/>
  <c r="DJ247" i="27"/>
  <c r="DH247" i="27"/>
  <c r="DH249" i="27"/>
  <c r="DP249" i="27"/>
  <c r="DI249" i="27"/>
  <c r="DJ249" i="27"/>
  <c r="DJ254" i="27"/>
  <c r="DH254" i="27"/>
  <c r="DI254" i="27"/>
  <c r="DP254" i="27"/>
  <c r="HB255" i="27"/>
  <c r="GZ255" i="27"/>
  <c r="HA255" i="27"/>
  <c r="HH255" i="27"/>
  <c r="HB267" i="27"/>
  <c r="GZ267" i="27"/>
  <c r="HH267" i="27"/>
  <c r="HA267" i="27"/>
  <c r="HB276" i="27"/>
  <c r="GZ276" i="27"/>
  <c r="HH276" i="27"/>
  <c r="HA276" i="27"/>
  <c r="DI266" i="27"/>
  <c r="DP266" i="27"/>
  <c r="DQ266" i="27" s="1"/>
  <c r="DH266" i="27"/>
  <c r="DJ266" i="27"/>
  <c r="HA270" i="27"/>
  <c r="HH270" i="27"/>
  <c r="GZ270" i="27"/>
  <c r="HB270" i="27"/>
  <c r="FL265" i="27"/>
  <c r="FF265" i="27"/>
  <c r="FE265" i="27"/>
  <c r="FD265" i="27"/>
  <c r="FE260" i="27"/>
  <c r="FF260" i="27"/>
  <c r="FL260" i="27"/>
  <c r="FD260" i="27"/>
  <c r="FL273" i="27"/>
  <c r="FF273" i="27"/>
  <c r="FD273" i="27"/>
  <c r="FE273" i="27"/>
  <c r="GO305" i="27"/>
  <c r="GP305" i="27"/>
  <c r="HF305" i="27"/>
  <c r="GN305" i="27"/>
  <c r="CW311" i="27"/>
  <c r="CX311" i="27"/>
  <c r="DN311" i="27"/>
  <c r="CV311" i="27"/>
  <c r="GN303" i="27"/>
  <c r="GO303" i="27"/>
  <c r="HF303" i="27"/>
  <c r="GP303" i="27"/>
  <c r="DN318" i="27"/>
  <c r="CV318" i="27"/>
  <c r="CX318" i="27"/>
  <c r="CW318" i="27"/>
  <c r="ES308" i="27"/>
  <c r="ET308" i="27"/>
  <c r="FJ308" i="27"/>
  <c r="ER308" i="27"/>
  <c r="HF315" i="27"/>
  <c r="GN315" i="27"/>
  <c r="GP315" i="27"/>
  <c r="GO315" i="27"/>
  <c r="HF306" i="27"/>
  <c r="GP306" i="27"/>
  <c r="GN306" i="27"/>
  <c r="GO306" i="27"/>
  <c r="HF316" i="27"/>
  <c r="GP316" i="27"/>
  <c r="GO316" i="27"/>
  <c r="GN316" i="27"/>
  <c r="CV331" i="27"/>
  <c r="DN331" i="27"/>
  <c r="CX331" i="27"/>
  <c r="CW331" i="27"/>
  <c r="DN330" i="27"/>
  <c r="CV330" i="27"/>
  <c r="CX330" i="27"/>
  <c r="CW330" i="27"/>
  <c r="CW336" i="27"/>
  <c r="DN336" i="27"/>
  <c r="CV336" i="27"/>
  <c r="CX336" i="27"/>
  <c r="DN329" i="27"/>
  <c r="CW329" i="27"/>
  <c r="CX329" i="27"/>
  <c r="CV329" i="27"/>
  <c r="HF333" i="27"/>
  <c r="GO333" i="27"/>
  <c r="GN333" i="27"/>
  <c r="GP333" i="27"/>
  <c r="DN325" i="27"/>
  <c r="CW325" i="27"/>
  <c r="CV325" i="27"/>
  <c r="CX325" i="27"/>
  <c r="DN335" i="27"/>
  <c r="CW335" i="27"/>
  <c r="CX335" i="27"/>
  <c r="CV335" i="27"/>
  <c r="FJ327" i="27"/>
  <c r="ER327" i="27"/>
  <c r="ES327" i="27"/>
  <c r="ET327" i="27"/>
  <c r="ES324" i="27"/>
  <c r="FJ324" i="27"/>
  <c r="ET324" i="27"/>
  <c r="ER324" i="27"/>
  <c r="M92" i="31"/>
  <c r="AG92" i="31" s="1"/>
  <c r="AI88" i="3"/>
  <c r="FI318" i="27"/>
  <c r="EL318" i="27"/>
  <c r="EM318" i="27"/>
  <c r="EN318" i="27"/>
  <c r="DM316" i="27"/>
  <c r="CP316" i="27"/>
  <c r="CR316" i="27"/>
  <c r="CQ316" i="27"/>
  <c r="HE310" i="27"/>
  <c r="GJ310" i="27"/>
  <c r="GI310" i="27"/>
  <c r="GH310" i="27"/>
  <c r="CR303" i="27"/>
  <c r="CQ303" i="27"/>
  <c r="DM303" i="27"/>
  <c r="CP303" i="27"/>
  <c r="HE301" i="27"/>
  <c r="GI301" i="27"/>
  <c r="GH301" i="27"/>
  <c r="GJ301" i="27"/>
  <c r="HE300" i="27"/>
  <c r="GI300" i="27"/>
  <c r="GJ300" i="27"/>
  <c r="GH300" i="27"/>
  <c r="CQ313" i="27"/>
  <c r="CR313" i="27"/>
  <c r="CP313" i="27"/>
  <c r="DM313" i="27"/>
  <c r="GI304" i="27"/>
  <c r="HE304" i="27"/>
  <c r="GJ304" i="27"/>
  <c r="GH304" i="27"/>
  <c r="BF91" i="31"/>
  <c r="AT91" i="31"/>
  <c r="AZ91" i="31" s="1"/>
  <c r="BD100" i="31"/>
  <c r="AR100" i="31"/>
  <c r="AX100" i="31" s="1"/>
  <c r="BD99" i="31"/>
  <c r="AR99" i="31"/>
  <c r="AX99" i="31" s="1"/>
  <c r="HO228" i="27"/>
  <c r="HM228" i="27"/>
  <c r="FS234" i="27"/>
  <c r="FQ234" i="27"/>
  <c r="HM212" i="27"/>
  <c r="HO212" i="27"/>
  <c r="DU216" i="27"/>
  <c r="DW216" i="27"/>
  <c r="Q88" i="31"/>
  <c r="AJ88" i="31"/>
  <c r="DB243" i="27"/>
  <c r="DC243" i="27"/>
  <c r="DD243" i="27"/>
  <c r="DO243" i="27"/>
  <c r="DD253" i="27"/>
  <c r="DC253" i="27"/>
  <c r="DO253" i="27"/>
  <c r="DB253" i="27"/>
  <c r="DB245" i="27"/>
  <c r="DC245" i="27"/>
  <c r="DO245" i="27"/>
  <c r="DD245" i="27"/>
  <c r="DB251" i="27"/>
  <c r="DD251" i="27"/>
  <c r="DC251" i="27"/>
  <c r="DO251" i="27"/>
  <c r="GT250" i="27"/>
  <c r="GU250" i="27"/>
  <c r="HG250" i="27"/>
  <c r="GV250" i="27"/>
  <c r="DC252" i="27"/>
  <c r="DD252" i="27"/>
  <c r="DO252" i="27"/>
  <c r="DQ252" i="27" s="1"/>
  <c r="DB252" i="27"/>
  <c r="DD272" i="27"/>
  <c r="DB272" i="27"/>
  <c r="DC272" i="27"/>
  <c r="DO272" i="27"/>
  <c r="HG268" i="27"/>
  <c r="GT268" i="27"/>
  <c r="GU268" i="27"/>
  <c r="GV268" i="27"/>
  <c r="DO263" i="27"/>
  <c r="DD263" i="27"/>
  <c r="DB263" i="27"/>
  <c r="DC263" i="27"/>
  <c r="GV262" i="27"/>
  <c r="HG262" i="27"/>
  <c r="GT262" i="27"/>
  <c r="GU262" i="27"/>
  <c r="GT261" i="27"/>
  <c r="HG261" i="27"/>
  <c r="GV261" i="27"/>
  <c r="GU261" i="27"/>
  <c r="GU277" i="27"/>
  <c r="GT277" i="27"/>
  <c r="HG277" i="27"/>
  <c r="GV277" i="27"/>
  <c r="DD260" i="27"/>
  <c r="DC260" i="27"/>
  <c r="DB260" i="27"/>
  <c r="DO260" i="27"/>
  <c r="EX266" i="27"/>
  <c r="EY266" i="27"/>
  <c r="FK266" i="27"/>
  <c r="EZ266" i="27"/>
  <c r="HB250" i="27"/>
  <c r="GZ250" i="27"/>
  <c r="HA250" i="27"/>
  <c r="HH250" i="27"/>
  <c r="DJ245" i="27"/>
  <c r="DI245" i="27"/>
  <c r="DH245" i="27"/>
  <c r="DP245" i="27"/>
  <c r="HB247" i="27"/>
  <c r="HH247" i="27"/>
  <c r="GZ247" i="27"/>
  <c r="HA247" i="27"/>
  <c r="FE249" i="27"/>
  <c r="FD249" i="27"/>
  <c r="FL249" i="27"/>
  <c r="FF249" i="27"/>
  <c r="HA246" i="27"/>
  <c r="HB246" i="27"/>
  <c r="GZ246" i="27"/>
  <c r="HH246" i="27"/>
  <c r="FE255" i="27"/>
  <c r="FF255" i="27"/>
  <c r="FL255" i="27"/>
  <c r="FM255" i="27" s="1"/>
  <c r="FD255" i="27"/>
  <c r="DH267" i="27"/>
  <c r="DJ267" i="27"/>
  <c r="DP267" i="27"/>
  <c r="DI267" i="27"/>
  <c r="DJ269" i="27"/>
  <c r="DP269" i="27"/>
  <c r="DH269" i="27"/>
  <c r="DI269" i="27"/>
  <c r="FD266" i="27"/>
  <c r="FF266" i="27"/>
  <c r="FE266" i="27"/>
  <c r="FL266" i="27"/>
  <c r="FF270" i="27"/>
  <c r="FD270" i="27"/>
  <c r="FL270" i="27"/>
  <c r="FE270" i="27"/>
  <c r="HB278" i="27"/>
  <c r="HH278" i="27"/>
  <c r="GZ278" i="27"/>
  <c r="HA278" i="27"/>
  <c r="DJ260" i="27"/>
  <c r="DI260" i="27"/>
  <c r="DP260" i="27"/>
  <c r="DH260" i="27"/>
  <c r="DH273" i="27"/>
  <c r="DI273" i="27"/>
  <c r="DP273" i="27"/>
  <c r="DJ273" i="27"/>
  <c r="CV305" i="27"/>
  <c r="DN305" i="27"/>
  <c r="CX305" i="27"/>
  <c r="CW305" i="27"/>
  <c r="ES309" i="27"/>
  <c r="FJ309" i="27"/>
  <c r="ET309" i="27"/>
  <c r="ER309" i="27"/>
  <c r="CV303" i="27"/>
  <c r="CW303" i="27"/>
  <c r="CX303" i="27"/>
  <c r="DN303" i="27"/>
  <c r="ES318" i="27"/>
  <c r="ER318" i="27"/>
  <c r="FJ318" i="27"/>
  <c r="ET318" i="27"/>
  <c r="GN319" i="27"/>
  <c r="HF319" i="27"/>
  <c r="GP319" i="27"/>
  <c r="GO319" i="27"/>
  <c r="DN315" i="27"/>
  <c r="CV315" i="27"/>
  <c r="CW315" i="27"/>
  <c r="CX315" i="27"/>
  <c r="CW306" i="27"/>
  <c r="CV306" i="27"/>
  <c r="DN306" i="27"/>
  <c r="CX306" i="27"/>
  <c r="ET314" i="27"/>
  <c r="ER314" i="27"/>
  <c r="ES314" i="27"/>
  <c r="FJ314" i="27"/>
  <c r="ER331" i="27"/>
  <c r="ET331" i="27"/>
  <c r="ES331" i="27"/>
  <c r="FJ331" i="27"/>
  <c r="ES330" i="27"/>
  <c r="FJ330" i="27"/>
  <c r="ER330" i="27"/>
  <c r="ET330" i="27"/>
  <c r="DN341" i="27"/>
  <c r="CV341" i="27"/>
  <c r="CX341" i="27"/>
  <c r="CW341" i="27"/>
  <c r="FJ329" i="27"/>
  <c r="ER329" i="27"/>
  <c r="ET329" i="27"/>
  <c r="ES329" i="27"/>
  <c r="DN333" i="27"/>
  <c r="CV333" i="27"/>
  <c r="CX333" i="27"/>
  <c r="CW333" i="27"/>
  <c r="FJ323" i="27"/>
  <c r="ER323" i="27"/>
  <c r="ET323" i="27"/>
  <c r="ES323" i="27"/>
  <c r="ER335" i="27"/>
  <c r="FJ335" i="27"/>
  <c r="ET335" i="27"/>
  <c r="ES335" i="27"/>
  <c r="CV327" i="27"/>
  <c r="CX327" i="27"/>
  <c r="CW327" i="27"/>
  <c r="DN327" i="27"/>
  <c r="M93" i="31"/>
  <c r="AG93" i="31" s="1"/>
  <c r="AI89" i="3"/>
  <c r="HE318" i="27"/>
  <c r="GI318" i="27"/>
  <c r="GH318" i="27"/>
  <c r="GJ318" i="27"/>
  <c r="EL302" i="27"/>
  <c r="FI302" i="27"/>
  <c r="EN302" i="27"/>
  <c r="EM302" i="27"/>
  <c r="FI310" i="27"/>
  <c r="EL310" i="27"/>
  <c r="EN310" i="27"/>
  <c r="EM310" i="27"/>
  <c r="EL303" i="27"/>
  <c r="EM303" i="27"/>
  <c r="FI303" i="27"/>
  <c r="EN303" i="27"/>
  <c r="GI311" i="27"/>
  <c r="GJ311" i="27"/>
  <c r="HE311" i="27"/>
  <c r="GH311" i="27"/>
  <c r="CQ300" i="27"/>
  <c r="CR300" i="27"/>
  <c r="DM300" i="27"/>
  <c r="CP300" i="27"/>
  <c r="EN313" i="27"/>
  <c r="FI313" i="27"/>
  <c r="EL313" i="27"/>
  <c r="EM313" i="27"/>
  <c r="HI264" i="27"/>
  <c r="BD98" i="31"/>
  <c r="AR98" i="31"/>
  <c r="AX98" i="31" s="1"/>
  <c r="FS219" i="27"/>
  <c r="FQ219" i="27"/>
  <c r="DQ272" i="27"/>
  <c r="BH86" i="31"/>
  <c r="AV86" i="31"/>
  <c r="BB86" i="31" s="1"/>
  <c r="HM221" i="27"/>
  <c r="HO221" i="27"/>
  <c r="DQ228" i="27"/>
  <c r="BE90" i="31"/>
  <c r="AS90" i="31"/>
  <c r="AY90" i="31" s="1"/>
  <c r="GU243" i="27"/>
  <c r="HG243" i="27"/>
  <c r="GV243" i="27"/>
  <c r="GT243" i="27"/>
  <c r="GV258" i="27"/>
  <c r="HG258" i="27"/>
  <c r="GT258" i="27"/>
  <c r="GU258" i="27"/>
  <c r="EX245" i="27"/>
  <c r="EY245" i="27"/>
  <c r="EZ245" i="27"/>
  <c r="FK245" i="27"/>
  <c r="GV251" i="27"/>
  <c r="GU251" i="27"/>
  <c r="HG251" i="27"/>
  <c r="GT251" i="27"/>
  <c r="GV247" i="27"/>
  <c r="GT247" i="27"/>
  <c r="HG247" i="27"/>
  <c r="GU247" i="27"/>
  <c r="GU252" i="27"/>
  <c r="GV252" i="27"/>
  <c r="HG252" i="27"/>
  <c r="HI252" i="27" s="1"/>
  <c r="GT252" i="27"/>
  <c r="GV272" i="27"/>
  <c r="HG272" i="27"/>
  <c r="GU272" i="27"/>
  <c r="GT272" i="27"/>
  <c r="EY271" i="27"/>
  <c r="FK271" i="27"/>
  <c r="EZ271" i="27"/>
  <c r="EX271" i="27"/>
  <c r="EY263" i="27"/>
  <c r="EZ263" i="27"/>
  <c r="EX263" i="27"/>
  <c r="FK263" i="27"/>
  <c r="DC262" i="27"/>
  <c r="DD262" i="27"/>
  <c r="DB262" i="27"/>
  <c r="DO262" i="27"/>
  <c r="DO269" i="27"/>
  <c r="DQ269" i="27" s="1"/>
  <c r="DD269" i="27"/>
  <c r="DB269" i="27"/>
  <c r="DC269" i="27"/>
  <c r="DC277" i="27"/>
  <c r="DB277" i="27"/>
  <c r="DD277" i="27"/>
  <c r="DO277" i="27"/>
  <c r="EY260" i="27"/>
  <c r="FK260" i="27"/>
  <c r="FM260" i="27" s="1"/>
  <c r="EX260" i="27"/>
  <c r="EZ260" i="27"/>
  <c r="FE244" i="27"/>
  <c r="FF244" i="27"/>
  <c r="FL244" i="27"/>
  <c r="FD244" i="27"/>
  <c r="FF250" i="27"/>
  <c r="FD250" i="27"/>
  <c r="FE250" i="27"/>
  <c r="FL250" i="27"/>
  <c r="GZ245" i="27"/>
  <c r="HB245" i="27"/>
  <c r="HA245" i="27"/>
  <c r="HH245" i="27"/>
  <c r="DI259" i="27"/>
  <c r="DP259" i="27"/>
  <c r="DJ259" i="27"/>
  <c r="DH259" i="27"/>
  <c r="HA249" i="27"/>
  <c r="GZ249" i="27"/>
  <c r="HB249" i="27"/>
  <c r="HH249" i="27"/>
  <c r="DP246" i="27"/>
  <c r="DH246" i="27"/>
  <c r="DJ246" i="27"/>
  <c r="DI246" i="27"/>
  <c r="DP243" i="27"/>
  <c r="DQ243" i="27" s="1"/>
  <c r="DH243" i="27"/>
  <c r="DI243" i="27"/>
  <c r="DJ243" i="27"/>
  <c r="FL267" i="27"/>
  <c r="FD267" i="27"/>
  <c r="FE267" i="27"/>
  <c r="FF267" i="27"/>
  <c r="FF269" i="27"/>
  <c r="FD269" i="27"/>
  <c r="FE269" i="27"/>
  <c r="FL269" i="27"/>
  <c r="DH277" i="27"/>
  <c r="DJ277" i="27"/>
  <c r="DI277" i="27"/>
  <c r="DP277" i="27"/>
  <c r="DP270" i="27"/>
  <c r="DH270" i="27"/>
  <c r="DJ270" i="27"/>
  <c r="DI270" i="27"/>
  <c r="FE278" i="27"/>
  <c r="FD278" i="27"/>
  <c r="FF278" i="27"/>
  <c r="FL278" i="27"/>
  <c r="FM278" i="27" s="1"/>
  <c r="DP264" i="27"/>
  <c r="DJ264" i="27"/>
  <c r="DI264" i="27"/>
  <c r="DH264" i="27"/>
  <c r="HH273" i="27"/>
  <c r="GZ273" i="27"/>
  <c r="HB273" i="27"/>
  <c r="HA273" i="27"/>
  <c r="ES305" i="27"/>
  <c r="ER305" i="27"/>
  <c r="FJ305" i="27"/>
  <c r="ET305" i="27"/>
  <c r="CV309" i="27"/>
  <c r="CX309" i="27"/>
  <c r="CW309" i="27"/>
  <c r="DN309" i="27"/>
  <c r="CW304" i="27"/>
  <c r="DN304" i="27"/>
  <c r="CX304" i="27"/>
  <c r="CV304" i="27"/>
  <c r="HF318" i="27"/>
  <c r="GN318" i="27"/>
  <c r="GP318" i="27"/>
  <c r="GO318" i="27"/>
  <c r="FJ319" i="27"/>
  <c r="ER319" i="27"/>
  <c r="ET319" i="27"/>
  <c r="ES319" i="27"/>
  <c r="GN302" i="27"/>
  <c r="GO302" i="27"/>
  <c r="GP302" i="27"/>
  <c r="HF302" i="27"/>
  <c r="ET306" i="27"/>
  <c r="FJ306" i="27"/>
  <c r="ER306" i="27"/>
  <c r="ES306" i="27"/>
  <c r="DN314" i="27"/>
  <c r="CX314" i="27"/>
  <c r="CV314" i="27"/>
  <c r="CW314" i="27"/>
  <c r="FJ338" i="27"/>
  <c r="ER338" i="27"/>
  <c r="ET338" i="27"/>
  <c r="ES338" i="27"/>
  <c r="GO330" i="27"/>
  <c r="HF330" i="27"/>
  <c r="GN330" i="27"/>
  <c r="GP330" i="27"/>
  <c r="HF341" i="27"/>
  <c r="GN341" i="27"/>
  <c r="GP341" i="27"/>
  <c r="GO341" i="27"/>
  <c r="ER322" i="27"/>
  <c r="ET322" i="27"/>
  <c r="ES322" i="27"/>
  <c r="FJ322" i="27"/>
  <c r="ER333" i="27"/>
  <c r="ET333" i="27"/>
  <c r="ES333" i="27"/>
  <c r="FJ333" i="27"/>
  <c r="CW323" i="27"/>
  <c r="CV323" i="27"/>
  <c r="CX323" i="27"/>
  <c r="DN323" i="27"/>
  <c r="CW337" i="27"/>
  <c r="CV337" i="27"/>
  <c r="DN337" i="27"/>
  <c r="CX337" i="27"/>
  <c r="HF327" i="27"/>
  <c r="GN327" i="27"/>
  <c r="GP327" i="27"/>
  <c r="GO327" i="27"/>
  <c r="GI308" i="27"/>
  <c r="GJ308" i="27"/>
  <c r="GH308" i="27"/>
  <c r="HE308" i="27"/>
  <c r="CP318" i="27"/>
  <c r="CR318" i="27"/>
  <c r="CQ318" i="27"/>
  <c r="DM318" i="27"/>
  <c r="GI302" i="27"/>
  <c r="HE302" i="27"/>
  <c r="GH302" i="27"/>
  <c r="GJ302" i="27"/>
  <c r="EM306" i="27"/>
  <c r="EN306" i="27"/>
  <c r="FI306" i="27"/>
  <c r="EL306" i="27"/>
  <c r="GH303" i="27"/>
  <c r="HE303" i="27"/>
  <c r="GJ303" i="27"/>
  <c r="GI303" i="27"/>
  <c r="FI311" i="27"/>
  <c r="EM311" i="27"/>
  <c r="EN311" i="27"/>
  <c r="EL311" i="27"/>
  <c r="GJ315" i="27"/>
  <c r="HE315" i="27"/>
  <c r="GI315" i="27"/>
  <c r="GH315" i="27"/>
  <c r="GJ313" i="27"/>
  <c r="GH313" i="27"/>
  <c r="GI313" i="27"/>
  <c r="HE313" i="27"/>
  <c r="AK85" i="3"/>
  <c r="O89" i="31"/>
  <c r="AI89" i="31" s="1"/>
  <c r="BG87" i="31"/>
  <c r="AU87" i="31"/>
  <c r="BA87" i="31" s="1"/>
  <c r="BQ44" i="23"/>
  <c r="DU232" i="27"/>
  <c r="DW232" i="27"/>
  <c r="HM237" i="27"/>
  <c r="HO237" i="27"/>
  <c r="EZ243" i="27"/>
  <c r="EX243" i="27"/>
  <c r="EY243" i="27"/>
  <c r="FK243" i="27"/>
  <c r="FK258" i="27"/>
  <c r="FM258" i="27" s="1"/>
  <c r="EY258" i="27"/>
  <c r="EX258" i="27"/>
  <c r="EZ258" i="27"/>
  <c r="GV254" i="27"/>
  <c r="GT254" i="27"/>
  <c r="HG254" i="27"/>
  <c r="GU254" i="27"/>
  <c r="EX251" i="27"/>
  <c r="EY251" i="27"/>
  <c r="FK251" i="27"/>
  <c r="EZ251" i="27"/>
  <c r="DC247" i="27"/>
  <c r="DD247" i="27"/>
  <c r="DO247" i="27"/>
  <c r="DB247" i="27"/>
  <c r="EX246" i="27"/>
  <c r="FK246" i="27"/>
  <c r="EZ246" i="27"/>
  <c r="EY246" i="27"/>
  <c r="FK272" i="27"/>
  <c r="FM272" i="27" s="1"/>
  <c r="EX272" i="27"/>
  <c r="EY272" i="27"/>
  <c r="EZ272" i="27"/>
  <c r="DC271" i="27"/>
  <c r="DO271" i="27"/>
  <c r="DQ271" i="27" s="1"/>
  <c r="DB271" i="27"/>
  <c r="DD271" i="27"/>
  <c r="DD270" i="27"/>
  <c r="DO270" i="27"/>
  <c r="DB270" i="27"/>
  <c r="DC270" i="27"/>
  <c r="EZ262" i="27"/>
  <c r="FK262" i="27"/>
  <c r="EY262" i="27"/>
  <c r="EX262" i="27"/>
  <c r="FK269" i="27"/>
  <c r="EZ269" i="27"/>
  <c r="EX269" i="27"/>
  <c r="EY269" i="27"/>
  <c r="EX275" i="27"/>
  <c r="FK275" i="27"/>
  <c r="EZ275" i="27"/>
  <c r="EY275" i="27"/>
  <c r="GT260" i="27"/>
  <c r="HG260" i="27"/>
  <c r="HI260" i="27" s="1"/>
  <c r="GU260" i="27"/>
  <c r="GV260" i="27"/>
  <c r="HH244" i="27"/>
  <c r="GZ244" i="27"/>
  <c r="HA244" i="27"/>
  <c r="HB244" i="27"/>
  <c r="FE253" i="27"/>
  <c r="FF253" i="27"/>
  <c r="FD253" i="27"/>
  <c r="FL253" i="27"/>
  <c r="FM253" i="27" s="1"/>
  <c r="FE245" i="27"/>
  <c r="FF245" i="27"/>
  <c r="FD245" i="27"/>
  <c r="FL245" i="27"/>
  <c r="HB259" i="27"/>
  <c r="HA259" i="27"/>
  <c r="GZ259" i="27"/>
  <c r="HH259" i="27"/>
  <c r="HH258" i="27"/>
  <c r="HB258" i="27"/>
  <c r="GZ258" i="27"/>
  <c r="HA258" i="27"/>
  <c r="FE246" i="27"/>
  <c r="FL246" i="27"/>
  <c r="FD246" i="27"/>
  <c r="FF246" i="27"/>
  <c r="HA243" i="27"/>
  <c r="HB243" i="27"/>
  <c r="HH243" i="27"/>
  <c r="GZ243" i="27"/>
  <c r="FF261" i="27"/>
  <c r="FL261" i="27"/>
  <c r="FE261" i="27"/>
  <c r="FD261" i="27"/>
  <c r="HA269" i="27"/>
  <c r="GZ269" i="27"/>
  <c r="HH269" i="27"/>
  <c r="HI269" i="27" s="1"/>
  <c r="HB269" i="27"/>
  <c r="HH277" i="27"/>
  <c r="HB277" i="27"/>
  <c r="GZ277" i="27"/>
  <c r="HA277" i="27"/>
  <c r="FE275" i="27"/>
  <c r="FL275" i="27"/>
  <c r="FF275" i="27"/>
  <c r="FD275" i="27"/>
  <c r="DH278" i="27"/>
  <c r="DI278" i="27"/>
  <c r="DJ278" i="27"/>
  <c r="DP278" i="27"/>
  <c r="FD264" i="27"/>
  <c r="FF264" i="27"/>
  <c r="FE264" i="27"/>
  <c r="FL264" i="27"/>
  <c r="HA272" i="27"/>
  <c r="HH272" i="27"/>
  <c r="HB272" i="27"/>
  <c r="GZ272" i="27"/>
  <c r="CW312" i="27"/>
  <c r="DN312" i="27"/>
  <c r="CV312" i="27"/>
  <c r="CX312" i="27"/>
  <c r="HF309" i="27"/>
  <c r="GP309" i="27"/>
  <c r="GO309" i="27"/>
  <c r="GN309" i="27"/>
  <c r="ES304" i="27"/>
  <c r="FJ304" i="27"/>
  <c r="ER304" i="27"/>
  <c r="ET304" i="27"/>
  <c r="CV313" i="27"/>
  <c r="CW313" i="27"/>
  <c r="CX313" i="27"/>
  <c r="DN313" i="27"/>
  <c r="CW319" i="27"/>
  <c r="CX319" i="27"/>
  <c r="DN319" i="27"/>
  <c r="CV319" i="27"/>
  <c r="ET302" i="27"/>
  <c r="ER302" i="27"/>
  <c r="FJ302" i="27"/>
  <c r="ES302" i="27"/>
  <c r="GN310" i="27"/>
  <c r="GP310" i="27"/>
  <c r="HF310" i="27"/>
  <c r="GO310" i="27"/>
  <c r="GN314" i="27"/>
  <c r="GO314" i="27"/>
  <c r="GP314" i="27"/>
  <c r="HF314" i="27"/>
  <c r="GO338" i="27"/>
  <c r="GN338" i="27"/>
  <c r="HF338" i="27"/>
  <c r="GP338" i="27"/>
  <c r="ER332" i="27"/>
  <c r="ET332" i="27"/>
  <c r="ES332" i="27"/>
  <c r="FJ332" i="27"/>
  <c r="FJ341" i="27"/>
  <c r="ER341" i="27"/>
  <c r="ET341" i="27"/>
  <c r="ES341" i="27"/>
  <c r="HF322" i="27"/>
  <c r="GO322" i="27"/>
  <c r="GN322" i="27"/>
  <c r="GP322" i="27"/>
  <c r="GO340" i="27"/>
  <c r="HF340" i="27"/>
  <c r="GP340" i="27"/>
  <c r="GN340" i="27"/>
  <c r="GP323" i="27"/>
  <c r="HF323" i="27"/>
  <c r="GN323" i="27"/>
  <c r="GO323" i="27"/>
  <c r="GN337" i="27"/>
  <c r="GP337" i="27"/>
  <c r="GO337" i="27"/>
  <c r="HF337" i="27"/>
  <c r="ET326" i="27"/>
  <c r="FJ326" i="27"/>
  <c r="ER326" i="27"/>
  <c r="ES326" i="27"/>
  <c r="EN308" i="27"/>
  <c r="FI308" i="27"/>
  <c r="EM308" i="27"/>
  <c r="EL308" i="27"/>
  <c r="GI309" i="27"/>
  <c r="GJ309" i="27"/>
  <c r="GH309" i="27"/>
  <c r="HE309" i="27"/>
  <c r="DM302" i="27"/>
  <c r="CR302" i="27"/>
  <c r="CQ302" i="27"/>
  <c r="CP302" i="27"/>
  <c r="GH306" i="27"/>
  <c r="GJ306" i="27"/>
  <c r="GI306" i="27"/>
  <c r="HE306" i="27"/>
  <c r="CQ312" i="27"/>
  <c r="CR312" i="27"/>
  <c r="DM312" i="27"/>
  <c r="CP312" i="27"/>
  <c r="DM311" i="27"/>
  <c r="CP311" i="27"/>
  <c r="CQ311" i="27"/>
  <c r="CR311" i="27"/>
  <c r="DM315" i="27"/>
  <c r="CR315" i="27"/>
  <c r="CP315" i="27"/>
  <c r="CQ315" i="27"/>
  <c r="GI299" i="27"/>
  <c r="GJ299" i="27"/>
  <c r="GH299" i="27"/>
  <c r="HE299" i="27"/>
  <c r="AK86" i="3"/>
  <c r="O90" i="31"/>
  <c r="AI90" i="31" s="1"/>
  <c r="I29" i="5"/>
  <c r="S29" i="5" s="1"/>
  <c r="K28" i="5"/>
  <c r="U28" i="5" s="1"/>
  <c r="J28" i="5"/>
  <c r="T28" i="5" s="1"/>
  <c r="AP280" i="3"/>
  <c r="AN363" i="27"/>
  <c r="AS87" i="3"/>
  <c r="AG324" i="27"/>
  <c r="AP293" i="3"/>
  <c r="AG352" i="27"/>
  <c r="AG321" i="27"/>
  <c r="AN328" i="27"/>
  <c r="AP325" i="3"/>
  <c r="AB93" i="5"/>
  <c r="AQ245" i="3"/>
  <c r="AR147" i="3"/>
  <c r="AQ247" i="3"/>
  <c r="AS82" i="3"/>
  <c r="AQ259" i="3"/>
  <c r="AR146" i="3"/>
  <c r="AR162" i="3"/>
  <c r="AN360" i="27"/>
  <c r="AR164" i="3"/>
  <c r="AG326" i="27"/>
  <c r="AN354" i="27"/>
  <c r="AA91" i="5"/>
  <c r="AN330" i="27"/>
  <c r="AQ273" i="3"/>
  <c r="AP300" i="3"/>
  <c r="AN324" i="27"/>
  <c r="AP330" i="3"/>
  <c r="AN332" i="27"/>
  <c r="Y96" i="5"/>
  <c r="AN347" i="27"/>
  <c r="AG363" i="27"/>
  <c r="AQ254" i="3"/>
  <c r="AP321" i="3"/>
  <c r="AQ266" i="3"/>
  <c r="AQ258" i="3"/>
  <c r="AN365" i="27"/>
  <c r="AQ264" i="3"/>
  <c r="AQ243" i="3"/>
  <c r="AP306" i="3"/>
  <c r="AG345" i="27"/>
  <c r="AG341" i="27"/>
  <c r="AQ244" i="3"/>
  <c r="AP304" i="3"/>
  <c r="AS90" i="3"/>
  <c r="AP298" i="3"/>
  <c r="AP322" i="3"/>
  <c r="AA92" i="5"/>
  <c r="AQ262" i="3"/>
  <c r="AR153" i="3"/>
  <c r="AN340" i="27"/>
  <c r="AQ271" i="3"/>
  <c r="AQ263" i="3"/>
  <c r="AG360" i="27"/>
  <c r="AG357" i="27"/>
  <c r="AG354" i="27"/>
  <c r="AP303" i="3"/>
  <c r="AR155" i="3"/>
  <c r="AN322" i="27"/>
  <c r="AP310" i="3"/>
  <c r="AP332" i="3"/>
  <c r="AP305" i="3"/>
  <c r="AP335" i="3"/>
  <c r="AP288" i="3"/>
  <c r="AP318" i="3"/>
  <c r="AG359" i="27"/>
  <c r="AN326" i="27"/>
  <c r="AG351" i="27"/>
  <c r="Z95" i="5"/>
  <c r="AP333" i="3"/>
  <c r="AN335" i="27"/>
  <c r="AG335" i="27"/>
  <c r="AQ274" i="3"/>
  <c r="AN356" i="27"/>
  <c r="AP275" i="3"/>
  <c r="AG358" i="27"/>
  <c r="AS91" i="3"/>
  <c r="AR161" i="3"/>
  <c r="AG323" i="27"/>
  <c r="AR156" i="3"/>
  <c r="AR159" i="3"/>
  <c r="AP289" i="3"/>
  <c r="AR145" i="3"/>
  <c r="AP292" i="3"/>
  <c r="AP313" i="3"/>
  <c r="AP329" i="3"/>
  <c r="AG350" i="27"/>
  <c r="AG337" i="27"/>
  <c r="AN343" i="27"/>
  <c r="AG355" i="27"/>
  <c r="AG343" i="27"/>
  <c r="AN327" i="27"/>
  <c r="AN362" i="27"/>
  <c r="AP299" i="3"/>
  <c r="Z97" i="5"/>
  <c r="AP312" i="3"/>
  <c r="AN338" i="27"/>
  <c r="AP314" i="3"/>
  <c r="AQ249" i="3"/>
  <c r="AP307" i="3"/>
  <c r="AP291" i="3"/>
  <c r="AG365" i="27"/>
  <c r="AG349" i="27"/>
  <c r="Y97" i="5"/>
  <c r="AQ260" i="3"/>
  <c r="AN344" i="27"/>
  <c r="AN339" i="27"/>
  <c r="AP309" i="3"/>
  <c r="AG344" i="27"/>
  <c r="AP317" i="3"/>
  <c r="AG322" i="27"/>
  <c r="AQ257" i="3"/>
  <c r="AS81" i="3"/>
  <c r="AN336" i="27"/>
  <c r="AQ248" i="3"/>
  <c r="AN353" i="27"/>
  <c r="AP294" i="3"/>
  <c r="AN331" i="27"/>
  <c r="AN329" i="27"/>
  <c r="AS84" i="3"/>
  <c r="AQ270" i="3"/>
  <c r="AN352" i="27"/>
  <c r="AG353" i="27"/>
  <c r="AR149" i="3"/>
  <c r="AQ265" i="3"/>
  <c r="AB91" i="5"/>
  <c r="AB94" i="5"/>
  <c r="AP282" i="3"/>
  <c r="AG330" i="27"/>
  <c r="AR144" i="3"/>
  <c r="AN361" i="27"/>
  <c r="AQ251" i="3"/>
  <c r="AR154" i="3"/>
  <c r="AN320" i="27"/>
  <c r="AN333" i="27"/>
  <c r="AN321" i="27"/>
  <c r="Y95" i="5"/>
  <c r="AP277" i="3"/>
  <c r="AG334" i="27"/>
  <c r="AQ241" i="3"/>
  <c r="AR148" i="3"/>
  <c r="AP297" i="3"/>
  <c r="AQ255" i="3"/>
  <c r="AR158" i="3"/>
  <c r="AP276" i="3"/>
  <c r="AB92" i="5"/>
  <c r="AG356" i="27"/>
  <c r="AG328" i="27"/>
  <c r="AG346" i="27"/>
  <c r="AG338" i="27"/>
  <c r="AP334" i="3"/>
  <c r="AN351" i="27"/>
  <c r="AP302" i="3"/>
  <c r="AP326" i="3"/>
  <c r="AN337" i="27"/>
  <c r="AP278" i="3"/>
  <c r="AR160" i="3"/>
  <c r="AN345" i="27"/>
  <c r="AP315" i="3"/>
  <c r="AS86" i="3"/>
  <c r="AQ275" i="3"/>
  <c r="AN358" i="27"/>
  <c r="AG320" i="27"/>
  <c r="AN334" i="27"/>
  <c r="AN323" i="27"/>
  <c r="AN349" i="27"/>
  <c r="AP320" i="3"/>
  <c r="AP308" i="3"/>
  <c r="AP287" i="3"/>
  <c r="AG333" i="27"/>
  <c r="AN348" i="27"/>
  <c r="AG342" i="27"/>
  <c r="AP285" i="3"/>
  <c r="AN355" i="27"/>
  <c r="AQ272" i="3"/>
  <c r="AP290" i="3"/>
  <c r="AP296" i="3"/>
  <c r="AG327" i="27"/>
  <c r="AG336" i="27"/>
  <c r="AQ268" i="3"/>
  <c r="AN341" i="27"/>
  <c r="AG340" i="27"/>
  <c r="AS85" i="3"/>
  <c r="AP284" i="3"/>
  <c r="AG331" i="27"/>
  <c r="AP286" i="3"/>
  <c r="AG364" i="27"/>
  <c r="AS88" i="3"/>
  <c r="AA94" i="5"/>
  <c r="AP281" i="3"/>
  <c r="AQ261" i="3"/>
  <c r="AG347" i="27"/>
  <c r="AN359" i="27"/>
  <c r="AQ246" i="3"/>
  <c r="AN350" i="27"/>
  <c r="AA93" i="5"/>
  <c r="AQ256" i="3"/>
  <c r="AG348" i="27"/>
  <c r="AP283" i="3"/>
  <c r="AP337" i="3"/>
  <c r="AP301" i="3"/>
  <c r="AP331" i="3"/>
  <c r="AP324" i="3"/>
  <c r="AP295" i="3"/>
  <c r="AQ242" i="3"/>
  <c r="Z96" i="5"/>
  <c r="AS83" i="3"/>
  <c r="AN346" i="27"/>
  <c r="AG361" i="27"/>
  <c r="AQ267" i="3"/>
  <c r="AG362" i="27"/>
  <c r="AR150" i="3"/>
  <c r="AP311" i="3"/>
  <c r="AG329" i="27"/>
  <c r="AR157" i="3"/>
  <c r="AG332" i="27"/>
  <c r="AN364" i="27"/>
  <c r="AQ253" i="3"/>
  <c r="AR163" i="3"/>
  <c r="AP323" i="3"/>
  <c r="AN325" i="27"/>
  <c r="AP336" i="3"/>
  <c r="AP316" i="3"/>
  <c r="AS89" i="3"/>
  <c r="AR151" i="3"/>
  <c r="AN357" i="27"/>
  <c r="AP279" i="3"/>
  <c r="AQ252" i="3"/>
  <c r="AP327" i="3"/>
  <c r="AS92" i="3"/>
  <c r="AQ250" i="3"/>
  <c r="AP319" i="3"/>
  <c r="AR152" i="3"/>
  <c r="AN342" i="27"/>
  <c r="AG339" i="27"/>
  <c r="AQ269" i="3"/>
  <c r="AG325" i="27"/>
  <c r="AP328" i="3"/>
  <c r="HI274" i="27" l="1"/>
  <c r="HI247" i="27"/>
  <c r="DQ249" i="27"/>
  <c r="DQ256" i="27"/>
  <c r="HI248" i="27"/>
  <c r="DQ273" i="27"/>
  <c r="DQ247" i="27"/>
  <c r="HI254" i="27"/>
  <c r="HI267" i="27"/>
  <c r="HI257" i="27"/>
  <c r="DQ265" i="27"/>
  <c r="FM277" i="27"/>
  <c r="HI261" i="27"/>
  <c r="FM259" i="27"/>
  <c r="HI253" i="27"/>
  <c r="FS222" i="27"/>
  <c r="FM251" i="27"/>
  <c r="DW224" i="27"/>
  <c r="DW235" i="27"/>
  <c r="HI246" i="27"/>
  <c r="DW242" i="27"/>
  <c r="DQ278" i="27"/>
  <c r="DW278" i="27" s="1"/>
  <c r="HI266" i="27"/>
  <c r="FM247" i="27"/>
  <c r="DU214" i="27"/>
  <c r="DQ262" i="27"/>
  <c r="DQ258" i="27"/>
  <c r="FM268" i="27"/>
  <c r="HI251" i="27"/>
  <c r="FM244" i="27"/>
  <c r="FS244" i="27" s="1"/>
  <c r="HI275" i="27"/>
  <c r="FM269" i="27"/>
  <c r="FM266" i="27"/>
  <c r="HM218" i="27"/>
  <c r="HI258" i="27"/>
  <c r="DQ275" i="27"/>
  <c r="HI262" i="27"/>
  <c r="FM265" i="27"/>
  <c r="FS265" i="27" s="1"/>
  <c r="DQ257" i="27"/>
  <c r="DQ270" i="27"/>
  <c r="HI245" i="27"/>
  <c r="DQ267" i="27"/>
  <c r="HI250" i="27"/>
  <c r="FM273" i="27"/>
  <c r="HM229" i="27"/>
  <c r="FM257" i="27"/>
  <c r="FQ257" i="27" s="1"/>
  <c r="HI268" i="27"/>
  <c r="HI263" i="27"/>
  <c r="HM225" i="27"/>
  <c r="FM262" i="27"/>
  <c r="FM246" i="27"/>
  <c r="DQ245" i="27"/>
  <c r="DQ251" i="27"/>
  <c r="FM243" i="27"/>
  <c r="FS243" i="27" s="1"/>
  <c r="FM271" i="27"/>
  <c r="HI278" i="27"/>
  <c r="DQ264" i="27"/>
  <c r="FM267" i="27"/>
  <c r="HI265" i="27"/>
  <c r="FM250" i="27"/>
  <c r="DQ268" i="27"/>
  <c r="FM252" i="27"/>
  <c r="FS252" i="27" s="1"/>
  <c r="DQ274" i="27"/>
  <c r="HI276" i="27"/>
  <c r="HI272" i="27"/>
  <c r="HI243" i="27"/>
  <c r="FM270" i="27"/>
  <c r="FM249" i="27"/>
  <c r="HI277" i="27"/>
  <c r="DQ253" i="27"/>
  <c r="DU253" i="27" s="1"/>
  <c r="HI273" i="27"/>
  <c r="DQ259" i="27"/>
  <c r="FM275" i="27"/>
  <c r="DQ246" i="27"/>
  <c r="DQ276" i="27"/>
  <c r="DQ248" i="27"/>
  <c r="DQ254" i="27"/>
  <c r="HI249" i="27"/>
  <c r="HM249" i="27" s="1"/>
  <c r="DQ277" i="27"/>
  <c r="HI259" i="27"/>
  <c r="HI255" i="27"/>
  <c r="FM264" i="27"/>
  <c r="DQ250" i="27"/>
  <c r="FM263" i="27"/>
  <c r="DQ261" i="27"/>
  <c r="HI270" i="27"/>
  <c r="HO270" i="27" s="1"/>
  <c r="FM274" i="27"/>
  <c r="FM254" i="27"/>
  <c r="GQ360" i="27"/>
  <c r="CY360" i="27"/>
  <c r="EU360" i="27"/>
  <c r="CY357" i="27"/>
  <c r="GQ357" i="27"/>
  <c r="EU357" i="27"/>
  <c r="CY350" i="27"/>
  <c r="GQ350" i="27"/>
  <c r="EU350" i="27"/>
  <c r="GQ348" i="27"/>
  <c r="CY348" i="27"/>
  <c r="EU348" i="27"/>
  <c r="EU363" i="27"/>
  <c r="GQ363" i="27"/>
  <c r="CY363" i="27"/>
  <c r="CY347" i="27"/>
  <c r="GQ347" i="27"/>
  <c r="EU347" i="27"/>
  <c r="EU355" i="27"/>
  <c r="CY355" i="27"/>
  <c r="GQ355" i="27"/>
  <c r="EU361" i="27"/>
  <c r="GQ361" i="27"/>
  <c r="CY361" i="27"/>
  <c r="CY343" i="27"/>
  <c r="GQ343" i="27"/>
  <c r="EU343" i="27"/>
  <c r="CY344" i="27"/>
  <c r="GQ344" i="27"/>
  <c r="EU344" i="27"/>
  <c r="GQ346" i="27"/>
  <c r="EU346" i="27"/>
  <c r="CY346" i="27"/>
  <c r="EU364" i="27"/>
  <c r="CY364" i="27"/>
  <c r="GQ364" i="27"/>
  <c r="CY342" i="27"/>
  <c r="GQ342" i="27"/>
  <c r="EU342" i="27"/>
  <c r="EU351" i="27"/>
  <c r="GQ351" i="27"/>
  <c r="CY351" i="27"/>
  <c r="GQ358" i="27"/>
  <c r="CY358" i="27"/>
  <c r="EU358" i="27"/>
  <c r="GQ353" i="27"/>
  <c r="EU353" i="27"/>
  <c r="CY353" i="27"/>
  <c r="EU359" i="27"/>
  <c r="GQ359" i="27"/>
  <c r="CY359" i="27"/>
  <c r="CY362" i="27"/>
  <c r="GQ362" i="27"/>
  <c r="EU362" i="27"/>
  <c r="EU356" i="27"/>
  <c r="GQ356" i="27"/>
  <c r="CY356" i="27"/>
  <c r="CY345" i="27"/>
  <c r="GQ345" i="27"/>
  <c r="EU345" i="27"/>
  <c r="CY349" i="27"/>
  <c r="GQ349" i="27"/>
  <c r="EU349" i="27"/>
  <c r="EU365" i="27"/>
  <c r="GQ365" i="27"/>
  <c r="CY365" i="27"/>
  <c r="GQ354" i="27"/>
  <c r="EU354" i="27"/>
  <c r="CY354" i="27"/>
  <c r="CY352" i="27"/>
  <c r="GQ352" i="27"/>
  <c r="EU352" i="27"/>
  <c r="CY327" i="27"/>
  <c r="GQ327" i="27"/>
  <c r="EU327" i="27"/>
  <c r="EU328" i="27"/>
  <c r="GQ328" i="27"/>
  <c r="CY328" i="27"/>
  <c r="GQ337" i="27"/>
  <c r="EU337" i="27"/>
  <c r="CY337" i="27"/>
  <c r="CY320" i="27"/>
  <c r="GQ320" i="27"/>
  <c r="EU320" i="27"/>
  <c r="CY329" i="27"/>
  <c r="GQ329" i="27"/>
  <c r="EU329" i="27"/>
  <c r="CY334" i="27"/>
  <c r="GQ334" i="27"/>
  <c r="EU334" i="27"/>
  <c r="CY324" i="27"/>
  <c r="GQ324" i="27"/>
  <c r="EU324" i="27"/>
  <c r="GQ341" i="27"/>
  <c r="CY341" i="27"/>
  <c r="EU341" i="27"/>
  <c r="EU340" i="27"/>
  <c r="CY340" i="27"/>
  <c r="GQ340" i="27"/>
  <c r="CY321" i="27"/>
  <c r="GQ321" i="27"/>
  <c r="EU321" i="27"/>
  <c r="GQ338" i="27"/>
  <c r="EU338" i="27"/>
  <c r="CY338" i="27"/>
  <c r="EU335" i="27"/>
  <c r="CY335" i="27"/>
  <c r="GQ335" i="27"/>
  <c r="CY336" i="27"/>
  <c r="GQ336" i="27"/>
  <c r="EU336" i="27"/>
  <c r="CY326" i="27"/>
  <c r="EU326" i="27"/>
  <c r="GQ326" i="27"/>
  <c r="CY333" i="27"/>
  <c r="GQ333" i="27"/>
  <c r="EU333" i="27"/>
  <c r="CY332" i="27"/>
  <c r="EU332" i="27"/>
  <c r="GQ332" i="27"/>
  <c r="EU325" i="27"/>
  <c r="CY325" i="27"/>
  <c r="GQ325" i="27"/>
  <c r="CY331" i="27"/>
  <c r="EU331" i="27"/>
  <c r="GQ331" i="27"/>
  <c r="CY330" i="27"/>
  <c r="GQ330" i="27"/>
  <c r="EU330" i="27"/>
  <c r="EU322" i="27"/>
  <c r="GQ322" i="27"/>
  <c r="CY322" i="27"/>
  <c r="CY339" i="27"/>
  <c r="GQ339" i="27"/>
  <c r="EU339" i="27"/>
  <c r="CY323" i="27"/>
  <c r="EU323" i="27"/>
  <c r="GQ323" i="27"/>
  <c r="AF91" i="3"/>
  <c r="AF93" i="3"/>
  <c r="AF90" i="3"/>
  <c r="AF92" i="3"/>
  <c r="AD94" i="3"/>
  <c r="AD95" i="3"/>
  <c r="AD96" i="3"/>
  <c r="AT90" i="3"/>
  <c r="AT89" i="3"/>
  <c r="AT88" i="3"/>
  <c r="AT87" i="3"/>
  <c r="AT91" i="3"/>
  <c r="AT92" i="3"/>
  <c r="AT84" i="3"/>
  <c r="AT81" i="3"/>
  <c r="AT83" i="3"/>
  <c r="AT86" i="3"/>
  <c r="AT82" i="3"/>
  <c r="AT85" i="3"/>
  <c r="FA349" i="27"/>
  <c r="GW349" i="27"/>
  <c r="DE349" i="27"/>
  <c r="FA347" i="27"/>
  <c r="GW347" i="27"/>
  <c r="DE347" i="27"/>
  <c r="DE356" i="27"/>
  <c r="GW356" i="27"/>
  <c r="FA356" i="27"/>
  <c r="FA357" i="27"/>
  <c r="GW357" i="27"/>
  <c r="DE357" i="27"/>
  <c r="GW351" i="27"/>
  <c r="DE351" i="27"/>
  <c r="FA351" i="27"/>
  <c r="DE363" i="27"/>
  <c r="GW363" i="27"/>
  <c r="FA363" i="27"/>
  <c r="GW343" i="27"/>
  <c r="FA343" i="27"/>
  <c r="DE343" i="27"/>
  <c r="DE355" i="27"/>
  <c r="GW355" i="27"/>
  <c r="FA355" i="27"/>
  <c r="DE361" i="27"/>
  <c r="GW361" i="27"/>
  <c r="FA361" i="27"/>
  <c r="FA352" i="27"/>
  <c r="GW352" i="27"/>
  <c r="DE352" i="27"/>
  <c r="DE358" i="27"/>
  <c r="FA358" i="27"/>
  <c r="GW358" i="27"/>
  <c r="DE364" i="27"/>
  <c r="GW364" i="27"/>
  <c r="FA364" i="27"/>
  <c r="DE354" i="27"/>
  <c r="GW354" i="27"/>
  <c r="FA354" i="27"/>
  <c r="FA360" i="27"/>
  <c r="GW360" i="27"/>
  <c r="DE360" i="27"/>
  <c r="DE362" i="27"/>
  <c r="GW362" i="27"/>
  <c r="FA362" i="27"/>
  <c r="GW348" i="27"/>
  <c r="DE348" i="27"/>
  <c r="FA348" i="27"/>
  <c r="FA345" i="27"/>
  <c r="GW345" i="27"/>
  <c r="DE345" i="27"/>
  <c r="FA359" i="27"/>
  <c r="GW359" i="27"/>
  <c r="DE359" i="27"/>
  <c r="DE344" i="27"/>
  <c r="GW344" i="27"/>
  <c r="FA344" i="27"/>
  <c r="GW342" i="27"/>
  <c r="FA342" i="27"/>
  <c r="DE342" i="27"/>
  <c r="DE365" i="27"/>
  <c r="GW365" i="27"/>
  <c r="FA365" i="27"/>
  <c r="GW346" i="27"/>
  <c r="FA346" i="27"/>
  <c r="DE346" i="27"/>
  <c r="DE353" i="27"/>
  <c r="GW353" i="27"/>
  <c r="FA353" i="27"/>
  <c r="DE350" i="27"/>
  <c r="GW350" i="27"/>
  <c r="FA350" i="27"/>
  <c r="GW325" i="27"/>
  <c r="FA325" i="27"/>
  <c r="DE325" i="27"/>
  <c r="DE332" i="27"/>
  <c r="GW332" i="27"/>
  <c r="FA332" i="27"/>
  <c r="DE322" i="27"/>
  <c r="GW322" i="27"/>
  <c r="FA322" i="27"/>
  <c r="FA333" i="27"/>
  <c r="DE333" i="27"/>
  <c r="GW333" i="27"/>
  <c r="GW329" i="27"/>
  <c r="FA329" i="27"/>
  <c r="DE329" i="27"/>
  <c r="DE327" i="27"/>
  <c r="GW327" i="27"/>
  <c r="FA327" i="27"/>
  <c r="DE328" i="27"/>
  <c r="GW328" i="27"/>
  <c r="FA328" i="27"/>
  <c r="DE334" i="27"/>
  <c r="FA334" i="27"/>
  <c r="GW334" i="27"/>
  <c r="DE331" i="27"/>
  <c r="GW331" i="27"/>
  <c r="FA331" i="27"/>
  <c r="DE326" i="27"/>
  <c r="FA326" i="27"/>
  <c r="GW326" i="27"/>
  <c r="FA336" i="27"/>
  <c r="DE336" i="27"/>
  <c r="GW336" i="27"/>
  <c r="DE339" i="27"/>
  <c r="GW339" i="27"/>
  <c r="FA339" i="27"/>
  <c r="GW337" i="27"/>
  <c r="FA337" i="27"/>
  <c r="DE337" i="27"/>
  <c r="DE341" i="27"/>
  <c r="GW341" i="27"/>
  <c r="FA341" i="27"/>
  <c r="DE323" i="27"/>
  <c r="GW323" i="27"/>
  <c r="FA323" i="27"/>
  <c r="FA340" i="27"/>
  <c r="GW340" i="27"/>
  <c r="DE340" i="27"/>
  <c r="DE324" i="27"/>
  <c r="GW324" i="27"/>
  <c r="FA324" i="27"/>
  <c r="FA320" i="27"/>
  <c r="DE320" i="27"/>
  <c r="GW320" i="27"/>
  <c r="DE335" i="27"/>
  <c r="GW335" i="27"/>
  <c r="FA335" i="27"/>
  <c r="FA338" i="27"/>
  <c r="DE338" i="27"/>
  <c r="GW338" i="27"/>
  <c r="GW321" i="27"/>
  <c r="FA321" i="27"/>
  <c r="DE321" i="27"/>
  <c r="FA330" i="27"/>
  <c r="GW330" i="27"/>
  <c r="DE330" i="27"/>
  <c r="AC96" i="3"/>
  <c r="AC95" i="3"/>
  <c r="AC94" i="3"/>
  <c r="AE90" i="3"/>
  <c r="AE91" i="3"/>
  <c r="AE92" i="3"/>
  <c r="AE93" i="3"/>
  <c r="FQ272" i="27"/>
  <c r="FS272" i="27"/>
  <c r="HO262" i="27"/>
  <c r="HM262" i="27"/>
  <c r="DW265" i="27"/>
  <c r="DU265" i="27"/>
  <c r="DW277" i="27"/>
  <c r="DU277" i="27"/>
  <c r="DU262" i="27"/>
  <c r="DW262" i="27"/>
  <c r="HM259" i="27"/>
  <c r="HO259" i="27"/>
  <c r="DW259" i="27"/>
  <c r="DU259" i="27"/>
  <c r="HO269" i="27"/>
  <c r="HM269" i="27"/>
  <c r="HO246" i="27"/>
  <c r="HM246" i="27"/>
  <c r="HO256" i="27"/>
  <c r="HM256" i="27"/>
  <c r="FQ264" i="27"/>
  <c r="FS264" i="27"/>
  <c r="FS256" i="27"/>
  <c r="FQ256" i="27"/>
  <c r="DU250" i="27"/>
  <c r="DW250" i="27"/>
  <c r="DW276" i="27"/>
  <c r="DU276" i="27"/>
  <c r="DU248" i="27"/>
  <c r="DW248" i="27"/>
  <c r="DU254" i="27"/>
  <c r="DW254" i="27"/>
  <c r="FQ275" i="27"/>
  <c r="FS275" i="27"/>
  <c r="DW245" i="27"/>
  <c r="DU245" i="27"/>
  <c r="HO267" i="27"/>
  <c r="HM267" i="27"/>
  <c r="HM255" i="27"/>
  <c r="HO255" i="27"/>
  <c r="DU269" i="27"/>
  <c r="DW269" i="27"/>
  <c r="HM258" i="27"/>
  <c r="HO258" i="27"/>
  <c r="HO250" i="27"/>
  <c r="HM250" i="27"/>
  <c r="FS258" i="27"/>
  <c r="FQ258" i="27"/>
  <c r="HO278" i="27"/>
  <c r="HM278" i="27"/>
  <c r="HO261" i="27"/>
  <c r="HM261" i="27"/>
  <c r="DW264" i="27"/>
  <c r="DU264" i="27"/>
  <c r="FQ267" i="27"/>
  <c r="FS267" i="27"/>
  <c r="FS263" i="27"/>
  <c r="FQ263" i="27"/>
  <c r="DW261" i="27"/>
  <c r="DU261" i="27"/>
  <c r="FQ274" i="27"/>
  <c r="FS274" i="27"/>
  <c r="FS254" i="27"/>
  <c r="FQ254" i="27"/>
  <c r="DU246" i="27"/>
  <c r="DW246" i="27"/>
  <c r="FQ271" i="27"/>
  <c r="FS271" i="27"/>
  <c r="DU278" i="27"/>
  <c r="FS253" i="27"/>
  <c r="FQ253" i="27"/>
  <c r="FQ250" i="27"/>
  <c r="FS250" i="27"/>
  <c r="HM245" i="27"/>
  <c r="HO245" i="27"/>
  <c r="FS251" i="27"/>
  <c r="FQ251" i="27"/>
  <c r="HO247" i="27"/>
  <c r="HM247" i="27"/>
  <c r="DW251" i="27"/>
  <c r="DU251" i="27"/>
  <c r="DW268" i="27"/>
  <c r="DU268" i="27"/>
  <c r="DW274" i="27"/>
  <c r="DU274" i="27"/>
  <c r="HO276" i="27"/>
  <c r="HM276" i="27"/>
  <c r="HO265" i="27"/>
  <c r="HM265" i="27"/>
  <c r="FS269" i="27"/>
  <c r="FQ269" i="27"/>
  <c r="HO252" i="27"/>
  <c r="HM252" i="27"/>
  <c r="FQ246" i="27"/>
  <c r="FS246" i="27"/>
  <c r="DU247" i="27"/>
  <c r="DW247" i="27"/>
  <c r="HO254" i="27"/>
  <c r="HM254" i="27"/>
  <c r="HO260" i="27"/>
  <c r="HM260" i="27"/>
  <c r="DW270" i="27"/>
  <c r="DU270" i="27"/>
  <c r="FS260" i="27"/>
  <c r="FQ260" i="27"/>
  <c r="HO272" i="27"/>
  <c r="HM272" i="27"/>
  <c r="HM243" i="27"/>
  <c r="HO243" i="27"/>
  <c r="FS270" i="27"/>
  <c r="FQ270" i="27"/>
  <c r="FS249" i="27"/>
  <c r="FQ249" i="27"/>
  <c r="FS266" i="27"/>
  <c r="FQ266" i="27"/>
  <c r="HM277" i="27"/>
  <c r="HO277" i="27"/>
  <c r="DU252" i="27"/>
  <c r="DW252" i="27"/>
  <c r="HM273" i="27"/>
  <c r="HO273" i="27"/>
  <c r="HO271" i="27"/>
  <c r="HM271" i="27"/>
  <c r="DW257" i="27"/>
  <c r="DU257" i="27"/>
  <c r="DU271" i="27"/>
  <c r="DW271" i="27"/>
  <c r="GT286" i="27"/>
  <c r="HG286" i="27"/>
  <c r="GV286" i="27"/>
  <c r="GU286" i="27"/>
  <c r="HG308" i="27"/>
  <c r="GT308" i="27"/>
  <c r="GU308" i="27"/>
  <c r="GV308" i="27"/>
  <c r="GJ336" i="27"/>
  <c r="GI336" i="27"/>
  <c r="HE336" i="27"/>
  <c r="GH336" i="27"/>
  <c r="FI349" i="27"/>
  <c r="EL349" i="27"/>
  <c r="EN349" i="27"/>
  <c r="EM349" i="27"/>
  <c r="DM347" i="27"/>
  <c r="CP347" i="27"/>
  <c r="CR347" i="27"/>
  <c r="CQ347" i="27"/>
  <c r="GN361" i="27"/>
  <c r="HF361" i="27"/>
  <c r="GO361" i="27"/>
  <c r="GP361" i="27"/>
  <c r="DP284" i="27"/>
  <c r="DH284" i="27"/>
  <c r="DJ284" i="27"/>
  <c r="DI284" i="27"/>
  <c r="HB299" i="27"/>
  <c r="GZ299" i="27"/>
  <c r="HH299" i="27"/>
  <c r="HA299" i="27"/>
  <c r="DW244" i="27"/>
  <c r="DU244" i="27"/>
  <c r="DU255" i="27"/>
  <c r="DW255" i="27"/>
  <c r="BH87" i="31"/>
  <c r="AV87" i="31"/>
  <c r="BB87" i="31" s="1"/>
  <c r="BF93" i="31"/>
  <c r="AT93" i="31"/>
  <c r="AZ93" i="31" s="1"/>
  <c r="CG24" i="23"/>
  <c r="CG21" i="23"/>
  <c r="CG25" i="23"/>
  <c r="CG22" i="23"/>
  <c r="CG23" i="23"/>
  <c r="O91" i="31"/>
  <c r="AI91" i="31" s="1"/>
  <c r="AK87" i="3"/>
  <c r="EZ289" i="27"/>
  <c r="EY289" i="27"/>
  <c r="EX289" i="27"/>
  <c r="FK289" i="27"/>
  <c r="EZ282" i="27"/>
  <c r="EX282" i="27"/>
  <c r="EY282" i="27"/>
  <c r="FK282" i="27"/>
  <c r="EY286" i="27"/>
  <c r="EX286" i="27"/>
  <c r="FK286" i="27"/>
  <c r="EZ286" i="27"/>
  <c r="DC280" i="27"/>
  <c r="DB280" i="27"/>
  <c r="DD280" i="27"/>
  <c r="DO280" i="27"/>
  <c r="DC288" i="27"/>
  <c r="DD288" i="27"/>
  <c r="DO288" i="27"/>
  <c r="DB288" i="27"/>
  <c r="FK285" i="27"/>
  <c r="EY285" i="27"/>
  <c r="EX285" i="27"/>
  <c r="EZ285" i="27"/>
  <c r="EX284" i="27"/>
  <c r="FK284" i="27"/>
  <c r="EY284" i="27"/>
  <c r="EZ284" i="27"/>
  <c r="GV303" i="27"/>
  <c r="HG303" i="27"/>
  <c r="GU303" i="27"/>
  <c r="GT303" i="27"/>
  <c r="EZ301" i="27"/>
  <c r="EX301" i="27"/>
  <c r="FK301" i="27"/>
  <c r="EY301" i="27"/>
  <c r="EX316" i="27"/>
  <c r="EY316" i="27"/>
  <c r="FK316" i="27"/>
  <c r="EZ316" i="27"/>
  <c r="DB308" i="27"/>
  <c r="DO308" i="27"/>
  <c r="DD308" i="27"/>
  <c r="DC308" i="27"/>
  <c r="HG318" i="27"/>
  <c r="GU318" i="27"/>
  <c r="GV318" i="27"/>
  <c r="GT318" i="27"/>
  <c r="GT310" i="27"/>
  <c r="GV310" i="27"/>
  <c r="HG310" i="27"/>
  <c r="GU310" i="27"/>
  <c r="EZ300" i="27"/>
  <c r="EX300" i="27"/>
  <c r="EY300" i="27"/>
  <c r="FK300" i="27"/>
  <c r="GT315" i="27"/>
  <c r="GU315" i="27"/>
  <c r="GV315" i="27"/>
  <c r="HG315" i="27"/>
  <c r="M97" i="31"/>
  <c r="AG97" i="31" s="1"/>
  <c r="AI93" i="3"/>
  <c r="GH332" i="27"/>
  <c r="GI332" i="27"/>
  <c r="GJ332" i="27"/>
  <c r="HE332" i="27"/>
  <c r="GI333" i="27"/>
  <c r="HE333" i="27"/>
  <c r="GH333" i="27"/>
  <c r="GJ333" i="27"/>
  <c r="EL336" i="27"/>
  <c r="EM336" i="27"/>
  <c r="EN336" i="27"/>
  <c r="FI336" i="27"/>
  <c r="EL335" i="27"/>
  <c r="EN335" i="27"/>
  <c r="EM335" i="27"/>
  <c r="FI335" i="27"/>
  <c r="EM326" i="27"/>
  <c r="FI326" i="27"/>
  <c r="EL326" i="27"/>
  <c r="EN326" i="27"/>
  <c r="CR334" i="27"/>
  <c r="DM334" i="27"/>
  <c r="CQ334" i="27"/>
  <c r="CP334" i="27"/>
  <c r="CQ322" i="27"/>
  <c r="DM322" i="27"/>
  <c r="CP322" i="27"/>
  <c r="CR322" i="27"/>
  <c r="CR320" i="27"/>
  <c r="CQ320" i="27"/>
  <c r="DM320" i="27"/>
  <c r="CP320" i="27"/>
  <c r="HE354" i="27"/>
  <c r="GI354" i="27"/>
  <c r="GH354" i="27"/>
  <c r="GJ354" i="27"/>
  <c r="EM356" i="27"/>
  <c r="FI356" i="27"/>
  <c r="EL356" i="27"/>
  <c r="EN356" i="27"/>
  <c r="CR357" i="27"/>
  <c r="DM357" i="27"/>
  <c r="CP357" i="27"/>
  <c r="CQ357" i="27"/>
  <c r="GJ365" i="27"/>
  <c r="GH365" i="27"/>
  <c r="HE365" i="27"/>
  <c r="GI365" i="27"/>
  <c r="FI343" i="27"/>
  <c r="EL343" i="27"/>
  <c r="EM343" i="27"/>
  <c r="EN343" i="27"/>
  <c r="EM351" i="27"/>
  <c r="EN351" i="27"/>
  <c r="FI351" i="27"/>
  <c r="EL351" i="27"/>
  <c r="GI363" i="27"/>
  <c r="HE363" i="27"/>
  <c r="GH363" i="27"/>
  <c r="GJ363" i="27"/>
  <c r="DM355" i="27"/>
  <c r="CP355" i="27"/>
  <c r="CQ355" i="27"/>
  <c r="CR355" i="27"/>
  <c r="FI347" i="27"/>
  <c r="EN347" i="27"/>
  <c r="EL347" i="27"/>
  <c r="EM347" i="27"/>
  <c r="GO343" i="27"/>
  <c r="HF343" i="27"/>
  <c r="GN343" i="27"/>
  <c r="GP343" i="27"/>
  <c r="CX350" i="27"/>
  <c r="DN350" i="27"/>
  <c r="CW350" i="27"/>
  <c r="CV350" i="27"/>
  <c r="CV359" i="27"/>
  <c r="CX359" i="27"/>
  <c r="CW359" i="27"/>
  <c r="DN359" i="27"/>
  <c r="GO351" i="27"/>
  <c r="GN351" i="27"/>
  <c r="HF351" i="27"/>
  <c r="GP351" i="27"/>
  <c r="ES365" i="27"/>
  <c r="FJ365" i="27"/>
  <c r="ER365" i="27"/>
  <c r="ET365" i="27"/>
  <c r="CX344" i="27"/>
  <c r="DN344" i="27"/>
  <c r="CV344" i="27"/>
  <c r="CW344" i="27"/>
  <c r="CW352" i="27"/>
  <c r="DN352" i="27"/>
  <c r="CV352" i="27"/>
  <c r="CX352" i="27"/>
  <c r="CV347" i="27"/>
  <c r="CX347" i="27"/>
  <c r="CW347" i="27"/>
  <c r="DN347" i="27"/>
  <c r="GP364" i="27"/>
  <c r="HF364" i="27"/>
  <c r="GO364" i="27"/>
  <c r="GN364" i="27"/>
  <c r="FL279" i="27"/>
  <c r="FE279" i="27"/>
  <c r="FD279" i="27"/>
  <c r="FF279" i="27"/>
  <c r="HA281" i="27"/>
  <c r="HH281" i="27"/>
  <c r="GZ281" i="27"/>
  <c r="HB281" i="27"/>
  <c r="HB296" i="27"/>
  <c r="HA296" i="27"/>
  <c r="GZ296" i="27"/>
  <c r="HH296" i="27"/>
  <c r="FL284" i="27"/>
  <c r="FF284" i="27"/>
  <c r="FE284" i="27"/>
  <c r="FD284" i="27"/>
  <c r="FL283" i="27"/>
  <c r="FD283" i="27"/>
  <c r="FE283" i="27"/>
  <c r="FF283" i="27"/>
  <c r="DP290" i="27"/>
  <c r="DH290" i="27"/>
  <c r="DI290" i="27"/>
  <c r="DJ290" i="27"/>
  <c r="HH285" i="27"/>
  <c r="HA285" i="27"/>
  <c r="HB285" i="27"/>
  <c r="GZ285" i="27"/>
  <c r="HA308" i="27"/>
  <c r="GZ308" i="27"/>
  <c r="HH308" i="27"/>
  <c r="HB308" i="27"/>
  <c r="FE314" i="27"/>
  <c r="FL314" i="27"/>
  <c r="FM314" i="27" s="1"/>
  <c r="FD314" i="27"/>
  <c r="FF314" i="27"/>
  <c r="FE301" i="27"/>
  <c r="FD301" i="27"/>
  <c r="FF301" i="27"/>
  <c r="FL301" i="27"/>
  <c r="DH305" i="27"/>
  <c r="DI305" i="27"/>
  <c r="DJ305" i="27"/>
  <c r="DP305" i="27"/>
  <c r="FE303" i="27"/>
  <c r="FD303" i="27"/>
  <c r="FL303" i="27"/>
  <c r="FF303" i="27"/>
  <c r="GZ310" i="27"/>
  <c r="HB310" i="27"/>
  <c r="HA310" i="27"/>
  <c r="HH310" i="27"/>
  <c r="HB319" i="27"/>
  <c r="GZ319" i="27"/>
  <c r="HA319" i="27"/>
  <c r="HH319" i="27"/>
  <c r="DI304" i="27"/>
  <c r="DP304" i="27"/>
  <c r="DQ304" i="27" s="1"/>
  <c r="DJ304" i="27"/>
  <c r="DH304" i="27"/>
  <c r="L107" i="31"/>
  <c r="AF107" i="31" s="1"/>
  <c r="AH103" i="3"/>
  <c r="BH88" i="31"/>
  <c r="AV88" i="31"/>
  <c r="BB88" i="31" s="1"/>
  <c r="HM266" i="27"/>
  <c r="HO266" i="27"/>
  <c r="HG296" i="27"/>
  <c r="GV296" i="27"/>
  <c r="GT296" i="27"/>
  <c r="GU296" i="27"/>
  <c r="DC318" i="27"/>
  <c r="DO318" i="27"/>
  <c r="DB318" i="27"/>
  <c r="DD318" i="27"/>
  <c r="EL337" i="27"/>
  <c r="EM337" i="27"/>
  <c r="FI337" i="27"/>
  <c r="EN337" i="27"/>
  <c r="HE357" i="27"/>
  <c r="GJ357" i="27"/>
  <c r="GI357" i="27"/>
  <c r="GH357" i="27"/>
  <c r="CV343" i="27"/>
  <c r="DN343" i="27"/>
  <c r="CX343" i="27"/>
  <c r="CW343" i="27"/>
  <c r="GN352" i="27"/>
  <c r="GP352" i="27"/>
  <c r="GO352" i="27"/>
  <c r="HF352" i="27"/>
  <c r="HA290" i="27"/>
  <c r="HH290" i="27"/>
  <c r="GZ290" i="27"/>
  <c r="HB290" i="27"/>
  <c r="DI303" i="27"/>
  <c r="DJ303" i="27"/>
  <c r="DP303" i="27"/>
  <c r="DH303" i="27"/>
  <c r="HM257" i="27"/>
  <c r="HO257" i="27"/>
  <c r="BG89" i="31"/>
  <c r="AU89" i="31"/>
  <c r="BA89" i="31" s="1"/>
  <c r="HM274" i="27"/>
  <c r="HO274" i="27"/>
  <c r="FS276" i="27"/>
  <c r="FQ276" i="27"/>
  <c r="DU256" i="27"/>
  <c r="DW256" i="27"/>
  <c r="DU275" i="27"/>
  <c r="DW275" i="27"/>
  <c r="HM248" i="27"/>
  <c r="HO248" i="27"/>
  <c r="O92" i="31"/>
  <c r="AI92" i="31" s="1"/>
  <c r="AK88" i="3"/>
  <c r="GU289" i="27"/>
  <c r="GT289" i="27"/>
  <c r="HG289" i="27"/>
  <c r="GV289" i="27"/>
  <c r="HG297" i="27"/>
  <c r="GU297" i="27"/>
  <c r="GV297" i="27"/>
  <c r="GT297" i="27"/>
  <c r="DD286" i="27"/>
  <c r="DO286" i="27"/>
  <c r="DB286" i="27"/>
  <c r="DC286" i="27"/>
  <c r="EX280" i="27"/>
  <c r="EY280" i="27"/>
  <c r="FK280" i="27"/>
  <c r="EZ280" i="27"/>
  <c r="EY294" i="27"/>
  <c r="FK294" i="27"/>
  <c r="EZ294" i="27"/>
  <c r="EX294" i="27"/>
  <c r="GU285" i="27"/>
  <c r="GT285" i="27"/>
  <c r="HG285" i="27"/>
  <c r="GV285" i="27"/>
  <c r="GV284" i="27"/>
  <c r="GU284" i="27"/>
  <c r="GT284" i="27"/>
  <c r="HG284" i="27"/>
  <c r="DO305" i="27"/>
  <c r="DB305" i="27"/>
  <c r="DC305" i="27"/>
  <c r="DD305" i="27"/>
  <c r="GU301" i="27"/>
  <c r="GT301" i="27"/>
  <c r="HG301" i="27"/>
  <c r="GV301" i="27"/>
  <c r="HG316" i="27"/>
  <c r="GT316" i="27"/>
  <c r="GU316" i="27"/>
  <c r="GV316" i="27"/>
  <c r="GT302" i="27"/>
  <c r="GU302" i="27"/>
  <c r="GV302" i="27"/>
  <c r="HG302" i="27"/>
  <c r="EY318" i="27"/>
  <c r="EX318" i="27"/>
  <c r="EZ318" i="27"/>
  <c r="FK318" i="27"/>
  <c r="EX310" i="27"/>
  <c r="EY310" i="27"/>
  <c r="EZ310" i="27"/>
  <c r="FK310" i="27"/>
  <c r="GT314" i="27"/>
  <c r="HG314" i="27"/>
  <c r="GV314" i="27"/>
  <c r="GU314" i="27"/>
  <c r="DB315" i="27"/>
  <c r="DD315" i="27"/>
  <c r="DO315" i="27"/>
  <c r="DC315" i="27"/>
  <c r="M94" i="31"/>
  <c r="AG94" i="31" s="1"/>
  <c r="AI90" i="3"/>
  <c r="CQ332" i="27"/>
  <c r="CP332" i="27"/>
  <c r="CR332" i="27"/>
  <c r="DM332" i="27"/>
  <c r="EM339" i="27"/>
  <c r="FI339" i="27"/>
  <c r="EL339" i="27"/>
  <c r="EN339" i="27"/>
  <c r="CR336" i="27"/>
  <c r="CP336" i="27"/>
  <c r="CQ336" i="27"/>
  <c r="DM336" i="27"/>
  <c r="CP335" i="27"/>
  <c r="CR335" i="27"/>
  <c r="DM335" i="27"/>
  <c r="CQ335" i="27"/>
  <c r="EN341" i="27"/>
  <c r="EM341" i="27"/>
  <c r="FI341" i="27"/>
  <c r="EL341" i="27"/>
  <c r="HE334" i="27"/>
  <c r="GH334" i="27"/>
  <c r="GI334" i="27"/>
  <c r="GJ334" i="27"/>
  <c r="HE322" i="27"/>
  <c r="GH322" i="27"/>
  <c r="GJ322" i="27"/>
  <c r="GI322" i="27"/>
  <c r="EL338" i="27"/>
  <c r="EN338" i="27"/>
  <c r="EM338" i="27"/>
  <c r="FI338" i="27"/>
  <c r="EL354" i="27"/>
  <c r="EN354" i="27"/>
  <c r="EM354" i="27"/>
  <c r="FI354" i="27"/>
  <c r="HE356" i="27"/>
  <c r="GH356" i="27"/>
  <c r="GJ356" i="27"/>
  <c r="GI356" i="27"/>
  <c r="CQ360" i="27"/>
  <c r="CP360" i="27"/>
  <c r="CR360" i="27"/>
  <c r="DM360" i="27"/>
  <c r="CP365" i="27"/>
  <c r="CR365" i="27"/>
  <c r="CQ365" i="27"/>
  <c r="DM365" i="27"/>
  <c r="GH343" i="27"/>
  <c r="HE343" i="27"/>
  <c r="GI343" i="27"/>
  <c r="GJ343" i="27"/>
  <c r="EL361" i="27"/>
  <c r="EN361" i="27"/>
  <c r="EM361" i="27"/>
  <c r="FI361" i="27"/>
  <c r="CQ363" i="27"/>
  <c r="DM363" i="27"/>
  <c r="CR363" i="27"/>
  <c r="CP363" i="27"/>
  <c r="EL355" i="27"/>
  <c r="EM355" i="27"/>
  <c r="EN355" i="27"/>
  <c r="FI355" i="27"/>
  <c r="EN350" i="27"/>
  <c r="FI350" i="27"/>
  <c r="EM350" i="27"/>
  <c r="EL350" i="27"/>
  <c r="ES343" i="27"/>
  <c r="ER343" i="27"/>
  <c r="ET343" i="27"/>
  <c r="FJ343" i="27"/>
  <c r="HF350" i="27"/>
  <c r="GN350" i="27"/>
  <c r="GP350" i="27"/>
  <c r="GO350" i="27"/>
  <c r="GP363" i="27"/>
  <c r="HF363" i="27"/>
  <c r="GN363" i="27"/>
  <c r="GO363" i="27"/>
  <c r="CW351" i="27"/>
  <c r="CV351" i="27"/>
  <c r="CX351" i="27"/>
  <c r="DN351" i="27"/>
  <c r="GO365" i="27"/>
  <c r="GN365" i="27"/>
  <c r="GP365" i="27"/>
  <c r="HF365" i="27"/>
  <c r="FJ349" i="27"/>
  <c r="ER349" i="27"/>
  <c r="ET349" i="27"/>
  <c r="ES349" i="27"/>
  <c r="FJ352" i="27"/>
  <c r="ER352" i="27"/>
  <c r="ET352" i="27"/>
  <c r="ES352" i="27"/>
  <c r="ER347" i="27"/>
  <c r="ET347" i="27"/>
  <c r="ES347" i="27"/>
  <c r="FJ347" i="27"/>
  <c r="GN356" i="27"/>
  <c r="GO356" i="27"/>
  <c r="GP356" i="27"/>
  <c r="HF356" i="27"/>
  <c r="HA279" i="27"/>
  <c r="HH279" i="27"/>
  <c r="HB279" i="27"/>
  <c r="GZ279" i="27"/>
  <c r="DH281" i="27"/>
  <c r="DI281" i="27"/>
  <c r="DJ281" i="27"/>
  <c r="DP281" i="27"/>
  <c r="HA297" i="27"/>
  <c r="HB297" i="27"/>
  <c r="HH297" i="27"/>
  <c r="GZ297" i="27"/>
  <c r="HH284" i="27"/>
  <c r="GZ284" i="27"/>
  <c r="HB284" i="27"/>
  <c r="HA284" i="27"/>
  <c r="HB283" i="27"/>
  <c r="HA283" i="27"/>
  <c r="HH283" i="27"/>
  <c r="GZ283" i="27"/>
  <c r="DJ286" i="27"/>
  <c r="DP286" i="27"/>
  <c r="DH286" i="27"/>
  <c r="DI286" i="27"/>
  <c r="DJ285" i="27"/>
  <c r="DP285" i="27"/>
  <c r="DH285" i="27"/>
  <c r="DI285" i="27"/>
  <c r="DH308" i="27"/>
  <c r="DI308" i="27"/>
  <c r="DJ308" i="27"/>
  <c r="DP308" i="27"/>
  <c r="FE312" i="27"/>
  <c r="FF312" i="27"/>
  <c r="FD312" i="27"/>
  <c r="FL312" i="27"/>
  <c r="GZ301" i="27"/>
  <c r="HH301" i="27"/>
  <c r="HA301" i="27"/>
  <c r="HB301" i="27"/>
  <c r="FF305" i="27"/>
  <c r="FD305" i="27"/>
  <c r="FL305" i="27"/>
  <c r="FE305" i="27"/>
  <c r="DH315" i="27"/>
  <c r="DJ315" i="27"/>
  <c r="DI315" i="27"/>
  <c r="DP315" i="27"/>
  <c r="FD310" i="27"/>
  <c r="FL310" i="27"/>
  <c r="FF310" i="27"/>
  <c r="FE310" i="27"/>
  <c r="DI319" i="27"/>
  <c r="DH319" i="27"/>
  <c r="DJ319" i="27"/>
  <c r="DP319" i="27"/>
  <c r="FE306" i="27"/>
  <c r="FF306" i="27"/>
  <c r="FL306" i="27"/>
  <c r="FD306" i="27"/>
  <c r="L106" i="31"/>
  <c r="AF106" i="31" s="1"/>
  <c r="AH102" i="3"/>
  <c r="HO253" i="27"/>
  <c r="HM253" i="27"/>
  <c r="FS273" i="27"/>
  <c r="FQ273" i="27"/>
  <c r="HG288" i="27"/>
  <c r="GT288" i="27"/>
  <c r="GU288" i="27"/>
  <c r="GV288" i="27"/>
  <c r="DC304" i="27"/>
  <c r="DO304" i="27"/>
  <c r="DD304" i="27"/>
  <c r="DB304" i="27"/>
  <c r="CQ329" i="27"/>
  <c r="CP329" i="27"/>
  <c r="CR329" i="27"/>
  <c r="DM329" i="27"/>
  <c r="GH320" i="27"/>
  <c r="GJ320" i="27"/>
  <c r="HE320" i="27"/>
  <c r="GI320" i="27"/>
  <c r="EL363" i="27"/>
  <c r="EN363" i="27"/>
  <c r="EM363" i="27"/>
  <c r="FI363" i="27"/>
  <c r="ES348" i="27"/>
  <c r="FJ348" i="27"/>
  <c r="ER348" i="27"/>
  <c r="ET348" i="27"/>
  <c r="HB289" i="27"/>
  <c r="HA289" i="27"/>
  <c r="HH289" i="27"/>
  <c r="GZ289" i="27"/>
  <c r="DJ314" i="27"/>
  <c r="DH314" i="27"/>
  <c r="DP314" i="27"/>
  <c r="DI314" i="27"/>
  <c r="L104" i="31"/>
  <c r="AF104" i="31" s="1"/>
  <c r="AH100" i="3"/>
  <c r="DU266" i="27"/>
  <c r="DW266" i="27"/>
  <c r="HM264" i="27"/>
  <c r="HO264" i="27"/>
  <c r="BE93" i="31"/>
  <c r="AS93" i="31"/>
  <c r="AY93" i="31" s="1"/>
  <c r="HO268" i="27"/>
  <c r="HM268" i="27"/>
  <c r="FQ247" i="27"/>
  <c r="FS247" i="27"/>
  <c r="HO263" i="27"/>
  <c r="HM263" i="27"/>
  <c r="FM261" i="27"/>
  <c r="DU258" i="27"/>
  <c r="DW258" i="27"/>
  <c r="GU283" i="27"/>
  <c r="GV283" i="27"/>
  <c r="GT283" i="27"/>
  <c r="HG283" i="27"/>
  <c r="DB289" i="27"/>
  <c r="DD289" i="27"/>
  <c r="DC289" i="27"/>
  <c r="DO289" i="27"/>
  <c r="EZ297" i="27"/>
  <c r="EY297" i="27"/>
  <c r="FK297" i="27"/>
  <c r="EX297" i="27"/>
  <c r="DO281" i="27"/>
  <c r="DD281" i="27"/>
  <c r="DC281" i="27"/>
  <c r="DB281" i="27"/>
  <c r="GT280" i="27"/>
  <c r="GV280" i="27"/>
  <c r="HG280" i="27"/>
  <c r="GU280" i="27"/>
  <c r="DC294" i="27"/>
  <c r="DB294" i="27"/>
  <c r="DO294" i="27"/>
  <c r="DD294" i="27"/>
  <c r="EZ279" i="27"/>
  <c r="FK279" i="27"/>
  <c r="EX279" i="27"/>
  <c r="EY279" i="27"/>
  <c r="DD284" i="27"/>
  <c r="DO284" i="27"/>
  <c r="DC284" i="27"/>
  <c r="DB284" i="27"/>
  <c r="FK305" i="27"/>
  <c r="EZ305" i="27"/>
  <c r="EX305" i="27"/>
  <c r="EY305" i="27"/>
  <c r="DC313" i="27"/>
  <c r="DO313" i="27"/>
  <c r="DB313" i="27"/>
  <c r="DD313" i="27"/>
  <c r="DC316" i="27"/>
  <c r="DB316" i="27"/>
  <c r="DD316" i="27"/>
  <c r="DO316" i="27"/>
  <c r="EY302" i="27"/>
  <c r="EX302" i="27"/>
  <c r="FK302" i="27"/>
  <c r="EZ302" i="27"/>
  <c r="GU309" i="27"/>
  <c r="HG309" i="27"/>
  <c r="GV309" i="27"/>
  <c r="GT309" i="27"/>
  <c r="DC310" i="27"/>
  <c r="DO310" i="27"/>
  <c r="DB310" i="27"/>
  <c r="DD310" i="27"/>
  <c r="DD314" i="27"/>
  <c r="DC314" i="27"/>
  <c r="DB314" i="27"/>
  <c r="DO314" i="27"/>
  <c r="DC317" i="27"/>
  <c r="DO317" i="27"/>
  <c r="DD317" i="27"/>
  <c r="DB317" i="27"/>
  <c r="CR340" i="27"/>
  <c r="CQ340" i="27"/>
  <c r="CP340" i="27"/>
  <c r="DM340" i="27"/>
  <c r="EM332" i="27"/>
  <c r="EN332" i="27"/>
  <c r="FI332" i="27"/>
  <c r="EL332" i="27"/>
  <c r="HE339" i="27"/>
  <c r="GH339" i="27"/>
  <c r="GJ339" i="27"/>
  <c r="GI339" i="27"/>
  <c r="EL328" i="27"/>
  <c r="EN328" i="27"/>
  <c r="FI328" i="27"/>
  <c r="EM328" i="27"/>
  <c r="GH335" i="27"/>
  <c r="GJ335" i="27"/>
  <c r="GI335" i="27"/>
  <c r="HE335" i="27"/>
  <c r="GI341" i="27"/>
  <c r="GH341" i="27"/>
  <c r="HE341" i="27"/>
  <c r="GJ341" i="27"/>
  <c r="EL321" i="27"/>
  <c r="EN321" i="27"/>
  <c r="EM321" i="27"/>
  <c r="FI321" i="27"/>
  <c r="EL322" i="27"/>
  <c r="EN322" i="27"/>
  <c r="EM322" i="27"/>
  <c r="FI322" i="27"/>
  <c r="HE338" i="27"/>
  <c r="GH338" i="27"/>
  <c r="GJ338" i="27"/>
  <c r="GI338" i="27"/>
  <c r="HE345" i="27"/>
  <c r="GH345" i="27"/>
  <c r="GI345" i="27"/>
  <c r="GJ345" i="27"/>
  <c r="CQ356" i="27"/>
  <c r="CR356" i="27"/>
  <c r="DM356" i="27"/>
  <c r="CP356" i="27"/>
  <c r="EM360" i="27"/>
  <c r="FI360" i="27"/>
  <c r="EN360" i="27"/>
  <c r="EL360" i="27"/>
  <c r="HE344" i="27"/>
  <c r="GH344" i="27"/>
  <c r="GJ344" i="27"/>
  <c r="GI344" i="27"/>
  <c r="CQ343" i="27"/>
  <c r="CR343" i="27"/>
  <c r="CP343" i="27"/>
  <c r="DM343" i="27"/>
  <c r="GJ361" i="27"/>
  <c r="GI361" i="27"/>
  <c r="HE361" i="27"/>
  <c r="GH361" i="27"/>
  <c r="GH352" i="27"/>
  <c r="HE352" i="27"/>
  <c r="GJ352" i="27"/>
  <c r="GI352" i="27"/>
  <c r="GH355" i="27"/>
  <c r="GI355" i="27"/>
  <c r="HE355" i="27"/>
  <c r="GJ355" i="27"/>
  <c r="GI350" i="27"/>
  <c r="GJ350" i="27"/>
  <c r="GH350" i="27"/>
  <c r="HE350" i="27"/>
  <c r="FJ357" i="27"/>
  <c r="ER357" i="27"/>
  <c r="ES357" i="27"/>
  <c r="ET357" i="27"/>
  <c r="ET350" i="27"/>
  <c r="ES350" i="27"/>
  <c r="FJ350" i="27"/>
  <c r="ER350" i="27"/>
  <c r="CV363" i="27"/>
  <c r="CX363" i="27"/>
  <c r="DN363" i="27"/>
  <c r="CW363" i="27"/>
  <c r="GP353" i="27"/>
  <c r="GO353" i="27"/>
  <c r="HF353" i="27"/>
  <c r="GN353" i="27"/>
  <c r="CW365" i="27"/>
  <c r="DN365" i="27"/>
  <c r="CX365" i="27"/>
  <c r="CV365" i="27"/>
  <c r="HF349" i="27"/>
  <c r="GP349" i="27"/>
  <c r="GN349" i="27"/>
  <c r="GO349" i="27"/>
  <c r="ET354" i="27"/>
  <c r="ES354" i="27"/>
  <c r="FJ354" i="27"/>
  <c r="ER354" i="27"/>
  <c r="GP347" i="27"/>
  <c r="GN347" i="27"/>
  <c r="GO347" i="27"/>
  <c r="HF347" i="27"/>
  <c r="FJ356" i="27"/>
  <c r="ER356" i="27"/>
  <c r="ES356" i="27"/>
  <c r="ET356" i="27"/>
  <c r="FE287" i="27"/>
  <c r="FD287" i="27"/>
  <c r="FL287" i="27"/>
  <c r="FF287" i="27"/>
  <c r="FF281" i="27"/>
  <c r="FE281" i="27"/>
  <c r="FL281" i="27"/>
  <c r="FD281" i="27"/>
  <c r="DJ297" i="27"/>
  <c r="DI297" i="27"/>
  <c r="DP297" i="27"/>
  <c r="DH297" i="27"/>
  <c r="FF280" i="27"/>
  <c r="FE280" i="27"/>
  <c r="FL280" i="27"/>
  <c r="FD280" i="27"/>
  <c r="DH283" i="27"/>
  <c r="DJ283" i="27"/>
  <c r="DI283" i="27"/>
  <c r="DP283" i="27"/>
  <c r="FD286" i="27"/>
  <c r="FF286" i="27"/>
  <c r="FE286" i="27"/>
  <c r="FL286" i="27"/>
  <c r="FE293" i="27"/>
  <c r="FD293" i="27"/>
  <c r="FL293" i="27"/>
  <c r="FF293" i="27"/>
  <c r="FE308" i="27"/>
  <c r="FD308" i="27"/>
  <c r="FL308" i="27"/>
  <c r="FF308" i="27"/>
  <c r="DP312" i="27"/>
  <c r="DH312" i="27"/>
  <c r="DJ312" i="27"/>
  <c r="DI312" i="27"/>
  <c r="HA313" i="27"/>
  <c r="HH313" i="27"/>
  <c r="HB313" i="27"/>
  <c r="GZ313" i="27"/>
  <c r="HA305" i="27"/>
  <c r="HH305" i="27"/>
  <c r="GZ305" i="27"/>
  <c r="HB305" i="27"/>
  <c r="FL315" i="27"/>
  <c r="FF315" i="27"/>
  <c r="FE315" i="27"/>
  <c r="FD315" i="27"/>
  <c r="HA300" i="27"/>
  <c r="HH300" i="27"/>
  <c r="HB300" i="27"/>
  <c r="GZ300" i="27"/>
  <c r="FF319" i="27"/>
  <c r="FD319" i="27"/>
  <c r="FL319" i="27"/>
  <c r="FE319" i="27"/>
  <c r="DJ306" i="27"/>
  <c r="DP306" i="27"/>
  <c r="DH306" i="27"/>
  <c r="DI306" i="27"/>
  <c r="L105" i="31"/>
  <c r="AF105" i="31" s="1"/>
  <c r="AH101" i="3"/>
  <c r="FQ277" i="27"/>
  <c r="FS277" i="27"/>
  <c r="FQ262" i="27"/>
  <c r="FS262" i="27"/>
  <c r="AK89" i="3"/>
  <c r="O93" i="31"/>
  <c r="AI93" i="31" s="1"/>
  <c r="HG290" i="27"/>
  <c r="HI290" i="27" s="1"/>
  <c r="GV290" i="27"/>
  <c r="GU290" i="27"/>
  <c r="GT290" i="27"/>
  <c r="DO300" i="27"/>
  <c r="DC300" i="27"/>
  <c r="DB300" i="27"/>
  <c r="DD300" i="27"/>
  <c r="EM334" i="27"/>
  <c r="EL334" i="27"/>
  <c r="EN334" i="27"/>
  <c r="FI334" i="27"/>
  <c r="DM364" i="27"/>
  <c r="CQ364" i="27"/>
  <c r="CP364" i="27"/>
  <c r="CR364" i="27"/>
  <c r="ER359" i="27"/>
  <c r="ES359" i="27"/>
  <c r="ET359" i="27"/>
  <c r="FJ359" i="27"/>
  <c r="DP279" i="27"/>
  <c r="DJ279" i="27"/>
  <c r="DH279" i="27"/>
  <c r="DI279" i="27"/>
  <c r="HA282" i="27"/>
  <c r="HB282" i="27"/>
  <c r="GZ282" i="27"/>
  <c r="HH282" i="27"/>
  <c r="HH304" i="27"/>
  <c r="GZ304" i="27"/>
  <c r="HB304" i="27"/>
  <c r="HA304" i="27"/>
  <c r="DU243" i="27"/>
  <c r="DW243" i="27"/>
  <c r="DW267" i="27"/>
  <c r="DU267" i="27"/>
  <c r="DW273" i="27"/>
  <c r="DU273" i="27"/>
  <c r="FM245" i="27"/>
  <c r="DU228" i="27"/>
  <c r="DW228" i="27"/>
  <c r="DW272" i="27"/>
  <c r="DU272" i="27"/>
  <c r="DU249" i="27"/>
  <c r="DW249" i="27"/>
  <c r="DQ260" i="27"/>
  <c r="FQ268" i="27"/>
  <c r="FS268" i="27"/>
  <c r="HM275" i="27"/>
  <c r="HO275" i="27"/>
  <c r="BE92" i="31"/>
  <c r="AS92" i="31"/>
  <c r="AY92" i="31" s="1"/>
  <c r="H30" i="5"/>
  <c r="R30" i="5" s="1"/>
  <c r="Q89" i="31"/>
  <c r="AJ89" i="31"/>
  <c r="Q90" i="31"/>
  <c r="AJ90" i="31"/>
  <c r="EY283" i="27"/>
  <c r="FK283" i="27"/>
  <c r="FM283" i="27" s="1"/>
  <c r="EZ283" i="27"/>
  <c r="EX283" i="27"/>
  <c r="DO293" i="27"/>
  <c r="DC293" i="27"/>
  <c r="DD293" i="27"/>
  <c r="DB293" i="27"/>
  <c r="DB297" i="27"/>
  <c r="DO297" i="27"/>
  <c r="DD297" i="27"/>
  <c r="DC297" i="27"/>
  <c r="EY281" i="27"/>
  <c r="EX281" i="27"/>
  <c r="FK281" i="27"/>
  <c r="FM281" i="27" s="1"/>
  <c r="EZ281" i="27"/>
  <c r="GV295" i="27"/>
  <c r="GT295" i="27"/>
  <c r="HG295" i="27"/>
  <c r="GU295" i="27"/>
  <c r="HG294" i="27"/>
  <c r="GV294" i="27"/>
  <c r="GT294" i="27"/>
  <c r="GU294" i="27"/>
  <c r="DO279" i="27"/>
  <c r="DD279" i="27"/>
  <c r="DB279" i="27"/>
  <c r="DC279" i="27"/>
  <c r="FK292" i="27"/>
  <c r="EX292" i="27"/>
  <c r="EY292" i="27"/>
  <c r="EZ292" i="27"/>
  <c r="GV305" i="27"/>
  <c r="HG305" i="27"/>
  <c r="GT305" i="27"/>
  <c r="GU305" i="27"/>
  <c r="EZ313" i="27"/>
  <c r="EX313" i="27"/>
  <c r="EY313" i="27"/>
  <c r="FK313" i="27"/>
  <c r="DC306" i="27"/>
  <c r="DB306" i="27"/>
  <c r="DO306" i="27"/>
  <c r="DD306" i="27"/>
  <c r="DC302" i="27"/>
  <c r="DB302" i="27"/>
  <c r="DO302" i="27"/>
  <c r="DD302" i="27"/>
  <c r="DC309" i="27"/>
  <c r="DB309" i="27"/>
  <c r="DD309" i="27"/>
  <c r="DO309" i="27"/>
  <c r="GT319" i="27"/>
  <c r="HG319" i="27"/>
  <c r="HI319" i="27" s="1"/>
  <c r="GU319" i="27"/>
  <c r="GV319" i="27"/>
  <c r="EZ314" i="27"/>
  <c r="EY314" i="27"/>
  <c r="FK314" i="27"/>
  <c r="EX314" i="27"/>
  <c r="FK317" i="27"/>
  <c r="EY317" i="27"/>
  <c r="EZ317" i="27"/>
  <c r="EX317" i="27"/>
  <c r="EL340" i="27"/>
  <c r="EN340" i="27"/>
  <c r="EM340" i="27"/>
  <c r="FI340" i="27"/>
  <c r="EL331" i="27"/>
  <c r="EM331" i="27"/>
  <c r="EN331" i="27"/>
  <c r="FI331" i="27"/>
  <c r="DM339" i="27"/>
  <c r="CP339" i="27"/>
  <c r="CR339" i="27"/>
  <c r="CQ339" i="27"/>
  <c r="HE328" i="27"/>
  <c r="GH328" i="27"/>
  <c r="GJ328" i="27"/>
  <c r="GI328" i="27"/>
  <c r="FI323" i="27"/>
  <c r="EL323" i="27"/>
  <c r="EN323" i="27"/>
  <c r="EM323" i="27"/>
  <c r="DM341" i="27"/>
  <c r="CR341" i="27"/>
  <c r="CQ341" i="27"/>
  <c r="CP341" i="27"/>
  <c r="GJ321" i="27"/>
  <c r="GI321" i="27"/>
  <c r="GH321" i="27"/>
  <c r="HE321" i="27"/>
  <c r="EL324" i="27"/>
  <c r="EM324" i="27"/>
  <c r="FI324" i="27"/>
  <c r="EN324" i="27"/>
  <c r="DM338" i="27"/>
  <c r="CQ338" i="27"/>
  <c r="CP338" i="27"/>
  <c r="CR338" i="27"/>
  <c r="CR345" i="27"/>
  <c r="CP345" i="27"/>
  <c r="CQ345" i="27"/>
  <c r="DM345" i="27"/>
  <c r="FI359" i="27"/>
  <c r="EM359" i="27"/>
  <c r="EL359" i="27"/>
  <c r="EN359" i="27"/>
  <c r="GI360" i="27"/>
  <c r="GJ360" i="27"/>
  <c r="HE360" i="27"/>
  <c r="GH360" i="27"/>
  <c r="CQ344" i="27"/>
  <c r="CR344" i="27"/>
  <c r="DM344" i="27"/>
  <c r="CP344" i="27"/>
  <c r="EN342" i="27"/>
  <c r="EL342" i="27"/>
  <c r="EM342" i="27"/>
  <c r="FI342" i="27"/>
  <c r="CQ361" i="27"/>
  <c r="CP361" i="27"/>
  <c r="CR361" i="27"/>
  <c r="DM361" i="27"/>
  <c r="DM352" i="27"/>
  <c r="CR352" i="27"/>
  <c r="CP352" i="27"/>
  <c r="CQ352" i="27"/>
  <c r="HE358" i="27"/>
  <c r="GH358" i="27"/>
  <c r="GJ358" i="27"/>
  <c r="GI358" i="27"/>
  <c r="CP350" i="27"/>
  <c r="CR350" i="27"/>
  <c r="CQ350" i="27"/>
  <c r="DM350" i="27"/>
  <c r="HF357" i="27"/>
  <c r="GN357" i="27"/>
  <c r="GP357" i="27"/>
  <c r="GO357" i="27"/>
  <c r="ER360" i="27"/>
  <c r="ET360" i="27"/>
  <c r="ES360" i="27"/>
  <c r="FJ360" i="27"/>
  <c r="ES363" i="27"/>
  <c r="ER363" i="27"/>
  <c r="FJ363" i="27"/>
  <c r="ET363" i="27"/>
  <c r="CX353" i="27"/>
  <c r="CW353" i="27"/>
  <c r="DN353" i="27"/>
  <c r="CV353" i="27"/>
  <c r="FJ345" i="27"/>
  <c r="ER345" i="27"/>
  <c r="ET345" i="27"/>
  <c r="ES345" i="27"/>
  <c r="CV349" i="27"/>
  <c r="DN349" i="27"/>
  <c r="CX349" i="27"/>
  <c r="CW349" i="27"/>
  <c r="CV354" i="27"/>
  <c r="CX354" i="27"/>
  <c r="DN354" i="27"/>
  <c r="CW354" i="27"/>
  <c r="ER362" i="27"/>
  <c r="ES362" i="27"/>
  <c r="ET362" i="27"/>
  <c r="FJ362" i="27"/>
  <c r="DN356" i="27"/>
  <c r="CV356" i="27"/>
  <c r="CX356" i="27"/>
  <c r="CW356" i="27"/>
  <c r="HH287" i="27"/>
  <c r="HB287" i="27"/>
  <c r="GZ287" i="27"/>
  <c r="HA287" i="27"/>
  <c r="FL292" i="27"/>
  <c r="FF292" i="27"/>
  <c r="FE292" i="27"/>
  <c r="FD292" i="27"/>
  <c r="FD297" i="27"/>
  <c r="FE297" i="27"/>
  <c r="FF297" i="27"/>
  <c r="FL297" i="27"/>
  <c r="DI280" i="27"/>
  <c r="DJ280" i="27"/>
  <c r="DP280" i="27"/>
  <c r="DH280" i="27"/>
  <c r="HA291" i="27"/>
  <c r="GZ291" i="27"/>
  <c r="HB291" i="27"/>
  <c r="HH291" i="27"/>
  <c r="GZ286" i="27"/>
  <c r="HA286" i="27"/>
  <c r="HB286" i="27"/>
  <c r="HH286" i="27"/>
  <c r="DJ293" i="27"/>
  <c r="DI293" i="27"/>
  <c r="DH293" i="27"/>
  <c r="DP293" i="27"/>
  <c r="FF307" i="27"/>
  <c r="FL307" i="27"/>
  <c r="FE307" i="27"/>
  <c r="FD307" i="27"/>
  <c r="HB312" i="27"/>
  <c r="GZ312" i="27"/>
  <c r="HH312" i="27"/>
  <c r="HA312" i="27"/>
  <c r="DJ313" i="27"/>
  <c r="DP313" i="27"/>
  <c r="DH313" i="27"/>
  <c r="DI313" i="27"/>
  <c r="DI318" i="27"/>
  <c r="DP318" i="27"/>
  <c r="DQ318" i="27" s="1"/>
  <c r="DJ318" i="27"/>
  <c r="DH318" i="27"/>
  <c r="GZ315" i="27"/>
  <c r="HB315" i="27"/>
  <c r="HH315" i="27"/>
  <c r="HI315" i="27" s="1"/>
  <c r="HA315" i="27"/>
  <c r="FF300" i="27"/>
  <c r="FL300" i="27"/>
  <c r="FE300" i="27"/>
  <c r="FD300" i="27"/>
  <c r="DJ309" i="27"/>
  <c r="DH309" i="27"/>
  <c r="DI309" i="27"/>
  <c r="DP309" i="27"/>
  <c r="HB306" i="27"/>
  <c r="GZ306" i="27"/>
  <c r="HA306" i="27"/>
  <c r="HH306" i="27"/>
  <c r="H20" i="3"/>
  <c r="I20" i="3" s="1"/>
  <c r="S20" i="3"/>
  <c r="N97" i="31"/>
  <c r="AH97" i="31" s="1"/>
  <c r="AJ93" i="3"/>
  <c r="HO251" i="27"/>
  <c r="HM251" i="27"/>
  <c r="FM301" i="27"/>
  <c r="DB285" i="27"/>
  <c r="DO285" i="27"/>
  <c r="DC285" i="27"/>
  <c r="DD285" i="27"/>
  <c r="DC312" i="27"/>
  <c r="DB312" i="27"/>
  <c r="DO312" i="27"/>
  <c r="DD312" i="27"/>
  <c r="DM326" i="27"/>
  <c r="CR326" i="27"/>
  <c r="CQ326" i="27"/>
  <c r="CP326" i="27"/>
  <c r="FI365" i="27"/>
  <c r="EL365" i="27"/>
  <c r="EN365" i="27"/>
  <c r="EM365" i="27"/>
  <c r="ES342" i="27"/>
  <c r="ER342" i="27"/>
  <c r="FJ342" i="27"/>
  <c r="ET342" i="27"/>
  <c r="DN364" i="27"/>
  <c r="CV364" i="27"/>
  <c r="CX364" i="27"/>
  <c r="CW364" i="27"/>
  <c r="FF285" i="27"/>
  <c r="FL285" i="27"/>
  <c r="FE285" i="27"/>
  <c r="FD285" i="27"/>
  <c r="FL311" i="27"/>
  <c r="FF311" i="27"/>
  <c r="FD311" i="27"/>
  <c r="FE311" i="27"/>
  <c r="FQ259" i="27"/>
  <c r="FS259" i="27"/>
  <c r="BE91" i="31"/>
  <c r="AS91" i="31"/>
  <c r="AY91" i="31" s="1"/>
  <c r="BQ36" i="23"/>
  <c r="DW223" i="27"/>
  <c r="DU223" i="27"/>
  <c r="BD103" i="31"/>
  <c r="AR103" i="31"/>
  <c r="AX103" i="31" s="1"/>
  <c r="AL87" i="3"/>
  <c r="P91" i="31"/>
  <c r="DD283" i="27"/>
  <c r="DB283" i="27"/>
  <c r="DC283" i="27"/>
  <c r="DO283" i="27"/>
  <c r="DQ283" i="27" s="1"/>
  <c r="EZ293" i="27"/>
  <c r="FK293" i="27"/>
  <c r="EX293" i="27"/>
  <c r="EY293" i="27"/>
  <c r="GU298" i="27"/>
  <c r="HG298" i="27"/>
  <c r="GT298" i="27"/>
  <c r="GV298" i="27"/>
  <c r="HG281" i="27"/>
  <c r="HI281" i="27" s="1"/>
  <c r="GU281" i="27"/>
  <c r="GV281" i="27"/>
  <c r="GT281" i="27"/>
  <c r="EY295" i="27"/>
  <c r="FK295" i="27"/>
  <c r="EX295" i="27"/>
  <c r="EZ295" i="27"/>
  <c r="FK287" i="27"/>
  <c r="EX287" i="27"/>
  <c r="EZ287" i="27"/>
  <c r="EY287" i="27"/>
  <c r="GT279" i="27"/>
  <c r="GU279" i="27"/>
  <c r="HG279" i="27"/>
  <c r="GV279" i="27"/>
  <c r="DD292" i="27"/>
  <c r="DO292" i="27"/>
  <c r="DC292" i="27"/>
  <c r="DB292" i="27"/>
  <c r="DD307" i="27"/>
  <c r="DC307" i="27"/>
  <c r="DO307" i="27"/>
  <c r="DB307" i="27"/>
  <c r="GU313" i="27"/>
  <c r="HG313" i="27"/>
  <c r="GV313" i="27"/>
  <c r="GT313" i="27"/>
  <c r="EY306" i="27"/>
  <c r="EZ306" i="27"/>
  <c r="EX306" i="27"/>
  <c r="FK306" i="27"/>
  <c r="FM306" i="27" s="1"/>
  <c r="DB311" i="27"/>
  <c r="DC311" i="27"/>
  <c r="DO311" i="27"/>
  <c r="DD311" i="27"/>
  <c r="EX309" i="27"/>
  <c r="FK309" i="27"/>
  <c r="EY309" i="27"/>
  <c r="EZ309" i="27"/>
  <c r="DD319" i="27"/>
  <c r="DC319" i="27"/>
  <c r="DB319" i="27"/>
  <c r="DO319" i="27"/>
  <c r="FK299" i="27"/>
  <c r="EZ299" i="27"/>
  <c r="EY299" i="27"/>
  <c r="EX299" i="27"/>
  <c r="GU317" i="27"/>
  <c r="GV317" i="27"/>
  <c r="GT317" i="27"/>
  <c r="HG317" i="27"/>
  <c r="GI340" i="27"/>
  <c r="HE340" i="27"/>
  <c r="GH340" i="27"/>
  <c r="GJ340" i="27"/>
  <c r="GI331" i="27"/>
  <c r="HE331" i="27"/>
  <c r="GH331" i="27"/>
  <c r="GJ331" i="27"/>
  <c r="EM330" i="27"/>
  <c r="FI330" i="27"/>
  <c r="EL330" i="27"/>
  <c r="EN330" i="27"/>
  <c r="CR328" i="27"/>
  <c r="DM328" i="27"/>
  <c r="CQ328" i="27"/>
  <c r="CP328" i="27"/>
  <c r="GI323" i="27"/>
  <c r="HE323" i="27"/>
  <c r="GH323" i="27"/>
  <c r="GJ323" i="27"/>
  <c r="GH325" i="27"/>
  <c r="HE325" i="27"/>
  <c r="GJ325" i="27"/>
  <c r="GI325" i="27"/>
  <c r="DM321" i="27"/>
  <c r="CQ321" i="27"/>
  <c r="CP321" i="27"/>
  <c r="CR321" i="27"/>
  <c r="GI324" i="27"/>
  <c r="GH324" i="27"/>
  <c r="GJ324" i="27"/>
  <c r="HE324" i="27"/>
  <c r="DM362" i="27"/>
  <c r="CP362" i="27"/>
  <c r="CQ362" i="27"/>
  <c r="CR362" i="27"/>
  <c r="EN345" i="27"/>
  <c r="EM345" i="27"/>
  <c r="EL345" i="27"/>
  <c r="FI345" i="27"/>
  <c r="GJ359" i="27"/>
  <c r="GH359" i="27"/>
  <c r="HE359" i="27"/>
  <c r="GI359" i="27"/>
  <c r="EM348" i="27"/>
  <c r="FI348" i="27"/>
  <c r="EN348" i="27"/>
  <c r="EL348" i="27"/>
  <c r="EN344" i="27"/>
  <c r="EM344" i="27"/>
  <c r="EL344" i="27"/>
  <c r="FI344" i="27"/>
  <c r="HE342" i="27"/>
  <c r="GH342" i="27"/>
  <c r="GI342" i="27"/>
  <c r="GJ342" i="27"/>
  <c r="EN353" i="27"/>
  <c r="EM353" i="27"/>
  <c r="EL353" i="27"/>
  <c r="FI353" i="27"/>
  <c r="FI352" i="27"/>
  <c r="EM352" i="27"/>
  <c r="EN352" i="27"/>
  <c r="EL352" i="27"/>
  <c r="CQ358" i="27"/>
  <c r="CP358" i="27"/>
  <c r="CR358" i="27"/>
  <c r="DM358" i="27"/>
  <c r="FJ355" i="27"/>
  <c r="ER355" i="27"/>
  <c r="ET355" i="27"/>
  <c r="ES355" i="27"/>
  <c r="CX357" i="27"/>
  <c r="CV357" i="27"/>
  <c r="CW357" i="27"/>
  <c r="DN357" i="27"/>
  <c r="GN360" i="27"/>
  <c r="GP360" i="27"/>
  <c r="GO360" i="27"/>
  <c r="HF360" i="27"/>
  <c r="ES346" i="27"/>
  <c r="FJ346" i="27"/>
  <c r="ER346" i="27"/>
  <c r="ET346" i="27"/>
  <c r="ET353" i="27"/>
  <c r="ES353" i="27"/>
  <c r="ER353" i="27"/>
  <c r="FJ353" i="27"/>
  <c r="GO345" i="27"/>
  <c r="GP345" i="27"/>
  <c r="HF345" i="27"/>
  <c r="GN345" i="27"/>
  <c r="ET358" i="27"/>
  <c r="FJ358" i="27"/>
  <c r="ES358" i="27"/>
  <c r="ER358" i="27"/>
  <c r="GO354" i="27"/>
  <c r="HF354" i="27"/>
  <c r="GP354" i="27"/>
  <c r="GN354" i="27"/>
  <c r="GN362" i="27"/>
  <c r="HF362" i="27"/>
  <c r="GO362" i="27"/>
  <c r="GP362" i="27"/>
  <c r="FL294" i="27"/>
  <c r="FD294" i="27"/>
  <c r="FE294" i="27"/>
  <c r="FF294" i="27"/>
  <c r="DI287" i="27"/>
  <c r="DH287" i="27"/>
  <c r="DJ287" i="27"/>
  <c r="DP287" i="27"/>
  <c r="DI292" i="27"/>
  <c r="DJ292" i="27"/>
  <c r="DH292" i="27"/>
  <c r="DP292" i="27"/>
  <c r="FF295" i="27"/>
  <c r="FD295" i="27"/>
  <c r="FL295" i="27"/>
  <c r="FE295" i="27"/>
  <c r="HB280" i="27"/>
  <c r="HH280" i="27"/>
  <c r="HA280" i="27"/>
  <c r="GZ280" i="27"/>
  <c r="DP291" i="27"/>
  <c r="DJ291" i="27"/>
  <c r="DI291" i="27"/>
  <c r="DH291" i="27"/>
  <c r="DJ298" i="27"/>
  <c r="DH298" i="27"/>
  <c r="DP298" i="27"/>
  <c r="DI298" i="27"/>
  <c r="HA293" i="27"/>
  <c r="HB293" i="27"/>
  <c r="HH293" i="27"/>
  <c r="GZ293" i="27"/>
  <c r="HH307" i="27"/>
  <c r="GZ307" i="27"/>
  <c r="HB307" i="27"/>
  <c r="HA307" i="27"/>
  <c r="HA302" i="27"/>
  <c r="GZ302" i="27"/>
  <c r="HB302" i="27"/>
  <c r="HH302" i="27"/>
  <c r="FE313" i="27"/>
  <c r="FL313" i="27"/>
  <c r="FD313" i="27"/>
  <c r="FF313" i="27"/>
  <c r="HA318" i="27"/>
  <c r="GZ318" i="27"/>
  <c r="HB318" i="27"/>
  <c r="HH318" i="27"/>
  <c r="HA317" i="27"/>
  <c r="HH317" i="27"/>
  <c r="HB317" i="27"/>
  <c r="GZ317" i="27"/>
  <c r="DH300" i="27"/>
  <c r="DI300" i="27"/>
  <c r="DJ300" i="27"/>
  <c r="DP300" i="27"/>
  <c r="HB309" i="27"/>
  <c r="GZ309" i="27"/>
  <c r="HH309" i="27"/>
  <c r="HA309" i="27"/>
  <c r="DP316" i="27"/>
  <c r="DI316" i="27"/>
  <c r="DH316" i="27"/>
  <c r="DJ316" i="27"/>
  <c r="N96" i="31"/>
  <c r="AH96" i="31" s="1"/>
  <c r="AJ92" i="3"/>
  <c r="FQ278" i="27"/>
  <c r="FS278" i="27"/>
  <c r="HG291" i="27"/>
  <c r="GU291" i="27"/>
  <c r="GT291" i="27"/>
  <c r="GV291" i="27"/>
  <c r="DB303" i="27"/>
  <c r="DO303" i="27"/>
  <c r="DD303" i="27"/>
  <c r="DC303" i="27"/>
  <c r="EY315" i="27"/>
  <c r="EZ315" i="27"/>
  <c r="EX315" i="27"/>
  <c r="FK315" i="27"/>
  <c r="M95" i="31"/>
  <c r="AG95" i="31" s="1"/>
  <c r="AI91" i="3"/>
  <c r="EL327" i="27"/>
  <c r="EM327" i="27"/>
  <c r="EN327" i="27"/>
  <c r="FI327" i="27"/>
  <c r="CP351" i="27"/>
  <c r="CQ351" i="27"/>
  <c r="CR351" i="27"/>
  <c r="DM351" i="27"/>
  <c r="ET351" i="27"/>
  <c r="ES351" i="27"/>
  <c r="ER351" i="27"/>
  <c r="FJ351" i="27"/>
  <c r="FF296" i="27"/>
  <c r="FL296" i="27"/>
  <c r="FD296" i="27"/>
  <c r="FE296" i="27"/>
  <c r="DH301" i="27"/>
  <c r="DI301" i="27"/>
  <c r="DJ301" i="27"/>
  <c r="DP301" i="27"/>
  <c r="AU90" i="31"/>
  <c r="BA90" i="31" s="1"/>
  <c r="BG90" i="31"/>
  <c r="BD102" i="31"/>
  <c r="AR102" i="31"/>
  <c r="AX102" i="31" s="1"/>
  <c r="FM248" i="27"/>
  <c r="DQ319" i="27"/>
  <c r="HI244" i="27"/>
  <c r="DQ306" i="27"/>
  <c r="P93" i="31"/>
  <c r="AL89" i="3"/>
  <c r="DD291" i="27"/>
  <c r="DC291" i="27"/>
  <c r="DB291" i="27"/>
  <c r="DO291" i="27"/>
  <c r="GV293" i="27"/>
  <c r="GU293" i="27"/>
  <c r="GT293" i="27"/>
  <c r="HG293" i="27"/>
  <c r="DC298" i="27"/>
  <c r="DO298" i="27"/>
  <c r="DB298" i="27"/>
  <c r="DD298" i="27"/>
  <c r="FK296" i="27"/>
  <c r="EZ296" i="27"/>
  <c r="EY296" i="27"/>
  <c r="EX296" i="27"/>
  <c r="DC295" i="27"/>
  <c r="DO295" i="27"/>
  <c r="DD295" i="27"/>
  <c r="DB295" i="27"/>
  <c r="DD287" i="27"/>
  <c r="DB287" i="27"/>
  <c r="DC287" i="27"/>
  <c r="DO287" i="27"/>
  <c r="DQ287" i="27" s="1"/>
  <c r="FK290" i="27"/>
  <c r="EZ290" i="27"/>
  <c r="EX290" i="27"/>
  <c r="EY290" i="27"/>
  <c r="GU292" i="27"/>
  <c r="HG292" i="27"/>
  <c r="GT292" i="27"/>
  <c r="GV292" i="27"/>
  <c r="GV307" i="27"/>
  <c r="GU307" i="27"/>
  <c r="HG307" i="27"/>
  <c r="HI307" i="27" s="1"/>
  <c r="GT307" i="27"/>
  <c r="GU304" i="27"/>
  <c r="GT304" i="27"/>
  <c r="HG304" i="27"/>
  <c r="HI304" i="27" s="1"/>
  <c r="GV304" i="27"/>
  <c r="GU306" i="27"/>
  <c r="HG306" i="27"/>
  <c r="GT306" i="27"/>
  <c r="GV306" i="27"/>
  <c r="GV311" i="27"/>
  <c r="GT311" i="27"/>
  <c r="HG311" i="27"/>
  <c r="GU311" i="27"/>
  <c r="GV312" i="27"/>
  <c r="GT312" i="27"/>
  <c r="HG312" i="27"/>
  <c r="HI312" i="27" s="1"/>
  <c r="GU312" i="27"/>
  <c r="EX319" i="27"/>
  <c r="EZ319" i="27"/>
  <c r="EY319" i="27"/>
  <c r="FK319" i="27"/>
  <c r="FM319" i="27" s="1"/>
  <c r="DD299" i="27"/>
  <c r="DB299" i="27"/>
  <c r="DO299" i="27"/>
  <c r="DC299" i="27"/>
  <c r="FI329" i="27"/>
  <c r="EN329" i="27"/>
  <c r="EL329" i="27"/>
  <c r="EM329" i="27"/>
  <c r="CP331" i="27"/>
  <c r="CR331" i="27"/>
  <c r="CQ331" i="27"/>
  <c r="DM331" i="27"/>
  <c r="GI330" i="27"/>
  <c r="GH330" i="27"/>
  <c r="GJ330" i="27"/>
  <c r="HE330" i="27"/>
  <c r="CQ337" i="27"/>
  <c r="DM337" i="27"/>
  <c r="CP337" i="27"/>
  <c r="CR337" i="27"/>
  <c r="CR323" i="27"/>
  <c r="CQ323" i="27"/>
  <c r="DM323" i="27"/>
  <c r="CP323" i="27"/>
  <c r="CR325" i="27"/>
  <c r="CP325" i="27"/>
  <c r="CQ325" i="27"/>
  <c r="DM325" i="27"/>
  <c r="GI327" i="27"/>
  <c r="GH327" i="27"/>
  <c r="HE327" i="27"/>
  <c r="GJ327" i="27"/>
  <c r="CR324" i="27"/>
  <c r="CP324" i="27"/>
  <c r="CQ324" i="27"/>
  <c r="DM324" i="27"/>
  <c r="FI362" i="27"/>
  <c r="EN362" i="27"/>
  <c r="EL362" i="27"/>
  <c r="EM362" i="27"/>
  <c r="CP349" i="27"/>
  <c r="CQ349" i="27"/>
  <c r="DM349" i="27"/>
  <c r="CR349" i="27"/>
  <c r="CP359" i="27"/>
  <c r="CR359" i="27"/>
  <c r="DM359" i="27"/>
  <c r="CQ359" i="27"/>
  <c r="HE348" i="27"/>
  <c r="GH348" i="27"/>
  <c r="GJ348" i="27"/>
  <c r="GI348" i="27"/>
  <c r="HE364" i="27"/>
  <c r="GH364" i="27"/>
  <c r="GJ364" i="27"/>
  <c r="GI364" i="27"/>
  <c r="DM342" i="27"/>
  <c r="CP342" i="27"/>
  <c r="CR342" i="27"/>
  <c r="CQ342" i="27"/>
  <c r="GI353" i="27"/>
  <c r="HE353" i="27"/>
  <c r="GH353" i="27"/>
  <c r="GJ353" i="27"/>
  <c r="FI346" i="27"/>
  <c r="EL346" i="27"/>
  <c r="EN346" i="27"/>
  <c r="EM346" i="27"/>
  <c r="EM358" i="27"/>
  <c r="FI358" i="27"/>
  <c r="EL358" i="27"/>
  <c r="EN358" i="27"/>
  <c r="GP355" i="27"/>
  <c r="GO355" i="27"/>
  <c r="HF355" i="27"/>
  <c r="GN355" i="27"/>
  <c r="HF342" i="27"/>
  <c r="GO342" i="27"/>
  <c r="GN342" i="27"/>
  <c r="GP342" i="27"/>
  <c r="DN360" i="27"/>
  <c r="CW360" i="27"/>
  <c r="CV360" i="27"/>
  <c r="CX360" i="27"/>
  <c r="CV346" i="27"/>
  <c r="CX346" i="27"/>
  <c r="CW346" i="27"/>
  <c r="DN346" i="27"/>
  <c r="GN348" i="27"/>
  <c r="HF348" i="27"/>
  <c r="GP348" i="27"/>
  <c r="GO348" i="27"/>
  <c r="CW345" i="27"/>
  <c r="CV345" i="27"/>
  <c r="CX345" i="27"/>
  <c r="DN345" i="27"/>
  <c r="HF358" i="27"/>
  <c r="GO358" i="27"/>
  <c r="GP358" i="27"/>
  <c r="GN358" i="27"/>
  <c r="DN361" i="27"/>
  <c r="CV361" i="27"/>
  <c r="CX361" i="27"/>
  <c r="CW361" i="27"/>
  <c r="CW362" i="27"/>
  <c r="DN362" i="27"/>
  <c r="CV362" i="27"/>
  <c r="CX362" i="27"/>
  <c r="GZ294" i="27"/>
  <c r="HB294" i="27"/>
  <c r="HH294" i="27"/>
  <c r="HA294" i="27"/>
  <c r="DP289" i="27"/>
  <c r="DH289" i="27"/>
  <c r="DI289" i="27"/>
  <c r="DJ289" i="27"/>
  <c r="HA292" i="27"/>
  <c r="HH292" i="27"/>
  <c r="HI292" i="27" s="1"/>
  <c r="GZ292" i="27"/>
  <c r="HB292" i="27"/>
  <c r="HH295" i="27"/>
  <c r="GZ295" i="27"/>
  <c r="HB295" i="27"/>
  <c r="HA295" i="27"/>
  <c r="HH288" i="27"/>
  <c r="GZ288" i="27"/>
  <c r="HB288" i="27"/>
  <c r="HA288" i="27"/>
  <c r="FE291" i="27"/>
  <c r="FF291" i="27"/>
  <c r="FD291" i="27"/>
  <c r="FL291" i="27"/>
  <c r="FL298" i="27"/>
  <c r="FF298" i="27"/>
  <c r="FE298" i="27"/>
  <c r="FD298" i="27"/>
  <c r="FL282" i="27"/>
  <c r="FD282" i="27"/>
  <c r="FE282" i="27"/>
  <c r="FF282" i="27"/>
  <c r="DP307" i="27"/>
  <c r="DJ307" i="27"/>
  <c r="DI307" i="27"/>
  <c r="DH307" i="27"/>
  <c r="DH302" i="27"/>
  <c r="DP302" i="27"/>
  <c r="DQ302" i="27" s="1"/>
  <c r="DJ302" i="27"/>
  <c r="DI302" i="27"/>
  <c r="DH299" i="27"/>
  <c r="DJ299" i="27"/>
  <c r="DI299" i="27"/>
  <c r="DP299" i="27"/>
  <c r="FL318" i="27"/>
  <c r="FD318" i="27"/>
  <c r="FF318" i="27"/>
  <c r="FE318" i="27"/>
  <c r="DP317" i="27"/>
  <c r="DQ317" i="27" s="1"/>
  <c r="DH317" i="27"/>
  <c r="DJ317" i="27"/>
  <c r="DI317" i="27"/>
  <c r="HH311" i="27"/>
  <c r="GZ311" i="27"/>
  <c r="HA311" i="27"/>
  <c r="HB311" i="27"/>
  <c r="FF309" i="27"/>
  <c r="FL309" i="27"/>
  <c r="FE309" i="27"/>
  <c r="FD309" i="27"/>
  <c r="HH316" i="27"/>
  <c r="GZ316" i="27"/>
  <c r="HB316" i="27"/>
  <c r="HA316" i="27"/>
  <c r="AJ91" i="3"/>
  <c r="N95" i="31"/>
  <c r="AH95" i="31" s="1"/>
  <c r="DW226" i="27"/>
  <c r="DU226" i="27"/>
  <c r="DC282" i="27"/>
  <c r="DD282" i="27"/>
  <c r="DO282" i="27"/>
  <c r="DB282" i="27"/>
  <c r="DC301" i="27"/>
  <c r="DD301" i="27"/>
  <c r="DO301" i="27"/>
  <c r="DB301" i="27"/>
  <c r="FI333" i="27"/>
  <c r="EL333" i="27"/>
  <c r="EN333" i="27"/>
  <c r="EM333" i="27"/>
  <c r="CQ354" i="27"/>
  <c r="DM354" i="27"/>
  <c r="CP354" i="27"/>
  <c r="CR354" i="27"/>
  <c r="CP346" i="27"/>
  <c r="DM346" i="27"/>
  <c r="CR346" i="27"/>
  <c r="CQ346" i="27"/>
  <c r="GO344" i="27"/>
  <c r="HF344" i="27"/>
  <c r="GN344" i="27"/>
  <c r="GP344" i="27"/>
  <c r="DH288" i="27"/>
  <c r="DI288" i="27"/>
  <c r="DJ288" i="27"/>
  <c r="DP288" i="27"/>
  <c r="DH310" i="27"/>
  <c r="DJ310" i="27"/>
  <c r="DI310" i="27"/>
  <c r="DP310" i="27"/>
  <c r="DQ315" i="27"/>
  <c r="FQ255" i="27"/>
  <c r="FS255" i="27"/>
  <c r="BF92" i="31"/>
  <c r="AT92" i="31"/>
  <c r="AZ92" i="31" s="1"/>
  <c r="DQ263" i="27"/>
  <c r="BD101" i="31"/>
  <c r="AR101" i="31"/>
  <c r="AX101" i="31" s="1"/>
  <c r="P92" i="31"/>
  <c r="AL88" i="3"/>
  <c r="FK291" i="27"/>
  <c r="EY291" i="27"/>
  <c r="EX291" i="27"/>
  <c r="EZ291" i="27"/>
  <c r="GU282" i="27"/>
  <c r="GT282" i="27"/>
  <c r="HG282" i="27"/>
  <c r="HI282" i="27" s="1"/>
  <c r="GV282" i="27"/>
  <c r="EY298" i="27"/>
  <c r="EZ298" i="27"/>
  <c r="EX298" i="27"/>
  <c r="FK298" i="27"/>
  <c r="FM298" i="27" s="1"/>
  <c r="DB296" i="27"/>
  <c r="DC296" i="27"/>
  <c r="DD296" i="27"/>
  <c r="DO296" i="27"/>
  <c r="EX288" i="27"/>
  <c r="EY288" i="27"/>
  <c r="EZ288" i="27"/>
  <c r="FK288" i="27"/>
  <c r="GU287" i="27"/>
  <c r="GT287" i="27"/>
  <c r="GV287" i="27"/>
  <c r="HG287" i="27"/>
  <c r="HI287" i="27" s="1"/>
  <c r="DD290" i="27"/>
  <c r="DO290" i="27"/>
  <c r="DQ290" i="27" s="1"/>
  <c r="DC290" i="27"/>
  <c r="DB290" i="27"/>
  <c r="EY303" i="27"/>
  <c r="EX303" i="27"/>
  <c r="EZ303" i="27"/>
  <c r="FK303" i="27"/>
  <c r="EX307" i="27"/>
  <c r="EZ307" i="27"/>
  <c r="FK307" i="27"/>
  <c r="EY307" i="27"/>
  <c r="EX304" i="27"/>
  <c r="EZ304" i="27"/>
  <c r="FK304" i="27"/>
  <c r="EY304" i="27"/>
  <c r="EY308" i="27"/>
  <c r="EZ308" i="27"/>
  <c r="FK308" i="27"/>
  <c r="FM308" i="27" s="1"/>
  <c r="EX308" i="27"/>
  <c r="EZ311" i="27"/>
  <c r="FK311" i="27"/>
  <c r="FM311" i="27" s="1"/>
  <c r="EX311" i="27"/>
  <c r="EY311" i="27"/>
  <c r="EX312" i="27"/>
  <c r="EZ312" i="27"/>
  <c r="EY312" i="27"/>
  <c r="FK312" i="27"/>
  <c r="FM312" i="27" s="1"/>
  <c r="HG300" i="27"/>
  <c r="HI300" i="27" s="1"/>
  <c r="GT300" i="27"/>
  <c r="GV300" i="27"/>
  <c r="GU300" i="27"/>
  <c r="GU299" i="27"/>
  <c r="GT299" i="27"/>
  <c r="HG299" i="27"/>
  <c r="GV299" i="27"/>
  <c r="M96" i="31"/>
  <c r="AG96" i="31" s="1"/>
  <c r="AI92" i="3"/>
  <c r="HE329" i="27"/>
  <c r="GJ329" i="27"/>
  <c r="GI329" i="27"/>
  <c r="GH329" i="27"/>
  <c r="CP333" i="27"/>
  <c r="CQ333" i="27"/>
  <c r="CR333" i="27"/>
  <c r="DM333" i="27"/>
  <c r="CQ330" i="27"/>
  <c r="DM330" i="27"/>
  <c r="CR330" i="27"/>
  <c r="CP330" i="27"/>
  <c r="HE337" i="27"/>
  <c r="GJ337" i="27"/>
  <c r="GH337" i="27"/>
  <c r="GI337" i="27"/>
  <c r="HE326" i="27"/>
  <c r="GI326" i="27"/>
  <c r="GH326" i="27"/>
  <c r="GJ326" i="27"/>
  <c r="FI325" i="27"/>
  <c r="EL325" i="27"/>
  <c r="EN325" i="27"/>
  <c r="EM325" i="27"/>
  <c r="DM327" i="27"/>
  <c r="CR327" i="27"/>
  <c r="CP327" i="27"/>
  <c r="CQ327" i="27"/>
  <c r="EL320" i="27"/>
  <c r="FI320" i="27"/>
  <c r="EN320" i="27"/>
  <c r="EM320" i="27"/>
  <c r="GH362" i="27"/>
  <c r="GI362" i="27"/>
  <c r="GJ362" i="27"/>
  <c r="HE362" i="27"/>
  <c r="HE349" i="27"/>
  <c r="GH349" i="27"/>
  <c r="GI349" i="27"/>
  <c r="GJ349" i="27"/>
  <c r="FI357" i="27"/>
  <c r="EL357" i="27"/>
  <c r="EN357" i="27"/>
  <c r="EM357" i="27"/>
  <c r="CQ348" i="27"/>
  <c r="DM348" i="27"/>
  <c r="CP348" i="27"/>
  <c r="CR348" i="27"/>
  <c r="FI364" i="27"/>
  <c r="EL364" i="27"/>
  <c r="EN364" i="27"/>
  <c r="EM364" i="27"/>
  <c r="GJ351" i="27"/>
  <c r="HE351" i="27"/>
  <c r="GI351" i="27"/>
  <c r="GH351" i="27"/>
  <c r="DM353" i="27"/>
  <c r="CQ353" i="27"/>
  <c r="CP353" i="27"/>
  <c r="CR353" i="27"/>
  <c r="GJ346" i="27"/>
  <c r="GI346" i="27"/>
  <c r="HE346" i="27"/>
  <c r="GH346" i="27"/>
  <c r="GJ347" i="27"/>
  <c r="GH347" i="27"/>
  <c r="HE347" i="27"/>
  <c r="GI347" i="27"/>
  <c r="CV355" i="27"/>
  <c r="CX355" i="27"/>
  <c r="DN355" i="27"/>
  <c r="CW355" i="27"/>
  <c r="CV342" i="27"/>
  <c r="DN342" i="27"/>
  <c r="CX342" i="27"/>
  <c r="CW342" i="27"/>
  <c r="GN359" i="27"/>
  <c r="GP359" i="27"/>
  <c r="GO359" i="27"/>
  <c r="HF359" i="27"/>
  <c r="GO346" i="27"/>
  <c r="GP346" i="27"/>
  <c r="HF346" i="27"/>
  <c r="GN346" i="27"/>
  <c r="DN348" i="27"/>
  <c r="CV348" i="27"/>
  <c r="CX348" i="27"/>
  <c r="CW348" i="27"/>
  <c r="ER344" i="27"/>
  <c r="ET344" i="27"/>
  <c r="ES344" i="27"/>
  <c r="FJ344" i="27"/>
  <c r="CW358" i="27"/>
  <c r="CV358" i="27"/>
  <c r="CX358" i="27"/>
  <c r="DN358" i="27"/>
  <c r="FJ361" i="27"/>
  <c r="ER361" i="27"/>
  <c r="ET361" i="27"/>
  <c r="ES361" i="27"/>
  <c r="FJ364" i="27"/>
  <c r="ER364" i="27"/>
  <c r="ET364" i="27"/>
  <c r="ES364" i="27"/>
  <c r="DP294" i="27"/>
  <c r="DJ294" i="27"/>
  <c r="DH294" i="27"/>
  <c r="DI294" i="27"/>
  <c r="FL289" i="27"/>
  <c r="FD289" i="27"/>
  <c r="FE289" i="27"/>
  <c r="FF289" i="27"/>
  <c r="DP296" i="27"/>
  <c r="DJ296" i="27"/>
  <c r="DH296" i="27"/>
  <c r="DI296" i="27"/>
  <c r="DH295" i="27"/>
  <c r="DP295" i="27"/>
  <c r="DI295" i="27"/>
  <c r="DJ295" i="27"/>
  <c r="FF288" i="27"/>
  <c r="FE288" i="27"/>
  <c r="FL288" i="27"/>
  <c r="FD288" i="27"/>
  <c r="FE290" i="27"/>
  <c r="FF290" i="27"/>
  <c r="FL290" i="27"/>
  <c r="FD290" i="27"/>
  <c r="HB298" i="27"/>
  <c r="HH298" i="27"/>
  <c r="HA298" i="27"/>
  <c r="GZ298" i="27"/>
  <c r="DJ282" i="27"/>
  <c r="DP282" i="27"/>
  <c r="DH282" i="27"/>
  <c r="DI282" i="27"/>
  <c r="HH314" i="27"/>
  <c r="HI314" i="27" s="1"/>
  <c r="HB314" i="27"/>
  <c r="GZ314" i="27"/>
  <c r="HA314" i="27"/>
  <c r="FF302" i="27"/>
  <c r="FE302" i="27"/>
  <c r="FL302" i="27"/>
  <c r="FD302" i="27"/>
  <c r="FL299" i="27"/>
  <c r="FM299" i="27" s="1"/>
  <c r="FF299" i="27"/>
  <c r="FD299" i="27"/>
  <c r="FE299" i="27"/>
  <c r="GZ303" i="27"/>
  <c r="HH303" i="27"/>
  <c r="HI303" i="27" s="1"/>
  <c r="HA303" i="27"/>
  <c r="HB303" i="27"/>
  <c r="FF317" i="27"/>
  <c r="FE317" i="27"/>
  <c r="FL317" i="27"/>
  <c r="FD317" i="27"/>
  <c r="DI311" i="27"/>
  <c r="DJ311" i="27"/>
  <c r="DP311" i="27"/>
  <c r="DH311" i="27"/>
  <c r="FL304" i="27"/>
  <c r="FE304" i="27"/>
  <c r="FF304" i="27"/>
  <c r="FD304" i="27"/>
  <c r="FE316" i="27"/>
  <c r="FL316" i="27"/>
  <c r="FF316" i="27"/>
  <c r="FD316" i="27"/>
  <c r="N94" i="31"/>
  <c r="AH94" i="31" s="1"/>
  <c r="AJ90" i="3"/>
  <c r="G32" i="5"/>
  <c r="Q32" i="5" s="1"/>
  <c r="I30" i="5"/>
  <c r="S30" i="5" s="1"/>
  <c r="K29" i="5"/>
  <c r="U29" i="5" s="1"/>
  <c r="J29" i="5"/>
  <c r="T29" i="5" s="1"/>
  <c r="AR194" i="3"/>
  <c r="X106" i="5"/>
  <c r="AP355" i="3"/>
  <c r="AS104" i="3"/>
  <c r="AR177" i="3"/>
  <c r="AP358" i="3"/>
  <c r="AQ334" i="3"/>
  <c r="AQ352" i="3"/>
  <c r="AQ327" i="3"/>
  <c r="Y99" i="5"/>
  <c r="AQ325" i="3"/>
  <c r="AS96" i="3"/>
  <c r="AQ310" i="3"/>
  <c r="AQ344" i="3"/>
  <c r="AS106" i="3"/>
  <c r="AQ278" i="3"/>
  <c r="AQ281" i="3"/>
  <c r="AR199" i="3"/>
  <c r="AQ333" i="3"/>
  <c r="AR186" i="3"/>
  <c r="AS111" i="3"/>
  <c r="AR195" i="3"/>
  <c r="AQ307" i="3"/>
  <c r="AQ280" i="3"/>
  <c r="AR167" i="3"/>
  <c r="AQ346" i="3"/>
  <c r="AQ286" i="3"/>
  <c r="AQ337" i="3"/>
  <c r="AQ348" i="3"/>
  <c r="AB95" i="5"/>
  <c r="AQ306" i="3"/>
  <c r="AP360" i="3"/>
  <c r="AS109" i="3"/>
  <c r="AQ300" i="3"/>
  <c r="AR182" i="3"/>
  <c r="AQ338" i="3"/>
  <c r="AP354" i="3"/>
  <c r="AR183" i="3"/>
  <c r="AS103" i="3"/>
  <c r="X108" i="5"/>
  <c r="AR174" i="3"/>
  <c r="AR170" i="3"/>
  <c r="X107" i="5"/>
  <c r="AB97" i="5"/>
  <c r="AQ299" i="3"/>
  <c r="AR166" i="3"/>
  <c r="AR168" i="3"/>
  <c r="AQ291" i="3"/>
  <c r="AP340" i="3"/>
  <c r="AA97" i="5"/>
  <c r="AQ315" i="3"/>
  <c r="AQ285" i="3"/>
  <c r="AQ326" i="3"/>
  <c r="AP342" i="3"/>
  <c r="AP345" i="3"/>
  <c r="AR185" i="3"/>
  <c r="AQ357" i="3"/>
  <c r="AR172" i="3"/>
  <c r="AQ303" i="3"/>
  <c r="AQ298" i="3"/>
  <c r="AR181" i="3"/>
  <c r="AS94" i="3"/>
  <c r="AQ328" i="3"/>
  <c r="AS105" i="3"/>
  <c r="AQ290" i="3"/>
  <c r="AQ354" i="3"/>
  <c r="AQ279" i="3"/>
  <c r="AQ342" i="3"/>
  <c r="AR175" i="3"/>
  <c r="Z98" i="5"/>
  <c r="AQ356" i="3"/>
  <c r="AP352" i="3"/>
  <c r="AQ277" i="3"/>
  <c r="AQ301" i="3"/>
  <c r="AR165" i="3"/>
  <c r="AQ309" i="3"/>
  <c r="AQ287" i="3"/>
  <c r="AR190" i="3"/>
  <c r="AR191" i="3"/>
  <c r="AP349" i="3"/>
  <c r="AA95" i="5"/>
  <c r="X105" i="5"/>
  <c r="AR184" i="3"/>
  <c r="AQ314" i="3"/>
  <c r="AQ343" i="3"/>
  <c r="AR193" i="3"/>
  <c r="AQ320" i="3"/>
  <c r="AQ341" i="3"/>
  <c r="AP339" i="3"/>
  <c r="AQ340" i="3"/>
  <c r="AQ336" i="3"/>
  <c r="AB96" i="5"/>
  <c r="AQ353" i="3"/>
  <c r="AQ297" i="3"/>
  <c r="AR179" i="3"/>
  <c r="AR189" i="3"/>
  <c r="AQ349" i="3"/>
  <c r="AQ322" i="3"/>
  <c r="AQ308" i="3"/>
  <c r="AQ295" i="3"/>
  <c r="AQ283" i="3"/>
  <c r="AQ292" i="3"/>
  <c r="AP357" i="3"/>
  <c r="AS93" i="3"/>
  <c r="AQ335" i="3"/>
  <c r="AP343" i="3"/>
  <c r="AQ316" i="3"/>
  <c r="AR169" i="3"/>
  <c r="AS97" i="3"/>
  <c r="AR180" i="3"/>
  <c r="AR197" i="3"/>
  <c r="Y100" i="5"/>
  <c r="AQ284" i="3"/>
  <c r="AR192" i="3"/>
  <c r="AQ345" i="3"/>
  <c r="AP353" i="3"/>
  <c r="AQ317" i="3"/>
  <c r="AS102" i="3"/>
  <c r="Z101" i="5"/>
  <c r="AQ332" i="3"/>
  <c r="AS99" i="3"/>
  <c r="AR188" i="3"/>
  <c r="AR178" i="3"/>
  <c r="AR196" i="3"/>
  <c r="AQ276" i="3"/>
  <c r="AP338" i="3"/>
  <c r="AP346" i="3"/>
  <c r="AP350" i="3"/>
  <c r="AP362" i="3"/>
  <c r="AR200" i="3"/>
  <c r="AQ305" i="3"/>
  <c r="AP351" i="3"/>
  <c r="AQ324" i="3"/>
  <c r="AR173" i="3"/>
  <c r="AP359" i="3"/>
  <c r="AP361" i="3"/>
  <c r="AQ293" i="3"/>
  <c r="AR201" i="3"/>
  <c r="AQ351" i="3"/>
  <c r="Y98" i="5"/>
  <c r="AQ304" i="3"/>
  <c r="AQ331" i="3"/>
  <c r="AA96" i="5"/>
  <c r="AQ355" i="3"/>
  <c r="AS110" i="3"/>
  <c r="AQ288" i="3"/>
  <c r="AQ302" i="3"/>
  <c r="AQ294" i="3"/>
  <c r="AQ296" i="3"/>
  <c r="AR198" i="3"/>
  <c r="AQ330" i="3"/>
  <c r="AR202" i="3"/>
  <c r="Z100" i="5"/>
  <c r="AQ311" i="3"/>
  <c r="AR176" i="3"/>
  <c r="AS95" i="3"/>
  <c r="AQ323" i="3"/>
  <c r="AQ289" i="3"/>
  <c r="AQ312" i="3"/>
  <c r="AR171" i="3"/>
  <c r="AS108" i="3"/>
  <c r="AS100" i="3"/>
  <c r="AQ339" i="3"/>
  <c r="AS101" i="3"/>
  <c r="AP347" i="3"/>
  <c r="AP356" i="3"/>
  <c r="AQ321" i="3"/>
  <c r="AQ350" i="3"/>
  <c r="AP348" i="3"/>
  <c r="AQ318" i="3"/>
  <c r="AQ347" i="3"/>
  <c r="AS98" i="3"/>
  <c r="AQ319" i="3"/>
  <c r="AQ329" i="3"/>
  <c r="AP363" i="3"/>
  <c r="AR187" i="3"/>
  <c r="AQ282" i="3"/>
  <c r="AS107" i="3"/>
  <c r="AP344" i="3"/>
  <c r="AQ313" i="3"/>
  <c r="AP341" i="3"/>
  <c r="Z99" i="5"/>
  <c r="DQ301" i="27" l="1"/>
  <c r="DU301" i="27" s="1"/>
  <c r="DQ279" i="27"/>
  <c r="DW279" i="27" s="1"/>
  <c r="FM300" i="27"/>
  <c r="FS300" i="27" s="1"/>
  <c r="HI279" i="27"/>
  <c r="DQ284" i="27"/>
  <c r="DQ308" i="27"/>
  <c r="FM294" i="27"/>
  <c r="HI308" i="27"/>
  <c r="FM318" i="27"/>
  <c r="FM282" i="27"/>
  <c r="HI299" i="27"/>
  <c r="HM299" i="27" s="1"/>
  <c r="DQ313" i="27"/>
  <c r="HI305" i="27"/>
  <c r="DQ297" i="27"/>
  <c r="DU297" i="27" s="1"/>
  <c r="FM309" i="27"/>
  <c r="FM293" i="27"/>
  <c r="FM287" i="27"/>
  <c r="DQ291" i="27"/>
  <c r="DW291" i="27" s="1"/>
  <c r="HI313" i="27"/>
  <c r="HI306" i="27"/>
  <c r="HM306" i="27" s="1"/>
  <c r="FQ265" i="27"/>
  <c r="FM305" i="27"/>
  <c r="FS305" i="27" s="1"/>
  <c r="HO249" i="27"/>
  <c r="HI309" i="27"/>
  <c r="HM309" i="27" s="1"/>
  <c r="HM270" i="27"/>
  <c r="FQ244" i="27"/>
  <c r="FS257" i="27"/>
  <c r="FM303" i="27"/>
  <c r="FQ303" i="27" s="1"/>
  <c r="FQ243" i="27"/>
  <c r="HI291" i="27"/>
  <c r="HO291" i="27" s="1"/>
  <c r="FM291" i="27"/>
  <c r="HI293" i="27"/>
  <c r="FM313" i="27"/>
  <c r="FS313" i="27" s="1"/>
  <c r="FM310" i="27"/>
  <c r="FS310" i="27" s="1"/>
  <c r="DQ314" i="27"/>
  <c r="DW314" i="27" s="1"/>
  <c r="HI310" i="27"/>
  <c r="HO310" i="27" s="1"/>
  <c r="DQ305" i="27"/>
  <c r="DU305" i="27" s="1"/>
  <c r="DQ307" i="27"/>
  <c r="DW307" i="27" s="1"/>
  <c r="DQ312" i="27"/>
  <c r="DQ316" i="27"/>
  <c r="DQ299" i="27"/>
  <c r="DW299" i="27" s="1"/>
  <c r="DQ311" i="27"/>
  <c r="DW311" i="27" s="1"/>
  <c r="DW253" i="27"/>
  <c r="DQ298" i="27"/>
  <c r="HI302" i="27"/>
  <c r="HM302" i="27" s="1"/>
  <c r="FM304" i="27"/>
  <c r="FS304" i="27" s="1"/>
  <c r="HI316" i="27"/>
  <c r="HO316" i="27" s="1"/>
  <c r="DQ303" i="27"/>
  <c r="DU303" i="27" s="1"/>
  <c r="FM279" i="27"/>
  <c r="FS279" i="27" s="1"/>
  <c r="HI301" i="27"/>
  <c r="HM301" i="27" s="1"/>
  <c r="HI318" i="27"/>
  <c r="HO318" i="27" s="1"/>
  <c r="HI311" i="27"/>
  <c r="HM311" i="27" s="1"/>
  <c r="FM315" i="27"/>
  <c r="FS315" i="27" s="1"/>
  <c r="FQ252" i="27"/>
  <c r="FM316" i="27"/>
  <c r="FS316" i="27" s="1"/>
  <c r="FM317" i="27"/>
  <c r="FQ317" i="27" s="1"/>
  <c r="FM307" i="27"/>
  <c r="FS307" i="27" s="1"/>
  <c r="HI317" i="27"/>
  <c r="HM317" i="27" s="1"/>
  <c r="DQ309" i="27"/>
  <c r="DW309" i="27" s="1"/>
  <c r="DQ310" i="27"/>
  <c r="DU310" i="27" s="1"/>
  <c r="HI285" i="27"/>
  <c r="HO285" i="27" s="1"/>
  <c r="AE96" i="3"/>
  <c r="AE95" i="3"/>
  <c r="AE94" i="3"/>
  <c r="AF96" i="3"/>
  <c r="AF94" i="3"/>
  <c r="AF95" i="3"/>
  <c r="AT101" i="3"/>
  <c r="AT104" i="3"/>
  <c r="AT100" i="3"/>
  <c r="AT99" i="3"/>
  <c r="AT105" i="3"/>
  <c r="AT103" i="3"/>
  <c r="AT102" i="3"/>
  <c r="AT96" i="3"/>
  <c r="AT98" i="3"/>
  <c r="AT95" i="3"/>
  <c r="AT94" i="3"/>
  <c r="AT93" i="3"/>
  <c r="AT97" i="3"/>
  <c r="AB106" i="3"/>
  <c r="AB107" i="3"/>
  <c r="AB104" i="3"/>
  <c r="AB105" i="3"/>
  <c r="AT109" i="3"/>
  <c r="AT106" i="3"/>
  <c r="AT110" i="3"/>
  <c r="AT111" i="3"/>
  <c r="AT108" i="3"/>
  <c r="AT107" i="3"/>
  <c r="AC99" i="3"/>
  <c r="AC97" i="3"/>
  <c r="AC98" i="3"/>
  <c r="AD99" i="3"/>
  <c r="AD100" i="3"/>
  <c r="AD97" i="3"/>
  <c r="AD98" i="3"/>
  <c r="FS299" i="27"/>
  <c r="FQ299" i="27"/>
  <c r="FS309" i="27"/>
  <c r="FQ309" i="27"/>
  <c r="HO299" i="27"/>
  <c r="HO307" i="27"/>
  <c r="HM307" i="27"/>
  <c r="HO313" i="27"/>
  <c r="HM313" i="27"/>
  <c r="HM305" i="27"/>
  <c r="HO305" i="27"/>
  <c r="HM300" i="27"/>
  <c r="HO300" i="27"/>
  <c r="FS312" i="27"/>
  <c r="FQ312" i="27"/>
  <c r="HO306" i="27"/>
  <c r="DW308" i="27"/>
  <c r="DU308" i="27"/>
  <c r="HO314" i="27"/>
  <c r="HM314" i="27"/>
  <c r="FQ318" i="27"/>
  <c r="FS318" i="27"/>
  <c r="FS306" i="27"/>
  <c r="FQ306" i="27"/>
  <c r="FS311" i="27"/>
  <c r="FQ311" i="27"/>
  <c r="FQ319" i="27"/>
  <c r="FS319" i="27"/>
  <c r="HO309" i="27"/>
  <c r="HM304" i="27"/>
  <c r="HO304" i="27"/>
  <c r="DW318" i="27"/>
  <c r="DU318" i="27"/>
  <c r="FQ305" i="27"/>
  <c r="HM303" i="27"/>
  <c r="HO303" i="27"/>
  <c r="FQ308" i="27"/>
  <c r="FS308" i="27"/>
  <c r="HM315" i="27"/>
  <c r="HO315" i="27"/>
  <c r="DU314" i="27"/>
  <c r="Q93" i="31"/>
  <c r="AJ93" i="31"/>
  <c r="BF96" i="31"/>
  <c r="AT96" i="31"/>
  <c r="AZ96" i="31" s="1"/>
  <c r="FS294" i="27"/>
  <c r="FQ294" i="27"/>
  <c r="DW312" i="27"/>
  <c r="DU312" i="27"/>
  <c r="FQ283" i="27"/>
  <c r="FS283" i="27"/>
  <c r="BQ53" i="23"/>
  <c r="BD105" i="31"/>
  <c r="AR105" i="31"/>
  <c r="AX105" i="31" s="1"/>
  <c r="BE97" i="31"/>
  <c r="AS97" i="31"/>
  <c r="AY97" i="31" s="1"/>
  <c r="FM285" i="27"/>
  <c r="M98" i="31"/>
  <c r="AG98" i="31" s="1"/>
  <c r="AI94" i="3"/>
  <c r="DJ321" i="27"/>
  <c r="DI321" i="27"/>
  <c r="DP321" i="27"/>
  <c r="DH321" i="27"/>
  <c r="DP335" i="27"/>
  <c r="DI335" i="27"/>
  <c r="DH335" i="27"/>
  <c r="DJ335" i="27"/>
  <c r="HB340" i="27"/>
  <c r="HH340" i="27"/>
  <c r="HA340" i="27"/>
  <c r="GZ340" i="27"/>
  <c r="DI337" i="27"/>
  <c r="DH337" i="27"/>
  <c r="DJ337" i="27"/>
  <c r="DP337" i="27"/>
  <c r="FD336" i="27"/>
  <c r="FE336" i="27"/>
  <c r="FL336" i="27"/>
  <c r="FF336" i="27"/>
  <c r="FL334" i="27"/>
  <c r="FD334" i="27"/>
  <c r="FF334" i="27"/>
  <c r="FE334" i="27"/>
  <c r="DH329" i="27"/>
  <c r="DJ329" i="27"/>
  <c r="DI329" i="27"/>
  <c r="DP329" i="27"/>
  <c r="DI322" i="27"/>
  <c r="DP322" i="27"/>
  <c r="DH322" i="27"/>
  <c r="DJ322" i="27"/>
  <c r="HA350" i="27"/>
  <c r="GZ350" i="27"/>
  <c r="HH350" i="27"/>
  <c r="HB350" i="27"/>
  <c r="FL365" i="27"/>
  <c r="FD365" i="27"/>
  <c r="FE365" i="27"/>
  <c r="FF365" i="27"/>
  <c r="DI344" i="27"/>
  <c r="DH344" i="27"/>
  <c r="DJ344" i="27"/>
  <c r="DP344" i="27"/>
  <c r="DJ348" i="27"/>
  <c r="DH348" i="27"/>
  <c r="DP348" i="27"/>
  <c r="DI348" i="27"/>
  <c r="FL354" i="27"/>
  <c r="FD354" i="27"/>
  <c r="FF354" i="27"/>
  <c r="FE354" i="27"/>
  <c r="DH358" i="27"/>
  <c r="DP358" i="27"/>
  <c r="DJ358" i="27"/>
  <c r="DI358" i="27"/>
  <c r="HA355" i="27"/>
  <c r="GZ355" i="27"/>
  <c r="HH355" i="27"/>
  <c r="HB355" i="27"/>
  <c r="FL351" i="27"/>
  <c r="FF351" i="27"/>
  <c r="FE351" i="27"/>
  <c r="FD351" i="27"/>
  <c r="DI356" i="27"/>
  <c r="DP356" i="27"/>
  <c r="DH356" i="27"/>
  <c r="DJ356" i="27"/>
  <c r="P97" i="31"/>
  <c r="AL93" i="3"/>
  <c r="DD323" i="27"/>
  <c r="DC323" i="27"/>
  <c r="DO323" i="27"/>
  <c r="DB323" i="27"/>
  <c r="GU330" i="27"/>
  <c r="HG330" i="27"/>
  <c r="GT330" i="27"/>
  <c r="GV330" i="27"/>
  <c r="GT332" i="27"/>
  <c r="GV332" i="27"/>
  <c r="HG332" i="27"/>
  <c r="GU332" i="27"/>
  <c r="DD326" i="27"/>
  <c r="DB326" i="27"/>
  <c r="DC326" i="27"/>
  <c r="DO326" i="27"/>
  <c r="EY338" i="27"/>
  <c r="FK338" i="27"/>
  <c r="EX338" i="27"/>
  <c r="EZ338" i="27"/>
  <c r="FK341" i="27"/>
  <c r="EX341" i="27"/>
  <c r="EZ341" i="27"/>
  <c r="EY341" i="27"/>
  <c r="DD334" i="27"/>
  <c r="DC334" i="27"/>
  <c r="DO334" i="27"/>
  <c r="DB334" i="27"/>
  <c r="EY337" i="27"/>
  <c r="FK337" i="27"/>
  <c r="EX337" i="27"/>
  <c r="EZ337" i="27"/>
  <c r="EY352" i="27"/>
  <c r="FK352" i="27"/>
  <c r="EX352" i="27"/>
  <c r="EZ352" i="27"/>
  <c r="EZ365" i="27"/>
  <c r="FK365" i="27"/>
  <c r="FM365" i="27" s="1"/>
  <c r="EX365" i="27"/>
  <c r="EY365" i="27"/>
  <c r="GT356" i="27"/>
  <c r="HG356" i="27"/>
  <c r="GV356" i="27"/>
  <c r="GU356" i="27"/>
  <c r="DD353" i="27"/>
  <c r="DC353" i="27"/>
  <c r="DO353" i="27"/>
  <c r="DB353" i="27"/>
  <c r="FK351" i="27"/>
  <c r="EX351" i="27"/>
  <c r="EY351" i="27"/>
  <c r="EZ351" i="27"/>
  <c r="EZ346" i="27"/>
  <c r="FK346" i="27"/>
  <c r="EX346" i="27"/>
  <c r="EY346" i="27"/>
  <c r="DC361" i="27"/>
  <c r="DB361" i="27"/>
  <c r="DO361" i="27"/>
  <c r="DD361" i="27"/>
  <c r="DB347" i="27"/>
  <c r="DO347" i="27"/>
  <c r="DC347" i="27"/>
  <c r="DD347" i="27"/>
  <c r="GU350" i="27"/>
  <c r="HG350" i="27"/>
  <c r="HI350" i="27" s="1"/>
  <c r="GV350" i="27"/>
  <c r="GT350" i="27"/>
  <c r="DU290" i="27"/>
  <c r="DW290" i="27"/>
  <c r="DW263" i="27"/>
  <c r="DU263" i="27"/>
  <c r="AT95" i="31"/>
  <c r="AZ95" i="31" s="1"/>
  <c r="BF95" i="31"/>
  <c r="HM292" i="27"/>
  <c r="HO292" i="27"/>
  <c r="Q91" i="31"/>
  <c r="AJ91" i="31"/>
  <c r="FS301" i="27"/>
  <c r="FQ301" i="27"/>
  <c r="DU279" i="27"/>
  <c r="H31" i="5"/>
  <c r="R31" i="5" s="1"/>
  <c r="DQ289" i="27"/>
  <c r="DQ285" i="27"/>
  <c r="FM289" i="27"/>
  <c r="M99" i="31"/>
  <c r="AG99" i="31" s="1"/>
  <c r="AI95" i="3"/>
  <c r="FL321" i="27"/>
  <c r="FD321" i="27"/>
  <c r="FF321" i="27"/>
  <c r="FE321" i="27"/>
  <c r="HA320" i="27"/>
  <c r="GZ320" i="27"/>
  <c r="HH320" i="27"/>
  <c r="HB320" i="27"/>
  <c r="FE340" i="27"/>
  <c r="FF340" i="27"/>
  <c r="FL340" i="27"/>
  <c r="FD340" i="27"/>
  <c r="FF337" i="27"/>
  <c r="FE337" i="27"/>
  <c r="FL337" i="27"/>
  <c r="FD337" i="27"/>
  <c r="GZ326" i="27"/>
  <c r="HH326" i="27"/>
  <c r="HA326" i="27"/>
  <c r="HB326" i="27"/>
  <c r="DP334" i="27"/>
  <c r="DH334" i="27"/>
  <c r="DJ334" i="27"/>
  <c r="DI334" i="27"/>
  <c r="FL329" i="27"/>
  <c r="FD329" i="27"/>
  <c r="FF329" i="27"/>
  <c r="FE329" i="27"/>
  <c r="FL332" i="27"/>
  <c r="FE332" i="27"/>
  <c r="FF332" i="27"/>
  <c r="FD332" i="27"/>
  <c r="DP350" i="27"/>
  <c r="DH350" i="27"/>
  <c r="DJ350" i="27"/>
  <c r="DI350" i="27"/>
  <c r="GZ365" i="27"/>
  <c r="HH365" i="27"/>
  <c r="HA365" i="27"/>
  <c r="HB365" i="27"/>
  <c r="DP359" i="27"/>
  <c r="DJ359" i="27"/>
  <c r="DH359" i="27"/>
  <c r="DI359" i="27"/>
  <c r="HH348" i="27"/>
  <c r="GZ348" i="27"/>
  <c r="HA348" i="27"/>
  <c r="HB348" i="27"/>
  <c r="GZ354" i="27"/>
  <c r="HH354" i="27"/>
  <c r="HB354" i="27"/>
  <c r="HA354" i="27"/>
  <c r="DJ352" i="27"/>
  <c r="DI352" i="27"/>
  <c r="DP352" i="27"/>
  <c r="DH352" i="27"/>
  <c r="DJ355" i="27"/>
  <c r="DP355" i="27"/>
  <c r="DI355" i="27"/>
  <c r="DH355" i="27"/>
  <c r="DI351" i="27"/>
  <c r="DP351" i="27"/>
  <c r="DH351" i="27"/>
  <c r="DJ351" i="27"/>
  <c r="DJ347" i="27"/>
  <c r="DI347" i="27"/>
  <c r="DP347" i="27"/>
  <c r="DH347" i="27"/>
  <c r="AL91" i="3"/>
  <c r="P95" i="31"/>
  <c r="FK339" i="27"/>
  <c r="EX339" i="27"/>
  <c r="EZ339" i="27"/>
  <c r="EY339" i="27"/>
  <c r="DO330" i="27"/>
  <c r="DD330" i="27"/>
  <c r="DB330" i="27"/>
  <c r="DC330" i="27"/>
  <c r="EX332" i="27"/>
  <c r="EZ332" i="27"/>
  <c r="EY332" i="27"/>
  <c r="FK332" i="27"/>
  <c r="FK336" i="27"/>
  <c r="FM336" i="27" s="1"/>
  <c r="EY336" i="27"/>
  <c r="EX336" i="27"/>
  <c r="EZ336" i="27"/>
  <c r="GV338" i="27"/>
  <c r="GU338" i="27"/>
  <c r="GT338" i="27"/>
  <c r="HG338" i="27"/>
  <c r="DB341" i="27"/>
  <c r="DD341" i="27"/>
  <c r="DC341" i="27"/>
  <c r="DO341" i="27"/>
  <c r="EY329" i="27"/>
  <c r="FK329" i="27"/>
  <c r="EX329" i="27"/>
  <c r="EZ329" i="27"/>
  <c r="GV337" i="27"/>
  <c r="HG337" i="27"/>
  <c r="GU337" i="27"/>
  <c r="GT337" i="27"/>
  <c r="HG352" i="27"/>
  <c r="GT352" i="27"/>
  <c r="GU352" i="27"/>
  <c r="GV352" i="27"/>
  <c r="EZ349" i="27"/>
  <c r="EY349" i="27"/>
  <c r="FK349" i="27"/>
  <c r="EX349" i="27"/>
  <c r="EX356" i="27"/>
  <c r="EY356" i="27"/>
  <c r="EZ356" i="27"/>
  <c r="FK356" i="27"/>
  <c r="EY353" i="27"/>
  <c r="FK353" i="27"/>
  <c r="EX353" i="27"/>
  <c r="EZ353" i="27"/>
  <c r="EY342" i="27"/>
  <c r="FK342" i="27"/>
  <c r="EX342" i="27"/>
  <c r="EZ342" i="27"/>
  <c r="GU346" i="27"/>
  <c r="GV346" i="27"/>
  <c r="GT346" i="27"/>
  <c r="HG346" i="27"/>
  <c r="GU361" i="27"/>
  <c r="HG361" i="27"/>
  <c r="GT361" i="27"/>
  <c r="GV361" i="27"/>
  <c r="DB363" i="27"/>
  <c r="DD363" i="27"/>
  <c r="DC363" i="27"/>
  <c r="DO363" i="27"/>
  <c r="DO350" i="27"/>
  <c r="DC350" i="27"/>
  <c r="DB350" i="27"/>
  <c r="DD350" i="27"/>
  <c r="FQ291" i="27"/>
  <c r="FS291" i="27"/>
  <c r="FS314" i="27"/>
  <c r="FQ314" i="27"/>
  <c r="DQ282" i="27"/>
  <c r="DW317" i="27"/>
  <c r="DU317" i="27"/>
  <c r="FM296" i="27"/>
  <c r="DU306" i="27"/>
  <c r="DW306" i="27"/>
  <c r="HM291" i="27"/>
  <c r="FS245" i="27"/>
  <c r="FQ245" i="27"/>
  <c r="DQ300" i="27"/>
  <c r="FM302" i="27"/>
  <c r="DQ294" i="27"/>
  <c r="HM285" i="27"/>
  <c r="FM280" i="27"/>
  <c r="BG92" i="31"/>
  <c r="AU92" i="31"/>
  <c r="BA92" i="31" s="1"/>
  <c r="BD107" i="31"/>
  <c r="AR107" i="31"/>
  <c r="AX107" i="31" s="1"/>
  <c r="DQ288" i="27"/>
  <c r="FM286" i="27"/>
  <c r="AI96" i="3"/>
  <c r="M100" i="31"/>
  <c r="AG100" i="31" s="1"/>
  <c r="GZ321" i="27"/>
  <c r="HH321" i="27"/>
  <c r="HB321" i="27"/>
  <c r="HA321" i="27"/>
  <c r="DI320" i="27"/>
  <c r="DH320" i="27"/>
  <c r="DJ320" i="27"/>
  <c r="DP320" i="27"/>
  <c r="FE323" i="27"/>
  <c r="FL323" i="27"/>
  <c r="FD323" i="27"/>
  <c r="FF323" i="27"/>
  <c r="GZ337" i="27"/>
  <c r="HB337" i="27"/>
  <c r="HA337" i="27"/>
  <c r="HH337" i="27"/>
  <c r="FD326" i="27"/>
  <c r="FE326" i="27"/>
  <c r="FF326" i="27"/>
  <c r="FL326" i="27"/>
  <c r="FF328" i="27"/>
  <c r="FL328" i="27"/>
  <c r="FD328" i="27"/>
  <c r="FE328" i="27"/>
  <c r="GZ329" i="27"/>
  <c r="HH329" i="27"/>
  <c r="HB329" i="27"/>
  <c r="HA329" i="27"/>
  <c r="HH332" i="27"/>
  <c r="HB332" i="27"/>
  <c r="HA332" i="27"/>
  <c r="GZ332" i="27"/>
  <c r="FL353" i="27"/>
  <c r="FE353" i="27"/>
  <c r="FD353" i="27"/>
  <c r="FF353" i="27"/>
  <c r="DH365" i="27"/>
  <c r="DJ365" i="27"/>
  <c r="DP365" i="27"/>
  <c r="DI365" i="27"/>
  <c r="HA359" i="27"/>
  <c r="GZ359" i="27"/>
  <c r="HB359" i="27"/>
  <c r="HH359" i="27"/>
  <c r="FD362" i="27"/>
  <c r="FF362" i="27"/>
  <c r="FE362" i="27"/>
  <c r="FL362" i="27"/>
  <c r="DP354" i="27"/>
  <c r="DI354" i="27"/>
  <c r="DJ354" i="27"/>
  <c r="DH354" i="27"/>
  <c r="HA352" i="27"/>
  <c r="HH352" i="27"/>
  <c r="GZ352" i="27"/>
  <c r="HB352" i="27"/>
  <c r="DJ343" i="27"/>
  <c r="DI343" i="27"/>
  <c r="DH343" i="27"/>
  <c r="DP343" i="27"/>
  <c r="HH351" i="27"/>
  <c r="HB351" i="27"/>
  <c r="GZ351" i="27"/>
  <c r="HA351" i="27"/>
  <c r="HH347" i="27"/>
  <c r="HA347" i="27"/>
  <c r="GZ347" i="27"/>
  <c r="HB347" i="27"/>
  <c r="HG339" i="27"/>
  <c r="GV339" i="27"/>
  <c r="GU339" i="27"/>
  <c r="GT339" i="27"/>
  <c r="GU331" i="27"/>
  <c r="GV331" i="27"/>
  <c r="HG331" i="27"/>
  <c r="GT331" i="27"/>
  <c r="DC332" i="27"/>
  <c r="DO332" i="27"/>
  <c r="DQ332" i="27" s="1"/>
  <c r="DB332" i="27"/>
  <c r="DD332" i="27"/>
  <c r="GT336" i="27"/>
  <c r="GV336" i="27"/>
  <c r="GU336" i="27"/>
  <c r="HG336" i="27"/>
  <c r="FK321" i="27"/>
  <c r="EY321" i="27"/>
  <c r="EX321" i="27"/>
  <c r="EZ321" i="27"/>
  <c r="GV341" i="27"/>
  <c r="HG341" i="27"/>
  <c r="GT341" i="27"/>
  <c r="GU341" i="27"/>
  <c r="GV329" i="27"/>
  <c r="HG329" i="27"/>
  <c r="GT329" i="27"/>
  <c r="GU329" i="27"/>
  <c r="DC328" i="27"/>
  <c r="DD328" i="27"/>
  <c r="DB328" i="27"/>
  <c r="DO328" i="27"/>
  <c r="DO352" i="27"/>
  <c r="DB352" i="27"/>
  <c r="DD352" i="27"/>
  <c r="DC352" i="27"/>
  <c r="HG349" i="27"/>
  <c r="GU349" i="27"/>
  <c r="GV349" i="27"/>
  <c r="GT349" i="27"/>
  <c r="EZ362" i="27"/>
  <c r="FK362" i="27"/>
  <c r="EX362" i="27"/>
  <c r="EY362" i="27"/>
  <c r="GT353" i="27"/>
  <c r="HG353" i="27"/>
  <c r="GV353" i="27"/>
  <c r="GU353" i="27"/>
  <c r="GU342" i="27"/>
  <c r="GT342" i="27"/>
  <c r="GV342" i="27"/>
  <c r="HG342" i="27"/>
  <c r="EY344" i="27"/>
  <c r="FK344" i="27"/>
  <c r="EX344" i="27"/>
  <c r="EZ344" i="27"/>
  <c r="EZ361" i="27"/>
  <c r="EY361" i="27"/>
  <c r="FK361" i="27"/>
  <c r="EX361" i="27"/>
  <c r="GV363" i="27"/>
  <c r="GT363" i="27"/>
  <c r="GU363" i="27"/>
  <c r="HG363" i="27"/>
  <c r="EZ357" i="27"/>
  <c r="FK357" i="27"/>
  <c r="EY357" i="27"/>
  <c r="EX357" i="27"/>
  <c r="HM287" i="27"/>
  <c r="HO287" i="27"/>
  <c r="DQ296" i="27"/>
  <c r="DW304" i="27"/>
  <c r="DU304" i="27"/>
  <c r="DW302" i="27"/>
  <c r="DU302" i="27"/>
  <c r="DU291" i="27"/>
  <c r="HO244" i="27"/>
  <c r="HM244" i="27"/>
  <c r="DQ292" i="27"/>
  <c r="FQ293" i="27"/>
  <c r="FS293" i="27"/>
  <c r="FQ281" i="27"/>
  <c r="FS281" i="27"/>
  <c r="AV90" i="31"/>
  <c r="BB90" i="31" s="1"/>
  <c r="BH90" i="31"/>
  <c r="DW260" i="27"/>
  <c r="DU260" i="27"/>
  <c r="DU284" i="27"/>
  <c r="DW284" i="27"/>
  <c r="DQ281" i="27"/>
  <c r="BQ60" i="23"/>
  <c r="FM284" i="27"/>
  <c r="HH338" i="27"/>
  <c r="HB338" i="27"/>
  <c r="GZ338" i="27"/>
  <c r="HA338" i="27"/>
  <c r="FD320" i="27"/>
  <c r="FL320" i="27"/>
  <c r="FE320" i="27"/>
  <c r="FF320" i="27"/>
  <c r="HH323" i="27"/>
  <c r="GZ323" i="27"/>
  <c r="HB323" i="27"/>
  <c r="HA323" i="27"/>
  <c r="FD339" i="27"/>
  <c r="FL339" i="27"/>
  <c r="FE339" i="27"/>
  <c r="FF339" i="27"/>
  <c r="DJ326" i="27"/>
  <c r="DI326" i="27"/>
  <c r="DP326" i="27"/>
  <c r="DH326" i="27"/>
  <c r="GZ328" i="27"/>
  <c r="HB328" i="27"/>
  <c r="HH328" i="27"/>
  <c r="HA328" i="27"/>
  <c r="HH333" i="27"/>
  <c r="GZ333" i="27"/>
  <c r="HB333" i="27"/>
  <c r="HA333" i="27"/>
  <c r="DP332" i="27"/>
  <c r="DI332" i="27"/>
  <c r="DJ332" i="27"/>
  <c r="DH332" i="27"/>
  <c r="HH353" i="27"/>
  <c r="GZ353" i="27"/>
  <c r="HB353" i="27"/>
  <c r="HA353" i="27"/>
  <c r="DJ342" i="27"/>
  <c r="DP342" i="27"/>
  <c r="DI342" i="27"/>
  <c r="DH342" i="27"/>
  <c r="FF359" i="27"/>
  <c r="FL359" i="27"/>
  <c r="FD359" i="27"/>
  <c r="FE359" i="27"/>
  <c r="HB362" i="27"/>
  <c r="HH362" i="27"/>
  <c r="HA362" i="27"/>
  <c r="GZ362" i="27"/>
  <c r="FF364" i="27"/>
  <c r="FE364" i="27"/>
  <c r="FD364" i="27"/>
  <c r="FL364" i="27"/>
  <c r="FF352" i="27"/>
  <c r="FE352" i="27"/>
  <c r="FL352" i="27"/>
  <c r="FD352" i="27"/>
  <c r="FE343" i="27"/>
  <c r="FL343" i="27"/>
  <c r="FD343" i="27"/>
  <c r="FF343" i="27"/>
  <c r="DJ357" i="27"/>
  <c r="DI357" i="27"/>
  <c r="DH357" i="27"/>
  <c r="DP357" i="27"/>
  <c r="FL347" i="27"/>
  <c r="FE347" i="27"/>
  <c r="FD347" i="27"/>
  <c r="FF347" i="27"/>
  <c r="N100" i="31"/>
  <c r="AH100" i="31" s="1"/>
  <c r="AJ96" i="3"/>
  <c r="DO339" i="27"/>
  <c r="DB339" i="27"/>
  <c r="DD339" i="27"/>
  <c r="DC339" i="27"/>
  <c r="EY331" i="27"/>
  <c r="FK331" i="27"/>
  <c r="EZ331" i="27"/>
  <c r="EX331" i="27"/>
  <c r="FK333" i="27"/>
  <c r="EX333" i="27"/>
  <c r="EY333" i="27"/>
  <c r="EZ333" i="27"/>
  <c r="DO336" i="27"/>
  <c r="DC336" i="27"/>
  <c r="DD336" i="27"/>
  <c r="DB336" i="27"/>
  <c r="GT321" i="27"/>
  <c r="HG321" i="27"/>
  <c r="HI321" i="27" s="1"/>
  <c r="GV321" i="27"/>
  <c r="GU321" i="27"/>
  <c r="FK324" i="27"/>
  <c r="EX324" i="27"/>
  <c r="EZ324" i="27"/>
  <c r="EY324" i="27"/>
  <c r="DO329" i="27"/>
  <c r="DB329" i="27"/>
  <c r="DC329" i="27"/>
  <c r="DD329" i="27"/>
  <c r="GT328" i="27"/>
  <c r="HG328" i="27"/>
  <c r="GV328" i="27"/>
  <c r="GU328" i="27"/>
  <c r="DC354" i="27"/>
  <c r="DO354" i="27"/>
  <c r="DQ354" i="27" s="1"/>
  <c r="DB354" i="27"/>
  <c r="DD354" i="27"/>
  <c r="DO349" i="27"/>
  <c r="DB349" i="27"/>
  <c r="DD349" i="27"/>
  <c r="DC349" i="27"/>
  <c r="GV362" i="27"/>
  <c r="GU362" i="27"/>
  <c r="GT362" i="27"/>
  <c r="HG362" i="27"/>
  <c r="FK358" i="27"/>
  <c r="EY358" i="27"/>
  <c r="EX358" i="27"/>
  <c r="EZ358" i="27"/>
  <c r="DC342" i="27"/>
  <c r="DD342" i="27"/>
  <c r="DB342" i="27"/>
  <c r="DO342" i="27"/>
  <c r="HG344" i="27"/>
  <c r="GV344" i="27"/>
  <c r="GU344" i="27"/>
  <c r="GT344" i="27"/>
  <c r="GT355" i="27"/>
  <c r="GV355" i="27"/>
  <c r="GU355" i="27"/>
  <c r="HG355" i="27"/>
  <c r="HI355" i="27" s="1"/>
  <c r="EY363" i="27"/>
  <c r="EX363" i="27"/>
  <c r="EZ363" i="27"/>
  <c r="FK363" i="27"/>
  <c r="GV357" i="27"/>
  <c r="GT357" i="27"/>
  <c r="HG357" i="27"/>
  <c r="GU357" i="27"/>
  <c r="BF94" i="31"/>
  <c r="AT94" i="31"/>
  <c r="AZ94" i="31" s="1"/>
  <c r="HM282" i="27"/>
  <c r="HO282" i="27"/>
  <c r="Q92" i="31"/>
  <c r="AJ92" i="31"/>
  <c r="DW315" i="27"/>
  <c r="DU315" i="27"/>
  <c r="HO312" i="27"/>
  <c r="HM312" i="27"/>
  <c r="DW319" i="27"/>
  <c r="DU319" i="27"/>
  <c r="DU316" i="27"/>
  <c r="DW316" i="27"/>
  <c r="FQ287" i="27"/>
  <c r="FS287" i="27"/>
  <c r="HO281" i="27"/>
  <c r="HM281" i="27"/>
  <c r="BE94" i="31"/>
  <c r="AS94" i="31"/>
  <c r="AY94" i="31" s="1"/>
  <c r="HI297" i="27"/>
  <c r="HI296" i="27"/>
  <c r="O97" i="31"/>
  <c r="AI97" i="31" s="1"/>
  <c r="AK93" i="3"/>
  <c r="DP338" i="27"/>
  <c r="DJ338" i="27"/>
  <c r="DH338" i="27"/>
  <c r="DI338" i="27"/>
  <c r="FF324" i="27"/>
  <c r="FD324" i="27"/>
  <c r="FE324" i="27"/>
  <c r="FL324" i="27"/>
  <c r="DH323" i="27"/>
  <c r="DP323" i="27"/>
  <c r="DI323" i="27"/>
  <c r="DJ323" i="27"/>
  <c r="HA339" i="27"/>
  <c r="GZ339" i="27"/>
  <c r="HH339" i="27"/>
  <c r="HB339" i="27"/>
  <c r="FE331" i="27"/>
  <c r="FD331" i="27"/>
  <c r="FF331" i="27"/>
  <c r="FL331" i="27"/>
  <c r="DP328" i="27"/>
  <c r="DI328" i="27"/>
  <c r="DH328" i="27"/>
  <c r="DJ328" i="27"/>
  <c r="DP333" i="27"/>
  <c r="DH333" i="27"/>
  <c r="DJ333" i="27"/>
  <c r="DI333" i="27"/>
  <c r="DJ325" i="27"/>
  <c r="DP325" i="27"/>
  <c r="DI325" i="27"/>
  <c r="DH325" i="27"/>
  <c r="DH353" i="27"/>
  <c r="DP353" i="27"/>
  <c r="DQ353" i="27" s="1"/>
  <c r="DJ353" i="27"/>
  <c r="DI353" i="27"/>
  <c r="FE342" i="27"/>
  <c r="FL342" i="27"/>
  <c r="FD342" i="27"/>
  <c r="FF342" i="27"/>
  <c r="DJ345" i="27"/>
  <c r="DH345" i="27"/>
  <c r="DP345" i="27"/>
  <c r="DI345" i="27"/>
  <c r="DJ362" i="27"/>
  <c r="DP362" i="27"/>
  <c r="DI362" i="27"/>
  <c r="DH362" i="27"/>
  <c r="HA364" i="27"/>
  <c r="GZ364" i="27"/>
  <c r="HH364" i="27"/>
  <c r="HB364" i="27"/>
  <c r="FF361" i="27"/>
  <c r="FE361" i="27"/>
  <c r="FD361" i="27"/>
  <c r="FL361" i="27"/>
  <c r="HA343" i="27"/>
  <c r="HB343" i="27"/>
  <c r="GZ343" i="27"/>
  <c r="HH343" i="27"/>
  <c r="GZ357" i="27"/>
  <c r="HH357" i="27"/>
  <c r="HB357" i="27"/>
  <c r="HA357" i="27"/>
  <c r="DH349" i="27"/>
  <c r="DJ349" i="27"/>
  <c r="DP349" i="27"/>
  <c r="DI349" i="27"/>
  <c r="N99" i="31"/>
  <c r="AH99" i="31" s="1"/>
  <c r="AJ95" i="3"/>
  <c r="DD322" i="27"/>
  <c r="DO322" i="27"/>
  <c r="DC322" i="27"/>
  <c r="DB322" i="27"/>
  <c r="DD331" i="27"/>
  <c r="DB331" i="27"/>
  <c r="DO331" i="27"/>
  <c r="DC331" i="27"/>
  <c r="GV333" i="27"/>
  <c r="GU333" i="27"/>
  <c r="HG333" i="27"/>
  <c r="HI333" i="27" s="1"/>
  <c r="GT333" i="27"/>
  <c r="GV335" i="27"/>
  <c r="GT335" i="27"/>
  <c r="GU335" i="27"/>
  <c r="HG335" i="27"/>
  <c r="DO321" i="27"/>
  <c r="DQ321" i="27" s="1"/>
  <c r="DC321" i="27"/>
  <c r="DB321" i="27"/>
  <c r="DD321" i="27"/>
  <c r="GU324" i="27"/>
  <c r="HG324" i="27"/>
  <c r="GT324" i="27"/>
  <c r="GV324" i="27"/>
  <c r="EX320" i="27"/>
  <c r="EY320" i="27"/>
  <c r="EZ320" i="27"/>
  <c r="FK320" i="27"/>
  <c r="FK328" i="27"/>
  <c r="EZ328" i="27"/>
  <c r="EY328" i="27"/>
  <c r="EX328" i="27"/>
  <c r="FK354" i="27"/>
  <c r="FM354" i="27" s="1"/>
  <c r="EX354" i="27"/>
  <c r="EZ354" i="27"/>
  <c r="EY354" i="27"/>
  <c r="EX345" i="27"/>
  <c r="EZ345" i="27"/>
  <c r="EY345" i="27"/>
  <c r="FK345" i="27"/>
  <c r="DC362" i="27"/>
  <c r="DO362" i="27"/>
  <c r="DD362" i="27"/>
  <c r="DB362" i="27"/>
  <c r="DB358" i="27"/>
  <c r="DD358" i="27"/>
  <c r="DC358" i="27"/>
  <c r="DO358" i="27"/>
  <c r="GT364" i="27"/>
  <c r="HG364" i="27"/>
  <c r="GV364" i="27"/>
  <c r="GU364" i="27"/>
  <c r="DD344" i="27"/>
  <c r="DO344" i="27"/>
  <c r="DC344" i="27"/>
  <c r="DB344" i="27"/>
  <c r="DB355" i="27"/>
  <c r="DD355" i="27"/>
  <c r="DO355" i="27"/>
  <c r="DQ355" i="27" s="1"/>
  <c r="DC355" i="27"/>
  <c r="EZ348" i="27"/>
  <c r="FK348" i="27"/>
  <c r="EX348" i="27"/>
  <c r="EY348" i="27"/>
  <c r="DD357" i="27"/>
  <c r="DO357" i="27"/>
  <c r="DC357" i="27"/>
  <c r="DB357" i="27"/>
  <c r="HM319" i="27"/>
  <c r="HO319" i="27"/>
  <c r="DQ295" i="27"/>
  <c r="DU298" i="27"/>
  <c r="DW298" i="27"/>
  <c r="DU283" i="27"/>
  <c r="DW283" i="27"/>
  <c r="FM292" i="27"/>
  <c r="HI294" i="27"/>
  <c r="DQ293" i="27"/>
  <c r="HO308" i="27"/>
  <c r="HM308" i="27"/>
  <c r="HI283" i="27"/>
  <c r="HI284" i="27"/>
  <c r="DQ280" i="27"/>
  <c r="O96" i="31"/>
  <c r="AI96" i="31" s="1"/>
  <c r="AK92" i="3"/>
  <c r="DI330" i="27"/>
  <c r="DH330" i="27"/>
  <c r="DJ330" i="27"/>
  <c r="DP330" i="27"/>
  <c r="FD338" i="27"/>
  <c r="FF338" i="27"/>
  <c r="FE338" i="27"/>
  <c r="FL338" i="27"/>
  <c r="HH324" i="27"/>
  <c r="HA324" i="27"/>
  <c r="HB324" i="27"/>
  <c r="GZ324" i="27"/>
  <c r="FD341" i="27"/>
  <c r="FF341" i="27"/>
  <c r="FE341" i="27"/>
  <c r="FL341" i="27"/>
  <c r="FM341" i="27" s="1"/>
  <c r="DJ339" i="27"/>
  <c r="DI339" i="27"/>
  <c r="DP339" i="27"/>
  <c r="DH339" i="27"/>
  <c r="GZ331" i="27"/>
  <c r="HA331" i="27"/>
  <c r="HB331" i="27"/>
  <c r="HH331" i="27"/>
  <c r="FL327" i="27"/>
  <c r="FD327" i="27"/>
  <c r="FF327" i="27"/>
  <c r="FE327" i="27"/>
  <c r="FL333" i="27"/>
  <c r="FD333" i="27"/>
  <c r="FF333" i="27"/>
  <c r="FE333" i="27"/>
  <c r="FF325" i="27"/>
  <c r="FE325" i="27"/>
  <c r="FL325" i="27"/>
  <c r="FD325" i="27"/>
  <c r="DP346" i="27"/>
  <c r="DJ346" i="27"/>
  <c r="DH346" i="27"/>
  <c r="DI346" i="27"/>
  <c r="HB342" i="27"/>
  <c r="HA342" i="27"/>
  <c r="HH342" i="27"/>
  <c r="GZ342" i="27"/>
  <c r="HH345" i="27"/>
  <c r="HA345" i="27"/>
  <c r="GZ345" i="27"/>
  <c r="HB345" i="27"/>
  <c r="DJ360" i="27"/>
  <c r="DI360" i="27"/>
  <c r="DP360" i="27"/>
  <c r="DH360" i="27"/>
  <c r="DI364" i="27"/>
  <c r="DJ364" i="27"/>
  <c r="DH364" i="27"/>
  <c r="DP364" i="27"/>
  <c r="GZ361" i="27"/>
  <c r="HB361" i="27"/>
  <c r="HA361" i="27"/>
  <c r="HH361" i="27"/>
  <c r="HI361" i="27" s="1"/>
  <c r="FF363" i="27"/>
  <c r="FE363" i="27"/>
  <c r="FL363" i="27"/>
  <c r="FD363" i="27"/>
  <c r="FL357" i="27"/>
  <c r="FE357" i="27"/>
  <c r="FF357" i="27"/>
  <c r="FD357" i="27"/>
  <c r="HA349" i="27"/>
  <c r="HH349" i="27"/>
  <c r="GZ349" i="27"/>
  <c r="HB349" i="27"/>
  <c r="N98" i="31"/>
  <c r="AH98" i="31" s="1"/>
  <c r="AJ94" i="3"/>
  <c r="GV322" i="27"/>
  <c r="GU322" i="27"/>
  <c r="HG322" i="27"/>
  <c r="GT322" i="27"/>
  <c r="GU325" i="27"/>
  <c r="GT325" i="27"/>
  <c r="HG325" i="27"/>
  <c r="GV325" i="27"/>
  <c r="DB333" i="27"/>
  <c r="DO333" i="27"/>
  <c r="DD333" i="27"/>
  <c r="DC333" i="27"/>
  <c r="DB335" i="27"/>
  <c r="DO335" i="27"/>
  <c r="DD335" i="27"/>
  <c r="DC335" i="27"/>
  <c r="GU340" i="27"/>
  <c r="GT340" i="27"/>
  <c r="HG340" i="27"/>
  <c r="GV340" i="27"/>
  <c r="DB324" i="27"/>
  <c r="DD324" i="27"/>
  <c r="DC324" i="27"/>
  <c r="DO324" i="27"/>
  <c r="GT320" i="27"/>
  <c r="HG320" i="27"/>
  <c r="GV320" i="27"/>
  <c r="GU320" i="27"/>
  <c r="EX327" i="27"/>
  <c r="FK327" i="27"/>
  <c r="EZ327" i="27"/>
  <c r="EY327" i="27"/>
  <c r="HG354" i="27"/>
  <c r="HI354" i="27" s="1"/>
  <c r="GU354" i="27"/>
  <c r="GV354" i="27"/>
  <c r="GT354" i="27"/>
  <c r="GT345" i="27"/>
  <c r="HG345" i="27"/>
  <c r="GV345" i="27"/>
  <c r="GU345" i="27"/>
  <c r="DC359" i="27"/>
  <c r="DO359" i="27"/>
  <c r="DB359" i="27"/>
  <c r="DD359" i="27"/>
  <c r="GV358" i="27"/>
  <c r="GU358" i="27"/>
  <c r="HG358" i="27"/>
  <c r="GT358" i="27"/>
  <c r="DO364" i="27"/>
  <c r="DB364" i="27"/>
  <c r="DD364" i="27"/>
  <c r="DC364" i="27"/>
  <c r="FK343" i="27"/>
  <c r="EY343" i="27"/>
  <c r="EX343" i="27"/>
  <c r="EZ343" i="27"/>
  <c r="FK355" i="27"/>
  <c r="EY355" i="27"/>
  <c r="EX355" i="27"/>
  <c r="EZ355" i="27"/>
  <c r="DO348" i="27"/>
  <c r="DB348" i="27"/>
  <c r="DD348" i="27"/>
  <c r="DC348" i="27"/>
  <c r="FK360" i="27"/>
  <c r="EX360" i="27"/>
  <c r="EZ360" i="27"/>
  <c r="EY360" i="27"/>
  <c r="BE96" i="31"/>
  <c r="AS96" i="31"/>
  <c r="AY96" i="31" s="1"/>
  <c r="FS282" i="27"/>
  <c r="FQ282" i="27"/>
  <c r="FM290" i="27"/>
  <c r="FQ248" i="27"/>
  <c r="FS248" i="27"/>
  <c r="BE95" i="31"/>
  <c r="AS95" i="31"/>
  <c r="AY95" i="31" s="1"/>
  <c r="HM279" i="27"/>
  <c r="HO279" i="27"/>
  <c r="BQ61" i="23"/>
  <c r="BH89" i="31"/>
  <c r="AV89" i="31"/>
  <c r="BB89" i="31" s="1"/>
  <c r="HM290" i="27"/>
  <c r="HO290" i="27"/>
  <c r="HI280" i="27"/>
  <c r="FM297" i="27"/>
  <c r="FS261" i="27"/>
  <c r="FQ261" i="27"/>
  <c r="BD106" i="31"/>
  <c r="AR106" i="31"/>
  <c r="AX106" i="31" s="1"/>
  <c r="HI289" i="27"/>
  <c r="BG91" i="31"/>
  <c r="AU91" i="31"/>
  <c r="BA91" i="31" s="1"/>
  <c r="HI286" i="27"/>
  <c r="O95" i="31"/>
  <c r="AI95" i="31" s="1"/>
  <c r="AK91" i="3"/>
  <c r="GZ330" i="27"/>
  <c r="HA330" i="27"/>
  <c r="HB330" i="27"/>
  <c r="HH330" i="27"/>
  <c r="FE335" i="27"/>
  <c r="FF335" i="27"/>
  <c r="FL335" i="27"/>
  <c r="FD335" i="27"/>
  <c r="DP324" i="27"/>
  <c r="DH324" i="27"/>
  <c r="DJ324" i="27"/>
  <c r="DI324" i="27"/>
  <c r="HA341" i="27"/>
  <c r="HH341" i="27"/>
  <c r="GZ341" i="27"/>
  <c r="HB341" i="27"/>
  <c r="HB336" i="27"/>
  <c r="HA336" i="27"/>
  <c r="HH336" i="27"/>
  <c r="HI336" i="27" s="1"/>
  <c r="GZ336" i="27"/>
  <c r="DP331" i="27"/>
  <c r="DH331" i="27"/>
  <c r="DJ331" i="27"/>
  <c r="DI331" i="27"/>
  <c r="HH327" i="27"/>
  <c r="HB327" i="27"/>
  <c r="HA327" i="27"/>
  <c r="GZ327" i="27"/>
  <c r="FE322" i="27"/>
  <c r="FL322" i="27"/>
  <c r="FD322" i="27"/>
  <c r="FF322" i="27"/>
  <c r="GZ325" i="27"/>
  <c r="HH325" i="27"/>
  <c r="HA325" i="27"/>
  <c r="HB325" i="27"/>
  <c r="FL346" i="27"/>
  <c r="FD346" i="27"/>
  <c r="FF346" i="27"/>
  <c r="FE346" i="27"/>
  <c r="FL344" i="27"/>
  <c r="FD344" i="27"/>
  <c r="FE344" i="27"/>
  <c r="FF344" i="27"/>
  <c r="FL345" i="27"/>
  <c r="FD345" i="27"/>
  <c r="FE345" i="27"/>
  <c r="FF345" i="27"/>
  <c r="HA360" i="27"/>
  <c r="HH360" i="27"/>
  <c r="GZ360" i="27"/>
  <c r="HB360" i="27"/>
  <c r="HB358" i="27"/>
  <c r="HA358" i="27"/>
  <c r="HH358" i="27"/>
  <c r="GZ358" i="27"/>
  <c r="DP361" i="27"/>
  <c r="DQ361" i="27" s="1"/>
  <c r="DH361" i="27"/>
  <c r="DJ361" i="27"/>
  <c r="DI361" i="27"/>
  <c r="HA363" i="27"/>
  <c r="HH363" i="27"/>
  <c r="GZ363" i="27"/>
  <c r="HB363" i="27"/>
  <c r="FL356" i="27"/>
  <c r="FE356" i="27"/>
  <c r="FD356" i="27"/>
  <c r="FF356" i="27"/>
  <c r="FD349" i="27"/>
  <c r="FE349" i="27"/>
  <c r="FF349" i="27"/>
  <c r="FL349" i="27"/>
  <c r="AL92" i="3"/>
  <c r="P96" i="31"/>
  <c r="GU323" i="27"/>
  <c r="GV323" i="27"/>
  <c r="HG323" i="27"/>
  <c r="GT323" i="27"/>
  <c r="EZ322" i="27"/>
  <c r="FK322" i="27"/>
  <c r="EX322" i="27"/>
  <c r="EY322" i="27"/>
  <c r="DB325" i="27"/>
  <c r="DC325" i="27"/>
  <c r="DD325" i="27"/>
  <c r="DO325" i="27"/>
  <c r="GU326" i="27"/>
  <c r="GT326" i="27"/>
  <c r="HG326" i="27"/>
  <c r="HI326" i="27" s="1"/>
  <c r="GV326" i="27"/>
  <c r="FK335" i="27"/>
  <c r="EX335" i="27"/>
  <c r="EZ335" i="27"/>
  <c r="EY335" i="27"/>
  <c r="DD340" i="27"/>
  <c r="DO340" i="27"/>
  <c r="DC340" i="27"/>
  <c r="DB340" i="27"/>
  <c r="FK334" i="27"/>
  <c r="FM334" i="27" s="1"/>
  <c r="EZ334" i="27"/>
  <c r="EX334" i="27"/>
  <c r="EY334" i="27"/>
  <c r="DO320" i="27"/>
  <c r="DC320" i="27"/>
  <c r="DB320" i="27"/>
  <c r="DD320" i="27"/>
  <c r="GT327" i="27"/>
  <c r="HG327" i="27"/>
  <c r="GV327" i="27"/>
  <c r="GU327" i="27"/>
  <c r="DO365" i="27"/>
  <c r="DQ365" i="27" s="1"/>
  <c r="DC365" i="27"/>
  <c r="DB365" i="27"/>
  <c r="DD365" i="27"/>
  <c r="DC345" i="27"/>
  <c r="DO345" i="27"/>
  <c r="DD345" i="27"/>
  <c r="DB345" i="27"/>
  <c r="GU359" i="27"/>
  <c r="GT359" i="27"/>
  <c r="HG359" i="27"/>
  <c r="HI359" i="27" s="1"/>
  <c r="GV359" i="27"/>
  <c r="DB351" i="27"/>
  <c r="DD351" i="27"/>
  <c r="DO351" i="27"/>
  <c r="DC351" i="27"/>
  <c r="EY364" i="27"/>
  <c r="FK364" i="27"/>
  <c r="FM364" i="27" s="1"/>
  <c r="EX364" i="27"/>
  <c r="EZ364" i="27"/>
  <c r="GU343" i="27"/>
  <c r="GV343" i="27"/>
  <c r="GT343" i="27"/>
  <c r="HG343" i="27"/>
  <c r="HI343" i="27" s="1"/>
  <c r="EX347" i="27"/>
  <c r="EY347" i="27"/>
  <c r="EZ347" i="27"/>
  <c r="FK347" i="27"/>
  <c r="GU348" i="27"/>
  <c r="GV348" i="27"/>
  <c r="HG348" i="27"/>
  <c r="GT348" i="27"/>
  <c r="DD360" i="27"/>
  <c r="DC360" i="27"/>
  <c r="DO360" i="27"/>
  <c r="DB360" i="27"/>
  <c r="FM288" i="27"/>
  <c r="FS298" i="27"/>
  <c r="FQ298" i="27"/>
  <c r="DW313" i="27"/>
  <c r="DU313" i="27"/>
  <c r="DU287" i="27"/>
  <c r="DW287" i="27"/>
  <c r="HM293" i="27"/>
  <c r="HO293" i="27"/>
  <c r="FM295" i="27"/>
  <c r="HI298" i="27"/>
  <c r="BR36" i="23"/>
  <c r="BS36" i="23" s="1"/>
  <c r="BT36" i="23" s="1"/>
  <c r="BW36" i="23" s="1"/>
  <c r="CH9" i="23" s="1"/>
  <c r="BR35" i="23"/>
  <c r="BS35" i="23" s="1"/>
  <c r="BT35" i="23" s="1"/>
  <c r="BW35" i="23" s="1"/>
  <c r="CH8" i="23" s="1"/>
  <c r="BR34" i="23"/>
  <c r="BS34" i="23" s="1"/>
  <c r="BT34" i="23" s="1"/>
  <c r="BW34" i="23" s="1"/>
  <c r="CH7" i="23" s="1"/>
  <c r="BR33" i="23"/>
  <c r="BS33" i="23" s="1"/>
  <c r="BT33" i="23" s="1"/>
  <c r="BW33" i="23" s="1"/>
  <c r="CH6" i="23" s="1"/>
  <c r="BR32" i="23"/>
  <c r="BS32" i="23" s="1"/>
  <c r="BT32" i="23" s="1"/>
  <c r="AT97" i="31"/>
  <c r="AZ97" i="31" s="1"/>
  <c r="BF97" i="31"/>
  <c r="DQ344" i="27"/>
  <c r="HI295" i="27"/>
  <c r="AU93" i="31"/>
  <c r="BA93" i="31" s="1"/>
  <c r="BG93" i="31"/>
  <c r="BD104" i="31"/>
  <c r="AR104" i="31"/>
  <c r="AX104" i="31" s="1"/>
  <c r="HI288" i="27"/>
  <c r="DQ286" i="27"/>
  <c r="DQ347" i="27"/>
  <c r="AK90" i="3"/>
  <c r="O94" i="31"/>
  <c r="AI94" i="31" s="1"/>
  <c r="FD330" i="27"/>
  <c r="FF330" i="27"/>
  <c r="FE330" i="27"/>
  <c r="FL330" i="27"/>
  <c r="GZ335" i="27"/>
  <c r="HA335" i="27"/>
  <c r="HB335" i="27"/>
  <c r="HH335" i="27"/>
  <c r="DP340" i="27"/>
  <c r="DH340" i="27"/>
  <c r="DJ340" i="27"/>
  <c r="DI340" i="27"/>
  <c r="DJ341" i="27"/>
  <c r="DP341" i="27"/>
  <c r="DI341" i="27"/>
  <c r="DH341" i="27"/>
  <c r="DI336" i="27"/>
  <c r="DH336" i="27"/>
  <c r="DJ336" i="27"/>
  <c r="DP336" i="27"/>
  <c r="GZ334" i="27"/>
  <c r="HH334" i="27"/>
  <c r="HB334" i="27"/>
  <c r="HA334" i="27"/>
  <c r="DH327" i="27"/>
  <c r="DJ327" i="27"/>
  <c r="DI327" i="27"/>
  <c r="DP327" i="27"/>
  <c r="HA322" i="27"/>
  <c r="GZ322" i="27"/>
  <c r="HB322" i="27"/>
  <c r="HH322" i="27"/>
  <c r="FE350" i="27"/>
  <c r="FL350" i="27"/>
  <c r="FD350" i="27"/>
  <c r="FF350" i="27"/>
  <c r="GZ346" i="27"/>
  <c r="HH346" i="27"/>
  <c r="HA346" i="27"/>
  <c r="HB346" i="27"/>
  <c r="HA344" i="27"/>
  <c r="HH344" i="27"/>
  <c r="GZ344" i="27"/>
  <c r="HB344" i="27"/>
  <c r="FE348" i="27"/>
  <c r="FL348" i="27"/>
  <c r="FM348" i="27" s="1"/>
  <c r="FD348" i="27"/>
  <c r="FF348" i="27"/>
  <c r="FE360" i="27"/>
  <c r="FL360" i="27"/>
  <c r="FD360" i="27"/>
  <c r="FF360" i="27"/>
  <c r="FE358" i="27"/>
  <c r="FL358" i="27"/>
  <c r="FD358" i="27"/>
  <c r="FF358" i="27"/>
  <c r="FE355" i="27"/>
  <c r="FL355" i="27"/>
  <c r="FF355" i="27"/>
  <c r="FD355" i="27"/>
  <c r="DP363" i="27"/>
  <c r="DH363" i="27"/>
  <c r="DJ363" i="27"/>
  <c r="DI363" i="27"/>
  <c r="HH356" i="27"/>
  <c r="GZ356" i="27"/>
  <c r="HB356" i="27"/>
  <c r="HA356" i="27"/>
  <c r="P94" i="31"/>
  <c r="AL90" i="3"/>
  <c r="EZ323" i="27"/>
  <c r="EY323" i="27"/>
  <c r="FK323" i="27"/>
  <c r="EX323" i="27"/>
  <c r="FK330" i="27"/>
  <c r="EX330" i="27"/>
  <c r="EZ330" i="27"/>
  <c r="EY330" i="27"/>
  <c r="EZ325" i="27"/>
  <c r="FK325" i="27"/>
  <c r="EY325" i="27"/>
  <c r="EX325" i="27"/>
  <c r="EX326" i="27"/>
  <c r="EZ326" i="27"/>
  <c r="FK326" i="27"/>
  <c r="FM326" i="27" s="1"/>
  <c r="EY326" i="27"/>
  <c r="DO338" i="27"/>
  <c r="DD338" i="27"/>
  <c r="DB338" i="27"/>
  <c r="DC338" i="27"/>
  <c r="FK340" i="27"/>
  <c r="EX340" i="27"/>
  <c r="EY340" i="27"/>
  <c r="EZ340" i="27"/>
  <c r="GT334" i="27"/>
  <c r="HG334" i="27"/>
  <c r="GV334" i="27"/>
  <c r="GU334" i="27"/>
  <c r="DC337" i="27"/>
  <c r="DD337" i="27"/>
  <c r="DO337" i="27"/>
  <c r="DB337" i="27"/>
  <c r="DB327" i="27"/>
  <c r="DC327" i="27"/>
  <c r="DD327" i="27"/>
  <c r="DO327" i="27"/>
  <c r="GV365" i="27"/>
  <c r="HG365" i="27"/>
  <c r="HI365" i="27" s="1"/>
  <c r="GU365" i="27"/>
  <c r="GT365" i="27"/>
  <c r="DO356" i="27"/>
  <c r="DQ356" i="27" s="1"/>
  <c r="DB356" i="27"/>
  <c r="DC356" i="27"/>
  <c r="DD356" i="27"/>
  <c r="EX359" i="27"/>
  <c r="EZ359" i="27"/>
  <c r="EY359" i="27"/>
  <c r="FK359" i="27"/>
  <c r="FM359" i="27" s="1"/>
  <c r="GV351" i="27"/>
  <c r="GU351" i="27"/>
  <c r="GT351" i="27"/>
  <c r="HG351" i="27"/>
  <c r="HI351" i="27" s="1"/>
  <c r="DO346" i="27"/>
  <c r="DQ346" i="27" s="1"/>
  <c r="DC346" i="27"/>
  <c r="DB346" i="27"/>
  <c r="DD346" i="27"/>
  <c r="DB343" i="27"/>
  <c r="DC343" i="27"/>
  <c r="DD343" i="27"/>
  <c r="DO343" i="27"/>
  <c r="DQ343" i="27" s="1"/>
  <c r="GU347" i="27"/>
  <c r="GV347" i="27"/>
  <c r="HG347" i="27"/>
  <c r="HI347" i="27" s="1"/>
  <c r="GT347" i="27"/>
  <c r="EY350" i="27"/>
  <c r="FK350" i="27"/>
  <c r="EX350" i="27"/>
  <c r="EZ350" i="27"/>
  <c r="HG360" i="27"/>
  <c r="GT360" i="27"/>
  <c r="GV360" i="27"/>
  <c r="GU360" i="27"/>
  <c r="I31" i="5"/>
  <c r="S31" i="5" s="1"/>
  <c r="K30" i="5"/>
  <c r="U30" i="5" s="1"/>
  <c r="J30" i="5"/>
  <c r="T30" i="5" s="1"/>
  <c r="AR256" i="3"/>
  <c r="AS134" i="3"/>
  <c r="AS124" i="3"/>
  <c r="AR254" i="3"/>
  <c r="AQ358" i="3"/>
  <c r="Y101" i="5"/>
  <c r="AR229" i="3"/>
  <c r="AB99" i="5"/>
  <c r="AQ361" i="3"/>
  <c r="AR223" i="3"/>
  <c r="AS112" i="3"/>
  <c r="AS129" i="3"/>
  <c r="AR236" i="3"/>
  <c r="AR245" i="3"/>
  <c r="AR234" i="3"/>
  <c r="AR203" i="3"/>
  <c r="AR221" i="3"/>
  <c r="AS125" i="3"/>
  <c r="AQ360" i="3"/>
  <c r="AR218" i="3"/>
  <c r="AA100" i="5"/>
  <c r="AR206" i="3"/>
  <c r="AR225" i="3"/>
  <c r="AR235" i="3"/>
  <c r="AR238" i="3"/>
  <c r="Y103" i="5"/>
  <c r="AS117" i="3"/>
  <c r="AS119" i="3"/>
  <c r="AR255" i="3"/>
  <c r="AR228" i="3"/>
  <c r="AR213" i="3"/>
  <c r="AS138" i="3"/>
  <c r="AR214" i="3"/>
  <c r="AR251" i="3"/>
  <c r="AR250" i="3"/>
  <c r="AS137" i="3"/>
  <c r="AR215" i="3"/>
  <c r="AR253" i="3"/>
  <c r="AR240" i="3"/>
  <c r="AR233" i="3"/>
  <c r="AS127" i="3"/>
  <c r="Y102" i="5"/>
  <c r="AS128" i="3"/>
  <c r="AR257" i="3"/>
  <c r="AB100" i="5"/>
  <c r="AR230" i="3"/>
  <c r="AR224" i="3"/>
  <c r="AS115" i="3"/>
  <c r="AR241" i="3"/>
  <c r="AR231" i="3"/>
  <c r="AS126" i="3"/>
  <c r="AR204" i="3"/>
  <c r="AS139" i="3"/>
  <c r="AR208" i="3"/>
  <c r="AB98" i="5"/>
  <c r="AS133" i="3"/>
  <c r="Z103" i="5"/>
  <c r="AS116" i="3"/>
  <c r="AS130" i="3"/>
  <c r="AQ359" i="3"/>
  <c r="AS141" i="3"/>
  <c r="AS122" i="3"/>
  <c r="AS120" i="3"/>
  <c r="AR222" i="3"/>
  <c r="AR226" i="3"/>
  <c r="AS121" i="3"/>
  <c r="AS135" i="3"/>
  <c r="AR210" i="3"/>
  <c r="AR247" i="3"/>
  <c r="AR209" i="3"/>
  <c r="AR217" i="3"/>
  <c r="AS132" i="3"/>
  <c r="AR216" i="3"/>
  <c r="AA101" i="5"/>
  <c r="Z102" i="5"/>
  <c r="AS123" i="3"/>
  <c r="AS140" i="3"/>
  <c r="AS118" i="3"/>
  <c r="AR220" i="3"/>
  <c r="Y104" i="5"/>
  <c r="AR249" i="3"/>
  <c r="AR246" i="3"/>
  <c r="AS114" i="3"/>
  <c r="Z104" i="5"/>
  <c r="AR244" i="3"/>
  <c r="AA98" i="5"/>
  <c r="AR243" i="3"/>
  <c r="AR237" i="3"/>
  <c r="AR212" i="3"/>
  <c r="AS113" i="3"/>
  <c r="AR252" i="3"/>
  <c r="AR207" i="3"/>
  <c r="AS131" i="3"/>
  <c r="AS136" i="3"/>
  <c r="AR227" i="3"/>
  <c r="AR239" i="3"/>
  <c r="AR242" i="3"/>
  <c r="AA99" i="5"/>
  <c r="AQ363" i="3"/>
  <c r="AR219" i="3"/>
  <c r="AB101" i="5"/>
  <c r="AR211" i="3"/>
  <c r="AR232" i="3"/>
  <c r="AQ362" i="3"/>
  <c r="AR205" i="3"/>
  <c r="AR248" i="3"/>
  <c r="HI323" i="27" l="1"/>
  <c r="FM346" i="27"/>
  <c r="FQ346" i="27" s="1"/>
  <c r="DQ342" i="27"/>
  <c r="FQ300" i="27"/>
  <c r="DW297" i="27"/>
  <c r="DW301" i="27"/>
  <c r="FM340" i="27"/>
  <c r="HI330" i="27"/>
  <c r="FM343" i="27"/>
  <c r="DQ334" i="27"/>
  <c r="DU334" i="27" s="1"/>
  <c r="FM323" i="27"/>
  <c r="HI356" i="27"/>
  <c r="HM356" i="27" s="1"/>
  <c r="FM347" i="27"/>
  <c r="HI340" i="27"/>
  <c r="HO340" i="27" s="1"/>
  <c r="FQ310" i="27"/>
  <c r="DQ325" i="27"/>
  <c r="DQ329" i="27"/>
  <c r="FM321" i="27"/>
  <c r="FS321" i="27" s="1"/>
  <c r="FS303" i="27"/>
  <c r="FM338" i="27"/>
  <c r="FQ338" i="27" s="1"/>
  <c r="FM352" i="27"/>
  <c r="FQ352" i="27" s="1"/>
  <c r="FQ313" i="27"/>
  <c r="FQ279" i="27"/>
  <c r="DQ350" i="27"/>
  <c r="DQ352" i="27"/>
  <c r="DQ337" i="27"/>
  <c r="DU337" i="27" s="1"/>
  <c r="FM344" i="27"/>
  <c r="FQ344" i="27" s="1"/>
  <c r="DQ359" i="27"/>
  <c r="DW359" i="27" s="1"/>
  <c r="DQ357" i="27"/>
  <c r="DW357" i="27" s="1"/>
  <c r="FS317" i="27"/>
  <c r="DQ364" i="27"/>
  <c r="HI341" i="27"/>
  <c r="HO341" i="27" s="1"/>
  <c r="FM320" i="27"/>
  <c r="DQ340" i="27"/>
  <c r="DU340" i="27" s="1"/>
  <c r="DQ351" i="27"/>
  <c r="DU351" i="27" s="1"/>
  <c r="DQ362" i="27"/>
  <c r="DW362" i="27" s="1"/>
  <c r="DQ322" i="27"/>
  <c r="DU322" i="27" s="1"/>
  <c r="FM361" i="27"/>
  <c r="FS361" i="27" s="1"/>
  <c r="DQ326" i="27"/>
  <c r="HI332" i="27"/>
  <c r="HM332" i="27" s="1"/>
  <c r="DU307" i="27"/>
  <c r="DW305" i="27"/>
  <c r="FQ304" i="27"/>
  <c r="FM335" i="27"/>
  <c r="FS335" i="27" s="1"/>
  <c r="FM357" i="27"/>
  <c r="FQ357" i="27" s="1"/>
  <c r="DQ358" i="27"/>
  <c r="DU358" i="27" s="1"/>
  <c r="DQ338" i="27"/>
  <c r="DW338" i="27" s="1"/>
  <c r="HI346" i="27"/>
  <c r="HM346" i="27" s="1"/>
  <c r="DQ341" i="27"/>
  <c r="DQ335" i="27"/>
  <c r="DW335" i="27" s="1"/>
  <c r="FM353" i="27"/>
  <c r="FQ353" i="27" s="1"/>
  <c r="DW310" i="27"/>
  <c r="FM337" i="27"/>
  <c r="FQ337" i="27" s="1"/>
  <c r="HM310" i="27"/>
  <c r="HO311" i="27"/>
  <c r="HI353" i="27"/>
  <c r="HM353" i="27" s="1"/>
  <c r="HO317" i="27"/>
  <c r="DU311" i="27"/>
  <c r="DQ336" i="27"/>
  <c r="FM322" i="27"/>
  <c r="FS322" i="27" s="1"/>
  <c r="HO301" i="27"/>
  <c r="DU299" i="27"/>
  <c r="DW303" i="27"/>
  <c r="DU309" i="27"/>
  <c r="FQ307" i="27"/>
  <c r="HM316" i="27"/>
  <c r="HI360" i="27"/>
  <c r="HM360" i="27" s="1"/>
  <c r="DQ360" i="27"/>
  <c r="DU360" i="27" s="1"/>
  <c r="HI362" i="27"/>
  <c r="HO362" i="27" s="1"/>
  <c r="DQ327" i="27"/>
  <c r="DU327" i="27" s="1"/>
  <c r="DQ330" i="27"/>
  <c r="DU330" i="27" s="1"/>
  <c r="FM333" i="27"/>
  <c r="FQ333" i="27" s="1"/>
  <c r="HI348" i="27"/>
  <c r="HO348" i="27" s="1"/>
  <c r="HM318" i="27"/>
  <c r="HI342" i="27"/>
  <c r="HM342" i="27" s="1"/>
  <c r="HI352" i="27"/>
  <c r="HO352" i="27" s="1"/>
  <c r="FM339" i="27"/>
  <c r="FS339" i="27" s="1"/>
  <c r="FM351" i="27"/>
  <c r="FS351" i="27" s="1"/>
  <c r="FM331" i="27"/>
  <c r="FS331" i="27" s="1"/>
  <c r="HI358" i="27"/>
  <c r="HM358" i="27" s="1"/>
  <c r="FM324" i="27"/>
  <c r="FM349" i="27"/>
  <c r="FS349" i="27" s="1"/>
  <c r="DQ348" i="27"/>
  <c r="DU348" i="27" s="1"/>
  <c r="DQ320" i="27"/>
  <c r="DW320" i="27" s="1"/>
  <c r="HI325" i="27"/>
  <c r="HM325" i="27" s="1"/>
  <c r="FM325" i="27"/>
  <c r="FS325" i="27" s="1"/>
  <c r="DQ339" i="27"/>
  <c r="DU339" i="27" s="1"/>
  <c r="HI328" i="27"/>
  <c r="HM328" i="27" s="1"/>
  <c r="FQ315" i="27"/>
  <c r="FM328" i="27"/>
  <c r="FS328" i="27" s="1"/>
  <c r="FM329" i="27"/>
  <c r="FS329" i="27" s="1"/>
  <c r="FM350" i="27"/>
  <c r="FQ350" i="27" s="1"/>
  <c r="HI334" i="27"/>
  <c r="HM334" i="27" s="1"/>
  <c r="FM360" i="27"/>
  <c r="FQ360" i="27" s="1"/>
  <c r="FM355" i="27"/>
  <c r="FS355" i="27" s="1"/>
  <c r="DQ331" i="27"/>
  <c r="DW331" i="27" s="1"/>
  <c r="DQ328" i="27"/>
  <c r="DW328" i="27" s="1"/>
  <c r="HI357" i="27"/>
  <c r="HO357" i="27" s="1"/>
  <c r="FM362" i="27"/>
  <c r="FQ362" i="27" s="1"/>
  <c r="HI329" i="27"/>
  <c r="HO329" i="27" s="1"/>
  <c r="HO302" i="27"/>
  <c r="DQ324" i="27"/>
  <c r="DU324" i="27" s="1"/>
  <c r="HI324" i="27"/>
  <c r="HM324" i="27" s="1"/>
  <c r="HI339" i="27"/>
  <c r="HM339" i="27" s="1"/>
  <c r="FM342" i="27"/>
  <c r="FS342" i="27" s="1"/>
  <c r="DQ323" i="27"/>
  <c r="DU323" i="27" s="1"/>
  <c r="HI345" i="27"/>
  <c r="HO345" i="27" s="1"/>
  <c r="FM327" i="27"/>
  <c r="FQ327" i="27" s="1"/>
  <c r="FM363" i="27"/>
  <c r="FS363" i="27" s="1"/>
  <c r="HI331" i="27"/>
  <c r="HM331" i="27" s="1"/>
  <c r="DQ363" i="27"/>
  <c r="DU363" i="27" s="1"/>
  <c r="FQ316" i="27"/>
  <c r="FM330" i="27"/>
  <c r="FQ330" i="27" s="1"/>
  <c r="HI363" i="27"/>
  <c r="HO363" i="27" s="1"/>
  <c r="HI364" i="27"/>
  <c r="HM364" i="27" s="1"/>
  <c r="HI349" i="27"/>
  <c r="HO349" i="27" s="1"/>
  <c r="HI337" i="27"/>
  <c r="HM337" i="27" s="1"/>
  <c r="HI322" i="27"/>
  <c r="HO322" i="27" s="1"/>
  <c r="HI344" i="27"/>
  <c r="HO344" i="27" s="1"/>
  <c r="FM358" i="27"/>
  <c r="FQ358" i="27" s="1"/>
  <c r="DQ349" i="27"/>
  <c r="DU349" i="27" s="1"/>
  <c r="DQ345" i="27"/>
  <c r="DU345" i="27" s="1"/>
  <c r="HI327" i="27"/>
  <c r="HO327" i="27" s="1"/>
  <c r="HI320" i="27"/>
  <c r="HM320" i="27" s="1"/>
  <c r="DQ333" i="27"/>
  <c r="DW333" i="27" s="1"/>
  <c r="FM345" i="27"/>
  <c r="FQ345" i="27" s="1"/>
  <c r="HI335" i="27"/>
  <c r="HM335" i="27" s="1"/>
  <c r="FM356" i="27"/>
  <c r="FQ356" i="27" s="1"/>
  <c r="HI338" i="27"/>
  <c r="HM338" i="27" s="1"/>
  <c r="FM332" i="27"/>
  <c r="FS332" i="27" s="1"/>
  <c r="AE98" i="3"/>
  <c r="AE100" i="3"/>
  <c r="AE97" i="3"/>
  <c r="AE99" i="3"/>
  <c r="AF98" i="3"/>
  <c r="AF100" i="3"/>
  <c r="AF99" i="3"/>
  <c r="AF97" i="3"/>
  <c r="AT141" i="3"/>
  <c r="AT136" i="3"/>
  <c r="AT139" i="3"/>
  <c r="AT137" i="3"/>
  <c r="AT134" i="3"/>
  <c r="AT135" i="3"/>
  <c r="AT140" i="3"/>
  <c r="AT138" i="3"/>
  <c r="AT128" i="3"/>
  <c r="AT127" i="3"/>
  <c r="AT129" i="3"/>
  <c r="AT131" i="3"/>
  <c r="AT133" i="3"/>
  <c r="AT132" i="3"/>
  <c r="AT130" i="3"/>
  <c r="AC102" i="3"/>
  <c r="AC101" i="3"/>
  <c r="AC103" i="3"/>
  <c r="AC100" i="3"/>
  <c r="AD103" i="3"/>
  <c r="AD101" i="3"/>
  <c r="AD102" i="3"/>
  <c r="AT121" i="3"/>
  <c r="AT126" i="3"/>
  <c r="AT123" i="3"/>
  <c r="G21" i="3" s="1"/>
  <c r="AT125" i="3"/>
  <c r="AT120" i="3"/>
  <c r="AT124" i="3"/>
  <c r="AT119" i="3"/>
  <c r="AT122" i="3"/>
  <c r="AT118" i="3"/>
  <c r="AT114" i="3"/>
  <c r="AT117" i="3"/>
  <c r="AT113" i="3"/>
  <c r="AT116" i="3"/>
  <c r="AT115" i="3"/>
  <c r="AT112" i="3"/>
  <c r="DW341" i="27"/>
  <c r="DU341" i="27"/>
  <c r="FS352" i="27"/>
  <c r="DW337" i="27"/>
  <c r="DW346" i="27"/>
  <c r="DU346" i="27"/>
  <c r="DU343" i="27"/>
  <c r="DW343" i="27"/>
  <c r="HM348" i="27"/>
  <c r="HM323" i="27"/>
  <c r="HO323" i="27"/>
  <c r="FS346" i="27"/>
  <c r="DW321" i="27"/>
  <c r="DU321" i="27"/>
  <c r="FS324" i="27"/>
  <c r="FQ324" i="27"/>
  <c r="DW326" i="27"/>
  <c r="DU326" i="27"/>
  <c r="DU338" i="27"/>
  <c r="FS348" i="27"/>
  <c r="FQ348" i="27"/>
  <c r="FQ326" i="27"/>
  <c r="FS326" i="27"/>
  <c r="DW365" i="27"/>
  <c r="DU365" i="27"/>
  <c r="FQ323" i="27"/>
  <c r="FS323" i="27"/>
  <c r="HO356" i="27"/>
  <c r="DW345" i="27"/>
  <c r="DU359" i="27"/>
  <c r="HM362" i="27"/>
  <c r="FS334" i="27"/>
  <c r="FQ334" i="27"/>
  <c r="HO336" i="27"/>
  <c r="HM336" i="27"/>
  <c r="DW364" i="27"/>
  <c r="DU364" i="27"/>
  <c r="HO342" i="27"/>
  <c r="HO332" i="27"/>
  <c r="DW329" i="27"/>
  <c r="DU329" i="27"/>
  <c r="FQ347" i="27"/>
  <c r="FS347" i="27"/>
  <c r="FQ341" i="27"/>
  <c r="FS341" i="27"/>
  <c r="FQ320" i="27"/>
  <c r="FS320" i="27"/>
  <c r="DU353" i="27"/>
  <c r="DW353" i="27"/>
  <c r="FQ359" i="27"/>
  <c r="FS359" i="27"/>
  <c r="HO326" i="27"/>
  <c r="HM326" i="27"/>
  <c r="HO347" i="27"/>
  <c r="HM347" i="27"/>
  <c r="DU355" i="27"/>
  <c r="DW355" i="27"/>
  <c r="HO333" i="27"/>
  <c r="HM333" i="27"/>
  <c r="HO353" i="27"/>
  <c r="DW334" i="27"/>
  <c r="DW356" i="27"/>
  <c r="DU356" i="27"/>
  <c r="HO346" i="27"/>
  <c r="HM359" i="27"/>
  <c r="HO359" i="27"/>
  <c r="FS364" i="27"/>
  <c r="FQ364" i="27"/>
  <c r="HO365" i="27"/>
  <c r="HM365" i="27"/>
  <c r="FQ343" i="27"/>
  <c r="FS343" i="27"/>
  <c r="HO360" i="27"/>
  <c r="FQ340" i="27"/>
  <c r="FS340" i="27"/>
  <c r="HM343" i="27"/>
  <c r="HO343" i="27"/>
  <c r="DU325" i="27"/>
  <c r="DW325" i="27"/>
  <c r="HM363" i="27"/>
  <c r="HM341" i="27"/>
  <c r="HO364" i="27"/>
  <c r="FQ361" i="27"/>
  <c r="AJ94" i="31"/>
  <c r="Q94" i="31"/>
  <c r="HM340" i="27"/>
  <c r="DW354" i="27"/>
  <c r="DU354" i="27"/>
  <c r="HM354" i="27"/>
  <c r="HO354" i="27"/>
  <c r="DW342" i="27"/>
  <c r="DU342" i="27"/>
  <c r="DU280" i="27"/>
  <c r="DW280" i="27"/>
  <c r="DW351" i="27"/>
  <c r="DU335" i="27"/>
  <c r="FS338" i="27"/>
  <c r="FS302" i="27"/>
  <c r="FQ302" i="27"/>
  <c r="FQ331" i="27"/>
  <c r="DW282" i="27"/>
  <c r="DU282" i="27"/>
  <c r="HM350" i="27"/>
  <c r="HO350" i="27"/>
  <c r="BE98" i="31"/>
  <c r="AS98" i="31"/>
  <c r="AY98" i="31" s="1"/>
  <c r="AJ98" i="3"/>
  <c r="N102" i="31"/>
  <c r="AH102" i="31" s="1"/>
  <c r="AI99" i="3"/>
  <c r="M103" i="31"/>
  <c r="AG103" i="31" s="1"/>
  <c r="AH104" i="3"/>
  <c r="L108" i="31"/>
  <c r="AF108" i="31" s="1"/>
  <c r="HO351" i="27"/>
  <c r="HM351" i="27"/>
  <c r="DW286" i="27"/>
  <c r="DU286" i="27"/>
  <c r="CH15" i="23"/>
  <c r="BW32" i="23"/>
  <c r="CH5" i="23" s="1"/>
  <c r="Q96" i="31"/>
  <c r="AJ96" i="31"/>
  <c r="BE100" i="31"/>
  <c r="AS100" i="31"/>
  <c r="AY100" i="31" s="1"/>
  <c r="BE99" i="31"/>
  <c r="AS99" i="31"/>
  <c r="AY99" i="31" s="1"/>
  <c r="DU285" i="27"/>
  <c r="DW285" i="27"/>
  <c r="H32" i="5"/>
  <c r="R32" i="5" s="1"/>
  <c r="FQ285" i="27"/>
  <c r="FS285" i="27"/>
  <c r="N101" i="31"/>
  <c r="AH101" i="31" s="1"/>
  <c r="AJ97" i="3"/>
  <c r="L111" i="31"/>
  <c r="AF111" i="31" s="1"/>
  <c r="AH107" i="3"/>
  <c r="DW332" i="27"/>
  <c r="DU332" i="27"/>
  <c r="FS297" i="27"/>
  <c r="FQ297" i="27"/>
  <c r="DW322" i="27"/>
  <c r="FQ321" i="27"/>
  <c r="DW352" i="27"/>
  <c r="DU352" i="27"/>
  <c r="FQ296" i="27"/>
  <c r="FS296" i="27"/>
  <c r="Q95" i="31"/>
  <c r="AJ95" i="31"/>
  <c r="FQ289" i="27"/>
  <c r="FS289" i="27"/>
  <c r="Q97" i="31"/>
  <c r="AJ97" i="31"/>
  <c r="AJ100" i="3"/>
  <c r="N104" i="31"/>
  <c r="AH104" i="31" s="1"/>
  <c r="L110" i="31"/>
  <c r="AF110" i="31" s="1"/>
  <c r="AH106" i="3"/>
  <c r="DW336" i="27"/>
  <c r="DU336" i="27"/>
  <c r="HM289" i="27"/>
  <c r="HO289" i="27"/>
  <c r="HO280" i="27"/>
  <c r="HM280" i="27"/>
  <c r="DU357" i="27"/>
  <c r="DW295" i="27"/>
  <c r="DU295" i="27"/>
  <c r="BG97" i="31"/>
  <c r="AU97" i="31"/>
  <c r="BA97" i="31" s="1"/>
  <c r="FS286" i="27"/>
  <c r="FQ286" i="27"/>
  <c r="FS280" i="27"/>
  <c r="FQ280" i="27"/>
  <c r="DW350" i="27"/>
  <c r="DU350" i="27"/>
  <c r="N103" i="31"/>
  <c r="AH103" i="31" s="1"/>
  <c r="AJ99" i="3"/>
  <c r="FS354" i="27"/>
  <c r="FQ354" i="27"/>
  <c r="AU95" i="31"/>
  <c r="BA95" i="31" s="1"/>
  <c r="BG95" i="31"/>
  <c r="HM321" i="27"/>
  <c r="HO321" i="27"/>
  <c r="AT98" i="31"/>
  <c r="AZ98" i="31" s="1"/>
  <c r="BF98" i="31"/>
  <c r="HO296" i="27"/>
  <c r="HM296" i="27"/>
  <c r="FQ365" i="27"/>
  <c r="FS365" i="27"/>
  <c r="FS284" i="27"/>
  <c r="FQ284" i="27"/>
  <c r="DW281" i="27"/>
  <c r="DU281" i="27"/>
  <c r="DU292" i="27"/>
  <c r="DW292" i="27"/>
  <c r="DW288" i="27"/>
  <c r="DU288" i="27"/>
  <c r="DU300" i="27"/>
  <c r="DW300" i="27"/>
  <c r="BH93" i="31"/>
  <c r="AV93" i="31"/>
  <c r="BB93" i="31" s="1"/>
  <c r="P99" i="31"/>
  <c r="AL95" i="3"/>
  <c r="AU94" i="31"/>
  <c r="BA94" i="31" s="1"/>
  <c r="BG94" i="31"/>
  <c r="HM295" i="27"/>
  <c r="HO295" i="27"/>
  <c r="FQ288" i="27"/>
  <c r="FS288" i="27"/>
  <c r="HM286" i="27"/>
  <c r="HO286" i="27"/>
  <c r="HM361" i="27"/>
  <c r="HO361" i="27"/>
  <c r="DW361" i="27"/>
  <c r="DU361" i="27"/>
  <c r="HO284" i="27"/>
  <c r="HM284" i="27"/>
  <c r="DU293" i="27"/>
  <c r="DW293" i="27"/>
  <c r="BF99" i="31"/>
  <c r="AT99" i="31"/>
  <c r="AZ99" i="31" s="1"/>
  <c r="HO297" i="27"/>
  <c r="HM297" i="27"/>
  <c r="AV92" i="31"/>
  <c r="BB92" i="31" s="1"/>
  <c r="BH92" i="31"/>
  <c r="DU296" i="27"/>
  <c r="DW296" i="27"/>
  <c r="DW289" i="27"/>
  <c r="DU289" i="27"/>
  <c r="BH91" i="31"/>
  <c r="AV91" i="31"/>
  <c r="BB91" i="31" s="1"/>
  <c r="P98" i="31"/>
  <c r="AL94" i="3"/>
  <c r="O98" i="31"/>
  <c r="AI98" i="31" s="1"/>
  <c r="AK94" i="3"/>
  <c r="HM288" i="27"/>
  <c r="HO288" i="27"/>
  <c r="DW344" i="27"/>
  <c r="DU344" i="27"/>
  <c r="HO298" i="27"/>
  <c r="HM298" i="27"/>
  <c r="HO355" i="27"/>
  <c r="HM355" i="27"/>
  <c r="FQ290" i="27"/>
  <c r="FS290" i="27"/>
  <c r="BG96" i="31"/>
  <c r="AU96" i="31"/>
  <c r="BA96" i="31" s="1"/>
  <c r="FQ339" i="27"/>
  <c r="HM294" i="27"/>
  <c r="HO294" i="27"/>
  <c r="BF100" i="31"/>
  <c r="AT100" i="31"/>
  <c r="AZ100" i="31" s="1"/>
  <c r="FQ336" i="27"/>
  <c r="FS336" i="27"/>
  <c r="M102" i="31"/>
  <c r="AG102" i="31" s="1"/>
  <c r="AI98" i="3"/>
  <c r="P100" i="31"/>
  <c r="AL96" i="3"/>
  <c r="AK95" i="3"/>
  <c r="O99" i="31"/>
  <c r="AI99" i="31" s="1"/>
  <c r="DW347" i="27"/>
  <c r="DU347" i="27"/>
  <c r="FQ295" i="27"/>
  <c r="FS295" i="27"/>
  <c r="HO330" i="27"/>
  <c r="HM330" i="27"/>
  <c r="DW348" i="27"/>
  <c r="HO283" i="27"/>
  <c r="HM283" i="27"/>
  <c r="FS292" i="27"/>
  <c r="FQ292" i="27"/>
  <c r="DU294" i="27"/>
  <c r="DW294" i="27"/>
  <c r="M101" i="31"/>
  <c r="AG101" i="31" s="1"/>
  <c r="AI97" i="3"/>
  <c r="L109" i="31"/>
  <c r="AF109" i="31" s="1"/>
  <c r="AH105" i="3"/>
  <c r="O100" i="31"/>
  <c r="AI100" i="31" s="1"/>
  <c r="AK96" i="3"/>
  <c r="G33" i="5"/>
  <c r="Q33" i="5" s="1"/>
  <c r="I32" i="5"/>
  <c r="S32" i="5" s="1"/>
  <c r="K31" i="5"/>
  <c r="U31" i="5" s="1"/>
  <c r="J31" i="5"/>
  <c r="T31" i="5" s="1"/>
  <c r="AR300" i="3"/>
  <c r="AS149" i="3"/>
  <c r="AS146" i="3"/>
  <c r="AR294" i="3"/>
  <c r="AR278" i="3"/>
  <c r="AR281" i="3"/>
  <c r="AS153" i="3"/>
  <c r="AR273" i="3"/>
  <c r="AR279" i="3"/>
  <c r="AR263" i="3"/>
  <c r="AA104" i="5"/>
  <c r="X111" i="5"/>
  <c r="AR287" i="3"/>
  <c r="AR314" i="3"/>
  <c r="AR261" i="3"/>
  <c r="X110" i="5"/>
  <c r="AA103" i="5"/>
  <c r="AR288" i="3"/>
  <c r="Y107" i="5"/>
  <c r="AR311" i="3"/>
  <c r="AS164" i="3"/>
  <c r="AR258" i="3"/>
  <c r="AR268" i="3"/>
  <c r="AR306" i="3"/>
  <c r="AR296" i="3"/>
  <c r="AR269" i="3"/>
  <c r="AS147" i="3"/>
  <c r="AR295" i="3"/>
  <c r="AS162" i="3"/>
  <c r="AR313" i="3"/>
  <c r="AR289" i="3"/>
  <c r="AR293" i="3"/>
  <c r="AR310" i="3"/>
  <c r="AS165" i="3"/>
  <c r="AS156" i="3"/>
  <c r="AR262" i="3"/>
  <c r="Z107" i="5"/>
  <c r="Y105" i="5"/>
  <c r="AS144" i="3"/>
  <c r="AR299" i="3"/>
  <c r="AS145" i="3"/>
  <c r="AR312" i="3"/>
  <c r="AR264" i="3"/>
  <c r="AR274" i="3"/>
  <c r="Z108" i="5"/>
  <c r="Z106" i="5"/>
  <c r="AS167" i="3"/>
  <c r="AR267" i="3"/>
  <c r="AR298" i="3"/>
  <c r="AA102" i="5"/>
  <c r="AS169" i="3"/>
  <c r="AS143" i="3"/>
  <c r="AS160" i="3"/>
  <c r="AR307" i="3"/>
  <c r="AR283" i="3"/>
  <c r="AR275" i="3"/>
  <c r="AR303" i="3"/>
  <c r="AR266" i="3"/>
  <c r="AR276" i="3"/>
  <c r="AR309" i="3"/>
  <c r="AR305" i="3"/>
  <c r="AR291" i="3"/>
  <c r="AR260" i="3"/>
  <c r="AR277" i="3"/>
  <c r="AS166" i="3"/>
  <c r="AS168" i="3"/>
  <c r="X109" i="5"/>
  <c r="AR304" i="3"/>
  <c r="AR282" i="3"/>
  <c r="Z105" i="5"/>
  <c r="AB102" i="5"/>
  <c r="AS171" i="3"/>
  <c r="AR271" i="3"/>
  <c r="AR270" i="3"/>
  <c r="AR280" i="3"/>
  <c r="AR272" i="3"/>
  <c r="AR286" i="3"/>
  <c r="AR290" i="3"/>
  <c r="Y108" i="5"/>
  <c r="AR302" i="3"/>
  <c r="AS154" i="3"/>
  <c r="AR284" i="3"/>
  <c r="AS157" i="3"/>
  <c r="AS163" i="3"/>
  <c r="AS142" i="3"/>
  <c r="AS151" i="3"/>
  <c r="AS158" i="3"/>
  <c r="Y106" i="5"/>
  <c r="AR285" i="3"/>
  <c r="AS155" i="3"/>
  <c r="AS159" i="3"/>
  <c r="AS152" i="3"/>
  <c r="AS161" i="3"/>
  <c r="AB103" i="5"/>
  <c r="AR308" i="3"/>
  <c r="AR301" i="3"/>
  <c r="AB104" i="5"/>
  <c r="AR297" i="3"/>
  <c r="AR259" i="3"/>
  <c r="AS170" i="3"/>
  <c r="AS150" i="3"/>
  <c r="AS148" i="3"/>
  <c r="AR292" i="3"/>
  <c r="AR265" i="3"/>
  <c r="FQ328" i="27" l="1"/>
  <c r="HM357" i="27"/>
  <c r="DW340" i="27"/>
  <c r="FQ332" i="27"/>
  <c r="DW360" i="27"/>
  <c r="FQ335" i="27"/>
  <c r="DW358" i="27"/>
  <c r="FQ349" i="27"/>
  <c r="DU362" i="27"/>
  <c r="DW363" i="27"/>
  <c r="DW327" i="27"/>
  <c r="HM327" i="27"/>
  <c r="DW330" i="27"/>
  <c r="DW339" i="27"/>
  <c r="FQ329" i="27"/>
  <c r="FS353" i="27"/>
  <c r="HM345" i="27"/>
  <c r="FS344" i="27"/>
  <c r="HO325" i="27"/>
  <c r="FQ363" i="27"/>
  <c r="FQ355" i="27"/>
  <c r="HM352" i="27"/>
  <c r="FS350" i="27"/>
  <c r="FS327" i="27"/>
  <c r="FQ351" i="27"/>
  <c r="FQ322" i="27"/>
  <c r="FS357" i="27"/>
  <c r="HO337" i="27"/>
  <c r="DU333" i="27"/>
  <c r="HO320" i="27"/>
  <c r="FS337" i="27"/>
  <c r="FS360" i="27"/>
  <c r="HO334" i="27"/>
  <c r="HO331" i="27"/>
  <c r="HO335" i="27"/>
  <c r="HM349" i="27"/>
  <c r="HO328" i="27"/>
  <c r="FS356" i="27"/>
  <c r="DU331" i="27"/>
  <c r="HO358" i="27"/>
  <c r="HO324" i="27"/>
  <c r="FQ325" i="27"/>
  <c r="DW324" i="27"/>
  <c r="FS358" i="27"/>
  <c r="HM329" i="27"/>
  <c r="DW323" i="27"/>
  <c r="FS333" i="27"/>
  <c r="HM344" i="27"/>
  <c r="DU320" i="27"/>
  <c r="FS362" i="27"/>
  <c r="HO339" i="27"/>
  <c r="HO338" i="27"/>
  <c r="FS345" i="27"/>
  <c r="DW349" i="27"/>
  <c r="HM322" i="27"/>
  <c r="FS330" i="27"/>
  <c r="FQ342" i="27"/>
  <c r="DU328" i="27"/>
  <c r="AB108" i="3"/>
  <c r="AB110" i="3"/>
  <c r="AB109" i="3"/>
  <c r="AD106" i="3"/>
  <c r="AD107" i="3"/>
  <c r="AD105" i="3"/>
  <c r="AD104" i="3"/>
  <c r="AT154" i="3"/>
  <c r="AT153" i="3"/>
  <c r="AT158" i="3"/>
  <c r="AT152" i="3"/>
  <c r="AT156" i="3"/>
  <c r="AT155" i="3"/>
  <c r="AT151" i="3"/>
  <c r="AT160" i="3"/>
  <c r="AT159" i="3"/>
  <c r="AT157" i="3"/>
  <c r="AT144" i="3"/>
  <c r="AT150" i="3"/>
  <c r="AT145" i="3"/>
  <c r="AT143" i="3"/>
  <c r="AT142" i="3"/>
  <c r="AT146" i="3"/>
  <c r="AT148" i="3"/>
  <c r="AT149" i="3"/>
  <c r="AT147" i="3"/>
  <c r="AT164" i="3"/>
  <c r="AT163" i="3"/>
  <c r="AT168" i="3"/>
  <c r="AT162" i="3"/>
  <c r="AT165" i="3"/>
  <c r="AT167" i="3"/>
  <c r="AT171" i="3"/>
  <c r="AT170" i="3"/>
  <c r="AT169" i="3"/>
  <c r="AT161" i="3"/>
  <c r="AT166" i="3"/>
  <c r="AF101" i="3"/>
  <c r="AF103" i="3"/>
  <c r="AF102" i="3"/>
  <c r="AC104" i="3"/>
  <c r="AC107" i="3"/>
  <c r="AC105" i="3"/>
  <c r="AC106" i="3"/>
  <c r="AE102" i="3"/>
  <c r="AE103" i="3"/>
  <c r="AE101" i="3"/>
  <c r="AU99" i="31"/>
  <c r="BA99" i="31" s="1"/>
  <c r="BG99" i="31"/>
  <c r="BF102" i="31"/>
  <c r="AT102" i="31"/>
  <c r="AZ102" i="31" s="1"/>
  <c r="BG98" i="31"/>
  <c r="AU98" i="31"/>
  <c r="BA98" i="31" s="1"/>
  <c r="AT101" i="31"/>
  <c r="AZ101" i="31" s="1"/>
  <c r="BF101" i="31"/>
  <c r="BQ45" i="23"/>
  <c r="BF104" i="31"/>
  <c r="AT104" i="31"/>
  <c r="AZ104" i="31" s="1"/>
  <c r="AI100" i="3"/>
  <c r="M104" i="31"/>
  <c r="AG104" i="31" s="1"/>
  <c r="AL99" i="3"/>
  <c r="P103" i="31"/>
  <c r="BD110" i="31"/>
  <c r="AR110" i="31"/>
  <c r="AX110" i="31" s="1"/>
  <c r="P101" i="31"/>
  <c r="AL97" i="3"/>
  <c r="Q98" i="31"/>
  <c r="AJ98" i="31"/>
  <c r="Q99" i="31"/>
  <c r="AJ99" i="31"/>
  <c r="H21" i="3"/>
  <c r="I21" i="3" s="1"/>
  <c r="S21" i="3"/>
  <c r="M107" i="31"/>
  <c r="AG107" i="31" s="1"/>
  <c r="AI103" i="3"/>
  <c r="P104" i="31"/>
  <c r="AL100" i="3"/>
  <c r="BG100" i="31"/>
  <c r="AU100" i="31"/>
  <c r="BA100" i="31" s="1"/>
  <c r="Q100" i="31"/>
  <c r="AJ100" i="31"/>
  <c r="BH97" i="31"/>
  <c r="AV97" i="31"/>
  <c r="BB97" i="31" s="1"/>
  <c r="H33" i="5"/>
  <c r="R33" i="5" s="1"/>
  <c r="M105" i="31"/>
  <c r="AG105" i="31" s="1"/>
  <c r="AI101" i="3"/>
  <c r="P102" i="31"/>
  <c r="AL98" i="3"/>
  <c r="BF103" i="31"/>
  <c r="AT103" i="31"/>
  <c r="AZ103" i="31" s="1"/>
  <c r="BH96" i="31"/>
  <c r="AV96" i="31"/>
  <c r="BB96" i="31" s="1"/>
  <c r="BD108" i="31"/>
  <c r="AR108" i="31"/>
  <c r="AX108" i="31" s="1"/>
  <c r="AI102" i="3"/>
  <c r="M106" i="31"/>
  <c r="AG106" i="31" s="1"/>
  <c r="O103" i="31"/>
  <c r="AI103" i="31" s="1"/>
  <c r="AK99" i="3"/>
  <c r="BE102" i="31"/>
  <c r="AS102" i="31"/>
  <c r="AY102" i="31" s="1"/>
  <c r="N106" i="31"/>
  <c r="AH106" i="31" s="1"/>
  <c r="AJ102" i="3"/>
  <c r="O101" i="31"/>
  <c r="AI101" i="31" s="1"/>
  <c r="AK97" i="3"/>
  <c r="BD109" i="31"/>
  <c r="AR109" i="31"/>
  <c r="AX109" i="31" s="1"/>
  <c r="BD111" i="31"/>
  <c r="AR111" i="31"/>
  <c r="AX111" i="31" s="1"/>
  <c r="BE103" i="31"/>
  <c r="AS103" i="31"/>
  <c r="AY103" i="31" s="1"/>
  <c r="AJ101" i="3"/>
  <c r="N105" i="31"/>
  <c r="AH105" i="31" s="1"/>
  <c r="O104" i="31"/>
  <c r="AI104" i="31" s="1"/>
  <c r="AK100" i="3"/>
  <c r="AS101" i="31"/>
  <c r="AY101" i="31" s="1"/>
  <c r="BE101" i="31"/>
  <c r="BH95" i="31"/>
  <c r="AV95" i="31"/>
  <c r="BB95" i="31" s="1"/>
  <c r="CH24" i="23"/>
  <c r="CH25" i="23"/>
  <c r="CH23" i="23"/>
  <c r="CH21" i="23"/>
  <c r="CH22" i="23"/>
  <c r="BH94" i="31"/>
  <c r="AV94" i="31"/>
  <c r="BB94" i="31" s="1"/>
  <c r="N107" i="31"/>
  <c r="AH107" i="31" s="1"/>
  <c r="AJ103" i="3"/>
  <c r="O102" i="31"/>
  <c r="AI102" i="31" s="1"/>
  <c r="AK98" i="3"/>
  <c r="H34" i="5"/>
  <c r="R34" i="5" s="1"/>
  <c r="I33" i="5"/>
  <c r="S33" i="5" s="1"/>
  <c r="K32" i="5"/>
  <c r="U32" i="5" s="1"/>
  <c r="J32" i="5"/>
  <c r="T32" i="5" s="1"/>
  <c r="AR315" i="3"/>
  <c r="AR352" i="3"/>
  <c r="AS189" i="3"/>
  <c r="AS197" i="3"/>
  <c r="AR325" i="3"/>
  <c r="AR330" i="3"/>
  <c r="AA108" i="5"/>
  <c r="AR338" i="3"/>
  <c r="AS211" i="3"/>
  <c r="Y109" i="5"/>
  <c r="AR321" i="3"/>
  <c r="Y111" i="5"/>
  <c r="AB106" i="5"/>
  <c r="AS207" i="3"/>
  <c r="AS193" i="3"/>
  <c r="Z109" i="5"/>
  <c r="Y114" i="5"/>
  <c r="AR324" i="3"/>
  <c r="AS224" i="3"/>
  <c r="AS182" i="3"/>
  <c r="AS180" i="3"/>
  <c r="AS185" i="3"/>
  <c r="Y113" i="5"/>
  <c r="AS201" i="3"/>
  <c r="AS216" i="3"/>
  <c r="AS183" i="3"/>
  <c r="Y115" i="5"/>
  <c r="AB108" i="5"/>
  <c r="AS196" i="3"/>
  <c r="AS192" i="3"/>
  <c r="AR320" i="3"/>
  <c r="AR335" i="3"/>
  <c r="AS212" i="3"/>
  <c r="AS190" i="3"/>
  <c r="AR332" i="3"/>
  <c r="AR319" i="3"/>
  <c r="AR317" i="3"/>
  <c r="AR331" i="3"/>
  <c r="AR354" i="3"/>
  <c r="AR353" i="3"/>
  <c r="AB107" i="5"/>
  <c r="AR350" i="3"/>
  <c r="AR316" i="3"/>
  <c r="AS174" i="3"/>
  <c r="AR363" i="3"/>
  <c r="AS179" i="3"/>
  <c r="AR340" i="3"/>
  <c r="AS195" i="3"/>
  <c r="Z111" i="5"/>
  <c r="AS208" i="3"/>
  <c r="AS205" i="3"/>
  <c r="AR349" i="3"/>
  <c r="AS176" i="3"/>
  <c r="AR328" i="3"/>
  <c r="AR361" i="3"/>
  <c r="AS218" i="3"/>
  <c r="Y110" i="5"/>
  <c r="AR333" i="3"/>
  <c r="AS203" i="3"/>
  <c r="AS217" i="3"/>
  <c r="AR334" i="3"/>
  <c r="AS172" i="3"/>
  <c r="AR337" i="3"/>
  <c r="Z110" i="5"/>
  <c r="AS175" i="3"/>
  <c r="AS181" i="3"/>
  <c r="AS199" i="3"/>
  <c r="AR347" i="3"/>
  <c r="AR362" i="3"/>
  <c r="AS194" i="3"/>
  <c r="AA106" i="5"/>
  <c r="AR355" i="3"/>
  <c r="AS214" i="3"/>
  <c r="AS210" i="3"/>
  <c r="AS225" i="3"/>
  <c r="AR326" i="3"/>
  <c r="AS215" i="3"/>
  <c r="AS219" i="3"/>
  <c r="AS177" i="3"/>
  <c r="AS222" i="3"/>
  <c r="AS220" i="3"/>
  <c r="AR359" i="3"/>
  <c r="AR318" i="3"/>
  <c r="AS198" i="3"/>
  <c r="AA105" i="5"/>
  <c r="AR339" i="3"/>
  <c r="AS186" i="3"/>
  <c r="AR322" i="3"/>
  <c r="AS200" i="3"/>
  <c r="AS187" i="3"/>
  <c r="AA107" i="5"/>
  <c r="AS191" i="3"/>
  <c r="AR345" i="3"/>
  <c r="Y112" i="5"/>
  <c r="AS226" i="3"/>
  <c r="AR356" i="3"/>
  <c r="AR327" i="3"/>
  <c r="AB105" i="5"/>
  <c r="AR351" i="3"/>
  <c r="AR348" i="3"/>
  <c r="AS223" i="3"/>
  <c r="AR357" i="3"/>
  <c r="AR329" i="3"/>
  <c r="AS213" i="3"/>
  <c r="AR346" i="3"/>
  <c r="AS184" i="3"/>
  <c r="AR323" i="3"/>
  <c r="AS204" i="3"/>
  <c r="AR341" i="3"/>
  <c r="AS178" i="3"/>
  <c r="AR342" i="3"/>
  <c r="AS209" i="3"/>
  <c r="AR358" i="3"/>
  <c r="AS188" i="3"/>
  <c r="AS202" i="3"/>
  <c r="AS173" i="3"/>
  <c r="AS221" i="3"/>
  <c r="AR343" i="3"/>
  <c r="AR344" i="3"/>
  <c r="AR360" i="3"/>
  <c r="AS206" i="3"/>
  <c r="AR336" i="3"/>
  <c r="AD108" i="3" l="1"/>
  <c r="AD109" i="3"/>
  <c r="AD110" i="3"/>
  <c r="AT218" i="3"/>
  <c r="AT215" i="3"/>
  <c r="AT221" i="3"/>
  <c r="AT214" i="3"/>
  <c r="AT222" i="3"/>
  <c r="AT223" i="3"/>
  <c r="AT220" i="3"/>
  <c r="AT210" i="3"/>
  <c r="AT212" i="3"/>
  <c r="AT224" i="3"/>
  <c r="AT216" i="3"/>
  <c r="AT219" i="3"/>
  <c r="AT211" i="3"/>
  <c r="AT217" i="3"/>
  <c r="AT225" i="3"/>
  <c r="AT213" i="3"/>
  <c r="AT226" i="3"/>
  <c r="AC111" i="3"/>
  <c r="AC112" i="3"/>
  <c r="AC113" i="3"/>
  <c r="AC114" i="3"/>
  <c r="AC109" i="3"/>
  <c r="AC110" i="3"/>
  <c r="AC108" i="3"/>
  <c r="AT185" i="3"/>
  <c r="AT186" i="3"/>
  <c r="AT193" i="3"/>
  <c r="AT190" i="3"/>
  <c r="AT189" i="3"/>
  <c r="AT191" i="3"/>
  <c r="AT192" i="3"/>
  <c r="AT188" i="3"/>
  <c r="AT183" i="3"/>
  <c r="G22" i="3" s="1"/>
  <c r="AT184" i="3"/>
  <c r="AT195" i="3"/>
  <c r="AT194" i="3"/>
  <c r="AT187" i="3"/>
  <c r="AT179" i="3"/>
  <c r="AT172" i="3"/>
  <c r="AT180" i="3"/>
  <c r="AT181" i="3"/>
  <c r="AT174" i="3"/>
  <c r="AT175" i="3"/>
  <c r="AT177" i="3"/>
  <c r="AT178" i="3"/>
  <c r="AT176" i="3"/>
  <c r="AT173" i="3"/>
  <c r="AT182" i="3"/>
  <c r="AF104" i="3"/>
  <c r="AF107" i="3"/>
  <c r="AF106" i="3"/>
  <c r="AF105" i="3"/>
  <c r="AE105" i="3"/>
  <c r="AE104" i="3"/>
  <c r="AE107" i="3"/>
  <c r="AE106" i="3"/>
  <c r="AT204" i="3"/>
  <c r="AT206" i="3"/>
  <c r="AT196" i="3"/>
  <c r="AT203" i="3"/>
  <c r="AT205" i="3"/>
  <c r="AT197" i="3"/>
  <c r="AT209" i="3"/>
  <c r="AT208" i="3"/>
  <c r="AT200" i="3"/>
  <c r="AT201" i="3"/>
  <c r="AT198" i="3"/>
  <c r="AT207" i="3"/>
  <c r="AT202" i="3"/>
  <c r="AT199" i="3"/>
  <c r="AJ102" i="31"/>
  <c r="Q102" i="31"/>
  <c r="BG101" i="31"/>
  <c r="AU101" i="31"/>
  <c r="BA101" i="31" s="1"/>
  <c r="Q103" i="31"/>
  <c r="AJ103" i="31"/>
  <c r="AI105" i="3"/>
  <c r="M109" i="31"/>
  <c r="AG109" i="31" s="1"/>
  <c r="N108" i="31"/>
  <c r="AH108" i="31" s="1"/>
  <c r="AJ104" i="3"/>
  <c r="BF106" i="31"/>
  <c r="AT106" i="31"/>
  <c r="AZ106" i="31" s="1"/>
  <c r="BE105" i="31"/>
  <c r="AS105" i="31"/>
  <c r="AY105" i="31" s="1"/>
  <c r="BQ54" i="23"/>
  <c r="AI107" i="3"/>
  <c r="M111" i="31"/>
  <c r="AG111" i="31" s="1"/>
  <c r="N109" i="31"/>
  <c r="AH109" i="31" s="1"/>
  <c r="AJ105" i="3"/>
  <c r="M110" i="31"/>
  <c r="AG110" i="31" s="1"/>
  <c r="AI106" i="3"/>
  <c r="BF107" i="31"/>
  <c r="AT107" i="31"/>
  <c r="AZ107" i="31" s="1"/>
  <c r="AV99" i="31"/>
  <c r="BB99" i="31" s="1"/>
  <c r="BH99" i="31"/>
  <c r="BH98" i="31"/>
  <c r="AV98" i="31"/>
  <c r="BB98" i="31" s="1"/>
  <c r="AS104" i="31"/>
  <c r="AY104" i="31" s="1"/>
  <c r="BE104" i="31"/>
  <c r="AI104" i="3"/>
  <c r="M108" i="31"/>
  <c r="AG108" i="31" s="1"/>
  <c r="N111" i="31"/>
  <c r="AH111" i="31" s="1"/>
  <c r="AJ107" i="3"/>
  <c r="P106" i="31"/>
  <c r="AL102" i="3"/>
  <c r="N110" i="31"/>
  <c r="AH110" i="31" s="1"/>
  <c r="AJ106" i="3"/>
  <c r="O105" i="31"/>
  <c r="AI105" i="31" s="1"/>
  <c r="AK101" i="3"/>
  <c r="P107" i="31"/>
  <c r="AL103" i="3"/>
  <c r="L113" i="31"/>
  <c r="AF113" i="31" s="1"/>
  <c r="AH109" i="3"/>
  <c r="BQ62" i="23"/>
  <c r="BG104" i="31"/>
  <c r="AU104" i="31"/>
  <c r="BA104" i="31" s="1"/>
  <c r="AU103" i="31"/>
  <c r="BA103" i="31" s="1"/>
  <c r="BG103" i="31"/>
  <c r="BE107" i="31"/>
  <c r="AS107" i="31"/>
  <c r="AY107" i="31" s="1"/>
  <c r="Q101" i="31"/>
  <c r="AJ101" i="31"/>
  <c r="AK103" i="3"/>
  <c r="O107" i="31"/>
  <c r="AI107" i="31" s="1"/>
  <c r="AL101" i="3"/>
  <c r="P105" i="31"/>
  <c r="AH110" i="3"/>
  <c r="L114" i="31"/>
  <c r="AF114" i="31" s="1"/>
  <c r="Q104" i="31"/>
  <c r="AJ104" i="31"/>
  <c r="BG102" i="31"/>
  <c r="AU102" i="31"/>
  <c r="BA102" i="31" s="1"/>
  <c r="AT105" i="31"/>
  <c r="AZ105" i="31" s="1"/>
  <c r="BF105" i="31"/>
  <c r="AS106" i="31"/>
  <c r="AY106" i="31" s="1"/>
  <c r="BE106" i="31"/>
  <c r="BH100" i="31"/>
  <c r="AV100" i="31"/>
  <c r="BB100" i="31" s="1"/>
  <c r="BR45" i="23"/>
  <c r="BS45" i="23" s="1"/>
  <c r="BT45" i="23" s="1"/>
  <c r="BW45" i="23" s="1"/>
  <c r="CI9" i="23" s="1"/>
  <c r="BR43" i="23"/>
  <c r="BS43" i="23" s="1"/>
  <c r="BT43" i="23" s="1"/>
  <c r="BW43" i="23" s="1"/>
  <c r="CI7" i="23" s="1"/>
  <c r="BR41" i="23"/>
  <c r="BS41" i="23" s="1"/>
  <c r="BT41" i="23" s="1"/>
  <c r="BR42" i="23"/>
  <c r="BS42" i="23" s="1"/>
  <c r="BT42" i="23" s="1"/>
  <c r="BW42" i="23" s="1"/>
  <c r="CI6" i="23" s="1"/>
  <c r="BR44" i="23"/>
  <c r="BS44" i="23" s="1"/>
  <c r="BT44" i="23" s="1"/>
  <c r="BW44" i="23" s="1"/>
  <c r="CI8" i="23" s="1"/>
  <c r="O106" i="31"/>
  <c r="AI106" i="31" s="1"/>
  <c r="AK102" i="3"/>
  <c r="AH108" i="3"/>
  <c r="L112" i="31"/>
  <c r="AF112" i="31" s="1"/>
  <c r="I34" i="5"/>
  <c r="S34" i="5" s="1"/>
  <c r="K33" i="5"/>
  <c r="U33" i="5" s="1"/>
  <c r="J33" i="5"/>
  <c r="T33" i="5" s="1"/>
  <c r="AS276" i="3"/>
  <c r="AS231" i="3"/>
  <c r="Z112" i="5"/>
  <c r="AS236" i="3"/>
  <c r="AS247" i="3"/>
  <c r="AS261" i="3"/>
  <c r="AS244" i="3"/>
  <c r="AS255" i="3"/>
  <c r="AS256" i="3"/>
  <c r="AS227" i="3"/>
  <c r="AA110" i="5"/>
  <c r="AS232" i="3"/>
  <c r="AS266" i="3"/>
  <c r="AS237" i="3"/>
  <c r="AS233" i="3"/>
  <c r="AS263" i="3"/>
  <c r="AS274" i="3"/>
  <c r="AS254" i="3"/>
  <c r="AS229" i="3"/>
  <c r="Z113" i="5"/>
  <c r="AS272" i="3"/>
  <c r="AS269" i="3"/>
  <c r="AS238" i="3"/>
  <c r="AS270" i="3"/>
  <c r="AS240" i="3"/>
  <c r="AS273" i="3"/>
  <c r="AS258" i="3"/>
  <c r="AS271" i="3"/>
  <c r="AA111" i="5"/>
  <c r="AS248" i="3"/>
  <c r="AS250" i="3"/>
  <c r="AS277" i="3"/>
  <c r="AS260" i="3"/>
  <c r="Z115" i="5"/>
  <c r="AS251" i="3"/>
  <c r="AS267" i="3"/>
  <c r="AS275" i="3"/>
  <c r="AS234" i="3"/>
  <c r="AB111" i="5"/>
  <c r="Z114" i="5"/>
  <c r="AS252" i="3"/>
  <c r="AS249" i="3"/>
  <c r="AA109" i="5"/>
  <c r="AS264" i="3"/>
  <c r="AS241" i="3"/>
  <c r="AS257" i="3"/>
  <c r="AB110" i="5"/>
  <c r="AS265" i="3"/>
  <c r="AB109" i="5"/>
  <c r="AS268" i="3"/>
  <c r="AS230" i="3"/>
  <c r="AS245" i="3"/>
  <c r="AS262" i="3"/>
  <c r="AS228" i="3"/>
  <c r="AS253" i="3"/>
  <c r="AS259" i="3"/>
  <c r="AS246" i="3"/>
  <c r="AS239" i="3"/>
  <c r="AB112" i="5"/>
  <c r="AS242" i="3"/>
  <c r="AS243" i="3"/>
  <c r="AS235" i="3"/>
  <c r="AF110" i="3" l="1"/>
  <c r="AF108" i="3"/>
  <c r="AF109" i="3"/>
  <c r="AF111" i="3"/>
  <c r="AT265" i="3"/>
  <c r="AT267" i="3"/>
  <c r="AT271" i="3"/>
  <c r="AT275" i="3"/>
  <c r="AT262" i="3"/>
  <c r="AT261" i="3"/>
  <c r="AT268" i="3"/>
  <c r="AT269" i="3"/>
  <c r="AT277" i="3"/>
  <c r="AT266" i="3"/>
  <c r="AT272" i="3"/>
  <c r="AT264" i="3"/>
  <c r="AT276" i="3"/>
  <c r="AT270" i="3"/>
  <c r="AT273" i="3"/>
  <c r="AT274" i="3"/>
  <c r="AT263" i="3"/>
  <c r="AD114" i="3"/>
  <c r="AD112" i="3"/>
  <c r="AD113" i="3"/>
  <c r="AD111" i="3"/>
  <c r="AE108" i="3"/>
  <c r="AE109" i="3"/>
  <c r="AE110" i="3"/>
  <c r="AT260" i="3"/>
  <c r="AT254" i="3"/>
  <c r="AT249" i="3"/>
  <c r="AT253" i="3"/>
  <c r="AT244" i="3"/>
  <c r="AT256" i="3"/>
  <c r="AT247" i="3"/>
  <c r="AT245" i="3"/>
  <c r="AT251" i="3"/>
  <c r="AT246" i="3"/>
  <c r="AT250" i="3"/>
  <c r="AT257" i="3"/>
  <c r="AT248" i="3"/>
  <c r="AT258" i="3"/>
  <c r="AT259" i="3"/>
  <c r="AT252" i="3"/>
  <c r="AT255" i="3"/>
  <c r="AT233" i="3"/>
  <c r="AT241" i="3"/>
  <c r="AT236" i="3"/>
  <c r="AT228" i="3"/>
  <c r="AT230" i="3"/>
  <c r="AT238" i="3"/>
  <c r="AT231" i="3"/>
  <c r="AT234" i="3"/>
  <c r="AT242" i="3"/>
  <c r="AT235" i="3"/>
  <c r="AT232" i="3"/>
  <c r="AT229" i="3"/>
  <c r="AT237" i="3"/>
  <c r="AT227" i="3"/>
  <c r="AT240" i="3"/>
  <c r="AT243" i="3"/>
  <c r="AT239" i="3"/>
  <c r="BG107" i="31"/>
  <c r="AU107" i="31"/>
  <c r="BA107" i="31" s="1"/>
  <c r="BG105" i="31"/>
  <c r="AU105" i="31"/>
  <c r="BA105" i="31" s="1"/>
  <c r="BH103" i="31"/>
  <c r="AV103" i="31"/>
  <c r="BB103" i="31" s="1"/>
  <c r="AK106" i="3"/>
  <c r="O110" i="31"/>
  <c r="AI110" i="31" s="1"/>
  <c r="AI114" i="3"/>
  <c r="M118" i="31"/>
  <c r="AG118" i="31" s="1"/>
  <c r="BD112" i="31"/>
  <c r="AR112" i="31"/>
  <c r="AX112" i="31" s="1"/>
  <c r="O111" i="31"/>
  <c r="AI111" i="31" s="1"/>
  <c r="AK107" i="3"/>
  <c r="AI113" i="3"/>
  <c r="M117" i="31"/>
  <c r="AG117" i="31" s="1"/>
  <c r="BH104" i="31"/>
  <c r="AV104" i="31"/>
  <c r="BB104" i="31" s="1"/>
  <c r="AV101" i="31"/>
  <c r="BB101" i="31" s="1"/>
  <c r="BH101" i="31"/>
  <c r="AT110" i="31"/>
  <c r="AZ110" i="31" s="1"/>
  <c r="BF110" i="31"/>
  <c r="BE110" i="31"/>
  <c r="AS110" i="31"/>
  <c r="AY110" i="31" s="1"/>
  <c r="O108" i="31"/>
  <c r="AI108" i="31" s="1"/>
  <c r="AK104" i="3"/>
  <c r="M116" i="31"/>
  <c r="AG116" i="31" s="1"/>
  <c r="AI112" i="3"/>
  <c r="O109" i="31"/>
  <c r="AI109" i="31" s="1"/>
  <c r="AK105" i="3"/>
  <c r="M115" i="31"/>
  <c r="AG115" i="31" s="1"/>
  <c r="AI111" i="3"/>
  <c r="BG106" i="31"/>
  <c r="AU106" i="31"/>
  <c r="BA106" i="31" s="1"/>
  <c r="BD114" i="31"/>
  <c r="AR114" i="31"/>
  <c r="AX114" i="31" s="1"/>
  <c r="AR113" i="31"/>
  <c r="AX113" i="31" s="1"/>
  <c r="BD113" i="31"/>
  <c r="Q106" i="31"/>
  <c r="AJ106" i="31"/>
  <c r="BF109" i="31"/>
  <c r="AT109" i="31"/>
  <c r="AZ109" i="31" s="1"/>
  <c r="P109" i="31"/>
  <c r="AL105" i="3"/>
  <c r="H22" i="3"/>
  <c r="I22" i="3" s="1"/>
  <c r="S22" i="3"/>
  <c r="AS111" i="31"/>
  <c r="AY111" i="31" s="1"/>
  <c r="BE111" i="31"/>
  <c r="BF108" i="31"/>
  <c r="AT108" i="31"/>
  <c r="AZ108" i="31" s="1"/>
  <c r="BH102" i="31"/>
  <c r="AV102" i="31"/>
  <c r="BB102" i="31" s="1"/>
  <c r="AL106" i="3"/>
  <c r="P110" i="31"/>
  <c r="AI108" i="3"/>
  <c r="M112" i="31"/>
  <c r="AG112" i="31" s="1"/>
  <c r="AJ110" i="3"/>
  <c r="N114" i="31"/>
  <c r="AH114" i="31" s="1"/>
  <c r="Q105" i="31"/>
  <c r="AJ105" i="31"/>
  <c r="Q107" i="31"/>
  <c r="AJ107" i="31"/>
  <c r="BF111" i="31"/>
  <c r="AT111" i="31"/>
  <c r="AZ111" i="31" s="1"/>
  <c r="BE109" i="31"/>
  <c r="AS109" i="31"/>
  <c r="AY109" i="31" s="1"/>
  <c r="P111" i="31"/>
  <c r="AL107" i="3"/>
  <c r="M114" i="31"/>
  <c r="AG114" i="31" s="1"/>
  <c r="AI110" i="3"/>
  <c r="N113" i="31"/>
  <c r="AH113" i="31" s="1"/>
  <c r="AJ109" i="3"/>
  <c r="CI15" i="23"/>
  <c r="BW41" i="23"/>
  <c r="CI5" i="23" s="1"/>
  <c r="BE108" i="31"/>
  <c r="AS108" i="31"/>
  <c r="AY108" i="31" s="1"/>
  <c r="BR54" i="23"/>
  <c r="BS54" i="23" s="1"/>
  <c r="BT54" i="23" s="1"/>
  <c r="BW54" i="23" s="1"/>
  <c r="CJ9" i="23" s="1"/>
  <c r="BR50" i="23"/>
  <c r="BS50" i="23" s="1"/>
  <c r="BT50" i="23" s="1"/>
  <c r="BR52" i="23"/>
  <c r="BS52" i="23" s="1"/>
  <c r="BT52" i="23" s="1"/>
  <c r="BW52" i="23" s="1"/>
  <c r="CJ7" i="23" s="1"/>
  <c r="BR51" i="23"/>
  <c r="BS51" i="23" s="1"/>
  <c r="BT51" i="23" s="1"/>
  <c r="BW51" i="23" s="1"/>
  <c r="CJ6" i="23" s="1"/>
  <c r="BR53" i="23"/>
  <c r="BS53" i="23" s="1"/>
  <c r="BT53" i="23" s="1"/>
  <c r="BW53" i="23" s="1"/>
  <c r="CJ8" i="23" s="1"/>
  <c r="P108" i="31"/>
  <c r="AL104" i="3"/>
  <c r="M113" i="31"/>
  <c r="AG113" i="31" s="1"/>
  <c r="AI109" i="3"/>
  <c r="N112" i="31"/>
  <c r="AH112" i="31" s="1"/>
  <c r="AJ108" i="3"/>
  <c r="G34" i="5"/>
  <c r="Q34" i="5" s="1"/>
  <c r="K34" i="5"/>
  <c r="U34" i="5" s="1"/>
  <c r="J34" i="5"/>
  <c r="T34" i="5" s="1"/>
  <c r="AS344" i="3"/>
  <c r="AS351" i="3"/>
  <c r="AS318" i="3"/>
  <c r="AS308" i="3"/>
  <c r="AS338" i="3"/>
  <c r="AA115" i="5"/>
  <c r="AS357" i="3"/>
  <c r="AS319" i="3"/>
  <c r="AS306" i="3"/>
  <c r="AS350" i="3"/>
  <c r="AS287" i="3"/>
  <c r="AS324" i="3"/>
  <c r="AS291" i="3"/>
  <c r="AA112" i="5"/>
  <c r="AS300" i="3"/>
  <c r="X114" i="5"/>
  <c r="AS363" i="3"/>
  <c r="AS349" i="3"/>
  <c r="AS348" i="3"/>
  <c r="AS307" i="3"/>
  <c r="AS288" i="3"/>
  <c r="AS284" i="3"/>
  <c r="AS313" i="3"/>
  <c r="AS317" i="3"/>
  <c r="AS346" i="3"/>
  <c r="AS304" i="3"/>
  <c r="AA113" i="5"/>
  <c r="AS333" i="3"/>
  <c r="AS293" i="3"/>
  <c r="AS358" i="3"/>
  <c r="AS361" i="3"/>
  <c r="AS322" i="3"/>
  <c r="AS347" i="3"/>
  <c r="AS297" i="3"/>
  <c r="AS323" i="3"/>
  <c r="AS355" i="3"/>
  <c r="AS303" i="3"/>
  <c r="AS334" i="3"/>
  <c r="AS356" i="3"/>
  <c r="AS335" i="3"/>
  <c r="AS336" i="3"/>
  <c r="AS328" i="3"/>
  <c r="AS314" i="3"/>
  <c r="AS290" i="3"/>
  <c r="AS359" i="3"/>
  <c r="AS310" i="3"/>
  <c r="AS352" i="3"/>
  <c r="X112" i="5"/>
  <c r="AS337" i="3"/>
  <c r="AS362" i="3"/>
  <c r="AS285" i="3"/>
  <c r="AS294" i="3"/>
  <c r="AS342" i="3"/>
  <c r="AS311" i="3"/>
  <c r="AS289" i="3"/>
  <c r="AS281" i="3"/>
  <c r="AS321" i="3"/>
  <c r="AS325" i="3"/>
  <c r="X115" i="5"/>
  <c r="AS330" i="3"/>
  <c r="AS312" i="3"/>
  <c r="AS296" i="3"/>
  <c r="AS305" i="3"/>
  <c r="AB113" i="5"/>
  <c r="AS360" i="3"/>
  <c r="AS320" i="3"/>
  <c r="AS279" i="3"/>
  <c r="AS302" i="3"/>
  <c r="AS299" i="3"/>
  <c r="AS340" i="3"/>
  <c r="AS339" i="3"/>
  <c r="AS286" i="3"/>
  <c r="AS309" i="3"/>
  <c r="AS327" i="3"/>
  <c r="AB115" i="5"/>
  <c r="AS280" i="3"/>
  <c r="AB114" i="5"/>
  <c r="AS345" i="3"/>
  <c r="AS341" i="3"/>
  <c r="AS292" i="3"/>
  <c r="AS354" i="3"/>
  <c r="AS278" i="3"/>
  <c r="AS295" i="3"/>
  <c r="AS316" i="3"/>
  <c r="AS332" i="3"/>
  <c r="AS329" i="3"/>
  <c r="AS331" i="3"/>
  <c r="X113" i="5"/>
  <c r="AS301" i="3"/>
  <c r="AS283" i="3"/>
  <c r="AS326" i="3"/>
  <c r="AS315" i="3"/>
  <c r="AA114" i="5"/>
  <c r="AS298" i="3"/>
  <c r="AS343" i="3"/>
  <c r="AS282" i="3"/>
  <c r="AS353" i="3"/>
  <c r="AT344" i="3" l="1"/>
  <c r="AT363" i="3"/>
  <c r="AT359" i="3"/>
  <c r="AT341" i="3"/>
  <c r="AT343" i="3"/>
  <c r="AT351" i="3"/>
  <c r="AT349" i="3"/>
  <c r="AT356" i="3"/>
  <c r="AT360" i="3"/>
  <c r="AT342" i="3"/>
  <c r="AT353" i="3"/>
  <c r="AT345" i="3"/>
  <c r="AT354" i="3"/>
  <c r="AT352" i="3"/>
  <c r="AT361" i="3"/>
  <c r="AT358" i="3"/>
  <c r="AT350" i="3"/>
  <c r="AT357" i="3"/>
  <c r="AT340" i="3"/>
  <c r="AT362" i="3"/>
  <c r="AT346" i="3"/>
  <c r="AT355" i="3"/>
  <c r="AT347" i="3"/>
  <c r="AT348" i="3"/>
  <c r="AT339" i="3"/>
  <c r="AT338" i="3"/>
  <c r="AT319" i="3"/>
  <c r="AT333" i="3"/>
  <c r="AT331" i="3"/>
  <c r="AT317" i="3"/>
  <c r="AT324" i="3"/>
  <c r="AT325" i="3"/>
  <c r="AT328" i="3"/>
  <c r="AT322" i="3"/>
  <c r="AT318" i="3"/>
  <c r="AT336" i="3"/>
  <c r="AT335" i="3"/>
  <c r="AT326" i="3"/>
  <c r="AT323" i="3"/>
  <c r="AT327" i="3"/>
  <c r="AT321" i="3"/>
  <c r="AT337" i="3"/>
  <c r="AT329" i="3"/>
  <c r="AT332" i="3"/>
  <c r="AT320" i="3"/>
  <c r="AT334" i="3"/>
  <c r="AT330" i="3"/>
  <c r="AT313" i="3"/>
  <c r="AT302" i="3"/>
  <c r="AT309" i="3"/>
  <c r="AT298" i="3"/>
  <c r="AT316" i="3"/>
  <c r="AT310" i="3"/>
  <c r="AT308" i="3"/>
  <c r="AT303" i="3"/>
  <c r="AT306" i="3"/>
  <c r="AT304" i="3"/>
  <c r="AT307" i="3"/>
  <c r="AT314" i="3"/>
  <c r="AT297" i="3"/>
  <c r="AT311" i="3"/>
  <c r="AT305" i="3"/>
  <c r="AT301" i="3"/>
  <c r="AT312" i="3"/>
  <c r="AT299" i="3"/>
  <c r="AT315" i="3"/>
  <c r="AT300" i="3"/>
  <c r="AT290" i="3"/>
  <c r="AT279" i="3"/>
  <c r="AT287" i="3"/>
  <c r="AT286" i="3"/>
  <c r="AT291" i="3"/>
  <c r="AT284" i="3"/>
  <c r="AT282" i="3"/>
  <c r="AT295" i="3"/>
  <c r="AT281" i="3"/>
  <c r="AT289" i="3"/>
  <c r="AT278" i="3"/>
  <c r="AT296" i="3"/>
  <c r="AT293" i="3"/>
  <c r="AT292" i="3"/>
  <c r="AT283" i="3"/>
  <c r="AT288" i="3"/>
  <c r="G23" i="3" s="1"/>
  <c r="AT294" i="3"/>
  <c r="AT285" i="3"/>
  <c r="AT280" i="3"/>
  <c r="AF113" i="3"/>
  <c r="AF112" i="3"/>
  <c r="AF114" i="3"/>
  <c r="AB112" i="3"/>
  <c r="AB114" i="3"/>
  <c r="AB111" i="3"/>
  <c r="AB113" i="3"/>
  <c r="AE113" i="3"/>
  <c r="AE111" i="3"/>
  <c r="AE112" i="3"/>
  <c r="AE114" i="3"/>
  <c r="BF112" i="31"/>
  <c r="AT112" i="31"/>
  <c r="AZ112" i="31" s="1"/>
  <c r="BW50" i="23"/>
  <c r="CJ5" i="23" s="1"/>
  <c r="CJ15" i="23"/>
  <c r="BH107" i="31"/>
  <c r="AV107" i="31"/>
  <c r="BB107" i="31" s="1"/>
  <c r="AJ110" i="31"/>
  <c r="Q110" i="31"/>
  <c r="BE118" i="31"/>
  <c r="AS118" i="31"/>
  <c r="AY118" i="31" s="1"/>
  <c r="AJ113" i="3"/>
  <c r="N117" i="31"/>
  <c r="AH117" i="31" s="1"/>
  <c r="BE114" i="31"/>
  <c r="AS114" i="31"/>
  <c r="AY114" i="31" s="1"/>
  <c r="BQ63" i="23"/>
  <c r="BG109" i="31"/>
  <c r="AU109" i="31"/>
  <c r="BA109" i="31" s="1"/>
  <c r="AJ112" i="3"/>
  <c r="N116" i="31"/>
  <c r="AH116" i="31" s="1"/>
  <c r="BE113" i="31"/>
  <c r="AS113" i="31"/>
  <c r="AY113" i="31" s="1"/>
  <c r="BH105" i="31"/>
  <c r="AV105" i="31"/>
  <c r="BB105" i="31" s="1"/>
  <c r="AS117" i="31"/>
  <c r="AY117" i="31" s="1"/>
  <c r="BE117" i="31"/>
  <c r="BG110" i="31"/>
  <c r="AU110" i="31"/>
  <c r="BA110" i="31" s="1"/>
  <c r="N118" i="31"/>
  <c r="AH118" i="31" s="1"/>
  <c r="AJ114" i="3"/>
  <c r="Q111" i="31"/>
  <c r="AJ111" i="31"/>
  <c r="AJ109" i="31"/>
  <c r="Q109" i="31"/>
  <c r="BE116" i="31"/>
  <c r="AS116" i="31"/>
  <c r="AY116" i="31" s="1"/>
  <c r="Q108" i="31"/>
  <c r="AJ108" i="31"/>
  <c r="BF114" i="31"/>
  <c r="AT114" i="31"/>
  <c r="AZ114" i="31" s="1"/>
  <c r="O114" i="31"/>
  <c r="AI114" i="31" s="1"/>
  <c r="AK110" i="3"/>
  <c r="P115" i="31"/>
  <c r="AL111" i="3"/>
  <c r="CI24" i="23"/>
  <c r="CI25" i="23"/>
  <c r="CI23" i="23"/>
  <c r="CI21" i="23"/>
  <c r="CI22" i="23"/>
  <c r="BG108" i="31"/>
  <c r="AU108" i="31"/>
  <c r="BA108" i="31" s="1"/>
  <c r="BG111" i="31"/>
  <c r="AU111" i="31"/>
  <c r="BA111" i="31" s="1"/>
  <c r="O113" i="31"/>
  <c r="AI113" i="31" s="1"/>
  <c r="AK109" i="3"/>
  <c r="AL109" i="3"/>
  <c r="P113" i="31"/>
  <c r="BE112" i="31"/>
  <c r="AS112" i="31"/>
  <c r="AY112" i="31" s="1"/>
  <c r="BH106" i="31"/>
  <c r="AV106" i="31"/>
  <c r="BB106" i="31" s="1"/>
  <c r="O112" i="31"/>
  <c r="AI112" i="31" s="1"/>
  <c r="AK108" i="3"/>
  <c r="AL108" i="3"/>
  <c r="P112" i="31"/>
  <c r="AT113" i="31"/>
  <c r="AZ113" i="31" s="1"/>
  <c r="BF113" i="31"/>
  <c r="BE115" i="31"/>
  <c r="AS115" i="31"/>
  <c r="AY115" i="31" s="1"/>
  <c r="N115" i="31"/>
  <c r="AH115" i="31" s="1"/>
  <c r="AJ111" i="3"/>
  <c r="P114" i="31"/>
  <c r="AL110" i="3"/>
  <c r="H35" i="5"/>
  <c r="R35" i="5" s="1"/>
  <c r="I35" i="5"/>
  <c r="S35" i="5" s="1"/>
  <c r="K35" i="5"/>
  <c r="U35" i="5" s="1"/>
  <c r="J35" i="5"/>
  <c r="T35" i="5" s="1"/>
  <c r="AB118" i="5"/>
  <c r="Y117" i="5"/>
  <c r="Z117" i="5"/>
  <c r="AB117" i="5"/>
  <c r="Y116" i="5"/>
  <c r="AA118" i="5"/>
  <c r="Z116" i="5"/>
  <c r="AB119" i="5"/>
  <c r="AA116" i="5"/>
  <c r="Z118" i="5"/>
  <c r="AA117" i="5"/>
  <c r="AB116" i="5"/>
  <c r="Y118" i="5"/>
  <c r="AD115" i="3" l="1"/>
  <c r="AD116" i="3"/>
  <c r="AD117" i="3"/>
  <c r="AE116" i="3"/>
  <c r="AE117" i="3"/>
  <c r="AE115" i="3"/>
  <c r="AC117" i="3"/>
  <c r="AC116" i="3"/>
  <c r="AC115" i="3"/>
  <c r="AF115" i="3"/>
  <c r="AF116" i="3"/>
  <c r="AF117" i="3"/>
  <c r="AF118" i="3"/>
  <c r="AH114" i="3"/>
  <c r="L118" i="31"/>
  <c r="AF118" i="31" s="1"/>
  <c r="BR63" i="23"/>
  <c r="BS63" i="23" s="1"/>
  <c r="BT63" i="23" s="1"/>
  <c r="BW63" i="23" s="1"/>
  <c r="CK9" i="23" s="1"/>
  <c r="BR62" i="23"/>
  <c r="BS62" i="23" s="1"/>
  <c r="BT62" i="23" s="1"/>
  <c r="BW62" i="23" s="1"/>
  <c r="CK8" i="23" s="1"/>
  <c r="BR61" i="23"/>
  <c r="BS61" i="23" s="1"/>
  <c r="BT61" i="23" s="1"/>
  <c r="BW61" i="23" s="1"/>
  <c r="CK7" i="23" s="1"/>
  <c r="BR60" i="23"/>
  <c r="BS60" i="23" s="1"/>
  <c r="BT60" i="23" s="1"/>
  <c r="BW60" i="23" s="1"/>
  <c r="CK6" i="23" s="1"/>
  <c r="BR59" i="23"/>
  <c r="BS59" i="23" s="1"/>
  <c r="BT59" i="23" s="1"/>
  <c r="O116" i="31"/>
  <c r="AI116" i="31" s="1"/>
  <c r="AK112" i="3"/>
  <c r="O115" i="31"/>
  <c r="AI115" i="31" s="1"/>
  <c r="AK111" i="3"/>
  <c r="P117" i="31"/>
  <c r="AL113" i="3"/>
  <c r="BF116" i="31"/>
  <c r="AT116" i="31"/>
  <c r="AZ116" i="31" s="1"/>
  <c r="AJ115" i="31"/>
  <c r="Q115" i="31"/>
  <c r="Q114" i="31"/>
  <c r="AJ114" i="31"/>
  <c r="BH111" i="31"/>
  <c r="AV111" i="31"/>
  <c r="BB111" i="31" s="1"/>
  <c r="BH110" i="31"/>
  <c r="AV110" i="31"/>
  <c r="BB110" i="31" s="1"/>
  <c r="AL112" i="3"/>
  <c r="P116" i="31"/>
  <c r="BF115" i="31"/>
  <c r="AT115" i="31"/>
  <c r="AZ115" i="31" s="1"/>
  <c r="BG112" i="31"/>
  <c r="AU112" i="31"/>
  <c r="BA112" i="31" s="1"/>
  <c r="BG113" i="31"/>
  <c r="AU113" i="31"/>
  <c r="BA113" i="31" s="1"/>
  <c r="BH108" i="31"/>
  <c r="AV108" i="31"/>
  <c r="BB108" i="31" s="1"/>
  <c r="O117" i="31"/>
  <c r="AI117" i="31" s="1"/>
  <c r="AK113" i="3"/>
  <c r="BF118" i="31"/>
  <c r="AT118" i="31"/>
  <c r="AZ118" i="31" s="1"/>
  <c r="BF117" i="31"/>
  <c r="AT117" i="31"/>
  <c r="AZ117" i="31" s="1"/>
  <c r="CJ25" i="23"/>
  <c r="CJ23" i="23"/>
  <c r="CJ22" i="23"/>
  <c r="CJ21" i="23"/>
  <c r="CJ24" i="23"/>
  <c r="L117" i="31"/>
  <c r="AF117" i="31" s="1"/>
  <c r="AH113" i="3"/>
  <c r="AH111" i="3"/>
  <c r="L115" i="31"/>
  <c r="AF115" i="31" s="1"/>
  <c r="L116" i="31"/>
  <c r="AF116" i="31" s="1"/>
  <c r="AH112" i="3"/>
  <c r="H23" i="3"/>
  <c r="I23" i="3" s="1"/>
  <c r="S23" i="3"/>
  <c r="Q112" i="31"/>
  <c r="AJ112" i="31"/>
  <c r="AJ113" i="31"/>
  <c r="Q113" i="31"/>
  <c r="BG114" i="31"/>
  <c r="AU114" i="31"/>
  <c r="BA114" i="31" s="1"/>
  <c r="AV109" i="31"/>
  <c r="BB109" i="31" s="1"/>
  <c r="BH109" i="31"/>
  <c r="O118" i="31"/>
  <c r="AI118" i="31" s="1"/>
  <c r="AK114" i="3"/>
  <c r="P118" i="31"/>
  <c r="AL114" i="3"/>
  <c r="K36" i="5"/>
  <c r="U36" i="5" s="1"/>
  <c r="J36" i="5"/>
  <c r="T36" i="5" s="1"/>
  <c r="AB120" i="5"/>
  <c r="AA121" i="5"/>
  <c r="AB121" i="5"/>
  <c r="AA119" i="5"/>
  <c r="AA122" i="5"/>
  <c r="AA120" i="5"/>
  <c r="AB122" i="5"/>
  <c r="AE118" i="3" l="1"/>
  <c r="AE120" i="3"/>
  <c r="AE119" i="3"/>
  <c r="AE121" i="3"/>
  <c r="AF120" i="3"/>
  <c r="AF119" i="3"/>
  <c r="AF121" i="3"/>
  <c r="AV114" i="31"/>
  <c r="BB114" i="31" s="1"/>
  <c r="BH114" i="31"/>
  <c r="BG117" i="31"/>
  <c r="AU117" i="31"/>
  <c r="BA117" i="31" s="1"/>
  <c r="BG115" i="31"/>
  <c r="AU115" i="31"/>
  <c r="BA115" i="31" s="1"/>
  <c r="BD118" i="31"/>
  <c r="AR118" i="31"/>
  <c r="AX118" i="31" s="1"/>
  <c r="M121" i="31"/>
  <c r="AG121" i="31" s="1"/>
  <c r="AI117" i="3"/>
  <c r="M120" i="31"/>
  <c r="AG120" i="31" s="1"/>
  <c r="AI116" i="3"/>
  <c r="BD116" i="31"/>
  <c r="AR116" i="31"/>
  <c r="AX116" i="31" s="1"/>
  <c r="AJ116" i="31"/>
  <c r="Q116" i="31"/>
  <c r="O119" i="31"/>
  <c r="AI119" i="31" s="1"/>
  <c r="AK115" i="3"/>
  <c r="BD115" i="31"/>
  <c r="AR115" i="31"/>
  <c r="AX115" i="31" s="1"/>
  <c r="BH115" i="31"/>
  <c r="AV115" i="31"/>
  <c r="BB115" i="31" s="1"/>
  <c r="BG116" i="31"/>
  <c r="AU116" i="31"/>
  <c r="BA116" i="31" s="1"/>
  <c r="P122" i="31"/>
  <c r="AL118" i="3"/>
  <c r="O121" i="31"/>
  <c r="AI121" i="31" s="1"/>
  <c r="AK117" i="3"/>
  <c r="Q118" i="31"/>
  <c r="AJ118" i="31"/>
  <c r="BH113" i="31"/>
  <c r="AV113" i="31"/>
  <c r="BB113" i="31" s="1"/>
  <c r="BW59" i="23"/>
  <c r="CK5" i="23" s="1"/>
  <c r="CK15" i="23"/>
  <c r="AL117" i="3"/>
  <c r="P121" i="31"/>
  <c r="AK116" i="3"/>
  <c r="O120" i="31"/>
  <c r="AI120" i="31" s="1"/>
  <c r="BH112" i="31"/>
  <c r="AV112" i="31"/>
  <c r="BB112" i="31" s="1"/>
  <c r="AL116" i="3"/>
  <c r="P120" i="31"/>
  <c r="N121" i="31"/>
  <c r="AH121" i="31" s="1"/>
  <c r="AJ117" i="3"/>
  <c r="AU118" i="31"/>
  <c r="BA118" i="31" s="1"/>
  <c r="BG118" i="31"/>
  <c r="BD117" i="31"/>
  <c r="AR117" i="31"/>
  <c r="AX117" i="31" s="1"/>
  <c r="P119" i="31"/>
  <c r="AL115" i="3"/>
  <c r="N120" i="31"/>
  <c r="AH120" i="31" s="1"/>
  <c r="AJ116" i="3"/>
  <c r="AJ117" i="31"/>
  <c r="Q117" i="31"/>
  <c r="M119" i="31"/>
  <c r="AG119" i="31" s="1"/>
  <c r="AI115" i="3"/>
  <c r="AJ115" i="3"/>
  <c r="N119" i="31"/>
  <c r="AH119" i="31" s="1"/>
  <c r="I36" i="5"/>
  <c r="S36" i="5" s="1"/>
  <c r="K37" i="5"/>
  <c r="U37" i="5" s="1"/>
  <c r="J37" i="5"/>
  <c r="T37" i="5" s="1"/>
  <c r="AB126" i="5"/>
  <c r="Z120" i="5"/>
  <c r="AA123" i="5"/>
  <c r="AB123" i="5"/>
  <c r="AB124" i="5"/>
  <c r="AB125" i="5"/>
  <c r="Z119" i="5"/>
  <c r="AA124" i="5"/>
  <c r="AA125" i="5"/>
  <c r="Z122" i="5"/>
  <c r="Z121" i="5"/>
  <c r="AD120" i="3" l="1"/>
  <c r="AD121" i="3"/>
  <c r="AD119" i="3"/>
  <c r="AD118" i="3"/>
  <c r="AE124" i="3"/>
  <c r="AE123" i="3"/>
  <c r="AE122" i="3"/>
  <c r="AF123" i="3"/>
  <c r="AF125" i="3"/>
  <c r="AF122" i="3"/>
  <c r="AF124" i="3"/>
  <c r="Q119" i="31"/>
  <c r="AJ119" i="31"/>
  <c r="Q122" i="31"/>
  <c r="AJ122" i="31"/>
  <c r="AU119" i="31"/>
  <c r="BA119" i="31" s="1"/>
  <c r="BG119" i="31"/>
  <c r="AS121" i="31"/>
  <c r="AY121" i="31" s="1"/>
  <c r="BE121" i="31"/>
  <c r="AL121" i="3"/>
  <c r="P125" i="31"/>
  <c r="AS119" i="31"/>
  <c r="AY119" i="31" s="1"/>
  <c r="BE119" i="31"/>
  <c r="BH116" i="31"/>
  <c r="AV116" i="31"/>
  <c r="BB116" i="31" s="1"/>
  <c r="AL119" i="3"/>
  <c r="P123" i="31"/>
  <c r="AU120" i="31"/>
  <c r="BA120" i="31" s="1"/>
  <c r="BG120" i="31"/>
  <c r="BH118" i="31"/>
  <c r="AV118" i="31"/>
  <c r="BB118" i="31" s="1"/>
  <c r="P124" i="31"/>
  <c r="AL120" i="3"/>
  <c r="AV117" i="31"/>
  <c r="BB117" i="31" s="1"/>
  <c r="BH117" i="31"/>
  <c r="O125" i="31"/>
  <c r="AI125" i="31" s="1"/>
  <c r="AK121" i="3"/>
  <c r="Q121" i="31"/>
  <c r="AJ121" i="31"/>
  <c r="O123" i="31"/>
  <c r="AI123" i="31" s="1"/>
  <c r="AK119" i="3"/>
  <c r="AT120" i="31"/>
  <c r="AZ120" i="31" s="1"/>
  <c r="BF120" i="31"/>
  <c r="BF121" i="31"/>
  <c r="AT121" i="31"/>
  <c r="AZ121" i="31" s="1"/>
  <c r="BG121" i="31"/>
  <c r="AU121" i="31"/>
  <c r="BA121" i="31" s="1"/>
  <c r="BE120" i="31"/>
  <c r="AS120" i="31"/>
  <c r="AY120" i="31" s="1"/>
  <c r="O124" i="31"/>
  <c r="AI124" i="31" s="1"/>
  <c r="AK120" i="3"/>
  <c r="BF119" i="31"/>
  <c r="AT119" i="31"/>
  <c r="AZ119" i="31" s="1"/>
  <c r="Q120" i="31"/>
  <c r="AJ120" i="31"/>
  <c r="CK23" i="23"/>
  <c r="CK21" i="23"/>
  <c r="CK22" i="23"/>
  <c r="CK25" i="23"/>
  <c r="CK24" i="23"/>
  <c r="O122" i="31"/>
  <c r="AI122" i="31" s="1"/>
  <c r="AK118" i="3"/>
  <c r="G35" i="5"/>
  <c r="Q35" i="5" s="1"/>
  <c r="K38" i="5"/>
  <c r="U38" i="5" s="1"/>
  <c r="AB127" i="5"/>
  <c r="X118" i="5"/>
  <c r="X116" i="5"/>
  <c r="AB129" i="5"/>
  <c r="AB128" i="5"/>
  <c r="X117" i="5"/>
  <c r="AB115" i="3" l="1"/>
  <c r="AB117" i="3"/>
  <c r="AB116" i="3"/>
  <c r="AF126" i="3"/>
  <c r="AF128" i="3"/>
  <c r="AF127" i="3"/>
  <c r="AV120" i="31"/>
  <c r="BB120" i="31" s="1"/>
  <c r="BH120" i="31"/>
  <c r="BH121" i="31"/>
  <c r="AV121" i="31"/>
  <c r="BB121" i="31" s="1"/>
  <c r="BH122" i="31"/>
  <c r="AV122" i="31"/>
  <c r="BB122" i="31" s="1"/>
  <c r="O126" i="31"/>
  <c r="AI126" i="31" s="1"/>
  <c r="AK122" i="3"/>
  <c r="Q123" i="31"/>
  <c r="AJ123" i="31"/>
  <c r="BG123" i="31"/>
  <c r="AU123" i="31"/>
  <c r="BA123" i="31" s="1"/>
  <c r="Q124" i="31"/>
  <c r="AJ124" i="31"/>
  <c r="P127" i="31"/>
  <c r="AL123" i="3"/>
  <c r="O127" i="31"/>
  <c r="AI127" i="31" s="1"/>
  <c r="AK123" i="3"/>
  <c r="AL124" i="3"/>
  <c r="P128" i="31"/>
  <c r="BG122" i="31"/>
  <c r="AU122" i="31"/>
  <c r="BA122" i="31" s="1"/>
  <c r="Q125" i="31"/>
  <c r="AJ125" i="31"/>
  <c r="AV119" i="31"/>
  <c r="BB119" i="31" s="1"/>
  <c r="BH119" i="31"/>
  <c r="O128" i="31"/>
  <c r="AI128" i="31" s="1"/>
  <c r="AK124" i="3"/>
  <c r="AU125" i="31"/>
  <c r="BA125" i="31" s="1"/>
  <c r="BG125" i="31"/>
  <c r="N122" i="31"/>
  <c r="AH122" i="31" s="1"/>
  <c r="AJ118" i="3"/>
  <c r="AJ119" i="3"/>
  <c r="N123" i="31"/>
  <c r="AH123" i="31" s="1"/>
  <c r="BG124" i="31"/>
  <c r="AU124" i="31"/>
  <c r="BA124" i="31" s="1"/>
  <c r="P126" i="31"/>
  <c r="AL122" i="3"/>
  <c r="N125" i="31"/>
  <c r="AH125" i="31" s="1"/>
  <c r="AJ121" i="3"/>
  <c r="AL125" i="3"/>
  <c r="P129" i="31"/>
  <c r="N124" i="31"/>
  <c r="AH124" i="31" s="1"/>
  <c r="AJ120" i="3"/>
  <c r="AV123" i="31" l="1"/>
  <c r="BB123" i="31" s="1"/>
  <c r="BH123" i="31"/>
  <c r="BG127" i="31"/>
  <c r="AU127" i="31"/>
  <c r="BA127" i="31" s="1"/>
  <c r="BH125" i="31"/>
  <c r="AV125" i="31"/>
  <c r="BB125" i="31" s="1"/>
  <c r="AL127" i="3"/>
  <c r="P131" i="31"/>
  <c r="BF123" i="31"/>
  <c r="AT123" i="31"/>
  <c r="AZ123" i="31" s="1"/>
  <c r="BF125" i="31"/>
  <c r="AT125" i="31"/>
  <c r="AZ125" i="31" s="1"/>
  <c r="BF122" i="31"/>
  <c r="AT122" i="31"/>
  <c r="AZ122" i="31" s="1"/>
  <c r="Q127" i="31"/>
  <c r="AJ127" i="31"/>
  <c r="BG126" i="31"/>
  <c r="AU126" i="31"/>
  <c r="BA126" i="31" s="1"/>
  <c r="P132" i="31"/>
  <c r="AL128" i="3"/>
  <c r="Q129" i="31"/>
  <c r="AJ129" i="31"/>
  <c r="BH124" i="31"/>
  <c r="AV124" i="31"/>
  <c r="BB124" i="31" s="1"/>
  <c r="AL126" i="3"/>
  <c r="P130" i="31"/>
  <c r="Q126" i="31"/>
  <c r="AJ126" i="31"/>
  <c r="AH116" i="3"/>
  <c r="L120" i="31"/>
  <c r="AF120" i="31" s="1"/>
  <c r="Q128" i="31"/>
  <c r="AJ128" i="31"/>
  <c r="L121" i="31"/>
  <c r="AF121" i="31" s="1"/>
  <c r="AH117" i="3"/>
  <c r="BF124" i="31"/>
  <c r="AT124" i="31"/>
  <c r="AZ124" i="31" s="1"/>
  <c r="BG128" i="31"/>
  <c r="AU128" i="31"/>
  <c r="BA128" i="31" s="1"/>
  <c r="AH115" i="3"/>
  <c r="L119" i="31"/>
  <c r="AF119" i="31" s="1"/>
  <c r="J38" i="5"/>
  <c r="T38" i="5" s="1"/>
  <c r="I37" i="5"/>
  <c r="S37" i="5" s="1"/>
  <c r="K39" i="5"/>
  <c r="U39" i="5" s="1"/>
  <c r="H36" i="5"/>
  <c r="R36" i="5" s="1"/>
  <c r="K40" i="5"/>
  <c r="U40" i="5" s="1"/>
  <c r="AA126" i="5"/>
  <c r="AB135" i="5"/>
  <c r="Z124" i="5"/>
  <c r="AB134" i="5"/>
  <c r="Z123" i="5"/>
  <c r="AB132" i="5"/>
  <c r="AB130" i="5"/>
  <c r="Y121" i="5"/>
  <c r="AA128" i="5"/>
  <c r="AA127" i="5"/>
  <c r="Y119" i="5"/>
  <c r="Z125" i="5"/>
  <c r="AA129" i="5"/>
  <c r="AB136" i="5"/>
  <c r="AB131" i="5"/>
  <c r="Y122" i="5"/>
  <c r="AB133" i="5"/>
  <c r="Y120" i="5"/>
  <c r="AB137" i="5"/>
  <c r="AF133" i="3" l="1"/>
  <c r="P137" i="31" s="1"/>
  <c r="AF135" i="3"/>
  <c r="AL135" i="3" s="1"/>
  <c r="AF136" i="3"/>
  <c r="P140" i="31" s="1"/>
  <c r="AF134" i="3"/>
  <c r="P138" i="31" s="1"/>
  <c r="AF131" i="3"/>
  <c r="AF132" i="3"/>
  <c r="AF129" i="3"/>
  <c r="AF130" i="3"/>
  <c r="AE128" i="3"/>
  <c r="AE126" i="3"/>
  <c r="AE127" i="3"/>
  <c r="AE125" i="3"/>
  <c r="AC120" i="3"/>
  <c r="AC118" i="3"/>
  <c r="AC119" i="3"/>
  <c r="AC121" i="3"/>
  <c r="AD124" i="3"/>
  <c r="AD122" i="3"/>
  <c r="AD123" i="3"/>
  <c r="AR119" i="31"/>
  <c r="AX119" i="31" s="1"/>
  <c r="BD119" i="31"/>
  <c r="BH128" i="31"/>
  <c r="AV128" i="31"/>
  <c r="BB128" i="31" s="1"/>
  <c r="AV127" i="31"/>
  <c r="BB127" i="31" s="1"/>
  <c r="BH127" i="31"/>
  <c r="Q131" i="31"/>
  <c r="AJ131" i="31"/>
  <c r="Q130" i="31"/>
  <c r="AJ130" i="31"/>
  <c r="BD121" i="31"/>
  <c r="AR121" i="31"/>
  <c r="AX121" i="31" s="1"/>
  <c r="BD120" i="31"/>
  <c r="AR120" i="31"/>
  <c r="AX120" i="31" s="1"/>
  <c r="BH129" i="31"/>
  <c r="AV129" i="31"/>
  <c r="BB129" i="31" s="1"/>
  <c r="BH126" i="31"/>
  <c r="AV126" i="31"/>
  <c r="BB126" i="31" s="1"/>
  <c r="Q132" i="31"/>
  <c r="AJ132" i="31"/>
  <c r="G36" i="5"/>
  <c r="Q36" i="5" s="1"/>
  <c r="X121" i="5"/>
  <c r="X119" i="5"/>
  <c r="X120" i="5"/>
  <c r="X122" i="5"/>
  <c r="AL133" i="3" l="1"/>
  <c r="AL136" i="3"/>
  <c r="AB119" i="3"/>
  <c r="AB121" i="3"/>
  <c r="AB120" i="3"/>
  <c r="AB118" i="3"/>
  <c r="AV130" i="31"/>
  <c r="BB130" i="31" s="1"/>
  <c r="BH130" i="31"/>
  <c r="P134" i="31"/>
  <c r="AL130" i="3"/>
  <c r="AL134" i="3"/>
  <c r="P139" i="31"/>
  <c r="Q139" i="31" s="1"/>
  <c r="BH132" i="31"/>
  <c r="AV132" i="31"/>
  <c r="BB132" i="31" s="1"/>
  <c r="AI119" i="3"/>
  <c r="M123" i="31"/>
  <c r="AG123" i="31" s="1"/>
  <c r="P133" i="31"/>
  <c r="AL129" i="3"/>
  <c r="M125" i="31"/>
  <c r="AG125" i="31" s="1"/>
  <c r="AI121" i="3"/>
  <c r="M122" i="31"/>
  <c r="AG122" i="31" s="1"/>
  <c r="AI118" i="3"/>
  <c r="AL132" i="3"/>
  <c r="P136" i="31"/>
  <c r="M124" i="31"/>
  <c r="AG124" i="31" s="1"/>
  <c r="AI120" i="3"/>
  <c r="AK125" i="3"/>
  <c r="O129" i="31"/>
  <c r="AI129" i="31" s="1"/>
  <c r="BH131" i="31"/>
  <c r="AV131" i="31"/>
  <c r="BB131" i="31" s="1"/>
  <c r="N127" i="31"/>
  <c r="AH127" i="31" s="1"/>
  <c r="AJ123" i="3"/>
  <c r="O131" i="31"/>
  <c r="AI131" i="31" s="1"/>
  <c r="AK127" i="3"/>
  <c r="P135" i="31"/>
  <c r="AL131" i="3"/>
  <c r="N126" i="31"/>
  <c r="AH126" i="31" s="1"/>
  <c r="AJ122" i="3"/>
  <c r="AK126" i="3"/>
  <c r="O130" i="31"/>
  <c r="AI130" i="31" s="1"/>
  <c r="N128" i="31"/>
  <c r="AH128" i="31" s="1"/>
  <c r="AJ124" i="3"/>
  <c r="O132" i="31"/>
  <c r="AI132" i="31" s="1"/>
  <c r="AK128" i="3"/>
  <c r="Q138" i="31"/>
  <c r="AJ138" i="31"/>
  <c r="Q140" i="31"/>
  <c r="AJ140" i="31"/>
  <c r="Q137" i="31"/>
  <c r="AJ137" i="31"/>
  <c r="H37" i="5"/>
  <c r="R37" i="5" s="1"/>
  <c r="Y124" i="5"/>
  <c r="Y123" i="5"/>
  <c r="Y125" i="5"/>
  <c r="AJ139" i="31" l="1"/>
  <c r="BH139" i="31" s="1"/>
  <c r="AC123" i="3"/>
  <c r="AC122" i="3"/>
  <c r="AC124" i="3"/>
  <c r="L122" i="31"/>
  <c r="AF122" i="31" s="1"/>
  <c r="AH118" i="3"/>
  <c r="BG130" i="31"/>
  <c r="AU130" i="31"/>
  <c r="BA130" i="31" s="1"/>
  <c r="BF127" i="31"/>
  <c r="AT127" i="31"/>
  <c r="AZ127" i="31" s="1"/>
  <c r="BF128" i="31"/>
  <c r="AT128" i="31"/>
  <c r="AZ128" i="31" s="1"/>
  <c r="BG131" i="31"/>
  <c r="AU131" i="31"/>
  <c r="BA131" i="31" s="1"/>
  <c r="BE124" i="31"/>
  <c r="AS124" i="31"/>
  <c r="AY124" i="31" s="1"/>
  <c r="Q133" i="31"/>
  <c r="AJ133" i="31"/>
  <c r="Q134" i="31"/>
  <c r="AJ134" i="31"/>
  <c r="BE123" i="31"/>
  <c r="AS123" i="31"/>
  <c r="AY123" i="31" s="1"/>
  <c r="AT126" i="31"/>
  <c r="AZ126" i="31" s="1"/>
  <c r="BF126" i="31"/>
  <c r="AS122" i="31"/>
  <c r="AY122" i="31" s="1"/>
  <c r="BE122" i="31"/>
  <c r="L124" i="31"/>
  <c r="AF124" i="31" s="1"/>
  <c r="AH120" i="3"/>
  <c r="Q136" i="31"/>
  <c r="AJ136" i="31"/>
  <c r="L125" i="31"/>
  <c r="AF125" i="31" s="1"/>
  <c r="AH121" i="3"/>
  <c r="AU129" i="31"/>
  <c r="BA129" i="31" s="1"/>
  <c r="BG129" i="31"/>
  <c r="BG132" i="31"/>
  <c r="AU132" i="31"/>
  <c r="BA132" i="31" s="1"/>
  <c r="AJ135" i="31"/>
  <c r="Q135" i="31"/>
  <c r="BE125" i="31"/>
  <c r="AS125" i="31"/>
  <c r="AY125" i="31" s="1"/>
  <c r="L123" i="31"/>
  <c r="AF123" i="31" s="1"/>
  <c r="AH119" i="3"/>
  <c r="BH137" i="31"/>
  <c r="AV137" i="31"/>
  <c r="BB137" i="31" s="1"/>
  <c r="BH140" i="31"/>
  <c r="AV140" i="31"/>
  <c r="BB140" i="31" s="1"/>
  <c r="BH138" i="31"/>
  <c r="AV138" i="31"/>
  <c r="BB138" i="31" s="1"/>
  <c r="AV139" i="31" l="1"/>
  <c r="BB139" i="31" s="1"/>
  <c r="BH135" i="31"/>
  <c r="AV135" i="31"/>
  <c r="BB135" i="31" s="1"/>
  <c r="AV134" i="31"/>
  <c r="BB134" i="31" s="1"/>
  <c r="BH134" i="31"/>
  <c r="AR123" i="31"/>
  <c r="AX123" i="31" s="1"/>
  <c r="BD123" i="31"/>
  <c r="AV136" i="31"/>
  <c r="BB136" i="31" s="1"/>
  <c r="BH136" i="31"/>
  <c r="BD122" i="31"/>
  <c r="AR122" i="31"/>
  <c r="AX122" i="31" s="1"/>
  <c r="BD125" i="31"/>
  <c r="AR125" i="31"/>
  <c r="AX125" i="31" s="1"/>
  <c r="AI124" i="3"/>
  <c r="M128" i="31"/>
  <c r="AG128" i="31" s="1"/>
  <c r="AR124" i="31"/>
  <c r="AX124" i="31" s="1"/>
  <c r="BD124" i="31"/>
  <c r="AI122" i="3"/>
  <c r="M126" i="31"/>
  <c r="AG126" i="31" s="1"/>
  <c r="BH133" i="31"/>
  <c r="AV133" i="31"/>
  <c r="BB133" i="31" s="1"/>
  <c r="M127" i="31"/>
  <c r="AG127" i="31" s="1"/>
  <c r="AI123" i="3"/>
  <c r="I38" i="5"/>
  <c r="S38" i="5" s="1"/>
  <c r="K41" i="5"/>
  <c r="U41" i="5" s="1"/>
  <c r="G37" i="5"/>
  <c r="Q37" i="5" s="1"/>
  <c r="Z128" i="5"/>
  <c r="X125" i="5"/>
  <c r="Z126" i="5"/>
  <c r="AB139" i="5"/>
  <c r="AB138" i="5"/>
  <c r="Z129" i="5"/>
  <c r="X124" i="5"/>
  <c r="AB140" i="5"/>
  <c r="X123" i="5"/>
  <c r="Z127" i="5"/>
  <c r="AF139" i="3" l="1"/>
  <c r="AF138" i="3"/>
  <c r="AF137" i="3"/>
  <c r="AD126" i="3"/>
  <c r="AD125" i="3"/>
  <c r="AD128" i="3"/>
  <c r="AD127" i="3"/>
  <c r="AB123" i="3"/>
  <c r="AB124" i="3"/>
  <c r="AB122" i="3"/>
  <c r="BE126" i="31"/>
  <c r="AS126" i="31"/>
  <c r="AY126" i="31" s="1"/>
  <c r="BE128" i="31"/>
  <c r="AS128" i="31"/>
  <c r="AY128" i="31" s="1"/>
  <c r="BE127" i="31"/>
  <c r="AS127" i="31"/>
  <c r="AY127" i="31" s="1"/>
  <c r="J39" i="5"/>
  <c r="T39" i="5" s="1"/>
  <c r="AA133" i="5"/>
  <c r="AA130" i="5"/>
  <c r="AA131" i="5"/>
  <c r="AA132" i="5"/>
  <c r="AE132" i="3" l="1"/>
  <c r="AE129" i="3"/>
  <c r="AE131" i="3"/>
  <c r="AE130" i="3"/>
  <c r="AH123" i="3"/>
  <c r="L127" i="31"/>
  <c r="AF127" i="31" s="1"/>
  <c r="N132" i="31"/>
  <c r="AH132" i="31" s="1"/>
  <c r="AJ128" i="3"/>
  <c r="N129" i="31"/>
  <c r="AH129" i="31" s="1"/>
  <c r="AJ125" i="3"/>
  <c r="N130" i="31"/>
  <c r="AH130" i="31" s="1"/>
  <c r="AJ126" i="3"/>
  <c r="AJ127" i="3"/>
  <c r="N131" i="31"/>
  <c r="AH131" i="31" s="1"/>
  <c r="P141" i="31"/>
  <c r="AL137" i="3"/>
  <c r="AH122" i="3"/>
  <c r="L126" i="31"/>
  <c r="AF126" i="31" s="1"/>
  <c r="P142" i="31"/>
  <c r="AL138" i="3"/>
  <c r="L128" i="31"/>
  <c r="AF128" i="31" s="1"/>
  <c r="AH124" i="3"/>
  <c r="AL139" i="3"/>
  <c r="P143" i="31"/>
  <c r="J40" i="5"/>
  <c r="T40" i="5" s="1"/>
  <c r="AA136" i="5"/>
  <c r="AA135" i="5"/>
  <c r="AA134" i="5"/>
  <c r="AE135" i="3" l="1"/>
  <c r="AE134" i="3"/>
  <c r="AE133" i="3"/>
  <c r="Q142" i="31"/>
  <c r="AJ142" i="31"/>
  <c r="Q143" i="31"/>
  <c r="AJ143" i="31"/>
  <c r="AK130" i="3"/>
  <c r="O134" i="31"/>
  <c r="AI134" i="31" s="1"/>
  <c r="BF130" i="31"/>
  <c r="AT130" i="31"/>
  <c r="AZ130" i="31" s="1"/>
  <c r="AJ141" i="31"/>
  <c r="Q141" i="31"/>
  <c r="BF132" i="31"/>
  <c r="AT132" i="31"/>
  <c r="AZ132" i="31" s="1"/>
  <c r="AR127" i="31"/>
  <c r="AX127" i="31" s="1"/>
  <c r="BD127" i="31"/>
  <c r="BF131" i="31"/>
  <c r="AT131" i="31"/>
  <c r="AZ131" i="31" s="1"/>
  <c r="AR128" i="31"/>
  <c r="AX128" i="31" s="1"/>
  <c r="BD128" i="31"/>
  <c r="AK131" i="3"/>
  <c r="O135" i="31"/>
  <c r="AI135" i="31" s="1"/>
  <c r="BD126" i="31"/>
  <c r="AR126" i="31"/>
  <c r="AX126" i="31" s="1"/>
  <c r="AK129" i="3"/>
  <c r="O133" i="31"/>
  <c r="AI133" i="31" s="1"/>
  <c r="AT129" i="31"/>
  <c r="AZ129" i="31" s="1"/>
  <c r="BF129" i="31"/>
  <c r="O136" i="31"/>
  <c r="AI136" i="31" s="1"/>
  <c r="AK132" i="3"/>
  <c r="H38" i="5"/>
  <c r="R38" i="5" s="1"/>
  <c r="Y126" i="5"/>
  <c r="Y127" i="5"/>
  <c r="Y128" i="5"/>
  <c r="Y129" i="5"/>
  <c r="AC126" i="3" l="1"/>
  <c r="AC125" i="3"/>
  <c r="AC128" i="3"/>
  <c r="AC127" i="3"/>
  <c r="BG135" i="31"/>
  <c r="AU135" i="31"/>
  <c r="BA135" i="31" s="1"/>
  <c r="BH143" i="31"/>
  <c r="AV143" i="31"/>
  <c r="BB143" i="31" s="1"/>
  <c r="BG136" i="31"/>
  <c r="AU136" i="31"/>
  <c r="BA136" i="31" s="1"/>
  <c r="BH142" i="31"/>
  <c r="AV142" i="31"/>
  <c r="BB142" i="31" s="1"/>
  <c r="AV141" i="31"/>
  <c r="BB141" i="31" s="1"/>
  <c r="BH141" i="31"/>
  <c r="BG133" i="31"/>
  <c r="AU133" i="31"/>
  <c r="BA133" i="31" s="1"/>
  <c r="O137" i="31"/>
  <c r="AI137" i="31" s="1"/>
  <c r="AK133" i="3"/>
  <c r="O138" i="31"/>
  <c r="AI138" i="31" s="1"/>
  <c r="AK134" i="3"/>
  <c r="BG134" i="31"/>
  <c r="AU134" i="31"/>
  <c r="BA134" i="31" s="1"/>
  <c r="O139" i="31"/>
  <c r="AI139" i="31" s="1"/>
  <c r="AK135" i="3"/>
  <c r="I39" i="5"/>
  <c r="S39" i="5" s="1"/>
  <c r="K42" i="5"/>
  <c r="U42" i="5" s="1"/>
  <c r="Z133" i="5"/>
  <c r="Z131" i="5"/>
  <c r="Z130" i="5"/>
  <c r="AB142" i="5"/>
  <c r="AB141" i="5"/>
  <c r="AB143" i="5"/>
  <c r="AB144" i="5"/>
  <c r="Z132" i="5"/>
  <c r="AD130" i="3" l="1"/>
  <c r="AD129" i="3"/>
  <c r="AD132" i="3"/>
  <c r="AD131" i="3"/>
  <c r="AF142" i="3"/>
  <c r="AF140" i="3"/>
  <c r="AF141" i="3"/>
  <c r="AF143" i="3"/>
  <c r="BG139" i="31"/>
  <c r="AU139" i="31"/>
  <c r="BA139" i="31" s="1"/>
  <c r="AI127" i="3"/>
  <c r="M131" i="31"/>
  <c r="AG131" i="31" s="1"/>
  <c r="BG138" i="31"/>
  <c r="AU138" i="31"/>
  <c r="BA138" i="31" s="1"/>
  <c r="M132" i="31"/>
  <c r="AG132" i="31" s="1"/>
  <c r="AI128" i="3"/>
  <c r="AI125" i="3"/>
  <c r="M129" i="31"/>
  <c r="AG129" i="31" s="1"/>
  <c r="AU137" i="31"/>
  <c r="BA137" i="31" s="1"/>
  <c r="BG137" i="31"/>
  <c r="M130" i="31"/>
  <c r="AG130" i="31" s="1"/>
  <c r="AI126" i="3"/>
  <c r="H39" i="5"/>
  <c r="R39" i="5" s="1"/>
  <c r="G38" i="5"/>
  <c r="Q38" i="5" s="1"/>
  <c r="X127" i="5"/>
  <c r="X128" i="5"/>
  <c r="X129" i="5"/>
  <c r="X126" i="5"/>
  <c r="Y131" i="5"/>
  <c r="Y130" i="5"/>
  <c r="Y132" i="5"/>
  <c r="AB127" i="3" l="1"/>
  <c r="AB128" i="3"/>
  <c r="AB126" i="3"/>
  <c r="AB125" i="3"/>
  <c r="AC129" i="3"/>
  <c r="AC130" i="3"/>
  <c r="AC131" i="3"/>
  <c r="AS132" i="31"/>
  <c r="AY132" i="31" s="1"/>
  <c r="BE132" i="31"/>
  <c r="P145" i="31"/>
  <c r="AL141" i="3"/>
  <c r="AL140" i="3"/>
  <c r="P144" i="31"/>
  <c r="BE130" i="31"/>
  <c r="AS130" i="31"/>
  <c r="AY130" i="31" s="1"/>
  <c r="P146" i="31"/>
  <c r="AL142" i="3"/>
  <c r="P147" i="31"/>
  <c r="AL143" i="3"/>
  <c r="AJ131" i="3"/>
  <c r="N135" i="31"/>
  <c r="AH135" i="31" s="1"/>
  <c r="BE131" i="31"/>
  <c r="AS131" i="31"/>
  <c r="AY131" i="31" s="1"/>
  <c r="N136" i="31"/>
  <c r="AH136" i="31" s="1"/>
  <c r="AJ132" i="3"/>
  <c r="BE129" i="31"/>
  <c r="AS129" i="31"/>
  <c r="AY129" i="31" s="1"/>
  <c r="N133" i="31"/>
  <c r="AH133" i="31" s="1"/>
  <c r="AJ129" i="3"/>
  <c r="N134" i="31"/>
  <c r="AH134" i="31" s="1"/>
  <c r="AJ130" i="3"/>
  <c r="K43" i="5"/>
  <c r="U43" i="5" s="1"/>
  <c r="AB146" i="5"/>
  <c r="AB145" i="5"/>
  <c r="AB147" i="5"/>
  <c r="AF146" i="3" l="1"/>
  <c r="AF144" i="3"/>
  <c r="AF145" i="3"/>
  <c r="AT135" i="31"/>
  <c r="AZ135" i="31" s="1"/>
  <c r="BF135" i="31"/>
  <c r="BF133" i="31"/>
  <c r="AT133" i="31"/>
  <c r="AZ133" i="31" s="1"/>
  <c r="BF136" i="31"/>
  <c r="AT136" i="31"/>
  <c r="AZ136" i="31" s="1"/>
  <c r="Q146" i="31"/>
  <c r="AJ146" i="31"/>
  <c r="AH125" i="3"/>
  <c r="L129" i="31"/>
  <c r="AF129" i="31" s="1"/>
  <c r="M135" i="31"/>
  <c r="AG135" i="31" s="1"/>
  <c r="AI131" i="3"/>
  <c r="BF134" i="31"/>
  <c r="AT134" i="31"/>
  <c r="AZ134" i="31" s="1"/>
  <c r="M134" i="31"/>
  <c r="AG134" i="31" s="1"/>
  <c r="AI130" i="3"/>
  <c r="Q144" i="31"/>
  <c r="AJ144" i="31"/>
  <c r="M133" i="31"/>
  <c r="AG133" i="31" s="1"/>
  <c r="AI129" i="3"/>
  <c r="AH126" i="3"/>
  <c r="L130" i="31"/>
  <c r="AF130" i="31" s="1"/>
  <c r="Q147" i="31"/>
  <c r="AJ147" i="31"/>
  <c r="Q145" i="31"/>
  <c r="AJ145" i="31"/>
  <c r="L132" i="31"/>
  <c r="AF132" i="31" s="1"/>
  <c r="AH128" i="3"/>
  <c r="L131" i="31"/>
  <c r="AF131" i="31" s="1"/>
  <c r="AH127" i="3"/>
  <c r="I40" i="5"/>
  <c r="S40" i="5" s="1"/>
  <c r="G39" i="5"/>
  <c r="Q39" i="5" s="1"/>
  <c r="X132" i="5"/>
  <c r="X131" i="5"/>
  <c r="X130" i="5"/>
  <c r="Z136" i="5"/>
  <c r="Z134" i="5"/>
  <c r="Z135" i="5"/>
  <c r="AD133" i="3" l="1"/>
  <c r="AD135" i="3"/>
  <c r="AD134" i="3"/>
  <c r="AB130" i="3"/>
  <c r="AB131" i="3"/>
  <c r="AB129" i="3"/>
  <c r="BH144" i="31"/>
  <c r="AV144" i="31"/>
  <c r="BB144" i="31" s="1"/>
  <c r="BD131" i="31"/>
  <c r="AR131" i="31"/>
  <c r="AX131" i="31" s="1"/>
  <c r="AR132" i="31"/>
  <c r="AX132" i="31" s="1"/>
  <c r="BD132" i="31"/>
  <c r="AS133" i="31"/>
  <c r="AY133" i="31" s="1"/>
  <c r="BE133" i="31"/>
  <c r="BE135" i="31"/>
  <c r="AS135" i="31"/>
  <c r="AY135" i="31" s="1"/>
  <c r="BD129" i="31"/>
  <c r="AR129" i="31"/>
  <c r="AX129" i="31" s="1"/>
  <c r="BH147" i="31"/>
  <c r="AV147" i="31"/>
  <c r="BB147" i="31" s="1"/>
  <c r="AV146" i="31"/>
  <c r="BB146" i="31" s="1"/>
  <c r="BH146" i="31"/>
  <c r="P149" i="31"/>
  <c r="AL145" i="3"/>
  <c r="AS134" i="31"/>
  <c r="AY134" i="31" s="1"/>
  <c r="BE134" i="31"/>
  <c r="BH145" i="31"/>
  <c r="AV145" i="31"/>
  <c r="BB145" i="31" s="1"/>
  <c r="AL144" i="3"/>
  <c r="P148" i="31"/>
  <c r="BD130" i="31"/>
  <c r="AR130" i="31"/>
  <c r="AX130" i="31" s="1"/>
  <c r="P150" i="31"/>
  <c r="AL146" i="3"/>
  <c r="J41" i="5"/>
  <c r="T41" i="5" s="1"/>
  <c r="AA139" i="5"/>
  <c r="AA140" i="5"/>
  <c r="AA138" i="5"/>
  <c r="AA137" i="5"/>
  <c r="AE138" i="3" l="1"/>
  <c r="AE139" i="3"/>
  <c r="AE136" i="3"/>
  <c r="AE137" i="3"/>
  <c r="L133" i="31"/>
  <c r="AF133" i="31" s="1"/>
  <c r="AH129" i="3"/>
  <c r="Q149" i="31"/>
  <c r="AJ149" i="31"/>
  <c r="L135" i="31"/>
  <c r="AF135" i="31" s="1"/>
  <c r="AH131" i="3"/>
  <c r="AH130" i="3"/>
  <c r="L134" i="31"/>
  <c r="AF134" i="31" s="1"/>
  <c r="N138" i="31"/>
  <c r="AH138" i="31" s="1"/>
  <c r="AJ134" i="3"/>
  <c r="AJ148" i="31"/>
  <c r="Q148" i="31"/>
  <c r="N139" i="31"/>
  <c r="AH139" i="31" s="1"/>
  <c r="AJ135" i="3"/>
  <c r="Q150" i="31"/>
  <c r="AJ150" i="31"/>
  <c r="AJ133" i="3"/>
  <c r="N137" i="31"/>
  <c r="AH137" i="31" s="1"/>
  <c r="H40" i="5"/>
  <c r="R40" i="5" s="1"/>
  <c r="Y133" i="5"/>
  <c r="Y134" i="5"/>
  <c r="Y135" i="5"/>
  <c r="Y136" i="5"/>
  <c r="AC132" i="3" l="1"/>
  <c r="AC134" i="3"/>
  <c r="AC135" i="3"/>
  <c r="AC133" i="3"/>
  <c r="AV150" i="31"/>
  <c r="BB150" i="31" s="1"/>
  <c r="BH150" i="31"/>
  <c r="AV149" i="31"/>
  <c r="BB149" i="31" s="1"/>
  <c r="BH149" i="31"/>
  <c r="AT138" i="31"/>
  <c r="AZ138" i="31" s="1"/>
  <c r="BF138" i="31"/>
  <c r="BD134" i="31"/>
  <c r="AR134" i="31"/>
  <c r="AX134" i="31" s="1"/>
  <c r="BH148" i="31"/>
  <c r="AV148" i="31"/>
  <c r="BB148" i="31" s="1"/>
  <c r="AT137" i="31"/>
  <c r="AZ137" i="31" s="1"/>
  <c r="BF137" i="31"/>
  <c r="AR133" i="31"/>
  <c r="AX133" i="31" s="1"/>
  <c r="BD133" i="31"/>
  <c r="AK137" i="3"/>
  <c r="O141" i="31"/>
  <c r="AI141" i="31" s="1"/>
  <c r="O140" i="31"/>
  <c r="AI140" i="31" s="1"/>
  <c r="AK136" i="3"/>
  <c r="O143" i="31"/>
  <c r="AI143" i="31" s="1"/>
  <c r="AK139" i="3"/>
  <c r="BF139" i="31"/>
  <c r="AT139" i="31"/>
  <c r="AZ139" i="31" s="1"/>
  <c r="BD135" i="31"/>
  <c r="AR135" i="31"/>
  <c r="AX135" i="31" s="1"/>
  <c r="AK138" i="3"/>
  <c r="O142" i="31"/>
  <c r="AI142" i="31" s="1"/>
  <c r="J42" i="5"/>
  <c r="T42" i="5" s="1"/>
  <c r="AA143" i="5"/>
  <c r="AA141" i="5"/>
  <c r="AA142" i="5"/>
  <c r="AE140" i="3" l="1"/>
  <c r="AE142" i="3"/>
  <c r="AE141" i="3"/>
  <c r="BG142" i="31"/>
  <c r="AU142" i="31"/>
  <c r="BA142" i="31" s="1"/>
  <c r="BG141" i="31"/>
  <c r="AU141" i="31"/>
  <c r="BA141" i="31" s="1"/>
  <c r="AI133" i="3"/>
  <c r="M137" i="31"/>
  <c r="AG137" i="31" s="1"/>
  <c r="AU143" i="31"/>
  <c r="BA143" i="31" s="1"/>
  <c r="BG143" i="31"/>
  <c r="BG140" i="31"/>
  <c r="AU140" i="31"/>
  <c r="BA140" i="31" s="1"/>
  <c r="AI135" i="3"/>
  <c r="M139" i="31"/>
  <c r="AG139" i="31" s="1"/>
  <c r="M138" i="31"/>
  <c r="AG138" i="31" s="1"/>
  <c r="AI134" i="3"/>
  <c r="AI132" i="3"/>
  <c r="M136" i="31"/>
  <c r="AG136" i="31" s="1"/>
  <c r="K44" i="5"/>
  <c r="U44" i="5" s="1"/>
  <c r="G40" i="5"/>
  <c r="Q40" i="5" s="1"/>
  <c r="AB149" i="5"/>
  <c r="X135" i="5"/>
  <c r="AB151" i="5"/>
  <c r="X136" i="5"/>
  <c r="AB150" i="5"/>
  <c r="AB148" i="5"/>
  <c r="X134" i="5"/>
  <c r="X133" i="5"/>
  <c r="AB132" i="3" l="1"/>
  <c r="AB134" i="3"/>
  <c r="AB135" i="3"/>
  <c r="AB133" i="3"/>
  <c r="AF148" i="3"/>
  <c r="AF150" i="3"/>
  <c r="AF149" i="3"/>
  <c r="AF147" i="3"/>
  <c r="AS138" i="31"/>
  <c r="AY138" i="31" s="1"/>
  <c r="BE138" i="31"/>
  <c r="BE139" i="31"/>
  <c r="AS139" i="31"/>
  <c r="AY139" i="31" s="1"/>
  <c r="BE136" i="31"/>
  <c r="AS136" i="31"/>
  <c r="AY136" i="31" s="1"/>
  <c r="O145" i="31"/>
  <c r="AI145" i="31" s="1"/>
  <c r="AK141" i="3"/>
  <c r="O146" i="31"/>
  <c r="AI146" i="31" s="1"/>
  <c r="AK142" i="3"/>
  <c r="BE137" i="31"/>
  <c r="AS137" i="31"/>
  <c r="AY137" i="31" s="1"/>
  <c r="AK140" i="3"/>
  <c r="O144" i="31"/>
  <c r="AI144" i="31" s="1"/>
  <c r="I41" i="5"/>
  <c r="S41" i="5" s="1"/>
  <c r="Z140" i="5"/>
  <c r="Z137" i="5"/>
  <c r="Z139" i="5"/>
  <c r="Z138" i="5"/>
  <c r="AD136" i="3" l="1"/>
  <c r="AD137" i="3"/>
  <c r="AD138" i="3"/>
  <c r="AD139" i="3"/>
  <c r="P151" i="31"/>
  <c r="AL147" i="3"/>
  <c r="BG145" i="31"/>
  <c r="AU145" i="31"/>
  <c r="BA145" i="31" s="1"/>
  <c r="AL149" i="3"/>
  <c r="P153" i="31"/>
  <c r="BG144" i="31"/>
  <c r="AU144" i="31"/>
  <c r="BA144" i="31" s="1"/>
  <c r="AL150" i="3"/>
  <c r="P154" i="31"/>
  <c r="P152" i="31"/>
  <c r="AL148" i="3"/>
  <c r="AH133" i="3"/>
  <c r="L137" i="31"/>
  <c r="AF137" i="31" s="1"/>
  <c r="L139" i="31"/>
  <c r="AF139" i="31" s="1"/>
  <c r="AH135" i="3"/>
  <c r="L138" i="31"/>
  <c r="AF138" i="31" s="1"/>
  <c r="AH134" i="3"/>
  <c r="BG146" i="31"/>
  <c r="AU146" i="31"/>
  <c r="BA146" i="31" s="1"/>
  <c r="L136" i="31"/>
  <c r="AF136" i="31" s="1"/>
  <c r="AH132" i="3"/>
  <c r="H41" i="5"/>
  <c r="R41" i="5" s="1"/>
  <c r="Y138" i="5"/>
  <c r="Y137" i="5"/>
  <c r="Y139" i="5"/>
  <c r="AC136" i="3" l="1"/>
  <c r="AC138" i="3"/>
  <c r="AC137" i="3"/>
  <c r="AJ152" i="31"/>
  <c r="Q152" i="31"/>
  <c r="Q154" i="31"/>
  <c r="AJ154" i="31"/>
  <c r="BD138" i="31"/>
  <c r="AR138" i="31"/>
  <c r="AX138" i="31" s="1"/>
  <c r="Q151" i="31"/>
  <c r="AJ151" i="31"/>
  <c r="N143" i="31"/>
  <c r="AH143" i="31" s="1"/>
  <c r="AJ139" i="3"/>
  <c r="BD139" i="31"/>
  <c r="AR139" i="31"/>
  <c r="AX139" i="31" s="1"/>
  <c r="N142" i="31"/>
  <c r="AH142" i="31" s="1"/>
  <c r="AJ138" i="3"/>
  <c r="AR137" i="31"/>
  <c r="AX137" i="31" s="1"/>
  <c r="BD137" i="31"/>
  <c r="Q153" i="31"/>
  <c r="AJ153" i="31"/>
  <c r="N141" i="31"/>
  <c r="AH141" i="31" s="1"/>
  <c r="AJ137" i="3"/>
  <c r="BD136" i="31"/>
  <c r="AR136" i="31"/>
  <c r="AX136" i="31" s="1"/>
  <c r="N140" i="31"/>
  <c r="AH140" i="31" s="1"/>
  <c r="AJ136" i="3"/>
  <c r="G41" i="5"/>
  <c r="Q41" i="5" s="1"/>
  <c r="J43" i="5"/>
  <c r="T43" i="5" s="1"/>
  <c r="K45" i="5"/>
  <c r="U45" i="5" s="1"/>
  <c r="K46" i="5"/>
  <c r="U46" i="5" s="1"/>
  <c r="AB153" i="5"/>
  <c r="AB154" i="5"/>
  <c r="AA147" i="5"/>
  <c r="X138" i="5"/>
  <c r="AB152" i="5"/>
  <c r="X137" i="5"/>
  <c r="AA146" i="5"/>
  <c r="AA144" i="5"/>
  <c r="AB155" i="5"/>
  <c r="X139" i="5"/>
  <c r="AA145" i="5"/>
  <c r="AF154" i="3" l="1"/>
  <c r="AL154" i="3" s="1"/>
  <c r="AF151" i="3"/>
  <c r="AF152" i="3"/>
  <c r="AF153" i="3"/>
  <c r="AE146" i="3"/>
  <c r="AE145" i="3"/>
  <c r="AE144" i="3"/>
  <c r="AE143" i="3"/>
  <c r="AB138" i="3"/>
  <c r="AB136" i="3"/>
  <c r="AB137" i="3"/>
  <c r="BF142" i="31"/>
  <c r="AT142" i="31"/>
  <c r="AZ142" i="31" s="1"/>
  <c r="BH154" i="31"/>
  <c r="AV154" i="31"/>
  <c r="BB154" i="31" s="1"/>
  <c r="AV152" i="31"/>
  <c r="BB152" i="31" s="1"/>
  <c r="BH152" i="31"/>
  <c r="BF141" i="31"/>
  <c r="AT141" i="31"/>
  <c r="AZ141" i="31" s="1"/>
  <c r="AT143" i="31"/>
  <c r="AZ143" i="31" s="1"/>
  <c r="BF143" i="31"/>
  <c r="BH153" i="31"/>
  <c r="AV153" i="31"/>
  <c r="BB153" i="31" s="1"/>
  <c r="BH151" i="31"/>
  <c r="AV151" i="31"/>
  <c r="BB151" i="31" s="1"/>
  <c r="AI137" i="3"/>
  <c r="M141" i="31"/>
  <c r="AG141" i="31" s="1"/>
  <c r="BF140" i="31"/>
  <c r="AT140" i="31"/>
  <c r="AZ140" i="31" s="1"/>
  <c r="M142" i="31"/>
  <c r="AG142" i="31" s="1"/>
  <c r="AI138" i="3"/>
  <c r="M140" i="31"/>
  <c r="AG140" i="31" s="1"/>
  <c r="AI136" i="3"/>
  <c r="I42" i="5"/>
  <c r="S42" i="5" s="1"/>
  <c r="Z142" i="5"/>
  <c r="Z141" i="5"/>
  <c r="Z143" i="5"/>
  <c r="P158" i="31" l="1"/>
  <c r="AD142" i="3"/>
  <c r="AD140" i="3"/>
  <c r="AD141" i="3"/>
  <c r="P157" i="31"/>
  <c r="AL153" i="3"/>
  <c r="O147" i="31"/>
  <c r="AI147" i="31" s="1"/>
  <c r="AK143" i="3"/>
  <c r="O148" i="31"/>
  <c r="AI148" i="31" s="1"/>
  <c r="AK144" i="3"/>
  <c r="BE140" i="31"/>
  <c r="AS140" i="31"/>
  <c r="AY140" i="31" s="1"/>
  <c r="BE142" i="31"/>
  <c r="AS142" i="31"/>
  <c r="AY142" i="31" s="1"/>
  <c r="O149" i="31"/>
  <c r="AI149" i="31" s="1"/>
  <c r="AK145" i="3"/>
  <c r="AK146" i="3"/>
  <c r="O150" i="31"/>
  <c r="AI150" i="31" s="1"/>
  <c r="AL152" i="3"/>
  <c r="P156" i="31"/>
  <c r="AH137" i="3"/>
  <c r="L141" i="31"/>
  <c r="AF141" i="31" s="1"/>
  <c r="L140" i="31"/>
  <c r="AF140" i="31" s="1"/>
  <c r="AH136" i="3"/>
  <c r="P155" i="31"/>
  <c r="AL151" i="3"/>
  <c r="AS141" i="31"/>
  <c r="AY141" i="31" s="1"/>
  <c r="BE141" i="31"/>
  <c r="L142" i="31"/>
  <c r="AF142" i="31" s="1"/>
  <c r="AH138" i="3"/>
  <c r="Q158" i="31"/>
  <c r="AJ158" i="31"/>
  <c r="H42" i="5"/>
  <c r="R42" i="5" s="1"/>
  <c r="K47" i="5"/>
  <c r="U47" i="5" s="1"/>
  <c r="K48" i="5"/>
  <c r="U48" i="5" s="1"/>
  <c r="AB163" i="5"/>
  <c r="AB160" i="5"/>
  <c r="AB157" i="5"/>
  <c r="AB161" i="5"/>
  <c r="AB164" i="5"/>
  <c r="Y140" i="5"/>
  <c r="Y142" i="5"/>
  <c r="AB159" i="5"/>
  <c r="AB162" i="5"/>
  <c r="AB158" i="5"/>
  <c r="Y143" i="5"/>
  <c r="Y141" i="5"/>
  <c r="AB156" i="5"/>
  <c r="AF156" i="3" l="1"/>
  <c r="P160" i="31" s="1"/>
  <c r="AF162" i="3"/>
  <c r="AL162" i="3" s="1"/>
  <c r="AF161" i="3"/>
  <c r="P165" i="31" s="1"/>
  <c r="AF157" i="3"/>
  <c r="AL157" i="3" s="1"/>
  <c r="AF159" i="3"/>
  <c r="AL159" i="3" s="1"/>
  <c r="AF158" i="3"/>
  <c r="P162" i="31" s="1"/>
  <c r="AF163" i="3"/>
  <c r="AL163" i="3" s="1"/>
  <c r="AF160" i="3"/>
  <c r="P164" i="31" s="1"/>
  <c r="AF155" i="3"/>
  <c r="AC142" i="3"/>
  <c r="AC140" i="3"/>
  <c r="AC139" i="3"/>
  <c r="AC141" i="3"/>
  <c r="AJ155" i="31"/>
  <c r="Q155" i="31"/>
  <c r="AU148" i="31"/>
  <c r="BA148" i="31" s="1"/>
  <c r="BG148" i="31"/>
  <c r="BD140" i="31"/>
  <c r="AR140" i="31"/>
  <c r="AX140" i="31" s="1"/>
  <c r="BG149" i="31"/>
  <c r="AU149" i="31"/>
  <c r="BA149" i="31" s="1"/>
  <c r="BG147" i="31"/>
  <c r="AU147" i="31"/>
  <c r="BA147" i="31" s="1"/>
  <c r="BD141" i="31"/>
  <c r="AR141" i="31"/>
  <c r="AX141" i="31" s="1"/>
  <c r="BD142" i="31"/>
  <c r="AR142" i="31"/>
  <c r="AX142" i="31" s="1"/>
  <c r="Q157" i="31"/>
  <c r="AJ157" i="31"/>
  <c r="N145" i="31"/>
  <c r="AH145" i="31" s="1"/>
  <c r="AJ141" i="3"/>
  <c r="N144" i="31"/>
  <c r="AH144" i="31" s="1"/>
  <c r="AJ140" i="3"/>
  <c r="Q156" i="31"/>
  <c r="AJ156" i="31"/>
  <c r="BG150" i="31"/>
  <c r="AU150" i="31"/>
  <c r="BA150" i="31" s="1"/>
  <c r="N146" i="31"/>
  <c r="AH146" i="31" s="1"/>
  <c r="AJ142" i="3"/>
  <c r="P166" i="31"/>
  <c r="BH158" i="31"/>
  <c r="AV158" i="31"/>
  <c r="BB158" i="31" s="1"/>
  <c r="AL156" i="3"/>
  <c r="P161" i="31"/>
  <c r="J44" i="5"/>
  <c r="T44" i="5" s="1"/>
  <c r="AA148" i="5"/>
  <c r="AA150" i="5"/>
  <c r="AA149" i="5"/>
  <c r="P167" i="31" l="1"/>
  <c r="P163" i="31"/>
  <c r="AJ163" i="31" s="1"/>
  <c r="AL158" i="3"/>
  <c r="AE147" i="3"/>
  <c r="AE149" i="3"/>
  <c r="AE148" i="3"/>
  <c r="BF144" i="31"/>
  <c r="AT144" i="31"/>
  <c r="AZ144" i="31" s="1"/>
  <c r="AT146" i="31"/>
  <c r="AZ146" i="31" s="1"/>
  <c r="BF146" i="31"/>
  <c r="BF145" i="31"/>
  <c r="AT145" i="31"/>
  <c r="AZ145" i="31" s="1"/>
  <c r="AV155" i="31"/>
  <c r="BB155" i="31" s="1"/>
  <c r="BH155" i="31"/>
  <c r="M144" i="31"/>
  <c r="AG144" i="31" s="1"/>
  <c r="AI140" i="3"/>
  <c r="AL160" i="3"/>
  <c r="AL161" i="3"/>
  <c r="AV157" i="31"/>
  <c r="BB157" i="31" s="1"/>
  <c r="BH157" i="31"/>
  <c r="AI141" i="3"/>
  <c r="M145" i="31"/>
  <c r="AG145" i="31" s="1"/>
  <c r="BH156" i="31"/>
  <c r="AV156" i="31"/>
  <c r="BB156" i="31" s="1"/>
  <c r="AI139" i="3"/>
  <c r="M143" i="31"/>
  <c r="AG143" i="31" s="1"/>
  <c r="AI142" i="3"/>
  <c r="M146" i="31"/>
  <c r="AG146" i="31" s="1"/>
  <c r="P159" i="31"/>
  <c r="AL155" i="3"/>
  <c r="Q164" i="31"/>
  <c r="AJ164" i="31"/>
  <c r="Q162" i="31"/>
  <c r="AJ162" i="31"/>
  <c r="Q163" i="31"/>
  <c r="AJ161" i="31"/>
  <c r="Q161" i="31"/>
  <c r="AJ165" i="31"/>
  <c r="Q165" i="31"/>
  <c r="Q160" i="31"/>
  <c r="AJ160" i="31"/>
  <c r="Q167" i="31"/>
  <c r="AJ167" i="31"/>
  <c r="Q166" i="31"/>
  <c r="AJ166" i="31"/>
  <c r="I43" i="5"/>
  <c r="S43" i="5" s="1"/>
  <c r="Z145" i="5"/>
  <c r="Z144" i="5"/>
  <c r="Z147" i="5"/>
  <c r="Z146" i="5"/>
  <c r="AD145" i="3" l="1"/>
  <c r="AD144" i="3"/>
  <c r="AD143" i="3"/>
  <c r="AD146" i="3"/>
  <c r="AS143" i="31"/>
  <c r="AY143" i="31" s="1"/>
  <c r="BE143" i="31"/>
  <c r="BE146" i="31"/>
  <c r="AS146" i="31"/>
  <c r="AY146" i="31" s="1"/>
  <c r="O151" i="31"/>
  <c r="AI151" i="31" s="1"/>
  <c r="AK147" i="3"/>
  <c r="BE144" i="31"/>
  <c r="AS144" i="31"/>
  <c r="AY144" i="31" s="1"/>
  <c r="AS145" i="31"/>
  <c r="AY145" i="31" s="1"/>
  <c r="BE145" i="31"/>
  <c r="O152" i="31"/>
  <c r="AI152" i="31" s="1"/>
  <c r="AK148" i="3"/>
  <c r="AJ159" i="31"/>
  <c r="Q159" i="31"/>
  <c r="AK149" i="3"/>
  <c r="O153" i="31"/>
  <c r="AI153" i="31" s="1"/>
  <c r="BH166" i="31"/>
  <c r="AV166" i="31"/>
  <c r="BB166" i="31" s="1"/>
  <c r="BH167" i="31"/>
  <c r="AV167" i="31"/>
  <c r="BB167" i="31" s="1"/>
  <c r="BH160" i="31"/>
  <c r="AV160" i="31"/>
  <c r="BB160" i="31" s="1"/>
  <c r="BH165" i="31"/>
  <c r="AV165" i="31"/>
  <c r="BB165" i="31" s="1"/>
  <c r="BH161" i="31"/>
  <c r="AV161" i="31"/>
  <c r="BB161" i="31" s="1"/>
  <c r="BH163" i="31"/>
  <c r="AV163" i="31"/>
  <c r="BB163" i="31" s="1"/>
  <c r="BH162" i="31"/>
  <c r="AV162" i="31"/>
  <c r="BB162" i="31" s="1"/>
  <c r="BH164" i="31"/>
  <c r="AV164" i="31"/>
  <c r="BB164" i="31" s="1"/>
  <c r="G42" i="5"/>
  <c r="Q42" i="5" s="1"/>
  <c r="H43" i="5"/>
  <c r="R43" i="5" s="1"/>
  <c r="X141" i="5"/>
  <c r="Y145" i="5"/>
  <c r="Y146" i="5"/>
  <c r="X140" i="5"/>
  <c r="X143" i="5"/>
  <c r="Y144" i="5"/>
  <c r="X142" i="5"/>
  <c r="AC144" i="3" l="1"/>
  <c r="AC143" i="3"/>
  <c r="AC145" i="3"/>
  <c r="AB142" i="3"/>
  <c r="AB139" i="3"/>
  <c r="AB141" i="3"/>
  <c r="AB140" i="3"/>
  <c r="BG152" i="31"/>
  <c r="AU152" i="31"/>
  <c r="BA152" i="31" s="1"/>
  <c r="BG153" i="31"/>
  <c r="AU153" i="31"/>
  <c r="BA153" i="31" s="1"/>
  <c r="N150" i="31"/>
  <c r="AH150" i="31" s="1"/>
  <c r="AJ146" i="3"/>
  <c r="N147" i="31"/>
  <c r="AH147" i="31" s="1"/>
  <c r="AJ143" i="3"/>
  <c r="AJ144" i="3"/>
  <c r="N148" i="31"/>
  <c r="AH148" i="31" s="1"/>
  <c r="AV159" i="31"/>
  <c r="BB159" i="31" s="1"/>
  <c r="BH159" i="31"/>
  <c r="AU151" i="31"/>
  <c r="BA151" i="31" s="1"/>
  <c r="BG151" i="31"/>
  <c r="AJ145" i="3"/>
  <c r="N149" i="31"/>
  <c r="AH149" i="31" s="1"/>
  <c r="G43" i="5"/>
  <c r="Q43" i="5" s="1"/>
  <c r="X146" i="5"/>
  <c r="X144" i="5"/>
  <c r="X145" i="5"/>
  <c r="AB143" i="3" l="1"/>
  <c r="AB144" i="3"/>
  <c r="AB145" i="3"/>
  <c r="M149" i="31"/>
  <c r="AG149" i="31" s="1"/>
  <c r="AI145" i="3"/>
  <c r="BF149" i="31"/>
  <c r="AT149" i="31"/>
  <c r="AZ149" i="31" s="1"/>
  <c r="AH140" i="3"/>
  <c r="L144" i="31"/>
  <c r="AF144" i="31" s="1"/>
  <c r="AT147" i="31"/>
  <c r="AZ147" i="31" s="1"/>
  <c r="BF147" i="31"/>
  <c r="AH141" i="3"/>
  <c r="L145" i="31"/>
  <c r="AF145" i="31" s="1"/>
  <c r="L143" i="31"/>
  <c r="AF143" i="31" s="1"/>
  <c r="AH139" i="3"/>
  <c r="BF150" i="31"/>
  <c r="AT150" i="31"/>
  <c r="AZ150" i="31" s="1"/>
  <c r="AH142" i="3"/>
  <c r="L146" i="31"/>
  <c r="AF146" i="31" s="1"/>
  <c r="AI143" i="3"/>
  <c r="M147" i="31"/>
  <c r="AG147" i="31" s="1"/>
  <c r="BF148" i="31"/>
  <c r="AT148" i="31"/>
  <c r="AZ148" i="31" s="1"/>
  <c r="M148" i="31"/>
  <c r="AG148" i="31" s="1"/>
  <c r="AI144" i="3"/>
  <c r="J45" i="5"/>
  <c r="T45" i="5" s="1"/>
  <c r="I44" i="5"/>
  <c r="S44" i="5" s="1"/>
  <c r="Z149" i="5"/>
  <c r="Z148" i="5"/>
  <c r="Z150" i="5"/>
  <c r="AA151" i="5"/>
  <c r="AA154" i="5"/>
  <c r="AA152" i="5"/>
  <c r="AA153" i="5"/>
  <c r="AD149" i="3" l="1"/>
  <c r="AD148" i="3"/>
  <c r="AD147" i="3"/>
  <c r="AE152" i="3"/>
  <c r="AE151" i="3"/>
  <c r="AE153" i="3"/>
  <c r="AE150" i="3"/>
  <c r="BE148" i="31"/>
  <c r="AS148" i="31"/>
  <c r="AY148" i="31" s="1"/>
  <c r="BD143" i="31"/>
  <c r="AR143" i="31"/>
  <c r="AX143" i="31" s="1"/>
  <c r="BE147" i="31"/>
  <c r="AS147" i="31"/>
  <c r="AY147" i="31" s="1"/>
  <c r="BD145" i="31"/>
  <c r="AR145" i="31"/>
  <c r="AX145" i="31" s="1"/>
  <c r="BE149" i="31"/>
  <c r="AS149" i="31"/>
  <c r="AY149" i="31" s="1"/>
  <c r="BD146" i="31"/>
  <c r="AR146" i="31"/>
  <c r="AX146" i="31" s="1"/>
  <c r="L149" i="31"/>
  <c r="AF149" i="31" s="1"/>
  <c r="AH145" i="3"/>
  <c r="L148" i="31"/>
  <c r="AF148" i="31" s="1"/>
  <c r="AH144" i="3"/>
  <c r="BD144" i="31"/>
  <c r="AR144" i="31"/>
  <c r="AX144" i="31" s="1"/>
  <c r="AH143" i="3"/>
  <c r="L147" i="31"/>
  <c r="AF147" i="31" s="1"/>
  <c r="AK150" i="3" l="1"/>
  <c r="O154" i="31"/>
  <c r="AI154" i="31" s="1"/>
  <c r="BD148" i="31"/>
  <c r="AR148" i="31"/>
  <c r="AX148" i="31" s="1"/>
  <c r="O157" i="31"/>
  <c r="AI157" i="31" s="1"/>
  <c r="AK153" i="3"/>
  <c r="O155" i="31"/>
  <c r="AI155" i="31" s="1"/>
  <c r="AK151" i="3"/>
  <c r="BD149" i="31"/>
  <c r="AR149" i="31"/>
  <c r="AX149" i="31" s="1"/>
  <c r="AK152" i="3"/>
  <c r="O156" i="31"/>
  <c r="AI156" i="31" s="1"/>
  <c r="BD147" i="31"/>
  <c r="AR147" i="31"/>
  <c r="AX147" i="31" s="1"/>
  <c r="N151" i="31"/>
  <c r="AH151" i="31" s="1"/>
  <c r="AJ147" i="3"/>
  <c r="AJ148" i="3"/>
  <c r="N152" i="31"/>
  <c r="AH152" i="31" s="1"/>
  <c r="N153" i="31"/>
  <c r="AH153" i="31" s="1"/>
  <c r="AJ149" i="3"/>
  <c r="J46" i="5"/>
  <c r="T46" i="5" s="1"/>
  <c r="AA155" i="5"/>
  <c r="AA156" i="5"/>
  <c r="AE154" i="3" l="1"/>
  <c r="AE155" i="3"/>
  <c r="BG154" i="31"/>
  <c r="AU154" i="31"/>
  <c r="BA154" i="31" s="1"/>
  <c r="BG155" i="31"/>
  <c r="AU155" i="31"/>
  <c r="BA155" i="31" s="1"/>
  <c r="AT153" i="31"/>
  <c r="AZ153" i="31" s="1"/>
  <c r="BF153" i="31"/>
  <c r="BF151" i="31"/>
  <c r="AT151" i="31"/>
  <c r="AZ151" i="31" s="1"/>
  <c r="BG157" i="31"/>
  <c r="AU157" i="31"/>
  <c r="BA157" i="31" s="1"/>
  <c r="BF152" i="31"/>
  <c r="AT152" i="31"/>
  <c r="AZ152" i="31" s="1"/>
  <c r="BG156" i="31"/>
  <c r="AU156" i="31"/>
  <c r="BA156" i="31" s="1"/>
  <c r="H44" i="5"/>
  <c r="R44" i="5" s="1"/>
  <c r="Y150" i="5"/>
  <c r="Y149" i="5"/>
  <c r="Y147" i="5"/>
  <c r="Y148" i="5"/>
  <c r="AC146" i="3" l="1"/>
  <c r="AC149" i="3"/>
  <c r="AC148" i="3"/>
  <c r="AC147" i="3"/>
  <c r="O159" i="31"/>
  <c r="AI159" i="31" s="1"/>
  <c r="AK155" i="3"/>
  <c r="AK154" i="3"/>
  <c r="O158" i="31"/>
  <c r="AI158" i="31" s="1"/>
  <c r="I45" i="5"/>
  <c r="S45" i="5" s="1"/>
  <c r="J47" i="5"/>
  <c r="T47" i="5" s="1"/>
  <c r="Z151" i="5"/>
  <c r="Z152" i="5"/>
  <c r="Z153" i="5"/>
  <c r="AA157" i="5"/>
  <c r="Z154" i="5"/>
  <c r="AE156" i="3" l="1"/>
  <c r="AD151" i="3"/>
  <c r="AD153" i="3"/>
  <c r="AD150" i="3"/>
  <c r="AD152" i="3"/>
  <c r="M152" i="31"/>
  <c r="AG152" i="31" s="1"/>
  <c r="AI148" i="3"/>
  <c r="BG158" i="31"/>
  <c r="AU158" i="31"/>
  <c r="BA158" i="31" s="1"/>
  <c r="AU159" i="31"/>
  <c r="BA159" i="31" s="1"/>
  <c r="BG159" i="31"/>
  <c r="AI147" i="3"/>
  <c r="M151" i="31"/>
  <c r="AG151" i="31" s="1"/>
  <c r="AI149" i="3"/>
  <c r="M153" i="31"/>
  <c r="AG153" i="31" s="1"/>
  <c r="AI146" i="3"/>
  <c r="M150" i="31"/>
  <c r="AG150" i="31" s="1"/>
  <c r="G44" i="5"/>
  <c r="Q44" i="5" s="1"/>
  <c r="J48" i="5"/>
  <c r="T48" i="5" s="1"/>
  <c r="AA162" i="5"/>
  <c r="AA159" i="5"/>
  <c r="X147" i="5"/>
  <c r="AA158" i="5"/>
  <c r="X149" i="5"/>
  <c r="AA161" i="5"/>
  <c r="AA160" i="5"/>
  <c r="X150" i="5"/>
  <c r="AA163" i="5"/>
  <c r="AA164" i="5"/>
  <c r="X148" i="5"/>
  <c r="AE157" i="3" l="1"/>
  <c r="O161" i="31" s="1"/>
  <c r="AI161" i="31" s="1"/>
  <c r="AE161" i="3"/>
  <c r="O165" i="31" s="1"/>
  <c r="AI165" i="31" s="1"/>
  <c r="AE159" i="3"/>
  <c r="AK159" i="3" s="1"/>
  <c r="AE158" i="3"/>
  <c r="AK158" i="3" s="1"/>
  <c r="AE163" i="3"/>
  <c r="O167" i="31" s="1"/>
  <c r="AI167" i="31" s="1"/>
  <c r="AE162" i="3"/>
  <c r="AK162" i="3" s="1"/>
  <c r="AE160" i="3"/>
  <c r="O164" i="31" s="1"/>
  <c r="AI164" i="31" s="1"/>
  <c r="AB147" i="3"/>
  <c r="AB146" i="3"/>
  <c r="AB148" i="3"/>
  <c r="AB149" i="3"/>
  <c r="AS153" i="31"/>
  <c r="AY153" i="31" s="1"/>
  <c r="BE153" i="31"/>
  <c r="BE152" i="31"/>
  <c r="AS152" i="31"/>
  <c r="AY152" i="31" s="1"/>
  <c r="AS151" i="31"/>
  <c r="AY151" i="31" s="1"/>
  <c r="BE151" i="31"/>
  <c r="AJ152" i="3"/>
  <c r="N156" i="31"/>
  <c r="AH156" i="31" s="1"/>
  <c r="N154" i="31"/>
  <c r="AH154" i="31" s="1"/>
  <c r="AJ150" i="3"/>
  <c r="AJ153" i="3"/>
  <c r="N157" i="31"/>
  <c r="AH157" i="31" s="1"/>
  <c r="N155" i="31"/>
  <c r="AH155" i="31" s="1"/>
  <c r="AJ151" i="3"/>
  <c r="BE150" i="31"/>
  <c r="AS150" i="31"/>
  <c r="AY150" i="31" s="1"/>
  <c r="AK156" i="3"/>
  <c r="O160" i="31"/>
  <c r="AI160" i="31" s="1"/>
  <c r="AK161" i="3"/>
  <c r="H45" i="5"/>
  <c r="R45" i="5" s="1"/>
  <c r="Y153" i="5"/>
  <c r="Y152" i="5"/>
  <c r="Y151" i="5"/>
  <c r="AK160" i="3" l="1"/>
  <c r="O162" i="31"/>
  <c r="AI162" i="31" s="1"/>
  <c r="AK163" i="3"/>
  <c r="AK157" i="3"/>
  <c r="O163" i="31"/>
  <c r="AI163" i="31" s="1"/>
  <c r="BG163" i="31" s="1"/>
  <c r="AC151" i="3"/>
  <c r="AC152" i="3"/>
  <c r="AC150" i="3"/>
  <c r="O166" i="31"/>
  <c r="AI166" i="31" s="1"/>
  <c r="AU166" i="31" s="1"/>
  <c r="BA166" i="31" s="1"/>
  <c r="BF155" i="31"/>
  <c r="AT155" i="31"/>
  <c r="AZ155" i="31" s="1"/>
  <c r="L151" i="31"/>
  <c r="AF151" i="31" s="1"/>
  <c r="AH147" i="3"/>
  <c r="BF157" i="31"/>
  <c r="AT157" i="31"/>
  <c r="AZ157" i="31" s="1"/>
  <c r="BG160" i="31"/>
  <c r="AU160" i="31"/>
  <c r="BA160" i="31" s="1"/>
  <c r="BF154" i="31"/>
  <c r="AT154" i="31"/>
  <c r="AZ154" i="31" s="1"/>
  <c r="BF156" i="31"/>
  <c r="AT156" i="31"/>
  <c r="AZ156" i="31" s="1"/>
  <c r="L152" i="31"/>
  <c r="AF152" i="31" s="1"/>
  <c r="AH148" i="3"/>
  <c r="L153" i="31"/>
  <c r="AF153" i="31" s="1"/>
  <c r="AH149" i="3"/>
  <c r="AH146" i="3"/>
  <c r="L150" i="31"/>
  <c r="AF150" i="31" s="1"/>
  <c r="BG167" i="31"/>
  <c r="AU167" i="31"/>
  <c r="BA167" i="31" s="1"/>
  <c r="BG162" i="31"/>
  <c r="AU162" i="31"/>
  <c r="BA162" i="31" s="1"/>
  <c r="BG164" i="31"/>
  <c r="AU164" i="31"/>
  <c r="BA164" i="31" s="1"/>
  <c r="BG165" i="31"/>
  <c r="AU165" i="31"/>
  <c r="BA165" i="31" s="1"/>
  <c r="BG161" i="31"/>
  <c r="AU161" i="31"/>
  <c r="BA161" i="31" s="1"/>
  <c r="I46" i="5"/>
  <c r="S46" i="5" s="1"/>
  <c r="Z155" i="5"/>
  <c r="Z157" i="5"/>
  <c r="Z156" i="5"/>
  <c r="AU163" i="31" l="1"/>
  <c r="BA163" i="31" s="1"/>
  <c r="AD155" i="3"/>
  <c r="AD154" i="3"/>
  <c r="AD156" i="3"/>
  <c r="AR151" i="31"/>
  <c r="AX151" i="31" s="1"/>
  <c r="BD151" i="31"/>
  <c r="BG166" i="31"/>
  <c r="BD150" i="31"/>
  <c r="AR150" i="31"/>
  <c r="AX150" i="31" s="1"/>
  <c r="BD153" i="31"/>
  <c r="AR153" i="31"/>
  <c r="AX153" i="31" s="1"/>
  <c r="AI150" i="3"/>
  <c r="M154" i="31"/>
  <c r="AG154" i="31" s="1"/>
  <c r="M156" i="31"/>
  <c r="AG156" i="31" s="1"/>
  <c r="AI152" i="3"/>
  <c r="BD152" i="31"/>
  <c r="AR152" i="31"/>
  <c r="AX152" i="31" s="1"/>
  <c r="AI151" i="3"/>
  <c r="M155" i="31"/>
  <c r="AG155" i="31" s="1"/>
  <c r="G45" i="5"/>
  <c r="Q45" i="5" s="1"/>
  <c r="X152" i="5"/>
  <c r="X153" i="5"/>
  <c r="X151" i="5"/>
  <c r="AB152" i="3" l="1"/>
  <c r="AB151" i="3"/>
  <c r="AB150" i="3"/>
  <c r="N160" i="31"/>
  <c r="AH160" i="31" s="1"/>
  <c r="AJ156" i="3"/>
  <c r="AS156" i="31"/>
  <c r="AY156" i="31" s="1"/>
  <c r="BE156" i="31"/>
  <c r="BE154" i="31"/>
  <c r="AS154" i="31"/>
  <c r="AY154" i="31" s="1"/>
  <c r="BE155" i="31"/>
  <c r="AS155" i="31"/>
  <c r="AY155" i="31" s="1"/>
  <c r="N158" i="31"/>
  <c r="AH158" i="31" s="1"/>
  <c r="AJ154" i="3"/>
  <c r="AJ155" i="3"/>
  <c r="N159" i="31"/>
  <c r="AH159" i="31" s="1"/>
  <c r="H46" i="5"/>
  <c r="R46" i="5" s="1"/>
  <c r="I47" i="5"/>
  <c r="S47" i="5" s="1"/>
  <c r="I48" i="5"/>
  <c r="S48" i="5" s="1"/>
  <c r="Z160" i="5"/>
  <c r="Z163" i="5"/>
  <c r="Y156" i="5"/>
  <c r="Z159" i="5"/>
  <c r="Z162" i="5"/>
  <c r="Z164" i="5"/>
  <c r="Y155" i="5"/>
  <c r="Z158" i="5"/>
  <c r="Z161" i="5"/>
  <c r="Y157" i="5"/>
  <c r="Y154" i="5"/>
  <c r="AD159" i="3" l="1"/>
  <c r="N163" i="31" s="1"/>
  <c r="AH163" i="31" s="1"/>
  <c r="AD162" i="3"/>
  <c r="AJ162" i="3" s="1"/>
  <c r="AD160" i="3"/>
  <c r="AJ160" i="3" s="1"/>
  <c r="AD161" i="3"/>
  <c r="N165" i="31" s="1"/>
  <c r="AH165" i="31" s="1"/>
  <c r="AD163" i="3"/>
  <c r="N167" i="31" s="1"/>
  <c r="AH167" i="31" s="1"/>
  <c r="AD158" i="3"/>
  <c r="N162" i="31" s="1"/>
  <c r="AH162" i="31" s="1"/>
  <c r="AD157" i="3"/>
  <c r="AC155" i="3"/>
  <c r="AC153" i="3"/>
  <c r="AC156" i="3"/>
  <c r="AC154" i="3"/>
  <c r="BF159" i="31"/>
  <c r="AT159" i="31"/>
  <c r="AZ159" i="31" s="1"/>
  <c r="AT158" i="31"/>
  <c r="AZ158" i="31" s="1"/>
  <c r="BF158" i="31"/>
  <c r="BF160" i="31"/>
  <c r="AT160" i="31"/>
  <c r="AZ160" i="31" s="1"/>
  <c r="L154" i="31"/>
  <c r="AF154" i="31" s="1"/>
  <c r="AH150" i="3"/>
  <c r="L155" i="31"/>
  <c r="AF155" i="31" s="1"/>
  <c r="AH151" i="3"/>
  <c r="L156" i="31"/>
  <c r="AF156" i="31" s="1"/>
  <c r="AH152" i="3"/>
  <c r="AJ163" i="3" l="1"/>
  <c r="AJ158" i="3"/>
  <c r="N164" i="31"/>
  <c r="AH164" i="31" s="1"/>
  <c r="AJ161" i="3"/>
  <c r="AJ159" i="3"/>
  <c r="N166" i="31"/>
  <c r="AH166" i="31" s="1"/>
  <c r="BF166" i="31" s="1"/>
  <c r="M159" i="31"/>
  <c r="AG159" i="31" s="1"/>
  <c r="AI155" i="3"/>
  <c r="AJ157" i="3"/>
  <c r="N161" i="31"/>
  <c r="AH161" i="31" s="1"/>
  <c r="BD156" i="31"/>
  <c r="AR156" i="31"/>
  <c r="AX156" i="31" s="1"/>
  <c r="BD155" i="31"/>
  <c r="AR155" i="31"/>
  <c r="AX155" i="31" s="1"/>
  <c r="AI154" i="3"/>
  <c r="M158" i="31"/>
  <c r="AG158" i="31" s="1"/>
  <c r="BD154" i="31"/>
  <c r="AR154" i="31"/>
  <c r="AX154" i="31" s="1"/>
  <c r="M160" i="31"/>
  <c r="AG160" i="31" s="1"/>
  <c r="AI156" i="3"/>
  <c r="M157" i="31"/>
  <c r="AG157" i="31" s="1"/>
  <c r="AI153" i="3"/>
  <c r="BF162" i="31"/>
  <c r="AT162" i="31"/>
  <c r="AZ162" i="31" s="1"/>
  <c r="BF167" i="31"/>
  <c r="AT167" i="31"/>
  <c r="AZ167" i="31" s="1"/>
  <c r="BF165" i="31"/>
  <c r="AT165" i="31"/>
  <c r="AZ165" i="31" s="1"/>
  <c r="BF164" i="31"/>
  <c r="AT164" i="31"/>
  <c r="AZ164" i="31" s="1"/>
  <c r="BF163" i="31"/>
  <c r="AT163" i="31"/>
  <c r="AZ163" i="31" s="1"/>
  <c r="H47" i="5"/>
  <c r="R47" i="5" s="1"/>
  <c r="Y158" i="5"/>
  <c r="AT166" i="31" l="1"/>
  <c r="AZ166" i="31" s="1"/>
  <c r="AC157" i="3"/>
  <c r="BE157" i="31"/>
  <c r="AS157" i="31"/>
  <c r="AY157" i="31" s="1"/>
  <c r="BE160" i="31"/>
  <c r="AS160" i="31"/>
  <c r="AY160" i="31" s="1"/>
  <c r="BF161" i="31"/>
  <c r="AT161" i="31"/>
  <c r="AZ161" i="31" s="1"/>
  <c r="BE158" i="31"/>
  <c r="AS158" i="31"/>
  <c r="AY158" i="31" s="1"/>
  <c r="BE159" i="31"/>
  <c r="AS159" i="31"/>
  <c r="AY159" i="31" s="1"/>
  <c r="G46" i="5"/>
  <c r="Q46" i="5" s="1"/>
  <c r="X155" i="5"/>
  <c r="X156" i="5"/>
  <c r="X157" i="5"/>
  <c r="X154" i="5"/>
  <c r="AB156" i="3" l="1"/>
  <c r="AB154" i="3"/>
  <c r="AB155" i="3"/>
  <c r="AB153" i="3"/>
  <c r="M161" i="31"/>
  <c r="AG161" i="31" s="1"/>
  <c r="AI157" i="3"/>
  <c r="L157" i="31" l="1"/>
  <c r="AF157" i="31" s="1"/>
  <c r="AH153" i="3"/>
  <c r="L159" i="31"/>
  <c r="AF159" i="31" s="1"/>
  <c r="AH155" i="3"/>
  <c r="AH154" i="3"/>
  <c r="L158" i="31"/>
  <c r="AF158" i="31" s="1"/>
  <c r="BE161" i="31"/>
  <c r="AS161" i="31"/>
  <c r="AY161" i="31" s="1"/>
  <c r="L160" i="31"/>
  <c r="AF160" i="31" s="1"/>
  <c r="AH156" i="3"/>
  <c r="AR158" i="31" l="1"/>
  <c r="AX158" i="31" s="1"/>
  <c r="BD158" i="31"/>
  <c r="BD159" i="31"/>
  <c r="AR159" i="31"/>
  <c r="AX159" i="31" s="1"/>
  <c r="BD160" i="31"/>
  <c r="AR160" i="31"/>
  <c r="AX160" i="31" s="1"/>
  <c r="BD157" i="31"/>
  <c r="AR157" i="31"/>
  <c r="AX157" i="31" s="1"/>
  <c r="H48" i="5" l="1"/>
  <c r="R48" i="5" s="1"/>
  <c r="Y159" i="5"/>
  <c r="Y162" i="5"/>
  <c r="Y164" i="5"/>
  <c r="Y163" i="5"/>
  <c r="Y160" i="5"/>
  <c r="Y161" i="5"/>
  <c r="AC162" i="3" l="1"/>
  <c r="M166" i="31" s="1"/>
  <c r="AG166" i="31" s="1"/>
  <c r="AC163" i="3"/>
  <c r="AI163" i="3" s="1"/>
  <c r="AC161" i="3"/>
  <c r="M165" i="31" s="1"/>
  <c r="AG165" i="31" s="1"/>
  <c r="AC160" i="3"/>
  <c r="AC158" i="3"/>
  <c r="AC159" i="3"/>
  <c r="AI162" i="3"/>
  <c r="M167" i="31"/>
  <c r="AG167" i="31" s="1"/>
  <c r="AI161" i="3"/>
  <c r="G47" i="5"/>
  <c r="Q47" i="5" s="1"/>
  <c r="X160" i="5"/>
  <c r="X158" i="5"/>
  <c r="X159" i="5"/>
  <c r="AB158" i="3" l="1"/>
  <c r="AB159" i="3"/>
  <c r="AB157" i="3"/>
  <c r="M163" i="31"/>
  <c r="AG163" i="31" s="1"/>
  <c r="AI159" i="3"/>
  <c r="AI158" i="3"/>
  <c r="M162" i="31"/>
  <c r="AG162" i="31" s="1"/>
  <c r="M164" i="31"/>
  <c r="AG164" i="31" s="1"/>
  <c r="AI160" i="3"/>
  <c r="BE165" i="31"/>
  <c r="AS165" i="31"/>
  <c r="AY165" i="31" s="1"/>
  <c r="BE167" i="31"/>
  <c r="AS167" i="31"/>
  <c r="AY167" i="31" s="1"/>
  <c r="BE166" i="31"/>
  <c r="AS166" i="31"/>
  <c r="AY166" i="31" s="1"/>
  <c r="BE162" i="31" l="1"/>
  <c r="AS162" i="31"/>
  <c r="AY162" i="31" s="1"/>
  <c r="AS164" i="31"/>
  <c r="AY164" i="31" s="1"/>
  <c r="BE164" i="31"/>
  <c r="BE163" i="31"/>
  <c r="AS163" i="31"/>
  <c r="AY163" i="31" s="1"/>
  <c r="L161" i="31"/>
  <c r="AF161" i="31" s="1"/>
  <c r="AH157" i="3"/>
  <c r="L163" i="31"/>
  <c r="AF163" i="31" s="1"/>
  <c r="AH159" i="3"/>
  <c r="AH158" i="3"/>
  <c r="L162" i="31"/>
  <c r="AF162" i="31" s="1"/>
  <c r="G48" i="5"/>
  <c r="Q48" i="5" s="1"/>
  <c r="X162" i="5"/>
  <c r="X163" i="5"/>
  <c r="X164" i="5"/>
  <c r="X161" i="5"/>
  <c r="AB163" i="3" l="1"/>
  <c r="AB162" i="3"/>
  <c r="AB160" i="3"/>
  <c r="AB161" i="3"/>
  <c r="AR161" i="31"/>
  <c r="AX161" i="31" s="1"/>
  <c r="BD161" i="31"/>
  <c r="BD162" i="31"/>
  <c r="AR162" i="31"/>
  <c r="AX162" i="31" s="1"/>
  <c r="BD163" i="31"/>
  <c r="AR163" i="31"/>
  <c r="AX163" i="31" s="1"/>
  <c r="L167" i="31"/>
  <c r="AF167" i="31" s="1"/>
  <c r="AH163" i="3"/>
  <c r="L166" i="31" l="1"/>
  <c r="AF166" i="31" s="1"/>
  <c r="AH162" i="3"/>
  <c r="AH161" i="3"/>
  <c r="L165" i="31"/>
  <c r="AF165" i="31" s="1"/>
  <c r="L164" i="31"/>
  <c r="AF164" i="31" s="1"/>
  <c r="AH160" i="3"/>
  <c r="BD167" i="31"/>
  <c r="AR167" i="31"/>
  <c r="AX167" i="31" s="1"/>
  <c r="BD164" i="31" l="1"/>
  <c r="AR164" i="31"/>
  <c r="AX164" i="31" s="1"/>
  <c r="BD165" i="31"/>
  <c r="AR165" i="31"/>
  <c r="AX165" i="31" s="1"/>
  <c r="BD166" i="31"/>
  <c r="AR166" i="31"/>
  <c r="AX166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Y1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注意是战中的损失不是实际损失</t>
        </r>
      </text>
    </comment>
    <comment ref="AZ2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指伤亡，主力伤亡区分付费层，攻城队伍伤亡按0%计算，这里伤亡指损耗+负伤一起</t>
        </r>
      </text>
    </comment>
    <comment ref="F16" authorId="0" shapeId="0" xr:uid="{00000000-0006-0000-0500-000005000000}">
      <text>
        <r>
          <rPr>
            <b/>
            <sz val="9"/>
            <color indexed="81"/>
            <rFont val="宋体"/>
            <family val="3"/>
            <charset val="134"/>
          </rPr>
          <t>受到位置修正等影响</t>
        </r>
      </text>
    </comment>
    <comment ref="I16" authorId="0" shapeId="0" xr:uid="{00000000-0006-0000-0500-000006000000}">
      <text>
        <r>
          <rPr>
            <b/>
            <sz val="9"/>
            <color indexed="81"/>
            <rFont val="宋体"/>
            <family val="3"/>
            <charset val="134"/>
          </rPr>
          <t>特殊城池扩大至2倍，凸显特殊城池易守难攻的效果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作者</author>
  </authors>
  <commentList>
    <comment ref="AC3" authorId="0" shapeId="0" xr:uid="{00000000-0006-0000-0200-000001000000}">
      <text/>
    </comment>
    <comment ref="C51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战损修正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H3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不同付费层实力相当于非r的倍数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U4" authorId="0" shapeId="0" xr:uid="{6665A9BC-5254-4D05-A4CC-8FA488201D8E}">
      <text>
        <r>
          <rPr>
            <b/>
            <sz val="9"/>
            <color indexed="81"/>
            <rFont val="宋体"/>
            <family val="3"/>
            <charset val="134"/>
          </rPr>
          <t>中R以上均可打败守城军</t>
        </r>
      </text>
    </comment>
    <comment ref="BV4" authorId="0" shapeId="0" xr:uid="{BC7629B1-07AC-4797-AA90-246EDDE17B59}">
      <text>
        <r>
          <rPr>
            <b/>
            <sz val="9"/>
            <color indexed="81"/>
            <rFont val="宋体"/>
            <family val="3"/>
            <charset val="134"/>
          </rPr>
          <t>以玩家实力计算的一个极限值，会因军团参与人数、玩家秒CD时间、玩家在游戏中的决策而产生较大偏差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V3" authorId="0" shapeId="0" xr:uid="{99650AA8-18F5-49A0-BD15-29D1629B6244}">
      <text>
        <r>
          <rPr>
            <b/>
            <sz val="9"/>
            <color indexed="81"/>
            <rFont val="宋体"/>
            <family val="3"/>
            <charset val="134"/>
          </rPr>
          <t>预估大团至少2个大R和超R，小团没有大R和超R。
大团参与度80%，标准团参与度60%，小团参与人数40%</t>
        </r>
      </text>
    </comment>
    <comment ref="BM3" authorId="0" shapeId="0" xr:uid="{7660BAFE-479B-4D67-B9DE-F5A32230610C}">
      <text>
        <r>
          <rPr>
            <b/>
            <sz val="9"/>
            <color indexed="81"/>
            <rFont val="宋体"/>
            <family val="3"/>
            <charset val="134"/>
          </rPr>
          <t>预估大团至少2个大R和超R，小团没有大R和超R。
大团参与度80%，标准团参与度60%，小团参与人数40%</t>
        </r>
      </text>
    </comment>
    <comment ref="BY52" authorId="0" shapeId="0" xr:uid="{1C3CC9AD-0F53-49C7-86CF-642ABEB43EC4}">
      <text>
        <r>
          <rPr>
            <b/>
            <sz val="9"/>
            <color indexed="81"/>
            <rFont val="宋体"/>
            <family val="3"/>
            <charset val="134"/>
          </rPr>
          <t>不准确，根据跑出来的情况调整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M7" authorId="0" shapeId="0" xr:uid="{0DFC076B-1C9A-4C70-B3DD-2B6293557BB9}">
      <text>
        <r>
          <rPr>
            <b/>
            <sz val="9"/>
            <color indexed="81"/>
            <rFont val="宋体"/>
            <family val="3"/>
            <charset val="134"/>
          </rPr>
          <t>不含北斗七星阵的其他全部橙色阵法</t>
        </r>
      </text>
    </comment>
    <comment ref="AW7" authorId="0" shapeId="0" xr:uid="{A4E0D270-F0BE-41F7-B38A-17EA486858D5}">
      <text>
        <r>
          <rPr>
            <b/>
            <sz val="9"/>
            <color indexed="81"/>
            <rFont val="宋体"/>
            <family val="3"/>
            <charset val="134"/>
          </rPr>
          <t>重新制作新的阵法宝箱</t>
        </r>
      </text>
    </comment>
    <comment ref="AW27" authorId="0" shapeId="0" xr:uid="{6513A426-1B47-4C73-9446-E201973B0ADD}">
      <text>
        <r>
          <rPr>
            <b/>
            <sz val="9"/>
            <color indexed="81"/>
            <rFont val="宋体"/>
            <family val="3"/>
            <charset val="134"/>
          </rPr>
          <t>重新制作新的阵法宝箱</t>
        </r>
      </text>
    </comment>
    <comment ref="AW37" authorId="0" shapeId="0" xr:uid="{102563F6-0BA9-4BDB-991C-1134FD253B5B}">
      <text>
        <r>
          <rPr>
            <b/>
            <sz val="9"/>
            <color indexed="81"/>
            <rFont val="宋体"/>
            <family val="3"/>
            <charset val="134"/>
          </rPr>
          <t>重新制作新的阵法宝箱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I7" authorId="0" shapeId="0" xr:uid="{D0CA10DF-1A8E-4070-A251-0EB3880AFFC5}">
      <text>
        <r>
          <rPr>
            <b/>
            <sz val="9"/>
            <color indexed="81"/>
            <rFont val="宋体"/>
            <family val="3"/>
            <charset val="134"/>
          </rPr>
          <t>重新制作新的兵法宝箱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14" authorId="0" shapeId="0" xr:uid="{1C4861F5-4AD4-4D73-A1CE-332A8C3F3D9E}">
      <text>
        <r>
          <rPr>
            <b/>
            <sz val="9"/>
            <color indexed="81"/>
            <rFont val="宋体"/>
            <family val="3"/>
            <charset val="134"/>
          </rPr>
          <t>进攻占一半战斗</t>
        </r>
      </text>
    </comment>
    <comment ref="N15" authorId="0" shapeId="0" xr:uid="{61360D8D-330C-4F12-B401-944131C61B81}">
      <text>
        <r>
          <rPr>
            <b/>
            <sz val="9"/>
            <color indexed="81"/>
            <rFont val="宋体"/>
            <family val="3"/>
            <charset val="134"/>
          </rPr>
          <t>开军略驻守时生效的效果视为占总发生战斗的10%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O8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指放到斜角时离最近攻打区域的距离</t>
        </r>
      </text>
    </comment>
    <comment ref="D16" authorId="0" shapeId="0" xr:uid="{00000000-0006-0000-0300-000002000000}">
      <text>
        <r>
          <rPr>
            <sz val="9"/>
            <color indexed="81"/>
            <rFont val="宋体"/>
            <family val="3"/>
            <charset val="134"/>
          </rPr>
          <t xml:space="preserve">天气会有影响，这里会调整为0.08
</t>
        </r>
      </text>
    </comment>
  </commentList>
</comments>
</file>

<file path=xl/sharedStrings.xml><?xml version="1.0" encoding="utf-8"?>
<sst xmlns="http://schemas.openxmlformats.org/spreadsheetml/2006/main" count="1544" uniqueCount="642">
  <si>
    <t>基本信息</t>
    <phoneticPr fontId="1" type="noConversion"/>
  </si>
  <si>
    <t>消耗点</t>
    <phoneticPr fontId="1" type="noConversion"/>
  </si>
  <si>
    <t>消耗值</t>
    <phoneticPr fontId="1" type="noConversion"/>
  </si>
  <si>
    <t>攻打玩家城</t>
    <phoneticPr fontId="1" type="noConversion"/>
  </si>
  <si>
    <t>掠夺玩家城</t>
    <phoneticPr fontId="1" type="noConversion"/>
  </si>
  <si>
    <t>打野</t>
    <phoneticPr fontId="1" type="noConversion"/>
  </si>
  <si>
    <t>采集</t>
    <phoneticPr fontId="1" type="noConversion"/>
  </si>
  <si>
    <t>打NPC城</t>
    <phoneticPr fontId="1" type="noConversion"/>
  </si>
  <si>
    <t>疲劳值消耗</t>
    <phoneticPr fontId="1" type="noConversion"/>
  </si>
  <si>
    <t>非r</t>
  </si>
  <si>
    <t>小r</t>
  </si>
  <si>
    <t>中r</t>
  </si>
  <si>
    <t>大r</t>
  </si>
  <si>
    <t>超r</t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</si>
  <si>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</si>
  <si>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</si>
  <si>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</si>
  <si>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</si>
  <si>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</si>
  <si>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战法效用</t>
    <phoneticPr fontId="1" type="noConversion"/>
  </si>
  <si>
    <t>技能效用</t>
    <phoneticPr fontId="1" type="noConversion"/>
  </si>
  <si>
    <t>基础技能加成</t>
  </si>
  <si>
    <t>天数</t>
    <phoneticPr fontId="1" type="noConversion"/>
  </si>
  <si>
    <t>非r</t>
    <phoneticPr fontId="1" type="noConversion"/>
  </si>
  <si>
    <t>辅助能力</t>
  </si>
  <si>
    <t>生存能力</t>
  </si>
  <si>
    <t>输出能力</t>
  </si>
  <si>
    <t>能力分配</t>
  </si>
  <si>
    <t>每秒攻城系数预估</t>
    <phoneticPr fontId="1" type="noConversion"/>
  </si>
  <si>
    <t>每秒攻城系数演算</t>
    <phoneticPr fontId="1" type="noConversion"/>
  </si>
  <si>
    <t>小r</t>
    <phoneticPr fontId="1" type="noConversion"/>
  </si>
  <si>
    <t>超r</t>
    <phoneticPr fontId="1" type="noConversion"/>
  </si>
  <si>
    <t>,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</si>
  <si>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</si>
  <si>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</si>
  <si>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</si>
  <si>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</si>
  <si>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</si>
  <si>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</si>
  <si>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中r</t>
    <phoneticPr fontId="1" type="noConversion"/>
  </si>
  <si>
    <t>超r</t>
    <phoneticPr fontId="1" type="noConversion"/>
  </si>
  <si>
    <t>每次标准战斗时长</t>
    <phoneticPr fontId="1" type="noConversion"/>
  </si>
  <si>
    <t>预估参与攻城队伍数</t>
    <phoneticPr fontId="1" type="noConversion"/>
  </si>
  <si>
    <t>每次战斗攻城时长</t>
    <phoneticPr fontId="1" type="noConversion"/>
  </si>
  <si>
    <t>恢复满标准时长</t>
    <phoneticPr fontId="1" type="noConversion"/>
  </si>
  <si>
    <t>疲劳降低移速</t>
    <phoneticPr fontId="1" type="noConversion"/>
  </si>
  <si>
    <t>基础值/秒</t>
    <phoneticPr fontId="1" type="noConversion"/>
  </si>
  <si>
    <t>每秒恢复情况</t>
    <phoneticPr fontId="1" type="noConversion"/>
  </si>
  <si>
    <t>军略影响</t>
    <phoneticPr fontId="1" type="noConversion"/>
  </si>
  <si>
    <t>消耗减少情况</t>
    <phoneticPr fontId="1" type="noConversion"/>
  </si>
  <si>
    <t>圣人主推</t>
    <phoneticPr fontId="1" type="noConversion"/>
  </si>
  <si>
    <t>上限情况</t>
    <phoneticPr fontId="1" type="noConversion"/>
  </si>
  <si>
    <t>基础值</t>
    <phoneticPr fontId="1" type="noConversion"/>
  </si>
  <si>
    <t>国建增加值</t>
    <phoneticPr fontId="1" type="noConversion"/>
  </si>
  <si>
    <t>每次战斗最大扣除比例</t>
    <phoneticPr fontId="1" type="noConversion"/>
  </si>
  <si>
    <t>对应参考城防值</t>
    <phoneticPr fontId="1" type="noConversion"/>
  </si>
  <si>
    <t>总计</t>
    <phoneticPr fontId="1" type="noConversion"/>
  </si>
  <si>
    <t>修正最终城防值</t>
    <phoneticPr fontId="1" type="noConversion"/>
  </si>
  <si>
    <t>一般城池</t>
    <phoneticPr fontId="1" type="noConversion"/>
  </si>
  <si>
    <t>特殊城池</t>
    <phoneticPr fontId="1" type="noConversion"/>
  </si>
  <si>
    <t>大殿等级</t>
  </si>
  <si>
    <t>大殿等级累积停留时间(天）</t>
  </si>
  <si>
    <t>大殿等级阶段停留时间（天）</t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</si>
  <si>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</si>
  <si>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</si>
  <si>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</si>
  <si>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</si>
  <si>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</si>
  <si>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</si>
  <si>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预估投入的兵力/玩家*一次城战</t>
    <phoneticPr fontId="1" type="noConversion"/>
  </si>
  <si>
    <t>预估投入的兵力/军团*一次城战</t>
    <phoneticPr fontId="1" type="noConversion"/>
  </si>
  <si>
    <t>预估造成的城防伤害/军团*一次城战</t>
    <phoneticPr fontId="1" type="noConversion"/>
  </si>
  <si>
    <t>预估造成的城防伤害/单个玩家*一次城战</t>
    <phoneticPr fontId="1" type="noConversion"/>
  </si>
  <si>
    <t>士兵战损修正</t>
    <phoneticPr fontId="1" type="noConversion"/>
  </si>
  <si>
    <t>士兵模型修正</t>
    <phoneticPr fontId="1" type="noConversion"/>
  </si>
  <si>
    <t>预估人数分布/单服</t>
    <phoneticPr fontId="1" type="noConversion"/>
  </si>
  <si>
    <t>天数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</si>
  <si>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</si>
  <si>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</si>
  <si>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</si>
  <si>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</si>
  <si>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</si>
  <si>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预估人数分布比例/单服</t>
    <phoneticPr fontId="1" type="noConversion"/>
  </si>
  <si>
    <t>军团人数</t>
    <phoneticPr fontId="1" type="noConversion"/>
  </si>
  <si>
    <t>等级对应带兵数/单个武将</t>
    <phoneticPr fontId="1" type="noConversion"/>
  </si>
  <si>
    <t>非r</t>
    <phoneticPr fontId="1" type="noConversion"/>
  </si>
  <si>
    <t>小r</t>
    <phoneticPr fontId="1" type="noConversion"/>
  </si>
  <si>
    <t>大r</t>
    <phoneticPr fontId="1" type="noConversion"/>
  </si>
  <si>
    <t>超r</t>
    <phoneticPr fontId="1" type="noConversion"/>
  </si>
  <si>
    <t>天数对应带兵数/单个队伍</t>
    <phoneticPr fontId="1" type="noConversion"/>
  </si>
  <si>
    <t>预估投入的兵力/玩家*一次城战</t>
    <phoneticPr fontId="1" type="noConversion"/>
  </si>
  <si>
    <t>调整系数</t>
    <phoneticPr fontId="1" type="noConversion"/>
  </si>
  <si>
    <t>攻陷惩罚</t>
    <phoneticPr fontId="1" type="noConversion"/>
  </si>
  <si>
    <t>迁城cd</t>
    <phoneticPr fontId="1" type="noConversion"/>
  </si>
  <si>
    <t>调整系数</t>
    <phoneticPr fontId="1" type="noConversion"/>
  </si>
  <si>
    <t>天数</t>
    <phoneticPr fontId="1" type="noConversion"/>
  </si>
  <si>
    <t>天数对应匹配付费层非r实力数</t>
    <phoneticPr fontId="1" type="noConversion"/>
  </si>
  <si>
    <t>天数对应极限需求npc部队数</t>
    <phoneticPr fontId="1" type="noConversion"/>
  </si>
  <si>
    <t>总计实力数/军团</t>
    <phoneticPr fontId="1" type="noConversion"/>
  </si>
  <si>
    <t>武将</t>
    <phoneticPr fontId="1" type="noConversion"/>
  </si>
  <si>
    <t>士兵</t>
    <phoneticPr fontId="1" type="noConversion"/>
  </si>
  <si>
    <t>非R</t>
    <phoneticPr fontId="1" type="noConversion"/>
  </si>
  <si>
    <t>攻城值/单个武将</t>
    <phoneticPr fontId="1" type="noConversion"/>
  </si>
  <si>
    <t>攻城值/单个士兵</t>
    <phoneticPr fontId="1" type="noConversion"/>
  </si>
  <si>
    <t>攻城值/单将带兵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</si>
  <si>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</si>
  <si>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</si>
  <si>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</si>
  <si>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</si>
  <si>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大R</t>
    <phoneticPr fontId="1" type="noConversion"/>
  </si>
  <si>
    <t>超R</t>
    <phoneticPr fontId="1" type="noConversion"/>
  </si>
  <si>
    <t>武将</t>
    <phoneticPr fontId="1" type="noConversion"/>
  </si>
  <si>
    <t>士兵</t>
    <phoneticPr fontId="1" type="noConversion"/>
  </si>
  <si>
    <t>攻城值</t>
    <phoneticPr fontId="1" type="noConversion"/>
  </si>
  <si>
    <t>天数对应极限需求npc难度等级</t>
    <phoneticPr fontId="1" type="noConversion"/>
  </si>
  <si>
    <t>天数</t>
    <phoneticPr fontId="1" type="noConversion"/>
  </si>
  <si>
    <t>天数对应预估参与攻城队伍数</t>
    <phoneticPr fontId="1" type="noConversion"/>
  </si>
  <si>
    <t>每秒攻城伤害预估/单队伍</t>
    <phoneticPr fontId="1" type="noConversion"/>
  </si>
  <si>
    <t>设计思路：</t>
    <phoneticPr fontId="1" type="noConversion"/>
  </si>
  <si>
    <t>武将上下阵</t>
    <phoneticPr fontId="1" type="noConversion"/>
  </si>
  <si>
    <t>预估攻打npc次数/1次城战</t>
    <phoneticPr fontId="1" type="noConversion"/>
  </si>
  <si>
    <t>预估造成的城防伤害/单个玩家*一次战斗</t>
    <phoneticPr fontId="1" type="noConversion"/>
  </si>
  <si>
    <t>攻城影响累积基础战损数</t>
    <phoneticPr fontId="1" type="noConversion"/>
  </si>
  <si>
    <t>攻城影响累积基础战伤数</t>
    <phoneticPr fontId="1" type="noConversion"/>
  </si>
  <si>
    <t>核心军团基础攻城次数/天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</si>
  <si>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</si>
  <si>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</si>
  <si>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</si>
  <si>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</si>
  <si>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定义等级对应攻城影响累积战损数</t>
  </si>
  <si>
    <t>定义等级对应攻城影响累积战伤数</t>
  </si>
  <si>
    <t>疲劳值</t>
    <phoneticPr fontId="1" type="noConversion"/>
  </si>
  <si>
    <t>地图信息</t>
    <phoneticPr fontId="1" type="noConversion"/>
  </si>
  <si>
    <t>参考攻打区域标的的边长（格）</t>
    <phoneticPr fontId="1" type="noConversion"/>
  </si>
  <si>
    <t>玩家自身的边长（格）</t>
    <phoneticPr fontId="1" type="noConversion"/>
  </si>
  <si>
    <t>分布层次</t>
    <phoneticPr fontId="1" type="noConversion"/>
  </si>
  <si>
    <t>移速修正</t>
    <phoneticPr fontId="1" type="noConversion"/>
  </si>
  <si>
    <t>目标最短距离</t>
    <phoneticPr fontId="1" type="noConversion"/>
  </si>
  <si>
    <t>目标最长距离</t>
    <phoneticPr fontId="1" type="noConversion"/>
  </si>
  <si>
    <t>目标最短行动时长</t>
    <phoneticPr fontId="1" type="noConversion"/>
  </si>
  <si>
    <t>目标最长行动时长</t>
    <phoneticPr fontId="1" type="noConversion"/>
  </si>
  <si>
    <t>攻击缓冲时长（s）</t>
    <phoneticPr fontId="1" type="noConversion"/>
  </si>
  <si>
    <t>基础移动（秒/格）</t>
    <phoneticPr fontId="1" type="noConversion"/>
  </si>
  <si>
    <t>玩家容量</t>
    <phoneticPr fontId="1" type="noConversion"/>
  </si>
  <si>
    <t>平均行动时长</t>
    <phoneticPr fontId="1" type="noConversion"/>
  </si>
  <si>
    <t>玩家累积容量</t>
    <phoneticPr fontId="1" type="noConversion"/>
  </si>
  <si>
    <t>攻城的节奏信息(以第一层作为参考对象）</t>
    <phoneticPr fontId="1" type="noConversion"/>
  </si>
  <si>
    <t>人数调用信息</t>
    <phoneticPr fontId="1" type="noConversion"/>
  </si>
  <si>
    <t>当层攻城效率/人</t>
    <phoneticPr fontId="1" type="noConversion"/>
  </si>
  <si>
    <t>平均攻城效率/人</t>
    <phoneticPr fontId="1" type="noConversion"/>
  </si>
  <si>
    <t>攻打城墙平均次数/每个队伍</t>
    <phoneticPr fontId="1" type="noConversion"/>
  </si>
  <si>
    <t>攻打城墙时长</t>
    <phoneticPr fontId="1" type="noConversion"/>
  </si>
  <si>
    <t>攻打守军平均次数/主力队伍</t>
    <phoneticPr fontId="1" type="noConversion"/>
  </si>
  <si>
    <t>攻打守军时长</t>
    <phoneticPr fontId="1" type="noConversion"/>
  </si>
  <si>
    <t>高v会加速，故修正0.7倍</t>
    <phoneticPr fontId="1" type="noConversion"/>
  </si>
  <si>
    <t>攻打总时长</t>
    <phoneticPr fontId="1" type="noConversion"/>
  </si>
  <si>
    <t>参考攻打总时长</t>
    <phoneticPr fontId="1" type="noConversion"/>
  </si>
  <si>
    <t>标准时间</t>
    <phoneticPr fontId="1" type="noConversion"/>
  </si>
  <si>
    <t>难度修正</t>
    <phoneticPr fontId="1" type="noConversion"/>
  </si>
  <si>
    <t>位置修正</t>
    <phoneticPr fontId="1" type="noConversion"/>
  </si>
  <si>
    <t>组织度修正</t>
    <phoneticPr fontId="1" type="noConversion"/>
  </si>
  <si>
    <t>预估中r战中损失率</t>
    <phoneticPr fontId="1" type="noConversion"/>
  </si>
  <si>
    <t>城墙回血时间间隔</t>
    <phoneticPr fontId="1" type="noConversion"/>
  </si>
  <si>
    <t>城防回复匹配攻城玩家数</t>
    <phoneticPr fontId="1" type="noConversion"/>
  </si>
  <si>
    <t>军团人数</t>
    <phoneticPr fontId="1" type="noConversion"/>
  </si>
  <si>
    <t>一次攻城总回复城防值</t>
    <phoneticPr fontId="1" type="noConversion"/>
  </si>
  <si>
    <t>回复/总城防</t>
    <phoneticPr fontId="1" type="noConversion"/>
  </si>
  <si>
    <t>每次回复城防值</t>
    <phoneticPr fontId="1" type="noConversion"/>
  </si>
  <si>
    <t>守军回复时间间隔</t>
    <phoneticPr fontId="1" type="noConversion"/>
  </si>
  <si>
    <t>一次性回满</t>
    <phoneticPr fontId="1" type="noConversion"/>
  </si>
  <si>
    <t>建筑类型</t>
    <phoneticPr fontId="1" type="noConversion"/>
  </si>
  <si>
    <t>建筑分区</t>
    <phoneticPr fontId="1" type="noConversion"/>
  </si>
  <si>
    <t>服务器天数</t>
    <phoneticPr fontId="1" type="noConversion"/>
  </si>
  <si>
    <t>难度天数</t>
    <phoneticPr fontId="1" type="noConversion"/>
  </si>
  <si>
    <t>进度阶段</t>
    <phoneticPr fontId="1" type="noConversion"/>
  </si>
  <si>
    <t>城防/回复/守军数调整系数</t>
    <phoneticPr fontId="1" type="noConversion"/>
  </si>
  <si>
    <t>城防回复</t>
    <phoneticPr fontId="1" type="noConversion"/>
  </si>
  <si>
    <t>NPC难度</t>
    <phoneticPr fontId="1" type="noConversion"/>
  </si>
  <si>
    <t>参考对象为默认所有玩家紧挨2*2城池攻打20分钟，引入位置修正等系数做最终难度设计</t>
    <phoneticPr fontId="1" type="noConversion"/>
  </si>
  <si>
    <t>天</t>
    <phoneticPr fontId="1" type="noConversion"/>
  </si>
  <si>
    <t>次</t>
    <phoneticPr fontId="1" type="noConversion"/>
  </si>
  <si>
    <t>比赛分组</t>
    <phoneticPr fontId="1" type="noConversion"/>
  </si>
  <si>
    <t>诸侯组</t>
    <phoneticPr fontId="1" type="noConversion"/>
  </si>
  <si>
    <t>将军组</t>
    <phoneticPr fontId="1" type="noConversion"/>
  </si>
  <si>
    <t>新兵组</t>
    <phoneticPr fontId="1" type="noConversion"/>
  </si>
  <si>
    <t>分组对应城防/回复/守军数调整系数</t>
    <phoneticPr fontId="1" type="noConversion"/>
  </si>
  <si>
    <t>单次比赛胜负奖</t>
    <phoneticPr fontId="1" type="noConversion"/>
  </si>
  <si>
    <t>奖励名次</t>
    <phoneticPr fontId="1" type="noConversion"/>
  </si>
  <si>
    <t>军团币</t>
    <phoneticPr fontId="1" type="noConversion"/>
  </si>
  <si>
    <t>奖励价值</t>
    <phoneticPr fontId="1" type="noConversion"/>
  </si>
  <si>
    <t>竞技币</t>
    <phoneticPr fontId="1" type="noConversion"/>
  </si>
  <si>
    <t>军团币</t>
    <phoneticPr fontId="1" type="noConversion"/>
  </si>
  <si>
    <t>国家币</t>
    <phoneticPr fontId="1" type="noConversion"/>
  </si>
  <si>
    <t>城防币</t>
    <phoneticPr fontId="1" type="noConversion"/>
  </si>
  <si>
    <t>黄金</t>
    <phoneticPr fontId="1" type="noConversion"/>
  </si>
  <si>
    <t>=</t>
    <phoneticPr fontId="1" type="noConversion"/>
  </si>
  <si>
    <t>单次比赛奖励对应数量</t>
    <phoneticPr fontId="1" type="noConversion"/>
  </si>
  <si>
    <t>天数对应玩家累计获得钻石</t>
    <phoneticPr fontId="1" type="noConversion"/>
  </si>
  <si>
    <t>非R</t>
  </si>
  <si>
    <t>小R</t>
  </si>
  <si>
    <t>中R</t>
  </si>
  <si>
    <t>大R</t>
  </si>
  <si>
    <t>超R</t>
  </si>
  <si>
    <t>对应玩家层次</t>
    <phoneticPr fontId="1" type="noConversion"/>
  </si>
  <si>
    <t>奖励名次上限</t>
    <phoneticPr fontId="1" type="noConversion"/>
  </si>
  <si>
    <t>奖励名次下限</t>
    <phoneticPr fontId="1" type="noConversion"/>
  </si>
  <si>
    <t>单次比赛极限产出征服点数量为</t>
    <phoneticPr fontId="1" type="noConversion"/>
  </si>
  <si>
    <t>单次产出耗时</t>
    <phoneticPr fontId="1" type="noConversion"/>
  </si>
  <si>
    <t>秒</t>
    <phoneticPr fontId="1" type="noConversion"/>
  </si>
  <si>
    <t>单次比赛总持续时长</t>
    <phoneticPr fontId="1" type="noConversion"/>
  </si>
  <si>
    <t>数量</t>
    <phoneticPr fontId="1" type="noConversion"/>
  </si>
  <si>
    <t>首占征服点</t>
    <phoneticPr fontId="1" type="noConversion"/>
  </si>
  <si>
    <t>单次产出征服点</t>
    <phoneticPr fontId="1" type="noConversion"/>
  </si>
  <si>
    <t>单次产出征服点优化值</t>
    <phoneticPr fontId="1" type="noConversion"/>
  </si>
  <si>
    <t>首占征服点优化值</t>
    <phoneticPr fontId="1" type="noConversion"/>
  </si>
  <si>
    <t>征服点产出设计</t>
    <phoneticPr fontId="1" type="noConversion"/>
  </si>
  <si>
    <t>设计思路：</t>
    <phoneticPr fontId="1" type="noConversion"/>
  </si>
  <si>
    <t>战略-进攻</t>
  </si>
  <si>
    <t>战略-防守</t>
  </si>
  <si>
    <t>战略-攻城</t>
  </si>
  <si>
    <t>战略-行军</t>
  </si>
  <si>
    <t>比赛开始时军团获取初始战略点，与军团等级相关，后续不再获取</t>
    <phoneticPr fontId="1" type="noConversion"/>
  </si>
  <si>
    <t>战略的开启受军团等级影响，有以下战略</t>
    <phoneticPr fontId="1" type="noConversion"/>
  </si>
  <si>
    <t>使用后</t>
    <phoneticPr fontId="1" type="noConversion"/>
  </si>
  <si>
    <t>冷却时间</t>
    <phoneticPr fontId="1" type="noConversion"/>
  </si>
  <si>
    <t>分钟</t>
    <phoneticPr fontId="1" type="noConversion"/>
  </si>
  <si>
    <t>分钟内，军团玩家进攻时士兵攻击提升</t>
    <phoneticPr fontId="1" type="noConversion"/>
  </si>
  <si>
    <t>分钟内，军团玩家士兵攻城值提升</t>
    <phoneticPr fontId="1" type="noConversion"/>
  </si>
  <si>
    <t>分钟内，军团玩家行军速度提升</t>
    <phoneticPr fontId="1" type="noConversion"/>
  </si>
  <si>
    <t>战损降低</t>
    <phoneticPr fontId="1" type="noConversion"/>
  </si>
  <si>
    <t>攻城值降低</t>
    <phoneticPr fontId="1" type="noConversion"/>
  </si>
  <si>
    <t>军团等级</t>
    <phoneticPr fontId="1" type="noConversion"/>
  </si>
  <si>
    <t>初始战略点</t>
    <phoneticPr fontId="1" type="noConversion"/>
  </si>
  <si>
    <t>进攻</t>
  </si>
  <si>
    <t>防守</t>
  </si>
  <si>
    <t>攻城</t>
  </si>
  <si>
    <t>行军</t>
  </si>
  <si>
    <t>战略</t>
    <phoneticPr fontId="1" type="noConversion"/>
  </si>
  <si>
    <t>使用消耗战略点</t>
    <phoneticPr fontId="1" type="noConversion"/>
  </si>
  <si>
    <t>buff价值1</t>
    <phoneticPr fontId="1" type="noConversion"/>
  </si>
  <si>
    <t>buff价值2</t>
    <phoneticPr fontId="1" type="noConversion"/>
  </si>
  <si>
    <t>分钟内，军团玩家驻守时士兵免伤提升</t>
    <phoneticPr fontId="1" type="noConversion"/>
  </si>
  <si>
    <t>价值调整系数1</t>
    <phoneticPr fontId="1" type="noConversion"/>
  </si>
  <si>
    <t>价值调整系数2</t>
  </si>
  <si>
    <t>战略价值1</t>
    <phoneticPr fontId="1" type="noConversion"/>
  </si>
  <si>
    <t>战略价值2</t>
  </si>
  <si>
    <t>比赛持续时长总计为</t>
    <phoneticPr fontId="1" type="noConversion"/>
  </si>
  <si>
    <t>战略总价值</t>
    <phoneticPr fontId="1" type="noConversion"/>
  </si>
  <si>
    <t>兵营容量</t>
  </si>
  <si>
    <t>单次招募上限</t>
  </si>
  <si>
    <t xml:space="preserve"> </t>
    <phoneticPr fontId="1" type="noConversion"/>
  </si>
  <si>
    <t>建筑等级</t>
    <phoneticPr fontId="1" type="noConversion"/>
  </si>
  <si>
    <t>招募数量/每小时</t>
    <phoneticPr fontId="1" type="noConversion"/>
  </si>
  <si>
    <t>时间累计值</t>
    <phoneticPr fontId="1" type="noConversion"/>
  </si>
  <si>
    <t>消耗黄金累计值</t>
    <phoneticPr fontId="1" type="noConversion"/>
  </si>
  <si>
    <t>玩家可以花费黄金秒招募或者治疗，随着消耗的时间不同，花费的黄金也不同，具体数量如下：</t>
    <phoneticPr fontId="1" type="noConversion"/>
  </si>
  <si>
    <t>单次招募黄金秒消耗</t>
    <phoneticPr fontId="1" type="noConversion"/>
  </si>
  <si>
    <t>奖励汇总</t>
    <phoneticPr fontId="1" type="noConversion"/>
  </si>
  <si>
    <t>定义等级</t>
    <phoneticPr fontId="1" type="noConversion"/>
  </si>
  <si>
    <t>战略开启等级</t>
    <phoneticPr fontId="1" type="noConversion"/>
  </si>
  <si>
    <t>兵营等级之和</t>
    <phoneticPr fontId="1" type="noConversion"/>
  </si>
  <si>
    <t>招募民兵数量</t>
    <phoneticPr fontId="1" type="noConversion"/>
  </si>
  <si>
    <t>具体开放由后台GM工具控制</t>
    <phoneticPr fontId="1" type="noConversion"/>
  </si>
  <si>
    <t>招募不消耗资源</t>
    <phoneticPr fontId="1" type="noConversion"/>
  </si>
  <si>
    <t>蜀北寨</t>
  </si>
  <si>
    <t>魏北寨</t>
  </si>
  <si>
    <t>蜀南寨</t>
  </si>
  <si>
    <t>魏南寨</t>
  </si>
  <si>
    <t>蜀边哨</t>
  </si>
  <si>
    <t>魏边哨</t>
  </si>
  <si>
    <t>蜀南堡</t>
  </si>
  <si>
    <t>魏南堡</t>
  </si>
  <si>
    <t>蜀小隘</t>
  </si>
  <si>
    <t>魏小隘</t>
  </si>
  <si>
    <t>西关</t>
  </si>
  <si>
    <t>东关</t>
  </si>
  <si>
    <t>南关</t>
  </si>
  <si>
    <t>北关</t>
  </si>
  <si>
    <t>崤城</t>
  </si>
  <si>
    <t>蜀隐藏道路</t>
  </si>
  <si>
    <t>魏隐藏道路</t>
  </si>
  <si>
    <t>功勋排名奖励</t>
    <phoneticPr fontId="1" type="noConversion"/>
  </si>
  <si>
    <t>蜀大营</t>
  </si>
  <si>
    <t>魏大营</t>
  </si>
  <si>
    <t>每个赛季非r层次总计获得奖励价值</t>
  </si>
  <si>
    <t>黄金</t>
  </si>
  <si>
    <t>实际奖励统计</t>
  </si>
  <si>
    <t>每个赛季超r层次总计获得奖励价值</t>
  </si>
  <si>
    <t>基础兵营医馆数据</t>
    <phoneticPr fontId="1" type="noConversion"/>
  </si>
  <si>
    <t>医馆容量</t>
  </si>
  <si>
    <t>单次治疗上限</t>
  </si>
  <si>
    <t>治疗数量/每小时</t>
    <phoneticPr fontId="1" type="noConversion"/>
  </si>
  <si>
    <t>其他规则：</t>
    <phoneticPr fontId="1" type="noConversion"/>
  </si>
  <si>
    <t>考虑到比赛中会高频率发生战斗，所以招募治疗相关相对于常规会有一定的提升</t>
    <phoneticPr fontId="1" type="noConversion"/>
  </si>
  <si>
    <t>随机橙色兵法碎片</t>
    <phoneticPr fontId="1" type="noConversion"/>
  </si>
  <si>
    <t>领奖条件：军团攻占一个关</t>
    <phoneticPr fontId="1" type="noConversion"/>
  </si>
  <si>
    <t>战斗不产生轻伤兵，所有重伤病计为死亡</t>
    <phoneticPr fontId="1" type="noConversion"/>
  </si>
  <si>
    <t>赛季军团奖励</t>
    <phoneticPr fontId="1" type="noConversion"/>
  </si>
  <si>
    <t>赛季军团排名奖励</t>
    <phoneticPr fontId="1" type="noConversion"/>
  </si>
  <si>
    <t>红色兵法宝箱</t>
    <phoneticPr fontId="1" type="noConversion"/>
  </si>
  <si>
    <t>一袋刀币</t>
    <phoneticPr fontId="1" type="noConversion"/>
  </si>
  <si>
    <t>一箱刀币</t>
    <phoneticPr fontId="1" type="noConversion"/>
  </si>
  <si>
    <t>军团争霸开启需要服务器</t>
  </si>
  <si>
    <t>军团争霸每个赛季持续</t>
  </si>
  <si>
    <t>军团争霸每个赛季会比赛</t>
  </si>
  <si>
    <t>兵家信物</t>
    <phoneticPr fontId="1" type="noConversion"/>
  </si>
  <si>
    <t>通用3小时加速令</t>
    <phoneticPr fontId="1" type="noConversion"/>
  </si>
  <si>
    <t>黄金</t>
    <phoneticPr fontId="1" type="noConversion"/>
  </si>
  <si>
    <t>建筑首占产出征服点占比</t>
    <phoneticPr fontId="1" type="noConversion"/>
  </si>
  <si>
    <t>建筑持续产出征服点占比</t>
    <phoneticPr fontId="1" type="noConversion"/>
  </si>
  <si>
    <t>双方均未攻破对方大营时，胜负由征服点多少进行判定</t>
    <phoneticPr fontId="1" type="noConversion"/>
  </si>
  <si>
    <t>被击飞限制迁城时间=</t>
    <phoneticPr fontId="1" type="noConversion"/>
  </si>
  <si>
    <t>秒</t>
    <phoneticPr fontId="1" type="noConversion"/>
  </si>
  <si>
    <t>迁城CD=</t>
    <phoneticPr fontId="1" type="noConversion"/>
  </si>
  <si>
    <t>重伤阈值</t>
    <phoneticPr fontId="1" type="noConversion"/>
  </si>
  <si>
    <t>轻伤比例</t>
    <phoneticPr fontId="1" type="noConversion"/>
  </si>
  <si>
    <t>不同开服天数的军团遇到的军团争霸难度是否是动态的</t>
    <phoneticPr fontId="1" type="noConversion"/>
  </si>
  <si>
    <t>通用1小时加速令</t>
    <phoneticPr fontId="1" type="noConversion"/>
  </si>
  <si>
    <t>杀敌产出占比</t>
    <phoneticPr fontId="1" type="noConversion"/>
  </si>
  <si>
    <t>攻打守军产出征服点</t>
    <phoneticPr fontId="1" type="noConversion"/>
  </si>
  <si>
    <t>中R单次杀敌死兵</t>
    <phoneticPr fontId="1" type="noConversion"/>
  </si>
  <si>
    <t>占领城池产出征服点</t>
    <phoneticPr fontId="1" type="noConversion"/>
  </si>
  <si>
    <t>摧毁城防值产出征服点</t>
    <phoneticPr fontId="1" type="noConversion"/>
  </si>
  <si>
    <t>军团每一个玩家进入争霸地图时奖励500征服点</t>
  </si>
  <si>
    <t>服务器天数</t>
  </si>
  <si>
    <t>产出征服点（每10000城防值）</t>
  </si>
  <si>
    <t>可攻打建筑总城防值</t>
  </si>
  <si>
    <t>极限产出征服点数</t>
    <phoneticPr fontId="1" type="noConversion"/>
  </si>
  <si>
    <t>可攻打士兵总数</t>
    <phoneticPr fontId="1" type="noConversion"/>
  </si>
  <si>
    <t>军团争霸城防队伍兵力</t>
    <phoneticPr fontId="1" type="noConversion"/>
  </si>
  <si>
    <t>军团争霸难度</t>
    <phoneticPr fontId="1" type="noConversion"/>
  </si>
  <si>
    <t>击杀玩家士兵产出征服点</t>
    <phoneticPr fontId="1" type="noConversion"/>
  </si>
  <si>
    <t>建筑首占产出征服点占比</t>
  </si>
  <si>
    <t>建筑持续产出征服点占比</t>
  </si>
  <si>
    <t>杀敌产出占比</t>
  </si>
  <si>
    <t>总产出征服点</t>
    <phoneticPr fontId="1" type="noConversion"/>
  </si>
  <si>
    <t>攻打守军产出占比</t>
    <phoneticPr fontId="1" type="noConversion"/>
  </si>
  <si>
    <t>摧毁城防值产出占比</t>
    <phoneticPr fontId="1" type="noConversion"/>
  </si>
  <si>
    <t>合计</t>
    <phoneticPr fontId="1" type="noConversion"/>
  </si>
  <si>
    <t>汇总</t>
    <phoneticPr fontId="1" type="noConversion"/>
  </si>
  <si>
    <t>极限产出征服点</t>
    <phoneticPr fontId="1" type="noConversion"/>
  </si>
  <si>
    <t>玩家层次</t>
    <phoneticPr fontId="1" type="noConversion"/>
  </si>
  <si>
    <t>摧毁城防值+击杀守军+击杀敌人</t>
    <phoneticPr fontId="1" type="noConversion"/>
  </si>
  <si>
    <t>摧毁城防值+击杀敌人</t>
    <phoneticPr fontId="1" type="noConversion"/>
  </si>
  <si>
    <t>行为预期</t>
    <phoneticPr fontId="1" type="noConversion"/>
  </si>
  <si>
    <t>产出征服点（每10000守军）</t>
    <phoneticPr fontId="1" type="noConversion"/>
  </si>
  <si>
    <t>产出征服点（每10000敌人）</t>
    <phoneticPr fontId="1" type="noConversion"/>
  </si>
  <si>
    <t>产出功勋（每10000城防值）</t>
    <phoneticPr fontId="1" type="noConversion"/>
  </si>
  <si>
    <t>产出功勋（每10000守军）</t>
    <phoneticPr fontId="1" type="noConversion"/>
  </si>
  <si>
    <t>产出功勋（每10000敌人）</t>
    <phoneticPr fontId="1" type="noConversion"/>
  </si>
  <si>
    <t>总摧毁城防值</t>
    <phoneticPr fontId="1" type="noConversion"/>
  </si>
  <si>
    <t>单个玩家摧毁城防值</t>
    <phoneticPr fontId="1" type="noConversion"/>
  </si>
  <si>
    <t>摧毁城防值/一次城战</t>
    <phoneticPr fontId="1" type="noConversion"/>
  </si>
  <si>
    <t>单人极限击杀敌人获得功勋</t>
    <phoneticPr fontId="1" type="noConversion"/>
  </si>
  <si>
    <t>单人极限击杀守军获得功勋</t>
    <phoneticPr fontId="1" type="noConversion"/>
  </si>
  <si>
    <t>单人极限摧毁城防值获得功勋</t>
    <phoneticPr fontId="1" type="noConversion"/>
  </si>
  <si>
    <t>玩家实力系数</t>
    <phoneticPr fontId="1" type="noConversion"/>
  </si>
  <si>
    <t>玩家占总人数比例</t>
    <phoneticPr fontId="1" type="noConversion"/>
  </si>
  <si>
    <t>功勋产出设计:产出功勋与产出征服点保持一致</t>
    <phoneticPr fontId="1" type="noConversion"/>
  </si>
  <si>
    <t>不同层次玩家在不同服务器天使预期极限获得的功勋数量</t>
    <phoneticPr fontId="1" type="noConversion"/>
  </si>
  <si>
    <t>宝物精华</t>
    <phoneticPr fontId="1" type="noConversion"/>
  </si>
  <si>
    <t>守军队伍数修正</t>
    <phoneticPr fontId="1" type="noConversion"/>
  </si>
  <si>
    <t>大R单次杀敌死兵</t>
    <phoneticPr fontId="1" type="noConversion"/>
  </si>
  <si>
    <t>超R单次杀敌死兵</t>
    <phoneticPr fontId="1" type="noConversion"/>
  </si>
  <si>
    <t>中R占比</t>
    <phoneticPr fontId="1" type="noConversion"/>
  </si>
  <si>
    <t>大R占比</t>
    <phoneticPr fontId="1" type="noConversion"/>
  </si>
  <si>
    <t>中R队伍数</t>
    <phoneticPr fontId="1" type="noConversion"/>
  </si>
  <si>
    <t>大R队伍数</t>
    <phoneticPr fontId="1" type="noConversion"/>
  </si>
  <si>
    <t>超R队伍数</t>
    <phoneticPr fontId="1" type="noConversion"/>
  </si>
  <si>
    <t>单人极限功勋值</t>
    <phoneticPr fontId="1" type="noConversion"/>
  </si>
  <si>
    <t>建筑首占</t>
    <phoneticPr fontId="1" type="noConversion"/>
  </si>
  <si>
    <t>建筑持续产出</t>
    <phoneticPr fontId="1" type="noConversion"/>
  </si>
  <si>
    <t>摧毁城防</t>
    <phoneticPr fontId="1" type="noConversion"/>
  </si>
  <si>
    <t>攻打守军</t>
    <phoneticPr fontId="1" type="noConversion"/>
  </si>
  <si>
    <t>杀敌产出</t>
    <phoneticPr fontId="1" type="noConversion"/>
  </si>
  <si>
    <t>天数对应军团人数</t>
    <phoneticPr fontId="1" type="noConversion"/>
  </si>
  <si>
    <t>写明来源，另外如果不同难度带兵不同，你应该怎么计算</t>
    <phoneticPr fontId="1" type="noConversion"/>
  </si>
  <si>
    <t>攻城</t>
    <phoneticPr fontId="1" type="noConversion"/>
  </si>
  <si>
    <t>打守军</t>
    <phoneticPr fontId="1" type="noConversion"/>
  </si>
  <si>
    <t>打玩家</t>
    <phoneticPr fontId="1" type="noConversion"/>
  </si>
  <si>
    <t>全体R</t>
    <phoneticPr fontId="1" type="noConversion"/>
  </si>
  <si>
    <t>小R、中R以上</t>
    <phoneticPr fontId="1" type="noConversion"/>
  </si>
  <si>
    <t>大R</t>
    <phoneticPr fontId="1" type="noConversion"/>
  </si>
  <si>
    <t>非r小r部分中r</t>
    <phoneticPr fontId="1" type="noConversion"/>
  </si>
  <si>
    <t>中r+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</si>
  <si>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</si>
  <si>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</si>
  <si>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</si>
  <si>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3队攻城</t>
    <phoneticPr fontId="1" type="noConversion"/>
  </si>
  <si>
    <t>5队攻城</t>
    <phoneticPr fontId="1" type="noConversion"/>
  </si>
  <si>
    <t>200W</t>
    <phoneticPr fontId="1" type="noConversion"/>
  </si>
  <si>
    <t>150W</t>
    <phoneticPr fontId="1" type="noConversion"/>
  </si>
  <si>
    <t>状态1</t>
    <phoneticPr fontId="1" type="noConversion"/>
  </si>
  <si>
    <t>状态2</t>
  </si>
  <si>
    <t>状态3</t>
  </si>
  <si>
    <t>10分钟</t>
    <phoneticPr fontId="1" type="noConversion"/>
  </si>
  <si>
    <t>20分钟</t>
    <phoneticPr fontId="1" type="noConversion"/>
  </si>
  <si>
    <t>30分钟</t>
  </si>
  <si>
    <t>40分钟</t>
  </si>
  <si>
    <t>50分钟</t>
  </si>
  <si>
    <t>60分钟</t>
  </si>
  <si>
    <t>攻城+打守军</t>
    <phoneticPr fontId="1" type="noConversion"/>
  </si>
  <si>
    <t>攻城+打守军+打玩家</t>
    <phoneticPr fontId="1" type="noConversion"/>
  </si>
  <si>
    <t>等待</t>
    <phoneticPr fontId="1" type="noConversion"/>
  </si>
  <si>
    <t>标准值计算</t>
    <phoneticPr fontId="1" type="noConversion"/>
  </si>
  <si>
    <t>极限值计算</t>
    <phoneticPr fontId="1" type="noConversion"/>
  </si>
  <si>
    <t>特殊状态验证计算</t>
    <phoneticPr fontId="1" type="noConversion"/>
  </si>
  <si>
    <t>1800*基础攻城值</t>
    <phoneticPr fontId="1" type="noConversion"/>
  </si>
  <si>
    <t>3600*基础攻城值</t>
    <phoneticPr fontId="1" type="noConversion"/>
  </si>
  <si>
    <t>时间</t>
    <phoneticPr fontId="1" type="noConversion"/>
  </si>
  <si>
    <t>玩家行为</t>
    <phoneticPr fontId="1" type="noConversion"/>
  </si>
  <si>
    <t>参与人数</t>
    <phoneticPr fontId="1" type="noConversion"/>
  </si>
  <si>
    <t>通常验证</t>
    <phoneticPr fontId="1" type="noConversion"/>
  </si>
  <si>
    <t>2.军团匹配：大V大，大V中，大V小，中V中，中V小，小V小</t>
    <phoneticPr fontId="1" type="noConversion"/>
  </si>
  <si>
    <t>3.玩家实力层次：超R、大R、中R、小R、非R</t>
    <phoneticPr fontId="1" type="noConversion"/>
  </si>
  <si>
    <t>4.玩家行为：攻城、打守军、打玩家、等待</t>
    <phoneticPr fontId="1" type="noConversion"/>
  </si>
  <si>
    <t>玩家行为成本和门槛分析（获得同数值的杀敌和摧毁城防值）</t>
    <phoneticPr fontId="1" type="noConversion"/>
  </si>
  <si>
    <t>征服点投放初步评估</t>
    <phoneticPr fontId="1" type="noConversion"/>
  </si>
  <si>
    <t>杀玩家&gt;杀守军&gt;攻打城防值</t>
    <phoneticPr fontId="1" type="noConversion"/>
  </si>
  <si>
    <t>不同层次玩家可能进行的行为</t>
    <phoneticPr fontId="1" type="noConversion"/>
  </si>
  <si>
    <t>杀玩家&gt;杀守军=攻打城防值</t>
    <phoneticPr fontId="1" type="noConversion"/>
  </si>
  <si>
    <t>设计思路</t>
    <phoneticPr fontId="1" type="noConversion"/>
  </si>
  <si>
    <t>1.双方均未攻破对方大营时，胜负由征服点多少进行判定</t>
    <phoneticPr fontId="1" type="noConversion"/>
  </si>
  <si>
    <t>2.单次比赛总持续时长：3600秒</t>
    <phoneticPr fontId="1" type="noConversion"/>
  </si>
  <si>
    <t>3.征服点的产出途径：占领建筑持续产出征服点，摧毁城防值，击杀守军和敌人，玩家进入地图奖励500征服点</t>
    <phoneticPr fontId="1" type="noConversion"/>
  </si>
  <si>
    <t>1.时间成本：</t>
    <phoneticPr fontId="1" type="noConversion"/>
  </si>
  <si>
    <t>2.操作成本：</t>
    <phoneticPr fontId="1" type="noConversion"/>
  </si>
  <si>
    <t>3.金钱成本：</t>
    <phoneticPr fontId="1" type="noConversion"/>
  </si>
  <si>
    <t>4.门槛：</t>
    <phoneticPr fontId="1" type="noConversion"/>
  </si>
  <si>
    <t>1.非R</t>
    <phoneticPr fontId="1" type="noConversion"/>
  </si>
  <si>
    <t>2.小R</t>
    <phoneticPr fontId="1" type="noConversion"/>
  </si>
  <si>
    <t>3.中R</t>
    <phoneticPr fontId="1" type="noConversion"/>
  </si>
  <si>
    <t>4.大R</t>
    <phoneticPr fontId="1" type="noConversion"/>
  </si>
  <si>
    <t>5.超R</t>
    <phoneticPr fontId="1" type="noConversion"/>
  </si>
  <si>
    <t>预期通过征服点驱动玩家进行的行为</t>
    <phoneticPr fontId="1" type="noConversion"/>
  </si>
  <si>
    <t>攻打城防值</t>
    <phoneticPr fontId="1" type="noConversion"/>
  </si>
  <si>
    <t>杀守军、攻打城防值</t>
    <phoneticPr fontId="1" type="noConversion"/>
  </si>
  <si>
    <t>杀敌、杀守军、攻打城防值</t>
    <phoneticPr fontId="1" type="noConversion"/>
  </si>
  <si>
    <t>5.军团特殊行为：来回拉扯建筑城防值和守军、最后几分钟才攻打对方大营以获得更高征服点</t>
    <phoneticPr fontId="1" type="noConversion"/>
  </si>
  <si>
    <t>标准计算</t>
    <phoneticPr fontId="1" type="noConversion"/>
  </si>
  <si>
    <t>极限计算</t>
    <phoneticPr fontId="1" type="noConversion"/>
  </si>
  <si>
    <t>特殊情况计算</t>
    <phoneticPr fontId="1" type="noConversion"/>
  </si>
  <si>
    <t>攻城单次摧毁城防值</t>
    <phoneticPr fontId="1" type="noConversion"/>
  </si>
  <si>
    <t>攻打守军单次杀敌</t>
    <phoneticPr fontId="1" type="noConversion"/>
  </si>
  <si>
    <t>攻打非R单次杀敌</t>
    <phoneticPr fontId="1" type="noConversion"/>
  </si>
  <si>
    <t>攻打小R单次杀敌</t>
    <phoneticPr fontId="1" type="noConversion"/>
  </si>
  <si>
    <t>攻打中R单次杀敌</t>
    <phoneticPr fontId="1" type="noConversion"/>
  </si>
  <si>
    <t>攻打大R单次杀敌</t>
    <phoneticPr fontId="1" type="noConversion"/>
  </si>
  <si>
    <t>攻打超R单次杀敌</t>
    <phoneticPr fontId="1" type="noConversion"/>
  </si>
  <si>
    <t>大团</t>
    <phoneticPr fontId="1" type="noConversion"/>
  </si>
  <si>
    <t>1.军团实力层次：大团120人、标准人数军团、小团10人</t>
    <phoneticPr fontId="1" type="noConversion"/>
  </si>
  <si>
    <t>影响对局的重要因素</t>
    <phoneticPr fontId="1" type="noConversion"/>
  </si>
  <si>
    <t>120人大团</t>
    <phoneticPr fontId="1" type="noConversion"/>
  </si>
  <si>
    <t>标准人数军团</t>
    <phoneticPr fontId="1" type="noConversion"/>
  </si>
  <si>
    <t>50人小团</t>
    <phoneticPr fontId="1" type="noConversion"/>
  </si>
  <si>
    <t>单次时间</t>
    <phoneticPr fontId="1" type="noConversion"/>
  </si>
  <si>
    <t>标准团</t>
    <phoneticPr fontId="1" type="noConversion"/>
  </si>
  <si>
    <t>小团</t>
    <phoneticPr fontId="1" type="noConversion"/>
  </si>
  <si>
    <t>征服点</t>
    <phoneticPr fontId="1" type="noConversion"/>
  </si>
  <si>
    <t>攻打守军时间</t>
    <phoneticPr fontId="1" type="noConversion"/>
  </si>
  <si>
    <t>行为</t>
    <phoneticPr fontId="1" type="noConversion"/>
  </si>
  <si>
    <t>标准团打标准团</t>
    <phoneticPr fontId="1" type="noConversion"/>
  </si>
  <si>
    <t>大团打大团</t>
    <phoneticPr fontId="1" type="noConversion"/>
  </si>
  <si>
    <t>小团打小团</t>
    <phoneticPr fontId="1" type="noConversion"/>
  </si>
  <si>
    <t>大团打小团</t>
    <phoneticPr fontId="1" type="noConversion"/>
  </si>
  <si>
    <t>情况预估</t>
    <phoneticPr fontId="1" type="noConversion"/>
  </si>
  <si>
    <t>攻打城防值时间</t>
    <phoneticPr fontId="1" type="noConversion"/>
  </si>
  <si>
    <t>攻打玩家时间</t>
    <phoneticPr fontId="1" type="noConversion"/>
  </si>
  <si>
    <t>标准情况</t>
    <phoneticPr fontId="1" type="noConversion"/>
  </si>
  <si>
    <t>首占征服点</t>
  </si>
  <si>
    <t>单次产出征服点</t>
  </si>
  <si>
    <t>战斗产出征服点</t>
    <phoneticPr fontId="1" type="noConversion"/>
  </si>
  <si>
    <t>城池产出征服点</t>
    <phoneticPr fontId="1" type="noConversion"/>
  </si>
  <si>
    <t>战斗情况预估</t>
    <phoneticPr fontId="1" type="noConversion"/>
  </si>
  <si>
    <t>击杀守军</t>
    <phoneticPr fontId="1" type="noConversion"/>
  </si>
  <si>
    <t>击杀玩家</t>
    <phoneticPr fontId="1" type="noConversion"/>
  </si>
  <si>
    <t>摧毁城防值征服点</t>
    <phoneticPr fontId="1" type="noConversion"/>
  </si>
  <si>
    <t>击杀守军征服点</t>
    <phoneticPr fontId="1" type="noConversion"/>
  </si>
  <si>
    <t>击杀玩家征服点</t>
    <phoneticPr fontId="1" type="noConversion"/>
  </si>
  <si>
    <t>杀守军、攻打城防值、挂机</t>
    <phoneticPr fontId="1" type="noConversion"/>
  </si>
  <si>
    <t>杀敌、杀守军、攻打城防值、挂机</t>
    <phoneticPr fontId="1" type="noConversion"/>
  </si>
  <si>
    <t>攻打玩家有效时间占比</t>
    <phoneticPr fontId="1" type="noConversion"/>
  </si>
  <si>
    <t>找非R打架</t>
    <phoneticPr fontId="1" type="noConversion"/>
  </si>
  <si>
    <t>找非、小R打架</t>
    <phoneticPr fontId="1" type="noConversion"/>
  </si>
  <si>
    <t>找非、小、中R打架</t>
    <phoneticPr fontId="1" type="noConversion"/>
  </si>
  <si>
    <t>找非、小、中、大R打架</t>
    <phoneticPr fontId="1" type="noConversion"/>
  </si>
  <si>
    <t>见人就打</t>
    <phoneticPr fontId="1" type="noConversion"/>
  </si>
  <si>
    <t>玩家乘次</t>
    <phoneticPr fontId="1" type="noConversion"/>
  </si>
  <si>
    <t>每个玩家获得征服点预期</t>
    <phoneticPr fontId="1" type="noConversion"/>
  </si>
  <si>
    <t>非R累计征服点</t>
  </si>
  <si>
    <t>小R累计征服点</t>
  </si>
  <si>
    <t>中R累计征服点</t>
  </si>
  <si>
    <t>大R累计征服点</t>
  </si>
  <si>
    <t>超R累计征服点</t>
  </si>
  <si>
    <t>战斗总征服点</t>
    <phoneticPr fontId="1" type="noConversion"/>
  </si>
  <si>
    <t>城防值</t>
    <phoneticPr fontId="1" type="noConversion"/>
  </si>
  <si>
    <t>征服点产出</t>
    <phoneticPr fontId="1" type="noConversion"/>
  </si>
  <si>
    <t>城防产出%</t>
    <phoneticPr fontId="1" type="noConversion"/>
  </si>
  <si>
    <t>守军产出%</t>
    <phoneticPr fontId="1" type="noConversion"/>
  </si>
  <si>
    <t>玩家产出%</t>
    <phoneticPr fontId="1" type="noConversion"/>
  </si>
  <si>
    <t>一次攻城耗时预估</t>
    <phoneticPr fontId="1" type="noConversion"/>
  </si>
  <si>
    <t>大团一路平推</t>
    <phoneticPr fontId="1" type="noConversion"/>
  </si>
  <si>
    <t>大团拉扯刷分</t>
    <phoneticPr fontId="1" type="noConversion"/>
  </si>
  <si>
    <t>战斗伤害、人数、单次攻城耗时预估</t>
    <phoneticPr fontId="1" type="noConversion"/>
  </si>
  <si>
    <t>大、超征服点获取初步预期</t>
    <phoneticPr fontId="1" type="noConversion"/>
  </si>
  <si>
    <t>势均力敌</t>
    <phoneticPr fontId="1" type="noConversion"/>
  </si>
  <si>
    <t>建筑产出征服点</t>
    <phoneticPr fontId="1" type="noConversion"/>
  </si>
  <si>
    <t>占总征服点比例</t>
    <phoneticPr fontId="1" type="noConversion"/>
  </si>
  <si>
    <t>大团征服点产出</t>
    <phoneticPr fontId="1" type="noConversion"/>
  </si>
  <si>
    <t>一路平推</t>
    <phoneticPr fontId="1" type="noConversion"/>
  </si>
  <si>
    <t>大团打小团，大团一路平推</t>
    <phoneticPr fontId="1" type="noConversion"/>
  </si>
  <si>
    <t>大团打小团，大团拉扯城防值和守军刷分</t>
    <phoneticPr fontId="1" type="noConversion"/>
  </si>
  <si>
    <t>拉扯刷分</t>
    <phoneticPr fontId="1" type="noConversion"/>
  </si>
  <si>
    <t>攻打城守军</t>
    <phoneticPr fontId="1" type="noConversion"/>
  </si>
  <si>
    <t>攻打城玩家</t>
    <phoneticPr fontId="1" type="noConversion"/>
  </si>
  <si>
    <t>总征服点</t>
    <phoneticPr fontId="1" type="noConversion"/>
  </si>
  <si>
    <t>杀玩家：杀守军：攻打城防值=1：1：1</t>
    <phoneticPr fontId="1" type="noConversion"/>
  </si>
  <si>
    <t>标准军团打标准军团</t>
    <phoneticPr fontId="1" type="noConversion"/>
  </si>
  <si>
    <t>大团和小团商量好，极限拉扯城防值和守军、极限时间摧毁大营</t>
    <phoneticPr fontId="1" type="noConversion"/>
  </si>
  <si>
    <t>每10000</t>
    <phoneticPr fontId="1" type="noConversion"/>
  </si>
  <si>
    <t>群星碎片</t>
    <phoneticPr fontId="1" type="noConversion"/>
  </si>
  <si>
    <t>定义等级</t>
    <phoneticPr fontId="1" type="noConversion"/>
  </si>
  <si>
    <t>1、军团争霸开启所需服务器天数=</t>
    <phoneticPr fontId="1" type="noConversion"/>
  </si>
  <si>
    <t>比赛阶段</t>
    <phoneticPr fontId="1" type="noConversion"/>
  </si>
  <si>
    <t>每月场次</t>
    <phoneticPr fontId="1" type="noConversion"/>
  </si>
  <si>
    <t>循环赛</t>
    <phoneticPr fontId="1" type="noConversion"/>
  </si>
  <si>
    <t>淘汰赛</t>
    <phoneticPr fontId="1" type="noConversion"/>
  </si>
  <si>
    <t>2、军团争霸调整为每月开放，每月前3周为循环赛，最后一周为淘汰赛</t>
    <phoneticPr fontId="1" type="noConversion"/>
  </si>
  <si>
    <t>3、循环赛一共6场，最终排名前4的军团进入淘汰赛随机匹配进行半决赛和决赛的争夺</t>
    <phoneticPr fontId="1" type="noConversion"/>
  </si>
  <si>
    <t>循环赛场次</t>
    <phoneticPr fontId="1" type="noConversion"/>
  </si>
  <si>
    <t>淘汰赛场次</t>
    <phoneticPr fontId="1" type="noConversion"/>
  </si>
  <si>
    <t>定义等级对应群星碎片获取数量</t>
    <phoneticPr fontId="1" type="noConversion"/>
  </si>
  <si>
    <t>定义等级对应星宫碎片获取数量</t>
    <phoneticPr fontId="1" type="noConversion"/>
  </si>
  <si>
    <t>每场比赛对应功勋排名奖励</t>
    <phoneticPr fontId="1" type="noConversion"/>
  </si>
  <si>
    <t>物品</t>
    <phoneticPr fontId="1" type="noConversion"/>
  </si>
  <si>
    <t>星宫碎片</t>
    <phoneticPr fontId="1" type="noConversion"/>
  </si>
  <si>
    <t>刷新周期</t>
    <phoneticPr fontId="1" type="noConversion"/>
  </si>
  <si>
    <t>每周</t>
    <phoneticPr fontId="1" type="noConversion"/>
  </si>
  <si>
    <t>兑换次数</t>
    <phoneticPr fontId="1" type="noConversion"/>
  </si>
  <si>
    <t>数量/次</t>
    <phoneticPr fontId="1" type="noConversion"/>
  </si>
  <si>
    <t>道具总价值</t>
    <phoneticPr fontId="1" type="noConversion"/>
  </si>
  <si>
    <t>折扣率</t>
    <phoneticPr fontId="1" type="noConversion"/>
  </si>
  <si>
    <t>4、货币价值</t>
    <phoneticPr fontId="1" type="noConversion"/>
  </si>
  <si>
    <t>=</t>
    <phoneticPr fontId="1" type="noConversion"/>
  </si>
  <si>
    <t>钻</t>
    <phoneticPr fontId="1" type="noConversion"/>
  </si>
  <si>
    <t>争霸币</t>
    <phoneticPr fontId="1" type="noConversion"/>
  </si>
  <si>
    <t>争霸币</t>
    <phoneticPr fontId="1" type="noConversion"/>
  </si>
  <si>
    <t>红色阵法自选宝箱</t>
    <phoneticPr fontId="1" type="noConversion"/>
  </si>
  <si>
    <t>红色阵法自选宝箱</t>
    <phoneticPr fontId="1" type="noConversion"/>
  </si>
  <si>
    <t>道具</t>
    <phoneticPr fontId="1" type="noConversion"/>
  </si>
  <si>
    <t>数量</t>
    <phoneticPr fontId="1" type="noConversion"/>
  </si>
  <si>
    <t>价值</t>
    <phoneticPr fontId="1" type="noConversion"/>
  </si>
  <si>
    <t>指定红色阵法碎片</t>
  </si>
  <si>
    <t>指定红色阵法碎片</t>
    <phoneticPr fontId="1" type="noConversion"/>
  </si>
  <si>
    <t>阵意</t>
    <phoneticPr fontId="1" type="noConversion"/>
  </si>
  <si>
    <t>阵法心得</t>
    <phoneticPr fontId="1" type="noConversion"/>
  </si>
  <si>
    <t>星宫碎片</t>
    <phoneticPr fontId="1" type="noConversion"/>
  </si>
  <si>
    <t>群星碎片</t>
    <phoneticPr fontId="1" type="noConversion"/>
  </si>
  <si>
    <t>争霸币产销关系</t>
    <phoneticPr fontId="1" type="noConversion"/>
  </si>
  <si>
    <t>产出</t>
    <phoneticPr fontId="1" type="noConversion"/>
  </si>
  <si>
    <t>定义等级对应玩家累计获得争霸币</t>
    <phoneticPr fontId="1" type="noConversion"/>
  </si>
  <si>
    <t>定义等级对应玩家累计获得争霸币数量</t>
    <phoneticPr fontId="1" type="noConversion"/>
  </si>
  <si>
    <t>单局胜负</t>
    <phoneticPr fontId="1" type="noConversion"/>
  </si>
  <si>
    <t>非r占比</t>
    <phoneticPr fontId="1" type="noConversion"/>
  </si>
  <si>
    <t>军团排名</t>
    <phoneticPr fontId="1" type="noConversion"/>
  </si>
  <si>
    <t>单局功勋</t>
    <phoneticPr fontId="1" type="noConversion"/>
  </si>
  <si>
    <t>中r占比</t>
    <phoneticPr fontId="1" type="noConversion"/>
  </si>
  <si>
    <t>超r占比</t>
    <phoneticPr fontId="1" type="noConversion"/>
  </si>
  <si>
    <t>随机橙色阵法碎片</t>
    <phoneticPr fontId="1" type="noConversion"/>
  </si>
  <si>
    <t>消耗</t>
    <phoneticPr fontId="1" type="noConversion"/>
  </si>
  <si>
    <t>消耗争霸币数量/次</t>
    <phoneticPr fontId="1" type="noConversion"/>
  </si>
  <si>
    <t>价值空间</t>
    <phoneticPr fontId="1" type="noConversion"/>
  </si>
  <si>
    <t>产销比</t>
    <phoneticPr fontId="1" type="noConversion"/>
  </si>
  <si>
    <t>每周</t>
    <phoneticPr fontId="1" type="noConversion"/>
  </si>
  <si>
    <t>兑换情况</t>
    <phoneticPr fontId="1" type="noConversion"/>
  </si>
  <si>
    <t>玩法开放天数=</t>
    <phoneticPr fontId="1" type="noConversion"/>
  </si>
  <si>
    <t>群星碎片</t>
  </si>
  <si>
    <t>星宫碎片</t>
  </si>
  <si>
    <t>4级阵旗</t>
    <phoneticPr fontId="1" type="noConversion"/>
  </si>
  <si>
    <t>星宫1小时加速令</t>
    <phoneticPr fontId="1" type="noConversion"/>
  </si>
  <si>
    <t>星宫20分钟加速令</t>
    <phoneticPr fontId="1" type="noConversion"/>
  </si>
  <si>
    <t>星宫加速时间投放</t>
    <phoneticPr fontId="1" type="noConversion"/>
  </si>
  <si>
    <t>非r占比</t>
  </si>
  <si>
    <t>定义等级对应玩家累计获得星宫加速时间</t>
    <phoneticPr fontId="1" type="noConversion"/>
  </si>
  <si>
    <t>定义等级对应玩家累计获得星宫加速时间</t>
    <phoneticPr fontId="1" type="noConversion"/>
  </si>
  <si>
    <t>星宫加速时间</t>
    <phoneticPr fontId="1" type="noConversion"/>
  </si>
  <si>
    <t>星宫时间</t>
    <phoneticPr fontId="1" type="noConversion"/>
  </si>
  <si>
    <t>定义等级对应玩家累计获得星宫时间</t>
    <phoneticPr fontId="1" type="noConversion"/>
  </si>
  <si>
    <t>非r</t>
    <phoneticPr fontId="1" type="noConversion"/>
  </si>
  <si>
    <t>单场战斗</t>
    <phoneticPr fontId="1" type="noConversion"/>
  </si>
  <si>
    <t>赛季排名</t>
    <phoneticPr fontId="1" type="noConversion"/>
  </si>
  <si>
    <t>单场功勋</t>
    <phoneticPr fontId="1" type="noConversion"/>
  </si>
  <si>
    <t>中r</t>
    <phoneticPr fontId="1" type="noConversion"/>
  </si>
  <si>
    <t>超r</t>
    <phoneticPr fontId="1" type="noConversion"/>
  </si>
  <si>
    <t>定义等级对应星宫加速时间</t>
    <phoneticPr fontId="1" type="noConversion"/>
  </si>
  <si>
    <t>军团争霸战斗</t>
    <phoneticPr fontId="1" type="noConversion"/>
  </si>
  <si>
    <t>商店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</si>
  <si>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</si>
  <si>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</si>
  <si>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</si>
  <si>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</si>
  <si>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</si>
  <si>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行为判定</t>
    <phoneticPr fontId="1" type="noConversion"/>
  </si>
  <si>
    <t>征服点来源</t>
    <phoneticPr fontId="1" type="noConversion"/>
  </si>
  <si>
    <t>攻打城池/玩家城防值</t>
    <phoneticPr fontId="1" type="noConversion"/>
  </si>
  <si>
    <t>攻打城池/玩家守军</t>
    <phoneticPr fontId="1" type="noConversion"/>
  </si>
  <si>
    <t>打城防、打守军、首占城池、城池自动增长</t>
    <phoneticPr fontId="1" type="noConversion"/>
  </si>
  <si>
    <t>战斗时长（秒）/局</t>
    <phoneticPr fontId="1" type="noConversion"/>
  </si>
  <si>
    <t>攻城时间/单次出征</t>
    <phoneticPr fontId="1" type="noConversion"/>
  </si>
  <si>
    <t>玩法开启天数</t>
    <phoneticPr fontId="1" type="noConversion"/>
  </si>
  <si>
    <t>玩法机制允许玩家不间断反复刷</t>
    <phoneticPr fontId="1" type="noConversion"/>
  </si>
  <si>
    <t>攻城伤害/单场比赛</t>
    <phoneticPr fontId="1" type="noConversion"/>
  </si>
  <si>
    <t>进攻守军/单场比赛</t>
    <phoneticPr fontId="1" type="noConversion"/>
  </si>
  <si>
    <t>定义等级对应攻方部队实际战损率</t>
    <phoneticPr fontId="1" type="noConversion"/>
  </si>
  <si>
    <t>定义等级对应守方部队实际战损率</t>
    <phoneticPr fontId="1" type="noConversion"/>
  </si>
  <si>
    <t>单次出征时间</t>
    <phoneticPr fontId="1" type="noConversion"/>
  </si>
  <si>
    <t>进攻守军时间/单次出征</t>
    <phoneticPr fontId="1" type="noConversion"/>
  </si>
  <si>
    <t>玩家队伍数量</t>
    <phoneticPr fontId="1" type="noConversion"/>
  </si>
  <si>
    <t>积分获得</t>
    <phoneticPr fontId="1" type="noConversion"/>
  </si>
  <si>
    <t>击杀值</t>
    <phoneticPr fontId="1" type="noConversion"/>
  </si>
  <si>
    <t>积分</t>
    <phoneticPr fontId="1" type="noConversion"/>
  </si>
  <si>
    <t>开服天数</t>
    <phoneticPr fontId="1" type="noConversion"/>
  </si>
  <si>
    <t>打城防</t>
    <phoneticPr fontId="1" type="noConversion"/>
  </si>
  <si>
    <t>打守军</t>
    <phoneticPr fontId="1" type="noConversion"/>
  </si>
  <si>
    <t>定义等级对应单轮单玩家城防伤害获得积分</t>
    <phoneticPr fontId="1" type="noConversion"/>
  </si>
  <si>
    <t>定义等级对应单轮单玩家击杀守军获得积分</t>
    <phoneticPr fontId="1" type="noConversion"/>
  </si>
  <si>
    <t>定义等级对应单轮单玩家获得积分</t>
    <phoneticPr fontId="1" type="noConversion"/>
  </si>
  <si>
    <t>定义等级对应单轮单玩家预估造成城防伤害</t>
    <phoneticPr fontId="1" type="noConversion"/>
  </si>
  <si>
    <t>定义等级对应单轮单玩家预估杀守军</t>
    <phoneticPr fontId="1" type="noConversion"/>
  </si>
  <si>
    <t>定义等级对应击杀守军获得积分占比</t>
    <phoneticPr fontId="1" type="noConversion"/>
  </si>
  <si>
    <t>140指定武将碎片</t>
  </si>
  <si>
    <t>军团争霸实际战损=</t>
    <phoneticPr fontId="1" type="noConversion"/>
  </si>
  <si>
    <t>领奖所需功勋条件值</t>
    <phoneticPr fontId="1" type="noConversion"/>
  </si>
  <si>
    <t>领奖条件：功勋达到200分</t>
    <phoneticPr fontId="1" type="noConversion"/>
  </si>
  <si>
    <t>巅峰排名奖励</t>
    <phoneticPr fontId="1" type="noConversion"/>
  </si>
  <si>
    <t>排名上限</t>
    <phoneticPr fontId="1" type="noConversion"/>
  </si>
  <si>
    <t>排名下限</t>
    <phoneticPr fontId="1" type="noConversion"/>
  </si>
  <si>
    <t>一箱刀币</t>
  </si>
  <si>
    <t>星宫加速时间</t>
  </si>
  <si>
    <t>争霸币</t>
  </si>
  <si>
    <t>军团积分奖励</t>
    <phoneticPr fontId="1" type="noConversion"/>
  </si>
  <si>
    <t>非r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</si>
</sst>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_);[Red]\(0\)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9"/>
      <color theme="0" tint="-0.249977111117893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等线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>
      <alignment vertical="center"/>
    </xf>
  </cellStyleXfs>
  <cellXfs count="7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3" borderId="0" xfId="0" applyFont="1" applyFill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 wrapText="1"/>
    </xf>
    <xf numFmtId="0" fontId="7" fillId="4" borderId="0" xfId="0" applyFont="1" applyFill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right" vertical="center"/>
    </xf>
    <xf numFmtId="0" fontId="4" fillId="2" borderId="0" xfId="0" applyFont="1" applyFill="1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shrinkToFit="1"/>
    </xf>
    <xf numFmtId="0" fontId="4" fillId="0" borderId="0" xfId="0" applyFont="1" applyAlignment="1">
      <alignment shrinkToFit="1"/>
    </xf>
    <xf numFmtId="0" fontId="4" fillId="0" borderId="0" xfId="0" applyFont="1" applyAlignment="1">
      <alignment horizontal="left" shrinkToFit="1"/>
    </xf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9" fontId="4" fillId="0" borderId="1" xfId="0" applyNumberFormat="1" applyFont="1" applyBorder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5" borderId="0" xfId="0" applyFont="1" applyFill="1" applyAlignment="1">
      <alignment horizontal="center" vertical="center"/>
    </xf>
    <xf numFmtId="9" fontId="4" fillId="0" borderId="0" xfId="0" applyNumberFormat="1" applyFont="1"/>
    <xf numFmtId="9" fontId="4" fillId="0" borderId="0" xfId="1" applyFont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9" fontId="4" fillId="7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9" fontId="4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4" fillId="9" borderId="1" xfId="0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9" fontId="4" fillId="6" borderId="1" xfId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9" fontId="4" fillId="0" borderId="0" xfId="1" applyFont="1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/>
    <xf numFmtId="9" fontId="5" fillId="0" borderId="0" xfId="0" applyNumberFormat="1" applyFont="1"/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32463;&#27982;&#34920;.xlsm" TargetMode="External"/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27494;&#23558;.xlsm" TargetMode="External"/><Relationship Id="rId1" Type="http://schemas.openxmlformats.org/officeDocument/2006/relationships/externalLinkPath" Target="&#27494;&#2355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J104">
            <v>3.4999999999999978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J105">
            <v>3.4999999999999978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J106">
            <v>3.4999999999999978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J107">
            <v>3.4999999999999978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J108">
            <v>3.4999999999999978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J109">
            <v>3.4999999999999978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J110">
            <v>3.4999999999999978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J111">
            <v>3.4999999999999978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J112">
            <v>3.4999999999999978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J113">
            <v>3.4999999999999978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J114">
            <v>3.4999999999999978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J115">
            <v>3.4999999999999978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J116">
            <v>3.4999999999999978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J117">
            <v>3.4999999999999978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J118">
            <v>3.4999999999999978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J119">
            <v>3.4999999999999978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J120">
            <v>3.4999999999999978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J121">
            <v>3.4999999999999978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J122">
            <v>3.4999999999999978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J123">
            <v>3.4999999999999978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J124">
            <v>3.4999999999999978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J125">
            <v>3.4999999999999978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J126">
            <v>3.4999999999999978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J127">
            <v>3.4999999999999978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J128">
            <v>3.4999999999999978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J129">
            <v>3.4999999999999978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J130">
            <v>3.4999999999999978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J131">
            <v>3.4999999999999978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J132">
            <v>3.4999999999999978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J133">
            <v>3.4999999999999978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J134">
            <v>3.4999999999999978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J135">
            <v>3.4999999999999978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J136">
            <v>3.4999999999999978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J137">
            <v>3.4999999999999978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J138">
            <v>3.4999999999999978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J139">
            <v>3.4999999999999978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J140">
            <v>3.4999999999999978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J141">
            <v>3.4999999999999978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J142">
            <v>3.4999999999999978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J143">
            <v>3.4999999999999978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J144">
            <v>3.4999999999999978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J145">
            <v>3.4999999999999978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J146">
            <v>3.4999999999999978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J147">
            <v>3.4999999999999978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J148">
            <v>3.4999999999999978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J149">
            <v>3.4999999999999978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J150">
            <v>3.4999999999999978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J151">
            <v>3.4999999999999978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J152">
            <v>3.4999999999999978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J153">
            <v>3.4999999999999978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J154">
            <v>3.4999999999999978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J155">
            <v>3.4999999999999978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J156">
            <v>3.4999999999999978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J157">
            <v>3.4999999999999978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J158">
            <v>3.4999999999999978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J159">
            <v>3.4999999999999978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J160">
            <v>3.4999999999999978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J161">
            <v>3.4999999999999978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J162">
            <v>3.4999999999999978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J163">
            <v>3.4999999999999978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2">
          <cell r="I22">
            <v>0.2</v>
          </cell>
        </row>
        <row r="23">
          <cell r="I23">
            <v>0.1</v>
          </cell>
        </row>
        <row r="24">
          <cell r="I24">
            <v>0.1</v>
          </cell>
        </row>
        <row r="25">
          <cell r="I25">
            <v>0.1</v>
          </cell>
        </row>
        <row r="26">
          <cell r="I26">
            <v>100</v>
          </cell>
        </row>
        <row r="27">
          <cell r="I27">
            <v>1</v>
          </cell>
        </row>
      </sheetData>
      <sheetData sheetId="12"/>
      <sheetData sheetId="13"/>
      <sheetData sheetId="14"/>
      <sheetData sheetId="15"/>
      <sheetData sheetId="16"/>
      <sheetData sheetId="17">
        <row r="6">
          <cell r="U6">
            <v>124496.71131844865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2">
          <cell r="D2">
            <v>0.5</v>
          </cell>
        </row>
        <row r="11">
          <cell r="M11">
            <v>0.125</v>
          </cell>
          <cell r="N11">
            <v>0.125</v>
          </cell>
          <cell r="O11">
            <v>0.125</v>
          </cell>
          <cell r="P11">
            <v>0.125</v>
          </cell>
          <cell r="Q11">
            <v>0.125</v>
          </cell>
        </row>
        <row r="12">
          <cell r="M12">
            <v>0.125</v>
          </cell>
          <cell r="N12">
            <v>0.125</v>
          </cell>
          <cell r="O12">
            <v>0.125</v>
          </cell>
          <cell r="P12">
            <v>0.125</v>
          </cell>
          <cell r="Q12">
            <v>0.125</v>
          </cell>
        </row>
        <row r="13">
          <cell r="M13">
            <v>0.125</v>
          </cell>
          <cell r="N13">
            <v>0.125</v>
          </cell>
          <cell r="O13">
            <v>0.125</v>
          </cell>
          <cell r="P13">
            <v>0.125</v>
          </cell>
          <cell r="Q13">
            <v>0.125</v>
          </cell>
        </row>
        <row r="14">
          <cell r="M14">
            <v>0.125</v>
          </cell>
          <cell r="N14">
            <v>0.125</v>
          </cell>
          <cell r="O14">
            <v>0.125</v>
          </cell>
          <cell r="P14">
            <v>0.125</v>
          </cell>
          <cell r="Q14">
            <v>0.125</v>
          </cell>
        </row>
        <row r="15">
          <cell r="M15">
            <v>0.125</v>
          </cell>
          <cell r="N15">
            <v>0.125</v>
          </cell>
          <cell r="O15">
            <v>0.125</v>
          </cell>
          <cell r="P15">
            <v>0.125</v>
          </cell>
          <cell r="Q15">
            <v>0.125</v>
          </cell>
        </row>
        <row r="16">
          <cell r="M16">
            <v>0.125</v>
          </cell>
          <cell r="N16">
            <v>0.125</v>
          </cell>
          <cell r="O16">
            <v>0.125</v>
          </cell>
          <cell r="P16">
            <v>0.125</v>
          </cell>
          <cell r="Q16">
            <v>0.125</v>
          </cell>
        </row>
        <row r="17">
          <cell r="M17">
            <v>0.125</v>
          </cell>
          <cell r="N17">
            <v>0.125</v>
          </cell>
          <cell r="O17">
            <v>0.125</v>
          </cell>
          <cell r="P17">
            <v>0.125</v>
          </cell>
          <cell r="Q17">
            <v>0.125</v>
          </cell>
        </row>
        <row r="18">
          <cell r="M18">
            <v>0.125</v>
          </cell>
          <cell r="N18">
            <v>0.125</v>
          </cell>
          <cell r="O18">
            <v>0.125</v>
          </cell>
          <cell r="P18">
            <v>0.125</v>
          </cell>
          <cell r="Q18">
            <v>0.125</v>
          </cell>
        </row>
        <row r="19">
          <cell r="M19">
            <v>0.125</v>
          </cell>
          <cell r="N19">
            <v>0.125</v>
          </cell>
          <cell r="O19">
            <v>0.125</v>
          </cell>
          <cell r="P19">
            <v>0.125</v>
          </cell>
          <cell r="Q19">
            <v>0.125</v>
          </cell>
        </row>
        <row r="20">
          <cell r="M20">
            <v>0.125</v>
          </cell>
          <cell r="N20">
            <v>0.125</v>
          </cell>
          <cell r="O20">
            <v>0.125</v>
          </cell>
          <cell r="P20">
            <v>0.125</v>
          </cell>
          <cell r="Q20">
            <v>0.125</v>
          </cell>
        </row>
        <row r="21">
          <cell r="M21">
            <v>0.125</v>
          </cell>
          <cell r="N21">
            <v>0.125</v>
          </cell>
          <cell r="O21">
            <v>0.125</v>
          </cell>
          <cell r="P21">
            <v>0.125</v>
          </cell>
          <cell r="Q21">
            <v>0.125</v>
          </cell>
        </row>
        <row r="22">
          <cell r="M22">
            <v>0.125</v>
          </cell>
          <cell r="N22">
            <v>0.125</v>
          </cell>
          <cell r="O22">
            <v>0.125</v>
          </cell>
          <cell r="P22">
            <v>0.125</v>
          </cell>
          <cell r="Q22">
            <v>0.125</v>
          </cell>
        </row>
        <row r="23">
          <cell r="M23">
            <v>0.125</v>
          </cell>
          <cell r="N23">
            <v>0.125</v>
          </cell>
          <cell r="O23">
            <v>0.125</v>
          </cell>
          <cell r="P23">
            <v>0.125</v>
          </cell>
          <cell r="Q23">
            <v>0.125</v>
          </cell>
        </row>
        <row r="24">
          <cell r="M24">
            <v>0.125</v>
          </cell>
          <cell r="N24">
            <v>0.125</v>
          </cell>
          <cell r="O24">
            <v>0.125</v>
          </cell>
          <cell r="P24">
            <v>0.125</v>
          </cell>
          <cell r="Q24">
            <v>0.125</v>
          </cell>
        </row>
        <row r="25">
          <cell r="M25">
            <v>0.125</v>
          </cell>
          <cell r="N25">
            <v>0.125</v>
          </cell>
          <cell r="O25">
            <v>0.125</v>
          </cell>
          <cell r="P25">
            <v>0.125</v>
          </cell>
          <cell r="Q25">
            <v>0.125</v>
          </cell>
        </row>
        <row r="26">
          <cell r="M26">
            <v>0.125</v>
          </cell>
          <cell r="N26">
            <v>0.125</v>
          </cell>
          <cell r="O26">
            <v>0.125</v>
          </cell>
          <cell r="P26">
            <v>0.125</v>
          </cell>
          <cell r="Q26">
            <v>0.125</v>
          </cell>
        </row>
        <row r="27">
          <cell r="M27">
            <v>0.125</v>
          </cell>
          <cell r="N27">
            <v>0.125</v>
          </cell>
          <cell r="O27">
            <v>0.125</v>
          </cell>
          <cell r="P27">
            <v>0.125</v>
          </cell>
          <cell r="Q27">
            <v>0.125</v>
          </cell>
        </row>
        <row r="28">
          <cell r="M28">
            <v>0.125</v>
          </cell>
          <cell r="N28">
            <v>0.125</v>
          </cell>
          <cell r="O28">
            <v>0.125</v>
          </cell>
          <cell r="P28">
            <v>0.125</v>
          </cell>
          <cell r="Q28">
            <v>0.125</v>
          </cell>
        </row>
        <row r="29">
          <cell r="M29">
            <v>0.125</v>
          </cell>
          <cell r="N29">
            <v>0.125</v>
          </cell>
          <cell r="O29">
            <v>0.125</v>
          </cell>
          <cell r="P29">
            <v>0.125</v>
          </cell>
          <cell r="Q29">
            <v>0.125</v>
          </cell>
        </row>
        <row r="30">
          <cell r="M30">
            <v>0.125</v>
          </cell>
          <cell r="N30">
            <v>0.125</v>
          </cell>
          <cell r="O30">
            <v>0.125</v>
          </cell>
          <cell r="P30">
            <v>0.125</v>
          </cell>
          <cell r="Q30">
            <v>0.125</v>
          </cell>
        </row>
        <row r="31">
          <cell r="M31">
            <v>0.125</v>
          </cell>
          <cell r="N31">
            <v>0.125</v>
          </cell>
          <cell r="O31">
            <v>0.125</v>
          </cell>
          <cell r="P31">
            <v>0.125</v>
          </cell>
          <cell r="Q31">
            <v>0.125</v>
          </cell>
        </row>
        <row r="32">
          <cell r="M32">
            <v>0.125</v>
          </cell>
          <cell r="N32">
            <v>0.125</v>
          </cell>
          <cell r="O32">
            <v>0.125</v>
          </cell>
          <cell r="P32">
            <v>0.125</v>
          </cell>
          <cell r="Q32">
            <v>0.125</v>
          </cell>
        </row>
        <row r="33">
          <cell r="M33">
            <v>0.125</v>
          </cell>
          <cell r="N33">
            <v>0.125</v>
          </cell>
          <cell r="O33">
            <v>0.125</v>
          </cell>
          <cell r="P33">
            <v>0.125</v>
          </cell>
          <cell r="Q33">
            <v>0.125</v>
          </cell>
        </row>
        <row r="34">
          <cell r="M34">
            <v>0.125</v>
          </cell>
          <cell r="N34">
            <v>0.125</v>
          </cell>
          <cell r="O34">
            <v>0.125</v>
          </cell>
          <cell r="P34">
            <v>0.125</v>
          </cell>
          <cell r="Q34">
            <v>0.125</v>
          </cell>
        </row>
        <row r="35">
          <cell r="M35">
            <v>0.125</v>
          </cell>
          <cell r="N35">
            <v>0.125</v>
          </cell>
          <cell r="O35">
            <v>0.125</v>
          </cell>
          <cell r="P35">
            <v>0.125</v>
          </cell>
          <cell r="Q35">
            <v>0.125</v>
          </cell>
        </row>
        <row r="36">
          <cell r="M36">
            <v>0.125</v>
          </cell>
          <cell r="N36">
            <v>0.125</v>
          </cell>
          <cell r="O36">
            <v>0.125</v>
          </cell>
          <cell r="P36">
            <v>0.125</v>
          </cell>
          <cell r="Q36">
            <v>0.125</v>
          </cell>
        </row>
        <row r="37">
          <cell r="M37">
            <v>0.125</v>
          </cell>
          <cell r="N37">
            <v>0.125</v>
          </cell>
          <cell r="O37">
            <v>0.125</v>
          </cell>
          <cell r="P37">
            <v>0.125</v>
          </cell>
          <cell r="Q37">
            <v>0.125</v>
          </cell>
        </row>
        <row r="38">
          <cell r="M38">
            <v>0.125</v>
          </cell>
          <cell r="N38">
            <v>0.125</v>
          </cell>
          <cell r="O38">
            <v>0.125</v>
          </cell>
          <cell r="P38">
            <v>0.125</v>
          </cell>
          <cell r="Q38">
            <v>0.125</v>
          </cell>
        </row>
        <row r="39">
          <cell r="M39">
            <v>0.125</v>
          </cell>
          <cell r="N39">
            <v>0.125</v>
          </cell>
          <cell r="O39">
            <v>0.125</v>
          </cell>
          <cell r="P39">
            <v>0.125</v>
          </cell>
          <cell r="Q39">
            <v>0.125</v>
          </cell>
        </row>
        <row r="40">
          <cell r="M40">
            <v>0.125</v>
          </cell>
          <cell r="N40">
            <v>0.125</v>
          </cell>
          <cell r="O40">
            <v>0.125</v>
          </cell>
          <cell r="P40">
            <v>0.125</v>
          </cell>
          <cell r="Q40">
            <v>0.125</v>
          </cell>
        </row>
        <row r="41">
          <cell r="M41">
            <v>0.125</v>
          </cell>
          <cell r="N41">
            <v>0.125</v>
          </cell>
          <cell r="O41">
            <v>0.125</v>
          </cell>
          <cell r="P41">
            <v>0.125</v>
          </cell>
          <cell r="Q41">
            <v>0.125</v>
          </cell>
        </row>
        <row r="42">
          <cell r="M42">
            <v>0.125</v>
          </cell>
          <cell r="N42">
            <v>0.125</v>
          </cell>
          <cell r="O42">
            <v>0.125</v>
          </cell>
          <cell r="P42">
            <v>0.125</v>
          </cell>
          <cell r="Q42">
            <v>0.125</v>
          </cell>
        </row>
        <row r="43">
          <cell r="M43">
            <v>0.125</v>
          </cell>
          <cell r="N43">
            <v>0.125</v>
          </cell>
          <cell r="O43">
            <v>0.125</v>
          </cell>
          <cell r="P43">
            <v>0.125</v>
          </cell>
          <cell r="Q43">
            <v>0.125</v>
          </cell>
        </row>
        <row r="44">
          <cell r="M44">
            <v>0.125</v>
          </cell>
          <cell r="N44">
            <v>0.125</v>
          </cell>
          <cell r="O44">
            <v>0.125</v>
          </cell>
          <cell r="P44">
            <v>0.125</v>
          </cell>
          <cell r="Q44">
            <v>0.125</v>
          </cell>
        </row>
        <row r="45">
          <cell r="M45">
            <v>0.125</v>
          </cell>
          <cell r="N45">
            <v>0.125</v>
          </cell>
          <cell r="O45">
            <v>0.125</v>
          </cell>
          <cell r="P45">
            <v>0.125</v>
          </cell>
          <cell r="Q45">
            <v>0.125</v>
          </cell>
        </row>
        <row r="46">
          <cell r="M46">
            <v>0.125</v>
          </cell>
          <cell r="N46">
            <v>0.125</v>
          </cell>
          <cell r="O46">
            <v>0.125</v>
          </cell>
          <cell r="P46">
            <v>0.125</v>
          </cell>
          <cell r="Q46">
            <v>0.125</v>
          </cell>
        </row>
        <row r="47">
          <cell r="M47">
            <v>0.125</v>
          </cell>
          <cell r="N47">
            <v>0.125</v>
          </cell>
          <cell r="O47">
            <v>0.125</v>
          </cell>
          <cell r="P47">
            <v>0.125</v>
          </cell>
          <cell r="Q47">
            <v>0.125</v>
          </cell>
        </row>
        <row r="48">
          <cell r="M48">
            <v>0.125</v>
          </cell>
          <cell r="N48">
            <v>0.125</v>
          </cell>
          <cell r="O48">
            <v>0.125</v>
          </cell>
          <cell r="P48">
            <v>0.125</v>
          </cell>
          <cell r="Q48">
            <v>0.125</v>
          </cell>
        </row>
        <row r="49">
          <cell r="M49">
            <v>0.125</v>
          </cell>
          <cell r="N49">
            <v>0.125</v>
          </cell>
          <cell r="O49">
            <v>0.125</v>
          </cell>
          <cell r="P49">
            <v>0.125</v>
          </cell>
          <cell r="Q49">
            <v>0.125</v>
          </cell>
        </row>
        <row r="50">
          <cell r="M50">
            <v>0.125</v>
          </cell>
          <cell r="N50">
            <v>0.125</v>
          </cell>
          <cell r="O50">
            <v>0.125</v>
          </cell>
          <cell r="P50">
            <v>0.125</v>
          </cell>
          <cell r="Q50">
            <v>0.125</v>
          </cell>
        </row>
        <row r="51">
          <cell r="M51">
            <v>0.125</v>
          </cell>
          <cell r="N51">
            <v>0.125</v>
          </cell>
          <cell r="O51">
            <v>0.125</v>
          </cell>
          <cell r="P51">
            <v>0.125</v>
          </cell>
          <cell r="Q51">
            <v>0.125</v>
          </cell>
        </row>
        <row r="52">
          <cell r="M52">
            <v>0.125</v>
          </cell>
          <cell r="N52">
            <v>0.125</v>
          </cell>
          <cell r="O52">
            <v>0.125</v>
          </cell>
          <cell r="P52">
            <v>0.125</v>
          </cell>
          <cell r="Q52">
            <v>0.125</v>
          </cell>
        </row>
        <row r="53">
          <cell r="M53">
            <v>0.125</v>
          </cell>
          <cell r="N53">
            <v>0.125</v>
          </cell>
          <cell r="O53">
            <v>0.125</v>
          </cell>
          <cell r="P53">
            <v>0.125</v>
          </cell>
          <cell r="Q53">
            <v>0.125</v>
          </cell>
        </row>
        <row r="54">
          <cell r="M54">
            <v>0.125</v>
          </cell>
          <cell r="N54">
            <v>0.125</v>
          </cell>
          <cell r="O54">
            <v>0.125</v>
          </cell>
          <cell r="P54">
            <v>0.125</v>
          </cell>
          <cell r="Q54">
            <v>0.125</v>
          </cell>
        </row>
        <row r="55">
          <cell r="M55">
            <v>0.125</v>
          </cell>
          <cell r="N55">
            <v>0.125</v>
          </cell>
          <cell r="O55">
            <v>0.125</v>
          </cell>
          <cell r="P55">
            <v>0.125</v>
          </cell>
          <cell r="Q55">
            <v>0.125</v>
          </cell>
        </row>
        <row r="56">
          <cell r="M56">
            <v>0.125</v>
          </cell>
          <cell r="N56">
            <v>0.125</v>
          </cell>
          <cell r="O56">
            <v>0.125</v>
          </cell>
          <cell r="P56">
            <v>0.125</v>
          </cell>
          <cell r="Q56">
            <v>0.125</v>
          </cell>
        </row>
        <row r="57">
          <cell r="M57">
            <v>0.125</v>
          </cell>
          <cell r="N57">
            <v>0.125</v>
          </cell>
          <cell r="O57">
            <v>0.125</v>
          </cell>
          <cell r="P57">
            <v>0.125</v>
          </cell>
          <cell r="Q57">
            <v>0.125</v>
          </cell>
        </row>
        <row r="58">
          <cell r="M58">
            <v>0.125</v>
          </cell>
          <cell r="N58">
            <v>0.125</v>
          </cell>
          <cell r="O58">
            <v>0.125</v>
          </cell>
          <cell r="P58">
            <v>0.125</v>
          </cell>
          <cell r="Q58">
            <v>0.125</v>
          </cell>
        </row>
        <row r="59">
          <cell r="M59">
            <v>0.125</v>
          </cell>
          <cell r="N59">
            <v>0.125</v>
          </cell>
          <cell r="O59">
            <v>0.125</v>
          </cell>
          <cell r="P59">
            <v>0.125</v>
          </cell>
          <cell r="Q59">
            <v>0.125</v>
          </cell>
        </row>
        <row r="60">
          <cell r="M60">
            <v>0.125</v>
          </cell>
          <cell r="N60">
            <v>0.125</v>
          </cell>
          <cell r="O60">
            <v>0.125</v>
          </cell>
          <cell r="P60">
            <v>0.125</v>
          </cell>
          <cell r="Q60">
            <v>0.125</v>
          </cell>
        </row>
        <row r="61">
          <cell r="M61">
            <v>0.125</v>
          </cell>
          <cell r="N61">
            <v>0.125</v>
          </cell>
          <cell r="O61">
            <v>0.125</v>
          </cell>
          <cell r="P61">
            <v>0.125</v>
          </cell>
          <cell r="Q61">
            <v>0.125</v>
          </cell>
        </row>
        <row r="62">
          <cell r="M62">
            <v>0.125</v>
          </cell>
          <cell r="N62">
            <v>0.125</v>
          </cell>
          <cell r="O62">
            <v>0.125</v>
          </cell>
          <cell r="P62">
            <v>0.125</v>
          </cell>
          <cell r="Q62">
            <v>0.125</v>
          </cell>
        </row>
        <row r="63">
          <cell r="M63">
            <v>0.125</v>
          </cell>
          <cell r="N63">
            <v>0.125</v>
          </cell>
          <cell r="O63">
            <v>0.125</v>
          </cell>
          <cell r="P63">
            <v>0.125</v>
          </cell>
          <cell r="Q63">
            <v>0.125</v>
          </cell>
        </row>
        <row r="64">
          <cell r="M64">
            <v>0.125</v>
          </cell>
          <cell r="N64">
            <v>0.125</v>
          </cell>
          <cell r="O64">
            <v>0.125</v>
          </cell>
          <cell r="P64">
            <v>0.125</v>
          </cell>
          <cell r="Q64">
            <v>0.125</v>
          </cell>
        </row>
        <row r="65">
          <cell r="M65">
            <v>0.125</v>
          </cell>
          <cell r="N65">
            <v>0.125</v>
          </cell>
          <cell r="O65">
            <v>0.125</v>
          </cell>
          <cell r="P65">
            <v>0.125</v>
          </cell>
          <cell r="Q65">
            <v>0.125</v>
          </cell>
        </row>
        <row r="66">
          <cell r="M66">
            <v>0.125</v>
          </cell>
          <cell r="N66">
            <v>0.125</v>
          </cell>
          <cell r="O66">
            <v>0.125</v>
          </cell>
          <cell r="P66">
            <v>0.125</v>
          </cell>
          <cell r="Q66">
            <v>0.125</v>
          </cell>
        </row>
        <row r="67">
          <cell r="M67">
            <v>0.125</v>
          </cell>
          <cell r="N67">
            <v>0.125</v>
          </cell>
          <cell r="O67">
            <v>0.125</v>
          </cell>
          <cell r="P67">
            <v>0.125</v>
          </cell>
          <cell r="Q67">
            <v>0.125</v>
          </cell>
        </row>
        <row r="68">
          <cell r="M68">
            <v>0.125</v>
          </cell>
          <cell r="N68">
            <v>0.125</v>
          </cell>
          <cell r="O68">
            <v>0.125</v>
          </cell>
          <cell r="P68">
            <v>0.125</v>
          </cell>
          <cell r="Q68">
            <v>0.125</v>
          </cell>
        </row>
        <row r="69">
          <cell r="M69">
            <v>0.125</v>
          </cell>
          <cell r="N69">
            <v>0.125</v>
          </cell>
          <cell r="O69">
            <v>0.125</v>
          </cell>
          <cell r="P69">
            <v>0.125</v>
          </cell>
          <cell r="Q69">
            <v>0.125</v>
          </cell>
        </row>
        <row r="70">
          <cell r="M70">
            <v>0.125</v>
          </cell>
          <cell r="N70">
            <v>0.125</v>
          </cell>
          <cell r="O70">
            <v>0.125</v>
          </cell>
          <cell r="P70">
            <v>0.125</v>
          </cell>
          <cell r="Q70">
            <v>0.125</v>
          </cell>
        </row>
        <row r="71">
          <cell r="M71">
            <v>0.125</v>
          </cell>
          <cell r="N71">
            <v>0.125</v>
          </cell>
          <cell r="O71">
            <v>0.125</v>
          </cell>
          <cell r="P71">
            <v>0.125</v>
          </cell>
          <cell r="Q71">
            <v>0.125</v>
          </cell>
        </row>
        <row r="72">
          <cell r="M72">
            <v>0.125</v>
          </cell>
          <cell r="N72">
            <v>0.125</v>
          </cell>
          <cell r="O72">
            <v>0.125</v>
          </cell>
          <cell r="P72">
            <v>0.125</v>
          </cell>
          <cell r="Q72">
            <v>0.125</v>
          </cell>
        </row>
        <row r="73">
          <cell r="M73">
            <v>0.125</v>
          </cell>
          <cell r="N73">
            <v>0.125</v>
          </cell>
          <cell r="O73">
            <v>0.125</v>
          </cell>
          <cell r="P73">
            <v>0.125</v>
          </cell>
          <cell r="Q73">
            <v>0.125</v>
          </cell>
        </row>
        <row r="74">
          <cell r="M74">
            <v>0.125</v>
          </cell>
          <cell r="N74">
            <v>0.125</v>
          </cell>
          <cell r="O74">
            <v>0.125</v>
          </cell>
          <cell r="P74">
            <v>0.125</v>
          </cell>
          <cell r="Q74">
            <v>0.125</v>
          </cell>
        </row>
        <row r="75">
          <cell r="M75">
            <v>0.125</v>
          </cell>
          <cell r="N75">
            <v>0.125</v>
          </cell>
          <cell r="O75">
            <v>0.125</v>
          </cell>
          <cell r="P75">
            <v>0.125</v>
          </cell>
          <cell r="Q75">
            <v>0.125</v>
          </cell>
        </row>
        <row r="76">
          <cell r="M76">
            <v>0.125</v>
          </cell>
          <cell r="N76">
            <v>0.125</v>
          </cell>
          <cell r="O76">
            <v>0.125</v>
          </cell>
          <cell r="P76">
            <v>0.125</v>
          </cell>
          <cell r="Q76">
            <v>0.125</v>
          </cell>
        </row>
        <row r="77">
          <cell r="M77">
            <v>0.125</v>
          </cell>
          <cell r="N77">
            <v>0.125</v>
          </cell>
          <cell r="O77">
            <v>0.125</v>
          </cell>
          <cell r="P77">
            <v>0.125</v>
          </cell>
          <cell r="Q77">
            <v>0.125</v>
          </cell>
        </row>
        <row r="78">
          <cell r="M78">
            <v>0.125</v>
          </cell>
          <cell r="N78">
            <v>0.125</v>
          </cell>
          <cell r="O78">
            <v>0.125</v>
          </cell>
          <cell r="P78">
            <v>0.125</v>
          </cell>
          <cell r="Q78">
            <v>0.125</v>
          </cell>
        </row>
        <row r="79">
          <cell r="M79">
            <v>0.125</v>
          </cell>
          <cell r="N79">
            <v>0.125</v>
          </cell>
          <cell r="O79">
            <v>0.125</v>
          </cell>
          <cell r="P79">
            <v>0.125</v>
          </cell>
          <cell r="Q79">
            <v>0.125</v>
          </cell>
        </row>
        <row r="80">
          <cell r="M80">
            <v>0.125</v>
          </cell>
          <cell r="N80">
            <v>0.125</v>
          </cell>
          <cell r="O80">
            <v>0.125</v>
          </cell>
          <cell r="P80">
            <v>0.125</v>
          </cell>
          <cell r="Q80">
            <v>0.125</v>
          </cell>
        </row>
        <row r="81">
          <cell r="M81">
            <v>0.125</v>
          </cell>
          <cell r="N81">
            <v>0.125</v>
          </cell>
          <cell r="O81">
            <v>0.125</v>
          </cell>
          <cell r="P81">
            <v>0.125</v>
          </cell>
          <cell r="Q81">
            <v>0.125</v>
          </cell>
        </row>
        <row r="82">
          <cell r="M82">
            <v>0.125</v>
          </cell>
          <cell r="N82">
            <v>0.125</v>
          </cell>
          <cell r="O82">
            <v>0.125</v>
          </cell>
          <cell r="P82">
            <v>0.125</v>
          </cell>
          <cell r="Q82">
            <v>0.125</v>
          </cell>
        </row>
        <row r="83">
          <cell r="M83">
            <v>0.125</v>
          </cell>
          <cell r="N83">
            <v>0.125</v>
          </cell>
          <cell r="O83">
            <v>0.125</v>
          </cell>
          <cell r="P83">
            <v>0.125</v>
          </cell>
          <cell r="Q83">
            <v>0.125</v>
          </cell>
        </row>
        <row r="84">
          <cell r="M84">
            <v>0.125</v>
          </cell>
          <cell r="N84">
            <v>0.125</v>
          </cell>
          <cell r="O84">
            <v>0.125</v>
          </cell>
          <cell r="P84">
            <v>0.125</v>
          </cell>
          <cell r="Q84">
            <v>0.125</v>
          </cell>
        </row>
        <row r="85">
          <cell r="M85">
            <v>0.125</v>
          </cell>
          <cell r="N85">
            <v>0.125</v>
          </cell>
          <cell r="O85">
            <v>0.125</v>
          </cell>
          <cell r="P85">
            <v>0.125</v>
          </cell>
          <cell r="Q85">
            <v>0.125</v>
          </cell>
        </row>
        <row r="86">
          <cell r="M86">
            <v>0.125</v>
          </cell>
          <cell r="N86">
            <v>0.125</v>
          </cell>
          <cell r="O86">
            <v>0.125</v>
          </cell>
          <cell r="P86">
            <v>0.125</v>
          </cell>
          <cell r="Q86">
            <v>0.125</v>
          </cell>
        </row>
        <row r="87">
          <cell r="M87">
            <v>0.125</v>
          </cell>
          <cell r="N87">
            <v>0.125</v>
          </cell>
          <cell r="O87">
            <v>0.125</v>
          </cell>
          <cell r="P87">
            <v>0.125</v>
          </cell>
          <cell r="Q87">
            <v>0.125</v>
          </cell>
        </row>
        <row r="88">
          <cell r="M88">
            <v>0.125</v>
          </cell>
          <cell r="N88">
            <v>0.125</v>
          </cell>
          <cell r="O88">
            <v>0.125</v>
          </cell>
          <cell r="P88">
            <v>0.125</v>
          </cell>
          <cell r="Q88">
            <v>0.125</v>
          </cell>
        </row>
        <row r="89">
          <cell r="M89">
            <v>0.125</v>
          </cell>
          <cell r="N89">
            <v>0.125</v>
          </cell>
          <cell r="O89">
            <v>0.125</v>
          </cell>
          <cell r="P89">
            <v>0.125</v>
          </cell>
          <cell r="Q89">
            <v>0.125</v>
          </cell>
        </row>
        <row r="90">
          <cell r="M90">
            <v>0.125</v>
          </cell>
          <cell r="N90">
            <v>0.125</v>
          </cell>
          <cell r="O90">
            <v>0.125</v>
          </cell>
          <cell r="P90">
            <v>0.125</v>
          </cell>
          <cell r="Q90">
            <v>0.125</v>
          </cell>
        </row>
        <row r="91">
          <cell r="M91">
            <v>0.125</v>
          </cell>
          <cell r="N91">
            <v>0.125</v>
          </cell>
          <cell r="O91">
            <v>0.125</v>
          </cell>
          <cell r="P91">
            <v>0.125</v>
          </cell>
          <cell r="Q91">
            <v>0.125</v>
          </cell>
        </row>
        <row r="92">
          <cell r="M92">
            <v>0.125</v>
          </cell>
          <cell r="N92">
            <v>0.125</v>
          </cell>
          <cell r="O92">
            <v>0.125</v>
          </cell>
          <cell r="P92">
            <v>0.125</v>
          </cell>
          <cell r="Q92">
            <v>0.125</v>
          </cell>
        </row>
        <row r="93">
          <cell r="M93">
            <v>0.125</v>
          </cell>
          <cell r="N93">
            <v>0.125</v>
          </cell>
          <cell r="O93">
            <v>0.125</v>
          </cell>
          <cell r="P93">
            <v>0.125</v>
          </cell>
          <cell r="Q93">
            <v>0.125</v>
          </cell>
        </row>
        <row r="94">
          <cell r="M94">
            <v>0.125</v>
          </cell>
          <cell r="N94">
            <v>0.125</v>
          </cell>
          <cell r="O94">
            <v>0.125</v>
          </cell>
          <cell r="P94">
            <v>0.125</v>
          </cell>
          <cell r="Q94">
            <v>0.125</v>
          </cell>
        </row>
        <row r="95">
          <cell r="M95">
            <v>0.125</v>
          </cell>
          <cell r="N95">
            <v>0.125</v>
          </cell>
          <cell r="O95">
            <v>0.125</v>
          </cell>
          <cell r="P95">
            <v>0.125</v>
          </cell>
          <cell r="Q95">
            <v>0.125</v>
          </cell>
        </row>
        <row r="96">
          <cell r="M96">
            <v>0.125</v>
          </cell>
          <cell r="N96">
            <v>0.125</v>
          </cell>
          <cell r="O96">
            <v>0.125</v>
          </cell>
          <cell r="P96">
            <v>0.125</v>
          </cell>
          <cell r="Q96">
            <v>0.125</v>
          </cell>
        </row>
        <row r="97">
          <cell r="M97">
            <v>0.125</v>
          </cell>
          <cell r="N97">
            <v>0.125</v>
          </cell>
          <cell r="O97">
            <v>0.125</v>
          </cell>
          <cell r="P97">
            <v>0.125</v>
          </cell>
          <cell r="Q97">
            <v>0.125</v>
          </cell>
        </row>
        <row r="98">
          <cell r="M98">
            <v>0.125</v>
          </cell>
          <cell r="N98">
            <v>0.125</v>
          </cell>
          <cell r="O98">
            <v>0.125</v>
          </cell>
          <cell r="P98">
            <v>0.125</v>
          </cell>
          <cell r="Q98">
            <v>0.125</v>
          </cell>
        </row>
        <row r="99">
          <cell r="M99">
            <v>0.125</v>
          </cell>
          <cell r="N99">
            <v>0.125</v>
          </cell>
          <cell r="O99">
            <v>0.125</v>
          </cell>
          <cell r="P99">
            <v>0.125</v>
          </cell>
          <cell r="Q99">
            <v>0.125</v>
          </cell>
        </row>
        <row r="100">
          <cell r="M100">
            <v>0.125</v>
          </cell>
          <cell r="N100">
            <v>0.125</v>
          </cell>
          <cell r="O100">
            <v>0.125</v>
          </cell>
          <cell r="P100">
            <v>0.125</v>
          </cell>
          <cell r="Q100">
            <v>0.125</v>
          </cell>
        </row>
        <row r="101">
          <cell r="M101">
            <v>0.125</v>
          </cell>
          <cell r="N101">
            <v>0.125</v>
          </cell>
          <cell r="O101">
            <v>0.125</v>
          </cell>
          <cell r="P101">
            <v>0.125</v>
          </cell>
          <cell r="Q101">
            <v>0.125</v>
          </cell>
        </row>
        <row r="102">
          <cell r="M102">
            <v>0.125</v>
          </cell>
          <cell r="N102">
            <v>0.125</v>
          </cell>
          <cell r="O102">
            <v>0.125</v>
          </cell>
          <cell r="P102">
            <v>0.125</v>
          </cell>
          <cell r="Q102">
            <v>0.125</v>
          </cell>
        </row>
        <row r="103">
          <cell r="M103">
            <v>0.125</v>
          </cell>
          <cell r="N103">
            <v>0.125</v>
          </cell>
          <cell r="O103">
            <v>0.125</v>
          </cell>
          <cell r="P103">
            <v>0.125</v>
          </cell>
          <cell r="Q103">
            <v>0.125</v>
          </cell>
        </row>
        <row r="104">
          <cell r="M104">
            <v>0.125</v>
          </cell>
          <cell r="N104">
            <v>0.125</v>
          </cell>
          <cell r="O104">
            <v>0.125</v>
          </cell>
          <cell r="P104">
            <v>0.125</v>
          </cell>
          <cell r="Q104">
            <v>0.125</v>
          </cell>
        </row>
        <row r="105">
          <cell r="M105">
            <v>0.125</v>
          </cell>
          <cell r="N105">
            <v>0.125</v>
          </cell>
          <cell r="O105">
            <v>0.125</v>
          </cell>
          <cell r="P105">
            <v>0.125</v>
          </cell>
          <cell r="Q105">
            <v>0.125</v>
          </cell>
        </row>
        <row r="106">
          <cell r="M106">
            <v>0.125</v>
          </cell>
          <cell r="N106">
            <v>0.125</v>
          </cell>
          <cell r="O106">
            <v>0.125</v>
          </cell>
          <cell r="P106">
            <v>0.125</v>
          </cell>
          <cell r="Q106">
            <v>0.125</v>
          </cell>
        </row>
        <row r="107">
          <cell r="M107">
            <v>0.125</v>
          </cell>
          <cell r="N107">
            <v>0.125</v>
          </cell>
          <cell r="O107">
            <v>0.125</v>
          </cell>
          <cell r="P107">
            <v>0.125</v>
          </cell>
          <cell r="Q107">
            <v>0.125</v>
          </cell>
        </row>
        <row r="108">
          <cell r="M108">
            <v>0.125</v>
          </cell>
          <cell r="N108">
            <v>0.125</v>
          </cell>
          <cell r="O108">
            <v>0.125</v>
          </cell>
          <cell r="P108">
            <v>0.125</v>
          </cell>
          <cell r="Q108">
            <v>0.125</v>
          </cell>
        </row>
        <row r="109">
          <cell r="M109">
            <v>0.125</v>
          </cell>
          <cell r="N109">
            <v>0.125</v>
          </cell>
          <cell r="O109">
            <v>0.125</v>
          </cell>
          <cell r="P109">
            <v>0.125</v>
          </cell>
          <cell r="Q109">
            <v>0.125</v>
          </cell>
        </row>
        <row r="110">
          <cell r="M110">
            <v>0.125</v>
          </cell>
          <cell r="N110">
            <v>0.125</v>
          </cell>
          <cell r="O110">
            <v>0.125</v>
          </cell>
          <cell r="P110">
            <v>0.125</v>
          </cell>
          <cell r="Q110">
            <v>0.125</v>
          </cell>
        </row>
        <row r="111">
          <cell r="M111">
            <v>0.125</v>
          </cell>
          <cell r="N111">
            <v>0.125</v>
          </cell>
          <cell r="O111">
            <v>0.125</v>
          </cell>
          <cell r="P111">
            <v>0.125</v>
          </cell>
          <cell r="Q111">
            <v>0.125</v>
          </cell>
        </row>
        <row r="112">
          <cell r="M112">
            <v>0.125</v>
          </cell>
          <cell r="N112">
            <v>0.125</v>
          </cell>
          <cell r="O112">
            <v>0.125</v>
          </cell>
          <cell r="P112">
            <v>0.125</v>
          </cell>
          <cell r="Q112">
            <v>0.125</v>
          </cell>
        </row>
        <row r="113">
          <cell r="M113">
            <v>0.125</v>
          </cell>
          <cell r="N113">
            <v>0.125</v>
          </cell>
          <cell r="O113">
            <v>0.125</v>
          </cell>
          <cell r="P113">
            <v>0.125</v>
          </cell>
          <cell r="Q113">
            <v>0.125</v>
          </cell>
        </row>
        <row r="114">
          <cell r="M114">
            <v>0.125</v>
          </cell>
          <cell r="N114">
            <v>0.125</v>
          </cell>
          <cell r="O114">
            <v>0.125</v>
          </cell>
          <cell r="P114">
            <v>0.125</v>
          </cell>
          <cell r="Q114">
            <v>0.125</v>
          </cell>
        </row>
        <row r="115">
          <cell r="M115">
            <v>0.125</v>
          </cell>
          <cell r="N115">
            <v>0.125</v>
          </cell>
          <cell r="O115">
            <v>0.125</v>
          </cell>
          <cell r="P115">
            <v>0.125</v>
          </cell>
          <cell r="Q115">
            <v>0.125</v>
          </cell>
        </row>
        <row r="116">
          <cell r="M116">
            <v>0.125</v>
          </cell>
          <cell r="N116">
            <v>0.125</v>
          </cell>
          <cell r="O116">
            <v>0.125</v>
          </cell>
          <cell r="P116">
            <v>0.125</v>
          </cell>
          <cell r="Q116">
            <v>0.125</v>
          </cell>
        </row>
        <row r="117">
          <cell r="M117">
            <v>0.125</v>
          </cell>
          <cell r="N117">
            <v>0.125</v>
          </cell>
          <cell r="O117">
            <v>0.125</v>
          </cell>
          <cell r="P117">
            <v>0.125</v>
          </cell>
          <cell r="Q117">
            <v>0.125</v>
          </cell>
        </row>
        <row r="118">
          <cell r="M118">
            <v>0.125</v>
          </cell>
          <cell r="N118">
            <v>0.125</v>
          </cell>
          <cell r="O118">
            <v>0.125</v>
          </cell>
          <cell r="P118">
            <v>0.125</v>
          </cell>
          <cell r="Q118">
            <v>0.125</v>
          </cell>
        </row>
        <row r="119">
          <cell r="M119">
            <v>0.125</v>
          </cell>
          <cell r="N119">
            <v>0.125</v>
          </cell>
          <cell r="O119">
            <v>0.125</v>
          </cell>
          <cell r="P119">
            <v>0.125</v>
          </cell>
          <cell r="Q119">
            <v>0.125</v>
          </cell>
        </row>
        <row r="120">
          <cell r="M120">
            <v>0.125</v>
          </cell>
          <cell r="N120">
            <v>0.125</v>
          </cell>
          <cell r="O120">
            <v>0.125</v>
          </cell>
          <cell r="P120">
            <v>0.125</v>
          </cell>
          <cell r="Q120">
            <v>0.125</v>
          </cell>
        </row>
        <row r="121">
          <cell r="M121">
            <v>0.125</v>
          </cell>
          <cell r="N121">
            <v>0.125</v>
          </cell>
          <cell r="O121">
            <v>0.125</v>
          </cell>
          <cell r="P121">
            <v>0.125</v>
          </cell>
          <cell r="Q121">
            <v>0.125</v>
          </cell>
        </row>
        <row r="122">
          <cell r="M122">
            <v>0.125</v>
          </cell>
          <cell r="N122">
            <v>0.125</v>
          </cell>
          <cell r="O122">
            <v>0.125</v>
          </cell>
          <cell r="P122">
            <v>0.125</v>
          </cell>
          <cell r="Q122">
            <v>0.125</v>
          </cell>
        </row>
        <row r="123">
          <cell r="M123">
            <v>0.125</v>
          </cell>
          <cell r="N123">
            <v>0.125</v>
          </cell>
          <cell r="O123">
            <v>0.125</v>
          </cell>
          <cell r="P123">
            <v>0.125</v>
          </cell>
          <cell r="Q123">
            <v>0.125</v>
          </cell>
        </row>
        <row r="124">
          <cell r="M124">
            <v>0.125</v>
          </cell>
          <cell r="N124">
            <v>0.125</v>
          </cell>
          <cell r="O124">
            <v>0.125</v>
          </cell>
          <cell r="P124">
            <v>0.125</v>
          </cell>
          <cell r="Q124">
            <v>0.125</v>
          </cell>
        </row>
        <row r="125">
          <cell r="M125">
            <v>0.125</v>
          </cell>
          <cell r="N125">
            <v>0.125</v>
          </cell>
          <cell r="O125">
            <v>0.125</v>
          </cell>
          <cell r="P125">
            <v>0.125</v>
          </cell>
          <cell r="Q125">
            <v>0.125</v>
          </cell>
        </row>
        <row r="126">
          <cell r="M126">
            <v>0.125</v>
          </cell>
          <cell r="N126">
            <v>0.125</v>
          </cell>
          <cell r="O126">
            <v>0.125</v>
          </cell>
          <cell r="P126">
            <v>0.125</v>
          </cell>
          <cell r="Q126">
            <v>0.125</v>
          </cell>
        </row>
        <row r="127">
          <cell r="M127">
            <v>0.125</v>
          </cell>
          <cell r="N127">
            <v>0.125</v>
          </cell>
          <cell r="O127">
            <v>0.125</v>
          </cell>
          <cell r="P127">
            <v>0.125</v>
          </cell>
          <cell r="Q127">
            <v>0.125</v>
          </cell>
        </row>
        <row r="128">
          <cell r="M128">
            <v>0.125</v>
          </cell>
          <cell r="N128">
            <v>0.125</v>
          </cell>
          <cell r="O128">
            <v>0.125</v>
          </cell>
          <cell r="P128">
            <v>0.125</v>
          </cell>
          <cell r="Q128">
            <v>0.125</v>
          </cell>
        </row>
        <row r="129">
          <cell r="M129">
            <v>0.125</v>
          </cell>
          <cell r="N129">
            <v>0.125</v>
          </cell>
          <cell r="O129">
            <v>0.125</v>
          </cell>
          <cell r="P129">
            <v>0.125</v>
          </cell>
          <cell r="Q129">
            <v>0.125</v>
          </cell>
        </row>
        <row r="130">
          <cell r="M130">
            <v>0.125</v>
          </cell>
          <cell r="N130">
            <v>0.125</v>
          </cell>
          <cell r="O130">
            <v>0.125</v>
          </cell>
          <cell r="P130">
            <v>0.125</v>
          </cell>
          <cell r="Q130">
            <v>0.125</v>
          </cell>
        </row>
        <row r="131">
          <cell r="M131">
            <v>0.125</v>
          </cell>
          <cell r="N131">
            <v>0.125</v>
          </cell>
          <cell r="O131">
            <v>0.125</v>
          </cell>
          <cell r="P131">
            <v>0.125</v>
          </cell>
          <cell r="Q131">
            <v>0.125</v>
          </cell>
        </row>
        <row r="132">
          <cell r="M132">
            <v>0.125</v>
          </cell>
          <cell r="N132">
            <v>0.125</v>
          </cell>
          <cell r="O132">
            <v>0.125</v>
          </cell>
          <cell r="P132">
            <v>0.125</v>
          </cell>
          <cell r="Q132">
            <v>0.125</v>
          </cell>
        </row>
        <row r="133">
          <cell r="M133">
            <v>0.125</v>
          </cell>
          <cell r="N133">
            <v>0.125</v>
          </cell>
          <cell r="O133">
            <v>0.125</v>
          </cell>
          <cell r="P133">
            <v>0.125</v>
          </cell>
          <cell r="Q133">
            <v>0.125</v>
          </cell>
        </row>
        <row r="134">
          <cell r="M134">
            <v>0.125</v>
          </cell>
          <cell r="N134">
            <v>0.125</v>
          </cell>
          <cell r="O134">
            <v>0.125</v>
          </cell>
          <cell r="P134">
            <v>0.125</v>
          </cell>
          <cell r="Q134">
            <v>0.125</v>
          </cell>
        </row>
        <row r="135">
          <cell r="M135">
            <v>0.125</v>
          </cell>
          <cell r="N135">
            <v>0.125</v>
          </cell>
          <cell r="O135">
            <v>0.125</v>
          </cell>
          <cell r="P135">
            <v>0.125</v>
          </cell>
          <cell r="Q135">
            <v>0.125</v>
          </cell>
        </row>
        <row r="136">
          <cell r="M136">
            <v>0.125</v>
          </cell>
          <cell r="N136">
            <v>0.125</v>
          </cell>
          <cell r="O136">
            <v>0.125</v>
          </cell>
          <cell r="P136">
            <v>0.125</v>
          </cell>
          <cell r="Q136">
            <v>0.125</v>
          </cell>
        </row>
        <row r="137">
          <cell r="M137">
            <v>0.125</v>
          </cell>
          <cell r="N137">
            <v>0.125</v>
          </cell>
          <cell r="O137">
            <v>0.125</v>
          </cell>
          <cell r="P137">
            <v>0.125</v>
          </cell>
          <cell r="Q137">
            <v>0.125</v>
          </cell>
        </row>
        <row r="138">
          <cell r="M138">
            <v>0.125</v>
          </cell>
          <cell r="N138">
            <v>0.125</v>
          </cell>
          <cell r="O138">
            <v>0.125</v>
          </cell>
          <cell r="P138">
            <v>0.125</v>
          </cell>
          <cell r="Q138">
            <v>0.125</v>
          </cell>
        </row>
        <row r="139">
          <cell r="M139">
            <v>0.125</v>
          </cell>
          <cell r="N139">
            <v>0.125</v>
          </cell>
          <cell r="O139">
            <v>0.125</v>
          </cell>
          <cell r="P139">
            <v>0.125</v>
          </cell>
          <cell r="Q139">
            <v>0.125</v>
          </cell>
        </row>
        <row r="140">
          <cell r="M140">
            <v>0.125</v>
          </cell>
          <cell r="N140">
            <v>0.125</v>
          </cell>
          <cell r="O140">
            <v>0.125</v>
          </cell>
          <cell r="P140">
            <v>0.125</v>
          </cell>
          <cell r="Q140">
            <v>0.125</v>
          </cell>
        </row>
        <row r="141">
          <cell r="M141">
            <v>0.125</v>
          </cell>
          <cell r="N141">
            <v>0.125</v>
          </cell>
          <cell r="O141">
            <v>0.125</v>
          </cell>
          <cell r="P141">
            <v>0.125</v>
          </cell>
          <cell r="Q141">
            <v>0.125</v>
          </cell>
        </row>
        <row r="142">
          <cell r="M142">
            <v>0.125</v>
          </cell>
          <cell r="N142">
            <v>0.125</v>
          </cell>
          <cell r="O142">
            <v>0.125</v>
          </cell>
          <cell r="P142">
            <v>0.125</v>
          </cell>
          <cell r="Q142">
            <v>0.125</v>
          </cell>
        </row>
        <row r="143">
          <cell r="M143">
            <v>0.125</v>
          </cell>
          <cell r="N143">
            <v>0.125</v>
          </cell>
          <cell r="O143">
            <v>0.125</v>
          </cell>
          <cell r="P143">
            <v>0.125</v>
          </cell>
          <cell r="Q143">
            <v>0.125</v>
          </cell>
        </row>
        <row r="144">
          <cell r="M144">
            <v>0.125</v>
          </cell>
          <cell r="N144">
            <v>0.125</v>
          </cell>
          <cell r="O144">
            <v>0.125</v>
          </cell>
          <cell r="P144">
            <v>0.125</v>
          </cell>
          <cell r="Q144">
            <v>0.125</v>
          </cell>
        </row>
        <row r="145">
          <cell r="M145">
            <v>0.125</v>
          </cell>
          <cell r="N145">
            <v>0.125</v>
          </cell>
          <cell r="O145">
            <v>0.125</v>
          </cell>
          <cell r="P145">
            <v>0.125</v>
          </cell>
          <cell r="Q145">
            <v>0.125</v>
          </cell>
        </row>
        <row r="146">
          <cell r="M146">
            <v>0.125</v>
          </cell>
          <cell r="N146">
            <v>0.125</v>
          </cell>
          <cell r="O146">
            <v>0.125</v>
          </cell>
          <cell r="P146">
            <v>0.125</v>
          </cell>
          <cell r="Q146">
            <v>0.125</v>
          </cell>
        </row>
        <row r="147">
          <cell r="M147">
            <v>0.125</v>
          </cell>
          <cell r="N147">
            <v>0.125</v>
          </cell>
          <cell r="O147">
            <v>0.125</v>
          </cell>
          <cell r="P147">
            <v>0.125</v>
          </cell>
          <cell r="Q147">
            <v>0.125</v>
          </cell>
        </row>
        <row r="148">
          <cell r="M148">
            <v>0.125</v>
          </cell>
          <cell r="N148">
            <v>0.125</v>
          </cell>
          <cell r="O148">
            <v>0.125</v>
          </cell>
          <cell r="P148">
            <v>0.125</v>
          </cell>
          <cell r="Q148">
            <v>0.125</v>
          </cell>
        </row>
        <row r="149">
          <cell r="M149">
            <v>0.125</v>
          </cell>
          <cell r="N149">
            <v>0.125</v>
          </cell>
          <cell r="O149">
            <v>0.125</v>
          </cell>
          <cell r="P149">
            <v>0.125</v>
          </cell>
          <cell r="Q149">
            <v>0.125</v>
          </cell>
        </row>
        <row r="150">
          <cell r="M150">
            <v>0.125</v>
          </cell>
          <cell r="N150">
            <v>0.125</v>
          </cell>
          <cell r="O150">
            <v>0.125</v>
          </cell>
          <cell r="P150">
            <v>0.125</v>
          </cell>
          <cell r="Q150">
            <v>0.125</v>
          </cell>
        </row>
        <row r="151">
          <cell r="M151">
            <v>0.125</v>
          </cell>
          <cell r="N151">
            <v>0.125</v>
          </cell>
          <cell r="O151">
            <v>0.125</v>
          </cell>
          <cell r="P151">
            <v>0.125</v>
          </cell>
          <cell r="Q151">
            <v>0.125</v>
          </cell>
        </row>
        <row r="152">
          <cell r="M152">
            <v>0.125</v>
          </cell>
          <cell r="N152">
            <v>0.125</v>
          </cell>
          <cell r="O152">
            <v>0.125</v>
          </cell>
          <cell r="P152">
            <v>0.125</v>
          </cell>
          <cell r="Q152">
            <v>0.125</v>
          </cell>
        </row>
        <row r="153">
          <cell r="M153">
            <v>0.125</v>
          </cell>
          <cell r="N153">
            <v>0.125</v>
          </cell>
          <cell r="O153">
            <v>0.125</v>
          </cell>
          <cell r="P153">
            <v>0.125</v>
          </cell>
          <cell r="Q153">
            <v>0.125</v>
          </cell>
        </row>
        <row r="154">
          <cell r="M154">
            <v>0.125</v>
          </cell>
          <cell r="N154">
            <v>0.125</v>
          </cell>
          <cell r="O154">
            <v>0.125</v>
          </cell>
          <cell r="P154">
            <v>0.125</v>
          </cell>
          <cell r="Q154">
            <v>0.125</v>
          </cell>
        </row>
        <row r="155">
          <cell r="M155">
            <v>0.125</v>
          </cell>
          <cell r="N155">
            <v>0.125</v>
          </cell>
          <cell r="O155">
            <v>0.125</v>
          </cell>
          <cell r="P155">
            <v>0.125</v>
          </cell>
          <cell r="Q155">
            <v>0.125</v>
          </cell>
        </row>
        <row r="156">
          <cell r="M156">
            <v>0.125</v>
          </cell>
          <cell r="N156">
            <v>0.125</v>
          </cell>
          <cell r="O156">
            <v>0.125</v>
          </cell>
          <cell r="P156">
            <v>0.125</v>
          </cell>
          <cell r="Q156">
            <v>0.125</v>
          </cell>
        </row>
        <row r="157">
          <cell r="M157">
            <v>0.125</v>
          </cell>
          <cell r="N157">
            <v>0.125</v>
          </cell>
          <cell r="O157">
            <v>0.125</v>
          </cell>
          <cell r="P157">
            <v>0.125</v>
          </cell>
          <cell r="Q157">
            <v>0.125</v>
          </cell>
        </row>
        <row r="158">
          <cell r="M158">
            <v>0.125</v>
          </cell>
          <cell r="N158">
            <v>0.125</v>
          </cell>
          <cell r="O158">
            <v>0.125</v>
          </cell>
          <cell r="P158">
            <v>0.125</v>
          </cell>
          <cell r="Q158">
            <v>0.125</v>
          </cell>
        </row>
        <row r="159">
          <cell r="M159">
            <v>0.125</v>
          </cell>
          <cell r="N159">
            <v>0.125</v>
          </cell>
          <cell r="O159">
            <v>0.125</v>
          </cell>
          <cell r="P159">
            <v>0.125</v>
          </cell>
          <cell r="Q159">
            <v>0.125</v>
          </cell>
        </row>
        <row r="160">
          <cell r="M160">
            <v>0.125</v>
          </cell>
          <cell r="N160">
            <v>0.125</v>
          </cell>
          <cell r="O160">
            <v>0.125</v>
          </cell>
          <cell r="P160">
            <v>0.125</v>
          </cell>
          <cell r="Q160">
            <v>0.125</v>
          </cell>
        </row>
        <row r="161">
          <cell r="M161">
            <v>0.125</v>
          </cell>
          <cell r="N161">
            <v>0.125</v>
          </cell>
          <cell r="O161">
            <v>0.125</v>
          </cell>
          <cell r="P161">
            <v>0.125</v>
          </cell>
          <cell r="Q161">
            <v>0.125</v>
          </cell>
        </row>
        <row r="162">
          <cell r="M162">
            <v>0.125</v>
          </cell>
          <cell r="N162">
            <v>0.125</v>
          </cell>
          <cell r="O162">
            <v>0.125</v>
          </cell>
          <cell r="P162">
            <v>0.125</v>
          </cell>
          <cell r="Q162">
            <v>0.125</v>
          </cell>
        </row>
        <row r="163">
          <cell r="M163">
            <v>0.125</v>
          </cell>
          <cell r="N163">
            <v>0.125</v>
          </cell>
          <cell r="O163">
            <v>0.125</v>
          </cell>
          <cell r="P163">
            <v>0.125</v>
          </cell>
          <cell r="Q163">
            <v>0.125</v>
          </cell>
        </row>
        <row r="164">
          <cell r="M164">
            <v>0.125</v>
          </cell>
          <cell r="N164">
            <v>0.125</v>
          </cell>
          <cell r="O164">
            <v>0.125</v>
          </cell>
          <cell r="P164">
            <v>0.125</v>
          </cell>
          <cell r="Q164">
            <v>0.125</v>
          </cell>
        </row>
        <row r="165">
          <cell r="M165">
            <v>0.125</v>
          </cell>
          <cell r="N165">
            <v>0.125</v>
          </cell>
          <cell r="O165">
            <v>0.125</v>
          </cell>
          <cell r="P165">
            <v>0.125</v>
          </cell>
          <cell r="Q165">
            <v>0.125</v>
          </cell>
        </row>
        <row r="166">
          <cell r="M166">
            <v>0.125</v>
          </cell>
          <cell r="N166">
            <v>0.125</v>
          </cell>
          <cell r="O166">
            <v>0.125</v>
          </cell>
          <cell r="P166">
            <v>0.125</v>
          </cell>
          <cell r="Q166">
            <v>0.125</v>
          </cell>
        </row>
        <row r="167">
          <cell r="M167">
            <v>0.125</v>
          </cell>
          <cell r="N167">
            <v>0.125</v>
          </cell>
          <cell r="O167">
            <v>0.125</v>
          </cell>
          <cell r="P167">
            <v>0.125</v>
          </cell>
          <cell r="Q167">
            <v>0.125</v>
          </cell>
        </row>
        <row r="168">
          <cell r="M168">
            <v>0.125</v>
          </cell>
          <cell r="N168">
            <v>0.125</v>
          </cell>
          <cell r="O168">
            <v>0.125</v>
          </cell>
          <cell r="P168">
            <v>0.125</v>
          </cell>
          <cell r="Q168">
            <v>0.125</v>
          </cell>
        </row>
        <row r="169">
          <cell r="M169">
            <v>0.125</v>
          </cell>
          <cell r="N169">
            <v>0.125</v>
          </cell>
          <cell r="O169">
            <v>0.125</v>
          </cell>
          <cell r="P169">
            <v>0.125</v>
          </cell>
          <cell r="Q169">
            <v>0.125</v>
          </cell>
        </row>
        <row r="170">
          <cell r="M170">
            <v>0.125</v>
          </cell>
          <cell r="N170">
            <v>0.125</v>
          </cell>
          <cell r="O170">
            <v>0.125</v>
          </cell>
          <cell r="P170">
            <v>0.125</v>
          </cell>
          <cell r="Q170">
            <v>0.125</v>
          </cell>
        </row>
      </sheetData>
      <sheetData sheetId="32">
        <row r="3">
          <cell r="R3">
            <v>1.1072667228331485</v>
          </cell>
        </row>
        <row r="4">
          <cell r="R4">
            <v>1.6128011754017901</v>
          </cell>
        </row>
        <row r="5">
          <cell r="R5">
            <v>1.5166033577059239</v>
          </cell>
        </row>
        <row r="6">
          <cell r="R6">
            <v>1.3466515656924485</v>
          </cell>
        </row>
        <row r="7">
          <cell r="R7">
            <v>1.1029457993613634</v>
          </cell>
        </row>
        <row r="8">
          <cell r="R8">
            <v>0.85924003303027807</v>
          </cell>
        </row>
        <row r="9">
          <cell r="R9">
            <v>0.68063540369644937</v>
          </cell>
        </row>
        <row r="10">
          <cell r="R10">
            <v>0.5996824798585052</v>
          </cell>
        </row>
        <row r="11">
          <cell r="R11">
            <v>0.51872955602056114</v>
          </cell>
        </row>
        <row r="12">
          <cell r="R12">
            <v>0.43777663218261703</v>
          </cell>
        </row>
        <row r="13">
          <cell r="R13">
            <v>0.35682370834467292</v>
          </cell>
        </row>
        <row r="14">
          <cell r="R14">
            <v>0.27587078450672881</v>
          </cell>
        </row>
        <row r="15">
          <cell r="R15">
            <v>0.2589056500568222</v>
          </cell>
        </row>
        <row r="16">
          <cell r="R16">
            <v>0.24194051560691562</v>
          </cell>
        </row>
        <row r="17">
          <cell r="R17">
            <v>0.22497538115700902</v>
          </cell>
        </row>
        <row r="18">
          <cell r="R18">
            <v>0.20801024670710244</v>
          </cell>
        </row>
        <row r="19">
          <cell r="R19">
            <v>0.19104511225719584</v>
          </cell>
        </row>
        <row r="20">
          <cell r="R20">
            <v>0.17407997780728923</v>
          </cell>
        </row>
        <row r="21">
          <cell r="R21">
            <v>0.15711484335738263</v>
          </cell>
        </row>
        <row r="22">
          <cell r="R22">
            <v>0.14014970890747605</v>
          </cell>
          <cell r="W22">
            <v>9000</v>
          </cell>
          <cell r="X22">
            <v>725.99999999999966</v>
          </cell>
          <cell r="Y22">
            <v>256</v>
          </cell>
          <cell r="Z22">
            <v>16</v>
          </cell>
          <cell r="AA22">
            <v>2</v>
          </cell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R23">
            <v>0.12318457445756945</v>
          </cell>
          <cell r="W23">
            <v>3454.304347826087</v>
          </cell>
          <cell r="X23">
            <v>426.60231884057947</v>
          </cell>
          <cell r="Y23">
            <v>109.22666666666666</v>
          </cell>
          <cell r="Z23">
            <v>8.5333333333333332</v>
          </cell>
          <cell r="AA23">
            <v>1.3333333333333335</v>
          </cell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R24">
            <v>0.11260837090827176</v>
          </cell>
          <cell r="W24">
            <v>2646.8869565217392</v>
          </cell>
          <cell r="X24">
            <v>450.24371014492726</v>
          </cell>
          <cell r="Y24">
            <v>92.842666666666659</v>
          </cell>
          <cell r="Z24">
            <v>8.533333333333335</v>
          </cell>
          <cell r="AA24">
            <v>1.4933333333333334</v>
          </cell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R25">
            <v>0.10842109825958293</v>
          </cell>
          <cell r="W25">
            <v>1897.7478260869568</v>
          </cell>
          <cell r="X25">
            <v>419.40417391304322</v>
          </cell>
          <cell r="Y25">
            <v>73.727999999999994</v>
          </cell>
          <cell r="Z25">
            <v>7.6800000000000015</v>
          </cell>
          <cell r="AA25">
            <v>1.4400000000000002</v>
          </cell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R26">
            <v>0.1042338256108941</v>
          </cell>
          <cell r="W26">
            <v>1640.6119565217396</v>
          </cell>
          <cell r="X26">
            <v>454.14504347826056</v>
          </cell>
          <cell r="Y26">
            <v>70.528000000000006</v>
          </cell>
          <cell r="Z26">
            <v>8.120000000000001</v>
          </cell>
          <cell r="AA26">
            <v>1.595</v>
          </cell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R27">
            <v>0.10004655296220527</v>
          </cell>
          <cell r="W27">
            <v>1399.8668478260872</v>
          </cell>
          <cell r="X27">
            <v>473.56315217391273</v>
          </cell>
          <cell r="Y27">
            <v>66.56</v>
          </cell>
          <cell r="Z27">
            <v>8.3200000000000021</v>
          </cell>
          <cell r="AA27">
            <v>1.6900000000000002</v>
          </cell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</row>
        <row r="28">
          <cell r="R28">
            <v>9.5859280313516454E-2</v>
          </cell>
          <cell r="W28">
            <v>1175.5125000000003</v>
          </cell>
          <cell r="X28">
            <v>477.65849999999961</v>
          </cell>
          <cell r="Y28">
            <v>61.823999999999984</v>
          </cell>
          <cell r="Z28">
            <v>8.2799999999999994</v>
          </cell>
          <cell r="AA28">
            <v>1.7249999999999999</v>
          </cell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</row>
        <row r="29">
          <cell r="R29">
            <v>9.1672007664827623E-2</v>
          </cell>
          <cell r="W29">
            <v>1005.1159713000645</v>
          </cell>
          <cell r="X29">
            <v>432.12471441422116</v>
          </cell>
          <cell r="Y29">
            <v>53.913600000000002</v>
          </cell>
          <cell r="Z29">
            <v>7.3028571428571434</v>
          </cell>
          <cell r="AA29">
            <v>1.5428571428571429</v>
          </cell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</row>
        <row r="30">
          <cell r="R30">
            <v>8.7484735016138793E-2</v>
          </cell>
          <cell r="W30">
            <v>959.81724113453504</v>
          </cell>
          <cell r="X30">
            <v>436.06866253893429</v>
          </cell>
          <cell r="Y30">
            <v>52.52242285714285</v>
          </cell>
          <cell r="Z30">
            <v>7.1941224489795923</v>
          </cell>
          <cell r="AA30">
            <v>1.5404081632653062</v>
          </cell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</row>
        <row r="31">
          <cell r="R31">
            <v>8.3297462367449976E-2</v>
          </cell>
          <cell r="W31">
            <v>915.49387161521304</v>
          </cell>
          <cell r="X31">
            <v>439.05435369090935</v>
          </cell>
          <cell r="Y31">
            <v>51.122468571428563</v>
          </cell>
          <cell r="Z31">
            <v>7.0795102040816325</v>
          </cell>
          <cell r="AA31">
            <v>1.5355102040816326</v>
          </cell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</row>
        <row r="32">
          <cell r="R32">
            <v>7.9110189718761131E-2</v>
          </cell>
          <cell r="W32">
            <v>872.14586274209864</v>
          </cell>
          <cell r="X32">
            <v>441.08178787014623</v>
          </cell>
          <cell r="Y32">
            <v>49.713737142857141</v>
          </cell>
          <cell r="Z32">
            <v>6.9590204081632665</v>
          </cell>
          <cell r="AA32">
            <v>1.5281632653061221</v>
          </cell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</row>
        <row r="33">
          <cell r="R33">
            <v>7.4922917070072315E-2</v>
          </cell>
          <cell r="W33">
            <v>829.77321451519163</v>
          </cell>
          <cell r="X33">
            <v>442.15096507664504</v>
          </cell>
          <cell r="Y33">
            <v>48.296228571428571</v>
          </cell>
          <cell r="Z33">
            <v>6.83265306122449</v>
          </cell>
          <cell r="AA33">
            <v>1.5183673469387753</v>
          </cell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</row>
        <row r="34">
          <cell r="R34">
            <v>7.0735644421383484E-2</v>
          </cell>
          <cell r="W34">
            <v>788.3759269344921</v>
          </cell>
          <cell r="X34">
            <v>442.26188531040566</v>
          </cell>
          <cell r="Y34">
            <v>46.869942857142846</v>
          </cell>
          <cell r="Z34">
            <v>6.7004081632653056</v>
          </cell>
          <cell r="AA34">
            <v>1.5061224489795915</v>
          </cell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R35">
            <v>6.6548371772694653E-2</v>
          </cell>
          <cell r="W35">
            <v>747.95400000000018</v>
          </cell>
          <cell r="X35">
            <v>441.41454857142821</v>
          </cell>
          <cell r="Y35">
            <v>45.434879999999993</v>
          </cell>
          <cell r="Z35">
            <v>6.5622857142857143</v>
          </cell>
          <cell r="AA35">
            <v>1.4914285714285711</v>
          </cell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R36">
            <v>6.236109912400583E-2</v>
          </cell>
          <cell r="W36">
            <v>717.28800940438896</v>
          </cell>
          <cell r="X36">
            <v>430.95539539561105</v>
          </cell>
          <cell r="Y36">
            <v>43.922995199999995</v>
          </cell>
          <cell r="Z36">
            <v>6.3756000000000013</v>
          </cell>
          <cell r="AA36">
            <v>1.458</v>
          </cell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R37">
            <v>5.8173826475317006E-2</v>
          </cell>
          <cell r="W37">
            <v>697.57158738244539</v>
          </cell>
          <cell r="X37">
            <v>426.63998701755457</v>
          </cell>
          <cell r="Y37">
            <v>43.061625600000006</v>
          </cell>
          <cell r="Z37">
            <v>6.2815500000000011</v>
          </cell>
          <cell r="AA37">
            <v>1.4452499999999999</v>
          </cell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R38">
            <v>5.3986553826628175E-2</v>
          </cell>
          <cell r="W38">
            <v>678.05826841692817</v>
          </cell>
          <cell r="X38">
            <v>422.12616038307186</v>
          </cell>
          <cell r="Y38">
            <v>42.197971199999998</v>
          </cell>
          <cell r="Z38">
            <v>6.1858500000000012</v>
          </cell>
          <cell r="AA38">
            <v>1.4317499999999999</v>
          </cell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R39">
            <v>4.9799281177939345E-2</v>
          </cell>
          <cell r="W39">
            <v>658.74805250783731</v>
          </cell>
          <cell r="X39">
            <v>417.4139154921628</v>
          </cell>
          <cell r="Y39">
            <v>41.332031999999998</v>
          </cell>
          <cell r="Z39">
            <v>6.0885000000000016</v>
          </cell>
          <cell r="AA39">
            <v>1.4174999999999998</v>
          </cell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R40">
            <v>4.7144401972964413E-2</v>
          </cell>
          <cell r="W40">
            <v>639.64093965517259</v>
          </cell>
          <cell r="X40">
            <v>412.50325234482733</v>
          </cell>
          <cell r="Y40">
            <v>40.463808000000007</v>
          </cell>
          <cell r="Z40">
            <v>5.9895000000000014</v>
          </cell>
          <cell r="AA40">
            <v>1.4024999999999999</v>
          </cell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R41">
            <v>4.6021916211703359E-2</v>
          </cell>
          <cell r="W41">
            <v>620.73692985893445</v>
          </cell>
          <cell r="X41">
            <v>407.39417094106557</v>
          </cell>
          <cell r="Y41">
            <v>39.593299200000004</v>
          </cell>
          <cell r="Z41">
            <v>5.8888500000000015</v>
          </cell>
          <cell r="AA41">
            <v>1.3867499999999999</v>
          </cell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R42">
            <v>4.4899430450442299E-2</v>
          </cell>
          <cell r="W42">
            <v>602.03602311912243</v>
          </cell>
          <cell r="X42">
            <v>402.08667128087751</v>
          </cell>
          <cell r="Y42">
            <v>38.720505599999996</v>
          </cell>
          <cell r="Z42">
            <v>5.786550000000001</v>
          </cell>
          <cell r="AA42">
            <v>1.37025</v>
          </cell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R43">
            <v>4.3776944689181238E-2</v>
          </cell>
          <cell r="W43">
            <v>583.53821943573701</v>
          </cell>
          <cell r="X43">
            <v>396.58075336426316</v>
          </cell>
          <cell r="Y43">
            <v>37.845427199999996</v>
          </cell>
          <cell r="Z43">
            <v>5.6826000000000016</v>
          </cell>
          <cell r="AA43">
            <v>1.353</v>
          </cell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R44">
            <v>4.2654458927920184E-2</v>
          </cell>
          <cell r="W44">
            <v>565.24351880877771</v>
          </cell>
          <cell r="X44">
            <v>390.87641719122234</v>
          </cell>
          <cell r="Y44">
            <v>36.968064000000005</v>
          </cell>
          <cell r="Z44">
            <v>5.5770000000000008</v>
          </cell>
          <cell r="AA44">
            <v>1.3349999999999997</v>
          </cell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R45">
            <v>4.1531973166659124E-2</v>
          </cell>
          <cell r="W45">
            <v>547.15192123824465</v>
          </cell>
          <cell r="X45">
            <v>384.97366276175529</v>
          </cell>
          <cell r="Y45">
            <v>36.088416000000002</v>
          </cell>
          <cell r="Z45">
            <v>5.4697500000000012</v>
          </cell>
          <cell r="AA45">
            <v>1.3162499999999999</v>
          </cell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R46">
            <v>4.040948740539807E-2</v>
          </cell>
          <cell r="W46">
            <v>529.26342672413818</v>
          </cell>
          <cell r="X46">
            <v>378.87249007586189</v>
          </cell>
          <cell r="Y46">
            <v>35.206483200000001</v>
          </cell>
          <cell r="Z46">
            <v>5.360850000000001</v>
          </cell>
          <cell r="AA46">
            <v>1.2967499999999998</v>
          </cell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R47">
            <v>3.928700164413701E-2</v>
          </cell>
          <cell r="W47">
            <v>511.57803526645785</v>
          </cell>
          <cell r="X47">
            <v>372.57289913354214</v>
          </cell>
          <cell r="Y47">
            <v>34.322265600000001</v>
          </cell>
          <cell r="Z47">
            <v>5.2503000000000011</v>
          </cell>
          <cell r="AA47">
            <v>1.2765</v>
          </cell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R48">
            <v>3.8164515882875956E-2</v>
          </cell>
          <cell r="W48">
            <v>494.09574686520398</v>
          </cell>
          <cell r="X48">
            <v>366.07488993479603</v>
          </cell>
          <cell r="Y48">
            <v>33.435763199999997</v>
          </cell>
          <cell r="Z48">
            <v>5.1381000000000014</v>
          </cell>
          <cell r="AA48">
            <v>1.2555000000000001</v>
          </cell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R49">
            <v>3.7042030121614895E-2</v>
          </cell>
          <cell r="W49">
            <v>476.81656152037635</v>
          </cell>
          <cell r="X49">
            <v>359.37846247962364</v>
          </cell>
          <cell r="Y49">
            <v>32.546976000000001</v>
          </cell>
          <cell r="Z49">
            <v>5.0242500000000012</v>
          </cell>
          <cell r="AA49">
            <v>1.2337499999999999</v>
          </cell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R50">
            <v>3.5919544360353842E-2</v>
          </cell>
          <cell r="W50">
            <v>459.74047923197509</v>
          </cell>
          <cell r="X50">
            <v>352.48361676802483</v>
          </cell>
          <cell r="Y50">
            <v>31.655904</v>
          </cell>
          <cell r="Z50">
            <v>4.9087500000000004</v>
          </cell>
          <cell r="AA50">
            <v>1.2112499999999997</v>
          </cell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R51">
            <v>3.4797058599092781E-2</v>
          </cell>
          <cell r="W51">
            <v>442.86750000000018</v>
          </cell>
          <cell r="X51">
            <v>345.39035279999985</v>
          </cell>
          <cell r="Y51">
            <v>30.7625472</v>
          </cell>
          <cell r="Z51">
            <v>4.7916000000000016</v>
          </cell>
          <cell r="AA51">
            <v>1.1879999999999999</v>
          </cell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R52">
            <v>3.3674572837831721E-2</v>
          </cell>
          <cell r="W52">
            <v>428.59553563636376</v>
          </cell>
          <cell r="X52">
            <v>335.7326606644362</v>
          </cell>
          <cell r="Y52">
            <v>29.850235699199999</v>
          </cell>
          <cell r="Z52">
            <v>4.6618880000000011</v>
          </cell>
          <cell r="AA52">
            <v>1.1596799999999998</v>
          </cell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R53">
            <v>3.2552087076570667E-2</v>
          </cell>
          <cell r="W53">
            <v>422.21262873667729</v>
          </cell>
          <cell r="X53">
            <v>332.18951514679861</v>
          </cell>
          <cell r="Y53">
            <v>29.483871013075863</v>
          </cell>
          <cell r="Z53">
            <v>4.6168926896551739</v>
          </cell>
          <cell r="AA53">
            <v>1.1522648275862069</v>
          </cell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R54">
            <v>3.1429601315309613E-2</v>
          </cell>
          <cell r="W54">
            <v>415.8517495203763</v>
          </cell>
          <cell r="X54">
            <v>328.62545543454775</v>
          </cell>
          <cell r="Y54">
            <v>29.116992010593101</v>
          </cell>
          <cell r="Z54">
            <v>4.5714968275862082</v>
          </cell>
          <cell r="AA54">
            <v>1.1446510344827585</v>
          </cell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R55">
            <v>3.0307115554048553E-2</v>
          </cell>
          <cell r="W55">
            <v>409.51289798746103</v>
          </cell>
          <cell r="X55">
            <v>325.04048152768388</v>
          </cell>
          <cell r="Y55">
            <v>28.749598691751729</v>
          </cell>
          <cell r="Z55">
            <v>4.5257004137931052</v>
          </cell>
          <cell r="AA55">
            <v>1.1368386206896552</v>
          </cell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R56">
            <v>2.9184629792787492E-2</v>
          </cell>
          <cell r="W56">
            <v>403.19607413793119</v>
          </cell>
          <cell r="X56">
            <v>321.43459342620673</v>
          </cell>
          <cell r="Y56">
            <v>28.381691056551727</v>
          </cell>
          <cell r="Z56">
            <v>4.4795034482758638</v>
          </cell>
          <cell r="AA56">
            <v>1.1288275862068964</v>
          </cell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R57">
            <v>2.8062144031526435E-2</v>
          </cell>
          <cell r="W57">
            <v>396.90127797178707</v>
          </cell>
          <cell r="X57">
            <v>317.80779113011653</v>
          </cell>
          <cell r="Y57">
            <v>28.013269104993107</v>
          </cell>
          <cell r="Z57">
            <v>4.432905931034484</v>
          </cell>
          <cell r="AA57">
            <v>1.1206179310344826</v>
          </cell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R58">
            <v>2.6939658270265378E-2</v>
          </cell>
          <cell r="W58">
            <v>390.62850948902832</v>
          </cell>
          <cell r="X58">
            <v>314.16007463941304</v>
          </cell>
          <cell r="Y58">
            <v>27.644332837075861</v>
          </cell>
          <cell r="Z58">
            <v>4.3859078620689669</v>
          </cell>
          <cell r="AA58">
            <v>1.1122096551724137</v>
          </cell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R59">
            <v>2.5817172509004321E-2</v>
          </cell>
          <cell r="W59">
            <v>384.37776868965534</v>
          </cell>
          <cell r="X59">
            <v>310.49144395409644</v>
          </cell>
          <cell r="Y59">
            <v>27.274882252800001</v>
          </cell>
          <cell r="Z59">
            <v>4.3385092413793123</v>
          </cell>
          <cell r="AA59">
            <v>1.1036027586206896</v>
          </cell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R60">
            <v>2.4694686747743264E-2</v>
          </cell>
          <cell r="W60">
            <v>378.14905557366779</v>
          </cell>
          <cell r="X60">
            <v>306.80189907416661</v>
          </cell>
          <cell r="Y60">
            <v>26.904917352165516</v>
          </cell>
          <cell r="Z60">
            <v>4.2907100689655175</v>
          </cell>
          <cell r="AA60">
            <v>1.0947972413793101</v>
          </cell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R61">
            <v>2.3572200986482206E-2</v>
          </cell>
          <cell r="W61">
            <v>371.94237014106602</v>
          </cell>
          <cell r="X61">
            <v>303.09143999962367</v>
          </cell>
          <cell r="Y61">
            <v>26.534438135172415</v>
          </cell>
          <cell r="Z61">
            <v>4.2425103448275872</v>
          </cell>
          <cell r="AA61">
            <v>1.0857931034482757</v>
          </cell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R62">
            <v>2.2449715225221149E-2</v>
          </cell>
          <cell r="W62">
            <v>365.75771239184962</v>
          </cell>
          <cell r="X62">
            <v>299.36006673046751</v>
          </cell>
          <cell r="Y62">
            <v>26.163444601820686</v>
          </cell>
          <cell r="Z62">
            <v>4.1939100689655175</v>
          </cell>
          <cell r="AA62">
            <v>1.076590344827586</v>
          </cell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R63">
            <v>2.1327229463960092E-2</v>
          </cell>
          <cell r="W63">
            <v>359.595082326019</v>
          </cell>
          <cell r="X63">
            <v>295.60777926669829</v>
          </cell>
          <cell r="Y63">
            <v>25.791936752110349</v>
          </cell>
          <cell r="Z63">
            <v>4.1449092413793123</v>
          </cell>
          <cell r="AA63">
            <v>1.0671889655172413</v>
          </cell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R64">
            <v>2.0204743702699032E-2</v>
          </cell>
          <cell r="W64">
            <v>353.45447994357386</v>
          </cell>
          <cell r="X64">
            <v>291.8345776083159</v>
          </cell>
          <cell r="Y64">
            <v>25.419914586041383</v>
          </cell>
          <cell r="Z64">
            <v>4.0955078620689669</v>
          </cell>
          <cell r="AA64">
            <v>1.0575889655172415</v>
          </cell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R65">
            <v>1.9082257941437978E-2</v>
          </cell>
          <cell r="W65">
            <v>347.33590524451427</v>
          </cell>
          <cell r="X65">
            <v>288.04046175532022</v>
          </cell>
          <cell r="Y65">
            <v>25.047378103613795</v>
          </cell>
          <cell r="Z65">
            <v>4.0457059310344841</v>
          </cell>
          <cell r="AA65">
            <v>1.047790344827586</v>
          </cell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R66">
            <v>1.9385150924635407E-2</v>
          </cell>
          <cell r="W66">
            <v>341.23935822884027</v>
          </cell>
          <cell r="X66">
            <v>284.22543170771149</v>
          </cell>
          <cell r="Y66">
            <v>24.674327304827589</v>
          </cell>
          <cell r="Z66">
            <v>3.9955034482758638</v>
          </cell>
          <cell r="AA66">
            <v>1.0377931034482759</v>
          </cell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R67">
            <v>1.9688043907832836E-2</v>
          </cell>
          <cell r="W67">
            <v>335.16483889655183</v>
          </cell>
          <cell r="X67">
            <v>280.38948746548954</v>
          </cell>
          <cell r="Y67">
            <v>24.300762189682757</v>
          </cell>
          <cell r="Z67">
            <v>3.9449004137931043</v>
          </cell>
          <cell r="AA67">
            <v>1.0275972413793102</v>
          </cell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R68">
            <v>1.9990936891030264E-2</v>
          </cell>
          <cell r="W68">
            <v>329.11234724764904</v>
          </cell>
          <cell r="X68">
            <v>276.53262902865441</v>
          </cell>
          <cell r="Y68">
            <v>23.926682758179311</v>
          </cell>
          <cell r="Z68">
            <v>3.8938968275862083</v>
          </cell>
          <cell r="AA68">
            <v>1.0172027586206895</v>
          </cell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R69">
            <v>2.029382987422769E-2</v>
          </cell>
          <cell r="W69">
            <v>323.08188328213174</v>
          </cell>
          <cell r="X69">
            <v>272.65485639720612</v>
          </cell>
          <cell r="Y69">
            <v>23.552089010317239</v>
          </cell>
          <cell r="Z69">
            <v>3.842492689655173</v>
          </cell>
          <cell r="AA69">
            <v>1.0066096551724135</v>
          </cell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R70">
            <v>2.0596722857425118E-2</v>
          </cell>
          <cell r="W70">
            <v>317.07344700000016</v>
          </cell>
          <cell r="X70">
            <v>268.75616957114471</v>
          </cell>
          <cell r="Y70">
            <v>23.176980946096556</v>
          </cell>
          <cell r="Z70">
            <v>3.7906880000000016</v>
          </cell>
          <cell r="AA70">
            <v>0.99581793103448268</v>
          </cell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R71">
            <v>2.0899615840622547E-2</v>
          </cell>
          <cell r="W71">
            <v>311.08703840125401</v>
          </cell>
          <cell r="X71">
            <v>264.83656855047008</v>
          </cell>
          <cell r="Y71">
            <v>22.801358565517244</v>
          </cell>
          <cell r="Z71">
            <v>3.7384827586206906</v>
          </cell>
          <cell r="AA71">
            <v>0.98482758620689637</v>
          </cell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R72">
            <v>2.1202508823819976E-2</v>
          </cell>
          <cell r="W72">
            <v>305.12265748589357</v>
          </cell>
          <cell r="X72">
            <v>260.89605333518233</v>
          </cell>
          <cell r="Y72">
            <v>22.425221868579314</v>
          </cell>
          <cell r="Z72">
            <v>3.6858769655172425</v>
          </cell>
          <cell r="AA72">
            <v>0.97363862068965512</v>
          </cell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R73">
            <v>2.1505401807017405E-2</v>
          </cell>
          <cell r="W73">
            <v>299.18030425391862</v>
          </cell>
          <cell r="X73">
            <v>256.93462392528141</v>
          </cell>
          <cell r="Y73">
            <v>22.048570855282762</v>
          </cell>
          <cell r="Z73">
            <v>3.6328706206896562</v>
          </cell>
          <cell r="AA73">
            <v>0.96225103448275862</v>
          </cell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R74">
            <v>2.1808294790214833E-2</v>
          </cell>
          <cell r="W74">
            <v>293.25997870532927</v>
          </cell>
          <cell r="X74">
            <v>252.95228032076727</v>
          </cell>
          <cell r="Y74">
            <v>21.671405525627588</v>
          </cell>
          <cell r="Z74">
            <v>3.5794637241379319</v>
          </cell>
          <cell r="AA74">
            <v>0.95066482758620674</v>
          </cell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R75">
            <v>2.2111187773412262E-2</v>
          </cell>
          <cell r="W75">
            <v>287.36168084012553</v>
          </cell>
          <cell r="X75">
            <v>248.94902252164002</v>
          </cell>
          <cell r="Y75">
            <v>21.293725879613795</v>
          </cell>
          <cell r="Z75">
            <v>3.5256562758620702</v>
          </cell>
          <cell r="AA75">
            <v>0.93887999999999994</v>
          </cell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R76">
            <v>2.2414080756609688E-2</v>
          </cell>
          <cell r="W76">
            <v>281.48541065830733</v>
          </cell>
          <cell r="X76">
            <v>244.92485052789957</v>
          </cell>
          <cell r="Y76">
            <v>20.915531917241378</v>
          </cell>
          <cell r="Z76">
            <v>3.4714482758620693</v>
          </cell>
          <cell r="AA76">
            <v>0.92689655172413765</v>
          </cell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R77">
            <v>2.2716973739807116E-2</v>
          </cell>
          <cell r="W77">
            <v>275.63116815987473</v>
          </cell>
          <cell r="X77">
            <v>240.87976433954603</v>
          </cell>
          <cell r="Y77">
            <v>20.536823638510349</v>
          </cell>
          <cell r="Z77">
            <v>3.4168397241379327</v>
          </cell>
          <cell r="AA77">
            <v>0.91471448275862066</v>
          </cell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R78">
            <v>2.3019866723004545E-2</v>
          </cell>
          <cell r="W78">
            <v>269.79895334482774</v>
          </cell>
          <cell r="X78">
            <v>236.81376395657921</v>
          </cell>
          <cell r="Y78">
            <v>20.157601043420691</v>
          </cell>
          <cell r="Z78">
            <v>3.361830620689656</v>
          </cell>
          <cell r="AA78">
            <v>0.90233379310344808</v>
          </cell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R79">
            <v>1.8209073441072077</v>
          </cell>
          <cell r="W79">
            <v>263.98876621316629</v>
          </cell>
          <cell r="X79">
            <v>232.7268493789993</v>
          </cell>
          <cell r="Y79">
            <v>19.777864131972418</v>
          </cell>
          <cell r="Z79">
            <v>3.3064209655172427</v>
          </cell>
          <cell r="AA79">
            <v>0.88975448275862057</v>
          </cell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R80">
            <v>1.572548153140173</v>
          </cell>
          <cell r="W80">
            <v>258.20060676489038</v>
          </cell>
          <cell r="X80">
            <v>228.61902060680615</v>
          </cell>
          <cell r="Y80">
            <v>19.397612904165516</v>
          </cell>
          <cell r="Z80">
            <v>3.2506107586206903</v>
          </cell>
          <cell r="AA80">
            <v>0.87697655172413769</v>
          </cell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R81">
            <v>1.3296398729137613</v>
          </cell>
          <cell r="W81">
            <v>252.43447500000011</v>
          </cell>
          <cell r="X81">
            <v>224.4902776399999</v>
          </cell>
          <cell r="Y81">
            <v>19.016847360000003</v>
          </cell>
          <cell r="Z81">
            <v>3.1944000000000008</v>
          </cell>
          <cell r="AA81">
            <v>0.86399999999999988</v>
          </cell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R82">
            <v>1.0921825034279726</v>
          </cell>
          <cell r="W82">
            <v>251.17370503875009</v>
          </cell>
          <cell r="X82">
            <v>224.13955671684883</v>
          </cell>
          <cell r="Y82">
            <v>18.962934597734399</v>
          </cell>
          <cell r="Z82">
            <v>3.191711380000001</v>
          </cell>
          <cell r="AA82">
            <v>0.86542559999999991</v>
          </cell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R83">
            <v>0.85472513394218408</v>
          </cell>
          <cell r="W83">
            <v>249.91573990500015</v>
          </cell>
          <cell r="X83">
            <v>223.78617639568901</v>
          </cell>
          <cell r="Y83">
            <v>18.908958445977603</v>
          </cell>
          <cell r="Z83">
            <v>3.1889695200000014</v>
          </cell>
          <cell r="AA83">
            <v>0.86682239999999999</v>
          </cell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R84">
            <v>0.67921212443781254</v>
          </cell>
          <cell r="W84">
            <v>248.66057959875008</v>
          </cell>
          <cell r="X84">
            <v>223.43013667652031</v>
          </cell>
          <cell r="Y84">
            <v>18.854918904729601</v>
          </cell>
          <cell r="Z84">
            <v>3.1861744200000008</v>
          </cell>
          <cell r="AA84">
            <v>0.86819039999999992</v>
          </cell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R85">
            <v>0.59661565490556434</v>
          </cell>
          <cell r="W85">
            <v>247.40822412000006</v>
          </cell>
          <cell r="X85">
            <v>223.07143755934285</v>
          </cell>
          <cell r="Y85">
            <v>18.800815973990403</v>
          </cell>
          <cell r="Z85">
            <v>3.1833260800000005</v>
          </cell>
          <cell r="AA85">
            <v>0.8695295999999999</v>
          </cell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R86">
            <v>0.51401918537331626</v>
          </cell>
          <cell r="W86">
            <v>246.1586734687501</v>
          </cell>
          <cell r="X86">
            <v>222.7100790441566</v>
          </cell>
          <cell r="Y86">
            <v>18.746649653760002</v>
          </cell>
          <cell r="Z86">
            <v>3.1804245000000009</v>
          </cell>
          <cell r="AA86">
            <v>0.87083999999999984</v>
          </cell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R87">
            <v>0.43142271584106812</v>
          </cell>
          <cell r="W87">
            <v>244.91192764500008</v>
          </cell>
          <cell r="X87">
            <v>222.34606113096154</v>
          </cell>
          <cell r="Y87">
            <v>18.692419944038399</v>
          </cell>
          <cell r="Z87">
            <v>3.1774696800000006</v>
          </cell>
          <cell r="AA87">
            <v>0.87212159999999983</v>
          </cell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R88">
            <v>0.34882624630881998</v>
          </cell>
          <cell r="W88">
            <v>243.66798664875006</v>
          </cell>
          <cell r="X88">
            <v>221.97938381975766</v>
          </cell>
          <cell r="Y88">
            <v>18.638126844825603</v>
          </cell>
          <cell r="Z88">
            <v>3.1744616200000007</v>
          </cell>
          <cell r="AA88">
            <v>0.87337439999999977</v>
          </cell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R89">
            <v>0.26622977677657178</v>
          </cell>
          <cell r="W89">
            <v>242.42685048000007</v>
          </cell>
          <cell r="X89">
            <v>221.610047110545</v>
          </cell>
          <cell r="Y89">
            <v>18.583770356121605</v>
          </cell>
          <cell r="Z89">
            <v>3.1714003200000014</v>
          </cell>
          <cell r="AA89">
            <v>0.87459839999999989</v>
          </cell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R90">
            <v>0.24697751957202035</v>
          </cell>
          <cell r="W90">
            <v>241.18851913875008</v>
          </cell>
          <cell r="X90">
            <v>221.23805100332353</v>
          </cell>
          <cell r="Y90">
            <v>18.5293504779264</v>
          </cell>
          <cell r="Z90">
            <v>3.1682857800000011</v>
          </cell>
          <cell r="AA90">
            <v>0.87579359999999995</v>
          </cell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R91">
            <v>0.22772526236746896</v>
          </cell>
          <cell r="W91">
            <v>239.95299262500004</v>
          </cell>
          <cell r="X91">
            <v>220.86339549809324</v>
          </cell>
          <cell r="Y91">
            <v>18.474867210239999</v>
          </cell>
          <cell r="Z91">
            <v>3.165118000000001</v>
          </cell>
          <cell r="AA91">
            <v>0.87695999999999985</v>
          </cell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R92">
            <v>0.20847300516291753</v>
          </cell>
          <cell r="W92">
            <v>238.72027093875008</v>
          </cell>
          <cell r="X92">
            <v>220.4860805948542</v>
          </cell>
          <cell r="Y92">
            <v>18.420320553062403</v>
          </cell>
          <cell r="Z92">
            <v>3.1618969800000007</v>
          </cell>
          <cell r="AA92">
            <v>0.87809759999999992</v>
          </cell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R93">
            <v>0.18922074795836613</v>
          </cell>
          <cell r="W93">
            <v>237.49035408000006</v>
          </cell>
          <cell r="X93">
            <v>220.10610629360633</v>
          </cell>
          <cell r="Y93">
            <v>18.365710506393601</v>
          </cell>
          <cell r="Z93">
            <v>3.1586227200000008</v>
          </cell>
          <cell r="AA93">
            <v>0.87920639999999994</v>
          </cell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R94">
            <v>0.1699684907538147</v>
          </cell>
          <cell r="W94">
            <v>236.26324204875004</v>
          </cell>
          <cell r="X94">
            <v>219.72347259434966</v>
          </cell>
          <cell r="Y94">
            <v>18.311037070233599</v>
          </cell>
          <cell r="Z94">
            <v>3.1552952200000006</v>
          </cell>
          <cell r="AA94">
            <v>0.8802863999999998</v>
          </cell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R95">
            <v>0.15071623354926328</v>
          </cell>
          <cell r="W95">
            <v>235.03893484500006</v>
          </cell>
          <cell r="X95">
            <v>219.33817949708421</v>
          </cell>
          <cell r="Y95">
            <v>18.256300244582402</v>
          </cell>
          <cell r="Z95">
            <v>3.1519144800000012</v>
          </cell>
          <cell r="AA95">
            <v>0.88133759999999994</v>
          </cell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R96">
            <v>0.13146397634471188</v>
          </cell>
          <cell r="W96">
            <v>233.81743246875004</v>
          </cell>
          <cell r="X96">
            <v>218.95022700180996</v>
          </cell>
          <cell r="Y96">
            <v>18.201500029439998</v>
          </cell>
          <cell r="Z96">
            <v>3.1484805000000007</v>
          </cell>
          <cell r="AA96">
            <v>0.88235999999999981</v>
          </cell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R97">
            <v>0.11221171914016045</v>
          </cell>
          <cell r="W97">
            <v>232.59873492000003</v>
          </cell>
          <cell r="X97">
            <v>218.55961510852688</v>
          </cell>
          <cell r="Y97">
            <v>18.146636424806402</v>
          </cell>
          <cell r="Z97">
            <v>3.1449932800000009</v>
          </cell>
          <cell r="AA97">
            <v>0.88335359999999985</v>
          </cell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R98">
            <v>9.2959461935609028E-2</v>
          </cell>
          <cell r="W98">
            <v>231.38284219875004</v>
          </cell>
          <cell r="X98">
            <v>218.16634381723503</v>
          </cell>
          <cell r="Y98">
            <v>18.0917094306816</v>
          </cell>
          <cell r="Z98">
            <v>3.1414528200000014</v>
          </cell>
          <cell r="AA98">
            <v>0.88431839999999995</v>
          </cell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R99">
            <v>8.1527011846405206E-2</v>
          </cell>
          <cell r="W99">
            <v>230.16975430500003</v>
          </cell>
          <cell r="X99">
            <v>217.77041312793438</v>
          </cell>
          <cell r="Y99">
            <v>18.036719047065599</v>
          </cell>
          <cell r="Z99">
            <v>3.1378591200000008</v>
          </cell>
          <cell r="AA99">
            <v>0.88525439999999977</v>
          </cell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R100">
            <v>7.7914368872549003E-2</v>
          </cell>
          <cell r="W100">
            <v>228.95947123875001</v>
          </cell>
          <cell r="X100">
            <v>217.37182304062489</v>
          </cell>
          <cell r="Y100">
            <v>17.981665273958399</v>
          </cell>
          <cell r="Z100">
            <v>3.1342121800000009</v>
          </cell>
          <cell r="AA100">
            <v>0.88616159999999988</v>
          </cell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R101">
            <v>7.43017258986928E-2</v>
          </cell>
          <cell r="W101">
            <v>227.75199300000003</v>
          </cell>
          <cell r="X101">
            <v>216.97057355530666</v>
          </cell>
          <cell r="Y101">
            <v>17.926548111360002</v>
          </cell>
          <cell r="Z101">
            <v>3.1305120000000008</v>
          </cell>
          <cell r="AA101">
            <v>0.88703999999999994</v>
          </cell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R102">
            <v>7.0689082924836583E-2</v>
          </cell>
          <cell r="W102">
            <v>226.54731958875001</v>
          </cell>
          <cell r="X102">
            <v>216.56666467197957</v>
          </cell>
          <cell r="Y102">
            <v>17.8713675592704</v>
          </cell>
          <cell r="Z102">
            <v>3.1267585800000011</v>
          </cell>
          <cell r="AA102">
            <v>0.88788959999999983</v>
          </cell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R103">
            <v>6.7076439950980379E-2</v>
          </cell>
          <cell r="W103">
            <v>225.345451005</v>
          </cell>
          <cell r="X103">
            <v>216.1600963906437</v>
          </cell>
          <cell r="Y103">
            <v>17.816123617689598</v>
          </cell>
          <cell r="Z103">
            <v>3.1229519200000007</v>
          </cell>
          <cell r="AA103">
            <v>0.88871039999999979</v>
          </cell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R104">
            <v>6.3463796977124176E-2</v>
          </cell>
          <cell r="W104">
            <v>224.14638724875002</v>
          </cell>
          <cell r="X104">
            <v>215.75086871129903</v>
          </cell>
          <cell r="Y104">
            <v>17.760816286617601</v>
          </cell>
          <cell r="Z104">
            <v>3.119092020000001</v>
          </cell>
          <cell r="AA104">
            <v>0.88950239999999992</v>
          </cell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R105">
            <v>5.9851154003267959E-2</v>
          </cell>
          <cell r="W105">
            <v>222.95012832</v>
          </cell>
          <cell r="X105">
            <v>215.33898163394556</v>
          </cell>
          <cell r="Y105">
            <v>17.705445566054401</v>
          </cell>
          <cell r="Z105">
            <v>3.1151788800000011</v>
          </cell>
          <cell r="AA105">
            <v>0.89026559999999988</v>
          </cell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R106">
            <v>5.6238511029411756E-2</v>
          </cell>
          <cell r="W106">
            <v>221.75667421874999</v>
          </cell>
          <cell r="X106">
            <v>214.92443515858329</v>
          </cell>
          <cell r="Y106">
            <v>17.650011456000001</v>
          </cell>
          <cell r="Z106">
            <v>3.1112125000000006</v>
          </cell>
          <cell r="AA106">
            <v>0.8909999999999999</v>
          </cell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R107">
            <v>5.2625868055555539E-2</v>
          </cell>
          <cell r="W107">
            <v>220.56602494500001</v>
          </cell>
          <cell r="X107">
            <v>214.50722928521225</v>
          </cell>
          <cell r="Y107">
            <v>17.594513956454403</v>
          </cell>
          <cell r="Z107">
            <v>3.1071928800000013</v>
          </cell>
          <cell r="AA107">
            <v>0.89170559999999999</v>
          </cell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R108">
            <v>4.9013225081699335E-2</v>
          </cell>
          <cell r="W108">
            <v>219.37818049875</v>
          </cell>
          <cell r="X108">
            <v>214.08736401383237</v>
          </cell>
          <cell r="Y108">
            <v>17.538953067417602</v>
          </cell>
          <cell r="Z108">
            <v>3.1031200200000009</v>
          </cell>
          <cell r="AA108">
            <v>0.89238239999999991</v>
          </cell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R109">
            <v>4.5400582107843125E-2</v>
          </cell>
          <cell r="W109">
            <v>218.19314087999999</v>
          </cell>
          <cell r="X109">
            <v>213.66483934444372</v>
          </cell>
          <cell r="Y109">
            <v>17.483328788889601</v>
          </cell>
          <cell r="Z109">
            <v>3.0989939200000007</v>
          </cell>
          <cell r="AA109">
            <v>0.89303039999999978</v>
          </cell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R110">
            <v>4.1787939133986915E-2</v>
          </cell>
          <cell r="W110">
            <v>217.01090608874998</v>
          </cell>
          <cell r="X110">
            <v>213.23965527704627</v>
          </cell>
          <cell r="Y110">
            <v>17.427641120870401</v>
          </cell>
          <cell r="Z110">
            <v>3.0948145800000009</v>
          </cell>
          <cell r="AA110">
            <v>0.89364959999999993</v>
          </cell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R111">
            <v>3.8175296160130712E-2</v>
          </cell>
          <cell r="W111">
            <v>215.83147612499999</v>
          </cell>
          <cell r="X111">
            <v>212.81181181163998</v>
          </cell>
          <cell r="Y111">
            <v>17.371890063360002</v>
          </cell>
          <cell r="Z111">
            <v>3.0905820000000008</v>
          </cell>
          <cell r="AA111">
            <v>0.89423999999999992</v>
          </cell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R112">
            <v>3.4562653186274502E-2</v>
          </cell>
          <cell r="W112">
            <v>214.23272445000001</v>
          </cell>
          <cell r="X112">
            <v>211.23542802044267</v>
          </cell>
          <cell r="Y112">
            <v>17.243209396224003</v>
          </cell>
          <cell r="Z112">
            <v>3.0676888000000009</v>
          </cell>
          <cell r="AA112">
            <v>0.88761599999999996</v>
          </cell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R113">
            <v>3.0950010212418291E-2</v>
          </cell>
          <cell r="W113">
            <v>212.63397277499999</v>
          </cell>
          <cell r="X113">
            <v>209.65904422924532</v>
          </cell>
          <cell r="Y113">
            <v>17.114528729088001</v>
          </cell>
          <cell r="Z113">
            <v>3.0447956000000009</v>
          </cell>
          <cell r="AA113">
            <v>0.88099199999999989</v>
          </cell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R114">
            <v>2.7337367238562081E-2</v>
          </cell>
          <cell r="W114">
            <v>211.03522109999997</v>
          </cell>
          <cell r="X114">
            <v>208.08266043804798</v>
          </cell>
          <cell r="Y114">
            <v>16.985848061952002</v>
          </cell>
          <cell r="Z114">
            <v>3.021902400000001</v>
          </cell>
          <cell r="AA114">
            <v>0.87436799999999992</v>
          </cell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R115">
            <v>2.5230680507497109E-2</v>
          </cell>
          <cell r="W115">
            <v>209.43646942499998</v>
          </cell>
          <cell r="X115">
            <v>206.50627664685067</v>
          </cell>
          <cell r="Y115">
            <v>16.857167394816003</v>
          </cell>
          <cell r="Z115">
            <v>2.999009200000001</v>
          </cell>
          <cell r="AA115">
            <v>0.86774399999999996</v>
          </cell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R116">
            <v>2.4629950019223367E-2</v>
          </cell>
          <cell r="W116">
            <v>207.83771775</v>
          </cell>
          <cell r="X116">
            <v>204.92989285565335</v>
          </cell>
          <cell r="Y116">
            <v>16.728486727680004</v>
          </cell>
          <cell r="Z116">
            <v>2.9761160000000011</v>
          </cell>
          <cell r="AA116">
            <v>0.86112</v>
          </cell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R117">
            <v>2.4029219530949629E-2</v>
          </cell>
          <cell r="W117">
            <v>206.23896607499995</v>
          </cell>
          <cell r="X117">
            <v>203.35350906445598</v>
          </cell>
          <cell r="Y117">
            <v>16.599806060543997</v>
          </cell>
          <cell r="Z117">
            <v>2.9532228000000003</v>
          </cell>
          <cell r="AA117">
            <v>0.85449599999999981</v>
          </cell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R118">
            <v>2.3428489042675887E-2</v>
          </cell>
          <cell r="W118">
            <v>204.64021439999996</v>
          </cell>
          <cell r="X118">
            <v>201.77712527325863</v>
          </cell>
          <cell r="Y118">
            <v>16.471125393407998</v>
          </cell>
          <cell r="Z118">
            <v>2.9303296000000008</v>
          </cell>
          <cell r="AA118">
            <v>0.84787199999999985</v>
          </cell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R119">
            <v>2.2827758554402146E-2</v>
          </cell>
          <cell r="W119">
            <v>203.04146272499997</v>
          </cell>
          <cell r="X119">
            <v>200.20074148206132</v>
          </cell>
          <cell r="Y119">
            <v>16.342444726271999</v>
          </cell>
          <cell r="Z119">
            <v>2.9074364000000008</v>
          </cell>
          <cell r="AA119">
            <v>0.84124799999999988</v>
          </cell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R120">
            <v>2.2227028066128404E-2</v>
          </cell>
          <cell r="W120">
            <v>201.44271104999999</v>
          </cell>
          <cell r="X120">
            <v>198.624357690864</v>
          </cell>
          <cell r="Y120">
            <v>16.213764059136</v>
          </cell>
          <cell r="Z120">
            <v>2.8845432000000009</v>
          </cell>
          <cell r="AA120">
            <v>0.83462399999999992</v>
          </cell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R121">
            <v>2.1626297577854666E-2</v>
          </cell>
          <cell r="W121">
            <v>199.84395937499997</v>
          </cell>
          <cell r="X121">
            <v>197.04797389966663</v>
          </cell>
          <cell r="Y121">
            <v>16.085083391999998</v>
          </cell>
          <cell r="Z121">
            <v>2.8616500000000005</v>
          </cell>
          <cell r="AA121">
            <v>0.82799999999999985</v>
          </cell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R122">
            <v>2.1025567089580924E-2</v>
          </cell>
          <cell r="W122">
            <v>198.24520769999998</v>
          </cell>
          <cell r="X122">
            <v>195.47159010846931</v>
          </cell>
          <cell r="Y122">
            <v>15.956402724864001</v>
          </cell>
          <cell r="Z122">
            <v>2.8387568000000005</v>
          </cell>
          <cell r="AA122">
            <v>0.82137599999999988</v>
          </cell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R123">
            <v>2.0424836601307186E-2</v>
          </cell>
          <cell r="W123">
            <v>196.64645602499999</v>
          </cell>
          <cell r="X123">
            <v>193.895206317272</v>
          </cell>
          <cell r="Y123">
            <v>15.827722057728002</v>
          </cell>
          <cell r="Z123">
            <v>2.8158636000000006</v>
          </cell>
          <cell r="AA123">
            <v>0.81475199999999992</v>
          </cell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R124">
            <v>1.9824106113033445E-2</v>
          </cell>
          <cell r="W124">
            <v>195.04770435</v>
          </cell>
          <cell r="X124">
            <v>192.31882252607468</v>
          </cell>
          <cell r="Y124">
            <v>15.699041390592001</v>
          </cell>
          <cell r="Z124">
            <v>2.7929704000000011</v>
          </cell>
          <cell r="AA124">
            <v>0.80812799999999996</v>
          </cell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R125">
            <v>1.9223375624759703E-2</v>
          </cell>
          <cell r="W125">
            <v>193.44895267499999</v>
          </cell>
          <cell r="X125">
            <v>190.74243873487731</v>
          </cell>
          <cell r="Y125">
            <v>15.570360723456</v>
          </cell>
          <cell r="Z125">
            <v>2.7700772000000007</v>
          </cell>
          <cell r="AA125">
            <v>0.80150399999999988</v>
          </cell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R126">
            <v>1.8622645136485962E-2</v>
          </cell>
          <cell r="W126">
            <v>191.850201</v>
          </cell>
          <cell r="X126">
            <v>189.16605494368</v>
          </cell>
          <cell r="Y126">
            <v>15.441680056320001</v>
          </cell>
          <cell r="Z126">
            <v>2.7471840000000007</v>
          </cell>
          <cell r="AA126">
            <v>0.79487999999999992</v>
          </cell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R127">
            <v>1.802191464821222E-2</v>
          </cell>
          <cell r="W127">
            <v>190.25144932500001</v>
          </cell>
          <cell r="X127">
            <v>187.58967115248268</v>
          </cell>
          <cell r="Y127">
            <v>15.312999389184002</v>
          </cell>
          <cell r="Z127">
            <v>2.7242908000000008</v>
          </cell>
          <cell r="AA127">
            <v>0.78825599999999996</v>
          </cell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R128">
            <v>1.7421184159938482E-2</v>
          </cell>
          <cell r="W128">
            <v>188.65269764999996</v>
          </cell>
          <cell r="X128">
            <v>186.01328736128531</v>
          </cell>
          <cell r="Y128">
            <v>15.184318722047999</v>
          </cell>
          <cell r="Z128">
            <v>2.7013976000000008</v>
          </cell>
          <cell r="AA128">
            <v>0.78163199999999988</v>
          </cell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R129">
            <v>1.682045367166474E-2</v>
          </cell>
          <cell r="W129">
            <v>187.05394597499998</v>
          </cell>
          <cell r="X129">
            <v>184.43690357008799</v>
          </cell>
          <cell r="Y129">
            <v>15.055638054912</v>
          </cell>
          <cell r="Z129">
            <v>2.6785044000000009</v>
          </cell>
          <cell r="AA129">
            <v>0.77500799999999992</v>
          </cell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R130">
            <v>1.6219723183391002E-2</v>
          </cell>
          <cell r="W130">
            <v>185.45519429999999</v>
          </cell>
          <cell r="X130">
            <v>182.86051977889068</v>
          </cell>
          <cell r="Y130">
            <v>14.926957387776001</v>
          </cell>
          <cell r="Z130">
            <v>2.6556112000000009</v>
          </cell>
          <cell r="AA130">
            <v>0.76838399999999996</v>
          </cell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R131">
            <v>1.5618992695117259E-2</v>
          </cell>
          <cell r="W131">
            <v>183.856442625</v>
          </cell>
          <cell r="X131">
            <v>181.28413598769336</v>
          </cell>
          <cell r="Y131">
            <v>14.798276720640002</v>
          </cell>
          <cell r="Z131">
            <v>2.632718000000001</v>
          </cell>
          <cell r="AA131">
            <v>0.76175999999999999</v>
          </cell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R132">
            <v>1.5018262206843519E-2</v>
          </cell>
          <cell r="W132">
            <v>182.25769094999998</v>
          </cell>
          <cell r="X132">
            <v>179.70775219649599</v>
          </cell>
          <cell r="Y132">
            <v>14.669596053504002</v>
          </cell>
          <cell r="Z132">
            <v>2.6098248000000006</v>
          </cell>
          <cell r="AA132">
            <v>0.75513599999999992</v>
          </cell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R133">
            <v>1.4417531718569777E-2</v>
          </cell>
          <cell r="W133">
            <v>180.65893927499999</v>
          </cell>
          <cell r="X133">
            <v>178.13136840529867</v>
          </cell>
          <cell r="Y133">
            <v>14.540915386368001</v>
          </cell>
          <cell r="Z133">
            <v>2.5869316000000007</v>
          </cell>
          <cell r="AA133">
            <v>0.74851199999999996</v>
          </cell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R134">
            <v>1.3816801230296038E-2</v>
          </cell>
          <cell r="W134">
            <v>179.06018760000001</v>
          </cell>
          <cell r="X134">
            <v>176.55498461410136</v>
          </cell>
          <cell r="Y134">
            <v>14.412234719232002</v>
          </cell>
          <cell r="Z134">
            <v>2.5640384000000012</v>
          </cell>
          <cell r="AA134">
            <v>0.74188799999999999</v>
          </cell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R135">
            <v>1.3216070742022298E-2</v>
          </cell>
          <cell r="W135">
            <v>177.46143592500002</v>
          </cell>
          <cell r="X135">
            <v>174.97860082290401</v>
          </cell>
          <cell r="Y135">
            <v>14.283554052096003</v>
          </cell>
          <cell r="Z135">
            <v>2.5411452000000012</v>
          </cell>
          <cell r="AA135">
            <v>0.73526400000000003</v>
          </cell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R136">
            <v>1.2615340253748556E-2</v>
          </cell>
          <cell r="W136">
            <v>175.86268425</v>
          </cell>
          <cell r="X136">
            <v>173.40221703170667</v>
          </cell>
          <cell r="Y136">
            <v>14.154873384960002</v>
          </cell>
          <cell r="Z136">
            <v>2.5182520000000008</v>
          </cell>
          <cell r="AA136">
            <v>0.72863999999999995</v>
          </cell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R137">
            <v>1.2014609765474816E-2</v>
          </cell>
          <cell r="W137">
            <v>174.26393257500001</v>
          </cell>
          <cell r="X137">
            <v>171.82583324050935</v>
          </cell>
          <cell r="Y137">
            <v>14.026192717824003</v>
          </cell>
          <cell r="Z137">
            <v>2.4953588000000009</v>
          </cell>
          <cell r="AA137">
            <v>0.72201599999999999</v>
          </cell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R138">
            <v>1.1413879277201075E-2</v>
          </cell>
          <cell r="W138">
            <v>172.66518090000002</v>
          </cell>
          <cell r="X138">
            <v>170.24944944931201</v>
          </cell>
          <cell r="Y138">
            <v>13.897512050688002</v>
          </cell>
          <cell r="Z138">
            <v>2.4724656000000009</v>
          </cell>
          <cell r="AA138">
            <v>0.71539200000000003</v>
          </cell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R139">
            <v>1.0813148788927335E-2</v>
          </cell>
          <cell r="W139">
            <v>171.06642922500001</v>
          </cell>
          <cell r="X139">
            <v>168.67306565811467</v>
          </cell>
          <cell r="Y139">
            <v>13.768831383552001</v>
          </cell>
          <cell r="Z139">
            <v>2.449572400000001</v>
          </cell>
          <cell r="AA139">
            <v>0.70876799999999995</v>
          </cell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R140">
            <v>1.0212418300653593E-2</v>
          </cell>
          <cell r="W140">
            <v>169.46767755000002</v>
          </cell>
          <cell r="X140">
            <v>167.09668186691735</v>
          </cell>
          <cell r="Y140">
            <v>13.640150716416002</v>
          </cell>
          <cell r="Z140">
            <v>2.426679200000001</v>
          </cell>
          <cell r="AA140">
            <v>0.70214399999999999</v>
          </cell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R141">
            <v>1.0286421331817749E-2</v>
          </cell>
          <cell r="W141">
            <v>167.868925875</v>
          </cell>
          <cell r="X141">
            <v>165.52029807572004</v>
          </cell>
          <cell r="Y141">
            <v>13.511470049280003</v>
          </cell>
          <cell r="Z141">
            <v>2.4037860000000011</v>
          </cell>
          <cell r="AA141">
            <v>0.69552000000000003</v>
          </cell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R142">
            <v>1.0360424362981907E-2</v>
          </cell>
          <cell r="W142">
            <v>167.06955003749997</v>
          </cell>
          <cell r="X142">
            <v>164.73210618012132</v>
          </cell>
          <cell r="Y142">
            <v>13.447129715712</v>
          </cell>
          <cell r="Z142">
            <v>2.3923394000000004</v>
          </cell>
          <cell r="AA142">
            <v>0.69220799999999982</v>
          </cell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R143">
            <v>1.0434427394146063E-2</v>
          </cell>
          <cell r="W143">
            <v>166.27017420000001</v>
          </cell>
          <cell r="X143">
            <v>163.94391428452269</v>
          </cell>
          <cell r="Y143">
            <v>13.382789382144004</v>
          </cell>
          <cell r="Z143">
            <v>2.3808928000000011</v>
          </cell>
          <cell r="AA143">
            <v>0.68889600000000006</v>
          </cell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R144">
            <v>1.0508430425310218E-2</v>
          </cell>
          <cell r="W144">
            <v>165.47079836250001</v>
          </cell>
          <cell r="X144">
            <v>163.15572238892403</v>
          </cell>
          <cell r="Y144">
            <v>13.318449048576003</v>
          </cell>
          <cell r="Z144">
            <v>2.3694462000000009</v>
          </cell>
          <cell r="AA144">
            <v>0.68558399999999997</v>
          </cell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R145">
            <v>1.0582433456474376E-2</v>
          </cell>
          <cell r="W145">
            <v>164.67142252499997</v>
          </cell>
          <cell r="X145">
            <v>162.36753049332532</v>
          </cell>
          <cell r="Y145">
            <v>13.254108715008</v>
          </cell>
          <cell r="Z145">
            <v>2.3579996000000008</v>
          </cell>
          <cell r="AA145">
            <v>0.68227199999999988</v>
          </cell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R146">
            <v>1.0656436487638532E-2</v>
          </cell>
          <cell r="W146">
            <v>163.87204668750002</v>
          </cell>
          <cell r="X146">
            <v>161.57933859772669</v>
          </cell>
          <cell r="Y146">
            <v>13.189768381440004</v>
          </cell>
          <cell r="Z146">
            <v>2.346553000000001</v>
          </cell>
          <cell r="AA146">
            <v>0.67896000000000001</v>
          </cell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R147">
            <v>1.0730439518802688E-2</v>
          </cell>
          <cell r="W147">
            <v>163.07267084999998</v>
          </cell>
          <cell r="X147">
            <v>160.791146702128</v>
          </cell>
          <cell r="Y147">
            <v>13.125428047872001</v>
          </cell>
          <cell r="Z147">
            <v>2.3351064000000008</v>
          </cell>
          <cell r="AA147">
            <v>0.67564799999999992</v>
          </cell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R148">
            <v>1.0804442549966846E-2</v>
          </cell>
          <cell r="W148">
            <v>162.27329501249997</v>
          </cell>
          <cell r="X148">
            <v>160.00295480652932</v>
          </cell>
          <cell r="Y148">
            <v>13.061087714304</v>
          </cell>
          <cell r="Z148">
            <v>2.3236598000000006</v>
          </cell>
          <cell r="AA148">
            <v>0.67233599999999982</v>
          </cell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R149">
            <v>1.0878445581131001E-2</v>
          </cell>
          <cell r="W149">
            <v>161.47391917499999</v>
          </cell>
          <cell r="X149">
            <v>159.21476291093066</v>
          </cell>
          <cell r="Y149">
            <v>12.996747380736002</v>
          </cell>
          <cell r="Z149">
            <v>2.3122132000000009</v>
          </cell>
          <cell r="AA149">
            <v>0.66902399999999995</v>
          </cell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R150">
            <v>1.0952448612295157E-2</v>
          </cell>
          <cell r="W150">
            <v>160.67454333749998</v>
          </cell>
          <cell r="X150">
            <v>158.426571015332</v>
          </cell>
          <cell r="Y150">
            <v>12.932407047168001</v>
          </cell>
          <cell r="Z150">
            <v>2.3007666000000007</v>
          </cell>
          <cell r="AA150">
            <v>0.66571199999999986</v>
          </cell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R151">
            <v>1.1026451643459315E-2</v>
          </cell>
          <cell r="W151">
            <v>159.87516749999998</v>
          </cell>
          <cell r="X151">
            <v>157.63837911973332</v>
          </cell>
          <cell r="Y151">
            <v>12.868066713599999</v>
          </cell>
          <cell r="Z151">
            <v>2.2893200000000005</v>
          </cell>
          <cell r="AA151">
            <v>0.66239999999999988</v>
          </cell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R152">
            <v>1.1100454674623471E-2</v>
          </cell>
          <cell r="W152">
            <v>159.0757916625</v>
          </cell>
          <cell r="X152">
            <v>156.85018722413469</v>
          </cell>
          <cell r="Y152">
            <v>12.803726380032002</v>
          </cell>
          <cell r="Z152">
            <v>2.2778734000000007</v>
          </cell>
          <cell r="AA152">
            <v>0.6590879999999999</v>
          </cell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R153">
            <v>1.1174457705787627E-2</v>
          </cell>
          <cell r="W153">
            <v>158.27641582499999</v>
          </cell>
          <cell r="X153">
            <v>156.061995328536</v>
          </cell>
          <cell r="Y153">
            <v>12.739386046464</v>
          </cell>
          <cell r="Z153">
            <v>2.2664268000000005</v>
          </cell>
          <cell r="AA153">
            <v>0.65577599999999991</v>
          </cell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R154">
            <v>2.9218906041832033</v>
          </cell>
          <cell r="W154">
            <v>157.47703998749998</v>
          </cell>
          <cell r="X154">
            <v>155.27380343293731</v>
          </cell>
          <cell r="Y154">
            <v>12.675045712895999</v>
          </cell>
          <cell r="Z154">
            <v>2.2549802000000003</v>
          </cell>
          <cell r="AA154">
            <v>0.65246399999999982</v>
          </cell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R155">
            <v>2.5271917331507723</v>
          </cell>
          <cell r="W155">
            <v>156.67766415</v>
          </cell>
          <cell r="X155">
            <v>154.48561153733868</v>
          </cell>
          <cell r="Y155">
            <v>12.610705379328001</v>
          </cell>
          <cell r="Z155">
            <v>2.2435336000000006</v>
          </cell>
          <cell r="AA155">
            <v>0.64915199999999995</v>
          </cell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R156">
            <v>2.1414089949602779</v>
          </cell>
          <cell r="W156">
            <v>155.87828831249999</v>
          </cell>
          <cell r="X156">
            <v>153.69741964174</v>
          </cell>
          <cell r="Y156">
            <v>12.54636504576</v>
          </cell>
          <cell r="Z156">
            <v>2.2320870000000008</v>
          </cell>
          <cell r="AA156">
            <v>0.64583999999999986</v>
          </cell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R157">
            <v>1.7645423896117198</v>
          </cell>
          <cell r="W157">
            <v>155.07891247499998</v>
          </cell>
          <cell r="X157">
            <v>152.90922774614131</v>
          </cell>
          <cell r="Y157">
            <v>12.482024712192</v>
          </cell>
          <cell r="Z157">
            <v>2.2206404000000006</v>
          </cell>
          <cell r="AA157">
            <v>0.64252799999999988</v>
          </cell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R158">
            <v>1.3876757842631615</v>
          </cell>
          <cell r="W158">
            <v>154.2795366375</v>
          </cell>
          <cell r="X158">
            <v>152.12103585054268</v>
          </cell>
          <cell r="Y158">
            <v>12.417684378624001</v>
          </cell>
          <cell r="Z158">
            <v>2.2091938000000009</v>
          </cell>
          <cell r="AA158">
            <v>0.63921600000000001</v>
          </cell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R159">
            <v>1.107709193325197</v>
          </cell>
          <cell r="W159">
            <v>153.48016079999999</v>
          </cell>
          <cell r="X159">
            <v>151.332843954944</v>
          </cell>
          <cell r="Y159">
            <v>12.353344045056001</v>
          </cell>
          <cell r="Z159">
            <v>2.1977472000000007</v>
          </cell>
          <cell r="AA159">
            <v>0.63590399999999991</v>
          </cell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R160">
            <v>0.97309262400311947</v>
          </cell>
          <cell r="W160">
            <v>152.68078496249998</v>
          </cell>
          <cell r="X160">
            <v>150.54465205934531</v>
          </cell>
          <cell r="Y160">
            <v>12.289003711488</v>
          </cell>
          <cell r="Z160">
            <v>2.1863006000000005</v>
          </cell>
          <cell r="AA160">
            <v>0.63259199999999982</v>
          </cell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R161">
            <v>0.83847605468104214</v>
          </cell>
          <cell r="W161">
            <v>151.881409125</v>
          </cell>
          <cell r="X161">
            <v>149.75646016374668</v>
          </cell>
          <cell r="Y161">
            <v>12.224663377920001</v>
          </cell>
          <cell r="Z161">
            <v>2.1748540000000007</v>
          </cell>
          <cell r="AA161">
            <v>0.62927999999999995</v>
          </cell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R162">
            <v>0.7038594853589647</v>
          </cell>
          <cell r="W162">
            <v>151.0820332875</v>
          </cell>
          <cell r="X162">
            <v>148.96826826814799</v>
          </cell>
          <cell r="Y162">
            <v>12.160323044352001</v>
          </cell>
          <cell r="Z162">
            <v>2.1634074000000005</v>
          </cell>
          <cell r="AA162">
            <v>0.62596799999999997</v>
          </cell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R163">
            <v>0.56924291603688726</v>
          </cell>
          <cell r="W163">
            <v>150.28265744999999</v>
          </cell>
          <cell r="X163">
            <v>148.18007637254931</v>
          </cell>
          <cell r="Y163">
            <v>12.095982710784</v>
          </cell>
          <cell r="Z163">
            <v>2.1519608000000003</v>
          </cell>
          <cell r="AA163">
            <v>0.62265599999999988</v>
          </cell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R164">
            <v>0.43462634671480987</v>
          </cell>
          <cell r="W164">
            <v>149.48328161249998</v>
          </cell>
          <cell r="X164">
            <v>147.39188447695065</v>
          </cell>
          <cell r="Y164">
            <v>12.031642377215999</v>
          </cell>
          <cell r="Z164">
            <v>2.1405142000000001</v>
          </cell>
          <cell r="AA164">
            <v>0.61934399999999989</v>
          </cell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R165">
            <v>0.40277508366331644</v>
          </cell>
          <cell r="W165">
            <v>148.683905775</v>
          </cell>
          <cell r="X165">
            <v>146.60369258135199</v>
          </cell>
          <cell r="Y165">
            <v>11.967302043648001</v>
          </cell>
          <cell r="Z165">
            <v>2.1290676000000004</v>
          </cell>
          <cell r="AA165">
            <v>0.61603199999999991</v>
          </cell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R166">
            <v>0.370923820611823</v>
          </cell>
          <cell r="W166">
            <v>147.88452993749999</v>
          </cell>
          <cell r="X166">
            <v>145.81550068575331</v>
          </cell>
          <cell r="Y166">
            <v>11.90296171008</v>
          </cell>
          <cell r="Z166">
            <v>2.1176210000000006</v>
          </cell>
          <cell r="AA166">
            <v>0.61271999999999993</v>
          </cell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R167">
            <v>0.33907255756032961</v>
          </cell>
          <cell r="W167">
            <v>147.08515409999998</v>
          </cell>
          <cell r="X167">
            <v>145.02730879015465</v>
          </cell>
          <cell r="Y167">
            <v>11.838621376511998</v>
          </cell>
          <cell r="Z167">
            <v>2.1061744000000004</v>
          </cell>
          <cell r="AA167">
            <v>0.60940799999999984</v>
          </cell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R168">
            <v>0.30722129450883617</v>
          </cell>
          <cell r="W168">
            <v>146.2857782625</v>
          </cell>
          <cell r="X168">
            <v>144.23911689455599</v>
          </cell>
          <cell r="Y168">
            <v>11.774281042944001</v>
          </cell>
          <cell r="Z168">
            <v>2.0947278000000007</v>
          </cell>
          <cell r="AA168">
            <v>0.60609599999999997</v>
          </cell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R169">
            <v>0.27537003145734273</v>
          </cell>
          <cell r="W169">
            <v>145.48640242499999</v>
          </cell>
          <cell r="X169">
            <v>143.45092499895733</v>
          </cell>
          <cell r="Y169">
            <v>11.709940709375999</v>
          </cell>
          <cell r="Z169">
            <v>2.0832812000000005</v>
          </cell>
          <cell r="AA169">
            <v>0.60278399999999988</v>
          </cell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R170">
            <v>0.2435187684058493</v>
          </cell>
          <cell r="W170">
            <v>144.68702658749999</v>
          </cell>
          <cell r="X170">
            <v>142.66273310335865</v>
          </cell>
          <cell r="Y170">
            <v>11.645600375808</v>
          </cell>
          <cell r="Z170">
            <v>2.0718346000000003</v>
          </cell>
          <cell r="AA170">
            <v>0.59947199999999989</v>
          </cell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R171">
            <v>0.21166750535435586</v>
          </cell>
          <cell r="W171">
            <v>143.88765074999998</v>
          </cell>
          <cell r="X171">
            <v>141.87454120775999</v>
          </cell>
          <cell r="Y171">
            <v>11.58126004224</v>
          </cell>
          <cell r="Z171">
            <v>2.0603880000000006</v>
          </cell>
          <cell r="AA171">
            <v>0.59615999999999991</v>
          </cell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R172">
            <v>0.17981624230286242</v>
          </cell>
          <cell r="W172">
            <v>143.048306120625</v>
          </cell>
          <cell r="X172">
            <v>141.04693971738141</v>
          </cell>
          <cell r="Y172">
            <v>11.513702691993601</v>
          </cell>
          <cell r="Z172">
            <v>2.0483690700000006</v>
          </cell>
          <cell r="AA172">
            <v>0.59268239999999994</v>
          </cell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R173">
            <v>0.14796497925136898</v>
          </cell>
          <cell r="W173">
            <v>142.20896149124999</v>
          </cell>
          <cell r="X173">
            <v>140.21933822700279</v>
          </cell>
          <cell r="Y173">
            <v>11.446145341747201</v>
          </cell>
          <cell r="Z173">
            <v>2.0363501400000006</v>
          </cell>
          <cell r="AA173">
            <v>0.58920479999999997</v>
          </cell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R174">
            <v>0.12918576198811574</v>
          </cell>
          <cell r="W174">
            <v>141.36961686187499</v>
          </cell>
          <cell r="X174">
            <v>139.39173673662421</v>
          </cell>
          <cell r="Y174">
            <v>11.378587991500801</v>
          </cell>
          <cell r="Z174">
            <v>2.0243312100000006</v>
          </cell>
          <cell r="AA174">
            <v>0.58572719999999989</v>
          </cell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R175">
            <v>0.1234785905131027</v>
          </cell>
          <cell r="W175">
            <v>140.53027223249998</v>
          </cell>
          <cell r="X175">
            <v>138.5641352462456</v>
          </cell>
          <cell r="Y175">
            <v>11.311030641254401</v>
          </cell>
          <cell r="Z175">
            <v>2.0123122800000006</v>
          </cell>
          <cell r="AA175">
            <v>0.58224959999999992</v>
          </cell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R176">
            <v>0.11777141903808966</v>
          </cell>
          <cell r="W176">
            <v>139.690927603125</v>
          </cell>
          <cell r="X176">
            <v>137.73653375586699</v>
          </cell>
          <cell r="Y176">
            <v>11.243473291008</v>
          </cell>
          <cell r="Z176">
            <v>2.0002933500000006</v>
          </cell>
          <cell r="AA176">
            <v>0.57877199999999995</v>
          </cell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R177">
            <v>0.11206424756307662</v>
          </cell>
          <cell r="W177">
            <v>138.85158297375</v>
          </cell>
          <cell r="X177">
            <v>136.9089322654884</v>
          </cell>
          <cell r="Y177">
            <v>11.1759159407616</v>
          </cell>
          <cell r="Z177">
            <v>1.9882744200000007</v>
          </cell>
          <cell r="AA177">
            <v>0.57529439999999987</v>
          </cell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R178">
            <v>0.10635707608806358</v>
          </cell>
          <cell r="W178">
            <v>138.01223834437499</v>
          </cell>
          <cell r="X178">
            <v>136.08133077510979</v>
          </cell>
          <cell r="Y178">
            <v>11.1083585905152</v>
          </cell>
          <cell r="Z178">
            <v>1.9762554900000007</v>
          </cell>
          <cell r="AA178">
            <v>0.5718167999999999</v>
          </cell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R179">
            <v>0.10064990461305054</v>
          </cell>
          <cell r="W179">
            <v>137.17289371499996</v>
          </cell>
          <cell r="X179">
            <v>135.25372928473118</v>
          </cell>
          <cell r="Y179">
            <v>11.040801240268799</v>
          </cell>
          <cell r="Z179">
            <v>1.9642365600000002</v>
          </cell>
          <cell r="AA179">
            <v>0.56833919999999982</v>
          </cell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R180">
            <v>9.4942733138037499E-2</v>
          </cell>
          <cell r="W180">
            <v>136.33354908562498</v>
          </cell>
          <cell r="X180">
            <v>134.4261277943526</v>
          </cell>
          <cell r="Y180">
            <v>10.973243890022401</v>
          </cell>
          <cell r="Z180">
            <v>1.9522176300000005</v>
          </cell>
          <cell r="AA180">
            <v>0.56486159999999996</v>
          </cell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R181">
            <v>8.923556166302446E-2</v>
          </cell>
          <cell r="W181">
            <v>135.49420445625</v>
          </cell>
          <cell r="X181">
            <v>133.59852630397398</v>
          </cell>
          <cell r="Y181">
            <v>10.905686539776001</v>
          </cell>
          <cell r="Z181">
            <v>1.9401987000000005</v>
          </cell>
          <cell r="AA181">
            <v>0.56138399999999988</v>
          </cell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R182">
            <v>8.352839018801142E-2</v>
          </cell>
          <cell r="W182">
            <v>134.654859826875</v>
          </cell>
          <cell r="X182">
            <v>132.7709248135954</v>
          </cell>
          <cell r="Y182">
            <v>10.838129189529601</v>
          </cell>
          <cell r="Z182">
            <v>1.9281797700000005</v>
          </cell>
          <cell r="AA182">
            <v>0.55790639999999991</v>
          </cell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R183">
            <v>7.782121871299838E-2</v>
          </cell>
          <cell r="W183">
            <v>133.81551519749999</v>
          </cell>
          <cell r="X183">
            <v>131.94332332321679</v>
          </cell>
          <cell r="Y183">
            <v>10.7705718392832</v>
          </cell>
          <cell r="Z183">
            <v>1.9161608400000005</v>
          </cell>
          <cell r="AA183">
            <v>0.55442879999999994</v>
          </cell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R184">
            <v>7.211404723798534E-2</v>
          </cell>
          <cell r="W184">
            <v>132.97617056812499</v>
          </cell>
          <cell r="X184">
            <v>131.1157218328382</v>
          </cell>
          <cell r="Y184">
            <v>10.7030144890368</v>
          </cell>
          <cell r="Z184">
            <v>1.9041419100000005</v>
          </cell>
          <cell r="AA184">
            <v>0.55095119999999997</v>
          </cell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R185">
            <v>6.6406875762972287E-2</v>
          </cell>
          <cell r="W185">
            <v>132.13682593874998</v>
          </cell>
          <cell r="X185">
            <v>130.28812034245959</v>
          </cell>
          <cell r="Y185">
            <v>10.6354571387904</v>
          </cell>
          <cell r="Z185">
            <v>1.8921229800000006</v>
          </cell>
          <cell r="AA185">
            <v>0.54747359999999989</v>
          </cell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R186">
            <v>6.0699704287959247E-2</v>
          </cell>
          <cell r="W186">
            <v>131.29748130937497</v>
          </cell>
          <cell r="X186">
            <v>129.46051885208098</v>
          </cell>
          <cell r="Y186">
            <v>10.567899788543999</v>
          </cell>
          <cell r="Z186">
            <v>1.8801040500000001</v>
          </cell>
          <cell r="AA186">
            <v>0.54399599999999981</v>
          </cell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R187">
            <v>5.4992532812946207E-2</v>
          </cell>
          <cell r="W187">
            <v>130.45813668</v>
          </cell>
          <cell r="X187">
            <v>128.6329173617024</v>
          </cell>
          <cell r="Y187">
            <v>10.500342438297601</v>
          </cell>
          <cell r="Z187">
            <v>1.8680851200000006</v>
          </cell>
          <cell r="AA187">
            <v>0.54051839999999995</v>
          </cell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R188">
            <v>4.9285361337933167E-2</v>
          </cell>
          <cell r="W188">
            <v>129.61879205062496</v>
          </cell>
          <cell r="X188">
            <v>127.80531587132377</v>
          </cell>
          <cell r="Y188">
            <v>10.432785088051197</v>
          </cell>
          <cell r="Z188">
            <v>1.8560661900000002</v>
          </cell>
          <cell r="AA188">
            <v>0.53704079999999976</v>
          </cell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R189">
            <v>4.3578189862920128E-2</v>
          </cell>
          <cell r="W189">
            <v>128.77944742124998</v>
          </cell>
          <cell r="X189">
            <v>126.9777143809452</v>
          </cell>
          <cell r="Y189">
            <v>10.365227737804801</v>
          </cell>
          <cell r="Z189">
            <v>1.8440472600000006</v>
          </cell>
          <cell r="AA189">
            <v>0.5335631999999999</v>
          </cell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R190">
            <v>4.024549113570286E-2</v>
          </cell>
          <cell r="W190">
            <v>127.94010279187499</v>
          </cell>
          <cell r="X190">
            <v>126.1501128905666</v>
          </cell>
          <cell r="Y190">
            <v>10.2976703875584</v>
          </cell>
          <cell r="Z190">
            <v>1.8320283300000004</v>
          </cell>
          <cell r="AA190">
            <v>0.53008559999999993</v>
          </cell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R191">
            <v>3.9287265156281365E-2</v>
          </cell>
          <cell r="W191">
            <v>127.10075816249999</v>
          </cell>
          <cell r="X191">
            <v>125.32251140018799</v>
          </cell>
          <cell r="Y191">
            <v>10.230113037312</v>
          </cell>
          <cell r="Z191">
            <v>1.8200094000000004</v>
          </cell>
          <cell r="AA191">
            <v>0.52660799999999997</v>
          </cell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R192">
            <v>3.8329039176859869E-2</v>
          </cell>
          <cell r="W192">
            <v>126.26141353312499</v>
          </cell>
          <cell r="X192">
            <v>124.49490990980939</v>
          </cell>
          <cell r="Y192">
            <v>10.1625556870656</v>
          </cell>
          <cell r="Z192">
            <v>1.8079904700000005</v>
          </cell>
          <cell r="AA192">
            <v>0.52313039999999988</v>
          </cell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R193">
            <v>3.7370813197438367E-2</v>
          </cell>
          <cell r="W193">
            <v>125.42206890374999</v>
          </cell>
          <cell r="X193">
            <v>123.6673084194308</v>
          </cell>
          <cell r="Y193">
            <v>10.0949983368192</v>
          </cell>
          <cell r="Z193">
            <v>1.7959715400000005</v>
          </cell>
          <cell r="AA193">
            <v>0.51965279999999991</v>
          </cell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R194">
            <v>3.6412587218016872E-2</v>
          </cell>
          <cell r="W194">
            <v>124.582724274375</v>
          </cell>
          <cell r="X194">
            <v>122.8397069290522</v>
          </cell>
          <cell r="Y194">
            <v>10.027440986572801</v>
          </cell>
          <cell r="Z194">
            <v>1.7839526100000005</v>
          </cell>
          <cell r="AA194">
            <v>0.51617519999999995</v>
          </cell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R195">
            <v>3.5454361238595376E-2</v>
          </cell>
          <cell r="W195">
            <v>123.74337964499996</v>
          </cell>
          <cell r="X195">
            <v>122.01210543867357</v>
          </cell>
          <cell r="Y195">
            <v>9.9598836363263974</v>
          </cell>
          <cell r="Z195">
            <v>1.7719336800000001</v>
          </cell>
          <cell r="AA195">
            <v>0.51269759999999986</v>
          </cell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R196">
            <v>3.4496135259173881E-2</v>
          </cell>
          <cell r="W196">
            <v>122.904035015625</v>
          </cell>
          <cell r="X196">
            <v>121.184503948295</v>
          </cell>
          <cell r="Y196">
            <v>9.8923262860800012</v>
          </cell>
          <cell r="Z196">
            <v>1.7599147500000005</v>
          </cell>
          <cell r="AA196">
            <v>0.50921999999999989</v>
          </cell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R197">
            <v>3.3537909279752386E-2</v>
          </cell>
          <cell r="W197">
            <v>122.06469038624998</v>
          </cell>
          <cell r="X197">
            <v>120.35690245791638</v>
          </cell>
          <cell r="Y197">
            <v>9.8247689358335997</v>
          </cell>
          <cell r="Z197">
            <v>1.7478958200000003</v>
          </cell>
          <cell r="AA197">
            <v>0.50574239999999993</v>
          </cell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R198">
            <v>3.2579683300330883E-2</v>
          </cell>
          <cell r="W198">
            <v>121.22534575687499</v>
          </cell>
          <cell r="X198">
            <v>119.52930096753779</v>
          </cell>
          <cell r="Y198">
            <v>9.7572115855871999</v>
          </cell>
          <cell r="Z198">
            <v>1.7358768900000006</v>
          </cell>
          <cell r="AA198">
            <v>0.50226479999999996</v>
          </cell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R199">
            <v>3.1621457320909388E-2</v>
          </cell>
          <cell r="W199">
            <v>120.38600112749998</v>
          </cell>
          <cell r="X199">
            <v>118.70169947715918</v>
          </cell>
          <cell r="Y199">
            <v>9.6896542353408002</v>
          </cell>
          <cell r="Z199">
            <v>1.7238579600000004</v>
          </cell>
          <cell r="AA199">
            <v>0.49878719999999988</v>
          </cell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R200">
            <v>3.0663231341487893E-2</v>
          </cell>
          <cell r="W200">
            <v>119.54665649812497</v>
          </cell>
          <cell r="X200">
            <v>117.87409798678058</v>
          </cell>
          <cell r="Y200">
            <v>9.6220968850943986</v>
          </cell>
          <cell r="Z200">
            <v>1.7118390300000004</v>
          </cell>
          <cell r="AA200">
            <v>0.49530959999999985</v>
          </cell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R201">
            <v>2.9705005362066397E-2</v>
          </cell>
          <cell r="W201">
            <v>118.70731186874998</v>
          </cell>
          <cell r="X201">
            <v>117.04649649640199</v>
          </cell>
          <cell r="Y201">
            <v>9.5545395348479989</v>
          </cell>
          <cell r="Z201">
            <v>1.6998201000000004</v>
          </cell>
          <cell r="AA201">
            <v>0.49183199999999988</v>
          </cell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R202">
            <v>2.8746779382644902E-2</v>
          </cell>
          <cell r="W202">
            <v>118.01485254951561</v>
          </cell>
          <cell r="X202">
            <v>116.36372526683964</v>
          </cell>
          <cell r="Y202">
            <v>9.4988047208947197</v>
          </cell>
          <cell r="Z202">
            <v>1.6899044827500003</v>
          </cell>
          <cell r="AA202">
            <v>0.48896297999999988</v>
          </cell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R203">
            <v>2.7788553403223407E-2</v>
          </cell>
          <cell r="W203">
            <v>117.32239323028124</v>
          </cell>
          <cell r="X203">
            <v>115.6809540372773</v>
          </cell>
          <cell r="Y203">
            <v>9.4430699069414405</v>
          </cell>
          <cell r="Z203">
            <v>1.6799888655000004</v>
          </cell>
          <cell r="AA203">
            <v>0.48609395999999988</v>
          </cell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R204">
            <v>2.6830327423801908E-2</v>
          </cell>
          <cell r="W204">
            <v>116.62993391104686</v>
          </cell>
          <cell r="X204">
            <v>114.99818280771495</v>
          </cell>
          <cell r="Y204">
            <v>9.3873350929881596</v>
          </cell>
          <cell r="Z204">
            <v>1.6700732482500005</v>
          </cell>
          <cell r="AA204">
            <v>0.48322493999999994</v>
          </cell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R205">
            <v>2.5872101444380409E-2</v>
          </cell>
          <cell r="W205">
            <v>115.93747459181247</v>
          </cell>
          <cell r="X205">
            <v>114.31541157815261</v>
          </cell>
          <cell r="Y205">
            <v>9.3316002790348787</v>
          </cell>
          <cell r="Z205">
            <v>1.6601576310000001</v>
          </cell>
          <cell r="AA205">
            <v>0.48035591999999988</v>
          </cell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R206">
            <v>2.4913875464958914E-2</v>
          </cell>
          <cell r="W206">
            <v>115.2450152725781</v>
          </cell>
          <cell r="X206">
            <v>113.63264034859026</v>
          </cell>
          <cell r="Y206">
            <v>9.2758654650815995</v>
          </cell>
          <cell r="Z206">
            <v>1.6502420137500002</v>
          </cell>
          <cell r="AA206">
            <v>0.47748689999999988</v>
          </cell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R207">
            <v>2.3955649485537418E-2</v>
          </cell>
          <cell r="W207">
            <v>114.55255595334373</v>
          </cell>
          <cell r="X207">
            <v>112.94986911902792</v>
          </cell>
          <cell r="Y207">
            <v>9.2201306511283203</v>
          </cell>
          <cell r="Z207">
            <v>1.6403263965000003</v>
          </cell>
          <cell r="AA207">
            <v>0.47461787999999988</v>
          </cell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R208">
            <v>2.2997423506115923E-2</v>
          </cell>
          <cell r="W208">
            <v>113.86009663410934</v>
          </cell>
          <cell r="X208">
            <v>112.26709788946556</v>
          </cell>
          <cell r="Y208">
            <v>9.1643958371750394</v>
          </cell>
          <cell r="Z208">
            <v>1.6304107792500002</v>
          </cell>
          <cell r="AA208">
            <v>0.47174885999999983</v>
          </cell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R209">
            <v>2.2039197526694424E-2</v>
          </cell>
          <cell r="W209">
            <v>113.16763731487498</v>
          </cell>
          <cell r="X209">
            <v>111.58432665990323</v>
          </cell>
          <cell r="Y209">
            <v>9.1086610232217602</v>
          </cell>
          <cell r="Z209">
            <v>1.6204951620000003</v>
          </cell>
          <cell r="AA209">
            <v>0.46887983999999994</v>
          </cell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R210">
            <v>2.1080971547272929E-2</v>
          </cell>
          <cell r="W210">
            <v>112.47517799564061</v>
          </cell>
          <cell r="X210">
            <v>110.90155543034088</v>
          </cell>
          <cell r="Y210">
            <v>9.0529262092684792</v>
          </cell>
          <cell r="Z210">
            <v>1.6105795447500002</v>
          </cell>
          <cell r="AA210">
            <v>0.46601081999999988</v>
          </cell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R211">
            <v>2.0122745567851433E-2</v>
          </cell>
          <cell r="W211">
            <v>111.78271867640623</v>
          </cell>
          <cell r="X211">
            <v>110.21878420077853</v>
          </cell>
          <cell r="Y211">
            <v>8.9971913953152001</v>
          </cell>
          <cell r="Z211">
            <v>1.6006639275000003</v>
          </cell>
          <cell r="AA211">
            <v>0.46314179999999988</v>
          </cell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R212">
            <v>1.9164519588429935E-2</v>
          </cell>
          <cell r="W212">
            <v>111.09025935717186</v>
          </cell>
          <cell r="X212">
            <v>109.53601297121619</v>
          </cell>
          <cell r="Y212">
            <v>8.9414565813619191</v>
          </cell>
          <cell r="Z212">
            <v>1.5907483102500002</v>
          </cell>
          <cell r="AA212">
            <v>0.46027277999999988</v>
          </cell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R213">
            <v>1.8206293609008439E-2</v>
          </cell>
          <cell r="W213">
            <v>110.39780003793747</v>
          </cell>
          <cell r="X213">
            <v>108.85324174165383</v>
          </cell>
          <cell r="Y213">
            <v>8.8857217674086382</v>
          </cell>
          <cell r="Z213">
            <v>1.5808326930000001</v>
          </cell>
          <cell r="AA213">
            <v>0.45740375999999983</v>
          </cell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R214">
            <v>1.7248067629586944E-2</v>
          </cell>
          <cell r="W214">
            <v>109.70534071870311</v>
          </cell>
          <cell r="X214">
            <v>108.17047051209151</v>
          </cell>
          <cell r="Y214">
            <v>8.8299869534553608</v>
          </cell>
          <cell r="Z214">
            <v>1.5709170757500004</v>
          </cell>
          <cell r="AA214">
            <v>0.45453473999999994</v>
          </cell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R215">
            <v>1.6289841650165445E-2</v>
          </cell>
          <cell r="W215">
            <v>109.01288139946872</v>
          </cell>
          <cell r="X215">
            <v>107.48769928252915</v>
          </cell>
          <cell r="Y215">
            <v>8.7742521395020798</v>
          </cell>
          <cell r="Z215">
            <v>1.5610014585000003</v>
          </cell>
          <cell r="AA215">
            <v>0.45166571999999988</v>
          </cell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R216">
            <v>1.6289841650165445E-2</v>
          </cell>
          <cell r="W216">
            <v>108.32042208023435</v>
          </cell>
          <cell r="X216">
            <v>106.80492805296682</v>
          </cell>
          <cell r="Y216">
            <v>8.7185173255487989</v>
          </cell>
          <cell r="Z216">
            <v>1.5510858412500002</v>
          </cell>
          <cell r="AA216">
            <v>0.44879669999999988</v>
          </cell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R217">
            <v>1.6289841650165445E-2</v>
          </cell>
          <cell r="W217">
            <v>107.62796276099998</v>
          </cell>
          <cell r="X217">
            <v>106.12215682340447</v>
          </cell>
          <cell r="Y217">
            <v>8.6627825115955197</v>
          </cell>
          <cell r="Z217">
            <v>1.5411702240000003</v>
          </cell>
          <cell r="AA217">
            <v>0.44592767999999988</v>
          </cell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R218">
            <v>1.6289841650165445E-2</v>
          </cell>
          <cell r="W218">
            <v>106.93550344176559</v>
          </cell>
          <cell r="X218">
            <v>105.4393855938421</v>
          </cell>
          <cell r="Y218">
            <v>8.6070476976422388</v>
          </cell>
          <cell r="Z218">
            <v>1.5312546067500001</v>
          </cell>
          <cell r="AA218">
            <v>0.44305865999999983</v>
          </cell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R219">
            <v>1.6289841650165445E-2</v>
          </cell>
          <cell r="W219">
            <v>106.24304412253122</v>
          </cell>
          <cell r="X219">
            <v>104.75661436427977</v>
          </cell>
          <cell r="Y219">
            <v>8.5513128836889596</v>
          </cell>
          <cell r="Z219">
            <v>1.5213389895000002</v>
          </cell>
          <cell r="AA219">
            <v>0.44018963999999988</v>
          </cell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R220">
            <v>1.6289841650165445E-2</v>
          </cell>
          <cell r="W220">
            <v>105.55058480329686</v>
          </cell>
          <cell r="X220">
            <v>104.07384313471742</v>
          </cell>
          <cell r="Y220">
            <v>8.4955780697356786</v>
          </cell>
          <cell r="Z220">
            <v>1.5114233722500001</v>
          </cell>
          <cell r="AA220">
            <v>0.43732061999999988</v>
          </cell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R221">
            <v>1.6289841650165445E-2</v>
          </cell>
          <cell r="W221">
            <v>104.85812548406248</v>
          </cell>
          <cell r="X221">
            <v>103.39107190515509</v>
          </cell>
          <cell r="Y221">
            <v>8.4398432557823995</v>
          </cell>
          <cell r="Z221">
            <v>1.5015077550000002</v>
          </cell>
          <cell r="AA221">
            <v>0.43445159999999988</v>
          </cell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R222">
            <v>1.6289841650165445E-2</v>
          </cell>
          <cell r="W222">
            <v>104.16566616482811</v>
          </cell>
          <cell r="X222">
            <v>102.70830067559274</v>
          </cell>
          <cell r="Y222">
            <v>8.3841084418291203</v>
          </cell>
          <cell r="Z222">
            <v>1.4915921377500003</v>
          </cell>
          <cell r="AA222">
            <v>0.43158257999999988</v>
          </cell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R223">
            <v>1.6289841650165445E-2</v>
          </cell>
          <cell r="W223">
            <v>103.47320684559372</v>
          </cell>
          <cell r="X223">
            <v>102.02552944603039</v>
          </cell>
          <cell r="Y223">
            <v>8.3283736278758393</v>
          </cell>
          <cell r="Z223">
            <v>1.4816765205000002</v>
          </cell>
          <cell r="AA223">
            <v>0.42871355999999983</v>
          </cell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R224">
            <v>1.6289841650165445E-2</v>
          </cell>
          <cell r="W224">
            <v>102.78074752635935</v>
          </cell>
          <cell r="X224">
            <v>101.34275821646804</v>
          </cell>
          <cell r="Y224">
            <v>8.2726388139225584</v>
          </cell>
          <cell r="Z224">
            <v>1.4717609032500001</v>
          </cell>
          <cell r="AA224">
            <v>0.42584453999999988</v>
          </cell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R225">
            <v>1.6289841650165445E-2</v>
          </cell>
          <cell r="W225">
            <v>102.08828820712499</v>
          </cell>
          <cell r="X225">
            <v>100.65998698690572</v>
          </cell>
          <cell r="Y225">
            <v>8.216903999969281</v>
          </cell>
          <cell r="Z225">
            <v>1.4618452860000004</v>
          </cell>
          <cell r="AA225">
            <v>0.42297551999999994</v>
          </cell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R226">
            <v>1.6289841650165445E-2</v>
          </cell>
          <cell r="W226">
            <v>101.3958288878906</v>
          </cell>
          <cell r="X226">
            <v>99.977215757343359</v>
          </cell>
          <cell r="Y226">
            <v>8.1611691860160001</v>
          </cell>
          <cell r="Z226">
            <v>1.4519296687500003</v>
          </cell>
          <cell r="AA226">
            <v>0.42010649999999988</v>
          </cell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R227">
            <v>1.6289841650165445E-2</v>
          </cell>
          <cell r="W227">
            <v>100.70336956865623</v>
          </cell>
          <cell r="X227">
            <v>99.29444452778101</v>
          </cell>
          <cell r="Y227">
            <v>8.1054343720627191</v>
          </cell>
          <cell r="Z227">
            <v>1.4420140515000002</v>
          </cell>
          <cell r="AA227">
            <v>0.41723747999999988</v>
          </cell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R228">
            <v>1.6289841650165445E-2</v>
          </cell>
          <cell r="W228">
            <v>100.01091024942184</v>
          </cell>
          <cell r="X228">
            <v>98.611673298218662</v>
          </cell>
          <cell r="Y228">
            <v>8.0496995581094382</v>
          </cell>
          <cell r="Z228">
            <v>1.4320984342500001</v>
          </cell>
          <cell r="AA228">
            <v>0.41436845999999983</v>
          </cell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R229">
            <v>1.6289841650165445E-2</v>
          </cell>
          <cell r="W229">
            <v>99.318450930187481</v>
          </cell>
          <cell r="X229">
            <v>97.928902068656313</v>
          </cell>
          <cell r="Y229">
            <v>7.993964744156159</v>
          </cell>
          <cell r="Z229">
            <v>1.4221828170000002</v>
          </cell>
          <cell r="AA229">
            <v>0.41149943999999988</v>
          </cell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R230">
            <v>1.6289841650165445E-2</v>
          </cell>
          <cell r="W230">
            <v>98.625991610953093</v>
          </cell>
          <cell r="X230">
            <v>97.246130839093965</v>
          </cell>
          <cell r="Y230">
            <v>7.938229930202878</v>
          </cell>
          <cell r="Z230">
            <v>1.41226719975</v>
          </cell>
          <cell r="AA230">
            <v>0.40863041999999983</v>
          </cell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R231">
            <v>1.6289841650165445E-2</v>
          </cell>
          <cell r="W231">
            <v>97.933532291718734</v>
          </cell>
          <cell r="X231">
            <v>96.563359609531631</v>
          </cell>
          <cell r="Y231">
            <v>7.8824951162495989</v>
          </cell>
          <cell r="Z231">
            <v>1.4023515825000001</v>
          </cell>
          <cell r="AA231">
            <v>0.40576139999999988</v>
          </cell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R232">
            <v>1.6289841650165445E-2</v>
          </cell>
          <cell r="W232">
            <v>97.362253353350368</v>
          </cell>
          <cell r="X232">
            <v>96.00007334514271</v>
          </cell>
          <cell r="Y232">
            <v>7.8365138947381432</v>
          </cell>
          <cell r="Z232">
            <v>1.3941711982687504</v>
          </cell>
          <cell r="AA232">
            <v>0.40339445849999989</v>
          </cell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R233">
            <v>1.6289841650165445E-2</v>
          </cell>
          <cell r="W233">
            <v>96.790974414982003</v>
          </cell>
          <cell r="X233">
            <v>95.43678708075376</v>
          </cell>
          <cell r="Y233">
            <v>7.7905326732266866</v>
          </cell>
          <cell r="Z233">
            <v>1.3859908140375001</v>
          </cell>
          <cell r="AA233">
            <v>0.40102751699999983</v>
          </cell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R234">
            <v>1.6289841650165445E-2</v>
          </cell>
          <cell r="W234">
            <v>96.219695476613651</v>
          </cell>
          <cell r="X234">
            <v>94.873500816364825</v>
          </cell>
          <cell r="Y234">
            <v>7.744551451715231</v>
          </cell>
          <cell r="Z234">
            <v>1.3778104298062501</v>
          </cell>
          <cell r="AA234">
            <v>0.39866057549999989</v>
          </cell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R235">
            <v>1.6289841650165445E-2</v>
          </cell>
          <cell r="W235">
            <v>95.648416538245286</v>
          </cell>
          <cell r="X235">
            <v>94.310214551975889</v>
          </cell>
          <cell r="Y235">
            <v>7.6985702302037753</v>
          </cell>
          <cell r="Z235">
            <v>1.3696300455750001</v>
          </cell>
          <cell r="AA235">
            <v>0.39629363399999989</v>
          </cell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R236">
            <v>1.6289841650165445E-2</v>
          </cell>
          <cell r="W236">
            <v>95.07713759987692</v>
          </cell>
          <cell r="X236">
            <v>93.746928287586954</v>
          </cell>
          <cell r="Y236">
            <v>7.6525890086923187</v>
          </cell>
          <cell r="Z236">
            <v>1.3614496613437501</v>
          </cell>
          <cell r="AA236">
            <v>0.39392669249999984</v>
          </cell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R237">
            <v>1.6289841650165445E-2</v>
          </cell>
          <cell r="W237">
            <v>94.505858661508569</v>
          </cell>
          <cell r="X237">
            <v>93.183642023198018</v>
          </cell>
          <cell r="Y237">
            <v>7.6066077871808631</v>
          </cell>
          <cell r="Z237">
            <v>1.3532692771125001</v>
          </cell>
          <cell r="AA237">
            <v>0.39155975099999984</v>
          </cell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R238">
            <v>1.6289841650165445E-2</v>
          </cell>
          <cell r="W238">
            <v>93.934579723140203</v>
          </cell>
          <cell r="X238">
            <v>92.620355758809083</v>
          </cell>
          <cell r="Y238">
            <v>7.5606265656694065</v>
          </cell>
          <cell r="Z238">
            <v>1.3450888928812501</v>
          </cell>
          <cell r="AA238">
            <v>0.38919280949999985</v>
          </cell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R239">
            <v>1.6289841650165445E-2</v>
          </cell>
          <cell r="W239">
            <v>93.363300784771852</v>
          </cell>
          <cell r="X239">
            <v>92.057069494420162</v>
          </cell>
          <cell r="Y239">
            <v>7.5146453441579508</v>
          </cell>
          <cell r="Z239">
            <v>1.3369085086500001</v>
          </cell>
          <cell r="AA239">
            <v>0.38682586799999991</v>
          </cell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R240">
            <v>1.6289841650165445E-2</v>
          </cell>
          <cell r="W240">
            <v>92.792021846403486</v>
          </cell>
          <cell r="X240">
            <v>91.493783230031212</v>
          </cell>
          <cell r="Y240">
            <v>7.4686641226464943</v>
          </cell>
          <cell r="Z240">
            <v>1.3287281244187501</v>
          </cell>
          <cell r="AA240">
            <v>0.38445892649999985</v>
          </cell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R241">
            <v>1.6289841650165445E-2</v>
          </cell>
          <cell r="W241">
            <v>92.220742908035135</v>
          </cell>
          <cell r="X241">
            <v>90.930496965642277</v>
          </cell>
          <cell r="Y241">
            <v>7.4226829011350386</v>
          </cell>
          <cell r="Z241">
            <v>1.3205477401875001</v>
          </cell>
          <cell r="AA241">
            <v>0.38209198499999986</v>
          </cell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R242">
            <v>1.6289841650165445E-2</v>
          </cell>
          <cell r="W242">
            <v>91.649463969666769</v>
          </cell>
          <cell r="X242">
            <v>90.367210701253342</v>
          </cell>
          <cell r="Y242">
            <v>7.3767016796235829</v>
          </cell>
          <cell r="Z242">
            <v>1.3123673559562501</v>
          </cell>
          <cell r="AA242">
            <v>0.37972504349999986</v>
          </cell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R243">
            <v>1.6289841650165445E-2</v>
          </cell>
          <cell r="W243">
            <v>91.078185031298403</v>
          </cell>
          <cell r="X243">
            <v>89.803924436864406</v>
          </cell>
          <cell r="Y243">
            <v>7.3307204581121264</v>
          </cell>
          <cell r="Z243">
            <v>1.3041869717249999</v>
          </cell>
          <cell r="AA243">
            <v>0.37735810199999981</v>
          </cell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R244">
            <v>1.6289841650165445E-2</v>
          </cell>
          <cell r="W244">
            <v>90.506906092930052</v>
          </cell>
          <cell r="X244">
            <v>89.240638172475471</v>
          </cell>
          <cell r="Y244">
            <v>7.2847392366006707</v>
          </cell>
          <cell r="Z244">
            <v>1.2960065874937501</v>
          </cell>
          <cell r="AA244">
            <v>0.37499116049999986</v>
          </cell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R245">
            <v>1.6289841650165445E-2</v>
          </cell>
          <cell r="W245">
            <v>89.935627154561686</v>
          </cell>
          <cell r="X245">
            <v>88.677351908086536</v>
          </cell>
          <cell r="Y245">
            <v>7.2387580150892141</v>
          </cell>
          <cell r="Z245">
            <v>1.2878262032625001</v>
          </cell>
          <cell r="AA245">
            <v>0.37262421899999987</v>
          </cell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R246">
            <v>1.6289841650165445E-2</v>
          </cell>
          <cell r="W246">
            <v>89.364348216193335</v>
          </cell>
          <cell r="X246">
            <v>88.114065643697614</v>
          </cell>
          <cell r="Y246">
            <v>7.1927767935777585</v>
          </cell>
          <cell r="Z246">
            <v>1.2796458190312501</v>
          </cell>
          <cell r="AA246">
            <v>0.37025727749999987</v>
          </cell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R247">
            <v>1.6289841650165445E-2</v>
          </cell>
          <cell r="W247">
            <v>88.793069277824969</v>
          </cell>
          <cell r="X247">
            <v>87.550779379308665</v>
          </cell>
          <cell r="Y247">
            <v>7.1467955720663019</v>
          </cell>
          <cell r="Z247">
            <v>1.2714654347999998</v>
          </cell>
          <cell r="AA247">
            <v>0.36789033599999982</v>
          </cell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R248">
            <v>1.6289841650165445E-2</v>
          </cell>
          <cell r="W248">
            <v>88.221790339456604</v>
          </cell>
          <cell r="X248">
            <v>86.987493114919729</v>
          </cell>
          <cell r="Y248">
            <v>7.1008143505548462</v>
          </cell>
          <cell r="Z248">
            <v>1.2632850505687501</v>
          </cell>
          <cell r="AA248">
            <v>0.36552339449999982</v>
          </cell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R249">
            <v>1.6289841650165445E-2</v>
          </cell>
          <cell r="W249">
            <v>87.650511401088266</v>
          </cell>
          <cell r="X249">
            <v>86.424206850530823</v>
          </cell>
          <cell r="Y249">
            <v>7.0548331290433914</v>
          </cell>
          <cell r="Z249">
            <v>1.2551046663375003</v>
          </cell>
          <cell r="AA249">
            <v>0.36315645299999993</v>
          </cell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R250">
            <v>1.6289841650165445E-2</v>
          </cell>
          <cell r="W250">
            <v>87.079232462719887</v>
          </cell>
          <cell r="X250">
            <v>85.860920586141859</v>
          </cell>
          <cell r="Y250">
            <v>7.008851907531934</v>
          </cell>
          <cell r="Z250">
            <v>1.2469242821062498</v>
          </cell>
          <cell r="AA250">
            <v>0.36078951149999983</v>
          </cell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R251">
            <v>1.6289841650165445E-2</v>
          </cell>
          <cell r="W251">
            <v>86.507953524351535</v>
          </cell>
          <cell r="X251">
            <v>85.297634321752938</v>
          </cell>
          <cell r="Y251">
            <v>6.9628706860204792</v>
          </cell>
          <cell r="Z251">
            <v>1.2387438978750001</v>
          </cell>
          <cell r="AA251">
            <v>0.35842256999999988</v>
          </cell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R252">
            <v>1.6289841650165445E-2</v>
          </cell>
          <cell r="W252">
            <v>85.936674585983184</v>
          </cell>
          <cell r="X252">
            <v>84.734348057364002</v>
          </cell>
          <cell r="Y252">
            <v>6.9168894645090235</v>
          </cell>
          <cell r="Z252">
            <v>1.2305635136437501</v>
          </cell>
          <cell r="AA252">
            <v>0.35605562849999989</v>
          </cell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R253">
            <v>1.6289841650165445E-2</v>
          </cell>
          <cell r="W253">
            <v>85.365395647614818</v>
          </cell>
          <cell r="X253">
            <v>84.171061792975067</v>
          </cell>
          <cell r="Y253">
            <v>6.8709082429975661</v>
          </cell>
          <cell r="Z253">
            <v>1.2223831294125</v>
          </cell>
          <cell r="AA253">
            <v>0.35368868699999984</v>
          </cell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R254">
            <v>1.6289841650165445E-2</v>
          </cell>
          <cell r="W254">
            <v>84.794116709246453</v>
          </cell>
          <cell r="X254">
            <v>83.607775528586131</v>
          </cell>
          <cell r="Y254">
            <v>6.8249270214861104</v>
          </cell>
          <cell r="Z254">
            <v>1.21420274518125</v>
          </cell>
          <cell r="AA254">
            <v>0.35132174549999989</v>
          </cell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R255">
            <v>1.6289841650165445E-2</v>
          </cell>
          <cell r="W255">
            <v>84.222837770878101</v>
          </cell>
          <cell r="X255">
            <v>83.044489264197196</v>
          </cell>
          <cell r="Y255">
            <v>6.7789457999746547</v>
          </cell>
          <cell r="Z255">
            <v>1.20602236095</v>
          </cell>
          <cell r="AA255">
            <v>0.3489548039999999</v>
          </cell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R256">
            <v>1.6289841650165445E-2</v>
          </cell>
          <cell r="W256">
            <v>83.651558832509735</v>
          </cell>
          <cell r="X256">
            <v>82.481202999808261</v>
          </cell>
          <cell r="Y256">
            <v>6.7329645784631982</v>
          </cell>
          <cell r="Z256">
            <v>1.19784197671875</v>
          </cell>
          <cell r="AA256">
            <v>0.34658786249999984</v>
          </cell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R257">
            <v>1.6289841650165445E-2</v>
          </cell>
          <cell r="W257">
            <v>83.08027989414137</v>
          </cell>
          <cell r="X257">
            <v>81.917916735419325</v>
          </cell>
          <cell r="Y257">
            <v>6.6869833569517425</v>
          </cell>
          <cell r="Z257">
            <v>1.1896615924875</v>
          </cell>
          <cell r="AA257">
            <v>0.34422092099999985</v>
          </cell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R258">
            <v>1.6289841650165445E-2</v>
          </cell>
          <cell r="W258">
            <v>82.509000955773018</v>
          </cell>
          <cell r="X258">
            <v>81.35463047103039</v>
          </cell>
          <cell r="Y258">
            <v>6.6410021354402868</v>
          </cell>
          <cell r="Z258">
            <v>1.18148120825625</v>
          </cell>
          <cell r="AA258">
            <v>0.34185397949999985</v>
          </cell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R259">
            <v>1.6289841650165445E-2</v>
          </cell>
          <cell r="W259">
            <v>81.937722017404667</v>
          </cell>
          <cell r="X259">
            <v>80.791344206641455</v>
          </cell>
          <cell r="Y259">
            <v>6.5950209139288312</v>
          </cell>
          <cell r="Z259">
            <v>1.173300824025</v>
          </cell>
          <cell r="AA259">
            <v>0.33948703799999991</v>
          </cell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R260">
            <v>1.6289841650165445E-2</v>
          </cell>
          <cell r="W260">
            <v>81.366443079036301</v>
          </cell>
          <cell r="X260">
            <v>80.228057942252519</v>
          </cell>
          <cell r="Y260">
            <v>6.5490396924173737</v>
          </cell>
          <cell r="Z260">
            <v>1.16512043979375</v>
          </cell>
          <cell r="AA260">
            <v>0.33712009649999986</v>
          </cell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R261">
            <v>1.6289841650165445E-2</v>
          </cell>
          <cell r="W261">
            <v>80.795164140667936</v>
          </cell>
          <cell r="X261">
            <v>79.664771677863584</v>
          </cell>
          <cell r="Y261">
            <v>6.503058470905918</v>
          </cell>
          <cell r="Z261">
            <v>1.1569400555625</v>
          </cell>
          <cell r="AA261">
            <v>0.33475315499999986</v>
          </cell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R262">
            <v>1.6289841650165445E-2</v>
          </cell>
          <cell r="W262">
            <v>80.323859016514049</v>
          </cell>
          <cell r="X262">
            <v>79.200060509742727</v>
          </cell>
          <cell r="Y262">
            <v>6.4651239631589679</v>
          </cell>
          <cell r="Z262">
            <v>1.1501912385717188</v>
          </cell>
          <cell r="AA262">
            <v>0.33280042826249989</v>
          </cell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R263">
            <v>1.6289841650165445E-2</v>
          </cell>
          <cell r="W263">
            <v>79.852553892360135</v>
          </cell>
          <cell r="X263">
            <v>78.735349341621841</v>
          </cell>
          <cell r="Y263">
            <v>6.4271894554120159</v>
          </cell>
          <cell r="Z263">
            <v>1.1434424215809373</v>
          </cell>
          <cell r="AA263">
            <v>0.33084770152499982</v>
          </cell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R264">
            <v>1.6289841650165445E-2</v>
          </cell>
          <cell r="W264">
            <v>79.381248768206262</v>
          </cell>
          <cell r="X264">
            <v>78.270638173500984</v>
          </cell>
          <cell r="Y264">
            <v>6.3892549476650657</v>
          </cell>
          <cell r="Z264">
            <v>1.1366936045901563</v>
          </cell>
          <cell r="AA264">
            <v>0.32889497478749991</v>
          </cell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R265">
            <v>1.6289841650165445E-2</v>
          </cell>
          <cell r="W265">
            <v>78.909943644052362</v>
          </cell>
          <cell r="X265">
            <v>77.805927005380113</v>
          </cell>
          <cell r="Y265">
            <v>6.3513204399181138</v>
          </cell>
          <cell r="Z265">
            <v>1.1299447875993751</v>
          </cell>
          <cell r="AA265">
            <v>0.32694224804999988</v>
          </cell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R266">
            <v>1.6289841650165445E-2</v>
          </cell>
          <cell r="W266">
            <v>78.438638519898461</v>
          </cell>
          <cell r="X266">
            <v>77.341215837259227</v>
          </cell>
          <cell r="Y266">
            <v>6.3133859321711627</v>
          </cell>
          <cell r="Z266">
            <v>1.1231959706085937</v>
          </cell>
          <cell r="AA266">
            <v>0.32498952131249986</v>
          </cell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R267">
            <v>1.6289841650165445E-2</v>
          </cell>
          <cell r="W267">
            <v>77.967333395744561</v>
          </cell>
          <cell r="X267">
            <v>76.876504669138356</v>
          </cell>
          <cell r="Y267">
            <v>6.2754514244242108</v>
          </cell>
          <cell r="Z267">
            <v>1.1164471536178124</v>
          </cell>
          <cell r="AA267">
            <v>0.32303679457499984</v>
          </cell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R268">
            <v>1.6289841650165445E-2</v>
          </cell>
          <cell r="W268">
            <v>77.49602827159066</v>
          </cell>
          <cell r="X268">
            <v>76.411793501017485</v>
          </cell>
          <cell r="Y268">
            <v>6.2375169166772597</v>
          </cell>
          <cell r="Z268">
            <v>1.1096983366270312</v>
          </cell>
          <cell r="AA268">
            <v>0.32108406783749988</v>
          </cell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R269">
            <v>1.6289841650165445E-2</v>
          </cell>
          <cell r="W269">
            <v>77.02472314743676</v>
          </cell>
          <cell r="X269">
            <v>75.947082332896613</v>
          </cell>
          <cell r="Y269">
            <v>6.1995824089303087</v>
          </cell>
          <cell r="Z269">
            <v>1.10294951963625</v>
          </cell>
          <cell r="AA269">
            <v>0.31913134109999985</v>
          </cell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R270">
            <v>1.6289841650165445E-2</v>
          </cell>
          <cell r="W270">
            <v>76.553418023282873</v>
          </cell>
          <cell r="X270">
            <v>75.482371164775756</v>
          </cell>
          <cell r="Y270">
            <v>6.1616479011833585</v>
          </cell>
          <cell r="Z270">
            <v>1.0962007026454688</v>
          </cell>
          <cell r="AA270">
            <v>0.31717861436249989</v>
          </cell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R271">
            <v>1.6289841650165445E-2</v>
          </cell>
          <cell r="W271">
            <v>76.082112899128973</v>
          </cell>
          <cell r="X271">
            <v>75.017659996654871</v>
          </cell>
          <cell r="Y271">
            <v>6.1237133934364056</v>
          </cell>
          <cell r="Z271">
            <v>1.0894518856546873</v>
          </cell>
          <cell r="AA271">
            <v>0.31522588762499981</v>
          </cell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R272">
            <v>1.6289841650165445E-2</v>
          </cell>
          <cell r="W272">
            <v>75.610807774975086</v>
          </cell>
          <cell r="X272">
            <v>74.552948828534014</v>
          </cell>
          <cell r="Y272">
            <v>6.0857788856894555</v>
          </cell>
          <cell r="Z272">
            <v>1.0827030686639063</v>
          </cell>
          <cell r="AA272">
            <v>0.3132731608874999</v>
          </cell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R273">
            <v>1.6289841650165445E-2</v>
          </cell>
          <cell r="W273">
            <v>75.139502650821186</v>
          </cell>
          <cell r="X273">
            <v>74.088237660413128</v>
          </cell>
          <cell r="Y273">
            <v>6.0478443779425044</v>
          </cell>
          <cell r="Z273">
            <v>1.0759542516731251</v>
          </cell>
          <cell r="AA273">
            <v>0.31132043414999988</v>
          </cell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R274">
            <v>1.6289841650165445E-2</v>
          </cell>
          <cell r="W274">
            <v>74.668197526667285</v>
          </cell>
          <cell r="X274">
            <v>73.623526492292257</v>
          </cell>
          <cell r="Y274">
            <v>6.0099098701955525</v>
          </cell>
          <cell r="Z274">
            <v>1.0692054346823436</v>
          </cell>
          <cell r="AA274">
            <v>0.30936770741249986</v>
          </cell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R275">
            <v>1.6289841650165445E-2</v>
          </cell>
          <cell r="W275">
            <v>74.196892402513384</v>
          </cell>
          <cell r="X275">
            <v>73.158815324171385</v>
          </cell>
          <cell r="Y275">
            <v>5.9719753624486014</v>
          </cell>
          <cell r="Z275">
            <v>1.0624566176915624</v>
          </cell>
          <cell r="AA275">
            <v>0.30741498067499984</v>
          </cell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R276">
            <v>1.6289841650165445E-2</v>
          </cell>
          <cell r="W276">
            <v>73.725587278359484</v>
          </cell>
          <cell r="X276">
            <v>72.694104156050514</v>
          </cell>
          <cell r="Y276">
            <v>5.9340408547016503</v>
          </cell>
          <cell r="Z276">
            <v>1.0557078007007812</v>
          </cell>
          <cell r="AA276">
            <v>0.30546225393749982</v>
          </cell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R277">
            <v>1.6289841650165445E-2</v>
          </cell>
          <cell r="W277">
            <v>73.254282154205583</v>
          </cell>
          <cell r="X277">
            <v>72.229392987929643</v>
          </cell>
          <cell r="Y277">
            <v>5.8961063469546984</v>
          </cell>
          <cell r="Z277">
            <v>1.04895898371</v>
          </cell>
          <cell r="AA277">
            <v>0.30350952719999985</v>
          </cell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R278">
            <v>1.6289841650165445E-2</v>
          </cell>
          <cell r="W278">
            <v>72.782977030051711</v>
          </cell>
          <cell r="X278">
            <v>71.764681819808786</v>
          </cell>
          <cell r="Y278">
            <v>5.8581718392077482</v>
          </cell>
          <cell r="Z278">
            <v>1.0422101667192187</v>
          </cell>
          <cell r="AA278">
            <v>0.30155680046249989</v>
          </cell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R279">
            <v>1.6289841650165445E-2</v>
          </cell>
          <cell r="W279">
            <v>72.311671905897811</v>
          </cell>
          <cell r="X279">
            <v>71.299970651687914</v>
          </cell>
          <cell r="Y279">
            <v>5.8202373314607971</v>
          </cell>
          <cell r="Z279">
            <v>1.0354613497284375</v>
          </cell>
          <cell r="AA279">
            <v>0.29960407372499986</v>
          </cell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R280">
            <v>1.6289841650165445E-2</v>
          </cell>
          <cell r="W280">
            <v>71.84036678174391</v>
          </cell>
          <cell r="X280">
            <v>70.835259483567043</v>
          </cell>
          <cell r="Y280">
            <v>5.7823028237138452</v>
          </cell>
          <cell r="Z280">
            <v>1.0287125327376563</v>
          </cell>
          <cell r="AA280">
            <v>0.29765134698749984</v>
          </cell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R281">
            <v>1.6289841650165445E-2</v>
          </cell>
          <cell r="W281">
            <v>71.369061657590009</v>
          </cell>
          <cell r="X281">
            <v>70.370548315446158</v>
          </cell>
          <cell r="Y281">
            <v>5.7443683159668941</v>
          </cell>
          <cell r="Z281">
            <v>1.0219637157468748</v>
          </cell>
          <cell r="AA281">
            <v>0.29569862024999988</v>
          </cell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R282">
            <v>1.6289841650165445E-2</v>
          </cell>
          <cell r="W282">
            <v>70.897756533436109</v>
          </cell>
          <cell r="X282">
            <v>69.905837147325286</v>
          </cell>
          <cell r="Y282">
            <v>5.7064338082199431</v>
          </cell>
          <cell r="Z282">
            <v>1.0152148987560936</v>
          </cell>
          <cell r="AA282">
            <v>0.29374589351249986</v>
          </cell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R283">
            <v>1.6289841650165445E-2</v>
          </cell>
          <cell r="W283">
            <v>70.426451409282208</v>
          </cell>
          <cell r="X283">
            <v>69.441125979204415</v>
          </cell>
          <cell r="Y283">
            <v>5.6684993004729911</v>
          </cell>
          <cell r="Z283">
            <v>1.0084660817653124</v>
          </cell>
          <cell r="AA283">
            <v>0.29179316677499983</v>
          </cell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R284">
            <v>1.6289841650165445E-2</v>
          </cell>
          <cell r="W284">
            <v>69.955146285128308</v>
          </cell>
          <cell r="X284">
            <v>68.976414811083544</v>
          </cell>
          <cell r="Y284">
            <v>5.63056479272604</v>
          </cell>
          <cell r="Z284">
            <v>1.0017172647745312</v>
          </cell>
          <cell r="AA284">
            <v>0.28984044003749981</v>
          </cell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R285">
            <v>1.6289841650165445E-2</v>
          </cell>
          <cell r="W285">
            <v>69.483841160974421</v>
          </cell>
          <cell r="X285">
            <v>68.511703642962672</v>
          </cell>
          <cell r="Y285">
            <v>5.592630284979089</v>
          </cell>
          <cell r="Z285">
            <v>0.99496844778374982</v>
          </cell>
          <cell r="AA285">
            <v>0.28788771329999985</v>
          </cell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R286">
            <v>1.6289841650165445E-2</v>
          </cell>
          <cell r="W286">
            <v>69.012536036820535</v>
          </cell>
          <cell r="X286">
            <v>68.046992474841815</v>
          </cell>
          <cell r="Y286">
            <v>5.5546957772321388</v>
          </cell>
          <cell r="Z286">
            <v>0.98821963079296871</v>
          </cell>
          <cell r="AA286">
            <v>0.28593498656249988</v>
          </cell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R287">
            <v>1.6289841650165445E-2</v>
          </cell>
          <cell r="W287">
            <v>68.541230912666634</v>
          </cell>
          <cell r="X287">
            <v>67.582281306720944</v>
          </cell>
          <cell r="Y287">
            <v>5.5167612694851869</v>
          </cell>
          <cell r="Z287">
            <v>0.98147081380218748</v>
          </cell>
          <cell r="AA287">
            <v>0.28398225982499986</v>
          </cell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R288">
            <v>1.6289841650165445E-2</v>
          </cell>
          <cell r="W288">
            <v>68.069925788512734</v>
          </cell>
          <cell r="X288">
            <v>67.117570138600058</v>
          </cell>
          <cell r="Y288">
            <v>5.4788267617382358</v>
          </cell>
          <cell r="Z288">
            <v>0.97472199681140614</v>
          </cell>
          <cell r="AA288">
            <v>0.28202953308749984</v>
          </cell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R289">
            <v>1.6289841650165445E-2</v>
          </cell>
          <cell r="W289">
            <v>67.598620664358847</v>
          </cell>
          <cell r="X289">
            <v>66.652858970479201</v>
          </cell>
          <cell r="Y289">
            <v>5.4408922539912856</v>
          </cell>
          <cell r="Z289">
            <v>0.96797317982062503</v>
          </cell>
          <cell r="AA289">
            <v>0.28007680634999993</v>
          </cell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R290">
            <v>1.6289841650165445E-2</v>
          </cell>
          <cell r="W290">
            <v>67.127315540204947</v>
          </cell>
          <cell r="X290">
            <v>66.18814780235833</v>
          </cell>
          <cell r="Y290">
            <v>5.4029577462443346</v>
          </cell>
          <cell r="Z290">
            <v>0.9612243628298438</v>
          </cell>
          <cell r="AA290">
            <v>0.27812407961249991</v>
          </cell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R291">
            <v>1.6289841650165445E-2</v>
          </cell>
          <cell r="W291">
            <v>66.656010416051046</v>
          </cell>
          <cell r="X291">
            <v>65.723436634237459</v>
          </cell>
          <cell r="Y291">
            <v>5.3650232384973826</v>
          </cell>
          <cell r="Z291">
            <v>0.95447554583906247</v>
          </cell>
          <cell r="AA291">
            <v>0.27617135287499989</v>
          </cell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R292">
            <v>1.6289841650165445E-2</v>
          </cell>
          <cell r="W292">
            <v>66.267183688624087</v>
          </cell>
          <cell r="X292">
            <v>65.340049920537737</v>
          </cell>
          <cell r="Y292">
            <v>5.3337272696061477</v>
          </cell>
          <cell r="Z292">
            <v>0.94890777182166797</v>
          </cell>
          <cell r="AA292">
            <v>0.27456035331656237</v>
          </cell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R293">
            <v>1.6289841650165445E-2</v>
          </cell>
          <cell r="W293">
            <v>65.878356961197113</v>
          </cell>
          <cell r="X293">
            <v>64.956663206838016</v>
          </cell>
          <cell r="Y293">
            <v>5.3024313007149129</v>
          </cell>
          <cell r="Z293">
            <v>0.94333999780427336</v>
          </cell>
          <cell r="AA293">
            <v>0.27294935375812485</v>
          </cell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R294">
            <v>1.6289841650165445E-2</v>
          </cell>
          <cell r="W294">
            <v>65.489530233770154</v>
          </cell>
          <cell r="X294">
            <v>64.573276493138295</v>
          </cell>
          <cell r="Y294">
            <v>5.271135331823678</v>
          </cell>
          <cell r="Z294">
            <v>0.93777222378687886</v>
          </cell>
          <cell r="AA294">
            <v>0.27133835419968738</v>
          </cell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R295">
            <v>1.6289841650165445E-2</v>
          </cell>
          <cell r="W295">
            <v>65.10070350634318</v>
          </cell>
          <cell r="X295">
            <v>64.189889779438573</v>
          </cell>
          <cell r="Y295">
            <v>5.2398393629324431</v>
          </cell>
          <cell r="Z295">
            <v>0.93220444976948424</v>
          </cell>
          <cell r="AA295">
            <v>0.26972735464124986</v>
          </cell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R296">
            <v>1.6289841650165445E-2</v>
          </cell>
          <cell r="W296">
            <v>64.711876778916235</v>
          </cell>
          <cell r="X296">
            <v>63.806503065738866</v>
          </cell>
          <cell r="Y296">
            <v>5.2085433940412091</v>
          </cell>
          <cell r="Z296">
            <v>0.92663667575208986</v>
          </cell>
          <cell r="AA296">
            <v>0.2681163550828124</v>
          </cell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R297">
            <v>1.6289841650165445E-2</v>
          </cell>
          <cell r="W297">
            <v>64.323050051489261</v>
          </cell>
          <cell r="X297">
            <v>63.423116352039152</v>
          </cell>
          <cell r="Y297">
            <v>5.1772474251499743</v>
          </cell>
          <cell r="Z297">
            <v>0.92106890173469536</v>
          </cell>
          <cell r="AA297">
            <v>0.26650535552437488</v>
          </cell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R298">
            <v>1.6289841650165445E-2</v>
          </cell>
          <cell r="W298">
            <v>63.934223324062302</v>
          </cell>
          <cell r="X298">
            <v>63.039729638339431</v>
          </cell>
          <cell r="Y298">
            <v>5.1459514562587394</v>
          </cell>
          <cell r="Z298">
            <v>0.91550112771730074</v>
          </cell>
          <cell r="AA298">
            <v>0.26489435596593741</v>
          </cell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R299">
            <v>1.6289841650165445E-2</v>
          </cell>
          <cell r="W299">
            <v>63.545396596635335</v>
          </cell>
          <cell r="X299">
            <v>62.656342924639709</v>
          </cell>
          <cell r="Y299">
            <v>5.1146554873675045</v>
          </cell>
          <cell r="Z299">
            <v>0.90993335369990624</v>
          </cell>
          <cell r="AA299">
            <v>0.26328335640749989</v>
          </cell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R300">
            <v>1.6289841650165445E-2</v>
          </cell>
          <cell r="W300">
            <v>63.156569869208369</v>
          </cell>
          <cell r="X300">
            <v>62.272956210939988</v>
          </cell>
          <cell r="Y300">
            <v>5.0833595184762697</v>
          </cell>
          <cell r="Z300">
            <v>0.90436557968251163</v>
          </cell>
          <cell r="AA300">
            <v>0.26167235684906237</v>
          </cell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R301">
            <v>1.6289841650165445E-2</v>
          </cell>
          <cell r="W301">
            <v>62.767743141781402</v>
          </cell>
          <cell r="X301">
            <v>61.889569497240267</v>
          </cell>
          <cell r="Y301">
            <v>5.0520635495850348</v>
          </cell>
          <cell r="Z301">
            <v>0.89879780566511713</v>
          </cell>
          <cell r="AA301">
            <v>0.26006135729062485</v>
          </cell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R302">
            <v>1.6289841650165445E-2</v>
          </cell>
          <cell r="W302">
            <v>62.378916414354428</v>
          </cell>
          <cell r="X302">
            <v>61.506182783540545</v>
          </cell>
          <cell r="Y302">
            <v>5.0207675806937999</v>
          </cell>
          <cell r="Z302">
            <v>0.89323003164772252</v>
          </cell>
          <cell r="AA302">
            <v>0.25845035773218733</v>
          </cell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R303">
            <v>1.6289841650165445E-2</v>
          </cell>
          <cell r="W303">
            <v>61.990089686927462</v>
          </cell>
          <cell r="X303">
            <v>61.122796069840824</v>
          </cell>
          <cell r="Y303">
            <v>4.989471611802565</v>
          </cell>
          <cell r="Z303">
            <v>0.88766225763032791</v>
          </cell>
          <cell r="AA303">
            <v>0.25683935817374987</v>
          </cell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R304">
            <v>1.6289841650165445E-2</v>
          </cell>
          <cell r="W304">
            <v>61.601262959500495</v>
          </cell>
          <cell r="X304">
            <v>60.739409356141103</v>
          </cell>
          <cell r="Y304">
            <v>4.9581756429113302</v>
          </cell>
          <cell r="Z304">
            <v>0.88209448361293341</v>
          </cell>
          <cell r="AA304">
            <v>0.25522835861531235</v>
          </cell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R305">
            <v>1.6289841650165445E-2</v>
          </cell>
          <cell r="W305">
            <v>61.212436232073536</v>
          </cell>
          <cell r="X305">
            <v>60.356022642441388</v>
          </cell>
          <cell r="Y305">
            <v>4.9268796740200953</v>
          </cell>
          <cell r="Z305">
            <v>0.87652670959553891</v>
          </cell>
          <cell r="AA305">
            <v>0.25361735905687488</v>
          </cell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R306">
            <v>1.6289841650165445E-2</v>
          </cell>
          <cell r="W306">
            <v>60.823609504646569</v>
          </cell>
          <cell r="X306">
            <v>59.972635928741667</v>
          </cell>
          <cell r="Y306">
            <v>4.8955837051288604</v>
          </cell>
          <cell r="Z306">
            <v>0.87095893557814441</v>
          </cell>
          <cell r="AA306">
            <v>0.25200635949843736</v>
          </cell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R307">
            <v>1.6289841650165445E-2</v>
          </cell>
          <cell r="W307">
            <v>60.43478277721961</v>
          </cell>
          <cell r="X307">
            <v>59.589249215041953</v>
          </cell>
          <cell r="Y307">
            <v>4.8642877362376264</v>
          </cell>
          <cell r="Z307">
            <v>0.86539116156074991</v>
          </cell>
          <cell r="AA307">
            <v>0.25039535993999984</v>
          </cell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R308">
            <v>1.6289841650165445E-2</v>
          </cell>
          <cell r="W308">
            <v>60.04595604979265</v>
          </cell>
          <cell r="X308">
            <v>59.205862501342239</v>
          </cell>
          <cell r="Y308">
            <v>4.8329917673463925</v>
          </cell>
          <cell r="Z308">
            <v>0.85982338754335541</v>
          </cell>
          <cell r="AA308">
            <v>0.24878436038156237</v>
          </cell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R309">
            <v>1.6289841650165445E-2</v>
          </cell>
          <cell r="W309">
            <v>59.657129322365684</v>
          </cell>
          <cell r="X309">
            <v>58.822475787642524</v>
          </cell>
          <cell r="Y309">
            <v>4.8016957984551576</v>
          </cell>
          <cell r="Z309">
            <v>0.85425561352596091</v>
          </cell>
          <cell r="AA309">
            <v>0.24717336082312488</v>
          </cell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R310">
            <v>1.6289841650165445E-2</v>
          </cell>
          <cell r="W310">
            <v>59.268302594938717</v>
          </cell>
          <cell r="X310">
            <v>58.439089073942803</v>
          </cell>
          <cell r="Y310">
            <v>4.7703998295639227</v>
          </cell>
          <cell r="Z310">
            <v>0.8486878395085663</v>
          </cell>
          <cell r="AA310">
            <v>0.24556236126468736</v>
          </cell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R311">
            <v>1.6289841650165445E-2</v>
          </cell>
          <cell r="W311">
            <v>58.879475867511751</v>
          </cell>
          <cell r="X311">
            <v>58.055702360243082</v>
          </cell>
          <cell r="Y311">
            <v>4.739103860672687</v>
          </cell>
          <cell r="Z311">
            <v>0.8431200654911718</v>
          </cell>
          <cell r="AA311">
            <v>0.24395136170624987</v>
          </cell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R312">
            <v>1.6289841650165445E-2</v>
          </cell>
          <cell r="W312">
            <v>58.490649140084784</v>
          </cell>
          <cell r="X312">
            <v>57.67231564654336</v>
          </cell>
          <cell r="Y312">
            <v>4.7078078917814521</v>
          </cell>
          <cell r="Z312">
            <v>0.83755229147377719</v>
          </cell>
          <cell r="AA312">
            <v>0.24234036214781235</v>
          </cell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R313">
            <v>1.6289841650165445E-2</v>
          </cell>
          <cell r="W313">
            <v>58.101822412657825</v>
          </cell>
          <cell r="X313">
            <v>57.288928932843646</v>
          </cell>
          <cell r="Y313">
            <v>4.6765119228902181</v>
          </cell>
          <cell r="Z313">
            <v>0.83198451745638269</v>
          </cell>
          <cell r="AA313">
            <v>0.24072936258937488</v>
          </cell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R314">
            <v>1.6289841650165445E-2</v>
          </cell>
          <cell r="W314">
            <v>57.712995685230858</v>
          </cell>
          <cell r="X314">
            <v>56.905542219143925</v>
          </cell>
          <cell r="Y314">
            <v>4.6452159539989832</v>
          </cell>
          <cell r="Z314">
            <v>0.82641674343898819</v>
          </cell>
          <cell r="AA314">
            <v>0.23911836303093736</v>
          </cell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R315">
            <v>1.6289841650165445E-2</v>
          </cell>
          <cell r="W315">
            <v>57.324168957803892</v>
          </cell>
          <cell r="X315">
            <v>56.522155505444204</v>
          </cell>
          <cell r="Y315">
            <v>4.6139199851077484</v>
          </cell>
          <cell r="Z315">
            <v>0.82084896942159358</v>
          </cell>
          <cell r="AA315">
            <v>0.23750736347249984</v>
          </cell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R316">
            <v>1.6289841650165445E-2</v>
          </cell>
          <cell r="W316">
            <v>56.935342230376932</v>
          </cell>
          <cell r="X316">
            <v>56.138768791744489</v>
          </cell>
          <cell r="Y316">
            <v>4.5826240162165144</v>
          </cell>
          <cell r="Z316">
            <v>0.81528119540419919</v>
          </cell>
          <cell r="AA316">
            <v>0.23589636391406238</v>
          </cell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R317">
            <v>1.6289841650165445E-2</v>
          </cell>
          <cell r="W317">
            <v>56.546515502949966</v>
          </cell>
          <cell r="X317">
            <v>55.755382078044768</v>
          </cell>
          <cell r="Y317">
            <v>4.5513280473252786</v>
          </cell>
          <cell r="Z317">
            <v>0.80971342138680458</v>
          </cell>
          <cell r="AA317">
            <v>0.23428536435562486</v>
          </cell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R318">
            <v>1.6289841650165445E-2</v>
          </cell>
          <cell r="W318">
            <v>56.157688775523006</v>
          </cell>
          <cell r="X318">
            <v>55.371995364345054</v>
          </cell>
          <cell r="Y318">
            <v>4.5200320784340446</v>
          </cell>
          <cell r="Z318">
            <v>0.80414564736941008</v>
          </cell>
          <cell r="AA318">
            <v>0.23267436479718739</v>
          </cell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R319">
            <v>1.6289841650165445E-2</v>
          </cell>
          <cell r="W319">
            <v>55.76886204809604</v>
          </cell>
          <cell r="X319">
            <v>54.988608650645332</v>
          </cell>
          <cell r="Y319">
            <v>4.4887361095428098</v>
          </cell>
          <cell r="Z319">
            <v>0.79857787335201558</v>
          </cell>
          <cell r="AA319">
            <v>0.23106336523874987</v>
          </cell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R320">
            <v>1.6289841650165445E-2</v>
          </cell>
          <cell r="W320">
            <v>55.380035320669073</v>
          </cell>
          <cell r="X320">
            <v>54.605221936945611</v>
          </cell>
          <cell r="Y320">
            <v>4.4574401406515749</v>
          </cell>
          <cell r="Z320">
            <v>0.79301009933462097</v>
          </cell>
          <cell r="AA320">
            <v>0.22945236568031238</v>
          </cell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R321">
            <v>1.6289841650165445E-2</v>
          </cell>
          <cell r="W321">
            <v>54.991208593242106</v>
          </cell>
          <cell r="X321">
            <v>54.221835223245897</v>
          </cell>
          <cell r="Y321">
            <v>4.42614417176034</v>
          </cell>
          <cell r="Z321">
            <v>0.78744232531722647</v>
          </cell>
          <cell r="AA321">
            <v>0.22784136612187486</v>
          </cell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R322">
            <v>1.6289841650165445E-2</v>
          </cell>
          <cell r="W322">
            <v>54.670426543114864</v>
          </cell>
          <cell r="X322">
            <v>53.905541184443628</v>
          </cell>
          <cell r="Y322">
            <v>4.4003249974250709</v>
          </cell>
          <cell r="Z322">
            <v>0.78284891175287596</v>
          </cell>
          <cell r="AA322">
            <v>0.22651229148616392</v>
          </cell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R323">
            <v>1.6289841650165445E-2</v>
          </cell>
          <cell r="W323">
            <v>54.349644492987615</v>
          </cell>
          <cell r="X323">
            <v>53.589247145641359</v>
          </cell>
          <cell r="Y323">
            <v>4.3745058230898026</v>
          </cell>
          <cell r="Z323">
            <v>0.77825549818852546</v>
          </cell>
          <cell r="AA323">
            <v>0.22518321685045301</v>
          </cell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R324">
            <v>1.6289841650165445E-2</v>
          </cell>
          <cell r="W324">
            <v>54.02886244286038</v>
          </cell>
          <cell r="X324">
            <v>53.272953106839097</v>
          </cell>
          <cell r="Y324">
            <v>4.3486866487545344</v>
          </cell>
          <cell r="Z324">
            <v>0.77366208462417507</v>
          </cell>
          <cell r="AA324">
            <v>0.22385414221474209</v>
          </cell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R325">
            <v>1.6289841650165445E-2</v>
          </cell>
          <cell r="W325">
            <v>53.708080392733123</v>
          </cell>
          <cell r="X325">
            <v>52.956659068036821</v>
          </cell>
          <cell r="Y325">
            <v>4.3228674744192652</v>
          </cell>
          <cell r="Z325">
            <v>0.76906867105982446</v>
          </cell>
          <cell r="AA325">
            <v>0.22252506757903112</v>
          </cell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R326">
            <v>1.6289841650165445E-2</v>
          </cell>
          <cell r="W326">
            <v>53.387298342605881</v>
          </cell>
          <cell r="X326">
            <v>52.640365029234559</v>
          </cell>
          <cell r="Y326">
            <v>4.297048300083997</v>
          </cell>
          <cell r="Z326">
            <v>0.76447525749547396</v>
          </cell>
          <cell r="AA326">
            <v>0.22119599294332018</v>
          </cell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R327">
            <v>1.6289841650165445E-2</v>
          </cell>
          <cell r="W327">
            <v>53.066516292478632</v>
          </cell>
          <cell r="X327">
            <v>52.32407099043229</v>
          </cell>
          <cell r="Y327">
            <v>4.2712291257487278</v>
          </cell>
          <cell r="Z327">
            <v>0.75988184393112357</v>
          </cell>
          <cell r="AA327">
            <v>0.21986691830760924</v>
          </cell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R328">
            <v>1.6289841650165445E-2</v>
          </cell>
          <cell r="W328">
            <v>52.745734242351382</v>
          </cell>
          <cell r="X328">
            <v>52.007776951630014</v>
          </cell>
          <cell r="Y328">
            <v>4.2454099514134587</v>
          </cell>
          <cell r="Z328">
            <v>0.75528843036677296</v>
          </cell>
          <cell r="AA328">
            <v>0.2185378436718983</v>
          </cell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R329">
            <v>1.6289841650165445E-2</v>
          </cell>
          <cell r="W329">
            <v>52.424952192224147</v>
          </cell>
          <cell r="X329">
            <v>51.691482912827752</v>
          </cell>
          <cell r="Y329">
            <v>4.2195907770781913</v>
          </cell>
          <cell r="Z329">
            <v>0.75069501680242257</v>
          </cell>
          <cell r="AA329">
            <v>0.21720876903618738</v>
          </cell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R330">
            <v>1.6289841650165445E-2</v>
          </cell>
          <cell r="W330">
            <v>52.104170142096898</v>
          </cell>
          <cell r="X330">
            <v>51.37518887402549</v>
          </cell>
          <cell r="Y330">
            <v>4.1937716027429222</v>
          </cell>
          <cell r="Z330">
            <v>0.74610160323807206</v>
          </cell>
          <cell r="AA330">
            <v>0.21587969440047644</v>
          </cell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R331">
            <v>1.6289841650165445E-2</v>
          </cell>
          <cell r="W331">
            <v>51.783388091969655</v>
          </cell>
          <cell r="X331">
            <v>51.058894835223221</v>
          </cell>
          <cell r="Y331">
            <v>4.1679524284076539</v>
          </cell>
          <cell r="Z331">
            <v>0.74150818967372156</v>
          </cell>
          <cell r="AA331">
            <v>0.2145506197647655</v>
          </cell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R332">
            <v>1.6289841650165445E-2</v>
          </cell>
          <cell r="W332">
            <v>51.462606041842399</v>
          </cell>
          <cell r="X332">
            <v>50.742600796420945</v>
          </cell>
          <cell r="Y332">
            <v>4.1421332540723848</v>
          </cell>
          <cell r="Z332">
            <v>0.73691477610937095</v>
          </cell>
          <cell r="AA332">
            <v>0.21322154512905453</v>
          </cell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R333">
            <v>1.6289841650165445E-2</v>
          </cell>
          <cell r="W333">
            <v>51.141823991715157</v>
          </cell>
          <cell r="X333">
            <v>50.426306757618676</v>
          </cell>
          <cell r="Y333">
            <v>4.1163140797371156</v>
          </cell>
          <cell r="Z333">
            <v>0.73232136254502056</v>
          </cell>
          <cell r="AA333">
            <v>0.21189247049334362</v>
          </cell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R334">
            <v>1.6289841650165445E-2</v>
          </cell>
          <cell r="W334">
            <v>50.821041941587914</v>
          </cell>
          <cell r="X334">
            <v>50.110012718816414</v>
          </cell>
          <cell r="Y334">
            <v>4.0904949054018473</v>
          </cell>
          <cell r="Z334">
            <v>0.72772794898067017</v>
          </cell>
          <cell r="AA334">
            <v>0.2105633958576327</v>
          </cell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R335">
            <v>1.6289841650165445E-2</v>
          </cell>
          <cell r="W335">
            <v>50.500259891460672</v>
          </cell>
          <cell r="X335">
            <v>49.793718680014152</v>
          </cell>
          <cell r="Y335">
            <v>4.0646757310665791</v>
          </cell>
          <cell r="Z335">
            <v>0.72313453541631967</v>
          </cell>
          <cell r="AA335">
            <v>0.20923432122192176</v>
          </cell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R336">
            <v>1.6289841650165445E-2</v>
          </cell>
          <cell r="W336">
            <v>50.179477841333416</v>
          </cell>
          <cell r="X336">
            <v>49.477424641211876</v>
          </cell>
          <cell r="Y336">
            <v>4.0388565567313099</v>
          </cell>
          <cell r="Z336">
            <v>0.71854112185196906</v>
          </cell>
          <cell r="AA336">
            <v>0.20790524658621079</v>
          </cell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R337">
            <v>1.6289841650165445E-2</v>
          </cell>
          <cell r="W337">
            <v>49.858695791206173</v>
          </cell>
          <cell r="X337">
            <v>49.161130602409607</v>
          </cell>
          <cell r="Y337">
            <v>4.0130373823960417</v>
          </cell>
          <cell r="Z337">
            <v>0.71394770828761855</v>
          </cell>
          <cell r="AA337">
            <v>0.20657617195049985</v>
          </cell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R338">
            <v>1.6289841650165445E-2</v>
          </cell>
          <cell r="W338">
            <v>49.537913741078938</v>
          </cell>
          <cell r="X338">
            <v>48.844836563607345</v>
          </cell>
          <cell r="Y338">
            <v>3.987218208060773</v>
          </cell>
          <cell r="Z338">
            <v>0.70935429472326816</v>
          </cell>
          <cell r="AA338">
            <v>0.20524709731478896</v>
          </cell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R339">
            <v>1.6289841650165445E-2</v>
          </cell>
          <cell r="W339">
            <v>49.217131690951689</v>
          </cell>
          <cell r="X339">
            <v>48.528542524805076</v>
          </cell>
          <cell r="Y339">
            <v>3.9613990337255047</v>
          </cell>
          <cell r="Z339">
            <v>0.70476088115891766</v>
          </cell>
          <cell r="AA339">
            <v>0.20391802267907802</v>
          </cell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R340">
            <v>1.6289841650165445E-2</v>
          </cell>
          <cell r="W340">
            <v>48.89634964082444</v>
          </cell>
          <cell r="X340">
            <v>48.212248486002807</v>
          </cell>
          <cell r="Y340">
            <v>3.9355798593902356</v>
          </cell>
          <cell r="Z340">
            <v>0.70016746759456716</v>
          </cell>
          <cell r="AA340">
            <v>0.20258894804336705</v>
          </cell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R341">
            <v>1.6289841650165445E-2</v>
          </cell>
          <cell r="W341">
            <v>48.57556759069719</v>
          </cell>
          <cell r="X341">
            <v>47.895954447200538</v>
          </cell>
          <cell r="Y341">
            <v>3.9097606850549669</v>
          </cell>
          <cell r="Z341">
            <v>0.69557405403021666</v>
          </cell>
          <cell r="AA341">
            <v>0.20125987340765611</v>
          </cell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R342">
            <v>1.6289841650165445E-2</v>
          </cell>
          <cell r="W342">
            <v>48.254785540569948</v>
          </cell>
          <cell r="X342">
            <v>47.579660408398269</v>
          </cell>
          <cell r="Y342">
            <v>3.8839415107196982</v>
          </cell>
          <cell r="Z342">
            <v>0.69098064046586616</v>
          </cell>
          <cell r="AA342">
            <v>0.1999307987719452</v>
          </cell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R343">
            <v>1.6289841650165445E-2</v>
          </cell>
          <cell r="W343">
            <v>47.934003490442706</v>
          </cell>
          <cell r="X343">
            <v>47.263366369596007</v>
          </cell>
          <cell r="Y343">
            <v>3.8581223363844299</v>
          </cell>
          <cell r="Z343">
            <v>0.68638722690151577</v>
          </cell>
          <cell r="AA343">
            <v>0.19860172413623428</v>
          </cell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R344">
            <v>1.6289841650165445E-2</v>
          </cell>
          <cell r="W344">
            <v>47.613221440315456</v>
          </cell>
          <cell r="X344">
            <v>46.947072330793738</v>
          </cell>
          <cell r="Y344">
            <v>3.8323031620491608</v>
          </cell>
          <cell r="Z344">
            <v>0.68179381333716516</v>
          </cell>
          <cell r="AA344">
            <v>0.19727264950052331</v>
          </cell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R345">
            <v>1.6289841650165445E-2</v>
          </cell>
          <cell r="W345">
            <v>47.292439390188207</v>
          </cell>
          <cell r="X345">
            <v>46.630778291991469</v>
          </cell>
          <cell r="Y345">
            <v>3.8064839877138921</v>
          </cell>
          <cell r="Z345">
            <v>0.67720039977281465</v>
          </cell>
          <cell r="AA345">
            <v>0.19594357486481237</v>
          </cell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R346">
            <v>1.6289841650165445E-2</v>
          </cell>
          <cell r="W346">
            <v>46.971657340060965</v>
          </cell>
          <cell r="X346">
            <v>46.3144842531892</v>
          </cell>
          <cell r="Y346">
            <v>3.7806648133786234</v>
          </cell>
          <cell r="Z346">
            <v>0.67260698620846426</v>
          </cell>
          <cell r="AA346">
            <v>0.19461450022910143</v>
          </cell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R347">
            <v>1.6289841650165445E-2</v>
          </cell>
          <cell r="W347">
            <v>46.650875289933715</v>
          </cell>
          <cell r="X347">
            <v>45.998190214386923</v>
          </cell>
          <cell r="Y347">
            <v>3.7548456390433542</v>
          </cell>
          <cell r="Z347">
            <v>0.66801357264411365</v>
          </cell>
          <cell r="AA347">
            <v>0.19328542559339049</v>
          </cell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R348">
            <v>1.6289841650165445E-2</v>
          </cell>
          <cell r="W348">
            <v>46.330093239806473</v>
          </cell>
          <cell r="X348">
            <v>45.681896175584662</v>
          </cell>
          <cell r="Y348">
            <v>3.7290264647080864</v>
          </cell>
          <cell r="Z348">
            <v>0.66342015907976326</v>
          </cell>
          <cell r="AA348">
            <v>0.19195635095767957</v>
          </cell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R349">
            <v>1.6289841650165445E-2</v>
          </cell>
          <cell r="W349">
            <v>46.009311189679231</v>
          </cell>
          <cell r="X349">
            <v>45.3656021367824</v>
          </cell>
          <cell r="Y349">
            <v>3.7032072903728177</v>
          </cell>
          <cell r="Z349">
            <v>0.65882674551541276</v>
          </cell>
          <cell r="AA349">
            <v>0.19062727632196863</v>
          </cell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R350">
            <v>1.6289841650165445E-2</v>
          </cell>
          <cell r="W350">
            <v>45.688529139551981</v>
          </cell>
          <cell r="X350">
            <v>45.049308097980131</v>
          </cell>
          <cell r="Y350">
            <v>3.677388116037549</v>
          </cell>
          <cell r="Z350">
            <v>0.65423333195106226</v>
          </cell>
          <cell r="AA350">
            <v>0.18929820168625769</v>
          </cell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R351">
            <v>1.6289841650165445E-2</v>
          </cell>
          <cell r="W351">
            <v>45.367747089424732</v>
          </cell>
          <cell r="X351">
            <v>44.733014059177854</v>
          </cell>
          <cell r="Y351">
            <v>3.6515689417022799</v>
          </cell>
          <cell r="Z351">
            <v>0.64963991838671165</v>
          </cell>
          <cell r="AA351">
            <v>0.18796912705054672</v>
          </cell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R352">
            <v>1.6289841650165445E-2</v>
          </cell>
          <cell r="W352">
            <v>45.10310189806976</v>
          </cell>
          <cell r="X352">
            <v>44.47207147716599</v>
          </cell>
          <cell r="Y352">
            <v>3.6302681228756835</v>
          </cell>
          <cell r="Z352">
            <v>0.64585035219612263</v>
          </cell>
          <cell r="AA352">
            <v>0.18687264047608523</v>
          </cell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R353">
            <v>1.6289841650165445E-2</v>
          </cell>
          <cell r="W353">
            <v>44.83845670671478</v>
          </cell>
          <cell r="X353">
            <v>44.211128895154118</v>
          </cell>
          <cell r="Y353">
            <v>3.6089673040490871</v>
          </cell>
          <cell r="Z353">
            <v>0.6420607860055334</v>
          </cell>
          <cell r="AA353">
            <v>0.18577615390162369</v>
          </cell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R354">
            <v>1.6289841650165445E-2</v>
          </cell>
          <cell r="W354">
            <v>44.5738115153598</v>
          </cell>
          <cell r="X354">
            <v>43.950186313142247</v>
          </cell>
          <cell r="Y354">
            <v>3.5876664852224902</v>
          </cell>
          <cell r="Z354">
            <v>0.63827121981494428</v>
          </cell>
          <cell r="AA354">
            <v>0.18467966732716218</v>
          </cell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R355">
            <v>1.6289841650165445E-2</v>
          </cell>
          <cell r="W355">
            <v>44.309166324004821</v>
          </cell>
          <cell r="X355">
            <v>43.689243731130375</v>
          </cell>
          <cell r="Y355">
            <v>3.5663656663958934</v>
          </cell>
          <cell r="Z355">
            <v>0.63448165362435505</v>
          </cell>
          <cell r="AA355">
            <v>0.18358318075270064</v>
          </cell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R356">
            <v>1.6289841650165445E-2</v>
          </cell>
          <cell r="W356">
            <v>44.044521132649841</v>
          </cell>
          <cell r="X356">
            <v>43.428301149118496</v>
          </cell>
          <cell r="Y356">
            <v>3.5450648475692965</v>
          </cell>
          <cell r="Z356">
            <v>0.63069208743376592</v>
          </cell>
          <cell r="AA356">
            <v>0.18248669417823912</v>
          </cell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R357">
            <v>1.6289841650165445E-2</v>
          </cell>
          <cell r="W357">
            <v>43.779875941294868</v>
          </cell>
          <cell r="X357">
            <v>43.167358567106632</v>
          </cell>
          <cell r="Y357">
            <v>3.5237640287427006</v>
          </cell>
          <cell r="Z357">
            <v>0.6269025212431768</v>
          </cell>
          <cell r="AA357">
            <v>0.18139020760377761</v>
          </cell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R358">
            <v>1.6289841650165445E-2</v>
          </cell>
          <cell r="W358">
            <v>43.515230749939889</v>
          </cell>
          <cell r="X358">
            <v>42.90641598509476</v>
          </cell>
          <cell r="Y358">
            <v>3.5024632099161037</v>
          </cell>
          <cell r="Z358">
            <v>0.62311295505258768</v>
          </cell>
          <cell r="AA358">
            <v>0.1802937210293161</v>
          </cell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R359">
            <v>1.6289841650165445E-2</v>
          </cell>
          <cell r="W359">
            <v>43.250585558584909</v>
          </cell>
          <cell r="X359">
            <v>42.645473403082889</v>
          </cell>
          <cell r="Y359">
            <v>3.4811623910895069</v>
          </cell>
          <cell r="Z359">
            <v>0.61932338886199845</v>
          </cell>
          <cell r="AA359">
            <v>0.17919723445485455</v>
          </cell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R360">
            <v>1.6289841650165445E-2</v>
          </cell>
          <cell r="W360">
            <v>42.985940367229929</v>
          </cell>
          <cell r="X360">
            <v>42.384530821071017</v>
          </cell>
          <cell r="Y360">
            <v>3.45986157226291</v>
          </cell>
          <cell r="Z360">
            <v>0.61553382267140933</v>
          </cell>
          <cell r="AA360">
            <v>0.17810074788039301</v>
          </cell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R361">
            <v>1.6289841650165445E-2</v>
          </cell>
          <cell r="W361">
            <v>42.721295175874957</v>
          </cell>
          <cell r="X361">
            <v>42.123588239059153</v>
          </cell>
          <cell r="Y361">
            <v>3.4385607534363141</v>
          </cell>
          <cell r="Z361">
            <v>0.6117442564808202</v>
          </cell>
          <cell r="AA361">
            <v>0.17700426130593153</v>
          </cell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R362">
            <v>1.6289841650165445E-2</v>
          </cell>
          <cell r="W362">
            <v>42.456649984519977</v>
          </cell>
          <cell r="X362">
            <v>41.862645657047281</v>
          </cell>
          <cell r="Y362">
            <v>3.4172599346097172</v>
          </cell>
          <cell r="Z362">
            <v>0.60795469029023108</v>
          </cell>
          <cell r="AA362">
            <v>0.17590777473146998</v>
          </cell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W363">
            <v>42.192004793165005</v>
          </cell>
          <cell r="X363">
            <v>41.60170307503541</v>
          </cell>
          <cell r="Y363">
            <v>3.3959591157831204</v>
          </cell>
          <cell r="Z363">
            <v>0.60416512409964185</v>
          </cell>
          <cell r="AA363">
            <v>0.17481128815700847</v>
          </cell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W364">
            <v>41.927359601810025</v>
          </cell>
          <cell r="X364">
            <v>41.340760493023531</v>
          </cell>
          <cell r="Y364">
            <v>3.3746582969565235</v>
          </cell>
          <cell r="Z364">
            <v>0.60037555790905273</v>
          </cell>
          <cell r="AA364">
            <v>0.17371480158254693</v>
          </cell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W365">
            <v>41.662714410455045</v>
          </cell>
          <cell r="X365">
            <v>41.079817911011659</v>
          </cell>
          <cell r="Y365">
            <v>3.3533574781299267</v>
          </cell>
          <cell r="Z365">
            <v>0.59658599171846349</v>
          </cell>
          <cell r="AA365">
            <v>0.17261831500808542</v>
          </cell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W366">
            <v>41.398069219100073</v>
          </cell>
          <cell r="X366">
            <v>40.818875328999795</v>
          </cell>
          <cell r="Y366">
            <v>3.3320566593033307</v>
          </cell>
          <cell r="Z366">
            <v>0.59279642552787448</v>
          </cell>
          <cell r="AA366">
            <v>0.1715218284336239</v>
          </cell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W367">
            <v>41.133424027745093</v>
          </cell>
          <cell r="X367">
            <v>40.557932746987923</v>
          </cell>
          <cell r="Y367">
            <v>3.3107558404767339</v>
          </cell>
          <cell r="Z367">
            <v>0.58900685933728525</v>
          </cell>
          <cell r="AA367">
            <v>0.17042534185916239</v>
          </cell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W368">
            <v>40.868778836390113</v>
          </cell>
          <cell r="X368">
            <v>40.296990164976052</v>
          </cell>
          <cell r="Y368">
            <v>3.289455021650137</v>
          </cell>
          <cell r="Z368">
            <v>0.58521729314669613</v>
          </cell>
          <cell r="AA368">
            <v>0.16932885528470085</v>
          </cell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W369">
            <v>40.604133645035141</v>
          </cell>
          <cell r="X369">
            <v>40.036047582964187</v>
          </cell>
          <cell r="Y369">
            <v>3.2681542028235411</v>
          </cell>
          <cell r="Z369">
            <v>0.581427726956107</v>
          </cell>
          <cell r="AA369">
            <v>0.16823236871023936</v>
          </cell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W370">
            <v>40.339488453680161</v>
          </cell>
          <cell r="X370">
            <v>39.775105000952315</v>
          </cell>
          <cell r="Y370">
            <v>3.2468533839969442</v>
          </cell>
          <cell r="Z370">
            <v>0.57763816076551788</v>
          </cell>
          <cell r="AA370">
            <v>0.16713588213577782</v>
          </cell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W371">
            <v>40.074843262325182</v>
          </cell>
          <cell r="X371">
            <v>39.514162418940444</v>
          </cell>
          <cell r="Y371">
            <v>3.2255525651703474</v>
          </cell>
          <cell r="Z371">
            <v>0.57384859457492865</v>
          </cell>
          <cell r="AA371">
            <v>0.16603939556131628</v>
          </cell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W372">
            <v>39.810198070970202</v>
          </cell>
          <cell r="X372">
            <v>39.253219836928572</v>
          </cell>
          <cell r="Y372">
            <v>3.2042517463437505</v>
          </cell>
          <cell r="Z372">
            <v>0.57005902838433953</v>
          </cell>
          <cell r="AA372">
            <v>0.16494290898685476</v>
          </cell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W373">
            <v>39.545552879615222</v>
          </cell>
          <cell r="X373">
            <v>38.992277254916694</v>
          </cell>
          <cell r="Y373">
            <v>3.1829509275171537</v>
          </cell>
          <cell r="Z373">
            <v>0.56626946219375029</v>
          </cell>
          <cell r="AA373">
            <v>0.16384642241239322</v>
          </cell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W374">
            <v>39.280907688260243</v>
          </cell>
          <cell r="X374">
            <v>38.731334672904822</v>
          </cell>
          <cell r="Y374">
            <v>3.1616501086905573</v>
          </cell>
          <cell r="Z374">
            <v>0.56247989600316117</v>
          </cell>
          <cell r="AA374">
            <v>0.16274993583793171</v>
          </cell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W375">
            <v>39.01626249690527</v>
          </cell>
          <cell r="X375">
            <v>38.470392090892958</v>
          </cell>
          <cell r="Y375">
            <v>3.1403492898639609</v>
          </cell>
          <cell r="Z375">
            <v>0.55869032981257205</v>
          </cell>
          <cell r="AA375">
            <v>0.16165344926347019</v>
          </cell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W376">
            <v>38.751617305550283</v>
          </cell>
          <cell r="X376">
            <v>38.209449508881079</v>
          </cell>
          <cell r="Y376">
            <v>3.1190484710373636</v>
          </cell>
          <cell r="Z376">
            <v>0.55490076362198282</v>
          </cell>
          <cell r="AA376">
            <v>0.16055696268900865</v>
          </cell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W377">
            <v>38.486972114195311</v>
          </cell>
          <cell r="X377">
            <v>37.948506926869214</v>
          </cell>
          <cell r="Y377">
            <v>3.0977476522107672</v>
          </cell>
          <cell r="Z377">
            <v>0.5511111974313937</v>
          </cell>
          <cell r="AA377">
            <v>0.15946047611454714</v>
          </cell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W378">
            <v>38.222326922840338</v>
          </cell>
          <cell r="X378">
            <v>37.68756434485735</v>
          </cell>
          <cell r="Y378">
            <v>3.0764468333841712</v>
          </cell>
          <cell r="Z378">
            <v>0.54732163124080468</v>
          </cell>
          <cell r="AA378">
            <v>0.15836398954008565</v>
          </cell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W379">
            <v>37.957681731485359</v>
          </cell>
          <cell r="X379">
            <v>37.426621762845478</v>
          </cell>
          <cell r="Y379">
            <v>3.0551460145575744</v>
          </cell>
          <cell r="Z379">
            <v>0.54353206505021545</v>
          </cell>
          <cell r="AA379">
            <v>0.15726750296562411</v>
          </cell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W380">
            <v>37.693036540130379</v>
          </cell>
          <cell r="X380">
            <v>37.165679180833607</v>
          </cell>
          <cell r="Y380">
            <v>3.0338451957309776</v>
          </cell>
          <cell r="Z380">
            <v>0.53974249885962633</v>
          </cell>
          <cell r="AA380">
            <v>0.15617101639116257</v>
          </cell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W381">
            <v>37.428391348775406</v>
          </cell>
          <cell r="X381">
            <v>36.904736598821728</v>
          </cell>
          <cell r="Y381">
            <v>3.0125443769043807</v>
          </cell>
          <cell r="Z381">
            <v>0.5359529326690371</v>
          </cell>
          <cell r="AA381">
            <v>0.15507452981670106</v>
          </cell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W382">
            <v>37.210059065907544</v>
          </cell>
          <cell r="X382">
            <v>36.689458968661938</v>
          </cell>
          <cell r="Y382">
            <v>2.9949712013724388</v>
          </cell>
          <cell r="Z382">
            <v>0.53282654056180112</v>
          </cell>
          <cell r="AA382">
            <v>0.1541699283927703</v>
          </cell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W383">
            <v>36.991726783039688</v>
          </cell>
          <cell r="X383">
            <v>36.474181338502142</v>
          </cell>
          <cell r="Y383">
            <v>2.9773980258404964</v>
          </cell>
          <cell r="Z383">
            <v>0.52970014845456503</v>
          </cell>
          <cell r="AA383">
            <v>0.15326532696883952</v>
          </cell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W384">
            <v>36.773394500171825</v>
          </cell>
          <cell r="X384">
            <v>36.258903708342345</v>
          </cell>
          <cell r="Y384">
            <v>2.959824850308554</v>
          </cell>
          <cell r="Z384">
            <v>0.52657375634732895</v>
          </cell>
          <cell r="AA384">
            <v>0.15236072554490876</v>
          </cell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W385">
            <v>36.555062217303977</v>
          </cell>
          <cell r="X385">
            <v>36.043626078182555</v>
          </cell>
          <cell r="Y385">
            <v>2.9422516747766121</v>
          </cell>
          <cell r="Z385">
            <v>0.52344736424009297</v>
          </cell>
          <cell r="AA385">
            <v>0.15145612412097803</v>
          </cell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W386">
            <v>36.336729934436121</v>
          </cell>
          <cell r="X386">
            <v>35.828348448022766</v>
          </cell>
          <cell r="Y386">
            <v>2.9246784992446697</v>
          </cell>
          <cell r="Z386">
            <v>0.52032097213285688</v>
          </cell>
          <cell r="AA386">
            <v>0.15055152269704727</v>
          </cell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W387">
            <v>36.118397651568259</v>
          </cell>
          <cell r="X387">
            <v>35.613070817862969</v>
          </cell>
          <cell r="Y387">
            <v>2.9071053237127273</v>
          </cell>
          <cell r="Z387">
            <v>0.5171945800256208</v>
          </cell>
          <cell r="AA387">
            <v>0.14964692127311652</v>
          </cell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W388">
            <v>35.900065368700403</v>
          </cell>
          <cell r="X388">
            <v>35.397793187703172</v>
          </cell>
          <cell r="Y388">
            <v>2.889532148180785</v>
          </cell>
          <cell r="Z388">
            <v>0.51406818791838471</v>
          </cell>
          <cell r="AA388">
            <v>0.14874231984918573</v>
          </cell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W389">
            <v>35.681733085832555</v>
          </cell>
          <cell r="X389">
            <v>35.182515557543383</v>
          </cell>
          <cell r="Y389">
            <v>2.871958972648843</v>
          </cell>
          <cell r="Z389">
            <v>0.51094179581114874</v>
          </cell>
          <cell r="AA389">
            <v>0.147837718425255</v>
          </cell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W390">
            <v>35.463400802964692</v>
          </cell>
          <cell r="X390">
            <v>34.967237927383586</v>
          </cell>
          <cell r="Y390">
            <v>2.8543857971169007</v>
          </cell>
          <cell r="Z390">
            <v>0.50781540370391265</v>
          </cell>
          <cell r="AA390">
            <v>0.14693311700132425</v>
          </cell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W391">
            <v>35.245068520096837</v>
          </cell>
          <cell r="X391">
            <v>34.751960297223796</v>
          </cell>
          <cell r="Y391">
            <v>2.8368126215849583</v>
          </cell>
          <cell r="Z391">
            <v>0.50468901159667656</v>
          </cell>
          <cell r="AA391">
            <v>0.14602851557739349</v>
          </cell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W392">
            <v>35.026736237228974</v>
          </cell>
          <cell r="X392">
            <v>34.536682667063999</v>
          </cell>
          <cell r="Y392">
            <v>2.8192394460530159</v>
          </cell>
          <cell r="Z392">
            <v>0.50156261948944059</v>
          </cell>
          <cell r="AA392">
            <v>0.14512391415346271</v>
          </cell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W393">
            <v>34.808403954361125</v>
          </cell>
          <cell r="X393">
            <v>34.32140503690421</v>
          </cell>
          <cell r="Y393">
            <v>2.8016662705210744</v>
          </cell>
          <cell r="Z393">
            <v>0.49843622738220456</v>
          </cell>
          <cell r="AA393">
            <v>0.14421931272953198</v>
          </cell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W394">
            <v>34.59007167149327</v>
          </cell>
          <cell r="X394">
            <v>34.106127406744413</v>
          </cell>
          <cell r="Y394">
            <v>2.784093094989132</v>
          </cell>
          <cell r="Z394">
            <v>0.49530983527496847</v>
          </cell>
          <cell r="AA394">
            <v>0.14331471130560122</v>
          </cell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W395">
            <v>34.371739388625407</v>
          </cell>
          <cell r="X395">
            <v>33.890849776584623</v>
          </cell>
          <cell r="Y395">
            <v>2.7665199194571897</v>
          </cell>
          <cell r="Z395">
            <v>0.49218344316773244</v>
          </cell>
          <cell r="AA395">
            <v>0.14241010988167047</v>
          </cell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W396">
            <v>34.153407105757552</v>
          </cell>
          <cell r="X396">
            <v>33.675572146424827</v>
          </cell>
          <cell r="Y396">
            <v>2.7489467439252473</v>
          </cell>
          <cell r="Z396">
            <v>0.48905705106049635</v>
          </cell>
          <cell r="AA396">
            <v>0.14150550845773968</v>
          </cell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W397">
            <v>33.935074822889703</v>
          </cell>
          <cell r="X397">
            <v>33.460294516265037</v>
          </cell>
          <cell r="Y397">
            <v>2.7313735683933054</v>
          </cell>
          <cell r="Z397">
            <v>0.48593065895326037</v>
          </cell>
          <cell r="AA397">
            <v>0.14060090703380895</v>
          </cell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W398">
            <v>33.716742540021841</v>
          </cell>
          <cell r="X398">
            <v>33.24501688610524</v>
          </cell>
          <cell r="Y398">
            <v>2.713800392861363</v>
          </cell>
          <cell r="Z398">
            <v>0.48280426684602429</v>
          </cell>
          <cell r="AA398">
            <v>0.1396963056098782</v>
          </cell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W399">
            <v>33.498410257153985</v>
          </cell>
          <cell r="X399">
            <v>33.029739255945444</v>
          </cell>
          <cell r="Y399">
            <v>2.6962272173294206</v>
          </cell>
          <cell r="Z399">
            <v>0.4796778747387882</v>
          </cell>
          <cell r="AA399">
            <v>0.13879170418594744</v>
          </cell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W400">
            <v>33.280077974286122</v>
          </cell>
          <cell r="X400">
            <v>32.814461625785654</v>
          </cell>
          <cell r="Y400">
            <v>2.6786540417974782</v>
          </cell>
          <cell r="Z400">
            <v>0.47655148263155211</v>
          </cell>
          <cell r="AA400">
            <v>0.13788710276201668</v>
          </cell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W401">
            <v>33.061745691418274</v>
          </cell>
          <cell r="X401">
            <v>32.599183995625864</v>
          </cell>
          <cell r="Y401">
            <v>2.6610808662655367</v>
          </cell>
          <cell r="Z401">
            <v>0.47342509052431614</v>
          </cell>
          <cell r="AA401">
            <v>0.13698250133808593</v>
          </cell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W402">
            <v>32.843413408550418</v>
          </cell>
          <cell r="X402">
            <v>32.383906365466068</v>
          </cell>
          <cell r="Y402">
            <v>2.6435076907335944</v>
          </cell>
          <cell r="Z402">
            <v>0.47029869841708011</v>
          </cell>
          <cell r="AA402">
            <v>0.13607789991415517</v>
          </cell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W403">
            <v>32.625081125682556</v>
          </cell>
          <cell r="X403">
            <v>32.168628735306271</v>
          </cell>
          <cell r="Y403">
            <v>2.625934515201652</v>
          </cell>
          <cell r="Z403">
            <v>0.46717230630984402</v>
          </cell>
          <cell r="AA403">
            <v>0.13517329849022441</v>
          </cell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W404">
            <v>32.4067488428147</v>
          </cell>
          <cell r="X404">
            <v>31.953351105146478</v>
          </cell>
          <cell r="Y404">
            <v>2.6083613396697096</v>
          </cell>
          <cell r="Z404">
            <v>0.46404591420260793</v>
          </cell>
          <cell r="AA404">
            <v>0.13426869706629366</v>
          </cell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W405">
            <v>32.188416559946852</v>
          </cell>
          <cell r="X405">
            <v>31.738073474986692</v>
          </cell>
          <cell r="Y405">
            <v>2.5907881641377677</v>
          </cell>
          <cell r="Z405">
            <v>0.46091952209537196</v>
          </cell>
          <cell r="AA405">
            <v>0.1333640956423629</v>
          </cell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W406">
            <v>31.970084277078989</v>
          </cell>
          <cell r="X406">
            <v>31.522795844826895</v>
          </cell>
          <cell r="Y406">
            <v>2.5732149886058253</v>
          </cell>
          <cell r="Z406">
            <v>0.45779312998813587</v>
          </cell>
          <cell r="AA406">
            <v>0.13245949421843214</v>
          </cell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W407">
            <v>31.751751994211133</v>
          </cell>
          <cell r="X407">
            <v>31.307518214667098</v>
          </cell>
          <cell r="Y407">
            <v>2.5556418130738829</v>
          </cell>
          <cell r="Z407">
            <v>0.45466673788089984</v>
          </cell>
          <cell r="AA407">
            <v>0.13155489279450139</v>
          </cell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W408">
            <v>31.533419711343274</v>
          </cell>
          <cell r="X408">
            <v>31.092240584507305</v>
          </cell>
          <cell r="Y408">
            <v>2.5380686375419406</v>
          </cell>
          <cell r="Z408">
            <v>0.45154034577366375</v>
          </cell>
          <cell r="AA408">
            <v>0.13065029137057063</v>
          </cell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W409">
            <v>31.315087428475415</v>
          </cell>
          <cell r="X409">
            <v>30.876962954347508</v>
          </cell>
          <cell r="Y409">
            <v>2.5204954620099982</v>
          </cell>
          <cell r="Z409">
            <v>0.44841395366642767</v>
          </cell>
          <cell r="AA409">
            <v>0.12974568994663987</v>
          </cell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W410">
            <v>31.096755145607563</v>
          </cell>
          <cell r="X410">
            <v>30.661685324187722</v>
          </cell>
          <cell r="Y410">
            <v>2.5029222864780567</v>
          </cell>
          <cell r="Z410">
            <v>0.44528756155919169</v>
          </cell>
          <cell r="AA410">
            <v>0.12884108852270912</v>
          </cell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W411">
            <v>30.878422862739708</v>
          </cell>
          <cell r="X411">
            <v>30.446407694027926</v>
          </cell>
          <cell r="Y411">
            <v>2.4853491109461143</v>
          </cell>
          <cell r="Z411">
            <v>0.4421611694519556</v>
          </cell>
          <cell r="AA411">
            <v>0.12793648709877836</v>
          </cell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W412">
            <v>30.698298729373722</v>
          </cell>
          <cell r="X412">
            <v>30.268803649146093</v>
          </cell>
          <cell r="Y412">
            <v>2.4708512411322614</v>
          </cell>
          <cell r="Z412">
            <v>0.43958189596348585</v>
          </cell>
          <cell r="AA412">
            <v>0.12719019092403547</v>
          </cell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W413">
            <v>30.518174596007743</v>
          </cell>
          <cell r="X413">
            <v>30.091199604264265</v>
          </cell>
          <cell r="Y413">
            <v>2.4563533713184094</v>
          </cell>
          <cell r="Z413">
            <v>0.43700262247501614</v>
          </cell>
          <cell r="AA413">
            <v>0.1264438947492926</v>
          </cell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W414">
            <v>30.33805046264176</v>
          </cell>
          <cell r="X414">
            <v>29.913595559382436</v>
          </cell>
          <cell r="Y414">
            <v>2.4418555015045573</v>
          </cell>
          <cell r="Z414">
            <v>0.43442334898654639</v>
          </cell>
          <cell r="AA414">
            <v>0.12569759857454973</v>
          </cell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W415">
            <v>30.157926329275778</v>
          </cell>
          <cell r="X415">
            <v>29.735991514500608</v>
          </cell>
          <cell r="Y415">
            <v>2.4273576316907048</v>
          </cell>
          <cell r="Z415">
            <v>0.43184407549807663</v>
          </cell>
          <cell r="AA415">
            <v>0.12495130239980685</v>
          </cell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W416">
            <v>29.977802195909796</v>
          </cell>
          <cell r="X416">
            <v>29.558387469618779</v>
          </cell>
          <cell r="Y416">
            <v>2.4128597618768524</v>
          </cell>
          <cell r="Z416">
            <v>0.42926480200960693</v>
          </cell>
          <cell r="AA416">
            <v>0.12420500622506399</v>
          </cell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W417">
            <v>29.797678062543817</v>
          </cell>
          <cell r="X417">
            <v>29.380783424736951</v>
          </cell>
          <cell r="Y417">
            <v>2.3983618920630003</v>
          </cell>
          <cell r="Z417">
            <v>0.42668552852113717</v>
          </cell>
          <cell r="AA417">
            <v>0.12345871005032112</v>
          </cell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W418">
            <v>29.617553929177834</v>
          </cell>
          <cell r="X418">
            <v>29.203179379855118</v>
          </cell>
          <cell r="Y418">
            <v>2.3838640222491478</v>
          </cell>
          <cell r="Z418">
            <v>0.42410625503266741</v>
          </cell>
          <cell r="AA418">
            <v>0.12271241387557824</v>
          </cell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W419">
            <v>29.437429795811852</v>
          </cell>
          <cell r="X419">
            <v>29.02557533497329</v>
          </cell>
          <cell r="Y419">
            <v>2.3693661524352954</v>
          </cell>
          <cell r="Z419">
            <v>0.42152698154419771</v>
          </cell>
          <cell r="AA419">
            <v>0.12196611770083537</v>
          </cell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W420">
            <v>29.257305662445869</v>
          </cell>
          <cell r="X420">
            <v>28.847971290091458</v>
          </cell>
          <cell r="Y420">
            <v>2.3548682826214429</v>
          </cell>
          <cell r="Z420">
            <v>0.4189477080557279</v>
          </cell>
          <cell r="AA420">
            <v>0.12121982152609249</v>
          </cell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W421">
            <v>29.077181529079887</v>
          </cell>
          <cell r="X421">
            <v>28.670367245209629</v>
          </cell>
          <cell r="Y421">
            <v>2.3403704128075908</v>
          </cell>
          <cell r="Z421">
            <v>0.41636843456725819</v>
          </cell>
          <cell r="AA421">
            <v>0.12047352535134961</v>
          </cell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  <sheetName val="战法币兑换战法"/>
      <sheetName val="将魂消耗"/>
    </sheetNames>
    <sheetDataSet>
      <sheetData sheetId="0"/>
      <sheetData sheetId="1"/>
      <sheetData sheetId="2"/>
      <sheetData sheetId="3"/>
      <sheetData sheetId="4">
        <row r="5">
          <cell r="K5">
            <v>10</v>
          </cell>
          <cell r="Z5">
            <v>0</v>
          </cell>
        </row>
        <row r="6">
          <cell r="K6">
            <v>20</v>
          </cell>
          <cell r="Z6">
            <v>0.32500000000000001</v>
          </cell>
        </row>
        <row r="7">
          <cell r="K7">
            <v>28.071211008105138</v>
          </cell>
          <cell r="Z7">
            <v>0.37833333333333341</v>
          </cell>
        </row>
        <row r="8">
          <cell r="K8">
            <v>34.585942742481357</v>
          </cell>
          <cell r="Z8">
            <v>0.51205113511749167</v>
          </cell>
        </row>
        <row r="9">
          <cell r="K9">
            <v>40</v>
          </cell>
          <cell r="Z9">
            <v>0.79122585322482653</v>
          </cell>
        </row>
        <row r="10">
          <cell r="K10">
            <v>43.920692243099523</v>
          </cell>
          <cell r="Z10">
            <v>0.81</v>
          </cell>
        </row>
        <row r="11">
          <cell r="K11">
            <v>49.533352307096472</v>
          </cell>
          <cell r="Z11">
            <v>0.81</v>
          </cell>
        </row>
        <row r="12">
          <cell r="K12">
            <v>53.567039423670657</v>
          </cell>
          <cell r="Z12">
            <v>0.81236160374146527</v>
          </cell>
        </row>
        <row r="13">
          <cell r="K13">
            <v>59.300028460644697</v>
          </cell>
          <cell r="Z13">
            <v>0.88901877439490107</v>
          </cell>
        </row>
        <row r="14">
          <cell r="K14">
            <v>65.075479910097457</v>
          </cell>
          <cell r="Z14">
            <v>0.99151791795688238</v>
          </cell>
        </row>
        <row r="15">
          <cell r="K15">
            <v>69.18336653741882</v>
          </cell>
          <cell r="Z15">
            <v>1.0238221009742585</v>
          </cell>
        </row>
        <row r="16">
          <cell r="K16">
            <v>72.375871759353331</v>
          </cell>
          <cell r="Z16">
            <v>1.0419317611639451</v>
          </cell>
        </row>
        <row r="17">
          <cell r="K17">
            <v>74.998404927577795</v>
          </cell>
          <cell r="Z17">
            <v>1.0564649286118015</v>
          </cell>
        </row>
        <row r="18">
          <cell r="K18">
            <v>77.875308029777003</v>
          </cell>
          <cell r="Z18">
            <v>1.0672185466118485</v>
          </cell>
        </row>
        <row r="19">
          <cell r="K19">
            <v>80.272123558064706</v>
          </cell>
          <cell r="Z19">
            <v>1.0721215950165386</v>
          </cell>
        </row>
        <row r="20">
          <cell r="K20">
            <v>82.328492296001457</v>
          </cell>
          <cell r="Z20">
            <v>1.1179737792537343</v>
          </cell>
        </row>
        <row r="21">
          <cell r="K21">
            <v>84.132234338875293</v>
          </cell>
          <cell r="Z21">
            <v>1.1635798581458321</v>
          </cell>
        </row>
        <row r="22">
          <cell r="K22">
            <v>86.465948248806328</v>
          </cell>
          <cell r="Z22">
            <v>1.2230215399117335</v>
          </cell>
        </row>
        <row r="23">
          <cell r="K23">
            <v>90.244911202258237</v>
          </cell>
          <cell r="Z23">
            <v>1.2795401345905864</v>
          </cell>
        </row>
        <row r="24">
          <cell r="K24">
            <v>93.235489905456092</v>
          </cell>
          <cell r="Z24">
            <v>1.3242675658100047</v>
          </cell>
        </row>
        <row r="25">
          <cell r="K25">
            <v>96.807063977001675</v>
          </cell>
          <cell r="Z25">
            <v>1.3727896907452974</v>
          </cell>
        </row>
        <row r="26">
          <cell r="K26">
            <v>100.50342858241972</v>
          </cell>
          <cell r="Z26">
            <v>1.4114838367814031</v>
          </cell>
        </row>
        <row r="27">
          <cell r="K27">
            <v>104.10129967499306</v>
          </cell>
          <cell r="Z27">
            <v>1.4383889190080186</v>
          </cell>
        </row>
        <row r="28">
          <cell r="K28">
            <v>107.48165553683219</v>
          </cell>
          <cell r="Z28">
            <v>1.4636674101150895</v>
          </cell>
        </row>
        <row r="29">
          <cell r="K29">
            <v>111.03813549320469</v>
          </cell>
          <cell r="Z29">
            <v>1.4902629670990593</v>
          </cell>
        </row>
        <row r="30">
          <cell r="K30">
            <v>114.50860608277577</v>
          </cell>
          <cell r="Z30">
            <v>1.5162153412044577</v>
          </cell>
        </row>
        <row r="31">
          <cell r="K31">
            <v>118.05948896247369</v>
          </cell>
          <cell r="Z31">
            <v>1.5427690429345053</v>
          </cell>
        </row>
        <row r="32">
          <cell r="K32">
            <v>121.47928719052189</v>
          </cell>
          <cell r="Z32">
            <v>1.5683424862727051</v>
          </cell>
        </row>
        <row r="33">
          <cell r="K33">
            <v>125.02015904129435</v>
          </cell>
          <cell r="Z33">
            <v>1.5868799441731534</v>
          </cell>
        </row>
        <row r="34">
          <cell r="K34">
            <v>128.56549059889721</v>
          </cell>
          <cell r="Z34">
            <v>1.5966070111430783</v>
          </cell>
        </row>
        <row r="35">
          <cell r="K35">
            <v>132.07530828871487</v>
          </cell>
          <cell r="Z35">
            <v>1.6062366413106357</v>
          </cell>
        </row>
        <row r="36">
          <cell r="K36">
            <v>135.54811255008914</v>
          </cell>
          <cell r="Z36">
            <v>1.6157647204408905</v>
          </cell>
        </row>
        <row r="37">
          <cell r="K37">
            <v>139.0493876099641</v>
          </cell>
          <cell r="Z37">
            <v>1.625370912819287</v>
          </cell>
        </row>
        <row r="38">
          <cell r="K38">
            <v>142.53355653582128</v>
          </cell>
          <cell r="Z38">
            <v>1.6349301723485314</v>
          </cell>
        </row>
        <row r="39">
          <cell r="K39">
            <v>146.02664953963369</v>
          </cell>
          <cell r="Z39">
            <v>1.6445139162179581</v>
          </cell>
        </row>
        <row r="40">
          <cell r="K40">
            <v>149.52287096243165</v>
          </cell>
          <cell r="Z40">
            <v>1.6541062433018141</v>
          </cell>
        </row>
        <row r="41">
          <cell r="K41">
            <v>153.02723536432757</v>
          </cell>
          <cell r="Z41">
            <v>1.6637209116820297</v>
          </cell>
        </row>
        <row r="42">
          <cell r="K42">
            <v>156.52008914974525</v>
          </cell>
          <cell r="Z42">
            <v>1.6733039992254375</v>
          </cell>
        </row>
        <row r="43">
          <cell r="K43">
            <v>159.99202506384199</v>
          </cell>
          <cell r="Z43">
            <v>1.6828296959347584</v>
          </cell>
        </row>
        <row r="50">
          <cell r="K50">
            <v>9.9592453074578113</v>
          </cell>
          <cell r="Z50">
            <v>2.9367528871644275E-2</v>
          </cell>
        </row>
        <row r="51">
          <cell r="K51">
            <v>19.766822802328868</v>
          </cell>
          <cell r="Z51">
            <v>0.35166666666666674</v>
          </cell>
        </row>
        <row r="52">
          <cell r="K52">
            <v>27.773265580596355</v>
          </cell>
          <cell r="Z52">
            <v>0.40500000000000003</v>
          </cell>
        </row>
        <row r="53">
          <cell r="K53">
            <v>34.250806171891597</v>
          </cell>
          <cell r="Z53">
            <v>0.609993239340615</v>
          </cell>
        </row>
        <row r="54">
          <cell r="K54">
            <v>39.661158518499626</v>
          </cell>
          <cell r="Z54">
            <v>0.81</v>
          </cell>
        </row>
        <row r="55">
          <cell r="K55">
            <v>43.535389560453282</v>
          </cell>
          <cell r="Z55">
            <v>0.81</v>
          </cell>
        </row>
        <row r="56">
          <cell r="K56">
            <v>49.178590903134719</v>
          </cell>
          <cell r="Z56">
            <v>0.81</v>
          </cell>
        </row>
        <row r="57">
          <cell r="K57">
            <v>53.226994578658328</v>
          </cell>
          <cell r="Z57">
            <v>0.84345785559577513</v>
          </cell>
        </row>
        <row r="58">
          <cell r="K58">
            <v>59.016342740868758</v>
          </cell>
          <cell r="Z58">
            <v>0.93361804030665441</v>
          </cell>
        </row>
        <row r="59">
          <cell r="K59">
            <v>64.781009552500748</v>
          </cell>
          <cell r="Z59">
            <v>1.0210606818380823</v>
          </cell>
        </row>
        <row r="60">
          <cell r="K60">
            <v>68.923431594456531</v>
          </cell>
          <cell r="Z60">
            <v>1.0627512698928083</v>
          </cell>
        </row>
        <row r="61">
          <cell r="K61">
            <v>72.103942950990486</v>
          </cell>
          <cell r="Z61">
            <v>1.0829073218523386</v>
          </cell>
        </row>
        <row r="62">
          <cell r="K62">
            <v>74.74003809013405</v>
          </cell>
          <cell r="Z62">
            <v>1.0872077228453385</v>
          </cell>
        </row>
        <row r="63">
          <cell r="K63">
            <v>77.609642525433856</v>
          </cell>
          <cell r="Z63">
            <v>1.0657599608426507</v>
          </cell>
        </row>
        <row r="64">
          <cell r="K64">
            <v>79.994335665275713</v>
          </cell>
          <cell r="Z64">
            <v>1.1153906423137601</v>
          </cell>
        </row>
        <row r="65">
          <cell r="K65">
            <v>82.100546804797787</v>
          </cell>
          <cell r="Z65">
            <v>1.1708030865942578</v>
          </cell>
        </row>
        <row r="66">
          <cell r="K66">
            <v>83.885420957389968</v>
          </cell>
          <cell r="Z66">
            <v>1.2262155308747555</v>
          </cell>
        </row>
        <row r="67">
          <cell r="K67">
            <v>86.247032860782397</v>
          </cell>
          <cell r="Z67">
            <v>1.2750188807044036</v>
          </cell>
        </row>
        <row r="68">
          <cell r="K68">
            <v>90.122782504866933</v>
          </cell>
          <cell r="Z68">
            <v>1.3580278065007436</v>
          </cell>
        </row>
        <row r="69">
          <cell r="K69">
            <v>93.149045658279036</v>
          </cell>
          <cell r="Z69">
            <v>1.4112842726645913</v>
          </cell>
        </row>
        <row r="70">
          <cell r="K70">
            <v>96.770480813454071</v>
          </cell>
          <cell r="Z70">
            <v>1.452616845560222</v>
          </cell>
        </row>
        <row r="71">
          <cell r="K71">
            <v>100.40175326279811</v>
          </cell>
          <cell r="Z71">
            <v>1.4940616945731691</v>
          </cell>
        </row>
        <row r="72">
          <cell r="K72">
            <v>104.06236366727887</v>
          </cell>
          <cell r="Z72">
            <v>1.5358413868505505</v>
          </cell>
        </row>
        <row r="73">
          <cell r="K73">
            <v>107.42257994053838</v>
          </cell>
          <cell r="Z73">
            <v>1.5728334347246669</v>
          </cell>
        </row>
        <row r="74">
          <cell r="K74">
            <v>111.00691759243479</v>
          </cell>
          <cell r="Z74">
            <v>1.5930925640438864</v>
          </cell>
        </row>
        <row r="75">
          <cell r="K75">
            <v>114.47614359759058</v>
          </cell>
          <cell r="Z75">
            <v>1.6076197215498649</v>
          </cell>
        </row>
        <row r="76">
          <cell r="K76">
            <v>118.05724034557241</v>
          </cell>
          <cell r="Z76">
            <v>1.6226153304910997</v>
          </cell>
        </row>
        <row r="77">
          <cell r="K77">
            <v>121.49411884885473</v>
          </cell>
          <cell r="Z77">
            <v>1.6370070349438779</v>
          </cell>
        </row>
        <row r="78">
          <cell r="K78">
            <v>125.03100311549058</v>
          </cell>
          <cell r="Z78">
            <v>1.6518175070046421</v>
          </cell>
        </row>
        <row r="79">
          <cell r="K79">
            <v>128.62542789463421</v>
          </cell>
          <cell r="Z79">
            <v>1.6668689262066225</v>
          </cell>
        </row>
        <row r="80">
          <cell r="K80">
            <v>132.09902390525281</v>
          </cell>
          <cell r="Z80">
            <v>1.6814143828253041</v>
          </cell>
        </row>
        <row r="81">
          <cell r="K81">
            <v>135.61521761503846</v>
          </cell>
          <cell r="Z81">
            <v>1.6961382145294577</v>
          </cell>
        </row>
        <row r="82">
          <cell r="K82">
            <v>139.08794136138388</v>
          </cell>
          <cell r="Z82">
            <v>1.7106800185984163</v>
          </cell>
        </row>
        <row r="83">
          <cell r="K83">
            <v>142.60670974426387</v>
          </cell>
          <cell r="Z83">
            <v>1.72</v>
          </cell>
        </row>
        <row r="84">
          <cell r="K84">
            <v>146.07830147206653</v>
          </cell>
          <cell r="Z84">
            <v>1.72</v>
          </cell>
        </row>
        <row r="85">
          <cell r="K85">
            <v>149.61701338734093</v>
          </cell>
          <cell r="Z85">
            <v>1.72</v>
          </cell>
        </row>
        <row r="86">
          <cell r="K86">
            <v>153.01012120353457</v>
          </cell>
          <cell r="Z86">
            <v>1.72</v>
          </cell>
        </row>
        <row r="87">
          <cell r="K87">
            <v>154.95970315183646</v>
          </cell>
          <cell r="Z87">
            <v>1.72</v>
          </cell>
        </row>
        <row r="88">
          <cell r="K88">
            <v>157.63974470288184</v>
          </cell>
          <cell r="Z88">
            <v>1.72</v>
          </cell>
        </row>
        <row r="95">
          <cell r="K95">
            <v>10.099965341977441</v>
          </cell>
          <cell r="Z95">
            <v>7.2359162908730859E-2</v>
          </cell>
        </row>
        <row r="96">
          <cell r="K96">
            <v>19.800198258084681</v>
          </cell>
          <cell r="Z96">
            <v>0.37833333333333341</v>
          </cell>
        </row>
        <row r="97">
          <cell r="K97">
            <v>27.769105021676069</v>
          </cell>
          <cell r="Z97">
            <v>0.40500000000000003</v>
          </cell>
        </row>
        <row r="98">
          <cell r="K98">
            <v>34.192155176139416</v>
          </cell>
          <cell r="Z98">
            <v>0.7348080048636132</v>
          </cell>
        </row>
        <row r="99">
          <cell r="K99">
            <v>39.631851677253941</v>
          </cell>
          <cell r="Z99">
            <v>0.81</v>
          </cell>
        </row>
        <row r="100">
          <cell r="K100">
            <v>43.484929789964411</v>
          </cell>
          <cell r="Z100">
            <v>0.81</v>
          </cell>
        </row>
        <row r="101">
          <cell r="K101">
            <v>49.18886033229559</v>
          </cell>
          <cell r="Z101">
            <v>0.85646948788083532</v>
          </cell>
        </row>
        <row r="102">
          <cell r="K102">
            <v>53.212684955585161</v>
          </cell>
          <cell r="Z102">
            <v>0.91680850102650424</v>
          </cell>
        </row>
        <row r="103">
          <cell r="K103">
            <v>59.09095196730258</v>
          </cell>
          <cell r="Z103">
            <v>1.0089722756717872</v>
          </cell>
        </row>
        <row r="104">
          <cell r="K104">
            <v>64.819145630244321</v>
          </cell>
          <cell r="Z104">
            <v>1.0898659341600285</v>
          </cell>
        </row>
        <row r="105">
          <cell r="K105">
            <v>69.01697485309198</v>
          </cell>
          <cell r="Z105">
            <v>1.1370548156539799</v>
          </cell>
        </row>
        <row r="106">
          <cell r="K106">
            <v>72.23150684883845</v>
          </cell>
          <cell r="Z106">
            <v>1.1154180798502258</v>
          </cell>
        </row>
        <row r="107">
          <cell r="K107">
            <v>74.840792411391348</v>
          </cell>
          <cell r="Z107">
            <v>1.0805523345088981</v>
          </cell>
        </row>
        <row r="108">
          <cell r="K108">
            <v>77.697893604818219</v>
          </cell>
          <cell r="Z108">
            <v>1.1473249494128226</v>
          </cell>
        </row>
        <row r="109">
          <cell r="K109">
            <v>80.134867890916794</v>
          </cell>
          <cell r="Z109">
            <v>1.2187465105624389</v>
          </cell>
        </row>
        <row r="110">
          <cell r="K110">
            <v>82.238672852681816</v>
          </cell>
          <cell r="Z110">
            <v>1.2736507926137444</v>
          </cell>
        </row>
        <row r="111">
          <cell r="K111">
            <v>84.043767921022209</v>
          </cell>
          <cell r="Z111">
            <v>1.313605206172249</v>
          </cell>
        </row>
        <row r="112">
          <cell r="K112">
            <v>86.385105215793828</v>
          </cell>
          <cell r="Z112">
            <v>1.371779169340521</v>
          </cell>
        </row>
        <row r="113">
          <cell r="K113">
            <v>90.406191748048585</v>
          </cell>
          <cell r="Z113">
            <v>1.4539467419235594</v>
          </cell>
        </row>
        <row r="114">
          <cell r="K114">
            <v>93.471491811086082</v>
          </cell>
          <cell r="Z114">
            <v>1.5066465250243513</v>
          </cell>
        </row>
        <row r="115">
          <cell r="K115">
            <v>97.107381566993553</v>
          </cell>
          <cell r="Z115">
            <v>1.563812538073746</v>
          </cell>
        </row>
        <row r="116">
          <cell r="K116">
            <v>100.71243145193914</v>
          </cell>
          <cell r="Z116">
            <v>1.5963125679688464</v>
          </cell>
        </row>
        <row r="117">
          <cell r="K117">
            <v>104.39233713204413</v>
          </cell>
          <cell r="Z117">
            <v>1.6195243693605665</v>
          </cell>
        </row>
        <row r="118">
          <cell r="K118">
            <v>107.81562240612369</v>
          </cell>
          <cell r="Z118">
            <v>1.6411174820098202</v>
          </cell>
        </row>
        <row r="119">
          <cell r="K119">
            <v>111.36292001894914</v>
          </cell>
          <cell r="Z119">
            <v>1.6634928293214066</v>
          </cell>
        </row>
        <row r="120">
          <cell r="K120">
            <v>114.91934497223426</v>
          </cell>
          <cell r="Z120">
            <v>1.6859257493080559</v>
          </cell>
        </row>
        <row r="121">
          <cell r="K121">
            <v>118.44741987029688</v>
          </cell>
          <cell r="Z121">
            <v>1.7081798451865697</v>
          </cell>
        </row>
        <row r="122">
          <cell r="K122">
            <v>121.97211685892326</v>
          </cell>
          <cell r="Z122">
            <v>1.72</v>
          </cell>
        </row>
        <row r="123">
          <cell r="K123">
            <v>125.41953077529134</v>
          </cell>
          <cell r="Z123">
            <v>1.72</v>
          </cell>
        </row>
        <row r="124">
          <cell r="K124">
            <v>129.09045404756728</v>
          </cell>
          <cell r="Z124">
            <v>1.72</v>
          </cell>
        </row>
        <row r="125">
          <cell r="K125">
            <v>132.53488795708068</v>
          </cell>
          <cell r="Z125">
            <v>1.72</v>
          </cell>
        </row>
        <row r="126">
          <cell r="K126">
            <v>136.07141427598387</v>
          </cell>
          <cell r="Z126">
            <v>1.72</v>
          </cell>
        </row>
        <row r="127">
          <cell r="K127">
            <v>139.56936219880694</v>
          </cell>
          <cell r="Z127">
            <v>1.72</v>
          </cell>
        </row>
        <row r="128">
          <cell r="K128">
            <v>143.08413721822018</v>
          </cell>
          <cell r="Z128">
            <v>1.72</v>
          </cell>
        </row>
        <row r="129">
          <cell r="K129">
            <v>146.62302564097175</v>
          </cell>
          <cell r="Z129">
            <v>1.72</v>
          </cell>
        </row>
        <row r="130">
          <cell r="K130">
            <v>150.12999034316616</v>
          </cell>
          <cell r="Z130">
            <v>1.72</v>
          </cell>
        </row>
        <row r="131">
          <cell r="K131">
            <v>153.11600330857166</v>
          </cell>
          <cell r="Z131">
            <v>1.72</v>
          </cell>
        </row>
        <row r="132">
          <cell r="K132">
            <v>154.20294442048996</v>
          </cell>
          <cell r="Z132">
            <v>1.72</v>
          </cell>
        </row>
        <row r="133">
          <cell r="K133">
            <v>155.2512378743358</v>
          </cell>
          <cell r="Z133">
            <v>1.72</v>
          </cell>
        </row>
        <row r="140">
          <cell r="K140">
            <v>10.00263241450434</v>
          </cell>
          <cell r="Z140">
            <v>0.10124462070988637</v>
          </cell>
        </row>
        <row r="141">
          <cell r="K141">
            <v>19.43005414991557</v>
          </cell>
          <cell r="Z141">
            <v>0.40500000000000003</v>
          </cell>
        </row>
        <row r="142">
          <cell r="K142">
            <v>27.324610510337703</v>
          </cell>
          <cell r="Z142">
            <v>0.40500000000000003</v>
          </cell>
        </row>
        <row r="143">
          <cell r="K143">
            <v>33.672145166817529</v>
          </cell>
          <cell r="Z143">
            <v>0.81</v>
          </cell>
        </row>
        <row r="144">
          <cell r="K144">
            <v>39.138098927718012</v>
          </cell>
          <cell r="Z144">
            <v>0.87474960526126955</v>
          </cell>
        </row>
        <row r="145">
          <cell r="K145">
            <v>42.970748198558951</v>
          </cell>
          <cell r="Z145">
            <v>0.93617724042598394</v>
          </cell>
        </row>
        <row r="146">
          <cell r="K146">
            <v>48.731413734867289</v>
          </cell>
          <cell r="Z146">
            <v>1.0182988648539602</v>
          </cell>
        </row>
        <row r="147">
          <cell r="K147">
            <v>52.769987980532711</v>
          </cell>
          <cell r="Z147">
            <v>1.0736395473999434</v>
          </cell>
        </row>
        <row r="148">
          <cell r="K148">
            <v>58.701446767877648</v>
          </cell>
          <cell r="Z148">
            <v>1.1650847572166976</v>
          </cell>
        </row>
        <row r="149">
          <cell r="K149">
            <v>64.399012521055653</v>
          </cell>
          <cell r="Z149">
            <v>1.2267264474038384</v>
          </cell>
        </row>
        <row r="150">
          <cell r="K150">
            <v>68.627579426319684</v>
          </cell>
          <cell r="Z150">
            <v>1.2159519898555373</v>
          </cell>
        </row>
        <row r="151">
          <cell r="K151">
            <v>71.882008108111634</v>
          </cell>
          <cell r="Z151">
            <v>1.1593598639287197</v>
          </cell>
        </row>
        <row r="152">
          <cell r="K152">
            <v>74.493385467679886</v>
          </cell>
          <cell r="Z152">
            <v>1.2645821851263015</v>
          </cell>
        </row>
        <row r="153">
          <cell r="K153">
            <v>77.332919927503724</v>
          </cell>
          <cell r="Z153">
            <v>1.3396334726930685</v>
          </cell>
        </row>
        <row r="154">
          <cell r="K154">
            <v>79.813360188853366</v>
          </cell>
          <cell r="Z154">
            <v>1.4114600370335779</v>
          </cell>
        </row>
        <row r="155">
          <cell r="K155">
            <v>81.919202803497143</v>
          </cell>
          <cell r="Z155">
            <v>1.4616956222256727</v>
          </cell>
        </row>
        <row r="156">
          <cell r="K156">
            <v>83.738783536778797</v>
          </cell>
          <cell r="Z156">
            <v>1.4986565014327422</v>
          </cell>
        </row>
        <row r="157">
          <cell r="K157">
            <v>86.045919706798657</v>
          </cell>
          <cell r="Z157">
            <v>1.5453548619239326</v>
          </cell>
        </row>
        <row r="158">
          <cell r="K158">
            <v>90.288435080379244</v>
          </cell>
          <cell r="Z158">
            <v>1.6115924966521726</v>
          </cell>
        </row>
        <row r="159">
          <cell r="K159">
            <v>93.400072017025948</v>
          </cell>
          <cell r="Z159">
            <v>1.6588408956757121</v>
          </cell>
        </row>
        <row r="160">
          <cell r="K160">
            <v>97.006001686863456</v>
          </cell>
          <cell r="Z160">
            <v>1.72</v>
          </cell>
        </row>
        <row r="161">
          <cell r="K161">
            <v>100.64473135315967</v>
          </cell>
          <cell r="Z161">
            <v>1.72</v>
          </cell>
        </row>
        <row r="162">
          <cell r="K162">
            <v>104.30731379164318</v>
          </cell>
          <cell r="Z162">
            <v>1.72</v>
          </cell>
        </row>
        <row r="163">
          <cell r="K163">
            <v>107.78950972208385</v>
          </cell>
          <cell r="Z163">
            <v>1.72</v>
          </cell>
        </row>
        <row r="164">
          <cell r="K164">
            <v>111.29737083030383</v>
          </cell>
          <cell r="Z164">
            <v>1.72</v>
          </cell>
        </row>
        <row r="165">
          <cell r="K165">
            <v>114.91888401282834</v>
          </cell>
          <cell r="Z165">
            <v>1.72</v>
          </cell>
        </row>
        <row r="166">
          <cell r="K166">
            <v>118.4172728380062</v>
          </cell>
          <cell r="Z166">
            <v>1.72</v>
          </cell>
        </row>
        <row r="167">
          <cell r="K167">
            <v>121.99245722798884</v>
          </cell>
          <cell r="Z167">
            <v>1.72</v>
          </cell>
        </row>
        <row r="168">
          <cell r="K168">
            <v>125.43876546297123</v>
          </cell>
          <cell r="Z168">
            <v>1.72</v>
          </cell>
        </row>
        <row r="169">
          <cell r="K169">
            <v>129.12105302323599</v>
          </cell>
          <cell r="Z169">
            <v>1.72</v>
          </cell>
        </row>
        <row r="170">
          <cell r="K170">
            <v>132.61179169042359</v>
          </cell>
          <cell r="Z170">
            <v>1.72</v>
          </cell>
        </row>
        <row r="171">
          <cell r="K171">
            <v>136.12035534953262</v>
          </cell>
          <cell r="Z171">
            <v>1.72</v>
          </cell>
        </row>
        <row r="172">
          <cell r="K172">
            <v>139.6793621861803</v>
          </cell>
          <cell r="Z172">
            <v>1.72</v>
          </cell>
        </row>
        <row r="173">
          <cell r="K173">
            <v>143.14123736077869</v>
          </cell>
          <cell r="Z173">
            <v>1.72</v>
          </cell>
        </row>
        <row r="174">
          <cell r="K174">
            <v>146.75578521325724</v>
          </cell>
          <cell r="Z174">
            <v>1.72</v>
          </cell>
        </row>
        <row r="175">
          <cell r="K175">
            <v>150.21349802228445</v>
          </cell>
          <cell r="Z175">
            <v>1.72</v>
          </cell>
        </row>
        <row r="176">
          <cell r="K176">
            <v>152.32856849044819</v>
          </cell>
          <cell r="Z176">
            <v>1.72</v>
          </cell>
        </row>
        <row r="177">
          <cell r="K177">
            <v>153.15627769682186</v>
          </cell>
          <cell r="Z177">
            <v>1.72</v>
          </cell>
        </row>
        <row r="178">
          <cell r="K178">
            <v>153.85863088955028</v>
          </cell>
          <cell r="Z178">
            <v>1.72</v>
          </cell>
        </row>
        <row r="185">
          <cell r="K185">
            <v>10.040470049930473</v>
          </cell>
          <cell r="Z185">
            <v>0.13695373790466928</v>
          </cell>
        </row>
        <row r="186">
          <cell r="K186">
            <v>19.288856680060892</v>
          </cell>
          <cell r="Z186">
            <v>0.40500000000000003</v>
          </cell>
        </row>
        <row r="187">
          <cell r="K187">
            <v>27.144641112884834</v>
          </cell>
          <cell r="Z187">
            <v>0.42703863167990025</v>
          </cell>
        </row>
        <row r="188">
          <cell r="K188">
            <v>33.399598377161809</v>
          </cell>
          <cell r="Z188">
            <v>0.87434912357075067</v>
          </cell>
        </row>
        <row r="189">
          <cell r="K189">
            <v>38.848984787984186</v>
          </cell>
          <cell r="Z189">
            <v>0.96379724801304378</v>
          </cell>
        </row>
        <row r="190">
          <cell r="K190">
            <v>42.643360270022924</v>
          </cell>
          <cell r="Z190">
            <v>1.0166226862276684</v>
          </cell>
        </row>
        <row r="191">
          <cell r="K191">
            <v>48.493134765265182</v>
          </cell>
          <cell r="Z191">
            <v>1.1021053697641714</v>
          </cell>
        </row>
        <row r="192">
          <cell r="K192">
            <v>52.559419343629337</v>
          </cell>
          <cell r="Z192">
            <v>1.1664147621068632</v>
          </cell>
        </row>
        <row r="193">
          <cell r="K193">
            <v>58.560986008166232</v>
          </cell>
          <cell r="Z193">
            <v>1.2399269711502783</v>
          </cell>
        </row>
        <row r="194">
          <cell r="K194">
            <v>64.247064283227857</v>
          </cell>
          <cell r="Z194">
            <v>1.2769708885340061</v>
          </cell>
        </row>
        <row r="195">
          <cell r="K195">
            <v>68.518369035696878</v>
          </cell>
          <cell r="Z195">
            <v>1.2240213431553604</v>
          </cell>
        </row>
        <row r="196">
          <cell r="K196">
            <v>71.7664716439551</v>
          </cell>
          <cell r="Z196">
            <v>1.2278836995401339</v>
          </cell>
        </row>
        <row r="197">
          <cell r="K197">
            <v>74.370993278111257</v>
          </cell>
          <cell r="Z197">
            <v>1.3296252411717058</v>
          </cell>
        </row>
        <row r="198">
          <cell r="K198">
            <v>77.234275947206214</v>
          </cell>
          <cell r="Z198">
            <v>1.4288471266759426</v>
          </cell>
        </row>
        <row r="199">
          <cell r="K199">
            <v>79.725666247801229</v>
          </cell>
          <cell r="Z199">
            <v>1.4801522414846315</v>
          </cell>
        </row>
        <row r="200">
          <cell r="K200">
            <v>81.863982387630472</v>
          </cell>
          <cell r="Z200">
            <v>1.5221455039948115</v>
          </cell>
        </row>
        <row r="201">
          <cell r="K201">
            <v>83.667042947574714</v>
          </cell>
          <cell r="Z201">
            <v>1.5637311958089339</v>
          </cell>
        </row>
        <row r="202">
          <cell r="K202">
            <v>86.154780808490059</v>
          </cell>
          <cell r="Z202">
            <v>1.6041494659827815</v>
          </cell>
        </row>
        <row r="203">
          <cell r="K203">
            <v>90.480184629206022</v>
          </cell>
          <cell r="Z203">
            <v>1.6653548338966748</v>
          </cell>
        </row>
        <row r="204">
          <cell r="K204">
            <v>93.6774218048877</v>
          </cell>
          <cell r="Z204">
            <v>1.72</v>
          </cell>
        </row>
        <row r="205">
          <cell r="K205">
            <v>97.125654465362558</v>
          </cell>
          <cell r="Z205">
            <v>1.72</v>
          </cell>
        </row>
        <row r="206">
          <cell r="K206">
            <v>100.89689545435591</v>
          </cell>
          <cell r="Z206">
            <v>1.72</v>
          </cell>
        </row>
        <row r="207">
          <cell r="K207">
            <v>104.52148587104635</v>
          </cell>
          <cell r="Z207">
            <v>1.72</v>
          </cell>
        </row>
        <row r="208">
          <cell r="K208">
            <v>108.05586950728798</v>
          </cell>
          <cell r="Z208">
            <v>1.72</v>
          </cell>
        </row>
        <row r="209">
          <cell r="K209">
            <v>111.54601176466306</v>
          </cell>
          <cell r="Z209">
            <v>1.72</v>
          </cell>
        </row>
        <row r="210">
          <cell r="K210">
            <v>115.20444967370992</v>
          </cell>
          <cell r="Z210">
            <v>1.72</v>
          </cell>
        </row>
        <row r="211">
          <cell r="K211">
            <v>118.75432507225094</v>
          </cell>
          <cell r="Z211">
            <v>1.72</v>
          </cell>
        </row>
        <row r="212">
          <cell r="K212">
            <v>122.26514676047371</v>
          </cell>
          <cell r="Z212">
            <v>1.72</v>
          </cell>
        </row>
        <row r="213">
          <cell r="K213">
            <v>125.84855083483956</v>
          </cell>
          <cell r="Z213">
            <v>1.72</v>
          </cell>
        </row>
        <row r="214">
          <cell r="K214">
            <v>129.43528964176323</v>
          </cell>
          <cell r="Z214">
            <v>1.72</v>
          </cell>
        </row>
        <row r="215">
          <cell r="K215">
            <v>133.03192104200832</v>
          </cell>
          <cell r="Z215">
            <v>1.72</v>
          </cell>
        </row>
        <row r="216">
          <cell r="K216">
            <v>136.45508882162355</v>
          </cell>
          <cell r="Z216">
            <v>1.72</v>
          </cell>
        </row>
        <row r="217">
          <cell r="K217">
            <v>140.08772492574531</v>
          </cell>
          <cell r="Z217">
            <v>1.72</v>
          </cell>
        </row>
        <row r="218">
          <cell r="K218">
            <v>143.51956656528549</v>
          </cell>
          <cell r="Z218">
            <v>1.72</v>
          </cell>
        </row>
        <row r="219">
          <cell r="K219">
            <v>147.17868266109423</v>
          </cell>
          <cell r="Z219">
            <v>1.72</v>
          </cell>
        </row>
        <row r="220">
          <cell r="K220">
            <v>150.49637054967232</v>
          </cell>
          <cell r="Z220">
            <v>1.72</v>
          </cell>
        </row>
        <row r="221">
          <cell r="K221">
            <v>151.40240982411487</v>
          </cell>
          <cell r="Z221">
            <v>1.72</v>
          </cell>
        </row>
        <row r="222">
          <cell r="K222">
            <v>152.00526961196863</v>
          </cell>
          <cell r="Z222">
            <v>1.72</v>
          </cell>
        </row>
        <row r="223">
          <cell r="K223">
            <v>152.38629594951036</v>
          </cell>
          <cell r="Z223">
            <v>1.72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  <sheetName val="140武将价值（草稿）"/>
      <sheetName val="验算"/>
    </sheetNames>
    <sheetDataSet>
      <sheetData sheetId="0"/>
      <sheetData sheetId="1"/>
      <sheetData sheetId="2"/>
      <sheetData sheetId="3"/>
      <sheetData sheetId="4">
        <row r="4">
          <cell r="AQ4">
            <v>0.15383660207693281</v>
          </cell>
        </row>
        <row r="5">
          <cell r="AQ5">
            <v>0.19800000000000004</v>
          </cell>
        </row>
        <row r="6">
          <cell r="AQ6">
            <v>0.21586140463019357</v>
          </cell>
        </row>
        <row r="7">
          <cell r="AQ7">
            <v>0.24766451739400477</v>
          </cell>
        </row>
        <row r="8">
          <cell r="AQ8">
            <v>0.27756963193621775</v>
          </cell>
        </row>
        <row r="9">
          <cell r="AQ9">
            <v>0.30686476349174463</v>
          </cell>
        </row>
        <row r="10">
          <cell r="AQ10">
            <v>0.35920087627536751</v>
          </cell>
        </row>
        <row r="11">
          <cell r="AQ11">
            <v>0.42344511445651212</v>
          </cell>
        </row>
        <row r="12">
          <cell r="AQ12">
            <v>0.48473937604862566</v>
          </cell>
        </row>
        <row r="13">
          <cell r="AQ13">
            <v>0.57862795739305395</v>
          </cell>
        </row>
        <row r="14">
          <cell r="AQ14">
            <v>0.63308656063446256</v>
          </cell>
        </row>
        <row r="15">
          <cell r="AQ15">
            <v>0.67883419631003727</v>
          </cell>
        </row>
        <row r="16">
          <cell r="AQ16">
            <v>0.72430392306399682</v>
          </cell>
        </row>
        <row r="17">
          <cell r="AQ17">
            <v>0.75908639660189436</v>
          </cell>
        </row>
        <row r="18">
          <cell r="AQ18">
            <v>0.7887959109112469</v>
          </cell>
        </row>
        <row r="19">
          <cell r="AQ19">
            <v>0.8191589532688397</v>
          </cell>
        </row>
        <row r="20">
          <cell r="AQ20">
            <v>0.84797581263208477</v>
          </cell>
        </row>
        <row r="21">
          <cell r="AQ21">
            <v>0.88791643948975241</v>
          </cell>
        </row>
        <row r="22">
          <cell r="AQ22">
            <v>0.9407940805537689</v>
          </cell>
        </row>
        <row r="23">
          <cell r="AQ23">
            <v>0.98924698406543043</v>
          </cell>
        </row>
        <row r="24">
          <cell r="AQ24">
            <v>1.0548554969534547</v>
          </cell>
        </row>
        <row r="25">
          <cell r="AQ25">
            <v>1.1172190400773083</v>
          </cell>
        </row>
        <row r="26">
          <cell r="AQ26">
            <v>1.1399999999999999</v>
          </cell>
        </row>
        <row r="27">
          <cell r="AQ27">
            <v>1.1399999999999999</v>
          </cell>
        </row>
        <row r="28">
          <cell r="AQ28">
            <v>1.1399999999999999</v>
          </cell>
        </row>
        <row r="29">
          <cell r="AQ29">
            <v>1.1399999999999999</v>
          </cell>
        </row>
        <row r="30">
          <cell r="AQ30">
            <v>1.1399999999999999</v>
          </cell>
        </row>
        <row r="31">
          <cell r="AQ31">
            <v>1.1399999999999999</v>
          </cell>
        </row>
        <row r="32">
          <cell r="AQ32">
            <v>1.1399999999999999</v>
          </cell>
        </row>
        <row r="33">
          <cell r="AQ33">
            <v>1.1399999999999999</v>
          </cell>
        </row>
        <row r="34">
          <cell r="AQ34">
            <v>1.1399999999999999</v>
          </cell>
        </row>
        <row r="35">
          <cell r="AQ35">
            <v>1.1399999999999999</v>
          </cell>
        </row>
        <row r="36">
          <cell r="AQ36">
            <v>1.1399999999999999</v>
          </cell>
        </row>
        <row r="37">
          <cell r="AQ37">
            <v>1.1399999999999999</v>
          </cell>
        </row>
        <row r="38">
          <cell r="AQ38">
            <v>1.1399999999999999</v>
          </cell>
        </row>
        <row r="39">
          <cell r="AQ39">
            <v>1.1399999999999999</v>
          </cell>
        </row>
        <row r="40">
          <cell r="AQ40">
            <v>1.1399999999999999</v>
          </cell>
        </row>
        <row r="41">
          <cell r="AQ41">
            <v>1.1399999999999999</v>
          </cell>
        </row>
        <row r="42">
          <cell r="AQ42">
            <v>1.1399999999999999</v>
          </cell>
        </row>
        <row r="49">
          <cell r="AQ49">
            <v>0.15587795735079332</v>
          </cell>
        </row>
        <row r="50">
          <cell r="AQ50">
            <v>0.19758028104419192</v>
          </cell>
        </row>
        <row r="51">
          <cell r="AQ51">
            <v>0.22560752133885256</v>
          </cell>
        </row>
        <row r="52">
          <cell r="AQ52">
            <v>0.26656775806159533</v>
          </cell>
        </row>
        <row r="53">
          <cell r="AQ53">
            <v>0.30156182669211873</v>
          </cell>
        </row>
        <row r="54">
          <cell r="AQ54">
            <v>0.335086799983426</v>
          </cell>
        </row>
        <row r="55">
          <cell r="AQ55">
            <v>0.39414151730329589</v>
          </cell>
        </row>
        <row r="56">
          <cell r="AQ56">
            <v>0.45019063111707075</v>
          </cell>
        </row>
        <row r="57">
          <cell r="AQ57">
            <v>0.5080303668098386</v>
          </cell>
        </row>
        <row r="58">
          <cell r="AQ58">
            <v>0.61447062218989057</v>
          </cell>
        </row>
        <row r="59">
          <cell r="AQ59">
            <v>0.68296220696844323</v>
          </cell>
        </row>
        <row r="60">
          <cell r="AQ60">
            <v>0.73007016922483026</v>
          </cell>
        </row>
        <row r="61">
          <cell r="AQ61">
            <v>0.76772426904780733</v>
          </cell>
        </row>
        <row r="62">
          <cell r="AQ62">
            <v>0.81285223726222211</v>
          </cell>
        </row>
        <row r="63">
          <cell r="AQ63">
            <v>0.85190630116529087</v>
          </cell>
        </row>
        <row r="64">
          <cell r="AQ64">
            <v>0.89167737550368698</v>
          </cell>
        </row>
        <row r="65">
          <cell r="AQ65">
            <v>0.91963292731229307</v>
          </cell>
        </row>
        <row r="66">
          <cell r="AQ66">
            <v>0.95722948006689856</v>
          </cell>
        </row>
        <row r="67">
          <cell r="AQ67">
            <v>1.0243629619962351</v>
          </cell>
        </row>
        <row r="68">
          <cell r="AQ68">
            <v>1.0822265231596675</v>
          </cell>
        </row>
        <row r="69">
          <cell r="AQ69">
            <v>1.1399999999999999</v>
          </cell>
        </row>
        <row r="70">
          <cell r="AQ70">
            <v>1.1399999999999999</v>
          </cell>
        </row>
        <row r="71">
          <cell r="AQ71">
            <v>1.1399999999999999</v>
          </cell>
        </row>
        <row r="72">
          <cell r="AQ72">
            <v>1.1399999999999999</v>
          </cell>
        </row>
        <row r="73">
          <cell r="AQ73">
            <v>1.1399999999999999</v>
          </cell>
        </row>
        <row r="74">
          <cell r="AQ74">
            <v>1.1399999999999999</v>
          </cell>
        </row>
        <row r="75">
          <cell r="AQ75">
            <v>1.1399999999999999</v>
          </cell>
        </row>
        <row r="76">
          <cell r="AQ76">
            <v>1.1399999999999999</v>
          </cell>
        </row>
        <row r="77">
          <cell r="AQ77">
            <v>1.1399999999999999</v>
          </cell>
        </row>
        <row r="78">
          <cell r="AQ78">
            <v>1.1399999999999999</v>
          </cell>
        </row>
        <row r="79">
          <cell r="AQ79">
            <v>1.1399999999999999</v>
          </cell>
        </row>
        <row r="80">
          <cell r="AQ80">
            <v>1.1399999999999999</v>
          </cell>
        </row>
        <row r="81">
          <cell r="AQ81">
            <v>1.1399999999999999</v>
          </cell>
        </row>
        <row r="82">
          <cell r="AQ82">
            <v>1.1399999999999999</v>
          </cell>
        </row>
        <row r="83">
          <cell r="AQ83">
            <v>1.1399999999999999</v>
          </cell>
        </row>
        <row r="84">
          <cell r="AQ84">
            <v>1.1399999999999999</v>
          </cell>
        </row>
        <row r="85">
          <cell r="AQ85">
            <v>1.1399999999999999</v>
          </cell>
        </row>
        <row r="86">
          <cell r="AQ86">
            <v>1.1399999999999999</v>
          </cell>
        </row>
        <row r="87">
          <cell r="AQ87">
            <v>1.1399999999999999</v>
          </cell>
        </row>
        <row r="94">
          <cell r="AQ94">
            <v>0.16228171977582811</v>
          </cell>
        </row>
        <row r="95">
          <cell r="AQ95">
            <v>0.19764035686455247</v>
          </cell>
        </row>
        <row r="96">
          <cell r="AQ96">
            <v>0.24766004580844</v>
          </cell>
        </row>
        <row r="97">
          <cell r="AQ97">
            <v>0.30503099053152027</v>
          </cell>
        </row>
        <row r="98">
          <cell r="AQ98">
            <v>0.35294029539231353</v>
          </cell>
        </row>
        <row r="99">
          <cell r="AQ99">
            <v>0.39914166857409894</v>
          </cell>
        </row>
        <row r="100">
          <cell r="AQ100">
            <v>0.45392593896190786</v>
          </cell>
        </row>
        <row r="101">
          <cell r="AQ101">
            <v>0.49019082960552757</v>
          </cell>
        </row>
        <row r="102">
          <cell r="AQ102">
            <v>0.5544051085575562</v>
          </cell>
        </row>
        <row r="103">
          <cell r="AQ103">
            <v>0.66361862825388762</v>
          </cell>
        </row>
        <row r="104">
          <cell r="AQ104">
            <v>0.72910454818572656</v>
          </cell>
        </row>
        <row r="105">
          <cell r="AQ105">
            <v>0.77786250874293883</v>
          </cell>
        </row>
        <row r="106">
          <cell r="AQ106">
            <v>0.81954753472474928</v>
          </cell>
        </row>
        <row r="107">
          <cell r="AQ107">
            <v>0.87324791215904085</v>
          </cell>
        </row>
        <row r="108">
          <cell r="AQ108">
            <v>0.9184809066198163</v>
          </cell>
        </row>
        <row r="109">
          <cell r="AQ109">
            <v>0.95335731689665304</v>
          </cell>
        </row>
        <row r="110">
          <cell r="AQ110">
            <v>0.98649582261032276</v>
          </cell>
        </row>
        <row r="111">
          <cell r="AQ111">
            <v>1.0358821389064259</v>
          </cell>
        </row>
        <row r="112">
          <cell r="AQ112">
            <v>1.1121766105622481</v>
          </cell>
        </row>
        <row r="113">
          <cell r="AQ113">
            <v>1.1399999999999999</v>
          </cell>
        </row>
        <row r="114">
          <cell r="AQ114">
            <v>1.1399999999999999</v>
          </cell>
        </row>
        <row r="115">
          <cell r="AQ115">
            <v>1.1399999999999999</v>
          </cell>
        </row>
        <row r="116">
          <cell r="AQ116">
            <v>1.1399999999999999</v>
          </cell>
        </row>
        <row r="117">
          <cell r="AQ117">
            <v>1.1399999999999999</v>
          </cell>
        </row>
        <row r="118">
          <cell r="AQ118">
            <v>1.1399999999999999</v>
          </cell>
        </row>
        <row r="119">
          <cell r="AQ119">
            <v>1.1399999999999999</v>
          </cell>
        </row>
        <row r="120">
          <cell r="AQ120">
            <v>1.1399999999999999</v>
          </cell>
        </row>
        <row r="121">
          <cell r="AQ121">
            <v>1.1399999999999999</v>
          </cell>
        </row>
        <row r="122">
          <cell r="AQ122">
            <v>1.1399999999999999</v>
          </cell>
        </row>
        <row r="123">
          <cell r="AQ123">
            <v>1.1399999999999999</v>
          </cell>
        </row>
        <row r="124">
          <cell r="AQ124">
            <v>1.1399999999999999</v>
          </cell>
        </row>
        <row r="125">
          <cell r="AQ125">
            <v>1.1399999999999999</v>
          </cell>
        </row>
        <row r="126">
          <cell r="AQ126">
            <v>1.1399999999999999</v>
          </cell>
        </row>
        <row r="127">
          <cell r="AQ127">
            <v>1.1399999999999999</v>
          </cell>
        </row>
        <row r="128">
          <cell r="AQ128">
            <v>1.1399999999999999</v>
          </cell>
        </row>
        <row r="129">
          <cell r="AQ129">
            <v>1.1399999999999999</v>
          </cell>
        </row>
        <row r="130">
          <cell r="AQ130">
            <v>1.1399999999999999</v>
          </cell>
        </row>
        <row r="131">
          <cell r="AQ131">
            <v>1.1399999999999999</v>
          </cell>
        </row>
        <row r="132">
          <cell r="AQ132">
            <v>1.1399999999999999</v>
          </cell>
        </row>
        <row r="139">
          <cell r="AQ139">
            <v>0.18000473834610778</v>
          </cell>
        </row>
        <row r="140">
          <cell r="AQ140">
            <v>0.2158916267190383</v>
          </cell>
        </row>
        <row r="141">
          <cell r="AQ141">
            <v>0.29257756754173281</v>
          </cell>
        </row>
        <row r="142">
          <cell r="AQ142">
            <v>0.37948180751358834</v>
          </cell>
        </row>
        <row r="143">
          <cell r="AQ143">
            <v>0.45371660755189303</v>
          </cell>
        </row>
        <row r="144">
          <cell r="AQ144">
            <v>0.4969006371659081</v>
          </cell>
        </row>
        <row r="145">
          <cell r="AQ145">
            <v>0.57124487276176161</v>
          </cell>
        </row>
        <row r="146">
          <cell r="AQ146">
            <v>0.60073367165517422</v>
          </cell>
        </row>
        <row r="147">
          <cell r="AQ147">
            <v>0.66703104836352478</v>
          </cell>
        </row>
        <row r="148">
          <cell r="AQ148">
            <v>0.77501711452824207</v>
          </cell>
        </row>
        <row r="149">
          <cell r="AQ149">
            <v>0.84953398228434873</v>
          </cell>
        </row>
        <row r="150">
          <cell r="AQ150">
            <v>0.90164198581782173</v>
          </cell>
        </row>
        <row r="151">
          <cell r="AQ151">
            <v>0.95004958203776135</v>
          </cell>
        </row>
        <row r="152">
          <cell r="AQ152">
            <v>1.0079774730047888</v>
          </cell>
        </row>
        <row r="153">
          <cell r="AQ153">
            <v>1.0675175061292383</v>
          </cell>
        </row>
        <row r="154">
          <cell r="AQ154">
            <v>1.1144903403306139</v>
          </cell>
        </row>
        <row r="155">
          <cell r="AQ155">
            <v>1.1399999999999999</v>
          </cell>
        </row>
        <row r="156">
          <cell r="AQ156">
            <v>1.1399999999999999</v>
          </cell>
        </row>
        <row r="157">
          <cell r="AQ157">
            <v>1.1399999999999999</v>
          </cell>
        </row>
        <row r="158">
          <cell r="AQ158">
            <v>1.1399999999999999</v>
          </cell>
        </row>
        <row r="159">
          <cell r="AQ159">
            <v>1.1399999999999999</v>
          </cell>
        </row>
        <row r="160">
          <cell r="AQ160">
            <v>1.1399999999999999</v>
          </cell>
        </row>
        <row r="161">
          <cell r="AQ161">
            <v>1.1399999999999999</v>
          </cell>
        </row>
        <row r="162">
          <cell r="AQ162">
            <v>1.1399999999999999</v>
          </cell>
        </row>
        <row r="163">
          <cell r="AQ163">
            <v>1.1399999999999999</v>
          </cell>
        </row>
        <row r="164">
          <cell r="AQ164">
            <v>1.1399999999999999</v>
          </cell>
        </row>
        <row r="165">
          <cell r="AQ165">
            <v>1.1399999999999999</v>
          </cell>
        </row>
        <row r="166">
          <cell r="AQ166">
            <v>1.1399999999999999</v>
          </cell>
        </row>
        <row r="167">
          <cell r="AQ167">
            <v>1.1399999999999999</v>
          </cell>
        </row>
        <row r="168">
          <cell r="AQ168">
            <v>1.1399999999999999</v>
          </cell>
        </row>
        <row r="169">
          <cell r="AQ169">
            <v>1.1399999999999999</v>
          </cell>
        </row>
        <row r="170">
          <cell r="AQ170">
            <v>1.1399999999999999</v>
          </cell>
        </row>
        <row r="171">
          <cell r="AQ171">
            <v>1.1399999999999999</v>
          </cell>
        </row>
        <row r="172">
          <cell r="AQ172">
            <v>1.1399999999999999</v>
          </cell>
        </row>
        <row r="173">
          <cell r="AQ173">
            <v>1.1399999999999999</v>
          </cell>
        </row>
        <row r="174">
          <cell r="AQ174">
            <v>1.1399999999999999</v>
          </cell>
        </row>
        <row r="175">
          <cell r="AQ175">
            <v>1.1399999999999999</v>
          </cell>
        </row>
        <row r="176">
          <cell r="AQ176">
            <v>1.1399999999999999</v>
          </cell>
        </row>
        <row r="177">
          <cell r="AQ177">
            <v>1.1399999999999999</v>
          </cell>
        </row>
        <row r="184">
          <cell r="AQ184">
            <v>0.18007284608987484</v>
          </cell>
        </row>
        <row r="185">
          <cell r="AQ185">
            <v>0.23358332922105832</v>
          </cell>
        </row>
        <row r="186">
          <cell r="AQ186">
            <v>0.31520564064802631</v>
          </cell>
        </row>
        <row r="187">
          <cell r="AQ187">
            <v>0.39581145813105861</v>
          </cell>
        </row>
        <row r="188">
          <cell r="AQ188">
            <v>0.45805590748150821</v>
          </cell>
        </row>
        <row r="189">
          <cell r="AQ189">
            <v>0.5013287170754771</v>
          </cell>
        </row>
        <row r="190">
          <cell r="AQ190">
            <v>0.5781228489679644</v>
          </cell>
        </row>
        <row r="191">
          <cell r="AQ191">
            <v>0.61411947901215125</v>
          </cell>
        </row>
        <row r="192">
          <cell r="AQ192">
            <v>0.69756609832907779</v>
          </cell>
        </row>
        <row r="193">
          <cell r="AQ193">
            <v>0.7910912683317104</v>
          </cell>
        </row>
        <row r="194">
          <cell r="AQ194">
            <v>0.85995436198627229</v>
          </cell>
        </row>
        <row r="195">
          <cell r="AQ195">
            <v>0.90791999312252347</v>
          </cell>
        </row>
        <row r="196">
          <cell r="AQ196">
            <v>0.95414169121759684</v>
          </cell>
        </row>
        <row r="197">
          <cell r="AQ197">
            <v>1.0188194537115434</v>
          </cell>
        </row>
        <row r="198">
          <cell r="AQ198">
            <v>1.0809712246906062</v>
          </cell>
        </row>
        <row r="199">
          <cell r="AQ199">
            <v>1.1331891277155681</v>
          </cell>
        </row>
        <row r="200">
          <cell r="AQ200">
            <v>1.1399999999999999</v>
          </cell>
        </row>
        <row r="201">
          <cell r="AQ201">
            <v>1.1399999999999999</v>
          </cell>
        </row>
        <row r="202">
          <cell r="AQ202">
            <v>1.1399999999999999</v>
          </cell>
        </row>
        <row r="203">
          <cell r="AQ203">
            <v>1.1399999999999999</v>
          </cell>
        </row>
        <row r="204">
          <cell r="AQ204">
            <v>1.1399999999999999</v>
          </cell>
        </row>
        <row r="205">
          <cell r="AQ205">
            <v>1.1399999999999999</v>
          </cell>
        </row>
        <row r="206">
          <cell r="AQ206">
            <v>1.1399999999999999</v>
          </cell>
        </row>
        <row r="207">
          <cell r="AQ207">
            <v>1.1399999999999999</v>
          </cell>
        </row>
        <row r="208">
          <cell r="AQ208">
            <v>1.1399999999999999</v>
          </cell>
        </row>
        <row r="209">
          <cell r="AQ209">
            <v>1.1399999999999999</v>
          </cell>
        </row>
        <row r="210">
          <cell r="AQ210">
            <v>1.1399999999999999</v>
          </cell>
        </row>
        <row r="211">
          <cell r="AQ211">
            <v>1.1399999999999999</v>
          </cell>
        </row>
        <row r="212">
          <cell r="AQ212">
            <v>1.1399999999999999</v>
          </cell>
        </row>
        <row r="213">
          <cell r="AQ213">
            <v>1.1399999999999999</v>
          </cell>
        </row>
        <row r="214">
          <cell r="AQ214">
            <v>1.1399999999999999</v>
          </cell>
        </row>
        <row r="215">
          <cell r="AQ215">
            <v>1.1399999999999999</v>
          </cell>
        </row>
        <row r="216">
          <cell r="AQ216">
            <v>1.1399999999999999</v>
          </cell>
        </row>
        <row r="217">
          <cell r="AQ217">
            <v>1.1399999999999999</v>
          </cell>
        </row>
        <row r="218">
          <cell r="AQ218">
            <v>1.1399999999999999</v>
          </cell>
        </row>
        <row r="219">
          <cell r="AQ219">
            <v>1.1399999999999999</v>
          </cell>
        </row>
        <row r="220">
          <cell r="AQ220">
            <v>1.1399999999999999</v>
          </cell>
        </row>
        <row r="221">
          <cell r="AQ221">
            <v>1.1399999999999999</v>
          </cell>
        </row>
        <row r="222">
          <cell r="AQ222">
            <v>1.1399999999999999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I7">
            <v>1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索引信息"/>
      <sheetName val="士兵阶位属性"/>
      <sheetName val="士兵阶位属性（日文）"/>
      <sheetName val="士兵训练属性"/>
      <sheetName val="士兵训练属性（日文）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>
        <row r="5">
          <cell r="FP5">
            <v>406</v>
          </cell>
        </row>
        <row r="38">
          <cell r="S38">
            <v>1</v>
          </cell>
          <cell r="U38">
            <v>1500</v>
          </cell>
        </row>
        <row r="39">
          <cell r="S39">
            <v>2</v>
          </cell>
          <cell r="U39">
            <v>1500</v>
          </cell>
        </row>
        <row r="40">
          <cell r="S40">
            <v>3</v>
          </cell>
          <cell r="U40">
            <v>1500</v>
          </cell>
        </row>
        <row r="41">
          <cell r="S41">
            <v>4</v>
          </cell>
          <cell r="U41">
            <v>1500</v>
          </cell>
        </row>
        <row r="42">
          <cell r="S42">
            <v>5</v>
          </cell>
          <cell r="U42">
            <v>1500</v>
          </cell>
        </row>
        <row r="43">
          <cell r="S43">
            <v>6</v>
          </cell>
          <cell r="U43">
            <v>1500</v>
          </cell>
        </row>
        <row r="44">
          <cell r="S44">
            <v>7</v>
          </cell>
          <cell r="U44">
            <v>1500</v>
          </cell>
        </row>
        <row r="45">
          <cell r="S45">
            <v>8</v>
          </cell>
          <cell r="U45">
            <v>1500</v>
          </cell>
        </row>
        <row r="46">
          <cell r="S46">
            <v>9</v>
          </cell>
          <cell r="U46">
            <v>1800</v>
          </cell>
        </row>
        <row r="47">
          <cell r="S47">
            <v>10</v>
          </cell>
          <cell r="U47">
            <v>1800</v>
          </cell>
        </row>
        <row r="48">
          <cell r="S48">
            <v>11</v>
          </cell>
          <cell r="U48">
            <v>1800</v>
          </cell>
        </row>
        <row r="49">
          <cell r="S49">
            <v>12</v>
          </cell>
          <cell r="U49">
            <v>1800</v>
          </cell>
        </row>
        <row r="50">
          <cell r="S50">
            <v>13</v>
          </cell>
          <cell r="U50">
            <v>1800</v>
          </cell>
        </row>
        <row r="51">
          <cell r="S51">
            <v>14</v>
          </cell>
          <cell r="U51">
            <v>1800</v>
          </cell>
        </row>
        <row r="52">
          <cell r="S52">
            <v>15</v>
          </cell>
          <cell r="U52">
            <v>1800</v>
          </cell>
        </row>
        <row r="53">
          <cell r="S53">
            <v>16</v>
          </cell>
          <cell r="U53">
            <v>1800</v>
          </cell>
        </row>
        <row r="54">
          <cell r="S54">
            <v>17</v>
          </cell>
          <cell r="U54">
            <v>2100</v>
          </cell>
        </row>
        <row r="55">
          <cell r="S55">
            <v>18</v>
          </cell>
          <cell r="U55">
            <v>2100</v>
          </cell>
        </row>
        <row r="56">
          <cell r="S56">
            <v>19</v>
          </cell>
          <cell r="U56">
            <v>2100</v>
          </cell>
        </row>
        <row r="57">
          <cell r="S57">
            <v>20</v>
          </cell>
          <cell r="U57">
            <v>2100</v>
          </cell>
        </row>
        <row r="58">
          <cell r="S58">
            <v>21</v>
          </cell>
          <cell r="U58">
            <v>2100</v>
          </cell>
        </row>
        <row r="59">
          <cell r="S59">
            <v>22</v>
          </cell>
          <cell r="U59">
            <v>2100</v>
          </cell>
        </row>
        <row r="60">
          <cell r="S60">
            <v>23</v>
          </cell>
          <cell r="U60">
            <v>2100</v>
          </cell>
        </row>
        <row r="61">
          <cell r="S61">
            <v>24</v>
          </cell>
          <cell r="U61">
            <v>2100</v>
          </cell>
        </row>
        <row r="62">
          <cell r="S62">
            <v>25</v>
          </cell>
          <cell r="U62">
            <v>2700</v>
          </cell>
        </row>
        <row r="63">
          <cell r="S63">
            <v>26</v>
          </cell>
          <cell r="U63">
            <v>2700</v>
          </cell>
        </row>
        <row r="64">
          <cell r="S64">
            <v>27</v>
          </cell>
          <cell r="U64">
            <v>2700</v>
          </cell>
        </row>
        <row r="65">
          <cell r="S65">
            <v>28</v>
          </cell>
          <cell r="U65">
            <v>2700</v>
          </cell>
        </row>
        <row r="66">
          <cell r="S66">
            <v>29</v>
          </cell>
          <cell r="U66">
            <v>2700</v>
          </cell>
        </row>
        <row r="67">
          <cell r="S67">
            <v>30</v>
          </cell>
          <cell r="U67">
            <v>2700</v>
          </cell>
        </row>
        <row r="68">
          <cell r="S68">
            <v>31</v>
          </cell>
          <cell r="U68">
            <v>2700</v>
          </cell>
        </row>
        <row r="69">
          <cell r="S69">
            <v>32</v>
          </cell>
          <cell r="U69">
            <v>2700</v>
          </cell>
        </row>
        <row r="70">
          <cell r="S70">
            <v>33</v>
          </cell>
          <cell r="U70">
            <v>3300</v>
          </cell>
        </row>
        <row r="71">
          <cell r="S71">
            <v>34</v>
          </cell>
          <cell r="U71">
            <v>3300</v>
          </cell>
        </row>
        <row r="72">
          <cell r="S72">
            <v>35</v>
          </cell>
          <cell r="U72">
            <v>3300</v>
          </cell>
        </row>
        <row r="73">
          <cell r="S73">
            <v>36</v>
          </cell>
          <cell r="U73">
            <v>3300</v>
          </cell>
        </row>
        <row r="74">
          <cell r="S74">
            <v>37</v>
          </cell>
          <cell r="U74">
            <v>3600</v>
          </cell>
        </row>
        <row r="75">
          <cell r="S75">
            <v>38</v>
          </cell>
          <cell r="U75">
            <v>4100</v>
          </cell>
        </row>
        <row r="76">
          <cell r="S76">
            <v>39</v>
          </cell>
          <cell r="U76">
            <v>4700</v>
          </cell>
        </row>
        <row r="77">
          <cell r="S77">
            <v>40</v>
          </cell>
          <cell r="U77">
            <v>5900</v>
          </cell>
        </row>
        <row r="78">
          <cell r="S78">
            <v>41</v>
          </cell>
          <cell r="U78">
            <v>6300</v>
          </cell>
        </row>
        <row r="79">
          <cell r="S79">
            <v>42</v>
          </cell>
          <cell r="U79">
            <v>6800</v>
          </cell>
        </row>
        <row r="80">
          <cell r="S80">
            <v>43</v>
          </cell>
          <cell r="U80">
            <v>7200</v>
          </cell>
        </row>
        <row r="81">
          <cell r="S81">
            <v>44</v>
          </cell>
          <cell r="U81">
            <v>8600</v>
          </cell>
        </row>
        <row r="82">
          <cell r="S82">
            <v>45</v>
          </cell>
          <cell r="U82">
            <v>9000</v>
          </cell>
        </row>
        <row r="83">
          <cell r="S83">
            <v>46</v>
          </cell>
          <cell r="U83">
            <v>9400</v>
          </cell>
        </row>
        <row r="84">
          <cell r="S84">
            <v>47</v>
          </cell>
          <cell r="U84">
            <v>9900</v>
          </cell>
        </row>
        <row r="85">
          <cell r="S85">
            <v>48</v>
          </cell>
          <cell r="U85">
            <v>11000</v>
          </cell>
        </row>
        <row r="86">
          <cell r="S86">
            <v>49</v>
          </cell>
          <cell r="U86">
            <v>12000</v>
          </cell>
        </row>
        <row r="87">
          <cell r="S87">
            <v>50</v>
          </cell>
          <cell r="U87">
            <v>12000</v>
          </cell>
        </row>
        <row r="88">
          <cell r="S88">
            <v>51</v>
          </cell>
          <cell r="U88">
            <v>13000</v>
          </cell>
        </row>
        <row r="89">
          <cell r="S89">
            <v>52</v>
          </cell>
          <cell r="U89">
            <v>14000</v>
          </cell>
        </row>
        <row r="90">
          <cell r="S90">
            <v>53</v>
          </cell>
          <cell r="U90">
            <v>14000</v>
          </cell>
        </row>
        <row r="91">
          <cell r="S91">
            <v>54</v>
          </cell>
          <cell r="U91">
            <v>15000</v>
          </cell>
        </row>
        <row r="92">
          <cell r="S92">
            <v>55</v>
          </cell>
          <cell r="U92">
            <v>15000</v>
          </cell>
        </row>
        <row r="93">
          <cell r="S93">
            <v>56</v>
          </cell>
          <cell r="U93">
            <v>17000</v>
          </cell>
        </row>
        <row r="94">
          <cell r="S94">
            <v>57</v>
          </cell>
          <cell r="U94">
            <v>17000</v>
          </cell>
        </row>
        <row r="95">
          <cell r="S95">
            <v>58</v>
          </cell>
          <cell r="U95">
            <v>17000</v>
          </cell>
        </row>
        <row r="96">
          <cell r="S96">
            <v>59</v>
          </cell>
          <cell r="U96">
            <v>18000</v>
          </cell>
        </row>
        <row r="97">
          <cell r="S97">
            <v>60</v>
          </cell>
          <cell r="U97">
            <v>19000</v>
          </cell>
        </row>
        <row r="98">
          <cell r="S98">
            <v>61</v>
          </cell>
          <cell r="U98">
            <v>20000</v>
          </cell>
        </row>
        <row r="99">
          <cell r="S99">
            <v>62</v>
          </cell>
          <cell r="U99">
            <v>20000</v>
          </cell>
        </row>
        <row r="100">
          <cell r="S100">
            <v>63</v>
          </cell>
          <cell r="U100">
            <v>21000</v>
          </cell>
        </row>
        <row r="101">
          <cell r="S101">
            <v>64</v>
          </cell>
          <cell r="U101">
            <v>22000</v>
          </cell>
        </row>
        <row r="102">
          <cell r="S102">
            <v>65</v>
          </cell>
          <cell r="U102">
            <v>22000</v>
          </cell>
        </row>
        <row r="103">
          <cell r="S103">
            <v>66</v>
          </cell>
          <cell r="U103">
            <v>23000</v>
          </cell>
        </row>
        <row r="104">
          <cell r="S104">
            <v>67</v>
          </cell>
          <cell r="U104">
            <v>23000</v>
          </cell>
        </row>
        <row r="105">
          <cell r="S105">
            <v>68</v>
          </cell>
          <cell r="U105">
            <v>25000</v>
          </cell>
        </row>
        <row r="106">
          <cell r="S106">
            <v>69</v>
          </cell>
          <cell r="U106">
            <v>25000</v>
          </cell>
        </row>
        <row r="107">
          <cell r="S107">
            <v>70</v>
          </cell>
          <cell r="U107">
            <v>25000</v>
          </cell>
        </row>
        <row r="108">
          <cell r="S108">
            <v>71</v>
          </cell>
          <cell r="U108">
            <v>26000</v>
          </cell>
        </row>
        <row r="109">
          <cell r="S109">
            <v>72</v>
          </cell>
          <cell r="U109">
            <v>27000</v>
          </cell>
        </row>
        <row r="110">
          <cell r="S110">
            <v>73</v>
          </cell>
          <cell r="U110">
            <v>28000</v>
          </cell>
        </row>
        <row r="111">
          <cell r="S111">
            <v>74</v>
          </cell>
          <cell r="U111">
            <v>28000</v>
          </cell>
        </row>
        <row r="112">
          <cell r="S112">
            <v>75</v>
          </cell>
          <cell r="U112">
            <v>29000</v>
          </cell>
        </row>
        <row r="113">
          <cell r="S113">
            <v>76</v>
          </cell>
          <cell r="U113">
            <v>30000</v>
          </cell>
        </row>
        <row r="114">
          <cell r="S114">
            <v>77</v>
          </cell>
          <cell r="U114">
            <v>30000</v>
          </cell>
        </row>
        <row r="115">
          <cell r="S115">
            <v>78</v>
          </cell>
          <cell r="U115">
            <v>31000</v>
          </cell>
        </row>
        <row r="116">
          <cell r="S116">
            <v>79</v>
          </cell>
          <cell r="U116">
            <v>31000</v>
          </cell>
        </row>
        <row r="117">
          <cell r="S117">
            <v>80</v>
          </cell>
          <cell r="U117">
            <v>32000</v>
          </cell>
        </row>
        <row r="118">
          <cell r="S118">
            <v>81</v>
          </cell>
          <cell r="U118">
            <v>32000</v>
          </cell>
        </row>
        <row r="119">
          <cell r="S119">
            <v>82</v>
          </cell>
          <cell r="U119">
            <v>32000</v>
          </cell>
        </row>
        <row r="120">
          <cell r="S120">
            <v>83</v>
          </cell>
          <cell r="U120">
            <v>32000</v>
          </cell>
        </row>
        <row r="121">
          <cell r="S121">
            <v>84</v>
          </cell>
          <cell r="U121">
            <v>32000</v>
          </cell>
        </row>
        <row r="122">
          <cell r="S122">
            <v>85</v>
          </cell>
          <cell r="U122">
            <v>32000</v>
          </cell>
        </row>
        <row r="123">
          <cell r="S123">
            <v>86</v>
          </cell>
          <cell r="U123">
            <v>32000</v>
          </cell>
        </row>
        <row r="124">
          <cell r="S124">
            <v>87</v>
          </cell>
          <cell r="U124">
            <v>32000</v>
          </cell>
        </row>
        <row r="125">
          <cell r="S125">
            <v>88</v>
          </cell>
          <cell r="U125">
            <v>32000</v>
          </cell>
        </row>
        <row r="126">
          <cell r="S126">
            <v>89</v>
          </cell>
          <cell r="U126">
            <v>32000</v>
          </cell>
        </row>
        <row r="127">
          <cell r="S127">
            <v>90</v>
          </cell>
          <cell r="U127">
            <v>32000</v>
          </cell>
        </row>
        <row r="128">
          <cell r="S128">
            <v>91</v>
          </cell>
          <cell r="U128">
            <v>32000</v>
          </cell>
        </row>
        <row r="129">
          <cell r="S129">
            <v>92</v>
          </cell>
          <cell r="U129">
            <v>32000</v>
          </cell>
        </row>
        <row r="130">
          <cell r="S130">
            <v>93</v>
          </cell>
          <cell r="U130">
            <v>32000</v>
          </cell>
        </row>
        <row r="131">
          <cell r="S131">
            <v>94</v>
          </cell>
          <cell r="U131">
            <v>32000</v>
          </cell>
        </row>
        <row r="132">
          <cell r="S132">
            <v>95</v>
          </cell>
          <cell r="U132">
            <v>32000</v>
          </cell>
        </row>
        <row r="133">
          <cell r="S133">
            <v>96</v>
          </cell>
          <cell r="U133">
            <v>32000</v>
          </cell>
        </row>
        <row r="134">
          <cell r="S134">
            <v>97</v>
          </cell>
          <cell r="U134">
            <v>32000</v>
          </cell>
        </row>
        <row r="135">
          <cell r="S135">
            <v>98</v>
          </cell>
          <cell r="U135">
            <v>32000</v>
          </cell>
        </row>
        <row r="136">
          <cell r="S136">
            <v>99</v>
          </cell>
          <cell r="U136">
            <v>32000</v>
          </cell>
        </row>
        <row r="137">
          <cell r="S137">
            <v>100</v>
          </cell>
          <cell r="U137">
            <v>32000</v>
          </cell>
        </row>
        <row r="138">
          <cell r="S138">
            <v>101</v>
          </cell>
          <cell r="U138">
            <v>32000</v>
          </cell>
        </row>
        <row r="139">
          <cell r="S139">
            <v>102</v>
          </cell>
          <cell r="U139">
            <v>32000</v>
          </cell>
        </row>
        <row r="140">
          <cell r="S140">
            <v>103</v>
          </cell>
          <cell r="U140">
            <v>32000</v>
          </cell>
        </row>
        <row r="141">
          <cell r="S141">
            <v>104</v>
          </cell>
          <cell r="U141">
            <v>32000</v>
          </cell>
        </row>
        <row r="142">
          <cell r="S142">
            <v>105</v>
          </cell>
          <cell r="U142">
            <v>32000</v>
          </cell>
        </row>
        <row r="143">
          <cell r="S143">
            <v>106</v>
          </cell>
          <cell r="U143">
            <v>32000</v>
          </cell>
        </row>
        <row r="144">
          <cell r="S144">
            <v>107</v>
          </cell>
          <cell r="U144">
            <v>32000</v>
          </cell>
        </row>
        <row r="145">
          <cell r="S145">
            <v>108</v>
          </cell>
          <cell r="U145">
            <v>32000</v>
          </cell>
        </row>
        <row r="146">
          <cell r="S146">
            <v>109</v>
          </cell>
          <cell r="U146">
            <v>32000</v>
          </cell>
        </row>
        <row r="147">
          <cell r="S147">
            <v>110</v>
          </cell>
          <cell r="U147">
            <v>32000</v>
          </cell>
        </row>
        <row r="148">
          <cell r="S148">
            <v>111</v>
          </cell>
          <cell r="U148">
            <v>32000</v>
          </cell>
        </row>
        <row r="149">
          <cell r="S149">
            <v>112</v>
          </cell>
          <cell r="U149">
            <v>32000</v>
          </cell>
        </row>
        <row r="150">
          <cell r="S150">
            <v>113</v>
          </cell>
          <cell r="U150">
            <v>32000</v>
          </cell>
        </row>
        <row r="151">
          <cell r="S151">
            <v>114</v>
          </cell>
          <cell r="U151">
            <v>32000</v>
          </cell>
        </row>
        <row r="152">
          <cell r="S152">
            <v>115</v>
          </cell>
          <cell r="U152">
            <v>32000</v>
          </cell>
        </row>
        <row r="153">
          <cell r="S153">
            <v>116</v>
          </cell>
          <cell r="U153">
            <v>32000</v>
          </cell>
        </row>
        <row r="154">
          <cell r="S154">
            <v>117</v>
          </cell>
          <cell r="U154">
            <v>32000</v>
          </cell>
        </row>
        <row r="155">
          <cell r="S155">
            <v>118</v>
          </cell>
          <cell r="U155">
            <v>32000</v>
          </cell>
        </row>
        <row r="156">
          <cell r="S156">
            <v>119</v>
          </cell>
          <cell r="U156">
            <v>32000</v>
          </cell>
        </row>
        <row r="157">
          <cell r="S157">
            <v>120</v>
          </cell>
          <cell r="U157">
            <v>32000</v>
          </cell>
        </row>
      </sheetData>
      <sheetData sheetId="8"/>
      <sheetData sheetId="9"/>
      <sheetData sheetId="10"/>
      <sheetData sheetId="11"/>
      <sheetData sheetId="12">
        <row r="16">
          <cell r="B16" t="str">
            <v>士兵攻击值</v>
          </cell>
        </row>
      </sheetData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M4">
            <v>63.333333333333336</v>
          </cell>
        </row>
        <row r="5">
          <cell r="M5">
            <v>65.904761904761898</v>
          </cell>
        </row>
        <row r="6">
          <cell r="M6">
            <v>67.714285714285708</v>
          </cell>
        </row>
        <row r="7">
          <cell r="M7">
            <v>69.166666666666671</v>
          </cell>
        </row>
        <row r="8">
          <cell r="M8">
            <v>70.444444444444443</v>
          </cell>
        </row>
        <row r="9">
          <cell r="M9">
            <v>71.555555555555557</v>
          </cell>
        </row>
        <row r="10">
          <cell r="M10">
            <v>72.545454545454547</v>
          </cell>
        </row>
        <row r="11">
          <cell r="M11">
            <v>73.454545454545453</v>
          </cell>
        </row>
        <row r="12">
          <cell r="M12">
            <v>74.303030303030297</v>
          </cell>
        </row>
        <row r="13">
          <cell r="M13">
            <v>75.060606060606062</v>
          </cell>
        </row>
        <row r="14">
          <cell r="M14">
            <v>75.818181818181813</v>
          </cell>
        </row>
        <row r="15">
          <cell r="M15">
            <v>76.974358974358978</v>
          </cell>
        </row>
        <row r="16">
          <cell r="M16">
            <v>78.256410256410248</v>
          </cell>
        </row>
        <row r="17">
          <cell r="M17">
            <v>79.538461538461533</v>
          </cell>
        </row>
        <row r="18">
          <cell r="M18">
            <v>80.35164835164835</v>
          </cell>
        </row>
        <row r="19">
          <cell r="M19">
            <v>80.901098901098905</v>
          </cell>
        </row>
        <row r="20">
          <cell r="M20">
            <v>81.450549450549445</v>
          </cell>
        </row>
        <row r="21">
          <cell r="M21">
            <v>82</v>
          </cell>
        </row>
        <row r="22">
          <cell r="M22">
            <v>82.476190476190482</v>
          </cell>
        </row>
        <row r="23">
          <cell r="M23">
            <v>82.952380952380949</v>
          </cell>
        </row>
        <row r="24">
          <cell r="M24">
            <v>83.428571428571431</v>
          </cell>
        </row>
        <row r="25">
          <cell r="M25">
            <v>83.904761904761898</v>
          </cell>
        </row>
        <row r="26">
          <cell r="M26">
            <v>84.333333333333329</v>
          </cell>
        </row>
        <row r="27">
          <cell r="M27">
            <v>84.75</v>
          </cell>
        </row>
        <row r="28">
          <cell r="M28">
            <v>85.166666666666671</v>
          </cell>
        </row>
        <row r="29">
          <cell r="M29">
            <v>85.583333333333329</v>
          </cell>
        </row>
        <row r="30">
          <cell r="M30">
            <v>86</v>
          </cell>
        </row>
        <row r="31">
          <cell r="M31">
            <v>86.367647058823522</v>
          </cell>
        </row>
        <row r="32">
          <cell r="M32">
            <v>86.735294117647058</v>
          </cell>
        </row>
        <row r="33">
          <cell r="M33">
            <v>87.10294117647058</v>
          </cell>
        </row>
        <row r="34">
          <cell r="M34">
            <v>87.470588235294116</v>
          </cell>
        </row>
        <row r="35">
          <cell r="M35">
            <v>87.838235294117652</v>
          </cell>
        </row>
        <row r="36">
          <cell r="M36">
            <v>88.183006535947712</v>
          </cell>
        </row>
        <row r="37">
          <cell r="M37">
            <v>88.509803921568633</v>
          </cell>
        </row>
        <row r="38">
          <cell r="M38">
            <v>88.83660130718954</v>
          </cell>
        </row>
        <row r="39">
          <cell r="M39">
            <v>89.16339869281046</v>
          </cell>
        </row>
        <row r="40">
          <cell r="M40">
            <v>89.490196078431367</v>
          </cell>
        </row>
        <row r="41">
          <cell r="M41">
            <v>89.816993464052288</v>
          </cell>
        </row>
        <row r="42">
          <cell r="M42">
            <v>90.128654970760238</v>
          </cell>
        </row>
        <row r="43">
          <cell r="M43">
            <v>90.421052631578945</v>
          </cell>
        </row>
        <row r="44">
          <cell r="M44">
            <v>90.713450292397667</v>
          </cell>
        </row>
        <row r="45">
          <cell r="M45">
            <v>91.005847953216374</v>
          </cell>
        </row>
        <row r="46">
          <cell r="M46">
            <v>91.298245614035082</v>
          </cell>
        </row>
        <row r="47">
          <cell r="M47">
            <v>91.590643274853804</v>
          </cell>
        </row>
        <row r="48">
          <cell r="M48">
            <v>91.883040935672511</v>
          </cell>
        </row>
        <row r="49">
          <cell r="M49">
            <v>92.15789473684211</v>
          </cell>
        </row>
        <row r="50">
          <cell r="M50">
            <v>92.421052631578945</v>
          </cell>
        </row>
        <row r="51">
          <cell r="M51">
            <v>92.684210526315795</v>
          </cell>
        </row>
        <row r="52">
          <cell r="M52">
            <v>92.94736842105263</v>
          </cell>
        </row>
        <row r="53">
          <cell r="M53">
            <v>93.21052631578948</v>
          </cell>
        </row>
        <row r="54">
          <cell r="M54">
            <v>93.473684210526315</v>
          </cell>
        </row>
        <row r="55">
          <cell r="M55">
            <v>93.736842105263165</v>
          </cell>
        </row>
        <row r="56">
          <cell r="M56">
            <v>94</v>
          </cell>
        </row>
        <row r="57">
          <cell r="M57">
            <v>94.238095238095241</v>
          </cell>
        </row>
        <row r="58">
          <cell r="M58">
            <v>94.476190476190482</v>
          </cell>
        </row>
        <row r="59">
          <cell r="M59">
            <v>94.714285714285708</v>
          </cell>
        </row>
        <row r="60">
          <cell r="M60">
            <v>94.952380952380949</v>
          </cell>
        </row>
        <row r="61">
          <cell r="M61">
            <v>95.19047619047619</v>
          </cell>
        </row>
        <row r="62">
          <cell r="M62">
            <v>95.428571428571431</v>
          </cell>
        </row>
        <row r="63">
          <cell r="M63">
            <v>95.666666666666671</v>
          </cell>
        </row>
        <row r="64">
          <cell r="M64">
            <v>95.904761904761898</v>
          </cell>
        </row>
        <row r="65">
          <cell r="M65">
            <v>96.129870129870127</v>
          </cell>
        </row>
        <row r="66">
          <cell r="M66">
            <v>96.34632034632034</v>
          </cell>
        </row>
        <row r="67">
          <cell r="M67">
            <v>96.562770562770567</v>
          </cell>
        </row>
        <row r="68">
          <cell r="M68">
            <v>96.779220779220779</v>
          </cell>
        </row>
        <row r="69">
          <cell r="M69">
            <v>96.995670995670991</v>
          </cell>
        </row>
        <row r="70">
          <cell r="M70">
            <v>97.212121212121218</v>
          </cell>
        </row>
        <row r="71">
          <cell r="M71">
            <v>97.428571428571431</v>
          </cell>
        </row>
        <row r="72">
          <cell r="M72">
            <v>97.645021645021643</v>
          </cell>
        </row>
        <row r="73">
          <cell r="M73">
            <v>97.861471861471856</v>
          </cell>
        </row>
        <row r="74">
          <cell r="M74">
            <v>98.071146245059282</v>
          </cell>
        </row>
        <row r="75">
          <cell r="M75">
            <v>98.268774703557312</v>
          </cell>
        </row>
        <row r="76">
          <cell r="M76">
            <v>98.466403162055329</v>
          </cell>
        </row>
        <row r="77">
          <cell r="M77">
            <v>98.664031620553359</v>
          </cell>
        </row>
        <row r="78">
          <cell r="M78">
            <v>98.861660079051376</v>
          </cell>
        </row>
        <row r="79">
          <cell r="M79">
            <v>99.059288537549406</v>
          </cell>
        </row>
        <row r="80">
          <cell r="M80">
            <v>99.256916996047437</v>
          </cell>
        </row>
        <row r="81">
          <cell r="M81">
            <v>99.454545454545453</v>
          </cell>
        </row>
        <row r="82">
          <cell r="M82">
            <v>99.652173913043484</v>
          </cell>
        </row>
        <row r="83">
          <cell r="M83">
            <v>99.8498023715415</v>
          </cell>
        </row>
        <row r="84">
          <cell r="M84">
            <v>100</v>
          </cell>
        </row>
        <row r="85">
          <cell r="M85">
            <v>100</v>
          </cell>
        </row>
        <row r="86">
          <cell r="M86">
            <v>100</v>
          </cell>
        </row>
        <row r="87">
          <cell r="M87">
            <v>100</v>
          </cell>
        </row>
        <row r="88">
          <cell r="M88">
            <v>100</v>
          </cell>
        </row>
        <row r="89">
          <cell r="M89">
            <v>100</v>
          </cell>
        </row>
        <row r="90">
          <cell r="M90">
            <v>100</v>
          </cell>
        </row>
        <row r="91">
          <cell r="M91">
            <v>100</v>
          </cell>
        </row>
        <row r="92">
          <cell r="M92">
            <v>100</v>
          </cell>
        </row>
        <row r="93">
          <cell r="M93">
            <v>100</v>
          </cell>
        </row>
        <row r="94">
          <cell r="M94">
            <v>100</v>
          </cell>
        </row>
        <row r="95">
          <cell r="M95">
            <v>100</v>
          </cell>
        </row>
        <row r="96">
          <cell r="M96">
            <v>100</v>
          </cell>
        </row>
        <row r="97">
          <cell r="M97">
            <v>100</v>
          </cell>
        </row>
        <row r="98">
          <cell r="M98">
            <v>100</v>
          </cell>
        </row>
        <row r="99">
          <cell r="M99">
            <v>100</v>
          </cell>
        </row>
        <row r="100">
          <cell r="M100">
            <v>100</v>
          </cell>
        </row>
        <row r="101">
          <cell r="M101">
            <v>100</v>
          </cell>
        </row>
        <row r="102">
          <cell r="M102">
            <v>100</v>
          </cell>
        </row>
        <row r="103">
          <cell r="M103">
            <v>100</v>
          </cell>
        </row>
        <row r="104">
          <cell r="M104">
            <v>100</v>
          </cell>
        </row>
        <row r="105">
          <cell r="M105">
            <v>100</v>
          </cell>
        </row>
        <row r="106">
          <cell r="M106">
            <v>100</v>
          </cell>
        </row>
        <row r="107">
          <cell r="M107">
            <v>100</v>
          </cell>
        </row>
        <row r="108">
          <cell r="M108">
            <v>100</v>
          </cell>
        </row>
        <row r="109">
          <cell r="M109">
            <v>100</v>
          </cell>
        </row>
        <row r="110">
          <cell r="M110">
            <v>100</v>
          </cell>
        </row>
        <row r="111">
          <cell r="M111">
            <v>100</v>
          </cell>
        </row>
        <row r="112">
          <cell r="M112">
            <v>100</v>
          </cell>
        </row>
        <row r="113">
          <cell r="M113">
            <v>100</v>
          </cell>
        </row>
        <row r="114">
          <cell r="M114">
            <v>100</v>
          </cell>
        </row>
        <row r="115">
          <cell r="M115">
            <v>100</v>
          </cell>
        </row>
        <row r="116">
          <cell r="M116">
            <v>100</v>
          </cell>
        </row>
        <row r="117">
          <cell r="M117">
            <v>100</v>
          </cell>
        </row>
        <row r="118">
          <cell r="M118">
            <v>100</v>
          </cell>
        </row>
        <row r="119">
          <cell r="M119">
            <v>100</v>
          </cell>
        </row>
        <row r="120">
          <cell r="M120">
            <v>100</v>
          </cell>
        </row>
        <row r="121">
          <cell r="M121">
            <v>100</v>
          </cell>
        </row>
        <row r="122">
          <cell r="M122">
            <v>100</v>
          </cell>
        </row>
        <row r="123">
          <cell r="M123">
            <v>100</v>
          </cell>
        </row>
        <row r="124">
          <cell r="M124">
            <v>100</v>
          </cell>
        </row>
        <row r="125">
          <cell r="M125">
            <v>100</v>
          </cell>
        </row>
        <row r="126">
          <cell r="M126">
            <v>100</v>
          </cell>
        </row>
        <row r="127">
          <cell r="M127">
            <v>100</v>
          </cell>
        </row>
        <row r="128">
          <cell r="M128">
            <v>100</v>
          </cell>
        </row>
        <row r="129">
          <cell r="M129">
            <v>100</v>
          </cell>
        </row>
        <row r="130">
          <cell r="M130">
            <v>100</v>
          </cell>
        </row>
        <row r="131">
          <cell r="M131">
            <v>100</v>
          </cell>
        </row>
        <row r="132">
          <cell r="M132">
            <v>100</v>
          </cell>
        </row>
        <row r="133">
          <cell r="M133">
            <v>100</v>
          </cell>
        </row>
        <row r="134">
          <cell r="M134">
            <v>100</v>
          </cell>
        </row>
        <row r="135">
          <cell r="M135">
            <v>100</v>
          </cell>
        </row>
        <row r="136">
          <cell r="M136">
            <v>100</v>
          </cell>
        </row>
        <row r="137">
          <cell r="M137">
            <v>100</v>
          </cell>
        </row>
        <row r="138">
          <cell r="M138">
            <v>100</v>
          </cell>
        </row>
        <row r="139">
          <cell r="M139">
            <v>100</v>
          </cell>
        </row>
        <row r="140">
          <cell r="M140">
            <v>100</v>
          </cell>
        </row>
        <row r="141">
          <cell r="M141">
            <v>100</v>
          </cell>
        </row>
        <row r="142">
          <cell r="M142">
            <v>100</v>
          </cell>
        </row>
        <row r="143">
          <cell r="M143">
            <v>100</v>
          </cell>
        </row>
        <row r="144">
          <cell r="M144">
            <v>100</v>
          </cell>
        </row>
        <row r="145">
          <cell r="M145">
            <v>100</v>
          </cell>
        </row>
        <row r="146">
          <cell r="M146">
            <v>100</v>
          </cell>
        </row>
        <row r="147">
          <cell r="M147">
            <v>100</v>
          </cell>
        </row>
        <row r="148">
          <cell r="M148">
            <v>100</v>
          </cell>
        </row>
        <row r="149">
          <cell r="M149">
            <v>100</v>
          </cell>
        </row>
        <row r="150">
          <cell r="M150">
            <v>100</v>
          </cell>
        </row>
        <row r="151">
          <cell r="M151">
            <v>100</v>
          </cell>
        </row>
        <row r="152">
          <cell r="M152">
            <v>100</v>
          </cell>
        </row>
        <row r="153">
          <cell r="M153">
            <v>100</v>
          </cell>
        </row>
        <row r="154">
          <cell r="M154">
            <v>100</v>
          </cell>
        </row>
        <row r="155">
          <cell r="M155">
            <v>100</v>
          </cell>
        </row>
        <row r="156">
          <cell r="M156">
            <v>100</v>
          </cell>
        </row>
        <row r="157">
          <cell r="M157">
            <v>100</v>
          </cell>
        </row>
        <row r="158">
          <cell r="M158">
            <v>100</v>
          </cell>
        </row>
        <row r="159">
          <cell r="M159">
            <v>100</v>
          </cell>
        </row>
        <row r="160">
          <cell r="M160">
            <v>100</v>
          </cell>
        </row>
        <row r="161">
          <cell r="M161">
            <v>100</v>
          </cell>
        </row>
        <row r="162">
          <cell r="M162">
            <v>100</v>
          </cell>
        </row>
        <row r="163">
          <cell r="M163">
            <v>100</v>
          </cell>
        </row>
        <row r="164">
          <cell r="M164">
            <v>100</v>
          </cell>
        </row>
        <row r="165">
          <cell r="M165">
            <v>100</v>
          </cell>
        </row>
        <row r="166">
          <cell r="M166">
            <v>100</v>
          </cell>
        </row>
        <row r="167">
          <cell r="M167">
            <v>100</v>
          </cell>
        </row>
        <row r="168">
          <cell r="M168">
            <v>100</v>
          </cell>
        </row>
        <row r="169">
          <cell r="M169">
            <v>100</v>
          </cell>
        </row>
        <row r="170">
          <cell r="M170">
            <v>100</v>
          </cell>
        </row>
        <row r="171">
          <cell r="M171">
            <v>100</v>
          </cell>
        </row>
        <row r="172">
          <cell r="M172">
            <v>100</v>
          </cell>
        </row>
        <row r="173">
          <cell r="M173">
            <v>100</v>
          </cell>
        </row>
        <row r="174">
          <cell r="M174">
            <v>100</v>
          </cell>
        </row>
        <row r="175">
          <cell r="M175">
            <v>100</v>
          </cell>
        </row>
        <row r="176">
          <cell r="M176">
            <v>100</v>
          </cell>
        </row>
        <row r="177">
          <cell r="M177">
            <v>100</v>
          </cell>
        </row>
        <row r="178">
          <cell r="M178">
            <v>100</v>
          </cell>
        </row>
        <row r="179">
          <cell r="M179">
            <v>100</v>
          </cell>
        </row>
        <row r="180">
          <cell r="M180">
            <v>100</v>
          </cell>
        </row>
        <row r="181">
          <cell r="M181">
            <v>100</v>
          </cell>
        </row>
        <row r="182">
          <cell r="M182">
            <v>100</v>
          </cell>
        </row>
        <row r="183">
          <cell r="M183">
            <v>100</v>
          </cell>
        </row>
        <row r="184">
          <cell r="M184">
            <v>100</v>
          </cell>
        </row>
        <row r="185">
          <cell r="M185">
            <v>100</v>
          </cell>
        </row>
        <row r="186">
          <cell r="M186">
            <v>100</v>
          </cell>
        </row>
        <row r="187">
          <cell r="M187">
            <v>100</v>
          </cell>
        </row>
        <row r="188">
          <cell r="M188">
            <v>100</v>
          </cell>
        </row>
        <row r="189">
          <cell r="M189">
            <v>100</v>
          </cell>
        </row>
        <row r="190">
          <cell r="M190">
            <v>100</v>
          </cell>
        </row>
        <row r="191">
          <cell r="M191">
            <v>100</v>
          </cell>
        </row>
        <row r="192">
          <cell r="M192">
            <v>100</v>
          </cell>
        </row>
        <row r="193">
          <cell r="M193">
            <v>100</v>
          </cell>
        </row>
        <row r="194">
          <cell r="M194">
            <v>100</v>
          </cell>
        </row>
        <row r="195">
          <cell r="M195">
            <v>100</v>
          </cell>
        </row>
        <row r="196">
          <cell r="M196">
            <v>100</v>
          </cell>
        </row>
        <row r="197">
          <cell r="M197">
            <v>100</v>
          </cell>
        </row>
        <row r="198">
          <cell r="M198">
            <v>100</v>
          </cell>
        </row>
        <row r="199">
          <cell r="M199">
            <v>100</v>
          </cell>
        </row>
        <row r="200">
          <cell r="M200">
            <v>100</v>
          </cell>
        </row>
        <row r="201">
          <cell r="M201">
            <v>100</v>
          </cell>
        </row>
        <row r="202">
          <cell r="M202">
            <v>100</v>
          </cell>
        </row>
        <row r="203">
          <cell r="M203">
            <v>100</v>
          </cell>
        </row>
        <row r="204">
          <cell r="M204">
            <v>100</v>
          </cell>
        </row>
        <row r="205">
          <cell r="M205">
            <v>100</v>
          </cell>
        </row>
        <row r="206">
          <cell r="M206">
            <v>100</v>
          </cell>
        </row>
        <row r="207">
          <cell r="M207">
            <v>100</v>
          </cell>
        </row>
        <row r="208">
          <cell r="M208">
            <v>100</v>
          </cell>
        </row>
        <row r="209">
          <cell r="M209">
            <v>100</v>
          </cell>
        </row>
        <row r="210">
          <cell r="M210">
            <v>100</v>
          </cell>
        </row>
        <row r="211">
          <cell r="M211">
            <v>100</v>
          </cell>
        </row>
        <row r="212">
          <cell r="M212">
            <v>100</v>
          </cell>
        </row>
        <row r="213">
          <cell r="M213">
            <v>100</v>
          </cell>
        </row>
        <row r="214">
          <cell r="M214">
            <v>100</v>
          </cell>
        </row>
        <row r="215">
          <cell r="M215">
            <v>100</v>
          </cell>
        </row>
        <row r="216">
          <cell r="M216">
            <v>100</v>
          </cell>
        </row>
        <row r="217">
          <cell r="M217">
            <v>100</v>
          </cell>
        </row>
        <row r="218">
          <cell r="M218">
            <v>100</v>
          </cell>
        </row>
        <row r="219">
          <cell r="M219">
            <v>100</v>
          </cell>
        </row>
        <row r="220">
          <cell r="M220">
            <v>100</v>
          </cell>
        </row>
        <row r="221">
          <cell r="M221">
            <v>100</v>
          </cell>
        </row>
        <row r="222">
          <cell r="M222">
            <v>100</v>
          </cell>
        </row>
        <row r="223">
          <cell r="M223">
            <v>100</v>
          </cell>
        </row>
        <row r="224">
          <cell r="M224">
            <v>100</v>
          </cell>
        </row>
        <row r="225">
          <cell r="M225">
            <v>100</v>
          </cell>
        </row>
        <row r="226">
          <cell r="M226">
            <v>100</v>
          </cell>
        </row>
        <row r="227">
          <cell r="M227">
            <v>100</v>
          </cell>
        </row>
        <row r="228">
          <cell r="M228">
            <v>100</v>
          </cell>
        </row>
        <row r="229">
          <cell r="M229">
            <v>100</v>
          </cell>
        </row>
        <row r="230">
          <cell r="M230">
            <v>100</v>
          </cell>
        </row>
        <row r="231">
          <cell r="M231">
            <v>100</v>
          </cell>
        </row>
        <row r="232">
          <cell r="M232">
            <v>100</v>
          </cell>
        </row>
        <row r="233">
          <cell r="M233">
            <v>100</v>
          </cell>
        </row>
        <row r="234">
          <cell r="M234">
            <v>100</v>
          </cell>
        </row>
        <row r="235">
          <cell r="M235">
            <v>100</v>
          </cell>
        </row>
        <row r="236">
          <cell r="M236">
            <v>100</v>
          </cell>
        </row>
        <row r="237">
          <cell r="M237">
            <v>100</v>
          </cell>
        </row>
        <row r="238">
          <cell r="M238">
            <v>100</v>
          </cell>
        </row>
        <row r="239">
          <cell r="M239">
            <v>100</v>
          </cell>
        </row>
        <row r="240">
          <cell r="M240">
            <v>100</v>
          </cell>
        </row>
        <row r="241">
          <cell r="M241">
            <v>100</v>
          </cell>
        </row>
        <row r="242">
          <cell r="M242">
            <v>100</v>
          </cell>
        </row>
        <row r="243">
          <cell r="M243">
            <v>100</v>
          </cell>
        </row>
        <row r="244">
          <cell r="M244">
            <v>100</v>
          </cell>
        </row>
        <row r="245">
          <cell r="M245">
            <v>100</v>
          </cell>
        </row>
        <row r="246">
          <cell r="M246">
            <v>100</v>
          </cell>
        </row>
        <row r="247">
          <cell r="M247">
            <v>100</v>
          </cell>
        </row>
        <row r="248">
          <cell r="M248">
            <v>100</v>
          </cell>
        </row>
        <row r="249">
          <cell r="M249">
            <v>100</v>
          </cell>
        </row>
        <row r="250">
          <cell r="M250">
            <v>100</v>
          </cell>
        </row>
        <row r="251">
          <cell r="M251">
            <v>100</v>
          </cell>
        </row>
        <row r="252">
          <cell r="M252">
            <v>100</v>
          </cell>
        </row>
        <row r="253">
          <cell r="M253">
            <v>100</v>
          </cell>
        </row>
        <row r="254">
          <cell r="M254">
            <v>100</v>
          </cell>
        </row>
        <row r="255">
          <cell r="M255">
            <v>100</v>
          </cell>
        </row>
        <row r="256">
          <cell r="M256">
            <v>100</v>
          </cell>
        </row>
        <row r="257">
          <cell r="M257">
            <v>100</v>
          </cell>
        </row>
        <row r="258">
          <cell r="M258">
            <v>100</v>
          </cell>
        </row>
        <row r="259">
          <cell r="M259">
            <v>100</v>
          </cell>
        </row>
        <row r="260">
          <cell r="M260">
            <v>100</v>
          </cell>
        </row>
        <row r="261">
          <cell r="M261">
            <v>100</v>
          </cell>
        </row>
        <row r="262">
          <cell r="M262">
            <v>100</v>
          </cell>
        </row>
        <row r="263">
          <cell r="M263">
            <v>100</v>
          </cell>
        </row>
        <row r="264">
          <cell r="M264">
            <v>100</v>
          </cell>
        </row>
        <row r="265">
          <cell r="M265">
            <v>100</v>
          </cell>
        </row>
        <row r="266">
          <cell r="M266">
            <v>100</v>
          </cell>
        </row>
        <row r="267">
          <cell r="M267">
            <v>100</v>
          </cell>
        </row>
        <row r="268">
          <cell r="M268">
            <v>100</v>
          </cell>
        </row>
        <row r="269">
          <cell r="M269">
            <v>100</v>
          </cell>
        </row>
        <row r="270">
          <cell r="M270">
            <v>100</v>
          </cell>
        </row>
        <row r="271">
          <cell r="M271">
            <v>100</v>
          </cell>
        </row>
        <row r="272">
          <cell r="M272">
            <v>100</v>
          </cell>
        </row>
        <row r="273">
          <cell r="M273">
            <v>100</v>
          </cell>
        </row>
        <row r="274">
          <cell r="M274">
            <v>100</v>
          </cell>
        </row>
        <row r="275">
          <cell r="M275">
            <v>100</v>
          </cell>
        </row>
        <row r="276">
          <cell r="M276">
            <v>100</v>
          </cell>
        </row>
        <row r="277">
          <cell r="M277">
            <v>100</v>
          </cell>
        </row>
        <row r="278">
          <cell r="M278">
            <v>100</v>
          </cell>
        </row>
        <row r="279">
          <cell r="M279">
            <v>100</v>
          </cell>
        </row>
        <row r="280">
          <cell r="M280">
            <v>100</v>
          </cell>
        </row>
        <row r="281">
          <cell r="M281">
            <v>100</v>
          </cell>
        </row>
        <row r="282">
          <cell r="M282">
            <v>100</v>
          </cell>
        </row>
        <row r="283">
          <cell r="M283">
            <v>100</v>
          </cell>
        </row>
        <row r="284">
          <cell r="M284">
            <v>100</v>
          </cell>
        </row>
        <row r="285">
          <cell r="M285">
            <v>100</v>
          </cell>
        </row>
        <row r="286">
          <cell r="M286">
            <v>100</v>
          </cell>
        </row>
        <row r="287">
          <cell r="M287">
            <v>100</v>
          </cell>
        </row>
        <row r="288">
          <cell r="M288">
            <v>100</v>
          </cell>
        </row>
        <row r="289">
          <cell r="M289">
            <v>100</v>
          </cell>
        </row>
        <row r="290">
          <cell r="M290">
            <v>100</v>
          </cell>
        </row>
        <row r="291">
          <cell r="M291">
            <v>100</v>
          </cell>
        </row>
        <row r="292">
          <cell r="M292">
            <v>100</v>
          </cell>
        </row>
        <row r="293">
          <cell r="M293">
            <v>100</v>
          </cell>
        </row>
        <row r="294">
          <cell r="M294">
            <v>100</v>
          </cell>
        </row>
        <row r="295">
          <cell r="M295">
            <v>100</v>
          </cell>
        </row>
        <row r="296">
          <cell r="M296">
            <v>100</v>
          </cell>
        </row>
        <row r="297">
          <cell r="M297">
            <v>100</v>
          </cell>
        </row>
        <row r="298">
          <cell r="M298">
            <v>100</v>
          </cell>
        </row>
        <row r="299">
          <cell r="M299">
            <v>100</v>
          </cell>
        </row>
        <row r="300">
          <cell r="M300">
            <v>100</v>
          </cell>
        </row>
        <row r="301">
          <cell r="M301">
            <v>100</v>
          </cell>
        </row>
        <row r="302">
          <cell r="M302">
            <v>100</v>
          </cell>
        </row>
        <row r="303">
          <cell r="M303">
            <v>100</v>
          </cell>
        </row>
        <row r="304">
          <cell r="M304">
            <v>100</v>
          </cell>
        </row>
        <row r="305">
          <cell r="M305">
            <v>100</v>
          </cell>
        </row>
        <row r="306">
          <cell r="M306">
            <v>100</v>
          </cell>
        </row>
        <row r="307">
          <cell r="M307">
            <v>100</v>
          </cell>
        </row>
        <row r="308">
          <cell r="M308">
            <v>100</v>
          </cell>
        </row>
        <row r="309">
          <cell r="M309">
            <v>100</v>
          </cell>
        </row>
        <row r="310">
          <cell r="M310">
            <v>100</v>
          </cell>
        </row>
        <row r="311">
          <cell r="M311">
            <v>100</v>
          </cell>
        </row>
        <row r="312">
          <cell r="M312">
            <v>100</v>
          </cell>
        </row>
        <row r="313">
          <cell r="M313">
            <v>100</v>
          </cell>
        </row>
        <row r="314">
          <cell r="M314">
            <v>100</v>
          </cell>
        </row>
        <row r="315">
          <cell r="M315">
            <v>100</v>
          </cell>
        </row>
        <row r="316">
          <cell r="M316">
            <v>100</v>
          </cell>
        </row>
        <row r="317">
          <cell r="M317">
            <v>100</v>
          </cell>
        </row>
        <row r="318">
          <cell r="M318">
            <v>100</v>
          </cell>
        </row>
        <row r="319">
          <cell r="M319">
            <v>100</v>
          </cell>
        </row>
        <row r="320">
          <cell r="M320">
            <v>100</v>
          </cell>
        </row>
        <row r="321">
          <cell r="M321">
            <v>100</v>
          </cell>
        </row>
        <row r="322">
          <cell r="M322">
            <v>100</v>
          </cell>
        </row>
        <row r="323">
          <cell r="M323">
            <v>100</v>
          </cell>
        </row>
        <row r="324">
          <cell r="M324">
            <v>100</v>
          </cell>
        </row>
        <row r="325">
          <cell r="M325">
            <v>100</v>
          </cell>
        </row>
        <row r="326">
          <cell r="M326">
            <v>100</v>
          </cell>
        </row>
        <row r="327">
          <cell r="M327">
            <v>100</v>
          </cell>
        </row>
        <row r="328">
          <cell r="M328">
            <v>100</v>
          </cell>
        </row>
        <row r="329">
          <cell r="M329">
            <v>100</v>
          </cell>
        </row>
        <row r="330">
          <cell r="M330">
            <v>100</v>
          </cell>
        </row>
        <row r="331">
          <cell r="M331">
            <v>100</v>
          </cell>
        </row>
        <row r="332">
          <cell r="M332">
            <v>100</v>
          </cell>
        </row>
        <row r="333">
          <cell r="M333">
            <v>100</v>
          </cell>
        </row>
        <row r="334">
          <cell r="M334">
            <v>100</v>
          </cell>
        </row>
        <row r="335">
          <cell r="M335">
            <v>100</v>
          </cell>
        </row>
        <row r="336">
          <cell r="M336">
            <v>100</v>
          </cell>
        </row>
        <row r="337">
          <cell r="M337">
            <v>100</v>
          </cell>
        </row>
        <row r="338">
          <cell r="M338">
            <v>100</v>
          </cell>
        </row>
        <row r="339">
          <cell r="M339">
            <v>100</v>
          </cell>
        </row>
        <row r="340">
          <cell r="M340">
            <v>100</v>
          </cell>
        </row>
        <row r="341">
          <cell r="M341">
            <v>100</v>
          </cell>
        </row>
        <row r="342">
          <cell r="M342">
            <v>100</v>
          </cell>
        </row>
        <row r="343">
          <cell r="M343">
            <v>100</v>
          </cell>
        </row>
        <row r="344">
          <cell r="M344">
            <v>100</v>
          </cell>
        </row>
        <row r="345">
          <cell r="M345">
            <v>100</v>
          </cell>
        </row>
        <row r="346">
          <cell r="M346">
            <v>100</v>
          </cell>
        </row>
        <row r="347">
          <cell r="M347">
            <v>100</v>
          </cell>
        </row>
        <row r="348">
          <cell r="M348">
            <v>100</v>
          </cell>
        </row>
        <row r="349">
          <cell r="M349">
            <v>100</v>
          </cell>
        </row>
        <row r="350">
          <cell r="M350">
            <v>100</v>
          </cell>
        </row>
        <row r="351">
          <cell r="M351">
            <v>100</v>
          </cell>
        </row>
        <row r="352">
          <cell r="M352">
            <v>100</v>
          </cell>
        </row>
        <row r="353">
          <cell r="M353">
            <v>100</v>
          </cell>
        </row>
        <row r="354">
          <cell r="M354">
            <v>100</v>
          </cell>
        </row>
        <row r="355">
          <cell r="M355">
            <v>100</v>
          </cell>
        </row>
        <row r="356">
          <cell r="M356">
            <v>100</v>
          </cell>
        </row>
        <row r="357">
          <cell r="M357">
            <v>100</v>
          </cell>
        </row>
        <row r="358">
          <cell r="M358">
            <v>100</v>
          </cell>
        </row>
        <row r="359">
          <cell r="M359">
            <v>100</v>
          </cell>
        </row>
        <row r="360">
          <cell r="M360">
            <v>100</v>
          </cell>
        </row>
        <row r="361">
          <cell r="M361">
            <v>100</v>
          </cell>
        </row>
        <row r="362">
          <cell r="M362">
            <v>100</v>
          </cell>
        </row>
        <row r="363">
          <cell r="M363">
            <v>100</v>
          </cell>
        </row>
        <row r="364">
          <cell r="M364">
            <v>100</v>
          </cell>
        </row>
        <row r="365">
          <cell r="M365">
            <v>100</v>
          </cell>
        </row>
        <row r="366">
          <cell r="M366">
            <v>100</v>
          </cell>
        </row>
        <row r="367">
          <cell r="M367">
            <v>100</v>
          </cell>
        </row>
        <row r="368">
          <cell r="M368">
            <v>100</v>
          </cell>
        </row>
        <row r="369">
          <cell r="M369">
            <v>100</v>
          </cell>
        </row>
        <row r="370">
          <cell r="M370">
            <v>100</v>
          </cell>
        </row>
        <row r="371">
          <cell r="M371">
            <v>100</v>
          </cell>
        </row>
        <row r="372">
          <cell r="M372">
            <v>100</v>
          </cell>
        </row>
        <row r="373">
          <cell r="M373">
            <v>100</v>
          </cell>
        </row>
        <row r="374">
          <cell r="M374">
            <v>100</v>
          </cell>
        </row>
        <row r="375">
          <cell r="M375">
            <v>100</v>
          </cell>
        </row>
        <row r="376">
          <cell r="M376">
            <v>100</v>
          </cell>
        </row>
        <row r="377">
          <cell r="M377">
            <v>100</v>
          </cell>
        </row>
        <row r="378">
          <cell r="M378">
            <v>100</v>
          </cell>
        </row>
        <row r="379">
          <cell r="M379">
            <v>100</v>
          </cell>
        </row>
        <row r="380">
          <cell r="M380">
            <v>100</v>
          </cell>
        </row>
        <row r="381">
          <cell r="M381">
            <v>100</v>
          </cell>
        </row>
        <row r="382">
          <cell r="M382">
            <v>100</v>
          </cell>
        </row>
        <row r="383">
          <cell r="M383">
            <v>100</v>
          </cell>
        </row>
        <row r="384">
          <cell r="M384">
            <v>100</v>
          </cell>
        </row>
        <row r="385">
          <cell r="M385">
            <v>100</v>
          </cell>
        </row>
        <row r="386">
          <cell r="M386">
            <v>100</v>
          </cell>
        </row>
        <row r="387">
          <cell r="M387">
            <v>100</v>
          </cell>
        </row>
        <row r="388">
          <cell r="M388">
            <v>100</v>
          </cell>
        </row>
        <row r="389">
          <cell r="M389">
            <v>100</v>
          </cell>
        </row>
        <row r="390">
          <cell r="M390">
            <v>100</v>
          </cell>
        </row>
        <row r="391">
          <cell r="M391">
            <v>100</v>
          </cell>
        </row>
        <row r="392">
          <cell r="M392">
            <v>100</v>
          </cell>
        </row>
        <row r="393">
          <cell r="M393">
            <v>100</v>
          </cell>
        </row>
        <row r="394">
          <cell r="M394">
            <v>100</v>
          </cell>
        </row>
        <row r="395">
          <cell r="M395">
            <v>100</v>
          </cell>
        </row>
        <row r="396">
          <cell r="M396">
            <v>100</v>
          </cell>
        </row>
        <row r="397">
          <cell r="M397">
            <v>100</v>
          </cell>
        </row>
        <row r="398">
          <cell r="M398">
            <v>100</v>
          </cell>
        </row>
        <row r="399">
          <cell r="M399">
            <v>100</v>
          </cell>
        </row>
        <row r="400">
          <cell r="M400">
            <v>100</v>
          </cell>
        </row>
        <row r="401">
          <cell r="M401">
            <v>100</v>
          </cell>
        </row>
        <row r="402">
          <cell r="M402">
            <v>100</v>
          </cell>
        </row>
        <row r="403">
          <cell r="M403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AC5">
            <v>3.502035764964516</v>
          </cell>
          <cell r="AD5">
            <v>3.5089618315413351</v>
          </cell>
          <cell r="AE5">
            <v>3.489904548604176</v>
          </cell>
          <cell r="AF5">
            <v>3.5995789245238257</v>
          </cell>
          <cell r="AG5">
            <v>3.5935508915850818</v>
          </cell>
          <cell r="AJ5">
            <v>400.23265885308757</v>
          </cell>
          <cell r="AK5">
            <v>400.32213351053593</v>
          </cell>
          <cell r="AL5">
            <v>400.54527725281667</v>
          </cell>
          <cell r="AM5">
            <v>400</v>
          </cell>
          <cell r="AN5">
            <v>400</v>
          </cell>
          <cell r="AQ5">
            <v>8.6741016109045839E-3</v>
          </cell>
          <cell r="AR5">
            <v>0.99132589838909546</v>
          </cell>
        </row>
        <row r="6">
          <cell r="AC6">
            <v>7.0081430598580647</v>
          </cell>
          <cell r="AD6">
            <v>7.0235708861488524</v>
          </cell>
          <cell r="AE6">
            <v>6.9893109721419764</v>
          </cell>
          <cell r="AF6">
            <v>7.1991578490476478</v>
          </cell>
          <cell r="AG6">
            <v>7.1871017831701636</v>
          </cell>
          <cell r="AJ6">
            <v>405.67256554565824</v>
          </cell>
          <cell r="AK6">
            <v>406.08160528828347</v>
          </cell>
          <cell r="AL6">
            <v>406.80292288030955</v>
          </cell>
          <cell r="AM6">
            <v>406.02786273573179</v>
          </cell>
          <cell r="AN6">
            <v>406.38093382826207</v>
          </cell>
          <cell r="AQ6">
            <v>1.6981998222158685E-2</v>
          </cell>
          <cell r="AR6">
            <v>0.98301800177784127</v>
          </cell>
        </row>
        <row r="7">
          <cell r="AC7">
            <v>10.518321884680645</v>
          </cell>
          <cell r="AD7">
            <v>10.543827163822543</v>
          </cell>
          <cell r="AE7">
            <v>10.498219270613399</v>
          </cell>
          <cell r="AF7">
            <v>10.798736773571473</v>
          </cell>
          <cell r="AG7">
            <v>10.780652674755242</v>
          </cell>
          <cell r="AJ7">
            <v>411.11852276124051</v>
          </cell>
          <cell r="AK7">
            <v>411.84982072721959</v>
          </cell>
          <cell r="AL7">
            <v>413.07610028485095</v>
          </cell>
          <cell r="AM7">
            <v>412.05572547146357</v>
          </cell>
          <cell r="AN7">
            <v>412.76186765652415</v>
          </cell>
          <cell r="AQ7">
            <v>2.4946401193931805E-2</v>
          </cell>
          <cell r="AR7">
            <v>0.97505359880606823</v>
          </cell>
        </row>
        <row r="8">
          <cell r="AC8">
            <v>14.032572239432255</v>
          </cell>
          <cell r="AD8">
            <v>14.069730664562414</v>
          </cell>
          <cell r="AE8">
            <v>14.01662944401845</v>
          </cell>
          <cell r="AF8">
            <v>14.398315698095299</v>
          </cell>
          <cell r="AG8">
            <v>14.374203566340324</v>
          </cell>
          <cell r="AJ8">
            <v>416.57053049983443</v>
          </cell>
          <cell r="AK8">
            <v>417.62677982734419</v>
          </cell>
          <cell r="AL8">
            <v>419.36480946644093</v>
          </cell>
          <cell r="AM8">
            <v>418.08358820719536</v>
          </cell>
          <cell r="AN8">
            <v>419.14280148478622</v>
          </cell>
          <cell r="AQ8">
            <v>3.258818190153423E-2</v>
          </cell>
          <cell r="AR8">
            <v>0.96741181809846588</v>
          </cell>
        </row>
        <row r="9">
          <cell r="AC9">
            <v>17.550894124112901</v>
          </cell>
          <cell r="AD9">
            <v>17.601281388368459</v>
          </cell>
          <cell r="AE9">
            <v>17.544541492357123</v>
          </cell>
          <cell r="AF9">
            <v>17.997894622619121</v>
          </cell>
          <cell r="AG9">
            <v>17.967754457925402</v>
          </cell>
          <cell r="AJ9">
            <v>422.02858876144001</v>
          </cell>
          <cell r="AK9">
            <v>423.41248258865738</v>
          </cell>
          <cell r="AL9">
            <v>425.66905042507932</v>
          </cell>
          <cell r="AM9">
            <v>424.11145094292715</v>
          </cell>
          <cell r="AN9">
            <v>425.52373531304835</v>
          </cell>
          <cell r="AQ9">
            <v>3.992655437169796E-2</v>
          </cell>
          <cell r="AR9">
            <v>0.96007344562830199</v>
          </cell>
        </row>
        <row r="10">
          <cell r="AC10">
            <v>21.073287538722578</v>
          </cell>
          <cell r="AD10">
            <v>21.138479335240689</v>
          </cell>
          <cell r="AE10">
            <v>21.081955415629423</v>
          </cell>
          <cell r="AF10">
            <v>21.597473547142947</v>
          </cell>
          <cell r="AG10">
            <v>21.561305349510484</v>
          </cell>
          <cell r="AJ10">
            <v>427.49269754605734</v>
          </cell>
          <cell r="AK10">
            <v>429.20692901115922</v>
          </cell>
          <cell r="AL10">
            <v>431.98882316076623</v>
          </cell>
          <cell r="AM10">
            <v>430.13931367865899</v>
          </cell>
          <cell r="AN10">
            <v>431.90466914131042</v>
          </cell>
          <cell r="AQ10">
            <v>4.6979236588212729E-2</v>
          </cell>
          <cell r="AR10">
            <v>0.95302076341178721</v>
          </cell>
        </row>
        <row r="11">
          <cell r="AC11">
            <v>24.599752483261287</v>
          </cell>
          <cell r="AD11">
            <v>24.681324505179091</v>
          </cell>
          <cell r="AE11">
            <v>24.628871213835346</v>
          </cell>
          <cell r="AF11">
            <v>25.197052471666773</v>
          </cell>
          <cell r="AG11">
            <v>25.154856241095562</v>
          </cell>
          <cell r="AJ11">
            <v>432.96285685368633</v>
          </cell>
          <cell r="AK11">
            <v>435.01011909484964</v>
          </cell>
          <cell r="AL11">
            <v>438.32412767350161</v>
          </cell>
          <cell r="AM11">
            <v>436.16717641439078</v>
          </cell>
          <cell r="AN11">
            <v>438.28560296957249</v>
          </cell>
          <cell r="AQ11">
            <v>5.3762593317903978E-2</v>
          </cell>
          <cell r="AR11">
            <v>0.94623740668209599</v>
          </cell>
        </row>
        <row r="12">
          <cell r="AC12">
            <v>28.130288957729029</v>
          </cell>
          <cell r="AD12">
            <v>28.229816898183675</v>
          </cell>
          <cell r="AE12">
            <v>28.185288886974899</v>
          </cell>
          <cell r="AF12">
            <v>28.796631396190598</v>
          </cell>
          <cell r="AG12">
            <v>28.74840713268064</v>
          </cell>
          <cell r="AJ12">
            <v>438.43906668432692</v>
          </cell>
          <cell r="AK12">
            <v>440.82205283972854</v>
          </cell>
          <cell r="AL12">
            <v>444.67496396328556</v>
          </cell>
          <cell r="AM12">
            <v>442.19503915012257</v>
          </cell>
          <cell r="AN12">
            <v>444.66653679783457</v>
          </cell>
          <cell r="AQ12">
            <v>6.0291762880608273E-2</v>
          </cell>
          <cell r="AR12">
            <v>0.93970823711939178</v>
          </cell>
        </row>
        <row r="13">
          <cell r="AC13">
            <v>31.664896962125805</v>
          </cell>
          <cell r="AD13">
            <v>31.783956514254438</v>
          </cell>
          <cell r="AE13">
            <v>31.751208435048074</v>
          </cell>
          <cell r="AF13">
            <v>32.396210320714424</v>
          </cell>
          <cell r="AG13">
            <v>32.341958024265722</v>
          </cell>
          <cell r="AJ13">
            <v>443.92132703797921</v>
          </cell>
          <cell r="AK13">
            <v>446.64273024579614</v>
          </cell>
          <cell r="AL13">
            <v>451.04133203011804</v>
          </cell>
          <cell r="AM13">
            <v>448.22290188585436</v>
          </cell>
          <cell r="AN13">
            <v>451.04747062609664</v>
          </cell>
          <cell r="AQ13">
            <v>6.6580769930204731E-2</v>
          </cell>
          <cell r="AR13">
            <v>0.93341923006979532</v>
          </cell>
        </row>
        <row r="14">
          <cell r="AC14">
            <v>36.07857649645161</v>
          </cell>
          <cell r="AD14">
            <v>35.284906839902376</v>
          </cell>
          <cell r="AE14">
            <v>35.326629858054865</v>
          </cell>
          <cell r="AF14">
            <v>35.99578924523825</v>
          </cell>
          <cell r="AG14">
            <v>35.935508915850804</v>
          </cell>
          <cell r="AJ14">
            <v>460.57990731084925</v>
          </cell>
          <cell r="AK14">
            <v>452.45741930736739</v>
          </cell>
          <cell r="AL14">
            <v>457.42323187399887</v>
          </cell>
          <cell r="AM14">
            <v>454.25076462158614</v>
          </cell>
          <cell r="AN14">
            <v>457.42840445435877</v>
          </cell>
          <cell r="AQ14">
            <v>7.2642626015122669E-2</v>
          </cell>
          <cell r="AR14">
            <v>0.92735737398487739</v>
          </cell>
        </row>
        <row r="15">
          <cell r="AC15">
            <v>38.364327243515824</v>
          </cell>
          <cell r="AD15">
            <v>37.403727638830098</v>
          </cell>
          <cell r="AE15">
            <v>37.603485856246067</v>
          </cell>
          <cell r="AF15">
            <v>38.081081262071805</v>
          </cell>
          <cell r="AG15">
            <v>38.155146613146677</v>
          </cell>
          <cell r="AJ15">
            <v>467.4160446490132</v>
          </cell>
          <cell r="AK15">
            <v>457.92955404672148</v>
          </cell>
          <cell r="AL15">
            <v>463.25999938094037</v>
          </cell>
          <cell r="AM15">
            <v>461.2607318839182</v>
          </cell>
          <cell r="AN15">
            <v>465.7029816505248</v>
          </cell>
          <cell r="AQ15">
            <v>7.5851751818608898E-2</v>
          </cell>
          <cell r="AR15">
            <v>0.92414824818139107</v>
          </cell>
        </row>
        <row r="16">
          <cell r="AC16">
            <v>40.672959108565976</v>
          </cell>
          <cell r="AD16">
            <v>40.603129716168986</v>
          </cell>
          <cell r="AE16">
            <v>39.735531939455242</v>
          </cell>
          <cell r="AF16">
            <v>40.170922659976952</v>
          </cell>
          <cell r="AG16">
            <v>40.333512460796399</v>
          </cell>
          <cell r="AJ16">
            <v>474.39317823671104</v>
          </cell>
          <cell r="AK16">
            <v>476.07149903565886</v>
          </cell>
          <cell r="AL16">
            <v>469.03527118351269</v>
          </cell>
          <cell r="AM16">
            <v>468.29904873433026</v>
          </cell>
          <cell r="AN16">
            <v>474.11062997823865</v>
          </cell>
          <cell r="AQ16">
            <v>7.8966478592827141E-2</v>
          </cell>
          <cell r="AR16">
            <v>0.92103352140717298</v>
          </cell>
        </row>
        <row r="17">
          <cell r="AC17">
            <v>43.006641369046761</v>
          </cell>
          <cell r="AD17">
            <v>42.920884517277329</v>
          </cell>
          <cell r="AE17">
            <v>42.927695559901373</v>
          </cell>
          <cell r="AF17">
            <v>42.269321454188002</v>
          </cell>
          <cell r="AG17">
            <v>42.528898332089277</v>
          </cell>
          <cell r="AJ17">
            <v>481.52273316630334</v>
          </cell>
          <cell r="AK17">
            <v>483.28091995062988</v>
          </cell>
          <cell r="AL17">
            <v>486.83309139363951</v>
          </cell>
          <cell r="AM17">
            <v>475.3631569898958</v>
          </cell>
          <cell r="AN17">
            <v>482.57258012826378</v>
          </cell>
          <cell r="AQ17">
            <v>8.1990911199480154E-2</v>
          </cell>
          <cell r="AR17">
            <v>0.91800908880051979</v>
          </cell>
        </row>
        <row r="18">
          <cell r="AC18">
            <v>45.367736825033795</v>
          </cell>
          <cell r="AD18">
            <v>45.253613413124476</v>
          </cell>
          <cell r="AE18">
            <v>45.237098336231</v>
          </cell>
          <cell r="AF18">
            <v>44.376277644704984</v>
          </cell>
          <cell r="AG18">
            <v>44.741304227025303</v>
          </cell>
          <cell r="AJ18">
            <v>488.81704823472904</v>
          </cell>
          <cell r="AK18">
            <v>490.5341727703443</v>
          </cell>
          <cell r="AL18">
            <v>494.10212483360812</v>
          </cell>
          <cell r="AM18">
            <v>482.45305665061505</v>
          </cell>
          <cell r="AN18">
            <v>491.08883210060009</v>
          </cell>
          <cell r="AQ18">
            <v>8.492891990541851E-2</v>
          </cell>
          <cell r="AR18">
            <v>0.91507108009458149</v>
          </cell>
        </row>
        <row r="19">
          <cell r="AC19">
            <v>47.758818403931443</v>
          </cell>
          <cell r="AD19">
            <v>47.616191328459806</v>
          </cell>
          <cell r="AE19">
            <v>47.572198488755227</v>
          </cell>
          <cell r="AF19">
            <v>46.491791231527891</v>
          </cell>
          <cell r="AG19">
            <v>46.97073014560447</v>
          </cell>
          <cell r="AJ19">
            <v>496.28944824742462</v>
          </cell>
          <cell r="AK19">
            <v>497.98610963383794</v>
          </cell>
          <cell r="AL19">
            <v>501.54841681843465</v>
          </cell>
          <cell r="AM19">
            <v>489.56874771648796</v>
          </cell>
          <cell r="AN19">
            <v>499.65938589524751</v>
          </cell>
          <cell r="AQ19">
            <v>8.778415690557996E-2</v>
          </cell>
          <cell r="AR19">
            <v>0.91221584309442016</v>
          </cell>
        </row>
        <row r="20">
          <cell r="AC20">
            <v>50.18268715180578</v>
          </cell>
          <cell r="AD20">
            <v>50.009184311427816</v>
          </cell>
          <cell r="AE20">
            <v>49.929874493990688</v>
          </cell>
          <cell r="AF20">
            <v>49.883313231343962</v>
          </cell>
          <cell r="AG20">
            <v>49.217176087826786</v>
          </cell>
          <cell r="AJ20">
            <v>503.95432199436505</v>
          </cell>
          <cell r="AK20">
            <v>505.62635056281238</v>
          </cell>
          <cell r="AL20">
            <v>509.12587149114825</v>
          </cell>
          <cell r="AM20">
            <v>509.65982847850859</v>
          </cell>
          <cell r="AN20">
            <v>508.28424151220622</v>
          </cell>
          <cell r="AQ20">
            <v>9.0560071468838738E-2</v>
          </cell>
          <cell r="AR20">
            <v>0.90943992853116118</v>
          </cell>
        </row>
        <row r="21">
          <cell r="AC21">
            <v>52.628365633203359</v>
          </cell>
          <cell r="AD21">
            <v>52.425561586389591</v>
          </cell>
          <cell r="AE21">
            <v>52.305693647468672</v>
          </cell>
          <cell r="AF21">
            <v>52.196454121989618</v>
          </cell>
          <cell r="AG21">
            <v>51.480642053692257</v>
          </cell>
          <cell r="AJ21">
            <v>511.69083458568321</v>
          </cell>
          <cell r="AK21">
            <v>513.372127025689</v>
          </cell>
          <cell r="AL21">
            <v>516.78180813788958</v>
          </cell>
          <cell r="AM21">
            <v>518.25421241248512</v>
          </cell>
          <cell r="AN21">
            <v>516.83102612146604</v>
          </cell>
          <cell r="AQ21">
            <v>9.3259923838830958E-2</v>
          </cell>
          <cell r="AR21">
            <v>0.90674007616116914</v>
          </cell>
        </row>
        <row r="22">
          <cell r="AC22">
            <v>55.103753146309977</v>
          </cell>
          <cell r="AD22">
            <v>54.882142891517638</v>
          </cell>
          <cell r="AE22">
            <v>54.728820747930094</v>
          </cell>
          <cell r="AF22">
            <v>54.552058775195071</v>
          </cell>
          <cell r="AG22">
            <v>53.76112804320087</v>
          </cell>
          <cell r="AJ22">
            <v>519.57132508474035</v>
          </cell>
          <cell r="AK22">
            <v>521.37773240115905</v>
          </cell>
          <cell r="AL22">
            <v>524.79231462216717</v>
          </cell>
          <cell r="AM22">
            <v>527.05370290672022</v>
          </cell>
          <cell r="AN22">
            <v>525.15908070895603</v>
          </cell>
          <cell r="AQ22">
            <v>9.5886798007543503E-2</v>
          </cell>
          <cell r="AR22">
            <v>0.90411320199245659</v>
          </cell>
        </row>
        <row r="23">
          <cell r="AC23">
            <v>57.618339324854972</v>
          </cell>
          <cell r="AD23">
            <v>57.357517766876946</v>
          </cell>
          <cell r="AE23">
            <v>57.173164518034838</v>
          </cell>
          <cell r="AF23">
            <v>56.928879950515139</v>
          </cell>
          <cell r="AG23">
            <v>56.058634056352638</v>
          </cell>
          <cell r="AJ23">
            <v>527.67447242503806</v>
          </cell>
          <cell r="AK23">
            <v>529.42729861377109</v>
          </cell>
          <cell r="AL23">
            <v>532.90828913235998</v>
          </cell>
          <cell r="AM23">
            <v>535.80424349106727</v>
          </cell>
          <cell r="AN23">
            <v>533.53810463946797</v>
          </cell>
          <cell r="AQ23">
            <v>9.8443613466888777E-2</v>
          </cell>
          <cell r="AR23">
            <v>0.9015563865331111</v>
          </cell>
        </row>
        <row r="24">
          <cell r="AC24">
            <v>60.17572239432257</v>
          </cell>
          <cell r="AD24">
            <v>59.845715525200447</v>
          </cell>
          <cell r="AE24">
            <v>59.644710069537084</v>
          </cell>
          <cell r="AF24">
            <v>59.513428242426521</v>
          </cell>
          <cell r="AG24">
            <v>58.531026880186381</v>
          </cell>
          <cell r="AJ24">
            <v>536.01820122458128</v>
          </cell>
          <cell r="AK24">
            <v>537.82865743858042</v>
          </cell>
          <cell r="AL24">
            <v>541.38521254895238</v>
          </cell>
          <cell r="AM24">
            <v>546.33251019691875</v>
          </cell>
          <cell r="AN24">
            <v>543.43381883951213</v>
          </cell>
          <cell r="AQ24">
            <v>0.10093313603240915</v>
          </cell>
          <cell r="AR24">
            <v>0.89906686396759095</v>
          </cell>
        </row>
        <row r="25">
          <cell r="AC25">
            <v>62.671760405902376</v>
          </cell>
          <cell r="AD25">
            <v>62.322555106010235</v>
          </cell>
          <cell r="AE25">
            <v>62.184989414549683</v>
          </cell>
          <cell r="AF25">
            <v>62.291620435632673</v>
          </cell>
          <cell r="AG25">
            <v>61.098129373065163</v>
          </cell>
          <cell r="AJ25">
            <v>544.92137262943629</v>
          </cell>
          <cell r="AK25">
            <v>546.83813921288777</v>
          </cell>
          <cell r="AL25">
            <v>551.13386636512905</v>
          </cell>
          <cell r="AM25">
            <v>558.39111633810387</v>
          </cell>
          <cell r="AN25">
            <v>554.01648479160929</v>
          </cell>
          <cell r="AQ25">
            <v>0.10314757853304651</v>
          </cell>
          <cell r="AR25">
            <v>0.89685242146695343</v>
          </cell>
        </row>
        <row r="26">
          <cell r="AC26">
            <v>65.143781699619467</v>
          </cell>
          <cell r="AD26">
            <v>64.853020110099379</v>
          </cell>
          <cell r="AE26">
            <v>64.77709969502331</v>
          </cell>
          <cell r="AF26">
            <v>65.13489116352757</v>
          </cell>
          <cell r="AG26">
            <v>65.291833895106052</v>
          </cell>
          <cell r="AJ26">
            <v>553.57079911388109</v>
          </cell>
          <cell r="AK26">
            <v>556.17277928544263</v>
          </cell>
          <cell r="AL26">
            <v>561.16769086946692</v>
          </cell>
          <cell r="AM26">
            <v>570.75700414204391</v>
          </cell>
          <cell r="AN26">
            <v>578.82632918009881</v>
          </cell>
          <cell r="AQ26">
            <v>0.10528890658107148</v>
          </cell>
          <cell r="AR26">
            <v>0.89471109341892852</v>
          </cell>
        </row>
        <row r="27">
          <cell r="AC27">
            <v>67.656018130778023</v>
          </cell>
          <cell r="AD27">
            <v>67.395860621282836</v>
          </cell>
          <cell r="AE27">
            <v>67.403223433388462</v>
          </cell>
          <cell r="AF27">
            <v>68.025488734527841</v>
          </cell>
          <cell r="AG27">
            <v>68.107672474824469</v>
          </cell>
          <cell r="AJ27">
            <v>562.43984273930505</v>
          </cell>
          <cell r="AK27">
            <v>565.46965535026584</v>
          </cell>
          <cell r="AL27">
            <v>571.32246100021405</v>
          </cell>
          <cell r="AM27">
            <v>583.26662294914752</v>
          </cell>
          <cell r="AN27">
            <v>590.89162918152351</v>
          </cell>
          <cell r="AQ27">
            <v>0.10737416690430815</v>
          </cell>
          <cell r="AR27">
            <v>0.89262583309569199</v>
          </cell>
        </row>
        <row r="28">
          <cell r="AC28">
            <v>70.215487917571096</v>
          </cell>
          <cell r="AD28">
            <v>69.947869922089268</v>
          </cell>
          <cell r="AE28">
            <v>70.102049017579247</v>
          </cell>
          <cell r="AF28">
            <v>70.97439131389622</v>
          </cell>
          <cell r="AG28">
            <v>70.988393051898043</v>
          </cell>
          <cell r="AJ28">
            <v>571.57552491897229</v>
          </cell>
          <cell r="AK28">
            <v>574.70923417947165</v>
          </cell>
          <cell r="AL28">
            <v>581.91714267662553</v>
          </cell>
          <cell r="AM28">
            <v>596.01164598793684</v>
          </cell>
          <cell r="AN28">
            <v>603.2812667567822</v>
          </cell>
          <cell r="AQ28">
            <v>0.10940553313022811</v>
          </cell>
          <cell r="AR28">
            <v>0.89059446686977195</v>
          </cell>
        </row>
        <row r="29">
          <cell r="AC29">
            <v>72.82642678203608</v>
          </cell>
          <cell r="AD29">
            <v>72.544886253211004</v>
          </cell>
          <cell r="AE29">
            <v>72.836787989763394</v>
          </cell>
          <cell r="AF29">
            <v>73.981117748879441</v>
          </cell>
          <cell r="AG29">
            <v>73.915741347855757</v>
          </cell>
          <cell r="AJ29">
            <v>580.99933382818153</v>
          </cell>
          <cell r="AK29">
            <v>584.18767376402377</v>
          </cell>
          <cell r="AL29">
            <v>592.63138685469039</v>
          </cell>
          <cell r="AM29">
            <v>608.98219253199511</v>
          </cell>
          <cell r="AN29">
            <v>615.83133422214644</v>
          </cell>
          <cell r="AQ29">
            <v>0.11138506796377518</v>
          </cell>
          <cell r="AR29">
            <v>0.88861493203622488</v>
          </cell>
        </row>
        <row r="30">
          <cell r="AC30">
            <v>75.310102781600293</v>
          </cell>
          <cell r="AD30">
            <v>75.191401412246023</v>
          </cell>
          <cell r="AE30">
            <v>75.559678693068008</v>
          </cell>
          <cell r="AF30">
            <v>77.048208525295479</v>
          </cell>
          <cell r="AG30">
            <v>76.898930270297271</v>
          </cell>
          <cell r="AJ30">
            <v>589.29989687207717</v>
          </cell>
          <cell r="AK30">
            <v>593.93058351316108</v>
          </cell>
          <cell r="AL30">
            <v>603.08252740474381</v>
          </cell>
          <cell r="AM30">
            <v>622.19377985957522</v>
          </cell>
          <cell r="AN30">
            <v>628.61530821162808</v>
          </cell>
          <cell r="AQ30">
            <v>0.11331473017385194</v>
          </cell>
          <cell r="AR30">
            <v>0.88668526982614804</v>
          </cell>
        </row>
        <row r="31">
          <cell r="AC31">
            <v>83.749242134039179</v>
          </cell>
          <cell r="AD31">
            <v>84.030968439013265</v>
          </cell>
          <cell r="AE31">
            <v>84.702418894511553</v>
          </cell>
          <cell r="AF31">
            <v>86.900431904669603</v>
          </cell>
          <cell r="AG31">
            <v>86.941932171876175</v>
          </cell>
          <cell r="AJ31">
            <v>643.26354563434768</v>
          </cell>
          <cell r="AK31">
            <v>651.56344897839449</v>
          </cell>
          <cell r="AL31">
            <v>663.68576627968207</v>
          </cell>
          <cell r="AM31">
            <v>688.95550889607</v>
          </cell>
          <cell r="AN31">
            <v>697.84533370499082</v>
          </cell>
          <cell r="AQ31">
            <v>0.11519638105832078</v>
          </cell>
          <cell r="AR31">
            <v>0.88480361894167925</v>
          </cell>
        </row>
        <row r="32">
          <cell r="AC32">
            <v>86.340650992966545</v>
          </cell>
          <cell r="AD32">
            <v>86.73695442714444</v>
          </cell>
          <cell r="AE32">
            <v>87.777245062535556</v>
          </cell>
          <cell r="AF32">
            <v>90.506559404299622</v>
          </cell>
          <cell r="AG32">
            <v>90.44649564493848</v>
          </cell>
          <cell r="AJ32">
            <v>651.41317362154075</v>
          </cell>
          <cell r="AK32">
            <v>660.66160999550334</v>
          </cell>
          <cell r="AL32">
            <v>675.67178369244971</v>
          </cell>
          <cell r="AM32">
            <v>704.95594512690275</v>
          </cell>
          <cell r="AN32">
            <v>713.33279521241673</v>
          </cell>
          <cell r="AQ32">
            <v>0.11703179043237281</v>
          </cell>
          <cell r="AR32">
            <v>0.88296820956762723</v>
          </cell>
        </row>
        <row r="33">
          <cell r="AC33">
            <v>89.222307550679844</v>
          </cell>
          <cell r="AD33">
            <v>89.744947219690431</v>
          </cell>
          <cell r="AE33">
            <v>91.248176026358749</v>
          </cell>
          <cell r="AF33">
            <v>94.301777348780504</v>
          </cell>
          <cell r="AG33">
            <v>94.071589224857519</v>
          </cell>
          <cell r="AJ33">
            <v>661.66410528422671</v>
          </cell>
          <cell r="AK33">
            <v>671.94188471701318</v>
          </cell>
          <cell r="AL33">
            <v>690.4843134907627</v>
          </cell>
          <cell r="AM33">
            <v>722.1087316859373</v>
          </cell>
          <cell r="AN33">
            <v>729.48505398494763</v>
          </cell>
          <cell r="AQ33">
            <v>0.11882264218076441</v>
          </cell>
          <cell r="AR33">
            <v>0.88117735781923556</v>
          </cell>
        </row>
        <row r="34">
          <cell r="AC34">
            <v>92.168819886481899</v>
          </cell>
          <cell r="AD34">
            <v>92.79932352950155</v>
          </cell>
          <cell r="AE34">
            <v>94.606553254390576</v>
          </cell>
          <cell r="AF34">
            <v>98.128464893713485</v>
          </cell>
          <cell r="AG34">
            <v>97.758674055895511</v>
          </cell>
          <cell r="AJ34">
            <v>672.27015780320085</v>
          </cell>
          <cell r="AK34">
            <v>683.41674754985468</v>
          </cell>
          <cell r="AL34">
            <v>704.20376469506073</v>
          </cell>
          <cell r="AM34">
            <v>739.17917067498831</v>
          </cell>
          <cell r="AN34">
            <v>745.83151066237883</v>
          </cell>
          <cell r="AQ34">
            <v>0.1205705394105336</v>
          </cell>
          <cell r="AR34">
            <v>0.87942946058946647</v>
          </cell>
        </row>
        <row r="35">
          <cell r="AC35">
            <v>99.149583211263291</v>
          </cell>
          <cell r="AD35">
            <v>99.964449798450261</v>
          </cell>
          <cell r="AE35">
            <v>102.11326591537296</v>
          </cell>
          <cell r="AF35">
            <v>106.47763487114975</v>
          </cell>
          <cell r="AG35">
            <v>106.18399150503718</v>
          </cell>
          <cell r="AJ35">
            <v>711.71080525976197</v>
          </cell>
          <cell r="AK35">
            <v>724.53971915025284</v>
          </cell>
          <cell r="AL35">
            <v>748.1056399187861</v>
          </cell>
          <cell r="AM35">
            <v>789.47931883634033</v>
          </cell>
          <cell r="AN35">
            <v>797.49230510884252</v>
          </cell>
          <cell r="AQ35">
            <v>0.12227700923733831</v>
          </cell>
          <cell r="AR35">
            <v>0.87772299076266158</v>
          </cell>
        </row>
        <row r="36">
          <cell r="AC36">
            <v>102.28582673235309</v>
          </cell>
          <cell r="AD36">
            <v>103.21358917741173</v>
          </cell>
          <cell r="AE36">
            <v>105.56351250534</v>
          </cell>
          <cell r="AF36">
            <v>110.5967752979285</v>
          </cell>
          <cell r="AG36">
            <v>110.10991330095666</v>
          </cell>
          <cell r="AJ36">
            <v>722.97585105801318</v>
          </cell>
          <cell r="AK36">
            <v>736.66775913999152</v>
          </cell>
          <cell r="AL36">
            <v>761.62297347635092</v>
          </cell>
          <cell r="AM36">
            <v>807.59532161910022</v>
          </cell>
          <cell r="AN36">
            <v>814.54696938578877</v>
          </cell>
          <cell r="AQ36">
            <v>0.12394350723545389</v>
          </cell>
          <cell r="AR36">
            <v>0.876056492764546</v>
          </cell>
        </row>
        <row r="37">
          <cell r="AC37">
            <v>105.52200327760572</v>
          </cell>
          <cell r="AD37">
            <v>106.51052199466817</v>
          </cell>
          <cell r="AE37">
            <v>109.06540575114938</v>
          </cell>
          <cell r="AF37">
            <v>114.80964314983693</v>
          </cell>
          <cell r="AG37">
            <v>114.11521330838755</v>
          </cell>
          <cell r="AJ37">
            <v>734.81254060971298</v>
          </cell>
          <cell r="AK37">
            <v>748.9874762519172</v>
          </cell>
          <cell r="AL37">
            <v>775.33113481202327</v>
          </cell>
          <cell r="AM37">
            <v>826.08885243677719</v>
          </cell>
          <cell r="AN37">
            <v>831.9218855468522</v>
          </cell>
          <cell r="AQ37">
            <v>0.12557142157868412</v>
          </cell>
          <cell r="AR37">
            <v>0.87442857842131594</v>
          </cell>
        </row>
        <row r="38">
          <cell r="AC38">
            <v>109.00720986926194</v>
          </cell>
          <cell r="AD38">
            <v>109.87093896374978</v>
          </cell>
          <cell r="AE38">
            <v>112.64159742867352</v>
          </cell>
          <cell r="AF38">
            <v>118.89216480741203</v>
          </cell>
          <cell r="AG38">
            <v>118.20507889153728</v>
          </cell>
          <cell r="AJ38">
            <v>748.22328313065339</v>
          </cell>
          <cell r="AK38">
            <v>761.60357648828131</v>
          </cell>
          <cell r="AL38">
            <v>789.38582385178051</v>
          </cell>
          <cell r="AM38">
            <v>843.36302866221672</v>
          </cell>
          <cell r="AN38">
            <v>849.64844419993483</v>
          </cell>
          <cell r="AQ38">
            <v>0.12716207689694575</v>
          </cell>
          <cell r="AR38">
            <v>0.8728379231030543</v>
          </cell>
        </row>
        <row r="39">
          <cell r="AC39">
            <v>112.63389403340585</v>
          </cell>
          <cell r="AD39">
            <v>113.45544027479473</v>
          </cell>
          <cell r="AE39">
            <v>116.32212569390767</v>
          </cell>
          <cell r="AF39">
            <v>123.04476397848582</v>
          </cell>
          <cell r="AG39">
            <v>122.37018479838444</v>
          </cell>
          <cell r="AJ39">
            <v>762.41853423934435</v>
          </cell>
          <cell r="AK39">
            <v>775.60577644841169</v>
          </cell>
          <cell r="AL39">
            <v>803.9853571873366</v>
          </cell>
          <cell r="AM39">
            <v>860.87862002453642</v>
          </cell>
          <cell r="AN39">
            <v>867.65366069437459</v>
          </cell>
          <cell r="AQ39">
            <v>0.12871673787104598</v>
          </cell>
          <cell r="AR39">
            <v>0.87128326212895413</v>
          </cell>
        </row>
        <row r="40">
          <cell r="AC40">
            <v>116.42584447103984</v>
          </cell>
          <cell r="AD40">
            <v>117.27381702415913</v>
          </cell>
          <cell r="AE40">
            <v>120.07630866769379</v>
          </cell>
          <cell r="AF40">
            <v>127.26864612554432</v>
          </cell>
          <cell r="AG40">
            <v>126.56351680229093</v>
          </cell>
          <cell r="AJ40">
            <v>777.53048746304796</v>
          </cell>
          <cell r="AK40">
            <v>791.00871923901093</v>
          </cell>
          <cell r="AL40">
            <v>818.90375807291946</v>
          </cell>
          <cell r="AM40">
            <v>878.64144319493232</v>
          </cell>
          <cell r="AN40">
            <v>885.60492495002131</v>
          </cell>
          <cell r="AQ40">
            <v>0.13023661258615485</v>
          </cell>
          <cell r="AR40">
            <v>0.86976338741384518</v>
          </cell>
        </row>
        <row r="41">
          <cell r="AC41">
            <v>119.86620085288679</v>
          </cell>
          <cell r="AD41">
            <v>121.18191445730005</v>
          </cell>
          <cell r="AE41">
            <v>123.89919784013847</v>
          </cell>
          <cell r="AF41">
            <v>131.56775278823423</v>
          </cell>
          <cell r="AG41">
            <v>130.7821385982916</v>
          </cell>
          <cell r="AJ41">
            <v>790.1216691327146</v>
          </cell>
          <cell r="AK41">
            <v>806.80326347777225</v>
          </cell>
          <cell r="AL41">
            <v>834.10054822704012</v>
          </cell>
          <cell r="AM41">
            <v>896.67575798125836</v>
          </cell>
          <cell r="AN41">
            <v>903.49118389508055</v>
          </cell>
          <cell r="AQ41">
            <v>0.1317228556626622</v>
          </cell>
          <cell r="AR41">
            <v>0.86827714433733783</v>
          </cell>
        </row>
        <row r="42">
          <cell r="AC42">
            <v>123.36767604949642</v>
          </cell>
          <cell r="AD42">
            <v>125.08726961296153</v>
          </cell>
          <cell r="AE42">
            <v>128.01709614138585</v>
          </cell>
          <cell r="AF42">
            <v>135.94582967641145</v>
          </cell>
          <cell r="AG42">
            <v>135.07736299222333</v>
          </cell>
          <cell r="AJ42">
            <v>802.97901507676397</v>
          </cell>
          <cell r="AK42">
            <v>822.37249233796365</v>
          </cell>
          <cell r="AL42">
            <v>851.07492494522683</v>
          </cell>
          <cell r="AM42">
            <v>915.00339758272662</v>
          </cell>
          <cell r="AN42">
            <v>921.67173826495946</v>
          </cell>
          <cell r="AQ42">
            <v>0.13317657118147089</v>
          </cell>
          <cell r="AR42">
            <v>0.86682342881852914</v>
          </cell>
        </row>
        <row r="43">
          <cell r="AC43">
            <v>126.9332915678348</v>
          </cell>
          <cell r="AD43">
            <v>128.71555298396879</v>
          </cell>
          <cell r="AE43">
            <v>132.24951128504898</v>
          </cell>
          <cell r="AF43">
            <v>140.41628491523889</v>
          </cell>
          <cell r="AG43">
            <v>139.47439796763092</v>
          </cell>
          <cell r="AJ43">
            <v>816.11580713643275</v>
          </cell>
          <cell r="AK43">
            <v>835.94864908269915</v>
          </cell>
          <cell r="AL43">
            <v>868.58204271891316</v>
          </cell>
          <cell r="AM43">
            <v>933.70951909924122</v>
          </cell>
          <cell r="AN43">
            <v>940.31239365136366</v>
          </cell>
          <cell r="AQ43">
            <v>0.13459881541930199</v>
          </cell>
          <cell r="AR43">
            <v>0.86540118458069804</v>
          </cell>
        </row>
        <row r="44">
          <cell r="AC44">
            <v>130.5659894801386</v>
          </cell>
          <cell r="AD44">
            <v>132.47629780412959</v>
          </cell>
          <cell r="AE44">
            <v>136.72145135297251</v>
          </cell>
          <cell r="AF44">
            <v>144.79640101612765</v>
          </cell>
          <cell r="AG44">
            <v>143.98196562824481</v>
          </cell>
          <cell r="AJ44">
            <v>829.54441556462029</v>
          </cell>
          <cell r="AK44">
            <v>850.23583313299901</v>
          </cell>
          <cell r="AL44">
            <v>887.42054015897008</v>
          </cell>
          <cell r="AM44">
            <v>951.58652982736101</v>
          </cell>
          <cell r="AN44">
            <v>959.46157132957285</v>
          </cell>
          <cell r="AQ44">
            <v>0.13599059940825431</v>
          </cell>
          <cell r="AR44">
            <v>0.86400940059174569</v>
          </cell>
        </row>
        <row r="45">
          <cell r="AC45">
            <v>134.45769015937131</v>
          </cell>
          <cell r="AD45">
            <v>136.4553932805301</v>
          </cell>
          <cell r="AE45">
            <v>141.22069737818885</v>
          </cell>
          <cell r="AF45">
            <v>149.235527045135</v>
          </cell>
          <cell r="AG45">
            <v>148.53924381778117</v>
          </cell>
          <cell r="AJ45">
            <v>844.46374975216293</v>
          </cell>
          <cell r="AK45">
            <v>865.75832960513014</v>
          </cell>
          <cell r="AL45">
            <v>906.18922141502605</v>
          </cell>
          <cell r="AM45">
            <v>969.63941523719427</v>
          </cell>
          <cell r="AN45">
            <v>978.70765307630677</v>
          </cell>
          <cell r="AQ45">
            <v>0.13735289133265111</v>
          </cell>
          <cell r="AR45">
            <v>0.86264710866734895</v>
          </cell>
        </row>
        <row r="46">
          <cell r="AC46">
            <v>138.61590874949576</v>
          </cell>
          <cell r="AD46">
            <v>140.53380321162331</v>
          </cell>
          <cell r="AE46">
            <v>145.63106617546009</v>
          </cell>
          <cell r="AF46">
            <v>154.02042571173683</v>
          </cell>
          <cell r="AG46">
            <v>152.87361426504572</v>
          </cell>
          <cell r="AJ46">
            <v>860.87423654177348</v>
          </cell>
          <cell r="AK46">
            <v>881.73213254123175</v>
          </cell>
          <cell r="AL46">
            <v>924.15969131719589</v>
          </cell>
          <cell r="AM46">
            <v>989.71065474630302</v>
          </cell>
          <cell r="AN46">
            <v>997.37629427326635</v>
          </cell>
          <cell r="AQ46">
            <v>0.1386866187751162</v>
          </cell>
          <cell r="AR46">
            <v>0.86131338122488377</v>
          </cell>
        </row>
        <row r="47">
          <cell r="AC47">
            <v>143.11393786213412</v>
          </cell>
          <cell r="AD47">
            <v>144.68003225291747</v>
          </cell>
          <cell r="AE47">
            <v>150.1218073382164</v>
          </cell>
          <cell r="AF47">
            <v>158.91822165763463</v>
          </cell>
          <cell r="AG47">
            <v>157.32260659349114</v>
          </cell>
          <cell r="AJ47">
            <v>879.18199392457495</v>
          </cell>
          <cell r="AK47">
            <v>897.95170337823424</v>
          </cell>
          <cell r="AL47">
            <v>942.42640385398181</v>
          </cell>
          <cell r="AM47">
            <v>1010.2605105021612</v>
          </cell>
          <cell r="AN47">
            <v>1019.4221727816387</v>
          </cell>
          <cell r="AQ47">
            <v>0.13999267082282912</v>
          </cell>
          <cell r="AR47">
            <v>0.86000732917717093</v>
          </cell>
        </row>
        <row r="48">
          <cell r="AC48">
            <v>147.76121272661311</v>
          </cell>
          <cell r="AD48">
            <v>149.26022033896442</v>
          </cell>
          <cell r="AE48">
            <v>154.57113743974045</v>
          </cell>
          <cell r="AF48">
            <v>164.10177862666345</v>
          </cell>
          <cell r="AG48">
            <v>161.95866389284802</v>
          </cell>
          <cell r="AJ48">
            <v>898.17370200577261</v>
          </cell>
          <cell r="AK48">
            <v>916.66250443167212</v>
          </cell>
          <cell r="AL48">
            <v>960.22903189234466</v>
          </cell>
          <cell r="AM48">
            <v>1035.4836988412665</v>
          </cell>
          <cell r="AN48">
            <v>1042.5534876144475</v>
          </cell>
          <cell r="AQ48">
            <v>0.14127190004400941</v>
          </cell>
          <cell r="AR48">
            <v>0.85872809995599053</v>
          </cell>
        </row>
        <row r="49">
          <cell r="AC49">
            <v>155.54307699410231</v>
          </cell>
          <cell r="AD49">
            <v>157.76985220662488</v>
          </cell>
          <cell r="AE49">
            <v>162.65300751919955</v>
          </cell>
          <cell r="AF49">
            <v>172.9635487794416</v>
          </cell>
          <cell r="AG49">
            <v>170.75332793534176</v>
          </cell>
          <cell r="AJ49">
            <v>935.79487278961972</v>
          </cell>
          <cell r="AK49">
            <v>959.04095245782048</v>
          </cell>
          <cell r="AL49">
            <v>1001.5412377585776</v>
          </cell>
          <cell r="AM49">
            <v>1084.7517324208809</v>
          </cell>
          <cell r="AN49">
            <v>1092.156321732574</v>
          </cell>
          <cell r="AQ49">
            <v>0.14252512434386375</v>
          </cell>
          <cell r="AR49">
            <v>0.85747487565613623</v>
          </cell>
        </row>
        <row r="50">
          <cell r="AC50">
            <v>159.99352347890434</v>
          </cell>
          <cell r="AD50">
            <v>162.85395540495279</v>
          </cell>
          <cell r="AE50">
            <v>167.22081656415381</v>
          </cell>
          <cell r="AF50">
            <v>177.9262526630917</v>
          </cell>
          <cell r="AG50">
            <v>175.60183113287468</v>
          </cell>
          <cell r="AJ50">
            <v>952.98067691816857</v>
          </cell>
          <cell r="AK50">
            <v>980.12284900259385</v>
          </cell>
          <cell r="AL50">
            <v>1023.8461866700375</v>
          </cell>
          <cell r="AM50">
            <v>1109.2883832152329</v>
          </cell>
          <cell r="AN50">
            <v>1116.2260060714295</v>
          </cell>
          <cell r="AQ50">
            <v>0.14375312870848564</v>
          </cell>
          <cell r="AR50">
            <v>0.85624687129151422</v>
          </cell>
        </row>
        <row r="51">
          <cell r="AC51">
            <v>164.54338690431896</v>
          </cell>
          <cell r="AD51">
            <v>167.49256561329079</v>
          </cell>
          <cell r="AE51">
            <v>172.30857101026993</v>
          </cell>
          <cell r="AF51">
            <v>182.97550181156964</v>
          </cell>
          <cell r="AG51">
            <v>180.53316018901617</v>
          </cell>
          <cell r="AJ51">
            <v>970.57782197948325</v>
          </cell>
          <cell r="AK51">
            <v>1002.7585587437626</v>
          </cell>
          <cell r="AL51">
            <v>1049.2166059673016</v>
          </cell>
          <cell r="AM51">
            <v>1134.2402716669683</v>
          </cell>
          <cell r="AN51">
            <v>1140.6950847927997</v>
          </cell>
          <cell r="AQ51">
            <v>0.14495666684452074</v>
          </cell>
          <cell r="AR51">
            <v>0.85504333315547931</v>
          </cell>
        </row>
        <row r="52">
          <cell r="AC52">
            <v>169.19803320680924</v>
          </cell>
          <cell r="AD52">
            <v>172.22417053634766</v>
          </cell>
          <cell r="AE52">
            <v>177.56088654566386</v>
          </cell>
          <cell r="AF52">
            <v>188.10820093495317</v>
          </cell>
          <cell r="AG52">
            <v>185.54513117545153</v>
          </cell>
          <cell r="AJ52">
            <v>992.24065969829542</v>
          </cell>
          <cell r="AK52">
            <v>1025.8583481874211</v>
          </cell>
          <cell r="AL52">
            <v>1075.4549238422976</v>
          </cell>
          <cell r="AM52">
            <v>1159.5858802421055</v>
          </cell>
          <cell r="AN52">
            <v>1165.5473510942813</v>
          </cell>
          <cell r="AQ52">
            <v>0.14567969384900933</v>
          </cell>
          <cell r="AR52">
            <v>0.85432030615099053</v>
          </cell>
        </row>
        <row r="53">
          <cell r="AC53">
            <v>174.33667915023125</v>
          </cell>
          <cell r="AD53">
            <v>177.06901461634322</v>
          </cell>
          <cell r="AE53">
            <v>182.64082508190776</v>
          </cell>
          <cell r="AF53">
            <v>193.0060326250503</v>
          </cell>
          <cell r="AG53">
            <v>190.03551856083965</v>
          </cell>
          <cell r="AJ53">
            <v>1017.5770540296896</v>
          </cell>
          <cell r="AK53">
            <v>1049.5305525789479</v>
          </cell>
          <cell r="AL53">
            <v>1100.5222531008328</v>
          </cell>
          <cell r="AM53">
            <v>1183.0264858820237</v>
          </cell>
          <cell r="AN53">
            <v>1186.3704370911432</v>
          </cell>
          <cell r="AQ53">
            <v>0.14626618881646439</v>
          </cell>
          <cell r="AR53">
            <v>0.85373381118353564</v>
          </cell>
        </row>
        <row r="54">
          <cell r="AC54">
            <v>179.69630794430583</v>
          </cell>
          <cell r="AD54">
            <v>181.41156783503104</v>
          </cell>
          <cell r="AE54">
            <v>186.72994385322102</v>
          </cell>
          <cell r="AF54">
            <v>197.10494757536463</v>
          </cell>
          <cell r="AG54">
            <v>194.1958266423396</v>
          </cell>
          <cell r="AJ54">
            <v>1043.5645081654545</v>
          </cell>
          <cell r="AK54">
            <v>1069.2046074310717</v>
          </cell>
          <cell r="AL54">
            <v>1118.56215626985</v>
          </cell>
          <cell r="AM54">
            <v>1200.5603392375083</v>
          </cell>
          <cell r="AN54">
            <v>1204.4358337527651</v>
          </cell>
          <cell r="AQ54">
            <v>0.14689942290130717</v>
          </cell>
          <cell r="AR54">
            <v>0.85310057709869291</v>
          </cell>
        </row>
        <row r="55">
          <cell r="AC55">
            <v>184.95788789069505</v>
          </cell>
          <cell r="AD55">
            <v>186.08426475354841</v>
          </cell>
          <cell r="AE55">
            <v>190.70897700472617</v>
          </cell>
          <cell r="AF55">
            <v>201.56150679585846</v>
          </cell>
          <cell r="AG55">
            <v>198.48124604984079</v>
          </cell>
          <cell r="AJ55">
            <v>1068.2615380178947</v>
          </cell>
          <cell r="AK55">
            <v>1090.540769001643</v>
          </cell>
          <cell r="AL55">
            <v>1135.6715761481107</v>
          </cell>
          <cell r="AM55">
            <v>1220.2218706571259</v>
          </cell>
          <cell r="AN55">
            <v>1223.2233449338412</v>
          </cell>
          <cell r="AQ55">
            <v>0.14758619605389514</v>
          </cell>
          <cell r="AR55">
            <v>0.85241380394610489</v>
          </cell>
        </row>
        <row r="56">
          <cell r="AC56">
            <v>190.36682397846391</v>
          </cell>
          <cell r="AD56">
            <v>191.16280675889078</v>
          </cell>
          <cell r="AE56">
            <v>194.80554864026297</v>
          </cell>
          <cell r="AF56">
            <v>206.33333507357594</v>
          </cell>
          <cell r="AG56">
            <v>202.87001831538242</v>
          </cell>
          <cell r="AJ56">
            <v>1093.6845659288642</v>
          </cell>
          <cell r="AK56">
            <v>1114.155181659336</v>
          </cell>
          <cell r="AL56">
            <v>1153.4386622318514</v>
          </cell>
          <cell r="AM56">
            <v>1241.7196176039879</v>
          </cell>
          <cell r="AN56">
            <v>1242.5880726621508</v>
          </cell>
          <cell r="AQ56">
            <v>0.1482548326918621</v>
          </cell>
          <cell r="AR56">
            <v>0.85174516730813798</v>
          </cell>
        </row>
        <row r="57">
          <cell r="AC57">
            <v>195.87694565211703</v>
          </cell>
          <cell r="AD57">
            <v>196.3677892799727</v>
          </cell>
          <cell r="AE57">
            <v>198.98227053668649</v>
          </cell>
          <cell r="AF57">
            <v>211.13960081003694</v>
          </cell>
          <cell r="AG57">
            <v>207.51586918989238</v>
          </cell>
          <cell r="AJ57">
            <v>1119.5629328996934</v>
          </cell>
          <cell r="AK57">
            <v>1138.3947968141047</v>
          </cell>
          <cell r="AL57">
            <v>1171.6336783448858</v>
          </cell>
          <cell r="AM57">
            <v>1263.4374195723526</v>
          </cell>
          <cell r="AN57">
            <v>1263.6376637826563</v>
          </cell>
          <cell r="AQ57">
            <v>0.14890604188445405</v>
          </cell>
          <cell r="AR57">
            <v>0.851093958115546</v>
          </cell>
        </row>
        <row r="58">
          <cell r="AC58">
            <v>201.47731382294077</v>
          </cell>
          <cell r="AD58">
            <v>201.73586018335709</v>
          </cell>
          <cell r="AE58">
            <v>204.00436235161109</v>
          </cell>
          <cell r="AF58">
            <v>215.5951821524614</v>
          </cell>
          <cell r="AG58">
            <v>212.25287879151131</v>
          </cell>
          <cell r="AJ58">
            <v>1145.978431130651</v>
          </cell>
          <cell r="AK58">
            <v>1163.7332577145796</v>
          </cell>
          <cell r="AL58">
            <v>1195.0286988668763</v>
          </cell>
          <cell r="AM58">
            <v>1283.3035976352153</v>
          </cell>
          <cell r="AN58">
            <v>1285.3921540879596</v>
          </cell>
          <cell r="AQ58">
            <v>0.14952425308029685</v>
          </cell>
          <cell r="AR58">
            <v>0.85047574691970318</v>
          </cell>
        </row>
        <row r="59">
          <cell r="AC59">
            <v>207.06515114316673</v>
          </cell>
          <cell r="AD59">
            <v>207.12945861496831</v>
          </cell>
          <cell r="AE59">
            <v>209.21871772096102</v>
          </cell>
          <cell r="AF59">
            <v>220.11879587337265</v>
          </cell>
          <cell r="AG59">
            <v>217.05950959466074</v>
          </cell>
          <cell r="AJ59">
            <v>1172.3962682957263</v>
          </cell>
          <cell r="AK59">
            <v>1189.1860578802641</v>
          </cell>
          <cell r="AL59">
            <v>1219.5297229622852</v>
          </cell>
          <cell r="AM59">
            <v>1303.5200013022645</v>
          </cell>
          <cell r="AN59">
            <v>1307.4878993997943</v>
          </cell>
          <cell r="AQ59">
            <v>0.1501057936273362</v>
          </cell>
          <cell r="AR59">
            <v>0.84989420637266377</v>
          </cell>
        </row>
        <row r="60">
          <cell r="AC60">
            <v>212.418547491949</v>
          </cell>
          <cell r="AD60">
            <v>212.67232805381298</v>
          </cell>
          <cell r="AE60">
            <v>214.50806865068947</v>
          </cell>
          <cell r="AF60">
            <v>224.71409086245282</v>
          </cell>
          <cell r="AG60">
            <v>221.94092191211766</v>
          </cell>
          <cell r="AJ60">
            <v>1197.3817195684537</v>
          </cell>
          <cell r="AK60">
            <v>1215.3853628441641</v>
          </cell>
          <cell r="AL60">
            <v>1244.3651895249789</v>
          </cell>
          <cell r="AM60">
            <v>1324.1046680210607</v>
          </cell>
          <cell r="AN60">
            <v>1329.9530834246505</v>
          </cell>
          <cell r="AQ60">
            <v>0.15067279561158428</v>
          </cell>
          <cell r="AR60">
            <v>0.84932720438841569</v>
          </cell>
        </row>
        <row r="61">
          <cell r="AC61">
            <v>217.23065495014012</v>
          </cell>
          <cell r="AD61">
            <v>218.36580251018805</v>
          </cell>
          <cell r="AE61">
            <v>219.97873881693761</v>
          </cell>
          <cell r="AF61">
            <v>229.39500134230681</v>
          </cell>
          <cell r="AG61">
            <v>226.90647612178694</v>
          </cell>
          <cell r="AJ61">
            <v>1219.234938494382</v>
          </cell>
          <cell r="AK61">
            <v>1242.3323958539518</v>
          </cell>
          <cell r="AL61">
            <v>1270.1477289398274</v>
          </cell>
          <cell r="AM61">
            <v>1345.1357506487977</v>
          </cell>
          <cell r="AN61">
            <v>1352.8404807247309</v>
          </cell>
          <cell r="AQ61">
            <v>0.15122579750012632</v>
          </cell>
          <cell r="AR61">
            <v>0.84877420249987356</v>
          </cell>
        </row>
        <row r="62">
          <cell r="AC62">
            <v>222.15850134960067</v>
          </cell>
          <cell r="AD62">
            <v>223.76609937789661</v>
          </cell>
          <cell r="AE62">
            <v>225.51670652738935</v>
          </cell>
          <cell r="AF62">
            <v>234.51109093406188</v>
          </cell>
          <cell r="AG62">
            <v>231.95901399918606</v>
          </cell>
          <cell r="AJ62">
            <v>1241.6707437110972</v>
          </cell>
          <cell r="AK62">
            <v>1267.5073158382613</v>
          </cell>
          <cell r="AL62">
            <v>1296.2124149687404</v>
          </cell>
          <cell r="AM62">
            <v>1368.648876758946</v>
          </cell>
          <cell r="AN62">
            <v>1376.1632847163305</v>
          </cell>
          <cell r="AQ62">
            <v>0.15176531149327382</v>
          </cell>
          <cell r="AR62">
            <v>0.84823468850672623</v>
          </cell>
        </row>
        <row r="63">
          <cell r="AC63">
            <v>227.17549404592017</v>
          </cell>
          <cell r="AD63">
            <v>228.64518874313168</v>
          </cell>
          <cell r="AE63">
            <v>231.24377773463291</v>
          </cell>
          <cell r="AF63">
            <v>240.64918173243686</v>
          </cell>
          <cell r="AG63">
            <v>237.57520515699548</v>
          </cell>
          <cell r="AJ63">
            <v>1264.5361844138251</v>
          </cell>
          <cell r="AK63">
            <v>1289.6502443891245</v>
          </cell>
          <cell r="AL63">
            <v>1323.2559841280158</v>
          </cell>
          <cell r="AM63">
            <v>1398.0100941447918</v>
          </cell>
          <cell r="AN63">
            <v>1402.7111675736287</v>
          </cell>
          <cell r="AQ63">
            <v>0.15229182510690562</v>
          </cell>
          <cell r="AR63">
            <v>0.84770817489309436</v>
          </cell>
        </row>
        <row r="64">
          <cell r="AC64">
            <v>233.03551561007515</v>
          </cell>
          <cell r="AD64">
            <v>235.17219219408801</v>
          </cell>
          <cell r="AE64">
            <v>238.68728521381766</v>
          </cell>
          <cell r="AF64">
            <v>248.23634870078894</v>
          </cell>
          <cell r="AG64">
            <v>244.28727280371461</v>
          </cell>
          <cell r="AJ64">
            <v>1292.0123431688153</v>
          </cell>
          <cell r="AK64">
            <v>1320.9824904463621</v>
          </cell>
          <cell r="AL64">
            <v>1359.9513792285425</v>
          </cell>
          <cell r="AM64">
            <v>1435.5982638823739</v>
          </cell>
          <cell r="AN64">
            <v>1435.5626512345962</v>
          </cell>
          <cell r="AQ64">
            <v>0.15280537870901131</v>
          </cell>
          <cell r="AR64">
            <v>0.84719462129098866</v>
          </cell>
        </row>
        <row r="65">
          <cell r="AC65">
            <v>239.40174002969763</v>
          </cell>
          <cell r="AD65">
            <v>241.88269786575961</v>
          </cell>
          <cell r="AE65">
            <v>245.94610334004673</v>
          </cell>
          <cell r="AF65">
            <v>256.03977171202439</v>
          </cell>
          <cell r="AG65">
            <v>251.14534888151158</v>
          </cell>
          <cell r="AJ65">
            <v>1322.1855054341333</v>
          </cell>
          <cell r="AK65">
            <v>1353.2059184805814</v>
          </cell>
          <cell r="AL65">
            <v>1395.411411444029</v>
          </cell>
          <cell r="AM65">
            <v>1474.2355566663448</v>
          </cell>
          <cell r="AN65">
            <v>1469.1046498168648</v>
          </cell>
          <cell r="AQ65">
            <v>0.15330666968824352</v>
          </cell>
          <cell r="AR65">
            <v>0.84669333031175642</v>
          </cell>
        </row>
        <row r="66">
          <cell r="AC66">
            <v>245.10595452005552</v>
          </cell>
          <cell r="AD66">
            <v>248.67677852930331</v>
          </cell>
          <cell r="AE66">
            <v>252.83897056921944</v>
          </cell>
          <cell r="AF66">
            <v>264.0440378376839</v>
          </cell>
          <cell r="AG66">
            <v>257.69170588207919</v>
          </cell>
          <cell r="AJ66">
            <v>1348.5991549959299</v>
          </cell>
          <cell r="AK66">
            <v>1385.7576562887666</v>
          </cell>
          <cell r="AL66">
            <v>1428.634990193309</v>
          </cell>
          <cell r="AM66">
            <v>1513.8263349099871</v>
          </cell>
          <cell r="AN66">
            <v>1500.667397627092</v>
          </cell>
          <cell r="AQ66">
            <v>0.15379630337917105</v>
          </cell>
          <cell r="AR66">
            <v>0.84620369662082895</v>
          </cell>
        </row>
        <row r="67">
          <cell r="AC67">
            <v>250.29098584187219</v>
          </cell>
          <cell r="AD67">
            <v>255.67040679189097</v>
          </cell>
          <cell r="AE67">
            <v>259.91018529720702</v>
          </cell>
          <cell r="AF67">
            <v>272.2755525213808</v>
          </cell>
          <cell r="AG67">
            <v>264.04247368761185</v>
          </cell>
          <cell r="AJ67">
            <v>1372.0814152963087</v>
          </cell>
          <cell r="AK67">
            <v>1419.2821519518945</v>
          </cell>
          <cell r="AL67">
            <v>1462.7174821372585</v>
          </cell>
          <cell r="AM67">
            <v>1554.5156128552082</v>
          </cell>
          <cell r="AN67">
            <v>1530.9551091659562</v>
          </cell>
          <cell r="AQ67">
            <v>0.15427468173538927</v>
          </cell>
          <cell r="AR67">
            <v>0.84572531826461061</v>
          </cell>
        </row>
        <row r="68">
          <cell r="AC68">
            <v>255.51931846859776</v>
          </cell>
          <cell r="AD68">
            <v>262.02628647251873</v>
          </cell>
          <cell r="AE68">
            <v>267.10906199972538</v>
          </cell>
          <cell r="AF68">
            <v>280.67761189673149</v>
          </cell>
          <cell r="AG68">
            <v>270.50665515400874</v>
          </cell>
          <cell r="AJ68">
            <v>1395.7389520983602</v>
          </cell>
          <cell r="AK68">
            <v>1449.1421410788444</v>
          </cell>
          <cell r="AL68">
            <v>1497.3692449010098</v>
          </cell>
          <cell r="AM68">
            <v>1595.9737122629076</v>
          </cell>
          <cell r="AN68">
            <v>1561.7723381310036</v>
          </cell>
          <cell r="AQ68">
            <v>0.15474218844085816</v>
          </cell>
          <cell r="AR68">
            <v>0.84525781155914181</v>
          </cell>
        </row>
        <row r="69">
          <cell r="AC69">
            <v>260.79470751102252</v>
          </cell>
          <cell r="AD69">
            <v>267.6635041927338</v>
          </cell>
          <cell r="AE69">
            <v>274.28925785396251</v>
          </cell>
          <cell r="AF69">
            <v>288.76425345739466</v>
          </cell>
          <cell r="AG69">
            <v>276.8788328202649</v>
          </cell>
          <cell r="AJ69">
            <v>1419.5923332858943</v>
          </cell>
          <cell r="AK69">
            <v>1474.8616976399931</v>
          </cell>
          <cell r="AL69">
            <v>1531.7113149972702</v>
          </cell>
          <cell r="AM69">
            <v>1635.242276619487</v>
          </cell>
          <cell r="AN69">
            <v>1591.698650059483</v>
          </cell>
          <cell r="AQ69">
            <v>0.15519918993623141</v>
          </cell>
          <cell r="AR69">
            <v>0.84480081006376861</v>
          </cell>
        </row>
        <row r="70">
          <cell r="AC70">
            <v>265.25090664411545</v>
          </cell>
          <cell r="AD70">
            <v>272.79921241678437</v>
          </cell>
          <cell r="AE70">
            <v>280.89590918710803</v>
          </cell>
          <cell r="AF70">
            <v>295.82345625182438</v>
          </cell>
          <cell r="AG70">
            <v>283.46049939907942</v>
          </cell>
          <cell r="AJ70">
            <v>1438.6297352531153</v>
          </cell>
          <cell r="AK70">
            <v>1497.4884102159206</v>
          </cell>
          <cell r="AL70">
            <v>1562.450630755887</v>
          </cell>
          <cell r="AM70">
            <v>1668.398393507121</v>
          </cell>
          <cell r="AN70">
            <v>1626.5980283980077</v>
          </cell>
          <cell r="AQ70">
            <v>0.15567458196412445</v>
          </cell>
          <cell r="AR70">
            <v>0.84432541803587546</v>
          </cell>
        </row>
        <row r="71">
          <cell r="AC71">
            <v>281.36039111597393</v>
          </cell>
          <cell r="AD71">
            <v>289.83876899398564</v>
          </cell>
          <cell r="AE71">
            <v>298.70682742721146</v>
          </cell>
          <cell r="AF71">
            <v>315.80776266811847</v>
          </cell>
          <cell r="AG71">
            <v>304.32676763760719</v>
          </cell>
          <cell r="AJ71">
            <v>1520.5939437107706</v>
          </cell>
          <cell r="AK71">
            <v>1585.1667917005539</v>
          </cell>
          <cell r="AL71">
            <v>1655.160171009818</v>
          </cell>
          <cell r="AM71">
            <v>1775.7609469463112</v>
          </cell>
          <cell r="AN71">
            <v>1744.2106844414277</v>
          </cell>
          <cell r="AQ71">
            <v>0.15614179875597478</v>
          </cell>
          <cell r="AR71">
            <v>0.84385820124402522</v>
          </cell>
        </row>
        <row r="72">
          <cell r="AC72">
            <v>285.91145331748351</v>
          </cell>
          <cell r="AD72">
            <v>295.17771115730665</v>
          </cell>
          <cell r="AE72">
            <v>304.12174429157187</v>
          </cell>
          <cell r="AF72">
            <v>323.35420436841792</v>
          </cell>
          <cell r="AG72">
            <v>312.03293715261475</v>
          </cell>
          <cell r="AJ72">
            <v>1539.845859950078</v>
          </cell>
          <cell r="AK72">
            <v>1608.5651088688282</v>
          </cell>
          <cell r="AL72">
            <v>1678.8661504310921</v>
          </cell>
          <cell r="AM72">
            <v>1816.5169417159946</v>
          </cell>
          <cell r="AN72">
            <v>1786.2582723620749</v>
          </cell>
          <cell r="AQ72">
            <v>0.15659882682095749</v>
          </cell>
          <cell r="AR72">
            <v>0.8434011731790424</v>
          </cell>
        </row>
        <row r="73">
          <cell r="AC73">
            <v>290.47783473056836</v>
          </cell>
          <cell r="AD73">
            <v>300.5014057674191</v>
          </cell>
          <cell r="AE73">
            <v>309.56618202948738</v>
          </cell>
          <cell r="AF73">
            <v>330.75835448733113</v>
          </cell>
          <cell r="AG73">
            <v>319.61343881468861</v>
          </cell>
          <cell r="AJ73">
            <v>1559.1575740815756</v>
          </cell>
          <cell r="AK73">
            <v>1631.8021053808927</v>
          </cell>
          <cell r="AL73">
            <v>1707.5156519158986</v>
          </cell>
          <cell r="AM73">
            <v>1856.2858115822987</v>
          </cell>
          <cell r="AN73">
            <v>1827.3335693885981</v>
          </cell>
          <cell r="AQ73">
            <v>0.15704599584688769</v>
          </cell>
          <cell r="AR73">
            <v>0.84295400415311239</v>
          </cell>
        </row>
        <row r="74">
          <cell r="AC74">
            <v>294.92784702646219</v>
          </cell>
          <cell r="AD74">
            <v>305.20445665628961</v>
          </cell>
          <cell r="AE74">
            <v>314.62958087516444</v>
          </cell>
          <cell r="AF74">
            <v>338.00039993292825</v>
          </cell>
          <cell r="AG74">
            <v>327.2258614148738</v>
          </cell>
          <cell r="AJ74">
            <v>1577.5402806464315</v>
          </cell>
          <cell r="AK74">
            <v>1654.6714436759235</v>
          </cell>
          <cell r="AL74">
            <v>1733.981728815849</v>
          </cell>
          <cell r="AM74">
            <v>1894.8482826448121</v>
          </cell>
          <cell r="AN74">
            <v>1868.3194548323024</v>
          </cell>
          <cell r="AQ74">
            <v>0.15750753920335028</v>
          </cell>
          <cell r="AR74">
            <v>0.84249246079664974</v>
          </cell>
        </row>
        <row r="75">
          <cell r="AC75">
            <v>299.35499120684892</v>
          </cell>
          <cell r="AD75">
            <v>309.92427224460795</v>
          </cell>
          <cell r="AE75">
            <v>319.71151786799845</v>
          </cell>
          <cell r="AF75">
            <v>345.07556962539422</v>
          </cell>
          <cell r="AG75">
            <v>334.96477368551461</v>
          </cell>
          <cell r="AJ75">
            <v>1598.2358765179065</v>
          </cell>
          <cell r="AK75">
            <v>1679.280666166532</v>
          </cell>
          <cell r="AL75">
            <v>1760.5359746342072</v>
          </cell>
          <cell r="AM75">
            <v>1932.4441490223664</v>
          </cell>
          <cell r="AN75">
            <v>1909.9782818339581</v>
          </cell>
          <cell r="AQ75">
            <v>0.15775528661021687</v>
          </cell>
          <cell r="AR75">
            <v>0.84224471338978313</v>
          </cell>
        </row>
        <row r="76">
          <cell r="AC76">
            <v>303.79795702850953</v>
          </cell>
          <cell r="AD76">
            <v>314.6566058479313</v>
          </cell>
          <cell r="AE76">
            <v>324.81918467676593</v>
          </cell>
          <cell r="AF76">
            <v>351.14060749914165</v>
          </cell>
          <cell r="AG76">
            <v>343.14527894386759</v>
          </cell>
          <cell r="AJ76">
            <v>1621.4045819365954</v>
          </cell>
          <cell r="AK76">
            <v>1703.9542489758032</v>
          </cell>
          <cell r="AL76">
            <v>1787.2247673987363</v>
          </cell>
          <cell r="AM76">
            <v>1964.4428226743394</v>
          </cell>
          <cell r="AN76">
            <v>1954.2663098637479</v>
          </cell>
          <cell r="AQ76">
            <v>0.15780051754545082</v>
          </cell>
          <cell r="AR76">
            <v>0.84219948245454923</v>
          </cell>
        </row>
        <row r="77">
          <cell r="AC77">
            <v>309.16854313899933</v>
          </cell>
          <cell r="AD77">
            <v>320.0731672027818</v>
          </cell>
          <cell r="AE77">
            <v>330.64492742691397</v>
          </cell>
          <cell r="AF77">
            <v>358.23138826431784</v>
          </cell>
          <cell r="AG77">
            <v>352.43532418559067</v>
          </cell>
          <cell r="AJ77">
            <v>1649.9044283665723</v>
          </cell>
          <cell r="AK77">
            <v>1732.9159371797732</v>
          </cell>
          <cell r="AL77">
            <v>1818.361547938785</v>
          </cell>
          <cell r="AM77">
            <v>2002.7797964185447</v>
          </cell>
          <cell r="AN77">
            <v>2005.3571923603135</v>
          </cell>
          <cell r="AQ77">
            <v>0.1578136943522831</v>
          </cell>
          <cell r="AR77">
            <v>0.84218630564771679</v>
          </cell>
        </row>
        <row r="78">
          <cell r="AC78">
            <v>315.1456286675438</v>
          </cell>
          <cell r="AD78">
            <v>325.59153563510409</v>
          </cell>
          <cell r="AE78">
            <v>336.72404113991291</v>
          </cell>
          <cell r="AF78">
            <v>365.38465406504855</v>
          </cell>
          <cell r="AG78">
            <v>361.21604407871365</v>
          </cell>
          <cell r="AJ78">
            <v>1681.8715997733568</v>
          </cell>
          <cell r="AK78">
            <v>1762.4942149181627</v>
          </cell>
          <cell r="AL78">
            <v>1851.0359072211775</v>
          </cell>
          <cell r="AM78">
            <v>2041.4473026844998</v>
          </cell>
          <cell r="AN78">
            <v>2053.5036647650682</v>
          </cell>
          <cell r="AQ78">
            <v>0.15780816719021618</v>
          </cell>
          <cell r="AR78">
            <v>0.84219183280978382</v>
          </cell>
        </row>
        <row r="79">
          <cell r="AC79">
            <v>321.16425775412171</v>
          </cell>
          <cell r="AD79">
            <v>331.27256238713687</v>
          </cell>
          <cell r="AE79">
            <v>342.96353202782751</v>
          </cell>
          <cell r="AF79">
            <v>372.8735159432776</v>
          </cell>
          <cell r="AG79">
            <v>370.32441018668055</v>
          </cell>
          <cell r="AJ79">
            <v>1714.0615099199204</v>
          </cell>
          <cell r="AK79">
            <v>1792.9715768597737</v>
          </cell>
          <cell r="AL79">
            <v>1884.5981171814262</v>
          </cell>
          <cell r="AM79">
            <v>2082.0183764515873</v>
          </cell>
          <cell r="AN79">
            <v>2103.537088750456</v>
          </cell>
          <cell r="AQ79">
            <v>0.15780276707147056</v>
          </cell>
          <cell r="AR79">
            <v>0.84219723292852944</v>
          </cell>
        </row>
        <row r="80">
          <cell r="AC80">
            <v>326.29313412555655</v>
          </cell>
          <cell r="AD80">
            <v>337.33177772848842</v>
          </cell>
          <cell r="AE80">
            <v>349.89370638769918</v>
          </cell>
          <cell r="AF80">
            <v>380.69981930718859</v>
          </cell>
          <cell r="AG80">
            <v>380.06922197798843</v>
          </cell>
          <cell r="AJ80">
            <v>1741.5892542490744</v>
          </cell>
          <cell r="AK80">
            <v>1825.5539668955025</v>
          </cell>
          <cell r="AL80">
            <v>1922.0243896034292</v>
          </cell>
          <cell r="AM80">
            <v>2124.5003906140591</v>
          </cell>
          <cell r="AN80">
            <v>2157.1812255302398</v>
          </cell>
          <cell r="AQ80">
            <v>0.15779095366348425</v>
          </cell>
          <cell r="AR80">
            <v>0.84220904633651583</v>
          </cell>
        </row>
        <row r="81">
          <cell r="AC81">
            <v>331.44212053418033</v>
          </cell>
          <cell r="AD81">
            <v>343.44728604785519</v>
          </cell>
          <cell r="AE81">
            <v>356.87872932815645</v>
          </cell>
          <cell r="AF81">
            <v>388.60539689692365</v>
          </cell>
          <cell r="AG81">
            <v>389.86527656044012</v>
          </cell>
          <cell r="AJ81">
            <v>1769.2254166346538</v>
          </cell>
          <cell r="AK81">
            <v>1858.4385543385292</v>
          </cell>
          <cell r="AL81">
            <v>1959.7420288724684</v>
          </cell>
          <cell r="AM81">
            <v>2167.404483880588</v>
          </cell>
          <cell r="AN81">
            <v>2211.0706482074324</v>
          </cell>
          <cell r="AQ81">
            <v>0.15777942709624582</v>
          </cell>
          <cell r="AR81">
            <v>0.84222057290375407</v>
          </cell>
        </row>
        <row r="82">
          <cell r="AC82">
            <v>336.78080732241148</v>
          </cell>
          <cell r="AD82">
            <v>350.09683617213176</v>
          </cell>
          <cell r="AE82">
            <v>364.23692992488122</v>
          </cell>
          <cell r="AF82">
            <v>397.65485480398547</v>
          </cell>
          <cell r="AG82">
            <v>400.80583843325326</v>
          </cell>
          <cell r="AJ82">
            <v>1797.9866498549741</v>
          </cell>
          <cell r="AK82">
            <v>1894.5783036267894</v>
          </cell>
          <cell r="AL82">
            <v>1999.8006129354355</v>
          </cell>
          <cell r="AM82">
            <v>2217.4090619478748</v>
          </cell>
          <cell r="AN82">
            <v>2272.2697146525993</v>
          </cell>
          <cell r="AQ82">
            <v>0.15775995000771981</v>
          </cell>
          <cell r="AR82">
            <v>0.84224004999228019</v>
          </cell>
        </row>
        <row r="83">
          <cell r="AC83">
            <v>343.24499247185082</v>
          </cell>
          <cell r="AD83">
            <v>357.59223445065174</v>
          </cell>
          <cell r="AE83">
            <v>372.35513651288426</v>
          </cell>
          <cell r="AF83">
            <v>407.3573033074054</v>
          </cell>
          <cell r="AG83">
            <v>412.33337797385866</v>
          </cell>
          <cell r="AJ83">
            <v>1833.5471729015987</v>
          </cell>
          <cell r="AK83">
            <v>1935.8787958155026</v>
          </cell>
          <cell r="AL83">
            <v>2044.7306285211462</v>
          </cell>
          <cell r="AM83">
            <v>2271.4198672416605</v>
          </cell>
          <cell r="AN83">
            <v>2337.0389049211381</v>
          </cell>
          <cell r="AQ83">
            <v>0.15768386065142045</v>
          </cell>
          <cell r="AR83">
            <v>0.84231613934857952</v>
          </cell>
        </row>
        <row r="84">
          <cell r="AC84">
            <v>349.77295162903647</v>
          </cell>
          <cell r="AD84">
            <v>365.16361843265508</v>
          </cell>
          <cell r="AE84">
            <v>380.58236053127297</v>
          </cell>
          <cell r="AF84">
            <v>417.09859502096185</v>
          </cell>
          <cell r="AG84">
            <v>422.89911838608487</v>
          </cell>
          <cell r="AJ84">
            <v>1869.4641960496244</v>
          </cell>
          <cell r="AK84">
            <v>1977.6049119925797</v>
          </cell>
          <cell r="AL84">
            <v>2090.266833798084</v>
          </cell>
          <cell r="AM84">
            <v>2325.6449722109755</v>
          </cell>
          <cell r="AN84">
            <v>2396.3388865696456</v>
          </cell>
          <cell r="AQ84">
            <v>0.15760954253803008</v>
          </cell>
          <cell r="AR84">
            <v>0.84239045746196983</v>
          </cell>
        </row>
        <row r="85">
          <cell r="AC85">
            <v>356.74679952106027</v>
          </cell>
          <cell r="AD85">
            <v>373.38968038685874</v>
          </cell>
          <cell r="AE85">
            <v>388.50263623896245</v>
          </cell>
          <cell r="AF85">
            <v>426.6495898865727</v>
          </cell>
          <cell r="AG85">
            <v>432.96238234451693</v>
          </cell>
          <cell r="AJ85">
            <v>1907.7812020055244</v>
          </cell>
          <cell r="AK85">
            <v>2022.891782297876</v>
          </cell>
          <cell r="AL85">
            <v>2134.1242981423811</v>
          </cell>
          <cell r="AM85">
            <v>2378.8068450327828</v>
          </cell>
          <cell r="AN85">
            <v>2452.7763093906865</v>
          </cell>
          <cell r="AQ85">
            <v>0.1575369345314197</v>
          </cell>
          <cell r="AR85">
            <v>0.84246306546858019</v>
          </cell>
        </row>
        <row r="86">
          <cell r="AC86">
            <v>363.93823758682458</v>
          </cell>
          <cell r="AD86">
            <v>381.69995103082738</v>
          </cell>
          <cell r="AE86">
            <v>396.44419542731515</v>
          </cell>
          <cell r="AF86">
            <v>436.14053371681831</v>
          </cell>
          <cell r="AG86">
            <v>442.50632637241767</v>
          </cell>
          <cell r="AJ86">
            <v>1947.2799796370359</v>
          </cell>
          <cell r="AK86">
            <v>2068.6510424057669</v>
          </cell>
          <cell r="AL86">
            <v>2178.1052908060587</v>
          </cell>
          <cell r="AM86">
            <v>2431.6318440302844</v>
          </cell>
          <cell r="AN86">
            <v>2506.2582938537389</v>
          </cell>
          <cell r="AQ86">
            <v>0.15746597827701969</v>
          </cell>
          <cell r="AR86">
            <v>0.84253402172298031</v>
          </cell>
        </row>
        <row r="87">
          <cell r="AC87">
            <v>371.38750498127143</v>
          </cell>
          <cell r="AD87">
            <v>389.43095932185867</v>
          </cell>
          <cell r="AE87">
            <v>404.76849995297374</v>
          </cell>
          <cell r="AF87">
            <v>443.98692460917727</v>
          </cell>
          <cell r="AG87">
            <v>448.01723775227708</v>
          </cell>
          <cell r="AJ87">
            <v>1988.1772022739694</v>
          </cell>
          <cell r="AK87">
            <v>2111.2856663468024</v>
          </cell>
          <cell r="AL87">
            <v>2224.1958806928337</v>
          </cell>
          <cell r="AM87">
            <v>2475.2862643470576</v>
          </cell>
          <cell r="AN87">
            <v>2536.8909684943173</v>
          </cell>
          <cell r="AQ87">
            <v>0.15739661804540517</v>
          </cell>
          <cell r="AR87">
            <v>0.84260338195459472</v>
          </cell>
        </row>
        <row r="88">
          <cell r="AC88">
            <v>379.00468943664498</v>
          </cell>
          <cell r="AD88">
            <v>397.16916546127555</v>
          </cell>
          <cell r="AE88">
            <v>413.287882359734</v>
          </cell>
          <cell r="AF88">
            <v>451.03502283761168</v>
          </cell>
          <cell r="AG88">
            <v>453.26132243674368</v>
          </cell>
          <cell r="AJ88">
            <v>2029.9928242048727</v>
          </cell>
          <cell r="AK88">
            <v>2153.9724902457338</v>
          </cell>
          <cell r="AL88">
            <v>2271.3654592247003</v>
          </cell>
          <cell r="AM88">
            <v>2514.4890109507905</v>
          </cell>
          <cell r="AN88">
            <v>2566.0113694258189</v>
          </cell>
          <cell r="AQ88">
            <v>0.15732880058631915</v>
          </cell>
          <cell r="AR88">
            <v>0.84267119941368085</v>
          </cell>
        </row>
        <row r="89">
          <cell r="AC89">
            <v>386.93356974706575</v>
          </cell>
          <cell r="AD89">
            <v>405.04068198884966</v>
          </cell>
          <cell r="AE89">
            <v>422.51263595134139</v>
          </cell>
          <cell r="AF89">
            <v>455.68772430336281</v>
          </cell>
          <cell r="AG89">
            <v>457.9443003092577</v>
          </cell>
          <cell r="AJ89">
            <v>2073.498073376571</v>
          </cell>
          <cell r="AK89">
            <v>2197.395311264564</v>
          </cell>
          <cell r="AL89">
            <v>2322.4192233007984</v>
          </cell>
          <cell r="AM89">
            <v>2540.3371700320872</v>
          </cell>
          <cell r="AN89">
            <v>2591.9549242823723</v>
          </cell>
          <cell r="AQ89">
            <v>0.15726247499232895</v>
          </cell>
          <cell r="AR89">
            <v>0.84273752500767107</v>
          </cell>
        </row>
        <row r="90">
          <cell r="AC90">
            <v>394.97779019911729</v>
          </cell>
          <cell r="AD90">
            <v>412.98836680378326</v>
          </cell>
          <cell r="AE90">
            <v>431.86427772802915</v>
          </cell>
          <cell r="AF90">
            <v>460.35260643547713</v>
          </cell>
          <cell r="AG90">
            <v>462.65363919664213</v>
          </cell>
          <cell r="AJ90">
            <v>2117.6420517349043</v>
          </cell>
          <cell r="AK90">
            <v>2241.2443327522724</v>
          </cell>
          <cell r="AL90">
            <v>2374.1784825972768</v>
          </cell>
          <cell r="AM90">
            <v>2566.2532971584269</v>
          </cell>
          <cell r="AN90">
            <v>2618.048049877149</v>
          </cell>
          <cell r="AQ90">
            <v>0.15719759257138308</v>
          </cell>
          <cell r="AR90">
            <v>0.8428024074286169</v>
          </cell>
        </row>
        <row r="91">
          <cell r="AC91">
            <v>402.70626875051721</v>
          </cell>
          <cell r="AD91">
            <v>421.26155055762507</v>
          </cell>
          <cell r="AE91">
            <v>441.01400397511759</v>
          </cell>
          <cell r="AF91">
            <v>465.04466297145223</v>
          </cell>
          <cell r="AG91">
            <v>467.35171038298915</v>
          </cell>
          <cell r="AJ91">
            <v>2160.1126961266345</v>
          </cell>
          <cell r="AK91">
            <v>2286.8730758258503</v>
          </cell>
          <cell r="AL91">
            <v>2424.8354306629235</v>
          </cell>
          <cell r="AM91">
            <v>2592.3209636353567</v>
          </cell>
          <cell r="AN91">
            <v>2644.0777524495702</v>
          </cell>
          <cell r="AQ91">
            <v>0.15713410672759745</v>
          </cell>
          <cell r="AR91">
            <v>0.84286589327240258</v>
          </cell>
        </row>
        <row r="92">
          <cell r="AC92">
            <v>424.22863943417627</v>
          </cell>
          <cell r="AD92">
            <v>443.95512710239245</v>
          </cell>
          <cell r="AE92">
            <v>464.70738117600814</v>
          </cell>
          <cell r="AF92">
            <v>484.94127348659799</v>
          </cell>
          <cell r="AG92">
            <v>488.0241736726706</v>
          </cell>
          <cell r="AJ92">
            <v>2276.6264637243548</v>
          </cell>
          <cell r="AK92">
            <v>2410.822730575936</v>
          </cell>
          <cell r="AL92">
            <v>2555.4768321976503</v>
          </cell>
          <cell r="AM92">
            <v>2703.1413283624629</v>
          </cell>
          <cell r="AN92">
            <v>2764.9147929126293</v>
          </cell>
          <cell r="AQ92">
            <v>0.15707197284965771</v>
          </cell>
          <cell r="AR92">
            <v>0.84292802715034232</v>
          </cell>
        </row>
        <row r="93">
          <cell r="AC93">
            <v>431.84893272965206</v>
          </cell>
          <cell r="AD93">
            <v>452.61813649846562</v>
          </cell>
          <cell r="AE93">
            <v>473.99835823306893</v>
          </cell>
          <cell r="AF93">
            <v>489.74210825704745</v>
          </cell>
          <cell r="AG93">
            <v>492.84151844630935</v>
          </cell>
          <cell r="AJ93">
            <v>2318.5859100389821</v>
          </cell>
          <cell r="AK93">
            <v>2458.6194571561045</v>
          </cell>
          <cell r="AL93">
            <v>2606.9363385527031</v>
          </cell>
          <cell r="AM93">
            <v>2729.8126437498286</v>
          </cell>
          <cell r="AN93">
            <v>2808.0368247029328</v>
          </cell>
          <cell r="AQ93">
            <v>0.15701114820627624</v>
          </cell>
          <cell r="AR93">
            <v>0.84298885179372385</v>
          </cell>
        </row>
        <row r="94">
          <cell r="AC94">
            <v>439.55926813823658</v>
          </cell>
          <cell r="AD94">
            <v>461.38546477303703</v>
          </cell>
          <cell r="AE94">
            <v>483.37097262263615</v>
          </cell>
          <cell r="AF94">
            <v>494.55267210869602</v>
          </cell>
          <cell r="AG94">
            <v>497.69900000000007</v>
          </cell>
          <cell r="AJ94">
            <v>2361.0448096044106</v>
          </cell>
          <cell r="AK94">
            <v>2506.9964256918315</v>
          </cell>
          <cell r="AL94">
            <v>2658.8517762733609</v>
          </cell>
          <cell r="AM94">
            <v>2770.6209387912545</v>
          </cell>
          <cell r="AN94">
            <v>2851.3769691869588</v>
          </cell>
          <cell r="AQ94">
            <v>0.1569515918481886</v>
          </cell>
          <cell r="AR94">
            <v>0.84304840815181148</v>
          </cell>
        </row>
        <row r="95">
          <cell r="AC95">
            <v>447.765225588715</v>
          </cell>
          <cell r="AD95">
            <v>470.6073112089295</v>
          </cell>
          <cell r="AE95">
            <v>491.35677152829203</v>
          </cell>
          <cell r="AF95">
            <v>499.32473456847936</v>
          </cell>
          <cell r="AG95">
            <v>502.70100000000008</v>
          </cell>
          <cell r="AJ95">
            <v>2406.182819723525</v>
          </cell>
          <cell r="AK95">
            <v>2557.8571486273036</v>
          </cell>
          <cell r="AL95">
            <v>2712.1193872535009</v>
          </cell>
          <cell r="AM95">
            <v>2814.154833164197</v>
          </cell>
          <cell r="AN95">
            <v>2895.5405287119188</v>
          </cell>
          <cell r="AQ95">
            <v>0.15689326451621743</v>
          </cell>
          <cell r="AR95">
            <v>0.84310673548378257</v>
          </cell>
        </row>
        <row r="96">
          <cell r="AC96">
            <v>456.17324685754818</v>
          </cell>
          <cell r="AD96">
            <v>479.9909613421861</v>
          </cell>
          <cell r="AE96">
            <v>498.37136234118793</v>
          </cell>
          <cell r="AF96">
            <v>504.29260000000011</v>
          </cell>
          <cell r="AG96">
            <v>507.70300000000009</v>
          </cell>
          <cell r="AJ96">
            <v>2452.4247341086984</v>
          </cell>
          <cell r="AK96">
            <v>2615.2437445062387</v>
          </cell>
          <cell r="AL96">
            <v>2768.5026782824325</v>
          </cell>
          <cell r="AM96">
            <v>2858.7856340036819</v>
          </cell>
          <cell r="AN96">
            <v>2939.7040882368783</v>
          </cell>
          <cell r="AQ96">
            <v>0.15683612855496989</v>
          </cell>
          <cell r="AR96">
            <v>0.84316387144503002</v>
          </cell>
        </row>
        <row r="97">
          <cell r="AC97">
            <v>464.67048931501301</v>
          </cell>
          <cell r="AD97">
            <v>489.45431805310386</v>
          </cell>
          <cell r="AE97">
            <v>505.58133225891851</v>
          </cell>
          <cell r="AF97">
            <v>509.26100000000008</v>
          </cell>
          <cell r="AG97">
            <v>512.70500000000015</v>
          </cell>
          <cell r="AJ97">
            <v>2503.0067308860489</v>
          </cell>
          <cell r="AK97">
            <v>2684.8427686223881</v>
          </cell>
          <cell r="AL97">
            <v>2826.1258478502932</v>
          </cell>
          <cell r="AM97">
            <v>2903.4194476289663</v>
          </cell>
          <cell r="AN97">
            <v>2983.8676477618383</v>
          </cell>
          <cell r="AQ97">
            <v>0.15657716619313852</v>
          </cell>
          <cell r="AR97">
            <v>0.84342283380686145</v>
          </cell>
        </row>
        <row r="98">
          <cell r="AC98">
            <v>473.66453440976716</v>
          </cell>
          <cell r="AD98">
            <v>498.44615906007283</v>
          </cell>
          <cell r="AE98">
            <v>511.62119999999999</v>
          </cell>
          <cell r="AF98">
            <v>514.22940000000006</v>
          </cell>
          <cell r="AG98">
            <v>517.70700000000011</v>
          </cell>
          <cell r="AJ98">
            <v>2569.4488782665503</v>
          </cell>
          <cell r="AK98">
            <v>2752.1805149487404</v>
          </cell>
          <cell r="AL98">
            <v>2877.3252105821575</v>
          </cell>
          <cell r="AM98">
            <v>2948.0532612542511</v>
          </cell>
          <cell r="AN98">
            <v>3028.0312072867982</v>
          </cell>
          <cell r="AQ98">
            <v>0.15565129200794225</v>
          </cell>
          <cell r="AR98">
            <v>0.84434870799205786</v>
          </cell>
        </row>
        <row r="99">
          <cell r="AC99">
            <v>483.01477711224737</v>
          </cell>
          <cell r="AD99">
            <v>507.42983729982217</v>
          </cell>
          <cell r="AE99">
            <v>516.56439999999998</v>
          </cell>
          <cell r="AF99">
            <v>519.19780000000003</v>
          </cell>
          <cell r="AG99">
            <v>522.70900000000017</v>
          </cell>
          <cell r="AJ99">
            <v>2638.1689710648125</v>
          </cell>
          <cell r="AK99">
            <v>2819.7718532891313</v>
          </cell>
          <cell r="AL99">
            <v>2922.3943607214669</v>
          </cell>
          <cell r="AM99">
            <v>2992.6870748795354</v>
          </cell>
          <cell r="AN99">
            <v>3072.1947668117582</v>
          </cell>
          <cell r="AQ99">
            <v>0.15475371400173224</v>
          </cell>
          <cell r="AR99">
            <v>0.84524628599826779</v>
          </cell>
        </row>
        <row r="100">
          <cell r="AC100">
            <v>492.4819193810747</v>
          </cell>
          <cell r="AD100">
            <v>516.49328153615147</v>
          </cell>
          <cell r="AE100">
            <v>521.50759999999991</v>
          </cell>
          <cell r="AF100">
            <v>524.16620000000012</v>
          </cell>
          <cell r="AG100">
            <v>527.71100000000013</v>
          </cell>
          <cell r="AJ100">
            <v>2707.8808550416297</v>
          </cell>
          <cell r="AK100">
            <v>2888.0991062974504</v>
          </cell>
          <cell r="AL100">
            <v>2967.4635108607763</v>
          </cell>
          <cell r="AM100">
            <v>3037.3208885048198</v>
          </cell>
          <cell r="AN100">
            <v>3116.3583263367177</v>
          </cell>
          <cell r="AQ100">
            <v>0.15388315453391399</v>
          </cell>
          <cell r="AR100">
            <v>0.84611684546608612</v>
          </cell>
        </row>
        <row r="101">
          <cell r="AC101">
            <v>501.96395634757414</v>
          </cell>
          <cell r="AD101">
            <v>524.66160000000002</v>
          </cell>
          <cell r="AE101">
            <v>526.45079999999996</v>
          </cell>
          <cell r="AF101">
            <v>529.13460000000009</v>
          </cell>
          <cell r="AG101">
            <v>532.71300000000008</v>
          </cell>
          <cell r="AJ101">
            <v>2778.022751797519</v>
          </cell>
          <cell r="AK101">
            <v>2951.6776601658344</v>
          </cell>
          <cell r="AL101">
            <v>3012.5326610000866</v>
          </cell>
          <cell r="AM101">
            <v>3081.9547021301041</v>
          </cell>
          <cell r="AN101">
            <v>3160.5218858616777</v>
          </cell>
          <cell r="AQ101">
            <v>0.15303841174144459</v>
          </cell>
          <cell r="AR101">
            <v>0.8469615882585555</v>
          </cell>
        </row>
        <row r="102">
          <cell r="AC102">
            <v>511.21147238274449</v>
          </cell>
          <cell r="AD102">
            <v>529.58799999999997</v>
          </cell>
          <cell r="AE102">
            <v>531.39399999999989</v>
          </cell>
          <cell r="AF102">
            <v>534.10300000000007</v>
          </cell>
          <cell r="AG102">
            <v>537.71500000000003</v>
          </cell>
          <cell r="AJ102">
            <v>2847.1974115615576</v>
          </cell>
          <cell r="AK102">
            <v>2997.1282302775221</v>
          </cell>
          <cell r="AL102">
            <v>3057.601811139396</v>
          </cell>
          <cell r="AM102">
            <v>3126.5885157553885</v>
          </cell>
          <cell r="AN102">
            <v>3204.6854453866376</v>
          </cell>
          <cell r="AQ102">
            <v>0.15221835400290787</v>
          </cell>
          <cell r="AR102">
            <v>0.84778164599709216</v>
          </cell>
        </row>
        <row r="103">
          <cell r="AC103">
            <v>520.54334636116596</v>
          </cell>
          <cell r="AD103">
            <v>534.51439999999991</v>
          </cell>
          <cell r="AE103">
            <v>536.33720000000005</v>
          </cell>
          <cell r="AF103">
            <v>539.07140000000004</v>
          </cell>
          <cell r="AG103">
            <v>542.7170000000001</v>
          </cell>
          <cell r="AJ103">
            <v>2917.1581697671309</v>
          </cell>
          <cell r="AK103">
            <v>3042.5788003892098</v>
          </cell>
          <cell r="AL103">
            <v>3102.6709612787063</v>
          </cell>
          <cell r="AM103">
            <v>3171.2223293806733</v>
          </cell>
          <cell r="AN103">
            <v>3248.8490049115967</v>
          </cell>
          <cell r="AQ103">
            <v>0.15142191488091342</v>
          </cell>
          <cell r="AR103">
            <v>0.8485780851190865</v>
          </cell>
        </row>
        <row r="104">
          <cell r="AC104">
            <v>529.95957828283861</v>
          </cell>
          <cell r="AD104">
            <v>539.44079999999997</v>
          </cell>
          <cell r="AE104">
            <v>541.28039999999999</v>
          </cell>
          <cell r="AF104">
            <v>544.03980000000013</v>
          </cell>
          <cell r="AG104">
            <v>547.71900000000005</v>
          </cell>
          <cell r="AJ104">
            <v>2987.9050264142379</v>
          </cell>
          <cell r="AK104">
            <v>3088.0293705008976</v>
          </cell>
          <cell r="AL104">
            <v>3147.7401114180157</v>
          </cell>
          <cell r="AM104">
            <v>3215.8561430059576</v>
          </cell>
          <cell r="AN104">
            <v>3293.0125644365567</v>
          </cell>
          <cell r="AQ104">
            <v>0.15064808849528574</v>
          </cell>
          <cell r="AR104">
            <v>0.84935191150471423</v>
          </cell>
        </row>
        <row r="105">
          <cell r="AC105">
            <v>538.01434102292671</v>
          </cell>
          <cell r="AD105">
            <v>544.36719999999991</v>
          </cell>
          <cell r="AE105">
            <v>546.22360000000003</v>
          </cell>
          <cell r="AF105">
            <v>549.0082000000001</v>
          </cell>
          <cell r="AG105">
            <v>552.72100000000012</v>
          </cell>
          <cell r="AJ105">
            <v>3051.2382687500426</v>
          </cell>
          <cell r="AK105">
            <v>3133.4799406125853</v>
          </cell>
          <cell r="AL105">
            <v>3192.8092615573255</v>
          </cell>
          <cell r="AM105">
            <v>3260.489956631242</v>
          </cell>
          <cell r="AN105">
            <v>3337.1761239615166</v>
          </cell>
        </row>
        <row r="106">
          <cell r="AC106">
            <v>544.64823521718597</v>
          </cell>
          <cell r="AD106">
            <v>549.29359999999997</v>
          </cell>
          <cell r="AE106">
            <v>551.16679999999997</v>
          </cell>
          <cell r="AF106">
            <v>553.97660000000008</v>
          </cell>
          <cell r="AG106">
            <v>557.72300000000007</v>
          </cell>
          <cell r="AJ106">
            <v>3106.6771977198514</v>
          </cell>
          <cell r="AK106">
            <v>3178.9305107242722</v>
          </cell>
          <cell r="AL106">
            <v>3237.8784116966349</v>
          </cell>
          <cell r="AM106">
            <v>3305.1237702565268</v>
          </cell>
          <cell r="AN106">
            <v>3381.3396834864761</v>
          </cell>
        </row>
        <row r="107">
          <cell r="AC107">
            <v>551.31378835549367</v>
          </cell>
          <cell r="AD107">
            <v>554.22</v>
          </cell>
          <cell r="AE107">
            <v>556.11</v>
          </cell>
          <cell r="AF107">
            <v>558.94500000000005</v>
          </cell>
          <cell r="AG107">
            <v>562.72500000000002</v>
          </cell>
          <cell r="AJ107">
            <v>3162.4111439176527</v>
          </cell>
          <cell r="AK107">
            <v>3224.3810808359599</v>
          </cell>
          <cell r="AL107">
            <v>3282.9475618359447</v>
          </cell>
          <cell r="AM107">
            <v>3349.7575838818111</v>
          </cell>
          <cell r="AN107">
            <v>3425.5032430114361</v>
          </cell>
        </row>
        <row r="108">
          <cell r="AC108">
            <v>558.01100043784982</v>
          </cell>
          <cell r="AD108">
            <v>559.14639999999997</v>
          </cell>
          <cell r="AE108">
            <v>561.05320000000006</v>
          </cell>
          <cell r="AF108">
            <v>563.91340000000014</v>
          </cell>
          <cell r="AG108">
            <v>567.72700000000009</v>
          </cell>
          <cell r="AJ108">
            <v>3218.4401073434474</v>
          </cell>
          <cell r="AK108">
            <v>3269.8316509476476</v>
          </cell>
          <cell r="AL108">
            <v>3328.0167119752546</v>
          </cell>
          <cell r="AM108">
            <v>3394.3913975070955</v>
          </cell>
          <cell r="AN108">
            <v>3469.6668025363961</v>
          </cell>
        </row>
        <row r="109">
          <cell r="AC109">
            <v>563.11099999999999</v>
          </cell>
          <cell r="AD109">
            <v>564.07280000000003</v>
          </cell>
          <cell r="AE109">
            <v>565.99639999999999</v>
          </cell>
          <cell r="AF109">
            <v>568.88180000000011</v>
          </cell>
          <cell r="AG109">
            <v>572.72900000000004</v>
          </cell>
          <cell r="AJ109">
            <v>3265.3187308609067</v>
          </cell>
          <cell r="AK109">
            <v>3315.2822210593354</v>
          </cell>
          <cell r="AL109">
            <v>3373.085862114564</v>
          </cell>
          <cell r="AM109">
            <v>3439.0252111323794</v>
          </cell>
          <cell r="AN109">
            <v>3515.6951947870166</v>
          </cell>
        </row>
        <row r="110">
          <cell r="AC110">
            <v>568.029</v>
          </cell>
          <cell r="AD110">
            <v>568.99919999999997</v>
          </cell>
          <cell r="AE110">
            <v>570.93960000000004</v>
          </cell>
          <cell r="AF110">
            <v>573.85020000000009</v>
          </cell>
          <cell r="AG110">
            <v>577.73100000000011</v>
          </cell>
          <cell r="AJ110">
            <v>3311.1476354841448</v>
          </cell>
          <cell r="AK110">
            <v>3360.7327911710231</v>
          </cell>
          <cell r="AL110">
            <v>3418.1550122538738</v>
          </cell>
          <cell r="AM110">
            <v>3484.4325835729496</v>
          </cell>
          <cell r="AN110">
            <v>3566.4842774204199</v>
          </cell>
        </row>
        <row r="111">
          <cell r="AC111">
            <v>572.947</v>
          </cell>
          <cell r="AD111">
            <v>573.92559999999992</v>
          </cell>
          <cell r="AE111">
            <v>575.88279999999997</v>
          </cell>
          <cell r="AF111">
            <v>578.81860000000006</v>
          </cell>
          <cell r="AG111">
            <v>582.73300000000006</v>
          </cell>
          <cell r="AJ111">
            <v>3356.9765401073828</v>
          </cell>
          <cell r="AK111">
            <v>3406.1833612827108</v>
          </cell>
          <cell r="AL111">
            <v>3463.5872817357449</v>
          </cell>
          <cell r="AM111">
            <v>3535.0409139095254</v>
          </cell>
          <cell r="AN111">
            <v>3617.2733600538227</v>
          </cell>
        </row>
        <row r="112">
          <cell r="AC112">
            <v>577.86500000000001</v>
          </cell>
          <cell r="AD112">
            <v>578.85199999999998</v>
          </cell>
          <cell r="AE112">
            <v>580.82600000000002</v>
          </cell>
          <cell r="AF112">
            <v>583.78700000000015</v>
          </cell>
          <cell r="AG112">
            <v>587.73500000000013</v>
          </cell>
          <cell r="AJ112">
            <v>3402.8054447306204</v>
          </cell>
          <cell r="AK112">
            <v>3451.9967380401936</v>
          </cell>
          <cell r="AL112">
            <v>3514.1405436666105</v>
          </cell>
          <cell r="AM112">
            <v>3585.6492442461022</v>
          </cell>
          <cell r="AN112">
            <v>3668.062442687225</v>
          </cell>
        </row>
        <row r="113">
          <cell r="AC113">
            <v>582.78300000000002</v>
          </cell>
          <cell r="AD113">
            <v>583.77839999999992</v>
          </cell>
          <cell r="AE113">
            <v>585.76919999999996</v>
          </cell>
          <cell r="AF113">
            <v>588.75540000000012</v>
          </cell>
          <cell r="AG113">
            <v>592.73700000000008</v>
          </cell>
          <cell r="AJ113">
            <v>3449.3007888002339</v>
          </cell>
          <cell r="AK113">
            <v>3502.6756301505761</v>
          </cell>
          <cell r="AL113">
            <v>3564.6938055974756</v>
          </cell>
          <cell r="AM113">
            <v>3636.2575745826784</v>
          </cell>
          <cell r="AN113">
            <v>3718.8515253206278</v>
          </cell>
        </row>
        <row r="114">
          <cell r="AC114">
            <v>587.70100000000014</v>
          </cell>
          <cell r="AD114">
            <v>588.70479999999998</v>
          </cell>
          <cell r="AE114">
            <v>590.7124</v>
          </cell>
          <cell r="AF114">
            <v>593.72379999999998</v>
          </cell>
          <cell r="AG114">
            <v>597.73900000000015</v>
          </cell>
          <cell r="AJ114">
            <v>3500.1910824869938</v>
          </cell>
          <cell r="AK114">
            <v>3553.3545222609591</v>
          </cell>
          <cell r="AL114">
            <v>3615.2470675283412</v>
          </cell>
          <cell r="AM114">
            <v>3686.8659049192552</v>
          </cell>
          <cell r="AN114">
            <v>3769.6406079540307</v>
          </cell>
        </row>
        <row r="115">
          <cell r="AC115">
            <v>592.61900000000014</v>
          </cell>
          <cell r="AD115">
            <v>593.63120000000004</v>
          </cell>
          <cell r="AE115">
            <v>595.65560000000005</v>
          </cell>
          <cell r="AF115">
            <v>598.69220000000007</v>
          </cell>
          <cell r="AG115">
            <v>602.7410000000001</v>
          </cell>
          <cell r="AJ115">
            <v>3551.0813761737545</v>
          </cell>
          <cell r="AK115">
            <v>3604.0334143713417</v>
          </cell>
          <cell r="AL115">
            <v>3665.8003294592068</v>
          </cell>
          <cell r="AM115">
            <v>3737.474235255831</v>
          </cell>
          <cell r="AN115">
            <v>3820.4296905874339</v>
          </cell>
        </row>
        <row r="116">
          <cell r="AC116">
            <v>611.33940000000007</v>
          </cell>
          <cell r="AD116">
            <v>612.56412</v>
          </cell>
          <cell r="AE116">
            <v>615.01355999999998</v>
          </cell>
          <cell r="AF116">
            <v>618.6877199999999</v>
          </cell>
          <cell r="AG116">
            <v>623.58660000000009</v>
          </cell>
          <cell r="AJ116">
            <v>3685.172967480717</v>
          </cell>
          <cell r="AK116">
            <v>3740.2342362258</v>
          </cell>
          <cell r="AL116">
            <v>3805.5484833795763</v>
          </cell>
          <cell r="AM116">
            <v>3882.3805391276437</v>
          </cell>
          <cell r="AN116">
            <v>3972.139790419556</v>
          </cell>
        </row>
        <row r="117">
          <cell r="AC117">
            <v>616.37099999999998</v>
          </cell>
          <cell r="AD117">
            <v>617.60580000000004</v>
          </cell>
          <cell r="AE117">
            <v>620.07540000000006</v>
          </cell>
          <cell r="AF117">
            <v>623.77979999999991</v>
          </cell>
          <cell r="AG117">
            <v>628.71900000000016</v>
          </cell>
          <cell r="AJ117">
            <v>3737.2387669346213</v>
          </cell>
          <cell r="AK117">
            <v>3792.0990374549078</v>
          </cell>
          <cell r="AL117">
            <v>3857.3150563226359</v>
          </cell>
          <cell r="AM117">
            <v>3934.2486791204533</v>
          </cell>
          <cell r="AN117">
            <v>4024.2529227081759</v>
          </cell>
        </row>
        <row r="118">
          <cell r="AC118">
            <v>621.40260000000001</v>
          </cell>
          <cell r="AD118">
            <v>622.64748000000009</v>
          </cell>
          <cell r="AE118">
            <v>625.13723999999991</v>
          </cell>
          <cell r="AF118">
            <v>628.87188000000003</v>
          </cell>
          <cell r="AG118">
            <v>633.85140000000001</v>
          </cell>
          <cell r="AJ118">
            <v>3789.3045663885264</v>
          </cell>
          <cell r="AK118">
            <v>3843.9638386840152</v>
          </cell>
          <cell r="AL118">
            <v>3909.0816292656955</v>
          </cell>
          <cell r="AM118">
            <v>3986.1168191132624</v>
          </cell>
          <cell r="AN118">
            <v>4076.3660549967954</v>
          </cell>
        </row>
        <row r="119">
          <cell r="AC119">
            <v>626.43420000000003</v>
          </cell>
          <cell r="AD119">
            <v>627.68916000000002</v>
          </cell>
          <cell r="AE119">
            <v>630.19907999999998</v>
          </cell>
          <cell r="AF119">
            <v>633.96396000000004</v>
          </cell>
          <cell r="AG119">
            <v>638.98380000000009</v>
          </cell>
          <cell r="AJ119">
            <v>3841.3703658424311</v>
          </cell>
          <cell r="AK119">
            <v>3895.8286399131225</v>
          </cell>
          <cell r="AL119">
            <v>3960.8482022087551</v>
          </cell>
          <cell r="AM119">
            <v>4037.984959106072</v>
          </cell>
          <cell r="AN119">
            <v>4128.4791872854148</v>
          </cell>
        </row>
        <row r="120">
          <cell r="AC120">
            <v>631.46580000000006</v>
          </cell>
          <cell r="AD120">
            <v>632.73084000000006</v>
          </cell>
          <cell r="AE120">
            <v>635.26091999999994</v>
          </cell>
          <cell r="AF120">
            <v>639.05604000000005</v>
          </cell>
          <cell r="AG120">
            <v>644.11620000000005</v>
          </cell>
          <cell r="AJ120">
            <v>3893.4361652963357</v>
          </cell>
          <cell r="AK120">
            <v>3947.6934411422299</v>
          </cell>
          <cell r="AL120">
            <v>4012.6147751518147</v>
          </cell>
          <cell r="AM120">
            <v>4089.8530990988816</v>
          </cell>
          <cell r="AN120">
            <v>4180.5923195740352</v>
          </cell>
        </row>
        <row r="121">
          <cell r="AC121">
            <v>636.49740000000008</v>
          </cell>
          <cell r="AD121">
            <v>637.7725200000001</v>
          </cell>
          <cell r="AE121">
            <v>640.32276000000002</v>
          </cell>
          <cell r="AF121">
            <v>644.14812000000006</v>
          </cell>
          <cell r="AG121">
            <v>649.24860000000001</v>
          </cell>
          <cell r="AJ121">
            <v>3945.5019647502404</v>
          </cell>
          <cell r="AK121">
            <v>3999.5582423713377</v>
          </cell>
          <cell r="AL121">
            <v>4064.3813480948743</v>
          </cell>
          <cell r="AM121">
            <v>4141.7212390916902</v>
          </cell>
          <cell r="AN121">
            <v>4232.7054518626555</v>
          </cell>
        </row>
        <row r="122">
          <cell r="AC122">
            <v>641.52900000000011</v>
          </cell>
          <cell r="AD122">
            <v>642.81420000000014</v>
          </cell>
          <cell r="AE122">
            <v>645.38459999999998</v>
          </cell>
          <cell r="AF122">
            <v>649.24020000000007</v>
          </cell>
          <cell r="AG122">
            <v>654.38100000000009</v>
          </cell>
          <cell r="AJ122">
            <v>3997.5677642041455</v>
          </cell>
          <cell r="AK122">
            <v>4051.423043600445</v>
          </cell>
          <cell r="AL122">
            <v>4116.1479210379339</v>
          </cell>
          <cell r="AM122">
            <v>4193.5893790845003</v>
          </cell>
          <cell r="AN122">
            <v>4284.818584151275</v>
          </cell>
        </row>
        <row r="123">
          <cell r="AC123">
            <v>646.56060000000002</v>
          </cell>
          <cell r="AD123">
            <v>647.85588000000007</v>
          </cell>
          <cell r="AE123">
            <v>650.44644000000005</v>
          </cell>
          <cell r="AF123">
            <v>654.33227999999997</v>
          </cell>
          <cell r="AG123">
            <v>659.51340000000005</v>
          </cell>
          <cell r="AJ123">
            <v>4049.6335636580498</v>
          </cell>
          <cell r="AK123">
            <v>4103.2878448295523</v>
          </cell>
          <cell r="AL123">
            <v>4167.914493980993</v>
          </cell>
          <cell r="AM123">
            <v>4245.4575190773094</v>
          </cell>
          <cell r="AN123">
            <v>4336.9317164398944</v>
          </cell>
        </row>
        <row r="124">
          <cell r="AC124">
            <v>651.59220000000005</v>
          </cell>
          <cell r="AD124">
            <v>652.89756</v>
          </cell>
          <cell r="AE124">
            <v>655.50828000000001</v>
          </cell>
          <cell r="AF124">
            <v>659.42435999999998</v>
          </cell>
          <cell r="AG124">
            <v>664.64580000000012</v>
          </cell>
          <cell r="AJ124">
            <v>4101.6993631119549</v>
          </cell>
          <cell r="AK124">
            <v>4155.1526460586592</v>
          </cell>
          <cell r="AL124">
            <v>4219.6810669240522</v>
          </cell>
          <cell r="AM124">
            <v>4297.3256590701185</v>
          </cell>
          <cell r="AN124">
            <v>4389.0448487285148</v>
          </cell>
        </row>
        <row r="125">
          <cell r="AC125">
            <v>656.62379999999996</v>
          </cell>
          <cell r="AD125">
            <v>657.93924000000004</v>
          </cell>
          <cell r="AE125">
            <v>660.57011999999997</v>
          </cell>
          <cell r="AF125">
            <v>664.51643999999999</v>
          </cell>
          <cell r="AG125">
            <v>669.77820000000008</v>
          </cell>
          <cell r="AJ125">
            <v>4153.7651625658591</v>
          </cell>
          <cell r="AK125">
            <v>4207.017447287767</v>
          </cell>
          <cell r="AL125">
            <v>4271.4476398671122</v>
          </cell>
          <cell r="AM125">
            <v>4349.1937990629276</v>
          </cell>
          <cell r="AN125">
            <v>4441.1579810171343</v>
          </cell>
        </row>
        <row r="126">
          <cell r="AC126">
            <v>661.65539999999999</v>
          </cell>
          <cell r="AD126">
            <v>662.98092000000008</v>
          </cell>
          <cell r="AE126">
            <v>665.63196000000005</v>
          </cell>
          <cell r="AF126">
            <v>669.60852</v>
          </cell>
          <cell r="AG126">
            <v>674.91060000000004</v>
          </cell>
          <cell r="AJ126">
            <v>4205.8309620197642</v>
          </cell>
          <cell r="AK126">
            <v>4258.8822485168748</v>
          </cell>
          <cell r="AL126">
            <v>4323.2142128101714</v>
          </cell>
          <cell r="AM126">
            <v>4401.0619390557376</v>
          </cell>
          <cell r="AN126">
            <v>4493.6557708125501</v>
          </cell>
        </row>
        <row r="127">
          <cell r="AC127">
            <v>666.68700000000001</v>
          </cell>
          <cell r="AD127">
            <v>668.02260000000001</v>
          </cell>
          <cell r="AE127">
            <v>670.69380000000001</v>
          </cell>
          <cell r="AF127">
            <v>674.70060000000001</v>
          </cell>
          <cell r="AG127">
            <v>680.04300000000012</v>
          </cell>
          <cell r="AJ127">
            <v>4257.8967614736684</v>
          </cell>
          <cell r="AK127">
            <v>4310.7470497459817</v>
          </cell>
          <cell r="AL127">
            <v>4374.9807857532314</v>
          </cell>
          <cell r="AM127">
            <v>4452.9300790485468</v>
          </cell>
          <cell r="AN127">
            <v>4554.0484443724736</v>
          </cell>
        </row>
        <row r="128">
          <cell r="AC128">
            <v>671.71860000000004</v>
          </cell>
          <cell r="AD128">
            <v>673.06428000000005</v>
          </cell>
          <cell r="AE128">
            <v>675.75563999999997</v>
          </cell>
          <cell r="AF128">
            <v>679.79268000000002</v>
          </cell>
          <cell r="AG128">
            <v>685.17540000000008</v>
          </cell>
          <cell r="AJ128">
            <v>4309.9625609275736</v>
          </cell>
          <cell r="AK128">
            <v>4362.6118509750895</v>
          </cell>
          <cell r="AL128">
            <v>4426.7473586962906</v>
          </cell>
          <cell r="AM128">
            <v>4512.7271600050881</v>
          </cell>
          <cell r="AN128">
            <v>4614.4411179323961</v>
          </cell>
        </row>
        <row r="129">
          <cell r="AC129">
            <v>676.75020000000006</v>
          </cell>
          <cell r="AD129">
            <v>678.1059600000001</v>
          </cell>
          <cell r="AE129">
            <v>680.81748000000005</v>
          </cell>
          <cell r="AF129">
            <v>684.88476000000003</v>
          </cell>
          <cell r="AG129">
            <v>690.30780000000004</v>
          </cell>
          <cell r="AJ129">
            <v>4362.0283603814778</v>
          </cell>
          <cell r="AK129">
            <v>4414.9350191646154</v>
          </cell>
          <cell r="AL129">
            <v>4486.3966163200203</v>
          </cell>
          <cell r="AM129">
            <v>4572.9494397151202</v>
          </cell>
          <cell r="AN129">
            <v>4674.8337914923195</v>
          </cell>
        </row>
        <row r="130">
          <cell r="AC130">
            <v>681.78179999999998</v>
          </cell>
          <cell r="AD130">
            <v>683.14764000000002</v>
          </cell>
          <cell r="AE130">
            <v>685.87932000000001</v>
          </cell>
          <cell r="AF130">
            <v>689.97684000000004</v>
          </cell>
          <cell r="AG130">
            <v>695.44020000000012</v>
          </cell>
          <cell r="AJ130">
            <v>4415.7702083536542</v>
          </cell>
          <cell r="AK130">
            <v>4474.7066581912268</v>
          </cell>
          <cell r="AL130">
            <v>4546.4228471074766</v>
          </cell>
          <cell r="AM130">
            <v>4633.1717194251523</v>
          </cell>
          <cell r="AN130">
            <v>4735.226465052242</v>
          </cell>
        </row>
        <row r="131">
          <cell r="AC131">
            <v>686.8134</v>
          </cell>
          <cell r="AD131">
            <v>688.18932000000007</v>
          </cell>
          <cell r="AE131">
            <v>690.94115999999997</v>
          </cell>
          <cell r="AF131">
            <v>695.06892000000005</v>
          </cell>
          <cell r="AG131">
            <v>700.57260000000008</v>
          </cell>
          <cell r="AJ131">
            <v>4475.461277576821</v>
          </cell>
          <cell r="AK131">
            <v>4534.4782972178382</v>
          </cell>
          <cell r="AL131">
            <v>4606.4490778949339</v>
          </cell>
          <cell r="AM131">
            <v>4693.3939991351854</v>
          </cell>
          <cell r="AN131">
            <v>4795.6191386121654</v>
          </cell>
        </row>
        <row r="132">
          <cell r="AC132">
            <v>691.84500000000003</v>
          </cell>
          <cell r="AD132">
            <v>693.23100000000011</v>
          </cell>
          <cell r="AE132">
            <v>696.00300000000004</v>
          </cell>
          <cell r="AF132">
            <v>700.16100000000006</v>
          </cell>
          <cell r="AG132">
            <v>705.70500000000004</v>
          </cell>
          <cell r="AJ132">
            <v>4535.1523467999868</v>
          </cell>
          <cell r="AK132">
            <v>4594.2499362444496</v>
          </cell>
          <cell r="AL132">
            <v>4666.4753086823912</v>
          </cell>
          <cell r="AM132">
            <v>4753.6162788452175</v>
          </cell>
          <cell r="AN132">
            <v>4856.011812172088</v>
          </cell>
        </row>
        <row r="133">
          <cell r="AC133">
            <v>696.87660000000005</v>
          </cell>
          <cell r="AD133">
            <v>698.27268000000004</v>
          </cell>
          <cell r="AE133">
            <v>701.06484</v>
          </cell>
          <cell r="AF133">
            <v>705.25308000000007</v>
          </cell>
          <cell r="AG133">
            <v>710.83740000000012</v>
          </cell>
          <cell r="AJ133">
            <v>4594.8434160231536</v>
          </cell>
          <cell r="AK133">
            <v>4654.0215752710619</v>
          </cell>
          <cell r="AL133">
            <v>4726.5015394698485</v>
          </cell>
          <cell r="AM133">
            <v>4813.8385585552505</v>
          </cell>
          <cell r="AN133">
            <v>4916.4044857320114</v>
          </cell>
        </row>
        <row r="134">
          <cell r="AC134">
            <v>701.90819999999997</v>
          </cell>
          <cell r="AD134">
            <v>703.31436000000008</v>
          </cell>
          <cell r="AE134">
            <v>706.12667999999996</v>
          </cell>
          <cell r="AF134">
            <v>710.34516000000008</v>
          </cell>
          <cell r="AG134">
            <v>715.96980000000008</v>
          </cell>
          <cell r="AJ134">
            <v>4654.5344852463195</v>
          </cell>
          <cell r="AK134">
            <v>4713.7932142976733</v>
          </cell>
          <cell r="AL134">
            <v>4786.5277702573057</v>
          </cell>
          <cell r="AM134">
            <v>4874.0608382652827</v>
          </cell>
          <cell r="AN134">
            <v>4976.7971592919339</v>
          </cell>
        </row>
        <row r="135">
          <cell r="AC135">
            <v>706.93979999999999</v>
          </cell>
          <cell r="AD135">
            <v>708.35604000000001</v>
          </cell>
          <cell r="AE135">
            <v>711.18852000000004</v>
          </cell>
          <cell r="AF135">
            <v>715.43723999999997</v>
          </cell>
          <cell r="AG135">
            <v>721.10220000000004</v>
          </cell>
          <cell r="AJ135">
            <v>4714.2255544694863</v>
          </cell>
          <cell r="AK135">
            <v>4773.5648533242847</v>
          </cell>
          <cell r="AL135">
            <v>4846.554001044763</v>
          </cell>
          <cell r="AM135">
            <v>4934.2831179753157</v>
          </cell>
          <cell r="AN135">
            <v>5037.1898328518573</v>
          </cell>
        </row>
        <row r="136">
          <cell r="AC136">
            <v>711.97140000000002</v>
          </cell>
          <cell r="AD136">
            <v>713.39772000000005</v>
          </cell>
          <cell r="AE136">
            <v>716.25036</v>
          </cell>
          <cell r="AF136">
            <v>720.52931999999998</v>
          </cell>
          <cell r="AG136">
            <v>726.23460000000011</v>
          </cell>
          <cell r="AJ136">
            <v>4773.9166236926521</v>
          </cell>
          <cell r="AK136">
            <v>4833.3364923508971</v>
          </cell>
          <cell r="AL136">
            <v>4906.5802318322203</v>
          </cell>
          <cell r="AM136">
            <v>4994.5053976853478</v>
          </cell>
          <cell r="AN136">
            <v>5097.5825064117798</v>
          </cell>
        </row>
        <row r="137">
          <cell r="AC137">
            <v>717.00300000000004</v>
          </cell>
          <cell r="AD137">
            <v>718.43940000000009</v>
          </cell>
          <cell r="AE137">
            <v>721.31219999999996</v>
          </cell>
          <cell r="AF137">
            <v>725.62139999999999</v>
          </cell>
          <cell r="AG137">
            <v>731.36700000000008</v>
          </cell>
          <cell r="AJ137">
            <v>4833.607692915818</v>
          </cell>
          <cell r="AK137">
            <v>4893.1081313775085</v>
          </cell>
          <cell r="AL137">
            <v>4966.6064626196776</v>
          </cell>
          <cell r="AM137">
            <v>5054.7276773953809</v>
          </cell>
          <cell r="AN137">
            <v>5157.9751799717033</v>
          </cell>
        </row>
        <row r="138">
          <cell r="AC138">
            <v>722.03459999999995</v>
          </cell>
          <cell r="AD138">
            <v>723.48108000000002</v>
          </cell>
          <cell r="AE138">
            <v>726.37404000000004</v>
          </cell>
          <cell r="AF138">
            <v>730.71348</v>
          </cell>
          <cell r="AG138">
            <v>736.49940000000004</v>
          </cell>
          <cell r="AJ138">
            <v>4893.2987621389848</v>
          </cell>
          <cell r="AK138">
            <v>4952.8797704041199</v>
          </cell>
          <cell r="AL138">
            <v>5026.632693407134</v>
          </cell>
          <cell r="AM138">
            <v>5114.949957105413</v>
          </cell>
          <cell r="AN138">
            <v>5218.3678535316258</v>
          </cell>
        </row>
        <row r="139">
          <cell r="AC139">
            <v>727.06619999999998</v>
          </cell>
          <cell r="AD139">
            <v>728.52276000000006</v>
          </cell>
          <cell r="AE139">
            <v>731.43588</v>
          </cell>
          <cell r="AF139">
            <v>735.80556000000001</v>
          </cell>
          <cell r="AG139">
            <v>741.63180000000011</v>
          </cell>
          <cell r="AJ139">
            <v>4952.9898313621516</v>
          </cell>
          <cell r="AK139">
            <v>5012.6514094307322</v>
          </cell>
          <cell r="AL139">
            <v>5086.6589241945912</v>
          </cell>
          <cell r="AM139">
            <v>5175.1722368154451</v>
          </cell>
          <cell r="AN139">
            <v>5278.7605270915492</v>
          </cell>
        </row>
        <row r="140">
          <cell r="AC140">
            <v>732.09780000000001</v>
          </cell>
          <cell r="AD140">
            <v>733.5644400000001</v>
          </cell>
          <cell r="AE140">
            <v>736.49772000000007</v>
          </cell>
          <cell r="AF140">
            <v>740.89764000000002</v>
          </cell>
          <cell r="AG140">
            <v>746.76420000000007</v>
          </cell>
          <cell r="AJ140">
            <v>5012.6809005853174</v>
          </cell>
          <cell r="AK140">
            <v>5072.4230484573436</v>
          </cell>
          <cell r="AL140">
            <v>5146.6851549820485</v>
          </cell>
          <cell r="AM140">
            <v>5235.3945165254772</v>
          </cell>
          <cell r="AN140">
            <v>5339.1532006514717</v>
          </cell>
        </row>
        <row r="141">
          <cell r="AC141">
            <v>753.77179999999998</v>
          </cell>
          <cell r="AD141">
            <v>755.49464</v>
          </cell>
          <cell r="AE141">
            <v>758.94032000000004</v>
          </cell>
          <cell r="AF141">
            <v>764.1088400000001</v>
          </cell>
          <cell r="AG141">
            <v>771.00020000000006</v>
          </cell>
          <cell r="AJ141">
            <v>5186.8924912669154</v>
          </cell>
          <cell r="AK141">
            <v>5249.5443414828496</v>
          </cell>
          <cell r="AL141">
            <v>5328.7468983119197</v>
          </cell>
          <cell r="AM141">
            <v>5424.240440278496</v>
          </cell>
          <cell r="AN141">
            <v>5536.7333073805094</v>
          </cell>
        </row>
        <row r="142">
          <cell r="AC142">
            <v>758.91700000000003</v>
          </cell>
          <cell r="AD142">
            <v>760.65159999999992</v>
          </cell>
          <cell r="AE142">
            <v>764.12080000000003</v>
          </cell>
          <cell r="AF142">
            <v>769.32460000000003</v>
          </cell>
          <cell r="AG142">
            <v>776.26300000000003</v>
          </cell>
          <cell r="AJ142">
            <v>5247.931224347255</v>
          </cell>
          <cell r="AK142">
            <v>5310.6826825903136</v>
          </cell>
          <cell r="AL142">
            <v>5390.1800309415194</v>
          </cell>
          <cell r="AM142">
            <v>5485.9254408323759</v>
          </cell>
          <cell r="AN142">
            <v>5598.6603906965338</v>
          </cell>
        </row>
        <row r="143">
          <cell r="AC143">
            <v>764.06219999999996</v>
          </cell>
          <cell r="AD143">
            <v>765.80855999999994</v>
          </cell>
          <cell r="AE143">
            <v>769.30128000000002</v>
          </cell>
          <cell r="AF143">
            <v>774.54036000000008</v>
          </cell>
          <cell r="AG143">
            <v>781.5258</v>
          </cell>
          <cell r="AJ143">
            <v>5308.9699574275937</v>
          </cell>
          <cell r="AK143">
            <v>5371.8210236977766</v>
          </cell>
          <cell r="AL143">
            <v>5451.6131635711163</v>
          </cell>
          <cell r="AM143">
            <v>5547.6104413862558</v>
          </cell>
          <cell r="AN143">
            <v>5661.6743586832818</v>
          </cell>
        </row>
        <row r="144">
          <cell r="AC144">
            <v>769.20740000000001</v>
          </cell>
          <cell r="AD144">
            <v>770.96551999999997</v>
          </cell>
          <cell r="AE144">
            <v>774.48176000000001</v>
          </cell>
          <cell r="AF144">
            <v>779.75612000000001</v>
          </cell>
          <cell r="AG144">
            <v>786.78860000000009</v>
          </cell>
          <cell r="AJ144">
            <v>5370.0086905079334</v>
          </cell>
          <cell r="AK144">
            <v>5432.9593648052387</v>
          </cell>
          <cell r="AL144">
            <v>5513.046296200715</v>
          </cell>
          <cell r="AM144">
            <v>5610.1030526254399</v>
          </cell>
          <cell r="AN144">
            <v>5745.4724951046137</v>
          </cell>
        </row>
        <row r="145">
          <cell r="AC145">
            <v>774.35260000000005</v>
          </cell>
          <cell r="AD145">
            <v>776.12248</v>
          </cell>
          <cell r="AE145">
            <v>779.66224</v>
          </cell>
          <cell r="AF145">
            <v>784.97188000000006</v>
          </cell>
          <cell r="AG145">
            <v>792.05140000000006</v>
          </cell>
          <cell r="AJ145">
            <v>5431.047423588273</v>
          </cell>
          <cell r="AK145">
            <v>5494.0977059127026</v>
          </cell>
          <cell r="AL145">
            <v>5576.2963811774262</v>
          </cell>
          <cell r="AM145">
            <v>5692.9559709939676</v>
          </cell>
          <cell r="AN145">
            <v>5829.2706315259456</v>
          </cell>
        </row>
        <row r="146">
          <cell r="AC146">
            <v>779.49779999999998</v>
          </cell>
          <cell r="AD146">
            <v>781.27943999999991</v>
          </cell>
          <cell r="AE146">
            <v>784.84271999999999</v>
          </cell>
          <cell r="AF146">
            <v>790.1876400000001</v>
          </cell>
          <cell r="AG146">
            <v>797.31420000000003</v>
          </cell>
          <cell r="AJ146">
            <v>5492.0861566686117</v>
          </cell>
          <cell r="AK146">
            <v>5558.9627301917144</v>
          </cell>
          <cell r="AL146">
            <v>5658.1601038245062</v>
          </cell>
          <cell r="AM146">
            <v>5775.8088893624945</v>
          </cell>
          <cell r="AN146">
            <v>5913.0687679472776</v>
          </cell>
        </row>
        <row r="147">
          <cell r="AC147">
            <v>784.64300000000003</v>
          </cell>
          <cell r="AD147">
            <v>786.43639999999994</v>
          </cell>
          <cell r="AE147">
            <v>790.02319999999997</v>
          </cell>
          <cell r="AF147">
            <v>795.40340000000003</v>
          </cell>
          <cell r="AG147">
            <v>802.57700000000011</v>
          </cell>
          <cell r="AJ147">
            <v>5559.4933675269313</v>
          </cell>
          <cell r="AK147">
            <v>5639.9065559727132</v>
          </cell>
          <cell r="AL147">
            <v>5740.0238264715863</v>
          </cell>
          <cell r="AM147">
            <v>5858.6618077310213</v>
          </cell>
          <cell r="AN147">
            <v>5996.8669043686095</v>
          </cell>
        </row>
        <row r="148">
          <cell r="AC148">
            <v>789.78819999999996</v>
          </cell>
          <cell r="AD148">
            <v>791.59335999999996</v>
          </cell>
          <cell r="AE148">
            <v>795.20368000000008</v>
          </cell>
          <cell r="AF148">
            <v>800.61916000000008</v>
          </cell>
          <cell r="AG148">
            <v>807.83980000000008</v>
          </cell>
          <cell r="AJ148">
            <v>5638.1733876591697</v>
          </cell>
          <cell r="AK148">
            <v>5720.850381753713</v>
          </cell>
          <cell r="AL148">
            <v>5821.8875491186664</v>
          </cell>
          <cell r="AM148">
            <v>5941.5147260995491</v>
          </cell>
          <cell r="AN148">
            <v>6080.6650407899415</v>
          </cell>
        </row>
        <row r="149">
          <cell r="AC149">
            <v>794.93340000000001</v>
          </cell>
          <cell r="AD149">
            <v>796.75031999999999</v>
          </cell>
          <cell r="AE149">
            <v>800.38416000000007</v>
          </cell>
          <cell r="AF149">
            <v>805.83492000000001</v>
          </cell>
          <cell r="AG149">
            <v>813.10260000000005</v>
          </cell>
          <cell r="AJ149">
            <v>5716.8534077914073</v>
          </cell>
          <cell r="AK149">
            <v>5801.7942075347128</v>
          </cell>
          <cell r="AL149">
            <v>5903.7512717657464</v>
          </cell>
          <cell r="AM149">
            <v>6024.3676444680759</v>
          </cell>
          <cell r="AN149">
            <v>6164.4631772112734</v>
          </cell>
        </row>
        <row r="150">
          <cell r="AC150">
            <v>800.07860000000005</v>
          </cell>
          <cell r="AD150">
            <v>801.90728000000001</v>
          </cell>
          <cell r="AE150">
            <v>805.56464000000005</v>
          </cell>
          <cell r="AF150">
            <v>811.05068000000006</v>
          </cell>
          <cell r="AG150">
            <v>818.36540000000002</v>
          </cell>
          <cell r="AJ150">
            <v>5795.5334279236458</v>
          </cell>
          <cell r="AK150">
            <v>5882.7380333157116</v>
          </cell>
          <cell r="AL150">
            <v>5985.6149944128265</v>
          </cell>
          <cell r="AM150">
            <v>6107.2205628366037</v>
          </cell>
          <cell r="AN150">
            <v>6248.2613136326054</v>
          </cell>
        </row>
        <row r="151">
          <cell r="AC151">
            <v>805.22379999999998</v>
          </cell>
          <cell r="AD151">
            <v>807.06423999999993</v>
          </cell>
          <cell r="AE151">
            <v>810.67273284494786</v>
          </cell>
          <cell r="AF151">
            <v>816.18779076674639</v>
          </cell>
          <cell r="AG151">
            <v>823.62820000000011</v>
          </cell>
          <cell r="AJ151">
            <v>5874.2134480558843</v>
          </cell>
          <cell r="AK151">
            <v>5963.6818590967123</v>
          </cell>
          <cell r="AL151">
            <v>6067.4787170599066</v>
          </cell>
          <cell r="AM151">
            <v>6190.0734812051305</v>
          </cell>
          <cell r="AN151">
            <v>6332.0594500539373</v>
          </cell>
        </row>
        <row r="152">
          <cell r="AC152">
            <v>810.36900000000003</v>
          </cell>
          <cell r="AD152">
            <v>812.22119999999995</v>
          </cell>
          <cell r="AE152">
            <v>815.66119141611966</v>
          </cell>
          <cell r="AF152">
            <v>821.08150133516745</v>
          </cell>
          <cell r="AG152">
            <v>828.24430673749396</v>
          </cell>
          <cell r="AJ152">
            <v>5952.8934681881228</v>
          </cell>
          <cell r="AK152">
            <v>6044.6256848777111</v>
          </cell>
          <cell r="AL152">
            <v>6149.3424397069866</v>
          </cell>
          <cell r="AM152">
            <v>6272.9263995736565</v>
          </cell>
          <cell r="AN152">
            <v>6415.8575864752693</v>
          </cell>
        </row>
        <row r="153">
          <cell r="AC153">
            <v>815.51419999999996</v>
          </cell>
          <cell r="AD153">
            <v>817.37815999999998</v>
          </cell>
          <cell r="AE153">
            <v>820.64964998729147</v>
          </cell>
          <cell r="AF153">
            <v>825.97521190358862</v>
          </cell>
          <cell r="AG153">
            <v>832.71972136052455</v>
          </cell>
          <cell r="AJ153">
            <v>6031.5734883203613</v>
          </cell>
          <cell r="AK153">
            <v>6125.5695106587109</v>
          </cell>
          <cell r="AL153">
            <v>6231.2061623540667</v>
          </cell>
          <cell r="AM153">
            <v>6355.7793179421851</v>
          </cell>
          <cell r="AN153">
            <v>6499.6557228966012</v>
          </cell>
        </row>
        <row r="154">
          <cell r="AC154">
            <v>818.53872050484449</v>
          </cell>
          <cell r="AD154">
            <v>820.78300067542807</v>
          </cell>
          <cell r="AE154">
            <v>825.63810855846327</v>
          </cell>
          <cell r="AF154">
            <v>830.86892247200956</v>
          </cell>
          <cell r="AG154">
            <v>837.19513598355491</v>
          </cell>
          <cell r="AJ154">
            <v>6110.2535084525989</v>
          </cell>
          <cell r="AK154">
            <v>6206.5133364397107</v>
          </cell>
          <cell r="AL154">
            <v>6313.0698850011468</v>
          </cell>
          <cell r="AM154">
            <v>6438.6322363107111</v>
          </cell>
          <cell r="AN154">
            <v>6583.4538593179332</v>
          </cell>
        </row>
        <row r="155">
          <cell r="AC155">
            <v>819.23925390906709</v>
          </cell>
          <cell r="AD155">
            <v>821.36507668037916</v>
          </cell>
          <cell r="AE155">
            <v>826.28656000000001</v>
          </cell>
          <cell r="AF155">
            <v>831.91372000000001</v>
          </cell>
          <cell r="AG155">
            <v>839.41660000000002</v>
          </cell>
          <cell r="AJ155">
            <v>6188.9335285848374</v>
          </cell>
          <cell r="AK155">
            <v>6287.4571622207095</v>
          </cell>
          <cell r="AL155">
            <v>6394.9336076482268</v>
          </cell>
          <cell r="AM155">
            <v>6521.4851546792397</v>
          </cell>
          <cell r="AN155">
            <v>6667.2519957392651</v>
          </cell>
        </row>
        <row r="156">
          <cell r="AC156">
            <v>819.9397873132898</v>
          </cell>
          <cell r="AD156">
            <v>821.94715268533014</v>
          </cell>
          <cell r="AE156">
            <v>826.28656000000001</v>
          </cell>
          <cell r="AF156">
            <v>831.91372000000001</v>
          </cell>
          <cell r="AG156">
            <v>839.41660000000002</v>
          </cell>
          <cell r="AJ156">
            <v>6267.6135487170759</v>
          </cell>
          <cell r="AK156">
            <v>6368.4009880017102</v>
          </cell>
          <cell r="AL156">
            <v>6476.7973302953069</v>
          </cell>
          <cell r="AM156">
            <v>6604.3380730477656</v>
          </cell>
          <cell r="AN156">
            <v>6751.0501321605971</v>
          </cell>
        </row>
        <row r="157">
          <cell r="AC157">
            <v>820.6403207175124</v>
          </cell>
          <cell r="AD157">
            <v>822.52922869028123</v>
          </cell>
          <cell r="AE157">
            <v>826.28656000000001</v>
          </cell>
          <cell r="AF157">
            <v>831.91372000000001</v>
          </cell>
          <cell r="AG157">
            <v>839.41660000000002</v>
          </cell>
          <cell r="AJ157">
            <v>6346.2935688493144</v>
          </cell>
          <cell r="AK157">
            <v>6449.344813782709</v>
          </cell>
          <cell r="AL157">
            <v>6558.661052942387</v>
          </cell>
          <cell r="AM157">
            <v>6687.1909914162925</v>
          </cell>
          <cell r="AN157">
            <v>6834.848268581929</v>
          </cell>
        </row>
        <row r="158">
          <cell r="AC158">
            <v>820.65940000000001</v>
          </cell>
          <cell r="AD158">
            <v>822.53512000000001</v>
          </cell>
          <cell r="AE158">
            <v>826.28656000000001</v>
          </cell>
          <cell r="AF158">
            <v>831.91372000000001</v>
          </cell>
          <cell r="AG158">
            <v>839.41660000000002</v>
          </cell>
          <cell r="AJ158">
            <v>6424.9735889815529</v>
          </cell>
          <cell r="AK158">
            <v>6530.2886395637088</v>
          </cell>
          <cell r="AL158">
            <v>6640.524775589467</v>
          </cell>
          <cell r="AM158">
            <v>6770.0439097848202</v>
          </cell>
          <cell r="AN158">
            <v>6841.64</v>
          </cell>
        </row>
        <row r="159">
          <cell r="AC159">
            <v>820.65940000000001</v>
          </cell>
          <cell r="AD159">
            <v>822.53512000000001</v>
          </cell>
          <cell r="AE159">
            <v>826.28656000000001</v>
          </cell>
          <cell r="AF159">
            <v>831.91372000000001</v>
          </cell>
          <cell r="AG159">
            <v>839.41660000000002</v>
          </cell>
          <cell r="AJ159">
            <v>6503.6536091137914</v>
          </cell>
          <cell r="AK159">
            <v>6611.2324653447085</v>
          </cell>
          <cell r="AL159">
            <v>6722.3884982365471</v>
          </cell>
          <cell r="AM159">
            <v>6780.4880000000003</v>
          </cell>
          <cell r="AN159">
            <v>6841.64</v>
          </cell>
        </row>
        <row r="160">
          <cell r="AC160">
            <v>829.71899999999994</v>
          </cell>
          <cell r="AD160">
            <v>831.72870000000012</v>
          </cell>
          <cell r="AE160">
            <v>835.74810000000014</v>
          </cell>
          <cell r="AF160">
            <v>841.77720000000011</v>
          </cell>
          <cell r="AG160">
            <v>849.81600000000003</v>
          </cell>
          <cell r="AJ160">
            <v>6654.9987443321625</v>
          </cell>
          <cell r="AK160">
            <v>6766.9755995206715</v>
          </cell>
          <cell r="AL160">
            <v>6811.7400000000007</v>
          </cell>
          <cell r="AM160">
            <v>6860.880000000001</v>
          </cell>
          <cell r="AN160">
            <v>6926.4000000000005</v>
          </cell>
        </row>
        <row r="161">
          <cell r="AC161">
            <v>829.71899999999994</v>
          </cell>
          <cell r="AD161">
            <v>831.72870000000012</v>
          </cell>
          <cell r="AE161">
            <v>835.74810000000014</v>
          </cell>
          <cell r="AF161">
            <v>841.77720000000011</v>
          </cell>
          <cell r="AG161">
            <v>849.81600000000003</v>
          </cell>
          <cell r="AJ161">
            <v>6734.5473458885463</v>
          </cell>
          <cell r="AK161">
            <v>6778.9800000000014</v>
          </cell>
          <cell r="AL161">
            <v>6811.7400000000007</v>
          </cell>
          <cell r="AM161">
            <v>6860.880000000001</v>
          </cell>
          <cell r="AN161">
            <v>6926.4000000000005</v>
          </cell>
        </row>
        <row r="162">
          <cell r="AC162">
            <v>829.71899999999994</v>
          </cell>
          <cell r="AD162">
            <v>831.72870000000012</v>
          </cell>
          <cell r="AE162">
            <v>835.74810000000014</v>
          </cell>
          <cell r="AF162">
            <v>841.77720000000011</v>
          </cell>
          <cell r="AG162">
            <v>849.81600000000003</v>
          </cell>
          <cell r="AJ162">
            <v>6762.6</v>
          </cell>
          <cell r="AK162">
            <v>6778.9800000000014</v>
          </cell>
          <cell r="AL162">
            <v>6811.7400000000007</v>
          </cell>
          <cell r="AM162">
            <v>6860.880000000001</v>
          </cell>
          <cell r="AN162">
            <v>6926.4000000000005</v>
          </cell>
        </row>
        <row r="163">
          <cell r="AC163">
            <v>829.71899999999994</v>
          </cell>
          <cell r="AD163">
            <v>831.72870000000012</v>
          </cell>
          <cell r="AE163">
            <v>835.74810000000014</v>
          </cell>
          <cell r="AF163">
            <v>841.77720000000011</v>
          </cell>
          <cell r="AG163">
            <v>849.81600000000003</v>
          </cell>
          <cell r="AJ163">
            <v>6762.6</v>
          </cell>
          <cell r="AK163">
            <v>6778.9800000000014</v>
          </cell>
          <cell r="AL163">
            <v>6811.7400000000007</v>
          </cell>
          <cell r="AM163">
            <v>6860.880000000001</v>
          </cell>
          <cell r="AN163">
            <v>6926.4000000000005</v>
          </cell>
        </row>
        <row r="164">
          <cell r="AC164">
            <v>829.71899999999994</v>
          </cell>
          <cell r="AD164">
            <v>831.72870000000012</v>
          </cell>
          <cell r="AE164">
            <v>835.74810000000014</v>
          </cell>
          <cell r="AF164">
            <v>841.77720000000011</v>
          </cell>
          <cell r="AG164">
            <v>849.81600000000003</v>
          </cell>
          <cell r="AJ164">
            <v>6762.6</v>
          </cell>
          <cell r="AK164">
            <v>6778.9800000000014</v>
          </cell>
          <cell r="AL164">
            <v>6811.7400000000007</v>
          </cell>
          <cell r="AM164">
            <v>6860.880000000001</v>
          </cell>
          <cell r="AN164">
            <v>6926.4000000000005</v>
          </cell>
        </row>
      </sheetData>
      <sheetData sheetId="12">
        <row r="4">
          <cell r="D4">
            <v>1249.1935266914652</v>
          </cell>
          <cell r="E4">
            <v>1256.4030344854348</v>
          </cell>
          <cell r="F4">
            <v>1264.2533874166461</v>
          </cell>
          <cell r="G4">
            <v>1272.7882794717291</v>
          </cell>
          <cell r="H4">
            <v>1281.8766286907937</v>
          </cell>
        </row>
        <row r="5">
          <cell r="D5">
            <v>1418.8419488561699</v>
          </cell>
          <cell r="E5">
            <v>1430.067141301593</v>
          </cell>
          <cell r="F5">
            <v>1440.9032272336713</v>
          </cell>
          <cell r="G5">
            <v>1455.9075023815944</v>
          </cell>
          <cell r="H5">
            <v>1470.8776749654153</v>
          </cell>
        </row>
        <row r="6">
          <cell r="D6">
            <v>1553.8747529174316</v>
          </cell>
          <cell r="E6">
            <v>1568.8848630060143</v>
          </cell>
          <cell r="F6">
            <v>1583.7527718926308</v>
          </cell>
          <cell r="G6">
            <v>1605.3982079286131</v>
          </cell>
          <cell r="H6">
            <v>1625.3672601748178</v>
          </cell>
        </row>
        <row r="7">
          <cell r="D7">
            <v>1670.3608952873747</v>
          </cell>
          <cell r="E7">
            <v>1688.1131913936119</v>
          </cell>
          <cell r="F7">
            <v>1705.3730782166685</v>
          </cell>
          <cell r="G7">
            <v>1731.6442908689291</v>
          </cell>
          <cell r="H7">
            <v>1756.5440388880138</v>
          </cell>
        </row>
        <row r="8">
          <cell r="D8">
            <v>1773.6903721970216</v>
          </cell>
          <cell r="E8">
            <v>1794.087292315779</v>
          </cell>
          <cell r="F8">
            <v>1811.4994928361634</v>
          </cell>
          <cell r="G8">
            <v>1840.3283314489927</v>
          </cell>
          <cell r="H8">
            <v>1866.5134272468667</v>
          </cell>
        </row>
        <row r="9">
          <cell r="D9">
            <v>1867.310354464177</v>
          </cell>
          <cell r="E9">
            <v>1890.539935329901</v>
          </cell>
          <cell r="F9">
            <v>1910.1858368510848</v>
          </cell>
          <cell r="G9">
            <v>1941.7610659195982</v>
          </cell>
          <cell r="H9">
            <v>1970.860537727905</v>
          </cell>
        </row>
        <row r="10">
          <cell r="D10">
            <v>1956.5942072734199</v>
          </cell>
          <cell r="E10">
            <v>1980.6983194779477</v>
          </cell>
          <cell r="F10">
            <v>2002.1929321532725</v>
          </cell>
          <cell r="G10">
            <v>2039.3615978364692</v>
          </cell>
          <cell r="H10">
            <v>2070.0202818206913</v>
          </cell>
        </row>
        <row r="11">
          <cell r="D11">
            <v>2042.8089350706482</v>
          </cell>
          <cell r="E11">
            <v>2068.6957374632739</v>
          </cell>
          <cell r="F11">
            <v>2090.2569960802962</v>
          </cell>
          <cell r="G11">
            <v>2131.4568510209706</v>
          </cell>
          <cell r="H11">
            <v>2164.7938455804324</v>
          </cell>
        </row>
        <row r="12">
          <cell r="D12">
            <v>2131.7474405437429</v>
          </cell>
          <cell r="E12">
            <v>2161.6487760436739</v>
          </cell>
          <cell r="F12">
            <v>2184.4009959401383</v>
          </cell>
          <cell r="G12">
            <v>2229.6820642502544</v>
          </cell>
          <cell r="H12">
            <v>2267.0916745294362</v>
          </cell>
        </row>
        <row r="13">
          <cell r="D13">
            <v>2219.6493250964013</v>
          </cell>
          <cell r="E13">
            <v>2250.7260419981094</v>
          </cell>
          <cell r="F13">
            <v>2277.5238510918989</v>
          </cell>
          <cell r="G13">
            <v>2325.7086873291846</v>
          </cell>
          <cell r="H13">
            <v>2366.3540448486156</v>
          </cell>
        </row>
        <row r="14">
          <cell r="D14">
            <v>2304.7729331634296</v>
          </cell>
          <cell r="E14">
            <v>2336.8098330256125</v>
          </cell>
          <cell r="F14">
            <v>2374.4330976574001</v>
          </cell>
          <cell r="G14">
            <v>2416.9974059992542</v>
          </cell>
          <cell r="H14">
            <v>2464.7253897167893</v>
          </cell>
        </row>
        <row r="15">
          <cell r="D15">
            <v>2384.2132297048984</v>
          </cell>
          <cell r="E15">
            <v>2419.7943579612602</v>
          </cell>
          <cell r="F15">
            <v>2459.5232951964472</v>
          </cell>
          <cell r="G15">
            <v>2506.223932139796</v>
          </cell>
          <cell r="H15">
            <v>2556.5591764569513</v>
          </cell>
        </row>
        <row r="16">
          <cell r="D16">
            <v>2464.3190924164546</v>
          </cell>
          <cell r="E16">
            <v>2501.570411481659</v>
          </cell>
          <cell r="F16">
            <v>2545.537901279793</v>
          </cell>
          <cell r="G16">
            <v>2592.9987921274378</v>
          </cell>
          <cell r="H16">
            <v>2648.1817088938906</v>
          </cell>
        </row>
        <row r="17">
          <cell r="D17">
            <v>2540.9487920387801</v>
          </cell>
          <cell r="E17">
            <v>2580.095688557115</v>
          </cell>
          <cell r="F17">
            <v>2622.5291242595772</v>
          </cell>
          <cell r="G17">
            <v>2673.4528001908789</v>
          </cell>
          <cell r="H17">
            <v>2724.815402260052</v>
          </cell>
        </row>
        <row r="18">
          <cell r="D18">
            <v>2616.6658834916134</v>
          </cell>
          <cell r="E18">
            <v>2656.0415593263824</v>
          </cell>
          <cell r="F18">
            <v>2702.4897159472612</v>
          </cell>
          <cell r="G18">
            <v>2752.0787661421978</v>
          </cell>
          <cell r="H18">
            <v>2808.6655799493046</v>
          </cell>
        </row>
        <row r="19">
          <cell r="D19">
            <v>2691.4845624513546</v>
          </cell>
          <cell r="E19">
            <v>2732.3953663630509</v>
          </cell>
          <cell r="F19">
            <v>2778.3269964511292</v>
          </cell>
          <cell r="G19">
            <v>2832.3055450854918</v>
          </cell>
          <cell r="H19">
            <v>2893.6396297114957</v>
          </cell>
        </row>
        <row r="20">
          <cell r="D20">
            <v>2763.9606019664152</v>
          </cell>
          <cell r="E20">
            <v>2805.0302066190816</v>
          </cell>
          <cell r="F20">
            <v>2851.5846584296787</v>
          </cell>
          <cell r="G20">
            <v>2906.4198848718197</v>
          </cell>
          <cell r="H20">
            <v>2963.8393226762068</v>
          </cell>
        </row>
        <row r="21">
          <cell r="D21">
            <v>2837.1072726902107</v>
          </cell>
          <cell r="E21">
            <v>2879.0260811148701</v>
          </cell>
          <cell r="F21">
            <v>2928.9090226438066</v>
          </cell>
          <cell r="G21">
            <v>2984.0049562343138</v>
          </cell>
          <cell r="H21">
            <v>3042.8688718553117</v>
          </cell>
        </row>
        <row r="22">
          <cell r="D22">
            <v>2907.2441911687642</v>
          </cell>
          <cell r="E22">
            <v>2952.4360525554048</v>
          </cell>
          <cell r="F22">
            <v>3001.5787914321945</v>
          </cell>
          <cell r="G22">
            <v>3058.1687348051519</v>
          </cell>
          <cell r="H22">
            <v>3117.2191841608897</v>
          </cell>
        </row>
        <row r="23">
          <cell r="D23">
            <v>2978.8397947066123</v>
          </cell>
          <cell r="E23">
            <v>3022.0567635394318</v>
          </cell>
          <cell r="F23">
            <v>3072.1544339079664</v>
          </cell>
          <cell r="G23">
            <v>3128.4863983569076</v>
          </cell>
          <cell r="H23">
            <v>3190.4337291338857</v>
          </cell>
        </row>
        <row r="24">
          <cell r="D24">
            <v>3047.3487155583607</v>
          </cell>
          <cell r="E24">
            <v>3092.6194772754434</v>
          </cell>
          <cell r="F24">
            <v>3143.0803528855713</v>
          </cell>
          <cell r="G24">
            <v>3202.4940477843729</v>
          </cell>
          <cell r="H24">
            <v>3264.1473862851608</v>
          </cell>
        </row>
        <row r="25">
          <cell r="D25">
            <v>3117.4992861074707</v>
          </cell>
          <cell r="E25">
            <v>3162.2795653110925</v>
          </cell>
          <cell r="F25">
            <v>3215.6122636792888</v>
          </cell>
          <cell r="G25">
            <v>3273.736238230199</v>
          </cell>
          <cell r="H25">
            <v>3339.3055324260185</v>
          </cell>
        </row>
        <row r="26">
          <cell r="D26">
            <v>3184.9419791058081</v>
          </cell>
          <cell r="E26">
            <v>3231.2694466249868</v>
          </cell>
          <cell r="F26">
            <v>3282.9718771762273</v>
          </cell>
          <cell r="G26">
            <v>3344.0393983271229</v>
          </cell>
          <cell r="H26">
            <v>3405.0868314481486</v>
          </cell>
        </row>
        <row r="27">
          <cell r="D27">
            <v>3253.7411459307195</v>
          </cell>
          <cell r="E27">
            <v>3299.9728534552714</v>
          </cell>
          <cell r="F27">
            <v>3354.3744575465457</v>
          </cell>
          <cell r="G27">
            <v>3413.2690473143757</v>
          </cell>
          <cell r="H27">
            <v>3477.5914438033142</v>
          </cell>
        </row>
        <row r="28">
          <cell r="D28">
            <v>3320.561657309669</v>
          </cell>
          <cell r="E28">
            <v>3368.6727569248687</v>
          </cell>
          <cell r="F28">
            <v>3422.2159685304628</v>
          </cell>
          <cell r="G28">
            <v>3483.9833289691578</v>
          </cell>
          <cell r="H28">
            <v>3544.4273429748305</v>
          </cell>
        </row>
        <row r="29">
          <cell r="D29">
            <v>3388.0926419241737</v>
          </cell>
          <cell r="E29">
            <v>3435.9244188823618</v>
          </cell>
          <cell r="F29">
            <v>3490.6693001307258</v>
          </cell>
          <cell r="G29">
            <v>3549.8356957135043</v>
          </cell>
          <cell r="H29">
            <v>3614.0613536331493</v>
          </cell>
        </row>
        <row r="30">
          <cell r="D30">
            <v>3454.6416839245758</v>
          </cell>
          <cell r="E30">
            <v>3503.0530825071737</v>
          </cell>
          <cell r="F30">
            <v>3557.472326623385</v>
          </cell>
          <cell r="G30">
            <v>3618.1755925323187</v>
          </cell>
          <cell r="H30">
            <v>3680.4873230223789</v>
          </cell>
        </row>
        <row r="31">
          <cell r="D31">
            <v>3520.9789085251496</v>
          </cell>
          <cell r="E31">
            <v>3569.6432625118296</v>
          </cell>
          <cell r="F31">
            <v>3623.3320028260919</v>
          </cell>
          <cell r="G31">
            <v>3683.8424098785335</v>
          </cell>
          <cell r="H31">
            <v>3752.0448156730304</v>
          </cell>
        </row>
        <row r="32">
          <cell r="D32">
            <v>3587.5328404170023</v>
          </cell>
          <cell r="E32">
            <v>3636.151840648989</v>
          </cell>
          <cell r="F32">
            <v>3692.2544796364009</v>
          </cell>
          <cell r="G32">
            <v>3755.4718731192797</v>
          </cell>
          <cell r="H32">
            <v>3821.7361184365332</v>
          </cell>
        </row>
        <row r="33">
          <cell r="D33">
            <v>3652.7432338833255</v>
          </cell>
          <cell r="E33">
            <v>3703.3969730796721</v>
          </cell>
          <cell r="F33">
            <v>3759.0075277664141</v>
          </cell>
          <cell r="G33">
            <v>3821.8316384114387</v>
          </cell>
          <cell r="H33">
            <v>3891.5075841763833</v>
          </cell>
        </row>
        <row r="34">
          <cell r="D34">
            <v>3719.5189537639744</v>
          </cell>
          <cell r="E34">
            <v>3769.0285126353665</v>
          </cell>
          <cell r="F34">
            <v>3826.4669534623122</v>
          </cell>
          <cell r="G34">
            <v>3889.0108012583764</v>
          </cell>
          <cell r="H34">
            <v>3957.6288482572345</v>
          </cell>
        </row>
        <row r="35">
          <cell r="D35">
            <v>3783.6630202092224</v>
          </cell>
          <cell r="E35">
            <v>3836.370132315777</v>
          </cell>
          <cell r="F35">
            <v>3891.5240622314541</v>
          </cell>
          <cell r="G35">
            <v>3955.4131908524987</v>
          </cell>
          <cell r="H35">
            <v>4026.1220107826684</v>
          </cell>
        </row>
        <row r="36">
          <cell r="D36">
            <v>3850.8297311415272</v>
          </cell>
          <cell r="E36">
            <v>3899.0868763053822</v>
          </cell>
          <cell r="F36">
            <v>3957.3520379044335</v>
          </cell>
          <cell r="G36">
            <v>4020.925900972692</v>
          </cell>
          <cell r="H36">
            <v>4090.4062586103628</v>
          </cell>
        </row>
        <row r="37">
          <cell r="D37">
            <v>3913.962430455269</v>
          </cell>
          <cell r="E37">
            <v>3966.2932129146884</v>
          </cell>
          <cell r="F37">
            <v>4022.5526780322962</v>
          </cell>
          <cell r="G37">
            <v>4088.6582215718527</v>
          </cell>
          <cell r="H37">
            <v>4158.7144728338253</v>
          </cell>
        </row>
        <row r="38">
          <cell r="D38">
            <v>3980.1909129472951</v>
          </cell>
          <cell r="E38">
            <v>4030.5941741358338</v>
          </cell>
          <cell r="F38">
            <v>4091.0872039771339</v>
          </cell>
          <cell r="G38">
            <v>4154.191079838205</v>
          </cell>
          <cell r="H38">
            <v>4223.6246235371837</v>
          </cell>
        </row>
        <row r="39">
          <cell r="D39">
            <v>4043.8224722802161</v>
          </cell>
          <cell r="E39">
            <v>4097.4135482075872</v>
          </cell>
          <cell r="F39">
            <v>4154.2715250695746</v>
          </cell>
          <cell r="G39">
            <v>4219.9593475759102</v>
          </cell>
          <cell r="H39">
            <v>4286.631625084754</v>
          </cell>
        </row>
        <row r="40">
          <cell r="D40">
            <v>4109.020743671972</v>
          </cell>
          <cell r="E40">
            <v>4161.1453581089208</v>
          </cell>
          <cell r="F40">
            <v>4220.4599594946012</v>
          </cell>
          <cell r="G40">
            <v>4282.0408035249629</v>
          </cell>
          <cell r="H40">
            <v>4352.0389775920594</v>
          </cell>
        </row>
        <row r="41">
          <cell r="D41">
            <v>4173.3890826430224</v>
          </cell>
          <cell r="E41">
            <v>4225.8552007948474</v>
          </cell>
          <cell r="F41">
            <v>4282.8232260907926</v>
          </cell>
          <cell r="G41">
            <v>4347.2253230365786</v>
          </cell>
          <cell r="H41">
            <v>4415.5588848776533</v>
          </cell>
        </row>
        <row r="42">
          <cell r="D42">
            <v>4237.6063828071456</v>
          </cell>
          <cell r="E42">
            <v>4289.7083305655342</v>
          </cell>
          <cell r="F42">
            <v>4346.6006813599324</v>
          </cell>
          <cell r="G42">
            <v>4409.6883495694838</v>
          </cell>
          <cell r="H42">
            <v>4481.6418470149474</v>
          </cell>
        </row>
        <row r="43">
          <cell r="D43">
            <v>4302.7796402772656</v>
          </cell>
          <cell r="E43">
            <v>4352.671021168183</v>
          </cell>
          <cell r="F43">
            <v>4411.073205722515</v>
          </cell>
          <cell r="G43">
            <v>4476.3833570485103</v>
          </cell>
          <cell r="H43">
            <v>4546.8390277483559</v>
          </cell>
        </row>
        <row r="44">
          <cell r="D44">
            <v>4366.0612527540407</v>
          </cell>
          <cell r="E44">
            <v>4418.5909727083454</v>
          </cell>
          <cell r="F44">
            <v>4476.0585260415355</v>
          </cell>
          <cell r="G44">
            <v>4541.4646355865862</v>
          </cell>
          <cell r="H44">
            <v>4615.3470241147879</v>
          </cell>
        </row>
        <row r="45">
          <cell r="D45">
            <v>4432.088233338909</v>
          </cell>
          <cell r="E45">
            <v>4483.4650375663032</v>
          </cell>
          <cell r="F45">
            <v>4543.3393592464981</v>
          </cell>
          <cell r="G45">
            <v>4608.9161632421728</v>
          </cell>
          <cell r="H45">
            <v>4680.7063914299051</v>
          </cell>
        </row>
        <row r="46">
          <cell r="D46">
            <v>4494.4759493295178</v>
          </cell>
          <cell r="E46">
            <v>4549.9026312380975</v>
          </cell>
          <cell r="F46">
            <v>4607.2743465906497</v>
          </cell>
          <cell r="G46">
            <v>4672.8371965502056</v>
          </cell>
          <cell r="H46">
            <v>4746.4225263024609</v>
          </cell>
        </row>
        <row r="47">
          <cell r="D47">
            <v>4559.9059784657766</v>
          </cell>
          <cell r="E47">
            <v>4612.2429488480666</v>
          </cell>
          <cell r="F47">
            <v>4672.9679451959646</v>
          </cell>
          <cell r="G47">
            <v>4736.553928970714</v>
          </cell>
          <cell r="H47">
            <v>4808.3161594939065</v>
          </cell>
        </row>
        <row r="48">
          <cell r="D48">
            <v>4622.9224478524739</v>
          </cell>
          <cell r="E48">
            <v>4677.6809338257735</v>
          </cell>
          <cell r="F48">
            <v>4735.1960522840582</v>
          </cell>
          <cell r="G48">
            <v>4801.6236887917403</v>
          </cell>
          <cell r="H48">
            <v>4872.7767428124025</v>
          </cell>
        </row>
        <row r="49">
          <cell r="D49">
            <v>4687.4358926933264</v>
          </cell>
          <cell r="E49">
            <v>4740.7110785373725</v>
          </cell>
          <cell r="F49">
            <v>4800.1500340512757</v>
          </cell>
          <cell r="G49">
            <v>4864.1959062513097</v>
          </cell>
          <cell r="H49">
            <v>4934.1319778905254</v>
          </cell>
        </row>
        <row r="50">
          <cell r="D50">
            <v>4751.4575269515653</v>
          </cell>
          <cell r="E50">
            <v>4804.9456349782722</v>
          </cell>
          <cell r="F50">
            <v>4862.8427037480733</v>
          </cell>
          <cell r="G50">
            <v>4929.6355742175874</v>
          </cell>
          <cell r="H50">
            <v>4995.7589077576049</v>
          </cell>
        </row>
        <row r="51">
          <cell r="D51">
            <v>4815.0928982110609</v>
          </cell>
          <cell r="E51">
            <v>4868.6017902912299</v>
          </cell>
          <cell r="F51">
            <v>4927.1956904722538</v>
          </cell>
          <cell r="G51">
            <v>4989.5003378607553</v>
          </cell>
          <cell r="H51">
            <v>5058.4842711724432</v>
          </cell>
        </row>
        <row r="52">
          <cell r="D52">
            <v>4880.1255625879667</v>
          </cell>
          <cell r="E52">
            <v>4932.0606377192671</v>
          </cell>
          <cell r="F52">
            <v>4990.0336585588084</v>
          </cell>
          <cell r="G52">
            <v>5052.0892668144525</v>
          </cell>
          <cell r="H52">
            <v>5121.2459036550872</v>
          </cell>
        </row>
        <row r="53">
          <cell r="D53">
            <v>4942.9187213831892</v>
          </cell>
          <cell r="E53">
            <v>4997.4396490101244</v>
          </cell>
          <cell r="F53">
            <v>5052.2732396398733</v>
          </cell>
          <cell r="G53">
            <v>5115.4400792232045</v>
          </cell>
          <cell r="H53">
            <v>5187.9479362275724</v>
          </cell>
        </row>
        <row r="54">
          <cell r="D54">
            <v>5008.7832933580094</v>
          </cell>
          <cell r="E54">
            <v>5057.8003617690756</v>
          </cell>
          <cell r="F54">
            <v>5116.1058431778374</v>
          </cell>
          <cell r="G54">
            <v>5179.1861136941852</v>
          </cell>
          <cell r="H54">
            <v>5249.1926598102818</v>
          </cell>
        </row>
        <row r="55">
          <cell r="D55">
            <v>5070.9452382022582</v>
          </cell>
          <cell r="E55">
            <v>5123.7003907261933</v>
          </cell>
          <cell r="F55">
            <v>5180.3757225034651</v>
          </cell>
          <cell r="G55">
            <v>5245.4875618998367</v>
          </cell>
          <cell r="H55">
            <v>5314.3039941845373</v>
          </cell>
        </row>
        <row r="56">
          <cell r="D56">
            <v>5135.9430310817388</v>
          </cell>
          <cell r="E56">
            <v>5187.3698557428161</v>
          </cell>
          <cell r="F56">
            <v>5248.3145201793022</v>
          </cell>
          <cell r="G56">
            <v>5308.7424938353615</v>
          </cell>
          <cell r="H56">
            <v>5377.4966559784389</v>
          </cell>
        </row>
        <row r="57">
          <cell r="D57">
            <v>5199.1963103880526</v>
          </cell>
          <cell r="E57">
            <v>5253.2647261636957</v>
          </cell>
          <cell r="F57">
            <v>5309.5273053426445</v>
          </cell>
          <cell r="G57">
            <v>5373.139573989567</v>
          </cell>
          <cell r="H57">
            <v>5438.6702458597865</v>
          </cell>
        </row>
        <row r="58">
          <cell r="D58">
            <v>5263.360901484315</v>
          </cell>
          <cell r="E58">
            <v>5315.946827408321</v>
          </cell>
          <cell r="F58">
            <v>5372.8861415776682</v>
          </cell>
          <cell r="G58">
            <v>5433.6170958710936</v>
          </cell>
          <cell r="H58">
            <v>5501.9323824093135</v>
          </cell>
        </row>
        <row r="59">
          <cell r="D59">
            <v>5327.689290730219</v>
          </cell>
          <cell r="E59">
            <v>5378.6500470373412</v>
          </cell>
          <cell r="F59">
            <v>5435.242680354555</v>
          </cell>
          <cell r="G59">
            <v>5496.9671993596457</v>
          </cell>
          <cell r="H59">
            <v>5565.5098518625491</v>
          </cell>
        </row>
        <row r="60">
          <cell r="D60">
            <v>5391.052169328852</v>
          </cell>
          <cell r="E60">
            <v>5443.6006917064578</v>
          </cell>
          <cell r="F60">
            <v>5498.332188215918</v>
          </cell>
          <cell r="G60">
            <v>5560.8560867691785</v>
          </cell>
          <cell r="H60">
            <v>5632.8038378653764</v>
          </cell>
        </row>
        <row r="61">
          <cell r="D61">
            <v>5456.4362584006394</v>
          </cell>
          <cell r="E61">
            <v>5505.5333392643561</v>
          </cell>
          <cell r="F61">
            <v>5563.2313012164523</v>
          </cell>
          <cell r="G61">
            <v>5627.396776908311</v>
          </cell>
          <cell r="H61">
            <v>5696.5928362136156</v>
          </cell>
        </row>
        <row r="62">
          <cell r="D62">
            <v>5519.0270152469757</v>
          </cell>
          <cell r="E62">
            <v>5571.71226939807</v>
          </cell>
          <cell r="F62">
            <v>5629.0118732830306</v>
          </cell>
          <cell r="G62">
            <v>5693.3346855347099</v>
          </cell>
          <cell r="H62">
            <v>5764.8702736645391</v>
          </cell>
        </row>
        <row r="63">
          <cell r="D63">
            <v>5584.6746581842135</v>
          </cell>
          <cell r="E63">
            <v>5636.2275685369232</v>
          </cell>
          <cell r="F63">
            <v>5696.5833153381827</v>
          </cell>
          <cell r="G63">
            <v>5759.6861105963708</v>
          </cell>
          <cell r="H63">
            <v>5831.7758642742501</v>
          </cell>
        </row>
        <row r="64">
          <cell r="D64">
            <v>5649.948832484999</v>
          </cell>
          <cell r="E64">
            <v>5705.1121278937144</v>
          </cell>
          <cell r="F64">
            <v>5762.3226353203409</v>
          </cell>
          <cell r="G64">
            <v>5827.76487875979</v>
          </cell>
          <cell r="H64">
            <v>5899.9048700813719</v>
          </cell>
        </row>
        <row r="65">
          <cell r="D65">
            <v>5717.9946954767738</v>
          </cell>
          <cell r="E65">
            <v>5770.4595889192997</v>
          </cell>
          <cell r="F65">
            <v>5831.598744426452</v>
          </cell>
          <cell r="G65">
            <v>5895.2604065282285</v>
          </cell>
          <cell r="H65">
            <v>5968.9532424015661</v>
          </cell>
        </row>
        <row r="66">
          <cell r="D66">
            <v>5784.0586819184891</v>
          </cell>
          <cell r="E66">
            <v>5839.1430076047091</v>
          </cell>
          <cell r="F66">
            <v>5897.2329150700543</v>
          </cell>
          <cell r="G66">
            <v>5964.3685709059691</v>
          </cell>
          <cell r="H66">
            <v>6038.3046871454753</v>
          </cell>
        </row>
        <row r="67">
          <cell r="D67">
            <v>5851.6594496836879</v>
          </cell>
          <cell r="E67">
            <v>5905.3752318195029</v>
          </cell>
          <cell r="F67">
            <v>5966.6680815597847</v>
          </cell>
          <cell r="G67">
            <v>6031.9769456836293</v>
          </cell>
          <cell r="H67">
            <v>6104.2673018124933</v>
          </cell>
        </row>
        <row r="68">
          <cell r="D68">
            <v>5918.1858261446177</v>
          </cell>
          <cell r="E68">
            <v>5973.0182618345607</v>
          </cell>
          <cell r="F68">
            <v>6033.4433483033172</v>
          </cell>
          <cell r="G68">
            <v>6100.5747752571242</v>
          </cell>
          <cell r="H68">
            <v>6168.889626402015</v>
          </cell>
        </row>
        <row r="69">
          <cell r="D69">
            <v>5985.3500482504596</v>
          </cell>
          <cell r="E69">
            <v>6039.9957868613874</v>
          </cell>
          <cell r="F69">
            <v>6102.3795989405535</v>
          </cell>
          <cell r="G69">
            <v>6164.2486428831089</v>
          </cell>
          <cell r="H69">
            <v>6235.0881200683125</v>
          </cell>
        </row>
        <row r="70">
          <cell r="D70">
            <v>6052.3420039247139</v>
          </cell>
          <cell r="E70">
            <v>6107.8836653495255</v>
          </cell>
          <cell r="F70">
            <v>6166.6722334610458</v>
          </cell>
          <cell r="G70">
            <v>6230.8845309680837</v>
          </cell>
          <cell r="H70">
            <v>6300.4888716037349</v>
          </cell>
        </row>
        <row r="71">
          <cell r="D71">
            <v>6119.0779383138506</v>
          </cell>
          <cell r="E71">
            <v>6173.8919857187802</v>
          </cell>
          <cell r="F71">
            <v>6231.3229873395803</v>
          </cell>
          <cell r="G71">
            <v>6295.0201830884398</v>
          </cell>
          <cell r="H71">
            <v>6365.9720729358742</v>
          </cell>
        </row>
        <row r="72">
          <cell r="D72">
            <v>6186.536882419874</v>
          </cell>
          <cell r="E72">
            <v>6239.0086613900839</v>
          </cell>
          <cell r="F72">
            <v>6297.7349475328356</v>
          </cell>
          <cell r="G72">
            <v>6363.0671141986095</v>
          </cell>
          <cell r="H72">
            <v>6430.2363103332473</v>
          </cell>
        </row>
        <row r="73">
          <cell r="D73">
            <v>6252.8525141348637</v>
          </cell>
          <cell r="E73">
            <v>6306.7205562734362</v>
          </cell>
          <cell r="F73">
            <v>6366.000939224954</v>
          </cell>
          <cell r="G73">
            <v>6428.1700810460788</v>
          </cell>
          <cell r="H73">
            <v>6498.0332137364976</v>
          </cell>
        </row>
        <row r="74">
          <cell r="D74">
            <v>6320.7783723382399</v>
          </cell>
          <cell r="E74">
            <v>6373.7125609793566</v>
          </cell>
          <cell r="F74">
            <v>6432.7183381803452</v>
          </cell>
          <cell r="G74">
            <v>6495.3077749655904</v>
          </cell>
          <cell r="H74">
            <v>6563.6236620449563</v>
          </cell>
        </row>
        <row r="75">
          <cell r="D75">
            <v>6386.6814302636958</v>
          </cell>
          <cell r="E75">
            <v>6441.672781355448</v>
          </cell>
          <cell r="F75">
            <v>6497.8709261323856</v>
          </cell>
          <cell r="G75">
            <v>6560.486138479986</v>
          </cell>
          <cell r="H75">
            <v>6631.4746184152809</v>
          </cell>
        </row>
        <row r="76">
          <cell r="D76">
            <v>6455.0728962151661</v>
          </cell>
          <cell r="E76">
            <v>6506.0938373564059</v>
          </cell>
          <cell r="F76">
            <v>6564.2929396202453</v>
          </cell>
          <cell r="G76">
            <v>6627.0735222023523</v>
          </cell>
          <cell r="H76">
            <v>6696.121686962174</v>
          </cell>
        </row>
        <row r="77">
          <cell r="D77">
            <v>6520.5708681037622</v>
          </cell>
          <cell r="E77">
            <v>6574.4081480508385</v>
          </cell>
          <cell r="F77">
            <v>6631.2813526599875</v>
          </cell>
          <cell r="G77">
            <v>6694.5114997782593</v>
          </cell>
          <cell r="H77">
            <v>6765.431008359853</v>
          </cell>
        </row>
        <row r="78">
          <cell r="D78">
            <v>6589.3343869731825</v>
          </cell>
          <cell r="E78">
            <v>6640.3546986076808</v>
          </cell>
          <cell r="F78">
            <v>6699.9163240208773</v>
          </cell>
          <cell r="G78">
            <v>6762.0246163774536</v>
          </cell>
          <cell r="H78">
            <v>6832.414221187697</v>
          </cell>
        </row>
        <row r="79">
          <cell r="D79">
            <v>6654.5257628160962</v>
          </cell>
          <cell r="E79">
            <v>6709.0467569098701</v>
          </cell>
          <cell r="F79">
            <v>6765.5289501711122</v>
          </cell>
          <cell r="G79">
            <v>6829.9643027024376</v>
          </cell>
          <cell r="H79">
            <v>6902.948963772873</v>
          </cell>
        </row>
        <row r="80">
          <cell r="D80">
            <v>6722.8629024654092</v>
          </cell>
          <cell r="E80">
            <v>6774.6746949155558</v>
          </cell>
          <cell r="F80">
            <v>6834.7735983456605</v>
          </cell>
          <cell r="G80">
            <v>6897.6858376824393</v>
          </cell>
          <cell r="H80">
            <v>6967.1092241532115</v>
          </cell>
        </row>
        <row r="81">
          <cell r="D81">
            <v>6788.5499964596729</v>
          </cell>
          <cell r="E81">
            <v>6843.0502277742426</v>
          </cell>
          <cell r="F81">
            <v>6900.8869383463989</v>
          </cell>
          <cell r="G81">
            <v>6965.3317888009888</v>
          </cell>
          <cell r="H81">
            <v>7033.0400612131916</v>
          </cell>
        </row>
        <row r="82">
          <cell r="D82">
            <v>6856.4683073228825</v>
          </cell>
          <cell r="E82">
            <v>6909.3651798323854</v>
          </cell>
          <cell r="F82">
            <v>6970.3918944161269</v>
          </cell>
          <cell r="G82">
            <v>7029.6669566151886</v>
          </cell>
          <cell r="H82">
            <v>7098.4169788056379</v>
          </cell>
        </row>
        <row r="83">
          <cell r="D83">
            <v>6922.6465623783333</v>
          </cell>
          <cell r="E83">
            <v>6977.864099891106</v>
          </cell>
          <cell r="F83">
            <v>7033.5402391663247</v>
          </cell>
          <cell r="G83">
            <v>7095.9542756901392</v>
          </cell>
          <cell r="H83">
            <v>7163.2532092773636</v>
          </cell>
        </row>
        <row r="84">
          <cell r="D84">
            <v>6990.1533759886324</v>
          </cell>
          <cell r="E84">
            <v>7042.1339851414859</v>
          </cell>
          <cell r="F84">
            <v>7099.4311889804285</v>
          </cell>
          <cell r="G84">
            <v>7160.1665826971657</v>
          </cell>
          <cell r="H84">
            <v>7229.1499408717918</v>
          </cell>
        </row>
        <row r="85">
          <cell r="D85">
            <v>7056.8177050953855</v>
          </cell>
          <cell r="E85">
            <v>7108.9768933125815</v>
          </cell>
          <cell r="F85">
            <v>7164.874823510946</v>
          </cell>
          <cell r="G85">
            <v>7228.5765853689554</v>
          </cell>
          <cell r="H85">
            <v>7293.8352338376762</v>
          </cell>
        </row>
        <row r="86">
          <cell r="D86">
            <v>7123.9201449359607</v>
          </cell>
          <cell r="E86">
            <v>7176.132632872982</v>
          </cell>
          <cell r="F86">
            <v>7233.6037098586512</v>
          </cell>
          <cell r="G86">
            <v>7293.5350717115061</v>
          </cell>
          <cell r="H86">
            <v>7361.582013904168</v>
          </cell>
        </row>
        <row r="87">
          <cell r="D87">
            <v>7191.0650393413598</v>
          </cell>
          <cell r="E87">
            <v>7243.6179569673941</v>
          </cell>
          <cell r="F87">
            <v>7299.4068993376604</v>
          </cell>
          <cell r="G87">
            <v>7360.9233956913004</v>
          </cell>
          <cell r="H87">
            <v>7427.9255981153665</v>
          </cell>
        </row>
        <row r="88">
          <cell r="D88">
            <v>7257.7700307679652</v>
          </cell>
          <cell r="E88">
            <v>7309.7592678461178</v>
          </cell>
          <cell r="F88">
            <v>7365.5472167192656</v>
          </cell>
          <cell r="G88">
            <v>7427.3763930639598</v>
          </cell>
          <cell r="H88">
            <v>7496.3491154445537</v>
          </cell>
        </row>
        <row r="89">
          <cell r="D89">
            <v>7325.3896513009249</v>
          </cell>
          <cell r="E89">
            <v>7376.0748183577853</v>
          </cell>
          <cell r="F89">
            <v>7432.7116435634034</v>
          </cell>
          <cell r="G89">
            <v>7496.9826703325634</v>
          </cell>
          <cell r="H89">
            <v>7556.0909841064313</v>
          </cell>
        </row>
        <row r="90">
          <cell r="D90">
            <v>7391.703930648232</v>
          </cell>
          <cell r="E90">
            <v>7444.2913866891213</v>
          </cell>
          <cell r="F90">
            <v>7500.9766300257579</v>
          </cell>
          <cell r="G90">
            <v>7559.6256903639569</v>
          </cell>
          <cell r="H90">
            <v>7618.2526243554612</v>
          </cell>
        </row>
        <row r="91">
          <cell r="D91">
            <v>7459.7921847068637</v>
          </cell>
          <cell r="E91">
            <v>7511.829617379196</v>
          </cell>
          <cell r="F91">
            <v>7567.301633179989</v>
          </cell>
          <cell r="G91">
            <v>7621.234347485708</v>
          </cell>
          <cell r="H91">
            <v>7679.6637451558699</v>
          </cell>
        </row>
        <row r="92">
          <cell r="D92">
            <v>7525.7223076748915</v>
          </cell>
          <cell r="E92">
            <v>7578.897495775007</v>
          </cell>
          <cell r="F92">
            <v>7627.993678963393</v>
          </cell>
          <cell r="G92">
            <v>7683.4351188384899</v>
          </cell>
          <cell r="H92">
            <v>7739.4334927433802</v>
          </cell>
        </row>
        <row r="93">
          <cell r="D93">
            <v>7594.2729140195461</v>
          </cell>
          <cell r="E93">
            <v>7639.7214321439733</v>
          </cell>
          <cell r="F93">
            <v>7692.1192353066954</v>
          </cell>
          <cell r="G93">
            <v>7742.4371596694982</v>
          </cell>
          <cell r="H93">
            <v>7799.9355476740957</v>
          </cell>
        </row>
        <row r="94">
          <cell r="D94">
            <v>7659.8252634231749</v>
          </cell>
          <cell r="E94">
            <v>7708.542162617312</v>
          </cell>
          <cell r="F94">
            <v>7755.4959541611015</v>
          </cell>
          <cell r="G94">
            <v>7809.8721372753316</v>
          </cell>
          <cell r="H94">
            <v>7863.425055198697</v>
          </cell>
        </row>
        <row r="95">
          <cell r="D95">
            <v>7728.6470626701648</v>
          </cell>
          <cell r="E95">
            <v>7772.4285339835969</v>
          </cell>
          <cell r="F95">
            <v>7823.0950009437602</v>
          </cell>
          <cell r="G95">
            <v>7873.689666001048</v>
          </cell>
          <cell r="H95">
            <v>7928.4969997617018</v>
          </cell>
        </row>
        <row r="96">
          <cell r="D96">
            <v>7794.0125995524631</v>
          </cell>
          <cell r="E96">
            <v>7840.659544186844</v>
          </cell>
          <cell r="F96">
            <v>7888.0310631705115</v>
          </cell>
          <cell r="G96">
            <v>7939.7988787201884</v>
          </cell>
          <cell r="H96">
            <v>7991.4208810757218</v>
          </cell>
        </row>
        <row r="97">
          <cell r="D97">
            <v>7862.436174456041</v>
          </cell>
          <cell r="E97">
            <v>7905.7869409358391</v>
          </cell>
          <cell r="F97">
            <v>7954.8076625951617</v>
          </cell>
          <cell r="G97">
            <v>8003.4530106928969</v>
          </cell>
          <cell r="H97">
            <v>8056.4865346365668</v>
          </cell>
        </row>
        <row r="98">
          <cell r="D98">
            <v>7928.2838700936845</v>
          </cell>
          <cell r="E98">
            <v>7974.1452913721341</v>
          </cell>
          <cell r="F98">
            <v>8019.3273390033364</v>
          </cell>
          <cell r="G98">
            <v>8068.7185373346801</v>
          </cell>
          <cell r="H98">
            <v>8123.8289705589768</v>
          </cell>
        </row>
        <row r="99">
          <cell r="D99">
            <v>7996.3157135581278</v>
          </cell>
          <cell r="E99">
            <v>8039.0870529884769</v>
          </cell>
          <cell r="F99">
            <v>8084.5792648501019</v>
          </cell>
          <cell r="G99">
            <v>8135.2362918407725</v>
          </cell>
          <cell r="H99">
            <v>8192.1316321108388</v>
          </cell>
        </row>
        <row r="100">
          <cell r="D100">
            <v>8062.6384257945538</v>
          </cell>
          <cell r="E100">
            <v>8105.6535794428028</v>
          </cell>
          <cell r="F100">
            <v>8153.232771226174</v>
          </cell>
          <cell r="G100">
            <v>8205.3890418266001</v>
          </cell>
          <cell r="H100">
            <v>8263.5165952675561</v>
          </cell>
        </row>
        <row r="101">
          <cell r="D101">
            <v>8130.2848669690393</v>
          </cell>
          <cell r="E101">
            <v>8174.3263351667183</v>
          </cell>
          <cell r="F101">
            <v>8223.4023573310569</v>
          </cell>
          <cell r="G101">
            <v>8276.5483052665913</v>
          </cell>
          <cell r="H101">
            <v>8335.5218110725364</v>
          </cell>
        </row>
        <row r="102">
          <cell r="D102">
            <v>8197.0754516970574</v>
          </cell>
          <cell r="E102">
            <v>8242.7153089140375</v>
          </cell>
          <cell r="F102">
            <v>8292.339753941611</v>
          </cell>
          <cell r="G102">
            <v>8346.3650287732671</v>
          </cell>
          <cell r="H102">
            <v>8400.7477093078123</v>
          </cell>
        </row>
        <row r="103">
          <cell r="D103">
            <v>8264.3426622219631</v>
          </cell>
          <cell r="E103">
            <v>8310.2428306858419</v>
          </cell>
          <cell r="F103">
            <v>8360.0042099102466</v>
          </cell>
          <cell r="G103">
            <v>8411.7844456964613</v>
          </cell>
          <cell r="H103">
            <v>8464.9127628067745</v>
          </cell>
        </row>
        <row r="104">
          <cell r="D104">
            <v>8331.5939989486415</v>
          </cell>
          <cell r="E104">
            <v>8377.6955934140733</v>
          </cell>
          <cell r="F104">
            <v>8426.5685304832405</v>
          </cell>
          <cell r="G104">
            <v>8475.197516897897</v>
          </cell>
          <cell r="H104">
            <v>8529.7353484420164</v>
          </cell>
        </row>
        <row r="105">
          <cell r="D105">
            <v>8398.4879988131961</v>
          </cell>
          <cell r="E105">
            <v>8443.9512739205456</v>
          </cell>
          <cell r="F105">
            <v>8489.4010346323121</v>
          </cell>
          <cell r="G105">
            <v>8539.9103008807124</v>
          </cell>
          <cell r="H105">
            <v>8594.4593793802942</v>
          </cell>
        </row>
        <row r="106">
          <cell r="D106">
            <v>8466.1930117011798</v>
          </cell>
          <cell r="E106">
            <v>8508.3763667062649</v>
          </cell>
          <cell r="F106">
            <v>8555.8453389976094</v>
          </cell>
          <cell r="G106">
            <v>8605.4541998878703</v>
          </cell>
          <cell r="H106">
            <v>8662.0261567759662</v>
          </cell>
        </row>
        <row r="107">
          <cell r="D107">
            <v>8532.7196747503149</v>
          </cell>
          <cell r="E107">
            <v>8577.0023936067737</v>
          </cell>
          <cell r="F107">
            <v>8623.1533402271834</v>
          </cell>
          <cell r="G107">
            <v>8675.7233285169023</v>
          </cell>
          <cell r="H107">
            <v>8729.3396752318149</v>
          </cell>
        </row>
        <row r="108">
          <cell r="D108">
            <v>8600.8713498260877</v>
          </cell>
          <cell r="E108">
            <v>8643.6952996213076</v>
          </cell>
          <cell r="F108">
            <v>8692.869497085283</v>
          </cell>
          <cell r="G108">
            <v>8742.2396624597877</v>
          </cell>
          <cell r="H108">
            <v>8797.7862645108053</v>
          </cell>
        </row>
        <row r="109">
          <cell r="D109">
            <v>8667.0364089495706</v>
          </cell>
          <cell r="E109">
            <v>8712.9826574193867</v>
          </cell>
          <cell r="F109">
            <v>8758.5837231091937</v>
          </cell>
          <cell r="G109">
            <v>8810.8243903139846</v>
          </cell>
          <cell r="H109">
            <v>8861.2079069363099</v>
          </cell>
        </row>
        <row r="110">
          <cell r="D110">
            <v>8735.6278080669254</v>
          </cell>
          <cell r="E110">
            <v>8778.2847825450335</v>
          </cell>
          <cell r="F110">
            <v>8827.7987660046656</v>
          </cell>
          <cell r="G110">
            <v>8873.6970459928525</v>
          </cell>
          <cell r="H110">
            <v>8927.0102918190023</v>
          </cell>
        </row>
        <row r="111">
          <cell r="D111">
            <v>8801.4368600997659</v>
          </cell>
          <cell r="E111">
            <v>8847.1573149325686</v>
          </cell>
          <cell r="F111">
            <v>8890.3392312856377</v>
          </cell>
          <cell r="G111">
            <v>8939.7540390571448</v>
          </cell>
          <cell r="H111">
            <v>8991.663449571719</v>
          </cell>
        </row>
        <row r="112">
          <cell r="D112">
            <v>8870.4611321594093</v>
          </cell>
          <cell r="E112">
            <v>8910.5793781313932</v>
          </cell>
          <cell r="F112">
            <v>8956.4476422637272</v>
          </cell>
          <cell r="G112">
            <v>9004.1855520531826</v>
          </cell>
          <cell r="H112">
            <v>9059.5591141330733</v>
          </cell>
        </row>
        <row r="113">
          <cell r="D113">
            <v>8935.9196425189639</v>
          </cell>
          <cell r="E113">
            <v>8978.9188215849863</v>
          </cell>
          <cell r="F113">
            <v>9023.9742830719788</v>
          </cell>
          <cell r="G113">
            <v>9073.9943614471813</v>
          </cell>
          <cell r="H113">
            <v>9127.3224714907956</v>
          </cell>
        </row>
        <row r="114">
          <cell r="D114">
            <v>9004.6408675687671</v>
          </cell>
          <cell r="E114">
            <v>9046.1287240722304</v>
          </cell>
          <cell r="F114">
            <v>9093.2224211633438</v>
          </cell>
          <cell r="G114">
            <v>9142.6839752914966</v>
          </cell>
          <cell r="H114">
            <v>9198.1867647056097</v>
          </cell>
        </row>
        <row r="115">
          <cell r="D115">
            <v>9070.4833394530542</v>
          </cell>
          <cell r="E115">
            <v>9114.6737906797462</v>
          </cell>
          <cell r="F115">
            <v>9160.4169527518316</v>
          </cell>
          <cell r="G115">
            <v>9211.3722358373288</v>
          </cell>
          <cell r="H115">
            <v>9262.5402417517616</v>
          </cell>
        </row>
        <row r="116">
          <cell r="D116">
            <v>9138.8345847910641</v>
          </cell>
          <cell r="E116">
            <v>9181.586561984117</v>
          </cell>
          <cell r="F116">
            <v>9228.7957794339563</v>
          </cell>
          <cell r="G116">
            <v>9276.8918714801857</v>
          </cell>
          <cell r="H116">
            <v>9327.9418699074558</v>
          </cell>
        </row>
        <row r="117">
          <cell r="D117">
            <v>9205.1265141991007</v>
          </cell>
          <cell r="E117">
            <v>9249.487602158224</v>
          </cell>
          <cell r="F117">
            <v>9294.3116472404508</v>
          </cell>
          <cell r="G117">
            <v>9341.5681191539097</v>
          </cell>
          <cell r="H117">
            <v>9392.8360857153821</v>
          </cell>
        </row>
        <row r="118">
          <cell r="D118">
            <v>9273.11336971315</v>
          </cell>
          <cell r="E118">
            <v>9314.6342765223671</v>
          </cell>
          <cell r="F118">
            <v>9358.3465384084921</v>
          </cell>
          <cell r="G118">
            <v>9405.9685532497842</v>
          </cell>
          <cell r="H118">
            <v>9457.0432709865909</v>
          </cell>
        </row>
        <row r="119">
          <cell r="D119">
            <v>9339.8477193800427</v>
          </cell>
          <cell r="E119">
            <v>9381.0597738310807</v>
          </cell>
          <cell r="F119">
            <v>9425.4284734329576</v>
          </cell>
          <cell r="G119">
            <v>9473.0528781601242</v>
          </cell>
          <cell r="H119">
            <v>9525.0055056035817</v>
          </cell>
        </row>
        <row r="120">
          <cell r="D120">
            <v>9407.4756475513695</v>
          </cell>
          <cell r="E120">
            <v>9448.858139758293</v>
          </cell>
          <cell r="F120">
            <v>9492.7597957455237</v>
          </cell>
          <cell r="G120">
            <v>9541.5741365011127</v>
          </cell>
          <cell r="H120">
            <v>9592.6729194306481</v>
          </cell>
        </row>
        <row r="121">
          <cell r="D121">
            <v>9474.645504649312</v>
          </cell>
          <cell r="E121">
            <v>9515.8825463840603</v>
          </cell>
          <cell r="F121">
            <v>9561.3208154410822</v>
          </cell>
          <cell r="G121">
            <v>9609.2126738180541</v>
          </cell>
          <cell r="H121">
            <v>9661.2208257096499</v>
          </cell>
        </row>
        <row r="122">
          <cell r="D122">
            <v>9541.9198446077917</v>
          </cell>
          <cell r="E122">
            <v>9584.3850498495958</v>
          </cell>
          <cell r="F122">
            <v>9628.7780384292182</v>
          </cell>
          <cell r="G122">
            <v>9678.1643983802387</v>
          </cell>
          <cell r="H122">
            <v>9725.4656492906943</v>
          </cell>
        </row>
        <row r="123">
          <cell r="D123">
            <v>9609.5184230627638</v>
          </cell>
          <cell r="E123">
            <v>9651.4335426471262</v>
          </cell>
          <cell r="F123">
            <v>9697.4598905166167</v>
          </cell>
          <cell r="G123">
            <v>9741.3314878136025</v>
          </cell>
          <cell r="H123">
            <v>9791.8752205023811</v>
          </cell>
        </row>
        <row r="124">
          <cell r="D124">
            <v>9676.4443944555514</v>
          </cell>
          <cell r="E124">
            <v>9718.9921244478937</v>
          </cell>
          <cell r="F124">
            <v>9760.4131448162898</v>
          </cell>
          <cell r="G124">
            <v>9807.383875587273</v>
          </cell>
          <cell r="H124">
            <v>9856.7913166257658</v>
          </cell>
        </row>
        <row r="125">
          <cell r="D125">
            <v>9744.4650363204728</v>
          </cell>
          <cell r="E125">
            <v>9783.4793164008734</v>
          </cell>
          <cell r="F125">
            <v>9827.522464183945</v>
          </cell>
          <cell r="G125">
            <v>9872.1609454055506</v>
          </cell>
          <cell r="H125">
            <v>9924.8748404290436</v>
          </cell>
        </row>
        <row r="126">
          <cell r="D126">
            <v>9811.0477430073333</v>
          </cell>
          <cell r="E126">
            <v>9852.4741214672613</v>
          </cell>
          <cell r="F126">
            <v>9894.7726095039707</v>
          </cell>
          <cell r="G126">
            <v>9943.3069314785971</v>
          </cell>
          <cell r="H126">
            <v>9993.175135493495</v>
          </cell>
        </row>
        <row r="127">
          <cell r="D127">
            <v>9879.4839190509247</v>
          </cell>
          <cell r="E127">
            <v>9919.5043356939605</v>
          </cell>
          <cell r="F127">
            <v>9964.7319695259612</v>
          </cell>
          <cell r="G127">
            <v>10010.915591206511</v>
          </cell>
          <cell r="H127">
            <v>10064.364412798423</v>
          </cell>
        </row>
        <row r="128">
          <cell r="D128">
            <v>9945.7283526381671</v>
          </cell>
          <cell r="E128">
            <v>9988.2764865924219</v>
          </cell>
          <cell r="F128">
            <v>10031.59903320772</v>
          </cell>
          <cell r="G128">
            <v>10080.480874312852</v>
          </cell>
          <cell r="H128">
            <v>10127.030576080153</v>
          </cell>
        </row>
        <row r="129">
          <cell r="D129">
            <v>10014.573662284723</v>
          </cell>
          <cell r="E129">
            <v>10054.946074184756</v>
          </cell>
          <cell r="F129">
            <v>10100.701474338126</v>
          </cell>
          <cell r="G129">
            <v>10144.15915745983</v>
          </cell>
          <cell r="H129">
            <v>10191.698817163728</v>
          </cell>
        </row>
        <row r="130">
          <cell r="D130">
            <v>10080.484705508437</v>
          </cell>
          <cell r="E130">
            <v>10123.755252011966</v>
          </cell>
          <cell r="F130">
            <v>10163.927642580593</v>
          </cell>
          <cell r="G130">
            <v>10207.918432479593</v>
          </cell>
          <cell r="H130">
            <v>10256.363111863811</v>
          </cell>
        </row>
        <row r="131">
          <cell r="D131">
            <v>10149.690943272972</v>
          </cell>
          <cell r="E131">
            <v>10186.642161836602</v>
          </cell>
          <cell r="F131">
            <v>10228.049353201317</v>
          </cell>
          <cell r="G131">
            <v>10272.420579027341</v>
          </cell>
          <cell r="H131">
            <v>10322.230506235781</v>
          </cell>
        </row>
        <row r="132">
          <cell r="D132">
            <v>10215.315306211396</v>
          </cell>
          <cell r="E132">
            <v>10254.874070546768</v>
          </cell>
          <cell r="F132">
            <v>10296.36426273693</v>
          </cell>
          <cell r="G132">
            <v>10342.004173493671</v>
          </cell>
          <cell r="H132">
            <v>10391.438486586627</v>
          </cell>
        </row>
        <row r="133">
          <cell r="D133">
            <v>10284.169345009299</v>
          </cell>
          <cell r="E133">
            <v>10322.39596331937</v>
          </cell>
          <cell r="F133">
            <v>10365.453667385293</v>
          </cell>
          <cell r="G133">
            <v>10411.47414391671</v>
          </cell>
          <cell r="H133">
            <v>10461.069740121369</v>
          </cell>
        </row>
        <row r="134">
          <cell r="D134">
            <v>10350.218683850997</v>
          </cell>
          <cell r="E134">
            <v>10390.679555384882</v>
          </cell>
          <cell r="F134">
            <v>10433.482422917481</v>
          </cell>
          <cell r="G134">
            <v>10480.261367048963</v>
          </cell>
          <cell r="H134">
            <v>10528.349317864413</v>
          </cell>
        </row>
        <row r="135">
          <cell r="D135">
            <v>10418.725533783756</v>
          </cell>
          <cell r="E135">
            <v>10458.209033612722</v>
          </cell>
          <cell r="F135">
            <v>10502.372210011868</v>
          </cell>
          <cell r="G135">
            <v>10547.428454475499</v>
          </cell>
          <cell r="H135">
            <v>10593.159540397482</v>
          </cell>
        </row>
        <row r="136">
          <cell r="D136">
            <v>10485.193393640169</v>
          </cell>
          <cell r="E136">
            <v>10526.375843787282</v>
          </cell>
          <cell r="F136">
            <v>10568.416857784301</v>
          </cell>
          <cell r="G136">
            <v>10611.001750564903</v>
          </cell>
          <cell r="H136">
            <v>10659.034382991296</v>
          </cell>
        </row>
        <row r="137">
          <cell r="D137">
            <v>10553.357958132943</v>
          </cell>
          <cell r="E137">
            <v>10591.904335866573</v>
          </cell>
          <cell r="F137">
            <v>10632.184008378683</v>
          </cell>
          <cell r="G137">
            <v>10676.989170278477</v>
          </cell>
          <cell r="H137">
            <v>10723.746273633435</v>
          </cell>
        </row>
        <row r="138">
          <cell r="D138">
            <v>10620.238018096192</v>
          </cell>
          <cell r="E138">
            <v>10658.300638407094</v>
          </cell>
          <cell r="F138">
            <v>10699.773107342662</v>
          </cell>
          <cell r="G138">
            <v>10743.454269294487</v>
          </cell>
          <cell r="H138">
            <v>10793.831295506459</v>
          </cell>
        </row>
        <row r="139">
          <cell r="D139">
            <v>10688.065096972121</v>
          </cell>
          <cell r="E139">
            <v>10726.767223275205</v>
          </cell>
          <cell r="F139">
            <v>10768.516295082965</v>
          </cell>
          <cell r="G139">
            <v>10814.69941335345</v>
          </cell>
          <cell r="H139">
            <v>10862.201443082113</v>
          </cell>
        </row>
        <row r="140">
          <cell r="D140">
            <v>10755.35116789837</v>
          </cell>
          <cell r="E140">
            <v>10794.47271689071</v>
          </cell>
          <cell r="F140">
            <v>10837.922051144531</v>
          </cell>
          <cell r="G140">
            <v>10882.016913289015</v>
          </cell>
          <cell r="H140">
            <v>10932.161070647198</v>
          </cell>
        </row>
        <row r="141">
          <cell r="D141">
            <v>10822.845460334433</v>
          </cell>
          <cell r="E141">
            <v>10862.773600181163</v>
          </cell>
          <cell r="F141">
            <v>10904.694445067988</v>
          </cell>
          <cell r="G141">
            <v>10951.645543180133</v>
          </cell>
          <cell r="H141">
            <v>10995.376603282679</v>
          </cell>
        </row>
        <row r="142">
          <cell r="D142">
            <v>10890.531482463473</v>
          </cell>
          <cell r="E142">
            <v>10929.711634638872</v>
          </cell>
          <cell r="F142">
            <v>10973.823552916361</v>
          </cell>
          <cell r="G142">
            <v>11014.775632169751</v>
          </cell>
          <cell r="H142">
            <v>11061.787672283759</v>
          </cell>
        </row>
        <row r="143">
          <cell r="D143">
            <v>10957.697589834352</v>
          </cell>
          <cell r="E143">
            <v>10998.073313452514</v>
          </cell>
          <cell r="F143">
            <v>11036.865319740711</v>
          </cell>
          <cell r="G143">
            <v>11080.503155460588</v>
          </cell>
          <cell r="H143">
            <v>11126.538424657385</v>
          </cell>
        </row>
        <row r="144">
          <cell r="D144">
            <v>11025.777630285997</v>
          </cell>
          <cell r="E144">
            <v>11062.568268990493</v>
          </cell>
          <cell r="F144">
            <v>11103.437692473757</v>
          </cell>
          <cell r="G144">
            <v>11146.22197249871</v>
          </cell>
          <cell r="H144">
            <v>11194.324622012195</v>
          </cell>
        </row>
        <row r="145">
          <cell r="D145">
            <v>11092.620058901943</v>
          </cell>
          <cell r="E145">
            <v>11131.773709759127</v>
          </cell>
          <cell r="F145">
            <v>11171.3599457823</v>
          </cell>
          <cell r="G145">
            <v>11216.212587489019</v>
          </cell>
          <cell r="H145">
            <v>11262.7870415328</v>
          </cell>
        </row>
        <row r="146">
          <cell r="D146">
            <v>11161.088309083296</v>
          </cell>
          <cell r="E146">
            <v>11198.438665440473</v>
          </cell>
          <cell r="F146">
            <v>11241.028334258455</v>
          </cell>
          <cell r="G146">
            <v>11284.368865338911</v>
          </cell>
          <cell r="H146">
            <v>11333.127000890931</v>
          </cell>
        </row>
        <row r="147">
          <cell r="D147">
            <v>11227.611472827422</v>
          </cell>
          <cell r="E147">
            <v>11267.642726495353</v>
          </cell>
          <cell r="F147">
            <v>11308.131233660075</v>
          </cell>
          <cell r="G147">
            <v>11353.781768653716</v>
          </cell>
          <cell r="H147">
            <v>11398.826079488364</v>
          </cell>
        </row>
        <row r="148">
          <cell r="D148">
            <v>11296.46224577941</v>
          </cell>
          <cell r="E148">
            <v>11334.525663222885</v>
          </cell>
          <cell r="F148">
            <v>11377.47106937299</v>
          </cell>
          <cell r="G148">
            <v>11419.478712463875</v>
          </cell>
          <cell r="H148">
            <v>11464.430099386973</v>
          </cell>
        </row>
        <row r="149">
          <cell r="D149">
            <v>11362.670468649558</v>
          </cell>
          <cell r="E149">
            <v>11403.293450531875</v>
          </cell>
          <cell r="F149">
            <v>11441.962550796872</v>
          </cell>
          <cell r="G149">
            <v>11484.074659052649</v>
          </cell>
          <cell r="H149">
            <v>11529.242541576048</v>
          </cell>
        </row>
        <row r="150">
          <cell r="D150">
            <v>11431.898196356453</v>
          </cell>
          <cell r="E150">
            <v>11467.307935688159</v>
          </cell>
          <cell r="F150">
            <v>11506.434798405422</v>
          </cell>
          <cell r="G150">
            <v>11547.993015957931</v>
          </cell>
          <cell r="H150">
            <v>11593.913679298559</v>
          </cell>
        </row>
        <row r="151">
          <cell r="D151">
            <v>11497.795714916256</v>
          </cell>
          <cell r="E151">
            <v>11535.74702933821</v>
          </cell>
          <cell r="F151">
            <v>11573.571172452823</v>
          </cell>
          <cell r="G151">
            <v>11615.331010836411</v>
          </cell>
          <cell r="H151">
            <v>11660.147051593451</v>
          </cell>
        </row>
        <row r="152">
          <cell r="D152">
            <v>11566.98745730492</v>
          </cell>
          <cell r="E152">
            <v>11602.727148234306</v>
          </cell>
          <cell r="F152">
            <v>11641.008196465773</v>
          </cell>
          <cell r="G152">
            <v>11682.726594348153</v>
          </cell>
          <cell r="H152">
            <v>11724.403494056831</v>
          </cell>
        </row>
        <row r="153">
          <cell r="D153">
            <v>11624.742579711263</v>
          </cell>
          <cell r="E153">
            <v>11664.058947922429</v>
          </cell>
          <cell r="F153">
            <v>11708.151587460217</v>
          </cell>
          <cell r="G153">
            <v>11748.840204438227</v>
          </cell>
          <cell r="H153">
            <v>11792.448639298313</v>
          </cell>
        </row>
        <row r="154">
          <cell r="D154">
            <v>11676.328822995258</v>
          </cell>
          <cell r="E154">
            <v>11713.827000093619</v>
          </cell>
          <cell r="F154">
            <v>11758.457867652043</v>
          </cell>
          <cell r="G154">
            <v>11804.511526652987</v>
          </cell>
          <cell r="H154">
            <v>11858.396875073729</v>
          </cell>
        </row>
        <row r="155">
          <cell r="D155">
            <v>11725.442568885095</v>
          </cell>
          <cell r="E155">
            <v>11763.745670637551</v>
          </cell>
          <cell r="F155">
            <v>11810.181406204985</v>
          </cell>
          <cell r="G155">
            <v>11860.867580422104</v>
          </cell>
          <cell r="H155">
            <v>11890</v>
          </cell>
        </row>
        <row r="156">
          <cell r="D156">
            <v>11776.704617727821</v>
          </cell>
          <cell r="E156">
            <v>11818.502895887566</v>
          </cell>
          <cell r="F156">
            <v>11865.275890824516</v>
          </cell>
          <cell r="G156">
            <v>11890</v>
          </cell>
          <cell r="H156">
            <v>11890</v>
          </cell>
        </row>
        <row r="157">
          <cell r="D157">
            <v>11823.556106724936</v>
          </cell>
          <cell r="E157">
            <v>11869.742879106872</v>
          </cell>
          <cell r="F157">
            <v>11890</v>
          </cell>
          <cell r="G157">
            <v>11890</v>
          </cell>
          <cell r="H157">
            <v>11890</v>
          </cell>
        </row>
        <row r="158">
          <cell r="D158">
            <v>11871.775179422561</v>
          </cell>
          <cell r="E158">
            <v>11890</v>
          </cell>
          <cell r="F158">
            <v>11890</v>
          </cell>
          <cell r="G158">
            <v>11890</v>
          </cell>
          <cell r="H158">
            <v>11890</v>
          </cell>
        </row>
        <row r="159">
          <cell r="D159">
            <v>11890</v>
          </cell>
          <cell r="E159">
            <v>11890</v>
          </cell>
          <cell r="F159">
            <v>11890</v>
          </cell>
          <cell r="G159">
            <v>11890</v>
          </cell>
          <cell r="H159">
            <v>11890</v>
          </cell>
        </row>
        <row r="160">
          <cell r="D160">
            <v>11890</v>
          </cell>
          <cell r="E160">
            <v>11890</v>
          </cell>
          <cell r="F160">
            <v>11890</v>
          </cell>
          <cell r="G160">
            <v>11890</v>
          </cell>
          <cell r="H160">
            <v>11890</v>
          </cell>
        </row>
        <row r="161">
          <cell r="D161">
            <v>11890</v>
          </cell>
          <cell r="E161">
            <v>11890</v>
          </cell>
          <cell r="F161">
            <v>11890</v>
          </cell>
          <cell r="G161">
            <v>11890</v>
          </cell>
          <cell r="H161">
            <v>11890</v>
          </cell>
        </row>
        <row r="162">
          <cell r="D162">
            <v>11890</v>
          </cell>
          <cell r="E162">
            <v>11890</v>
          </cell>
          <cell r="F162">
            <v>11890</v>
          </cell>
          <cell r="G162">
            <v>11890</v>
          </cell>
          <cell r="H162">
            <v>11890</v>
          </cell>
        </row>
        <row r="163">
          <cell r="D163">
            <v>11890</v>
          </cell>
          <cell r="E163">
            <v>11890</v>
          </cell>
          <cell r="F163">
            <v>11890</v>
          </cell>
          <cell r="G163">
            <v>11890</v>
          </cell>
          <cell r="H163">
            <v>11890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7">
          <cell r="Z7">
            <v>1.3261167529144864</v>
          </cell>
          <cell r="AE7">
            <v>1.8692830080213911</v>
          </cell>
          <cell r="AJ7">
            <v>3.1583367092135126</v>
          </cell>
          <cell r="AO7">
            <v>7.4992242435651049</v>
          </cell>
        </row>
        <row r="8">
          <cell r="Z8">
            <v>1.276325027060969</v>
          </cell>
          <cell r="AE8">
            <v>1.8094371394140152</v>
          </cell>
          <cell r="AJ8">
            <v>3.0842207717094436</v>
          </cell>
          <cell r="AO8">
            <v>8.5938082070728701</v>
          </cell>
        </row>
        <row r="9">
          <cell r="Z9">
            <v>1.2607853690125306</v>
          </cell>
          <cell r="AE9">
            <v>1.7734796378766728</v>
          </cell>
          <cell r="AJ9">
            <v>3.1076919539993271</v>
          </cell>
          <cell r="AO9">
            <v>11.011859182842645</v>
          </cell>
        </row>
        <row r="10">
          <cell r="Z10">
            <v>1.2526981752285258</v>
          </cell>
          <cell r="AE10">
            <v>1.7774212515359076</v>
          </cell>
          <cell r="AJ10">
            <v>3.7089810671517176</v>
          </cell>
          <cell r="AO10">
            <v>11.98515748686691</v>
          </cell>
        </row>
        <row r="11">
          <cell r="Z11">
            <v>1.2680236602654646</v>
          </cell>
          <cell r="AE11">
            <v>1.9422987023142755</v>
          </cell>
          <cell r="AJ11">
            <v>4.4238839694309746</v>
          </cell>
          <cell r="AO11">
            <v>12.304469325484646</v>
          </cell>
        </row>
        <row r="12">
          <cell r="Z12">
            <v>1.3275560376254887</v>
          </cell>
          <cell r="AE12">
            <v>2.1966395758442112</v>
          </cell>
          <cell r="AJ12">
            <v>4.7459763001473565</v>
          </cell>
          <cell r="AO12">
            <v>12.320668060583808</v>
          </cell>
        </row>
        <row r="13">
          <cell r="Z13">
            <v>1.3867357651600329</v>
          </cell>
          <cell r="AE13">
            <v>2.351469876686882</v>
          </cell>
          <cell r="AJ13">
            <v>4.8836426013163923</v>
          </cell>
          <cell r="AO13">
            <v>12.018593481544855</v>
          </cell>
        </row>
        <row r="14">
          <cell r="Z14">
            <v>1.4075468546556544</v>
          </cell>
          <cell r="AE14">
            <v>2.3302065064535191</v>
          </cell>
          <cell r="AJ14">
            <v>4.8162870569409124</v>
          </cell>
          <cell r="AO14">
            <v>11.444684016355662</v>
          </cell>
        </row>
        <row r="15">
          <cell r="Z15">
            <v>1.4258146269214853</v>
          </cell>
          <cell r="AE15">
            <v>2.3131190305402023</v>
          </cell>
          <cell r="AJ15">
            <v>4.6200656699231706</v>
          </cell>
          <cell r="AO15">
            <v>10.879588115791348</v>
          </cell>
        </row>
        <row r="16">
          <cell r="Z16">
            <v>1.4404573828946401</v>
          </cell>
          <cell r="AE16">
            <v>2.2860502989960341</v>
          </cell>
          <cell r="AJ16">
            <v>4.4420340611019427</v>
          </cell>
          <cell r="AO16">
            <v>10.85157043287855</v>
          </cell>
        </row>
        <row r="17">
          <cell r="Z17">
            <v>1.4257018665273564</v>
          </cell>
          <cell r="AE17">
            <v>2.19138924432696</v>
          </cell>
          <cell r="AJ17">
            <v>4.2295769758643083</v>
          </cell>
          <cell r="AO17">
            <v>10.660999311458284</v>
          </cell>
        </row>
        <row r="18">
          <cell r="Z18">
            <v>1.4065912923442818</v>
          </cell>
          <cell r="AE18">
            <v>2.055823463980381</v>
          </cell>
          <cell r="AJ18">
            <v>4.0162077834325505</v>
          </cell>
          <cell r="AO18">
            <v>10.463145620957867</v>
          </cell>
        </row>
        <row r="19">
          <cell r="Z19">
            <v>1.3808805332715555</v>
          </cell>
          <cell r="AE19">
            <v>1.9408084375995522</v>
          </cell>
          <cell r="AJ19">
            <v>3.8278354064768414</v>
          </cell>
          <cell r="AO19">
            <v>10.294768642301497</v>
          </cell>
        </row>
        <row r="20">
          <cell r="Z20">
            <v>1.3133420866031982</v>
          </cell>
          <cell r="AE20">
            <v>1.8488616958746762</v>
          </cell>
          <cell r="AJ20">
            <v>3.6723644381254812</v>
          </cell>
          <cell r="AO20">
            <v>10.124497517236493</v>
          </cell>
        </row>
        <row r="21">
          <cell r="Z21">
            <v>1.2500433011194123</v>
          </cell>
          <cell r="AE21">
            <v>1.7760352847929504</v>
          </cell>
          <cell r="AJ21">
            <v>3.6040213365407632</v>
          </cell>
          <cell r="AO21">
            <v>10.049305876239343</v>
          </cell>
        </row>
        <row r="22">
          <cell r="Z22">
            <v>1.2469309495008569</v>
          </cell>
          <cell r="AE22">
            <v>1.7843395563448277</v>
          </cell>
          <cell r="AJ22">
            <v>3.633919782543217</v>
          </cell>
          <cell r="AO22">
            <v>10.6998585903965</v>
          </cell>
        </row>
        <row r="23">
          <cell r="Z23">
            <v>1.245797820580768</v>
          </cell>
          <cell r="AE23">
            <v>1.7929371899780433</v>
          </cell>
          <cell r="AJ23">
            <v>3.6977954532871191</v>
          </cell>
          <cell r="AO23">
            <v>10.913372286941712</v>
          </cell>
        </row>
        <row r="24">
          <cell r="Z24">
            <v>1.2463555009784661</v>
          </cell>
          <cell r="AE24">
            <v>1.7975679040896833</v>
          </cell>
          <cell r="AJ24">
            <v>3.7883319692696302</v>
          </cell>
          <cell r="AO24">
            <v>11.6438494499025</v>
          </cell>
        </row>
        <row r="25">
          <cell r="Z25">
            <v>1.2477924193906091</v>
          </cell>
          <cell r="AE25">
            <v>1.8000431846390454</v>
          </cell>
          <cell r="AJ25">
            <v>3.866010128328579</v>
          </cell>
          <cell r="AO25">
            <v>12.203844068010895</v>
          </cell>
        </row>
        <row r="26">
          <cell r="Z26">
            <v>1.2487286679101139</v>
          </cell>
          <cell r="AE26">
            <v>1.8022283318078518</v>
          </cell>
          <cell r="AJ26">
            <v>3.9512738662665168</v>
          </cell>
          <cell r="AO26">
            <v>12.658008706229765</v>
          </cell>
        </row>
        <row r="27">
          <cell r="Z27">
            <v>1.250215200827802</v>
          </cell>
          <cell r="AE27">
            <v>1.8263829957641882</v>
          </cell>
          <cell r="AJ27">
            <v>4.0550609720371558</v>
          </cell>
          <cell r="AO27">
            <v>13.065210960140076</v>
          </cell>
        </row>
        <row r="28">
          <cell r="Z28">
            <v>1.2513583277924238</v>
          </cell>
          <cell r="AE28">
            <v>1.8982815850801125</v>
          </cell>
          <cell r="AJ28">
            <v>4.1625881024736575</v>
          </cell>
          <cell r="AO28">
            <v>13.507257045595004</v>
          </cell>
        </row>
        <row r="29">
          <cell r="Z29">
            <v>1.2516588318345401</v>
          </cell>
          <cell r="AE29">
            <v>2.0068729839795387</v>
          </cell>
          <cell r="AJ29">
            <v>4.2679854145074332</v>
          </cell>
          <cell r="AO29">
            <v>13.941310056516018</v>
          </cell>
        </row>
        <row r="30">
          <cell r="Z30">
            <v>1.2505192061173125</v>
          </cell>
          <cell r="AE30">
            <v>2.115854898674939</v>
          </cell>
          <cell r="AJ30">
            <v>4.3674868522690851</v>
          </cell>
          <cell r="AO30">
            <v>14.391081320959881</v>
          </cell>
        </row>
        <row r="31">
          <cell r="Z31">
            <v>1.24841093235742</v>
          </cell>
          <cell r="AE31">
            <v>2.2118835619582886</v>
          </cell>
          <cell r="AJ31">
            <v>4.460109111340091</v>
          </cell>
          <cell r="AO31">
            <v>14.857869107581314</v>
          </cell>
        </row>
        <row r="32">
          <cell r="Z32">
            <v>1.2504204099183625</v>
          </cell>
          <cell r="AE32">
            <v>2.3024813186843023</v>
          </cell>
          <cell r="AJ32">
            <v>4.5467803097699564</v>
          </cell>
          <cell r="AO32">
            <v>15.313151792390014</v>
          </cell>
        </row>
        <row r="33">
          <cell r="Z33">
            <v>1.2531234635368478</v>
          </cell>
          <cell r="AE33">
            <v>2.3898124137011871</v>
          </cell>
          <cell r="AJ33">
            <v>4.6277547716063205</v>
          </cell>
          <cell r="AO33">
            <v>15.735702970220434</v>
          </cell>
        </row>
        <row r="34">
          <cell r="Z34">
            <v>1.2752731435471718</v>
          </cell>
          <cell r="AE34">
            <v>2.4424035149790968</v>
          </cell>
          <cell r="AJ34">
            <v>4.7056398259733685</v>
          </cell>
          <cell r="AO34">
            <v>16.145993686741296</v>
          </cell>
        </row>
        <row r="35">
          <cell r="Z35">
            <v>1.2963827466492595</v>
          </cell>
          <cell r="AE35">
            <v>2.4523816107486267</v>
          </cell>
          <cell r="AJ35">
            <v>4.7816843400478941</v>
          </cell>
          <cell r="AO35">
            <v>16.60163970228043</v>
          </cell>
        </row>
        <row r="36">
          <cell r="Z36">
            <v>1.3143605850390845</v>
          </cell>
          <cell r="AE36">
            <v>2.4532796490578885</v>
          </cell>
          <cell r="AJ36">
            <v>4.8567498018335549</v>
          </cell>
          <cell r="AO36">
            <v>17.041651872592858</v>
          </cell>
        </row>
        <row r="37">
          <cell r="Z37">
            <v>1.3311481984788576</v>
          </cell>
          <cell r="AE37">
            <v>2.4444465757442204</v>
          </cell>
          <cell r="AJ37">
            <v>4.9746412198352106</v>
          </cell>
          <cell r="AO37">
            <v>17.520835918118824</v>
          </cell>
        </row>
        <row r="38">
          <cell r="Z38">
            <v>1.328866374623545</v>
          </cell>
          <cell r="AE38">
            <v>2.4032170061105518</v>
          </cell>
          <cell r="AJ38">
            <v>5.0879458830397954</v>
          </cell>
          <cell r="AO38">
            <v>17.738237880780105</v>
          </cell>
        </row>
        <row r="39">
          <cell r="Z39">
            <v>1.3267763239411068</v>
          </cell>
          <cell r="AE39">
            <v>2.3646543300921108</v>
          </cell>
          <cell r="AJ39">
            <v>5.1905406994918417</v>
          </cell>
          <cell r="AO39">
            <v>17.985312282632563</v>
          </cell>
        </row>
        <row r="40">
          <cell r="Z40">
            <v>1.3263695366105026</v>
          </cell>
          <cell r="AE40">
            <v>2.3287827223985555</v>
          </cell>
          <cell r="AJ40">
            <v>5.2799073736647317</v>
          </cell>
          <cell r="AO40">
            <v>18.209206404023984</v>
          </cell>
        </row>
        <row r="41">
          <cell r="Z41">
            <v>1.327145021860431</v>
          </cell>
          <cell r="AE41">
            <v>2.2946237875597002</v>
          </cell>
          <cell r="AJ41">
            <v>5.3618375019186457</v>
          </cell>
          <cell r="AO41">
            <v>18.438614431719714</v>
          </cell>
        </row>
        <row r="42">
          <cell r="Z42">
            <v>1.3278980643387308</v>
          </cell>
          <cell r="AE42">
            <v>2.2628234664328137</v>
          </cell>
          <cell r="AJ42">
            <v>5.4470564396501997</v>
          </cell>
          <cell r="AO42">
            <v>18.649853772850236</v>
          </cell>
        </row>
        <row r="43">
          <cell r="Z43">
            <v>1.3313954236446197</v>
          </cell>
          <cell r="AE43">
            <v>2.2324162755419987</v>
          </cell>
          <cell r="AJ43">
            <v>5.5270090978648145</v>
          </cell>
          <cell r="AO43">
            <v>18.815485736261177</v>
          </cell>
        </row>
        <row r="44">
          <cell r="Z44">
            <v>1.3346413264678976</v>
          </cell>
          <cell r="AE44">
            <v>2.2041087144182256</v>
          </cell>
          <cell r="AJ44">
            <v>5.6032312070223425</v>
          </cell>
          <cell r="AO44">
            <v>18.946521160423359</v>
          </cell>
        </row>
        <row r="45">
          <cell r="Z45">
            <v>1.3370233481827924</v>
          </cell>
          <cell r="AE45">
            <v>2.1760425102156296</v>
          </cell>
          <cell r="AJ45">
            <v>5.6805847180465641</v>
          </cell>
          <cell r="AO45">
            <v>19.053979903944789</v>
          </cell>
        </row>
        <row r="46">
          <cell r="Z46">
            <v>1.3390121240735227</v>
          </cell>
          <cell r="AE46">
            <v>2.1481548846045353</v>
          </cell>
          <cell r="AJ46">
            <v>5.7498714607108266</v>
          </cell>
          <cell r="AO46">
            <v>19.205340538788022</v>
          </cell>
        </row>
        <row r="47">
          <cell r="Z47">
            <v>1.3408675527770535</v>
          </cell>
          <cell r="AE47">
            <v>2.1221371209775048</v>
          </cell>
          <cell r="AJ47">
            <v>5.8187942135082098</v>
          </cell>
          <cell r="AO47">
            <v>19.355020584601586</v>
          </cell>
        </row>
        <row r="48">
          <cell r="Z48">
            <v>1.3402751426310968</v>
          </cell>
          <cell r="AE48">
            <v>2.1110253304479927</v>
          </cell>
          <cell r="AJ48">
            <v>5.884685631982995</v>
          </cell>
          <cell r="AO48">
            <v>19.480698129253046</v>
          </cell>
        </row>
        <row r="49">
          <cell r="Z49">
            <v>1.3390129979487115</v>
          </cell>
          <cell r="AE49">
            <v>2.1408650944646053</v>
          </cell>
          <cell r="AJ49">
            <v>5.9442329857991023</v>
          </cell>
          <cell r="AO49">
            <v>19.674084906068977</v>
          </cell>
        </row>
        <row r="50">
          <cell r="Z50">
            <v>1.3378311958020095</v>
          </cell>
          <cell r="AE50">
            <v>2.1688053913767522</v>
          </cell>
          <cell r="AJ50">
            <v>6.002682586350792</v>
          </cell>
          <cell r="AO50">
            <v>19.85516153791205</v>
          </cell>
        </row>
        <row r="51">
          <cell r="Z51">
            <v>1.3367660783660353</v>
          </cell>
          <cell r="AE51">
            <v>2.1968491030675912</v>
          </cell>
          <cell r="AJ51">
            <v>6.0601361672266325</v>
          </cell>
          <cell r="AO51">
            <v>20.020090494169605</v>
          </cell>
        </row>
        <row r="52">
          <cell r="Z52">
            <v>1.3358788996182744</v>
          </cell>
          <cell r="AE52">
            <v>2.230796053073516</v>
          </cell>
          <cell r="AJ52">
            <v>6.1127255431514103</v>
          </cell>
          <cell r="AO52">
            <v>20.229034093883492</v>
          </cell>
        </row>
        <row r="53">
          <cell r="Z53">
            <v>1.3350446508668468</v>
          </cell>
          <cell r="AE53">
            <v>2.2627176931361217</v>
          </cell>
          <cell r="AJ53">
            <v>6.1632467018518842</v>
          </cell>
          <cell r="AO53">
            <v>20.425511903592096</v>
          </cell>
        </row>
        <row r="54">
          <cell r="Z54">
            <v>1.3319704582698595</v>
          </cell>
          <cell r="AE54">
            <v>2.289826526863167</v>
          </cell>
          <cell r="AJ54">
            <v>6.216275711024104</v>
          </cell>
          <cell r="AO54">
            <v>20.582981311123927</v>
          </cell>
        </row>
        <row r="55">
          <cell r="Z55">
            <v>1.3269169353910799</v>
          </cell>
          <cell r="AE55">
            <v>2.3169968588822867</v>
          </cell>
          <cell r="AJ55">
            <v>6.2579513290953042</v>
          </cell>
          <cell r="AO55">
            <v>20.724356298799357</v>
          </cell>
        </row>
        <row r="56">
          <cell r="Z56">
            <v>1.3221640259653382</v>
          </cell>
          <cell r="AE56">
            <v>2.3425509387295311</v>
          </cell>
          <cell r="AJ56">
            <v>6.2971478347222964</v>
          </cell>
          <cell r="AO56">
            <v>20.861367784162166</v>
          </cell>
        </row>
        <row r="57">
          <cell r="Z57">
            <v>1.3185707215218017</v>
          </cell>
          <cell r="AE57">
            <v>2.3666817475270641</v>
          </cell>
          <cell r="AJ57">
            <v>6.3457506870869382</v>
          </cell>
          <cell r="AO57">
            <v>20.990933883548809</v>
          </cell>
        </row>
        <row r="58">
          <cell r="Z58">
            <v>1.330086970303632</v>
          </cell>
          <cell r="AE58">
            <v>2.3953900125692709</v>
          </cell>
          <cell r="AJ58">
            <v>6.4024533628191653</v>
          </cell>
          <cell r="AO58">
            <v>21.161132335771001</v>
          </cell>
        </row>
        <row r="59">
          <cell r="Z59">
            <v>1.3410034014469272</v>
          </cell>
          <cell r="AE59">
            <v>2.4253259714018798</v>
          </cell>
          <cell r="AJ59">
            <v>6.4562027101107979</v>
          </cell>
          <cell r="AO59">
            <v>21.380747884707453</v>
          </cell>
        </row>
        <row r="60">
          <cell r="Z60">
            <v>1.351365687311304</v>
          </cell>
          <cell r="AE60">
            <v>2.453742306280541</v>
          </cell>
          <cell r="AJ60">
            <v>6.5130211904434487</v>
          </cell>
          <cell r="AO60">
            <v>21.589215200487605</v>
          </cell>
        </row>
        <row r="61">
          <cell r="Z61">
            <v>1.3645403481706453</v>
          </cell>
          <cell r="AE61">
            <v>2.4806655365674022</v>
          </cell>
          <cell r="AJ61">
            <v>6.5762574626502701</v>
          </cell>
          <cell r="AO61">
            <v>21.786603972774937</v>
          </cell>
        </row>
        <row r="62">
          <cell r="Z62">
            <v>1.3816861284510735</v>
          </cell>
          <cell r="AE62">
            <v>2.5093916335762478</v>
          </cell>
          <cell r="AJ62">
            <v>6.6358687302167052</v>
          </cell>
          <cell r="AO62">
            <v>22.00198558027213</v>
          </cell>
        </row>
        <row r="63">
          <cell r="Z63">
            <v>1.3980193528536511</v>
          </cell>
          <cell r="AE63">
            <v>2.5380157521336972</v>
          </cell>
          <cell r="AJ63">
            <v>6.6926549594906275</v>
          </cell>
          <cell r="AO63">
            <v>22.264061044578824</v>
          </cell>
        </row>
        <row r="64">
          <cell r="Z64">
            <v>1.4135964461332162</v>
          </cell>
          <cell r="AE64">
            <v>2.5653147442876514</v>
          </cell>
          <cell r="AJ64">
            <v>6.7496326849413038</v>
          </cell>
          <cell r="AO64">
            <v>22.514003973982689</v>
          </cell>
        </row>
        <row r="65">
          <cell r="Z65">
            <v>1.4279913010859808</v>
          </cell>
          <cell r="AE65">
            <v>2.588567593528416</v>
          </cell>
          <cell r="AJ65">
            <v>6.798587566786102</v>
          </cell>
          <cell r="AO65">
            <v>22.727957275265137</v>
          </cell>
        </row>
        <row r="66">
          <cell r="Z66">
            <v>1.4394602590467995</v>
          </cell>
          <cell r="AE66">
            <v>2.6070496584135214</v>
          </cell>
          <cell r="AJ66">
            <v>6.8272067816294966</v>
          </cell>
          <cell r="AO66">
            <v>22.869868802015649</v>
          </cell>
        </row>
        <row r="67">
          <cell r="Z67">
            <v>1.4503541694852211</v>
          </cell>
          <cell r="AE67">
            <v>2.6263987491036143</v>
          </cell>
          <cell r="AJ67">
            <v>6.8543910440870786</v>
          </cell>
          <cell r="AO67">
            <v>23.002859876220704</v>
          </cell>
        </row>
        <row r="68">
          <cell r="Z68">
            <v>1.4607152235508813</v>
          </cell>
          <cell r="AE68">
            <v>2.6448014132245117</v>
          </cell>
          <cell r="AJ68">
            <v>6.8816550807504537</v>
          </cell>
          <cell r="AO68">
            <v>23.129345927109192</v>
          </cell>
        </row>
        <row r="69">
          <cell r="Z69">
            <v>1.4708504845187806</v>
          </cell>
          <cell r="AE69">
            <v>2.6623254322449084</v>
          </cell>
          <cell r="AJ69">
            <v>6.9092022271092484</v>
          </cell>
          <cell r="AO69">
            <v>23.249792833438793</v>
          </cell>
        </row>
        <row r="70">
          <cell r="Z70">
            <v>1.4749627295069756</v>
          </cell>
          <cell r="AE70">
            <v>2.667136817247088</v>
          </cell>
          <cell r="AJ70">
            <v>6.9028906492990014</v>
          </cell>
          <cell r="AO70">
            <v>23.262628336530106</v>
          </cell>
        </row>
        <row r="71">
          <cell r="Z71">
            <v>1.4788517131174834</v>
          </cell>
          <cell r="AE71">
            <v>2.6744036984417563</v>
          </cell>
          <cell r="AJ71">
            <v>6.8969217387085662</v>
          </cell>
          <cell r="AO71">
            <v>23.2888744075346</v>
          </cell>
        </row>
        <row r="72">
          <cell r="Z72">
            <v>1.4825351367387609</v>
          </cell>
          <cell r="AE72">
            <v>2.6812864741297622</v>
          </cell>
          <cell r="AJ72">
            <v>6.8905130425505341</v>
          </cell>
          <cell r="AO72">
            <v>23.313733190081912</v>
          </cell>
        </row>
        <row r="73">
          <cell r="Z73">
            <v>1.4860288786567055</v>
          </cell>
          <cell r="AE73">
            <v>2.6878148141757152</v>
          </cell>
          <cell r="AJ73">
            <v>6.8752666100784507</v>
          </cell>
          <cell r="AO73">
            <v>23.33731184394972</v>
          </cell>
        </row>
        <row r="74">
          <cell r="Z74">
            <v>1.4898557266481725</v>
          </cell>
          <cell r="AE74">
            <v>2.692772764256226</v>
          </cell>
          <cell r="AJ74">
            <v>6.8576209851821144</v>
          </cell>
          <cell r="AO74">
            <v>23.348931839921761</v>
          </cell>
        </row>
        <row r="75">
          <cell r="Z75">
            <v>1.4935451656468606</v>
          </cell>
          <cell r="AE75">
            <v>2.6987106336549611</v>
          </cell>
          <cell r="AJ75">
            <v>6.8363653408402385</v>
          </cell>
          <cell r="AO75">
            <v>23.397430901211102</v>
          </cell>
        </row>
        <row r="76">
          <cell r="Z76">
            <v>1.4970507384879739</v>
          </cell>
          <cell r="AE76">
            <v>2.7071670135138173</v>
          </cell>
          <cell r="AJ76">
            <v>6.8161689886165755</v>
          </cell>
          <cell r="AO76">
            <v>23.450670956046856</v>
          </cell>
        </row>
        <row r="77">
          <cell r="Z77">
            <v>1.5003858556862173</v>
          </cell>
          <cell r="AE77">
            <v>2.7152122087445041</v>
          </cell>
          <cell r="AJ77">
            <v>6.800355357547704</v>
          </cell>
          <cell r="AO77">
            <v>23.501322256295339</v>
          </cell>
        </row>
        <row r="78">
          <cell r="Z78">
            <v>1.5035626545595246</v>
          </cell>
          <cell r="AE78">
            <v>2.7228754978060832</v>
          </cell>
          <cell r="AJ78">
            <v>6.7905503108866103</v>
          </cell>
          <cell r="AO78">
            <v>23.54956913458966</v>
          </cell>
        </row>
        <row r="79">
          <cell r="Z79">
            <v>1.5076160687234854</v>
          </cell>
          <cell r="AE79">
            <v>2.7290969476419153</v>
          </cell>
          <cell r="AJ79">
            <v>6.7785012918595688</v>
          </cell>
          <cell r="AO79">
            <v>23.614306939393359</v>
          </cell>
        </row>
        <row r="80">
          <cell r="Z80">
            <v>1.5119114087309966</v>
          </cell>
          <cell r="AE80">
            <v>2.7378285825894384</v>
          </cell>
          <cell r="AJ80">
            <v>6.7641957131096229</v>
          </cell>
          <cell r="AO80">
            <v>23.76190198986097</v>
          </cell>
        </row>
        <row r="81">
          <cell r="Z81">
            <v>1.5160100239268386</v>
          </cell>
          <cell r="AE81">
            <v>2.7477517457119824</v>
          </cell>
          <cell r="AJ81">
            <v>6.7505453240025188</v>
          </cell>
          <cell r="AO81">
            <v>23.90273724751691</v>
          </cell>
        </row>
        <row r="82">
          <cell r="Z82">
            <v>1.5199251266253264</v>
          </cell>
          <cell r="AE82">
            <v>2.7572306064642711</v>
          </cell>
          <cell r="AJ82">
            <v>6.7487412363326023</v>
          </cell>
          <cell r="AO82">
            <v>24.037266709528936</v>
          </cell>
        </row>
        <row r="83">
          <cell r="Z83">
            <v>1.523668771904559</v>
          </cell>
          <cell r="AE83">
            <v>2.7662943514131619</v>
          </cell>
          <cell r="AJ83">
            <v>6.762627471990049</v>
          </cell>
          <cell r="AO83">
            <v>24.165904608497339</v>
          </cell>
        </row>
        <row r="84">
          <cell r="Z84">
            <v>1.5266141107482452</v>
          </cell>
          <cell r="AE84">
            <v>2.7744674749660976</v>
          </cell>
          <cell r="AJ84">
            <v>6.7746923583369689</v>
          </cell>
          <cell r="AO84">
            <v>24.288557372977273</v>
          </cell>
        </row>
        <row r="85">
          <cell r="Z85">
            <v>1.5277404985814032</v>
          </cell>
          <cell r="AE85">
            <v>2.7813779174628248</v>
          </cell>
          <cell r="AJ85">
            <v>6.7816379518763128</v>
          </cell>
          <cell r="AO85">
            <v>24.412430728751975</v>
          </cell>
        </row>
        <row r="86">
          <cell r="Z86">
            <v>1.5288187962169404</v>
          </cell>
          <cell r="AE86">
            <v>2.7883123703781769</v>
          </cell>
          <cell r="AJ86">
            <v>6.7882870090397596</v>
          </cell>
          <cell r="AO86">
            <v>24.53101541397843</v>
          </cell>
        </row>
        <row r="87">
          <cell r="Z87">
            <v>1.5298520190419904</v>
          </cell>
          <cell r="AE87">
            <v>2.7949569504971046</v>
          </cell>
          <cell r="AJ87">
            <v>6.7948631243099813</v>
          </cell>
          <cell r="AO87">
            <v>24.644643042788246</v>
          </cell>
        </row>
        <row r="88">
          <cell r="Z88">
            <v>1.5308429355074995</v>
          </cell>
          <cell r="AE88">
            <v>2.8013294615243569</v>
          </cell>
          <cell r="AJ88">
            <v>6.8054526696585818</v>
          </cell>
          <cell r="AO88">
            <v>24.753618072757188</v>
          </cell>
        </row>
        <row r="89">
          <cell r="Z89">
            <v>1.5317940918987345</v>
          </cell>
          <cell r="AE89">
            <v>2.807446278433511</v>
          </cell>
          <cell r="AJ89">
            <v>6.8156173142973389</v>
          </cell>
          <cell r="AO89">
            <v>24.858220529016425</v>
          </cell>
        </row>
        <row r="90">
          <cell r="Z90">
            <v>1.5328429290291792</v>
          </cell>
          <cell r="AE90">
            <v>2.8119773423251084</v>
          </cell>
          <cell r="AJ90">
            <v>6.8225728053052244</v>
          </cell>
          <cell r="AO90">
            <v>24.877059258757193</v>
          </cell>
        </row>
        <row r="91">
          <cell r="Z91">
            <v>1.5337555933857163</v>
          </cell>
          <cell r="AE91">
            <v>2.8138500147470733</v>
          </cell>
          <cell r="AJ91">
            <v>6.8270142961177935</v>
          </cell>
          <cell r="AO91">
            <v>24.865982165171616</v>
          </cell>
        </row>
        <row r="92">
          <cell r="Z92">
            <v>1.5346324707372936</v>
          </cell>
          <cell r="AE92">
            <v>2.8156492567378248</v>
          </cell>
          <cell r="AJ92">
            <v>6.8312816290895331</v>
          </cell>
          <cell r="AO92">
            <v>24.855339421848811</v>
          </cell>
        </row>
        <row r="93">
          <cell r="Z93">
            <v>1.5354756255064159</v>
          </cell>
          <cell r="AE93">
            <v>2.8173793042325843</v>
          </cell>
          <cell r="AJ93">
            <v>6.8360685032576054</v>
          </cell>
          <cell r="AO93">
            <v>24.845105972697663</v>
          </cell>
        </row>
        <row r="94">
          <cell r="Z94">
            <v>1.5362869663258409</v>
          </cell>
          <cell r="AE94">
            <v>2.8190440735056135</v>
          </cell>
          <cell r="AJ94">
            <v>6.8451602569134105</v>
          </cell>
          <cell r="AO94">
            <v>24.835258652461913</v>
          </cell>
        </row>
        <row r="95">
          <cell r="Z95">
            <v>1.53706826046213</v>
          </cell>
          <cell r="AE95">
            <v>2.8206471907655248</v>
          </cell>
          <cell r="AJ95">
            <v>6.8539153123103418</v>
          </cell>
          <cell r="AO95">
            <v>24.825776011660238</v>
          </cell>
        </row>
        <row r="96">
          <cell r="Z96">
            <v>1.5397779105985205</v>
          </cell>
          <cell r="AE96">
            <v>2.8238866482921487</v>
          </cell>
          <cell r="AJ96">
            <v>6.8664726406805388</v>
          </cell>
          <cell r="AO96">
            <v>24.838857483346079</v>
          </cell>
        </row>
        <row r="97">
          <cell r="Z97">
            <v>1.5442385526662545</v>
          </cell>
          <cell r="AE97">
            <v>2.8228242604950657</v>
          </cell>
          <cell r="AJ97">
            <v>6.882817441164077</v>
          </cell>
          <cell r="AO97">
            <v>24.868467557744946</v>
          </cell>
        </row>
        <row r="98">
          <cell r="Z98">
            <v>1.5485528006044691</v>
          </cell>
          <cell r="AE98">
            <v>2.8211021169890569</v>
          </cell>
          <cell r="AJ98">
            <v>6.89862582047716</v>
          </cell>
          <cell r="AO98">
            <v>24.89710585700454</v>
          </cell>
        </row>
        <row r="99">
          <cell r="Z99">
            <v>1.5527277448415628</v>
          </cell>
          <cell r="AE99">
            <v>2.819435580153709</v>
          </cell>
          <cell r="AJ99">
            <v>6.9139237595516239</v>
          </cell>
          <cell r="AO99">
            <v>24.92481944791686</v>
          </cell>
        </row>
        <row r="100">
          <cell r="Z100">
            <v>1.5567700251921115</v>
          </cell>
          <cell r="AE100">
            <v>2.8178219995355209</v>
          </cell>
          <cell r="AJ100">
            <v>6.9340510601564809</v>
          </cell>
          <cell r="AO100">
            <v>24.951652406065786</v>
          </cell>
        </row>
        <row r="101">
          <cell r="Z101">
            <v>1.5606858660940126</v>
          </cell>
          <cell r="AE101">
            <v>2.8162588904893213</v>
          </cell>
          <cell r="AJ101">
            <v>6.9549734783601309</v>
          </cell>
          <cell r="AO101">
            <v>24.977646049733846</v>
          </cell>
        </row>
        <row r="102">
          <cell r="Z102">
            <v>1.5647491538579836</v>
          </cell>
          <cell r="AE102">
            <v>2.8147439214120351</v>
          </cell>
          <cell r="AJ102">
            <v>6.9752515368088677</v>
          </cell>
          <cell r="AO102">
            <v>25.004375604555921</v>
          </cell>
        </row>
        <row r="103">
          <cell r="Z103">
            <v>1.5696729145997887</v>
          </cell>
          <cell r="AE103">
            <v>2.8136016884653694</v>
          </cell>
          <cell r="AJ103">
            <v>6.9934908515618277</v>
          </cell>
          <cell r="AO103">
            <v>25.028003373542138</v>
          </cell>
        </row>
        <row r="104">
          <cell r="Z104">
            <v>1.5744457906480662</v>
          </cell>
          <cell r="AE104">
            <v>2.8137332817053569</v>
          </cell>
          <cell r="AJ104">
            <v>7.011169844162028</v>
          </cell>
          <cell r="AO104">
            <v>25.050886415195894</v>
          </cell>
        </row>
        <row r="105">
          <cell r="Z105">
            <v>1.5790763518812743</v>
          </cell>
          <cell r="AE105">
            <v>2.8138609511753945</v>
          </cell>
          <cell r="AJ105">
            <v>7.028321694943112</v>
          </cell>
          <cell r="AO105">
            <v>25.073087143752005</v>
          </cell>
        </row>
        <row r="106">
          <cell r="Z106">
            <v>1.583570869986048</v>
          </cell>
          <cell r="AE106">
            <v>2.8139848697925158</v>
          </cell>
          <cell r="AJ106">
            <v>7.0449696345736506</v>
          </cell>
          <cell r="AO106">
            <v>25.09463562813853</v>
          </cell>
        </row>
        <row r="107">
          <cell r="Z107">
            <v>1.5879352534672255</v>
          </cell>
          <cell r="AE107">
            <v>2.814105200460447</v>
          </cell>
          <cell r="AJ107">
            <v>7.062565692412317</v>
          </cell>
          <cell r="AO107">
            <v>25.115560196047394</v>
          </cell>
        </row>
        <row r="108">
          <cell r="Z108">
            <v>1.5921750735616771</v>
          </cell>
          <cell r="AE108">
            <v>2.8142220967840785</v>
          </cell>
          <cell r="AJ108">
            <v>7.0797151906374305</v>
          </cell>
          <cell r="AO108">
            <v>25.135887558175469</v>
          </cell>
        </row>
        <row r="109">
          <cell r="Z109">
            <v>1.5968076839887491</v>
          </cell>
          <cell r="AE109">
            <v>2.8143235309814481</v>
          </cell>
          <cell r="AJ109">
            <v>7.0963514197744342</v>
          </cell>
          <cell r="AO109">
            <v>25.159156160023354</v>
          </cell>
        </row>
        <row r="110">
          <cell r="Z110">
            <v>1.6016388206784229</v>
          </cell>
          <cell r="AE110">
            <v>2.8157356971518395</v>
          </cell>
          <cell r="AJ110">
            <v>7.1115991374994634</v>
          </cell>
          <cell r="AO110">
            <v>25.182606437971067</v>
          </cell>
        </row>
        <row r="111">
          <cell r="Z111">
            <v>1.6063364865693441</v>
          </cell>
          <cell r="AE111">
            <v>2.8178837109871746</v>
          </cell>
          <cell r="AJ111">
            <v>7.126425603416763</v>
          </cell>
          <cell r="AO111">
            <v>25.205408850306672</v>
          </cell>
        </row>
        <row r="112">
          <cell r="Z112">
            <v>1.6109061374351006</v>
          </cell>
          <cell r="AE112">
            <v>2.8199731897858413</v>
          </cell>
          <cell r="AJ112">
            <v>7.1408480366821925</v>
          </cell>
          <cell r="AO112">
            <v>25.227589879287923</v>
          </cell>
        </row>
        <row r="113">
          <cell r="Z113">
            <v>1.6153529356982099</v>
          </cell>
          <cell r="AE113">
            <v>2.8220064940722454</v>
          </cell>
          <cell r="AJ113">
            <v>7.1548827305961451</v>
          </cell>
          <cell r="AO113">
            <v>25.249174583250081</v>
          </cell>
        </row>
        <row r="114">
          <cell r="Z114">
            <v>1.6196817698850672</v>
          </cell>
          <cell r="AE114">
            <v>2.8239858591314366</v>
          </cell>
          <cell r="AJ114">
            <v>7.1731731704965558</v>
          </cell>
          <cell r="AO114">
            <v>25.270186691040028</v>
          </cell>
        </row>
        <row r="115">
          <cell r="Z115">
            <v>1.6238972725528613</v>
          </cell>
          <cell r="AE115">
            <v>2.825913403206211</v>
          </cell>
          <cell r="AJ115">
            <v>7.1943030598090481</v>
          </cell>
          <cell r="AO115">
            <v>25.291611204433767</v>
          </cell>
        </row>
        <row r="116">
          <cell r="Z116">
            <v>1.6279337832036591</v>
          </cell>
          <cell r="AE116">
            <v>2.8277911350587241</v>
          </cell>
          <cell r="AJ116">
            <v>7.2148869036346674</v>
          </cell>
          <cell r="AO116">
            <v>25.3294914189105</v>
          </cell>
        </row>
        <row r="117">
          <cell r="Z117">
            <v>1.629473729783496</v>
          </cell>
          <cell r="AE117">
            <v>2.8294339666522457</v>
          </cell>
          <cell r="AJ117">
            <v>7.2340134266156904</v>
          </cell>
          <cell r="AO117">
            <v>25.363136924548424</v>
          </cell>
        </row>
        <row r="118">
          <cell r="Z118">
            <v>1.6308177045482892</v>
          </cell>
          <cell r="AE118">
            <v>2.8310063012055475</v>
          </cell>
          <cell r="AJ118">
            <v>7.2519561371482855</v>
          </cell>
          <cell r="AO118">
            <v>25.393485029016038</v>
          </cell>
        </row>
        <row r="119">
          <cell r="Z119">
            <v>1.6321276701935339</v>
          </cell>
          <cell r="AE119">
            <v>2.8325388480223572</v>
          </cell>
          <cell r="AJ119">
            <v>7.2694448095519562</v>
          </cell>
          <cell r="AO119">
            <v>25.423065178355358</v>
          </cell>
        </row>
        <row r="120">
          <cell r="Z120">
            <v>1.6334049014853398</v>
          </cell>
          <cell r="AE120">
            <v>2.8340330984690718</v>
          </cell>
          <cell r="AJ120">
            <v>7.2864964625683513</v>
          </cell>
          <cell r="AO120">
            <v>25.451906157879993</v>
          </cell>
        </row>
        <row r="121">
          <cell r="Z121">
            <v>1.6346506102664782</v>
          </cell>
          <cell r="AE121">
            <v>2.8354904702972075</v>
          </cell>
          <cell r="AJ121">
            <v>7.3031272748822378</v>
          </cell>
          <cell r="AO121">
            <v>25.480035332040508</v>
          </cell>
        </row>
        <row r="122">
          <cell r="Z122">
            <v>1.6358659492914804</v>
          </cell>
          <cell r="AE122">
            <v>2.8369123121301389</v>
          </cell>
          <cell r="AJ122">
            <v>7.3243631198765273</v>
          </cell>
          <cell r="AO122">
            <v>25.503765070891728</v>
          </cell>
        </row>
        <row r="123">
          <cell r="Z123">
            <v>1.6370520157846222</v>
          </cell>
          <cell r="AE123">
            <v>2.8382999076256299</v>
          </cell>
          <cell r="AJ123">
            <v>7.3460871438826798</v>
          </cell>
          <cell r="AO123">
            <v>25.515938117121564</v>
          </cell>
        </row>
        <row r="124">
          <cell r="Z124">
            <v>1.6382098547438737</v>
          </cell>
          <cell r="AE124">
            <v>2.8396544793411711</v>
          </cell>
          <cell r="AJ124">
            <v>7.3672941516613148</v>
          </cell>
          <cell r="AO124">
            <v>25.527821453561099</v>
          </cell>
        </row>
        <row r="125">
          <cell r="Z125">
            <v>1.6397093547036112</v>
          </cell>
          <cell r="AE125">
            <v>2.8405033798806878</v>
          </cell>
          <cell r="AJ125">
            <v>7.3851725971029598</v>
          </cell>
          <cell r="AO125">
            <v>25.52964307507802</v>
          </cell>
        </row>
        <row r="126">
          <cell r="Z126">
            <v>1.6407417697375042</v>
          </cell>
          <cell r="AE126">
            <v>2.8419644771207997</v>
          </cell>
          <cell r="AJ126">
            <v>7.4005247685802482</v>
          </cell>
          <cell r="AO126">
            <v>25.524186949299636</v>
          </cell>
        </row>
        <row r="127">
          <cell r="Z127">
            <v>1.6417491511694919</v>
          </cell>
          <cell r="AE127">
            <v>2.843390146238062</v>
          </cell>
          <cell r="AJ127">
            <v>7.4155046865194434</v>
          </cell>
          <cell r="AO127">
            <v>25.518863121556645</v>
          </cell>
        </row>
        <row r="128">
          <cell r="Z128">
            <v>1.6427323986006823</v>
          </cell>
          <cell r="AE128">
            <v>2.8447816603684233</v>
          </cell>
          <cell r="AJ128">
            <v>7.430125728128373</v>
          </cell>
          <cell r="AO128">
            <v>25.513666837620708</v>
          </cell>
        </row>
        <row r="129">
          <cell r="Z129">
            <v>1.643692369038614</v>
          </cell>
          <cell r="AE129">
            <v>2.8461402323684486</v>
          </cell>
          <cell r="AJ129">
            <v>7.4444006372418885</v>
          </cell>
          <cell r="AO129">
            <v>25.508593568362784</v>
          </cell>
        </row>
        <row r="130">
          <cell r="Z130">
            <v>1.6446298793886223</v>
          </cell>
          <cell r="AE130">
            <v>2.8474670183411486</v>
          </cell>
          <cell r="AJ130">
            <v>7.4595935769718036</v>
          </cell>
          <cell r="AO130">
            <v>25.516507879966142</v>
          </cell>
        </row>
        <row r="131">
          <cell r="Z131">
            <v>1.6455457087723591</v>
          </cell>
          <cell r="AE131">
            <v>2.8487631209172091</v>
          </cell>
          <cell r="AJ131">
            <v>7.4745951778897801</v>
          </cell>
          <cell r="AO131">
            <v>25.527183495383852</v>
          </cell>
        </row>
        <row r="132">
          <cell r="Z132">
            <v>1.6464406006872985</v>
          </cell>
          <cell r="AE132">
            <v>2.8500295923111665</v>
          </cell>
          <cell r="AJ132">
            <v>7.4892538158533917</v>
          </cell>
          <cell r="AO132">
            <v>25.537615047476383</v>
          </cell>
        </row>
        <row r="133">
          <cell r="Z133">
            <v>1.6477619261240501</v>
          </cell>
          <cell r="AE133">
            <v>2.8512674371703448</v>
          </cell>
          <cell r="AJ133">
            <v>7.5035811190458563</v>
          </cell>
          <cell r="AO133">
            <v>25.547810811228008</v>
          </cell>
        </row>
        <row r="134">
          <cell r="Z134">
            <v>1.6480764204287235</v>
          </cell>
          <cell r="AE134">
            <v>2.8525721243251367</v>
          </cell>
          <cell r="AJ134">
            <v>7.5103352130910661</v>
          </cell>
          <cell r="AO134">
            <v>25.533120500362028</v>
          </cell>
        </row>
        <row r="135">
          <cell r="Z135">
            <v>1.6483833769025871</v>
          </cell>
          <cell r="AE135">
            <v>2.855581654111873</v>
          </cell>
          <cell r="AJ135">
            <v>7.5169274243376787</v>
          </cell>
          <cell r="AO135">
            <v>25.518782288329632</v>
          </cell>
        </row>
        <row r="136">
          <cell r="Z136">
            <v>1.6486830633376284</v>
          </cell>
          <cell r="AE136">
            <v>2.8585199053941603</v>
          </cell>
          <cell r="AJ136">
            <v>7.523363503898624</v>
          </cell>
          <cell r="AO136">
            <v>25.504783666327111</v>
          </cell>
        </row>
        <row r="137">
          <cell r="Z137">
            <v>1.6489757349893781</v>
          </cell>
          <cell r="AE137">
            <v>2.8613893808041011</v>
          </cell>
          <cell r="AJ137">
            <v>7.5296489336533519</v>
          </cell>
          <cell r="AO137">
            <v>25.495885442348648</v>
          </cell>
        </row>
        <row r="138">
          <cell r="Z138">
            <v>1.6492616353020313</v>
          </cell>
          <cell r="AE138">
            <v>2.864192467170505</v>
          </cell>
          <cell r="AJ138">
            <v>7.548063437708457</v>
          </cell>
          <cell r="AO138">
            <v>25.494868321089918</v>
          </cell>
        </row>
        <row r="139">
          <cell r="Z139">
            <v>1.6495409965838093</v>
          </cell>
          <cell r="AE139">
            <v>2.8669314421404368</v>
          </cell>
          <cell r="AJ139">
            <v>7.5828134213206289</v>
          </cell>
          <cell r="AO139">
            <v>25.493874463140177</v>
          </cell>
        </row>
        <row r="140">
          <cell r="Z140">
            <v>1.6498140406365081</v>
          </cell>
          <cell r="AE140">
            <v>2.8696084803515678</v>
          </cell>
          <cell r="AJ140">
            <v>7.6167775995213116</v>
          </cell>
          <cell r="AO140">
            <v>25.492903079415573</v>
          </cell>
        </row>
        <row r="141">
          <cell r="Z141">
            <v>1.6500809793428139</v>
          </cell>
          <cell r="AE141">
            <v>2.8722256591904762</v>
          </cell>
          <cell r="AJ141">
            <v>7.6499823285752839</v>
          </cell>
          <cell r="AO141">
            <v>25.491953416120552</v>
          </cell>
        </row>
        <row r="142">
          <cell r="Z142">
            <v>1.6504395726723513</v>
          </cell>
          <cell r="AE142">
            <v>2.8747849641689482</v>
          </cell>
          <cell r="AJ142">
            <v>7.6824527991114451</v>
          </cell>
          <cell r="AO142">
            <v>25.49102475279701</v>
          </cell>
        </row>
        <row r="143">
          <cell r="Z143">
            <v>1.6499000160475639</v>
          </cell>
          <cell r="AE143">
            <v>2.8761807106458388</v>
          </cell>
          <cell r="AJ143">
            <v>7.7097316617954199</v>
          </cell>
          <cell r="AO143">
            <v>25.475308360281765</v>
          </cell>
        </row>
        <row r="144">
          <cell r="Z144">
            <v>1.649154879069705</v>
          </cell>
          <cell r="AE144">
            <v>2.877761737830042</v>
          </cell>
          <cell r="AJ144">
            <v>7.7353678272674653</v>
          </cell>
          <cell r="AO144">
            <v>25.456586733621762</v>
          </cell>
        </row>
        <row r="145">
          <cell r="Z145">
            <v>1.6484266996849091</v>
          </cell>
          <cell r="AE145">
            <v>2.87930678449468</v>
          </cell>
          <cell r="AJ145">
            <v>7.7604205729460007</v>
          </cell>
          <cell r="AO145">
            <v>25.394906874653849</v>
          </cell>
        </row>
        <row r="146">
          <cell r="Z146">
            <v>1.6477149055326195</v>
          </cell>
          <cell r="AE146">
            <v>2.8808170650709588</v>
          </cell>
          <cell r="AJ146">
            <v>7.7849095906868335</v>
          </cell>
          <cell r="AO146">
            <v>25.294859490667434</v>
          </cell>
        </row>
        <row r="147">
          <cell r="Z147">
            <v>1.6470189497238101</v>
          </cell>
          <cell r="AE147">
            <v>2.882293739944743</v>
          </cell>
          <cell r="AJ147">
            <v>7.8096653839328436</v>
          </cell>
          <cell r="AO147">
            <v>25.197038290791696</v>
          </cell>
        </row>
        <row r="148">
          <cell r="Z148">
            <v>1.64633830943964</v>
          </cell>
          <cell r="AE148">
            <v>2.8837379184299246</v>
          </cell>
          <cell r="AJ148">
            <v>7.8364223023450696</v>
          </cell>
          <cell r="AO148">
            <v>25.101369789374601</v>
          </cell>
        </row>
        <row r="149">
          <cell r="Z149">
            <v>1.6456724846216151</v>
          </cell>
          <cell r="AE149">
            <v>2.8851506615476259</v>
          </cell>
          <cell r="AJ149">
            <v>7.8625968041297343</v>
          </cell>
          <cell r="AO149">
            <v>25.007783699881806</v>
          </cell>
        </row>
        <row r="150">
          <cell r="Z150">
            <v>1.6450209967463654</v>
          </cell>
          <cell r="AE150">
            <v>2.8865329846258705</v>
          </cell>
          <cell r="AJ150">
            <v>7.8882077007075759</v>
          </cell>
          <cell r="AO150">
            <v>24.916212762683337</v>
          </cell>
        </row>
        <row r="151">
          <cell r="Z151">
            <v>1.6443833876787264</v>
          </cell>
          <cell r="AE151">
            <v>2.8878858597331147</v>
          </cell>
          <cell r="AJ151">
            <v>7.9132730020106257</v>
          </cell>
          <cell r="AO151">
            <v>24.826592583846342</v>
          </cell>
        </row>
        <row r="152">
          <cell r="Z152">
            <v>1.6448915190299311</v>
          </cell>
          <cell r="AE152">
            <v>2.8892102179578858</v>
          </cell>
          <cell r="AJ152">
            <v>7.9378099587180948</v>
          </cell>
          <cell r="AO152">
            <v>24.738861484121969</v>
          </cell>
        </row>
        <row r="153">
          <cell r="Z153">
            <v>1.6445650144080308</v>
          </cell>
          <cell r="AE153">
            <v>2.8885560937742722</v>
          </cell>
          <cell r="AJ153">
            <v>7.9567866158618035</v>
          </cell>
          <cell r="AO153">
            <v>24.637328267126286</v>
          </cell>
        </row>
        <row r="154">
          <cell r="Z154">
            <v>1.6442100316390555</v>
          </cell>
          <cell r="AE154">
            <v>2.8877211143257</v>
          </cell>
          <cell r="AJ154">
            <v>7.975175444925056</v>
          </cell>
          <cell r="AO154">
            <v>24.538027693871619</v>
          </cell>
        </row>
        <row r="155">
          <cell r="Z155">
            <v>1.6438627439447662</v>
          </cell>
          <cell r="AE155">
            <v>2.8869042349929077</v>
          </cell>
          <cell r="AJ155">
            <v>7.9931656534765292</v>
          </cell>
          <cell r="AO155">
            <v>24.445318091496571</v>
          </cell>
        </row>
        <row r="156">
          <cell r="Z156">
            <v>1.6435229037951751</v>
          </cell>
          <cell r="AE156">
            <v>2.8861048735435419</v>
          </cell>
          <cell r="AJ156">
            <v>8.0107700640728279</v>
          </cell>
          <cell r="AO156">
            <v>24.354596635891408</v>
          </cell>
        </row>
        <row r="157">
          <cell r="Z157">
            <v>1.6431902741641704</v>
          </cell>
          <cell r="AE157">
            <v>2.8853224724521409</v>
          </cell>
          <cell r="AJ157">
            <v>8.027554791933726</v>
          </cell>
          <cell r="AO157">
            <v>24.265800052149146</v>
          </cell>
        </row>
        <row r="158">
          <cell r="Z158">
            <v>1.6428646279782047</v>
          </cell>
          <cell r="AE158">
            <v>2.8845564976033553</v>
          </cell>
          <cell r="AJ158">
            <v>8.0420782581951666</v>
          </cell>
          <cell r="AO158">
            <v>24.178867722232749</v>
          </cell>
        </row>
        <row r="159">
          <cell r="Z159">
            <v>1.6425457475993437</v>
          </cell>
          <cell r="AE159">
            <v>2.8838064370759939</v>
          </cell>
          <cell r="AJ159">
            <v>8.0562999768069989</v>
          </cell>
          <cell r="AO159">
            <v>24.093741546973586</v>
          </cell>
        </row>
        <row r="160">
          <cell r="Z160">
            <v>1.6422334243402075</v>
          </cell>
          <cell r="AE160">
            <v>2.8830718000020816</v>
          </cell>
          <cell r="AJ160">
            <v>8.0702292549997541</v>
          </cell>
          <cell r="AO160">
            <v>24.010365816583064</v>
          </cell>
        </row>
        <row r="161">
          <cell r="Z161">
            <v>1.6419274580085281</v>
          </cell>
          <cell r="AE161">
            <v>2.8823521154955776</v>
          </cell>
          <cell r="AJ161">
            <v>8.0838750211311883</v>
          </cell>
          <cell r="AO161">
            <v>23.928687089070937</v>
          </cell>
        </row>
        <row r="162">
          <cell r="Z162">
            <v>1.6419289603965255</v>
          </cell>
          <cell r="AE162">
            <v>2.8816469316458631</v>
          </cell>
          <cell r="AJ162">
            <v>8.0972458437707093</v>
          </cell>
          <cell r="AO162">
            <v>23.848654076012711</v>
          </cell>
        </row>
        <row r="163">
          <cell r="Z163">
            <v>1.6425058324185218</v>
          </cell>
          <cell r="AE163">
            <v>2.8803724333688412</v>
          </cell>
          <cell r="AJ163">
            <v>8.1087076385437076</v>
          </cell>
          <cell r="AO163">
            <v>23.765404167998494</v>
          </cell>
        </row>
        <row r="164">
          <cell r="Z164">
            <v>1.6426040830345019</v>
          </cell>
          <cell r="AE164">
            <v>2.8784740621093015</v>
          </cell>
          <cell r="AJ164">
            <v>8.1176306650449792</v>
          </cell>
          <cell r="AO164">
            <v>23.675005680256216</v>
          </cell>
        </row>
        <row r="165">
          <cell r="Z165">
            <v>1.6427003200809511</v>
          </cell>
          <cell r="AE165">
            <v>2.8766652984188696</v>
          </cell>
          <cell r="AJ165">
            <v>8.1263708210969607</v>
          </cell>
          <cell r="AO165">
            <v>23.582688278654739</v>
          </cell>
        </row>
        <row r="166">
          <cell r="Z166">
            <v>1.6427946048298079</v>
          </cell>
          <cell r="AE166">
            <v>2.8748932279264103</v>
          </cell>
          <cell r="AJ166">
            <v>8.1349336713582385</v>
          </cell>
          <cell r="AO166">
            <v>23.492243659391384</v>
          </cell>
        </row>
        <row r="167">
          <cell r="Z167">
            <v>1.6428869960920072</v>
          </cell>
          <cell r="AE167">
            <v>2.8731567452875031</v>
          </cell>
          <cell r="AJ167">
            <v>8.143324556981332</v>
          </cell>
          <cell r="AO167">
            <v>23.403615406846235</v>
          </cell>
        </row>
        <row r="168">
          <cell r="Z168">
            <v>1.6429775503398085</v>
          </cell>
          <cell r="AE168">
            <v>2.8714547891128257</v>
          </cell>
          <cell r="AJ168">
            <v>8.1524509883309655</v>
          </cell>
          <cell r="AO168">
            <v>23.316749348821606</v>
          </cell>
        </row>
        <row r="169">
          <cell r="Z169">
            <v>1.6430663218219024</v>
          </cell>
          <cell r="AE169">
            <v>2.8697863398047674</v>
          </cell>
          <cell r="AJ169">
            <v>8.1626273701554855</v>
          </cell>
          <cell r="AO169">
            <v>23.231593446124911</v>
          </cell>
        </row>
        <row r="170">
          <cell r="Z170">
            <v>1.6431533626717847</v>
          </cell>
          <cell r="AE170">
            <v>2.8681504175205692</v>
          </cell>
          <cell r="AJ170">
            <v>8.1726053597286956</v>
          </cell>
          <cell r="AO170">
            <v>23.148097688609418</v>
          </cell>
        </row>
        <row r="171">
          <cell r="Z171">
            <v>1.6432387230098513</v>
          </cell>
          <cell r="AE171">
            <v>2.8665460802534382</v>
          </cell>
          <cell r="AJ171">
            <v>8.182390702637699</v>
          </cell>
          <cell r="AO171">
            <v>23.06621399723641</v>
          </cell>
        </row>
        <row r="172">
          <cell r="Z172">
            <v>1.643322451039636</v>
          </cell>
          <cell r="AE172">
            <v>2.8649724220237442</v>
          </cell>
          <cell r="AJ172">
            <v>8.1919889247289071</v>
          </cell>
          <cell r="AO172">
            <v>22.985896131755901</v>
          </cell>
        </row>
        <row r="173">
          <cell r="Z173">
            <v>1.6434157862329688</v>
          </cell>
          <cell r="AE173">
            <v>2.863428571173007</v>
          </cell>
          <cell r="AJ173">
            <v>8.2014053425135724</v>
          </cell>
          <cell r="AO173">
            <v>22.907099603633259</v>
          </cell>
        </row>
        <row r="174">
          <cell r="Z174">
            <v>1.6438551931592942</v>
          </cell>
          <cell r="AE174">
            <v>2.8617833216684132</v>
          </cell>
          <cell r="AJ174">
            <v>8.2102710582601528</v>
          </cell>
          <cell r="AO174">
            <v>22.828741642148355</v>
          </cell>
        </row>
        <row r="175">
          <cell r="Z175">
            <v>1.6436403554872867</v>
          </cell>
          <cell r="AE175">
            <v>2.8595281402011805</v>
          </cell>
          <cell r="AJ175">
            <v>8.2157419607373345</v>
          </cell>
          <cell r="AO175">
            <v>22.74313814750758</v>
          </cell>
        </row>
        <row r="176">
          <cell r="Z176">
            <v>1.6434296575072977</v>
          </cell>
          <cell r="AE176">
            <v>2.8586458802584125</v>
          </cell>
          <cell r="AJ176">
            <v>8.2211074447787915</v>
          </cell>
          <cell r="AO176">
            <v>22.659306849591523</v>
          </cell>
        </row>
        <row r="177">
          <cell r="Z177">
            <v>1.6432229807099497</v>
          </cell>
          <cell r="AE177">
            <v>2.857780458295613</v>
          </cell>
          <cell r="AJ177">
            <v>8.2263705282595705</v>
          </cell>
          <cell r="AO177">
            <v>22.577075476648297</v>
          </cell>
        </row>
        <row r="178">
          <cell r="Z178">
            <v>1.6430202110666221</v>
          </cell>
          <cell r="AE178">
            <v>2.8569313968384202</v>
          </cell>
          <cell r="AJ178">
            <v>8.2315341149509251</v>
          </cell>
          <cell r="AO178">
            <v>22.496398659627975</v>
          </cell>
        </row>
        <row r="179">
          <cell r="Z179">
            <v>1.6428212388196695</v>
          </cell>
          <cell r="AE179">
            <v>2.8560982362964058</v>
          </cell>
          <cell r="AJ179">
            <v>8.2364151586459808</v>
          </cell>
          <cell r="AO179">
            <v>22.417232728790868</v>
          </cell>
        </row>
        <row r="180">
          <cell r="Z180">
            <v>1.6426259582843101</v>
          </cell>
          <cell r="AE180">
            <v>2.8552805341335357</v>
          </cell>
          <cell r="AJ180">
            <v>8.2332388963483254</v>
          </cell>
          <cell r="AO180">
            <v>22.339535634885458</v>
          </cell>
        </row>
        <row r="181">
          <cell r="Z181">
            <v>1.642434267661447</v>
          </cell>
          <cell r="AE181">
            <v>2.8544778640843718</v>
          </cell>
          <cell r="AJ181">
            <v>8.230121024425781</v>
          </cell>
          <cell r="AO181">
            <v>22.263266874673324</v>
          </cell>
        </row>
        <row r="182">
          <cell r="Z182">
            <v>1.6422460688607114</v>
          </cell>
          <cell r="AE182">
            <v>2.8536898154131189</v>
          </cell>
          <cell r="AJ182">
            <v>8.2270599474262625</v>
          </cell>
          <cell r="AO182">
            <v>22.188387420524009</v>
          </cell>
        </row>
        <row r="183">
          <cell r="Z183">
            <v>1.6420612673330934</v>
          </cell>
          <cell r="AE183">
            <v>2.852915992212782</v>
          </cell>
          <cell r="AJ183">
            <v>8.2240541274983112</v>
          </cell>
          <cell r="AO183">
            <v>22.114859653822592</v>
          </cell>
        </row>
        <row r="184">
          <cell r="Z184">
            <v>1.6418797719125555</v>
          </cell>
          <cell r="AE184">
            <v>2.8521560127419541</v>
          </cell>
          <cell r="AJ184">
            <v>8.2211020818149443</v>
          </cell>
          <cell r="AO184">
            <v>22.042647301951376</v>
          </cell>
        </row>
        <row r="185">
          <cell r="Z185">
            <v>1.6417014946660689</v>
          </cell>
          <cell r="AE185">
            <v>2.8514095087968756</v>
          </cell>
          <cell r="AJ185">
            <v>8.2182023801344659</v>
          </cell>
          <cell r="AO185">
            <v>21.97171537862371</v>
          </cell>
        </row>
        <row r="186">
          <cell r="Z186">
            <v>1.6404986951662917</v>
          </cell>
          <cell r="AE186">
            <v>2.8506761251165966</v>
          </cell>
          <cell r="AJ186">
            <v>8.2153536424899283</v>
          </cell>
          <cell r="AO186">
            <v>21.888688210370006</v>
          </cell>
        </row>
        <row r="187">
          <cell r="Z187">
            <v>1.6381386457519498</v>
          </cell>
          <cell r="AE187">
            <v>2.848200859426921</v>
          </cell>
          <cell r="AJ187">
            <v>8.207376191338394</v>
          </cell>
          <cell r="AO187">
            <v>21.769572239261407</v>
          </cell>
        </row>
        <row r="188">
          <cell r="Z188">
            <v>1.635802107965471</v>
          </cell>
          <cell r="AE188">
            <v>2.845757566155136</v>
          </cell>
          <cell r="AJ188">
            <v>8.1994453253464865</v>
          </cell>
          <cell r="AO188">
            <v>21.652393196019734</v>
          </cell>
        </row>
        <row r="189">
          <cell r="Z189">
            <v>1.6335084556686059</v>
          </cell>
          <cell r="AE189">
            <v>2.8433591177939856</v>
          </cell>
          <cell r="AJ189">
            <v>8.1916600247604112</v>
          </cell>
          <cell r="AO189">
            <v>21.537364890793491</v>
          </cell>
        </row>
        <row r="190">
          <cell r="Z190">
            <v>1.6312565188992649</v>
          </cell>
          <cell r="AE190">
            <v>2.8410042909262763</v>
          </cell>
          <cell r="AJ190">
            <v>8.1840163183999799</v>
          </cell>
          <cell r="AO190">
            <v>21.424428649146055</v>
          </cell>
        </row>
        <row r="191">
          <cell r="Z191">
            <v>1.6290451698689368</v>
          </cell>
          <cell r="AE191">
            <v>2.8386919062352876</v>
          </cell>
          <cell r="AJ191">
            <v>8.1765103782339992</v>
          </cell>
          <cell r="AO191">
            <v>21.313527911675969</v>
          </cell>
        </row>
        <row r="192">
          <cell r="Z192">
            <v>1.6268733210793749</v>
          </cell>
          <cell r="AE192">
            <v>2.8364208265354089</v>
          </cell>
          <cell r="AJ192">
            <v>8.169294337673259</v>
          </cell>
          <cell r="AO192">
            <v>21.204608139567345</v>
          </cell>
        </row>
        <row r="193">
          <cell r="Z193">
            <v>1.6247399235393094</v>
          </cell>
          <cell r="AE193">
            <v>2.8341899549073744</v>
          </cell>
          <cell r="AJ193">
            <v>8.1624140507107015</v>
          </cell>
          <cell r="AO193">
            <v>21.097616725156801</v>
          </cell>
        </row>
        <row r="194">
          <cell r="Z194">
            <v>1.6226439650750466</v>
          </cell>
          <cell r="AE194">
            <v>2.8319982329316757</v>
          </cell>
          <cell r="AJ194">
            <v>8.1556545061697019</v>
          </cell>
          <cell r="AO194">
            <v>20.992502907208788</v>
          </cell>
        </row>
        <row r="195">
          <cell r="Z195">
            <v>1.6205844687292381</v>
          </cell>
          <cell r="AE195">
            <v>2.8298446390141709</v>
          </cell>
          <cell r="AJ195">
            <v>8.1490125533262265</v>
          </cell>
          <cell r="AO195">
            <v>20.889217690612629</v>
          </cell>
        </row>
        <row r="196">
          <cell r="Z196">
            <v>1.618560491242492</v>
          </cell>
          <cell r="AE196">
            <v>2.8277281867983195</v>
          </cell>
          <cell r="AJ196">
            <v>8.1424851501334121</v>
          </cell>
          <cell r="AO196">
            <v>20.787713770234348</v>
          </cell>
        </row>
        <row r="197">
          <cell r="Z197">
            <v>1.6165711216128771</v>
          </cell>
          <cell r="AE197">
            <v>2.8256479236588752</v>
          </cell>
          <cell r="AJ197">
            <v>8.1360693585759094</v>
          </cell>
          <cell r="AO197">
            <v>20.68794545867469</v>
          </cell>
        </row>
        <row r="198">
          <cell r="Z198">
            <v>1.6146154797286902</v>
          </cell>
          <cell r="AE198">
            <v>2.8236029292721767</v>
          </cell>
          <cell r="AJ198">
            <v>8.1297623402605179</v>
          </cell>
          <cell r="AO198">
            <v>20.589868617701487</v>
          </cell>
        </row>
        <row r="199">
          <cell r="Z199">
            <v>1.6134601253230683</v>
          </cell>
          <cell r="AE199">
            <v>2.8214892934555702</v>
          </cell>
          <cell r="AJ199">
            <v>8.1235613522291921</v>
          </cell>
          <cell r="AO199">
            <v>20.493110020946734</v>
          </cell>
        </row>
        <row r="200">
          <cell r="Z200">
            <v>1.6117069295701876</v>
          </cell>
          <cell r="AE200">
            <v>2.8180611300818956</v>
          </cell>
          <cell r="AJ200">
            <v>8.1141854686835391</v>
          </cell>
          <cell r="AO200">
            <v>20.387944010562929</v>
          </cell>
        </row>
        <row r="201">
          <cell r="Z201">
            <v>1.609976456687608</v>
          </cell>
          <cell r="AE201">
            <v>2.8146789817155833</v>
          </cell>
          <cell r="AJ201">
            <v>8.1049335022635063</v>
          </cell>
          <cell r="AO201">
            <v>20.284503268823808</v>
          </cell>
        </row>
        <row r="202">
          <cell r="Z202">
            <v>1.6082757159770147</v>
          </cell>
          <cell r="AE202">
            <v>2.81135494383336</v>
          </cell>
          <cell r="AJ202">
            <v>8.0958404987833639</v>
          </cell>
          <cell r="AO202">
            <v>20.182839797306439</v>
          </cell>
        </row>
        <row r="203">
          <cell r="Z203">
            <v>1.6066039476988383</v>
          </cell>
          <cell r="AE203">
            <v>2.8080875315509681</v>
          </cell>
          <cell r="AJ203">
            <v>8.0869023962985054</v>
          </cell>
          <cell r="AO203">
            <v>20.082908181820638</v>
          </cell>
        </row>
        <row r="204">
          <cell r="Z204">
            <v>1.604960417779504</v>
          </cell>
          <cell r="AE204">
            <v>2.8048753101474317</v>
          </cell>
          <cell r="AJ204">
            <v>8.0781152700874728</v>
          </cell>
          <cell r="AO204">
            <v>19.984664542386703</v>
          </cell>
        </row>
        <row r="205">
          <cell r="Z205">
            <v>1.6033444167366813</v>
          </cell>
          <cell r="AE205">
            <v>2.8017168929644964</v>
          </cell>
          <cell r="AJ205">
            <v>8.0694753269057884</v>
          </cell>
          <cell r="AO205">
            <v>19.888066468990914</v>
          </cell>
        </row>
        <row r="206">
          <cell r="Z206">
            <v>1.6017552586580812</v>
          </cell>
          <cell r="AE206">
            <v>2.7986109394107279</v>
          </cell>
          <cell r="AJ206">
            <v>8.065321290143098</v>
          </cell>
          <cell r="AO206">
            <v>19.793072960542496</v>
          </cell>
        </row>
        <row r="207">
          <cell r="Z207">
            <v>1.6001922802307365</v>
          </cell>
          <cell r="AE207">
            <v>2.795556153064267</v>
          </cell>
          <cell r="AJ207">
            <v>8.0640412980256393</v>
          </cell>
          <cell r="AO207">
            <v>19.699644366847458</v>
          </cell>
        </row>
        <row r="208">
          <cell r="Z208">
            <v>1.5986548398178519</v>
          </cell>
          <cell r="AE208">
            <v>2.7925512798685719</v>
          </cell>
          <cell r="AJ208">
            <v>8.062782220116997</v>
          </cell>
          <cell r="AO208">
            <v>19.607742333426721</v>
          </cell>
        </row>
        <row r="209">
          <cell r="Z209">
            <v>1.5971423165805463</v>
          </cell>
          <cell r="AE209">
            <v>2.7895951064158928</v>
          </cell>
          <cell r="AJ209">
            <v>8.061543547984769</v>
          </cell>
          <cell r="AO209">
            <v>19.517329749017229</v>
          </cell>
        </row>
        <row r="210">
          <cell r="Z210">
            <v>1.5956541096419514</v>
          </cell>
          <cell r="AE210">
            <v>2.7866864583135311</v>
          </cell>
          <cell r="AJ210">
            <v>8.06032478954433</v>
          </cell>
          <cell r="AO210">
            <v>19.428370695605125</v>
          </cell>
        </row>
        <row r="211">
          <cell r="Z211">
            <v>1.5941896372913027</v>
          </cell>
          <cell r="AE211">
            <v>2.7838241986282632</v>
          </cell>
          <cell r="AJ211">
            <v>8.059125468407025</v>
          </cell>
          <cell r="AO211">
            <v>19.340830400849548</v>
          </cell>
        </row>
        <row r="212">
          <cell r="Z212">
            <v>1.5927483362258126</v>
          </cell>
          <cell r="AE212">
            <v>2.7810072264046104</v>
          </cell>
          <cell r="AJ212">
            <v>8.0579451232593016</v>
          </cell>
          <cell r="AO212">
            <v>19.254675192764765</v>
          </cell>
        </row>
        <row r="213">
          <cell r="Z213">
            <v>1.592216803083176</v>
          </cell>
          <cell r="AE213">
            <v>2.7789173038263972</v>
          </cell>
          <cell r="AJ213">
            <v>8.0572788352952518</v>
          </cell>
          <cell r="AO213">
            <v>19.170398519412004</v>
          </cell>
        </row>
        <row r="214">
          <cell r="Z214">
            <v>1.5931972145348585</v>
          </cell>
          <cell r="AE214">
            <v>2.7796745663328988</v>
          </cell>
          <cell r="AJ214">
            <v>8.0638947067009834</v>
          </cell>
          <cell r="AO214">
            <v>19.100668479895251</v>
          </cell>
        </row>
        <row r="215">
          <cell r="Z215">
            <v>1.5941643201264315</v>
          </cell>
          <cell r="AE215">
            <v>2.7804215514921085</v>
          </cell>
          <cell r="AJ215">
            <v>8.0704207894172075</v>
          </cell>
          <cell r="AO215">
            <v>19.03188479626775</v>
          </cell>
        </row>
        <row r="216">
          <cell r="Z216">
            <v>1.5951183889070835</v>
          </cell>
          <cell r="AE216">
            <v>2.7811584671156169</v>
          </cell>
          <cell r="AJ216">
            <v>8.076858899002918</v>
          </cell>
          <cell r="AO216">
            <v>18.964028332879433</v>
          </cell>
        </row>
        <row r="217">
          <cell r="Z217">
            <v>1.5960596827208722</v>
          </cell>
          <cell r="AE217">
            <v>2.7818855154498245</v>
          </cell>
          <cell r="AJ217">
            <v>8.0832108023964881</v>
          </cell>
          <cell r="AO217">
            <v>18.897080466532358</v>
          </cell>
        </row>
        <row r="218">
          <cell r="Z218">
            <v>1.5969884564463139</v>
          </cell>
          <cell r="AE218">
            <v>2.7826028933610001</v>
          </cell>
          <cell r="AJ218">
            <v>8.0894782195324275</v>
          </cell>
          <cell r="AO218">
            <v>18.831023069440505</v>
          </cell>
        </row>
        <row r="219">
          <cell r="Z219">
            <v>1.5979049582264735</v>
          </cell>
          <cell r="AE219">
            <v>2.7833107925129994</v>
          </cell>
          <cell r="AJ219">
            <v>8.0974102202202474</v>
          </cell>
          <cell r="AO219">
            <v>18.76583849286499</v>
          </cell>
        </row>
        <row r="220">
          <cell r="Z220">
            <v>1.5988094296899933</v>
          </cell>
          <cell r="AE220">
            <v>2.7840093995379873</v>
          </cell>
          <cell r="AJ220">
            <v>8.1076456096364549</v>
          </cell>
          <cell r="AO220">
            <v>18.701509551393727</v>
          </cell>
        </row>
        <row r="221">
          <cell r="Z221">
            <v>1.5997021061634769</v>
          </cell>
          <cell r="AE221">
            <v>2.7846988962004806</v>
          </cell>
          <cell r="AJ221">
            <v>8.1177475218551507</v>
          </cell>
          <cell r="AO221">
            <v>18.638019507836084</v>
          </cell>
        </row>
        <row r="222">
          <cell r="Z222">
            <v>1.6005832168756158</v>
          </cell>
          <cell r="AE222">
            <v>2.7853794595550134</v>
          </cell>
          <cell r="AJ222">
            <v>8.127718550927133</v>
          </cell>
          <cell r="AO222">
            <v>18.575352058704727</v>
          </cell>
        </row>
        <row r="223">
          <cell r="Z223">
            <v>1.6014529851534338</v>
          </cell>
          <cell r="AE223">
            <v>2.7860512620977169</v>
          </cell>
          <cell r="AJ223">
            <v>8.1375612241173787</v>
          </cell>
          <cell r="AO223">
            <v>18.513491320258041</v>
          </cell>
        </row>
        <row r="224">
          <cell r="Z224">
            <v>1.6023116286109997</v>
          </cell>
          <cell r="AE224">
            <v>2.7867144719120773</v>
          </cell>
          <cell r="AJ224">
            <v>8.1472780040406096</v>
          </cell>
          <cell r="AO224">
            <v>18.452421815078207</v>
          </cell>
        </row>
        <row r="225">
          <cell r="Z225">
            <v>1.6031593593309488</v>
          </cell>
          <cell r="AE225">
            <v>2.7873692528091434</v>
          </cell>
          <cell r="AJ225">
            <v>8.1568712907154488</v>
          </cell>
          <cell r="AO225">
            <v>18.39212845916099</v>
          </cell>
        </row>
        <row r="226">
          <cell r="Z226">
            <v>1.6039963840391211</v>
          </cell>
          <cell r="AE226">
            <v>2.7880157644624157</v>
          </cell>
          <cell r="AJ226">
            <v>8.1663434235407291</v>
          </cell>
          <cell r="AO226">
            <v>18.332596549494649</v>
          </cell>
        </row>
        <row r="227">
          <cell r="Z227">
            <v>1.6048229042726319</v>
          </cell>
          <cell r="AE227">
            <v>2.7886541625376604</v>
          </cell>
          <cell r="AJ227">
            <v>8.1756966831974083</v>
          </cell>
          <cell r="AO227">
            <v>18.27381175210655</v>
          </cell>
        </row>
        <row r="228">
          <cell r="Z228">
            <v>1.6079044078779237</v>
          </cell>
          <cell r="AE228">
            <v>2.7898882972931487</v>
          </cell>
          <cell r="AJ228">
            <v>8.185035855991929</v>
          </cell>
          <cell r="AO228">
            <v>18.215988345822652</v>
          </cell>
        </row>
        <row r="229">
          <cell r="Z229">
            <v>1.6112793049939531</v>
          </cell>
          <cell r="AE229">
            <v>2.7920267533004148</v>
          </cell>
          <cell r="AJ229">
            <v>8.1948913482602439</v>
          </cell>
          <cell r="AO229">
            <v>18.160280386033801</v>
          </cell>
        </row>
        <row r="230">
          <cell r="Z230">
            <v>1.6146132234098227</v>
          </cell>
          <cell r="AE230">
            <v>2.7941392437316912</v>
          </cell>
          <cell r="AJ230">
            <v>8.2046271730990927</v>
          </cell>
          <cell r="AO230">
            <v>18.104993265974475</v>
          </cell>
        </row>
        <row r="231">
          <cell r="Z231">
            <v>1.6179069049794643</v>
          </cell>
          <cell r="AE231">
            <v>2.7962262386522676</v>
          </cell>
          <cell r="AJ231">
            <v>8.2142454968961989</v>
          </cell>
          <cell r="AO231">
            <v>18.050262105019556</v>
          </cell>
        </row>
        <row r="232">
          <cell r="Z232">
            <v>1.6211610737574449</v>
          </cell>
          <cell r="AE232">
            <v>2.7982881968491209</v>
          </cell>
          <cell r="AJ232">
            <v>8.2237484340609672</v>
          </cell>
          <cell r="AO232">
            <v>17.996187528775231</v>
          </cell>
        </row>
        <row r="233">
          <cell r="Z233">
            <v>1.6243764365296107</v>
          </cell>
          <cell r="AE233">
            <v>2.8003255661671425</v>
          </cell>
          <cell r="AJ233">
            <v>8.2345584004535848</v>
          </cell>
          <cell r="AO233">
            <v>17.942757792569424</v>
          </cell>
        </row>
        <row r="234">
          <cell r="Z234">
            <v>1.6275536833248612</v>
          </cell>
          <cell r="AE234">
            <v>2.8023387838334237</v>
          </cell>
          <cell r="AJ234">
            <v>8.2452511261016408</v>
          </cell>
          <cell r="AO234">
            <v>17.889961430180549</v>
          </cell>
        </row>
        <row r="235">
          <cell r="Z235">
            <v>1.6306934879088271</v>
          </cell>
          <cell r="AE235">
            <v>2.8043282767700628</v>
          </cell>
          <cell r="AJ235">
            <v>8.2558178435045946</v>
          </cell>
          <cell r="AO235">
            <v>17.837787245634015</v>
          </cell>
        </row>
        <row r="236">
          <cell r="Z236">
            <v>1.6337965082602</v>
          </cell>
          <cell r="AE236">
            <v>2.806294461895988</v>
          </cell>
          <cell r="AJ236">
            <v>8.2662607670279318</v>
          </cell>
          <cell r="AO236">
            <v>17.786224305287035</v>
          </cell>
        </row>
        <row r="237">
          <cell r="Z237">
            <v>1.6368633870304174</v>
          </cell>
          <cell r="AE237">
            <v>2.8082377464182273</v>
          </cell>
          <cell r="AJ237">
            <v>8.2765820594546984</v>
          </cell>
          <cell r="AO237">
            <v>17.735261930190074</v>
          </cell>
        </row>
        <row r="238">
          <cell r="Z238">
            <v>1.639894751987381</v>
          </cell>
          <cell r="AE238">
            <v>2.8101585281130665</v>
          </cell>
          <cell r="AJ238">
            <v>8.2867838334787987</v>
          </cell>
          <cell r="AO238">
            <v>17.684889688713582</v>
          </cell>
        </row>
        <row r="239">
          <cell r="Z239">
            <v>1.6428912164438425</v>
          </cell>
          <cell r="AE239">
            <v>2.8120571955974905</v>
          </cell>
          <cell r="AJ239">
            <v>8.2968681531466899</v>
          </cell>
          <cell r="AO239">
            <v>17.635097389429433</v>
          </cell>
        </row>
        <row r="240">
          <cell r="Z240">
            <v>1.6458533796710855</v>
          </cell>
          <cell r="AE240">
            <v>2.8139341285913044</v>
          </cell>
          <cell r="AJ240">
            <v>8.3068370352495915</v>
          </cell>
          <cell r="AO240">
            <v>17.585875074236824</v>
          </cell>
        </row>
        <row r="241">
          <cell r="Z241">
            <v>1.6487818272984784</v>
          </cell>
          <cell r="AE241">
            <v>2.8157896981703052</v>
          </cell>
          <cell r="AJ241">
            <v>8.3166924506681283</v>
          </cell>
          <cell r="AO241">
            <v>17.537213011722894</v>
          </cell>
        </row>
        <row r="242">
          <cell r="Z242">
            <v>1.6516771316994592</v>
          </cell>
          <cell r="AE242">
            <v>2.8176242670108591</v>
          </cell>
          <cell r="AJ242">
            <v>8.3264363256713487</v>
          </cell>
          <cell r="AO242">
            <v>17.489101690748775</v>
          </cell>
        </row>
        <row r="243">
          <cell r="Z243">
            <v>1.6539193242565395</v>
          </cell>
          <cell r="AE243">
            <v>2.8194381896262168</v>
          </cell>
          <cell r="AJ243">
            <v>8.3360705431718571</v>
          </cell>
          <cell r="AO243">
            <v>17.441531814252169</v>
          </cell>
        </row>
        <row r="244">
          <cell r="Z244">
            <v>1.6557692674241307</v>
          </cell>
          <cell r="AE244">
            <v>2.8218568084567752</v>
          </cell>
          <cell r="AJ244">
            <v>8.345489496608721</v>
          </cell>
          <cell r="AO244">
            <v>17.39427034379306</v>
          </cell>
        </row>
        <row r="245">
          <cell r="Z245">
            <v>1.6574719744583</v>
          </cell>
          <cell r="AE245">
            <v>2.824277677276585</v>
          </cell>
          <cell r="AJ245">
            <v>8.3541652789310099</v>
          </cell>
          <cell r="AO245">
            <v>17.346211085400753</v>
          </cell>
        </row>
        <row r="246">
          <cell r="Z246">
            <v>1.6591555389461721</v>
          </cell>
          <cell r="AE246">
            <v>2.8266713296742312</v>
          </cell>
          <cell r="AJ246">
            <v>8.3627435244713197</v>
          </cell>
          <cell r="AO246">
            <v>17.298692129338967</v>
          </cell>
        </row>
        <row r="247">
          <cell r="Z247">
            <v>1.6608202818960882</v>
          </cell>
          <cell r="AE247">
            <v>2.8290382220518246</v>
          </cell>
          <cell r="AJ247">
            <v>8.3720539580375153</v>
          </cell>
          <cell r="AO247">
            <v>17.252296182542807</v>
          </cell>
        </row>
        <row r="248">
          <cell r="Z248">
            <v>1.6624665171788118</v>
          </cell>
          <cell r="AE248">
            <v>2.8313788006634355</v>
          </cell>
          <cell r="AJ248">
            <v>8.3816325333366475</v>
          </cell>
          <cell r="AO248">
            <v>17.208454663215527</v>
          </cell>
        </row>
        <row r="249">
          <cell r="Z249">
            <v>1.6640945517248111</v>
          </cell>
          <cell r="AE249">
            <v>2.8336935018955858</v>
          </cell>
          <cell r="AJ249">
            <v>8.3911052081432782</v>
          </cell>
          <cell r="AO249">
            <v>17.165097854645715</v>
          </cell>
        </row>
        <row r="250">
          <cell r="Z250">
            <v>1.6657046857150353</v>
          </cell>
          <cell r="AE250">
            <v>2.8359827525384897</v>
          </cell>
          <cell r="AJ250">
            <v>8.400473729052111</v>
          </cell>
          <cell r="AO250">
            <v>17.122217762600101</v>
          </cell>
        </row>
        <row r="251">
          <cell r="Z251">
            <v>1.6672972127654289</v>
          </cell>
          <cell r="AE251">
            <v>2.8382469700483925</v>
          </cell>
          <cell r="AJ251">
            <v>8.4097398044595479</v>
          </cell>
          <cell r="AO251">
            <v>17.079806567680542</v>
          </cell>
        </row>
        <row r="252">
          <cell r="Z252">
            <v>1.6688724201054286</v>
          </cell>
          <cell r="AE252">
            <v>2.8404865628013538</v>
          </cell>
          <cell r="AJ252">
            <v>8.4189051056022688</v>
          </cell>
          <cell r="AO252">
            <v>17.037856620570416</v>
          </cell>
        </row>
        <row r="253">
          <cell r="Z253">
            <v>1.6704305887506681</v>
          </cell>
          <cell r="AE253">
            <v>2.8427019303387913</v>
          </cell>
          <cell r="AJ253">
            <v>8.4279712675621088</v>
          </cell>
          <cell r="AO253">
            <v>16.996360437435275</v>
          </cell>
        </row>
        <row r="254">
          <cell r="Z254">
            <v>1.6719719936701067</v>
          </cell>
          <cell r="AE254">
            <v>2.8448934636051053</v>
          </cell>
          <cell r="AJ254">
            <v>8.436939890238488</v>
          </cell>
          <cell r="AO254">
            <v>16.955310695471955</v>
          </cell>
        </row>
        <row r="255">
          <cell r="Z255">
            <v>1.6734969039477929</v>
          </cell>
          <cell r="AE255">
            <v>2.8470615451776697</v>
          </cell>
          <cell r="AJ255">
            <v>8.4458125392896459</v>
          </cell>
          <cell r="AO255">
            <v>16.914700228600569</v>
          </cell>
        </row>
        <row r="256">
          <cell r="Z256">
            <v>1.6750055829394652</v>
          </cell>
          <cell r="AE256">
            <v>2.8492065494894789</v>
          </cell>
          <cell r="AJ256">
            <v>8.45459074704379</v>
          </cell>
          <cell r="AO256">
            <v>16.874522023294066</v>
          </cell>
        </row>
        <row r="257">
          <cell r="Z257">
            <v>1.6764982884241759</v>
          </cell>
          <cell r="AE257">
            <v>2.8513288430447279</v>
          </cell>
          <cell r="AJ257">
            <v>8.4632760133813445</v>
          </cell>
          <cell r="AO257">
            <v>16.834769214540259</v>
          </cell>
        </row>
        <row r="258">
          <cell r="Z258">
            <v>1.6779752727511246</v>
          </cell>
          <cell r="AE258">
            <v>2.853428784627575</v>
          </cell>
          <cell r="AJ258">
            <v>8.4718698065892681</v>
          </cell>
          <cell r="AO258">
            <v>16.795435081931412</v>
          </cell>
        </row>
        <row r="259">
          <cell r="Z259">
            <v>1.6794367829818775</v>
          </cell>
          <cell r="AE259">
            <v>2.8555067255043438</v>
          </cell>
          <cell r="AJ259">
            <v>8.4803735641885805</v>
          </cell>
          <cell r="AO259">
            <v>16.756513045876783</v>
          </cell>
        </row>
        <row r="260">
          <cell r="Z260">
            <v>1.6802886415108023</v>
          </cell>
          <cell r="AE260">
            <v>2.8575769920762677</v>
          </cell>
          <cell r="AJ260">
            <v>8.4887886937359713</v>
          </cell>
          <cell r="AO260">
            <v>16.717996663933537</v>
          </cell>
        </row>
        <row r="261">
          <cell r="Z261">
            <v>1.6810264260308039</v>
          </cell>
          <cell r="AE261">
            <v>2.8597825540403621</v>
          </cell>
          <cell r="AJ261">
            <v>8.4953537941367969</v>
          </cell>
          <cell r="AO261">
            <v>16.679879627251808</v>
          </cell>
        </row>
        <row r="262">
          <cell r="Z262">
            <v>1.6820757424777444</v>
          </cell>
          <cell r="AE262">
            <v>2.8625084729390311</v>
          </cell>
          <cell r="AJ262">
            <v>8.4897236845700643</v>
          </cell>
          <cell r="AO262">
            <v>16.645313889723358</v>
          </cell>
        </row>
        <row r="263">
          <cell r="Z263">
            <v>1.6831146832689778</v>
          </cell>
          <cell r="AE263">
            <v>2.8652074379134951</v>
          </cell>
          <cell r="AJ263">
            <v>8.4841492456054848</v>
          </cell>
          <cell r="AO263">
            <v>16.611089938691148</v>
          </cell>
        </row>
        <row r="264">
          <cell r="Z264">
            <v>1.6841434015393479</v>
          </cell>
          <cell r="AE264">
            <v>2.8678798467781266</v>
          </cell>
          <cell r="AJ264">
            <v>8.4786296555977483</v>
          </cell>
          <cell r="AO264">
            <v>16.577685692369133</v>
          </cell>
        </row>
        <row r="265">
          <cell r="Z265">
            <v>1.6851620474249511</v>
          </cell>
          <cell r="AE265">
            <v>2.8705260895571403</v>
          </cell>
          <cell r="AJ265">
            <v>8.4731641089913197</v>
          </cell>
          <cell r="AO265">
            <v>16.54532796775587</v>
          </cell>
        </row>
        <row r="266">
          <cell r="Z266">
            <v>1.6861707681361813</v>
          </cell>
          <cell r="AE266">
            <v>2.8731465486743479</v>
          </cell>
          <cell r="AJ266">
            <v>8.4677518159285139</v>
          </cell>
          <cell r="AO266">
            <v>16.513285520574765</v>
          </cell>
        </row>
        <row r="267">
          <cell r="Z267">
            <v>1.6871697080286525</v>
          </cell>
          <cell r="AE267">
            <v>2.8757415991374011</v>
          </cell>
          <cell r="AJ267">
            <v>8.4623920018689933</v>
          </cell>
          <cell r="AO267">
            <v>16.481553765307659</v>
          </cell>
        </row>
        <row r="268">
          <cell r="Z268">
            <v>1.6881590086720668</v>
          </cell>
          <cell r="AE268">
            <v>2.8783116087166944</v>
          </cell>
          <cell r="AJ268">
            <v>8.457083907220234</v>
          </cell>
          <cell r="AO268">
            <v>16.450128204932124</v>
          </cell>
        </row>
        <row r="269">
          <cell r="Z269">
            <v>1.6891388089170942</v>
          </cell>
          <cell r="AE269">
            <v>2.8808569381191163</v>
          </cell>
          <cell r="AJ269">
            <v>8.4518267869786605</v>
          </cell>
          <cell r="AO269">
            <v>16.419004428796836</v>
          </cell>
        </row>
        <row r="270">
          <cell r="Z270">
            <v>1.6901092449603468</v>
          </cell>
          <cell r="AE270">
            <v>2.8833779411568212</v>
          </cell>
          <cell r="AJ270">
            <v>8.4466199103810933</v>
          </cell>
          <cell r="AO270">
            <v>16.388178110557945</v>
          </cell>
        </row>
        <row r="271">
          <cell r="Z271">
            <v>1.6910704504074809</v>
          </cell>
          <cell r="AE271">
            <v>2.8858749649111775</v>
          </cell>
          <cell r="AJ271">
            <v>8.4414625605660873</v>
          </cell>
          <cell r="AO271">
            <v>16.357645006174234</v>
          </cell>
        </row>
        <row r="272">
          <cell r="Z272">
            <v>1.6920225563345261</v>
          </cell>
          <cell r="AE272">
            <v>2.888348349892071</v>
          </cell>
          <cell r="AJ272">
            <v>8.4363540342449443</v>
          </cell>
          <cell r="AO272">
            <v>16.327400951959309</v>
          </cell>
        </row>
        <row r="273">
          <cell r="Z273">
            <v>1.6929656913474664</v>
          </cell>
          <cell r="AE273">
            <v>2.890798430192695</v>
          </cell>
          <cell r="AJ273">
            <v>8.431293641381993</v>
          </cell>
          <cell r="AO273">
            <v>16.297441862688778</v>
          </cell>
        </row>
        <row r="274">
          <cell r="Z274">
            <v>1.6938999816401512</v>
          </cell>
          <cell r="AE274">
            <v>2.8932255336399897</v>
          </cell>
          <cell r="AJ274">
            <v>8.4262807048838635</v>
          </cell>
          <cell r="AO274">
            <v>16.26776372976072</v>
          </cell>
        </row>
        <row r="275">
          <cell r="Z275">
            <v>1.6948255510505856</v>
          </cell>
          <cell r="AE275">
            <v>2.8956299819408713</v>
          </cell>
          <cell r="AJ275">
            <v>8.4213145602974908</v>
          </cell>
          <cell r="AO275">
            <v>16.238362619407656</v>
          </cell>
        </row>
        <row r="276">
          <cell r="Z276">
            <v>1.6957425211156496</v>
          </cell>
          <cell r="AE276">
            <v>2.8980120908243823</v>
          </cell>
          <cell r="AJ276">
            <v>8.4163945555164972</v>
          </cell>
          <cell r="AO276">
            <v>16.209234670958363</v>
          </cell>
        </row>
        <row r="277">
          <cell r="Z277">
            <v>1.6966510111242967</v>
          </cell>
          <cell r="AE277">
            <v>2.9003721701798946</v>
          </cell>
          <cell r="AJ277">
            <v>8.4115200504957439</v>
          </cell>
          <cell r="AO277">
            <v>16.180376095147864</v>
          </cell>
        </row>
        <row r="278">
          <cell r="Z278">
            <v>1.6976286614075182</v>
          </cell>
          <cell r="AE278">
            <v>2.9027105241915065</v>
          </cell>
          <cell r="AJ278">
            <v>8.4066904169737686</v>
          </cell>
          <cell r="AO278">
            <v>16.151783172474207</v>
          </cell>
        </row>
        <row r="279">
          <cell r="Z279">
            <v>1.6986878317742977</v>
          </cell>
          <cell r="AE279">
            <v>2.9059456976034301</v>
          </cell>
          <cell r="AJ279">
            <v>8.4026003055478906</v>
          </cell>
          <cell r="AO279">
            <v>16.123452251600259</v>
          </cell>
        </row>
        <row r="280">
          <cell r="Z280">
            <v>1.699125863547897</v>
          </cell>
          <cell r="AE280">
            <v>2.9083812691369815</v>
          </cell>
          <cell r="AJ280">
            <v>8.3966275064640143</v>
          </cell>
          <cell r="AO280">
            <v>16.089589463436269</v>
          </cell>
        </row>
        <row r="281">
          <cell r="Z281">
            <v>1.6991961775683722</v>
          </cell>
          <cell r="AE281">
            <v>2.9101705609342221</v>
          </cell>
          <cell r="AJ281">
            <v>8.3889189281819778</v>
          </cell>
          <cell r="AO281">
            <v>16.051741837497541</v>
          </cell>
        </row>
        <row r="282">
          <cell r="Z282">
            <v>1.699265776979334</v>
          </cell>
          <cell r="AE282">
            <v>2.9119416679522208</v>
          </cell>
          <cell r="AJ282">
            <v>8.3812886930715482</v>
          </cell>
          <cell r="AO282">
            <v>16.01120385374135</v>
          </cell>
        </row>
        <row r="283">
          <cell r="Z283">
            <v>1.6993346726196932</v>
          </cell>
          <cell r="AE283">
            <v>2.9136948660104043</v>
          </cell>
          <cell r="AJ283">
            <v>8.3737356128549738</v>
          </cell>
          <cell r="AO283">
            <v>15.97107577921973</v>
          </cell>
        </row>
        <row r="284">
          <cell r="Z284">
            <v>1.699402875110261</v>
          </cell>
          <cell r="AE284">
            <v>2.9154304253782328</v>
          </cell>
          <cell r="AJ284">
            <v>8.3662585231647046</v>
          </cell>
          <cell r="AO284">
            <v>15.931351427870002</v>
          </cell>
        </row>
        <row r="285">
          <cell r="Z285">
            <v>1.6994703948592116</v>
          </cell>
          <cell r="AE285">
            <v>2.9171486109140994</v>
          </cell>
          <cell r="AJ285">
            <v>8.3588562829450179</v>
          </cell>
          <cell r="AO285">
            <v>15.892024737480739</v>
          </cell>
        </row>
        <row r="286">
          <cell r="Z286">
            <v>1.6995372420673724</v>
          </cell>
          <cell r="AE286">
            <v>2.91884968220007</v>
          </cell>
          <cell r="AJ286">
            <v>8.3515277738715064</v>
          </cell>
          <cell r="AO286">
            <v>15.853089766607688</v>
          </cell>
        </row>
        <row r="287">
          <cell r="Z287">
            <v>1.6996034267333662</v>
          </cell>
          <cell r="AE287">
            <v>2.9205338936726264</v>
          </cell>
          <cell r="AJ287">
            <v>8.3442718997878487</v>
          </cell>
          <cell r="AO287">
            <v>15.814540691581378</v>
          </cell>
        </row>
        <row r="288">
          <cell r="Z288">
            <v>1.6996689586585927</v>
          </cell>
          <cell r="AE288">
            <v>2.9222014947495292</v>
          </cell>
          <cell r="AJ288">
            <v>8.337087586159214</v>
          </cell>
          <cell r="AO288">
            <v>15.776371803603231</v>
          </cell>
        </row>
        <row r="289">
          <cell r="Z289">
            <v>1.6997338474520709</v>
          </cell>
          <cell r="AE289">
            <v>2.9238527299529591</v>
          </cell>
          <cell r="AJ289">
            <v>8.3299737795418025</v>
          </cell>
          <cell r="AO289">
            <v>15.738577505927234</v>
          </cell>
        </row>
        <row r="290">
          <cell r="Z290">
            <v>1.6997981025351332</v>
          </cell>
          <cell r="AE290">
            <v>2.92548783902904</v>
          </cell>
          <cell r="AJ290">
            <v>8.322929447067871</v>
          </cell>
          <cell r="AO290">
            <v>15.701152311124119</v>
          </cell>
        </row>
        <row r="291">
          <cell r="Z291">
            <v>1.6998617331459878</v>
          </cell>
          <cell r="AE291">
            <v>2.9271070570638815</v>
          </cell>
          <cell r="AJ291">
            <v>8.3159535759458389</v>
          </cell>
          <cell r="AO291">
            <v>15.664090838425357</v>
          </cell>
        </row>
        <row r="292">
          <cell r="Z292">
            <v>1.6999247483441442</v>
          </cell>
          <cell r="AE292">
            <v>2.9287106145962545</v>
          </cell>
          <cell r="AJ292">
            <v>8.309045172974832</v>
          </cell>
          <cell r="AO292">
            <v>15.627387811144185</v>
          </cell>
        </row>
        <row r="293">
          <cell r="Z293">
            <v>1.6999871570147178</v>
          </cell>
          <cell r="AE293">
            <v>2.9302987377270133</v>
          </cell>
          <cell r="AJ293">
            <v>8.3022032640733059</v>
          </cell>
          <cell r="AO293">
            <v>15.591038054171122</v>
          </cell>
        </row>
        <row r="294">
          <cell r="Z294">
            <v>1.7000489678725985</v>
          </cell>
          <cell r="AE294">
            <v>2.9318716482253713</v>
          </cell>
          <cell r="AJ294">
            <v>8.2954268938211619</v>
          </cell>
          <cell r="AO294">
            <v>15.555036491541429</v>
          </cell>
        </row>
        <row r="295">
          <cell r="Z295">
            <v>1.7001101894665156</v>
          </cell>
          <cell r="AE295">
            <v>2.9334295636321381</v>
          </cell>
          <cell r="AJ295">
            <v>8.2887151250149937</v>
          </cell>
          <cell r="AO295">
            <v>15.51937814407218</v>
          </cell>
        </row>
        <row r="296">
          <cell r="Z296">
            <v>1.7001708301829741</v>
          </cell>
          <cell r="AE296">
            <v>2.9349726973600201</v>
          </cell>
          <cell r="AJ296">
            <v>8.2820670382359829</v>
          </cell>
          <cell r="AO296">
            <v>15.484058127066547</v>
          </cell>
        </row>
        <row r="297">
          <cell r="Z297">
            <v>1.7002308982500869</v>
          </cell>
          <cell r="AE297">
            <v>2.9365012587910768</v>
          </cell>
          <cell r="AJ297">
            <v>8.2754817314300304</v>
          </cell>
          <cell r="AO297">
            <v>15.449071648083171</v>
          </cell>
        </row>
        <row r="298">
          <cell r="Z298">
            <v>1.7007548920636293</v>
          </cell>
          <cell r="AE298">
            <v>2.9380154533714316</v>
          </cell>
          <cell r="AJ298">
            <v>8.27010284652766</v>
          </cell>
          <cell r="AO298">
            <v>15.414414004768375</v>
          </cell>
        </row>
        <row r="299">
          <cell r="Z299">
            <v>1.701435975223573</v>
          </cell>
          <cell r="AE299">
            <v>2.9405797789813644</v>
          </cell>
          <cell r="AJ299">
            <v>8.2662875853182491</v>
          </cell>
          <cell r="AO299">
            <v>15.380080582749272</v>
          </cell>
        </row>
        <row r="300">
          <cell r="Z300">
            <v>1.7021935819240033</v>
          </cell>
          <cell r="AE300">
            <v>2.9439776054459141</v>
          </cell>
          <cell r="AJ300">
            <v>8.2629101007215411</v>
          </cell>
          <cell r="AO300">
            <v>15.346250214789952</v>
          </cell>
        </row>
        <row r="301">
          <cell r="Z301">
            <v>1.7029501450191427</v>
          </cell>
          <cell r="AE301">
            <v>2.947354486804572</v>
          </cell>
          <cell r="AJ301">
            <v>8.2595922371686132</v>
          </cell>
          <cell r="AO301">
            <v>15.312372975841781</v>
          </cell>
        </row>
        <row r="302">
          <cell r="Z302">
            <v>1.703699805587263</v>
          </cell>
          <cell r="AE302">
            <v>2.9507005590807251</v>
          </cell>
          <cell r="AJ302">
            <v>8.2563046442473951</v>
          </cell>
          <cell r="AO302">
            <v>15.278804816940831</v>
          </cell>
        </row>
        <row r="303">
          <cell r="Z303">
            <v>1.704442657662534</v>
          </cell>
          <cell r="AE303">
            <v>2.9540162419911637</v>
          </cell>
          <cell r="AJ303">
            <v>8.2530469095764971</v>
          </cell>
          <cell r="AO303">
            <v>15.245541527442878</v>
          </cell>
        </row>
        <row r="304">
          <cell r="Z304">
            <v>1.7051787935787892</v>
          </cell>
          <cell r="AE304">
            <v>2.9573019476633182</v>
          </cell>
          <cell r="AJ304">
            <v>8.2498186282312389</v>
          </cell>
          <cell r="AO304">
            <v>15.212578972840946</v>
          </cell>
        </row>
        <row r="305">
          <cell r="Z305">
            <v>1.7059083040077903</v>
          </cell>
          <cell r="AE305">
            <v>2.960558080806035</v>
          </cell>
          <cell r="AJ305">
            <v>8.2466194025758828</v>
          </cell>
          <cell r="AO305">
            <v>15.179913093052171</v>
          </cell>
        </row>
        <row r="306">
          <cell r="Z306">
            <v>1.7066312779964512</v>
          </cell>
          <cell r="AE306">
            <v>2.9637850388757445</v>
          </cell>
          <cell r="AJ306">
            <v>8.2434488421003547</v>
          </cell>
          <cell r="AO306">
            <v>15.147539900750651</v>
          </cell>
        </row>
        <row r="307">
          <cell r="Z307">
            <v>1.7073478030030775</v>
          </cell>
          <cell r="AE307">
            <v>2.9669832122381945</v>
          </cell>
          <cell r="AJ307">
            <v>8.2403065632613242</v>
          </cell>
          <cell r="AO307">
            <v>15.115455479744973</v>
          </cell>
        </row>
        <row r="308">
          <cell r="Z308">
            <v>1.708057964932632</v>
          </cell>
          <cell r="AE308">
            <v>2.9701529843258747</v>
          </cell>
          <cell r="AJ308">
            <v>8.2371921893275655</v>
          </cell>
          <cell r="AO308">
            <v>15.083655983398961</v>
          </cell>
        </row>
        <row r="309">
          <cell r="Z309">
            <v>1.7087618481710709</v>
          </cell>
          <cell r="AE309">
            <v>2.9732947317912566</v>
          </cell>
          <cell r="AJ309">
            <v>8.2341053502293615</v>
          </cell>
          <cell r="AO309">
            <v>15.052137633094269</v>
          </cell>
        </row>
        <row r="310">
          <cell r="Z310">
            <v>1.7094595356187687</v>
          </cell>
          <cell r="AE310">
            <v>2.9764088246559988</v>
          </cell>
          <cell r="AJ310">
            <v>8.2310456824119296</v>
          </cell>
          <cell r="AO310">
            <v>15.020896716733604</v>
          </cell>
        </row>
        <row r="311">
          <cell r="Z311">
            <v>1.7101511087230685</v>
          </cell>
          <cell r="AE311">
            <v>2.9794956264562229</v>
          </cell>
          <cell r="AJ311">
            <v>8.2280128286926768</v>
          </cell>
          <cell r="AO311">
            <v>14.989929587283319</v>
          </cell>
        </row>
        <row r="312">
          <cell r="Z312">
            <v>1.7108366475099752</v>
          </cell>
          <cell r="AE312">
            <v>2.9825554943839809</v>
          </cell>
          <cell r="AJ312">
            <v>8.2250064381222003</v>
          </cell>
          <cell r="AO312">
            <v>14.95923266135409</v>
          </cell>
        </row>
        <row r="313">
          <cell r="Z313">
            <v>1.711516230615028</v>
          </cell>
          <cell r="AE313">
            <v>2.9855887794250506</v>
          </cell>
          <cell r="AJ313">
            <v>8.2220261658489076</v>
          </cell>
          <cell r="AO313">
            <v>14.928802417818655</v>
          </cell>
        </row>
        <row r="314">
          <cell r="Z314">
            <v>1.712189935313368</v>
          </cell>
          <cell r="AE314">
            <v>2.9885958264931403</v>
          </cell>
          <cell r="AJ314">
            <v>8.21907167298715</v>
          </cell>
          <cell r="AO314">
            <v>14.898635396465396</v>
          </cell>
        </row>
        <row r="315">
          <cell r="Z315">
            <v>1.71285783754903</v>
          </cell>
          <cell r="AE315">
            <v>2.9915769745606346</v>
          </cell>
          <cell r="AJ315">
            <v>8.2161426264887698</v>
          </cell>
          <cell r="AO315">
            <v>14.868728196686684</v>
          </cell>
        </row>
        <row r="316">
          <cell r="Z316">
            <v>1.7135200119634815</v>
          </cell>
          <cell r="AE316">
            <v>2.9945325567859755</v>
          </cell>
          <cell r="AJ316">
            <v>8.2132386990179391</v>
          </cell>
          <cell r="AO316">
            <v>14.839077476201014</v>
          </cell>
        </row>
        <row r="317">
          <cell r="Z317">
            <v>1.7141765319234308</v>
          </cell>
          <cell r="AE317">
            <v>2.9974629006377742</v>
          </cell>
          <cell r="AJ317">
            <v>8.2103595688292188</v>
          </cell>
          <cell r="AO317">
            <v>14.809679949807853</v>
          </cell>
        </row>
        <row r="318">
          <cell r="Z318">
            <v>1.7149851880627769</v>
          </cell>
          <cell r="AE318">
            <v>3.0003683280157674</v>
          </cell>
          <cell r="AJ318">
            <v>8.2078159397958181</v>
          </cell>
          <cell r="AO318">
            <v>14.780532388174258</v>
          </cell>
        </row>
        <row r="319">
          <cell r="Z319">
            <v>1.7161924280886534</v>
          </cell>
          <cell r="AE319">
            <v>3.0034528057089416</v>
          </cell>
          <cell r="AJ319">
            <v>8.2056378579887586</v>
          </cell>
          <cell r="AO319">
            <v>14.751631616652286</v>
          </cell>
        </row>
        <row r="320">
          <cell r="Z320">
            <v>1.7173894895985387</v>
          </cell>
          <cell r="AE320">
            <v>3.0084732306086877</v>
          </cell>
          <cell r="AJ320">
            <v>8.2034781400861672</v>
          </cell>
          <cell r="AO320">
            <v>14.722867880339214</v>
          </cell>
        </row>
        <row r="321">
          <cell r="Z321">
            <v>1.7186024719596902</v>
          </cell>
          <cell r="AE321">
            <v>3.0134970442249096</v>
          </cell>
          <cell r="AJ321">
            <v>8.201460493670794</v>
          </cell>
          <cell r="AO321">
            <v>14.694431856331203</v>
          </cell>
        </row>
        <row r="322">
          <cell r="Z322">
            <v>1.7198107621182166</v>
          </cell>
          <cell r="AE322">
            <v>3.0184885055462218</v>
          </cell>
          <cell r="AJ322">
            <v>8.1994854635260666</v>
          </cell>
          <cell r="AO322">
            <v>14.666278891114851</v>
          </cell>
        </row>
        <row r="323">
          <cell r="Z323">
            <v>1.7210090354117367</v>
          </cell>
          <cell r="AE323">
            <v>3.0234385870765239</v>
          </cell>
          <cell r="AJ323">
            <v>8.1975268066094102</v>
          </cell>
          <cell r="AO323">
            <v>14.638359317232617</v>
          </cell>
        </row>
        <row r="324">
          <cell r="Z324">
            <v>1.72219741588752</v>
          </cell>
          <cell r="AE324">
            <v>3.0283478012565905</v>
          </cell>
          <cell r="AJ324">
            <v>8.1955843201573657</v>
          </cell>
          <cell r="AO324">
            <v>14.610670244403195</v>
          </cell>
        </row>
        <row r="325">
          <cell r="Z325">
            <v>1.7233760255530124</v>
          </cell>
          <cell r="AE325">
            <v>3.033216652100668</v>
          </cell>
          <cell r="AJ325">
            <v>8.1936578047406936</v>
          </cell>
          <cell r="AO325">
            <v>14.583208829872815</v>
          </cell>
        </row>
        <row r="326">
          <cell r="Z326">
            <v>1.7245449844175971</v>
          </cell>
          <cell r="AE326">
            <v>3.0380456353689707</v>
          </cell>
          <cell r="AJ326">
            <v>8.1917470641961252</v>
          </cell>
          <cell r="AO326">
            <v>14.55597227744229</v>
          </cell>
        </row>
        <row r="327">
          <cell r="Z327">
            <v>1.7257044105333244</v>
          </cell>
          <cell r="AE327">
            <v>3.0428352387359561</v>
          </cell>
          <cell r="AJ327">
            <v>8.1898519055597774</v>
          </cell>
          <cell r="AO327">
            <v>14.528957836517927</v>
          </cell>
        </row>
        <row r="328">
          <cell r="Z328">
            <v>1.7268544200346587</v>
          </cell>
          <cell r="AE328">
            <v>3.0475859419545035</v>
          </cell>
          <cell r="AJ328">
            <v>8.1879721390021913</v>
          </cell>
          <cell r="AO328">
            <v>14.502162801185506</v>
          </cell>
        </row>
        <row r="329">
          <cell r="Z329">
            <v>1.7279951271772536</v>
          </cell>
          <cell r="AE329">
            <v>3.0522982170161086</v>
          </cell>
          <cell r="AJ329">
            <v>8.1861075777649503</v>
          </cell>
          <cell r="AO329">
            <v>14.475584509306769</v>
          </cell>
        </row>
        <row r="330">
          <cell r="Z330">
            <v>1.7291266443757949</v>
          </cell>
          <cell r="AE330">
            <v>3.0569725283072033</v>
          </cell>
          <cell r="AJ330">
            <v>8.1842580380988146</v>
          </cell>
          <cell r="AO330">
            <v>14.449220341637739</v>
          </cell>
        </row>
        <row r="331">
          <cell r="Z331">
            <v>1.7302490822409289</v>
          </cell>
          <cell r="AE331">
            <v>3.0616093327617113</v>
          </cell>
          <cell r="AJ331">
            <v>8.1824233392033729</v>
          </cell>
          <cell r="AO331">
            <v>14.423067720968236</v>
          </cell>
        </row>
        <row r="332">
          <cell r="Z332">
            <v>1.7313625496153084</v>
          </cell>
          <cell r="AE332">
            <v>3.0662090800099522</v>
          </cell>
          <cell r="AJ332">
            <v>8.1806033031681125</v>
          </cell>
          <cell r="AO332">
            <v>14.39712411128207</v>
          </cell>
        </row>
        <row r="333">
          <cell r="Z333">
            <v>1.7324671536087759</v>
          </cell>
          <cell r="AE333">
            <v>3.0707722125239858</v>
          </cell>
          <cell r="AJ333">
            <v>8.178797754914914</v>
          </cell>
          <cell r="AO333">
            <v>14.371387016937238</v>
          </cell>
        </row>
        <row r="334">
          <cell r="Z334">
            <v>1.7335629996327095</v>
          </cell>
          <cell r="AE334">
            <v>3.0752991657594988</v>
          </cell>
          <cell r="AJ334">
            <v>8.1770065221419124</v>
          </cell>
          <cell r="AO334">
            <v>14.345853981865671</v>
          </cell>
        </row>
        <row r="335">
          <cell r="Z335">
            <v>1.7346501914335586</v>
          </cell>
          <cell r="AE335">
            <v>3.0797903682943302</v>
          </cell>
          <cell r="AJ335">
            <v>8.1752294352686778</v>
          </cell>
          <cell r="AO335">
            <v>14.320522588791905</v>
          </cell>
        </row>
        <row r="336">
          <cell r="Z336">
            <v>1.7357288311255823</v>
          </cell>
          <cell r="AE336">
            <v>3.0842462419637271</v>
          </cell>
          <cell r="AJ336">
            <v>8.1734663273827</v>
          </cell>
          <cell r="AO336">
            <v>14.295390458470187</v>
          </cell>
        </row>
        <row r="337">
          <cell r="Z337">
            <v>1.7367990192228258</v>
          </cell>
          <cell r="AE337">
            <v>3.0886672019924295</v>
          </cell>
          <cell r="AJ337">
            <v>8.1717170341871306</v>
          </cell>
          <cell r="AO337">
            <v>14.270455248939568</v>
          </cell>
        </row>
        <row r="338">
          <cell r="Z338">
            <v>1.7378608546703398</v>
          </cell>
          <cell r="AE338">
            <v>3.0930536571236438</v>
          </cell>
          <cell r="AJ338">
            <v>8.1699813939497421</v>
          </cell>
          <cell r="AO338">
            <v>14.245714654796345</v>
          </cell>
        </row>
        <row r="339">
          <cell r="Z339">
            <v>1.7389144348746786</v>
          </cell>
          <cell r="AE339">
            <v>3.098059000700113</v>
          </cell>
          <cell r="AJ339">
            <v>8.1669067085558158</v>
          </cell>
          <cell r="AO339">
            <v>14.221166406483572</v>
          </cell>
        </row>
        <row r="340">
          <cell r="Z340">
            <v>1.7399598557336862</v>
          </cell>
          <cell r="AE340">
            <v>3.1040118499620668</v>
          </cell>
          <cell r="AJ340">
            <v>8.1606075599765937</v>
          </cell>
          <cell r="AO340">
            <v>14.196808269597003</v>
          </cell>
        </row>
        <row r="341">
          <cell r="Z341">
            <v>1.7405777778407019</v>
          </cell>
          <cell r="AE341">
            <v>3.1099187758096116</v>
          </cell>
          <cell r="AJ341">
            <v>8.154357006347098</v>
          </cell>
          <cell r="AO341">
            <v>14.172638044207131</v>
          </cell>
        </row>
        <row r="342">
          <cell r="Z342">
            <v>1.7411904368988202</v>
          </cell>
          <cell r="AE342">
            <v>3.1157803076169217</v>
          </cell>
          <cell r="AJ342">
            <v>8.1481544874974983</v>
          </cell>
          <cell r="AO342">
            <v>14.148681003098787</v>
          </cell>
        </row>
        <row r="343">
          <cell r="Z343">
            <v>1.7417531097677164</v>
          </cell>
          <cell r="AE343">
            <v>3.1215157885746194</v>
          </cell>
          <cell r="AJ343">
            <v>8.1417877166631207</v>
          </cell>
          <cell r="AO343">
            <v>14.124677222601306</v>
          </cell>
        </row>
        <row r="344">
          <cell r="Z344">
            <v>1.7421374847218356</v>
          </cell>
          <cell r="AE344">
            <v>3.1268949681161402</v>
          </cell>
          <cell r="AJ344">
            <v>8.1346574635217213</v>
          </cell>
          <cell r="AO344">
            <v>14.099449699672236</v>
          </cell>
        </row>
        <row r="345">
          <cell r="Z345">
            <v>1.7425188439713695</v>
          </cell>
          <cell r="AE345">
            <v>3.1322319440326893</v>
          </cell>
          <cell r="AJ345">
            <v>8.1275831524672526</v>
          </cell>
          <cell r="AO345">
            <v>14.07442010523922</v>
          </cell>
        </row>
        <row r="346">
          <cell r="Z346">
            <v>1.7428972228682709</v>
          </cell>
          <cell r="AE346">
            <v>3.137527211061256</v>
          </cell>
          <cell r="AJ346">
            <v>8.1205641277119778</v>
          </cell>
          <cell r="AO346">
            <v>14.049586119062035</v>
          </cell>
        </row>
        <row r="347">
          <cell r="Z347">
            <v>1.7432726562140881</v>
          </cell>
          <cell r="AE347">
            <v>3.1427812562361117</v>
          </cell>
          <cell r="AJ347">
            <v>8.113599743678332</v>
          </cell>
          <cell r="AO347">
            <v>14.024945457025009</v>
          </cell>
        </row>
        <row r="348">
          <cell r="Z348">
            <v>1.7436451782706341</v>
          </cell>
          <cell r="AE348">
            <v>3.1479945590381369</v>
          </cell>
          <cell r="AJ348">
            <v>8.1066893648009799</v>
          </cell>
          <cell r="AO348">
            <v>14.000495870436739</v>
          </cell>
        </row>
        <row r="349">
          <cell r="Z349">
            <v>1.7440148227704093</v>
          </cell>
          <cell r="AE349">
            <v>3.1531675915406829</v>
          </cell>
          <cell r="AJ349">
            <v>8.0998323653334712</v>
          </cell>
          <cell r="AO349">
            <v>13.976235145345957</v>
          </cell>
        </row>
        <row r="350">
          <cell r="Z350">
            <v>1.7443816229267823</v>
          </cell>
          <cell r="AE350">
            <v>3.1583008185520747</v>
          </cell>
          <cell r="AJ350">
            <v>8.0930281291593484</v>
          </cell>
          <cell r="AO350">
            <v>13.952161101873255</v>
          </cell>
        </row>
        <row r="351">
          <cell r="Z351">
            <v>1.744745611443941</v>
          </cell>
          <cell r="AE351">
            <v>3.1633946977548328</v>
          </cell>
          <cell r="AJ351">
            <v>8.0862760496076209</v>
          </cell>
          <cell r="AO351">
            <v>13.928271593558165</v>
          </cell>
        </row>
        <row r="352">
          <cell r="Z352">
            <v>1.745106820526612</v>
          </cell>
          <cell r="AE352">
            <v>3.1684496798417046</v>
          </cell>
          <cell r="AJ352">
            <v>8.0795755292724216</v>
          </cell>
          <cell r="AO352">
            <v>13.904564506721176</v>
          </cell>
        </row>
        <row r="353">
          <cell r="Z353">
            <v>1.7454652818895582</v>
          </cell>
          <cell r="AE353">
            <v>3.1734662086485903</v>
          </cell>
          <cell r="AJ353">
            <v>8.0729259798368389</v>
          </cell>
          <cell r="AO353">
            <v>13.881037759840318</v>
          </cell>
        </row>
        <row r="354">
          <cell r="Z354">
            <v>1.7458210267668619</v>
          </cell>
          <cell r="AE354">
            <v>3.1784447212844524</v>
          </cell>
          <cell r="AJ354">
            <v>8.0663268219006952</v>
          </cell>
          <cell r="AO354">
            <v>13.857689302941928</v>
          </cell>
        </row>
        <row r="355">
          <cell r="Z355">
            <v>1.7461740859209973</v>
          </cell>
          <cell r="AE355">
            <v>3.183385648258279</v>
          </cell>
          <cell r="AJ355">
            <v>8.0597774848122725</v>
          </cell>
          <cell r="AO355">
            <v>13.834517117005216</v>
          </cell>
        </row>
        <row r="356">
          <cell r="Z356">
            <v>1.7465244896516983</v>
          </cell>
          <cell r="AE356">
            <v>3.1882894136031812</v>
          </cell>
          <cell r="AJ356">
            <v>8.0532774065038062</v>
          </cell>
          <cell r="AO356">
            <v>13.81151921338024</v>
          </cell>
        </row>
        <row r="357">
          <cell r="Z357">
            <v>1.7468722678046262</v>
          </cell>
          <cell r="AE357">
            <v>3.1931564349977046</v>
          </cell>
          <cell r="AJ357">
            <v>8.0468260333306869</v>
          </cell>
          <cell r="AO357">
            <v>13.788693633219012</v>
          </cell>
        </row>
        <row r="358">
          <cell r="Z358">
            <v>1.7472174497798445</v>
          </cell>
          <cell r="AE358">
            <v>3.1979871238844195</v>
          </cell>
          <cell r="AJ358">
            <v>8.0404228199142604</v>
          </cell>
          <cell r="AO358">
            <v>13.766038446919291</v>
          </cell>
        </row>
        <row r="359">
          <cell r="Z359">
            <v>1.7475600645401035</v>
          </cell>
          <cell r="AE359">
            <v>3.2027818855858707</v>
          </cell>
          <cell r="AJ359">
            <v>8.0340672289881443</v>
          </cell>
          <cell r="AO359">
            <v>13.743551753580812</v>
          </cell>
        </row>
        <row r="360">
          <cell r="Z360">
            <v>1.7479001406189416</v>
          </cell>
          <cell r="AE360">
            <v>3.2075411194179431</v>
          </cell>
          <cell r="AJ360">
            <v>8.0277587312479479</v>
          </cell>
          <cell r="AO360">
            <v>13.721231680473624</v>
          </cell>
        </row>
        <row r="361">
          <cell r="Z361">
            <v>1.7482377061286063</v>
          </cell>
          <cell r="AE361">
            <v>3.2121940570197536</v>
          </cell>
          <cell r="AJ361">
            <v>8.0214968052043254</v>
          </cell>
          <cell r="AO361">
            <v>13.699076382518161</v>
          </cell>
        </row>
        <row r="362">
          <cell r="Z362">
            <v>1.748572788767802</v>
          </cell>
          <cell r="AE362">
            <v>3.2168028274197025</v>
          </cell>
          <cell r="AJ362">
            <v>8.0133933363124275</v>
          </cell>
          <cell r="AO362">
            <v>13.677084041776805</v>
          </cell>
        </row>
        <row r="363">
          <cell r="Z363">
            <v>1.7489054158292645</v>
          </cell>
          <cell r="AE363">
            <v>3.2213778234826771</v>
          </cell>
          <cell r="AJ363">
            <v>8.0041340854274914</v>
          </cell>
          <cell r="AO363">
            <v>13.655252866956632</v>
          </cell>
        </row>
        <row r="364">
          <cell r="Z364">
            <v>1.7492356142071732</v>
          </cell>
          <cell r="AE364">
            <v>3.2259194151147361</v>
          </cell>
          <cell r="AJ364">
            <v>7.9949424411595338</v>
          </cell>
          <cell r="AO364">
            <v>13.633581092923052</v>
          </cell>
        </row>
        <row r="365">
          <cell r="Z365">
            <v>1.7492774602229981</v>
          </cell>
          <cell r="AE365">
            <v>3.2304279668398328</v>
          </cell>
          <cell r="AJ365">
            <v>7.9858176657551958</v>
          </cell>
          <cell r="AO365">
            <v>13.612066980224043</v>
          </cell>
        </row>
        <row r="366">
          <cell r="Z366">
            <v>1.7492057038805837</v>
          </cell>
          <cell r="AE366">
            <v>3.2349038378973454</v>
          </cell>
          <cell r="AJ366">
            <v>7.976759032156461</v>
          </cell>
          <cell r="AO366">
            <v>13.590708814624755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39">
          <cell r="E39">
            <v>816076.88122589653</v>
          </cell>
        </row>
        <row r="41">
          <cell r="E41">
            <v>84420.292315640909</v>
          </cell>
        </row>
        <row r="52">
          <cell r="E52">
            <v>1023658.5692617481</v>
          </cell>
        </row>
        <row r="55">
          <cell r="E55">
            <v>936740.5251114897</v>
          </cell>
        </row>
        <row r="56">
          <cell r="E56">
            <v>86669.567300324634</v>
          </cell>
        </row>
      </sheetData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1">
          <cell r="B1"/>
          <cell r="C1" t="str">
            <v>道具价值</v>
          </cell>
          <cell r="P1" t="str">
            <v>buff价值</v>
          </cell>
        </row>
        <row r="2">
          <cell r="F2" t="str">
            <v>（1-10天）</v>
          </cell>
          <cell r="G2" t="str">
            <v>(11-180天）</v>
          </cell>
          <cell r="H2" t="str">
            <v>（181~360天）</v>
          </cell>
          <cell r="I2" t="str">
            <v>（1-10天）</v>
          </cell>
          <cell r="J2" t="str">
            <v>(11-180天）</v>
          </cell>
          <cell r="K2" t="str">
            <v>（181~360天）</v>
          </cell>
        </row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6552.6677404559396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1286.2045615471407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526.54062836196033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3154.4832610096737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3395.1118588375975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135.51397311474921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135.51397311474921</v>
          </cell>
        </row>
        <row r="13">
          <cell r="D13" t="str">
            <v>粮食</v>
          </cell>
          <cell r="E13">
            <v>1.5532103913430703E-4</v>
          </cell>
          <cell r="F13">
            <v>1</v>
          </cell>
          <cell r="G13">
            <v>1</v>
          </cell>
          <cell r="H13">
            <v>0.5</v>
          </cell>
          <cell r="I13">
            <v>1.5532103913430703E-4</v>
          </cell>
          <cell r="J13">
            <v>1.5532103913430703E-4</v>
          </cell>
          <cell r="K13">
            <v>7.7660519567153514E-5</v>
          </cell>
          <cell r="P13" t="str">
            <v>铜矿产出加速/天</v>
          </cell>
          <cell r="Q13">
            <v>135.51397311474921</v>
          </cell>
        </row>
        <row r="14">
          <cell r="D14" t="str">
            <v>木材</v>
          </cell>
          <cell r="E14">
            <v>1.5532103913430703E-4</v>
          </cell>
          <cell r="F14">
            <v>1</v>
          </cell>
          <cell r="G14">
            <v>1</v>
          </cell>
          <cell r="H14">
            <v>0.5</v>
          </cell>
          <cell r="I14">
            <v>1.5532103913430703E-4</v>
          </cell>
          <cell r="J14">
            <v>1.5532103913430703E-4</v>
          </cell>
          <cell r="K14">
            <v>7.7660519567153514E-5</v>
          </cell>
          <cell r="P14" t="str">
            <v>粮食产出加速/天</v>
          </cell>
          <cell r="Q14">
            <v>135.51397311474921</v>
          </cell>
        </row>
        <row r="15">
          <cell r="D15" t="str">
            <v>石料</v>
          </cell>
          <cell r="E15">
            <v>1.5532103913430703E-4</v>
          </cell>
          <cell r="F15">
            <v>1</v>
          </cell>
          <cell r="G15">
            <v>1</v>
          </cell>
          <cell r="H15">
            <v>0.5</v>
          </cell>
          <cell r="I15">
            <v>1.5532103913430703E-4</v>
          </cell>
          <cell r="J15">
            <v>1.5532103913430703E-4</v>
          </cell>
          <cell r="K15">
            <v>7.7660519567153514E-5</v>
          </cell>
          <cell r="P15" t="str">
            <v>铁矿产出加速/天</v>
          </cell>
          <cell r="Q15">
            <v>203.27095967212384</v>
          </cell>
        </row>
        <row r="16">
          <cell r="D16" t="str">
            <v>铜矿</v>
          </cell>
          <cell r="E16">
            <v>1.5532103913430703E-4</v>
          </cell>
          <cell r="F16">
            <v>1</v>
          </cell>
          <cell r="G16">
            <v>1</v>
          </cell>
          <cell r="H16">
            <v>0.5</v>
          </cell>
          <cell r="I16">
            <v>1.5532103913430703E-4</v>
          </cell>
          <cell r="J16">
            <v>1.5532103913430703E-4</v>
          </cell>
          <cell r="K16">
            <v>7.7660519567153514E-5</v>
          </cell>
          <cell r="P16" t="str">
            <v>刀币产出加速/天</v>
          </cell>
          <cell r="Q16">
            <v>1054.300188289244</v>
          </cell>
        </row>
        <row r="17">
          <cell r="D17" t="str">
            <v>铁矿</v>
          </cell>
          <cell r="E17">
            <v>3.5829912265154037E-4</v>
          </cell>
          <cell r="F17">
            <v>1</v>
          </cell>
          <cell r="G17">
            <v>1</v>
          </cell>
          <cell r="H17">
            <v>0.5</v>
          </cell>
          <cell r="I17">
            <v>3.5829912265154037E-4</v>
          </cell>
          <cell r="J17">
            <v>3.5829912265154037E-4</v>
          </cell>
          <cell r="K17">
            <v>1.7914956132577018E-4</v>
          </cell>
          <cell r="P17" t="str">
            <v>木材采集加速/天</v>
          </cell>
          <cell r="Q17">
            <v>189.98875225679629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189.98875225679629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189.98875225679629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189.98875225679629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284.98312838519439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40000</v>
          </cell>
          <cell r="F28">
            <v>1</v>
          </cell>
          <cell r="G28">
            <v>1</v>
          </cell>
          <cell r="H28">
            <v>1</v>
          </cell>
          <cell r="I28">
            <v>40000</v>
          </cell>
          <cell r="J28">
            <v>40000</v>
          </cell>
          <cell r="K28">
            <v>40000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  <cell r="P37"/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  <cell r="P38"/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0.1</v>
          </cell>
          <cell r="I67">
            <v>4500</v>
          </cell>
          <cell r="J67">
            <v>4500</v>
          </cell>
          <cell r="K67">
            <v>600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0.1</v>
          </cell>
          <cell r="I68">
            <v>12000</v>
          </cell>
          <cell r="J68">
            <v>12000</v>
          </cell>
          <cell r="K68">
            <v>1600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0.2</v>
          </cell>
          <cell r="I69">
            <v>225000</v>
          </cell>
          <cell r="J69">
            <v>225000</v>
          </cell>
          <cell r="K69">
            <v>30000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0.02</v>
          </cell>
          <cell r="I70">
            <v>2400.0000000000005</v>
          </cell>
          <cell r="J70">
            <v>2400.0000000000005</v>
          </cell>
          <cell r="K70">
            <v>320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0.05</v>
          </cell>
          <cell r="I71">
            <v>6000</v>
          </cell>
          <cell r="J71">
            <v>6000</v>
          </cell>
          <cell r="K71">
            <v>800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指定or任选红色兵法碎片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D90" t="str">
            <v>随机极兵法碎片</v>
          </cell>
          <cell r="E90">
            <v>305.5</v>
          </cell>
          <cell r="F90">
            <v>1</v>
          </cell>
          <cell r="G90">
            <v>1</v>
          </cell>
          <cell r="H90">
            <v>1</v>
          </cell>
          <cell r="I90">
            <v>305.5</v>
          </cell>
          <cell r="J90">
            <v>305.5</v>
          </cell>
          <cell r="K90">
            <v>305.5</v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C125"/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>
            <v>50</v>
          </cell>
          <cell r="J125">
            <v>10</v>
          </cell>
          <cell r="K125">
            <v>10</v>
          </cell>
        </row>
        <row r="126">
          <cell r="C126"/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</row>
        <row r="127">
          <cell r="C127"/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</row>
        <row r="128"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</row>
        <row r="129"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</row>
        <row r="130"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</row>
        <row r="131">
          <cell r="C131"/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</row>
        <row r="132">
          <cell r="C132"/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</row>
        <row r="133">
          <cell r="C133"/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</row>
        <row r="134"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</row>
        <row r="135"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</row>
        <row r="136"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</row>
        <row r="137">
          <cell r="I137" t="str">
            <v/>
          </cell>
          <cell r="J137" t="str">
            <v/>
          </cell>
          <cell r="K137" t="str">
            <v/>
          </cell>
        </row>
        <row r="138"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</row>
        <row r="139"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</row>
        <row r="140"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</row>
        <row r="141"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</row>
        <row r="142"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</row>
        <row r="143">
          <cell r="I143" t="str">
            <v/>
          </cell>
          <cell r="J143" t="str">
            <v/>
          </cell>
          <cell r="K143" t="str">
            <v/>
          </cell>
        </row>
        <row r="144"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</row>
        <row r="145"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</row>
        <row r="146"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</row>
        <row r="147"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</row>
        <row r="148">
          <cell r="I148" t="str">
            <v/>
          </cell>
          <cell r="J148" t="str">
            <v/>
          </cell>
          <cell r="K148" t="str">
            <v/>
          </cell>
        </row>
        <row r="149"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</row>
        <row r="150"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</row>
        <row r="151"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</row>
        <row r="152"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</row>
        <row r="153"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</row>
        <row r="154"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</row>
        <row r="155">
          <cell r="D155" t="str">
            <v>优质兵装自选碎片</v>
          </cell>
          <cell r="E155">
            <v>66.666666666666671</v>
          </cell>
          <cell r="F155">
            <v>1</v>
          </cell>
          <cell r="G155">
            <v>1</v>
          </cell>
          <cell r="H155">
            <v>0.2</v>
          </cell>
          <cell r="I155">
            <v>66.666666666666671</v>
          </cell>
          <cell r="J155">
            <v>66.666666666666671</v>
          </cell>
          <cell r="K155">
            <v>13.333333333333336</v>
          </cell>
        </row>
        <row r="156">
          <cell r="D156" t="str">
            <v>珍稀兵装自选碎片</v>
          </cell>
          <cell r="E156">
            <v>133.33333333333334</v>
          </cell>
          <cell r="F156">
            <v>1</v>
          </cell>
          <cell r="G156">
            <v>1</v>
          </cell>
          <cell r="H156">
            <v>1</v>
          </cell>
          <cell r="I156">
            <v>133.33333333333334</v>
          </cell>
          <cell r="J156">
            <v>133.33333333333334</v>
          </cell>
          <cell r="K156">
            <v>133.33333333333334</v>
          </cell>
        </row>
        <row r="157">
          <cell r="D157" t="str">
            <v>传世兵装自选碎片</v>
          </cell>
          <cell r="E157">
            <v>120</v>
          </cell>
          <cell r="F157">
            <v>1</v>
          </cell>
          <cell r="G157">
            <v>1</v>
          </cell>
          <cell r="H157">
            <v>1</v>
          </cell>
          <cell r="I157">
            <v>120</v>
          </cell>
          <cell r="J157">
            <v>120</v>
          </cell>
          <cell r="K157">
            <v>120</v>
          </cell>
        </row>
        <row r="158">
          <cell r="D158" t="str">
            <v>传奇兵装自选碎片</v>
          </cell>
          <cell r="E158">
            <v>600</v>
          </cell>
          <cell r="F158">
            <v>1</v>
          </cell>
          <cell r="G158">
            <v>1</v>
          </cell>
          <cell r="H158">
            <v>1</v>
          </cell>
          <cell r="I158">
            <v>600</v>
          </cell>
          <cell r="J158">
            <v>600</v>
          </cell>
          <cell r="K158">
            <v>600</v>
          </cell>
        </row>
        <row r="159">
          <cell r="I159" t="str">
            <v/>
          </cell>
          <cell r="J159" t="str">
            <v/>
          </cell>
          <cell r="K159" t="str">
            <v/>
          </cell>
        </row>
        <row r="160">
          <cell r="D160" t="str">
            <v>随机紫色藏品</v>
          </cell>
          <cell r="E160">
            <v>300</v>
          </cell>
          <cell r="F160">
            <v>1</v>
          </cell>
          <cell r="G160">
            <v>1</v>
          </cell>
          <cell r="H160">
            <v>1</v>
          </cell>
          <cell r="I160">
            <v>300</v>
          </cell>
          <cell r="J160">
            <v>300</v>
          </cell>
          <cell r="K160">
            <v>300</v>
          </cell>
        </row>
        <row r="161">
          <cell r="D161" t="str">
            <v>随机橙色藏品</v>
          </cell>
          <cell r="E161">
            <v>1000</v>
          </cell>
          <cell r="F161">
            <v>1</v>
          </cell>
          <cell r="G161">
            <v>1</v>
          </cell>
          <cell r="H161">
            <v>1</v>
          </cell>
          <cell r="I161">
            <v>1000</v>
          </cell>
          <cell r="J161">
            <v>1000</v>
          </cell>
          <cell r="K161">
            <v>1000</v>
          </cell>
        </row>
        <row r="162">
          <cell r="D162" t="str">
            <v>随机红色藏品</v>
          </cell>
          <cell r="E162">
            <v>5000</v>
          </cell>
          <cell r="F162">
            <v>1</v>
          </cell>
          <cell r="G162">
            <v>1</v>
          </cell>
          <cell r="H162">
            <v>1</v>
          </cell>
          <cell r="I162">
            <v>5000</v>
          </cell>
          <cell r="J162">
            <v>5000</v>
          </cell>
          <cell r="K162">
            <v>5000</v>
          </cell>
        </row>
        <row r="163">
          <cell r="D163" t="str">
            <v>指定紫色藏品</v>
          </cell>
          <cell r="E163">
            <v>1331</v>
          </cell>
          <cell r="F163">
            <v>1</v>
          </cell>
          <cell r="G163">
            <v>1</v>
          </cell>
          <cell r="H163">
            <v>1</v>
          </cell>
          <cell r="I163">
            <v>1331</v>
          </cell>
          <cell r="J163">
            <v>1331</v>
          </cell>
          <cell r="K163">
            <v>1331</v>
          </cell>
        </row>
        <row r="164">
          <cell r="D164" t="str">
            <v>指定橙色藏品</v>
          </cell>
          <cell r="E164">
            <v>13971</v>
          </cell>
          <cell r="F164">
            <v>1</v>
          </cell>
          <cell r="G164">
            <v>1</v>
          </cell>
          <cell r="H164">
            <v>1</v>
          </cell>
          <cell r="I164">
            <v>13971</v>
          </cell>
          <cell r="J164">
            <v>13971</v>
          </cell>
          <cell r="K164">
            <v>13971</v>
          </cell>
        </row>
        <row r="165">
          <cell r="D165" t="str">
            <v>指定红色藏品</v>
          </cell>
          <cell r="E165">
            <v>238993</v>
          </cell>
          <cell r="F165">
            <v>1</v>
          </cell>
          <cell r="G165">
            <v>1</v>
          </cell>
          <cell r="H165">
            <v>1</v>
          </cell>
          <cell r="I165">
            <v>238993</v>
          </cell>
          <cell r="J165">
            <v>238993</v>
          </cell>
          <cell r="K165">
            <v>238993</v>
          </cell>
        </row>
        <row r="166">
          <cell r="D166" t="str">
            <v>藏品币</v>
          </cell>
          <cell r="E166">
            <v>1</v>
          </cell>
          <cell r="F166">
            <v>1</v>
          </cell>
          <cell r="G166">
            <v>1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</row>
        <row r="167">
          <cell r="I167" t="str">
            <v/>
          </cell>
          <cell r="J167" t="str">
            <v/>
          </cell>
          <cell r="K167" t="str">
            <v/>
          </cell>
        </row>
        <row r="168">
          <cell r="D168" t="str">
            <v>门客经验</v>
          </cell>
          <cell r="E168">
            <v>3</v>
          </cell>
          <cell r="F168">
            <v>1</v>
          </cell>
          <cell r="G168">
            <v>1</v>
          </cell>
          <cell r="H168">
            <v>1</v>
          </cell>
          <cell r="I168">
            <v>3</v>
          </cell>
          <cell r="J168">
            <v>3</v>
          </cell>
          <cell r="K168">
            <v>3</v>
          </cell>
        </row>
        <row r="169">
          <cell r="D169" t="str">
            <v>阅历-懵懂</v>
          </cell>
          <cell r="E169">
            <v>3</v>
          </cell>
          <cell r="F169">
            <v>1</v>
          </cell>
          <cell r="G169">
            <v>1</v>
          </cell>
          <cell r="H169">
            <v>1</v>
          </cell>
          <cell r="I169">
            <v>3</v>
          </cell>
          <cell r="J169">
            <v>3</v>
          </cell>
          <cell r="K169">
            <v>3</v>
          </cell>
        </row>
        <row r="170">
          <cell r="D170" t="str">
            <v>阅历-机敏</v>
          </cell>
          <cell r="E170">
            <v>30</v>
          </cell>
          <cell r="F170">
            <v>1</v>
          </cell>
          <cell r="G170">
            <v>1</v>
          </cell>
          <cell r="H170">
            <v>1</v>
          </cell>
          <cell r="I170">
            <v>30</v>
          </cell>
          <cell r="J170">
            <v>30</v>
          </cell>
          <cell r="K170">
            <v>30</v>
          </cell>
        </row>
        <row r="171">
          <cell r="D171" t="str">
            <v>阅历-入世</v>
          </cell>
          <cell r="E171">
            <v>150</v>
          </cell>
          <cell r="F171">
            <v>1</v>
          </cell>
          <cell r="G171">
            <v>1</v>
          </cell>
          <cell r="H171">
            <v>1</v>
          </cell>
          <cell r="I171">
            <v>150</v>
          </cell>
          <cell r="J171">
            <v>150</v>
          </cell>
          <cell r="K171">
            <v>150</v>
          </cell>
        </row>
        <row r="172">
          <cell r="D172" t="str">
            <v>阅历-闻达</v>
          </cell>
          <cell r="E172">
            <v>300</v>
          </cell>
          <cell r="F172">
            <v>1</v>
          </cell>
          <cell r="G172">
            <v>1</v>
          </cell>
          <cell r="H172">
            <v>1</v>
          </cell>
          <cell r="I172">
            <v>300</v>
          </cell>
          <cell r="J172">
            <v>300</v>
          </cell>
          <cell r="K172">
            <v>300</v>
          </cell>
        </row>
        <row r="173">
          <cell r="D173" t="str">
            <v>阅历-出世</v>
          </cell>
          <cell r="E173">
            <v>3000</v>
          </cell>
          <cell r="F173">
            <v>1</v>
          </cell>
          <cell r="G173">
            <v>1</v>
          </cell>
          <cell r="H173">
            <v>1</v>
          </cell>
          <cell r="I173">
            <v>3000</v>
          </cell>
          <cell r="J173">
            <v>3000</v>
          </cell>
          <cell r="K173">
            <v>3000</v>
          </cell>
        </row>
        <row r="174">
          <cell r="I174" t="str">
            <v/>
          </cell>
          <cell r="J174" t="str">
            <v/>
          </cell>
          <cell r="K174" t="str">
            <v/>
          </cell>
        </row>
        <row r="175">
          <cell r="D175" t="str">
            <v>随机橙色门客碎片</v>
          </cell>
          <cell r="E175">
            <v>266.66666666666669</v>
          </cell>
          <cell r="F175">
            <v>1</v>
          </cell>
          <cell r="G175">
            <v>1</v>
          </cell>
          <cell r="H175">
            <v>1</v>
          </cell>
          <cell r="I175">
            <v>266.66666666666669</v>
          </cell>
          <cell r="J175">
            <v>266.66666666666669</v>
          </cell>
          <cell r="K175">
            <v>266.66666666666669</v>
          </cell>
        </row>
        <row r="176">
          <cell r="D176" t="str">
            <v>随机红色门客碎片</v>
          </cell>
          <cell r="E176">
            <v>800</v>
          </cell>
          <cell r="F176">
            <v>1</v>
          </cell>
          <cell r="G176">
            <v>1</v>
          </cell>
          <cell r="H176">
            <v>1</v>
          </cell>
          <cell r="I176">
            <v>800</v>
          </cell>
          <cell r="J176">
            <v>800</v>
          </cell>
          <cell r="K176">
            <v>800</v>
          </cell>
        </row>
        <row r="177">
          <cell r="I177" t="str">
            <v/>
          </cell>
          <cell r="J177" t="str">
            <v/>
          </cell>
          <cell r="K177" t="str">
            <v/>
          </cell>
        </row>
        <row r="178">
          <cell r="D178" t="str">
            <v>育马券</v>
          </cell>
          <cell r="E178">
            <v>1</v>
          </cell>
          <cell r="F178">
            <v>1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>
            <v>1</v>
          </cell>
        </row>
        <row r="179">
          <cell r="D179" t="str">
            <v>荣誉马徽</v>
          </cell>
          <cell r="E179">
            <v>10</v>
          </cell>
          <cell r="F179">
            <v>1</v>
          </cell>
          <cell r="G179">
            <v>1</v>
          </cell>
          <cell r="H179">
            <v>1</v>
          </cell>
          <cell r="I179">
            <v>10</v>
          </cell>
          <cell r="J179">
            <v>10</v>
          </cell>
          <cell r="K179">
            <v>10</v>
          </cell>
        </row>
        <row r="180">
          <cell r="D180" t="str">
            <v>绿色马匹</v>
          </cell>
          <cell r="E180">
            <v>50</v>
          </cell>
          <cell r="F180">
            <v>1</v>
          </cell>
          <cell r="G180">
            <v>1</v>
          </cell>
          <cell r="H180">
            <v>1</v>
          </cell>
          <cell r="I180">
            <v>50</v>
          </cell>
          <cell r="J180">
            <v>50</v>
          </cell>
          <cell r="K180">
            <v>50</v>
          </cell>
        </row>
        <row r="181">
          <cell r="D181" t="str">
            <v>蓝色马匹</v>
          </cell>
          <cell r="E181">
            <v>150</v>
          </cell>
          <cell r="F181">
            <v>1</v>
          </cell>
          <cell r="G181">
            <v>1</v>
          </cell>
          <cell r="H181">
            <v>1</v>
          </cell>
          <cell r="I181">
            <v>150</v>
          </cell>
          <cell r="J181">
            <v>150</v>
          </cell>
          <cell r="K181">
            <v>150</v>
          </cell>
        </row>
        <row r="182">
          <cell r="D182" t="str">
            <v>紫色马匹</v>
          </cell>
          <cell r="E182">
            <v>500</v>
          </cell>
          <cell r="F182">
            <v>1</v>
          </cell>
          <cell r="G182">
            <v>1</v>
          </cell>
          <cell r="H182">
            <v>1</v>
          </cell>
          <cell r="I182">
            <v>500</v>
          </cell>
          <cell r="J182">
            <v>500</v>
          </cell>
          <cell r="K182">
            <v>500</v>
          </cell>
        </row>
        <row r="183">
          <cell r="D183" t="str">
            <v>橙色马匹</v>
          </cell>
          <cell r="E183">
            <v>2000</v>
          </cell>
          <cell r="F183">
            <v>1</v>
          </cell>
          <cell r="G183">
            <v>1</v>
          </cell>
          <cell r="H183">
            <v>1</v>
          </cell>
          <cell r="I183">
            <v>2000</v>
          </cell>
          <cell r="J183">
            <v>2000</v>
          </cell>
          <cell r="K183">
            <v>2000</v>
          </cell>
        </row>
        <row r="184">
          <cell r="D184" t="str">
            <v>红色马匹</v>
          </cell>
          <cell r="E184">
            <v>8000</v>
          </cell>
          <cell r="F184">
            <v>1</v>
          </cell>
          <cell r="G184">
            <v>1</v>
          </cell>
          <cell r="H184">
            <v>1</v>
          </cell>
          <cell r="I184">
            <v>8000</v>
          </cell>
          <cell r="J184">
            <v>8000</v>
          </cell>
          <cell r="K184">
            <v>8000</v>
          </cell>
        </row>
        <row r="185">
          <cell r="D185" t="str">
            <v>紫色马匹碎片</v>
          </cell>
          <cell r="E185">
            <v>50</v>
          </cell>
          <cell r="F185">
            <v>1</v>
          </cell>
          <cell r="G185">
            <v>1</v>
          </cell>
          <cell r="H185">
            <v>1</v>
          </cell>
          <cell r="I185">
            <v>50</v>
          </cell>
          <cell r="J185">
            <v>50</v>
          </cell>
          <cell r="K185">
            <v>50</v>
          </cell>
        </row>
        <row r="186">
          <cell r="D186" t="str">
            <v>橙色马匹碎片</v>
          </cell>
          <cell r="E186">
            <v>66.666666666666671</v>
          </cell>
          <cell r="F186">
            <v>1</v>
          </cell>
          <cell r="G186">
            <v>1</v>
          </cell>
          <cell r="H186">
            <v>1</v>
          </cell>
          <cell r="I186">
            <v>66.666666666666671</v>
          </cell>
          <cell r="J186">
            <v>66.666666666666671</v>
          </cell>
          <cell r="K186">
            <v>66.666666666666671</v>
          </cell>
        </row>
        <row r="187">
          <cell r="D187" t="str">
            <v>红色马匹碎片</v>
          </cell>
          <cell r="E187">
            <v>160</v>
          </cell>
          <cell r="F187">
            <v>1</v>
          </cell>
          <cell r="G187">
            <v>1</v>
          </cell>
          <cell r="H187">
            <v>1</v>
          </cell>
          <cell r="I187">
            <v>160</v>
          </cell>
          <cell r="J187">
            <v>160</v>
          </cell>
          <cell r="K187">
            <v>160</v>
          </cell>
        </row>
        <row r="188">
          <cell r="I188" t="str">
            <v/>
          </cell>
          <cell r="J188" t="str">
            <v/>
          </cell>
          <cell r="K188" t="str">
            <v/>
          </cell>
        </row>
        <row r="189">
          <cell r="D189" t="str">
            <v>140指定天赋点</v>
          </cell>
          <cell r="E189">
            <v>4320</v>
          </cell>
          <cell r="F189">
            <v>1</v>
          </cell>
          <cell r="G189">
            <v>1</v>
          </cell>
          <cell r="H189">
            <v>1</v>
          </cell>
          <cell r="I189">
            <v>4320</v>
          </cell>
          <cell r="J189">
            <v>4320</v>
          </cell>
          <cell r="K189">
            <v>4320</v>
          </cell>
        </row>
        <row r="190">
          <cell r="I190" t="str">
            <v/>
          </cell>
          <cell r="J190" t="str">
            <v/>
          </cell>
          <cell r="K190" t="str">
            <v/>
          </cell>
        </row>
        <row r="191">
          <cell r="D191" t="str">
            <v>1级随机宝石</v>
          </cell>
          <cell r="E191">
            <v>1</v>
          </cell>
          <cell r="F191">
            <v>1</v>
          </cell>
          <cell r="G191">
            <v>1</v>
          </cell>
          <cell r="H191">
            <v>1</v>
          </cell>
          <cell r="I191">
            <v>1</v>
          </cell>
          <cell r="J191">
            <v>1</v>
          </cell>
          <cell r="K191">
            <v>1</v>
          </cell>
        </row>
        <row r="192">
          <cell r="D192" t="str">
            <v>2级随机宝石</v>
          </cell>
          <cell r="E192">
            <v>6</v>
          </cell>
          <cell r="F192">
            <v>1</v>
          </cell>
          <cell r="G192">
            <v>1</v>
          </cell>
          <cell r="H192">
            <v>1</v>
          </cell>
          <cell r="I192">
            <v>6</v>
          </cell>
          <cell r="J192">
            <v>6</v>
          </cell>
          <cell r="K192">
            <v>6</v>
          </cell>
        </row>
        <row r="193">
          <cell r="D193" t="str">
            <v>3级随机宝石</v>
          </cell>
          <cell r="E193">
            <v>27</v>
          </cell>
          <cell r="F193">
            <v>1</v>
          </cell>
          <cell r="G193">
            <v>1</v>
          </cell>
          <cell r="H193">
            <v>1</v>
          </cell>
          <cell r="I193">
            <v>27</v>
          </cell>
          <cell r="J193">
            <v>27</v>
          </cell>
          <cell r="K193">
            <v>27</v>
          </cell>
        </row>
        <row r="194">
          <cell r="D194" t="str">
            <v>4级随机宝石</v>
          </cell>
          <cell r="E194">
            <v>100</v>
          </cell>
          <cell r="F194">
            <v>1</v>
          </cell>
          <cell r="G194">
            <v>1</v>
          </cell>
          <cell r="H194">
            <v>1</v>
          </cell>
          <cell r="I194">
            <v>100</v>
          </cell>
          <cell r="J194">
            <v>100</v>
          </cell>
          <cell r="K194">
            <v>100</v>
          </cell>
        </row>
        <row r="195">
          <cell r="D195" t="str">
            <v>5级随机宝石</v>
          </cell>
          <cell r="E195">
            <v>400</v>
          </cell>
          <cell r="F195">
            <v>1</v>
          </cell>
          <cell r="G195">
            <v>1</v>
          </cell>
          <cell r="H195">
            <v>1</v>
          </cell>
          <cell r="I195">
            <v>400</v>
          </cell>
          <cell r="J195">
            <v>400</v>
          </cell>
          <cell r="K195">
            <v>400</v>
          </cell>
        </row>
        <row r="196">
          <cell r="D196" t="str">
            <v>6级随机宝石</v>
          </cell>
          <cell r="E196">
            <v>1500</v>
          </cell>
          <cell r="F196">
            <v>1</v>
          </cell>
          <cell r="G196">
            <v>1</v>
          </cell>
          <cell r="H196">
            <v>1</v>
          </cell>
          <cell r="I196">
            <v>1500</v>
          </cell>
          <cell r="J196">
            <v>1500</v>
          </cell>
          <cell r="K196">
            <v>1500</v>
          </cell>
        </row>
        <row r="197">
          <cell r="D197" t="str">
            <v>7级随机宝石</v>
          </cell>
          <cell r="E197">
            <v>5000</v>
          </cell>
          <cell r="F197">
            <v>1</v>
          </cell>
          <cell r="G197">
            <v>1</v>
          </cell>
          <cell r="H197">
            <v>1</v>
          </cell>
          <cell r="I197">
            <v>5000</v>
          </cell>
          <cell r="J197">
            <v>5000</v>
          </cell>
          <cell r="K197">
            <v>5000</v>
          </cell>
        </row>
        <row r="198">
          <cell r="D198" t="str">
            <v>8级随机宝石</v>
          </cell>
          <cell r="E198">
            <v>18000</v>
          </cell>
          <cell r="F198">
            <v>1</v>
          </cell>
          <cell r="G198">
            <v>1</v>
          </cell>
          <cell r="H198">
            <v>1</v>
          </cell>
          <cell r="I198">
            <v>18000</v>
          </cell>
          <cell r="J198">
            <v>18000</v>
          </cell>
          <cell r="K198">
            <v>18000</v>
          </cell>
        </row>
        <row r="199">
          <cell r="D199" t="str">
            <v>9级随机宝石</v>
          </cell>
          <cell r="E199">
            <v>60000</v>
          </cell>
          <cell r="F199">
            <v>1</v>
          </cell>
          <cell r="G199">
            <v>1</v>
          </cell>
          <cell r="H199">
            <v>1</v>
          </cell>
          <cell r="I199">
            <v>60000</v>
          </cell>
          <cell r="J199">
            <v>60000</v>
          </cell>
          <cell r="K199">
            <v>60000</v>
          </cell>
        </row>
        <row r="200">
          <cell r="D200" t="str">
            <v>10级随机宝石</v>
          </cell>
          <cell r="E200">
            <v>180000</v>
          </cell>
          <cell r="F200">
            <v>1</v>
          </cell>
          <cell r="G200">
            <v>1</v>
          </cell>
          <cell r="H200">
            <v>1</v>
          </cell>
          <cell r="I200">
            <v>180000</v>
          </cell>
          <cell r="J200">
            <v>180000</v>
          </cell>
          <cell r="K200">
            <v>180000</v>
          </cell>
        </row>
        <row r="201">
          <cell r="D201" t="str">
            <v>11级随机宝石</v>
          </cell>
          <cell r="E201">
            <v>540000</v>
          </cell>
          <cell r="F201">
            <v>1</v>
          </cell>
          <cell r="G201">
            <v>1</v>
          </cell>
          <cell r="H201">
            <v>1</v>
          </cell>
          <cell r="I201">
            <v>540000</v>
          </cell>
          <cell r="J201">
            <v>540000</v>
          </cell>
          <cell r="K201">
            <v>540000</v>
          </cell>
        </row>
        <row r="202">
          <cell r="D202" t="str">
            <v>12级随机宝石</v>
          </cell>
          <cell r="E202">
            <v>1620000</v>
          </cell>
          <cell r="F202">
            <v>1</v>
          </cell>
          <cell r="G202">
            <v>1</v>
          </cell>
          <cell r="H202">
            <v>1</v>
          </cell>
          <cell r="I202">
            <v>1620000</v>
          </cell>
          <cell r="J202">
            <v>1620000</v>
          </cell>
          <cell r="K202">
            <v>1620000</v>
          </cell>
        </row>
        <row r="203">
          <cell r="D203" t="str">
            <v>13级随机宝石</v>
          </cell>
          <cell r="E203">
            <v>4860000</v>
          </cell>
          <cell r="F203">
            <v>1</v>
          </cell>
          <cell r="G203">
            <v>1</v>
          </cell>
          <cell r="H203">
            <v>1</v>
          </cell>
          <cell r="I203">
            <v>4860000</v>
          </cell>
          <cell r="J203">
            <v>4860000</v>
          </cell>
          <cell r="K203">
            <v>4860000</v>
          </cell>
        </row>
        <row r="204">
          <cell r="D204" t="str">
            <v>14级随机宝石</v>
          </cell>
          <cell r="E204">
            <v>14580000</v>
          </cell>
          <cell r="F204">
            <v>1</v>
          </cell>
          <cell r="G204">
            <v>1</v>
          </cell>
          <cell r="H204">
            <v>1</v>
          </cell>
          <cell r="I204">
            <v>14580000</v>
          </cell>
          <cell r="J204">
            <v>14580000</v>
          </cell>
          <cell r="K204">
            <v>14580000</v>
          </cell>
        </row>
        <row r="205">
          <cell r="D205" t="str">
            <v>15级随机宝石</v>
          </cell>
          <cell r="E205">
            <v>43740000</v>
          </cell>
          <cell r="F205">
            <v>1</v>
          </cell>
          <cell r="G205">
            <v>1</v>
          </cell>
          <cell r="H205">
            <v>1</v>
          </cell>
          <cell r="I205">
            <v>43740000</v>
          </cell>
          <cell r="J205">
            <v>43740000</v>
          </cell>
          <cell r="K205">
            <v>43740000</v>
          </cell>
        </row>
        <row r="206">
          <cell r="I206" t="str">
            <v/>
          </cell>
          <cell r="J206" t="str">
            <v/>
          </cell>
          <cell r="K206" t="str">
            <v/>
          </cell>
        </row>
        <row r="207">
          <cell r="D207" t="str">
            <v>血石</v>
          </cell>
          <cell r="E207">
            <v>0.5</v>
          </cell>
          <cell r="F207">
            <v>1</v>
          </cell>
          <cell r="G207">
            <v>1</v>
          </cell>
          <cell r="H207">
            <v>1</v>
          </cell>
          <cell r="I207">
            <v>0.5</v>
          </cell>
          <cell r="J207">
            <v>0.5</v>
          </cell>
          <cell r="K207">
            <v>0.5</v>
          </cell>
        </row>
        <row r="208">
          <cell r="D208" t="str">
            <v>血晶</v>
          </cell>
          <cell r="E208">
            <v>10</v>
          </cell>
          <cell r="F208">
            <v>1</v>
          </cell>
          <cell r="G208">
            <v>1</v>
          </cell>
          <cell r="H208">
            <v>1</v>
          </cell>
          <cell r="I208">
            <v>10</v>
          </cell>
          <cell r="J208">
            <v>10</v>
          </cell>
          <cell r="K208">
            <v>10</v>
          </cell>
        </row>
        <row r="209">
          <cell r="I209" t="str">
            <v/>
          </cell>
          <cell r="J209" t="str">
            <v/>
          </cell>
          <cell r="K209" t="str">
            <v/>
          </cell>
        </row>
        <row r="210">
          <cell r="D210" t="str">
            <v>蓝色提纯券</v>
          </cell>
          <cell r="E210">
            <v>100</v>
          </cell>
          <cell r="F210">
            <v>1</v>
          </cell>
          <cell r="G210">
            <v>1</v>
          </cell>
          <cell r="H210">
            <v>1</v>
          </cell>
          <cell r="I210">
            <v>100</v>
          </cell>
          <cell r="J210">
            <v>100</v>
          </cell>
          <cell r="K210">
            <v>100</v>
          </cell>
        </row>
        <row r="211">
          <cell r="D211" t="str">
            <v>紫色提纯券</v>
          </cell>
          <cell r="E211">
            <v>600</v>
          </cell>
          <cell r="F211">
            <v>1</v>
          </cell>
          <cell r="G211">
            <v>1</v>
          </cell>
          <cell r="H211">
            <v>1</v>
          </cell>
          <cell r="I211">
            <v>600</v>
          </cell>
          <cell r="J211">
            <v>600</v>
          </cell>
          <cell r="K211">
            <v>600</v>
          </cell>
        </row>
        <row r="212">
          <cell r="D212" t="str">
            <v>橙色提纯券</v>
          </cell>
          <cell r="E212">
            <v>4000</v>
          </cell>
          <cell r="F212">
            <v>1</v>
          </cell>
          <cell r="G212">
            <v>1</v>
          </cell>
          <cell r="H212">
            <v>1</v>
          </cell>
          <cell r="I212">
            <v>4000</v>
          </cell>
          <cell r="J212">
            <v>4000</v>
          </cell>
          <cell r="K212">
            <v>4000</v>
          </cell>
        </row>
        <row r="213">
          <cell r="I213" t="str">
            <v/>
          </cell>
          <cell r="J213" t="str">
            <v/>
          </cell>
          <cell r="K213" t="str">
            <v/>
          </cell>
        </row>
        <row r="214">
          <cell r="D214" t="str">
            <v>星宫1分钟加速令</v>
          </cell>
          <cell r="E214">
            <v>2</v>
          </cell>
          <cell r="F214">
            <v>1</v>
          </cell>
          <cell r="G214">
            <v>1</v>
          </cell>
          <cell r="H214">
            <v>0.3</v>
          </cell>
          <cell r="I214">
            <v>2</v>
          </cell>
          <cell r="J214">
            <v>2</v>
          </cell>
          <cell r="K214">
            <v>0.6</v>
          </cell>
          <cell r="L214" t="str">
            <v>使用后星宫升阶加速1分钟</v>
          </cell>
        </row>
        <row r="215">
          <cell r="D215" t="str">
            <v>星宫5分钟加速令</v>
          </cell>
          <cell r="E215">
            <v>8</v>
          </cell>
          <cell r="F215">
            <v>1</v>
          </cell>
          <cell r="G215">
            <v>1</v>
          </cell>
          <cell r="H215">
            <v>0.4</v>
          </cell>
          <cell r="I215">
            <v>8</v>
          </cell>
          <cell r="J215">
            <v>8</v>
          </cell>
          <cell r="K215">
            <v>3.2</v>
          </cell>
          <cell r="L215" t="str">
            <v>使用后星宫升阶加速5分钟</v>
          </cell>
        </row>
        <row r="216">
          <cell r="D216" t="str">
            <v>星宫20分钟加速令</v>
          </cell>
          <cell r="E216">
            <v>20</v>
          </cell>
          <cell r="F216">
            <v>1</v>
          </cell>
          <cell r="G216">
            <v>1</v>
          </cell>
          <cell r="H216">
            <v>0.5</v>
          </cell>
          <cell r="I216">
            <v>20</v>
          </cell>
          <cell r="J216">
            <v>20</v>
          </cell>
          <cell r="K216">
            <v>10</v>
          </cell>
          <cell r="L216" t="str">
            <v>使用后星宫升阶加速20分钟</v>
          </cell>
        </row>
        <row r="217">
          <cell r="D217" t="str">
            <v>星宫1小时加速令</v>
          </cell>
          <cell r="E217">
            <v>50</v>
          </cell>
          <cell r="F217">
            <v>1.2</v>
          </cell>
          <cell r="G217">
            <v>1</v>
          </cell>
          <cell r="H217">
            <v>0.6</v>
          </cell>
          <cell r="I217">
            <v>60</v>
          </cell>
          <cell r="J217">
            <v>50</v>
          </cell>
          <cell r="K217">
            <v>30</v>
          </cell>
          <cell r="L217" t="str">
            <v>使用后星宫升阶加速1小时</v>
          </cell>
        </row>
        <row r="218">
          <cell r="D218" t="str">
            <v>星宫3小时加速令</v>
          </cell>
          <cell r="E218">
            <v>100</v>
          </cell>
          <cell r="F218">
            <v>1.8</v>
          </cell>
          <cell r="G218">
            <v>1</v>
          </cell>
          <cell r="H218">
            <v>0.8</v>
          </cell>
          <cell r="I218">
            <v>180</v>
          </cell>
          <cell r="J218">
            <v>100</v>
          </cell>
          <cell r="K218">
            <v>80</v>
          </cell>
          <cell r="L218" t="str">
            <v>使用后星宫升阶加速3小时</v>
          </cell>
        </row>
        <row r="219">
          <cell r="D219" t="str">
            <v>星宫8小时加速令</v>
          </cell>
          <cell r="E219">
            <v>160</v>
          </cell>
          <cell r="F219">
            <v>3</v>
          </cell>
          <cell r="G219">
            <v>1</v>
          </cell>
          <cell r="H219">
            <v>1</v>
          </cell>
          <cell r="I219">
            <v>480</v>
          </cell>
          <cell r="J219">
            <v>160</v>
          </cell>
          <cell r="K219">
            <v>160</v>
          </cell>
          <cell r="L219" t="str">
            <v>使用后星宫升阶加速8小时</v>
          </cell>
        </row>
        <row r="220">
          <cell r="I220" t="str">
            <v/>
          </cell>
          <cell r="J220" t="str">
            <v/>
          </cell>
          <cell r="K220" t="str">
            <v/>
          </cell>
        </row>
        <row r="221">
          <cell r="C221">
            <v>21001</v>
          </cell>
          <cell r="D221" t="str">
            <v>一担粮食</v>
          </cell>
          <cell r="E221">
            <v>6</v>
          </cell>
          <cell r="F221">
            <v>1</v>
          </cell>
          <cell r="G221">
            <v>1</v>
          </cell>
          <cell r="H221">
            <v>0.3</v>
          </cell>
          <cell r="I221">
            <v>6</v>
          </cell>
          <cell r="J221">
            <v>6</v>
          </cell>
          <cell r="K221">
            <v>1.7999999999999998</v>
          </cell>
          <cell r="L221" t="str">
            <v>使用后获得10000安全粮食</v>
          </cell>
        </row>
        <row r="222">
          <cell r="C222">
            <v>21002</v>
          </cell>
          <cell r="D222" t="str">
            <v>一堆粮食</v>
          </cell>
          <cell r="E222">
            <v>20</v>
          </cell>
          <cell r="F222">
            <v>1</v>
          </cell>
          <cell r="G222">
            <v>1</v>
          </cell>
          <cell r="H222">
            <v>0.3</v>
          </cell>
          <cell r="I222">
            <v>20</v>
          </cell>
          <cell r="J222">
            <v>20</v>
          </cell>
          <cell r="K222">
            <v>6</v>
          </cell>
          <cell r="L222" t="str">
            <v>使用后获得50000安全粮食</v>
          </cell>
        </row>
        <row r="223">
          <cell r="C223">
            <v>21003</v>
          </cell>
          <cell r="D223" t="str">
            <v>一箱粮食</v>
          </cell>
          <cell r="E223">
            <v>45</v>
          </cell>
          <cell r="F223">
            <v>1.333</v>
          </cell>
          <cell r="G223">
            <v>1</v>
          </cell>
          <cell r="H223">
            <v>0.3</v>
          </cell>
          <cell r="I223">
            <v>59.984999999999999</v>
          </cell>
          <cell r="J223">
            <v>45</v>
          </cell>
          <cell r="K223">
            <v>13.5</v>
          </cell>
          <cell r="L223" t="str">
            <v>使用后获得150000安全粮食</v>
          </cell>
        </row>
        <row r="224">
          <cell r="C224">
            <v>21004</v>
          </cell>
          <cell r="D224" t="str">
            <v>一车粮食</v>
          </cell>
          <cell r="E224">
            <v>100</v>
          </cell>
          <cell r="F224">
            <v>2</v>
          </cell>
          <cell r="G224">
            <v>1</v>
          </cell>
          <cell r="H224">
            <v>0.3</v>
          </cell>
          <cell r="I224">
            <v>200</v>
          </cell>
          <cell r="J224">
            <v>100</v>
          </cell>
          <cell r="K224">
            <v>30</v>
          </cell>
          <cell r="L224" t="str">
            <v>使用后获得500000安全粮食</v>
          </cell>
        </row>
        <row r="225">
          <cell r="C225">
            <v>21005</v>
          </cell>
          <cell r="D225" t="str">
            <v>一担木材</v>
          </cell>
          <cell r="E225">
            <v>6</v>
          </cell>
          <cell r="F225">
            <v>1</v>
          </cell>
          <cell r="G225">
            <v>1</v>
          </cell>
          <cell r="H225">
            <v>0.3</v>
          </cell>
          <cell r="I225">
            <v>6</v>
          </cell>
          <cell r="J225">
            <v>6</v>
          </cell>
          <cell r="K225">
            <v>1.7999999999999998</v>
          </cell>
          <cell r="L225" t="str">
            <v>使用后获得10000安全木材</v>
          </cell>
        </row>
        <row r="226">
          <cell r="C226">
            <v>21006</v>
          </cell>
          <cell r="D226" t="str">
            <v>一堆木材</v>
          </cell>
          <cell r="E226">
            <v>20</v>
          </cell>
          <cell r="F226">
            <v>1</v>
          </cell>
          <cell r="G226">
            <v>1</v>
          </cell>
          <cell r="H226">
            <v>0.3</v>
          </cell>
          <cell r="I226">
            <v>20</v>
          </cell>
          <cell r="J226">
            <v>20</v>
          </cell>
          <cell r="K226">
            <v>6</v>
          </cell>
          <cell r="L226" t="str">
            <v>使用后获得50000安全木材</v>
          </cell>
        </row>
        <row r="227">
          <cell r="C227">
            <v>21007</v>
          </cell>
          <cell r="D227" t="str">
            <v>一箱木材</v>
          </cell>
          <cell r="E227">
            <v>45</v>
          </cell>
          <cell r="F227">
            <v>1.333</v>
          </cell>
          <cell r="G227">
            <v>1</v>
          </cell>
          <cell r="H227">
            <v>0.3</v>
          </cell>
          <cell r="I227">
            <v>59.984999999999999</v>
          </cell>
          <cell r="J227">
            <v>45</v>
          </cell>
          <cell r="K227">
            <v>13.5</v>
          </cell>
          <cell r="L227" t="str">
            <v>使用后获得150000安全木材</v>
          </cell>
        </row>
        <row r="228">
          <cell r="C228">
            <v>21008</v>
          </cell>
          <cell r="D228" t="str">
            <v>一车木材</v>
          </cell>
          <cell r="E228">
            <v>100</v>
          </cell>
          <cell r="F228">
            <v>2</v>
          </cell>
          <cell r="G228">
            <v>1</v>
          </cell>
          <cell r="H228">
            <v>0.3</v>
          </cell>
          <cell r="I228">
            <v>200</v>
          </cell>
          <cell r="J228">
            <v>100</v>
          </cell>
          <cell r="K228">
            <v>30</v>
          </cell>
          <cell r="L228" t="str">
            <v>使用后获得500000安全木材</v>
          </cell>
        </row>
        <row r="229">
          <cell r="C229">
            <v>21009</v>
          </cell>
          <cell r="D229" t="str">
            <v>一担石料</v>
          </cell>
          <cell r="E229">
            <v>6</v>
          </cell>
          <cell r="F229">
            <v>1</v>
          </cell>
          <cell r="G229">
            <v>1</v>
          </cell>
          <cell r="H229">
            <v>0.3</v>
          </cell>
          <cell r="I229">
            <v>6</v>
          </cell>
          <cell r="J229">
            <v>6</v>
          </cell>
          <cell r="K229">
            <v>1.7999999999999998</v>
          </cell>
          <cell r="L229" t="str">
            <v>使用后获得10000安全石料</v>
          </cell>
        </row>
        <row r="230">
          <cell r="C230">
            <v>21010</v>
          </cell>
          <cell r="D230" t="str">
            <v>一堆石料</v>
          </cell>
          <cell r="E230">
            <v>20</v>
          </cell>
          <cell r="F230">
            <v>1</v>
          </cell>
          <cell r="G230">
            <v>1</v>
          </cell>
          <cell r="H230">
            <v>0.3</v>
          </cell>
          <cell r="I230">
            <v>20</v>
          </cell>
          <cell r="J230">
            <v>20</v>
          </cell>
          <cell r="K230">
            <v>6</v>
          </cell>
          <cell r="L230" t="str">
            <v>使用后获得50000安全石料</v>
          </cell>
        </row>
        <row r="231">
          <cell r="C231">
            <v>21011</v>
          </cell>
          <cell r="D231" t="str">
            <v>一箱石料</v>
          </cell>
          <cell r="E231">
            <v>45</v>
          </cell>
          <cell r="F231">
            <v>1.333</v>
          </cell>
          <cell r="G231">
            <v>1</v>
          </cell>
          <cell r="H231">
            <v>0.3</v>
          </cell>
          <cell r="I231">
            <v>59.984999999999999</v>
          </cell>
          <cell r="J231">
            <v>45</v>
          </cell>
          <cell r="K231">
            <v>13.5</v>
          </cell>
          <cell r="L231" t="str">
            <v>使用后获得150000安全石料</v>
          </cell>
        </row>
        <row r="232">
          <cell r="C232">
            <v>21012</v>
          </cell>
          <cell r="D232" t="str">
            <v>一车石料</v>
          </cell>
          <cell r="E232">
            <v>100</v>
          </cell>
          <cell r="F232">
            <v>2</v>
          </cell>
          <cell r="G232">
            <v>1</v>
          </cell>
          <cell r="H232">
            <v>0.3</v>
          </cell>
          <cell r="I232">
            <v>200</v>
          </cell>
          <cell r="J232">
            <v>100</v>
          </cell>
          <cell r="K232">
            <v>30</v>
          </cell>
          <cell r="L232" t="str">
            <v>使用后获得500000安全石料</v>
          </cell>
        </row>
        <row r="233">
          <cell r="C233">
            <v>21013</v>
          </cell>
          <cell r="D233" t="str">
            <v>一担铁矿</v>
          </cell>
          <cell r="E233">
            <v>12</v>
          </cell>
          <cell r="F233">
            <v>1</v>
          </cell>
          <cell r="G233">
            <v>1</v>
          </cell>
          <cell r="H233">
            <v>0.3</v>
          </cell>
          <cell r="I233">
            <v>12</v>
          </cell>
          <cell r="J233">
            <v>12</v>
          </cell>
          <cell r="K233">
            <v>3.5999999999999996</v>
          </cell>
          <cell r="L233" t="str">
            <v>使用后获得10000安全铁矿</v>
          </cell>
        </row>
        <row r="234">
          <cell r="C234">
            <v>21014</v>
          </cell>
          <cell r="D234" t="str">
            <v>一堆铁矿</v>
          </cell>
          <cell r="E234">
            <v>40</v>
          </cell>
          <cell r="F234">
            <v>1</v>
          </cell>
          <cell r="G234">
            <v>1</v>
          </cell>
          <cell r="H234">
            <v>0.3</v>
          </cell>
          <cell r="I234">
            <v>40</v>
          </cell>
          <cell r="J234">
            <v>40</v>
          </cell>
          <cell r="K234">
            <v>12</v>
          </cell>
          <cell r="L234" t="str">
            <v>使用后获得50000安全铁矿</v>
          </cell>
        </row>
        <row r="235">
          <cell r="C235">
            <v>21015</v>
          </cell>
          <cell r="D235" t="str">
            <v>一箱铁矿</v>
          </cell>
          <cell r="E235">
            <v>90</v>
          </cell>
          <cell r="F235">
            <v>1.333</v>
          </cell>
          <cell r="G235">
            <v>1</v>
          </cell>
          <cell r="H235">
            <v>0.3</v>
          </cell>
          <cell r="I235">
            <v>119.97</v>
          </cell>
          <cell r="J235">
            <v>90</v>
          </cell>
          <cell r="K235">
            <v>27</v>
          </cell>
          <cell r="L235" t="str">
            <v>使用后获得150000安全铁矿</v>
          </cell>
        </row>
        <row r="236">
          <cell r="C236">
            <v>21016</v>
          </cell>
          <cell r="D236" t="str">
            <v>一车铁矿</v>
          </cell>
          <cell r="E236">
            <v>200</v>
          </cell>
          <cell r="F236">
            <v>2</v>
          </cell>
          <cell r="G236">
            <v>1</v>
          </cell>
          <cell r="H236">
            <v>0.3</v>
          </cell>
          <cell r="I236">
            <v>400</v>
          </cell>
          <cell r="J236">
            <v>200</v>
          </cell>
          <cell r="K236">
            <v>60</v>
          </cell>
          <cell r="L236" t="str">
            <v>使用后获得500000安全铁矿</v>
          </cell>
        </row>
        <row r="237">
          <cell r="C237">
            <v>21017</v>
          </cell>
          <cell r="D237" t="str">
            <v>一担铜矿</v>
          </cell>
          <cell r="E237">
            <v>6</v>
          </cell>
          <cell r="F237">
            <v>1</v>
          </cell>
          <cell r="G237">
            <v>1</v>
          </cell>
          <cell r="H237">
            <v>0.3</v>
          </cell>
          <cell r="I237">
            <v>6</v>
          </cell>
          <cell r="J237">
            <v>6</v>
          </cell>
          <cell r="K237">
            <v>1.7999999999999998</v>
          </cell>
          <cell r="L237" t="str">
            <v>使用后获得10000安全铜矿</v>
          </cell>
        </row>
        <row r="238">
          <cell r="C238">
            <v>21018</v>
          </cell>
          <cell r="D238" t="str">
            <v>一堆铜矿</v>
          </cell>
          <cell r="E238">
            <v>20</v>
          </cell>
          <cell r="F238">
            <v>1</v>
          </cell>
          <cell r="G238">
            <v>1</v>
          </cell>
          <cell r="H238">
            <v>0.3</v>
          </cell>
          <cell r="I238">
            <v>20</v>
          </cell>
          <cell r="J238">
            <v>20</v>
          </cell>
          <cell r="K238">
            <v>6</v>
          </cell>
          <cell r="L238" t="str">
            <v>使用后获得50000安全铜矿</v>
          </cell>
        </row>
        <row r="239">
          <cell r="C239">
            <v>21019</v>
          </cell>
          <cell r="D239" t="str">
            <v>一箱铜矿</v>
          </cell>
          <cell r="E239">
            <v>45</v>
          </cell>
          <cell r="F239">
            <v>1.333</v>
          </cell>
          <cell r="G239">
            <v>1</v>
          </cell>
          <cell r="H239">
            <v>0.3</v>
          </cell>
          <cell r="I239">
            <v>59.984999999999999</v>
          </cell>
          <cell r="J239">
            <v>45</v>
          </cell>
          <cell r="K239">
            <v>13.5</v>
          </cell>
          <cell r="L239" t="str">
            <v>使用后获得150000安全铜矿</v>
          </cell>
        </row>
        <row r="240">
          <cell r="C240">
            <v>21020</v>
          </cell>
          <cell r="D240" t="str">
            <v>一车铜矿</v>
          </cell>
          <cell r="E240">
            <v>100</v>
          </cell>
          <cell r="F240">
            <v>2</v>
          </cell>
          <cell r="G240">
            <v>1</v>
          </cell>
          <cell r="H240">
            <v>0.3</v>
          </cell>
          <cell r="I240">
            <v>200</v>
          </cell>
          <cell r="J240">
            <v>100</v>
          </cell>
          <cell r="K240">
            <v>30</v>
          </cell>
          <cell r="L240" t="str">
            <v>使用后获得500000安全铜矿</v>
          </cell>
        </row>
        <row r="241">
          <cell r="C241">
            <v>21021</v>
          </cell>
          <cell r="D241" t="str">
            <v>一吊刀币</v>
          </cell>
          <cell r="E241">
            <v>50</v>
          </cell>
          <cell r="F241">
            <v>1</v>
          </cell>
          <cell r="G241">
            <v>1</v>
          </cell>
          <cell r="H241">
            <v>0.5</v>
          </cell>
          <cell r="I241">
            <v>50</v>
          </cell>
          <cell r="J241">
            <v>50</v>
          </cell>
          <cell r="K241">
            <v>25</v>
          </cell>
          <cell r="L241" t="str">
            <v>使用后获得10000刀币</v>
          </cell>
        </row>
        <row r="242">
          <cell r="C242">
            <v>21022</v>
          </cell>
          <cell r="D242" t="str">
            <v>一贯刀币</v>
          </cell>
          <cell r="E242">
            <v>150</v>
          </cell>
          <cell r="F242">
            <v>1</v>
          </cell>
          <cell r="G242">
            <v>1</v>
          </cell>
          <cell r="H242">
            <v>0.5</v>
          </cell>
          <cell r="I242">
            <v>150</v>
          </cell>
          <cell r="J242">
            <v>150</v>
          </cell>
          <cell r="K242">
            <v>75</v>
          </cell>
          <cell r="L242" t="str">
            <v>使用后获得50000刀币</v>
          </cell>
        </row>
        <row r="243">
          <cell r="C243">
            <v>21023</v>
          </cell>
          <cell r="D243" t="str">
            <v>一袋刀币</v>
          </cell>
          <cell r="E243">
            <v>300</v>
          </cell>
          <cell r="F243">
            <v>1.5</v>
          </cell>
          <cell r="G243">
            <v>1</v>
          </cell>
          <cell r="H243">
            <v>0.5</v>
          </cell>
          <cell r="I243">
            <v>450</v>
          </cell>
          <cell r="J243">
            <v>300</v>
          </cell>
          <cell r="K243">
            <v>150</v>
          </cell>
          <cell r="L243" t="str">
            <v>使用后获得150000刀币</v>
          </cell>
        </row>
        <row r="244">
          <cell r="C244" t="str">
            <v/>
          </cell>
          <cell r="D244" t="str">
            <v>一箱刀币</v>
          </cell>
          <cell r="E244">
            <v>800</v>
          </cell>
          <cell r="F244">
            <v>1.875</v>
          </cell>
          <cell r="G244">
            <v>1</v>
          </cell>
          <cell r="H244">
            <v>0.5</v>
          </cell>
          <cell r="I244">
            <v>1500</v>
          </cell>
          <cell r="J244">
            <v>800</v>
          </cell>
          <cell r="K244">
            <v>400</v>
          </cell>
          <cell r="L244" t="str">
            <v>使用后获得500000刀币</v>
          </cell>
        </row>
        <row r="245">
          <cell r="C245">
            <v>21024</v>
          </cell>
          <cell r="D245" t="str">
            <v>普通资源自选宝箱</v>
          </cell>
          <cell r="E245">
            <v>6</v>
          </cell>
          <cell r="F245">
            <v>1</v>
          </cell>
          <cell r="G245">
            <v>1</v>
          </cell>
          <cell r="H245">
            <v>0.3</v>
          </cell>
          <cell r="I245">
            <v>6</v>
          </cell>
          <cell r="J245">
            <v>6</v>
          </cell>
          <cell r="K245">
            <v>1.7999999999999998</v>
          </cell>
          <cell r="L245" t="str">
            <v>使用后可选择获得10000资源(可选择资源类型：粮食、木材、石料和铜矿)</v>
          </cell>
        </row>
        <row r="246">
          <cell r="C246">
            <v>21025</v>
          </cell>
          <cell r="D246" t="str">
            <v>初级资源自选宝箱</v>
          </cell>
          <cell r="E246">
            <v>20</v>
          </cell>
          <cell r="F246">
            <v>1</v>
          </cell>
          <cell r="G246">
            <v>1</v>
          </cell>
          <cell r="H246">
            <v>0.3</v>
          </cell>
          <cell r="I246">
            <v>20</v>
          </cell>
          <cell r="J246">
            <v>20</v>
          </cell>
          <cell r="K246">
            <v>6</v>
          </cell>
          <cell r="L246" t="str">
            <v>使用后可选择获得50000资源(可选择资源类型：粮食、木材、石料和铜矿)</v>
          </cell>
        </row>
        <row r="247">
          <cell r="C247">
            <v>21026</v>
          </cell>
          <cell r="D247" t="str">
            <v>中级资源自选宝箱</v>
          </cell>
          <cell r="E247">
            <v>45</v>
          </cell>
          <cell r="F247">
            <v>1.333</v>
          </cell>
          <cell r="G247">
            <v>1</v>
          </cell>
          <cell r="H247">
            <v>0.3</v>
          </cell>
          <cell r="I247">
            <v>59.984999999999999</v>
          </cell>
          <cell r="J247">
            <v>45</v>
          </cell>
          <cell r="K247">
            <v>13.5</v>
          </cell>
          <cell r="L247" t="str">
            <v>使用后可选择获得150000资源(可选择资源类型：粮食、木材、石料和铜矿)</v>
          </cell>
        </row>
        <row r="248">
          <cell r="C248">
            <v>21027</v>
          </cell>
          <cell r="D248" t="str">
            <v>高级资源自选宝箱</v>
          </cell>
          <cell r="E248">
            <v>100</v>
          </cell>
          <cell r="F248">
            <v>2</v>
          </cell>
          <cell r="G248">
            <v>1</v>
          </cell>
          <cell r="H248">
            <v>0.3</v>
          </cell>
          <cell r="I248">
            <v>200</v>
          </cell>
          <cell r="J248">
            <v>100</v>
          </cell>
          <cell r="K248">
            <v>30</v>
          </cell>
          <cell r="L248" t="str">
            <v>使用后可选择获得500000资源(可选择资源类型：粮食、木材、石料和铜矿)</v>
          </cell>
        </row>
        <row r="249">
          <cell r="C249">
            <v>21031</v>
          </cell>
          <cell r="D249" t="str">
            <v>普通资源宝箱</v>
          </cell>
          <cell r="E249">
            <v>30</v>
          </cell>
          <cell r="F249">
            <v>1</v>
          </cell>
          <cell r="G249">
            <v>1</v>
          </cell>
          <cell r="H249">
            <v>0.3</v>
          </cell>
          <cell r="I249">
            <v>30</v>
          </cell>
          <cell r="J249">
            <v>30</v>
          </cell>
          <cell r="K249">
            <v>9</v>
          </cell>
          <cell r="L249" t="str">
            <v>使用后直接获得10000粮食、木材、石料和铜矿</v>
          </cell>
        </row>
        <row r="250">
          <cell r="C250">
            <v>21032</v>
          </cell>
          <cell r="D250" t="str">
            <v>初级资源宝箱</v>
          </cell>
          <cell r="E250">
            <v>80</v>
          </cell>
          <cell r="F250">
            <v>1</v>
          </cell>
          <cell r="G250">
            <v>1</v>
          </cell>
          <cell r="H250">
            <v>0.3</v>
          </cell>
          <cell r="I250">
            <v>80</v>
          </cell>
          <cell r="J250">
            <v>80</v>
          </cell>
          <cell r="K250">
            <v>24</v>
          </cell>
          <cell r="L250" t="str">
            <v>使用后直接获得50000粮食、木材、石料和铜矿</v>
          </cell>
        </row>
        <row r="251">
          <cell r="C251">
            <v>21033</v>
          </cell>
          <cell r="D251" t="str">
            <v>中级资源宝箱</v>
          </cell>
          <cell r="E251">
            <v>180</v>
          </cell>
          <cell r="F251">
            <v>1.333</v>
          </cell>
          <cell r="G251">
            <v>1</v>
          </cell>
          <cell r="H251">
            <v>0.3</v>
          </cell>
          <cell r="I251">
            <v>239.94</v>
          </cell>
          <cell r="J251">
            <v>180</v>
          </cell>
          <cell r="K251">
            <v>54</v>
          </cell>
          <cell r="L251" t="str">
            <v>使用后直接获得150000粮食、木材、石料和铜矿</v>
          </cell>
        </row>
        <row r="252">
          <cell r="C252">
            <v>21034</v>
          </cell>
          <cell r="D252" t="str">
            <v>高级资源宝箱</v>
          </cell>
          <cell r="E252">
            <v>400</v>
          </cell>
          <cell r="F252">
            <v>2</v>
          </cell>
          <cell r="G252">
            <v>1</v>
          </cell>
          <cell r="H252">
            <v>0.3</v>
          </cell>
          <cell r="I252">
            <v>800</v>
          </cell>
          <cell r="J252">
            <v>400</v>
          </cell>
          <cell r="K252">
            <v>120</v>
          </cell>
          <cell r="L252" t="str">
            <v>使用后直接获得500000粮食、木材、石料和铜矿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</row>
        <row r="254">
          <cell r="C254">
            <v>21061</v>
          </cell>
          <cell r="D254" t="str">
            <v>初级经验书</v>
          </cell>
          <cell r="E254">
            <v>2</v>
          </cell>
          <cell r="F254">
            <v>1</v>
          </cell>
          <cell r="G254">
            <v>1</v>
          </cell>
          <cell r="H254">
            <v>1</v>
          </cell>
          <cell r="I254">
            <v>2</v>
          </cell>
          <cell r="J254">
            <v>2</v>
          </cell>
          <cell r="K254">
            <v>2</v>
          </cell>
          <cell r="L254" t="str">
            <v>武将使用后获得200经验</v>
          </cell>
        </row>
        <row r="255">
          <cell r="C255">
            <v>21062</v>
          </cell>
          <cell r="D255" t="str">
            <v>中级经验书</v>
          </cell>
          <cell r="E255">
            <v>5</v>
          </cell>
          <cell r="F255">
            <v>1</v>
          </cell>
          <cell r="G255">
            <v>1</v>
          </cell>
          <cell r="H255">
            <v>1</v>
          </cell>
          <cell r="I255">
            <v>5</v>
          </cell>
          <cell r="J255">
            <v>5</v>
          </cell>
          <cell r="K255">
            <v>5</v>
          </cell>
          <cell r="L255" t="str">
            <v>武将使用后获得1000经验</v>
          </cell>
        </row>
        <row r="256">
          <cell r="C256">
            <v>21063</v>
          </cell>
          <cell r="D256" t="str">
            <v>高级经验书</v>
          </cell>
          <cell r="E256">
            <v>10</v>
          </cell>
          <cell r="F256">
            <v>1</v>
          </cell>
          <cell r="G256">
            <v>1</v>
          </cell>
          <cell r="H256">
            <v>1</v>
          </cell>
          <cell r="I256">
            <v>10</v>
          </cell>
          <cell r="J256">
            <v>10</v>
          </cell>
          <cell r="K256">
            <v>10</v>
          </cell>
          <cell r="L256" t="str">
            <v>武将使用后获得5000经验</v>
          </cell>
        </row>
        <row r="257">
          <cell r="C257">
            <v>21064</v>
          </cell>
          <cell r="D257" t="str">
            <v>特级经验书</v>
          </cell>
          <cell r="E257">
            <v>20</v>
          </cell>
          <cell r="F257">
            <v>2</v>
          </cell>
          <cell r="G257">
            <v>1</v>
          </cell>
          <cell r="H257">
            <v>1</v>
          </cell>
          <cell r="I257">
            <v>40</v>
          </cell>
          <cell r="J257">
            <v>20</v>
          </cell>
          <cell r="K257">
            <v>20</v>
          </cell>
          <cell r="L257" t="str">
            <v>武将使用后获得20000经验</v>
          </cell>
        </row>
        <row r="258">
          <cell r="C258">
            <v>21065</v>
          </cell>
          <cell r="D258" t="str">
            <v>超级经验书</v>
          </cell>
          <cell r="E258">
            <v>40</v>
          </cell>
          <cell r="F258">
            <v>5</v>
          </cell>
          <cell r="G258">
            <v>1</v>
          </cell>
          <cell r="H258">
            <v>1</v>
          </cell>
          <cell r="I258">
            <v>200</v>
          </cell>
          <cell r="J258">
            <v>40</v>
          </cell>
          <cell r="K258">
            <v>40</v>
          </cell>
          <cell r="L258" t="str">
            <v>武将使用后获得100000经验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</row>
        <row r="260">
          <cell r="C260">
            <v>21073</v>
          </cell>
          <cell r="D260" t="str">
            <v>1个行军令</v>
          </cell>
          <cell r="E260">
            <v>75</v>
          </cell>
          <cell r="F260">
            <v>1</v>
          </cell>
          <cell r="G260">
            <v>1</v>
          </cell>
          <cell r="H260">
            <v>1</v>
          </cell>
          <cell r="I260">
            <v>75</v>
          </cell>
          <cell r="J260">
            <v>75</v>
          </cell>
          <cell r="K260">
            <v>75</v>
          </cell>
          <cell r="L260" t="str">
            <v>使用后获得1个行军令</v>
          </cell>
        </row>
        <row r="261">
          <cell r="C261">
            <v>21074</v>
          </cell>
          <cell r="D261" t="str">
            <v>大捆行军令</v>
          </cell>
          <cell r="E261">
            <v>225</v>
          </cell>
          <cell r="F261">
            <v>1</v>
          </cell>
          <cell r="G261">
            <v>1</v>
          </cell>
          <cell r="H261">
            <v>1</v>
          </cell>
          <cell r="I261">
            <v>225</v>
          </cell>
          <cell r="J261">
            <v>225</v>
          </cell>
          <cell r="K261">
            <v>225</v>
          </cell>
          <cell r="L261" t="str">
            <v>使用后获得3个行军令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>
            <v>21081</v>
          </cell>
          <cell r="D263" t="str">
            <v>木材增产令</v>
          </cell>
          <cell r="E263">
            <v>35</v>
          </cell>
          <cell r="F263">
            <v>1</v>
          </cell>
          <cell r="G263">
            <v>1</v>
          </cell>
          <cell r="H263">
            <v>1</v>
          </cell>
          <cell r="I263">
            <v>35</v>
          </cell>
          <cell r="J263">
            <v>35</v>
          </cell>
          <cell r="K263">
            <v>35</v>
          </cell>
          <cell r="L263" t="str">
            <v>使用后伐木场产量提高50%，持续12小时</v>
          </cell>
        </row>
        <row r="264">
          <cell r="C264">
            <v>21082</v>
          </cell>
          <cell r="D264" t="str">
            <v>铁矿增产令</v>
          </cell>
          <cell r="E264">
            <v>50</v>
          </cell>
          <cell r="F264">
            <v>1</v>
          </cell>
          <cell r="G264">
            <v>1</v>
          </cell>
          <cell r="H264">
            <v>1</v>
          </cell>
          <cell r="I264">
            <v>50</v>
          </cell>
          <cell r="J264">
            <v>50</v>
          </cell>
          <cell r="K264">
            <v>50</v>
          </cell>
          <cell r="L264" t="str">
            <v>使用后冶炼厂产量提高50%，持续12小时</v>
          </cell>
        </row>
        <row r="265">
          <cell r="C265">
            <v>21083</v>
          </cell>
          <cell r="D265" t="str">
            <v>石料增产令</v>
          </cell>
          <cell r="E265">
            <v>35</v>
          </cell>
          <cell r="F265">
            <v>1</v>
          </cell>
          <cell r="G265">
            <v>1</v>
          </cell>
          <cell r="H265">
            <v>1</v>
          </cell>
          <cell r="I265">
            <v>35</v>
          </cell>
          <cell r="J265">
            <v>35</v>
          </cell>
          <cell r="K265">
            <v>35</v>
          </cell>
          <cell r="L265" t="str">
            <v>使用后采石场产量提高50%，持续12小时</v>
          </cell>
        </row>
        <row r="266">
          <cell r="C266">
            <v>21084</v>
          </cell>
          <cell r="D266" t="str">
            <v>粮食增产令</v>
          </cell>
          <cell r="E266">
            <v>35</v>
          </cell>
          <cell r="F266">
            <v>1</v>
          </cell>
          <cell r="G266">
            <v>1</v>
          </cell>
          <cell r="H266">
            <v>1</v>
          </cell>
          <cell r="I266">
            <v>35</v>
          </cell>
          <cell r="J266">
            <v>35</v>
          </cell>
          <cell r="K266">
            <v>35</v>
          </cell>
          <cell r="L266" t="str">
            <v>使用后农田产量提高50%，持续12小时</v>
          </cell>
        </row>
        <row r="267">
          <cell r="C267">
            <v>21085</v>
          </cell>
          <cell r="D267" t="str">
            <v>赋税增收令</v>
          </cell>
          <cell r="E267">
            <v>85</v>
          </cell>
          <cell r="F267">
            <v>1</v>
          </cell>
          <cell r="G267">
            <v>1</v>
          </cell>
          <cell r="H267">
            <v>1</v>
          </cell>
          <cell r="I267">
            <v>85</v>
          </cell>
          <cell r="J267">
            <v>85</v>
          </cell>
          <cell r="K267">
            <v>85</v>
          </cell>
          <cell r="L267" t="str">
            <v>使用后民居税收提高25%，持续12小时</v>
          </cell>
        </row>
        <row r="268">
          <cell r="C268">
            <v>21086</v>
          </cell>
          <cell r="D268" t="str">
            <v>铜矿增产令</v>
          </cell>
          <cell r="E268">
            <v>35</v>
          </cell>
          <cell r="F268">
            <v>1</v>
          </cell>
          <cell r="G268">
            <v>1</v>
          </cell>
          <cell r="H268">
            <v>1</v>
          </cell>
          <cell r="I268">
            <v>35</v>
          </cell>
          <cell r="J268">
            <v>35</v>
          </cell>
          <cell r="K268">
            <v>35</v>
          </cell>
          <cell r="L268" t="str">
            <v>使用后铜矿产量提高50%，持续12小时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</row>
        <row r="270">
          <cell r="C270">
            <v>21100</v>
          </cell>
          <cell r="D270" t="str">
            <v>免战牌</v>
          </cell>
          <cell r="E270">
            <v>100</v>
          </cell>
          <cell r="F270">
            <v>1</v>
          </cell>
          <cell r="G270">
            <v>1</v>
          </cell>
          <cell r="H270">
            <v>1</v>
          </cell>
          <cell r="I270">
            <v>100</v>
          </cell>
          <cell r="J270">
            <v>100</v>
          </cell>
          <cell r="K270">
            <v>100</v>
          </cell>
          <cell r="L270" t="str">
            <v>使用后城池不会遭受来自玩家的攻击，主动进攻玩家后失效，持续8小时</v>
          </cell>
        </row>
        <row r="271">
          <cell r="C271">
            <v>21101</v>
          </cell>
          <cell r="D271" t="str">
            <v>普通点将牌</v>
          </cell>
          <cell r="E271">
            <v>65</v>
          </cell>
          <cell r="F271">
            <v>1</v>
          </cell>
          <cell r="G271">
            <v>1</v>
          </cell>
          <cell r="H271">
            <v>1</v>
          </cell>
          <cell r="I271">
            <v>65</v>
          </cell>
          <cell r="J271">
            <v>65</v>
          </cell>
          <cell r="K271">
            <v>65</v>
          </cell>
          <cell r="L271" t="str">
            <v>点将台普通招募时消耗的令牌</v>
          </cell>
        </row>
        <row r="272">
          <cell r="C272">
            <v>21102</v>
          </cell>
          <cell r="D272" t="str">
            <v>高级点将牌</v>
          </cell>
          <cell r="E272">
            <v>240</v>
          </cell>
          <cell r="F272">
            <v>1</v>
          </cell>
          <cell r="G272">
            <v>1</v>
          </cell>
          <cell r="H272">
            <v>1</v>
          </cell>
          <cell r="I272">
            <v>240</v>
          </cell>
          <cell r="J272">
            <v>240</v>
          </cell>
          <cell r="K272">
            <v>240</v>
          </cell>
          <cell r="L272" t="str">
            <v>点将台高级招募时消耗的令牌</v>
          </cell>
        </row>
        <row r="273">
          <cell r="C273" t="str">
            <v/>
          </cell>
          <cell r="D273" t="str">
            <v>行军丸（旧版)</v>
          </cell>
          <cell r="E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>使用后每次可增加部队100%的行军速度</v>
          </cell>
        </row>
        <row r="274">
          <cell r="C274">
            <v>21104</v>
          </cell>
          <cell r="D274" t="str">
            <v>撤军令</v>
          </cell>
          <cell r="E274">
            <v>60</v>
          </cell>
          <cell r="F274">
            <v>1</v>
          </cell>
          <cell r="G274">
            <v>1</v>
          </cell>
          <cell r="H274">
            <v>1</v>
          </cell>
          <cell r="I274">
            <v>60</v>
          </cell>
          <cell r="J274">
            <v>60</v>
          </cell>
          <cell r="K274">
            <v>60</v>
          </cell>
          <cell r="L274" t="str">
            <v>使用后使一支出征队伍立即撤军回城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21110</v>
          </cell>
          <cell r="D276" t="str">
            <v>城建1分钟加速令</v>
          </cell>
          <cell r="E276">
            <v>2</v>
          </cell>
          <cell r="F276">
            <v>1</v>
          </cell>
          <cell r="G276">
            <v>1</v>
          </cell>
          <cell r="H276">
            <v>0.3</v>
          </cell>
          <cell r="I276">
            <v>2</v>
          </cell>
          <cell r="J276">
            <v>2</v>
          </cell>
          <cell r="K276">
            <v>0.6</v>
          </cell>
          <cell r="L276" t="str">
            <v>使用后城池建设加速1分钟</v>
          </cell>
        </row>
        <row r="277">
          <cell r="C277">
            <v>21111</v>
          </cell>
          <cell r="D277" t="str">
            <v>城建5分钟加速令</v>
          </cell>
          <cell r="E277">
            <v>8</v>
          </cell>
          <cell r="F277">
            <v>1</v>
          </cell>
          <cell r="G277">
            <v>1</v>
          </cell>
          <cell r="H277">
            <v>0.4</v>
          </cell>
          <cell r="I277">
            <v>8</v>
          </cell>
          <cell r="J277">
            <v>8</v>
          </cell>
          <cell r="K277">
            <v>3.2</v>
          </cell>
          <cell r="L277" t="str">
            <v>使用后城池建设加速5分钟</v>
          </cell>
        </row>
        <row r="278">
          <cell r="C278">
            <v>21112</v>
          </cell>
          <cell r="D278" t="str">
            <v>城建20分钟加速令</v>
          </cell>
          <cell r="E278">
            <v>20</v>
          </cell>
          <cell r="F278">
            <v>1</v>
          </cell>
          <cell r="G278">
            <v>1</v>
          </cell>
          <cell r="H278">
            <v>0.5</v>
          </cell>
          <cell r="I278">
            <v>20</v>
          </cell>
          <cell r="J278">
            <v>20</v>
          </cell>
          <cell r="K278">
            <v>10</v>
          </cell>
          <cell r="L278" t="str">
            <v>使用后城池建设加速20分钟</v>
          </cell>
        </row>
        <row r="279">
          <cell r="C279">
            <v>21113</v>
          </cell>
          <cell r="D279" t="str">
            <v>城建1小时加速令</v>
          </cell>
          <cell r="E279">
            <v>50</v>
          </cell>
          <cell r="F279">
            <v>1.2</v>
          </cell>
          <cell r="G279">
            <v>1</v>
          </cell>
          <cell r="H279">
            <v>0.6</v>
          </cell>
          <cell r="I279">
            <v>60</v>
          </cell>
          <cell r="J279">
            <v>50</v>
          </cell>
          <cell r="K279">
            <v>30</v>
          </cell>
          <cell r="L279" t="str">
            <v>使用后城池建设加速1小时</v>
          </cell>
        </row>
        <row r="280">
          <cell r="C280">
            <v>21114</v>
          </cell>
          <cell r="D280" t="str">
            <v>城建3小时加速令</v>
          </cell>
          <cell r="E280">
            <v>100</v>
          </cell>
          <cell r="F280">
            <v>1.8</v>
          </cell>
          <cell r="G280">
            <v>1</v>
          </cell>
          <cell r="H280">
            <v>0.8</v>
          </cell>
          <cell r="I280">
            <v>180</v>
          </cell>
          <cell r="J280">
            <v>100</v>
          </cell>
          <cell r="K280">
            <v>80</v>
          </cell>
          <cell r="L280" t="str">
            <v>使用后城池建设加速3小时</v>
          </cell>
        </row>
        <row r="281">
          <cell r="C281">
            <v>21135</v>
          </cell>
          <cell r="D281" t="str">
            <v>城建8小时加速令</v>
          </cell>
          <cell r="E281">
            <v>160</v>
          </cell>
          <cell r="F281">
            <v>3</v>
          </cell>
          <cell r="G281">
            <v>1</v>
          </cell>
          <cell r="H281">
            <v>1</v>
          </cell>
          <cell r="I281">
            <v>480</v>
          </cell>
          <cell r="J281">
            <v>160</v>
          </cell>
          <cell r="K281">
            <v>160</v>
          </cell>
          <cell r="L281" t="str">
            <v>使用后城池建设加速8小时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>
            <v>21115</v>
          </cell>
          <cell r="D283" t="str">
            <v>招募1分钟加速令</v>
          </cell>
          <cell r="E283">
            <v>2</v>
          </cell>
          <cell r="F283">
            <v>1</v>
          </cell>
          <cell r="G283">
            <v>1</v>
          </cell>
          <cell r="H283">
            <v>0.3</v>
          </cell>
          <cell r="I283">
            <v>2</v>
          </cell>
          <cell r="J283">
            <v>2</v>
          </cell>
          <cell r="K283">
            <v>0.6</v>
          </cell>
          <cell r="L283" t="str">
            <v>使用后士兵招募加速1分钟</v>
          </cell>
        </row>
        <row r="284">
          <cell r="C284">
            <v>21116</v>
          </cell>
          <cell r="D284" t="str">
            <v>招募5分钟加速令</v>
          </cell>
          <cell r="E284">
            <v>8</v>
          </cell>
          <cell r="F284">
            <v>1</v>
          </cell>
          <cell r="G284">
            <v>1</v>
          </cell>
          <cell r="H284">
            <v>0.4</v>
          </cell>
          <cell r="I284">
            <v>8</v>
          </cell>
          <cell r="J284">
            <v>8</v>
          </cell>
          <cell r="K284">
            <v>3.2</v>
          </cell>
          <cell r="L284" t="str">
            <v>使用后士兵招募加速5分钟</v>
          </cell>
        </row>
        <row r="285">
          <cell r="C285">
            <v>21117</v>
          </cell>
          <cell r="D285" t="str">
            <v>招募20分钟加速令</v>
          </cell>
          <cell r="E285">
            <v>20</v>
          </cell>
          <cell r="F285">
            <v>1</v>
          </cell>
          <cell r="G285">
            <v>1</v>
          </cell>
          <cell r="H285">
            <v>0.5</v>
          </cell>
          <cell r="I285">
            <v>20</v>
          </cell>
          <cell r="J285">
            <v>20</v>
          </cell>
          <cell r="K285">
            <v>10</v>
          </cell>
          <cell r="L285" t="str">
            <v>使用后士兵招募加速20分钟</v>
          </cell>
        </row>
        <row r="286">
          <cell r="C286">
            <v>21118</v>
          </cell>
          <cell r="D286" t="str">
            <v>招募1小时加速令</v>
          </cell>
          <cell r="E286">
            <v>50</v>
          </cell>
          <cell r="F286">
            <v>1.2</v>
          </cell>
          <cell r="G286">
            <v>1</v>
          </cell>
          <cell r="H286">
            <v>0.6</v>
          </cell>
          <cell r="I286">
            <v>60</v>
          </cell>
          <cell r="J286">
            <v>50</v>
          </cell>
          <cell r="K286">
            <v>30</v>
          </cell>
          <cell r="L286" t="str">
            <v>使用后士兵招募加速1小时</v>
          </cell>
        </row>
        <row r="287">
          <cell r="C287">
            <v>21119</v>
          </cell>
          <cell r="D287" t="str">
            <v>招募3小时加速令</v>
          </cell>
          <cell r="E287">
            <v>100</v>
          </cell>
          <cell r="F287">
            <v>1.8</v>
          </cell>
          <cell r="G287">
            <v>1</v>
          </cell>
          <cell r="H287">
            <v>0.8</v>
          </cell>
          <cell r="I287">
            <v>180</v>
          </cell>
          <cell r="J287">
            <v>100</v>
          </cell>
          <cell r="K287">
            <v>80</v>
          </cell>
          <cell r="L287" t="str">
            <v>使用后士兵招募加速3小时</v>
          </cell>
        </row>
        <row r="288">
          <cell r="C288">
            <v>21136</v>
          </cell>
          <cell r="D288" t="str">
            <v>招募8小时加速令</v>
          </cell>
          <cell r="E288">
            <v>160</v>
          </cell>
          <cell r="F288">
            <v>3</v>
          </cell>
          <cell r="G288">
            <v>1</v>
          </cell>
          <cell r="H288">
            <v>1</v>
          </cell>
          <cell r="I288">
            <v>480</v>
          </cell>
          <cell r="J288">
            <v>160</v>
          </cell>
          <cell r="K288">
            <v>160</v>
          </cell>
          <cell r="L288" t="str">
            <v>使用后士兵招募加速8小时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21120</v>
          </cell>
          <cell r="D290" t="str">
            <v>治疗1分钟加速令</v>
          </cell>
          <cell r="E290">
            <v>2</v>
          </cell>
          <cell r="F290">
            <v>1</v>
          </cell>
          <cell r="G290">
            <v>1</v>
          </cell>
          <cell r="H290">
            <v>0.3</v>
          </cell>
          <cell r="I290">
            <v>2</v>
          </cell>
          <cell r="J290">
            <v>2</v>
          </cell>
          <cell r="K290">
            <v>0.6</v>
          </cell>
          <cell r="L290" t="str">
            <v>使用后士兵治疗加速1分钟</v>
          </cell>
        </row>
        <row r="291">
          <cell r="C291">
            <v>21121</v>
          </cell>
          <cell r="D291" t="str">
            <v>治疗5分钟加速令</v>
          </cell>
          <cell r="E291">
            <v>8</v>
          </cell>
          <cell r="F291">
            <v>1</v>
          </cell>
          <cell r="G291">
            <v>1</v>
          </cell>
          <cell r="H291">
            <v>0.4</v>
          </cell>
          <cell r="I291">
            <v>8</v>
          </cell>
          <cell r="J291">
            <v>8</v>
          </cell>
          <cell r="K291">
            <v>3.2</v>
          </cell>
          <cell r="L291" t="str">
            <v>使用后士兵治疗加速5分钟</v>
          </cell>
        </row>
        <row r="292">
          <cell r="C292">
            <v>21122</v>
          </cell>
          <cell r="D292" t="str">
            <v>治疗20分钟加速令</v>
          </cell>
          <cell r="E292">
            <v>20</v>
          </cell>
          <cell r="F292">
            <v>1</v>
          </cell>
          <cell r="G292">
            <v>1</v>
          </cell>
          <cell r="H292">
            <v>0.5</v>
          </cell>
          <cell r="I292">
            <v>20</v>
          </cell>
          <cell r="J292">
            <v>20</v>
          </cell>
          <cell r="K292">
            <v>10</v>
          </cell>
          <cell r="L292" t="str">
            <v>使用后士兵治疗加速20分钟</v>
          </cell>
        </row>
        <row r="293">
          <cell r="C293">
            <v>21123</v>
          </cell>
          <cell r="D293" t="str">
            <v>治疗1小时加速令</v>
          </cell>
          <cell r="E293">
            <v>50</v>
          </cell>
          <cell r="F293">
            <v>1.2</v>
          </cell>
          <cell r="G293">
            <v>1</v>
          </cell>
          <cell r="H293">
            <v>0.6</v>
          </cell>
          <cell r="I293">
            <v>60</v>
          </cell>
          <cell r="J293">
            <v>50</v>
          </cell>
          <cell r="K293">
            <v>30</v>
          </cell>
          <cell r="L293" t="str">
            <v>使用后士兵治疗加速1小时</v>
          </cell>
        </row>
        <row r="294">
          <cell r="C294">
            <v>21124</v>
          </cell>
          <cell r="D294" t="str">
            <v>治疗3小时加速令</v>
          </cell>
          <cell r="E294">
            <v>100</v>
          </cell>
          <cell r="F294">
            <v>1.8</v>
          </cell>
          <cell r="G294">
            <v>1</v>
          </cell>
          <cell r="H294">
            <v>0.8</v>
          </cell>
          <cell r="I294">
            <v>180</v>
          </cell>
          <cell r="J294">
            <v>100</v>
          </cell>
          <cell r="K294">
            <v>80</v>
          </cell>
          <cell r="L294" t="str">
            <v>使用后士兵治疗加速3小时</v>
          </cell>
        </row>
        <row r="295">
          <cell r="C295">
            <v>21137</v>
          </cell>
          <cell r="D295" t="str">
            <v>治疗8小时加速令</v>
          </cell>
          <cell r="E295">
            <v>160</v>
          </cell>
          <cell r="F295">
            <v>3</v>
          </cell>
          <cell r="G295">
            <v>1</v>
          </cell>
          <cell r="H295">
            <v>1</v>
          </cell>
          <cell r="I295">
            <v>480</v>
          </cell>
          <cell r="J295">
            <v>160</v>
          </cell>
          <cell r="K295">
            <v>160</v>
          </cell>
          <cell r="L295" t="str">
            <v>使用后士兵治疗加速8小时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21130</v>
          </cell>
          <cell r="D297" t="str">
            <v>训练1分钟加速令</v>
          </cell>
          <cell r="E297">
            <v>2</v>
          </cell>
          <cell r="F297">
            <v>1</v>
          </cell>
          <cell r="G297">
            <v>1</v>
          </cell>
          <cell r="H297">
            <v>0.3</v>
          </cell>
          <cell r="I297">
            <v>2</v>
          </cell>
          <cell r="J297">
            <v>2</v>
          </cell>
          <cell r="K297">
            <v>0.6</v>
          </cell>
          <cell r="L297" t="str">
            <v>使用后士兵训练加速1分钟</v>
          </cell>
        </row>
        <row r="298">
          <cell r="C298">
            <v>21131</v>
          </cell>
          <cell r="D298" t="str">
            <v>训练5分钟加速令</v>
          </cell>
          <cell r="E298">
            <v>8</v>
          </cell>
          <cell r="F298">
            <v>1</v>
          </cell>
          <cell r="G298">
            <v>1</v>
          </cell>
          <cell r="H298">
            <v>0.4</v>
          </cell>
          <cell r="I298">
            <v>8</v>
          </cell>
          <cell r="J298">
            <v>8</v>
          </cell>
          <cell r="K298">
            <v>3.2</v>
          </cell>
          <cell r="L298" t="str">
            <v>使用后士兵训练加速5分钟</v>
          </cell>
        </row>
        <row r="299">
          <cell r="C299">
            <v>21132</v>
          </cell>
          <cell r="D299" t="str">
            <v>训练20分钟加速令</v>
          </cell>
          <cell r="E299">
            <v>20</v>
          </cell>
          <cell r="F299">
            <v>1</v>
          </cell>
          <cell r="G299">
            <v>1</v>
          </cell>
          <cell r="H299">
            <v>0.5</v>
          </cell>
          <cell r="I299">
            <v>20</v>
          </cell>
          <cell r="J299">
            <v>20</v>
          </cell>
          <cell r="K299">
            <v>10</v>
          </cell>
          <cell r="L299" t="str">
            <v>使用后士兵训练加速20分钟</v>
          </cell>
        </row>
        <row r="300">
          <cell r="C300">
            <v>21133</v>
          </cell>
          <cell r="D300" t="str">
            <v>训练1小时加速令</v>
          </cell>
          <cell r="E300">
            <v>50</v>
          </cell>
          <cell r="F300">
            <v>1.2</v>
          </cell>
          <cell r="G300">
            <v>1</v>
          </cell>
          <cell r="H300">
            <v>0.6</v>
          </cell>
          <cell r="I300">
            <v>60</v>
          </cell>
          <cell r="J300">
            <v>50</v>
          </cell>
          <cell r="K300">
            <v>30</v>
          </cell>
          <cell r="L300" t="str">
            <v>使用后士兵训练加速1小时</v>
          </cell>
        </row>
        <row r="301">
          <cell r="C301">
            <v>21134</v>
          </cell>
          <cell r="D301" t="str">
            <v>训练3小时加速令</v>
          </cell>
          <cell r="E301">
            <v>100</v>
          </cell>
          <cell r="F301">
            <v>1.8</v>
          </cell>
          <cell r="G301">
            <v>1</v>
          </cell>
          <cell r="H301">
            <v>0.8</v>
          </cell>
          <cell r="I301">
            <v>180</v>
          </cell>
          <cell r="J301">
            <v>100</v>
          </cell>
          <cell r="K301">
            <v>80</v>
          </cell>
          <cell r="L301" t="str">
            <v>使用后士兵训练加速3小时</v>
          </cell>
        </row>
        <row r="302">
          <cell r="C302">
            <v>21139</v>
          </cell>
          <cell r="D302" t="str">
            <v>训练8小时加速令</v>
          </cell>
          <cell r="E302">
            <v>160</v>
          </cell>
          <cell r="F302">
            <v>3</v>
          </cell>
          <cell r="G302">
            <v>1</v>
          </cell>
          <cell r="H302">
            <v>1</v>
          </cell>
          <cell r="I302">
            <v>480</v>
          </cell>
          <cell r="J302">
            <v>160</v>
          </cell>
          <cell r="K302">
            <v>160</v>
          </cell>
          <cell r="L302" t="str">
            <v>使用后士兵训练加速8小时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</row>
        <row r="304">
          <cell r="C304">
            <v>21140</v>
          </cell>
          <cell r="D304" t="str">
            <v>圣人1分钟加速令</v>
          </cell>
          <cell r="E304">
            <v>2</v>
          </cell>
          <cell r="F304">
            <v>1</v>
          </cell>
          <cell r="G304">
            <v>1</v>
          </cell>
          <cell r="H304">
            <v>0.3</v>
          </cell>
          <cell r="I304">
            <v>2</v>
          </cell>
          <cell r="J304">
            <v>2</v>
          </cell>
          <cell r="K304">
            <v>0.6</v>
          </cell>
          <cell r="L304" t="str">
            <v>使用后士兵训练加速1分钟</v>
          </cell>
        </row>
        <row r="305">
          <cell r="C305">
            <v>21141</v>
          </cell>
          <cell r="D305" t="str">
            <v>圣人5分钟加速令</v>
          </cell>
          <cell r="E305">
            <v>8</v>
          </cell>
          <cell r="F305">
            <v>1</v>
          </cell>
          <cell r="G305">
            <v>1</v>
          </cell>
          <cell r="H305">
            <v>0.4</v>
          </cell>
          <cell r="I305">
            <v>8</v>
          </cell>
          <cell r="J305">
            <v>8</v>
          </cell>
          <cell r="K305">
            <v>3.2</v>
          </cell>
          <cell r="L305" t="str">
            <v>使用后士兵训练加速5分钟</v>
          </cell>
        </row>
        <row r="306">
          <cell r="C306">
            <v>21142</v>
          </cell>
          <cell r="D306" t="str">
            <v>圣人20分钟加速令</v>
          </cell>
          <cell r="E306">
            <v>20</v>
          </cell>
          <cell r="F306">
            <v>1</v>
          </cell>
          <cell r="G306">
            <v>1</v>
          </cell>
          <cell r="H306">
            <v>0.5</v>
          </cell>
          <cell r="I306">
            <v>20</v>
          </cell>
          <cell r="J306">
            <v>20</v>
          </cell>
          <cell r="K306">
            <v>10</v>
          </cell>
          <cell r="L306" t="str">
            <v>使用后士兵训练加速20分钟</v>
          </cell>
        </row>
        <row r="307">
          <cell r="C307">
            <v>21143</v>
          </cell>
          <cell r="D307" t="str">
            <v>圣人1小时加速令</v>
          </cell>
          <cell r="E307">
            <v>50</v>
          </cell>
          <cell r="F307">
            <v>1.2</v>
          </cell>
          <cell r="G307">
            <v>1</v>
          </cell>
          <cell r="H307">
            <v>0.6</v>
          </cell>
          <cell r="I307">
            <v>60</v>
          </cell>
          <cell r="J307">
            <v>50</v>
          </cell>
          <cell r="K307">
            <v>30</v>
          </cell>
          <cell r="L307" t="str">
            <v>使用后士兵训练加速1小时</v>
          </cell>
        </row>
        <row r="308">
          <cell r="C308">
            <v>21144</v>
          </cell>
          <cell r="D308" t="str">
            <v>圣人3小时加速令</v>
          </cell>
          <cell r="E308">
            <v>100</v>
          </cell>
          <cell r="F308">
            <v>1.8</v>
          </cell>
          <cell r="G308">
            <v>1</v>
          </cell>
          <cell r="H308">
            <v>0.8</v>
          </cell>
          <cell r="I308">
            <v>180</v>
          </cell>
          <cell r="J308">
            <v>100</v>
          </cell>
          <cell r="K308">
            <v>80</v>
          </cell>
          <cell r="L308" t="str">
            <v>使用后士兵训练加速3小时</v>
          </cell>
        </row>
        <row r="309">
          <cell r="C309">
            <v>21145</v>
          </cell>
          <cell r="D309" t="str">
            <v>圣人8小时加速令</v>
          </cell>
          <cell r="E309">
            <v>160</v>
          </cell>
          <cell r="F309">
            <v>3</v>
          </cell>
          <cell r="G309">
            <v>1</v>
          </cell>
          <cell r="H309">
            <v>1</v>
          </cell>
          <cell r="I309">
            <v>480</v>
          </cell>
          <cell r="J309">
            <v>160</v>
          </cell>
          <cell r="K309">
            <v>160</v>
          </cell>
          <cell r="L309" t="str">
            <v>使用后士兵训练加速8小时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21125</v>
          </cell>
          <cell r="D311" t="str">
            <v>通用1分钟加速令</v>
          </cell>
          <cell r="E311">
            <v>2</v>
          </cell>
          <cell r="F311">
            <v>1</v>
          </cell>
          <cell r="G311">
            <v>1</v>
          </cell>
          <cell r="H311">
            <v>0.3</v>
          </cell>
          <cell r="I311">
            <v>2</v>
          </cell>
          <cell r="J311">
            <v>2</v>
          </cell>
          <cell r="K311">
            <v>0.6</v>
          </cell>
          <cell r="L311" t="str">
            <v>使用后任意队列加速1分钟</v>
          </cell>
        </row>
        <row r="312">
          <cell r="C312">
            <v>21126</v>
          </cell>
          <cell r="D312" t="str">
            <v>通用5分钟加速令</v>
          </cell>
          <cell r="E312">
            <v>8</v>
          </cell>
          <cell r="F312">
            <v>1</v>
          </cell>
          <cell r="G312">
            <v>1</v>
          </cell>
          <cell r="H312">
            <v>0.4</v>
          </cell>
          <cell r="I312">
            <v>8</v>
          </cell>
          <cell r="J312">
            <v>8</v>
          </cell>
          <cell r="K312">
            <v>3.2</v>
          </cell>
          <cell r="L312" t="str">
            <v>使用后任意队列加速5分钟</v>
          </cell>
        </row>
        <row r="313">
          <cell r="C313">
            <v>21127</v>
          </cell>
          <cell r="D313" t="str">
            <v>通用20分钟加速令</v>
          </cell>
          <cell r="E313">
            <v>20</v>
          </cell>
          <cell r="F313">
            <v>1</v>
          </cell>
          <cell r="G313">
            <v>1</v>
          </cell>
          <cell r="H313">
            <v>0.5</v>
          </cell>
          <cell r="I313">
            <v>20</v>
          </cell>
          <cell r="J313">
            <v>20</v>
          </cell>
          <cell r="K313">
            <v>10</v>
          </cell>
          <cell r="L313" t="str">
            <v>使用后任意队列加速20分钟</v>
          </cell>
        </row>
        <row r="314">
          <cell r="C314">
            <v>21128</v>
          </cell>
          <cell r="D314" t="str">
            <v>通用1小时加速令</v>
          </cell>
          <cell r="E314">
            <v>50</v>
          </cell>
          <cell r="F314">
            <v>1.2</v>
          </cell>
          <cell r="G314">
            <v>1</v>
          </cell>
          <cell r="H314">
            <v>0.6</v>
          </cell>
          <cell r="I314">
            <v>60</v>
          </cell>
          <cell r="J314">
            <v>50</v>
          </cell>
          <cell r="K314">
            <v>30</v>
          </cell>
          <cell r="L314" t="str">
            <v>使用后任意队列加速1小时</v>
          </cell>
        </row>
        <row r="315">
          <cell r="C315">
            <v>21129</v>
          </cell>
          <cell r="D315" t="str">
            <v>通用3小时加速令</v>
          </cell>
          <cell r="E315">
            <v>100</v>
          </cell>
          <cell r="F315">
            <v>1.8</v>
          </cell>
          <cell r="G315">
            <v>1</v>
          </cell>
          <cell r="H315">
            <v>0.8</v>
          </cell>
          <cell r="I315">
            <v>180</v>
          </cell>
          <cell r="J315">
            <v>100</v>
          </cell>
          <cell r="K315">
            <v>80</v>
          </cell>
          <cell r="L315" t="str">
            <v>使用后任意队列加速3小时</v>
          </cell>
        </row>
        <row r="316">
          <cell r="C316">
            <v>21138</v>
          </cell>
          <cell r="D316" t="str">
            <v>通用8小时加速令</v>
          </cell>
          <cell r="E316">
            <v>160</v>
          </cell>
          <cell r="F316">
            <v>3</v>
          </cell>
          <cell r="G316">
            <v>1</v>
          </cell>
          <cell r="H316">
            <v>1</v>
          </cell>
          <cell r="I316">
            <v>480</v>
          </cell>
          <cell r="J316">
            <v>160</v>
          </cell>
          <cell r="K316">
            <v>160</v>
          </cell>
          <cell r="L316" t="str">
            <v>使用后任意队列加速8小时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21150</v>
          </cell>
          <cell r="D319" t="str">
            <v>初级装备淬炼</v>
          </cell>
          <cell r="E319">
            <v>10</v>
          </cell>
          <cell r="F319">
            <v>1</v>
          </cell>
          <cell r="G319">
            <v>1</v>
          </cell>
          <cell r="H319">
            <v>0.3</v>
          </cell>
          <cell r="I319">
            <v>10</v>
          </cell>
          <cell r="J319">
            <v>10</v>
          </cell>
          <cell r="K319">
            <v>3</v>
          </cell>
          <cell r="L319" t="str">
            <v>装备使用后获得10经验</v>
          </cell>
        </row>
        <row r="320">
          <cell r="C320">
            <v>21151</v>
          </cell>
          <cell r="D320" t="str">
            <v>中级装备淬炼</v>
          </cell>
          <cell r="E320">
            <v>20</v>
          </cell>
          <cell r="F320">
            <v>1</v>
          </cell>
          <cell r="G320">
            <v>1</v>
          </cell>
          <cell r="H320">
            <v>0.3</v>
          </cell>
          <cell r="I320">
            <v>20</v>
          </cell>
          <cell r="J320">
            <v>20</v>
          </cell>
          <cell r="K320">
            <v>6</v>
          </cell>
          <cell r="L320" t="str">
            <v>装备使用后获得20经验</v>
          </cell>
        </row>
        <row r="321">
          <cell r="C321">
            <v>21152</v>
          </cell>
          <cell r="D321" t="str">
            <v>高级装备淬炼</v>
          </cell>
          <cell r="E321">
            <v>40</v>
          </cell>
          <cell r="F321">
            <v>1</v>
          </cell>
          <cell r="G321">
            <v>1</v>
          </cell>
          <cell r="H321">
            <v>0.3</v>
          </cell>
          <cell r="I321">
            <v>40</v>
          </cell>
          <cell r="J321">
            <v>40</v>
          </cell>
          <cell r="K321">
            <v>12</v>
          </cell>
          <cell r="L321" t="str">
            <v>装备使用后获得40经验</v>
          </cell>
        </row>
        <row r="322">
          <cell r="C322">
            <v>21153</v>
          </cell>
          <cell r="D322" t="str">
            <v>特级装备淬炼</v>
          </cell>
          <cell r="E322">
            <v>75</v>
          </cell>
          <cell r="F322">
            <v>1.25</v>
          </cell>
          <cell r="G322">
            <v>1</v>
          </cell>
          <cell r="H322">
            <v>0.3</v>
          </cell>
          <cell r="I322">
            <v>93.75</v>
          </cell>
          <cell r="J322">
            <v>75</v>
          </cell>
          <cell r="K322">
            <v>22.5</v>
          </cell>
          <cell r="L322" t="str">
            <v>装备使用后获得75经验</v>
          </cell>
        </row>
        <row r="323">
          <cell r="C323">
            <v>21154</v>
          </cell>
          <cell r="D323" t="str">
            <v>超级装备淬炼</v>
          </cell>
          <cell r="E323">
            <v>150</v>
          </cell>
          <cell r="F323">
            <v>1.5</v>
          </cell>
          <cell r="G323">
            <v>1</v>
          </cell>
          <cell r="H323">
            <v>0.3</v>
          </cell>
          <cell r="I323">
            <v>225</v>
          </cell>
          <cell r="J323">
            <v>150</v>
          </cell>
          <cell r="K323">
            <v>45</v>
          </cell>
          <cell r="L323" t="str">
            <v>装备使用后获得150经验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>
            <v>21500</v>
          </cell>
          <cell r="D325" t="str">
            <v>随机迁城令</v>
          </cell>
          <cell r="E325">
            <v>100</v>
          </cell>
          <cell r="F325">
            <v>1</v>
          </cell>
          <cell r="G325">
            <v>1</v>
          </cell>
          <cell r="H325">
            <v>1</v>
          </cell>
          <cell r="I325">
            <v>100</v>
          </cell>
          <cell r="J325">
            <v>100</v>
          </cell>
          <cell r="K325">
            <v>100</v>
          </cell>
          <cell r="L325" t="str">
            <v>使用后城池迁移到随机位置</v>
          </cell>
        </row>
        <row r="326">
          <cell r="C326">
            <v>21501</v>
          </cell>
          <cell r="D326" t="str">
            <v>九州迁城令</v>
          </cell>
          <cell r="E326">
            <v>300</v>
          </cell>
          <cell r="F326">
            <v>1</v>
          </cell>
          <cell r="G326">
            <v>1</v>
          </cell>
          <cell r="H326">
            <v>1</v>
          </cell>
          <cell r="I326">
            <v>300</v>
          </cell>
          <cell r="J326">
            <v>300</v>
          </cell>
          <cell r="K326">
            <v>300</v>
          </cell>
          <cell r="L326" t="str">
            <v>使用后城池迁移到指定位置</v>
          </cell>
        </row>
        <row r="327">
          <cell r="C327">
            <v>21504</v>
          </cell>
          <cell r="D327" t="str">
            <v>国内迁城令</v>
          </cell>
          <cell r="E327">
            <v>100</v>
          </cell>
          <cell r="F327">
            <v>1</v>
          </cell>
          <cell r="G327">
            <v>1</v>
          </cell>
          <cell r="H327">
            <v>1</v>
          </cell>
          <cell r="I327">
            <v>100</v>
          </cell>
          <cell r="J327">
            <v>100</v>
          </cell>
          <cell r="K327">
            <v>100</v>
          </cell>
          <cell r="L327" t="str">
            <v>使用后城池迁移到国内指定位置</v>
          </cell>
        </row>
        <row r="328">
          <cell r="C328">
            <v>21502</v>
          </cell>
          <cell r="D328" t="str">
            <v>校武牌</v>
          </cell>
          <cell r="E328">
            <v>20</v>
          </cell>
          <cell r="F328">
            <v>1</v>
          </cell>
          <cell r="G328">
            <v>1</v>
          </cell>
          <cell r="H328">
            <v>1</v>
          </cell>
          <cell r="I328">
            <v>20</v>
          </cell>
          <cell r="J328">
            <v>20</v>
          </cell>
          <cell r="K328">
            <v>20</v>
          </cell>
          <cell r="L328" t="str">
            <v>使用后增加1次校场挑战机会</v>
          </cell>
        </row>
        <row r="329">
          <cell r="C329">
            <v>21503</v>
          </cell>
          <cell r="D329" t="str">
            <v>复仇令</v>
          </cell>
          <cell r="E329">
            <v>50</v>
          </cell>
          <cell r="F329">
            <v>1</v>
          </cell>
          <cell r="G329">
            <v>1</v>
          </cell>
          <cell r="H329">
            <v>1</v>
          </cell>
          <cell r="I329">
            <v>50</v>
          </cell>
          <cell r="J329">
            <v>50</v>
          </cell>
          <cell r="K329">
            <v>50</v>
          </cell>
          <cell r="L329" t="str">
            <v>被其他玩家攻击后，可以通过复仇令追查到该玩家城池所在坐标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>
            <v>26400</v>
          </cell>
          <cell r="D331" t="str">
            <v>步兵虎符</v>
          </cell>
          <cell r="E331">
            <v>200</v>
          </cell>
          <cell r="F331">
            <v>1</v>
          </cell>
          <cell r="G331">
            <v>1</v>
          </cell>
          <cell r="H331">
            <v>1</v>
          </cell>
          <cell r="I331">
            <v>200</v>
          </cell>
          <cell r="J331">
            <v>200</v>
          </cell>
          <cell r="K331">
            <v>200</v>
          </cell>
          <cell r="L331" t="str">
            <v>使用后立即获得10000步兵新兵</v>
          </cell>
        </row>
        <row r="332">
          <cell r="C332">
            <v>26401</v>
          </cell>
          <cell r="D332" t="str">
            <v>骑兵虎符</v>
          </cell>
          <cell r="E332">
            <v>200</v>
          </cell>
          <cell r="F332">
            <v>1</v>
          </cell>
          <cell r="G332">
            <v>1</v>
          </cell>
          <cell r="H332">
            <v>1</v>
          </cell>
          <cell r="I332">
            <v>200</v>
          </cell>
          <cell r="J332">
            <v>200</v>
          </cell>
          <cell r="K332">
            <v>200</v>
          </cell>
          <cell r="L332" t="str">
            <v>使用后立即获得10000骑兵新兵</v>
          </cell>
        </row>
        <row r="333">
          <cell r="C333">
            <v>26402</v>
          </cell>
          <cell r="D333" t="str">
            <v>弓箭虎符</v>
          </cell>
          <cell r="E333">
            <v>200</v>
          </cell>
          <cell r="F333">
            <v>1</v>
          </cell>
          <cell r="G333">
            <v>1</v>
          </cell>
          <cell r="H333">
            <v>1</v>
          </cell>
          <cell r="I333">
            <v>200</v>
          </cell>
          <cell r="J333">
            <v>200</v>
          </cell>
          <cell r="K333">
            <v>200</v>
          </cell>
          <cell r="L333" t="str">
            <v>使用后立即获得10000弓箭新兵</v>
          </cell>
        </row>
        <row r="334">
          <cell r="C334">
            <v>26403</v>
          </cell>
          <cell r="D334" t="str">
            <v>器械虎符</v>
          </cell>
          <cell r="E334">
            <v>200</v>
          </cell>
          <cell r="F334">
            <v>1</v>
          </cell>
          <cell r="G334">
            <v>1</v>
          </cell>
          <cell r="H334">
            <v>1</v>
          </cell>
          <cell r="I334">
            <v>200</v>
          </cell>
          <cell r="J334">
            <v>200</v>
          </cell>
          <cell r="K334">
            <v>200</v>
          </cell>
          <cell r="L334" t="str">
            <v>使用后立即获得10000器械兵新兵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26500</v>
          </cell>
          <cell r="D336" t="str">
            <v>兵法宝箱</v>
          </cell>
          <cell r="E336">
            <v>250</v>
          </cell>
          <cell r="F336">
            <v>1</v>
          </cell>
          <cell r="G336">
            <v>1</v>
          </cell>
          <cell r="H336">
            <v>1</v>
          </cell>
          <cell r="I336">
            <v>250</v>
          </cell>
          <cell r="J336">
            <v>250</v>
          </cell>
          <cell r="K336">
            <v>250</v>
          </cell>
          <cell r="L336" t="str">
            <v>使用后随机获得1个兵法</v>
          </cell>
        </row>
        <row r="337">
          <cell r="C337">
            <v>26501</v>
          </cell>
          <cell r="D337" t="str">
            <v>蓝色兵法宝箱</v>
          </cell>
          <cell r="E337">
            <v>50</v>
          </cell>
          <cell r="F337">
            <v>1</v>
          </cell>
          <cell r="G337">
            <v>1</v>
          </cell>
          <cell r="H337">
            <v>1</v>
          </cell>
          <cell r="I337">
            <v>50</v>
          </cell>
          <cell r="J337">
            <v>50</v>
          </cell>
          <cell r="K337">
            <v>50</v>
          </cell>
          <cell r="L337" t="str">
            <v>使用后随机获得1个蓝色品质兵法</v>
          </cell>
        </row>
        <row r="338">
          <cell r="C338">
            <v>26502</v>
          </cell>
          <cell r="D338" t="str">
            <v>紫色兵法宝箱</v>
          </cell>
          <cell r="E338">
            <v>500</v>
          </cell>
          <cell r="F338">
            <v>1</v>
          </cell>
          <cell r="G338">
            <v>1</v>
          </cell>
          <cell r="H338">
            <v>1</v>
          </cell>
          <cell r="I338">
            <v>500</v>
          </cell>
          <cell r="J338">
            <v>500</v>
          </cell>
          <cell r="K338">
            <v>500</v>
          </cell>
          <cell r="L338" t="str">
            <v>使用后随机获得1个紫色品质兵法</v>
          </cell>
        </row>
        <row r="339">
          <cell r="C339">
            <v>26503</v>
          </cell>
          <cell r="D339" t="str">
            <v>橙色兵法宝箱</v>
          </cell>
          <cell r="E339">
            <v>1680</v>
          </cell>
          <cell r="F339">
            <v>1</v>
          </cell>
          <cell r="G339">
            <v>1</v>
          </cell>
          <cell r="H339">
            <v>1</v>
          </cell>
          <cell r="I339">
            <v>1680</v>
          </cell>
          <cell r="J339">
            <v>1680</v>
          </cell>
          <cell r="K339">
            <v>1680</v>
          </cell>
          <cell r="L339" t="str">
            <v>使用后随机获得1个橙色品质兵法</v>
          </cell>
        </row>
        <row r="340">
          <cell r="C340">
            <v>26504</v>
          </cell>
          <cell r="D340" t="str">
            <v>红色兵法宝箱</v>
          </cell>
          <cell r="E340">
            <v>14100</v>
          </cell>
          <cell r="F340">
            <v>1</v>
          </cell>
          <cell r="G340">
            <v>1</v>
          </cell>
          <cell r="H340">
            <v>1</v>
          </cell>
          <cell r="I340">
            <v>14100</v>
          </cell>
          <cell r="J340">
            <v>14100</v>
          </cell>
          <cell r="K340">
            <v>14100</v>
          </cell>
          <cell r="L340" t="str">
            <v>使用后随机获得1个红色品质兵法</v>
          </cell>
        </row>
        <row r="341">
          <cell r="C341" t="str">
            <v/>
          </cell>
          <cell r="D341" t="str">
            <v>指定or任选蓝色兵法</v>
          </cell>
          <cell r="E341">
            <v>35</v>
          </cell>
          <cell r="F341">
            <v>1</v>
          </cell>
          <cell r="G341">
            <v>1</v>
          </cell>
          <cell r="H341">
            <v>1</v>
          </cell>
          <cell r="I341">
            <v>35</v>
          </cell>
          <cell r="J341">
            <v>35</v>
          </cell>
          <cell r="K341">
            <v>35</v>
          </cell>
          <cell r="L341" t="str">
            <v/>
          </cell>
        </row>
        <row r="342">
          <cell r="C342" t="str">
            <v/>
          </cell>
          <cell r="D342" t="str">
            <v>指定or任选紫色兵法</v>
          </cell>
          <cell r="E342">
            <v>750</v>
          </cell>
          <cell r="F342">
            <v>1</v>
          </cell>
          <cell r="G342">
            <v>1</v>
          </cell>
          <cell r="H342">
            <v>1</v>
          </cell>
          <cell r="I342">
            <v>750</v>
          </cell>
          <cell r="J342">
            <v>750</v>
          </cell>
          <cell r="K342">
            <v>750</v>
          </cell>
          <cell r="L342" t="str">
            <v/>
          </cell>
        </row>
        <row r="343">
          <cell r="C343" t="str">
            <v/>
          </cell>
          <cell r="D343" t="str">
            <v>指定or任选橙色兵法</v>
          </cell>
          <cell r="E343">
            <v>3350</v>
          </cell>
          <cell r="F343">
            <v>1</v>
          </cell>
          <cell r="G343">
            <v>1</v>
          </cell>
          <cell r="H343">
            <v>1</v>
          </cell>
          <cell r="I343">
            <v>3350</v>
          </cell>
          <cell r="J343">
            <v>3350</v>
          </cell>
          <cell r="K343">
            <v>3350</v>
          </cell>
          <cell r="L343" t="str">
            <v/>
          </cell>
        </row>
        <row r="344">
          <cell r="C344" t="str">
            <v/>
          </cell>
          <cell r="D344" t="str">
            <v>指定or任选红色兵法</v>
          </cell>
          <cell r="E344">
            <v>9165</v>
          </cell>
          <cell r="F344">
            <v>1</v>
          </cell>
          <cell r="G344">
            <v>1</v>
          </cell>
          <cell r="H344">
            <v>1</v>
          </cell>
          <cell r="I344">
            <v>9165</v>
          </cell>
          <cell r="J344">
            <v>9165</v>
          </cell>
          <cell r="K344">
            <v>9165</v>
          </cell>
          <cell r="L344" t="str">
            <v/>
          </cell>
        </row>
        <row r="345">
          <cell r="C345">
            <v>26505</v>
          </cell>
          <cell r="D345" t="str">
            <v>兵家信物</v>
          </cell>
          <cell r="E345">
            <v>300</v>
          </cell>
          <cell r="F345">
            <v>1</v>
          </cell>
          <cell r="G345">
            <v>1</v>
          </cell>
          <cell r="H345">
            <v>1</v>
          </cell>
          <cell r="I345">
            <v>300</v>
          </cell>
          <cell r="J345">
            <v>300</v>
          </cell>
          <cell r="K345">
            <v>300</v>
          </cell>
          <cell r="L345" t="str">
            <v>抽取兵法时消耗的道具（赠送10个5分钟通用加速）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</row>
        <row r="348">
          <cell r="C348">
            <v>26520</v>
          </cell>
          <cell r="D348" t="str">
            <v>紫色兵法自选宝箱</v>
          </cell>
          <cell r="E348">
            <v>750</v>
          </cell>
          <cell r="F348">
            <v>1</v>
          </cell>
          <cell r="G348">
            <v>1</v>
          </cell>
          <cell r="H348">
            <v>1</v>
          </cell>
          <cell r="I348">
            <v>750</v>
          </cell>
          <cell r="J348">
            <v>750</v>
          </cell>
          <cell r="K348">
            <v>750</v>
          </cell>
          <cell r="L348" t="str">
            <v>使用后可选择一个紫色兵法。紫色兵法：攻其不备、出奇制胜、破军夺志</v>
          </cell>
        </row>
        <row r="349">
          <cell r="C349">
            <v>26521</v>
          </cell>
          <cell r="D349" t="str">
            <v>橙色兵法自选宝箱</v>
          </cell>
          <cell r="E349">
            <v>3350</v>
          </cell>
          <cell r="F349">
            <v>1</v>
          </cell>
          <cell r="G349">
            <v>1</v>
          </cell>
          <cell r="H349">
            <v>1</v>
          </cell>
          <cell r="I349">
            <v>3350</v>
          </cell>
          <cell r="J349">
            <v>3350</v>
          </cell>
          <cell r="K349">
            <v>3350</v>
          </cell>
          <cell r="L349" t="str">
            <v>使用后可选择一个橙色兵法。橙色兵法：援军秘策、养精蓄锐、退敌千里、奇佐鬼谋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</row>
        <row r="351">
          <cell r="C351">
            <v>26551</v>
          </cell>
          <cell r="D351" t="str">
            <v>虎符宝箱</v>
          </cell>
          <cell r="E351">
            <v>160</v>
          </cell>
          <cell r="F351">
            <v>1</v>
          </cell>
          <cell r="G351">
            <v>1</v>
          </cell>
          <cell r="H351">
            <v>1</v>
          </cell>
          <cell r="I351">
            <v>160</v>
          </cell>
          <cell r="J351">
            <v>160</v>
          </cell>
          <cell r="K351">
            <v>160</v>
          </cell>
          <cell r="L351" t="str">
            <v>使用后随机获得1个虎符</v>
          </cell>
        </row>
        <row r="352">
          <cell r="C352">
            <v>26552</v>
          </cell>
          <cell r="D352" t="str">
            <v>1级贡品宝箱</v>
          </cell>
          <cell r="E352">
            <v>40</v>
          </cell>
          <cell r="F352">
            <v>1</v>
          </cell>
          <cell r="G352">
            <v>1</v>
          </cell>
          <cell r="H352">
            <v>1</v>
          </cell>
          <cell r="I352">
            <v>40</v>
          </cell>
          <cell r="J352">
            <v>40</v>
          </cell>
          <cell r="K352">
            <v>40</v>
          </cell>
          <cell r="L352" t="str">
            <v>使用后随机获得铜镜、陶罐中的1个贡品</v>
          </cell>
        </row>
        <row r="353">
          <cell r="C353">
            <v>26553</v>
          </cell>
          <cell r="D353" t="str">
            <v>2级贡品宝箱</v>
          </cell>
          <cell r="E353">
            <v>60</v>
          </cell>
          <cell r="F353">
            <v>1</v>
          </cell>
          <cell r="G353">
            <v>1</v>
          </cell>
          <cell r="H353">
            <v>1</v>
          </cell>
          <cell r="I353">
            <v>60</v>
          </cell>
          <cell r="J353">
            <v>60</v>
          </cell>
          <cell r="K353">
            <v>60</v>
          </cell>
          <cell r="L353" t="str">
            <v>使用后随机获得水晶杯、香鼎、铜壶中的1个贡品</v>
          </cell>
        </row>
        <row r="354">
          <cell r="C354">
            <v>26554</v>
          </cell>
          <cell r="D354" t="str">
            <v>3级贡品宝箱</v>
          </cell>
          <cell r="E354">
            <v>80</v>
          </cell>
          <cell r="F354">
            <v>1</v>
          </cell>
          <cell r="G354">
            <v>1</v>
          </cell>
          <cell r="H354">
            <v>1</v>
          </cell>
          <cell r="I354">
            <v>80</v>
          </cell>
          <cell r="J354">
            <v>80</v>
          </cell>
          <cell r="K354">
            <v>80</v>
          </cell>
          <cell r="L354" t="str">
            <v>使用后随机获得长颈壶、方陶皿、兽头觥、象形尊中的1个贡品</v>
          </cell>
        </row>
        <row r="355">
          <cell r="C355">
            <v>26555</v>
          </cell>
          <cell r="D355" t="str">
            <v>4级贡品宝箱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 t="str">
            <v>使用后随机获得冰鉴、螭首盉、三足爵、鎏金缶中的1个贡品</v>
          </cell>
        </row>
        <row r="356">
          <cell r="C356">
            <v>26556</v>
          </cell>
          <cell r="D356" t="str">
            <v>5级贡品宝箱</v>
          </cell>
          <cell r="E356">
            <v>120</v>
          </cell>
          <cell r="F356">
            <v>1</v>
          </cell>
          <cell r="G356">
            <v>1</v>
          </cell>
          <cell r="H356">
            <v>1</v>
          </cell>
          <cell r="I356">
            <v>120</v>
          </cell>
          <cell r="J356">
            <v>120</v>
          </cell>
          <cell r="K356">
            <v>120</v>
          </cell>
          <cell r="L356" t="str">
            <v>使用后随机获得锦瑟、编钟、石磬、瑶琴中的1个贡品</v>
          </cell>
        </row>
        <row r="357">
          <cell r="C357">
            <v>26557</v>
          </cell>
          <cell r="D357" t="str">
            <v>6级贡品宝箱</v>
          </cell>
          <cell r="E357">
            <v>140</v>
          </cell>
          <cell r="F357">
            <v>1</v>
          </cell>
          <cell r="G357">
            <v>1</v>
          </cell>
          <cell r="H357">
            <v>1</v>
          </cell>
          <cell r="I357">
            <v>140</v>
          </cell>
          <cell r="J357">
            <v>140</v>
          </cell>
          <cell r="K357">
            <v>140</v>
          </cell>
          <cell r="L357" t="str">
            <v>使用后随机获得青圭、赤璋、白琥、玄璜中的1个贡品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</row>
        <row r="359">
          <cell r="C359">
            <v>21251</v>
          </cell>
          <cell r="D359" t="str">
            <v>绿色装备宝箱</v>
          </cell>
          <cell r="E359">
            <v>35</v>
          </cell>
          <cell r="F359">
            <v>1</v>
          </cell>
          <cell r="G359">
            <v>1</v>
          </cell>
          <cell r="H359">
            <v>1</v>
          </cell>
          <cell r="I359">
            <v>35</v>
          </cell>
          <cell r="J359">
            <v>35</v>
          </cell>
          <cell r="K359">
            <v>35</v>
          </cell>
          <cell r="L359" t="str">
            <v>使用后随机获得1件品质为绿色的装备</v>
          </cell>
        </row>
        <row r="360">
          <cell r="C360">
            <v>21252</v>
          </cell>
          <cell r="D360" t="str">
            <v>蓝色装备宝箱</v>
          </cell>
          <cell r="E360">
            <v>75</v>
          </cell>
          <cell r="F360">
            <v>1</v>
          </cell>
          <cell r="G360">
            <v>1</v>
          </cell>
          <cell r="H360">
            <v>1</v>
          </cell>
          <cell r="I360">
            <v>75</v>
          </cell>
          <cell r="J360">
            <v>75</v>
          </cell>
          <cell r="K360">
            <v>75</v>
          </cell>
          <cell r="L360" t="str">
            <v>使用后随机获得1件品质为蓝色的装备</v>
          </cell>
        </row>
        <row r="361">
          <cell r="C361">
            <v>21253</v>
          </cell>
          <cell r="D361" t="str">
            <v>紫色装备宝箱</v>
          </cell>
          <cell r="E361">
            <v>150</v>
          </cell>
          <cell r="F361">
            <v>1</v>
          </cell>
          <cell r="G361">
            <v>1</v>
          </cell>
          <cell r="H361">
            <v>1</v>
          </cell>
          <cell r="I361">
            <v>150</v>
          </cell>
          <cell r="J361">
            <v>150</v>
          </cell>
          <cell r="K361">
            <v>150</v>
          </cell>
          <cell r="L361" t="str">
            <v>使用后随机获得1件品质为紫色的装备</v>
          </cell>
        </row>
        <row r="362">
          <cell r="C362">
            <v>21254</v>
          </cell>
          <cell r="D362" t="str">
            <v>橙色装备宝箱</v>
          </cell>
          <cell r="E362">
            <v>320</v>
          </cell>
          <cell r="F362">
            <v>1</v>
          </cell>
          <cell r="G362">
            <v>1</v>
          </cell>
          <cell r="H362">
            <v>1</v>
          </cell>
          <cell r="I362">
            <v>320</v>
          </cell>
          <cell r="J362">
            <v>320</v>
          </cell>
          <cell r="K362">
            <v>320</v>
          </cell>
          <cell r="L362" t="str">
            <v>使用后随机获得1件品质为橙色的装备</v>
          </cell>
        </row>
        <row r="363">
          <cell r="C363">
            <v>21255</v>
          </cell>
          <cell r="D363" t="str">
            <v>红色装备宝箱</v>
          </cell>
          <cell r="E363">
            <v>2400</v>
          </cell>
          <cell r="F363">
            <v>1</v>
          </cell>
          <cell r="G363">
            <v>1</v>
          </cell>
          <cell r="H363">
            <v>1</v>
          </cell>
          <cell r="I363">
            <v>2400</v>
          </cell>
          <cell r="J363">
            <v>2400</v>
          </cell>
          <cell r="K363">
            <v>2400</v>
          </cell>
          <cell r="L363" t="str">
            <v>使用后随机获得1件品质为红色的装备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>
            <v>20052</v>
          </cell>
          <cell r="D365" t="str">
            <v>练军心得·觉</v>
          </cell>
          <cell r="E365">
            <v>40</v>
          </cell>
          <cell r="F365">
            <v>1</v>
          </cell>
          <cell r="G365">
            <v>1</v>
          </cell>
          <cell r="H365">
            <v>1</v>
          </cell>
          <cell r="I365">
            <v>40</v>
          </cell>
          <cell r="J365">
            <v>40</v>
          </cell>
          <cell r="K365">
            <v>40</v>
          </cell>
          <cell r="L365" t="str">
            <v>掌军之策，厉兵秣马，可用于武将觉醒</v>
          </cell>
        </row>
        <row r="366">
          <cell r="C366">
            <v>20053</v>
          </cell>
          <cell r="D366" t="str">
            <v>策论心得·觉</v>
          </cell>
          <cell r="E366">
            <v>40</v>
          </cell>
          <cell r="F366">
            <v>1</v>
          </cell>
          <cell r="G366">
            <v>1</v>
          </cell>
          <cell r="H366">
            <v>1</v>
          </cell>
          <cell r="I366">
            <v>40</v>
          </cell>
          <cell r="J366">
            <v>40</v>
          </cell>
          <cell r="K366">
            <v>40</v>
          </cell>
          <cell r="L366" t="str">
            <v>书山万卷，算无遗策，可用于武将觉醒</v>
          </cell>
        </row>
        <row r="367">
          <cell r="C367">
            <v>20054</v>
          </cell>
          <cell r="D367" t="str">
            <v>兵书心得·觉</v>
          </cell>
          <cell r="E367">
            <v>40</v>
          </cell>
          <cell r="F367">
            <v>1</v>
          </cell>
          <cell r="G367">
            <v>1</v>
          </cell>
          <cell r="H367">
            <v>1</v>
          </cell>
          <cell r="I367">
            <v>40</v>
          </cell>
          <cell r="J367">
            <v>40</v>
          </cell>
          <cell r="K367">
            <v>40</v>
          </cell>
          <cell r="L367" t="str">
            <v>千军万马，文韬武略，可用于武将觉醒</v>
          </cell>
        </row>
        <row r="368">
          <cell r="C368" t="str">
            <v/>
          </cell>
          <cell r="D368" t="str">
            <v/>
          </cell>
          <cell r="E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>
            <v>20055</v>
          </cell>
          <cell r="D369" t="str">
            <v>虎咬佩剑·觉</v>
          </cell>
          <cell r="E369">
            <v>60</v>
          </cell>
          <cell r="F369">
            <v>1</v>
          </cell>
          <cell r="G369">
            <v>1</v>
          </cell>
          <cell r="H369">
            <v>1</v>
          </cell>
          <cell r="I369">
            <v>60</v>
          </cell>
          <cell r="J369">
            <v>60</v>
          </cell>
          <cell r="K369">
            <v>60</v>
          </cell>
          <cell r="L369" t="str">
            <v>卧虎藏龙，剑及履及，可用于武将觉醒</v>
          </cell>
        </row>
        <row r="370">
          <cell r="C370">
            <v>20056</v>
          </cell>
          <cell r="D370" t="str">
            <v>灵蛇佩剑·觉</v>
          </cell>
          <cell r="E370">
            <v>60</v>
          </cell>
          <cell r="F370">
            <v>1</v>
          </cell>
          <cell r="G370">
            <v>1</v>
          </cell>
          <cell r="H370">
            <v>1</v>
          </cell>
          <cell r="I370">
            <v>60</v>
          </cell>
          <cell r="J370">
            <v>60</v>
          </cell>
          <cell r="K370">
            <v>60</v>
          </cell>
          <cell r="L370" t="str">
            <v>灵蛇之珠，剑态箫心，可用于武将觉醒</v>
          </cell>
        </row>
        <row r="371">
          <cell r="C371">
            <v>20057</v>
          </cell>
          <cell r="D371" t="str">
            <v>狼头佩剑·觉</v>
          </cell>
          <cell r="E371">
            <v>60</v>
          </cell>
          <cell r="F371">
            <v>1</v>
          </cell>
          <cell r="G371">
            <v>1</v>
          </cell>
          <cell r="H371">
            <v>1</v>
          </cell>
          <cell r="I371">
            <v>60</v>
          </cell>
          <cell r="J371">
            <v>60</v>
          </cell>
          <cell r="K371">
            <v>60</v>
          </cell>
          <cell r="L371" t="str">
            <v>封狼居胥，剑气纵横，可用于武将觉醒</v>
          </cell>
        </row>
        <row r="372">
          <cell r="C372" t="str">
            <v/>
          </cell>
          <cell r="D372" t="str">
            <v/>
          </cell>
          <cell r="E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</row>
        <row r="373">
          <cell r="C373">
            <v>20059</v>
          </cell>
          <cell r="D373" t="str">
            <v>勇之授印·觉</v>
          </cell>
          <cell r="E373">
            <v>80</v>
          </cell>
          <cell r="F373">
            <v>1</v>
          </cell>
          <cell r="G373">
            <v>1</v>
          </cell>
          <cell r="H373">
            <v>1</v>
          </cell>
          <cell r="I373">
            <v>80</v>
          </cell>
          <cell r="J373">
            <v>80</v>
          </cell>
          <cell r="K373">
            <v>80</v>
          </cell>
          <cell r="L373" t="str">
            <v>拔山盖世，气吞山河，可用于武将觉醒</v>
          </cell>
        </row>
        <row r="374">
          <cell r="C374">
            <v>20060</v>
          </cell>
          <cell r="D374" t="str">
            <v>谋之授印·觉</v>
          </cell>
          <cell r="E374">
            <v>80</v>
          </cell>
          <cell r="F374">
            <v>1</v>
          </cell>
          <cell r="G374">
            <v>1</v>
          </cell>
          <cell r="H374">
            <v>1</v>
          </cell>
          <cell r="I374">
            <v>80</v>
          </cell>
          <cell r="J374">
            <v>80</v>
          </cell>
          <cell r="K374">
            <v>80</v>
          </cell>
          <cell r="L374" t="str">
            <v>渊谋远略，运筹帷幄，可用于武将觉醒</v>
          </cell>
        </row>
        <row r="375">
          <cell r="C375">
            <v>20061</v>
          </cell>
          <cell r="D375" t="str">
            <v>御之授印·觉</v>
          </cell>
          <cell r="E375">
            <v>80</v>
          </cell>
          <cell r="F375">
            <v>1</v>
          </cell>
          <cell r="G375">
            <v>1</v>
          </cell>
          <cell r="H375">
            <v>1</v>
          </cell>
          <cell r="I375">
            <v>80</v>
          </cell>
          <cell r="J375">
            <v>80</v>
          </cell>
          <cell r="K375">
            <v>80</v>
          </cell>
          <cell r="L375" t="str">
            <v>御下有方，论功行赏，可用于武将觉醒</v>
          </cell>
        </row>
        <row r="376">
          <cell r="C376" t="str">
            <v/>
          </cell>
          <cell r="D376" t="str">
            <v/>
          </cell>
          <cell r="E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</row>
        <row r="377">
          <cell r="C377">
            <v>20064</v>
          </cell>
          <cell r="D377" t="str">
            <v>战阵精研·极</v>
          </cell>
          <cell r="E377">
            <v>100</v>
          </cell>
          <cell r="F377">
            <v>1</v>
          </cell>
          <cell r="G377">
            <v>1</v>
          </cell>
          <cell r="H377">
            <v>1</v>
          </cell>
          <cell r="I377">
            <v>100</v>
          </cell>
          <cell r="J377">
            <v>100</v>
          </cell>
          <cell r="K377">
            <v>100</v>
          </cell>
          <cell r="L377" t="str">
            <v>行兵布阵，勇往直前，可用于武将觉醒</v>
          </cell>
        </row>
        <row r="378">
          <cell r="C378">
            <v>20065</v>
          </cell>
          <cell r="D378" t="str">
            <v>谋略精研·极</v>
          </cell>
          <cell r="E378">
            <v>100</v>
          </cell>
          <cell r="F378">
            <v>1</v>
          </cell>
          <cell r="G378">
            <v>1</v>
          </cell>
          <cell r="H378">
            <v>1</v>
          </cell>
          <cell r="I378">
            <v>100</v>
          </cell>
          <cell r="J378">
            <v>100</v>
          </cell>
          <cell r="K378">
            <v>100</v>
          </cell>
          <cell r="L378" t="str">
            <v>目达耳通，上兵伐谋，可用于武将觉醒</v>
          </cell>
        </row>
        <row r="379">
          <cell r="C379">
            <v>20066</v>
          </cell>
          <cell r="D379" t="str">
            <v>御军精研·极</v>
          </cell>
          <cell r="E379">
            <v>100</v>
          </cell>
          <cell r="F379">
            <v>1</v>
          </cell>
          <cell r="G379">
            <v>1</v>
          </cell>
          <cell r="H379">
            <v>1</v>
          </cell>
          <cell r="I379">
            <v>100</v>
          </cell>
          <cell r="J379">
            <v>100</v>
          </cell>
          <cell r="K379">
            <v>100</v>
          </cell>
          <cell r="L379" t="str">
            <v>持筹握算，精兵简政，可用于武将觉醒</v>
          </cell>
        </row>
        <row r="380">
          <cell r="C380" t="str">
            <v/>
          </cell>
          <cell r="D380" t="str">
            <v/>
          </cell>
          <cell r="E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</row>
        <row r="381">
          <cell r="C381">
            <v>20070</v>
          </cell>
          <cell r="D381" t="str">
            <v>白虎白琥·极</v>
          </cell>
          <cell r="E381">
            <v>120</v>
          </cell>
          <cell r="F381">
            <v>1</v>
          </cell>
          <cell r="G381">
            <v>1</v>
          </cell>
          <cell r="H381">
            <v>1</v>
          </cell>
          <cell r="I381">
            <v>120</v>
          </cell>
          <cell r="J381">
            <v>120</v>
          </cell>
          <cell r="K381">
            <v>120</v>
          </cell>
          <cell r="L381" t="str">
            <v>形神兼备，虎啸龙吟，可用于武将觉醒</v>
          </cell>
        </row>
        <row r="382">
          <cell r="C382">
            <v>20071</v>
          </cell>
          <cell r="D382" t="str">
            <v>朱雀赤璋·极</v>
          </cell>
          <cell r="E382">
            <v>120</v>
          </cell>
          <cell r="F382">
            <v>1</v>
          </cell>
          <cell r="G382">
            <v>1</v>
          </cell>
          <cell r="H382">
            <v>1</v>
          </cell>
          <cell r="I382">
            <v>120</v>
          </cell>
          <cell r="J382">
            <v>120</v>
          </cell>
          <cell r="K382">
            <v>120</v>
          </cell>
          <cell r="L382" t="str">
            <v>烈火真金，朱雀玄武，可用于武将觉醒</v>
          </cell>
        </row>
        <row r="383">
          <cell r="C383">
            <v>20072</v>
          </cell>
          <cell r="D383" t="str">
            <v>青龙青圭·极</v>
          </cell>
          <cell r="E383">
            <v>120</v>
          </cell>
          <cell r="F383">
            <v>1</v>
          </cell>
          <cell r="G383">
            <v>1</v>
          </cell>
          <cell r="H383">
            <v>1</v>
          </cell>
          <cell r="I383">
            <v>120</v>
          </cell>
          <cell r="J383">
            <v>120</v>
          </cell>
          <cell r="K383">
            <v>120</v>
          </cell>
          <cell r="L383" t="str">
            <v>青云直上，龙飞凤舞，可用于武将觉醒</v>
          </cell>
        </row>
        <row r="384">
          <cell r="C384" t="str">
            <v/>
          </cell>
          <cell r="D384" t="str">
            <v/>
          </cell>
          <cell r="E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</row>
        <row r="385">
          <cell r="C385">
            <v>20077</v>
          </cell>
          <cell r="D385" t="str">
            <v>战将护符·极</v>
          </cell>
          <cell r="E385">
            <v>140</v>
          </cell>
          <cell r="F385">
            <v>1</v>
          </cell>
          <cell r="G385">
            <v>1</v>
          </cell>
          <cell r="H385">
            <v>1</v>
          </cell>
          <cell r="I385">
            <v>140</v>
          </cell>
          <cell r="J385">
            <v>140</v>
          </cell>
          <cell r="K385">
            <v>140</v>
          </cell>
          <cell r="L385" t="str">
            <v>王侯将相，功成名就，可用于武将觉醒</v>
          </cell>
        </row>
        <row r="386">
          <cell r="C386">
            <v>20078</v>
          </cell>
          <cell r="D386" t="str">
            <v>军师护符·极</v>
          </cell>
          <cell r="E386">
            <v>140</v>
          </cell>
          <cell r="F386">
            <v>1</v>
          </cell>
          <cell r="G386">
            <v>1</v>
          </cell>
          <cell r="H386">
            <v>1</v>
          </cell>
          <cell r="I386">
            <v>140</v>
          </cell>
          <cell r="J386">
            <v>140</v>
          </cell>
          <cell r="K386">
            <v>140</v>
          </cell>
          <cell r="L386" t="str">
            <v>神机妙算，才华横溢，可用于武将觉醒</v>
          </cell>
        </row>
        <row r="387">
          <cell r="C387">
            <v>20079</v>
          </cell>
          <cell r="D387" t="str">
            <v>统帅护符·极</v>
          </cell>
          <cell r="E387">
            <v>140</v>
          </cell>
          <cell r="F387">
            <v>1</v>
          </cell>
          <cell r="G387">
            <v>1</v>
          </cell>
          <cell r="H387">
            <v>1</v>
          </cell>
          <cell r="I387">
            <v>140</v>
          </cell>
          <cell r="J387">
            <v>140</v>
          </cell>
          <cell r="K387">
            <v>140</v>
          </cell>
          <cell r="L387" t="str">
            <v>号令如山，统帅三军，可用于武将觉醒</v>
          </cell>
        </row>
        <row r="388">
          <cell r="C388" t="str">
            <v/>
          </cell>
          <cell r="D388" t="str">
            <v/>
          </cell>
          <cell r="E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</row>
        <row r="389">
          <cell r="C389" t="str">
            <v/>
          </cell>
          <cell r="D389" t="str">
            <v/>
          </cell>
          <cell r="E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>
            <v>23001</v>
          </cell>
          <cell r="D390" t="str">
            <v>紫色步将自选宝箱</v>
          </cell>
          <cell r="E390">
            <v>600</v>
          </cell>
          <cell r="F390">
            <v>1</v>
          </cell>
          <cell r="G390">
            <v>1</v>
          </cell>
          <cell r="H390">
            <v>1</v>
          </cell>
          <cell r="I390">
            <v>600</v>
          </cell>
          <cell r="J390">
            <v>600</v>
          </cell>
          <cell r="K390">
            <v>600</v>
          </cell>
          <cell r="L390" t="str">
            <v>使用后选择获得一个紫色步将</v>
          </cell>
        </row>
        <row r="391">
          <cell r="C391">
            <v>23002</v>
          </cell>
          <cell r="D391" t="str">
            <v>橙色步将自选宝箱</v>
          </cell>
          <cell r="E391">
            <v>4800</v>
          </cell>
          <cell r="F391">
            <v>1</v>
          </cell>
          <cell r="G391">
            <v>1</v>
          </cell>
          <cell r="H391">
            <v>1</v>
          </cell>
          <cell r="I391">
            <v>4800</v>
          </cell>
          <cell r="J391">
            <v>4800</v>
          </cell>
          <cell r="K391">
            <v>4800</v>
          </cell>
          <cell r="L391" t="str">
            <v>使用后选择获得一个橙色武将</v>
          </cell>
        </row>
        <row r="392">
          <cell r="C392">
            <v>23003</v>
          </cell>
          <cell r="D392" t="str">
            <v>红色步将自选宝箱</v>
          </cell>
          <cell r="E392">
            <v>14400</v>
          </cell>
          <cell r="F392">
            <v>1</v>
          </cell>
          <cell r="G392">
            <v>1</v>
          </cell>
          <cell r="H392">
            <v>1</v>
          </cell>
          <cell r="I392">
            <v>14400</v>
          </cell>
          <cell r="J392">
            <v>14400</v>
          </cell>
          <cell r="K392">
            <v>14400</v>
          </cell>
          <cell r="L392" t="str">
            <v>使用后选择获得一个红色步将</v>
          </cell>
        </row>
        <row r="393">
          <cell r="C393">
            <v>23004</v>
          </cell>
          <cell r="D393" t="str">
            <v>紫色骑将自选宝箱</v>
          </cell>
          <cell r="E393">
            <v>600</v>
          </cell>
          <cell r="F393">
            <v>1</v>
          </cell>
          <cell r="G393">
            <v>1</v>
          </cell>
          <cell r="H393">
            <v>1</v>
          </cell>
          <cell r="I393">
            <v>600</v>
          </cell>
          <cell r="J393">
            <v>600</v>
          </cell>
          <cell r="K393">
            <v>600</v>
          </cell>
          <cell r="L393" t="str">
            <v>使用后选择获得一个紫色骑将</v>
          </cell>
        </row>
        <row r="394">
          <cell r="C394">
            <v>23005</v>
          </cell>
          <cell r="D394" t="str">
            <v>橙色骑将自选宝箱</v>
          </cell>
          <cell r="E394">
            <v>4800</v>
          </cell>
          <cell r="F394">
            <v>1</v>
          </cell>
          <cell r="G394">
            <v>1</v>
          </cell>
          <cell r="H394">
            <v>1</v>
          </cell>
          <cell r="I394">
            <v>4800</v>
          </cell>
          <cell r="J394">
            <v>4800</v>
          </cell>
          <cell r="K394">
            <v>4800</v>
          </cell>
          <cell r="L394" t="str">
            <v>使用后选择获得一个橙色骑将</v>
          </cell>
        </row>
        <row r="395">
          <cell r="C395">
            <v>23006</v>
          </cell>
          <cell r="D395" t="str">
            <v>红色骑将自选宝箱</v>
          </cell>
          <cell r="E395">
            <v>14400</v>
          </cell>
          <cell r="F395">
            <v>1</v>
          </cell>
          <cell r="G395">
            <v>1</v>
          </cell>
          <cell r="H395">
            <v>1</v>
          </cell>
          <cell r="I395">
            <v>14400</v>
          </cell>
          <cell r="J395">
            <v>14400</v>
          </cell>
          <cell r="K395">
            <v>14400</v>
          </cell>
          <cell r="L395" t="str">
            <v>使用后选择获得一个红色骑将</v>
          </cell>
        </row>
        <row r="396">
          <cell r="C396">
            <v>23007</v>
          </cell>
          <cell r="D396" t="str">
            <v>紫色弓将自选宝箱</v>
          </cell>
          <cell r="E396">
            <v>600</v>
          </cell>
          <cell r="F396">
            <v>1</v>
          </cell>
          <cell r="G396">
            <v>1</v>
          </cell>
          <cell r="H396">
            <v>1</v>
          </cell>
          <cell r="I396">
            <v>600</v>
          </cell>
          <cell r="J396">
            <v>600</v>
          </cell>
          <cell r="K396">
            <v>600</v>
          </cell>
          <cell r="L396" t="str">
            <v>使用后选择获得一个紫色弓将</v>
          </cell>
        </row>
        <row r="397">
          <cell r="C397">
            <v>23008</v>
          </cell>
          <cell r="D397" t="str">
            <v>橙色弓将自选宝箱</v>
          </cell>
          <cell r="E397">
            <v>4800</v>
          </cell>
          <cell r="F397">
            <v>1</v>
          </cell>
          <cell r="G397">
            <v>1</v>
          </cell>
          <cell r="H397">
            <v>1</v>
          </cell>
          <cell r="I397">
            <v>4800</v>
          </cell>
          <cell r="J397">
            <v>4800</v>
          </cell>
          <cell r="K397">
            <v>4800</v>
          </cell>
          <cell r="L397" t="str">
            <v>使用后选择获得一个橙色弓将</v>
          </cell>
        </row>
        <row r="398">
          <cell r="C398">
            <v>23009</v>
          </cell>
          <cell r="D398" t="str">
            <v>红色弓将自选宝箱</v>
          </cell>
          <cell r="E398">
            <v>14400</v>
          </cell>
          <cell r="F398">
            <v>1</v>
          </cell>
          <cell r="G398">
            <v>1</v>
          </cell>
          <cell r="H398">
            <v>1</v>
          </cell>
          <cell r="I398">
            <v>14400</v>
          </cell>
          <cell r="J398">
            <v>14400</v>
          </cell>
          <cell r="K398">
            <v>14400</v>
          </cell>
          <cell r="L398" t="str">
            <v>使用后选择获得一个红色弓将</v>
          </cell>
        </row>
        <row r="399">
          <cell r="C399">
            <v>23010</v>
          </cell>
          <cell r="D399" t="str">
            <v>君主自选宝箱</v>
          </cell>
          <cell r="E399">
            <v>4800</v>
          </cell>
          <cell r="F399">
            <v>1</v>
          </cell>
          <cell r="G399">
            <v>1</v>
          </cell>
          <cell r="H399">
            <v>1</v>
          </cell>
          <cell r="I399">
            <v>4800</v>
          </cell>
          <cell r="J399">
            <v>4800</v>
          </cell>
          <cell r="K399">
            <v>4800</v>
          </cell>
          <cell r="L399" t="str">
            <v>使用后选择获得一个君主武将</v>
          </cell>
        </row>
        <row r="400">
          <cell r="C400">
            <v>23011</v>
          </cell>
          <cell r="D400" t="str">
            <v>紫色武将随机宝箱</v>
          </cell>
          <cell r="E400">
            <v>400</v>
          </cell>
          <cell r="F400">
            <v>1</v>
          </cell>
          <cell r="G400">
            <v>1</v>
          </cell>
          <cell r="H400">
            <v>1</v>
          </cell>
          <cell r="I400">
            <v>400</v>
          </cell>
          <cell r="J400">
            <v>400</v>
          </cell>
          <cell r="K400">
            <v>400</v>
          </cell>
          <cell r="L400" t="str">
            <v>使用后随机获得一个紫色武将</v>
          </cell>
        </row>
        <row r="401">
          <cell r="C401">
            <v>23012</v>
          </cell>
          <cell r="D401" t="str">
            <v>橙色武将随机宝箱</v>
          </cell>
          <cell r="E401">
            <v>1800</v>
          </cell>
          <cell r="F401">
            <v>1</v>
          </cell>
          <cell r="G401">
            <v>1</v>
          </cell>
          <cell r="H401">
            <v>1</v>
          </cell>
          <cell r="I401">
            <v>1800</v>
          </cell>
          <cell r="J401">
            <v>1800</v>
          </cell>
          <cell r="K401">
            <v>1800</v>
          </cell>
          <cell r="L401" t="str">
            <v>使用后随机获得一个橙色武将</v>
          </cell>
        </row>
        <row r="402">
          <cell r="C402">
            <v>23013</v>
          </cell>
          <cell r="D402" t="str">
            <v>红色武将随机宝箱</v>
          </cell>
          <cell r="E402">
            <v>14400</v>
          </cell>
          <cell r="F402">
            <v>1</v>
          </cell>
          <cell r="G402">
            <v>1</v>
          </cell>
          <cell r="H402">
            <v>1</v>
          </cell>
          <cell r="I402">
            <v>14400</v>
          </cell>
          <cell r="J402">
            <v>14400</v>
          </cell>
          <cell r="K402">
            <v>14400</v>
          </cell>
          <cell r="L402" t="str">
            <v>使用后随机获得一个红色武将</v>
          </cell>
        </row>
        <row r="403">
          <cell r="C403" t="str">
            <v/>
          </cell>
          <cell r="D403" t="str">
            <v/>
          </cell>
          <cell r="E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>
            <v>23014</v>
          </cell>
          <cell r="D404" t="str">
            <v>橙色武将自选宝箱碎片</v>
          </cell>
          <cell r="E404">
            <v>160</v>
          </cell>
          <cell r="F404">
            <v>1</v>
          </cell>
          <cell r="G404">
            <v>1</v>
          </cell>
          <cell r="H404">
            <v>1</v>
          </cell>
          <cell r="I404">
            <v>160</v>
          </cell>
          <cell r="J404">
            <v>160</v>
          </cell>
          <cell r="K404">
            <v>160</v>
          </cell>
          <cell r="L404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5">
          <cell r="C405">
            <v>23015</v>
          </cell>
          <cell r="D405" t="str">
            <v>橙色武将随机宝箱碎片</v>
          </cell>
          <cell r="E405">
            <v>60</v>
          </cell>
          <cell r="F405">
            <v>1</v>
          </cell>
          <cell r="G405">
            <v>1</v>
          </cell>
          <cell r="H405">
            <v>1</v>
          </cell>
          <cell r="I405">
            <v>60</v>
          </cell>
          <cell r="J405">
            <v>60</v>
          </cell>
          <cell r="K405">
            <v>60</v>
          </cell>
          <cell r="L405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6">
          <cell r="C406">
            <v>23016</v>
          </cell>
          <cell r="D406" t="str">
            <v>紫色武将随机宝箱碎片</v>
          </cell>
          <cell r="E406">
            <v>36</v>
          </cell>
          <cell r="F406">
            <v>1</v>
          </cell>
          <cell r="G406">
            <v>1</v>
          </cell>
          <cell r="H406">
            <v>1</v>
          </cell>
          <cell r="I406">
            <v>36</v>
          </cell>
          <cell r="J406">
            <v>36</v>
          </cell>
          <cell r="K406">
            <v>36</v>
          </cell>
          <cell r="L406" t="str">
            <v>集齐10个碎片可以合成，随机获得下列武将中的一个：\n聂荌、专诸、钟无艳、田忌、春申君、莫邪、孙叔敖、西门豹、暴鸢、秦开</v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 t="str">
            <v/>
          </cell>
          <cell r="D408" t="str">
            <v>指定绿色装备</v>
          </cell>
          <cell r="E408">
            <v>35</v>
          </cell>
          <cell r="F408">
            <v>1</v>
          </cell>
          <cell r="G408">
            <v>1</v>
          </cell>
          <cell r="H408">
            <v>1</v>
          </cell>
          <cell r="I408">
            <v>35</v>
          </cell>
          <cell r="J408">
            <v>35</v>
          </cell>
          <cell r="K408">
            <v>35</v>
          </cell>
          <cell r="L408">
            <v>1</v>
          </cell>
        </row>
        <row r="409">
          <cell r="C409" t="str">
            <v/>
          </cell>
          <cell r="D409" t="str">
            <v>指定蓝色装备</v>
          </cell>
          <cell r="E409">
            <v>120</v>
          </cell>
          <cell r="F409">
            <v>1</v>
          </cell>
          <cell r="G409">
            <v>1</v>
          </cell>
          <cell r="H409">
            <v>1</v>
          </cell>
          <cell r="I409">
            <v>120</v>
          </cell>
          <cell r="J409">
            <v>120</v>
          </cell>
          <cell r="K409">
            <v>120</v>
          </cell>
          <cell r="L409">
            <v>1.5</v>
          </cell>
        </row>
        <row r="410">
          <cell r="C410" t="str">
            <v/>
          </cell>
          <cell r="D410" t="str">
            <v>指定紫色装备</v>
          </cell>
          <cell r="E410">
            <v>300</v>
          </cell>
          <cell r="F410">
            <v>1</v>
          </cell>
          <cell r="G410">
            <v>1</v>
          </cell>
          <cell r="H410">
            <v>1</v>
          </cell>
          <cell r="I410">
            <v>300</v>
          </cell>
          <cell r="J410">
            <v>300</v>
          </cell>
          <cell r="K410">
            <v>300</v>
          </cell>
          <cell r="L410">
            <v>2</v>
          </cell>
        </row>
        <row r="411">
          <cell r="C411" t="str">
            <v/>
          </cell>
          <cell r="D411" t="str">
            <v>指定橙色装备</v>
          </cell>
          <cell r="E411">
            <v>800</v>
          </cell>
          <cell r="F411">
            <v>1</v>
          </cell>
          <cell r="G411">
            <v>1</v>
          </cell>
          <cell r="H411">
            <v>1</v>
          </cell>
          <cell r="I411">
            <v>800</v>
          </cell>
          <cell r="J411">
            <v>800</v>
          </cell>
          <cell r="K411">
            <v>800</v>
          </cell>
          <cell r="L411">
            <v>2.5</v>
          </cell>
        </row>
        <row r="412">
          <cell r="C412" t="str">
            <v/>
          </cell>
          <cell r="D412" t="str">
            <v>指定红色装备</v>
          </cell>
          <cell r="E412">
            <v>7200</v>
          </cell>
          <cell r="F412">
            <v>1</v>
          </cell>
          <cell r="G412">
            <v>1</v>
          </cell>
          <cell r="H412">
            <v>1</v>
          </cell>
          <cell r="I412">
            <v>7200</v>
          </cell>
          <cell r="J412">
            <v>7200</v>
          </cell>
          <cell r="K412">
            <v>7200</v>
          </cell>
          <cell r="L412">
            <v>3</v>
          </cell>
        </row>
        <row r="413">
          <cell r="C413" t="str">
            <v/>
          </cell>
          <cell r="D413" t="str">
            <v>指定红+装备</v>
          </cell>
          <cell r="E413">
            <v>14400</v>
          </cell>
          <cell r="F413">
            <v>1.56</v>
          </cell>
          <cell r="G413">
            <v>1.56</v>
          </cell>
          <cell r="H413">
            <v>1.56</v>
          </cell>
          <cell r="I413">
            <v>22464</v>
          </cell>
          <cell r="J413">
            <v>22464</v>
          </cell>
          <cell r="K413">
            <v>22464</v>
          </cell>
          <cell r="L413" t="str">
            <v/>
          </cell>
        </row>
        <row r="414">
          <cell r="C414">
            <v>23215</v>
          </cell>
          <cell r="D414" t="str">
            <v>紫色武力装备礼包</v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</row>
        <row r="415">
          <cell r="C415">
            <v>23216</v>
          </cell>
          <cell r="D415" t="str">
            <v>紫色智力装备礼包</v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</row>
        <row r="416">
          <cell r="C416">
            <v>23217</v>
          </cell>
          <cell r="D416" t="str">
            <v>橙色统率装备礼包</v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</row>
        <row r="417">
          <cell r="C417">
            <v>23218</v>
          </cell>
          <cell r="D417" t="str">
            <v>橙色智力装备礼包</v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</row>
        <row r="418">
          <cell r="C418">
            <v>23219</v>
          </cell>
          <cell r="D418" t="str">
            <v>橙色武力装备礼包</v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</row>
        <row r="419">
          <cell r="C419">
            <v>22118</v>
          </cell>
          <cell r="D419" t="str">
            <v>负荆请罪武魂</v>
          </cell>
          <cell r="E419" t="str">
            <v/>
          </cell>
          <cell r="F419">
            <v>1</v>
          </cell>
          <cell r="G419">
            <v>1</v>
          </cell>
          <cell r="H419">
            <v>1</v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</row>
        <row r="420">
          <cell r="C420" t="str">
            <v/>
          </cell>
          <cell r="D420" t="str">
            <v/>
          </cell>
          <cell r="E420" t="str">
            <v/>
          </cell>
          <cell r="F420">
            <v>1</v>
          </cell>
          <cell r="G420">
            <v>1</v>
          </cell>
          <cell r="H420">
            <v>1</v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</row>
        <row r="421">
          <cell r="C421">
            <v>23348</v>
          </cell>
          <cell r="D421" t="str">
            <v>清剿令</v>
          </cell>
          <cell r="E421" t="str">
            <v/>
          </cell>
          <cell r="F421">
            <v>1</v>
          </cell>
          <cell r="G421">
            <v>1</v>
          </cell>
          <cell r="H421">
            <v>1</v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</row>
        <row r="422">
          <cell r="C422" t="str">
            <v/>
          </cell>
          <cell r="D422" t="str">
            <v/>
          </cell>
          <cell r="E422" t="str">
            <v/>
          </cell>
          <cell r="F422">
            <v>1</v>
          </cell>
          <cell r="G422">
            <v>1</v>
          </cell>
          <cell r="H422">
            <v>1</v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</row>
        <row r="423">
          <cell r="C423" t="str">
            <v/>
          </cell>
          <cell r="D423" t="str">
            <v/>
          </cell>
          <cell r="E423" t="str">
            <v/>
          </cell>
          <cell r="F423">
            <v>1</v>
          </cell>
          <cell r="G423">
            <v>1</v>
          </cell>
          <cell r="H423">
            <v>1</v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</row>
        <row r="424">
          <cell r="C424" t="str">
            <v/>
          </cell>
          <cell r="D424" t="str">
            <v/>
          </cell>
          <cell r="E424" t="str">
            <v/>
          </cell>
          <cell r="F424">
            <v>1</v>
          </cell>
          <cell r="G424">
            <v>1</v>
          </cell>
          <cell r="H424">
            <v>1</v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</row>
        <row r="425">
          <cell r="C425">
            <v>22116</v>
          </cell>
          <cell r="D425" t="str">
            <v>倾国倾城武魂</v>
          </cell>
          <cell r="E425" t="str">
            <v/>
          </cell>
          <cell r="F425">
            <v>1</v>
          </cell>
          <cell r="G425">
            <v>1</v>
          </cell>
          <cell r="H425">
            <v>1</v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</row>
        <row r="426">
          <cell r="C426">
            <v>22117</v>
          </cell>
          <cell r="D426" t="str">
            <v>墨行天下武魂</v>
          </cell>
          <cell r="E426" t="str">
            <v/>
          </cell>
          <cell r="F426">
            <v>1</v>
          </cell>
          <cell r="G426">
            <v>1</v>
          </cell>
          <cell r="H426">
            <v>1</v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</row>
        <row r="427">
          <cell r="C427">
            <v>23220</v>
          </cell>
          <cell r="D427" t="str">
            <v>红色统智装备礼包</v>
          </cell>
          <cell r="E427" t="str">
            <v/>
          </cell>
          <cell r="F427">
            <v>1</v>
          </cell>
          <cell r="G427">
            <v>1</v>
          </cell>
          <cell r="H427">
            <v>1</v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</row>
        <row r="428">
          <cell r="C428">
            <v>23221</v>
          </cell>
          <cell r="D428" t="str">
            <v>紫色兵法自选宝箱</v>
          </cell>
          <cell r="E428" t="str">
            <v/>
          </cell>
          <cell r="F428">
            <v>1</v>
          </cell>
          <cell r="G428">
            <v>1</v>
          </cell>
          <cell r="H428">
            <v>1</v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</row>
        <row r="429">
          <cell r="C429">
            <v>23222</v>
          </cell>
          <cell r="D429" t="str">
            <v>橙色兵法自选宝箱</v>
          </cell>
          <cell r="E429" t="str">
            <v/>
          </cell>
          <cell r="F429">
            <v>1</v>
          </cell>
          <cell r="G429">
            <v>1</v>
          </cell>
          <cell r="H429">
            <v>1</v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</row>
        <row r="430">
          <cell r="C430">
            <v>23364</v>
          </cell>
          <cell r="D430" t="str">
            <v>自选橙色兵法碎片</v>
          </cell>
          <cell r="E430" t="str">
            <v/>
          </cell>
          <cell r="F430">
            <v>1</v>
          </cell>
          <cell r="G430">
            <v>1</v>
          </cell>
          <cell r="H430">
            <v>1</v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</row>
        <row r="431">
          <cell r="C431">
            <v>23365</v>
          </cell>
          <cell r="D431" t="str">
            <v>自选紫色兵法碎片</v>
          </cell>
          <cell r="E431" t="str">
            <v/>
          </cell>
          <cell r="F431">
            <v>1</v>
          </cell>
          <cell r="G431">
            <v>1</v>
          </cell>
          <cell r="H431">
            <v>1</v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</row>
        <row r="432">
          <cell r="C432" t="str">
            <v/>
          </cell>
          <cell r="D432" t="str">
            <v/>
          </cell>
          <cell r="E432" t="str">
            <v/>
          </cell>
          <cell r="F432">
            <v>1</v>
          </cell>
          <cell r="G432">
            <v>1</v>
          </cell>
          <cell r="H432">
            <v>1</v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</row>
        <row r="433">
          <cell r="C433">
            <v>21075</v>
          </cell>
          <cell r="D433" t="str">
            <v>中级免战牌</v>
          </cell>
          <cell r="E433">
            <v>200</v>
          </cell>
          <cell r="F433">
            <v>1</v>
          </cell>
          <cell r="G433">
            <v>1</v>
          </cell>
          <cell r="H433">
            <v>1</v>
          </cell>
          <cell r="I433">
            <v>200</v>
          </cell>
          <cell r="J433">
            <v>200</v>
          </cell>
          <cell r="K433">
            <v>200</v>
          </cell>
          <cell r="L433" t="str">
            <v>使用后城池不会遭受来自其他玩家的攻击，主动进攻其他玩家后失效，持续12小时</v>
          </cell>
        </row>
        <row r="434">
          <cell r="C434">
            <v>21071</v>
          </cell>
          <cell r="D434" t="str">
            <v>高级免战牌</v>
          </cell>
          <cell r="E434">
            <v>500</v>
          </cell>
          <cell r="F434">
            <v>1</v>
          </cell>
          <cell r="G434">
            <v>1</v>
          </cell>
          <cell r="H434">
            <v>1</v>
          </cell>
          <cell r="I434">
            <v>500</v>
          </cell>
          <cell r="J434">
            <v>500</v>
          </cell>
          <cell r="K434">
            <v>500</v>
          </cell>
          <cell r="L434" t="str">
            <v>使用后城池不会遭受来自其他玩家的攻击，主动进攻其他玩家后失效，持续24小时</v>
          </cell>
        </row>
        <row r="435">
          <cell r="C435">
            <v>21072</v>
          </cell>
          <cell r="D435" t="str">
            <v>特级免战牌</v>
          </cell>
          <cell r="E435">
            <v>1800</v>
          </cell>
          <cell r="F435">
            <v>1</v>
          </cell>
          <cell r="G435">
            <v>1</v>
          </cell>
          <cell r="H435">
            <v>1</v>
          </cell>
          <cell r="I435">
            <v>1800</v>
          </cell>
          <cell r="J435">
            <v>1800</v>
          </cell>
          <cell r="K435">
            <v>1800</v>
          </cell>
          <cell r="L435" t="str">
            <v>使用后城池不会遭受来自其他玩家的攻击，主动进攻其他玩家后失效，持续72小时</v>
          </cell>
        </row>
        <row r="436">
          <cell r="C436" t="str">
            <v/>
          </cell>
          <cell r="D436" t="str">
            <v/>
          </cell>
          <cell r="E436" t="str">
            <v/>
          </cell>
          <cell r="F436">
            <v>1</v>
          </cell>
          <cell r="G436">
            <v>1</v>
          </cell>
          <cell r="H436">
            <v>1</v>
          </cell>
          <cell r="I436" t="str">
            <v/>
          </cell>
          <cell r="J436" t="str">
            <v/>
          </cell>
          <cell r="K436" t="str">
            <v/>
          </cell>
          <cell r="L436" t="str">
            <v>消灭野怪获得，用于宝物温养。</v>
          </cell>
        </row>
        <row r="437">
          <cell r="C437">
            <v>23359</v>
          </cell>
          <cell r="D437" t="str">
            <v>宝鉴</v>
          </cell>
          <cell r="E437" t="str">
            <v/>
          </cell>
          <cell r="F437">
            <v>1</v>
          </cell>
          <cell r="G437">
            <v>1</v>
          </cell>
          <cell r="H437">
            <v>1</v>
          </cell>
          <cell r="I437" t="str">
            <v/>
          </cell>
          <cell r="J437" t="str">
            <v/>
          </cell>
          <cell r="K437" t="str">
            <v/>
          </cell>
          <cell r="L437" t="str">
            <v>持有宝鉴名册，可鉴天下珍宝</v>
          </cell>
        </row>
        <row r="438">
          <cell r="C438">
            <v>23526</v>
          </cell>
          <cell r="D438" t="str">
            <v>极品装备宝箱碎片</v>
          </cell>
          <cell r="E438" t="str">
            <v/>
          </cell>
          <cell r="F438">
            <v>1</v>
          </cell>
          <cell r="G438">
            <v>1</v>
          </cell>
          <cell r="H438">
            <v>1</v>
          </cell>
          <cell r="I438" t="str">
            <v/>
          </cell>
          <cell r="J438" t="str">
            <v/>
          </cell>
          <cell r="K438" t="str">
            <v/>
          </cell>
          <cell r="L438" t="str">
            <v>使用后可以获得一个极品红色装备宝箱</v>
          </cell>
        </row>
        <row r="439">
          <cell r="C439">
            <v>23527</v>
          </cell>
          <cell r="D439" t="str">
            <v>极品装备宝箱</v>
          </cell>
          <cell r="E439" t="str">
            <v/>
          </cell>
          <cell r="F439">
            <v>1</v>
          </cell>
          <cell r="G439">
            <v>1</v>
          </cell>
          <cell r="H439">
            <v>1</v>
          </cell>
          <cell r="I439" t="str">
            <v/>
          </cell>
          <cell r="J439" t="str">
            <v/>
          </cell>
          <cell r="K439" t="str">
            <v/>
          </cell>
          <cell r="L439" t="str">
            <v>使用后可以选择获得一件极品红色装备</v>
          </cell>
        </row>
        <row r="440">
          <cell r="C440">
            <v>23528</v>
          </cell>
          <cell r="D440" t="str">
            <v>极品统武装备宝箱</v>
          </cell>
          <cell r="E440" t="str">
            <v/>
          </cell>
          <cell r="F440">
            <v>1</v>
          </cell>
          <cell r="G440">
            <v>1</v>
          </cell>
          <cell r="H440">
            <v>1</v>
          </cell>
          <cell r="I440" t="str">
            <v/>
          </cell>
          <cell r="J440" t="str">
            <v/>
          </cell>
          <cell r="K440" t="str">
            <v/>
          </cell>
          <cell r="L440" t="str">
            <v>使用后获得十方古璃套装3件套装备</v>
          </cell>
        </row>
        <row r="441">
          <cell r="C441">
            <v>23529</v>
          </cell>
          <cell r="D441" t="str">
            <v>极品统智装备宝箱</v>
          </cell>
          <cell r="E441" t="str">
            <v/>
          </cell>
          <cell r="F441">
            <v>1</v>
          </cell>
          <cell r="G441">
            <v>1</v>
          </cell>
          <cell r="H441">
            <v>1</v>
          </cell>
          <cell r="I441" t="str">
            <v/>
          </cell>
          <cell r="J441" t="str">
            <v/>
          </cell>
          <cell r="K441" t="str">
            <v/>
          </cell>
          <cell r="L441" t="str">
            <v>使用后获得墨霜广焱3件套装备</v>
          </cell>
        </row>
        <row r="442">
          <cell r="C442">
            <v>23530</v>
          </cell>
          <cell r="D442" t="str">
            <v>红色装备宝箱碎片</v>
          </cell>
          <cell r="E442" t="str">
            <v/>
          </cell>
          <cell r="F442">
            <v>1</v>
          </cell>
          <cell r="G442">
            <v>1</v>
          </cell>
          <cell r="H442">
            <v>1</v>
          </cell>
          <cell r="I442" t="str">
            <v/>
          </cell>
          <cell r="J442" t="str">
            <v/>
          </cell>
          <cell r="K442" t="str">
            <v/>
          </cell>
          <cell r="L442" t="str">
            <v>使用后可以获得一个红色装备宝箱</v>
          </cell>
        </row>
        <row r="443">
          <cell r="C443">
            <v>23531</v>
          </cell>
          <cell r="D443" t="str">
            <v>红色装备宝箱</v>
          </cell>
          <cell r="E443" t="str">
            <v/>
          </cell>
          <cell r="F443">
            <v>1</v>
          </cell>
          <cell r="G443">
            <v>1</v>
          </cell>
          <cell r="H443">
            <v>1</v>
          </cell>
          <cell r="I443" t="str">
            <v/>
          </cell>
          <cell r="J443" t="str">
            <v/>
          </cell>
          <cell r="K443" t="str">
            <v/>
          </cell>
          <cell r="L443" t="str">
            <v>使用后可以选择获得一件红色装备</v>
          </cell>
        </row>
        <row r="444">
          <cell r="C444">
            <v>23532</v>
          </cell>
          <cell r="D444" t="str">
            <v>抛砖引玉·极-残片</v>
          </cell>
          <cell r="E444" t="str">
            <v/>
          </cell>
          <cell r="F444">
            <v>1</v>
          </cell>
          <cell r="G444">
            <v>1</v>
          </cell>
          <cell r="H444">
            <v>1</v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</row>
        <row r="445">
          <cell r="C445">
            <v>23389</v>
          </cell>
          <cell r="D445" t="str">
            <v>秦阳陵虎符碎片</v>
          </cell>
          <cell r="E445" t="str">
            <v/>
          </cell>
          <cell r="F445">
            <v>1</v>
          </cell>
          <cell r="G445">
            <v>1</v>
          </cell>
          <cell r="H445">
            <v>1</v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</row>
        <row r="446">
          <cell r="C446">
            <v>180024</v>
          </cell>
          <cell r="D446" t="str">
            <v>高级盗贼</v>
          </cell>
          <cell r="E446" t="str">
            <v/>
          </cell>
          <cell r="F446">
            <v>1</v>
          </cell>
          <cell r="G446">
            <v>1</v>
          </cell>
          <cell r="H446">
            <v>1</v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</row>
        <row r="447">
          <cell r="C447">
            <v>180023</v>
          </cell>
          <cell r="D447" t="str">
            <v>高级间谍</v>
          </cell>
          <cell r="E447" t="str">
            <v/>
          </cell>
          <cell r="F447">
            <v>1</v>
          </cell>
          <cell r="G447">
            <v>1</v>
          </cell>
          <cell r="H447">
            <v>1</v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</row>
        <row r="448">
          <cell r="C448">
            <v>180022</v>
          </cell>
          <cell r="D448" t="str">
            <v>高级刺客</v>
          </cell>
          <cell r="E448" t="str">
            <v/>
          </cell>
          <cell r="F448">
            <v>1</v>
          </cell>
          <cell r="G448">
            <v>1</v>
          </cell>
          <cell r="H448">
            <v>1</v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</row>
        <row r="449">
          <cell r="C449" t="str">
            <v/>
          </cell>
          <cell r="D449" t="str">
            <v/>
          </cell>
          <cell r="E449" t="str">
            <v/>
          </cell>
          <cell r="F449">
            <v>1</v>
          </cell>
          <cell r="G449">
            <v>1</v>
          </cell>
          <cell r="H449">
            <v>1</v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</row>
        <row r="450">
          <cell r="C450">
            <v>23542</v>
          </cell>
          <cell r="D450" t="str">
            <v>十方装备宝箱碎片</v>
          </cell>
          <cell r="E450" t="str">
            <v/>
          </cell>
          <cell r="F450">
            <v>1</v>
          </cell>
          <cell r="G450">
            <v>1</v>
          </cell>
          <cell r="H450">
            <v>1</v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</row>
        <row r="451">
          <cell r="C451">
            <v>23543</v>
          </cell>
          <cell r="D451" t="str">
            <v>墨霜装备宝箱碎片</v>
          </cell>
          <cell r="E451" t="str">
            <v/>
          </cell>
          <cell r="F451">
            <v>1</v>
          </cell>
          <cell r="G451">
            <v>1</v>
          </cell>
          <cell r="H451">
            <v>1</v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</row>
        <row r="452">
          <cell r="C452" t="str">
            <v/>
          </cell>
          <cell r="D452" t="str">
            <v/>
          </cell>
          <cell r="E452" t="str">
            <v/>
          </cell>
          <cell r="F452">
            <v>1</v>
          </cell>
          <cell r="G452">
            <v>1</v>
          </cell>
          <cell r="H452">
            <v>1</v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</row>
        <row r="453">
          <cell r="C453">
            <v>23356</v>
          </cell>
          <cell r="D453" t="str">
            <v>紫色藏宝图</v>
          </cell>
          <cell r="E453">
            <v>300</v>
          </cell>
          <cell r="F453">
            <v>1</v>
          </cell>
          <cell r="G453">
            <v>1</v>
          </cell>
          <cell r="H453">
            <v>1</v>
          </cell>
          <cell r="I453">
            <v>300</v>
          </cell>
          <cell r="J453">
            <v>300</v>
          </cell>
          <cell r="K453">
            <v>300</v>
          </cell>
          <cell r="L453" t="str">
            <v/>
          </cell>
        </row>
        <row r="454">
          <cell r="C454">
            <v>23541</v>
          </cell>
          <cell r="D454" t="str">
            <v>宝物精华小宝箱</v>
          </cell>
          <cell r="E454">
            <v>100</v>
          </cell>
          <cell r="F454">
            <v>1</v>
          </cell>
          <cell r="G454">
            <v>1</v>
          </cell>
          <cell r="H454">
            <v>1</v>
          </cell>
          <cell r="I454">
            <v>100</v>
          </cell>
          <cell r="J454">
            <v>100</v>
          </cell>
          <cell r="K454">
            <v>100</v>
          </cell>
          <cell r="L454" t="str">
            <v/>
          </cell>
        </row>
        <row r="455">
          <cell r="C455">
            <v>23537</v>
          </cell>
          <cell r="D455" t="str">
            <v>文心宝箱</v>
          </cell>
          <cell r="E455">
            <v>200</v>
          </cell>
          <cell r="F455">
            <v>1</v>
          </cell>
          <cell r="G455">
            <v>1</v>
          </cell>
          <cell r="H455">
            <v>1</v>
          </cell>
          <cell r="I455">
            <v>200</v>
          </cell>
          <cell r="J455">
            <v>200</v>
          </cell>
          <cell r="K455">
            <v>200</v>
          </cell>
          <cell r="L455" t="str">
            <v/>
          </cell>
        </row>
        <row r="456">
          <cell r="C456">
            <v>23540</v>
          </cell>
          <cell r="D456" t="str">
            <v>500偕作玉宝箱</v>
          </cell>
          <cell r="E456">
            <v>500</v>
          </cell>
          <cell r="F456">
            <v>1</v>
          </cell>
          <cell r="G456">
            <v>1</v>
          </cell>
          <cell r="H456">
            <v>1</v>
          </cell>
          <cell r="I456">
            <v>500</v>
          </cell>
          <cell r="J456">
            <v>500</v>
          </cell>
          <cell r="K456">
            <v>500</v>
          </cell>
          <cell r="L456" t="str">
            <v/>
          </cell>
        </row>
        <row r="457">
          <cell r="C457">
            <v>90510</v>
          </cell>
          <cell r="D457" t="str">
            <v>偕作玉</v>
          </cell>
          <cell r="E457">
            <v>1</v>
          </cell>
          <cell r="F457">
            <v>1</v>
          </cell>
          <cell r="G457">
            <v>1</v>
          </cell>
          <cell r="H457">
            <v>1</v>
          </cell>
          <cell r="I457">
            <v>1</v>
          </cell>
          <cell r="J457">
            <v>1</v>
          </cell>
          <cell r="K457">
            <v>1</v>
          </cell>
          <cell r="L457" t="str">
            <v/>
          </cell>
        </row>
        <row r="458">
          <cell r="C458">
            <v>90512</v>
          </cell>
          <cell r="D458" t="str">
            <v>文心</v>
          </cell>
          <cell r="E458">
            <v>0.33333333333333331</v>
          </cell>
          <cell r="F458">
            <v>1</v>
          </cell>
          <cell r="G458">
            <v>1</v>
          </cell>
          <cell r="H458">
            <v>1</v>
          </cell>
          <cell r="I458">
            <v>0.33333333333333331</v>
          </cell>
          <cell r="J458">
            <v>0.33333333333333331</v>
          </cell>
          <cell r="K458">
            <v>0.33333333333333331</v>
          </cell>
          <cell r="L458" t="str">
            <v/>
          </cell>
        </row>
        <row r="459">
          <cell r="C459">
            <v>90513</v>
          </cell>
          <cell r="D459" t="str">
            <v>宝物精华</v>
          </cell>
          <cell r="E459">
            <v>100</v>
          </cell>
          <cell r="F459">
            <v>1</v>
          </cell>
          <cell r="G459">
            <v>1</v>
          </cell>
          <cell r="H459">
            <v>1</v>
          </cell>
          <cell r="I459">
            <v>100</v>
          </cell>
          <cell r="J459">
            <v>100</v>
          </cell>
          <cell r="K459">
            <v>100</v>
          </cell>
          <cell r="L459" t="str">
            <v/>
          </cell>
        </row>
        <row r="460">
          <cell r="C460">
            <v>23652</v>
          </cell>
          <cell r="D460" t="str">
            <v>流云装备宝箱碎片</v>
          </cell>
          <cell r="E460" t="str">
            <v/>
          </cell>
          <cell r="F460">
            <v>1</v>
          </cell>
          <cell r="G460">
            <v>1</v>
          </cell>
          <cell r="H460">
            <v>1</v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</row>
        <row r="461">
          <cell r="C461">
            <v>23658</v>
          </cell>
          <cell r="D461" t="str">
            <v>乱世王者碎片</v>
          </cell>
          <cell r="E461" t="str">
            <v/>
          </cell>
          <cell r="F461">
            <v>1</v>
          </cell>
          <cell r="G461">
            <v>1</v>
          </cell>
          <cell r="H461">
            <v>1</v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</row>
        <row r="462">
          <cell r="C462" t="str">
            <v/>
          </cell>
          <cell r="D462" t="str">
            <v/>
          </cell>
          <cell r="E462" t="str">
            <v/>
          </cell>
          <cell r="F462">
            <v>1</v>
          </cell>
          <cell r="G462">
            <v>1</v>
          </cell>
          <cell r="H462">
            <v>1</v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</row>
        <row r="463">
          <cell r="C463" t="str">
            <v/>
          </cell>
          <cell r="D463" t="str">
            <v>指定橙+宝物碎片</v>
          </cell>
          <cell r="E463">
            <v>666.66666666666663</v>
          </cell>
          <cell r="F463">
            <v>1</v>
          </cell>
          <cell r="G463">
            <v>1</v>
          </cell>
          <cell r="H463">
            <v>1</v>
          </cell>
          <cell r="I463">
            <v>666.66666666666663</v>
          </cell>
          <cell r="J463">
            <v>666.66666666666663</v>
          </cell>
          <cell r="K463">
            <v>666.66666666666663</v>
          </cell>
          <cell r="L463" t="str">
            <v/>
          </cell>
        </row>
        <row r="464">
          <cell r="C464" t="str">
            <v/>
          </cell>
          <cell r="D464" t="str">
            <v/>
          </cell>
          <cell r="E464" t="str">
            <v/>
          </cell>
          <cell r="F464">
            <v>1</v>
          </cell>
          <cell r="G464">
            <v>1</v>
          </cell>
          <cell r="H464">
            <v>1</v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</row>
        <row r="465">
          <cell r="C465">
            <v>24057</v>
          </cell>
          <cell r="D465" t="str">
            <v>计无所出·极-残片</v>
          </cell>
          <cell r="E465" t="str">
            <v/>
          </cell>
          <cell r="F465">
            <v>1</v>
          </cell>
          <cell r="G465">
            <v>1</v>
          </cell>
          <cell r="H465">
            <v>1</v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</row>
        <row r="466">
          <cell r="C466">
            <v>23410</v>
          </cell>
          <cell r="D466" t="str">
            <v>无字天书碎片</v>
          </cell>
          <cell r="E466" t="str">
            <v/>
          </cell>
          <cell r="F466">
            <v>1</v>
          </cell>
          <cell r="G466">
            <v>1</v>
          </cell>
          <cell r="H466">
            <v>1</v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</row>
        <row r="467">
          <cell r="C467">
            <v>24021</v>
          </cell>
          <cell r="D467" t="str">
            <v>三级阵旗随机宝箱</v>
          </cell>
          <cell r="E467" t="str">
            <v/>
          </cell>
          <cell r="F467">
            <v>1</v>
          </cell>
          <cell r="G467">
            <v>1</v>
          </cell>
          <cell r="H467">
            <v>1</v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</row>
        <row r="468">
          <cell r="C468">
            <v>24078</v>
          </cell>
          <cell r="D468" t="str">
            <v>赛季武将碎片自选</v>
          </cell>
          <cell r="E468" t="str">
            <v/>
          </cell>
          <cell r="F468">
            <v>1</v>
          </cell>
          <cell r="G468">
            <v>1</v>
          </cell>
          <cell r="H468">
            <v>1</v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</row>
        <row r="469">
          <cell r="C469" t="str">
            <v/>
          </cell>
          <cell r="D469" t="str">
            <v/>
          </cell>
          <cell r="E469" t="str">
            <v/>
          </cell>
          <cell r="F469">
            <v>1</v>
          </cell>
          <cell r="G469">
            <v>1</v>
          </cell>
          <cell r="H469">
            <v>1</v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</row>
        <row r="470">
          <cell r="C470">
            <v>23521</v>
          </cell>
          <cell r="D470" t="str">
            <v>将军印碎片</v>
          </cell>
          <cell r="E470" t="str">
            <v/>
          </cell>
          <cell r="F470">
            <v>1</v>
          </cell>
          <cell r="G470">
            <v>1</v>
          </cell>
          <cell r="H470">
            <v>1</v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</row>
        <row r="471">
          <cell r="C471">
            <v>23522</v>
          </cell>
          <cell r="D471" t="str">
            <v>上将印碎片</v>
          </cell>
          <cell r="E471" t="str">
            <v/>
          </cell>
          <cell r="F471">
            <v>1</v>
          </cell>
          <cell r="G471">
            <v>1</v>
          </cell>
          <cell r="H471">
            <v>1</v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</row>
        <row r="472">
          <cell r="C472">
            <v>23523</v>
          </cell>
          <cell r="D472" t="str">
            <v>统帅印碎片</v>
          </cell>
          <cell r="E472" t="str">
            <v/>
          </cell>
          <cell r="F472">
            <v>1</v>
          </cell>
          <cell r="G472">
            <v>1</v>
          </cell>
          <cell r="H472">
            <v>1</v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</row>
        <row r="473">
          <cell r="C473" t="str">
            <v/>
          </cell>
          <cell r="D473" t="str">
            <v/>
          </cell>
          <cell r="E473" t="str">
            <v/>
          </cell>
          <cell r="F473">
            <v>1</v>
          </cell>
          <cell r="G473">
            <v>1</v>
          </cell>
          <cell r="H473">
            <v>1</v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</row>
        <row r="474">
          <cell r="C474" t="str">
            <v/>
          </cell>
          <cell r="D474" t="str">
            <v/>
          </cell>
          <cell r="E474" t="str">
            <v/>
          </cell>
          <cell r="F474">
            <v>1</v>
          </cell>
          <cell r="G474">
            <v>1</v>
          </cell>
          <cell r="H474">
            <v>1</v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</row>
        <row r="475">
          <cell r="C475" t="str">
            <v/>
          </cell>
          <cell r="D475" t="str">
            <v/>
          </cell>
          <cell r="E475" t="str">
            <v/>
          </cell>
          <cell r="F475">
            <v>1</v>
          </cell>
          <cell r="G475">
            <v>1</v>
          </cell>
          <cell r="H475">
            <v>1</v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</row>
        <row r="476">
          <cell r="C476" t="str">
            <v/>
          </cell>
          <cell r="D476" t="str">
            <v/>
          </cell>
          <cell r="E476" t="str">
            <v/>
          </cell>
          <cell r="F476">
            <v>1</v>
          </cell>
          <cell r="G476">
            <v>1</v>
          </cell>
          <cell r="H476">
            <v>1</v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</row>
        <row r="477">
          <cell r="C477" t="str">
            <v/>
          </cell>
          <cell r="D477" t="str">
            <v/>
          </cell>
          <cell r="E477" t="str">
            <v/>
          </cell>
          <cell r="F477">
            <v>1</v>
          </cell>
          <cell r="G477">
            <v>1</v>
          </cell>
          <cell r="H477">
            <v>1</v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</row>
        <row r="478">
          <cell r="C478" t="str">
            <v/>
          </cell>
          <cell r="D478" t="str">
            <v/>
          </cell>
          <cell r="E478" t="str">
            <v/>
          </cell>
          <cell r="F478">
            <v>1</v>
          </cell>
          <cell r="G478">
            <v>1</v>
          </cell>
          <cell r="H478">
            <v>1</v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</row>
        <row r="479">
          <cell r="C479" t="str">
            <v/>
          </cell>
          <cell r="D479" t="str">
            <v/>
          </cell>
          <cell r="E479" t="str">
            <v/>
          </cell>
          <cell r="F479">
            <v>1</v>
          </cell>
          <cell r="G479">
            <v>1</v>
          </cell>
          <cell r="H479">
            <v>1</v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</row>
        <row r="480">
          <cell r="C480" t="str">
            <v/>
          </cell>
          <cell r="D480" t="str">
            <v/>
          </cell>
          <cell r="E480" t="str">
            <v/>
          </cell>
          <cell r="F480">
            <v>1</v>
          </cell>
          <cell r="G480">
            <v>1</v>
          </cell>
          <cell r="H480">
            <v>1</v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</row>
        <row r="481">
          <cell r="C481" t="str">
            <v/>
          </cell>
          <cell r="D481" t="str">
            <v/>
          </cell>
          <cell r="E481" t="str">
            <v/>
          </cell>
          <cell r="F481">
            <v>1</v>
          </cell>
          <cell r="G481">
            <v>1</v>
          </cell>
          <cell r="H481">
            <v>1</v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</row>
        <row r="482">
          <cell r="C482" t="str">
            <v/>
          </cell>
          <cell r="D482" t="str">
            <v/>
          </cell>
          <cell r="E482" t="str">
            <v/>
          </cell>
          <cell r="F482">
            <v>1</v>
          </cell>
          <cell r="G482">
            <v>1</v>
          </cell>
          <cell r="H482">
            <v>1</v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</row>
        <row r="483">
          <cell r="C483" t="str">
            <v/>
          </cell>
          <cell r="D483" t="str">
            <v/>
          </cell>
          <cell r="E483" t="str">
            <v/>
          </cell>
          <cell r="F483">
            <v>1</v>
          </cell>
          <cell r="G483">
            <v>1</v>
          </cell>
          <cell r="H483">
            <v>1</v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</row>
        <row r="484">
          <cell r="C484" t="str">
            <v/>
          </cell>
          <cell r="D484" t="str">
            <v/>
          </cell>
          <cell r="E484" t="str">
            <v/>
          </cell>
          <cell r="F484">
            <v>1</v>
          </cell>
          <cell r="G484">
            <v>1</v>
          </cell>
          <cell r="H484">
            <v>1</v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</row>
        <row r="485">
          <cell r="C485" t="str">
            <v/>
          </cell>
          <cell r="D485" t="str">
            <v/>
          </cell>
          <cell r="E485" t="str">
            <v/>
          </cell>
          <cell r="F485">
            <v>1</v>
          </cell>
          <cell r="G485">
            <v>1</v>
          </cell>
          <cell r="H485">
            <v>1</v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</row>
        <row r="486">
          <cell r="C486" t="str">
            <v/>
          </cell>
          <cell r="D486" t="str">
            <v/>
          </cell>
          <cell r="E486" t="str">
            <v/>
          </cell>
          <cell r="F486">
            <v>1</v>
          </cell>
          <cell r="G486">
            <v>1</v>
          </cell>
          <cell r="H486">
            <v>1</v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</row>
        <row r="487">
          <cell r="C487" t="str">
            <v/>
          </cell>
          <cell r="D487" t="str">
            <v/>
          </cell>
          <cell r="E487" t="str">
            <v/>
          </cell>
          <cell r="F487">
            <v>1</v>
          </cell>
          <cell r="G487">
            <v>1</v>
          </cell>
          <cell r="H487">
            <v>1</v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</row>
        <row r="488">
          <cell r="C488" t="str">
            <v/>
          </cell>
          <cell r="D488" t="str">
            <v/>
          </cell>
          <cell r="E488" t="str">
            <v/>
          </cell>
          <cell r="F488">
            <v>1</v>
          </cell>
          <cell r="G488">
            <v>1</v>
          </cell>
          <cell r="H488">
            <v>1</v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</row>
        <row r="489">
          <cell r="C489" t="str">
            <v/>
          </cell>
          <cell r="D489" t="str">
            <v/>
          </cell>
          <cell r="E489" t="str">
            <v/>
          </cell>
          <cell r="F489">
            <v>1</v>
          </cell>
          <cell r="G489">
            <v>1</v>
          </cell>
          <cell r="H489">
            <v>1</v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</row>
        <row r="490">
          <cell r="C490" t="str">
            <v/>
          </cell>
          <cell r="D490" t="str">
            <v/>
          </cell>
          <cell r="E490" t="str">
            <v/>
          </cell>
          <cell r="F490">
            <v>1</v>
          </cell>
          <cell r="G490">
            <v>1</v>
          </cell>
          <cell r="H490">
            <v>1</v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</row>
        <row r="491">
          <cell r="C491" t="str">
            <v/>
          </cell>
          <cell r="D491" t="str">
            <v/>
          </cell>
          <cell r="E491" t="str">
            <v/>
          </cell>
          <cell r="F491">
            <v>1</v>
          </cell>
          <cell r="G491">
            <v>1</v>
          </cell>
          <cell r="H491">
            <v>1</v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</row>
        <row r="492">
          <cell r="C492" t="str">
            <v/>
          </cell>
          <cell r="D492" t="str">
            <v/>
          </cell>
          <cell r="E492" t="str">
            <v/>
          </cell>
          <cell r="F492">
            <v>1</v>
          </cell>
          <cell r="G492">
            <v>1</v>
          </cell>
          <cell r="H492">
            <v>1</v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</row>
        <row r="493">
          <cell r="C493" t="str">
            <v/>
          </cell>
          <cell r="D493" t="str">
            <v/>
          </cell>
          <cell r="E493" t="str">
            <v/>
          </cell>
          <cell r="F493">
            <v>1</v>
          </cell>
          <cell r="G493">
            <v>1</v>
          </cell>
          <cell r="H493">
            <v>1</v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</row>
        <row r="494">
          <cell r="C494" t="str">
            <v/>
          </cell>
          <cell r="D494" t="str">
            <v/>
          </cell>
          <cell r="E494" t="str">
            <v/>
          </cell>
          <cell r="F494">
            <v>1</v>
          </cell>
          <cell r="G494">
            <v>1</v>
          </cell>
          <cell r="H494">
            <v>1</v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</row>
        <row r="495">
          <cell r="C495" t="str">
            <v/>
          </cell>
          <cell r="D495" t="str">
            <v/>
          </cell>
          <cell r="E495" t="str">
            <v/>
          </cell>
          <cell r="F495">
            <v>1</v>
          </cell>
          <cell r="G495">
            <v>1</v>
          </cell>
          <cell r="H495">
            <v>1</v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</row>
        <row r="496">
          <cell r="C496" t="str">
            <v/>
          </cell>
          <cell r="D496" t="str">
            <v/>
          </cell>
          <cell r="E496" t="str">
            <v/>
          </cell>
          <cell r="F496">
            <v>1</v>
          </cell>
          <cell r="G496">
            <v>1</v>
          </cell>
          <cell r="H496">
            <v>1</v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</row>
        <row r="497">
          <cell r="C497" t="str">
            <v/>
          </cell>
          <cell r="D497" t="str">
            <v/>
          </cell>
          <cell r="E497" t="str">
            <v/>
          </cell>
          <cell r="F497">
            <v>1</v>
          </cell>
          <cell r="G497">
            <v>1</v>
          </cell>
          <cell r="H497">
            <v>1</v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</row>
        <row r="498">
          <cell r="C498" t="str">
            <v/>
          </cell>
          <cell r="D498" t="str">
            <v/>
          </cell>
          <cell r="E498" t="str">
            <v/>
          </cell>
          <cell r="F498">
            <v>1</v>
          </cell>
          <cell r="G498">
            <v>1</v>
          </cell>
          <cell r="H498">
            <v>1</v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</row>
        <row r="499">
          <cell r="C499" t="str">
            <v/>
          </cell>
          <cell r="D499" t="str">
            <v/>
          </cell>
          <cell r="E499" t="str">
            <v/>
          </cell>
          <cell r="F499">
            <v>1</v>
          </cell>
          <cell r="G499">
            <v>1</v>
          </cell>
          <cell r="H499">
            <v>1</v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</row>
        <row r="500">
          <cell r="C500" t="str">
            <v/>
          </cell>
          <cell r="D500" t="str">
            <v/>
          </cell>
          <cell r="E500" t="str">
            <v/>
          </cell>
          <cell r="F500">
            <v>1</v>
          </cell>
          <cell r="G500">
            <v>1</v>
          </cell>
          <cell r="H500">
            <v>1</v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</row>
        <row r="501">
          <cell r="C501" t="str">
            <v/>
          </cell>
          <cell r="D501" t="str">
            <v/>
          </cell>
          <cell r="E501" t="str">
            <v/>
          </cell>
          <cell r="F501">
            <v>1</v>
          </cell>
          <cell r="G501">
            <v>1</v>
          </cell>
          <cell r="H501">
            <v>1</v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</row>
        <row r="502">
          <cell r="C502" t="str">
            <v/>
          </cell>
          <cell r="D502" t="str">
            <v/>
          </cell>
          <cell r="E502" t="str">
            <v/>
          </cell>
          <cell r="F502">
            <v>1</v>
          </cell>
          <cell r="G502">
            <v>1</v>
          </cell>
          <cell r="H502">
            <v>1</v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</row>
        <row r="503">
          <cell r="C503" t="str">
            <v/>
          </cell>
          <cell r="D503" t="str">
            <v/>
          </cell>
          <cell r="E503" t="str">
            <v/>
          </cell>
          <cell r="F503">
            <v>1</v>
          </cell>
          <cell r="G503">
            <v>1</v>
          </cell>
          <cell r="H503">
            <v>1</v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D363"/>
  <sheetViews>
    <sheetView workbookViewId="0">
      <selection activeCell="C83" sqref="C68:H83"/>
    </sheetView>
  </sheetViews>
  <sheetFormatPr defaultRowHeight="11.25" x14ac:dyDescent="0.15"/>
  <cols>
    <col min="1" max="1" width="9" style="9"/>
    <col min="2" max="2" width="10.5" style="9" bestFit="1" customWidth="1"/>
    <col min="3" max="3" width="9.75" style="7" bestFit="1" customWidth="1"/>
    <col min="4" max="4" width="9" style="7" bestFit="1" customWidth="1"/>
    <col min="5" max="22" width="9" style="7"/>
    <col min="23" max="23" width="9" style="9"/>
    <col min="24" max="24" width="3" style="8" customWidth="1"/>
    <col min="25" max="31" width="8.125" style="7"/>
    <col min="32" max="32" width="8.125" style="9"/>
    <col min="33" max="38" width="8.125" style="7"/>
    <col min="39" max="39" width="8.125" style="9"/>
    <col min="40" max="45" width="8.125" style="7"/>
    <col min="46" max="46" width="3" style="8" customWidth="1"/>
    <col min="47" max="16384" width="9" style="9"/>
  </cols>
  <sheetData>
    <row r="1" spans="2:56" x14ac:dyDescent="0.15">
      <c r="D1" s="7" t="s">
        <v>32</v>
      </c>
    </row>
    <row r="2" spans="2:56" x14ac:dyDescent="0.15">
      <c r="D2" s="61" t="s">
        <v>125</v>
      </c>
      <c r="E2" s="61"/>
      <c r="F2" s="61"/>
      <c r="G2" s="61"/>
      <c r="H2" s="61"/>
      <c r="K2" s="61" t="s">
        <v>126</v>
      </c>
      <c r="L2" s="61"/>
      <c r="M2" s="61"/>
      <c r="N2" s="61"/>
      <c r="O2" s="61"/>
      <c r="R2" s="61" t="s">
        <v>127</v>
      </c>
      <c r="S2" s="61"/>
      <c r="T2" s="61"/>
      <c r="U2" s="61"/>
      <c r="V2" s="61"/>
      <c r="AA2" s="61" t="s">
        <v>61</v>
      </c>
      <c r="AB2" s="61"/>
      <c r="AC2" s="61"/>
      <c r="AD2" s="61"/>
      <c r="AE2" s="61"/>
      <c r="AH2" s="61" t="s">
        <v>62</v>
      </c>
      <c r="AI2" s="61"/>
      <c r="AJ2" s="61"/>
      <c r="AK2" s="61"/>
      <c r="AL2" s="61"/>
      <c r="AO2" s="61" t="s">
        <v>63</v>
      </c>
      <c r="AP2" s="61"/>
      <c r="AQ2" s="61"/>
      <c r="AR2" s="61"/>
      <c r="AS2" s="61"/>
    </row>
    <row r="3" spans="2:56" x14ac:dyDescent="0.15">
      <c r="B3" s="7" t="str">
        <f>[1]节奏总纲!N3</f>
        <v>对应玩家等级</v>
      </c>
      <c r="C3" s="7" t="s">
        <v>128</v>
      </c>
      <c r="D3" s="7" t="s">
        <v>33</v>
      </c>
      <c r="E3" s="7" t="s">
        <v>34</v>
      </c>
      <c r="F3" s="7" t="s">
        <v>35</v>
      </c>
      <c r="G3" s="7" t="s">
        <v>36</v>
      </c>
      <c r="H3" s="7" t="s">
        <v>37</v>
      </c>
      <c r="J3" s="7" t="s">
        <v>128</v>
      </c>
      <c r="K3" s="7" t="s">
        <v>23</v>
      </c>
      <c r="L3" s="7" t="s">
        <v>30</v>
      </c>
      <c r="M3" s="7" t="s">
        <v>38</v>
      </c>
      <c r="N3" s="7" t="s">
        <v>36</v>
      </c>
      <c r="O3" s="7" t="s">
        <v>31</v>
      </c>
      <c r="Q3" s="7" t="s">
        <v>22</v>
      </c>
      <c r="R3" s="7" t="s">
        <v>23</v>
      </c>
      <c r="S3" s="7" t="s">
        <v>30</v>
      </c>
      <c r="T3" s="7" t="s">
        <v>39</v>
      </c>
      <c r="U3" s="7" t="s">
        <v>36</v>
      </c>
      <c r="V3" s="7" t="s">
        <v>40</v>
      </c>
      <c r="Z3" s="7" t="s">
        <v>60</v>
      </c>
      <c r="AA3" s="7" t="s">
        <v>64</v>
      </c>
      <c r="AB3" s="7" t="s">
        <v>65</v>
      </c>
      <c r="AC3" s="7" t="s">
        <v>66</v>
      </c>
      <c r="AD3" s="7" t="s">
        <v>67</v>
      </c>
      <c r="AE3" s="7" t="s">
        <v>68</v>
      </c>
      <c r="AG3" s="7" t="s">
        <v>60</v>
      </c>
      <c r="AH3" s="7" t="s">
        <v>64</v>
      </c>
      <c r="AI3" s="7" t="s">
        <v>65</v>
      </c>
      <c r="AJ3" s="7" t="s">
        <v>66</v>
      </c>
      <c r="AK3" s="7" t="s">
        <v>67</v>
      </c>
      <c r="AL3" s="7" t="s">
        <v>40</v>
      </c>
      <c r="AN3" s="7" t="s">
        <v>22</v>
      </c>
      <c r="AO3" s="7" t="s">
        <v>64</v>
      </c>
      <c r="AP3" s="7" t="s">
        <v>65</v>
      </c>
      <c r="AQ3" s="7" t="s">
        <v>66</v>
      </c>
      <c r="AR3" s="7" t="s">
        <v>67</v>
      </c>
      <c r="AS3" s="7" t="s">
        <v>68</v>
      </c>
    </row>
    <row r="4" spans="2:56" x14ac:dyDescent="0.15">
      <c r="B4" s="7">
        <f>[1]节奏总纲!N4</f>
        <v>2</v>
      </c>
      <c r="C4" s="7">
        <v>1</v>
      </c>
      <c r="D4" s="7">
        <f>[1]节奏总纲!P4</f>
        <v>7.1773462536293131E-2</v>
      </c>
      <c r="E4" s="7">
        <f>[1]节奏总纲!Q4</f>
        <v>5.9787294292732177E-2</v>
      </c>
      <c r="F4" s="7">
        <f>[1]节奏总纲!R4</f>
        <v>4.677476553490223E-2</v>
      </c>
      <c r="G4" s="7">
        <f>[1]节奏总纲!S4</f>
        <v>3.2585151991477081E-2</v>
      </c>
      <c r="H4" s="7">
        <f>[1]节奏总纲!T4</f>
        <v>1.7039020006115988E-2</v>
      </c>
      <c r="J4" s="7">
        <v>1</v>
      </c>
      <c r="K4" s="7">
        <f>[1]节奏总纲!W4</f>
        <v>7.1773462536293131E-2</v>
      </c>
      <c r="L4" s="7">
        <f>[1]节奏总纲!X4</f>
        <v>5.9787294292732177E-2</v>
      </c>
      <c r="M4" s="7">
        <f>[1]节奏总纲!Y4</f>
        <v>4.677476553490223E-2</v>
      </c>
      <c r="N4" s="7">
        <f>[1]节奏总纲!Z4</f>
        <v>3.2585151991477081E-2</v>
      </c>
      <c r="O4" s="7">
        <f>[1]节奏总纲!AA4</f>
        <v>1.7039020006115988E-2</v>
      </c>
      <c r="Q4" s="7">
        <v>1</v>
      </c>
      <c r="R4" s="7">
        <f>[1]节奏总纲!AD4</f>
        <v>10</v>
      </c>
      <c r="S4" s="7">
        <f>[1]节奏总纲!AE4</f>
        <v>11.148446722089302</v>
      </c>
      <c r="T4" s="7">
        <f>[1]节奏总纲!AF4</f>
        <v>12.761737853656415</v>
      </c>
      <c r="U4" s="7">
        <f>[1]节奏总纲!AG4</f>
        <v>15.452231935206081</v>
      </c>
      <c r="V4" s="7">
        <f>[1]节奏总纲!AH4</f>
        <v>21.291911942729964</v>
      </c>
      <c r="Z4" s="7">
        <v>1</v>
      </c>
      <c r="AA4" s="7">
        <f>[1]节奏总纲!AM4</f>
        <v>7.4349177498517554E-3</v>
      </c>
      <c r="AB4" s="7">
        <f>[1]节奏总纲!AN4</f>
        <v>5.947934199881405E-3</v>
      </c>
      <c r="AC4" s="7">
        <f>[1]节奏总纲!AO4</f>
        <v>4.4609506499110529E-3</v>
      </c>
      <c r="AD4" s="7">
        <f>[1]节奏总纲!AP4</f>
        <v>2.9739670999407025E-3</v>
      </c>
      <c r="AE4" s="7">
        <f>[1]节奏总纲!AQ4</f>
        <v>1.4869835499703513E-3</v>
      </c>
      <c r="AG4" s="7">
        <v>1</v>
      </c>
      <c r="AH4" s="7">
        <f>[1]节奏总纲!AT4</f>
        <v>7.4349177498517554E-3</v>
      </c>
      <c r="AI4" s="7">
        <f>[1]节奏总纲!AU4</f>
        <v>5.947934199881405E-3</v>
      </c>
      <c r="AJ4" s="7">
        <f>[1]节奏总纲!AV4</f>
        <v>4.4609506499110529E-3</v>
      </c>
      <c r="AK4" s="7">
        <f>[1]节奏总纲!AW4</f>
        <v>2.9739670999407025E-3</v>
      </c>
      <c r="AL4" s="7">
        <f>[1]节奏总纲!AX4</f>
        <v>1.4869835499703513E-3</v>
      </c>
      <c r="AM4" s="7"/>
      <c r="AN4" s="7">
        <v>1</v>
      </c>
      <c r="AO4" s="7">
        <f>[1]节奏总纲!BA4</f>
        <v>11.296493250964016</v>
      </c>
      <c r="AP4" s="7">
        <f>[1]节奏总纲!BB4</f>
        <v>12.361596792946616</v>
      </c>
      <c r="AQ4" s="7">
        <f>[1]节奏总纲!BC4</f>
        <v>13.798091195443488</v>
      </c>
      <c r="AR4" s="7">
        <f>[1]节奏总纲!BD4</f>
        <v>15.911635365458322</v>
      </c>
      <c r="AS4" s="7">
        <f>[1]节奏总纲!BE4</f>
        <v>19.707330185578734</v>
      </c>
    </row>
    <row r="5" spans="2:56" x14ac:dyDescent="0.15">
      <c r="B5" s="7">
        <f>[1]节奏总纲!N5</f>
        <v>4</v>
      </c>
      <c r="C5" s="7">
        <v>2</v>
      </c>
      <c r="D5" s="7">
        <f>[1]节奏总纲!P5</f>
        <v>0.1486983549970351</v>
      </c>
      <c r="E5" s="7">
        <f>[1]节奏总纲!Q5</f>
        <v>0.12505531655250651</v>
      </c>
      <c r="F5" s="7">
        <f>[1]节奏总纲!R5</f>
        <v>9.883979656652922E-2</v>
      </c>
      <c r="G5" s="7">
        <f>[1]节奏总纲!S5</f>
        <v>6.9828747506607683E-2</v>
      </c>
      <c r="H5" s="7">
        <f>[1]节奏总纲!T5</f>
        <v>3.7085369736260552E-2</v>
      </c>
      <c r="J5" s="7">
        <v>2</v>
      </c>
      <c r="K5" s="7">
        <f>[1]节奏总纲!W5</f>
        <v>7.6924892460741967E-2</v>
      </c>
      <c r="L5" s="7">
        <f>[1]节奏总纲!X5</f>
        <v>6.5268022259774336E-2</v>
      </c>
      <c r="M5" s="7">
        <f>[1]节奏总纲!Y5</f>
        <v>5.206503103162699E-2</v>
      </c>
      <c r="N5" s="7">
        <f>[1]节奏总纲!Z5</f>
        <v>3.7243595515130602E-2</v>
      </c>
      <c r="O5" s="7">
        <f>[1]节奏总纲!AA5</f>
        <v>2.0046349730144564E-2</v>
      </c>
      <c r="Q5" s="7">
        <v>2</v>
      </c>
      <c r="R5" s="7">
        <f>[1]节奏总纲!AD5</f>
        <v>15.845161563010114</v>
      </c>
      <c r="S5" s="7">
        <f>[1]节奏总纲!AE5</f>
        <v>17.271997130667014</v>
      </c>
      <c r="T5" s="7">
        <f>[1]节奏总纲!AF5</f>
        <v>19.263096801323076</v>
      </c>
      <c r="U5" s="7">
        <f>[1]节奏总纲!AG5</f>
        <v>22.536681597650272</v>
      </c>
      <c r="V5" s="7">
        <f>[1]节奏总纲!AH5</f>
        <v>29.386000042029625</v>
      </c>
      <c r="Z5" s="7">
        <v>2</v>
      </c>
      <c r="AA5" s="7">
        <f>[1]节奏总纲!AM5</f>
        <v>2.3963093307967063E-2</v>
      </c>
      <c r="AB5" s="7">
        <f>[1]节奏总纲!AN5</f>
        <v>1.9170474646373652E-2</v>
      </c>
      <c r="AC5" s="7">
        <f>[1]节奏总纲!AO5</f>
        <v>1.4377855984780237E-2</v>
      </c>
      <c r="AD5" s="7">
        <f>[1]节奏总纲!AP5</f>
        <v>9.5852373231868262E-3</v>
      </c>
      <c r="AE5" s="7">
        <f>[1]节奏总纲!AQ5</f>
        <v>4.7926186615934131E-3</v>
      </c>
      <c r="AG5" s="7">
        <v>2</v>
      </c>
      <c r="AH5" s="7">
        <f>[1]节奏总纲!AT5</f>
        <v>1.6528175558115307E-2</v>
      </c>
      <c r="AI5" s="7">
        <f>[1]节奏总纲!AU5</f>
        <v>1.3222540446492247E-2</v>
      </c>
      <c r="AJ5" s="7">
        <f>[1]节奏总纲!AV5</f>
        <v>9.9169053348691846E-3</v>
      </c>
      <c r="AK5" s="7">
        <f>[1]节奏总纲!AW5</f>
        <v>6.6112702232461237E-3</v>
      </c>
      <c r="AL5" s="7">
        <f>[1]节奏总纲!AX5</f>
        <v>3.3056351116230618E-3</v>
      </c>
      <c r="AM5" s="7"/>
      <c r="AN5" s="7">
        <v>2</v>
      </c>
      <c r="AO5" s="7">
        <f>[1]节奏总纲!BA5</f>
        <v>14.729965238833779</v>
      </c>
      <c r="AP5" s="7">
        <f>[1]节奏总纲!BB5</f>
        <v>15.911635365458322</v>
      </c>
      <c r="AQ5" s="7">
        <f>[1]节奏总纲!BC5</f>
        <v>17.448850811924295</v>
      </c>
      <c r="AR5" s="7">
        <f>[1]节奏总纲!BD5</f>
        <v>19.707330185578734</v>
      </c>
      <c r="AS5" s="7">
        <f>[1]节奏总纲!BE5</f>
        <v>23.710496742673982</v>
      </c>
      <c r="BD5" s="7"/>
    </row>
    <row r="6" spans="2:56" x14ac:dyDescent="0.15">
      <c r="B6" s="7">
        <f>[1]节奏总纲!N6</f>
        <v>6</v>
      </c>
      <c r="C6" s="7">
        <v>3</v>
      </c>
      <c r="D6" s="7">
        <f>[1]节奏总纲!P6</f>
        <v>0.23114441334491631</v>
      </c>
      <c r="E6" s="7">
        <f>[1]节奏总纲!Q6</f>
        <v>0.19582554698581309</v>
      </c>
      <c r="F6" s="7">
        <f>[1]节奏总纲!R6</f>
        <v>0.15616116565582547</v>
      </c>
      <c r="G6" s="7">
        <f>[1]节奏总纲!S6</f>
        <v>0.11120357726023924</v>
      </c>
      <c r="H6" s="7">
        <f>[1]节奏总纲!T6</f>
        <v>5.9380999788309005E-2</v>
      </c>
      <c r="J6" s="7">
        <v>3</v>
      </c>
      <c r="K6" s="7">
        <f>[1]节奏总纲!W6</f>
        <v>8.2446058347881213E-2</v>
      </c>
      <c r="L6" s="7">
        <f>[1]节奏总纲!X6</f>
        <v>7.0770230433306575E-2</v>
      </c>
      <c r="M6" s="7">
        <f>[1]节奏总纲!Y6</f>
        <v>5.7321369089296248E-2</v>
      </c>
      <c r="N6" s="7">
        <f>[1]节奏总纲!Z6</f>
        <v>4.1374829753631562E-2</v>
      </c>
      <c r="O6" s="7">
        <f>[1]节奏总纲!AA6</f>
        <v>2.2295630052048453E-2</v>
      </c>
      <c r="Q6" s="7">
        <v>3</v>
      </c>
      <c r="R6" s="7">
        <f>[1]节奏总纲!AD6</f>
        <v>20</v>
      </c>
      <c r="S6" s="7">
        <f>[1]节奏总纲!AE6</f>
        <v>21.543844702365945</v>
      </c>
      <c r="T6" s="7">
        <f>[1]节奏总纲!AF6</f>
        <v>23.734615677065324</v>
      </c>
      <c r="U6" s="7">
        <f>[1]节奏总纲!AG6</f>
        <v>27.324610510337703</v>
      </c>
      <c r="V6" s="7">
        <f>[1]节奏总纲!AH6</f>
        <v>34.517938607173015</v>
      </c>
      <c r="Z6" s="7">
        <v>3</v>
      </c>
      <c r="AA6" s="7">
        <f>[1]节奏总纲!AM6</f>
        <v>5.1571656651039799E-2</v>
      </c>
      <c r="AB6" s="7">
        <f>[1]节奏总纲!AN6</f>
        <v>4.1257325320831845E-2</v>
      </c>
      <c r="AC6" s="7">
        <f>[1]节奏总纲!AO6</f>
        <v>3.0942993990623877E-2</v>
      </c>
      <c r="AD6" s="7">
        <f>[1]节奏总纲!AP6</f>
        <v>2.0628662660415922E-2</v>
      </c>
      <c r="AE6" s="7">
        <f>[1]节奏总纲!AQ6</f>
        <v>1.0314331330207961E-2</v>
      </c>
      <c r="AG6" s="7">
        <v>3</v>
      </c>
      <c r="AH6" s="7">
        <f>[1]节奏总纲!AT6</f>
        <v>2.7608563343072736E-2</v>
      </c>
      <c r="AI6" s="7">
        <f>[1]节奏总纲!AU6</f>
        <v>2.2086850674458192E-2</v>
      </c>
      <c r="AJ6" s="7">
        <f>[1]节奏总纲!AV6</f>
        <v>1.6565138005843638E-2</v>
      </c>
      <c r="AK6" s="7">
        <f>[1]节奏总纲!AW6</f>
        <v>1.1043425337229096E-2</v>
      </c>
      <c r="AL6" s="7">
        <f>[1]节奏总纲!AX6</f>
        <v>5.5217126686145481E-3</v>
      </c>
      <c r="AM6" s="7"/>
      <c r="AN6" s="7">
        <v>3</v>
      </c>
      <c r="AO6" s="7">
        <f>[1]节奏总纲!BA6</f>
        <v>16.888397947066121</v>
      </c>
      <c r="AP6" s="7">
        <f>[1]节奏总纲!BB6</f>
        <v>18.108391417375849</v>
      </c>
      <c r="AQ6" s="7">
        <f>[1]节奏总纲!BC6</f>
        <v>19.707330185578734</v>
      </c>
      <c r="AR6" s="7">
        <f>[1]节奏总纲!BD6</f>
        <v>22.041972908628715</v>
      </c>
      <c r="AS6" s="7">
        <f>[1]节奏总纲!BE6</f>
        <v>26.127796402772656</v>
      </c>
      <c r="BD6" s="7"/>
    </row>
    <row r="7" spans="2:56" x14ac:dyDescent="0.15">
      <c r="B7" s="7">
        <f>[1]节奏总纲!N7</f>
        <v>8</v>
      </c>
      <c r="C7" s="7">
        <v>4</v>
      </c>
      <c r="D7" s="7">
        <f>[1]节奏总纲!P7</f>
        <v>0.3195079107728942</v>
      </c>
      <c r="E7" s="7">
        <f>[1]节奏总纲!Q7</f>
        <v>0.2719651336498875</v>
      </c>
      <c r="F7" s="7">
        <f>[1]节奏总纲!R7</f>
        <v>0.21816000147573214</v>
      </c>
      <c r="G7" s="7">
        <f>[1]节奏总纲!S7</f>
        <v>0.15607961441255883</v>
      </c>
      <c r="H7" s="7">
        <f>[1]节奏总纲!T7</f>
        <v>8.4062531324348461E-2</v>
      </c>
      <c r="J7" s="7">
        <v>4</v>
      </c>
      <c r="K7" s="7">
        <f>[1]节奏总纲!W7</f>
        <v>8.8363497427977888E-2</v>
      </c>
      <c r="L7" s="7">
        <f>[1]节奏总纲!X7</f>
        <v>7.6139586664074416E-2</v>
      </c>
      <c r="M7" s="7">
        <f>[1]节奏总纲!Y7</f>
        <v>6.1998835819906672E-2</v>
      </c>
      <c r="N7" s="7">
        <f>[1]节奏总纲!Z7</f>
        <v>4.4876037152319581E-2</v>
      </c>
      <c r="O7" s="7">
        <f>[1]节奏总纲!AA7</f>
        <v>2.4681531536039455E-2</v>
      </c>
      <c r="Q7" s="7">
        <v>4</v>
      </c>
      <c r="R7" s="7">
        <f>[1]节奏总纲!AD7</f>
        <v>23.213386604241784</v>
      </c>
      <c r="S7" s="7">
        <f>[1]节奏总纲!AE7</f>
        <v>24.836966034810484</v>
      </c>
      <c r="T7" s="7">
        <f>[1]节奏总纲!AF7</f>
        <v>27.155717181399513</v>
      </c>
      <c r="U7" s="7">
        <f>[1]节奏总纲!AG7</f>
        <v>30.831257561377125</v>
      </c>
      <c r="V7" s="7">
        <f>[1]节奏总纲!AH7</f>
        <v>38.431365705145346</v>
      </c>
      <c r="Z7" s="7">
        <v>4</v>
      </c>
      <c r="AA7" s="7">
        <f>[1]节奏总纲!AM7</f>
        <v>9.2637640824031031E-2</v>
      </c>
      <c r="AB7" s="7">
        <f>[1]节奏总纲!AN7</f>
        <v>7.4110112659224833E-2</v>
      </c>
      <c r="AC7" s="7">
        <f>[1]节奏总纲!AO7</f>
        <v>5.5582584494418615E-2</v>
      </c>
      <c r="AD7" s="7">
        <f>[1]节奏总纲!AP7</f>
        <v>3.7055056329612417E-2</v>
      </c>
      <c r="AE7" s="7">
        <f>[1]节奏总纲!AQ7</f>
        <v>1.8527528164806208E-2</v>
      </c>
      <c r="AG7" s="7">
        <v>4</v>
      </c>
      <c r="AH7" s="7">
        <f>[1]节奏总纲!AT7</f>
        <v>4.1065984172991232E-2</v>
      </c>
      <c r="AI7" s="7">
        <f>[1]节奏总纲!AU7</f>
        <v>3.2852787338392989E-2</v>
      </c>
      <c r="AJ7" s="7">
        <f>[1]节奏总纲!AV7</f>
        <v>2.4639590503794738E-2</v>
      </c>
      <c r="AK7" s="7">
        <f>[1]节奏总纲!AW7</f>
        <v>1.6426393669196494E-2</v>
      </c>
      <c r="AL7" s="7">
        <f>[1]节奏总纲!AX7</f>
        <v>8.2131968345982471E-3</v>
      </c>
      <c r="AM7" s="7"/>
      <c r="AN7" s="7">
        <v>4</v>
      </c>
      <c r="AO7" s="7">
        <f>[1]节奏总纲!BA7</f>
        <v>18.453550676044042</v>
      </c>
      <c r="AP7" s="7">
        <f>[1]节奏总纲!BB7</f>
        <v>19.707330185578734</v>
      </c>
      <c r="AQ7" s="7">
        <f>[1]节奏总纲!BC7</f>
        <v>21.34613466141565</v>
      </c>
      <c r="AR7" s="7">
        <f>[1]节奏总纲!BD7</f>
        <v>23.710496742673982</v>
      </c>
      <c r="AS7" s="7">
        <f>[1]节奏总纲!BE7</f>
        <v>27.863030247590562</v>
      </c>
      <c r="BD7" s="7"/>
    </row>
    <row r="8" spans="2:56" x14ac:dyDescent="0.15">
      <c r="B8" s="7">
        <f>[1]节奏总纲!N8</f>
        <v>10</v>
      </c>
      <c r="C8" s="7">
        <v>5</v>
      </c>
      <c r="D8" s="7">
        <f>[1]节奏总纲!P8</f>
        <v>0.41421356237309515</v>
      </c>
      <c r="E8" s="7">
        <f>[1]节奏总纲!Q8</f>
        <v>0.35241289886702937</v>
      </c>
      <c r="F8" s="7">
        <f>[1]节奏总纲!R8</f>
        <v>0.28315639123824782</v>
      </c>
      <c r="G8" s="7">
        <f>[1]节奏总纲!S8</f>
        <v>0.20296464556281663</v>
      </c>
      <c r="H8" s="7">
        <f>[1]节奏总纲!T8</f>
        <v>0.10951806589144637</v>
      </c>
      <c r="J8" s="7">
        <v>5</v>
      </c>
      <c r="K8" s="7">
        <f>[1]节奏总纲!W8</f>
        <v>9.4705651600200946E-2</v>
      </c>
      <c r="L8" s="7">
        <f>[1]节奏总纲!X8</f>
        <v>8.0447765217141864E-2</v>
      </c>
      <c r="M8" s="7">
        <f>[1]节奏总纲!Y8</f>
        <v>6.4996389762515677E-2</v>
      </c>
      <c r="N8" s="7">
        <f>[1]节奏总纲!Z8</f>
        <v>4.68850311502578E-2</v>
      </c>
      <c r="O8" s="7">
        <f>[1]节奏总纲!AA8</f>
        <v>2.5455534567097912E-2</v>
      </c>
      <c r="Q8" s="7">
        <v>5</v>
      </c>
      <c r="R8" s="7">
        <f>[1]节奏总纲!AD8</f>
        <v>25.845161563010112</v>
      </c>
      <c r="S8" s="7">
        <f>[1]节奏总纲!AE8</f>
        <v>27.525245270311611</v>
      </c>
      <c r="T8" s="7">
        <f>[1]节奏总纲!AF8</f>
        <v>29.892344464157688</v>
      </c>
      <c r="U8" s="7">
        <f>[1]节奏总纲!AG8</f>
        <v>33.672145166817529</v>
      </c>
      <c r="V8" s="7">
        <f>[1]节奏总纲!AH8</f>
        <v>41.359260538726978</v>
      </c>
      <c r="Z8" s="7">
        <v>5</v>
      </c>
      <c r="AA8" s="7">
        <f>[1]节奏总纲!AM8</f>
        <v>0.15</v>
      </c>
      <c r="AB8" s="7">
        <f>[1]节奏总纲!AN8</f>
        <v>0.12</v>
      </c>
      <c r="AC8" s="7">
        <f>[1]节奏总纲!AO8</f>
        <v>0.09</v>
      </c>
      <c r="AD8" s="7">
        <f>[1]节奏总纲!AP8</f>
        <v>0.06</v>
      </c>
      <c r="AE8" s="7">
        <f>[1]节奏总纲!AQ8</f>
        <v>0.03</v>
      </c>
      <c r="AG8" s="7">
        <v>5</v>
      </c>
      <c r="AH8" s="7">
        <f>[1]节奏总纲!AT8</f>
        <v>5.7362359175968963E-2</v>
      </c>
      <c r="AI8" s="7">
        <f>[1]节奏总纲!AU8</f>
        <v>4.5889887340775162E-2</v>
      </c>
      <c r="AJ8" s="7">
        <f>[1]节奏总纲!AV8</f>
        <v>3.4417415505581382E-2</v>
      </c>
      <c r="AK8" s="7">
        <f>[1]节奏总纲!AW8</f>
        <v>2.2944943670387581E-2</v>
      </c>
      <c r="AL8" s="7">
        <f>[1]节奏总纲!AX8</f>
        <v>1.1472471835193791E-2</v>
      </c>
      <c r="AM8" s="7"/>
      <c r="AN8" s="7">
        <v>5</v>
      </c>
      <c r="AO8" s="7">
        <f>[1]节奏总纲!BA8</f>
        <v>19.707330185578734</v>
      </c>
      <c r="AP8" s="7">
        <f>[1]节奏总纲!BB8</f>
        <v>20.993539484876777</v>
      </c>
      <c r="AQ8" s="7">
        <f>[1]节奏总纲!BC8</f>
        <v>22.639743033177162</v>
      </c>
      <c r="AR8" s="7">
        <f>[1]节奏总纲!BD8</f>
        <v>25.044229735272328</v>
      </c>
      <c r="AS8" s="7">
        <f>[1]节奏总纲!BE8</f>
        <v>29.216428548527322</v>
      </c>
      <c r="BD8" s="7"/>
    </row>
    <row r="9" spans="2:56" x14ac:dyDescent="0.15">
      <c r="B9" s="7">
        <f>[1]节奏总纲!N9</f>
        <v>12</v>
      </c>
      <c r="C9" s="7">
        <v>6</v>
      </c>
      <c r="D9" s="7">
        <f>[1]节奏总纲!P9</f>
        <v>0.51571656651039799</v>
      </c>
      <c r="E9" s="7">
        <f>[1]节奏总纲!Q9</f>
        <v>0.43939051466685908</v>
      </c>
      <c r="F9" s="7">
        <f>[1]节奏总纲!R9</f>
        <v>0.35336899137292471</v>
      </c>
      <c r="G9" s="7">
        <f>[1]节奏总纲!S9</f>
        <v>0.25440298225957936</v>
      </c>
      <c r="H9" s="7">
        <f>[1]节奏总纲!T9</f>
        <v>0.13836675479473978</v>
      </c>
      <c r="J9" s="7">
        <v>6</v>
      </c>
      <c r="K9" s="7">
        <f>[1]节奏总纲!W9</f>
        <v>0.10150300413730284</v>
      </c>
      <c r="L9" s="7">
        <f>[1]节奏总纲!X9</f>
        <v>8.6977615799829711E-2</v>
      </c>
      <c r="M9" s="7">
        <f>[1]节奏总纲!Y9</f>
        <v>7.0212600134676895E-2</v>
      </c>
      <c r="N9" s="7">
        <f>[1]节奏总纲!Z9</f>
        <v>5.1438336696762732E-2</v>
      </c>
      <c r="O9" s="7">
        <f>[1]节奏总纲!AA9</f>
        <v>2.884868890329341E-2</v>
      </c>
      <c r="Q9" s="7">
        <v>6</v>
      </c>
      <c r="R9" s="7">
        <f>[1]节奏总纲!AD9</f>
        <v>28.071211008105138</v>
      </c>
      <c r="S9" s="7">
        <f>[1]节奏总纲!AE9</f>
        <v>29.78183527117605</v>
      </c>
      <c r="T9" s="7">
        <f>[1]节奏总纲!AF9</f>
        <v>32.202183458664891</v>
      </c>
      <c r="U9" s="7">
        <f>[1]节奏总纲!AG9</f>
        <v>36.067019846099676</v>
      </c>
      <c r="V9" s="7">
        <f>[1]节奏总纲!AH9</f>
        <v>43.870275262019007</v>
      </c>
      <c r="Z9" s="7">
        <v>6</v>
      </c>
      <c r="AA9" s="7">
        <f>[1]节奏总纲!AM9</f>
        <v>0.22055744069899194</v>
      </c>
      <c r="AB9" s="7">
        <f>[1]节奏总纲!AN9</f>
        <v>0.17644595255919357</v>
      </c>
      <c r="AC9" s="7">
        <f>[1]节奏总纲!AO9</f>
        <v>0.13233446441939517</v>
      </c>
      <c r="AD9" s="7">
        <f>[1]节奏总纲!AP9</f>
        <v>8.8222976279596785E-2</v>
      </c>
      <c r="AE9" s="7">
        <f>[1]节奏总纲!AQ9</f>
        <v>4.4111488139798392E-2</v>
      </c>
      <c r="AG9" s="7">
        <v>6</v>
      </c>
      <c r="AH9" s="7">
        <f>[1]节奏总纲!AT9</f>
        <v>7.0557440698991947E-2</v>
      </c>
      <c r="AI9" s="7">
        <f>[1]节奏总纲!AU9</f>
        <v>5.6445952559193574E-2</v>
      </c>
      <c r="AJ9" s="7">
        <f>[1]节奏总纲!AV9</f>
        <v>4.2334464419395174E-2</v>
      </c>
      <c r="AK9" s="7">
        <f>[1]节奏总纲!AW9</f>
        <v>2.8222976279596787E-2</v>
      </c>
      <c r="AL9" s="7">
        <f>[1]节奏总纲!AX9</f>
        <v>1.4111488139798394E-2</v>
      </c>
      <c r="AM9" s="7"/>
      <c r="AN9" s="7">
        <v>6</v>
      </c>
      <c r="AO9" s="7">
        <f>[1]节奏总纲!BA9</f>
        <v>20.745154613657583</v>
      </c>
      <c r="AP9" s="7">
        <f>[1]节奏总纲!BB9</f>
        <v>22.041972908628715</v>
      </c>
      <c r="AQ9" s="7">
        <f>[1]节奏总纲!BC9</f>
        <v>23.710496742673982</v>
      </c>
      <c r="AR9" s="7">
        <f>[1]节奏总纲!BD9</f>
        <v>26.127796402772656</v>
      </c>
      <c r="AS9" s="7">
        <f>[1]节奏总纲!BE9</f>
        <v>30.329493925593439</v>
      </c>
      <c r="BD9" s="7"/>
    </row>
    <row r="10" spans="2:56" x14ac:dyDescent="0.15">
      <c r="B10" s="7">
        <f>[1]节奏总纲!N10</f>
        <v>14</v>
      </c>
      <c r="C10" s="7">
        <v>7</v>
      </c>
      <c r="D10" s="7">
        <f>[1]节奏总纲!P10</f>
        <v>0.62450479271247095</v>
      </c>
      <c r="E10" s="7">
        <f>[1]节奏总纲!Q10</f>
        <v>0.53413894920697635</v>
      </c>
      <c r="F10" s="7">
        <f>[1]节奏总纲!R10</f>
        <v>0.43072095553379119</v>
      </c>
      <c r="G10" s="7">
        <f>[1]节奏总纲!S10</f>
        <v>0.30950457526830061</v>
      </c>
      <c r="H10" s="7">
        <f>[1]节奏总纲!T10</f>
        <v>0.16699258157131475</v>
      </c>
      <c r="J10" s="7">
        <v>7</v>
      </c>
      <c r="K10" s="7">
        <f>[1]节奏总纲!W10</f>
        <v>0.10878822620207296</v>
      </c>
      <c r="L10" s="7">
        <f>[1]节奏总纲!X10</f>
        <v>9.4748434540117277E-2</v>
      </c>
      <c r="M10" s="7">
        <f>[1]节奏总纲!Y10</f>
        <v>7.7351964160866482E-2</v>
      </c>
      <c r="N10" s="7">
        <f>[1]节奏总纲!Z10</f>
        <v>5.510159300872125E-2</v>
      </c>
      <c r="O10" s="7">
        <f>[1]节奏总纲!AA10</f>
        <v>2.8625826776574964E-2</v>
      </c>
      <c r="Q10" s="7">
        <v>7</v>
      </c>
      <c r="R10" s="7">
        <f>[1]节奏总纲!AD10</f>
        <v>30</v>
      </c>
      <c r="S10" s="7">
        <f>[1]节奏总纲!AE10</f>
        <v>31.718819483847451</v>
      </c>
      <c r="T10" s="7">
        <f>[1]节奏总纲!AF10</f>
        <v>34.192155176139416</v>
      </c>
      <c r="U10" s="7">
        <f>[1]节奏总纲!AG10</f>
        <v>38.19822972207853</v>
      </c>
      <c r="V10" s="7">
        <f>[1]节奏总纲!AH10</f>
        <v>46.093186357957826</v>
      </c>
      <c r="Z10" s="7">
        <v>7</v>
      </c>
      <c r="AA10" s="7">
        <f>[1]节奏总纲!AM10</f>
        <v>0.31141300609369982</v>
      </c>
      <c r="AB10" s="7">
        <f>[1]节奏总纲!AN10</f>
        <v>0.24913040487495985</v>
      </c>
      <c r="AC10" s="7">
        <f>[1]节奏总纲!AO10</f>
        <v>0.18684780365621989</v>
      </c>
      <c r="AD10" s="7">
        <f>[1]节奏总纲!AP10</f>
        <v>0.12456520243747993</v>
      </c>
      <c r="AE10" s="7">
        <f>[1]节奏总纲!AQ10</f>
        <v>6.2282601218739964E-2</v>
      </c>
      <c r="AG10" s="7">
        <v>7</v>
      </c>
      <c r="AH10" s="7">
        <f>[1]节奏总纲!AT10</f>
        <v>9.0855565394707877E-2</v>
      </c>
      <c r="AI10" s="7">
        <f>[1]节奏总纲!AU10</f>
        <v>7.2684452315766285E-2</v>
      </c>
      <c r="AJ10" s="7">
        <f>[1]节奏总纲!AV10</f>
        <v>5.451333923682472E-2</v>
      </c>
      <c r="AK10" s="7">
        <f>[1]节奏总纲!AW10</f>
        <v>3.6342226157883142E-2</v>
      </c>
      <c r="AL10" s="7">
        <f>[1]节奏总纲!AX10</f>
        <v>1.8171113078941571E-2</v>
      </c>
      <c r="AM10" s="7"/>
      <c r="AN10" s="7">
        <v>7</v>
      </c>
      <c r="AO10" s="7">
        <f>[1]节奏总纲!BA10</f>
        <v>21.627432338833255</v>
      </c>
      <c r="AP10" s="7">
        <f>[1]节奏总纲!BB10</f>
        <v>22.938628095451385</v>
      </c>
      <c r="AQ10" s="7">
        <f>[1]节奏总纲!BC10</f>
        <v>24.619152272059132</v>
      </c>
      <c r="AR10" s="7">
        <f>[1]节奏总纲!BD10</f>
        <v>27.059707353051884</v>
      </c>
      <c r="AS10" s="7">
        <f>[1]节奏总纲!BE10</f>
        <v>31.280110398778046</v>
      </c>
      <c r="BD10" s="7"/>
    </row>
    <row r="11" spans="2:56" x14ac:dyDescent="0.15">
      <c r="B11" s="7">
        <f>[1]节奏总纲!N11</f>
        <v>16</v>
      </c>
      <c r="C11" s="7">
        <v>8</v>
      </c>
      <c r="D11" s="7">
        <f>[1]节奏总纲!P11</f>
        <v>0.74110112659224825</v>
      </c>
      <c r="E11" s="7">
        <f>[1]节奏总纲!Q11</f>
        <v>0.63089938906798093</v>
      </c>
      <c r="F11" s="7">
        <f>[1]节奏总纲!R11</f>
        <v>0.50550507844857251</v>
      </c>
      <c r="G11" s="7">
        <f>[1]节奏总纲!S11</f>
        <v>0.36195379022765406</v>
      </c>
      <c r="H11" s="7">
        <f>[1]节奏总纲!T11</f>
        <v>0.19579891764567198</v>
      </c>
      <c r="J11" s="7">
        <v>8</v>
      </c>
      <c r="K11" s="7">
        <f>[1]节奏总纲!W11</f>
        <v>0.1165963338797773</v>
      </c>
      <c r="L11" s="7">
        <f>[1]节奏总纲!X11</f>
        <v>9.6760439861004577E-2</v>
      </c>
      <c r="M11" s="7">
        <f>[1]节奏总纲!Y11</f>
        <v>7.4784122914781315E-2</v>
      </c>
      <c r="N11" s="7">
        <f>[1]节奏总纲!Z11</f>
        <v>5.2449214959353452E-2</v>
      </c>
      <c r="O11" s="7">
        <f>[1]节奏总纲!AA11</f>
        <v>2.8806336074357231E-2</v>
      </c>
      <c r="Q11" s="7">
        <v>8</v>
      </c>
      <c r="R11" s="7">
        <f>[1]节奏总纲!AD11</f>
        <v>31.691928656135214</v>
      </c>
      <c r="S11" s="7">
        <f>[1]节奏总纲!AE11</f>
        <v>33.465251056098396</v>
      </c>
      <c r="T11" s="7">
        <f>[1]节奏总纲!AF11</f>
        <v>35.930751746472978</v>
      </c>
      <c r="U11" s="7">
        <f>[1]节奏总纲!AG11</f>
        <v>39.998279638578282</v>
      </c>
      <c r="V11" s="7">
        <f>[1]节奏总纲!AH11</f>
        <v>48.067140183443534</v>
      </c>
      <c r="Z11" s="7">
        <v>8</v>
      </c>
      <c r="AA11" s="7">
        <f>[1]节奏总纲!AM11</f>
        <v>0.42660095793436714</v>
      </c>
      <c r="AB11" s="7">
        <f>[1]节奏总纲!AN11</f>
        <v>0.34128076634749371</v>
      </c>
      <c r="AC11" s="7">
        <f>[1]节奏总纲!AO11</f>
        <v>0.25596057476062029</v>
      </c>
      <c r="AD11" s="7">
        <f>[1]节奏总纲!AP11</f>
        <v>0.17064038317374686</v>
      </c>
      <c r="AE11" s="7">
        <f>[1]节奏总纲!AQ11</f>
        <v>8.5320191586873428E-2</v>
      </c>
      <c r="AG11" s="7">
        <v>8</v>
      </c>
      <c r="AH11" s="7">
        <f>[1]节奏总纲!AT11</f>
        <v>0.11518795184066732</v>
      </c>
      <c r="AI11" s="7">
        <f>[1]节奏总纲!AU11</f>
        <v>9.2150361472533859E-2</v>
      </c>
      <c r="AJ11" s="7">
        <f>[1]节奏总纲!AV11</f>
        <v>6.9112771104400395E-2</v>
      </c>
      <c r="AK11" s="7">
        <f>[1]节奏总纲!AW11</f>
        <v>4.607518073626693E-2</v>
      </c>
      <c r="AL11" s="7">
        <f>[1]节奏总纲!AX11</f>
        <v>2.3037590368133465E-2</v>
      </c>
      <c r="AM11" s="7"/>
      <c r="AN11" s="7">
        <v>8</v>
      </c>
      <c r="AO11" s="7">
        <f>[1]节奏总纲!BA11</f>
        <v>22.400634983357783</v>
      </c>
      <c r="AP11" s="7">
        <f>[1]节奏总纲!BB11</f>
        <v>23.710496742673982</v>
      </c>
      <c r="AQ11" s="7">
        <f>[1]节奏总纲!BC11</f>
        <v>25.412810862541733</v>
      </c>
      <c r="AR11" s="7">
        <f>[1]节奏总纲!BD11</f>
        <v>27.863030247590562</v>
      </c>
      <c r="AS11" s="7">
        <f>[1]节奏总纲!BE11</f>
        <v>32.113552950216736</v>
      </c>
      <c r="BD11" s="7"/>
    </row>
    <row r="12" spans="2:56" x14ac:dyDescent="0.15">
      <c r="B12" s="7">
        <f>[1]节奏总纲!N12</f>
        <v>18</v>
      </c>
      <c r="C12" s="7">
        <v>9</v>
      </c>
      <c r="D12" s="7">
        <f>[1]节奏总纲!P12</f>
        <v>0.86606598307361482</v>
      </c>
      <c r="E12" s="7">
        <f>[1]节奏总纲!Q12</f>
        <v>0.73702215159564621</v>
      </c>
      <c r="F12" s="7">
        <f>[1]节奏总纲!R12</f>
        <v>0.59282216541388932</v>
      </c>
      <c r="G12" s="7">
        <f>[1]节奏总纲!S12</f>
        <v>0.42766338244175101</v>
      </c>
      <c r="H12" s="7">
        <f>[1]节奏总纲!T12</f>
        <v>0.23193247026711403</v>
      </c>
      <c r="J12" s="7">
        <v>9</v>
      </c>
      <c r="K12" s="7">
        <f>[1]节奏总纲!W12</f>
        <v>0.12496485648136657</v>
      </c>
      <c r="L12" s="7">
        <f>[1]节奏总纲!X12</f>
        <v>0.10612276252766528</v>
      </c>
      <c r="M12" s="7">
        <f>[1]节奏总纲!Y12</f>
        <v>8.7317086965316815E-2</v>
      </c>
      <c r="N12" s="7">
        <f>[1]节奏总纲!Z12</f>
        <v>6.5709592214096946E-2</v>
      </c>
      <c r="O12" s="7">
        <f>[1]节奏总纲!AA12</f>
        <v>3.613355262144205E-2</v>
      </c>
      <c r="Q12" s="7">
        <v>9</v>
      </c>
      <c r="R12" s="7">
        <f>[1]节奏总纲!AD12</f>
        <v>33.213386604241784</v>
      </c>
      <c r="S12" s="7">
        <f>[1]节奏总纲!AE12</f>
        <v>34.992730785174565</v>
      </c>
      <c r="T12" s="7">
        <f>[1]节奏总纲!AF12</f>
        <v>37.510565846691456</v>
      </c>
      <c r="U12" s="7">
        <f>[1]节奏总纲!AG12</f>
        <v>41.534743419557365</v>
      </c>
      <c r="V12" s="7">
        <f>[1]节奏总纲!AH12</f>
        <v>49.706056771838036</v>
      </c>
      <c r="Z12" s="7">
        <v>9</v>
      </c>
      <c r="AA12" s="7">
        <f>[1]节奏总纲!AM12</f>
        <v>0.57090651823243421</v>
      </c>
      <c r="AB12" s="7">
        <f>[1]节奏总纲!AN12</f>
        <v>0.45672521458594739</v>
      </c>
      <c r="AC12" s="7">
        <f>[1]节奏总纲!AO12</f>
        <v>0.34254391093946052</v>
      </c>
      <c r="AD12" s="7">
        <f>[1]节奏总纲!AP12</f>
        <v>0.2283626072929737</v>
      </c>
      <c r="AE12" s="7">
        <f>[1]节奏总纲!AQ12</f>
        <v>0.11418130364648685</v>
      </c>
      <c r="AG12" s="7">
        <v>9</v>
      </c>
      <c r="AH12" s="7">
        <f>[1]节奏总纲!AT12</f>
        <v>0.14430556029806707</v>
      </c>
      <c r="AI12" s="7">
        <f>[1]节奏总纲!AU12</f>
        <v>0.11544444823845368</v>
      </c>
      <c r="AJ12" s="7">
        <f>[1]节奏总纲!AV12</f>
        <v>8.6583336178840231E-2</v>
      </c>
      <c r="AK12" s="7">
        <f>[1]节奏总纲!AW12</f>
        <v>5.7722224119226839E-2</v>
      </c>
      <c r="AL12" s="7">
        <f>[1]节奏总纲!AX12</f>
        <v>2.886111205961342E-2</v>
      </c>
      <c r="AM12" s="7"/>
      <c r="AN12" s="7">
        <v>9</v>
      </c>
      <c r="AO12" s="7">
        <f>[1]节奏总纲!BA12</f>
        <v>23.100336713798686</v>
      </c>
      <c r="AP12" s="7">
        <f>[1]节奏总纲!BB12</f>
        <v>24.402761517547276</v>
      </c>
      <c r="AQ12" s="7">
        <f>[1]节奏总纲!BC12</f>
        <v>26.127796402772656</v>
      </c>
      <c r="AR12" s="7">
        <f>[1]节奏总纲!BD12</f>
        <v>28.568390277483555</v>
      </c>
      <c r="AS12" s="7">
        <f>[1]节奏总纲!BE12</f>
        <v>32.842201900114915</v>
      </c>
      <c r="BD12" s="7"/>
    </row>
    <row r="13" spans="2:56" x14ac:dyDescent="0.15">
      <c r="B13" s="7">
        <f>[1]节奏总纲!N13</f>
        <v>20</v>
      </c>
      <c r="C13" s="7">
        <v>10</v>
      </c>
      <c r="D13" s="7">
        <f>[1]节奏总纲!P13</f>
        <v>1</v>
      </c>
      <c r="E13" s="7">
        <f>[1]节奏总纲!Q13</f>
        <v>0.8548</v>
      </c>
      <c r="F13" s="7">
        <f>[1]节奏总纲!R13</f>
        <v>0.6895</v>
      </c>
      <c r="G13" s="7">
        <f>[1]节奏总纲!S13</f>
        <v>0.49980000000000002</v>
      </c>
      <c r="H13" s="7">
        <f>[1]节奏总纲!T13</f>
        <v>0.2732</v>
      </c>
      <c r="J13" s="7">
        <v>10</v>
      </c>
      <c r="K13" s="7">
        <f>[1]节奏总纲!W13</f>
        <v>0.13393401692638518</v>
      </c>
      <c r="L13" s="7">
        <f>[1]节奏总纲!X13</f>
        <v>0.11777784840435379</v>
      </c>
      <c r="M13" s="7">
        <f>[1]节奏总纲!Y13</f>
        <v>9.6677834586110678E-2</v>
      </c>
      <c r="N13" s="7">
        <f>[1]节奏总纲!Z13</f>
        <v>7.2136617558249017E-2</v>
      </c>
      <c r="O13" s="7">
        <f>[1]节奏总纲!AA13</f>
        <v>4.1267529732885971E-2</v>
      </c>
      <c r="Q13" s="7">
        <v>10</v>
      </c>
      <c r="R13" s="7">
        <f>[1]节奏总纲!AD13</f>
        <v>34.585942742481357</v>
      </c>
      <c r="S13" s="7">
        <f>[1]节奏总纲!AE13</f>
        <v>36.36169634498642</v>
      </c>
      <c r="T13" s="7">
        <f>[1]节奏总纲!AF13</f>
        <v>38.977035507933373</v>
      </c>
      <c r="U13" s="7">
        <f>[1]节奏总纲!AG13</f>
        <v>42.970748198558951</v>
      </c>
      <c r="V13" s="7">
        <f>[1]节奏总纲!AH13</f>
        <v>51.212821897464167</v>
      </c>
      <c r="Z13" s="7">
        <v>10</v>
      </c>
      <c r="AA13" s="7">
        <f>[1]节奏总纲!AM13</f>
        <v>0.75</v>
      </c>
      <c r="AB13" s="7">
        <f>[1]节奏总纲!AN13</f>
        <v>0.60000000000000009</v>
      </c>
      <c r="AC13" s="7">
        <f>[1]节奏总纲!AO13</f>
        <v>0.44999999999999996</v>
      </c>
      <c r="AD13" s="7">
        <f>[1]节奏总纲!AP13</f>
        <v>0.30000000000000004</v>
      </c>
      <c r="AE13" s="7">
        <f>[1]节奏总纲!AQ13</f>
        <v>0.15000000000000002</v>
      </c>
      <c r="AG13" s="7">
        <v>10</v>
      </c>
      <c r="AH13" s="7">
        <f>[1]节奏总纲!AT13</f>
        <v>0.17909348176756579</v>
      </c>
      <c r="AI13" s="7">
        <f>[1]节奏总纲!AU13</f>
        <v>0.1432747854140527</v>
      </c>
      <c r="AJ13" s="7">
        <f>[1]节奏总纲!AV13</f>
        <v>0.10745608906053944</v>
      </c>
      <c r="AK13" s="7">
        <f>[1]节奏总纲!AW13</f>
        <v>7.1637392707026348E-2</v>
      </c>
      <c r="AL13" s="7">
        <f>[1]节奏总纲!AX13</f>
        <v>3.5818696353513174E-2</v>
      </c>
      <c r="AM13" s="7"/>
      <c r="AN13" s="7">
        <v>10</v>
      </c>
      <c r="AO13" s="7">
        <f>[1]节奏总纲!BA13</f>
        <v>23.710496742673982</v>
      </c>
      <c r="AP13" s="7">
        <f>[1]节奏总纲!BB13</f>
        <v>25.044229735272328</v>
      </c>
      <c r="AQ13" s="7">
        <f>[1]节奏总纲!BC13</f>
        <v>26.755953543357073</v>
      </c>
      <c r="AR13" s="7">
        <f>[1]节奏总纲!BD13</f>
        <v>29.216428548527322</v>
      </c>
      <c r="AS13" s="7">
        <f>[1]节奏总纲!BE13</f>
        <v>33.487933395889513</v>
      </c>
      <c r="BD13" s="7"/>
    </row>
    <row r="14" spans="2:56" x14ac:dyDescent="0.15">
      <c r="B14" s="7">
        <f>[1]节奏总纲!N14</f>
        <v>21</v>
      </c>
      <c r="C14" s="7">
        <v>11</v>
      </c>
      <c r="D14" s="7">
        <f>[1]节奏总纲!P14</f>
        <v>1.1435469250725863</v>
      </c>
      <c r="E14" s="7">
        <f>[1]节奏总纲!Q14</f>
        <v>0.98036277886472811</v>
      </c>
      <c r="F14" s="7">
        <f>[1]节奏总纲!R14</f>
        <v>0.79453640354043287</v>
      </c>
      <c r="G14" s="7">
        <f>[1]节奏总纲!S14</f>
        <v>0.57577587677404707</v>
      </c>
      <c r="H14" s="7">
        <f>[1]节奏总纲!T14</f>
        <v>0.31767733578516444</v>
      </c>
      <c r="J14" s="7">
        <v>11</v>
      </c>
      <c r="K14" s="7">
        <f>[1]节奏总纲!W14</f>
        <v>0.14354692507258626</v>
      </c>
      <c r="L14" s="7">
        <f>[1]节奏总纲!X14</f>
        <v>0.12556277886472811</v>
      </c>
      <c r="M14" s="7">
        <f>[1]节奏总纲!Y14</f>
        <v>0.10503640354043287</v>
      </c>
      <c r="N14" s="7">
        <f>[1]节奏总纲!Z14</f>
        <v>7.5975876774047046E-2</v>
      </c>
      <c r="O14" s="7">
        <f>[1]节奏总纲!AA14</f>
        <v>4.447733578516444E-2</v>
      </c>
      <c r="Q14" s="7">
        <v>11</v>
      </c>
      <c r="R14" s="7">
        <f>[1]节奏总纲!AD14</f>
        <v>35.845161563010116</v>
      </c>
      <c r="S14" s="7">
        <f>[1]节奏总纲!AE14</f>
        <v>37.6388925299823</v>
      </c>
      <c r="T14" s="7">
        <f>[1]节奏总纲!AF14</f>
        <v>40.259528204263837</v>
      </c>
      <c r="U14" s="7">
        <f>[1]节奏总纲!AG14</f>
        <v>44.288230531994081</v>
      </c>
      <c r="V14" s="7">
        <f>[1]节奏总纲!AH14</f>
        <v>52.559419343629337</v>
      </c>
      <c r="Z14" s="7">
        <v>11</v>
      </c>
      <c r="AA14" s="7">
        <f>[1]节奏总纲!AM14</f>
        <v>0.93464628919691628</v>
      </c>
      <c r="AB14" s="7">
        <f>[1]节奏总纲!AN14</f>
        <v>0.74771703135753309</v>
      </c>
      <c r="AC14" s="7">
        <f>[1]节奏总纲!AO14</f>
        <v>0.56078777351814979</v>
      </c>
      <c r="AD14" s="7">
        <f>[1]节奏总纲!AP14</f>
        <v>0.37385851567876655</v>
      </c>
      <c r="AE14" s="7">
        <f>[1]节奏总纲!AQ14</f>
        <v>0.18692925783938327</v>
      </c>
      <c r="AG14" s="7">
        <v>11</v>
      </c>
      <c r="AH14" s="7">
        <f>[1]节奏总纲!AT14</f>
        <v>0.18464628919691628</v>
      </c>
      <c r="AI14" s="7">
        <f>[1]节奏总纲!AU14</f>
        <v>0.147717031357533</v>
      </c>
      <c r="AJ14" s="7">
        <f>[1]节奏总纲!AV14</f>
        <v>0.11078777351814983</v>
      </c>
      <c r="AK14" s="7">
        <f>[1]节奏总纲!AW14</f>
        <v>7.3858515678766501E-2</v>
      </c>
      <c r="AL14" s="7">
        <f>[1]节奏总纲!AX14</f>
        <v>3.692925783938325E-2</v>
      </c>
      <c r="AM14" s="7"/>
      <c r="AN14" s="7">
        <v>11</v>
      </c>
      <c r="AO14" s="7">
        <f>[1]节奏总纲!BA14</f>
        <v>24.272927064840161</v>
      </c>
      <c r="AP14" s="7">
        <f>[1]节奏总纲!BB14</f>
        <v>25.597101426176433</v>
      </c>
      <c r="AQ14" s="7">
        <f>[1]节奏总纲!BC14</f>
        <v>27.327481651231444</v>
      </c>
      <c r="AR14" s="7">
        <f>[1]节奏总纲!BD14</f>
        <v>29.80118336305917</v>
      </c>
      <c r="AS14" s="7">
        <f>[1]节奏总纲!BE14</f>
        <v>34.09469189131628</v>
      </c>
      <c r="BD14" s="7"/>
    </row>
    <row r="15" spans="2:56" x14ac:dyDescent="0.15">
      <c r="B15" s="7">
        <f>[1]节奏总纲!N15</f>
        <v>22</v>
      </c>
      <c r="C15" s="7">
        <v>12</v>
      </c>
      <c r="D15" s="7">
        <f>[1]节奏总纲!P15</f>
        <v>1.2973967099940702</v>
      </c>
      <c r="E15" s="7">
        <f>[1]节奏总纲!Q15</f>
        <v>1.1126474184909145</v>
      </c>
      <c r="F15" s="7">
        <f>[1]节奏总纲!R15</f>
        <v>0.9058423829178599</v>
      </c>
      <c r="G15" s="7">
        <f>[1]节奏总纲!S15</f>
        <v>0.66219128078097333</v>
      </c>
      <c r="H15" s="7">
        <f>[1]节奏总纲!T15</f>
        <v>0.36560639287632896</v>
      </c>
      <c r="J15" s="7">
        <v>12</v>
      </c>
      <c r="K15" s="7">
        <f>[1]节奏总纲!W15</f>
        <v>0.15384978492148393</v>
      </c>
      <c r="L15" s="7">
        <f>[1]节奏总纲!X15</f>
        <v>0.13228463962618642</v>
      </c>
      <c r="M15" s="7">
        <f>[1]节奏总纲!Y15</f>
        <v>0.11130597937742703</v>
      </c>
      <c r="N15" s="7">
        <f>[1]节奏总纲!Z15</f>
        <v>8.6415404006926266E-2</v>
      </c>
      <c r="O15" s="7">
        <f>[1]节奏总纲!AA15</f>
        <v>4.7929057091164518E-2</v>
      </c>
      <c r="Q15" s="7">
        <v>12</v>
      </c>
      <c r="R15" s="7">
        <f>[1]节奏总纲!AD15</f>
        <v>37.004247194324648</v>
      </c>
      <c r="S15" s="7">
        <f>[1]节奏总纲!AE15</f>
        <v>38.827998824669805</v>
      </c>
      <c r="T15" s="7">
        <f>[1]节奏总纲!AF15</f>
        <v>41.408320762540754</v>
      </c>
      <c r="U15" s="7">
        <f>[1]节奏总纲!AG15</f>
        <v>45.500930067545958</v>
      </c>
      <c r="V15" s="7">
        <f>[1]节奏总纲!AH15</f>
        <v>53.855547243088772</v>
      </c>
      <c r="Z15" s="7">
        <v>12</v>
      </c>
      <c r="AA15" s="7">
        <f>[1]节奏总纲!AM15</f>
        <v>1.1550685436347259</v>
      </c>
      <c r="AB15" s="7">
        <f>[1]节奏总纲!AN15</f>
        <v>0.92405483490778073</v>
      </c>
      <c r="AC15" s="7">
        <f>[1]节奏总纲!AO15</f>
        <v>0.69304112618083547</v>
      </c>
      <c r="AD15" s="7">
        <f>[1]节奏总纲!AP15</f>
        <v>0.46202741745389037</v>
      </c>
      <c r="AE15" s="7">
        <f>[1]节奏总纲!AQ15</f>
        <v>0.23101370872694518</v>
      </c>
      <c r="AG15" s="7">
        <v>12</v>
      </c>
      <c r="AH15" s="7">
        <f>[1]节奏总纲!AT15</f>
        <v>0.22042225443780961</v>
      </c>
      <c r="AI15" s="7">
        <f>[1]节奏总纲!AU15</f>
        <v>0.17633780355024764</v>
      </c>
      <c r="AJ15" s="7">
        <f>[1]节奏总纲!AV15</f>
        <v>0.13225335266268567</v>
      </c>
      <c r="AK15" s="7">
        <f>[1]节奏总纲!AW15</f>
        <v>8.816890177512382E-2</v>
      </c>
      <c r="AL15" s="7">
        <f>[1]节奏总纲!AX15</f>
        <v>4.408445088756191E-2</v>
      </c>
      <c r="AM15" s="7"/>
      <c r="AN15" s="7">
        <v>12</v>
      </c>
      <c r="AO15" s="7">
        <f>[1]节奏总纲!BA15</f>
        <v>24.792264875668618</v>
      </c>
      <c r="AP15" s="7">
        <f>[1]节奏总纲!BB15</f>
        <v>26.127796402772656</v>
      </c>
      <c r="AQ15" s="7">
        <f>[1]节奏总纲!BC15</f>
        <v>27.863030247590562</v>
      </c>
      <c r="AR15" s="7">
        <f>[1]节奏总纲!BD15</f>
        <v>30.329493925593439</v>
      </c>
      <c r="AS15" s="7">
        <f>[1]节奏总纲!BE15</f>
        <v>34.627226072894942</v>
      </c>
      <c r="BD15" s="7"/>
    </row>
    <row r="16" spans="2:56" x14ac:dyDescent="0.15">
      <c r="B16" s="7">
        <f>[1]节奏总纲!N16</f>
        <v>23</v>
      </c>
      <c r="C16" s="7">
        <v>13</v>
      </c>
      <c r="D16" s="7">
        <f>[1]节奏总纲!P16</f>
        <v>1.4622888266898326</v>
      </c>
      <c r="E16" s="7">
        <f>[1]节奏总纲!Q16</f>
        <v>1.2628326307293396</v>
      </c>
      <c r="F16" s="7">
        <f>[1]节奏总纲!R16</f>
        <v>1.0294513339896421</v>
      </c>
      <c r="G16" s="7">
        <f>[1]节奏总纲!S16</f>
        <v>0.75556463675063656</v>
      </c>
      <c r="H16" s="7">
        <f>[1]节奏总纲!T16</f>
        <v>0.41865329108129906</v>
      </c>
      <c r="J16" s="7">
        <v>13</v>
      </c>
      <c r="K16" s="7">
        <f>[1]节奏总纲!W16</f>
        <v>0.16489211669576243</v>
      </c>
      <c r="L16" s="7">
        <f>[1]节奏总纲!X16</f>
        <v>0.15018521223842507</v>
      </c>
      <c r="M16" s="7">
        <f>[1]节奏总纲!Y16</f>
        <v>0.12360895107178216</v>
      </c>
      <c r="N16" s="7">
        <f>[1]节奏总纲!Z16</f>
        <v>9.337335596966323E-2</v>
      </c>
      <c r="O16" s="7">
        <f>[1]节奏总纲!AA16</f>
        <v>5.3046898204970105E-2</v>
      </c>
      <c r="Q16" s="7">
        <v>13</v>
      </c>
      <c r="R16" s="7">
        <f>[1]节奏总纲!AD16</f>
        <v>38.071211008105138</v>
      </c>
      <c r="S16" s="7">
        <f>[1]节奏总纲!AE16</f>
        <v>39.935302111946527</v>
      </c>
      <c r="T16" s="7">
        <f>[1]节奏总纲!AF16</f>
        <v>42.470214785133983</v>
      </c>
      <c r="U16" s="7">
        <f>[1]节奏总纲!AG16</f>
        <v>46.631096344914496</v>
      </c>
      <c r="V16" s="7">
        <f>[1]节奏总纲!AH16</f>
        <v>55.062101953238496</v>
      </c>
      <c r="Z16" s="7">
        <v>13</v>
      </c>
      <c r="AA16" s="7">
        <f>[1]节奏总纲!AM16</f>
        <v>1.417602554491646</v>
      </c>
      <c r="AB16" s="7">
        <f>[1]节奏总纲!AN16</f>
        <v>1.1340820435933168</v>
      </c>
      <c r="AC16" s="7">
        <f>[1]节奏总纲!AO16</f>
        <v>0.85056153269498758</v>
      </c>
      <c r="AD16" s="7">
        <f>[1]节奏总纲!AP16</f>
        <v>0.56704102179665838</v>
      </c>
      <c r="AE16" s="7">
        <f>[1]节奏总纲!AQ16</f>
        <v>0.28352051089832919</v>
      </c>
      <c r="AG16" s="7">
        <v>13</v>
      </c>
      <c r="AH16" s="7">
        <f>[1]节奏总纲!AT16</f>
        <v>0.26253401085692007</v>
      </c>
      <c r="AI16" s="7">
        <f>[1]节奏总纲!AU16</f>
        <v>0.21002720868553604</v>
      </c>
      <c r="AJ16" s="7">
        <f>[1]节奏总纲!AV16</f>
        <v>0.15752040651415211</v>
      </c>
      <c r="AK16" s="7">
        <f>[1]节奏总纲!AW16</f>
        <v>0.10501360434276802</v>
      </c>
      <c r="AL16" s="7">
        <f>[1]节奏总纲!AX16</f>
        <v>5.2506802171384009E-2</v>
      </c>
      <c r="AM16" s="7"/>
      <c r="AN16" s="7">
        <v>13</v>
      </c>
      <c r="AO16" s="7">
        <f>[1]节奏总纲!BA16</f>
        <v>25.265378411633971</v>
      </c>
      <c r="AP16" s="7">
        <f>[1]节奏总纲!BB16</f>
        <v>26.598914258210968</v>
      </c>
      <c r="AQ16" s="7">
        <f>[1]节奏总纲!BC16</f>
        <v>28.339982398803929</v>
      </c>
      <c r="AR16" s="7">
        <f>[1]节奏总纲!BD16</f>
        <v>30.828727146189561</v>
      </c>
      <c r="AS16" s="7">
        <f>[1]节奏总纲!BE16</f>
        <v>35.146386283795508</v>
      </c>
      <c r="BD16" s="7"/>
    </row>
    <row r="17" spans="2:56" x14ac:dyDescent="0.15">
      <c r="B17" s="7">
        <f>[1]节奏总纲!N17</f>
        <v>24</v>
      </c>
      <c r="C17" s="7">
        <v>14</v>
      </c>
      <c r="D17" s="7">
        <f>[1]节奏总纲!P17</f>
        <v>1.6390158215457884</v>
      </c>
      <c r="E17" s="7">
        <f>[1]节奏总纲!Q17</f>
        <v>1.4136511460832426</v>
      </c>
      <c r="F17" s="7">
        <f>[1]节奏总纲!R17</f>
        <v>1.1545227446968533</v>
      </c>
      <c r="G17" s="7">
        <f>[1]节奏总纲!S17</f>
        <v>0.84605996708193598</v>
      </c>
      <c r="H17" s="7">
        <f>[1]节奏总纲!T17</f>
        <v>0.46810291863347719</v>
      </c>
      <c r="J17" s="7">
        <v>14</v>
      </c>
      <c r="K17" s="7">
        <f>[1]节奏总纲!W17</f>
        <v>0.17672699485595578</v>
      </c>
      <c r="L17" s="7">
        <f>[1]节奏总纲!X17</f>
        <v>0.150818515353903</v>
      </c>
      <c r="M17" s="7">
        <f>[1]节奏总纲!Y17</f>
        <v>0.12507141070721128</v>
      </c>
      <c r="N17" s="7">
        <f>[1]节奏总纲!Z17</f>
        <v>9.0495330331299417E-2</v>
      </c>
      <c r="O17" s="7">
        <f>[1]节奏总纲!AA17</f>
        <v>4.9449627552178133E-2</v>
      </c>
      <c r="Q17" s="7">
        <v>14</v>
      </c>
      <c r="R17" s="7">
        <f>[1]节奏总纲!AD17</f>
        <v>39.066704614192943</v>
      </c>
      <c r="S17" s="7">
        <f>[1]节奏总纲!AE17</f>
        <v>40.935169244165145</v>
      </c>
      <c r="T17" s="7">
        <f>[1]节奏总纲!AF17</f>
        <v>43.484929789964411</v>
      </c>
      <c r="U17" s="7">
        <f>[1]节奏总纲!AG17</f>
        <v>47.711408234944486</v>
      </c>
      <c r="V17" s="7">
        <f>[1]节奏总纲!AH17</f>
        <v>56.165983112651688</v>
      </c>
      <c r="Z17" s="7">
        <v>14</v>
      </c>
      <c r="AA17" s="7">
        <f>[1]节奏总纲!AM17</f>
        <v>1.7296773068470075</v>
      </c>
      <c r="AB17" s="7">
        <f>[1]节奏总纲!AN17</f>
        <v>1.383741845477606</v>
      </c>
      <c r="AC17" s="7">
        <f>[1]节奏总纲!AO17</f>
        <v>1.0378063841082044</v>
      </c>
      <c r="AD17" s="7">
        <f>[1]节奏总纲!AP17</f>
        <v>0.69187092273880302</v>
      </c>
      <c r="AE17" s="7">
        <f>[1]节奏总纲!AQ17</f>
        <v>0.34593546136940151</v>
      </c>
      <c r="AG17" s="7">
        <v>14</v>
      </c>
      <c r="AH17" s="7">
        <f>[1]节奏总纲!AT17</f>
        <v>0.31207475235536153</v>
      </c>
      <c r="AI17" s="7">
        <f>[1]节奏总纲!AU17</f>
        <v>0.24965980188428927</v>
      </c>
      <c r="AJ17" s="7">
        <f>[1]节奏总纲!AV17</f>
        <v>0.18724485141321678</v>
      </c>
      <c r="AK17" s="7">
        <f>[1]节奏总纲!AW17</f>
        <v>0.12482990094214463</v>
      </c>
      <c r="AL17" s="7">
        <f>[1]节奏总纲!AX17</f>
        <v>6.2414950471072317E-2</v>
      </c>
      <c r="AM17" s="7"/>
      <c r="AN17" s="7">
        <v>14</v>
      </c>
      <c r="AO17" s="7">
        <f>[1]节奏总纲!BA17</f>
        <v>25.707675764357255</v>
      </c>
      <c r="AP17" s="7">
        <f>[1]节奏总纲!BB17</f>
        <v>27.059707353051884</v>
      </c>
      <c r="AQ17" s="7">
        <f>[1]节奏总纲!BC17</f>
        <v>28.796798156163181</v>
      </c>
      <c r="AR17" s="7">
        <f>[1]节奏总纲!BD17</f>
        <v>31.280110398778046</v>
      </c>
      <c r="AS17" s="7">
        <f>[1]节奏总纲!BE17</f>
        <v>35.634340563113874</v>
      </c>
      <c r="BD17" s="7"/>
    </row>
    <row r="18" spans="2:56" x14ac:dyDescent="0.15">
      <c r="B18" s="7">
        <f>[1]节奏总纲!N18</f>
        <v>25</v>
      </c>
      <c r="C18" s="7">
        <v>15</v>
      </c>
      <c r="D18" s="7">
        <f>[1]节奏总纲!P18</f>
        <v>1.8284271247461898</v>
      </c>
      <c r="E18" s="7">
        <f>[1]节奏总纲!Q18</f>
        <v>1.5793953503557587</v>
      </c>
      <c r="F18" s="7">
        <f>[1]节奏总纲!R18</f>
        <v>1.2928808199080308</v>
      </c>
      <c r="G18" s="7">
        <f>[1]节奏总纲!S18</f>
        <v>0.94895367774327255</v>
      </c>
      <c r="H18" s="7">
        <f>[1]节奏总纲!T18</f>
        <v>0.5271355400643265</v>
      </c>
      <c r="J18" s="7">
        <v>15</v>
      </c>
      <c r="K18" s="7">
        <f>[1]节奏总纲!W18</f>
        <v>0.18941130320040145</v>
      </c>
      <c r="L18" s="7">
        <f>[1]节奏总纲!X18</f>
        <v>0.16574420427251613</v>
      </c>
      <c r="M18" s="7">
        <f>[1]节奏总纲!Y18</f>
        <v>0.13835807521117749</v>
      </c>
      <c r="N18" s="7">
        <f>[1]节奏总纲!Z18</f>
        <v>0.10289371066133657</v>
      </c>
      <c r="O18" s="7">
        <f>[1]节奏总纲!AA18</f>
        <v>5.9032621430849308E-2</v>
      </c>
      <c r="Q18" s="7">
        <v>15</v>
      </c>
      <c r="R18" s="7">
        <f>[1]节奏总纲!AD18</f>
        <v>40</v>
      </c>
      <c r="S18" s="7">
        <f>[1]节奏总纲!AE18</f>
        <v>41.83669503626701</v>
      </c>
      <c r="T18" s="7">
        <f>[1]节奏总纲!AF18</f>
        <v>44.442238853326032</v>
      </c>
      <c r="U18" s="7">
        <f>[1]节奏总纲!AG18</f>
        <v>48.731413734867289</v>
      </c>
      <c r="V18" s="7">
        <f>[1]节奏总纲!AH18</f>
        <v>57.176846218996921</v>
      </c>
      <c r="Z18" s="7">
        <v>15</v>
      </c>
      <c r="AA18" s="7">
        <f>[1]节奏总纲!AM18</f>
        <v>2.1</v>
      </c>
      <c r="AB18" s="7">
        <f>[1]节奏总纲!AN18</f>
        <v>1.6800000000000002</v>
      </c>
      <c r="AC18" s="7">
        <f>[1]节奏总纲!AO18</f>
        <v>1.26</v>
      </c>
      <c r="AD18" s="7">
        <f>[1]节奏总纲!AP18</f>
        <v>0.84000000000000008</v>
      </c>
      <c r="AE18" s="7">
        <f>[1]节奏总纲!AQ18</f>
        <v>0.42000000000000004</v>
      </c>
      <c r="AG18" s="7">
        <v>15</v>
      </c>
      <c r="AH18" s="7">
        <f>[1]节奏总纲!AT18</f>
        <v>0.3703226931529926</v>
      </c>
      <c r="AI18" s="7">
        <f>[1]节奏总纲!AU18</f>
        <v>0.29625815452239412</v>
      </c>
      <c r="AJ18" s="7">
        <f>[1]节奏总纲!AV18</f>
        <v>0.22219361589179565</v>
      </c>
      <c r="AK18" s="7">
        <f>[1]节奏总纲!AW18</f>
        <v>0.14812907726119706</v>
      </c>
      <c r="AL18" s="7">
        <f>[1]节奏总纲!AX18</f>
        <v>7.4064538630598531E-2</v>
      </c>
      <c r="AM18" s="7"/>
      <c r="AN18" s="7">
        <v>15</v>
      </c>
      <c r="AO18" s="7">
        <f>[1]节奏总纲!BA18</f>
        <v>26.127796402772656</v>
      </c>
      <c r="AP18" s="7">
        <f>[1]节奏总纲!BB18</f>
        <v>27.461368800321225</v>
      </c>
      <c r="AQ18" s="7">
        <f>[1]节奏总纲!BC18</f>
        <v>29.216428548527322</v>
      </c>
      <c r="AR18" s="7">
        <f>[1]节奏总纲!BD18</f>
        <v>31.706504654507764</v>
      </c>
      <c r="AS18" s="7">
        <f>[1]节奏总纲!BE18</f>
        <v>36.105477566569242</v>
      </c>
      <c r="BD18" s="7"/>
    </row>
    <row r="19" spans="2:56" x14ac:dyDescent="0.15">
      <c r="B19" s="7">
        <f>[1]节奏总纲!N19</f>
        <v>26</v>
      </c>
      <c r="C19" s="7">
        <v>16</v>
      </c>
      <c r="D19" s="7">
        <f>[1]节奏总纲!P19</f>
        <v>2.031433133020796</v>
      </c>
      <c r="E19" s="7">
        <f>[1]节奏总纲!Q19</f>
        <v>1.7586116632561031</v>
      </c>
      <c r="F19" s="7">
        <f>[1]节奏总纲!R19</f>
        <v>1.4398798046851402</v>
      </c>
      <c r="G19" s="7">
        <f>[1]节奏总纲!S19</f>
        <v>1.0618300986299702</v>
      </c>
      <c r="H19" s="7">
        <f>[1]节奏总纲!T19</f>
        <v>0.59460047803518701</v>
      </c>
      <c r="J19" s="7">
        <v>16</v>
      </c>
      <c r="K19" s="7">
        <f>[1]节奏总纲!W19</f>
        <v>0.20300600827460613</v>
      </c>
      <c r="L19" s="7">
        <f>[1]节奏总纲!X19</f>
        <v>0.17921631290034434</v>
      </c>
      <c r="M19" s="7">
        <f>[1]节奏总纲!Y19</f>
        <v>0.14699898477710938</v>
      </c>
      <c r="N19" s="7">
        <f>[1]节奏总纲!Z19</f>
        <v>0.11287642088669769</v>
      </c>
      <c r="O19" s="7">
        <f>[1]节奏总纲!AA19</f>
        <v>6.7464937970860506E-2</v>
      </c>
      <c r="Q19" s="7">
        <v>16</v>
      </c>
      <c r="R19" s="7">
        <f>[1]节奏总纲!AD19</f>
        <v>40.870795385807064</v>
      </c>
      <c r="S19" s="7">
        <f>[1]节奏总纲!AE19</f>
        <v>42.707142308553742</v>
      </c>
      <c r="T19" s="7">
        <f>[1]节奏总纲!AF19</f>
        <v>45.343250058486468</v>
      </c>
      <c r="U19" s="7">
        <f>[1]节奏总纲!AG19</f>
        <v>49.654306534727205</v>
      </c>
      <c r="V19" s="7">
        <f>[1]节奏总纲!AH19</f>
        <v>58.12511610143563</v>
      </c>
      <c r="Z19" s="7">
        <v>16</v>
      </c>
      <c r="AA19" s="7">
        <f>[1]节奏总纲!AM19</f>
        <v>2.5387719203926467</v>
      </c>
      <c r="AB19" s="7">
        <f>[1]节奏总纲!AN19</f>
        <v>2.0310175363141174</v>
      </c>
      <c r="AC19" s="7">
        <f>[1]节奏总纲!AO19</f>
        <v>1.5232631522355879</v>
      </c>
      <c r="AD19" s="7">
        <f>[1]节奏总纲!AP19</f>
        <v>1.0155087681570587</v>
      </c>
      <c r="AE19" s="7">
        <f>[1]节奏总纲!AQ19</f>
        <v>0.50775438407852935</v>
      </c>
      <c r="AG19" s="7">
        <v>16</v>
      </c>
      <c r="AH19" s="7">
        <f>[1]节奏总纲!AT19</f>
        <v>0.43877192039264656</v>
      </c>
      <c r="AI19" s="7">
        <f>[1]节奏总纲!AU19</f>
        <v>0.35101753631411725</v>
      </c>
      <c r="AJ19" s="7">
        <f>[1]节奏总纲!AV19</f>
        <v>0.26326315223558794</v>
      </c>
      <c r="AK19" s="7">
        <f>[1]节奏总纲!AW19</f>
        <v>0.17550876815705863</v>
      </c>
      <c r="AL19" s="7">
        <f>[1]节奏总纲!AX19</f>
        <v>8.7754384078529313E-2</v>
      </c>
      <c r="AM19" s="7"/>
      <c r="AN19" s="7">
        <v>16</v>
      </c>
      <c r="AO19" s="7">
        <f>[1]节奏总纲!BA19</f>
        <v>26.504690687123308</v>
      </c>
      <c r="AP19" s="7">
        <f>[1]节奏总纲!BB19</f>
        <v>27.863030247590562</v>
      </c>
      <c r="AQ19" s="7">
        <f>[1]节奏总纲!BC19</f>
        <v>29.606265091548554</v>
      </c>
      <c r="AR19" s="7">
        <f>[1]节奏总纲!BD19</f>
        <v>32.113552950216736</v>
      </c>
      <c r="AS19" s="7">
        <f>[1]节奏总纲!BE19</f>
        <v>36.526331209747774</v>
      </c>
      <c r="BD19" s="7"/>
    </row>
    <row r="20" spans="2:56" x14ac:dyDescent="0.15">
      <c r="B20" s="7">
        <f>[1]节奏总纲!N20</f>
        <v>27</v>
      </c>
      <c r="C20" s="7">
        <v>17</v>
      </c>
      <c r="D20" s="7">
        <f>[1]节奏总纲!P20</f>
        <v>2.2490095854249419</v>
      </c>
      <c r="E20" s="7">
        <f>[1]节奏总纲!Q20</f>
        <v>1.9433691827656923</v>
      </c>
      <c r="F20" s="7">
        <f>[1]节奏总纲!R20</f>
        <v>1.5904995788125189</v>
      </c>
      <c r="G20" s="7">
        <f>[1]节奏总纲!S20</f>
        <v>1.1742079045503622</v>
      </c>
      <c r="H20" s="7">
        <f>[1]节奏总纲!T20</f>
        <v>0.65311238360740309</v>
      </c>
      <c r="J20" s="7">
        <v>17</v>
      </c>
      <c r="K20" s="7">
        <f>[1]节奏总纲!W20</f>
        <v>0.21757645240414591</v>
      </c>
      <c r="L20" s="7">
        <f>[1]节奏总纲!X20</f>
        <v>0.18475751950958919</v>
      </c>
      <c r="M20" s="7">
        <f>[1]节奏总纲!Y20</f>
        <v>0.1506197741273787</v>
      </c>
      <c r="N20" s="7">
        <f>[1]节奏总纲!Z20</f>
        <v>0.11237780592039193</v>
      </c>
      <c r="O20" s="7">
        <f>[1]节奏总纲!AA20</f>
        <v>5.8511905572216083E-2</v>
      </c>
      <c r="Q20" s="7">
        <v>17</v>
      </c>
      <c r="R20" s="7">
        <f>[1]节奏总纲!AD20</f>
        <v>41.691928656135218</v>
      </c>
      <c r="S20" s="7">
        <f>[1]节奏总纲!AE20</f>
        <v>43.535389560453282</v>
      </c>
      <c r="T20" s="7">
        <f>[1]节奏总纲!AF20</f>
        <v>46.195785611164197</v>
      </c>
      <c r="U20" s="7">
        <f>[1]节奏总纲!AG20</f>
        <v>50.510850036206186</v>
      </c>
      <c r="V20" s="7">
        <f>[1]节奏总纲!AH20</f>
        <v>58.996855914896834</v>
      </c>
      <c r="Z20" s="7">
        <v>17</v>
      </c>
      <c r="AA20" s="7">
        <f>[1]节奏总纲!AM20</f>
        <v>3.0579402515786085</v>
      </c>
      <c r="AB20" s="7">
        <f>[1]节奏总纲!AN20</f>
        <v>2.4463522012628869</v>
      </c>
      <c r="AC20" s="7">
        <f>[1]节奏总纲!AO20</f>
        <v>1.8347641509471651</v>
      </c>
      <c r="AD20" s="7">
        <f>[1]节奏总纲!AP20</f>
        <v>1.2231761006314434</v>
      </c>
      <c r="AE20" s="7">
        <f>[1]节奏总纲!AQ20</f>
        <v>0.61158805031572172</v>
      </c>
      <c r="AG20" s="7">
        <v>17</v>
      </c>
      <c r="AH20" s="7">
        <f>[1]节奏总纲!AT20</f>
        <v>0.51916833118596184</v>
      </c>
      <c r="AI20" s="7">
        <f>[1]节奏总纲!AU20</f>
        <v>0.41533466494876947</v>
      </c>
      <c r="AJ20" s="7">
        <f>[1]节奏总纲!AV20</f>
        <v>0.3115009987115771</v>
      </c>
      <c r="AK20" s="7">
        <f>[1]节奏总纲!AW20</f>
        <v>0.20766733247438474</v>
      </c>
      <c r="AL20" s="7">
        <f>[1]节奏总纲!AX20</f>
        <v>0.10383366623719237</v>
      </c>
      <c r="AM20" s="7"/>
      <c r="AN20" s="7">
        <v>17</v>
      </c>
      <c r="AO20" s="7">
        <f>[1]节奏总纲!BA20</f>
        <v>26.881584971473956</v>
      </c>
      <c r="AP20" s="7">
        <f>[1]节奏总纲!BB20</f>
        <v>28.225778459464117</v>
      </c>
      <c r="AQ20" s="7">
        <f>[1]节奏总纲!BC20</f>
        <v>29.996101634569786</v>
      </c>
      <c r="AR20" s="7">
        <f>[1]节奏总纲!BD20</f>
        <v>32.477877425165822</v>
      </c>
      <c r="AS20" s="7">
        <f>[1]节奏总纲!BE20</f>
        <v>36.947184852926306</v>
      </c>
      <c r="BD20" s="7"/>
    </row>
    <row r="21" spans="2:56" x14ac:dyDescent="0.15">
      <c r="B21" s="7">
        <f>[1]节奏总纲!N21</f>
        <v>28</v>
      </c>
      <c r="C21" s="7">
        <v>18</v>
      </c>
      <c r="D21" s="7">
        <f>[1]节奏总纲!P21</f>
        <v>2.4822022531844965</v>
      </c>
      <c r="E21" s="7">
        <f>[1]节奏总纲!Q21</f>
        <v>2.1515729130603214</v>
      </c>
      <c r="F21" s="7">
        <f>[1]节奏总纲!R21</f>
        <v>1.7690655458445907</v>
      </c>
      <c r="G21" s="7">
        <f>[1]节奏总纲!S21</f>
        <v>1.3066312660763189</v>
      </c>
      <c r="H21" s="7">
        <f>[1]节奏总纲!T21</f>
        <v>0.72554771860582834</v>
      </c>
      <c r="J21" s="7">
        <v>18</v>
      </c>
      <c r="K21" s="7">
        <f>[1]节奏总纲!W21</f>
        <v>0.23319266775955461</v>
      </c>
      <c r="L21" s="7">
        <f>[1]节奏总纲!X21</f>
        <v>0.20820373029462913</v>
      </c>
      <c r="M21" s="7">
        <f>[1]节奏总纲!Y21</f>
        <v>0.17856596703207184</v>
      </c>
      <c r="N21" s="7">
        <f>[1]节奏总纲!Z21</f>
        <v>0.13242336152595668</v>
      </c>
      <c r="O21" s="7">
        <f>[1]节奏总纲!AA21</f>
        <v>7.2435334998425249E-2</v>
      </c>
      <c r="Q21" s="7">
        <v>18</v>
      </c>
      <c r="R21" s="7">
        <f>[1]节奏总纲!AD21</f>
        <v>42.470630686057078</v>
      </c>
      <c r="S21" s="7">
        <f>[1]节奏总纲!AE21</f>
        <v>44.32123076997032</v>
      </c>
      <c r="T21" s="7">
        <f>[1]节奏总纲!AF21</f>
        <v>47.002405448181747</v>
      </c>
      <c r="U21" s="7">
        <f>[1]节奏总纲!AG21</f>
        <v>51.307235833425089</v>
      </c>
      <c r="V21" s="7">
        <f>[1]节奏总纲!AH21</f>
        <v>59.782901351568675</v>
      </c>
      <c r="Z21" s="7">
        <v>18</v>
      </c>
      <c r="AA21" s="7">
        <f>[1]节奏总纲!AM21</f>
        <v>3.671491735587451</v>
      </c>
      <c r="AB21" s="7">
        <f>[1]节奏总纲!AN21</f>
        <v>2.9371933884699608</v>
      </c>
      <c r="AC21" s="7">
        <f>[1]节奏总纲!AO21</f>
        <v>2.2028950413524706</v>
      </c>
      <c r="AD21" s="7">
        <f>[1]节奏总纲!AP21</f>
        <v>1.4685966942349804</v>
      </c>
      <c r="AE21" s="7">
        <f>[1]节奏总纲!AQ21</f>
        <v>0.7342983471174902</v>
      </c>
      <c r="AG21" s="7">
        <v>18</v>
      </c>
      <c r="AH21" s="7">
        <f>[1]节奏总纲!AT21</f>
        <v>0.61355148400884252</v>
      </c>
      <c r="AI21" s="7">
        <f>[1]节奏总纲!AU21</f>
        <v>0.49084118720707393</v>
      </c>
      <c r="AJ21" s="7">
        <f>[1]节奏总纲!AV21</f>
        <v>0.36813089040530556</v>
      </c>
      <c r="AK21" s="7">
        <f>[1]节奏总纲!AW21</f>
        <v>0.24542059360353696</v>
      </c>
      <c r="AL21" s="7">
        <f>[1]节奏总纲!AX21</f>
        <v>0.12271029680176848</v>
      </c>
      <c r="AM21" s="7"/>
      <c r="AN21" s="7">
        <v>18</v>
      </c>
      <c r="AO21" s="7">
        <f>[1]节奏总纲!BA21</f>
        <v>27.220371931959619</v>
      </c>
      <c r="AP21" s="7">
        <f>[1]节奏总纲!BB21</f>
        <v>28.568390277483555</v>
      </c>
      <c r="AQ21" s="7">
        <f>[1]节奏总纲!BC21</f>
        <v>30.329493925593439</v>
      </c>
      <c r="AR21" s="7">
        <f>[1]节奏总纲!BD21</f>
        <v>32.842201900114915</v>
      </c>
      <c r="AS21" s="7">
        <f>[1]节奏总纲!BE21</f>
        <v>37.317457773889828</v>
      </c>
      <c r="BD21" s="7"/>
    </row>
    <row r="22" spans="2:56" x14ac:dyDescent="0.15">
      <c r="B22" s="7">
        <f>[1]节奏总纲!N22</f>
        <v>29</v>
      </c>
      <c r="C22" s="7">
        <v>19</v>
      </c>
      <c r="D22" s="7">
        <f>[1]节奏总纲!P22</f>
        <v>2.7321319661472296</v>
      </c>
      <c r="E22" s="7">
        <f>[1]节奏总纲!Q22</f>
        <v>2.3734030389920986</v>
      </c>
      <c r="F22" s="7">
        <f>[1]节奏总纲!R22</f>
        <v>1.9510154370257367</v>
      </c>
      <c r="G22" s="7">
        <f>[1]节奏总纲!S22</f>
        <v>1.4395603329629754</v>
      </c>
      <c r="H22" s="7">
        <f>[1]节奏总纲!T22</f>
        <v>0.80270037165405606</v>
      </c>
      <c r="J22" s="7">
        <v>19</v>
      </c>
      <c r="K22" s="7">
        <f>[1]节奏总纲!W22</f>
        <v>0.24992971296273314</v>
      </c>
      <c r="L22" s="7">
        <f>[1]节奏总纲!X22</f>
        <v>0.2218301259317772</v>
      </c>
      <c r="M22" s="7">
        <f>[1]节奏总纲!Y22</f>
        <v>0.18194989118114591</v>
      </c>
      <c r="N22" s="7">
        <f>[1]节奏总纲!Z22</f>
        <v>0.13292906688665651</v>
      </c>
      <c r="O22" s="7">
        <f>[1]节奏总纲!AA22</f>
        <v>7.7152653048227715E-2</v>
      </c>
      <c r="Q22" s="7">
        <v>19</v>
      </c>
      <c r="R22" s="7">
        <f>[1]节奏总纲!AD22</f>
        <v>43.213386604241784</v>
      </c>
      <c r="S22" s="7">
        <f>[1]节奏总纲!AE22</f>
        <v>45.070782602372333</v>
      </c>
      <c r="T22" s="7">
        <f>[1]节奏总纲!AF22</f>
        <v>47.752799438858894</v>
      </c>
      <c r="U22" s="7">
        <f>[1]节奏总纲!AG22</f>
        <v>52.050057424983954</v>
      </c>
      <c r="V22" s="7">
        <f>[1]节奏总纲!AH22</f>
        <v>60.54585273688761</v>
      </c>
      <c r="Z22" s="7">
        <v>19</v>
      </c>
      <c r="AA22" s="7">
        <f>[1]节奏总纲!AM22</f>
        <v>4.3957950643309154</v>
      </c>
      <c r="AB22" s="7">
        <f>[1]节奏总纲!AN22</f>
        <v>3.5166360514647326</v>
      </c>
      <c r="AC22" s="7">
        <f>[1]节奏总纲!AO22</f>
        <v>2.6374770385985493</v>
      </c>
      <c r="AD22" s="7">
        <f>[1]节奏总纲!AP22</f>
        <v>1.7583180257323663</v>
      </c>
      <c r="AE22" s="7">
        <f>[1]节奏总纲!AQ22</f>
        <v>0.87915901286618314</v>
      </c>
      <c r="AG22" s="7">
        <v>19</v>
      </c>
      <c r="AH22" s="7">
        <f>[1]节奏总纲!AT22</f>
        <v>0.72430332874346437</v>
      </c>
      <c r="AI22" s="7">
        <f>[1]节奏总纲!AU22</f>
        <v>0.57944266299477176</v>
      </c>
      <c r="AJ22" s="7">
        <f>[1]节奏总纲!AV22</f>
        <v>0.43458199724607871</v>
      </c>
      <c r="AK22" s="7">
        <f>[1]节奏总纲!AW22</f>
        <v>0.28972133149738588</v>
      </c>
      <c r="AL22" s="7">
        <f>[1]节奏总纲!AX22</f>
        <v>0.14486066574869294</v>
      </c>
      <c r="AM22" s="7"/>
      <c r="AN22" s="7">
        <v>19</v>
      </c>
      <c r="AO22" s="7">
        <f>[1]节奏总纲!BA22</f>
        <v>27.541701089775092</v>
      </c>
      <c r="AP22" s="7">
        <f>[1]节奏总纲!BB22</f>
        <v>28.911002095502997</v>
      </c>
      <c r="AQ22" s="7">
        <f>[1]节奏总纲!BC22</f>
        <v>30.662316072657521</v>
      </c>
      <c r="AR22" s="7">
        <f>[1]节奏总纲!BD22</f>
        <v>33.176527924103851</v>
      </c>
      <c r="AS22" s="7">
        <f>[1]节奏总纲!BE22</f>
        <v>37.680472138177471</v>
      </c>
      <c r="BD22" s="7"/>
    </row>
    <row r="23" spans="2:56" x14ac:dyDescent="0.15">
      <c r="B23" s="7">
        <f>[1]节奏总纲!N23</f>
        <v>30</v>
      </c>
      <c r="C23" s="7">
        <v>20</v>
      </c>
      <c r="D23" s="7">
        <f>[1]节奏总纲!P23</f>
        <v>3</v>
      </c>
      <c r="E23" s="7">
        <f>[1]节奏总纲!Q23</f>
        <v>2.6036999999999999</v>
      </c>
      <c r="F23" s="7">
        <f>[1]节奏总纲!R23</f>
        <v>2.1372</v>
      </c>
      <c r="G23" s="7">
        <f>[1]节奏总纲!S23</f>
        <v>1.5800999999999998</v>
      </c>
      <c r="H23" s="7">
        <f>[1]节奏总纲!T23</f>
        <v>0.87990000000000002</v>
      </c>
      <c r="J23" s="7">
        <v>20</v>
      </c>
      <c r="K23" s="7">
        <f>[1]节奏总纲!W23</f>
        <v>0.26786803385277036</v>
      </c>
      <c r="L23" s="7">
        <f>[1]节奏总纲!X23</f>
        <v>0.23029696100790131</v>
      </c>
      <c r="M23" s="7">
        <f>[1]节奏总纲!Y23</f>
        <v>0.18618456297426333</v>
      </c>
      <c r="N23" s="7">
        <f>[1]节奏总纲!Z23</f>
        <v>0.14053966703702447</v>
      </c>
      <c r="O23" s="7">
        <f>[1]节奏总纲!AA23</f>
        <v>7.719962834594396E-2</v>
      </c>
      <c r="Q23" s="7">
        <v>20</v>
      </c>
      <c r="R23" s="7">
        <f>[1]节奏总纲!AD23</f>
        <v>43.920692243099523</v>
      </c>
      <c r="S23" s="7">
        <f>[1]节奏总纲!AE23</f>
        <v>45.780025086357675</v>
      </c>
      <c r="T23" s="7">
        <f>[1]节奏总纲!AF23</f>
        <v>48.482447528152484</v>
      </c>
      <c r="U23" s="7">
        <f>[1]节奏总纲!AG23</f>
        <v>52.769987980532711</v>
      </c>
      <c r="V23" s="7">
        <f>[1]节奏总纲!AH23</f>
        <v>61.261422558944936</v>
      </c>
      <c r="Z23" s="7">
        <v>20</v>
      </c>
      <c r="AA23" s="7">
        <f>[1]节奏总纲!AM23</f>
        <v>5.25</v>
      </c>
      <c r="AB23" s="7">
        <f>[1]节奏总纲!AN23</f>
        <v>4.2</v>
      </c>
      <c r="AC23" s="7">
        <f>[1]节奏总纲!AO23</f>
        <v>3.15</v>
      </c>
      <c r="AD23" s="7">
        <f>[1]节奏总纲!AP23</f>
        <v>2.1</v>
      </c>
      <c r="AE23" s="7">
        <f>[1]节奏总纲!AQ23</f>
        <v>1.05</v>
      </c>
      <c r="AG23" s="7">
        <v>20</v>
      </c>
      <c r="AH23" s="7">
        <f>[1]节奏总纲!AT23</f>
        <v>0.85420493566908462</v>
      </c>
      <c r="AI23" s="7">
        <f>[1]节奏总纲!AU23</f>
        <v>0.68336394853526761</v>
      </c>
      <c r="AJ23" s="7">
        <f>[1]节奏总纲!AV23</f>
        <v>0.51252296140145059</v>
      </c>
      <c r="AK23" s="7">
        <f>[1]节奏总纲!AW23</f>
        <v>0.3416819742676338</v>
      </c>
      <c r="AL23" s="7">
        <f>[1]节奏总纲!AX23</f>
        <v>0.1708409871338169</v>
      </c>
      <c r="AM23" s="7"/>
      <c r="AN23" s="7">
        <v>20</v>
      </c>
      <c r="AO23" s="7">
        <f>[1]节奏总纲!BA23</f>
        <v>27.863030247590562</v>
      </c>
      <c r="AP23" s="7">
        <f>[1]节奏总纲!BB23</f>
        <v>29.216428548527322</v>
      </c>
      <c r="AQ23" s="7">
        <f>[1]节奏总纲!BC23</f>
        <v>30.995138219721603</v>
      </c>
      <c r="AR23" s="7">
        <f>[1]节奏总纲!BD23</f>
        <v>33.487933395889513</v>
      </c>
      <c r="AS23" s="7">
        <f>[1]节奏总纲!BE23</f>
        <v>38.037513426486328</v>
      </c>
      <c r="BD23" s="7"/>
    </row>
    <row r="24" spans="2:56" x14ac:dyDescent="0.15">
      <c r="B24" s="7">
        <f>[1]节奏总纲!N24</f>
        <v>31</v>
      </c>
      <c r="C24" s="7">
        <v>21</v>
      </c>
      <c r="D24" s="7">
        <f>[1]节奏总纲!P24</f>
        <v>3.2870938501451725</v>
      </c>
      <c r="E24" s="7">
        <f>[1]节奏总纲!Q24</f>
        <v>2.8518826243859516</v>
      </c>
      <c r="F24" s="7">
        <f>[1]节奏总纲!R24</f>
        <v>2.3466562996186386</v>
      </c>
      <c r="G24" s="7">
        <f>[1]节奏总纲!S24</f>
        <v>1.7365716810316947</v>
      </c>
      <c r="H24" s="7">
        <f>[1]节奏总纲!T24</f>
        <v>0.97166494210291288</v>
      </c>
      <c r="J24" s="7">
        <v>21</v>
      </c>
      <c r="K24" s="7">
        <f>[1]节奏总纲!W24</f>
        <v>0.28709385014517252</v>
      </c>
      <c r="L24" s="7">
        <f>[1]节奏总纲!X24</f>
        <v>0.24818262438595173</v>
      </c>
      <c r="M24" s="7">
        <f>[1]节奏总纲!Y24</f>
        <v>0.20945629961863865</v>
      </c>
      <c r="N24" s="7">
        <f>[1]节奏总纲!Z24</f>
        <v>0.15647168103169484</v>
      </c>
      <c r="O24" s="7">
        <f>[1]节奏总纲!AA24</f>
        <v>9.1764942102912861E-2</v>
      </c>
      <c r="Q24" s="7">
        <v>21</v>
      </c>
      <c r="R24" s="7">
        <f>[1]节奏总纲!AD24</f>
        <v>44.585942742481357</v>
      </c>
      <c r="S24" s="7">
        <f>[1]节奏总纲!AE24</f>
        <v>46.455967430551723</v>
      </c>
      <c r="T24" s="7">
        <f>[1]节奏总纲!AF24</f>
        <v>49.18886033229559</v>
      </c>
      <c r="U24" s="7">
        <f>[1]节奏总纲!AG24</f>
        <v>53.471660769826336</v>
      </c>
      <c r="V24" s="7">
        <f>[1]节奏总纲!AH24</f>
        <v>61.918453772109508</v>
      </c>
      <c r="Z24" s="7">
        <v>21</v>
      </c>
      <c r="AA24" s="7">
        <f>[1]节奏总纲!AM24</f>
        <v>6.2565025247829205</v>
      </c>
      <c r="AB24" s="7">
        <f>[1]节奏总纲!AN24</f>
        <v>5.0052020198263367</v>
      </c>
      <c r="AC24" s="7">
        <f>[1]节奏总纲!AO24</f>
        <v>3.7539015148697521</v>
      </c>
      <c r="AD24" s="7">
        <f>[1]节奏总纲!AP24</f>
        <v>2.5026010099131684</v>
      </c>
      <c r="AE24" s="7">
        <f>[1]节奏总纲!AQ24</f>
        <v>1.2513005049565842</v>
      </c>
      <c r="AG24" s="7">
        <v>21</v>
      </c>
      <c r="AH24" s="7">
        <f>[1]节奏总纲!AT24</f>
        <v>1.0065025247829205</v>
      </c>
      <c r="AI24" s="7">
        <f>[1]节奏总纲!AU24</f>
        <v>0.80520201982633655</v>
      </c>
      <c r="AJ24" s="7">
        <f>[1]节奏总纲!AV24</f>
        <v>0.60390151486975219</v>
      </c>
      <c r="AK24" s="7">
        <f>[1]节奏总纲!AW24</f>
        <v>0.40260100991316827</v>
      </c>
      <c r="AL24" s="7">
        <f>[1]节奏总纲!AX24</f>
        <v>0.20130050495658414</v>
      </c>
      <c r="AM24" s="7"/>
      <c r="AN24" s="7">
        <v>21</v>
      </c>
      <c r="AO24" s="7">
        <f>[1]节奏总纲!BA24</f>
        <v>28.157256095860227</v>
      </c>
      <c r="AP24" s="7">
        <f>[1]节奏总纲!BB24</f>
        <v>29.508805955793246</v>
      </c>
      <c r="AQ24" s="7">
        <f>[1]节奏总纲!BC24</f>
        <v>31.280110398778046</v>
      </c>
      <c r="AR24" s="7">
        <f>[1]节奏总纲!BD24</f>
        <v>33.799338867675175</v>
      </c>
      <c r="AS24" s="7">
        <f>[1]节奏总纲!BE24</f>
        <v>38.35066605767593</v>
      </c>
      <c r="BD24" s="7"/>
    </row>
    <row r="25" spans="2:56" x14ac:dyDescent="0.15">
      <c r="B25" s="7">
        <f>[1]节奏总纲!N25</f>
        <v>32</v>
      </c>
      <c r="C25" s="7">
        <v>22</v>
      </c>
      <c r="D25" s="7">
        <f>[1]节奏总纲!P25</f>
        <v>3.5947934199881395</v>
      </c>
      <c r="E25" s="7">
        <f>[1]节奏总纲!Q25</f>
        <v>3.124234961311692</v>
      </c>
      <c r="F25" s="7">
        <f>[1]节奏总纲!R25</f>
        <v>2.5749505267375046</v>
      </c>
      <c r="G25" s="7">
        <f>[1]节奏总纲!S25</f>
        <v>1.9077568679877055</v>
      </c>
      <c r="H25" s="7">
        <f>[1]节奏总纲!T25</f>
        <v>1.0687320837624739</v>
      </c>
      <c r="J25" s="7">
        <v>22</v>
      </c>
      <c r="K25" s="7">
        <f>[1]节奏总纲!W25</f>
        <v>0.30769956984296698</v>
      </c>
      <c r="L25" s="7">
        <f>[1]节奏总纲!X25</f>
        <v>0.27235233692574035</v>
      </c>
      <c r="M25" s="7">
        <f>[1]节奏总纲!Y25</f>
        <v>0.22829422711886593</v>
      </c>
      <c r="N25" s="7">
        <f>[1]节奏总纲!Z25</f>
        <v>0.17118518695601082</v>
      </c>
      <c r="O25" s="7">
        <f>[1]节奏总纲!AA25</f>
        <v>9.7067141659560985E-2</v>
      </c>
      <c r="Q25" s="7">
        <v>22</v>
      </c>
      <c r="R25" s="7">
        <f>[1]节奏总纲!AD25</f>
        <v>45.229416240679988</v>
      </c>
      <c r="S25" s="7">
        <f>[1]节奏总纲!AE25</f>
        <v>47.110426931480873</v>
      </c>
      <c r="T25" s="7">
        <f>[1]节奏总纲!AF25</f>
        <v>49.861837738505173</v>
      </c>
      <c r="U25" s="7">
        <f>[1]节奏总纲!AG25</f>
        <v>54.15637358335789</v>
      </c>
      <c r="V25" s="7">
        <f>[1]节奏总纲!AH25</f>
        <v>62.555781631668886</v>
      </c>
      <c r="Z25" s="7">
        <v>22</v>
      </c>
      <c r="AA25" s="7">
        <f>[1]节奏总纲!AM25</f>
        <v>7.4414868317755332</v>
      </c>
      <c r="AB25" s="7">
        <f>[1]节奏总纲!AN25</f>
        <v>5.9531894654204267</v>
      </c>
      <c r="AC25" s="7">
        <f>[1]节奏总纲!AO25</f>
        <v>4.4648920990653194</v>
      </c>
      <c r="AD25" s="7">
        <f>[1]节奏总纲!AP25</f>
        <v>2.9765947327102134</v>
      </c>
      <c r="AE25" s="7">
        <f>[1]节奏总纲!AQ25</f>
        <v>1.4882973663551067</v>
      </c>
      <c r="AG25" s="7">
        <v>22</v>
      </c>
      <c r="AH25" s="7">
        <f>[1]节奏总纲!AT25</f>
        <v>1.1849843069926127</v>
      </c>
      <c r="AI25" s="7">
        <f>[1]节奏总纲!AU25</f>
        <v>0.94798744559408998</v>
      </c>
      <c r="AJ25" s="7">
        <f>[1]节奏总纲!AV25</f>
        <v>0.71099058419556727</v>
      </c>
      <c r="AK25" s="7">
        <f>[1]节奏总纲!AW25</f>
        <v>0.47399372279704499</v>
      </c>
      <c r="AL25" s="7">
        <f>[1]节奏总纲!AX25</f>
        <v>0.2369968613985225</v>
      </c>
      <c r="AM25" s="7"/>
      <c r="AN25" s="7">
        <v>22</v>
      </c>
      <c r="AO25" s="7">
        <f>[1]节奏总纲!BA25</f>
        <v>28.431345550275779</v>
      </c>
      <c r="AP25" s="7">
        <f>[1]节奏总纲!BB25</f>
        <v>29.80118336305917</v>
      </c>
      <c r="AQ25" s="7">
        <f>[1]节奏总纲!BC25</f>
        <v>31.564373235931193</v>
      </c>
      <c r="AR25" s="7">
        <f>[1]节奏总纲!BD25</f>
        <v>34.09469189131628</v>
      </c>
      <c r="AS25" s="7">
        <f>[1]节奏总纲!BE25</f>
        <v>38.663818688865533</v>
      </c>
      <c r="BD25" s="7"/>
    </row>
    <row r="26" spans="2:56" x14ac:dyDescent="0.15">
      <c r="B26" s="7">
        <f>[1]节奏总纲!N26</f>
        <v>33</v>
      </c>
      <c r="C26" s="7">
        <v>23</v>
      </c>
      <c r="D26" s="7">
        <f>[1]节奏总纲!P26</f>
        <v>3.9245776533796644</v>
      </c>
      <c r="E26" s="7">
        <f>[1]节奏总纲!Q26</f>
        <v>3.4081032341949005</v>
      </c>
      <c r="F26" s="7">
        <f>[1]节奏总纲!R26</f>
        <v>2.8064654799317976</v>
      </c>
      <c r="G26" s="7">
        <f>[1]节奏总纲!S26</f>
        <v>2.0796336985258841</v>
      </c>
      <c r="H26" s="7">
        <f>[1]节奏总纲!T26</f>
        <v>1.1608900698697047</v>
      </c>
      <c r="J26" s="7">
        <v>23</v>
      </c>
      <c r="K26" s="7">
        <f>[1]节奏总纲!W26</f>
        <v>0.32978423339152485</v>
      </c>
      <c r="L26" s="7">
        <f>[1]节奏总纲!X26</f>
        <v>0.28386827288320848</v>
      </c>
      <c r="M26" s="7">
        <f>[1]节奏总纲!Y26</f>
        <v>0.23151495319429305</v>
      </c>
      <c r="N26" s="7">
        <f>[1]节奏总纲!Z26</f>
        <v>0.17187683053817859</v>
      </c>
      <c r="O26" s="7">
        <f>[1]节奏总纲!AA26</f>
        <v>9.2157986107230805E-2</v>
      </c>
      <c r="Q26" s="7">
        <v>23</v>
      </c>
      <c r="R26" s="7">
        <f>[1]节奏总纲!AD26</f>
        <v>45.845161563010116</v>
      </c>
      <c r="S26" s="7">
        <f>[1]节奏总纲!AE26</f>
        <v>47.734594805743399</v>
      </c>
      <c r="T26" s="7">
        <f>[1]节奏总纲!AF26</f>
        <v>50.503430607741265</v>
      </c>
      <c r="U26" s="7">
        <f>[1]节奏总纲!AG26</f>
        <v>54.814188287451351</v>
      </c>
      <c r="V26" s="7">
        <f>[1]节奏总纲!AH26</f>
        <v>63.182677965405439</v>
      </c>
      <c r="Z26" s="7">
        <v>23</v>
      </c>
      <c r="AA26" s="7">
        <f>[1]节奏总纲!AM26</f>
        <v>8.8355567243832152</v>
      </c>
      <c r="AB26" s="7">
        <f>[1]节奏总纲!AN26</f>
        <v>7.0684453795065725</v>
      </c>
      <c r="AC26" s="7">
        <f>[1]节奏总纲!AO26</f>
        <v>5.3013340346299289</v>
      </c>
      <c r="AD26" s="7">
        <f>[1]节奏总纲!AP26</f>
        <v>3.5342226897532862</v>
      </c>
      <c r="AE26" s="7">
        <f>[1]节奏总纲!AQ26</f>
        <v>1.7671113448766431</v>
      </c>
      <c r="AG26" s="7">
        <v>23</v>
      </c>
      <c r="AH26" s="7">
        <f>[1]节奏总纲!AT26</f>
        <v>1.394069892607682</v>
      </c>
      <c r="AI26" s="7">
        <f>[1]节奏总纲!AU26</f>
        <v>1.1152559140861458</v>
      </c>
      <c r="AJ26" s="7">
        <f>[1]节奏总纲!AV26</f>
        <v>0.83644193556460955</v>
      </c>
      <c r="AK26" s="7">
        <f>[1]节奏总纲!AW26</f>
        <v>0.55762795704307289</v>
      </c>
      <c r="AL26" s="7">
        <f>[1]节奏总纲!AX26</f>
        <v>0.27881397852153644</v>
      </c>
      <c r="AM26" s="7"/>
      <c r="AN26" s="7">
        <v>23</v>
      </c>
      <c r="AO26" s="7">
        <f>[1]节奏总纲!BA26</f>
        <v>28.705435004691331</v>
      </c>
      <c r="AP26" s="7">
        <f>[1]节奏总纲!BB26</f>
        <v>30.079877315295377</v>
      </c>
      <c r="AQ26" s="7">
        <f>[1]节奏总纲!BC26</f>
        <v>31.848636073084339</v>
      </c>
      <c r="AR26" s="7">
        <f>[1]节奏总纲!BD26</f>
        <v>34.360958982105608</v>
      </c>
      <c r="AS26" s="7">
        <f>[1]节奏总纲!BE26</f>
        <v>38.976971320055128</v>
      </c>
      <c r="BD26" s="7"/>
    </row>
    <row r="27" spans="2:56" x14ac:dyDescent="0.15">
      <c r="B27" s="7">
        <f>[1]节奏总纲!N27</f>
        <v>34</v>
      </c>
      <c r="C27" s="7">
        <v>24</v>
      </c>
      <c r="D27" s="7">
        <f>[1]节奏总纲!P27</f>
        <v>4.2780316430915768</v>
      </c>
      <c r="E27" s="7">
        <f>[1]节奏总纲!Q27</f>
        <v>3.7214597263253628</v>
      </c>
      <c r="F27" s="7">
        <f>[1]节奏总纲!R27</f>
        <v>3.0699155070825155</v>
      </c>
      <c r="G27" s="7">
        <f>[1]节奏总纲!S27</f>
        <v>2.2742016214674821</v>
      </c>
      <c r="H27" s="7">
        <f>[1]节奏总纲!T27</f>
        <v>1.2692919885052709</v>
      </c>
      <c r="J27" s="7">
        <v>24</v>
      </c>
      <c r="K27" s="7">
        <f>[1]节奏总纲!W27</f>
        <v>0.35345398971191244</v>
      </c>
      <c r="L27" s="7">
        <f>[1]节奏总纲!X27</f>
        <v>0.31335649213046235</v>
      </c>
      <c r="M27" s="7">
        <f>[1]节奏总纲!Y27</f>
        <v>0.26345002715071786</v>
      </c>
      <c r="N27" s="7">
        <f>[1]节奏总纲!Z27</f>
        <v>0.19456792294159797</v>
      </c>
      <c r="O27" s="7">
        <f>[1]节奏总纲!AA27</f>
        <v>0.10840191863556625</v>
      </c>
      <c r="Q27" s="7">
        <v>24</v>
      </c>
      <c r="R27" s="7">
        <f>[1]节奏总纲!AD27</f>
        <v>46.430041330048923</v>
      </c>
      <c r="S27" s="7">
        <f>[1]节奏总纲!AE27</f>
        <v>48.330142263709867</v>
      </c>
      <c r="T27" s="7">
        <f>[1]节奏总纲!AF27</f>
        <v>51.118578408701396</v>
      </c>
      <c r="U27" s="7">
        <f>[1]节奏总纲!AG27</f>
        <v>55.44072585486321</v>
      </c>
      <c r="V27" s="7">
        <f>[1]节奏总纲!AH27</f>
        <v>63.791742872142052</v>
      </c>
      <c r="Z27" s="7">
        <v>24</v>
      </c>
      <c r="AA27" s="7">
        <f>[1]节奏总纲!AM27</f>
        <v>10.47447102993563</v>
      </c>
      <c r="AB27" s="7">
        <f>[1]节奏总纲!AN27</f>
        <v>8.3795768239485042</v>
      </c>
      <c r="AC27" s="7">
        <f>[1]节奏总纲!AO27</f>
        <v>6.2846826179613782</v>
      </c>
      <c r="AD27" s="7">
        <f>[1]节奏总纲!AP27</f>
        <v>4.1897884119742521</v>
      </c>
      <c r="AE27" s="7">
        <f>[1]节奏总纲!AQ27</f>
        <v>2.0948942059871261</v>
      </c>
      <c r="AG27" s="7">
        <v>24</v>
      </c>
      <c r="AH27" s="7">
        <f>[1]节奏总纲!AT27</f>
        <v>1.6389143055524151</v>
      </c>
      <c r="AI27" s="7">
        <f>[1]节奏总纲!AU27</f>
        <v>1.3111314444419317</v>
      </c>
      <c r="AJ27" s="7">
        <f>[1]节奏总纲!AV27</f>
        <v>0.98334858333144926</v>
      </c>
      <c r="AK27" s="7">
        <f>[1]节奏总纲!AW27</f>
        <v>0.65556572222096587</v>
      </c>
      <c r="AL27" s="7">
        <f>[1]节奏总纲!AX27</f>
        <v>0.32778286111048294</v>
      </c>
      <c r="AM27" s="7"/>
      <c r="AN27" s="7">
        <v>24</v>
      </c>
      <c r="AO27" s="7">
        <f>[1]节奏总纲!BA27</f>
        <v>28.979524459106884</v>
      </c>
      <c r="AP27" s="7">
        <f>[1]节奏总纲!BB27</f>
        <v>30.329493925593439</v>
      </c>
      <c r="AQ27" s="7">
        <f>[1]节奏总纲!BC27</f>
        <v>32.113552950216736</v>
      </c>
      <c r="AR27" s="7">
        <f>[1]节奏总纲!BD27</f>
        <v>34.627226072894942</v>
      </c>
      <c r="AS27" s="7">
        <f>[1]节奏总纲!BE27</f>
        <v>39.250296194358178</v>
      </c>
      <c r="BD27" s="7"/>
    </row>
    <row r="28" spans="2:56" x14ac:dyDescent="0.15">
      <c r="B28" s="7">
        <f>[1]节奏总纲!N28</f>
        <v>35</v>
      </c>
      <c r="C28" s="7">
        <v>25</v>
      </c>
      <c r="D28" s="7">
        <f>[1]节奏总纲!P28</f>
        <v>4.6568542494923806</v>
      </c>
      <c r="E28" s="7">
        <f>[1]节奏总纲!Q28</f>
        <v>4.054257309608067</v>
      </c>
      <c r="F28" s="7">
        <f>[1]节奏总纲!R28</f>
        <v>3.3445527219854276</v>
      </c>
      <c r="G28" s="7">
        <f>[1]节奏总纲!S28</f>
        <v>2.478377831579845</v>
      </c>
      <c r="H28" s="7">
        <f>[1]节奏总纲!T28</f>
        <v>1.3802915995495415</v>
      </c>
      <c r="J28" s="7">
        <v>25</v>
      </c>
      <c r="K28" s="7">
        <f>[1]节奏总纲!W28</f>
        <v>0.37882260640080379</v>
      </c>
      <c r="L28" s="7">
        <f>[1]节奏总纲!X28</f>
        <v>0.33279758328270415</v>
      </c>
      <c r="M28" s="7">
        <f>[1]节奏总纲!Y28</f>
        <v>0.27463721490291215</v>
      </c>
      <c r="N28" s="7">
        <f>[1]节奏总纲!Z28</f>
        <v>0.20417621011236298</v>
      </c>
      <c r="O28" s="7">
        <f>[1]节奏总纲!AA28</f>
        <v>0.11099961104427059</v>
      </c>
      <c r="Q28" s="7">
        <v>25</v>
      </c>
      <c r="R28" s="7">
        <f>[1]节奏总纲!AD28</f>
        <v>47.004247194324648</v>
      </c>
      <c r="S28" s="7">
        <f>[1]节奏总纲!AE28</f>
        <v>48.904516930942819</v>
      </c>
      <c r="T28" s="7">
        <f>[1]节奏总纲!AF28</f>
        <v>51.667220029142385</v>
      </c>
      <c r="U28" s="7">
        <f>[1]节奏总纲!AG28</f>
        <v>56.05100027504308</v>
      </c>
      <c r="V28" s="7">
        <f>[1]节奏总纲!AH28</f>
        <v>64.398425477456215</v>
      </c>
      <c r="Z28" s="7">
        <v>25</v>
      </c>
      <c r="AA28" s="7">
        <f>[1]节奏总纲!AM28</f>
        <v>12.4</v>
      </c>
      <c r="AB28" s="7">
        <f>[1]节奏总纲!AN28</f>
        <v>9.9200000000000017</v>
      </c>
      <c r="AC28" s="7">
        <f>[1]节奏总纲!AO28</f>
        <v>7.4399999999999995</v>
      </c>
      <c r="AD28" s="7">
        <f>[1]节奏总纲!AP28</f>
        <v>4.9600000000000009</v>
      </c>
      <c r="AE28" s="7">
        <f>[1]节奏总纲!AQ28</f>
        <v>2.4800000000000004</v>
      </c>
      <c r="AG28" s="7">
        <v>25</v>
      </c>
      <c r="AH28" s="7">
        <f>[1]节奏总纲!AT28</f>
        <v>1.9255289700643701</v>
      </c>
      <c r="AI28" s="7">
        <f>[1]节奏总纲!AU28</f>
        <v>1.5404231760514975</v>
      </c>
      <c r="AJ28" s="7">
        <f>[1]节奏总纲!AV28</f>
        <v>1.1553173820386213</v>
      </c>
      <c r="AK28" s="7">
        <f>[1]节奏总纲!AW28</f>
        <v>0.77021158802574874</v>
      </c>
      <c r="AL28" s="7">
        <f>[1]节奏总纲!AX28</f>
        <v>0.38510579401287437</v>
      </c>
      <c r="AM28" s="7"/>
      <c r="AN28" s="7">
        <v>25</v>
      </c>
      <c r="AO28" s="7">
        <f>[1]节奏总纲!BA28</f>
        <v>29.216428548527322</v>
      </c>
      <c r="AP28" s="7">
        <f>[1]节奏总纲!BB28</f>
        <v>30.579110535891502</v>
      </c>
      <c r="AQ28" s="7">
        <f>[1]节奏总纲!BC28</f>
        <v>32.356435933516131</v>
      </c>
      <c r="AR28" s="7">
        <f>[1]节奏总纲!BD28</f>
        <v>34.893493163684269</v>
      </c>
      <c r="AS28" s="7">
        <f>[1]节奏总纲!BE28</f>
        <v>39.520459727922798</v>
      </c>
      <c r="BD28" s="7"/>
    </row>
    <row r="29" spans="2:56" x14ac:dyDescent="0.15">
      <c r="B29" s="7">
        <f>[1]节奏总纲!N29</f>
        <v>36</v>
      </c>
      <c r="C29" s="7">
        <v>26</v>
      </c>
      <c r="D29" s="7">
        <f>[1]节奏总纲!P29</f>
        <v>5.062866266041592</v>
      </c>
      <c r="E29" s="7">
        <f>[1]节奏总纲!Q29</f>
        <v>4.408743944469018</v>
      </c>
      <c r="F29" s="7">
        <f>[1]节奏总纲!R29</f>
        <v>3.63716312552428</v>
      </c>
      <c r="G29" s="7">
        <f>[1]节奏总纲!S29</f>
        <v>2.6914197070277099</v>
      </c>
      <c r="H29" s="7">
        <f>[1]节奏总纲!T29</f>
        <v>1.4996209880015197</v>
      </c>
      <c r="J29" s="7">
        <v>26</v>
      </c>
      <c r="K29" s="7">
        <f>[1]节奏总纲!W29</f>
        <v>0.40601201654921137</v>
      </c>
      <c r="L29" s="7">
        <f>[1]节奏总纲!X29</f>
        <v>0.354486634860951</v>
      </c>
      <c r="M29" s="7">
        <f>[1]节奏总纲!Y29</f>
        <v>0.29261040353885237</v>
      </c>
      <c r="N29" s="7">
        <f>[1]节奏总纲!Z29</f>
        <v>0.2130418754478649</v>
      </c>
      <c r="O29" s="7">
        <f>[1]节奏总纲!AA29</f>
        <v>0.11932938845197816</v>
      </c>
      <c r="Q29" s="7">
        <v>26</v>
      </c>
      <c r="R29" s="7">
        <f>[1]节奏总纲!AD29</f>
        <v>47.540284631526092</v>
      </c>
      <c r="S29" s="7">
        <f>[1]节奏总纲!AE29</f>
        <v>49.446133440059114</v>
      </c>
      <c r="T29" s="7">
        <f>[1]节奏总纲!AF29</f>
        <v>52.199341027338768</v>
      </c>
      <c r="U29" s="7">
        <f>[1]节奏总纲!AG29</f>
        <v>56.621068614050692</v>
      </c>
      <c r="V29" s="7">
        <f>[1]节奏总纲!AH29</f>
        <v>65.00344105132713</v>
      </c>
      <c r="Z29" s="7">
        <v>26</v>
      </c>
      <c r="AA29" s="7">
        <f>[1]节奏总纲!AM29</f>
        <v>14.6609224175611</v>
      </c>
      <c r="AB29" s="7">
        <f>[1]节奏总纲!AN29</f>
        <v>11.72873793404888</v>
      </c>
      <c r="AC29" s="7">
        <f>[1]节奏总纲!AO29</f>
        <v>8.7965534505366598</v>
      </c>
      <c r="AD29" s="7">
        <f>[1]节奏总纲!AP29</f>
        <v>5.8643689670244399</v>
      </c>
      <c r="AE29" s="7">
        <f>[1]节奏总纲!AQ29</f>
        <v>2.9321844835122199</v>
      </c>
      <c r="AG29" s="7">
        <v>26</v>
      </c>
      <c r="AH29" s="7">
        <f>[1]节奏总纲!AT29</f>
        <v>2.2609224175610994</v>
      </c>
      <c r="AI29" s="7">
        <f>[1]节奏总纲!AU29</f>
        <v>1.8087379340488781</v>
      </c>
      <c r="AJ29" s="7">
        <f>[1]节奏总纲!AV29</f>
        <v>1.3565534505366603</v>
      </c>
      <c r="AK29" s="7">
        <f>[1]节奏总纲!AW29</f>
        <v>0.90436896702443903</v>
      </c>
      <c r="AL29" s="7">
        <f>[1]节奏总纲!AX29</f>
        <v>0.45218448351221951</v>
      </c>
      <c r="AM29" s="7"/>
      <c r="AN29" s="7">
        <v>26</v>
      </c>
      <c r="AO29" s="7">
        <f>[1]节奏总纲!BA29</f>
        <v>29.45033047434006</v>
      </c>
      <c r="AP29" s="7">
        <f>[1]节奏总纲!BB29</f>
        <v>30.828727146189561</v>
      </c>
      <c r="AQ29" s="7">
        <f>[1]节奏总纲!BC29</f>
        <v>32.59931891681552</v>
      </c>
      <c r="AR29" s="7">
        <f>[1]节奏总纲!BD29</f>
        <v>35.146386283795508</v>
      </c>
      <c r="AS29" s="7">
        <f>[1]节奏总纲!BE29</f>
        <v>39.790623261487418</v>
      </c>
      <c r="BD29" s="7"/>
    </row>
    <row r="30" spans="2:56" x14ac:dyDescent="0.15">
      <c r="B30" s="7">
        <f>[1]节奏总纲!N30</f>
        <v>37</v>
      </c>
      <c r="C30" s="7">
        <v>27</v>
      </c>
      <c r="D30" s="7">
        <f>[1]节奏总纲!P30</f>
        <v>5.4980191708498847</v>
      </c>
      <c r="E30" s="7">
        <f>[1]节奏总纲!Q30</f>
        <v>4.7882248958931646</v>
      </c>
      <c r="F30" s="7">
        <f>[1]节奏总纲!R30</f>
        <v>3.9492271704214725</v>
      </c>
      <c r="G30" s="7">
        <f>[1]节奏总纲!S30</f>
        <v>2.9205477835554587</v>
      </c>
      <c r="H30" s="7">
        <f>[1]节奏总纲!T30</f>
        <v>1.6290630803228208</v>
      </c>
      <c r="J30" s="7">
        <v>27</v>
      </c>
      <c r="K30" s="7">
        <f>[1]节奏总纲!W30</f>
        <v>0.43515290480829272</v>
      </c>
      <c r="L30" s="7">
        <f>[1]节奏总纲!X30</f>
        <v>0.37948095142414662</v>
      </c>
      <c r="M30" s="7">
        <f>[1]节奏总纲!Y30</f>
        <v>0.31206404489719253</v>
      </c>
      <c r="N30" s="7">
        <f>[1]节奏总纲!Z30</f>
        <v>0.2291280765277488</v>
      </c>
      <c r="O30" s="7">
        <f>[1]节奏总纲!AA30</f>
        <v>0.12944209232130111</v>
      </c>
      <c r="Q30" s="7">
        <v>27</v>
      </c>
      <c r="R30" s="7">
        <f>[1]节奏总纲!AD30</f>
        <v>48.071211008105138</v>
      </c>
      <c r="S30" s="7">
        <f>[1]节奏总纲!AE30</f>
        <v>49.981218513907905</v>
      </c>
      <c r="T30" s="7">
        <f>[1]节奏总纲!AF30</f>
        <v>52.705993248660157</v>
      </c>
      <c r="U30" s="7">
        <f>[1]节奏总纲!AG30</f>
        <v>57.175765669822162</v>
      </c>
      <c r="V30" s="7">
        <f>[1]节奏总纲!AH30</f>
        <v>65.541743280100334</v>
      </c>
      <c r="Z30" s="7">
        <v>27</v>
      </c>
      <c r="AA30" s="7">
        <f>[1]节奏总纲!AM30</f>
        <v>17.314186320787698</v>
      </c>
      <c r="AB30" s="7">
        <f>[1]节奏总纲!AN30</f>
        <v>13.851349056630159</v>
      </c>
      <c r="AC30" s="7">
        <f>[1]节奏总纲!AO30</f>
        <v>10.388511792472618</v>
      </c>
      <c r="AD30" s="7">
        <f>[1]节奏总纲!AP30</f>
        <v>6.9256745283150796</v>
      </c>
      <c r="AE30" s="7">
        <f>[1]节奏总纲!AQ30</f>
        <v>3.4628372641575398</v>
      </c>
      <c r="AG30" s="7">
        <v>27</v>
      </c>
      <c r="AH30" s="7">
        <f>[1]节奏总纲!AT30</f>
        <v>2.6532639032265983</v>
      </c>
      <c r="AI30" s="7">
        <f>[1]节奏总纲!AU30</f>
        <v>2.1226111225812794</v>
      </c>
      <c r="AJ30" s="7">
        <f>[1]节奏总纲!AV30</f>
        <v>1.5919583419359586</v>
      </c>
      <c r="AK30" s="7">
        <f>[1]节奏总纲!AW30</f>
        <v>1.0613055612906397</v>
      </c>
      <c r="AL30" s="7">
        <f>[1]节奏总纲!AX30</f>
        <v>0.53065278064531984</v>
      </c>
      <c r="AM30" s="7"/>
      <c r="AN30" s="7">
        <v>27</v>
      </c>
      <c r="AO30" s="7">
        <f>[1]节奏总纲!BA30</f>
        <v>29.684232400152801</v>
      </c>
      <c r="AP30" s="7">
        <f>[1]节奏总纲!BB30</f>
        <v>31.066913270913183</v>
      </c>
      <c r="AQ30" s="7">
        <f>[1]节奏总纲!BC30</f>
        <v>32.842201900114915</v>
      </c>
      <c r="AR30" s="7">
        <f>[1]节奏总纲!BD30</f>
        <v>35.390363423454687</v>
      </c>
      <c r="AS30" s="7">
        <f>[1]节奏总纲!BE30</f>
        <v>40.052446592012309</v>
      </c>
      <c r="BD30" s="7"/>
    </row>
    <row r="31" spans="2:56" x14ac:dyDescent="0.15">
      <c r="B31" s="7">
        <f>[1]节奏总纲!N31</f>
        <v>38</v>
      </c>
      <c r="C31" s="7">
        <v>28</v>
      </c>
      <c r="D31" s="7">
        <f>[1]节奏总纲!P31</f>
        <v>5.9644045063689921</v>
      </c>
      <c r="E31" s="7">
        <f>[1]节奏总纲!Q31</f>
        <v>5.1914176823435705</v>
      </c>
      <c r="F31" s="7">
        <f>[1]节奏总纲!R31</f>
        <v>4.2752851501652938</v>
      </c>
      <c r="G31" s="7">
        <f>[1]节奏总纲!S31</f>
        <v>3.1653094715300236</v>
      </c>
      <c r="H31" s="7">
        <f>[1]节奏总纲!T31</f>
        <v>1.7738139001941382</v>
      </c>
      <c r="J31" s="7">
        <v>28</v>
      </c>
      <c r="K31" s="7">
        <f>[1]节奏总纲!W31</f>
        <v>0.46638533551910744</v>
      </c>
      <c r="L31" s="7">
        <f>[1]节奏总纲!X31</f>
        <v>0.4031927864504059</v>
      </c>
      <c r="M31" s="7">
        <f>[1]节奏总纲!Y31</f>
        <v>0.32605797974382122</v>
      </c>
      <c r="N31" s="7">
        <f>[1]节奏总纲!Z31</f>
        <v>0.24476168797456488</v>
      </c>
      <c r="O31" s="7">
        <f>[1]节奏总纲!AA31</f>
        <v>0.14475081987131744</v>
      </c>
      <c r="Q31" s="7">
        <v>28</v>
      </c>
      <c r="R31" s="7">
        <f>[1]节奏总纲!AD31</f>
        <v>48.571351621712928</v>
      </c>
      <c r="S31" s="7">
        <f>[1]节奏总纲!AE31</f>
        <v>50.509688493127967</v>
      </c>
      <c r="T31" s="7">
        <f>[1]节奏总纲!AF31</f>
        <v>53.212684955585161</v>
      </c>
      <c r="U31" s="7">
        <f>[1]节奏总纲!AG31</f>
        <v>57.699988965458331</v>
      </c>
      <c r="V31" s="7">
        <f>[1]节奏总纲!AH31</f>
        <v>66.076345334947405</v>
      </c>
      <c r="Z31" s="7">
        <v>28</v>
      </c>
      <c r="AA31" s="7">
        <f>[1]节奏总纲!AM31</f>
        <v>20.42625995518307</v>
      </c>
      <c r="AB31" s="7">
        <f>[1]节奏总纲!AN31</f>
        <v>16.341007964146456</v>
      </c>
      <c r="AC31" s="7">
        <f>[1]节奏总纲!AO31</f>
        <v>12.255755973109842</v>
      </c>
      <c r="AD31" s="7">
        <f>[1]节奏总纲!AP31</f>
        <v>8.1705039820732281</v>
      </c>
      <c r="AE31" s="7">
        <f>[1]节奏总纲!AQ31</f>
        <v>4.0852519910366141</v>
      </c>
      <c r="AG31" s="7">
        <v>28</v>
      </c>
      <c r="AH31" s="7">
        <f>[1]节奏总纲!AT31</f>
        <v>3.1120736343953723</v>
      </c>
      <c r="AI31" s="7">
        <f>[1]节奏总纲!AU31</f>
        <v>2.4896589075162971</v>
      </c>
      <c r="AJ31" s="7">
        <f>[1]节奏总纲!AV31</f>
        <v>1.8672441806372237</v>
      </c>
      <c r="AK31" s="7">
        <f>[1]节奏总纲!AW31</f>
        <v>1.2448294537581486</v>
      </c>
      <c r="AL31" s="7">
        <f>[1]节奏总纲!AX31</f>
        <v>0.62241472687907429</v>
      </c>
      <c r="AM31" s="7"/>
      <c r="AN31" s="7">
        <v>28</v>
      </c>
      <c r="AO31" s="7">
        <f>[1]节奏总纲!BA31</f>
        <v>29.918134325965539</v>
      </c>
      <c r="AP31" s="7">
        <f>[1]节奏总纲!BB31</f>
        <v>31.280110398778046</v>
      </c>
      <c r="AQ31" s="7">
        <f>[1]节奏总纲!BC31</f>
        <v>33.072726100175295</v>
      </c>
      <c r="AR31" s="7">
        <f>[1]节奏总纲!BD31</f>
        <v>35.634340563113874</v>
      </c>
      <c r="AS31" s="7">
        <f>[1]节奏总纲!BE31</f>
        <v>40.28554255651148</v>
      </c>
      <c r="BD31" s="7"/>
    </row>
    <row r="32" spans="2:56" x14ac:dyDescent="0.15">
      <c r="B32" s="7">
        <f>[1]节奏总纲!N32</f>
        <v>39</v>
      </c>
      <c r="C32" s="7">
        <v>29</v>
      </c>
      <c r="D32" s="7">
        <f>[1]节奏总纲!P32</f>
        <v>6.4642639322944575</v>
      </c>
      <c r="E32" s="7">
        <f>[1]节奏总纲!Q32</f>
        <v>5.6323131642081607</v>
      </c>
      <c r="F32" s="7">
        <f>[1]节奏总纲!R32</f>
        <v>4.6510378992858623</v>
      </c>
      <c r="G32" s="7">
        <f>[1]节奏总纲!S32</f>
        <v>3.4532097926316991</v>
      </c>
      <c r="H32" s="7">
        <f>[1]节奏总纲!T32</f>
        <v>1.9366934741154194</v>
      </c>
      <c r="J32" s="7">
        <v>29</v>
      </c>
      <c r="K32" s="7">
        <f>[1]节奏总纲!W32</f>
        <v>0.49985942592546539</v>
      </c>
      <c r="L32" s="7">
        <f>[1]节奏总纲!X32</f>
        <v>0.44089548186459027</v>
      </c>
      <c r="M32" s="7">
        <f>[1]节奏总纲!Y32</f>
        <v>0.37575274912056855</v>
      </c>
      <c r="N32" s="7">
        <f>[1]节奏总纲!Z32</f>
        <v>0.28790032110167552</v>
      </c>
      <c r="O32" s="7">
        <f>[1]节奏总纲!AA32</f>
        <v>0.16287957392128116</v>
      </c>
      <c r="Q32" s="7">
        <v>29</v>
      </c>
      <c r="R32" s="7">
        <f>[1]节奏总纲!AD32</f>
        <v>49.066704614192936</v>
      </c>
      <c r="S32" s="7">
        <f>[1]节奏总纲!AE32</f>
        <v>51.033341828534468</v>
      </c>
      <c r="T32" s="7">
        <f>[1]节奏总纲!AF32</f>
        <v>53.719431255885922</v>
      </c>
      <c r="U32" s="7">
        <f>[1]节奏总纲!AG32</f>
        <v>58.210135614815364</v>
      </c>
      <c r="V32" s="7">
        <f>[1]节奏总纲!AH32</f>
        <v>66.589764070576265</v>
      </c>
      <c r="Z32" s="7">
        <v>29</v>
      </c>
      <c r="AA32" s="7">
        <f>[1]节奏总纲!AM32</f>
        <v>24.074703862418847</v>
      </c>
      <c r="AB32" s="7">
        <f>[1]节奏总纲!AN32</f>
        <v>19.259763089935078</v>
      </c>
      <c r="AC32" s="7">
        <f>[1]节奏总纲!AO32</f>
        <v>14.444822317451308</v>
      </c>
      <c r="AD32" s="7">
        <f>[1]节奏总纲!AP32</f>
        <v>9.6298815449675388</v>
      </c>
      <c r="AE32" s="7">
        <f>[1]节奏总纲!AQ32</f>
        <v>4.8149407724837694</v>
      </c>
      <c r="AG32" s="7">
        <v>29</v>
      </c>
      <c r="AH32" s="7">
        <f>[1]节奏总纲!AT32</f>
        <v>3.6484439072357766</v>
      </c>
      <c r="AI32" s="7">
        <f>[1]节奏总纲!AU32</f>
        <v>2.9187551257886213</v>
      </c>
      <c r="AJ32" s="7">
        <f>[1]节奏总纲!AV32</f>
        <v>2.189066344341466</v>
      </c>
      <c r="AK32" s="7">
        <f>[1]节奏总纲!AW32</f>
        <v>1.4593775628943106</v>
      </c>
      <c r="AL32" s="7">
        <f>[1]节奏总纲!AX32</f>
        <v>0.72968878144715532</v>
      </c>
      <c r="AM32" s="7"/>
      <c r="AN32" s="7">
        <v>29</v>
      </c>
      <c r="AO32" s="7">
        <f>[1]节奏总纲!BA32</f>
        <v>30.12980063735499</v>
      </c>
      <c r="AP32" s="7">
        <f>[1]节奏总纲!BB32</f>
        <v>31.493307526642905</v>
      </c>
      <c r="AQ32" s="7">
        <f>[1]节奏总纲!BC32</f>
        <v>33.280329748032408</v>
      </c>
      <c r="AR32" s="7">
        <f>[1]节奏总纲!BD32</f>
        <v>35.878317702773053</v>
      </c>
      <c r="AS32" s="7">
        <f>[1]节奏总纲!BE32</f>
        <v>40.518638521010644</v>
      </c>
      <c r="BD32" s="7"/>
    </row>
    <row r="33" spans="2:56" x14ac:dyDescent="0.15">
      <c r="B33" s="7">
        <f>[1]节奏总纲!N33</f>
        <v>40</v>
      </c>
      <c r="C33" s="7">
        <v>30</v>
      </c>
      <c r="D33" s="7">
        <f>[1]节奏总纲!P33</f>
        <v>7</v>
      </c>
      <c r="E33" s="7">
        <f>[1]节奏总纲!Q33</f>
        <v>6.1025999999999998</v>
      </c>
      <c r="F33" s="7">
        <f>[1]节奏总纲!R33</f>
        <v>5.0421000000000005</v>
      </c>
      <c r="G33" s="7">
        <f>[1]节奏总纲!S33</f>
        <v>3.7428999999999997</v>
      </c>
      <c r="H33" s="7">
        <f>[1]节奏总纲!T33</f>
        <v>2.1006999999999998</v>
      </c>
      <c r="J33" s="7">
        <v>30</v>
      </c>
      <c r="K33" s="7">
        <f>[1]节奏总纲!W33</f>
        <v>0.5357360677055425</v>
      </c>
      <c r="L33" s="7">
        <f>[1]节奏总纲!X33</f>
        <v>0.47028683579183905</v>
      </c>
      <c r="M33" s="7">
        <f>[1]节奏总纲!Y33</f>
        <v>0.39106210071413816</v>
      </c>
      <c r="N33" s="7">
        <f>[1]节奏总纲!Z33</f>
        <v>0.28969020736830053</v>
      </c>
      <c r="O33" s="7">
        <f>[1]节奏总纲!AA33</f>
        <v>0.16400652588458042</v>
      </c>
      <c r="Q33" s="7">
        <v>30</v>
      </c>
      <c r="R33" s="7">
        <f>[1]节奏总纲!AD33</f>
        <v>49.533352307096472</v>
      </c>
      <c r="S33" s="7">
        <f>[1]节奏总纲!AE33</f>
        <v>51.497823295559343</v>
      </c>
      <c r="T33" s="7">
        <f>[1]节奏总纲!AF33</f>
        <v>54.213705787583436</v>
      </c>
      <c r="U33" s="7">
        <f>[1]节奏总纲!AG33</f>
        <v>58.701446767877648</v>
      </c>
      <c r="V33" s="7">
        <f>[1]节奏总纲!AH33</f>
        <v>67.097551508592701</v>
      </c>
      <c r="Z33" s="7">
        <v>30</v>
      </c>
      <c r="AA33" s="7">
        <f>[1]节奏总纲!AM33</f>
        <v>28.35</v>
      </c>
      <c r="AB33" s="7">
        <f>[1]节奏总纲!AN33</f>
        <v>22.680000000000003</v>
      </c>
      <c r="AC33" s="7">
        <f>[1]节奏总纲!AO33</f>
        <v>17.010000000000002</v>
      </c>
      <c r="AD33" s="7">
        <f>[1]节奏总纲!AP33</f>
        <v>11.340000000000002</v>
      </c>
      <c r="AE33" s="7">
        <f>[1]节奏总纲!AQ33</f>
        <v>5.6700000000000008</v>
      </c>
      <c r="AG33" s="7">
        <v>30</v>
      </c>
      <c r="AH33" s="7">
        <f>[1]节奏总纲!AT33</f>
        <v>4.2752961375811545</v>
      </c>
      <c r="AI33" s="7">
        <f>[1]节奏总纲!AU33</f>
        <v>3.4202369100649257</v>
      </c>
      <c r="AJ33" s="7">
        <f>[1]节奏总纲!AV33</f>
        <v>2.5651776825486934</v>
      </c>
      <c r="AK33" s="7">
        <f>[1]节奏总纲!AW33</f>
        <v>1.7101184550324628</v>
      </c>
      <c r="AL33" s="7">
        <f>[1]节奏总纲!AX33</f>
        <v>0.85505922751623142</v>
      </c>
      <c r="AM33" s="7"/>
      <c r="AN33" s="7">
        <v>30</v>
      </c>
      <c r="AO33" s="7">
        <f>[1]节奏总纲!BA33</f>
        <v>30.329493925593439</v>
      </c>
      <c r="AP33" s="7">
        <f>[1]节奏总纲!BB33</f>
        <v>31.706504654507764</v>
      </c>
      <c r="AQ33" s="7">
        <f>[1]节奏总纲!BC33</f>
        <v>33.487933395889513</v>
      </c>
      <c r="AR33" s="7">
        <f>[1]节奏总纲!BD33</f>
        <v>36.105477566569242</v>
      </c>
      <c r="AS33" s="7">
        <f>[1]节奏总纲!BE33</f>
        <v>40.751734485509814</v>
      </c>
      <c r="BD33" s="7"/>
    </row>
    <row r="34" spans="2:56" x14ac:dyDescent="0.15">
      <c r="B34" s="7">
        <f>[1]节奏总纲!N34</f>
        <v>41</v>
      </c>
      <c r="C34" s="7">
        <v>31</v>
      </c>
      <c r="D34" s="7">
        <f>[1]节奏总纲!P34</f>
        <v>7.5741877002903433</v>
      </c>
      <c r="E34" s="7">
        <f>[1]节奏总纲!Q34</f>
        <v>6.6115084435834408</v>
      </c>
      <c r="F34" s="7">
        <f>[1]节奏总纲!R34</f>
        <v>5.4632615882194253</v>
      </c>
      <c r="G34" s="7">
        <f>[1]节奏总纲!S34</f>
        <v>4.052190419655334</v>
      </c>
      <c r="H34" s="7">
        <f>[1]节奏总纲!T34</f>
        <v>2.2783156602473356</v>
      </c>
      <c r="J34" s="7">
        <v>31</v>
      </c>
      <c r="K34" s="7">
        <f>[1]节奏总纲!W34</f>
        <v>0.57418770029034327</v>
      </c>
      <c r="L34" s="7">
        <f>[1]节奏总纲!X34</f>
        <v>0.50890844358344101</v>
      </c>
      <c r="M34" s="7">
        <f>[1]节奏总纲!Y34</f>
        <v>0.42116158821942484</v>
      </c>
      <c r="N34" s="7">
        <f>[1]节奏总纲!Z34</f>
        <v>0.30929041965533433</v>
      </c>
      <c r="O34" s="7">
        <f>[1]节奏总纲!AA34</f>
        <v>0.17761566024733577</v>
      </c>
      <c r="Q34" s="7">
        <v>31</v>
      </c>
      <c r="R34" s="7">
        <f>[1]节奏总纲!AD34</f>
        <v>50</v>
      </c>
      <c r="S34" s="7">
        <f>[1]节奏总纲!AE34</f>
        <v>51.96230476258421</v>
      </c>
      <c r="T34" s="7">
        <f>[1]节奏总纲!AF34</f>
        <v>54.692509339255828</v>
      </c>
      <c r="U34" s="7">
        <f>[1]节奏总纲!AG34</f>
        <v>59.178112178215827</v>
      </c>
      <c r="V34" s="7">
        <f>[1]节奏总纲!AH34</f>
        <v>67.582949939226467</v>
      </c>
      <c r="Z34" s="7">
        <v>31</v>
      </c>
      <c r="AA34" s="7">
        <f>[1]节奏总纲!AM34</f>
        <v>33.357679571112705</v>
      </c>
      <c r="AB34" s="7">
        <f>[1]节奏总纲!AN34</f>
        <v>26.686143656890167</v>
      </c>
      <c r="AC34" s="7">
        <f>[1]节奏总纲!AO34</f>
        <v>20.014607742667621</v>
      </c>
      <c r="AD34" s="7">
        <f>[1]节奏总纲!AP34</f>
        <v>13.343071828445083</v>
      </c>
      <c r="AE34" s="7">
        <f>[1]节奏总纲!AQ34</f>
        <v>6.6715359142225417</v>
      </c>
      <c r="AG34" s="7">
        <v>31</v>
      </c>
      <c r="AH34" s="7">
        <f>[1]节奏总纲!AT34</f>
        <v>5.0076795711127033</v>
      </c>
      <c r="AI34" s="7">
        <f>[1]节奏总纲!AU34</f>
        <v>4.0061436568901634</v>
      </c>
      <c r="AJ34" s="7">
        <f>[1]节奏总纲!AV34</f>
        <v>3.0046077426676199</v>
      </c>
      <c r="AK34" s="7">
        <f>[1]节奏总纲!AW34</f>
        <v>2.0030718284450817</v>
      </c>
      <c r="AL34" s="7">
        <f>[1]节奏总纲!AX34</f>
        <v>1.0015359142225408</v>
      </c>
      <c r="AM34" s="7"/>
      <c r="AN34" s="7">
        <v>31</v>
      </c>
      <c r="AO34" s="7">
        <f>[1]节奏总纲!BA34</f>
        <v>30.529187213831889</v>
      </c>
      <c r="AP34" s="7">
        <f>[1]节奏总纲!BB34</f>
        <v>31.919701782372627</v>
      </c>
      <c r="AQ34" s="7">
        <f>[1]节奏总纲!BC34</f>
        <v>33.695537043746626</v>
      </c>
      <c r="AR34" s="7">
        <f>[1]节奏总纲!BD34</f>
        <v>36.315904388158508</v>
      </c>
      <c r="AS34" s="7">
        <f>[1]节奏总纲!BE34</f>
        <v>40.984830450008978</v>
      </c>
      <c r="BD34" s="7"/>
    </row>
    <row r="35" spans="2:56" x14ac:dyDescent="0.15">
      <c r="B35" s="7">
        <f>[1]节奏总纲!N35</f>
        <v>42</v>
      </c>
      <c r="C35" s="7">
        <v>32</v>
      </c>
      <c r="D35" s="7">
        <f>[1]节奏总纲!P35</f>
        <v>8.189586839976279</v>
      </c>
      <c r="E35" s="7">
        <f>[1]节奏总纲!Q35</f>
        <v>7.1519661873512845</v>
      </c>
      <c r="F35" s="7">
        <f>[1]节奏总纲!R35</f>
        <v>5.906330028990892</v>
      </c>
      <c r="G35" s="7">
        <f>[1]节奏总纲!S35</f>
        <v>4.3855237528072974</v>
      </c>
      <c r="H35" s="7">
        <f>[1]节奏总纲!T35</f>
        <v>2.46506563883286</v>
      </c>
      <c r="J35" s="7">
        <v>32</v>
      </c>
      <c r="K35" s="7">
        <f>[1]节奏总纲!W35</f>
        <v>0.61539913968593574</v>
      </c>
      <c r="L35" s="7">
        <f>[1]节奏总纲!X35</f>
        <v>0.54045774376784372</v>
      </c>
      <c r="M35" s="7">
        <f>[1]节奏总纲!Y35</f>
        <v>0.44306844077146668</v>
      </c>
      <c r="N35" s="7">
        <f>[1]节奏总纲!Z35</f>
        <v>0.33333333315196345</v>
      </c>
      <c r="O35" s="7">
        <f>[1]节奏总纲!AA35</f>
        <v>0.18674997858552445</v>
      </c>
      <c r="Q35" s="7">
        <v>32</v>
      </c>
      <c r="R35" s="7">
        <f>[1]节奏总纲!AD35</f>
        <v>50.435397692903535</v>
      </c>
      <c r="S35" s="7">
        <f>[1]节奏总纲!AE35</f>
        <v>52.391506955233744</v>
      </c>
      <c r="T35" s="7">
        <f>[1]节奏总纲!AF35</f>
        <v>55.159275389027101</v>
      </c>
      <c r="U35" s="7">
        <f>[1]节奏总纲!AG35</f>
        <v>59.632093520341421</v>
      </c>
      <c r="V35" s="7">
        <f>[1]节奏总纲!AH35</f>
        <v>68.063981730538742</v>
      </c>
      <c r="Z35" s="7">
        <v>32</v>
      </c>
      <c r="AA35" s="7">
        <f>[1]节奏总纲!AM35</f>
        <v>39.220797956048642</v>
      </c>
      <c r="AB35" s="7">
        <f>[1]节奏总纲!AN35</f>
        <v>31.376638364838914</v>
      </c>
      <c r="AC35" s="7">
        <f>[1]节奏总纲!AO35</f>
        <v>23.532478773629183</v>
      </c>
      <c r="AD35" s="7">
        <f>[1]节奏总纲!AP35</f>
        <v>15.688319182419457</v>
      </c>
      <c r="AE35" s="7">
        <f>[1]节奏总纲!AQ35</f>
        <v>7.8441595912097286</v>
      </c>
      <c r="AG35" s="7">
        <v>32</v>
      </c>
      <c r="AH35" s="7">
        <f>[1]节奏总纲!AT35</f>
        <v>5.8631183849359374</v>
      </c>
      <c r="AI35" s="7">
        <f>[1]节奏总纲!AU35</f>
        <v>4.6904947079487478</v>
      </c>
      <c r="AJ35" s="7">
        <f>[1]节奏总纲!AV35</f>
        <v>3.5178710309615617</v>
      </c>
      <c r="AK35" s="7">
        <f>[1]节奏总纲!AW35</f>
        <v>2.3452473539743739</v>
      </c>
      <c r="AL35" s="7">
        <f>[1]节奏总纲!AX35</f>
        <v>1.1726236769871869</v>
      </c>
      <c r="AM35" s="7"/>
      <c r="AN35" s="7">
        <v>32</v>
      </c>
      <c r="AO35" s="7">
        <f>[1]节奏总纲!BA35</f>
        <v>30.728880502070336</v>
      </c>
      <c r="AP35" s="7">
        <f>[1]节奏总纲!BB35</f>
        <v>32.113552950216736</v>
      </c>
      <c r="AQ35" s="7">
        <f>[1]节奏总纲!BC35</f>
        <v>33.903140691603731</v>
      </c>
      <c r="AR35" s="7">
        <f>[1]节奏总纲!BD35</f>
        <v>36.526331209747774</v>
      </c>
      <c r="AS35" s="7">
        <f>[1]节奏总纲!BE35</f>
        <v>41.188041754455355</v>
      </c>
      <c r="BD35" s="7"/>
    </row>
    <row r="36" spans="2:56" x14ac:dyDescent="0.15">
      <c r="B36" s="7">
        <f>[1]节奏总纲!N36</f>
        <v>43</v>
      </c>
      <c r="C36" s="7">
        <v>33</v>
      </c>
      <c r="D36" s="7">
        <f>[1]节奏总纲!P36</f>
        <v>8.8491553067593287</v>
      </c>
      <c r="E36" s="7">
        <f>[1]节奏总纲!Q36</f>
        <v>7.7120388498407557</v>
      </c>
      <c r="F36" s="7">
        <f>[1]节奏总纲!R36</f>
        <v>6.3696219898053652</v>
      </c>
      <c r="G36" s="7">
        <f>[1]节奏总纲!S36</f>
        <v>4.736067920177593</v>
      </c>
      <c r="H36" s="7">
        <f>[1]节奏总纲!T36</f>
        <v>2.6627108318038819</v>
      </c>
      <c r="J36" s="7">
        <v>33</v>
      </c>
      <c r="K36" s="7">
        <f>[1]节奏总纲!W36</f>
        <v>0.6595684667830497</v>
      </c>
      <c r="L36" s="7">
        <f>[1]节奏总纲!X36</f>
        <v>0.56007266248947118</v>
      </c>
      <c r="M36" s="7">
        <f>[1]节奏总纲!Y36</f>
        <v>0.46329196081447321</v>
      </c>
      <c r="N36" s="7">
        <f>[1]节奏总纲!Z36</f>
        <v>0.35054416737029559</v>
      </c>
      <c r="O36" s="7">
        <f>[1]节奏总纲!AA36</f>
        <v>0.1976451929710219</v>
      </c>
      <c r="Q36" s="7">
        <v>33</v>
      </c>
      <c r="R36" s="7">
        <f>[1]节奏总纲!AD36</f>
        <v>50.870795385807064</v>
      </c>
      <c r="S36" s="7">
        <f>[1]节奏总纲!AE36</f>
        <v>52.81759316022675</v>
      </c>
      <c r="T36" s="7">
        <f>[1]节奏总纲!AF36</f>
        <v>55.604435245632025</v>
      </c>
      <c r="U36" s="7">
        <f>[1]节奏总纲!AG36</f>
        <v>60.078368706270226</v>
      </c>
      <c r="V36" s="7">
        <f>[1]节奏总纲!AH36</f>
        <v>68.518369035696878</v>
      </c>
      <c r="Z36" s="7">
        <v>33</v>
      </c>
      <c r="AA36" s="7">
        <f>[1]节奏总纲!AM36</f>
        <v>46.082812923199413</v>
      </c>
      <c r="AB36" s="7">
        <f>[1]节奏总纲!AN36</f>
        <v>36.866250338559531</v>
      </c>
      <c r="AC36" s="7">
        <f>[1]节奏总纲!AO36</f>
        <v>27.649687753919647</v>
      </c>
      <c r="AD36" s="7">
        <f>[1]节奏总纲!AP36</f>
        <v>18.433125169279766</v>
      </c>
      <c r="AE36" s="7">
        <f>[1]节奏总纲!AQ36</f>
        <v>9.2165625846398829</v>
      </c>
      <c r="AG36" s="7">
        <v>33</v>
      </c>
      <c r="AH36" s="7">
        <f>[1]节奏总纲!AT36</f>
        <v>6.8620149671507704</v>
      </c>
      <c r="AI36" s="7">
        <f>[1]节奏总纲!AU36</f>
        <v>5.489611973720617</v>
      </c>
      <c r="AJ36" s="7">
        <f>[1]节奏总纲!AV36</f>
        <v>4.1172089802904637</v>
      </c>
      <c r="AK36" s="7">
        <f>[1]节奏总纲!AW36</f>
        <v>2.7448059868603085</v>
      </c>
      <c r="AL36" s="7">
        <f>[1]节奏总纲!AX36</f>
        <v>1.3724029934301543</v>
      </c>
      <c r="AM36" s="7"/>
      <c r="AN36" s="7">
        <v>33</v>
      </c>
      <c r="AO36" s="7">
        <f>[1]节奏总纲!BA36</f>
        <v>30.928573790308786</v>
      </c>
      <c r="AP36" s="7">
        <f>[1]节奏总纲!BB36</f>
        <v>32.295715187691279</v>
      </c>
      <c r="AQ36" s="7">
        <f>[1]节奏总纲!BC36</f>
        <v>34.09469189131628</v>
      </c>
      <c r="AR36" s="7">
        <f>[1]节奏总纲!BD36</f>
        <v>36.73675803133704</v>
      </c>
      <c r="AS36" s="7">
        <f>[1]节奏总纲!BE36</f>
        <v>41.389172829914081</v>
      </c>
      <c r="BD36" s="7"/>
    </row>
    <row r="37" spans="2:56" x14ac:dyDescent="0.15">
      <c r="B37" s="7">
        <f>[1]节奏总纲!N37</f>
        <v>44</v>
      </c>
      <c r="C37" s="7">
        <v>34</v>
      </c>
      <c r="D37" s="7">
        <f>[1]节奏总纲!P37</f>
        <v>9.5560632861831518</v>
      </c>
      <c r="E37" s="7">
        <f>[1]节奏总纲!Q37</f>
        <v>8.3309759728944712</v>
      </c>
      <c r="F37" s="7">
        <f>[1]节奏总纲!R37</f>
        <v>6.8918328419952886</v>
      </c>
      <c r="G37" s="7">
        <f>[1]节奏总纲!S37</f>
        <v>5.1287391656944967</v>
      </c>
      <c r="H37" s="7">
        <f>[1]节奏总纲!T37</f>
        <v>2.8811530807842201</v>
      </c>
      <c r="J37" s="7">
        <v>34</v>
      </c>
      <c r="K37" s="7">
        <f>[1]节奏总纲!W37</f>
        <v>0.70690797942382311</v>
      </c>
      <c r="L37" s="7">
        <f>[1]节奏总纲!X37</f>
        <v>0.61893712305371551</v>
      </c>
      <c r="M37" s="7">
        <f>[1]节奏总纲!Y37</f>
        <v>0.52221085218992336</v>
      </c>
      <c r="N37" s="7">
        <f>[1]节奏总纲!Z37</f>
        <v>0.39267124551690369</v>
      </c>
      <c r="O37" s="7">
        <f>[1]节奏总纲!AA37</f>
        <v>0.21844224898033815</v>
      </c>
      <c r="Q37" s="7">
        <v>34</v>
      </c>
      <c r="R37" s="7">
        <f>[1]节奏总纲!AD37</f>
        <v>51.285688244217212</v>
      </c>
      <c r="S37" s="7">
        <f>[1]节奏总纲!AE37</f>
        <v>53.226994578658328</v>
      </c>
      <c r="T37" s="7">
        <f>[1]节奏总纲!AF37</f>
        <v>56.045896281048073</v>
      </c>
      <c r="U37" s="7">
        <f>[1]节奏总纲!AG37</f>
        <v>60.491705764657482</v>
      </c>
      <c r="V37" s="7">
        <f>[1]节奏总纲!AH37</f>
        <v>68.972756340855</v>
      </c>
      <c r="Z37" s="7">
        <v>34</v>
      </c>
      <c r="AA37" s="7">
        <f>[1]节奏总纲!AM37</f>
        <v>54.110931329932889</v>
      </c>
      <c r="AB37" s="7">
        <f>[1]节奏总纲!AN37</f>
        <v>43.288745063946315</v>
      </c>
      <c r="AC37" s="7">
        <f>[1]节奏总纲!AO37</f>
        <v>32.466558797959735</v>
      </c>
      <c r="AD37" s="7">
        <f>[1]节奏总纲!AP37</f>
        <v>21.644372531973158</v>
      </c>
      <c r="AE37" s="7">
        <f>[1]节奏总纲!AQ37</f>
        <v>10.822186265986579</v>
      </c>
      <c r="AG37" s="7">
        <v>34</v>
      </c>
      <c r="AH37" s="7">
        <f>[1]节奏总纲!AT37</f>
        <v>8.0281184067334763</v>
      </c>
      <c r="AI37" s="7">
        <f>[1]节奏总纲!AU37</f>
        <v>6.4224947253867839</v>
      </c>
      <c r="AJ37" s="7">
        <f>[1]节奏总纲!AV37</f>
        <v>4.8168710440400879</v>
      </c>
      <c r="AK37" s="7">
        <f>[1]节奏总纲!AW37</f>
        <v>3.2112473626933919</v>
      </c>
      <c r="AL37" s="7">
        <f>[1]节奏总纲!AX37</f>
        <v>1.605623681346696</v>
      </c>
      <c r="AM37" s="7"/>
      <c r="AN37" s="7">
        <v>34</v>
      </c>
      <c r="AO37" s="7">
        <f>[1]节奏总纲!BA37</f>
        <v>31.109552696486158</v>
      </c>
      <c r="AP37" s="7">
        <f>[1]节奏总纲!BB37</f>
        <v>32.477877425165822</v>
      </c>
      <c r="AQ37" s="7">
        <f>[1]节奏总纲!BC37</f>
        <v>34.272203285175834</v>
      </c>
      <c r="AR37" s="7">
        <f>[1]节奏总纲!BD37</f>
        <v>36.947184852926306</v>
      </c>
      <c r="AS37" s="7">
        <f>[1]节奏总纲!BE37</f>
        <v>41.590303905372799</v>
      </c>
      <c r="BD37" s="7"/>
    </row>
    <row r="38" spans="2:56" x14ac:dyDescent="0.15">
      <c r="B38" s="7">
        <f>[1]节奏总纲!N38</f>
        <v>45</v>
      </c>
      <c r="C38" s="7">
        <v>35</v>
      </c>
      <c r="D38" s="7">
        <f>[1]节奏总纲!P38</f>
        <v>10.313708498984759</v>
      </c>
      <c r="E38" s="7">
        <f>[1]节奏总纲!Q38</f>
        <v>9.0048988904635934</v>
      </c>
      <c r="F38" s="7">
        <f>[1]节奏总纲!R38</f>
        <v>7.4547485030661838</v>
      </c>
      <c r="G38" s="7">
        <f>[1]节奏总纲!S38</f>
        <v>5.5405242056546129</v>
      </c>
      <c r="H38" s="7">
        <f>[1]节奏总纲!T38</f>
        <v>3.1106144832938032</v>
      </c>
      <c r="J38" s="7">
        <v>35</v>
      </c>
      <c r="K38" s="7">
        <f>[1]节奏总纲!W38</f>
        <v>0.75764521280160757</v>
      </c>
      <c r="L38" s="7">
        <f>[1]节奏总纲!X38</f>
        <v>0.67392291756912215</v>
      </c>
      <c r="M38" s="7">
        <f>[1]节奏总纲!Y38</f>
        <v>0.56291566107089519</v>
      </c>
      <c r="N38" s="7">
        <f>[1]节奏总纲!Z38</f>
        <v>0.41178503996011617</v>
      </c>
      <c r="O38" s="7">
        <f>[1]节奏总纲!AA38</f>
        <v>0.22946140250958313</v>
      </c>
      <c r="Q38" s="7">
        <v>35</v>
      </c>
      <c r="R38" s="7">
        <f>[1]节奏总纲!AD38</f>
        <v>51.691928656135211</v>
      </c>
      <c r="S38" s="7">
        <f>[1]节奏总纲!AE38</f>
        <v>53.623906555539456</v>
      </c>
      <c r="T38" s="7">
        <f>[1]节奏总纲!AF38</f>
        <v>56.457855949816349</v>
      </c>
      <c r="U38" s="7">
        <f>[1]节奏总纲!AG38</f>
        <v>60.905042823044738</v>
      </c>
      <c r="V38" s="7">
        <f>[1]节奏总纲!AH38</f>
        <v>69.385288338144662</v>
      </c>
      <c r="Z38" s="7">
        <v>35</v>
      </c>
      <c r="AA38" s="7">
        <f>[1]节奏总纲!AM38</f>
        <v>63.5</v>
      </c>
      <c r="AB38" s="7">
        <f>[1]节奏总纲!AN38</f>
        <v>50.800000000000004</v>
      </c>
      <c r="AC38" s="7">
        <f>[1]节奏总纲!AO38</f>
        <v>38.1</v>
      </c>
      <c r="AD38" s="7">
        <f>[1]节奏总纲!AP38</f>
        <v>25.400000000000002</v>
      </c>
      <c r="AE38" s="7">
        <f>[1]节奏总纲!AQ38</f>
        <v>12.700000000000001</v>
      </c>
      <c r="AG38" s="7">
        <v>35</v>
      </c>
      <c r="AH38" s="7">
        <f>[1]节奏总纲!AT38</f>
        <v>9.3890686700671111</v>
      </c>
      <c r="AI38" s="7">
        <f>[1]节奏总纲!AU38</f>
        <v>7.5112549360536889</v>
      </c>
      <c r="AJ38" s="7">
        <f>[1]节奏总纲!AV38</f>
        <v>5.6334412020402667</v>
      </c>
      <c r="AK38" s="7">
        <f>[1]节奏总纲!AW38</f>
        <v>3.7556274680268444</v>
      </c>
      <c r="AL38" s="7">
        <f>[1]节奏总纲!AX38</f>
        <v>1.8778137340134222</v>
      </c>
      <c r="AM38" s="7"/>
      <c r="AN38" s="7">
        <v>35</v>
      </c>
      <c r="AO38" s="7">
        <f>[1]节奏总纲!BA38</f>
        <v>31.280110398778046</v>
      </c>
      <c r="AP38" s="7">
        <f>[1]节奏总纲!BB38</f>
        <v>32.660039662640372</v>
      </c>
      <c r="AQ38" s="7">
        <f>[1]节奏总纲!BC38</f>
        <v>34.449714679035388</v>
      </c>
      <c r="AR38" s="7">
        <f>[1]节奏总纲!BD38</f>
        <v>37.135950591746003</v>
      </c>
      <c r="AS38" s="7">
        <f>[1]节奏总纲!BE38</f>
        <v>41.791434980831518</v>
      </c>
      <c r="BD38" s="7"/>
    </row>
    <row r="39" spans="2:56" x14ac:dyDescent="0.15">
      <c r="B39" s="7">
        <f>[1]节奏总纲!N39</f>
        <v>46</v>
      </c>
      <c r="C39" s="7">
        <v>36</v>
      </c>
      <c r="D39" s="7">
        <f>[1]节奏总纲!P39</f>
        <v>11.125732532083184</v>
      </c>
      <c r="E39" s="7">
        <f>[1]节奏总纲!Q39</f>
        <v>9.7261153795471191</v>
      </c>
      <c r="F39" s="7">
        <f>[1]节奏总纲!R39</f>
        <v>8.0405669009365166</v>
      </c>
      <c r="G39" s="7">
        <f>[1]节奏总纲!S39</f>
        <v>5.9700680767158358</v>
      </c>
      <c r="H39" s="7">
        <f>[1]节奏总纲!T39</f>
        <v>3.3388323328781633</v>
      </c>
      <c r="J39" s="7">
        <v>36</v>
      </c>
      <c r="K39" s="7">
        <f>[1]节奏总纲!W39</f>
        <v>0.81202403309842452</v>
      </c>
      <c r="L39" s="7">
        <f>[1]节奏总纲!X39</f>
        <v>0.72121648908352576</v>
      </c>
      <c r="M39" s="7">
        <f>[1]节奏总纲!Y39</f>
        <v>0.58581839787033285</v>
      </c>
      <c r="N39" s="7">
        <f>[1]节奏总纲!Z39</f>
        <v>0.42954387106122294</v>
      </c>
      <c r="O39" s="7">
        <f>[1]节奏总纲!AA39</f>
        <v>0.22821784958436009</v>
      </c>
      <c r="Q39" s="7">
        <v>36</v>
      </c>
      <c r="R39" s="7">
        <f>[1]节奏总纲!AD39</f>
        <v>52.091594979242075</v>
      </c>
      <c r="S39" s="7">
        <f>[1]节奏总纲!AE39</f>
        <v>54.020289560649204</v>
      </c>
      <c r="T39" s="7">
        <f>[1]节奏总纲!AF39</f>
        <v>56.869815618584624</v>
      </c>
      <c r="U39" s="7">
        <f>[1]节奏总纲!AG39</f>
        <v>61.294362422865476</v>
      </c>
      <c r="V39" s="7">
        <f>[1]节奏总纲!AH39</f>
        <v>69.795150761037945</v>
      </c>
      <c r="Z39" s="7">
        <v>36</v>
      </c>
      <c r="AA39" s="7">
        <f>[1]节奏总纲!AM39</f>
        <v>73.746861667008318</v>
      </c>
      <c r="AB39" s="7">
        <f>[1]节奏总纲!AN39</f>
        <v>58.997489333606659</v>
      </c>
      <c r="AC39" s="7">
        <f>[1]节奏总纲!AO39</f>
        <v>44.248117000204992</v>
      </c>
      <c r="AD39" s="7">
        <f>[1]节奏总纲!AP39</f>
        <v>29.498744666803329</v>
      </c>
      <c r="AE39" s="7">
        <f>[1]节奏总纲!AQ39</f>
        <v>14.749372333401665</v>
      </c>
      <c r="AG39" s="7">
        <v>36</v>
      </c>
      <c r="AH39" s="7">
        <f>[1]节奏总纲!AT39</f>
        <v>10.246861667008318</v>
      </c>
      <c r="AI39" s="7">
        <f>[1]节奏总纲!AU39</f>
        <v>8.1974893336066543</v>
      </c>
      <c r="AJ39" s="7">
        <f>[1]节奏总纲!AV39</f>
        <v>6.1481170002049907</v>
      </c>
      <c r="AK39" s="7">
        <f>[1]节奏总纲!AW39</f>
        <v>4.0987446668033272</v>
      </c>
      <c r="AL39" s="7">
        <f>[1]节奏总纲!AX39</f>
        <v>2.0493723334016636</v>
      </c>
      <c r="AM39" s="7"/>
      <c r="AN39" s="7">
        <v>36</v>
      </c>
      <c r="AO39" s="7">
        <f>[1]节奏总纲!BA39</f>
        <v>31.450668101069933</v>
      </c>
      <c r="AP39" s="7">
        <f>[1]节奏总纲!BB39</f>
        <v>32.842201900114915</v>
      </c>
      <c r="AQ39" s="7">
        <f>[1]节奏总纲!BC39</f>
        <v>34.627226072894942</v>
      </c>
      <c r="AR39" s="7">
        <f>[1]节奏总纲!BD39</f>
        <v>37.317457773889828</v>
      </c>
      <c r="AS39" s="7">
        <f>[1]节奏总纲!BE39</f>
        <v>41.992566056290244</v>
      </c>
      <c r="BD39" s="7"/>
    </row>
    <row r="40" spans="2:56" x14ac:dyDescent="0.15">
      <c r="B40" s="7">
        <f>[1]节奏总纲!N40</f>
        <v>47</v>
      </c>
      <c r="C40" s="7">
        <v>37</v>
      </c>
      <c r="D40" s="7">
        <f>[1]节奏总纲!P40</f>
        <v>11.996038341699768</v>
      </c>
      <c r="E40" s="7">
        <f>[1]节奏总纲!Q40</f>
        <v>10.483337906811427</v>
      </c>
      <c r="F40" s="7">
        <f>[1]节奏总纲!R40</f>
        <v>8.6671377018780831</v>
      </c>
      <c r="G40" s="7">
        <f>[1]节奏总纲!S40</f>
        <v>6.4166809089752066</v>
      </c>
      <c r="H40" s="7">
        <f>[1]节奏总纲!T40</f>
        <v>3.6000111063441</v>
      </c>
      <c r="J40" s="7">
        <v>37</v>
      </c>
      <c r="K40" s="7">
        <f>[1]节奏总纲!W40</f>
        <v>0.87030580961658366</v>
      </c>
      <c r="L40" s="7">
        <f>[1]节奏总纲!X40</f>
        <v>0.75722252726430739</v>
      </c>
      <c r="M40" s="7">
        <f>[1]节奏总纲!Y40</f>
        <v>0.62657080094156647</v>
      </c>
      <c r="N40" s="7">
        <f>[1]节奏总纲!Z40</f>
        <v>0.44661283225937076</v>
      </c>
      <c r="O40" s="7">
        <f>[1]节奏总纲!AA40</f>
        <v>0.26117877346593676</v>
      </c>
      <c r="Q40" s="7">
        <v>37</v>
      </c>
      <c r="R40" s="7">
        <f>[1]节奏总纲!AD40</f>
        <v>52.470630686057078</v>
      </c>
      <c r="S40" s="7">
        <f>[1]节奏总纲!AE40</f>
        <v>54.407116521581436</v>
      </c>
      <c r="T40" s="7">
        <f>[1]节奏总纲!AF40</f>
        <v>57.263329041432932</v>
      </c>
      <c r="U40" s="7">
        <f>[1]节奏总纲!AG40</f>
        <v>61.676518787205197</v>
      </c>
      <c r="V40" s="7">
        <f>[1]节奏总纲!AH40</f>
        <v>70.190427169053478</v>
      </c>
      <c r="Z40" s="7">
        <v>37</v>
      </c>
      <c r="AA40" s="7">
        <f>[1]节奏总纲!AM40</f>
        <v>85.62747641525452</v>
      </c>
      <c r="AB40" s="7">
        <f>[1]节奏总纲!AN40</f>
        <v>68.501981132203625</v>
      </c>
      <c r="AC40" s="7">
        <f>[1]节奏总纲!AO40</f>
        <v>51.376485849152708</v>
      </c>
      <c r="AD40" s="7">
        <f>[1]节奏总纲!AP40</f>
        <v>34.250990566101812</v>
      </c>
      <c r="AE40" s="7">
        <f>[1]节奏总纲!AQ40</f>
        <v>17.125495283050906</v>
      </c>
      <c r="AG40" s="7">
        <v>37</v>
      </c>
      <c r="AH40" s="7">
        <f>[1]节奏总纲!AT40</f>
        <v>11.880614748246202</v>
      </c>
      <c r="AI40" s="7">
        <f>[1]节奏总纲!AU40</f>
        <v>9.5044917985969661</v>
      </c>
      <c r="AJ40" s="7">
        <f>[1]节奏总纲!AV40</f>
        <v>7.1283688489477157</v>
      </c>
      <c r="AK40" s="7">
        <f>[1]节奏总纲!AW40</f>
        <v>4.7522458992984831</v>
      </c>
      <c r="AL40" s="7">
        <f>[1]节奏总纲!AX40</f>
        <v>2.3761229496492415</v>
      </c>
      <c r="AM40" s="7"/>
      <c r="AN40" s="7">
        <v>37</v>
      </c>
      <c r="AO40" s="7">
        <f>[1]节奏总纲!BA40</f>
        <v>31.621225803361821</v>
      </c>
      <c r="AP40" s="7">
        <f>[1]节奏总纲!BB40</f>
        <v>33.02082518821102</v>
      </c>
      <c r="AQ40" s="7">
        <f>[1]节奏总纲!BC40</f>
        <v>34.804737466754489</v>
      </c>
      <c r="AR40" s="7">
        <f>[1]节奏总纲!BD40</f>
        <v>37.498964956033646</v>
      </c>
      <c r="AS40" s="7">
        <f>[1]节奏总纲!BE40</f>
        <v>42.167148737437564</v>
      </c>
      <c r="BD40" s="7"/>
    </row>
    <row r="41" spans="2:56" x14ac:dyDescent="0.15">
      <c r="B41" s="7">
        <f>[1]节奏总纲!N41</f>
        <v>48</v>
      </c>
      <c r="C41" s="7">
        <v>38</v>
      </c>
      <c r="D41" s="7">
        <f>[1]节奏总纲!P41</f>
        <v>12.928809012737984</v>
      </c>
      <c r="E41" s="7">
        <f>[1]节奏总纲!Q41</f>
        <v>11.292021791725356</v>
      </c>
      <c r="F41" s="7">
        <f>[1]节奏总纲!R41</f>
        <v>9.3190855363815395</v>
      </c>
      <c r="G41" s="7">
        <f>[1]节奏总纲!S41</f>
        <v>6.8962267273944402</v>
      </c>
      <c r="H41" s="7">
        <f>[1]节奏总纲!T41</f>
        <v>3.8708854184137524</v>
      </c>
      <c r="J41" s="7">
        <v>38</v>
      </c>
      <c r="K41" s="7">
        <f>[1]节奏总纲!W41</f>
        <v>0.93277067103821665</v>
      </c>
      <c r="L41" s="7">
        <f>[1]节奏总纲!X41</f>
        <v>0.80868388491392906</v>
      </c>
      <c r="M41" s="7">
        <f>[1]节奏总纲!Y41</f>
        <v>0.65194783450345639</v>
      </c>
      <c r="N41" s="7">
        <f>[1]节奏总纲!Z41</f>
        <v>0.4795458184192336</v>
      </c>
      <c r="O41" s="7">
        <f>[1]节奏总纲!AA41</f>
        <v>0.2708743120696524</v>
      </c>
      <c r="Q41" s="7">
        <v>38</v>
      </c>
      <c r="R41" s="7">
        <f>[1]节奏总纲!AD41</f>
        <v>52.849666392872081</v>
      </c>
      <c r="S41" s="7">
        <f>[1]节奏总纲!AE41</f>
        <v>54.793943482513676</v>
      </c>
      <c r="T41" s="7">
        <f>[1]节奏总纲!AF41</f>
        <v>57.64832002380362</v>
      </c>
      <c r="U41" s="7">
        <f>[1]节奏总纲!AG41</f>
        <v>62.054222259937362</v>
      </c>
      <c r="V41" s="7">
        <f>[1]节奏总纲!AH41</f>
        <v>70.571129226337533</v>
      </c>
      <c r="Z41" s="7">
        <v>38</v>
      </c>
      <c r="AA41" s="7">
        <f>[1]节奏总纲!AM41</f>
        <v>99.401036064365428</v>
      </c>
      <c r="AB41" s="7">
        <f>[1]节奏总纲!AN41</f>
        <v>79.520828851492354</v>
      </c>
      <c r="AC41" s="7">
        <f>[1]节奏总纲!AO41</f>
        <v>59.640621638619251</v>
      </c>
      <c r="AD41" s="7">
        <f>[1]节奏总纲!AP41</f>
        <v>39.760414425746177</v>
      </c>
      <c r="AE41" s="7">
        <f>[1]节奏总纲!AQ41</f>
        <v>19.880207212873088</v>
      </c>
      <c r="AG41" s="7">
        <v>38</v>
      </c>
      <c r="AH41" s="7">
        <f>[1]节奏总纲!AT41</f>
        <v>13.773559649110908</v>
      </c>
      <c r="AI41" s="7">
        <f>[1]节奏总纲!AU41</f>
        <v>11.018847719288729</v>
      </c>
      <c r="AJ41" s="7">
        <f>[1]节奏总纲!AV41</f>
        <v>8.2641357894665433</v>
      </c>
      <c r="AK41" s="7">
        <f>[1]节奏总纲!AW41</f>
        <v>5.5094238596443645</v>
      </c>
      <c r="AL41" s="7">
        <f>[1]节奏总纲!AX41</f>
        <v>2.7547119298221823</v>
      </c>
      <c r="AM41" s="7"/>
      <c r="AN41" s="7">
        <v>38</v>
      </c>
      <c r="AO41" s="7">
        <f>[1]节奏总纲!BA41</f>
        <v>31.791783505653711</v>
      </c>
      <c r="AP41" s="7">
        <f>[1]节奏总纲!BB41</f>
        <v>33.176527924103851</v>
      </c>
      <c r="AQ41" s="7">
        <f>[1]节奏总纲!BC41</f>
        <v>34.982248860614042</v>
      </c>
      <c r="AR41" s="7">
        <f>[1]节奏总纲!BD41</f>
        <v>37.680472138177471</v>
      </c>
      <c r="AS41" s="7">
        <f>[1]节奏总纲!BE41</f>
        <v>42.340712512072891</v>
      </c>
      <c r="BD41" s="7"/>
    </row>
    <row r="42" spans="2:56" x14ac:dyDescent="0.15">
      <c r="B42" s="7">
        <f>[1]节奏总纲!N42</f>
        <v>49</v>
      </c>
      <c r="C42" s="7">
        <v>39</v>
      </c>
      <c r="D42" s="7">
        <f>[1]节奏总纲!P42</f>
        <v>13.928527864588917</v>
      </c>
      <c r="E42" s="7">
        <f>[1]节奏总纲!Q42</f>
        <v>12.147069150707994</v>
      </c>
      <c r="F42" s="7">
        <f>[1]节奏总纲!R42</f>
        <v>10.016004387425889</v>
      </c>
      <c r="G42" s="7">
        <f>[1]节奏总纲!S42</f>
        <v>7.4197267934665154</v>
      </c>
      <c r="H42" s="7">
        <f>[1]节奏总纲!T42</f>
        <v>4.1702012426579218</v>
      </c>
      <c r="J42" s="7">
        <v>39</v>
      </c>
      <c r="K42" s="7">
        <f>[1]节奏总纲!W42</f>
        <v>0.99971885185093257</v>
      </c>
      <c r="L42" s="7">
        <f>[1]节奏总纲!X42</f>
        <v>0.85504735898263817</v>
      </c>
      <c r="M42" s="7">
        <f>[1]节奏总纲!Y42</f>
        <v>0.69691885104434981</v>
      </c>
      <c r="N42" s="7">
        <f>[1]节奏总纲!Z42</f>
        <v>0.52350006607207522</v>
      </c>
      <c r="O42" s="7">
        <f>[1]节奏总纲!AA42</f>
        <v>0.29931582424416936</v>
      </c>
      <c r="Q42" s="7">
        <v>39</v>
      </c>
      <c r="R42" s="7">
        <f>[1]节奏总纲!AD42</f>
        <v>53.213386604241784</v>
      </c>
      <c r="S42" s="7">
        <f>[1]节奏总纲!AE42</f>
        <v>55.170390866416149</v>
      </c>
      <c r="T42" s="7">
        <f>[1]节奏总纲!AF42</f>
        <v>58.030740707238266</v>
      </c>
      <c r="U42" s="7">
        <f>[1]节奏总纲!AG42</f>
        <v>62.407376554018477</v>
      </c>
      <c r="V42" s="7">
        <f>[1]节奏总纲!AH42</f>
        <v>70.951831283621587</v>
      </c>
      <c r="Z42" s="7">
        <v>39</v>
      </c>
      <c r="AA42" s="7">
        <f>[1]节奏总纲!AM42</f>
        <v>115.36769098598003</v>
      </c>
      <c r="AB42" s="7">
        <f>[1]节奏总纲!AN42</f>
        <v>92.294152788784032</v>
      </c>
      <c r="AC42" s="7">
        <f>[1]节奏总纲!AO42</f>
        <v>69.220614591588017</v>
      </c>
      <c r="AD42" s="7">
        <f>[1]节奏总纲!AP42</f>
        <v>46.147076394392016</v>
      </c>
      <c r="AE42" s="7">
        <f>[1]节奏总纲!AQ42</f>
        <v>23.073538197196008</v>
      </c>
      <c r="AG42" s="7">
        <v>39</v>
      </c>
      <c r="AH42" s="7">
        <f>[1]节奏总纲!AT42</f>
        <v>15.966654921614605</v>
      </c>
      <c r="AI42" s="7">
        <f>[1]节奏总纲!AU42</f>
        <v>12.773323937291678</v>
      </c>
      <c r="AJ42" s="7">
        <f>[1]节奏总纲!AV42</f>
        <v>9.579992952968766</v>
      </c>
      <c r="AK42" s="7">
        <f>[1]节奏总纲!AW42</f>
        <v>6.3866619686458392</v>
      </c>
      <c r="AL42" s="7">
        <f>[1]节奏总纲!AX42</f>
        <v>3.1933309843229196</v>
      </c>
      <c r="AM42" s="7"/>
      <c r="AN42" s="7">
        <v>39</v>
      </c>
      <c r="AO42" s="7">
        <f>[1]节奏总纲!BA42</f>
        <v>31.962341207945599</v>
      </c>
      <c r="AP42" s="7">
        <f>[1]节奏总纲!BB42</f>
        <v>33.332230659996682</v>
      </c>
      <c r="AQ42" s="7">
        <f>[1]节奏总纲!BC42</f>
        <v>35.146386283795508</v>
      </c>
      <c r="AR42" s="7">
        <f>[1]节奏总纲!BD42</f>
        <v>37.861979320321296</v>
      </c>
      <c r="AS42" s="7">
        <f>[1]节奏总纲!BE42</f>
        <v>42.51427628670821</v>
      </c>
      <c r="BD42" s="7"/>
    </row>
    <row r="43" spans="2:56" x14ac:dyDescent="0.15">
      <c r="B43" s="7">
        <f>[1]节奏总纲!N43</f>
        <v>50</v>
      </c>
      <c r="C43" s="7">
        <v>40</v>
      </c>
      <c r="D43" s="7">
        <f>[1]节奏总纲!P43</f>
        <v>15</v>
      </c>
      <c r="E43" s="7">
        <f>[1]节奏总纲!Q43</f>
        <v>13.059000000000001</v>
      </c>
      <c r="F43" s="7">
        <f>[1]节奏总纲!R43</f>
        <v>10.782</v>
      </c>
      <c r="G43" s="7">
        <f>[1]节奏总纲!S43</f>
        <v>8.0009999999999994</v>
      </c>
      <c r="H43" s="7">
        <f>[1]节奏总纲!T43</f>
        <v>4.5</v>
      </c>
      <c r="J43" s="7">
        <v>40</v>
      </c>
      <c r="K43" s="7">
        <f>[1]节奏总纲!W43</f>
        <v>1.0714721354110832</v>
      </c>
      <c r="L43" s="7">
        <f>[1]节奏总纲!X43</f>
        <v>0.9119308492920073</v>
      </c>
      <c r="M43" s="7">
        <f>[1]节奏总纲!Y43</f>
        <v>0.76599561257411075</v>
      </c>
      <c r="N43" s="7">
        <f>[1]节奏总纲!Z43</f>
        <v>0.58127320653348402</v>
      </c>
      <c r="O43" s="7">
        <f>[1]节奏总纲!AA43</f>
        <v>0.3297987573420782</v>
      </c>
      <c r="Q43" s="7">
        <v>40</v>
      </c>
      <c r="R43" s="7">
        <f>[1]节奏总纲!AD43</f>
        <v>53.567039423670657</v>
      </c>
      <c r="S43" s="7">
        <f>[1]节奏总纲!AE43</f>
        <v>55.535006783542492</v>
      </c>
      <c r="T43" s="7">
        <f>[1]节奏总纲!AF43</f>
        <v>58.38602553461638</v>
      </c>
      <c r="U43" s="7">
        <f>[1]节奏总纲!AG43</f>
        <v>62.760530848099599</v>
      </c>
      <c r="V43" s="7">
        <f>[1]节奏总纲!AH43</f>
        <v>71.315281959371688</v>
      </c>
      <c r="Z43" s="7">
        <v>40</v>
      </c>
      <c r="AA43" s="7">
        <f>[1]节奏总纲!AM43</f>
        <v>133.875</v>
      </c>
      <c r="AB43" s="7">
        <f>[1]节奏总纲!AN43</f>
        <v>107.10000000000001</v>
      </c>
      <c r="AC43" s="7">
        <f>[1]节奏总纲!AO43</f>
        <v>80.325000000000003</v>
      </c>
      <c r="AD43" s="7">
        <f>[1]节奏总纲!AP43</f>
        <v>53.550000000000004</v>
      </c>
      <c r="AE43" s="7">
        <f>[1]节奏总纲!AQ43</f>
        <v>26.775000000000002</v>
      </c>
      <c r="AG43" s="7">
        <v>40</v>
      </c>
      <c r="AH43" s="7">
        <f>[1]节奏总纲!AT43</f>
        <v>18.507309014019967</v>
      </c>
      <c r="AI43" s="7">
        <f>[1]节奏总纲!AU43</f>
        <v>14.805847211215976</v>
      </c>
      <c r="AJ43" s="7">
        <f>[1]节奏总纲!AV43</f>
        <v>11.104385408411986</v>
      </c>
      <c r="AK43" s="7">
        <f>[1]节奏总纲!AW43</f>
        <v>7.4029236056079881</v>
      </c>
      <c r="AL43" s="7">
        <f>[1]节奏总纲!AX43</f>
        <v>3.7014618028039941</v>
      </c>
      <c r="AM43" s="7"/>
      <c r="AN43" s="7">
        <v>40</v>
      </c>
      <c r="AO43" s="7">
        <f>[1]节奏总纲!BA43</f>
        <v>32.113552950216736</v>
      </c>
      <c r="AP43" s="7">
        <f>[1]节奏总纲!BB43</f>
        <v>33.487933395889513</v>
      </c>
      <c r="AQ43" s="7">
        <f>[1]节奏总纲!BC43</f>
        <v>35.309037710234961</v>
      </c>
      <c r="AR43" s="7">
        <f>[1]节奏总纲!BD43</f>
        <v>38.037513426486328</v>
      </c>
      <c r="AS43" s="7">
        <f>[1]节奏总纲!BE43</f>
        <v>42.687840061343536</v>
      </c>
      <c r="BD43" s="7"/>
    </row>
    <row r="44" spans="2:56" x14ac:dyDescent="0.15">
      <c r="B44" s="7">
        <f>[1]节奏总纲!N44</f>
        <v>51</v>
      </c>
      <c r="C44" s="7">
        <v>41</v>
      </c>
      <c r="D44" s="7">
        <f>[1]节奏总纲!P44</f>
        <v>16.148375400580683</v>
      </c>
      <c r="E44" s="7">
        <f>[1]节奏总纲!Q44</f>
        <v>14.065234973905774</v>
      </c>
      <c r="F44" s="7">
        <f>[1]节奏总纲!R44</f>
        <v>11.621985775797917</v>
      </c>
      <c r="G44" s="7">
        <f>[1]节奏总纲!S44</f>
        <v>8.6296918140703163</v>
      </c>
      <c r="H44" s="7">
        <f>[1]节奏总纲!T44</f>
        <v>4.8606609955747855</v>
      </c>
      <c r="J44" s="7">
        <v>41</v>
      </c>
      <c r="K44" s="7">
        <f>[1]节奏总纲!W44</f>
        <v>1.148375400580683</v>
      </c>
      <c r="L44" s="7">
        <f>[1]节奏总纲!X44</f>
        <v>1.006234973905773</v>
      </c>
      <c r="M44" s="7">
        <f>[1]节奏总纲!Y44</f>
        <v>0.839985775797917</v>
      </c>
      <c r="N44" s="7">
        <f>[1]节奏总纲!Z44</f>
        <v>0.62869181407031682</v>
      </c>
      <c r="O44" s="7">
        <f>[1]节奏总纲!AA44</f>
        <v>0.36066099557478548</v>
      </c>
      <c r="Q44" s="7">
        <v>41</v>
      </c>
      <c r="R44" s="7">
        <f>[1]节奏总纲!AD44</f>
        <v>53.920692243099523</v>
      </c>
      <c r="S44" s="7">
        <f>[1]节奏总纲!AE44</f>
        <v>55.899622700668843</v>
      </c>
      <c r="T44" s="7">
        <f>[1]节奏总纲!AF44</f>
        <v>58.741310361994486</v>
      </c>
      <c r="U44" s="7">
        <f>[1]节奏总纲!AG44</f>
        <v>63.10587219844583</v>
      </c>
      <c r="V44" s="7">
        <f>[1]节奏总纲!AH44</f>
        <v>71.676233707038421</v>
      </c>
      <c r="Z44" s="7">
        <v>41</v>
      </c>
      <c r="AA44" s="7">
        <f>[1]节奏总纲!AM44</f>
        <v>155.32539280599755</v>
      </c>
      <c r="AB44" s="7">
        <f>[1]节奏总纲!AN44</f>
        <v>124.26031424479805</v>
      </c>
      <c r="AC44" s="7">
        <f>[1]节奏总纲!AO44</f>
        <v>93.195235683598526</v>
      </c>
      <c r="AD44" s="7">
        <f>[1]节奏总纲!AP44</f>
        <v>62.130157122399027</v>
      </c>
      <c r="AE44" s="7">
        <f>[1]节奏总纲!AQ44</f>
        <v>31.065078561199513</v>
      </c>
      <c r="AG44" s="7">
        <v>41</v>
      </c>
      <c r="AH44" s="7">
        <f>[1]节奏总纲!AT44</f>
        <v>21.450392805997552</v>
      </c>
      <c r="AI44" s="7">
        <f>[1]节奏总纲!AU44</f>
        <v>17.160314244798045</v>
      </c>
      <c r="AJ44" s="7">
        <f>[1]节奏总纲!AV44</f>
        <v>12.870235683598523</v>
      </c>
      <c r="AK44" s="7">
        <f>[1]节奏总纲!AW44</f>
        <v>8.5801571223990223</v>
      </c>
      <c r="AL44" s="7">
        <f>[1]节奏总纲!AX44</f>
        <v>4.2900785611995111</v>
      </c>
      <c r="AM44" s="7"/>
      <c r="AN44" s="7">
        <v>41</v>
      </c>
      <c r="AO44" s="7">
        <f>[1]节奏总纲!BA44</f>
        <v>32.259282740196369</v>
      </c>
      <c r="AP44" s="7">
        <f>[1]节奏总纲!BB44</f>
        <v>33.643636131782344</v>
      </c>
      <c r="AQ44" s="7">
        <f>[1]节奏总纲!BC44</f>
        <v>35.471689136674414</v>
      </c>
      <c r="AR44" s="7">
        <f>[1]节奏总纲!BD44</f>
        <v>38.194089742081125</v>
      </c>
      <c r="AS44" s="7">
        <f>[1]节奏总纲!BE44</f>
        <v>42.861403835978855</v>
      </c>
      <c r="BD44" s="7"/>
    </row>
    <row r="45" spans="2:56" x14ac:dyDescent="0.15">
      <c r="B45" s="7">
        <f>[1]节奏总纲!N45</f>
        <v>52</v>
      </c>
      <c r="C45" s="7">
        <v>42</v>
      </c>
      <c r="D45" s="7">
        <f>[1]节奏总纲!P45</f>
        <v>17.379173679952558</v>
      </c>
      <c r="E45" s="7">
        <f>[1]节奏总纲!Q45</f>
        <v>15.182446126806555</v>
      </c>
      <c r="F45" s="7">
        <f>[1]节奏总纲!R45</f>
        <v>12.547763396925747</v>
      </c>
      <c r="G45" s="7">
        <f>[1]节奏总纲!S45</f>
        <v>9.3221887619265527</v>
      </c>
      <c r="H45" s="7">
        <f>[1]节奏总纲!T45</f>
        <v>5.2485104513456724</v>
      </c>
      <c r="J45" s="7">
        <v>42</v>
      </c>
      <c r="K45" s="7">
        <f>[1]节奏总纲!W45</f>
        <v>1.230798279371875</v>
      </c>
      <c r="L45" s="7">
        <f>[1]节奏总纲!X45</f>
        <v>1.1172111529007811</v>
      </c>
      <c r="M45" s="7">
        <f>[1]节奏总纲!Y45</f>
        <v>0.92577762112783013</v>
      </c>
      <c r="N45" s="7">
        <f>[1]节奏总纲!Z45</f>
        <v>0.69249694785623639</v>
      </c>
      <c r="O45" s="7">
        <f>[1]节奏总纲!AA45</f>
        <v>0.38784945577088692</v>
      </c>
      <c r="Q45" s="7">
        <v>42</v>
      </c>
      <c r="R45" s="7">
        <f>[1]节奏总纲!AD45</f>
        <v>54.255972994404218</v>
      </c>
      <c r="S45" s="7">
        <f>[1]节奏总纲!AE45</f>
        <v>56.238779717153008</v>
      </c>
      <c r="T45" s="7">
        <f>[1]节奏总纲!AF45</f>
        <v>59.09095196730258</v>
      </c>
      <c r="U45" s="7">
        <f>[1]节奏总纲!AG45</f>
        <v>63.434756173851497</v>
      </c>
      <c r="V45" s="7">
        <f>[1]节奏总纲!AH45</f>
        <v>72.034562459436771</v>
      </c>
      <c r="Z45" s="7">
        <v>42</v>
      </c>
      <c r="AA45" s="7">
        <f>[1]节奏总纲!AM45</f>
        <v>180.18480345945557</v>
      </c>
      <c r="AB45" s="7">
        <f>[1]节奏总纲!AN45</f>
        <v>144.14784276756447</v>
      </c>
      <c r="AC45" s="7">
        <f>[1]节奏总纲!AO45</f>
        <v>108.11088207567333</v>
      </c>
      <c r="AD45" s="7">
        <f>[1]节奏总纲!AP45</f>
        <v>72.073921383782235</v>
      </c>
      <c r="AE45" s="7">
        <f>[1]节奏总纲!AQ45</f>
        <v>36.036960691891117</v>
      </c>
      <c r="AG45" s="7">
        <v>42</v>
      </c>
      <c r="AH45" s="7">
        <f>[1]节奏总纲!AT45</f>
        <v>24.859410653458013</v>
      </c>
      <c r="AI45" s="7">
        <f>[1]节奏总纲!AU45</f>
        <v>19.887528522766416</v>
      </c>
      <c r="AJ45" s="7">
        <f>[1]节奏总纲!AV45</f>
        <v>14.915646392074805</v>
      </c>
      <c r="AK45" s="7">
        <f>[1]节奏总纲!AW45</f>
        <v>9.9437642613832082</v>
      </c>
      <c r="AL45" s="7">
        <f>[1]节奏总纲!AX45</f>
        <v>4.9718821306916041</v>
      </c>
      <c r="AM45" s="7"/>
      <c r="AN45" s="7">
        <v>42</v>
      </c>
      <c r="AO45" s="7">
        <f>[1]节奏总纲!BA45</f>
        <v>32.405012530176009</v>
      </c>
      <c r="AP45" s="7">
        <f>[1]节奏总纲!BB45</f>
        <v>33.799338867675175</v>
      </c>
      <c r="AQ45" s="7">
        <f>[1]节奏总纲!BC45</f>
        <v>35.634340563113874</v>
      </c>
      <c r="AR45" s="7">
        <f>[1]节奏总纲!BD45</f>
        <v>38.35066605767593</v>
      </c>
      <c r="AS45" s="7">
        <f>[1]节奏总纲!BE45</f>
        <v>43.030177309109042</v>
      </c>
      <c r="BD45" s="7"/>
    </row>
    <row r="46" spans="2:56" x14ac:dyDescent="0.15">
      <c r="B46" s="7">
        <f>[1]节奏总纲!N46</f>
        <v>53</v>
      </c>
      <c r="C46" s="7">
        <v>43</v>
      </c>
      <c r="D46" s="7">
        <f>[1]节奏总纲!P46</f>
        <v>18.698310613518661</v>
      </c>
      <c r="E46" s="7">
        <f>[1]节奏总纲!Q46</f>
        <v>16.338583814092605</v>
      </c>
      <c r="F46" s="7">
        <f>[1]节奏总纲!R46</f>
        <v>13.509529418267233</v>
      </c>
      <c r="G46" s="7">
        <f>[1]节奏总纲!S46</f>
        <v>10.020424657784652</v>
      </c>
      <c r="H46" s="7">
        <f>[1]节奏总纲!T46</f>
        <v>5.6394104810372276</v>
      </c>
      <c r="J46" s="7">
        <v>43</v>
      </c>
      <c r="K46" s="7">
        <f>[1]节奏总纲!W46</f>
        <v>1.319136933566103</v>
      </c>
      <c r="L46" s="7">
        <f>[1]节奏总纲!X46</f>
        <v>1.1561376872860496</v>
      </c>
      <c r="M46" s="7">
        <f>[1]节奏总纲!Y46</f>
        <v>0.96176602134148581</v>
      </c>
      <c r="N46" s="7">
        <f>[1]节奏总纲!Z46</f>
        <v>0.6982358958580992</v>
      </c>
      <c r="O46" s="7">
        <f>[1]节奏总纲!AA46</f>
        <v>0.39090002969155524</v>
      </c>
      <c r="Q46" s="7">
        <v>43</v>
      </c>
      <c r="R46" s="7">
        <f>[1]节奏总纲!AD46</f>
        <v>54.585942742481357</v>
      </c>
      <c r="S46" s="7">
        <f>[1]节奏总纲!AE46</f>
        <v>56.568265567054013</v>
      </c>
      <c r="T46" s="7">
        <f>[1]节奏总纲!AF46</f>
        <v>59.425480572843689</v>
      </c>
      <c r="U46" s="7">
        <f>[1]节奏总纲!AG46</f>
        <v>63.763640149257171</v>
      </c>
      <c r="V46" s="7">
        <f>[1]节奏总纲!AH46</f>
        <v>72.370053318329937</v>
      </c>
      <c r="Z46" s="7">
        <v>43</v>
      </c>
      <c r="AA46" s="7">
        <f>[1]节奏总纲!AM46</f>
        <v>208.99265815439742</v>
      </c>
      <c r="AB46" s="7">
        <f>[1]节奏总纲!AN46</f>
        <v>167.19412652351795</v>
      </c>
      <c r="AC46" s="7">
        <f>[1]节奏总纲!AO46</f>
        <v>125.39559489263844</v>
      </c>
      <c r="AD46" s="7">
        <f>[1]节奏总纲!AP46</f>
        <v>83.597063261758976</v>
      </c>
      <c r="AE46" s="7">
        <f>[1]节奏总纲!AQ46</f>
        <v>41.798531630879488</v>
      </c>
      <c r="AG46" s="7">
        <v>43</v>
      </c>
      <c r="AH46" s="7">
        <f>[1]节奏总纲!AT46</f>
        <v>28.807854694941852</v>
      </c>
      <c r="AI46" s="7">
        <f>[1]节奏总纲!AU46</f>
        <v>23.046283755953482</v>
      </c>
      <c r="AJ46" s="7">
        <f>[1]节奏总纲!AV46</f>
        <v>17.284712816965111</v>
      </c>
      <c r="AK46" s="7">
        <f>[1]节奏总纲!AW46</f>
        <v>11.523141877976741</v>
      </c>
      <c r="AL46" s="7">
        <f>[1]节奏总纲!AX46</f>
        <v>5.7615709389883705</v>
      </c>
      <c r="AM46" s="7"/>
      <c r="AN46" s="7">
        <v>43</v>
      </c>
      <c r="AO46" s="7">
        <f>[1]节奏总纲!BA46</f>
        <v>32.550742320155642</v>
      </c>
      <c r="AP46" s="7">
        <f>[1]节奏总纲!BB46</f>
        <v>33.955041603568006</v>
      </c>
      <c r="AQ46" s="7">
        <f>[1]节奏总纲!BC46</f>
        <v>35.796991989553327</v>
      </c>
      <c r="AR46" s="7">
        <f>[1]节奏总纲!BD46</f>
        <v>38.507242373270728</v>
      </c>
      <c r="AS46" s="7">
        <f>[1]节奏总纲!BE46</f>
        <v>43.179964142847631</v>
      </c>
      <c r="BD46" s="7"/>
    </row>
    <row r="47" spans="2:56" x14ac:dyDescent="0.15">
      <c r="B47" s="7">
        <f>[1]节奏总纲!N47</f>
        <v>54</v>
      </c>
      <c r="C47" s="7">
        <v>44</v>
      </c>
      <c r="D47" s="7">
        <f>[1]节奏总纲!P47</f>
        <v>20.112126572366307</v>
      </c>
      <c r="E47" s="7">
        <f>[1]节奏总纲!Q47</f>
        <v>17.573976198933678</v>
      </c>
      <c r="F47" s="7">
        <f>[1]节奏总纲!R47</f>
        <v>14.520955385248474</v>
      </c>
      <c r="G47" s="7">
        <f>[1]节奏总纲!S47</f>
        <v>10.768032566844921</v>
      </c>
      <c r="H47" s="7">
        <f>[1]节奏总纲!T47</f>
        <v>6.0537500982822579</v>
      </c>
      <c r="J47" s="7">
        <v>44</v>
      </c>
      <c r="K47" s="7">
        <f>[1]节奏总纲!W47</f>
        <v>1.4138159588476462</v>
      </c>
      <c r="L47" s="7">
        <f>[1]节奏总纲!X47</f>
        <v>1.2353923848410737</v>
      </c>
      <c r="M47" s="7">
        <f>[1]节奏总纲!Y47</f>
        <v>1.0114259669812409</v>
      </c>
      <c r="N47" s="7">
        <f>[1]节奏总纲!Z47</f>
        <v>0.74760790906026919</v>
      </c>
      <c r="O47" s="7">
        <f>[1]节奏总纲!AA47</f>
        <v>0.41433961724503021</v>
      </c>
      <c r="Q47" s="7">
        <v>44</v>
      </c>
      <c r="R47" s="7">
        <f>[1]节奏总纲!AD47</f>
        <v>54.915912490558505</v>
      </c>
      <c r="S47" s="7">
        <f>[1]节奏总纲!AE47</f>
        <v>56.897751416955018</v>
      </c>
      <c r="T47" s="7">
        <f>[1]节奏总纲!AF47</f>
        <v>59.760009178384806</v>
      </c>
      <c r="U47" s="7">
        <f>[1]节奏总纲!AG47</f>
        <v>64.08760696397195</v>
      </c>
      <c r="V47" s="7">
        <f>[1]节奏总纲!AH47</f>
        <v>72.705544177223089</v>
      </c>
      <c r="Z47" s="7">
        <v>44</v>
      </c>
      <c r="AA47" s="7">
        <f>[1]节奏总纲!AM47</f>
        <v>242.37342918215046</v>
      </c>
      <c r="AB47" s="7">
        <f>[1]节奏总纲!AN47</f>
        <v>193.89874334572039</v>
      </c>
      <c r="AC47" s="7">
        <f>[1]节奏总纲!AO47</f>
        <v>145.42405750929026</v>
      </c>
      <c r="AD47" s="7">
        <f>[1]节奏总纲!AP47</f>
        <v>96.949371672860195</v>
      </c>
      <c r="AE47" s="7">
        <f>[1]节奏总纲!AQ47</f>
        <v>48.474685836430098</v>
      </c>
      <c r="AG47" s="7">
        <v>44</v>
      </c>
      <c r="AH47" s="7">
        <f>[1]节奏总纲!AT47</f>
        <v>33.380771027753042</v>
      </c>
      <c r="AI47" s="7">
        <f>[1]节奏总纲!AU47</f>
        <v>26.704616822202439</v>
      </c>
      <c r="AJ47" s="7">
        <f>[1]节奏总纲!AV47</f>
        <v>20.028462616651822</v>
      </c>
      <c r="AK47" s="7">
        <f>[1]节奏总纲!AW47</f>
        <v>13.35230841110122</v>
      </c>
      <c r="AL47" s="7">
        <f>[1]节奏总纲!AX47</f>
        <v>6.6761542055506098</v>
      </c>
      <c r="AM47" s="7"/>
      <c r="AN47" s="7">
        <v>44</v>
      </c>
      <c r="AO47" s="7">
        <f>[1]节奏总纲!BA47</f>
        <v>32.696472110135275</v>
      </c>
      <c r="AP47" s="7">
        <f>[1]节奏总纲!BB47</f>
        <v>34.09469189131628</v>
      </c>
      <c r="AQ47" s="7">
        <f>[1]节奏总纲!BC47</f>
        <v>35.95964341599278</v>
      </c>
      <c r="AR47" s="7">
        <f>[1]节奏总纲!BD47</f>
        <v>38.663818688865533</v>
      </c>
      <c r="AS47" s="7">
        <f>[1]节奏总纲!BE47</f>
        <v>43.329750976586219</v>
      </c>
      <c r="BD47" s="7"/>
    </row>
    <row r="48" spans="2:56" x14ac:dyDescent="0.15">
      <c r="B48" s="7">
        <f>[1]节奏总纲!N48</f>
        <v>55</v>
      </c>
      <c r="C48" s="7">
        <v>45</v>
      </c>
      <c r="D48" s="7">
        <f>[1]节奏总纲!P48</f>
        <v>21.627416997969519</v>
      </c>
      <c r="E48" s="7">
        <f>[1]节奏总纲!Q48</f>
        <v>18.900199714525563</v>
      </c>
      <c r="F48" s="7">
        <f>[1]节奏总纲!R48</f>
        <v>15.604181364035009</v>
      </c>
      <c r="G48" s="7">
        <f>[1]节奏总纲!S48</f>
        <v>11.572830835613489</v>
      </c>
      <c r="H48" s="7">
        <f>[1]节奏总纲!T48</f>
        <v>6.49903880788984</v>
      </c>
      <c r="J48" s="7">
        <v>45</v>
      </c>
      <c r="K48" s="7">
        <f>[1]节奏总纲!W48</f>
        <v>1.5152904256032116</v>
      </c>
      <c r="L48" s="7">
        <f>[1]节奏总纲!X48</f>
        <v>1.3262235155918844</v>
      </c>
      <c r="M48" s="7">
        <f>[1]节奏总纲!Y48</f>
        <v>1.083225978786535</v>
      </c>
      <c r="N48" s="7">
        <f>[1]节奏总纲!Z48</f>
        <v>0.80479826876856819</v>
      </c>
      <c r="O48" s="7">
        <f>[1]节奏总纲!AA48</f>
        <v>0.44528870960758216</v>
      </c>
      <c r="Q48" s="7">
        <v>45</v>
      </c>
      <c r="R48" s="7">
        <f>[1]节奏总纲!AD48</f>
        <v>55.229416240679981</v>
      </c>
      <c r="S48" s="7">
        <f>[1]节奏总纲!AE48</f>
        <v>57.218966664386244</v>
      </c>
      <c r="T48" s="7">
        <f>[1]节奏总纲!AF48</f>
        <v>60.086674688654931</v>
      </c>
      <c r="U48" s="7">
        <f>[1]节奏总纲!AG48</f>
        <v>64.399012521055653</v>
      </c>
      <c r="V48" s="7">
        <f>[1]节奏总纲!AH48</f>
        <v>73.037155126421851</v>
      </c>
      <c r="Z48" s="7">
        <v>45</v>
      </c>
      <c r="AA48" s="7">
        <f>[1]节奏总纲!AM48</f>
        <v>281.05</v>
      </c>
      <c r="AB48" s="7">
        <f>[1]节奏总纲!AN48</f>
        <v>224.84000000000003</v>
      </c>
      <c r="AC48" s="7">
        <f>[1]节奏总纲!AO48</f>
        <v>168.63</v>
      </c>
      <c r="AD48" s="7">
        <f>[1]节奏总纲!AP48</f>
        <v>112.42000000000002</v>
      </c>
      <c r="AE48" s="7">
        <f>[1]节奏总纲!AQ48</f>
        <v>56.210000000000008</v>
      </c>
      <c r="AG48" s="7">
        <v>45</v>
      </c>
      <c r="AH48" s="7">
        <f>[1]节奏总纲!AT48</f>
        <v>38.676570817849552</v>
      </c>
      <c r="AI48" s="7">
        <f>[1]节奏总纲!AU48</f>
        <v>30.941256654279641</v>
      </c>
      <c r="AJ48" s="7">
        <f>[1]节奏总纲!AV48</f>
        <v>23.205942490709731</v>
      </c>
      <c r="AK48" s="7">
        <f>[1]节奏总纲!AW48</f>
        <v>15.470628327139821</v>
      </c>
      <c r="AL48" s="7">
        <f>[1]节奏总纲!AX48</f>
        <v>7.7353141635699103</v>
      </c>
      <c r="AM48" s="7"/>
      <c r="AN48" s="7">
        <v>45</v>
      </c>
      <c r="AO48" s="7">
        <f>[1]节奏总纲!BA48</f>
        <v>32.842201900114915</v>
      </c>
      <c r="AP48" s="7">
        <f>[1]节奏总纲!BB48</f>
        <v>34.227825436710944</v>
      </c>
      <c r="AQ48" s="7">
        <f>[1]节奏总纲!BC48</f>
        <v>36.105477566569242</v>
      </c>
      <c r="AR48" s="7">
        <f>[1]节奏总纲!BD48</f>
        <v>38.82039500446033</v>
      </c>
      <c r="AS48" s="7">
        <f>[1]节奏总纲!BE48</f>
        <v>43.479537810324807</v>
      </c>
      <c r="BD48" s="7"/>
    </row>
    <row r="49" spans="2:56" x14ac:dyDescent="0.15">
      <c r="B49" s="7">
        <f>[1]节奏总纲!N49</f>
        <v>56</v>
      </c>
      <c r="C49" s="7">
        <v>46</v>
      </c>
      <c r="D49" s="7">
        <f>[1]节奏总纲!P49</f>
        <v>23.251465064166357</v>
      </c>
      <c r="E49" s="7">
        <f>[1]节奏总纲!Q49</f>
        <v>20.310154733549314</v>
      </c>
      <c r="F49" s="7">
        <f>[1]节奏总纲!R49</f>
        <v>16.757330871744692</v>
      </c>
      <c r="G49" s="7">
        <f>[1]节奏总纲!S49</f>
        <v>12.425582930290501</v>
      </c>
      <c r="H49" s="7">
        <f>[1]节奏总纲!T49</f>
        <v>6.9545132006921566</v>
      </c>
      <c r="J49" s="7">
        <v>46</v>
      </c>
      <c r="K49" s="7">
        <f>[1]节奏总纲!W49</f>
        <v>1.6240480661968384</v>
      </c>
      <c r="L49" s="7">
        <f>[1]节奏总纲!X49</f>
        <v>1.4099550190237515</v>
      </c>
      <c r="M49" s="7">
        <f>[1]节奏总纲!Y49</f>
        <v>1.1531495077096832</v>
      </c>
      <c r="N49" s="7">
        <f>[1]节奏总纲!Z49</f>
        <v>0.85275209467701174</v>
      </c>
      <c r="O49" s="7">
        <f>[1]节奏总纲!AA49</f>
        <v>0.45547439280231661</v>
      </c>
      <c r="Q49" s="7">
        <v>46</v>
      </c>
      <c r="R49" s="7">
        <f>[1]节奏总纲!AD49</f>
        <v>55.537288901845052</v>
      </c>
      <c r="S49" s="7">
        <f>[1]节奏总纲!AE49</f>
        <v>57.53646043868428</v>
      </c>
      <c r="T49" s="7">
        <f>[1]节奏总纲!AF49</f>
        <v>60.393379177879737</v>
      </c>
      <c r="U49" s="7">
        <f>[1]节奏总纲!AG49</f>
        <v>64.710418078139355</v>
      </c>
      <c r="V49" s="7">
        <f>[1]节奏总纲!AH49</f>
        <v>73.340924940105893</v>
      </c>
      <c r="Z49" s="7">
        <v>46</v>
      </c>
      <c r="AA49" s="7">
        <f>[1]节奏总纲!AM49</f>
        <v>325.85912455595718</v>
      </c>
      <c r="AB49" s="7">
        <f>[1]节奏总纲!AN49</f>
        <v>260.68729964476574</v>
      </c>
      <c r="AC49" s="7">
        <f>[1]节奏总纲!AO49</f>
        <v>195.51547473357431</v>
      </c>
      <c r="AD49" s="7">
        <f>[1]节奏总纲!AP49</f>
        <v>130.34364982238287</v>
      </c>
      <c r="AE49" s="7">
        <f>[1]节奏总纲!AQ49</f>
        <v>65.171824911191436</v>
      </c>
      <c r="AG49" s="7">
        <v>46</v>
      </c>
      <c r="AH49" s="7">
        <f>[1]节奏总纲!AT49</f>
        <v>44.809124555957169</v>
      </c>
      <c r="AI49" s="7">
        <f>[1]节奏总纲!AU49</f>
        <v>35.847299644765712</v>
      </c>
      <c r="AJ49" s="7">
        <f>[1]节奏总纲!AV49</f>
        <v>26.885474733574313</v>
      </c>
      <c r="AK49" s="7">
        <f>[1]节奏总纲!AW49</f>
        <v>17.923649822382856</v>
      </c>
      <c r="AL49" s="7">
        <f>[1]节奏总纲!AX49</f>
        <v>8.9618249111914281</v>
      </c>
      <c r="AM49" s="7"/>
      <c r="AN49" s="7">
        <v>46</v>
      </c>
      <c r="AO49" s="7">
        <f>[1]节奏总纲!BA49</f>
        <v>32.987931690094548</v>
      </c>
      <c r="AP49" s="7">
        <f>[1]节奏总纲!BB49</f>
        <v>34.360958982105608</v>
      </c>
      <c r="AQ49" s="7">
        <f>[1]节奏总纲!BC49</f>
        <v>36.245762114295424</v>
      </c>
      <c r="AR49" s="7">
        <f>[1]节奏总纲!BD49</f>
        <v>38.976971320055128</v>
      </c>
      <c r="AS49" s="7">
        <f>[1]节奏总纲!BE49</f>
        <v>43.629324644063402</v>
      </c>
      <c r="BD49" s="7"/>
    </row>
    <row r="50" spans="2:56" x14ac:dyDescent="0.15">
      <c r="B50" s="7">
        <f>[1]节奏总纲!N50</f>
        <v>57</v>
      </c>
      <c r="C50" s="7">
        <v>47</v>
      </c>
      <c r="D50" s="7">
        <f>[1]节奏总纲!P50</f>
        <v>24.992076683399535</v>
      </c>
      <c r="E50" s="7">
        <f>[1]节奏总纲!Q50</f>
        <v>21.823081359944474</v>
      </c>
      <c r="F50" s="7">
        <f>[1]节奏总纲!R50</f>
        <v>17.996794419716004</v>
      </c>
      <c r="G50" s="7">
        <f>[1]节奏总纲!S50</f>
        <v>13.335772118261991</v>
      </c>
      <c r="H50" s="7">
        <f>[1]节奏总纲!T50</f>
        <v>7.4426404363163821</v>
      </c>
      <c r="J50" s="7">
        <v>47</v>
      </c>
      <c r="K50" s="7">
        <f>[1]节奏总纲!W50</f>
        <v>1.740611619233178</v>
      </c>
      <c r="L50" s="7">
        <f>[1]节奏总纲!X50</f>
        <v>1.51292662639516</v>
      </c>
      <c r="M50" s="7">
        <f>[1]节奏总纲!Y50</f>
        <v>1.2394635479713116</v>
      </c>
      <c r="N50" s="7">
        <f>[1]节奏总纲!Z50</f>
        <v>0.91018918797148984</v>
      </c>
      <c r="O50" s="7">
        <f>[1]节奏总纲!AA50</f>
        <v>0.48812723562422544</v>
      </c>
      <c r="Q50" s="7">
        <v>47</v>
      </c>
      <c r="R50" s="7">
        <f>[1]节奏总纲!AD50</f>
        <v>55.845161563010116</v>
      </c>
      <c r="S50" s="7">
        <f>[1]节奏总纲!AE50</f>
        <v>57.853954212982316</v>
      </c>
      <c r="T50" s="7">
        <f>[1]节奏总纲!AF50</f>
        <v>60.700083667104536</v>
      </c>
      <c r="U50" s="7">
        <f>[1]节奏总纲!AG50</f>
        <v>65.021675833900701</v>
      </c>
      <c r="V50" s="7">
        <f>[1]节奏总纲!AH50</f>
        <v>73.644694753789935</v>
      </c>
      <c r="Z50" s="7">
        <v>47</v>
      </c>
      <c r="AA50" s="7">
        <f>[1]节奏总纲!AM50</f>
        <v>377.76930817680426</v>
      </c>
      <c r="AB50" s="7">
        <f>[1]节奏总纲!AN50</f>
        <v>302.21544654144344</v>
      </c>
      <c r="AC50" s="7">
        <f>[1]节奏总纲!AO50</f>
        <v>226.66158490608254</v>
      </c>
      <c r="AD50" s="7">
        <f>[1]节奏总纲!AP50</f>
        <v>151.10772327072172</v>
      </c>
      <c r="AE50" s="7">
        <f>[1]节奏总纲!AQ50</f>
        <v>75.55386163536086</v>
      </c>
      <c r="AG50" s="7">
        <v>47</v>
      </c>
      <c r="AH50" s="7">
        <f>[1]节奏总纲!AT50</f>
        <v>51.910183620847079</v>
      </c>
      <c r="AI50" s="7">
        <f>[1]节奏总纲!AU50</f>
        <v>41.528146896677697</v>
      </c>
      <c r="AJ50" s="7">
        <f>[1]节奏总纲!AV50</f>
        <v>31.14611017250823</v>
      </c>
      <c r="AK50" s="7">
        <f>[1]节奏总纲!AW50</f>
        <v>20.764073448338848</v>
      </c>
      <c r="AL50" s="7">
        <f>[1]节奏总纲!AX50</f>
        <v>10.382036724169424</v>
      </c>
      <c r="AM50" s="7"/>
      <c r="AN50" s="7">
        <v>47</v>
      </c>
      <c r="AO50" s="7">
        <f>[1]节奏总纲!BA50</f>
        <v>33.114246829746719</v>
      </c>
      <c r="AP50" s="7">
        <f>[1]节奏总纲!BB50</f>
        <v>34.494092527500278</v>
      </c>
      <c r="AQ50" s="7">
        <f>[1]节奏总纲!BC50</f>
        <v>36.386046662021599</v>
      </c>
      <c r="AR50" s="7">
        <f>[1]节奏总纲!BD50</f>
        <v>39.115214427575864</v>
      </c>
      <c r="AS50" s="7">
        <f>[1]节奏总纲!BE50</f>
        <v>43.77911147780199</v>
      </c>
      <c r="BD50" s="7"/>
    </row>
    <row r="51" spans="2:56" x14ac:dyDescent="0.15">
      <c r="B51" s="7">
        <f>[1]节奏总纲!N51</f>
        <v>58</v>
      </c>
      <c r="C51" s="7">
        <v>48</v>
      </c>
      <c r="D51" s="7">
        <f>[1]节奏总纲!P51</f>
        <v>26.857618025475972</v>
      </c>
      <c r="E51" s="7">
        <f>[1]节奏总纲!Q51</f>
        <v>23.425214441820142</v>
      </c>
      <c r="F51" s="7">
        <f>[1]节奏总纲!R51</f>
        <v>19.329427692935056</v>
      </c>
      <c r="G51" s="7">
        <f>[1]节奏总纲!S51</f>
        <v>14.269452456935383</v>
      </c>
      <c r="H51" s="7">
        <f>[1]节奏总纲!T51</f>
        <v>7.9605979827510778</v>
      </c>
      <c r="J51" s="7">
        <v>48</v>
      </c>
      <c r="K51" s="7">
        <f>[1]节奏总纲!W51</f>
        <v>1.8655413420764368</v>
      </c>
      <c r="L51" s="7">
        <f>[1]节奏总纲!X51</f>
        <v>1.6021330818756674</v>
      </c>
      <c r="M51" s="7">
        <f>[1]节奏总纲!Y51</f>
        <v>1.3326332732190522</v>
      </c>
      <c r="N51" s="7">
        <f>[1]节奏总纲!Z51</f>
        <v>0.93368033867339228</v>
      </c>
      <c r="O51" s="7">
        <f>[1]节奏总纲!AA51</f>
        <v>0.51795754643469571</v>
      </c>
      <c r="Q51" s="7">
        <v>48</v>
      </c>
      <c r="R51" s="7">
        <f>[1]节奏总纲!AD51</f>
        <v>56.142785979989682</v>
      </c>
      <c r="S51" s="7">
        <f>[1]节奏总纲!AE51</f>
        <v>58.155157256402767</v>
      </c>
      <c r="T51" s="7">
        <f>[1]节奏总纲!AF51</f>
        <v>61.006268532239034</v>
      </c>
      <c r="U51" s="7">
        <f>[1]节奏总纲!AG51</f>
        <v>65.330972386106993</v>
      </c>
      <c r="V51" s="7">
        <f>[1]节奏总纲!AH51</f>
        <v>73.948464567473962</v>
      </c>
      <c r="Z51" s="7">
        <v>48</v>
      </c>
      <c r="AA51" s="7">
        <f>[1]节奏总纲!AM51</f>
        <v>437.90148836012787</v>
      </c>
      <c r="AB51" s="7">
        <f>[1]节奏总纲!AN51</f>
        <v>350.32119068810232</v>
      </c>
      <c r="AC51" s="7">
        <f>[1]节奏总纲!AO51</f>
        <v>262.74089301607671</v>
      </c>
      <c r="AD51" s="7">
        <f>[1]节奏总纲!AP51</f>
        <v>175.16059534405116</v>
      </c>
      <c r="AE51" s="7">
        <f>[1]节奏总纲!AQ51</f>
        <v>87.58029767202558</v>
      </c>
      <c r="AG51" s="7">
        <v>48</v>
      </c>
      <c r="AH51" s="7">
        <f>[1]节奏总纲!AT51</f>
        <v>60.132180183323612</v>
      </c>
      <c r="AI51" s="7">
        <f>[1]节奏总纲!AU51</f>
        <v>48.105744146658878</v>
      </c>
      <c r="AJ51" s="7">
        <f>[1]节奏总纲!AV51</f>
        <v>36.079308109994173</v>
      </c>
      <c r="AK51" s="7">
        <f>[1]节奏总纲!AW51</f>
        <v>24.052872073329439</v>
      </c>
      <c r="AL51" s="7">
        <f>[1]节奏总纲!AX51</f>
        <v>12.02643603666472</v>
      </c>
      <c r="AM51" s="7"/>
      <c r="AN51" s="7">
        <v>48</v>
      </c>
      <c r="AO51" s="7">
        <f>[1]节奏总纲!BA51</f>
        <v>33.238809018460984</v>
      </c>
      <c r="AP51" s="7">
        <f>[1]节奏总纲!BB51</f>
        <v>34.627226072894942</v>
      </c>
      <c r="AQ51" s="7">
        <f>[1]节奏总纲!BC51</f>
        <v>36.526331209747774</v>
      </c>
      <c r="AR51" s="7">
        <f>[1]节奏总纲!BD51</f>
        <v>39.250296194358178</v>
      </c>
      <c r="AS51" s="7">
        <f>[1]节奏总纲!BE51</f>
        <v>43.928898311540578</v>
      </c>
      <c r="BD51" s="7"/>
    </row>
    <row r="52" spans="2:56" x14ac:dyDescent="0.15">
      <c r="B52" s="7">
        <f>[1]节奏总纲!N52</f>
        <v>59</v>
      </c>
      <c r="C52" s="7">
        <v>49</v>
      </c>
      <c r="D52" s="7">
        <f>[1]节奏总纲!P52</f>
        <v>28.857055729177837</v>
      </c>
      <c r="E52" s="7">
        <f>[1]节奏总纲!Q52</f>
        <v>25.166238301415991</v>
      </c>
      <c r="F52" s="7">
        <f>[1]节奏总纲!R52</f>
        <v>20.719366013549685</v>
      </c>
      <c r="G52" s="7">
        <f>[1]节奏总纲!S52</f>
        <v>15.268268186307994</v>
      </c>
      <c r="H52" s="7">
        <f>[1]节奏总纲!T52</f>
        <v>8.5474599069824766</v>
      </c>
      <c r="J52" s="7">
        <v>49</v>
      </c>
      <c r="K52" s="7">
        <f>[1]节奏总纲!W52</f>
        <v>1.9994377037018651</v>
      </c>
      <c r="L52" s="7">
        <f>[1]节奏总纲!X52</f>
        <v>1.7410238595958489</v>
      </c>
      <c r="M52" s="7">
        <f>[1]节奏总纲!Y52</f>
        <v>1.389938320614629</v>
      </c>
      <c r="N52" s="7">
        <f>[1]节奏总纲!Z52</f>
        <v>0.99881572937261076</v>
      </c>
      <c r="O52" s="7">
        <f>[1]节奏总纲!AA52</f>
        <v>0.58686192423139882</v>
      </c>
      <c r="Q52" s="7">
        <v>49</v>
      </c>
      <c r="R52" s="7">
        <f>[1]节奏总纲!AD52</f>
        <v>56.430041330048923</v>
      </c>
      <c r="S52" s="7">
        <f>[1]节奏总纲!AE52</f>
        <v>58.442483247955479</v>
      </c>
      <c r="T52" s="7">
        <f>[1]节奏总纲!AF52</f>
        <v>61.289495211956165</v>
      </c>
      <c r="U52" s="7">
        <f>[1]节奏总纲!AG52</f>
        <v>65.640268938313284</v>
      </c>
      <c r="V52" s="7">
        <f>[1]节奏总纲!AH52</f>
        <v>74.231558509323534</v>
      </c>
      <c r="Z52" s="7">
        <v>49</v>
      </c>
      <c r="AA52" s="7">
        <f>[1]节奏总纲!AM52</f>
        <v>507.55295278468168</v>
      </c>
      <c r="AB52" s="7">
        <f>[1]节奏总纲!AN52</f>
        <v>406.04236222774534</v>
      </c>
      <c r="AC52" s="7">
        <f>[1]节奏总纲!AO52</f>
        <v>304.53177167080901</v>
      </c>
      <c r="AD52" s="7">
        <f>[1]节奏总纲!AP52</f>
        <v>203.02118111387267</v>
      </c>
      <c r="AE52" s="7">
        <f>[1]节奏总纲!AQ52</f>
        <v>101.51059055693634</v>
      </c>
      <c r="AG52" s="7">
        <v>49</v>
      </c>
      <c r="AH52" s="7">
        <f>[1]节奏总纲!AT52</f>
        <v>69.651464424553808</v>
      </c>
      <c r="AI52" s="7">
        <f>[1]节奏总纲!AU52</f>
        <v>55.721171539643024</v>
      </c>
      <c r="AJ52" s="7">
        <f>[1]节奏总纲!AV52</f>
        <v>41.790878654732296</v>
      </c>
      <c r="AK52" s="7">
        <f>[1]节奏总纲!AW52</f>
        <v>27.860585769821512</v>
      </c>
      <c r="AL52" s="7">
        <f>[1]节奏总纲!AX52</f>
        <v>13.930292884910756</v>
      </c>
      <c r="AM52" s="7"/>
      <c r="AN52" s="7">
        <v>49</v>
      </c>
      <c r="AO52" s="7">
        <f>[1]节奏总纲!BA52</f>
        <v>33.363371207175248</v>
      </c>
      <c r="AP52" s="7">
        <f>[1]节奏总纲!BB52</f>
        <v>34.760359618289606</v>
      </c>
      <c r="AQ52" s="7">
        <f>[1]节奏总纲!BC52</f>
        <v>36.666615757473956</v>
      </c>
      <c r="AR52" s="7">
        <f>[1]节奏总纲!BD52</f>
        <v>39.385377961140485</v>
      </c>
      <c r="AS52" s="7">
        <f>[1]节奏总纲!BE52</f>
        <v>44.067911160744309</v>
      </c>
      <c r="BD52" s="7"/>
    </row>
    <row r="53" spans="2:56" x14ac:dyDescent="0.15">
      <c r="B53" s="7">
        <f>[1]节奏总纲!N53</f>
        <v>60</v>
      </c>
      <c r="C53" s="7">
        <v>50</v>
      </c>
      <c r="D53" s="7">
        <f>[1]节奏总纲!P53</f>
        <v>31</v>
      </c>
      <c r="E53" s="7">
        <f>[1]节奏总纲!Q53</f>
        <v>27.0351</v>
      </c>
      <c r="F53" s="7">
        <f>[1]节奏总纲!R53</f>
        <v>22.205300000000001</v>
      </c>
      <c r="G53" s="7">
        <f>[1]节奏总纲!S53</f>
        <v>16.386599999999998</v>
      </c>
      <c r="H53" s="7">
        <f>[1]节奏总纲!T53</f>
        <v>9.1883999999999997</v>
      </c>
      <c r="J53" s="7">
        <v>50</v>
      </c>
      <c r="K53" s="7">
        <f>[1]节奏总纲!W53</f>
        <v>2.1429442708221629</v>
      </c>
      <c r="L53" s="7">
        <f>[1]节奏总纲!X53</f>
        <v>1.8688616985840092</v>
      </c>
      <c r="M53" s="7">
        <f>[1]节奏总纲!Y53</f>
        <v>1.4859339864503163</v>
      </c>
      <c r="N53" s="7">
        <f>[1]节奏总纲!Z53</f>
        <v>1.118331813692004</v>
      </c>
      <c r="O53" s="7">
        <f>[1]节奏总纲!AA53</f>
        <v>0.64094009301752308</v>
      </c>
      <c r="Q53" s="7">
        <v>50</v>
      </c>
      <c r="R53" s="7">
        <f>[1]节奏总纲!AD53</f>
        <v>56.717296680108156</v>
      </c>
      <c r="S53" s="7">
        <f>[1]节奏总纲!AE53</f>
        <v>58.729809239508185</v>
      </c>
      <c r="T53" s="7">
        <f>[1]节奏总纲!AF53</f>
        <v>61.572721891673297</v>
      </c>
      <c r="U53" s="7">
        <f>[1]节奏总纲!AG53</f>
        <v>65.949565490519575</v>
      </c>
      <c r="V53" s="7">
        <f>[1]节奏总纲!AH53</f>
        <v>74.51042804689898</v>
      </c>
      <c r="Z53" s="7">
        <v>50</v>
      </c>
      <c r="AA53" s="7">
        <f>[1]节奏总纲!AM53</f>
        <v>588.22499999999991</v>
      </c>
      <c r="AB53" s="7">
        <f>[1]节奏总纲!AN53</f>
        <v>470.57999999999993</v>
      </c>
      <c r="AC53" s="7">
        <f>[1]节奏总纲!AO53</f>
        <v>352.93499999999995</v>
      </c>
      <c r="AD53" s="7">
        <f>[1]节奏总纲!AP53</f>
        <v>235.28999999999996</v>
      </c>
      <c r="AE53" s="7">
        <f>[1]节奏总纲!AQ53</f>
        <v>117.64499999999998</v>
      </c>
      <c r="AG53" s="7">
        <v>50</v>
      </c>
      <c r="AH53" s="7">
        <f>[1]节奏总纲!AT53</f>
        <v>80.67204721531823</v>
      </c>
      <c r="AI53" s="7">
        <f>[1]节奏总纲!AU53</f>
        <v>64.537637772254584</v>
      </c>
      <c r="AJ53" s="7">
        <f>[1]节奏总纲!AV53</f>
        <v>48.403228329190938</v>
      </c>
      <c r="AK53" s="7">
        <f>[1]节奏总纲!AW53</f>
        <v>32.268818886127292</v>
      </c>
      <c r="AL53" s="7">
        <f>[1]节奏总纲!AX53</f>
        <v>16.134409443063646</v>
      </c>
      <c r="AM53" s="7"/>
      <c r="AN53" s="7">
        <v>50</v>
      </c>
      <c r="AO53" s="7">
        <f>[1]节奏总纲!BA53</f>
        <v>33.487933395889513</v>
      </c>
      <c r="AP53" s="7">
        <f>[1]节奏总纲!BB53</f>
        <v>34.893493163684269</v>
      </c>
      <c r="AQ53" s="7">
        <f>[1]节奏总纲!BC53</f>
        <v>36.806900305200131</v>
      </c>
      <c r="AR53" s="7">
        <f>[1]节奏总纲!BD53</f>
        <v>39.520459727922798</v>
      </c>
      <c r="AS53" s="7">
        <f>[1]节奏总纲!BE53</f>
        <v>44.197188392263818</v>
      </c>
      <c r="BD53" s="7"/>
    </row>
    <row r="54" spans="2:56" x14ac:dyDescent="0.15">
      <c r="B54" s="7">
        <f>[1]节奏总纲!N54</f>
        <v>61</v>
      </c>
      <c r="C54" s="7">
        <v>51</v>
      </c>
      <c r="D54" s="7">
        <f>[1]节奏总纲!P54</f>
        <v>33.296750801161366</v>
      </c>
      <c r="E54" s="7">
        <f>[1]节奏总纲!Q54</f>
        <v>28.928217096048996</v>
      </c>
      <c r="F54" s="7">
        <f>[1]节奏总纲!R54</f>
        <v>23.783869097269566</v>
      </c>
      <c r="G54" s="7">
        <f>[1]节奏总纲!S54</f>
        <v>17.587343773173433</v>
      </c>
      <c r="H54" s="7">
        <f>[1]节奏总纲!T54</f>
        <v>9.8458492119034169</v>
      </c>
      <c r="J54" s="7">
        <v>51</v>
      </c>
      <c r="K54" s="7">
        <f>[1]节奏总纲!W54</f>
        <v>2.296750801161366</v>
      </c>
      <c r="L54" s="7">
        <f>[1]节奏总纲!X54</f>
        <v>1.8931170960489965</v>
      </c>
      <c r="M54" s="7">
        <f>[1]节奏总纲!Y54</f>
        <v>1.5785690972695647</v>
      </c>
      <c r="N54" s="7">
        <f>[1]节奏总纲!Z54</f>
        <v>1.2007437731734356</v>
      </c>
      <c r="O54" s="7">
        <f>[1]节奏总纲!AA54</f>
        <v>0.65744921190341721</v>
      </c>
      <c r="Q54" s="7">
        <v>51</v>
      </c>
      <c r="R54" s="7">
        <f>[1]节奏总纲!AD54</f>
        <v>57.004247194324648</v>
      </c>
      <c r="S54" s="7">
        <f>[1]节奏总纲!AE54</f>
        <v>59.016342740868758</v>
      </c>
      <c r="T54" s="7">
        <f>[1]节奏总纲!AF54</f>
        <v>61.855948571390428</v>
      </c>
      <c r="U54" s="7">
        <f>[1]节奏总纲!AG54</f>
        <v>66.241691764589476</v>
      </c>
      <c r="V54" s="7">
        <f>[1]节奏总纲!AH54</f>
        <v>74.789297584474426</v>
      </c>
      <c r="Z54" s="7">
        <v>51</v>
      </c>
      <c r="AA54" s="7">
        <f>[1]节奏总纲!AM54</f>
        <v>681.65492699983838</v>
      </c>
      <c r="AB54" s="7">
        <f>[1]节奏总纲!AN54</f>
        <v>545.32394159987075</v>
      </c>
      <c r="AC54" s="7">
        <f>[1]节奏总纲!AO54</f>
        <v>408.99295619990301</v>
      </c>
      <c r="AD54" s="7">
        <f>[1]节奏总纲!AP54</f>
        <v>272.66197079993537</v>
      </c>
      <c r="AE54" s="7">
        <f>[1]节奏总纲!AQ54</f>
        <v>136.33098539996769</v>
      </c>
      <c r="AG54" s="7">
        <v>51</v>
      </c>
      <c r="AH54" s="7">
        <f>[1]节奏总纲!AT54</f>
        <v>93.429926999838472</v>
      </c>
      <c r="AI54" s="7">
        <f>[1]节奏总纲!AU54</f>
        <v>74.743941599870823</v>
      </c>
      <c r="AJ54" s="7">
        <f>[1]节奏总纲!AV54</f>
        <v>56.05795619990306</v>
      </c>
      <c r="AK54" s="7">
        <f>[1]节奏总纲!AW54</f>
        <v>37.371970799935411</v>
      </c>
      <c r="AL54" s="7">
        <f>[1]节奏总纲!AX54</f>
        <v>18.685985399967706</v>
      </c>
      <c r="AN54" s="7">
        <v>51</v>
      </c>
      <c r="AO54" s="7">
        <f>[1]节奏总纲!BA54</f>
        <v>33.612495584603778</v>
      </c>
      <c r="AP54" s="7">
        <f>[1]节奏总纲!BB54</f>
        <v>35.024397713965918</v>
      </c>
      <c r="AQ54" s="7">
        <f>[1]节奏总纲!BC54</f>
        <v>36.947184852926306</v>
      </c>
      <c r="AR54" s="7">
        <f>[1]节奏总纲!BD54</f>
        <v>39.655541494705105</v>
      </c>
      <c r="AS54" s="7">
        <f>[1]节奏总纲!BE54</f>
        <v>44.326465623783335</v>
      </c>
      <c r="BD54" s="7"/>
    </row>
    <row r="55" spans="2:56" x14ac:dyDescent="0.15">
      <c r="B55" s="7">
        <f>[1]节奏总纲!N55</f>
        <v>62</v>
      </c>
      <c r="C55" s="7">
        <v>52</v>
      </c>
      <c r="D55" s="7">
        <f>[1]节奏总纲!P55</f>
        <v>35.758347359905123</v>
      </c>
      <c r="E55" s="7">
        <f>[1]节奏总纲!Q55</f>
        <v>31.081155525229534</v>
      </c>
      <c r="F55" s="7">
        <f>[1]节奏总纲!R55</f>
        <v>25.606552544428059</v>
      </c>
      <c r="G55" s="7">
        <f>[1]节奏总纲!S55</f>
        <v>18.930469092333773</v>
      </c>
      <c r="H55" s="7">
        <f>[1]节奏总纲!T55</f>
        <v>10.570167479587953</v>
      </c>
      <c r="J55" s="7">
        <v>52</v>
      </c>
      <c r="K55" s="7">
        <f>[1]节奏总纲!W55</f>
        <v>2.4615965587437572</v>
      </c>
      <c r="L55" s="7">
        <f>[1]节奏总纲!X55</f>
        <v>2.1529384291805371</v>
      </c>
      <c r="M55" s="7">
        <f>[1]节奏总纲!Y55</f>
        <v>1.822683447158493</v>
      </c>
      <c r="N55" s="7">
        <f>[1]节奏总纲!Z55</f>
        <v>1.3431253191603396</v>
      </c>
      <c r="O55" s="7">
        <f>[1]节奏总纲!AA55</f>
        <v>0.72431826768453611</v>
      </c>
      <c r="Q55" s="7">
        <v>52</v>
      </c>
      <c r="R55" s="7">
        <f>[1]节奏总纲!AD55</f>
        <v>57.27226591292537</v>
      </c>
      <c r="S55" s="7">
        <f>[1]节奏总纲!AE55</f>
        <v>59.290380144164828</v>
      </c>
      <c r="T55" s="7">
        <f>[1]节奏总纲!AF55</f>
        <v>62.130298748930763</v>
      </c>
      <c r="U55" s="7">
        <f>[1]节奏总纲!AG55</f>
        <v>66.530472725664353</v>
      </c>
      <c r="V55" s="7">
        <f>[1]节奏总纲!AH55</f>
        <v>75.062532510920803</v>
      </c>
      <c r="Z55" s="7">
        <v>52</v>
      </c>
      <c r="AA55" s="7">
        <f>[1]节奏总纲!AM55</f>
        <v>789.85301886939453</v>
      </c>
      <c r="AB55" s="7">
        <f>[1]节奏总纲!AN55</f>
        <v>631.88241509551563</v>
      </c>
      <c r="AC55" s="7">
        <f>[1]节奏总纲!AO55</f>
        <v>473.91181132163672</v>
      </c>
      <c r="AD55" s="7">
        <f>[1]节奏总纲!AP55</f>
        <v>315.94120754775781</v>
      </c>
      <c r="AE55" s="7">
        <f>[1]节奏总纲!AQ55</f>
        <v>157.97060377387891</v>
      </c>
      <c r="AG55" s="7">
        <v>52</v>
      </c>
      <c r="AH55" s="7">
        <f>[1]节奏总纲!AT55</f>
        <v>108.19809186955615</v>
      </c>
      <c r="AI55" s="7">
        <f>[1]节奏总纲!AU55</f>
        <v>86.558473495644876</v>
      </c>
      <c r="AJ55" s="7">
        <f>[1]节奏总纲!AV55</f>
        <v>64.918855121733714</v>
      </c>
      <c r="AK55" s="7">
        <f>[1]节奏总纲!AW55</f>
        <v>43.279236747822438</v>
      </c>
      <c r="AL55" s="7">
        <f>[1]节奏总纲!AX55</f>
        <v>21.639618373911219</v>
      </c>
      <c r="AN55" s="7">
        <v>52</v>
      </c>
      <c r="AO55" s="7">
        <f>[1]节奏总纲!BA55</f>
        <v>33.737057773318043</v>
      </c>
      <c r="AP55" s="7">
        <f>[1]节奏总纲!BB55</f>
        <v>35.146386283795508</v>
      </c>
      <c r="AQ55" s="7">
        <f>[1]节奏总纲!BC55</f>
        <v>37.075448197698059</v>
      </c>
      <c r="AR55" s="7">
        <f>[1]节奏总纲!BD55</f>
        <v>39.790623261487418</v>
      </c>
      <c r="AS55" s="7">
        <f>[1]节奏总纲!BE55</f>
        <v>44.455742855302844</v>
      </c>
      <c r="BD55" s="7"/>
    </row>
    <row r="56" spans="2:56" x14ac:dyDescent="0.15">
      <c r="B56" s="7">
        <f>[1]节奏总纲!N56</f>
        <v>63</v>
      </c>
      <c r="C56" s="7">
        <v>53</v>
      </c>
      <c r="D56" s="7">
        <f>[1]节奏总纲!P56</f>
        <v>38.396621227037308</v>
      </c>
      <c r="E56" s="7">
        <f>[1]节奏总纲!Q56</f>
        <v>33.42809844025868</v>
      </c>
      <c r="F56" s="7">
        <f>[1]节奏总纲!R56</f>
        <v>27.5802930273809</v>
      </c>
      <c r="G56" s="7">
        <f>[1]节奏总纲!S56</f>
        <v>20.319491953348145</v>
      </c>
      <c r="H56" s="7">
        <f>[1]节奏总纲!T56</f>
        <v>11.338522248344118</v>
      </c>
      <c r="J56" s="7">
        <v>53</v>
      </c>
      <c r="K56" s="7">
        <f>[1]节奏总纲!W56</f>
        <v>2.6382738671321846</v>
      </c>
      <c r="L56" s="7">
        <f>[1]节奏总纲!X56</f>
        <v>2.3469429150291461</v>
      </c>
      <c r="M56" s="7">
        <f>[1]节奏总纲!Y56</f>
        <v>1.9737404829528415</v>
      </c>
      <c r="N56" s="7">
        <f>[1]节奏总纲!Z56</f>
        <v>1.3890228610143716</v>
      </c>
      <c r="O56" s="7">
        <f>[1]节奏总纲!AA56</f>
        <v>0.76835476875616493</v>
      </c>
      <c r="Q56" s="7">
        <v>53</v>
      </c>
      <c r="R56" s="7">
        <f>[1]节奏总纲!AD56</f>
        <v>57.540284631526099</v>
      </c>
      <c r="S56" s="7">
        <f>[1]节奏总纲!AE56</f>
        <v>59.564417547460899</v>
      </c>
      <c r="T56" s="7">
        <f>[1]节奏总纲!AF56</f>
        <v>62.395461425033538</v>
      </c>
      <c r="U56" s="7">
        <f>[1]节奏总纲!AG56</f>
        <v>66.819253686739231</v>
      </c>
      <c r="V56" s="7">
        <f>[1]节奏总纲!AH56</f>
        <v>75.318351032805268</v>
      </c>
      <c r="Z56" s="7">
        <v>53</v>
      </c>
      <c r="AA56" s="7">
        <f>[1]节奏总纲!AM56</f>
        <v>915.14532082292135</v>
      </c>
      <c r="AB56" s="7">
        <f>[1]节奏总纲!AN56</f>
        <v>732.11625665833708</v>
      </c>
      <c r="AC56" s="7">
        <f>[1]节奏总纲!AO56</f>
        <v>549.08719249375281</v>
      </c>
      <c r="AD56" s="7">
        <f>[1]节奏总纲!AP56</f>
        <v>366.05812832916854</v>
      </c>
      <c r="AE56" s="7">
        <f>[1]节奏总纲!AQ56</f>
        <v>183.02906416458427</v>
      </c>
      <c r="AG56" s="7">
        <v>53</v>
      </c>
      <c r="AH56" s="7">
        <f>[1]节奏总纲!AT56</f>
        <v>125.29230195352682</v>
      </c>
      <c r="AI56" s="7">
        <f>[1]节奏总纲!AU56</f>
        <v>100.23384156282145</v>
      </c>
      <c r="AJ56" s="7">
        <f>[1]节奏总纲!AV56</f>
        <v>75.17538117211609</v>
      </c>
      <c r="AK56" s="7">
        <f>[1]节奏总纲!AW56</f>
        <v>50.116920781410727</v>
      </c>
      <c r="AL56" s="7">
        <f>[1]节奏总纲!AX56</f>
        <v>25.058460390705363</v>
      </c>
      <c r="AN56" s="7">
        <v>53</v>
      </c>
      <c r="AO56" s="7">
        <f>[1]节奏总纲!BA56</f>
        <v>33.861619962032307</v>
      </c>
      <c r="AP56" s="7">
        <f>[1]节奏总纲!BB56</f>
        <v>35.268374853625097</v>
      </c>
      <c r="AQ56" s="7">
        <f>[1]节奏总纲!BC56</f>
        <v>37.196452985793947</v>
      </c>
      <c r="AR56" s="7">
        <f>[1]节奏总纲!BD56</f>
        <v>39.925705028269732</v>
      </c>
      <c r="AS56" s="7">
        <f>[1]节奏总纲!BE56</f>
        <v>44.585020086822361</v>
      </c>
      <c r="BD56" s="7"/>
    </row>
    <row r="57" spans="2:56" x14ac:dyDescent="0.15">
      <c r="B57" s="7">
        <f>[1]节奏总纲!N57</f>
        <v>64</v>
      </c>
      <c r="C57" s="7">
        <v>54</v>
      </c>
      <c r="D57" s="7">
        <f>[1]节奏总纲!P57</f>
        <v>41.224253144732614</v>
      </c>
      <c r="E57" s="7">
        <f>[1]节奏总纲!Q57</f>
        <v>35.947548742206841</v>
      </c>
      <c r="F57" s="7">
        <f>[1]节奏总纲!R57</f>
        <v>29.553667079458812</v>
      </c>
      <c r="G57" s="7">
        <f>[1]节奏总纲!S57</f>
        <v>21.762283235104348</v>
      </c>
      <c r="H57" s="7">
        <f>[1]节奏总纲!T57</f>
        <v>12.111685573922442</v>
      </c>
      <c r="J57" s="7">
        <v>54</v>
      </c>
      <c r="K57" s="7">
        <f>[1]节奏总纲!W57</f>
        <v>2.8276319176953066</v>
      </c>
      <c r="L57" s="7">
        <f>[1]节奏总纲!X57</f>
        <v>2.5194503019481616</v>
      </c>
      <c r="M57" s="7">
        <f>[1]节奏总纲!Y57</f>
        <v>1.9733740520779115</v>
      </c>
      <c r="N57" s="7">
        <f>[1]节奏总纲!Z57</f>
        <v>1.4427912817562039</v>
      </c>
      <c r="O57" s="7">
        <f>[1]节奏总纲!AA57</f>
        <v>0.77316332557832368</v>
      </c>
      <c r="Q57" s="7">
        <v>54</v>
      </c>
      <c r="R57" s="7">
        <f>[1]节奏总纲!AD57</f>
        <v>57.80830335012682</v>
      </c>
      <c r="S57" s="7">
        <f>[1]节奏总纲!AE57</f>
        <v>59.838454950756969</v>
      </c>
      <c r="T57" s="7">
        <f>[1]节奏总纲!AF57</f>
        <v>62.660624101136307</v>
      </c>
      <c r="U57" s="7">
        <f>[1]节奏总纲!AG57</f>
        <v>67.098789255934349</v>
      </c>
      <c r="V57" s="7">
        <f>[1]节奏总纲!AH57</f>
        <v>75.574169554689718</v>
      </c>
      <c r="Z57" s="7">
        <v>54</v>
      </c>
      <c r="AA57" s="7">
        <f>[1]节奏总纲!AM57</f>
        <v>1060.2230944101252</v>
      </c>
      <c r="AB57" s="7">
        <f>[1]节奏总纲!AN57</f>
        <v>848.17847552810019</v>
      </c>
      <c r="AC57" s="7">
        <f>[1]节奏总纲!AO57</f>
        <v>636.13385664607506</v>
      </c>
      <c r="AD57" s="7">
        <f>[1]节奏总纲!AP57</f>
        <v>424.0892377640501</v>
      </c>
      <c r="AE57" s="7">
        <f>[1]节奏总纲!AQ57</f>
        <v>212.04461888202505</v>
      </c>
      <c r="AG57" s="7">
        <v>54</v>
      </c>
      <c r="AH57" s="7">
        <f>[1]节奏总纲!AT57</f>
        <v>145.07777358720386</v>
      </c>
      <c r="AI57" s="7">
        <f>[1]节奏总纲!AU57</f>
        <v>116.06221886976311</v>
      </c>
      <c r="AJ57" s="7">
        <f>[1]节奏总纲!AV57</f>
        <v>87.046664152322251</v>
      </c>
      <c r="AK57" s="7">
        <f>[1]节奏总纲!AW57</f>
        <v>58.031109434881557</v>
      </c>
      <c r="AL57" s="7">
        <f>[1]节奏总纲!AX57</f>
        <v>29.015554717440779</v>
      </c>
      <c r="AN57" s="7">
        <v>54</v>
      </c>
      <c r="AO57" s="7">
        <f>[1]节奏总纲!BA57</f>
        <v>33.986182150746572</v>
      </c>
      <c r="AP57" s="7">
        <f>[1]节奏总纲!BB57</f>
        <v>35.390363423454687</v>
      </c>
      <c r="AQ57" s="7">
        <f>[1]节奏总纲!BC57</f>
        <v>37.317457773889828</v>
      </c>
      <c r="AR57" s="7">
        <f>[1]节奏总纲!BD57</f>
        <v>40.052446592012309</v>
      </c>
      <c r="AS57" s="7">
        <f>[1]节奏总纲!BE57</f>
        <v>44.71429731834187</v>
      </c>
      <c r="BD57" s="7"/>
    </row>
    <row r="58" spans="2:56" x14ac:dyDescent="0.15">
      <c r="B58" s="7">
        <f>[1]节奏总纲!N58</f>
        <v>65</v>
      </c>
      <c r="C58" s="7">
        <v>55</v>
      </c>
      <c r="D58" s="7">
        <f>[1]节奏总纲!P58</f>
        <v>44.254833995939045</v>
      </c>
      <c r="E58" s="7">
        <f>[1]节奏总纲!Q58</f>
        <v>38.53268396026413</v>
      </c>
      <c r="F58" s="7">
        <f>[1]节奏总纲!R58</f>
        <v>31.642206307096416</v>
      </c>
      <c r="G58" s="7">
        <f>[1]节奏总纲!S58</f>
        <v>23.282468165263531</v>
      </c>
      <c r="H58" s="7">
        <f>[1]节奏总纲!T58</f>
        <v>12.944538943812169</v>
      </c>
      <c r="J58" s="7">
        <v>55</v>
      </c>
      <c r="K58" s="7">
        <f>[1]节奏总纲!W58</f>
        <v>3.0305808512064303</v>
      </c>
      <c r="L58" s="7">
        <f>[1]节奏总纲!X58</f>
        <v>2.5851352180572889</v>
      </c>
      <c r="M58" s="7">
        <f>[1]节奏总纲!Y58</f>
        <v>2.0885392276376038</v>
      </c>
      <c r="N58" s="7">
        <f>[1]节奏总纲!Z58</f>
        <v>1.5201849301591821</v>
      </c>
      <c r="O58" s="7">
        <f>[1]节奏总纲!AA58</f>
        <v>0.8328533698897278</v>
      </c>
      <c r="Q58" s="7">
        <v>55</v>
      </c>
      <c r="R58" s="7">
        <f>[1]节奏总纲!AD58</f>
        <v>58.071211008105138</v>
      </c>
      <c r="S58" s="7">
        <f>[1]节奏总纲!AE58</f>
        <v>60.102437883401088</v>
      </c>
      <c r="T58" s="7">
        <f>[1]节奏总纲!AF58</f>
        <v>62.925786777239075</v>
      </c>
      <c r="U58" s="7">
        <f>[1]节奏总纲!AG58</f>
        <v>67.36285691246691</v>
      </c>
      <c r="V58" s="7">
        <f>[1]节奏总纲!AH58</f>
        <v>75.829988076574182</v>
      </c>
      <c r="Z58" s="7">
        <v>55</v>
      </c>
      <c r="AA58" s="7">
        <f>[1]节奏总纲!AM58</f>
        <v>1228.2</v>
      </c>
      <c r="AB58" s="7">
        <f>[1]节奏总纲!AN58</f>
        <v>982.56000000000006</v>
      </c>
      <c r="AC58" s="7">
        <f>[1]节奏总纲!AO58</f>
        <v>736.92</v>
      </c>
      <c r="AD58" s="7">
        <f>[1]节奏总纲!AP58</f>
        <v>491.28000000000003</v>
      </c>
      <c r="AE58" s="7">
        <f>[1]节奏总纲!AQ58</f>
        <v>245.64000000000001</v>
      </c>
      <c r="AG58" s="7">
        <v>55</v>
      </c>
      <c r="AH58" s="7">
        <f>[1]节奏总纲!AT58</f>
        <v>167.97690558987483</v>
      </c>
      <c r="AI58" s="7">
        <f>[1]节奏总纲!AU58</f>
        <v>134.38152447189987</v>
      </c>
      <c r="AJ58" s="7">
        <f>[1]节奏总纲!AV58</f>
        <v>100.7861433539249</v>
      </c>
      <c r="AK58" s="7">
        <f>[1]节奏总纲!AW58</f>
        <v>67.190762235949933</v>
      </c>
      <c r="AL58" s="7">
        <f>[1]节奏总纲!AX58</f>
        <v>33.595381117974966</v>
      </c>
      <c r="AN58" s="7">
        <v>55</v>
      </c>
      <c r="AO58" s="7">
        <f>[1]节奏总纲!BA58</f>
        <v>34.09469189131628</v>
      </c>
      <c r="AP58" s="7">
        <f>[1]节奏总纲!BB58</f>
        <v>35.512351993284277</v>
      </c>
      <c r="AQ58" s="7">
        <f>[1]节奏总纲!BC58</f>
        <v>37.438462561985709</v>
      </c>
      <c r="AR58" s="7">
        <f>[1]节奏总纲!BD58</f>
        <v>40.168994574261895</v>
      </c>
      <c r="AS58" s="7">
        <f>[1]节奏总纲!BE58</f>
        <v>44.843574549861387</v>
      </c>
      <c r="BD58" s="7"/>
    </row>
    <row r="59" spans="2:56" x14ac:dyDescent="0.15">
      <c r="B59" s="7">
        <f>[1]节奏总纲!N59</f>
        <v>66</v>
      </c>
      <c r="C59" s="7">
        <v>56</v>
      </c>
      <c r="D59" s="7">
        <f>[1]节奏总纲!P59</f>
        <v>47.502930128332721</v>
      </c>
      <c r="E59" s="7">
        <f>[1]节奏总纲!Q59</f>
        <v>41.275295988508304</v>
      </c>
      <c r="F59" s="7">
        <f>[1]节奏总纲!R59</f>
        <v>33.888590353552566</v>
      </c>
      <c r="G59" s="7">
        <f>[1]节奏总纲!S59</f>
        <v>24.910536559297679</v>
      </c>
      <c r="H59" s="7">
        <f>[1]节奏总纲!T59</f>
        <v>13.837603546383322</v>
      </c>
      <c r="J59" s="7">
        <v>56</v>
      </c>
      <c r="K59" s="7">
        <f>[1]节奏总纲!W59</f>
        <v>3.2480961323936768</v>
      </c>
      <c r="L59" s="7">
        <f>[1]节奏总纲!X59</f>
        <v>2.7426120282441744</v>
      </c>
      <c r="M59" s="7">
        <f>[1]节奏总纲!Y59</f>
        <v>2.24638404645615</v>
      </c>
      <c r="N59" s="7">
        <f>[1]节奏总纲!Z59</f>
        <v>1.6280683940341483</v>
      </c>
      <c r="O59" s="7">
        <f>[1]节奏总纲!AA59</f>
        <v>0.89306460257115283</v>
      </c>
      <c r="Q59" s="7">
        <v>56</v>
      </c>
      <c r="R59" s="7">
        <f>[1]节奏总纲!AD59</f>
        <v>58.321281314909029</v>
      </c>
      <c r="S59" s="7">
        <f>[1]节奏总纲!AE59</f>
        <v>60.351982057337977</v>
      </c>
      <c r="T59" s="7">
        <f>[1]节奏总纲!AF59</f>
        <v>63.17626763611517</v>
      </c>
      <c r="U59" s="7">
        <f>[1]节奏总纲!AG59</f>
        <v>67.626924568999456</v>
      </c>
      <c r="V59" s="7">
        <f>[1]节奏总纲!AH59</f>
        <v>76.086647524934079</v>
      </c>
      <c r="Z59" s="7">
        <v>56</v>
      </c>
      <c r="AA59" s="7">
        <f>[1]节奏总纲!AM59</f>
        <v>1422.6782097755249</v>
      </c>
      <c r="AB59" s="7">
        <f>[1]节奏总纲!AN59</f>
        <v>1138.14256782042</v>
      </c>
      <c r="AC59" s="7">
        <f>[1]节奏总纲!AO59</f>
        <v>853.60692586531491</v>
      </c>
      <c r="AD59" s="7">
        <f>[1]节奏总纲!AP59</f>
        <v>569.07128391021001</v>
      </c>
      <c r="AE59" s="7">
        <f>[1]节奏总纲!AQ59</f>
        <v>284.53564195510501</v>
      </c>
      <c r="AG59" s="7">
        <v>56</v>
      </c>
      <c r="AH59" s="7">
        <f>[1]节奏总纲!AT59</f>
        <v>194.47820977552487</v>
      </c>
      <c r="AI59" s="7">
        <f>[1]节奏总纲!AU59</f>
        <v>155.58256782041997</v>
      </c>
      <c r="AJ59" s="7">
        <f>[1]节奏总纲!AV59</f>
        <v>116.68692586531495</v>
      </c>
      <c r="AK59" s="7">
        <f>[1]节奏总纲!AW59</f>
        <v>77.791283910209984</v>
      </c>
      <c r="AL59" s="7">
        <f>[1]节奏总纲!AX59</f>
        <v>38.895641955104992</v>
      </c>
      <c r="AN59" s="7">
        <v>56</v>
      </c>
      <c r="AO59" s="7">
        <f>[1]节奏总纲!BA59</f>
        <v>34.201198727632011</v>
      </c>
      <c r="AP59" s="7">
        <f>[1]节奏总纲!BB59</f>
        <v>35.634340563113874</v>
      </c>
      <c r="AQ59" s="7">
        <f>[1]节奏总纲!BC59</f>
        <v>37.55946735008159</v>
      </c>
      <c r="AR59" s="7">
        <f>[1]节奏总纲!BD59</f>
        <v>40.28554255651148</v>
      </c>
      <c r="AS59" s="7">
        <f>[1]节奏总纲!BE59</f>
        <v>44.972851781380903</v>
      </c>
      <c r="BD59" s="7"/>
    </row>
    <row r="60" spans="2:56" x14ac:dyDescent="0.15">
      <c r="B60" s="7">
        <f>[1]节奏总纲!N60</f>
        <v>67</v>
      </c>
      <c r="C60" s="7">
        <v>57</v>
      </c>
      <c r="D60" s="7">
        <f>[1]节奏总纲!P60</f>
        <v>50.984153366799077</v>
      </c>
      <c r="E60" s="7">
        <f>[1]节奏总纲!Q60</f>
        <v>44.310327691085078</v>
      </c>
      <c r="F60" s="7">
        <f>[1]节奏总纲!R60</f>
        <v>36.316012443170983</v>
      </c>
      <c r="G60" s="7">
        <f>[1]节奏总纲!S60</f>
        <v>26.664712210835919</v>
      </c>
      <c r="H60" s="7">
        <f>[1]节奏总纲!T60</f>
        <v>14.815994968391813</v>
      </c>
      <c r="J60" s="7">
        <v>57</v>
      </c>
      <c r="K60" s="7">
        <f>[1]节奏总纲!W60</f>
        <v>3.481223238466356</v>
      </c>
      <c r="L60" s="7">
        <f>[1]节奏总纲!X60</f>
        <v>3.0350317025767737</v>
      </c>
      <c r="M60" s="7">
        <f>[1]节奏总纲!Y60</f>
        <v>2.4274220896184175</v>
      </c>
      <c r="N60" s="7">
        <f>[1]节奏总纲!Z60</f>
        <v>1.7541756515382403</v>
      </c>
      <c r="O60" s="7">
        <f>[1]节奏总纲!AA60</f>
        <v>0.97839142200849061</v>
      </c>
      <c r="Q60" s="7">
        <v>57</v>
      </c>
      <c r="R60" s="7">
        <f>[1]节奏总纲!AD60</f>
        <v>58.571351621712921</v>
      </c>
      <c r="S60" s="7">
        <f>[1]节奏总纲!AE60</f>
        <v>60.60152623127486</v>
      </c>
      <c r="T60" s="7">
        <f>[1]节奏总纲!AF60</f>
        <v>63.421042351541736</v>
      </c>
      <c r="U60" s="7">
        <f>[1]节奏总纲!AG60</f>
        <v>67.890992225532017</v>
      </c>
      <c r="V60" s="7">
        <f>[1]节奏总纲!AH60</f>
        <v>76.344973133357612</v>
      </c>
      <c r="Z60" s="7">
        <v>57</v>
      </c>
      <c r="AA60" s="7">
        <f>[1]节奏总纲!AM60</f>
        <v>1647.8248427703616</v>
      </c>
      <c r="AB60" s="7">
        <f>[1]节奏总纲!AN60</f>
        <v>1318.2598742162893</v>
      </c>
      <c r="AC60" s="7">
        <f>[1]节奏总纲!AO60</f>
        <v>988.69490566221691</v>
      </c>
      <c r="AD60" s="7">
        <f>[1]节奏总纲!AP60</f>
        <v>659.12993710814465</v>
      </c>
      <c r="AE60" s="7">
        <f>[1]节奏总纲!AQ60</f>
        <v>329.56496855407232</v>
      </c>
      <c r="AG60" s="7">
        <v>57</v>
      </c>
      <c r="AH60" s="7">
        <f>[1]节奏总纲!AT60</f>
        <v>225.14663299483664</v>
      </c>
      <c r="AI60" s="7">
        <f>[1]节奏总纲!AU60</f>
        <v>180.11730639586926</v>
      </c>
      <c r="AJ60" s="7">
        <f>[1]节奏总纲!AV60</f>
        <v>135.087979796902</v>
      </c>
      <c r="AK60" s="7">
        <f>[1]节奏总纲!AW60</f>
        <v>90.058653197934632</v>
      </c>
      <c r="AL60" s="7">
        <f>[1]节奏总纲!AX60</f>
        <v>45.029326598967316</v>
      </c>
      <c r="AN60" s="7">
        <v>57</v>
      </c>
      <c r="AO60" s="7">
        <f>[1]节奏总纲!BA60</f>
        <v>34.307705563947749</v>
      </c>
      <c r="AP60" s="7">
        <f>[1]节奏总纲!BB60</f>
        <v>35.756329132943463</v>
      </c>
      <c r="AQ60" s="7">
        <f>[1]节奏总纲!BC60</f>
        <v>37.680472138177478</v>
      </c>
      <c r="AR60" s="7">
        <f>[1]节奏总纲!BD60</f>
        <v>40.402090538761065</v>
      </c>
      <c r="AS60" s="7">
        <f>[1]节奏总纲!BE60</f>
        <v>45.088151688727308</v>
      </c>
      <c r="BD60" s="7"/>
    </row>
    <row r="61" spans="2:56" x14ac:dyDescent="0.15">
      <c r="B61" s="7">
        <f>[1]节奏总纲!N61</f>
        <v>68</v>
      </c>
      <c r="C61" s="7">
        <v>58</v>
      </c>
      <c r="D61" s="7">
        <f>[1]节奏总纲!P61</f>
        <v>54.715236050951923</v>
      </c>
      <c r="E61" s="7">
        <f>[1]节奏总纲!Q61</f>
        <v>47.459995750595695</v>
      </c>
      <c r="F61" s="7">
        <f>[1]节奏总纲!R61</f>
        <v>38.913475879437009</v>
      </c>
      <c r="G61" s="7">
        <f>[1]节奏总纲!S61</f>
        <v>28.572296265807093</v>
      </c>
      <c r="H61" s="7">
        <f>[1]节奏总纲!T61</f>
        <v>15.856475407565867</v>
      </c>
      <c r="J61" s="7">
        <v>58</v>
      </c>
      <c r="K61" s="7">
        <f>[1]节奏总纲!W61</f>
        <v>3.7310826841528453</v>
      </c>
      <c r="L61" s="7">
        <f>[1]节奏总纲!X61</f>
        <v>3.149668059510617</v>
      </c>
      <c r="M61" s="7">
        <f>[1]节奏总纲!Y61</f>
        <v>2.5974634362660254</v>
      </c>
      <c r="N61" s="7">
        <f>[1]节奏总纲!Z61</f>
        <v>1.9075840549711742</v>
      </c>
      <c r="O61" s="7">
        <f>[1]节奏总纲!AA61</f>
        <v>1.0404804391740541</v>
      </c>
      <c r="Q61" s="7">
        <v>58</v>
      </c>
      <c r="R61" s="7">
        <f>[1]节奏总纲!AD61</f>
        <v>58.821421928516813</v>
      </c>
      <c r="S61" s="7">
        <f>[1]节奏总纲!AE61</f>
        <v>60.851070405211743</v>
      </c>
      <c r="T61" s="7">
        <f>[1]节奏总纲!AF61</f>
        <v>63.665817066968295</v>
      </c>
      <c r="U61" s="7">
        <f>[1]节奏总纲!AG61</f>
        <v>68.142437172458173</v>
      </c>
      <c r="V61" s="7">
        <f>[1]节奏总纲!AH61</f>
        <v>76.60329874178116</v>
      </c>
      <c r="Z61" s="7">
        <v>58</v>
      </c>
      <c r="AA61" s="7">
        <f>[1]节奏总纲!AM61</f>
        <v>1908.4603298511749</v>
      </c>
      <c r="AB61" s="7">
        <f>[1]节奏总纲!AN61</f>
        <v>1526.7682638809401</v>
      </c>
      <c r="AC61" s="7">
        <f>[1]节奏总纲!AO61</f>
        <v>1145.0761979107049</v>
      </c>
      <c r="AD61" s="7">
        <f>[1]节奏总纲!AP61</f>
        <v>763.38413194047007</v>
      </c>
      <c r="AE61" s="7">
        <f>[1]节奏总纲!AQ61</f>
        <v>381.69206597023503</v>
      </c>
      <c r="AG61" s="7">
        <v>58</v>
      </c>
      <c r="AH61" s="7">
        <f>[1]节奏总纲!AT61</f>
        <v>260.63548708081339</v>
      </c>
      <c r="AI61" s="7">
        <f>[1]节奏总纲!AU61</f>
        <v>208.50838966465085</v>
      </c>
      <c r="AJ61" s="7">
        <f>[1]节奏总纲!AV61</f>
        <v>156.38129224848797</v>
      </c>
      <c r="AK61" s="7">
        <f>[1]节奏总纲!AW61</f>
        <v>104.25419483232542</v>
      </c>
      <c r="AL61" s="7">
        <f>[1]节奏总纲!AX61</f>
        <v>52.127097416162712</v>
      </c>
      <c r="AN61" s="7">
        <v>58</v>
      </c>
      <c r="AO61" s="7">
        <f>[1]节奏总纲!BA61</f>
        <v>34.41421240026348</v>
      </c>
      <c r="AP61" s="7">
        <f>[1]节奏总纲!BB61</f>
        <v>35.878317702773053</v>
      </c>
      <c r="AQ61" s="7">
        <f>[1]节奏总纲!BC61</f>
        <v>37.801476926273359</v>
      </c>
      <c r="AR61" s="7">
        <f>[1]节奏总纲!BD61</f>
        <v>40.518638521010644</v>
      </c>
      <c r="AS61" s="7">
        <f>[1]节奏总纲!BE61</f>
        <v>45.199736104837825</v>
      </c>
      <c r="BD61" s="7"/>
    </row>
    <row r="62" spans="2:56" x14ac:dyDescent="0.15">
      <c r="B62" s="7">
        <f>[1]节奏总纲!N62</f>
        <v>69</v>
      </c>
      <c r="C62" s="7">
        <v>59</v>
      </c>
      <c r="D62" s="7">
        <f>[1]节奏总纲!P62</f>
        <v>58.714111458355703</v>
      </c>
      <c r="E62" s="7">
        <f>[1]节奏总纲!Q62</f>
        <v>50.940363101269412</v>
      </c>
      <c r="F62" s="7">
        <f>[1]节奏总纲!R62</f>
        <v>41.728119013453394</v>
      </c>
      <c r="G62" s="7">
        <f>[1]节奏总纲!S62</f>
        <v>30.607666303240826</v>
      </c>
      <c r="H62" s="7">
        <f>[1]节奏总纲!T62</f>
        <v>17.003606678339814</v>
      </c>
      <c r="J62" s="7">
        <v>59</v>
      </c>
      <c r="K62" s="7">
        <f>[1]节奏总纲!W62</f>
        <v>3.99887540740378</v>
      </c>
      <c r="L62" s="7">
        <f>[1]节奏总纲!X62</f>
        <v>3.4803673506737169</v>
      </c>
      <c r="M62" s="7">
        <f>[1]节奏总纲!Y62</f>
        <v>2.8146431340163858</v>
      </c>
      <c r="N62" s="7">
        <f>[1]节奏总纲!Z62</f>
        <v>2.0353700374337329</v>
      </c>
      <c r="O62" s="7">
        <f>[1]节奏总纲!AA62</f>
        <v>1.1471312707739472</v>
      </c>
      <c r="Q62" s="7">
        <v>59</v>
      </c>
      <c r="R62" s="7">
        <f>[1]节奏总纲!AD62</f>
        <v>59.066704614192936</v>
      </c>
      <c r="S62" s="7">
        <f>[1]节奏总纲!AE62</f>
        <v>61.094954819415335</v>
      </c>
      <c r="T62" s="7">
        <f>[1]节奏总纲!AF62</f>
        <v>63.91059178239486</v>
      </c>
      <c r="U62" s="7">
        <f>[1]节奏总纲!AG62</f>
        <v>68.385008299388929</v>
      </c>
      <c r="V62" s="7">
        <f>[1]节奏总纲!AH62</f>
        <v>76.861624350204693</v>
      </c>
      <c r="Z62" s="7">
        <v>59</v>
      </c>
      <c r="AA62" s="7">
        <f>[1]节奏总纲!AM62</f>
        <v>2210.1605665017755</v>
      </c>
      <c r="AB62" s="7">
        <f>[1]节奏总纲!AN62</f>
        <v>1768.1284532014206</v>
      </c>
      <c r="AC62" s="7">
        <f>[1]节奏总纲!AO62</f>
        <v>1326.0963399010652</v>
      </c>
      <c r="AD62" s="7">
        <f>[1]节奏总纲!AP62</f>
        <v>884.0642266007103</v>
      </c>
      <c r="AE62" s="7">
        <f>[1]节奏总纲!AQ62</f>
        <v>442.03211330035515</v>
      </c>
      <c r="AG62" s="7">
        <v>59</v>
      </c>
      <c r="AH62" s="7">
        <f>[1]节奏总纲!AT62</f>
        <v>301.70023665060057</v>
      </c>
      <c r="AI62" s="7">
        <f>[1]节奏总纲!AU62</f>
        <v>241.36018932048046</v>
      </c>
      <c r="AJ62" s="7">
        <f>[1]节奏总纲!AV62</f>
        <v>181.02014199036034</v>
      </c>
      <c r="AK62" s="7">
        <f>[1]节奏总纲!AW62</f>
        <v>120.68009466024023</v>
      </c>
      <c r="AL62" s="7">
        <f>[1]节奏总纲!AX62</f>
        <v>60.340047330120115</v>
      </c>
      <c r="AN62" s="7">
        <v>59</v>
      </c>
      <c r="AO62" s="7">
        <f>[1]节奏总纲!BA62</f>
        <v>34.520719236579211</v>
      </c>
      <c r="AP62" s="7">
        <f>[1]节奏总纲!BB62</f>
        <v>36.000264155774609</v>
      </c>
      <c r="AQ62" s="7">
        <f>[1]节奏总纲!BC62</f>
        <v>37.922481714369241</v>
      </c>
      <c r="AR62" s="7">
        <f>[1]节奏总纲!BD62</f>
        <v>40.635186503260229</v>
      </c>
      <c r="AS62" s="7">
        <f>[1]节奏总纲!BE62</f>
        <v>45.31132052094835</v>
      </c>
      <c r="BD62" s="7"/>
    </row>
    <row r="63" spans="2:56" x14ac:dyDescent="0.15">
      <c r="B63" s="7">
        <f>[1]节奏总纲!N63</f>
        <v>70</v>
      </c>
      <c r="C63" s="7">
        <v>60</v>
      </c>
      <c r="D63" s="7">
        <f>[1]节奏总纲!P63</f>
        <v>63</v>
      </c>
      <c r="E63" s="7">
        <f>[1]节奏总纲!Q63</f>
        <v>54.589500000000001</v>
      </c>
      <c r="F63" s="7">
        <f>[1]节奏总纲!R63</f>
        <v>44.717399999999998</v>
      </c>
      <c r="G63" s="7">
        <f>[1]节奏总纲!S63</f>
        <v>32.810400000000001</v>
      </c>
      <c r="H63" s="7">
        <f>[1]节奏总纲!T63</f>
        <v>18.276300000000003</v>
      </c>
      <c r="J63" s="7">
        <v>60</v>
      </c>
      <c r="K63" s="7">
        <f>[1]节奏总纲!W63</f>
        <v>4.2858885416442973</v>
      </c>
      <c r="L63" s="7">
        <f>[1]节奏总纲!X63</f>
        <v>3.649136898730589</v>
      </c>
      <c r="M63" s="7">
        <f>[1]节奏总纲!Y63</f>
        <v>2.9892809865466035</v>
      </c>
      <c r="N63" s="7">
        <f>[1]节奏总纲!Z63</f>
        <v>2.2027336967591751</v>
      </c>
      <c r="O63" s="7">
        <f>[1]节奏总纲!AA63</f>
        <v>1.2726933216601886</v>
      </c>
      <c r="Q63" s="7">
        <v>60</v>
      </c>
      <c r="R63" s="7">
        <f>[1]节奏总纲!AD63</f>
        <v>59.300028460644697</v>
      </c>
      <c r="S63" s="7">
        <f>[1]节奏总纲!AE63</f>
        <v>61.330461663183208</v>
      </c>
      <c r="T63" s="7">
        <f>[1]节奏总纲!AF63</f>
        <v>64.14304723627319</v>
      </c>
      <c r="U63" s="7">
        <f>[1]节奏总纲!AG63</f>
        <v>68.627579426319684</v>
      </c>
      <c r="V63" s="7">
        <f>[1]节奏总纲!AH63</f>
        <v>77.112805903056142</v>
      </c>
      <c r="Z63" s="7">
        <v>60</v>
      </c>
      <c r="AA63" s="7">
        <f>[1]节奏总纲!AM63</f>
        <v>2559.375</v>
      </c>
      <c r="AB63" s="7">
        <f>[1]节奏总纲!AN63</f>
        <v>2047.5</v>
      </c>
      <c r="AC63" s="7">
        <f>[1]节奏总纲!AO63</f>
        <v>1535.625</v>
      </c>
      <c r="AD63" s="7">
        <f>[1]节奏总纲!AP63</f>
        <v>1023.75</v>
      </c>
      <c r="AE63" s="7">
        <f>[1]节奏总纲!AQ63</f>
        <v>511.875</v>
      </c>
      <c r="AG63" s="7">
        <v>60</v>
      </c>
      <c r="AH63" s="7">
        <f>[1]节奏总纲!AT63</f>
        <v>349.21443349822448</v>
      </c>
      <c r="AI63" s="7">
        <f>[1]节奏总纲!AU63</f>
        <v>279.3715467985794</v>
      </c>
      <c r="AJ63" s="7">
        <f>[1]节奏总纲!AV63</f>
        <v>209.52866009893478</v>
      </c>
      <c r="AK63" s="7">
        <f>[1]节奏总纲!AW63</f>
        <v>139.6857733992897</v>
      </c>
      <c r="AL63" s="7">
        <f>[1]节奏总纲!AX63</f>
        <v>69.842886699644851</v>
      </c>
      <c r="AN63" s="7">
        <v>60</v>
      </c>
      <c r="AO63" s="7">
        <f>[1]节奏总纲!BA63</f>
        <v>34.627226072894942</v>
      </c>
      <c r="AP63" s="7">
        <f>[1]节奏总纲!BB63</f>
        <v>36.105477566569242</v>
      </c>
      <c r="AQ63" s="7">
        <f>[1]节奏总纲!BC63</f>
        <v>38.037513426486328</v>
      </c>
      <c r="AR63" s="7">
        <f>[1]节奏总纲!BD63</f>
        <v>40.751734485509814</v>
      </c>
      <c r="AS63" s="7">
        <f>[1]节奏总纲!BE63</f>
        <v>45.422904937058867</v>
      </c>
      <c r="BD63" s="7"/>
    </row>
    <row r="64" spans="2:56" x14ac:dyDescent="0.15">
      <c r="B64" s="7">
        <f>[1]节奏总纲!N64</f>
        <v>71</v>
      </c>
      <c r="C64" s="7">
        <v>61</v>
      </c>
      <c r="D64" s="7">
        <f>[1]节奏总纲!P64</f>
        <v>67.593501602322732</v>
      </c>
      <c r="E64" s="7">
        <f>[1]节奏总纲!Q64</f>
        <v>58.596806539053574</v>
      </c>
      <c r="F64" s="7">
        <f>[1]节奏总纲!R64</f>
        <v>47.977867437328676</v>
      </c>
      <c r="G64" s="7">
        <f>[1]节奏总纲!S64</f>
        <v>35.229733035130607</v>
      </c>
      <c r="H64" s="7">
        <f>[1]节奏总纲!T64</f>
        <v>19.602115464673592</v>
      </c>
      <c r="J64" s="7">
        <v>61</v>
      </c>
      <c r="K64" s="7">
        <f>[1]节奏总纲!W64</f>
        <v>4.593501602322732</v>
      </c>
      <c r="L64" s="7">
        <f>[1]节奏总纲!X64</f>
        <v>4.0073065390535731</v>
      </c>
      <c r="M64" s="7">
        <f>[1]节奏总纲!Y64</f>
        <v>3.2604674373286784</v>
      </c>
      <c r="N64" s="7">
        <f>[1]节奏总纲!Z64</f>
        <v>2.4193330351306059</v>
      </c>
      <c r="O64" s="7">
        <f>[1]节奏总纲!AA64</f>
        <v>1.3258154646735889</v>
      </c>
      <c r="Q64" s="7">
        <v>61</v>
      </c>
      <c r="R64" s="7">
        <f>[1]节奏总纲!AD64</f>
        <v>59.533352307096465</v>
      </c>
      <c r="S64" s="7">
        <f>[1]节奏总纲!AE64</f>
        <v>61.56596850695108</v>
      </c>
      <c r="T64" s="7">
        <f>[1]节奏总纲!AF64</f>
        <v>64.368413367596901</v>
      </c>
      <c r="U64" s="7">
        <f>[1]节奏总纲!AG64</f>
        <v>68.870150553250454</v>
      </c>
      <c r="V64" s="7">
        <f>[1]节奏总纲!AH64</f>
        <v>77.355745991356301</v>
      </c>
      <c r="Z64" s="7">
        <v>61</v>
      </c>
      <c r="AA64" s="7">
        <f>[1]节奏总纲!AM64</f>
        <v>2963.5631311027469</v>
      </c>
      <c r="AB64" s="7">
        <f>[1]节奏总纲!AN64</f>
        <v>2370.8505048821976</v>
      </c>
      <c r="AC64" s="7">
        <f>[1]节奏总纲!AO64</f>
        <v>1778.1378786616481</v>
      </c>
      <c r="AD64" s="7">
        <f>[1]节奏总纲!AP64</f>
        <v>1185.4252524410988</v>
      </c>
      <c r="AE64" s="7">
        <f>[1]节奏总纲!AQ64</f>
        <v>592.7126262205494</v>
      </c>
      <c r="AG64" s="7">
        <v>61</v>
      </c>
      <c r="AH64" s="7">
        <f>[1]节奏总纲!AT64</f>
        <v>404.18813110274687</v>
      </c>
      <c r="AI64" s="7">
        <f>[1]节奏总纲!AU64</f>
        <v>323.35050488219758</v>
      </c>
      <c r="AJ64" s="7">
        <f>[1]节奏总纲!AV64</f>
        <v>242.51287866164807</v>
      </c>
      <c r="AK64" s="7">
        <f>[1]节奏总纲!AW64</f>
        <v>161.67525244109879</v>
      </c>
      <c r="AL64" s="7">
        <f>[1]节奏总纲!AX64</f>
        <v>80.837626220549396</v>
      </c>
      <c r="AN64" s="7">
        <v>61</v>
      </c>
      <c r="AO64" s="7">
        <f>[1]节奏总纲!BA64</f>
        <v>34.733732909210673</v>
      </c>
      <c r="AP64" s="7">
        <f>[1]节奏总纲!BB64</f>
        <v>36.210690977363875</v>
      </c>
      <c r="AQ64" s="7">
        <f>[1]节奏总纲!BC64</f>
        <v>38.14189763688286</v>
      </c>
      <c r="AR64" s="7">
        <f>[1]节奏总纲!BD64</f>
        <v>40.8682824677594</v>
      </c>
      <c r="AS64" s="7">
        <f>[1]节奏总纲!BE64</f>
        <v>45.534489353169384</v>
      </c>
      <c r="BD64" s="7"/>
    </row>
    <row r="65" spans="2:56" x14ac:dyDescent="0.15">
      <c r="B65" s="7">
        <f>[1]节奏总纲!N65</f>
        <v>72</v>
      </c>
      <c r="C65" s="7">
        <v>62</v>
      </c>
      <c r="D65" s="7">
        <f>[1]节奏总纲!P65</f>
        <v>72.516694719810218</v>
      </c>
      <c r="E65" s="7">
        <f>[1]节奏总纲!Q65</f>
        <v>62.842967644187539</v>
      </c>
      <c r="F65" s="7">
        <f>[1]节奏总纲!R65</f>
        <v>51.5086082594812</v>
      </c>
      <c r="G65" s="7">
        <f>[1]节奏总纲!S65</f>
        <v>37.846462974268952</v>
      </c>
      <c r="H65" s="7">
        <f>[1]节奏总纲!T65</f>
        <v>21.124113171880715</v>
      </c>
      <c r="J65" s="7">
        <v>62</v>
      </c>
      <c r="K65" s="7">
        <f>[1]节奏总纲!W65</f>
        <v>4.9231931174874859</v>
      </c>
      <c r="L65" s="7">
        <f>[1]节奏总纲!X65</f>
        <v>4.2461611051339645</v>
      </c>
      <c r="M65" s="7">
        <f>[1]节奏总纲!Y65</f>
        <v>3.5307408221525236</v>
      </c>
      <c r="N65" s="7">
        <f>[1]节奏总纲!Z65</f>
        <v>2.6167299391383452</v>
      </c>
      <c r="O65" s="7">
        <f>[1]节奏总纲!AA65</f>
        <v>1.5219977072071238</v>
      </c>
      <c r="Q65" s="7">
        <v>62</v>
      </c>
      <c r="R65" s="7">
        <f>[1]节奏总纲!AD65</f>
        <v>59.766676153548232</v>
      </c>
      <c r="S65" s="7">
        <f>[1]节奏总纲!AE65</f>
        <v>61.801475350718952</v>
      </c>
      <c r="T65" s="7">
        <f>[1]节奏总纲!AF65</f>
        <v>64.593779498920611</v>
      </c>
      <c r="U65" s="7">
        <f>[1]节奏总纲!AG65</f>
        <v>69.105843627521551</v>
      </c>
      <c r="V65" s="7">
        <f>[1]节奏总纲!AH65</f>
        <v>77.59868607965646</v>
      </c>
      <c r="Z65" s="7">
        <v>62</v>
      </c>
      <c r="AA65" s="7">
        <f>[1]节奏总纲!AM65</f>
        <v>3431.3522956038646</v>
      </c>
      <c r="AB65" s="7">
        <f>[1]节奏总纲!AN65</f>
        <v>2745.081836483092</v>
      </c>
      <c r="AC65" s="7">
        <f>[1]节奏总纲!AO65</f>
        <v>2058.8113773623186</v>
      </c>
      <c r="AD65" s="7">
        <f>[1]节奏总纲!AP65</f>
        <v>1372.540918241546</v>
      </c>
      <c r="AE65" s="7">
        <f>[1]节奏总纲!AQ65</f>
        <v>686.27045912077301</v>
      </c>
      <c r="AG65" s="7">
        <v>62</v>
      </c>
      <c r="AH65" s="7">
        <f>[1]节奏总纲!AT65</f>
        <v>467.78916450111774</v>
      </c>
      <c r="AI65" s="7">
        <f>[1]节奏总纲!AU65</f>
        <v>374.23133160089446</v>
      </c>
      <c r="AJ65" s="7">
        <f>[1]节奏总纲!AV65</f>
        <v>280.67349870067051</v>
      </c>
      <c r="AK65" s="7">
        <f>[1]节奏总纲!AW65</f>
        <v>187.11566580044723</v>
      </c>
      <c r="AL65" s="7">
        <f>[1]节奏总纲!AX65</f>
        <v>93.557832900223616</v>
      </c>
      <c r="AN65" s="7">
        <v>62</v>
      </c>
      <c r="AO65" s="7">
        <f>[1]节奏总纲!BA65</f>
        <v>34.840239745526404</v>
      </c>
      <c r="AP65" s="7">
        <f>[1]节奏总纲!BB65</f>
        <v>36.315904388158508</v>
      </c>
      <c r="AQ65" s="7">
        <f>[1]节奏总纲!BC65</f>
        <v>38.246281847279398</v>
      </c>
      <c r="AR65" s="7">
        <f>[1]节奏总纲!BD65</f>
        <v>40.984830450008978</v>
      </c>
      <c r="AS65" s="7">
        <f>[1]节奏总纲!BE65</f>
        <v>45.646073769279901</v>
      </c>
      <c r="BD65" s="7"/>
    </row>
    <row r="66" spans="2:56" x14ac:dyDescent="0.15">
      <c r="B66" s="7">
        <f>[1]节奏总纲!N66</f>
        <v>73</v>
      </c>
      <c r="C66" s="7">
        <v>63</v>
      </c>
      <c r="D66" s="7">
        <f>[1]节奏总纲!P66</f>
        <v>77.793242454074615</v>
      </c>
      <c r="E66" s="7">
        <f>[1]节奏总纲!Q66</f>
        <v>67.470079180418907</v>
      </c>
      <c r="F66" s="7">
        <f>[1]节奏总纲!R66</f>
        <v>55.27987808786542</v>
      </c>
      <c r="G66" s="7">
        <f>[1]节奏总纲!S66</f>
        <v>40.678086479235617</v>
      </c>
      <c r="H66" s="7">
        <f>[1]节奏总纲!T66</f>
        <v>22.700068148098975</v>
      </c>
      <c r="J66" s="7">
        <v>63</v>
      </c>
      <c r="K66" s="7">
        <f>[1]节奏总纲!W66</f>
        <v>5.2765477342643976</v>
      </c>
      <c r="L66" s="7">
        <f>[1]节奏总纲!X66</f>
        <v>4.6271115362313679</v>
      </c>
      <c r="M66" s="7">
        <f>[1]节奏总纲!Y66</f>
        <v>3.7712698283842201</v>
      </c>
      <c r="N66" s="7">
        <f>[1]节奏总纲!Z66</f>
        <v>2.8316235049666645</v>
      </c>
      <c r="O66" s="7">
        <f>[1]节奏总纲!AA66</f>
        <v>1.5759549762182594</v>
      </c>
      <c r="Q66" s="7">
        <v>63</v>
      </c>
      <c r="R66" s="7">
        <f>[1]节奏总纲!AD66</f>
        <v>60</v>
      </c>
      <c r="S66" s="7">
        <f>[1]节奏总纲!AE66</f>
        <v>62.033937447710706</v>
      </c>
      <c r="T66" s="7">
        <f>[1]节奏总纲!AF66</f>
        <v>64.819145630244321</v>
      </c>
      <c r="U66" s="7">
        <f>[1]节奏总纲!AG66</f>
        <v>69.333613546893503</v>
      </c>
      <c r="V66" s="7">
        <f>[1]节奏总纲!AH66</f>
        <v>77.841626167956619</v>
      </c>
      <c r="Z66" s="7">
        <v>63</v>
      </c>
      <c r="AA66" s="7">
        <f>[1]节奏总纲!AM66</f>
        <v>3972.7200361130153</v>
      </c>
      <c r="AB66" s="7">
        <f>[1]节奏总纲!AN66</f>
        <v>3178.1760288904125</v>
      </c>
      <c r="AC66" s="7">
        <f>[1]节奏总纲!AO66</f>
        <v>2383.6320216678091</v>
      </c>
      <c r="AD66" s="7">
        <f>[1]节奏总纲!AP66</f>
        <v>1589.0880144452062</v>
      </c>
      <c r="AE66" s="7">
        <f>[1]节奏总纲!AQ66</f>
        <v>794.54400722260311</v>
      </c>
      <c r="AG66" s="7">
        <v>63</v>
      </c>
      <c r="AH66" s="7">
        <f>[1]节奏总纲!AT66</f>
        <v>541.36774050915074</v>
      </c>
      <c r="AI66" s="7">
        <f>[1]节奏总纲!AU66</f>
        <v>433.09419240732041</v>
      </c>
      <c r="AJ66" s="7">
        <f>[1]节奏总纲!AV66</f>
        <v>324.82064430549053</v>
      </c>
      <c r="AK66" s="7">
        <f>[1]节奏总纲!AW66</f>
        <v>216.5470962036602</v>
      </c>
      <c r="AL66" s="7">
        <f>[1]节奏总纲!AX66</f>
        <v>108.2735481018301</v>
      </c>
      <c r="AN66" s="7">
        <v>63</v>
      </c>
      <c r="AO66" s="7">
        <f>[1]节奏总纲!BA66</f>
        <v>34.946746581842135</v>
      </c>
      <c r="AP66" s="7">
        <f>[1]节奏总纲!BB66</f>
        <v>36.421117798953141</v>
      </c>
      <c r="AQ66" s="7">
        <f>[1]节奏总纲!BC66</f>
        <v>38.35066605767593</v>
      </c>
      <c r="AR66" s="7">
        <f>[1]节奏总纲!BD66</f>
        <v>41.087476216725996</v>
      </c>
      <c r="AS66" s="7">
        <f>[1]节奏总纲!BE66</f>
        <v>45.757658185390426</v>
      </c>
      <c r="BD66" s="7"/>
    </row>
    <row r="67" spans="2:56" x14ac:dyDescent="0.15">
      <c r="B67" s="7">
        <f>[1]节奏总纲!N67</f>
        <v>74</v>
      </c>
      <c r="C67" s="7">
        <v>64</v>
      </c>
      <c r="D67" s="7">
        <f>[1]节奏总纲!P67</f>
        <v>83.4485062894652</v>
      </c>
      <c r="E67" s="7">
        <f>[1]节奏总纲!Q67</f>
        <v>72.399924056740005</v>
      </c>
      <c r="F67" s="7">
        <f>[1]节奏总纲!R67</f>
        <v>59.365267374325548</v>
      </c>
      <c r="G67" s="7">
        <f>[1]节奏总纲!S67</f>
        <v>43.718672445050821</v>
      </c>
      <c r="H67" s="7">
        <f>[1]节奏总纲!T67</f>
        <v>24.341929284637001</v>
      </c>
      <c r="J67" s="7">
        <v>64</v>
      </c>
      <c r="K67" s="7">
        <f>[1]节奏总纲!W67</f>
        <v>5.6552638353905849</v>
      </c>
      <c r="L67" s="7">
        <f>[1]节奏总纲!X67</f>
        <v>4.9298448763210985</v>
      </c>
      <c r="M67" s="7">
        <f>[1]节奏总纲!Y67</f>
        <v>4.0853892864601278</v>
      </c>
      <c r="N67" s="7">
        <f>[1]节奏总纲!Z67</f>
        <v>3.0405859658152039</v>
      </c>
      <c r="O67" s="7">
        <f>[1]节奏总纲!AA67</f>
        <v>1.6418611365380258</v>
      </c>
      <c r="Q67" s="7">
        <v>64</v>
      </c>
      <c r="R67" s="7">
        <f>[1]节奏总纲!AD67</f>
        <v>60.217698846451768</v>
      </c>
      <c r="S67" s="7">
        <f>[1]节奏总纲!AE67</f>
        <v>62.250054995811666</v>
      </c>
      <c r="T67" s="7">
        <f>[1]节奏总纲!AF67</f>
        <v>65.042129882798193</v>
      </c>
      <c r="U67" s="7">
        <f>[1]节奏总纲!AG67</f>
        <v>69.56138346626544</v>
      </c>
      <c r="V67" s="7">
        <f>[1]节奏总纲!AH67</f>
        <v>78.077870469399883</v>
      </c>
      <c r="Z67" s="7">
        <v>64</v>
      </c>
      <c r="AA67" s="7">
        <f>[1]节奏总纲!AM67</f>
        <v>4599.2048883665893</v>
      </c>
      <c r="AB67" s="7">
        <f>[1]节奏总纲!AN67</f>
        <v>3679.3639106932715</v>
      </c>
      <c r="AC67" s="7">
        <f>[1]节奏总纲!AO67</f>
        <v>2759.5229330199536</v>
      </c>
      <c r="AD67" s="7">
        <f>[1]节奏总纲!AP67</f>
        <v>1839.6819553466357</v>
      </c>
      <c r="AE67" s="7">
        <f>[1]节奏总纲!AQ67</f>
        <v>919.84097767331787</v>
      </c>
      <c r="AG67" s="7">
        <v>64</v>
      </c>
      <c r="AH67" s="7">
        <f>[1]节奏总纲!AT67</f>
        <v>626.48485225357399</v>
      </c>
      <c r="AI67" s="7">
        <f>[1]节奏总纲!AU67</f>
        <v>501.18788180285901</v>
      </c>
      <c r="AJ67" s="7">
        <f>[1]节奏总纲!AV67</f>
        <v>375.89091135214449</v>
      </c>
      <c r="AK67" s="7">
        <f>[1]节奏总纲!AW67</f>
        <v>250.59394090142951</v>
      </c>
      <c r="AL67" s="7">
        <f>[1]节奏总纲!AX67</f>
        <v>125.29697045071475</v>
      </c>
      <c r="AN67" s="7">
        <v>64</v>
      </c>
      <c r="AO67" s="7">
        <f>[1]节奏总纲!BA67</f>
        <v>35.048795427931836</v>
      </c>
      <c r="AP67" s="7">
        <f>[1]节奏总纲!BB67</f>
        <v>36.526331209747774</v>
      </c>
      <c r="AQ67" s="7">
        <f>[1]节奏总纲!BC67</f>
        <v>38.455050268072462</v>
      </c>
      <c r="AR67" s="7">
        <f>[1]节奏总纲!BD67</f>
        <v>41.188041754455355</v>
      </c>
      <c r="AS67" s="7">
        <f>[1]节奏总纲!BE67</f>
        <v>45.869242601500943</v>
      </c>
      <c r="BD67" s="7"/>
    </row>
    <row r="68" spans="2:56" x14ac:dyDescent="0.15">
      <c r="B68" s="7">
        <f>[1]节奏总纲!N68</f>
        <v>75</v>
      </c>
      <c r="C68" s="7">
        <v>65</v>
      </c>
      <c r="D68" s="7">
        <f>[1]节奏总纲!P68</f>
        <v>89.509667991878061</v>
      </c>
      <c r="E68" s="7">
        <f>[1]节奏总纲!Q68</f>
        <v>77.64963698295422</v>
      </c>
      <c r="F68" s="7">
        <f>[1]节奏总纲!R68</f>
        <v>63.802491344610679</v>
      </c>
      <c r="G68" s="7">
        <f>[1]节奏总纲!S68</f>
        <v>46.929918928141667</v>
      </c>
      <c r="H68" s="7">
        <f>[1]节奏总纲!T68</f>
        <v>25.993607584841389</v>
      </c>
      <c r="J68" s="7">
        <v>65</v>
      </c>
      <c r="K68" s="7">
        <f>[1]节奏总纲!W68</f>
        <v>6.0611617024128606</v>
      </c>
      <c r="L68" s="7">
        <f>[1]节奏总纲!X68</f>
        <v>5.2497129262142153</v>
      </c>
      <c r="M68" s="7">
        <f>[1]节奏总纲!Y68</f>
        <v>4.4372239702851317</v>
      </c>
      <c r="N68" s="7">
        <f>[1]节奏总纲!Z68</f>
        <v>3.2112464830908465</v>
      </c>
      <c r="O68" s="7">
        <f>[1]节奏总纲!AA68</f>
        <v>1.651678300204388</v>
      </c>
      <c r="Q68" s="7">
        <v>65</v>
      </c>
      <c r="R68" s="7">
        <f>[1]节奏总纲!AD68</f>
        <v>60.435397692903535</v>
      </c>
      <c r="S68" s="7">
        <f>[1]节奏总纲!AE68</f>
        <v>62.466172543912634</v>
      </c>
      <c r="T68" s="7">
        <f>[1]节奏总纲!AF68</f>
        <v>65.255436396961542</v>
      </c>
      <c r="U68" s="7">
        <f>[1]节奏总纲!AG68</f>
        <v>69.789153385637391</v>
      </c>
      <c r="V68" s="7">
        <f>[1]节奏总纲!AH68</f>
        <v>78.301575047908599</v>
      </c>
      <c r="Z68" s="7">
        <v>65</v>
      </c>
      <c r="AA68" s="7">
        <f>[1]节奏总纲!AM68</f>
        <v>5324.1500000000005</v>
      </c>
      <c r="AB68" s="7">
        <f>[1]节奏总纲!AN68</f>
        <v>4259.3200000000006</v>
      </c>
      <c r="AC68" s="7">
        <f>[1]节奏总纲!AO68</f>
        <v>3194.4900000000002</v>
      </c>
      <c r="AD68" s="7">
        <f>[1]节奏总纲!AP68</f>
        <v>2129.6600000000003</v>
      </c>
      <c r="AE68" s="7">
        <f>[1]节奏总纲!AQ68</f>
        <v>1064.8300000000002</v>
      </c>
      <c r="AG68" s="7">
        <v>65</v>
      </c>
      <c r="AH68" s="7">
        <f>[1]节奏总纲!AT68</f>
        <v>724.94511163341122</v>
      </c>
      <c r="AI68" s="7">
        <f>[1]节奏总纲!AU68</f>
        <v>579.95608930672915</v>
      </c>
      <c r="AJ68" s="7">
        <f>[1]节奏总纲!AV68</f>
        <v>434.96706698004664</v>
      </c>
      <c r="AK68" s="7">
        <f>[1]节奏总纲!AW68</f>
        <v>289.97804465336458</v>
      </c>
      <c r="AL68" s="7">
        <f>[1]节奏总纲!AX68</f>
        <v>144.98902232668229</v>
      </c>
      <c r="AN68" s="7">
        <v>65</v>
      </c>
      <c r="AO68" s="7">
        <f>[1]节奏总纲!BA68</f>
        <v>35.146386283795508</v>
      </c>
      <c r="AP68" s="7">
        <f>[1]节奏总纲!BB68</f>
        <v>36.631544620542407</v>
      </c>
      <c r="AQ68" s="7">
        <f>[1]节奏总纲!BC68</f>
        <v>38.559434478468994</v>
      </c>
      <c r="AR68" s="7">
        <f>[1]节奏总纲!BD68</f>
        <v>41.288607292184714</v>
      </c>
      <c r="AS68" s="7">
        <f>[1]节奏总纲!BE68</f>
        <v>45.98082701761146</v>
      </c>
      <c r="BD68" s="7"/>
    </row>
    <row r="69" spans="2:56" x14ac:dyDescent="0.15">
      <c r="B69" s="7">
        <f>[1]节奏总纲!N69</f>
        <v>76</v>
      </c>
      <c r="C69" s="7">
        <v>66</v>
      </c>
      <c r="D69" s="7">
        <f>[1]节奏总纲!P69</f>
        <v>96.005860256665443</v>
      </c>
      <c r="E69" s="7">
        <f>[1]节奏总纲!Q69</f>
        <v>83.352287874836932</v>
      </c>
      <c r="F69" s="7">
        <f>[1]节奏总纲!R69</f>
        <v>68.490580707105124</v>
      </c>
      <c r="G69" s="7">
        <f>[1]节奏总纲!S69</f>
        <v>50.163061984107692</v>
      </c>
      <c r="H69" s="7">
        <f>[1]节奏总纲!T69</f>
        <v>27.851300060458648</v>
      </c>
      <c r="J69" s="7">
        <v>66</v>
      </c>
      <c r="K69" s="7">
        <f>[1]节奏总纲!W69</f>
        <v>6.496192264787382</v>
      </c>
      <c r="L69" s="7">
        <f>[1]节奏总纲!X69</f>
        <v>5.7026508918827119</v>
      </c>
      <c r="M69" s="7">
        <f>[1]节奏总纲!Y69</f>
        <v>4.6880893624944449</v>
      </c>
      <c r="N69" s="7">
        <f>[1]节奏总纲!Z69</f>
        <v>3.2331430559660248</v>
      </c>
      <c r="O69" s="7">
        <f>[1]节奏总纲!AA69</f>
        <v>1.8576924756172595</v>
      </c>
      <c r="Q69" s="7">
        <v>66</v>
      </c>
      <c r="R69" s="7">
        <f>[1]节奏总纲!AD69</f>
        <v>60.653096539355303</v>
      </c>
      <c r="S69" s="7">
        <f>[1]节奏总纲!AE69</f>
        <v>62.682290092013595</v>
      </c>
      <c r="T69" s="7">
        <f>[1]节奏总纲!AF69</f>
        <v>65.468742911124906</v>
      </c>
      <c r="U69" s="7">
        <f>[1]节奏总纲!AG69</f>
        <v>70.015851474333999</v>
      </c>
      <c r="V69" s="7">
        <f>[1]节奏总纲!AH69</f>
        <v>78.525279626417301</v>
      </c>
      <c r="Z69" s="7">
        <v>66</v>
      </c>
      <c r="AA69" s="7">
        <f>[1]节奏总纲!AM69</f>
        <v>6162.9846853088866</v>
      </c>
      <c r="AB69" s="7">
        <f>[1]节奏总纲!AN69</f>
        <v>4930.3877482471098</v>
      </c>
      <c r="AC69" s="7">
        <f>[1]节奏总纲!AO69</f>
        <v>3697.7908111853317</v>
      </c>
      <c r="AD69" s="7">
        <f>[1]节奏总纲!AP69</f>
        <v>2465.1938741235549</v>
      </c>
      <c r="AE69" s="7">
        <f>[1]节奏总纲!AQ69</f>
        <v>1232.5969370617775</v>
      </c>
      <c r="AG69" s="7">
        <v>66</v>
      </c>
      <c r="AH69" s="7">
        <f>[1]节奏总纲!AT69</f>
        <v>838.83468530888604</v>
      </c>
      <c r="AI69" s="7">
        <f>[1]节奏总纲!AU69</f>
        <v>671.06774824710919</v>
      </c>
      <c r="AJ69" s="7">
        <f>[1]节奏总纲!AV69</f>
        <v>503.30081118533144</v>
      </c>
      <c r="AK69" s="7">
        <f>[1]节奏总纲!AW69</f>
        <v>335.5338741235546</v>
      </c>
      <c r="AL69" s="7">
        <f>[1]节奏总纲!AX69</f>
        <v>167.7669370617773</v>
      </c>
      <c r="AN69" s="7">
        <v>66</v>
      </c>
      <c r="AO69" s="7">
        <f>[1]节奏总纲!BA69</f>
        <v>35.243977139659179</v>
      </c>
      <c r="AP69" s="7">
        <f>[1]节奏总纲!BB69</f>
        <v>36.73675803133704</v>
      </c>
      <c r="AQ69" s="7">
        <f>[1]节奏总纲!BC69</f>
        <v>38.663818688865533</v>
      </c>
      <c r="AR69" s="7">
        <f>[1]节奏总纲!BD69</f>
        <v>41.389172829914081</v>
      </c>
      <c r="AS69" s="7">
        <f>[1]节奏总纲!BE69</f>
        <v>46.079770001861057</v>
      </c>
      <c r="BD69" s="7"/>
    </row>
    <row r="70" spans="2:56" x14ac:dyDescent="0.15">
      <c r="B70" s="7">
        <f>[1]节奏总纲!N70</f>
        <v>77</v>
      </c>
      <c r="C70" s="7">
        <v>67</v>
      </c>
      <c r="D70" s="7">
        <f>[1]节奏总纲!P70</f>
        <v>102.96830673359811</v>
      </c>
      <c r="E70" s="7">
        <f>[1]节奏总纲!Q70</f>
        <v>89.469161720823394</v>
      </c>
      <c r="F70" s="7">
        <f>[1]节奏总纲!R70</f>
        <v>73.292840732975137</v>
      </c>
      <c r="G70" s="7">
        <f>[1]节奏总纲!S70</f>
        <v>53.625894146857902</v>
      </c>
      <c r="H70" s="7">
        <f>[1]节奏总纲!T70</f>
        <v>29.799027968703292</v>
      </c>
      <c r="J70" s="7">
        <v>67</v>
      </c>
      <c r="K70" s="7">
        <f>[1]节奏总纲!W70</f>
        <v>6.9624464769326693</v>
      </c>
      <c r="L70" s="7">
        <f>[1]节奏总纲!X70</f>
        <v>6.1168738459864613</v>
      </c>
      <c r="M70" s="7">
        <f>[1]节奏总纲!Y70</f>
        <v>4.8022600258700123</v>
      </c>
      <c r="N70" s="7">
        <f>[1]节奏总纲!Z70</f>
        <v>3.4628321627502103</v>
      </c>
      <c r="O70" s="7">
        <f>[1]节奏总纲!AA70</f>
        <v>1.9477279082446444</v>
      </c>
      <c r="Q70" s="7">
        <v>67</v>
      </c>
      <c r="R70" s="7">
        <f>[1]节奏总纲!AD70</f>
        <v>60.870795385807064</v>
      </c>
      <c r="S70" s="7">
        <f>[1]节奏总纲!AE70</f>
        <v>62.898407640114556</v>
      </c>
      <c r="T70" s="7">
        <f>[1]节奏总纲!AF70</f>
        <v>65.682049425288255</v>
      </c>
      <c r="U70" s="7">
        <f>[1]节奏总纲!AG70</f>
        <v>70.229195678021767</v>
      </c>
      <c r="V70" s="7">
        <f>[1]节奏总纲!AH70</f>
        <v>78.748984204926018</v>
      </c>
      <c r="Z70" s="7">
        <v>67</v>
      </c>
      <c r="AA70" s="7">
        <f>[1]节奏总纲!AM70</f>
        <v>7133.5498113340191</v>
      </c>
      <c r="AB70" s="7">
        <f>[1]节奏总纲!AN70</f>
        <v>5706.8398490672153</v>
      </c>
      <c r="AC70" s="7">
        <f>[1]节奏总纲!AO70</f>
        <v>4280.1298868004114</v>
      </c>
      <c r="AD70" s="7">
        <f>[1]节奏总纲!AP70</f>
        <v>2853.4199245336076</v>
      </c>
      <c r="AE70" s="7">
        <f>[1]节奏总纲!AQ70</f>
        <v>1426.7099622668038</v>
      </c>
      <c r="AG70" s="7">
        <v>67</v>
      </c>
      <c r="AH70" s="7">
        <f>[1]节奏总纲!AT70</f>
        <v>970.56512602513249</v>
      </c>
      <c r="AI70" s="7">
        <f>[1]节奏总纲!AU70</f>
        <v>776.45210082010544</v>
      </c>
      <c r="AJ70" s="7">
        <f>[1]节奏总纲!AV70</f>
        <v>582.33907561507976</v>
      </c>
      <c r="AK70" s="7">
        <f>[1]节奏总纲!AW70</f>
        <v>388.22605041005272</v>
      </c>
      <c r="AL70" s="7">
        <f>[1]节奏总纲!AX70</f>
        <v>194.11302520502636</v>
      </c>
      <c r="AN70" s="7">
        <v>67</v>
      </c>
      <c r="AO70" s="7">
        <f>[1]节奏总纲!BA70</f>
        <v>35.341567995522851</v>
      </c>
      <c r="AP70" s="7">
        <f>[1]节奏总纲!BB70</f>
        <v>36.841971442131673</v>
      </c>
      <c r="AQ70" s="7">
        <f>[1]节奏总纲!BC70</f>
        <v>38.768202899262064</v>
      </c>
      <c r="AR70" s="7">
        <f>[1]节奏总纲!BD70</f>
        <v>41.48973836764344</v>
      </c>
      <c r="AS70" s="7">
        <f>[1]节奏总纲!BE70</f>
        <v>46.176090215954694</v>
      </c>
      <c r="BD70" s="7"/>
    </row>
    <row r="71" spans="2:56" x14ac:dyDescent="0.15">
      <c r="B71" s="7">
        <f>[1]节奏总纲!N71</f>
        <v>78</v>
      </c>
      <c r="C71" s="7">
        <v>68</v>
      </c>
      <c r="D71" s="7">
        <f>[1]节奏总纲!P71</f>
        <v>110.43047210190386</v>
      </c>
      <c r="E71" s="7">
        <f>[1]节奏总纲!Q71</f>
        <v>95.831563690032169</v>
      </c>
      <c r="F71" s="7">
        <f>[1]节奏总纲!R71</f>
        <v>78.251032531409081</v>
      </c>
      <c r="G71" s="7">
        <f>[1]节奏总纲!S71</f>
        <v>57.412802445779818</v>
      </c>
      <c r="H71" s="7">
        <f>[1]节奏总纲!T71</f>
        <v>31.859191201399263</v>
      </c>
      <c r="J71" s="7">
        <v>68</v>
      </c>
      <c r="K71" s="7">
        <f>[1]节奏总纲!W71</f>
        <v>7.4621653683057474</v>
      </c>
      <c r="L71" s="7">
        <f>[1]节奏总纲!X71</f>
        <v>6.3624019692087757</v>
      </c>
      <c r="M71" s="7">
        <f>[1]节奏总纲!Y71</f>
        <v>4.9581917984339441</v>
      </c>
      <c r="N71" s="7">
        <f>[1]节奏总纲!Z71</f>
        <v>3.7869082989219152</v>
      </c>
      <c r="O71" s="7">
        <f>[1]节奏总纲!AA71</f>
        <v>2.0601632326959702</v>
      </c>
      <c r="Q71" s="7">
        <v>68</v>
      </c>
      <c r="R71" s="7">
        <f>[1]节奏总纲!AD71</f>
        <v>61.082568038258209</v>
      </c>
      <c r="S71" s="7">
        <f>[1]节奏总纲!AE71</f>
        <v>63.107492392331935</v>
      </c>
      <c r="T71" s="7">
        <f>[1]节奏总纲!AF71</f>
        <v>65.895355939451605</v>
      </c>
      <c r="U71" s="7">
        <f>[1]节奏总纲!AG71</f>
        <v>70.442539881709536</v>
      </c>
      <c r="V71" s="7">
        <f>[1]节奏总纲!AH71</f>
        <v>78.972688783434734</v>
      </c>
      <c r="Z71" s="7">
        <v>68</v>
      </c>
      <c r="AA71" s="7">
        <f>[1]节奏总纲!AM71</f>
        <v>8256.4738250473602</v>
      </c>
      <c r="AB71" s="7">
        <f>[1]节奏总纲!AN71</f>
        <v>6605.1790600378881</v>
      </c>
      <c r="AC71" s="7">
        <f>[1]节奏总纲!AO71</f>
        <v>4953.8842950284161</v>
      </c>
      <c r="AD71" s="7">
        <f>[1]节奏总纲!AP71</f>
        <v>3302.5895300189441</v>
      </c>
      <c r="AE71" s="7">
        <f>[1]节奏总纲!AQ71</f>
        <v>1651.294765009472</v>
      </c>
      <c r="AG71" s="7">
        <v>68</v>
      </c>
      <c r="AH71" s="7">
        <f>[1]节奏总纲!AT71</f>
        <v>1122.9240137133411</v>
      </c>
      <c r="AI71" s="7">
        <f>[1]节奏总纲!AU71</f>
        <v>898.33921097067287</v>
      </c>
      <c r="AJ71" s="7">
        <f>[1]节奏总纲!AV71</f>
        <v>673.75440822800465</v>
      </c>
      <c r="AK71" s="7">
        <f>[1]节奏总纲!AW71</f>
        <v>449.16960548533643</v>
      </c>
      <c r="AL71" s="7">
        <f>[1]节奏总纲!AX71</f>
        <v>224.58480274266822</v>
      </c>
      <c r="AN71" s="7">
        <v>68</v>
      </c>
      <c r="AO71" s="7">
        <f>[1]节奏总纲!BA71</f>
        <v>35.439158851386523</v>
      </c>
      <c r="AP71" s="7">
        <f>[1]节奏总纲!BB71</f>
        <v>36.947184852926306</v>
      </c>
      <c r="AQ71" s="7">
        <f>[1]节奏总纲!BC71</f>
        <v>38.872587109658596</v>
      </c>
      <c r="AR71" s="7">
        <f>[1]节奏总纲!BD71</f>
        <v>41.590303905372799</v>
      </c>
      <c r="AS71" s="7">
        <f>[1]节奏总纲!BE71</f>
        <v>46.272410430048332</v>
      </c>
      <c r="BD71" s="7"/>
    </row>
    <row r="72" spans="2:56" x14ac:dyDescent="0.15">
      <c r="B72" s="7">
        <f>[1]节奏总纲!N72</f>
        <v>79</v>
      </c>
      <c r="C72" s="7">
        <v>69</v>
      </c>
      <c r="D72" s="7">
        <f>[1]节奏总纲!P72</f>
        <v>118.42822291671132</v>
      </c>
      <c r="E72" s="7">
        <f>[1]节奏总纲!Q72</f>
        <v>102.51146975670532</v>
      </c>
      <c r="F72" s="7">
        <f>[1]节奏总纲!R72</f>
        <v>83.894553114198303</v>
      </c>
      <c r="G72" s="7">
        <f>[1]节奏总纲!S72</f>
        <v>61.535304627523196</v>
      </c>
      <c r="H72" s="7">
        <f>[1]节奏总纲!T72</f>
        <v>34.059956910846175</v>
      </c>
      <c r="J72" s="7">
        <v>69</v>
      </c>
      <c r="K72" s="7">
        <f>[1]节奏总纲!W72</f>
        <v>7.9977508148074605</v>
      </c>
      <c r="L72" s="7">
        <f>[1]节奏总纲!X72</f>
        <v>6.6799060666731549</v>
      </c>
      <c r="M72" s="7">
        <f>[1]节奏总纲!Y72</f>
        <v>5.6435205827892219</v>
      </c>
      <c r="N72" s="7">
        <f>[1]节奏总纲!Z72</f>
        <v>4.1225021817433785</v>
      </c>
      <c r="O72" s="7">
        <f>[1]节奏总纲!AA72</f>
        <v>2.2007657094469124</v>
      </c>
      <c r="Q72" s="7">
        <v>69</v>
      </c>
      <c r="R72" s="7">
        <f>[1]节奏总纲!AD72</f>
        <v>61.285688244217212</v>
      </c>
      <c r="S72" s="7">
        <f>[1]节奏总纲!AE72</f>
        <v>63.310338531528565</v>
      </c>
      <c r="T72" s="7">
        <f>[1]节奏总纲!AF72</f>
        <v>66.106079073217742</v>
      </c>
      <c r="U72" s="7">
        <f>[1]节奏总纲!AG72</f>
        <v>70.655884085397304</v>
      </c>
      <c r="V72" s="7">
        <f>[1]节奏总纲!AH72</f>
        <v>79.188599387584361</v>
      </c>
      <c r="Z72" s="7">
        <v>69</v>
      </c>
      <c r="AA72" s="7">
        <f>[1]节奏总纲!AM72</f>
        <v>9555.6072874592737</v>
      </c>
      <c r="AB72" s="7">
        <f>[1]节奏总纲!AN72</f>
        <v>7644.4858299674197</v>
      </c>
      <c r="AC72" s="7">
        <f>[1]节奏总纲!AO72</f>
        <v>5733.3643724755639</v>
      </c>
      <c r="AD72" s="7">
        <f>[1]节奏总纲!AP72</f>
        <v>3822.2429149837099</v>
      </c>
      <c r="AE72" s="7">
        <f>[1]节奏总纲!AQ72</f>
        <v>1911.1214574918549</v>
      </c>
      <c r="AG72" s="7">
        <v>69</v>
      </c>
      <c r="AH72" s="7">
        <f>[1]节奏总纲!AT72</f>
        <v>1299.1334624119136</v>
      </c>
      <c r="AI72" s="7">
        <f>[1]节奏总纲!AU72</f>
        <v>1039.3067699295316</v>
      </c>
      <c r="AJ72" s="7">
        <f>[1]节奏总纲!AV72</f>
        <v>779.48007744714778</v>
      </c>
      <c r="AK72" s="7">
        <f>[1]节奏总纲!AW72</f>
        <v>519.65338496476579</v>
      </c>
      <c r="AL72" s="7">
        <f>[1]节奏总纲!AX72</f>
        <v>259.8266924823829</v>
      </c>
      <c r="AN72" s="7">
        <v>69</v>
      </c>
      <c r="AO72" s="7">
        <f>[1]节奏总纲!BA72</f>
        <v>35.536749707250202</v>
      </c>
      <c r="AP72" s="7">
        <f>[1]节奏总纲!BB72</f>
        <v>37.045197000674086</v>
      </c>
      <c r="AQ72" s="7">
        <f>[1]节奏总纲!BC72</f>
        <v>38.976971320055128</v>
      </c>
      <c r="AR72" s="7">
        <f>[1]节奏总纲!BD72</f>
        <v>41.690869443102159</v>
      </c>
      <c r="AS72" s="7">
        <f>[1]节奏总纲!BE72</f>
        <v>46.368730644141969</v>
      </c>
      <c r="BD72" s="7"/>
    </row>
    <row r="73" spans="2:56" x14ac:dyDescent="0.15">
      <c r="B73" s="7">
        <f>[1]节奏总纲!N73</f>
        <v>80</v>
      </c>
      <c r="C73" s="7">
        <v>70</v>
      </c>
      <c r="D73" s="7">
        <f>[1]节奏总纲!P73</f>
        <v>127</v>
      </c>
      <c r="E73" s="7">
        <f>[1]节奏总纲!Q73</f>
        <v>109.9693</v>
      </c>
      <c r="F73" s="7">
        <f>[1]节奏总纲!R73</f>
        <v>90.106499999999997</v>
      </c>
      <c r="G73" s="7">
        <f>[1]节奏总纲!S73</f>
        <v>65.925700000000006</v>
      </c>
      <c r="H73" s="7">
        <f>[1]节奏总纲!T73</f>
        <v>36.4998</v>
      </c>
      <c r="J73" s="7">
        <v>70</v>
      </c>
      <c r="K73" s="7">
        <f>[1]节奏总纲!W73</f>
        <v>8.5717770832886799</v>
      </c>
      <c r="L73" s="7">
        <f>[1]节奏总纲!X73</f>
        <v>7.4578302432946799</v>
      </c>
      <c r="M73" s="7">
        <f>[1]节奏总纲!Y73</f>
        <v>6.2119468858016944</v>
      </c>
      <c r="N73" s="7">
        <f>[1]节奏总纲!Z73</f>
        <v>4.3903953724768101</v>
      </c>
      <c r="O73" s="7">
        <f>[1]节奏总纲!AA73</f>
        <v>2.4398430891538254</v>
      </c>
      <c r="Q73" s="7">
        <v>70</v>
      </c>
      <c r="R73" s="7">
        <f>[1]节奏总纲!AD73</f>
        <v>61.488808450176215</v>
      </c>
      <c r="S73" s="7">
        <f>[1]节奏总纲!AE73</f>
        <v>63.513184670725188</v>
      </c>
      <c r="T73" s="7">
        <f>[1]节奏总纲!AF73</f>
        <v>66.314314361313961</v>
      </c>
      <c r="U73" s="7">
        <f>[1]节奏总纲!AG73</f>
        <v>70.869228289085072</v>
      </c>
      <c r="V73" s="7">
        <f>[1]节奏总纲!AH73</f>
        <v>79.403426131671111</v>
      </c>
      <c r="Z73" s="7">
        <v>70</v>
      </c>
      <c r="AA73" s="7">
        <f>[1]节奏总纲!AM73</f>
        <v>11058.525000000001</v>
      </c>
      <c r="AB73" s="7">
        <f>[1]节奏总纲!AN73</f>
        <v>8846.8200000000015</v>
      </c>
      <c r="AC73" s="7">
        <f>[1]节奏总纲!AO73</f>
        <v>6635.1150000000007</v>
      </c>
      <c r="AD73" s="7">
        <f>[1]节奏总纲!AP73</f>
        <v>4423.4100000000008</v>
      </c>
      <c r="AE73" s="7">
        <f>[1]节奏总纲!AQ73</f>
        <v>2211.7050000000004</v>
      </c>
      <c r="AG73" s="7">
        <v>70</v>
      </c>
      <c r="AH73" s="7">
        <f>[1]节奏总纲!AT73</f>
        <v>1502.9177125407277</v>
      </c>
      <c r="AI73" s="7">
        <f>[1]节奏总纲!AU73</f>
        <v>1202.3341700325818</v>
      </c>
      <c r="AJ73" s="7">
        <f>[1]节奏总纲!AV73</f>
        <v>901.75062752443682</v>
      </c>
      <c r="AK73" s="7">
        <f>[1]节奏总纲!AW73</f>
        <v>601.16708501629091</v>
      </c>
      <c r="AL73" s="7">
        <f>[1]节奏总纲!AX73</f>
        <v>300.58354250814546</v>
      </c>
      <c r="AN73" s="7">
        <v>70</v>
      </c>
      <c r="AO73" s="7">
        <f>[1]节奏总纲!BA73</f>
        <v>35.634340563113874</v>
      </c>
      <c r="AP73" s="7">
        <f>[1]节奏总纲!BB73</f>
        <v>37.135950591746003</v>
      </c>
      <c r="AQ73" s="7">
        <f>[1]节奏总纲!BC73</f>
        <v>39.070187171981765</v>
      </c>
      <c r="AR73" s="7">
        <f>[1]节奏总纲!BD73</f>
        <v>41.791434980831518</v>
      </c>
      <c r="AS73" s="7">
        <f>[1]节奏总纲!BE73</f>
        <v>46.465050858235607</v>
      </c>
      <c r="BD73" s="7"/>
    </row>
    <row r="74" spans="2:56" x14ac:dyDescent="0.15">
      <c r="B74" s="7">
        <f>[1]节奏总纲!N74</f>
        <v>81</v>
      </c>
      <c r="C74" s="7">
        <v>71</v>
      </c>
      <c r="D74" s="7">
        <f>[1]节奏总纲!P74</f>
        <v>136.18700320464549</v>
      </c>
      <c r="E74" s="7">
        <f>[1]节奏总纲!Q74</f>
        <v>118.03327567746625</v>
      </c>
      <c r="F74" s="7">
        <f>[1]节奏总纲!R74</f>
        <v>96.583822672734584</v>
      </c>
      <c r="G74" s="7">
        <f>[1]节奏总纲!S74</f>
        <v>70.612961161608681</v>
      </c>
      <c r="H74" s="7">
        <f>[1]节奏总纲!T74</f>
        <v>39.126526020694648</v>
      </c>
      <c r="J74" s="7">
        <v>71</v>
      </c>
      <c r="K74" s="7">
        <f>[1]节奏总纲!W74</f>
        <v>9.1870032046454924</v>
      </c>
      <c r="L74" s="7">
        <f>[1]节奏总纲!X74</f>
        <v>8.0639756774662459</v>
      </c>
      <c r="M74" s="7">
        <f>[1]节奏总纲!Y74</f>
        <v>6.4773226727345872</v>
      </c>
      <c r="N74" s="7">
        <f>[1]节奏总纲!Z74</f>
        <v>4.6872611616086743</v>
      </c>
      <c r="O74" s="7">
        <f>[1]节奏总纲!AA74</f>
        <v>2.6267260206946474</v>
      </c>
      <c r="Q74" s="7">
        <v>71</v>
      </c>
      <c r="R74" s="7">
        <f>[1]节奏总纲!AD74</f>
        <v>61.691928656135218</v>
      </c>
      <c r="S74" s="7">
        <f>[1]节奏总纲!AE74</f>
        <v>63.716030809921811</v>
      </c>
      <c r="T74" s="7">
        <f>[1]节奏总纲!AF74</f>
        <v>66.52254964941018</v>
      </c>
      <c r="U74" s="7">
        <f>[1]节奏总纲!AG74</f>
        <v>71.07781362467729</v>
      </c>
      <c r="V74" s="7">
        <f>[1]节奏总纲!AH74</f>
        <v>79.618252875757847</v>
      </c>
      <c r="Z74" s="7">
        <v>71</v>
      </c>
      <c r="AA74" s="7">
        <f>[1]节奏总纲!AM74</f>
        <v>12797.106216824561</v>
      </c>
      <c r="AB74" s="7">
        <f>[1]节奏总纲!AN74</f>
        <v>10237.684973459649</v>
      </c>
      <c r="AC74" s="7">
        <f>[1]节奏总纲!AO74</f>
        <v>7678.2637300947363</v>
      </c>
      <c r="AD74" s="7">
        <f>[1]节奏总纲!AP74</f>
        <v>5118.8424867298245</v>
      </c>
      <c r="AE74" s="7">
        <f>[1]节奏总纲!AQ74</f>
        <v>2559.4212433649122</v>
      </c>
      <c r="AG74" s="7">
        <v>71</v>
      </c>
      <c r="AH74" s="7">
        <f>[1]节奏总纲!AT74</f>
        <v>1738.5812168245593</v>
      </c>
      <c r="AI74" s="7">
        <f>[1]节奏总纲!AU74</f>
        <v>1390.8649734596474</v>
      </c>
      <c r="AJ74" s="7">
        <f>[1]节奏总纲!AV74</f>
        <v>1043.1487300947356</v>
      </c>
      <c r="AK74" s="7">
        <f>[1]节奏总纲!AW74</f>
        <v>695.43248672982372</v>
      </c>
      <c r="AL74" s="7">
        <f>[1]节奏总纲!AX74</f>
        <v>347.71624336491186</v>
      </c>
      <c r="AN74" s="7">
        <v>71</v>
      </c>
      <c r="AO74" s="7">
        <f>[1]节奏总纲!BA74</f>
        <v>35.731931418977545</v>
      </c>
      <c r="AP74" s="7">
        <f>[1]节奏总纲!BB74</f>
        <v>37.226704182817912</v>
      </c>
      <c r="AQ74" s="7">
        <f>[1]节奏总纲!BC74</f>
        <v>39.160241683169971</v>
      </c>
      <c r="AR74" s="7">
        <f>[1]节奏总纲!BD74</f>
        <v>41.892000518560877</v>
      </c>
      <c r="AS74" s="7">
        <f>[1]节奏总纲!BE74</f>
        <v>46.561371072329244</v>
      </c>
      <c r="BD74" s="7"/>
    </row>
    <row r="75" spans="2:56" x14ac:dyDescent="0.15">
      <c r="B75" s="7">
        <f>[1]节奏总纲!N75</f>
        <v>82</v>
      </c>
      <c r="C75" s="7">
        <v>72</v>
      </c>
      <c r="D75" s="7">
        <f>[1]节奏总纲!P75</f>
        <v>146.03338943962044</v>
      </c>
      <c r="E75" s="7">
        <f>[1]节奏总纲!Q75</f>
        <v>126.581741966263</v>
      </c>
      <c r="F75" s="7">
        <f>[1]节奏总纲!R75</f>
        <v>103.31862302853146</v>
      </c>
      <c r="G75" s="7">
        <f>[1]节奏总纲!S75</f>
        <v>75.586882373947532</v>
      </c>
      <c r="H75" s="7">
        <f>[1]节奏总纲!T75</f>
        <v>41.896979430227098</v>
      </c>
      <c r="J75" s="7">
        <v>72</v>
      </c>
      <c r="K75" s="7">
        <f>[1]节奏总纲!W75</f>
        <v>9.8463862349749434</v>
      </c>
      <c r="L75" s="7">
        <f>[1]节奏总纲!X75</f>
        <v>8.548466288796746</v>
      </c>
      <c r="M75" s="7">
        <f>[1]节奏总纲!Y75</f>
        <v>6.7348003557968781</v>
      </c>
      <c r="N75" s="7">
        <f>[1]节奏总纲!Z75</f>
        <v>4.9739212123388512</v>
      </c>
      <c r="O75" s="7">
        <f>[1]节奏总纲!AA75</f>
        <v>2.7704534095324505</v>
      </c>
      <c r="Q75" s="7">
        <v>72</v>
      </c>
      <c r="R75" s="7">
        <f>[1]节奏总纲!AD75</f>
        <v>61.895048862094221</v>
      </c>
      <c r="S75" s="7">
        <f>[1]节奏总纲!AE75</f>
        <v>63.918876949118435</v>
      </c>
      <c r="T75" s="7">
        <f>[1]节奏总纲!AF75</f>
        <v>66.7307849375064</v>
      </c>
      <c r="U75" s="7">
        <f>[1]节奏总纲!AG75</f>
        <v>71.278862245535876</v>
      </c>
      <c r="V75" s="7">
        <f>[1]节奏总纲!AH75</f>
        <v>79.833079619844597</v>
      </c>
      <c r="Z75" s="7">
        <v>72</v>
      </c>
      <c r="AA75" s="7">
        <f>[1]节奏总纲!AM75</f>
        <v>14808.205062920617</v>
      </c>
      <c r="AB75" s="7">
        <f>[1]节奏总纲!AN75</f>
        <v>11846.564050336494</v>
      </c>
      <c r="AC75" s="7">
        <f>[1]节奏总纲!AO75</f>
        <v>8884.9230377523691</v>
      </c>
      <c r="AD75" s="7">
        <f>[1]节奏总纲!AP75</f>
        <v>5923.2820251682469</v>
      </c>
      <c r="AE75" s="7">
        <f>[1]节奏总纲!AQ75</f>
        <v>2961.6410125841235</v>
      </c>
      <c r="AG75" s="7">
        <v>72</v>
      </c>
      <c r="AH75" s="7">
        <f>[1]节奏总纲!AT75</f>
        <v>2011.0988460960561</v>
      </c>
      <c r="AI75" s="7">
        <f>[1]节奏总纲!AU75</f>
        <v>1608.8790768768449</v>
      </c>
      <c r="AJ75" s="7">
        <f>[1]节奏总纲!AV75</f>
        <v>1206.6593076576328</v>
      </c>
      <c r="AK75" s="7">
        <f>[1]节奏总纲!AW75</f>
        <v>804.43953843842246</v>
      </c>
      <c r="AL75" s="7">
        <f>[1]节奏总纲!AX75</f>
        <v>402.21976921921123</v>
      </c>
      <c r="AN75" s="7">
        <v>72</v>
      </c>
      <c r="AO75" s="7">
        <f>[1]节奏总纲!BA75</f>
        <v>35.829522274841217</v>
      </c>
      <c r="AP75" s="7">
        <f>[1]节奏总纲!BB75</f>
        <v>37.317457773889828</v>
      </c>
      <c r="AQ75" s="7">
        <f>[1]节奏总纲!BC75</f>
        <v>39.250296194358178</v>
      </c>
      <c r="AR75" s="7">
        <f>[1]节奏总纲!BD75</f>
        <v>41.992566056290244</v>
      </c>
      <c r="AS75" s="7">
        <f>[1]节奏总纲!BE75</f>
        <v>46.657691286422882</v>
      </c>
      <c r="BD75" s="7"/>
    </row>
    <row r="76" spans="2:56" x14ac:dyDescent="0.15">
      <c r="B76" s="7">
        <f>[1]节奏总纲!N76</f>
        <v>83</v>
      </c>
      <c r="C76" s="7">
        <v>73</v>
      </c>
      <c r="D76" s="7">
        <f>[1]节奏总纲!P76</f>
        <v>156.58648490814926</v>
      </c>
      <c r="E76" s="7">
        <f>[1]节奏总纲!Q76</f>
        <v>135.41599214856748</v>
      </c>
      <c r="F76" s="7">
        <f>[1]节奏总纲!R76</f>
        <v>110.58137564213501</v>
      </c>
      <c r="G76" s="7">
        <f>[1]节奏总纲!S76</f>
        <v>80.955212697513176</v>
      </c>
      <c r="H76" s="7">
        <f>[1]节奏总纲!T76</f>
        <v>44.877686574675579</v>
      </c>
      <c r="J76" s="7">
        <v>73</v>
      </c>
      <c r="K76" s="7">
        <f>[1]节奏总纲!W76</f>
        <v>10.553095468528824</v>
      </c>
      <c r="L76" s="7">
        <f>[1]节奏总纲!X76</f>
        <v>8.834250182304487</v>
      </c>
      <c r="M76" s="7">
        <f>[1]节奏总纲!Y76</f>
        <v>7.2627526136035527</v>
      </c>
      <c r="N76" s="7">
        <f>[1]节奏总纲!Z76</f>
        <v>5.3683303235656439</v>
      </c>
      <c r="O76" s="7">
        <f>[1]节奏总纲!AA76</f>
        <v>2.9807071444484805</v>
      </c>
      <c r="Q76" s="7">
        <v>73</v>
      </c>
      <c r="R76" s="7">
        <f>[1]节奏总纲!AD76</f>
        <v>62.091594979242075</v>
      </c>
      <c r="S76" s="7">
        <f>[1]节奏总纲!AE76</f>
        <v>64.114306430026588</v>
      </c>
      <c r="T76" s="7">
        <f>[1]节奏总纲!AF76</f>
        <v>66.939020225602619</v>
      </c>
      <c r="U76" s="7">
        <f>[1]节奏总纲!AG76</f>
        <v>71.479910866394462</v>
      </c>
      <c r="V76" s="7">
        <f>[1]节奏总纲!AH76</f>
        <v>80.043898354812981</v>
      </c>
      <c r="Z76" s="7">
        <v>73</v>
      </c>
      <c r="AA76" s="7">
        <f>[1]节奏总纲!AM76</f>
        <v>17134.425155737379</v>
      </c>
      <c r="AB76" s="7">
        <f>[1]节奏总纲!AN76</f>
        <v>13707.540124589905</v>
      </c>
      <c r="AC76" s="7">
        <f>[1]节奏总纲!AO76</f>
        <v>10280.655093442427</v>
      </c>
      <c r="AD76" s="7">
        <f>[1]节奏总纲!AP76</f>
        <v>6853.7700622949524</v>
      </c>
      <c r="AE76" s="7">
        <f>[1]节奏总纲!AQ76</f>
        <v>3426.8850311474762</v>
      </c>
      <c r="AG76" s="7">
        <v>73</v>
      </c>
      <c r="AH76" s="7">
        <f>[1]节奏总纲!AT76</f>
        <v>2326.2200928167622</v>
      </c>
      <c r="AI76" s="7">
        <f>[1]节奏总纲!AU76</f>
        <v>1860.9760742534108</v>
      </c>
      <c r="AJ76" s="7">
        <f>[1]节奏总纲!AV76</f>
        <v>1395.7320556900577</v>
      </c>
      <c r="AK76" s="7">
        <f>[1]节奏总纲!AW76</f>
        <v>930.48803712670542</v>
      </c>
      <c r="AL76" s="7">
        <f>[1]节奏总纲!AX76</f>
        <v>465.24401856335271</v>
      </c>
      <c r="AN76" s="7">
        <v>73</v>
      </c>
      <c r="AO76" s="7">
        <f>[1]节奏总纲!BA76</f>
        <v>35.927113130704889</v>
      </c>
      <c r="AP76" s="7">
        <f>[1]节奏总纲!BB76</f>
        <v>37.408211364961737</v>
      </c>
      <c r="AQ76" s="7">
        <f>[1]节奏总纲!BC76</f>
        <v>39.340350705546385</v>
      </c>
      <c r="AR76" s="7">
        <f>[1]节奏总纲!BD76</f>
        <v>42.080366850119908</v>
      </c>
      <c r="AS76" s="7">
        <f>[1]节奏总纲!BE76</f>
        <v>46.754011500516519</v>
      </c>
      <c r="BD76" s="7"/>
    </row>
    <row r="77" spans="2:56" x14ac:dyDescent="0.15">
      <c r="B77" s="7">
        <f>[1]节奏总纲!N77</f>
        <v>84</v>
      </c>
      <c r="C77" s="7">
        <v>74</v>
      </c>
      <c r="D77" s="7">
        <f>[1]节奏总纲!P77</f>
        <v>167.89701257893043</v>
      </c>
      <c r="E77" s="7">
        <f>[1]节奏总纲!Q77</f>
        <v>145.16375707574326</v>
      </c>
      <c r="F77" s="7">
        <f>[1]节奏总纲!R77</f>
        <v>118.70318789330381</v>
      </c>
      <c r="G77" s="7">
        <f>[1]节奏总纲!S77</f>
        <v>86.869914308338593</v>
      </c>
      <c r="H77" s="7">
        <f>[1]节奏总纲!T77</f>
        <v>48.169652908895138</v>
      </c>
      <c r="J77" s="7">
        <v>74</v>
      </c>
      <c r="K77" s="7">
        <f>[1]节奏总纲!W77</f>
        <v>11.31052767078117</v>
      </c>
      <c r="L77" s="7">
        <f>[1]节奏总纲!X77</f>
        <v>9.7477649271757798</v>
      </c>
      <c r="M77" s="7">
        <f>[1]节奏总纲!Y77</f>
        <v>8.1218122511687909</v>
      </c>
      <c r="N77" s="7">
        <f>[1]节奏总纲!Z77</f>
        <v>5.9147016108254178</v>
      </c>
      <c r="O77" s="7">
        <f>[1]节奏总纲!AA77</f>
        <v>3.2919663342195591</v>
      </c>
      <c r="Q77" s="7">
        <v>74</v>
      </c>
      <c r="R77" s="7">
        <f>[1]节奏总纲!AD77</f>
        <v>62.281112832649576</v>
      </c>
      <c r="S77" s="7">
        <f>[1]节奏总纲!AE77</f>
        <v>64.304793036447776</v>
      </c>
      <c r="T77" s="7">
        <f>[1]节奏总纲!AF77</f>
        <v>67.14262442756818</v>
      </c>
      <c r="U77" s="7">
        <f>[1]节奏总纲!AG77</f>
        <v>71.680959487253048</v>
      </c>
      <c r="V77" s="7">
        <f>[1]节奏总纲!AH77</f>
        <v>80.24075196383977</v>
      </c>
      <c r="Z77" s="7">
        <v>74</v>
      </c>
      <c r="AA77" s="7">
        <f>[1]节奏总纲!AM77</f>
        <v>19825.014596370729</v>
      </c>
      <c r="AB77" s="7">
        <f>[1]节奏总纲!AN77</f>
        <v>15860.011677096583</v>
      </c>
      <c r="AC77" s="7">
        <f>[1]节奏总纲!AO77</f>
        <v>11895.008757822437</v>
      </c>
      <c r="AD77" s="7">
        <f>[1]节奏总纲!AP77</f>
        <v>7930.0058385482916</v>
      </c>
      <c r="AE77" s="7">
        <f>[1]节奏总纲!AQ77</f>
        <v>3965.0029192741458</v>
      </c>
      <c r="AG77" s="7">
        <v>74</v>
      </c>
      <c r="AH77" s="7">
        <f>[1]节奏总纲!AT77</f>
        <v>2690.58944063335</v>
      </c>
      <c r="AI77" s="7">
        <f>[1]节奏总纲!AU77</f>
        <v>2152.4715525066786</v>
      </c>
      <c r="AJ77" s="7">
        <f>[1]节奏总纲!AV77</f>
        <v>1614.3536643800107</v>
      </c>
      <c r="AK77" s="7">
        <f>[1]节奏总纲!AW77</f>
        <v>1076.2357762533393</v>
      </c>
      <c r="AL77" s="7">
        <f>[1]节奏总纲!AX77</f>
        <v>538.11788812666964</v>
      </c>
      <c r="AN77" s="7">
        <v>74</v>
      </c>
      <c r="AO77" s="7">
        <f>[1]节奏总纲!BA77</f>
        <v>36.021306837933537</v>
      </c>
      <c r="AP77" s="7">
        <f>[1]节奏总纲!BB77</f>
        <v>37.498964956033646</v>
      </c>
      <c r="AQ77" s="7">
        <f>[1]节奏总纲!BC77</f>
        <v>39.430405216734592</v>
      </c>
      <c r="AR77" s="7">
        <f>[1]节奏总纲!BD77</f>
        <v>42.167148737437564</v>
      </c>
      <c r="AS77" s="7">
        <f>[1]节奏总纲!BE77</f>
        <v>46.850331714610157</v>
      </c>
      <c r="BD77" s="7"/>
    </row>
    <row r="78" spans="2:56" x14ac:dyDescent="0.15">
      <c r="B78" s="7">
        <f>[1]节奏总纲!N78</f>
        <v>85</v>
      </c>
      <c r="C78" s="7">
        <v>75</v>
      </c>
      <c r="D78" s="7">
        <f>[1]节奏总纲!P78</f>
        <v>180.01933598375612</v>
      </c>
      <c r="E78" s="7">
        <f>[1]节奏总纲!Q78</f>
        <v>155.75272949314578</v>
      </c>
      <c r="F78" s="7">
        <f>[1]节奏总纲!R78</f>
        <v>127.38168214210583</v>
      </c>
      <c r="G78" s="7">
        <f>[1]节奏总纲!S78</f>
        <v>93.214012172388934</v>
      </c>
      <c r="H78" s="7">
        <f>[1]节奏总纲!T78</f>
        <v>51.755559095329879</v>
      </c>
      <c r="J78" s="7">
        <v>75</v>
      </c>
      <c r="K78" s="7">
        <f>[1]节奏总纲!W78</f>
        <v>12.122323404825693</v>
      </c>
      <c r="L78" s="7">
        <f>[1]节奏总纲!X78</f>
        <v>10.588972417402516</v>
      </c>
      <c r="M78" s="7">
        <f>[1]节奏总纲!Y78</f>
        <v>8.6784942488020249</v>
      </c>
      <c r="N78" s="7">
        <f>[1]节奏总纲!Z78</f>
        <v>6.3440978640503403</v>
      </c>
      <c r="O78" s="7">
        <f>[1]节奏总纲!AA78</f>
        <v>3.585906186434741</v>
      </c>
      <c r="Q78" s="7">
        <v>75</v>
      </c>
      <c r="R78" s="7">
        <f>[1]节奏总纲!AD78</f>
        <v>62.470630686057078</v>
      </c>
      <c r="S78" s="7">
        <f>[1]节奏总纲!AE78</f>
        <v>64.495279642868965</v>
      </c>
      <c r="T78" s="7">
        <f>[1]节奏总纲!AF78</f>
        <v>67.344310856946692</v>
      </c>
      <c r="U78" s="7">
        <f>[1]节奏总纲!AG78</f>
        <v>71.882008108111634</v>
      </c>
      <c r="V78" s="7">
        <f>[1]节奏总纲!AH78</f>
        <v>80.437605572866573</v>
      </c>
      <c r="Z78" s="7">
        <v>75</v>
      </c>
      <c r="AA78" s="7">
        <f>[1]节奏总纲!AM78</f>
        <v>22936.899999999998</v>
      </c>
      <c r="AB78" s="7">
        <f>[1]节奏总纲!AN78</f>
        <v>18349.52</v>
      </c>
      <c r="AC78" s="7">
        <f>[1]节奏总纲!AO78</f>
        <v>13762.139999999998</v>
      </c>
      <c r="AD78" s="7">
        <f>[1]节奏总纲!AP78</f>
        <v>9174.76</v>
      </c>
      <c r="AE78" s="7">
        <f>[1]节奏总纲!AQ78</f>
        <v>4587.38</v>
      </c>
      <c r="AG78" s="7">
        <v>75</v>
      </c>
      <c r="AH78" s="7">
        <f>[1]节奏总纲!AT78</f>
        <v>3111.8854036292687</v>
      </c>
      <c r="AI78" s="7">
        <f>[1]节奏总纲!AU78</f>
        <v>2489.5083229034171</v>
      </c>
      <c r="AJ78" s="7">
        <f>[1]节奏总纲!AV78</f>
        <v>1867.1312421775601</v>
      </c>
      <c r="AK78" s="7">
        <f>[1]节奏总纲!AW78</f>
        <v>1244.7541614517086</v>
      </c>
      <c r="AL78" s="7">
        <f>[1]节奏总纲!AX78</f>
        <v>622.37708072585428</v>
      </c>
      <c r="AN78" s="7">
        <v>75</v>
      </c>
      <c r="AO78" s="7">
        <f>[1]节奏总纲!BA78</f>
        <v>36.105477566569242</v>
      </c>
      <c r="AP78" s="7">
        <f>[1]节奏总纲!BB78</f>
        <v>37.589718547105562</v>
      </c>
      <c r="AQ78" s="7">
        <f>[1]节奏总纲!BC78</f>
        <v>39.520459727922798</v>
      </c>
      <c r="AR78" s="7">
        <f>[1]节奏总纲!BD78</f>
        <v>42.253930624755228</v>
      </c>
      <c r="AS78" s="7">
        <f>[1]节奏总纲!BE78</f>
        <v>46.946651928703787</v>
      </c>
      <c r="BD78" s="7"/>
    </row>
    <row r="79" spans="2:56" x14ac:dyDescent="0.15">
      <c r="B79" s="7">
        <f>[1]节奏总纲!N79</f>
        <v>86</v>
      </c>
      <c r="C79" s="7">
        <v>76</v>
      </c>
      <c r="D79" s="7">
        <f>[1]节奏总纲!P79</f>
        <v>193.01172051333091</v>
      </c>
      <c r="E79" s="7">
        <f>[1]节奏总纲!Q79</f>
        <v>166.97443941608256</v>
      </c>
      <c r="F79" s="7">
        <f>[1]节奏总纲!R79</f>
        <v>136.51718991907896</v>
      </c>
      <c r="G79" s="7">
        <f>[1]节奏总纲!S79</f>
        <v>100.0379747420594</v>
      </c>
      <c r="H79" s="7">
        <f>[1]节奏总纲!T79</f>
        <v>55.664580196044632</v>
      </c>
      <c r="J79" s="7">
        <v>76</v>
      </c>
      <c r="K79" s="7">
        <f>[1]节奏总纲!W79</f>
        <v>12.992384529574792</v>
      </c>
      <c r="L79" s="7">
        <f>[1]节奏总纲!X79</f>
        <v>11.221709922936782</v>
      </c>
      <c r="M79" s="7">
        <f>[1]节奏总纲!Y79</f>
        <v>9.1355077769731281</v>
      </c>
      <c r="N79" s="7">
        <f>[1]节奏总纲!Z79</f>
        <v>6.8239625696704707</v>
      </c>
      <c r="O79" s="7">
        <f>[1]节奏总纲!AA79</f>
        <v>3.9090211007147531</v>
      </c>
      <c r="Q79" s="7">
        <v>76</v>
      </c>
      <c r="R79" s="7">
        <f>[1]节奏总纲!AD79</f>
        <v>62.660148539464579</v>
      </c>
      <c r="S79" s="7">
        <f>[1]节奏总纲!AE79</f>
        <v>64.685766249290154</v>
      </c>
      <c r="T79" s="7">
        <f>[1]节奏总纲!AF79</f>
        <v>67.545997286325218</v>
      </c>
      <c r="U79" s="7">
        <f>[1]节奏总纲!AG79</f>
        <v>72.076954583856178</v>
      </c>
      <c r="V79" s="7">
        <f>[1]节奏总纲!AH79</f>
        <v>80.634459181893376</v>
      </c>
      <c r="Z79" s="7">
        <v>76</v>
      </c>
      <c r="AA79" s="7">
        <f>[1]节奏总纲!AM79</f>
        <v>26535.88112606269</v>
      </c>
      <c r="AB79" s="7">
        <f>[1]节奏总纲!AN79</f>
        <v>21228.704900850153</v>
      </c>
      <c r="AC79" s="7">
        <f>[1]节奏总纲!AO79</f>
        <v>15921.528675637614</v>
      </c>
      <c r="AD79" s="7">
        <f>[1]节奏总纲!AP79</f>
        <v>10614.352450425076</v>
      </c>
      <c r="AE79" s="7">
        <f>[1]节奏总纲!AQ79</f>
        <v>5307.1762252125382</v>
      </c>
      <c r="AG79" s="7">
        <v>76</v>
      </c>
      <c r="AH79" s="7">
        <f>[1]节奏总纲!AT79</f>
        <v>3598.9811260626921</v>
      </c>
      <c r="AI79" s="7">
        <f>[1]节奏总纲!AU79</f>
        <v>2879.1849008501522</v>
      </c>
      <c r="AJ79" s="7">
        <f>[1]节奏总纲!AV79</f>
        <v>2159.388675637616</v>
      </c>
      <c r="AK79" s="7">
        <f>[1]节奏总纲!AW79</f>
        <v>1439.5924504250761</v>
      </c>
      <c r="AL79" s="7">
        <f>[1]节奏总纲!AX79</f>
        <v>719.79622521253805</v>
      </c>
      <c r="AN79" s="7">
        <v>76</v>
      </c>
      <c r="AO79" s="7">
        <f>[1]节奏总纲!BA79</f>
        <v>36.189648295204947</v>
      </c>
      <c r="AP79" s="7">
        <f>[1]节奏总纲!BB79</f>
        <v>37.680472138177471</v>
      </c>
      <c r="AQ79" s="7">
        <f>[1]节奏总纲!BC79</f>
        <v>39.610514239111005</v>
      </c>
      <c r="AR79" s="7">
        <f>[1]节奏总纲!BD79</f>
        <v>42.340712512072891</v>
      </c>
      <c r="AS79" s="7">
        <f>[1]节奏总纲!BE79</f>
        <v>47.037096473408994</v>
      </c>
      <c r="BD79" s="7"/>
    </row>
    <row r="80" spans="2:56" x14ac:dyDescent="0.15">
      <c r="B80" s="7">
        <f>[1]节奏总纲!N80</f>
        <v>87</v>
      </c>
      <c r="C80" s="7">
        <v>77</v>
      </c>
      <c r="D80" s="7">
        <f>[1]节奏总纲!P80</f>
        <v>206.93661346719625</v>
      </c>
      <c r="E80" s="7">
        <f>[1]节奏总纲!Q80</f>
        <v>179.12433261720508</v>
      </c>
      <c r="F80" s="7">
        <f>[1]节奏总纲!R80</f>
        <v>146.53181599612165</v>
      </c>
      <c r="G80" s="7">
        <f>[1]节奏总纲!S80</f>
        <v>107.42079605082158</v>
      </c>
      <c r="H80" s="7">
        <f>[1]节奏总纲!T80</f>
        <v>59.535663694512365</v>
      </c>
      <c r="J80" s="7">
        <v>77</v>
      </c>
      <c r="K80" s="7">
        <f>[1]节奏总纲!W80</f>
        <v>13.924892953865339</v>
      </c>
      <c r="L80" s="7">
        <f>[1]节奏总纲!X80</f>
        <v>12.149893201122524</v>
      </c>
      <c r="M80" s="7">
        <f>[1]节奏总纲!Y80</f>
        <v>10.014626077042692</v>
      </c>
      <c r="N80" s="7">
        <f>[1]节奏总纲!Z80</f>
        <v>7.3828213087621748</v>
      </c>
      <c r="O80" s="7">
        <f>[1]节奏总纲!AA80</f>
        <v>3.8710834984677334</v>
      </c>
      <c r="Q80" s="7">
        <v>77</v>
      </c>
      <c r="R80" s="7">
        <f>[1]节奏总纲!AD80</f>
        <v>62.849666392872081</v>
      </c>
      <c r="S80" s="7">
        <f>[1]节奏总纲!AE80</f>
        <v>64.876252855711357</v>
      </c>
      <c r="T80" s="7">
        <f>[1]节奏总纲!AF80</f>
        <v>67.747683715703729</v>
      </c>
      <c r="U80" s="7">
        <f>[1]节奏总纲!AG80</f>
        <v>72.263232241847945</v>
      </c>
      <c r="V80" s="7">
        <f>[1]节奏总纲!AH80</f>
        <v>80.83131279092018</v>
      </c>
      <c r="Z80" s="7">
        <v>77</v>
      </c>
      <c r="AA80" s="7">
        <f>[1]节奏总纲!AM80</f>
        <v>30698.011006346387</v>
      </c>
      <c r="AB80" s="7">
        <f>[1]节奏总纲!AN80</f>
        <v>24558.40880507711</v>
      </c>
      <c r="AC80" s="7">
        <f>[1]节奏总纲!AO80</f>
        <v>18418.806603807832</v>
      </c>
      <c r="AD80" s="7">
        <f>[1]节奏总纲!AP80</f>
        <v>12279.204402538555</v>
      </c>
      <c r="AE80" s="7">
        <f>[1]节奏总纲!AQ80</f>
        <v>6139.6022012692774</v>
      </c>
      <c r="AG80" s="7">
        <v>77</v>
      </c>
      <c r="AH80" s="7">
        <f>[1]节奏总纲!AT80</f>
        <v>4162.1298802836973</v>
      </c>
      <c r="AI80" s="7">
        <f>[1]节奏总纲!AU80</f>
        <v>3329.7039042269571</v>
      </c>
      <c r="AJ80" s="7">
        <f>[1]节奏总纲!AV80</f>
        <v>2497.2779281702187</v>
      </c>
      <c r="AK80" s="7">
        <f>[1]节奏总纲!AW80</f>
        <v>1664.8519521134785</v>
      </c>
      <c r="AL80" s="7">
        <f>[1]节奏总纲!AX80</f>
        <v>832.42597605673927</v>
      </c>
      <c r="AN80" s="7">
        <v>77</v>
      </c>
      <c r="AO80" s="7">
        <f>[1]节奏总纲!BA80</f>
        <v>36.273819023840659</v>
      </c>
      <c r="AP80" s="7">
        <f>[1]节奏总纲!BB80</f>
        <v>37.771225729249387</v>
      </c>
      <c r="AQ80" s="7">
        <f>[1]节奏总纲!BC80</f>
        <v>39.700568750299212</v>
      </c>
      <c r="AR80" s="7">
        <f>[1]节奏总纲!BD80</f>
        <v>42.427494399390554</v>
      </c>
      <c r="AS80" s="7">
        <f>[1]节奏总纲!BE80</f>
        <v>47.12024662670057</v>
      </c>
      <c r="BD80" s="7"/>
    </row>
    <row r="81" spans="2:56" x14ac:dyDescent="0.15">
      <c r="B81" s="7">
        <f>[1]节奏总纲!N81</f>
        <v>88</v>
      </c>
      <c r="C81" s="7">
        <v>78</v>
      </c>
      <c r="D81" s="7">
        <f>[1]节奏总纲!P81</f>
        <v>221.86094420380775</v>
      </c>
      <c r="E81" s="7">
        <f>[1]节奏总纲!Q81</f>
        <v>192.04283330281601</v>
      </c>
      <c r="F81" s="7">
        <f>[1]节奏总纲!R81</f>
        <v>157.23285115723854</v>
      </c>
      <c r="G81" s="7">
        <f>[1]节奏总纲!S81</f>
        <v>115.1680161361966</v>
      </c>
      <c r="H81" s="7">
        <f>[1]节奏总纲!T81</f>
        <v>63.651904892072437</v>
      </c>
      <c r="J81" s="7">
        <v>78</v>
      </c>
      <c r="K81" s="7">
        <f>[1]节奏总纲!W81</f>
        <v>14.924330736611495</v>
      </c>
      <c r="L81" s="7">
        <f>[1]节奏总纲!X81</f>
        <v>12.918500685610923</v>
      </c>
      <c r="M81" s="7">
        <f>[1]节奏总纲!Y81</f>
        <v>10.701035161116891</v>
      </c>
      <c r="N81" s="7">
        <f>[1]节奏总纲!Z81</f>
        <v>7.7472200853750195</v>
      </c>
      <c r="O81" s="7">
        <f>[1]节奏总纲!AA81</f>
        <v>4.1162411975600719</v>
      </c>
      <c r="Q81" s="7">
        <v>78</v>
      </c>
      <c r="R81" s="7">
        <f>[1]节奏总纲!AD81</f>
        <v>63.036560194527354</v>
      </c>
      <c r="S81" s="7">
        <f>[1]节奏总纲!AE81</f>
        <v>65.061438622789353</v>
      </c>
      <c r="T81" s="7">
        <f>[1]节奏总纲!AF81</f>
        <v>67.949370145082256</v>
      </c>
      <c r="U81" s="7">
        <f>[1]节奏总纲!AG81</f>
        <v>72.449509899839711</v>
      </c>
      <c r="V81" s="7">
        <f>[1]节奏总纲!AH81</f>
        <v>81.026624803116562</v>
      </c>
      <c r="Z81" s="7">
        <v>78</v>
      </c>
      <c r="AA81" s="7">
        <f>[1]节奏总纲!AM81</f>
        <v>35511.190322760085</v>
      </c>
      <c r="AB81" s="7">
        <f>[1]节奏总纲!AN81</f>
        <v>28408.952258208068</v>
      </c>
      <c r="AC81" s="7">
        <f>[1]节奏总纲!AO81</f>
        <v>21306.714193656051</v>
      </c>
      <c r="AD81" s="7">
        <f>[1]节奏总纲!AP81</f>
        <v>14204.476129104034</v>
      </c>
      <c r="AE81" s="7">
        <f>[1]节奏总纲!AQ81</f>
        <v>7102.238064552017</v>
      </c>
      <c r="AG81" s="7">
        <v>78</v>
      </c>
      <c r="AH81" s="7">
        <f>[1]节奏总纲!AT81</f>
        <v>4813.179316413698</v>
      </c>
      <c r="AI81" s="7">
        <f>[1]节奏总纲!AU81</f>
        <v>3850.5434531309584</v>
      </c>
      <c r="AJ81" s="7">
        <f>[1]节奏总纲!AV81</f>
        <v>2887.9075898482188</v>
      </c>
      <c r="AK81" s="7">
        <f>[1]节奏总纲!AW81</f>
        <v>1925.2717265654792</v>
      </c>
      <c r="AL81" s="7">
        <f>[1]节奏总纲!AX81</f>
        <v>962.63586328273959</v>
      </c>
      <c r="AN81" s="7">
        <v>78</v>
      </c>
      <c r="AO81" s="7">
        <f>[1]节奏总纲!BA81</f>
        <v>36.357989752476364</v>
      </c>
      <c r="AP81" s="7">
        <f>[1]节奏总纲!BB81</f>
        <v>37.861979320321296</v>
      </c>
      <c r="AQ81" s="7">
        <f>[1]节奏总纲!BC81</f>
        <v>39.790623261487418</v>
      </c>
      <c r="AR81" s="7">
        <f>[1]节奏总纲!BD81</f>
        <v>42.51427628670821</v>
      </c>
      <c r="AS81" s="7">
        <f>[1]节奏总纲!BE81</f>
        <v>47.203396779992147</v>
      </c>
      <c r="BD81" s="7"/>
    </row>
    <row r="82" spans="2:56" x14ac:dyDescent="0.15">
      <c r="B82" s="7">
        <f>[1]节奏总纲!N82</f>
        <v>89</v>
      </c>
      <c r="C82" s="7">
        <v>79</v>
      </c>
      <c r="D82" s="7">
        <f>[1]节奏总纲!P82</f>
        <v>237.85644583342264</v>
      </c>
      <c r="E82" s="7">
        <f>[1]节奏总纲!Q82</f>
        <v>206.07882467007735</v>
      </c>
      <c r="F82" s="7">
        <f>[1]节奏总纲!R82</f>
        <v>168.73536267423003</v>
      </c>
      <c r="G82" s="7">
        <f>[1]节奏总纲!S82</f>
        <v>123.11449636337954</v>
      </c>
      <c r="H82" s="7">
        <f>[1]节奏总纲!T82</f>
        <v>68.122086086692235</v>
      </c>
      <c r="J82" s="7">
        <v>79</v>
      </c>
      <c r="K82" s="7">
        <f>[1]节奏总纲!W82</f>
        <v>15.995501629614893</v>
      </c>
      <c r="L82" s="7">
        <f>[1]节奏总纲!X82</f>
        <v>14.035991367261346</v>
      </c>
      <c r="M82" s="7">
        <f>[1]节奏总纲!Y82</f>
        <v>11.50251151699149</v>
      </c>
      <c r="N82" s="7">
        <f>[1]节奏总纲!Z82</f>
        <v>7.9464802271829456</v>
      </c>
      <c r="O82" s="7">
        <f>[1]节奏总纲!AA82</f>
        <v>4.4701811946197978</v>
      </c>
      <c r="Q82" s="7">
        <v>79</v>
      </c>
      <c r="R82" s="7">
        <f>[1]节奏总纲!AD82</f>
        <v>63.213386604241791</v>
      </c>
      <c r="S82" s="7">
        <f>[1]节奏总纲!AE82</f>
        <v>65.23679566619937</v>
      </c>
      <c r="T82" s="7">
        <f>[1]节奏总纲!AF82</f>
        <v>68.132712808893615</v>
      </c>
      <c r="U82" s="7">
        <f>[1]节奏总纲!AG82</f>
        <v>72.635787557831478</v>
      </c>
      <c r="V82" s="7">
        <f>[1]节奏总纲!AH82</f>
        <v>81.212704266341873</v>
      </c>
      <c r="Z82" s="7">
        <v>79</v>
      </c>
      <c r="AA82" s="7">
        <f>[1]节奏总纲!AM82</f>
        <v>41077.009235645834</v>
      </c>
      <c r="AB82" s="7">
        <f>[1]节奏总纲!AN82</f>
        <v>32861.60738851667</v>
      </c>
      <c r="AC82" s="7">
        <f>[1]节奏总纲!AO82</f>
        <v>24646.205541387499</v>
      </c>
      <c r="AD82" s="7">
        <f>[1]节奏总纲!AP82</f>
        <v>16430.803694258335</v>
      </c>
      <c r="AE82" s="7">
        <f>[1]节奏总纲!AQ82</f>
        <v>8215.4018471291674</v>
      </c>
      <c r="AG82" s="7">
        <v>79</v>
      </c>
      <c r="AH82" s="7">
        <f>[1]节奏总纲!AT82</f>
        <v>5565.8189128857484</v>
      </c>
      <c r="AI82" s="7">
        <f>[1]节奏总纲!AU82</f>
        <v>4452.6551303086017</v>
      </c>
      <c r="AJ82" s="7">
        <f>[1]节奏总纲!AV82</f>
        <v>3339.4913477314476</v>
      </c>
      <c r="AK82" s="7">
        <f>[1]节奏总纲!AW82</f>
        <v>2226.3275651543008</v>
      </c>
      <c r="AL82" s="7">
        <f>[1]节奏总纲!AX82</f>
        <v>1113.1637825771504</v>
      </c>
      <c r="AN82" s="7">
        <v>79</v>
      </c>
      <c r="AO82" s="7">
        <f>[1]节奏总纲!BA82</f>
        <v>36.442160481112069</v>
      </c>
      <c r="AP82" s="7">
        <f>[1]节奏总纲!BB82</f>
        <v>37.952732911393213</v>
      </c>
      <c r="AQ82" s="7">
        <f>[1]节奏总纲!BC82</f>
        <v>39.880677772675625</v>
      </c>
      <c r="AR82" s="7">
        <f>[1]节奏总纲!BD82</f>
        <v>42.601058174025873</v>
      </c>
      <c r="AS82" s="7">
        <f>[1]节奏总纲!BE82</f>
        <v>47.286546933283724</v>
      </c>
      <c r="BD82" s="7"/>
    </row>
    <row r="83" spans="2:56" x14ac:dyDescent="0.15">
      <c r="B83" s="7">
        <f>[1]节奏总纲!N83</f>
        <v>90</v>
      </c>
      <c r="C83" s="7">
        <v>80</v>
      </c>
      <c r="D83" s="7">
        <f>[1]节奏总纲!P83</f>
        <v>255</v>
      </c>
      <c r="E83" s="7">
        <f>[1]节奏总纲!Q83</f>
        <v>221.08500000000001</v>
      </c>
      <c r="F83" s="7">
        <f>[1]节奏总纲!R83</f>
        <v>180.33600000000001</v>
      </c>
      <c r="G83" s="7">
        <f>[1]节奏总纲!S83</f>
        <v>131.58000000000001</v>
      </c>
      <c r="H83" s="7">
        <f>[1]节奏总纲!T83</f>
        <v>72.777000000000001</v>
      </c>
      <c r="J83" s="7">
        <v>80</v>
      </c>
      <c r="K83" s="7">
        <f>[1]节奏总纲!W83</f>
        <v>17.14355416657736</v>
      </c>
      <c r="L83" s="7">
        <f>[1]节奏总纲!X83</f>
        <v>15.006175329922655</v>
      </c>
      <c r="M83" s="7">
        <f>[1]节奏总纲!Y83</f>
        <v>11.600637325769981</v>
      </c>
      <c r="N83" s="7">
        <f>[1]节奏总纲!Z83</f>
        <v>8.4655036366204683</v>
      </c>
      <c r="O83" s="7">
        <f>[1]节奏总纲!AA83</f>
        <v>4.6549139133077659</v>
      </c>
      <c r="Q83" s="7">
        <v>80</v>
      </c>
      <c r="R83" s="7">
        <f>[1]节奏总纲!AD83</f>
        <v>63.39021301395622</v>
      </c>
      <c r="S83" s="7">
        <f>[1]节奏总纲!AE83</f>
        <v>65.412152709609373</v>
      </c>
      <c r="T83" s="7">
        <f>[1]节奏总纲!AF83</f>
        <v>68.309907165737044</v>
      </c>
      <c r="U83" s="7">
        <f>[1]节奏总纲!AG83</f>
        <v>72.822065215823244</v>
      </c>
      <c r="V83" s="7">
        <f>[1]节奏总纲!AH83</f>
        <v>81.398783729567185</v>
      </c>
      <c r="Z83" s="7">
        <v>80</v>
      </c>
      <c r="AA83" s="7">
        <f>[1]节奏总纲!AM83</f>
        <v>47512.875</v>
      </c>
      <c r="AB83" s="7">
        <f>[1]节奏总纲!AN83</f>
        <v>38010.300000000003</v>
      </c>
      <c r="AC83" s="7">
        <f>[1]节奏总纲!AO83</f>
        <v>28507.724999999999</v>
      </c>
      <c r="AD83" s="7">
        <f>[1]节奏总纲!AP83</f>
        <v>19005.150000000001</v>
      </c>
      <c r="AE83" s="7">
        <f>[1]节奏总纲!AQ83</f>
        <v>9502.5750000000007</v>
      </c>
      <c r="AG83" s="7">
        <v>80</v>
      </c>
      <c r="AH83" s="7">
        <f>[1]节奏总纲!AT83</f>
        <v>6435.8657643541665</v>
      </c>
      <c r="AI83" s="7">
        <f>[1]节奏总纲!AU83</f>
        <v>5148.6926114833332</v>
      </c>
      <c r="AJ83" s="7">
        <f>[1]节奏总纲!AV83</f>
        <v>3861.5194586124999</v>
      </c>
      <c r="AK83" s="7">
        <f>[1]节奏总纲!AW83</f>
        <v>2574.3463057416666</v>
      </c>
      <c r="AL83" s="7">
        <f>[1]节奏总纲!AX83</f>
        <v>1287.1731528708333</v>
      </c>
      <c r="AN83" s="7">
        <v>80</v>
      </c>
      <c r="AO83" s="7">
        <f>[1]节奏总纲!BA83</f>
        <v>36.526331209747774</v>
      </c>
      <c r="AP83" s="7">
        <f>[1]节奏总纲!BB83</f>
        <v>38.037513426486328</v>
      </c>
      <c r="AQ83" s="7">
        <f>[1]节奏总纲!BC83</f>
        <v>39.970732283863832</v>
      </c>
      <c r="AR83" s="7">
        <f>[1]节奏总纲!BD83</f>
        <v>42.687840061343536</v>
      </c>
      <c r="AS83" s="7">
        <f>[1]节奏总纲!BE83</f>
        <v>47.3696970865753</v>
      </c>
      <c r="BD83" s="7"/>
    </row>
    <row r="84" spans="2:56" x14ac:dyDescent="0.15">
      <c r="B84" s="7">
        <f>[1]节奏总纲!N84</f>
        <v>91</v>
      </c>
      <c r="C84" s="7">
        <v>81</v>
      </c>
      <c r="D84" s="7">
        <f>[1]节奏总纲!P84</f>
        <v>273.37400640929098</v>
      </c>
      <c r="E84" s="7">
        <f>[1]节奏总纲!Q84</f>
        <v>236.35916594147301</v>
      </c>
      <c r="F84" s="7">
        <f>[1]节奏总纲!R84</f>
        <v>192.67399971726829</v>
      </c>
      <c r="G84" s="7">
        <f>[1]节奏总纲!S84</f>
        <v>140.76027590014394</v>
      </c>
      <c r="H84" s="7">
        <f>[1]节奏总纲!T84</f>
        <v>77.856917025366073</v>
      </c>
      <c r="J84" s="7">
        <v>81</v>
      </c>
      <c r="K84" s="7">
        <f>[1]节奏总纲!W84</f>
        <v>18.374006409290985</v>
      </c>
      <c r="L84" s="7">
        <f>[1]节奏总纲!X84</f>
        <v>15.274165941473001</v>
      </c>
      <c r="M84" s="7">
        <f>[1]节奏总纲!Y84</f>
        <v>12.337999717268275</v>
      </c>
      <c r="N84" s="7">
        <f>[1]节奏总纲!Z84</f>
        <v>9.1802759001439256</v>
      </c>
      <c r="O84" s="7">
        <f>[1]节奏总纲!AA84</f>
        <v>5.0799170253660719</v>
      </c>
      <c r="Q84" s="7">
        <v>81</v>
      </c>
      <c r="R84" s="7">
        <f>[1]节奏总纲!AD84</f>
        <v>63.567039423670657</v>
      </c>
      <c r="S84" s="7">
        <f>[1]节奏总纲!AE84</f>
        <v>65.58750975301939</v>
      </c>
      <c r="T84" s="7">
        <f>[1]节奏总纲!AF84</f>
        <v>68.487101522580488</v>
      </c>
      <c r="U84" s="7">
        <f>[1]节奏总纲!AG84</f>
        <v>73.007572199822363</v>
      </c>
      <c r="V84" s="7">
        <f>[1]节奏总纲!AH84</f>
        <v>81.584863192792497</v>
      </c>
      <c r="AN84" s="7">
        <v>81</v>
      </c>
      <c r="AO84" s="7">
        <f>[1]节奏总纲!BA84</f>
        <v>36.610501938383479</v>
      </c>
      <c r="AP84" s="7">
        <f>[1]节奏总纲!BB84</f>
        <v>38.11580158428373</v>
      </c>
      <c r="AQ84" s="7">
        <f>[1]节奏总纲!BC84</f>
        <v>40.052446592012309</v>
      </c>
      <c r="AR84" s="7">
        <f>[1]节奏总纲!BD84</f>
        <v>42.774621948661192</v>
      </c>
      <c r="AS84" s="7">
        <f>[1]节奏总纲!BE84</f>
        <v>47.452847239866877</v>
      </c>
      <c r="BD84" s="7"/>
    </row>
    <row r="85" spans="2:56" x14ac:dyDescent="0.15">
      <c r="B85" s="7">
        <f>[1]节奏总纲!N85</f>
        <v>92</v>
      </c>
      <c r="C85" s="7">
        <v>82</v>
      </c>
      <c r="D85" s="7">
        <f>[1]节奏总纲!P85</f>
        <v>293.06677887924064</v>
      </c>
      <c r="E85" s="7">
        <f>[1]节奏总纲!Q85</f>
        <v>253.15108359588808</v>
      </c>
      <c r="F85" s="7">
        <f>[1]节奏总纲!R85</f>
        <v>206.37762568676126</v>
      </c>
      <c r="G85" s="7">
        <f>[1]节奏总纲!S85</f>
        <v>150.81216441125721</v>
      </c>
      <c r="H85" s="7">
        <f>[1]节奏总纲!T85</f>
        <v>83.230965201704336</v>
      </c>
      <c r="J85" s="7">
        <v>82</v>
      </c>
      <c r="K85" s="7">
        <f>[1]节奏总纲!W85</f>
        <v>19.692772469949659</v>
      </c>
      <c r="L85" s="7">
        <f>[1]节奏总纲!X85</f>
        <v>16.791917654415073</v>
      </c>
      <c r="M85" s="7">
        <f>[1]节奏总纲!Y85</f>
        <v>13.703625969492975</v>
      </c>
      <c r="N85" s="7">
        <f>[1]节奏总纲!Z85</f>
        <v>10.051888511113276</v>
      </c>
      <c r="O85" s="7">
        <f>[1]节奏总纲!AA85</f>
        <v>5.3740481763382633</v>
      </c>
      <c r="Q85" s="7">
        <v>82</v>
      </c>
      <c r="R85" s="7">
        <f>[1]节奏总纲!AD85</f>
        <v>63.743865833385094</v>
      </c>
      <c r="S85" s="7">
        <f>[1]节奏总纲!AE85</f>
        <v>65.762866796429392</v>
      </c>
      <c r="T85" s="7">
        <f>[1]节奏总纲!AF85</f>
        <v>68.664295879423918</v>
      </c>
      <c r="U85" s="7">
        <f>[1]节奏总纲!AG85</f>
        <v>73.176642436293761</v>
      </c>
      <c r="V85" s="7">
        <f>[1]节奏总纲!AH85</f>
        <v>81.770942656017823</v>
      </c>
      <c r="AN85" s="7">
        <v>82</v>
      </c>
      <c r="AO85" s="7">
        <f>[1]节奏总纲!BA85</f>
        <v>36.694672667019191</v>
      </c>
      <c r="AP85" s="7">
        <f>[1]节奏总纲!BB85</f>
        <v>38.194089742081125</v>
      </c>
      <c r="AQ85" s="7">
        <f>[1]节奏总纲!BC85</f>
        <v>40.130145246845366</v>
      </c>
      <c r="AR85" s="7">
        <f>[1]节奏总纲!BD85</f>
        <v>42.861403835978855</v>
      </c>
      <c r="AS85" s="7">
        <f>[1]节奏总纲!BE85</f>
        <v>47.535997393158453</v>
      </c>
      <c r="BD85" s="7"/>
    </row>
    <row r="86" spans="2:56" x14ac:dyDescent="0.15">
      <c r="B86" s="7">
        <f>[1]节奏总纲!N86</f>
        <v>93</v>
      </c>
      <c r="C86" s="7">
        <v>83</v>
      </c>
      <c r="D86" s="7">
        <f>[1]节奏总纲!P86</f>
        <v>314.1729698162988</v>
      </c>
      <c r="E86" s="7">
        <f>[1]节奏总纲!Q86</f>
        <v>271.53969781222702</v>
      </c>
      <c r="F86" s="7">
        <f>[1]节奏总纲!R86</f>
        <v>221.55477831445393</v>
      </c>
      <c r="G86" s="7">
        <f>[1]节奏总纲!S86</f>
        <v>161.57915837652246</v>
      </c>
      <c r="H86" s="7">
        <f>[1]节奏总纲!T86</f>
        <v>89.193706130847232</v>
      </c>
      <c r="J86" s="7">
        <v>83</v>
      </c>
      <c r="K86" s="7">
        <f>[1]节奏总纲!W86</f>
        <v>21.106190937058159</v>
      </c>
      <c r="L86" s="7">
        <f>[1]节奏总纲!X86</f>
        <v>18.388614216338937</v>
      </c>
      <c r="M86" s="7">
        <f>[1]节奏总纲!Y86</f>
        <v>15.177152627692664</v>
      </c>
      <c r="N86" s="7">
        <f>[1]节奏总纲!Z86</f>
        <v>10.766993965265243</v>
      </c>
      <c r="O86" s="7">
        <f>[1]节奏总纲!AA86</f>
        <v>5.9627409291428961</v>
      </c>
      <c r="Q86" s="7">
        <v>83</v>
      </c>
      <c r="R86" s="7">
        <f>[1]节奏总纲!AD86</f>
        <v>63.920692243099523</v>
      </c>
      <c r="S86" s="7">
        <f>[1]节奏总纲!AE86</f>
        <v>65.938223839839395</v>
      </c>
      <c r="T86" s="7">
        <f>[1]节奏总纲!AF86</f>
        <v>68.841490236267347</v>
      </c>
      <c r="U86" s="7">
        <f>[1]节奏总纲!AG86</f>
        <v>73.34571267276516</v>
      </c>
      <c r="V86" s="7">
        <f>[1]节奏总纲!AH86</f>
        <v>81.957022119243135</v>
      </c>
      <c r="AN86" s="7">
        <v>83</v>
      </c>
      <c r="AO86" s="7">
        <f>[1]节奏总纲!BA86</f>
        <v>36.778843395654896</v>
      </c>
      <c r="AP86" s="7">
        <f>[1]节奏总纲!BB86</f>
        <v>38.272377899878528</v>
      </c>
      <c r="AQ86" s="7">
        <f>[1]节奏总纲!BC86</f>
        <v>40.207843901678423</v>
      </c>
      <c r="AR86" s="7">
        <f>[1]节奏总纲!BD86</f>
        <v>42.948185723296518</v>
      </c>
      <c r="AS86" s="7">
        <f>[1]节奏总纲!BE86</f>
        <v>47.619147546450023</v>
      </c>
      <c r="BD86" s="7"/>
    </row>
    <row r="87" spans="2:56" x14ac:dyDescent="0.15">
      <c r="B87" s="7">
        <f>[1]节奏总纲!N87</f>
        <v>94</v>
      </c>
      <c r="C87" s="7">
        <v>84</v>
      </c>
      <c r="D87" s="7">
        <f>[1]节奏总纲!P87</f>
        <v>336.79402515786086</v>
      </c>
      <c r="E87" s="7">
        <f>[1]节奏总纲!Q87</f>
        <v>291.2594729565181</v>
      </c>
      <c r="F87" s="7">
        <f>[1]节奏总纲!R87</f>
        <v>237.27139072371298</v>
      </c>
      <c r="G87" s="7">
        <f>[1]节奏总纲!S87</f>
        <v>172.97741132107731</v>
      </c>
      <c r="H87" s="7">
        <f>[1]节奏总纲!T87</f>
        <v>95.64950314483248</v>
      </c>
      <c r="J87" s="7">
        <v>84</v>
      </c>
      <c r="K87" s="7">
        <f>[1]节奏总纲!W87</f>
        <v>22.621055341562055</v>
      </c>
      <c r="L87" s="7">
        <f>[1]节奏总纲!X87</f>
        <v>19.719775144291077</v>
      </c>
      <c r="M87" s="7">
        <f>[1]节奏总纲!Y87</f>
        <v>15.716612409259056</v>
      </c>
      <c r="N87" s="7">
        <f>[1]节奏总纲!Z87</f>
        <v>11.398252944554855</v>
      </c>
      <c r="O87" s="7">
        <f>[1]节奏总纲!AA87</f>
        <v>6.4557970139852472</v>
      </c>
      <c r="Q87" s="7">
        <v>84</v>
      </c>
      <c r="R87" s="7">
        <f>[1]节奏总纲!AD87</f>
        <v>64.090988120365651</v>
      </c>
      <c r="S87" s="7">
        <f>[1]节奏总纲!AE87</f>
        <v>66.105889403880397</v>
      </c>
      <c r="T87" s="7">
        <f>[1]节奏总纲!AF87</f>
        <v>69.01697485309198</v>
      </c>
      <c r="U87" s="7">
        <f>[1]节奏总纲!AG87</f>
        <v>73.514782909236544</v>
      </c>
      <c r="V87" s="7">
        <f>[1]节奏总纲!AH87</f>
        <v>82.128973371044353</v>
      </c>
      <c r="AN87" s="7">
        <v>84</v>
      </c>
      <c r="AO87" s="7">
        <f>[1]节奏总纲!BA87</f>
        <v>36.863014124290601</v>
      </c>
      <c r="AP87" s="7">
        <f>[1]节奏总纲!BB87</f>
        <v>38.35066605767593</v>
      </c>
      <c r="AQ87" s="7">
        <f>[1]节奏总纲!BC87</f>
        <v>40.28554255651148</v>
      </c>
      <c r="AR87" s="7">
        <f>[1]节奏总纲!BD87</f>
        <v>43.030177309109042</v>
      </c>
      <c r="AS87" s="7">
        <f>[1]节奏总纲!BE87</f>
        <v>47.7022976997416</v>
      </c>
      <c r="BD87" s="7"/>
    </row>
    <row r="88" spans="2:56" x14ac:dyDescent="0.15">
      <c r="B88" s="7">
        <f>[1]节奏总纲!N88</f>
        <v>95</v>
      </c>
      <c r="C88" s="7">
        <v>85</v>
      </c>
      <c r="D88" s="7">
        <f>[1]节奏总纲!P88</f>
        <v>361.0386719675123</v>
      </c>
      <c r="E88" s="7">
        <f>[1]节奏总纲!Q88</f>
        <v>311.72078937675008</v>
      </c>
      <c r="F88" s="7">
        <f>[1]节奏总纲!R88</f>
        <v>253.91849799475142</v>
      </c>
      <c r="G88" s="7">
        <f>[1]节奏总纲!S88</f>
        <v>185.57387739130132</v>
      </c>
      <c r="H88" s="7">
        <f>[1]节奏总纲!T88</f>
        <v>102.53498283877349</v>
      </c>
      <c r="J88" s="7">
        <v>85</v>
      </c>
      <c r="K88" s="7">
        <f>[1]节奏总纲!W88</f>
        <v>24.244646809651442</v>
      </c>
      <c r="L88" s="7">
        <f>[1]节奏总纲!X88</f>
        <v>20.461316420231981</v>
      </c>
      <c r="M88" s="7">
        <f>[1]节奏总纲!Y88</f>
        <v>16.647107271038436</v>
      </c>
      <c r="N88" s="7">
        <f>[1]节奏总纲!Z88</f>
        <v>12.596466070224011</v>
      </c>
      <c r="O88" s="7">
        <f>[1]节奏总纲!AA88</f>
        <v>6.8854796939410079</v>
      </c>
      <c r="Q88" s="7">
        <v>85</v>
      </c>
      <c r="R88" s="7">
        <f>[1]节奏总纲!AD88</f>
        <v>64.255972994404218</v>
      </c>
      <c r="S88" s="7">
        <f>[1]节奏总纲!AE88</f>
        <v>66.269371604948859</v>
      </c>
      <c r="T88" s="7">
        <f>[1]节奏总纲!AF88</f>
        <v>69.17795498031839</v>
      </c>
      <c r="U88" s="7">
        <f>[1]节奏总纲!AG88</f>
        <v>73.683853145707943</v>
      </c>
      <c r="V88" s="7">
        <f>[1]节奏总纲!AH88</f>
        <v>82.296681479091191</v>
      </c>
      <c r="AN88" s="7">
        <v>85</v>
      </c>
      <c r="AO88" s="7">
        <f>[1]节奏总纲!BA88</f>
        <v>36.947184852926306</v>
      </c>
      <c r="AP88" s="7">
        <f>[1]节奏总纲!BB88</f>
        <v>38.428954215473325</v>
      </c>
      <c r="AQ88" s="7">
        <f>[1]节奏总纲!BC88</f>
        <v>40.363241211344537</v>
      </c>
      <c r="AR88" s="7">
        <f>[1]节奏总纲!BD88</f>
        <v>43.105070725978337</v>
      </c>
      <c r="AS88" s="7">
        <f>[1]节奏总纲!BE88</f>
        <v>47.785447853033176</v>
      </c>
      <c r="BD88" s="7"/>
    </row>
    <row r="89" spans="2:56" x14ac:dyDescent="0.15">
      <c r="B89" s="7">
        <f>[1]节奏总纲!N89</f>
        <v>96</v>
      </c>
      <c r="C89" s="7">
        <v>86</v>
      </c>
      <c r="D89" s="7">
        <f>[1]节奏总纲!P89</f>
        <v>387.02344102666189</v>
      </c>
      <c r="E89" s="7">
        <f>[1]节奏总纲!Q89</f>
        <v>334.00122960600919</v>
      </c>
      <c r="F89" s="7">
        <f>[1]节奏总纲!R89</f>
        <v>272.23228841815398</v>
      </c>
      <c r="G89" s="7">
        <f>[1]节奏总纲!S89</f>
        <v>199.39447681693619</v>
      </c>
      <c r="H89" s="7">
        <f>[1]节奏总纲!T89</f>
        <v>108.94709864900531</v>
      </c>
      <c r="J89" s="7">
        <v>86</v>
      </c>
      <c r="K89" s="7">
        <f>[1]节奏总纲!W89</f>
        <v>25.984769059149585</v>
      </c>
      <c r="L89" s="7">
        <f>[1]节奏总纲!X89</f>
        <v>22.280440229259113</v>
      </c>
      <c r="M89" s="7">
        <f>[1]节奏总纲!Y89</f>
        <v>18.313790423402565</v>
      </c>
      <c r="N89" s="7">
        <f>[1]节奏总纲!Z89</f>
        <v>13.820599425634867</v>
      </c>
      <c r="O89" s="7">
        <f>[1]节奏总纲!AA89</f>
        <v>6.4121158102318248</v>
      </c>
      <c r="Q89" s="7">
        <v>86</v>
      </c>
      <c r="R89" s="7">
        <f>[1]节奏总纲!AD89</f>
        <v>64.420957868442798</v>
      </c>
      <c r="S89" s="7">
        <f>[1]节奏总纲!AE89</f>
        <v>66.43285380601732</v>
      </c>
      <c r="T89" s="7">
        <f>[1]节奏总纲!AF89</f>
        <v>69.338935107544785</v>
      </c>
      <c r="U89" s="7">
        <f>[1]节奏总纲!AG89</f>
        <v>73.852923382179341</v>
      </c>
      <c r="V89" s="7">
        <f>[1]节奏总纲!AH89</f>
        <v>82.464389587138029</v>
      </c>
      <c r="AN89" s="7">
        <v>86</v>
      </c>
      <c r="AO89" s="7">
        <f>[1]节奏总纲!BA89</f>
        <v>37.027046282459708</v>
      </c>
      <c r="AP89" s="7">
        <f>[1]节奏总纲!BB89</f>
        <v>38.507242373270728</v>
      </c>
      <c r="AQ89" s="7">
        <f>[1]节奏总纲!BC89</f>
        <v>40.440939866177594</v>
      </c>
      <c r="AR89" s="7">
        <f>[1]节奏总纲!BD89</f>
        <v>43.179964142847631</v>
      </c>
      <c r="AS89" s="7">
        <f>[1]节奏总纲!BE89</f>
        <v>47.868598006324753</v>
      </c>
      <c r="BD89" s="7"/>
    </row>
    <row r="90" spans="2:56" x14ac:dyDescent="0.15">
      <c r="B90" s="7">
        <f>[1]节奏总纲!N90</f>
        <v>97</v>
      </c>
      <c r="C90" s="7">
        <v>87</v>
      </c>
      <c r="D90" s="7">
        <f>[1]节奏总纲!P90</f>
        <v>414.87322693439216</v>
      </c>
      <c r="E90" s="7">
        <f>[1]节奏总纲!Q90</f>
        <v>358.28451878054108</v>
      </c>
      <c r="F90" s="7">
        <f>[1]节奏总纲!R90</f>
        <v>292.4026503433596</v>
      </c>
      <c r="G90" s="7">
        <f>[1]节奏总纲!S90</f>
        <v>212.58104148118252</v>
      </c>
      <c r="H90" s="7">
        <f>[1]节奏总纲!T90</f>
        <v>115.74963031469542</v>
      </c>
      <c r="J90" s="7">
        <v>87</v>
      </c>
      <c r="K90" s="7">
        <f>[1]节奏总纲!W90</f>
        <v>27.849785907730279</v>
      </c>
      <c r="L90" s="7">
        <f>[1]节奏总纲!X90</f>
        <v>24.283289174531888</v>
      </c>
      <c r="M90" s="7">
        <f>[1]节奏总纲!Y90</f>
        <v>20.170361925205611</v>
      </c>
      <c r="N90" s="7">
        <f>[1]节奏总纲!Z90</f>
        <v>13.186564664246333</v>
      </c>
      <c r="O90" s="7">
        <f>[1]节奏总纲!AA90</f>
        <v>6.8025316656901111</v>
      </c>
      <c r="Q90" s="7">
        <v>87</v>
      </c>
      <c r="R90" s="7">
        <f>[1]节奏总纲!AD90</f>
        <v>64.585942742481365</v>
      </c>
      <c r="S90" s="7">
        <f>[1]节奏总纲!AE90</f>
        <v>66.596336007085796</v>
      </c>
      <c r="T90" s="7">
        <f>[1]节奏总纲!AF90</f>
        <v>69.49991523477118</v>
      </c>
      <c r="U90" s="7">
        <f>[1]节奏总纲!AG90</f>
        <v>74.02050499447661</v>
      </c>
      <c r="V90" s="7">
        <f>[1]节奏总纲!AH90</f>
        <v>82.632097695184868</v>
      </c>
      <c r="AN90" s="7">
        <v>87</v>
      </c>
      <c r="AO90" s="7">
        <f>[1]节奏总纲!BA90</f>
        <v>37.099649155317238</v>
      </c>
      <c r="AP90" s="7">
        <f>[1]节奏总纲!BB90</f>
        <v>38.58553053106813</v>
      </c>
      <c r="AQ90" s="7">
        <f>[1]节奏总纲!BC90</f>
        <v>40.518638521010651</v>
      </c>
      <c r="AR90" s="7">
        <f>[1]节奏总纲!BD90</f>
        <v>43.254857559716925</v>
      </c>
      <c r="AS90" s="7">
        <f>[1]节奏总纲!BE90</f>
        <v>47.951748159616329</v>
      </c>
      <c r="BD90" s="7"/>
    </row>
    <row r="91" spans="2:56" x14ac:dyDescent="0.15">
      <c r="B91" s="7">
        <f>[1]节奏总纲!N91</f>
        <v>98</v>
      </c>
      <c r="C91" s="7">
        <v>88</v>
      </c>
      <c r="D91" s="7">
        <f>[1]节奏总纲!P91</f>
        <v>444.72188840761549</v>
      </c>
      <c r="E91" s="7">
        <f>[1]节奏总纲!Q91</f>
        <v>384.7733778502689</v>
      </c>
      <c r="F91" s="7">
        <f>[1]节奏总纲!R91</f>
        <v>312.90632068359827</v>
      </c>
      <c r="G91" s="7">
        <f>[1]节奏总纲!S91</f>
        <v>226.0076636887502</v>
      </c>
      <c r="H91" s="7">
        <f>[1]节奏总纲!T91</f>
        <v>123.1879630889095</v>
      </c>
      <c r="J91" s="7">
        <v>88</v>
      </c>
      <c r="K91" s="7">
        <f>[1]节奏总纲!W91</f>
        <v>29.848661473223331</v>
      </c>
      <c r="L91" s="7">
        <f>[1]节奏总纲!X91</f>
        <v>26.488859069727823</v>
      </c>
      <c r="M91" s="7">
        <f>[1]节奏总纲!Y91</f>
        <v>20.503670340238671</v>
      </c>
      <c r="N91" s="7">
        <f>[1]节奏总纲!Z91</f>
        <v>13.426622207567675</v>
      </c>
      <c r="O91" s="7">
        <f>[1]节奏总纲!AA91</f>
        <v>7.438332774214075</v>
      </c>
      <c r="Q91" s="7">
        <v>88</v>
      </c>
      <c r="R91" s="7">
        <f>[1]节奏总纲!AD91</f>
        <v>64.750927616519931</v>
      </c>
      <c r="S91" s="7">
        <f>[1]节奏总纲!AE91</f>
        <v>66.759818208154257</v>
      </c>
      <c r="T91" s="7">
        <f>[1]节奏总纲!AF91</f>
        <v>69.660895361997589</v>
      </c>
      <c r="U91" s="7">
        <f>[1]节奏总纲!AG91</f>
        <v>74.178131818877702</v>
      </c>
      <c r="V91" s="7">
        <f>[1]节奏总纲!AH91</f>
        <v>82.799805803231706</v>
      </c>
      <c r="AN91" s="7">
        <v>88</v>
      </c>
      <c r="AO91" s="7">
        <f>[1]节奏总纲!BA91</f>
        <v>37.172252028174768</v>
      </c>
      <c r="AP91" s="7">
        <f>[1]节奏总纲!BB91</f>
        <v>38.663818688865533</v>
      </c>
      <c r="AQ91" s="7">
        <f>[1]节奏总纲!BC91</f>
        <v>40.596337175843701</v>
      </c>
      <c r="AR91" s="7">
        <f>[1]节奏总纲!BD91</f>
        <v>43.329750976586219</v>
      </c>
      <c r="AS91" s="7">
        <f>[1]节奏总纲!BE91</f>
        <v>48.030128751164234</v>
      </c>
      <c r="BD91" s="7"/>
    </row>
    <row r="92" spans="2:56" x14ac:dyDescent="0.15">
      <c r="B92" s="7">
        <f>[1]节奏总纲!N92</f>
        <v>99</v>
      </c>
      <c r="C92" s="7">
        <v>89</v>
      </c>
      <c r="D92" s="7">
        <f>[1]节奏总纲!P92</f>
        <v>476.71289166684534</v>
      </c>
      <c r="E92" s="7">
        <f>[1]节奏总纲!Q92</f>
        <v>411.78459582182103</v>
      </c>
      <c r="F92" s="7">
        <f>[1]节奏总纲!R92</f>
        <v>332.60258451595797</v>
      </c>
      <c r="G92" s="7">
        <f>[1]节奏总纲!S92</f>
        <v>240.31096868925673</v>
      </c>
      <c r="H92" s="7">
        <f>[1]节奏总纲!T92</f>
        <v>130.61933231671563</v>
      </c>
      <c r="J92" s="7">
        <v>89</v>
      </c>
      <c r="K92" s="7">
        <f>[1]节奏总纲!W92</f>
        <v>31.991003259229842</v>
      </c>
      <c r="L92" s="7">
        <f>[1]节奏总纲!X92</f>
        <v>27.011217971552128</v>
      </c>
      <c r="M92" s="7">
        <f>[1]节奏总纲!Y92</f>
        <v>19.696263832359705</v>
      </c>
      <c r="N92" s="7">
        <f>[1]节奏总纲!Z92</f>
        <v>14.303305000506526</v>
      </c>
      <c r="O92" s="7">
        <f>[1]节奏总纲!AA92</f>
        <v>7.4313692278061296</v>
      </c>
      <c r="Q92" s="7">
        <v>89</v>
      </c>
      <c r="R92" s="7">
        <f>[1]节奏总纲!AD92</f>
        <v>64.915912490558512</v>
      </c>
      <c r="S92" s="7">
        <f>[1]节奏总纲!AE92</f>
        <v>66.923300409222719</v>
      </c>
      <c r="T92" s="7">
        <f>[1]节奏总纲!AF92</f>
        <v>69.821875489223984</v>
      </c>
      <c r="U92" s="7">
        <f>[1]节奏总纲!AG92</f>
        <v>74.335758643278794</v>
      </c>
      <c r="V92" s="7">
        <f>[1]节奏总纲!AH92</f>
        <v>82.967513911278544</v>
      </c>
      <c r="AN92" s="7">
        <v>89</v>
      </c>
      <c r="AO92" s="7">
        <f>[1]节奏总纲!BA92</f>
        <v>37.244854901032298</v>
      </c>
      <c r="AP92" s="7">
        <f>[1]节奏总纲!BB92</f>
        <v>38.742106846662928</v>
      </c>
      <c r="AQ92" s="7">
        <f>[1]节奏总纲!BC92</f>
        <v>40.674035830676758</v>
      </c>
      <c r="AR92" s="7">
        <f>[1]节奏总纲!BD92</f>
        <v>43.404644393455513</v>
      </c>
      <c r="AS92" s="7">
        <f>[1]节奏总纲!BE92</f>
        <v>48.101914750802706</v>
      </c>
      <c r="BD92" s="7"/>
    </row>
    <row r="93" spans="2:56" x14ac:dyDescent="0.15">
      <c r="B93" s="7">
        <f>[1]节奏总纲!N93</f>
        <v>100</v>
      </c>
      <c r="C93" s="7">
        <v>90</v>
      </c>
      <c r="D93" s="7">
        <f>[1]节奏总纲!P93</f>
        <v>511</v>
      </c>
      <c r="E93" s="7">
        <f>[1]节奏总纲!Q93</f>
        <v>438.13140000000004</v>
      </c>
      <c r="F93" s="7">
        <f>[1]节奏总纲!R93</f>
        <v>354.12299999999999</v>
      </c>
      <c r="G93" s="7">
        <f>[1]节奏总纲!S93</f>
        <v>254.88680000000002</v>
      </c>
      <c r="H93" s="7">
        <f>[1]节奏总纲!T93</f>
        <v>138.48100000000002</v>
      </c>
      <c r="J93" s="7">
        <v>90</v>
      </c>
      <c r="K93" s="7">
        <f>[1]节奏总纲!W93</f>
        <v>34.287108333154663</v>
      </c>
      <c r="L93" s="7">
        <f>[1]节奏总纲!X93</f>
        <v>26.346804178179013</v>
      </c>
      <c r="M93" s="7">
        <f>[1]节奏总纲!Y93</f>
        <v>21.520415484042019</v>
      </c>
      <c r="N93" s="7">
        <f>[1]节奏总纲!Z93</f>
        <v>14.575831310743297</v>
      </c>
      <c r="O93" s="7">
        <f>[1]节奏总纲!AA93</f>
        <v>7.861667683284395</v>
      </c>
      <c r="Q93" s="7">
        <v>90</v>
      </c>
      <c r="R93" s="7">
        <f>[1]节奏总纲!AD93</f>
        <v>65.075479910097457</v>
      </c>
      <c r="S93" s="7">
        <f>[1]节奏总纲!AE93</f>
        <v>67.083433628014333</v>
      </c>
      <c r="T93" s="7">
        <f>[1]节奏总纲!AF93</f>
        <v>69.982855616450394</v>
      </c>
      <c r="U93" s="7">
        <f>[1]节奏总纲!AG93</f>
        <v>74.493385467679886</v>
      </c>
      <c r="V93" s="7">
        <f>[1]节奏总纲!AH93</f>
        <v>83.124894550960335</v>
      </c>
      <c r="AN93" s="7">
        <v>90</v>
      </c>
      <c r="AO93" s="7">
        <f>[1]节奏总纲!BA93</f>
        <v>37.317457773889828</v>
      </c>
      <c r="AP93" s="7">
        <f>[1]节奏总纲!BB93</f>
        <v>38.82039500446033</v>
      </c>
      <c r="AQ93" s="7">
        <f>[1]节奏总纲!BC93</f>
        <v>40.751734485509814</v>
      </c>
      <c r="AR93" s="7">
        <f>[1]节奏总纲!BD93</f>
        <v>43.479537810324807</v>
      </c>
      <c r="AS93" s="7">
        <f>[1]节奏总纲!BE93</f>
        <v>48.173700750441178</v>
      </c>
      <c r="BD93" s="7"/>
    </row>
    <row r="94" spans="2:56" x14ac:dyDescent="0.15">
      <c r="B94" s="7">
        <f>[1]节奏总纲!N94</f>
        <v>101</v>
      </c>
      <c r="C94" s="7">
        <v>91</v>
      </c>
      <c r="D94" s="7">
        <f>[1]节奏总纲!P94</f>
        <v>547.74801281858208</v>
      </c>
      <c r="E94" s="7">
        <f>[1]节奏总纲!Q94</f>
        <v>469.6391461906523</v>
      </c>
      <c r="F94" s="7">
        <f>[1]节奏总纲!R94</f>
        <v>378.43910205635837</v>
      </c>
      <c r="G94" s="7">
        <f>[1]节奏总纲!S94</f>
        <v>272.61418597980827</v>
      </c>
      <c r="H94" s="7">
        <f>[1]节奏总纲!T94</f>
        <v>147.89196346101718</v>
      </c>
      <c r="J94" s="7">
        <v>91</v>
      </c>
      <c r="K94" s="7">
        <f>[1]节奏总纲!W94</f>
        <v>36.748012818582083</v>
      </c>
      <c r="L94" s="7">
        <f>[1]节奏总纲!X94</f>
        <v>31.507746190652256</v>
      </c>
      <c r="M94" s="7">
        <f>[1]节奏总纲!Y94</f>
        <v>24.316102056358375</v>
      </c>
      <c r="N94" s="7">
        <f>[1]节奏总纲!Z94</f>
        <v>17.727385979808247</v>
      </c>
      <c r="O94" s="7">
        <f>[1]节奏总纲!AA94</f>
        <v>9.4109634610171611</v>
      </c>
      <c r="Q94" s="7">
        <v>91</v>
      </c>
      <c r="R94" s="7">
        <f>[1]节奏总纲!AD94</f>
        <v>65.229416240679981</v>
      </c>
      <c r="S94" s="7">
        <f>[1]节奏总纲!AE94</f>
        <v>67.240606973055961</v>
      </c>
      <c r="T94" s="7">
        <f>[1]节奏总纲!AF94</f>
        <v>70.137942795989005</v>
      </c>
      <c r="U94" s="7">
        <f>[1]节奏总纲!AG94</f>
        <v>74.651012292080978</v>
      </c>
      <c r="V94" s="7">
        <f>[1]节奏总纲!AH94</f>
        <v>83.279794092850153</v>
      </c>
      <c r="AN94" s="7">
        <v>91</v>
      </c>
      <c r="AO94" s="7">
        <f>[1]节奏总纲!BA94</f>
        <v>37.390060646747358</v>
      </c>
      <c r="AP94" s="7">
        <f>[1]节奏总纲!BB94</f>
        <v>38.898683162257733</v>
      </c>
      <c r="AQ94" s="7">
        <f>[1]节奏总纲!BC94</f>
        <v>40.829433140342871</v>
      </c>
      <c r="AR94" s="7">
        <f>[1]节奏总纲!BD94</f>
        <v>43.554431227194108</v>
      </c>
      <c r="AS94" s="7">
        <f>[1]节奏总纲!BE94</f>
        <v>48.24548675007965</v>
      </c>
      <c r="BD94" s="7"/>
    </row>
    <row r="95" spans="2:56" x14ac:dyDescent="0.15">
      <c r="B95" s="7">
        <f>[1]节奏总纲!N95</f>
        <v>102</v>
      </c>
      <c r="C95" s="7">
        <v>92</v>
      </c>
      <c r="D95" s="7">
        <f>[1]节奏总纲!P95</f>
        <v>587.1335577584814</v>
      </c>
      <c r="E95" s="7">
        <f>[1]节奏总纲!Q95</f>
        <v>502.29275866238083</v>
      </c>
      <c r="F95" s="7">
        <f>[1]节奏总纲!R95</f>
        <v>405.12215485335213</v>
      </c>
      <c r="G95" s="7">
        <f>[1]节奏总纲!S95</f>
        <v>291.57052478286187</v>
      </c>
      <c r="H95" s="7">
        <f>[1]节奏总纲!T95</f>
        <v>157.64536025815227</v>
      </c>
      <c r="J95" s="7">
        <v>92</v>
      </c>
      <c r="K95" s="7">
        <f>[1]节奏总纲!W95</f>
        <v>39.385544939899319</v>
      </c>
      <c r="L95" s="7">
        <f>[1]节奏总纲!X95</f>
        <v>32.653612471728536</v>
      </c>
      <c r="M95" s="7">
        <f>[1]节奏总纲!Y95</f>
        <v>26.683052796993763</v>
      </c>
      <c r="N95" s="7">
        <f>[1]节奏总纲!Z95</f>
        <v>18.956338803053598</v>
      </c>
      <c r="O95" s="7">
        <f>[1]节奏总纲!AA95</f>
        <v>9.7533967971350819</v>
      </c>
      <c r="Q95" s="7">
        <v>92</v>
      </c>
      <c r="R95" s="7">
        <f>[1]节奏总纲!AD95</f>
        <v>65.38335257126252</v>
      </c>
      <c r="S95" s="7">
        <f>[1]节奏总纲!AE95</f>
        <v>67.397780318097588</v>
      </c>
      <c r="T95" s="7">
        <f>[1]节奏总纲!AF95</f>
        <v>70.292327570459079</v>
      </c>
      <c r="U95" s="7">
        <f>[1]节奏总纲!AG95</f>
        <v>74.808639116482055</v>
      </c>
      <c r="V95" s="7">
        <f>[1]节奏总纲!AH95</f>
        <v>83.434693634739986</v>
      </c>
      <c r="AN95" s="7">
        <v>92</v>
      </c>
      <c r="AO95" s="7">
        <f>[1]节奏总纲!BA95</f>
        <v>37.462663519604888</v>
      </c>
      <c r="AP95" s="7">
        <f>[1]节奏总纲!BB95</f>
        <v>38.976971320055128</v>
      </c>
      <c r="AQ95" s="7">
        <f>[1]节奏总纲!BC95</f>
        <v>40.907131795175928</v>
      </c>
      <c r="AR95" s="7">
        <f>[1]节奏总纲!BD95</f>
        <v>43.629324644063402</v>
      </c>
      <c r="AS95" s="7">
        <f>[1]节奏总纲!BE95</f>
        <v>48.317272749718121</v>
      </c>
      <c r="BD95" s="7"/>
    </row>
    <row r="96" spans="2:56" x14ac:dyDescent="0.15">
      <c r="B96" s="7">
        <f>[1]节奏总纲!N96</f>
        <v>103</v>
      </c>
      <c r="C96" s="7">
        <v>93</v>
      </c>
      <c r="D96" s="7">
        <f>[1]节奏总纲!P96</f>
        <v>629.34593963259704</v>
      </c>
      <c r="E96" s="7">
        <f>[1]节奏总纲!Q96</f>
        <v>538.34251676172357</v>
      </c>
      <c r="F96" s="7">
        <f>[1]节奏总纲!R96</f>
        <v>433.68228700082267</v>
      </c>
      <c r="G96" s="7">
        <f>[1]节奏总纲!S96</f>
        <v>311.52624011813555</v>
      </c>
      <c r="H96" s="7">
        <f>[1]节奏总纲!T96</f>
        <v>168.35003885171972</v>
      </c>
      <c r="J96" s="7">
        <v>93</v>
      </c>
      <c r="K96" s="7">
        <f>[1]节奏总纲!W96</f>
        <v>42.212381874115636</v>
      </c>
      <c r="L96" s="7">
        <f>[1]节奏总纲!X96</f>
        <v>36.049758099342739</v>
      </c>
      <c r="M96" s="7">
        <f>[1]节奏总纲!Y96</f>
        <v>28.56013214747054</v>
      </c>
      <c r="N96" s="7">
        <f>[1]节奏总纲!Z96</f>
        <v>19.95571533527368</v>
      </c>
      <c r="O96" s="7">
        <f>[1]节奏总纲!AA96</f>
        <v>10.704678593567451</v>
      </c>
      <c r="Q96" s="7">
        <v>93</v>
      </c>
      <c r="R96" s="7">
        <f>[1]节奏总纲!AD96</f>
        <v>65.537288901845059</v>
      </c>
      <c r="S96" s="7">
        <f>[1]节奏总纲!AE96</f>
        <v>67.554953663139216</v>
      </c>
      <c r="T96" s="7">
        <f>[1]节奏总纲!AF96</f>
        <v>70.446712344929153</v>
      </c>
      <c r="U96" s="7">
        <f>[1]节奏总纲!AG96</f>
        <v>74.966265940883147</v>
      </c>
      <c r="V96" s="7">
        <f>[1]节奏总纲!AH96</f>
        <v>83.589593176629805</v>
      </c>
      <c r="AN96" s="7">
        <v>93</v>
      </c>
      <c r="AO96" s="7">
        <f>[1]节奏总纲!BA96</f>
        <v>37.535266392462418</v>
      </c>
      <c r="AP96" s="7">
        <f>[1]节奏总纲!BB96</f>
        <v>39.047673544184711</v>
      </c>
      <c r="AQ96" s="7">
        <f>[1]节奏总纲!BC96</f>
        <v>40.984830450008985</v>
      </c>
      <c r="AR96" s="7">
        <f>[1]节奏总纲!BD96</f>
        <v>43.704218060932696</v>
      </c>
      <c r="AS96" s="7">
        <f>[1]节奏总纲!BE96</f>
        <v>48.389058749356593</v>
      </c>
      <c r="BD96" s="7"/>
    </row>
    <row r="97" spans="2:56" x14ac:dyDescent="0.15">
      <c r="B97" s="7">
        <f>[1]节奏总纲!N97</f>
        <v>104</v>
      </c>
      <c r="C97" s="7">
        <v>94</v>
      </c>
      <c r="D97" s="7">
        <f>[1]节奏总纲!P97</f>
        <v>674.58805031572183</v>
      </c>
      <c r="E97" s="7">
        <f>[1]节奏总纲!Q97</f>
        <v>576.30057138472114</v>
      </c>
      <c r="F97" s="7">
        <f>[1]节奏总纲!R97</f>
        <v>464.04911981218504</v>
      </c>
      <c r="G97" s="7">
        <f>[1]节奏总纲!S97</f>
        <v>332.70682641571403</v>
      </c>
      <c r="H97" s="7">
        <f>[1]节奏总纲!T97</f>
        <v>179.6427977990767</v>
      </c>
      <c r="J97" s="7">
        <v>94</v>
      </c>
      <c r="K97" s="7">
        <f>[1]节奏总纲!W97</f>
        <v>45.242110683124793</v>
      </c>
      <c r="L97" s="7">
        <f>[1]节奏总纲!X97</f>
        <v>37.958054622997565</v>
      </c>
      <c r="M97" s="7">
        <f>[1]节奏总纲!Y97</f>
        <v>30.366832811362372</v>
      </c>
      <c r="N97" s="7">
        <f>[1]节奏总纲!Z97</f>
        <v>21.180586297578486</v>
      </c>
      <c r="O97" s="7">
        <f>[1]节奏总纲!AA97</f>
        <v>11.292758947356987</v>
      </c>
      <c r="Q97" s="7">
        <v>94</v>
      </c>
      <c r="R97" s="7">
        <f>[1]节奏总纲!AD97</f>
        <v>65.691225232427584</v>
      </c>
      <c r="S97" s="7">
        <f>[1]节奏总纲!AE97</f>
        <v>67.712127008180858</v>
      </c>
      <c r="T97" s="7">
        <f>[1]节奏总纲!AF97</f>
        <v>70.601097119399213</v>
      </c>
      <c r="U97" s="7">
        <f>[1]节奏总纲!AG97</f>
        <v>75.115180559621535</v>
      </c>
      <c r="V97" s="7">
        <f>[1]节奏总纲!AH97</f>
        <v>83.744492718519624</v>
      </c>
      <c r="AN97" s="7">
        <v>94</v>
      </c>
      <c r="AO97" s="7">
        <f>[1]节奏总纲!BA97</f>
        <v>37.607869265319941</v>
      </c>
      <c r="AP97" s="7">
        <f>[1]节奏总纲!BB97</f>
        <v>39.115214427575864</v>
      </c>
      <c r="AQ97" s="7">
        <f>[1]节奏总纲!BC97</f>
        <v>41.053954370816207</v>
      </c>
      <c r="AR97" s="7">
        <f>[1]节奏总纲!BD97</f>
        <v>43.77911147780199</v>
      </c>
      <c r="AS97" s="7">
        <f>[1]节奏总纲!BE97</f>
        <v>48.460844748995065</v>
      </c>
      <c r="BD97" s="7"/>
    </row>
    <row r="98" spans="2:56" x14ac:dyDescent="0.15">
      <c r="B98" s="7">
        <f>[1]节奏总纲!N98</f>
        <v>105</v>
      </c>
      <c r="C98" s="7">
        <v>95</v>
      </c>
      <c r="D98" s="7">
        <f>[1]节奏总纲!P98</f>
        <v>723.0773439350246</v>
      </c>
      <c r="E98" s="7">
        <f>[1]节奏总纲!Q98</f>
        <v>618.15882133005255</v>
      </c>
      <c r="F98" s="7">
        <f>[1]节奏总纲!R98</f>
        <v>495.95875020503337</v>
      </c>
      <c r="G98" s="7">
        <f>[1]节奏总纲!S98</f>
        <v>355.39251454406457</v>
      </c>
      <c r="H98" s="7">
        <f>[1]节奏总纲!T98</f>
        <v>192.84472762747106</v>
      </c>
      <c r="J98" s="7">
        <v>95</v>
      </c>
      <c r="K98" s="7">
        <f>[1]节奏总纲!W98</f>
        <v>48.489293619302771</v>
      </c>
      <c r="L98" s="7">
        <f>[1]节奏总纲!X98</f>
        <v>41.858249945331409</v>
      </c>
      <c r="M98" s="7">
        <f>[1]节奏总纲!Y98</f>
        <v>31.909630392848328</v>
      </c>
      <c r="N98" s="7">
        <f>[1]节奏总纲!Z98</f>
        <v>22.685688128350534</v>
      </c>
      <c r="O98" s="7">
        <f>[1]节奏总纲!AA98</f>
        <v>13.201929828394356</v>
      </c>
      <c r="Q98" s="7">
        <v>95</v>
      </c>
      <c r="R98" s="7">
        <f>[1]节奏总纲!AD98</f>
        <v>65.845161563010123</v>
      </c>
      <c r="S98" s="7">
        <f>[1]节奏总纲!AE98</f>
        <v>67.869300353222485</v>
      </c>
      <c r="T98" s="7">
        <f>[1]节奏总纲!AF98</f>
        <v>70.755481893869288</v>
      </c>
      <c r="U98" s="7">
        <f>[1]节奏总纲!AG98</f>
        <v>75.261722981240993</v>
      </c>
      <c r="V98" s="7">
        <f>[1]节奏总纲!AH98</f>
        <v>83.899392260409456</v>
      </c>
      <c r="AN98" s="7">
        <v>95</v>
      </c>
      <c r="AO98" s="7">
        <f>[1]节奏总纲!BA98</f>
        <v>37.680472138177471</v>
      </c>
      <c r="AP98" s="7">
        <f>[1]节奏总纲!BB98</f>
        <v>39.182755310967018</v>
      </c>
      <c r="AQ98" s="7">
        <f>[1]节奏总纲!BC98</f>
        <v>41.120998062635785</v>
      </c>
      <c r="AR98" s="7">
        <f>[1]节奏总纲!BD98</f>
        <v>43.854004894671284</v>
      </c>
      <c r="AS98" s="7">
        <f>[1]节奏总纲!BE98</f>
        <v>48.532630748633537</v>
      </c>
      <c r="BD98" s="7"/>
    </row>
    <row r="99" spans="2:56" x14ac:dyDescent="0.15">
      <c r="B99" s="7">
        <f>[1]节奏总纲!N99</f>
        <v>106</v>
      </c>
      <c r="C99" s="7">
        <v>96</v>
      </c>
      <c r="D99" s="7">
        <f>[1]节奏总纲!P99</f>
        <v>775.04688205332377</v>
      </c>
      <c r="E99" s="7">
        <f>[1]节奏总纲!Q99</f>
        <v>661.0374857032798</v>
      </c>
      <c r="F99" s="7">
        <f>[1]节奏总纲!R99</f>
        <v>529.97705794806279</v>
      </c>
      <c r="G99" s="7">
        <f>[1]节奏总纲!S99</f>
        <v>380.70302846459265</v>
      </c>
      <c r="H99" s="7">
        <f>[1]节奏总纲!T99</f>
        <v>206.86001282003213</v>
      </c>
      <c r="J99" s="7">
        <v>96</v>
      </c>
      <c r="K99" s="7">
        <f>[1]节奏总纲!W99</f>
        <v>51.96953811829917</v>
      </c>
      <c r="L99" s="7">
        <f>[1]节奏总纲!X99</f>
        <v>42.878664373227252</v>
      </c>
      <c r="M99" s="7">
        <f>[1]节奏总纲!Y99</f>
        <v>34.018307743029425</v>
      </c>
      <c r="N99" s="7">
        <f>[1]节奏总纲!Z99</f>
        <v>25.310513920528081</v>
      </c>
      <c r="O99" s="7">
        <f>[1]节奏总纲!AA99</f>
        <v>14.015285192561066</v>
      </c>
      <c r="Q99" s="7">
        <v>96</v>
      </c>
      <c r="R99" s="7">
        <f>[1]节奏总纲!AD99</f>
        <v>65.999097893592648</v>
      </c>
      <c r="S99" s="7">
        <f>[1]节奏总纲!AE99</f>
        <v>68.025215371037646</v>
      </c>
      <c r="T99" s="7">
        <f>[1]节奏总纲!AF99</f>
        <v>70.909866668339362</v>
      </c>
      <c r="U99" s="7">
        <f>[1]节奏总纲!AG99</f>
        <v>75.408265402860437</v>
      </c>
      <c r="V99" s="7">
        <f>[1]节奏总纲!AH99</f>
        <v>84.050903767166133</v>
      </c>
      <c r="AN99" s="7">
        <v>96</v>
      </c>
      <c r="AO99" s="7">
        <f>[1]节奏总纲!BA99</f>
        <v>37.753075011035001</v>
      </c>
      <c r="AP99" s="7">
        <f>[1]节奏总纲!BB99</f>
        <v>39.250296194358178</v>
      </c>
      <c r="AQ99" s="7">
        <f>[1]节奏总纲!BC99</f>
        <v>41.188041754455355</v>
      </c>
      <c r="AR99" s="7">
        <f>[1]节奏总纲!BD99</f>
        <v>43.928898311540578</v>
      </c>
      <c r="AS99" s="7">
        <f>[1]节奏总纲!BE99</f>
        <v>48.604416748272008</v>
      </c>
      <c r="BD99" s="7"/>
    </row>
    <row r="100" spans="2:56" x14ac:dyDescent="0.15">
      <c r="B100" s="7">
        <f>[1]节奏总纲!N100</f>
        <v>107</v>
      </c>
      <c r="C100" s="7">
        <v>97</v>
      </c>
      <c r="D100" s="7">
        <f>[1]节奏总纲!P100</f>
        <v>830.74645386878444</v>
      </c>
      <c r="E100" s="7">
        <f>[1]节奏总纲!Q100</f>
        <v>707.71290405081743</v>
      </c>
      <c r="F100" s="7">
        <f>[1]节奏总纲!R100</f>
        <v>569.31054483627804</v>
      </c>
      <c r="G100" s="7">
        <f>[1]节奏总纲!S100</f>
        <v>409.80722569347137</v>
      </c>
      <c r="H100" s="7">
        <f>[1]节奏总纲!T100</f>
        <v>223.30464679992923</v>
      </c>
      <c r="J100" s="7">
        <v>97</v>
      </c>
      <c r="K100" s="7">
        <f>[1]节奏总纲!W100</f>
        <v>55.699571815460672</v>
      </c>
      <c r="L100" s="7">
        <f>[1]节奏总纲!X100</f>
        <v>46.675418347537629</v>
      </c>
      <c r="M100" s="7">
        <f>[1]节奏总纲!Y100</f>
        <v>39.333486888215248</v>
      </c>
      <c r="N100" s="7">
        <f>[1]节奏总纲!Z100</f>
        <v>29.104197228878718</v>
      </c>
      <c r="O100" s="7">
        <f>[1]节奏总纲!AA100</f>
        <v>16.444633979897105</v>
      </c>
      <c r="Q100" s="7">
        <v>97</v>
      </c>
      <c r="R100" s="7">
        <f>[1]节奏总纲!AD100</f>
        <v>66.142785979989682</v>
      </c>
      <c r="S100" s="7">
        <f>[1]节奏总纲!AE100</f>
        <v>68.174918074940805</v>
      </c>
      <c r="T100" s="7">
        <f>[1]节奏总纲!AF100</f>
        <v>71.061795050376986</v>
      </c>
      <c r="U100" s="7">
        <f>[1]节奏总纲!AG100</f>
        <v>75.554807824479894</v>
      </c>
      <c r="V100" s="7">
        <f>[1]节奏总纲!AH100</f>
        <v>84.196136930932482</v>
      </c>
      <c r="AN100" s="7">
        <v>97</v>
      </c>
      <c r="AO100" s="7">
        <f>[1]节奏总纲!BA100</f>
        <v>37.825677883892531</v>
      </c>
      <c r="AP100" s="7">
        <f>[1]节奏总纲!BB100</f>
        <v>39.317837077749331</v>
      </c>
      <c r="AQ100" s="7">
        <f>[1]节奏总纲!BC100</f>
        <v>41.255085446274933</v>
      </c>
      <c r="AR100" s="7">
        <f>[1]节奏总纲!BD100</f>
        <v>44.003272544984547</v>
      </c>
      <c r="AS100" s="7">
        <f>[1]节奏总纲!BE100</f>
        <v>48.67620274791048</v>
      </c>
      <c r="BD100" s="7"/>
    </row>
    <row r="101" spans="2:56" x14ac:dyDescent="0.15">
      <c r="B101" s="7">
        <f>[1]节奏总纲!N101</f>
        <v>108</v>
      </c>
      <c r="C101" s="7">
        <v>98</v>
      </c>
      <c r="D101" s="7">
        <f>[1]节奏总纲!P101</f>
        <v>890.4437768152311</v>
      </c>
      <c r="E101" s="7">
        <f>[1]节奏总纲!Q101</f>
        <v>760.34994102252585</v>
      </c>
      <c r="F101" s="7">
        <f>[1]节奏总纲!R101</f>
        <v>612.98149595960513</v>
      </c>
      <c r="G101" s="7">
        <f>[1]节奏总纲!S101</f>
        <v>441.9272464333992</v>
      </c>
      <c r="H101" s="7">
        <f>[1]节奏总纲!T101</f>
        <v>240.77599725083846</v>
      </c>
      <c r="J101" s="7">
        <v>98</v>
      </c>
      <c r="K101" s="7">
        <f>[1]节奏总纲!W101</f>
        <v>59.697322946446661</v>
      </c>
      <c r="L101" s="7">
        <f>[1]节奏总纲!X101</f>
        <v>52.637036971708426</v>
      </c>
      <c r="M101" s="7">
        <f>[1]节奏总纲!Y101</f>
        <v>43.670951123327086</v>
      </c>
      <c r="N101" s="7">
        <f>[1]节奏总纲!Z101</f>
        <v>32.120020739927838</v>
      </c>
      <c r="O101" s="7">
        <f>[1]节奏总纲!AA101</f>
        <v>17.471350450909227</v>
      </c>
      <c r="Q101" s="7">
        <v>98</v>
      </c>
      <c r="R101" s="7">
        <f>[1]节奏总纲!AD101</f>
        <v>66.286413655019302</v>
      </c>
      <c r="S101" s="7">
        <f>[1]节奏总纲!AE101</f>
        <v>68.324620778843951</v>
      </c>
      <c r="T101" s="7">
        <f>[1]节奏总纲!AF101</f>
        <v>71.210277551293188</v>
      </c>
      <c r="U101" s="7">
        <f>[1]节奏总纲!AG101</f>
        <v>75.701350246099338</v>
      </c>
      <c r="V101" s="7">
        <f>[1]节奏总纲!AH101</f>
        <v>84.341370094698831</v>
      </c>
      <c r="AN101" s="7">
        <v>98</v>
      </c>
      <c r="AO101" s="7">
        <f>[1]节奏总纲!BA101</f>
        <v>37.898280756750061</v>
      </c>
      <c r="AP101" s="7">
        <f>[1]节奏总纲!BB101</f>
        <v>39.385377961140485</v>
      </c>
      <c r="AQ101" s="7">
        <f>[1]节奏总纲!BC101</f>
        <v>41.322129138094503</v>
      </c>
      <c r="AR101" s="7">
        <f>[1]节奏总纲!BD101</f>
        <v>44.067911160744309</v>
      </c>
      <c r="AS101" s="7">
        <f>[1]节奏总纲!BE101</f>
        <v>48.747988747548945</v>
      </c>
      <c r="BD101" s="7"/>
    </row>
    <row r="102" spans="2:56" x14ac:dyDescent="0.15">
      <c r="B102" s="7">
        <f>[1]节奏总纲!N102</f>
        <v>109</v>
      </c>
      <c r="C102" s="7">
        <v>99</v>
      </c>
      <c r="D102" s="7">
        <f>[1]节奏总纲!P102</f>
        <v>954.42578333369079</v>
      </c>
      <c r="E102" s="7">
        <f>[1]节奏总纲!Q102</f>
        <v>816.51125764197252</v>
      </c>
      <c r="F102" s="7">
        <f>[1]节奏总纲!R102</f>
        <v>658.6492330785801</v>
      </c>
      <c r="G102" s="7">
        <f>[1]节奏总纲!S102</f>
        <v>475.39948267851139</v>
      </c>
      <c r="H102" s="7">
        <f>[1]节奏总纲!T102</f>
        <v>257.59951892176309</v>
      </c>
      <c r="J102" s="7">
        <v>99</v>
      </c>
      <c r="K102" s="7">
        <f>[1]节奏总纲!W102</f>
        <v>63.982006518459684</v>
      </c>
      <c r="L102" s="7">
        <f>[1]节奏总纲!X102</f>
        <v>56.161316619446666</v>
      </c>
      <c r="M102" s="7">
        <f>[1]节奏总纲!Y102</f>
        <v>45.667737118974969</v>
      </c>
      <c r="N102" s="7">
        <f>[1]节奏总纲!Z102</f>
        <v>33.472236245112185</v>
      </c>
      <c r="O102" s="7">
        <f>[1]节奏总纲!AA102</f>
        <v>16.823521670924634</v>
      </c>
      <c r="Q102" s="7">
        <v>99</v>
      </c>
      <c r="R102" s="7">
        <f>[1]节奏总纲!AD102</f>
        <v>66.430041330048923</v>
      </c>
      <c r="S102" s="7">
        <f>[1]节奏总纲!AE102</f>
        <v>68.474323482747096</v>
      </c>
      <c r="T102" s="7">
        <f>[1]节奏总纲!AF102</f>
        <v>71.358760052209377</v>
      </c>
      <c r="U102" s="7">
        <f>[1]节奏总纲!AG102</f>
        <v>75.847892667718796</v>
      </c>
      <c r="V102" s="7">
        <f>[1]节奏总纲!AH102</f>
        <v>84.48660325846518</v>
      </c>
      <c r="AN102" s="7">
        <v>99</v>
      </c>
      <c r="AO102" s="7">
        <f>[1]节奏总纲!BA102</f>
        <v>37.970883629607592</v>
      </c>
      <c r="AP102" s="7">
        <f>[1]节奏总纲!BB102</f>
        <v>39.452918844531645</v>
      </c>
      <c r="AQ102" s="7">
        <f>[1]节奏总纲!BC102</f>
        <v>41.389172829914081</v>
      </c>
      <c r="AR102" s="7">
        <f>[1]节奏总纲!BD102</f>
        <v>44.132549776504064</v>
      </c>
      <c r="AS102" s="7">
        <f>[1]节奏总纲!BE102</f>
        <v>48.819774747187417</v>
      </c>
      <c r="BD102" s="7"/>
    </row>
    <row r="103" spans="2:56" x14ac:dyDescent="0.15">
      <c r="B103" s="7">
        <f>[1]节奏总纲!N103</f>
        <v>110</v>
      </c>
      <c r="C103" s="7">
        <v>100</v>
      </c>
      <c r="D103" s="7">
        <f>[1]节奏总纲!P103</f>
        <v>1023</v>
      </c>
      <c r="E103" s="7">
        <f>[1]节奏总纲!Q103</f>
        <v>875.38110000000006</v>
      </c>
      <c r="F103" s="7">
        <f>[1]节奏总纲!R103</f>
        <v>706.6884</v>
      </c>
      <c r="G103" s="7">
        <f>[1]节奏总纲!S103</f>
        <v>508.22640000000001</v>
      </c>
      <c r="H103" s="7">
        <f>[1]节奏总纲!T103</f>
        <v>274.77780000000001</v>
      </c>
      <c r="J103" s="7">
        <v>100</v>
      </c>
      <c r="K103" s="7">
        <f>[1]节奏总纲!W103</f>
        <v>68.574216666309212</v>
      </c>
      <c r="L103" s="7">
        <f>[1]节奏总纲!X103</f>
        <v>58.86984235802754</v>
      </c>
      <c r="M103" s="7">
        <f>[1]节奏总纲!Y103</f>
        <v>48.039166921419906</v>
      </c>
      <c r="N103" s="7">
        <f>[1]节奏总纲!Z103</f>
        <v>32.826917321488622</v>
      </c>
      <c r="O103" s="7">
        <f>[1]节奏总纲!AA103</f>
        <v>17.178281078236921</v>
      </c>
      <c r="Q103" s="7">
        <v>100</v>
      </c>
      <c r="R103" s="7">
        <f>[1]节奏总纲!AD103</f>
        <v>66.573669005078543</v>
      </c>
      <c r="S103" s="7">
        <f>[1]节奏总纲!AE103</f>
        <v>68.624026186650241</v>
      </c>
      <c r="T103" s="7">
        <f>[1]节奏总纲!AF103</f>
        <v>71.507242553125565</v>
      </c>
      <c r="U103" s="7">
        <f>[1]节奏总纲!AG103</f>
        <v>75.994435089338239</v>
      </c>
      <c r="V103" s="7">
        <f>[1]节奏总纲!AH103</f>
        <v>84.63183642223153</v>
      </c>
      <c r="AN103" s="7">
        <v>100</v>
      </c>
      <c r="AO103" s="7">
        <f>[1]节奏总纲!BA103</f>
        <v>38.037513426486328</v>
      </c>
      <c r="AP103" s="7">
        <f>[1]节奏总纲!BB103</f>
        <v>39.520459727922798</v>
      </c>
      <c r="AQ103" s="7">
        <f>[1]节奏总纲!BC103</f>
        <v>41.456216521733651</v>
      </c>
      <c r="AR103" s="7">
        <f>[1]节奏总纲!BD103</f>
        <v>44.197188392263818</v>
      </c>
      <c r="AS103" s="7">
        <f>[1]节奏总纲!BE103</f>
        <v>48.891560746825888</v>
      </c>
      <c r="BD103" s="7"/>
    </row>
    <row r="104" spans="2:56" x14ac:dyDescent="0.15">
      <c r="B104" s="7">
        <f>[1]节奏总纲!N104</f>
        <v>111</v>
      </c>
      <c r="C104" s="7">
        <v>101</v>
      </c>
      <c r="D104" s="7">
        <f>[1]节奏总纲!P104</f>
        <v>1096.4960256371633</v>
      </c>
      <c r="E104" s="7">
        <f>[1]节奏总纲!Q104</f>
        <v>939.14884595823037</v>
      </c>
      <c r="F104" s="7">
        <f>[1]节奏总纲!R104</f>
        <v>756.25330888195151</v>
      </c>
      <c r="G104" s="7">
        <f>[1]节奏总纲!S104</f>
        <v>541.99798547244984</v>
      </c>
      <c r="H104" s="7">
        <f>[1]节奏总纲!T104</f>
        <v>293.42233646050488</v>
      </c>
      <c r="J104" s="7">
        <v>101</v>
      </c>
      <c r="K104" s="7">
        <f>[1]节奏总纲!W104</f>
        <v>73.496025637163257</v>
      </c>
      <c r="L104" s="7">
        <f>[1]节奏总纲!X104</f>
        <v>63.767745958230307</v>
      </c>
      <c r="M104" s="7">
        <f>[1]节奏总纲!Y104</f>
        <v>49.56490888195151</v>
      </c>
      <c r="N104" s="7">
        <f>[1]节奏总纲!Z104</f>
        <v>33.771585472449829</v>
      </c>
      <c r="O104" s="7">
        <f>[1]节奏总纲!AA104</f>
        <v>18.644536460504867</v>
      </c>
      <c r="Q104" s="7">
        <v>101</v>
      </c>
      <c r="R104" s="7">
        <f>[1]节奏总纲!AD104</f>
        <v>66.717296680108163</v>
      </c>
      <c r="S104" s="7">
        <f>[1]节奏总纲!AE104</f>
        <v>68.773728890553386</v>
      </c>
      <c r="T104" s="7">
        <f>[1]节奏总纲!AF104</f>
        <v>71.655725054041767</v>
      </c>
      <c r="U104" s="7">
        <f>[1]节奏总纲!AG104</f>
        <v>76.130305911210229</v>
      </c>
      <c r="V104" s="7">
        <f>[1]节奏总纲!AH104</f>
        <v>84.777069585997879</v>
      </c>
      <c r="AN104" s="7">
        <v>101</v>
      </c>
      <c r="AO104" s="7">
        <f>[1]节奏总纲!BA104</f>
        <v>38.100143952724252</v>
      </c>
      <c r="AP104" s="7">
        <f>[1]节奏总纲!BB104</f>
        <v>39.588000611313952</v>
      </c>
      <c r="AQ104" s="7">
        <f>[1]节奏总纲!BC104</f>
        <v>41.523260213553229</v>
      </c>
      <c r="AR104" s="7">
        <f>[1]节奏总纲!BD104</f>
        <v>44.261827008023573</v>
      </c>
      <c r="AS104" s="7">
        <f>[1]节奏总纲!BE104</f>
        <v>48.96334674646436</v>
      </c>
      <c r="BD104" s="7"/>
    </row>
    <row r="105" spans="2:56" x14ac:dyDescent="0.15">
      <c r="B105" s="7">
        <f>[1]节奏总纲!N105</f>
        <v>112</v>
      </c>
      <c r="C105" s="7">
        <v>102</v>
      </c>
      <c r="D105" s="7">
        <f>[1]节奏总纲!P105</f>
        <v>1175.2671155169628</v>
      </c>
      <c r="E105" s="7">
        <f>[1]节奏总纲!Q105</f>
        <v>1004.2657502092447</v>
      </c>
      <c r="F105" s="7">
        <f>[1]节奏总纲!R105</f>
        <v>806.23324124463659</v>
      </c>
      <c r="G105" s="7">
        <f>[1]节奏总纲!S105</f>
        <v>577.99636741124232</v>
      </c>
      <c r="H105" s="7">
        <f>[1]节奏总纲!T105</f>
        <v>313.56126641992563</v>
      </c>
      <c r="J105" s="7">
        <v>102</v>
      </c>
      <c r="K105" s="7">
        <f>[1]节奏总纲!W105</f>
        <v>78.771089879799547</v>
      </c>
      <c r="L105" s="7">
        <f>[1]节奏总纲!X105</f>
        <v>65.116904251014375</v>
      </c>
      <c r="M105" s="7">
        <f>[1]节奏总纲!Y105</f>
        <v>49.979932362685076</v>
      </c>
      <c r="N105" s="7">
        <f>[1]节奏总纲!Z105</f>
        <v>35.998381938792477</v>
      </c>
      <c r="O105" s="7">
        <f>[1]节奏总纲!AA105</f>
        <v>20.13892995942075</v>
      </c>
      <c r="Q105" s="7">
        <v>102</v>
      </c>
      <c r="R105" s="7">
        <f>[1]节奏总纲!AD105</f>
        <v>66.860924355137783</v>
      </c>
      <c r="S105" s="7">
        <f>[1]节奏总纲!AE105</f>
        <v>68.923431594456531</v>
      </c>
      <c r="T105" s="7">
        <f>[1]节奏总纲!AF105</f>
        <v>71.804207554957955</v>
      </c>
      <c r="U105" s="7">
        <f>[1]节奏总纲!AG105</f>
        <v>76.265755485049056</v>
      </c>
      <c r="V105" s="7">
        <f>[1]节奏总纲!AH105</f>
        <v>84.922302749764228</v>
      </c>
      <c r="AN105" s="7">
        <v>102</v>
      </c>
      <c r="AO105" s="7">
        <f>[1]节奏总纲!BA105</f>
        <v>38.16277447896217</v>
      </c>
      <c r="AP105" s="7">
        <f>[1]节奏总纲!BB105</f>
        <v>39.655541494705105</v>
      </c>
      <c r="AQ105" s="7">
        <f>[1]节奏总纲!BC105</f>
        <v>41.590303905372799</v>
      </c>
      <c r="AR105" s="7">
        <f>[1]节奏总纲!BD105</f>
        <v>44.326465623783335</v>
      </c>
      <c r="AS105" s="7">
        <f>[1]节奏总纲!BE105</f>
        <v>49.030333272797542</v>
      </c>
      <c r="BD105" s="7"/>
    </row>
    <row r="106" spans="2:56" x14ac:dyDescent="0.15">
      <c r="B106" s="7">
        <f>[1]节奏总纲!N106</f>
        <v>113</v>
      </c>
      <c r="C106" s="7">
        <v>103</v>
      </c>
      <c r="D106" s="7">
        <f>[1]节奏总纲!P106</f>
        <v>1259.6918792651943</v>
      </c>
      <c r="E106" s="7">
        <f>[1]节奏总纲!Q106</f>
        <v>1073.383450321872</v>
      </c>
      <c r="F106" s="7">
        <f>[1]节奏总纲!R106</f>
        <v>861.50327622946634</v>
      </c>
      <c r="G106" s="7">
        <f>[1]节奏总纲!S106</f>
        <v>619.01258947091651</v>
      </c>
      <c r="H106" s="7">
        <f>[1]节奏总纲!T106</f>
        <v>335.8338550121008</v>
      </c>
      <c r="J106" s="7">
        <v>103</v>
      </c>
      <c r="K106" s="7">
        <f>[1]节奏总纲!W106</f>
        <v>84.424763748231499</v>
      </c>
      <c r="L106" s="7">
        <f>[1]节奏总纲!X106</f>
        <v>69.11770011262729</v>
      </c>
      <c r="M106" s="7">
        <f>[1]节奏总纲!Y106</f>
        <v>55.270034984829749</v>
      </c>
      <c r="N106" s="7">
        <f>[1]节奏总纲!Z106</f>
        <v>41.016222059674192</v>
      </c>
      <c r="O106" s="7">
        <f>[1]节奏总纲!AA106</f>
        <v>22.272588592175168</v>
      </c>
      <c r="Q106" s="7">
        <v>103</v>
      </c>
      <c r="R106" s="7">
        <f>[1]节奏总纲!AD106</f>
        <v>67.004247194324648</v>
      </c>
      <c r="S106" s="7">
        <f>[1]节奏总纲!AE106</f>
        <v>69.0655056802525</v>
      </c>
      <c r="T106" s="7">
        <f>[1]节奏总纲!AF106</f>
        <v>71.952690055874157</v>
      </c>
      <c r="U106" s="7">
        <f>[1]节奏总纲!AG106</f>
        <v>76.401205058887882</v>
      </c>
      <c r="V106" s="7">
        <f>[1]节奏总纲!AH106</f>
        <v>85.072521641060263</v>
      </c>
      <c r="AN106" s="7">
        <v>103</v>
      </c>
      <c r="AO106" s="7">
        <f>[1]节奏总纲!BA106</f>
        <v>38.225405005200088</v>
      </c>
      <c r="AP106" s="7">
        <f>[1]节奏总纲!BB106</f>
        <v>39.723082378096265</v>
      </c>
      <c r="AQ106" s="7">
        <f>[1]节奏总纲!BC106</f>
        <v>41.657347597192377</v>
      </c>
      <c r="AR106" s="7">
        <f>[1]节奏总纲!BD106</f>
        <v>44.39110423954309</v>
      </c>
      <c r="AS106" s="7">
        <f>[1]节奏总纲!BE106</f>
        <v>49.09231260978715</v>
      </c>
      <c r="BD106" s="7"/>
    </row>
    <row r="107" spans="2:56" x14ac:dyDescent="0.15">
      <c r="B107" s="7">
        <f>[1]节奏总纲!N107</f>
        <v>114</v>
      </c>
      <c r="C107" s="7">
        <v>104</v>
      </c>
      <c r="D107" s="7">
        <f>[1]节奏总纲!P107</f>
        <v>1350.1761006314437</v>
      </c>
      <c r="E107" s="7">
        <f>[1]节奏总纲!Q107</f>
        <v>1150.7550905681794</v>
      </c>
      <c r="F107" s="7">
        <f>[1]节奏总纲!R107</f>
        <v>925.41069937279144</v>
      </c>
      <c r="G107" s="7">
        <f>[1]节奏总纲!S107</f>
        <v>665.09674717104917</v>
      </c>
      <c r="H107" s="7">
        <f>[1]节奏总纲!T107</f>
        <v>360.49701886859549</v>
      </c>
      <c r="J107" s="7">
        <v>104</v>
      </c>
      <c r="K107" s="7">
        <f>[1]节奏总纲!W107</f>
        <v>90.484221366249358</v>
      </c>
      <c r="L107" s="7">
        <f>[1]节奏总纲!X107</f>
        <v>77.371640246307379</v>
      </c>
      <c r="M107" s="7">
        <f>[1]节奏总纲!Y107</f>
        <v>63.907423143325104</v>
      </c>
      <c r="N107" s="7">
        <f>[1]节奏总纲!Z107</f>
        <v>46.084157700132664</v>
      </c>
      <c r="O107" s="7">
        <f>[1]节奏总纲!AA107</f>
        <v>24.663163856494691</v>
      </c>
      <c r="Q107" s="7">
        <v>104</v>
      </c>
      <c r="R107" s="7">
        <f>[1]节奏总纲!AD107</f>
        <v>67.138256553625013</v>
      </c>
      <c r="S107" s="7">
        <f>[1]节奏总纲!AE107</f>
        <v>69.199592937186125</v>
      </c>
      <c r="T107" s="7">
        <f>[1]节奏总纲!AF107</f>
        <v>72.093818006439079</v>
      </c>
      <c r="U107" s="7">
        <f>[1]节奏总纲!AG107</f>
        <v>76.536654632726695</v>
      </c>
      <c r="V107" s="7">
        <f>[1]节奏总纲!AH107</f>
        <v>85.228476403824274</v>
      </c>
      <c r="AN107" s="7">
        <v>104</v>
      </c>
      <c r="AO107" s="7">
        <f>[1]节奏总纲!BA107</f>
        <v>38.288035531438013</v>
      </c>
      <c r="AP107" s="7">
        <f>[1]节奏总纲!BB107</f>
        <v>39.790623261487418</v>
      </c>
      <c r="AQ107" s="7">
        <f>[1]节奏总纲!BC107</f>
        <v>41.724391289011947</v>
      </c>
      <c r="AR107" s="7">
        <f>[1]节奏总纲!BD107</f>
        <v>44.455742855302844</v>
      </c>
      <c r="AS107" s="7">
        <f>[1]节奏总纲!BE107</f>
        <v>49.154291946776759</v>
      </c>
      <c r="BD107" s="7"/>
    </row>
    <row r="108" spans="2:56" x14ac:dyDescent="0.15">
      <c r="B108" s="7">
        <f>[1]节奏总纲!N108</f>
        <v>115</v>
      </c>
      <c r="C108" s="7">
        <v>105</v>
      </c>
      <c r="D108" s="7">
        <f>[1]节奏总纲!P108</f>
        <v>1447.1546878700494</v>
      </c>
      <c r="E108" s="7">
        <f>[1]节奏总纲!Q108</f>
        <v>1234.8570951595132</v>
      </c>
      <c r="F108" s="7">
        <f>[1]节奏总纲!R108</f>
        <v>993.18226228521496</v>
      </c>
      <c r="G108" s="7">
        <f>[1]节奏总纲!S108</f>
        <v>713.59197658872131</v>
      </c>
      <c r="H108" s="7">
        <f>[1]节奏总纲!T108</f>
        <v>386.39030166130323</v>
      </c>
      <c r="J108" s="7">
        <v>105</v>
      </c>
      <c r="K108" s="7">
        <f>[1]节奏总纲!W108</f>
        <v>96.978587238605769</v>
      </c>
      <c r="L108" s="7">
        <f>[1]节奏总纲!X108</f>
        <v>84.102004591333753</v>
      </c>
      <c r="M108" s="7">
        <f>[1]节奏总纲!Y108</f>
        <v>67.771562912423519</v>
      </c>
      <c r="N108" s="7">
        <f>[1]节奏总纲!Z108</f>
        <v>48.495229417672135</v>
      </c>
      <c r="O108" s="7">
        <f>[1]节奏总纲!AA108</f>
        <v>25.893282792707737</v>
      </c>
      <c r="Q108" s="7">
        <v>105</v>
      </c>
      <c r="R108" s="7">
        <f>[1]节奏总纲!AD108</f>
        <v>67.272265912925377</v>
      </c>
      <c r="S108" s="7">
        <f>[1]节奏总纲!AE108</f>
        <v>69.333680194119751</v>
      </c>
      <c r="T108" s="7">
        <f>[1]节奏总纲!AF108</f>
        <v>72.23150684883845</v>
      </c>
      <c r="U108" s="7">
        <f>[1]节奏总纲!AG108</f>
        <v>76.672104206565521</v>
      </c>
      <c r="V108" s="7">
        <f>[1]节奏总纲!AH108</f>
        <v>85.384431166588271</v>
      </c>
      <c r="AN108" s="7">
        <v>105</v>
      </c>
      <c r="AO108" s="7">
        <f>[1]节奏总纲!BA108</f>
        <v>38.35066605767593</v>
      </c>
      <c r="AP108" s="7">
        <f>[1]节奏总纲!BB108</f>
        <v>39.858164144878572</v>
      </c>
      <c r="AQ108" s="7">
        <f>[1]节奏总纲!BC108</f>
        <v>41.791434980831518</v>
      </c>
      <c r="AR108" s="7">
        <f>[1]节奏总纲!BD108</f>
        <v>44.520381471062606</v>
      </c>
      <c r="AS108" s="7">
        <f>[1]节奏总纲!BE108</f>
        <v>49.216271283766375</v>
      </c>
      <c r="BD108" s="7"/>
    </row>
    <row r="109" spans="2:56" x14ac:dyDescent="0.15">
      <c r="B109" s="7">
        <f>[1]节奏总纲!N109</f>
        <v>116</v>
      </c>
      <c r="C109" s="7">
        <v>106</v>
      </c>
      <c r="D109" s="7">
        <f>[1]节奏总纲!P109</f>
        <v>1551.0937641066464</v>
      </c>
      <c r="E109" s="7">
        <f>[1]节奏总纲!Q109</f>
        <v>1324.4789651706653</v>
      </c>
      <c r="F109" s="7">
        <f>[1]节奏总纲!R109</f>
        <v>1064.6707596828021</v>
      </c>
      <c r="G109" s="7">
        <f>[1]节奏总纲!S109</f>
        <v>764.3790069517554</v>
      </c>
      <c r="H109" s="7">
        <f>[1]节奏总纲!T109</f>
        <v>412.59094125236794</v>
      </c>
      <c r="J109" s="7">
        <v>106</v>
      </c>
      <c r="K109" s="7">
        <f>[1]节奏总纲!W109</f>
        <v>103.93907623659697</v>
      </c>
      <c r="L109" s="7">
        <f>[1]节奏总纲!X109</f>
        <v>89.621870011152168</v>
      </c>
      <c r="M109" s="7">
        <f>[1]节奏总纲!Y109</f>
        <v>71.488497397587139</v>
      </c>
      <c r="N109" s="7">
        <f>[1]节奏总纲!Z109</f>
        <v>50.787030363034091</v>
      </c>
      <c r="O109" s="7">
        <f>[1]节奏总纲!AA109</f>
        <v>26.200639591064714</v>
      </c>
      <c r="Q109" s="7">
        <v>106</v>
      </c>
      <c r="R109" s="7">
        <f>[1]节奏总纲!AD109</f>
        <v>67.406275272225741</v>
      </c>
      <c r="S109" s="7">
        <f>[1]节奏总纲!AE109</f>
        <v>69.467767451053362</v>
      </c>
      <c r="T109" s="7">
        <f>[1]节奏总纲!AF109</f>
        <v>72.369195691237806</v>
      </c>
      <c r="U109" s="7">
        <f>[1]节奏总纲!AG109</f>
        <v>76.807553780404334</v>
      </c>
      <c r="V109" s="7">
        <f>[1]节奏总纲!AH109</f>
        <v>85.540385929352269</v>
      </c>
      <c r="AN109" s="7">
        <v>106</v>
      </c>
      <c r="AO109" s="7">
        <f>[1]节奏总纲!BA109</f>
        <v>38.413296583913848</v>
      </c>
      <c r="AP109" s="7">
        <f>[1]节奏总纲!BB109</f>
        <v>39.925705028269732</v>
      </c>
      <c r="AQ109" s="7">
        <f>[1]节奏总纲!BC109</f>
        <v>41.858478672651096</v>
      </c>
      <c r="AR109" s="7">
        <f>[1]节奏总纲!BD109</f>
        <v>44.585020086822361</v>
      </c>
      <c r="AS109" s="7">
        <f>[1]节奏总纲!BE109</f>
        <v>49.278250620755983</v>
      </c>
      <c r="BD109" s="7"/>
    </row>
    <row r="110" spans="2:56" x14ac:dyDescent="0.15">
      <c r="B110" s="7">
        <f>[1]节奏总纲!N110</f>
        <v>117</v>
      </c>
      <c r="C110" s="7">
        <v>107</v>
      </c>
      <c r="D110" s="7">
        <f>[1]节奏总纲!P110</f>
        <v>1662.4929077375689</v>
      </c>
      <c r="E110" s="7">
        <f>[1]节奏总纲!Q110</f>
        <v>1418.9376967540152</v>
      </c>
      <c r="F110" s="7">
        <f>[1]节奏总纲!R110</f>
        <v>1141.6338797433884</v>
      </c>
      <c r="G110" s="7">
        <f>[1]节奏总纲!S110</f>
        <v>816.11776840837263</v>
      </c>
      <c r="H110" s="7">
        <f>[1]节奏总纲!T110</f>
        <v>440.22812196890823</v>
      </c>
      <c r="J110" s="7">
        <v>107</v>
      </c>
      <c r="K110" s="7">
        <f>[1]节奏总纲!W110</f>
        <v>111.39914363092248</v>
      </c>
      <c r="L110" s="7">
        <f>[1]节奏总纲!X110</f>
        <v>94.458731583349845</v>
      </c>
      <c r="M110" s="7">
        <f>[1]节奏总纲!Y110</f>
        <v>76.963120060586334</v>
      </c>
      <c r="N110" s="7">
        <f>[1]节奏总纲!Z110</f>
        <v>51.738761456617226</v>
      </c>
      <c r="O110" s="7">
        <f>[1]节奏总纲!AA110</f>
        <v>27.637180716540286</v>
      </c>
      <c r="Q110" s="7">
        <v>107</v>
      </c>
      <c r="R110" s="7">
        <f>[1]节奏总纲!AD110</f>
        <v>67.540284631526106</v>
      </c>
      <c r="S110" s="7">
        <f>[1]节奏总纲!AE110</f>
        <v>69.601854707986988</v>
      </c>
      <c r="T110" s="7">
        <f>[1]节奏总纲!AF110</f>
        <v>72.506884533637162</v>
      </c>
      <c r="U110" s="7">
        <f>[1]节奏总纲!AG110</f>
        <v>76.94300335424316</v>
      </c>
      <c r="V110" s="7">
        <f>[1]节奏总纲!AH110</f>
        <v>85.696340692116266</v>
      </c>
      <c r="AN110" s="7">
        <v>107</v>
      </c>
      <c r="AO110" s="7">
        <f>[1]节奏总纲!BA110</f>
        <v>38.475927110151773</v>
      </c>
      <c r="AP110" s="7">
        <f>[1]节奏总纲!BB110</f>
        <v>39.993245911660885</v>
      </c>
      <c r="AQ110" s="7">
        <f>[1]节奏总纲!BC110</f>
        <v>41.925522364470666</v>
      </c>
      <c r="AR110" s="7">
        <f>[1]节奏总纲!BD110</f>
        <v>44.649658702582116</v>
      </c>
      <c r="AS110" s="7">
        <f>[1]节奏总纲!BE110</f>
        <v>49.340229957745592</v>
      </c>
      <c r="BD110" s="7"/>
    </row>
    <row r="111" spans="2:56" x14ac:dyDescent="0.15">
      <c r="B111" s="7">
        <f>[1]节奏总纲!N111</f>
        <v>118</v>
      </c>
      <c r="C111" s="7">
        <v>108</v>
      </c>
      <c r="D111" s="7">
        <f>[1]节奏总纲!P111</f>
        <v>1781.8875536304624</v>
      </c>
      <c r="E111" s="7">
        <f>[1]节奏总纲!Q111</f>
        <v>1520.8410270235997</v>
      </c>
      <c r="F111" s="7">
        <f>[1]节奏总纲!R111</f>
        <v>1218.0983316617842</v>
      </c>
      <c r="G111" s="7">
        <f>[1]节奏总纲!S111</f>
        <v>871.69939123602228</v>
      </c>
      <c r="H111" s="7">
        <f>[1]节奏总纲!T111</f>
        <v>471.13106917989433</v>
      </c>
      <c r="J111" s="7">
        <v>108</v>
      </c>
      <c r="K111" s="7">
        <f>[1]节奏总纲!W111</f>
        <v>119.39464589289355</v>
      </c>
      <c r="L111" s="7">
        <f>[1]节奏总纲!X111</f>
        <v>101.90333026958456</v>
      </c>
      <c r="M111" s="7">
        <f>[1]节奏总纲!Y111</f>
        <v>76.464451918395753</v>
      </c>
      <c r="N111" s="7">
        <f>[1]节奏总纲!Z111</f>
        <v>55.581622827649653</v>
      </c>
      <c r="O111" s="7">
        <f>[1]节奏总纲!AA111</f>
        <v>30.902947210986099</v>
      </c>
      <c r="Q111" s="7">
        <v>108</v>
      </c>
      <c r="R111" s="7">
        <f>[1]节奏总纲!AD111</f>
        <v>67.674293990826456</v>
      </c>
      <c r="S111" s="7">
        <f>[1]节奏总纲!AE111</f>
        <v>69.735941964920613</v>
      </c>
      <c r="T111" s="7">
        <f>[1]节奏总纲!AF111</f>
        <v>72.644573376036519</v>
      </c>
      <c r="U111" s="7">
        <f>[1]节奏总纲!AG111</f>
        <v>77.074762810762508</v>
      </c>
      <c r="V111" s="7">
        <f>[1]节奏总纲!AH111</f>
        <v>85.852295454880277</v>
      </c>
      <c r="AN111" s="7">
        <v>108</v>
      </c>
      <c r="AO111" s="7">
        <f>[1]节奏总纲!BA111</f>
        <v>38.53855763638969</v>
      </c>
      <c r="AP111" s="7">
        <f>[1]节奏总纲!BB111</f>
        <v>40.052446592012309</v>
      </c>
      <c r="AQ111" s="7">
        <f>[1]节奏总纲!BC111</f>
        <v>41.992566056290244</v>
      </c>
      <c r="AR111" s="7">
        <f>[1]节奏总纲!BD111</f>
        <v>44.71429731834187</v>
      </c>
      <c r="AS111" s="7">
        <f>[1]节奏总纲!BE111</f>
        <v>49.402209294735208</v>
      </c>
      <c r="BD111" s="7"/>
    </row>
    <row r="112" spans="2:56" x14ac:dyDescent="0.15">
      <c r="B112" s="7">
        <f>[1]节奏总纲!N112</f>
        <v>119</v>
      </c>
      <c r="C112" s="7">
        <v>109</v>
      </c>
      <c r="D112" s="7">
        <f>[1]节奏总纲!P112</f>
        <v>1909.8515666673818</v>
      </c>
      <c r="E112" s="7">
        <f>[1]节奏总纲!Q112</f>
        <v>1624.7107277639418</v>
      </c>
      <c r="F112" s="7">
        <f>[1]节奏总纲!R112</f>
        <v>1301.5638426838207</v>
      </c>
      <c r="G112" s="7">
        <f>[1]节奏总纲!S112</f>
        <v>931.81657937701561</v>
      </c>
      <c r="H112" s="7">
        <f>[1]节奏总纲!T112</f>
        <v>504.58278391352223</v>
      </c>
      <c r="J112" s="7">
        <v>109</v>
      </c>
      <c r="K112" s="7">
        <f>[1]节奏总纲!W112</f>
        <v>127.96401303691937</v>
      </c>
      <c r="L112" s="7">
        <f>[1]节奏总纲!X112</f>
        <v>103.86970074034207</v>
      </c>
      <c r="M112" s="7">
        <f>[1]节奏总纲!Y112</f>
        <v>83.46551102203648</v>
      </c>
      <c r="N112" s="7">
        <f>[1]节奏总纲!Z112</f>
        <v>60.117188140993335</v>
      </c>
      <c r="O112" s="7">
        <f>[1]节奏总纲!AA112</f>
        <v>33.451714733627909</v>
      </c>
      <c r="Q112" s="7">
        <v>109</v>
      </c>
      <c r="R112" s="7">
        <f>[1]节奏总纲!AD112</f>
        <v>67.80830335012682</v>
      </c>
      <c r="S112" s="7">
        <f>[1]节奏总纲!AE112</f>
        <v>69.870029221854239</v>
      </c>
      <c r="T112" s="7">
        <f>[1]节奏总纲!AF112</f>
        <v>72.782262218435889</v>
      </c>
      <c r="U112" s="7">
        <f>[1]节奏总纲!AG112</f>
        <v>77.203841369133116</v>
      </c>
      <c r="V112" s="7">
        <f>[1]节奏总纲!AH112</f>
        <v>86.007776715139968</v>
      </c>
      <c r="AN112" s="7">
        <v>109</v>
      </c>
      <c r="AO112" s="7">
        <f>[1]节奏总纲!BA112</f>
        <v>38.601188162627608</v>
      </c>
      <c r="AP112" s="7">
        <f>[1]节奏总纲!BB112</f>
        <v>40.110720583137102</v>
      </c>
      <c r="AQ112" s="7">
        <f>[1]节奏总纲!BC112</f>
        <v>42.051439554347354</v>
      </c>
      <c r="AR112" s="7">
        <f>[1]节奏总纲!BD112</f>
        <v>44.778935934101632</v>
      </c>
      <c r="AS112" s="7">
        <f>[1]节奏总纲!BE112</f>
        <v>49.464188631724817</v>
      </c>
      <c r="BD112" s="7"/>
    </row>
    <row r="113" spans="2:56" x14ac:dyDescent="0.15">
      <c r="B113" s="7">
        <f>[1]节奏总纲!N113</f>
        <v>120</v>
      </c>
      <c r="C113" s="7">
        <v>110</v>
      </c>
      <c r="D113" s="7">
        <f>[1]节奏总纲!P113</f>
        <v>2047</v>
      </c>
      <c r="E113" s="7">
        <f>[1]节奏总纲!Q113</f>
        <v>1741.3829000000001</v>
      </c>
      <c r="F113" s="7">
        <f>[1]节奏总纲!R113</f>
        <v>1397.2821999999999</v>
      </c>
      <c r="G113" s="7">
        <f>[1]节奏总纲!S113</f>
        <v>1001.3924000000001</v>
      </c>
      <c r="H113" s="7">
        <f>[1]节奏总纲!T113</f>
        <v>542.04559999999992</v>
      </c>
      <c r="J113" s="7">
        <v>110</v>
      </c>
      <c r="K113" s="7">
        <f>[1]节奏总纲!W113</f>
        <v>137.1484333326182</v>
      </c>
      <c r="L113" s="7">
        <f>[1]节奏总纲!X113</f>
        <v>116.67217223605826</v>
      </c>
      <c r="M113" s="7">
        <f>[1]节奏总纲!Y113</f>
        <v>95.718357316179208</v>
      </c>
      <c r="N113" s="7">
        <f>[1]节奏总纲!Z113</f>
        <v>69.575820622984452</v>
      </c>
      <c r="O113" s="7">
        <f>[1]节奏总纲!AA113</f>
        <v>37.462816086477687</v>
      </c>
      <c r="Q113" s="7">
        <v>110</v>
      </c>
      <c r="R113" s="7">
        <f>[1]节奏总纲!AD113</f>
        <v>67.942312709427185</v>
      </c>
      <c r="S113" s="7">
        <f>[1]节奏总纲!AE113</f>
        <v>70.003807055133578</v>
      </c>
      <c r="T113" s="7">
        <f>[1]节奏总纲!AF113</f>
        <v>72.919951060835245</v>
      </c>
      <c r="U113" s="7">
        <f>[1]节奏总纲!AG113</f>
        <v>77.332919927503724</v>
      </c>
      <c r="V113" s="7">
        <f>[1]节奏总纲!AH113</f>
        <v>86.154780808490045</v>
      </c>
      <c r="AN113" s="7">
        <v>110</v>
      </c>
      <c r="AO113" s="7">
        <f>[1]节奏总纲!BA113</f>
        <v>38.663818688865533</v>
      </c>
      <c r="AP113" s="7">
        <f>[1]节奏总纲!BB113</f>
        <v>40.168994574261895</v>
      </c>
      <c r="AQ113" s="7">
        <f>[1]节奏总纲!BC113</f>
        <v>42.109294145892463</v>
      </c>
      <c r="AR113" s="7">
        <f>[1]节奏总纲!BD113</f>
        <v>44.843574549861387</v>
      </c>
      <c r="AS113" s="7">
        <f>[1]节奏总纲!BE113</f>
        <v>49.526167968714425</v>
      </c>
      <c r="BD113" s="7"/>
    </row>
    <row r="114" spans="2:56" x14ac:dyDescent="0.15">
      <c r="B114" s="7">
        <f>[1]节奏总纲!N114</f>
        <v>121</v>
      </c>
      <c r="C114" s="7">
        <v>111</v>
      </c>
      <c r="D114" s="7">
        <f>[1]节奏总纲!P114</f>
        <v>2193.9920512743265</v>
      </c>
      <c r="E114" s="7">
        <f>[1]节奏总纲!Q114</f>
        <v>1869.0618284805987</v>
      </c>
      <c r="F114" s="7">
        <f>[1]节奏总纲!R114</f>
        <v>1500.4711638665117</v>
      </c>
      <c r="G114" s="7">
        <f>[1]节奏总纲!S114</f>
        <v>1076.5918995603122</v>
      </c>
      <c r="H114" s="7">
        <f>[1]节奏总纲!T114</f>
        <v>583.16308722871599</v>
      </c>
      <c r="J114" s="7">
        <v>111</v>
      </c>
      <c r="K114" s="7">
        <f>[1]节奏总纲!W114</f>
        <v>146.99205127432651</v>
      </c>
      <c r="L114" s="7">
        <f>[1]节奏总纲!X114</f>
        <v>127.67892848059864</v>
      </c>
      <c r="M114" s="7">
        <f>[1]节奏总纲!Y114</f>
        <v>103.18896386651181</v>
      </c>
      <c r="N114" s="7">
        <f>[1]节奏总纲!Z114</f>
        <v>75.19949956031212</v>
      </c>
      <c r="O114" s="7">
        <f>[1]节奏总纲!AA114</f>
        <v>41.117487228716072</v>
      </c>
      <c r="Q114" s="7">
        <v>111</v>
      </c>
      <c r="R114" s="7">
        <f>[1]节奏总纲!AD114</f>
        <v>68.071211008105138</v>
      </c>
      <c r="S114" s="7">
        <f>[1]节奏总纲!AE114</f>
        <v>70.127815365673797</v>
      </c>
      <c r="T114" s="7">
        <f>[1]节奏总纲!AF114</f>
        <v>73.051543220271398</v>
      </c>
      <c r="U114" s="7">
        <f>[1]节奏总纲!AG114</f>
        <v>77.461998485874332</v>
      </c>
      <c r="V114" s="7">
        <f>[1]节奏总纲!AH114</f>
        <v>86.301784901840136</v>
      </c>
      <c r="AN114" s="7">
        <v>111</v>
      </c>
      <c r="AO114" s="7">
        <f>[1]节奏总纲!BA114</f>
        <v>38.72644921510345</v>
      </c>
      <c r="AP114" s="7">
        <f>[1]节奏总纲!BB114</f>
        <v>40.227268565386687</v>
      </c>
      <c r="AQ114" s="7">
        <f>[1]节奏总纲!BC114</f>
        <v>42.167148737437572</v>
      </c>
      <c r="AR114" s="7">
        <f>[1]节奏总纲!BD114</f>
        <v>44.908213165621142</v>
      </c>
      <c r="AS114" s="7">
        <f>[1]节奏总纲!BE114</f>
        <v>49.588147305704041</v>
      </c>
      <c r="BD114" s="7"/>
    </row>
    <row r="115" spans="2:56" x14ac:dyDescent="0.15">
      <c r="B115" s="7">
        <f>[1]节奏总纲!N115</f>
        <v>122</v>
      </c>
      <c r="C115" s="7">
        <v>112</v>
      </c>
      <c r="D115" s="7">
        <f>[1]节奏总纲!P115</f>
        <v>2351.5342310339256</v>
      </c>
      <c r="E115" s="7">
        <f>[1]节奏总纲!Q115</f>
        <v>2004.6829319564217</v>
      </c>
      <c r="F115" s="7">
        <f>[1]节奏总纲!R115</f>
        <v>1609.3900277196187</v>
      </c>
      <c r="G115" s="7">
        <f>[1]节奏总纲!S115</f>
        <v>1155.3087677069677</v>
      </c>
      <c r="H115" s="7">
        <f>[1]节奏总纲!T115</f>
        <v>623.15657122399034</v>
      </c>
      <c r="J115" s="7">
        <v>112</v>
      </c>
      <c r="K115" s="7">
        <f>[1]节奏总纲!W115</f>
        <v>157.54217975959909</v>
      </c>
      <c r="L115" s="7">
        <f>[1]节奏总纲!X115</f>
        <v>135.62110347582302</v>
      </c>
      <c r="M115" s="7">
        <f>[1]节奏总纲!Y115</f>
        <v>108.91886385310704</v>
      </c>
      <c r="N115" s="7">
        <f>[1]节奏总纲!Z115</f>
        <v>78.716868146655543</v>
      </c>
      <c r="O115" s="7">
        <f>[1]节奏总纲!AA115</f>
        <v>39.993483995274346</v>
      </c>
      <c r="Q115" s="7">
        <v>112</v>
      </c>
      <c r="R115" s="7">
        <f>[1]节奏总纲!AD115</f>
        <v>68.196246161507091</v>
      </c>
      <c r="S115" s="7">
        <f>[1]节奏总纲!AE115</f>
        <v>70.251823676214016</v>
      </c>
      <c r="T115" s="7">
        <f>[1]节奏总纲!AF115</f>
        <v>73.174668450093861</v>
      </c>
      <c r="U115" s="7">
        <f>[1]节奏总纲!AG115</f>
        <v>77.591077044244926</v>
      </c>
      <c r="V115" s="7">
        <f>[1]节奏总纲!AH115</f>
        <v>86.448788995190213</v>
      </c>
      <c r="AN115" s="7">
        <v>112</v>
      </c>
      <c r="AO115" s="7">
        <f>[1]节奏总纲!BA115</f>
        <v>38.789079741341368</v>
      </c>
      <c r="AP115" s="7">
        <f>[1]节奏总纲!BB115</f>
        <v>40.28554255651148</v>
      </c>
      <c r="AQ115" s="7">
        <f>[1]节奏总纲!BC115</f>
        <v>42.225003328982673</v>
      </c>
      <c r="AR115" s="7">
        <f>[1]节奏总纲!BD115</f>
        <v>44.972851781380903</v>
      </c>
      <c r="AS115" s="7">
        <f>[1]节奏总纲!BE115</f>
        <v>49.65012664269365</v>
      </c>
      <c r="BD115" s="7"/>
    </row>
    <row r="116" spans="2:56" x14ac:dyDescent="0.15">
      <c r="B116" s="7">
        <f>[1]节奏总纲!N116</f>
        <v>123</v>
      </c>
      <c r="C116" s="7">
        <v>113</v>
      </c>
      <c r="D116" s="7">
        <f>[1]节奏总纲!P116</f>
        <v>2520.3837585303886</v>
      </c>
      <c r="E116" s="7">
        <f>[1]节奏总纲!Q116</f>
        <v>2149.6353076505684</v>
      </c>
      <c r="F116" s="7">
        <f>[1]节奏总纲!R116</f>
        <v>1726.7149129691693</v>
      </c>
      <c r="G116" s="7">
        <f>[1]节奏总纲!S116</f>
        <v>1235.7441568074496</v>
      </c>
      <c r="H116" s="7">
        <f>[1]节奏总纲!T116</f>
        <v>665.63335062787564</v>
      </c>
      <c r="J116" s="7">
        <v>113</v>
      </c>
      <c r="K116" s="7">
        <f>[1]节奏总纲!W116</f>
        <v>168.849527496463</v>
      </c>
      <c r="L116" s="7">
        <f>[1]节奏总纲!X116</f>
        <v>144.95237569414667</v>
      </c>
      <c r="M116" s="7">
        <f>[1]节奏总纲!Y116</f>
        <v>117.32488524955056</v>
      </c>
      <c r="N116" s="7">
        <f>[1]节奏总纲!Z116</f>
        <v>80.435389100481871</v>
      </c>
      <c r="O116" s="7">
        <f>[1]节奏总纲!AA116</f>
        <v>42.476779403885303</v>
      </c>
      <c r="Q116" s="7">
        <v>113</v>
      </c>
      <c r="R116" s="7">
        <f>[1]节奏总纲!AD116</f>
        <v>68.321281314909029</v>
      </c>
      <c r="S116" s="7">
        <f>[1]节奏总纲!AE116</f>
        <v>70.375831986754235</v>
      </c>
      <c r="T116" s="7">
        <f>[1]节奏总纲!AF116</f>
        <v>73.297793679916325</v>
      </c>
      <c r="U116" s="7">
        <f>[1]节奏总纲!AG116</f>
        <v>77.720155602615534</v>
      </c>
      <c r="V116" s="7">
        <f>[1]节奏总纲!AH116</f>
        <v>86.595793088540304</v>
      </c>
      <c r="AN116" s="7">
        <v>113</v>
      </c>
      <c r="AO116" s="7">
        <f>[1]节奏总纲!BA116</f>
        <v>38.851710267579293</v>
      </c>
      <c r="AP116" s="7">
        <f>[1]节奏总纲!BB116</f>
        <v>40.343816547636273</v>
      </c>
      <c r="AQ116" s="7">
        <f>[1]节奏总纲!BC116</f>
        <v>42.282857920527782</v>
      </c>
      <c r="AR116" s="7">
        <f>[1]节奏总纲!BD116</f>
        <v>45.032359480672049</v>
      </c>
      <c r="AS116" s="7">
        <f>[1]节奏总纲!BE116</f>
        <v>49.712105979683258</v>
      </c>
      <c r="BD116" s="7"/>
    </row>
    <row r="117" spans="2:56" x14ac:dyDescent="0.15">
      <c r="B117" s="7">
        <f>[1]节奏总纲!N117</f>
        <v>124</v>
      </c>
      <c r="C117" s="7">
        <v>114</v>
      </c>
      <c r="D117" s="7">
        <f>[1]节奏总纲!P117</f>
        <v>2701.3522012628878</v>
      </c>
      <c r="E117" s="7">
        <f>[1]节奏总纲!Q117</f>
        <v>2304.5235628973696</v>
      </c>
      <c r="F117" s="7">
        <f>[1]节奏总纲!R117</f>
        <v>1846.3742295631837</v>
      </c>
      <c r="G117" s="7">
        <f>[1]节奏总纲!S117</f>
        <v>1319.3404150967945</v>
      </c>
      <c r="H117" s="7">
        <f>[1]节奏总纲!T117</f>
        <v>710.99589937239205</v>
      </c>
      <c r="J117" s="7">
        <v>114</v>
      </c>
      <c r="K117" s="7">
        <f>[1]节奏总纲!W117</f>
        <v>180.96844273249917</v>
      </c>
      <c r="L117" s="7">
        <f>[1]节奏总纲!X117</f>
        <v>154.88825524680124</v>
      </c>
      <c r="M117" s="7">
        <f>[1]节奏总纲!Y117</f>
        <v>119.6593165940144</v>
      </c>
      <c r="N117" s="7">
        <f>[1]节奏总纲!Z117</f>
        <v>83.59625828934486</v>
      </c>
      <c r="O117" s="7">
        <f>[1]节奏总纲!AA117</f>
        <v>45.362548744516403</v>
      </c>
      <c r="Q117" s="7">
        <v>114</v>
      </c>
      <c r="R117" s="7">
        <f>[1]节奏总纲!AD117</f>
        <v>68.446316468310982</v>
      </c>
      <c r="S117" s="7">
        <f>[1]节奏总纲!AE117</f>
        <v>70.499840297294455</v>
      </c>
      <c r="T117" s="7">
        <f>[1]节奏总纲!AF117</f>
        <v>73.420918909738774</v>
      </c>
      <c r="U117" s="7">
        <f>[1]节奏总纲!AG117</f>
        <v>77.849234160986143</v>
      </c>
      <c r="V117" s="7">
        <f>[1]节奏总纲!AH117</f>
        <v>86.742797181890381</v>
      </c>
      <c r="AN117" s="7">
        <v>114</v>
      </c>
      <c r="AO117" s="7">
        <f>[1]节奏总纲!BA117</f>
        <v>38.91434079381721</v>
      </c>
      <c r="AP117" s="7">
        <f>[1]节奏总纲!BB117</f>
        <v>40.402090538761065</v>
      </c>
      <c r="AQ117" s="7">
        <f>[1]节奏总纲!BC117</f>
        <v>42.340712512072891</v>
      </c>
      <c r="AR117" s="7">
        <f>[1]节奏总纲!BD117</f>
        <v>45.088151688727308</v>
      </c>
      <c r="AS117" s="7">
        <f>[1]节奏总纲!BE117</f>
        <v>49.774085316672867</v>
      </c>
      <c r="BD117" s="7"/>
    </row>
    <row r="118" spans="2:56" x14ac:dyDescent="0.15">
      <c r="B118" s="7">
        <f>[1]节奏总纲!N118</f>
        <v>125</v>
      </c>
      <c r="C118" s="7">
        <v>115</v>
      </c>
      <c r="D118" s="7">
        <f>[1]节奏总纲!P118</f>
        <v>2895.3093757400989</v>
      </c>
      <c r="E118" s="7">
        <f>[1]节奏总纲!Q118</f>
        <v>2463.0396859421021</v>
      </c>
      <c r="F118" s="7">
        <f>[1]节奏总纲!R118</f>
        <v>1969.9684992535633</v>
      </c>
      <c r="G118" s="7">
        <f>[1]节奏总纲!S118</f>
        <v>1407.1203566096881</v>
      </c>
      <c r="H118" s="7">
        <f>[1]节奏总纲!T118</f>
        <v>758.86058738147995</v>
      </c>
      <c r="J118" s="7">
        <v>115</v>
      </c>
      <c r="K118" s="7">
        <f>[1]节奏总纲!W118</f>
        <v>193.95717447721108</v>
      </c>
      <c r="L118" s="7">
        <f>[1]节奏总纲!X118</f>
        <v>158.51612304473247</v>
      </c>
      <c r="M118" s="7">
        <f>[1]节奏总纲!Y118</f>
        <v>123.59426969037963</v>
      </c>
      <c r="N118" s="7">
        <f>[1]节奏总纲!Z118</f>
        <v>87.779941512893629</v>
      </c>
      <c r="O118" s="7">
        <f>[1]节奏总纲!AA118</f>
        <v>47.864688009087899</v>
      </c>
      <c r="Q118" s="7">
        <v>115</v>
      </c>
      <c r="R118" s="7">
        <f>[1]节奏总纲!AD118</f>
        <v>68.571351621712935</v>
      </c>
      <c r="S118" s="7">
        <f>[1]节奏总纲!AE118</f>
        <v>70.623848607834674</v>
      </c>
      <c r="T118" s="7">
        <f>[1]节奏总纲!AF118</f>
        <v>73.544044139561237</v>
      </c>
      <c r="U118" s="7">
        <f>[1]节奏总纲!AG118</f>
        <v>77.978312719356751</v>
      </c>
      <c r="V118" s="7">
        <f>[1]节奏总纲!AH118</f>
        <v>86.889801275240458</v>
      </c>
      <c r="AN118" s="7">
        <v>115</v>
      </c>
      <c r="AO118" s="7">
        <f>[1]节奏总纲!BA118</f>
        <v>38.976971320055128</v>
      </c>
      <c r="AP118" s="7">
        <f>[1]节奏总纲!BB118</f>
        <v>40.460364529885858</v>
      </c>
      <c r="AQ118" s="7">
        <f>[1]节奏总纲!BC118</f>
        <v>42.398567103617999</v>
      </c>
      <c r="AR118" s="7">
        <f>[1]节奏总纲!BD118</f>
        <v>45.143943896782567</v>
      </c>
      <c r="AS118" s="7">
        <f>[1]节奏总纲!BE118</f>
        <v>49.836064653662483</v>
      </c>
      <c r="BD118" s="7"/>
    </row>
    <row r="119" spans="2:56" x14ac:dyDescent="0.15">
      <c r="B119" s="7">
        <f>[1]节奏总纲!N119</f>
        <v>126</v>
      </c>
      <c r="C119" s="7">
        <v>116</v>
      </c>
      <c r="D119" s="7">
        <f>[1]节奏总纲!P119</f>
        <v>3103.1875282132928</v>
      </c>
      <c r="E119" s="7">
        <f>[1]节奏总纲!Q119</f>
        <v>2636.7784427228348</v>
      </c>
      <c r="F119" s="7">
        <f>[1]节奏总纲!R119</f>
        <v>2108.9262441737537</v>
      </c>
      <c r="G119" s="7">
        <f>[1]节奏总纲!S119</f>
        <v>1509.0800949701243</v>
      </c>
      <c r="H119" s="7">
        <f>[1]节奏总纲!T119</f>
        <v>813.34545114470404</v>
      </c>
      <c r="J119" s="7">
        <v>116</v>
      </c>
      <c r="K119" s="7">
        <f>[1]节奏总纲!W119</f>
        <v>207.87815247319395</v>
      </c>
      <c r="L119" s="7">
        <f>[1]节奏总纲!X119</f>
        <v>173.73875678073273</v>
      </c>
      <c r="M119" s="7">
        <f>[1]节奏总纲!Y119</f>
        <v>138.95774492019041</v>
      </c>
      <c r="N119" s="7">
        <f>[1]节奏总纲!Z119</f>
        <v>101.95973836043618</v>
      </c>
      <c r="O119" s="7">
        <f>[1]节奏总纲!AA119</f>
        <v>54.484863763224098</v>
      </c>
      <c r="Q119" s="7">
        <v>116</v>
      </c>
      <c r="R119" s="7">
        <f>[1]节奏总纲!AD119</f>
        <v>68.696386775114874</v>
      </c>
      <c r="S119" s="7">
        <f>[1]节奏总纲!AE119</f>
        <v>70.747856918374893</v>
      </c>
      <c r="T119" s="7">
        <f>[1]节奏总纲!AF119</f>
        <v>73.667169369383686</v>
      </c>
      <c r="U119" s="7">
        <f>[1]节奏总纲!AG119</f>
        <v>78.10469841238104</v>
      </c>
      <c r="V119" s="7">
        <f>[1]节奏总纲!AH119</f>
        <v>87.033659382136349</v>
      </c>
      <c r="AN119" s="7">
        <v>116</v>
      </c>
      <c r="AO119" s="7">
        <f>[1]节奏总纲!BA119</f>
        <v>39.034165367506482</v>
      </c>
      <c r="AP119" s="7">
        <f>[1]节奏总纲!BB119</f>
        <v>40.518638521010644</v>
      </c>
      <c r="AQ119" s="7">
        <f>[1]节奏总纲!BC119</f>
        <v>42.456421695163108</v>
      </c>
      <c r="AR119" s="7">
        <f>[1]节奏总纲!BD119</f>
        <v>45.199736104837825</v>
      </c>
      <c r="AS119" s="7">
        <f>[1]节奏总纲!BE119</f>
        <v>49.898043990652091</v>
      </c>
      <c r="BD119" s="7"/>
    </row>
    <row r="120" spans="2:56" x14ac:dyDescent="0.15">
      <c r="B120" s="7">
        <f>[1]节奏总纲!N120</f>
        <v>127</v>
      </c>
      <c r="C120" s="7">
        <v>117</v>
      </c>
      <c r="D120" s="7">
        <f>[1]节奏总纲!P120</f>
        <v>3325.985815475135</v>
      </c>
      <c r="E120" s="7">
        <f>[1]节奏总纲!Q120</f>
        <v>2826.7553445723174</v>
      </c>
      <c r="F120" s="7">
        <f>[1]节奏总纲!R120</f>
        <v>2262.6681502677343</v>
      </c>
      <c r="G120" s="7">
        <f>[1]节奏总纲!S120</f>
        <v>1618.0920992286531</v>
      </c>
      <c r="H120" s="7">
        <f>[1]节奏总纲!T120</f>
        <v>873.07127656222303</v>
      </c>
      <c r="J120" s="7">
        <v>117</v>
      </c>
      <c r="K120" s="7">
        <f>[1]节奏总纲!W120</f>
        <v>222.79828726184223</v>
      </c>
      <c r="L120" s="7">
        <f>[1]节奏总纲!X120</f>
        <v>189.9769018494826</v>
      </c>
      <c r="M120" s="7">
        <f>[1]节奏总纲!Y120</f>
        <v>153.74190609398056</v>
      </c>
      <c r="N120" s="7">
        <f>[1]节奏总纲!Z120</f>
        <v>109.0120042585288</v>
      </c>
      <c r="O120" s="7">
        <f>[1]节奏总纲!AA120</f>
        <v>59.72582541751899</v>
      </c>
      <c r="Q120" s="7">
        <v>117</v>
      </c>
      <c r="R120" s="7">
        <f>[1]节奏总纲!AD120</f>
        <v>68.821421928516827</v>
      </c>
      <c r="S120" s="7">
        <f>[1]节奏总纲!AE120</f>
        <v>70.871865228915112</v>
      </c>
      <c r="T120" s="7">
        <f>[1]节奏总纲!AF120</f>
        <v>73.790294599206149</v>
      </c>
      <c r="U120" s="7">
        <f>[1]节奏总纲!AG120</f>
        <v>78.230540290975199</v>
      </c>
      <c r="V120" s="7">
        <f>[1]节奏总纲!AH120</f>
        <v>87.168098110592624</v>
      </c>
      <c r="AN120" s="7">
        <v>117</v>
      </c>
      <c r="AO120" s="7">
        <f>[1]节奏总纲!BA120</f>
        <v>39.088198074219406</v>
      </c>
      <c r="AP120" s="7">
        <f>[1]节奏总纲!BB120</f>
        <v>40.576912512135436</v>
      </c>
      <c r="AQ120" s="7">
        <f>[1]节奏总纲!BC120</f>
        <v>42.51427628670821</v>
      </c>
      <c r="AR120" s="7">
        <f>[1]节奏总纲!BD120</f>
        <v>45.255528312893091</v>
      </c>
      <c r="AS120" s="7">
        <f>[1]节奏总纲!BE120</f>
        <v>49.9600233276417</v>
      </c>
      <c r="BD120" s="7"/>
    </row>
    <row r="121" spans="2:56" x14ac:dyDescent="0.15">
      <c r="B121" s="7">
        <f>[1]节奏总纲!N121</f>
        <v>128</v>
      </c>
      <c r="C121" s="7">
        <v>118</v>
      </c>
      <c r="D121" s="7">
        <f>[1]节奏总纲!P121</f>
        <v>3564.7751072609281</v>
      </c>
      <c r="E121" s="7">
        <f>[1]节奏总纲!Q121</f>
        <v>3030.4153186825147</v>
      </c>
      <c r="F121" s="7">
        <f>[1]节奏总纲!R121</f>
        <v>2426.1859380017877</v>
      </c>
      <c r="G121" s="7">
        <f>[1]节奏总纲!S121</f>
        <v>1737.4713872789764</v>
      </c>
      <c r="H121" s="7">
        <f>[1]节奏总纲!T121</f>
        <v>936.10994316671975</v>
      </c>
      <c r="J121" s="7">
        <v>118</v>
      </c>
      <c r="K121" s="7">
        <f>[1]节奏总纲!W121</f>
        <v>238.78929178579301</v>
      </c>
      <c r="L121" s="7">
        <f>[1]节奏总纲!X121</f>
        <v>203.65997411019725</v>
      </c>
      <c r="M121" s="7">
        <f>[1]节奏总纲!Y121</f>
        <v>163.5177877340534</v>
      </c>
      <c r="N121" s="7">
        <f>[1]节奏总纲!Z121</f>
        <v>119.37928805032334</v>
      </c>
      <c r="O121" s="7">
        <f>[1]节奏总纲!AA121</f>
        <v>63.038666604496711</v>
      </c>
      <c r="Q121" s="7">
        <v>118</v>
      </c>
      <c r="R121" s="7">
        <f>[1]节奏总纲!AD121</f>
        <v>68.946457081918766</v>
      </c>
      <c r="S121" s="7">
        <f>[1]节奏总纲!AE121</f>
        <v>70.995873539455332</v>
      </c>
      <c r="T121" s="7">
        <f>[1]节奏总纲!AF121</f>
        <v>73.913419829028598</v>
      </c>
      <c r="U121" s="7">
        <f>[1]节奏总纲!AG121</f>
        <v>78.356382169569343</v>
      </c>
      <c r="V121" s="7">
        <f>[1]节奏总纲!AH121</f>
        <v>87.302536839048898</v>
      </c>
      <c r="AN121" s="7">
        <v>118</v>
      </c>
      <c r="AO121" s="7">
        <f>[1]节奏总纲!BA121</f>
        <v>39.14223078093233</v>
      </c>
      <c r="AP121" s="7">
        <f>[1]节奏总纲!BB121</f>
        <v>40.635186503260229</v>
      </c>
      <c r="AQ121" s="7">
        <f>[1]节奏总纲!BC121</f>
        <v>42.572130878253319</v>
      </c>
      <c r="AR121" s="7">
        <f>[1]节奏总纲!BD121</f>
        <v>45.31132052094835</v>
      </c>
      <c r="AS121" s="7">
        <f>[1]节奏总纲!BE121</f>
        <v>50.018998195299922</v>
      </c>
      <c r="BD121" s="7"/>
    </row>
    <row r="122" spans="2:56" x14ac:dyDescent="0.15">
      <c r="B122" s="7">
        <f>[1]节奏总纲!N122</f>
        <v>129</v>
      </c>
      <c r="C122" s="7">
        <v>119</v>
      </c>
      <c r="D122" s="7">
        <f>[1]节奏总纲!P122</f>
        <v>3820.7031333347636</v>
      </c>
      <c r="E122" s="7">
        <f>[1]节奏总纲!Q122</f>
        <v>3250.2721555278836</v>
      </c>
      <c r="F122" s="7">
        <f>[1]节奏总纲!R122</f>
        <v>2604.5733259943081</v>
      </c>
      <c r="G122" s="7">
        <f>[1]节奏总纲!S122</f>
        <v>1863.3569181273642</v>
      </c>
      <c r="H122" s="7">
        <f>[1]节奏总纲!T122</f>
        <v>1000.260080307041</v>
      </c>
      <c r="J122" s="7">
        <v>119</v>
      </c>
      <c r="K122" s="7">
        <f>[1]节奏总纲!W122</f>
        <v>255.92802607383555</v>
      </c>
      <c r="L122" s="7">
        <f>[1]节奏总纲!X122</f>
        <v>219.85683684536889</v>
      </c>
      <c r="M122" s="7">
        <f>[1]节奏总纲!Y122</f>
        <v>178.38738799252042</v>
      </c>
      <c r="N122" s="7">
        <f>[1]节奏总纲!Z122</f>
        <v>125.88553084838782</v>
      </c>
      <c r="O122" s="7">
        <f>[1]节奏总纲!AA122</f>
        <v>64.150137140321249</v>
      </c>
      <c r="Q122" s="7">
        <v>119</v>
      </c>
      <c r="R122" s="7">
        <f>[1]节奏总纲!AD122</f>
        <v>69.066704614192943</v>
      </c>
      <c r="S122" s="7">
        <f>[1]节奏总纲!AE122</f>
        <v>71.113087458015798</v>
      </c>
      <c r="T122" s="7">
        <f>[1]节奏总纲!AF122</f>
        <v>74.034200876118248</v>
      </c>
      <c r="U122" s="7">
        <f>[1]节奏总纲!AG122</f>
        <v>78.482224048163502</v>
      </c>
      <c r="V122" s="7">
        <f>[1]节奏总纲!AH122</f>
        <v>87.436975567505186</v>
      </c>
      <c r="AN122" s="7">
        <v>119</v>
      </c>
      <c r="AO122" s="7">
        <f>[1]节奏总纲!BA122</f>
        <v>39.196263487645254</v>
      </c>
      <c r="AP122" s="7">
        <f>[1]节奏总纲!BB122</f>
        <v>40.693460494385022</v>
      </c>
      <c r="AQ122" s="7">
        <f>[1]节奏总纲!BC122</f>
        <v>42.629985469798427</v>
      </c>
      <c r="AR122" s="7">
        <f>[1]节奏总纲!BD122</f>
        <v>45.367112729003608</v>
      </c>
      <c r="AS122" s="7">
        <f>[1]节奏总纲!BE122</f>
        <v>50.072514238398277</v>
      </c>
      <c r="BD122" s="7"/>
    </row>
    <row r="123" spans="2:56" x14ac:dyDescent="0.15">
      <c r="B123" s="7">
        <f>[1]节奏总纲!N123</f>
        <v>130</v>
      </c>
      <c r="C123" s="7">
        <v>120</v>
      </c>
      <c r="D123" s="7">
        <f>[1]节奏总纲!P123</f>
        <v>4095</v>
      </c>
      <c r="E123" s="7">
        <f>[1]节奏总纲!Q123</f>
        <v>3486.0735</v>
      </c>
      <c r="F123" s="7">
        <f>[1]节奏总纲!R123</f>
        <v>2791.971</v>
      </c>
      <c r="G123" s="7">
        <f>[1]节奏总纲!S123</f>
        <v>1988.5319999999999</v>
      </c>
      <c r="H123" s="7">
        <f>[1]节奏总纲!T123</f>
        <v>1067.9759999999999</v>
      </c>
      <c r="J123" s="7">
        <v>120</v>
      </c>
      <c r="K123" s="7">
        <f>[1]节奏总纲!W123</f>
        <v>274.29686666523639</v>
      </c>
      <c r="L123" s="7">
        <f>[1]节奏总纲!X123</f>
        <v>235.8013444721164</v>
      </c>
      <c r="M123" s="7">
        <f>[1]节奏总纲!Y123</f>
        <v>187.3976740056919</v>
      </c>
      <c r="N123" s="7">
        <f>[1]节奏总纲!Z123</f>
        <v>125.1750818726357</v>
      </c>
      <c r="O123" s="7">
        <f>[1]节奏总纲!AA123</f>
        <v>67.715919692958892</v>
      </c>
      <c r="Q123" s="7">
        <v>120</v>
      </c>
      <c r="R123" s="7">
        <f>[1]节奏总纲!AD123</f>
        <v>69.18336653741882</v>
      </c>
      <c r="S123" s="7">
        <f>[1]节奏总纲!AE123</f>
        <v>71.230067506391322</v>
      </c>
      <c r="T123" s="7">
        <f>[1]节奏总纲!AF123</f>
        <v>74.149428238300118</v>
      </c>
      <c r="U123" s="7">
        <f>[1]节奏总纲!AG123</f>
        <v>78.608065926757661</v>
      </c>
      <c r="V123" s="7">
        <f>[1]节奏总纲!AH123</f>
        <v>87.571414295961461</v>
      </c>
      <c r="AN123" s="7">
        <v>120</v>
      </c>
      <c r="AO123" s="7">
        <f>[1]节奏总纲!BA123</f>
        <v>39.250296194358178</v>
      </c>
      <c r="AP123" s="7">
        <f>[1]节奏总纲!BB123</f>
        <v>40.751734485509814</v>
      </c>
      <c r="AQ123" s="7">
        <f>[1]节奏总纲!BC123</f>
        <v>42.687840061343536</v>
      </c>
      <c r="AR123" s="7">
        <f>[1]节奏总纲!BD123</f>
        <v>45.422904937058867</v>
      </c>
      <c r="AS123" s="7">
        <f>[1]节奏总纲!BE123</f>
        <v>50.126030281496639</v>
      </c>
      <c r="BD123" s="7"/>
    </row>
    <row r="124" spans="2:56" x14ac:dyDescent="0.15">
      <c r="B124" s="7">
        <f>[1]节奏总纲!N124</f>
        <v>131</v>
      </c>
      <c r="C124" s="7">
        <v>121</v>
      </c>
      <c r="D124" s="7">
        <f>[1]节奏总纲!P124</f>
        <v>4388.9841025486576</v>
      </c>
      <c r="E124" s="7">
        <f>[1]节奏总纲!Q124</f>
        <v>3731.5142839868686</v>
      </c>
      <c r="F124" s="7">
        <f>[1]节奏总纲!R124</f>
        <v>2978.8035103997736</v>
      </c>
      <c r="G124" s="7">
        <f>[1]节奏总纲!S124</f>
        <v>2122.0738135822758</v>
      </c>
      <c r="H124" s="7">
        <f>[1]节奏总纲!T124</f>
        <v>1143.3303587139253</v>
      </c>
      <c r="J124" s="7">
        <v>121</v>
      </c>
      <c r="K124" s="7">
        <f>[1]节奏总纲!W124</f>
        <v>293.98410254865757</v>
      </c>
      <c r="L124" s="7">
        <f>[1]节奏总纲!X124</f>
        <v>245.44078398686861</v>
      </c>
      <c r="M124" s="7">
        <f>[1]节奏总纲!Y124</f>
        <v>186.83251039977358</v>
      </c>
      <c r="N124" s="7">
        <f>[1]节奏总纲!Z124</f>
        <v>133.54181358227584</v>
      </c>
      <c r="O124" s="7">
        <f>[1]节奏总纲!AA124</f>
        <v>75.354358713925421</v>
      </c>
      <c r="Q124" s="7">
        <v>121</v>
      </c>
      <c r="R124" s="7">
        <f>[1]节奏总纲!AD124</f>
        <v>69.300028460644711</v>
      </c>
      <c r="S124" s="7">
        <f>[1]节奏总纲!AE124</f>
        <v>71.347047554766846</v>
      </c>
      <c r="T124" s="7">
        <f>[1]节奏总纲!AF124</f>
        <v>74.264655600481987</v>
      </c>
      <c r="U124" s="7">
        <f>[1]节奏总纲!AG124</f>
        <v>78.733907805351805</v>
      </c>
      <c r="V124" s="7">
        <f>[1]节奏总纲!AH124</f>
        <v>87.705853024417735</v>
      </c>
      <c r="AN124" s="7">
        <v>121</v>
      </c>
      <c r="AO124" s="7">
        <f>[1]节奏总纲!BA124</f>
        <v>39.304328901071102</v>
      </c>
      <c r="AP124" s="7">
        <f>[1]节奏总纲!BB124</f>
        <v>40.810008476634607</v>
      </c>
      <c r="AQ124" s="7">
        <f>[1]节奏总纲!BC124</f>
        <v>42.745694652888645</v>
      </c>
      <c r="AR124" s="7">
        <f>[1]节奏总纲!BD124</f>
        <v>45.478697145114126</v>
      </c>
      <c r="AS124" s="7">
        <f>[1]节奏总纲!BE124</f>
        <v>50.179546324595002</v>
      </c>
      <c r="BD124" s="7"/>
    </row>
    <row r="125" spans="2:56" x14ac:dyDescent="0.15">
      <c r="B125" s="7">
        <f>[1]节奏总纲!N125</f>
        <v>132</v>
      </c>
      <c r="C125" s="7">
        <v>122</v>
      </c>
      <c r="D125" s="7">
        <f>[1]节奏总纲!P125</f>
        <v>4704.0684620678521</v>
      </c>
      <c r="E125" s="7">
        <f>[1]节奏总纲!Q125</f>
        <v>3989.5204626797454</v>
      </c>
      <c r="F125" s="7">
        <f>[1]节奏总纲!R125</f>
        <v>3183.7135351275219</v>
      </c>
      <c r="G125" s="7">
        <f>[1]节奏总纲!S125</f>
        <v>2271.1242534863591</v>
      </c>
      <c r="H125" s="7">
        <f>[1]节奏总纲!T125</f>
        <v>1223.9986138300551</v>
      </c>
      <c r="J125" s="7">
        <v>122</v>
      </c>
      <c r="K125" s="7">
        <f>[1]节奏总纲!W125</f>
        <v>315.08435951919455</v>
      </c>
      <c r="L125" s="7">
        <f>[1]节奏总纲!X125</f>
        <v>258.0061786928768</v>
      </c>
      <c r="M125" s="7">
        <f>[1]节奏总纲!Y125</f>
        <v>204.91002472774835</v>
      </c>
      <c r="N125" s="7">
        <f>[1]节奏总纲!Z125</f>
        <v>149.05043990408331</v>
      </c>
      <c r="O125" s="7">
        <f>[1]节奏总纲!AA125</f>
        <v>80.668255116129785</v>
      </c>
      <c r="Q125" s="7">
        <v>122</v>
      </c>
      <c r="R125" s="7">
        <f>[1]节奏总纲!AD125</f>
        <v>69.416690383870588</v>
      </c>
      <c r="S125" s="7">
        <f>[1]节奏总纲!AE125</f>
        <v>71.46402760314237</v>
      </c>
      <c r="T125" s="7">
        <f>[1]节奏总纲!AF125</f>
        <v>74.379882962663856</v>
      </c>
      <c r="U125" s="7">
        <f>[1]节奏总纲!AG125</f>
        <v>78.859749683945964</v>
      </c>
      <c r="V125" s="7">
        <f>[1]节奏总纲!AH125</f>
        <v>87.840291752874009</v>
      </c>
      <c r="AN125" s="7">
        <v>122</v>
      </c>
      <c r="AO125" s="7">
        <f>[1]节奏总纲!BA125</f>
        <v>39.358361607784026</v>
      </c>
      <c r="AP125" s="7">
        <f>[1]节奏总纲!BB125</f>
        <v>40.8682824677594</v>
      </c>
      <c r="AQ125" s="7">
        <f>[1]节奏总纲!BC125</f>
        <v>42.803549244433754</v>
      </c>
      <c r="AR125" s="7">
        <f>[1]节奏总纲!BD125</f>
        <v>45.534489353169384</v>
      </c>
      <c r="AS125" s="7">
        <f>[1]节奏总纲!BE125</f>
        <v>50.233062367693357</v>
      </c>
      <c r="BD125" s="7"/>
    </row>
    <row r="126" spans="2:56" x14ac:dyDescent="0.15">
      <c r="B126" s="7">
        <f>[1]节奏总纲!N126</f>
        <v>133</v>
      </c>
      <c r="C126" s="7">
        <v>123</v>
      </c>
      <c r="D126" s="7">
        <f>[1]节奏总纲!P126</f>
        <v>5041.7675170607781</v>
      </c>
      <c r="E126" s="7">
        <f>[1]节奏总纲!Q126</f>
        <v>4275.9230312192458</v>
      </c>
      <c r="F126" s="7">
        <f>[1]节奏总纲!R126</f>
        <v>3419.8309068223257</v>
      </c>
      <c r="G126" s="7">
        <f>[1]节奏总纲!S126</f>
        <v>2442.7363620159467</v>
      </c>
      <c r="H126" s="7">
        <f>[1]节奏总纲!T126</f>
        <v>1316.4054987045693</v>
      </c>
      <c r="J126" s="7">
        <v>123</v>
      </c>
      <c r="K126" s="7">
        <f>[1]节奏总纲!W126</f>
        <v>337.69905499292599</v>
      </c>
      <c r="L126" s="7">
        <f>[1]节奏总纲!X126</f>
        <v>286.40256853950041</v>
      </c>
      <c r="M126" s="7">
        <f>[1]节奏总纲!Y126</f>
        <v>236.11737169480375</v>
      </c>
      <c r="N126" s="7">
        <f>[1]节奏总纲!Z126</f>
        <v>171.61210852958766</v>
      </c>
      <c r="O126" s="7">
        <f>[1]节奏总纲!AA126</f>
        <v>92.406884874514162</v>
      </c>
      <c r="Q126" s="7">
        <v>123</v>
      </c>
      <c r="R126" s="7">
        <f>[1]节奏总纲!AD126</f>
        <v>69.533352307096465</v>
      </c>
      <c r="S126" s="7">
        <f>[1]节奏总纲!AE126</f>
        <v>71.581007651517908</v>
      </c>
      <c r="T126" s="7">
        <f>[1]节奏总纲!AF126</f>
        <v>74.495110324845726</v>
      </c>
      <c r="U126" s="7">
        <f>[1]节奏总纲!AG126</f>
        <v>78.985591562540122</v>
      </c>
      <c r="V126" s="7">
        <f>[1]节奏总纲!AH126</f>
        <v>87.974730481330297</v>
      </c>
      <c r="AN126" s="7">
        <v>123</v>
      </c>
      <c r="AO126" s="7">
        <f>[1]节奏总纲!BA126</f>
        <v>39.41239431449695</v>
      </c>
      <c r="AP126" s="7">
        <f>[1]节奏总纲!BB126</f>
        <v>40.926556458884193</v>
      </c>
      <c r="AQ126" s="7">
        <f>[1]节奏总纲!BC126</f>
        <v>42.861403835978855</v>
      </c>
      <c r="AR126" s="7">
        <f>[1]节奏总纲!BD126</f>
        <v>45.590281561224643</v>
      </c>
      <c r="AS126" s="7">
        <f>[1]节奏总纲!BE126</f>
        <v>50.286578410791719</v>
      </c>
      <c r="BD126" s="7"/>
    </row>
    <row r="127" spans="2:56" x14ac:dyDescent="0.15">
      <c r="B127" s="7">
        <f>[1]节奏总纲!N127</f>
        <v>134</v>
      </c>
      <c r="C127" s="7">
        <v>124</v>
      </c>
      <c r="D127" s="7">
        <f>[1]节奏总纲!P127</f>
        <v>5403.704402525771</v>
      </c>
      <c r="E127" s="7">
        <f>[1]节奏总纲!Q127</f>
        <v>4591.5276308261473</v>
      </c>
      <c r="F127" s="7">
        <f>[1]节奏总纲!R127</f>
        <v>3671.276771076009</v>
      </c>
      <c r="G127" s="7">
        <f>[1]节奏总纲!S127</f>
        <v>2624.0388578665143</v>
      </c>
      <c r="H127" s="7">
        <f>[1]节奏总纲!T127</f>
        <v>1415.7705534617521</v>
      </c>
      <c r="J127" s="7">
        <v>124</v>
      </c>
      <c r="K127" s="7">
        <f>[1]节奏总纲!W127</f>
        <v>361.93688546499288</v>
      </c>
      <c r="L127" s="7">
        <f>[1]节奏总纲!X127</f>
        <v>315.6045996069015</v>
      </c>
      <c r="M127" s="7">
        <f>[1]节奏总纲!Y127</f>
        <v>251.44586425368334</v>
      </c>
      <c r="N127" s="7">
        <f>[1]节奏总纲!Z127</f>
        <v>181.30249585056754</v>
      </c>
      <c r="O127" s="7">
        <f>[1]节奏总纲!AA127</f>
        <v>99.365054757182861</v>
      </c>
      <c r="Q127" s="7">
        <v>124</v>
      </c>
      <c r="R127" s="7">
        <f>[1]节奏总纲!AD127</f>
        <v>69.650014230322356</v>
      </c>
      <c r="S127" s="7">
        <f>[1]节奏总纲!AE127</f>
        <v>71.697987699893432</v>
      </c>
      <c r="T127" s="7">
        <f>[1]节奏总纲!AF127</f>
        <v>74.610337687027609</v>
      </c>
      <c r="U127" s="7">
        <f>[1]节奏总纲!AG127</f>
        <v>79.104601412347151</v>
      </c>
      <c r="V127" s="7">
        <f>[1]节奏总纲!AH127</f>
        <v>88.109271506528316</v>
      </c>
      <c r="AN127" s="7">
        <v>124</v>
      </c>
      <c r="AO127" s="7">
        <f>[1]节奏总纲!BA127</f>
        <v>39.466427021209874</v>
      </c>
      <c r="AP127" s="7">
        <f>[1]节奏总纲!BB127</f>
        <v>40.984830450008978</v>
      </c>
      <c r="AQ127" s="7">
        <f>[1]节奏总纲!BC127</f>
        <v>42.919258427523964</v>
      </c>
      <c r="AR127" s="7">
        <f>[1]节奏总纲!BD127</f>
        <v>45.646073769279901</v>
      </c>
      <c r="AS127" s="7">
        <f>[1]节奏总纲!BE127</f>
        <v>50.340094453890082</v>
      </c>
      <c r="BD127" s="7"/>
    </row>
    <row r="128" spans="2:56" x14ac:dyDescent="0.15">
      <c r="B128" s="7">
        <f>[1]节奏总纲!N128</f>
        <v>135</v>
      </c>
      <c r="C128" s="7">
        <v>125</v>
      </c>
      <c r="D128" s="7">
        <f>[1]节奏总纲!P128</f>
        <v>5791.6187514801986</v>
      </c>
      <c r="E128" s="7">
        <f>[1]节奏总纲!Q128</f>
        <v>4918.821805632133</v>
      </c>
      <c r="F128" s="7">
        <f>[1]节奏总纲!R128</f>
        <v>3940.0382366319791</v>
      </c>
      <c r="G128" s="7">
        <f>[1]节奏总纲!S128</f>
        <v>2816.4641988448207</v>
      </c>
      <c r="H128" s="7">
        <f>[1]节奏总纲!T128</f>
        <v>1509.8750085108877</v>
      </c>
      <c r="J128" s="7">
        <v>125</v>
      </c>
      <c r="K128" s="7">
        <f>[1]节奏总纲!W128</f>
        <v>387.91434895442762</v>
      </c>
      <c r="L128" s="7">
        <f>[1]节奏总纲!X128</f>
        <v>327.29417480598568</v>
      </c>
      <c r="M128" s="7">
        <f>[1]节奏总纲!Y128</f>
        <v>268.76146555597006</v>
      </c>
      <c r="N128" s="7">
        <f>[1]节奏总纲!Z128</f>
        <v>192.42534097830639</v>
      </c>
      <c r="O128" s="7">
        <f>[1]节奏总纲!AA128</f>
        <v>94.104455049135595</v>
      </c>
      <c r="Q128" s="7">
        <v>125</v>
      </c>
      <c r="R128" s="7">
        <f>[1]节奏总纲!AD128</f>
        <v>69.766676153548232</v>
      </c>
      <c r="S128" s="7">
        <f>[1]节奏总纲!AE128</f>
        <v>71.814967748268955</v>
      </c>
      <c r="T128" s="7">
        <f>[1]节奏总纲!AF128</f>
        <v>74.725565049209479</v>
      </c>
      <c r="U128" s="7">
        <f>[1]节奏总纲!AG128</f>
        <v>79.222727875098187</v>
      </c>
      <c r="V128" s="7">
        <f>[1]节奏总纲!AH128</f>
        <v>88.243836210467165</v>
      </c>
      <c r="AN128" s="7">
        <v>125</v>
      </c>
      <c r="AO128" s="7">
        <f>[1]节奏总纲!BA128</f>
        <v>39.520459727922798</v>
      </c>
      <c r="AP128" s="7">
        <f>[1]节奏总纲!BB128</f>
        <v>41.037193447861313</v>
      </c>
      <c r="AQ128" s="7">
        <f>[1]节奏总纲!BC128</f>
        <v>42.977113019069073</v>
      </c>
      <c r="AR128" s="7">
        <f>[1]节奏总纲!BD128</f>
        <v>45.701865977335167</v>
      </c>
      <c r="AS128" s="7">
        <f>[1]节奏总纲!BE128</f>
        <v>50.393610496988437</v>
      </c>
      <c r="BD128" s="7"/>
    </row>
    <row r="129" spans="2:56" x14ac:dyDescent="0.15">
      <c r="B129" s="7">
        <f>[1]节奏总纲!N129</f>
        <v>136</v>
      </c>
      <c r="C129" s="7">
        <v>126</v>
      </c>
      <c r="D129" s="7">
        <f>[1]节奏总纲!P129</f>
        <v>6207.3750564265865</v>
      </c>
      <c r="E129" s="7">
        <f>[1]节奏总纲!Q129</f>
        <v>5279.3724854908123</v>
      </c>
      <c r="F129" s="7">
        <f>[1]节奏总纲!R129</f>
        <v>4225.9809384152195</v>
      </c>
      <c r="G129" s="7">
        <f>[1]节奏总纲!S129</f>
        <v>3006.8524773330387</v>
      </c>
      <c r="H129" s="7">
        <f>[1]节奏总纲!T129</f>
        <v>1610.1930896370566</v>
      </c>
      <c r="J129" s="7">
        <v>126</v>
      </c>
      <c r="K129" s="7">
        <f>[1]节奏总纲!W129</f>
        <v>415.7563049463879</v>
      </c>
      <c r="L129" s="7">
        <f>[1]节奏总纲!X129</f>
        <v>360.55067985867936</v>
      </c>
      <c r="M129" s="7">
        <f>[1]节奏总纲!Y129</f>
        <v>285.94270178324041</v>
      </c>
      <c r="N129" s="7">
        <f>[1]节奏总纲!Z129</f>
        <v>190.38827848821802</v>
      </c>
      <c r="O129" s="7">
        <f>[1]节奏总纲!AA129</f>
        <v>100.31808112616886</v>
      </c>
      <c r="Q129" s="7">
        <v>126</v>
      </c>
      <c r="R129" s="7">
        <f>[1]节奏总纲!AD129</f>
        <v>69.883338076774123</v>
      </c>
      <c r="S129" s="7">
        <f>[1]节奏总纲!AE129</f>
        <v>71.931947796644479</v>
      </c>
      <c r="T129" s="7">
        <f>[1]节奏总纲!AF129</f>
        <v>74.840792411391348</v>
      </c>
      <c r="U129" s="7">
        <f>[1]节奏总纲!AG129</f>
        <v>79.340854337849223</v>
      </c>
      <c r="V129" s="7">
        <f>[1]节奏总纲!AH129</f>
        <v>88.378400914406001</v>
      </c>
      <c r="AN129" s="7">
        <v>126</v>
      </c>
      <c r="AO129" s="7">
        <f>[1]节奏总纲!BA129</f>
        <v>39.574492434635722</v>
      </c>
      <c r="AP129" s="7">
        <f>[1]节奏总纲!BB129</f>
        <v>41.087476216725996</v>
      </c>
      <c r="AQ129" s="7">
        <f>[1]节奏总纲!BC129</f>
        <v>43.030177309109042</v>
      </c>
      <c r="AR129" s="7">
        <f>[1]节奏总纲!BD129</f>
        <v>45.757658185390426</v>
      </c>
      <c r="AS129" s="7">
        <f>[1]节奏总纲!BE129</f>
        <v>50.447126540086799</v>
      </c>
      <c r="BD129" s="7"/>
    </row>
    <row r="130" spans="2:56" x14ac:dyDescent="0.15">
      <c r="B130" s="7">
        <f>[1]节奏总纲!N130</f>
        <v>137</v>
      </c>
      <c r="C130" s="7">
        <v>127</v>
      </c>
      <c r="D130" s="7">
        <f>[1]节奏总纲!P130</f>
        <v>6652.971630950271</v>
      </c>
      <c r="E130" s="7">
        <f>[1]节奏总纲!Q130</f>
        <v>5658.3523721232059</v>
      </c>
      <c r="F130" s="7">
        <f>[1]节奏总纲!R130</f>
        <v>4508.7188742949984</v>
      </c>
      <c r="G130" s="7">
        <f>[1]节奏总纲!S130</f>
        <v>3203.4058403025556</v>
      </c>
      <c r="H130" s="7">
        <f>[1]节奏总纲!T130</f>
        <v>1719.793166600645</v>
      </c>
      <c r="J130" s="7">
        <v>127</v>
      </c>
      <c r="K130" s="7">
        <f>[1]节奏总纲!W130</f>
        <v>445.59657452368447</v>
      </c>
      <c r="L130" s="7">
        <f>[1]节奏总纲!X130</f>
        <v>378.97988663239357</v>
      </c>
      <c r="M130" s="7">
        <f>[1]节奏总纲!Y130</f>
        <v>282.73793587977889</v>
      </c>
      <c r="N130" s="7">
        <f>[1]节奏总纲!Z130</f>
        <v>196.55336296951691</v>
      </c>
      <c r="O130" s="7">
        <f>[1]节奏总纲!AA130</f>
        <v>109.60007696358844</v>
      </c>
      <c r="Q130" s="7">
        <v>127</v>
      </c>
      <c r="R130" s="7">
        <f>[1]节奏总纲!AD130</f>
        <v>70</v>
      </c>
      <c r="S130" s="7">
        <f>[1]节奏总纲!AE130</f>
        <v>72.047345051940553</v>
      </c>
      <c r="T130" s="7">
        <f>[1]节奏总纲!AF130</f>
        <v>74.956019773573217</v>
      </c>
      <c r="U130" s="7">
        <f>[1]节奏总纲!AG130</f>
        <v>79.458980800600258</v>
      </c>
      <c r="V130" s="7">
        <f>[1]节奏总纲!AH130</f>
        <v>88.51296561834485</v>
      </c>
      <c r="AN130" s="7">
        <v>127</v>
      </c>
      <c r="AO130" s="7">
        <f>[1]节奏总纲!BA130</f>
        <v>39.628525141348646</v>
      </c>
      <c r="AP130" s="7">
        <f>[1]节奏总纲!BB130</f>
        <v>41.137758985590679</v>
      </c>
      <c r="AQ130" s="7">
        <f>[1]节奏总纲!BC130</f>
        <v>43.080106253688569</v>
      </c>
      <c r="AR130" s="7">
        <f>[1]节奏总纲!BD130</f>
        <v>45.813450393445684</v>
      </c>
      <c r="AS130" s="7">
        <f>[1]节奏总纲!BE130</f>
        <v>50.500642583185162</v>
      </c>
      <c r="BD130" s="7"/>
    </row>
    <row r="131" spans="2:56" x14ac:dyDescent="0.15">
      <c r="B131" s="7">
        <f>[1]节奏总纲!N131</f>
        <v>138</v>
      </c>
      <c r="C131" s="7">
        <v>128</v>
      </c>
      <c r="D131" s="7">
        <f>[1]节奏总纲!P131</f>
        <v>7130.5502145218443</v>
      </c>
      <c r="E131" s="7">
        <f>[1]节奏总纲!Q131</f>
        <v>6036.010756592741</v>
      </c>
      <c r="F131" s="7">
        <f>[1]节奏总纲!R131</f>
        <v>4805.9908445877236</v>
      </c>
      <c r="G131" s="7">
        <f>[1]节奏总纲!S131</f>
        <v>3419.0988278632244</v>
      </c>
      <c r="H131" s="7">
        <f>[1]节奏总纲!T131</f>
        <v>1838.9689003251838</v>
      </c>
      <c r="J131" s="7">
        <v>128</v>
      </c>
      <c r="K131" s="7">
        <f>[1]节奏总纲!W131</f>
        <v>477.57858357157329</v>
      </c>
      <c r="L131" s="7">
        <f>[1]节奏总纲!X131</f>
        <v>377.65838446953512</v>
      </c>
      <c r="M131" s="7">
        <f>[1]节奏总纲!Y131</f>
        <v>297.2719702927252</v>
      </c>
      <c r="N131" s="7">
        <f>[1]节奏总纲!Z131</f>
        <v>215.69298756066883</v>
      </c>
      <c r="O131" s="7">
        <f>[1]节奏总纲!AA131</f>
        <v>119.17573372453876</v>
      </c>
      <c r="Q131" s="7">
        <v>128</v>
      </c>
      <c r="R131" s="7">
        <f>[1]节奏总纲!AD131</f>
        <v>70.108849423225877</v>
      </c>
      <c r="S131" s="7">
        <f>[1]节奏总纲!AE131</f>
        <v>72.160540850040434</v>
      </c>
      <c r="T131" s="7">
        <f>[1]节奏总纲!AF131</f>
        <v>75.067682921736733</v>
      </c>
      <c r="U131" s="7">
        <f>[1]节奏总纲!AG131</f>
        <v>79.577107263351294</v>
      </c>
      <c r="V131" s="7">
        <f>[1]节奏总纲!AH131</f>
        <v>88.6475303222837</v>
      </c>
      <c r="AN131" s="7">
        <v>128</v>
      </c>
      <c r="AO131" s="7">
        <f>[1]节奏总纲!BA131</f>
        <v>39.68255784806157</v>
      </c>
      <c r="AP131" s="7">
        <f>[1]节奏总纲!BB131</f>
        <v>41.188041754455355</v>
      </c>
      <c r="AQ131" s="7">
        <f>[1]节奏总纲!BC131</f>
        <v>43.130035198268104</v>
      </c>
      <c r="AR131" s="7">
        <f>[1]节奏总纲!BD131</f>
        <v>45.869242601500943</v>
      </c>
      <c r="AS131" s="7">
        <f>[1]节奏总纲!BE131</f>
        <v>50.554158626283517</v>
      </c>
      <c r="BD131" s="7"/>
    </row>
    <row r="132" spans="2:56" x14ac:dyDescent="0.15">
      <c r="B132" s="7">
        <f>[1]节奏总纲!N132</f>
        <v>139</v>
      </c>
      <c r="C132" s="7">
        <v>129</v>
      </c>
      <c r="D132" s="7">
        <f>[1]节奏总纲!P132</f>
        <v>7642.4062666695281</v>
      </c>
      <c r="E132" s="7">
        <f>[1]节奏总纲!Q132</f>
        <v>6469.2969047357556</v>
      </c>
      <c r="F132" s="7">
        <f>[1]节奏总纲!R132</f>
        <v>5159.388470628599</v>
      </c>
      <c r="G132" s="7">
        <f>[1]节奏总纲!S132</f>
        <v>3676.7616548947103</v>
      </c>
      <c r="H132" s="7">
        <f>[1]节奏总纲!T132</f>
        <v>1975.5620199340731</v>
      </c>
      <c r="J132" s="7">
        <v>129</v>
      </c>
      <c r="K132" s="7">
        <f>[1]节奏总纲!W132</f>
        <v>511.85605214768384</v>
      </c>
      <c r="L132" s="7">
        <f>[1]节奏总纲!X132</f>
        <v>433.28614814301454</v>
      </c>
      <c r="M132" s="7">
        <f>[1]节奏总纲!Y132</f>
        <v>353.39762604087537</v>
      </c>
      <c r="N132" s="7">
        <f>[1]节奏总纲!Z132</f>
        <v>257.6628270314859</v>
      </c>
      <c r="O132" s="7">
        <f>[1]节奏总纲!AA132</f>
        <v>136.59311960888931</v>
      </c>
      <c r="Q132" s="7">
        <v>129</v>
      </c>
      <c r="R132" s="7">
        <f>[1]节奏总纲!AD132</f>
        <v>70.217698846451768</v>
      </c>
      <c r="S132" s="7">
        <f>[1]节奏总纲!AE132</f>
        <v>72.273736648140314</v>
      </c>
      <c r="T132" s="7">
        <f>[1]节奏总纲!AF132</f>
        <v>75.177145912126889</v>
      </c>
      <c r="U132" s="7">
        <f>[1]节奏总纲!AG132</f>
        <v>79.69523372610233</v>
      </c>
      <c r="V132" s="7">
        <f>[1]节奏总纲!AH132</f>
        <v>88.782095026222549</v>
      </c>
      <c r="AN132" s="7">
        <v>129</v>
      </c>
      <c r="AO132" s="7">
        <f>[1]节奏总纲!BA132</f>
        <v>39.736590554774494</v>
      </c>
      <c r="AP132" s="7">
        <f>[1]节奏总纲!BB132</f>
        <v>41.238324523320038</v>
      </c>
      <c r="AQ132" s="7">
        <f>[1]节奏总纲!BC132</f>
        <v>43.179964142847631</v>
      </c>
      <c r="AR132" s="7">
        <f>[1]节奏总纲!BD132</f>
        <v>45.925034809556202</v>
      </c>
      <c r="AS132" s="7">
        <f>[1]节奏总纲!BE132</f>
        <v>50.607674669381879</v>
      </c>
      <c r="BD132" s="7"/>
    </row>
    <row r="133" spans="2:56" x14ac:dyDescent="0.15">
      <c r="B133" s="7">
        <f>[1]节奏总纲!N133</f>
        <v>140</v>
      </c>
      <c r="C133" s="7">
        <v>130</v>
      </c>
      <c r="D133" s="7">
        <f>[1]节奏总纲!P133</f>
        <v>8191</v>
      </c>
      <c r="E133" s="7">
        <f>[1]节奏总纲!Q133</f>
        <v>6941.8725000000004</v>
      </c>
      <c r="F133" s="7">
        <f>[1]节奏总纲!R133</f>
        <v>5542.0306</v>
      </c>
      <c r="G133" s="7">
        <f>[1]节奏总纲!S133</f>
        <v>3951.3384000000001</v>
      </c>
      <c r="H133" s="7">
        <f>[1]节奏总纲!T133</f>
        <v>2124.7454000000002</v>
      </c>
      <c r="J133" s="7">
        <v>130</v>
      </c>
      <c r="K133" s="7">
        <f>[1]节奏总纲!W133</f>
        <v>548.59373333047188</v>
      </c>
      <c r="L133" s="7">
        <f>[1]节奏总纲!X133</f>
        <v>472.57559526424484</v>
      </c>
      <c r="M133" s="7">
        <f>[1]节奏总纲!Y133</f>
        <v>382.6421293714011</v>
      </c>
      <c r="N133" s="7">
        <f>[1]节奏总纲!Z133</f>
        <v>274.57674510528977</v>
      </c>
      <c r="O133" s="7">
        <f>[1]节奏总纲!AA133</f>
        <v>149.18338006592717</v>
      </c>
      <c r="Q133" s="7">
        <v>130</v>
      </c>
      <c r="R133" s="7">
        <f>[1]节奏总纲!AD133</f>
        <v>70.326548269677644</v>
      </c>
      <c r="S133" s="7">
        <f>[1]节奏总纲!AE133</f>
        <v>72.386932446240195</v>
      </c>
      <c r="T133" s="7">
        <f>[1]节奏总纲!AF133</f>
        <v>75.286608902517045</v>
      </c>
      <c r="U133" s="7">
        <f>[1]节奏总纲!AG133</f>
        <v>79.813360188853366</v>
      </c>
      <c r="V133" s="7">
        <f>[1]节奏总纲!AH133</f>
        <v>88.916659730161399</v>
      </c>
      <c r="AN133" s="7">
        <v>130</v>
      </c>
      <c r="AO133" s="7">
        <f>[1]节奏总纲!BA133</f>
        <v>39.790623261487418</v>
      </c>
      <c r="AP133" s="7">
        <f>[1]节奏总纲!BB133</f>
        <v>41.288607292184714</v>
      </c>
      <c r="AQ133" s="7">
        <f>[1]节奏总纲!BC133</f>
        <v>43.229893087427158</v>
      </c>
      <c r="AR133" s="7">
        <f>[1]节奏总纲!BD133</f>
        <v>45.98082701761146</v>
      </c>
      <c r="AS133" s="7">
        <f>[1]节奏总纲!BE133</f>
        <v>50.661190712480241</v>
      </c>
      <c r="BD133" s="7"/>
    </row>
    <row r="134" spans="2:56" x14ac:dyDescent="0.15">
      <c r="B134" s="7">
        <f>[1]节奏总纲!N134</f>
        <v>141</v>
      </c>
      <c r="C134" s="7">
        <v>131</v>
      </c>
      <c r="D134" s="7">
        <f>[1]节奏总纲!P134</f>
        <v>8778.9682050973151</v>
      </c>
      <c r="E134" s="7">
        <f>[1]节奏总纲!Q134</f>
        <v>7443.6871411020138</v>
      </c>
      <c r="F134" s="7">
        <f>[1]节奏总纲!R134</f>
        <v>5945.117268491902</v>
      </c>
      <c r="G134" s="7">
        <f>[1]节奏总纲!S134</f>
        <v>4244.6311271645518</v>
      </c>
      <c r="H134" s="7">
        <f>[1]节奏总纲!T134</f>
        <v>2275.5085587612239</v>
      </c>
      <c r="J134" s="7">
        <v>131</v>
      </c>
      <c r="K134" s="7">
        <f>[1]节奏总纲!W134</f>
        <v>587.96820509731515</v>
      </c>
      <c r="L134" s="7">
        <f>[1]节奏总纲!X134</f>
        <v>501.81464110201341</v>
      </c>
      <c r="M134" s="7">
        <f>[1]节奏总纲!Y134</f>
        <v>403.08666849190195</v>
      </c>
      <c r="N134" s="7">
        <f>[1]节奏总纲!Z134</f>
        <v>293.29272716455171</v>
      </c>
      <c r="O134" s="7">
        <f>[1]节奏总纲!AA134</f>
        <v>150.76315876122362</v>
      </c>
      <c r="Q134" s="7">
        <v>131</v>
      </c>
      <c r="R134" s="7">
        <f>[1]节奏总纲!AD134</f>
        <v>70.435397692903535</v>
      </c>
      <c r="S134" s="7">
        <f>[1]节奏总纲!AE134</f>
        <v>72.50012824434009</v>
      </c>
      <c r="T134" s="7">
        <f>[1]节奏总纲!AF134</f>
        <v>75.396071892907202</v>
      </c>
      <c r="U134" s="7">
        <f>[1]节奏总纲!AG134</f>
        <v>79.931486651604402</v>
      </c>
      <c r="V134" s="7">
        <f>[1]节奏总纲!AH134</f>
        <v>89.048420729369383</v>
      </c>
      <c r="AN134" s="7">
        <v>131</v>
      </c>
      <c r="AO134" s="7">
        <f>[1]节奏总纲!BA134</f>
        <v>39.844655968200342</v>
      </c>
      <c r="AP134" s="7">
        <f>[1]节奏总纲!BB134</f>
        <v>41.338890061049398</v>
      </c>
      <c r="AQ134" s="7">
        <f>[1]节奏总纲!BC134</f>
        <v>43.279822032006692</v>
      </c>
      <c r="AR134" s="7">
        <f>[1]节奏总纲!BD134</f>
        <v>46.031609894814238</v>
      </c>
      <c r="AS134" s="7">
        <f>[1]节奏总纲!BE134</f>
        <v>50.714706755578604</v>
      </c>
      <c r="BD134" s="7"/>
    </row>
    <row r="135" spans="2:56" x14ac:dyDescent="0.15">
      <c r="B135" s="7">
        <f>[1]节奏总纲!N135</f>
        <v>142</v>
      </c>
      <c r="C135" s="7">
        <v>132</v>
      </c>
      <c r="D135" s="7">
        <f>[1]节奏总纲!P135</f>
        <v>9409.1369241357042</v>
      </c>
      <c r="E135" s="7">
        <f>[1]节奏总纲!Q135</f>
        <v>7983.6526801291457</v>
      </c>
      <c r="F135" s="7">
        <f>[1]节奏总纲!R135</f>
        <v>6385.9812304109018</v>
      </c>
      <c r="G135" s="7">
        <f>[1]节奏总纲!S135</f>
        <v>4544.6131343575453</v>
      </c>
      <c r="H135" s="7">
        <f>[1]节奏总纲!T135</f>
        <v>2431.3209811966663</v>
      </c>
      <c r="J135" s="7">
        <v>132</v>
      </c>
      <c r="K135" s="7">
        <f>[1]节奏总纲!W135</f>
        <v>630.1687190383891</v>
      </c>
      <c r="L135" s="7">
        <f>[1]节奏总纲!X135</f>
        <v>539.96553902713185</v>
      </c>
      <c r="M135" s="7">
        <f>[1]节奏总纲!Y135</f>
        <v>440.86396191899985</v>
      </c>
      <c r="N135" s="7">
        <f>[1]节奏总纲!Z135</f>
        <v>299.98200719299348</v>
      </c>
      <c r="O135" s="7">
        <f>[1]节奏总纲!AA135</f>
        <v>155.81242243544239</v>
      </c>
      <c r="Q135" s="7">
        <v>132</v>
      </c>
      <c r="R135" s="7">
        <f>[1]节奏总纲!AD135</f>
        <v>70.544247116129412</v>
      </c>
      <c r="S135" s="7">
        <f>[1]节奏总纲!AE135</f>
        <v>72.61332404243997</v>
      </c>
      <c r="T135" s="7">
        <f>[1]节奏总纲!AF135</f>
        <v>75.505534883297358</v>
      </c>
      <c r="U135" s="7">
        <f>[1]节奏总纲!AG135</f>
        <v>80.045750258986601</v>
      </c>
      <c r="V135" s="7">
        <f>[1]节奏总纲!AH135</f>
        <v>89.175620204122851</v>
      </c>
      <c r="AN135" s="7">
        <v>132</v>
      </c>
      <c r="AO135" s="7">
        <f>[1]节奏总纲!BA135</f>
        <v>39.898688674913267</v>
      </c>
      <c r="AP135" s="7">
        <f>[1]节奏总纲!BB135</f>
        <v>41.389172829914081</v>
      </c>
      <c r="AQ135" s="7">
        <f>[1]节奏总纲!BC135</f>
        <v>43.329750976586219</v>
      </c>
      <c r="AR135" s="7">
        <f>[1]节奏总纲!BD135</f>
        <v>46.079770001861057</v>
      </c>
      <c r="AS135" s="7">
        <f>[1]节奏总纲!BE135</f>
        <v>50.768222798676959</v>
      </c>
      <c r="BD135" s="7"/>
    </row>
    <row r="136" spans="2:56" x14ac:dyDescent="0.15">
      <c r="B136" s="7">
        <f>[1]节奏总纲!N136</f>
        <v>143</v>
      </c>
      <c r="C136" s="7">
        <v>133</v>
      </c>
      <c r="D136" s="7">
        <f>[1]节奏总纲!P136</f>
        <v>10084.535034121556</v>
      </c>
      <c r="E136" s="7">
        <f>[1]节奏总纲!Q136</f>
        <v>8562.7786974726132</v>
      </c>
      <c r="F136" s="7">
        <f>[1]节奏总纲!R136</f>
        <v>6827.2302181002942</v>
      </c>
      <c r="G136" s="7">
        <f>[1]节奏总纲!S136</f>
        <v>4847.6359909022322</v>
      </c>
      <c r="H136" s="7">
        <f>[1]节奏总纲!T136</f>
        <v>2595.759317782889</v>
      </c>
      <c r="J136" s="7">
        <v>133</v>
      </c>
      <c r="K136" s="7">
        <f>[1]节奏总纲!W136</f>
        <v>675.39810998585199</v>
      </c>
      <c r="L136" s="7">
        <f>[1]节奏总纲!X136</f>
        <v>579.12601734346754</v>
      </c>
      <c r="M136" s="7">
        <f>[1]节奏总纲!Y136</f>
        <v>441.24898768939238</v>
      </c>
      <c r="N136" s="7">
        <f>[1]节奏总纲!Z136</f>
        <v>303.02285654468687</v>
      </c>
      <c r="O136" s="7">
        <f>[1]节奏总纲!AA136</f>
        <v>164.4383365862227</v>
      </c>
      <c r="Q136" s="7">
        <v>133</v>
      </c>
      <c r="R136" s="7">
        <f>[1]节奏总纲!AD136</f>
        <v>70.653096539355303</v>
      </c>
      <c r="S136" s="7">
        <f>[1]节奏总纲!AE136</f>
        <v>72.726519840539851</v>
      </c>
      <c r="T136" s="7">
        <f>[1]节奏总纲!AF136</f>
        <v>75.614997873687514</v>
      </c>
      <c r="U136" s="7">
        <f>[1]节奏总纲!AG136</f>
        <v>80.154679447049915</v>
      </c>
      <c r="V136" s="7">
        <f>[1]节奏总纲!AH136</f>
        <v>89.302819678876304</v>
      </c>
      <c r="AN136" s="7">
        <v>133</v>
      </c>
      <c r="AO136" s="7">
        <f>[1]节奏总纲!BA136</f>
        <v>39.952721381626191</v>
      </c>
      <c r="AP136" s="7">
        <f>[1]节奏总纲!BB136</f>
        <v>41.439455598778757</v>
      </c>
      <c r="AQ136" s="7">
        <f>[1]节奏总纲!BC136</f>
        <v>43.379679921165753</v>
      </c>
      <c r="AR136" s="7">
        <f>[1]节奏总纲!BD136</f>
        <v>46.127930108907876</v>
      </c>
      <c r="AS136" s="7">
        <f>[1]节奏总纲!BE136</f>
        <v>50.821738841775321</v>
      </c>
      <c r="BD136" s="7"/>
    </row>
    <row r="137" spans="2:56" x14ac:dyDescent="0.15">
      <c r="B137" s="7">
        <f>[1]节奏总纲!N137</f>
        <v>144</v>
      </c>
      <c r="C137" s="7">
        <v>134</v>
      </c>
      <c r="D137" s="7">
        <f>[1]节奏总纲!P137</f>
        <v>10808.408805051544</v>
      </c>
      <c r="E137" s="7">
        <f>[1]节奏总纲!Q137</f>
        <v>9151.4797352371424</v>
      </c>
      <c r="F137" s="7">
        <f>[1]节奏总纲!R137</f>
        <v>7283.7866937242361</v>
      </c>
      <c r="G137" s="7">
        <f>[1]节奏总纲!S137</f>
        <v>5175.0661358586794</v>
      </c>
      <c r="H137" s="7">
        <f>[1]节奏总纲!T137</f>
        <v>2775.5993811372364</v>
      </c>
      <c r="J137" s="7">
        <v>134</v>
      </c>
      <c r="K137" s="7">
        <f>[1]节奏总纲!W137</f>
        <v>723.87377092998759</v>
      </c>
      <c r="L137" s="7">
        <f>[1]节奏总纲!X137</f>
        <v>588.70103776452925</v>
      </c>
      <c r="M137" s="7">
        <f>[1]节奏总纲!Y137</f>
        <v>456.55647562394188</v>
      </c>
      <c r="N137" s="7">
        <f>[1]节奏总纲!Z137</f>
        <v>327.43014495644729</v>
      </c>
      <c r="O137" s="7">
        <f>[1]节奏总纲!AA137</f>
        <v>179.84006335434742</v>
      </c>
      <c r="Q137" s="7">
        <v>134</v>
      </c>
      <c r="R137" s="7">
        <f>[1]节奏总纲!AD137</f>
        <v>70.76194596258118</v>
      </c>
      <c r="S137" s="7">
        <f>[1]节奏总纲!AE137</f>
        <v>72.839715638639731</v>
      </c>
      <c r="T137" s="7">
        <f>[1]节奏总纲!AF137</f>
        <v>75.72446086407767</v>
      </c>
      <c r="U137" s="7">
        <f>[1]节奏总纲!AG137</f>
        <v>80.263608635113243</v>
      </c>
      <c r="V137" s="7">
        <f>[1]节奏总纲!AH137</f>
        <v>89.430019153629758</v>
      </c>
      <c r="AN137" s="7">
        <v>134</v>
      </c>
      <c r="AO137" s="7">
        <f>[1]节奏总纲!BA137</f>
        <v>40.005827399112476</v>
      </c>
      <c r="AP137" s="7">
        <f>[1]节奏总纲!BB137</f>
        <v>41.48973836764344</v>
      </c>
      <c r="AQ137" s="7">
        <f>[1]节奏总纲!BC137</f>
        <v>43.42960886574528</v>
      </c>
      <c r="AR137" s="7">
        <f>[1]节奏总纲!BD137</f>
        <v>46.176090215954694</v>
      </c>
      <c r="AS137" s="7">
        <f>[1]节奏总纲!BE137</f>
        <v>50.875254884873684</v>
      </c>
      <c r="BD137" s="7"/>
    </row>
    <row r="138" spans="2:56" x14ac:dyDescent="0.15">
      <c r="B138" s="7">
        <f>[1]节奏总纲!N138</f>
        <v>145</v>
      </c>
      <c r="C138" s="7">
        <v>135</v>
      </c>
      <c r="D138" s="7">
        <f>[1]节奏总纲!P138</f>
        <v>11584.237502960397</v>
      </c>
      <c r="E138" s="7">
        <f>[1]节奏总纲!Q138</f>
        <v>9796.789656253608</v>
      </c>
      <c r="F138" s="7">
        <f>[1]节奏总纲!R138</f>
        <v>7796.1918394923478</v>
      </c>
      <c r="G138" s="7">
        <f>[1]节奏总纲!S138</f>
        <v>5548.8497639180305</v>
      </c>
      <c r="H138" s="7">
        <f>[1]节奏总纲!T138</f>
        <v>2979.465885761414</v>
      </c>
      <c r="J138" s="7">
        <v>135</v>
      </c>
      <c r="K138" s="7">
        <f>[1]节奏总纲!W138</f>
        <v>775.82869790885343</v>
      </c>
      <c r="L138" s="7">
        <f>[1]节奏总纲!X138</f>
        <v>645.30992101646552</v>
      </c>
      <c r="M138" s="7">
        <f>[1]节奏总纲!Y138</f>
        <v>512.40514576811165</v>
      </c>
      <c r="N138" s="7">
        <f>[1]节奏总纲!Z138</f>
        <v>373.78362805935103</v>
      </c>
      <c r="O138" s="7">
        <f>[1]节奏总纲!AA138</f>
        <v>203.86650462417765</v>
      </c>
      <c r="Q138" s="7">
        <v>135</v>
      </c>
      <c r="R138" s="7">
        <f>[1]节奏总纲!AD138</f>
        <v>70.870795385807057</v>
      </c>
      <c r="S138" s="7">
        <f>[1]节奏总纲!AE138</f>
        <v>72.952911436739612</v>
      </c>
      <c r="T138" s="7">
        <f>[1]节奏总纲!AF138</f>
        <v>75.833923854467812</v>
      </c>
      <c r="U138" s="7">
        <f>[1]节奏总纲!AG138</f>
        <v>80.372537823176572</v>
      </c>
      <c r="V138" s="7">
        <f>[1]节奏总纲!AH138</f>
        <v>89.557218628383211</v>
      </c>
      <c r="AN138" s="7">
        <v>135</v>
      </c>
      <c r="AO138" s="7">
        <f>[1]节奏总纲!BA138</f>
        <v>40.052446592012309</v>
      </c>
      <c r="AP138" s="7">
        <f>[1]节奏总纲!BB138</f>
        <v>41.540021136508116</v>
      </c>
      <c r="AQ138" s="7">
        <f>[1]节奏总纲!BC138</f>
        <v>43.479537810324814</v>
      </c>
      <c r="AR138" s="7">
        <f>[1]节奏总纲!BD138</f>
        <v>46.224250323001513</v>
      </c>
      <c r="AS138" s="7">
        <f>[1]节奏总纲!BE138</f>
        <v>50.928770927972039</v>
      </c>
      <c r="BD138" s="7"/>
    </row>
    <row r="139" spans="2:56" x14ac:dyDescent="0.15">
      <c r="B139" s="7">
        <f>[1]节奏总纲!N139</f>
        <v>146</v>
      </c>
      <c r="C139" s="7">
        <v>136</v>
      </c>
      <c r="D139" s="7">
        <f>[1]节奏总纲!P139</f>
        <v>12415.750112853173</v>
      </c>
      <c r="E139" s="7">
        <f>[1]节奏总纲!Q139</f>
        <v>10507.449320507641</v>
      </c>
      <c r="F139" s="7">
        <f>[1]节奏总纲!R139</f>
        <v>8384.3560512097483</v>
      </c>
      <c r="G139" s="7">
        <f>[1]节奏总纲!S139</f>
        <v>5967.009504237235</v>
      </c>
      <c r="H139" s="7">
        <f>[1]节奏总纲!T139</f>
        <v>3204.5051041274041</v>
      </c>
      <c r="J139" s="7">
        <v>136</v>
      </c>
      <c r="K139" s="7">
        <f>[1]节奏总纲!W139</f>
        <v>831.5126098927758</v>
      </c>
      <c r="L139" s="7">
        <f>[1]节奏总纲!X139</f>
        <v>710.65966425403349</v>
      </c>
      <c r="M139" s="7">
        <f>[1]节奏总纲!Y139</f>
        <v>588.16421171740058</v>
      </c>
      <c r="N139" s="7">
        <f>[1]节奏总纲!Z139</f>
        <v>418.1597403192045</v>
      </c>
      <c r="O139" s="7">
        <f>[1]节奏总纲!AA139</f>
        <v>225.03921836599011</v>
      </c>
      <c r="Q139" s="7">
        <v>136</v>
      </c>
      <c r="R139" s="7">
        <f>[1]节奏总纲!AD139</f>
        <v>70.979644809032948</v>
      </c>
      <c r="S139" s="7">
        <f>[1]节奏总纲!AE139</f>
        <v>73.059911975288244</v>
      </c>
      <c r="T139" s="7">
        <f>[1]节奏总纲!AF139</f>
        <v>75.943386844857969</v>
      </c>
      <c r="U139" s="7">
        <f>[1]节奏总纲!AG139</f>
        <v>80.4814670112399</v>
      </c>
      <c r="V139" s="7">
        <f>[1]节奏总纲!AH139</f>
        <v>89.684418103136665</v>
      </c>
      <c r="AN139" s="7">
        <v>136</v>
      </c>
      <c r="AO139" s="7">
        <f>[1]节奏总纲!BA139</f>
        <v>40.099065784912149</v>
      </c>
      <c r="AP139" s="7">
        <f>[1]节奏总纲!BB139</f>
        <v>41.590303905372799</v>
      </c>
      <c r="AQ139" s="7">
        <f>[1]节奏总纲!BC139</f>
        <v>43.529466754904341</v>
      </c>
      <c r="AR139" s="7">
        <f>[1]节奏总纲!BD139</f>
        <v>46.272410430048332</v>
      </c>
      <c r="AS139" s="7">
        <f>[1]节奏总纲!BE139</f>
        <v>50.982286971070401</v>
      </c>
      <c r="BD139" s="7"/>
    </row>
    <row r="140" spans="2:56" x14ac:dyDescent="0.15">
      <c r="B140" s="7">
        <f>[1]节奏总纲!N140</f>
        <v>147</v>
      </c>
      <c r="C140" s="7">
        <v>137</v>
      </c>
      <c r="D140" s="7">
        <f>[1]节奏总纲!P140</f>
        <v>13306.943261900544</v>
      </c>
      <c r="E140" s="7">
        <f>[1]节奏总纲!Q140</f>
        <v>11274.973025808331</v>
      </c>
      <c r="F140" s="7">
        <f>[1]节奏总纲!R140</f>
        <v>8995.4936450447676</v>
      </c>
      <c r="G140" s="7">
        <f>[1]节奏总纲!S140</f>
        <v>6407.293180605112</v>
      </c>
      <c r="H140" s="7">
        <f>[1]节奏总纲!T140</f>
        <v>3438.5141388751008</v>
      </c>
      <c r="J140" s="7">
        <v>137</v>
      </c>
      <c r="K140" s="7">
        <f>[1]节奏总纲!W140</f>
        <v>891.19314904737075</v>
      </c>
      <c r="L140" s="7">
        <f>[1]节奏总纲!X140</f>
        <v>767.52370530068947</v>
      </c>
      <c r="M140" s="7">
        <f>[1]节奏总纲!Y140</f>
        <v>611.13759383501929</v>
      </c>
      <c r="N140" s="7">
        <f>[1]节奏总纲!Z140</f>
        <v>440.28367636787698</v>
      </c>
      <c r="O140" s="7">
        <f>[1]节奏总纲!AA140</f>
        <v>234.00903474769666</v>
      </c>
      <c r="Q140" s="7">
        <v>137</v>
      </c>
      <c r="R140" s="7">
        <f>[1]节奏总纲!AD140</f>
        <v>71.082568038258202</v>
      </c>
      <c r="S140" s="7">
        <f>[1]节奏总纲!AE140</f>
        <v>73.162499594857536</v>
      </c>
      <c r="T140" s="7">
        <f>[1]节奏总纲!AF140</f>
        <v>76.048210495050611</v>
      </c>
      <c r="U140" s="7">
        <f>[1]节奏总纲!AG140</f>
        <v>80.590396199303228</v>
      </c>
      <c r="V140" s="7">
        <f>[1]节奏总纲!AH140</f>
        <v>89.811617577890132</v>
      </c>
      <c r="AN140" s="7">
        <v>137</v>
      </c>
      <c r="AO140" s="7">
        <f>[1]节奏总纲!BA140</f>
        <v>40.145684977811982</v>
      </c>
      <c r="AP140" s="7">
        <f>[1]节奏总纲!BB140</f>
        <v>41.640586674237483</v>
      </c>
      <c r="AQ140" s="7">
        <f>[1]节奏总纲!BC140</f>
        <v>43.579395699483875</v>
      </c>
      <c r="AR140" s="7">
        <f>[1]节奏总纲!BD140</f>
        <v>46.320570537095151</v>
      </c>
      <c r="AS140" s="7">
        <f>[1]节奏总纲!BE140</f>
        <v>51.030916192165336</v>
      </c>
      <c r="BD140" s="7"/>
    </row>
    <row r="141" spans="2:56" x14ac:dyDescent="0.15">
      <c r="B141" s="7">
        <f>[1]节奏总纲!N141</f>
        <v>148</v>
      </c>
      <c r="C141" s="7">
        <v>138</v>
      </c>
      <c r="D141" s="7">
        <f>[1]节奏总纲!P141</f>
        <v>14262.10042904369</v>
      </c>
      <c r="E141" s="7">
        <f>[1]节奏总纲!Q141</f>
        <v>12084.27769352872</v>
      </c>
      <c r="F141" s="7">
        <f>[1]节奏总纲!R141</f>
        <v>9648.3109402480568</v>
      </c>
      <c r="G141" s="7">
        <f>[1]节奏总纲!S141</f>
        <v>6871.4799867132497</v>
      </c>
      <c r="H141" s="7">
        <f>[1]节奏总纲!T141</f>
        <v>3671.064650435846</v>
      </c>
      <c r="J141" s="7">
        <v>138</v>
      </c>
      <c r="K141" s="7">
        <f>[1]节奏总纲!W141</f>
        <v>955.15716714314658</v>
      </c>
      <c r="L141" s="7">
        <f>[1]节奏总纲!X141</f>
        <v>809.30466772038926</v>
      </c>
      <c r="M141" s="7">
        <f>[1]节奏总纲!Y141</f>
        <v>652.81729520328918</v>
      </c>
      <c r="N141" s="7">
        <f>[1]节奏总纲!Z141</f>
        <v>464.18680610813772</v>
      </c>
      <c r="O141" s="7">
        <f>[1]节奏总纲!AA141</f>
        <v>232.55051156074524</v>
      </c>
      <c r="Q141" s="7">
        <v>138</v>
      </c>
      <c r="R141" s="7">
        <f>[1]节奏总纲!AD141</f>
        <v>71.184128141237707</v>
      </c>
      <c r="S141" s="7">
        <f>[1]节奏总纲!AE141</f>
        <v>73.265087214426828</v>
      </c>
      <c r="T141" s="7">
        <f>[1]节奏总纲!AF141</f>
        <v>76.148064447889894</v>
      </c>
      <c r="U141" s="7">
        <f>[1]节奏总纲!AG141</f>
        <v>80.699325387366557</v>
      </c>
      <c r="V141" s="7">
        <f>[1]节奏总纲!AH141</f>
        <v>89.938817052643586</v>
      </c>
      <c r="AN141" s="7">
        <v>138</v>
      </c>
      <c r="AO141" s="7">
        <f>[1]节奏总纲!BA141</f>
        <v>40.192304170711814</v>
      </c>
      <c r="AP141" s="7">
        <f>[1]节奏总纲!BB141</f>
        <v>41.690869443102159</v>
      </c>
      <c r="AQ141" s="7">
        <f>[1]节奏总纲!BC141</f>
        <v>43.629324644063402</v>
      </c>
      <c r="AR141" s="7">
        <f>[1]节奏总纲!BD141</f>
        <v>46.368730644141969</v>
      </c>
      <c r="AS141" s="7">
        <f>[1]节奏总纲!BE141</f>
        <v>51.077127728003028</v>
      </c>
      <c r="BD141" s="7"/>
    </row>
    <row r="142" spans="2:56" x14ac:dyDescent="0.15">
      <c r="B142" s="7">
        <f>[1]节奏总纲!N142</f>
        <v>149</v>
      </c>
      <c r="C142" s="7">
        <v>139</v>
      </c>
      <c r="D142" s="7">
        <f>[1]节奏总纲!P142</f>
        <v>15285.812533339058</v>
      </c>
      <c r="E142" s="7">
        <f>[1]节奏总纲!Q142</f>
        <v>12957.783284511519</v>
      </c>
      <c r="F142" s="7">
        <f>[1]节奏总纲!R142</f>
        <v>10342.380760057207</v>
      </c>
      <c r="G142" s="7">
        <f>[1]节奏总纲!S142</f>
        <v>7335.6614347494142</v>
      </c>
      <c r="H142" s="7">
        <f>[1]节奏总纲!T142</f>
        <v>3920.8109148014687</v>
      </c>
      <c r="J142" s="7">
        <v>139</v>
      </c>
      <c r="K142" s="7">
        <f>[1]节奏总纲!W142</f>
        <v>1023.7121042953677</v>
      </c>
      <c r="L142" s="7">
        <f>[1]节奏总纲!X142</f>
        <v>873.50559098279882</v>
      </c>
      <c r="M142" s="7">
        <f>[1]节奏总纲!Y142</f>
        <v>694.06981980915043</v>
      </c>
      <c r="N142" s="7">
        <f>[1]节奏总纲!Z142</f>
        <v>464.18144803616451</v>
      </c>
      <c r="O142" s="7">
        <f>[1]节奏总纲!AA142</f>
        <v>249.74626436562266</v>
      </c>
      <c r="Q142" s="7">
        <v>139</v>
      </c>
      <c r="R142" s="7">
        <f>[1]节奏总纲!AD142</f>
        <v>71.285688244217212</v>
      </c>
      <c r="S142" s="7">
        <f>[1]节奏总纲!AE142</f>
        <v>73.367674833996119</v>
      </c>
      <c r="T142" s="7">
        <f>[1]节奏总纲!AF142</f>
        <v>76.247918400729162</v>
      </c>
      <c r="U142" s="7">
        <f>[1]节奏总纲!AG142</f>
        <v>80.808254575429885</v>
      </c>
      <c r="V142" s="7">
        <f>[1]节奏总纲!AH142</f>
        <v>90.055148444912135</v>
      </c>
      <c r="AN142" s="7">
        <v>139</v>
      </c>
      <c r="AO142" s="7">
        <f>[1]节奏总纲!BA142</f>
        <v>40.238923363611647</v>
      </c>
      <c r="AP142" s="7">
        <f>[1]节奏总纲!BB142</f>
        <v>41.741152211966842</v>
      </c>
      <c r="AQ142" s="7">
        <f>[1]节奏总纲!BC142</f>
        <v>43.679253588642929</v>
      </c>
      <c r="AR142" s="7">
        <f>[1]节奏总纲!BD142</f>
        <v>46.416890751188788</v>
      </c>
      <c r="AS142" s="7">
        <f>[1]节奏总纲!BE142</f>
        <v>51.12333926384072</v>
      </c>
      <c r="BD142" s="7"/>
    </row>
    <row r="143" spans="2:56" x14ac:dyDescent="0.15">
      <c r="B143" s="7">
        <f>[1]节奏总纲!N143</f>
        <v>150</v>
      </c>
      <c r="C143" s="7">
        <v>140</v>
      </c>
      <c r="D143" s="7">
        <f>[1]节奏总纲!P143</f>
        <v>16383</v>
      </c>
      <c r="E143" s="7">
        <f>[1]节奏总纲!Q143</f>
        <v>13881.315900000001</v>
      </c>
      <c r="F143" s="7">
        <f>[1]节奏总纲!R143</f>
        <v>11037.2271</v>
      </c>
      <c r="G143" s="7">
        <f>[1]节奏总纲!S143</f>
        <v>7827.7974000000004</v>
      </c>
      <c r="H143" s="7">
        <f>[1]节奏总纲!T143</f>
        <v>4192.4097000000002</v>
      </c>
      <c r="J143" s="7">
        <v>140</v>
      </c>
      <c r="K143" s="7">
        <f>[1]节奏总纲!W143</f>
        <v>1097.1874666609419</v>
      </c>
      <c r="L143" s="7">
        <f>[1]节奏总纲!X143</f>
        <v>923.53261548848241</v>
      </c>
      <c r="M143" s="7">
        <f>[1]节奏总纲!Y143</f>
        <v>694.84633994279284</v>
      </c>
      <c r="N143" s="7">
        <f>[1]节奏总纲!Z143</f>
        <v>492.1359652505862</v>
      </c>
      <c r="O143" s="7">
        <f>[1]节奏总纲!AA143</f>
        <v>271.59878519853146</v>
      </c>
      <c r="Q143" s="7">
        <v>140</v>
      </c>
      <c r="R143" s="7">
        <f>[1]节奏总纲!AD143</f>
        <v>71.387248347196717</v>
      </c>
      <c r="S143" s="7">
        <f>[1]节奏总纲!AE143</f>
        <v>73.470262453565411</v>
      </c>
      <c r="T143" s="7">
        <f>[1]节奏总纲!AF143</f>
        <v>76.347772353568445</v>
      </c>
      <c r="U143" s="7">
        <f>[1]节奏总纲!AG143</f>
        <v>80.917183763493213</v>
      </c>
      <c r="V143" s="7">
        <f>[1]节奏总纲!AH143</f>
        <v>90.16140749098561</v>
      </c>
      <c r="AN143" s="7">
        <v>140</v>
      </c>
      <c r="AO143" s="7">
        <f>[1]节奏总纲!BA143</f>
        <v>40.28554255651148</v>
      </c>
      <c r="AP143" s="7">
        <f>[1]节奏总纲!BB143</f>
        <v>41.791434980831518</v>
      </c>
      <c r="AQ143" s="7">
        <f>[1]节奏总纲!BC143</f>
        <v>43.729182533222463</v>
      </c>
      <c r="AR143" s="7">
        <f>[1]节奏总纲!BD143</f>
        <v>46.465050858235607</v>
      </c>
      <c r="AS143" s="7">
        <f>[1]节奏总纲!BE143</f>
        <v>51.169550799678412</v>
      </c>
      <c r="BD143" s="7"/>
    </row>
    <row r="144" spans="2:56" x14ac:dyDescent="0.15">
      <c r="B144" s="7">
        <f>[1]节奏总纲!N144</f>
        <v>151</v>
      </c>
      <c r="C144" s="7">
        <v>141</v>
      </c>
      <c r="D144" s="7">
        <f>[1]节奏总纲!P144</f>
        <v>17558.936410194601</v>
      </c>
      <c r="E144" s="7">
        <f>[1]节奏总纲!Q144</f>
        <v>14839.057160255457</v>
      </c>
      <c r="F144" s="7">
        <f>[1]节奏总纲!R144</f>
        <v>11789.069905804656</v>
      </c>
      <c r="G144" s="7">
        <f>[1]节奏总纲!S144</f>
        <v>8380.8803485858825</v>
      </c>
      <c r="H144" s="7">
        <f>[1]节奏总纲!T144</f>
        <v>4489.820040086759</v>
      </c>
      <c r="J144" s="7">
        <v>141</v>
      </c>
      <c r="K144" s="7">
        <f>[1]节奏总纲!W144</f>
        <v>1175.9364101946012</v>
      </c>
      <c r="L144" s="7">
        <f>[1]节奏总纲!X144</f>
        <v>957.74126025545593</v>
      </c>
      <c r="M144" s="7">
        <f>[1]节奏总纲!Y144</f>
        <v>751.84280580465565</v>
      </c>
      <c r="N144" s="7">
        <f>[1]节奏总纲!Z144</f>
        <v>553.08294858588215</v>
      </c>
      <c r="O144" s="7">
        <f>[1]节奏总纲!AA144</f>
        <v>297.41034008675888</v>
      </c>
      <c r="Q144" s="7">
        <v>141</v>
      </c>
      <c r="R144" s="7">
        <f>[1]节奏总纲!AD144</f>
        <v>71.488808450176208</v>
      </c>
      <c r="S144" s="7">
        <f>[1]节奏总纲!AE144</f>
        <v>73.572850073134703</v>
      </c>
      <c r="T144" s="7">
        <f>[1]节奏总纲!AF144</f>
        <v>76.447626306407713</v>
      </c>
      <c r="U144" s="7">
        <f>[1]节奏总纲!AG144</f>
        <v>81.023848662825003</v>
      </c>
      <c r="V144" s="7">
        <f>[1]节奏总纲!AH144</f>
        <v>90.267666537059071</v>
      </c>
      <c r="AN144" s="7">
        <v>141</v>
      </c>
      <c r="AO144" s="7">
        <f>[1]节奏总纲!BA144</f>
        <v>40.332161749411313</v>
      </c>
      <c r="AP144" s="7">
        <f>[1]节奏总纲!BB144</f>
        <v>41.841717749696201</v>
      </c>
      <c r="AQ144" s="7">
        <f>[1]节奏总纲!BC144</f>
        <v>43.77911147780199</v>
      </c>
      <c r="AR144" s="7">
        <f>[1]节奏总纲!BD144</f>
        <v>46.513210965282425</v>
      </c>
      <c r="AS144" s="7">
        <f>[1]节奏总纲!BE144</f>
        <v>51.215762335516104</v>
      </c>
      <c r="BD144" s="7"/>
    </row>
    <row r="145" spans="2:56" x14ac:dyDescent="0.15">
      <c r="B145" s="7">
        <f>[1]节奏总纲!N145</f>
        <v>152</v>
      </c>
      <c r="C145" s="7">
        <v>142</v>
      </c>
      <c r="D145" s="7">
        <f>[1]节奏总纲!P145</f>
        <v>18819.273848271412</v>
      </c>
      <c r="E145" s="7">
        <f>[1]节奏总纲!Q145</f>
        <v>15904.16832917417</v>
      </c>
      <c r="F145" s="7">
        <f>[1]节奏总纲!R145</f>
        <v>12667.253227271489</v>
      </c>
      <c r="G145" s="7">
        <f>[1]节奏总纲!S145</f>
        <v>9003.140609013044</v>
      </c>
      <c r="H145" s="7">
        <f>[1]节奏总纲!T145</f>
        <v>4823.3798873119622</v>
      </c>
      <c r="J145" s="7">
        <v>142</v>
      </c>
      <c r="K145" s="7">
        <f>[1]节奏总纲!W145</f>
        <v>1260.3374380768109</v>
      </c>
      <c r="L145" s="7">
        <f>[1]节奏总纲!X145</f>
        <v>1065.1111689187128</v>
      </c>
      <c r="M145" s="7">
        <f>[1]节奏总纲!Y145</f>
        <v>878.18332146683315</v>
      </c>
      <c r="N145" s="7">
        <f>[1]节奏总纲!Z145</f>
        <v>622.26026042716148</v>
      </c>
      <c r="O145" s="7">
        <f>[1]节奏总纲!AA145</f>
        <v>333.55984722520316</v>
      </c>
      <c r="Q145" s="7">
        <v>142</v>
      </c>
      <c r="R145" s="7">
        <f>[1]节奏总纲!AD145</f>
        <v>71.590368553155713</v>
      </c>
      <c r="S145" s="7">
        <f>[1]节奏总纲!AE145</f>
        <v>73.675437692703994</v>
      </c>
      <c r="T145" s="7">
        <f>[1]节奏总纲!AF145</f>
        <v>76.547480259246996</v>
      </c>
      <c r="U145" s="7">
        <f>[1]节奏总纲!AG145</f>
        <v>81.123332456233015</v>
      </c>
      <c r="V145" s="7">
        <f>[1]节奏总纲!AH145</f>
        <v>90.373925583132547</v>
      </c>
      <c r="AN145" s="7">
        <v>142</v>
      </c>
      <c r="AO145" s="7">
        <f>[1]节奏总纲!BA145</f>
        <v>40.378780942311145</v>
      </c>
      <c r="AP145" s="7">
        <f>[1]节奏总纲!BB145</f>
        <v>41.892000518560877</v>
      </c>
      <c r="AQ145" s="7">
        <f>[1]节奏总纲!BC145</f>
        <v>43.829040422381524</v>
      </c>
      <c r="AR145" s="7">
        <f>[1]节奏总纲!BD145</f>
        <v>46.561371072329244</v>
      </c>
      <c r="AS145" s="7">
        <f>[1]节奏总纲!BE145</f>
        <v>51.261973871353796</v>
      </c>
      <c r="BD145" s="7"/>
    </row>
    <row r="146" spans="2:56" x14ac:dyDescent="0.15">
      <c r="B146" s="7">
        <f>[1]节奏总纲!N146</f>
        <v>153</v>
      </c>
      <c r="C146" s="7">
        <v>143</v>
      </c>
      <c r="D146" s="7">
        <f>[1]节奏总纲!P146</f>
        <v>20170.070068243116</v>
      </c>
      <c r="E146" s="7">
        <f>[1]节奏总纲!Q146</f>
        <v>17065.896284740498</v>
      </c>
      <c r="F146" s="7">
        <f>[1]节奏总纲!R146</f>
        <v>13594.62722599586</v>
      </c>
      <c r="G146" s="7">
        <f>[1]节奏总纲!S146</f>
        <v>9669.5315907157492</v>
      </c>
      <c r="H146" s="7">
        <f>[1]节奏总纲!T146</f>
        <v>5185.7250145453054</v>
      </c>
      <c r="J146" s="7">
        <v>143</v>
      </c>
      <c r="K146" s="7">
        <f>[1]节奏总纲!W146</f>
        <v>1350.796219971704</v>
      </c>
      <c r="L146" s="7">
        <f>[1]节奏总纲!X146</f>
        <v>1161.7279555663281</v>
      </c>
      <c r="M146" s="7">
        <f>[1]节奏总纲!Y146</f>
        <v>927.37399872437163</v>
      </c>
      <c r="N146" s="7">
        <f>[1]节奏总纲!Z146</f>
        <v>666.39098170270518</v>
      </c>
      <c r="O146" s="7">
        <f>[1]节奏总纲!AA146</f>
        <v>362.34512723334319</v>
      </c>
      <c r="Q146" s="7">
        <v>143</v>
      </c>
      <c r="R146" s="7">
        <f>[1]节奏总纲!AD146</f>
        <v>71.691928656135218</v>
      </c>
      <c r="S146" s="7">
        <f>[1]节奏总纲!AE146</f>
        <v>73.778025312273286</v>
      </c>
      <c r="T146" s="7">
        <f>[1]节奏总纲!AF146</f>
        <v>76.647334212086264</v>
      </c>
      <c r="U146" s="7">
        <f>[1]节奏总纲!AG146</f>
        <v>81.222816249641028</v>
      </c>
      <c r="V146" s="7">
        <f>[1]节奏总纲!AH146</f>
        <v>90.480184629206022</v>
      </c>
      <c r="AN146" s="7">
        <v>143</v>
      </c>
      <c r="AO146" s="7">
        <f>[1]节奏总纲!BA146</f>
        <v>40.425400135210978</v>
      </c>
      <c r="AP146" s="7">
        <f>[1]节奏总纲!BB146</f>
        <v>41.94228328742556</v>
      </c>
      <c r="AQ146" s="7">
        <f>[1]节奏总纲!BC146</f>
        <v>43.878969366961051</v>
      </c>
      <c r="AR146" s="7">
        <f>[1]节奏总纲!BD146</f>
        <v>46.609531179376063</v>
      </c>
      <c r="AS146" s="7">
        <f>[1]节奏总纲!BE146</f>
        <v>51.308185407191495</v>
      </c>
      <c r="BD146" s="7"/>
    </row>
    <row r="147" spans="2:56" x14ac:dyDescent="0.15">
      <c r="B147" s="7">
        <f>[1]节奏总纲!N147</f>
        <v>154</v>
      </c>
      <c r="C147" s="7">
        <v>144</v>
      </c>
      <c r="D147" s="7">
        <f>[1]节奏总纲!P147</f>
        <v>21617.817610103088</v>
      </c>
      <c r="E147" s="7">
        <f>[1]节奏总纲!Q147</f>
        <v>18290.835479908223</v>
      </c>
      <c r="F147" s="7">
        <f>[1]节奏总纲!R147</f>
        <v>14585.541541536553</v>
      </c>
      <c r="G147" s="7">
        <f>[1]节奏总纲!S147</f>
        <v>10380.876016371503</v>
      </c>
      <c r="H147" s="7">
        <f>[1]节奏总纲!T147</f>
        <v>5547.1319987524521</v>
      </c>
      <c r="J147" s="7">
        <v>144</v>
      </c>
      <c r="K147" s="7">
        <f>[1]节奏总纲!W147</f>
        <v>1447.7475418599715</v>
      </c>
      <c r="L147" s="7">
        <f>[1]节奏总纲!X147</f>
        <v>1224.9391951677244</v>
      </c>
      <c r="M147" s="7">
        <f>[1]节奏总纲!Y147</f>
        <v>990.91431554069277</v>
      </c>
      <c r="N147" s="7">
        <f>[1]节奏总纲!Z147</f>
        <v>711.34442565575409</v>
      </c>
      <c r="O147" s="7">
        <f>[1]节奏总纲!AA147</f>
        <v>361.40698420714671</v>
      </c>
      <c r="Q147" s="7">
        <v>144</v>
      </c>
      <c r="R147" s="7">
        <f>[1]节奏总纲!AD147</f>
        <v>71.793488759114723</v>
      </c>
      <c r="S147" s="7">
        <f>[1]节奏总纲!AE147</f>
        <v>73.880612931842577</v>
      </c>
      <c r="T147" s="7">
        <f>[1]节奏总纲!AF147</f>
        <v>76.747188164925547</v>
      </c>
      <c r="U147" s="7">
        <f>[1]节奏总纲!AG147</f>
        <v>81.322300043049054</v>
      </c>
      <c r="V147" s="7">
        <f>[1]节奏总纲!AH147</f>
        <v>90.586443675279497</v>
      </c>
      <c r="AN147" s="7">
        <v>144</v>
      </c>
      <c r="AO147" s="7">
        <f>[1]节奏总纲!BA147</f>
        <v>40.472019328110811</v>
      </c>
      <c r="AP147" s="7">
        <f>[1]节奏总纲!BB147</f>
        <v>41.992566056290244</v>
      </c>
      <c r="AQ147" s="7">
        <f>[1]节奏总纲!BC147</f>
        <v>43.928898311540586</v>
      </c>
      <c r="AR147" s="7">
        <f>[1]节奏总纲!BD147</f>
        <v>46.657691286422882</v>
      </c>
      <c r="AS147" s="7">
        <f>[1]节奏总纲!BE147</f>
        <v>51.354396943029187</v>
      </c>
      <c r="BD147" s="7"/>
    </row>
    <row r="148" spans="2:56" x14ac:dyDescent="0.15">
      <c r="B148" s="7">
        <f>[1]节奏总纲!N148</f>
        <v>155</v>
      </c>
      <c r="C148" s="7">
        <v>145</v>
      </c>
      <c r="D148" s="7">
        <f>[1]节奏总纲!P148</f>
        <v>23169.475005920798</v>
      </c>
      <c r="E148" s="7">
        <f>[1]节奏总纲!Q148</f>
        <v>19631.496172516694</v>
      </c>
      <c r="F148" s="7">
        <f>[1]节奏总纲!R148</f>
        <v>15650.9803664995</v>
      </c>
      <c r="G148" s="7">
        <f>[1]节奏总纲!S148</f>
        <v>11105.129370337838</v>
      </c>
      <c r="H148" s="7">
        <f>[1]节奏总纲!T148</f>
        <v>5926.7517065145412</v>
      </c>
      <c r="J148" s="7">
        <v>145</v>
      </c>
      <c r="K148" s="7">
        <f>[1]节奏总纲!W148</f>
        <v>1551.6573958177105</v>
      </c>
      <c r="L148" s="7">
        <f>[1]节奏总纲!X148</f>
        <v>1340.6606926084714</v>
      </c>
      <c r="M148" s="7">
        <f>[1]节奏总纲!Y148</f>
        <v>1065.4388249629465</v>
      </c>
      <c r="N148" s="7">
        <f>[1]节奏总纲!Z148</f>
        <v>724.25335396633454</v>
      </c>
      <c r="O148" s="7">
        <f>[1]节奏总纲!AA148</f>
        <v>379.61970776208909</v>
      </c>
      <c r="Q148" s="7">
        <v>145</v>
      </c>
      <c r="R148" s="7">
        <f>[1]节奏总纲!AD148</f>
        <v>71.895048862094214</v>
      </c>
      <c r="S148" s="7">
        <f>[1]节奏总纲!AE148</f>
        <v>73.983200551411869</v>
      </c>
      <c r="T148" s="7">
        <f>[1]节奏总纲!AF148</f>
        <v>76.847042117764815</v>
      </c>
      <c r="U148" s="7">
        <f>[1]节奏总纲!AG148</f>
        <v>81.421783836457067</v>
      </c>
      <c r="V148" s="7">
        <f>[1]节奏总纲!AH148</f>
        <v>90.692702721352973</v>
      </c>
      <c r="AN148" s="7">
        <v>145</v>
      </c>
      <c r="AO148" s="7">
        <f>[1]节奏总纲!BA148</f>
        <v>40.518638521010651</v>
      </c>
      <c r="AP148" s="7">
        <f>[1]节奏总纲!BB148</f>
        <v>42.036975906461073</v>
      </c>
      <c r="AQ148" s="7">
        <f>[1]节奏总纲!BC148</f>
        <v>43.978827256120113</v>
      </c>
      <c r="AR148" s="7">
        <f>[1]节奏总纲!BD148</f>
        <v>46.7058513934697</v>
      </c>
      <c r="AS148" s="7">
        <f>[1]节奏总纲!BE148</f>
        <v>51.400608478866879</v>
      </c>
      <c r="BD148" s="7"/>
    </row>
    <row r="149" spans="2:56" x14ac:dyDescent="0.15">
      <c r="B149" s="7">
        <f>[1]节奏总纲!N149</f>
        <v>156</v>
      </c>
      <c r="C149" s="7">
        <v>146</v>
      </c>
      <c r="D149" s="7">
        <f>[1]节奏总纲!P149</f>
        <v>24832.50022570635</v>
      </c>
      <c r="E149" s="7">
        <f>[1]节奏总纲!Q149</f>
        <v>21035.61094119585</v>
      </c>
      <c r="F149" s="7">
        <f>[1]节奏总纲!R149</f>
        <v>16719.722401968087</v>
      </c>
      <c r="G149" s="7">
        <f>[1]节奏总纲!S149</f>
        <v>11847.5858576845</v>
      </c>
      <c r="H149" s="7">
        <f>[1]节奏总纲!T149</f>
        <v>6324.8378074874072</v>
      </c>
      <c r="J149" s="7">
        <v>146</v>
      </c>
      <c r="K149" s="7">
        <f>[1]节奏总纲!W149</f>
        <v>1663.0252197855516</v>
      </c>
      <c r="L149" s="7">
        <f>[1]节奏总纲!X149</f>
        <v>1404.1147686791555</v>
      </c>
      <c r="M149" s="7">
        <f>[1]节奏总纲!Y149</f>
        <v>1068.7420354685873</v>
      </c>
      <c r="N149" s="7">
        <f>[1]节奏总纲!Z149</f>
        <v>742.45648734666247</v>
      </c>
      <c r="O149" s="7">
        <f>[1]节奏总纲!AA149</f>
        <v>398.08610097286601</v>
      </c>
      <c r="Q149" s="7">
        <v>146</v>
      </c>
      <c r="R149" s="7">
        <f>[1]节奏总纲!AD149</f>
        <v>71.996608965073719</v>
      </c>
      <c r="S149" s="7">
        <f>[1]节奏总纲!AE149</f>
        <v>74.078973000522922</v>
      </c>
      <c r="T149" s="7">
        <f>[1]节奏总纲!AF149</f>
        <v>76.946896070604097</v>
      </c>
      <c r="U149" s="7">
        <f>[1]节奏总纲!AG149</f>
        <v>81.521267629865079</v>
      </c>
      <c r="V149" s="7">
        <f>[1]节奏总纲!AH149</f>
        <v>90.798961767426448</v>
      </c>
      <c r="AN149" s="7">
        <v>146</v>
      </c>
      <c r="AO149" s="7">
        <f>[1]节奏总纲!BA149</f>
        <v>40.565257713910484</v>
      </c>
      <c r="AP149" s="7">
        <f>[1]节奏总纲!BB149</f>
        <v>42.080366850119908</v>
      </c>
      <c r="AQ149" s="7">
        <f>[1]节奏总纲!BC149</f>
        <v>44.024818750237806</v>
      </c>
      <c r="AR149" s="7">
        <f>[1]节奏总纲!BD149</f>
        <v>46.754011500516519</v>
      </c>
      <c r="AS149" s="7">
        <f>[1]节奏总纲!BE149</f>
        <v>51.446820014704571</v>
      </c>
      <c r="BD149" s="7"/>
    </row>
    <row r="150" spans="2:56" x14ac:dyDescent="0.15">
      <c r="B150" s="7">
        <f>[1]节奏总纲!N150</f>
        <v>157</v>
      </c>
      <c r="C150" s="7">
        <v>147</v>
      </c>
      <c r="D150" s="7">
        <f>[1]节奏总纲!P150</f>
        <v>26614.886523801088</v>
      </c>
      <c r="E150" s="7">
        <f>[1]节奏总纲!Q150</f>
        <v>22470.948692045258</v>
      </c>
      <c r="F150" s="7">
        <f>[1]节奏总纲!R150</f>
        <v>17837.296948251489</v>
      </c>
      <c r="G150" s="7">
        <f>[1]节奏总纲!S150</f>
        <v>12631.425144195997</v>
      </c>
      <c r="H150" s="7">
        <f>[1]节奏总纲!T150</f>
        <v>6754.8581997407164</v>
      </c>
      <c r="J150" s="7">
        <v>147</v>
      </c>
      <c r="K150" s="7">
        <f>[1]节奏总纲!W150</f>
        <v>1782.3862980947379</v>
      </c>
      <c r="L150" s="7">
        <f>[1]节奏总纲!X150</f>
        <v>1435.3377508494086</v>
      </c>
      <c r="M150" s="7">
        <f>[1]节奏总纲!Y150</f>
        <v>1117.574546283402</v>
      </c>
      <c r="N150" s="7">
        <f>[1]节奏总纲!Z150</f>
        <v>783.83928651149654</v>
      </c>
      <c r="O150" s="7">
        <f>[1]节奏总纲!AA150</f>
        <v>430.02039225330918</v>
      </c>
      <c r="Q150" s="7">
        <v>147</v>
      </c>
      <c r="R150" s="7">
        <f>[1]节奏总纲!AD150</f>
        <v>72.091594979242075</v>
      </c>
      <c r="S150" s="7">
        <f>[1]节奏总纲!AE150</f>
        <v>74.173410870467364</v>
      </c>
      <c r="T150" s="7">
        <f>[1]节奏总纲!AF150</f>
        <v>77.043751281705866</v>
      </c>
      <c r="U150" s="7">
        <f>[1]节奏总纲!AG150</f>
        <v>81.620751423273092</v>
      </c>
      <c r="V150" s="7">
        <f>[1]节奏总纲!AH150</f>
        <v>90.905220813499923</v>
      </c>
      <c r="AN150" s="7">
        <v>147</v>
      </c>
      <c r="AO150" s="7">
        <f>[1]节奏总纲!BA150</f>
        <v>40.611876906810316</v>
      </c>
      <c r="AP150" s="7">
        <f>[1]节奏总纲!BB150</f>
        <v>42.123757793778736</v>
      </c>
      <c r="AQ150" s="7">
        <f>[1]节奏总纲!BC150</f>
        <v>44.067911160744309</v>
      </c>
      <c r="AR150" s="7">
        <f>[1]节奏总纲!BD150</f>
        <v>46.802171607563338</v>
      </c>
      <c r="AS150" s="7">
        <f>[1]节奏总纲!BE150</f>
        <v>51.493031550542263</v>
      </c>
      <c r="BD150" s="7"/>
    </row>
    <row r="151" spans="2:56" x14ac:dyDescent="0.15">
      <c r="B151" s="7">
        <f>[1]节奏总纲!N151</f>
        <v>158</v>
      </c>
      <c r="C151" s="7">
        <v>148</v>
      </c>
      <c r="D151" s="7">
        <f>[1]节奏总纲!P151</f>
        <v>28525.200858087381</v>
      </c>
      <c r="E151" s="7">
        <f>[1]节奏总纲!Q151</f>
        <v>24083.827084483179</v>
      </c>
      <c r="F151" s="7">
        <f>[1]节奏总纲!R151</f>
        <v>19128.999695433398</v>
      </c>
      <c r="G151" s="7">
        <f>[1]节奏总纲!S151</f>
        <v>13566.58552810636</v>
      </c>
      <c r="H151" s="7">
        <f>[1]节奏总纲!T151</f>
        <v>7242.5484978683862</v>
      </c>
      <c r="J151" s="7">
        <v>148</v>
      </c>
      <c r="K151" s="7">
        <f>[1]节奏总纲!W151</f>
        <v>1910.3143342862932</v>
      </c>
      <c r="L151" s="7">
        <f>[1]节奏总纲!X151</f>
        <v>1612.8783924379204</v>
      </c>
      <c r="M151" s="7">
        <f>[1]节奏总纲!Y151</f>
        <v>1291.7027471819092</v>
      </c>
      <c r="N151" s="7">
        <f>[1]节奏总纲!Z151</f>
        <v>935.16038391036273</v>
      </c>
      <c r="O151" s="7">
        <f>[1]节奏总纲!AA151</f>
        <v>487.69029812766985</v>
      </c>
      <c r="Q151" s="7">
        <v>148</v>
      </c>
      <c r="R151" s="7">
        <f>[1]节奏总纲!AD151</f>
        <v>72.186353905945822</v>
      </c>
      <c r="S151" s="7">
        <f>[1]节奏总纲!AE151</f>
        <v>74.267848740411821</v>
      </c>
      <c r="T151" s="7">
        <f>[1]节奏总纲!AF151</f>
        <v>77.137200185007629</v>
      </c>
      <c r="U151" s="7">
        <f>[1]节奏总纲!AG151</f>
        <v>81.720235216681118</v>
      </c>
      <c r="V151" s="7">
        <f>[1]节奏总纲!AH151</f>
        <v>91.011076811620597</v>
      </c>
      <c r="AN151" s="7">
        <v>148</v>
      </c>
      <c r="AO151" s="7">
        <f>[1]节奏总纲!BA151</f>
        <v>40.658496099710149</v>
      </c>
      <c r="AP151" s="7">
        <f>[1]节奏总纲!BB151</f>
        <v>42.167148737437564</v>
      </c>
      <c r="AQ151" s="7">
        <f>[1]节奏总纲!BC151</f>
        <v>44.111003571250812</v>
      </c>
      <c r="AR151" s="7">
        <f>[1]节奏总纲!BD151</f>
        <v>46.850331714610157</v>
      </c>
      <c r="AS151" s="7">
        <f>[1]节奏总纲!BE151</f>
        <v>51.539243086379955</v>
      </c>
      <c r="BD151" s="7"/>
    </row>
    <row r="152" spans="2:56" x14ac:dyDescent="0.15">
      <c r="B152" s="7">
        <f>[1]节奏总纲!N152</f>
        <v>159</v>
      </c>
      <c r="C152" s="7">
        <v>149</v>
      </c>
      <c r="D152" s="7">
        <f>[1]节奏总纲!P152</f>
        <v>30572.62506667812</v>
      </c>
      <c r="E152" s="7">
        <f>[1]节奏总纲!Q152</f>
        <v>25818.581868809673</v>
      </c>
      <c r="F152" s="7">
        <f>[1]节奏总纲!R152</f>
        <v>20520.345944754354</v>
      </c>
      <c r="G152" s="7">
        <f>[1]节奏总纲!S152</f>
        <v>14549.512269232117</v>
      </c>
      <c r="H152" s="7">
        <f>[1]节奏总纲!T152</f>
        <v>7768.50402944291</v>
      </c>
      <c r="J152" s="7">
        <v>149</v>
      </c>
      <c r="K152" s="7">
        <f>[1]节奏总纲!W152</f>
        <v>2047.424208590739</v>
      </c>
      <c r="L152" s="7">
        <f>[1]节奏总纲!X152</f>
        <v>1734.7547843264947</v>
      </c>
      <c r="M152" s="7">
        <f>[1]节奏总纲!Y152</f>
        <v>1391.3462493209554</v>
      </c>
      <c r="N152" s="7">
        <f>[1]节奏总纲!Z152</f>
        <v>982.92674112575696</v>
      </c>
      <c r="O152" s="7">
        <f>[1]节奏总纲!AA152</f>
        <v>525.95553157452377</v>
      </c>
      <c r="Q152" s="7">
        <v>149</v>
      </c>
      <c r="R152" s="7">
        <f>[1]节奏总纲!AD152</f>
        <v>72.281112832649583</v>
      </c>
      <c r="S152" s="7">
        <f>[1]节奏总纲!AE152</f>
        <v>74.362286610356264</v>
      </c>
      <c r="T152" s="7">
        <f>[1]节奏总纲!AF152</f>
        <v>77.230649088309391</v>
      </c>
      <c r="U152" s="7">
        <f>[1]节奏总纲!AG152</f>
        <v>81.819719010089131</v>
      </c>
      <c r="V152" s="7">
        <f>[1]节奏总纲!AH152</f>
        <v>91.113605194377854</v>
      </c>
      <c r="AN152" s="7">
        <v>149</v>
      </c>
      <c r="AO152" s="7">
        <f>[1]节奏总纲!BA152</f>
        <v>40.705115292609982</v>
      </c>
      <c r="AP152" s="7">
        <f>[1]节奏总纲!BB152</f>
        <v>42.2105396810964</v>
      </c>
      <c r="AQ152" s="7">
        <f>[1]节奏总纲!BC152</f>
        <v>44.154095981757315</v>
      </c>
      <c r="AR152" s="7">
        <f>[1]节奏总纲!BD152</f>
        <v>46.898491821656968</v>
      </c>
      <c r="AS152" s="7">
        <f>[1]节奏总纲!BE152</f>
        <v>51.585454622217647</v>
      </c>
      <c r="BD152" s="7"/>
    </row>
    <row r="153" spans="2:56" x14ac:dyDescent="0.15">
      <c r="B153" s="7">
        <f>[1]节奏总纲!N153</f>
        <v>160</v>
      </c>
      <c r="C153" s="7">
        <v>150</v>
      </c>
      <c r="D153" s="7">
        <f>[1]节奏总纲!P153</f>
        <v>32767</v>
      </c>
      <c r="E153" s="7">
        <f>[1]节奏总纲!Q153</f>
        <v>27671.731500000002</v>
      </c>
      <c r="F153" s="7">
        <f>[1]节奏总纲!R153</f>
        <v>21996.487099999998</v>
      </c>
      <c r="G153" s="7">
        <f>[1]节奏总纲!S153</f>
        <v>15603.645400000001</v>
      </c>
      <c r="H153" s="7">
        <f>[1]节奏总纲!T153</f>
        <v>8355.5850000000009</v>
      </c>
      <c r="J153" s="7">
        <v>150</v>
      </c>
      <c r="K153" s="7">
        <f>[1]节奏总纲!W153</f>
        <v>2194.3749333218802</v>
      </c>
      <c r="L153" s="7">
        <f>[1]节奏总纲!X153</f>
        <v>1853.1496311903284</v>
      </c>
      <c r="M153" s="7">
        <f>[1]节奏总纲!Y153</f>
        <v>1476.1411552456448</v>
      </c>
      <c r="N153" s="7">
        <f>[1]节奏总纲!Z153</f>
        <v>1054.1331307678847</v>
      </c>
      <c r="O153" s="7">
        <f>[1]节奏总纲!AA153</f>
        <v>587.08097055709095</v>
      </c>
      <c r="Q153" s="7">
        <v>150</v>
      </c>
      <c r="R153" s="7">
        <f>[1]节奏总纲!AD153</f>
        <v>72.375871759353331</v>
      </c>
      <c r="S153" s="7">
        <f>[1]节奏总纲!AE153</f>
        <v>74.456724480300707</v>
      </c>
      <c r="T153" s="7">
        <f>[1]节奏总纲!AF153</f>
        <v>77.324097991611154</v>
      </c>
      <c r="U153" s="7">
        <f>[1]节奏总纲!AG153</f>
        <v>81.919202803497143</v>
      </c>
      <c r="V153" s="7">
        <f>[1]节奏总纲!AH153</f>
        <v>91.216133577135096</v>
      </c>
      <c r="AN153" s="7">
        <v>150</v>
      </c>
      <c r="AO153" s="7">
        <f>[1]节奏总纲!BA153</f>
        <v>40.751734485509814</v>
      </c>
      <c r="AP153" s="7">
        <f>[1]节奏总纲!BB153</f>
        <v>42.253930624755228</v>
      </c>
      <c r="AQ153" s="7">
        <f>[1]节奏总纲!BC153</f>
        <v>44.197188392263818</v>
      </c>
      <c r="AR153" s="7">
        <f>[1]节奏总纲!BD153</f>
        <v>46.946651928703787</v>
      </c>
      <c r="AS153" s="7">
        <f>[1]节奏总纲!BE153</f>
        <v>51.631666158055346</v>
      </c>
      <c r="BD153" s="7"/>
    </row>
    <row r="154" spans="2:56" x14ac:dyDescent="0.15">
      <c r="B154" s="7">
        <f>[1]节奏总纲!N154</f>
        <v>161</v>
      </c>
      <c r="C154" s="7">
        <v>151</v>
      </c>
      <c r="D154" s="7">
        <f>[1]节奏总纲!P154</f>
        <v>35118.87282038921</v>
      </c>
      <c r="E154" s="7">
        <f>[1]节奏总纲!Q154</f>
        <v>29671.935645946844</v>
      </c>
      <c r="F154" s="7">
        <f>[1]节奏总纲!R154</f>
        <v>23592.858760737468</v>
      </c>
      <c r="G154" s="7">
        <f>[1]节奏总纲!S154</f>
        <v>16804.380644556237</v>
      </c>
      <c r="H154" s="7">
        <f>[1]节奏总纲!T154</f>
        <v>9095.7880604808051</v>
      </c>
      <c r="J154" s="7">
        <v>151</v>
      </c>
      <c r="K154" s="7">
        <f>[1]节奏总纲!W154</f>
        <v>2351.8728203892097</v>
      </c>
      <c r="L154" s="7">
        <f>[1]节奏总纲!X154</f>
        <v>2000.2041459468419</v>
      </c>
      <c r="M154" s="7">
        <f>[1]节奏总纲!Y154</f>
        <v>1596.3716607374699</v>
      </c>
      <c r="N154" s="7">
        <f>[1]节奏总纲!Z154</f>
        <v>1200.7352445562356</v>
      </c>
      <c r="O154" s="7">
        <f>[1]节奏总纲!AA154</f>
        <v>740.2030604808042</v>
      </c>
      <c r="Q154" s="7">
        <v>151</v>
      </c>
      <c r="R154" s="7">
        <f>[1]节奏总纲!AD154</f>
        <v>72.470630686057078</v>
      </c>
      <c r="S154" s="7">
        <f>[1]节奏总纲!AE154</f>
        <v>74.551162350245164</v>
      </c>
      <c r="T154" s="7">
        <f>[1]节奏总纲!AF154</f>
        <v>77.417546894912917</v>
      </c>
      <c r="U154" s="7">
        <f>[1]节奏总纲!AG154</f>
        <v>82.01744549958407</v>
      </c>
      <c r="V154" s="7">
        <f>[1]节奏总纲!AH154</f>
        <v>91.318661959892353</v>
      </c>
      <c r="AN154" s="7">
        <v>151</v>
      </c>
      <c r="AO154" s="7">
        <f>[1]节奏总纲!BA154</f>
        <v>40.798353678409647</v>
      </c>
      <c r="AP154" s="7">
        <f>[1]节奏总纲!BB154</f>
        <v>42.297321568414056</v>
      </c>
      <c r="AQ154" s="7">
        <f>[1]节奏总纲!BC154</f>
        <v>44.240280802770329</v>
      </c>
      <c r="AR154" s="7">
        <f>[1]节奏总纲!BD154</f>
        <v>46.994812035750606</v>
      </c>
      <c r="AS154" s="7">
        <f>[1]节奏总纲!BE154</f>
        <v>51.677877693893038</v>
      </c>
      <c r="BD154" s="7"/>
    </row>
    <row r="155" spans="2:56" x14ac:dyDescent="0.15">
      <c r="B155" s="7">
        <f>[1]节奏总纲!N155</f>
        <v>162</v>
      </c>
      <c r="C155" s="7">
        <v>152</v>
      </c>
      <c r="D155" s="7">
        <f>[1]节奏总纲!P155</f>
        <v>37639.547696542824</v>
      </c>
      <c r="E155" s="7">
        <f>[1]节奏总纲!Q155</f>
        <v>31794.125939269725</v>
      </c>
      <c r="F155" s="7">
        <f>[1]节奏总纲!R155</f>
        <v>25425.514469014677</v>
      </c>
      <c r="G155" s="7">
        <f>[1]节奏总纲!S155</f>
        <v>18255.180632823271</v>
      </c>
      <c r="H155" s="7">
        <f>[1]节奏总纲!T155</f>
        <v>14114.830386203559</v>
      </c>
      <c r="J155" s="7">
        <v>152</v>
      </c>
      <c r="K155" s="7">
        <f>[1]节奏总纲!W155</f>
        <v>2520.6748761536146</v>
      </c>
      <c r="L155" s="7">
        <f>[1]节奏总纲!X155</f>
        <v>2122.1902933228812</v>
      </c>
      <c r="M155" s="7">
        <f>[1]节奏总纲!Y155</f>
        <v>1832.6557082772088</v>
      </c>
      <c r="N155" s="7">
        <f>[1]节奏总纲!Z155</f>
        <v>1450.7999882670338</v>
      </c>
      <c r="O155" s="7">
        <f>[1]节奏总纲!AA155</f>
        <v>5019.042325722754</v>
      </c>
      <c r="Q155" s="7">
        <v>152</v>
      </c>
      <c r="R155" s="7">
        <f>[1]节奏总纲!AD155</f>
        <v>72.565389612760825</v>
      </c>
      <c r="S155" s="7">
        <f>[1]节奏总纲!AE155</f>
        <v>74.645600220189607</v>
      </c>
      <c r="T155" s="7">
        <f>[1]节奏总纲!AF155</f>
        <v>77.51099579821468</v>
      </c>
      <c r="U155" s="7">
        <f>[1]节奏总纲!AG155</f>
        <v>82.110321933176039</v>
      </c>
      <c r="V155" s="7">
        <f>[1]节奏总纲!AH155</f>
        <v>91.421190342649595</v>
      </c>
      <c r="AN155" s="7">
        <v>152</v>
      </c>
      <c r="AO155" s="7">
        <f>[1]节奏总纲!BA155</f>
        <v>40.84497287130948</v>
      </c>
      <c r="AP155" s="7">
        <f>[1]节奏总纲!BB155</f>
        <v>42.340712512072891</v>
      </c>
      <c r="AQ155" s="7">
        <f>[1]节奏总纲!BC155</f>
        <v>44.283373213276832</v>
      </c>
      <c r="AR155" s="7">
        <f>[1]节奏总纲!BD155</f>
        <v>47.037096473408994</v>
      </c>
      <c r="AS155" s="7">
        <f>[1]节奏总纲!BE155</f>
        <v>51.72408922973073</v>
      </c>
      <c r="BD155" s="7"/>
    </row>
    <row r="156" spans="2:56" x14ac:dyDescent="0.15">
      <c r="B156" s="7">
        <f>[1]节奏总纲!N156</f>
        <v>163</v>
      </c>
      <c r="C156" s="7">
        <v>153</v>
      </c>
      <c r="D156" s="7">
        <f>[1]节奏总纲!P156</f>
        <v>40341.140136486232</v>
      </c>
      <c r="E156" s="7">
        <f>[1]节奏总纲!Q156</f>
        <v>34330.31025614978</v>
      </c>
      <c r="F156" s="7">
        <f>[1]节奏总纲!R156</f>
        <v>27552.998713220099</v>
      </c>
      <c r="G156" s="7">
        <f>[1]节奏总纲!S156</f>
        <v>24204.684081891737</v>
      </c>
      <c r="H156" s="7">
        <f>[1]节奏总纲!T156</f>
        <v>24204.684081891737</v>
      </c>
      <c r="J156" s="7">
        <v>153</v>
      </c>
      <c r="K156" s="7">
        <f>[1]节奏总纲!W156</f>
        <v>2701.592439943408</v>
      </c>
      <c r="L156" s="7">
        <f>[1]节奏总纲!X156</f>
        <v>2536.1843168800551</v>
      </c>
      <c r="M156" s="7">
        <f>[1]节奏总纲!Y156</f>
        <v>2127.4842442054214</v>
      </c>
      <c r="N156" s="7">
        <f>[1]节奏总纲!Z156</f>
        <v>5949.5034490684666</v>
      </c>
      <c r="O156" s="7">
        <f>[1]节奏总纲!AA156</f>
        <v>10089.853695688178</v>
      </c>
      <c r="Q156" s="7">
        <v>153</v>
      </c>
      <c r="R156" s="7">
        <f>[1]节奏总纲!AD156</f>
        <v>72.660148539464572</v>
      </c>
      <c r="S156" s="7">
        <f>[1]节奏总纲!AE156</f>
        <v>74.74003809013405</v>
      </c>
      <c r="T156" s="7">
        <f>[1]节奏总纲!AF156</f>
        <v>77.604444701516456</v>
      </c>
      <c r="U156" s="7">
        <f>[1]节奏总纲!AG156</f>
        <v>82.203198366767992</v>
      </c>
      <c r="V156" s="7">
        <f>[1]节奏总纲!AH156</f>
        <v>91.523718725406852</v>
      </c>
      <c r="AN156" s="7">
        <v>153</v>
      </c>
      <c r="AO156" s="7">
        <f>[1]节奏总纲!BA156</f>
        <v>40.891592064209313</v>
      </c>
      <c r="AP156" s="7">
        <f>[1]节奏总纲!BB156</f>
        <v>42.384103455731719</v>
      </c>
      <c r="AQ156" s="7">
        <f>[1]节奏总纲!BC156</f>
        <v>44.326465623783335</v>
      </c>
      <c r="AR156" s="7">
        <f>[1]节奏总纲!BD156</f>
        <v>47.078671550054786</v>
      </c>
      <c r="AS156" s="7">
        <f>[1]节奏总纲!BE156</f>
        <v>51.770300765568422</v>
      </c>
      <c r="BD156" s="7"/>
    </row>
    <row r="157" spans="2:56" x14ac:dyDescent="0.15">
      <c r="B157" s="7">
        <f>[1]节奏总纲!N157</f>
        <v>164</v>
      </c>
      <c r="C157" s="7">
        <v>154</v>
      </c>
      <c r="D157" s="7">
        <f>[1]节奏总纲!P157</f>
        <v>43236.635220206183</v>
      </c>
      <c r="E157" s="7">
        <f>[1]节奏总纲!Q157</f>
        <v>36967.323113276288</v>
      </c>
      <c r="F157" s="7">
        <f>[1]节奏总纲!R157</f>
        <v>33940.758647861854</v>
      </c>
      <c r="G157" s="7">
        <f>[1]节奏总纲!S157</f>
        <v>34156.941823962887</v>
      </c>
      <c r="H157" s="7">
        <f>[1]节奏总纲!T157</f>
        <v>34156.941823962887</v>
      </c>
      <c r="J157" s="7">
        <v>154</v>
      </c>
      <c r="K157" s="7">
        <f>[1]节奏总纲!W157</f>
        <v>2895.4950837199503</v>
      </c>
      <c r="L157" s="7">
        <f>[1]节奏总纲!X157</f>
        <v>2637.0128571265086</v>
      </c>
      <c r="M157" s="7">
        <f>[1]节奏总纲!Y157</f>
        <v>6387.7599346417555</v>
      </c>
      <c r="N157" s="7">
        <f>[1]节奏总纲!Z157</f>
        <v>9952.2577420711496</v>
      </c>
      <c r="O157" s="7">
        <f>[1]节奏总纲!AA157</f>
        <v>9952.2577420711496</v>
      </c>
      <c r="Q157" s="7">
        <v>154</v>
      </c>
      <c r="R157" s="7">
        <f>[1]节奏总纲!AD157</f>
        <v>72.754907466168333</v>
      </c>
      <c r="S157" s="7">
        <f>[1]节奏总纲!AE157</f>
        <v>74.834475960078507</v>
      </c>
      <c r="T157" s="7">
        <f>[1]节奏总纲!AF157</f>
        <v>77.697893604818219</v>
      </c>
      <c r="U157" s="7">
        <f>[1]节奏总纲!AG157</f>
        <v>82.29607480035996</v>
      </c>
      <c r="V157" s="7">
        <f>[1]节奏总纲!AH157</f>
        <v>91.626247108164094</v>
      </c>
      <c r="AN157" s="7">
        <v>154</v>
      </c>
      <c r="AO157" s="7">
        <f>[1]节奏总纲!BA157</f>
        <v>40.938211257109145</v>
      </c>
      <c r="AP157" s="7">
        <f>[1]节奏总纲!BB157</f>
        <v>42.427494399390554</v>
      </c>
      <c r="AQ157" s="7">
        <f>[1]节奏总纲!BC157</f>
        <v>44.369558034289838</v>
      </c>
      <c r="AR157" s="7">
        <f>[1]节奏总纲!BD157</f>
        <v>47.12024662670057</v>
      </c>
      <c r="AS157" s="7">
        <f>[1]节奏总纲!BE157</f>
        <v>51.816512301406114</v>
      </c>
      <c r="BD157" s="7"/>
    </row>
    <row r="158" spans="2:56" x14ac:dyDescent="0.15">
      <c r="B158" s="7">
        <f>[1]节奏总纲!N158</f>
        <v>165</v>
      </c>
      <c r="C158" s="7">
        <v>155</v>
      </c>
      <c r="D158" s="7">
        <f>[1]节奏总纲!P158</f>
        <v>46339.950011841604</v>
      </c>
      <c r="E158" s="7">
        <f>[1]节奏总纲!Q158</f>
        <v>44078.560451263736</v>
      </c>
      <c r="F158" s="7">
        <f>[1]节奏总纲!R158</f>
        <v>44402.940101346627</v>
      </c>
      <c r="G158" s="7">
        <f>[1]节奏总纲!S158</f>
        <v>44402.940101346627</v>
      </c>
      <c r="H158" s="7">
        <f>[1]节奏总纲!T158</f>
        <v>44541.959951382152</v>
      </c>
      <c r="J158" s="7">
        <v>155</v>
      </c>
      <c r="K158" s="7">
        <f>[1]节奏总纲!W158</f>
        <v>3103.314791635421</v>
      </c>
      <c r="L158" s="7">
        <f>[1]节奏总纲!X158</f>
        <v>7111.237337987448</v>
      </c>
      <c r="M158" s="7">
        <f>[1]节奏总纲!Y158</f>
        <v>10462.181453484773</v>
      </c>
      <c r="N158" s="7">
        <f>[1]节奏总纲!Z158</f>
        <v>10245.99827738374</v>
      </c>
      <c r="O158" s="7">
        <f>[1]节奏总纲!AA158</f>
        <v>10385.018127419266</v>
      </c>
      <c r="Q158" s="7">
        <v>155</v>
      </c>
      <c r="R158" s="7">
        <f>[1]节奏总纲!AD158</f>
        <v>72.849666392872081</v>
      </c>
      <c r="S158" s="7">
        <f>[1]节奏总纲!AE158</f>
        <v>74.92891383002295</v>
      </c>
      <c r="T158" s="7">
        <f>[1]节奏总纲!AF158</f>
        <v>77.791342508119982</v>
      </c>
      <c r="U158" s="7">
        <f>[1]节奏总纲!AG158</f>
        <v>82.388951233951914</v>
      </c>
      <c r="V158" s="7">
        <f>[1]节奏总纲!AH158</f>
        <v>91.72877549092135</v>
      </c>
      <c r="AN158" s="7">
        <v>155</v>
      </c>
      <c r="AO158" s="7">
        <f>[1]节奏总纲!BA158</f>
        <v>40.984830450008985</v>
      </c>
      <c r="AP158" s="7">
        <f>[1]节奏总纲!BB158</f>
        <v>42.470885343049382</v>
      </c>
      <c r="AQ158" s="7">
        <f>[1]节奏总纲!BC158</f>
        <v>44.412650444796341</v>
      </c>
      <c r="AR158" s="7">
        <f>[1]节奏总纲!BD158</f>
        <v>47.161821703346362</v>
      </c>
      <c r="AS158" s="7">
        <f>[1]节奏总纲!BE158</f>
        <v>51.862723837243806</v>
      </c>
      <c r="BD158" s="7"/>
    </row>
    <row r="159" spans="2:56" x14ac:dyDescent="0.15">
      <c r="B159" s="7">
        <f>[1]节奏总纲!N159</f>
        <v>166</v>
      </c>
      <c r="C159" s="7">
        <v>156</v>
      </c>
      <c r="D159" s="7">
        <f>[1]节奏总纲!P159</f>
        <v>49666.000451412707</v>
      </c>
      <c r="E159" s="7">
        <f>[1]节奏总纲!Q159</f>
        <v>49666.000451412707</v>
      </c>
      <c r="F159" s="7">
        <f>[1]节奏总纲!R159</f>
        <v>50162.660455926831</v>
      </c>
      <c r="G159" s="7">
        <f>[1]节奏总纲!S159</f>
        <v>50162.660455926831</v>
      </c>
      <c r="H159" s="7">
        <f>[1]节奏总纲!T159</f>
        <v>50311.658457281068</v>
      </c>
      <c r="J159" s="7">
        <v>156</v>
      </c>
      <c r="K159" s="7">
        <f>[1]节奏总纲!W159</f>
        <v>3326.0504395711032</v>
      </c>
      <c r="L159" s="7">
        <f>[1]节奏总纲!X159</f>
        <v>5587.4400001489703</v>
      </c>
      <c r="M159" s="7">
        <f>[1]节奏总纲!Y159</f>
        <v>5759.720354580204</v>
      </c>
      <c r="N159" s="7">
        <f>[1]节奏总纲!Z159</f>
        <v>5759.720354580204</v>
      </c>
      <c r="O159" s="7">
        <f>[1]节奏总纲!AA159</f>
        <v>5769.6985058989158</v>
      </c>
      <c r="Q159" s="7">
        <v>156</v>
      </c>
      <c r="R159" s="7">
        <f>[1]节奏总纲!AD159</f>
        <v>72.944425319575828</v>
      </c>
      <c r="S159" s="7">
        <f>[1]节奏总纲!AE159</f>
        <v>75.022035011469043</v>
      </c>
      <c r="T159" s="7">
        <f>[1]节奏总纲!AF159</f>
        <v>77.884791411421745</v>
      </c>
      <c r="U159" s="7">
        <f>[1]节奏总纲!AG159</f>
        <v>82.481827667543882</v>
      </c>
      <c r="V159" s="7">
        <f>[1]节奏总纲!AH159</f>
        <v>91.831303873678593</v>
      </c>
      <c r="AN159" s="7">
        <v>156</v>
      </c>
      <c r="AO159" s="7">
        <f>[1]节奏总纲!BA159</f>
        <v>41.027136894088379</v>
      </c>
      <c r="AP159" s="7">
        <f>[1]节奏总纲!BB159</f>
        <v>42.51427628670821</v>
      </c>
      <c r="AQ159" s="7">
        <f>[1]节奏总纲!BC159</f>
        <v>44.455742855302844</v>
      </c>
      <c r="AR159" s="7">
        <f>[1]节奏总纲!BD159</f>
        <v>47.203396779992147</v>
      </c>
      <c r="AS159" s="7">
        <f>[1]节奏总纲!BE159</f>
        <v>51.908935373081505</v>
      </c>
      <c r="BD159" s="7"/>
    </row>
    <row r="160" spans="2:56" x14ac:dyDescent="0.15">
      <c r="B160" s="7">
        <f>[1]节奏总纲!N160</f>
        <v>167</v>
      </c>
      <c r="C160" s="7">
        <v>157</v>
      </c>
      <c r="D160" s="7">
        <f>[1]节奏总纲!P160</f>
        <v>53230.773047602182</v>
      </c>
      <c r="E160" s="7">
        <f>[1]节奏总纲!Q160</f>
        <v>53230.773047602182</v>
      </c>
      <c r="F160" s="7">
        <f>[1]节奏总纲!R160</f>
        <v>53763.080778078205</v>
      </c>
      <c r="G160" s="7">
        <f>[1]节奏总纲!S160</f>
        <v>53763.080778078205</v>
      </c>
      <c r="H160" s="7">
        <f>[1]节奏总纲!T160</f>
        <v>53763.080778078205</v>
      </c>
      <c r="J160" s="7">
        <v>157</v>
      </c>
      <c r="K160" s="7">
        <f>[1]节奏总纲!W160</f>
        <v>3564.7725961894757</v>
      </c>
      <c r="L160" s="7">
        <f>[1]节奏总纲!X160</f>
        <v>3564.7725961894757</v>
      </c>
      <c r="M160" s="7">
        <f>[1]节奏总纲!Y160</f>
        <v>3600.4203221513744</v>
      </c>
      <c r="N160" s="7">
        <f>[1]节奏总纲!Z160</f>
        <v>3600.4203221513744</v>
      </c>
      <c r="O160" s="7">
        <f>[1]节奏总纲!AA160</f>
        <v>3451.4223207971372</v>
      </c>
      <c r="Q160" s="7">
        <v>157</v>
      </c>
      <c r="R160" s="7">
        <f>[1]节奏总纲!AD160</f>
        <v>73.036560194527354</v>
      </c>
      <c r="S160" s="7">
        <f>[1]节奏总纲!AE160</f>
        <v>75.111147990406067</v>
      </c>
      <c r="T160" s="7">
        <f>[1]节奏总纲!AF160</f>
        <v>77.978240314723507</v>
      </c>
      <c r="U160" s="7">
        <f>[1]节奏总纲!AG160</f>
        <v>82.574704101135836</v>
      </c>
      <c r="V160" s="7">
        <f>[1]节奏总纲!AH160</f>
        <v>91.933832256435849</v>
      </c>
      <c r="AN160" s="7">
        <v>157</v>
      </c>
      <c r="AO160" s="7">
        <f>[1]节奏总纲!BA160</f>
        <v>41.067363109180121</v>
      </c>
      <c r="AP160" s="7">
        <f>[1]节奏总纲!BB160</f>
        <v>42.557667230367045</v>
      </c>
      <c r="AQ160" s="7">
        <f>[1]节奏总纲!BC160</f>
        <v>44.498835265809355</v>
      </c>
      <c r="AR160" s="7">
        <f>[1]节奏总纲!BD160</f>
        <v>47.244971856637939</v>
      </c>
      <c r="AS160" s="7">
        <f>[1]节奏总纲!BE160</f>
        <v>51.955146908919197</v>
      </c>
      <c r="BD160" s="7"/>
    </row>
    <row r="161" spans="2:56" x14ac:dyDescent="0.15">
      <c r="B161" s="7">
        <f>[1]节奏总纲!N161</f>
        <v>168</v>
      </c>
      <c r="C161" s="7">
        <v>158</v>
      </c>
      <c r="D161" s="7">
        <f>[1]节奏总纲!P161</f>
        <v>57051.401716174769</v>
      </c>
      <c r="E161" s="7">
        <f>[1]节奏总纲!Q161</f>
        <v>57051.401716174769</v>
      </c>
      <c r="F161" s="7">
        <f>[1]节奏总纲!R161</f>
        <v>57621.915733336515</v>
      </c>
      <c r="G161" s="7">
        <f>[1]节奏总纲!S161</f>
        <v>57621.915733336515</v>
      </c>
      <c r="H161" s="7">
        <f>[1]节奏总纲!T161</f>
        <v>57621.915733336515</v>
      </c>
      <c r="J161" s="7">
        <v>158</v>
      </c>
      <c r="K161" s="7">
        <f>[1]节奏总纲!W161</f>
        <v>3820.6286685725863</v>
      </c>
      <c r="L161" s="7">
        <f>[1]节奏总纲!X161</f>
        <v>3820.6286685725863</v>
      </c>
      <c r="M161" s="7">
        <f>[1]节奏总纲!Y161</f>
        <v>3858.8349552583095</v>
      </c>
      <c r="N161" s="7">
        <f>[1]节奏总纲!Z161</f>
        <v>3858.8349552583095</v>
      </c>
      <c r="O161" s="7">
        <f>[1]节奏总纲!AA161</f>
        <v>3858.8349552583095</v>
      </c>
      <c r="Q161" s="7">
        <v>158</v>
      </c>
      <c r="R161" s="7">
        <f>[1]节奏总纲!AD161</f>
        <v>73.124973399384572</v>
      </c>
      <c r="S161" s="7">
        <f>[1]节奏总纲!AE161</f>
        <v>75.200260969343077</v>
      </c>
      <c r="T161" s="7">
        <f>[1]节奏总纲!AF161</f>
        <v>78.066694029528094</v>
      </c>
      <c r="U161" s="7">
        <f>[1]节奏总纲!AG161</f>
        <v>82.667580534727804</v>
      </c>
      <c r="V161" s="7">
        <f>[1]节奏总纲!AH161</f>
        <v>92.033129415212969</v>
      </c>
      <c r="AN161" s="7">
        <v>158</v>
      </c>
      <c r="AO161" s="7">
        <f>[1]节奏总纲!BA161</f>
        <v>41.107589324271871</v>
      </c>
      <c r="AP161" s="7">
        <f>[1]节奏总纲!BB161</f>
        <v>42.601058174025873</v>
      </c>
      <c r="AQ161" s="7">
        <f>[1]节奏总纲!BC161</f>
        <v>44.541927676315858</v>
      </c>
      <c r="AR161" s="7">
        <f>[1]节奏总纲!BD161</f>
        <v>47.286546933283724</v>
      </c>
      <c r="AS161" s="7">
        <f>[1]节奏总纲!BE161</f>
        <v>52.001173105835825</v>
      </c>
      <c r="BD161" s="7"/>
    </row>
    <row r="162" spans="2:56" x14ac:dyDescent="0.15">
      <c r="B162" s="7">
        <f>[1]节奏总纲!N162</f>
        <v>169</v>
      </c>
      <c r="C162" s="7">
        <v>159</v>
      </c>
      <c r="D162" s="7">
        <f>[1]节奏总纲!P162</f>
        <v>61146.25013335624</v>
      </c>
      <c r="E162" s="7">
        <f>[1]节奏总纲!Q162</f>
        <v>61146.25013335624</v>
      </c>
      <c r="F162" s="7">
        <f>[1]节奏总纲!R162</f>
        <v>61757.7126346898</v>
      </c>
      <c r="G162" s="7">
        <f>[1]节奏总纲!S162</f>
        <v>61757.7126346898</v>
      </c>
      <c r="H162" s="7">
        <f>[1]节奏总纲!T162</f>
        <v>61757.7126346898</v>
      </c>
      <c r="J162" s="7">
        <v>159</v>
      </c>
      <c r="K162" s="7">
        <f>[1]节奏总纲!W162</f>
        <v>4094.8484171814707</v>
      </c>
      <c r="L162" s="7">
        <f>[1]节奏总纲!X162</f>
        <v>4094.8484171814707</v>
      </c>
      <c r="M162" s="7">
        <f>[1]节奏总纲!Y162</f>
        <v>4135.7969013532856</v>
      </c>
      <c r="N162" s="7">
        <f>[1]节奏总纲!Z162</f>
        <v>4135.7969013532856</v>
      </c>
      <c r="O162" s="7">
        <f>[1]节奏总纲!AA162</f>
        <v>4135.7969013532856</v>
      </c>
      <c r="Q162" s="7">
        <v>159</v>
      </c>
      <c r="R162" s="7">
        <f>[1]节奏总纲!AD162</f>
        <v>73.213386604241791</v>
      </c>
      <c r="S162" s="7">
        <f>[1]节奏总纲!AE162</f>
        <v>75.289373948280101</v>
      </c>
      <c r="T162" s="7">
        <f>[1]节奏总纲!AF162</f>
        <v>78.153631564737054</v>
      </c>
      <c r="U162" s="7">
        <f>[1]节奏总纲!AG162</f>
        <v>82.760456968319758</v>
      </c>
      <c r="V162" s="7">
        <f>[1]节奏总纲!AH162</f>
        <v>92.126546512350387</v>
      </c>
      <c r="AN162" s="7">
        <v>159</v>
      </c>
      <c r="AO162" s="7">
        <f>[1]节奏总纲!BA162</f>
        <v>41.147815539363613</v>
      </c>
      <c r="AP162" s="7">
        <f>[1]节奏总纲!BB162</f>
        <v>42.644449117684701</v>
      </c>
      <c r="AQ162" s="7">
        <f>[1]节奏总纲!BC162</f>
        <v>44.585020086822361</v>
      </c>
      <c r="AR162" s="7">
        <f>[1]节奏总纲!BD162</f>
        <v>47.328122009929508</v>
      </c>
      <c r="AS162" s="7">
        <f>[1]节奏总纲!BE162</f>
        <v>52.041079787427918</v>
      </c>
      <c r="BD162" s="7"/>
    </row>
    <row r="163" spans="2:56" x14ac:dyDescent="0.15">
      <c r="B163" s="7">
        <f>[1]节奏总纲!N163</f>
        <v>170</v>
      </c>
      <c r="C163" s="7">
        <v>160</v>
      </c>
      <c r="D163" s="7">
        <f>[1]节奏总纲!P163</f>
        <v>65535</v>
      </c>
      <c r="E163" s="7">
        <f>[1]节奏总纲!Q163</f>
        <v>65535</v>
      </c>
      <c r="F163" s="7">
        <f>[1]节奏总纲!R163</f>
        <v>66190.350000000006</v>
      </c>
      <c r="G163" s="7">
        <f>[1]节奏总纲!S163</f>
        <v>66190.350000000006</v>
      </c>
      <c r="H163" s="7">
        <f>[1]节奏总纲!T163</f>
        <v>66190.350000000006</v>
      </c>
      <c r="J163" s="7">
        <v>160</v>
      </c>
      <c r="K163" s="7">
        <f>[1]节奏总纲!W163</f>
        <v>4388.7498666437605</v>
      </c>
      <c r="L163" s="7">
        <f>[1]节奏总纲!X163</f>
        <v>4388.7498666437605</v>
      </c>
      <c r="M163" s="7">
        <f>[1]节奏总纲!Y163</f>
        <v>4432.6373653102055</v>
      </c>
      <c r="N163" s="7">
        <f>[1]节奏总纲!Z163</f>
        <v>4432.6373653102055</v>
      </c>
      <c r="O163" s="7">
        <f>[1]节奏总纲!AA163</f>
        <v>4432.6373653102055</v>
      </c>
      <c r="Q163" s="7">
        <v>160</v>
      </c>
      <c r="R163" s="7">
        <f>[1]节奏总纲!AD163</f>
        <v>73.301799809099009</v>
      </c>
      <c r="S163" s="7">
        <f>[1]节奏总纲!AE163</f>
        <v>75.378486927217125</v>
      </c>
      <c r="T163" s="7">
        <f>[1]节奏总纲!AF163</f>
        <v>78.240569099946029</v>
      </c>
      <c r="U163" s="7">
        <f>[1]节奏总纲!AG163</f>
        <v>82.853333401911726</v>
      </c>
      <c r="V163" s="7">
        <f>[1]节奏总纲!AH163</f>
        <v>92.219963609487792</v>
      </c>
      <c r="AN163" s="7">
        <v>160</v>
      </c>
      <c r="AO163" s="7">
        <f>[1]节奏总纲!BA163</f>
        <v>41.188041754455355</v>
      </c>
      <c r="AP163" s="7">
        <f>[1]节奏总纲!BB163</f>
        <v>42.687840061343536</v>
      </c>
      <c r="AQ163" s="7">
        <f>[1]节奏总纲!BC163</f>
        <v>44.628112497328864</v>
      </c>
      <c r="AR163" s="7">
        <f>[1]节奏总纲!BD163</f>
        <v>47.3696970865753</v>
      </c>
      <c r="AS163" s="7">
        <f>[1]节奏总纲!BE163</f>
        <v>52.080986469020011</v>
      </c>
      <c r="BD163" s="7"/>
    </row>
    <row r="164" spans="2:56" x14ac:dyDescent="0.15">
      <c r="Q164" s="7">
        <v>161</v>
      </c>
      <c r="R164" s="7">
        <f>[1]节奏总纲!AD164</f>
        <v>73.390213013956213</v>
      </c>
      <c r="S164" s="7">
        <f>[1]节奏总纲!AE164</f>
        <v>75.467599906154135</v>
      </c>
      <c r="T164" s="7">
        <f>[1]节奏总纲!AF164</f>
        <v>78.32750663515499</v>
      </c>
      <c r="U164" s="7">
        <f>[1]节奏总纲!AG164</f>
        <v>82.94620983550368</v>
      </c>
      <c r="V164" s="7">
        <f>[1]节奏总纲!AH164</f>
        <v>92.313380706625196</v>
      </c>
      <c r="AN164" s="7">
        <v>161</v>
      </c>
      <c r="AO164" s="7">
        <f>[1]节奏总纲!BA164</f>
        <v>41.228267969547105</v>
      </c>
      <c r="AP164" s="7">
        <f>[1]节奏总纲!BB164</f>
        <v>42.731231005002364</v>
      </c>
      <c r="AQ164" s="7">
        <f>[1]节奏总纲!BC164</f>
        <v>44.671204907835367</v>
      </c>
      <c r="AR164" s="7">
        <f>[1]节奏总纲!BD164</f>
        <v>47.411272163221085</v>
      </c>
      <c r="AS164" s="7">
        <f>[1]节奏总纲!BE164</f>
        <v>52.120893150612112</v>
      </c>
      <c r="BD164" s="7"/>
    </row>
    <row r="165" spans="2:56" x14ac:dyDescent="0.15">
      <c r="Q165" s="7">
        <v>162</v>
      </c>
      <c r="R165" s="7">
        <f>[1]节奏总纲!AD165</f>
        <v>73.478626218813432</v>
      </c>
      <c r="S165" s="7">
        <f>[1]节奏总纲!AE165</f>
        <v>75.556712885091159</v>
      </c>
      <c r="T165" s="7">
        <f>[1]节奏总纲!AF165</f>
        <v>78.414444170363964</v>
      </c>
      <c r="U165" s="7">
        <f>[1]节奏总纲!AG165</f>
        <v>83.036921590135321</v>
      </c>
      <c r="V165" s="7">
        <f>[1]节奏总纲!AH165</f>
        <v>92.406797803762601</v>
      </c>
      <c r="AN165" s="7">
        <v>162</v>
      </c>
      <c r="AO165" s="7">
        <f>[1]节奏总纲!BA165</f>
        <v>41.268494184638847</v>
      </c>
      <c r="AP165" s="7">
        <f>[1]节奏总纲!BB165</f>
        <v>42.774621948661192</v>
      </c>
      <c r="AQ165" s="7">
        <f>[1]节奏总纲!BC165</f>
        <v>44.714297318341877</v>
      </c>
      <c r="AR165" s="7">
        <f>[1]节奏总纲!BD165</f>
        <v>47.452847239866877</v>
      </c>
      <c r="AS165" s="7">
        <f>[1]节奏总纲!BE165</f>
        <v>52.160799832204205</v>
      </c>
    </row>
    <row r="166" spans="2:56" x14ac:dyDescent="0.15">
      <c r="Q166" s="7">
        <v>163</v>
      </c>
      <c r="R166" s="7">
        <f>[1]节奏总纲!AD166</f>
        <v>73.56703942367065</v>
      </c>
      <c r="S166" s="7">
        <f>[1]节奏总纲!AE166</f>
        <v>75.645825864028183</v>
      </c>
      <c r="T166" s="7">
        <f>[1]节奏总纲!AF166</f>
        <v>78.501381705572925</v>
      </c>
      <c r="U166" s="7">
        <f>[1]节奏总纲!AG166</f>
        <v>83.124654333465756</v>
      </c>
      <c r="V166" s="7">
        <f>[1]节奏总纲!AH166</f>
        <v>92.500214900900005</v>
      </c>
      <c r="AN166" s="7">
        <v>163</v>
      </c>
      <c r="AO166" s="7">
        <f>[1]节奏总纲!BA166</f>
        <v>41.308720399730589</v>
      </c>
      <c r="AP166" s="7">
        <f>[1]节奏总纲!BB166</f>
        <v>42.818012892320027</v>
      </c>
      <c r="AQ166" s="7">
        <f>[1]节奏总纲!BC166</f>
        <v>44.757389728848381</v>
      </c>
      <c r="AR166" s="7">
        <f>[1]节奏总纲!BD166</f>
        <v>47.494422316512662</v>
      </c>
      <c r="AS166" s="7">
        <f>[1]节奏总纲!BE166</f>
        <v>52.200706513796298</v>
      </c>
    </row>
    <row r="167" spans="2:56" x14ac:dyDescent="0.15">
      <c r="Q167" s="7">
        <v>164</v>
      </c>
      <c r="R167" s="7">
        <f>[1]节奏总纲!AD167</f>
        <v>73.655452628527868</v>
      </c>
      <c r="S167" s="7">
        <f>[1]节奏总纲!AE167</f>
        <v>75.734938842965192</v>
      </c>
      <c r="T167" s="7">
        <f>[1]节奏总纲!AF167</f>
        <v>78.5883192407819</v>
      </c>
      <c r="U167" s="7">
        <f>[1]节奏总纲!AG167</f>
        <v>83.21238707679619</v>
      </c>
      <c r="V167" s="7">
        <f>[1]节奏总纲!AH167</f>
        <v>92.593631998037409</v>
      </c>
      <c r="AN167" s="7">
        <v>164</v>
      </c>
      <c r="AO167" s="7">
        <f>[1]节奏总纲!BA167</f>
        <v>41.348946614822331</v>
      </c>
      <c r="AP167" s="7">
        <f>[1]节奏总纲!BB167</f>
        <v>42.861403835978855</v>
      </c>
      <c r="AQ167" s="7">
        <f>[1]节奏总纲!BC167</f>
        <v>44.800482139354884</v>
      </c>
      <c r="AR167" s="7">
        <f>[1]节奏总纲!BD167</f>
        <v>47.535997393158453</v>
      </c>
      <c r="AS167" s="7">
        <f>[1]节奏总纲!BE167</f>
        <v>52.240613195388391</v>
      </c>
    </row>
    <row r="168" spans="2:56" x14ac:dyDescent="0.15">
      <c r="Q168" s="7">
        <v>165</v>
      </c>
      <c r="R168" s="7">
        <f>[1]节奏总纲!AD168</f>
        <v>73.743865833385087</v>
      </c>
      <c r="S168" s="7">
        <f>[1]节奏总纲!AE168</f>
        <v>75.824051821902216</v>
      </c>
      <c r="T168" s="7">
        <f>[1]节奏总纲!AF168</f>
        <v>78.67525677599086</v>
      </c>
      <c r="U168" s="7">
        <f>[1]节奏总纲!AG168</f>
        <v>83.300119820126625</v>
      </c>
      <c r="V168" s="7">
        <f>[1]节奏总纲!AH168</f>
        <v>92.687049095174814</v>
      </c>
      <c r="AN168" s="7">
        <v>165</v>
      </c>
      <c r="AO168" s="7">
        <f>[1]节奏总纲!BA168</f>
        <v>41.389172829914081</v>
      </c>
      <c r="AP168" s="7">
        <f>[1]节奏总纲!BB168</f>
        <v>42.904794779637683</v>
      </c>
      <c r="AQ168" s="7">
        <f>[1]节奏总纲!BC168</f>
        <v>44.843574549861387</v>
      </c>
      <c r="AR168" s="7">
        <f>[1]节奏总纲!BD168</f>
        <v>47.577572469804238</v>
      </c>
      <c r="AS168" s="7">
        <f>[1]节奏总纲!BE168</f>
        <v>52.280519876980485</v>
      </c>
    </row>
    <row r="169" spans="2:56" x14ac:dyDescent="0.15">
      <c r="Q169" s="7">
        <v>166</v>
      </c>
      <c r="R169" s="7">
        <f>[1]节奏总纲!AD169</f>
        <v>73.832279038242305</v>
      </c>
      <c r="S169" s="7">
        <f>[1]节奏总纲!AE169</f>
        <v>75.91316480083924</v>
      </c>
      <c r="T169" s="7">
        <f>[1]节奏总纲!AF169</f>
        <v>78.762194311199835</v>
      </c>
      <c r="U169" s="7">
        <f>[1]节奏总纲!AG169</f>
        <v>83.387852563457059</v>
      </c>
      <c r="V169" s="7">
        <f>[1]节奏总纲!AH169</f>
        <v>92.780466192312218</v>
      </c>
      <c r="AN169" s="7">
        <v>166</v>
      </c>
      <c r="AO169" s="7">
        <f>[1]节奏总纲!BA169</f>
        <v>41.429399045005823</v>
      </c>
      <c r="AP169" s="7">
        <f>[1]节奏总纲!BB169</f>
        <v>42.948185723296518</v>
      </c>
      <c r="AQ169" s="7">
        <f>[1]节奏总纲!BC169</f>
        <v>44.88666696036789</v>
      </c>
      <c r="AR169" s="7">
        <f>[1]节奏总纲!BD169</f>
        <v>47.619147546450023</v>
      </c>
      <c r="AS169" s="7">
        <f>[1]节奏总纲!BE169</f>
        <v>52.320426558572585</v>
      </c>
    </row>
    <row r="170" spans="2:56" x14ac:dyDescent="0.15">
      <c r="Q170" s="7">
        <v>167</v>
      </c>
      <c r="R170" s="7">
        <f>[1]节奏总纲!AD170</f>
        <v>73.920692243099523</v>
      </c>
      <c r="S170" s="7">
        <f>[1]节奏总纲!AE170</f>
        <v>76.002103770254962</v>
      </c>
      <c r="T170" s="7">
        <f>[1]节奏总纲!AF170</f>
        <v>78.849131846408795</v>
      </c>
      <c r="U170" s="7">
        <f>[1]节奏总纲!AG170</f>
        <v>83.475585306787494</v>
      </c>
      <c r="V170" s="7">
        <f>[1]节奏总纲!AH170</f>
        <v>92.873883289449623</v>
      </c>
      <c r="AN170" s="7">
        <v>167</v>
      </c>
      <c r="AO170" s="7">
        <f>[1]节奏总纲!BA170</f>
        <v>41.469625260097565</v>
      </c>
      <c r="AP170" s="7">
        <f>[1]节奏总纲!BB170</f>
        <v>42.991576666955346</v>
      </c>
      <c r="AQ170" s="7">
        <f>[1]节奏总纲!BC170</f>
        <v>44.9297593708744</v>
      </c>
      <c r="AR170" s="7">
        <f>[1]节奏总纲!BD170</f>
        <v>47.660722623095815</v>
      </c>
      <c r="AS170" s="7">
        <f>[1]节奏总纲!BE170</f>
        <v>52.360333240164678</v>
      </c>
    </row>
    <row r="171" spans="2:56" x14ac:dyDescent="0.15">
      <c r="Q171" s="7">
        <v>168</v>
      </c>
      <c r="R171" s="7">
        <f>[1]节奏总纲!AD171</f>
        <v>74.008495683346354</v>
      </c>
      <c r="S171" s="7">
        <f>[1]节奏总纲!AE171</f>
        <v>76.084409020469636</v>
      </c>
      <c r="T171" s="7">
        <f>[1]节奏总纲!AF171</f>
        <v>78.93606938161777</v>
      </c>
      <c r="U171" s="7">
        <f>[1]节奏总纲!AG171</f>
        <v>83.563318050117928</v>
      </c>
      <c r="V171" s="7">
        <f>[1]节奏总纲!AH171</f>
        <v>92.967300386587027</v>
      </c>
      <c r="AN171" s="7">
        <v>168</v>
      </c>
      <c r="AO171" s="7">
        <f>[1]节奏总纲!BA171</f>
        <v>41.509851475189308</v>
      </c>
      <c r="AP171" s="7">
        <f>[1]节奏总纲!BB171</f>
        <v>43.030177309109042</v>
      </c>
      <c r="AQ171" s="7">
        <f>[1]节奏总纲!BC171</f>
        <v>44.972851781380903</v>
      </c>
      <c r="AR171" s="7">
        <f>[1]节奏总纲!BD171</f>
        <v>47.7022976997416</v>
      </c>
      <c r="AS171" s="7">
        <f>[1]节奏总纲!BE171</f>
        <v>52.400239921756771</v>
      </c>
    </row>
    <row r="172" spans="2:56" x14ac:dyDescent="0.15">
      <c r="Q172" s="7">
        <v>169</v>
      </c>
      <c r="R172" s="7">
        <f>[1]节奏总纲!AD172</f>
        <v>74.090988120365651</v>
      </c>
      <c r="S172" s="7">
        <f>[1]节奏总纲!AE172</f>
        <v>76.166714270684309</v>
      </c>
      <c r="T172" s="7">
        <f>[1]节奏总纲!AF172</f>
        <v>79.022812309215297</v>
      </c>
      <c r="U172" s="7">
        <f>[1]节奏总纲!AG172</f>
        <v>83.651050793448363</v>
      </c>
      <c r="V172" s="7">
        <f>[1]节奏总纲!AH172</f>
        <v>93.057555567360481</v>
      </c>
      <c r="AN172" s="7">
        <v>169</v>
      </c>
      <c r="AO172" s="7">
        <f>[1]节奏总纲!BA172</f>
        <v>41.550077690281057</v>
      </c>
      <c r="AP172" s="7">
        <f>[1]节奏总纲!BB172</f>
        <v>43.067624017543686</v>
      </c>
      <c r="AQ172" s="7">
        <f>[1]节奏总纲!BC172</f>
        <v>45.013762077986961</v>
      </c>
      <c r="AR172" s="7">
        <f>[1]节奏总纲!BD172</f>
        <v>47.743872776387391</v>
      </c>
      <c r="AS172" s="7">
        <f>[1]节奏总纲!BE172</f>
        <v>52.440146603348865</v>
      </c>
    </row>
    <row r="173" spans="2:56" x14ac:dyDescent="0.15">
      <c r="Q173" s="7">
        <v>170</v>
      </c>
      <c r="R173" s="7">
        <f>[1]节奏总纲!AD173</f>
        <v>74.173480557384934</v>
      </c>
      <c r="S173" s="7">
        <f>[1]节奏总纲!AE173</f>
        <v>76.249019520898997</v>
      </c>
      <c r="T173" s="7">
        <f>[1]节奏总纲!AF173</f>
        <v>79.109014469658547</v>
      </c>
      <c r="U173" s="7">
        <f>[1]节奏总纲!AG173</f>
        <v>83.738783536778797</v>
      </c>
      <c r="V173" s="7">
        <f>[1]节奏总纲!AH173</f>
        <v>93.146107887007233</v>
      </c>
      <c r="AN173" s="7">
        <v>170</v>
      </c>
      <c r="AO173" s="7">
        <f>[1]节奏总纲!BA173</f>
        <v>41.590303905372799</v>
      </c>
      <c r="AP173" s="7">
        <f>[1]节奏总纲!BB173</f>
        <v>43.105070725978337</v>
      </c>
      <c r="AQ173" s="7">
        <f>[1]节奏总纲!BC173</f>
        <v>45.050956883357138</v>
      </c>
      <c r="AR173" s="7">
        <f>[1]节奏总纲!BD173</f>
        <v>47.785447853033176</v>
      </c>
      <c r="AS173" s="7">
        <f>[1]节奏总纲!BE173</f>
        <v>52.480053284940965</v>
      </c>
    </row>
    <row r="174" spans="2:56" x14ac:dyDescent="0.15">
      <c r="Q174" s="7">
        <v>171</v>
      </c>
      <c r="R174" s="7">
        <f>[1]节奏总纲!AD174</f>
        <v>74.255972994404218</v>
      </c>
      <c r="S174" s="7">
        <f>[1]节奏总纲!AE174</f>
        <v>76.331324771113671</v>
      </c>
      <c r="T174" s="7">
        <f>[1]节奏总纲!AF174</f>
        <v>79.195216630101797</v>
      </c>
      <c r="U174" s="7">
        <f>[1]节奏总纲!AG174</f>
        <v>83.826516280109232</v>
      </c>
      <c r="V174" s="7">
        <f>[1]节奏总纲!AH174</f>
        <v>93.23466020665397</v>
      </c>
      <c r="AN174" s="7">
        <v>171</v>
      </c>
      <c r="AO174" s="7">
        <f>[1]节奏总纲!BA174</f>
        <v>41.630530120464542</v>
      </c>
      <c r="AP174" s="7">
        <f>[1]节奏总纲!BB174</f>
        <v>43.14251743441298</v>
      </c>
      <c r="AQ174" s="7">
        <f>[1]节奏总纲!BC174</f>
        <v>45.088151688727308</v>
      </c>
      <c r="AR174" s="7">
        <f>[1]节奏总纲!BD174</f>
        <v>47.827022929678968</v>
      </c>
      <c r="AS174" s="7">
        <f>[1]节奏总纲!BE174</f>
        <v>52.519959966533058</v>
      </c>
    </row>
    <row r="175" spans="2:56" x14ac:dyDescent="0.15">
      <c r="Q175" s="7">
        <v>172</v>
      </c>
      <c r="R175" s="7">
        <f>[1]节奏总纲!AD175</f>
        <v>74.338465431423501</v>
      </c>
      <c r="S175" s="7">
        <f>[1]节奏总纲!AE175</f>
        <v>76.413630021328345</v>
      </c>
      <c r="T175" s="7">
        <f>[1]节奏总纲!AF175</f>
        <v>79.281418790545047</v>
      </c>
      <c r="U175" s="7">
        <f>[1]节奏总纲!AG175</f>
        <v>83.914249023439666</v>
      </c>
      <c r="V175" s="7">
        <f>[1]节奏总纲!AH175</f>
        <v>93.323212526300722</v>
      </c>
      <c r="AN175" s="7">
        <v>172</v>
      </c>
      <c r="AO175" s="7">
        <f>[1]节奏总纲!BA175</f>
        <v>41.670756335556291</v>
      </c>
      <c r="AP175" s="7">
        <f>[1]节奏总纲!BB175</f>
        <v>43.179964142847631</v>
      </c>
      <c r="AQ175" s="7">
        <f>[1]节奏总纲!BC175</f>
        <v>45.125346494097485</v>
      </c>
      <c r="AR175" s="7">
        <f>[1]节奏总纲!BD175</f>
        <v>47.868598006324753</v>
      </c>
      <c r="AS175" s="7">
        <f>[1]节奏总纲!BE175</f>
        <v>52.559866648125151</v>
      </c>
    </row>
    <row r="176" spans="2:56" x14ac:dyDescent="0.15">
      <c r="Q176" s="7">
        <v>173</v>
      </c>
      <c r="R176" s="7">
        <f>[1]节奏总纲!AD176</f>
        <v>74.420957868442784</v>
      </c>
      <c r="S176" s="7">
        <f>[1]节奏总纲!AE176</f>
        <v>76.495935271543019</v>
      </c>
      <c r="T176" s="7">
        <f>[1]节奏总纲!AF176</f>
        <v>79.367620950988297</v>
      </c>
      <c r="U176" s="7">
        <f>[1]节奏总纲!AG176</f>
        <v>84.00179325525086</v>
      </c>
      <c r="V176" s="7">
        <f>[1]节奏总纲!AH176</f>
        <v>93.411764845947459</v>
      </c>
      <c r="AN176" s="7">
        <v>173</v>
      </c>
      <c r="AO176" s="7">
        <f>[1]节奏总纲!BA176</f>
        <v>41.710982550648033</v>
      </c>
      <c r="AP176" s="7">
        <f>[1]节奏总纲!BB176</f>
        <v>43.217410851282274</v>
      </c>
      <c r="AQ176" s="7">
        <f>[1]节奏总纲!BC176</f>
        <v>45.162541299467655</v>
      </c>
      <c r="AR176" s="7">
        <f>[1]节奏总纲!BD176</f>
        <v>47.910173082970537</v>
      </c>
      <c r="AS176" s="7">
        <f>[1]节奏总纲!BE176</f>
        <v>52.599773329717245</v>
      </c>
    </row>
    <row r="177" spans="17:45" x14ac:dyDescent="0.15">
      <c r="Q177" s="7">
        <v>174</v>
      </c>
      <c r="R177" s="7">
        <f>[1]节奏总纲!AD177</f>
        <v>74.503450305462081</v>
      </c>
      <c r="S177" s="7">
        <f>[1]节奏总纲!AE177</f>
        <v>76.578240521757706</v>
      </c>
      <c r="T177" s="7">
        <f>[1]节奏总纲!AF177</f>
        <v>79.453823111431561</v>
      </c>
      <c r="U177" s="7">
        <f>[1]节奏总纲!AG177</f>
        <v>84.08118060043364</v>
      </c>
      <c r="V177" s="7">
        <f>[1]节奏总纲!AH177</f>
        <v>93.500317165594211</v>
      </c>
      <c r="AN177" s="7">
        <v>174</v>
      </c>
      <c r="AO177" s="7">
        <f>[1]节奏总纲!BA177</f>
        <v>41.751208765739776</v>
      </c>
      <c r="AP177" s="7">
        <f>[1]节奏总纲!BB177</f>
        <v>43.254857559716925</v>
      </c>
      <c r="AQ177" s="7">
        <f>[1]节奏总纲!BC177</f>
        <v>45.199736104837832</v>
      </c>
      <c r="AR177" s="7">
        <f>[1]节奏总纲!BD177</f>
        <v>47.951748159616329</v>
      </c>
      <c r="AS177" s="7">
        <f>[1]节奏总纲!BE177</f>
        <v>52.639680011309345</v>
      </c>
    </row>
    <row r="178" spans="17:45" x14ac:dyDescent="0.15">
      <c r="Q178" s="7">
        <v>175</v>
      </c>
      <c r="R178" s="7">
        <f>[1]节奏总纲!AD178</f>
        <v>74.585942742481365</v>
      </c>
      <c r="S178" s="7">
        <f>[1]节奏总纲!AE178</f>
        <v>76.66054577197238</v>
      </c>
      <c r="T178" s="7">
        <f>[1]节奏总纲!AF178</f>
        <v>79.540025271874811</v>
      </c>
      <c r="U178" s="7">
        <f>[1]节奏总纲!AG178</f>
        <v>84.160567945616407</v>
      </c>
      <c r="V178" s="7">
        <f>[1]节奏总纲!AH178</f>
        <v>93.588869485240949</v>
      </c>
      <c r="AN178" s="7">
        <v>175</v>
      </c>
      <c r="AO178" s="7">
        <f>[1]节奏总纲!BA178</f>
        <v>41.791434980831518</v>
      </c>
      <c r="AP178" s="7">
        <f>[1]节奏总纲!BB178</f>
        <v>43.292304268151575</v>
      </c>
      <c r="AQ178" s="7">
        <f>[1]节奏总纲!BC178</f>
        <v>45.236930910208002</v>
      </c>
      <c r="AR178" s="7">
        <f>[1]节奏总纲!BD178</f>
        <v>47.993323236262114</v>
      </c>
      <c r="AS178" s="7">
        <f>[1]节奏总纲!BE178</f>
        <v>52.679586692901438</v>
      </c>
    </row>
    <row r="179" spans="17:45" x14ac:dyDescent="0.15">
      <c r="Q179" s="7">
        <v>176</v>
      </c>
      <c r="R179" s="7">
        <f>[1]节奏总纲!AD179</f>
        <v>74.668435179500648</v>
      </c>
      <c r="S179" s="7">
        <f>[1]节奏总纲!AE179</f>
        <v>76.742851022187054</v>
      </c>
      <c r="T179" s="7">
        <f>[1]节奏总纲!AF179</f>
        <v>79.626227432318061</v>
      </c>
      <c r="U179" s="7">
        <f>[1]节奏总纲!AG179</f>
        <v>84.239955290799188</v>
      </c>
      <c r="V179" s="7">
        <f>[1]节奏总纲!AH179</f>
        <v>93.6774218048877</v>
      </c>
      <c r="AN179" s="7">
        <v>176</v>
      </c>
      <c r="AO179" s="7">
        <f>[1]节奏总纲!BA179</f>
        <v>41.831661195923267</v>
      </c>
      <c r="AP179" s="7">
        <f>[1]节奏总纲!BB179</f>
        <v>43.329750976586219</v>
      </c>
      <c r="AQ179" s="7">
        <f>[1]节奏总纲!BC179</f>
        <v>45.274125715578172</v>
      </c>
      <c r="AR179" s="7">
        <f>[1]节奏总纲!BD179</f>
        <v>48.030128751164234</v>
      </c>
      <c r="AS179" s="7">
        <f>[1]节奏总纲!BE179</f>
        <v>52.719493374493531</v>
      </c>
    </row>
    <row r="180" spans="17:45" x14ac:dyDescent="0.15">
      <c r="Q180" s="7">
        <v>177</v>
      </c>
      <c r="R180" s="7">
        <f>[1]节奏总纲!AD180</f>
        <v>74.750927616519931</v>
      </c>
      <c r="S180" s="7">
        <f>[1]节奏总纲!AE180</f>
        <v>76.825156272401728</v>
      </c>
      <c r="T180" s="7">
        <f>[1]节奏总纲!AF180</f>
        <v>79.71242959276131</v>
      </c>
      <c r="U180" s="7">
        <f>[1]节奏总纲!AG180</f>
        <v>84.319342635981968</v>
      </c>
      <c r="V180" s="7">
        <f>[1]节奏总纲!AH180</f>
        <v>93.765974124534438</v>
      </c>
      <c r="AN180" s="7">
        <v>177</v>
      </c>
      <c r="AO180" s="7">
        <f>[1]节奏总纲!BA180</f>
        <v>41.87188741101501</v>
      </c>
      <c r="AP180" s="7">
        <f>[1]节奏总纲!BB180</f>
        <v>43.367197685020869</v>
      </c>
      <c r="AQ180" s="7">
        <f>[1]节奏总纲!BC180</f>
        <v>45.31132052094835</v>
      </c>
      <c r="AR180" s="7">
        <f>[1]节奏总纲!BD180</f>
        <v>48.066021750983474</v>
      </c>
      <c r="AS180" s="7">
        <f>[1]节奏总纲!BE180</f>
        <v>52.759400056085624</v>
      </c>
    </row>
    <row r="181" spans="17:45" x14ac:dyDescent="0.15">
      <c r="Q181" s="7">
        <v>178</v>
      </c>
      <c r="R181" s="7">
        <f>[1]节奏总纲!AD181</f>
        <v>74.833420053539214</v>
      </c>
      <c r="S181" s="7">
        <f>[1]节奏总纲!AE181</f>
        <v>76.907461522616416</v>
      </c>
      <c r="T181" s="7">
        <f>[1]节奏总纲!AF181</f>
        <v>79.79863175320456</v>
      </c>
      <c r="U181" s="7">
        <f>[1]节奏总纲!AG181</f>
        <v>84.398729981164735</v>
      </c>
      <c r="V181" s="7">
        <f>[1]节奏总纲!AH181</f>
        <v>93.85452644418119</v>
      </c>
      <c r="AN181" s="7">
        <v>178</v>
      </c>
      <c r="AO181" s="7">
        <f>[1]节奏总纲!BA181</f>
        <v>41.912113626106752</v>
      </c>
      <c r="AP181" s="7">
        <f>[1]节奏总纲!BB181</f>
        <v>43.404644393455513</v>
      </c>
      <c r="AQ181" s="7">
        <f>[1]节奏总纲!BC181</f>
        <v>45.34851532631852</v>
      </c>
      <c r="AR181" s="7">
        <f>[1]节奏总纲!BD181</f>
        <v>48.101914750802706</v>
      </c>
      <c r="AS181" s="7">
        <f>[1]节奏总纲!BE181</f>
        <v>52.799306737677718</v>
      </c>
    </row>
    <row r="182" spans="17:45" x14ac:dyDescent="0.15">
      <c r="Q182" s="7">
        <v>179</v>
      </c>
      <c r="R182" s="7">
        <f>[1]节奏总纲!AD182</f>
        <v>74.915912490558512</v>
      </c>
      <c r="S182" s="7">
        <f>[1]节奏总纲!AE182</f>
        <v>76.989766772831089</v>
      </c>
      <c r="T182" s="7">
        <f>[1]节奏总纲!AF182</f>
        <v>79.88483391364781</v>
      </c>
      <c r="U182" s="7">
        <f>[1]节奏总纲!AG182</f>
        <v>84.478117326347515</v>
      </c>
      <c r="V182" s="7">
        <f>[1]节奏总纲!AH182</f>
        <v>93.943078763827941</v>
      </c>
      <c r="AN182" s="7">
        <v>179</v>
      </c>
      <c r="AO182" s="7">
        <f>[1]节奏总纲!BA182</f>
        <v>41.952339841198494</v>
      </c>
      <c r="AP182" s="7">
        <f>[1]节奏总纲!BB182</f>
        <v>43.442091101890163</v>
      </c>
      <c r="AQ182" s="7">
        <f>[1]节奏总纲!BC182</f>
        <v>45.385710131688697</v>
      </c>
      <c r="AR182" s="7">
        <f>[1]节奏总纲!BD182</f>
        <v>48.137807750621946</v>
      </c>
      <c r="AS182" s="7">
        <f>[1]节奏总纲!BE182</f>
        <v>52.839213419269818</v>
      </c>
    </row>
    <row r="183" spans="17:45" x14ac:dyDescent="0.15">
      <c r="Q183" s="7">
        <v>180</v>
      </c>
      <c r="R183" s="7">
        <f>[1]节奏总纲!AD183</f>
        <v>74.998404927577795</v>
      </c>
      <c r="S183" s="7">
        <f>[1]节奏总纲!AE183</f>
        <v>77.06778397927944</v>
      </c>
      <c r="T183" s="7">
        <f>[1]节奏总纲!AF183</f>
        <v>79.97103607409106</v>
      </c>
      <c r="U183" s="7">
        <f>[1]节奏总纲!AG183</f>
        <v>84.557504671530296</v>
      </c>
      <c r="V183" s="7">
        <f>[1]节奏总纲!AH183</f>
        <v>94.027056817114342</v>
      </c>
      <c r="AN183" s="7">
        <v>180</v>
      </c>
      <c r="AO183" s="7">
        <f>[1]节奏总纲!BA183</f>
        <v>41.992566056290244</v>
      </c>
      <c r="AP183" s="7">
        <f>[1]节奏总纲!BB183</f>
        <v>43.479537810324807</v>
      </c>
      <c r="AQ183" s="7">
        <f>[1]节奏总纲!BC183</f>
        <v>45.422904937058867</v>
      </c>
      <c r="AR183" s="7">
        <f>[1]节奏总纲!BD183</f>
        <v>48.173700750441178</v>
      </c>
      <c r="AS183" s="7">
        <f>[1]节奏总纲!BE183</f>
        <v>52.879120100861911</v>
      </c>
    </row>
    <row r="184" spans="17:45" x14ac:dyDescent="0.15">
      <c r="Q184" s="7">
        <v>181</v>
      </c>
      <c r="R184" s="7">
        <f>[1]节奏总纲!AD184</f>
        <v>75.075479910097457</v>
      </c>
      <c r="S184" s="7">
        <f>[1]节奏总纲!AE184</f>
        <v>77.145192343015793</v>
      </c>
      <c r="T184" s="7">
        <f>[1]节奏总纲!AF184</f>
        <v>80.053817475702374</v>
      </c>
      <c r="U184" s="7">
        <f>[1]节奏总纲!AG184</f>
        <v>84.636892016713063</v>
      </c>
      <c r="V184" s="7">
        <f>[1]节奏总纲!AH184</f>
        <v>94.102803318799971</v>
      </c>
      <c r="AN184" s="7">
        <v>181</v>
      </c>
      <c r="AO184" s="7">
        <f>[1]节奏总纲!BA184</f>
        <v>42.028297717729309</v>
      </c>
      <c r="AP184" s="7">
        <f>[1]节奏总纲!BB184</f>
        <v>43.516984518759458</v>
      </c>
      <c r="AQ184" s="7">
        <f>[1]节奏总纲!BC184</f>
        <v>45.460099742429037</v>
      </c>
      <c r="AR184" s="7">
        <f>[1]节奏总纲!BD184</f>
        <v>48.209593750260417</v>
      </c>
      <c r="AS184" s="7">
        <f>[1]节奏总纲!BE184</f>
        <v>52.919026782454004</v>
      </c>
    </row>
    <row r="185" spans="17:45" x14ac:dyDescent="0.15">
      <c r="Q185" s="7">
        <v>182</v>
      </c>
      <c r="R185" s="7">
        <f>[1]节奏总纲!AD185</f>
        <v>75.152448075388719</v>
      </c>
      <c r="S185" s="7">
        <f>[1]节奏总纲!AE185</f>
        <v>77.222600706752132</v>
      </c>
      <c r="T185" s="7">
        <f>[1]节奏总纲!AF185</f>
        <v>80.134867890916794</v>
      </c>
      <c r="U185" s="7">
        <f>[1]节奏总纲!AG185</f>
        <v>84.716279361895843</v>
      </c>
      <c r="V185" s="7">
        <f>[1]节奏总纲!AH185</f>
        <v>94.1785498204856</v>
      </c>
      <c r="AN185" s="7">
        <v>182</v>
      </c>
      <c r="AO185" s="7">
        <f>[1]节奏总纲!BA185</f>
        <v>42.063010472656373</v>
      </c>
      <c r="AP185" s="7">
        <f>[1]节奏总纲!BB185</f>
        <v>43.554431227194108</v>
      </c>
      <c r="AQ185" s="7">
        <f>[1]节奏总纲!BC185</f>
        <v>45.497294547799214</v>
      </c>
      <c r="AR185" s="7">
        <f>[1]节奏总纲!BD185</f>
        <v>48.24548675007965</v>
      </c>
      <c r="AS185" s="7">
        <f>[1]节奏总纲!BE185</f>
        <v>52.958933464046098</v>
      </c>
    </row>
    <row r="186" spans="17:45" x14ac:dyDescent="0.15">
      <c r="Q186" s="7">
        <v>183</v>
      </c>
      <c r="R186" s="7">
        <f>[1]节奏总纲!AD186</f>
        <v>75.229416240679981</v>
      </c>
      <c r="S186" s="7">
        <f>[1]节奏总纲!AE186</f>
        <v>77.300009070488485</v>
      </c>
      <c r="T186" s="7">
        <f>[1]节奏总纲!AF186</f>
        <v>80.215918306131215</v>
      </c>
      <c r="U186" s="7">
        <f>[1]节奏总纲!AG186</f>
        <v>84.795666707078624</v>
      </c>
      <c r="V186" s="7">
        <f>[1]节奏总纲!AH186</f>
        <v>94.254296322171228</v>
      </c>
      <c r="AN186" s="7">
        <v>183</v>
      </c>
      <c r="AO186" s="7">
        <f>[1]节奏总纲!BA186</f>
        <v>42.097723227583437</v>
      </c>
      <c r="AP186" s="7">
        <f>[1]节奏总纲!BB186</f>
        <v>43.591877935628752</v>
      </c>
      <c r="AQ186" s="7">
        <f>[1]节奏总纲!BC186</f>
        <v>45.534489353169384</v>
      </c>
      <c r="AR186" s="7">
        <f>[1]节奏总纲!BD186</f>
        <v>48.281379749898889</v>
      </c>
      <c r="AS186" s="7">
        <f>[1]节奏总纲!BE186</f>
        <v>52.998840145638198</v>
      </c>
    </row>
    <row r="187" spans="17:45" x14ac:dyDescent="0.15">
      <c r="Q187" s="7">
        <v>184</v>
      </c>
      <c r="R187" s="7">
        <f>[1]节奏总纲!AD187</f>
        <v>75.306384405971258</v>
      </c>
      <c r="S187" s="7">
        <f>[1]节奏总纲!AE187</f>
        <v>77.377417434224824</v>
      </c>
      <c r="T187" s="7">
        <f>[1]节奏总纲!AF187</f>
        <v>80.296968721345635</v>
      </c>
      <c r="U187" s="7">
        <f>[1]节奏总纲!AG187</f>
        <v>84.87505405226139</v>
      </c>
      <c r="V187" s="7">
        <f>[1]节奏总纲!AH187</f>
        <v>94.330042823856857</v>
      </c>
      <c r="AN187" s="7">
        <v>184</v>
      </c>
      <c r="AO187" s="7">
        <f>[1]节奏总纲!BA187</f>
        <v>42.132435982510501</v>
      </c>
      <c r="AP187" s="7">
        <f>[1]节奏总纲!BB187</f>
        <v>43.629324644063402</v>
      </c>
      <c r="AQ187" s="7">
        <f>[1]节奏总纲!BC187</f>
        <v>45.571684158539561</v>
      </c>
      <c r="AR187" s="7">
        <f>[1]节奏总纲!BD187</f>
        <v>48.317272749718121</v>
      </c>
      <c r="AS187" s="7">
        <f>[1]节奏总纲!BE187</f>
        <v>53.033462597729766</v>
      </c>
    </row>
    <row r="188" spans="17:45" x14ac:dyDescent="0.15">
      <c r="Q188" s="7">
        <v>185</v>
      </c>
      <c r="R188" s="7">
        <f>[1]节奏总纲!AD188</f>
        <v>75.38335257126252</v>
      </c>
      <c r="S188" s="7">
        <f>[1]节奏总纲!AE188</f>
        <v>77.454825797961163</v>
      </c>
      <c r="T188" s="7">
        <f>[1]节奏总纲!AF188</f>
        <v>80.378019136560056</v>
      </c>
      <c r="U188" s="7">
        <f>[1]节奏总纲!AG188</f>
        <v>84.954441397444171</v>
      </c>
      <c r="V188" s="7">
        <f>[1]节奏总纲!AH188</f>
        <v>94.405789325542486</v>
      </c>
      <c r="AN188" s="7">
        <v>185</v>
      </c>
      <c r="AO188" s="7">
        <f>[1]节奏总纲!BA188</f>
        <v>42.167148737437564</v>
      </c>
      <c r="AP188" s="7">
        <f>[1]节奏总纲!BB188</f>
        <v>43.666771352498046</v>
      </c>
      <c r="AQ188" s="7">
        <f>[1]节奏总纲!BC188</f>
        <v>45.608878963909731</v>
      </c>
      <c r="AR188" s="7">
        <f>[1]节奏总纲!BD188</f>
        <v>48.353165749537354</v>
      </c>
      <c r="AS188" s="7">
        <f>[1]节奏总纲!BE188</f>
        <v>53.067926870763252</v>
      </c>
    </row>
    <row r="189" spans="17:45" x14ac:dyDescent="0.15">
      <c r="Q189" s="7">
        <v>186</v>
      </c>
      <c r="R189" s="7">
        <f>[1]节奏总纲!AD189</f>
        <v>75.460320736553783</v>
      </c>
      <c r="S189" s="7">
        <f>[1]节奏总纲!AE189</f>
        <v>77.532234161697517</v>
      </c>
      <c r="T189" s="7">
        <f>[1]节奏总纲!AF189</f>
        <v>80.459069551774476</v>
      </c>
      <c r="U189" s="7">
        <f>[1]节奏总纲!AG189</f>
        <v>85.030832425973387</v>
      </c>
      <c r="V189" s="7">
        <f>[1]节奏总纲!AH189</f>
        <v>94.4815358272281</v>
      </c>
      <c r="AN189" s="7">
        <v>186</v>
      </c>
      <c r="AO189" s="7">
        <f>[1]节奏总纲!BA189</f>
        <v>42.201861492364635</v>
      </c>
      <c r="AP189" s="7">
        <f>[1]节奏总纲!BB189</f>
        <v>43.704218060932696</v>
      </c>
      <c r="AQ189" s="7">
        <f>[1]节奏总纲!BC189</f>
        <v>45.646073769279901</v>
      </c>
      <c r="AR189" s="7">
        <f>[1]节奏总纲!BD189</f>
        <v>48.389058749356593</v>
      </c>
      <c r="AS189" s="7">
        <f>[1]节奏总纲!BE189</f>
        <v>53.102391143796744</v>
      </c>
    </row>
    <row r="190" spans="17:45" x14ac:dyDescent="0.15">
      <c r="Q190" s="7">
        <v>187</v>
      </c>
      <c r="R190" s="7">
        <f>[1]节奏总纲!AD190</f>
        <v>75.537288901845045</v>
      </c>
      <c r="S190" s="7">
        <f>[1]节奏总纲!AE190</f>
        <v>77.609642525433856</v>
      </c>
      <c r="T190" s="7">
        <f>[1]节奏总纲!AF190</f>
        <v>80.540119966988897</v>
      </c>
      <c r="U190" s="7">
        <f>[1]节奏总纲!AG190</f>
        <v>85.103188187775231</v>
      </c>
      <c r="V190" s="7">
        <f>[1]节奏总纲!AH190</f>
        <v>94.557282328913729</v>
      </c>
      <c r="AN190" s="7">
        <v>187</v>
      </c>
      <c r="AO190" s="7">
        <f>[1]节奏总纲!BA190</f>
        <v>42.236574247291699</v>
      </c>
      <c r="AP190" s="7">
        <f>[1]节奏总纲!BB190</f>
        <v>43.741664769367347</v>
      </c>
      <c r="AQ190" s="7">
        <f>[1]节奏总纲!BC190</f>
        <v>45.683268574650079</v>
      </c>
      <c r="AR190" s="7">
        <f>[1]节奏总纲!BD190</f>
        <v>48.424951749175825</v>
      </c>
      <c r="AS190" s="7">
        <f>[1]节奏总纲!BE190</f>
        <v>53.13685541683023</v>
      </c>
    </row>
    <row r="191" spans="17:45" x14ac:dyDescent="0.15">
      <c r="Q191" s="7">
        <v>188</v>
      </c>
      <c r="R191" s="7">
        <f>[1]节奏总纲!AD191</f>
        <v>75.614257067136322</v>
      </c>
      <c r="S191" s="7">
        <f>[1]节奏总纲!AE191</f>
        <v>77.687050889170209</v>
      </c>
      <c r="T191" s="7">
        <f>[1]节奏总纲!AF191</f>
        <v>80.621170382203317</v>
      </c>
      <c r="U191" s="7">
        <f>[1]节奏总纲!AG191</f>
        <v>85.175543949577076</v>
      </c>
      <c r="V191" s="7">
        <f>[1]节奏总纲!AH191</f>
        <v>94.633028830599358</v>
      </c>
      <c r="AN191" s="7">
        <v>188</v>
      </c>
      <c r="AO191" s="7">
        <f>[1]节奏总纲!BA191</f>
        <v>42.271287002218763</v>
      </c>
      <c r="AP191" s="7">
        <f>[1]节奏总纲!BB191</f>
        <v>43.77911147780199</v>
      </c>
      <c r="AQ191" s="7">
        <f>[1]节奏总纲!BC191</f>
        <v>45.720463380020249</v>
      </c>
      <c r="AR191" s="7">
        <f>[1]节奏总纲!BD191</f>
        <v>48.460844748995065</v>
      </c>
      <c r="AS191" s="7">
        <f>[1]节奏总纲!BE191</f>
        <v>53.171319689863722</v>
      </c>
    </row>
    <row r="192" spans="17:45" x14ac:dyDescent="0.15">
      <c r="Q192" s="7">
        <v>189</v>
      </c>
      <c r="R192" s="7">
        <f>[1]节奏总纲!AD192</f>
        <v>75.691225232427584</v>
      </c>
      <c r="S192" s="7">
        <f>[1]节奏总纲!AE192</f>
        <v>77.764459252906548</v>
      </c>
      <c r="T192" s="7">
        <f>[1]节奏总纲!AF192</f>
        <v>80.702220797417738</v>
      </c>
      <c r="U192" s="7">
        <f>[1]节奏总纲!AG192</f>
        <v>85.247899711378935</v>
      </c>
      <c r="V192" s="7">
        <f>[1]节奏总纲!AH192</f>
        <v>94.708775332284986</v>
      </c>
      <c r="AN192" s="7">
        <v>189</v>
      </c>
      <c r="AO192" s="7">
        <f>[1]节奏总纲!BA192</f>
        <v>42.305999757145827</v>
      </c>
      <c r="AP192" s="7">
        <f>[1]节奏总纲!BB192</f>
        <v>43.816558186236641</v>
      </c>
      <c r="AQ192" s="7">
        <f>[1]节奏总纲!BC192</f>
        <v>45.757658185390426</v>
      </c>
      <c r="AR192" s="7">
        <f>[1]节奏总纲!BD192</f>
        <v>48.496737748814297</v>
      </c>
      <c r="AS192" s="7">
        <f>[1]节奏总纲!BE192</f>
        <v>53.205783962897208</v>
      </c>
    </row>
    <row r="193" spans="17:45" x14ac:dyDescent="0.15">
      <c r="Q193" s="7">
        <v>190</v>
      </c>
      <c r="R193" s="7">
        <f>[1]节奏总纲!AD193</f>
        <v>75.768193397718846</v>
      </c>
      <c r="S193" s="7">
        <f>[1]节奏总纲!AE193</f>
        <v>77.841867616642901</v>
      </c>
      <c r="T193" s="7">
        <f>[1]节奏总纲!AF193</f>
        <v>80.783271212632158</v>
      </c>
      <c r="U193" s="7">
        <f>[1]节奏总纲!AG193</f>
        <v>85.320255473180779</v>
      </c>
      <c r="V193" s="7">
        <f>[1]节奏总纲!AH193</f>
        <v>94.784521833970615</v>
      </c>
      <c r="AN193" s="7">
        <v>190</v>
      </c>
      <c r="AO193" s="7">
        <f>[1]节奏总纲!BA193</f>
        <v>42.340712512072891</v>
      </c>
      <c r="AP193" s="7">
        <f>[1]节奏总纲!BB193</f>
        <v>43.854004894671284</v>
      </c>
      <c r="AQ193" s="7">
        <f>[1]节奏总纲!BC193</f>
        <v>45.794852990760596</v>
      </c>
      <c r="AR193" s="7">
        <f>[1]节奏总纲!BD193</f>
        <v>48.532630748633537</v>
      </c>
      <c r="AS193" s="7">
        <f>[1]节奏总纲!BE193</f>
        <v>53.240248235930693</v>
      </c>
    </row>
    <row r="194" spans="17:45" x14ac:dyDescent="0.15">
      <c r="Q194" s="7">
        <v>191</v>
      </c>
      <c r="R194" s="7">
        <f>[1]节奏总纲!AD194</f>
        <v>75.845161563010109</v>
      </c>
      <c r="S194" s="7">
        <f>[1]节奏总纲!AE194</f>
        <v>77.91927598037924</v>
      </c>
      <c r="T194" s="7">
        <f>[1]节奏总纲!AF194</f>
        <v>80.864321627846579</v>
      </c>
      <c r="U194" s="7">
        <f>[1]节奏总纲!AG194</f>
        <v>85.392611234982624</v>
      </c>
      <c r="V194" s="7">
        <f>[1]节奏总纲!AH194</f>
        <v>94.860268335656244</v>
      </c>
      <c r="AN194" s="7">
        <v>191</v>
      </c>
      <c r="AO194" s="7">
        <f>[1]节奏总纲!BA194</f>
        <v>42.375425266999954</v>
      </c>
      <c r="AP194" s="7">
        <f>[1]节奏总纲!BB194</f>
        <v>43.891451603105935</v>
      </c>
      <c r="AQ194" s="7">
        <f>[1]节奏总纲!BC194</f>
        <v>45.832047796130773</v>
      </c>
      <c r="AR194" s="7">
        <f>[1]节奏总纲!BD194</f>
        <v>48.568523748452769</v>
      </c>
      <c r="AS194" s="7">
        <f>[1]节奏总纲!BE194</f>
        <v>53.274712508964186</v>
      </c>
    </row>
    <row r="195" spans="17:45" x14ac:dyDescent="0.15">
      <c r="Q195" s="7">
        <v>192</v>
      </c>
      <c r="R195" s="7">
        <f>[1]节奏总纲!AD195</f>
        <v>75.922129728301385</v>
      </c>
      <c r="S195" s="7">
        <f>[1]节奏总纲!AE195</f>
        <v>77.996684344115593</v>
      </c>
      <c r="T195" s="7">
        <f>[1]节奏总纲!AF195</f>
        <v>80.945372043060999</v>
      </c>
      <c r="U195" s="7">
        <f>[1]节奏总纲!AG195</f>
        <v>85.464966996784469</v>
      </c>
      <c r="V195" s="7">
        <f>[1]节奏总纲!AH195</f>
        <v>94.936014837341872</v>
      </c>
      <c r="AN195" s="7">
        <v>192</v>
      </c>
      <c r="AO195" s="7">
        <f>[1]节奏总纲!BA195</f>
        <v>42.410138021927018</v>
      </c>
      <c r="AP195" s="7">
        <f>[1]节奏总纲!BB195</f>
        <v>43.928898311540578</v>
      </c>
      <c r="AQ195" s="7">
        <f>[1]节奏总纲!BC195</f>
        <v>45.869242601500943</v>
      </c>
      <c r="AR195" s="7">
        <f>[1]节奏总纲!BD195</f>
        <v>48.604416748272008</v>
      </c>
      <c r="AS195" s="7">
        <f>[1]节奏总纲!BE195</f>
        <v>53.309176781997671</v>
      </c>
    </row>
    <row r="196" spans="17:45" x14ac:dyDescent="0.15">
      <c r="Q196" s="7">
        <v>193</v>
      </c>
      <c r="R196" s="7">
        <f>[1]节奏总纲!AD196</f>
        <v>75.999097893592648</v>
      </c>
      <c r="S196" s="7">
        <f>[1]节奏总纲!AE196</f>
        <v>78.068193736526268</v>
      </c>
      <c r="T196" s="7">
        <f>[1]节奏总纲!AF196</f>
        <v>81.02378934476593</v>
      </c>
      <c r="U196" s="7">
        <f>[1]节奏总纲!AG196</f>
        <v>85.537322758586328</v>
      </c>
      <c r="V196" s="7">
        <f>[1]节奏总纲!AH196</f>
        <v>95.011078787937279</v>
      </c>
      <c r="AN196" s="7">
        <v>193</v>
      </c>
      <c r="AO196" s="7">
        <f>[1]节奏总纲!BA196</f>
        <v>42.444850776854082</v>
      </c>
      <c r="AP196" s="7">
        <f>[1]节奏总纲!BB196</f>
        <v>43.966345019975229</v>
      </c>
      <c r="AQ196" s="7">
        <f>[1]节奏总纲!BC196</f>
        <v>45.906437406871113</v>
      </c>
      <c r="AR196" s="7">
        <f>[1]节奏总纲!BD196</f>
        <v>48.640309748091241</v>
      </c>
      <c r="AS196" s="7">
        <f>[1]节奏总纲!BE196</f>
        <v>53.343641055031163</v>
      </c>
    </row>
    <row r="197" spans="17:45" x14ac:dyDescent="0.15">
      <c r="Q197" s="7">
        <v>194</v>
      </c>
      <c r="R197" s="7">
        <f>[1]节奏总纲!AD197</f>
        <v>76.070972142474872</v>
      </c>
      <c r="S197" s="7">
        <f>[1]节奏总纲!AE197</f>
        <v>78.139439149396253</v>
      </c>
      <c r="T197" s="7">
        <f>[1]节奏总纲!AF197</f>
        <v>81.096762731680187</v>
      </c>
      <c r="U197" s="7">
        <f>[1]节奏总纲!AG197</f>
        <v>85.609678520388172</v>
      </c>
      <c r="V197" s="7">
        <f>[1]节奏总纲!AH197</f>
        <v>95.082429458741387</v>
      </c>
      <c r="AN197" s="7">
        <v>194</v>
      </c>
      <c r="AO197" s="7">
        <f>[1]节奏总纲!BA197</f>
        <v>42.479563531781146</v>
      </c>
      <c r="AP197" s="7">
        <f>[1]节奏总纲!BB197</f>
        <v>44.003272544984547</v>
      </c>
      <c r="AQ197" s="7">
        <f>[1]节奏总纲!BC197</f>
        <v>45.94363221224129</v>
      </c>
      <c r="AR197" s="7">
        <f>[1]节奏总纲!BD197</f>
        <v>48.67620274791048</v>
      </c>
      <c r="AS197" s="7">
        <f>[1]节奏总纲!BE197</f>
        <v>53.378105328064649</v>
      </c>
    </row>
    <row r="198" spans="17:45" x14ac:dyDescent="0.15">
      <c r="Q198" s="7">
        <v>195</v>
      </c>
      <c r="R198" s="7">
        <f>[1]节奏总纲!AD198</f>
        <v>76.142785979989682</v>
      </c>
      <c r="S198" s="7">
        <f>[1]节奏总纲!AE198</f>
        <v>78.210684562266223</v>
      </c>
      <c r="T198" s="7">
        <f>[1]节奏总纲!AF198</f>
        <v>81.169736118594443</v>
      </c>
      <c r="U198" s="7">
        <f>[1]节奏总纲!AG198</f>
        <v>85.682034282190017</v>
      </c>
      <c r="V198" s="7">
        <f>[1]节奏总纲!AH198</f>
        <v>95.153780129545481</v>
      </c>
      <c r="AN198" s="7">
        <v>195</v>
      </c>
      <c r="AO198" s="7">
        <f>[1]节奏总纲!BA198</f>
        <v>42.51427628670821</v>
      </c>
      <c r="AP198" s="7">
        <f>[1]节奏总纲!BB198</f>
        <v>44.035591852864428</v>
      </c>
      <c r="AQ198" s="7">
        <f>[1]节奏总纲!BC198</f>
        <v>45.98082701761146</v>
      </c>
      <c r="AR198" s="7">
        <f>[1]节奏总纲!BD198</f>
        <v>48.712095747729713</v>
      </c>
      <c r="AS198" s="7">
        <f>[1]节奏总纲!BE198</f>
        <v>53.412569601098134</v>
      </c>
    </row>
    <row r="199" spans="17:45" x14ac:dyDescent="0.15">
      <c r="Q199" s="7">
        <v>196</v>
      </c>
      <c r="R199" s="7">
        <f>[1]节奏总纲!AD199</f>
        <v>76.214599817504492</v>
      </c>
      <c r="S199" s="7">
        <f>[1]节奏总纲!AE199</f>
        <v>78.281929975136208</v>
      </c>
      <c r="T199" s="7">
        <f>[1]节奏总纲!AF199</f>
        <v>81.242709505508685</v>
      </c>
      <c r="U199" s="7">
        <f>[1]节奏总纲!AG199</f>
        <v>85.754390043991862</v>
      </c>
      <c r="V199" s="7">
        <f>[1]节奏总纲!AH199</f>
        <v>95.225130800349589</v>
      </c>
      <c r="AN199" s="7">
        <v>196</v>
      </c>
      <c r="AO199" s="7">
        <f>[1]节奏总纲!BA199</f>
        <v>42.548989041635274</v>
      </c>
      <c r="AP199" s="7">
        <f>[1]节奏总纲!BB199</f>
        <v>44.067911160744309</v>
      </c>
      <c r="AQ199" s="7">
        <f>[1]节奏总纲!BC199</f>
        <v>46.01555652579863</v>
      </c>
      <c r="AR199" s="7">
        <f>[1]节奏总纲!BD199</f>
        <v>48.747988747548945</v>
      </c>
      <c r="AS199" s="7">
        <f>[1]节奏总纲!BE199</f>
        <v>53.447033874131627</v>
      </c>
    </row>
    <row r="200" spans="17:45" x14ac:dyDescent="0.15">
      <c r="Q200" s="7">
        <v>197</v>
      </c>
      <c r="R200" s="7">
        <f>[1]节奏总纲!AD200</f>
        <v>76.286413655019302</v>
      </c>
      <c r="S200" s="7">
        <f>[1]节奏总纲!AE200</f>
        <v>78.353175388006179</v>
      </c>
      <c r="T200" s="7">
        <f>[1]节奏总纲!AF200</f>
        <v>81.315682892422942</v>
      </c>
      <c r="U200" s="7">
        <f>[1]节奏总纲!AG200</f>
        <v>85.82674580579372</v>
      </c>
      <c r="V200" s="7">
        <f>[1]节奏总纲!AH200</f>
        <v>95.296481471153683</v>
      </c>
      <c r="AN200" s="7">
        <v>197</v>
      </c>
      <c r="AO200" s="7">
        <f>[1]节奏总纲!BA200</f>
        <v>42.583701796562345</v>
      </c>
      <c r="AP200" s="7">
        <f>[1]节奏总纲!BB200</f>
        <v>44.100230468624183</v>
      </c>
      <c r="AQ200" s="7">
        <f>[1]节奏总纲!BC200</f>
        <v>46.047663263829847</v>
      </c>
      <c r="AR200" s="7">
        <f>[1]节奏总纲!BD200</f>
        <v>48.783881747368184</v>
      </c>
      <c r="AS200" s="7">
        <f>[1]节奏总纲!BE200</f>
        <v>53.481498147165112</v>
      </c>
    </row>
    <row r="201" spans="17:45" x14ac:dyDescent="0.15">
      <c r="Q201" s="7">
        <v>198</v>
      </c>
      <c r="R201" s="7">
        <f>[1]节奏总纲!AD201</f>
        <v>76.358227492534112</v>
      </c>
      <c r="S201" s="7">
        <f>[1]节奏总纲!AE201</f>
        <v>78.424420800876163</v>
      </c>
      <c r="T201" s="7">
        <f>[1]节奏总纲!AF201</f>
        <v>81.388656279337198</v>
      </c>
      <c r="U201" s="7">
        <f>[1]节奏总纲!AG201</f>
        <v>85.899101567595565</v>
      </c>
      <c r="V201" s="7">
        <f>[1]节奏总纲!AH201</f>
        <v>95.367832141957777</v>
      </c>
      <c r="AN201" s="7">
        <v>198</v>
      </c>
      <c r="AO201" s="7">
        <f>[1]节奏总纲!BA201</f>
        <v>42.618414551489408</v>
      </c>
      <c r="AP201" s="7">
        <f>[1]节奏总纲!BB201</f>
        <v>44.132549776504064</v>
      </c>
      <c r="AQ201" s="7">
        <f>[1]节奏总纲!BC201</f>
        <v>46.079770001861057</v>
      </c>
      <c r="AR201" s="7">
        <f>[1]节奏总纲!BD201</f>
        <v>48.819774747187417</v>
      </c>
      <c r="AS201" s="7">
        <f>[1]节奏总纲!BE201</f>
        <v>53.515962420198605</v>
      </c>
    </row>
    <row r="202" spans="17:45" x14ac:dyDescent="0.15">
      <c r="Q202" s="7">
        <v>199</v>
      </c>
      <c r="R202" s="7">
        <f>[1]节奏总纲!AD202</f>
        <v>76.430041330048923</v>
      </c>
      <c r="S202" s="7">
        <f>[1]节奏总纲!AE202</f>
        <v>78.495666213746148</v>
      </c>
      <c r="T202" s="7">
        <f>[1]节奏总纲!AF202</f>
        <v>81.461629666251454</v>
      </c>
      <c r="U202" s="7">
        <f>[1]节奏总纲!AG202</f>
        <v>85.97145732939741</v>
      </c>
      <c r="V202" s="7">
        <f>[1]节奏总纲!AH202</f>
        <v>95.439182812761885</v>
      </c>
      <c r="AN202" s="7">
        <v>199</v>
      </c>
      <c r="AO202" s="7">
        <f>[1]节奏总纲!BA202</f>
        <v>42.653127306416472</v>
      </c>
      <c r="AP202" s="7">
        <f>[1]节奏总纲!BB202</f>
        <v>44.164869084383938</v>
      </c>
      <c r="AQ202" s="7">
        <f>[1]节奏总纲!BC202</f>
        <v>46.111876739892267</v>
      </c>
      <c r="AR202" s="7">
        <f>[1]节奏总纲!BD202</f>
        <v>48.855667747006656</v>
      </c>
      <c r="AS202" s="7">
        <f>[1]节奏总纲!BE202</f>
        <v>53.55042669323209</v>
      </c>
    </row>
    <row r="203" spans="17:45" x14ac:dyDescent="0.15">
      <c r="Q203" s="7">
        <v>200</v>
      </c>
      <c r="R203" s="7">
        <f>[1]节奏总纲!AD203</f>
        <v>76.501855167563733</v>
      </c>
      <c r="S203" s="7">
        <f>[1]节奏总纲!AE203</f>
        <v>78.566911626616118</v>
      </c>
      <c r="T203" s="7">
        <f>[1]节奏总纲!AF203</f>
        <v>81.534603053165696</v>
      </c>
      <c r="U203" s="7">
        <f>[1]节奏总纲!AG203</f>
        <v>86.045919706798657</v>
      </c>
      <c r="V203" s="7">
        <f>[1]节奏总纲!AH203</f>
        <v>95.510533483565979</v>
      </c>
      <c r="AN203" s="7">
        <v>200</v>
      </c>
      <c r="AO203" s="7">
        <f>[1]节奏总纲!BA203</f>
        <v>42.687840061343536</v>
      </c>
      <c r="AP203" s="7">
        <f>[1]节奏总纲!BB203</f>
        <v>44.197188392263818</v>
      </c>
      <c r="AQ203" s="7">
        <f>[1]节奏总纲!BC203</f>
        <v>46.143983477923484</v>
      </c>
      <c r="AR203" s="7">
        <f>[1]节奏总纲!BD203</f>
        <v>48.891560746825888</v>
      </c>
      <c r="AS203" s="7">
        <f>[1]节奏总纲!BE203</f>
        <v>53.584890966265583</v>
      </c>
    </row>
    <row r="204" spans="17:45" x14ac:dyDescent="0.15">
      <c r="Q204" s="7">
        <v>201</v>
      </c>
      <c r="R204" s="7">
        <f>[1]节奏总纲!AD204</f>
        <v>76.573669005078543</v>
      </c>
      <c r="S204" s="7">
        <f>[1]节奏总纲!AE204</f>
        <v>78.638157039486103</v>
      </c>
      <c r="T204" s="7">
        <f>[1]节奏总纲!AF204</f>
        <v>81.607576440079953</v>
      </c>
      <c r="U204" s="7">
        <f>[1]节奏总纲!AG204</f>
        <v>86.121754469336281</v>
      </c>
      <c r="V204" s="7">
        <f>[1]节奏总纲!AH204</f>
        <v>95.581884154370087</v>
      </c>
      <c r="AN204" s="7">
        <v>201</v>
      </c>
      <c r="AO204" s="7">
        <f>[1]节奏总纲!BA204</f>
        <v>42.7225528162706</v>
      </c>
      <c r="AP204" s="7">
        <f>[1]节奏总纲!BB204</f>
        <v>44.229507700143699</v>
      </c>
      <c r="AQ204" s="7">
        <f>[1]节奏总纲!BC204</f>
        <v>46.176090215954694</v>
      </c>
      <c r="AR204" s="7">
        <f>[1]节奏总纲!BD204</f>
        <v>48.927453746645128</v>
      </c>
      <c r="AS204" s="7">
        <f>[1]节奏总纲!BE204</f>
        <v>53.619355239299068</v>
      </c>
    </row>
    <row r="205" spans="17:45" x14ac:dyDescent="0.15">
      <c r="Q205" s="7">
        <v>202</v>
      </c>
      <c r="R205" s="7">
        <f>[1]节奏总纲!AD205</f>
        <v>76.645482842593353</v>
      </c>
      <c r="S205" s="7">
        <f>[1]节奏总纲!AE205</f>
        <v>78.709402452356088</v>
      </c>
      <c r="T205" s="7">
        <f>[1]节奏总纲!AF205</f>
        <v>81.680549826994209</v>
      </c>
      <c r="U205" s="7">
        <f>[1]节奏总纲!AG205</f>
        <v>86.197589231873891</v>
      </c>
      <c r="V205" s="7">
        <f>[1]节奏总纲!AH205</f>
        <v>95.653234825174181</v>
      </c>
      <c r="AN205" s="7">
        <v>202</v>
      </c>
      <c r="AO205" s="7">
        <f>[1]节奏总纲!BA205</f>
        <v>42.757265571197664</v>
      </c>
      <c r="AP205" s="7">
        <f>[1]节奏总纲!BB205</f>
        <v>44.261827008023573</v>
      </c>
      <c r="AQ205" s="7">
        <f>[1]节奏总纲!BC205</f>
        <v>46.208196953985905</v>
      </c>
      <c r="AR205" s="7">
        <f>[1]节奏总纲!BD205</f>
        <v>48.96334674646436</v>
      </c>
      <c r="AS205" s="7">
        <f>[1]节奏总纲!BE205</f>
        <v>53.653819512332554</v>
      </c>
    </row>
    <row r="206" spans="17:45" x14ac:dyDescent="0.15">
      <c r="Q206" s="7">
        <v>203</v>
      </c>
      <c r="R206" s="7">
        <f>[1]节奏总纲!AD206</f>
        <v>76.717296680108163</v>
      </c>
      <c r="S206" s="7">
        <f>[1]节奏总纲!AE206</f>
        <v>78.780647865226058</v>
      </c>
      <c r="T206" s="7">
        <f>[1]节奏总纲!AF206</f>
        <v>81.753523213908451</v>
      </c>
      <c r="U206" s="7">
        <f>[1]节奏总纲!AG206</f>
        <v>86.273423994411502</v>
      </c>
      <c r="V206" s="7">
        <f>[1]节奏总纲!AH206</f>
        <v>95.724585495978289</v>
      </c>
      <c r="AN206" s="7">
        <v>203</v>
      </c>
      <c r="AO206" s="7">
        <f>[1]节奏总纲!BA206</f>
        <v>42.791978326124728</v>
      </c>
      <c r="AP206" s="7">
        <f>[1]节奏总纲!BB206</f>
        <v>44.294146315903454</v>
      </c>
      <c r="AQ206" s="7">
        <f>[1]节奏总纲!BC206</f>
        <v>46.240303692017122</v>
      </c>
      <c r="AR206" s="7">
        <f>[1]节奏总纲!BD206</f>
        <v>48.9992397462836</v>
      </c>
      <c r="AS206" s="7">
        <f>[1]节奏总纲!BE206</f>
        <v>53.688283785366046</v>
      </c>
    </row>
    <row r="207" spans="17:45" x14ac:dyDescent="0.15">
      <c r="Q207" s="7">
        <v>204</v>
      </c>
      <c r="R207" s="7">
        <f>[1]节奏总纲!AD207</f>
        <v>76.789110517622973</v>
      </c>
      <c r="S207" s="7">
        <f>[1]节奏总纲!AE207</f>
        <v>78.851893278096043</v>
      </c>
      <c r="T207" s="7">
        <f>[1]节奏总纲!AF207</f>
        <v>81.826496600822708</v>
      </c>
      <c r="U207" s="7">
        <f>[1]节奏总纲!AG207</f>
        <v>86.349258756949112</v>
      </c>
      <c r="V207" s="7">
        <f>[1]节奏总纲!AH207</f>
        <v>95.795936166782383</v>
      </c>
      <c r="AN207" s="7">
        <v>204</v>
      </c>
      <c r="AO207" s="7">
        <f>[1]节奏总纲!BA207</f>
        <v>42.826691081051791</v>
      </c>
      <c r="AP207" s="7">
        <f>[1]节奏总纲!BB207</f>
        <v>44.326465623783335</v>
      </c>
      <c r="AQ207" s="7">
        <f>[1]节奏总纲!BC207</f>
        <v>46.272410430048332</v>
      </c>
      <c r="AR207" s="7">
        <f>[1]节奏总纲!BD207</f>
        <v>49.030333272797542</v>
      </c>
      <c r="AS207" s="7">
        <f>[1]节奏总纲!BE207</f>
        <v>53.722748058399532</v>
      </c>
    </row>
    <row r="208" spans="17:45" x14ac:dyDescent="0.15">
      <c r="Q208" s="7">
        <v>205</v>
      </c>
      <c r="R208" s="7">
        <f>[1]节奏总纲!AD208</f>
        <v>76.860924355137783</v>
      </c>
      <c r="S208" s="7">
        <f>[1]节奏总纲!AE208</f>
        <v>78.923138690966013</v>
      </c>
      <c r="T208" s="7">
        <f>[1]节奏总纲!AF208</f>
        <v>81.899469987736964</v>
      </c>
      <c r="U208" s="7">
        <f>[1]节奏总纲!AG208</f>
        <v>86.425093519486722</v>
      </c>
      <c r="V208" s="7">
        <f>[1]节奏总纲!AH208</f>
        <v>95.867286837586477</v>
      </c>
      <c r="AN208" s="7">
        <v>205</v>
      </c>
      <c r="AO208" s="7">
        <f>[1]节奏总纲!BA208</f>
        <v>42.861403835978855</v>
      </c>
      <c r="AP208" s="7">
        <f>[1]节奏总纲!BB208</f>
        <v>44.358784931663209</v>
      </c>
      <c r="AQ208" s="7">
        <f>[1]节奏总纲!BC208</f>
        <v>46.304517168079542</v>
      </c>
      <c r="AR208" s="7">
        <f>[1]节奏总纲!BD208</f>
        <v>49.061322941292346</v>
      </c>
      <c r="AS208" s="7">
        <f>[1]节奏总纲!BE208</f>
        <v>53.757212331433024</v>
      </c>
    </row>
    <row r="209" spans="17:45" x14ac:dyDescent="0.15">
      <c r="Q209" s="7">
        <v>206</v>
      </c>
      <c r="R209" s="7">
        <f>[1]节奏总纲!AD209</f>
        <v>76.932738192652593</v>
      </c>
      <c r="S209" s="7">
        <f>[1]节奏总纲!AE209</f>
        <v>78.994384103835998</v>
      </c>
      <c r="T209" s="7">
        <f>[1]节奏总纲!AF209</f>
        <v>81.972443374651206</v>
      </c>
      <c r="U209" s="7">
        <f>[1]节奏总纲!AG209</f>
        <v>86.500928282024347</v>
      </c>
      <c r="V209" s="7">
        <f>[1]节奏总纲!AH209</f>
        <v>95.938637508390585</v>
      </c>
      <c r="AN209" s="7">
        <v>206</v>
      </c>
      <c r="AO209" s="7">
        <f>[1]节奏总纲!BA209</f>
        <v>42.896116590905919</v>
      </c>
      <c r="AP209" s="7">
        <f>[1]节奏总纲!BB209</f>
        <v>44.39110423954309</v>
      </c>
      <c r="AQ209" s="7">
        <f>[1]节奏总纲!BC209</f>
        <v>46.336623906110759</v>
      </c>
      <c r="AR209" s="7">
        <f>[1]节奏总纲!BD209</f>
        <v>49.09231260978715</v>
      </c>
      <c r="AS209" s="7">
        <f>[1]节奏总纲!BE209</f>
        <v>53.79167660446651</v>
      </c>
    </row>
    <row r="210" spans="17:45" x14ac:dyDescent="0.15">
      <c r="Q210" s="7">
        <v>207</v>
      </c>
      <c r="R210" s="7">
        <f>[1]节奏总纲!AD210</f>
        <v>77.004247194324648</v>
      </c>
      <c r="S210" s="7">
        <f>[1]节奏总纲!AE210</f>
        <v>79.061386416569832</v>
      </c>
      <c r="T210" s="7">
        <f>[1]节奏总纲!AF210</f>
        <v>82.041007317281839</v>
      </c>
      <c r="U210" s="7">
        <f>[1]节奏总纲!AG210</f>
        <v>86.576763044561957</v>
      </c>
      <c r="V210" s="7">
        <f>[1]节奏总纲!AH210</f>
        <v>96.008512635801992</v>
      </c>
      <c r="AN210" s="7">
        <v>207</v>
      </c>
      <c r="AO210" s="7">
        <f>[1]节奏总纲!BA210</f>
        <v>42.930829345832983</v>
      </c>
      <c r="AP210" s="7">
        <f>[1]节奏总纲!BB210</f>
        <v>44.423423547422971</v>
      </c>
      <c r="AQ210" s="7">
        <f>[1]节奏总纲!BC210</f>
        <v>46.368730644141969</v>
      </c>
      <c r="AR210" s="7">
        <f>[1]节奏总纲!BD210</f>
        <v>49.123302278281955</v>
      </c>
      <c r="AS210" s="7">
        <f>[1]节奏总纲!BE210</f>
        <v>53.826140877499995</v>
      </c>
    </row>
    <row r="211" spans="17:45" x14ac:dyDescent="0.15">
      <c r="Q211" s="7">
        <v>208</v>
      </c>
      <c r="R211" s="7">
        <f>[1]节奏总纲!AD211</f>
        <v>77.07125187397483</v>
      </c>
      <c r="S211" s="7">
        <f>[1]节奏总纲!AE211</f>
        <v>79.128025648620252</v>
      </c>
      <c r="T211" s="7">
        <f>[1]节奏总纲!AF211</f>
        <v>82.106895829081836</v>
      </c>
      <c r="U211" s="7">
        <f>[1]节奏总纲!AG211</f>
        <v>86.652597807099568</v>
      </c>
      <c r="V211" s="7">
        <f>[1]节奏总纲!AH211</f>
        <v>96.069322745727362</v>
      </c>
      <c r="AN211" s="7">
        <v>208</v>
      </c>
      <c r="AO211" s="7">
        <f>[1]节奏总纲!BA211</f>
        <v>42.965542100760054</v>
      </c>
      <c r="AP211" s="7">
        <f>[1]节奏总纲!BB211</f>
        <v>44.455742855302844</v>
      </c>
      <c r="AQ211" s="7">
        <f>[1]节奏总纲!BC211</f>
        <v>46.400837382173179</v>
      </c>
      <c r="AR211" s="7">
        <f>[1]节奏总纲!BD211</f>
        <v>49.154291946776759</v>
      </c>
      <c r="AS211" s="7">
        <f>[1]节奏总纲!BE211</f>
        <v>53.860605150533488</v>
      </c>
    </row>
    <row r="212" spans="17:45" x14ac:dyDescent="0.15">
      <c r="Q212" s="7">
        <v>209</v>
      </c>
      <c r="R212" s="7">
        <f>[1]节奏总纲!AD212</f>
        <v>77.138256553625013</v>
      </c>
      <c r="S212" s="7">
        <f>[1]节奏总纲!AE212</f>
        <v>79.194664880670672</v>
      </c>
      <c r="T212" s="7">
        <f>[1]节奏总纲!AF212</f>
        <v>82.172784340881819</v>
      </c>
      <c r="U212" s="7">
        <f>[1]节奏总纲!AG212</f>
        <v>86.728432569637178</v>
      </c>
      <c r="V212" s="7">
        <f>[1]节奏总纲!AH212</f>
        <v>96.130132855652732</v>
      </c>
      <c r="AN212" s="7">
        <v>209</v>
      </c>
      <c r="AO212" s="7">
        <f>[1]节奏总纲!BA212</f>
        <v>43.000219942361319</v>
      </c>
      <c r="AP212" s="7">
        <f>[1]节奏总纲!BB212</f>
        <v>44.488062163182725</v>
      </c>
      <c r="AQ212" s="7">
        <f>[1]节奏总纲!BC212</f>
        <v>46.432944120204397</v>
      </c>
      <c r="AR212" s="7">
        <f>[1]节奏总纲!BD212</f>
        <v>49.18528161527157</v>
      </c>
      <c r="AS212" s="7">
        <f>[1]节奏总纲!BE212</f>
        <v>53.895069423566973</v>
      </c>
    </row>
    <row r="213" spans="17:45" x14ac:dyDescent="0.15">
      <c r="Q213" s="7">
        <v>210</v>
      </c>
      <c r="R213" s="7">
        <f>[1]节奏总纲!AD213</f>
        <v>77.205261233275195</v>
      </c>
      <c r="S213" s="7">
        <f>[1]节奏总纲!AE213</f>
        <v>79.261304112721092</v>
      </c>
      <c r="T213" s="7">
        <f>[1]节奏总纲!AF213</f>
        <v>82.238672852681816</v>
      </c>
      <c r="U213" s="7">
        <f>[1]节奏总纲!AG213</f>
        <v>86.804267332174788</v>
      </c>
      <c r="V213" s="7">
        <f>[1]节奏总纲!AH213</f>
        <v>96.190942965578103</v>
      </c>
      <c r="AN213" s="7">
        <v>210</v>
      </c>
      <c r="AO213" s="7">
        <f>[1]节奏总纲!BA213</f>
        <v>43.030177309109042</v>
      </c>
      <c r="AP213" s="7">
        <f>[1]节奏总纲!BB213</f>
        <v>44.520381471062606</v>
      </c>
      <c r="AQ213" s="7">
        <f>[1]节奏总纲!BC213</f>
        <v>46.465050858235607</v>
      </c>
      <c r="AR213" s="7">
        <f>[1]节奏总纲!BD213</f>
        <v>49.216271283766375</v>
      </c>
      <c r="AS213" s="7">
        <f>[1]节奏总纲!BE213</f>
        <v>53.929533696600465</v>
      </c>
    </row>
    <row r="214" spans="17:45" x14ac:dyDescent="0.15">
      <c r="Q214" s="7">
        <v>211</v>
      </c>
      <c r="R214" s="7">
        <f>[1]节奏总纲!AD214</f>
        <v>77.272265912925377</v>
      </c>
      <c r="S214" s="7">
        <f>[1]节奏总纲!AE214</f>
        <v>79.327943344771512</v>
      </c>
      <c r="T214" s="7">
        <f>[1]节奏总纲!AF214</f>
        <v>82.304561364481813</v>
      </c>
      <c r="U214" s="7">
        <f>[1]节奏总纲!AG214</f>
        <v>86.880102094712413</v>
      </c>
      <c r="V214" s="7">
        <f>[1]节奏总纲!AH214</f>
        <v>96.251753075503458</v>
      </c>
      <c r="AN214" s="7">
        <v>211</v>
      </c>
      <c r="AO214" s="7">
        <f>[1]节奏总纲!BA214</f>
        <v>43.060134675856759</v>
      </c>
      <c r="AP214" s="7">
        <f>[1]节奏总纲!BB214</f>
        <v>44.55270077894248</v>
      </c>
      <c r="AQ214" s="7">
        <f>[1]节奏总纲!BC214</f>
        <v>46.497157596266817</v>
      </c>
      <c r="AR214" s="7">
        <f>[1]节奏总纲!BD214</f>
        <v>49.247260952261179</v>
      </c>
      <c r="AS214" s="7">
        <f>[1]节奏总纲!BE214</f>
        <v>53.963997969633951</v>
      </c>
    </row>
    <row r="215" spans="17:45" x14ac:dyDescent="0.15">
      <c r="Q215" s="7">
        <v>212</v>
      </c>
      <c r="R215" s="7">
        <f>[1]节奏总纲!AD215</f>
        <v>77.339270592575559</v>
      </c>
      <c r="S215" s="7">
        <f>[1]节奏总纲!AE215</f>
        <v>79.394582576821932</v>
      </c>
      <c r="T215" s="7">
        <f>[1]节奏总纲!AF215</f>
        <v>82.370449876281796</v>
      </c>
      <c r="U215" s="7">
        <f>[1]节奏总纲!AG215</f>
        <v>86.955936857250023</v>
      </c>
      <c r="V215" s="7">
        <f>[1]节奏总纲!AH215</f>
        <v>96.312563185428829</v>
      </c>
      <c r="AN215" s="7">
        <v>212</v>
      </c>
      <c r="AO215" s="7">
        <f>[1]节奏总纲!BA215</f>
        <v>43.090092042604475</v>
      </c>
      <c r="AP215" s="7">
        <f>[1]节奏总纲!BB215</f>
        <v>44.585020086822361</v>
      </c>
      <c r="AQ215" s="7">
        <f>[1]节奏总纲!BC215</f>
        <v>46.529264334298034</v>
      </c>
      <c r="AR215" s="7">
        <f>[1]节奏总纲!BD215</f>
        <v>49.278250620755983</v>
      </c>
      <c r="AS215" s="7">
        <f>[1]节奏总纲!BE215</f>
        <v>53.998462242667436</v>
      </c>
    </row>
    <row r="216" spans="17:45" x14ac:dyDescent="0.15">
      <c r="Q216" s="7">
        <v>213</v>
      </c>
      <c r="R216" s="7">
        <f>[1]节奏总纲!AD216</f>
        <v>77.406275272225741</v>
      </c>
      <c r="S216" s="7">
        <f>[1]节奏总纲!AE216</f>
        <v>79.461221808872352</v>
      </c>
      <c r="T216" s="7">
        <f>[1]节奏总纲!AF216</f>
        <v>82.436338388081793</v>
      </c>
      <c r="U216" s="7">
        <f>[1]节奏总纲!AG216</f>
        <v>87.031203567981635</v>
      </c>
      <c r="V216" s="7">
        <f>[1]节奏总纲!AH216</f>
        <v>96.373373295354199</v>
      </c>
      <c r="AN216" s="7">
        <v>213</v>
      </c>
      <c r="AO216" s="7">
        <f>[1]节奏总纲!BA216</f>
        <v>43.120049409352191</v>
      </c>
      <c r="AP216" s="7">
        <f>[1]节奏总纲!BB216</f>
        <v>44.617339394702242</v>
      </c>
      <c r="AQ216" s="7">
        <f>[1]节奏总纲!BC216</f>
        <v>46.561371072329244</v>
      </c>
      <c r="AR216" s="7">
        <f>[1]节奏总纲!BD216</f>
        <v>49.309240289250788</v>
      </c>
      <c r="AS216" s="7">
        <f>[1]节奏总纲!BE216</f>
        <v>54.028437871105552</v>
      </c>
    </row>
    <row r="217" spans="17:45" x14ac:dyDescent="0.15">
      <c r="Q217" s="7">
        <v>214</v>
      </c>
      <c r="R217" s="7">
        <f>[1]节奏总纲!AD217</f>
        <v>77.473279951875909</v>
      </c>
      <c r="S217" s="7">
        <f>[1]节奏总纲!AE217</f>
        <v>79.527861040922772</v>
      </c>
      <c r="T217" s="7">
        <f>[1]节奏总纲!AF217</f>
        <v>82.502226899881776</v>
      </c>
      <c r="U217" s="7">
        <f>[1]节奏总纲!AG217</f>
        <v>87.10568246405397</v>
      </c>
      <c r="V217" s="7">
        <f>[1]节奏总纲!AH217</f>
        <v>96.434183405279569</v>
      </c>
      <c r="AN217" s="7">
        <v>214</v>
      </c>
      <c r="AO217" s="7">
        <f>[1]节奏总纲!BA217</f>
        <v>43.150006776099914</v>
      </c>
      <c r="AP217" s="7">
        <f>[1]节奏总纲!BB217</f>
        <v>44.649658702582116</v>
      </c>
      <c r="AQ217" s="7">
        <f>[1]节奏总纲!BC217</f>
        <v>46.593477810360454</v>
      </c>
      <c r="AR217" s="7">
        <f>[1]节奏总纲!BD217</f>
        <v>49.340229957745592</v>
      </c>
      <c r="AS217" s="7">
        <f>[1]节奏总纲!BE217</f>
        <v>54.058203867701586</v>
      </c>
    </row>
    <row r="218" spans="17:45" x14ac:dyDescent="0.15">
      <c r="Q218" s="7">
        <v>215</v>
      </c>
      <c r="R218" s="7">
        <f>[1]节奏总纲!AD218</f>
        <v>77.540284631526092</v>
      </c>
      <c r="S218" s="7">
        <f>[1]节奏总纲!AE218</f>
        <v>79.594500272973193</v>
      </c>
      <c r="T218" s="7">
        <f>[1]节奏总纲!AF218</f>
        <v>82.568115411681774</v>
      </c>
      <c r="U218" s="7">
        <f>[1]节奏总纲!AG218</f>
        <v>87.180161360126306</v>
      </c>
      <c r="V218" s="7">
        <f>[1]节奏总纲!AH218</f>
        <v>96.494993515204939</v>
      </c>
      <c r="AN218" s="7">
        <v>215</v>
      </c>
      <c r="AO218" s="7">
        <f>[1]节奏总纲!BA218</f>
        <v>43.179964142847631</v>
      </c>
      <c r="AP218" s="7">
        <f>[1]节奏总纲!BB218</f>
        <v>44.681978010461997</v>
      </c>
      <c r="AQ218" s="7">
        <f>[1]节奏总纲!BC218</f>
        <v>46.625584548391664</v>
      </c>
      <c r="AR218" s="7">
        <f>[1]节奏总纲!BD218</f>
        <v>49.371219626240396</v>
      </c>
      <c r="AS218" s="7">
        <f>[1]节奏总纲!BE218</f>
        <v>54.087969864297619</v>
      </c>
    </row>
    <row r="219" spans="17:45" x14ac:dyDescent="0.15">
      <c r="Q219" s="7">
        <v>216</v>
      </c>
      <c r="R219" s="7">
        <f>[1]节奏总纲!AD219</f>
        <v>77.607289311176274</v>
      </c>
      <c r="S219" s="7">
        <f>[1]节奏总纲!AE219</f>
        <v>79.661139505023613</v>
      </c>
      <c r="T219" s="7">
        <f>[1]节奏总纲!AF219</f>
        <v>82.634003923481771</v>
      </c>
      <c r="U219" s="7">
        <f>[1]节奏总纲!AG219</f>
        <v>87.254640256198641</v>
      </c>
      <c r="V219" s="7">
        <f>[1]节奏总纲!AH219</f>
        <v>96.555803625130309</v>
      </c>
      <c r="AN219" s="7">
        <v>216</v>
      </c>
      <c r="AO219" s="7">
        <f>[1]节奏总纲!BA219</f>
        <v>43.209921509595347</v>
      </c>
      <c r="AP219" s="7">
        <f>[1]节奏总纲!BB219</f>
        <v>44.71429731834187</v>
      </c>
      <c r="AQ219" s="7">
        <f>[1]节奏总纲!BC219</f>
        <v>46.657691286422882</v>
      </c>
      <c r="AR219" s="7">
        <f>[1]节奏总纲!BD219</f>
        <v>49.402209294735208</v>
      </c>
      <c r="AS219" s="7">
        <f>[1]节奏总纲!BE219</f>
        <v>54.117735860893646</v>
      </c>
    </row>
    <row r="220" spans="17:45" x14ac:dyDescent="0.15">
      <c r="Q220" s="7">
        <v>217</v>
      </c>
      <c r="R220" s="7">
        <f>[1]节奏总纲!AD220</f>
        <v>77.674293990826456</v>
      </c>
      <c r="S220" s="7">
        <f>[1]节奏总纲!AE220</f>
        <v>79.727778737074033</v>
      </c>
      <c r="T220" s="7">
        <f>[1]节奏总纲!AF220</f>
        <v>82.699892435281754</v>
      </c>
      <c r="U220" s="7">
        <f>[1]节奏总纲!AG220</f>
        <v>87.329119152270991</v>
      </c>
      <c r="V220" s="7">
        <f>[1]节奏总纲!AH220</f>
        <v>96.61661373505568</v>
      </c>
      <c r="AN220" s="7">
        <v>217</v>
      </c>
      <c r="AO220" s="7">
        <f>[1]节奏总纲!BA220</f>
        <v>43.239878876343063</v>
      </c>
      <c r="AP220" s="7">
        <f>[1]节奏总纲!BB220</f>
        <v>44.746616626221751</v>
      </c>
      <c r="AQ220" s="7">
        <f>[1]节奏总纲!BC220</f>
        <v>46.689798024454092</v>
      </c>
      <c r="AR220" s="7">
        <f>[1]节奏总纲!BD220</f>
        <v>49.433198963230012</v>
      </c>
      <c r="AS220" s="7">
        <f>[1]节奏总纲!BE220</f>
        <v>54.147501857489679</v>
      </c>
    </row>
    <row r="221" spans="17:45" x14ac:dyDescent="0.15">
      <c r="Q221" s="7">
        <v>218</v>
      </c>
      <c r="R221" s="7">
        <f>[1]节奏总纲!AD221</f>
        <v>77.741298670476638</v>
      </c>
      <c r="S221" s="7">
        <f>[1]节奏总纲!AE221</f>
        <v>79.794417969124453</v>
      </c>
      <c r="T221" s="7">
        <f>[1]节奏总纲!AF221</f>
        <v>82.765780947081751</v>
      </c>
      <c r="U221" s="7">
        <f>[1]节奏总纲!AG221</f>
        <v>87.403598048343326</v>
      </c>
      <c r="V221" s="7">
        <f>[1]节奏总纲!AH221</f>
        <v>96.67742384498105</v>
      </c>
      <c r="AN221" s="7">
        <v>218</v>
      </c>
      <c r="AO221" s="7">
        <f>[1]节奏总纲!BA221</f>
        <v>43.269836243090786</v>
      </c>
      <c r="AP221" s="7">
        <f>[1]节奏总纲!BB221</f>
        <v>44.778935934101632</v>
      </c>
      <c r="AQ221" s="7">
        <f>[1]节奏总纲!BC221</f>
        <v>46.721904762485302</v>
      </c>
      <c r="AR221" s="7">
        <f>[1]节奏总纲!BD221</f>
        <v>49.464188631724817</v>
      </c>
      <c r="AS221" s="7">
        <f>[1]节奏总纲!BE221</f>
        <v>54.177267854085706</v>
      </c>
    </row>
    <row r="222" spans="17:45" x14ac:dyDescent="0.15">
      <c r="Q222" s="7">
        <v>219</v>
      </c>
      <c r="R222" s="7">
        <f>[1]节奏总纲!AD222</f>
        <v>77.80830335012682</v>
      </c>
      <c r="S222" s="7">
        <f>[1]节奏总纲!AE222</f>
        <v>79.861057201174873</v>
      </c>
      <c r="T222" s="7">
        <f>[1]节奏总纲!AF222</f>
        <v>82.831669458881734</v>
      </c>
      <c r="U222" s="7">
        <f>[1]节奏总纲!AG222</f>
        <v>87.478076944415662</v>
      </c>
      <c r="V222" s="7">
        <f>[1]节奏总纲!AH222</f>
        <v>96.73823395490642</v>
      </c>
      <c r="AN222" s="7">
        <v>219</v>
      </c>
      <c r="AO222" s="7">
        <f>[1]节奏总纲!BA222</f>
        <v>43.299793609838503</v>
      </c>
      <c r="AP222" s="7">
        <f>[1]节奏总纲!BB222</f>
        <v>44.811255241981506</v>
      </c>
      <c r="AQ222" s="7">
        <f>[1]节奏总纲!BC222</f>
        <v>46.754011500516519</v>
      </c>
      <c r="AR222" s="7">
        <f>[1]节奏总纲!BD222</f>
        <v>49.495178300219621</v>
      </c>
      <c r="AS222" s="7">
        <f>[1]节奏总纲!BE222</f>
        <v>54.207033850681739</v>
      </c>
    </row>
    <row r="223" spans="17:45" x14ac:dyDescent="0.15">
      <c r="Q223" s="7">
        <v>220</v>
      </c>
      <c r="R223" s="7">
        <f>[1]节奏总纲!AD223</f>
        <v>77.875308029777003</v>
      </c>
      <c r="S223" s="7">
        <f>[1]节奏总纲!AE223</f>
        <v>79.927696433225293</v>
      </c>
      <c r="T223" s="7">
        <f>[1]节奏总纲!AF223</f>
        <v>82.897557970681731</v>
      </c>
      <c r="U223" s="7">
        <f>[1]节奏总纲!AG223</f>
        <v>87.552555840488012</v>
      </c>
      <c r="V223" s="7">
        <f>[1]节奏总纲!AH223</f>
        <v>96.79904406483179</v>
      </c>
      <c r="AN223" s="7">
        <v>220</v>
      </c>
      <c r="AO223" s="7">
        <f>[1]节奏总纲!BA223</f>
        <v>43.329750976586219</v>
      </c>
      <c r="AP223" s="7">
        <f>[1]节奏总纲!BB223</f>
        <v>44.843574549861387</v>
      </c>
      <c r="AQ223" s="7">
        <f>[1]节奏总纲!BC223</f>
        <v>46.786118238547729</v>
      </c>
      <c r="AR223" s="7">
        <f>[1]节奏总纲!BD223</f>
        <v>49.526167968714425</v>
      </c>
      <c r="AS223" s="7">
        <f>[1]节奏总纲!BE223</f>
        <v>54.236799847277773</v>
      </c>
    </row>
    <row r="224" spans="17:45" x14ac:dyDescent="0.15">
      <c r="Q224" s="7">
        <v>221</v>
      </c>
      <c r="R224" s="7">
        <f>[1]节奏总纲!AD224</f>
        <v>77.942312709427185</v>
      </c>
      <c r="S224" s="7">
        <f>[1]节奏总纲!AE224</f>
        <v>79.994335665275713</v>
      </c>
      <c r="T224" s="7">
        <f>[1]节奏总纲!AF224</f>
        <v>82.963446482481729</v>
      </c>
      <c r="U224" s="7">
        <f>[1]节奏总纲!AG224</f>
        <v>87.627034736560347</v>
      </c>
      <c r="V224" s="7">
        <f>[1]节奏总纲!AH224</f>
        <v>96.85985417475716</v>
      </c>
      <c r="AN224" s="7">
        <v>221</v>
      </c>
      <c r="AO224" s="7">
        <f>[1]节奏总纲!BA224</f>
        <v>43.359708343333942</v>
      </c>
      <c r="AP224" s="7">
        <f>[1]节奏总纲!BB224</f>
        <v>44.875893857741268</v>
      </c>
      <c r="AQ224" s="7">
        <f>[1]节奏总纲!BC224</f>
        <v>46.818224976578939</v>
      </c>
      <c r="AR224" s="7">
        <f>[1]节奏总纲!BD224</f>
        <v>49.55715763720923</v>
      </c>
      <c r="AS224" s="7">
        <f>[1]节奏总纲!BE224</f>
        <v>54.266565843873799</v>
      </c>
    </row>
    <row r="225" spans="17:45" x14ac:dyDescent="0.15">
      <c r="Q225" s="7">
        <v>222</v>
      </c>
      <c r="R225" s="7">
        <f>[1]节奏总纲!AD225</f>
        <v>78.008693431404168</v>
      </c>
      <c r="S225" s="7">
        <f>[1]节奏总纲!AE225</f>
        <v>80.05990507131493</v>
      </c>
      <c r="T225" s="7">
        <f>[1]节奏总纲!AF225</f>
        <v>83.028328094754301</v>
      </c>
      <c r="U225" s="7">
        <f>[1]节奏总纲!AG225</f>
        <v>87.701513632632683</v>
      </c>
      <c r="V225" s="7">
        <f>[1]节奏总纲!AH225</f>
        <v>96.920664284682516</v>
      </c>
      <c r="AN225" s="7">
        <v>222</v>
      </c>
      <c r="AO225" s="7">
        <f>[1]节奏总纲!BA225</f>
        <v>43.389665710081658</v>
      </c>
      <c r="AP225" s="7">
        <f>[1]节奏总纲!BB225</f>
        <v>44.908213165621142</v>
      </c>
      <c r="AQ225" s="7">
        <f>[1]节奏总纲!BC225</f>
        <v>46.850331714610157</v>
      </c>
      <c r="AR225" s="7">
        <f>[1]节奏总纲!BD225</f>
        <v>49.588147305704041</v>
      </c>
      <c r="AS225" s="7">
        <f>[1]节奏总纲!BE225</f>
        <v>54.296331840469833</v>
      </c>
    </row>
    <row r="226" spans="17:45" x14ac:dyDescent="0.15">
      <c r="Q226" s="7">
        <v>223</v>
      </c>
      <c r="R226" s="7">
        <f>[1]节奏总纲!AD226</f>
        <v>78.071211008105138</v>
      </c>
      <c r="S226" s="7">
        <f>[1]节奏总纲!AE226</f>
        <v>80.125375094609936</v>
      </c>
      <c r="T226" s="7">
        <f>[1]节奏总纲!AF226</f>
        <v>83.091955037632331</v>
      </c>
      <c r="U226" s="7">
        <f>[1]节奏总纲!AG226</f>
        <v>87.775992528705018</v>
      </c>
      <c r="V226" s="7">
        <f>[1]节奏总纲!AH226</f>
        <v>96.981474394607886</v>
      </c>
      <c r="AN226" s="7">
        <v>223</v>
      </c>
      <c r="AO226" s="7">
        <f>[1]节奏总纲!BA226</f>
        <v>43.419623076829374</v>
      </c>
      <c r="AP226" s="7">
        <f>[1]节奏总纲!BB226</f>
        <v>44.940532473501023</v>
      </c>
      <c r="AQ226" s="7">
        <f>[1]节奏总纲!BC226</f>
        <v>46.882438452641367</v>
      </c>
      <c r="AR226" s="7">
        <f>[1]节奏总纲!BD226</f>
        <v>49.619136974198845</v>
      </c>
      <c r="AS226" s="7">
        <f>[1]节奏总纲!BE226</f>
        <v>54.326097837065859</v>
      </c>
    </row>
    <row r="227" spans="17:45" x14ac:dyDescent="0.15">
      <c r="Q227" s="7">
        <v>224</v>
      </c>
      <c r="R227" s="7">
        <f>[1]节奏总纲!AD227</f>
        <v>78.133728584806107</v>
      </c>
      <c r="S227" s="7">
        <f>[1]节奏总纲!AE227</f>
        <v>80.190845117904942</v>
      </c>
      <c r="T227" s="7">
        <f>[1]节奏总纲!AF227</f>
        <v>83.155581980510348</v>
      </c>
      <c r="U227" s="7">
        <f>[1]节奏总纲!AG227</f>
        <v>87.850471424777368</v>
      </c>
      <c r="V227" s="7">
        <f>[1]节奏总纲!AH227</f>
        <v>97.03979962522213</v>
      </c>
      <c r="AN227" s="7">
        <v>224</v>
      </c>
      <c r="AO227" s="7">
        <f>[1]节奏总纲!BA227</f>
        <v>43.449580443577091</v>
      </c>
      <c r="AP227" s="7">
        <f>[1]节奏总纲!BB227</f>
        <v>44.972851781380903</v>
      </c>
      <c r="AQ227" s="7">
        <f>[1]节奏总纲!BC227</f>
        <v>46.914545190672577</v>
      </c>
      <c r="AR227" s="7">
        <f>[1]节奏总纲!BD227</f>
        <v>49.65012664269365</v>
      </c>
      <c r="AS227" s="7">
        <f>[1]节奏总纲!BE227</f>
        <v>54.355863833661893</v>
      </c>
    </row>
    <row r="228" spans="17:45" x14ac:dyDescent="0.15">
      <c r="Q228" s="7">
        <v>225</v>
      </c>
      <c r="R228" s="7">
        <f>[1]节奏总纲!AD228</f>
        <v>78.196246161507091</v>
      </c>
      <c r="S228" s="7">
        <f>[1]节奏总纲!AE228</f>
        <v>80.256315141199948</v>
      </c>
      <c r="T228" s="7">
        <f>[1]节奏总纲!AF228</f>
        <v>83.219208923388379</v>
      </c>
      <c r="U228" s="7">
        <f>[1]节奏总纲!AG228</f>
        <v>87.924950320849703</v>
      </c>
      <c r="V228" s="7">
        <f>[1]节奏总纲!AH228</f>
        <v>97.097036185315744</v>
      </c>
      <c r="AN228" s="7">
        <v>225</v>
      </c>
      <c r="AO228" s="7">
        <f>[1]节奏总纲!BA228</f>
        <v>43.479537810324814</v>
      </c>
      <c r="AP228" s="7">
        <f>[1]节奏总纲!BB228</f>
        <v>45.004463376644416</v>
      </c>
      <c r="AQ228" s="7">
        <f>[1]节奏总纲!BC228</f>
        <v>46.946651928703794</v>
      </c>
      <c r="AR228" s="7">
        <f>[1]节奏总纲!BD228</f>
        <v>49.681116311188454</v>
      </c>
      <c r="AS228" s="7">
        <f>[1]节奏总纲!BE228</f>
        <v>54.385629830257926</v>
      </c>
    </row>
    <row r="229" spans="17:45" x14ac:dyDescent="0.15">
      <c r="Q229" s="7">
        <v>226</v>
      </c>
      <c r="R229" s="7">
        <f>[1]节奏总纲!AD229</f>
        <v>78.25876373820806</v>
      </c>
      <c r="S229" s="7">
        <f>[1]节奏总纲!AE229</f>
        <v>80.321785164494941</v>
      </c>
      <c r="T229" s="7">
        <f>[1]节奏总纲!AF229</f>
        <v>83.282835866266396</v>
      </c>
      <c r="U229" s="7">
        <f>[1]节奏总纲!AG229</f>
        <v>87.999429216922039</v>
      </c>
      <c r="V229" s="7">
        <f>[1]节奏总纲!AH229</f>
        <v>97.154272745409358</v>
      </c>
      <c r="AN229" s="7">
        <v>226</v>
      </c>
      <c r="AO229" s="7">
        <f>[1]节奏总纲!BA229</f>
        <v>43.50949517707253</v>
      </c>
      <c r="AP229" s="7">
        <f>[1]节奏总纲!BB229</f>
        <v>45.032359480672049</v>
      </c>
      <c r="AQ229" s="7">
        <f>[1]节奏总纲!BC229</f>
        <v>46.978758666735004</v>
      </c>
      <c r="AR229" s="7">
        <f>[1]节奏总纲!BD229</f>
        <v>49.712105979683258</v>
      </c>
      <c r="AS229" s="7">
        <f>[1]节奏总纲!BE229</f>
        <v>54.415395826853953</v>
      </c>
    </row>
    <row r="230" spans="17:45" x14ac:dyDescent="0.15">
      <c r="Q230" s="7">
        <v>227</v>
      </c>
      <c r="R230" s="7">
        <f>[1]节奏总纲!AD230</f>
        <v>78.321281314909029</v>
      </c>
      <c r="S230" s="7">
        <f>[1]节奏总纲!AE230</f>
        <v>80.387255187789947</v>
      </c>
      <c r="T230" s="7">
        <f>[1]节奏总纲!AF230</f>
        <v>83.346462809144427</v>
      </c>
      <c r="U230" s="7">
        <f>[1]节奏总纲!AG230</f>
        <v>88.069378113045531</v>
      </c>
      <c r="V230" s="7">
        <f>[1]节奏总纲!AH230</f>
        <v>97.211509305502972</v>
      </c>
      <c r="AN230" s="7">
        <v>227</v>
      </c>
      <c r="AO230" s="7">
        <f>[1]节奏总纲!BA230</f>
        <v>43.539452543820246</v>
      </c>
      <c r="AP230" s="7">
        <f>[1]节奏总纲!BB230</f>
        <v>45.060255584699682</v>
      </c>
      <c r="AQ230" s="7">
        <f>[1]节奏总纲!BC230</f>
        <v>47.009379755645142</v>
      </c>
      <c r="AR230" s="7">
        <f>[1]节奏总纲!BD230</f>
        <v>49.743095648178063</v>
      </c>
      <c r="AS230" s="7">
        <f>[1]节奏总纲!BE230</f>
        <v>54.445161823449986</v>
      </c>
    </row>
    <row r="231" spans="17:45" x14ac:dyDescent="0.15">
      <c r="Q231" s="7">
        <v>228</v>
      </c>
      <c r="R231" s="7">
        <f>[1]节奏总纲!AD231</f>
        <v>78.383798891610013</v>
      </c>
      <c r="S231" s="7">
        <f>[1]节奏总纲!AE231</f>
        <v>80.452725211084953</v>
      </c>
      <c r="T231" s="7">
        <f>[1]节奏总纲!AF231</f>
        <v>83.410089752022458</v>
      </c>
      <c r="U231" s="7">
        <f>[1]节奏总纲!AG231</f>
        <v>88.139292024548126</v>
      </c>
      <c r="V231" s="7">
        <f>[1]节奏总纲!AH231</f>
        <v>97.268745865596571</v>
      </c>
      <c r="AN231" s="7">
        <v>228</v>
      </c>
      <c r="AO231" s="7">
        <f>[1]节奏总纲!BA231</f>
        <v>43.569409910567963</v>
      </c>
      <c r="AP231" s="7">
        <f>[1]节奏总纲!BB231</f>
        <v>45.088151688727308</v>
      </c>
      <c r="AQ231" s="7">
        <f>[1]节奏总纲!BC231</f>
        <v>47.037096473409001</v>
      </c>
      <c r="AR231" s="7">
        <f>[1]节奏总纲!BD231</f>
        <v>49.774085316672867</v>
      </c>
      <c r="AS231" s="7">
        <f>[1]节奏总纲!BE231</f>
        <v>54.47492782004602</v>
      </c>
    </row>
    <row r="232" spans="17:45" x14ac:dyDescent="0.15">
      <c r="Q232" s="7">
        <v>229</v>
      </c>
      <c r="R232" s="7">
        <f>[1]节奏总纲!AD232</f>
        <v>78.446316468310982</v>
      </c>
      <c r="S232" s="7">
        <f>[1]节奏总纲!AE232</f>
        <v>80.518195234379959</v>
      </c>
      <c r="T232" s="7">
        <f>[1]节奏总纲!AF232</f>
        <v>83.473716694900475</v>
      </c>
      <c r="U232" s="7">
        <f>[1]节奏总纲!AG232</f>
        <v>88.209205936050708</v>
      </c>
      <c r="V232" s="7">
        <f>[1]节奏总纲!AH232</f>
        <v>97.325982425690185</v>
      </c>
      <c r="AN232" s="7">
        <v>229</v>
      </c>
      <c r="AO232" s="7">
        <f>[1]节奏总纲!BA232</f>
        <v>43.599367277315686</v>
      </c>
      <c r="AP232" s="7">
        <f>[1]节奏总纲!BB232</f>
        <v>45.116047792754941</v>
      </c>
      <c r="AQ232" s="7">
        <f>[1]节奏总纲!BC232</f>
        <v>47.06481319117286</v>
      </c>
      <c r="AR232" s="7">
        <f>[1]节奏总纲!BD232</f>
        <v>49.805074985167678</v>
      </c>
      <c r="AS232" s="7">
        <f>[1]节奏总纲!BE232</f>
        <v>54.504693816642046</v>
      </c>
    </row>
    <row r="233" spans="17:45" x14ac:dyDescent="0.15">
      <c r="Q233" s="7">
        <v>230</v>
      </c>
      <c r="R233" s="7">
        <f>[1]节奏总纲!AD233</f>
        <v>78.508834045011952</v>
      </c>
      <c r="S233" s="7">
        <f>[1]节奏总纲!AE233</f>
        <v>80.583665257674966</v>
      </c>
      <c r="T233" s="7">
        <f>[1]节奏总纲!AF233</f>
        <v>83.537343637778505</v>
      </c>
      <c r="U233" s="7">
        <f>[1]节奏总纲!AG233</f>
        <v>88.279119847553304</v>
      </c>
      <c r="V233" s="7">
        <f>[1]节奏总纲!AH233</f>
        <v>97.383218985783799</v>
      </c>
      <c r="AN233" s="7">
        <v>230</v>
      </c>
      <c r="AO233" s="7">
        <f>[1]节奏总纲!BA233</f>
        <v>43.629324644063402</v>
      </c>
      <c r="AP233" s="7">
        <f>[1]节奏总纲!BB233</f>
        <v>45.143943896782567</v>
      </c>
      <c r="AQ233" s="7">
        <f>[1]节奏总纲!BC233</f>
        <v>47.092529908936719</v>
      </c>
      <c r="AR233" s="7">
        <f>[1]节奏总纲!BD233</f>
        <v>49.836064653662483</v>
      </c>
      <c r="AS233" s="7">
        <f>[1]节奏总纲!BE233</f>
        <v>54.53445981323808</v>
      </c>
    </row>
    <row r="234" spans="17:45" x14ac:dyDescent="0.15">
      <c r="Q234" s="7">
        <v>231</v>
      </c>
      <c r="R234" s="7">
        <f>[1]节奏总纲!AD234</f>
        <v>78.571351621712921</v>
      </c>
      <c r="S234" s="7">
        <f>[1]节奏总纲!AE234</f>
        <v>80.649135280969972</v>
      </c>
      <c r="T234" s="7">
        <f>[1]节奏总纲!AF234</f>
        <v>83.600970580656536</v>
      </c>
      <c r="U234" s="7">
        <f>[1]节奏总纲!AG234</f>
        <v>88.349033759055899</v>
      </c>
      <c r="V234" s="7">
        <f>[1]节奏总纲!AH234</f>
        <v>97.440455545877413</v>
      </c>
      <c r="AN234" s="7">
        <v>231</v>
      </c>
      <c r="AO234" s="7">
        <f>[1]节奏总纲!BA234</f>
        <v>43.659282010811118</v>
      </c>
      <c r="AP234" s="7">
        <f>[1]节奏总纲!BB234</f>
        <v>45.171840000810199</v>
      </c>
      <c r="AQ234" s="7">
        <f>[1]节奏总纲!BC234</f>
        <v>47.120246626700578</v>
      </c>
      <c r="AR234" s="7">
        <f>[1]节奏总纲!BD234</f>
        <v>49.867054322157287</v>
      </c>
      <c r="AS234" s="7">
        <f>[1]节奏总纲!BE234</f>
        <v>54.564225809834106</v>
      </c>
    </row>
    <row r="235" spans="17:45" x14ac:dyDescent="0.15">
      <c r="Q235" s="7">
        <v>232</v>
      </c>
      <c r="R235" s="7">
        <f>[1]节奏总纲!AD235</f>
        <v>78.633869198413905</v>
      </c>
      <c r="S235" s="7">
        <f>[1]节奏总纲!AE235</f>
        <v>80.714605304264978</v>
      </c>
      <c r="T235" s="7">
        <f>[1]节奏总纲!AF235</f>
        <v>83.664597523534553</v>
      </c>
      <c r="U235" s="7">
        <f>[1]节奏总纲!AG235</f>
        <v>88.418947670558495</v>
      </c>
      <c r="V235" s="7">
        <f>[1]节奏总纲!AH235</f>
        <v>97.497692105971026</v>
      </c>
      <c r="AN235" s="7">
        <v>232</v>
      </c>
      <c r="AO235" s="7">
        <f>[1]节奏总纲!BA235</f>
        <v>43.689239377558835</v>
      </c>
      <c r="AP235" s="7">
        <f>[1]节奏总纲!BB235</f>
        <v>45.199736104837825</v>
      </c>
      <c r="AQ235" s="7">
        <f>[1]节奏总纲!BC235</f>
        <v>47.147963344464429</v>
      </c>
      <c r="AR235" s="7">
        <f>[1]节奏总纲!BD235</f>
        <v>49.898043990652091</v>
      </c>
      <c r="AS235" s="7">
        <f>[1]节奏总纲!BE235</f>
        <v>54.593991806430139</v>
      </c>
    </row>
    <row r="236" spans="17:45" x14ac:dyDescent="0.15">
      <c r="Q236" s="7">
        <v>233</v>
      </c>
      <c r="R236" s="7">
        <f>[1]节奏总纲!AD236</f>
        <v>78.696386775114874</v>
      </c>
      <c r="S236" s="7">
        <f>[1]节奏总纲!AE236</f>
        <v>80.78007532755997</v>
      </c>
      <c r="T236" s="7">
        <f>[1]节奏总纲!AF236</f>
        <v>83.728224466412584</v>
      </c>
      <c r="U236" s="7">
        <f>[1]节奏总纲!AG236</f>
        <v>88.488861582061077</v>
      </c>
      <c r="V236" s="7">
        <f>[1]节奏总纲!AH236</f>
        <v>97.554928666064626</v>
      </c>
      <c r="AN236" s="7">
        <v>233</v>
      </c>
      <c r="AO236" s="7">
        <f>[1]节奏总纲!BA236</f>
        <v>43.719196744306558</v>
      </c>
      <c r="AP236" s="7">
        <f>[1]节奏总纲!BB236</f>
        <v>45.227632208865458</v>
      </c>
      <c r="AQ236" s="7">
        <f>[1]节奏总纲!BC236</f>
        <v>47.175680062228288</v>
      </c>
      <c r="AR236" s="7">
        <f>[1]节奏总纲!BD236</f>
        <v>49.929033659146896</v>
      </c>
      <c r="AS236" s="7">
        <f>[1]节奏总纲!BE236</f>
        <v>54.623757803026173</v>
      </c>
    </row>
    <row r="237" spans="17:45" x14ac:dyDescent="0.15">
      <c r="Q237" s="7">
        <v>234</v>
      </c>
      <c r="R237" s="7">
        <f>[1]节奏总纲!AD237</f>
        <v>78.758904351815843</v>
      </c>
      <c r="S237" s="7">
        <f>[1]节奏总纲!AE237</f>
        <v>80.845545350854977</v>
      </c>
      <c r="T237" s="7">
        <f>[1]节奏总纲!AF237</f>
        <v>83.791851409290615</v>
      </c>
      <c r="U237" s="7">
        <f>[1]节奏总纲!AG237</f>
        <v>88.558775493563672</v>
      </c>
      <c r="V237" s="7">
        <f>[1]节奏总纲!AH237</f>
        <v>97.61216522615824</v>
      </c>
      <c r="AN237" s="7">
        <v>234</v>
      </c>
      <c r="AO237" s="7">
        <f>[1]节奏总纲!BA237</f>
        <v>43.749154111054274</v>
      </c>
      <c r="AP237" s="7">
        <f>[1]节奏总纲!BB237</f>
        <v>45.255528312893091</v>
      </c>
      <c r="AQ237" s="7">
        <f>[1]节奏总纲!BC237</f>
        <v>47.203396779992147</v>
      </c>
      <c r="AR237" s="7">
        <f>[1]节奏总纲!BD237</f>
        <v>49.9600233276417</v>
      </c>
      <c r="AS237" s="7">
        <f>[1]节奏总纲!BE237</f>
        <v>54.653523799622199</v>
      </c>
    </row>
    <row r="238" spans="17:45" x14ac:dyDescent="0.15">
      <c r="Q238" s="7">
        <v>235</v>
      </c>
      <c r="R238" s="7">
        <f>[1]节奏总纲!AD238</f>
        <v>78.821421928516827</v>
      </c>
      <c r="S238" s="7">
        <f>[1]节奏总纲!AE238</f>
        <v>80.911015374149983</v>
      </c>
      <c r="T238" s="7">
        <f>[1]节奏总纲!AF238</f>
        <v>83.855478352168632</v>
      </c>
      <c r="U238" s="7">
        <f>[1]节奏总纲!AG238</f>
        <v>88.628689405066268</v>
      </c>
      <c r="V238" s="7">
        <f>[1]节奏总纲!AH238</f>
        <v>97.669401786251854</v>
      </c>
      <c r="AN238" s="7">
        <v>235</v>
      </c>
      <c r="AO238" s="7">
        <f>[1]节奏总纲!BA238</f>
        <v>43.77911147780199</v>
      </c>
      <c r="AP238" s="7">
        <f>[1]节奏总纲!BB238</f>
        <v>45.283424416920717</v>
      </c>
      <c r="AQ238" s="7">
        <f>[1]节奏总纲!BC238</f>
        <v>47.231113497756006</v>
      </c>
      <c r="AR238" s="7">
        <f>[1]节奏总纲!BD238</f>
        <v>49.991012996136504</v>
      </c>
      <c r="AS238" s="7">
        <f>[1]节奏总纲!BE238</f>
        <v>54.683289796218233</v>
      </c>
    </row>
    <row r="239" spans="17:45" x14ac:dyDescent="0.15">
      <c r="Q239" s="7">
        <v>236</v>
      </c>
      <c r="R239" s="7">
        <f>[1]节奏总纲!AD239</f>
        <v>78.883939505217796</v>
      </c>
      <c r="S239" s="7">
        <f>[1]节奏总纲!AE239</f>
        <v>80.976485397444989</v>
      </c>
      <c r="T239" s="7">
        <f>[1]节奏总纲!AF239</f>
        <v>83.919105295046663</v>
      </c>
      <c r="U239" s="7">
        <f>[1]节奏总纲!AG239</f>
        <v>88.698603316568864</v>
      </c>
      <c r="V239" s="7">
        <f>[1]节奏总纲!AH239</f>
        <v>97.726638346345467</v>
      </c>
      <c r="AN239" s="7">
        <v>236</v>
      </c>
      <c r="AO239" s="7">
        <f>[1]节奏总纲!BA239</f>
        <v>43.809068844549707</v>
      </c>
      <c r="AP239" s="7">
        <f>[1]节奏总纲!BB239</f>
        <v>45.31132052094835</v>
      </c>
      <c r="AQ239" s="7">
        <f>[1]节奏总纲!BC239</f>
        <v>47.258830215519865</v>
      </c>
      <c r="AR239" s="7">
        <f>[1]节奏总纲!BD239</f>
        <v>50.018998195299922</v>
      </c>
      <c r="AS239" s="7">
        <f>[1]节奏总纲!BE239</f>
        <v>54.713055792814259</v>
      </c>
    </row>
    <row r="240" spans="17:45" x14ac:dyDescent="0.15">
      <c r="Q240" s="7">
        <v>237</v>
      </c>
      <c r="R240" s="7">
        <f>[1]节奏总纲!AD240</f>
        <v>78.946457081918766</v>
      </c>
      <c r="S240" s="7">
        <f>[1]节奏总纲!AE240</f>
        <v>81.038163244467697</v>
      </c>
      <c r="T240" s="7">
        <f>[1]节奏总纲!AF240</f>
        <v>83.982732237924694</v>
      </c>
      <c r="U240" s="7">
        <f>[1]节奏总纲!AG240</f>
        <v>88.768517228071445</v>
      </c>
      <c r="V240" s="7">
        <f>[1]节奏总纲!AH240</f>
        <v>97.783874906439081</v>
      </c>
      <c r="AN240" s="7">
        <v>237</v>
      </c>
      <c r="AO240" s="7">
        <f>[1]节奏总纲!BA240</f>
        <v>43.83902621129743</v>
      </c>
      <c r="AP240" s="7">
        <f>[1]节奏总纲!BB240</f>
        <v>45.339216624975975</v>
      </c>
      <c r="AQ240" s="7">
        <f>[1]节奏总纲!BC240</f>
        <v>47.286546933283724</v>
      </c>
      <c r="AR240" s="7">
        <f>[1]节奏总纲!BD240</f>
        <v>50.045756216849099</v>
      </c>
      <c r="AS240" s="7">
        <f>[1]节奏总纲!BE240</f>
        <v>54.742821789410293</v>
      </c>
    </row>
    <row r="241" spans="17:45" x14ac:dyDescent="0.15">
      <c r="Q241" s="7">
        <v>238</v>
      </c>
      <c r="R241" s="7">
        <f>[1]节奏总纲!AD241</f>
        <v>79.008373652580005</v>
      </c>
      <c r="S241" s="7">
        <f>[1]节奏总纲!AE241</f>
        <v>81.097715704203424</v>
      </c>
      <c r="T241" s="7">
        <f>[1]节奏总纲!AF241</f>
        <v>84.043767921022209</v>
      </c>
      <c r="U241" s="7">
        <f>[1]节奏总纲!AG241</f>
        <v>88.838431139574041</v>
      </c>
      <c r="V241" s="7">
        <f>[1]节奏总纲!AH241</f>
        <v>97.841111466532681</v>
      </c>
      <c r="AN241" s="7">
        <v>238</v>
      </c>
      <c r="AO241" s="7">
        <f>[1]节奏总纲!BA241</f>
        <v>43.868983578045146</v>
      </c>
      <c r="AP241" s="7">
        <f>[1]节奏总纲!BB241</f>
        <v>45.367112729003608</v>
      </c>
      <c r="AQ241" s="7">
        <f>[1]节奏总纲!BC241</f>
        <v>47.314263651047582</v>
      </c>
      <c r="AR241" s="7">
        <f>[1]节奏总纲!BD241</f>
        <v>50.072514238398277</v>
      </c>
      <c r="AS241" s="7">
        <f>[1]节奏总纲!BE241</f>
        <v>54.772587786006326</v>
      </c>
    </row>
    <row r="242" spans="17:45" x14ac:dyDescent="0.15">
      <c r="Q242" s="7">
        <v>239</v>
      </c>
      <c r="R242" s="7">
        <f>[1]节奏总纲!AD242</f>
        <v>79.066704614192943</v>
      </c>
      <c r="S242" s="7">
        <f>[1]节奏总纲!AE242</f>
        <v>81.157268163939136</v>
      </c>
      <c r="T242" s="7">
        <f>[1]节奏总纲!AF242</f>
        <v>84.103838417578672</v>
      </c>
      <c r="U242" s="7">
        <f>[1]节奏总纲!AG242</f>
        <v>88.908345051076637</v>
      </c>
      <c r="V242" s="7">
        <f>[1]节奏总纲!AH242</f>
        <v>97.898348026626294</v>
      </c>
      <c r="AN242" s="7">
        <v>239</v>
      </c>
      <c r="AO242" s="7">
        <f>[1]节奏总纲!BA242</f>
        <v>43.898940944792862</v>
      </c>
      <c r="AP242" s="7">
        <f>[1]节奏总纲!BB242</f>
        <v>45.395008833031234</v>
      </c>
      <c r="AQ242" s="7">
        <f>[1]节奏总纲!BC242</f>
        <v>47.341980368811441</v>
      </c>
      <c r="AR242" s="7">
        <f>[1]节奏总纲!BD242</f>
        <v>50.099272259947462</v>
      </c>
      <c r="AS242" s="7">
        <f>[1]节奏总纲!BE242</f>
        <v>54.802353782602353</v>
      </c>
    </row>
    <row r="243" spans="17:45" x14ac:dyDescent="0.15">
      <c r="Q243" s="7">
        <v>240</v>
      </c>
      <c r="R243" s="7">
        <f>[1]节奏总纲!AD243</f>
        <v>79.125035575805882</v>
      </c>
      <c r="S243" s="7">
        <f>[1]节奏总纲!AE243</f>
        <v>81.216820623674849</v>
      </c>
      <c r="T243" s="7">
        <f>[1]节奏总纲!AF243</f>
        <v>84.163908914135135</v>
      </c>
      <c r="U243" s="7">
        <f>[1]节奏总纲!AG243</f>
        <v>88.978258962579233</v>
      </c>
      <c r="V243" s="7">
        <f>[1]节奏总纲!AH243</f>
        <v>97.955584586719908</v>
      </c>
      <c r="AN243" s="7">
        <v>240</v>
      </c>
      <c r="AO243" s="7">
        <f>[1]节奏总纲!BA243</f>
        <v>43.928898311540586</v>
      </c>
      <c r="AP243" s="7">
        <f>[1]节奏总纲!BB243</f>
        <v>45.422904937058867</v>
      </c>
      <c r="AQ243" s="7">
        <f>[1]节奏总纲!BC243</f>
        <v>47.3696970865753</v>
      </c>
      <c r="AR243" s="7">
        <f>[1]节奏总纲!BD243</f>
        <v>50.126030281496639</v>
      </c>
      <c r="AS243" s="7">
        <f>[1]节奏总纲!BE243</f>
        <v>54.832119779198386</v>
      </c>
    </row>
    <row r="244" spans="17:45" x14ac:dyDescent="0.15">
      <c r="Q244" s="7">
        <v>241</v>
      </c>
      <c r="R244" s="7">
        <f>[1]节奏总纲!AD244</f>
        <v>79.18336653741882</v>
      </c>
      <c r="S244" s="7">
        <f>[1]节奏总纲!AE244</f>
        <v>81.276373083410562</v>
      </c>
      <c r="T244" s="7">
        <f>[1]节奏总纲!AF244</f>
        <v>84.223979410691598</v>
      </c>
      <c r="U244" s="7">
        <f>[1]节奏总纲!AG244</f>
        <v>89.047272179270863</v>
      </c>
      <c r="V244" s="7">
        <f>[1]节奏总纲!AH244</f>
        <v>98.013314854852808</v>
      </c>
      <c r="AN244" s="7">
        <v>241</v>
      </c>
      <c r="AO244" s="7">
        <f>[1]节奏总纲!BA244</f>
        <v>43.958855678288302</v>
      </c>
      <c r="AP244" s="7">
        <f>[1]节奏总纲!BB244</f>
        <v>45.450801041086493</v>
      </c>
      <c r="AQ244" s="7">
        <f>[1]节奏总纲!BC244</f>
        <v>47.397413804339159</v>
      </c>
      <c r="AR244" s="7">
        <f>[1]节奏总纲!BD244</f>
        <v>50.152788303045817</v>
      </c>
      <c r="AS244" s="7">
        <f>[1]节奏总纲!BE244</f>
        <v>54.86188577579442</v>
      </c>
    </row>
    <row r="245" spans="17:45" x14ac:dyDescent="0.15">
      <c r="Q245" s="7">
        <v>242</v>
      </c>
      <c r="R245" s="7">
        <f>[1]节奏总纲!AD245</f>
        <v>79.241697499031773</v>
      </c>
      <c r="S245" s="7">
        <f>[1]节奏总纲!AE245</f>
        <v>81.335925543146274</v>
      </c>
      <c r="T245" s="7">
        <f>[1]节奏总纲!AF245</f>
        <v>84.284049907248061</v>
      </c>
      <c r="U245" s="7">
        <f>[1]节奏总纲!AG245</f>
        <v>89.11587890081428</v>
      </c>
      <c r="V245" s="7">
        <f>[1]节奏总纲!AH245</f>
        <v>98.072755441643167</v>
      </c>
      <c r="AN245" s="7">
        <v>242</v>
      </c>
      <c r="AO245" s="7">
        <f>[1]节奏总纲!BA245</f>
        <v>43.988813045036018</v>
      </c>
      <c r="AP245" s="7">
        <f>[1]节奏总纲!BB245</f>
        <v>45.478697145114126</v>
      </c>
      <c r="AQ245" s="7">
        <f>[1]节奏总纲!BC245</f>
        <v>47.425130522103018</v>
      </c>
      <c r="AR245" s="7">
        <f>[1]节奏总纲!BD245</f>
        <v>50.179546324595002</v>
      </c>
      <c r="AS245" s="7">
        <f>[1]节奏总纲!BE245</f>
        <v>54.891651772390446</v>
      </c>
    </row>
    <row r="246" spans="17:45" x14ac:dyDescent="0.15">
      <c r="Q246" s="7">
        <v>243</v>
      </c>
      <c r="R246" s="7">
        <f>[1]节奏总纲!AD246</f>
        <v>79.300028460644711</v>
      </c>
      <c r="S246" s="7">
        <f>[1]节奏总纲!AE246</f>
        <v>81.395478002882001</v>
      </c>
      <c r="T246" s="7">
        <f>[1]节奏总纲!AF246</f>
        <v>84.344120403804524</v>
      </c>
      <c r="U246" s="7">
        <f>[1]节奏总纲!AG246</f>
        <v>89.184485622357698</v>
      </c>
      <c r="V246" s="7">
        <f>[1]节奏总纲!AH246</f>
        <v>98.132196028433526</v>
      </c>
      <c r="AN246" s="7">
        <v>243</v>
      </c>
      <c r="AO246" s="7">
        <f>[1]节奏总纲!BA246</f>
        <v>44.016200268136501</v>
      </c>
      <c r="AP246" s="7">
        <f>[1]节奏总纲!BB246</f>
        <v>45.506593249141758</v>
      </c>
      <c r="AQ246" s="7">
        <f>[1]节奏总纲!BC246</f>
        <v>47.452847239866877</v>
      </c>
      <c r="AR246" s="7">
        <f>[1]节奏总纲!BD246</f>
        <v>50.206304346144179</v>
      </c>
      <c r="AS246" s="7">
        <f>[1]节奏总纲!BE246</f>
        <v>54.92141776898648</v>
      </c>
    </row>
    <row r="247" spans="17:45" x14ac:dyDescent="0.15">
      <c r="Q247" s="7">
        <v>244</v>
      </c>
      <c r="R247" s="7">
        <f>[1]节奏总纲!AD247</f>
        <v>79.358359422257649</v>
      </c>
      <c r="S247" s="7">
        <f>[1]节奏总纲!AE247</f>
        <v>81.455030462617714</v>
      </c>
      <c r="T247" s="7">
        <f>[1]节奏总纲!AF247</f>
        <v>84.404190900360987</v>
      </c>
      <c r="U247" s="7">
        <f>[1]节奏总纲!AG247</f>
        <v>89.253092343901116</v>
      </c>
      <c r="V247" s="7">
        <f>[1]节奏总纲!AH247</f>
        <v>98.191636615223871</v>
      </c>
      <c r="AN247" s="7">
        <v>244</v>
      </c>
      <c r="AO247" s="7">
        <f>[1]节奏总纲!BA247</f>
        <v>44.042055714440401</v>
      </c>
      <c r="AP247" s="7">
        <f>[1]节奏总纲!BB247</f>
        <v>45.534489353169384</v>
      </c>
      <c r="AQ247" s="7">
        <f>[1]节奏总纲!BC247</f>
        <v>47.480563957630736</v>
      </c>
      <c r="AR247" s="7">
        <f>[1]节奏总纲!BD247</f>
        <v>50.233062367693357</v>
      </c>
      <c r="AS247" s="7">
        <f>[1]节奏总纲!BE247</f>
        <v>54.951183765582506</v>
      </c>
    </row>
    <row r="248" spans="17:45" x14ac:dyDescent="0.15">
      <c r="Q248" s="7">
        <v>245</v>
      </c>
      <c r="R248" s="7">
        <f>[1]节奏总纲!AD248</f>
        <v>79.416690383870588</v>
      </c>
      <c r="S248" s="7">
        <f>[1]节奏总纲!AE248</f>
        <v>81.514582922353426</v>
      </c>
      <c r="T248" s="7">
        <f>[1]节奏总纲!AF248</f>
        <v>84.46426139691745</v>
      </c>
      <c r="U248" s="7">
        <f>[1]节奏总纲!AG248</f>
        <v>89.321699065444534</v>
      </c>
      <c r="V248" s="7">
        <f>[1]节奏总纲!AH248</f>
        <v>98.25107720201423</v>
      </c>
      <c r="AN248" s="7">
        <v>245</v>
      </c>
      <c r="AO248" s="7">
        <f>[1]节奏总纲!BA248</f>
        <v>44.067911160744309</v>
      </c>
      <c r="AP248" s="7">
        <f>[1]节奏总纲!BB248</f>
        <v>45.562385457197017</v>
      </c>
      <c r="AQ248" s="7">
        <f>[1]节奏总纲!BC248</f>
        <v>47.508280675394595</v>
      </c>
      <c r="AR248" s="7">
        <f>[1]节奏总纲!BD248</f>
        <v>50.259820389242542</v>
      </c>
      <c r="AS248" s="7">
        <f>[1]节奏总纲!BE248</f>
        <v>54.98094976217854</v>
      </c>
    </row>
    <row r="249" spans="17:45" x14ac:dyDescent="0.15">
      <c r="Q249" s="7">
        <v>246</v>
      </c>
      <c r="R249" s="7">
        <f>[1]节奏总纲!AD249</f>
        <v>79.475021345483526</v>
      </c>
      <c r="S249" s="7">
        <f>[1]节奏总纲!AE249</f>
        <v>81.574135382089139</v>
      </c>
      <c r="T249" s="7">
        <f>[1]节奏总纲!AF249</f>
        <v>84.524331893473914</v>
      </c>
      <c r="U249" s="7">
        <f>[1]节奏总纲!AG249</f>
        <v>89.390305786987952</v>
      </c>
      <c r="V249" s="7">
        <f>[1]节奏总纲!AH249</f>
        <v>98.310517788804589</v>
      </c>
      <c r="AN249" s="7">
        <v>246</v>
      </c>
      <c r="AO249" s="7">
        <f>[1]节奏总纲!BA249</f>
        <v>44.093766607048209</v>
      </c>
      <c r="AP249" s="7">
        <f>[1]节奏总纲!BB249</f>
        <v>45.590281561224643</v>
      </c>
      <c r="AQ249" s="7">
        <f>[1]节奏总纲!BC249</f>
        <v>47.535997393158453</v>
      </c>
      <c r="AR249" s="7">
        <f>[1]节奏总纲!BD249</f>
        <v>50.286578410791719</v>
      </c>
      <c r="AS249" s="7">
        <f>[1]节奏总纲!BE249</f>
        <v>55.009255535630842</v>
      </c>
    </row>
    <row r="250" spans="17:45" x14ac:dyDescent="0.15">
      <c r="Q250" s="7">
        <v>247</v>
      </c>
      <c r="R250" s="7">
        <f>[1]节奏总纲!AD250</f>
        <v>79.533352307096465</v>
      </c>
      <c r="S250" s="7">
        <f>[1]节奏总纲!AE250</f>
        <v>81.633687841824852</v>
      </c>
      <c r="T250" s="7">
        <f>[1]节奏总纲!AF250</f>
        <v>84.584402390030377</v>
      </c>
      <c r="U250" s="7">
        <f>[1]节奏总纲!AG250</f>
        <v>89.45891250853137</v>
      </c>
      <c r="V250" s="7">
        <f>[1]节奏总纲!AH250</f>
        <v>98.369958375594933</v>
      </c>
      <c r="AN250" s="7">
        <v>247</v>
      </c>
      <c r="AO250" s="7">
        <f>[1]节奏总纲!BA250</f>
        <v>44.11962205335211</v>
      </c>
      <c r="AP250" s="7">
        <f>[1]节奏总纲!BB250</f>
        <v>45.618177665252276</v>
      </c>
      <c r="AQ250" s="7">
        <f>[1]节奏总纲!BC250</f>
        <v>47.563714110922312</v>
      </c>
      <c r="AR250" s="7">
        <f>[1]节奏总纲!BD250</f>
        <v>50.313336432340897</v>
      </c>
      <c r="AS250" s="7">
        <f>[1]节奏总纲!BE250</f>
        <v>55.034965356827627</v>
      </c>
    </row>
    <row r="251" spans="17:45" x14ac:dyDescent="0.15">
      <c r="Q251" s="7">
        <v>248</v>
      </c>
      <c r="R251" s="7">
        <f>[1]节奏总纲!AD251</f>
        <v>79.591683268709417</v>
      </c>
      <c r="S251" s="7">
        <f>[1]节奏总纲!AE251</f>
        <v>81.693240301560579</v>
      </c>
      <c r="T251" s="7">
        <f>[1]节奏总纲!AF251</f>
        <v>84.64447288658684</v>
      </c>
      <c r="U251" s="7">
        <f>[1]节奏总纲!AG251</f>
        <v>89.527519230074788</v>
      </c>
      <c r="V251" s="7">
        <f>[1]节奏总纲!AH251</f>
        <v>98.429398962385292</v>
      </c>
      <c r="AN251" s="7">
        <v>248</v>
      </c>
      <c r="AO251" s="7">
        <f>[1]节奏总纲!BA251</f>
        <v>44.145477499656018</v>
      </c>
      <c r="AP251" s="7">
        <f>[1]节奏总纲!BB251</f>
        <v>45.646073769279901</v>
      </c>
      <c r="AQ251" s="7">
        <f>[1]节奏总纲!BC251</f>
        <v>47.591430828686171</v>
      </c>
      <c r="AR251" s="7">
        <f>[1]节奏总纲!BD251</f>
        <v>50.340094453890082</v>
      </c>
      <c r="AS251" s="7">
        <f>[1]节奏总纲!BE251</f>
        <v>55.060675178024418</v>
      </c>
    </row>
    <row r="252" spans="17:45" x14ac:dyDescent="0.15">
      <c r="Q252" s="7">
        <v>249</v>
      </c>
      <c r="R252" s="7">
        <f>[1]节奏总纲!AD252</f>
        <v>79.650014230322356</v>
      </c>
      <c r="S252" s="7">
        <f>[1]节奏总纲!AE252</f>
        <v>81.752792761296291</v>
      </c>
      <c r="T252" s="7">
        <f>[1]节奏总纲!AF252</f>
        <v>84.704543383143317</v>
      </c>
      <c r="U252" s="7">
        <f>[1]节奏总纲!AG252</f>
        <v>89.596125951618205</v>
      </c>
      <c r="V252" s="7">
        <f>[1]节奏总纲!AH252</f>
        <v>98.488839549175651</v>
      </c>
      <c r="AN252" s="7">
        <v>249</v>
      </c>
      <c r="AO252" s="7">
        <f>[1]节奏总纲!BA252</f>
        <v>44.171332945959918</v>
      </c>
      <c r="AP252" s="7">
        <f>[1]节奏总纲!BB252</f>
        <v>45.673969873307534</v>
      </c>
      <c r="AQ252" s="7">
        <f>[1]节奏总纲!BC252</f>
        <v>47.61914754645003</v>
      </c>
      <c r="AR252" s="7">
        <f>[1]节奏总纲!BD252</f>
        <v>50.366852475439259</v>
      </c>
      <c r="AS252" s="7">
        <f>[1]节奏总纲!BE252</f>
        <v>55.086384999221202</v>
      </c>
    </row>
    <row r="253" spans="17:45" x14ac:dyDescent="0.15">
      <c r="Q253" s="7">
        <v>250</v>
      </c>
      <c r="R253" s="7">
        <f>[1]节奏总纲!AD253</f>
        <v>79.708345191935294</v>
      </c>
      <c r="S253" s="7">
        <f>[1]节奏总纲!AE253</f>
        <v>81.812345221032004</v>
      </c>
      <c r="T253" s="7">
        <f>[1]节奏总纲!AF253</f>
        <v>84.76461387969978</v>
      </c>
      <c r="U253" s="7">
        <f>[1]节奏总纲!AG253</f>
        <v>89.664732673161623</v>
      </c>
      <c r="V253" s="7">
        <f>[1]节奏总纲!AH253</f>
        <v>98.548280135965996</v>
      </c>
      <c r="AN253" s="7">
        <v>250</v>
      </c>
      <c r="AO253" s="7">
        <f>[1]节奏总纲!BA253</f>
        <v>44.197188392263818</v>
      </c>
      <c r="AP253" s="7">
        <f>[1]节奏总纲!BB253</f>
        <v>45.701865977335167</v>
      </c>
      <c r="AQ253" s="7">
        <f>[1]节奏总纲!BC253</f>
        <v>47.646864264213889</v>
      </c>
      <c r="AR253" s="7">
        <f>[1]节奏总纲!BD253</f>
        <v>50.393610496988437</v>
      </c>
      <c r="AS253" s="7">
        <f>[1]节奏总纲!BE253</f>
        <v>55.112094820417994</v>
      </c>
    </row>
    <row r="254" spans="17:45" x14ac:dyDescent="0.15">
      <c r="Q254" s="7">
        <v>251</v>
      </c>
      <c r="R254" s="7">
        <f>[1]节奏总纲!AD254</f>
        <v>79.766676153548232</v>
      </c>
      <c r="S254" s="7">
        <f>[1]节奏总纲!AE254</f>
        <v>81.871897680767717</v>
      </c>
      <c r="T254" s="7">
        <f>[1]节奏总纲!AF254</f>
        <v>84.824684376256243</v>
      </c>
      <c r="U254" s="7">
        <f>[1]节奏总纲!AG254</f>
        <v>89.733339394705041</v>
      </c>
      <c r="V254" s="7">
        <f>[1]节奏总纲!AH254</f>
        <v>98.607720722756355</v>
      </c>
      <c r="AN254" s="7">
        <v>251</v>
      </c>
      <c r="AO254" s="7">
        <f>[1]节奏总纲!BA254</f>
        <v>44.223043838567726</v>
      </c>
      <c r="AP254" s="7">
        <f>[1]节奏总纲!BB254</f>
        <v>45.729762081362793</v>
      </c>
      <c r="AQ254" s="7">
        <f>[1]节奏总纲!BC254</f>
        <v>47.674580981977748</v>
      </c>
      <c r="AR254" s="7">
        <f>[1]节奏总纲!BD254</f>
        <v>50.420368518537622</v>
      </c>
      <c r="AS254" s="7">
        <f>[1]节奏总纲!BE254</f>
        <v>55.137804641614778</v>
      </c>
    </row>
    <row r="255" spans="17:45" x14ac:dyDescent="0.15">
      <c r="Q255" s="7">
        <v>252</v>
      </c>
      <c r="R255" s="7">
        <f>[1]节奏总纲!AD255</f>
        <v>79.825007115161171</v>
      </c>
      <c r="S255" s="7">
        <f>[1]节奏总纲!AE255</f>
        <v>81.931450140503429</v>
      </c>
      <c r="T255" s="7">
        <f>[1]节奏总纲!AF255</f>
        <v>84.884754872812707</v>
      </c>
      <c r="U255" s="7">
        <f>[1]节奏总纲!AG255</f>
        <v>89.801946116248459</v>
      </c>
      <c r="V255" s="7">
        <f>[1]节奏总纲!AH255</f>
        <v>98.667161309546714</v>
      </c>
      <c r="AN255" s="7">
        <v>252</v>
      </c>
      <c r="AO255" s="7">
        <f>[1]节奏总纲!BA255</f>
        <v>44.248899284871626</v>
      </c>
      <c r="AP255" s="7">
        <f>[1]节奏总纲!BB255</f>
        <v>45.757658185390426</v>
      </c>
      <c r="AQ255" s="7">
        <f>[1]节奏总纲!BC255</f>
        <v>47.7022976997416</v>
      </c>
      <c r="AR255" s="7">
        <f>[1]节奏总纲!BD255</f>
        <v>50.447126540086799</v>
      </c>
      <c r="AS255" s="7">
        <f>[1]节奏总纲!BE255</f>
        <v>55.163514462811563</v>
      </c>
    </row>
    <row r="256" spans="17:45" x14ac:dyDescent="0.15">
      <c r="Q256" s="7">
        <v>253</v>
      </c>
      <c r="R256" s="7">
        <f>[1]节奏总纲!AD256</f>
        <v>79.883338076774123</v>
      </c>
      <c r="S256" s="7">
        <f>[1]节奏总纲!AE256</f>
        <v>81.991002600239142</v>
      </c>
      <c r="T256" s="7">
        <f>[1]节奏总纲!AF256</f>
        <v>84.94482536936917</v>
      </c>
      <c r="U256" s="7">
        <f>[1]节奏总纲!AG256</f>
        <v>89.870552837791877</v>
      </c>
      <c r="V256" s="7">
        <f>[1]节奏总纲!AH256</f>
        <v>98.726601896337058</v>
      </c>
      <c r="AN256" s="7">
        <v>253</v>
      </c>
      <c r="AO256" s="7">
        <f>[1]节奏总纲!BA256</f>
        <v>44.274754731175527</v>
      </c>
      <c r="AP256" s="7">
        <f>[1]节奏总纲!BB256</f>
        <v>45.785554289418052</v>
      </c>
      <c r="AQ256" s="7">
        <f>[1]节奏总纲!BC256</f>
        <v>47.730014417505458</v>
      </c>
      <c r="AR256" s="7">
        <f>[1]节奏总纲!BD256</f>
        <v>50.473884561635977</v>
      </c>
      <c r="AS256" s="7">
        <f>[1]节奏总纲!BE256</f>
        <v>55.189224284008354</v>
      </c>
    </row>
    <row r="257" spans="17:45" x14ac:dyDescent="0.15">
      <c r="Q257" s="7">
        <v>254</v>
      </c>
      <c r="R257" s="7">
        <f>[1]节奏总纲!AD257</f>
        <v>79.941669038387062</v>
      </c>
      <c r="S257" s="7">
        <f>[1]节奏总纲!AE257</f>
        <v>82.046165327855846</v>
      </c>
      <c r="T257" s="7">
        <f>[1]节奏总纲!AF257</f>
        <v>85.004450307848032</v>
      </c>
      <c r="U257" s="7">
        <f>[1]节奏总纲!AG257</f>
        <v>89.939159559335295</v>
      </c>
      <c r="V257" s="7">
        <f>[1]节奏总纲!AH257</f>
        <v>98.786042483127417</v>
      </c>
      <c r="AN257" s="7">
        <v>254</v>
      </c>
      <c r="AO257" s="7">
        <f>[1]节奏总纲!BA257</f>
        <v>44.300610177479435</v>
      </c>
      <c r="AP257" s="7">
        <f>[1]节奏总纲!BB257</f>
        <v>45.813450393445684</v>
      </c>
      <c r="AQ257" s="7">
        <f>[1]节奏总纲!BC257</f>
        <v>47.757731135269317</v>
      </c>
      <c r="AR257" s="7">
        <f>[1]节奏总纲!BD257</f>
        <v>50.500642583185162</v>
      </c>
      <c r="AS257" s="7">
        <f>[1]节奏总纲!BE257</f>
        <v>55.214934105205138</v>
      </c>
    </row>
    <row r="258" spans="17:45" x14ac:dyDescent="0.15">
      <c r="Q258" s="7">
        <v>255</v>
      </c>
      <c r="R258" s="7">
        <f>[1]节奏总纲!AD258</f>
        <v>80</v>
      </c>
      <c r="S258" s="7">
        <f>[1]节奏总纲!AE258</f>
        <v>82.100546804797787</v>
      </c>
      <c r="T258" s="7">
        <f>[1]节奏总纲!AF258</f>
        <v>85.059053968634842</v>
      </c>
      <c r="U258" s="7">
        <f>[1]节奏总纲!AG258</f>
        <v>90.006385600230558</v>
      </c>
      <c r="V258" s="7">
        <f>[1]节奏总纲!AH258</f>
        <v>98.845483069917776</v>
      </c>
      <c r="AN258" s="7">
        <v>255</v>
      </c>
      <c r="AO258" s="7">
        <f>[1]节奏总纲!BA258</f>
        <v>44.326465623783335</v>
      </c>
      <c r="AP258" s="7">
        <f>[1]节奏总纲!BB258</f>
        <v>45.84134649747331</v>
      </c>
      <c r="AQ258" s="7">
        <f>[1]节奏总纲!BC258</f>
        <v>47.785447853033176</v>
      </c>
      <c r="AR258" s="7">
        <f>[1]节奏总纲!BD258</f>
        <v>50.527400604734339</v>
      </c>
      <c r="AS258" s="7">
        <f>[1]节奏总纲!BE258</f>
        <v>55.24064392640193</v>
      </c>
    </row>
    <row r="259" spans="17:45" x14ac:dyDescent="0.15">
      <c r="Q259" s="7">
        <v>256</v>
      </c>
      <c r="R259" s="7">
        <f>[1]节奏总纲!AD259</f>
        <v>80.054424711612938</v>
      </c>
      <c r="S259" s="7">
        <f>[1]节奏总纲!AE259</f>
        <v>82.154928281739714</v>
      </c>
      <c r="T259" s="7">
        <f>[1]节奏总纲!AF259</f>
        <v>85.113657629421638</v>
      </c>
      <c r="U259" s="7">
        <f>[1]节奏总纲!AG259</f>
        <v>90.062795496260307</v>
      </c>
      <c r="V259" s="7">
        <f>[1]节奏总纲!AH259</f>
        <v>98.904923656708121</v>
      </c>
      <c r="AN259" s="7">
        <v>256</v>
      </c>
      <c r="AO259" s="7">
        <f>[1]节奏总纲!BA259</f>
        <v>44.352321070087235</v>
      </c>
      <c r="AP259" s="7">
        <f>[1]节奏总纲!BB259</f>
        <v>45.869242601500943</v>
      </c>
      <c r="AQ259" s="7">
        <f>[1]节奏总纲!BC259</f>
        <v>47.813164570797035</v>
      </c>
      <c r="AR259" s="7">
        <f>[1]节奏总纲!BD259</f>
        <v>50.554158626283517</v>
      </c>
      <c r="AS259" s="7">
        <f>[1]节奏总纲!BE259</f>
        <v>55.266353747598714</v>
      </c>
    </row>
    <row r="260" spans="17:45" x14ac:dyDescent="0.15">
      <c r="Q260" s="7">
        <v>257</v>
      </c>
      <c r="R260" s="7">
        <f>[1]节奏总纲!AD260</f>
        <v>80.108849423225877</v>
      </c>
      <c r="S260" s="7">
        <f>[1]节奏总纲!AE260</f>
        <v>82.209309758681655</v>
      </c>
      <c r="T260" s="7">
        <f>[1]节奏总纲!AF260</f>
        <v>85.168261290208434</v>
      </c>
      <c r="U260" s="7">
        <f>[1]节奏总纲!AG260</f>
        <v>90.119205392290041</v>
      </c>
      <c r="V260" s="7">
        <f>[1]节奏总纲!AH260</f>
        <v>98.96436424349848</v>
      </c>
      <c r="AN260" s="7">
        <v>257</v>
      </c>
      <c r="AO260" s="7">
        <f>[1]节奏总纲!BA260</f>
        <v>44.378176516391136</v>
      </c>
      <c r="AP260" s="7">
        <f>[1]节奏总纲!BB260</f>
        <v>45.897138705528576</v>
      </c>
      <c r="AQ260" s="7">
        <f>[1]节奏总纲!BC260</f>
        <v>47.840881288560894</v>
      </c>
      <c r="AR260" s="7">
        <f>[1]节奏总纲!BD260</f>
        <v>50.580916647832701</v>
      </c>
      <c r="AS260" s="7">
        <f>[1]节奏总纲!BE260</f>
        <v>55.292063568795498</v>
      </c>
    </row>
    <row r="261" spans="17:45" x14ac:dyDescent="0.15">
      <c r="Q261" s="7">
        <v>258</v>
      </c>
      <c r="R261" s="7">
        <f>[1]节奏总纲!AD261</f>
        <v>80.163274134838829</v>
      </c>
      <c r="S261" s="7">
        <f>[1]节奏总纲!AE261</f>
        <v>82.263691235623583</v>
      </c>
      <c r="T261" s="7">
        <f>[1]节奏总纲!AF261</f>
        <v>85.222864950995231</v>
      </c>
      <c r="U261" s="7">
        <f>[1]节奏总纲!AG261</f>
        <v>90.175615288319776</v>
      </c>
      <c r="V261" s="7">
        <f>[1]节奏总纲!AH261</f>
        <v>99.023313221876677</v>
      </c>
      <c r="AN261" s="7">
        <v>258</v>
      </c>
      <c r="AO261" s="7">
        <f>[1]节奏总纲!BA261</f>
        <v>44.404031962695043</v>
      </c>
      <c r="AP261" s="7">
        <f>[1]节奏总纲!BB261</f>
        <v>45.925034809556202</v>
      </c>
      <c r="AQ261" s="7">
        <f>[1]节奏总纲!BC261</f>
        <v>47.868598006324753</v>
      </c>
      <c r="AR261" s="7">
        <f>[1]节奏总纲!BD261</f>
        <v>50.607674669381879</v>
      </c>
      <c r="AS261" s="7">
        <f>[1]节奏总纲!BE261</f>
        <v>55.31777338999229</v>
      </c>
    </row>
    <row r="262" spans="17:45" x14ac:dyDescent="0.15">
      <c r="Q262" s="7">
        <v>259</v>
      </c>
      <c r="R262" s="7">
        <f>[1]节奏总纲!AD262</f>
        <v>80.217698846451768</v>
      </c>
      <c r="S262" s="7">
        <f>[1]节奏总纲!AE262</f>
        <v>82.318072712565524</v>
      </c>
      <c r="T262" s="7">
        <f>[1]节奏总纲!AF262</f>
        <v>85.277468611782027</v>
      </c>
      <c r="U262" s="7">
        <f>[1]节奏总纲!AG262</f>
        <v>90.23202518434951</v>
      </c>
      <c r="V262" s="7">
        <f>[1]节奏总纲!AH262</f>
        <v>99.081526263999208</v>
      </c>
      <c r="AN262" s="7">
        <v>259</v>
      </c>
      <c r="AO262" s="7">
        <f>[1]节奏总纲!BA262</f>
        <v>44.429887408998944</v>
      </c>
      <c r="AP262" s="7">
        <f>[1]节奏总纲!BB262</f>
        <v>45.952930913583835</v>
      </c>
      <c r="AQ262" s="7">
        <f>[1]节奏总纲!BC262</f>
        <v>47.896314724088612</v>
      </c>
      <c r="AR262" s="7">
        <f>[1]节奏总纲!BD262</f>
        <v>50.634432690931064</v>
      </c>
      <c r="AS262" s="7">
        <f>[1]节奏总纲!BE262</f>
        <v>55.343483211189074</v>
      </c>
    </row>
    <row r="263" spans="17:45" x14ac:dyDescent="0.15">
      <c r="Q263" s="7">
        <v>260</v>
      </c>
      <c r="R263" s="7">
        <f>[1]节奏总纲!AD263</f>
        <v>80.272123558064706</v>
      </c>
      <c r="S263" s="7">
        <f>[1]节奏总纲!AE263</f>
        <v>82.372454189507465</v>
      </c>
      <c r="T263" s="7">
        <f>[1]节奏总纲!AF263</f>
        <v>85.332072272568837</v>
      </c>
      <c r="U263" s="7">
        <f>[1]节奏总纲!AG263</f>
        <v>90.288435080379244</v>
      </c>
      <c r="V263" s="7">
        <f>[1]节奏总纲!AH263</f>
        <v>99.139739306121726</v>
      </c>
      <c r="AN263" s="7">
        <v>260</v>
      </c>
      <c r="AO263" s="7">
        <f>[1]节奏总纲!BA263</f>
        <v>44.455742855302844</v>
      </c>
      <c r="AP263" s="7">
        <f>[1]节奏总纲!BB263</f>
        <v>45.98082701761146</v>
      </c>
      <c r="AQ263" s="7">
        <f>[1]节奏总纲!BC263</f>
        <v>47.92403144185247</v>
      </c>
      <c r="AR263" s="7">
        <f>[1]节奏总纲!BD263</f>
        <v>50.661190712480241</v>
      </c>
      <c r="AS263" s="7">
        <f>[1]节奏总纲!BE263</f>
        <v>55.369193032385866</v>
      </c>
    </row>
    <row r="264" spans="17:45" x14ac:dyDescent="0.15">
      <c r="Q264" s="7">
        <v>261</v>
      </c>
      <c r="R264" s="7">
        <f>[1]节奏总纲!AD264</f>
        <v>80.326548269677644</v>
      </c>
      <c r="S264" s="7">
        <f>[1]节奏总纲!AE264</f>
        <v>82.426835666449392</v>
      </c>
      <c r="T264" s="7">
        <f>[1]节奏总纲!AF264</f>
        <v>85.386675933355633</v>
      </c>
      <c r="U264" s="7">
        <f>[1]节奏总纲!AG264</f>
        <v>90.344844976408993</v>
      </c>
      <c r="V264" s="7">
        <f>[1]节奏总纲!AH264</f>
        <v>99.197952348244257</v>
      </c>
      <c r="AN264" s="7">
        <v>261</v>
      </c>
      <c r="AO264" s="7">
        <f>[1]节奏总纲!BA264</f>
        <v>44.481598301606752</v>
      </c>
      <c r="AP264" s="7">
        <f>[1]节奏总纲!BB264</f>
        <v>46.007529841290832</v>
      </c>
      <c r="AQ264" s="7">
        <f>[1]节奏总纲!BC264</f>
        <v>47.951748159616329</v>
      </c>
      <c r="AR264" s="7">
        <f>[1]节奏总纲!BD264</f>
        <v>50.687948734029419</v>
      </c>
      <c r="AS264" s="7">
        <f>[1]节奏总纲!BE264</f>
        <v>55.39490285358265</v>
      </c>
    </row>
    <row r="265" spans="17:45" x14ac:dyDescent="0.15">
      <c r="Q265" s="7">
        <v>262</v>
      </c>
      <c r="R265" s="7">
        <f>[1]节奏总纲!AD265</f>
        <v>80.380972981290597</v>
      </c>
      <c r="S265" s="7">
        <f>[1]节奏总纲!AE265</f>
        <v>82.481217143391333</v>
      </c>
      <c r="T265" s="7">
        <f>[1]节奏总纲!AF265</f>
        <v>85.441279594142429</v>
      </c>
      <c r="U265" s="7">
        <f>[1]节奏总纲!AG265</f>
        <v>90.401254872438727</v>
      </c>
      <c r="V265" s="7">
        <f>[1]节奏总纲!AH265</f>
        <v>99.256165390366789</v>
      </c>
      <c r="AN265" s="7">
        <v>262</v>
      </c>
      <c r="AO265" s="7">
        <f>[1]节奏总纲!BA265</f>
        <v>44.507453747910652</v>
      </c>
      <c r="AP265" s="7">
        <f>[1]节奏总纲!BB265</f>
        <v>46.031609894814238</v>
      </c>
      <c r="AQ265" s="7">
        <f>[1]节奏总纲!BC265</f>
        <v>47.979464877380188</v>
      </c>
      <c r="AR265" s="7">
        <f>[1]节奏总纲!BD265</f>
        <v>50.714706755578604</v>
      </c>
      <c r="AS265" s="7">
        <f>[1]节奏总纲!BE265</f>
        <v>55.420612674779434</v>
      </c>
    </row>
    <row r="266" spans="17:45" x14ac:dyDescent="0.15">
      <c r="Q266" s="7">
        <v>263</v>
      </c>
      <c r="R266" s="7">
        <f>[1]节奏总纲!AD266</f>
        <v>80.435397692903535</v>
      </c>
      <c r="S266" s="7">
        <f>[1]节奏总纲!AE266</f>
        <v>82.535598620333275</v>
      </c>
      <c r="T266" s="7">
        <f>[1]节奏总纲!AF266</f>
        <v>85.495883254929225</v>
      </c>
      <c r="U266" s="7">
        <f>[1]节奏总纲!AG266</f>
        <v>90.457664768468462</v>
      </c>
      <c r="V266" s="7">
        <f>[1]节奏总纲!AH266</f>
        <v>99.314378432489306</v>
      </c>
      <c r="AN266" s="7">
        <v>263</v>
      </c>
      <c r="AO266" s="7">
        <f>[1]节奏总纲!BA266</f>
        <v>44.533309194214553</v>
      </c>
      <c r="AP266" s="7">
        <f>[1]节奏总纲!BB266</f>
        <v>46.055689948337651</v>
      </c>
      <c r="AQ266" s="7">
        <f>[1]节奏总纲!BC266</f>
        <v>48.006200084618079</v>
      </c>
      <c r="AR266" s="7">
        <f>[1]节奏总纲!BD266</f>
        <v>50.741464777127781</v>
      </c>
      <c r="AS266" s="7">
        <f>[1]节奏总纲!BE266</f>
        <v>55.446322495976226</v>
      </c>
    </row>
    <row r="267" spans="17:45" x14ac:dyDescent="0.15">
      <c r="Q267" s="7">
        <v>264</v>
      </c>
      <c r="R267" s="7">
        <f>[1]节奏总纲!AD267</f>
        <v>80.489822404516474</v>
      </c>
      <c r="S267" s="7">
        <f>[1]节奏总纲!AE267</f>
        <v>82.589980097275202</v>
      </c>
      <c r="T267" s="7">
        <f>[1]节奏总纲!AF267</f>
        <v>85.550486915716021</v>
      </c>
      <c r="U267" s="7">
        <f>[1]节奏总纲!AG267</f>
        <v>90.514074664498196</v>
      </c>
      <c r="V267" s="7">
        <f>[1]节奏总纲!AH267</f>
        <v>99.372591474611838</v>
      </c>
      <c r="AN267" s="7">
        <v>264</v>
      </c>
      <c r="AO267" s="7">
        <f>[1]节奏总纲!BA267</f>
        <v>44.55916464051846</v>
      </c>
      <c r="AP267" s="7">
        <f>[1]节奏总纲!BB267</f>
        <v>46.079770001861057</v>
      </c>
      <c r="AQ267" s="7">
        <f>[1]节奏总纲!BC267</f>
        <v>48.030128751164241</v>
      </c>
      <c r="AR267" s="7">
        <f>[1]节奏总纲!BD267</f>
        <v>50.768222798676959</v>
      </c>
      <c r="AS267" s="7">
        <f>[1]节奏总纲!BE267</f>
        <v>55.47203231717301</v>
      </c>
    </row>
    <row r="268" spans="17:45" x14ac:dyDescent="0.15">
      <c r="Q268" s="7">
        <v>265</v>
      </c>
      <c r="R268" s="7">
        <f>[1]节奏总纲!AD268</f>
        <v>80.544247116129412</v>
      </c>
      <c r="S268" s="7">
        <f>[1]节奏总纲!AE268</f>
        <v>82.644361574217143</v>
      </c>
      <c r="T268" s="7">
        <f>[1]节奏总纲!AF268</f>
        <v>85.605090576502832</v>
      </c>
      <c r="U268" s="7">
        <f>[1]节奏总纲!AG268</f>
        <v>90.57048456052793</v>
      </c>
      <c r="V268" s="7">
        <f>[1]节奏总纲!AH268</f>
        <v>99.430804516734369</v>
      </c>
      <c r="AN268" s="7">
        <v>265</v>
      </c>
      <c r="AO268" s="7">
        <f>[1]节奏总纲!BA268</f>
        <v>44.585020086822361</v>
      </c>
      <c r="AP268" s="7">
        <f>[1]节奏总纲!BB268</f>
        <v>46.10385005538447</v>
      </c>
      <c r="AQ268" s="7">
        <f>[1]节奏总纲!BC268</f>
        <v>48.054057417710396</v>
      </c>
      <c r="AR268" s="7">
        <f>[1]节奏总纲!BD268</f>
        <v>50.794980820226144</v>
      </c>
      <c r="AS268" s="7">
        <f>[1]节奏总纲!BE268</f>
        <v>55.497742138369794</v>
      </c>
    </row>
    <row r="269" spans="17:45" x14ac:dyDescent="0.15">
      <c r="Q269" s="7">
        <v>266</v>
      </c>
      <c r="R269" s="7">
        <f>[1]节奏总纲!AD269</f>
        <v>80.598671827742351</v>
      </c>
      <c r="S269" s="7">
        <f>[1]节奏总纲!AE269</f>
        <v>82.698743051159084</v>
      </c>
      <c r="T269" s="7">
        <f>[1]节奏总纲!AF269</f>
        <v>85.659694237289628</v>
      </c>
      <c r="U269" s="7">
        <f>[1]节奏总纲!AG269</f>
        <v>90.626894456557665</v>
      </c>
      <c r="V269" s="7">
        <f>[1]节奏总纲!AH269</f>
        <v>99.489017558856887</v>
      </c>
      <c r="AN269" s="7">
        <v>266</v>
      </c>
      <c r="AO269" s="7">
        <f>[1]节奏总纲!BA269</f>
        <v>44.610875533126261</v>
      </c>
      <c r="AP269" s="7">
        <f>[1]节奏总纲!BB269</f>
        <v>46.127930108907876</v>
      </c>
      <c r="AQ269" s="7">
        <f>[1]节奏总纲!BC269</f>
        <v>48.077986084256551</v>
      </c>
      <c r="AR269" s="7">
        <f>[1]节奏总纲!BD269</f>
        <v>50.821738841775321</v>
      </c>
      <c r="AS269" s="7">
        <f>[1]节奏总纲!BE269</f>
        <v>55.523451959566586</v>
      </c>
    </row>
    <row r="270" spans="17:45" x14ac:dyDescent="0.15">
      <c r="Q270" s="7">
        <v>267</v>
      </c>
      <c r="R270" s="7">
        <f>[1]节奏总纲!AD270</f>
        <v>80.653096539355303</v>
      </c>
      <c r="S270" s="7">
        <f>[1]节奏总纲!AE270</f>
        <v>82.753124528101011</v>
      </c>
      <c r="T270" s="7">
        <f>[1]节奏总纲!AF270</f>
        <v>85.714297898076424</v>
      </c>
      <c r="U270" s="7">
        <f>[1]节奏总纲!AG270</f>
        <v>90.683304352587413</v>
      </c>
      <c r="V270" s="7">
        <f>[1]节奏总纲!AH270</f>
        <v>99.547230600979418</v>
      </c>
      <c r="AN270" s="7">
        <v>267</v>
      </c>
      <c r="AO270" s="7">
        <f>[1]节奏总纲!BA270</f>
        <v>44.636730979430169</v>
      </c>
      <c r="AP270" s="7">
        <f>[1]节奏总纲!BB270</f>
        <v>46.152010162431289</v>
      </c>
      <c r="AQ270" s="7">
        <f>[1]节奏总纲!BC270</f>
        <v>48.101914750802706</v>
      </c>
      <c r="AR270" s="7">
        <f>[1]节奏总纲!BD270</f>
        <v>50.848496863324499</v>
      </c>
      <c r="AS270" s="7">
        <f>[1]节奏总纲!BE270</f>
        <v>55.54916178076337</v>
      </c>
    </row>
    <row r="271" spans="17:45" x14ac:dyDescent="0.15">
      <c r="Q271" s="7">
        <v>268</v>
      </c>
      <c r="R271" s="7">
        <f>[1]节奏总纲!AD271</f>
        <v>80.707521250968242</v>
      </c>
      <c r="S271" s="7">
        <f>[1]节奏总纲!AE271</f>
        <v>82.807506005042953</v>
      </c>
      <c r="T271" s="7">
        <f>[1]节奏总纲!AF271</f>
        <v>85.76890155886322</v>
      </c>
      <c r="U271" s="7">
        <f>[1]节奏总纲!AG271</f>
        <v>90.739714248617148</v>
      </c>
      <c r="V271" s="7">
        <f>[1]节奏总纲!AH271</f>
        <v>99.605443643101935</v>
      </c>
      <c r="AN271" s="7">
        <v>268</v>
      </c>
      <c r="AO271" s="7">
        <f>[1]节奏总纲!BA271</f>
        <v>44.662586425734069</v>
      </c>
      <c r="AP271" s="7">
        <f>[1]节奏总纲!BB271</f>
        <v>46.176090215954694</v>
      </c>
      <c r="AQ271" s="7">
        <f>[1]节奏总纲!BC271</f>
        <v>48.125843417348868</v>
      </c>
      <c r="AR271" s="7">
        <f>[1]节奏总纲!BD271</f>
        <v>50.875254884873684</v>
      </c>
      <c r="AS271" s="7">
        <f>[1]节奏总纲!BE271</f>
        <v>55.574871601960162</v>
      </c>
    </row>
    <row r="272" spans="17:45" x14ac:dyDescent="0.15">
      <c r="Q272" s="7">
        <v>269</v>
      </c>
      <c r="R272" s="7">
        <f>[1]节奏总纲!AD272</f>
        <v>80.76194596258118</v>
      </c>
      <c r="S272" s="7">
        <f>[1]节奏总纲!AE272</f>
        <v>82.861887481984894</v>
      </c>
      <c r="T272" s="7">
        <f>[1]节奏总纲!AF272</f>
        <v>85.823505219650016</v>
      </c>
      <c r="U272" s="7">
        <f>[1]节奏总纲!AG272</f>
        <v>90.796124144646882</v>
      </c>
      <c r="V272" s="7">
        <f>[1]节奏总纲!AH272</f>
        <v>99.663656685224467</v>
      </c>
      <c r="AN272" s="7">
        <v>269</v>
      </c>
      <c r="AO272" s="7">
        <f>[1]节奏总纲!BA272</f>
        <v>44.68844187203797</v>
      </c>
      <c r="AP272" s="7">
        <f>[1]节奏总纲!BB272</f>
        <v>46.200170269478107</v>
      </c>
      <c r="AQ272" s="7">
        <f>[1]节奏总纲!BC272</f>
        <v>48.149772083895023</v>
      </c>
      <c r="AR272" s="7">
        <f>[1]节奏总纲!BD272</f>
        <v>50.902012906422861</v>
      </c>
      <c r="AS272" s="7">
        <f>[1]节奏总纲!BE272</f>
        <v>55.600581423156946</v>
      </c>
    </row>
    <row r="273" spans="17:45" x14ac:dyDescent="0.15">
      <c r="Q273" s="7">
        <v>270</v>
      </c>
      <c r="R273" s="7">
        <f>[1]节奏总纲!AD273</f>
        <v>80.816370674194118</v>
      </c>
      <c r="S273" s="7">
        <f>[1]节奏总纲!AE273</f>
        <v>82.916268958926821</v>
      </c>
      <c r="T273" s="7">
        <f>[1]节奏总纲!AF273</f>
        <v>85.878108880436827</v>
      </c>
      <c r="U273" s="7">
        <f>[1]节奏总纲!AG273</f>
        <v>90.852534040676616</v>
      </c>
      <c r="V273" s="7">
        <f>[1]节奏总纲!AH273</f>
        <v>99.721869727346999</v>
      </c>
      <c r="AN273" s="7">
        <v>270</v>
      </c>
      <c r="AO273" s="7">
        <f>[1]节奏总纲!BA273</f>
        <v>44.714297318341877</v>
      </c>
      <c r="AP273" s="7">
        <f>[1]节奏总纲!BB273</f>
        <v>46.224250323001513</v>
      </c>
      <c r="AQ273" s="7">
        <f>[1]节奏总纲!BC273</f>
        <v>48.173700750441178</v>
      </c>
      <c r="AR273" s="7">
        <f>[1]节奏总纲!BD273</f>
        <v>50.928770927972039</v>
      </c>
      <c r="AS273" s="7">
        <f>[1]节奏总纲!BE273</f>
        <v>55.62629124435373</v>
      </c>
    </row>
    <row r="274" spans="17:45" x14ac:dyDescent="0.15">
      <c r="Q274" s="7">
        <v>271</v>
      </c>
      <c r="R274" s="7">
        <f>[1]节奏总纲!AD274</f>
        <v>80.870795385807057</v>
      </c>
      <c r="S274" s="7">
        <f>[1]节奏总纲!AE274</f>
        <v>82.970650435868762</v>
      </c>
      <c r="T274" s="7">
        <f>[1]节奏总纲!AF274</f>
        <v>85.932712541223623</v>
      </c>
      <c r="U274" s="7">
        <f>[1]节奏总纲!AG274</f>
        <v>90.908943936706351</v>
      </c>
      <c r="V274" s="7">
        <f>[1]节奏总纲!AH274</f>
        <v>99.780082769469516</v>
      </c>
      <c r="AN274" s="7">
        <v>271</v>
      </c>
      <c r="AO274" s="7">
        <f>[1]节奏总纲!BA274</f>
        <v>44.740152764645778</v>
      </c>
      <c r="AP274" s="7">
        <f>[1]节奏总纲!BB274</f>
        <v>46.248330376524919</v>
      </c>
      <c r="AQ274" s="7">
        <f>[1]节奏总纲!BC274</f>
        <v>48.19762941698734</v>
      </c>
      <c r="AR274" s="7">
        <f>[1]节奏总纲!BD274</f>
        <v>50.955528949521224</v>
      </c>
      <c r="AS274" s="7">
        <f>[1]节奏总纲!BE274</f>
        <v>55.652001065550522</v>
      </c>
    </row>
    <row r="275" spans="17:45" x14ac:dyDescent="0.15">
      <c r="Q275" s="7">
        <v>272</v>
      </c>
      <c r="R275" s="7">
        <f>[1]节奏总纲!AD275</f>
        <v>80.925220097420009</v>
      </c>
      <c r="S275" s="7">
        <f>[1]节奏总纲!AE275</f>
        <v>83.023342162088809</v>
      </c>
      <c r="T275" s="7">
        <f>[1]节奏总纲!AF275</f>
        <v>85.987316202010419</v>
      </c>
      <c r="U275" s="7">
        <f>[1]节奏总纲!AG275</f>
        <v>90.965353832736099</v>
      </c>
      <c r="V275" s="7">
        <f>[1]节奏总纲!AH275</f>
        <v>99.838295811592047</v>
      </c>
      <c r="AN275" s="7">
        <v>272</v>
      </c>
      <c r="AO275" s="7">
        <f>[1]节奏总纲!BA275</f>
        <v>44.766008210949678</v>
      </c>
      <c r="AP275" s="7">
        <f>[1]节奏总纲!BB275</f>
        <v>46.272410430048332</v>
      </c>
      <c r="AQ275" s="7">
        <f>[1]节奏总纲!BC275</f>
        <v>48.221558083533495</v>
      </c>
      <c r="AR275" s="7">
        <f>[1]节奏总纲!BD275</f>
        <v>50.982286971070401</v>
      </c>
      <c r="AS275" s="7">
        <f>[1]节奏总纲!BE275</f>
        <v>55.677710886747306</v>
      </c>
    </row>
    <row r="276" spans="17:45" x14ac:dyDescent="0.15">
      <c r="Q276" s="7">
        <v>273</v>
      </c>
      <c r="R276" s="7">
        <f>[1]节奏总纲!AD276</f>
        <v>80.979644809032948</v>
      </c>
      <c r="S276" s="7">
        <f>[1]节奏总纲!AE276</f>
        <v>83.07405267945947</v>
      </c>
      <c r="T276" s="7">
        <f>[1]节奏总纲!AF276</f>
        <v>86.038061368689995</v>
      </c>
      <c r="U276" s="7">
        <f>[1]节奏总纲!AG276</f>
        <v>91.020352770869948</v>
      </c>
      <c r="V276" s="7">
        <f>[1]节奏总纲!AH276</f>
        <v>99.896508853714579</v>
      </c>
      <c r="AN276" s="7">
        <v>273</v>
      </c>
      <c r="AO276" s="7">
        <f>[1]节奏总纲!BA276</f>
        <v>44.791863657253586</v>
      </c>
      <c r="AP276" s="7">
        <f>[1]节奏总纲!BB276</f>
        <v>46.296490483571738</v>
      </c>
      <c r="AQ276" s="7">
        <f>[1]节奏总纲!BC276</f>
        <v>48.24548675007965</v>
      </c>
      <c r="AR276" s="7">
        <f>[1]节奏总纲!BD276</f>
        <v>51.007810424246486</v>
      </c>
      <c r="AS276" s="7">
        <f>[1]节奏总纲!BE276</f>
        <v>55.703420707944098</v>
      </c>
    </row>
    <row r="277" spans="17:45" x14ac:dyDescent="0.15">
      <c r="Q277" s="7">
        <v>274</v>
      </c>
      <c r="R277" s="7">
        <f>[1]节奏总纲!AD277</f>
        <v>81.031787986768464</v>
      </c>
      <c r="S277" s="7">
        <f>[1]节奏总纲!AE277</f>
        <v>83.124763196830131</v>
      </c>
      <c r="T277" s="7">
        <f>[1]节奏总纲!AF277</f>
        <v>86.087639061133402</v>
      </c>
      <c r="U277" s="7">
        <f>[1]节奏总纲!AG277</f>
        <v>91.073105573528181</v>
      </c>
      <c r="V277" s="7">
        <f>[1]节奏总纲!AH277</f>
        <v>99.954721895837096</v>
      </c>
      <c r="AN277" s="7">
        <v>274</v>
      </c>
      <c r="AO277" s="7">
        <f>[1]节奏总纲!BA277</f>
        <v>44.817719103557486</v>
      </c>
      <c r="AP277" s="7">
        <f>[1]节奏总纲!BB277</f>
        <v>46.320570537095151</v>
      </c>
      <c r="AQ277" s="7">
        <f>[1]节奏总纲!BC277</f>
        <v>48.269415416625804</v>
      </c>
      <c r="AR277" s="7">
        <f>[1]节奏总纲!BD277</f>
        <v>51.030916192165336</v>
      </c>
      <c r="AS277" s="7">
        <f>[1]节奏总纲!BE277</f>
        <v>55.729130529140882</v>
      </c>
    </row>
    <row r="278" spans="17:45" x14ac:dyDescent="0.15">
      <c r="Q278" s="7">
        <v>275</v>
      </c>
      <c r="R278" s="7">
        <f>[1]节奏总纲!AD278</f>
        <v>81.082568038258216</v>
      </c>
      <c r="S278" s="7">
        <f>[1]节奏总纲!AE278</f>
        <v>83.175473714200777</v>
      </c>
      <c r="T278" s="7">
        <f>[1]节奏总纲!AF278</f>
        <v>86.137216753576809</v>
      </c>
      <c r="U278" s="7">
        <f>[1]节奏总纲!AG278</f>
        <v>91.125858376186414</v>
      </c>
      <c r="V278" s="7">
        <f>[1]节奏总纲!AH278</f>
        <v>100.01191770041967</v>
      </c>
      <c r="AN278" s="7">
        <v>275</v>
      </c>
      <c r="AO278" s="7">
        <f>[1]节奏总纲!BA278</f>
        <v>44.843574549861387</v>
      </c>
      <c r="AP278" s="7">
        <f>[1]节奏总纲!BB278</f>
        <v>46.344650590618556</v>
      </c>
      <c r="AQ278" s="7">
        <f>[1]节奏总纲!BC278</f>
        <v>48.293344083171966</v>
      </c>
      <c r="AR278" s="7">
        <f>[1]节奏总纲!BD278</f>
        <v>51.054021960084178</v>
      </c>
      <c r="AS278" s="7">
        <f>[1]节奏总纲!BE278</f>
        <v>55.754840350337666</v>
      </c>
    </row>
    <row r="279" spans="17:45" x14ac:dyDescent="0.15">
      <c r="Q279" s="7">
        <v>276</v>
      </c>
      <c r="R279" s="7">
        <f>[1]节奏总纲!AD279</f>
        <v>81.133348089747955</v>
      </c>
      <c r="S279" s="7">
        <f>[1]节奏总纲!AE279</f>
        <v>83.226184231571438</v>
      </c>
      <c r="T279" s="7">
        <f>[1]节奏总纲!AF279</f>
        <v>86.186794446020215</v>
      </c>
      <c r="U279" s="7">
        <f>[1]节奏总纲!AG279</f>
        <v>91.178611178844633</v>
      </c>
      <c r="V279" s="7">
        <f>[1]节奏总纲!AH279</f>
        <v>100.06555271580974</v>
      </c>
      <c r="AN279" s="7">
        <v>276</v>
      </c>
      <c r="AO279" s="7">
        <f>[1]节奏总纲!BA279</f>
        <v>44.869429996165294</v>
      </c>
      <c r="AP279" s="7">
        <f>[1]节奏总纲!BB279</f>
        <v>46.368730644141969</v>
      </c>
      <c r="AQ279" s="7">
        <f>[1]节奏总纲!BC279</f>
        <v>48.317272749718121</v>
      </c>
      <c r="AR279" s="7">
        <f>[1]节奏总纲!BD279</f>
        <v>51.077127728003028</v>
      </c>
      <c r="AS279" s="7">
        <f>[1]节奏总纲!BE279</f>
        <v>55.780550171534458</v>
      </c>
    </row>
    <row r="280" spans="17:45" x14ac:dyDescent="0.15">
      <c r="Q280" s="7">
        <v>277</v>
      </c>
      <c r="R280" s="7">
        <f>[1]节奏总纲!AD280</f>
        <v>81.184128141237707</v>
      </c>
      <c r="S280" s="7">
        <f>[1]节奏总纲!AE280</f>
        <v>83.276894748942098</v>
      </c>
      <c r="T280" s="7">
        <f>[1]节奏总纲!AF280</f>
        <v>86.236372138463622</v>
      </c>
      <c r="U280" s="7">
        <f>[1]节奏总纲!AG280</f>
        <v>91.231363981502867</v>
      </c>
      <c r="V280" s="7">
        <f>[1]节奏总纲!AH280</f>
        <v>100.11918773119983</v>
      </c>
      <c r="AN280" s="7">
        <v>277</v>
      </c>
      <c r="AO280" s="7">
        <f>[1]节奏总纲!BA280</f>
        <v>44.895285442469195</v>
      </c>
      <c r="AP280" s="7">
        <f>[1]节奏总纲!BB280</f>
        <v>46.392810697665375</v>
      </c>
      <c r="AQ280" s="7">
        <f>[1]节奏总纲!BC280</f>
        <v>48.341201416264276</v>
      </c>
      <c r="AR280" s="7">
        <f>[1]节奏总纲!BD280</f>
        <v>51.10023349592187</v>
      </c>
      <c r="AS280" s="7">
        <f>[1]节奏总纲!BE280</f>
        <v>55.806259992731242</v>
      </c>
    </row>
    <row r="281" spans="17:45" x14ac:dyDescent="0.15">
      <c r="Q281" s="7">
        <v>278</v>
      </c>
      <c r="R281" s="7">
        <f>[1]节奏总纲!AD281</f>
        <v>81.23490819272746</v>
      </c>
      <c r="S281" s="7">
        <f>[1]节奏总纲!AE281</f>
        <v>83.327605266312744</v>
      </c>
      <c r="T281" s="7">
        <f>[1]节奏总纲!AF281</f>
        <v>86.285949830907029</v>
      </c>
      <c r="U281" s="7">
        <f>[1]节奏总纲!AG281</f>
        <v>91.2841167841611</v>
      </c>
      <c r="V281" s="7">
        <f>[1]节奏总纲!AH281</f>
        <v>100.1728227465899</v>
      </c>
      <c r="AN281" s="7">
        <v>278</v>
      </c>
      <c r="AO281" s="7">
        <f>[1]节奏总纲!BA281</f>
        <v>44.921140888773095</v>
      </c>
      <c r="AP281" s="7">
        <f>[1]节奏总纲!BB281</f>
        <v>46.416890751188788</v>
      </c>
      <c r="AQ281" s="7">
        <f>[1]节奏总纲!BC281</f>
        <v>48.365130082810438</v>
      </c>
      <c r="AR281" s="7">
        <f>[1]节奏总纲!BD281</f>
        <v>51.12333926384072</v>
      </c>
      <c r="AS281" s="7">
        <f>[1]节奏总纲!BE281</f>
        <v>55.831969813928033</v>
      </c>
    </row>
    <row r="282" spans="17:45" x14ac:dyDescent="0.15">
      <c r="Q282" s="7">
        <v>279</v>
      </c>
      <c r="R282" s="7">
        <f>[1]节奏总纲!AD282</f>
        <v>81.285688244217212</v>
      </c>
      <c r="S282" s="7">
        <f>[1]节奏总纲!AE282</f>
        <v>83.378315783683405</v>
      </c>
      <c r="T282" s="7">
        <f>[1]节奏总纲!AF282</f>
        <v>86.335527523350422</v>
      </c>
      <c r="U282" s="7">
        <f>[1]节奏总纲!AG282</f>
        <v>91.336869586819319</v>
      </c>
      <c r="V282" s="7">
        <f>[1]节奏总纲!AH282</f>
        <v>100.22645776197997</v>
      </c>
      <c r="AN282" s="7">
        <v>279</v>
      </c>
      <c r="AO282" s="7">
        <f>[1]节奏总纲!BA282</f>
        <v>44.946996335076996</v>
      </c>
      <c r="AP282" s="7">
        <f>[1]节奏总纲!BB282</f>
        <v>46.440970804712194</v>
      </c>
      <c r="AQ282" s="7">
        <f>[1]节奏总纲!BC282</f>
        <v>48.389058749356593</v>
      </c>
      <c r="AR282" s="7">
        <f>[1]节奏总纲!BD282</f>
        <v>51.146445031759569</v>
      </c>
      <c r="AS282" s="7">
        <f>[1]节奏总纲!BE282</f>
        <v>55.857679635124818</v>
      </c>
    </row>
    <row r="283" spans="17:45" x14ac:dyDescent="0.15">
      <c r="Q283" s="7">
        <v>280</v>
      </c>
      <c r="R283" s="7">
        <f>[1]节奏总纲!AD283</f>
        <v>81.336468295706965</v>
      </c>
      <c r="S283" s="7">
        <f>[1]节奏总纲!AE283</f>
        <v>83.429026301054066</v>
      </c>
      <c r="T283" s="7">
        <f>[1]节奏总纲!AF283</f>
        <v>86.385105215793828</v>
      </c>
      <c r="U283" s="7">
        <f>[1]节奏总纲!AG283</f>
        <v>91.389622389477552</v>
      </c>
      <c r="V283" s="7">
        <f>[1]节奏总纲!AH283</f>
        <v>100.28009277737006</v>
      </c>
      <c r="AN283" s="7">
        <v>280</v>
      </c>
      <c r="AO283" s="7">
        <f>[1]节奏总纲!BA283</f>
        <v>44.972851781380903</v>
      </c>
      <c r="AP283" s="7">
        <f>[1]节奏总纲!BB283</f>
        <v>46.465050858235607</v>
      </c>
      <c r="AQ283" s="7">
        <f>[1]节奏总纲!BC283</f>
        <v>48.412987415902748</v>
      </c>
      <c r="AR283" s="7">
        <f>[1]节奏总纲!BD283</f>
        <v>51.169550799678412</v>
      </c>
      <c r="AS283" s="7">
        <f>[1]节奏总纲!BE283</f>
        <v>55.883389456321602</v>
      </c>
    </row>
    <row r="284" spans="17:45" x14ac:dyDescent="0.15">
      <c r="Q284" s="7">
        <v>281</v>
      </c>
      <c r="R284" s="7">
        <f>[1]节奏总纲!AD284</f>
        <v>81.387248347196717</v>
      </c>
      <c r="S284" s="7">
        <f>[1]节奏总纲!AE284</f>
        <v>83.479736818424712</v>
      </c>
      <c r="T284" s="7">
        <f>[1]节奏总纲!AF284</f>
        <v>86.434682908237235</v>
      </c>
      <c r="U284" s="7">
        <f>[1]节奏总纲!AG284</f>
        <v>91.442375192135771</v>
      </c>
      <c r="V284" s="7">
        <f>[1]节奏总纲!AH284</f>
        <v>100.33372779276013</v>
      </c>
      <c r="AN284" s="7">
        <v>281</v>
      </c>
      <c r="AO284" s="7">
        <f>[1]节奏总纲!BA284</f>
        <v>44.998707227684804</v>
      </c>
      <c r="AP284" s="7">
        <f>[1]节奏总纲!BB284</f>
        <v>46.489130911759013</v>
      </c>
      <c r="AQ284" s="7">
        <f>[1]节奏总纲!BC284</f>
        <v>48.43691608244891</v>
      </c>
      <c r="AR284" s="7">
        <f>[1]节奏总纲!BD284</f>
        <v>51.192656567597261</v>
      </c>
      <c r="AS284" s="7">
        <f>[1]节奏总纲!BE284</f>
        <v>55.909099277518393</v>
      </c>
    </row>
    <row r="285" spans="17:45" x14ac:dyDescent="0.15">
      <c r="Q285" s="7">
        <v>282</v>
      </c>
      <c r="R285" s="7">
        <f>[1]节奏总纲!AD285</f>
        <v>81.43802839868647</v>
      </c>
      <c r="S285" s="7">
        <f>[1]节奏总纲!AE285</f>
        <v>83.530447335795373</v>
      </c>
      <c r="T285" s="7">
        <f>[1]节奏总纲!AF285</f>
        <v>86.484260600680642</v>
      </c>
      <c r="U285" s="7">
        <f>[1]节奏总纲!AG285</f>
        <v>91.495127994794004</v>
      </c>
      <c r="V285" s="7">
        <f>[1]节奏总纲!AH285</f>
        <v>100.3873628081502</v>
      </c>
      <c r="AN285" s="7">
        <v>282</v>
      </c>
      <c r="AO285" s="7">
        <f>[1]节奏总纲!BA285</f>
        <v>45.021201039060998</v>
      </c>
      <c r="AP285" s="7">
        <f>[1]节奏总纲!BB285</f>
        <v>46.513210965282425</v>
      </c>
      <c r="AQ285" s="7">
        <f>[1]节奏总纲!BC285</f>
        <v>48.460844748995065</v>
      </c>
      <c r="AR285" s="7">
        <f>[1]节奏总纲!BD285</f>
        <v>51.215762335516104</v>
      </c>
      <c r="AS285" s="7">
        <f>[1]节奏总纲!BE285</f>
        <v>55.934809098715178</v>
      </c>
    </row>
    <row r="286" spans="17:45" x14ac:dyDescent="0.15">
      <c r="Q286" s="7">
        <v>283</v>
      </c>
      <c r="R286" s="7">
        <f>[1]节奏总纲!AD286</f>
        <v>81.488808450176222</v>
      </c>
      <c r="S286" s="7">
        <f>[1]节奏总纲!AE286</f>
        <v>83.581157853166033</v>
      </c>
      <c r="T286" s="7">
        <f>[1]节奏总纲!AF286</f>
        <v>86.533838293124049</v>
      </c>
      <c r="U286" s="7">
        <f>[1]节奏总纲!AG286</f>
        <v>91.547880797452237</v>
      </c>
      <c r="V286" s="7">
        <f>[1]节奏总纲!AH286</f>
        <v>100.44099782354027</v>
      </c>
      <c r="AN286" s="7">
        <v>283</v>
      </c>
      <c r="AO286" s="7">
        <f>[1]节奏总纲!BA286</f>
        <v>45.043517922283101</v>
      </c>
      <c r="AP286" s="7">
        <f>[1]节奏总纲!BB286</f>
        <v>46.537291018805831</v>
      </c>
      <c r="AQ286" s="7">
        <f>[1]节奏总纲!BC286</f>
        <v>48.48477341554122</v>
      </c>
      <c r="AR286" s="7">
        <f>[1]节奏总纲!BD286</f>
        <v>51.238868103434953</v>
      </c>
      <c r="AS286" s="7">
        <f>[1]节奏总纲!BE286</f>
        <v>55.960518919911962</v>
      </c>
    </row>
    <row r="287" spans="17:45" x14ac:dyDescent="0.15">
      <c r="Q287" s="7">
        <v>284</v>
      </c>
      <c r="R287" s="7">
        <f>[1]节奏总纲!AD287</f>
        <v>81.539588501665975</v>
      </c>
      <c r="S287" s="7">
        <f>[1]节奏总纲!AE287</f>
        <v>83.631868370536679</v>
      </c>
      <c r="T287" s="7">
        <f>[1]节奏总纲!AF287</f>
        <v>86.583415985567456</v>
      </c>
      <c r="U287" s="7">
        <f>[1]节奏总纲!AG287</f>
        <v>91.600633600110456</v>
      </c>
      <c r="V287" s="7">
        <f>[1]节奏总纲!AH287</f>
        <v>100.49463283893036</v>
      </c>
      <c r="AN287" s="7">
        <v>284</v>
      </c>
      <c r="AO287" s="7">
        <f>[1]节奏总纲!BA287</f>
        <v>45.065834805505204</v>
      </c>
      <c r="AP287" s="7">
        <f>[1]节奏总纲!BB287</f>
        <v>46.561371072329244</v>
      </c>
      <c r="AQ287" s="7">
        <f>[1]节奏总纲!BC287</f>
        <v>48.508702082087382</v>
      </c>
      <c r="AR287" s="7">
        <f>[1]节奏总纲!BD287</f>
        <v>51.261973871353796</v>
      </c>
      <c r="AS287" s="7">
        <f>[1]节奏总纲!BE287</f>
        <v>55.986228741108754</v>
      </c>
    </row>
    <row r="288" spans="17:45" x14ac:dyDescent="0.15">
      <c r="Q288" s="7">
        <v>285</v>
      </c>
      <c r="R288" s="7">
        <f>[1]节奏总纲!AD288</f>
        <v>81.590368553155727</v>
      </c>
      <c r="S288" s="7">
        <f>[1]节奏总纲!AE288</f>
        <v>83.68257888790734</v>
      </c>
      <c r="T288" s="7">
        <f>[1]节奏总纲!AF288</f>
        <v>86.632993678010848</v>
      </c>
      <c r="U288" s="7">
        <f>[1]节奏总纲!AG288</f>
        <v>91.653386402768689</v>
      </c>
      <c r="V288" s="7">
        <f>[1]节奏总纲!AH288</f>
        <v>100.54826785432043</v>
      </c>
      <c r="AN288" s="7">
        <v>285</v>
      </c>
      <c r="AO288" s="7">
        <f>[1]节奏总纲!BA288</f>
        <v>45.088151688727308</v>
      </c>
      <c r="AP288" s="7">
        <f>[1]节奏总纲!BB288</f>
        <v>46.58545112585265</v>
      </c>
      <c r="AQ288" s="7">
        <f>[1]节奏总纲!BC288</f>
        <v>48.532630748633537</v>
      </c>
      <c r="AR288" s="7">
        <f>[1]节奏总纲!BD288</f>
        <v>51.285079639272645</v>
      </c>
      <c r="AS288" s="7">
        <f>[1]节奏总纲!BE288</f>
        <v>56.010312347085055</v>
      </c>
    </row>
    <row r="289" spans="17:45" x14ac:dyDescent="0.15">
      <c r="Q289" s="7">
        <v>286</v>
      </c>
      <c r="R289" s="7">
        <f>[1]节奏总纲!AD289</f>
        <v>81.64114860464548</v>
      </c>
      <c r="S289" s="7">
        <f>[1]节奏总纲!AE289</f>
        <v>83.733289405278001</v>
      </c>
      <c r="T289" s="7">
        <f>[1]节奏总纲!AF289</f>
        <v>86.682571370454255</v>
      </c>
      <c r="U289" s="7">
        <f>[1]节奏总纲!AG289</f>
        <v>91.706139205426922</v>
      </c>
      <c r="V289" s="7">
        <f>[1]节奏总纲!AH289</f>
        <v>100.6019028697105</v>
      </c>
      <c r="AN289" s="7">
        <v>286</v>
      </c>
      <c r="AO289" s="7">
        <f>[1]节奏总纲!BA289</f>
        <v>45.110468571949411</v>
      </c>
      <c r="AP289" s="7">
        <f>[1]节奏总纲!BB289</f>
        <v>46.609531179376063</v>
      </c>
      <c r="AQ289" s="7">
        <f>[1]节奏总纲!BC289</f>
        <v>48.556559415179692</v>
      </c>
      <c r="AR289" s="7">
        <f>[1]节奏总纲!BD289</f>
        <v>51.308185407191495</v>
      </c>
      <c r="AS289" s="7">
        <f>[1]节奏总纲!BE289</f>
        <v>56.032520096468168</v>
      </c>
    </row>
    <row r="290" spans="17:45" x14ac:dyDescent="0.15">
      <c r="Q290" s="7">
        <v>287</v>
      </c>
      <c r="R290" s="7">
        <f>[1]节奏总纲!AD290</f>
        <v>81.691928656135218</v>
      </c>
      <c r="S290" s="7">
        <f>[1]节奏总纲!AE290</f>
        <v>83.783999922648647</v>
      </c>
      <c r="T290" s="7">
        <f>[1]节奏总纲!AF290</f>
        <v>86.732149062897662</v>
      </c>
      <c r="U290" s="7">
        <f>[1]节奏总纲!AG290</f>
        <v>91.758892008085141</v>
      </c>
      <c r="V290" s="7">
        <f>[1]节奏总纲!AH290</f>
        <v>100.65553788510059</v>
      </c>
      <c r="AN290" s="7">
        <v>287</v>
      </c>
      <c r="AO290" s="7">
        <f>[1]节奏总纲!BA290</f>
        <v>45.132785455171515</v>
      </c>
      <c r="AP290" s="7">
        <f>[1]节奏总纲!BB290</f>
        <v>46.633611232899469</v>
      </c>
      <c r="AQ290" s="7">
        <f>[1]节奏总纲!BC290</f>
        <v>48.580488081725846</v>
      </c>
      <c r="AR290" s="7">
        <f>[1]节奏总纲!BD290</f>
        <v>51.331291175110337</v>
      </c>
      <c r="AS290" s="7">
        <f>[1]节奏总纲!BE290</f>
        <v>56.054727845851275</v>
      </c>
    </row>
    <row r="291" spans="17:45" x14ac:dyDescent="0.15">
      <c r="Q291" s="7">
        <v>288</v>
      </c>
      <c r="R291" s="7">
        <f>[1]节奏总纲!AD291</f>
        <v>81.742708707624971</v>
      </c>
      <c r="S291" s="7">
        <f>[1]节奏总纲!AE291</f>
        <v>83.834710440019307</v>
      </c>
      <c r="T291" s="7">
        <f>[1]节奏总纲!AF291</f>
        <v>86.781726755341069</v>
      </c>
      <c r="U291" s="7">
        <f>[1]节奏总纲!AG291</f>
        <v>91.811644810743374</v>
      </c>
      <c r="V291" s="7">
        <f>[1]节奏总纲!AH291</f>
        <v>100.70917290049066</v>
      </c>
      <c r="AN291" s="7">
        <v>288</v>
      </c>
      <c r="AO291" s="7">
        <f>[1]节奏总纲!BA291</f>
        <v>45.155102338393618</v>
      </c>
      <c r="AP291" s="7">
        <f>[1]节奏总纲!BB291</f>
        <v>46.657691286422882</v>
      </c>
      <c r="AQ291" s="7">
        <f>[1]节奏总纲!BC291</f>
        <v>48.604416748272008</v>
      </c>
      <c r="AR291" s="7">
        <f>[1]节奏总纲!BD291</f>
        <v>51.354396943029187</v>
      </c>
      <c r="AS291" s="7">
        <f>[1]节奏总纲!BE291</f>
        <v>56.076935595234382</v>
      </c>
    </row>
    <row r="292" spans="17:45" x14ac:dyDescent="0.15">
      <c r="Q292" s="7">
        <v>289</v>
      </c>
      <c r="R292" s="7">
        <f>[1]节奏总纲!AD292</f>
        <v>81.793488759114723</v>
      </c>
      <c r="S292" s="7">
        <f>[1]节奏总纲!AE292</f>
        <v>83.885420957389968</v>
      </c>
      <c r="T292" s="7">
        <f>[1]节奏总纲!AF292</f>
        <v>86.831304447784476</v>
      </c>
      <c r="U292" s="7">
        <f>[1]节奏总纲!AG292</f>
        <v>91.864397613401607</v>
      </c>
      <c r="V292" s="7">
        <f>[1]节奏总纲!AH292</f>
        <v>100.76280791588073</v>
      </c>
      <c r="AN292" s="7">
        <v>289</v>
      </c>
      <c r="AO292" s="7">
        <f>[1]节奏总纲!BA292</f>
        <v>45.177419221615722</v>
      </c>
      <c r="AP292" s="7">
        <f>[1]节奏总纲!BB292</f>
        <v>46.681771339946287</v>
      </c>
      <c r="AQ292" s="7">
        <f>[1]节奏总纲!BC292</f>
        <v>48.628345414818163</v>
      </c>
      <c r="AR292" s="7">
        <f>[1]节奏总纲!BD292</f>
        <v>51.377502710948029</v>
      </c>
      <c r="AS292" s="7">
        <f>[1]节奏总纲!BE292</f>
        <v>56.099143344617488</v>
      </c>
    </row>
    <row r="293" spans="17:45" x14ac:dyDescent="0.15">
      <c r="Q293" s="7">
        <v>290</v>
      </c>
      <c r="R293" s="7">
        <f>[1]节奏总纲!AD293</f>
        <v>81.844268810604476</v>
      </c>
      <c r="S293" s="7">
        <f>[1]节奏总纲!AE293</f>
        <v>83.936131474760614</v>
      </c>
      <c r="T293" s="7">
        <f>[1]节奏总纲!AF293</f>
        <v>86.880882140227882</v>
      </c>
      <c r="U293" s="7">
        <f>[1]节奏总纲!AG293</f>
        <v>91.917150416059826</v>
      </c>
      <c r="V293" s="7">
        <f>[1]节奏总纲!AH293</f>
        <v>100.8164429312708</v>
      </c>
      <c r="AN293" s="7">
        <v>290</v>
      </c>
      <c r="AO293" s="7">
        <f>[1]节奏总纲!BA293</f>
        <v>45.199736104837825</v>
      </c>
      <c r="AP293" s="7">
        <f>[1]节奏总纲!BB293</f>
        <v>46.7058513934697</v>
      </c>
      <c r="AQ293" s="7">
        <f>[1]节奏总纲!BC293</f>
        <v>48.652274081364318</v>
      </c>
      <c r="AR293" s="7">
        <f>[1]节奏总纲!BD293</f>
        <v>51.400608478866879</v>
      </c>
      <c r="AS293" s="7">
        <f>[1]节奏总纲!BE293</f>
        <v>56.121351094000602</v>
      </c>
    </row>
    <row r="294" spans="17:45" x14ac:dyDescent="0.15">
      <c r="Q294" s="7">
        <v>291</v>
      </c>
      <c r="R294" s="7">
        <f>[1]节奏总纲!AD294</f>
        <v>81.895048862094228</v>
      </c>
      <c r="S294" s="7">
        <f>[1]节奏总纲!AE294</f>
        <v>83.986841992131275</v>
      </c>
      <c r="T294" s="7">
        <f>[1]节奏总纲!AF294</f>
        <v>86.930459832671289</v>
      </c>
      <c r="U294" s="7">
        <f>[1]节奏总纲!AG294</f>
        <v>91.969903218718059</v>
      </c>
      <c r="V294" s="7">
        <f>[1]节奏总纲!AH294</f>
        <v>100.87007794666089</v>
      </c>
      <c r="AN294" s="7">
        <v>291</v>
      </c>
      <c r="AO294" s="7">
        <f>[1]节奏总纲!BA294</f>
        <v>45.222052988059936</v>
      </c>
      <c r="AP294" s="7">
        <f>[1]节奏总纲!BB294</f>
        <v>46.729931446993106</v>
      </c>
      <c r="AQ294" s="7">
        <f>[1]节奏总纲!BC294</f>
        <v>48.67620274791048</v>
      </c>
      <c r="AR294" s="7">
        <f>[1]节奏总纲!BD294</f>
        <v>51.423714246785721</v>
      </c>
      <c r="AS294" s="7">
        <f>[1]节奏总纲!BE294</f>
        <v>56.143558843383708</v>
      </c>
    </row>
    <row r="295" spans="17:45" x14ac:dyDescent="0.15">
      <c r="Q295" s="7">
        <v>292</v>
      </c>
      <c r="R295" s="7">
        <f>[1]节奏总纲!AD295</f>
        <v>81.945828913583981</v>
      </c>
      <c r="S295" s="7">
        <f>[1]节奏总纲!AE295</f>
        <v>84.036191564035917</v>
      </c>
      <c r="T295" s="7">
        <f>[1]节奏总纲!AF295</f>
        <v>86.980037525114682</v>
      </c>
      <c r="U295" s="7">
        <f>[1]节奏总纲!AG295</f>
        <v>92.021521414287719</v>
      </c>
      <c r="V295" s="7">
        <f>[1]节奏总纲!AH295</f>
        <v>100.92371296205096</v>
      </c>
      <c r="AN295" s="7">
        <v>292</v>
      </c>
      <c r="AO295" s="7">
        <f>[1]节奏总纲!BA295</f>
        <v>45.244369871282039</v>
      </c>
      <c r="AP295" s="7">
        <f>[1]节奏总纲!BB295</f>
        <v>46.754011500516519</v>
      </c>
      <c r="AQ295" s="7">
        <f>[1]节奏总纲!BC295</f>
        <v>48.700131414456635</v>
      </c>
      <c r="AR295" s="7">
        <f>[1]节奏总纲!BD295</f>
        <v>51.446820014704571</v>
      </c>
      <c r="AS295" s="7">
        <f>[1]节奏总纲!BE295</f>
        <v>56.165766592766815</v>
      </c>
    </row>
    <row r="296" spans="17:45" x14ac:dyDescent="0.15">
      <c r="Q296" s="7">
        <v>293</v>
      </c>
      <c r="R296" s="7">
        <f>[1]节奏总纲!AD296</f>
        <v>81.996608965073733</v>
      </c>
      <c r="S296" s="7">
        <f>[1]节奏总纲!AE296</f>
        <v>84.085064274836242</v>
      </c>
      <c r="T296" s="7">
        <f>[1]节奏总纲!AF296</f>
        <v>87.029133791498197</v>
      </c>
      <c r="U296" s="7">
        <f>[1]节奏总纲!AG296</f>
        <v>92.071632371634976</v>
      </c>
      <c r="V296" s="7">
        <f>[1]节奏总纲!AH296</f>
        <v>100.97734797744103</v>
      </c>
      <c r="AN296" s="7">
        <v>293</v>
      </c>
      <c r="AO296" s="7">
        <f>[1]节奏总纲!BA296</f>
        <v>45.266686754504143</v>
      </c>
      <c r="AP296" s="7">
        <f>[1]节奏总纲!BB296</f>
        <v>46.778091554039925</v>
      </c>
      <c r="AQ296" s="7">
        <f>[1]节奏总纲!BC296</f>
        <v>48.72406008100279</v>
      </c>
      <c r="AR296" s="7">
        <f>[1]节奏总纲!BD296</f>
        <v>51.46992578262342</v>
      </c>
      <c r="AS296" s="7">
        <f>[1]节奏总纲!BE296</f>
        <v>56.187974342149921</v>
      </c>
    </row>
    <row r="297" spans="17:45" x14ac:dyDescent="0.15">
      <c r="Q297" s="7">
        <v>294</v>
      </c>
      <c r="R297" s="7">
        <f>[1]节奏总纲!AD297</f>
        <v>82.044215515890215</v>
      </c>
      <c r="S297" s="7">
        <f>[1]节奏总纲!AE297</f>
        <v>84.133936985636566</v>
      </c>
      <c r="T297" s="7">
        <f>[1]节奏总纲!AF297</f>
        <v>87.077905547159801</v>
      </c>
      <c r="U297" s="7">
        <f>[1]节奏总纲!AG297</f>
        <v>92.121743328982234</v>
      </c>
      <c r="V297" s="7">
        <f>[1]节奏总纲!AH297</f>
        <v>101.02868392415382</v>
      </c>
      <c r="AN297" s="7">
        <v>294</v>
      </c>
      <c r="AO297" s="7">
        <f>[1]节奏总纲!BA297</f>
        <v>45.289003637726246</v>
      </c>
      <c r="AP297" s="7">
        <f>[1]节奏总纲!BB297</f>
        <v>46.802171607563338</v>
      </c>
      <c r="AQ297" s="7">
        <f>[1]节奏总纲!BC297</f>
        <v>48.747988747548945</v>
      </c>
      <c r="AR297" s="7">
        <f>[1]节奏总纲!BD297</f>
        <v>51.493031550542263</v>
      </c>
      <c r="AS297" s="7">
        <f>[1]节奏总纲!BE297</f>
        <v>56.210182091533035</v>
      </c>
    </row>
    <row r="298" spans="17:45" x14ac:dyDescent="0.15">
      <c r="Q298" s="7">
        <v>295</v>
      </c>
      <c r="R298" s="7">
        <f>[1]节奏总纲!AD298</f>
        <v>82.091594979242089</v>
      </c>
      <c r="S298" s="7">
        <f>[1]节奏总纲!AE298</f>
        <v>84.182809696436891</v>
      </c>
      <c r="T298" s="7">
        <f>[1]节奏总纲!AF298</f>
        <v>87.126677302821392</v>
      </c>
      <c r="U298" s="7">
        <f>[1]节奏总纲!AG298</f>
        <v>92.171854286329506</v>
      </c>
      <c r="V298" s="7">
        <f>[1]节奏总纲!AH298</f>
        <v>101.07833899530283</v>
      </c>
      <c r="AN298" s="7">
        <v>295</v>
      </c>
      <c r="AO298" s="7">
        <f>[1]节奏总纲!BA298</f>
        <v>45.31132052094835</v>
      </c>
      <c r="AP298" s="7">
        <f>[1]节奏总纲!BB298</f>
        <v>46.826251661086744</v>
      </c>
      <c r="AQ298" s="7">
        <f>[1]节奏总纲!BC298</f>
        <v>48.771917414095107</v>
      </c>
      <c r="AR298" s="7">
        <f>[1]节奏总纲!BD298</f>
        <v>51.516137318461112</v>
      </c>
      <c r="AS298" s="7">
        <f>[1]节奏总纲!BE298</f>
        <v>56.232389840916142</v>
      </c>
    </row>
    <row r="299" spans="17:45" x14ac:dyDescent="0.15">
      <c r="Q299" s="7">
        <v>296</v>
      </c>
      <c r="R299" s="7">
        <f>[1]节奏总纲!AD299</f>
        <v>82.138974442593963</v>
      </c>
      <c r="S299" s="7">
        <f>[1]节奏总纲!AE299</f>
        <v>84.23168240723723</v>
      </c>
      <c r="T299" s="7">
        <f>[1]节奏总纲!AF299</f>
        <v>87.175449058482982</v>
      </c>
      <c r="U299" s="7">
        <f>[1]节奏总纲!AG299</f>
        <v>92.221965243676763</v>
      </c>
      <c r="V299" s="7">
        <f>[1]节奏总纲!AH299</f>
        <v>101.12799406645185</v>
      </c>
      <c r="AN299" s="7">
        <v>296</v>
      </c>
      <c r="AO299" s="7">
        <f>[1]节奏总纲!BA299</f>
        <v>45.333637404170453</v>
      </c>
      <c r="AP299" s="7">
        <f>[1]节奏总纲!BB299</f>
        <v>46.850331714610157</v>
      </c>
      <c r="AQ299" s="7">
        <f>[1]节奏总纲!BC299</f>
        <v>48.795846080641262</v>
      </c>
      <c r="AR299" s="7">
        <f>[1]节奏总纲!BD299</f>
        <v>51.539243086379955</v>
      </c>
      <c r="AS299" s="7">
        <f>[1]节奏总纲!BE299</f>
        <v>56.254597590299248</v>
      </c>
    </row>
    <row r="300" spans="17:45" x14ac:dyDescent="0.15">
      <c r="Q300" s="7">
        <v>297</v>
      </c>
      <c r="R300" s="7">
        <f>[1]节奏总纲!AD300</f>
        <v>82.186353905945836</v>
      </c>
      <c r="S300" s="7">
        <f>[1]节奏总纲!AE300</f>
        <v>84.280555118037555</v>
      </c>
      <c r="T300" s="7">
        <f>[1]节奏总纲!AF300</f>
        <v>87.224220814144587</v>
      </c>
      <c r="U300" s="7">
        <f>[1]节奏总纲!AG300</f>
        <v>92.272076201024021</v>
      </c>
      <c r="V300" s="7">
        <f>[1]节奏总纲!AH300</f>
        <v>101.17764913760085</v>
      </c>
      <c r="AN300" s="7">
        <v>297</v>
      </c>
      <c r="AO300" s="7">
        <f>[1]节奏总纲!BA300</f>
        <v>45.355954287392557</v>
      </c>
      <c r="AP300" s="7">
        <f>[1]节奏总纲!BB300</f>
        <v>46.874411768133562</v>
      </c>
      <c r="AQ300" s="7">
        <f>[1]节奏总纲!BC300</f>
        <v>48.819774747187417</v>
      </c>
      <c r="AR300" s="7">
        <f>[1]节奏总纲!BD300</f>
        <v>51.562348854298804</v>
      </c>
      <c r="AS300" s="7">
        <f>[1]节奏总纲!BE300</f>
        <v>56.276805339682355</v>
      </c>
    </row>
    <row r="301" spans="17:45" x14ac:dyDescent="0.15">
      <c r="Q301" s="7">
        <v>298</v>
      </c>
      <c r="R301" s="7">
        <f>[1]节奏总纲!AD301</f>
        <v>82.23373336929771</v>
      </c>
      <c r="S301" s="7">
        <f>[1]节奏总纲!AE301</f>
        <v>84.329427828837879</v>
      </c>
      <c r="T301" s="7">
        <f>[1]节奏总纲!AF301</f>
        <v>87.272992569806178</v>
      </c>
      <c r="U301" s="7">
        <f>[1]节奏总纲!AG301</f>
        <v>92.322187158371293</v>
      </c>
      <c r="V301" s="7">
        <f>[1]节奏总纲!AH301</f>
        <v>101.22730420874987</v>
      </c>
      <c r="AN301" s="7">
        <v>298</v>
      </c>
      <c r="AO301" s="7">
        <f>[1]节奏总纲!BA301</f>
        <v>45.37827117061466</v>
      </c>
      <c r="AP301" s="7">
        <f>[1]节奏总纲!BB301</f>
        <v>46.898491821656968</v>
      </c>
      <c r="AQ301" s="7">
        <f>[1]节奏总纲!BC301</f>
        <v>48.843703413733579</v>
      </c>
      <c r="AR301" s="7">
        <f>[1]节奏总纲!BD301</f>
        <v>51.585454622217647</v>
      </c>
      <c r="AS301" s="7">
        <f>[1]节奏总纲!BE301</f>
        <v>56.299013089065468</v>
      </c>
    </row>
    <row r="302" spans="17:45" x14ac:dyDescent="0.15">
      <c r="Q302" s="7">
        <v>299</v>
      </c>
      <c r="R302" s="7">
        <f>[1]节奏总纲!AD302</f>
        <v>82.281112832649583</v>
      </c>
      <c r="S302" s="7">
        <f>[1]节奏总纲!AE302</f>
        <v>84.378300539638204</v>
      </c>
      <c r="T302" s="7">
        <f>[1]节奏总纲!AF302</f>
        <v>87.321764325467768</v>
      </c>
      <c r="U302" s="7">
        <f>[1]节奏总纲!AG302</f>
        <v>92.37229811571855</v>
      </c>
      <c r="V302" s="7">
        <f>[1]节奏总纲!AH302</f>
        <v>101.27695927989888</v>
      </c>
      <c r="AN302" s="7">
        <v>299</v>
      </c>
      <c r="AO302" s="7">
        <f>[1]节奏总纲!BA302</f>
        <v>45.400588053836763</v>
      </c>
      <c r="AP302" s="7">
        <f>[1]节奏总纲!BB302</f>
        <v>46.922571875180381</v>
      </c>
      <c r="AQ302" s="7">
        <f>[1]节奏总纲!BC302</f>
        <v>48.867632080279733</v>
      </c>
      <c r="AR302" s="7">
        <f>[1]节奏总纲!BD302</f>
        <v>51.608560390136496</v>
      </c>
      <c r="AS302" s="7">
        <f>[1]节奏总纲!BE302</f>
        <v>56.321220838448575</v>
      </c>
    </row>
    <row r="303" spans="17:45" x14ac:dyDescent="0.15">
      <c r="Q303" s="7">
        <v>300</v>
      </c>
      <c r="R303" s="7">
        <f>[1]节奏总纲!AD303</f>
        <v>82.328492296001457</v>
      </c>
      <c r="S303" s="7">
        <f>[1]节奏总纲!AE303</f>
        <v>84.427173250438543</v>
      </c>
      <c r="T303" s="7">
        <f>[1]节奏总纲!AF303</f>
        <v>87.370536081129359</v>
      </c>
      <c r="U303" s="7">
        <f>[1]节奏总纲!AG303</f>
        <v>92.422409073065808</v>
      </c>
      <c r="V303" s="7">
        <f>[1]节奏总纲!AH303</f>
        <v>101.32661435104789</v>
      </c>
      <c r="AN303" s="7">
        <v>300</v>
      </c>
      <c r="AO303" s="7">
        <f>[1]节奏总纲!BA303</f>
        <v>45.422904937058867</v>
      </c>
      <c r="AP303" s="7">
        <f>[1]节奏总纲!BB303</f>
        <v>46.946651928703787</v>
      </c>
      <c r="AQ303" s="7">
        <f>[1]节奏总纲!BC303</f>
        <v>48.891560746825888</v>
      </c>
      <c r="AR303" s="7">
        <f>[1]节奏总纲!BD303</f>
        <v>51.631666158055346</v>
      </c>
      <c r="AS303" s="7">
        <f>[1]节奏总纲!BE303</f>
        <v>56.343428587831681</v>
      </c>
    </row>
    <row r="304" spans="17:45" x14ac:dyDescent="0.15">
      <c r="Q304" s="7">
        <v>301</v>
      </c>
      <c r="R304" s="7">
        <f>[1]节奏总纲!AD304</f>
        <v>82.375871759353331</v>
      </c>
      <c r="S304" s="7">
        <f>[1]节奏总纲!AE304</f>
        <v>84.476045961238867</v>
      </c>
      <c r="T304" s="7">
        <f>[1]节奏总纲!AF304</f>
        <v>87.419307836790964</v>
      </c>
      <c r="U304" s="7">
        <f>[1]节奏总纲!AG304</f>
        <v>92.472520030413079</v>
      </c>
      <c r="V304" s="7">
        <f>[1]节奏总纲!AH304</f>
        <v>101.3762694221969</v>
      </c>
      <c r="AN304" s="7">
        <v>301</v>
      </c>
      <c r="AO304" s="7">
        <f>[1]节奏总纲!BA304</f>
        <v>45.44522182028097</v>
      </c>
      <c r="AP304" s="7">
        <f>[1]节奏总纲!BB304</f>
        <v>46.9707319822272</v>
      </c>
      <c r="AQ304" s="7">
        <f>[1]节奏总纲!BC304</f>
        <v>48.91548941337205</v>
      </c>
      <c r="AR304" s="7">
        <f>[1]节奏总纲!BD304</f>
        <v>51.654771925974188</v>
      </c>
      <c r="AS304" s="7">
        <f>[1]节奏总纲!BE304</f>
        <v>56.365636337214795</v>
      </c>
    </row>
    <row r="305" spans="17:45" x14ac:dyDescent="0.15">
      <c r="Q305" s="7">
        <v>302</v>
      </c>
      <c r="R305" s="7">
        <f>[1]节奏总纲!AD305</f>
        <v>82.423251222705204</v>
      </c>
      <c r="S305" s="7">
        <f>[1]节奏总纲!AE305</f>
        <v>84.524918672039192</v>
      </c>
      <c r="T305" s="7">
        <f>[1]节奏总纲!AF305</f>
        <v>87.468079592452554</v>
      </c>
      <c r="U305" s="7">
        <f>[1]节奏总纲!AG305</f>
        <v>92.522630987760337</v>
      </c>
      <c r="V305" s="7">
        <f>[1]节奏总纲!AH305</f>
        <v>101.42592449334592</v>
      </c>
      <c r="AN305" s="7">
        <v>302</v>
      </c>
      <c r="AO305" s="7">
        <f>[1]节奏总纲!BA305</f>
        <v>45.467538703503074</v>
      </c>
      <c r="AP305" s="7">
        <f>[1]节奏总纲!BB305</f>
        <v>46.994812035750606</v>
      </c>
      <c r="AQ305" s="7">
        <f>[1]节奏总纲!BC305</f>
        <v>48.939418079918205</v>
      </c>
      <c r="AR305" s="7">
        <f>[1]节奏总纲!BD305</f>
        <v>51.677877693893038</v>
      </c>
      <c r="AS305" s="7">
        <f>[1]节奏总纲!BE305</f>
        <v>56.387844086597902</v>
      </c>
    </row>
    <row r="306" spans="17:45" x14ac:dyDescent="0.15">
      <c r="Q306" s="7">
        <v>303</v>
      </c>
      <c r="R306" s="7">
        <f>[1]节奏总纲!AD306</f>
        <v>82.470630686057078</v>
      </c>
      <c r="S306" s="7">
        <f>[1]节奏总纲!AE306</f>
        <v>84.573791382839516</v>
      </c>
      <c r="T306" s="7">
        <f>[1]节奏总纲!AF306</f>
        <v>87.516851348114145</v>
      </c>
      <c r="U306" s="7">
        <f>[1]节奏总纲!AG306</f>
        <v>92.572741945107595</v>
      </c>
      <c r="V306" s="7">
        <f>[1]节奏总纲!AH306</f>
        <v>101.47557956449492</v>
      </c>
      <c r="AN306" s="7">
        <v>303</v>
      </c>
      <c r="AO306" s="7">
        <f>[1]节奏总纲!BA306</f>
        <v>45.489855586725177</v>
      </c>
      <c r="AP306" s="7">
        <f>[1]节奏总纲!BB306</f>
        <v>47.016308935086101</v>
      </c>
      <c r="AQ306" s="7">
        <f>[1]节奏总纲!BC306</f>
        <v>48.96334674646436</v>
      </c>
      <c r="AR306" s="7">
        <f>[1]节奏总纲!BD306</f>
        <v>51.70098346181188</v>
      </c>
      <c r="AS306" s="7">
        <f>[1]节奏总纲!BE306</f>
        <v>56.410051835981008</v>
      </c>
    </row>
    <row r="307" spans="17:45" x14ac:dyDescent="0.15">
      <c r="Q307" s="7">
        <v>304</v>
      </c>
      <c r="R307" s="7">
        <f>[1]节奏总纲!AD307</f>
        <v>82.518010149408951</v>
      </c>
      <c r="S307" s="7">
        <f>[1]节奏总纲!AE307</f>
        <v>84.622664093639855</v>
      </c>
      <c r="T307" s="7">
        <f>[1]节奏总纲!AF307</f>
        <v>87.565623103775735</v>
      </c>
      <c r="U307" s="7">
        <f>[1]节奏总纲!AG307</f>
        <v>92.622852902454852</v>
      </c>
      <c r="V307" s="7">
        <f>[1]节奏总纲!AH307</f>
        <v>101.52523463564394</v>
      </c>
      <c r="AN307" s="7">
        <v>304</v>
      </c>
      <c r="AO307" s="7">
        <f>[1]节奏总纲!BA307</f>
        <v>45.512172469947281</v>
      </c>
      <c r="AP307" s="7">
        <f>[1]节奏总纲!BB307</f>
        <v>47.037096473408994</v>
      </c>
      <c r="AQ307" s="7">
        <f>[1]节奏总纲!BC307</f>
        <v>48.987275413010522</v>
      </c>
      <c r="AR307" s="7">
        <f>[1]节奏总纲!BD307</f>
        <v>51.72408922973073</v>
      </c>
      <c r="AS307" s="7">
        <f>[1]节奏总纲!BE307</f>
        <v>56.432259585364115</v>
      </c>
    </row>
    <row r="308" spans="17:45" x14ac:dyDescent="0.15">
      <c r="Q308" s="7">
        <v>305</v>
      </c>
      <c r="R308" s="7">
        <f>[1]节奏总纲!AD308</f>
        <v>82.565389612760825</v>
      </c>
      <c r="S308" s="7">
        <f>[1]节奏总纲!AE308</f>
        <v>84.67153680444018</v>
      </c>
      <c r="T308" s="7">
        <f>[1]节奏总纲!AF308</f>
        <v>87.61439485943734</v>
      </c>
      <c r="U308" s="7">
        <f>[1]节奏总纲!AG308</f>
        <v>92.672963859802124</v>
      </c>
      <c r="V308" s="7">
        <f>[1]节奏总纲!AH308</f>
        <v>101.57488970679294</v>
      </c>
      <c r="AN308" s="7">
        <v>305</v>
      </c>
      <c r="AO308" s="7">
        <f>[1]节奏总纲!BA308</f>
        <v>45.534489353169384</v>
      </c>
      <c r="AP308" s="7">
        <f>[1]节奏总纲!BB308</f>
        <v>47.057884011731893</v>
      </c>
      <c r="AQ308" s="7">
        <f>[1]节奏总纲!BC308</f>
        <v>49.009673493801003</v>
      </c>
      <c r="AR308" s="7">
        <f>[1]节奏总纲!BD308</f>
        <v>51.747194997649579</v>
      </c>
      <c r="AS308" s="7">
        <f>[1]节奏总纲!BE308</f>
        <v>56.454467334747228</v>
      </c>
    </row>
    <row r="309" spans="17:45" x14ac:dyDescent="0.15">
      <c r="Q309" s="7">
        <v>306</v>
      </c>
      <c r="R309" s="7">
        <f>[1]节奏总纲!AD309</f>
        <v>82.612769076112698</v>
      </c>
      <c r="S309" s="7">
        <f>[1]节奏总纲!AE309</f>
        <v>84.720409515240505</v>
      </c>
      <c r="T309" s="7">
        <f>[1]节奏总纲!AF309</f>
        <v>87.66316661509893</v>
      </c>
      <c r="U309" s="7">
        <f>[1]节奏总纲!AG309</f>
        <v>92.723074817149381</v>
      </c>
      <c r="V309" s="7">
        <f>[1]节奏总纲!AH309</f>
        <v>101.62454477794196</v>
      </c>
      <c r="AN309" s="7">
        <v>306</v>
      </c>
      <c r="AO309" s="7">
        <f>[1]节奏总纲!BA309</f>
        <v>45.556806236391488</v>
      </c>
      <c r="AP309" s="7">
        <f>[1]节奏总纲!BB309</f>
        <v>47.078671550054786</v>
      </c>
      <c r="AQ309" s="7">
        <f>[1]节奏总纲!BC309</f>
        <v>49.030333272797542</v>
      </c>
      <c r="AR309" s="7">
        <f>[1]节奏总纲!BD309</f>
        <v>51.770300765568422</v>
      </c>
      <c r="AS309" s="7">
        <f>[1]节奏总纲!BE309</f>
        <v>56.476675084130335</v>
      </c>
    </row>
    <row r="310" spans="17:45" x14ac:dyDescent="0.15">
      <c r="Q310" s="7">
        <v>307</v>
      </c>
      <c r="R310" s="7">
        <f>[1]节奏总纲!AD310</f>
        <v>82.660148539464572</v>
      </c>
      <c r="S310" s="7">
        <f>[1]节奏总纲!AE310</f>
        <v>84.769282226040829</v>
      </c>
      <c r="T310" s="7">
        <f>[1]节奏总纲!AF310</f>
        <v>87.711938370760521</v>
      </c>
      <c r="U310" s="7">
        <f>[1]节奏总纲!AG310</f>
        <v>92.773185774496639</v>
      </c>
      <c r="V310" s="7">
        <f>[1]节奏总纲!AH310</f>
        <v>101.67419984909097</v>
      </c>
      <c r="AN310" s="7">
        <v>307</v>
      </c>
      <c r="AO310" s="7">
        <f>[1]节奏总纲!BA310</f>
        <v>45.579123119613591</v>
      </c>
      <c r="AP310" s="7">
        <f>[1]节奏总纲!BB310</f>
        <v>47.099459088377678</v>
      </c>
      <c r="AQ310" s="7">
        <f>[1]节奏总纲!BC310</f>
        <v>49.05099305179408</v>
      </c>
      <c r="AR310" s="7">
        <f>[1]节奏总纲!BD310</f>
        <v>51.793406533487271</v>
      </c>
      <c r="AS310" s="7">
        <f>[1]节奏总纲!BE310</f>
        <v>56.498882833513441</v>
      </c>
    </row>
    <row r="311" spans="17:45" x14ac:dyDescent="0.15">
      <c r="Q311" s="7">
        <v>308</v>
      </c>
      <c r="R311" s="7">
        <f>[1]节奏总纲!AD311</f>
        <v>82.707528002816446</v>
      </c>
      <c r="S311" s="7">
        <f>[1]节奏总纲!AE311</f>
        <v>84.818154936841154</v>
      </c>
      <c r="T311" s="7">
        <f>[1]节奏总纲!AF311</f>
        <v>87.760710126422126</v>
      </c>
      <c r="U311" s="7">
        <f>[1]节奏总纲!AG311</f>
        <v>92.823296731843911</v>
      </c>
      <c r="V311" s="7">
        <f>[1]节奏总纲!AH311</f>
        <v>101.72385492023999</v>
      </c>
      <c r="AN311" s="7">
        <v>308</v>
      </c>
      <c r="AO311" s="7">
        <f>[1]节奏总纲!BA311</f>
        <v>45.601440002835695</v>
      </c>
      <c r="AP311" s="7">
        <f>[1]节奏总纲!BB311</f>
        <v>47.12024662670057</v>
      </c>
      <c r="AQ311" s="7">
        <f>[1]节奏总纲!BC311</f>
        <v>49.071652830790612</v>
      </c>
      <c r="AR311" s="7">
        <f>[1]节奏总纲!BD311</f>
        <v>51.816512301406114</v>
      </c>
      <c r="AS311" s="7">
        <f>[1]节奏总纲!BE311</f>
        <v>56.521090582896548</v>
      </c>
    </row>
    <row r="312" spans="17:45" x14ac:dyDescent="0.15">
      <c r="Q312" s="7">
        <v>309</v>
      </c>
      <c r="R312" s="7">
        <f>[1]节奏总纲!AD312</f>
        <v>82.754907466168319</v>
      </c>
      <c r="S312" s="7">
        <f>[1]节奏总纲!AE312</f>
        <v>84.867027647641493</v>
      </c>
      <c r="T312" s="7">
        <f>[1]节奏总纲!AF312</f>
        <v>87.809481882083716</v>
      </c>
      <c r="U312" s="7">
        <f>[1]节奏总纲!AG312</f>
        <v>92.873407689191168</v>
      </c>
      <c r="V312" s="7">
        <f>[1]节奏总纲!AH312</f>
        <v>101.77350999138899</v>
      </c>
      <c r="AN312" s="7">
        <v>309</v>
      </c>
      <c r="AO312" s="7">
        <f>[1]节奏总纲!BA312</f>
        <v>45.623756886057798</v>
      </c>
      <c r="AP312" s="7">
        <f>[1]节奏总纲!BB312</f>
        <v>47.14103416502347</v>
      </c>
      <c r="AQ312" s="7">
        <f>[1]节奏总纲!BC312</f>
        <v>49.09231260978715</v>
      </c>
      <c r="AR312" s="7">
        <f>[1]节奏总纲!BD312</f>
        <v>51.839618069324963</v>
      </c>
      <c r="AS312" s="7">
        <f>[1]节奏总纲!BE312</f>
        <v>56.543298332279662</v>
      </c>
    </row>
    <row r="313" spans="17:45" x14ac:dyDescent="0.15">
      <c r="Q313" s="7">
        <v>310</v>
      </c>
      <c r="R313" s="7">
        <f>[1]节奏总纲!AD313</f>
        <v>82.802286929520193</v>
      </c>
      <c r="S313" s="7">
        <f>[1]节奏总纲!AE313</f>
        <v>84.915900358441817</v>
      </c>
      <c r="T313" s="7">
        <f>[1]节奏总纲!AF313</f>
        <v>87.858253637745307</v>
      </c>
      <c r="U313" s="7">
        <f>[1]节奏总纲!AG313</f>
        <v>92.923518646538426</v>
      </c>
      <c r="V313" s="7">
        <f>[1]节奏总纲!AH313</f>
        <v>101.82316506253801</v>
      </c>
      <c r="AN313" s="7">
        <v>310</v>
      </c>
      <c r="AO313" s="7">
        <f>[1]节奏总纲!BA313</f>
        <v>45.646073769279901</v>
      </c>
      <c r="AP313" s="7">
        <f>[1]节奏总纲!BB313</f>
        <v>47.161821703346362</v>
      </c>
      <c r="AQ313" s="7">
        <f>[1]节奏总纲!BC313</f>
        <v>49.112972388783689</v>
      </c>
      <c r="AR313" s="7">
        <f>[1]节奏总纲!BD313</f>
        <v>51.862723837243806</v>
      </c>
      <c r="AS313" s="7">
        <f>[1]节奏总纲!BE313</f>
        <v>56.565506081662768</v>
      </c>
    </row>
    <row r="314" spans="17:45" x14ac:dyDescent="0.15">
      <c r="Q314" s="7">
        <v>311</v>
      </c>
      <c r="R314" s="7">
        <f>[1]节奏总纲!AD314</f>
        <v>82.849666392872066</v>
      </c>
      <c r="S314" s="7">
        <f>[1]节奏总纲!AE314</f>
        <v>84.964773069242142</v>
      </c>
      <c r="T314" s="7">
        <f>[1]节奏总纲!AF314</f>
        <v>87.907025393406897</v>
      </c>
      <c r="U314" s="7">
        <f>[1]节奏总纲!AG314</f>
        <v>92.973629603885698</v>
      </c>
      <c r="V314" s="7">
        <f>[1]节奏总纲!AH314</f>
        <v>101.87282013368701</v>
      </c>
      <c r="AN314" s="7">
        <v>311</v>
      </c>
      <c r="AO314" s="7">
        <f>[1]节奏总纲!BA314</f>
        <v>45.668390652502012</v>
      </c>
      <c r="AP314" s="7">
        <f>[1]节奏总纲!BB314</f>
        <v>47.182609241669255</v>
      </c>
      <c r="AQ314" s="7">
        <f>[1]节奏总纲!BC314</f>
        <v>49.133632167780227</v>
      </c>
      <c r="AR314" s="7">
        <f>[1]节奏总纲!BD314</f>
        <v>51.885829605162655</v>
      </c>
      <c r="AS314" s="7">
        <f>[1]节奏总纲!BE314</f>
        <v>56.587713831045875</v>
      </c>
    </row>
    <row r="315" spans="17:45" x14ac:dyDescent="0.15">
      <c r="Q315" s="7">
        <v>312</v>
      </c>
      <c r="R315" s="7">
        <f>[1]节奏总纲!AD315</f>
        <v>82.89704585622394</v>
      </c>
      <c r="S315" s="7">
        <f>[1]节奏总纲!AE315</f>
        <v>85.012531647506819</v>
      </c>
      <c r="T315" s="7">
        <f>[1]节奏总纲!AF315</f>
        <v>87.955797149068502</v>
      </c>
      <c r="U315" s="7">
        <f>[1]节奏总纲!AG315</f>
        <v>93.022367647203353</v>
      </c>
      <c r="V315" s="7">
        <f>[1]节奏总纲!AH315</f>
        <v>101.92247520483603</v>
      </c>
      <c r="AN315" s="7">
        <v>312</v>
      </c>
      <c r="AO315" s="7">
        <f>[1]节奏总纲!BA315</f>
        <v>45.690707535724115</v>
      </c>
      <c r="AP315" s="7">
        <f>[1]节奏总纲!BB315</f>
        <v>47.203396779992147</v>
      </c>
      <c r="AQ315" s="7">
        <f>[1]节奏总纲!BC315</f>
        <v>49.154291946776759</v>
      </c>
      <c r="AR315" s="7">
        <f>[1]节奏总纲!BD315</f>
        <v>51.908935373081505</v>
      </c>
      <c r="AS315" s="7">
        <f>[1]节奏总纲!BE315</f>
        <v>56.609921580428981</v>
      </c>
    </row>
    <row r="316" spans="17:45" x14ac:dyDescent="0.15">
      <c r="Q316" s="7">
        <v>313</v>
      </c>
      <c r="R316" s="7">
        <f>[1]节奏总纲!AD316</f>
        <v>82.944425319575814</v>
      </c>
      <c r="S316" s="7">
        <f>[1]节奏总纲!AE316</f>
        <v>85.057414064088832</v>
      </c>
      <c r="T316" s="7">
        <f>[1]节奏总纲!AF316</f>
        <v>88.004756197276762</v>
      </c>
      <c r="U316" s="7">
        <f>[1]节奏总纲!AG316</f>
        <v>93.069580693431178</v>
      </c>
      <c r="V316" s="7">
        <f>[1]节奏总纲!AH316</f>
        <v>101.97213027598504</v>
      </c>
      <c r="AN316" s="7">
        <v>313</v>
      </c>
      <c r="AO316" s="7">
        <f>[1]节奏总纲!BA316</f>
        <v>45.713024418946219</v>
      </c>
      <c r="AP316" s="7">
        <f>[1]节奏总纲!BB316</f>
        <v>47.224184318315039</v>
      </c>
      <c r="AQ316" s="7">
        <f>[1]节奏总纲!BC316</f>
        <v>49.174951725773298</v>
      </c>
      <c r="AR316" s="7">
        <f>[1]节奏总纲!BD316</f>
        <v>51.932041141000347</v>
      </c>
      <c r="AS316" s="7">
        <f>[1]节奏总纲!BE316</f>
        <v>56.632129329812095</v>
      </c>
    </row>
    <row r="317" spans="17:45" x14ac:dyDescent="0.15">
      <c r="Q317" s="7">
        <v>314</v>
      </c>
      <c r="R317" s="7">
        <f>[1]节奏总纲!AD317</f>
        <v>82.991804782927687</v>
      </c>
      <c r="S317" s="7">
        <f>[1]节奏总纲!AE317</f>
        <v>85.10229648067083</v>
      </c>
      <c r="T317" s="7">
        <f>[1]节奏总纲!AF317</f>
        <v>88.05552724748766</v>
      </c>
      <c r="U317" s="7">
        <f>[1]节奏总纲!AG317</f>
        <v>93.116793739659002</v>
      </c>
      <c r="V317" s="7">
        <f>[1]节奏总纲!AH317</f>
        <v>102.01969836502204</v>
      </c>
      <c r="AN317" s="7">
        <v>314</v>
      </c>
      <c r="AO317" s="7">
        <f>[1]节奏总纲!BA317</f>
        <v>45.735341302168322</v>
      </c>
      <c r="AP317" s="7">
        <f>[1]节奏总纲!BB317</f>
        <v>47.244971856637939</v>
      </c>
      <c r="AQ317" s="7">
        <f>[1]节奏总纲!BC317</f>
        <v>49.195611504769836</v>
      </c>
      <c r="AR317" s="7">
        <f>[1]节奏总纲!BD317</f>
        <v>51.955146908919197</v>
      </c>
      <c r="AS317" s="7">
        <f>[1]节奏总纲!BE317</f>
        <v>56.654337079195201</v>
      </c>
    </row>
    <row r="318" spans="17:45" x14ac:dyDescent="0.15">
      <c r="Q318" s="7">
        <v>315</v>
      </c>
      <c r="R318" s="7">
        <f>[1]节奏总纲!AD318</f>
        <v>83.03656019452734</v>
      </c>
      <c r="S318" s="7">
        <f>[1]节奏总纲!AE318</f>
        <v>85.147178897252829</v>
      </c>
      <c r="T318" s="7">
        <f>[1]节奏总纲!AF318</f>
        <v>88.106298297698572</v>
      </c>
      <c r="U318" s="7">
        <f>[1]节奏总纲!AG318</f>
        <v>93.164006785886826</v>
      </c>
      <c r="V318" s="7">
        <f>[1]节奏总纲!AH318</f>
        <v>102.06459660376342</v>
      </c>
      <c r="AN318" s="7">
        <v>315</v>
      </c>
      <c r="AO318" s="7">
        <f>[1]节奏总纲!BA318</f>
        <v>45.757658185390426</v>
      </c>
      <c r="AP318" s="7">
        <f>[1]节奏总纲!BB318</f>
        <v>47.265759394960831</v>
      </c>
      <c r="AQ318" s="7">
        <f>[1]节奏总纲!BC318</f>
        <v>49.216271283766375</v>
      </c>
      <c r="AR318" s="7">
        <f>[1]节奏总纲!BD318</f>
        <v>51.978252676838039</v>
      </c>
      <c r="AS318" s="7">
        <f>[1]节奏总纲!BE318</f>
        <v>56.676544828578308</v>
      </c>
    </row>
    <row r="319" spans="17:45" x14ac:dyDescent="0.15">
      <c r="Q319" s="7">
        <v>316</v>
      </c>
      <c r="R319" s="7">
        <f>[1]节奏总纲!AD319</f>
        <v>83.080766796955942</v>
      </c>
      <c r="S319" s="7">
        <f>[1]节奏总纲!AE319</f>
        <v>85.192061313834827</v>
      </c>
      <c r="T319" s="7">
        <f>[1]节奏总纲!AF319</f>
        <v>88.15706934790947</v>
      </c>
      <c r="U319" s="7">
        <f>[1]节奏总纲!AG319</f>
        <v>93.211219832114651</v>
      </c>
      <c r="V319" s="7">
        <f>[1]节奏总纲!AH319</f>
        <v>102.1094948425048</v>
      </c>
      <c r="AN319" s="7">
        <v>316</v>
      </c>
      <c r="AO319" s="7">
        <f>[1]节奏总纲!BA319</f>
        <v>45.779975068612529</v>
      </c>
      <c r="AP319" s="7">
        <f>[1]节奏总纲!BB319</f>
        <v>47.286546933283724</v>
      </c>
      <c r="AQ319" s="7">
        <f>[1]节奏总纲!BC319</f>
        <v>49.236931062762913</v>
      </c>
      <c r="AR319" s="7">
        <f>[1]节奏总纲!BD319</f>
        <v>52.001173105835825</v>
      </c>
      <c r="AS319" s="7">
        <f>[1]节奏总纲!BE319</f>
        <v>56.698752577961415</v>
      </c>
    </row>
    <row r="320" spans="17:45" x14ac:dyDescent="0.15">
      <c r="Q320" s="7">
        <v>317</v>
      </c>
      <c r="R320" s="7">
        <f>[1]节奏总纲!AD320</f>
        <v>83.124973399384558</v>
      </c>
      <c r="S320" s="7">
        <f>[1]节奏总纲!AE320</f>
        <v>85.236943730416826</v>
      </c>
      <c r="T320" s="7">
        <f>[1]节奏总纲!AF320</f>
        <v>88.207840398120382</v>
      </c>
      <c r="U320" s="7">
        <f>[1]节奏总纲!AG320</f>
        <v>93.258432878342475</v>
      </c>
      <c r="V320" s="7">
        <f>[1]节奏总纲!AH320</f>
        <v>102.15439308124618</v>
      </c>
      <c r="AN320" s="7">
        <v>317</v>
      </c>
      <c r="AO320" s="7">
        <f>[1]节奏总纲!BA320</f>
        <v>45.802291951834633</v>
      </c>
      <c r="AP320" s="7">
        <f>[1]节奏总纲!BB320</f>
        <v>47.307334471606616</v>
      </c>
      <c r="AQ320" s="7">
        <f>[1]节奏总纲!BC320</f>
        <v>49.257590841759445</v>
      </c>
      <c r="AR320" s="7">
        <f>[1]节奏总纲!BD320</f>
        <v>52.021126446631868</v>
      </c>
      <c r="AS320" s="7">
        <f>[1]节奏总纲!BE320</f>
        <v>56.720960327344528</v>
      </c>
    </row>
    <row r="321" spans="17:45" x14ac:dyDescent="0.15">
      <c r="Q321" s="7">
        <v>318</v>
      </c>
      <c r="R321" s="7">
        <f>[1]节奏总纲!AD321</f>
        <v>83.16918000181316</v>
      </c>
      <c r="S321" s="7">
        <f>[1]节奏总纲!AE321</f>
        <v>85.281826146998839</v>
      </c>
      <c r="T321" s="7">
        <f>[1]节奏总纲!AF321</f>
        <v>88.258611448331294</v>
      </c>
      <c r="U321" s="7">
        <f>[1]节奏总纲!AG321</f>
        <v>93.3056459245703</v>
      </c>
      <c r="V321" s="7">
        <f>[1]节奏总纲!AH321</f>
        <v>102.19929131998755</v>
      </c>
      <c r="AN321" s="7">
        <v>318</v>
      </c>
      <c r="AO321" s="7">
        <f>[1]节奏总纲!BA321</f>
        <v>45.824608835056736</v>
      </c>
      <c r="AP321" s="7">
        <f>[1]节奏总纲!BB321</f>
        <v>47.328122009929508</v>
      </c>
      <c r="AQ321" s="7">
        <f>[1]节奏总纲!BC321</f>
        <v>49.278250620755983</v>
      </c>
      <c r="AR321" s="7">
        <f>[1]节奏总纲!BD321</f>
        <v>52.041079787427918</v>
      </c>
      <c r="AS321" s="7">
        <f>[1]节奏总纲!BE321</f>
        <v>56.743168076727635</v>
      </c>
    </row>
    <row r="322" spans="17:45" x14ac:dyDescent="0.15">
      <c r="Q322" s="7">
        <v>319</v>
      </c>
      <c r="R322" s="7">
        <f>[1]节奏总纲!AD322</f>
        <v>83.213386604241776</v>
      </c>
      <c r="S322" s="7">
        <f>[1]节奏总纲!AE322</f>
        <v>85.326708563580837</v>
      </c>
      <c r="T322" s="7">
        <f>[1]节奏总纲!AF322</f>
        <v>88.309382498542192</v>
      </c>
      <c r="U322" s="7">
        <f>[1]节奏总纲!AG322</f>
        <v>93.352858970798124</v>
      </c>
      <c r="V322" s="7">
        <f>[1]节奏总纲!AH322</f>
        <v>102.24418955872893</v>
      </c>
      <c r="AN322" s="7">
        <v>319</v>
      </c>
      <c r="AO322" s="7">
        <f>[1]节奏总纲!BA322</f>
        <v>45.84692571827884</v>
      </c>
      <c r="AP322" s="7">
        <f>[1]节奏总纲!BB322</f>
        <v>47.348909548252408</v>
      </c>
      <c r="AQ322" s="7">
        <f>[1]节奏总纲!BC322</f>
        <v>49.298910399752522</v>
      </c>
      <c r="AR322" s="7">
        <f>[1]节奏总纲!BD322</f>
        <v>52.061033128223968</v>
      </c>
      <c r="AS322" s="7">
        <f>[1]节奏总纲!BE322</f>
        <v>56.765375826110741</v>
      </c>
    </row>
    <row r="323" spans="17:45" x14ac:dyDescent="0.15">
      <c r="Q323" s="7">
        <v>320</v>
      </c>
      <c r="R323" s="7">
        <f>[1]节奏总纲!AD323</f>
        <v>83.257593206670379</v>
      </c>
      <c r="S323" s="7">
        <f>[1]节奏总纲!AE323</f>
        <v>85.371590980162836</v>
      </c>
      <c r="T323" s="7">
        <f>[1]节奏总纲!AF323</f>
        <v>88.360153548753104</v>
      </c>
      <c r="U323" s="7">
        <f>[1]节奏总纲!AG323</f>
        <v>93.400072017025948</v>
      </c>
      <c r="V323" s="7">
        <f>[1]节奏总纲!AH323</f>
        <v>102.28908779747032</v>
      </c>
      <c r="AN323" s="7">
        <v>320</v>
      </c>
      <c r="AO323" s="7">
        <f>[1]节奏总纲!BA323</f>
        <v>45.869242601500943</v>
      </c>
      <c r="AP323" s="7">
        <f>[1]节奏总纲!BB323</f>
        <v>47.3696970865753</v>
      </c>
      <c r="AQ323" s="7">
        <f>[1]节奏总纲!BC323</f>
        <v>49.319570178749061</v>
      </c>
      <c r="AR323" s="7">
        <f>[1]节奏总纲!BD323</f>
        <v>52.080986469020011</v>
      </c>
      <c r="AS323" s="7">
        <f>[1]节奏总纲!BE323</f>
        <v>56.787583575493848</v>
      </c>
    </row>
    <row r="324" spans="17:45" x14ac:dyDescent="0.15">
      <c r="Q324" s="7">
        <v>321</v>
      </c>
      <c r="R324" s="7">
        <f>[1]节奏总纲!AD324</f>
        <v>83.301799809098995</v>
      </c>
      <c r="S324" s="7">
        <f>[1]节奏总纲!AE324</f>
        <v>85.416473396744834</v>
      </c>
      <c r="T324" s="7">
        <f>[1]节奏总纲!AF324</f>
        <v>88.410924598964016</v>
      </c>
      <c r="U324" s="7">
        <f>[1]节奏总纲!AG324</f>
        <v>93.447285063253773</v>
      </c>
      <c r="V324" s="7">
        <f>[1]节奏总纲!AH324</f>
        <v>102.3339860362117</v>
      </c>
      <c r="AN324" s="7">
        <v>321</v>
      </c>
      <c r="AO324" s="7">
        <f>[1]节奏总纲!BA324</f>
        <v>45.891559484723047</v>
      </c>
      <c r="AP324" s="7">
        <f>[1]节奏总纲!BB324</f>
        <v>47.390484624898193</v>
      </c>
      <c r="AQ324" s="7">
        <f>[1]节奏总纲!BC324</f>
        <v>49.340229957745592</v>
      </c>
      <c r="AR324" s="7">
        <f>[1]节奏总纲!BD324</f>
        <v>52.100939809816062</v>
      </c>
      <c r="AS324" s="7">
        <f>[1]节奏总纲!BE324</f>
        <v>56.809791324876961</v>
      </c>
    </row>
    <row r="325" spans="17:45" x14ac:dyDescent="0.15">
      <c r="Q325" s="7">
        <v>322</v>
      </c>
      <c r="R325" s="7">
        <f>[1]节奏总纲!AD325</f>
        <v>83.346006411527597</v>
      </c>
      <c r="S325" s="7">
        <f>[1]节奏总纲!AE325</f>
        <v>85.461355813326847</v>
      </c>
      <c r="T325" s="7">
        <f>[1]节奏总纲!AF325</f>
        <v>88.461695649174914</v>
      </c>
      <c r="U325" s="7">
        <f>[1]节奏总纲!AG325</f>
        <v>93.494498109481597</v>
      </c>
      <c r="V325" s="7">
        <f>[1]节奏总纲!AH325</f>
        <v>102.37888427495307</v>
      </c>
      <c r="AN325" s="7">
        <v>322</v>
      </c>
      <c r="AO325" s="7">
        <f>[1]节奏总纲!BA325</f>
        <v>45.91387636794515</v>
      </c>
      <c r="AP325" s="7">
        <f>[1]节奏总纲!BB325</f>
        <v>47.411272163221085</v>
      </c>
      <c r="AQ325" s="7">
        <f>[1]节奏总纲!BC325</f>
        <v>49.360889736742131</v>
      </c>
      <c r="AR325" s="7">
        <f>[1]节奏总纲!BD325</f>
        <v>52.120893150612112</v>
      </c>
      <c r="AS325" s="7">
        <f>[1]节奏总纲!BE325</f>
        <v>56.831999074260068</v>
      </c>
    </row>
    <row r="326" spans="17:45" x14ac:dyDescent="0.15">
      <c r="Q326" s="7">
        <v>323</v>
      </c>
      <c r="R326" s="7">
        <f>[1]节奏总纲!AD326</f>
        <v>83.390213013956213</v>
      </c>
      <c r="S326" s="7">
        <f>[1]节奏总纲!AE326</f>
        <v>85.506238229908845</v>
      </c>
      <c r="T326" s="7">
        <f>[1]节奏总纲!AF326</f>
        <v>88.512466699385826</v>
      </c>
      <c r="U326" s="7">
        <f>[1]节奏总纲!AG326</f>
        <v>93.541711155709422</v>
      </c>
      <c r="V326" s="7">
        <f>[1]节奏总纲!AH326</f>
        <v>102.42378251369445</v>
      </c>
      <c r="AN326" s="7">
        <v>323</v>
      </c>
      <c r="AO326" s="7">
        <f>[1]节奏总纲!BA326</f>
        <v>45.936193251167253</v>
      </c>
      <c r="AP326" s="7">
        <f>[1]节奏总纲!BB326</f>
        <v>47.432059701543984</v>
      </c>
      <c r="AQ326" s="7">
        <f>[1]节奏总纲!BC326</f>
        <v>49.381549515738669</v>
      </c>
      <c r="AR326" s="7">
        <f>[1]节奏总纲!BD326</f>
        <v>52.140846491408155</v>
      </c>
      <c r="AS326" s="7">
        <f>[1]节奏总纲!BE326</f>
        <v>56.854206823643175</v>
      </c>
    </row>
    <row r="327" spans="17:45" x14ac:dyDescent="0.15">
      <c r="Q327" s="7">
        <v>324</v>
      </c>
      <c r="R327" s="7">
        <f>[1]节奏总纲!AD327</f>
        <v>83.434419616384815</v>
      </c>
      <c r="S327" s="7">
        <f>[1]节奏总纲!AE327</f>
        <v>85.551120646490844</v>
      </c>
      <c r="T327" s="7">
        <f>[1]节奏总纲!AF327</f>
        <v>88.563237749596723</v>
      </c>
      <c r="U327" s="7">
        <f>[1]节奏总纲!AG327</f>
        <v>93.588924201937246</v>
      </c>
      <c r="V327" s="7">
        <f>[1]节奏总纲!AH327</f>
        <v>102.46868075243583</v>
      </c>
      <c r="AN327" s="7">
        <v>324</v>
      </c>
      <c r="AO327" s="7">
        <f>[1]节奏总纲!BA327</f>
        <v>45.958510134389357</v>
      </c>
      <c r="AP327" s="7">
        <f>[1]节奏总纲!BB327</f>
        <v>47.452847239866877</v>
      </c>
      <c r="AQ327" s="7">
        <f>[1]节奏总纲!BC327</f>
        <v>49.402209294735208</v>
      </c>
      <c r="AR327" s="7">
        <f>[1]节奏总纲!BD327</f>
        <v>52.160799832204205</v>
      </c>
      <c r="AS327" s="7">
        <f>[1]节奏总纲!BE327</f>
        <v>56.876414573026281</v>
      </c>
    </row>
    <row r="328" spans="17:45" x14ac:dyDescent="0.15">
      <c r="Q328" s="7">
        <v>325</v>
      </c>
      <c r="R328" s="7">
        <f>[1]节奏总纲!AD328</f>
        <v>83.478626218813432</v>
      </c>
      <c r="S328" s="7">
        <f>[1]节奏总纲!AE328</f>
        <v>85.596003063072843</v>
      </c>
      <c r="T328" s="7">
        <f>[1]节奏总纲!AF328</f>
        <v>88.614008799807635</v>
      </c>
      <c r="U328" s="7">
        <f>[1]节奏总纲!AG328</f>
        <v>93.63613724816507</v>
      </c>
      <c r="V328" s="7">
        <f>[1]节奏总纲!AH328</f>
        <v>102.51357899117721</v>
      </c>
      <c r="AN328" s="7">
        <v>325</v>
      </c>
      <c r="AO328" s="7">
        <f>[1]节奏总纲!BA328</f>
        <v>45.98082701761146</v>
      </c>
      <c r="AP328" s="7">
        <f>[1]节奏总纲!BB328</f>
        <v>47.473634778189769</v>
      </c>
      <c r="AQ328" s="7">
        <f>[1]节奏总纲!BC328</f>
        <v>49.422869073731739</v>
      </c>
      <c r="AR328" s="7">
        <f>[1]节奏总纲!BD328</f>
        <v>52.180753173000248</v>
      </c>
      <c r="AS328" s="7">
        <f>[1]节奏总纲!BE328</f>
        <v>56.898622322409395</v>
      </c>
    </row>
    <row r="329" spans="17:45" x14ac:dyDescent="0.15">
      <c r="Q329" s="7">
        <v>326</v>
      </c>
      <c r="R329" s="7">
        <f>[1]节奏总纲!AD329</f>
        <v>83.522832821242034</v>
      </c>
      <c r="S329" s="7">
        <f>[1]节奏总纲!AE329</f>
        <v>85.640885479654855</v>
      </c>
      <c r="T329" s="7">
        <f>[1]节奏总纲!AF329</f>
        <v>88.664779850018547</v>
      </c>
      <c r="U329" s="7">
        <f>[1]节奏总纲!AG329</f>
        <v>93.683350294392895</v>
      </c>
      <c r="V329" s="7">
        <f>[1]节奏总纲!AH329</f>
        <v>102.55847722991859</v>
      </c>
      <c r="AN329" s="7">
        <v>326</v>
      </c>
      <c r="AO329" s="7">
        <f>[1]节奏总纲!BA329</f>
        <v>46.002713830586146</v>
      </c>
      <c r="AP329" s="7">
        <f>[1]节奏总纲!BB329</f>
        <v>47.494422316512662</v>
      </c>
      <c r="AQ329" s="7">
        <f>[1]节奏总纲!BC329</f>
        <v>49.443528852728278</v>
      </c>
      <c r="AR329" s="7">
        <f>[1]节奏总纲!BD329</f>
        <v>52.200706513796298</v>
      </c>
      <c r="AS329" s="7">
        <f>[1]节奏总纲!BE329</f>
        <v>56.920830071792501</v>
      </c>
    </row>
    <row r="330" spans="17:45" x14ac:dyDescent="0.15">
      <c r="Q330" s="7">
        <v>327</v>
      </c>
      <c r="R330" s="7">
        <f>[1]节奏总纲!AD330</f>
        <v>83.56703942367065</v>
      </c>
      <c r="S330" s="7">
        <f>[1]节奏总纲!AE330</f>
        <v>85.685767896236854</v>
      </c>
      <c r="T330" s="7">
        <f>[1]节奏总纲!AF330</f>
        <v>88.715550900229445</v>
      </c>
      <c r="U330" s="7">
        <f>[1]节奏总纲!AG330</f>
        <v>93.730563340620719</v>
      </c>
      <c r="V330" s="7">
        <f>[1]节奏总纲!AH330</f>
        <v>102.60337546865996</v>
      </c>
      <c r="AN330" s="7">
        <v>327</v>
      </c>
      <c r="AO330" s="7">
        <f>[1]节奏总纲!BA330</f>
        <v>46.021977873404879</v>
      </c>
      <c r="AP330" s="7">
        <f>[1]节奏总纲!BB330</f>
        <v>47.515209854835554</v>
      </c>
      <c r="AQ330" s="7">
        <f>[1]节奏总纲!BC330</f>
        <v>49.464188631724817</v>
      </c>
      <c r="AR330" s="7">
        <f>[1]节奏总纲!BD330</f>
        <v>52.220659854592348</v>
      </c>
      <c r="AS330" s="7">
        <f>[1]节奏总纲!BE330</f>
        <v>56.943037821175608</v>
      </c>
    </row>
    <row r="331" spans="17:45" x14ac:dyDescent="0.15">
      <c r="Q331" s="7">
        <v>328</v>
      </c>
      <c r="R331" s="7">
        <f>[1]节奏总纲!AD331</f>
        <v>83.611246026099252</v>
      </c>
      <c r="S331" s="7">
        <f>[1]节奏总纲!AE331</f>
        <v>85.730650312818852</v>
      </c>
      <c r="T331" s="7">
        <f>[1]节奏总纲!AF331</f>
        <v>88.766321950440357</v>
      </c>
      <c r="U331" s="7">
        <f>[1]节奏总纲!AG331</f>
        <v>93.777776386848544</v>
      </c>
      <c r="V331" s="7">
        <f>[1]节奏总纲!AH331</f>
        <v>102.64827370740134</v>
      </c>
      <c r="AN331" s="7">
        <v>328</v>
      </c>
      <c r="AO331" s="7">
        <f>[1]节奏总纲!BA331</f>
        <v>46.041241916223605</v>
      </c>
      <c r="AP331" s="7">
        <f>[1]节奏总纲!BB331</f>
        <v>47.535997393158453</v>
      </c>
      <c r="AQ331" s="7">
        <f>[1]节奏总纲!BC331</f>
        <v>49.484848410721355</v>
      </c>
      <c r="AR331" s="7">
        <f>[1]节奏总纲!BD331</f>
        <v>52.240613195388391</v>
      </c>
      <c r="AS331" s="7">
        <f>[1]节奏总纲!BE331</f>
        <v>56.965245570558714</v>
      </c>
    </row>
    <row r="332" spans="17:45" x14ac:dyDescent="0.15">
      <c r="Q332" s="7">
        <v>329</v>
      </c>
      <c r="R332" s="7">
        <f>[1]节奏总纲!AD332</f>
        <v>83.655452628527868</v>
      </c>
      <c r="S332" s="7">
        <f>[1]节奏总纲!AE332</f>
        <v>85.775532729400851</v>
      </c>
      <c r="T332" s="7">
        <f>[1]节奏总纲!AF332</f>
        <v>88.817093000651269</v>
      </c>
      <c r="U332" s="7">
        <f>[1]节奏总纲!AG332</f>
        <v>93.824989433076368</v>
      </c>
      <c r="V332" s="7">
        <f>[1]节奏总纲!AH332</f>
        <v>102.69317194614273</v>
      </c>
      <c r="AN332" s="7">
        <v>329</v>
      </c>
      <c r="AO332" s="7">
        <f>[1]节奏总纲!BA332</f>
        <v>46.060505959042331</v>
      </c>
      <c r="AP332" s="7">
        <f>[1]节奏总纲!BB332</f>
        <v>47.556784931481346</v>
      </c>
      <c r="AQ332" s="7">
        <f>[1]节奏总纲!BC332</f>
        <v>49.505508189717887</v>
      </c>
      <c r="AR332" s="7">
        <f>[1]节奏总纲!BD332</f>
        <v>52.260566536184442</v>
      </c>
      <c r="AS332" s="7">
        <f>[1]节奏总纲!BE332</f>
        <v>56.987453319941828</v>
      </c>
    </row>
    <row r="333" spans="17:45" x14ac:dyDescent="0.15">
      <c r="Q333" s="7">
        <v>330</v>
      </c>
      <c r="R333" s="7">
        <f>[1]节奏总纲!AD333</f>
        <v>83.69965923095647</v>
      </c>
      <c r="S333" s="7">
        <f>[1]节奏总纲!AE333</f>
        <v>85.820415145982849</v>
      </c>
      <c r="T333" s="7">
        <f>[1]节奏总纲!AF333</f>
        <v>88.867864050862167</v>
      </c>
      <c r="U333" s="7">
        <f>[1]节奏总纲!AG333</f>
        <v>93.872202479304192</v>
      </c>
      <c r="V333" s="7">
        <f>[1]节奏总纲!AH333</f>
        <v>102.73807018488411</v>
      </c>
      <c r="AN333" s="7">
        <v>330</v>
      </c>
      <c r="AO333" s="7">
        <f>[1]节奏总纲!BA333</f>
        <v>46.079770001861057</v>
      </c>
      <c r="AP333" s="7">
        <f>[1]节奏总纲!BB333</f>
        <v>47.577572469804238</v>
      </c>
      <c r="AQ333" s="7">
        <f>[1]节奏总纲!BC333</f>
        <v>49.526167968714425</v>
      </c>
      <c r="AR333" s="7">
        <f>[1]节奏总纲!BD333</f>
        <v>52.280519876980485</v>
      </c>
      <c r="AS333" s="7">
        <f>[1]节奏总纲!BE333</f>
        <v>57.008345591208631</v>
      </c>
    </row>
    <row r="334" spans="17:45" x14ac:dyDescent="0.15">
      <c r="Q334" s="7">
        <v>331</v>
      </c>
      <c r="R334" s="7">
        <f>[1]节奏总纲!AD334</f>
        <v>83.743865833385087</v>
      </c>
      <c r="S334" s="7">
        <f>[1]节奏总纲!AE334</f>
        <v>85.865297562564862</v>
      </c>
      <c r="T334" s="7">
        <f>[1]节奏总纲!AF334</f>
        <v>88.918635101073079</v>
      </c>
      <c r="U334" s="7">
        <f>[1]节奏总纲!AG334</f>
        <v>93.919415525532017</v>
      </c>
      <c r="V334" s="7">
        <f>[1]节奏总纲!AH334</f>
        <v>102.78296842362549</v>
      </c>
      <c r="AN334" s="7">
        <v>331</v>
      </c>
      <c r="AO334" s="7">
        <f>[1]节奏总纲!BA334</f>
        <v>46.099034044679783</v>
      </c>
      <c r="AP334" s="7">
        <f>[1]节奏总纲!BB334</f>
        <v>47.598360008127131</v>
      </c>
      <c r="AQ334" s="7">
        <f>[1]节奏总纲!BC334</f>
        <v>49.546827747710964</v>
      </c>
      <c r="AR334" s="7">
        <f>[1]节奏总纲!BD334</f>
        <v>52.300473217776535</v>
      </c>
      <c r="AS334" s="7">
        <f>[1]节奏总纲!BE334</f>
        <v>57.027529471561998</v>
      </c>
    </row>
    <row r="335" spans="17:45" x14ac:dyDescent="0.15">
      <c r="Q335" s="7">
        <v>332</v>
      </c>
      <c r="R335" s="7">
        <f>[1]节奏总纲!AD335</f>
        <v>83.788072435813689</v>
      </c>
      <c r="S335" s="7">
        <f>[1]节奏总纲!AE335</f>
        <v>85.910179979146861</v>
      </c>
      <c r="T335" s="7">
        <f>[1]节奏总纲!AF335</f>
        <v>88.969406151283977</v>
      </c>
      <c r="U335" s="7">
        <f>[1]节奏总纲!AG335</f>
        <v>93.966628571759841</v>
      </c>
      <c r="V335" s="7">
        <f>[1]节奏总纲!AH335</f>
        <v>102.82786666236686</v>
      </c>
      <c r="AN335" s="7">
        <v>332</v>
      </c>
      <c r="AO335" s="7">
        <f>[1]节奏总纲!BA335</f>
        <v>46.118298087498509</v>
      </c>
      <c r="AP335" s="7">
        <f>[1]节奏总纲!BB335</f>
        <v>47.619147546450023</v>
      </c>
      <c r="AQ335" s="7">
        <f>[1]节奏总纲!BC335</f>
        <v>49.567487526707502</v>
      </c>
      <c r="AR335" s="7">
        <f>[1]节奏总纲!BD335</f>
        <v>52.320426558572585</v>
      </c>
      <c r="AS335" s="7">
        <f>[1]节奏总纲!BE335</f>
        <v>57.046713351915365</v>
      </c>
    </row>
    <row r="336" spans="17:45" x14ac:dyDescent="0.15">
      <c r="Q336" s="7">
        <v>333</v>
      </c>
      <c r="R336" s="7">
        <f>[1]节奏总纲!AD336</f>
        <v>83.832279038242305</v>
      </c>
      <c r="S336" s="7">
        <f>[1]节奏总纲!AE336</f>
        <v>85.955062395728859</v>
      </c>
      <c r="T336" s="7">
        <f>[1]节奏总纲!AF336</f>
        <v>89.018466905731287</v>
      </c>
      <c r="U336" s="7">
        <f>[1]节奏总纲!AG336</f>
        <v>94.012923283729691</v>
      </c>
      <c r="V336" s="7">
        <f>[1]节奏总纲!AH336</f>
        <v>102.87276490110824</v>
      </c>
      <c r="AN336" s="7">
        <v>333</v>
      </c>
      <c r="AO336" s="7">
        <f>[1]节奏总纲!BA336</f>
        <v>46.137562130317242</v>
      </c>
      <c r="AP336" s="7">
        <f>[1]节奏总纲!BB336</f>
        <v>47.639935084772922</v>
      </c>
      <c r="AQ336" s="7">
        <f>[1]节奏总纲!BC336</f>
        <v>49.588147305704041</v>
      </c>
      <c r="AR336" s="7">
        <f>[1]节奏总纲!BD336</f>
        <v>52.340379899368628</v>
      </c>
      <c r="AS336" s="7">
        <f>[1]节奏总纲!BE336</f>
        <v>57.065897232268732</v>
      </c>
    </row>
    <row r="337" spans="17:45" x14ac:dyDescent="0.15">
      <c r="Q337" s="7">
        <v>334</v>
      </c>
      <c r="R337" s="7">
        <f>[1]节奏总纲!AD337</f>
        <v>83.876485640670907</v>
      </c>
      <c r="S337" s="7">
        <f>[1]节奏总纲!AE337</f>
        <v>85.999944812310858</v>
      </c>
      <c r="T337" s="7">
        <f>[1]节奏总纲!AF337</f>
        <v>89.064934410075779</v>
      </c>
      <c r="U337" s="7">
        <f>[1]节奏总纲!AG337</f>
        <v>94.057003939090123</v>
      </c>
      <c r="V337" s="7">
        <f>[1]节奏总纲!AH337</f>
        <v>102.91766313984962</v>
      </c>
      <c r="AN337" s="7">
        <v>334</v>
      </c>
      <c r="AO337" s="7">
        <f>[1]节奏总纲!BA337</f>
        <v>46.156826173135968</v>
      </c>
      <c r="AP337" s="7">
        <f>[1]节奏总纲!BB337</f>
        <v>47.660722623095815</v>
      </c>
      <c r="AQ337" s="7">
        <f>[1]节奏总纲!BC337</f>
        <v>49.608807084700572</v>
      </c>
      <c r="AR337" s="7">
        <f>[1]节奏总纲!BD337</f>
        <v>52.360333240164678</v>
      </c>
      <c r="AS337" s="7">
        <f>[1]节奏总纲!BE337</f>
        <v>57.085081112622099</v>
      </c>
    </row>
    <row r="338" spans="17:45" x14ac:dyDescent="0.15">
      <c r="Q338" s="7">
        <v>335</v>
      </c>
      <c r="R338" s="7">
        <f>[1]节奏总纲!AD338</f>
        <v>83.920692243099523</v>
      </c>
      <c r="S338" s="7">
        <f>[1]节奏总纲!AE338</f>
        <v>86.041129946887025</v>
      </c>
      <c r="T338" s="7">
        <f>[1]节奏总纲!AF338</f>
        <v>89.11140191442027</v>
      </c>
      <c r="U338" s="7">
        <f>[1]节奏总纲!AG338</f>
        <v>94.101084594450555</v>
      </c>
      <c r="V338" s="7">
        <f>[1]节奏总纲!AH338</f>
        <v>102.962561378591</v>
      </c>
      <c r="AN338" s="7">
        <v>335</v>
      </c>
      <c r="AO338" s="7">
        <f>[1]节奏总纲!BA338</f>
        <v>46.176090215954694</v>
      </c>
      <c r="AP338" s="7">
        <f>[1]节奏总纲!BB338</f>
        <v>47.681510161418707</v>
      </c>
      <c r="AQ338" s="7">
        <f>[1]节奏总纲!BC338</f>
        <v>49.629466863697111</v>
      </c>
      <c r="AR338" s="7">
        <f>[1]节奏总纲!BD338</f>
        <v>52.380286580960728</v>
      </c>
      <c r="AS338" s="7">
        <f>[1]节奏总纲!BE338</f>
        <v>57.104264992975466</v>
      </c>
    </row>
    <row r="339" spans="17:45" x14ac:dyDescent="0.15">
      <c r="Q339" s="7">
        <v>336</v>
      </c>
      <c r="R339" s="7">
        <f>[1]节奏总纲!AD339</f>
        <v>83.964898845528126</v>
      </c>
      <c r="S339" s="7">
        <f>[1]节奏总纲!AE339</f>
        <v>86.082310529666103</v>
      </c>
      <c r="T339" s="7">
        <f>[1]节奏总纲!AF339</f>
        <v>89.157869418764761</v>
      </c>
      <c r="U339" s="7">
        <f>[1]节奏总纲!AG339</f>
        <v>94.145165249810972</v>
      </c>
      <c r="V339" s="7">
        <f>[1]节奏总纲!AH339</f>
        <v>103.00673656424885</v>
      </c>
      <c r="AN339" s="7">
        <v>336</v>
      </c>
      <c r="AO339" s="7">
        <f>[1]节奏总纲!BA339</f>
        <v>46.19535425877342</v>
      </c>
      <c r="AP339" s="7">
        <f>[1]节奏总纲!BB339</f>
        <v>47.7022976997416</v>
      </c>
      <c r="AQ339" s="7">
        <f>[1]节奏总纲!BC339</f>
        <v>49.65012664269365</v>
      </c>
      <c r="AR339" s="7">
        <f>[1]节奏总纲!BD339</f>
        <v>52.400239921756771</v>
      </c>
      <c r="AS339" s="7">
        <f>[1]节奏总纲!BE339</f>
        <v>57.123448873328833</v>
      </c>
    </row>
    <row r="340" spans="17:45" x14ac:dyDescent="0.15">
      <c r="Q340" s="7">
        <v>337</v>
      </c>
      <c r="R340" s="7">
        <f>[1]节奏总纲!AD340</f>
        <v>84.008495683346354</v>
      </c>
      <c r="S340" s="7">
        <f>[1]节奏总纲!AE340</f>
        <v>86.12349111244518</v>
      </c>
      <c r="T340" s="7">
        <f>[1]节奏总纲!AF340</f>
        <v>89.204336923109267</v>
      </c>
      <c r="U340" s="7">
        <f>[1]节奏总纲!AG340</f>
        <v>94.189245905171404</v>
      </c>
      <c r="V340" s="7">
        <f>[1]节奏总纲!AH340</f>
        <v>103.04728286259964</v>
      </c>
      <c r="AN340" s="7">
        <v>337</v>
      </c>
      <c r="AO340" s="7">
        <f>[1]节奏总纲!BA340</f>
        <v>46.214618301592147</v>
      </c>
      <c r="AP340" s="7">
        <f>[1]节奏总纲!BB340</f>
        <v>47.723085238064499</v>
      </c>
      <c r="AQ340" s="7">
        <f>[1]节奏总纲!BC340</f>
        <v>49.670786421690188</v>
      </c>
      <c r="AR340" s="7">
        <f>[1]节奏总纲!BD340</f>
        <v>52.420193262552822</v>
      </c>
      <c r="AS340" s="7">
        <f>[1]节奏总纲!BE340</f>
        <v>57.1426327536822</v>
      </c>
    </row>
    <row r="341" spans="17:45" x14ac:dyDescent="0.15">
      <c r="Q341" s="7">
        <v>338</v>
      </c>
      <c r="R341" s="7">
        <f>[1]节奏总纲!AD341</f>
        <v>84.049741901856009</v>
      </c>
      <c r="S341" s="7">
        <f>[1]节奏总纲!AE341</f>
        <v>86.164671695224243</v>
      </c>
      <c r="T341" s="7">
        <f>[1]节奏总纲!AF341</f>
        <v>89.250804427453758</v>
      </c>
      <c r="U341" s="7">
        <f>[1]节奏总纲!AG341</f>
        <v>94.233326560531836</v>
      </c>
      <c r="V341" s="7">
        <f>[1]节奏总纲!AH341</f>
        <v>103.08782916095045</v>
      </c>
      <c r="AN341" s="7">
        <v>338</v>
      </c>
      <c r="AO341" s="7">
        <f>[1]节奏总纲!BA341</f>
        <v>46.23388234441088</v>
      </c>
      <c r="AP341" s="7">
        <f>[1]节奏总纲!BB341</f>
        <v>47.743872776387391</v>
      </c>
      <c r="AQ341" s="7">
        <f>[1]节奏总纲!BC341</f>
        <v>49.69144620068672</v>
      </c>
      <c r="AR341" s="7">
        <f>[1]节奏总纲!BD341</f>
        <v>52.440146603348865</v>
      </c>
      <c r="AS341" s="7">
        <f>[1]节奏总纲!BE341</f>
        <v>57.161816634035567</v>
      </c>
    </row>
    <row r="342" spans="17:45" x14ac:dyDescent="0.15">
      <c r="Q342" s="7">
        <v>339</v>
      </c>
      <c r="R342" s="7">
        <f>[1]节奏总纲!AD342</f>
        <v>84.090988120365651</v>
      </c>
      <c r="S342" s="7">
        <f>[1]节奏总纲!AE342</f>
        <v>86.20585227800332</v>
      </c>
      <c r="T342" s="7">
        <f>[1]节奏总纲!AF342</f>
        <v>89.29727193179825</v>
      </c>
      <c r="U342" s="7">
        <f>[1]节奏总纲!AG342</f>
        <v>94.277407215892268</v>
      </c>
      <c r="V342" s="7">
        <f>[1]节奏总纲!AH342</f>
        <v>103.12837545930124</v>
      </c>
      <c r="AN342" s="7">
        <v>339</v>
      </c>
      <c r="AO342" s="7">
        <f>[1]节奏总纲!BA342</f>
        <v>46.253146387229606</v>
      </c>
      <c r="AP342" s="7">
        <f>[1]节奏总纲!BB342</f>
        <v>47.764660314710284</v>
      </c>
      <c r="AQ342" s="7">
        <f>[1]节奏总纲!BC342</f>
        <v>49.712105979683258</v>
      </c>
      <c r="AR342" s="7">
        <f>[1]节奏总纲!BD342</f>
        <v>52.460099944144915</v>
      </c>
      <c r="AS342" s="7">
        <f>[1]节奏总纲!BE342</f>
        <v>57.181000514388934</v>
      </c>
    </row>
    <row r="343" spans="17:45" x14ac:dyDescent="0.15">
      <c r="Q343" s="7">
        <v>340</v>
      </c>
      <c r="R343" s="7">
        <f>[1]节奏总纲!AD343</f>
        <v>84.132234338875293</v>
      </c>
      <c r="S343" s="7">
        <f>[1]节奏总纲!AE343</f>
        <v>86.247032860782397</v>
      </c>
      <c r="T343" s="7">
        <f>[1]节奏总纲!AF343</f>
        <v>89.343739436142741</v>
      </c>
      <c r="U343" s="7">
        <f>[1]节奏总纲!AG343</f>
        <v>94.3214878712527</v>
      </c>
      <c r="V343" s="7">
        <f>[1]节奏总纲!AH343</f>
        <v>103.16892175765203</v>
      </c>
      <c r="AN343" s="7">
        <v>340</v>
      </c>
      <c r="AO343" s="7">
        <f>[1]节奏总纲!BA343</f>
        <v>46.272410430048332</v>
      </c>
      <c r="AP343" s="7">
        <f>[1]节奏总纲!BB343</f>
        <v>47.785447853033176</v>
      </c>
      <c r="AQ343" s="7">
        <f>[1]节奏总纲!BC343</f>
        <v>49.732765758679797</v>
      </c>
      <c r="AR343" s="7">
        <f>[1]节奏总纲!BD343</f>
        <v>52.480053284940965</v>
      </c>
      <c r="AS343" s="7">
        <f>[1]节奏总纲!BE343</f>
        <v>57.200184394742301</v>
      </c>
    </row>
    <row r="344" spans="17:45" x14ac:dyDescent="0.15">
      <c r="Q344" s="7">
        <v>341</v>
      </c>
      <c r="R344" s="7">
        <f>[1]节奏总纲!AD344</f>
        <v>84.173480557384934</v>
      </c>
      <c r="S344" s="7">
        <f>[1]节奏总纲!AE344</f>
        <v>86.288213443561474</v>
      </c>
      <c r="T344" s="7">
        <f>[1]节奏总纲!AF344</f>
        <v>89.390206940487232</v>
      </c>
      <c r="U344" s="7">
        <f>[1]节奏总纲!AG344</f>
        <v>94.365568526613131</v>
      </c>
      <c r="V344" s="7">
        <f>[1]节奏总纲!AH344</f>
        <v>103.20946805600283</v>
      </c>
      <c r="AN344" s="7">
        <v>341</v>
      </c>
      <c r="AO344" s="7">
        <f>[1]节奏总纲!BA344</f>
        <v>46.291674472867058</v>
      </c>
      <c r="AP344" s="7">
        <f>[1]节奏总纲!BB344</f>
        <v>47.806235391356068</v>
      </c>
      <c r="AQ344" s="7">
        <f>[1]节奏总纲!BC344</f>
        <v>49.753425537676335</v>
      </c>
      <c r="AR344" s="7">
        <f>[1]节奏总纲!BD344</f>
        <v>52.500006625737008</v>
      </c>
      <c r="AS344" s="7">
        <f>[1]节奏总纲!BE344</f>
        <v>57.219368275095675</v>
      </c>
    </row>
    <row r="345" spans="17:45" x14ac:dyDescent="0.15">
      <c r="Q345" s="7">
        <v>342</v>
      </c>
      <c r="R345" s="7">
        <f>[1]节奏总纲!AD345</f>
        <v>84.214726775894576</v>
      </c>
      <c r="S345" s="7">
        <f>[1]节奏总纲!AE345</f>
        <v>86.329394026340537</v>
      </c>
      <c r="T345" s="7">
        <f>[1]节奏总纲!AF345</f>
        <v>89.436674444831723</v>
      </c>
      <c r="U345" s="7">
        <f>[1]节奏总纲!AG345</f>
        <v>94.409649181973549</v>
      </c>
      <c r="V345" s="7">
        <f>[1]节奏总纲!AH345</f>
        <v>103.25001435435362</v>
      </c>
      <c r="AN345" s="7">
        <v>342</v>
      </c>
      <c r="AO345" s="7">
        <f>[1]节奏总纲!BA345</f>
        <v>46.310938515685784</v>
      </c>
      <c r="AP345" s="7">
        <f>[1]节奏总纲!BB345</f>
        <v>47.827022929678968</v>
      </c>
      <c r="AQ345" s="7">
        <f>[1]节奏总纲!BC345</f>
        <v>49.774085316672867</v>
      </c>
      <c r="AR345" s="7">
        <f>[1]节奏总纲!BD345</f>
        <v>52.519959966533058</v>
      </c>
      <c r="AS345" s="7">
        <f>[1]节奏总纲!BE345</f>
        <v>57.238552155449042</v>
      </c>
    </row>
    <row r="346" spans="17:45" x14ac:dyDescent="0.15">
      <c r="Q346" s="7">
        <v>343</v>
      </c>
      <c r="R346" s="7">
        <f>[1]节奏总纲!AD346</f>
        <v>84.255972994404218</v>
      </c>
      <c r="S346" s="7">
        <f>[1]节奏总纲!AE346</f>
        <v>86.370574609119615</v>
      </c>
      <c r="T346" s="7">
        <f>[1]节奏总纲!AF346</f>
        <v>89.483141949176215</v>
      </c>
      <c r="U346" s="7">
        <f>[1]节奏总纲!AG346</f>
        <v>94.453729837333981</v>
      </c>
      <c r="V346" s="7">
        <f>[1]节奏总纲!AH346</f>
        <v>103.29056065270443</v>
      </c>
      <c r="AN346" s="7">
        <v>343</v>
      </c>
      <c r="AO346" s="7">
        <f>[1]节奏总纲!BA346</f>
        <v>46.330202558504517</v>
      </c>
      <c r="AP346" s="7">
        <f>[1]节奏总纲!BB346</f>
        <v>47.84781046800186</v>
      </c>
      <c r="AQ346" s="7">
        <f>[1]节奏总纲!BC346</f>
        <v>49.794745095669406</v>
      </c>
      <c r="AR346" s="7">
        <f>[1]节奏总纲!BD346</f>
        <v>52.539913307329101</v>
      </c>
      <c r="AS346" s="7">
        <f>[1]节奏总纲!BE346</f>
        <v>57.257736035802409</v>
      </c>
    </row>
    <row r="347" spans="17:45" x14ac:dyDescent="0.15">
      <c r="Q347" s="7">
        <v>344</v>
      </c>
      <c r="R347" s="7">
        <f>[1]节奏总纲!AD347</f>
        <v>84.297219212913859</v>
      </c>
      <c r="S347" s="7">
        <f>[1]节奏总纲!AE347</f>
        <v>86.411755191898692</v>
      </c>
      <c r="T347" s="7">
        <f>[1]节奏总纲!AF347</f>
        <v>89.529609453520706</v>
      </c>
      <c r="U347" s="7">
        <f>[1]节奏总纲!AG347</f>
        <v>94.497810492694413</v>
      </c>
      <c r="V347" s="7">
        <f>[1]节奏总纲!AH347</f>
        <v>103.33110695105522</v>
      </c>
      <c r="AN347" s="7">
        <v>344</v>
      </c>
      <c r="AO347" s="7">
        <f>[1]节奏总纲!BA347</f>
        <v>46.349466601323243</v>
      </c>
      <c r="AP347" s="7">
        <f>[1]节奏总纲!BB347</f>
        <v>47.868598006324753</v>
      </c>
      <c r="AQ347" s="7">
        <f>[1]节奏总纲!BC347</f>
        <v>49.815404874665944</v>
      </c>
      <c r="AR347" s="7">
        <f>[1]节奏总纲!BD347</f>
        <v>52.559866648125151</v>
      </c>
      <c r="AS347" s="7">
        <f>[1]节奏总纲!BE347</f>
        <v>57.276919916155776</v>
      </c>
    </row>
    <row r="348" spans="17:45" x14ac:dyDescent="0.15">
      <c r="Q348" s="7">
        <v>345</v>
      </c>
      <c r="R348" s="7">
        <f>[1]节奏总纲!AD348</f>
        <v>84.338465431423501</v>
      </c>
      <c r="S348" s="7">
        <f>[1]节奏总纲!AE348</f>
        <v>86.452935774677769</v>
      </c>
      <c r="T348" s="7">
        <f>[1]节奏总纲!AF348</f>
        <v>89.576076957865197</v>
      </c>
      <c r="U348" s="7">
        <f>[1]节奏总纲!AG348</f>
        <v>94.541891148054845</v>
      </c>
      <c r="V348" s="7">
        <f>[1]节奏总纲!AH348</f>
        <v>103.37165324940601</v>
      </c>
      <c r="AN348" s="7">
        <v>345</v>
      </c>
      <c r="AO348" s="7">
        <f>[1]节奏总纲!BA348</f>
        <v>46.368730644141969</v>
      </c>
      <c r="AP348" s="7">
        <f>[1]节奏总纲!BB348</f>
        <v>47.889385544647645</v>
      </c>
      <c r="AQ348" s="7">
        <f>[1]节奏总纲!BC348</f>
        <v>49.836064653662483</v>
      </c>
      <c r="AR348" s="7">
        <f>[1]节奏总纲!BD348</f>
        <v>52.579819988921201</v>
      </c>
      <c r="AS348" s="7">
        <f>[1]节奏总纲!BE348</f>
        <v>57.296103796509144</v>
      </c>
    </row>
    <row r="349" spans="17:45" x14ac:dyDescent="0.15">
      <c r="Q349" s="7">
        <v>346</v>
      </c>
      <c r="R349" s="7">
        <f>[1]节奏总纲!AD349</f>
        <v>84.379711649933142</v>
      </c>
      <c r="S349" s="7">
        <f>[1]节奏总纲!AE349</f>
        <v>86.494116357456846</v>
      </c>
      <c r="T349" s="7">
        <f>[1]节奏总纲!AF349</f>
        <v>89.622544462209689</v>
      </c>
      <c r="U349" s="7">
        <f>[1]节奏总纲!AG349</f>
        <v>94.585971803415276</v>
      </c>
      <c r="V349" s="7">
        <f>[1]节奏总纲!AH349</f>
        <v>103.41219954775681</v>
      </c>
      <c r="AN349" s="7">
        <v>346</v>
      </c>
      <c r="AO349" s="7">
        <f>[1]节奏总纲!BA349</f>
        <v>46.387994686960695</v>
      </c>
      <c r="AP349" s="7">
        <f>[1]节奏总纲!BB349</f>
        <v>47.910173082970537</v>
      </c>
      <c r="AQ349" s="7">
        <f>[1]节奏总纲!BC349</f>
        <v>49.856724432659014</v>
      </c>
      <c r="AR349" s="7">
        <f>[1]节奏总纲!BD349</f>
        <v>52.599773329717245</v>
      </c>
      <c r="AS349" s="7">
        <f>[1]节奏总纲!BE349</f>
        <v>57.315287676862511</v>
      </c>
    </row>
    <row r="350" spans="17:45" x14ac:dyDescent="0.15">
      <c r="Q350" s="7">
        <v>347</v>
      </c>
      <c r="R350" s="7">
        <f>[1]节奏总纲!AD350</f>
        <v>84.420957868442784</v>
      </c>
      <c r="S350" s="7">
        <f>[1]节奏总纲!AE350</f>
        <v>86.535296940235909</v>
      </c>
      <c r="T350" s="7">
        <f>[1]节奏总纲!AF350</f>
        <v>89.66901196655418</v>
      </c>
      <c r="U350" s="7">
        <f>[1]节奏总纲!AG350</f>
        <v>94.630052458775694</v>
      </c>
      <c r="V350" s="7">
        <f>[1]节奏总纲!AH350</f>
        <v>103.4527458461076</v>
      </c>
      <c r="AN350" s="7">
        <v>347</v>
      </c>
      <c r="AO350" s="7">
        <f>[1]节奏总纲!BA350</f>
        <v>46.407258729779421</v>
      </c>
      <c r="AP350" s="7">
        <f>[1]节奏总纲!BB350</f>
        <v>47.930960621293437</v>
      </c>
      <c r="AQ350" s="7">
        <f>[1]节奏总纲!BC350</f>
        <v>49.877384211655553</v>
      </c>
      <c r="AR350" s="7">
        <f>[1]节奏总纲!BD350</f>
        <v>52.619726670513295</v>
      </c>
      <c r="AS350" s="7">
        <f>[1]节奏总纲!BE350</f>
        <v>57.334471557215878</v>
      </c>
    </row>
    <row r="351" spans="17:45" x14ac:dyDescent="0.15">
      <c r="Q351" s="7">
        <v>348</v>
      </c>
      <c r="R351" s="7">
        <f>[1]节奏总纲!AD351</f>
        <v>84.462204086952426</v>
      </c>
      <c r="S351" s="7">
        <f>[1]节奏总纲!AE351</f>
        <v>86.576477523014987</v>
      </c>
      <c r="T351" s="7">
        <f>[1]节奏总纲!AF351</f>
        <v>89.715479470898671</v>
      </c>
      <c r="U351" s="7">
        <f>[1]节奏总纲!AG351</f>
        <v>94.674133114136126</v>
      </c>
      <c r="V351" s="7">
        <f>[1]节奏总纲!AH351</f>
        <v>103.49329214445841</v>
      </c>
      <c r="AN351" s="7">
        <v>348</v>
      </c>
      <c r="AO351" s="7">
        <f>[1]节奏总纲!BA351</f>
        <v>46.426522772598148</v>
      </c>
      <c r="AP351" s="7">
        <f>[1]节奏总纲!BB351</f>
        <v>47.951748159616329</v>
      </c>
      <c r="AQ351" s="7">
        <f>[1]节奏总纲!BC351</f>
        <v>49.898043990652091</v>
      </c>
      <c r="AR351" s="7">
        <f>[1]节奏总纲!BD351</f>
        <v>52.639680011309345</v>
      </c>
      <c r="AS351" s="7">
        <f>[1]节奏总纲!BE351</f>
        <v>57.353655437569245</v>
      </c>
    </row>
    <row r="352" spans="17:45" x14ac:dyDescent="0.15">
      <c r="Q352" s="7">
        <v>349</v>
      </c>
      <c r="R352" s="7">
        <f>[1]节奏总纲!AD352</f>
        <v>84.503450305462081</v>
      </c>
      <c r="S352" s="7">
        <f>[1]节奏总纲!AE352</f>
        <v>86.617658105794064</v>
      </c>
      <c r="T352" s="7">
        <f>[1]节奏总纲!AF352</f>
        <v>89.761946975243163</v>
      </c>
      <c r="U352" s="7">
        <f>[1]节奏总纲!AG352</f>
        <v>94.718213769496558</v>
      </c>
      <c r="V352" s="7">
        <f>[1]节奏总纲!AH352</f>
        <v>103.5338384428092</v>
      </c>
      <c r="AN352" s="7">
        <v>349</v>
      </c>
      <c r="AO352" s="7">
        <f>[1]节奏总纲!BA352</f>
        <v>46.445786815416881</v>
      </c>
      <c r="AP352" s="7">
        <f>[1]节奏总纲!BB352</f>
        <v>47.972535697939222</v>
      </c>
      <c r="AQ352" s="7">
        <f>[1]节奏总纲!BC352</f>
        <v>49.91870376964863</v>
      </c>
      <c r="AR352" s="7">
        <f>[1]节奏总纲!BD352</f>
        <v>52.659633352105388</v>
      </c>
      <c r="AS352" s="7">
        <f>[1]节奏总纲!BE352</f>
        <v>57.372839317922612</v>
      </c>
    </row>
    <row r="353" spans="17:45" x14ac:dyDescent="0.15">
      <c r="Q353" s="7">
        <v>350</v>
      </c>
      <c r="R353" s="7">
        <f>[1]节奏总纲!AD353</f>
        <v>84.544696523971723</v>
      </c>
      <c r="S353" s="7">
        <f>[1]节奏总纲!AE353</f>
        <v>86.658838688573141</v>
      </c>
      <c r="T353" s="7">
        <f>[1]节奏总纲!AF353</f>
        <v>89.808414479587654</v>
      </c>
      <c r="U353" s="7">
        <f>[1]节奏总纲!AG353</f>
        <v>94.762294424856989</v>
      </c>
      <c r="V353" s="7">
        <f>[1]节奏总纲!AH353</f>
        <v>103.57438474115999</v>
      </c>
      <c r="AN353" s="7">
        <v>350</v>
      </c>
      <c r="AO353" s="7">
        <f>[1]节奏总纲!BA353</f>
        <v>46.465050858235607</v>
      </c>
      <c r="AP353" s="7">
        <f>[1]节奏总纲!BB353</f>
        <v>47.993323236262114</v>
      </c>
      <c r="AQ353" s="7">
        <f>[1]节奏总纲!BC353</f>
        <v>49.939363548645169</v>
      </c>
      <c r="AR353" s="7">
        <f>[1]节奏总纲!BD353</f>
        <v>52.679586692901438</v>
      </c>
      <c r="AS353" s="7">
        <f>[1]节奏总纲!BE353</f>
        <v>57.392023198275979</v>
      </c>
    </row>
    <row r="354" spans="17:45" x14ac:dyDescent="0.15">
      <c r="Q354" s="7">
        <v>351</v>
      </c>
      <c r="R354" s="7">
        <f>[1]节奏总纲!AD354</f>
        <v>84.585942742481365</v>
      </c>
      <c r="S354" s="7">
        <f>[1]节奏总纲!AE354</f>
        <v>86.700019271352204</v>
      </c>
      <c r="T354" s="7">
        <f>[1]节奏总纲!AF354</f>
        <v>89.854881983932145</v>
      </c>
      <c r="U354" s="7">
        <f>[1]节奏总纲!AG354</f>
        <v>94.806375080217421</v>
      </c>
      <c r="V354" s="7">
        <f>[1]节奏总纲!AH354</f>
        <v>103.61493103951079</v>
      </c>
      <c r="AN354" s="7">
        <v>351</v>
      </c>
      <c r="AO354" s="7">
        <f>[1]节奏总纲!BA354</f>
        <v>46.484314901054333</v>
      </c>
      <c r="AP354" s="7">
        <f>[1]节奏总纲!BB354</f>
        <v>48.012182251254622</v>
      </c>
      <c r="AQ354" s="7">
        <f>[1]节奏总纲!BC354</f>
        <v>49.9600233276417</v>
      </c>
      <c r="AR354" s="7">
        <f>[1]节奏总纲!BD354</f>
        <v>52.699540033697481</v>
      </c>
      <c r="AS354" s="7">
        <f>[1]节奏总纲!BE354</f>
        <v>57.411207078629346</v>
      </c>
    </row>
    <row r="355" spans="17:45" x14ac:dyDescent="0.15">
      <c r="Q355" s="7">
        <v>352</v>
      </c>
      <c r="R355" s="7">
        <f>[1]节奏总纲!AD355</f>
        <v>84.627188960991006</v>
      </c>
      <c r="S355" s="7">
        <f>[1]节奏总纲!AE355</f>
        <v>86.741199854131281</v>
      </c>
      <c r="T355" s="7">
        <f>[1]节奏总纲!AF355</f>
        <v>89.901349488276637</v>
      </c>
      <c r="U355" s="7">
        <f>[1]节奏总纲!AG355</f>
        <v>94.850455735577853</v>
      </c>
      <c r="V355" s="7">
        <f>[1]节奏总纲!AH355</f>
        <v>103.65547733786158</v>
      </c>
      <c r="AN355" s="7">
        <v>352</v>
      </c>
      <c r="AO355" s="7">
        <f>[1]节奏总纲!BA355</f>
        <v>46.503578943873059</v>
      </c>
      <c r="AP355" s="7">
        <f>[1]节奏总纲!BB355</f>
        <v>48.030128751164234</v>
      </c>
      <c r="AQ355" s="7">
        <f>[1]节奏总纲!BC355</f>
        <v>49.980683106638239</v>
      </c>
      <c r="AR355" s="7">
        <f>[1]节奏总纲!BD355</f>
        <v>52.719493374493531</v>
      </c>
      <c r="AS355" s="7">
        <f>[1]节奏总纲!BE355</f>
        <v>57.430390958982713</v>
      </c>
    </row>
    <row r="356" spans="17:45" x14ac:dyDescent="0.15">
      <c r="Q356" s="7">
        <v>353</v>
      </c>
      <c r="R356" s="7">
        <f>[1]节奏总纲!AD356</f>
        <v>84.668435179500648</v>
      </c>
      <c r="S356" s="7">
        <f>[1]节奏总纲!AE356</f>
        <v>86.782380436910358</v>
      </c>
      <c r="T356" s="7">
        <f>[1]节奏总纲!AF356</f>
        <v>89.947816992621142</v>
      </c>
      <c r="U356" s="7">
        <f>[1]节奏总纲!AG356</f>
        <v>94.894536390938271</v>
      </c>
      <c r="V356" s="7">
        <f>[1]节奏总纲!AH356</f>
        <v>103.69602363621237</v>
      </c>
      <c r="AN356" s="7">
        <v>353</v>
      </c>
      <c r="AO356" s="7">
        <f>[1]节奏总纲!BA356</f>
        <v>46.522842986691785</v>
      </c>
      <c r="AP356" s="7">
        <f>[1]节奏总纲!BB356</f>
        <v>48.048075251073854</v>
      </c>
      <c r="AQ356" s="7">
        <f>[1]节奏总纲!BC356</f>
        <v>50.00115951426713</v>
      </c>
      <c r="AR356" s="7">
        <f>[1]节奏总纲!BD356</f>
        <v>52.739446715289581</v>
      </c>
      <c r="AS356" s="7">
        <f>[1]节奏总纲!BE356</f>
        <v>57.44957483933608</v>
      </c>
    </row>
    <row r="357" spans="17:45" x14ac:dyDescent="0.15">
      <c r="Q357" s="7">
        <v>354</v>
      </c>
      <c r="R357" s="7">
        <f>[1]节奏总纲!AD357</f>
        <v>84.709681398010289</v>
      </c>
      <c r="S357" s="7">
        <f>[1]节奏总纲!AE357</f>
        <v>86.823561019689436</v>
      </c>
      <c r="T357" s="7">
        <f>[1]节奏总纲!AF357</f>
        <v>89.994284496965633</v>
      </c>
      <c r="U357" s="7">
        <f>[1]节奏总纲!AG357</f>
        <v>94.938617046298702</v>
      </c>
      <c r="V357" s="7">
        <f>[1]节奏总纲!AH357</f>
        <v>103.73656993456318</v>
      </c>
      <c r="AN357" s="7">
        <v>354</v>
      </c>
      <c r="AO357" s="7">
        <f>[1]节奏总纲!BA357</f>
        <v>46.542107029510518</v>
      </c>
      <c r="AP357" s="7">
        <f>[1]节奏总纲!BB357</f>
        <v>48.066021750983474</v>
      </c>
      <c r="AQ357" s="7">
        <f>[1]节奏总纲!BC357</f>
        <v>50.018998195299922</v>
      </c>
      <c r="AR357" s="7">
        <f>[1]节奏总纲!BD357</f>
        <v>52.759400056085624</v>
      </c>
      <c r="AS357" s="7">
        <f>[1]节奏总纲!BE357</f>
        <v>57.468758719689447</v>
      </c>
    </row>
    <row r="358" spans="17:45" x14ac:dyDescent="0.15">
      <c r="Q358" s="7">
        <v>355</v>
      </c>
      <c r="R358" s="7">
        <f>[1]节奏总纲!AD358</f>
        <v>84.750927616519931</v>
      </c>
      <c r="S358" s="7">
        <f>[1]节奏总纲!AE358</f>
        <v>86.864741602468499</v>
      </c>
      <c r="T358" s="7">
        <f>[1]节奏总纲!AF358</f>
        <v>90.036066635925749</v>
      </c>
      <c r="U358" s="7">
        <f>[1]节奏总纲!AG358</f>
        <v>94.982697701659134</v>
      </c>
      <c r="V358" s="7">
        <f>[1]节奏总纲!AH358</f>
        <v>103.77711623291397</v>
      </c>
      <c r="AN358" s="7">
        <v>355</v>
      </c>
      <c r="AO358" s="7">
        <f>[1]节奏总纲!BA358</f>
        <v>46.561371072329244</v>
      </c>
      <c r="AP358" s="7">
        <f>[1]节奏总纲!BB358</f>
        <v>48.083968250893093</v>
      </c>
      <c r="AQ358" s="7">
        <f>[1]节奏总纲!BC358</f>
        <v>50.036836876332707</v>
      </c>
      <c r="AR358" s="7">
        <f>[1]节奏总纲!BD358</f>
        <v>52.779353396881675</v>
      </c>
      <c r="AS358" s="7">
        <f>[1]节奏总纲!BE358</f>
        <v>57.487942600042821</v>
      </c>
    </row>
    <row r="359" spans="17:45" x14ac:dyDescent="0.15">
      <c r="Q359" s="7">
        <v>356</v>
      </c>
      <c r="R359" s="7">
        <f>[1]节奏总纲!AD359</f>
        <v>84.792173835029573</v>
      </c>
      <c r="S359" s="7">
        <f>[1]节奏总纲!AE359</f>
        <v>86.905922185247576</v>
      </c>
      <c r="T359" s="7">
        <f>[1]节奏总纲!AF359</f>
        <v>90.077191648383845</v>
      </c>
      <c r="U359" s="7">
        <f>[1]节奏总纲!AG359</f>
        <v>95.024001308619916</v>
      </c>
      <c r="V359" s="7">
        <f>[1]节奏总纲!AH359</f>
        <v>103.81766253126477</v>
      </c>
      <c r="AN359" s="7">
        <v>356</v>
      </c>
      <c r="AO359" s="7">
        <f>[1]节奏总纲!BA359</f>
        <v>46.58063511514797</v>
      </c>
      <c r="AP359" s="7">
        <f>[1]节奏总纲!BB359</f>
        <v>48.101914750802706</v>
      </c>
      <c r="AQ359" s="7">
        <f>[1]节奏总纲!BC359</f>
        <v>50.054675557365492</v>
      </c>
      <c r="AR359" s="7">
        <f>[1]节奏总纲!BD359</f>
        <v>52.799306737677718</v>
      </c>
      <c r="AS359" s="7">
        <f>[1]节奏总纲!BE359</f>
        <v>57.507126480396188</v>
      </c>
    </row>
    <row r="360" spans="17:45" x14ac:dyDescent="0.15">
      <c r="Q360" s="7">
        <v>357</v>
      </c>
      <c r="R360" s="7">
        <f>[1]节奏总纲!AD360</f>
        <v>84.833420053539214</v>
      </c>
      <c r="S360" s="7">
        <f>[1]节奏总纲!AE360</f>
        <v>86.947102768026653</v>
      </c>
      <c r="T360" s="7">
        <f>[1]节奏总纲!AF360</f>
        <v>90.118316660841927</v>
      </c>
      <c r="U360" s="7">
        <f>[1]节奏总纲!AG360</f>
        <v>95.063510581451752</v>
      </c>
      <c r="V360" s="7">
        <f>[1]节奏总纲!AH360</f>
        <v>103.85820882961556</v>
      </c>
      <c r="AN360" s="7">
        <v>357</v>
      </c>
      <c r="AO360" s="7">
        <f>[1]节奏总纲!BA360</f>
        <v>46.599899157966696</v>
      </c>
      <c r="AP360" s="7">
        <f>[1]节奏总纲!BB360</f>
        <v>48.119861250712326</v>
      </c>
      <c r="AQ360" s="7">
        <f>[1]节奏总纲!BC360</f>
        <v>50.072514238398277</v>
      </c>
      <c r="AR360" s="7">
        <f>[1]节奏总纲!BD360</f>
        <v>52.819260078473768</v>
      </c>
      <c r="AS360" s="7">
        <f>[1]节奏总纲!BE360</f>
        <v>57.526310360749555</v>
      </c>
    </row>
    <row r="361" spans="17:45" x14ac:dyDescent="0.15">
      <c r="Q361" s="7">
        <v>358</v>
      </c>
      <c r="R361" s="7">
        <f>[1]节奏总纲!AD361</f>
        <v>84.874666272048856</v>
      </c>
      <c r="S361" s="7">
        <f>[1]节奏总纲!AE361</f>
        <v>86.98828335080573</v>
      </c>
      <c r="T361" s="7">
        <f>[1]节奏总纲!AF361</f>
        <v>90.159441673300023</v>
      </c>
      <c r="U361" s="7">
        <f>[1]节奏总纲!AG361</f>
        <v>95.103019854283588</v>
      </c>
      <c r="V361" s="7">
        <f>[1]节奏总纲!AH361</f>
        <v>103.89875512796635</v>
      </c>
      <c r="AN361" s="7">
        <v>358</v>
      </c>
      <c r="AO361" s="7">
        <f>[1]节奏总纲!BA361</f>
        <v>46.619163200785422</v>
      </c>
      <c r="AP361" s="7">
        <f>[1]节奏总纲!BB361</f>
        <v>48.137807750621946</v>
      </c>
      <c r="AQ361" s="7">
        <f>[1]节奏总纲!BC361</f>
        <v>50.090352919431069</v>
      </c>
      <c r="AR361" s="7">
        <f>[1]节奏总纲!BD361</f>
        <v>52.839213419269818</v>
      </c>
      <c r="AS361" s="7">
        <f>[1]节奏总纲!BE361</f>
        <v>57.545494241102922</v>
      </c>
    </row>
    <row r="362" spans="17:45" x14ac:dyDescent="0.15">
      <c r="Q362" s="7">
        <v>359</v>
      </c>
      <c r="R362" s="7">
        <f>[1]节奏总纲!AD362</f>
        <v>84.915912490558497</v>
      </c>
      <c r="S362" s="7">
        <f>[1]节奏总纲!AE362</f>
        <v>87.027010646912942</v>
      </c>
      <c r="T362" s="7">
        <f>[1]节奏总纲!AF362</f>
        <v>90.200566685758119</v>
      </c>
      <c r="U362" s="7">
        <f>[1]节奏总纲!AG362</f>
        <v>95.142529127115409</v>
      </c>
      <c r="V362" s="7">
        <f>[1]节奏总纲!AH362</f>
        <v>103.93930142631716</v>
      </c>
      <c r="AN362" s="7">
        <v>359</v>
      </c>
      <c r="AO362" s="7">
        <f>[1]节奏总纲!BA362</f>
        <v>46.638427243604156</v>
      </c>
      <c r="AP362" s="7">
        <f>[1]节奏总纲!BB362</f>
        <v>48.155754250531558</v>
      </c>
      <c r="AQ362" s="7">
        <f>[1]节奏总纲!BC362</f>
        <v>50.108191600463854</v>
      </c>
      <c r="AR362" s="7">
        <f>[1]节奏总纲!BD362</f>
        <v>52.859166760065861</v>
      </c>
      <c r="AS362" s="7">
        <f>[1]节奏总纲!BE362</f>
        <v>57.564678121456289</v>
      </c>
    </row>
    <row r="363" spans="17:45" x14ac:dyDescent="0.15">
      <c r="Q363" s="7">
        <v>360</v>
      </c>
      <c r="R363" s="7">
        <f>[1]节奏总纲!AD363</f>
        <v>84.957158709068153</v>
      </c>
      <c r="S363" s="7">
        <f>[1]节奏总纲!AE363</f>
        <v>87.064762367263285</v>
      </c>
      <c r="T363" s="7">
        <f>[1]节奏总纲!AF363</f>
        <v>90.241691698216215</v>
      </c>
      <c r="U363" s="7">
        <f>[1]节奏总纲!AG363</f>
        <v>95.182038399947245</v>
      </c>
      <c r="V363" s="7">
        <f>[1]节奏总纲!AH363</f>
        <v>103.97984772466795</v>
      </c>
      <c r="AN363" s="7">
        <v>360</v>
      </c>
      <c r="AO363" s="7">
        <f>[1]节奏总纲!BA363</f>
        <v>46.657691286422882</v>
      </c>
      <c r="AP363" s="7">
        <f>[1]节奏总纲!BB363</f>
        <v>48.173700750441178</v>
      </c>
      <c r="AQ363" s="7">
        <f>[1]节奏总纲!BC363</f>
        <v>50.126030281496639</v>
      </c>
      <c r="AR363" s="7">
        <f>[1]节奏总纲!BD363</f>
        <v>52.879120100861911</v>
      </c>
      <c r="AS363" s="7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O363"/>
  <sheetViews>
    <sheetView topLeftCell="O19" workbookViewId="0">
      <selection activeCell="R63" sqref="R63"/>
    </sheetView>
  </sheetViews>
  <sheetFormatPr defaultColWidth="8.75" defaultRowHeight="11.25" x14ac:dyDescent="0.2"/>
  <cols>
    <col min="1" max="2" width="8.75" style="2"/>
    <col min="3" max="3" width="10.625" style="2" bestFit="1" customWidth="1"/>
    <col min="4" max="4" width="8.875" style="17" bestFit="1" customWidth="1"/>
    <col min="5" max="5" width="11.375" style="2" bestFit="1" customWidth="1"/>
    <col min="6" max="6" width="13.875" style="2" customWidth="1"/>
    <col min="7" max="8" width="8.875" style="2" bestFit="1" customWidth="1"/>
    <col min="9" max="9" width="9.125" style="2" bestFit="1" customWidth="1"/>
    <col min="10" max="12" width="8.875" style="2" bestFit="1" customWidth="1"/>
    <col min="13" max="13" width="8.75" style="2"/>
    <col min="14" max="14" width="8.75" style="3"/>
    <col min="15" max="16" width="9" style="2" customWidth="1"/>
    <col min="17" max="17" width="16.875" style="2" customWidth="1"/>
    <col min="18" max="18" width="14" style="2" customWidth="1"/>
    <col min="19" max="19" width="9" style="2" customWidth="1"/>
    <col min="20" max="20" width="12" style="2" customWidth="1"/>
    <col min="21" max="24" width="9" style="2" customWidth="1"/>
    <col min="25" max="25" width="8.75" style="3"/>
    <col min="26" max="26" width="8.75" style="2"/>
    <col min="27" max="32" width="8.875" style="2" bestFit="1" customWidth="1"/>
    <col min="33" max="33" width="8.75" style="2"/>
    <col min="34" max="38" width="8.875" style="2" bestFit="1" customWidth="1"/>
    <col min="39" max="39" width="8.75" style="2"/>
    <col min="40" max="45" width="8.875" style="2" bestFit="1" customWidth="1"/>
    <col min="46" max="46" width="9" style="2" bestFit="1" customWidth="1"/>
    <col min="47" max="48" width="8.75" style="2"/>
    <col min="49" max="49" width="8.75" style="3"/>
    <col min="50" max="50" width="8.75" style="2"/>
    <col min="51" max="56" width="8.875" style="2" bestFit="1" customWidth="1"/>
    <col min="57" max="57" width="8.75" style="2"/>
    <col min="58" max="80" width="8.875" style="2" bestFit="1" customWidth="1"/>
    <col min="81" max="81" width="8.75" style="2"/>
    <col min="82" max="93" width="8.875" style="2" bestFit="1" customWidth="1"/>
    <col min="94" max="16384" width="8.75" style="2"/>
  </cols>
  <sheetData>
    <row r="1" spans="1:93" x14ac:dyDescent="0.15">
      <c r="A1" s="2" t="s">
        <v>0</v>
      </c>
      <c r="O1" s="5" t="s">
        <v>176</v>
      </c>
      <c r="AY1" s="10" t="s">
        <v>161</v>
      </c>
      <c r="AZ1" s="4">
        <v>1</v>
      </c>
      <c r="BA1" s="4"/>
      <c r="BB1" s="4"/>
      <c r="BC1" s="4"/>
      <c r="BD1" s="4"/>
    </row>
    <row r="2" spans="1:93" ht="14.25" customHeight="1" x14ac:dyDescent="0.2">
      <c r="B2" s="6" t="s">
        <v>178</v>
      </c>
      <c r="C2" s="6"/>
      <c r="AB2" s="62" t="s">
        <v>121</v>
      </c>
      <c r="AC2" s="63"/>
      <c r="AD2" s="63"/>
      <c r="AE2" s="63"/>
      <c r="AF2" s="64"/>
      <c r="AH2" s="62" t="s">
        <v>72</v>
      </c>
      <c r="AI2" s="63"/>
      <c r="AJ2" s="63"/>
      <c r="AK2" s="63"/>
      <c r="AL2" s="64"/>
      <c r="AO2" s="62" t="s">
        <v>71</v>
      </c>
      <c r="AP2" s="62"/>
      <c r="AQ2" s="62"/>
      <c r="AR2" s="62"/>
      <c r="AS2" s="62"/>
      <c r="AT2" s="62"/>
      <c r="AZ2" s="62" t="s">
        <v>69</v>
      </c>
      <c r="BA2" s="63"/>
      <c r="BB2" s="63"/>
      <c r="BC2" s="63"/>
      <c r="BD2" s="64"/>
      <c r="BG2" s="62" t="s">
        <v>90</v>
      </c>
      <c r="BH2" s="63"/>
      <c r="BI2" s="63"/>
      <c r="BJ2" s="63"/>
      <c r="BK2" s="64"/>
      <c r="BL2" s="62" t="s">
        <v>70</v>
      </c>
      <c r="BM2" s="63"/>
      <c r="BN2" s="63"/>
      <c r="BO2" s="63"/>
      <c r="BP2" s="63"/>
      <c r="BQ2" s="64"/>
      <c r="BR2" s="65" t="s">
        <v>124</v>
      </c>
      <c r="BS2" s="62" t="s">
        <v>122</v>
      </c>
      <c r="BT2" s="63"/>
      <c r="BU2" s="63"/>
      <c r="BV2" s="63"/>
      <c r="BW2" s="64"/>
      <c r="BX2" s="62" t="s">
        <v>123</v>
      </c>
      <c r="BY2" s="63"/>
      <c r="BZ2" s="63"/>
      <c r="CA2" s="63"/>
      <c r="CB2" s="64"/>
      <c r="CF2" s="62" t="s">
        <v>129</v>
      </c>
      <c r="CG2" s="63"/>
      <c r="CH2" s="63"/>
      <c r="CI2" s="63"/>
      <c r="CJ2" s="64"/>
      <c r="CK2" s="62" t="s">
        <v>130</v>
      </c>
      <c r="CL2" s="63"/>
      <c r="CM2" s="63"/>
      <c r="CN2" s="63"/>
      <c r="CO2" s="64"/>
    </row>
    <row r="3" spans="1:93" ht="14.25" customHeight="1" x14ac:dyDescent="0.2">
      <c r="D3" s="2"/>
      <c r="Q3" s="1"/>
      <c r="R3" s="1"/>
      <c r="AA3" s="2" t="s">
        <v>128</v>
      </c>
      <c r="AB3" s="14" t="s">
        <v>14</v>
      </c>
      <c r="AC3" s="14" t="s">
        <v>15</v>
      </c>
      <c r="AD3" s="14" t="s">
        <v>16</v>
      </c>
      <c r="AE3" s="14" t="s">
        <v>17</v>
      </c>
      <c r="AF3" s="14" t="s">
        <v>18</v>
      </c>
      <c r="AH3" s="14" t="s">
        <v>14</v>
      </c>
      <c r="AI3" s="14" t="s">
        <v>15</v>
      </c>
      <c r="AJ3" s="14" t="s">
        <v>16</v>
      </c>
      <c r="AK3" s="14" t="s">
        <v>17</v>
      </c>
      <c r="AL3" s="14" t="s">
        <v>18</v>
      </c>
      <c r="AN3" s="2" t="s">
        <v>22</v>
      </c>
      <c r="AO3" s="14" t="s">
        <v>14</v>
      </c>
      <c r="AP3" s="14" t="s">
        <v>15</v>
      </c>
      <c r="AQ3" s="14" t="s">
        <v>16</v>
      </c>
      <c r="AR3" s="14" t="s">
        <v>17</v>
      </c>
      <c r="AS3" s="14" t="s">
        <v>18</v>
      </c>
      <c r="AT3" s="14" t="s">
        <v>56</v>
      </c>
      <c r="AY3" s="2" t="s">
        <v>128</v>
      </c>
      <c r="AZ3" s="14" t="s">
        <v>14</v>
      </c>
      <c r="BA3" s="14" t="s">
        <v>15</v>
      </c>
      <c r="BB3" s="14" t="s">
        <v>16</v>
      </c>
      <c r="BC3" s="14" t="s">
        <v>17</v>
      </c>
      <c r="BD3" s="14" t="s">
        <v>18</v>
      </c>
      <c r="BF3" s="2" t="s">
        <v>22</v>
      </c>
      <c r="BG3" s="14" t="s">
        <v>14</v>
      </c>
      <c r="BH3" s="14" t="s">
        <v>15</v>
      </c>
      <c r="BI3" s="14" t="s">
        <v>16</v>
      </c>
      <c r="BJ3" s="14" t="s">
        <v>17</v>
      </c>
      <c r="BK3" s="14" t="s">
        <v>18</v>
      </c>
      <c r="BL3" s="14" t="s">
        <v>14</v>
      </c>
      <c r="BM3" s="14" t="s">
        <v>15</v>
      </c>
      <c r="BN3" s="14" t="s">
        <v>16</v>
      </c>
      <c r="BO3" s="14" t="s">
        <v>17</v>
      </c>
      <c r="BP3" s="14" t="s">
        <v>18</v>
      </c>
      <c r="BQ3" s="14" t="s">
        <v>56</v>
      </c>
      <c r="BR3" s="65"/>
      <c r="BS3" s="14" t="s">
        <v>14</v>
      </c>
      <c r="BT3" s="14" t="s">
        <v>15</v>
      </c>
      <c r="BU3" s="14" t="s">
        <v>16</v>
      </c>
      <c r="BV3" s="14" t="s">
        <v>17</v>
      </c>
      <c r="BW3" s="14" t="s">
        <v>18</v>
      </c>
      <c r="BX3" s="14" t="s">
        <v>14</v>
      </c>
      <c r="BY3" s="14" t="s">
        <v>15</v>
      </c>
      <c r="BZ3" s="14" t="s">
        <v>16</v>
      </c>
      <c r="CA3" s="14" t="s">
        <v>17</v>
      </c>
      <c r="CB3" s="14" t="s">
        <v>18</v>
      </c>
      <c r="CD3" s="2" t="s">
        <v>128</v>
      </c>
      <c r="CE3" s="2" t="s">
        <v>91</v>
      </c>
      <c r="CF3" s="14" t="s">
        <v>14</v>
      </c>
      <c r="CG3" s="14" t="s">
        <v>15</v>
      </c>
      <c r="CH3" s="14" t="s">
        <v>16</v>
      </c>
      <c r="CI3" s="14" t="s">
        <v>17</v>
      </c>
      <c r="CJ3" s="14" t="s">
        <v>18</v>
      </c>
      <c r="CK3" s="14" t="s">
        <v>14</v>
      </c>
      <c r="CL3" s="14" t="s">
        <v>15</v>
      </c>
      <c r="CM3" s="14" t="s">
        <v>16</v>
      </c>
      <c r="CN3" s="14" t="s">
        <v>17</v>
      </c>
      <c r="CO3" s="14" t="s">
        <v>18</v>
      </c>
    </row>
    <row r="4" spans="1:93" ht="14.25" customHeight="1" x14ac:dyDescent="0.15">
      <c r="D4" s="17" t="s">
        <v>150</v>
      </c>
      <c r="E4" s="2">
        <v>7</v>
      </c>
      <c r="P4" s="18"/>
      <c r="Q4" s="1"/>
      <c r="R4" s="1"/>
      <c r="AA4" s="2">
        <v>1</v>
      </c>
      <c r="AB4" s="2">
        <f>攻城基础信息!X5*$E$12</f>
        <v>2049.6839536315388</v>
      </c>
      <c r="AC4" s="2">
        <f>攻城基础信息!Y5*$E$12</f>
        <v>2088.5903604288083</v>
      </c>
      <c r="AD4" s="2">
        <f>攻城基础信息!Z5*$E$12</f>
        <v>2107.0806768019565</v>
      </c>
      <c r="AE4" s="2">
        <f>攻城基础信息!AA5*$E$12</f>
        <v>2169.7701426768731</v>
      </c>
      <c r="AF4" s="2">
        <f>攻城基础信息!AB5*$E$12</f>
        <v>2195.4530783155369</v>
      </c>
      <c r="AH4" s="2">
        <f>$E$4*AB4*攻城基础信息!AC5</f>
        <v>4304.3363026262314</v>
      </c>
      <c r="AI4" s="2">
        <f>$E$4*AC4*攻城基础信息!AD5</f>
        <v>4386.0397569004972</v>
      </c>
      <c r="AJ4" s="2">
        <f>$E$4*AD4*攻城基础信息!AE5</f>
        <v>4424.8694212841083</v>
      </c>
      <c r="AK4" s="2">
        <f>$E$4*AE4*攻城基础信息!AF5</f>
        <v>4556.5172996214333</v>
      </c>
      <c r="AL4" s="2">
        <f>$E$4*AF4*攻城基础信息!AG5</f>
        <v>4610.451464462627</v>
      </c>
      <c r="AN4" s="2">
        <v>1</v>
      </c>
      <c r="AO4" s="2">
        <f>求节点(节奏总纲!D$4:D$163,AH$4:AH$163,$AN4)*其他调用!H5*其他调用!$M5</f>
        <v>11924602.892644651</v>
      </c>
      <c r="AP4" s="2">
        <f>求节点(节奏总纲!E$4:E$163,AI$4:AI$163,$AN4)*其他调用!I5*其他调用!$M5</f>
        <v>1033304.1392692096</v>
      </c>
      <c r="AQ4" s="2">
        <f>求节点(节奏总纲!F$4:F$163,AJ$4:AJ$163,$AN4)*其他调用!J5*其他调用!$M5</f>
        <v>418929.27237206587</v>
      </c>
      <c r="AR4" s="2">
        <f>求节点(节奏总纲!G$4:G$163,AK$4:AK$163,$AN4)*其他调用!K5*其他调用!$M5</f>
        <v>31155.012815540242</v>
      </c>
      <c r="AS4" s="2">
        <f>求节点(节奏总纲!H$4:H$163,AL$4:AL$163,$AN4)*其他调用!L5*其他调用!$M5</f>
        <v>5482.9430451584867</v>
      </c>
      <c r="AT4" s="2">
        <f>SUM(AO4:AS4)</f>
        <v>13413474.260146625</v>
      </c>
      <c r="AY4" s="2">
        <v>1</v>
      </c>
      <c r="AZ4" s="2">
        <f>其他调用!R5*6*(其他调用!AH$2*$AZ$1*MIN(其他调用!$AJ5/其他调用!AH5,1)+$E$4*0%*攻城基础信息!AC5)</f>
        <v>1499.0322320297582</v>
      </c>
      <c r="BA4" s="2">
        <f>其他调用!S5*6*(其他调用!AI$2*$AZ$1*MIN(其他调用!$AJ5/其他调用!AI5,1)+$E$4*0%*攻城基础信息!AD5)</f>
        <v>4523.0509241475656</v>
      </c>
      <c r="BB4" s="2">
        <f>其他调用!T5*6*(其他调用!AJ$2*$AZ$1*MIN(其他调用!$AJ5/其他调用!AJ5,1)+$E$4*0%*攻城基础信息!AE5)</f>
        <v>13653.936584099778</v>
      </c>
      <c r="BC4" s="2">
        <f>其他调用!U5*6*(其他调用!AK$2*$AZ$1*MIN(其他调用!$AJ5/其他调用!AK5,1)+$E$4*0%*攻城基础信息!AF5)</f>
        <v>9039.7005361132087</v>
      </c>
      <c r="BD4" s="2">
        <f>其他调用!V5*6*(其他调用!AL$2*$AZ$1*MIN(其他调用!$AJ5/其他调用!AL5,1)+$E$4*0%*攻城基础信息!AG5)</f>
        <v>3834.3009184410885</v>
      </c>
      <c r="BF4" s="2">
        <v>1</v>
      </c>
      <c r="BG4" s="2">
        <f>求节点(节奏总纲!D$4:D$163,AZ$4:AZ$163,$AN4)</f>
        <v>2663.5791901156817</v>
      </c>
      <c r="BH4" s="2">
        <f>求节点(节奏总纲!E$4:E$163,BA$4:BA$163,$AN4)</f>
        <v>8456.86300945121</v>
      </c>
      <c r="BI4" s="2">
        <f>求节点(节奏总纲!F$4:F$163,BB$4:BB$163,$AN4)</f>
        <v>27270.473867468754</v>
      </c>
      <c r="BJ4" s="2">
        <f>求节点(节奏总纲!G$4:G$163,BC$4:BC$163,$AN4)</f>
        <v>16461.805037692266</v>
      </c>
      <c r="BK4" s="2">
        <f>求节点(节奏总纲!H$4:H$163,BD$4:BD$163,$AN4)</f>
        <v>5521.0876162777722</v>
      </c>
      <c r="BL4" s="2">
        <f>BG4*其他调用!H5*其他调用!$M5</f>
        <v>151824.01383659389</v>
      </c>
      <c r="BM4" s="2">
        <f>BH4*其他调用!I5*其他调用!$M5</f>
        <v>38884.656117456645</v>
      </c>
      <c r="BN4" s="2">
        <f>BI4*其他调用!J5*其他调用!$M5</f>
        <v>44214.528297122677</v>
      </c>
      <c r="BO4" s="2">
        <f>BJ4*其他调用!K5*其他调用!$M5</f>
        <v>1668.1295771528162</v>
      </c>
      <c r="BP4" s="2">
        <f>BK4*其他调用!L5*其他调用!$M5</f>
        <v>69.93377647285179</v>
      </c>
      <c r="BQ4" s="2">
        <f>SUM(BL4:BP4)</f>
        <v>236661.26160479887</v>
      </c>
      <c r="BR4" s="2">
        <f>[1]服务器生态!$R3</f>
        <v>1.1072667228331485</v>
      </c>
      <c r="BS4" s="2" t="e">
        <f>SUMPRODUCT((BG$4:BG4)*($BR$4:$BR4)*(其他调用!#REF!))</f>
        <v>#REF!</v>
      </c>
      <c r="BT4" s="2" t="e">
        <f>SUMPRODUCT((BH$4:BH4)*($BR$4:$BR4)*(其他调用!#REF!))</f>
        <v>#REF!</v>
      </c>
      <c r="BU4" s="2" t="e">
        <f>SUMPRODUCT((BI$4:BI4)*($BR$4:$BR4)*(其他调用!#REF!))</f>
        <v>#REF!</v>
      </c>
      <c r="BV4" s="2" t="e">
        <f>SUMPRODUCT((BJ$4:BJ4)*($BR$4:$BR4)*(其他调用!#REF!))</f>
        <v>#REF!</v>
      </c>
      <c r="BW4" s="2" t="e">
        <f>SUMPRODUCT((BK$4:BK4)*($BR$4:$BR4)*(其他调用!#REF!))</f>
        <v>#REF!</v>
      </c>
      <c r="BX4" s="2" t="e">
        <f>SUMPRODUCT((BG$4:BG4)*($BR$4:$BR4))*'[1]功能-战损相关'!$D$2-BS4</f>
        <v>#REF!</v>
      </c>
      <c r="BY4" s="2" t="e">
        <f>SUMPRODUCT((BH$4:BH4)*($BR$4:$BR4))*'[1]功能-战损相关'!$D$2-BT4</f>
        <v>#REF!</v>
      </c>
      <c r="BZ4" s="2" t="e">
        <f>SUMPRODUCT((BI$4:BI4)*($BR$4:$BR4))*'[1]功能-战损相关'!$D$2-BU4</f>
        <v>#REF!</v>
      </c>
      <c r="CA4" s="2" t="e">
        <f>SUMPRODUCT((BJ$4:BJ4)*($BR$4:$BR4))*'[1]功能-战损相关'!$D$2-BV4</f>
        <v>#REF!</v>
      </c>
      <c r="CB4" s="2" t="e">
        <f>SUMPRODUCT((BK$4:BK4)*($BR$4:$BR4))*'[1]功能-战损相关'!$D$2-BW4</f>
        <v>#REF!</v>
      </c>
      <c r="CD4" s="2">
        <v>1</v>
      </c>
      <c r="CE4" s="7">
        <v>0</v>
      </c>
      <c r="CF4" s="2" t="e">
        <f>求节点(节奏总纲!R$4:R$363,BS$4:BS$363,$CD4)*$CE4</f>
        <v>#VALUE!</v>
      </c>
      <c r="CG4" s="2" t="e">
        <f>求节点(节奏总纲!S$4:S$363,BT$4:BT$363,$CD4)*$CE4</f>
        <v>#VALUE!</v>
      </c>
      <c r="CH4" s="2" t="e">
        <f>求节点(节奏总纲!T$4:T$363,BU$4:BU$363,$CD4)*$CE4</f>
        <v>#VALUE!</v>
      </c>
      <c r="CI4" s="2" t="e">
        <f>求节点(节奏总纲!U$4:U$363,BV$4:BV$363,$CD4)*$CE4</f>
        <v>#VALUE!</v>
      </c>
      <c r="CJ4" s="2" t="e">
        <f>求节点(节奏总纲!V$4:V$363,BW$4:BW$363,$CD4)*$CE4</f>
        <v>#VALUE!</v>
      </c>
      <c r="CK4" s="2" t="e">
        <f>求节点(节奏总纲!R$4:R$363,BX$4:BX$363,$CD4)*$CE4</f>
        <v>#VALUE!</v>
      </c>
      <c r="CL4" s="2" t="e">
        <f>求节点(节奏总纲!S$4:S$363,BY$4:BY$363,$CD4)*$CE4</f>
        <v>#VALUE!</v>
      </c>
      <c r="CM4" s="2" t="e">
        <f>求节点(节奏总纲!T$4:T$363,BZ$4:BZ$363,$CD4)*$CE4</f>
        <v>#VALUE!</v>
      </c>
      <c r="CN4" s="2" t="e">
        <f>求节点(节奏总纲!U$4:U$363,CA$4:CA$363,$CD4)*$CE4</f>
        <v>#VALUE!</v>
      </c>
      <c r="CO4" s="2" t="e">
        <f>求节点(节奏总纲!V$4:V$363,CB$4:CB$363,$CD4)*$CE4</f>
        <v>#VALUE!</v>
      </c>
    </row>
    <row r="5" spans="1:93" x14ac:dyDescent="0.15">
      <c r="D5" s="17" t="s">
        <v>151</v>
      </c>
      <c r="E5" s="2">
        <f>E4*'疲劳值&amp;地图信息'!$R$10</f>
        <v>155.22234841721124</v>
      </c>
      <c r="P5" s="17" t="s">
        <v>162</v>
      </c>
      <c r="Q5" s="2">
        <v>60</v>
      </c>
      <c r="R5" s="1"/>
      <c r="AA5" s="2">
        <v>2</v>
      </c>
      <c r="AB5" s="2">
        <f>攻城基础信息!X6*$E$12</f>
        <v>4198.8864271000712</v>
      </c>
      <c r="AC5" s="2">
        <f>攻城基础信息!Y6*$E$12</f>
        <v>4281.9717449140535</v>
      </c>
      <c r="AD5" s="2">
        <f>攻城基础信息!Z6*$E$12</f>
        <v>4324.8151202783147</v>
      </c>
      <c r="AE5" s="2">
        <f>攻城基础信息!AA6*$E$12</f>
        <v>4452.479370181286</v>
      </c>
      <c r="AF5" s="2">
        <f>攻城基础信息!AB6*$E$12</f>
        <v>4508.9351159043772</v>
      </c>
      <c r="AH5" s="2">
        <f>$E$4*AB5*攻城基础信息!AC6</f>
        <v>13961.297370107735</v>
      </c>
      <c r="AI5" s="2">
        <f>$E$4*AC5*攻城基础信息!AD6</f>
        <v>14237.556051839229</v>
      </c>
      <c r="AJ5" s="2">
        <f>$E$4*AD5*攻城基础信息!AE6</f>
        <v>14380.010274925395</v>
      </c>
      <c r="AK5" s="2">
        <f>$E$4*AE5*攻城基础信息!AF6</f>
        <v>14804.493905852776</v>
      </c>
      <c r="AL5" s="2">
        <f>$E$4*AF5*攻城基础信息!AG6</f>
        <v>14992.209260382055</v>
      </c>
      <c r="AN5" s="2">
        <v>2</v>
      </c>
      <c r="AO5" s="2">
        <f>求节点(节奏总纲!D$4:D$163,AH$4:AH$163,$AN5)*其他调用!H6*其他调用!$M6</f>
        <v>17083783.017440662</v>
      </c>
      <c r="AP5" s="2">
        <f>求节点(节奏总纲!E$4:E$163,AI$4:AI$163,$AN5)*其他调用!I6*其他调用!$M6</f>
        <v>2331557.2623981996</v>
      </c>
      <c r="AQ5" s="2">
        <f>求节点(节奏总纲!F$4:F$163,AJ$4:AJ$163,$AN5)*其他调用!J6*其他调用!$M6</f>
        <v>678768.36889146315</v>
      </c>
      <c r="AR5" s="2">
        <f>求节点(节奏总纲!G$4:G$163,AK$4:AK$163,$AN5)*其他调用!K6*其他调用!$M6</f>
        <v>64269.006181757046</v>
      </c>
      <c r="AS5" s="2">
        <f>求节点(节奏总纲!H$4:H$163,AL$4:AL$163,$AN5)*其他调用!L6*其他调用!$M6</f>
        <v>16443.594463401492</v>
      </c>
      <c r="AT5" s="2">
        <f t="shared" ref="AT5:AT68" si="0">SUM(AO5:AS5)</f>
        <v>20174821.249375481</v>
      </c>
      <c r="AY5" s="2">
        <v>2</v>
      </c>
      <c r="AZ5" s="2">
        <f>其他调用!R6*6*(其他调用!AH$2*$AZ$1*MIN(其他调用!$AJ6/其他调用!AH6,1)+$E$4*0%*攻城基础信息!AC6)</f>
        <v>1702.6103386274037</v>
      </c>
      <c r="BA5" s="2">
        <f>其他调用!S6*6*(其他调用!AI$2*$AZ$1*MIN(其他调用!$AJ6/其他调用!AI6,1)+$E$4*0%*攻城基础信息!AD6)</f>
        <v>5148.241708685734</v>
      </c>
      <c r="BB5" s="2">
        <f>其他调用!T6*6*(其他调用!AJ$2*$AZ$1*MIN(其他调用!$AJ6/其他调用!AJ6,1)+$E$4*0%*攻城基础信息!AE6)</f>
        <v>15561.754854123648</v>
      </c>
      <c r="BC5" s="2">
        <f>其他调用!U6*6*(其他调用!AK$2*$AZ$1*MIN(其他调用!$AJ6/其他调用!AK6,1)+$E$4*0%*攻城基础信息!AF6)</f>
        <v>10249.745273198359</v>
      </c>
      <c r="BD5" s="2">
        <f>其他调用!V6*6*(其他调用!AL$2*$AZ$1*MIN(其他调用!$AJ6/其他调用!AL6,1)+$E$4*0%*攻城基础信息!AG6)</f>
        <v>3716.3417593056242</v>
      </c>
      <c r="BF5" s="2">
        <v>2</v>
      </c>
      <c r="BG5" s="2">
        <f>求节点(节奏总纲!D$4:D$163,AZ$4:AZ$163,$AN5)</f>
        <v>3215.8797061722962</v>
      </c>
      <c r="BH5" s="2">
        <f>求节点(节奏总纲!E$4:E$163,BA$4:BA$163,$AN5)</f>
        <v>10170.564739787278</v>
      </c>
      <c r="BI5" s="2">
        <f>求节点(节奏总纲!F$4:F$163,BB$4:BB$163,$AN5)</f>
        <v>32617.587785964024</v>
      </c>
      <c r="BJ5" s="2">
        <f>求节点(节奏总纲!G$4:G$163,BC$4:BC$163,$AN5)</f>
        <v>18427.112324159651</v>
      </c>
      <c r="BK5" s="2">
        <f>求节点(节奏总纲!H$4:H$163,BD$4:BD$163,$AN5)</f>
        <v>6754.4668838170073</v>
      </c>
      <c r="BL5" s="2">
        <f>BG5*其他调用!H6*其他调用!$M6</f>
        <v>183027.85851839799</v>
      </c>
      <c r="BM5" s="2">
        <f>BH5*其他调用!I6*其他调用!$M6</f>
        <v>71486.672841017848</v>
      </c>
      <c r="BN5" s="2">
        <f>BI5*其他调用!J6*其他调用!$M6</f>
        <v>58699.894973552742</v>
      </c>
      <c r="BO5" s="2">
        <f>BJ5*其他调用!K6*其他调用!$M6</f>
        <v>2590.7934940075638</v>
      </c>
      <c r="BP5" s="2">
        <f>BK5*其他调用!L6*其他调用!$M6</f>
        <v>148.38384392385299</v>
      </c>
      <c r="BQ5" s="2">
        <f t="shared" ref="BQ5:BQ68" si="1">SUM(BL5:BP5)</f>
        <v>315953.60367089999</v>
      </c>
      <c r="BR5" s="2">
        <f>[1]服务器生态!$R4</f>
        <v>1.6128011754017901</v>
      </c>
      <c r="BS5" s="2" t="e">
        <f>SUMPRODUCT((BG$4:BG5)*($BR$4:$BR5)*(其他调用!#REF!))</f>
        <v>#REF!</v>
      </c>
      <c r="BT5" s="2" t="e">
        <f>SUMPRODUCT((BH$4:BH5)*($BR$4:$BR5)*(其他调用!#REF!))</f>
        <v>#REF!</v>
      </c>
      <c r="BU5" s="2" t="e">
        <f>SUMPRODUCT((BI$4:BI5)*($BR$4:$BR5)*(其他调用!#REF!))</f>
        <v>#REF!</v>
      </c>
      <c r="BV5" s="2" t="e">
        <f>SUMPRODUCT((BJ$4:BJ5)*($BR$4:$BR5)*(其他调用!#REF!))</f>
        <v>#REF!</v>
      </c>
      <c r="BW5" s="2" t="e">
        <f>SUMPRODUCT((BK$4:BK5)*($BR$4:$BR5)*(其他调用!#REF!))</f>
        <v>#REF!</v>
      </c>
      <c r="BX5" s="2" t="e">
        <f>SUMPRODUCT((BG$4:BG5)*($BR$4:$BR5))*'[1]功能-战损相关'!$D$2-BS5</f>
        <v>#REF!</v>
      </c>
      <c r="BY5" s="2" t="e">
        <f>SUMPRODUCT((BH$4:BH5)*($BR$4:$BR5))*'[1]功能-战损相关'!$D$2-BT5</f>
        <v>#REF!</v>
      </c>
      <c r="BZ5" s="2" t="e">
        <f>SUMPRODUCT((BI$4:BI5)*($BR$4:$BR5))*'[1]功能-战损相关'!$D$2-BU5</f>
        <v>#REF!</v>
      </c>
      <c r="CA5" s="2" t="e">
        <f>SUMPRODUCT((BJ$4:BJ5)*($BR$4:$BR5))*'[1]功能-战损相关'!$D$2-BV5</f>
        <v>#REF!</v>
      </c>
      <c r="CB5" s="2" t="e">
        <f>SUMPRODUCT((BK$4:BK5)*($BR$4:$BR5))*'[1]功能-战损相关'!$D$2-BW5</f>
        <v>#REF!</v>
      </c>
      <c r="CD5" s="2">
        <v>2</v>
      </c>
      <c r="CE5" s="7">
        <v>0</v>
      </c>
      <c r="CF5" s="2" t="e">
        <f>求节点(节奏总纲!R$4:R$363,BS$4:BS$363,$CD5)*$CE5</f>
        <v>#VALUE!</v>
      </c>
      <c r="CG5" s="2" t="e">
        <f>求节点(节奏总纲!S$4:S$363,BT$4:BT$363,$CD5)*$CE5</f>
        <v>#VALUE!</v>
      </c>
      <c r="CH5" s="2" t="e">
        <f>求节点(节奏总纲!T$4:T$363,BU$4:BU$363,$CD5)*$CE5</f>
        <v>#VALUE!</v>
      </c>
      <c r="CI5" s="2" t="e">
        <f>求节点(节奏总纲!U$4:U$363,BV$4:BV$363,$CD5)*$CE5</f>
        <v>#VALUE!</v>
      </c>
      <c r="CJ5" s="2" t="e">
        <f>求节点(节奏总纲!V$4:V$363,BW$4:BW$363,$CD5)*$CE5</f>
        <v>#VALUE!</v>
      </c>
      <c r="CK5" s="2" t="e">
        <f>求节点(节奏总纲!R$4:R$363,BX$4:BX$363,$CD5)*$CE5</f>
        <v>#VALUE!</v>
      </c>
      <c r="CL5" s="2" t="e">
        <f>求节点(节奏总纲!S$4:S$363,BY$4:BY$363,$CD5)*$CE5</f>
        <v>#VALUE!</v>
      </c>
      <c r="CM5" s="2" t="e">
        <f>求节点(节奏总纲!T$4:T$363,BZ$4:BZ$363,$CD5)*$CE5</f>
        <v>#VALUE!</v>
      </c>
      <c r="CN5" s="2" t="e">
        <f>求节点(节奏总纲!U$4:U$363,CA$4:CA$363,$CD5)*$CE5</f>
        <v>#VALUE!</v>
      </c>
      <c r="CO5" s="2" t="e">
        <f>求节点(节奏总纲!V$4:V$363,CB$4:CB$363,$CD5)*$CE5</f>
        <v>#VALUE!</v>
      </c>
    </row>
    <row r="6" spans="1:93" ht="12" customHeight="1" x14ac:dyDescent="0.15">
      <c r="C6" s="18"/>
      <c r="D6" s="17" t="s">
        <v>152</v>
      </c>
      <c r="E6" s="2">
        <v>2</v>
      </c>
      <c r="P6" s="17" t="s">
        <v>168</v>
      </c>
      <c r="Q6" s="2">
        <v>600</v>
      </c>
      <c r="R6" s="1" t="s">
        <v>169</v>
      </c>
      <c r="AA6" s="2">
        <v>3</v>
      </c>
      <c r="AB6" s="2">
        <f>攻城基础信息!X7*$E$12</f>
        <v>6447.7767192518377</v>
      </c>
      <c r="AC6" s="2">
        <f>攻城基础信息!Y7*$E$12</f>
        <v>6580.3888136946834</v>
      </c>
      <c r="AD6" s="2">
        <f>攻城基础信息!Z7*$E$12</f>
        <v>6653.6312296858177</v>
      </c>
      <c r="AE6" s="2">
        <f>攻城基础信息!AA7*$E$12</f>
        <v>6848.1276825132427</v>
      </c>
      <c r="AF6" s="2">
        <f>攻城基础信息!AB7*$E$12</f>
        <v>6940.4461127665118</v>
      </c>
      <c r="AH6" s="2">
        <f>$E$4*AB6*攻城基础信息!AC7</f>
        <v>29337.384072595862</v>
      </c>
      <c r="AI6" s="2">
        <f>$E$4*AC6*攻城基础信息!AD7</f>
        <v>29940.769102310809</v>
      </c>
      <c r="AJ6" s="2">
        <f>$E$4*AD6*攻城基础信息!AE7</f>
        <v>30274.022095070472</v>
      </c>
      <c r="AK6" s="2">
        <f>$E$4*AE6*攻城基础信息!AF7</f>
        <v>31158.980955435254</v>
      </c>
      <c r="AL6" s="2">
        <f>$E$4*AF6*攻城基础信息!AG7</f>
        <v>31579.029813087629</v>
      </c>
      <c r="AN6" s="2">
        <v>3</v>
      </c>
      <c r="AO6" s="2">
        <f>求节点(节奏总纲!D$4:D$163,AH$4:AH$163,$AN6)*其他调用!H7*其他调用!$M7</f>
        <v>21331422.939769447</v>
      </c>
      <c r="AP6" s="2">
        <f>求节点(节奏总纲!E$4:E$163,AI$4:AI$163,$AN6)*其他调用!I7*其他调用!$M7</f>
        <v>3946342.3407700579</v>
      </c>
      <c r="AQ6" s="2">
        <f>求节点(节奏总纲!F$4:F$163,AJ$4:AJ$163,$AN6)*其他调用!J7*其他调用!$M7</f>
        <v>914588.09263496753</v>
      </c>
      <c r="AR6" s="2">
        <f>求节点(节奏总纲!G$4:G$163,AK$4:AK$163,$AN6)*其他调用!K7*其他调用!$M7</f>
        <v>113148.09657450828</v>
      </c>
      <c r="AS6" s="2">
        <f>求节点(节奏总纲!H$4:H$163,AL$4:AL$163,$AN6)*其他调用!L7*其他调用!$M7</f>
        <v>34402.19041541576</v>
      </c>
      <c r="AT6" s="2">
        <f t="shared" si="0"/>
        <v>26339903.660164397</v>
      </c>
      <c r="AY6" s="2">
        <v>3</v>
      </c>
      <c r="AZ6" s="2">
        <f>其他调用!R7*6*(其他调用!AH$2*$AZ$1*MIN(其他调用!$AJ7/其他调用!AH7,1)+$E$4*0%*攻城基础信息!AC7)</f>
        <v>1864.6497035009179</v>
      </c>
      <c r="BA6" s="2">
        <f>其他调用!S7*6*(其他调用!AI$2*$AZ$1*MIN(其他调用!$AJ7/其他调用!AI7,1)+$E$4*0%*攻城基础信息!AD7)</f>
        <v>5647.9855068216502</v>
      </c>
      <c r="BB6" s="2">
        <f>其他调用!T7*6*(其他调用!AJ$2*$AZ$1*MIN(其他调用!$AJ7/其他调用!AJ7,1)+$E$4*0%*攻城基础信息!AE7)</f>
        <v>17104.529936440416</v>
      </c>
      <c r="BC6" s="2">
        <f>其他调用!U7*6*(其他调用!AK$2*$AZ$1*MIN(其他调用!$AJ7/其他调用!AK7,1)+$E$4*0%*攻城基础信息!AF7)</f>
        <v>10993.912168602459</v>
      </c>
      <c r="BD6" s="2">
        <f>其他调用!V7*6*(其他调用!AL$2*$AZ$1*MIN(其他调用!$AJ7/其他调用!AL7,1)+$E$4*0%*攻城基础信息!AG7)</f>
        <v>3141.2196892049119</v>
      </c>
      <c r="BF6" s="2">
        <v>3</v>
      </c>
      <c r="BG6" s="2">
        <f>求节点(节奏总纲!D$4:D$163,AZ$4:AZ$163,$AN6)</f>
        <v>3574.6077536479352</v>
      </c>
      <c r="BH6" s="2">
        <f>求节点(节奏总纲!E$4:E$163,BA$4:BA$163,$AN6)</f>
        <v>11269.813489631915</v>
      </c>
      <c r="BI6" s="2">
        <f>求节点(节奏总纲!F$4:F$163,BB$4:BB$163,$AN6)</f>
        <v>36022.593586671144</v>
      </c>
      <c r="BJ6" s="2">
        <f>求节点(节奏总纲!G$4:G$163,BC$4:BC$163,$AN6)</f>
        <v>22591.302335531371</v>
      </c>
      <c r="BK6" s="2">
        <f>求节点(节奏总纲!H$4:H$163,BD$4:BD$163,$AN6)</f>
        <v>6343.5095408082643</v>
      </c>
      <c r="BL6" s="2">
        <f>BG6*其他调用!H7*其他调用!$M7</f>
        <v>200213.84688941872</v>
      </c>
      <c r="BM6" s="2">
        <f>BH6*其他调用!I7*其他调用!$M7</f>
        <v>107372.90582647624</v>
      </c>
      <c r="BN6" s="2">
        <f>BI6*其他调用!J7*其他调用!$M7</f>
        <v>70770.60489054989</v>
      </c>
      <c r="BO6" s="2">
        <f>BJ6*其他调用!K7*其他调用!$M7</f>
        <v>4079.343736015951</v>
      </c>
      <c r="BP6" s="2">
        <f>BK6*其他调用!L7*其他调用!$M7</f>
        <v>200.45490148954116</v>
      </c>
      <c r="BQ6" s="2">
        <f t="shared" si="1"/>
        <v>382637.15624395036</v>
      </c>
      <c r="BR6" s="2">
        <f>[1]服务器生态!$R5</f>
        <v>1.5166033577059239</v>
      </c>
      <c r="BS6" s="2" t="e">
        <f>SUMPRODUCT((BG$4:BG6)*($BR$4:$BR6)*(其他调用!#REF!))</f>
        <v>#REF!</v>
      </c>
      <c r="BT6" s="2" t="e">
        <f>SUMPRODUCT((BH$4:BH6)*($BR$4:$BR6)*(其他调用!#REF!))</f>
        <v>#REF!</v>
      </c>
      <c r="BU6" s="2" t="e">
        <f>SUMPRODUCT((BI$4:BI6)*($BR$4:$BR6)*(其他调用!#REF!))</f>
        <v>#REF!</v>
      </c>
      <c r="BV6" s="2" t="e">
        <f>SUMPRODUCT((BJ$4:BJ6)*($BR$4:$BR6)*(其他调用!#REF!))</f>
        <v>#REF!</v>
      </c>
      <c r="BW6" s="2" t="e">
        <f>SUMPRODUCT((BK$4:BK6)*($BR$4:$BR6)*(其他调用!#REF!))</f>
        <v>#REF!</v>
      </c>
      <c r="BX6" s="2" t="e">
        <f>SUMPRODUCT((BG$4:BG6)*($BR$4:$BR6))*'[1]功能-战损相关'!$D$2-BS6</f>
        <v>#REF!</v>
      </c>
      <c r="BY6" s="2" t="e">
        <f>SUMPRODUCT((BH$4:BH6)*($BR$4:$BR6))*'[1]功能-战损相关'!$D$2-BT6</f>
        <v>#REF!</v>
      </c>
      <c r="BZ6" s="2" t="e">
        <f>SUMPRODUCT((BI$4:BI6)*($BR$4:$BR6))*'[1]功能-战损相关'!$D$2-BU6</f>
        <v>#REF!</v>
      </c>
      <c r="CA6" s="2" t="e">
        <f>SUMPRODUCT((BJ$4:BJ6)*($BR$4:$BR6))*'[1]功能-战损相关'!$D$2-BV6</f>
        <v>#REF!</v>
      </c>
      <c r="CB6" s="2" t="e">
        <f>SUMPRODUCT((BK$4:BK6)*($BR$4:$BR6))*'[1]功能-战损相关'!$D$2-BW6</f>
        <v>#REF!</v>
      </c>
      <c r="CD6" s="2">
        <v>3</v>
      </c>
      <c r="CE6" s="7">
        <v>0</v>
      </c>
      <c r="CF6" s="2" t="e">
        <f>求节点(节奏总纲!R$4:R$363,BS$4:BS$363,$CD6)*$CE6</f>
        <v>#VALUE!</v>
      </c>
      <c r="CG6" s="2" t="e">
        <f>求节点(节奏总纲!S$4:S$363,BT$4:BT$363,$CD6)*$CE6</f>
        <v>#VALUE!</v>
      </c>
      <c r="CH6" s="2" t="e">
        <f>求节点(节奏总纲!T$4:T$363,BU$4:BU$363,$CD6)*$CE6</f>
        <v>#VALUE!</v>
      </c>
      <c r="CI6" s="2" t="e">
        <f>求节点(节奏总纲!U$4:U$363,BV$4:BV$363,$CD6)*$CE6</f>
        <v>#VALUE!</v>
      </c>
      <c r="CJ6" s="2" t="e">
        <f>求节点(节奏总纲!V$4:V$363,BW$4:BW$363,$CD6)*$CE6</f>
        <v>#VALUE!</v>
      </c>
      <c r="CK6" s="2" t="e">
        <f>求节点(节奏总纲!R$4:R$363,BX$4:BX$363,$CD6)*$CE6</f>
        <v>#VALUE!</v>
      </c>
      <c r="CL6" s="2" t="e">
        <f>求节点(节奏总纲!S$4:S$363,BY$4:BY$363,$CD6)*$CE6</f>
        <v>#VALUE!</v>
      </c>
      <c r="CM6" s="2" t="e">
        <f>求节点(节奏总纲!T$4:T$363,BZ$4:BZ$363,$CD6)*$CE6</f>
        <v>#VALUE!</v>
      </c>
      <c r="CN6" s="2" t="e">
        <f>求节点(节奏总纲!U$4:U$363,CA$4:CA$363,$CD6)*$CE6</f>
        <v>#VALUE!</v>
      </c>
      <c r="CO6" s="2" t="e">
        <f>求节点(节奏总纲!V$4:V$363,CB$4:CB$363,$CD6)*$CE6</f>
        <v>#VALUE!</v>
      </c>
    </row>
    <row r="7" spans="1:93" x14ac:dyDescent="0.15">
      <c r="C7" s="18"/>
      <c r="D7" s="17" t="s">
        <v>153</v>
      </c>
      <c r="E7" s="2">
        <f>E6*'疲劳值&amp;地图信息'!$R$10*0.7</f>
        <v>31.044469683442244</v>
      </c>
      <c r="F7" s="6" t="s">
        <v>154</v>
      </c>
      <c r="P7" s="18"/>
      <c r="Q7" s="1"/>
      <c r="R7" s="1"/>
      <c r="AA7" s="2">
        <v>4</v>
      </c>
      <c r="AB7" s="2">
        <f>攻城基础信息!X8*$E$12</f>
        <v>8796.5241289330934</v>
      </c>
      <c r="AC7" s="2">
        <f>攻城基础信息!Y8*$E$12</f>
        <v>8984.0862270096441</v>
      </c>
      <c r="AD7" s="2">
        <f>攻城基础信息!Z8*$E$12</f>
        <v>9093.9569042812145</v>
      </c>
      <c r="AE7" s="2">
        <f>攻城基础信息!AA8*$E$12</f>
        <v>9356.7150796727401</v>
      </c>
      <c r="AF7" s="2">
        <f>攻城基础信息!AB8*$E$12</f>
        <v>9489.9860689019479</v>
      </c>
      <c r="AH7" s="2">
        <f>$E$4*AB7*攻城基础信息!AC8</f>
        <v>50799.926844588612</v>
      </c>
      <c r="AI7" s="2">
        <f>$E$4*AC7*攻城基础信息!AD8</f>
        <v>51883.097960980696</v>
      </c>
      <c r="AJ7" s="2">
        <f>$E$4*AD7*攻城基础信息!AE8</f>
        <v>52517.601122224012</v>
      </c>
      <c r="AK7" s="2">
        <f>$E$4*AE7*攻城基础信息!AF8</f>
        <v>54035.029585110075</v>
      </c>
      <c r="AL7" s="2">
        <f>$E$4*AF7*攻城基础信息!AG8</f>
        <v>54804.669547908743</v>
      </c>
      <c r="AN7" s="2">
        <v>4</v>
      </c>
      <c r="AO7" s="2">
        <f>求节点(节奏总纲!D$4:D$163,AH$4:AH$163,$AN7)*其他调用!H8*其他调用!$M8</f>
        <v>23987658.443860117</v>
      </c>
      <c r="AP7" s="2">
        <f>求节点(节奏总纲!E$4:E$163,AI$4:AI$163,$AN7)*其他调用!I8*其他调用!$M8</f>
        <v>5784949.4437656282</v>
      </c>
      <c r="AQ7" s="2">
        <f>求节点(节奏总纲!F$4:F$163,AJ$4:AJ$163,$AN7)*其他调用!J8*其他调用!$M8</f>
        <v>1243715.9724333365</v>
      </c>
      <c r="AR7" s="2">
        <f>求节点(节奏总纲!G$4:G$163,AK$4:AK$163,$AN7)*其他调用!K8*其他调用!$M8</f>
        <v>183803.04057397047</v>
      </c>
      <c r="AS7" s="2">
        <f>求节点(节奏总纲!H$4:H$163,AL$4:AL$163,$AN7)*其他调用!L8*其他调用!$M8</f>
        <v>54244.768990279721</v>
      </c>
      <c r="AT7" s="2">
        <f t="shared" si="0"/>
        <v>31254371.66962333</v>
      </c>
      <c r="AY7" s="2">
        <v>4</v>
      </c>
      <c r="AZ7" s="2">
        <f>其他调用!R8*6*(其他调用!AH$2*$AZ$1*MIN(其他调用!$AJ8/其他调用!AH8,1)+$E$4*0%*攻城基础信息!AC8)</f>
        <v>2004.4330743448497</v>
      </c>
      <c r="BA7" s="2">
        <f>其他调用!S8*6*(其他调用!AI$2*$AZ$1*MIN(其他调用!$AJ8/其他调用!AI8,1)+$E$4*0%*攻城基础信息!AD8)</f>
        <v>6077.2074890170034</v>
      </c>
      <c r="BB7" s="2">
        <f>其他调用!T8*6*(其他调用!AJ$2*$AZ$1*MIN(其他调用!$AJ8/其他调用!AJ8,1)+$E$4*0%*攻城基础信息!AE8)</f>
        <v>18418.029244740021</v>
      </c>
      <c r="BC7" s="2">
        <f>其他调用!U8*6*(其他调用!AK$2*$AZ$1*MIN(其他调用!$AJ8/其他调用!AK8,1)+$E$4*0%*攻城基础信息!AF8)</f>
        <v>9958.0816627512631</v>
      </c>
      <c r="BD7" s="2">
        <f>其他调用!V8*6*(其他调用!AL$2*$AZ$1*MIN(其他调用!$AJ8/其他调用!AL8,1)+$E$4*0%*攻城基础信息!AG8)</f>
        <v>3125.9851602945641</v>
      </c>
      <c r="BF7" s="2">
        <v>4</v>
      </c>
      <c r="BG7" s="2">
        <f>求节点(节奏总纲!D$4:D$163,AZ$4:AZ$163,$AN7)</f>
        <v>3839.5473596270881</v>
      </c>
      <c r="BH7" s="2">
        <f>求节点(节奏总纲!E$4:E$163,BA$4:BA$163,$AN7)</f>
        <v>12086.9004213147</v>
      </c>
      <c r="BI7" s="2">
        <f>求节点(节奏总纲!F$4:F$163,BB$4:BB$163,$AN7)</f>
        <v>38531.460345511194</v>
      </c>
      <c r="BJ7" s="2">
        <f>求节点(节奏总纲!G$4:G$163,BC$4:BC$163,$AN7)</f>
        <v>22971.392585595979</v>
      </c>
      <c r="BK7" s="2">
        <f>求节点(节奏总纲!H$4:H$163,BD$4:BD$163,$AN7)</f>
        <v>6154.5136810968861</v>
      </c>
      <c r="BL7" s="2">
        <f>BG7*其他调用!H8*其他调用!$M8</f>
        <v>209992.67026246127</v>
      </c>
      <c r="BM7" s="2">
        <f>BH7*其他调用!I8*其他调用!$M8</f>
        <v>146094.30846137801</v>
      </c>
      <c r="BN7" s="2">
        <f>BI7*其他调用!J8*其他调用!$M8</f>
        <v>81871.646942142179</v>
      </c>
      <c r="BO7" s="2">
        <f>BJ7*其他调用!K8*其他调用!$M8</f>
        <v>5084.3348922785781</v>
      </c>
      <c r="BP7" s="2">
        <f>BK7*其他调用!L8*其他调用!$M8</f>
        <v>255.41231776552084</v>
      </c>
      <c r="BQ7" s="2">
        <f t="shared" si="1"/>
        <v>443298.37287602556</v>
      </c>
      <c r="BR7" s="2">
        <f>[1]服务器生态!$R6</f>
        <v>1.3466515656924485</v>
      </c>
      <c r="BS7" s="2" t="e">
        <f>SUMPRODUCT((BG$4:BG7)*($BR$4:$BR7)*(其他调用!#REF!))</f>
        <v>#REF!</v>
      </c>
      <c r="BT7" s="2" t="e">
        <f>SUMPRODUCT((BH$4:BH7)*($BR$4:$BR7)*(其他调用!#REF!))</f>
        <v>#REF!</v>
      </c>
      <c r="BU7" s="2" t="e">
        <f>SUMPRODUCT((BI$4:BI7)*($BR$4:$BR7)*(其他调用!#REF!))</f>
        <v>#REF!</v>
      </c>
      <c r="BV7" s="2" t="e">
        <f>SUMPRODUCT((BJ$4:BJ7)*($BR$4:$BR7)*(其他调用!#REF!))</f>
        <v>#REF!</v>
      </c>
      <c r="BW7" s="2" t="e">
        <f>SUMPRODUCT((BK$4:BK7)*($BR$4:$BR7)*(其他调用!#REF!))</f>
        <v>#REF!</v>
      </c>
      <c r="BX7" s="2" t="e">
        <f>SUMPRODUCT((BG$4:BG7)*($BR$4:$BR7))*'[1]功能-战损相关'!$D$2-BS7</f>
        <v>#REF!</v>
      </c>
      <c r="BY7" s="2" t="e">
        <f>SUMPRODUCT((BH$4:BH7)*($BR$4:$BR7))*'[1]功能-战损相关'!$D$2-BT7</f>
        <v>#REF!</v>
      </c>
      <c r="BZ7" s="2" t="e">
        <f>SUMPRODUCT((BI$4:BI7)*($BR$4:$BR7))*'[1]功能-战损相关'!$D$2-BU7</f>
        <v>#REF!</v>
      </c>
      <c r="CA7" s="2" t="e">
        <f>SUMPRODUCT((BJ$4:BJ7)*($BR$4:$BR7))*'[1]功能-战损相关'!$D$2-BV7</f>
        <v>#REF!</v>
      </c>
      <c r="CB7" s="2" t="e">
        <f>SUMPRODUCT((BK$4:BK7)*($BR$4:$BR7))*'[1]功能-战损相关'!$D$2-BW7</f>
        <v>#REF!</v>
      </c>
      <c r="CD7" s="2">
        <v>4</v>
      </c>
      <c r="CE7" s="7">
        <v>0</v>
      </c>
      <c r="CF7" s="2" t="e">
        <f>求节点(节奏总纲!R$4:R$363,BS$4:BS$363,$CD7)*$CE7</f>
        <v>#VALUE!</v>
      </c>
      <c r="CG7" s="2" t="e">
        <f>求节点(节奏总纲!S$4:S$363,BT$4:BT$363,$CD7)*$CE7</f>
        <v>#VALUE!</v>
      </c>
      <c r="CH7" s="2" t="e">
        <f>求节点(节奏总纲!T$4:T$363,BU$4:BU$363,$CD7)*$CE7</f>
        <v>#VALUE!</v>
      </c>
      <c r="CI7" s="2" t="e">
        <f>求节点(节奏总纲!U$4:U$363,BV$4:BV$363,$CD7)*$CE7</f>
        <v>#VALUE!</v>
      </c>
      <c r="CJ7" s="2" t="e">
        <f>求节点(节奏总纲!V$4:V$363,BW$4:BW$363,$CD7)*$CE7</f>
        <v>#VALUE!</v>
      </c>
      <c r="CK7" s="2" t="e">
        <f>求节点(节奏总纲!R$4:R$363,BX$4:BX$363,$CD7)*$CE7</f>
        <v>#VALUE!</v>
      </c>
      <c r="CL7" s="2" t="e">
        <f>求节点(节奏总纲!S$4:S$363,BY$4:BY$363,$CD7)*$CE7</f>
        <v>#VALUE!</v>
      </c>
      <c r="CM7" s="2" t="e">
        <f>求节点(节奏总纲!T$4:T$363,BZ$4:BZ$363,$CD7)*$CE7</f>
        <v>#VALUE!</v>
      </c>
      <c r="CN7" s="2" t="e">
        <f>求节点(节奏总纲!U$4:U$363,CA$4:CA$363,$CD7)*$CE7</f>
        <v>#VALUE!</v>
      </c>
      <c r="CO7" s="2" t="e">
        <f>求节点(节奏总纲!V$4:V$363,CB$4:CB$363,$CD7)*$CE7</f>
        <v>#VALUE!</v>
      </c>
    </row>
    <row r="8" spans="1:93" x14ac:dyDescent="0.15">
      <c r="C8" s="1"/>
      <c r="D8" s="17" t="s">
        <v>155</v>
      </c>
      <c r="E8" s="2">
        <f>E5+E7</f>
        <v>186.2668181006535</v>
      </c>
      <c r="G8" s="17" t="s">
        <v>156</v>
      </c>
      <c r="H8" s="2">
        <f>E9*0.8</f>
        <v>160</v>
      </c>
      <c r="P8" s="18"/>
      <c r="Q8" s="1"/>
      <c r="R8" s="1"/>
      <c r="AA8" s="2">
        <v>5</v>
      </c>
      <c r="AB8" s="2">
        <f>攻城基础信息!X9*$E$12</f>
        <v>11245.297954990081</v>
      </c>
      <c r="AC8" s="2">
        <f>攻城基础信息!Y9*$E$12</f>
        <v>11493.308645097888</v>
      </c>
      <c r="AD8" s="2">
        <f>攻城基础信息!Z9*$E$12</f>
        <v>11646.220043321257</v>
      </c>
      <c r="AE8" s="2">
        <f>攻城基础信息!AA9*$E$12</f>
        <v>11978.241561659783</v>
      </c>
      <c r="AF8" s="2">
        <f>攻城基础信息!AB9*$E$12</f>
        <v>12157.554984310686</v>
      </c>
      <c r="AH8" s="2">
        <f>$E$4*AB8*攻城基础信息!AC9</f>
        <v>78717.085684930571</v>
      </c>
      <c r="AI8" s="2">
        <f>$E$4*AC8*攻城基础信息!AD9</f>
        <v>80453.160515685217</v>
      </c>
      <c r="AJ8" s="2">
        <f>$E$4*AD8*攻城基础信息!AE9</f>
        <v>81523.540303248796</v>
      </c>
      <c r="AK8" s="2">
        <f>$E$4*AE8*攻城基础信息!AF9</f>
        <v>83847.690931618476</v>
      </c>
      <c r="AL8" s="2">
        <f>$E$4*AF8*攻城基础信息!AG9</f>
        <v>85102.884890174799</v>
      </c>
      <c r="AN8" s="2">
        <v>5</v>
      </c>
      <c r="AO8" s="2">
        <f>求节点(节奏总纲!D$4:D$163,AH$4:AH$163,$AN8)*其他调用!H9*其他调用!$M9</f>
        <v>26023211.535477385</v>
      </c>
      <c r="AP8" s="2">
        <f>求节点(节奏总纲!E$4:E$163,AI$4:AI$163,$AN8)*其他调用!I9*其他调用!$M9</f>
        <v>8515748.8538043965</v>
      </c>
      <c r="AQ8" s="2">
        <f>求节点(节奏总纲!F$4:F$163,AJ$4:AJ$163,$AN8)*其他调用!J9*其他调用!$M9</f>
        <v>1570252.8179969108</v>
      </c>
      <c r="AR8" s="2">
        <f>求节点(节奏总纲!G$4:G$163,AK$4:AK$163,$AN8)*其他调用!K9*其他调用!$M9</f>
        <v>265052.53203093132</v>
      </c>
      <c r="AS8" s="2">
        <f>求节点(节奏总纲!H$4:H$163,AL$4:AL$163,$AN8)*其他调用!L9*其他调用!$M9</f>
        <v>76928.628811730232</v>
      </c>
      <c r="AT8" s="2">
        <f t="shared" si="0"/>
        <v>36451194.368121356</v>
      </c>
      <c r="AY8" s="2">
        <v>5</v>
      </c>
      <c r="AZ8" s="2">
        <f>其他调用!R9*6*(其他调用!AH$2*$AZ$1*MIN(其他调用!$AJ9/其他调用!AH9,1)+$E$4*0%*攻城基础信息!AC9)</f>
        <v>2128.4284466364261</v>
      </c>
      <c r="BA8" s="2">
        <f>其他调用!S9*6*(其他调用!AI$2*$AZ$1*MIN(其他调用!$AJ9/其他调用!AI9,1)+$E$4*0%*攻城基础信息!AD9)</f>
        <v>6458.7142523368047</v>
      </c>
      <c r="BB8" s="2">
        <f>其他调用!T9*6*(其他调用!AJ$2*$AZ$1*MIN(其他调用!$AJ9/其他调用!AJ9,1)+$E$4*0%*攻城基础信息!AE9)</f>
        <v>19564.194522630569</v>
      </c>
      <c r="BC8" s="2">
        <f>其他调用!U9*6*(其他调用!AK$2*$AZ$1*MIN(其他调用!$AJ9/其他调用!AK9,1)+$E$4*0%*攻城基础信息!AF9)</f>
        <v>9695.9161353375457</v>
      </c>
      <c r="BD8" s="2">
        <f>其他调用!V9*6*(其他调用!AL$2*$AZ$1*MIN(其他调用!$AJ9/其他调用!AL9,1)+$E$4*0%*攻城基础信息!AG9)</f>
        <v>3535.6193055007348</v>
      </c>
      <c r="BF8" s="2">
        <v>5</v>
      </c>
      <c r="BG8" s="2">
        <f>求节点(节奏总纲!D$4:D$163,AZ$4:AZ$163,$AN8)</f>
        <v>4053.1634997816909</v>
      </c>
      <c r="BH8" s="2">
        <f>求节点(节奏总纲!E$4:E$163,BA$4:BA$163,$AN8)</f>
        <v>12736.905334573747</v>
      </c>
      <c r="BI8" s="2">
        <f>求节点(节奏总纲!F$4:F$163,BB$4:BB$163,$AN8)</f>
        <v>40519.668880089397</v>
      </c>
      <c r="BJ8" s="2">
        <f>求节点(节奏总纲!G$4:G$163,BC$4:BC$163,$AN8)</f>
        <v>21752.296302304549</v>
      </c>
      <c r="BK8" s="2">
        <f>求节点(节奏总纲!H$4:H$163,BD$4:BD$163,$AN8)</f>
        <v>6077.5809518348715</v>
      </c>
      <c r="BL8" s="2">
        <f>BG8*其他调用!H9*其他调用!$M9</f>
        <v>215371.12790139983</v>
      </c>
      <c r="BM8" s="2">
        <f>BH8*其他调用!I9*其他调用!$M9</f>
        <v>187346.67375148597</v>
      </c>
      <c r="BN8" s="2">
        <f>BI8*其他调用!J9*其他调用!$M9</f>
        <v>92558.209200271522</v>
      </c>
      <c r="BO8" s="2">
        <f>BJ8*其他调用!K9*其他调用!$M9</f>
        <v>5720.6927993853396</v>
      </c>
      <c r="BP8" s="2">
        <f>BK8*其他调用!L9*其他调用!$M9</f>
        <v>313.96333005997326</v>
      </c>
      <c r="BQ8" s="2">
        <f t="shared" si="1"/>
        <v>501310.66698260262</v>
      </c>
      <c r="BR8" s="2">
        <f>[1]服务器生态!$R7</f>
        <v>1.1029457993613634</v>
      </c>
      <c r="BS8" s="2" t="e">
        <f>SUMPRODUCT((BG$4:BG8)*($BR$4:$BR8)*(其他调用!#REF!))</f>
        <v>#REF!</v>
      </c>
      <c r="BT8" s="2" t="e">
        <f>SUMPRODUCT((BH$4:BH8)*($BR$4:$BR8)*(其他调用!#REF!))</f>
        <v>#REF!</v>
      </c>
      <c r="BU8" s="2" t="e">
        <f>SUMPRODUCT((BI$4:BI8)*($BR$4:$BR8)*(其他调用!#REF!))</f>
        <v>#REF!</v>
      </c>
      <c r="BV8" s="2" t="e">
        <f>SUMPRODUCT((BJ$4:BJ8)*($BR$4:$BR8)*(其他调用!#REF!))</f>
        <v>#REF!</v>
      </c>
      <c r="BW8" s="2" t="e">
        <f>SUMPRODUCT((BK$4:BK8)*($BR$4:$BR8)*(其他调用!#REF!))</f>
        <v>#REF!</v>
      </c>
      <c r="BX8" s="2" t="e">
        <f>SUMPRODUCT((BG$4:BG8)*($BR$4:$BR8))*'[1]功能-战损相关'!$D$2-BS8</f>
        <v>#REF!</v>
      </c>
      <c r="BY8" s="2" t="e">
        <f>SUMPRODUCT((BH$4:BH8)*($BR$4:$BR8))*'[1]功能-战损相关'!$D$2-BT8</f>
        <v>#REF!</v>
      </c>
      <c r="BZ8" s="2" t="e">
        <f>SUMPRODUCT((BI$4:BI8)*($BR$4:$BR8))*'[1]功能-战损相关'!$D$2-BU8</f>
        <v>#REF!</v>
      </c>
      <c r="CA8" s="2" t="e">
        <f>SUMPRODUCT((BJ$4:BJ8)*($BR$4:$BR8))*'[1]功能-战损相关'!$D$2-BV8</f>
        <v>#REF!</v>
      </c>
      <c r="CB8" s="2" t="e">
        <f>SUMPRODUCT((BK$4:BK8)*($BR$4:$BR8))*'[1]功能-战损相关'!$D$2-BW8</f>
        <v>#REF!</v>
      </c>
      <c r="CD8" s="2">
        <v>5</v>
      </c>
      <c r="CE8" s="7">
        <v>0</v>
      </c>
      <c r="CF8" s="2" t="e">
        <f>求节点(节奏总纲!R$4:R$363,BS$4:BS$363,$CD8)*$CE8</f>
        <v>#VALUE!</v>
      </c>
      <c r="CG8" s="2" t="e">
        <f>求节点(节奏总纲!S$4:S$363,BT$4:BT$363,$CD8)*$CE8</f>
        <v>#VALUE!</v>
      </c>
      <c r="CH8" s="2" t="e">
        <f>求节点(节奏总纲!T$4:T$363,BU$4:BU$363,$CD8)*$CE8</f>
        <v>#VALUE!</v>
      </c>
      <c r="CI8" s="2" t="e">
        <f>求节点(节奏总纲!U$4:U$363,BV$4:BV$363,$CD8)*$CE8</f>
        <v>#VALUE!</v>
      </c>
      <c r="CJ8" s="2" t="e">
        <f>求节点(节奏总纲!V$4:V$363,BW$4:BW$363,$CD8)*$CE8</f>
        <v>#VALUE!</v>
      </c>
      <c r="CK8" s="2" t="e">
        <f>求节点(节奏总纲!R$4:R$363,BX$4:BX$363,$CD8)*$CE8</f>
        <v>#VALUE!</v>
      </c>
      <c r="CL8" s="2" t="e">
        <f>求节点(节奏总纲!S$4:S$363,BY$4:BY$363,$CD8)*$CE8</f>
        <v>#VALUE!</v>
      </c>
      <c r="CM8" s="2" t="e">
        <f>求节点(节奏总纲!T$4:T$363,BZ$4:BZ$363,$CD8)*$CE8</f>
        <v>#VALUE!</v>
      </c>
      <c r="CN8" s="2" t="e">
        <f>求节点(节奏总纲!U$4:U$363,CA$4:CA$363,$CD8)*$CE8</f>
        <v>#VALUE!</v>
      </c>
      <c r="CO8" s="2" t="e">
        <f>求节点(节奏总纲!V$4:V$363,CB$4:CB$363,$CD8)*$CE8</f>
        <v>#VALUE!</v>
      </c>
    </row>
    <row r="9" spans="1:93" x14ac:dyDescent="0.15">
      <c r="C9" s="1"/>
      <c r="D9" s="17" t="s">
        <v>157</v>
      </c>
      <c r="E9" s="2">
        <v>200</v>
      </c>
      <c r="P9" s="18"/>
      <c r="Q9" s="1"/>
      <c r="R9" s="1"/>
      <c r="AA9" s="2">
        <v>6</v>
      </c>
      <c r="AB9" s="2">
        <f>攻城基础信息!X10*$E$12</f>
        <v>13794.267496269051</v>
      </c>
      <c r="AC9" s="2">
        <f>攻城基础信息!Y10*$E$12</f>
        <v>14108.300728198372</v>
      </c>
      <c r="AD9" s="2">
        <f>攻城基础信息!Z10*$E$12</f>
        <v>14310.848546062689</v>
      </c>
      <c r="AE9" s="2">
        <f>攻城基础信息!AA10*$E$12</f>
        <v>14712.707128474371</v>
      </c>
      <c r="AF9" s="2">
        <f>攻城基础信息!AB10*$E$12</f>
        <v>14943.152858992718</v>
      </c>
      <c r="AH9" s="2">
        <f>$E$4*AB9*攻城基础信息!AC10</f>
        <v>99778.534889679475</v>
      </c>
      <c r="AI9" s="2">
        <f>$E$4*AC9*攻城基础信息!AD10</f>
        <v>102050.04193396823</v>
      </c>
      <c r="AJ9" s="2">
        <f>$E$4*AD9*攻城基础信息!AE10</f>
        <v>103515.13781652013</v>
      </c>
      <c r="AK9" s="2">
        <f>$E$4*AE9*攻城基础信息!AF10</f>
        <v>106421.91489596463</v>
      </c>
      <c r="AL9" s="2">
        <f>$E$4*AF9*攻城基础信息!AG10</f>
        <v>108088.80568004734</v>
      </c>
      <c r="AN9" s="2">
        <v>6</v>
      </c>
      <c r="AO9" s="2">
        <f>求节点(节奏总纲!D$4:D$163,AH$4:AH$163,$AN9)*其他调用!H10*其他调用!$M10</f>
        <v>29523930.999827396</v>
      </c>
      <c r="AP9" s="2">
        <f>求节点(节奏总纲!E$4:E$163,AI$4:AI$163,$AN9)*其他调用!I10*其他调用!$M10</f>
        <v>11259689.620905178</v>
      </c>
      <c r="AQ9" s="2">
        <f>求节点(节奏总纲!F$4:F$163,AJ$4:AJ$163,$AN9)*其他调用!J10*其他调用!$M10</f>
        <v>2009090.6282947855</v>
      </c>
      <c r="AR9" s="2">
        <f>求节点(节奏总纲!G$4:G$163,AK$4:AK$163,$AN9)*其他调用!K10*其他调用!$M10</f>
        <v>345656.13200772722</v>
      </c>
      <c r="AS9" s="2">
        <f>求节点(节奏总纲!H$4:H$163,AL$4:AL$163,$AN9)*其他调用!L10*其他调用!$M10</f>
        <v>103348.15714174356</v>
      </c>
      <c r="AT9" s="2">
        <f t="shared" si="0"/>
        <v>43241715.538176835</v>
      </c>
      <c r="AY9" s="2">
        <v>6</v>
      </c>
      <c r="AZ9" s="2">
        <f>其他调用!R10*6*(其他调用!AH$2*$AZ$1*MIN(其他调用!$AJ10/其他调用!AH10,1)+$E$4*0%*攻城基础信息!AC10)</f>
        <v>2240.7724253570123</v>
      </c>
      <c r="BA9" s="2">
        <f>其他调用!S10*6*(其他调用!AI$2*$AZ$1*MIN(其他调用!$AJ10/其他调用!AI10,1)+$E$4*0%*攻城基础信息!AD10)</f>
        <v>6805.943767187644</v>
      </c>
      <c r="BB9" s="2">
        <f>其他调用!T10*6*(其他调用!AJ$2*$AZ$1*MIN(其他调用!$AJ10/其他调用!AJ10,1)+$E$4*0%*攻城基础信息!AE10)</f>
        <v>20630.007037991716</v>
      </c>
      <c r="BC9" s="2">
        <f>其他调用!U10*6*(其他调用!AK$2*$AZ$1*MIN(其他调用!$AJ10/其他调用!AK10,1)+$E$4*0%*攻城基础信息!AF10)</f>
        <v>10784.754750924472</v>
      </c>
      <c r="BD9" s="2">
        <f>其他调用!V10*6*(其他调用!AL$2*$AZ$1*MIN(其他调用!$AJ10/其他调用!AL10,1)+$E$4*0%*攻城基础信息!AG10)</f>
        <v>4216.5930298791727</v>
      </c>
      <c r="BF9" s="2">
        <v>6</v>
      </c>
      <c r="BG9" s="2">
        <f>求节点(节奏总纲!D$4:D$163,AZ$4:AZ$163,$AN9)</f>
        <v>4230.8619373302345</v>
      </c>
      <c r="BH9" s="2">
        <f>求节点(节奏总纲!E$4:E$163,BA$4:BA$163,$AN9)</f>
        <v>13279.415245193524</v>
      </c>
      <c r="BI9" s="2">
        <f>求节点(节奏总纲!F$4:F$163,BB$4:BB$163,$AN9)</f>
        <v>42172.200612323191</v>
      </c>
      <c r="BJ9" s="2">
        <f>求节点(节奏总纲!G$4:G$163,BC$4:BC$163,$AN9)</f>
        <v>21017.833847318514</v>
      </c>
      <c r="BK9" s="2">
        <f>求节点(节奏总纲!H$4:H$163,BD$4:BD$163,$AN9)</f>
        <v>6289.0349878229754</v>
      </c>
      <c r="BL9" s="2">
        <f>BG9*其他调用!H10*其他调用!$M10</f>
        <v>217332.32628409201</v>
      </c>
      <c r="BM9" s="2">
        <f>BH9*其他调用!I10*其他调用!$M10</f>
        <v>230762.69414221434</v>
      </c>
      <c r="BN9" s="2">
        <f>BI9*其他调用!J10*其他调用!$M10</f>
        <v>103002.63232222297</v>
      </c>
      <c r="BO9" s="2">
        <f>BJ9*其他调用!K10*其他调用!$M10</f>
        <v>6416.8225174154086</v>
      </c>
      <c r="BP9" s="2">
        <f>BK9*其他调用!L10*其他调用!$M10</f>
        <v>390.01334013373298</v>
      </c>
      <c r="BQ9" s="2">
        <f t="shared" si="1"/>
        <v>557904.48860607843</v>
      </c>
      <c r="BR9" s="2">
        <f>[1]服务器生态!$R8</f>
        <v>0.85924003303027807</v>
      </c>
      <c r="BS9" s="2" t="e">
        <f>SUMPRODUCT((BG$4:BG9)*($BR$4:$BR9)*(其他调用!#REF!))</f>
        <v>#REF!</v>
      </c>
      <c r="BT9" s="2" t="e">
        <f>SUMPRODUCT((BH$4:BH9)*($BR$4:$BR9)*(其他调用!#REF!))</f>
        <v>#REF!</v>
      </c>
      <c r="BU9" s="2" t="e">
        <f>SUMPRODUCT((BI$4:BI9)*($BR$4:$BR9)*(其他调用!#REF!))</f>
        <v>#REF!</v>
      </c>
      <c r="BV9" s="2" t="e">
        <f>SUMPRODUCT((BJ$4:BJ9)*($BR$4:$BR9)*(其他调用!#REF!))</f>
        <v>#REF!</v>
      </c>
      <c r="BW9" s="2" t="e">
        <f>SUMPRODUCT((BK$4:BK9)*($BR$4:$BR9)*(其他调用!#REF!))</f>
        <v>#REF!</v>
      </c>
      <c r="BX9" s="2" t="e">
        <f>SUMPRODUCT((BG$4:BG9)*($BR$4:$BR9))*'[1]功能-战损相关'!$D$2-BS9</f>
        <v>#REF!</v>
      </c>
      <c r="BY9" s="2" t="e">
        <f>SUMPRODUCT((BH$4:BH9)*($BR$4:$BR9))*'[1]功能-战损相关'!$D$2-BT9</f>
        <v>#REF!</v>
      </c>
      <c r="BZ9" s="2" t="e">
        <f>SUMPRODUCT((BI$4:BI9)*($BR$4:$BR9))*'[1]功能-战损相关'!$D$2-BU9</f>
        <v>#REF!</v>
      </c>
      <c r="CA9" s="2" t="e">
        <f>SUMPRODUCT((BJ$4:BJ9)*($BR$4:$BR9))*'[1]功能-战损相关'!$D$2-BV9</f>
        <v>#REF!</v>
      </c>
      <c r="CB9" s="2" t="e">
        <f>SUMPRODUCT((BK$4:BK9)*($BR$4:$BR9))*'[1]功能-战损相关'!$D$2-BW9</f>
        <v>#REF!</v>
      </c>
      <c r="CD9" s="2">
        <v>6</v>
      </c>
      <c r="CE9" s="7">
        <v>0</v>
      </c>
      <c r="CF9" s="2" t="e">
        <f>求节点(节奏总纲!R$4:R$363,BS$4:BS$363,$CD9)*$CE9</f>
        <v>#VALUE!</v>
      </c>
      <c r="CG9" s="2" t="e">
        <f>求节点(节奏总纲!S$4:S$363,BT$4:BT$363,$CD9)*$CE9</f>
        <v>#VALUE!</v>
      </c>
      <c r="CH9" s="2" t="e">
        <f>求节点(节奏总纲!T$4:T$363,BU$4:BU$363,$CD9)*$CE9</f>
        <v>#VALUE!</v>
      </c>
      <c r="CI9" s="2" t="e">
        <f>求节点(节奏总纲!U$4:U$363,BV$4:BV$363,$CD9)*$CE9</f>
        <v>#VALUE!</v>
      </c>
      <c r="CJ9" s="2" t="e">
        <f>求节点(节奏总纲!V$4:V$363,BW$4:BW$363,$CD9)*$CE9</f>
        <v>#VALUE!</v>
      </c>
      <c r="CK9" s="2" t="e">
        <f>求节点(节奏总纲!R$4:R$363,BX$4:BX$363,$CD9)*$CE9</f>
        <v>#VALUE!</v>
      </c>
      <c r="CL9" s="2" t="e">
        <f>求节点(节奏总纲!S$4:S$363,BY$4:BY$363,$CD9)*$CE9</f>
        <v>#VALUE!</v>
      </c>
      <c r="CM9" s="2" t="e">
        <f>求节点(节奏总纲!T$4:T$363,BZ$4:BZ$363,$CD9)*$CE9</f>
        <v>#VALUE!</v>
      </c>
      <c r="CN9" s="2" t="e">
        <f>求节点(节奏总纲!U$4:U$363,CA$4:CA$363,$CD9)*$CE9</f>
        <v>#VALUE!</v>
      </c>
      <c r="CO9" s="2" t="e">
        <f>求节点(节奏总纲!V$4:V$363,CB$4:CB$363,$CD9)*$CE9</f>
        <v>#VALUE!</v>
      </c>
    </row>
    <row r="10" spans="1:93" x14ac:dyDescent="0.15">
      <c r="P10" s="18"/>
      <c r="Q10" s="1"/>
      <c r="R10" s="1"/>
      <c r="AA10" s="2">
        <v>7</v>
      </c>
      <c r="AB10" s="2">
        <f>攻城基础信息!X11*$E$12</f>
        <v>16443.602051616257</v>
      </c>
      <c r="AC10" s="2">
        <f>攻城基础信息!Y11*$E$12</f>
        <v>16829.307136550036</v>
      </c>
      <c r="AD10" s="2">
        <f>攻城基础信息!Z11*$E$12</f>
        <v>17088.270311762259</v>
      </c>
      <c r="AE10" s="2">
        <f>攻城基础信息!AA11*$E$12</f>
        <v>17560.111780116498</v>
      </c>
      <c r="AF10" s="2">
        <f>攻城基础信息!AB11*$E$12</f>
        <v>17846.779692948054</v>
      </c>
      <c r="AH10" s="2">
        <f>$E$4*AB10*攻城基础信息!AC11</f>
        <v>122778.89531873475</v>
      </c>
      <c r="AI10" s="2">
        <f>$E$4*AC10*攻城基础信息!AD11</f>
        <v>125658.82661957364</v>
      </c>
      <c r="AJ10" s="2">
        <f>$E$4*AD10*攻城基础信息!AE11</f>
        <v>127592.4183278249</v>
      </c>
      <c r="AK10" s="2">
        <f>$E$4*AE10*攻城基础信息!AF11</f>
        <v>131115.50129153655</v>
      </c>
      <c r="AL10" s="2">
        <f>$E$4*AF10*攻城基础信息!AG11</f>
        <v>133255.95504067882</v>
      </c>
      <c r="AN10" s="2">
        <v>7</v>
      </c>
      <c r="AO10" s="2">
        <f>求节点(节奏总纲!D$4:D$163,AH$4:AH$163,$AN10)*其他调用!H11*其他调用!$M11</f>
        <v>31059562.23897849</v>
      </c>
      <c r="AP10" s="2">
        <f>求节点(节奏总纲!E$4:E$163,AI$4:AI$163,$AN10)*其他调用!I11*其他调用!$M11</f>
        <v>14973835.831666948</v>
      </c>
      <c r="AQ10" s="2">
        <f>求节点(节奏总纲!F$4:F$163,AJ$4:AJ$163,$AN10)*其他调用!J11*其他调用!$M11</f>
        <v>2393367.9336291896</v>
      </c>
      <c r="AR10" s="2">
        <f>求节点(节奏总纲!G$4:G$163,AK$4:AK$163,$AN10)*其他调用!K11*其他调用!$M11</f>
        <v>434968.01472219417</v>
      </c>
      <c r="AS10" s="2">
        <f>求节点(节奏总纲!H$4:H$163,AL$4:AL$163,$AN10)*其他调用!L11*其他调用!$M11</f>
        <v>136919.77623723523</v>
      </c>
      <c r="AT10" s="2">
        <f t="shared" si="0"/>
        <v>48998653.795234054</v>
      </c>
      <c r="AY10" s="2">
        <v>7</v>
      </c>
      <c r="AZ10" s="2">
        <f>其他调用!R11*6*(其他调用!AH$2*$AZ$1*MIN(其他调用!$AJ11/其他调用!AH11,1)+$E$4*0%*攻城基础信息!AC11)</f>
        <v>2347.9130487281041</v>
      </c>
      <c r="BA10" s="2">
        <f>其他调用!S11*6*(其他调用!AI$2*$AZ$1*MIN(其他调用!$AJ11/其他调用!AI11,1)+$E$4*0%*攻城基础信息!AD11)</f>
        <v>7130.5139501206113</v>
      </c>
      <c r="BB10" s="2">
        <f>其他调用!T11*6*(其他调用!AJ$2*$AZ$1*MIN(其他调用!$AJ11/其他调用!AJ11,1)+$E$4*0%*攻城基础信息!AE11)</f>
        <v>21623.683667255344</v>
      </c>
      <c r="BC10" s="2">
        <f>其他调用!U11*6*(其他调用!AK$2*$AZ$1*MIN(其他调用!$AJ11/其他调用!AK11,1)+$E$4*0%*攻城基础信息!AF11)</f>
        <v>11783.411088334398</v>
      </c>
      <c r="BD10" s="2">
        <f>其他调用!V11*6*(其他调用!AL$2*$AZ$1*MIN(其他调用!$AJ11/其他调用!AL11,1)+$E$4*0%*攻城基础信息!AG11)</f>
        <v>4860.0598840188804</v>
      </c>
      <c r="BF10" s="2">
        <v>7</v>
      </c>
      <c r="BG10" s="2">
        <f>求节点(节奏总纲!D$4:D$163,AZ$4:AZ$163,$AN10)</f>
        <v>4383.291880659991</v>
      </c>
      <c r="BH10" s="2">
        <f>求节点(节奏总纲!E$4:E$163,BA$4:BA$163,$AN10)</f>
        <v>13742.765931367765</v>
      </c>
      <c r="BI10" s="2">
        <f>求节点(节奏总纲!F$4:F$163,BB$4:BB$163,$AN10)</f>
        <v>43585.796972918062</v>
      </c>
      <c r="BJ10" s="2">
        <f>求节点(节奏总纲!G$4:G$163,BC$4:BC$163,$AN10)</f>
        <v>20470.930695191557</v>
      </c>
      <c r="BK10" s="2">
        <f>求节点(节奏总纲!H$4:H$163,BD$4:BD$163,$AN10)</f>
        <v>6539.8561789410323</v>
      </c>
      <c r="BL10" s="2">
        <f>BG10*其他调用!H11*其他调用!$M11</f>
        <v>216694.92957563821</v>
      </c>
      <c r="BM10" s="2">
        <f>BH10*其他调用!I11*其他调用!$M11</f>
        <v>276065.90095290245</v>
      </c>
      <c r="BN10" s="2">
        <f>BI10*其他调用!J11*其他调用!$M11</f>
        <v>113324.34008004435</v>
      </c>
      <c r="BO10" s="2">
        <f>BJ10*其他调用!K11*其他调用!$M11</f>
        <v>7128.3502668056126</v>
      </c>
      <c r="BP10" s="2">
        <f>BK10*其他调用!L11*其他调用!$M11</f>
        <v>474.43683916317673</v>
      </c>
      <c r="BQ10" s="2">
        <f t="shared" si="1"/>
        <v>613687.95771455381</v>
      </c>
      <c r="BR10" s="2">
        <f>[1]服务器生态!$R9</f>
        <v>0.68063540369644937</v>
      </c>
      <c r="BS10" s="2" t="e">
        <f>SUMPRODUCT((BG$4:BG10)*($BR$4:$BR10)*(其他调用!#REF!))</f>
        <v>#REF!</v>
      </c>
      <c r="BT10" s="2" t="e">
        <f>SUMPRODUCT((BH$4:BH10)*($BR$4:$BR10)*(其他调用!#REF!))</f>
        <v>#REF!</v>
      </c>
      <c r="BU10" s="2" t="e">
        <f>SUMPRODUCT((BI$4:BI10)*($BR$4:$BR10)*(其他调用!#REF!))</f>
        <v>#REF!</v>
      </c>
      <c r="BV10" s="2" t="e">
        <f>SUMPRODUCT((BJ$4:BJ10)*($BR$4:$BR10)*(其他调用!#REF!))</f>
        <v>#REF!</v>
      </c>
      <c r="BW10" s="2" t="e">
        <f>SUMPRODUCT((BK$4:BK10)*($BR$4:$BR10)*(其他调用!#REF!))</f>
        <v>#REF!</v>
      </c>
      <c r="BX10" s="2" t="e">
        <f>SUMPRODUCT((BG$4:BG10)*($BR$4:$BR10))*'[1]功能-战损相关'!$D$2-BS10</f>
        <v>#REF!</v>
      </c>
      <c r="BY10" s="2" t="e">
        <f>SUMPRODUCT((BH$4:BH10)*($BR$4:$BR10))*'[1]功能-战损相关'!$D$2-BT10</f>
        <v>#REF!</v>
      </c>
      <c r="BZ10" s="2" t="e">
        <f>SUMPRODUCT((BI$4:BI10)*($BR$4:$BR10))*'[1]功能-战损相关'!$D$2-BU10</f>
        <v>#REF!</v>
      </c>
      <c r="CA10" s="2" t="e">
        <f>SUMPRODUCT((BJ$4:BJ10)*($BR$4:$BR10))*'[1]功能-战损相关'!$D$2-BV10</f>
        <v>#REF!</v>
      </c>
      <c r="CB10" s="2" t="e">
        <f>SUMPRODUCT((BK$4:BK10)*($BR$4:$BR10))*'[1]功能-战损相关'!$D$2-BW10</f>
        <v>#REF!</v>
      </c>
      <c r="CD10" s="2">
        <v>7</v>
      </c>
      <c r="CE10" s="7">
        <v>0</v>
      </c>
      <c r="CF10" s="2" t="e">
        <f>求节点(节奏总纲!R$4:R$363,BS$4:BS$363,$CD10)*$CE10</f>
        <v>#VALUE!</v>
      </c>
      <c r="CG10" s="2" t="e">
        <f>求节点(节奏总纲!S$4:S$363,BT$4:BT$363,$CD10)*$CE10</f>
        <v>#VALUE!</v>
      </c>
      <c r="CH10" s="2" t="e">
        <f>求节点(节奏总纲!T$4:T$363,BU$4:BU$363,$CD10)*$CE10</f>
        <v>#VALUE!</v>
      </c>
      <c r="CI10" s="2" t="e">
        <f>求节点(节奏总纲!U$4:U$363,BV$4:BV$363,$CD10)*$CE10</f>
        <v>#VALUE!</v>
      </c>
      <c r="CJ10" s="2" t="e">
        <f>求节点(节奏总纲!V$4:V$363,BW$4:BW$363,$CD10)*$CE10</f>
        <v>#VALUE!</v>
      </c>
      <c r="CK10" s="2" t="e">
        <f>求节点(节奏总纲!R$4:R$363,BX$4:BX$363,$CD10)*$CE10</f>
        <v>#VALUE!</v>
      </c>
      <c r="CL10" s="2" t="e">
        <f>求节点(节奏总纲!S$4:S$363,BY$4:BY$363,$CD10)*$CE10</f>
        <v>#VALUE!</v>
      </c>
      <c r="CM10" s="2" t="e">
        <f>求节点(节奏总纲!T$4:T$363,BZ$4:BZ$363,$CD10)*$CE10</f>
        <v>#VALUE!</v>
      </c>
      <c r="CN10" s="2" t="e">
        <f>求节点(节奏总纲!U$4:U$363,CA$4:CA$363,$CD10)*$CE10</f>
        <v>#VALUE!</v>
      </c>
      <c r="CO10" s="2" t="e">
        <f>求节点(节奏总纲!V$4:V$363,CB$4:CB$363,$CD10)*$CE10</f>
        <v>#VALUE!</v>
      </c>
    </row>
    <row r="11" spans="1:93" x14ac:dyDescent="0.15">
      <c r="D11" s="17" t="s">
        <v>41</v>
      </c>
      <c r="E11" s="2">
        <v>60</v>
      </c>
      <c r="P11" s="18"/>
      <c r="Q11" s="1"/>
      <c r="R11" s="1"/>
      <c r="AA11" s="2">
        <v>8</v>
      </c>
      <c r="AB11" s="2">
        <f>攻城基础信息!X12*$E$12</f>
        <v>19193.470919877931</v>
      </c>
      <c r="AC11" s="2">
        <f>攻城基础信息!Y12*$E$12</f>
        <v>19656.572530391837</v>
      </c>
      <c r="AD11" s="2">
        <f>攻城基础信息!Z12*$E$12</f>
        <v>19978.913239676716</v>
      </c>
      <c r="AE11" s="2">
        <f>攻城基础信息!AA12*$E$12</f>
        <v>20520.455516586175</v>
      </c>
      <c r="AF11" s="2">
        <f>攻城基础信息!AB12*$E$12</f>
        <v>20868.435486176691</v>
      </c>
      <c r="AH11" s="2">
        <f>$E$4*AB11*攻城基础信息!AC12</f>
        <v>147789.72608306012</v>
      </c>
      <c r="AI11" s="2">
        <f>$E$4*AC11*攻城基础信息!AD12</f>
        <v>151355.6084840172</v>
      </c>
      <c r="AJ11" s="2">
        <f>$E$4*AD11*攻城基础信息!AE12</f>
        <v>153837.63194551077</v>
      </c>
      <c r="AK11" s="2">
        <f>$E$4*AE11*攻城基础信息!AF12</f>
        <v>158007.5074777136</v>
      </c>
      <c r="AL11" s="2">
        <f>$E$4*AF11*攻城基础信息!AG12</f>
        <v>160686.95324356057</v>
      </c>
      <c r="AN11" s="2">
        <v>8</v>
      </c>
      <c r="AO11" s="2">
        <f>求节点(节奏总纲!D$4:D$163,AH$4:AH$163,$AN11)*其他调用!H12*其他调用!$M12</f>
        <v>34811714.938359983</v>
      </c>
      <c r="AP11" s="2">
        <f>求节点(节奏总纲!E$4:E$163,AI$4:AI$163,$AN11)*其他调用!I12*其他调用!$M12</f>
        <v>17204714.038570661</v>
      </c>
      <c r="AQ11" s="2">
        <f>求节点(节奏总纲!F$4:F$163,AJ$4:AJ$163,$AN11)*其他调用!J12*其他调用!$M12</f>
        <v>2630529.036965861</v>
      </c>
      <c r="AR11" s="2">
        <f>求节点(节奏总纲!G$4:G$163,AK$4:AK$163,$AN11)*其他调用!K12*其他调用!$M12</f>
        <v>484270.26831749961</v>
      </c>
      <c r="AS11" s="2">
        <f>求节点(节奏总纲!H$4:H$163,AL$4:AL$163,$AN11)*其他调用!L12*其他调用!$M12</f>
        <v>155512.31727956681</v>
      </c>
      <c r="AT11" s="2">
        <f t="shared" si="0"/>
        <v>55286740.599493578</v>
      </c>
      <c r="AY11" s="2">
        <v>8</v>
      </c>
      <c r="AZ11" s="2">
        <f>其他调用!R12*6*(其他调用!AH$2*$AZ$1*MIN(其他调用!$AJ12/其他调用!AH12,1)+$E$4*0%*攻城基础信息!AC12)</f>
        <v>2451.3707220847778</v>
      </c>
      <c r="BA11" s="2">
        <f>其他调用!S12*6*(其他调用!AI$2*$AZ$1*MIN(其他调用!$AJ12/其他调用!AI12,1)+$E$4*0%*攻城基础信息!AD12)</f>
        <v>7447.3046548677858</v>
      </c>
      <c r="BB11" s="2">
        <f>其他调用!T12*6*(其他调用!AJ$2*$AZ$1*MIN(其他调用!$AJ12/其他调用!AJ12,1)+$E$4*0%*攻城基础信息!AE12)</f>
        <v>22574.775557667203</v>
      </c>
      <c r="BC11" s="2">
        <f>其他调用!U12*6*(其他调用!AK$2*$AZ$1*MIN(其他调用!$AJ12/其他调用!AK12,1)+$E$4*0%*攻城基础信息!AF12)</f>
        <v>12374.847006636619</v>
      </c>
      <c r="BD11" s="2">
        <f>其他调用!V12*6*(其他调用!AL$2*$AZ$1*MIN(其他调用!$AJ12/其他调用!AL12,1)+$E$4*0%*攻城基础信息!AG12)</f>
        <v>5289.1805804962942</v>
      </c>
      <c r="BF11" s="2">
        <v>8</v>
      </c>
      <c r="BG11" s="2">
        <f>求节点(节奏总纲!D$4:D$163,AZ$4:AZ$163,$AN11)</f>
        <v>4516.6824857501797</v>
      </c>
      <c r="BH11" s="2">
        <f>求节点(节奏总纲!E$4:E$163,BA$4:BA$163,$AN11)</f>
        <v>14149.276903401718</v>
      </c>
      <c r="BI11" s="2">
        <f>求节点(节奏总纲!F$4:F$163,BB$4:BB$163,$AN11)</f>
        <v>44818.878108783232</v>
      </c>
      <c r="BJ11" s="2">
        <f>求节点(节奏总纲!G$4:G$163,BC$4:BC$163,$AN11)</f>
        <v>20068.896372746385</v>
      </c>
      <c r="BK11" s="2">
        <f>求节点(节奏总纲!H$4:H$163,BD$4:BD$163,$AN11)</f>
        <v>6760.8911375314183</v>
      </c>
      <c r="BL11" s="2">
        <f>BG11*其他调用!H12*其他调用!$M12</f>
        <v>222312.12609725914</v>
      </c>
      <c r="BM11" s="2">
        <f>BH11*其他调用!I12*其他调用!$M12</f>
        <v>299413.07944051904</v>
      </c>
      <c r="BN11" s="2">
        <f>BI11*其他调用!J12*其他调用!$M12</f>
        <v>118327.78363509102</v>
      </c>
      <c r="BO11" s="2">
        <f>BJ11*其他调用!K12*其他调用!$M12</f>
        <v>7177.0126573197795</v>
      </c>
      <c r="BP11" s="2">
        <f>BK11*其他调用!L12*其他调用!$M12</f>
        <v>510.80727638575041</v>
      </c>
      <c r="BQ11" s="2">
        <f t="shared" si="1"/>
        <v>647740.80910657474</v>
      </c>
      <c r="BR11" s="2">
        <f>[1]服务器生态!$R10</f>
        <v>0.5996824798585052</v>
      </c>
      <c r="BS11" s="2" t="e">
        <f>SUMPRODUCT((BG$4:BG11)*($BR$4:$BR11)*(其他调用!#REF!))</f>
        <v>#REF!</v>
      </c>
      <c r="BT11" s="2" t="e">
        <f>SUMPRODUCT((BH$4:BH11)*($BR$4:$BR11)*(其他调用!#REF!))</f>
        <v>#REF!</v>
      </c>
      <c r="BU11" s="2" t="e">
        <f>SUMPRODUCT((BI$4:BI11)*($BR$4:$BR11)*(其他调用!#REF!))</f>
        <v>#REF!</v>
      </c>
      <c r="BV11" s="2" t="e">
        <f>SUMPRODUCT((BJ$4:BJ11)*($BR$4:$BR11)*(其他调用!#REF!))</f>
        <v>#REF!</v>
      </c>
      <c r="BW11" s="2" t="e">
        <f>SUMPRODUCT((BK$4:BK11)*($BR$4:$BR11)*(其他调用!#REF!))</f>
        <v>#REF!</v>
      </c>
      <c r="BX11" s="2" t="e">
        <f>SUMPRODUCT((BG$4:BG11)*($BR$4:$BR11))*'[1]功能-战损相关'!$D$2-BS11</f>
        <v>#REF!</v>
      </c>
      <c r="BY11" s="2" t="e">
        <f>SUMPRODUCT((BH$4:BH11)*($BR$4:$BR11))*'[1]功能-战损相关'!$D$2-BT11</f>
        <v>#REF!</v>
      </c>
      <c r="BZ11" s="2" t="e">
        <f>SUMPRODUCT((BI$4:BI11)*($BR$4:$BR11))*'[1]功能-战损相关'!$D$2-BU11</f>
        <v>#REF!</v>
      </c>
      <c r="CA11" s="2" t="e">
        <f>SUMPRODUCT((BJ$4:BJ11)*($BR$4:$BR11))*'[1]功能-战损相关'!$D$2-BV11</f>
        <v>#REF!</v>
      </c>
      <c r="CB11" s="2" t="e">
        <f>SUMPRODUCT((BK$4:BK11)*($BR$4:$BR11))*'[1]功能-战损相关'!$D$2-BW11</f>
        <v>#REF!</v>
      </c>
      <c r="CD11" s="2">
        <v>8</v>
      </c>
      <c r="CE11" s="7">
        <v>0</v>
      </c>
      <c r="CF11" s="2" t="e">
        <f>求节点(节奏总纲!R$4:R$363,BS$4:BS$363,$CD11)*$CE11</f>
        <v>#VALUE!</v>
      </c>
      <c r="CG11" s="2" t="e">
        <f>求节点(节奏总纲!S$4:S$363,BT$4:BT$363,$CD11)*$CE11</f>
        <v>#VALUE!</v>
      </c>
      <c r="CH11" s="2" t="e">
        <f>求节点(节奏总纲!T$4:T$363,BU$4:BU$363,$CD11)*$CE11</f>
        <v>#VALUE!</v>
      </c>
      <c r="CI11" s="2" t="e">
        <f>求节点(节奏总纲!U$4:U$363,BV$4:BV$363,$CD11)*$CE11</f>
        <v>#VALUE!</v>
      </c>
      <c r="CJ11" s="2" t="e">
        <f>求节点(节奏总纲!V$4:V$363,BW$4:BW$363,$CD11)*$CE11</f>
        <v>#VALUE!</v>
      </c>
      <c r="CK11" s="2" t="e">
        <f>求节点(节奏总纲!R$4:R$363,BX$4:BX$363,$CD11)*$CE11</f>
        <v>#VALUE!</v>
      </c>
      <c r="CL11" s="2" t="e">
        <f>求节点(节奏总纲!S$4:S$363,BY$4:BY$363,$CD11)*$CE11</f>
        <v>#VALUE!</v>
      </c>
      <c r="CM11" s="2" t="e">
        <f>求节点(节奏总纲!T$4:T$363,BZ$4:BZ$363,$CD11)*$CE11</f>
        <v>#VALUE!</v>
      </c>
      <c r="CN11" s="2" t="e">
        <f>求节点(节奏总纲!U$4:U$363,CA$4:CA$363,$CD11)*$CE11</f>
        <v>#VALUE!</v>
      </c>
      <c r="CO11" s="2" t="e">
        <f>求节点(节奏总纲!V$4:V$363,CB$4:CB$363,$CD11)*$CE11</f>
        <v>#VALUE!</v>
      </c>
    </row>
    <row r="12" spans="1:93" x14ac:dyDescent="0.15">
      <c r="C12" s="1"/>
      <c r="D12" s="17" t="s">
        <v>43</v>
      </c>
      <c r="E12" s="2">
        <v>70</v>
      </c>
      <c r="P12" s="18"/>
      <c r="Q12" s="1"/>
      <c r="R12" s="1"/>
      <c r="AA12" s="2">
        <v>9</v>
      </c>
      <c r="AB12" s="2">
        <f>攻城基础信息!X13*$E$12</f>
        <v>22044.043399900344</v>
      </c>
      <c r="AC12" s="2">
        <f>攻城基础信息!Y13*$E$12</f>
        <v>22590.341569962722</v>
      </c>
      <c r="AD12" s="2">
        <f>攻城基础信息!Z13*$E$12</f>
        <v>22983.205229062813</v>
      </c>
      <c r="AE12" s="2">
        <f>攻城基础信息!AA13*$E$12</f>
        <v>23593.738337883387</v>
      </c>
      <c r="AF12" s="2">
        <f>攻城基础信息!AB13*$E$12</f>
        <v>24008.120238678617</v>
      </c>
      <c r="AH12" s="2">
        <f>$E$4*AB12*攻城基础信息!AC13</f>
        <v>174882.74430587611</v>
      </c>
      <c r="AI12" s="2">
        <f>$E$4*AC12*攻城基础信息!AD13</f>
        <v>179216.70978837096</v>
      </c>
      <c r="AJ12" s="2">
        <f>$E$4*AD12*攻城基础信息!AE13</f>
        <v>182333.42815056504</v>
      </c>
      <c r="AK12" s="2">
        <f>$E$4*AE12*攻城基础信息!AF13</f>
        <v>187176.99081387496</v>
      </c>
      <c r="AL12" s="2">
        <f>$E$4*AF12*攻城基础信息!AG13</f>
        <v>190464.42056018376</v>
      </c>
      <c r="AN12" s="2">
        <v>9</v>
      </c>
      <c r="AO12" s="2">
        <f>求节点(节奏总纲!D$4:D$163,AH$4:AH$163,$AN12)*其他调用!H13*其他调用!$M13</f>
        <v>37093221.567503735</v>
      </c>
      <c r="AP12" s="2">
        <f>求节点(节奏总纲!E$4:E$163,AI$4:AI$163,$AN12)*其他调用!I13*其他调用!$M13</f>
        <v>19534175.687893003</v>
      </c>
      <c r="AQ12" s="2">
        <f>求节点(节奏总纲!F$4:F$163,AJ$4:AJ$163,$AN12)*其他调用!J13*其他调用!$M13</f>
        <v>2863195.5417515701</v>
      </c>
      <c r="AR12" s="2">
        <f>求节点(节奏总纲!G$4:G$163,AK$4:AK$163,$AN12)*其他调用!K13*其他调用!$M13</f>
        <v>532033.19574857142</v>
      </c>
      <c r="AS12" s="2">
        <f>求节点(节奏总纲!H$4:H$163,AL$4:AL$163,$AN12)*其他调用!L13*其他调用!$M13</f>
        <v>172109.19981509689</v>
      </c>
      <c r="AT12" s="2">
        <f t="shared" si="0"/>
        <v>60194735.192711979</v>
      </c>
      <c r="AY12" s="2">
        <v>9</v>
      </c>
      <c r="AZ12" s="2">
        <f>其他调用!R13*6*(其他调用!AH$2*$AZ$1*MIN(其他调用!$AJ13/其他调用!AH13,1)+$E$4*0%*攻城基础信息!AC13)</f>
        <v>2558.0969286524919</v>
      </c>
      <c r="BA12" s="2">
        <f>其他调用!S13*6*(其他调用!AI$2*$AZ$1*MIN(其他调用!$AJ13/其他调用!AI13,1)+$E$4*0%*攻城基础信息!AD13)</f>
        <v>7781.9355937572254</v>
      </c>
      <c r="BB12" s="2">
        <f>其他调用!T13*6*(其他调用!AJ$2*$AZ$1*MIN(其他调用!$AJ13/其他调用!AJ13,1)+$E$4*0%*攻城基础信息!AE13)</f>
        <v>23591.530756153494</v>
      </c>
      <c r="BC12" s="2">
        <f>其他调用!U13*6*(其他调用!AK$2*$AZ$1*MIN(其他调用!$AJ13/其他调用!AK13,1)+$E$4*0%*攻城基础信息!AF13)</f>
        <v>13395.965468925102</v>
      </c>
      <c r="BD12" s="2">
        <f>其他调用!V13*6*(其他调用!AL$2*$AZ$1*MIN(其他调用!$AJ13/其他调用!AL13,1)+$E$4*0%*攻城基础信息!AG13)</f>
        <v>5784.1008396871903</v>
      </c>
      <c r="BF12" s="2">
        <v>9</v>
      </c>
      <c r="BG12" s="2">
        <f>求节点(节奏总纲!D$4:D$163,AZ$4:AZ$163,$AN12)</f>
        <v>4637.1616841576461</v>
      </c>
      <c r="BH12" s="2">
        <f>求节点(节奏总纲!E$4:E$163,BA$4:BA$163,$AN12)</f>
        <v>14508.456323886849</v>
      </c>
      <c r="BI12" s="2">
        <f>求节点(节奏总纲!F$4:F$163,BB$4:BB$163,$AN12)</f>
        <v>45924.845545872689</v>
      </c>
      <c r="BJ12" s="2">
        <f>求节点(节奏总纲!G$4:G$163,BC$4:BC$163,$AN12)</f>
        <v>19856.716528732406</v>
      </c>
      <c r="BK12" s="2">
        <f>求节点(节奏总纲!H$4:H$163,BD$4:BD$163,$AN12)</f>
        <v>6955.4560211735243</v>
      </c>
      <c r="BL12" s="2">
        <f>BG12*其他调用!H13*其他调用!$M13</f>
        <v>226957.83491666435</v>
      </c>
      <c r="BM12" s="2">
        <f>BH12*其他调用!I13*其他调用!$M13</f>
        <v>322611.97116748814</v>
      </c>
      <c r="BN12" s="2">
        <f>BI12*其他调用!J13*其他调用!$M13</f>
        <v>122997.66036177422</v>
      </c>
      <c r="BO12" s="2">
        <f>BJ12*其他调用!K13*其他调用!$M13</f>
        <v>7284.330727996954</v>
      </c>
      <c r="BP12" s="2">
        <f>BK12*其他调用!L13*其他调用!$M13</f>
        <v>546.34354291337388</v>
      </c>
      <c r="BQ12" s="2">
        <f t="shared" si="1"/>
        <v>680398.14071683714</v>
      </c>
      <c r="BR12" s="2">
        <f>[1]服务器生态!$R11</f>
        <v>0.51872955602056114</v>
      </c>
      <c r="BS12" s="2" t="e">
        <f>SUMPRODUCT((BG$4:BG12)*($BR$4:$BR12)*(其他调用!#REF!))</f>
        <v>#REF!</v>
      </c>
      <c r="BT12" s="2" t="e">
        <f>SUMPRODUCT((BH$4:BH12)*($BR$4:$BR12)*(其他调用!#REF!))</f>
        <v>#REF!</v>
      </c>
      <c r="BU12" s="2" t="e">
        <f>SUMPRODUCT((BI$4:BI12)*($BR$4:$BR12)*(其他调用!#REF!))</f>
        <v>#REF!</v>
      </c>
      <c r="BV12" s="2" t="e">
        <f>SUMPRODUCT((BJ$4:BJ12)*($BR$4:$BR12)*(其他调用!#REF!))</f>
        <v>#REF!</v>
      </c>
      <c r="BW12" s="2" t="e">
        <f>SUMPRODUCT((BK$4:BK12)*($BR$4:$BR12)*(其他调用!#REF!))</f>
        <v>#REF!</v>
      </c>
      <c r="BX12" s="2" t="e">
        <f>SUMPRODUCT((BG$4:BG12)*($BR$4:$BR12))*'[1]功能-战损相关'!$D$2-BS12</f>
        <v>#REF!</v>
      </c>
      <c r="BY12" s="2" t="e">
        <f>SUMPRODUCT((BH$4:BH12)*($BR$4:$BR12))*'[1]功能-战损相关'!$D$2-BT12</f>
        <v>#REF!</v>
      </c>
      <c r="BZ12" s="2" t="e">
        <f>SUMPRODUCT((BI$4:BI12)*($BR$4:$BR12))*'[1]功能-战损相关'!$D$2-BU12</f>
        <v>#REF!</v>
      </c>
      <c r="CA12" s="2" t="e">
        <f>SUMPRODUCT((BJ$4:BJ12)*($BR$4:$BR12))*'[1]功能-战损相关'!$D$2-BV12</f>
        <v>#REF!</v>
      </c>
      <c r="CB12" s="2" t="e">
        <f>SUMPRODUCT((BK$4:BK12)*($BR$4:$BR12))*'[1]功能-战损相关'!$D$2-BW12</f>
        <v>#REF!</v>
      </c>
      <c r="CD12" s="2">
        <v>9</v>
      </c>
      <c r="CE12" s="7">
        <v>0</v>
      </c>
      <c r="CF12" s="2" t="e">
        <f>求节点(节奏总纲!R$4:R$363,BS$4:BS$363,$CD12)*$CE12</f>
        <v>#VALUE!</v>
      </c>
      <c r="CG12" s="2" t="e">
        <f>求节点(节奏总纲!S$4:S$363,BT$4:BT$363,$CD12)*$CE12</f>
        <v>#VALUE!</v>
      </c>
      <c r="CH12" s="2" t="e">
        <f>求节点(节奏总纲!T$4:T$363,BU$4:BU$363,$CD12)*$CE12</f>
        <v>#VALUE!</v>
      </c>
      <c r="CI12" s="2" t="e">
        <f>求节点(节奏总纲!U$4:U$363,BV$4:BV$363,$CD12)*$CE12</f>
        <v>#VALUE!</v>
      </c>
      <c r="CJ12" s="2" t="e">
        <f>求节点(节奏总纲!V$4:V$363,BW$4:BW$363,$CD12)*$CE12</f>
        <v>#VALUE!</v>
      </c>
      <c r="CK12" s="2" t="e">
        <f>求节点(节奏总纲!R$4:R$363,BX$4:BX$363,$CD12)*$CE12</f>
        <v>#VALUE!</v>
      </c>
      <c r="CL12" s="2" t="e">
        <f>求节点(节奏总纲!S$4:S$363,BY$4:BY$363,$CD12)*$CE12</f>
        <v>#VALUE!</v>
      </c>
      <c r="CM12" s="2" t="e">
        <f>求节点(节奏总纲!T$4:T$363,BZ$4:BZ$363,$CD12)*$CE12</f>
        <v>#VALUE!</v>
      </c>
      <c r="CN12" s="2" t="e">
        <f>求节点(节奏总纲!U$4:U$363,CA$4:CA$363,$CD12)*$CE12</f>
        <v>#VALUE!</v>
      </c>
      <c r="CO12" s="2" t="e">
        <f>求节点(节奏总纲!V$4:V$363,CB$4:CB$363,$CD12)*$CE12</f>
        <v>#VALUE!</v>
      </c>
    </row>
    <row r="13" spans="1:93" x14ac:dyDescent="0.15">
      <c r="D13" s="17" t="s">
        <v>54</v>
      </c>
      <c r="E13" s="4">
        <v>0.5</v>
      </c>
      <c r="F13" s="4"/>
      <c r="P13" s="18"/>
      <c r="Q13" s="1"/>
      <c r="R13" s="1"/>
      <c r="AA13" s="2">
        <v>10</v>
      </c>
      <c r="AB13" s="2">
        <f>攻城基础信息!X14*$E$12</f>
        <v>25616.762390214062</v>
      </c>
      <c r="AC13" s="2">
        <f>攻城基础信息!Y14*$E$12</f>
        <v>25539.529646548766</v>
      </c>
      <c r="AD13" s="2">
        <f>攻城基础信息!Z14*$E$12</f>
        <v>26101.574179177282</v>
      </c>
      <c r="AE13" s="2">
        <f>攻城基础信息!AA14*$E$12</f>
        <v>26779.960244008143</v>
      </c>
      <c r="AF13" s="2">
        <f>攻城基础信息!AB14*$E$12</f>
        <v>27265.833950453856</v>
      </c>
      <c r="AH13" s="2">
        <f>$E$4*AB13*攻城基础信息!AC14</f>
        <v>209203.55952008159</v>
      </c>
      <c r="AI13" s="2">
        <f>$E$4*AC13*攻城基础信息!AD14</f>
        <v>208572.82544681503</v>
      </c>
      <c r="AJ13" s="2">
        <f>$E$4*AD13*攻城基础信息!AE14</f>
        <v>213162.85579661455</v>
      </c>
      <c r="AK13" s="2">
        <f>$E$4*AE13*攻城基础信息!AF14</f>
        <v>218703.00865939996</v>
      </c>
      <c r="AL13" s="2">
        <f>$E$4*AF13*攻城基础信息!AG14</f>
        <v>222670.97726203993</v>
      </c>
      <c r="AN13" s="2">
        <v>10</v>
      </c>
      <c r="AO13" s="2">
        <f>求节点(节奏总纲!D$4:D$163,AH$4:AH$163,$AN13)*其他调用!H14*其他调用!$M14</f>
        <v>39381933.701909773</v>
      </c>
      <c r="AP13" s="2">
        <f>求节点(节奏总纲!E$4:E$163,AI$4:AI$163,$AN13)*其他调用!I14*其他调用!$M14</f>
        <v>22017384.15599307</v>
      </c>
      <c r="AQ13" s="2">
        <f>求节点(节奏总纲!F$4:F$163,AJ$4:AJ$163,$AN13)*其他调用!J14*其他调用!$M14</f>
        <v>3099120.3952427255</v>
      </c>
      <c r="AR13" s="2">
        <f>求节点(节奏总纲!G$4:G$163,AK$4:AK$163,$AN13)*其他调用!K14*其他调用!$M14</f>
        <v>581323.67848113109</v>
      </c>
      <c r="AS13" s="2">
        <f>求节点(节奏总纲!H$4:H$163,AL$4:AL$163,$AN13)*其他调用!L14*其他调用!$M14</f>
        <v>188619.9055741902</v>
      </c>
      <c r="AT13" s="2">
        <f t="shared" si="0"/>
        <v>65268381.837200888</v>
      </c>
      <c r="AY13" s="2">
        <v>10</v>
      </c>
      <c r="AZ13" s="2">
        <f>其他调用!R14*6*(其他调用!AH$2*$AZ$1*MIN(其他调用!$AJ14/其他调用!AH14,1)+$E$4*0%*攻城基础信息!AC14)</f>
        <v>2663.5791901156817</v>
      </c>
      <c r="BA13" s="2">
        <f>其他调用!S14*6*(其他调用!AI$2*$AZ$1*MIN(其他调用!$AJ14/其他调用!AI14,1)+$E$4*0%*攻城基础信息!AD14)</f>
        <v>8102.6137511931938</v>
      </c>
      <c r="BB13" s="2">
        <f>其他调用!T14*6*(其他调用!AJ$2*$AZ$1*MIN(其他调用!$AJ14/其他调用!AJ14,1)+$E$4*0%*攻城基础信息!AE14)</f>
        <v>24597.25759179251</v>
      </c>
      <c r="BC13" s="2">
        <f>其他调用!U14*6*(其他调用!AK$2*$AZ$1*MIN(其他调用!$AJ14/其他调用!AK14,1)+$E$4*0%*攻城基础信息!AF14)</f>
        <v>14362.844499380457</v>
      </c>
      <c r="BD13" s="2">
        <f>其他调用!V14*6*(其他调用!AL$2*$AZ$1*MIN(其他调用!$AJ14/其他调用!AL14,1)+$E$4*0%*攻城基础信息!AG14)</f>
        <v>5982.1067247922783</v>
      </c>
      <c r="BF13" s="2">
        <v>10</v>
      </c>
      <c r="BG13" s="2">
        <f>求节点(节奏总纲!D$4:D$163,AZ$4:AZ$163,$AN13)</f>
        <v>4743.3222349404314</v>
      </c>
      <c r="BH13" s="2">
        <f>求节点(节奏总纲!E$4:E$163,BA$4:BA$163,$AN13)</f>
        <v>14833.674399269768</v>
      </c>
      <c r="BI13" s="2">
        <f>求节点(节奏总纲!F$4:F$163,BB$4:BB$163,$AN13)</f>
        <v>46927.469496539248</v>
      </c>
      <c r="BJ13" s="2">
        <f>求节点(节奏总纲!G$4:G$163,BC$4:BC$163,$AN13)</f>
        <v>20185.14693432087</v>
      </c>
      <c r="BK13" s="2">
        <f>求节点(节奏总纲!H$4:H$163,BD$4:BD$163,$AN13)</f>
        <v>7126.8728007321006</v>
      </c>
      <c r="BL13" s="2">
        <f>BG13*其他调用!H14*其他调用!$M14</f>
        <v>230469.24694929848</v>
      </c>
      <c r="BM13" s="2">
        <f>BH13*其他调用!I14*其他调用!$M14</f>
        <v>345654.28260652005</v>
      </c>
      <c r="BN13" s="2">
        <f>BI13*其他调用!J14*其他调用!$M14</f>
        <v>127325.05275998171</v>
      </c>
      <c r="BO13" s="2">
        <f>BJ13*其他调用!K14*其他调用!$M14</f>
        <v>7584.204579347188</v>
      </c>
      <c r="BP13" s="2">
        <f>BK13*其他调用!L14*其他调用!$M14</f>
        <v>580.80002531749756</v>
      </c>
      <c r="BQ13" s="2">
        <f t="shared" si="1"/>
        <v>711613.58692046488</v>
      </c>
      <c r="BR13" s="2">
        <f>[1]服务器生态!$R12</f>
        <v>0.43777663218261703</v>
      </c>
      <c r="BS13" s="2" t="e">
        <f>SUMPRODUCT((BG$4:BG13)*($BR$4:$BR13)*(其他调用!#REF!))</f>
        <v>#REF!</v>
      </c>
      <c r="BT13" s="2" t="e">
        <f>SUMPRODUCT((BH$4:BH13)*($BR$4:$BR13)*(其他调用!#REF!))</f>
        <v>#REF!</v>
      </c>
      <c r="BU13" s="2" t="e">
        <f>SUMPRODUCT((BI$4:BI13)*($BR$4:$BR13)*(其他调用!#REF!))</f>
        <v>#REF!</v>
      </c>
      <c r="BV13" s="2" t="e">
        <f>SUMPRODUCT((BJ$4:BJ13)*($BR$4:$BR13)*(其他调用!#REF!))</f>
        <v>#REF!</v>
      </c>
      <c r="BW13" s="2" t="e">
        <f>SUMPRODUCT((BK$4:BK13)*($BR$4:$BR13)*(其他调用!#REF!))</f>
        <v>#REF!</v>
      </c>
      <c r="BX13" s="2" t="e">
        <f>SUMPRODUCT((BG$4:BG13)*($BR$4:$BR13))*'[1]功能-战损相关'!$D$2-BS13</f>
        <v>#REF!</v>
      </c>
      <c r="BY13" s="2" t="e">
        <f>SUMPRODUCT((BH$4:BH13)*($BR$4:$BR13))*'[1]功能-战损相关'!$D$2-BT13</f>
        <v>#REF!</v>
      </c>
      <c r="BZ13" s="2" t="e">
        <f>SUMPRODUCT((BI$4:BI13)*($BR$4:$BR13))*'[1]功能-战损相关'!$D$2-BU13</f>
        <v>#REF!</v>
      </c>
      <c r="CA13" s="2" t="e">
        <f>SUMPRODUCT((BJ$4:BJ13)*($BR$4:$BR13))*'[1]功能-战损相关'!$D$2-BV13</f>
        <v>#REF!</v>
      </c>
      <c r="CB13" s="2" t="e">
        <f>SUMPRODUCT((BK$4:BK13)*($BR$4:$BR13))*'[1]功能-战损相关'!$D$2-BW13</f>
        <v>#REF!</v>
      </c>
      <c r="CD13" s="2">
        <v>10</v>
      </c>
      <c r="CE13" s="7">
        <v>0.2</v>
      </c>
      <c r="CF13" s="2" t="e">
        <f>求节点(节奏总纲!R$4:R$363,BS$4:BS$363,$CD13)*$CE13</f>
        <v>#VALUE!</v>
      </c>
      <c r="CG13" s="2" t="e">
        <f>求节点(节奏总纲!S$4:S$363,BT$4:BT$363,$CD13)*$CE13</f>
        <v>#VALUE!</v>
      </c>
      <c r="CH13" s="2" t="e">
        <f>求节点(节奏总纲!T$4:T$363,BU$4:BU$363,$CD13)*$CE13</f>
        <v>#VALUE!</v>
      </c>
      <c r="CI13" s="2" t="e">
        <f>求节点(节奏总纲!U$4:U$363,BV$4:BV$363,$CD13)*$CE13</f>
        <v>#VALUE!</v>
      </c>
      <c r="CJ13" s="2" t="e">
        <f>求节点(节奏总纲!V$4:V$363,BW$4:BW$363,$CD13)*$CE13</f>
        <v>#VALUE!</v>
      </c>
      <c r="CK13" s="2" t="e">
        <f>求节点(节奏总纲!R$4:R$363,BX$4:BX$363,$CD13)*$CE13</f>
        <v>#VALUE!</v>
      </c>
      <c r="CL13" s="2" t="e">
        <f>求节点(节奏总纲!S$4:S$363,BY$4:BY$363,$CD13)*$CE13</f>
        <v>#VALUE!</v>
      </c>
      <c r="CM13" s="2" t="e">
        <f>求节点(节奏总纲!T$4:T$363,BZ$4:BZ$363,$CD13)*$CE13</f>
        <v>#VALUE!</v>
      </c>
      <c r="CN13" s="2" t="e">
        <f>求节点(节奏总纲!U$4:U$363,CA$4:CA$363,$CD13)*$CE13</f>
        <v>#VALUE!</v>
      </c>
      <c r="CO13" s="2" t="e">
        <f>求节点(节奏总纲!V$4:V$363,CB$4:CB$363,$CD13)*$CE13</f>
        <v>#VALUE!</v>
      </c>
    </row>
    <row r="14" spans="1:93" x14ac:dyDescent="0.15">
      <c r="AA14" s="2">
        <v>11</v>
      </c>
      <c r="AB14" s="2">
        <f>攻城基础信息!X15*$E$12</f>
        <v>26555.291946937064</v>
      </c>
      <c r="AC14" s="2">
        <f>攻城基础信息!Y15*$E$12</f>
        <v>26397.749191497536</v>
      </c>
      <c r="AD14" s="2">
        <f>攻城基础信息!Z15*$E$12</f>
        <v>27198.949633975481</v>
      </c>
      <c r="AE14" s="2">
        <f>攻城基础信息!AA15*$E$12</f>
        <v>27733.0398954183</v>
      </c>
      <c r="AF14" s="2">
        <f>攻城基础信息!AB15*$E$12</f>
        <v>28381.164711326648</v>
      </c>
      <c r="AH14" s="2">
        <f>$E$4*AB14*攻城基础信息!AC15</f>
        <v>223064.45235427146</v>
      </c>
      <c r="AI14" s="2">
        <f>$E$4*AC14*攻城基础信息!AD15</f>
        <v>221741.0932085794</v>
      </c>
      <c r="AJ14" s="2">
        <f>$E$4*AD14*攻城基础信息!AE15</f>
        <v>228471.17692539416</v>
      </c>
      <c r="AK14" s="2">
        <f>$E$4*AE14*攻城基础信息!AF15</f>
        <v>232957.53512151385</v>
      </c>
      <c r="AL14" s="2">
        <f>$E$4*AF14*攻城基础信息!AG15</f>
        <v>238401.78357514396</v>
      </c>
      <c r="AN14" s="2">
        <v>11</v>
      </c>
      <c r="AO14" s="2">
        <f>求节点(节奏总纲!D$4:D$163,AH$4:AH$163,$AN14)*其他调用!H15*其他调用!$M15</f>
        <v>41947662.708253019</v>
      </c>
      <c r="AP14" s="2">
        <f>求节点(节奏总纲!E$4:E$163,AI$4:AI$163,$AN14)*其他调用!I15*其他调用!$M15</f>
        <v>24625249.683543544</v>
      </c>
      <c r="AQ14" s="2">
        <f>求节点(节奏总纲!F$4:F$163,AJ$4:AJ$163,$AN14)*其他调用!J15*其他调用!$M15</f>
        <v>3322823.6132039083</v>
      </c>
      <c r="AR14" s="2">
        <f>求节点(节奏总纲!G$4:G$163,AK$4:AK$163,$AN14)*其他调用!K15*其他调用!$M15</f>
        <v>638552.21216227894</v>
      </c>
      <c r="AS14" s="2">
        <f>求节点(节奏总纲!H$4:H$163,AL$4:AL$163,$AN14)*其他调用!L15*其他调用!$M15</f>
        <v>205485.98275192821</v>
      </c>
      <c r="AT14" s="2">
        <f t="shared" si="0"/>
        <v>70739774.199914679</v>
      </c>
      <c r="AY14" s="2">
        <v>11</v>
      </c>
      <c r="AZ14" s="2">
        <f>其他调用!R15*6*(其他调用!AH$2*$AZ$1*MIN(其他调用!$AJ15/其他调用!AH15,1)+$E$4*0%*攻城基础信息!AC15)</f>
        <v>2765.7275197961158</v>
      </c>
      <c r="BA14" s="2">
        <f>其他调用!S15*6*(其他调用!AI$2*$AZ$1*MIN(其他调用!$AJ15/其他调用!AI15,1)+$E$4*0%*攻城基础信息!AD15)</f>
        <v>8412.5153988922048</v>
      </c>
      <c r="BB14" s="2">
        <f>其他调用!T15*6*(其他调用!AJ$2*$AZ$1*MIN(其他调用!$AJ15/其他调用!AJ15,1)+$E$4*0%*攻城基础信息!AE15)</f>
        <v>25643.877454699923</v>
      </c>
      <c r="BC14" s="2">
        <f>其他调用!U15*6*(其他调用!AK$2*$AZ$1*MIN(其他调用!$AJ15/其他调用!AK15,1)+$E$4*0%*攻城基础信息!AF15)</f>
        <v>15027.267689314709</v>
      </c>
      <c r="BD14" s="2">
        <f>其他调用!V15*6*(其他调用!AL$2*$AZ$1*MIN(其他调用!$AJ15/其他调用!AL15,1)+$E$4*0%*攻城基础信息!AG15)</f>
        <v>6079.5494509860964</v>
      </c>
      <c r="BF14" s="2">
        <v>11</v>
      </c>
      <c r="BG14" s="2">
        <f>求节点(节奏总纲!D$4:D$163,AZ$4:AZ$163,$AN14)</f>
        <v>4840.763833307853</v>
      </c>
      <c r="BH14" s="2">
        <f>求节点(节奏总纲!E$4:E$163,BA$4:BA$163,$AN14)</f>
        <v>15128.956775582239</v>
      </c>
      <c r="BI14" s="2">
        <f>求节点(节奏总纲!F$4:F$163,BB$4:BB$163,$AN14)</f>
        <v>47821.738275450945</v>
      </c>
      <c r="BJ14" s="2">
        <f>求节点(节奏总纲!G$4:G$163,BC$4:BC$163,$AN14)</f>
        <v>20637.427134000569</v>
      </c>
      <c r="BK14" s="2">
        <f>求节点(节奏总纲!H$4:H$163,BD$4:BD$163,$AN14)</f>
        <v>7275.3897495222118</v>
      </c>
      <c r="BL14" s="2">
        <f>BG14*其他调用!H15*其他调用!$M15</f>
        <v>233401.25805047093</v>
      </c>
      <c r="BM14" s="2">
        <f>BH14*其他调用!I15*其他调用!$M15</f>
        <v>368916.67079534143</v>
      </c>
      <c r="BN14" s="2">
        <f>BI14*其他调用!J15*其他调用!$M15</f>
        <v>131432.24991642562</v>
      </c>
      <c r="BO14" s="2">
        <f>BJ14*其他调用!K15*其他调用!$M15</f>
        <v>7939.6952914409103</v>
      </c>
      <c r="BP14" s="2">
        <f>BK14*其他调用!L15*其他调用!$M15</f>
        <v>614.64760257911541</v>
      </c>
      <c r="BQ14" s="2">
        <f t="shared" si="1"/>
        <v>742304.52165625803</v>
      </c>
      <c r="BR14" s="2">
        <f>[1]服务器生态!$R13</f>
        <v>0.35682370834467292</v>
      </c>
      <c r="BS14" s="2" t="e">
        <f>SUMPRODUCT((BG$4:BG14)*($BR$4:$BR14)*(其他调用!#REF!))</f>
        <v>#REF!</v>
      </c>
      <c r="BT14" s="2" t="e">
        <f>SUMPRODUCT((BH$4:BH14)*($BR$4:$BR14)*(其他调用!#REF!))</f>
        <v>#REF!</v>
      </c>
      <c r="BU14" s="2" t="e">
        <f>SUMPRODUCT((BI$4:BI14)*($BR$4:$BR14)*(其他调用!#REF!))</f>
        <v>#REF!</v>
      </c>
      <c r="BV14" s="2" t="e">
        <f>SUMPRODUCT((BJ$4:BJ14)*($BR$4:$BR14)*(其他调用!#REF!))</f>
        <v>#REF!</v>
      </c>
      <c r="BW14" s="2" t="e">
        <f>SUMPRODUCT((BK$4:BK14)*($BR$4:$BR14)*(其他调用!#REF!))</f>
        <v>#REF!</v>
      </c>
      <c r="BX14" s="2" t="e">
        <f>SUMPRODUCT((BG$4:BG14)*($BR$4:$BR14))*'[1]功能-战损相关'!$D$2-BS14</f>
        <v>#REF!</v>
      </c>
      <c r="BY14" s="2" t="e">
        <f>SUMPRODUCT((BH$4:BH14)*($BR$4:$BR14))*'[1]功能-战损相关'!$D$2-BT14</f>
        <v>#REF!</v>
      </c>
      <c r="BZ14" s="2" t="e">
        <f>SUMPRODUCT((BI$4:BI14)*($BR$4:$BR14))*'[1]功能-战损相关'!$D$2-BU14</f>
        <v>#REF!</v>
      </c>
      <c r="CA14" s="2" t="e">
        <f>SUMPRODUCT((BJ$4:BJ14)*($BR$4:$BR14))*'[1]功能-战损相关'!$D$2-BV14</f>
        <v>#REF!</v>
      </c>
      <c r="CB14" s="2" t="e">
        <f>SUMPRODUCT((BK$4:BK14)*($BR$4:$BR14))*'[1]功能-战损相关'!$D$2-BW14</f>
        <v>#REF!</v>
      </c>
      <c r="CD14" s="2">
        <v>11</v>
      </c>
      <c r="CE14" s="7">
        <v>0.4</v>
      </c>
      <c r="CF14" s="2" t="e">
        <f>求节点(节奏总纲!R$4:R$363,BS$4:BS$363,$CD14)*$CE14</f>
        <v>#VALUE!</v>
      </c>
      <c r="CG14" s="2" t="e">
        <f>求节点(节奏总纲!S$4:S$363,BT$4:BT$363,$CD14)*$CE14</f>
        <v>#VALUE!</v>
      </c>
      <c r="CH14" s="2" t="e">
        <f>求节点(节奏总纲!T$4:T$363,BU$4:BU$363,$CD14)*$CE14</f>
        <v>#VALUE!</v>
      </c>
      <c r="CI14" s="2" t="e">
        <f>求节点(节奏总纲!U$4:U$363,BV$4:BV$363,$CD14)*$CE14</f>
        <v>#VALUE!</v>
      </c>
      <c r="CJ14" s="2" t="e">
        <f>求节点(节奏总纲!V$4:V$363,BW$4:BW$363,$CD14)*$CE14</f>
        <v>#VALUE!</v>
      </c>
      <c r="CK14" s="2" t="e">
        <f>求节点(节奏总纲!R$4:R$363,BX$4:BX$363,$CD14)*$CE14</f>
        <v>#VALUE!</v>
      </c>
      <c r="CL14" s="2" t="e">
        <f>求节点(节奏总纲!S$4:S$363,BY$4:BY$363,$CD14)*$CE14</f>
        <v>#VALUE!</v>
      </c>
      <c r="CM14" s="2" t="e">
        <f>求节点(节奏总纲!T$4:T$363,BZ$4:BZ$363,$CD14)*$CE14</f>
        <v>#VALUE!</v>
      </c>
      <c r="CN14" s="2" t="e">
        <f>求节点(节奏总纲!U$4:U$363,CA$4:CA$363,$CD14)*$CE14</f>
        <v>#VALUE!</v>
      </c>
      <c r="CO14" s="2" t="e">
        <f>求节点(节奏总纲!V$4:V$363,CB$4:CB$363,$CD14)*$CE14</f>
        <v>#VALUE!</v>
      </c>
    </row>
    <row r="15" spans="1:93" x14ac:dyDescent="0.15">
      <c r="H15" s="66" t="s">
        <v>57</v>
      </c>
      <c r="I15" s="66"/>
      <c r="AA15" s="2">
        <v>12</v>
      </c>
      <c r="AB15" s="2">
        <f>攻城基础信息!X16*$E$12</f>
        <v>27519.540428075594</v>
      </c>
      <c r="AC15" s="2">
        <f>攻城基础信息!Y16*$E$12</f>
        <v>28015.736062553155</v>
      </c>
      <c r="AD15" s="2">
        <f>攻城基础信息!Z16*$E$12</f>
        <v>28078.142505810687</v>
      </c>
      <c r="AE15" s="2">
        <f>攻城基础信息!AA16*$E$12</f>
        <v>28698.364733775074</v>
      </c>
      <c r="AF15" s="2">
        <f>攻城基础信息!AB16*$E$12</f>
        <v>29425.417923783065</v>
      </c>
      <c r="AH15" s="2">
        <f>$E$4*AB15*攻城基础信息!AC16</f>
        <v>237585.36569571943</v>
      </c>
      <c r="AI15" s="2">
        <f>$E$4*AC15*攻城基础信息!AD16</f>
        <v>241869.18800670904</v>
      </c>
      <c r="AJ15" s="2">
        <f>$E$4*AD15*攻城基础信息!AE16</f>
        <v>242407.96363349908</v>
      </c>
      <c r="AK15" s="2">
        <f>$E$4*AE15*攻城基础信息!AF16</f>
        <v>247762.54886825825</v>
      </c>
      <c r="AL15" s="2">
        <f>$E$4*AF15*攻城基础信息!AG16</f>
        <v>254039.44140866061</v>
      </c>
      <c r="AN15" s="2">
        <v>12</v>
      </c>
      <c r="AO15" s="2">
        <f>求节点(节奏总纲!D$4:D$163,AH$4:AH$163,$AN15)*其他调用!H16*其他调用!$M16</f>
        <v>44561814.470586203</v>
      </c>
      <c r="AP15" s="2">
        <f>求节点(节奏总纲!E$4:E$163,AI$4:AI$163,$AN15)*其他调用!I16*其他调用!$M16</f>
        <v>27426443.039660729</v>
      </c>
      <c r="AQ15" s="2">
        <f>求节点(节奏总纲!F$4:F$163,AJ$4:AJ$163,$AN15)*其他调用!J16*其他调用!$M16</f>
        <v>3547389.6692676558</v>
      </c>
      <c r="AR15" s="2">
        <f>求节点(节奏总纲!G$4:G$163,AK$4:AK$163,$AN15)*其他调用!K16*其他调用!$M16</f>
        <v>706140.94005780504</v>
      </c>
      <c r="AS15" s="2">
        <f>求节点(节奏总纲!H$4:H$163,AL$4:AL$163,$AN15)*其他调用!L16*其他调用!$M16</f>
        <v>224619.06744210361</v>
      </c>
      <c r="AT15" s="2">
        <f t="shared" si="0"/>
        <v>76466407.18701449</v>
      </c>
      <c r="AY15" s="2">
        <v>12</v>
      </c>
      <c r="AZ15" s="2">
        <f>其他调用!R16*6*(其他调用!AH$2*$AZ$1*MIN(其他调用!$AJ16/其他调用!AH16,1)+$E$4*0%*攻城基础信息!AC16)</f>
        <v>2861.0558756458781</v>
      </c>
      <c r="BA15" s="2">
        <f>其他调用!S16*6*(其他调用!AI$2*$AZ$1*MIN(其他调用!$AJ16/其他调用!AI16,1)+$E$4*0%*攻城基础信息!AD16)</f>
        <v>8711.259688660537</v>
      </c>
      <c r="BB15" s="2">
        <f>其他调用!T16*6*(其他调用!AJ$2*$AZ$1*MIN(其他调用!$AJ16/其他调用!AJ16,1)+$E$4*0%*攻城基础信息!AE16)</f>
        <v>26562.85158812163</v>
      </c>
      <c r="BC15" s="2">
        <f>其他调用!U16*6*(其他调用!AK$2*$AZ$1*MIN(其他调用!$AJ16/其他调用!AK16,1)+$E$4*0%*攻城基础信息!AF16)</f>
        <v>15394.683473110292</v>
      </c>
      <c r="BD15" s="2">
        <f>其他调用!V16*6*(其他调用!AL$2*$AZ$1*MIN(其他调用!$AJ16/其他调用!AL16,1)+$E$4*0%*攻城基础信息!AG16)</f>
        <v>6027.8251291699853</v>
      </c>
      <c r="BF15" s="2">
        <v>12</v>
      </c>
      <c r="BG15" s="2">
        <f>求节点(节奏总纲!D$4:D$163,AZ$4:AZ$163,$AN15)</f>
        <v>4931.1529542191247</v>
      </c>
      <c r="BH15" s="2">
        <f>求节点(节奏总纲!E$4:E$163,BA$4:BA$163,$AN15)</f>
        <v>15403.411861907272</v>
      </c>
      <c r="BI15" s="2">
        <f>求节点(节奏总纲!F$4:F$163,BB$4:BB$163,$AN15)</f>
        <v>48638.131421329759</v>
      </c>
      <c r="BJ15" s="2">
        <f>求节点(节奏总纲!G$4:G$163,BC$4:BC$163,$AN15)</f>
        <v>21095.077168712771</v>
      </c>
      <c r="BK15" s="2">
        <f>求节点(节奏总纲!H$4:H$163,BD$4:BD$163,$AN15)</f>
        <v>7403.5342782712232</v>
      </c>
      <c r="BL15" s="2">
        <f>BG15*其他调用!H16*其他调用!$M16</f>
        <v>237065.88293573607</v>
      </c>
      <c r="BM15" s="2">
        <f>BH15*其他调用!I16*其他调用!$M16</f>
        <v>394592.36474332842</v>
      </c>
      <c r="BN15" s="2">
        <f>BI15*其他调用!J16*其他调用!$M16</f>
        <v>136097.85248695887</v>
      </c>
      <c r="BO15" s="2">
        <f>BJ15*其他调用!K16*其他调用!$M16</f>
        <v>8350.8687903924056</v>
      </c>
      <c r="BP15" s="2">
        <f>BK15*其他调用!L16*其他调用!$M16</f>
        <v>651.29406310242382</v>
      </c>
      <c r="BQ15" s="2">
        <f t="shared" si="1"/>
        <v>776758.26301951823</v>
      </c>
      <c r="BR15" s="2">
        <f>[1]服务器生态!$R14</f>
        <v>0.27587078450672881</v>
      </c>
      <c r="BS15" s="2" t="e">
        <f>SUMPRODUCT((BG$4:BG15)*($BR$4:$BR15)*(其他调用!#REF!))</f>
        <v>#REF!</v>
      </c>
      <c r="BT15" s="2" t="e">
        <f>SUMPRODUCT((BH$4:BH15)*($BR$4:$BR15)*(其他调用!#REF!))</f>
        <v>#REF!</v>
      </c>
      <c r="BU15" s="2" t="e">
        <f>SUMPRODUCT((BI$4:BI15)*($BR$4:$BR15)*(其他调用!#REF!))</f>
        <v>#REF!</v>
      </c>
      <c r="BV15" s="2" t="e">
        <f>SUMPRODUCT((BJ$4:BJ15)*($BR$4:$BR15)*(其他调用!#REF!))</f>
        <v>#REF!</v>
      </c>
      <c r="BW15" s="2" t="e">
        <f>SUMPRODUCT((BK$4:BK15)*($BR$4:$BR15)*(其他调用!#REF!))</f>
        <v>#REF!</v>
      </c>
      <c r="BX15" s="2" t="e">
        <f>SUMPRODUCT((BG$4:BG15)*($BR$4:$BR15))*'[1]功能-战损相关'!$D$2-BS15</f>
        <v>#REF!</v>
      </c>
      <c r="BY15" s="2" t="e">
        <f>SUMPRODUCT((BH$4:BH15)*($BR$4:$BR15))*'[1]功能-战损相关'!$D$2-BT15</f>
        <v>#REF!</v>
      </c>
      <c r="BZ15" s="2" t="e">
        <f>SUMPRODUCT((BI$4:BI15)*($BR$4:$BR15))*'[1]功能-战损相关'!$D$2-BU15</f>
        <v>#REF!</v>
      </c>
      <c r="CA15" s="2" t="e">
        <f>SUMPRODUCT((BJ$4:BJ15)*($BR$4:$BR15))*'[1]功能-战损相关'!$D$2-BV15</f>
        <v>#REF!</v>
      </c>
      <c r="CB15" s="2" t="e">
        <f>SUMPRODUCT((BK$4:BK15)*($BR$4:$BR15))*'[1]功能-战损相关'!$D$2-BW15</f>
        <v>#REF!</v>
      </c>
      <c r="CD15" s="2">
        <v>12</v>
      </c>
      <c r="CE15" s="7">
        <v>0.6</v>
      </c>
      <c r="CF15" s="2" t="e">
        <f>求节点(节奏总纲!R$4:R$363,BS$4:BS$363,$CD15)*$CE15</f>
        <v>#VALUE!</v>
      </c>
      <c r="CG15" s="2" t="e">
        <f>求节点(节奏总纲!S$4:S$363,BT$4:BT$363,$CD15)*$CE15</f>
        <v>#VALUE!</v>
      </c>
      <c r="CH15" s="2" t="e">
        <f>求节点(节奏总纲!T$4:T$363,BU$4:BU$363,$CD15)*$CE15</f>
        <v>#VALUE!</v>
      </c>
      <c r="CI15" s="2" t="e">
        <f>求节点(节奏总纲!U$4:U$363,BV$4:BV$363,$CD15)*$CE15</f>
        <v>#VALUE!</v>
      </c>
      <c r="CJ15" s="2" t="e">
        <f>求节点(节奏总纲!V$4:V$363,BW$4:BW$363,$CD15)*$CE15</f>
        <v>#VALUE!</v>
      </c>
      <c r="CK15" s="2" t="e">
        <f>求节点(节奏总纲!R$4:R$363,BX$4:BX$363,$CD15)*$CE15</f>
        <v>#VALUE!</v>
      </c>
      <c r="CL15" s="2" t="e">
        <f>求节点(节奏总纲!S$4:S$363,BY$4:BY$363,$CD15)*$CE15</f>
        <v>#VALUE!</v>
      </c>
      <c r="CM15" s="2" t="e">
        <f>求节点(节奏总纲!T$4:T$363,BZ$4:BZ$363,$CD15)*$CE15</f>
        <v>#VALUE!</v>
      </c>
      <c r="CN15" s="2" t="e">
        <f>求节点(节奏总纲!U$4:U$363,CA$4:CA$363,$CD15)*$CE15</f>
        <v>#VALUE!</v>
      </c>
      <c r="CO15" s="2" t="e">
        <f>求节点(节奏总纲!V$4:V$363,CB$4:CB$363,$CD15)*$CE15</f>
        <v>#VALUE!</v>
      </c>
    </row>
    <row r="16" spans="1:93" x14ac:dyDescent="0.15">
      <c r="C16" s="2" t="s">
        <v>174</v>
      </c>
      <c r="D16" s="2" t="s">
        <v>172</v>
      </c>
      <c r="E16" s="2" t="s">
        <v>173</v>
      </c>
      <c r="F16" s="2" t="s">
        <v>94</v>
      </c>
      <c r="G16" s="6" t="s">
        <v>55</v>
      </c>
      <c r="H16" s="2" t="s">
        <v>58</v>
      </c>
      <c r="I16" s="19" t="s">
        <v>59</v>
      </c>
      <c r="J16" s="2" t="s">
        <v>158</v>
      </c>
      <c r="K16" s="2" t="s">
        <v>159</v>
      </c>
      <c r="L16" s="2" t="s">
        <v>160</v>
      </c>
      <c r="P16" s="2" t="s">
        <v>164</v>
      </c>
      <c r="Q16" s="2" t="s">
        <v>163</v>
      </c>
      <c r="R16" s="2" t="s">
        <v>165</v>
      </c>
      <c r="S16" s="2" t="s">
        <v>166</v>
      </c>
      <c r="T16" s="2" t="s">
        <v>167</v>
      </c>
      <c r="AA16" s="2">
        <v>13</v>
      </c>
      <c r="AB16" s="2">
        <f>攻城基础信息!X17*$E$12</f>
        <v>28510.702567688702</v>
      </c>
      <c r="AC16" s="2">
        <f>攻城基础信息!Y17*$E$12</f>
        <v>29021.893009065923</v>
      </c>
      <c r="AD16" s="2">
        <f>攻城基础信息!Z17*$E$12</f>
        <v>29704.880771819844</v>
      </c>
      <c r="AE16" s="2">
        <f>攻城基础信息!AA17*$E$12</f>
        <v>29682.09504416223</v>
      </c>
      <c r="AF16" s="2">
        <f>攻城基础信息!AB17*$E$12</f>
        <v>30492.177176911289</v>
      </c>
      <c r="AH16" s="2">
        <f>$E$4*AB16*攻城基础信息!AC17</f>
        <v>252794.89610017333</v>
      </c>
      <c r="AI16" s="2">
        <f>$E$4*AC16*攻城基础信息!AD17</f>
        <v>257327.45134705136</v>
      </c>
      <c r="AJ16" s="2">
        <f>$E$4*AD16*攻城基础信息!AE17</f>
        <v>263383.27617680276</v>
      </c>
      <c r="AK16" s="2">
        <f>$E$4*AE16*攻城基础信息!AF17</f>
        <v>263181.24272490526</v>
      </c>
      <c r="AL16" s="2">
        <f>$E$4*AF16*攻城基础信息!AG17</f>
        <v>270363.97096861358</v>
      </c>
      <c r="AN16" s="2">
        <v>13</v>
      </c>
      <c r="AO16" s="2">
        <f>求节点(节奏总纲!D$4:D$163,AH$4:AH$163,$AN16)*其他调用!H17*其他调用!$M17</f>
        <v>47102691.906323917</v>
      </c>
      <c r="AP16" s="2">
        <f>求节点(节奏总纲!E$4:E$163,AI$4:AI$163,$AN16)*其他调用!I17*其他调用!$M17</f>
        <v>30294545.29509953</v>
      </c>
      <c r="AQ16" s="2">
        <f>求节点(节奏总纲!F$4:F$163,AJ$4:AJ$163,$AN16)*其他调用!J17*其他调用!$M17</f>
        <v>3774013.7794715785</v>
      </c>
      <c r="AR16" s="2">
        <f>求节点(节奏总纲!G$4:G$163,AK$4:AK$163,$AN16)*其他调用!K17*其他调用!$M17</f>
        <v>765469.75083193311</v>
      </c>
      <c r="AS16" s="2">
        <f>求节点(节奏总纲!H$4:H$163,AL$4:AL$163,$AN16)*其他调用!L17*其他调用!$M17</f>
        <v>244857.7461139957</v>
      </c>
      <c r="AT16" s="2">
        <f t="shared" si="0"/>
        <v>82181578.47784096</v>
      </c>
      <c r="AY16" s="2">
        <v>13</v>
      </c>
      <c r="AZ16" s="2">
        <f>其他调用!R17*6*(其他调用!AH$2*$AZ$1*MIN(其他调用!$AJ17/其他调用!AH17,1)+$E$4*0%*攻城基础信息!AC17)</f>
        <v>2957.1829108997458</v>
      </c>
      <c r="BA16" s="2">
        <f>其他调用!S17*6*(其他调用!AI$2*$AZ$1*MIN(其他调用!$AJ17/其他调用!AI17,1)+$E$4*0%*攻城基础信息!AD17)</f>
        <v>9005.6534813339713</v>
      </c>
      <c r="BB16" s="2">
        <f>其他调用!T17*6*(其他调用!AJ$2*$AZ$1*MIN(其他调用!$AJ17/其他调用!AJ17,1)+$E$4*0%*攻城基础信息!AE17)</f>
        <v>27491.809333821766</v>
      </c>
      <c r="BC16" s="2">
        <f>其他调用!U17*6*(其他调用!AK$2*$AZ$1*MIN(其他调用!$AJ17/其他调用!AK17,1)+$E$4*0%*攻城基础信息!AF17)</f>
        <v>15776.584100553047</v>
      </c>
      <c r="BD16" s="2">
        <f>其他调用!V17*6*(其他调用!AL$2*$AZ$1*MIN(其他调用!$AJ17/其他调用!AL17,1)+$E$4*0%*攻城基础信息!AG17)</f>
        <v>5990.9419047642277</v>
      </c>
      <c r="BF16" s="2">
        <v>13</v>
      </c>
      <c r="BG16" s="2">
        <f>求节点(节奏总纲!D$4:D$163,AZ$4:AZ$163,$AN16)</f>
        <v>5013.5544735906005</v>
      </c>
      <c r="BH16" s="2">
        <f>求节点(节奏总纲!E$4:E$163,BA$4:BA$163,$AN16)</f>
        <v>15654.9508850161</v>
      </c>
      <c r="BI16" s="2">
        <f>求节点(节奏总纲!F$4:F$163,BB$4:BB$163,$AN16)</f>
        <v>49392.747384297181</v>
      </c>
      <c r="BJ16" s="2">
        <f>求节点(节奏总纲!G$4:G$163,BC$4:BC$163,$AN16)</f>
        <v>21564.386880630547</v>
      </c>
      <c r="BK16" s="2">
        <f>求节点(节奏总纲!H$4:H$163,BD$4:BD$163,$AN16)</f>
        <v>7523.7168661044034</v>
      </c>
      <c r="BL16" s="2">
        <f>BG16*其他调用!H17*其他调用!$M17</f>
        <v>240577.24404835739</v>
      </c>
      <c r="BM16" s="2">
        <f>BH16*其他调用!I17*其他调用!$M17</f>
        <v>421411.78352030355</v>
      </c>
      <c r="BN16" s="2">
        <f>BI16*其他调用!J17*其他调用!$M17</f>
        <v>140907.15962028634</v>
      </c>
      <c r="BO16" s="2">
        <f>BJ16*其他调用!K17*其他调用!$M17</f>
        <v>8794.5541375578323</v>
      </c>
      <c r="BP16" s="2">
        <f>BK16*其他调用!L17*其他调用!$M17</f>
        <v>689.71262922298604</v>
      </c>
      <c r="BQ16" s="2">
        <f t="shared" si="1"/>
        <v>812380.4539557281</v>
      </c>
      <c r="BR16" s="2">
        <f>[1]服务器生态!$R15</f>
        <v>0.2589056500568222</v>
      </c>
      <c r="BS16" s="2" t="e">
        <f>SUMPRODUCT((BG$4:BG16)*($BR$4:$BR16)*(其他调用!#REF!))</f>
        <v>#REF!</v>
      </c>
      <c r="BT16" s="2" t="e">
        <f>SUMPRODUCT((BH$4:BH16)*($BR$4:$BR16)*(其他调用!#REF!))</f>
        <v>#REF!</v>
      </c>
      <c r="BU16" s="2" t="e">
        <f>SUMPRODUCT((BI$4:BI16)*($BR$4:$BR16)*(其他调用!#REF!))</f>
        <v>#REF!</v>
      </c>
      <c r="BV16" s="2" t="e">
        <f>SUMPRODUCT((BJ$4:BJ16)*($BR$4:$BR16)*(其他调用!#REF!))</f>
        <v>#REF!</v>
      </c>
      <c r="BW16" s="2" t="e">
        <f>SUMPRODUCT((BK$4:BK16)*($BR$4:$BR16)*(其他调用!#REF!))</f>
        <v>#REF!</v>
      </c>
      <c r="BX16" s="2" t="e">
        <f>SUMPRODUCT((BG$4:BG16)*($BR$4:$BR16))*'[1]功能-战损相关'!$D$2-BS16</f>
        <v>#REF!</v>
      </c>
      <c r="BY16" s="2" t="e">
        <f>SUMPRODUCT((BH$4:BH16)*($BR$4:$BR16))*'[1]功能-战损相关'!$D$2-BT16</f>
        <v>#REF!</v>
      </c>
      <c r="BZ16" s="2" t="e">
        <f>SUMPRODUCT((BI$4:BI16)*($BR$4:$BR16))*'[1]功能-战损相关'!$D$2-BU16</f>
        <v>#REF!</v>
      </c>
      <c r="CA16" s="2" t="e">
        <f>SUMPRODUCT((BJ$4:BJ16)*($BR$4:$BR16))*'[1]功能-战损相关'!$D$2-BV16</f>
        <v>#REF!</v>
      </c>
      <c r="CB16" s="2" t="e">
        <f>SUMPRODUCT((BK$4:BK16)*($BR$4:$BR16))*'[1]功能-战损相关'!$D$2-BW16</f>
        <v>#REF!</v>
      </c>
      <c r="CD16" s="2">
        <v>13</v>
      </c>
      <c r="CE16" s="7">
        <v>0.8</v>
      </c>
      <c r="CF16" s="2" t="e">
        <f>求节点(节奏总纲!R$4:R$363,BS$4:BS$363,$CD16)*$CE16</f>
        <v>#VALUE!</v>
      </c>
      <c r="CG16" s="2" t="e">
        <f>求节点(节奏总纲!S$4:S$363,BT$4:BT$363,$CD16)*$CE16</f>
        <v>#VALUE!</v>
      </c>
      <c r="CH16" s="2" t="e">
        <f>求节点(节奏总纲!T$4:T$363,BU$4:BU$363,$CD16)*$CE16</f>
        <v>#VALUE!</v>
      </c>
      <c r="CI16" s="2" t="e">
        <f>求节点(节奏总纲!U$4:U$363,BV$4:BV$363,$CD16)*$CE16</f>
        <v>#VALUE!</v>
      </c>
      <c r="CJ16" s="2" t="e">
        <f>求节点(节奏总纲!V$4:V$363,BW$4:BW$363,$CD16)*$CE16</f>
        <v>#VALUE!</v>
      </c>
      <c r="CK16" s="2" t="e">
        <f>求节点(节奏总纲!R$4:R$363,BX$4:BX$363,$CD16)*$CE16</f>
        <v>#VALUE!</v>
      </c>
      <c r="CL16" s="2" t="e">
        <f>求节点(节奏总纲!S$4:S$363,BY$4:BY$363,$CD16)*$CE16</f>
        <v>#VALUE!</v>
      </c>
      <c r="CM16" s="2" t="e">
        <f>求节点(节奏总纲!T$4:T$363,BZ$4:BZ$363,$CD16)*$CE16</f>
        <v>#VALUE!</v>
      </c>
      <c r="CN16" s="2" t="e">
        <f>求节点(节奏总纲!U$4:U$363,CA$4:CA$363,$CD16)*$CE16</f>
        <v>#VALUE!</v>
      </c>
      <c r="CO16" s="2" t="e">
        <f>求节点(节奏总纲!V$4:V$363,CB$4:CB$363,$CD16)*$CE16</f>
        <v>#VALUE!</v>
      </c>
    </row>
    <row r="17" spans="2:93" x14ac:dyDescent="0.15">
      <c r="C17" s="2">
        <v>1</v>
      </c>
      <c r="D17" s="2">
        <v>15</v>
      </c>
      <c r="E17" s="2">
        <v>10</v>
      </c>
      <c r="F17" s="2">
        <f>K17*J17*L17</f>
        <v>0.30885108101046677</v>
      </c>
      <c r="G17" s="2">
        <f t="shared" ref="G17:G23" si="2">INT(INDEX($AT$4:$AT$363,E17,1)*F17)-R17</f>
        <v>18279206</v>
      </c>
      <c r="H17" s="2">
        <f t="shared" ref="H17:H22" si="3">ROUND(G17/(9*10^(LEN(G17)-2)/6),0)*(9*10^(LEN(G17)-2)/6)</f>
        <v>18000000</v>
      </c>
      <c r="I17" s="19">
        <f>H17*2</f>
        <v>36000000</v>
      </c>
      <c r="J17" s="2">
        <v>0.9</v>
      </c>
      <c r="K17" s="2">
        <f>求节点('疲劳值&amp;地图信息'!$U$9:$U$19,'疲劳值&amp;地图信息'!$V$9:$V$19,求节点(其他调用!$B$5:$B$124,其他调用!$M$5:$M$124,E17)*L17)</f>
        <v>0.57194644631567915</v>
      </c>
      <c r="L17" s="2">
        <v>0.6</v>
      </c>
      <c r="P17" s="20">
        <f>INDEX(其他调用!$M:$M,MATCH(E17,其他调用!$B:$B,1))</f>
        <v>75.060606060606062</v>
      </c>
      <c r="Q17" s="20">
        <f t="shared" ref="Q17:Q22" si="4">P17*0.1*L17</f>
        <v>4.5036363636363639</v>
      </c>
      <c r="R17" s="2">
        <f>INT(求节点(节奏总纲!D$4:D$163,AH$4:AH$163,$E17)*$Q17*K17*J17)</f>
        <v>1879004</v>
      </c>
      <c r="S17" s="21">
        <f>R17/(G17+R17)</f>
        <v>9.3212839830520672E-2</v>
      </c>
      <c r="T17" s="2">
        <f t="shared" ref="T17:T23" si="5">ROUND(R17/$E$5*$Q$5,-4)</f>
        <v>730000</v>
      </c>
      <c r="U17" s="22"/>
      <c r="V17" s="22"/>
      <c r="W17" s="22"/>
      <c r="X17" s="22"/>
      <c r="AA17" s="2">
        <v>14</v>
      </c>
      <c r="AB17" s="2">
        <f>攻城基础信息!X18*$E$12</f>
        <v>29530.084752404946</v>
      </c>
      <c r="AC17" s="2">
        <f>攻城基础信息!Y18*$E$12</f>
        <v>30049.130146578929</v>
      </c>
      <c r="AD17" s="2">
        <f>攻城基础信息!Z18*$E$12</f>
        <v>30718.761602066563</v>
      </c>
      <c r="AE17" s="2">
        <f>攻城基础信息!AA18*$E$12</f>
        <v>30684.32358198335</v>
      </c>
      <c r="AF17" s="2">
        <f>攻城基础信息!AB18*$E$12</f>
        <v>31581.627883214234</v>
      </c>
      <c r="AH17" s="2">
        <f>$E$4*AB17*攻城基础信息!AC18</f>
        <v>268723.77124688518</v>
      </c>
      <c r="AI17" s="2">
        <f>$E$4*AC17*攻城基础信息!AD18</f>
        <v>273447.08433386841</v>
      </c>
      <c r="AJ17" s="2">
        <f>$E$4*AD17*攻城基础信息!AE18</f>
        <v>279540.7305788059</v>
      </c>
      <c r="AK17" s="2">
        <f>$E$4*AE17*攻城基础信息!AF18</f>
        <v>279227.3445960487</v>
      </c>
      <c r="AL17" s="2">
        <f>$E$4*AF17*攻城基础信息!AG18</f>
        <v>287392.8137372497</v>
      </c>
      <c r="AN17" s="2">
        <v>14</v>
      </c>
      <c r="AO17" s="2">
        <f>求节点(节奏总纲!D$4:D$163,AH$4:AH$163,$AN17)*其他调用!H18*其他调用!$M18</f>
        <v>49534247.552566342</v>
      </c>
      <c r="AP17" s="2">
        <f>求节点(节奏总纲!E$4:E$163,AI$4:AI$163,$AN17)*其他调用!I18*其他调用!$M18</f>
        <v>33036844.954645418</v>
      </c>
      <c r="AQ17" s="2">
        <f>求节点(节奏总纲!F$4:F$163,AJ$4:AJ$163,$AN17)*其他调用!J18*其他调用!$M18</f>
        <v>4005247.6766409082</v>
      </c>
      <c r="AR17" s="2">
        <f>求节点(节奏总纲!G$4:G$163,AK$4:AK$163,$AN17)*其他调用!K18*其他调用!$M18</f>
        <v>827139.61323330796</v>
      </c>
      <c r="AS17" s="2">
        <f>求节点(节奏总纲!H$4:H$163,AL$4:AL$163,$AN17)*其他调用!L18*其他调用!$M18</f>
        <v>265612.89470751898</v>
      </c>
      <c r="AT17" s="2">
        <f t="shared" si="0"/>
        <v>87669092.691793501</v>
      </c>
      <c r="AY17" s="2">
        <v>14</v>
      </c>
      <c r="AZ17" s="2">
        <f>其他调用!R18*6*(其他调用!AH$2*$AZ$1*MIN(其他调用!$AJ18/其他调用!AH18,1)+$E$4*0%*攻城基础信息!AC18)</f>
        <v>3049.1385504465361</v>
      </c>
      <c r="BA17" s="2">
        <f>其他调用!S18*6*(其他调用!AI$2*$AZ$1*MIN(其他调用!$AJ18/其他调用!AI18,1)+$E$4*0%*攻城基础信息!AD18)</f>
        <v>9288.3444788056131</v>
      </c>
      <c r="BB17" s="2">
        <f>其他调用!T18*6*(其他调用!AJ$2*$AZ$1*MIN(其他调用!$AJ18/其他调用!AJ18,1)+$E$4*0%*攻城基础信息!AE18)</f>
        <v>28323.314542003434</v>
      </c>
      <c r="BC17" s="2">
        <f>其他调用!U18*6*(其他调用!AK$2*$AZ$1*MIN(其他调用!$AJ18/其他调用!AK18,1)+$E$4*0%*攻城基础信息!AF18)</f>
        <v>16151.483529313879</v>
      </c>
      <c r="BD17" s="2">
        <f>其他调用!V18*6*(其他调用!AL$2*$AZ$1*MIN(其他调用!$AJ18/其他调用!AL18,1)+$E$4*0%*攻城基础信息!AG18)</f>
        <v>5971.0303453475954</v>
      </c>
      <c r="BF17" s="2">
        <v>14</v>
      </c>
      <c r="BG17" s="2">
        <f>求节点(节奏总纲!D$4:D$163,AZ$4:AZ$163,$AN17)</f>
        <v>5090.3444877628654</v>
      </c>
      <c r="BH17" s="2">
        <f>求节点(节奏总纲!E$4:E$163,BA$4:BA$163,$AN17)</f>
        <v>15891.542396731438</v>
      </c>
      <c r="BI17" s="2">
        <f>求节点(节奏总纲!F$4:F$163,BB$4:BB$163,$AN17)</f>
        <v>50102.616199294782</v>
      </c>
      <c r="BJ17" s="2">
        <f>求节点(节奏总纲!G$4:G$163,BC$4:BC$163,$AN17)</f>
        <v>21957.830445120715</v>
      </c>
      <c r="BK17" s="2">
        <f>求节点(节奏总纲!H$4:H$163,BD$4:BD$163,$AN17)</f>
        <v>7631.8036777815778</v>
      </c>
      <c r="BL17" s="2">
        <f>BG17*其他调用!H18*其他调用!$M18</f>
        <v>243656.51993810217</v>
      </c>
      <c r="BM17" s="2">
        <f>BH17*其他调用!I18*其他调用!$M18</f>
        <v>448919.70379513525</v>
      </c>
      <c r="BN17" s="2">
        <f>BI17*其他调用!J18*其他调用!$M18</f>
        <v>145681.95575000832</v>
      </c>
      <c r="BO17" s="2">
        <f>BJ17*其他调用!K18*其他调用!$M18</f>
        <v>9221.478036288112</v>
      </c>
      <c r="BP17" s="2">
        <f>BK17*其他调用!L18*其他调用!$M18</f>
        <v>728.42630795318314</v>
      </c>
      <c r="BQ17" s="2">
        <f t="shared" si="1"/>
        <v>848208.08382748708</v>
      </c>
      <c r="BR17" s="2">
        <f>[1]服务器生态!$R16</f>
        <v>0.24194051560691562</v>
      </c>
      <c r="BS17" s="2" t="e">
        <f>SUMPRODUCT((BG$4:BG17)*($BR$4:$BR17)*(其他调用!#REF!))</f>
        <v>#REF!</v>
      </c>
      <c r="BT17" s="2" t="e">
        <f>SUMPRODUCT((BH$4:BH17)*($BR$4:$BR17)*(其他调用!#REF!))</f>
        <v>#REF!</v>
      </c>
      <c r="BU17" s="2" t="e">
        <f>SUMPRODUCT((BI$4:BI17)*($BR$4:$BR17)*(其他调用!#REF!))</f>
        <v>#REF!</v>
      </c>
      <c r="BV17" s="2" t="e">
        <f>SUMPRODUCT((BJ$4:BJ17)*($BR$4:$BR17)*(其他调用!#REF!))</f>
        <v>#REF!</v>
      </c>
      <c r="BW17" s="2" t="e">
        <f>SUMPRODUCT((BK$4:BK17)*($BR$4:$BR17)*(其他调用!#REF!))</f>
        <v>#REF!</v>
      </c>
      <c r="BX17" s="2" t="e">
        <f>SUMPRODUCT((BG$4:BG17)*($BR$4:$BR17))*'[1]功能-战损相关'!$D$2-BS17</f>
        <v>#REF!</v>
      </c>
      <c r="BY17" s="2" t="e">
        <f>SUMPRODUCT((BH$4:BH17)*($BR$4:$BR17))*'[1]功能-战损相关'!$D$2-BT17</f>
        <v>#REF!</v>
      </c>
      <c r="BZ17" s="2" t="e">
        <f>SUMPRODUCT((BI$4:BI17)*($BR$4:$BR17))*'[1]功能-战损相关'!$D$2-BU17</f>
        <v>#REF!</v>
      </c>
      <c r="CA17" s="2" t="e">
        <f>SUMPRODUCT((BJ$4:BJ17)*($BR$4:$BR17))*'[1]功能-战损相关'!$D$2-BV17</f>
        <v>#REF!</v>
      </c>
      <c r="CB17" s="2" t="e">
        <f>SUMPRODUCT((BK$4:BK17)*($BR$4:$BR17))*'[1]功能-战损相关'!$D$2-BW17</f>
        <v>#REF!</v>
      </c>
      <c r="CD17" s="2">
        <v>14</v>
      </c>
      <c r="CE17" s="7">
        <v>1</v>
      </c>
      <c r="CF17" s="2" t="e">
        <f>求节点(节奏总纲!R$4:R$363,BS$4:BS$363,$CD17)*$CE17</f>
        <v>#VALUE!</v>
      </c>
      <c r="CG17" s="2" t="e">
        <f>求节点(节奏总纲!S$4:S$363,BT$4:BT$363,$CD17)*$CE17</f>
        <v>#VALUE!</v>
      </c>
      <c r="CH17" s="2" t="e">
        <f>求节点(节奏总纲!T$4:T$363,BU$4:BU$363,$CD17)*$CE17</f>
        <v>#VALUE!</v>
      </c>
      <c r="CI17" s="2" t="e">
        <f>求节点(节奏总纲!U$4:U$363,BV$4:BV$363,$CD17)*$CE17</f>
        <v>#VALUE!</v>
      </c>
      <c r="CJ17" s="2" t="e">
        <f>求节点(节奏总纲!V$4:V$363,BW$4:BW$363,$CD17)*$CE17</f>
        <v>#VALUE!</v>
      </c>
      <c r="CK17" s="2" t="e">
        <f>求节点(节奏总纲!R$4:R$363,BX$4:BX$363,$CD17)*$CE17</f>
        <v>#VALUE!</v>
      </c>
      <c r="CL17" s="2" t="e">
        <f>求节点(节奏总纲!S$4:S$363,BY$4:BY$363,$CD17)*$CE17</f>
        <v>#VALUE!</v>
      </c>
      <c r="CM17" s="2" t="e">
        <f>求节点(节奏总纲!T$4:T$363,BZ$4:BZ$363,$CD17)*$CE17</f>
        <v>#VALUE!</v>
      </c>
      <c r="CN17" s="2" t="e">
        <f>求节点(节奏总纲!U$4:U$363,CA$4:CA$363,$CD17)*$CE17</f>
        <v>#VALUE!</v>
      </c>
      <c r="CO17" s="2" t="e">
        <f>求节点(节奏总纲!V$4:V$363,CB$4:CB$363,$CD17)*$CE17</f>
        <v>#VALUE!</v>
      </c>
    </row>
    <row r="18" spans="2:93" x14ac:dyDescent="0.15">
      <c r="C18" s="2">
        <v>2</v>
      </c>
      <c r="D18" s="2">
        <v>30</v>
      </c>
      <c r="E18" s="2">
        <f>(D18+D17)/2</f>
        <v>22.5</v>
      </c>
      <c r="F18" s="2">
        <f t="shared" ref="F18:F23" si="6">K18*J18*L18</f>
        <v>0.29448749586556733</v>
      </c>
      <c r="G18" s="2">
        <f t="shared" si="2"/>
        <v>32616945</v>
      </c>
      <c r="H18" s="2">
        <f t="shared" si="3"/>
        <v>33000000</v>
      </c>
      <c r="I18" s="19">
        <f>H18*2</f>
        <v>66000000</v>
      </c>
      <c r="J18" s="2">
        <v>0.9</v>
      </c>
      <c r="K18" s="2">
        <f>求节点('疲劳值&amp;地图信息'!$U$9:$U$19,'疲劳值&amp;地图信息'!$V$9:$V$19,求节点(其他调用!$B$5:$B$124,其他调用!$M$5:$M$124,E18)*L18)</f>
        <v>0.54534721456586543</v>
      </c>
      <c r="L18" s="2">
        <v>0.6</v>
      </c>
      <c r="P18" s="20">
        <f>INDEX(其他调用!$M:$M,MATCH(E18,其他调用!$B:$B,1))</f>
        <v>83.904761904761898</v>
      </c>
      <c r="Q18" s="20">
        <f t="shared" si="4"/>
        <v>5.0342857142857147</v>
      </c>
      <c r="R18" s="2">
        <f>INT(求节点(节奏总纲!D$4:D$163,AH$4:AH$163,$E18)*$Q18*K18*J18)</f>
        <v>3422763</v>
      </c>
      <c r="S18" s="21">
        <f t="shared" ref="S18:S23" si="7">R18/(G18+R18)</f>
        <v>9.4971995888534944E-2</v>
      </c>
      <c r="T18" s="2">
        <f t="shared" si="5"/>
        <v>1320000</v>
      </c>
      <c r="U18" s="22"/>
      <c r="V18" s="22"/>
      <c r="W18" s="22"/>
      <c r="X18" s="22"/>
      <c r="AA18" s="2">
        <v>15</v>
      </c>
      <c r="AB18" s="2">
        <f>攻城基础信息!X19*$E$12</f>
        <v>30579.115156585052</v>
      </c>
      <c r="AC18" s="2">
        <f>攻城基础信息!Y19*$E$12</f>
        <v>31107.28906729685</v>
      </c>
      <c r="AD18" s="2">
        <f>攻城基础信息!Z19*$E$12</f>
        <v>31761.306666438271</v>
      </c>
      <c r="AE18" s="2">
        <f>攻城基础信息!AA19*$E$12</f>
        <v>31705.143102641967</v>
      </c>
      <c r="AF18" s="2">
        <f>攻城基础信息!AB19*$E$12</f>
        <v>32693.955455194817</v>
      </c>
      <c r="AH18" s="2">
        <f>$E$4*AB18*攻城基础信息!AC19</f>
        <v>285405.07479479403</v>
      </c>
      <c r="AI18" s="2">
        <f>$E$4*AC18*攻城基础信息!AD19</f>
        <v>290334.69796143752</v>
      </c>
      <c r="AJ18" s="2">
        <f>$E$4*AD18*攻城基础信息!AE19</f>
        <v>296438.86222009076</v>
      </c>
      <c r="AK18" s="2">
        <f>$E$4*AE18*攻城基础信息!AF19</f>
        <v>295914.66895799193</v>
      </c>
      <c r="AL18" s="2">
        <f>$E$4*AF18*攻城基础信息!AG19</f>
        <v>305143.58424848522</v>
      </c>
      <c r="AN18" s="2">
        <v>15</v>
      </c>
      <c r="AO18" s="2">
        <f>求节点(节奏总纲!D$4:D$163,AH$4:AH$163,$AN18)*其他调用!H19*其他调用!$M19</f>
        <v>52196724.334886968</v>
      </c>
      <c r="AP18" s="2">
        <f>求节点(节奏总纲!E$4:E$163,AI$4:AI$163,$AN18)*其他调用!I19*其他调用!$M19</f>
        <v>34923671.113645181</v>
      </c>
      <c r="AQ18" s="2">
        <f>求节点(节奏总纲!F$4:F$163,AJ$4:AJ$163,$AN18)*其他调用!J19*其他调用!$M19</f>
        <v>4254040.1286682636</v>
      </c>
      <c r="AR18" s="2">
        <f>求节点(节奏总纲!G$4:G$163,AK$4:AK$163,$AN18)*其他调用!K19*其他调用!$M19</f>
        <v>878026.90761454881</v>
      </c>
      <c r="AS18" s="2">
        <f>求节点(节奏总纲!H$4:H$163,AL$4:AL$163,$AN18)*其他调用!L19*其他调用!$M19</f>
        <v>282012.14862081397</v>
      </c>
      <c r="AT18" s="2">
        <f t="shared" si="0"/>
        <v>92534474.633435771</v>
      </c>
      <c r="AY18" s="2">
        <v>15</v>
      </c>
      <c r="AZ18" s="2">
        <f>其他调用!R19*6*(其他调用!AH$2*$AZ$1*MIN(其他调用!$AJ19/其他调用!AH19,1)+$E$4*0%*攻城基础信息!AC19)</f>
        <v>3139.9990601899362</v>
      </c>
      <c r="BA18" s="2">
        <f>其他调用!S19*6*(其他调用!AI$2*$AZ$1*MIN(其他调用!$AJ19/其他调用!AI19,1)+$E$4*0%*攻城基础信息!AD19)</f>
        <v>9561.749613574977</v>
      </c>
      <c r="BB18" s="2">
        <f>其他调用!T19*6*(其他调用!AJ$2*$AZ$1*MIN(其他调用!$AJ19/其他调用!AJ19,1)+$E$4*0%*攻城基础信息!AE19)</f>
        <v>29186.88893223042</v>
      </c>
      <c r="BC18" s="2">
        <f>其他调用!U19*6*(其他调用!AK$2*$AZ$1*MIN(其他调用!$AJ19/其他调用!AK19,1)+$E$4*0%*攻城基础信息!AF19)</f>
        <v>16274.4508051867</v>
      </c>
      <c r="BD18" s="2">
        <f>其他调用!V19*6*(其他调用!AL$2*$AZ$1*MIN(其他调用!$AJ19/其他调用!AL19,1)+$E$4*0%*攻城基础信息!AG19)</f>
        <v>5956.5775801106056</v>
      </c>
      <c r="BF18" s="2">
        <v>15</v>
      </c>
      <c r="BG18" s="2">
        <f>求节点(节奏总纲!D$4:D$163,AZ$4:AZ$163,$AN18)</f>
        <v>5163.335568332719</v>
      </c>
      <c r="BH18" s="2">
        <f>求节点(节奏总纲!E$4:E$163,BA$4:BA$163,$AN18)</f>
        <v>16102.334810726865</v>
      </c>
      <c r="BI18" s="2">
        <f>求节点(节奏总纲!F$4:F$163,BB$4:BB$163,$AN18)</f>
        <v>50765.266424727932</v>
      </c>
      <c r="BJ18" s="2">
        <f>求节点(节奏总纲!G$4:G$163,BC$4:BC$163,$AN18)</f>
        <v>22341.279495332656</v>
      </c>
      <c r="BK18" s="2">
        <f>求节点(节奏总纲!H$4:H$163,BD$4:BD$163,$AN18)</f>
        <v>7720.2016829439699</v>
      </c>
      <c r="BL18" s="2">
        <f>BG18*其他调用!H19*其他调用!$M19</f>
        <v>247991.88309233534</v>
      </c>
      <c r="BM18" s="2">
        <f>BH18*其他调用!I19*其他调用!$M19</f>
        <v>464659.39132208552</v>
      </c>
      <c r="BN18" s="2">
        <f>BI18*其他调用!J19*其他调用!$M19</f>
        <v>149304.24717209098</v>
      </c>
      <c r="BO18" s="2">
        <f>BJ18*其他调用!K19*其他调用!$M19</f>
        <v>9537.6778210333196</v>
      </c>
      <c r="BP18" s="2">
        <f>BK18*其他调用!L19*其他调用!$M19</f>
        <v>753.70208096053693</v>
      </c>
      <c r="BQ18" s="2">
        <f t="shared" si="1"/>
        <v>872246.90148850554</v>
      </c>
      <c r="BR18" s="2">
        <f>[1]服务器生态!$R17</f>
        <v>0.22497538115700902</v>
      </c>
      <c r="BS18" s="2" t="e">
        <f>SUMPRODUCT((BG$4:BG18)*($BR$4:$BR18)*(其他调用!#REF!))</f>
        <v>#REF!</v>
      </c>
      <c r="BT18" s="2" t="e">
        <f>SUMPRODUCT((BH$4:BH18)*($BR$4:$BR18)*(其他调用!#REF!))</f>
        <v>#REF!</v>
      </c>
      <c r="BU18" s="2" t="e">
        <f>SUMPRODUCT((BI$4:BI18)*($BR$4:$BR18)*(其他调用!#REF!))</f>
        <v>#REF!</v>
      </c>
      <c r="BV18" s="2" t="e">
        <f>SUMPRODUCT((BJ$4:BJ18)*($BR$4:$BR18)*(其他调用!#REF!))</f>
        <v>#REF!</v>
      </c>
      <c r="BW18" s="2" t="e">
        <f>SUMPRODUCT((BK$4:BK18)*($BR$4:$BR18)*(其他调用!#REF!))</f>
        <v>#REF!</v>
      </c>
      <c r="BX18" s="2" t="e">
        <f>SUMPRODUCT((BG$4:BG18)*($BR$4:$BR18))*'[1]功能-战损相关'!$D$2-BS18</f>
        <v>#REF!</v>
      </c>
      <c r="BY18" s="2" t="e">
        <f>SUMPRODUCT((BH$4:BH18)*($BR$4:$BR18))*'[1]功能-战损相关'!$D$2-BT18</f>
        <v>#REF!</v>
      </c>
      <c r="BZ18" s="2" t="e">
        <f>SUMPRODUCT((BI$4:BI18)*($BR$4:$BR18))*'[1]功能-战损相关'!$D$2-BU18</f>
        <v>#REF!</v>
      </c>
      <c r="CA18" s="2" t="e">
        <f>SUMPRODUCT((BJ$4:BJ18)*($BR$4:$BR18))*'[1]功能-战损相关'!$D$2-BV18</f>
        <v>#REF!</v>
      </c>
      <c r="CB18" s="2" t="e">
        <f>SUMPRODUCT((BK$4:BK18)*($BR$4:$BR18))*'[1]功能-战损相关'!$D$2-BW18</f>
        <v>#REF!</v>
      </c>
      <c r="CD18" s="2">
        <v>15</v>
      </c>
      <c r="CE18" s="7">
        <v>1</v>
      </c>
      <c r="CF18" s="2" t="e">
        <f>求节点(节奏总纲!R$4:R$363,BS$4:BS$363,$CD18)*$CE18</f>
        <v>#VALUE!</v>
      </c>
      <c r="CG18" s="2" t="e">
        <f>求节点(节奏总纲!S$4:S$363,BT$4:BT$363,$CD18)*$CE18</f>
        <v>#VALUE!</v>
      </c>
      <c r="CH18" s="2" t="e">
        <f>求节点(节奏总纲!T$4:T$363,BU$4:BU$363,$CD18)*$CE18</f>
        <v>#VALUE!</v>
      </c>
      <c r="CI18" s="2" t="e">
        <f>求节点(节奏总纲!U$4:U$363,BV$4:BV$363,$CD18)*$CE18</f>
        <v>#VALUE!</v>
      </c>
      <c r="CJ18" s="2" t="e">
        <f>求节点(节奏总纲!V$4:V$363,BW$4:BW$363,$CD18)*$CE18</f>
        <v>#VALUE!</v>
      </c>
      <c r="CK18" s="2" t="e">
        <f>求节点(节奏总纲!R$4:R$363,BX$4:BX$363,$CD18)*$CE18</f>
        <v>#VALUE!</v>
      </c>
      <c r="CL18" s="2" t="e">
        <f>求节点(节奏总纲!S$4:S$363,BY$4:BY$363,$CD18)*$CE18</f>
        <v>#VALUE!</v>
      </c>
      <c r="CM18" s="2" t="e">
        <f>求节点(节奏总纲!T$4:T$363,BZ$4:BZ$363,$CD18)*$CE18</f>
        <v>#VALUE!</v>
      </c>
      <c r="CN18" s="2" t="e">
        <f>求节点(节奏总纲!U$4:U$363,CA$4:CA$363,$CD18)*$CE18</f>
        <v>#VALUE!</v>
      </c>
      <c r="CO18" s="2" t="e">
        <f>求节点(节奏总纲!V$4:V$363,CB$4:CB$363,$CD18)*$CE18</f>
        <v>#VALUE!</v>
      </c>
    </row>
    <row r="19" spans="2:93" x14ac:dyDescent="0.15">
      <c r="C19" s="2">
        <v>3</v>
      </c>
      <c r="D19" s="2">
        <v>60</v>
      </c>
      <c r="E19" s="2">
        <f t="shared" ref="E19:E23" si="8">(D19+D18)/2</f>
        <v>45</v>
      </c>
      <c r="F19" s="2">
        <f t="shared" si="6"/>
        <v>0.28217646219070219</v>
      </c>
      <c r="G19" s="2">
        <f t="shared" si="2"/>
        <v>52440795</v>
      </c>
      <c r="H19" s="2">
        <f t="shared" si="3"/>
        <v>52500000</v>
      </c>
      <c r="I19" s="19">
        <f t="shared" ref="I19:I23" si="9">H19*2</f>
        <v>105000000</v>
      </c>
      <c r="J19" s="2">
        <v>0.9</v>
      </c>
      <c r="K19" s="2">
        <f>求节点('疲劳值&amp;地图信息'!$U$9:$U$19,'疲劳值&amp;地图信息'!$V$9:$V$19,求节点(其他调用!$B$5:$B$124,其他调用!$M$5:$M$124,E19)*L19)</f>
        <v>0.52254900405685589</v>
      </c>
      <c r="L19" s="2">
        <v>0.6</v>
      </c>
      <c r="P19" s="20">
        <f>INDEX(其他调用!$M:$M,MATCH(E19,其他调用!$B:$B,1))</f>
        <v>91.883040935672511</v>
      </c>
      <c r="Q19" s="20">
        <f t="shared" si="4"/>
        <v>5.5129824561403513</v>
      </c>
      <c r="R19" s="2">
        <f>INT(求节点(节奏总纲!D$4:D$163,AH$4:AH$163,$E19)*$Q19*K19*J19)</f>
        <v>5379863</v>
      </c>
      <c r="S19" s="21">
        <f t="shared" si="7"/>
        <v>9.3043960170774945E-2</v>
      </c>
      <c r="T19" s="2">
        <f t="shared" si="5"/>
        <v>2080000</v>
      </c>
      <c r="U19" s="22"/>
      <c r="V19" s="22"/>
      <c r="W19" s="22"/>
      <c r="X19" s="22"/>
      <c r="AA19" s="2">
        <v>16</v>
      </c>
      <c r="AB19" s="2">
        <f>攻城基础信息!X20*$E$12</f>
        <v>31659.354776016946</v>
      </c>
      <c r="AC19" s="2">
        <f>攻城基础信息!Y20*$E$12</f>
        <v>32196.439655264709</v>
      </c>
      <c r="AD19" s="2">
        <f>攻城基础信息!Z20*$E$12</f>
        <v>32830.163869804688</v>
      </c>
      <c r="AE19" s="2">
        <f>攻城基础信息!AA20*$E$12</f>
        <v>33598.323195221004</v>
      </c>
      <c r="AF19" s="2">
        <f>攻城基础信息!AB20*$E$12</f>
        <v>33829.345305355957</v>
      </c>
      <c r="AH19" s="2">
        <f>$E$4*AB19*攻城基础信息!AC20</f>
        <v>302874.49402389571</v>
      </c>
      <c r="AI19" s="2">
        <f>$E$4*AC19*攻城基础信息!AD20</f>
        <v>308012.60603536596</v>
      </c>
      <c r="AJ19" s="2">
        <f>$E$4*AD19*攻城基础信息!AE20</f>
        <v>314075.23435446509</v>
      </c>
      <c r="AK19" s="2">
        <f>$E$4*AE19*攻城基础信息!AF20</f>
        <v>321423.95856761455</v>
      </c>
      <c r="AL19" s="2">
        <f>$E$4*AF19*攻城基础信息!AG20</f>
        <v>323634.07008790557</v>
      </c>
      <c r="AN19" s="2">
        <v>16</v>
      </c>
      <c r="AO19" s="2">
        <f>求节点(节奏总纲!D$4:D$163,AH$4:AH$163,$AN19)*其他调用!H20*其他调用!$M20</f>
        <v>54003569.514421977</v>
      </c>
      <c r="AP19" s="2">
        <f>求节点(节奏总纲!E$4:E$163,AI$4:AI$163,$AN19)*其他调用!I20*其他调用!$M20</f>
        <v>36737926.48266647</v>
      </c>
      <c r="AQ19" s="2">
        <f>求节点(节奏总纲!F$4:F$163,AJ$4:AJ$163,$AN19)*其他调用!J20*其他调用!$M20</f>
        <v>4507275.5139156757</v>
      </c>
      <c r="AR19" s="2">
        <f>求节点(节奏总纲!G$4:G$163,AK$4:AK$163,$AN19)*其他调用!K20*其他调用!$M20</f>
        <v>920368.38509440992</v>
      </c>
      <c r="AS19" s="2">
        <f>求节点(节奏总纲!H$4:H$163,AL$4:AL$163,$AN19)*其他调用!L20*其他调用!$M20</f>
        <v>297691.17058965645</v>
      </c>
      <c r="AT19" s="2">
        <f t="shared" si="0"/>
        <v>96466831.06668818</v>
      </c>
      <c r="AY19" s="2">
        <v>16</v>
      </c>
      <c r="AZ19" s="2">
        <f>其他调用!R20*6*(其他调用!AH$2*$AZ$1*MIN(其他调用!$AJ20/其他调用!AH20,1)+$E$4*0%*攻城基础信息!AC20)</f>
        <v>3229.7814749416257</v>
      </c>
      <c r="BA19" s="2">
        <f>其他调用!S20*6*(其他调用!AI$2*$AZ$1*MIN(其他调用!$AJ20/其他调用!AI20,1)+$E$4*0%*攻城基础信息!AD20)</f>
        <v>9836.6233189069826</v>
      </c>
      <c r="BB19" s="2">
        <f>其他调用!T20*6*(其他调用!AJ$2*$AZ$1*MIN(其他调用!$AJ20/其他调用!AJ20,1)+$E$4*0%*攻城基础信息!AE20)</f>
        <v>30005.931561672194</v>
      </c>
      <c r="BC19" s="2">
        <f>其他调用!U20*6*(其他调用!AK$2*$AZ$1*MIN(其他调用!$AJ20/其他调用!AK20,1)+$E$4*0%*攻城基础信息!AF20)</f>
        <v>16688.738735604948</v>
      </c>
      <c r="BD19" s="2">
        <f>其他调用!V20*6*(其他调用!AL$2*$AZ$1*MIN(其他调用!$AJ20/其他调用!AL20,1)+$E$4*0%*攻城基础信息!AG20)</f>
        <v>5790.6211856692098</v>
      </c>
      <c r="BF19" s="2">
        <v>16</v>
      </c>
      <c r="BG19" s="2">
        <f>求节点(节奏总纲!D$4:D$163,AZ$4:AZ$163,$AN19)</f>
        <v>5229.4619717141668</v>
      </c>
      <c r="BH19" s="2">
        <f>求节点(节奏总纲!E$4:E$163,BA$4:BA$163,$AN19)</f>
        <v>16309.605135348473</v>
      </c>
      <c r="BI19" s="2">
        <f>求节点(节奏总纲!F$4:F$163,BB$4:BB$163,$AN19)</f>
        <v>51380.908311505511</v>
      </c>
      <c r="BJ19" s="2">
        <f>求节点(节奏总纲!G$4:G$163,BC$4:BC$163,$AN19)</f>
        <v>22700.931088414574</v>
      </c>
      <c r="BK19" s="2">
        <f>求节点(节奏总纲!H$4:H$163,BD$4:BD$163,$AN19)</f>
        <v>7800.2991341229217</v>
      </c>
      <c r="BL19" s="2">
        <f>BG19*其他调用!H20*其他调用!$M20</f>
        <v>251166.86594796673</v>
      </c>
      <c r="BM19" s="2">
        <f>BH19*其他调用!I20*其他调用!$M20</f>
        <v>479094.91159454157</v>
      </c>
      <c r="BN19" s="2">
        <f>BI19*其他调用!J20*其他调用!$M20</f>
        <v>152338.17633827936</v>
      </c>
      <c r="BO19" s="2">
        <f>BJ19*其他调用!K20*其他调用!$M20</f>
        <v>9818.0908294655692</v>
      </c>
      <c r="BP19" s="2">
        <f>BK19*其他调用!L20*其他调用!$M20</f>
        <v>776.19490920063663</v>
      </c>
      <c r="BQ19" s="2">
        <f t="shared" si="1"/>
        <v>893194.2396194539</v>
      </c>
      <c r="BR19" s="2">
        <f>[1]服务器生态!$R18</f>
        <v>0.20801024670710244</v>
      </c>
      <c r="BS19" s="2" t="e">
        <f>SUMPRODUCT((BG$4:BG19)*($BR$4:$BR19)*(其他调用!#REF!))</f>
        <v>#REF!</v>
      </c>
      <c r="BT19" s="2" t="e">
        <f>SUMPRODUCT((BH$4:BH19)*($BR$4:$BR19)*(其他调用!#REF!))</f>
        <v>#REF!</v>
      </c>
      <c r="BU19" s="2" t="e">
        <f>SUMPRODUCT((BI$4:BI19)*($BR$4:$BR19)*(其他调用!#REF!))</f>
        <v>#REF!</v>
      </c>
      <c r="BV19" s="2" t="e">
        <f>SUMPRODUCT((BJ$4:BJ19)*($BR$4:$BR19)*(其他调用!#REF!))</f>
        <v>#REF!</v>
      </c>
      <c r="BW19" s="2" t="e">
        <f>SUMPRODUCT((BK$4:BK19)*($BR$4:$BR19)*(其他调用!#REF!))</f>
        <v>#REF!</v>
      </c>
      <c r="BX19" s="2" t="e">
        <f>SUMPRODUCT((BG$4:BG19)*($BR$4:$BR19))*'[1]功能-战损相关'!$D$2-BS19</f>
        <v>#REF!</v>
      </c>
      <c r="BY19" s="2" t="e">
        <f>SUMPRODUCT((BH$4:BH19)*($BR$4:$BR19))*'[1]功能-战损相关'!$D$2-BT19</f>
        <v>#REF!</v>
      </c>
      <c r="BZ19" s="2" t="e">
        <f>SUMPRODUCT((BI$4:BI19)*($BR$4:$BR19))*'[1]功能-战损相关'!$D$2-BU19</f>
        <v>#REF!</v>
      </c>
      <c r="CA19" s="2" t="e">
        <f>SUMPRODUCT((BJ$4:BJ19)*($BR$4:$BR19))*'[1]功能-战损相关'!$D$2-BV19</f>
        <v>#REF!</v>
      </c>
      <c r="CB19" s="2" t="e">
        <f>SUMPRODUCT((BK$4:BK19)*($BR$4:$BR19))*'[1]功能-战损相关'!$D$2-BW19</f>
        <v>#REF!</v>
      </c>
      <c r="CD19" s="2">
        <v>16</v>
      </c>
      <c r="CE19" s="7">
        <v>1</v>
      </c>
      <c r="CF19" s="2" t="e">
        <f>求节点(节奏总纲!R$4:R$363,BS$4:BS$363,$CD19)*$CE19</f>
        <v>#VALUE!</v>
      </c>
      <c r="CG19" s="2" t="e">
        <f>求节点(节奏总纲!S$4:S$363,BT$4:BT$363,$CD19)*$CE19</f>
        <v>#VALUE!</v>
      </c>
      <c r="CH19" s="2" t="e">
        <f>求节点(节奏总纲!T$4:T$363,BU$4:BU$363,$CD19)*$CE19</f>
        <v>#VALUE!</v>
      </c>
      <c r="CI19" s="2" t="e">
        <f>求节点(节奏总纲!U$4:U$363,BV$4:BV$363,$CD19)*$CE19</f>
        <v>#VALUE!</v>
      </c>
      <c r="CJ19" s="2" t="e">
        <f>求节点(节奏总纲!V$4:V$363,BW$4:BW$363,$CD19)*$CE19</f>
        <v>#VALUE!</v>
      </c>
      <c r="CK19" s="2" t="e">
        <f>求节点(节奏总纲!R$4:R$363,BX$4:BX$363,$CD19)*$CE19</f>
        <v>#VALUE!</v>
      </c>
      <c r="CL19" s="2" t="e">
        <f>求节点(节奏总纲!S$4:S$363,BY$4:BY$363,$CD19)*$CE19</f>
        <v>#VALUE!</v>
      </c>
      <c r="CM19" s="2" t="e">
        <f>求节点(节奏总纲!T$4:T$363,BZ$4:BZ$363,$CD19)*$CE19</f>
        <v>#VALUE!</v>
      </c>
      <c r="CN19" s="2" t="e">
        <f>求节点(节奏总纲!U$4:U$363,CA$4:CA$363,$CD19)*$CE19</f>
        <v>#VALUE!</v>
      </c>
      <c r="CO19" s="2" t="e">
        <f>求节点(节奏总纲!V$4:V$363,CB$4:CB$363,$CD19)*$CE19</f>
        <v>#VALUE!</v>
      </c>
    </row>
    <row r="20" spans="2:93" x14ac:dyDescent="0.15">
      <c r="C20" s="2">
        <v>4</v>
      </c>
      <c r="D20" s="2">
        <v>90</v>
      </c>
      <c r="E20" s="2">
        <f t="shared" si="8"/>
        <v>75</v>
      </c>
      <c r="F20" s="2">
        <f t="shared" si="6"/>
        <v>0.2766590016440304</v>
      </c>
      <c r="G20" s="2">
        <f t="shared" si="2"/>
        <v>75657872</v>
      </c>
      <c r="H20" s="2">
        <f t="shared" si="3"/>
        <v>75000000</v>
      </c>
      <c r="I20" s="19">
        <f t="shared" si="9"/>
        <v>150000000</v>
      </c>
      <c r="J20" s="2">
        <v>0.9</v>
      </c>
      <c r="K20" s="2">
        <f>求节点('疲劳值&amp;地图信息'!$U$9:$U$19,'疲劳值&amp;地图信息'!$V$9:$V$19,求节点(其他调用!$B$5:$B$124,其他调用!$M$5:$M$124,E20)*L20)</f>
        <v>0.51233148452598221</v>
      </c>
      <c r="L20" s="2">
        <v>0.6</v>
      </c>
      <c r="P20" s="20">
        <f>INDEX(其他调用!$M:$M,MATCH(E20,其他调用!$B:$B,1))</f>
        <v>98.861660079051376</v>
      </c>
      <c r="Q20" s="20">
        <f t="shared" si="4"/>
        <v>5.9316996047430832</v>
      </c>
      <c r="R20" s="2">
        <f>INT(求节点(节奏总纲!D$4:D$163,AH$4:AH$163,$E20)*$Q20*K20*J20)</f>
        <v>7630545</v>
      </c>
      <c r="S20" s="21">
        <f t="shared" si="7"/>
        <v>9.1615920614747673E-2</v>
      </c>
      <c r="T20" s="2">
        <f t="shared" si="5"/>
        <v>2950000</v>
      </c>
      <c r="U20" s="22"/>
      <c r="V20" s="22"/>
      <c r="W20" s="22"/>
      <c r="X20" s="22"/>
      <c r="AA20" s="2">
        <v>17</v>
      </c>
      <c r="AB20" s="2">
        <f>攻城基础信息!X21*$E$12</f>
        <v>32763.777497975458</v>
      </c>
      <c r="AC20" s="2">
        <f>攻城基础信息!Y21*$E$12</f>
        <v>33311.906132586286</v>
      </c>
      <c r="AD20" s="2">
        <f>攻城基础信息!Z21*$E$12</f>
        <v>33922.336401870365</v>
      </c>
      <c r="AE20" s="2">
        <f>攻城基础信息!AA21*$E$12</f>
        <v>34767.396260418347</v>
      </c>
      <c r="AF20" s="2">
        <f>攻城基础信息!AB21*$E$12</f>
        <v>34980.015625902859</v>
      </c>
      <c r="AH20" s="2">
        <f>$E$4*AB20*攻城基础信息!AC21</f>
        <v>321085.0194801598</v>
      </c>
      <c r="AI20" s="2">
        <f>$E$4*AC20*攻城基础信息!AD21</f>
        <v>326456.68009934586</v>
      </c>
      <c r="AJ20" s="2">
        <f>$E$4*AD20*攻城基础信息!AE21</f>
        <v>332438.8967383299</v>
      </c>
      <c r="AK20" s="2">
        <f>$E$4*AE20*攻城基础信息!AF21</f>
        <v>340720.48335210013</v>
      </c>
      <c r="AL20" s="2">
        <f>$E$4*AF20*攻城基础信息!AG21</f>
        <v>342804.15313384833</v>
      </c>
      <c r="AN20" s="2">
        <v>17</v>
      </c>
      <c r="AO20" s="2">
        <f>求节点(节奏总纲!D$4:D$163,AH$4:AH$163,$AN20)*其他调用!H21*其他调用!$M21</f>
        <v>55803713.731105164</v>
      </c>
      <c r="AP20" s="2">
        <f>求节点(节奏总纲!E$4:E$163,AI$4:AI$163,$AN20)*其他调用!I21*其他调用!$M21</f>
        <v>38626586.045522749</v>
      </c>
      <c r="AQ20" s="2">
        <f>求节点(节奏总纲!F$4:F$163,AJ$4:AJ$163,$AN20)*其他调用!J21*其他调用!$M21</f>
        <v>4713564.2194805834</v>
      </c>
      <c r="AR20" s="2">
        <f>求节点(节奏总纲!G$4:G$163,AK$4:AK$163,$AN20)*其他调用!K21*其他调用!$M21</f>
        <v>961399.25422555557</v>
      </c>
      <c r="AS20" s="2">
        <f>求节点(节奏总纲!H$4:H$163,AL$4:AL$163,$AN20)*其他调用!L21*其他调用!$M21</f>
        <v>313619.50343927089</v>
      </c>
      <c r="AT20" s="2">
        <f t="shared" si="0"/>
        <v>100418882.75377333</v>
      </c>
      <c r="AY20" s="2">
        <v>17</v>
      </c>
      <c r="AZ20" s="2">
        <f>其他调用!R21*6*(其他调用!AH$2*$AZ$1*MIN(其他调用!$AJ21/其他调用!AH21,1)+$E$4*0%*攻城基础信息!AC21)</f>
        <v>3316.7527223596985</v>
      </c>
      <c r="BA20" s="2">
        <f>其他调用!S21*6*(其他调用!AI$2*$AZ$1*MIN(其他调用!$AJ21/其他调用!AI21,1)+$E$4*0%*攻城基础信息!AD21)</f>
        <v>10098.108743828694</v>
      </c>
      <c r="BB20" s="2">
        <f>其他调用!T21*6*(其他调用!AJ$2*$AZ$1*MIN(其他调用!$AJ21/其他调用!AJ21,1)+$E$4*0%*攻城基础信息!AE21)</f>
        <v>30797.114311040536</v>
      </c>
      <c r="BC20" s="2">
        <f>其他调用!U21*6*(其他调用!AK$2*$AZ$1*MIN(其他调用!$AJ21/其他调用!AK21,1)+$E$4*0%*攻城基础信息!AF21)</f>
        <v>16910.708124689038</v>
      </c>
      <c r="BD20" s="2">
        <f>其他调用!V21*6*(其他调用!AL$2*$AZ$1*MIN(其他调用!$AJ21/其他调用!AL21,1)+$E$4*0%*攻城基础信息!AG21)</f>
        <v>5843.082347446968</v>
      </c>
      <c r="BF20" s="2">
        <v>17</v>
      </c>
      <c r="BG20" s="2">
        <f>求节点(节奏总纲!D$4:D$163,AZ$4:AZ$163,$AN20)</f>
        <v>5294.0966552385535</v>
      </c>
      <c r="BH20" s="2">
        <f>求节点(节奏总纲!E$4:E$163,BA$4:BA$163,$AN20)</f>
        <v>16499.80435133454</v>
      </c>
      <c r="BI20" s="2">
        <f>求节点(节奏总纲!F$4:F$163,BB$4:BB$163,$AN20)</f>
        <v>51974.183052396489</v>
      </c>
      <c r="BJ20" s="2">
        <f>求节点(节奏总纲!G$4:G$163,BC$4:BC$163,$AN20)</f>
        <v>23011.082358645806</v>
      </c>
      <c r="BK20" s="2">
        <f>求节点(节奏总纲!H$4:H$163,BD$4:BD$163,$AN20)</f>
        <v>7878.695298601172</v>
      </c>
      <c r="BL20" s="2">
        <f>BG20*其他调用!H21*其他调用!$M21</f>
        <v>254246.54517595877</v>
      </c>
      <c r="BM20" s="2">
        <f>BH20*其他调用!I21*其他调用!$M21</f>
        <v>493306.95668571774</v>
      </c>
      <c r="BN20" s="2">
        <f>BI20*其他调用!J21*其他调用!$M21</f>
        <v>155337.18155671639</v>
      </c>
      <c r="BO20" s="2">
        <f>BJ20*其他调用!K21*其他调用!$M21</f>
        <v>10081.673057110318</v>
      </c>
      <c r="BP20" s="2">
        <f>BK20*其他调用!L21*其他调用!$M21</f>
        <v>798.94645597553495</v>
      </c>
      <c r="BQ20" s="2">
        <f t="shared" si="1"/>
        <v>913771.30293147871</v>
      </c>
      <c r="BR20" s="2">
        <f>[1]服务器生态!$R19</f>
        <v>0.19104511225719584</v>
      </c>
      <c r="BS20" s="2" t="e">
        <f>SUMPRODUCT((BG$4:BG20)*($BR$4:$BR20)*(其他调用!#REF!))</f>
        <v>#REF!</v>
      </c>
      <c r="BT20" s="2" t="e">
        <f>SUMPRODUCT((BH$4:BH20)*($BR$4:$BR20)*(其他调用!#REF!))</f>
        <v>#REF!</v>
      </c>
      <c r="BU20" s="2" t="e">
        <f>SUMPRODUCT((BI$4:BI20)*($BR$4:$BR20)*(其他调用!#REF!))</f>
        <v>#REF!</v>
      </c>
      <c r="BV20" s="2" t="e">
        <f>SUMPRODUCT((BJ$4:BJ20)*($BR$4:$BR20)*(其他调用!#REF!))</f>
        <v>#REF!</v>
      </c>
      <c r="BW20" s="2" t="e">
        <f>SUMPRODUCT((BK$4:BK20)*($BR$4:$BR20)*(其他调用!#REF!))</f>
        <v>#REF!</v>
      </c>
      <c r="BX20" s="2" t="e">
        <f>SUMPRODUCT((BG$4:BG20)*($BR$4:$BR20))*'[1]功能-战损相关'!$D$2-BS20</f>
        <v>#REF!</v>
      </c>
      <c r="BY20" s="2" t="e">
        <f>SUMPRODUCT((BH$4:BH20)*($BR$4:$BR20))*'[1]功能-战损相关'!$D$2-BT20</f>
        <v>#REF!</v>
      </c>
      <c r="BZ20" s="2" t="e">
        <f>SUMPRODUCT((BI$4:BI20)*($BR$4:$BR20))*'[1]功能-战损相关'!$D$2-BU20</f>
        <v>#REF!</v>
      </c>
      <c r="CA20" s="2" t="e">
        <f>SUMPRODUCT((BJ$4:BJ20)*($BR$4:$BR20))*'[1]功能-战损相关'!$D$2-BV20</f>
        <v>#REF!</v>
      </c>
      <c r="CB20" s="2" t="e">
        <f>SUMPRODUCT((BK$4:BK20)*($BR$4:$BR20))*'[1]功能-战损相关'!$D$2-BW20</f>
        <v>#REF!</v>
      </c>
      <c r="CD20" s="2">
        <v>17</v>
      </c>
      <c r="CE20" s="7">
        <v>1</v>
      </c>
      <c r="CF20" s="2" t="e">
        <f>求节点(节奏总纲!R$4:R$363,BS$4:BS$363,$CD20)*$CE20</f>
        <v>#VALUE!</v>
      </c>
      <c r="CG20" s="2" t="e">
        <f>求节点(节奏总纲!S$4:S$363,BT$4:BT$363,$CD20)*$CE20</f>
        <v>#VALUE!</v>
      </c>
      <c r="CH20" s="2" t="e">
        <f>求节点(节奏总纲!T$4:T$363,BU$4:BU$363,$CD20)*$CE20</f>
        <v>#VALUE!</v>
      </c>
      <c r="CI20" s="2" t="e">
        <f>求节点(节奏总纲!U$4:U$363,BV$4:BV$363,$CD20)*$CE20</f>
        <v>#VALUE!</v>
      </c>
      <c r="CJ20" s="2" t="e">
        <f>求节点(节奏总纲!V$4:V$363,BW$4:BW$363,$CD20)*$CE20</f>
        <v>#VALUE!</v>
      </c>
      <c r="CK20" s="2" t="e">
        <f>求节点(节奏总纲!R$4:R$363,BX$4:BX$363,$CD20)*$CE20</f>
        <v>#VALUE!</v>
      </c>
      <c r="CL20" s="2" t="e">
        <f>求节点(节奏总纲!S$4:S$363,BY$4:BY$363,$CD20)*$CE20</f>
        <v>#VALUE!</v>
      </c>
      <c r="CM20" s="2" t="e">
        <f>求节点(节奏总纲!T$4:T$363,BZ$4:BZ$363,$CD20)*$CE20</f>
        <v>#VALUE!</v>
      </c>
      <c r="CN20" s="2" t="e">
        <f>求节点(节奏总纲!U$4:U$363,CA$4:CA$363,$CD20)*$CE20</f>
        <v>#VALUE!</v>
      </c>
      <c r="CO20" s="2" t="e">
        <f>求节点(节奏总纲!V$4:V$363,CB$4:CB$363,$CD20)*$CE20</f>
        <v>#VALUE!</v>
      </c>
    </row>
    <row r="21" spans="2:93" x14ac:dyDescent="0.15">
      <c r="C21" s="2">
        <v>5</v>
      </c>
      <c r="D21" s="2">
        <v>150</v>
      </c>
      <c r="E21" s="2">
        <f t="shared" si="8"/>
        <v>120</v>
      </c>
      <c r="F21" s="2">
        <f t="shared" si="6"/>
        <v>0.27599642449933121</v>
      </c>
      <c r="G21" s="2">
        <f t="shared" si="2"/>
        <v>99358025</v>
      </c>
      <c r="H21" s="2">
        <f t="shared" si="3"/>
        <v>99000000</v>
      </c>
      <c r="I21" s="19">
        <f t="shared" si="9"/>
        <v>198000000</v>
      </c>
      <c r="J21" s="2">
        <v>0.9</v>
      </c>
      <c r="K21" s="2">
        <f>求节点('疲劳值&amp;地图信息'!$U$9:$U$19,'疲劳值&amp;地图信息'!$V$9:$V$19,求节点(其他调用!$B$5:$B$124,其他调用!$M$5:$M$124,E21)*L21)</f>
        <v>0.51110448981357637</v>
      </c>
      <c r="L21" s="2">
        <v>0.6</v>
      </c>
      <c r="P21" s="20">
        <f>INDEX(其他调用!$M:$M,MATCH(E21,其他调用!$B:$B,1))</f>
        <v>100</v>
      </c>
      <c r="Q21" s="20">
        <f t="shared" si="4"/>
        <v>6</v>
      </c>
      <c r="R21" s="2">
        <f>INT(求节点(节奏总纲!D$4:D$163,AH$4:AH$163,$E21)*$Q21*K21*J21)</f>
        <v>10050894</v>
      </c>
      <c r="S21" s="21">
        <f t="shared" si="7"/>
        <v>9.1865399017423799E-2</v>
      </c>
      <c r="T21" s="2">
        <f t="shared" si="5"/>
        <v>3890000</v>
      </c>
      <c r="U21" s="22"/>
      <c r="V21" s="22"/>
      <c r="W21" s="22"/>
      <c r="X21" s="22"/>
      <c r="AA21" s="2">
        <v>18</v>
      </c>
      <c r="AB21" s="2">
        <f>攻城基础信息!X22*$E$12</f>
        <v>33897.376784010841</v>
      </c>
      <c r="AC21" s="2">
        <f>攻城基础信息!Y22*$E$12</f>
        <v>34464.28279772251</v>
      </c>
      <c r="AD21" s="2">
        <f>攻城基础信息!Z22*$E$12</f>
        <v>35056.545841125691</v>
      </c>
      <c r="AE21" s="2">
        <f>攻城基础信息!AA22*$E$12</f>
        <v>35971.53708532812</v>
      </c>
      <c r="AF21" s="2">
        <f>攻城基础信息!AB22*$E$12</f>
        <v>36137.246106351013</v>
      </c>
      <c r="AH21" s="2">
        <f>$E$4*AB21*攻城基础信息!AC22</f>
        <v>340103.68039957574</v>
      </c>
      <c r="AI21" s="2">
        <f>$E$4*AC21*攻城基础信息!AD22</f>
        <v>345791.63740381622</v>
      </c>
      <c r="AJ21" s="2">
        <f>$E$4*AD21*攻城基础信息!AE22</f>
        <v>351734.00993929477</v>
      </c>
      <c r="AK21" s="2">
        <f>$E$4*AE21*攻城基础信息!AF22</f>
        <v>360914.42208945914</v>
      </c>
      <c r="AL21" s="2">
        <f>$E$4*AF21*攻城基础信息!AG22</f>
        <v>362577.03593372216</v>
      </c>
      <c r="AN21" s="2">
        <v>18</v>
      </c>
      <c r="AO21" s="2">
        <f>求节点(节奏总纲!D$4:D$163,AH$4:AH$163,$AN21)*其他调用!H22*其他调用!$M22</f>
        <v>57607796.954445064</v>
      </c>
      <c r="AP21" s="2">
        <f>求节点(节奏总纲!E$4:E$163,AI$4:AI$163,$AN21)*其他调用!I22*其他调用!$M22</f>
        <v>40896052.836925253</v>
      </c>
      <c r="AQ21" s="2">
        <f>求节点(节奏总纲!F$4:F$163,AJ$4:AJ$163,$AN21)*其他调用!J22*其他调用!$M22</f>
        <v>4925481.9718447952</v>
      </c>
      <c r="AR21" s="2">
        <f>求节点(节奏总纲!G$4:G$163,AK$4:AK$163,$AN21)*其他调用!K22*其他调用!$M22</f>
        <v>1002693.8431240286</v>
      </c>
      <c r="AS21" s="2">
        <f>求节点(节奏总纲!H$4:H$163,AL$4:AL$163,$AN21)*其他调用!L22*其他调用!$M22</f>
        <v>330206.95442871016</v>
      </c>
      <c r="AT21" s="2">
        <f t="shared" si="0"/>
        <v>104762232.56076786</v>
      </c>
      <c r="AY21" s="2">
        <v>18</v>
      </c>
      <c r="AZ21" s="2">
        <f>其他调用!R22*6*(其他调用!AH$2*$AZ$1*MIN(其他调用!$AJ22/其他调用!AH22,1)+$E$4*0%*攻城基础信息!AC22)</f>
        <v>3404.528727228253</v>
      </c>
      <c r="BA21" s="2">
        <f>其他调用!S22*6*(其他调用!AI$2*$AZ$1*MIN(其他调用!$AJ22/其他调用!AI22,1)+$E$4*0%*攻城基础信息!AD22)</f>
        <v>10364.493892013534</v>
      </c>
      <c r="BB21" s="2">
        <f>其他调用!T22*6*(其他调用!AJ$2*$AZ$1*MIN(其他调用!$AJ22/其他调用!AJ22,1)+$E$4*0%*攻城基础信息!AE22)</f>
        <v>31632.217444553116</v>
      </c>
      <c r="BC21" s="2">
        <f>其他调用!U22*6*(其他调用!AK$2*$AZ$1*MIN(其他调用!$AJ22/其他调用!AK22,1)+$E$4*0%*攻城基础信息!AF22)</f>
        <v>16990.965665573865</v>
      </c>
      <c r="BD21" s="2">
        <f>其他调用!V22*6*(其他调用!AL$2*$AZ$1*MIN(其他调用!$AJ22/其他调用!AL22,1)+$E$4*0%*攻城基础信息!AG22)</f>
        <v>5637.0671337869207</v>
      </c>
      <c r="BF21" s="2">
        <v>18</v>
      </c>
      <c r="BG21" s="2">
        <f>求节点(节奏总纲!D$4:D$163,AZ$4:AZ$163,$AN21)</f>
        <v>5353.7397683005238</v>
      </c>
      <c r="BH21" s="2">
        <f>求节点(节奏总纲!E$4:E$163,BA$4:BA$163,$AN21)</f>
        <v>16679.749115331939</v>
      </c>
      <c r="BI21" s="2">
        <f>求节点(节奏总纲!F$4:F$163,BB$4:BB$163,$AN21)</f>
        <v>52520.373016448175</v>
      </c>
      <c r="BJ21" s="2">
        <f>求节点(节奏总纲!G$4:G$163,BC$4:BC$163,$AN21)</f>
        <v>23293.266637794128</v>
      </c>
      <c r="BK21" s="2">
        <f>求节点(节奏总纲!H$4:H$163,BD$4:BD$163,$AN21)</f>
        <v>7956.1237839466203</v>
      </c>
      <c r="BL21" s="2">
        <f>BG21*其他调用!H22*其他调用!$M22</f>
        <v>257062.02930857055</v>
      </c>
      <c r="BM21" s="2">
        <f>BH21*其他调用!I22*其他调用!$M22</f>
        <v>507478.63981149037</v>
      </c>
      <c r="BN21" s="2">
        <f>BI21*其他调用!J22*其他调用!$M22</f>
        <v>158225.28580422874</v>
      </c>
      <c r="BO21" s="2">
        <f>BJ21*其他调用!K22*其他调用!$M22</f>
        <v>10337.179041586831</v>
      </c>
      <c r="BP21" s="2">
        <f>BK21*其他调用!L22*其他调用!$M22</f>
        <v>822.02670935736478</v>
      </c>
      <c r="BQ21" s="2">
        <f t="shared" si="1"/>
        <v>933925.16067523393</v>
      </c>
      <c r="BR21" s="2">
        <f>[1]服务器生态!$R20</f>
        <v>0.17407997780728923</v>
      </c>
      <c r="BS21" s="2" t="e">
        <f>SUMPRODUCT((BG$4:BG21)*($BR$4:$BR21)*(其他调用!#REF!))</f>
        <v>#REF!</v>
      </c>
      <c r="BT21" s="2" t="e">
        <f>SUMPRODUCT((BH$4:BH21)*($BR$4:$BR21)*(其他调用!#REF!))</f>
        <v>#REF!</v>
      </c>
      <c r="BU21" s="2" t="e">
        <f>SUMPRODUCT((BI$4:BI21)*($BR$4:$BR21)*(其他调用!#REF!))</f>
        <v>#REF!</v>
      </c>
      <c r="BV21" s="2" t="e">
        <f>SUMPRODUCT((BJ$4:BJ21)*($BR$4:$BR21)*(其他调用!#REF!))</f>
        <v>#REF!</v>
      </c>
      <c r="BW21" s="2" t="e">
        <f>SUMPRODUCT((BK$4:BK21)*($BR$4:$BR21)*(其他调用!#REF!))</f>
        <v>#REF!</v>
      </c>
      <c r="BX21" s="2" t="e">
        <f>SUMPRODUCT((BG$4:BG21)*($BR$4:$BR21))*'[1]功能-战损相关'!$D$2-BS21</f>
        <v>#REF!</v>
      </c>
      <c r="BY21" s="2" t="e">
        <f>SUMPRODUCT((BH$4:BH21)*($BR$4:$BR21))*'[1]功能-战损相关'!$D$2-BT21</f>
        <v>#REF!</v>
      </c>
      <c r="BZ21" s="2" t="e">
        <f>SUMPRODUCT((BI$4:BI21)*($BR$4:$BR21))*'[1]功能-战损相关'!$D$2-BU21</f>
        <v>#REF!</v>
      </c>
      <c r="CA21" s="2" t="e">
        <f>SUMPRODUCT((BJ$4:BJ21)*($BR$4:$BR21))*'[1]功能-战损相关'!$D$2-BV21</f>
        <v>#REF!</v>
      </c>
      <c r="CB21" s="2" t="e">
        <f>SUMPRODUCT((BK$4:BK21)*($BR$4:$BR21))*'[1]功能-战损相关'!$D$2-BW21</f>
        <v>#REF!</v>
      </c>
      <c r="CD21" s="2">
        <v>18</v>
      </c>
      <c r="CE21" s="7">
        <v>1</v>
      </c>
      <c r="CF21" s="2" t="e">
        <f>求节点(节奏总纲!R$4:R$363,BS$4:BS$363,$CD21)*$CE21</f>
        <v>#VALUE!</v>
      </c>
      <c r="CG21" s="2" t="e">
        <f>求节点(节奏总纲!S$4:S$363,BT$4:BT$363,$CD21)*$CE21</f>
        <v>#VALUE!</v>
      </c>
      <c r="CH21" s="2" t="e">
        <f>求节点(节奏总纲!T$4:T$363,BU$4:BU$363,$CD21)*$CE21</f>
        <v>#VALUE!</v>
      </c>
      <c r="CI21" s="2" t="e">
        <f>求节点(节奏总纲!U$4:U$363,BV$4:BV$363,$CD21)*$CE21</f>
        <v>#VALUE!</v>
      </c>
      <c r="CJ21" s="2" t="e">
        <f>求节点(节奏总纲!V$4:V$363,BW$4:BW$363,$CD21)*$CE21</f>
        <v>#VALUE!</v>
      </c>
      <c r="CK21" s="2" t="e">
        <f>求节点(节奏总纲!R$4:R$363,BX$4:BX$363,$CD21)*$CE21</f>
        <v>#VALUE!</v>
      </c>
      <c r="CL21" s="2" t="e">
        <f>求节点(节奏总纲!S$4:S$363,BY$4:BY$363,$CD21)*$CE21</f>
        <v>#VALUE!</v>
      </c>
      <c r="CM21" s="2" t="e">
        <f>求节点(节奏总纲!T$4:T$363,BZ$4:BZ$363,$CD21)*$CE21</f>
        <v>#VALUE!</v>
      </c>
      <c r="CN21" s="2" t="e">
        <f>求节点(节奏总纲!U$4:U$363,CA$4:CA$363,$CD21)*$CE21</f>
        <v>#VALUE!</v>
      </c>
      <c r="CO21" s="2" t="e">
        <f>求节点(节奏总纲!V$4:V$363,CB$4:CB$363,$CD21)*$CE21</f>
        <v>#VALUE!</v>
      </c>
    </row>
    <row r="22" spans="2:93" x14ac:dyDescent="0.15">
      <c r="C22" s="2">
        <v>6</v>
      </c>
      <c r="D22" s="2">
        <v>210</v>
      </c>
      <c r="E22" s="2">
        <f t="shared" si="8"/>
        <v>180</v>
      </c>
      <c r="F22" s="2">
        <f t="shared" si="6"/>
        <v>0.27599642449933121</v>
      </c>
      <c r="G22" s="2">
        <f t="shared" si="2"/>
        <v>119526374</v>
      </c>
      <c r="H22" s="2">
        <f t="shared" si="3"/>
        <v>120000000</v>
      </c>
      <c r="I22" s="19">
        <f t="shared" si="9"/>
        <v>240000000</v>
      </c>
      <c r="J22" s="2">
        <v>0.9</v>
      </c>
      <c r="K22" s="2">
        <f>求节点('疲劳值&amp;地图信息'!$U$9:$U$19,'疲劳值&amp;地图信息'!$V$9:$V$19,求节点(其他调用!$B$5:$B$124,其他调用!$M$5:$M$124,E22)*L22)</f>
        <v>0.51110448981357637</v>
      </c>
      <c r="L22" s="2">
        <v>0.6</v>
      </c>
      <c r="P22" s="20">
        <f>INDEX(其他调用!$M:$M,MATCH(E22,其他调用!$B:$B,1))</f>
        <v>100</v>
      </c>
      <c r="Q22" s="20">
        <f t="shared" si="4"/>
        <v>6</v>
      </c>
      <c r="R22" s="2">
        <f>INT(求节点(节奏总纲!D$4:D$163,AH$4:AH$163,$E22)*$Q22*K22*J22)</f>
        <v>12114156</v>
      </c>
      <c r="S22" s="21">
        <f t="shared" si="7"/>
        <v>9.2024515550036143E-2</v>
      </c>
      <c r="T22" s="2">
        <f t="shared" si="5"/>
        <v>4680000</v>
      </c>
      <c r="U22" s="22"/>
      <c r="V22" s="22"/>
      <c r="W22" s="22"/>
      <c r="X22" s="22"/>
      <c r="AA22" s="2">
        <v>19</v>
      </c>
      <c r="AB22" s="2">
        <f>攻城基础信息!X23*$E$12</f>
        <v>35065.918577644676</v>
      </c>
      <c r="AC22" s="2">
        <f>攻城基础信息!Y23*$E$12</f>
        <v>35639.996358434473</v>
      </c>
      <c r="AD22" s="2">
        <f>攻城基础信息!Z23*$E$12</f>
        <v>36216.937640077624</v>
      </c>
      <c r="AE22" s="2">
        <f>攻城基础信息!AA23*$E$12</f>
        <v>37194.20616948932</v>
      </c>
      <c r="AF22" s="2">
        <f>攻城基础信息!AB23*$E$12</f>
        <v>37317.226025559154</v>
      </c>
      <c r="AH22" s="2">
        <f>$E$4*AB22*攻城基础信息!AC23</f>
        <v>360010.09739715233</v>
      </c>
      <c r="AI22" s="2">
        <f>$E$4*AC22*攻城基础信息!AD23</f>
        <v>365903.96261326096</v>
      </c>
      <c r="AJ22" s="2">
        <f>$E$4*AD22*攻城基础信息!AE23</f>
        <v>371827.22643813066</v>
      </c>
      <c r="AK22" s="2">
        <f>$E$4*AE22*攻城基础信息!AF23</f>
        <v>381860.51667342411</v>
      </c>
      <c r="AL22" s="2">
        <f>$E$4*AF22*攻城基础信息!AG23</f>
        <v>383123.52052907436</v>
      </c>
      <c r="AN22" s="2">
        <v>19</v>
      </c>
      <c r="AO22" s="2">
        <f>求节点(节奏总纲!D$4:D$163,AH$4:AH$163,$AN22)*其他调用!H23*其他调用!$M23</f>
        <v>59343833.287621863</v>
      </c>
      <c r="AP22" s="2">
        <f>求节点(节奏总纲!E$4:E$163,AI$4:AI$163,$AN22)*其他调用!I23*其他调用!$M23</f>
        <v>43546688.630275734</v>
      </c>
      <c r="AQ22" s="2">
        <f>求节点(节奏总纲!F$4:F$163,AJ$4:AJ$163,$AN22)*其他调用!J23*其他调用!$M23</f>
        <v>5130825.9401700264</v>
      </c>
      <c r="AR22" s="2">
        <f>求节点(节奏总纲!G$4:G$163,AK$4:AK$163,$AN22)*其他调用!K23*其他调用!$M23</f>
        <v>1043061.7669914056</v>
      </c>
      <c r="AS22" s="2">
        <f>求节点(节奏总纲!H$4:H$163,AL$4:AL$163,$AN22)*其他调用!L23*其他调用!$M23</f>
        <v>346895.35909905372</v>
      </c>
      <c r="AT22" s="2">
        <f t="shared" si="0"/>
        <v>109411304.98415808</v>
      </c>
      <c r="AY22" s="2">
        <v>19</v>
      </c>
      <c r="AZ22" s="2">
        <f>其他调用!R23*6*(其他调用!AH$2*$AZ$1*MIN(其他调用!$AJ23/其他调用!AH23,1)+$E$4*0%*攻城基础信息!AC23)</f>
        <v>3488.6930294025174</v>
      </c>
      <c r="BA22" s="2">
        <f>其他调用!S23*6*(其他调用!AI$2*$AZ$1*MIN(其他调用!$AJ23/其他调用!AI23,1)+$E$4*0%*攻城基础信息!AD23)</f>
        <v>10628.769789199458</v>
      </c>
      <c r="BB22" s="2">
        <f>其他调用!T23*6*(其他调用!AJ$2*$AZ$1*MIN(其他调用!$AJ23/其他调用!AJ23,1)+$E$4*0%*攻城基础信息!AE23)</f>
        <v>32417.050947467698</v>
      </c>
      <c r="BC22" s="2">
        <f>其他调用!U23*6*(其他调用!AK$2*$AZ$1*MIN(其他调用!$AJ23/其他调用!AK23,1)+$E$4*0%*攻城基础信息!AF23)</f>
        <v>17086.874392464684</v>
      </c>
      <c r="BD22" s="2">
        <f>其他调用!V23*6*(其他调用!AL$2*$AZ$1*MIN(其他调用!$AJ23/其他调用!AL23,1)+$E$4*0%*攻城基础信息!AG23)</f>
        <v>5517.4049581799882</v>
      </c>
      <c r="BF22" s="2">
        <v>19</v>
      </c>
      <c r="BG22" s="2">
        <f>求节点(节奏总纲!D$4:D$163,AZ$4:AZ$163,$AN22)</f>
        <v>5410.125409274815</v>
      </c>
      <c r="BH22" s="2">
        <f>求节点(节奏总纲!E$4:E$163,BA$4:BA$163,$AN22)</f>
        <v>16855.712537386913</v>
      </c>
      <c r="BI22" s="2">
        <f>求节点(节奏总纲!F$4:F$163,BB$4:BB$163,$AN22)</f>
        <v>53041.906037263652</v>
      </c>
      <c r="BJ22" s="2">
        <f>求节点(节奏总纲!G$4:G$163,BC$4:BC$163,$AN22)</f>
        <v>23569.395152742207</v>
      </c>
      <c r="BK22" s="2">
        <f>求节点(节奏总纲!H$4:H$163,BD$4:BD$163,$AN22)</f>
        <v>8035.4251135294044</v>
      </c>
      <c r="BL22" s="2">
        <f>BG22*其他调用!H23*其他调用!$M23</f>
        <v>259465.42411963566</v>
      </c>
      <c r="BM22" s="2">
        <f>BH22*其他调用!I23*其他调用!$M23</f>
        <v>521327.21954965638</v>
      </c>
      <c r="BN22" s="2">
        <f>BI22*其他调用!J23*其他调用!$M23</f>
        <v>160924.35641545715</v>
      </c>
      <c r="BO22" s="2">
        <f>BJ22*其他调用!K23*其他调用!$M23</f>
        <v>10584.61131632248</v>
      </c>
      <c r="BP22" s="2">
        <f>BK22*其他调用!L23*其他调用!$M23</f>
        <v>844.98234658128501</v>
      </c>
      <c r="BQ22" s="2">
        <f t="shared" si="1"/>
        <v>953146.59374765295</v>
      </c>
      <c r="BR22" s="2">
        <f>[1]服务器生态!$R21</f>
        <v>0.15711484335738263</v>
      </c>
      <c r="BS22" s="2" t="e">
        <f>SUMPRODUCT((BG$4:BG22)*($BR$4:$BR22)*(其他调用!#REF!))</f>
        <v>#REF!</v>
      </c>
      <c r="BT22" s="2" t="e">
        <f>SUMPRODUCT((BH$4:BH22)*($BR$4:$BR22)*(其他调用!#REF!))</f>
        <v>#REF!</v>
      </c>
      <c r="BU22" s="2" t="e">
        <f>SUMPRODUCT((BI$4:BI22)*($BR$4:$BR22)*(其他调用!#REF!))</f>
        <v>#REF!</v>
      </c>
      <c r="BV22" s="2" t="e">
        <f>SUMPRODUCT((BJ$4:BJ22)*($BR$4:$BR22)*(其他调用!#REF!))</f>
        <v>#REF!</v>
      </c>
      <c r="BW22" s="2" t="e">
        <f>SUMPRODUCT((BK$4:BK22)*($BR$4:$BR22)*(其他调用!#REF!))</f>
        <v>#REF!</v>
      </c>
      <c r="BX22" s="2" t="e">
        <f>SUMPRODUCT((BG$4:BG22)*($BR$4:$BR22))*'[1]功能-战损相关'!$D$2-BS22</f>
        <v>#REF!</v>
      </c>
      <c r="BY22" s="2" t="e">
        <f>SUMPRODUCT((BH$4:BH22)*($BR$4:$BR22))*'[1]功能-战损相关'!$D$2-BT22</f>
        <v>#REF!</v>
      </c>
      <c r="BZ22" s="2" t="e">
        <f>SUMPRODUCT((BI$4:BI22)*($BR$4:$BR22))*'[1]功能-战损相关'!$D$2-BU22</f>
        <v>#REF!</v>
      </c>
      <c r="CA22" s="2" t="e">
        <f>SUMPRODUCT((BJ$4:BJ22)*($BR$4:$BR22))*'[1]功能-战损相关'!$D$2-BV22</f>
        <v>#REF!</v>
      </c>
      <c r="CB22" s="2" t="e">
        <f>SUMPRODUCT((BK$4:BK22)*($BR$4:$BR22))*'[1]功能-战损相关'!$D$2-BW22</f>
        <v>#REF!</v>
      </c>
      <c r="CD22" s="2">
        <v>19</v>
      </c>
      <c r="CE22" s="7">
        <v>1</v>
      </c>
      <c r="CF22" s="2" t="e">
        <f>求节点(节奏总纲!R$4:R$363,BS$4:BS$363,$CD22)*$CE22</f>
        <v>#VALUE!</v>
      </c>
      <c r="CG22" s="2" t="e">
        <f>求节点(节奏总纲!S$4:S$363,BT$4:BT$363,$CD22)*$CE22</f>
        <v>#VALUE!</v>
      </c>
      <c r="CH22" s="2" t="e">
        <f>求节点(节奏总纲!T$4:T$363,BU$4:BU$363,$CD22)*$CE22</f>
        <v>#VALUE!</v>
      </c>
      <c r="CI22" s="2" t="e">
        <f>求节点(节奏总纲!U$4:U$363,BV$4:BV$363,$CD22)*$CE22</f>
        <v>#VALUE!</v>
      </c>
      <c r="CJ22" s="2" t="e">
        <f>求节点(节奏总纲!V$4:V$363,BW$4:BW$363,$CD22)*$CE22</f>
        <v>#VALUE!</v>
      </c>
      <c r="CK22" s="2" t="e">
        <f>求节点(节奏总纲!R$4:R$363,BX$4:BX$363,$CD22)*$CE22</f>
        <v>#VALUE!</v>
      </c>
      <c r="CL22" s="2" t="e">
        <f>求节点(节奏总纲!S$4:S$363,BY$4:BY$363,$CD22)*$CE22</f>
        <v>#VALUE!</v>
      </c>
      <c r="CM22" s="2" t="e">
        <f>求节点(节奏总纲!T$4:T$363,BZ$4:BZ$363,$CD22)*$CE22</f>
        <v>#VALUE!</v>
      </c>
      <c r="CN22" s="2" t="e">
        <f>求节点(节奏总纲!U$4:U$363,CA$4:CA$363,$CD22)*$CE22</f>
        <v>#VALUE!</v>
      </c>
      <c r="CO22" s="2" t="e">
        <f>求节点(节奏总纲!V$4:V$363,CB$4:CB$363,$CD22)*$CE22</f>
        <v>#VALUE!</v>
      </c>
    </row>
    <row r="23" spans="2:93" x14ac:dyDescent="0.15">
      <c r="C23" s="2">
        <v>7</v>
      </c>
      <c r="D23" s="2">
        <v>360</v>
      </c>
      <c r="E23" s="2">
        <f t="shared" si="8"/>
        <v>285</v>
      </c>
      <c r="F23" s="2">
        <f t="shared" si="6"/>
        <v>0.30666269388814582</v>
      </c>
      <c r="G23" s="2">
        <f t="shared" si="2"/>
        <v>165111562</v>
      </c>
      <c r="H23" s="2">
        <f>ROUND(G23/(9*10^(LEN(G23)-2)/6),0)*(9*10^(LEN(G23)-2)/6)</f>
        <v>165000000</v>
      </c>
      <c r="I23" s="19">
        <f t="shared" si="9"/>
        <v>330000000</v>
      </c>
      <c r="J23" s="2">
        <v>1</v>
      </c>
      <c r="K23" s="2">
        <f>求节点('疲劳值&amp;地图信息'!$U$9:$U$19,'疲劳值&amp;地图信息'!$V$9:$V$19,求节点(其他调用!$B$5:$B$124,其他调用!$M$5:$M$124,E23)*L23)</f>
        <v>0.51110448981357637</v>
      </c>
      <c r="L23" s="2">
        <v>0.6</v>
      </c>
      <c r="P23" s="20">
        <f>INDEX(其他调用!$M:$M,MATCH(E23,其他调用!$B:$B,1))</f>
        <v>100</v>
      </c>
      <c r="Q23" s="20">
        <f>P23*0.1*L23</f>
        <v>6</v>
      </c>
      <c r="R23" s="2">
        <f>INT(求节点(节奏总纲!D$4:D$163,AH$4:AH$163,$E23)*$Q23*K23*J23)</f>
        <v>16460396</v>
      </c>
      <c r="S23" s="21">
        <f t="shared" si="7"/>
        <v>9.0654945737821471E-2</v>
      </c>
      <c r="T23" s="2">
        <f t="shared" si="5"/>
        <v>6360000</v>
      </c>
      <c r="U23" s="22"/>
      <c r="V23" s="22"/>
      <c r="W23" s="22"/>
      <c r="X23" s="22"/>
      <c r="AA23" s="2">
        <v>20</v>
      </c>
      <c r="AB23" s="2">
        <f>攻城基础信息!X24*$E$12</f>
        <v>36271.441057605582</v>
      </c>
      <c r="AC23" s="2">
        <f>攻城基础信息!Y24*$E$12</f>
        <v>36766.736856077354</v>
      </c>
      <c r="AD23" s="2">
        <f>攻城基础信息!Z24*$E$12</f>
        <v>37345.81705942595</v>
      </c>
      <c r="AE23" s="2">
        <f>攻城基础信息!AA24*$E$12</f>
        <v>38344.365300464502</v>
      </c>
      <c r="AF23" s="2">
        <f>攻城基础信息!AB24*$E$12</f>
        <v>38401.81515955169</v>
      </c>
      <c r="AH23" s="2">
        <f>$E$4*AB23*攻城基础信息!AC24</f>
        <v>380850.131104859</v>
      </c>
      <c r="AI23" s="2">
        <f>$E$4*AC23*攻城基础信息!AD24</f>
        <v>386050.73698881263</v>
      </c>
      <c r="AJ23" s="2">
        <f>$E$4*AD23*攻城基础信息!AE24</f>
        <v>392131.07912397286</v>
      </c>
      <c r="AK23" s="2">
        <f>$E$4*AE23*攻城基础信息!AF24</f>
        <v>402615.83565487771</v>
      </c>
      <c r="AL23" s="2">
        <f>$E$4*AF23*攻城基础信息!AG24</f>
        <v>403219.05917529319</v>
      </c>
      <c r="AN23" s="2">
        <v>20</v>
      </c>
      <c r="AO23" s="2">
        <f>求节点(节奏总纲!D$4:D$163,AH$4:AH$163,$AN23)*其他调用!H24*其他调用!$M24</f>
        <v>61035676.880447678</v>
      </c>
      <c r="AP23" s="2">
        <f>求节点(节奏总纲!E$4:E$163,AI$4:AI$163,$AN23)*其他调用!I24*其他调用!$M24</f>
        <v>45569672.554194219</v>
      </c>
      <c r="AQ23" s="2">
        <f>求节点(节奏总纲!F$4:F$163,AJ$4:AJ$163,$AN23)*其他调用!J24*其他调用!$M24</f>
        <v>5333949.3455650387</v>
      </c>
      <c r="AR23" s="2">
        <f>求节点(节奏总纲!G$4:G$163,AK$4:AK$163,$AN23)*其他调用!K24*其他调用!$M24</f>
        <v>1084262.8733030166</v>
      </c>
      <c r="AS23" s="2">
        <f>求节点(节奏总纲!H$4:H$163,AL$4:AL$163,$AN23)*其他调用!L24*其他调用!$M24</f>
        <v>363393.21348186978</v>
      </c>
      <c r="AT23" s="2">
        <f t="shared" si="0"/>
        <v>113386954.86699182</v>
      </c>
      <c r="AY23" s="2">
        <v>20</v>
      </c>
      <c r="AZ23" s="2">
        <f>其他调用!R24*6*(其他调用!AH$2*$AZ$1*MIN(其他调用!$AJ24/其他调用!AH24,1)+$E$4*0%*攻城基础信息!AC24)</f>
        <v>3574.6077536479352</v>
      </c>
      <c r="BA23" s="2">
        <f>其他调用!S24*6*(其他调用!AI$2*$AZ$1*MIN(其他调用!$AJ24/其他调用!AI24,1)+$E$4*0%*攻城基础信息!AD24)</f>
        <v>10879.404348741953</v>
      </c>
      <c r="BB23" s="2">
        <f>其他调用!T24*6*(其他调用!AJ$2*$AZ$1*MIN(其他调用!$AJ24/其他调用!AJ24,1)+$E$4*0%*攻城基础信息!AE24)</f>
        <v>33179.267886206042</v>
      </c>
      <c r="BC23" s="2">
        <f>其他调用!U24*6*(其他调用!AK$2*$AZ$1*MIN(其他调用!$AJ24/其他调用!AK24,1)+$E$4*0%*攻城基础信息!AF24)</f>
        <v>17123.328871522019</v>
      </c>
      <c r="BD23" s="2">
        <f>其他调用!V24*6*(其他调用!AL$2*$AZ$1*MIN(其他调用!$AJ24/其他调用!AL24,1)+$E$4*0%*攻城基础信息!AG24)</f>
        <v>5450.9901430899799</v>
      </c>
      <c r="BF23" s="2">
        <v>20</v>
      </c>
      <c r="BG23" s="2">
        <f>求节点(节奏总纲!D$4:D$163,AZ$4:AZ$163,$AN23)</f>
        <v>5465.660243545256</v>
      </c>
      <c r="BH23" s="2">
        <f>求节点(节奏总纲!E$4:E$163,BA$4:BA$163,$AN23)</f>
        <v>17016.645700431269</v>
      </c>
      <c r="BI23" s="2">
        <f>求节点(节奏总纲!F$4:F$163,BB$4:BB$163,$AN23)</f>
        <v>53541.126498777157</v>
      </c>
      <c r="BJ23" s="2">
        <f>求节点(节奏总纲!G$4:G$163,BC$4:BC$163,$AN23)</f>
        <v>23843.65328756678</v>
      </c>
      <c r="BK23" s="2">
        <f>求节点(节奏总纲!H$4:H$163,BD$4:BD$163,$AN23)</f>
        <v>8111.5434827352819</v>
      </c>
      <c r="BL23" s="2">
        <f>BG23*其他调用!H24*其他调用!$M24</f>
        <v>261800.58167792755</v>
      </c>
      <c r="BM23" s="2">
        <f>BH23*其他调用!I24*其他调用!$M24</f>
        <v>534945.0325439747</v>
      </c>
      <c r="BN23" s="2">
        <f>BI23*其他调用!J24*其他调用!$M24</f>
        <v>163579.76801646568</v>
      </c>
      <c r="BO23" s="2">
        <f>BJ23*其他调用!K24*其他调用!$M24</f>
        <v>10834.869427599269</v>
      </c>
      <c r="BP23" s="2">
        <f>BK23*其他调用!L24*其他调用!$M24</f>
        <v>868.00468016824141</v>
      </c>
      <c r="BQ23" s="2">
        <f t="shared" si="1"/>
        <v>972028.2563461354</v>
      </c>
      <c r="BR23" s="2">
        <f>[1]服务器生态!$R22</f>
        <v>0.14014970890747605</v>
      </c>
      <c r="BS23" s="2" t="e">
        <f>SUMPRODUCT((BG$4:BG23)*($BR$4:$BR23)*(其他调用!#REF!))</f>
        <v>#REF!</v>
      </c>
      <c r="BT23" s="2" t="e">
        <f>SUMPRODUCT((BH$4:BH23)*($BR$4:$BR23)*(其他调用!#REF!))</f>
        <v>#REF!</v>
      </c>
      <c r="BU23" s="2" t="e">
        <f>SUMPRODUCT((BI$4:BI23)*($BR$4:$BR23)*(其他调用!#REF!))</f>
        <v>#REF!</v>
      </c>
      <c r="BV23" s="2" t="e">
        <f>SUMPRODUCT((BJ$4:BJ23)*($BR$4:$BR23)*(其他调用!#REF!))</f>
        <v>#REF!</v>
      </c>
      <c r="BW23" s="2" t="e">
        <f>SUMPRODUCT((BK$4:BK23)*($BR$4:$BR23)*(其他调用!#REF!))</f>
        <v>#REF!</v>
      </c>
      <c r="BX23" s="2" t="e">
        <f>SUMPRODUCT((BG$4:BG23)*($BR$4:$BR23))*'[1]功能-战损相关'!$D$2-BS23</f>
        <v>#REF!</v>
      </c>
      <c r="BY23" s="2" t="e">
        <f>SUMPRODUCT((BH$4:BH23)*($BR$4:$BR23))*'[1]功能-战损相关'!$D$2-BT23</f>
        <v>#REF!</v>
      </c>
      <c r="BZ23" s="2" t="e">
        <f>SUMPRODUCT((BI$4:BI23)*($BR$4:$BR23))*'[1]功能-战损相关'!$D$2-BU23</f>
        <v>#REF!</v>
      </c>
      <c r="CA23" s="2" t="e">
        <f>SUMPRODUCT((BJ$4:BJ23)*($BR$4:$BR23))*'[1]功能-战损相关'!$D$2-BV23</f>
        <v>#REF!</v>
      </c>
      <c r="CB23" s="2" t="e">
        <f>SUMPRODUCT((BK$4:BK23)*($BR$4:$BR23))*'[1]功能-战损相关'!$D$2-BW23</f>
        <v>#REF!</v>
      </c>
      <c r="CD23" s="2">
        <v>20</v>
      </c>
      <c r="CE23" s="7">
        <v>1</v>
      </c>
      <c r="CF23" s="2" t="e">
        <f>求节点(节奏总纲!R$4:R$363,BS$4:BS$363,$CD23)*$CE23</f>
        <v>#VALUE!</v>
      </c>
      <c r="CG23" s="2" t="e">
        <f>求节点(节奏总纲!S$4:S$363,BT$4:BT$363,$CD23)*$CE23</f>
        <v>#VALUE!</v>
      </c>
      <c r="CH23" s="2" t="e">
        <f>求节点(节奏总纲!T$4:T$363,BU$4:BU$363,$CD23)*$CE23</f>
        <v>#VALUE!</v>
      </c>
      <c r="CI23" s="2" t="e">
        <f>求节点(节奏总纲!U$4:U$363,BV$4:BV$363,$CD23)*$CE23</f>
        <v>#VALUE!</v>
      </c>
      <c r="CJ23" s="2" t="e">
        <f>求节点(节奏总纲!V$4:V$363,BW$4:BW$363,$CD23)*$CE23</f>
        <v>#VALUE!</v>
      </c>
      <c r="CK23" s="2" t="e">
        <f>求节点(节奏总纲!R$4:R$363,BX$4:BX$363,$CD23)*$CE23</f>
        <v>#VALUE!</v>
      </c>
      <c r="CL23" s="2" t="e">
        <f>求节点(节奏总纲!S$4:S$363,BY$4:BY$363,$CD23)*$CE23</f>
        <v>#VALUE!</v>
      </c>
      <c r="CM23" s="2" t="e">
        <f>求节点(节奏总纲!T$4:T$363,BZ$4:BZ$363,$CD23)*$CE23</f>
        <v>#VALUE!</v>
      </c>
      <c r="CN23" s="2" t="e">
        <f>求节点(节奏总纲!U$4:U$363,CA$4:CA$363,$CD23)*$CE23</f>
        <v>#VALUE!</v>
      </c>
      <c r="CO23" s="2" t="e">
        <f>求节点(节奏总纲!V$4:V$363,CB$4:CB$363,$CD23)*$CE23</f>
        <v>#VALUE!</v>
      </c>
    </row>
    <row r="24" spans="2:93" x14ac:dyDescent="0.15">
      <c r="D24" s="2"/>
      <c r="AA24" s="2">
        <v>21</v>
      </c>
      <c r="AB24" s="2">
        <f>攻城基础信息!X25*$E$12</f>
        <v>37114.215766799884</v>
      </c>
      <c r="AC24" s="2">
        <f>攻城基础信息!Y25*$E$12</f>
        <v>37642.556370679158</v>
      </c>
      <c r="AD24" s="2">
        <f>攻城基础信息!Z25*$E$12</f>
        <v>38271.762616154374</v>
      </c>
      <c r="AE24" s="2">
        <f>攻城基础信息!AA25*$E$12</f>
        <v>39449.156293110587</v>
      </c>
      <c r="AF24" s="2">
        <f>攻城基础信息!AB25*$E$12</f>
        <v>39456.40143107975</v>
      </c>
      <c r="AH24" s="2">
        <f>$E$4*AB24*攻城基础信息!AC25</f>
        <v>398359.24923031923</v>
      </c>
      <c r="AI24" s="2">
        <f>$E$4*AC24*攻城基础信息!AD25</f>
        <v>404030.10504529002</v>
      </c>
      <c r="AJ24" s="2">
        <f>$E$4*AD24*攻城基础信息!AE25</f>
        <v>410783.58541339071</v>
      </c>
      <c r="AK24" s="2">
        <f>$E$4*AE24*攻城基础信息!AF25</f>
        <v>423420.94421272079</v>
      </c>
      <c r="AL24" s="2">
        <f>$E$4*AF24*攻城基础信息!AG25</f>
        <v>423498.70869358984</v>
      </c>
      <c r="AN24" s="2">
        <v>21</v>
      </c>
      <c r="AO24" s="2">
        <f>求节点(节奏总纲!D$4:D$163,AH$4:AH$163,$AN24)*其他调用!H25*其他调用!$M25</f>
        <v>63374198.84697111</v>
      </c>
      <c r="AP24" s="2">
        <f>求节点(节奏总纲!E$4:E$163,AI$4:AI$163,$AN24)*其他调用!I25*其他调用!$M25</f>
        <v>47615538.655695036</v>
      </c>
      <c r="AQ24" s="2">
        <f>求节点(节奏总纲!F$4:F$163,AJ$4:AJ$163,$AN24)*其他调用!J25*其他调用!$M25</f>
        <v>5530298.7664985787</v>
      </c>
      <c r="AR24" s="2">
        <f>求节点(节奏总纲!G$4:G$163,AK$4:AK$163,$AN24)*其他调用!K25*其他调用!$M25</f>
        <v>1125747.3397674991</v>
      </c>
      <c r="AS24" s="2">
        <f>求节点(节奏总纲!H$4:H$163,AL$4:AL$163,$AN24)*其他调用!L25*其他调用!$M25</f>
        <v>379375.09948311804</v>
      </c>
      <c r="AT24" s="2">
        <f t="shared" si="0"/>
        <v>118025158.70841534</v>
      </c>
      <c r="AY24" s="2">
        <v>21</v>
      </c>
      <c r="AZ24" s="2">
        <f>其他调用!R25*6*(其他调用!AH$2*$AZ$1*MIN(其他调用!$AJ25/其他调用!AH25,1)+$E$4*0%*攻城基础信息!AC25)</f>
        <v>3656.8184586700331</v>
      </c>
      <c r="BA24" s="2">
        <f>其他调用!S25*6*(其他调用!AI$2*$AZ$1*MIN(其他调用!$AJ25/其他调用!AI25,1)+$E$4*0%*攻城基础信息!AD25)</f>
        <v>11133.430118191596</v>
      </c>
      <c r="BB24" s="2">
        <f>其他调用!T25*6*(其他调用!AJ$2*$AZ$1*MIN(其他调用!$AJ25/其他调用!AJ25,1)+$E$4*0%*攻城基础信息!AE25)</f>
        <v>33945.267811164165</v>
      </c>
      <c r="BC24" s="2">
        <f>其他调用!U25*6*(其他调用!AK$2*$AZ$1*MIN(其他调用!$AJ25/其他调用!AK25,1)+$E$4*0%*攻城基础信息!AF25)</f>
        <v>17308.683780321153</v>
      </c>
      <c r="BD24" s="2">
        <f>其他调用!V25*6*(其他调用!AL$2*$AZ$1*MIN(其他调用!$AJ25/其他调用!AL25,1)+$E$4*0%*攻城基础信息!AG25)</f>
        <v>5475.5334301150124</v>
      </c>
      <c r="BF24" s="2">
        <v>21</v>
      </c>
      <c r="BG24" s="2">
        <f>求节点(节奏总纲!D$4:D$163,AZ$4:AZ$163,$AN24)</f>
        <v>5516.1960256316524</v>
      </c>
      <c r="BH24" s="2">
        <f>求节点(节奏总纲!E$4:E$163,BA$4:BA$163,$AN24)</f>
        <v>17171.99979908529</v>
      </c>
      <c r="BI24" s="2">
        <f>求节点(节奏总纲!F$4:F$163,BB$4:BB$163,$AN24)</f>
        <v>54019.313062456145</v>
      </c>
      <c r="BJ24" s="2">
        <f>求节点(节奏总纲!G$4:G$163,BC$4:BC$163,$AN24)</f>
        <v>24101.219249248068</v>
      </c>
      <c r="BK24" s="2">
        <f>求节点(节奏总纲!H$4:H$163,BD$4:BD$163,$AN24)</f>
        <v>8181.7610314754129</v>
      </c>
      <c r="BL24" s="2">
        <f>BG24*其他调用!H25*其他调用!$M25</f>
        <v>263868.57841112994</v>
      </c>
      <c r="BM24" s="2">
        <f>BH24*其他调用!I25*其他调用!$M25</f>
        <v>548612.95608909649</v>
      </c>
      <c r="BN24" s="2">
        <f>BI24*其他调用!J25*其他调用!$M25</f>
        <v>166194.09340717061</v>
      </c>
      <c r="BO24" s="2">
        <f>BJ24*其他调用!K25*其他调用!$M25</f>
        <v>11081.134637291712</v>
      </c>
      <c r="BP24" s="2">
        <f>BK24*其他调用!L25*其他调用!$M25</f>
        <v>890.78338818686314</v>
      </c>
      <c r="BQ24" s="2">
        <f t="shared" si="1"/>
        <v>990647.54593287548</v>
      </c>
      <c r="BR24" s="2">
        <f>[1]服务器生态!$R23</f>
        <v>0.12318457445756945</v>
      </c>
      <c r="BS24" s="2" t="e">
        <f>SUMPRODUCT((BG$4:BG24)*($BR$4:$BR24)*(其他调用!#REF!))</f>
        <v>#REF!</v>
      </c>
      <c r="BT24" s="2" t="e">
        <f>SUMPRODUCT((BH$4:BH24)*($BR$4:$BR24)*(其他调用!#REF!))</f>
        <v>#REF!</v>
      </c>
      <c r="BU24" s="2" t="e">
        <f>SUMPRODUCT((BI$4:BI24)*($BR$4:$BR24)*(其他调用!#REF!))</f>
        <v>#REF!</v>
      </c>
      <c r="BV24" s="2" t="e">
        <f>SUMPRODUCT((BJ$4:BJ24)*($BR$4:$BR24)*(其他调用!#REF!))</f>
        <v>#REF!</v>
      </c>
      <c r="BW24" s="2" t="e">
        <f>SUMPRODUCT((BK$4:BK24)*($BR$4:$BR24)*(其他调用!#REF!))</f>
        <v>#REF!</v>
      </c>
      <c r="BX24" s="2" t="e">
        <f>SUMPRODUCT((BG$4:BG24)*($BR$4:$BR24))*'[1]功能-战损相关'!$D$2-BS24</f>
        <v>#REF!</v>
      </c>
      <c r="BY24" s="2" t="e">
        <f>SUMPRODUCT((BH$4:BH24)*($BR$4:$BR24))*'[1]功能-战损相关'!$D$2-BT24</f>
        <v>#REF!</v>
      </c>
      <c r="BZ24" s="2" t="e">
        <f>SUMPRODUCT((BI$4:BI24)*($BR$4:$BR24))*'[1]功能-战损相关'!$D$2-BU24</f>
        <v>#REF!</v>
      </c>
      <c r="CA24" s="2" t="e">
        <f>SUMPRODUCT((BJ$4:BJ24)*($BR$4:$BR24))*'[1]功能-战损相关'!$D$2-BV24</f>
        <v>#REF!</v>
      </c>
      <c r="CB24" s="2" t="e">
        <f>SUMPRODUCT((BK$4:BK24)*($BR$4:$BR24))*'[1]功能-战损相关'!$D$2-BW24</f>
        <v>#REF!</v>
      </c>
      <c r="CD24" s="2">
        <v>21</v>
      </c>
      <c r="CE24" s="7">
        <v>1</v>
      </c>
      <c r="CF24" s="2" t="e">
        <f>求节点(节奏总纲!R$4:R$363,BS$4:BS$363,$CD24)*$CE24</f>
        <v>#VALUE!</v>
      </c>
      <c r="CG24" s="2" t="e">
        <f>求节点(节奏总纲!S$4:S$363,BT$4:BT$363,$CD24)*$CE24</f>
        <v>#VALUE!</v>
      </c>
      <c r="CH24" s="2" t="e">
        <f>求节点(节奏总纲!T$4:T$363,BU$4:BU$363,$CD24)*$CE24</f>
        <v>#VALUE!</v>
      </c>
      <c r="CI24" s="2" t="e">
        <f>求节点(节奏总纲!U$4:U$363,BV$4:BV$363,$CD24)*$CE24</f>
        <v>#VALUE!</v>
      </c>
      <c r="CJ24" s="2" t="e">
        <f>求节点(节奏总纲!V$4:V$363,BW$4:BW$363,$CD24)*$CE24</f>
        <v>#VALUE!</v>
      </c>
      <c r="CK24" s="2" t="e">
        <f>求节点(节奏总纲!R$4:R$363,BX$4:BX$363,$CD24)*$CE24</f>
        <v>#VALUE!</v>
      </c>
      <c r="CL24" s="2" t="e">
        <f>求节点(节奏总纲!S$4:S$363,BY$4:BY$363,$CD24)*$CE24</f>
        <v>#VALUE!</v>
      </c>
      <c r="CM24" s="2" t="e">
        <f>求节点(节奏总纲!T$4:T$363,BZ$4:BZ$363,$CD24)*$CE24</f>
        <v>#VALUE!</v>
      </c>
      <c r="CN24" s="2" t="e">
        <f>求节点(节奏总纲!U$4:U$363,CA$4:CA$363,$CD24)*$CE24</f>
        <v>#VALUE!</v>
      </c>
      <c r="CO24" s="2" t="e">
        <f>求节点(节奏总纲!V$4:V$363,CB$4:CB$363,$CD24)*$CE24</f>
        <v>#VALUE!</v>
      </c>
    </row>
    <row r="25" spans="2:93" x14ac:dyDescent="0.15">
      <c r="AA25" s="2">
        <v>22</v>
      </c>
      <c r="AB25" s="2">
        <f>攻城基础信息!X26*$E$12</f>
        <v>37945.022609978449</v>
      </c>
      <c r="AC25" s="2">
        <f>攻城基础信息!Y26*$E$12</f>
        <v>38547.886888983645</v>
      </c>
      <c r="AD25" s="2">
        <f>攻城基础信息!Z26*$E$12</f>
        <v>39224.935745056049</v>
      </c>
      <c r="AE25" s="2">
        <f>攻城基础信息!AA26*$E$12</f>
        <v>40585.228753380034</v>
      </c>
      <c r="AF25" s="2">
        <f>攻城基础信息!AB26*$E$12</f>
        <v>41542.344155797357</v>
      </c>
      <c r="AH25" s="2">
        <f>$E$4*AB25*攻城基础信息!AC26</f>
        <v>416130.4146227641</v>
      </c>
      <c r="AI25" s="2">
        <f>$E$4*AC25*攻城基础信息!AD26</f>
        <v>422741.82621585444</v>
      </c>
      <c r="AJ25" s="2">
        <f>$E$4*AD25*攻城基础信息!AE26</f>
        <v>430166.79533744854</v>
      </c>
      <c r="AK25" s="2">
        <f>$E$4*AE25*攻城基础信息!AF26</f>
        <v>445084.67532873491</v>
      </c>
      <c r="AL25" s="2">
        <f>$E$4*AF25*攻城基础信息!AG26</f>
        <v>455581.04090857814</v>
      </c>
      <c r="AN25" s="2">
        <v>22</v>
      </c>
      <c r="AO25" s="2">
        <f>求节点(节奏总纲!D$4:D$163,AH$4:AH$163,$AN25)*其他调用!H26*其他调用!$M26</f>
        <v>65414680.969027147</v>
      </c>
      <c r="AP25" s="2">
        <f>求节点(节奏总纲!E$4:E$163,AI$4:AI$163,$AN25)*其他调用!I26*其他调用!$M26</f>
        <v>49692153.590510271</v>
      </c>
      <c r="AQ25" s="2">
        <f>求节点(节奏总纲!F$4:F$163,AJ$4:AJ$163,$AN25)*其他调用!J26*其他调用!$M26</f>
        <v>5711219.4305172693</v>
      </c>
      <c r="AR25" s="2">
        <f>求节点(节奏总纲!G$4:G$163,AK$4:AK$163,$AN25)*其他调用!K26*其他调用!$M26</f>
        <v>1167610.9686606447</v>
      </c>
      <c r="AS25" s="2">
        <f>求节点(节奏总纲!H$4:H$163,AL$4:AL$163,$AN25)*其他调用!L26*其他调用!$M26</f>
        <v>395451.67564701487</v>
      </c>
      <c r="AT25" s="2">
        <f t="shared" si="0"/>
        <v>122381116.63436234</v>
      </c>
      <c r="AY25" s="2">
        <v>22</v>
      </c>
      <c r="AZ25" s="2">
        <f>其他调用!R26*6*(其他调用!AH$2*$AZ$1*MIN(其他调用!$AJ26/其他调用!AH26,1)+$E$4*0%*攻城基础信息!AC26)</f>
        <v>3740.9991433289647</v>
      </c>
      <c r="BA25" s="2">
        <f>其他调用!S26*6*(其他调用!AI$2*$AZ$1*MIN(其他调用!$AJ26/其他调用!AI26,1)+$E$4*0%*攻城基础信息!AD26)</f>
        <v>11384.206435119933</v>
      </c>
      <c r="BB25" s="2">
        <f>其他调用!T26*6*(其他调用!AJ$2*$AZ$1*MIN(其他调用!$AJ26/其他调用!AJ26,1)+$E$4*0%*攻城基础信息!AE26)</f>
        <v>34728.612447736319</v>
      </c>
      <c r="BC25" s="2">
        <f>其他调用!U26*6*(其他调用!AK$2*$AZ$1*MIN(其他调用!$AJ26/其他调用!AK26,1)+$E$4*0%*攻城基础信息!AF26)</f>
        <v>17915.219269710065</v>
      </c>
      <c r="BD25" s="2">
        <f>其他调用!V26*6*(其他调用!AL$2*$AZ$1*MIN(其他调用!$AJ26/其他调用!AL26,1)+$E$4*0%*攻城基础信息!AG26)</f>
        <v>5631.5879777184318</v>
      </c>
      <c r="BF25" s="2">
        <v>22</v>
      </c>
      <c r="BG25" s="2">
        <f>求节点(节奏总纲!D$4:D$163,AZ$4:AZ$163,$AN25)</f>
        <v>5565.2674558094131</v>
      </c>
      <c r="BH25" s="2">
        <f>求节点(节奏总纲!E$4:E$163,BA$4:BA$163,$AN25)</f>
        <v>17323.109959965666</v>
      </c>
      <c r="BI25" s="2">
        <f>求节点(节奏总纲!F$4:F$163,BB$4:BB$163,$AN25)</f>
        <v>54471.680046322806</v>
      </c>
      <c r="BJ25" s="2">
        <f>求节点(节奏总纲!G$4:G$163,BC$4:BC$163,$AN25)</f>
        <v>24339.143747883751</v>
      </c>
      <c r="BK25" s="2">
        <f>求节点(节奏总纲!H$4:H$163,BD$4:BD$163,$AN25)</f>
        <v>8249.8630413581777</v>
      </c>
      <c r="BL25" s="2">
        <f>BG25*其他调用!H26*其他调用!$M26</f>
        <v>265838.63012189767</v>
      </c>
      <c r="BM25" s="2">
        <f>BH25*其他调用!I26*其他调用!$M26</f>
        <v>562367.53270238987</v>
      </c>
      <c r="BN25" s="2">
        <f>BI25*其他调用!J26*其他调用!$M26</f>
        <v>168751.22187761957</v>
      </c>
      <c r="BO25" s="2">
        <f>BJ25*其他调用!K26*其他调用!$M26</f>
        <v>11321.79081891559</v>
      </c>
      <c r="BP25" s="2">
        <f>BK25*其他调用!L26*其他调用!$M26</f>
        <v>913.70768838630966</v>
      </c>
      <c r="BQ25" s="2">
        <f t="shared" si="1"/>
        <v>1009192.8832092091</v>
      </c>
      <c r="BR25" s="2">
        <f>[1]服务器生态!$R24</f>
        <v>0.11260837090827176</v>
      </c>
      <c r="BS25" s="2" t="e">
        <f>SUMPRODUCT((BG$4:BG25)*($BR$4:$BR25)*(其他调用!#REF!))</f>
        <v>#REF!</v>
      </c>
      <c r="BT25" s="2" t="e">
        <f>SUMPRODUCT((BH$4:BH25)*($BR$4:$BR25)*(其他调用!#REF!))</f>
        <v>#REF!</v>
      </c>
      <c r="BU25" s="2" t="e">
        <f>SUMPRODUCT((BI$4:BI25)*($BR$4:$BR25)*(其他调用!#REF!))</f>
        <v>#REF!</v>
      </c>
      <c r="BV25" s="2" t="e">
        <f>SUMPRODUCT((BJ$4:BJ25)*($BR$4:$BR25)*(其他调用!#REF!))</f>
        <v>#REF!</v>
      </c>
      <c r="BW25" s="2" t="e">
        <f>SUMPRODUCT((BK$4:BK25)*($BR$4:$BR25)*(其他调用!#REF!))</f>
        <v>#REF!</v>
      </c>
      <c r="BX25" s="2" t="e">
        <f>SUMPRODUCT((BG$4:BG25)*($BR$4:$BR25))*'[1]功能-战损相关'!$D$2-BS25</f>
        <v>#REF!</v>
      </c>
      <c r="BY25" s="2" t="e">
        <f>SUMPRODUCT((BH$4:BH25)*($BR$4:$BR25))*'[1]功能-战损相关'!$D$2-BT25</f>
        <v>#REF!</v>
      </c>
      <c r="BZ25" s="2" t="e">
        <f>SUMPRODUCT((BI$4:BI25)*($BR$4:$BR25))*'[1]功能-战损相关'!$D$2-BU25</f>
        <v>#REF!</v>
      </c>
      <c r="CA25" s="2" t="e">
        <f>SUMPRODUCT((BJ$4:BJ25)*($BR$4:$BR25))*'[1]功能-战损相关'!$D$2-BV25</f>
        <v>#REF!</v>
      </c>
      <c r="CB25" s="2" t="e">
        <f>SUMPRODUCT((BK$4:BK25)*($BR$4:$BR25))*'[1]功能-战损相关'!$D$2-BW25</f>
        <v>#REF!</v>
      </c>
      <c r="CD25" s="2">
        <v>22</v>
      </c>
      <c r="CE25" s="7">
        <v>1</v>
      </c>
      <c r="CF25" s="2" t="e">
        <f>求节点(节奏总纲!R$4:R$363,BS$4:BS$363,$CD25)*$CE25</f>
        <v>#VALUE!</v>
      </c>
      <c r="CG25" s="2" t="e">
        <f>求节点(节奏总纲!S$4:S$363,BT$4:BT$363,$CD25)*$CE25</f>
        <v>#VALUE!</v>
      </c>
      <c r="CH25" s="2" t="e">
        <f>求节点(节奏总纲!T$4:T$363,BU$4:BU$363,$CD25)*$CE25</f>
        <v>#VALUE!</v>
      </c>
      <c r="CI25" s="2" t="e">
        <f>求节点(节奏总纲!U$4:U$363,BV$4:BV$363,$CD25)*$CE25</f>
        <v>#VALUE!</v>
      </c>
      <c r="CJ25" s="2" t="e">
        <f>求节点(节奏总纲!V$4:V$363,BW$4:BW$363,$CD25)*$CE25</f>
        <v>#VALUE!</v>
      </c>
      <c r="CK25" s="2" t="e">
        <f>求节点(节奏总纲!R$4:R$363,BX$4:BX$363,$CD25)*$CE25</f>
        <v>#VALUE!</v>
      </c>
      <c r="CL25" s="2" t="e">
        <f>求节点(节奏总纲!S$4:S$363,BY$4:BY$363,$CD25)*$CE25</f>
        <v>#VALUE!</v>
      </c>
      <c r="CM25" s="2" t="e">
        <f>求节点(节奏总纲!T$4:T$363,BZ$4:BZ$363,$CD25)*$CE25</f>
        <v>#VALUE!</v>
      </c>
      <c r="CN25" s="2" t="e">
        <f>求节点(节奏总纲!U$4:U$363,CA$4:CA$363,$CD25)*$CE25</f>
        <v>#VALUE!</v>
      </c>
      <c r="CO25" s="2" t="e">
        <f>求节点(节奏总纲!V$4:V$363,CB$4:CB$363,$CD25)*$CE25</f>
        <v>#VALUE!</v>
      </c>
    </row>
    <row r="26" spans="2:93" x14ac:dyDescent="0.15">
      <c r="AA26" s="2">
        <v>23</v>
      </c>
      <c r="AB26" s="2">
        <f>攻城基础信息!X27*$E$12</f>
        <v>38796.883797619696</v>
      </c>
      <c r="AC26" s="2">
        <f>攻城基础信息!Y27*$E$12</f>
        <v>39457.837532365324</v>
      </c>
      <c r="AD26" s="2">
        <f>攻城基础信息!Z27*$E$12</f>
        <v>40194.139735552635</v>
      </c>
      <c r="AE26" s="2">
        <f>攻城基础信息!AA27*$E$12</f>
        <v>41741.247899884103</v>
      </c>
      <c r="AF26" s="2">
        <f>攻城基础信息!AB27*$E$12</f>
        <v>42732.471068113533</v>
      </c>
      <c r="AH26" s="2">
        <f>$E$4*AB26*攻城基础信息!AC27</f>
        <v>434525.09853334108</v>
      </c>
      <c r="AI26" s="2">
        <f>$E$4*AC26*攻城基础信息!AD27</f>
        <v>441927.78036249208</v>
      </c>
      <c r="AJ26" s="2">
        <f>$E$4*AD26*攻城基础信息!AE27</f>
        <v>450174.36503818998</v>
      </c>
      <c r="AK26" s="2">
        <f>$E$4*AE26*攻城基础信息!AF27</f>
        <v>467501.97647870245</v>
      </c>
      <c r="AL26" s="2">
        <f>$E$4*AF26*攻城基础信息!AG27</f>
        <v>478603.67596287216</v>
      </c>
      <c r="AN26" s="2">
        <v>23</v>
      </c>
      <c r="AO26" s="2">
        <f>求节点(节奏总纲!D$4:D$163,AH$4:AH$163,$AN26)*其他调用!H27*其他调用!$M27</f>
        <v>66785483.908251777</v>
      </c>
      <c r="AP26" s="2">
        <f>求节点(节奏总纲!E$4:E$163,AI$4:AI$163,$AN26)*其他调用!I27*其他调用!$M27</f>
        <v>51761583.544898875</v>
      </c>
      <c r="AQ26" s="2">
        <f>求节点(节奏总纲!F$4:F$163,AJ$4:AJ$163,$AN26)*其他调用!J27*其他调用!$M27</f>
        <v>5885438.8038540008</v>
      </c>
      <c r="AR26" s="2">
        <f>求节点(节奏总纲!G$4:G$163,AK$4:AK$163,$AN26)*其他调用!K27*其他调用!$M27</f>
        <v>1209064.3246279075</v>
      </c>
      <c r="AS26" s="2">
        <f>求节点(节奏总纲!H$4:H$163,AL$4:AL$163,$AN26)*其他调用!L27*其他调用!$M27</f>
        <v>411603.34293642733</v>
      </c>
      <c r="AT26" s="2">
        <f t="shared" si="0"/>
        <v>126053173.924569</v>
      </c>
      <c r="AY26" s="2">
        <v>23</v>
      </c>
      <c r="AZ26" s="2">
        <f>其他调用!R27*6*(其他调用!AH$2*$AZ$1*MIN(其他调用!$AJ27/其他调用!AH27,1)+$E$4*0%*攻城基础信息!AC27)</f>
        <v>3821.9303749269698</v>
      </c>
      <c r="BA26" s="2">
        <f>其他调用!S27*6*(其他调用!AI$2*$AZ$1*MIN(其他调用!$AJ27/其他调用!AI27,1)+$E$4*0%*攻城基础信息!AD27)</f>
        <v>11632.570007849952</v>
      </c>
      <c r="BB26" s="2">
        <f>其他调用!T27*6*(其他调用!AJ$2*$AZ$1*MIN(其他调用!$AJ27/其他调用!AJ27,1)+$E$4*0%*攻城基础信息!AE27)</f>
        <v>35456.096273503259</v>
      </c>
      <c r="BC26" s="2">
        <f>其他调用!U27*6*(其他调用!AK$2*$AZ$1*MIN(其他调用!$AJ27/其他调用!AK27,1)+$E$4*0%*攻城基础信息!AF27)</f>
        <v>18869.030722703395</v>
      </c>
      <c r="BD26" s="2">
        <f>其他调用!V27*6*(其他调用!AL$2*$AZ$1*MIN(其他调用!$AJ27/其他调用!AL27,1)+$E$4*0%*攻城基础信息!AG27)</f>
        <v>5882.0097185433488</v>
      </c>
      <c r="BF26" s="2">
        <v>23</v>
      </c>
      <c r="BG26" s="2">
        <f>求节点(节奏总纲!D$4:D$163,AZ$4:AZ$163,$AN26)</f>
        <v>5612.9360780752031</v>
      </c>
      <c r="BH26" s="2">
        <f>求节点(节奏总纲!E$4:E$163,BA$4:BA$163,$AN26)</f>
        <v>17466.145617689155</v>
      </c>
      <c r="BI26" s="2">
        <f>求节点(节奏总纲!F$4:F$163,BB$4:BB$163,$AN26)</f>
        <v>54911.612081153144</v>
      </c>
      <c r="BJ26" s="2">
        <f>求节点(节奏总纲!G$4:G$163,BC$4:BC$163,$AN26)</f>
        <v>24539.214433181034</v>
      </c>
      <c r="BK26" s="2">
        <f>求节点(节奏总纲!H$4:H$163,BD$4:BD$163,$AN26)</f>
        <v>8315.8093967673685</v>
      </c>
      <c r="BL26" s="2">
        <f>BG26*其他调用!H27*其他调用!$M27</f>
        <v>267562.32070795062</v>
      </c>
      <c r="BM26" s="2">
        <f>BH26*其他调用!I27*其他调用!$M27</f>
        <v>575752.47285305802</v>
      </c>
      <c r="BN26" s="2">
        <f>BI26*其他调用!J27*其他调用!$M27</f>
        <v>171194.64180302946</v>
      </c>
      <c r="BO26" s="2">
        <f>BJ26*其他调用!K27*其他调用!$M27</f>
        <v>11541.455106714739</v>
      </c>
      <c r="BP26" s="2">
        <f>BK26*其他调用!L27*其他调用!$M27</f>
        <v>936.23540093505403</v>
      </c>
      <c r="BQ26" s="2">
        <f t="shared" si="1"/>
        <v>1026987.1258716879</v>
      </c>
      <c r="BR26" s="2">
        <f>[1]服务器生态!$R25</f>
        <v>0.10842109825958293</v>
      </c>
      <c r="BS26" s="2" t="e">
        <f>SUMPRODUCT((BG$4:BG26)*($BR$4:$BR26)*(其他调用!#REF!))</f>
        <v>#REF!</v>
      </c>
      <c r="BT26" s="2" t="e">
        <f>SUMPRODUCT((BH$4:BH26)*($BR$4:$BR26)*(其他调用!#REF!))</f>
        <v>#REF!</v>
      </c>
      <c r="BU26" s="2" t="e">
        <f>SUMPRODUCT((BI$4:BI26)*($BR$4:$BR26)*(其他调用!#REF!))</f>
        <v>#REF!</v>
      </c>
      <c r="BV26" s="2" t="e">
        <f>SUMPRODUCT((BJ$4:BJ26)*($BR$4:$BR26)*(其他调用!#REF!))</f>
        <v>#REF!</v>
      </c>
      <c r="BW26" s="2" t="e">
        <f>SUMPRODUCT((BK$4:BK26)*($BR$4:$BR26)*(其他调用!#REF!))</f>
        <v>#REF!</v>
      </c>
      <c r="BX26" s="2" t="e">
        <f>SUMPRODUCT((BG$4:BG26)*($BR$4:$BR26))*'[1]功能-战损相关'!$D$2-BS26</f>
        <v>#REF!</v>
      </c>
      <c r="BY26" s="2" t="e">
        <f>SUMPRODUCT((BH$4:BH26)*($BR$4:$BR26))*'[1]功能-战损相关'!$D$2-BT26</f>
        <v>#REF!</v>
      </c>
      <c r="BZ26" s="2" t="e">
        <f>SUMPRODUCT((BI$4:BI26)*($BR$4:$BR26))*'[1]功能-战损相关'!$D$2-BU26</f>
        <v>#REF!</v>
      </c>
      <c r="CA26" s="2" t="e">
        <f>SUMPRODUCT((BJ$4:BJ26)*($BR$4:$BR26))*'[1]功能-战损相关'!$D$2-BV26</f>
        <v>#REF!</v>
      </c>
      <c r="CB26" s="2" t="e">
        <f>SUMPRODUCT((BK$4:BK26)*($BR$4:$BR26))*'[1]功能-战损相关'!$D$2-BW26</f>
        <v>#REF!</v>
      </c>
      <c r="CD26" s="2">
        <v>23</v>
      </c>
      <c r="CE26" s="7">
        <v>1</v>
      </c>
      <c r="CF26" s="2" t="e">
        <f>求节点(节奏总纲!R$4:R$363,BS$4:BS$363,$CD26)*$CE26</f>
        <v>#VALUE!</v>
      </c>
      <c r="CG26" s="2" t="e">
        <f>求节点(节奏总纲!S$4:S$363,BT$4:BT$363,$CD26)*$CE26</f>
        <v>#VALUE!</v>
      </c>
      <c r="CH26" s="2" t="e">
        <f>求节点(节奏总纲!T$4:T$363,BU$4:BU$363,$CD26)*$CE26</f>
        <v>#VALUE!</v>
      </c>
      <c r="CI26" s="2" t="e">
        <f>求节点(节奏总纲!U$4:U$363,BV$4:BV$363,$CD26)*$CE26</f>
        <v>#VALUE!</v>
      </c>
      <c r="CJ26" s="2" t="e">
        <f>求节点(节奏总纲!V$4:V$363,BW$4:BW$363,$CD26)*$CE26</f>
        <v>#VALUE!</v>
      </c>
      <c r="CK26" s="2" t="e">
        <f>求节点(节奏总纲!R$4:R$363,BX$4:BX$363,$CD26)*$CE26</f>
        <v>#VALUE!</v>
      </c>
      <c r="CL26" s="2" t="e">
        <f>求节点(节奏总纲!S$4:S$363,BY$4:BY$363,$CD26)*$CE26</f>
        <v>#VALUE!</v>
      </c>
      <c r="CM26" s="2" t="e">
        <f>求节点(节奏总纲!T$4:T$363,BZ$4:BZ$363,$CD26)*$CE26</f>
        <v>#VALUE!</v>
      </c>
      <c r="CN26" s="2" t="e">
        <f>求节点(节奏总纲!U$4:U$363,CA$4:CA$363,$CD26)*$CE26</f>
        <v>#VALUE!</v>
      </c>
      <c r="CO26" s="2" t="e">
        <f>求节点(节奏总纲!V$4:V$363,CB$4:CB$363,$CD26)*$CE26</f>
        <v>#VALUE!</v>
      </c>
    </row>
    <row r="27" spans="2:93" x14ac:dyDescent="0.15">
      <c r="C27" s="2" t="s">
        <v>171</v>
      </c>
      <c r="D27" s="2" t="s">
        <v>170</v>
      </c>
      <c r="E27" s="6" t="s">
        <v>175</v>
      </c>
      <c r="H27" s="2" t="s">
        <v>181</v>
      </c>
      <c r="I27" s="6" t="s">
        <v>185</v>
      </c>
      <c r="AA27" s="2">
        <v>24</v>
      </c>
      <c r="AB27" s="2">
        <f>攻城基础信息!X28*$E$12</f>
        <v>39673.324488207596</v>
      </c>
      <c r="AC27" s="2">
        <f>攻城基础信息!Y28*$E$12</f>
        <v>40370.95698103989</v>
      </c>
      <c r="AD27" s="2">
        <f>攻城基础信息!Z28*$E$12</f>
        <v>41202.089919836071</v>
      </c>
      <c r="AE27" s="2">
        <f>攻城基础信息!AA28*$E$12</f>
        <v>42923.959797109579</v>
      </c>
      <c r="AF27" s="2">
        <f>攻城基础信息!AB28*$E$12</f>
        <v>43958.026110039857</v>
      </c>
      <c r="AH27" s="2">
        <f>$E$4*AB27*攻城基础信息!AC28</f>
        <v>453598.3433151741</v>
      </c>
      <c r="AI27" s="2">
        <f>$E$4*AC27*攻城基础信息!AD28</f>
        <v>461574.60814988997</v>
      </c>
      <c r="AJ27" s="2">
        <f>$E$4*AD27*攻城基础信息!AE28</f>
        <v>471077.2280834596</v>
      </c>
      <c r="AK27" s="2">
        <f>$E$4*AE27*攻城基础信息!AF28</f>
        <v>490763.9403469534</v>
      </c>
      <c r="AL27" s="2">
        <f>$E$4*AF27*攻城基础信息!AG28</f>
        <v>502586.7651914563</v>
      </c>
      <c r="AN27" s="2">
        <v>24</v>
      </c>
      <c r="AO27" s="2">
        <f>求节点(节奏总纲!D$4:D$163,AH$4:AH$163,$AN27)*其他调用!H28*其他调用!$M28</f>
        <v>68095617.652185932</v>
      </c>
      <c r="AP27" s="2">
        <f>求节点(节奏总纲!E$4:E$163,AI$4:AI$163,$AN27)*其他调用!I28*其他调用!$M28</f>
        <v>53833580.686125077</v>
      </c>
      <c r="AQ27" s="2">
        <f>求节点(节奏总纲!F$4:F$163,AJ$4:AJ$163,$AN27)*其他调用!J28*其他调用!$M28</f>
        <v>6056265.6207485385</v>
      </c>
      <c r="AR27" s="2">
        <f>求节点(节奏总纲!G$4:G$163,AK$4:AK$163,$AN27)*其他调用!K28*其他调用!$M28</f>
        <v>1250277.3443187154</v>
      </c>
      <c r="AS27" s="2">
        <f>求节点(节奏总纲!H$4:H$163,AL$4:AL$163,$AN27)*其他调用!L28*其他调用!$M28</f>
        <v>427992.23468737706</v>
      </c>
      <c r="AT27" s="2">
        <f t="shared" si="0"/>
        <v>129663733.53806564</v>
      </c>
      <c r="AY27" s="2">
        <v>24</v>
      </c>
      <c r="AZ27" s="2">
        <f>其他调用!R28*6*(其他调用!AH$2*$AZ$1*MIN(其他调用!$AJ28/其他调用!AH28,1)+$E$4*0%*攻城基础信息!AC28)</f>
        <v>3904.4893751168638</v>
      </c>
      <c r="BA27" s="2">
        <f>其他调用!S28*6*(其他调用!AI$2*$AZ$1*MIN(其他调用!$AJ28/其他调用!AI28,1)+$E$4*0%*攻城基础信息!AD28)</f>
        <v>11879.902272438978</v>
      </c>
      <c r="BB27" s="2">
        <f>其他调用!T28*6*(其他调用!AJ$2*$AZ$1*MIN(其他调用!$AJ28/其他调用!AJ28,1)+$E$4*0%*攻城基础信息!AE28)</f>
        <v>36227.244141502691</v>
      </c>
      <c r="BC27" s="2">
        <f>其他调用!U28*6*(其他调用!AK$2*$AZ$1*MIN(其他调用!$AJ28/其他调用!AK28,1)+$E$4*0%*攻城基础信息!AF28)</f>
        <v>19842.941110639553</v>
      </c>
      <c r="BD27" s="2">
        <f>其他调用!V28*6*(其他调用!AL$2*$AZ$1*MIN(其他调用!$AJ28/其他调用!AL28,1)+$E$4*0%*攻城基础信息!AG28)</f>
        <v>6135.5324686363574</v>
      </c>
      <c r="BF27" s="2">
        <v>24</v>
      </c>
      <c r="BG27" s="2">
        <f>求节点(节奏总纲!D$4:D$163,AZ$4:AZ$163,$AN27)</f>
        <v>5657.9614097299736</v>
      </c>
      <c r="BH27" s="2">
        <f>求节点(节奏总纲!E$4:E$163,BA$4:BA$163,$AN27)</f>
        <v>17602.388056200747</v>
      </c>
      <c r="BI27" s="2">
        <f>求节点(节奏总纲!F$4:F$163,BB$4:BB$163,$AN27)</f>
        <v>55336.250122513578</v>
      </c>
      <c r="BJ27" s="2">
        <f>求节点(节奏总纲!G$4:G$163,BC$4:BC$163,$AN27)</f>
        <v>24749.447129733766</v>
      </c>
      <c r="BK27" s="2">
        <f>求节点(节奏总纲!H$4:H$163,BD$4:BD$163,$AN27)</f>
        <v>8377.4239538537749</v>
      </c>
      <c r="BL27" s="2">
        <f>BG27*其他调用!H28*其他调用!$M28</f>
        <v>269093.3719120716</v>
      </c>
      <c r="BM27" s="2">
        <f>BH27*其他调用!I28*其他调用!$M28</f>
        <v>589030.38906036876</v>
      </c>
      <c r="BN27" s="2">
        <f>BI27*其他调用!J28*其他调用!$M28</f>
        <v>173585.17724311483</v>
      </c>
      <c r="BO27" s="2">
        <f>BJ27*其他调用!K28*其他调用!$M28</f>
        <v>11767.062764214097</v>
      </c>
      <c r="BP27" s="2">
        <f>BK27*其他调用!L28*其他调用!$M28</f>
        <v>958.48201812029481</v>
      </c>
      <c r="BQ27" s="2">
        <f t="shared" si="1"/>
        <v>1044434.4829978895</v>
      </c>
      <c r="BR27" s="2">
        <f>[1]服务器生态!$R26</f>
        <v>0.1042338256108941</v>
      </c>
      <c r="BS27" s="2" t="e">
        <f>SUMPRODUCT((BG$4:BG27)*($BR$4:$BR27)*(其他调用!#REF!))</f>
        <v>#REF!</v>
      </c>
      <c r="BT27" s="2" t="e">
        <f>SUMPRODUCT((BH$4:BH27)*($BR$4:$BR27)*(其他调用!#REF!))</f>
        <v>#REF!</v>
      </c>
      <c r="BU27" s="2" t="e">
        <f>SUMPRODUCT((BI$4:BI27)*($BR$4:$BR27)*(其他调用!#REF!))</f>
        <v>#REF!</v>
      </c>
      <c r="BV27" s="2" t="e">
        <f>SUMPRODUCT((BJ$4:BJ27)*($BR$4:$BR27)*(其他调用!#REF!))</f>
        <v>#REF!</v>
      </c>
      <c r="BW27" s="2" t="e">
        <f>SUMPRODUCT((BK$4:BK27)*($BR$4:$BR27)*(其他调用!#REF!))</f>
        <v>#REF!</v>
      </c>
      <c r="BX27" s="2" t="e">
        <f>SUMPRODUCT((BG$4:BG27)*($BR$4:$BR27))*'[1]功能-战损相关'!$D$2-BS27</f>
        <v>#REF!</v>
      </c>
      <c r="BY27" s="2" t="e">
        <f>SUMPRODUCT((BH$4:BH27)*($BR$4:$BR27))*'[1]功能-战损相关'!$D$2-BT27</f>
        <v>#REF!</v>
      </c>
      <c r="BZ27" s="2" t="e">
        <f>SUMPRODUCT((BI$4:BI27)*($BR$4:$BR27))*'[1]功能-战损相关'!$D$2-BU27</f>
        <v>#REF!</v>
      </c>
      <c r="CA27" s="2" t="e">
        <f>SUMPRODUCT((BJ$4:BJ27)*($BR$4:$BR27))*'[1]功能-战损相关'!$D$2-BV27</f>
        <v>#REF!</v>
      </c>
      <c r="CB27" s="2" t="e">
        <f>SUMPRODUCT((BK$4:BK27)*($BR$4:$BR27))*'[1]功能-战损相关'!$D$2-BW27</f>
        <v>#REF!</v>
      </c>
      <c r="CD27" s="2">
        <v>24</v>
      </c>
      <c r="CE27" s="7">
        <v>1</v>
      </c>
      <c r="CF27" s="2" t="e">
        <f>求节点(节奏总纲!R$4:R$363,BS$4:BS$363,$CD27)*$CE27</f>
        <v>#VALUE!</v>
      </c>
      <c r="CG27" s="2" t="e">
        <f>求节点(节奏总纲!S$4:S$363,BT$4:BT$363,$CD27)*$CE27</f>
        <v>#VALUE!</v>
      </c>
      <c r="CH27" s="2" t="e">
        <f>求节点(节奏总纲!T$4:T$363,BU$4:BU$363,$CD27)*$CE27</f>
        <v>#VALUE!</v>
      </c>
      <c r="CI27" s="2" t="e">
        <f>求节点(节奏总纲!U$4:U$363,BV$4:BV$363,$CD27)*$CE27</f>
        <v>#VALUE!</v>
      </c>
      <c r="CJ27" s="2" t="e">
        <f>求节点(节奏总纲!V$4:V$363,BW$4:BW$363,$CD27)*$CE27</f>
        <v>#VALUE!</v>
      </c>
      <c r="CK27" s="2" t="e">
        <f>求节点(节奏总纲!R$4:R$363,BX$4:BX$363,$CD27)*$CE27</f>
        <v>#VALUE!</v>
      </c>
      <c r="CL27" s="2" t="e">
        <f>求节点(节奏总纲!S$4:S$363,BY$4:BY$363,$CD27)*$CE27</f>
        <v>#VALUE!</v>
      </c>
      <c r="CM27" s="2" t="e">
        <f>求节点(节奏总纲!T$4:T$363,BZ$4:BZ$363,$CD27)*$CE27</f>
        <v>#VALUE!</v>
      </c>
      <c r="CN27" s="2" t="e">
        <f>求节点(节奏总纲!U$4:U$363,CA$4:CA$363,$CD27)*$CE27</f>
        <v>#VALUE!</v>
      </c>
      <c r="CO27" s="2" t="e">
        <f>求节点(节奏总纲!V$4:V$363,CB$4:CB$363,$CD27)*$CE27</f>
        <v>#VALUE!</v>
      </c>
    </row>
    <row r="28" spans="2:93" x14ac:dyDescent="0.15">
      <c r="B28" s="9"/>
      <c r="D28" s="2" t="s">
        <v>282</v>
      </c>
      <c r="E28" s="2">
        <v>1.2</v>
      </c>
      <c r="G28" s="2">
        <f>E7*P35*E28</f>
        <v>119.21076358441822</v>
      </c>
      <c r="H28" s="2" t="s">
        <v>182</v>
      </c>
      <c r="I28" s="2">
        <v>1</v>
      </c>
      <c r="O28" s="5" t="s">
        <v>177</v>
      </c>
      <c r="AA28" s="2">
        <v>25</v>
      </c>
      <c r="AB28" s="2">
        <f>攻城基础信息!X29*$E$12</f>
        <v>40576.1644856005</v>
      </c>
      <c r="AC28" s="2">
        <f>攻城基础信息!Y29*$E$12</f>
        <v>41308.081951985856</v>
      </c>
      <c r="AD28" s="2">
        <f>攻城基础信息!Z29*$E$12</f>
        <v>42226.520488025613</v>
      </c>
      <c r="AE28" s="2">
        <f>攻城基础信息!AA29*$E$12</f>
        <v>44132.916249886708</v>
      </c>
      <c r="AF28" s="2">
        <f>攻城基础信息!AB29*$E$12</f>
        <v>45207.467716070314</v>
      </c>
      <c r="AH28" s="2">
        <f>$E$4*AB28*攻城基础信息!AC29</f>
        <v>473388.58566533978</v>
      </c>
      <c r="AI28" s="2">
        <f>$E$4*AC28*攻城基础信息!AD29</f>
        <v>481927.62277316896</v>
      </c>
      <c r="AJ28" s="2">
        <f>$E$4*AD28*攻城基础信息!AE29</f>
        <v>492642.7390269661</v>
      </c>
      <c r="AK28" s="2">
        <f>$E$4*AE28*攻城基础信息!AF29</f>
        <v>514884.0229153455</v>
      </c>
      <c r="AL28" s="2">
        <f>$E$4*AF28*攻城基础信息!AG29</f>
        <v>527420.45668748766</v>
      </c>
      <c r="AN28" s="2">
        <v>25</v>
      </c>
      <c r="AO28" s="2">
        <f>求节点(节奏总纲!D$4:D$163,AH$4:AH$163,$AN28)*其他调用!H29*其他调用!$M29</f>
        <v>69381269.135920882</v>
      </c>
      <c r="AP28" s="2">
        <f>求节点(节奏总纲!E$4:E$163,AI$4:AI$163,$AN28)*其他调用!I29*其他调用!$M29</f>
        <v>55923237.618947297</v>
      </c>
      <c r="AQ28" s="2">
        <f>求节点(节奏总纲!F$4:F$163,AJ$4:AJ$163,$AN28)*其他调用!J29*其他调用!$M29</f>
        <v>6218061.7817852711</v>
      </c>
      <c r="AR28" s="2">
        <f>求节点(节奏总纲!G$4:G$163,AK$4:AK$163,$AN28)*其他调用!K29*其他调用!$M29</f>
        <v>1291760.4247639934</v>
      </c>
      <c r="AS28" s="2">
        <f>求节点(节奏总纲!H$4:H$163,AL$4:AL$163,$AN28)*其他调用!L29*其他调用!$M29</f>
        <v>444107.27769931068</v>
      </c>
      <c r="AT28" s="2">
        <f t="shared" si="0"/>
        <v>133258436.23911674</v>
      </c>
      <c r="AY28" s="2">
        <v>25</v>
      </c>
      <c r="AZ28" s="2">
        <f>其他调用!R29*6*(其他调用!AH$2*$AZ$1*MIN(其他调用!$AJ29/其他调用!AH29,1)+$E$4*0%*攻城基础信息!AC29)</f>
        <v>3984.673988771603</v>
      </c>
      <c r="BA28" s="2">
        <f>其他调用!S29*6*(其他调用!AI$2*$AZ$1*MIN(其他调用!$AJ29/其他调用!AI29,1)+$E$4*0%*攻城基础信息!AD29)</f>
        <v>12127.221924929527</v>
      </c>
      <c r="BB28" s="2">
        <f>其他调用!T29*6*(其他调用!AJ$2*$AZ$1*MIN(其他调用!$AJ29/其他调用!AJ29,1)+$E$4*0%*攻城基础信息!AE29)</f>
        <v>36959.932460128999</v>
      </c>
      <c r="BC28" s="2">
        <f>其他调用!U29*6*(其他调用!AK$2*$AZ$1*MIN(其他调用!$AJ29/其他调用!AK29,1)+$E$4*0%*攻城基础信息!AF29)</f>
        <v>20733.570223805196</v>
      </c>
      <c r="BD28" s="2">
        <f>其他调用!V29*6*(其他调用!AL$2*$AZ$1*MIN(其他调用!$AJ29/其他调用!AL29,1)+$E$4*0%*攻城基础信息!AG29)</f>
        <v>6331.8855642478529</v>
      </c>
      <c r="BF28" s="2">
        <v>25</v>
      </c>
      <c r="BG28" s="2">
        <f>求节点(节奏总纲!D$4:D$163,AZ$4:AZ$163,$AN28)</f>
        <v>5702.0733584870713</v>
      </c>
      <c r="BH28" s="2">
        <f>求节点(节奏总纲!E$4:E$163,BA$4:BA$163,$AN28)</f>
        <v>17733.605011948825</v>
      </c>
      <c r="BI28" s="2">
        <f>求节点(节奏总纲!F$4:F$163,BB$4:BB$163,$AN28)</f>
        <v>55717.070334492179</v>
      </c>
      <c r="BJ28" s="2">
        <f>求节点(节奏总纲!G$4:G$163,BC$4:BC$163,$AN28)</f>
        <v>24962.936069476586</v>
      </c>
      <c r="BK28" s="2">
        <f>求节点(节奏总纲!H$4:H$163,BD$4:BD$163,$AN28)</f>
        <v>8439.3078895889212</v>
      </c>
      <c r="BL28" s="2">
        <f>BG28*其他调用!H29*其他调用!$M29</f>
        <v>270551.98777355079</v>
      </c>
      <c r="BM28" s="2">
        <f>BH28*其他调用!I29*其他调用!$M29</f>
        <v>602332.29305742204</v>
      </c>
      <c r="BN28" s="2">
        <f>BI28*其他调用!J29*其他调用!$M29</f>
        <v>175855.90762276988</v>
      </c>
      <c r="BO28" s="2">
        <f>BJ28*其他调用!K29*其他调用!$M29</f>
        <v>11997.074741778139</v>
      </c>
      <c r="BP28" s="2">
        <f>BK28*其他调用!L29*其他调用!$M29</f>
        <v>981.09064043443595</v>
      </c>
      <c r="BQ28" s="2">
        <f t="shared" si="1"/>
        <v>1061718.3538359555</v>
      </c>
      <c r="BR28" s="2">
        <f>[1]服务器生态!$R27</f>
        <v>0.10004655296220527</v>
      </c>
      <c r="BS28" s="2" t="e">
        <f>SUMPRODUCT((BG$4:BG28)*($BR$4:$BR28)*(其他调用!#REF!))</f>
        <v>#REF!</v>
      </c>
      <c r="BT28" s="2" t="e">
        <f>SUMPRODUCT((BH$4:BH28)*($BR$4:$BR28)*(其他调用!#REF!))</f>
        <v>#REF!</v>
      </c>
      <c r="BU28" s="2" t="e">
        <f>SUMPRODUCT((BI$4:BI28)*($BR$4:$BR28)*(其他调用!#REF!))</f>
        <v>#REF!</v>
      </c>
      <c r="BV28" s="2" t="e">
        <f>SUMPRODUCT((BJ$4:BJ28)*($BR$4:$BR28)*(其他调用!#REF!))</f>
        <v>#REF!</v>
      </c>
      <c r="BW28" s="2" t="e">
        <f>SUMPRODUCT((BK$4:BK28)*($BR$4:$BR28)*(其他调用!#REF!))</f>
        <v>#REF!</v>
      </c>
      <c r="BX28" s="2" t="e">
        <f>SUMPRODUCT((BG$4:BG28)*($BR$4:$BR28))*'[1]功能-战损相关'!$D$2-BS28</f>
        <v>#REF!</v>
      </c>
      <c r="BY28" s="2" t="e">
        <f>SUMPRODUCT((BH$4:BH28)*($BR$4:$BR28))*'[1]功能-战损相关'!$D$2-BT28</f>
        <v>#REF!</v>
      </c>
      <c r="BZ28" s="2" t="e">
        <f>SUMPRODUCT((BI$4:BI28)*($BR$4:$BR28))*'[1]功能-战损相关'!$D$2-BU28</f>
        <v>#REF!</v>
      </c>
      <c r="CA28" s="2" t="e">
        <f>SUMPRODUCT((BJ$4:BJ28)*($BR$4:$BR28))*'[1]功能-战损相关'!$D$2-BV28</f>
        <v>#REF!</v>
      </c>
      <c r="CB28" s="2" t="e">
        <f>SUMPRODUCT((BK$4:BK28)*($BR$4:$BR28))*'[1]功能-战损相关'!$D$2-BW28</f>
        <v>#REF!</v>
      </c>
      <c r="CD28" s="2">
        <v>25</v>
      </c>
      <c r="CE28" s="7">
        <v>1</v>
      </c>
      <c r="CF28" s="2" t="e">
        <f>求节点(节奏总纲!R$4:R$363,BS$4:BS$363,$CD28)*$CE28</f>
        <v>#VALUE!</v>
      </c>
      <c r="CG28" s="2" t="e">
        <f>求节点(节奏总纲!S$4:S$363,BT$4:BT$363,$CD28)*$CE28</f>
        <v>#VALUE!</v>
      </c>
      <c r="CH28" s="2" t="e">
        <f>求节点(节奏总纲!T$4:T$363,BU$4:BU$363,$CD28)*$CE28</f>
        <v>#VALUE!</v>
      </c>
      <c r="CI28" s="2" t="e">
        <f>求节点(节奏总纲!U$4:U$363,BV$4:BV$363,$CD28)*$CE28</f>
        <v>#VALUE!</v>
      </c>
      <c r="CJ28" s="2" t="e">
        <f>求节点(节奏总纲!V$4:V$363,BW$4:BW$363,$CD28)*$CE28</f>
        <v>#VALUE!</v>
      </c>
      <c r="CK28" s="2" t="e">
        <f>求节点(节奏总纲!R$4:R$363,BX$4:BX$363,$CD28)*$CE28</f>
        <v>#VALUE!</v>
      </c>
      <c r="CL28" s="2" t="e">
        <f>求节点(节奏总纲!S$4:S$363,BY$4:BY$363,$CD28)*$CE28</f>
        <v>#VALUE!</v>
      </c>
      <c r="CM28" s="2" t="e">
        <f>求节点(节奏总纲!T$4:T$363,BZ$4:BZ$363,$CD28)*$CE28</f>
        <v>#VALUE!</v>
      </c>
      <c r="CN28" s="2" t="e">
        <f>求节点(节奏总纲!U$4:U$363,CA$4:CA$363,$CD28)*$CE28</f>
        <v>#VALUE!</v>
      </c>
      <c r="CO28" s="2" t="e">
        <f>求节点(节奏总纲!V$4:V$363,CB$4:CB$363,$CD28)*$CE28</f>
        <v>#VALUE!</v>
      </c>
    </row>
    <row r="29" spans="2:93" x14ac:dyDescent="0.15">
      <c r="B29" s="9"/>
      <c r="D29" s="2" t="s">
        <v>283</v>
      </c>
      <c r="E29" s="2">
        <v>1.2</v>
      </c>
      <c r="H29" s="2" t="s">
        <v>183</v>
      </c>
      <c r="I29" s="2">
        <v>1</v>
      </c>
      <c r="AA29" s="2">
        <v>26</v>
      </c>
      <c r="AB29" s="2">
        <f>攻城基础信息!X30*$E$12</f>
        <v>41406.578325890841</v>
      </c>
      <c r="AC29" s="2">
        <f>攻城基础信息!Y30*$E$12</f>
        <v>42271.342716626845</v>
      </c>
      <c r="AD29" s="2">
        <f>攻城基础信息!Z30*$E$12</f>
        <v>43240.120635822124</v>
      </c>
      <c r="AE29" s="2">
        <f>攻城基础信息!AA30*$E$12</f>
        <v>45369.501724701367</v>
      </c>
      <c r="AF29" s="2">
        <f>攻城基础信息!AB30*$E$12</f>
        <v>46486.451160393648</v>
      </c>
      <c r="AH29" s="2">
        <f>$E$4*AB29*攻城基础信息!AC30</f>
        <v>492738.28207810171</v>
      </c>
      <c r="AI29" s="2">
        <f>$E$4*AC29*攻城基础信息!AD30</f>
        <v>503028.97832786012</v>
      </c>
      <c r="AJ29" s="2">
        <f>$E$4*AD29*攻城基础信息!AE30</f>
        <v>514557.43556628394</v>
      </c>
      <c r="AK29" s="2">
        <f>$E$4*AE29*攻城基础信息!AF30</f>
        <v>539897.0705239469</v>
      </c>
      <c r="AL29" s="2">
        <f>$E$4*AF29*攻城基础信息!AG30</f>
        <v>553188.76880868513</v>
      </c>
      <c r="AN29" s="2">
        <v>26</v>
      </c>
      <c r="AO29" s="2">
        <f>求节点(节奏总纲!D$4:D$163,AH$4:AH$163,$AN29)*其他调用!H30*其他调用!$M30</f>
        <v>70720320.016634554</v>
      </c>
      <c r="AP29" s="2">
        <f>求节点(节奏总纲!E$4:E$163,AI$4:AI$163,$AN29)*其他调用!I30*其他调用!$M30</f>
        <v>57988799.831252187</v>
      </c>
      <c r="AQ29" s="2">
        <f>求节点(节奏总纲!F$4:F$163,AJ$4:AJ$163,$AN29)*其他调用!J30*其他调用!$M30</f>
        <v>6379237.151439175</v>
      </c>
      <c r="AR29" s="2">
        <f>求节点(节奏总纲!G$4:G$163,AK$4:AK$163,$AN29)*其他调用!K30*其他调用!$M30</f>
        <v>1332848.7778156467</v>
      </c>
      <c r="AS29" s="2">
        <f>求节点(节奏总纲!H$4:H$163,AL$4:AL$163,$AN29)*其他调用!L30*其他调用!$M30</f>
        <v>460226.70396022539</v>
      </c>
      <c r="AT29" s="2">
        <f t="shared" si="0"/>
        <v>136881432.48110181</v>
      </c>
      <c r="AY29" s="2">
        <v>26</v>
      </c>
      <c r="AZ29" s="2">
        <f>其他调用!R30*6*(其他调用!AH$2*$AZ$1*MIN(其他调用!$AJ30/其他调用!AH30,1)+$E$4*0%*攻城基础信息!AC30)</f>
        <v>4065.7111703090086</v>
      </c>
      <c r="BA29" s="2">
        <f>其他调用!S30*6*(其他调用!AI$2*$AZ$1*MIN(其他调用!$AJ30/其他调用!AI30,1)+$E$4*0%*攻城基础信息!AD30)</f>
        <v>12369.327907976503</v>
      </c>
      <c r="BB29" s="2">
        <f>其他调用!T30*6*(其他调用!AJ$2*$AZ$1*MIN(其他调用!$AJ30/其他调用!AJ30,1)+$E$4*0%*攻城基础信息!AE30)</f>
        <v>37699.22844141184</v>
      </c>
      <c r="BC29" s="2">
        <f>其他调用!U30*6*(其他调用!AK$2*$AZ$1*MIN(其他调用!$AJ30/其他调用!AK30,1)+$E$4*0%*攻城基础信息!AF30)</f>
        <v>21571.564448494508</v>
      </c>
      <c r="BD29" s="2">
        <f>其他调用!V30*6*(其他调用!AL$2*$AZ$1*MIN(其他调用!$AJ30/其他调用!AL30,1)+$E$4*0%*攻城基础信息!AG30)</f>
        <v>6520.911329662048</v>
      </c>
      <c r="BF29" s="2">
        <v>26</v>
      </c>
      <c r="BG29" s="2">
        <f>求节点(节奏总纲!D$4:D$163,AZ$4:AZ$163,$AN29)</f>
        <v>5743.0064880774344</v>
      </c>
      <c r="BH29" s="2">
        <f>求节点(节奏总纲!E$4:E$163,BA$4:BA$163,$AN29)</f>
        <v>17860.422243362835</v>
      </c>
      <c r="BI29" s="2">
        <f>求节点(节奏总纲!F$4:F$163,BB$4:BB$163,$AN29)</f>
        <v>56094.322092065944</v>
      </c>
      <c r="BJ29" s="2">
        <f>求节点(节奏总纲!G$4:G$163,BC$4:BC$163,$AN29)</f>
        <v>25168.850736920012</v>
      </c>
      <c r="BK29" s="2">
        <f>求节点(节奏总纲!H$4:H$163,BD$4:BD$163,$AN29)</f>
        <v>8501.2936995649361</v>
      </c>
      <c r="BL29" s="2">
        <f>BG29*其他调用!H30*其他调用!$M30</f>
        <v>271830.79883215221</v>
      </c>
      <c r="BM29" s="2">
        <f>BH29*其他调用!I30*其他调用!$M30</f>
        <v>615673.48161466513</v>
      </c>
      <c r="BN29" s="2">
        <f>BI29*其他调用!J30*其他调用!$M30</f>
        <v>178132.15274560565</v>
      </c>
      <c r="BO29" s="2">
        <f>BJ29*其他调用!K30*其他调用!$M30</f>
        <v>12226.297791324374</v>
      </c>
      <c r="BP29" s="2">
        <f>BK29*其他调用!L30*其他调用!$M30</f>
        <v>1004.0452923871167</v>
      </c>
      <c r="BQ29" s="2">
        <f t="shared" si="1"/>
        <v>1078866.7762761344</v>
      </c>
      <c r="BR29" s="2">
        <f>[1]服务器生态!$R28</f>
        <v>9.5859280313516454E-2</v>
      </c>
      <c r="BS29" s="2" t="e">
        <f>SUMPRODUCT((BG$4:BG29)*($BR$4:$BR29)*(其他调用!#REF!))</f>
        <v>#REF!</v>
      </c>
      <c r="BT29" s="2" t="e">
        <f>SUMPRODUCT((BH$4:BH29)*($BR$4:$BR29)*(其他调用!#REF!))</f>
        <v>#REF!</v>
      </c>
      <c r="BU29" s="2" t="e">
        <f>SUMPRODUCT((BI$4:BI29)*($BR$4:$BR29)*(其他调用!#REF!))</f>
        <v>#REF!</v>
      </c>
      <c r="BV29" s="2" t="e">
        <f>SUMPRODUCT((BJ$4:BJ29)*($BR$4:$BR29)*(其他调用!#REF!))</f>
        <v>#REF!</v>
      </c>
      <c r="BW29" s="2" t="e">
        <f>SUMPRODUCT((BK$4:BK29)*($BR$4:$BR29)*(其他调用!#REF!))</f>
        <v>#REF!</v>
      </c>
      <c r="BX29" s="2" t="e">
        <f>SUMPRODUCT((BG$4:BG29)*($BR$4:$BR29))*'[1]功能-战损相关'!$D$2-BS29</f>
        <v>#REF!</v>
      </c>
      <c r="BY29" s="2" t="e">
        <f>SUMPRODUCT((BH$4:BH29)*($BR$4:$BR29))*'[1]功能-战损相关'!$D$2-BT29</f>
        <v>#REF!</v>
      </c>
      <c r="BZ29" s="2" t="e">
        <f>SUMPRODUCT((BI$4:BI29)*($BR$4:$BR29))*'[1]功能-战损相关'!$D$2-BU29</f>
        <v>#REF!</v>
      </c>
      <c r="CA29" s="2" t="e">
        <f>SUMPRODUCT((BJ$4:BJ29)*($BR$4:$BR29))*'[1]功能-战损相关'!$D$2-BV29</f>
        <v>#REF!</v>
      </c>
      <c r="CB29" s="2" t="e">
        <f>SUMPRODUCT((BK$4:BK29)*($BR$4:$BR29))*'[1]功能-战损相关'!$D$2-BW29</f>
        <v>#REF!</v>
      </c>
      <c r="CD29" s="2">
        <v>26</v>
      </c>
      <c r="CE29" s="7">
        <v>1</v>
      </c>
      <c r="CF29" s="2" t="e">
        <f>求节点(节奏总纲!R$4:R$363,BS$4:BS$363,$CD29)*$CE29</f>
        <v>#VALUE!</v>
      </c>
      <c r="CG29" s="2" t="e">
        <f>求节点(节奏总纲!S$4:S$363,BT$4:BT$363,$CD29)*$CE29</f>
        <v>#VALUE!</v>
      </c>
      <c r="CH29" s="2" t="e">
        <f>求节点(节奏总纲!T$4:T$363,BU$4:BU$363,$CD29)*$CE29</f>
        <v>#VALUE!</v>
      </c>
      <c r="CI29" s="2" t="e">
        <f>求节点(节奏总纲!U$4:U$363,BV$4:BV$363,$CD29)*$CE29</f>
        <v>#VALUE!</v>
      </c>
      <c r="CJ29" s="2" t="e">
        <f>求节点(节奏总纲!V$4:V$363,BW$4:BW$363,$CD29)*$CE29</f>
        <v>#VALUE!</v>
      </c>
      <c r="CK29" s="2" t="e">
        <f>求节点(节奏总纲!R$4:R$363,BX$4:BX$363,$CD29)*$CE29</f>
        <v>#VALUE!</v>
      </c>
      <c r="CL29" s="2" t="e">
        <f>求节点(节奏总纲!S$4:S$363,BY$4:BY$363,$CD29)*$CE29</f>
        <v>#VALUE!</v>
      </c>
      <c r="CM29" s="2" t="e">
        <f>求节点(节奏总纲!T$4:T$363,BZ$4:BZ$363,$CD29)*$CE29</f>
        <v>#VALUE!</v>
      </c>
      <c r="CN29" s="2" t="e">
        <f>求节点(节奏总纲!U$4:U$363,CA$4:CA$363,$CD29)*$CE29</f>
        <v>#VALUE!</v>
      </c>
      <c r="CO29" s="2" t="e">
        <f>求节点(节奏总纲!V$4:V$363,CB$4:CB$363,$CD29)*$CE29</f>
        <v>#VALUE!</v>
      </c>
    </row>
    <row r="30" spans="2:93" x14ac:dyDescent="0.15">
      <c r="B30" s="9"/>
      <c r="D30" s="2" t="s">
        <v>279</v>
      </c>
      <c r="E30" s="2">
        <v>0.3</v>
      </c>
      <c r="H30" s="2" t="s">
        <v>184</v>
      </c>
      <c r="I30" s="2">
        <v>1</v>
      </c>
      <c r="AA30" s="2">
        <v>27</v>
      </c>
      <c r="AB30" s="2">
        <f>攻城基础信息!X31*$E$12</f>
        <v>45470.29531616345</v>
      </c>
      <c r="AC30" s="2">
        <f>攻城基础信息!Y31*$E$12</f>
        <v>46672.572305858135</v>
      </c>
      <c r="AD30" s="2">
        <f>攻城基础信息!Z31*$E$12</f>
        <v>47879.555458201736</v>
      </c>
      <c r="AE30" s="2">
        <f>攻城基础信息!AA31*$E$12</f>
        <v>50544.993165033287</v>
      </c>
      <c r="AF30" s="2">
        <f>攻城基础信息!AB31*$E$12</f>
        <v>51982.564554451965</v>
      </c>
      <c r="AH30" s="2">
        <f>$E$4*AB30*攻城基础信息!AC31</f>
        <v>551706.24983611726</v>
      </c>
      <c r="AI30" s="2">
        <f>$E$4*AC30*攻城基础信息!AD31</f>
        <v>566293.87731107941</v>
      </c>
      <c r="AJ30" s="2">
        <f>$E$4*AD30*攻城基础信息!AE31</f>
        <v>580938.60622618184</v>
      </c>
      <c r="AK30" s="2">
        <f>$E$4*AE30*攻城基础信息!AF31</f>
        <v>613279.25040240469</v>
      </c>
      <c r="AL30" s="2">
        <f>$E$4*AF30*攻城基础信息!AG31</f>
        <v>630721.78326068469</v>
      </c>
      <c r="AN30" s="2">
        <v>27</v>
      </c>
      <c r="AO30" s="2">
        <f>求节点(节奏总纲!D$4:D$163,AH$4:AH$163,$AN30)*其他调用!H31*其他调用!$M31</f>
        <v>72055292.381265968</v>
      </c>
      <c r="AP30" s="2">
        <f>求节点(节奏总纲!E$4:E$163,AI$4:AI$163,$AN30)*其他调用!I31*其他调用!$M31</f>
        <v>60082548.24715361</v>
      </c>
      <c r="AQ30" s="2">
        <f>求节点(节奏总纲!F$4:F$163,AJ$4:AJ$163,$AN30)*其他调用!J31*其他调用!$M31</f>
        <v>6538545.1600458957</v>
      </c>
      <c r="AR30" s="2">
        <f>求节点(节奏总纲!G$4:G$163,AK$4:AK$163,$AN30)*其他调用!K31*其他调用!$M31</f>
        <v>1374499.2305253344</v>
      </c>
      <c r="AS30" s="2">
        <f>求节点(节奏总纲!H$4:H$163,AL$4:AL$163,$AN30)*其他调用!L31*其他调用!$M31</f>
        <v>476190.19985047198</v>
      </c>
      <c r="AT30" s="2">
        <f t="shared" si="0"/>
        <v>140527075.21884128</v>
      </c>
      <c r="AY30" s="2">
        <v>27</v>
      </c>
      <c r="AZ30" s="2">
        <f>其他调用!R31*6*(其他调用!AH$2*$AZ$1*MIN(其他调用!$AJ31/其他调用!AH31,1)+$E$4*0%*攻城基础信息!AC31)</f>
        <v>4145.5700207094915</v>
      </c>
      <c r="BA30" s="2">
        <f>其他调用!S31*6*(其他调用!AI$2*$AZ$1*MIN(其他调用!$AJ31/其他调用!AI31,1)+$E$4*0%*攻城基础信息!AD31)</f>
        <v>12610.991097025826</v>
      </c>
      <c r="BB30" s="2">
        <f>其他调用!T31*6*(其他调用!AJ$2*$AZ$1*MIN(其他调用!$AJ31/其他调用!AJ31,1)+$E$4*0%*攻城基础信息!AE31)</f>
        <v>38420.701127532557</v>
      </c>
      <c r="BC30" s="2">
        <f>其他调用!U31*6*(其他调用!AK$2*$AZ$1*MIN(其他调用!$AJ31/其他调用!AK31,1)+$E$4*0%*攻城基础信息!AF31)</f>
        <v>22421.48438556879</v>
      </c>
      <c r="BD30" s="2">
        <f>其他调用!V31*6*(其他调用!AL$2*$AZ$1*MIN(其他调用!$AJ31/其他调用!AL31,1)+$E$4*0%*攻城基础信息!AG31)</f>
        <v>6707.5548970448199</v>
      </c>
      <c r="BF30" s="2">
        <v>27</v>
      </c>
      <c r="BG30" s="2">
        <f>求节点(节奏总纲!D$4:D$163,AZ$4:AZ$163,$AN30)</f>
        <v>5783.6687277613246</v>
      </c>
      <c r="BH30" s="2">
        <f>求节点(节奏总纲!E$4:E$163,BA$4:BA$163,$AN30)</f>
        <v>17986.362242467858</v>
      </c>
      <c r="BI30" s="2">
        <f>求节点(节奏总纲!F$4:F$163,BB$4:BB$163,$AN30)</f>
        <v>56466.072593834702</v>
      </c>
      <c r="BJ30" s="2">
        <f>求节点(节奏总纲!G$4:G$163,BC$4:BC$163,$AN30)</f>
        <v>25368.956429641043</v>
      </c>
      <c r="BK30" s="2">
        <f>求节点(节奏总纲!H$4:H$163,BD$4:BD$163,$AN30)</f>
        <v>8557.3584838654278</v>
      </c>
      <c r="BL30" s="2">
        <f>BG30*其他调用!H31*其他调用!$M31</f>
        <v>273067.78476790822</v>
      </c>
      <c r="BM30" s="2">
        <f>BH30*其他调用!I31*其他调用!$M31</f>
        <v>629171.75525392906</v>
      </c>
      <c r="BN30" s="2">
        <f>BI30*其他调用!J31*其他调用!$M31</f>
        <v>180407.57328778462</v>
      </c>
      <c r="BO30" s="2">
        <f>BJ30*其他调用!K31*其他调用!$M31</f>
        <v>12455.498014086585</v>
      </c>
      <c r="BP30" s="2">
        <f>BK30*其他调用!L31*其他调用!$M31</f>
        <v>1026.6262973093353</v>
      </c>
      <c r="BQ30" s="2">
        <f t="shared" si="1"/>
        <v>1096129.2376210177</v>
      </c>
      <c r="BR30" s="2">
        <f>[1]服务器生态!$R29</f>
        <v>9.1672007664827623E-2</v>
      </c>
      <c r="BS30" s="2" t="e">
        <f>SUMPRODUCT((BG$4:BG30)*($BR$4:$BR30)*(其他调用!#REF!))</f>
        <v>#REF!</v>
      </c>
      <c r="BT30" s="2" t="e">
        <f>SUMPRODUCT((BH$4:BH30)*($BR$4:$BR30)*(其他调用!#REF!))</f>
        <v>#REF!</v>
      </c>
      <c r="BU30" s="2" t="e">
        <f>SUMPRODUCT((BI$4:BI30)*($BR$4:$BR30)*(其他调用!#REF!))</f>
        <v>#REF!</v>
      </c>
      <c r="BV30" s="2" t="e">
        <f>SUMPRODUCT((BJ$4:BJ30)*($BR$4:$BR30)*(其他调用!#REF!))</f>
        <v>#REF!</v>
      </c>
      <c r="BW30" s="2" t="e">
        <f>SUMPRODUCT((BK$4:BK30)*($BR$4:$BR30)*(其他调用!#REF!))</f>
        <v>#REF!</v>
      </c>
      <c r="BX30" s="2" t="e">
        <f>SUMPRODUCT((BG$4:BG30)*($BR$4:$BR30))*'[1]功能-战损相关'!$D$2-BS30</f>
        <v>#REF!</v>
      </c>
      <c r="BY30" s="2" t="e">
        <f>SUMPRODUCT((BH$4:BH30)*($BR$4:$BR30))*'[1]功能-战损相关'!$D$2-BT30</f>
        <v>#REF!</v>
      </c>
      <c r="BZ30" s="2" t="e">
        <f>SUMPRODUCT((BI$4:BI30)*($BR$4:$BR30))*'[1]功能-战损相关'!$D$2-BU30</f>
        <v>#REF!</v>
      </c>
      <c r="CA30" s="2" t="e">
        <f>SUMPRODUCT((BJ$4:BJ30)*($BR$4:$BR30))*'[1]功能-战损相关'!$D$2-BV30</f>
        <v>#REF!</v>
      </c>
      <c r="CB30" s="2" t="e">
        <f>SUMPRODUCT((BK$4:BK30)*($BR$4:$BR30))*'[1]功能-战损相关'!$D$2-BW30</f>
        <v>#REF!</v>
      </c>
      <c r="CD30" s="2">
        <v>27</v>
      </c>
      <c r="CE30" s="7">
        <v>1</v>
      </c>
      <c r="CF30" s="2" t="e">
        <f>求节点(节奏总纲!R$4:R$363,BS$4:BS$363,$CD30)*$CE30</f>
        <v>#VALUE!</v>
      </c>
      <c r="CG30" s="2" t="e">
        <f>求节点(节奏总纲!S$4:S$363,BT$4:BT$363,$CD30)*$CE30</f>
        <v>#VALUE!</v>
      </c>
      <c r="CH30" s="2" t="e">
        <f>求节点(节奏总纲!T$4:T$363,BU$4:BU$363,$CD30)*$CE30</f>
        <v>#VALUE!</v>
      </c>
      <c r="CI30" s="2" t="e">
        <f>求节点(节奏总纲!U$4:U$363,BV$4:BV$363,$CD30)*$CE30</f>
        <v>#VALUE!</v>
      </c>
      <c r="CJ30" s="2" t="e">
        <f>求节点(节奏总纲!V$4:V$363,BW$4:BW$363,$CD30)*$CE30</f>
        <v>#VALUE!</v>
      </c>
      <c r="CK30" s="2" t="e">
        <f>求节点(节奏总纲!R$4:R$363,BX$4:BX$363,$CD30)*$CE30</f>
        <v>#VALUE!</v>
      </c>
      <c r="CL30" s="2" t="e">
        <f>求节点(节奏总纲!S$4:S$363,BY$4:BY$363,$CD30)*$CE30</f>
        <v>#VALUE!</v>
      </c>
      <c r="CM30" s="2" t="e">
        <f>求节点(节奏总纲!T$4:T$363,BZ$4:BZ$363,$CD30)*$CE30</f>
        <v>#VALUE!</v>
      </c>
      <c r="CN30" s="2" t="e">
        <f>求节点(节奏总纲!U$4:U$363,CA$4:CA$363,$CD30)*$CE30</f>
        <v>#VALUE!</v>
      </c>
      <c r="CO30" s="2" t="e">
        <f>求节点(节奏总纲!V$4:V$363,CB$4:CB$363,$CD30)*$CE30</f>
        <v>#VALUE!</v>
      </c>
    </row>
    <row r="31" spans="2:93" x14ac:dyDescent="0.15">
      <c r="B31" s="9"/>
      <c r="D31" s="2" t="s">
        <v>280</v>
      </c>
      <c r="E31" s="2">
        <v>0.3</v>
      </c>
      <c r="AA31" s="2">
        <v>28</v>
      </c>
      <c r="AB31" s="2">
        <f>攻城基础信息!X32*$E$12</f>
        <v>46320.199430479915</v>
      </c>
      <c r="AC31" s="2">
        <f>攻城基础信息!Y32*$E$12</f>
        <v>47740.335174936423</v>
      </c>
      <c r="AD31" s="2">
        <f>攻城基础信息!Z32*$E$12</f>
        <v>49258.238024678278</v>
      </c>
      <c r="AE31" s="2">
        <f>攻城基础信息!AA32*$E$12</f>
        <v>52912.410612796695</v>
      </c>
      <c r="AF31" s="2">
        <f>攻城基础信息!AB32*$E$12</f>
        <v>54703.393883619625</v>
      </c>
      <c r="AH31" s="2">
        <f>$E$4*AB31*攻城基础信息!AC32</f>
        <v>572826.46629026905</v>
      </c>
      <c r="AI31" s="2">
        <f>$E$4*AC31*攻城基础信息!AD32</f>
        <v>590388.81166338117</v>
      </c>
      <c r="AJ31" s="2">
        <f>$E$4*AD31*攻城基础信息!AE32</f>
        <v>609160.21023852227</v>
      </c>
      <c r="AK31" s="2">
        <f>$E$4*AE31*攻城基础信息!AF32</f>
        <v>654350.14457825338</v>
      </c>
      <c r="AL31" s="2">
        <f>$E$4*AF31*攻城基础信息!AG32</f>
        <v>676498.63769409689</v>
      </c>
      <c r="AN31" s="2">
        <v>28</v>
      </c>
      <c r="AO31" s="2">
        <f>求节点(节奏总纲!D$4:D$163,AH$4:AH$163,$AN31)*其他调用!H32*其他调用!$M32</f>
        <v>73386468.256599799</v>
      </c>
      <c r="AP31" s="2">
        <f>求节点(节奏总纲!E$4:E$163,AI$4:AI$163,$AN31)*其他调用!I32*其他调用!$M32</f>
        <v>62267469.836796358</v>
      </c>
      <c r="AQ31" s="2">
        <f>求节点(节奏总纲!F$4:F$163,AJ$4:AJ$163,$AN31)*其他调用!J32*其他调用!$M32</f>
        <v>6704011.8383150687</v>
      </c>
      <c r="AR31" s="2">
        <f>求节点(节奏总纲!G$4:G$163,AK$4:AK$163,$AN31)*其他调用!K32*其他调用!$M32</f>
        <v>1415816.4793486239</v>
      </c>
      <c r="AS31" s="2">
        <f>求节点(节奏总纲!H$4:H$163,AL$4:AL$163,$AN31)*其他调用!L32*其他调用!$M32</f>
        <v>494080.04068711953</v>
      </c>
      <c r="AT31" s="2">
        <f t="shared" si="0"/>
        <v>144267846.45174697</v>
      </c>
      <c r="AY31" s="2">
        <v>28</v>
      </c>
      <c r="AZ31" s="2">
        <f>其他调用!R32*6*(其他调用!AH$2*$AZ$1*MIN(其他调用!$AJ32/其他调用!AH32,1)+$E$4*0%*攻城基础信息!AC32)</f>
        <v>4225.1746902301793</v>
      </c>
      <c r="BA31" s="2">
        <f>其他调用!S32*6*(其他调用!AI$2*$AZ$1*MIN(其他调用!$AJ32/其他调用!AI32,1)+$E$4*0%*攻城基础信息!AD32)</f>
        <v>12850.715745042588</v>
      </c>
      <c r="BB31" s="2">
        <f>其他调用!T32*6*(其他调用!AJ$2*$AZ$1*MIN(其他调用!$AJ32/其他调用!AJ32,1)+$E$4*0%*攻城基础信息!AE32)</f>
        <v>39131.985630521798</v>
      </c>
      <c r="BC31" s="2">
        <f>其他调用!U32*6*(其他调用!AK$2*$AZ$1*MIN(其他调用!$AJ32/其他调用!AK32,1)+$E$4*0%*攻城基础信息!AF32)</f>
        <v>22944.628105671731</v>
      </c>
      <c r="BD31" s="2">
        <f>其他调用!V32*6*(其他调用!AL$2*$AZ$1*MIN(其他调用!$AJ32/其他调用!AL32,1)+$E$4*0%*攻城基础信息!AG32)</f>
        <v>6810.8591820031515</v>
      </c>
      <c r="BF31" s="2">
        <v>28</v>
      </c>
      <c r="BG31" s="2">
        <f>求节点(节奏总纲!D$4:D$163,AZ$4:AZ$163,$AN31)</f>
        <v>5822.699299760543</v>
      </c>
      <c r="BH31" s="2">
        <f>求节点(节奏总纲!E$4:E$163,BA$4:BA$163,$AN31)</f>
        <v>18101.53731506531</v>
      </c>
      <c r="BI31" s="2">
        <f>求节点(节奏总纲!F$4:F$163,BB$4:BB$163,$AN31)</f>
        <v>56822.402433668532</v>
      </c>
      <c r="BJ31" s="2">
        <f>求节点(节奏总纲!G$4:G$163,BC$4:BC$163,$AN31)</f>
        <v>25557.545757748729</v>
      </c>
      <c r="BK31" s="2">
        <f>求节点(节奏总纲!H$4:H$163,BD$4:BD$163,$AN31)</f>
        <v>8612.9213474728003</v>
      </c>
      <c r="BL31" s="2">
        <f>BG31*其他调用!H32*其他调用!$M32</f>
        <v>274043.01011757861</v>
      </c>
      <c r="BM31" s="2">
        <f>BH31*其他调用!I32*其他调用!$M32</f>
        <v>642111.63792329258</v>
      </c>
      <c r="BN31" s="2">
        <f>BI31*其他调用!J32*其他调用!$M32</f>
        <v>182546.39905639153</v>
      </c>
      <c r="BO31" s="2">
        <f>BJ31*其他调用!K32*其他调用!$M32</f>
        <v>12674.575516512548</v>
      </c>
      <c r="BP31" s="2">
        <f>BK31*其他调用!L32*其他调用!$M32</f>
        <v>1048.8676290283518</v>
      </c>
      <c r="BQ31" s="2">
        <f t="shared" si="1"/>
        <v>1112424.4902428037</v>
      </c>
      <c r="BR31" s="2">
        <f>[1]服务器生态!$R30</f>
        <v>8.7484735016138793E-2</v>
      </c>
      <c r="BS31" s="2" t="e">
        <f>SUMPRODUCT((BG$4:BG31)*($BR$4:$BR31)*(其他调用!#REF!))</f>
        <v>#REF!</v>
      </c>
      <c r="BT31" s="2" t="e">
        <f>SUMPRODUCT((BH$4:BH31)*($BR$4:$BR31)*(其他调用!#REF!))</f>
        <v>#REF!</v>
      </c>
      <c r="BU31" s="2" t="e">
        <f>SUMPRODUCT((BI$4:BI31)*($BR$4:$BR31)*(其他调用!#REF!))</f>
        <v>#REF!</v>
      </c>
      <c r="BV31" s="2" t="e">
        <f>SUMPRODUCT((BJ$4:BJ31)*($BR$4:$BR31)*(其他调用!#REF!))</f>
        <v>#REF!</v>
      </c>
      <c r="BW31" s="2" t="e">
        <f>SUMPRODUCT((BK$4:BK31)*($BR$4:$BR31)*(其他调用!#REF!))</f>
        <v>#REF!</v>
      </c>
      <c r="BX31" s="2" t="e">
        <f>SUMPRODUCT((BG$4:BG31)*($BR$4:$BR31))*'[1]功能-战损相关'!$D$2-BS31</f>
        <v>#REF!</v>
      </c>
      <c r="BY31" s="2" t="e">
        <f>SUMPRODUCT((BH$4:BH31)*($BR$4:$BR31))*'[1]功能-战损相关'!$D$2-BT31</f>
        <v>#REF!</v>
      </c>
      <c r="BZ31" s="2" t="e">
        <f>SUMPRODUCT((BI$4:BI31)*($BR$4:$BR31))*'[1]功能-战损相关'!$D$2-BU31</f>
        <v>#REF!</v>
      </c>
      <c r="CA31" s="2" t="e">
        <f>SUMPRODUCT((BJ$4:BJ31)*($BR$4:$BR31))*'[1]功能-战损相关'!$D$2-BV31</f>
        <v>#REF!</v>
      </c>
      <c r="CB31" s="2" t="e">
        <f>SUMPRODUCT((BK$4:BK31)*($BR$4:$BR31))*'[1]功能-战损相关'!$D$2-BW31</f>
        <v>#REF!</v>
      </c>
      <c r="CD31" s="2">
        <v>28</v>
      </c>
      <c r="CE31" s="7">
        <v>1</v>
      </c>
      <c r="CF31" s="2" t="e">
        <f>求节点(节奏总纲!R$4:R$363,BS$4:BS$363,$CD31)*$CE31</f>
        <v>#VALUE!</v>
      </c>
      <c r="CG31" s="2" t="e">
        <f>求节点(节奏总纲!S$4:S$363,BT$4:BT$363,$CD31)*$CE31</f>
        <v>#VALUE!</v>
      </c>
      <c r="CH31" s="2" t="e">
        <f>求节点(节奏总纲!T$4:T$363,BU$4:BU$363,$CD31)*$CE31</f>
        <v>#VALUE!</v>
      </c>
      <c r="CI31" s="2" t="e">
        <f>求节点(节奏总纲!U$4:U$363,BV$4:BV$363,$CD31)*$CE31</f>
        <v>#VALUE!</v>
      </c>
      <c r="CJ31" s="2" t="e">
        <f>求节点(节奏总纲!V$4:V$363,BW$4:BW$363,$CD31)*$CE31</f>
        <v>#VALUE!</v>
      </c>
      <c r="CK31" s="2" t="e">
        <f>求节点(节奏总纲!R$4:R$363,BX$4:BX$363,$CD31)*$CE31</f>
        <v>#VALUE!</v>
      </c>
      <c r="CL31" s="2" t="e">
        <f>求节点(节奏总纲!S$4:S$363,BY$4:BY$363,$CD31)*$CE31</f>
        <v>#VALUE!</v>
      </c>
      <c r="CM31" s="2" t="e">
        <f>求节点(节奏总纲!T$4:T$363,BZ$4:BZ$363,$CD31)*$CE31</f>
        <v>#VALUE!</v>
      </c>
      <c r="CN31" s="2" t="e">
        <f>求节点(节奏总纲!U$4:U$363,CA$4:CA$363,$CD31)*$CE31</f>
        <v>#VALUE!</v>
      </c>
      <c r="CO31" s="2" t="e">
        <f>求节点(节奏总纲!V$4:V$363,CB$4:CB$363,$CD31)*$CE31</f>
        <v>#VALUE!</v>
      </c>
    </row>
    <row r="32" spans="2:93" x14ac:dyDescent="0.15">
      <c r="B32" s="9"/>
      <c r="D32" s="2" t="s">
        <v>264</v>
      </c>
      <c r="E32" s="2">
        <v>0.8</v>
      </c>
      <c r="AA32" s="2">
        <v>29</v>
      </c>
      <c r="AB32" s="2">
        <f>攻城基础信息!X33*$E$12</f>
        <v>47605.804181922591</v>
      </c>
      <c r="AC32" s="2">
        <f>攻城基础信息!Y33*$E$12</f>
        <v>49374.218429111839</v>
      </c>
      <c r="AD32" s="2">
        <f>攻城基础信息!Z33*$E$12</f>
        <v>51600.025328321586</v>
      </c>
      <c r="AE32" s="2">
        <f>攻城基础信息!AA33*$E$12</f>
        <v>55859.687488604097</v>
      </c>
      <c r="AF32" s="2">
        <f>攻城基础信息!AB33*$E$12</f>
        <v>57754.068553309611</v>
      </c>
      <c r="AH32" s="2">
        <f>$E$4*AB32*攻城基础信息!AC33</f>
        <v>599833.13269222551</v>
      </c>
      <c r="AI32" s="2">
        <f>$E$4*AC32*攻城基础信息!AD33</f>
        <v>622115.15220681007</v>
      </c>
      <c r="AJ32" s="2">
        <f>$E$4*AD32*攻城基础信息!AE33</f>
        <v>650160.31913685286</v>
      </c>
      <c r="AK32" s="2">
        <f>$E$4*AE32*攻城基础信息!AF33</f>
        <v>703832.06235641253</v>
      </c>
      <c r="AL32" s="2">
        <f>$E$4*AF32*攻城基础信息!AG33</f>
        <v>727701.26377170219</v>
      </c>
      <c r="AN32" s="2">
        <v>29</v>
      </c>
      <c r="AO32" s="2">
        <f>求节点(节奏总纲!D$4:D$163,AH$4:AH$163,$AN32)*其他调用!H33*其他调用!$M33</f>
        <v>74702017.99428238</v>
      </c>
      <c r="AP32" s="2">
        <f>求节点(节奏总纲!E$4:E$163,AI$4:AI$163,$AN32)*其他调用!I33*其他调用!$M33</f>
        <v>64492886.888514668</v>
      </c>
      <c r="AQ32" s="2">
        <f>求节点(节奏总纲!F$4:F$163,AJ$4:AJ$163,$AN32)*其他调用!J33*其他调用!$M33</f>
        <v>6882672.2674853923</v>
      </c>
      <c r="AR32" s="2">
        <f>求节点(节奏总纲!G$4:G$163,AK$4:AK$163,$AN32)*其他调用!K33*其他调用!$M33</f>
        <v>1458672.6321558123</v>
      </c>
      <c r="AS32" s="2">
        <f>求节点(节奏总纲!H$4:H$163,AL$4:AL$163,$AN32)*其他调用!L33*其他调用!$M33</f>
        <v>523285.3923061543</v>
      </c>
      <c r="AT32" s="2">
        <f t="shared" si="0"/>
        <v>148059535.1747444</v>
      </c>
      <c r="AY32" s="2">
        <v>29</v>
      </c>
      <c r="AZ32" s="2">
        <f>其他调用!R33*6*(其他调用!AH$2*$AZ$1*MIN(其他调用!$AJ33/其他调用!AH33,1)+$E$4*0%*攻城基础信息!AC33)</f>
        <v>4305.0394085004027</v>
      </c>
      <c r="BA32" s="2">
        <f>其他调用!S33*6*(其他调用!AI$2*$AZ$1*MIN(其他调用!$AJ33/其他调用!AI33,1)+$E$4*0%*攻城基础信息!AD33)</f>
        <v>13090.14662633636</v>
      </c>
      <c r="BB32" s="2">
        <f>其他调用!T33*6*(其他调用!AJ$2*$AZ$1*MIN(其他调用!$AJ33/其他调用!AJ33,1)+$E$4*0%*攻城基础信息!AE33)</f>
        <v>39876.348380073126</v>
      </c>
      <c r="BC32" s="2">
        <f>其他调用!U33*6*(其他调用!AK$2*$AZ$1*MIN(其他调用!$AJ33/其他调用!AK33,1)+$E$4*0%*攻城基础信息!AF33)</f>
        <v>23112.818428903251</v>
      </c>
      <c r="BD32" s="2">
        <f>其他调用!V33*6*(其他调用!AL$2*$AZ$1*MIN(其他调用!$AJ33/其他调用!AL33,1)+$E$4*0%*攻城基础信息!AG33)</f>
        <v>6774.5274896191277</v>
      </c>
      <c r="BF32" s="2">
        <v>29</v>
      </c>
      <c r="BG32" s="2">
        <f>求节点(节奏总纲!D$4:D$163,AZ$4:AZ$163,$AN32)</f>
        <v>5861.1769872232298</v>
      </c>
      <c r="BH32" s="2">
        <f>求节点(节奏总纲!E$4:E$163,BA$4:BA$163,$AN32)</f>
        <v>18215.991321245929</v>
      </c>
      <c r="BI32" s="2">
        <f>求节点(节奏总纲!F$4:F$163,BB$4:BB$163,$AN32)</f>
        <v>57157.411439724921</v>
      </c>
      <c r="BJ32" s="2">
        <f>求节点(节奏总纲!G$4:G$163,BC$4:BC$163,$AN32)</f>
        <v>25738.481195202865</v>
      </c>
      <c r="BK32" s="2">
        <f>求节点(节奏总纲!H$4:H$163,BD$4:BD$163,$AN32)</f>
        <v>8665.6107390551351</v>
      </c>
      <c r="BL32" s="2">
        <f>BG32*其他调用!H33*其他调用!$M33</f>
        <v>274963.15967968357</v>
      </c>
      <c r="BM32" s="2">
        <f>BH32*其他调用!I33*其他调用!$M33</f>
        <v>655192.13661186292</v>
      </c>
      <c r="BN32" s="2">
        <f>BI32*其他调用!J33*其他调用!$M33</f>
        <v>184630.82153192582</v>
      </c>
      <c r="BO32" s="2">
        <f>BJ32*其他调用!K33*其他调用!$M33</f>
        <v>12892.310603908018</v>
      </c>
      <c r="BP32" s="2">
        <f>BK32*其他调用!L33*其他调用!$M33</f>
        <v>1071.0503720294078</v>
      </c>
      <c r="BQ32" s="2">
        <f t="shared" si="1"/>
        <v>1128749.4787994097</v>
      </c>
      <c r="BR32" s="2">
        <f>[1]服务器生态!$R31</f>
        <v>8.3297462367449976E-2</v>
      </c>
      <c r="BS32" s="2" t="e">
        <f>SUMPRODUCT((BG$4:BG32)*($BR$4:$BR32)*(其他调用!#REF!))</f>
        <v>#REF!</v>
      </c>
      <c r="BT32" s="2" t="e">
        <f>SUMPRODUCT((BH$4:BH32)*($BR$4:$BR32)*(其他调用!#REF!))</f>
        <v>#REF!</v>
      </c>
      <c r="BU32" s="2" t="e">
        <f>SUMPRODUCT((BI$4:BI32)*($BR$4:$BR32)*(其他调用!#REF!))</f>
        <v>#REF!</v>
      </c>
      <c r="BV32" s="2" t="e">
        <f>SUMPRODUCT((BJ$4:BJ32)*($BR$4:$BR32)*(其他调用!#REF!))</f>
        <v>#REF!</v>
      </c>
      <c r="BW32" s="2" t="e">
        <f>SUMPRODUCT((BK$4:BK32)*($BR$4:$BR32)*(其他调用!#REF!))</f>
        <v>#REF!</v>
      </c>
      <c r="BX32" s="2" t="e">
        <f>SUMPRODUCT((BG$4:BG32)*($BR$4:$BR32))*'[1]功能-战损相关'!$D$2-BS32</f>
        <v>#REF!</v>
      </c>
      <c r="BY32" s="2" t="e">
        <f>SUMPRODUCT((BH$4:BH32)*($BR$4:$BR32))*'[1]功能-战损相关'!$D$2-BT32</f>
        <v>#REF!</v>
      </c>
      <c r="BZ32" s="2" t="e">
        <f>SUMPRODUCT((BI$4:BI32)*($BR$4:$BR32))*'[1]功能-战损相关'!$D$2-BU32</f>
        <v>#REF!</v>
      </c>
      <c r="CA32" s="2" t="e">
        <f>SUMPRODUCT((BJ$4:BJ32)*($BR$4:$BR32))*'[1]功能-战损相关'!$D$2-BV32</f>
        <v>#REF!</v>
      </c>
      <c r="CB32" s="2" t="e">
        <f>SUMPRODUCT((BK$4:BK32)*($BR$4:$BR32))*'[1]功能-战损相关'!$D$2-BW32</f>
        <v>#REF!</v>
      </c>
      <c r="CD32" s="2">
        <v>29</v>
      </c>
      <c r="CE32" s="7">
        <v>1</v>
      </c>
      <c r="CF32" s="2" t="e">
        <f>求节点(节奏总纲!R$4:R$363,BS$4:BS$363,$CD32)*$CE32</f>
        <v>#VALUE!</v>
      </c>
      <c r="CG32" s="2" t="e">
        <f>求节点(节奏总纲!S$4:S$363,BT$4:BT$363,$CD32)*$CE32</f>
        <v>#VALUE!</v>
      </c>
      <c r="CH32" s="2" t="e">
        <f>求节点(节奏总纲!T$4:T$363,BU$4:BU$363,$CD32)*$CE32</f>
        <v>#VALUE!</v>
      </c>
      <c r="CI32" s="2" t="e">
        <f>求节点(节奏总纲!U$4:U$363,BV$4:BV$363,$CD32)*$CE32</f>
        <v>#VALUE!</v>
      </c>
      <c r="CJ32" s="2" t="e">
        <f>求节点(节奏总纲!V$4:V$363,BW$4:BW$363,$CD32)*$CE32</f>
        <v>#VALUE!</v>
      </c>
      <c r="CK32" s="2" t="e">
        <f>求节点(节奏总纲!R$4:R$363,BX$4:BX$363,$CD32)*$CE32</f>
        <v>#VALUE!</v>
      </c>
      <c r="CL32" s="2" t="e">
        <f>求节点(节奏总纲!S$4:S$363,BY$4:BY$363,$CD32)*$CE32</f>
        <v>#VALUE!</v>
      </c>
      <c r="CM32" s="2" t="e">
        <f>求节点(节奏总纲!T$4:T$363,BZ$4:BZ$363,$CD32)*$CE32</f>
        <v>#VALUE!</v>
      </c>
      <c r="CN32" s="2" t="e">
        <f>求节点(节奏总纲!U$4:U$363,CA$4:CA$363,$CD32)*$CE32</f>
        <v>#VALUE!</v>
      </c>
      <c r="CO32" s="2" t="e">
        <f>求节点(节奏总纲!V$4:V$363,CB$4:CB$363,$CD32)*$CE32</f>
        <v>#VALUE!</v>
      </c>
    </row>
    <row r="33" spans="2:93" x14ac:dyDescent="0.15">
      <c r="B33" s="9"/>
      <c r="D33" s="2" t="s">
        <v>265</v>
      </c>
      <c r="E33" s="2">
        <v>0.8</v>
      </c>
      <c r="P33" s="9"/>
      <c r="Q33" s="9"/>
      <c r="R33" s="9"/>
      <c r="S33" s="61" t="s">
        <v>97</v>
      </c>
      <c r="T33" s="61"/>
      <c r="U33" s="61"/>
      <c r="V33" s="61"/>
      <c r="W33" s="61"/>
      <c r="AA33" s="2">
        <v>30</v>
      </c>
      <c r="AB33" s="2">
        <f>攻城基础信息!X34*$E$12</f>
        <v>48956.177100154651</v>
      </c>
      <c r="AC33" s="2">
        <f>攻城基础信息!Y34*$E$12</f>
        <v>51051.094457668602</v>
      </c>
      <c r="AD33" s="2">
        <f>攻城基础信息!Z34*$E$12</f>
        <v>53915.238891820009</v>
      </c>
      <c r="AE33" s="2">
        <f>攻城基础信息!AA34*$E$12</f>
        <v>58883.847922828601</v>
      </c>
      <c r="AF33" s="2">
        <f>攻城基础信息!AB34*$E$12</f>
        <v>60905.923640185523</v>
      </c>
      <c r="AH33" s="2">
        <f>$E$4*AB33*攻城基础信息!AC34</f>
        <v>628270.93945198564</v>
      </c>
      <c r="AI33" s="2">
        <f>$E$4*AC33*攻城基础信息!AD34</f>
        <v>655155.71220674796</v>
      </c>
      <c r="AJ33" s="2">
        <f>$E$4*AD33*攻城基础信息!AE34</f>
        <v>691912.23244502442</v>
      </c>
      <c r="AK33" s="2">
        <f>$E$4*AE33*攻城基础信息!AF34</f>
        <v>755676.0483429681</v>
      </c>
      <c r="AL33" s="2">
        <f>$E$4*AF33*攻城基础信息!AG34</f>
        <v>781626.0200490487</v>
      </c>
      <c r="AN33" s="2">
        <v>30</v>
      </c>
      <c r="AO33" s="2">
        <f>求节点(节奏总纲!D$4:D$163,AH$4:AH$163,$AN33)*其他调用!H34*其他调用!$M34</f>
        <v>75996665.743073031</v>
      </c>
      <c r="AP33" s="2">
        <f>求节点(节奏总纲!E$4:E$163,AI$4:AI$163,$AN33)*其他调用!I34*其他调用!$M34</f>
        <v>66694991.831873052</v>
      </c>
      <c r="AQ33" s="2">
        <f>求节点(节奏总纲!F$4:F$163,AJ$4:AJ$163,$AN33)*其他调用!J34*其他调用!$M34</f>
        <v>7062638.7271949723</v>
      </c>
      <c r="AR33" s="2">
        <f>求节点(节奏总纲!G$4:G$163,AK$4:AK$163,$AN33)*其他调用!K34*其他调用!$M34</f>
        <v>1503413.4455369429</v>
      </c>
      <c r="AS33" s="2">
        <f>求节点(节奏总纲!H$4:H$163,AL$4:AL$163,$AN33)*其他调用!L34*其他调用!$M34</f>
        <v>550679.71152728994</v>
      </c>
      <c r="AT33" s="2">
        <f t="shared" si="0"/>
        <v>151808389.45920527</v>
      </c>
      <c r="AY33" s="2">
        <v>30</v>
      </c>
      <c r="AZ33" s="2">
        <f>其他调用!R34*6*(其他调用!AH$2*$AZ$1*MIN(其他调用!$AJ34/其他调用!AH34,1)+$E$4*0%*攻城基础信息!AC34)</f>
        <v>4383.291880659991</v>
      </c>
      <c r="BA33" s="2">
        <f>其他调用!S34*6*(其他调用!AI$2*$AZ$1*MIN(其他调用!$AJ34/其他调用!AI34,1)+$E$4*0%*攻城基础信息!AD34)</f>
        <v>13332.229103086818</v>
      </c>
      <c r="BB33" s="2">
        <f>其他调用!T34*6*(其他调用!AJ$2*$AZ$1*MIN(其他调用!$AJ34/其他调用!AJ34,1)+$E$4*0%*攻城基础信息!AE34)</f>
        <v>40597.281299877272</v>
      </c>
      <c r="BC33" s="2">
        <f>其他调用!U34*6*(其他调用!AK$2*$AZ$1*MIN(其他调用!$AJ34/其他调用!AK34,1)+$E$4*0%*攻城基础信息!AF34)</f>
        <v>23166.163784102642</v>
      </c>
      <c r="BD33" s="2">
        <f>其他调用!V34*6*(其他调用!AL$2*$AZ$1*MIN(其他调用!$AJ34/其他调用!AL34,1)+$E$4*0%*攻城基础信息!AG34)</f>
        <v>6722.5570139252914</v>
      </c>
      <c r="BF33" s="2">
        <v>30</v>
      </c>
      <c r="BG33" s="2">
        <f>求节点(节奏总纲!D$4:D$163,AZ$4:AZ$163,$AN33)</f>
        <v>5896.3397264415289</v>
      </c>
      <c r="BH33" s="2">
        <f>求节点(节奏总纲!E$4:E$163,BA$4:BA$163,$AN33)</f>
        <v>18326.18495290307</v>
      </c>
      <c r="BI33" s="2">
        <f>求节点(节奏总纲!F$4:F$163,BB$4:BB$163,$AN33)</f>
        <v>57489.128517678699</v>
      </c>
      <c r="BJ33" s="2">
        <f>求节点(节奏总纲!G$4:G$163,BC$4:BC$163,$AN33)</f>
        <v>25909.17521391375</v>
      </c>
      <c r="BK33" s="2">
        <f>求节点(节奏总纲!H$4:H$163,BD$4:BD$163,$AN33)</f>
        <v>8717.6949318933675</v>
      </c>
      <c r="BL33" s="2">
        <f>BG33*其他调用!H34*其他调用!$M34</f>
        <v>275698.99315145239</v>
      </c>
      <c r="BM33" s="2">
        <f>BH33*其他调用!I34*其他调用!$M34</f>
        <v>668284.11732116959</v>
      </c>
      <c r="BN33" s="2">
        <f>BI33*其他调用!J34*其他调用!$M34</f>
        <v>186718.30215328556</v>
      </c>
      <c r="BO33" s="2">
        <f>BJ33*其他调用!K34*其他调用!$M34</f>
        <v>13107.293237529424</v>
      </c>
      <c r="BP33" s="2">
        <f>BK33*其他调用!L34*其他调用!$M34</f>
        <v>1093.4450911398581</v>
      </c>
      <c r="BQ33" s="2">
        <f t="shared" si="1"/>
        <v>1144902.1509545767</v>
      </c>
      <c r="BR33" s="2">
        <f>[1]服务器生态!$R32</f>
        <v>7.9110189718761131E-2</v>
      </c>
      <c r="BS33" s="2" t="e">
        <f>SUMPRODUCT((BG$4:BG33)*($BR$4:$BR33)*(其他调用!#REF!))</f>
        <v>#REF!</v>
      </c>
      <c r="BT33" s="2" t="e">
        <f>SUMPRODUCT((BH$4:BH33)*($BR$4:$BR33)*(其他调用!#REF!))</f>
        <v>#REF!</v>
      </c>
      <c r="BU33" s="2" t="e">
        <f>SUMPRODUCT((BI$4:BI33)*($BR$4:$BR33)*(其他调用!#REF!))</f>
        <v>#REF!</v>
      </c>
      <c r="BV33" s="2" t="e">
        <f>SUMPRODUCT((BJ$4:BJ33)*($BR$4:$BR33)*(其他调用!#REF!))</f>
        <v>#REF!</v>
      </c>
      <c r="BW33" s="2" t="e">
        <f>SUMPRODUCT((BK$4:BK33)*($BR$4:$BR33)*(其他调用!#REF!))</f>
        <v>#REF!</v>
      </c>
      <c r="BX33" s="2" t="e">
        <f>SUMPRODUCT((BG$4:BG33)*($BR$4:$BR33))*'[1]功能-战损相关'!$D$2-BS33</f>
        <v>#REF!</v>
      </c>
      <c r="BY33" s="2" t="e">
        <f>SUMPRODUCT((BH$4:BH33)*($BR$4:$BR33))*'[1]功能-战损相关'!$D$2-BT33</f>
        <v>#REF!</v>
      </c>
      <c r="BZ33" s="2" t="e">
        <f>SUMPRODUCT((BI$4:BI33)*($BR$4:$BR33))*'[1]功能-战损相关'!$D$2-BU33</f>
        <v>#REF!</v>
      </c>
      <c r="CA33" s="2" t="e">
        <f>SUMPRODUCT((BJ$4:BJ33)*($BR$4:$BR33))*'[1]功能-战损相关'!$D$2-BV33</f>
        <v>#REF!</v>
      </c>
      <c r="CB33" s="2" t="e">
        <f>SUMPRODUCT((BK$4:BK33)*($BR$4:$BR33))*'[1]功能-战损相关'!$D$2-BW33</f>
        <v>#REF!</v>
      </c>
      <c r="CD33" s="2">
        <v>30</v>
      </c>
      <c r="CE33" s="7">
        <v>1</v>
      </c>
      <c r="CF33" s="2" t="e">
        <f>求节点(节奏总纲!R$4:R$363,BS$4:BS$363,$CD33)*$CE33</f>
        <v>#VALUE!</v>
      </c>
      <c r="CG33" s="2" t="e">
        <f>求节点(节奏总纲!S$4:S$363,BT$4:BT$363,$CD33)*$CE33</f>
        <v>#VALUE!</v>
      </c>
      <c r="CH33" s="2" t="e">
        <f>求节点(节奏总纲!T$4:T$363,BU$4:BU$363,$CD33)*$CE33</f>
        <v>#VALUE!</v>
      </c>
      <c r="CI33" s="2" t="e">
        <f>求节点(节奏总纲!U$4:U$363,BV$4:BV$363,$CD33)*$CE33</f>
        <v>#VALUE!</v>
      </c>
      <c r="CJ33" s="2" t="e">
        <f>求节点(节奏总纲!V$4:V$363,BW$4:BW$363,$CD33)*$CE33</f>
        <v>#VALUE!</v>
      </c>
      <c r="CK33" s="2" t="e">
        <f>求节点(节奏总纲!R$4:R$363,BX$4:BX$363,$CD33)*$CE33</f>
        <v>#VALUE!</v>
      </c>
      <c r="CL33" s="2" t="e">
        <f>求节点(节奏总纲!S$4:S$363,BY$4:BY$363,$CD33)*$CE33</f>
        <v>#VALUE!</v>
      </c>
      <c r="CM33" s="2" t="e">
        <f>求节点(节奏总纲!T$4:T$363,BZ$4:BZ$363,$CD33)*$CE33</f>
        <v>#VALUE!</v>
      </c>
      <c r="CN33" s="2" t="e">
        <f>求节点(节奏总纲!U$4:U$363,CA$4:CA$363,$CD33)*$CE33</f>
        <v>#VALUE!</v>
      </c>
      <c r="CO33" s="2" t="e">
        <f>求节点(节奏总纲!V$4:V$363,CB$4:CB$363,$CD33)*$CE33</f>
        <v>#VALUE!</v>
      </c>
    </row>
    <row r="34" spans="2:93" x14ac:dyDescent="0.15">
      <c r="B34" s="9"/>
      <c r="D34" s="2" t="s">
        <v>266</v>
      </c>
      <c r="E34" s="2">
        <v>0.8</v>
      </c>
      <c r="P34" s="9" t="s">
        <v>361</v>
      </c>
      <c r="Q34" s="2" t="s">
        <v>174</v>
      </c>
      <c r="R34" s="2" t="s">
        <v>22</v>
      </c>
      <c r="S34" s="2" t="s">
        <v>23</v>
      </c>
      <c r="T34" s="2" t="s">
        <v>30</v>
      </c>
      <c r="U34" s="2" t="s">
        <v>35</v>
      </c>
      <c r="V34" s="2" t="s">
        <v>36</v>
      </c>
      <c r="W34" s="2" t="s">
        <v>31</v>
      </c>
      <c r="AA34" s="2">
        <v>31</v>
      </c>
      <c r="AB34" s="2">
        <f>攻城基础信息!X35*$E$12</f>
        <v>52449.964907810638</v>
      </c>
      <c r="AC34" s="2">
        <f>攻城基础信息!Y35*$E$12</f>
        <v>55007.837755394561</v>
      </c>
      <c r="AD34" s="2">
        <f>攻城基础信息!Z35*$E$12</f>
        <v>58649.886961974684</v>
      </c>
      <c r="AE34" s="2">
        <f>攻城基础信息!AA35*$E$12</f>
        <v>64715.152163964289</v>
      </c>
      <c r="AF34" s="2">
        <f>攻城基础信息!AB35*$E$12</f>
        <v>67116.265739285271</v>
      </c>
      <c r="AH34" s="2">
        <f>$E$4*AB34*攻城基础信息!AC35</f>
        <v>685346.20812872669</v>
      </c>
      <c r="AI34" s="2">
        <f>$E$4*AC34*攻城基础信息!AD35</f>
        <v>718769.08000382327</v>
      </c>
      <c r="AJ34" s="2">
        <f>$E$4*AD34*攻城基础信息!AE35</f>
        <v>766358.52296980366</v>
      </c>
      <c r="AK34" s="2">
        <f>$E$4*AE34*攻城基础信息!AF35</f>
        <v>845611.32160913455</v>
      </c>
      <c r="AL34" s="2">
        <f>$E$4*AF34*攻城基础信息!AG35</f>
        <v>876985.87232666218</v>
      </c>
      <c r="AN34" s="2">
        <v>31</v>
      </c>
      <c r="AO34" s="2">
        <f>求节点(节奏总纲!D$4:D$163,AH$4:AH$163,$AN34)*其他调用!H35*其他调用!$M35</f>
        <v>77710921.196645021</v>
      </c>
      <c r="AP34" s="2">
        <f>求节点(节奏总纲!E$4:E$163,AI$4:AI$163,$AN34)*其他调用!I35*其他调用!$M35</f>
        <v>68455868.72759822</v>
      </c>
      <c r="AQ34" s="2">
        <f>求节点(节奏总纲!F$4:F$163,AJ$4:AJ$163,$AN34)*其他调用!J35*其他调用!$M35</f>
        <v>7239790.9460462853</v>
      </c>
      <c r="AR34" s="2">
        <f>求节点(节奏总纲!G$4:G$163,AK$4:AK$163,$AN34)*其他调用!K35*其他调用!$M35</f>
        <v>1546383.9168293397</v>
      </c>
      <c r="AS34" s="2">
        <f>求节点(节奏总纲!H$4:H$163,AL$4:AL$163,$AN34)*其他调用!L35*其他调用!$M35</f>
        <v>566493.00015022035</v>
      </c>
      <c r="AT34" s="2">
        <f t="shared" si="0"/>
        <v>155519457.78726912</v>
      </c>
      <c r="AY34" s="2">
        <v>31</v>
      </c>
      <c r="AZ34" s="2">
        <f>其他调用!R35*6*(其他调用!AH$2*$AZ$1*MIN(其他调用!$AJ35/其他调用!AH35,1)+$E$4*0%*攻城基础信息!AC35)</f>
        <v>4463.4227445167699</v>
      </c>
      <c r="BA34" s="2">
        <f>其他调用!S35*6*(其他调用!AI$2*$AZ$1*MIN(其他调用!$AJ35/其他调用!AI35,1)+$E$4*0%*攻城基础信息!AD35)</f>
        <v>13568.502645487319</v>
      </c>
      <c r="BB34" s="2">
        <f>其他调用!T35*6*(其他调用!AJ$2*$AZ$1*MIN(其他调用!$AJ35/其他调用!AJ35,1)+$E$4*0%*攻城基础信息!AE35)</f>
        <v>41325.843097392972</v>
      </c>
      <c r="BC34" s="2">
        <f>其他调用!U35*6*(其他调用!AK$2*$AZ$1*MIN(其他调用!$AJ35/其他调用!AK35,1)+$E$4*0%*攻城基础信息!AF35)</f>
        <v>22931.854699221669</v>
      </c>
      <c r="BD34" s="2">
        <f>其他调用!V35*6*(其他调用!AL$2*$AZ$1*MIN(其他调用!$AJ35/其他调用!AL35,1)+$E$4*0%*攻城基础信息!AG35)</f>
        <v>6625.8566644194507</v>
      </c>
      <c r="BF34" s="2">
        <v>31</v>
      </c>
      <c r="BG34" s="2">
        <f>求节点(节奏总纲!D$4:D$163,AZ$4:AZ$163,$AN34)</f>
        <v>5931.5024656598271</v>
      </c>
      <c r="BH34" s="2">
        <f>求节点(节奏总纲!E$4:E$163,BA$4:BA$163,$AN34)</f>
        <v>18436.378584560207</v>
      </c>
      <c r="BI34" s="2">
        <f>求节点(节奏总纲!F$4:F$163,BB$4:BB$163,$AN34)</f>
        <v>57816.762024525611</v>
      </c>
      <c r="BJ34" s="2">
        <f>求节点(节奏总纲!G$4:G$163,BC$4:BC$163,$AN34)</f>
        <v>26080.57410885084</v>
      </c>
      <c r="BK34" s="2">
        <f>求节点(节奏总纲!H$4:H$163,BD$4:BD$163,$AN34)</f>
        <v>8767.3729654265335</v>
      </c>
      <c r="BL34" s="2">
        <f>BG34*其他调用!H35*其他调用!$M35</f>
        <v>277961.35392673942</v>
      </c>
      <c r="BM34" s="2">
        <f>BH34*其他调用!I35*其他调用!$M35</f>
        <v>676770.26655581617</v>
      </c>
      <c r="BN34" s="2">
        <f>BI34*其他调用!J35*其他调用!$M35</f>
        <v>188700.73448791259</v>
      </c>
      <c r="BO34" s="2">
        <f>BJ34*其他调用!K35*其他调用!$M35</f>
        <v>13293.858228354307</v>
      </c>
      <c r="BP34" s="2">
        <f>BK34*其他调用!L35*其他调用!$M35</f>
        <v>1111.6797874096815</v>
      </c>
      <c r="BQ34" s="2">
        <f t="shared" si="1"/>
        <v>1157837.8929862322</v>
      </c>
      <c r="BR34" s="2">
        <f>[1]服务器生态!$R33</f>
        <v>7.4922917070072315E-2</v>
      </c>
      <c r="BS34" s="2" t="e">
        <f>SUMPRODUCT((BG$4:BG34)*($BR$4:$BR34)*(其他调用!#REF!))</f>
        <v>#REF!</v>
      </c>
      <c r="BT34" s="2" t="e">
        <f>SUMPRODUCT((BH$4:BH34)*($BR$4:$BR34)*(其他调用!#REF!))</f>
        <v>#REF!</v>
      </c>
      <c r="BU34" s="2" t="e">
        <f>SUMPRODUCT((BI$4:BI34)*($BR$4:$BR34)*(其他调用!#REF!))</f>
        <v>#REF!</v>
      </c>
      <c r="BV34" s="2" t="e">
        <f>SUMPRODUCT((BJ$4:BJ34)*($BR$4:$BR34)*(其他调用!#REF!))</f>
        <v>#REF!</v>
      </c>
      <c r="BW34" s="2" t="e">
        <f>SUMPRODUCT((BK$4:BK34)*($BR$4:$BR34)*(其他调用!#REF!))</f>
        <v>#REF!</v>
      </c>
      <c r="BX34" s="2" t="e">
        <f>SUMPRODUCT((BG$4:BG34)*($BR$4:$BR34))*'[1]功能-战损相关'!$D$2-BS34</f>
        <v>#REF!</v>
      </c>
      <c r="BY34" s="2" t="e">
        <f>SUMPRODUCT((BH$4:BH34)*($BR$4:$BR34))*'[1]功能-战损相关'!$D$2-BT34</f>
        <v>#REF!</v>
      </c>
      <c r="BZ34" s="2" t="e">
        <f>SUMPRODUCT((BI$4:BI34)*($BR$4:$BR34))*'[1]功能-战损相关'!$D$2-BU34</f>
        <v>#REF!</v>
      </c>
      <c r="CA34" s="2" t="e">
        <f>SUMPRODUCT((BJ$4:BJ34)*($BR$4:$BR34))*'[1]功能-战损相关'!$D$2-BV34</f>
        <v>#REF!</v>
      </c>
      <c r="CB34" s="2" t="e">
        <f>SUMPRODUCT((BK$4:BK34)*($BR$4:$BR34))*'[1]功能-战损相关'!$D$2-BW34</f>
        <v>#REF!</v>
      </c>
      <c r="CD34" s="2">
        <v>31</v>
      </c>
      <c r="CE34" s="7">
        <v>1</v>
      </c>
      <c r="CF34" s="2" t="e">
        <f>求节点(节奏总纲!R$4:R$363,BS$4:BS$363,$CD34)*$CE34</f>
        <v>#VALUE!</v>
      </c>
      <c r="CG34" s="2" t="e">
        <f>求节点(节奏总纲!S$4:S$363,BT$4:BT$363,$CD34)*$CE34</f>
        <v>#VALUE!</v>
      </c>
      <c r="CH34" s="2" t="e">
        <f>求节点(节奏总纲!T$4:T$363,BU$4:BU$363,$CD34)*$CE34</f>
        <v>#VALUE!</v>
      </c>
      <c r="CI34" s="2" t="e">
        <f>求节点(节奏总纲!U$4:U$363,BV$4:BV$363,$CD34)*$CE34</f>
        <v>#VALUE!</v>
      </c>
      <c r="CJ34" s="2" t="e">
        <f>求节点(节奏总纲!V$4:V$363,BW$4:BW$363,$CD34)*$CE34</f>
        <v>#VALUE!</v>
      </c>
      <c r="CK34" s="2" t="e">
        <f>求节点(节奏总纲!R$4:R$363,BX$4:BX$363,$CD34)*$CE34</f>
        <v>#VALUE!</v>
      </c>
      <c r="CL34" s="2" t="e">
        <f>求节点(节奏总纲!S$4:S$363,BY$4:BY$363,$CD34)*$CE34</f>
        <v>#VALUE!</v>
      </c>
      <c r="CM34" s="2" t="e">
        <f>求节点(节奏总纲!T$4:T$363,BZ$4:BZ$363,$CD34)*$CE34</f>
        <v>#VALUE!</v>
      </c>
      <c r="CN34" s="2" t="e">
        <f>求节点(节奏总纲!U$4:U$363,CA$4:CA$363,$CD34)*$CE34</f>
        <v>#VALUE!</v>
      </c>
      <c r="CO34" s="2" t="e">
        <f>求节点(节奏总纲!V$4:V$363,CB$4:CB$363,$CD34)*$CE34</f>
        <v>#VALUE!</v>
      </c>
    </row>
    <row r="35" spans="2:93" x14ac:dyDescent="0.15">
      <c r="B35" s="9"/>
      <c r="D35" s="2" t="s">
        <v>267</v>
      </c>
      <c r="E35" s="2">
        <v>0.8</v>
      </c>
      <c r="P35" s="7">
        <v>3.2</v>
      </c>
      <c r="Q35" s="2">
        <f>C17</f>
        <v>1</v>
      </c>
      <c r="R35" s="2">
        <f>E17</f>
        <v>10</v>
      </c>
      <c r="S35" s="22">
        <f>ROUND(INDEX(其他调用!$AM$5:$AM$364,$R35,1)/INDEX(其他调用!AH$5:AH$364,$R35,1)*$P35,-1)</f>
        <v>150</v>
      </c>
      <c r="T35" s="22">
        <f>ROUND(INDEX(其他调用!$AM$5:$AM$364,$R35,1)/INDEX(其他调用!AI$5:AI$364,$R35,1)*$P35,-1)</f>
        <v>100</v>
      </c>
      <c r="U35" s="22">
        <f>ROUND(INDEX(其他调用!$AM$5:$AM$364,$R35,1)/INDEX(其他调用!AJ$5:AJ$364,$R35,1)*$P35,-1)</f>
        <v>60</v>
      </c>
      <c r="V35" s="22">
        <f>ROUND(INDEX(其他调用!$AM$5:$AM$364,$R35,1)/INDEX(其他调用!AK$5:AK$364,$R35,1)*$P35,-1)</f>
        <v>30</v>
      </c>
      <c r="W35" s="22">
        <f>ROUND(INDEX(其他调用!$AM$5:$AM$364,$R35,1)/INDEX(其他调用!AL$5:AL$364,$R35,1)*$P35,-1)</f>
        <v>10</v>
      </c>
      <c r="AA35" s="2">
        <v>32</v>
      </c>
      <c r="AB35" s="2">
        <f>攻城基础信息!X36*$E$12</f>
        <v>53911.521134846575</v>
      </c>
      <c r="AC35" s="2">
        <f>攻城基础信息!Y36*$E$12</f>
        <v>56829.2706159753</v>
      </c>
      <c r="AD35" s="2">
        <f>攻城基础信息!Z36*$E$12</f>
        <v>61110.886756076005</v>
      </c>
      <c r="AE35" s="2">
        <f>攻城基础信息!AA36*$E$12</f>
        <v>68071.072045421577</v>
      </c>
      <c r="AF35" s="2">
        <f>攻城基础信息!AB36*$E$12</f>
        <v>70591.008295658045</v>
      </c>
      <c r="AH35" s="2">
        <f>$E$4*AB35*攻城基础信息!AC36</f>
        <v>717023.23109346058</v>
      </c>
      <c r="AI35" s="2">
        <f>$E$4*AC35*攻城基础信息!AD36</f>
        <v>755829.29919247259</v>
      </c>
      <c r="AJ35" s="2">
        <f>$E$4*AD35*攻城基础信息!AE36</f>
        <v>812774.79385581205</v>
      </c>
      <c r="AK35" s="2">
        <f>$E$4*AE35*攻城基础信息!AF36</f>
        <v>905345.25820410834</v>
      </c>
      <c r="AL35" s="2">
        <f>$E$4*AF35*攻城基础信息!AG36</f>
        <v>938860.41033225332</v>
      </c>
      <c r="AN35" s="2">
        <v>32</v>
      </c>
      <c r="AO35" s="2">
        <f>求节点(节奏总纲!D$4:D$163,AH$4:AH$163,$AN35)*其他调用!H36*其他调用!$M36</f>
        <v>79364983.725130543</v>
      </c>
      <c r="AP35" s="2">
        <f>求节点(节奏总纲!E$4:E$163,AI$4:AI$163,$AN35)*其他调用!I36*其他调用!$M36</f>
        <v>70179154.23293145</v>
      </c>
      <c r="AQ35" s="2">
        <f>求节点(节奏总纲!F$4:F$163,AJ$4:AJ$163,$AN35)*其他调用!J36*其他调用!$M36</f>
        <v>7416334.5989643447</v>
      </c>
      <c r="AR35" s="2">
        <f>求节点(节奏总纲!G$4:G$163,AK$4:AK$163,$AN35)*其他调用!K36*其他调用!$M36</f>
        <v>1591709.052555589</v>
      </c>
      <c r="AS35" s="2">
        <f>求节点(节奏总纲!H$4:H$163,AL$4:AL$163,$AN35)*其他调用!L36*其他调用!$M36</f>
        <v>582518.2225958152</v>
      </c>
      <c r="AT35" s="2">
        <f t="shared" si="0"/>
        <v>159134699.83217773</v>
      </c>
      <c r="AY35" s="2">
        <v>32</v>
      </c>
      <c r="AZ35" s="2">
        <f>其他调用!R36*6*(其他调用!AH$2*$AZ$1*MIN(其他调用!$AJ36/其他调用!AH36,1)+$E$4*0%*攻城基础信息!AC36)</f>
        <v>4540.3956242510676</v>
      </c>
      <c r="BA35" s="2">
        <f>其他调用!S36*6*(其他调用!AI$2*$AZ$1*MIN(其他调用!$AJ36/其他调用!AI36,1)+$E$4*0%*攻城基础信息!AD36)</f>
        <v>13810.932476336797</v>
      </c>
      <c r="BB35" s="2">
        <f>其他调用!T36*6*(其他调用!AJ$2*$AZ$1*MIN(其他调用!$AJ36/其他调用!AJ36,1)+$E$4*0%*攻城基础信息!AE36)</f>
        <v>42028.459872099702</v>
      </c>
      <c r="BC35" s="2">
        <f>其他调用!U36*6*(其他调用!AK$2*$AZ$1*MIN(其他调用!$AJ36/其他调用!AK36,1)+$E$4*0%*攻城基础信息!AF36)</f>
        <v>22419.380547589157</v>
      </c>
      <c r="BD35" s="2">
        <f>其他调用!V36*6*(其他调用!AL$2*$AZ$1*MIN(其他调用!$AJ36/其他调用!AL36,1)+$E$4*0%*攻城基础信息!AG36)</f>
        <v>6545.6185332632804</v>
      </c>
      <c r="BF35" s="2">
        <v>32</v>
      </c>
      <c r="BG35" s="2">
        <f>求节点(节奏总纲!D$4:D$163,AZ$4:AZ$163,$AN35)</f>
        <v>5965.9152048781252</v>
      </c>
      <c r="BH35" s="2">
        <f>求节点(节奏总纲!E$4:E$163,BA$4:BA$163,$AN35)</f>
        <v>18535.058744818365</v>
      </c>
      <c r="BI35" s="2">
        <f>求节点(节奏总纲!F$4:F$163,BB$4:BB$163,$AN35)</f>
        <v>58134.434438337201</v>
      </c>
      <c r="BJ35" s="2">
        <f>求节点(节奏总纲!G$4:G$163,BC$4:BC$163,$AN35)</f>
        <v>26253.064751792645</v>
      </c>
      <c r="BK35" s="2">
        <f>求节点(节奏总纲!H$4:H$163,BD$4:BD$163,$AN35)</f>
        <v>8815.8189607106251</v>
      </c>
      <c r="BL35" s="2">
        <f>BG35*其他调用!H36*其他调用!$M36</f>
        <v>280191.14966831781</v>
      </c>
      <c r="BM35" s="2">
        <f>BH35*其他调用!I36*其他调用!$M36</f>
        <v>684898.16899402579</v>
      </c>
      <c r="BN35" s="2">
        <f>BI35*其他调用!J36*其他调用!$M36</f>
        <v>190661.96821151485</v>
      </c>
      <c r="BO35" s="2">
        <f>BJ35*其他调用!K36*其他调用!$M36</f>
        <v>13482.670086286405</v>
      </c>
      <c r="BP35" s="2">
        <f>BK35*其他调用!L36*其他调用!$M36</f>
        <v>1129.9548382804705</v>
      </c>
      <c r="BQ35" s="2">
        <f t="shared" si="1"/>
        <v>1170363.9117984255</v>
      </c>
      <c r="BR35" s="2">
        <f>[1]服务器生态!$R34</f>
        <v>7.0735644421383484E-2</v>
      </c>
      <c r="BS35" s="2" t="e">
        <f>SUMPRODUCT((BG$4:BG35)*($BR$4:$BR35)*(其他调用!#REF!))</f>
        <v>#REF!</v>
      </c>
      <c r="BT35" s="2" t="e">
        <f>SUMPRODUCT((BH$4:BH35)*($BR$4:$BR35)*(其他调用!#REF!))</f>
        <v>#REF!</v>
      </c>
      <c r="BU35" s="2" t="e">
        <f>SUMPRODUCT((BI$4:BI35)*($BR$4:$BR35)*(其他调用!#REF!))</f>
        <v>#REF!</v>
      </c>
      <c r="BV35" s="2" t="e">
        <f>SUMPRODUCT((BJ$4:BJ35)*($BR$4:$BR35)*(其他调用!#REF!))</f>
        <v>#REF!</v>
      </c>
      <c r="BW35" s="2" t="e">
        <f>SUMPRODUCT((BK$4:BK35)*($BR$4:$BR35)*(其他调用!#REF!))</f>
        <v>#REF!</v>
      </c>
      <c r="BX35" s="2" t="e">
        <f>SUMPRODUCT((BG$4:BG35)*($BR$4:$BR35))*'[1]功能-战损相关'!$D$2-BS35</f>
        <v>#REF!</v>
      </c>
      <c r="BY35" s="2" t="e">
        <f>SUMPRODUCT((BH$4:BH35)*($BR$4:$BR35))*'[1]功能-战损相关'!$D$2-BT35</f>
        <v>#REF!</v>
      </c>
      <c r="BZ35" s="2" t="e">
        <f>SUMPRODUCT((BI$4:BI35)*($BR$4:$BR35))*'[1]功能-战损相关'!$D$2-BU35</f>
        <v>#REF!</v>
      </c>
      <c r="CA35" s="2" t="e">
        <f>SUMPRODUCT((BJ$4:BJ35)*($BR$4:$BR35))*'[1]功能-战损相关'!$D$2-BV35</f>
        <v>#REF!</v>
      </c>
      <c r="CB35" s="2" t="e">
        <f>SUMPRODUCT((BK$4:BK35)*($BR$4:$BR35))*'[1]功能-战损相关'!$D$2-BW35</f>
        <v>#REF!</v>
      </c>
      <c r="CD35" s="2">
        <v>32</v>
      </c>
      <c r="CE35" s="7">
        <v>1</v>
      </c>
      <c r="CF35" s="2" t="e">
        <f>求节点(节奏总纲!R$4:R$363,BS$4:BS$363,$CD35)*$CE35</f>
        <v>#VALUE!</v>
      </c>
      <c r="CG35" s="2" t="e">
        <f>求节点(节奏总纲!S$4:S$363,BT$4:BT$363,$CD35)*$CE35</f>
        <v>#VALUE!</v>
      </c>
      <c r="CH35" s="2" t="e">
        <f>求节点(节奏总纲!T$4:T$363,BU$4:BU$363,$CD35)*$CE35</f>
        <v>#VALUE!</v>
      </c>
      <c r="CI35" s="2" t="e">
        <f>求节点(节奏总纲!U$4:U$363,BV$4:BV$363,$CD35)*$CE35</f>
        <v>#VALUE!</v>
      </c>
      <c r="CJ35" s="2" t="e">
        <f>求节点(节奏总纲!V$4:V$363,BW$4:BW$363,$CD35)*$CE35</f>
        <v>#VALUE!</v>
      </c>
      <c r="CK35" s="2" t="e">
        <f>求节点(节奏总纲!R$4:R$363,BX$4:BX$363,$CD35)*$CE35</f>
        <v>#VALUE!</v>
      </c>
      <c r="CL35" s="2" t="e">
        <f>求节点(节奏总纲!S$4:S$363,BY$4:BY$363,$CD35)*$CE35</f>
        <v>#VALUE!</v>
      </c>
      <c r="CM35" s="2" t="e">
        <f>求节点(节奏总纲!T$4:T$363,BZ$4:BZ$363,$CD35)*$CE35</f>
        <v>#VALUE!</v>
      </c>
      <c r="CN35" s="2" t="e">
        <f>求节点(节奏总纲!U$4:U$363,CA$4:CA$363,$CD35)*$CE35</f>
        <v>#VALUE!</v>
      </c>
      <c r="CO35" s="2" t="e">
        <f>求节点(节奏总纲!V$4:V$363,CB$4:CB$363,$CD35)*$CE35</f>
        <v>#VALUE!</v>
      </c>
    </row>
    <row r="36" spans="2:93" x14ac:dyDescent="0.15">
      <c r="B36" s="9"/>
      <c r="D36" s="2" t="s">
        <v>268</v>
      </c>
      <c r="E36" s="2">
        <v>1</v>
      </c>
      <c r="P36" s="7">
        <v>3.2</v>
      </c>
      <c r="Q36" s="2">
        <f t="shared" ref="Q36:Q41" si="10">C18</f>
        <v>2</v>
      </c>
      <c r="R36" s="2">
        <f t="shared" ref="R36:R41" si="11">E18</f>
        <v>22.5</v>
      </c>
      <c r="S36" s="22">
        <f>ROUND(INDEX(其他调用!$AM$5:$AM$364,$R36,1)/INDEX(其他调用!AH$5:AH$364,$R36,1)*$P36,-1)</f>
        <v>160</v>
      </c>
      <c r="T36" s="22">
        <f>ROUND(INDEX(其他调用!$AM$5:$AM$364,$R36,1)/INDEX(其他调用!AI$5:AI$364,$R36,1)*$P36,-1)</f>
        <v>130</v>
      </c>
      <c r="U36" s="22">
        <f>ROUND(INDEX(其他调用!$AM$5:$AM$364,$R36,1)/INDEX(其他调用!AJ$5:AJ$364,$R36,1)*$P36,-1)</f>
        <v>90</v>
      </c>
      <c r="V36" s="22">
        <f>ROUND(INDEX(其他调用!$AM$5:$AM$364,$R36,1)/INDEX(其他调用!AK$5:AK$364,$R36,1)*$P36,-1)</f>
        <v>40</v>
      </c>
      <c r="W36" s="22">
        <f>ROUND(INDEX(其他调用!$AM$5:$AM$364,$R36,1)/INDEX(其他调用!AL$5:AL$364,$R36,1)*$P36,-1)</f>
        <v>10</v>
      </c>
      <c r="AA36" s="2">
        <v>33</v>
      </c>
      <c r="AB36" s="2">
        <f>攻城基础信息!X37*$E$12</f>
        <v>55435.778714726352</v>
      </c>
      <c r="AC36" s="2">
        <f>攻城基础信息!Y37*$E$12</f>
        <v>58696.349101387787</v>
      </c>
      <c r="AD36" s="2">
        <f>攻城基础信息!Z37*$E$12</f>
        <v>63640.272545703396</v>
      </c>
      <c r="AE36" s="2">
        <f>攻城基础信息!AA37*$E$12</f>
        <v>71548.305148694315</v>
      </c>
      <c r="AF36" s="2">
        <f>攻城基础信息!AB37*$E$12</f>
        <v>74184.874582706747</v>
      </c>
      <c r="AH36" s="2">
        <f>$E$4*AB36*攻城基础信息!AC37</f>
        <v>750230.87193929777</v>
      </c>
      <c r="AI36" s="2">
        <f>$E$4*AC36*攻城基础信息!AD37</f>
        <v>794357.25783878262</v>
      </c>
      <c r="AJ36" s="2">
        <f>$E$4*AD36*攻城基础信息!AE37</f>
        <v>861265.0217851873</v>
      </c>
      <c r="AK36" s="2">
        <f>$E$4*AE36*攻城基础信息!AF37</f>
        <v>968287.06301233114</v>
      </c>
      <c r="AL36" s="2">
        <f>$E$4*AF36*攻城基础信息!AG37</f>
        <v>1003968.6360192995</v>
      </c>
      <c r="AN36" s="2">
        <v>33</v>
      </c>
      <c r="AO36" s="2">
        <f>求节点(节奏总纲!D$4:D$163,AH$4:AH$163,$AN36)*其他调用!H37*其他调用!$M37</f>
        <v>81003216.153229699</v>
      </c>
      <c r="AP36" s="2">
        <f>求节点(节奏总纲!E$4:E$163,AI$4:AI$163,$AN36)*其他调用!I37*其他调用!$M37</f>
        <v>71896920.205403477</v>
      </c>
      <c r="AQ36" s="2">
        <f>求节点(节奏总纲!F$4:F$163,AJ$4:AJ$163,$AN36)*其他调用!J37*其他调用!$M37</f>
        <v>7588645.9486102602</v>
      </c>
      <c r="AR36" s="2">
        <f>求节点(节奏总纲!G$4:G$163,AK$4:AK$163,$AN36)*其他调用!K37*其他调用!$M37</f>
        <v>1636838.4455400379</v>
      </c>
      <c r="AS36" s="2">
        <f>求节点(节奏总纲!H$4:H$163,AL$4:AL$163,$AN36)*其他调用!L37*其他调用!$M37</f>
        <v>598436.57894107234</v>
      </c>
      <c r="AT36" s="2">
        <f t="shared" si="0"/>
        <v>162724057.33172452</v>
      </c>
      <c r="AY36" s="2">
        <v>33</v>
      </c>
      <c r="AZ36" s="2">
        <f>其他调用!R37*6*(其他调用!AH$2*$AZ$1*MIN(其他调用!$AJ37/其他调用!AH37,1)+$E$4*0%*攻城基础信息!AC37)</f>
        <v>4620.9956773698332</v>
      </c>
      <c r="BA36" s="2">
        <f>其他调用!S37*6*(其他调用!AI$2*$AZ$1*MIN(其他调用!$AJ37/其他调用!AI37,1)+$E$4*0%*攻城基础信息!AD37)</f>
        <v>14036.712754699376</v>
      </c>
      <c r="BB36" s="2">
        <f>其他调用!T37*6*(其他调用!AJ$2*$AZ$1*MIN(其他调用!$AJ37/其他调用!AJ37,1)+$E$4*0%*攻城基础信息!AE37)</f>
        <v>42739.402009367885</v>
      </c>
      <c r="BC36" s="2">
        <f>其他调用!U37*6*(其他调用!AK$2*$AZ$1*MIN(其他调用!$AJ37/其他调用!AK37,1)+$E$4*0%*攻城基础信息!AF37)</f>
        <v>21981.755797376831</v>
      </c>
      <c r="BD36" s="2">
        <f>其他调用!V37*6*(其他调用!AL$2*$AZ$1*MIN(其他调用!$AJ37/其他调用!AL37,1)+$E$4*0%*攻城基础信息!AG37)</f>
        <v>6453.530560444462</v>
      </c>
      <c r="BF36" s="2">
        <v>33</v>
      </c>
      <c r="BG36" s="2">
        <f>求节点(节奏总纲!D$4:D$163,AZ$4:AZ$163,$AN36)</f>
        <v>6000.3279440964243</v>
      </c>
      <c r="BH36" s="2">
        <f>求节点(节奏总纲!E$4:E$163,BA$4:BA$163,$AN36)</f>
        <v>18632.721995420688</v>
      </c>
      <c r="BI36" s="2">
        <f>求节点(节奏总纲!F$4:F$163,BB$4:BB$163,$AN36)</f>
        <v>58434.227619228419</v>
      </c>
      <c r="BJ36" s="2">
        <f>求节点(节奏总纲!G$4:G$163,BC$4:BC$163,$AN36)</f>
        <v>26424.47000556493</v>
      </c>
      <c r="BK36" s="2">
        <f>求节点(节奏总纲!H$4:H$163,BD$4:BD$163,$AN36)</f>
        <v>8856.7472693592827</v>
      </c>
      <c r="BL36" s="2">
        <f>BG36*其他调用!H37*其他调用!$M37</f>
        <v>282350.12250627403</v>
      </c>
      <c r="BM36" s="2">
        <f>BH36*其他调用!I37*其他调用!$M37</f>
        <v>692870.33199608594</v>
      </c>
      <c r="BN36" s="2">
        <f>BI36*其他调用!J37*其他调用!$M37</f>
        <v>192525.50696994437</v>
      </c>
      <c r="BO36" s="2">
        <f>BJ36*其他调用!K37*其他调用!$M37</f>
        <v>13669.07632809292</v>
      </c>
      <c r="BP36" s="2">
        <f>BK36*其他调用!L37*其他调用!$M37</f>
        <v>1147.1542479186762</v>
      </c>
      <c r="BQ36" s="2">
        <f t="shared" si="1"/>
        <v>1182562.1920483159</v>
      </c>
      <c r="BR36" s="2">
        <f>[1]服务器生态!$R35</f>
        <v>6.6548371772694653E-2</v>
      </c>
      <c r="BS36" s="2" t="e">
        <f>SUMPRODUCT((BG$4:BG36)*($BR$4:$BR36)*(其他调用!#REF!))</f>
        <v>#REF!</v>
      </c>
      <c r="BT36" s="2" t="e">
        <f>SUMPRODUCT((BH$4:BH36)*($BR$4:$BR36)*(其他调用!#REF!))</f>
        <v>#REF!</v>
      </c>
      <c r="BU36" s="2" t="e">
        <f>SUMPRODUCT((BI$4:BI36)*($BR$4:$BR36)*(其他调用!#REF!))</f>
        <v>#REF!</v>
      </c>
      <c r="BV36" s="2" t="e">
        <f>SUMPRODUCT((BJ$4:BJ36)*($BR$4:$BR36)*(其他调用!#REF!))</f>
        <v>#REF!</v>
      </c>
      <c r="BW36" s="2" t="e">
        <f>SUMPRODUCT((BK$4:BK36)*($BR$4:$BR36)*(其他调用!#REF!))</f>
        <v>#REF!</v>
      </c>
      <c r="BX36" s="2" t="e">
        <f>SUMPRODUCT((BG$4:BG36)*($BR$4:$BR36))*'[1]功能-战损相关'!$D$2-BS36</f>
        <v>#REF!</v>
      </c>
      <c r="BY36" s="2" t="e">
        <f>SUMPRODUCT((BH$4:BH36)*($BR$4:$BR36))*'[1]功能-战损相关'!$D$2-BT36</f>
        <v>#REF!</v>
      </c>
      <c r="BZ36" s="2" t="e">
        <f>SUMPRODUCT((BI$4:BI36)*($BR$4:$BR36))*'[1]功能-战损相关'!$D$2-BU36</f>
        <v>#REF!</v>
      </c>
      <c r="CA36" s="2" t="e">
        <f>SUMPRODUCT((BJ$4:BJ36)*($BR$4:$BR36))*'[1]功能-战损相关'!$D$2-BV36</f>
        <v>#REF!</v>
      </c>
      <c r="CB36" s="2" t="e">
        <f>SUMPRODUCT((BK$4:BK36)*($BR$4:$BR36))*'[1]功能-战损相关'!$D$2-BW36</f>
        <v>#REF!</v>
      </c>
      <c r="CD36" s="2">
        <v>33</v>
      </c>
      <c r="CE36" s="7">
        <v>1</v>
      </c>
      <c r="CF36" s="2" t="e">
        <f>求节点(节奏总纲!R$4:R$363,BS$4:BS$363,$CD36)*$CE36</f>
        <v>#VALUE!</v>
      </c>
      <c r="CG36" s="2" t="e">
        <f>求节点(节奏总纲!S$4:S$363,BT$4:BT$363,$CD36)*$CE36</f>
        <v>#VALUE!</v>
      </c>
      <c r="CH36" s="2" t="e">
        <f>求节点(节奏总纲!T$4:T$363,BU$4:BU$363,$CD36)*$CE36</f>
        <v>#VALUE!</v>
      </c>
      <c r="CI36" s="2" t="e">
        <f>求节点(节奏总纲!U$4:U$363,BV$4:BV$363,$CD36)*$CE36</f>
        <v>#VALUE!</v>
      </c>
      <c r="CJ36" s="2" t="e">
        <f>求节点(节奏总纲!V$4:V$363,BW$4:BW$363,$CD36)*$CE36</f>
        <v>#VALUE!</v>
      </c>
      <c r="CK36" s="2" t="e">
        <f>求节点(节奏总纲!R$4:R$363,BX$4:BX$363,$CD36)*$CE36</f>
        <v>#VALUE!</v>
      </c>
      <c r="CL36" s="2" t="e">
        <f>求节点(节奏总纲!S$4:S$363,BY$4:BY$363,$CD36)*$CE36</f>
        <v>#VALUE!</v>
      </c>
      <c r="CM36" s="2" t="e">
        <f>求节点(节奏总纲!T$4:T$363,BZ$4:BZ$363,$CD36)*$CE36</f>
        <v>#VALUE!</v>
      </c>
      <c r="CN36" s="2" t="e">
        <f>求节点(节奏总纲!U$4:U$363,CA$4:CA$363,$CD36)*$CE36</f>
        <v>#VALUE!</v>
      </c>
      <c r="CO36" s="2" t="e">
        <f>求节点(节奏总纲!V$4:V$363,CB$4:CB$363,$CD36)*$CE36</f>
        <v>#VALUE!</v>
      </c>
    </row>
    <row r="37" spans="2:93" x14ac:dyDescent="0.15">
      <c r="B37" s="9"/>
      <c r="D37" s="2" t="s">
        <v>269</v>
      </c>
      <c r="E37" s="2">
        <v>1</v>
      </c>
      <c r="P37" s="7">
        <v>3.2</v>
      </c>
      <c r="Q37" s="2">
        <f t="shared" si="10"/>
        <v>3</v>
      </c>
      <c r="R37" s="2">
        <f t="shared" si="11"/>
        <v>45</v>
      </c>
      <c r="S37" s="22">
        <f>ROUND(INDEX(其他调用!$AM$5:$AM$364,$R37,1)/INDEX(其他调用!AH$5:AH$364,$R37,1)*$P37,-1)</f>
        <v>220</v>
      </c>
      <c r="T37" s="22">
        <f>ROUND(INDEX(其他调用!$AM$5:$AM$364,$R37,1)/INDEX(其他调用!AI$5:AI$364,$R37,1)*$P37,-1)</f>
        <v>160</v>
      </c>
      <c r="U37" s="22">
        <f>ROUND(INDEX(其他调用!$AM$5:$AM$364,$R37,1)/INDEX(其他调用!AJ$5:AJ$364,$R37,1)*$P37,-1)</f>
        <v>100</v>
      </c>
      <c r="V37" s="22">
        <f>ROUND(INDEX(其他调用!$AM$5:$AM$364,$R37,1)/INDEX(其他调用!AK$5:AK$364,$R37,1)*$P37,-1)</f>
        <v>40</v>
      </c>
      <c r="W37" s="22">
        <f>ROUND(INDEX(其他调用!$AM$5:$AM$364,$R37,1)/INDEX(其他调用!AL$5:AL$364,$R37,1)*$P37,-1)</f>
        <v>10</v>
      </c>
      <c r="AA37" s="2">
        <v>34</v>
      </c>
      <c r="AB37" s="2">
        <f>攻城基础信息!X38*$E$12</f>
        <v>57100.732118287124</v>
      </c>
      <c r="AC37" s="2">
        <f>攻城基础信息!Y38*$E$12</f>
        <v>60618.130003535742</v>
      </c>
      <c r="AD37" s="2">
        <f>攻城基础信息!Z38*$E$12</f>
        <v>66252.236937881127</v>
      </c>
      <c r="AE37" s="2">
        <f>攻城基础信息!AA38*$E$12</f>
        <v>74609.34715549917</v>
      </c>
      <c r="AF37" s="2">
        <f>攻城基础信息!AB38*$E$12</f>
        <v>77106.642023286433</v>
      </c>
      <c r="AH37" s="2">
        <f>$E$4*AB37*攻城基础信息!AC38</f>
        <v>786086.74549508723</v>
      </c>
      <c r="AI37" s="2">
        <f>$E$4*AC37*攻城基础信息!AD38</f>
        <v>834509.58971534332</v>
      </c>
      <c r="AJ37" s="2">
        <f>$E$4*AD37*攻城基础信息!AE38</f>
        <v>912072.46184483159</v>
      </c>
      <c r="AK37" s="2">
        <f>$E$4*AE37*攻城基础信息!AF38</f>
        <v>1027122.0125073735</v>
      </c>
      <c r="AL37" s="2">
        <f>$E$4*AF37*攻城基础信息!AG38</f>
        <v>1061501.4385205782</v>
      </c>
      <c r="AN37" s="2">
        <v>34</v>
      </c>
      <c r="AO37" s="2">
        <f>求节点(节奏总纲!D$4:D$163,AH$4:AH$163,$AN37)*其他调用!H38*其他调用!$M38</f>
        <v>82599380.090610668</v>
      </c>
      <c r="AP37" s="2">
        <f>求节点(节奏总纲!E$4:E$163,AI$4:AI$163,$AN37)*其他调用!I38*其他调用!$M38</f>
        <v>73614010.781150296</v>
      </c>
      <c r="AQ37" s="2">
        <f>求节点(节奏总纲!F$4:F$163,AJ$4:AJ$163,$AN37)*其他调用!J38*其他调用!$M38</f>
        <v>7760175.9838488307</v>
      </c>
      <c r="AR37" s="2">
        <f>求节点(节奏总纲!G$4:G$163,AK$4:AK$163,$AN37)*其他调用!K38*其他调用!$M38</f>
        <v>1680775.7517092149</v>
      </c>
      <c r="AS37" s="2">
        <f>求节点(节奏总纲!H$4:H$163,AL$4:AL$163,$AN37)*其他调用!L38*其他调用!$M38</f>
        <v>614465.1512997027</v>
      </c>
      <c r="AT37" s="2">
        <f t="shared" si="0"/>
        <v>166268807.75861874</v>
      </c>
      <c r="AY37" s="2">
        <v>34</v>
      </c>
      <c r="AZ37" s="2">
        <f>其他调用!R38*6*(其他调用!AH$2*$AZ$1*MIN(其他调用!$AJ38/其他调用!AH38,1)+$E$4*0%*攻城基础信息!AC38)</f>
        <v>4696.7549165463233</v>
      </c>
      <c r="BA37" s="2">
        <f>其他调用!S38*6*(其他调用!AI$2*$AZ$1*MIN(其他调用!$AJ38/其他调用!AI38,1)+$E$4*0%*攻城基础信息!AD38)</f>
        <v>14278.655566492878</v>
      </c>
      <c r="BB37" s="2">
        <f>其他调用!T38*6*(其他调用!AJ$2*$AZ$1*MIN(其他调用!$AJ38/其他调用!AJ38,1)+$E$4*0%*攻城基础信息!AE38)</f>
        <v>43443.568922748796</v>
      </c>
      <c r="BC37" s="2">
        <f>其他调用!U38*6*(其他调用!AK$2*$AZ$1*MIN(其他调用!$AJ38/其他调用!AK38,1)+$E$4*0%*攻城基础信息!AF38)</f>
        <v>21640.371961859983</v>
      </c>
      <c r="BD37" s="2">
        <f>其他调用!V38*6*(其他调用!AL$2*$AZ$1*MIN(其他调用!$AJ38/其他调用!AL38,1)+$E$4*0%*攻城基础信息!AG38)</f>
        <v>6382.3159758905476</v>
      </c>
      <c r="BF37" s="2">
        <v>34</v>
      </c>
      <c r="BG37" s="2">
        <f>求节点(节奏总纲!D$4:D$163,AZ$4:AZ$163,$AN37)</f>
        <v>6031.8506762852285</v>
      </c>
      <c r="BH37" s="2">
        <f>求节点(节奏总纲!E$4:E$163,BA$4:BA$163,$AN37)</f>
        <v>18728.379482723096</v>
      </c>
      <c r="BI37" s="2">
        <f>求节点(节奏总纲!F$4:F$163,BB$4:BB$163,$AN37)</f>
        <v>58731.893144696282</v>
      </c>
      <c r="BJ37" s="2">
        <f>求节点(节奏总纲!G$4:G$163,BC$4:BC$163,$AN37)</f>
        <v>26591.23602208521</v>
      </c>
      <c r="BK37" s="2">
        <f>求节点(节奏总纲!H$4:H$163,BD$4:BD$163,$AN37)</f>
        <v>8897.6755780079384</v>
      </c>
      <c r="BL37" s="2">
        <f>BG37*其他调用!H38*其他调用!$M38</f>
        <v>284316.90310122631</v>
      </c>
      <c r="BM37" s="2">
        <f>BH37*其他调用!I38*其他调用!$M38</f>
        <v>700683.94558547065</v>
      </c>
      <c r="BN37" s="2">
        <f>BI37*其他调用!J38*其他调用!$M38</f>
        <v>194352.57558588518</v>
      </c>
      <c r="BO37" s="2">
        <f>BJ37*其他调用!K38*其他调用!$M38</f>
        <v>13851.883810589588</v>
      </c>
      <c r="BP37" s="2">
        <f>BK37*其他调用!L38*其他调用!$M38</f>
        <v>1164.2866003022468</v>
      </c>
      <c r="BQ37" s="2">
        <f t="shared" si="1"/>
        <v>1194369.5946834739</v>
      </c>
      <c r="BR37" s="2">
        <f>[1]服务器生态!$R36</f>
        <v>6.236109912400583E-2</v>
      </c>
      <c r="BS37" s="2" t="e">
        <f>SUMPRODUCT((BG$4:BG37)*($BR$4:$BR37)*(其他调用!#REF!))</f>
        <v>#REF!</v>
      </c>
      <c r="BT37" s="2" t="e">
        <f>SUMPRODUCT((BH$4:BH37)*($BR$4:$BR37)*(其他调用!#REF!))</f>
        <v>#REF!</v>
      </c>
      <c r="BU37" s="2" t="e">
        <f>SUMPRODUCT((BI$4:BI37)*($BR$4:$BR37)*(其他调用!#REF!))</f>
        <v>#REF!</v>
      </c>
      <c r="BV37" s="2" t="e">
        <f>SUMPRODUCT((BJ$4:BJ37)*($BR$4:$BR37)*(其他调用!#REF!))</f>
        <v>#REF!</v>
      </c>
      <c r="BW37" s="2" t="e">
        <f>SUMPRODUCT((BK$4:BK37)*($BR$4:$BR37)*(其他调用!#REF!))</f>
        <v>#REF!</v>
      </c>
      <c r="BX37" s="2" t="e">
        <f>SUMPRODUCT((BG$4:BG37)*($BR$4:$BR37))*'[1]功能-战损相关'!$D$2-BS37</f>
        <v>#REF!</v>
      </c>
      <c r="BY37" s="2" t="e">
        <f>SUMPRODUCT((BH$4:BH37)*($BR$4:$BR37))*'[1]功能-战损相关'!$D$2-BT37</f>
        <v>#REF!</v>
      </c>
      <c r="BZ37" s="2" t="e">
        <f>SUMPRODUCT((BI$4:BI37)*($BR$4:$BR37))*'[1]功能-战损相关'!$D$2-BU37</f>
        <v>#REF!</v>
      </c>
      <c r="CA37" s="2" t="e">
        <f>SUMPRODUCT((BJ$4:BJ37)*($BR$4:$BR37))*'[1]功能-战损相关'!$D$2-BV37</f>
        <v>#REF!</v>
      </c>
      <c r="CB37" s="2" t="e">
        <f>SUMPRODUCT((BK$4:BK37)*($BR$4:$BR37))*'[1]功能-战损相关'!$D$2-BW37</f>
        <v>#REF!</v>
      </c>
      <c r="CD37" s="2">
        <v>34</v>
      </c>
      <c r="CE37" s="7">
        <v>1</v>
      </c>
      <c r="CF37" s="2" t="e">
        <f>求节点(节奏总纲!R$4:R$363,BS$4:BS$363,$CD37)*$CE37</f>
        <v>#VALUE!</v>
      </c>
      <c r="CG37" s="2" t="e">
        <f>求节点(节奏总纲!S$4:S$363,BT$4:BT$363,$CD37)*$CE37</f>
        <v>#VALUE!</v>
      </c>
      <c r="CH37" s="2" t="e">
        <f>求节点(节奏总纲!T$4:T$363,BU$4:BU$363,$CD37)*$CE37</f>
        <v>#VALUE!</v>
      </c>
      <c r="CI37" s="2" t="e">
        <f>求节点(节奏总纲!U$4:U$363,BV$4:BV$363,$CD37)*$CE37</f>
        <v>#VALUE!</v>
      </c>
      <c r="CJ37" s="2" t="e">
        <f>求节点(节奏总纲!V$4:V$363,BW$4:BW$363,$CD37)*$CE37</f>
        <v>#VALUE!</v>
      </c>
      <c r="CK37" s="2" t="e">
        <f>求节点(节奏总纲!R$4:R$363,BX$4:BX$363,$CD37)*$CE37</f>
        <v>#VALUE!</v>
      </c>
      <c r="CL37" s="2" t="e">
        <f>求节点(节奏总纲!S$4:S$363,BY$4:BY$363,$CD37)*$CE37</f>
        <v>#VALUE!</v>
      </c>
      <c r="CM37" s="2" t="e">
        <f>求节点(节奏总纲!T$4:T$363,BZ$4:BZ$363,$CD37)*$CE37</f>
        <v>#VALUE!</v>
      </c>
      <c r="CN37" s="2" t="e">
        <f>求节点(节奏总纲!U$4:U$363,CA$4:CA$363,$CD37)*$CE37</f>
        <v>#VALUE!</v>
      </c>
      <c r="CO37" s="2" t="e">
        <f>求节点(节奏总纲!V$4:V$363,CB$4:CB$363,$CD37)*$CE37</f>
        <v>#VALUE!</v>
      </c>
    </row>
    <row r="38" spans="2:93" x14ac:dyDescent="0.15">
      <c r="B38" s="9"/>
      <c r="D38" s="2" t="s">
        <v>270</v>
      </c>
      <c r="E38" s="2">
        <v>1</v>
      </c>
      <c r="P38" s="7">
        <v>3.2</v>
      </c>
      <c r="Q38" s="2">
        <f t="shared" si="10"/>
        <v>4</v>
      </c>
      <c r="R38" s="2">
        <f t="shared" si="11"/>
        <v>75</v>
      </c>
      <c r="S38" s="22">
        <f>ROUND(INDEX(其他调用!$AM$5:$AM$364,$R38,1)/INDEX(其他调用!AH$5:AH$364,$R38,1)*$P38,-1)</f>
        <v>280</v>
      </c>
      <c r="T38" s="22">
        <f>ROUND(INDEX(其他调用!$AM$5:$AM$364,$R38,1)/INDEX(其他调用!AI$5:AI$364,$R38,1)*$P38,-1)</f>
        <v>180</v>
      </c>
      <c r="U38" s="22">
        <f>ROUND(INDEX(其他调用!$AM$5:$AM$364,$R38,1)/INDEX(其他调用!AJ$5:AJ$364,$R38,1)*$P38,-1)</f>
        <v>100</v>
      </c>
      <c r="V38" s="22">
        <f>ROUND(INDEX(其他调用!$AM$5:$AM$364,$R38,1)/INDEX(其他调用!AK$5:AK$364,$R38,1)*$P38,-1)</f>
        <v>40</v>
      </c>
      <c r="W38" s="22">
        <f>ROUND(INDEX(其他调用!$AM$5:$AM$364,$R38,1)/INDEX(其他调用!AL$5:AL$364,$R38,1)*$P38,-1)</f>
        <v>10</v>
      </c>
      <c r="AA38" s="2">
        <v>35</v>
      </c>
      <c r="AB38" s="2">
        <f>攻城基础信息!X39*$E$12</f>
        <v>59128.227230931894</v>
      </c>
      <c r="AC38" s="2">
        <f>攻城基础信息!Y39*$E$12</f>
        <v>62772.142608234157</v>
      </c>
      <c r="AD38" s="2">
        <f>攻城基础信息!Z39*$E$12</f>
        <v>68286.629901622277</v>
      </c>
      <c r="AE38" s="2">
        <f>攻城基础信息!AA39*$E$12</f>
        <v>76923.984022658871</v>
      </c>
      <c r="AF38" s="2">
        <f>攻城基础信息!AB39*$E$12</f>
        <v>79569.282915642267</v>
      </c>
      <c r="AH38" s="2">
        <f>$E$4*AB38*攻城基础信息!AC39</f>
        <v>827795.18123304786</v>
      </c>
      <c r="AI38" s="2">
        <f>$E$4*AC38*攻城基础信息!AD39</f>
        <v>878809.99651527964</v>
      </c>
      <c r="AJ38" s="2">
        <f>$E$4*AD38*攻城基础信息!AE39</f>
        <v>956012.81862271333</v>
      </c>
      <c r="AK38" s="2">
        <f>$E$4*AE38*攻城基础信息!AF39</f>
        <v>1076935.7763172258</v>
      </c>
      <c r="AL38" s="2">
        <f>$E$4*AF38*攻城基础信息!AG39</f>
        <v>1113969.9608189934</v>
      </c>
      <c r="AN38" s="2">
        <v>35</v>
      </c>
      <c r="AO38" s="2">
        <f>求节点(节奏总纲!D$4:D$163,AH$4:AH$163,$AN38)*其他调用!H39*其他调用!$M39</f>
        <v>84186703.118510365</v>
      </c>
      <c r="AP38" s="2">
        <f>求节点(节奏总纲!E$4:E$163,AI$4:AI$163,$AN38)*其他调用!I39*其他调用!$M39</f>
        <v>75345589.031352788</v>
      </c>
      <c r="AQ38" s="2">
        <f>求节点(节奏总纲!F$4:F$163,AJ$4:AJ$163,$AN38)*其他调用!J39*其他调用!$M39</f>
        <v>7928866.0261732545</v>
      </c>
      <c r="AR38" s="2">
        <f>求节点(节奏总纲!G$4:G$163,AK$4:AK$163,$AN38)*其他调用!K39*其他调用!$M39</f>
        <v>1725206.9862579212</v>
      </c>
      <c r="AS38" s="2">
        <f>求节点(节奏总纲!H$4:H$163,AL$4:AL$163,$AN38)*其他调用!L39*其他调用!$M39</f>
        <v>630335.85756600392</v>
      </c>
      <c r="AT38" s="2">
        <f t="shared" si="0"/>
        <v>169816701.01986033</v>
      </c>
      <c r="AY38" s="2">
        <v>35</v>
      </c>
      <c r="AZ38" s="2">
        <f>其他调用!R39*6*(其他调用!AH$2*$AZ$1*MIN(其他调用!$AJ39/其他调用!AH39,1)+$E$4*0%*攻城基础信息!AC39)</f>
        <v>4776.2290955367544</v>
      </c>
      <c r="BA38" s="2">
        <f>其他调用!S39*6*(其他调用!AI$2*$AZ$1*MIN(其他调用!$AJ39/其他调用!AI39,1)+$E$4*0%*攻城基础信息!AD39)</f>
        <v>14510.139026889003</v>
      </c>
      <c r="BB38" s="2">
        <f>其他调用!T39*6*(其他调用!AJ$2*$AZ$1*MIN(其他调用!$AJ39/其他调用!AJ39,1)+$E$4*0%*攻城基础信息!AE39)</f>
        <v>44183.741802953045</v>
      </c>
      <c r="BC38" s="2">
        <f>其他调用!U39*6*(其他调用!AK$2*$AZ$1*MIN(其他调用!$AJ39/其他调用!AK39,1)+$E$4*0%*攻城基础信息!AF39)</f>
        <v>21333.669287338344</v>
      </c>
      <c r="BD38" s="2">
        <f>其他调用!V39*6*(其他调用!AL$2*$AZ$1*MIN(其他调用!$AJ39/其他调用!AL39,1)+$E$4*0%*攻城基础信息!AG39)</f>
        <v>6307.3911980407283</v>
      </c>
      <c r="BF38" s="2">
        <v>35</v>
      </c>
      <c r="BG38" s="2">
        <f>求节点(节奏总纲!D$4:D$163,AZ$4:AZ$163,$AN38)</f>
        <v>6062.1539091802106</v>
      </c>
      <c r="BH38" s="2">
        <f>求节点(节奏总纲!E$4:E$163,BA$4:BA$163,$AN38)</f>
        <v>18822.535550549372</v>
      </c>
      <c r="BI38" s="2">
        <f>求节点(节奏总纲!F$4:F$163,BB$4:BB$163,$AN38)</f>
        <v>59012.588738518549</v>
      </c>
      <c r="BJ38" s="2">
        <f>求节点(节奏总纲!G$4:G$163,BC$4:BC$163,$AN38)</f>
        <v>26758.002038605493</v>
      </c>
      <c r="BK38" s="2">
        <f>求节点(节奏总纲!H$4:H$163,BD$4:BD$163,$AN38)</f>
        <v>8939.2507744278937</v>
      </c>
      <c r="BL38" s="2">
        <f>BG38*其他调用!H39*其他调用!$M39</f>
        <v>286226.93838886434</v>
      </c>
      <c r="BM38" s="2">
        <f>BH38*其他调用!I39*其他调用!$M39</f>
        <v>708496.96267594257</v>
      </c>
      <c r="BN38" s="2">
        <f>BI38*其他调用!J39*其他调用!$M39</f>
        <v>196132.78127862953</v>
      </c>
      <c r="BO38" s="2">
        <f>BJ38*其他调用!K39*其他调用!$M39</f>
        <v>14036.240789197942</v>
      </c>
      <c r="BP38" s="2">
        <f>BK38*其他调用!L39*其他调用!$M39</f>
        <v>1181.6693936648599</v>
      </c>
      <c r="BQ38" s="2">
        <f t="shared" si="1"/>
        <v>1206074.5925262992</v>
      </c>
      <c r="BR38" s="2">
        <f>[1]服务器生态!$R37</f>
        <v>5.8173826475317006E-2</v>
      </c>
      <c r="BS38" s="2" t="e">
        <f>SUMPRODUCT((BG$4:BG38)*($BR$4:$BR38)*(其他调用!#REF!))</f>
        <v>#REF!</v>
      </c>
      <c r="BT38" s="2" t="e">
        <f>SUMPRODUCT((BH$4:BH38)*($BR$4:$BR38)*(其他调用!#REF!))</f>
        <v>#REF!</v>
      </c>
      <c r="BU38" s="2" t="e">
        <f>SUMPRODUCT((BI$4:BI38)*($BR$4:$BR38)*(其他调用!#REF!))</f>
        <v>#REF!</v>
      </c>
      <c r="BV38" s="2" t="e">
        <f>SUMPRODUCT((BJ$4:BJ38)*($BR$4:$BR38)*(其他调用!#REF!))</f>
        <v>#REF!</v>
      </c>
      <c r="BW38" s="2" t="e">
        <f>SUMPRODUCT((BK$4:BK38)*($BR$4:$BR38)*(其他调用!#REF!))</f>
        <v>#REF!</v>
      </c>
      <c r="BX38" s="2" t="e">
        <f>SUMPRODUCT((BG$4:BG38)*($BR$4:$BR38))*'[1]功能-战损相关'!$D$2-BS38</f>
        <v>#REF!</v>
      </c>
      <c r="BY38" s="2" t="e">
        <f>SUMPRODUCT((BH$4:BH38)*($BR$4:$BR38))*'[1]功能-战损相关'!$D$2-BT38</f>
        <v>#REF!</v>
      </c>
      <c r="BZ38" s="2" t="e">
        <f>SUMPRODUCT((BI$4:BI38)*($BR$4:$BR38))*'[1]功能-战损相关'!$D$2-BU38</f>
        <v>#REF!</v>
      </c>
      <c r="CA38" s="2" t="e">
        <f>SUMPRODUCT((BJ$4:BJ38)*($BR$4:$BR38))*'[1]功能-战损相关'!$D$2-BV38</f>
        <v>#REF!</v>
      </c>
      <c r="CB38" s="2" t="e">
        <f>SUMPRODUCT((BK$4:BK38)*($BR$4:$BR38))*'[1]功能-战损相关'!$D$2-BW38</f>
        <v>#REF!</v>
      </c>
      <c r="CD38" s="2">
        <v>35</v>
      </c>
      <c r="CE38" s="7">
        <v>1</v>
      </c>
      <c r="CF38" s="2" t="e">
        <f>求节点(节奏总纲!R$4:R$363,BS$4:BS$363,$CD38)*$CE38</f>
        <v>#VALUE!</v>
      </c>
      <c r="CG38" s="2" t="e">
        <f>求节点(节奏总纲!S$4:S$363,BT$4:BT$363,$CD38)*$CE38</f>
        <v>#VALUE!</v>
      </c>
      <c r="CH38" s="2" t="e">
        <f>求节点(节奏总纲!T$4:T$363,BU$4:BU$363,$CD38)*$CE38</f>
        <v>#VALUE!</v>
      </c>
      <c r="CI38" s="2" t="e">
        <f>求节点(节奏总纲!U$4:U$363,BV$4:BV$363,$CD38)*$CE38</f>
        <v>#VALUE!</v>
      </c>
      <c r="CJ38" s="2" t="e">
        <f>求节点(节奏总纲!V$4:V$363,BW$4:BW$363,$CD38)*$CE38</f>
        <v>#VALUE!</v>
      </c>
      <c r="CK38" s="2" t="e">
        <f>求节点(节奏总纲!R$4:R$363,BX$4:BX$363,$CD38)*$CE38</f>
        <v>#VALUE!</v>
      </c>
      <c r="CL38" s="2" t="e">
        <f>求节点(节奏总纲!S$4:S$363,BY$4:BY$363,$CD38)*$CE38</f>
        <v>#VALUE!</v>
      </c>
      <c r="CM38" s="2" t="e">
        <f>求节点(节奏总纲!T$4:T$363,BZ$4:BZ$363,$CD38)*$CE38</f>
        <v>#VALUE!</v>
      </c>
      <c r="CN38" s="2" t="e">
        <f>求节点(节奏总纲!U$4:U$363,CA$4:CA$363,$CD38)*$CE38</f>
        <v>#VALUE!</v>
      </c>
      <c r="CO38" s="2" t="e">
        <f>求节点(节奏总纲!V$4:V$363,CB$4:CB$363,$CD38)*$CE38</f>
        <v>#VALUE!</v>
      </c>
    </row>
    <row r="39" spans="2:93" x14ac:dyDescent="0.15">
      <c r="D39" s="2" t="s">
        <v>271</v>
      </c>
      <c r="E39" s="2">
        <v>1</v>
      </c>
      <c r="P39" s="7">
        <v>3.5</v>
      </c>
      <c r="Q39" s="2">
        <f t="shared" si="10"/>
        <v>5</v>
      </c>
      <c r="R39" s="2">
        <f t="shared" si="11"/>
        <v>120</v>
      </c>
      <c r="S39" s="22">
        <f>ROUND(INDEX(其他调用!$AM$5:$AM$364,$R39,1)/INDEX(其他调用!AH$5:AH$364,$R39,1)*$P39,-1)</f>
        <v>340</v>
      </c>
      <c r="T39" s="22">
        <f>ROUND(INDEX(其他调用!$AM$5:$AM$364,$R39,1)/INDEX(其他调用!AI$5:AI$364,$R39,1)*$P39,-1)</f>
        <v>210</v>
      </c>
      <c r="U39" s="22">
        <f>ROUND(INDEX(其他调用!$AM$5:$AM$364,$R39,1)/INDEX(其他调用!AJ$5:AJ$364,$R39,1)*$P39,-1)</f>
        <v>120</v>
      </c>
      <c r="V39" s="22">
        <f>ROUND(INDEX(其他调用!$AM$5:$AM$364,$R39,1)/INDEX(其他调用!AK$5:AK$364,$R39,1)*$P39,-1)</f>
        <v>50</v>
      </c>
      <c r="W39" s="22">
        <f>ROUND(INDEX(其他调用!$AM$5:$AM$364,$R39,1)/INDEX(其他调用!AL$5:AL$364,$R39,1)*$P39,-1)</f>
        <v>10</v>
      </c>
      <c r="AA39" s="2">
        <v>36</v>
      </c>
      <c r="AB39" s="2">
        <f>攻城基础信息!X40*$E$12</f>
        <v>61667.234835226845</v>
      </c>
      <c r="AC39" s="2">
        <f>攻城基础信息!Y40*$E$12</f>
        <v>65110.474611395897</v>
      </c>
      <c r="AD39" s="2">
        <f>攻城基础信息!Z40*$E$12</f>
        <v>70212.960798452856</v>
      </c>
      <c r="AE39" s="2">
        <f>攻城基础信息!AA40*$E$12</f>
        <v>79291.478929099379</v>
      </c>
      <c r="AF39" s="2">
        <f>攻城基础信息!AB40*$E$12</f>
        <v>82060.850150016151</v>
      </c>
      <c r="AH39" s="2">
        <f>$E$4*AB39*攻城基础信息!AC40</f>
        <v>877730.30915473006</v>
      </c>
      <c r="AI39" s="2">
        <f>$E$4*AC39*攻城基础信息!AD40</f>
        <v>926739.08863553626</v>
      </c>
      <c r="AJ39" s="2">
        <f>$E$4*AD39*攻城基础信息!AE40</f>
        <v>999364.47536464711</v>
      </c>
      <c r="AK39" s="2">
        <f>$E$4*AE39*攻城基础信息!AF40</f>
        <v>1128582.0500908494</v>
      </c>
      <c r="AL39" s="2">
        <f>$E$4*AF39*攻城基础信息!AG40</f>
        <v>1167999.4338018983</v>
      </c>
      <c r="AN39" s="2">
        <v>36</v>
      </c>
      <c r="AO39" s="2">
        <f>求节点(节奏总纲!D$4:D$163,AH$4:AH$163,$AN39)*其他调用!H40*其他调用!$M40</f>
        <v>85765548.751730576</v>
      </c>
      <c r="AP39" s="2">
        <f>求节点(节奏总纲!E$4:E$163,AI$4:AI$163,$AN39)*其他调用!I40*其他调用!$M40</f>
        <v>77094599.944879904</v>
      </c>
      <c r="AQ39" s="2">
        <f>求节点(节奏总纲!F$4:F$163,AJ$4:AJ$163,$AN39)*其他调用!J40*其他调用!$M40</f>
        <v>8098766.2381342631</v>
      </c>
      <c r="AR39" s="2">
        <f>求节点(节奏总纲!G$4:G$163,AK$4:AK$163,$AN39)*其他调用!K40*其他调用!$M40</f>
        <v>1769198.808261499</v>
      </c>
      <c r="AS39" s="2">
        <f>求节点(节奏总纲!H$4:H$163,AL$4:AL$163,$AN39)*其他调用!L40*其他调用!$M40</f>
        <v>646405.88405655266</v>
      </c>
      <c r="AT39" s="2">
        <f t="shared" si="0"/>
        <v>173374519.6270628</v>
      </c>
      <c r="AY39" s="2">
        <v>36</v>
      </c>
      <c r="AZ39" s="2">
        <f>其他调用!R40*6*(其他调用!AH$2*$AZ$1*MIN(其他调用!$AJ40/其他调用!AH40,1)+$E$4*0%*攻城基础信息!AC40)</f>
        <v>4852.5869667362595</v>
      </c>
      <c r="BA39" s="2">
        <f>其他调用!S40*6*(其他调用!AI$2*$AZ$1*MIN(其他调用!$AJ40/其他调用!AI40,1)+$E$4*0%*攻城基础信息!AD40)</f>
        <v>14750.688773547314</v>
      </c>
      <c r="BB39" s="2">
        <f>其他调用!T40*6*(其他调用!AJ$2*$AZ$1*MIN(其他调用!$AJ40/其他调用!AJ40,1)+$E$4*0%*攻城基础信息!AE40)</f>
        <v>44866.132470751407</v>
      </c>
      <c r="BC39" s="2">
        <f>其他调用!U40*6*(其他调用!AK$2*$AZ$1*MIN(其他调用!$AJ40/其他调用!AK40,1)+$E$4*0%*攻城基础信息!AF40)</f>
        <v>21036.733828373177</v>
      </c>
      <c r="BD39" s="2">
        <f>其他调用!V40*6*(其他调用!AL$2*$AZ$1*MIN(其他调用!$AJ40/其他调用!AL40,1)+$E$4*0%*攻城基础信息!AG40)</f>
        <v>6241.2654284607097</v>
      </c>
      <c r="BF39" s="2">
        <v>36</v>
      </c>
      <c r="BG39" s="2">
        <f>求节点(节奏总纲!D$4:D$163,AZ$4:AZ$163,$AN39)</f>
        <v>6092.2784516302027</v>
      </c>
      <c r="BH39" s="2">
        <f>求节点(节奏总纲!E$4:E$163,BA$4:BA$163,$AN39)</f>
        <v>18916.331466450665</v>
      </c>
      <c r="BI39" s="2">
        <f>求节点(节奏总纲!F$4:F$163,BB$4:BB$163,$AN39)</f>
        <v>59293.284332340809</v>
      </c>
      <c r="BJ39" s="2">
        <f>求节点(节奏总纲!G$4:G$163,BC$4:BC$163,$AN39)</f>
        <v>26911.743104412806</v>
      </c>
      <c r="BK39" s="2">
        <f>求节点(节奏总纲!H$4:H$163,BD$4:BD$163,$AN39)</f>
        <v>8980.8672300123271</v>
      </c>
      <c r="BL39" s="2">
        <f>BG39*其他调用!H40*其他调用!$M40</f>
        <v>288129.09858935809</v>
      </c>
      <c r="BM39" s="2">
        <f>BH39*其他调用!I40*其他调用!$M40</f>
        <v>716351.76241802005</v>
      </c>
      <c r="BN39" s="2">
        <f>BI39*其他调用!J40*其他调用!$M40</f>
        <v>197922.04921927192</v>
      </c>
      <c r="BO39" s="2">
        <f>BJ39*其他调用!K40*其他调用!$M40</f>
        <v>14215.273577945074</v>
      </c>
      <c r="BP39" s="2">
        <f>BK39*其他调用!L40*其他调用!$M40</f>
        <v>1199.2251330061297</v>
      </c>
      <c r="BQ39" s="2">
        <f t="shared" si="1"/>
        <v>1217817.4089376014</v>
      </c>
      <c r="BR39" s="2">
        <f>[1]服务器生态!$R38</f>
        <v>5.3986553826628175E-2</v>
      </c>
      <c r="BS39" s="2" t="e">
        <f>SUMPRODUCT((BG$4:BG39)*($BR$4:$BR39)*(其他调用!#REF!))</f>
        <v>#REF!</v>
      </c>
      <c r="BT39" s="2" t="e">
        <f>SUMPRODUCT((BH$4:BH39)*($BR$4:$BR39)*(其他调用!#REF!))</f>
        <v>#REF!</v>
      </c>
      <c r="BU39" s="2" t="e">
        <f>SUMPRODUCT((BI$4:BI39)*($BR$4:$BR39)*(其他调用!#REF!))</f>
        <v>#REF!</v>
      </c>
      <c r="BV39" s="2" t="e">
        <f>SUMPRODUCT((BJ$4:BJ39)*($BR$4:$BR39)*(其他调用!#REF!))</f>
        <v>#REF!</v>
      </c>
      <c r="BW39" s="2" t="e">
        <f>SUMPRODUCT((BK$4:BK39)*($BR$4:$BR39)*(其他调用!#REF!))</f>
        <v>#REF!</v>
      </c>
      <c r="BX39" s="2" t="e">
        <f>SUMPRODUCT((BG$4:BG39)*($BR$4:$BR39))*'[1]功能-战损相关'!$D$2-BS39</f>
        <v>#REF!</v>
      </c>
      <c r="BY39" s="2" t="e">
        <f>SUMPRODUCT((BH$4:BH39)*($BR$4:$BR39))*'[1]功能-战损相关'!$D$2-BT39</f>
        <v>#REF!</v>
      </c>
      <c r="BZ39" s="2" t="e">
        <f>SUMPRODUCT((BI$4:BI39)*($BR$4:$BR39))*'[1]功能-战损相关'!$D$2-BU39</f>
        <v>#REF!</v>
      </c>
      <c r="CA39" s="2" t="e">
        <f>SUMPRODUCT((BJ$4:BJ39)*($BR$4:$BR39))*'[1]功能-战损相关'!$D$2-BV39</f>
        <v>#REF!</v>
      </c>
      <c r="CB39" s="2" t="e">
        <f>SUMPRODUCT((BK$4:BK39)*($BR$4:$BR39))*'[1]功能-战损相关'!$D$2-BW39</f>
        <v>#REF!</v>
      </c>
      <c r="CD39" s="2">
        <v>36</v>
      </c>
      <c r="CE39" s="7">
        <v>1</v>
      </c>
      <c r="CF39" s="2" t="e">
        <f>求节点(节奏总纲!R$4:R$363,BS$4:BS$363,$CD39)*$CE39</f>
        <v>#VALUE!</v>
      </c>
      <c r="CG39" s="2" t="e">
        <f>求节点(节奏总纲!S$4:S$363,BT$4:BT$363,$CD39)*$CE39</f>
        <v>#VALUE!</v>
      </c>
      <c r="CH39" s="2" t="e">
        <f>求节点(节奏总纲!T$4:T$363,BU$4:BU$363,$CD39)*$CE39</f>
        <v>#VALUE!</v>
      </c>
      <c r="CI39" s="2" t="e">
        <f>求节点(节奏总纲!U$4:U$363,BV$4:BV$363,$CD39)*$CE39</f>
        <v>#VALUE!</v>
      </c>
      <c r="CJ39" s="2" t="e">
        <f>求节点(节奏总纲!V$4:V$363,BW$4:BW$363,$CD39)*$CE39</f>
        <v>#VALUE!</v>
      </c>
      <c r="CK39" s="2" t="e">
        <f>求节点(节奏总纲!R$4:R$363,BX$4:BX$363,$CD39)*$CE39</f>
        <v>#VALUE!</v>
      </c>
      <c r="CL39" s="2" t="e">
        <f>求节点(节奏总纲!S$4:S$363,BY$4:BY$363,$CD39)*$CE39</f>
        <v>#VALUE!</v>
      </c>
      <c r="CM39" s="2" t="e">
        <f>求节点(节奏总纲!T$4:T$363,BZ$4:BZ$363,$CD39)*$CE39</f>
        <v>#VALUE!</v>
      </c>
      <c r="CN39" s="2" t="e">
        <f>求节点(节奏总纲!U$4:U$363,CA$4:CA$363,$CD39)*$CE39</f>
        <v>#VALUE!</v>
      </c>
      <c r="CO39" s="2" t="e">
        <f>求节点(节奏总纲!V$4:V$363,CB$4:CB$363,$CD39)*$CE39</f>
        <v>#VALUE!</v>
      </c>
    </row>
    <row r="40" spans="2:93" x14ac:dyDescent="0.15">
      <c r="D40" s="2" t="s">
        <v>272</v>
      </c>
      <c r="E40" s="2">
        <v>0.5</v>
      </c>
      <c r="P40" s="7">
        <v>3.5</v>
      </c>
      <c r="Q40" s="2">
        <f t="shared" si="10"/>
        <v>6</v>
      </c>
      <c r="R40" s="2">
        <f t="shared" si="11"/>
        <v>180</v>
      </c>
      <c r="S40" s="22">
        <f>ROUND(INDEX(其他调用!$AM$5:$AM$364,$R40,1)/INDEX(其他调用!AH$5:AH$364,$R40,1)*$P40,-1)</f>
        <v>340</v>
      </c>
      <c r="T40" s="22">
        <f>ROUND(INDEX(其他调用!$AM$5:$AM$364,$R40,1)/INDEX(其他调用!AI$5:AI$364,$R40,1)*$P40,-1)</f>
        <v>200</v>
      </c>
      <c r="U40" s="22">
        <f>ROUND(INDEX(其他调用!$AM$5:$AM$364,$R40,1)/INDEX(其他调用!AJ$5:AJ$364,$R40,1)*$P40,-1)</f>
        <v>120</v>
      </c>
      <c r="V40" s="22">
        <f>ROUND(INDEX(其他调用!$AM$5:$AM$364,$R40,1)/INDEX(其他调用!AK$5:AK$364,$R40,1)*$P40,-1)</f>
        <v>40</v>
      </c>
      <c r="W40" s="22">
        <f>ROUND(INDEX(其他调用!$AM$5:$AM$364,$R40,1)/INDEX(其他调用!AL$5:AL$364,$R40,1)*$P40,-1)</f>
        <v>20</v>
      </c>
      <c r="AA40" s="2">
        <v>37</v>
      </c>
      <c r="AB40" s="2">
        <f>攻城基础信息!X41*$E$12</f>
        <v>64057.811721831029</v>
      </c>
      <c r="AC40" s="2">
        <f>攻城基础信息!Y41*$E$12</f>
        <v>67525.527121503968</v>
      </c>
      <c r="AD40" s="2">
        <f>攻城基础信息!Z41*$E$12</f>
        <v>72186.756973839612</v>
      </c>
      <c r="AE40" s="2">
        <f>攻城基础信息!AA41*$E$12</f>
        <v>81714.68288902787</v>
      </c>
      <c r="AF40" s="2">
        <f>攻城基础信息!AB41*$E$12</f>
        <v>84580.139907350123</v>
      </c>
      <c r="AH40" s="2">
        <f>$E$4*AB40*攻城基础信息!AC41</f>
        <v>926703.00957582344</v>
      </c>
      <c r="AI40" s="2">
        <f>$E$4*AC40*攻城基础信息!AD41</f>
        <v>976869.29235775885</v>
      </c>
      <c r="AJ40" s="2">
        <f>$E$4*AD40*攻城基础信息!AE41</f>
        <v>1044301.7508882146</v>
      </c>
      <c r="AK40" s="2">
        <f>$E$4*AE40*攻城基础信息!AF41</f>
        <v>1182139.0791279383</v>
      </c>
      <c r="AL40" s="2">
        <f>$E$4*AF40*攻城基础信息!AG41</f>
        <v>1223592.6906596669</v>
      </c>
      <c r="AN40" s="2">
        <v>37</v>
      </c>
      <c r="AO40" s="2">
        <f>求节点(节奏总纲!D$4:D$163,AH$4:AH$163,$AN40)*其他调用!H41*其他调用!$M41</f>
        <v>87309902.064762592</v>
      </c>
      <c r="AP40" s="2">
        <f>求节点(节奏总纲!E$4:E$163,AI$4:AI$163,$AN40)*其他调用!I41*其他调用!$M41</f>
        <v>78870529.005050182</v>
      </c>
      <c r="AQ40" s="2">
        <f>求节点(节奏总纲!F$4:F$163,AJ$4:AJ$163,$AN40)*其他调用!J41*其他调用!$M41</f>
        <v>8266504.635259022</v>
      </c>
      <c r="AR40" s="2">
        <f>求节点(节奏总纲!G$4:G$163,AK$4:AK$163,$AN40)*其他调用!K41*其他调用!$M41</f>
        <v>1813395.277318435</v>
      </c>
      <c r="AS40" s="2">
        <f>求节点(节奏总纲!H$4:H$163,AL$4:AL$163,$AN40)*其他调用!L41*其他调用!$M41</f>
        <v>662490.22120838368</v>
      </c>
      <c r="AT40" s="2">
        <f t="shared" si="0"/>
        <v>176922821.20359865</v>
      </c>
      <c r="AY40" s="2">
        <v>37</v>
      </c>
      <c r="AZ40" s="2">
        <f>其他调用!R41*6*(其他调用!AH$2*$AZ$1*MIN(其他调用!$AJ41/其他调用!AH41,1)+$E$4*0%*攻城基础信息!AC41)</f>
        <v>4930.8248924063664</v>
      </c>
      <c r="BA40" s="2">
        <f>其他调用!S41*6*(其他调用!AI$2*$AZ$1*MIN(其他调用!$AJ41/其他调用!AI41,1)+$E$4*0%*攻城基础信息!AD41)</f>
        <v>14980.123289192114</v>
      </c>
      <c r="BB40" s="2">
        <f>其他调用!T41*6*(其他调用!AJ$2*$AZ$1*MIN(其他调用!$AJ41/其他调用!AJ41,1)+$E$4*0%*攻城基础信息!AE41)</f>
        <v>45580.967562541693</v>
      </c>
      <c r="BC40" s="2">
        <f>其他调用!U41*6*(其他调用!AK$2*$AZ$1*MIN(其他调用!$AJ41/其他调用!AK41,1)+$E$4*0%*攻城基础信息!AF41)</f>
        <v>20754.728091944697</v>
      </c>
      <c r="BD40" s="2">
        <f>其他调用!V41*6*(其他调用!AL$2*$AZ$1*MIN(其他调用!$AJ41/其他调用!AL41,1)+$E$4*0%*攻城基础信息!AG41)</f>
        <v>6196.3189990758656</v>
      </c>
      <c r="BF40" s="2">
        <v>37</v>
      </c>
      <c r="BG40" s="2">
        <f>求节点(节奏总纲!D$4:D$163,AZ$4:AZ$163,$AN40)</f>
        <v>6121.8422328687893</v>
      </c>
      <c r="BH40" s="2">
        <f>求节点(节奏总纲!E$4:E$163,BA$4:BA$163,$AN40)</f>
        <v>19003.621122676162</v>
      </c>
      <c r="BI40" s="2">
        <f>求节点(节奏总纲!F$4:F$163,BB$4:BB$163,$AN40)</f>
        <v>59566.557701867721</v>
      </c>
      <c r="BJ40" s="2">
        <f>求节点(节奏总纲!G$4:G$163,BC$4:BC$163,$AN40)</f>
        <v>27061.599463233859</v>
      </c>
      <c r="BK40" s="2">
        <f>求节点(节奏总纲!H$4:H$163,BD$4:BD$163,$AN40)</f>
        <v>9020.3724562434345</v>
      </c>
      <c r="BL40" s="2">
        <f>BG40*其他调用!H41*其他调用!$M41</f>
        <v>290005.17905931512</v>
      </c>
      <c r="BM40" s="2">
        <f>BH40*其他调用!I41*其他调用!$M41</f>
        <v>724014.12473603687</v>
      </c>
      <c r="BN40" s="2">
        <f>BI40*其他调用!J41*其他调用!$M41</f>
        <v>199695.51025389991</v>
      </c>
      <c r="BO40" s="2">
        <f>BJ40*其他调用!K41*其他调用!$M41</f>
        <v>14393.70673483939</v>
      </c>
      <c r="BP40" s="2">
        <f>BK40*其他调用!L41*其他调用!$M41</f>
        <v>1216.6644409931896</v>
      </c>
      <c r="BQ40" s="2">
        <f t="shared" si="1"/>
        <v>1229325.1852250844</v>
      </c>
      <c r="BR40" s="2">
        <f>[1]服务器生态!$R39</f>
        <v>4.9799281177939345E-2</v>
      </c>
      <c r="BS40" s="2" t="e">
        <f>SUMPRODUCT((BG$4:BG40)*($BR$4:$BR40)*(其他调用!#REF!))</f>
        <v>#REF!</v>
      </c>
      <c r="BT40" s="2" t="e">
        <f>SUMPRODUCT((BH$4:BH40)*($BR$4:$BR40)*(其他调用!#REF!))</f>
        <v>#REF!</v>
      </c>
      <c r="BU40" s="2" t="e">
        <f>SUMPRODUCT((BI$4:BI40)*($BR$4:$BR40)*(其他调用!#REF!))</f>
        <v>#REF!</v>
      </c>
      <c r="BV40" s="2" t="e">
        <f>SUMPRODUCT((BJ$4:BJ40)*($BR$4:$BR40)*(其他调用!#REF!))</f>
        <v>#REF!</v>
      </c>
      <c r="BW40" s="2" t="e">
        <f>SUMPRODUCT((BK$4:BK40)*($BR$4:$BR40)*(其他调用!#REF!))</f>
        <v>#REF!</v>
      </c>
      <c r="BX40" s="2" t="e">
        <f>SUMPRODUCT((BG$4:BG40)*($BR$4:$BR40))*'[1]功能-战损相关'!$D$2-BS40</f>
        <v>#REF!</v>
      </c>
      <c r="BY40" s="2" t="e">
        <f>SUMPRODUCT((BH$4:BH40)*($BR$4:$BR40))*'[1]功能-战损相关'!$D$2-BT40</f>
        <v>#REF!</v>
      </c>
      <c r="BZ40" s="2" t="e">
        <f>SUMPRODUCT((BI$4:BI40)*($BR$4:$BR40))*'[1]功能-战损相关'!$D$2-BU40</f>
        <v>#REF!</v>
      </c>
      <c r="CA40" s="2" t="e">
        <f>SUMPRODUCT((BJ$4:BJ40)*($BR$4:$BR40))*'[1]功能-战损相关'!$D$2-BV40</f>
        <v>#REF!</v>
      </c>
      <c r="CB40" s="2" t="e">
        <f>SUMPRODUCT((BK$4:BK40)*($BR$4:$BR40))*'[1]功能-战损相关'!$D$2-BW40</f>
        <v>#REF!</v>
      </c>
      <c r="CD40" s="2">
        <v>37</v>
      </c>
      <c r="CE40" s="7">
        <v>1</v>
      </c>
      <c r="CF40" s="2" t="e">
        <f>求节点(节奏总纲!R$4:R$363,BS$4:BS$363,$CD40)*$CE40</f>
        <v>#VALUE!</v>
      </c>
      <c r="CG40" s="2" t="e">
        <f>求节点(节奏总纲!S$4:S$363,BT$4:BT$363,$CD40)*$CE40</f>
        <v>#VALUE!</v>
      </c>
      <c r="CH40" s="2" t="e">
        <f>求节点(节奏总纲!T$4:T$363,BU$4:BU$363,$CD40)*$CE40</f>
        <v>#VALUE!</v>
      </c>
      <c r="CI40" s="2" t="e">
        <f>求节点(节奏总纲!U$4:U$363,BV$4:BV$363,$CD40)*$CE40</f>
        <v>#VALUE!</v>
      </c>
      <c r="CJ40" s="2" t="e">
        <f>求节点(节奏总纲!V$4:V$363,BW$4:BW$363,$CD40)*$CE40</f>
        <v>#VALUE!</v>
      </c>
      <c r="CK40" s="2" t="e">
        <f>求节点(节奏总纲!R$4:R$363,BX$4:BX$363,$CD40)*$CE40</f>
        <v>#VALUE!</v>
      </c>
      <c r="CL40" s="2" t="e">
        <f>求节点(节奏总纲!S$4:S$363,BY$4:BY$363,$CD40)*$CE40</f>
        <v>#VALUE!</v>
      </c>
      <c r="CM40" s="2" t="e">
        <f>求节点(节奏总纲!T$4:T$363,BZ$4:BZ$363,$CD40)*$CE40</f>
        <v>#VALUE!</v>
      </c>
      <c r="CN40" s="2" t="e">
        <f>求节点(节奏总纲!U$4:U$363,CA$4:CA$363,$CD40)*$CE40</f>
        <v>#VALUE!</v>
      </c>
      <c r="CO40" s="2" t="e">
        <f>求节点(节奏总纲!V$4:V$363,CB$4:CB$363,$CD40)*$CE40</f>
        <v>#VALUE!</v>
      </c>
    </row>
    <row r="41" spans="2:93" x14ac:dyDescent="0.15">
      <c r="D41" s="2" t="s">
        <v>273</v>
      </c>
      <c r="E41" s="2">
        <v>0.5</v>
      </c>
      <c r="P41" s="7">
        <v>3.5</v>
      </c>
      <c r="Q41" s="2">
        <f t="shared" si="10"/>
        <v>7</v>
      </c>
      <c r="R41" s="2">
        <f t="shared" si="11"/>
        <v>285</v>
      </c>
      <c r="S41" s="22">
        <f>ROUND(INDEX(其他调用!$AM$5:$AM$364,$R41,1)/INDEX(其他调用!AH$5:AH$364,$R41,1)*$P41,-1)</f>
        <v>340</v>
      </c>
      <c r="T41" s="22">
        <f>ROUND(INDEX(其他调用!$AM$5:$AM$364,$R41,1)/INDEX(其他调用!AI$5:AI$364,$R41,1)*$P41,-1)</f>
        <v>200</v>
      </c>
      <c r="U41" s="22">
        <f>ROUND(INDEX(其他调用!$AM$5:$AM$364,$R41,1)/INDEX(其他调用!AJ$5:AJ$364,$R41,1)*$P41,-1)</f>
        <v>110</v>
      </c>
      <c r="V41" s="22">
        <f>ROUND(INDEX(其他调用!$AM$5:$AM$364,$R41,1)/INDEX(其他调用!AK$5:AK$364,$R41,1)*$P41,-1)</f>
        <v>40</v>
      </c>
      <c r="W41" s="22">
        <f>ROUND(INDEX(其他调用!$AM$5:$AM$364,$R41,1)/INDEX(其他调用!AL$5:AL$364,$R41,1)*$P41,-1)</f>
        <v>20</v>
      </c>
      <c r="AA41" s="2">
        <v>38</v>
      </c>
      <c r="AB41" s="2">
        <f>攻城基础信息!X42*$E$12</f>
        <v>66517.555616608472</v>
      </c>
      <c r="AC41" s="2">
        <f>攻城基础信息!Y42*$E$12</f>
        <v>69966.480209762798</v>
      </c>
      <c r="AD41" s="2">
        <f>攻城基础信息!Z42*$E$12</f>
        <v>74339.625058864593</v>
      </c>
      <c r="AE41" s="2">
        <f>攻城基础信息!AA42*$E$12</f>
        <v>84196.309423772589</v>
      </c>
      <c r="AF41" s="2">
        <f>攻城基础信息!AB42*$E$12</f>
        <v>87160.930662944069</v>
      </c>
      <c r="AH41" s="2">
        <f>$E$4*AB41*攻城基础信息!AC42</f>
        <v>977808.06756414578</v>
      </c>
      <c r="AI41" s="2">
        <f>$E$4*AC41*攻城基础信息!AD42</f>
        <v>1028507.2590835145</v>
      </c>
      <c r="AJ41" s="2">
        <f>$E$4*AD41*攻城基础信息!AE42</f>
        <v>1092792.4883653109</v>
      </c>
      <c r="AK41" s="2">
        <f>$E$4*AE41*攻城基础信息!AF42</f>
        <v>1237685.7485294587</v>
      </c>
      <c r="AL41" s="2">
        <f>$E$4*AF41*攻城基础信息!AG42</f>
        <v>1281265.6807452794</v>
      </c>
      <c r="AN41" s="2">
        <v>38</v>
      </c>
      <c r="AO41" s="2">
        <f>求节点(节奏总纲!D$4:D$163,AH$4:AH$163,$AN41)*其他调用!H42*其他调用!$M42</f>
        <v>88857575.44607681</v>
      </c>
      <c r="AP41" s="2">
        <f>求节点(节奏总纲!E$4:E$163,AI$4:AI$163,$AN41)*其他调用!I42*其他调用!$M42</f>
        <v>80663604.750245348</v>
      </c>
      <c r="AQ41" s="2">
        <f>求节点(节奏总纲!F$4:F$163,AJ$4:AJ$163,$AN41)*其他调用!J42*其他调用!$M42</f>
        <v>8433862.4702310823</v>
      </c>
      <c r="AR41" s="2">
        <f>求节点(节奏总纲!G$4:G$163,AK$4:AK$163,$AN41)*其他调用!K42*其他调用!$M42</f>
        <v>1857898.7951399717</v>
      </c>
      <c r="AS41" s="2">
        <f>求节点(节奏总纲!H$4:H$163,AL$4:AL$163,$AN41)*其他调用!L42*其他调用!$M42</f>
        <v>678584.04693409509</v>
      </c>
      <c r="AT41" s="2">
        <f t="shared" si="0"/>
        <v>180491525.5086273</v>
      </c>
      <c r="AY41" s="2">
        <v>38</v>
      </c>
      <c r="AZ41" s="2">
        <f>其他调用!R42*6*(其他调用!AH$2*$AZ$1*MIN(其他调用!$AJ42/其他调用!AH42,1)+$E$4*0%*攻城基础信息!AC42)</f>
        <v>5008.0668991716275</v>
      </c>
      <c r="BA41" s="2">
        <f>其他调用!S42*6*(其他调用!AI$2*$AZ$1*MIN(其他调用!$AJ42/其他调用!AI42,1)+$E$4*0%*攻城基础信息!AD42)</f>
        <v>15213.07872286145</v>
      </c>
      <c r="BB41" s="2">
        <f>其他调用!T42*6*(其他调用!AJ$2*$AZ$1*MIN(其他调用!$AJ42/其他调用!AJ42,1)+$E$4*0%*攻城基础信息!AE42)</f>
        <v>46254.490841780556</v>
      </c>
      <c r="BC41" s="2">
        <f>其他调用!U42*6*(其他调用!AK$2*$AZ$1*MIN(其他调用!$AJ42/其他调用!AK42,1)+$E$4*0%*攻城基础信息!AF42)</f>
        <v>20520.496543571531</v>
      </c>
      <c r="BD41" s="2">
        <f>其他调用!V42*6*(其他调用!AL$2*$AZ$1*MIN(其他调用!$AJ42/其他调用!AL42,1)+$E$4*0%*攻城基础信息!AG42)</f>
        <v>6164.1111218972865</v>
      </c>
      <c r="BF41" s="2">
        <v>38</v>
      </c>
      <c r="BG41" s="2">
        <f>求节点(节奏总纲!D$4:D$163,AZ$4:AZ$163,$AN41)</f>
        <v>6151.406014107376</v>
      </c>
      <c r="BH41" s="2">
        <f>求节点(节奏总纲!E$4:E$163,BA$4:BA$163,$AN41)</f>
        <v>19090.91077890166</v>
      </c>
      <c r="BI41" s="2">
        <f>求节点(节奏总纲!F$4:F$163,BB$4:BB$163,$AN41)</f>
        <v>59836.401893173592</v>
      </c>
      <c r="BJ41" s="2">
        <f>求节点(节奏总纲!G$4:G$163,BC$4:BC$163,$AN41)</f>
        <v>27209.625488864873</v>
      </c>
      <c r="BK41" s="2">
        <f>求节点(节奏总纲!H$4:H$163,BD$4:BD$163,$AN41)</f>
        <v>9057.7681414293802</v>
      </c>
      <c r="BL41" s="2">
        <f>BG41*其他调用!H42*其他调用!$M42</f>
        <v>291881.59463885077</v>
      </c>
      <c r="BM41" s="2">
        <f>BH41*其他调用!I42*其他调用!$M42</f>
        <v>731729.12403895683</v>
      </c>
      <c r="BN41" s="2">
        <f>BI41*其他调用!J42*其他调用!$M42</f>
        <v>201466.30014484387</v>
      </c>
      <c r="BO41" s="2">
        <f>BJ41*其他调用!K42*其他调用!$M42</f>
        <v>14572.603451821935</v>
      </c>
      <c r="BP41" s="2">
        <f>BK41*其他调用!L42*其他调用!$M42</f>
        <v>1233.979750169384</v>
      </c>
      <c r="BQ41" s="2">
        <f t="shared" si="1"/>
        <v>1240883.6020246428</v>
      </c>
      <c r="BR41" s="2">
        <f>[1]服务器生态!$R40</f>
        <v>4.7144401972964413E-2</v>
      </c>
      <c r="BS41" s="2" t="e">
        <f>SUMPRODUCT((BG$4:BG41)*($BR$4:$BR41)*(其他调用!#REF!))</f>
        <v>#REF!</v>
      </c>
      <c r="BT41" s="2" t="e">
        <f>SUMPRODUCT((BH$4:BH41)*($BR$4:$BR41)*(其他调用!#REF!))</f>
        <v>#REF!</v>
      </c>
      <c r="BU41" s="2" t="e">
        <f>SUMPRODUCT((BI$4:BI41)*($BR$4:$BR41)*(其他调用!#REF!))</f>
        <v>#REF!</v>
      </c>
      <c r="BV41" s="2" t="e">
        <f>SUMPRODUCT((BJ$4:BJ41)*($BR$4:$BR41)*(其他调用!#REF!))</f>
        <v>#REF!</v>
      </c>
      <c r="BW41" s="2" t="e">
        <f>SUMPRODUCT((BK$4:BK41)*($BR$4:$BR41)*(其他调用!#REF!))</f>
        <v>#REF!</v>
      </c>
      <c r="BX41" s="2" t="e">
        <f>SUMPRODUCT((BG$4:BG41)*($BR$4:$BR41))*'[1]功能-战损相关'!$D$2-BS41</f>
        <v>#REF!</v>
      </c>
      <c r="BY41" s="2" t="e">
        <f>SUMPRODUCT((BH$4:BH41)*($BR$4:$BR41))*'[1]功能-战损相关'!$D$2-BT41</f>
        <v>#REF!</v>
      </c>
      <c r="BZ41" s="2" t="e">
        <f>SUMPRODUCT((BI$4:BI41)*($BR$4:$BR41))*'[1]功能-战损相关'!$D$2-BU41</f>
        <v>#REF!</v>
      </c>
      <c r="CA41" s="2" t="e">
        <f>SUMPRODUCT((BJ$4:BJ41)*($BR$4:$BR41))*'[1]功能-战损相关'!$D$2-BV41</f>
        <v>#REF!</v>
      </c>
      <c r="CB41" s="2" t="e">
        <f>SUMPRODUCT((BK$4:BK41)*($BR$4:$BR41))*'[1]功能-战损相关'!$D$2-BW41</f>
        <v>#REF!</v>
      </c>
      <c r="CD41" s="2">
        <v>38</v>
      </c>
      <c r="CE41" s="7">
        <v>1</v>
      </c>
      <c r="CF41" s="2" t="e">
        <f>求节点(节奏总纲!R$4:R$363,BS$4:BS$363,$CD41)*$CE41</f>
        <v>#VALUE!</v>
      </c>
      <c r="CG41" s="2" t="e">
        <f>求节点(节奏总纲!S$4:S$363,BT$4:BT$363,$CD41)*$CE41</f>
        <v>#VALUE!</v>
      </c>
      <c r="CH41" s="2" t="e">
        <f>求节点(节奏总纲!T$4:T$363,BU$4:BU$363,$CD41)*$CE41</f>
        <v>#VALUE!</v>
      </c>
      <c r="CI41" s="2" t="e">
        <f>求节点(节奏总纲!U$4:U$363,BV$4:BV$363,$CD41)*$CE41</f>
        <v>#VALUE!</v>
      </c>
      <c r="CJ41" s="2" t="e">
        <f>求节点(节奏总纲!V$4:V$363,BW$4:BW$363,$CD41)*$CE41</f>
        <v>#VALUE!</v>
      </c>
      <c r="CK41" s="2" t="e">
        <f>求节点(节奏总纲!R$4:R$363,BX$4:BX$363,$CD41)*$CE41</f>
        <v>#VALUE!</v>
      </c>
      <c r="CL41" s="2" t="e">
        <f>求节点(节奏总纲!S$4:S$363,BY$4:BY$363,$CD41)*$CE41</f>
        <v>#VALUE!</v>
      </c>
      <c r="CM41" s="2" t="e">
        <f>求节点(节奏总纲!T$4:T$363,BZ$4:BZ$363,$CD41)*$CE41</f>
        <v>#VALUE!</v>
      </c>
      <c r="CN41" s="2" t="e">
        <f>求节点(节奏总纲!U$4:U$363,CA$4:CA$363,$CD41)*$CE41</f>
        <v>#VALUE!</v>
      </c>
      <c r="CO41" s="2" t="e">
        <f>求节点(节奏总纲!V$4:V$363,CB$4:CB$363,$CD41)*$CE41</f>
        <v>#VALUE!</v>
      </c>
    </row>
    <row r="42" spans="2:93" x14ac:dyDescent="0.15">
      <c r="D42" s="2" t="s">
        <v>274</v>
      </c>
      <c r="E42" s="2">
        <v>1</v>
      </c>
      <c r="AA42" s="2">
        <v>39</v>
      </c>
      <c r="AB42" s="2">
        <f>攻城基础信息!X43*$E$12</f>
        <v>69049.054777058744</v>
      </c>
      <c r="AC42" s="2">
        <f>攻城基础信息!Y43*$E$12</f>
        <v>72279.591420057593</v>
      </c>
      <c r="AD42" s="2">
        <f>攻城基础信息!Z43*$E$12</f>
        <v>76566.095794084031</v>
      </c>
      <c r="AE42" s="2">
        <f>攻城基础信息!AA43*$E$12</f>
        <v>86745.032136096823</v>
      </c>
      <c r="AF42" s="2">
        <f>攻城基础信息!AB43*$E$12</f>
        <v>89809.950467065428</v>
      </c>
      <c r="AH42" s="2">
        <f>$E$4*AB42*攻城基础信息!AC43</f>
        <v>1031132.5513374117</v>
      </c>
      <c r="AI42" s="2">
        <f>$E$4*AC42*攻城基础信息!AD43</f>
        <v>1079375.2318728615</v>
      </c>
      <c r="AJ42" s="2">
        <f>$E$4*AD42*攻城基础信息!AE43</f>
        <v>1143387.0305249896</v>
      </c>
      <c r="AK42" s="2">
        <f>$E$4*AE42*攻城基础信息!AF43</f>
        <v>1295392.4798990474</v>
      </c>
      <c r="AL42" s="2">
        <f>$E$4*AF42*攻城基础信息!AG43</f>
        <v>1341161.9269748454</v>
      </c>
      <c r="AN42" s="2">
        <v>39</v>
      </c>
      <c r="AO42" s="2">
        <f>求节点(节奏总纲!D$4:D$163,AH$4:AH$163,$AN42)*其他调用!H43*其他调用!$M43</f>
        <v>90384793.916013539</v>
      </c>
      <c r="AP42" s="2">
        <f>求节点(节奏总纲!E$4:E$163,AI$4:AI$163,$AN42)*其他调用!I43*其他调用!$M43</f>
        <v>82448834.06123735</v>
      </c>
      <c r="AQ42" s="2">
        <f>求节点(节奏总纲!F$4:F$163,AJ$4:AJ$163,$AN42)*其他调用!J43*其他调用!$M43</f>
        <v>8600537.9805464037</v>
      </c>
      <c r="AR42" s="2">
        <f>求节点(节奏总纲!G$4:G$163,AK$4:AK$163,$AN42)*其他调用!K43*其他调用!$M43</f>
        <v>1901584.2170533461</v>
      </c>
      <c r="AS42" s="2">
        <f>求节点(节奏总纲!H$4:H$163,AL$4:AL$163,$AN42)*其他调用!L43*其他调用!$M43</f>
        <v>694780.62476169725</v>
      </c>
      <c r="AT42" s="2">
        <f t="shared" si="0"/>
        <v>184030530.79961234</v>
      </c>
      <c r="AY42" s="2">
        <v>39</v>
      </c>
      <c r="AZ42" s="2">
        <f>其他调用!R43*6*(其他调用!AH$2*$AZ$1*MIN(其他调用!$AJ43/其他调用!AH43,1)+$E$4*0%*攻城基础信息!AC43)</f>
        <v>5085.1276593685752</v>
      </c>
      <c r="BA42" s="2">
        <f>其他调用!S43*6*(其他调用!AI$2*$AZ$1*MIN(其他调用!$AJ43/其他调用!AI43,1)+$E$4*0%*攻城基础信息!AD43)</f>
        <v>15442.949990035922</v>
      </c>
      <c r="BB42" s="2">
        <f>其他调用!T43*6*(其他调用!AJ$2*$AZ$1*MIN(其他调用!$AJ43/其他调用!AJ43,1)+$E$4*0%*攻城基础信息!AE43)</f>
        <v>46943.287358687274</v>
      </c>
      <c r="BC42" s="2">
        <f>其他调用!U43*6*(其他调用!AK$2*$AZ$1*MIN(其他调用!$AJ43/其他调用!AK43,1)+$E$4*0%*攻城基础信息!AF43)</f>
        <v>20270.454078393992</v>
      </c>
      <c r="BD42" s="2">
        <f>其他调用!V43*6*(其他调用!AL$2*$AZ$1*MIN(其他调用!$AJ43/其他调用!AL43,1)+$E$4*0%*攻城基础信息!AG43)</f>
        <v>6141.8621561452073</v>
      </c>
      <c r="BF42" s="2">
        <v>39</v>
      </c>
      <c r="BG42" s="2">
        <f>求节点(节奏总纲!D$4:D$163,AZ$4:AZ$163,$AN42)</f>
        <v>6179.3285202720854</v>
      </c>
      <c r="BH42" s="2">
        <f>求节点(节奏总纲!E$4:E$163,BA$4:BA$163,$AN42)</f>
        <v>19175.871179980768</v>
      </c>
      <c r="BI42" s="2">
        <f>求节点(节奏总纲!F$4:F$163,BB$4:BB$163,$AN42)</f>
        <v>60104.737179262622</v>
      </c>
      <c r="BJ42" s="2">
        <f>求节点(节奏总纲!G$4:G$163,BC$4:BC$163,$AN42)</f>
        <v>27347.560728455421</v>
      </c>
      <c r="BK42" s="2">
        <f>求节点(节奏总纲!H$4:H$163,BD$4:BD$163,$AN42)</f>
        <v>9095.1638266153259</v>
      </c>
      <c r="BL42" s="2">
        <f>BG42*其他调用!H43*其他调用!$M43</f>
        <v>293630.96865170763</v>
      </c>
      <c r="BM42" s="2">
        <f>BH42*其他调用!I43*其他调用!$M43</f>
        <v>739282.96652425977</v>
      </c>
      <c r="BN42" s="2">
        <f>BI42*其他调用!J43*其他调用!$M43</f>
        <v>203206.65063895332</v>
      </c>
      <c r="BO42" s="2">
        <f>BJ42*其他调用!K43*其他调用!$M43</f>
        <v>14745.018363275511</v>
      </c>
      <c r="BP42" s="2">
        <f>BK42*其他调用!L43*其他调用!$M43</f>
        <v>1251.2433245435209</v>
      </c>
      <c r="BQ42" s="2">
        <f t="shared" si="1"/>
        <v>1252116.8475027399</v>
      </c>
      <c r="BR42" s="2">
        <f>[1]服务器生态!$R41</f>
        <v>4.6021916211703359E-2</v>
      </c>
      <c r="BS42" s="2" t="e">
        <f>SUMPRODUCT((BG$4:BG42)*($BR$4:$BR42)*(其他调用!#REF!))</f>
        <v>#REF!</v>
      </c>
      <c r="BT42" s="2" t="e">
        <f>SUMPRODUCT((BH$4:BH42)*($BR$4:$BR42)*(其他调用!#REF!))</f>
        <v>#REF!</v>
      </c>
      <c r="BU42" s="2" t="e">
        <f>SUMPRODUCT((BI$4:BI42)*($BR$4:$BR42)*(其他调用!#REF!))</f>
        <v>#REF!</v>
      </c>
      <c r="BV42" s="2" t="e">
        <f>SUMPRODUCT((BJ$4:BJ42)*($BR$4:$BR42)*(其他调用!#REF!))</f>
        <v>#REF!</v>
      </c>
      <c r="BW42" s="2" t="e">
        <f>SUMPRODUCT((BK$4:BK42)*($BR$4:$BR42)*(其他调用!#REF!))</f>
        <v>#REF!</v>
      </c>
      <c r="BX42" s="2" t="e">
        <f>SUMPRODUCT((BG$4:BG42)*($BR$4:$BR42))*'[1]功能-战损相关'!$D$2-BS42</f>
        <v>#REF!</v>
      </c>
      <c r="BY42" s="2" t="e">
        <f>SUMPRODUCT((BH$4:BH42)*($BR$4:$BR42))*'[1]功能-战损相关'!$D$2-BT42</f>
        <v>#REF!</v>
      </c>
      <c r="BZ42" s="2" t="e">
        <f>SUMPRODUCT((BI$4:BI42)*($BR$4:$BR42))*'[1]功能-战损相关'!$D$2-BU42</f>
        <v>#REF!</v>
      </c>
      <c r="CA42" s="2" t="e">
        <f>SUMPRODUCT((BJ$4:BJ42)*($BR$4:$BR42))*'[1]功能-战损相关'!$D$2-BV42</f>
        <v>#REF!</v>
      </c>
      <c r="CB42" s="2" t="e">
        <f>SUMPRODUCT((BK$4:BK42)*($BR$4:$BR42))*'[1]功能-战损相关'!$D$2-BW42</f>
        <v>#REF!</v>
      </c>
      <c r="CD42" s="2">
        <v>39</v>
      </c>
      <c r="CE42" s="7">
        <v>1</v>
      </c>
      <c r="CF42" s="2" t="e">
        <f>求节点(节奏总纲!R$4:R$363,BS$4:BS$363,$CD42)*$CE42</f>
        <v>#VALUE!</v>
      </c>
      <c r="CG42" s="2" t="e">
        <f>求节点(节奏总纲!S$4:S$363,BT$4:BT$363,$CD42)*$CE42</f>
        <v>#VALUE!</v>
      </c>
      <c r="CH42" s="2" t="e">
        <f>求节点(节奏总纲!T$4:T$363,BU$4:BU$363,$CD42)*$CE42</f>
        <v>#VALUE!</v>
      </c>
      <c r="CI42" s="2" t="e">
        <f>求节点(节奏总纲!U$4:U$363,BV$4:BV$363,$CD42)*$CE42</f>
        <v>#VALUE!</v>
      </c>
      <c r="CJ42" s="2" t="e">
        <f>求节点(节奏总纲!V$4:V$363,BW$4:BW$363,$CD42)*$CE42</f>
        <v>#VALUE!</v>
      </c>
      <c r="CK42" s="2" t="e">
        <f>求节点(节奏总纲!R$4:R$363,BX$4:BX$363,$CD42)*$CE42</f>
        <v>#VALUE!</v>
      </c>
      <c r="CL42" s="2" t="e">
        <f>求节点(节奏总纲!S$4:S$363,BY$4:BY$363,$CD42)*$CE42</f>
        <v>#VALUE!</v>
      </c>
      <c r="CM42" s="2" t="e">
        <f>求节点(节奏总纲!T$4:T$363,BZ$4:BZ$363,$CD42)*$CE42</f>
        <v>#VALUE!</v>
      </c>
      <c r="CN42" s="2" t="e">
        <f>求节点(节奏总纲!U$4:U$363,CA$4:CA$363,$CD42)*$CE42</f>
        <v>#VALUE!</v>
      </c>
      <c r="CO42" s="2" t="e">
        <f>求节点(节奏总纲!V$4:V$363,CB$4:CB$363,$CD42)*$CE42</f>
        <v>#VALUE!</v>
      </c>
    </row>
    <row r="43" spans="2:93" x14ac:dyDescent="0.15">
      <c r="D43" s="2" t="s">
        <v>275</v>
      </c>
      <c r="E43" s="2">
        <v>1</v>
      </c>
      <c r="AA43" s="2">
        <v>40</v>
      </c>
      <c r="AB43" s="2">
        <f>攻城基础信息!X44*$E$12</f>
        <v>71654.916117485875</v>
      </c>
      <c r="AC43" s="2">
        <f>攻城基础信息!Y44*$E$12</f>
        <v>74412.578931760931</v>
      </c>
      <c r="AD43" s="2">
        <f>攻城基础信息!Z44*$E$12</f>
        <v>78840.974733317868</v>
      </c>
      <c r="AE43" s="2">
        <f>攻城基础信息!AA44*$E$12</f>
        <v>89291.458709727478</v>
      </c>
      <c r="AF43" s="2">
        <f>攻城基础信息!AB44*$E$12</f>
        <v>92485.55647142278</v>
      </c>
      <c r="AH43" s="2">
        <f>$E$4*AB43*攻城基础信息!AC44</f>
        <v>1086766.2277818704</v>
      </c>
      <c r="AI43" s="2">
        <f>$E$4*AC43*攻城基础信息!AD44</f>
        <v>1128590.7804650422</v>
      </c>
      <c r="AJ43" s="2">
        <f>$E$4*AD43*攻城基础信息!AE44</f>
        <v>1195754.7834553225</v>
      </c>
      <c r="AK43" s="2">
        <f>$E$4*AE43*攻城基础信息!AF44</f>
        <v>1354253.7904308683</v>
      </c>
      <c r="AL43" s="2">
        <f>$E$4*AF43*攻城基础信息!AG44</f>
        <v>1402697.6064832471</v>
      </c>
      <c r="AN43" s="2">
        <v>40</v>
      </c>
      <c r="AO43" s="2">
        <f>求节点(节奏总纲!D$4:D$163,AH$4:AH$163,$AN43)*其他调用!H44*其他调用!$M44</f>
        <v>91889580.379466712</v>
      </c>
      <c r="AP43" s="2">
        <f>求节点(节奏总纲!E$4:E$163,AI$4:AI$163,$AN43)*其他调用!I44*其他调用!$M44</f>
        <v>84219905.171350539</v>
      </c>
      <c r="AQ43" s="2">
        <f>求节点(节奏总纲!F$4:F$163,AJ$4:AJ$163,$AN43)*其他调用!J44*其他调用!$M44</f>
        <v>8762111.5991269331</v>
      </c>
      <c r="AR43" s="2">
        <f>求节点(节奏总纲!G$4:G$163,AK$4:AK$163,$AN43)*其他调用!K44*其他调用!$M44</f>
        <v>1945315.2825068331</v>
      </c>
      <c r="AS43" s="2">
        <f>求节点(节奏总纲!H$4:H$163,AL$4:AL$163,$AN43)*其他调用!L44*其他调用!$M44</f>
        <v>711600.04077241523</v>
      </c>
      <c r="AT43" s="2">
        <f t="shared" si="0"/>
        <v>187528512.47322342</v>
      </c>
      <c r="AY43" s="2">
        <v>40</v>
      </c>
      <c r="AZ43" s="2">
        <f>其他调用!R44*6*(其他调用!AH$2*$AZ$1*MIN(其他调用!$AJ44/其他调用!AH44,1)+$E$4*0%*攻城基础信息!AC44)</f>
        <v>5163.335568332719</v>
      </c>
      <c r="BA43" s="2">
        <f>其他调用!S44*6*(其他调用!AI$2*$AZ$1*MIN(其他调用!$AJ44/其他调用!AI44,1)+$E$4*0%*攻城基础信息!AD44)</f>
        <v>15669.61567620546</v>
      </c>
      <c r="BB43" s="2">
        <f>其他调用!T44*6*(其他调用!AJ$2*$AZ$1*MIN(其他调用!$AJ44/其他调用!AJ44,1)+$E$4*0%*攻城基础信息!AE44)</f>
        <v>47639.590621803167</v>
      </c>
      <c r="BC43" s="2">
        <f>其他调用!U44*6*(其他调用!AK$2*$AZ$1*MIN(其他调用!$AJ44/其他调用!AK44,1)+$E$4*0%*攻城基础信息!AF44)</f>
        <v>20068.549023078369</v>
      </c>
      <c r="BD43" s="2">
        <f>其他调用!V44*6*(其他调用!AL$2*$AZ$1*MIN(其他调用!$AJ44/其他调用!AL44,1)+$E$4*0%*攻城基础信息!AG44)</f>
        <v>6102.8740087633223</v>
      </c>
      <c r="BF43" s="2">
        <v>40</v>
      </c>
      <c r="BG43" s="2">
        <f>求节点(节奏总纲!D$4:D$163,AZ$4:AZ$163,$AN43)</f>
        <v>6206.1721609498445</v>
      </c>
      <c r="BH43" s="2">
        <f>求节点(节奏总纲!E$4:E$163,BA$4:BA$163,$AN43)</f>
        <v>19258.176510935285</v>
      </c>
      <c r="BI43" s="2">
        <f>求节点(节奏总纲!F$4:F$163,BB$4:BB$163,$AN43)</f>
        <v>60357.142242530907</v>
      </c>
      <c r="BJ43" s="2">
        <f>求节点(节奏总纲!G$4:G$163,BC$4:BC$163,$AN43)</f>
        <v>27485.495968045969</v>
      </c>
      <c r="BK43" s="2">
        <f>求节点(节奏总纲!H$4:H$163,BD$4:BD$163,$AN43)</f>
        <v>9131.7794750552548</v>
      </c>
      <c r="BL43" s="2">
        <f>BG43*其他调用!H44*其他调用!$M44</f>
        <v>295265.81494268787</v>
      </c>
      <c r="BM43" s="2">
        <f>BH43*其他调用!I44*其他调用!$M44</f>
        <v>746625.00277055765</v>
      </c>
      <c r="BN43" s="2">
        <f>BI43*其他调用!J44*其他调用!$M44</f>
        <v>204857.68475992954</v>
      </c>
      <c r="BO43" s="2">
        <f>BJ43*其他调用!K44*其他调用!$M44</f>
        <v>14915.581293154466</v>
      </c>
      <c r="BP43" s="2">
        <f>BK43*其他调用!L44*其他调用!$M44</f>
        <v>1268.2830528521372</v>
      </c>
      <c r="BQ43" s="2">
        <f t="shared" si="1"/>
        <v>1262932.3668191817</v>
      </c>
      <c r="BR43" s="2">
        <f>[1]服务器生态!$R42</f>
        <v>4.4899430450442299E-2</v>
      </c>
      <c r="BS43" s="2" t="e">
        <f>SUMPRODUCT((BG$4:BG43)*($BR$4:$BR43)*(其他调用!#REF!))</f>
        <v>#REF!</v>
      </c>
      <c r="BT43" s="2" t="e">
        <f>SUMPRODUCT((BH$4:BH43)*($BR$4:$BR43)*(其他调用!#REF!))</f>
        <v>#REF!</v>
      </c>
      <c r="BU43" s="2" t="e">
        <f>SUMPRODUCT((BI$4:BI43)*($BR$4:$BR43)*(其他调用!#REF!))</f>
        <v>#REF!</v>
      </c>
      <c r="BV43" s="2" t="e">
        <f>SUMPRODUCT((BJ$4:BJ43)*($BR$4:$BR43)*(其他调用!#REF!))</f>
        <v>#REF!</v>
      </c>
      <c r="BW43" s="2" t="e">
        <f>SUMPRODUCT((BK$4:BK43)*($BR$4:$BR43)*(其他调用!#REF!))</f>
        <v>#REF!</v>
      </c>
      <c r="BX43" s="2" t="e">
        <f>SUMPRODUCT((BG$4:BG43)*($BR$4:$BR43))*'[1]功能-战损相关'!$D$2-BS43</f>
        <v>#REF!</v>
      </c>
      <c r="BY43" s="2" t="e">
        <f>SUMPRODUCT((BH$4:BH43)*($BR$4:$BR43))*'[1]功能-战损相关'!$D$2-BT43</f>
        <v>#REF!</v>
      </c>
      <c r="BZ43" s="2" t="e">
        <f>SUMPRODUCT((BI$4:BI43)*($BR$4:$BR43))*'[1]功能-战损相关'!$D$2-BU43</f>
        <v>#REF!</v>
      </c>
      <c r="CA43" s="2" t="e">
        <f>SUMPRODUCT((BJ$4:BJ43)*($BR$4:$BR43))*'[1]功能-战损相关'!$D$2-BV43</f>
        <v>#REF!</v>
      </c>
      <c r="CB43" s="2" t="e">
        <f>SUMPRODUCT((BK$4:BK43)*($BR$4:$BR43))*'[1]功能-战损相关'!$D$2-BW43</f>
        <v>#REF!</v>
      </c>
      <c r="CD43" s="2">
        <v>40</v>
      </c>
      <c r="CE43" s="7">
        <v>1</v>
      </c>
      <c r="CF43" s="2" t="e">
        <f>求节点(节奏总纲!R$4:R$363,BS$4:BS$363,$CD43)*$CE43</f>
        <v>#VALUE!</v>
      </c>
      <c r="CG43" s="2" t="e">
        <f>求节点(节奏总纲!S$4:S$363,BT$4:BT$363,$CD43)*$CE43</f>
        <v>#VALUE!</v>
      </c>
      <c r="CH43" s="2" t="e">
        <f>求节点(节奏总纲!T$4:T$363,BU$4:BU$363,$CD43)*$CE43</f>
        <v>#VALUE!</v>
      </c>
      <c r="CI43" s="2" t="e">
        <f>求节点(节奏总纲!U$4:U$363,BV$4:BV$363,$CD43)*$CE43</f>
        <v>#VALUE!</v>
      </c>
      <c r="CJ43" s="2" t="e">
        <f>求节点(节奏总纲!V$4:V$363,BW$4:BW$363,$CD43)*$CE43</f>
        <v>#VALUE!</v>
      </c>
      <c r="CK43" s="2" t="e">
        <f>求节点(节奏总纲!R$4:R$363,BX$4:BX$363,$CD43)*$CE43</f>
        <v>#VALUE!</v>
      </c>
      <c r="CL43" s="2" t="e">
        <f>求节点(节奏总纲!S$4:S$363,BY$4:BY$363,$CD43)*$CE43</f>
        <v>#VALUE!</v>
      </c>
      <c r="CM43" s="2" t="e">
        <f>求节点(节奏总纲!T$4:T$363,BZ$4:BZ$363,$CD43)*$CE43</f>
        <v>#VALUE!</v>
      </c>
      <c r="CN43" s="2" t="e">
        <f>求节点(节奏总纲!U$4:U$363,CA$4:CA$363,$CD43)*$CE43</f>
        <v>#VALUE!</v>
      </c>
      <c r="CO43" s="2" t="e">
        <f>求节点(节奏总纲!V$4:V$363,CB$4:CB$363,$CD43)*$CE43</f>
        <v>#VALUE!</v>
      </c>
    </row>
    <row r="44" spans="2:93" x14ac:dyDescent="0.15">
      <c r="D44" s="2" t="s">
        <v>276</v>
      </c>
      <c r="E44" s="2">
        <v>1</v>
      </c>
      <c r="AA44" s="2">
        <v>41</v>
      </c>
      <c r="AB44" s="2">
        <f>攻城基础信息!X45*$E$12</f>
        <v>73374.863813842996</v>
      </c>
      <c r="AC44" s="2">
        <f>攻城基础信息!Y45*$E$12</f>
        <v>76124.916883781902</v>
      </c>
      <c r="AD44" s="2">
        <f>攻城基础信息!Z45*$E$12</f>
        <v>80963.491101706473</v>
      </c>
      <c r="AE44" s="2">
        <f>攻城基础信息!AA45*$E$12</f>
        <v>91894.438309978927</v>
      </c>
      <c r="AF44" s="2">
        <f>攻城基础信息!AB45*$E$12</f>
        <v>95203.69249105487</v>
      </c>
      <c r="AH44" s="2">
        <f>$E$4*AB44*攻城基础信息!AC45</f>
        <v>1129972.9027331835</v>
      </c>
      <c r="AI44" s="2">
        <f>$E$4*AC44*攻城基础信息!AD45</f>
        <v>1172323.7200102427</v>
      </c>
      <c r="AJ44" s="2">
        <f>$E$4*AD44*攻城基础信息!AE45</f>
        <v>1246837.762966281</v>
      </c>
      <c r="AK44" s="2">
        <f>$E$4*AE44*攻城基础信息!AF45</f>
        <v>1415174.349973677</v>
      </c>
      <c r="AL44" s="2">
        <f>$E$4*AF44*攻城基础信息!AG45</f>
        <v>1466136.8643622466</v>
      </c>
      <c r="AN44" s="2">
        <v>41</v>
      </c>
      <c r="AO44" s="2">
        <f>求节点(节奏总纲!D$4:D$163,AH$4:AH$163,$AN44)*其他调用!H45*其他调用!$M45</f>
        <v>93396540.165926993</v>
      </c>
      <c r="AP44" s="2">
        <f>求节点(节奏总纲!E$4:E$163,AI$4:AI$163,$AN44)*其他调用!I45*其他调用!$M45</f>
        <v>86006888.665411249</v>
      </c>
      <c r="AQ44" s="2">
        <f>求节点(节奏总纲!F$4:F$163,AJ$4:AJ$163,$AN44)*其他调用!J45*其他调用!$M45</f>
        <v>8924719.7571106534</v>
      </c>
      <c r="AR44" s="2">
        <f>求节点(节奏总纲!G$4:G$163,AK$4:AK$163,$AN44)*其他调用!K45*其他调用!$M45</f>
        <v>1989152.9061363421</v>
      </c>
      <c r="AS44" s="2">
        <f>求节点(节奏总纲!H$4:H$163,AL$4:AL$163,$AN44)*其他调用!L45*其他调用!$M45</f>
        <v>728722.97571469436</v>
      </c>
      <c r="AT44" s="2">
        <f t="shared" si="0"/>
        <v>191046024.4702999</v>
      </c>
      <c r="AY44" s="2">
        <v>41</v>
      </c>
      <c r="AZ44" s="2">
        <f>其他调用!R45*6*(其他调用!AH$2*$AZ$1*MIN(其他调用!$AJ45/其他调用!AH45,1)+$E$4*0%*攻城基础信息!AC45)</f>
        <v>5239.2735033048493</v>
      </c>
      <c r="BA44" s="2">
        <f>其他调用!S45*6*(其他调用!AI$2*$AZ$1*MIN(其他调用!$AJ45/其他调用!AI45,1)+$E$4*0%*攻城基础信息!AD45)</f>
        <v>15906.927501750042</v>
      </c>
      <c r="BB44" s="2">
        <f>其他调用!T45*6*(其他调用!AJ$2*$AZ$1*MIN(其他调用!$AJ45/其他调用!AJ45,1)+$E$4*0%*攻城基础信息!AE45)</f>
        <v>48341.432081248582</v>
      </c>
      <c r="BC44" s="2">
        <f>其他调用!U45*6*(其他调用!AK$2*$AZ$1*MIN(其他调用!$AJ45/其他调用!AK45,1)+$E$4*0%*攻城基础信息!AF45)</f>
        <v>19875.480038963451</v>
      </c>
      <c r="BD44" s="2">
        <f>其他调用!V45*6*(其他调用!AL$2*$AZ$1*MIN(其他调用!$AJ45/其他调用!AL45,1)+$E$4*0%*攻城基础信息!AG45)</f>
        <v>6072.4704703394127</v>
      </c>
      <c r="BF44" s="2">
        <v>41</v>
      </c>
      <c r="BG44" s="2">
        <f>求节点(节奏总纲!D$4:D$163,AZ$4:AZ$163,$AN44)</f>
        <v>6233.0158016276037</v>
      </c>
      <c r="BH44" s="2">
        <f>求节点(节奏总纲!E$4:E$163,BA$4:BA$163,$AN44)</f>
        <v>19340.481841889799</v>
      </c>
      <c r="BI44" s="2">
        <f>求节点(节奏总纲!F$4:F$163,BB$4:BB$163,$AN44)</f>
        <v>60609.547305799191</v>
      </c>
      <c r="BJ44" s="2">
        <f>求节点(节奏总纲!G$4:G$163,BC$4:BC$163,$AN44)</f>
        <v>27620.167099932776</v>
      </c>
      <c r="BK44" s="2">
        <f>求节点(节奏总纲!H$4:H$163,BD$4:BD$163,$AN44)</f>
        <v>9168.2821322123218</v>
      </c>
      <c r="BL44" s="2">
        <f>BG44*其他调用!H45*其他调用!$M45</f>
        <v>296899.88848942326</v>
      </c>
      <c r="BM44" s="2">
        <f>BH44*其他调用!I45*其他调用!$M45</f>
        <v>754014.10628460988</v>
      </c>
      <c r="BN44" s="2">
        <f>BI44*其他调用!J45*其他调用!$M45</f>
        <v>206516.27157821215</v>
      </c>
      <c r="BO44" s="2">
        <f>BJ44*其他调用!K45*其他调用!$M45</f>
        <v>15085.639644659645</v>
      </c>
      <c r="BP44" s="2">
        <f>BK44*其他调用!L45*其他调用!$M45</f>
        <v>1285.4546628499809</v>
      </c>
      <c r="BQ44" s="2">
        <f t="shared" si="1"/>
        <v>1273801.3606597546</v>
      </c>
      <c r="BR44" s="2">
        <f>[1]服务器生态!$R43</f>
        <v>4.3776944689181238E-2</v>
      </c>
      <c r="BS44" s="2" t="e">
        <f>SUMPRODUCT((BG$4:BG44)*($BR$4:$BR44)*(其他调用!#REF!))</f>
        <v>#REF!</v>
      </c>
      <c r="BT44" s="2" t="e">
        <f>SUMPRODUCT((BH$4:BH44)*($BR$4:$BR44)*(其他调用!#REF!))</f>
        <v>#REF!</v>
      </c>
      <c r="BU44" s="2" t="e">
        <f>SUMPRODUCT((BI$4:BI44)*($BR$4:$BR44)*(其他调用!#REF!))</f>
        <v>#REF!</v>
      </c>
      <c r="BV44" s="2" t="e">
        <f>SUMPRODUCT((BJ$4:BJ44)*($BR$4:$BR44)*(其他调用!#REF!))</f>
        <v>#REF!</v>
      </c>
      <c r="BW44" s="2" t="e">
        <f>SUMPRODUCT((BK$4:BK44)*($BR$4:$BR44)*(其他调用!#REF!))</f>
        <v>#REF!</v>
      </c>
      <c r="BX44" s="2" t="e">
        <f>SUMPRODUCT((BG$4:BG44)*($BR$4:$BR44))*'[1]功能-战损相关'!$D$2-BS44</f>
        <v>#REF!</v>
      </c>
      <c r="BY44" s="2" t="e">
        <f>SUMPRODUCT((BH$4:BH44)*($BR$4:$BR44))*'[1]功能-战损相关'!$D$2-BT44</f>
        <v>#REF!</v>
      </c>
      <c r="BZ44" s="2" t="e">
        <f>SUMPRODUCT((BI$4:BI44)*($BR$4:$BR44))*'[1]功能-战损相关'!$D$2-BU44</f>
        <v>#REF!</v>
      </c>
      <c r="CA44" s="2" t="e">
        <f>SUMPRODUCT((BJ$4:BJ44)*($BR$4:$BR44))*'[1]功能-战损相关'!$D$2-BV44</f>
        <v>#REF!</v>
      </c>
      <c r="CB44" s="2" t="e">
        <f>SUMPRODUCT((BK$4:BK44)*($BR$4:$BR44))*'[1]功能-战损相关'!$D$2-BW44</f>
        <v>#REF!</v>
      </c>
      <c r="CD44" s="2">
        <v>41</v>
      </c>
      <c r="CE44" s="7">
        <v>1</v>
      </c>
      <c r="CF44" s="2" t="e">
        <f>求节点(节奏总纲!R$4:R$363,BS$4:BS$363,$CD44)*$CE44</f>
        <v>#VALUE!</v>
      </c>
      <c r="CG44" s="2" t="e">
        <f>求节点(节奏总纲!S$4:S$363,BT$4:BT$363,$CD44)*$CE44</f>
        <v>#VALUE!</v>
      </c>
      <c r="CH44" s="2" t="e">
        <f>求节点(节奏总纲!T$4:T$363,BU$4:BU$363,$CD44)*$CE44</f>
        <v>#VALUE!</v>
      </c>
      <c r="CI44" s="2" t="e">
        <f>求节点(节奏总纲!U$4:U$363,BV$4:BV$363,$CD44)*$CE44</f>
        <v>#VALUE!</v>
      </c>
      <c r="CJ44" s="2" t="e">
        <f>求节点(节奏总纲!V$4:V$363,BW$4:BW$363,$CD44)*$CE44</f>
        <v>#VALUE!</v>
      </c>
      <c r="CK44" s="2" t="e">
        <f>求节点(节奏总纲!R$4:R$363,BX$4:BX$363,$CD44)*$CE44</f>
        <v>#VALUE!</v>
      </c>
      <c r="CL44" s="2" t="e">
        <f>求节点(节奏总纲!S$4:S$363,BY$4:BY$363,$CD44)*$CE44</f>
        <v>#VALUE!</v>
      </c>
      <c r="CM44" s="2" t="e">
        <f>求节点(节奏总纲!T$4:T$363,BZ$4:BZ$363,$CD44)*$CE44</f>
        <v>#VALUE!</v>
      </c>
      <c r="CN44" s="2" t="e">
        <f>求节点(节奏总纲!U$4:U$363,CA$4:CA$363,$CD44)*$CE44</f>
        <v>#VALUE!</v>
      </c>
      <c r="CO44" s="2" t="e">
        <f>求节点(节奏总纲!V$4:V$363,CB$4:CB$363,$CD44)*$CE44</f>
        <v>#VALUE!</v>
      </c>
    </row>
    <row r="45" spans="2:93" x14ac:dyDescent="0.15">
      <c r="D45" s="2" t="s">
        <v>277</v>
      </c>
      <c r="E45" s="2">
        <v>1</v>
      </c>
      <c r="Q45" s="9"/>
      <c r="S45" s="61" t="s">
        <v>114</v>
      </c>
      <c r="T45" s="61"/>
      <c r="U45" s="61"/>
      <c r="V45" s="61"/>
      <c r="W45" s="61"/>
      <c r="AA45" s="2">
        <v>42</v>
      </c>
      <c r="AB45" s="2">
        <f>攻城基础信息!X46*$E$12</f>
        <v>75238.948083151045</v>
      </c>
      <c r="AC45" s="2">
        <f>攻城基础信息!Y46*$E$12</f>
        <v>77887.985512657076</v>
      </c>
      <c r="AD45" s="2">
        <f>攻城基础信息!Z46*$E$12</f>
        <v>83031.513235090024</v>
      </c>
      <c r="AE45" s="2">
        <f>攻城基础信息!AA46*$E$12</f>
        <v>94724.067958872314</v>
      </c>
      <c r="AF45" s="2">
        <f>攻城基础信息!AB46*$E$12</f>
        <v>97881.038701429003</v>
      </c>
      <c r="AH45" s="2">
        <f>$E$4*AB45*攻城基础信息!AC46</f>
        <v>1176235.5550332626</v>
      </c>
      <c r="AI45" s="2">
        <f>$E$4*AC45*攻城基础信息!AD46</f>
        <v>1217648.8401812068</v>
      </c>
      <c r="AJ45" s="2">
        <f>$E$4*AD45*攻城基础信息!AE46</f>
        <v>1298059.323575242</v>
      </c>
      <c r="AK45" s="2">
        <f>$E$4*AE45*攻城基础信息!AF46</f>
        <v>1480852.9290903721</v>
      </c>
      <c r="AL45" s="2">
        <f>$E$4*AF45*攻城基础信息!AG46</f>
        <v>1530206.9050323416</v>
      </c>
      <c r="AN45" s="2">
        <v>42</v>
      </c>
      <c r="AO45" s="2">
        <f>求节点(节奏总纲!D$4:D$163,AH$4:AH$163,$AN45)*其他调用!H46*其他调用!$M46</f>
        <v>94890836.532944515</v>
      </c>
      <c r="AP45" s="2">
        <f>求节点(节奏总纲!E$4:E$163,AI$4:AI$163,$AN45)*其他调用!I46*其他调用!$M46</f>
        <v>87753240.750838891</v>
      </c>
      <c r="AQ45" s="2">
        <f>求节点(节奏总纲!F$4:F$163,AJ$4:AJ$163,$AN45)*其他调用!J46*其他调用!$M46</f>
        <v>9094722.1464674696</v>
      </c>
      <c r="AR45" s="2">
        <f>求节点(节奏总纲!G$4:G$163,AK$4:AK$163,$AN45)*其他调用!K46*其他调用!$M46</f>
        <v>2032714.3966282313</v>
      </c>
      <c r="AS45" s="2">
        <f>求节点(节奏总纲!H$4:H$163,AL$4:AL$163,$AN45)*其他调用!L46*其他调用!$M46</f>
        <v>746308.66282545659</v>
      </c>
      <c r="AT45" s="2">
        <f t="shared" si="0"/>
        <v>194517822.48970458</v>
      </c>
      <c r="AY45" s="2">
        <v>42</v>
      </c>
      <c r="AZ45" s="2">
        <f>其他调用!R46*6*(其他调用!AH$2*$AZ$1*MIN(其他调用!$AJ46/其他调用!AH46,1)+$E$4*0%*攻城基础信息!AC46)</f>
        <v>5318.5058800066909</v>
      </c>
      <c r="BA45" s="2">
        <f>其他调用!S46*6*(其他调用!AI$2*$AZ$1*MIN(其他调用!$AJ46/其他调用!AI46,1)+$E$4*0%*攻城基础信息!AD46)</f>
        <v>16140.47413523869</v>
      </c>
      <c r="BB45" s="2">
        <f>其他调用!T46*6*(其他调用!AJ$2*$AZ$1*MIN(其他调用!$AJ46/其他调用!AJ46,1)+$E$4*0%*攻城基础信息!AE46)</f>
        <v>49068.065079862179</v>
      </c>
      <c r="BC45" s="2">
        <f>其他调用!U46*6*(其他调用!AK$2*$AZ$1*MIN(其他调用!$AJ46/其他调用!AK46,1)+$E$4*0%*攻城基础信息!AF46)</f>
        <v>19840.391228994409</v>
      </c>
      <c r="BD45" s="2">
        <f>其他调用!V46*6*(其他调用!AL$2*$AZ$1*MIN(其他调用!$AJ46/其他调用!AL46,1)+$E$4*0%*攻城基础信息!AG46)</f>
        <v>6086.6954712637207</v>
      </c>
      <c r="BF45" s="2">
        <v>42</v>
      </c>
      <c r="BG45" s="2">
        <f>求节点(节奏总纲!D$4:D$163,AZ$4:AZ$163,$AN45)</f>
        <v>6258.7448554868224</v>
      </c>
      <c r="BH45" s="2">
        <f>求节点(节奏总纲!E$4:E$163,BA$4:BA$163,$AN45)</f>
        <v>19418.972196961218</v>
      </c>
      <c r="BI45" s="2">
        <f>求节点(节奏总纲!F$4:F$163,BB$4:BB$163,$AN45)</f>
        <v>60859.702391811326</v>
      </c>
      <c r="BJ45" s="2">
        <f>求节点(节奏总纲!G$4:G$163,BC$4:BC$163,$AN45)</f>
        <v>27747.962635866304</v>
      </c>
      <c r="BK45" s="2">
        <f>求节点(节奏总纲!H$4:H$163,BD$4:BD$163,$AN45)</f>
        <v>9203.975767322072</v>
      </c>
      <c r="BL45" s="2">
        <f>BG45*其他调用!H46*其他调用!$M46</f>
        <v>298479.98442802974</v>
      </c>
      <c r="BM45" s="2">
        <f>BH45*其他调用!I46*其他调用!$M46</f>
        <v>761300.86081747501</v>
      </c>
      <c r="BN45" s="2">
        <f>BI45*其他调用!J46*其他调用!$M46</f>
        <v>208174.72590230103</v>
      </c>
      <c r="BO45" s="2">
        <f>BJ45*其他调用!K46*其他调用!$M46</f>
        <v>15253.178359251089</v>
      </c>
      <c r="BP45" s="2">
        <f>BK45*其他调用!L46*其他调用!$M46</f>
        <v>1302.6598110513798</v>
      </c>
      <c r="BQ45" s="2">
        <f t="shared" si="1"/>
        <v>1284511.4093181081</v>
      </c>
      <c r="BR45" s="2">
        <f>[1]服务器生态!$R44</f>
        <v>4.2654458927920184E-2</v>
      </c>
      <c r="BS45" s="2" t="e">
        <f>SUMPRODUCT((BG$4:BG45)*($BR$4:$BR45)*(其他调用!#REF!))</f>
        <v>#REF!</v>
      </c>
      <c r="BT45" s="2" t="e">
        <f>SUMPRODUCT((BH$4:BH45)*($BR$4:$BR45)*(其他调用!#REF!))</f>
        <v>#REF!</v>
      </c>
      <c r="BU45" s="2" t="e">
        <f>SUMPRODUCT((BI$4:BI45)*($BR$4:$BR45)*(其他调用!#REF!))</f>
        <v>#REF!</v>
      </c>
      <c r="BV45" s="2" t="e">
        <f>SUMPRODUCT((BJ$4:BJ45)*($BR$4:$BR45)*(其他调用!#REF!))</f>
        <v>#REF!</v>
      </c>
      <c r="BW45" s="2" t="e">
        <f>SUMPRODUCT((BK$4:BK45)*($BR$4:$BR45)*(其他调用!#REF!))</f>
        <v>#REF!</v>
      </c>
      <c r="BX45" s="2" t="e">
        <f>SUMPRODUCT((BG$4:BG45)*($BR$4:$BR45))*'[1]功能-战损相关'!$D$2-BS45</f>
        <v>#REF!</v>
      </c>
      <c r="BY45" s="2" t="e">
        <f>SUMPRODUCT((BH$4:BH45)*($BR$4:$BR45))*'[1]功能-战损相关'!$D$2-BT45</f>
        <v>#REF!</v>
      </c>
      <c r="BZ45" s="2" t="e">
        <f>SUMPRODUCT((BI$4:BI45)*($BR$4:$BR45))*'[1]功能-战损相关'!$D$2-BU45</f>
        <v>#REF!</v>
      </c>
      <c r="CA45" s="2" t="e">
        <f>SUMPRODUCT((BJ$4:BJ45)*($BR$4:$BR45))*'[1]功能-战损相关'!$D$2-BV45</f>
        <v>#REF!</v>
      </c>
      <c r="CB45" s="2" t="e">
        <f>SUMPRODUCT((BK$4:BK45)*($BR$4:$BR45))*'[1]功能-战损相关'!$D$2-BW45</f>
        <v>#REF!</v>
      </c>
      <c r="CD45" s="2">
        <v>42</v>
      </c>
      <c r="CE45" s="7">
        <v>1</v>
      </c>
      <c r="CF45" s="2" t="e">
        <f>求节点(节奏总纲!R$4:R$363,BS$4:BS$363,$CD45)*$CE45</f>
        <v>#VALUE!</v>
      </c>
      <c r="CG45" s="2" t="e">
        <f>求节点(节奏总纲!S$4:S$363,BT$4:BT$363,$CD45)*$CE45</f>
        <v>#VALUE!</v>
      </c>
      <c r="CH45" s="2" t="e">
        <f>求节点(节奏总纲!T$4:T$363,BU$4:BU$363,$CD45)*$CE45</f>
        <v>#VALUE!</v>
      </c>
      <c r="CI45" s="2" t="e">
        <f>求节点(节奏总纲!U$4:U$363,BV$4:BV$363,$CD45)*$CE45</f>
        <v>#VALUE!</v>
      </c>
      <c r="CJ45" s="2" t="e">
        <f>求节点(节奏总纲!V$4:V$363,BW$4:BW$363,$CD45)*$CE45</f>
        <v>#VALUE!</v>
      </c>
      <c r="CK45" s="2" t="e">
        <f>求节点(节奏总纲!R$4:R$363,BX$4:BX$363,$CD45)*$CE45</f>
        <v>#VALUE!</v>
      </c>
      <c r="CL45" s="2" t="e">
        <f>求节点(节奏总纲!S$4:S$363,BY$4:BY$363,$CD45)*$CE45</f>
        <v>#VALUE!</v>
      </c>
      <c r="CM45" s="2" t="e">
        <f>求节点(节奏总纲!T$4:T$363,BZ$4:BZ$363,$CD45)*$CE45</f>
        <v>#VALUE!</v>
      </c>
      <c r="CN45" s="2" t="e">
        <f>求节点(节奏总纲!U$4:U$363,CA$4:CA$363,$CD45)*$CE45</f>
        <v>#VALUE!</v>
      </c>
      <c r="CO45" s="2" t="e">
        <f>求节点(节奏总纲!V$4:V$363,CB$4:CB$363,$CD45)*$CE45</f>
        <v>#VALUE!</v>
      </c>
    </row>
    <row r="46" spans="2:93" x14ac:dyDescent="0.15">
      <c r="D46" s="2" t="s">
        <v>278</v>
      </c>
      <c r="E46" s="2">
        <v>1.5</v>
      </c>
      <c r="Q46" s="2" t="str">
        <f>Q34</f>
        <v>进度阶段</v>
      </c>
      <c r="R46" s="2" t="str">
        <f>R34</f>
        <v>天数</v>
      </c>
      <c r="S46" s="2" t="s">
        <v>23</v>
      </c>
      <c r="T46" s="2" t="s">
        <v>30</v>
      </c>
      <c r="U46" s="2" t="s">
        <v>35</v>
      </c>
      <c r="V46" s="2" t="s">
        <v>36</v>
      </c>
      <c r="W46" s="2" t="s">
        <v>31</v>
      </c>
      <c r="AA46" s="2">
        <v>43</v>
      </c>
      <c r="AB46" s="2">
        <f>攻城基础信息!X47*$E$12</f>
        <v>77285.103165193257</v>
      </c>
      <c r="AC46" s="2">
        <f>攻城基础信息!Y47*$E$12</f>
        <v>79684.046438301928</v>
      </c>
      <c r="AD46" s="2">
        <f>攻城基础信息!Z47*$E$12</f>
        <v>85142.669979951868</v>
      </c>
      <c r="AE46" s="2">
        <f>攻城基础信息!AA47*$E$12</f>
        <v>97637.089259160741</v>
      </c>
      <c r="AF46" s="2">
        <f>攻城基础信息!AB47*$E$12</f>
        <v>100903.75014821657</v>
      </c>
      <c r="AH46" s="2">
        <f>$E$4*AB46*攻城基础信息!AC47</f>
        <v>1226256.9702210675</v>
      </c>
      <c r="AI46" s="2">
        <f>$E$4*AC46*攻城基础信息!AD47</f>
        <v>1264320.2034877252</v>
      </c>
      <c r="AJ46" s="2">
        <f>$E$4*AD46*攻城基础信息!AE47</f>
        <v>1350930.3636819045</v>
      </c>
      <c r="AK46" s="2">
        <f>$E$4*AE46*攻城基础信息!AF47</f>
        <v>1549175.1495786854</v>
      </c>
      <c r="AL46" s="2">
        <f>$E$4*AF46*攻城基础信息!AG47</f>
        <v>1601006.169018371</v>
      </c>
      <c r="AN46" s="2">
        <v>43</v>
      </c>
      <c r="AO46" s="2">
        <f>求节点(节奏总纲!D$4:D$163,AH$4:AH$163,$AN46)*其他调用!H47*其他调用!$M47</f>
        <v>96382883.781678751</v>
      </c>
      <c r="AP46" s="2">
        <f>求节点(节奏总纲!E$4:E$163,AI$4:AI$163,$AN46)*其他调用!I47*其他调用!$M47</f>
        <v>89493372.733227834</v>
      </c>
      <c r="AQ46" s="2">
        <f>求节点(节奏总纲!F$4:F$163,AJ$4:AJ$163,$AN46)*其他调用!J47*其他调用!$M47</f>
        <v>9282905.0229925234</v>
      </c>
      <c r="AR46" s="2">
        <f>求节点(节奏总纲!G$4:G$163,AK$4:AK$163,$AN46)*其他调用!K47*其他调用!$M47</f>
        <v>2076712.249405066</v>
      </c>
      <c r="AS46" s="2">
        <f>求节点(节奏总纲!H$4:H$163,AL$4:AL$163,$AN46)*其他调用!L47*其他调用!$M47</f>
        <v>766217.25066328829</v>
      </c>
      <c r="AT46" s="2">
        <f t="shared" si="0"/>
        <v>198002091.03796744</v>
      </c>
      <c r="AY46" s="2">
        <v>43</v>
      </c>
      <c r="AZ46" s="2">
        <f>其他调用!R47*6*(其他调用!AH$2*$AZ$1*MIN(其他调用!$AJ47/其他调用!AH47,1)+$E$4*0%*攻城基础信息!AC47)</f>
        <v>5393.3711391954221</v>
      </c>
      <c r="BA46" s="2">
        <f>其他调用!S47*6*(其他调用!AI$2*$AZ$1*MIN(其他调用!$AJ47/其他调用!AI47,1)+$E$4*0%*攻城基础信息!AD47)</f>
        <v>16379.649472457149</v>
      </c>
      <c r="BB46" s="2">
        <f>其他调用!T47*6*(其他调用!AJ$2*$AZ$1*MIN(其他调用!$AJ47/其他调用!AJ47,1)+$E$4*0%*攻城基础信息!AE47)</f>
        <v>49758.562943179015</v>
      </c>
      <c r="BC46" s="2">
        <f>其他调用!U47*6*(其他调用!AK$2*$AZ$1*MIN(其他调用!$AJ47/其他调用!AK47,1)+$E$4*0%*攻城基础信息!AF47)</f>
        <v>20195.535545345694</v>
      </c>
      <c r="BD46" s="2">
        <f>其他调用!V47*6*(其他调用!AL$2*$AZ$1*MIN(其他调用!$AJ47/其他调用!AL47,1)+$E$4*0%*攻城基础信息!AG47)</f>
        <v>6197.8691412520375</v>
      </c>
      <c r="BF46" s="2">
        <v>43</v>
      </c>
      <c r="BG46" s="2">
        <f>求节点(节奏总纲!D$4:D$163,AZ$4:AZ$163,$AN46)</f>
        <v>6284.1517042382302</v>
      </c>
      <c r="BH46" s="2">
        <f>求节点(节奏总纲!E$4:E$163,BA$4:BA$163,$AN46)</f>
        <v>19496.013343058738</v>
      </c>
      <c r="BI46" s="2">
        <f>求节点(节奏总纲!F$4:F$163,BB$4:BB$163,$AN46)</f>
        <v>61103.831858890539</v>
      </c>
      <c r="BJ46" s="2">
        <f>求节点(节奏总纲!G$4:G$163,BC$4:BC$163,$AN46)</f>
        <v>27875.758171799833</v>
      </c>
      <c r="BK46" s="2">
        <f>求节点(节奏总纲!H$4:H$163,BD$4:BD$163,$AN46)</f>
        <v>9232.6254097938217</v>
      </c>
      <c r="BL46" s="2">
        <f>BG46*其他调用!H47*其他调用!$M47</f>
        <v>300043.69842161145</v>
      </c>
      <c r="BM46" s="2">
        <f>BH46*其他调用!I47*其他调用!$M47</f>
        <v>768576.17826966126</v>
      </c>
      <c r="BN46" s="2">
        <f>BI46*其他调用!J47*其他调用!$M47</f>
        <v>209820.00433670965</v>
      </c>
      <c r="BO46" s="2">
        <f>BJ46*其他调用!K47*其他调用!$M47</f>
        <v>15421.932963952149</v>
      </c>
      <c r="BP46" s="2">
        <f>BK46*其他调用!L47*其他调用!$M47</f>
        <v>1319.0051316393142</v>
      </c>
      <c r="BQ46" s="2">
        <f t="shared" si="1"/>
        <v>1295180.8191235738</v>
      </c>
      <c r="BR46" s="2">
        <f>[1]服务器生态!$R45</f>
        <v>4.1531973166659124E-2</v>
      </c>
      <c r="BS46" s="2" t="e">
        <f>SUMPRODUCT((BG$4:BG46)*($BR$4:$BR46)*(其他调用!#REF!))</f>
        <v>#REF!</v>
      </c>
      <c r="BT46" s="2" t="e">
        <f>SUMPRODUCT((BH$4:BH46)*($BR$4:$BR46)*(其他调用!#REF!))</f>
        <v>#REF!</v>
      </c>
      <c r="BU46" s="2" t="e">
        <f>SUMPRODUCT((BI$4:BI46)*($BR$4:$BR46)*(其他调用!#REF!))</f>
        <v>#REF!</v>
      </c>
      <c r="BV46" s="2" t="e">
        <f>SUMPRODUCT((BJ$4:BJ46)*($BR$4:$BR46)*(其他调用!#REF!))</f>
        <v>#REF!</v>
      </c>
      <c r="BW46" s="2" t="e">
        <f>SUMPRODUCT((BK$4:BK46)*($BR$4:$BR46)*(其他调用!#REF!))</f>
        <v>#REF!</v>
      </c>
      <c r="BX46" s="2" t="e">
        <f>SUMPRODUCT((BG$4:BG46)*($BR$4:$BR46))*'[1]功能-战损相关'!$D$2-BS46</f>
        <v>#REF!</v>
      </c>
      <c r="BY46" s="2" t="e">
        <f>SUMPRODUCT((BH$4:BH46)*($BR$4:$BR46))*'[1]功能-战损相关'!$D$2-BT46</f>
        <v>#REF!</v>
      </c>
      <c r="BZ46" s="2" t="e">
        <f>SUMPRODUCT((BI$4:BI46)*($BR$4:$BR46))*'[1]功能-战损相关'!$D$2-BU46</f>
        <v>#REF!</v>
      </c>
      <c r="CA46" s="2" t="e">
        <f>SUMPRODUCT((BJ$4:BJ46)*($BR$4:$BR46))*'[1]功能-战损相关'!$D$2-BV46</f>
        <v>#REF!</v>
      </c>
      <c r="CB46" s="2" t="e">
        <f>SUMPRODUCT((BK$4:BK46)*($BR$4:$BR46))*'[1]功能-战损相关'!$D$2-BW46</f>
        <v>#REF!</v>
      </c>
      <c r="CD46" s="2">
        <v>43</v>
      </c>
      <c r="CE46" s="7">
        <v>1</v>
      </c>
      <c r="CF46" s="2" t="e">
        <f>求节点(节奏总纲!R$4:R$363,BS$4:BS$363,$CD46)*$CE46</f>
        <v>#VALUE!</v>
      </c>
      <c r="CG46" s="2" t="e">
        <f>求节点(节奏总纲!S$4:S$363,BT$4:BT$363,$CD46)*$CE46</f>
        <v>#VALUE!</v>
      </c>
      <c r="CH46" s="2" t="e">
        <f>求节点(节奏总纲!T$4:T$363,BU$4:BU$363,$CD46)*$CE46</f>
        <v>#VALUE!</v>
      </c>
      <c r="CI46" s="2" t="e">
        <f>求节点(节奏总纲!U$4:U$363,BV$4:BV$363,$CD46)*$CE46</f>
        <v>#VALUE!</v>
      </c>
      <c r="CJ46" s="2" t="e">
        <f>求节点(节奏总纲!V$4:V$363,BW$4:BW$363,$CD46)*$CE46</f>
        <v>#VALUE!</v>
      </c>
      <c r="CK46" s="2" t="e">
        <f>求节点(节奏总纲!R$4:R$363,BX$4:BX$363,$CD46)*$CE46</f>
        <v>#VALUE!</v>
      </c>
      <c r="CL46" s="2" t="e">
        <f>求节点(节奏总纲!S$4:S$363,BY$4:BY$363,$CD46)*$CE46</f>
        <v>#VALUE!</v>
      </c>
      <c r="CM46" s="2" t="e">
        <f>求节点(节奏总纲!T$4:T$363,BZ$4:BZ$363,$CD46)*$CE46</f>
        <v>#VALUE!</v>
      </c>
      <c r="CN46" s="2" t="e">
        <f>求节点(节奏总纲!U$4:U$363,CA$4:CA$363,$CD46)*$CE46</f>
        <v>#VALUE!</v>
      </c>
      <c r="CO46" s="2" t="e">
        <f>求节点(节奏总纲!V$4:V$363,CB$4:CB$363,$CD46)*$CE46</f>
        <v>#VALUE!</v>
      </c>
    </row>
    <row r="47" spans="2:93" x14ac:dyDescent="0.15">
      <c r="Q47" s="2">
        <f t="shared" ref="Q47:R53" si="12">Q35</f>
        <v>1</v>
      </c>
      <c r="R47" s="2">
        <f t="shared" si="12"/>
        <v>10</v>
      </c>
      <c r="S47" s="23">
        <f>求节点(节奏总纲!D$4:D$113,节奏总纲!$C$4:$C$113,$R47)</f>
        <v>34.585942742481357</v>
      </c>
      <c r="T47" s="23">
        <f>求节点(节奏总纲!E$4:E$113,节奏总纲!$C$4:$C$113,$R47)</f>
        <v>36.36169634498642</v>
      </c>
      <c r="U47" s="23">
        <f>求节点(节奏总纲!F$4:F$113,节奏总纲!$C$4:$C$113,$R47)</f>
        <v>38.977035507933373</v>
      </c>
      <c r="V47" s="23">
        <f>求节点(节奏总纲!G$4:G$113,节奏总纲!$C$4:$C$113,$R47)</f>
        <v>42.970748198558951</v>
      </c>
      <c r="W47" s="23">
        <f>求节点(节奏总纲!H$4:H$113,节奏总纲!$C$4:$C$113,$R47)</f>
        <v>51.212821897464167</v>
      </c>
      <c r="AA47" s="2">
        <v>44</v>
      </c>
      <c r="AB47" s="2">
        <f>攻城基础信息!X48*$E$12</f>
        <v>79402.965281442055</v>
      </c>
      <c r="AC47" s="2">
        <f>攻城基础信息!Y48*$E$12</f>
        <v>81735.352976639464</v>
      </c>
      <c r="AD47" s="2">
        <f>攻城基础信息!Z48*$E$12</f>
        <v>87308.783202543622</v>
      </c>
      <c r="AE47" s="2">
        <f>攻城基础信息!AA48*$E$12</f>
        <v>100990.07989901284</v>
      </c>
      <c r="AF47" s="2">
        <f>攻城基础信息!AB48*$E$12</f>
        <v>104116.22981772367</v>
      </c>
      <c r="AH47" s="2">
        <f>$E$4*AB47*攻城基础信息!AC48</f>
        <v>1278387.7410312183</v>
      </c>
      <c r="AI47" s="2">
        <f>$E$4*AC47*攻城基础信息!AD48</f>
        <v>1315939.1829238965</v>
      </c>
      <c r="AJ47" s="2">
        <f>$E$4*AD47*攻城基础信息!AE48</f>
        <v>1405671.4095609535</v>
      </c>
      <c r="AK47" s="2">
        <f>$E$4*AE47*攻城基础信息!AF48</f>
        <v>1625940.2863741082</v>
      </c>
      <c r="AL47" s="2">
        <f>$E$4*AF47*攻城基础信息!AG48</f>
        <v>1676271.3000653526</v>
      </c>
      <c r="AN47" s="2">
        <v>44</v>
      </c>
      <c r="AO47" s="2">
        <f>求节点(节奏总纲!D$4:D$163,AH$4:AH$163,$AN47)*其他调用!H48*其他调用!$M48</f>
        <v>97876896.009462714</v>
      </c>
      <c r="AP47" s="2">
        <f>求节点(节奏总纲!E$4:E$163,AI$4:AI$163,$AN47)*其他调用!I48*其他调用!$M48</f>
        <v>91248723.76720798</v>
      </c>
      <c r="AQ47" s="2">
        <f>求节点(节奏总纲!F$4:F$163,AJ$4:AJ$163,$AN47)*其他调用!J48*其他调用!$M48</f>
        <v>9472308.9020241499</v>
      </c>
      <c r="AR47" s="2">
        <f>求节点(节奏总纲!G$4:G$163,AK$4:AK$163,$AN47)*其他调用!K48*其他调用!$M48</f>
        <v>2120223.6514571584</v>
      </c>
      <c r="AS47" s="2">
        <f>求节点(节奏总纲!H$4:H$163,AL$4:AL$163,$AN47)*其他调用!L48*其他调用!$M48</f>
        <v>786396.65530454775</v>
      </c>
      <c r="AT47" s="2">
        <f t="shared" si="0"/>
        <v>201504548.98545656</v>
      </c>
      <c r="AY47" s="2">
        <v>44</v>
      </c>
      <c r="AZ47" s="2">
        <f>其他调用!R48*6*(其他调用!AH$2*$AZ$1*MIN(其他调用!$AJ48/其他调用!AH48,1)+$E$4*0%*攻城基础信息!AC48)</f>
        <v>5471.8871741589319</v>
      </c>
      <c r="BA47" s="2">
        <f>其他调用!S48*6*(其他调用!AI$2*$AZ$1*MIN(其他调用!$AJ48/其他调用!AI48,1)+$E$4*0%*攻城基础信息!AD48)</f>
        <v>16604.074615853038</v>
      </c>
      <c r="BB47" s="2">
        <f>其他调用!T48*6*(其他调用!AJ$2*$AZ$1*MIN(其他调用!$AJ48/其他调用!AJ48,1)+$E$4*0%*攻城基础信息!AE48)</f>
        <v>50468.05380811642</v>
      </c>
      <c r="BC47" s="2">
        <f>其他调用!U48*6*(其他调用!AK$2*$AZ$1*MIN(其他调用!$AJ48/其他调用!AK48,1)+$E$4*0%*攻城基础信息!AF48)</f>
        <v>20536.145731357374</v>
      </c>
      <c r="BD47" s="2">
        <f>其他调用!V48*6*(其他调用!AL$2*$AZ$1*MIN(其他调用!$AJ48/其他调用!AL48,1)+$E$4*0%*攻城基础信息!AG48)</f>
        <v>6302.6243268233666</v>
      </c>
      <c r="BF47" s="2">
        <v>44</v>
      </c>
      <c r="BG47" s="2">
        <f>求节点(节奏总纲!D$4:D$163,AZ$4:AZ$163,$AN47)</f>
        <v>6309.558552989638</v>
      </c>
      <c r="BH47" s="2">
        <f>求节点(节奏总纲!E$4:E$163,BA$4:BA$163,$AN47)</f>
        <v>19573.054489156257</v>
      </c>
      <c r="BI47" s="2">
        <f>求节点(节奏总纲!F$4:F$163,BB$4:BB$163,$AN47)</f>
        <v>61347.961325969751</v>
      </c>
      <c r="BJ47" s="2">
        <f>求节点(节奏总纲!G$4:G$163,BC$4:BC$163,$AN47)</f>
        <v>28004.367422747317</v>
      </c>
      <c r="BK47" s="2">
        <f>求节点(节奏总纲!H$4:H$163,BD$4:BD$163,$AN47)</f>
        <v>9261.2750522655715</v>
      </c>
      <c r="BL47" s="2">
        <f>BG47*其他调用!H48*其他调用!$M48</f>
        <v>301606.33074684878</v>
      </c>
      <c r="BM47" s="2">
        <f>BH47*其他调用!I48*其他调用!$M48</f>
        <v>775896.69458465825</v>
      </c>
      <c r="BN47" s="2">
        <f>BI47*其他调用!J48*其他调用!$M48</f>
        <v>211472.64875502078</v>
      </c>
      <c r="BO47" s="2">
        <f>BJ47*其他调用!K48*其他调用!$M48</f>
        <v>15592.360862163421</v>
      </c>
      <c r="BP47" s="2">
        <f>BK47*其他调用!L48*其他调用!$M48</f>
        <v>1335.4787221584659</v>
      </c>
      <c r="BQ47" s="2">
        <f t="shared" si="1"/>
        <v>1305903.5136708494</v>
      </c>
      <c r="BR47" s="2">
        <f>[1]服务器生态!$R46</f>
        <v>4.040948740539807E-2</v>
      </c>
      <c r="BS47" s="2" t="e">
        <f>SUMPRODUCT((BG$4:BG47)*($BR$4:$BR47)*(其他调用!#REF!))</f>
        <v>#REF!</v>
      </c>
      <c r="BT47" s="2" t="e">
        <f>SUMPRODUCT((BH$4:BH47)*($BR$4:$BR47)*(其他调用!#REF!))</f>
        <v>#REF!</v>
      </c>
      <c r="BU47" s="2" t="e">
        <f>SUMPRODUCT((BI$4:BI47)*($BR$4:$BR47)*(其他调用!#REF!))</f>
        <v>#REF!</v>
      </c>
      <c r="BV47" s="2" t="e">
        <f>SUMPRODUCT((BJ$4:BJ47)*($BR$4:$BR47)*(其他调用!#REF!))</f>
        <v>#REF!</v>
      </c>
      <c r="BW47" s="2" t="e">
        <f>SUMPRODUCT((BK$4:BK47)*($BR$4:$BR47)*(其他调用!#REF!))</f>
        <v>#REF!</v>
      </c>
      <c r="BX47" s="2" t="e">
        <f>SUMPRODUCT((BG$4:BG47)*($BR$4:$BR47))*'[1]功能-战损相关'!$D$2-BS47</f>
        <v>#REF!</v>
      </c>
      <c r="BY47" s="2" t="e">
        <f>SUMPRODUCT((BH$4:BH47)*($BR$4:$BR47))*'[1]功能-战损相关'!$D$2-BT47</f>
        <v>#REF!</v>
      </c>
      <c r="BZ47" s="2" t="e">
        <f>SUMPRODUCT((BI$4:BI47)*($BR$4:$BR47))*'[1]功能-战损相关'!$D$2-BU47</f>
        <v>#REF!</v>
      </c>
      <c r="CA47" s="2" t="e">
        <f>SUMPRODUCT((BJ$4:BJ47)*($BR$4:$BR47))*'[1]功能-战损相关'!$D$2-BV47</f>
        <v>#REF!</v>
      </c>
      <c r="CB47" s="2" t="e">
        <f>SUMPRODUCT((BK$4:BK47)*($BR$4:$BR47))*'[1]功能-战损相关'!$D$2-BW47</f>
        <v>#REF!</v>
      </c>
      <c r="CD47" s="2">
        <v>44</v>
      </c>
      <c r="CE47" s="7">
        <v>1</v>
      </c>
      <c r="CF47" s="2" t="e">
        <f>求节点(节奏总纲!R$4:R$363,BS$4:BS$363,$CD47)*$CE47</f>
        <v>#VALUE!</v>
      </c>
      <c r="CG47" s="2" t="e">
        <f>求节点(节奏总纲!S$4:S$363,BT$4:BT$363,$CD47)*$CE47</f>
        <v>#VALUE!</v>
      </c>
      <c r="CH47" s="2" t="e">
        <f>求节点(节奏总纲!T$4:T$363,BU$4:BU$363,$CD47)*$CE47</f>
        <v>#VALUE!</v>
      </c>
      <c r="CI47" s="2" t="e">
        <f>求节点(节奏总纲!U$4:U$363,BV$4:BV$363,$CD47)*$CE47</f>
        <v>#VALUE!</v>
      </c>
      <c r="CJ47" s="2" t="e">
        <f>求节点(节奏总纲!V$4:V$363,BW$4:BW$363,$CD47)*$CE47</f>
        <v>#VALUE!</v>
      </c>
      <c r="CK47" s="2" t="e">
        <f>求节点(节奏总纲!R$4:R$363,BX$4:BX$363,$CD47)*$CE47</f>
        <v>#VALUE!</v>
      </c>
      <c r="CL47" s="2" t="e">
        <f>求节点(节奏总纲!S$4:S$363,BY$4:BY$363,$CD47)*$CE47</f>
        <v>#VALUE!</v>
      </c>
      <c r="CM47" s="2" t="e">
        <f>求节点(节奏总纲!T$4:T$363,BZ$4:BZ$363,$CD47)*$CE47</f>
        <v>#VALUE!</v>
      </c>
      <c r="CN47" s="2" t="e">
        <f>求节点(节奏总纲!U$4:U$363,CA$4:CA$363,$CD47)*$CE47</f>
        <v>#VALUE!</v>
      </c>
      <c r="CO47" s="2" t="e">
        <f>求节点(节奏总纲!V$4:V$363,CB$4:CB$363,$CD47)*$CE47</f>
        <v>#VALUE!</v>
      </c>
    </row>
    <row r="48" spans="2:93" x14ac:dyDescent="0.15">
      <c r="Q48" s="2">
        <f t="shared" si="12"/>
        <v>2</v>
      </c>
      <c r="R48" s="2">
        <f t="shared" si="12"/>
        <v>22.5</v>
      </c>
      <c r="S48" s="23">
        <f>求节点(节奏总纲!D$4:D$113,节奏总纲!$C$4:$C$113,$R48)</f>
        <v>45.537288901845052</v>
      </c>
      <c r="T48" s="23">
        <f>求节点(节奏总纲!E$4:E$113,节奏总纲!$C$4:$C$113,$R48)</f>
        <v>47.422510868612136</v>
      </c>
      <c r="U48" s="23">
        <f>求节点(节奏总纲!F$4:F$113,节奏总纲!$C$4:$C$113,$R48)</f>
        <v>50.186688058514349</v>
      </c>
      <c r="V48" s="23">
        <f>求节点(节奏总纲!G$4:G$113,节奏总纲!$C$4:$C$113,$R48)</f>
        <v>54.485280935404617</v>
      </c>
      <c r="W48" s="23">
        <f>求节点(节奏总纲!H$4:H$113,节奏总纲!$C$4:$C$113,$R48)</f>
        <v>62.873049578751882</v>
      </c>
      <c r="AA48" s="2">
        <v>45</v>
      </c>
      <c r="AB48" s="2">
        <f>攻城基础信息!X49*$E$12</f>
        <v>83122.719956759407</v>
      </c>
      <c r="AC48" s="2">
        <f>攻城基础信息!Y49*$E$12</f>
        <v>85947.690447585323</v>
      </c>
      <c r="AD48" s="2">
        <f>攻城基础信息!Z49*$E$12</f>
        <v>91703.607454537385</v>
      </c>
      <c r="AE48" s="2">
        <f>攻城基础信息!AA49*$E$12</f>
        <v>106733.48238779409</v>
      </c>
      <c r="AF48" s="2">
        <f>攻城基础信息!AB49*$E$12</f>
        <v>110035.57974925752</v>
      </c>
      <c r="AH48" s="2">
        <f>$E$4*AB48*攻城基础信息!AC49</f>
        <v>1357671.0926270715</v>
      </c>
      <c r="AI48" s="2">
        <f>$E$4*AC48*攻城基础信息!AD49</f>
        <v>1403812.2773105614</v>
      </c>
      <c r="AJ48" s="2">
        <f>$E$4*AD48*攻城基础信息!AE49</f>
        <v>1497825.5884241117</v>
      </c>
      <c r="AK48" s="2">
        <f>$E$4*AE48*攻城基础信息!AF49</f>
        <v>1743313.5456673051</v>
      </c>
      <c r="AL48" s="2">
        <f>$E$4*AF48*攻城基础信息!AG49</f>
        <v>1797247.8025712078</v>
      </c>
      <c r="AN48" s="2">
        <v>45</v>
      </c>
      <c r="AO48" s="2">
        <f>求节点(节奏总纲!D$4:D$163,AH$4:AH$163,$AN48)*其他调用!H49*其他调用!$M49</f>
        <v>99301088.120483011</v>
      </c>
      <c r="AP48" s="2">
        <f>求节点(节奏总纲!E$4:E$163,AI$4:AI$163,$AN48)*其他调用!I49*其他调用!$M49</f>
        <v>92980157.133058324</v>
      </c>
      <c r="AQ48" s="2">
        <f>求节点(节奏总纲!F$4:F$163,AJ$4:AJ$163,$AN48)*其他调用!J49*其他调用!$M49</f>
        <v>9659846.6754805986</v>
      </c>
      <c r="AR48" s="2">
        <f>求节点(节奏总纲!G$4:G$163,AK$4:AK$163,$AN48)*其他调用!K49*其他调用!$M49</f>
        <v>2161786.0660117287</v>
      </c>
      <c r="AS48" s="2">
        <f>求节点(节奏总纲!H$4:H$163,AL$4:AL$163,$AN48)*其他调用!L49*其他调用!$M49</f>
        <v>806696.31178899168</v>
      </c>
      <c r="AT48" s="2">
        <f t="shared" si="0"/>
        <v>204909574.30682269</v>
      </c>
      <c r="AY48" s="2">
        <v>45</v>
      </c>
      <c r="AZ48" s="2">
        <f>其他调用!R49*6*(其他调用!AH$2*$AZ$1*MIN(其他调用!$AJ49/其他调用!AH49,1)+$E$4*0%*攻城基础信息!AC49)</f>
        <v>5547.5069374229688</v>
      </c>
      <c r="BA48" s="2">
        <f>其他调用!S49*6*(其他调用!AI$2*$AZ$1*MIN(其他调用!$AJ49/其他调用!AI49,1)+$E$4*0%*攻城基础信息!AD49)</f>
        <v>16839.651361772783</v>
      </c>
      <c r="BB48" s="2">
        <f>其他调用!T49*6*(其他调用!AJ$2*$AZ$1*MIN(其他调用!$AJ49/其他调用!AJ49,1)+$E$4*0%*攻城基础信息!AE49)</f>
        <v>51140.117364667829</v>
      </c>
      <c r="BC48" s="2">
        <f>其他调用!U49*6*(其他调用!AK$2*$AZ$1*MIN(其他调用!$AJ49/其他调用!AK49,1)+$E$4*0%*攻城基础信息!AF49)</f>
        <v>20887.53599505531</v>
      </c>
      <c r="BD48" s="2">
        <f>其他调用!V49*6*(其他调用!AL$2*$AZ$1*MIN(其他调用!$AJ49/其他调用!AL49,1)+$E$4*0%*攻城基础信息!AG49)</f>
        <v>6416.4076900732662</v>
      </c>
      <c r="BF48" s="2">
        <v>45</v>
      </c>
      <c r="BG48" s="2">
        <f>求节点(节奏总纲!D$4:D$163,AZ$4:AZ$163,$AN48)</f>
        <v>6333.7426544569316</v>
      </c>
      <c r="BH48" s="2">
        <f>求节点(节奏总纲!E$4:E$163,BA$4:BA$163,$AN48)</f>
        <v>19645.782757051747</v>
      </c>
      <c r="BI48" s="2">
        <f>求节点(节奏总纲!F$4:F$163,BB$4:BB$163,$AN48)</f>
        <v>61584.637504644248</v>
      </c>
      <c r="BJ48" s="2">
        <f>求节点(节奏总纲!G$4:G$163,BC$4:BC$163,$AN48)</f>
        <v>28135.055370034235</v>
      </c>
      <c r="BK48" s="2">
        <f>求节点(节奏总纲!H$4:H$163,BD$4:BD$163,$AN48)</f>
        <v>9288.9349088117324</v>
      </c>
      <c r="BL48" s="2">
        <f>BG48*其他调用!H49*其他调用!$M49</f>
        <v>303109.31781981461</v>
      </c>
      <c r="BM48" s="2">
        <f>BH48*其他调用!I49*其他调用!$M49</f>
        <v>783090.63292755722</v>
      </c>
      <c r="BN48" s="2">
        <f>BI48*其他调用!J49*其他调用!$M49</f>
        <v>213106.87851766919</v>
      </c>
      <c r="BO48" s="2">
        <f>BJ48*其他调用!K49*其他调用!$M49</f>
        <v>15765.183895071974</v>
      </c>
      <c r="BP48" s="2">
        <f>BK48*其他调用!L49*其他调用!$M49</f>
        <v>1351.937008976631</v>
      </c>
      <c r="BQ48" s="2">
        <f t="shared" si="1"/>
        <v>1316423.9501690897</v>
      </c>
      <c r="BR48" s="2">
        <f>[1]服务器生态!$R47</f>
        <v>3.928700164413701E-2</v>
      </c>
      <c r="BS48" s="2" t="e">
        <f>SUMPRODUCT((BG$4:BG48)*($BR$4:$BR48)*(其他调用!#REF!))</f>
        <v>#REF!</v>
      </c>
      <c r="BT48" s="2" t="e">
        <f>SUMPRODUCT((BH$4:BH48)*($BR$4:$BR48)*(其他调用!#REF!))</f>
        <v>#REF!</v>
      </c>
      <c r="BU48" s="2" t="e">
        <f>SUMPRODUCT((BI$4:BI48)*($BR$4:$BR48)*(其他调用!#REF!))</f>
        <v>#REF!</v>
      </c>
      <c r="BV48" s="2" t="e">
        <f>SUMPRODUCT((BJ$4:BJ48)*($BR$4:$BR48)*(其他调用!#REF!))</f>
        <v>#REF!</v>
      </c>
      <c r="BW48" s="2" t="e">
        <f>SUMPRODUCT((BK$4:BK48)*($BR$4:$BR48)*(其他调用!#REF!))</f>
        <v>#REF!</v>
      </c>
      <c r="BX48" s="2" t="e">
        <f>SUMPRODUCT((BG$4:BG48)*($BR$4:$BR48))*'[1]功能-战损相关'!$D$2-BS48</f>
        <v>#REF!</v>
      </c>
      <c r="BY48" s="2" t="e">
        <f>SUMPRODUCT((BH$4:BH48)*($BR$4:$BR48))*'[1]功能-战损相关'!$D$2-BT48</f>
        <v>#REF!</v>
      </c>
      <c r="BZ48" s="2" t="e">
        <f>SUMPRODUCT((BI$4:BI48)*($BR$4:$BR48))*'[1]功能-战损相关'!$D$2-BU48</f>
        <v>#REF!</v>
      </c>
      <c r="CA48" s="2" t="e">
        <f>SUMPRODUCT((BJ$4:BJ48)*($BR$4:$BR48))*'[1]功能-战损相关'!$D$2-BV48</f>
        <v>#REF!</v>
      </c>
      <c r="CB48" s="2" t="e">
        <f>SUMPRODUCT((BK$4:BK48)*($BR$4:$BR48))*'[1]功能-战损相关'!$D$2-BW48</f>
        <v>#REF!</v>
      </c>
      <c r="CD48" s="2">
        <v>45</v>
      </c>
      <c r="CE48" s="7">
        <v>1</v>
      </c>
      <c r="CF48" s="2" t="e">
        <f>求节点(节奏总纲!R$4:R$363,BS$4:BS$363,$CD48)*$CE48</f>
        <v>#VALUE!</v>
      </c>
      <c r="CG48" s="2" t="e">
        <f>求节点(节奏总纲!S$4:S$363,BT$4:BT$363,$CD48)*$CE48</f>
        <v>#VALUE!</v>
      </c>
      <c r="CH48" s="2" t="e">
        <f>求节点(节奏总纲!T$4:T$363,BU$4:BU$363,$CD48)*$CE48</f>
        <v>#VALUE!</v>
      </c>
      <c r="CI48" s="2" t="e">
        <f>求节点(节奏总纲!U$4:U$363,BV$4:BV$363,$CD48)*$CE48</f>
        <v>#VALUE!</v>
      </c>
      <c r="CJ48" s="2" t="e">
        <f>求节点(节奏总纲!V$4:V$363,BW$4:BW$363,$CD48)*$CE48</f>
        <v>#VALUE!</v>
      </c>
      <c r="CK48" s="2" t="e">
        <f>求节点(节奏总纲!R$4:R$363,BX$4:BX$363,$CD48)*$CE48</f>
        <v>#VALUE!</v>
      </c>
      <c r="CL48" s="2" t="e">
        <f>求节点(节奏总纲!S$4:S$363,BY$4:BY$363,$CD48)*$CE48</f>
        <v>#VALUE!</v>
      </c>
      <c r="CM48" s="2" t="e">
        <f>求节点(节奏总纲!T$4:T$363,BZ$4:BZ$363,$CD48)*$CE48</f>
        <v>#VALUE!</v>
      </c>
      <c r="CN48" s="2" t="e">
        <f>求节点(节奏总纲!U$4:U$363,CA$4:CA$363,$CD48)*$CE48</f>
        <v>#VALUE!</v>
      </c>
      <c r="CO48" s="2" t="e">
        <f>求节点(节奏总纲!V$4:V$363,CB$4:CB$363,$CD48)*$CE48</f>
        <v>#VALUE!</v>
      </c>
    </row>
    <row r="49" spans="17:93" x14ac:dyDescent="0.15">
      <c r="Q49" s="2">
        <f t="shared" si="12"/>
        <v>3</v>
      </c>
      <c r="R49" s="2">
        <f t="shared" si="12"/>
        <v>45</v>
      </c>
      <c r="S49" s="23">
        <f>求节点(节奏总纲!D$4:D$113,节奏总纲!$C$4:$C$113,$R49)</f>
        <v>55.229416240679981</v>
      </c>
      <c r="T49" s="23">
        <f>求节点(节奏总纲!E$4:E$113,节奏总纲!$C$4:$C$113,$R49)</f>
        <v>57.218966664386244</v>
      </c>
      <c r="U49" s="23">
        <f>求节点(节奏总纲!F$4:F$113,节奏总纲!$C$4:$C$113,$R49)</f>
        <v>60.086674688654931</v>
      </c>
      <c r="V49" s="23">
        <f>求节点(节奏总纲!G$4:G$113,节奏总纲!$C$4:$C$113,$R49)</f>
        <v>64.399012521055653</v>
      </c>
      <c r="W49" s="23">
        <f>求节点(节奏总纲!H$4:H$113,节奏总纲!$C$4:$C$113,$R49)</f>
        <v>73.037155126421851</v>
      </c>
      <c r="AA49" s="2">
        <v>46</v>
      </c>
      <c r="AB49" s="2">
        <f>攻城基础信息!X50*$E$12</f>
        <v>85048.658587831203</v>
      </c>
      <c r="AC49" s="2">
        <f>攻城基础信息!Y50*$E$12</f>
        <v>88278.50779055919</v>
      </c>
      <c r="AD49" s="2">
        <f>攻城基础信息!Z50*$E$12</f>
        <v>94350.596502331173</v>
      </c>
      <c r="AE49" s="2">
        <f>攻城基础信息!AA50*$E$12</f>
        <v>110106.19171129045</v>
      </c>
      <c r="AF49" s="2">
        <f>攻城基础信息!AB50*$E$12</f>
        <v>113446.46836619996</v>
      </c>
      <c r="AH49" s="2">
        <f>$E$4*AB49*攻城基础信息!AC50</f>
        <v>1408972.777271738</v>
      </c>
      <c r="AI49" s="2">
        <f>$E$4*AC49*攻城基础信息!AD50</f>
        <v>1462480.6123969317</v>
      </c>
      <c r="AJ49" s="2">
        <f>$E$4*AD49*攻城基础信息!AE50</f>
        <v>1563074.8820552875</v>
      </c>
      <c r="AK49" s="2">
        <f>$E$4*AE49*攻城基础信息!AF50</f>
        <v>1824092.5760170463</v>
      </c>
      <c r="AL49" s="2">
        <f>$E$4*AF49*攻城基础信息!AG50</f>
        <v>1879429.8259333808</v>
      </c>
      <c r="AN49" s="2">
        <v>46</v>
      </c>
      <c r="AO49" s="2">
        <f>求节点(节奏总纲!D$4:D$163,AH$4:AH$163,$AN49)*其他调用!H50*其他调用!$M50</f>
        <v>100683249.47638278</v>
      </c>
      <c r="AP49" s="2">
        <f>求节点(节奏总纲!E$4:E$163,AI$4:AI$163,$AN49)*其他调用!I50*其他调用!$M50</f>
        <v>94690730.65879415</v>
      </c>
      <c r="AQ49" s="2">
        <f>求节点(节奏总纲!F$4:F$163,AJ$4:AJ$163,$AN49)*其他调用!J50*其他调用!$M50</f>
        <v>9838840.6708701067</v>
      </c>
      <c r="AR49" s="2">
        <f>求节点(节奏总纲!G$4:G$163,AK$4:AK$163,$AN49)*其他调用!K50*其他调用!$M50</f>
        <v>2203328.9554316867</v>
      </c>
      <c r="AS49" s="2">
        <f>求节点(节奏总纲!H$4:H$163,AL$4:AL$163,$AN49)*其他调用!L50*其他调用!$M50</f>
        <v>826008.3387495341</v>
      </c>
      <c r="AT49" s="2">
        <f t="shared" si="0"/>
        <v>208242158.10022825</v>
      </c>
      <c r="AY49" s="2">
        <v>46</v>
      </c>
      <c r="AZ49" s="2">
        <f>其他调用!R50*6*(其他调用!AH$2*$AZ$1*MIN(其他调用!$AJ50/其他调用!AH50,1)+$E$4*0%*攻城基础信息!AC50)</f>
        <v>5624.9230712319913</v>
      </c>
      <c r="BA49" s="2">
        <f>其他调用!S50*6*(其他调用!AI$2*$AZ$1*MIN(其他调用!$AJ50/其他调用!AI50,1)+$E$4*0%*攻城基础信息!AD50)</f>
        <v>17066.559882734538</v>
      </c>
      <c r="BB49" s="2">
        <f>其他调用!T50*6*(其他调用!AJ$2*$AZ$1*MIN(其他调用!$AJ50/其他调用!AJ50,1)+$E$4*0%*攻城基础信息!AE50)</f>
        <v>51841.620367753778</v>
      </c>
      <c r="BC49" s="2">
        <f>其他调用!U50*6*(其他调用!AK$2*$AZ$1*MIN(其他调用!$AJ50/其他调用!AK50,1)+$E$4*0%*攻城基础信息!AF50)</f>
        <v>21301.847666690832</v>
      </c>
      <c r="BD49" s="2">
        <f>其他调用!V50*6*(其他调用!AL$2*$AZ$1*MIN(其他调用!$AJ50/其他调用!AL50,1)+$E$4*0%*攻城基础信息!AG50)</f>
        <v>6529.4519296599292</v>
      </c>
      <c r="BF49" s="2">
        <v>46</v>
      </c>
      <c r="BG49" s="2">
        <f>求节点(节奏总纲!D$4:D$163,AZ$4:AZ$163,$AN49)</f>
        <v>6357.5085973196501</v>
      </c>
      <c r="BH49" s="2">
        <f>求节点(节奏总纲!E$4:E$163,BA$4:BA$163,$AN49)</f>
        <v>19716.570385143288</v>
      </c>
      <c r="BI49" s="2">
        <f>求节点(节奏总纲!F$4:F$163,BB$4:BB$163,$AN49)</f>
        <v>61802.392985861079</v>
      </c>
      <c r="BJ49" s="2">
        <f>求节点(节奏总纲!G$4:G$163,BC$4:BC$163,$AN49)</f>
        <v>28265.743317321154</v>
      </c>
      <c r="BK49" s="2">
        <f>求节点(节奏总纲!H$4:H$163,BD$4:BD$163,$AN49)</f>
        <v>9309.492341266774</v>
      </c>
      <c r="BL49" s="2">
        <f>BG49*其他调用!H50*其他调用!$M50</f>
        <v>304532.98856123438</v>
      </c>
      <c r="BM49" s="2">
        <f>BH49*其他调用!I50*其他调用!$M50</f>
        <v>790099.9543904044</v>
      </c>
      <c r="BN49" s="2">
        <f>BI49*其他调用!J50*其他调用!$M50</f>
        <v>214641.71176062434</v>
      </c>
      <c r="BO49" s="2">
        <f>BJ49*其他调用!K50*其他调用!$M50</f>
        <v>15936.222749923299</v>
      </c>
      <c r="BP49" s="2">
        <f>BK49*其他调用!L50*其他调用!$M50</f>
        <v>1367.2183078063063</v>
      </c>
      <c r="BQ49" s="2">
        <f t="shared" si="1"/>
        <v>1326578.0957699928</v>
      </c>
      <c r="BR49" s="2">
        <f>[1]服务器生态!$R48</f>
        <v>3.8164515882875956E-2</v>
      </c>
      <c r="BS49" s="2" t="e">
        <f>SUMPRODUCT((BG$4:BG49)*($BR$4:$BR49)*(其他调用!#REF!))</f>
        <v>#REF!</v>
      </c>
      <c r="BT49" s="2" t="e">
        <f>SUMPRODUCT((BH$4:BH49)*($BR$4:$BR49)*(其他调用!#REF!))</f>
        <v>#REF!</v>
      </c>
      <c r="BU49" s="2" t="e">
        <f>SUMPRODUCT((BI$4:BI49)*($BR$4:$BR49)*(其他调用!#REF!))</f>
        <v>#REF!</v>
      </c>
      <c r="BV49" s="2" t="e">
        <f>SUMPRODUCT((BJ$4:BJ49)*($BR$4:$BR49)*(其他调用!#REF!))</f>
        <v>#REF!</v>
      </c>
      <c r="BW49" s="2" t="e">
        <f>SUMPRODUCT((BK$4:BK49)*($BR$4:$BR49)*(其他调用!#REF!))</f>
        <v>#REF!</v>
      </c>
      <c r="BX49" s="2" t="e">
        <f>SUMPRODUCT((BG$4:BG49)*($BR$4:$BR49))*'[1]功能-战损相关'!$D$2-BS49</f>
        <v>#REF!</v>
      </c>
      <c r="BY49" s="2" t="e">
        <f>SUMPRODUCT((BH$4:BH49)*($BR$4:$BR49))*'[1]功能-战损相关'!$D$2-BT49</f>
        <v>#REF!</v>
      </c>
      <c r="BZ49" s="2" t="e">
        <f>SUMPRODUCT((BI$4:BI49)*($BR$4:$BR49))*'[1]功能-战损相关'!$D$2-BU49</f>
        <v>#REF!</v>
      </c>
      <c r="CA49" s="2" t="e">
        <f>SUMPRODUCT((BJ$4:BJ49)*($BR$4:$BR49))*'[1]功能-战损相关'!$D$2-BV49</f>
        <v>#REF!</v>
      </c>
      <c r="CB49" s="2" t="e">
        <f>SUMPRODUCT((BK$4:BK49)*($BR$4:$BR49))*'[1]功能-战损相关'!$D$2-BW49</f>
        <v>#REF!</v>
      </c>
      <c r="CD49" s="2">
        <v>46</v>
      </c>
      <c r="CE49" s="7">
        <v>1</v>
      </c>
      <c r="CF49" s="2" t="e">
        <f>求节点(节奏总纲!R$4:R$363,BS$4:BS$363,$CD49)*$CE49</f>
        <v>#VALUE!</v>
      </c>
      <c r="CG49" s="2" t="e">
        <f>求节点(节奏总纲!S$4:S$363,BT$4:BT$363,$CD49)*$CE49</f>
        <v>#VALUE!</v>
      </c>
      <c r="CH49" s="2" t="e">
        <f>求节点(节奏总纲!T$4:T$363,BU$4:BU$363,$CD49)*$CE49</f>
        <v>#VALUE!</v>
      </c>
      <c r="CI49" s="2" t="e">
        <f>求节点(节奏总纲!U$4:U$363,BV$4:BV$363,$CD49)*$CE49</f>
        <v>#VALUE!</v>
      </c>
      <c r="CJ49" s="2" t="e">
        <f>求节点(节奏总纲!V$4:V$363,BW$4:BW$363,$CD49)*$CE49</f>
        <v>#VALUE!</v>
      </c>
      <c r="CK49" s="2" t="e">
        <f>求节点(节奏总纲!R$4:R$363,BX$4:BX$363,$CD49)*$CE49</f>
        <v>#VALUE!</v>
      </c>
      <c r="CL49" s="2" t="e">
        <f>求节点(节奏总纲!S$4:S$363,BY$4:BY$363,$CD49)*$CE49</f>
        <v>#VALUE!</v>
      </c>
      <c r="CM49" s="2" t="e">
        <f>求节点(节奏总纲!T$4:T$363,BZ$4:BZ$363,$CD49)*$CE49</f>
        <v>#VALUE!</v>
      </c>
      <c r="CN49" s="2" t="e">
        <f>求节点(节奏总纲!U$4:U$363,CA$4:CA$363,$CD49)*$CE49</f>
        <v>#VALUE!</v>
      </c>
      <c r="CO49" s="2" t="e">
        <f>求节点(节奏总纲!V$4:V$363,CB$4:CB$363,$CD49)*$CE49</f>
        <v>#VALUE!</v>
      </c>
    </row>
    <row r="50" spans="17:93" x14ac:dyDescent="0.15">
      <c r="Q50" s="2">
        <f t="shared" si="12"/>
        <v>4</v>
      </c>
      <c r="R50" s="2">
        <f t="shared" si="12"/>
        <v>75</v>
      </c>
      <c r="S50" s="23">
        <f>求节点(节奏总纲!D$4:D$113,节奏总纲!$C$4:$C$113,$R50)</f>
        <v>62.470630686057078</v>
      </c>
      <c r="T50" s="23">
        <f>求节点(节奏总纲!E$4:E$113,节奏总纲!$C$4:$C$113,$R50)</f>
        <v>64.495279642868965</v>
      </c>
      <c r="U50" s="23">
        <f>求节点(节奏总纲!F$4:F$113,节奏总纲!$C$4:$C$113,$R50)</f>
        <v>67.344310856946692</v>
      </c>
      <c r="V50" s="23">
        <f>求节点(节奏总纲!G$4:G$113,节奏总纲!$C$4:$C$113,$R50)</f>
        <v>71.882008108111634</v>
      </c>
      <c r="W50" s="23">
        <f>求节点(节奏总纲!H$4:H$113,节奏总纲!$C$4:$C$113,$R50)</f>
        <v>80.437605572866573</v>
      </c>
      <c r="AA50" s="2">
        <v>47</v>
      </c>
      <c r="AB50" s="2">
        <f>攻城基础信息!X51*$E$12</f>
        <v>87024.202317885502</v>
      </c>
      <c r="AC50" s="2">
        <f>攻城基础信息!Y51*$E$12</f>
        <v>90697.428085461186</v>
      </c>
      <c r="AD50" s="2">
        <f>攻城基础信息!Z51*$E$12</f>
        <v>97306.86640349486</v>
      </c>
      <c r="AE50" s="2">
        <f>攻城基础信息!AA51*$E$12</f>
        <v>113561.78753391399</v>
      </c>
      <c r="AF50" s="2">
        <f>攻城基础信息!AB51*$E$12</f>
        <v>116939.71756101993</v>
      </c>
      <c r="AH50" s="2">
        <f>$E$4*AB50*攻城基础信息!AC51</f>
        <v>1462006.5989404775</v>
      </c>
      <c r="AI50" s="2">
        <f>$E$4*AC50*攻城基础信息!AD51</f>
        <v>1523716.7918357491</v>
      </c>
      <c r="AJ50" s="2">
        <f>$E$4*AD50*攻城基础信息!AE51</f>
        <v>1634755.3555787147</v>
      </c>
      <c r="AK50" s="2">
        <f>$E$4*AE50*攻城基础信息!AF51</f>
        <v>1907838.0305697564</v>
      </c>
      <c r="AL50" s="2">
        <f>$E$4*AF50*攻城基础信息!AG51</f>
        <v>1964587.2550251363</v>
      </c>
      <c r="AN50" s="2">
        <v>47</v>
      </c>
      <c r="AO50" s="2">
        <f>求节点(节奏总纲!D$4:D$163,AH$4:AH$163,$AN50)*其他调用!H51*其他调用!$M51</f>
        <v>102053673.30905521</v>
      </c>
      <c r="AP50" s="2">
        <f>求节点(节奏总纲!E$4:E$163,AI$4:AI$163,$AN50)*其他调用!I51*其他调用!$M51</f>
        <v>96403315.122046113</v>
      </c>
      <c r="AQ50" s="2">
        <f>求节点(节奏总纲!F$4:F$163,AJ$4:AJ$163,$AN50)*其他调用!J51*其他调用!$M51</f>
        <v>10017652.388752254</v>
      </c>
      <c r="AR50" s="2">
        <f>求节点(节奏总纲!G$4:G$163,AK$4:AK$163,$AN50)*其他调用!K51*其他调用!$M51</f>
        <v>2244750.8985336316</v>
      </c>
      <c r="AS50" s="2">
        <f>求节点(节奏总纲!H$4:H$163,AL$4:AL$163,$AN50)*其他调用!L51*其他调用!$M51</f>
        <v>845459.12393672112</v>
      </c>
      <c r="AT50" s="2">
        <f t="shared" si="0"/>
        <v>211564850.84232393</v>
      </c>
      <c r="AY50" s="2">
        <v>47</v>
      </c>
      <c r="AZ50" s="2">
        <f>其他调用!R51*6*(其他调用!AH$2*$AZ$1*MIN(其他调用!$AJ51/其他调用!AH51,1)+$E$4*0%*攻城基础信息!AC51)</f>
        <v>5701.7490323418788</v>
      </c>
      <c r="BA50" s="2">
        <f>其他调用!S51*6*(其他调用!AI$2*$AZ$1*MIN(其他调用!$AJ51/其他调用!AI51,1)+$E$4*0%*攻城基础信息!AD51)</f>
        <v>17297.804285921779</v>
      </c>
      <c r="BB50" s="2">
        <f>其他调用!T51*6*(其他调用!AJ$2*$AZ$1*MIN(其他调用!$AJ51/其他调用!AJ51,1)+$E$4*0%*攻城基础信息!AE51)</f>
        <v>52518.701200479198</v>
      </c>
      <c r="BC50" s="2">
        <f>其他调用!U51*6*(其他调用!AK$2*$AZ$1*MIN(其他调用!$AJ51/其他调用!AK51,1)+$E$4*0%*攻城基础信息!AF51)</f>
        <v>21717.852633373514</v>
      </c>
      <c r="BD50" s="2">
        <f>其他调用!V51*6*(其他调用!AL$2*$AZ$1*MIN(其他调用!$AJ51/其他调用!AL51,1)+$E$4*0%*攻城基础信息!AG51)</f>
        <v>6641.1018482650979</v>
      </c>
      <c r="BF50" s="2">
        <v>47</v>
      </c>
      <c r="BG50" s="2">
        <f>求节点(节奏总纲!D$4:D$163,AZ$4:AZ$163,$AN50)</f>
        <v>6381.2745401823686</v>
      </c>
      <c r="BH50" s="2">
        <f>求节点(节奏总纲!E$4:E$163,BA$4:BA$163,$AN50)</f>
        <v>19787.358013234825</v>
      </c>
      <c r="BI50" s="2">
        <f>求节点(节奏总纲!F$4:F$163,BB$4:BB$163,$AN50)</f>
        <v>62020.14846707791</v>
      </c>
      <c r="BJ50" s="2">
        <f>求节点(节奏总纲!G$4:G$163,BC$4:BC$163,$AN50)</f>
        <v>28395.874651281218</v>
      </c>
      <c r="BK50" s="2">
        <f>求节点(节奏总纲!H$4:H$163,BD$4:BD$163,$AN50)</f>
        <v>9330.0497737218138</v>
      </c>
      <c r="BL50" s="2">
        <f>BG50*其他调用!H51*其他调用!$M51</f>
        <v>305916.35150310775</v>
      </c>
      <c r="BM50" s="2">
        <f>BH50*其他调用!I51*其他调用!$M51</f>
        <v>797049.47416870762</v>
      </c>
      <c r="BN50" s="2">
        <f>BI50*其他调用!J51*其他调用!$M51</f>
        <v>216155.54376042233</v>
      </c>
      <c r="BO50" s="2">
        <f>BJ50*其他调用!K51*其他调用!$M51</f>
        <v>16106.114276905975</v>
      </c>
      <c r="BP50" s="2">
        <f>BK50*其他调用!L51*其他调用!$M51</f>
        <v>1382.4281715756474</v>
      </c>
      <c r="BQ50" s="2">
        <f t="shared" si="1"/>
        <v>1336609.9118807192</v>
      </c>
      <c r="BR50" s="2">
        <f>[1]服务器生态!$R49</f>
        <v>3.7042030121614895E-2</v>
      </c>
      <c r="BS50" s="2" t="e">
        <f>SUMPRODUCT((BG$4:BG50)*($BR$4:$BR50)*(其他调用!#REF!))</f>
        <v>#REF!</v>
      </c>
      <c r="BT50" s="2" t="e">
        <f>SUMPRODUCT((BH$4:BH50)*($BR$4:$BR50)*(其他调用!#REF!))</f>
        <v>#REF!</v>
      </c>
      <c r="BU50" s="2" t="e">
        <f>SUMPRODUCT((BI$4:BI50)*($BR$4:$BR50)*(其他调用!#REF!))</f>
        <v>#REF!</v>
      </c>
      <c r="BV50" s="2" t="e">
        <f>SUMPRODUCT((BJ$4:BJ50)*($BR$4:$BR50)*(其他调用!#REF!))</f>
        <v>#REF!</v>
      </c>
      <c r="BW50" s="2" t="e">
        <f>SUMPRODUCT((BK$4:BK50)*($BR$4:$BR50)*(其他调用!#REF!))</f>
        <v>#REF!</v>
      </c>
      <c r="BX50" s="2" t="e">
        <f>SUMPRODUCT((BG$4:BG50)*($BR$4:$BR50))*'[1]功能-战损相关'!$D$2-BS50</f>
        <v>#REF!</v>
      </c>
      <c r="BY50" s="2" t="e">
        <f>SUMPRODUCT((BH$4:BH50)*($BR$4:$BR50))*'[1]功能-战损相关'!$D$2-BT50</f>
        <v>#REF!</v>
      </c>
      <c r="BZ50" s="2" t="e">
        <f>SUMPRODUCT((BI$4:BI50)*($BR$4:$BR50))*'[1]功能-战损相关'!$D$2-BU50</f>
        <v>#REF!</v>
      </c>
      <c r="CA50" s="2" t="e">
        <f>SUMPRODUCT((BJ$4:BJ50)*($BR$4:$BR50))*'[1]功能-战损相关'!$D$2-BV50</f>
        <v>#REF!</v>
      </c>
      <c r="CB50" s="2" t="e">
        <f>SUMPRODUCT((BK$4:BK50)*($BR$4:$BR50))*'[1]功能-战损相关'!$D$2-BW50</f>
        <v>#REF!</v>
      </c>
      <c r="CD50" s="2">
        <v>47</v>
      </c>
      <c r="CE50" s="7">
        <v>1</v>
      </c>
      <c r="CF50" s="2" t="e">
        <f>求节点(节奏总纲!R$4:R$363,BS$4:BS$363,$CD50)*$CE50</f>
        <v>#VALUE!</v>
      </c>
      <c r="CG50" s="2" t="e">
        <f>求节点(节奏总纲!S$4:S$363,BT$4:BT$363,$CD50)*$CE50</f>
        <v>#VALUE!</v>
      </c>
      <c r="CH50" s="2" t="e">
        <f>求节点(节奏总纲!T$4:T$363,BU$4:BU$363,$CD50)*$CE50</f>
        <v>#VALUE!</v>
      </c>
      <c r="CI50" s="2" t="e">
        <f>求节点(节奏总纲!U$4:U$363,BV$4:BV$363,$CD50)*$CE50</f>
        <v>#VALUE!</v>
      </c>
      <c r="CJ50" s="2" t="e">
        <f>求节点(节奏总纲!V$4:V$363,BW$4:BW$363,$CD50)*$CE50</f>
        <v>#VALUE!</v>
      </c>
      <c r="CK50" s="2" t="e">
        <f>求节点(节奏总纲!R$4:R$363,BX$4:BX$363,$CD50)*$CE50</f>
        <v>#VALUE!</v>
      </c>
      <c r="CL50" s="2" t="e">
        <f>求节点(节奏总纲!S$4:S$363,BY$4:BY$363,$CD50)*$CE50</f>
        <v>#VALUE!</v>
      </c>
      <c r="CM50" s="2" t="e">
        <f>求节点(节奏总纲!T$4:T$363,BZ$4:BZ$363,$CD50)*$CE50</f>
        <v>#VALUE!</v>
      </c>
      <c r="CN50" s="2" t="e">
        <f>求节点(节奏总纲!U$4:U$363,CA$4:CA$363,$CD50)*$CE50</f>
        <v>#VALUE!</v>
      </c>
      <c r="CO50" s="2" t="e">
        <f>求节点(节奏总纲!V$4:V$363,CB$4:CB$363,$CD50)*$CE50</f>
        <v>#VALUE!</v>
      </c>
    </row>
    <row r="51" spans="17:93" x14ac:dyDescent="0.15">
      <c r="Q51" s="2">
        <f t="shared" si="12"/>
        <v>5</v>
      </c>
      <c r="R51" s="2">
        <f t="shared" si="12"/>
        <v>120</v>
      </c>
      <c r="S51" s="23">
        <f>求节点(节奏总纲!D$4:D$113,节奏总纲!$C$4:$C$113,$R51)</f>
        <v>69.18336653741882</v>
      </c>
      <c r="T51" s="23">
        <f>求节点(节奏总纲!E$4:E$113,节奏总纲!$C$4:$C$113,$R51)</f>
        <v>71.230067506391322</v>
      </c>
      <c r="U51" s="23">
        <f>求节点(节奏总纲!F$4:F$113,节奏总纲!$C$4:$C$113,$R51)</f>
        <v>74.149428238300118</v>
      </c>
      <c r="V51" s="23">
        <f>求节点(节奏总纲!G$4:G$113,节奏总纲!$C$4:$C$113,$R51)</f>
        <v>78.608065926757661</v>
      </c>
      <c r="W51" s="23">
        <f>求节点(节奏总纲!H$4:H$113,节奏总纲!$C$4:$C$113,$R51)</f>
        <v>87.571414295961461</v>
      </c>
      <c r="AA51" s="2">
        <v>48</v>
      </c>
      <c r="AB51" s="2">
        <f>攻城基础信息!X52*$E$12</f>
        <v>89321.366280740607</v>
      </c>
      <c r="AC51" s="2">
        <f>攻城基础信息!Y52*$E$12</f>
        <v>93173.91096740264</v>
      </c>
      <c r="AD51" s="2">
        <f>攻城基础信息!Z52*$E$12</f>
        <v>100372.69015833628</v>
      </c>
      <c r="AE51" s="2">
        <f>攻城基础信息!AA52*$E$12</f>
        <v>117099.14154807027</v>
      </c>
      <c r="AF51" s="2">
        <f>攻城基础信息!AB52*$E$12</f>
        <v>120514.67870475512</v>
      </c>
      <c r="AH51" s="2">
        <f>$E$4*AB51*攻城基础信息!AC52</f>
        <v>1521440.6056486161</v>
      </c>
      <c r="AI51" s="2">
        <f>$E$4*AC51*攻城基础信息!AD52</f>
        <v>1587062.2834780926</v>
      </c>
      <c r="AJ51" s="2">
        <f>$E$4*AD51*攻城基础信息!AE52</f>
        <v>1709681.489030329</v>
      </c>
      <c r="AK51" s="2">
        <f>$E$4*AE51*攻城基础信息!AF52</f>
        <v>1994588.7110354649</v>
      </c>
      <c r="AL51" s="2">
        <f>$E$4*AF51*攻城基础信息!AG52</f>
        <v>2052766.6939376635</v>
      </c>
      <c r="AN51" s="2">
        <v>48</v>
      </c>
      <c r="AO51" s="2">
        <f>求节点(节奏总纲!D$4:D$163,AH$4:AH$163,$AN51)*其他调用!H52*其他调用!$M52</f>
        <v>103358159.51265141</v>
      </c>
      <c r="AP51" s="2">
        <f>求节点(节奏总纲!E$4:E$163,AI$4:AI$163,$AN51)*其他调用!I52*其他调用!$M52</f>
        <v>98045005.669659123</v>
      </c>
      <c r="AQ51" s="2">
        <f>求节点(节奏总纲!F$4:F$163,AJ$4:AJ$163,$AN51)*其他调用!J52*其他调用!$M52</f>
        <v>10197247.735314997</v>
      </c>
      <c r="AR51" s="2">
        <f>求节点(节奏总纲!G$4:G$163,AK$4:AK$163,$AN51)*其他调用!K52*其他调用!$M52</f>
        <v>2283546.9283652105</v>
      </c>
      <c r="AS51" s="2">
        <f>求节点(节奏总纲!H$4:H$163,AL$4:AL$163,$AN51)*其他调用!L52*其他调用!$M52</f>
        <v>865152.59076863248</v>
      </c>
      <c r="AT51" s="2">
        <f t="shared" si="0"/>
        <v>214749112.43675935</v>
      </c>
      <c r="AY51" s="2">
        <v>48</v>
      </c>
      <c r="AZ51" s="2">
        <f>其他调用!R52*6*(其他调用!AH$2*$AZ$1*MIN(其他调用!$AJ52/其他调用!AH52,1)+$E$4*0%*攻城基础信息!AC52)</f>
        <v>5778.1114778532738</v>
      </c>
      <c r="BA51" s="2">
        <f>其他调用!S52*6*(其他调用!AI$2*$AZ$1*MIN(其他调用!$AJ52/其他调用!AI52,1)+$E$4*0%*攻城基础信息!AD52)</f>
        <v>17526.966445048427</v>
      </c>
      <c r="BB51" s="2">
        <f>其他调用!T52*6*(其他调用!AJ$2*$AZ$1*MIN(其他调用!$AJ52/其他调用!AJ52,1)+$E$4*0%*攻城基础信息!AE52)</f>
        <v>53213.713457100341</v>
      </c>
      <c r="BC51" s="2">
        <f>其他调用!U52*6*(其他调用!AK$2*$AZ$1*MIN(其他调用!$AJ52/其他调用!AK52,1)+$E$4*0%*攻城基础信息!AF52)</f>
        <v>22055.18048531485</v>
      </c>
      <c r="BD51" s="2">
        <f>其他调用!V52*6*(其他调用!AL$2*$AZ$1*MIN(其他调用!$AJ52/其他调用!AL52,1)+$E$4*0%*攻城基础信息!AG52)</f>
        <v>6752.9876035542675</v>
      </c>
      <c r="BF51" s="2">
        <v>48</v>
      </c>
      <c r="BG51" s="2">
        <f>求节点(节奏总纲!D$4:D$163,AZ$4:AZ$163,$AN51)</f>
        <v>6404.0839457350712</v>
      </c>
      <c r="BH51" s="2">
        <f>求节点(节奏总纲!E$4:E$163,BA$4:BA$163,$AN51)</f>
        <v>19856.885329784065</v>
      </c>
      <c r="BI51" s="2">
        <f>求节点(节奏总纲!F$4:F$163,BB$4:BB$163,$AN51)</f>
        <v>62237.774464311602</v>
      </c>
      <c r="BJ51" s="2">
        <f>求节点(节奏总纲!G$4:G$163,BC$4:BC$163,$AN51)</f>
        <v>28518.620178281217</v>
      </c>
      <c r="BK51" s="2">
        <f>求节点(节奏总纲!H$4:H$163,BD$4:BD$163,$AN51)</f>
        <v>9350.6072061768555</v>
      </c>
      <c r="BL51" s="2">
        <f>BG51*其他调用!H52*其他调用!$M52</f>
        <v>307252.05756837054</v>
      </c>
      <c r="BM51" s="2">
        <f>BH51*其他调用!I52*其他调用!$M52</f>
        <v>803987.95691055339</v>
      </c>
      <c r="BN51" s="2">
        <f>BI51*其他调用!J52*其他调用!$M52</f>
        <v>217675.05683640152</v>
      </c>
      <c r="BO51" s="2">
        <f>BJ51*其他调用!K52*其他调用!$M52</f>
        <v>16272.96675178318</v>
      </c>
      <c r="BP51" s="2">
        <f>BK51*其他调用!L52*其他调用!$M52</f>
        <v>1397.7390016335207</v>
      </c>
      <c r="BQ51" s="2">
        <f t="shared" si="1"/>
        <v>1346585.7770687423</v>
      </c>
      <c r="BR51" s="2">
        <f>[1]服务器生态!$R50</f>
        <v>3.5919544360353842E-2</v>
      </c>
      <c r="BS51" s="2" t="e">
        <f>SUMPRODUCT((BG$4:BG51)*($BR$4:$BR51)*(其他调用!#REF!))</f>
        <v>#REF!</v>
      </c>
      <c r="BT51" s="2" t="e">
        <f>SUMPRODUCT((BH$4:BH51)*($BR$4:$BR51)*(其他调用!#REF!))</f>
        <v>#REF!</v>
      </c>
      <c r="BU51" s="2" t="e">
        <f>SUMPRODUCT((BI$4:BI51)*($BR$4:$BR51)*(其他调用!#REF!))</f>
        <v>#REF!</v>
      </c>
      <c r="BV51" s="2" t="e">
        <f>SUMPRODUCT((BJ$4:BJ51)*($BR$4:$BR51)*(其他调用!#REF!))</f>
        <v>#REF!</v>
      </c>
      <c r="BW51" s="2" t="e">
        <f>SUMPRODUCT((BK$4:BK51)*($BR$4:$BR51)*(其他调用!#REF!))</f>
        <v>#REF!</v>
      </c>
      <c r="BX51" s="2" t="e">
        <f>SUMPRODUCT((BG$4:BG51)*($BR$4:$BR51))*'[1]功能-战损相关'!$D$2-BS51</f>
        <v>#REF!</v>
      </c>
      <c r="BY51" s="2" t="e">
        <f>SUMPRODUCT((BH$4:BH51)*($BR$4:$BR51))*'[1]功能-战损相关'!$D$2-BT51</f>
        <v>#REF!</v>
      </c>
      <c r="BZ51" s="2" t="e">
        <f>SUMPRODUCT((BI$4:BI51)*($BR$4:$BR51))*'[1]功能-战损相关'!$D$2-BU51</f>
        <v>#REF!</v>
      </c>
      <c r="CA51" s="2" t="e">
        <f>SUMPRODUCT((BJ$4:BJ51)*($BR$4:$BR51))*'[1]功能-战损相关'!$D$2-BV51</f>
        <v>#REF!</v>
      </c>
      <c r="CB51" s="2" t="e">
        <f>SUMPRODUCT((BK$4:BK51)*($BR$4:$BR51))*'[1]功能-战损相关'!$D$2-BW51</f>
        <v>#REF!</v>
      </c>
      <c r="CD51" s="2">
        <v>48</v>
      </c>
      <c r="CE51" s="7">
        <v>1</v>
      </c>
      <c r="CF51" s="2" t="e">
        <f>求节点(节奏总纲!R$4:R$363,BS$4:BS$363,$CD51)*$CE51</f>
        <v>#VALUE!</v>
      </c>
      <c r="CG51" s="2" t="e">
        <f>求节点(节奏总纲!S$4:S$363,BT$4:BT$363,$CD51)*$CE51</f>
        <v>#VALUE!</v>
      </c>
      <c r="CH51" s="2" t="e">
        <f>求节点(节奏总纲!T$4:T$363,BU$4:BU$363,$CD51)*$CE51</f>
        <v>#VALUE!</v>
      </c>
      <c r="CI51" s="2" t="e">
        <f>求节点(节奏总纲!U$4:U$363,BV$4:BV$363,$CD51)*$CE51</f>
        <v>#VALUE!</v>
      </c>
      <c r="CJ51" s="2" t="e">
        <f>求节点(节奏总纲!V$4:V$363,BW$4:BW$363,$CD51)*$CE51</f>
        <v>#VALUE!</v>
      </c>
      <c r="CK51" s="2" t="e">
        <f>求节点(节奏总纲!R$4:R$363,BX$4:BX$363,$CD51)*$CE51</f>
        <v>#VALUE!</v>
      </c>
      <c r="CL51" s="2" t="e">
        <f>求节点(节奏总纲!S$4:S$363,BY$4:BY$363,$CD51)*$CE51</f>
        <v>#VALUE!</v>
      </c>
      <c r="CM51" s="2" t="e">
        <f>求节点(节奏总纲!T$4:T$363,BZ$4:BZ$363,$CD51)*$CE51</f>
        <v>#VALUE!</v>
      </c>
      <c r="CN51" s="2" t="e">
        <f>求节点(节奏总纲!U$4:U$363,CA$4:CA$363,$CD51)*$CE51</f>
        <v>#VALUE!</v>
      </c>
      <c r="CO51" s="2" t="e">
        <f>求节点(节奏总纲!V$4:V$363,CB$4:CB$363,$CD51)*$CE51</f>
        <v>#VALUE!</v>
      </c>
    </row>
    <row r="52" spans="17:93" x14ac:dyDescent="0.15">
      <c r="Q52" s="2">
        <f t="shared" si="12"/>
        <v>6</v>
      </c>
      <c r="R52" s="2">
        <f t="shared" si="12"/>
        <v>180</v>
      </c>
      <c r="S52" s="23">
        <f>求节点(节奏总纲!D$4:D$113,节奏总纲!$C$4:$C$113,$R52)</f>
        <v>74.998404927577795</v>
      </c>
      <c r="T52" s="23">
        <f>求节点(节奏总纲!E$4:E$113,节奏总纲!$C$4:$C$113,$R52)</f>
        <v>77.06778397927944</v>
      </c>
      <c r="U52" s="23">
        <f>求节点(节奏总纲!F$4:F$113,节奏总纲!$C$4:$C$113,$R52)</f>
        <v>79.97103607409106</v>
      </c>
      <c r="V52" s="23">
        <f>求节点(节奏总纲!G$4:G$113,节奏总纲!$C$4:$C$113,$R52)</f>
        <v>84.557504671530296</v>
      </c>
      <c r="W52" s="23">
        <f>求节点(节奏总纲!H$4:H$113,节奏总纲!$C$4:$C$113,$R52)</f>
        <v>94.027056817114342</v>
      </c>
      <c r="AA52" s="2">
        <v>49</v>
      </c>
      <c r="AB52" s="2">
        <f>攻城基础信息!X53*$E$12</f>
        <v>91949.005756615952</v>
      </c>
      <c r="AC52" s="2">
        <f>攻城基础信息!Y53*$E$12</f>
        <v>95718.450427308489</v>
      </c>
      <c r="AD52" s="2">
        <f>攻城基础信息!Z53*$E$12</f>
        <v>103358.06499991981</v>
      </c>
      <c r="AE52" s="2">
        <f>攻城基础信息!AA53*$E$12</f>
        <v>120435.69006750156</v>
      </c>
      <c r="AF52" s="2">
        <f>攻城基础信息!AB53*$E$12</f>
        <v>123671.33691881124</v>
      </c>
      <c r="AH52" s="2">
        <f>$E$4*AB52*攻城基础信息!AC53</f>
        <v>1587652.8327309033</v>
      </c>
      <c r="AI52" s="2">
        <f>$E$4*AC52*攻城基础信息!AD53</f>
        <v>1652738.5773781943</v>
      </c>
      <c r="AJ52" s="2">
        <f>$E$4*AD52*攻城基础信息!AE53</f>
        <v>1784649.255665283</v>
      </c>
      <c r="AK52" s="2">
        <f>$E$4*AE52*攻城基础信息!AF53</f>
        <v>2079522.9151655284</v>
      </c>
      <c r="AL52" s="2">
        <f>$E$4*AF52*攻城基础信息!AG53</f>
        <v>2135391.750798142</v>
      </c>
      <c r="AN52" s="2">
        <v>49</v>
      </c>
      <c r="AO52" s="2">
        <f>求节点(节奏总纲!D$4:D$163,AH$4:AH$163,$AN52)*其他调用!H53*其他调用!$M53</f>
        <v>104595719.12378466</v>
      </c>
      <c r="AP52" s="2">
        <f>求节点(节奏总纲!E$4:E$163,AI$4:AI$163,$AN52)*其他调用!I53*其他调用!$M53</f>
        <v>99627165.575554505</v>
      </c>
      <c r="AQ52" s="2">
        <f>求节点(节奏总纲!F$4:F$163,AJ$4:AJ$163,$AN52)*其他调用!J53*其他调用!$M53</f>
        <v>10366127.81344915</v>
      </c>
      <c r="AR52" s="2">
        <f>求节点(节奏总纲!G$4:G$163,AK$4:AK$163,$AN52)*其他调用!K53*其他调用!$M53</f>
        <v>2322686.5594259561</v>
      </c>
      <c r="AS52" s="2">
        <f>求节点(节奏总纲!H$4:H$163,AL$4:AL$163,$AN52)*其他调用!L53*其他调用!$M53</f>
        <v>884733.68203866412</v>
      </c>
      <c r="AT52" s="2">
        <f t="shared" si="0"/>
        <v>217796432.75425291</v>
      </c>
      <c r="AY52" s="2">
        <v>49</v>
      </c>
      <c r="AZ52" s="2">
        <f>其他调用!R53*6*(其他调用!AH$2*$AZ$1*MIN(其他调用!$AJ53/其他调用!AH53,1)+$E$4*0%*攻城基础信息!AC53)</f>
        <v>5856.1506751055604</v>
      </c>
      <c r="BA52" s="2">
        <f>其他调用!S53*6*(其他调用!AI$2*$AZ$1*MIN(其他调用!$AJ53/其他调用!AI53,1)+$E$4*0%*攻城基础信息!AD53)</f>
        <v>17755.418295789361</v>
      </c>
      <c r="BB52" s="2">
        <f>其他调用!T53*6*(其他调用!AJ$2*$AZ$1*MIN(其他调用!$AJ53/其他调用!AJ53,1)+$E$4*0%*攻城基础信息!AE53)</f>
        <v>53892.363512435135</v>
      </c>
      <c r="BC52" s="2">
        <f>其他调用!U53*6*(其他调用!AK$2*$AZ$1*MIN(其他调用!$AJ53/其他调用!AK53,1)+$E$4*0%*攻城基础信息!AF53)</f>
        <v>22446.339409982455</v>
      </c>
      <c r="BD52" s="2">
        <f>其他调用!V53*6*(其他调用!AL$2*$AZ$1*MIN(其他调用!$AJ53/其他调用!AL53,1)+$E$4*0%*攻城基础信息!AG53)</f>
        <v>6870.7044993354348</v>
      </c>
      <c r="BF52" s="2">
        <v>49</v>
      </c>
      <c r="BG52" s="2">
        <f>求节点(节奏总纲!D$4:D$163,AZ$4:AZ$163,$AN52)</f>
        <v>6425.9255367822043</v>
      </c>
      <c r="BH52" s="2">
        <f>求节点(节奏总纲!E$4:E$163,BA$4:BA$163,$AN52)</f>
        <v>19925.339065978103</v>
      </c>
      <c r="BI52" s="2">
        <f>求节点(节奏总纲!F$4:F$163,BB$4:BB$163,$AN52)</f>
        <v>62449.679561862737</v>
      </c>
      <c r="BJ52" s="2">
        <f>求节点(节奏总纲!G$4:G$163,BC$4:BC$163,$AN52)</f>
        <v>28641.365705281212</v>
      </c>
      <c r="BK52" s="2">
        <f>求节点(节奏总纲!H$4:H$163,BD$4:BD$163,$AN52)</f>
        <v>9370.533278682542</v>
      </c>
      <c r="BL52" s="2">
        <f>BG52*其他调用!H53*其他调用!$M53</f>
        <v>308539.41839982255</v>
      </c>
      <c r="BM52" s="2">
        <f>BH52*其他调用!I53*其他调用!$M53</f>
        <v>810922.32529251755</v>
      </c>
      <c r="BN52" s="2">
        <f>BI52*其他调用!J53*其他调用!$M53</f>
        <v>219180.63050022675</v>
      </c>
      <c r="BO52" s="2">
        <f>BJ52*其他调用!K53*其他调用!$M53</f>
        <v>16440.9480437852</v>
      </c>
      <c r="BP52" s="2">
        <f>BK52*其他调用!L53*其他调用!$M53</f>
        <v>1413.0559018893064</v>
      </c>
      <c r="BQ52" s="2">
        <f t="shared" si="1"/>
        <v>1356496.3781382414</v>
      </c>
      <c r="BR52" s="2">
        <f>[1]服务器生态!$R51</f>
        <v>3.4797058599092781E-2</v>
      </c>
      <c r="BS52" s="2" t="e">
        <f>SUMPRODUCT((BG$4:BG52)*($BR$4:$BR52)*(其他调用!#REF!))</f>
        <v>#REF!</v>
      </c>
      <c r="BT52" s="2" t="e">
        <f>SUMPRODUCT((BH$4:BH52)*($BR$4:$BR52)*(其他调用!#REF!))</f>
        <v>#REF!</v>
      </c>
      <c r="BU52" s="2" t="e">
        <f>SUMPRODUCT((BI$4:BI52)*($BR$4:$BR52)*(其他调用!#REF!))</f>
        <v>#REF!</v>
      </c>
      <c r="BV52" s="2" t="e">
        <f>SUMPRODUCT((BJ$4:BJ52)*($BR$4:$BR52)*(其他调用!#REF!))</f>
        <v>#REF!</v>
      </c>
      <c r="BW52" s="2" t="e">
        <f>SUMPRODUCT((BK$4:BK52)*($BR$4:$BR52)*(其他调用!#REF!))</f>
        <v>#REF!</v>
      </c>
      <c r="BX52" s="2" t="e">
        <f>SUMPRODUCT((BG$4:BG52)*($BR$4:$BR52))*'[1]功能-战损相关'!$D$2-BS52</f>
        <v>#REF!</v>
      </c>
      <c r="BY52" s="2" t="e">
        <f>SUMPRODUCT((BH$4:BH52)*($BR$4:$BR52))*'[1]功能-战损相关'!$D$2-BT52</f>
        <v>#REF!</v>
      </c>
      <c r="BZ52" s="2" t="e">
        <f>SUMPRODUCT((BI$4:BI52)*($BR$4:$BR52))*'[1]功能-战损相关'!$D$2-BU52</f>
        <v>#REF!</v>
      </c>
      <c r="CA52" s="2" t="e">
        <f>SUMPRODUCT((BJ$4:BJ52)*($BR$4:$BR52))*'[1]功能-战损相关'!$D$2-BV52</f>
        <v>#REF!</v>
      </c>
      <c r="CB52" s="2" t="e">
        <f>SUMPRODUCT((BK$4:BK52)*($BR$4:$BR52))*'[1]功能-战损相关'!$D$2-BW52</f>
        <v>#REF!</v>
      </c>
      <c r="CD52" s="2">
        <v>49</v>
      </c>
      <c r="CE52" s="7">
        <v>1</v>
      </c>
      <c r="CF52" s="2" t="e">
        <f>求节点(节奏总纲!R$4:R$363,BS$4:BS$363,$CD52)*$CE52</f>
        <v>#VALUE!</v>
      </c>
      <c r="CG52" s="2" t="e">
        <f>求节点(节奏总纲!S$4:S$363,BT$4:BT$363,$CD52)*$CE52</f>
        <v>#VALUE!</v>
      </c>
      <c r="CH52" s="2" t="e">
        <f>求节点(节奏总纲!T$4:T$363,BU$4:BU$363,$CD52)*$CE52</f>
        <v>#VALUE!</v>
      </c>
      <c r="CI52" s="2" t="e">
        <f>求节点(节奏总纲!U$4:U$363,BV$4:BV$363,$CD52)*$CE52</f>
        <v>#VALUE!</v>
      </c>
      <c r="CJ52" s="2" t="e">
        <f>求节点(节奏总纲!V$4:V$363,BW$4:BW$363,$CD52)*$CE52</f>
        <v>#VALUE!</v>
      </c>
      <c r="CK52" s="2" t="e">
        <f>求节点(节奏总纲!R$4:R$363,BX$4:BX$363,$CD52)*$CE52</f>
        <v>#VALUE!</v>
      </c>
      <c r="CL52" s="2" t="e">
        <f>求节点(节奏总纲!S$4:S$363,BY$4:BY$363,$CD52)*$CE52</f>
        <v>#VALUE!</v>
      </c>
      <c r="CM52" s="2" t="e">
        <f>求节点(节奏总纲!T$4:T$363,BZ$4:BZ$363,$CD52)*$CE52</f>
        <v>#VALUE!</v>
      </c>
      <c r="CN52" s="2" t="e">
        <f>求节点(节奏总纲!U$4:U$363,CA$4:CA$363,$CD52)*$CE52</f>
        <v>#VALUE!</v>
      </c>
      <c r="CO52" s="2" t="e">
        <f>求节点(节奏总纲!V$4:V$363,CB$4:CB$363,$CD52)*$CE52</f>
        <v>#VALUE!</v>
      </c>
    </row>
    <row r="53" spans="17:93" x14ac:dyDescent="0.15">
      <c r="Q53" s="2">
        <f t="shared" si="12"/>
        <v>7</v>
      </c>
      <c r="R53" s="2">
        <f t="shared" si="12"/>
        <v>285</v>
      </c>
      <c r="S53" s="23">
        <f>求节点(节奏总纲!D$4:D$113,节奏总纲!$C$4:$C$113,$R53)</f>
        <v>81.590368553155727</v>
      </c>
      <c r="T53" s="23">
        <f>求节点(节奏总纲!E$4:E$113,节奏总纲!$C$4:$C$113,$R53)</f>
        <v>83.68257888790734</v>
      </c>
      <c r="U53" s="23">
        <f>求节点(节奏总纲!F$4:F$113,节奏总纲!$C$4:$C$113,$R53)</f>
        <v>86.632993678010848</v>
      </c>
      <c r="V53" s="23">
        <f>求节点(节奏总纲!G$4:G$113,节奏总纲!$C$4:$C$113,$R53)</f>
        <v>91.653386402768689</v>
      </c>
      <c r="W53" s="23">
        <f>求节点(节奏总纲!H$4:H$113,节奏总纲!$C$4:$C$113,$R53)</f>
        <v>100.54826785432043</v>
      </c>
      <c r="AA53" s="2">
        <v>50</v>
      </c>
      <c r="AB53" s="2">
        <f>攻城基础信息!X54*$E$12</f>
        <v>94759.837072907612</v>
      </c>
      <c r="AC53" s="2">
        <f>攻城基础信息!Y54*$E$12</f>
        <v>98219.61401044477</v>
      </c>
      <c r="AD53" s="2">
        <f>攻城基础信息!Z54*$E$12</f>
        <v>105884.65516870204</v>
      </c>
      <c r="AE53" s="2">
        <f>攻城基础信息!AA54*$E$12</f>
        <v>123066.41692859108</v>
      </c>
      <c r="AF53" s="2">
        <f>攻城基础信息!AB54*$E$12</f>
        <v>126531.67347412612</v>
      </c>
      <c r="AH53" s="2">
        <f>$E$4*AB53*攻城基础信息!AC54</f>
        <v>1658297.1487758842</v>
      </c>
      <c r="AI53" s="2">
        <f>$E$4*AC53*攻城基础信息!AD54</f>
        <v>1718843.2451827845</v>
      </c>
      <c r="AJ53" s="2">
        <f>$E$4*AD53*攻城基础信息!AE54</f>
        <v>1852981.4654522866</v>
      </c>
      <c r="AK53" s="2">
        <f>$E$4*AE53*攻城基础信息!AF54</f>
        <v>2153662.2962503447</v>
      </c>
      <c r="AL53" s="2">
        <f>$E$4*AF53*攻城基础信息!AG54</f>
        <v>2214304.2857972081</v>
      </c>
      <c r="AN53" s="2">
        <v>50</v>
      </c>
      <c r="AO53" s="2">
        <f>求节点(节奏总纲!D$4:D$163,AH$4:AH$163,$AN53)*其他调用!H54*其他调用!$M54</f>
        <v>105833840.86948992</v>
      </c>
      <c r="AP53" s="2">
        <f>求节点(节奏总纲!E$4:E$163,AI$4:AI$163,$AN53)*其他调用!I54*其他调用!$M54</f>
        <v>101221691.59278697</v>
      </c>
      <c r="AQ53" s="2">
        <f>求节点(节奏总纲!F$4:F$163,AJ$4:AJ$163,$AN53)*其他调用!J54*其他调用!$M54</f>
        <v>10535976.093092829</v>
      </c>
      <c r="AR53" s="2">
        <f>求节点(节奏总纲!G$4:G$163,AK$4:AK$163,$AN53)*其他调用!K54*其他调用!$M54</f>
        <v>2362171.1472371756</v>
      </c>
      <c r="AS53" s="2">
        <f>求节点(节奏总纲!H$4:H$163,AL$4:AL$163,$AN53)*其他调用!L54*其他调用!$M54</f>
        <v>904480.25028917764</v>
      </c>
      <c r="AT53" s="2">
        <f t="shared" si="0"/>
        <v>220858159.95289606</v>
      </c>
      <c r="AY53" s="2">
        <v>50</v>
      </c>
      <c r="AZ53" s="2">
        <f>其他调用!R54*6*(其他调用!AH$2*$AZ$1*MIN(其他调用!$AJ54/其他调用!AH54,1)+$E$4*0%*攻城基础信息!AC54)</f>
        <v>5931.5024656598271</v>
      </c>
      <c r="BA53" s="2">
        <f>其他调用!S54*6*(其他调用!AI$2*$AZ$1*MIN(其他调用!$AJ54/其他调用!AI54,1)+$E$4*0%*攻城基础信息!AD54)</f>
        <v>17990.782736436446</v>
      </c>
      <c r="BB53" s="2">
        <f>其他调用!T54*6*(其他调用!AJ$2*$AZ$1*MIN(其他调用!$AJ54/其他调用!AJ54,1)+$E$4*0%*攻城基础信息!AE54)</f>
        <v>54564.550988110634</v>
      </c>
      <c r="BC53" s="2">
        <f>其他调用!U54*6*(其他调用!AK$2*$AZ$1*MIN(其他调用!$AJ54/其他调用!AK54,1)+$E$4*0%*攻城基础信息!AF54)</f>
        <v>22835.440947136234</v>
      </c>
      <c r="BD53" s="2">
        <f>其他调用!V54*6*(其他调用!AL$2*$AZ$1*MIN(其他调用!$AJ54/其他调用!AL54,1)+$E$4*0%*攻城基础信息!AG54)</f>
        <v>6990.7394954129604</v>
      </c>
      <c r="BF53" s="2">
        <v>50</v>
      </c>
      <c r="BG53" s="2">
        <f>求节点(节奏总纲!D$4:D$163,AZ$4:AZ$163,$AN53)</f>
        <v>6447.7671278293383</v>
      </c>
      <c r="BH53" s="2">
        <f>求节点(节奏总纲!E$4:E$163,BA$4:BA$163,$AN53)</f>
        <v>19993.792802172145</v>
      </c>
      <c r="BI53" s="2">
        <f>求节点(节奏总纲!F$4:F$163,BB$4:BB$163,$AN53)</f>
        <v>62661.584659413864</v>
      </c>
      <c r="BJ53" s="2">
        <f>求节点(节奏总纲!G$4:G$163,BC$4:BC$163,$AN53)</f>
        <v>28764.111232281211</v>
      </c>
      <c r="BK53" s="2">
        <f>求节点(节奏总纲!H$4:H$163,BD$4:BD$163,$AN53)</f>
        <v>9390.3303544673217</v>
      </c>
      <c r="BL53" s="2">
        <f>BG53*其他调用!H54*其他调用!$M54</f>
        <v>309824.7940120956</v>
      </c>
      <c r="BM53" s="2">
        <f>BH53*其他调用!I54*其他调用!$M54</f>
        <v>817895.93318637402</v>
      </c>
      <c r="BN53" s="2">
        <f>BI53*其他调用!J54*其他调用!$M54</f>
        <v>220692.21181840674</v>
      </c>
      <c r="BO53" s="2">
        <f>BJ53*其他调用!K54*其他调用!$M54</f>
        <v>16610.061905048991</v>
      </c>
      <c r="BP53" s="2">
        <f>BK53*其他调用!L54*其他调用!$M54</f>
        <v>1428.4530996982617</v>
      </c>
      <c r="BQ53" s="2">
        <f t="shared" si="1"/>
        <v>1366451.4540216238</v>
      </c>
      <c r="BR53" s="2">
        <f>[1]服务器生态!$R52</f>
        <v>3.3674572837831721E-2</v>
      </c>
      <c r="BS53" s="2" t="e">
        <f>SUMPRODUCT((BG$4:BG53)*($BR$4:$BR53)*(其他调用!#REF!))</f>
        <v>#REF!</v>
      </c>
      <c r="BT53" s="2" t="e">
        <f>SUMPRODUCT((BH$4:BH53)*($BR$4:$BR53)*(其他调用!#REF!))</f>
        <v>#REF!</v>
      </c>
      <c r="BU53" s="2" t="e">
        <f>SUMPRODUCT((BI$4:BI53)*($BR$4:$BR53)*(其他调用!#REF!))</f>
        <v>#REF!</v>
      </c>
      <c r="BV53" s="2" t="e">
        <f>SUMPRODUCT((BJ$4:BJ53)*($BR$4:$BR53)*(其他调用!#REF!))</f>
        <v>#REF!</v>
      </c>
      <c r="BW53" s="2" t="e">
        <f>SUMPRODUCT((BK$4:BK53)*($BR$4:$BR53)*(其他调用!#REF!))</f>
        <v>#REF!</v>
      </c>
      <c r="BX53" s="2" t="e">
        <f>SUMPRODUCT((BG$4:BG53)*($BR$4:$BR53))*'[1]功能-战损相关'!$D$2-BS53</f>
        <v>#REF!</v>
      </c>
      <c r="BY53" s="2" t="e">
        <f>SUMPRODUCT((BH$4:BH53)*($BR$4:$BR53))*'[1]功能-战损相关'!$D$2-BT53</f>
        <v>#REF!</v>
      </c>
      <c r="BZ53" s="2" t="e">
        <f>SUMPRODUCT((BI$4:BI53)*($BR$4:$BR53))*'[1]功能-战损相关'!$D$2-BU53</f>
        <v>#REF!</v>
      </c>
      <c r="CA53" s="2" t="e">
        <f>SUMPRODUCT((BJ$4:BJ53)*($BR$4:$BR53))*'[1]功能-战损相关'!$D$2-BV53</f>
        <v>#REF!</v>
      </c>
      <c r="CB53" s="2" t="e">
        <f>SUMPRODUCT((BK$4:BK53)*($BR$4:$BR53))*'[1]功能-战损相关'!$D$2-BW53</f>
        <v>#REF!</v>
      </c>
      <c r="CD53" s="2">
        <v>50</v>
      </c>
      <c r="CE53" s="7">
        <v>1</v>
      </c>
      <c r="CF53" s="2" t="e">
        <f>求节点(节奏总纲!R$4:R$363,BS$4:BS$363,$CD53)*$CE53</f>
        <v>#VALUE!</v>
      </c>
      <c r="CG53" s="2" t="e">
        <f>求节点(节奏总纲!S$4:S$363,BT$4:BT$363,$CD53)*$CE53</f>
        <v>#VALUE!</v>
      </c>
      <c r="CH53" s="2" t="e">
        <f>求节点(节奏总纲!T$4:T$363,BU$4:BU$363,$CD53)*$CE53</f>
        <v>#VALUE!</v>
      </c>
      <c r="CI53" s="2" t="e">
        <f>求节点(节奏总纲!U$4:U$363,BV$4:BV$363,$CD53)*$CE53</f>
        <v>#VALUE!</v>
      </c>
      <c r="CJ53" s="2" t="e">
        <f>求节点(节奏总纲!V$4:V$363,BW$4:BW$363,$CD53)*$CE53</f>
        <v>#VALUE!</v>
      </c>
      <c r="CK53" s="2" t="e">
        <f>求节点(节奏总纲!R$4:R$363,BX$4:BX$363,$CD53)*$CE53</f>
        <v>#VALUE!</v>
      </c>
      <c r="CL53" s="2" t="e">
        <f>求节点(节奏总纲!S$4:S$363,BY$4:BY$363,$CD53)*$CE53</f>
        <v>#VALUE!</v>
      </c>
      <c r="CM53" s="2" t="e">
        <f>求节点(节奏总纲!T$4:T$363,BZ$4:BZ$363,$CD53)*$CE53</f>
        <v>#VALUE!</v>
      </c>
      <c r="CN53" s="2" t="e">
        <f>求节点(节奏总纲!U$4:U$363,CA$4:CA$363,$CD53)*$CE53</f>
        <v>#VALUE!</v>
      </c>
      <c r="CO53" s="2" t="e">
        <f>求节点(节奏总纲!V$4:V$363,CB$4:CB$363,$CD53)*$CE53</f>
        <v>#VALUE!</v>
      </c>
    </row>
    <row r="54" spans="17:93" x14ac:dyDescent="0.15">
      <c r="AA54" s="2">
        <v>51</v>
      </c>
      <c r="AB54" s="2">
        <f>攻城基础信息!X55*$E$12</f>
        <v>97601.329789937008</v>
      </c>
      <c r="AC54" s="2">
        <f>攻城基础信息!Y55*$E$12</f>
        <v>100967.3689496079</v>
      </c>
      <c r="AD54" s="2">
        <f>攻城基础信息!Z55*$E$12</f>
        <v>108390.06576586353</v>
      </c>
      <c r="AE54" s="2">
        <f>攻城基础信息!AA55*$E$12</f>
        <v>125939.79116612618</v>
      </c>
      <c r="AF54" s="2">
        <f>攻城基础信息!AB55*$E$12</f>
        <v>129496.32705577716</v>
      </c>
      <c r="AH54" s="2">
        <f>$E$4*AB54*攻城基础信息!AC55</f>
        <v>1730796.9149415505</v>
      </c>
      <c r="AI54" s="2">
        <f>$E$4*AC54*攻城基础信息!AD55</f>
        <v>1790488.0093730476</v>
      </c>
      <c r="AJ54" s="2">
        <f>$E$4*AD54*攻城基础信息!AE55</f>
        <v>1922117.1662479809</v>
      </c>
      <c r="AK54" s="2">
        <f>$E$4*AE54*攻城基础信息!AF55</f>
        <v>2233332.2966793054</v>
      </c>
      <c r="AL54" s="2">
        <f>$E$4*AF54*攻城基础信息!AG55</f>
        <v>2296401.5331224492</v>
      </c>
      <c r="AN54" s="2">
        <v>51</v>
      </c>
      <c r="AO54" s="2">
        <f>求节点(节奏总纲!D$4:D$163,AH$4:AH$163,$AN54)*其他调用!H55*其他调用!$M55</f>
        <v>107071891.39692047</v>
      </c>
      <c r="AP54" s="2">
        <f>求节点(节奏总纲!E$4:E$163,AI$4:AI$163,$AN54)*其他调用!I55*其他调用!$M55</f>
        <v>102843330.44930637</v>
      </c>
      <c r="AQ54" s="2">
        <f>求节点(节奏总纲!F$4:F$163,AJ$4:AJ$163,$AN54)*其他调用!J55*其他调用!$M55</f>
        <v>10706794.063764378</v>
      </c>
      <c r="AR54" s="2">
        <f>求节点(节奏总纲!G$4:G$163,AK$4:AK$163,$AN54)*其他调用!K55*其他调用!$M55</f>
        <v>2426852.9077205239</v>
      </c>
      <c r="AS54" s="2">
        <f>求节点(节奏总纲!H$4:H$163,AL$4:AL$163,$AN54)*其他调用!L55*其他调用!$M55</f>
        <v>924465.6514915406</v>
      </c>
      <c r="AT54" s="2">
        <f t="shared" si="0"/>
        <v>223973334.46920329</v>
      </c>
      <c r="AY54" s="2">
        <v>51</v>
      </c>
      <c r="AZ54" s="2">
        <f>其他调用!R55*6*(其他调用!AH$2*$AZ$1*MIN(其他调用!$AJ55/其他调用!AH55,1)+$E$4*0%*攻城基础信息!AC55)</f>
        <v>6010.5399520296114</v>
      </c>
      <c r="BA54" s="2">
        <f>其他调用!S55*6*(其他调用!AI$2*$AZ$1*MIN(其他调用!$AJ55/其他调用!AI55,1)+$E$4*0%*攻城基础信息!AD55)</f>
        <v>18208.081302368671</v>
      </c>
      <c r="BB54" s="2">
        <f>其他调用!T55*6*(其他调用!AJ$2*$AZ$1*MIN(其他调用!$AJ55/其他调用!AJ55,1)+$E$4*0%*攻城基础信息!AE55)</f>
        <v>55253.94310632065</v>
      </c>
      <c r="BC54" s="2">
        <f>其他调用!U55*6*(其他调用!AK$2*$AZ$1*MIN(其他调用!$AJ55/其他调用!AK55,1)+$E$4*0%*攻城基础信息!AF55)</f>
        <v>23179.262810816559</v>
      </c>
      <c r="BD54" s="2">
        <f>其他调用!V55*6*(其他调用!AL$2*$AZ$1*MIN(其他调用!$AJ55/其他调用!AL55,1)+$E$4*0%*攻城基础信息!AG55)</f>
        <v>7102.01948678182</v>
      </c>
      <c r="BF54" s="2">
        <v>51</v>
      </c>
      <c r="BG54" s="2">
        <f>求节点(节奏总纲!D$4:D$163,AZ$4:AZ$163,$AN54)</f>
        <v>6469.5958419130566</v>
      </c>
      <c r="BH54" s="2">
        <f>求节点(节奏总纲!E$4:E$163,BA$4:BA$163,$AN54)</f>
        <v>20061.959854370278</v>
      </c>
      <c r="BI54" s="2">
        <f>求节点(节奏总纲!F$4:F$163,BB$4:BB$163,$AN54)</f>
        <v>62873.489756964998</v>
      </c>
      <c r="BJ54" s="2">
        <f>求节点(节奏总纲!G$4:G$163,BC$4:BC$163,$AN54)</f>
        <v>28892.084465845663</v>
      </c>
      <c r="BK54" s="2">
        <f>求节点(节奏总纲!H$4:H$163,BD$4:BD$163,$AN54)</f>
        <v>9410.1274302520997</v>
      </c>
      <c r="BL54" s="2">
        <f>BG54*其他调用!H55*其他调用!$M55</f>
        <v>311107.52846551657</v>
      </c>
      <c r="BM54" s="2">
        <f>BH54*其他调用!I55*其他调用!$M55</f>
        <v>824897.10212838906</v>
      </c>
      <c r="BN54" s="2">
        <f>BI54*其他调用!J55*其他调用!$M55</f>
        <v>222209.80910831376</v>
      </c>
      <c r="BO54" s="2">
        <f>BJ54*其他调用!K55*其他调用!$M55</f>
        <v>16783.348851052895</v>
      </c>
      <c r="BP54" s="2">
        <f>BK54*其他调用!L55*其他调用!$M55</f>
        <v>1443.9501777134356</v>
      </c>
      <c r="BQ54" s="2">
        <f t="shared" si="1"/>
        <v>1376441.7387309857</v>
      </c>
      <c r="BR54" s="2">
        <f>[1]服务器生态!$R53</f>
        <v>3.2552087076570667E-2</v>
      </c>
      <c r="BS54" s="2" t="e">
        <f>SUMPRODUCT((BG$4:BG54)*($BR$4:$BR54)*(其他调用!#REF!))</f>
        <v>#REF!</v>
      </c>
      <c r="BT54" s="2" t="e">
        <f>SUMPRODUCT((BH$4:BH54)*($BR$4:$BR54)*(其他调用!#REF!))</f>
        <v>#REF!</v>
      </c>
      <c r="BU54" s="2" t="e">
        <f>SUMPRODUCT((BI$4:BI54)*($BR$4:$BR54)*(其他调用!#REF!))</f>
        <v>#REF!</v>
      </c>
      <c r="BV54" s="2" t="e">
        <f>SUMPRODUCT((BJ$4:BJ54)*($BR$4:$BR54)*(其他调用!#REF!))</f>
        <v>#REF!</v>
      </c>
      <c r="BW54" s="2" t="e">
        <f>SUMPRODUCT((BK$4:BK54)*($BR$4:$BR54)*(其他调用!#REF!))</f>
        <v>#REF!</v>
      </c>
      <c r="BX54" s="2" t="e">
        <f>SUMPRODUCT((BG$4:BG54)*($BR$4:$BR54))*'[1]功能-战损相关'!$D$2-BS54</f>
        <v>#REF!</v>
      </c>
      <c r="BY54" s="2" t="e">
        <f>SUMPRODUCT((BH$4:BH54)*($BR$4:$BR54))*'[1]功能-战损相关'!$D$2-BT54</f>
        <v>#REF!</v>
      </c>
      <c r="BZ54" s="2" t="e">
        <f>SUMPRODUCT((BI$4:BI54)*($BR$4:$BR54))*'[1]功能-战损相关'!$D$2-BU54</f>
        <v>#REF!</v>
      </c>
      <c r="CA54" s="2" t="e">
        <f>SUMPRODUCT((BJ$4:BJ54)*($BR$4:$BR54))*'[1]功能-战损相关'!$D$2-BV54</f>
        <v>#REF!</v>
      </c>
      <c r="CB54" s="2" t="e">
        <f>SUMPRODUCT((BK$4:BK54)*($BR$4:$BR54))*'[1]功能-战损相关'!$D$2-BW54</f>
        <v>#REF!</v>
      </c>
      <c r="CD54" s="2">
        <v>51</v>
      </c>
      <c r="CE54" s="7">
        <v>1</v>
      </c>
      <c r="CF54" s="2" t="e">
        <f>求节点(节奏总纲!R$4:R$363,BS$4:BS$363,$CD54)*$CE54</f>
        <v>#VALUE!</v>
      </c>
      <c r="CG54" s="2" t="e">
        <f>求节点(节奏总纲!S$4:S$363,BT$4:BT$363,$CD54)*$CE54</f>
        <v>#VALUE!</v>
      </c>
      <c r="CH54" s="2" t="e">
        <f>求节点(节奏总纲!T$4:T$363,BU$4:BU$363,$CD54)*$CE54</f>
        <v>#VALUE!</v>
      </c>
      <c r="CI54" s="2" t="e">
        <f>求节点(节奏总纲!U$4:U$363,BV$4:BV$363,$CD54)*$CE54</f>
        <v>#VALUE!</v>
      </c>
      <c r="CJ54" s="2" t="e">
        <f>求节点(节奏总纲!V$4:V$363,BW$4:BW$363,$CD54)*$CE54</f>
        <v>#VALUE!</v>
      </c>
      <c r="CK54" s="2" t="e">
        <f>求节点(节奏总纲!R$4:R$363,BX$4:BX$363,$CD54)*$CE54</f>
        <v>#VALUE!</v>
      </c>
      <c r="CL54" s="2" t="e">
        <f>求节点(节奏总纲!S$4:S$363,BY$4:BY$363,$CD54)*$CE54</f>
        <v>#VALUE!</v>
      </c>
      <c r="CM54" s="2" t="e">
        <f>求节点(节奏总纲!T$4:T$363,BZ$4:BZ$363,$CD54)*$CE54</f>
        <v>#VALUE!</v>
      </c>
      <c r="CN54" s="2" t="e">
        <f>求节点(节奏总纲!U$4:U$363,CA$4:CA$363,$CD54)*$CE54</f>
        <v>#VALUE!</v>
      </c>
      <c r="CO54" s="2" t="e">
        <f>求节点(节奏总纲!V$4:V$363,CB$4:CB$363,$CD54)*$CE54</f>
        <v>#VALUE!</v>
      </c>
    </row>
    <row r="55" spans="17:93" x14ac:dyDescent="0.15">
      <c r="AA55" s="2">
        <v>52</v>
      </c>
      <c r="AB55" s="2">
        <f>攻城基础信息!X56*$E$12</f>
        <v>100535.83176270375</v>
      </c>
      <c r="AC55" s="2">
        <f>攻城基础信息!Y56*$E$12</f>
        <v>103957.39884045729</v>
      </c>
      <c r="AD55" s="2">
        <f>攻城基础信息!Z56*$E$12</f>
        <v>110984.33861463284</v>
      </c>
      <c r="AE55" s="2">
        <f>攻城基础信息!AA56*$E$12</f>
        <v>129029.99360423324</v>
      </c>
      <c r="AF55" s="2">
        <f>攻城基础信息!AB56*$E$12</f>
        <v>132551.580138936</v>
      </c>
      <c r="AH55" s="2">
        <f>$E$4*AB55*攻城基础信息!AC56</f>
        <v>1806293.7773365781</v>
      </c>
      <c r="AI55" s="2">
        <f>$E$4*AC55*攻城基础信息!AD56</f>
        <v>1867767.9325002166</v>
      </c>
      <c r="AJ55" s="2">
        <f>$E$4*AD55*攻城基础信息!AE56</f>
        <v>1994018.6171095709</v>
      </c>
      <c r="AK55" s="2">
        <f>$E$4*AE55*攻城基础信息!AF56</f>
        <v>2318238.8850893914</v>
      </c>
      <c r="AL55" s="2">
        <f>$E$4*AF55*攻城基础信息!AG56</f>
        <v>2381510.0564962178</v>
      </c>
      <c r="AN55" s="2">
        <v>52</v>
      </c>
      <c r="AO55" s="2">
        <f>求节点(节奏总纲!D$4:D$163,AH$4:AH$163,$AN55)*其他调用!H56*其他调用!$M56</f>
        <v>108273576.95683186</v>
      </c>
      <c r="AP55" s="2">
        <f>求节点(节奏总纲!E$4:E$163,AI$4:AI$163,$AN55)*其他调用!I56*其他调用!$M56</f>
        <v>104710620.44398053</v>
      </c>
      <c r="AQ55" s="2">
        <f>求节点(节奏总纲!F$4:F$163,AJ$4:AJ$163,$AN55)*其他调用!J56*其他调用!$M56</f>
        <v>10876939.941560607</v>
      </c>
      <c r="AR55" s="2">
        <f>求节点(节奏总纲!G$4:G$163,AK$4:AK$163,$AN55)*其他调用!K56*其他调用!$M56</f>
        <v>2497048.0219223048</v>
      </c>
      <c r="AS55" s="2">
        <f>求节点(节奏总纲!H$4:H$163,AL$4:AL$163,$AN55)*其他调用!L56*其他调用!$M56</f>
        <v>944631.26773628662</v>
      </c>
      <c r="AT55" s="2">
        <f t="shared" si="0"/>
        <v>227302816.63203156</v>
      </c>
      <c r="AY55" s="2">
        <v>52</v>
      </c>
      <c r="AZ55" s="2">
        <f>其他调用!R56*6*(其他调用!AH$2*$AZ$1*MIN(其他调用!$AJ56/其他调用!AH56,1)+$E$4*0%*攻城基础信息!AC56)</f>
        <v>6085.1342858427106</v>
      </c>
      <c r="BA55" s="2">
        <f>其他调用!S56*6*(其他调用!AI$2*$AZ$1*MIN(其他调用!$AJ56/其他调用!AI56,1)+$E$4*0%*攻城基础信息!AD56)</f>
        <v>18445.321406614294</v>
      </c>
      <c r="BB55" s="2">
        <f>其他调用!T56*6*(其他调用!AJ$2*$AZ$1*MIN(其他调用!$AJ56/其他调用!AJ56,1)+$E$4*0%*攻城基础信息!AE56)</f>
        <v>55948.057803037431</v>
      </c>
      <c r="BC55" s="2">
        <f>其他调用!U56*6*(其他调用!AK$2*$AZ$1*MIN(其他调用!$AJ56/其他调用!AK56,1)+$E$4*0%*攻城基础信息!AF56)</f>
        <v>23550.325735693008</v>
      </c>
      <c r="BD55" s="2">
        <f>其他调用!V56*6*(其他调用!AL$2*$AZ$1*MIN(其他调用!$AJ56/其他调用!AL56,1)+$E$4*0%*攻城基础信息!AG56)</f>
        <v>7218.7993588082154</v>
      </c>
      <c r="BF55" s="2">
        <v>52</v>
      </c>
      <c r="BG55" s="2">
        <f>求节点(节奏总纲!D$4:D$163,AZ$4:AZ$163,$AN55)</f>
        <v>6490.6248336369317</v>
      </c>
      <c r="BH55" s="2">
        <f>求节点(节奏总纲!E$4:E$163,BA$4:BA$163,$AN55)</f>
        <v>20125.606432546247</v>
      </c>
      <c r="BI55" s="2">
        <f>求节点(节奏总纲!F$4:F$163,BB$4:BB$163,$AN55)</f>
        <v>63073.628583282945</v>
      </c>
      <c r="BJ55" s="2">
        <f>求节点(节奏总纲!G$4:G$163,BC$4:BC$163,$AN55)</f>
        <v>29021.07622191542</v>
      </c>
      <c r="BK55" s="2">
        <f>求节点(节奏总纲!H$4:H$163,BD$4:BD$163,$AN55)</f>
        <v>9429.8797619609304</v>
      </c>
      <c r="BL55" s="2">
        <f>BG55*其他调用!H56*其他调用!$M56</f>
        <v>312349.71814024128</v>
      </c>
      <c r="BM55" s="2">
        <f>BH55*其他调用!I56*其他调用!$M56</f>
        <v>831750.78630840429</v>
      </c>
      <c r="BN55" s="2">
        <f>BI55*其他调用!J56*其他调用!$M56</f>
        <v>223691.70140536092</v>
      </c>
      <c r="BO55" s="2">
        <f>BJ55*其他调用!K56*其他调用!$M56</f>
        <v>16958.407114959806</v>
      </c>
      <c r="BP55" s="2">
        <f>BK55*其他调用!L56*其他调用!$M56</f>
        <v>1459.5405106059868</v>
      </c>
      <c r="BQ55" s="2">
        <f t="shared" si="1"/>
        <v>1386210.1534795722</v>
      </c>
      <c r="BR55" s="2">
        <f>[1]服务器生态!$R54</f>
        <v>3.1429601315309613E-2</v>
      </c>
      <c r="BS55" s="2" t="e">
        <f>SUMPRODUCT((BG$4:BG55)*($BR$4:$BR55)*(其他调用!#REF!))</f>
        <v>#REF!</v>
      </c>
      <c r="BT55" s="2" t="e">
        <f>SUMPRODUCT((BH$4:BH55)*($BR$4:$BR55)*(其他调用!#REF!))</f>
        <v>#REF!</v>
      </c>
      <c r="BU55" s="2" t="e">
        <f>SUMPRODUCT((BI$4:BI55)*($BR$4:$BR55)*(其他调用!#REF!))</f>
        <v>#REF!</v>
      </c>
      <c r="BV55" s="2" t="e">
        <f>SUMPRODUCT((BJ$4:BJ55)*($BR$4:$BR55)*(其他调用!#REF!))</f>
        <v>#REF!</v>
      </c>
      <c r="BW55" s="2" t="e">
        <f>SUMPRODUCT((BK$4:BK55)*($BR$4:$BR55)*(其他调用!#REF!))</f>
        <v>#REF!</v>
      </c>
      <c r="BX55" s="2" t="e">
        <f>SUMPRODUCT((BG$4:BG55)*($BR$4:$BR55))*'[1]功能-战损相关'!$D$2-BS55</f>
        <v>#REF!</v>
      </c>
      <c r="BY55" s="2" t="e">
        <f>SUMPRODUCT((BH$4:BH55)*($BR$4:$BR55))*'[1]功能-战损相关'!$D$2-BT55</f>
        <v>#REF!</v>
      </c>
      <c r="BZ55" s="2" t="e">
        <f>SUMPRODUCT((BI$4:BI55)*($BR$4:$BR55))*'[1]功能-战损相关'!$D$2-BU55</f>
        <v>#REF!</v>
      </c>
      <c r="CA55" s="2" t="e">
        <f>SUMPRODUCT((BJ$4:BJ55)*($BR$4:$BR55))*'[1]功能-战损相关'!$D$2-BV55</f>
        <v>#REF!</v>
      </c>
      <c r="CB55" s="2" t="e">
        <f>SUMPRODUCT((BK$4:BK55)*($BR$4:$BR55))*'[1]功能-战损相关'!$D$2-BW55</f>
        <v>#REF!</v>
      </c>
      <c r="CD55" s="2">
        <v>52</v>
      </c>
      <c r="CE55" s="7">
        <v>1</v>
      </c>
      <c r="CF55" s="2" t="e">
        <f>求节点(节奏总纲!R$4:R$363,BS$4:BS$363,$CD55)*$CE55</f>
        <v>#VALUE!</v>
      </c>
      <c r="CG55" s="2" t="e">
        <f>求节点(节奏总纲!S$4:S$363,BT$4:BT$363,$CD55)*$CE55</f>
        <v>#VALUE!</v>
      </c>
      <c r="CH55" s="2" t="e">
        <f>求节点(节奏总纲!T$4:T$363,BU$4:BU$363,$CD55)*$CE55</f>
        <v>#VALUE!</v>
      </c>
      <c r="CI55" s="2" t="e">
        <f>求节点(节奏总纲!U$4:U$363,BV$4:BV$363,$CD55)*$CE55</f>
        <v>#VALUE!</v>
      </c>
      <c r="CJ55" s="2" t="e">
        <f>求节点(节奏总纲!V$4:V$363,BW$4:BW$363,$CD55)*$CE55</f>
        <v>#VALUE!</v>
      </c>
      <c r="CK55" s="2" t="e">
        <f>求节点(节奏总纲!R$4:R$363,BX$4:BX$363,$CD55)*$CE55</f>
        <v>#VALUE!</v>
      </c>
      <c r="CL55" s="2" t="e">
        <f>求节点(节奏总纲!S$4:S$363,BY$4:BY$363,$CD55)*$CE55</f>
        <v>#VALUE!</v>
      </c>
      <c r="CM55" s="2" t="e">
        <f>求节点(节奏总纲!T$4:T$363,BZ$4:BZ$363,$CD55)*$CE55</f>
        <v>#VALUE!</v>
      </c>
      <c r="CN55" s="2" t="e">
        <f>求节点(节奏总纲!U$4:U$363,CA$4:CA$363,$CD55)*$CE55</f>
        <v>#VALUE!</v>
      </c>
      <c r="CO55" s="2" t="e">
        <f>求节点(节奏总纲!V$4:V$363,CB$4:CB$363,$CD55)*$CE55</f>
        <v>#VALUE!</v>
      </c>
    </row>
    <row r="56" spans="17:93" x14ac:dyDescent="0.15">
      <c r="AA56" s="2">
        <v>53</v>
      </c>
      <c r="AB56" s="2">
        <f>攻城基础信息!X57*$E$12</f>
        <v>103539.48463425186</v>
      </c>
      <c r="AC56" s="2">
        <f>攻城基础信息!Y57*$E$12</f>
        <v>107039.17384155084</v>
      </c>
      <c r="AD56" s="2">
        <f>攻城基础信息!Z57*$E$12</f>
        <v>113646.71551178463</v>
      </c>
      <c r="AE56" s="2">
        <f>攻城基础信息!AA57*$E$12</f>
        <v>132216.28288192008</v>
      </c>
      <c r="AF56" s="2">
        <f>攻城基础信息!AB57*$E$12</f>
        <v>135838.0113448748</v>
      </c>
      <c r="AH56" s="2">
        <f>$E$4*AB56*攻城基础信息!AC57</f>
        <v>1884418.6203433846</v>
      </c>
      <c r="AI56" s="2">
        <f>$E$4*AC56*攻城基础信息!AD57</f>
        <v>1948112.9639162261</v>
      </c>
      <c r="AJ56" s="2">
        <f>$E$4*AD56*攻城基础信息!AE57</f>
        <v>2068370.2223144809</v>
      </c>
      <c r="AK56" s="2">
        <f>$E$4*AE56*攻城基础信息!AF57</f>
        <v>2406336.3484509462</v>
      </c>
      <c r="AL56" s="2">
        <f>$E$4*AF56*攻城基础信息!AG57</f>
        <v>2472251.8064767225</v>
      </c>
      <c r="AN56" s="2">
        <v>53</v>
      </c>
      <c r="AO56" s="2">
        <f>求节点(节奏总纲!D$4:D$163,AH$4:AH$163,$AN56)*其他调用!H57*其他调用!$M57</f>
        <v>109475648.61134465</v>
      </c>
      <c r="AP56" s="2">
        <f>求节点(节奏总纲!E$4:E$163,AI$4:AI$163,$AN56)*其他调用!I57*其他调用!$M57</f>
        <v>106592934.49387652</v>
      </c>
      <c r="AQ56" s="2">
        <f>求节点(节奏总纲!F$4:F$163,AJ$4:AJ$163,$AN56)*其他调用!J57*其他调用!$M57</f>
        <v>11046340.354140801</v>
      </c>
      <c r="AR56" s="2">
        <f>求节点(节奏总纲!G$4:G$163,AK$4:AK$163,$AN56)*其他调用!K57*其他调用!$M57</f>
        <v>2567946.3464605696</v>
      </c>
      <c r="AS56" s="2">
        <f>求节点(节奏总纲!H$4:H$163,AL$4:AL$163,$AN56)*其他调用!L57*其他调用!$M57</f>
        <v>964850.59700066829</v>
      </c>
      <c r="AT56" s="2">
        <f t="shared" si="0"/>
        <v>230647720.40282318</v>
      </c>
      <c r="AY56" s="2">
        <v>53</v>
      </c>
      <c r="AZ56" s="2">
        <f>其他调用!R57*6*(其他调用!AH$2*$AZ$1*MIN(其他调用!$AJ57/其他调用!AH57,1)+$E$4*0%*攻城基础信息!AC57)</f>
        <v>6163.1316372980873</v>
      </c>
      <c r="BA56" s="2">
        <f>其他调用!S57*6*(其他调用!AI$2*$AZ$1*MIN(其他调用!$AJ57/其他调用!AI57,1)+$E$4*0%*攻城基础信息!AD57)</f>
        <v>18674.531480674137</v>
      </c>
      <c r="BB56" s="2">
        <f>其他调用!T57*6*(其他调用!AJ$2*$AZ$1*MIN(其他调用!$AJ57/其他调用!AJ57,1)+$E$4*0%*攻城基础信息!AE57)</f>
        <v>56681.796817936469</v>
      </c>
      <c r="BC56" s="2">
        <f>其他调用!U57*6*(其他调用!AK$2*$AZ$1*MIN(其他调用!$AJ57/其他调用!AK57,1)+$E$4*0%*攻城基础信息!AF57)</f>
        <v>23931.276554783501</v>
      </c>
      <c r="BD56" s="2">
        <f>其他调用!V57*6*(其他调用!AL$2*$AZ$1*MIN(其他调用!$AJ57/其他调用!AL57,1)+$E$4*0%*攻城基础信息!AG57)</f>
        <v>7319.9585184948564</v>
      </c>
      <c r="BF56" s="2">
        <v>53</v>
      </c>
      <c r="BG56" s="2">
        <f>求节点(节奏总纲!D$4:D$163,AZ$4:AZ$163,$AN56)</f>
        <v>6511.6538253608069</v>
      </c>
      <c r="BH56" s="2">
        <f>求节点(节奏总纲!E$4:E$163,BA$4:BA$163,$AN56)</f>
        <v>20189.253010722219</v>
      </c>
      <c r="BI56" s="2">
        <f>求节点(节奏总纲!F$4:F$163,BB$4:BB$163,$AN56)</f>
        <v>63261.588892464701</v>
      </c>
      <c r="BJ56" s="2">
        <f>求节点(节奏总纲!G$4:G$163,BC$4:BC$163,$AN56)</f>
        <v>29150.067977985174</v>
      </c>
      <c r="BK56" s="2">
        <f>求节点(节奏总纲!H$4:H$163,BD$4:BD$163,$AN56)</f>
        <v>9449.4937911479647</v>
      </c>
      <c r="BL56" s="2">
        <f>BG56*其他调用!H57*其他调用!$M57</f>
        <v>313589.75553331501</v>
      </c>
      <c r="BM56" s="2">
        <f>BH56*其他调用!I57*其他调用!$M57</f>
        <v>838642.00856974022</v>
      </c>
      <c r="BN56" s="2">
        <f>BI56*其他调用!J57*其他调用!$M57</f>
        <v>225135.99598502211</v>
      </c>
      <c r="BO56" s="2">
        <f>BJ56*其他调用!K57*其他调用!$M57</f>
        <v>17134.652486025265</v>
      </c>
      <c r="BP56" s="2">
        <f>BK56*其他调用!L57*其他调用!$M57</f>
        <v>1475.2096131038227</v>
      </c>
      <c r="BQ56" s="2">
        <f t="shared" si="1"/>
        <v>1395977.6221872065</v>
      </c>
      <c r="BR56" s="2">
        <f>[1]服务器生态!$R55</f>
        <v>3.0307115554048553E-2</v>
      </c>
      <c r="BS56" s="2" t="e">
        <f>SUMPRODUCT((BG$4:BG56)*($BR$4:$BR56)*(其他调用!#REF!))</f>
        <v>#REF!</v>
      </c>
      <c r="BT56" s="2" t="e">
        <f>SUMPRODUCT((BH$4:BH56)*($BR$4:$BR56)*(其他调用!#REF!))</f>
        <v>#REF!</v>
      </c>
      <c r="BU56" s="2" t="e">
        <f>SUMPRODUCT((BI$4:BI56)*($BR$4:$BR56)*(其他调用!#REF!))</f>
        <v>#REF!</v>
      </c>
      <c r="BV56" s="2" t="e">
        <f>SUMPRODUCT((BJ$4:BJ56)*($BR$4:$BR56)*(其他调用!#REF!))</f>
        <v>#REF!</v>
      </c>
      <c r="BW56" s="2" t="e">
        <f>SUMPRODUCT((BK$4:BK56)*($BR$4:$BR56)*(其他调用!#REF!))</f>
        <v>#REF!</v>
      </c>
      <c r="BX56" s="2" t="e">
        <f>SUMPRODUCT((BG$4:BG56)*($BR$4:$BR56))*'[1]功能-战损相关'!$D$2-BS56</f>
        <v>#REF!</v>
      </c>
      <c r="BY56" s="2" t="e">
        <f>SUMPRODUCT((BH$4:BH56)*($BR$4:$BR56))*'[1]功能-战损相关'!$D$2-BT56</f>
        <v>#REF!</v>
      </c>
      <c r="BZ56" s="2" t="e">
        <f>SUMPRODUCT((BI$4:BI56)*($BR$4:$BR56))*'[1]功能-战损相关'!$D$2-BU56</f>
        <v>#REF!</v>
      </c>
      <c r="CA56" s="2" t="e">
        <f>SUMPRODUCT((BJ$4:BJ56)*($BR$4:$BR56))*'[1]功能-战损相关'!$D$2-BV56</f>
        <v>#REF!</v>
      </c>
      <c r="CB56" s="2" t="e">
        <f>SUMPRODUCT((BK$4:BK56)*($BR$4:$BR56))*'[1]功能-战损相关'!$D$2-BW56</f>
        <v>#REF!</v>
      </c>
      <c r="CD56" s="2">
        <v>53</v>
      </c>
      <c r="CE56" s="7">
        <v>1</v>
      </c>
      <c r="CF56" s="2" t="e">
        <f>求节点(节奏总纲!R$4:R$363,BS$4:BS$363,$CD56)*$CE56</f>
        <v>#VALUE!</v>
      </c>
      <c r="CG56" s="2" t="e">
        <f>求节点(节奏总纲!S$4:S$363,BT$4:BT$363,$CD56)*$CE56</f>
        <v>#VALUE!</v>
      </c>
      <c r="CH56" s="2" t="e">
        <f>求节点(节奏总纲!T$4:T$363,BU$4:BU$363,$CD56)*$CE56</f>
        <v>#VALUE!</v>
      </c>
      <c r="CI56" s="2" t="e">
        <f>求节点(节奏总纲!U$4:U$363,BV$4:BV$363,$CD56)*$CE56</f>
        <v>#VALUE!</v>
      </c>
      <c r="CJ56" s="2" t="e">
        <f>求节点(节奏总纲!V$4:V$363,BW$4:BW$363,$CD56)*$CE56</f>
        <v>#VALUE!</v>
      </c>
      <c r="CK56" s="2" t="e">
        <f>求节点(节奏总纲!R$4:R$363,BX$4:BX$363,$CD56)*$CE56</f>
        <v>#VALUE!</v>
      </c>
      <c r="CL56" s="2" t="e">
        <f>求节点(节奏总纲!S$4:S$363,BY$4:BY$363,$CD56)*$CE56</f>
        <v>#VALUE!</v>
      </c>
      <c r="CM56" s="2" t="e">
        <f>求节点(节奏总纲!T$4:T$363,BZ$4:BZ$363,$CD56)*$CE56</f>
        <v>#VALUE!</v>
      </c>
      <c r="CN56" s="2" t="e">
        <f>求节点(节奏总纲!U$4:U$363,CA$4:CA$363,$CD56)*$CE56</f>
        <v>#VALUE!</v>
      </c>
      <c r="CO56" s="2" t="e">
        <f>求节点(节奏总纲!V$4:V$363,CB$4:CB$363,$CD56)*$CE56</f>
        <v>#VALUE!</v>
      </c>
    </row>
    <row r="57" spans="17:93" x14ac:dyDescent="0.15">
      <c r="AA57" s="2">
        <v>54</v>
      </c>
      <c r="AB57" s="2">
        <f>攻城基础信息!X58*$E$12</f>
        <v>106725.63643283288</v>
      </c>
      <c r="AC57" s="2">
        <f>攻城基础信息!Y58*$E$12</f>
        <v>110343.30519162245</v>
      </c>
      <c r="AD57" s="2">
        <f>攻城基础信息!Z58*$E$12</f>
        <v>116909.35819862781</v>
      </c>
      <c r="AE57" s="2">
        <f>攻城基础信息!AA58*$E$12</f>
        <v>135389.39280250357</v>
      </c>
      <c r="AF57" s="2">
        <f>攻城基础信息!AB58*$E$12</f>
        <v>139260.25739361916</v>
      </c>
      <c r="AH57" s="2">
        <f>$E$4*AB57*攻城基础信息!AC58</f>
        <v>1967309.2315785533</v>
      </c>
      <c r="AI57" s="2">
        <f>$E$4*AC57*攻城基础信息!AD58</f>
        <v>2033994.9256989078</v>
      </c>
      <c r="AJ57" s="2">
        <f>$E$4*AD57*攻城基础信息!AE58</f>
        <v>2155029.1694613732</v>
      </c>
      <c r="AK57" s="2">
        <f>$E$4*AE57*攻城基础信息!AF58</f>
        <v>2495677.8073261501</v>
      </c>
      <c r="AL57" s="2">
        <f>$E$4*AF57*攻城基础信息!AG58</f>
        <v>2567030.7446223809</v>
      </c>
      <c r="AN57" s="2">
        <v>54</v>
      </c>
      <c r="AO57" s="2">
        <f>求节点(节奏总纲!D$4:D$163,AH$4:AH$163,$AN57)*其他调用!H58*其他调用!$M58</f>
        <v>110648640.10315569</v>
      </c>
      <c r="AP57" s="2">
        <f>求节点(节奏总纲!E$4:E$163,AI$4:AI$163,$AN57)*其他调用!I58*其他调用!$M58</f>
        <v>108461479.00792173</v>
      </c>
      <c r="AQ57" s="2">
        <f>求节点(节奏总纲!F$4:F$163,AJ$4:AJ$163,$AN57)*其他调用!J58*其他调用!$M58</f>
        <v>11213709.4219955</v>
      </c>
      <c r="AR57" s="2">
        <f>求节点(节奏总纲!G$4:G$163,AK$4:AK$163,$AN57)*其他调用!K58*其他调用!$M58</f>
        <v>2627592.3929611952</v>
      </c>
      <c r="AS57" s="2">
        <f>求节点(节奏总纲!H$4:H$163,AL$4:AL$163,$AN57)*其他调用!L58*其他调用!$M58</f>
        <v>985046.12548417354</v>
      </c>
      <c r="AT57" s="2">
        <f t="shared" si="0"/>
        <v>233936467.05151829</v>
      </c>
      <c r="AY57" s="2">
        <v>54</v>
      </c>
      <c r="AZ57" s="2">
        <f>其他调用!R58*6*(其他调用!AH$2*$AZ$1*MIN(其他调用!$AJ58/其他调用!AH58,1)+$E$4*0%*攻城基础信息!AC58)</f>
        <v>6239.0355724656638</v>
      </c>
      <c r="BA57" s="2">
        <f>其他调用!S58*6*(其他调用!AI$2*$AZ$1*MIN(其他调用!$AJ58/其他调用!AI58,1)+$E$4*0%*攻城基础信息!AD58)</f>
        <v>18911.753014189304</v>
      </c>
      <c r="BB57" s="2">
        <f>其他调用!T58*6*(其他调用!AJ$2*$AZ$1*MIN(其他调用!$AJ58/其他调用!AJ58,1)+$E$4*0%*攻城基础信息!AE58)</f>
        <v>57342.894897700564</v>
      </c>
      <c r="BC57" s="2">
        <f>其他调用!U58*6*(其他调用!AK$2*$AZ$1*MIN(其他调用!$AJ58/其他调用!AK58,1)+$E$4*0%*攻城基础信息!AF58)</f>
        <v>24291.583591824423</v>
      </c>
      <c r="BD57" s="2">
        <f>其他调用!V58*6*(其他调用!AL$2*$AZ$1*MIN(其他调用!$AJ58/其他调用!AL58,1)+$E$4*0%*攻城基础信息!AG58)</f>
        <v>7417.6454205934879</v>
      </c>
      <c r="BF57" s="2">
        <v>54</v>
      </c>
      <c r="BG57" s="2">
        <f>求节点(节奏总纲!D$4:D$163,AZ$4:AZ$163,$AN57)</f>
        <v>6532.682817084682</v>
      </c>
      <c r="BH57" s="2">
        <f>求节点(节奏总纲!E$4:E$163,BA$4:BA$163,$AN57)</f>
        <v>20252.899588898188</v>
      </c>
      <c r="BI57" s="2">
        <f>求节点(节奏总纲!F$4:F$163,BB$4:BB$163,$AN57)</f>
        <v>63449.549201646456</v>
      </c>
      <c r="BJ57" s="2">
        <f>求节点(节奏总纲!G$4:G$163,BC$4:BC$163,$AN57)</f>
        <v>29273.428914122269</v>
      </c>
      <c r="BK57" s="2">
        <f>求节点(节奏总纲!H$4:H$163,BD$4:BD$163,$AN57)</f>
        <v>9469.1078203350007</v>
      </c>
      <c r="BL57" s="2">
        <f>BG57*其他调用!H58*其他调用!$M58</f>
        <v>314743.89903618395</v>
      </c>
      <c r="BM57" s="2">
        <f>BH57*其他调用!I58*其他调用!$M58</f>
        <v>845346.05039965955</v>
      </c>
      <c r="BN57" s="2">
        <f>BI57*其他调用!J58*其他调用!$M58</f>
        <v>226525.49744909114</v>
      </c>
      <c r="BO57" s="2">
        <f>BJ57*其他调用!K58*其他调用!$M58</f>
        <v>17304.157475416119</v>
      </c>
      <c r="BP57" s="2">
        <f>BK57*其他调用!L58*其他调用!$M58</f>
        <v>1490.5825835433488</v>
      </c>
      <c r="BQ57" s="2">
        <f t="shared" si="1"/>
        <v>1405410.1869438943</v>
      </c>
      <c r="BR57" s="2">
        <f>[1]服务器生态!$R56</f>
        <v>2.9184629792787492E-2</v>
      </c>
      <c r="BS57" s="2" t="e">
        <f>SUMPRODUCT((BG$4:BG57)*($BR$4:$BR57)*(其他调用!#REF!))</f>
        <v>#REF!</v>
      </c>
      <c r="BT57" s="2" t="e">
        <f>SUMPRODUCT((BH$4:BH57)*($BR$4:$BR57)*(其他调用!#REF!))</f>
        <v>#REF!</v>
      </c>
      <c r="BU57" s="2" t="e">
        <f>SUMPRODUCT((BI$4:BI57)*($BR$4:$BR57)*(其他调用!#REF!))</f>
        <v>#REF!</v>
      </c>
      <c r="BV57" s="2" t="e">
        <f>SUMPRODUCT((BJ$4:BJ57)*($BR$4:$BR57)*(其他调用!#REF!))</f>
        <v>#REF!</v>
      </c>
      <c r="BW57" s="2" t="e">
        <f>SUMPRODUCT((BK$4:BK57)*($BR$4:$BR57)*(其他调用!#REF!))</f>
        <v>#REF!</v>
      </c>
      <c r="BX57" s="2" t="e">
        <f>SUMPRODUCT((BG$4:BG57)*($BR$4:$BR57))*'[1]功能-战损相关'!$D$2-BS57</f>
        <v>#REF!</v>
      </c>
      <c r="BY57" s="2" t="e">
        <f>SUMPRODUCT((BH$4:BH57)*($BR$4:$BR57))*'[1]功能-战损相关'!$D$2-BT57</f>
        <v>#REF!</v>
      </c>
      <c r="BZ57" s="2" t="e">
        <f>SUMPRODUCT((BI$4:BI57)*($BR$4:$BR57))*'[1]功能-战损相关'!$D$2-BU57</f>
        <v>#REF!</v>
      </c>
      <c r="CA57" s="2" t="e">
        <f>SUMPRODUCT((BJ$4:BJ57)*($BR$4:$BR57))*'[1]功能-战损相关'!$D$2-BV57</f>
        <v>#REF!</v>
      </c>
      <c r="CB57" s="2" t="e">
        <f>SUMPRODUCT((BK$4:BK57)*($BR$4:$BR57))*'[1]功能-战损相关'!$D$2-BW57</f>
        <v>#REF!</v>
      </c>
      <c r="CD57" s="2">
        <v>54</v>
      </c>
      <c r="CE57" s="7">
        <v>1</v>
      </c>
      <c r="CF57" s="2" t="e">
        <f>求节点(节奏总纲!R$4:R$363,BS$4:BS$363,$CD57)*$CE57</f>
        <v>#VALUE!</v>
      </c>
      <c r="CG57" s="2" t="e">
        <f>求节点(节奏总纲!S$4:S$363,BT$4:BT$363,$CD57)*$CE57</f>
        <v>#VALUE!</v>
      </c>
      <c r="CH57" s="2" t="e">
        <f>求节点(节奏总纲!T$4:T$363,BU$4:BU$363,$CD57)*$CE57</f>
        <v>#VALUE!</v>
      </c>
      <c r="CI57" s="2" t="e">
        <f>求节点(节奏总纲!U$4:U$363,BV$4:BV$363,$CD57)*$CE57</f>
        <v>#VALUE!</v>
      </c>
      <c r="CJ57" s="2" t="e">
        <f>求节点(节奏总纲!V$4:V$363,BW$4:BW$363,$CD57)*$CE57</f>
        <v>#VALUE!</v>
      </c>
      <c r="CK57" s="2" t="e">
        <f>求节点(节奏总纲!R$4:R$363,BX$4:BX$363,$CD57)*$CE57</f>
        <v>#VALUE!</v>
      </c>
      <c r="CL57" s="2" t="e">
        <f>求节点(节奏总纲!S$4:S$363,BY$4:BY$363,$CD57)*$CE57</f>
        <v>#VALUE!</v>
      </c>
      <c r="CM57" s="2" t="e">
        <f>求节点(节奏总纲!T$4:T$363,BZ$4:BZ$363,$CD57)*$CE57</f>
        <v>#VALUE!</v>
      </c>
      <c r="CN57" s="2" t="e">
        <f>求节点(节奏总纲!U$4:U$363,CA$4:CA$363,$CD57)*$CE57</f>
        <v>#VALUE!</v>
      </c>
      <c r="CO57" s="2" t="e">
        <f>求节点(节奏总纲!V$4:V$363,CB$4:CB$363,$CD57)*$CE57</f>
        <v>#VALUE!</v>
      </c>
    </row>
    <row r="58" spans="17:93" x14ac:dyDescent="0.15">
      <c r="AA58" s="2">
        <v>55</v>
      </c>
      <c r="AB58" s="2">
        <f>攻城基础信息!X59*$E$12</f>
        <v>110085.97940345688</v>
      </c>
      <c r="AC58" s="2">
        <f>攻城基础信息!Y59*$E$12</f>
        <v>113722.98779226787</v>
      </c>
      <c r="AD58" s="2">
        <f>攻城基础信息!Z59*$E$12</f>
        <v>120336.96004260209</v>
      </c>
      <c r="AE58" s="2">
        <f>攻城基础信息!AA59*$E$12</f>
        <v>138632.54591901667</v>
      </c>
      <c r="AF58" s="2">
        <f>攻城基础信息!AB59*$E$12</f>
        <v>142755.27611029564</v>
      </c>
      <c r="AH58" s="2">
        <f>$E$4*AB58*攻城基础信息!AC59</f>
        <v>2054938.2821978622</v>
      </c>
      <c r="AI58" s="2">
        <f>$E$4*AC58*攻城基础信息!AD59</f>
        <v>2122829.1054556672</v>
      </c>
      <c r="AJ58" s="2">
        <f>$E$4*AD58*攻城基础信息!AE59</f>
        <v>2246289.9207952395</v>
      </c>
      <c r="AK58" s="2">
        <f>$E$4*AE58*攻城基础信息!AF59</f>
        <v>2587807.5238216454</v>
      </c>
      <c r="AL58" s="2">
        <f>$E$4*AF58*攻城基础信息!AG59</f>
        <v>2664765.1540588527</v>
      </c>
      <c r="AN58" s="2">
        <v>55</v>
      </c>
      <c r="AO58" s="2">
        <f>求节点(节奏总纲!D$4:D$163,AH$4:AH$163,$AN58)*其他调用!H59*其他调用!$M59</f>
        <v>111810037.93231788</v>
      </c>
      <c r="AP58" s="2">
        <f>求节点(节奏总纲!E$4:E$163,AI$4:AI$163,$AN58)*其他调用!I59*其他调用!$M59</f>
        <v>110317115.05523384</v>
      </c>
      <c r="AQ58" s="2">
        <f>求节点(节奏总纲!F$4:F$163,AJ$4:AJ$163,$AN58)*其他调用!J59*其他调用!$M59</f>
        <v>11381956.654250927</v>
      </c>
      <c r="AR58" s="2">
        <f>求节点(节奏总纲!G$4:G$163,AK$4:AK$163,$AN58)*其他调用!K59*其他调用!$M59</f>
        <v>2668847.9013014687</v>
      </c>
      <c r="AS58" s="2">
        <f>求节点(节奏总纲!H$4:H$163,AL$4:AL$163,$AN58)*其他调用!L59*其他调用!$M59</f>
        <v>1005471.4810675397</v>
      </c>
      <c r="AT58" s="2">
        <f t="shared" si="0"/>
        <v>237183429.02417165</v>
      </c>
      <c r="AY58" s="2">
        <v>55</v>
      </c>
      <c r="AZ58" s="2">
        <f>其他调用!R59*6*(其他调用!AH$2*$AZ$1*MIN(其他调用!$AJ59/其他调用!AH59,1)+$E$4*0%*攻城基础信息!AC59)</f>
        <v>6316.0330817811782</v>
      </c>
      <c r="BA58" s="2">
        <f>其他调用!S59*6*(其他调用!AI$2*$AZ$1*MIN(其他调用!$AJ59/其他调用!AI59,1)+$E$4*0%*攻城基础信息!AD59)</f>
        <v>19137.408578669954</v>
      </c>
      <c r="BB58" s="2">
        <f>其他调用!T59*6*(其他调用!AJ$2*$AZ$1*MIN(其他调用!$AJ59/其他调用!AJ59,1)+$E$4*0%*攻城基础信息!AE59)</f>
        <v>58027.170329038818</v>
      </c>
      <c r="BC58" s="2">
        <f>其他调用!U59*6*(其他调用!AK$2*$AZ$1*MIN(其他调用!$AJ59/其他调用!AK59,1)+$E$4*0%*攻城基础信息!AF59)</f>
        <v>24595.728032579977</v>
      </c>
      <c r="BD58" s="2">
        <f>其他调用!V59*6*(其他调用!AL$2*$AZ$1*MIN(其他调用!$AJ59/其他调用!AL59,1)+$E$4*0%*攻城基础信息!AG59)</f>
        <v>7517.5299808758073</v>
      </c>
      <c r="BF58" s="2">
        <v>55</v>
      </c>
      <c r="BG58" s="2">
        <f>求节点(节奏总纲!D$4:D$163,AZ$4:AZ$163,$AN58)</f>
        <v>6553.0720911524768</v>
      </c>
      <c r="BH58" s="2">
        <f>求节点(节奏总纲!E$4:E$163,BA$4:BA$163,$AN58)</f>
        <v>20315.822245187217</v>
      </c>
      <c r="BI58" s="2">
        <f>求节点(节奏总纲!F$4:F$163,BB$4:BB$163,$AN58)</f>
        <v>63637.509510828211</v>
      </c>
      <c r="BJ58" s="2">
        <f>求节点(节奏总纲!G$4:G$163,BC$4:BC$163,$AN58)</f>
        <v>29387.369261919819</v>
      </c>
      <c r="BK58" s="2">
        <f>求节点(节奏总纲!H$4:H$163,BD$4:BD$163,$AN58)</f>
        <v>9488.721849522035</v>
      </c>
      <c r="BL58" s="2">
        <f>BG58*其他调用!H59*其他调用!$M59</f>
        <v>315864.79535195074</v>
      </c>
      <c r="BM58" s="2">
        <f>BH58*其他调用!I59*其他调用!$M59</f>
        <v>852055.02940032701</v>
      </c>
      <c r="BN58" s="2">
        <f>BI58*其他调用!J59*其他调用!$M59</f>
        <v>227920.02148865222</v>
      </c>
      <c r="BO58" s="2">
        <f>BJ58*其他调用!K59*其他调用!$M59</f>
        <v>17469.150931126813</v>
      </c>
      <c r="BP58" s="2">
        <f>BK58*其他调用!L59*其他调用!$M59</f>
        <v>1506.049931956137</v>
      </c>
      <c r="BQ58" s="2">
        <f t="shared" si="1"/>
        <v>1414815.0471040129</v>
      </c>
      <c r="BR58" s="2">
        <f>[1]服务器生态!$R57</f>
        <v>2.8062144031526435E-2</v>
      </c>
      <c r="BS58" s="2" t="e">
        <f>SUMPRODUCT((BG$4:BG58)*($BR$4:$BR58)*(其他调用!#REF!))</f>
        <v>#REF!</v>
      </c>
      <c r="BT58" s="2" t="e">
        <f>SUMPRODUCT((BH$4:BH58)*($BR$4:$BR58)*(其他调用!#REF!))</f>
        <v>#REF!</v>
      </c>
      <c r="BU58" s="2" t="e">
        <f>SUMPRODUCT((BI$4:BI58)*($BR$4:$BR58)*(其他调用!#REF!))</f>
        <v>#REF!</v>
      </c>
      <c r="BV58" s="2" t="e">
        <f>SUMPRODUCT((BJ$4:BJ58)*($BR$4:$BR58)*(其他调用!#REF!))</f>
        <v>#REF!</v>
      </c>
      <c r="BW58" s="2" t="e">
        <f>SUMPRODUCT((BK$4:BK58)*($BR$4:$BR58)*(其他调用!#REF!))</f>
        <v>#REF!</v>
      </c>
      <c r="BX58" s="2" t="e">
        <f>SUMPRODUCT((BG$4:BG58)*($BR$4:$BR58))*'[1]功能-战损相关'!$D$2-BS58</f>
        <v>#REF!</v>
      </c>
      <c r="BY58" s="2" t="e">
        <f>SUMPRODUCT((BH$4:BH58)*($BR$4:$BR58))*'[1]功能-战损相关'!$D$2-BT58</f>
        <v>#REF!</v>
      </c>
      <c r="BZ58" s="2" t="e">
        <f>SUMPRODUCT((BI$4:BI58)*($BR$4:$BR58))*'[1]功能-战损相关'!$D$2-BU58</f>
        <v>#REF!</v>
      </c>
      <c r="CA58" s="2" t="e">
        <f>SUMPRODUCT((BJ$4:BJ58)*($BR$4:$BR58))*'[1]功能-战损相关'!$D$2-BV58</f>
        <v>#REF!</v>
      </c>
      <c r="CB58" s="2" t="e">
        <f>SUMPRODUCT((BK$4:BK58)*($BR$4:$BR58))*'[1]功能-战损相关'!$D$2-BW58</f>
        <v>#REF!</v>
      </c>
      <c r="CD58" s="2">
        <v>55</v>
      </c>
      <c r="CE58" s="7">
        <v>1</v>
      </c>
      <c r="CF58" s="2" t="e">
        <f>求节点(节奏总纲!R$4:R$363,BS$4:BS$363,$CD58)*$CE58</f>
        <v>#VALUE!</v>
      </c>
      <c r="CG58" s="2" t="e">
        <f>求节点(节奏总纲!S$4:S$363,BT$4:BT$363,$CD58)*$CE58</f>
        <v>#VALUE!</v>
      </c>
      <c r="CH58" s="2" t="e">
        <f>求节点(节奏总纲!T$4:T$363,BU$4:BU$363,$CD58)*$CE58</f>
        <v>#VALUE!</v>
      </c>
      <c r="CI58" s="2" t="e">
        <f>求节点(节奏总纲!U$4:U$363,BV$4:BV$363,$CD58)*$CE58</f>
        <v>#VALUE!</v>
      </c>
      <c r="CJ58" s="2" t="e">
        <f>求节点(节奏总纲!V$4:V$363,BW$4:BW$363,$CD58)*$CE58</f>
        <v>#VALUE!</v>
      </c>
      <c r="CK58" s="2" t="e">
        <f>求节点(节奏总纲!R$4:R$363,BX$4:BX$363,$CD58)*$CE58</f>
        <v>#VALUE!</v>
      </c>
      <c r="CL58" s="2" t="e">
        <f>求节点(节奏总纲!S$4:S$363,BY$4:BY$363,$CD58)*$CE58</f>
        <v>#VALUE!</v>
      </c>
      <c r="CM58" s="2" t="e">
        <f>求节点(节奏总纲!T$4:T$363,BZ$4:BZ$363,$CD58)*$CE58</f>
        <v>#VALUE!</v>
      </c>
      <c r="CN58" s="2" t="e">
        <f>求节点(节奏总纲!U$4:U$363,CA$4:CA$363,$CD58)*$CE58</f>
        <v>#VALUE!</v>
      </c>
      <c r="CO58" s="2" t="e">
        <f>求节点(节奏总纲!V$4:V$363,CB$4:CB$363,$CD58)*$CE58</f>
        <v>#VALUE!</v>
      </c>
    </row>
    <row r="59" spans="17:93" x14ac:dyDescent="0.15">
      <c r="AA59" s="2">
        <v>56</v>
      </c>
      <c r="AB59" s="2">
        <f>攻城基础信息!X60*$E$12</f>
        <v>113350.43894089265</v>
      </c>
      <c r="AC59" s="2">
        <f>攻城基础信息!Y60*$E$12</f>
        <v>117215.22525517191</v>
      </c>
      <c r="AD59" s="2">
        <f>攻城基础信息!Z60*$E$12</f>
        <v>123838.43731924298</v>
      </c>
      <c r="AE59" s="2">
        <f>攻城基础信息!AA60*$E$12</f>
        <v>141948.55765664394</v>
      </c>
      <c r="AF59" s="2">
        <f>攻城基础信息!AB60*$E$12</f>
        <v>146327.01072461985</v>
      </c>
      <c r="AH59" s="2">
        <f>$E$4*AB59*攻城基础信息!AC60</f>
        <v>2142323.2959828717</v>
      </c>
      <c r="AI59" s="2">
        <f>$E$4*AC59*攻城基础信息!AD60</f>
        <v>2215367.7573227496</v>
      </c>
      <c r="AJ59" s="2">
        <f>$E$4*AD59*攻城基础信息!AE60</f>
        <v>2340546.4653336927</v>
      </c>
      <c r="AK59" s="2">
        <f>$E$4*AE59*攻城基础信息!AF60</f>
        <v>2682827.7397105712</v>
      </c>
      <c r="AL59" s="2">
        <f>$E$4*AF59*攻城基础信息!AG60</f>
        <v>2765580.5026953155</v>
      </c>
      <c r="AN59" s="2">
        <v>56</v>
      </c>
      <c r="AO59" s="2">
        <f>求节点(节奏总纲!D$4:D$163,AH$4:AH$163,$AN59)*其他调用!H60*其他调用!$M60</f>
        <v>112942509.96760765</v>
      </c>
      <c r="AP59" s="2">
        <f>求节点(节奏总纲!E$4:E$163,AI$4:AI$163,$AN59)*其他调用!I60*其他调用!$M60</f>
        <v>112147587.84685707</v>
      </c>
      <c r="AQ59" s="2">
        <f>求节点(节奏总纲!F$4:F$163,AJ$4:AJ$163,$AN59)*其他调用!J60*其他调用!$M60</f>
        <v>11546947.246403744</v>
      </c>
      <c r="AR59" s="2">
        <f>求节点(节奏总纲!G$4:G$163,AK$4:AK$163,$AN59)*其他调用!K60*其他调用!$M60</f>
        <v>2710441.2940700902</v>
      </c>
      <c r="AS59" s="2">
        <f>求节点(节奏总纲!H$4:H$163,AL$4:AL$163,$AN59)*其他调用!L60*其他调用!$M60</f>
        <v>1026303.7091826294</v>
      </c>
      <c r="AT59" s="2">
        <f t="shared" si="0"/>
        <v>240373790.06412119</v>
      </c>
      <c r="AY59" s="2">
        <v>56</v>
      </c>
      <c r="AZ59" s="2">
        <f>其他调用!R60*6*(其他调用!AH$2*$AZ$1*MIN(其他调用!$AJ60/其他调用!AH60,1)+$E$4*0%*攻城基础信息!AC60)</f>
        <v>6393.2271488762635</v>
      </c>
      <c r="BA59" s="2">
        <f>其他调用!S60*6*(其他调用!AI$2*$AZ$1*MIN(其他调用!$AJ60/其他调用!AI60,1)+$E$4*0%*攻城基础信息!AD60)</f>
        <v>19363.140169334427</v>
      </c>
      <c r="BB59" s="2">
        <f>其他调用!T60*6*(其他调用!AJ$2*$AZ$1*MIN(其他调用!$AJ60/其他调用!AJ60,1)+$E$4*0%*攻城基础信息!AE60)</f>
        <v>58700.620947829193</v>
      </c>
      <c r="BC59" s="2">
        <f>其他调用!U60*6*(其他调用!AK$2*$AZ$1*MIN(其他调用!$AJ60/其他调用!AK60,1)+$E$4*0%*攻城基础信息!AF60)</f>
        <v>24944.514234836024</v>
      </c>
      <c r="BD59" s="2">
        <f>其他调用!V60*6*(其他调用!AL$2*$AZ$1*MIN(其他调用!$AJ60/其他调用!AL60,1)+$E$4*0%*攻城基础信息!AG60)</f>
        <v>7617.1546288290901</v>
      </c>
      <c r="BF59" s="2">
        <v>56</v>
      </c>
      <c r="BG59" s="2">
        <f>求节点(节奏总纲!D$4:D$163,AZ$4:AZ$163,$AN59)</f>
        <v>6571.8545988736587</v>
      </c>
      <c r="BH59" s="2">
        <f>求节点(节奏总纲!E$4:E$163,BA$4:BA$163,$AN59)</f>
        <v>20377.705310849327</v>
      </c>
      <c r="BI59" s="2">
        <f>求节点(节奏总纲!F$4:F$163,BB$4:BB$163,$AN59)</f>
        <v>63822.298547489001</v>
      </c>
      <c r="BJ59" s="2">
        <f>求节点(节奏总纲!G$4:G$163,BC$4:BC$163,$AN59)</f>
        <v>29501.309609717369</v>
      </c>
      <c r="BK59" s="2">
        <f>求节点(节奏总纲!H$4:H$163,BD$4:BD$163,$AN59)</f>
        <v>9507.7029934641869</v>
      </c>
      <c r="BL59" s="2">
        <f>BG59*其他调用!H60*其他调用!$M60</f>
        <v>316905.74020162015</v>
      </c>
      <c r="BM59" s="2">
        <f>BH59*其他调用!I60*其他调用!$M60</f>
        <v>858755.29712236673</v>
      </c>
      <c r="BN59" s="2">
        <f>BI59*其他调用!J60*其他调用!$M60</f>
        <v>229308.18066168539</v>
      </c>
      <c r="BO59" s="2">
        <f>BJ59*其他调用!K60*其他调用!$M60</f>
        <v>17635.173504627117</v>
      </c>
      <c r="BP59" s="2">
        <f>BK59*其他调用!L60*其他调用!$M60</f>
        <v>1521.5106471789925</v>
      </c>
      <c r="BQ59" s="2">
        <f t="shared" si="1"/>
        <v>1424125.9021374783</v>
      </c>
      <c r="BR59" s="2">
        <f>[1]服务器生态!$R58</f>
        <v>2.6939658270265378E-2</v>
      </c>
      <c r="BS59" s="2" t="e">
        <f>SUMPRODUCT((BG$4:BG59)*($BR$4:$BR59)*(其他调用!#REF!))</f>
        <v>#REF!</v>
      </c>
      <c r="BT59" s="2" t="e">
        <f>SUMPRODUCT((BH$4:BH59)*($BR$4:$BR59)*(其他调用!#REF!))</f>
        <v>#REF!</v>
      </c>
      <c r="BU59" s="2" t="e">
        <f>SUMPRODUCT((BI$4:BI59)*($BR$4:$BR59)*(其他调用!#REF!))</f>
        <v>#REF!</v>
      </c>
      <c r="BV59" s="2" t="e">
        <f>SUMPRODUCT((BJ$4:BJ59)*($BR$4:$BR59)*(其他调用!#REF!))</f>
        <v>#REF!</v>
      </c>
      <c r="BW59" s="2" t="e">
        <f>SUMPRODUCT((BK$4:BK59)*($BR$4:$BR59)*(其他调用!#REF!))</f>
        <v>#REF!</v>
      </c>
      <c r="BX59" s="2" t="e">
        <f>SUMPRODUCT((BG$4:BG59)*($BR$4:$BR59))*'[1]功能-战损相关'!$D$2-BS59</f>
        <v>#REF!</v>
      </c>
      <c r="BY59" s="2" t="e">
        <f>SUMPRODUCT((BH$4:BH59)*($BR$4:$BR59))*'[1]功能-战损相关'!$D$2-BT59</f>
        <v>#REF!</v>
      </c>
      <c r="BZ59" s="2" t="e">
        <f>SUMPRODUCT((BI$4:BI59)*($BR$4:$BR59))*'[1]功能-战损相关'!$D$2-BU59</f>
        <v>#REF!</v>
      </c>
      <c r="CA59" s="2" t="e">
        <f>SUMPRODUCT((BJ$4:BJ59)*($BR$4:$BR59))*'[1]功能-战损相关'!$D$2-BV59</f>
        <v>#REF!</v>
      </c>
      <c r="CB59" s="2" t="e">
        <f>SUMPRODUCT((BK$4:BK59)*($BR$4:$BR59))*'[1]功能-战损相关'!$D$2-BW59</f>
        <v>#REF!</v>
      </c>
      <c r="CD59" s="2">
        <v>56</v>
      </c>
      <c r="CE59" s="7">
        <v>1</v>
      </c>
      <c r="CF59" s="2" t="e">
        <f>求节点(节奏总纲!R$4:R$363,BS$4:BS$363,$CD59)*$CE59</f>
        <v>#VALUE!</v>
      </c>
      <c r="CG59" s="2" t="e">
        <f>求节点(节奏总纲!S$4:S$363,BT$4:BT$363,$CD59)*$CE59</f>
        <v>#VALUE!</v>
      </c>
      <c r="CH59" s="2" t="e">
        <f>求节点(节奏总纲!T$4:T$363,BU$4:BU$363,$CD59)*$CE59</f>
        <v>#VALUE!</v>
      </c>
      <c r="CI59" s="2" t="e">
        <f>求节点(节奏总纲!U$4:U$363,BV$4:BV$363,$CD59)*$CE59</f>
        <v>#VALUE!</v>
      </c>
      <c r="CJ59" s="2" t="e">
        <f>求节点(节奏总纲!V$4:V$363,BW$4:BW$363,$CD59)*$CE59</f>
        <v>#VALUE!</v>
      </c>
      <c r="CK59" s="2" t="e">
        <f>求节点(节奏总纲!R$4:R$363,BX$4:BX$363,$CD59)*$CE59</f>
        <v>#VALUE!</v>
      </c>
      <c r="CL59" s="2" t="e">
        <f>求节点(节奏总纲!S$4:S$363,BY$4:BY$363,$CD59)*$CE59</f>
        <v>#VALUE!</v>
      </c>
      <c r="CM59" s="2" t="e">
        <f>求节点(节奏总纲!T$4:T$363,BZ$4:BZ$363,$CD59)*$CE59</f>
        <v>#VALUE!</v>
      </c>
      <c r="CN59" s="2" t="e">
        <f>求节点(节奏总纲!U$4:U$363,CA$4:CA$363,$CD59)*$CE59</f>
        <v>#VALUE!</v>
      </c>
      <c r="CO59" s="2" t="e">
        <f>求节点(节奏总纲!V$4:V$363,CB$4:CB$363,$CD59)*$CE59</f>
        <v>#VALUE!</v>
      </c>
    </row>
    <row r="60" spans="17:93" x14ac:dyDescent="0.15">
      <c r="AA60" s="2">
        <v>57</v>
      </c>
      <c r="AB60" s="2">
        <f>攻城基础信息!X61*$E$12</f>
        <v>116353.47753835309</v>
      </c>
      <c r="AC60" s="2">
        <f>攻城基础信息!Y61*$E$12</f>
        <v>120821.93119764201</v>
      </c>
      <c r="AD60" s="2">
        <f>攻城基础信息!Z61*$E$12</f>
        <v>127476.10215017521</v>
      </c>
      <c r="AE60" s="2">
        <f>攻城基础信息!AA61*$E$12</f>
        <v>145346.79939410358</v>
      </c>
      <c r="AF60" s="2">
        <f>攻城基础信息!AB61*$E$12</f>
        <v>149982.22459386967</v>
      </c>
      <c r="AH60" s="2">
        <f>$E$4*AB60*攻城基础信息!AC61</f>
        <v>2226229.8702338231</v>
      </c>
      <c r="AI60" s="2">
        <f>$E$4*AC60*攻城基础信息!AD61</f>
        <v>2311726.2835815512</v>
      </c>
      <c r="AJ60" s="2">
        <f>$E$4*AD60*攻城基础信息!AE61</f>
        <v>2439042.7544733528</v>
      </c>
      <c r="AK60" s="2">
        <f>$E$4*AE60*攻城基础信息!AF61</f>
        <v>2780968.7617405159</v>
      </c>
      <c r="AL60" s="2">
        <f>$E$4*AF60*攻城基础信息!AG61</f>
        <v>2869659.8972293735</v>
      </c>
      <c r="AN60" s="2">
        <v>57</v>
      </c>
      <c r="AO60" s="2">
        <f>求节点(节奏总纲!D$4:D$163,AH$4:AH$163,$AN60)*其他调用!H61*其他调用!$M61</f>
        <v>114074711.39866957</v>
      </c>
      <c r="AP60" s="2">
        <f>求节点(节奏总纲!E$4:E$163,AI$4:AI$163,$AN60)*其他调用!I61*其他调用!$M61</f>
        <v>113991790.47198445</v>
      </c>
      <c r="AQ60" s="2">
        <f>求节点(节奏总纲!F$4:F$163,AJ$4:AJ$163,$AN60)*其他调用!J61*其他调用!$M61</f>
        <v>11711179.786690207</v>
      </c>
      <c r="AR60" s="2">
        <f>求节点(节奏总纲!G$4:G$163,AK$4:AK$163,$AN60)*其他调用!K61*其他调用!$M61</f>
        <v>2752373.8035783959</v>
      </c>
      <c r="AS60" s="2">
        <f>求节点(节奏总纲!H$4:H$163,AL$4:AL$163,$AN60)*其他调用!L61*其他调用!$M61</f>
        <v>1047722.3234780782</v>
      </c>
      <c r="AT60" s="2">
        <f t="shared" si="0"/>
        <v>243577777.7844007</v>
      </c>
      <c r="AY60" s="2">
        <v>57</v>
      </c>
      <c r="AZ60" s="2">
        <f>其他调用!R61*6*(其他调用!AH$2*$AZ$1*MIN(其他调用!$AJ61/其他调用!AH61,1)+$E$4*0%*攻城基础信息!AC61)</f>
        <v>6469.2626031946229</v>
      </c>
      <c r="BA60" s="2">
        <f>其他调用!S61*6*(其他调用!AI$2*$AZ$1*MIN(其他调用!$AJ61/其他调用!AI61,1)+$E$4*0%*攻城基础信息!AD61)</f>
        <v>19596.962490143247</v>
      </c>
      <c r="BB60" s="2">
        <f>其他调用!T61*6*(其他调用!AJ$2*$AZ$1*MIN(其他调用!$AJ61/其他调用!AJ61,1)+$E$4*0%*攻城基础信息!AE61)</f>
        <v>59381.987632731914</v>
      </c>
      <c r="BC60" s="2">
        <f>其他调用!U61*6*(其他调用!AK$2*$AZ$1*MIN(其他调用!$AJ61/其他调用!AK61,1)+$E$4*0%*攻城基础信息!AF61)</f>
        <v>25305.724730759877</v>
      </c>
      <c r="BD60" s="2">
        <f>其他调用!V61*6*(其他调用!AL$2*$AZ$1*MIN(其他调用!$AJ61/其他调用!AL61,1)+$E$4*0%*攻城基础信息!AG61)</f>
        <v>7705.4108900743431</v>
      </c>
      <c r="BF60" s="2">
        <v>57</v>
      </c>
      <c r="BG60" s="2">
        <f>求节点(节奏总纲!D$4:D$163,AZ$4:AZ$163,$AN60)</f>
        <v>6590.6371065948397</v>
      </c>
      <c r="BH60" s="2">
        <f>求节点(节奏总纲!E$4:E$163,BA$4:BA$163,$AN60)</f>
        <v>20439.588376511434</v>
      </c>
      <c r="BI60" s="2">
        <f>求节点(节奏总纲!F$4:F$163,BB$4:BB$163,$AN60)</f>
        <v>64005.855057164692</v>
      </c>
      <c r="BJ60" s="2">
        <f>求节点(节奏总纲!G$4:G$163,BC$4:BC$163,$AN60)</f>
        <v>29615.249957514916</v>
      </c>
      <c r="BK60" s="2">
        <f>求节点(节奏总纲!H$4:H$163,BD$4:BD$163,$AN60)</f>
        <v>9525.4301774577652</v>
      </c>
      <c r="BL60" s="2">
        <f>BG60*其他调用!H61*其他调用!$M61</f>
        <v>317944.11883364158</v>
      </c>
      <c r="BM60" s="2">
        <f>BH60*其他调用!I61*其他调用!$M61</f>
        <v>865490.33493015706</v>
      </c>
      <c r="BN60" s="2">
        <f>BI60*其他调用!J61*其他调用!$M61</f>
        <v>230696.86109576459</v>
      </c>
      <c r="BO60" s="2">
        <f>BJ60*其他调用!K61*其他调用!$M61</f>
        <v>17802.228347181499</v>
      </c>
      <c r="BP60" s="2">
        <f>BK60*其他调用!L61*其他调用!$M61</f>
        <v>1536.8622975870114</v>
      </c>
      <c r="BQ60" s="2">
        <f t="shared" si="1"/>
        <v>1433470.4055043319</v>
      </c>
      <c r="BR60" s="2">
        <f>[1]服务器生态!$R59</f>
        <v>2.5817172509004321E-2</v>
      </c>
      <c r="BS60" s="2" t="e">
        <f>SUMPRODUCT((BG$4:BG60)*($BR$4:$BR60)*(其他调用!#REF!))</f>
        <v>#REF!</v>
      </c>
      <c r="BT60" s="2" t="e">
        <f>SUMPRODUCT((BH$4:BH60)*($BR$4:$BR60)*(其他调用!#REF!))</f>
        <v>#REF!</v>
      </c>
      <c r="BU60" s="2" t="e">
        <f>SUMPRODUCT((BI$4:BI60)*($BR$4:$BR60)*(其他调用!#REF!))</f>
        <v>#REF!</v>
      </c>
      <c r="BV60" s="2" t="e">
        <f>SUMPRODUCT((BJ$4:BJ60)*($BR$4:$BR60)*(其他调用!#REF!))</f>
        <v>#REF!</v>
      </c>
      <c r="BW60" s="2" t="e">
        <f>SUMPRODUCT((BK$4:BK60)*($BR$4:$BR60)*(其他调用!#REF!))</f>
        <v>#REF!</v>
      </c>
      <c r="BX60" s="2" t="e">
        <f>SUMPRODUCT((BG$4:BG60)*($BR$4:$BR60))*'[1]功能-战损相关'!$D$2-BS60</f>
        <v>#REF!</v>
      </c>
      <c r="BY60" s="2" t="e">
        <f>SUMPRODUCT((BH$4:BH60)*($BR$4:$BR60))*'[1]功能-战损相关'!$D$2-BT60</f>
        <v>#REF!</v>
      </c>
      <c r="BZ60" s="2" t="e">
        <f>SUMPRODUCT((BI$4:BI60)*($BR$4:$BR60))*'[1]功能-战损相关'!$D$2-BU60</f>
        <v>#REF!</v>
      </c>
      <c r="CA60" s="2" t="e">
        <f>SUMPRODUCT((BJ$4:BJ60)*($BR$4:$BR60))*'[1]功能-战损相关'!$D$2-BV60</f>
        <v>#REF!</v>
      </c>
      <c r="CB60" s="2" t="e">
        <f>SUMPRODUCT((BK$4:BK60)*($BR$4:$BR60))*'[1]功能-战损相关'!$D$2-BW60</f>
        <v>#REF!</v>
      </c>
      <c r="CD60" s="2">
        <v>57</v>
      </c>
      <c r="CE60" s="7">
        <v>1</v>
      </c>
      <c r="CF60" s="2" t="e">
        <f>求节点(节奏总纲!R$4:R$363,BS$4:BS$363,$CD60)*$CE60</f>
        <v>#VALUE!</v>
      </c>
      <c r="CG60" s="2" t="e">
        <f>求节点(节奏总纲!S$4:S$363,BT$4:BT$363,$CD60)*$CE60</f>
        <v>#VALUE!</v>
      </c>
      <c r="CH60" s="2" t="e">
        <f>求节点(节奏总纲!T$4:T$363,BU$4:BU$363,$CD60)*$CE60</f>
        <v>#VALUE!</v>
      </c>
      <c r="CI60" s="2" t="e">
        <f>求节点(节奏总纲!U$4:U$363,BV$4:BV$363,$CD60)*$CE60</f>
        <v>#VALUE!</v>
      </c>
      <c r="CJ60" s="2" t="e">
        <f>求节点(节奏总纲!V$4:V$363,BW$4:BW$363,$CD60)*$CE60</f>
        <v>#VALUE!</v>
      </c>
      <c r="CK60" s="2" t="e">
        <f>求节点(节奏总纲!R$4:R$363,BX$4:BX$363,$CD60)*$CE60</f>
        <v>#VALUE!</v>
      </c>
      <c r="CL60" s="2" t="e">
        <f>求节点(节奏总纲!S$4:S$363,BY$4:BY$363,$CD60)*$CE60</f>
        <v>#VALUE!</v>
      </c>
      <c r="CM60" s="2" t="e">
        <f>求节点(节奏总纲!T$4:T$363,BZ$4:BZ$363,$CD60)*$CE60</f>
        <v>#VALUE!</v>
      </c>
      <c r="CN60" s="2" t="e">
        <f>求节点(节奏总纲!U$4:U$363,CA$4:CA$363,$CD60)*$CE60</f>
        <v>#VALUE!</v>
      </c>
      <c r="CO60" s="2" t="e">
        <f>求节点(节奏总纲!V$4:V$363,CB$4:CB$363,$CD60)*$CE60</f>
        <v>#VALUE!</v>
      </c>
    </row>
    <row r="61" spans="17:93" x14ac:dyDescent="0.15">
      <c r="AA61" s="2">
        <v>58</v>
      </c>
      <c r="AB61" s="2">
        <f>攻城基础信息!X62*$E$12</f>
        <v>119445.23420771092</v>
      </c>
      <c r="AC61" s="2">
        <f>攻城基础信息!Y62*$E$12</f>
        <v>124297.7938948423</v>
      </c>
      <c r="AD61" s="2">
        <f>攻城基础信息!Z62*$E$12</f>
        <v>131185.03570939123</v>
      </c>
      <c r="AE61" s="2">
        <f>攻城基础信息!AA62*$E$12</f>
        <v>149050.08199195241</v>
      </c>
      <c r="AF61" s="2">
        <f>攻城基础信息!AB62*$E$12</f>
        <v>153723.43597259428</v>
      </c>
      <c r="AH61" s="2">
        <f>$E$4*AB61*攻城基础信息!AC62</f>
        <v>2313256.0358226686</v>
      </c>
      <c r="AI61" s="2">
        <f>$E$4*AC61*攻城基础信息!AD62</f>
        <v>2407233.9417634462</v>
      </c>
      <c r="AJ61" s="2">
        <f>$E$4*AD61*攻城基础信息!AE62</f>
        <v>2540616.8582385438</v>
      </c>
      <c r="AK61" s="2">
        <f>$E$4*AE61*攻城基础信息!AF62</f>
        <v>2886603.2545774789</v>
      </c>
      <c r="AL61" s="2">
        <f>$E$4*AF61*攻城基础信息!AG62</f>
        <v>2977110.54333591</v>
      </c>
      <c r="AN61" s="2">
        <v>58</v>
      </c>
      <c r="AO61" s="2">
        <f>求节点(节奏总纲!D$4:D$163,AH$4:AH$163,$AN61)*其他调用!H62*其他调用!$M62</f>
        <v>115206608.01594095</v>
      </c>
      <c r="AP61" s="2">
        <f>求节点(节奏总纲!E$4:E$163,AI$4:AI$163,$AN61)*其他调用!I62*其他调用!$M62</f>
        <v>115849767.49901244</v>
      </c>
      <c r="AQ61" s="2">
        <f>求节点(节奏总纲!F$4:F$163,AJ$4:AJ$163,$AN61)*其他调用!J62*其他调用!$M62</f>
        <v>11876257.958792236</v>
      </c>
      <c r="AR61" s="2">
        <f>求节点(节奏总纲!G$4:G$163,AK$4:AK$163,$AN61)*其他调用!K62*其他调用!$M62</f>
        <v>2792821.3948001568</v>
      </c>
      <c r="AS61" s="2">
        <f>求节点(节奏总纲!H$4:H$163,AL$4:AL$163,$AN61)*其他调用!L62*其他调用!$M62</f>
        <v>1069382.5932309269</v>
      </c>
      <c r="AT61" s="2">
        <f t="shared" si="0"/>
        <v>246794837.4617767</v>
      </c>
      <c r="AY61" s="2">
        <v>58</v>
      </c>
      <c r="AZ61" s="2">
        <f>其他调用!R62*6*(其他调用!AH$2*$AZ$1*MIN(其他调用!$AJ62/其他调用!AH62,1)+$E$4*0%*攻城基础信息!AC62)</f>
        <v>6547.7235100807675</v>
      </c>
      <c r="BA61" s="2">
        <f>其他调用!S62*6*(其他调用!AI$2*$AZ$1*MIN(其他调用!$AJ62/其他调用!AI62,1)+$E$4*0%*攻城基础信息!AD62)</f>
        <v>19819.920021351681</v>
      </c>
      <c r="BB61" s="2">
        <f>其他调用!T62*6*(其他调用!AJ$2*$AZ$1*MIN(其他调用!$AJ62/其他调用!AJ62,1)+$E$4*0%*攻城基础信息!AE62)</f>
        <v>60082.898053137687</v>
      </c>
      <c r="BC61" s="2">
        <f>其他调用!U62*6*(其他调用!AK$2*$AZ$1*MIN(其他调用!$AJ62/其他调用!AK62,1)+$E$4*0%*攻城基础信息!AF62)</f>
        <v>25665.474725995824</v>
      </c>
      <c r="BD61" s="2">
        <f>其他调用!V62*6*(其他调用!AL$2*$AZ$1*MIN(其他调用!$AJ62/其他调用!AL62,1)+$E$4*0%*攻城基础信息!AG62)</f>
        <v>7789.0473565677812</v>
      </c>
      <c r="BF61" s="2">
        <v>58</v>
      </c>
      <c r="BG61" s="2">
        <f>求节点(节奏总纲!D$4:D$163,AZ$4:AZ$163,$AN61)</f>
        <v>6609.4196143160216</v>
      </c>
      <c r="BH61" s="2">
        <f>求节点(节奏总纲!E$4:E$163,BA$4:BA$163,$AN61)</f>
        <v>20501.471442173544</v>
      </c>
      <c r="BI61" s="2">
        <f>求节点(节奏总纲!F$4:F$163,BB$4:BB$163,$AN61)</f>
        <v>64189.411566840376</v>
      </c>
      <c r="BJ61" s="2">
        <f>求节点(节奏总纲!G$4:G$163,BC$4:BC$163,$AN61)</f>
        <v>29730.680728235173</v>
      </c>
      <c r="BK61" s="2">
        <f>求节点(节奏总纲!H$4:H$163,BD$4:BD$163,$AN61)</f>
        <v>9543.1573614513436</v>
      </c>
      <c r="BL61" s="2">
        <f>BG61*其他调用!H62*其他调用!$M62</f>
        <v>318979.90268058906</v>
      </c>
      <c r="BM61" s="2">
        <f>BH61*其他调用!I62*其他调用!$M62</f>
        <v>872260.23218750791</v>
      </c>
      <c r="BN61" s="2">
        <f>BI61*其他调用!J62*其他调用!$M62</f>
        <v>232090.48364898606</v>
      </c>
      <c r="BO61" s="2">
        <f>BJ61*其他调用!K62*其他调用!$M62</f>
        <v>17971.219521734503</v>
      </c>
      <c r="BP61" s="2">
        <f>BK61*其他调用!L62*其他调用!$M62</f>
        <v>1552.304154818898</v>
      </c>
      <c r="BQ61" s="2">
        <f t="shared" si="1"/>
        <v>1442854.1421936364</v>
      </c>
      <c r="BR61" s="2">
        <f>[1]服务器生态!$R60</f>
        <v>2.4694686747743264E-2</v>
      </c>
      <c r="BS61" s="2" t="e">
        <f>SUMPRODUCT((BG$4:BG61)*($BR$4:$BR61)*(其他调用!#REF!))</f>
        <v>#REF!</v>
      </c>
      <c r="BT61" s="2" t="e">
        <f>SUMPRODUCT((BH$4:BH61)*($BR$4:$BR61)*(其他调用!#REF!))</f>
        <v>#REF!</v>
      </c>
      <c r="BU61" s="2" t="e">
        <f>SUMPRODUCT((BI$4:BI61)*($BR$4:$BR61)*(其他调用!#REF!))</f>
        <v>#REF!</v>
      </c>
      <c r="BV61" s="2" t="e">
        <f>SUMPRODUCT((BJ$4:BJ61)*($BR$4:$BR61)*(其他调用!#REF!))</f>
        <v>#REF!</v>
      </c>
      <c r="BW61" s="2" t="e">
        <f>SUMPRODUCT((BK$4:BK61)*($BR$4:$BR61)*(其他调用!#REF!))</f>
        <v>#REF!</v>
      </c>
      <c r="BX61" s="2" t="e">
        <f>SUMPRODUCT((BG$4:BG61)*($BR$4:$BR61))*'[1]功能-战损相关'!$D$2-BS61</f>
        <v>#REF!</v>
      </c>
      <c r="BY61" s="2" t="e">
        <f>SUMPRODUCT((BH$4:BH61)*($BR$4:$BR61))*'[1]功能-战损相关'!$D$2-BT61</f>
        <v>#REF!</v>
      </c>
      <c r="BZ61" s="2" t="e">
        <f>SUMPRODUCT((BI$4:BI61)*($BR$4:$BR61))*'[1]功能-战损相关'!$D$2-BU61</f>
        <v>#REF!</v>
      </c>
      <c r="CA61" s="2" t="e">
        <f>SUMPRODUCT((BJ$4:BJ61)*($BR$4:$BR61))*'[1]功能-战损相关'!$D$2-BV61</f>
        <v>#REF!</v>
      </c>
      <c r="CB61" s="2" t="e">
        <f>SUMPRODUCT((BK$4:BK61)*($BR$4:$BR61))*'[1]功能-战损相关'!$D$2-BW61</f>
        <v>#REF!</v>
      </c>
      <c r="CD61" s="2">
        <v>58</v>
      </c>
      <c r="CE61" s="7">
        <v>1</v>
      </c>
      <c r="CF61" s="2" t="e">
        <f>求节点(节奏总纲!R$4:R$363,BS$4:BS$363,$CD61)*$CE61</f>
        <v>#VALUE!</v>
      </c>
      <c r="CG61" s="2" t="e">
        <f>求节点(节奏总纲!S$4:S$363,BT$4:BT$363,$CD61)*$CE61</f>
        <v>#VALUE!</v>
      </c>
      <c r="CH61" s="2" t="e">
        <f>求节点(节奏总纲!T$4:T$363,BU$4:BU$363,$CD61)*$CE61</f>
        <v>#VALUE!</v>
      </c>
      <c r="CI61" s="2" t="e">
        <f>求节点(节奏总纲!U$4:U$363,BV$4:BV$363,$CD61)*$CE61</f>
        <v>#VALUE!</v>
      </c>
      <c r="CJ61" s="2" t="e">
        <f>求节点(节奏总纲!V$4:V$363,BW$4:BW$363,$CD61)*$CE61</f>
        <v>#VALUE!</v>
      </c>
      <c r="CK61" s="2" t="e">
        <f>求节点(节奏总纲!R$4:R$363,BX$4:BX$363,$CD61)*$CE61</f>
        <v>#VALUE!</v>
      </c>
      <c r="CL61" s="2" t="e">
        <f>求节点(节奏总纲!S$4:S$363,BY$4:BY$363,$CD61)*$CE61</f>
        <v>#VALUE!</v>
      </c>
      <c r="CM61" s="2" t="e">
        <f>求节点(节奏总纲!T$4:T$363,BZ$4:BZ$363,$CD61)*$CE61</f>
        <v>#VALUE!</v>
      </c>
      <c r="CN61" s="2" t="e">
        <f>求节点(节奏总纲!U$4:U$363,CA$4:CA$363,$CD61)*$CE61</f>
        <v>#VALUE!</v>
      </c>
      <c r="CO61" s="2" t="e">
        <f>求节点(节奏总纲!V$4:V$363,CB$4:CB$363,$CD61)*$CE61</f>
        <v>#VALUE!</v>
      </c>
    </row>
    <row r="62" spans="17:93" x14ac:dyDescent="0.15">
      <c r="AA62" s="2">
        <v>59</v>
      </c>
      <c r="AB62" s="2">
        <f>攻城基础信息!X63*$E$12</f>
        <v>122612.20090386053</v>
      </c>
      <c r="AC62" s="2">
        <f>攻城基础信息!Y63*$E$12</f>
        <v>127513.91374957193</v>
      </c>
      <c r="AD62" s="2">
        <f>攻城基础信息!Z63*$E$12</f>
        <v>135037.03192459414</v>
      </c>
      <c r="AE62" s="2">
        <f>攻城基础信息!AA63*$E$12</f>
        <v>153472.25712340686</v>
      </c>
      <c r="AF62" s="2">
        <f>攻城基础信息!AB63*$E$12</f>
        <v>157810.1088472204</v>
      </c>
      <c r="AH62" s="2">
        <f>$E$4*AB62*攻城基础信息!AC63</f>
        <v>2403199.1377156666</v>
      </c>
      <c r="AI62" s="2">
        <f>$E$4*AC62*攻城基础信息!AD63</f>
        <v>2499272.7094916101</v>
      </c>
      <c r="AJ62" s="2">
        <f>$E$4*AD62*攻城基础信息!AE63</f>
        <v>2646725.8257220453</v>
      </c>
      <c r="AK62" s="2">
        <f>$E$4*AE62*攻城基础信息!AF63</f>
        <v>3008056.2396187745</v>
      </c>
      <c r="AL62" s="2">
        <f>$E$4*AF62*攻城基础信息!AG63</f>
        <v>3093078.1334055201</v>
      </c>
      <c r="AN62" s="2">
        <v>59</v>
      </c>
      <c r="AO62" s="2">
        <f>求节点(节奏总纲!D$4:D$163,AH$4:AH$163,$AN62)*其他调用!H63*其他调用!$M63</f>
        <v>116369646.87063114</v>
      </c>
      <c r="AP62" s="2">
        <f>求节点(节奏总纲!E$4:E$163,AI$4:AI$163,$AN62)*其他调用!I63*其他调用!$M63</f>
        <v>117708673.28689924</v>
      </c>
      <c r="AQ62" s="2">
        <f>求节点(节奏总纲!F$4:F$163,AJ$4:AJ$163,$AN62)*其他调用!J63*其他调用!$M63</f>
        <v>12042183.020113625</v>
      </c>
      <c r="AR62" s="2">
        <f>求节点(节奏总纲!G$4:G$163,AK$4:AK$163,$AN62)*其他调用!K63*其他调用!$M63</f>
        <v>2832299.9766295282</v>
      </c>
      <c r="AS62" s="2">
        <f>求节点(节奏总纲!H$4:H$163,AL$4:AL$163,$AN62)*其他调用!L63*其他调用!$M63</f>
        <v>1091285.6228336256</v>
      </c>
      <c r="AT62" s="2">
        <f t="shared" si="0"/>
        <v>250044088.77710715</v>
      </c>
      <c r="AY62" s="2">
        <v>59</v>
      </c>
      <c r="AZ62" s="2">
        <f>其他调用!R63*6*(其他调用!AH$2*$AZ$1*MIN(其他调用!$AJ63/其他调用!AH63,1)+$E$4*0%*攻城基础信息!AC63)</f>
        <v>6622.8324182963715</v>
      </c>
      <c r="BA62" s="2">
        <f>其他调用!S63*6*(其他调用!AI$2*$AZ$1*MIN(其他调用!$AJ63/其他调用!AI63,1)+$E$4*0%*攻城基础信息!AD63)</f>
        <v>20058.16416983305</v>
      </c>
      <c r="BB62" s="2">
        <f>其他调用!T63*6*(其他调用!AJ$2*$AZ$1*MIN(其他调用!$AJ63/其他调用!AJ63,1)+$E$4*0%*攻城基础信息!AE63)</f>
        <v>60793.328231456733</v>
      </c>
      <c r="BC62" s="2">
        <f>其他调用!U63*6*(其他调用!AK$2*$AZ$1*MIN(其他调用!$AJ63/其他调用!AK63,1)+$E$4*0%*攻城基础信息!AF63)</f>
        <v>26012.900217249116</v>
      </c>
      <c r="BD62" s="2">
        <f>其他调用!V63*6*(其他调用!AL$2*$AZ$1*MIN(其他调用!$AJ63/其他调用!AL63,1)+$E$4*0%*攻城基础信息!AG63)</f>
        <v>7878.9780483495206</v>
      </c>
      <c r="BF62" s="2">
        <v>59</v>
      </c>
      <c r="BG62" s="2">
        <f>求节点(节奏总纲!D$4:D$163,AZ$4:AZ$163,$AN62)</f>
        <v>6628.087219130136</v>
      </c>
      <c r="BH62" s="2">
        <f>求节点(节奏总纲!E$4:E$163,BA$4:BA$163,$AN62)</f>
        <v>20560.741863316736</v>
      </c>
      <c r="BI62" s="2">
        <f>求节点(节奏总纲!F$4:F$163,BB$4:BB$163,$AN62)</f>
        <v>64372.968076516067</v>
      </c>
      <c r="BJ62" s="2">
        <f>求节点(节奏总纲!G$4:G$163,BC$4:BC$163,$AN62)</f>
        <v>29847.159272780977</v>
      </c>
      <c r="BK62" s="2">
        <f>求节点(节奏总纲!H$4:H$163,BD$4:BD$163,$AN62)</f>
        <v>9560.884545444922</v>
      </c>
      <c r="BL62" s="2">
        <f>BG62*其他调用!H63*其他调用!$M63</f>
        <v>320007.51560262119</v>
      </c>
      <c r="BM62" s="2">
        <f>BH62*其他调用!I63*其他调用!$M63</f>
        <v>878953.39003354625</v>
      </c>
      <c r="BN62" s="2">
        <f>BI62*其他调用!J63*其他调用!$M63</f>
        <v>233489.05483986728</v>
      </c>
      <c r="BO62" s="2">
        <f>BJ62*其他调用!K63*其他调用!$M63</f>
        <v>18141.896146546565</v>
      </c>
      <c r="BP62" s="2">
        <f>BK62*其他调用!L63*其他调用!$M63</f>
        <v>1567.8364619903175</v>
      </c>
      <c r="BQ62" s="2">
        <f t="shared" si="1"/>
        <v>1452159.6930845717</v>
      </c>
      <c r="BR62" s="2">
        <f>[1]服务器生态!$R61</f>
        <v>2.3572200986482206E-2</v>
      </c>
      <c r="BS62" s="2" t="e">
        <f>SUMPRODUCT((BG$4:BG62)*($BR$4:$BR62)*(其他调用!#REF!))</f>
        <v>#REF!</v>
      </c>
      <c r="BT62" s="2" t="e">
        <f>SUMPRODUCT((BH$4:BH62)*($BR$4:$BR62)*(其他调用!#REF!))</f>
        <v>#REF!</v>
      </c>
      <c r="BU62" s="2" t="e">
        <f>SUMPRODUCT((BI$4:BI62)*($BR$4:$BR62)*(其他调用!#REF!))</f>
        <v>#REF!</v>
      </c>
      <c r="BV62" s="2" t="e">
        <f>SUMPRODUCT((BJ$4:BJ62)*($BR$4:$BR62)*(其他调用!#REF!))</f>
        <v>#REF!</v>
      </c>
      <c r="BW62" s="2" t="e">
        <f>SUMPRODUCT((BK$4:BK62)*($BR$4:$BR62)*(其他调用!#REF!))</f>
        <v>#REF!</v>
      </c>
      <c r="BX62" s="2" t="e">
        <f>SUMPRODUCT((BG$4:BG62)*($BR$4:$BR62))*'[1]功能-战损相关'!$D$2-BS62</f>
        <v>#REF!</v>
      </c>
      <c r="BY62" s="2" t="e">
        <f>SUMPRODUCT((BH$4:BH62)*($BR$4:$BR62))*'[1]功能-战损相关'!$D$2-BT62</f>
        <v>#REF!</v>
      </c>
      <c r="BZ62" s="2" t="e">
        <f>SUMPRODUCT((BI$4:BI62)*($BR$4:$BR62))*'[1]功能-战损相关'!$D$2-BU62</f>
        <v>#REF!</v>
      </c>
      <c r="CA62" s="2" t="e">
        <f>SUMPRODUCT((BJ$4:BJ62)*($BR$4:$BR62))*'[1]功能-战损相关'!$D$2-BV62</f>
        <v>#REF!</v>
      </c>
      <c r="CB62" s="2" t="e">
        <f>SUMPRODUCT((BK$4:BK62)*($BR$4:$BR62))*'[1]功能-战损相关'!$D$2-BW62</f>
        <v>#REF!</v>
      </c>
      <c r="CD62" s="2">
        <v>59</v>
      </c>
      <c r="CE62" s="7">
        <v>1</v>
      </c>
      <c r="CF62" s="2" t="e">
        <f>求节点(节奏总纲!R$4:R$363,BS$4:BS$363,$CD62)*$CE62</f>
        <v>#VALUE!</v>
      </c>
      <c r="CG62" s="2" t="e">
        <f>求节点(节奏总纲!S$4:S$363,BT$4:BT$363,$CD62)*$CE62</f>
        <v>#VALUE!</v>
      </c>
      <c r="CH62" s="2" t="e">
        <f>求节点(节奏总纲!T$4:T$363,BU$4:BU$363,$CD62)*$CE62</f>
        <v>#VALUE!</v>
      </c>
      <c r="CI62" s="2" t="e">
        <f>求节点(节奏总纲!U$4:U$363,BV$4:BV$363,$CD62)*$CE62</f>
        <v>#VALUE!</v>
      </c>
      <c r="CJ62" s="2" t="e">
        <f>求节点(节奏总纲!V$4:V$363,BW$4:BW$363,$CD62)*$CE62</f>
        <v>#VALUE!</v>
      </c>
      <c r="CK62" s="2" t="e">
        <f>求节点(节奏总纲!R$4:R$363,BX$4:BX$363,$CD62)*$CE62</f>
        <v>#VALUE!</v>
      </c>
      <c r="CL62" s="2" t="e">
        <f>求节点(节奏总纲!S$4:S$363,BY$4:BY$363,$CD62)*$CE62</f>
        <v>#VALUE!</v>
      </c>
      <c r="CM62" s="2" t="e">
        <f>求节点(节奏总纲!T$4:T$363,BZ$4:BZ$363,$CD62)*$CE62</f>
        <v>#VALUE!</v>
      </c>
      <c r="CN62" s="2" t="e">
        <f>求节点(节奏总纲!U$4:U$363,CA$4:CA$363,$CD62)*$CE62</f>
        <v>#VALUE!</v>
      </c>
      <c r="CO62" s="2" t="e">
        <f>求节点(节奏总纲!V$4:V$363,CB$4:CB$363,$CD62)*$CE62</f>
        <v>#VALUE!</v>
      </c>
    </row>
    <row r="63" spans="17:93" x14ac:dyDescent="0.15">
      <c r="AA63" s="2">
        <v>60</v>
      </c>
      <c r="AB63" s="2">
        <f>攻城基础信息!X64*$E$12</f>
        <v>126523.00520226637</v>
      </c>
      <c r="AC63" s="2">
        <f>攻城基础信息!Y64*$E$12</f>
        <v>131982.71797679196</v>
      </c>
      <c r="AD63" s="2">
        <f>攻城基础信息!Z64*$E$12</f>
        <v>140160.77034743843</v>
      </c>
      <c r="AE63" s="2">
        <f>攻城基础信息!AA64*$E$12</f>
        <v>158947.31195770053</v>
      </c>
      <c r="AF63" s="2">
        <f>攻城基础信息!AB64*$E$12</f>
        <v>162579.5140394</v>
      </c>
      <c r="AH63" s="2">
        <f>$E$4*AB63*攻城基础信息!AC64</f>
        <v>2509372.9365116167</v>
      </c>
      <c r="AI63" s="2">
        <f>$E$4*AC63*攻城基础信息!AD64</f>
        <v>2617657.2398730405</v>
      </c>
      <c r="AJ63" s="2">
        <f>$E$4*AD63*攻城基础信息!AE64</f>
        <v>2779855.2785575292</v>
      </c>
      <c r="AK63" s="2">
        <f>$E$4*AE63*攻城基础信息!AF64</f>
        <v>3152455.0204943935</v>
      </c>
      <c r="AL63" s="2">
        <f>$E$4*AF63*攻城基础信息!AG64</f>
        <v>3224493.6951147667</v>
      </c>
      <c r="AN63" s="2">
        <v>60</v>
      </c>
      <c r="AO63" s="2">
        <f>求节点(节奏总纲!D$4:D$163,AH$4:AH$163,$AN63)*其他调用!H64*其他调用!$M64</f>
        <v>117611003.0549265</v>
      </c>
      <c r="AP63" s="2">
        <f>求节点(节奏总纲!E$4:E$163,AI$4:AI$163,$AN63)*其他调用!I64*其他调用!$M64</f>
        <v>119562149.13039501</v>
      </c>
      <c r="AQ63" s="2">
        <f>求节点(节奏总纲!F$4:F$163,AJ$4:AJ$163,$AN63)*其他调用!J64*其他调用!$M64</f>
        <v>12203610.175877301</v>
      </c>
      <c r="AR63" s="2">
        <f>求节点(节奏总纲!G$4:G$163,AK$4:AK$163,$AN63)*其他调用!K64*其他调用!$M64</f>
        <v>2872086.6982111763</v>
      </c>
      <c r="AS63" s="2">
        <f>求节点(节奏总纲!H$4:H$163,AL$4:AL$163,$AN63)*其他调用!L64*其他调用!$M64</f>
        <v>1113386.8959834652</v>
      </c>
      <c r="AT63" s="2">
        <f t="shared" si="0"/>
        <v>253362235.95539343</v>
      </c>
      <c r="AY63" s="2">
        <v>60</v>
      </c>
      <c r="AZ63" s="2">
        <f>其他调用!R64*6*(其他调用!AH$2*$AZ$1*MIN(其他调用!$AJ64/其他调用!AH64,1)+$E$4*0%*攻城基础信息!AC64)</f>
        <v>6701.6095898210569</v>
      </c>
      <c r="BA63" s="2">
        <f>其他调用!S64*6*(其他调用!AI$2*$AZ$1*MIN(其他调用!$AJ64/其他调用!AI64,1)+$E$4*0%*攻城基础信息!AD64)</f>
        <v>20290.419246732923</v>
      </c>
      <c r="BB63" s="2">
        <f>其他调用!T64*6*(其他调用!AJ$2*$AZ$1*MIN(其他调用!$AJ64/其他调用!AJ64,1)+$E$4*0%*攻城基础信息!AE64)</f>
        <v>61523.099805652375</v>
      </c>
      <c r="BC63" s="2">
        <f>其他调用!U64*6*(其他调用!AK$2*$AZ$1*MIN(其他调用!$AJ64/其他调用!AK64,1)+$E$4*0%*攻城基础信息!AF64)</f>
        <v>26392.851168832683</v>
      </c>
      <c r="BD63" s="2">
        <f>其他调用!V64*6*(其他调用!AL$2*$AZ$1*MIN(其他调用!$AJ64/其他调用!AL64,1)+$E$4*0%*攻城基础信息!AG64)</f>
        <v>7977.516306640332</v>
      </c>
      <c r="BF63" s="2">
        <v>60</v>
      </c>
      <c r="BG63" s="2">
        <f>求节点(节奏总纲!D$4:D$163,AZ$4:AZ$163,$AN63)</f>
        <v>6646.467811802866</v>
      </c>
      <c r="BH63" s="2">
        <f>求节点(节奏总纲!E$4:E$163,BA$4:BA$163,$AN63)</f>
        <v>20616.145050776504</v>
      </c>
      <c r="BI63" s="2">
        <f>求节点(节奏总纲!F$4:F$163,BB$4:BB$163,$AN63)</f>
        <v>64543.177068323603</v>
      </c>
      <c r="BJ63" s="2">
        <f>求节点(节奏总纲!G$4:G$163,BC$4:BC$163,$AN63)</f>
        <v>29963.637817326784</v>
      </c>
      <c r="BK63" s="2">
        <f>求节点(节奏总纲!H$4:H$163,BD$4:BD$163,$AN63)</f>
        <v>9578.2970146592052</v>
      </c>
      <c r="BL63" s="2">
        <f>BG63*其他调用!H64*其他调用!$M64</f>
        <v>321018.60989217181</v>
      </c>
      <c r="BM63" s="2">
        <f>BH63*其他调用!I64*其他调用!$M64</f>
        <v>885514.41616833257</v>
      </c>
      <c r="BN63" s="2">
        <f>BI63*其他调用!J64*其他调用!$M64</f>
        <v>234844.01548509189</v>
      </c>
      <c r="BO63" s="2">
        <f>BJ63*其他调用!K64*其他调用!$M64</f>
        <v>18313.631608488613</v>
      </c>
      <c r="BP63" s="2">
        <f>BK63*其他调用!L64*其他调用!$M64</f>
        <v>1583.4074360873421</v>
      </c>
      <c r="BQ63" s="2">
        <f t="shared" si="1"/>
        <v>1461274.080590172</v>
      </c>
      <c r="BR63" s="2">
        <f>[1]服务器生态!$R62</f>
        <v>2.2449715225221149E-2</v>
      </c>
      <c r="BS63" s="2" t="e">
        <f>SUMPRODUCT((BG$4:BG63)*($BR$4:$BR63)*(其他调用!#REF!))</f>
        <v>#REF!</v>
      </c>
      <c r="BT63" s="2" t="e">
        <f>SUMPRODUCT((BH$4:BH63)*($BR$4:$BR63)*(其他调用!#REF!))</f>
        <v>#REF!</v>
      </c>
      <c r="BU63" s="2" t="e">
        <f>SUMPRODUCT((BI$4:BI63)*($BR$4:$BR63)*(其他调用!#REF!))</f>
        <v>#REF!</v>
      </c>
      <c r="BV63" s="2" t="e">
        <f>SUMPRODUCT((BJ$4:BJ63)*($BR$4:$BR63)*(其他调用!#REF!))</f>
        <v>#REF!</v>
      </c>
      <c r="BW63" s="2" t="e">
        <f>SUMPRODUCT((BK$4:BK63)*($BR$4:$BR63)*(其他调用!#REF!))</f>
        <v>#REF!</v>
      </c>
      <c r="BX63" s="2" t="e">
        <f>SUMPRODUCT((BG$4:BG63)*($BR$4:$BR63))*'[1]功能-战损相关'!$D$2-BS63</f>
        <v>#REF!</v>
      </c>
      <c r="BY63" s="2" t="e">
        <f>SUMPRODUCT((BH$4:BH63)*($BR$4:$BR63))*'[1]功能-战损相关'!$D$2-BT63</f>
        <v>#REF!</v>
      </c>
      <c r="BZ63" s="2" t="e">
        <f>SUMPRODUCT((BI$4:BI63)*($BR$4:$BR63))*'[1]功能-战损相关'!$D$2-BU63</f>
        <v>#REF!</v>
      </c>
      <c r="CA63" s="2" t="e">
        <f>SUMPRODUCT((BJ$4:BJ63)*($BR$4:$BR63))*'[1]功能-战损相关'!$D$2-BV63</f>
        <v>#REF!</v>
      </c>
      <c r="CB63" s="2" t="e">
        <f>SUMPRODUCT((BK$4:BK63)*($BR$4:$BR63))*'[1]功能-战损相关'!$D$2-BW63</f>
        <v>#REF!</v>
      </c>
      <c r="CD63" s="2">
        <v>60</v>
      </c>
      <c r="CE63" s="7">
        <v>1</v>
      </c>
      <c r="CF63" s="2" t="e">
        <f>求节点(节奏总纲!R$4:R$363,BS$4:BS$363,$CD63)*$CE63</f>
        <v>#VALUE!</v>
      </c>
      <c r="CG63" s="2" t="e">
        <f>求节点(节奏总纲!S$4:S$363,BT$4:BT$363,$CD63)*$CE63</f>
        <v>#VALUE!</v>
      </c>
      <c r="CH63" s="2" t="e">
        <f>求节点(节奏总纲!T$4:T$363,BU$4:BU$363,$CD63)*$CE63</f>
        <v>#VALUE!</v>
      </c>
      <c r="CI63" s="2" t="e">
        <f>求节点(节奏总纲!U$4:U$363,BV$4:BV$363,$CD63)*$CE63</f>
        <v>#VALUE!</v>
      </c>
      <c r="CJ63" s="2" t="e">
        <f>求节点(节奏总纲!V$4:V$363,BW$4:BW$363,$CD63)*$CE63</f>
        <v>#VALUE!</v>
      </c>
      <c r="CK63" s="2" t="e">
        <f>求节点(节奏总纲!R$4:R$363,BX$4:BX$363,$CD63)*$CE63</f>
        <v>#VALUE!</v>
      </c>
      <c r="CL63" s="2" t="e">
        <f>求节点(节奏总纲!S$4:S$363,BY$4:BY$363,$CD63)*$CE63</f>
        <v>#VALUE!</v>
      </c>
      <c r="CM63" s="2" t="e">
        <f>求节点(节奏总纲!T$4:T$363,BZ$4:BZ$363,$CD63)*$CE63</f>
        <v>#VALUE!</v>
      </c>
      <c r="CN63" s="2" t="e">
        <f>求节点(节奏总纲!U$4:U$363,CA$4:CA$363,$CD63)*$CE63</f>
        <v>#VALUE!</v>
      </c>
      <c r="CO63" s="2" t="e">
        <f>求节点(节奏总纲!V$4:V$363,CB$4:CB$363,$CD63)*$CE63</f>
        <v>#VALUE!</v>
      </c>
    </row>
    <row r="64" spans="17:93" x14ac:dyDescent="0.15">
      <c r="AA64" s="2">
        <v>61</v>
      </c>
      <c r="AB64" s="2">
        <f>攻城基础信息!X65*$E$12</f>
        <v>130866.85108584912</v>
      </c>
      <c r="AC64" s="2">
        <f>攻城基础信息!Y65*$E$12</f>
        <v>136611.35193108834</v>
      </c>
      <c r="AD64" s="2">
        <f>攻城基础信息!Z65*$E$12</f>
        <v>145253.96449780208</v>
      </c>
      <c r="AE64" s="2">
        <f>攻城基础信息!AA65*$E$12</f>
        <v>164609.3369499766</v>
      </c>
      <c r="AF64" s="2">
        <f>攻城基础信息!AB65*$E$12</f>
        <v>167475.46818432273</v>
      </c>
      <c r="AH64" s="2">
        <f>$E$4*AB64*攻城基础信息!AC65</f>
        <v>2626061.478456039</v>
      </c>
      <c r="AI64" s="2">
        <f>$E$4*AC64*攻城基础信息!AD65</f>
        <v>2741334.4620838393</v>
      </c>
      <c r="AJ64" s="2">
        <f>$E$4*AD64*攻城基础信息!AE65</f>
        <v>2914762.8875892283</v>
      </c>
      <c r="AK64" s="2">
        <f>$E$4*AE64*攻城基础信息!AF65</f>
        <v>3303160.6947961971</v>
      </c>
      <c r="AL64" s="2">
        <f>$E$4*AF64*攻城基础信息!AG65</f>
        <v>3360674.3948987424</v>
      </c>
      <c r="AN64" s="2">
        <v>61</v>
      </c>
      <c r="AO64" s="2">
        <f>求节点(节奏总纲!D$4:D$163,AH$4:AH$163,$AN64)*其他调用!H65*其他调用!$M65</f>
        <v>118904694.40240213</v>
      </c>
      <c r="AP64" s="2">
        <f>求节点(节奏总纲!E$4:E$163,AI$4:AI$163,$AN64)*其他调用!I65*其他调用!$M65</f>
        <v>121371741.44569924</v>
      </c>
      <c r="AQ64" s="2">
        <f>求节点(节奏总纲!F$4:F$163,AJ$4:AJ$163,$AN64)*其他调用!J65*其他调用!$M65</f>
        <v>12360869.35682695</v>
      </c>
      <c r="AR64" s="2">
        <f>求节点(节奏总纲!G$4:G$163,AK$4:AK$163,$AN64)*其他调用!K65*其他调用!$M65</f>
        <v>2910642.9760248349</v>
      </c>
      <c r="AS64" s="2">
        <f>求节点(节奏总纲!H$4:H$163,AL$4:AL$163,$AN64)*其他调用!L65*其他调用!$M65</f>
        <v>1135051.9027252584</v>
      </c>
      <c r="AT64" s="2">
        <f t="shared" si="0"/>
        <v>256683000.08367842</v>
      </c>
      <c r="AY64" s="2">
        <v>61</v>
      </c>
      <c r="AZ64" s="2">
        <f>其他调用!R65*6*(其他调用!AH$2*$AZ$1*MIN(其他调用!$AJ65/其他调用!AH65,1)+$E$4*0%*攻城基础信息!AC65)</f>
        <v>6779.9385989819993</v>
      </c>
      <c r="BA64" s="2">
        <f>其他调用!S65*6*(其他调用!AI$2*$AZ$1*MIN(其他调用!$AJ65/其他调用!AI65,1)+$E$4*0%*攻城基础信息!AD65)</f>
        <v>20538.403660417371</v>
      </c>
      <c r="BB64" s="2">
        <f>其他调用!T65*6*(其他调用!AJ$2*$AZ$1*MIN(其他调用!$AJ65/其他调用!AJ65,1)+$E$4*0%*攻城基础信息!AE65)</f>
        <v>62233.084461459679</v>
      </c>
      <c r="BC64" s="2">
        <f>其他调用!U65*6*(其他调用!AK$2*$AZ$1*MIN(其他调用!$AJ65/其他调用!AK65,1)+$E$4*0%*攻城基础信息!AF65)</f>
        <v>26796.313701737337</v>
      </c>
      <c r="BD64" s="2">
        <f>其他调用!V65*6*(其他调用!AL$2*$AZ$1*MIN(其他调用!$AJ65/其他调用!AL65,1)+$E$4*0%*攻城基础信息!AG65)</f>
        <v>8083.605005983055</v>
      </c>
      <c r="BF64" s="2">
        <v>61</v>
      </c>
      <c r="BG64" s="2">
        <f>求节点(节奏总纲!D$4:D$163,AZ$4:AZ$163,$AN64)</f>
        <v>6664.8484044755969</v>
      </c>
      <c r="BH64" s="2">
        <f>求节点(节奏总纲!E$4:E$163,BA$4:BA$163,$AN64)</f>
        <v>20671.548238236272</v>
      </c>
      <c r="BI64" s="2">
        <f>求节点(节奏总纲!F$4:F$163,BB$4:BB$163,$AN64)</f>
        <v>64705.705010491867</v>
      </c>
      <c r="BJ64" s="2">
        <f>求节点(节奏总纲!G$4:G$163,BC$4:BC$163,$AN64)</f>
        <v>30080.116361872588</v>
      </c>
      <c r="BK64" s="2">
        <f>求节点(节奏总纲!H$4:H$163,BD$4:BD$163,$AN64)</f>
        <v>9595.3464252898648</v>
      </c>
      <c r="BL64" s="2">
        <f>BG64*其他调用!H65*其他调用!$M65</f>
        <v>322169.69134154875</v>
      </c>
      <c r="BM64" s="2">
        <f>BH64*其他调用!I65*其他调用!$M65</f>
        <v>891685.5882237209</v>
      </c>
      <c r="BN64" s="2">
        <f>BI64*其他调用!J65*其他调用!$M65</f>
        <v>236139.3449746301</v>
      </c>
      <c r="BO64" s="2">
        <f>BJ64*其他调用!K65*其他调用!$M65</f>
        <v>18476.655337188789</v>
      </c>
      <c r="BP64" s="2">
        <f>BK64*其他调用!L65*其他调用!$M65</f>
        <v>1598.1245764692851</v>
      </c>
      <c r="BQ64" s="2">
        <f t="shared" si="1"/>
        <v>1470069.4044535577</v>
      </c>
      <c r="BR64" s="2">
        <f>[1]服务器生态!$R63</f>
        <v>2.1327229463960092E-2</v>
      </c>
      <c r="BS64" s="2" t="e">
        <f>SUMPRODUCT((BG$4:BG64)*($BR$4:$BR64)*(其他调用!#REF!))</f>
        <v>#REF!</v>
      </c>
      <c r="BT64" s="2" t="e">
        <f>SUMPRODUCT((BH$4:BH64)*($BR$4:$BR64)*(其他调用!#REF!))</f>
        <v>#REF!</v>
      </c>
      <c r="BU64" s="2" t="e">
        <f>SUMPRODUCT((BI$4:BI64)*($BR$4:$BR64)*(其他调用!#REF!))</f>
        <v>#REF!</v>
      </c>
      <c r="BV64" s="2" t="e">
        <f>SUMPRODUCT((BJ$4:BJ64)*($BR$4:$BR64)*(其他调用!#REF!))</f>
        <v>#REF!</v>
      </c>
      <c r="BW64" s="2" t="e">
        <f>SUMPRODUCT((BK$4:BK64)*($BR$4:$BR64)*(其他调用!#REF!))</f>
        <v>#REF!</v>
      </c>
      <c r="BX64" s="2" t="e">
        <f>SUMPRODUCT((BG$4:BG64)*($BR$4:$BR64))*'[1]功能-战损相关'!$D$2-BS64</f>
        <v>#REF!</v>
      </c>
      <c r="BY64" s="2" t="e">
        <f>SUMPRODUCT((BH$4:BH64)*($BR$4:$BR64))*'[1]功能-战损相关'!$D$2-BT64</f>
        <v>#REF!</v>
      </c>
      <c r="BZ64" s="2" t="e">
        <f>SUMPRODUCT((BI$4:BI64)*($BR$4:$BR64))*'[1]功能-战损相关'!$D$2-BU64</f>
        <v>#REF!</v>
      </c>
      <c r="CA64" s="2" t="e">
        <f>SUMPRODUCT((BJ$4:BJ64)*($BR$4:$BR64))*'[1]功能-战损相关'!$D$2-BV64</f>
        <v>#REF!</v>
      </c>
      <c r="CB64" s="2" t="e">
        <f>SUMPRODUCT((BK$4:BK64)*($BR$4:$BR64))*'[1]功能-战损相关'!$D$2-BW64</f>
        <v>#REF!</v>
      </c>
      <c r="CD64" s="2">
        <v>61</v>
      </c>
      <c r="CE64" s="7">
        <v>1</v>
      </c>
      <c r="CF64" s="2" t="e">
        <f>求节点(节奏总纲!R$4:R$363,BS$4:BS$363,$CD64)*$CE64</f>
        <v>#VALUE!</v>
      </c>
      <c r="CG64" s="2" t="e">
        <f>求节点(节奏总纲!S$4:S$363,BT$4:BT$363,$CD64)*$CE64</f>
        <v>#VALUE!</v>
      </c>
      <c r="CH64" s="2" t="e">
        <f>求节点(节奏总纲!T$4:T$363,BU$4:BU$363,$CD64)*$CE64</f>
        <v>#VALUE!</v>
      </c>
      <c r="CI64" s="2" t="e">
        <f>求节点(节奏总纲!U$4:U$363,BV$4:BV$363,$CD64)*$CE64</f>
        <v>#VALUE!</v>
      </c>
      <c r="CJ64" s="2" t="e">
        <f>求节点(节奏总纲!V$4:V$363,BW$4:BW$363,$CD64)*$CE64</f>
        <v>#VALUE!</v>
      </c>
      <c r="CK64" s="2" t="e">
        <f>求节点(节奏总纲!R$4:R$363,BX$4:BX$363,$CD64)*$CE64</f>
        <v>#VALUE!</v>
      </c>
      <c r="CL64" s="2" t="e">
        <f>求节点(节奏总纲!S$4:S$363,BY$4:BY$363,$CD64)*$CE64</f>
        <v>#VALUE!</v>
      </c>
      <c r="CM64" s="2" t="e">
        <f>求节点(节奏总纲!T$4:T$363,BZ$4:BZ$363,$CD64)*$CE64</f>
        <v>#VALUE!</v>
      </c>
      <c r="CN64" s="2" t="e">
        <f>求节点(节奏总纲!U$4:U$363,CA$4:CA$363,$CD64)*$CE64</f>
        <v>#VALUE!</v>
      </c>
      <c r="CO64" s="2" t="e">
        <f>求节点(节奏总纲!V$4:V$363,CB$4:CB$363,$CD64)*$CE64</f>
        <v>#VALUE!</v>
      </c>
    </row>
    <row r="65" spans="27:93" x14ac:dyDescent="0.15">
      <c r="AA65" s="2">
        <v>62</v>
      </c>
      <c r="AB65" s="2">
        <f>攻城基础信息!X66*$E$12</f>
        <v>134897.79991365614</v>
      </c>
      <c r="AC65" s="2">
        <f>攻城基础信息!Y66*$E$12</f>
        <v>141340.29105771065</v>
      </c>
      <c r="AD65" s="2">
        <f>攻城基础信息!Z66*$E$12</f>
        <v>150184.78880733962</v>
      </c>
      <c r="AE65" s="2">
        <f>攻城基础信息!AA66*$E$12</f>
        <v>170450.48203535471</v>
      </c>
      <c r="AF65" s="2">
        <f>攻城基础信息!AB66*$E$12</f>
        <v>172193.13020219066</v>
      </c>
      <c r="AH65" s="2">
        <f>$E$4*AB65*攻城基础信息!AC66</f>
        <v>2738425.3382472196</v>
      </c>
      <c r="AI65" s="2">
        <f>$E$4*AC65*攻城基础信息!AD66</f>
        <v>2869207.9084715261</v>
      </c>
      <c r="AJ65" s="2">
        <f>$E$4*AD65*攻城基础信息!AE66</f>
        <v>3048751.2127889944</v>
      </c>
      <c r="AK65" s="2">
        <f>$E$4*AE65*攻城基础信息!AF66</f>
        <v>3460144.7853177004</v>
      </c>
      <c r="AL65" s="2">
        <f>$E$4*AF65*攻城基础信息!AG66</f>
        <v>3495520.5431044702</v>
      </c>
      <c r="AN65" s="2">
        <v>62</v>
      </c>
      <c r="AO65" s="2">
        <f>求节点(节奏总纲!D$4:D$163,AH$4:AH$163,$AN65)*其他调用!H66*其他调用!$M66</f>
        <v>120183111.0774316</v>
      </c>
      <c r="AP65" s="2">
        <f>求节点(节奏总纲!E$4:E$163,AI$4:AI$163,$AN65)*其他调用!I66*其他调用!$M66</f>
        <v>123176820.25052874</v>
      </c>
      <c r="AQ65" s="2">
        <f>求节点(节奏总纲!F$4:F$163,AJ$4:AJ$163,$AN65)*其他调用!J66*其他调用!$M66</f>
        <v>12517188.516005419</v>
      </c>
      <c r="AR65" s="2">
        <f>求节点(节奏总纲!G$4:G$163,AK$4:AK$163,$AN65)*其他调用!K66*其他调用!$M66</f>
        <v>2947564.5997708952</v>
      </c>
      <c r="AS65" s="2">
        <f>求节点(节奏总纲!H$4:H$163,AL$4:AL$163,$AN65)*其他调用!L66*其他调用!$M66</f>
        <v>1156787.2411748345</v>
      </c>
      <c r="AT65" s="2">
        <f t="shared" si="0"/>
        <v>259981471.68491152</v>
      </c>
      <c r="AY65" s="2">
        <v>62</v>
      </c>
      <c r="AZ65" s="2">
        <f>其他调用!R66*6*(其他调用!AH$2*$AZ$1*MIN(其他调用!$AJ66/其他调用!AH66,1)+$E$4*0%*攻城基础信息!AC66)</f>
        <v>6861.5936345721293</v>
      </c>
      <c r="BA65" s="2">
        <f>其他调用!S66*6*(其他调用!AI$2*$AZ$1*MIN(其他调用!$AJ66/其他调用!AI66,1)+$E$4*0%*攻城基础信息!AD66)</f>
        <v>20773.654520109478</v>
      </c>
      <c r="BB65" s="2">
        <f>其他调用!T66*6*(其他调用!AJ$2*$AZ$1*MIN(其他调用!$AJ66/其他调用!AJ66,1)+$E$4*0%*攻城基础信息!AE66)</f>
        <v>62981.266439805673</v>
      </c>
      <c r="BC65" s="2">
        <f>其他调用!U66*6*(其他调用!AK$2*$AZ$1*MIN(其他调用!$AJ66/其他调用!AK66,1)+$E$4*0%*攻城基础信息!AF66)</f>
        <v>27188.44732243464</v>
      </c>
      <c r="BD65" s="2">
        <f>其他调用!V66*6*(其他调用!AL$2*$AZ$1*MIN(其他调用!$AJ66/其他调用!AL66,1)+$E$4*0%*攻城基础信息!AG66)</f>
        <v>8190.4759541712392</v>
      </c>
      <c r="BF65" s="2">
        <v>62</v>
      </c>
      <c r="BG65" s="2">
        <f>求节点(节奏总纲!D$4:D$163,AZ$4:AZ$163,$AN65)</f>
        <v>6683.2289971483269</v>
      </c>
      <c r="BH65" s="2">
        <f>求节点(节奏总纲!E$4:E$163,BA$4:BA$163,$AN65)</f>
        <v>20726.951425696039</v>
      </c>
      <c r="BI65" s="2">
        <f>求节点(节奏总纲!F$4:F$163,BB$4:BB$163,$AN65)</f>
        <v>64868.232952660139</v>
      </c>
      <c r="BJ65" s="2">
        <f>求节点(节奏总纲!G$4:G$163,BC$4:BC$163,$AN65)</f>
        <v>30194.789056789272</v>
      </c>
      <c r="BK65" s="2">
        <f>求节点(节奏总纲!H$4:H$163,BD$4:BD$163,$AN65)</f>
        <v>9612.3958359205262</v>
      </c>
      <c r="BL65" s="2">
        <f>BG65*其他调用!H66*其他调用!$M66</f>
        <v>323275.8731261685</v>
      </c>
      <c r="BM65" s="2">
        <f>BH65*其他调用!I66*其他调用!$M66</f>
        <v>897763.67163367651</v>
      </c>
      <c r="BN65" s="2">
        <f>BI65*其他调用!J66*其他调用!$M66</f>
        <v>237406.72499476999</v>
      </c>
      <c r="BO65" s="2">
        <f>BJ65*其他调用!K66*其他调用!$M66</f>
        <v>18636.98733716768</v>
      </c>
      <c r="BP65" s="2">
        <f>BK65*其他调用!L66*其他调用!$M66</f>
        <v>1612.7056747769195</v>
      </c>
      <c r="BQ65" s="2">
        <f t="shared" si="1"/>
        <v>1478695.9627665593</v>
      </c>
      <c r="BR65" s="2">
        <f>[1]服务器生态!$R64</f>
        <v>2.0204743702699032E-2</v>
      </c>
      <c r="BS65" s="2" t="e">
        <f>SUMPRODUCT((BG$4:BG65)*($BR$4:$BR65)*(其他调用!#REF!))</f>
        <v>#REF!</v>
      </c>
      <c r="BT65" s="2" t="e">
        <f>SUMPRODUCT((BH$4:BH65)*($BR$4:$BR65)*(其他调用!#REF!))</f>
        <v>#REF!</v>
      </c>
      <c r="BU65" s="2" t="e">
        <f>SUMPRODUCT((BI$4:BI65)*($BR$4:$BR65)*(其他调用!#REF!))</f>
        <v>#REF!</v>
      </c>
      <c r="BV65" s="2" t="e">
        <f>SUMPRODUCT((BJ$4:BJ65)*($BR$4:$BR65)*(其他调用!#REF!))</f>
        <v>#REF!</v>
      </c>
      <c r="BW65" s="2" t="e">
        <f>SUMPRODUCT((BK$4:BK65)*($BR$4:$BR65)*(其他调用!#REF!))</f>
        <v>#REF!</v>
      </c>
      <c r="BX65" s="2" t="e">
        <f>SUMPRODUCT((BG$4:BG65)*($BR$4:$BR65))*'[1]功能-战损相关'!$D$2-BS65</f>
        <v>#REF!</v>
      </c>
      <c r="BY65" s="2" t="e">
        <f>SUMPRODUCT((BH$4:BH65)*($BR$4:$BR65))*'[1]功能-战损相关'!$D$2-BT65</f>
        <v>#REF!</v>
      </c>
      <c r="BZ65" s="2" t="e">
        <f>SUMPRODUCT((BI$4:BI65)*($BR$4:$BR65))*'[1]功能-战损相关'!$D$2-BU65</f>
        <v>#REF!</v>
      </c>
      <c r="CA65" s="2" t="e">
        <f>SUMPRODUCT((BJ$4:BJ65)*($BR$4:$BR65))*'[1]功能-战损相关'!$D$2-BV65</f>
        <v>#REF!</v>
      </c>
      <c r="CB65" s="2" t="e">
        <f>SUMPRODUCT((BK$4:BK65)*($BR$4:$BR65))*'[1]功能-战损相关'!$D$2-BW65</f>
        <v>#REF!</v>
      </c>
      <c r="CD65" s="2">
        <v>62</v>
      </c>
      <c r="CE65" s="7">
        <v>1</v>
      </c>
      <c r="CF65" s="2" t="e">
        <f>求节点(节奏总纲!R$4:R$363,BS$4:BS$363,$CD65)*$CE65</f>
        <v>#VALUE!</v>
      </c>
      <c r="CG65" s="2" t="e">
        <f>求节点(节奏总纲!S$4:S$363,BT$4:BT$363,$CD65)*$CE65</f>
        <v>#VALUE!</v>
      </c>
      <c r="CH65" s="2" t="e">
        <f>求节点(节奏总纲!T$4:T$363,BU$4:BU$363,$CD65)*$CE65</f>
        <v>#VALUE!</v>
      </c>
      <c r="CI65" s="2" t="e">
        <f>求节点(节奏总纲!U$4:U$363,BV$4:BV$363,$CD65)*$CE65</f>
        <v>#VALUE!</v>
      </c>
      <c r="CJ65" s="2" t="e">
        <f>求节点(节奏总纲!V$4:V$363,BW$4:BW$363,$CD65)*$CE65</f>
        <v>#VALUE!</v>
      </c>
      <c r="CK65" s="2" t="e">
        <f>求节点(节奏总纲!R$4:R$363,BX$4:BX$363,$CD65)*$CE65</f>
        <v>#VALUE!</v>
      </c>
      <c r="CL65" s="2" t="e">
        <f>求节点(节奏总纲!S$4:S$363,BY$4:BY$363,$CD65)*$CE65</f>
        <v>#VALUE!</v>
      </c>
      <c r="CM65" s="2" t="e">
        <f>求节点(节奏总纲!T$4:T$363,BZ$4:BZ$363,$CD65)*$CE65</f>
        <v>#VALUE!</v>
      </c>
      <c r="CN65" s="2" t="e">
        <f>求节点(节奏总纲!U$4:U$363,CA$4:CA$363,$CD65)*$CE65</f>
        <v>#VALUE!</v>
      </c>
      <c r="CO65" s="2" t="e">
        <f>求节点(节奏总纲!V$4:V$363,CB$4:CB$363,$CD65)*$CE65</f>
        <v>#VALUE!</v>
      </c>
    </row>
    <row r="66" spans="27:93" x14ac:dyDescent="0.15">
      <c r="AA66" s="2">
        <v>63</v>
      </c>
      <c r="AB66" s="2">
        <f>攻城基础信息!X67*$E$12</f>
        <v>138687.70382544425</v>
      </c>
      <c r="AC66" s="2">
        <f>攻城基础信息!Y67*$E$12</f>
        <v>146236.95118451977</v>
      </c>
      <c r="AD66" s="2">
        <f>攻城基础信息!Z67*$E$12</f>
        <v>155274.90303977553</v>
      </c>
      <c r="AE66" s="2">
        <f>攻城基础信息!AA67*$E$12</f>
        <v>176489.85872584552</v>
      </c>
      <c r="AF66" s="2">
        <f>攻城基础信息!AB67*$E$12</f>
        <v>176809.35884632214</v>
      </c>
      <c r="AH66" s="2">
        <f>$E$4*AB66*攻城基础信息!AC67</f>
        <v>2847720.8518824549</v>
      </c>
      <c r="AI66" s="2">
        <f>$E$4*AC66*攻城基础信息!AD67</f>
        <v>3002732.0643221391</v>
      </c>
      <c r="AJ66" s="2">
        <f>$E$4*AD66*攻城基础信息!AE67</f>
        <v>3188311.3424167237</v>
      </c>
      <c r="AK66" s="2">
        <f>$E$4*AE66*攻城基础信息!AF67</f>
        <v>3623925.0991706941</v>
      </c>
      <c r="AL66" s="2">
        <f>$E$4*AF66*攻城基础信息!AG67</f>
        <v>3630485.501644481</v>
      </c>
      <c r="AN66" s="2">
        <v>63</v>
      </c>
      <c r="AO66" s="2">
        <f>求节点(节奏总纲!D$4:D$163,AH$4:AH$163,$AN66)*其他调用!H67*其他调用!$M67</f>
        <v>121451276.91697273</v>
      </c>
      <c r="AP66" s="2">
        <f>求节点(节奏总纲!E$4:E$163,AI$4:AI$163,$AN66)*其他调用!I67*其他调用!$M67</f>
        <v>124973825.5020512</v>
      </c>
      <c r="AQ66" s="2">
        <f>求节点(节奏总纲!F$4:F$163,AJ$4:AJ$163,$AN66)*其他调用!J67*其他调用!$M67</f>
        <v>12673086.330309067</v>
      </c>
      <c r="AR66" s="2">
        <f>求节点(节奏总纲!G$4:G$163,AK$4:AK$163,$AN66)*其他调用!K67*其他调用!$M67</f>
        <v>2982721.2819617963</v>
      </c>
      <c r="AS66" s="2">
        <f>求节点(节奏总纲!H$4:H$163,AL$4:AL$163,$AN66)*其他调用!L67*其他调用!$M67</f>
        <v>1178639.0729425885</v>
      </c>
      <c r="AT66" s="2">
        <f t="shared" si="0"/>
        <v>263259549.10423738</v>
      </c>
      <c r="AY66" s="2">
        <v>63</v>
      </c>
      <c r="AZ66" s="2">
        <f>其他调用!R67*6*(其他调用!AH$2*$AZ$1*MIN(其他调用!$AJ67/其他调用!AH67,1)+$E$4*0%*攻城基础信息!AC67)</f>
        <v>6940.8704183021873</v>
      </c>
      <c r="BA66" s="2">
        <f>其他调用!S67*6*(其他调用!AI$2*$AZ$1*MIN(其他调用!$AJ67/其他调用!AI67,1)+$E$4*0%*攻城基础信息!AD67)</f>
        <v>21020.91482737695</v>
      </c>
      <c r="BB66" s="2">
        <f>其他调用!T67*6*(其他调用!AJ$2*$AZ$1*MIN(其他调用!$AJ67/其他调用!AJ67,1)+$E$4*0%*攻城基础信息!AE67)</f>
        <v>63690.115482756592</v>
      </c>
      <c r="BC66" s="2">
        <f>其他调用!U67*6*(其他调用!AK$2*$AZ$1*MIN(其他调用!$AJ67/其他调用!AK67,1)+$E$4*0%*攻城基础信息!AF67)</f>
        <v>27579.027989022445</v>
      </c>
      <c r="BD66" s="2">
        <f>其他调用!V67*6*(其他调用!AL$2*$AZ$1*MIN(其他调用!$AJ67/其他调用!AL67,1)+$E$4*0%*攻城基础信息!AG67)</f>
        <v>8297.3292285563821</v>
      </c>
      <c r="BF66" s="2">
        <v>63</v>
      </c>
      <c r="BG66" s="2">
        <f>求节点(节奏总纲!D$4:D$163,AZ$4:AZ$163,$AN66)</f>
        <v>6701.6095898210569</v>
      </c>
      <c r="BH66" s="2">
        <f>求节点(节奏总纲!E$4:E$163,BA$4:BA$163,$AN66)</f>
        <v>20782.045903858299</v>
      </c>
      <c r="BI66" s="2">
        <f>求节点(节奏总纲!F$4:F$163,BB$4:BB$163,$AN66)</f>
        <v>65030.760894828403</v>
      </c>
      <c r="BJ66" s="2">
        <f>求节点(节奏总纲!G$4:G$163,BC$4:BC$163,$AN66)</f>
        <v>30307.381507915426</v>
      </c>
      <c r="BK66" s="2">
        <f>求节点(节奏总纲!H$4:H$163,BD$4:BD$163,$AN66)</f>
        <v>9629.4452465511858</v>
      </c>
      <c r="BL66" s="2">
        <f>BG66*其他调用!H67*其他调用!$M67</f>
        <v>324351.56617822609</v>
      </c>
      <c r="BM66" s="2">
        <f>BH66*其他调用!I67*其他调用!$M67</f>
        <v>903774.29445177875</v>
      </c>
      <c r="BN66" s="2">
        <f>BI66*其他调用!J67*其他调用!$M67</f>
        <v>238656.59394596031</v>
      </c>
      <c r="BO66" s="2">
        <f>BJ66*其他调用!K67*其他调用!$M67</f>
        <v>18795.240892877151</v>
      </c>
      <c r="BP66" s="2">
        <f>BK66*其他调用!L67*其他调用!$M67</f>
        <v>1627.2196543793589</v>
      </c>
      <c r="BQ66" s="2">
        <f t="shared" si="1"/>
        <v>1487204.9151232217</v>
      </c>
      <c r="BR66" s="2">
        <f>[1]服务器生态!$R65</f>
        <v>1.9082257941437978E-2</v>
      </c>
      <c r="BS66" s="2" t="e">
        <f>SUMPRODUCT((BG$4:BG66)*($BR$4:$BR66)*(其他调用!#REF!))</f>
        <v>#REF!</v>
      </c>
      <c r="BT66" s="2" t="e">
        <f>SUMPRODUCT((BH$4:BH66)*($BR$4:$BR66)*(其他调用!#REF!))</f>
        <v>#REF!</v>
      </c>
      <c r="BU66" s="2" t="e">
        <f>SUMPRODUCT((BI$4:BI66)*($BR$4:$BR66)*(其他调用!#REF!))</f>
        <v>#REF!</v>
      </c>
      <c r="BV66" s="2" t="e">
        <f>SUMPRODUCT((BJ$4:BJ66)*($BR$4:$BR66)*(其他调用!#REF!))</f>
        <v>#REF!</v>
      </c>
      <c r="BW66" s="2" t="e">
        <f>SUMPRODUCT((BK$4:BK66)*($BR$4:$BR66)*(其他调用!#REF!))</f>
        <v>#REF!</v>
      </c>
      <c r="BX66" s="2" t="e">
        <f>SUMPRODUCT((BG$4:BG66)*($BR$4:$BR66))*'[1]功能-战损相关'!$D$2-BS66</f>
        <v>#REF!</v>
      </c>
      <c r="BY66" s="2" t="e">
        <f>SUMPRODUCT((BH$4:BH66)*($BR$4:$BR66))*'[1]功能-战损相关'!$D$2-BT66</f>
        <v>#REF!</v>
      </c>
      <c r="BZ66" s="2" t="e">
        <f>SUMPRODUCT((BI$4:BI66)*($BR$4:$BR66))*'[1]功能-战损相关'!$D$2-BU66</f>
        <v>#REF!</v>
      </c>
      <c r="CA66" s="2" t="e">
        <f>SUMPRODUCT((BJ$4:BJ66)*($BR$4:$BR66))*'[1]功能-战损相关'!$D$2-BV66</f>
        <v>#REF!</v>
      </c>
      <c r="CB66" s="2" t="e">
        <f>SUMPRODUCT((BK$4:BK66)*($BR$4:$BR66))*'[1]功能-战损相关'!$D$2-BW66</f>
        <v>#REF!</v>
      </c>
      <c r="CD66" s="2">
        <v>63</v>
      </c>
      <c r="CE66" s="7">
        <v>1</v>
      </c>
      <c r="CF66" s="2" t="e">
        <f>求节点(节奏总纲!R$4:R$363,BS$4:BS$363,$CD66)*$CE66</f>
        <v>#VALUE!</v>
      </c>
      <c r="CG66" s="2" t="e">
        <f>求节点(节奏总纲!S$4:S$363,BT$4:BT$363,$CD66)*$CE66</f>
        <v>#VALUE!</v>
      </c>
      <c r="CH66" s="2" t="e">
        <f>求节点(节奏总纲!T$4:T$363,BU$4:BU$363,$CD66)*$CE66</f>
        <v>#VALUE!</v>
      </c>
      <c r="CI66" s="2" t="e">
        <f>求节点(节奏总纲!U$4:U$363,BV$4:BV$363,$CD66)*$CE66</f>
        <v>#VALUE!</v>
      </c>
      <c r="CJ66" s="2" t="e">
        <f>求节点(节奏总纲!V$4:V$363,BW$4:BW$363,$CD66)*$CE66</f>
        <v>#VALUE!</v>
      </c>
      <c r="CK66" s="2" t="e">
        <f>求节点(节奏总纲!R$4:R$363,BX$4:BX$363,$CD66)*$CE66</f>
        <v>#VALUE!</v>
      </c>
      <c r="CL66" s="2" t="e">
        <f>求节点(节奏总纲!S$4:S$363,BY$4:BY$363,$CD66)*$CE66</f>
        <v>#VALUE!</v>
      </c>
      <c r="CM66" s="2" t="e">
        <f>求节点(节奏总纲!T$4:T$363,BZ$4:BZ$363,$CD66)*$CE66</f>
        <v>#VALUE!</v>
      </c>
      <c r="CN66" s="2" t="e">
        <f>求节点(节奏总纲!U$4:U$363,CA$4:CA$363,$CD66)*$CE66</f>
        <v>#VALUE!</v>
      </c>
      <c r="CO66" s="2" t="e">
        <f>求节点(节奏总纲!V$4:V$363,CB$4:CB$363,$CD66)*$CE66</f>
        <v>#VALUE!</v>
      </c>
    </row>
    <row r="67" spans="27:93" x14ac:dyDescent="0.15">
      <c r="AA67" s="2">
        <v>64</v>
      </c>
      <c r="AB67" s="2">
        <f>攻城基础信息!X68*$E$12</f>
        <v>142544.60132439353</v>
      </c>
      <c r="AC67" s="2">
        <f>攻城基础信息!Y68*$E$12</f>
        <v>150821.7284621798</v>
      </c>
      <c r="AD67" s="2">
        <f>攻城基础信息!Z68*$E$12</f>
        <v>160495.90284897786</v>
      </c>
      <c r="AE67" s="2">
        <f>攻城基础信息!AA68*$E$12</f>
        <v>182692.78236765953</v>
      </c>
      <c r="AF67" s="2">
        <f>攻城基础信息!AB68*$E$12</f>
        <v>181531.01799310933</v>
      </c>
      <c r="AH67" s="2">
        <f>$E$4*AB67*攻城基础信息!AC68</f>
        <v>2960176.2208365719</v>
      </c>
      <c r="AI67" s="2">
        <f>$E$4*AC67*攻城基础信息!AD68</f>
        <v>3132064.5610646</v>
      </c>
      <c r="AJ67" s="2">
        <f>$E$4*AD67*攻城基础信息!AE68</f>
        <v>3332964.9158304399</v>
      </c>
      <c r="AK67" s="2">
        <f>$E$4*AE67*攻城基础信息!AF68</f>
        <v>3793920.1138350624</v>
      </c>
      <c r="AL67" s="2">
        <f>$E$4*AF67*攻城基础信息!AG68</f>
        <v>3769794.14032357</v>
      </c>
      <c r="AN67" s="2">
        <v>64</v>
      </c>
      <c r="AO67" s="2">
        <f>求节点(节奏总纲!D$4:D$163,AH$4:AH$163,$AN67)*其他调用!H68*其他调用!$M68</f>
        <v>122750411.90672003</v>
      </c>
      <c r="AP67" s="2">
        <f>求节点(节奏总纲!E$4:E$163,AI$4:AI$163,$AN67)*其他调用!I68*其他调用!$M68</f>
        <v>126735960.11763841</v>
      </c>
      <c r="AQ67" s="2">
        <f>求节点(节奏总纲!F$4:F$163,AJ$4:AJ$163,$AN67)*其他调用!J68*其他调用!$M68</f>
        <v>12826946.218669925</v>
      </c>
      <c r="AR67" s="2">
        <f>求节点(节奏总纲!G$4:G$163,AK$4:AK$163,$AN67)*其他调用!K68*其他调用!$M68</f>
        <v>3018111.4118727217</v>
      </c>
      <c r="AS67" s="2">
        <f>求节点(节奏总纲!H$4:H$163,AL$4:AL$163,$AN67)*其他调用!L68*其他调用!$M68</f>
        <v>1200546.617518605</v>
      </c>
      <c r="AT67" s="2">
        <f t="shared" si="0"/>
        <v>266531976.27241969</v>
      </c>
      <c r="AY67" s="2">
        <v>64</v>
      </c>
      <c r="AZ67" s="2">
        <f>其他调用!R68*6*(其他调用!AH$2*$AZ$1*MIN(其他调用!$AJ68/其他调用!AH68,1)+$E$4*0%*攻城基础信息!AC68)</f>
        <v>7021.9913396204256</v>
      </c>
      <c r="BA67" s="2">
        <f>其他调用!S68*6*(其他调用!AI$2*$AZ$1*MIN(其他调用!$AJ68/其他调用!AI68,1)+$E$4*0%*攻城基础信息!AD68)</f>
        <v>21259.350834550209</v>
      </c>
      <c r="BB67" s="2">
        <f>其他调用!T68*6*(其他调用!AJ$2*$AZ$1*MIN(其他调用!$AJ68/其他调用!AJ68,1)+$E$4*0%*攻城基础信息!AE68)</f>
        <v>64440.01528084567</v>
      </c>
      <c r="BC67" s="2">
        <f>其他调用!U68*6*(其他调用!AK$2*$AZ$1*MIN(其他调用!$AJ68/其他调用!AK68,1)+$E$4*0%*攻城基础信息!AF68)</f>
        <v>27967.60130207576</v>
      </c>
      <c r="BD67" s="2">
        <f>其他调用!V68*6*(其他调用!AL$2*$AZ$1*MIN(其他调用!$AJ68/其他调用!AL68,1)+$E$4*0%*攻城基础信息!AG68)</f>
        <v>8398.4917752815545</v>
      </c>
      <c r="BF67" s="2">
        <v>64</v>
      </c>
      <c r="BG67" s="2">
        <f>求节点(节奏总纲!D$4:D$163,AZ$4:AZ$163,$AN67)</f>
        <v>6718.6617247591039</v>
      </c>
      <c r="BH67" s="2">
        <f>求节点(节奏总纲!E$4:E$163,BA$4:BA$163,$AN67)</f>
        <v>20835.483195207638</v>
      </c>
      <c r="BI67" s="2">
        <f>求节点(节奏总纲!F$4:F$163,BB$4:BB$163,$AN67)</f>
        <v>65192.554344202676</v>
      </c>
      <c r="BJ67" s="2">
        <f>求节点(节奏总纲!G$4:G$163,BC$4:BC$163,$AN67)</f>
        <v>30419.973959041585</v>
      </c>
      <c r="BK67" s="2">
        <f>求节点(节奏总纲!H$4:H$163,BD$4:BD$163,$AN67)</f>
        <v>9645.5711996783011</v>
      </c>
      <c r="BL67" s="2">
        <f>BG67*其他调用!H68*其他调用!$M68</f>
        <v>325361.50236938469</v>
      </c>
      <c r="BM67" s="2">
        <f>BH67*其他调用!I68*其他调用!$M68</f>
        <v>909738.9725594779</v>
      </c>
      <c r="BN67" s="2">
        <f>BI67*其他调用!J68*其他调用!$M68</f>
        <v>239907.57090756777</v>
      </c>
      <c r="BO67" s="2">
        <f>BJ67*其他调用!K68*其他调用!$M68</f>
        <v>18954.364260828333</v>
      </c>
      <c r="BP67" s="2">
        <f>BK67*其他调用!L68*其他调用!$M68</f>
        <v>1641.6538103959454</v>
      </c>
      <c r="BQ67" s="2">
        <f t="shared" si="1"/>
        <v>1495604.0639076547</v>
      </c>
      <c r="BR67" s="2">
        <f>[1]服务器生态!$R66</f>
        <v>1.9385150924635407E-2</v>
      </c>
      <c r="BS67" s="2" t="e">
        <f>SUMPRODUCT((BG$4:BG67)*($BR$4:$BR67)*(其他调用!#REF!))</f>
        <v>#REF!</v>
      </c>
      <c r="BT67" s="2" t="e">
        <f>SUMPRODUCT((BH$4:BH67)*($BR$4:$BR67)*(其他调用!#REF!))</f>
        <v>#REF!</v>
      </c>
      <c r="BU67" s="2" t="e">
        <f>SUMPRODUCT((BI$4:BI67)*($BR$4:$BR67)*(其他调用!#REF!))</f>
        <v>#REF!</v>
      </c>
      <c r="BV67" s="2" t="e">
        <f>SUMPRODUCT((BJ$4:BJ67)*($BR$4:$BR67)*(其他调用!#REF!))</f>
        <v>#REF!</v>
      </c>
      <c r="BW67" s="2" t="e">
        <f>SUMPRODUCT((BK$4:BK67)*($BR$4:$BR67)*(其他调用!#REF!))</f>
        <v>#REF!</v>
      </c>
      <c r="BX67" s="2" t="e">
        <f>SUMPRODUCT((BG$4:BG67)*($BR$4:$BR67))*'[1]功能-战损相关'!$D$2-BS67</f>
        <v>#REF!</v>
      </c>
      <c r="BY67" s="2" t="e">
        <f>SUMPRODUCT((BH$4:BH67)*($BR$4:$BR67))*'[1]功能-战损相关'!$D$2-BT67</f>
        <v>#REF!</v>
      </c>
      <c r="BZ67" s="2" t="e">
        <f>SUMPRODUCT((BI$4:BI67)*($BR$4:$BR67))*'[1]功能-战损相关'!$D$2-BU67</f>
        <v>#REF!</v>
      </c>
      <c r="CA67" s="2" t="e">
        <f>SUMPRODUCT((BJ$4:BJ67)*($BR$4:$BR67))*'[1]功能-战损相关'!$D$2-BV67</f>
        <v>#REF!</v>
      </c>
      <c r="CB67" s="2" t="e">
        <f>SUMPRODUCT((BK$4:BK67)*($BR$4:$BR67))*'[1]功能-战损相关'!$D$2-BW67</f>
        <v>#REF!</v>
      </c>
      <c r="CD67" s="2">
        <v>64</v>
      </c>
      <c r="CE67" s="7">
        <v>1</v>
      </c>
      <c r="CF67" s="2" t="e">
        <f>求节点(节奏总纲!R$4:R$363,BS$4:BS$363,$CD67)*$CE67</f>
        <v>#VALUE!</v>
      </c>
      <c r="CG67" s="2" t="e">
        <f>求节点(节奏总纲!S$4:S$363,BT$4:BT$363,$CD67)*$CE67</f>
        <v>#VALUE!</v>
      </c>
      <c r="CH67" s="2" t="e">
        <f>求节点(节奏总纲!T$4:T$363,BU$4:BU$363,$CD67)*$CE67</f>
        <v>#VALUE!</v>
      </c>
      <c r="CI67" s="2" t="e">
        <f>求节点(节奏总纲!U$4:U$363,BV$4:BV$363,$CD67)*$CE67</f>
        <v>#VALUE!</v>
      </c>
      <c r="CJ67" s="2" t="e">
        <f>求节点(节奏总纲!V$4:V$363,BW$4:BW$363,$CD67)*$CE67</f>
        <v>#VALUE!</v>
      </c>
      <c r="CK67" s="2" t="e">
        <f>求节点(节奏总纲!R$4:R$363,BX$4:BX$363,$CD67)*$CE67</f>
        <v>#VALUE!</v>
      </c>
      <c r="CL67" s="2" t="e">
        <f>求节点(节奏总纲!S$4:S$363,BY$4:BY$363,$CD67)*$CE67</f>
        <v>#VALUE!</v>
      </c>
      <c r="CM67" s="2" t="e">
        <f>求节点(节奏总纲!T$4:T$363,BZ$4:BZ$363,$CD67)*$CE67</f>
        <v>#VALUE!</v>
      </c>
      <c r="CN67" s="2" t="e">
        <f>求节点(节奏总纲!U$4:U$363,CA$4:CA$363,$CD67)*$CE67</f>
        <v>#VALUE!</v>
      </c>
      <c r="CO67" s="2" t="e">
        <f>求节点(节奏总纲!V$4:V$363,CB$4:CB$363,$CD67)*$CE67</f>
        <v>#VALUE!</v>
      </c>
    </row>
    <row r="68" spans="27:93" x14ac:dyDescent="0.15">
      <c r="AA68" s="2">
        <v>65</v>
      </c>
      <c r="AB68" s="2">
        <f>攻城基础信息!X69*$E$12</f>
        <v>146471.16252228897</v>
      </c>
      <c r="AC68" s="2">
        <f>攻城基础信息!Y69*$E$12</f>
        <v>154969.0309126731</v>
      </c>
      <c r="AD68" s="2">
        <f>攻城基础信息!Z69*$E$12</f>
        <v>165704.99090654231</v>
      </c>
      <c r="AE68" s="2">
        <f>攻城基础信息!AA69*$E$12</f>
        <v>188309.4760200342</v>
      </c>
      <c r="AF68" s="2">
        <f>攻城基础信息!AB69*$E$12</f>
        <v>185537.88070557249</v>
      </c>
      <c r="AH68" s="2">
        <f>$E$4*AB68*攻城基础信息!AC69</f>
        <v>3075894.4129680679</v>
      </c>
      <c r="AI68" s="2">
        <f>$E$4*AC68*攻城基础信息!AD69</f>
        <v>3254349.6491661347</v>
      </c>
      <c r="AJ68" s="2">
        <f>$E$4*AD68*攻城基础信息!AE69</f>
        <v>3479804.8090373878</v>
      </c>
      <c r="AK68" s="2">
        <f>$E$4*AE68*攻城基础信息!AF69</f>
        <v>3954498.9964207178</v>
      </c>
      <c r="AL68" s="2">
        <f>$E$4*AF68*攻城基础信息!AG69</f>
        <v>3896295.4948170218</v>
      </c>
      <c r="AN68" s="2">
        <v>65</v>
      </c>
      <c r="AO68" s="2">
        <f>求节点(节奏总纲!D$4:D$163,AH$4:AH$163,$AN68)*其他调用!H69*其他调用!$M69</f>
        <v>124050010.46520425</v>
      </c>
      <c r="AP68" s="2">
        <f>求节点(节奏总纲!E$4:E$163,AI$4:AI$163,$AN68)*其他调用!I69*其他调用!$M69</f>
        <v>128509192.0819729</v>
      </c>
      <c r="AQ68" s="2">
        <f>求节点(节奏总纲!F$4:F$163,AJ$4:AJ$163,$AN68)*其他调用!J69*其他调用!$M69</f>
        <v>12970351.268239364</v>
      </c>
      <c r="AR68" s="2">
        <f>求节点(节奏总纲!G$4:G$163,AK$4:AK$163,$AN68)*其他调用!K69*其他调用!$M69</f>
        <v>3053735.6976314634</v>
      </c>
      <c r="AS68" s="2">
        <f>求节点(节奏总纲!H$4:H$163,AL$4:AL$163,$AN68)*其他调用!L69*其他调用!$M69</f>
        <v>1222362.9600549191</v>
      </c>
      <c r="AT68" s="2">
        <f t="shared" si="0"/>
        <v>269805652.47310293</v>
      </c>
      <c r="AY68" s="2">
        <v>65</v>
      </c>
      <c r="AZ68" s="2">
        <f>其他调用!R69*6*(其他调用!AH$2*$AZ$1*MIN(其他调用!$AJ69/其他调用!AH69,1)+$E$4*0%*攻城基础信息!AC69)</f>
        <v>7101.8229913735413</v>
      </c>
      <c r="BA68" s="2">
        <f>其他调用!S69*6*(其他调用!AI$2*$AZ$1*MIN(其他调用!$AJ69/其他调用!AI69,1)+$E$4*0%*攻城基础信息!AD69)</f>
        <v>21502.865742604419</v>
      </c>
      <c r="BB68" s="2">
        <f>其他调用!T69*6*(其他调用!AJ$2*$AZ$1*MIN(其他调用!$AJ69/其他调用!AJ69,1)+$E$4*0%*攻城基础信息!AE69)</f>
        <v>65161.188161675826</v>
      </c>
      <c r="BC68" s="2">
        <f>其他调用!U69*6*(其他调用!AK$2*$AZ$1*MIN(其他调用!$AJ69/其他调用!AK69,1)+$E$4*0%*攻城基础信息!AF69)</f>
        <v>28387.272513183241</v>
      </c>
      <c r="BD68" s="2">
        <f>其他调用!V69*6*(其他调用!AL$2*$AZ$1*MIN(其他调用!$AJ69/其他调用!AL69,1)+$E$4*0%*攻城基础信息!AG69)</f>
        <v>8500.9353101879096</v>
      </c>
      <c r="BF68" s="2">
        <v>65</v>
      </c>
      <c r="BG68" s="2">
        <f>求节点(节奏总纲!D$4:D$163,AZ$4:AZ$163,$AN68)</f>
        <v>6735.7138596971508</v>
      </c>
      <c r="BH68" s="2">
        <f>求节点(节奏总纲!E$4:E$163,BA$4:BA$163,$AN68)</f>
        <v>20888.920486556974</v>
      </c>
      <c r="BI68" s="2">
        <f>求节点(节奏总纲!F$4:F$163,BB$4:BB$163,$AN68)</f>
        <v>65351.363498490209</v>
      </c>
      <c r="BJ68" s="2">
        <f>求节点(节奏总纲!G$4:G$163,BC$4:BC$163,$AN68)</f>
        <v>30532.566410167743</v>
      </c>
      <c r="BK68" s="2">
        <f>求节点(节奏总纲!H$4:H$163,BD$4:BD$163,$AN68)</f>
        <v>9659.9677218238539</v>
      </c>
      <c r="BL68" s="2">
        <f>BG68*其他调用!H69*其他调用!$M69</f>
        <v>326369.9221732688</v>
      </c>
      <c r="BM68" s="2">
        <f>BH68*其他调用!I69*其他调用!$M69</f>
        <v>915729.54043429135</v>
      </c>
      <c r="BN68" s="2">
        <f>BI68*其他调用!J69*其他调用!$M69</f>
        <v>241151.33572616114</v>
      </c>
      <c r="BO68" s="2">
        <f>BJ68*其他调用!K69*其他调用!$M69</f>
        <v>19114.359776510362</v>
      </c>
      <c r="BP68" s="2">
        <f>BK68*其他调用!L69*其他调用!$M69</f>
        <v>1655.8668044794952</v>
      </c>
      <c r="BQ68" s="2">
        <f t="shared" si="1"/>
        <v>1504021.024914711</v>
      </c>
      <c r="BR68" s="2">
        <f>[1]服务器生态!$R67</f>
        <v>1.9688043907832836E-2</v>
      </c>
      <c r="BS68" s="2" t="e">
        <f>SUMPRODUCT((BG$4:BG68)*($BR$4:$BR68)*(其他调用!#REF!))</f>
        <v>#REF!</v>
      </c>
      <c r="BT68" s="2" t="e">
        <f>SUMPRODUCT((BH$4:BH68)*($BR$4:$BR68)*(其他调用!#REF!))</f>
        <v>#REF!</v>
      </c>
      <c r="BU68" s="2" t="e">
        <f>SUMPRODUCT((BI$4:BI68)*($BR$4:$BR68)*(其他调用!#REF!))</f>
        <v>#REF!</v>
      </c>
      <c r="BV68" s="2" t="e">
        <f>SUMPRODUCT((BJ$4:BJ68)*($BR$4:$BR68)*(其他调用!#REF!))</f>
        <v>#REF!</v>
      </c>
      <c r="BW68" s="2" t="e">
        <f>SUMPRODUCT((BK$4:BK68)*($BR$4:$BR68)*(其他调用!#REF!))</f>
        <v>#REF!</v>
      </c>
      <c r="BX68" s="2" t="e">
        <f>SUMPRODUCT((BG$4:BG68)*($BR$4:$BR68))*'[1]功能-战损相关'!$D$2-BS68</f>
        <v>#REF!</v>
      </c>
      <c r="BY68" s="2" t="e">
        <f>SUMPRODUCT((BH$4:BH68)*($BR$4:$BR68))*'[1]功能-战损相关'!$D$2-BT68</f>
        <v>#REF!</v>
      </c>
      <c r="BZ68" s="2" t="e">
        <f>SUMPRODUCT((BI$4:BI68)*($BR$4:$BR68))*'[1]功能-战损相关'!$D$2-BU68</f>
        <v>#REF!</v>
      </c>
      <c r="CA68" s="2" t="e">
        <f>SUMPRODUCT((BJ$4:BJ68)*($BR$4:$BR68))*'[1]功能-战损相关'!$D$2-BV68</f>
        <v>#REF!</v>
      </c>
      <c r="CB68" s="2" t="e">
        <f>SUMPRODUCT((BK$4:BK68)*($BR$4:$BR68))*'[1]功能-战损相关'!$D$2-BW68</f>
        <v>#REF!</v>
      </c>
      <c r="CD68" s="2">
        <v>65</v>
      </c>
      <c r="CE68" s="7">
        <v>1</v>
      </c>
      <c r="CF68" s="2" t="e">
        <f>求节点(节奏总纲!R$4:R$363,BS$4:BS$363,$CD68)*$CE68</f>
        <v>#VALUE!</v>
      </c>
      <c r="CG68" s="2" t="e">
        <f>求节点(节奏总纲!S$4:S$363,BT$4:BT$363,$CD68)*$CE68</f>
        <v>#VALUE!</v>
      </c>
      <c r="CH68" s="2" t="e">
        <f>求节点(节奏总纲!T$4:T$363,BU$4:BU$363,$CD68)*$CE68</f>
        <v>#VALUE!</v>
      </c>
      <c r="CI68" s="2" t="e">
        <f>求节点(节奏总纲!U$4:U$363,BV$4:BV$363,$CD68)*$CE68</f>
        <v>#VALUE!</v>
      </c>
      <c r="CJ68" s="2" t="e">
        <f>求节点(节奏总纲!V$4:V$363,BW$4:BW$363,$CD68)*$CE68</f>
        <v>#VALUE!</v>
      </c>
      <c r="CK68" s="2" t="e">
        <f>求节点(节奏总纲!R$4:R$363,BX$4:BX$363,$CD68)*$CE68</f>
        <v>#VALUE!</v>
      </c>
      <c r="CL68" s="2" t="e">
        <f>求节点(节奏总纲!S$4:S$363,BY$4:BY$363,$CD68)*$CE68</f>
        <v>#VALUE!</v>
      </c>
      <c r="CM68" s="2" t="e">
        <f>求节点(节奏总纲!T$4:T$363,BZ$4:BZ$363,$CD68)*$CE68</f>
        <v>#VALUE!</v>
      </c>
      <c r="CN68" s="2" t="e">
        <f>求节点(节奏总纲!U$4:U$363,CA$4:CA$363,$CD68)*$CE68</f>
        <v>#VALUE!</v>
      </c>
      <c r="CO68" s="2" t="e">
        <f>求节点(节奏总纲!V$4:V$363,CB$4:CB$363,$CD68)*$CE68</f>
        <v>#VALUE!</v>
      </c>
    </row>
    <row r="69" spans="27:93" x14ac:dyDescent="0.15">
      <c r="AA69" s="2">
        <v>66</v>
      </c>
      <c r="AB69" s="2">
        <f>攻城基础信息!X70*$E$12</f>
        <v>149455.83586896391</v>
      </c>
      <c r="AC69" s="2">
        <f>攻城基础信息!Y70*$E$12</f>
        <v>158606.84782991116</v>
      </c>
      <c r="AD69" s="2">
        <f>攻城基础信息!Z70*$E$12</f>
        <v>170360.27749639426</v>
      </c>
      <c r="AE69" s="2">
        <f>攻城基础信息!AA70*$E$12</f>
        <v>192992.26007690825</v>
      </c>
      <c r="AF69" s="2">
        <f>攻城基础信息!AB70*$E$12</f>
        <v>189840.68614055053</v>
      </c>
      <c r="AH69" s="2">
        <f>$E$4*AB69*攻城基础信息!AC70</f>
        <v>3173445.5816176664</v>
      </c>
      <c r="AI69" s="2">
        <f>$E$4*AC69*攻城基础信息!AD70</f>
        <v>3367752.0689217797</v>
      </c>
      <c r="AJ69" s="2">
        <f>$E$4*AD69*攻城基础信息!AE70</f>
        <v>3617316.5588401044</v>
      </c>
      <c r="AK69" s="2">
        <f>$E$4*AE69*攻城基础信息!AF70</f>
        <v>4097868.9889663514</v>
      </c>
      <c r="AL69" s="2">
        <f>$E$4*AF69*攻城基础信息!AG70</f>
        <v>4030950.5690510222</v>
      </c>
      <c r="AN69" s="2">
        <v>66</v>
      </c>
      <c r="AO69" s="2">
        <f>求节点(节奏总纲!D$4:D$163,AH$4:AH$163,$AN69)*其他调用!H70*其他调用!$M70</f>
        <v>125350044.83232532</v>
      </c>
      <c r="AP69" s="2">
        <f>求节点(节奏总纲!E$4:E$163,AI$4:AI$163,$AN69)*其他调用!I70*其他调用!$M70</f>
        <v>130293551.29454195</v>
      </c>
      <c r="AQ69" s="2">
        <f>求节点(节奏总纲!F$4:F$163,AJ$4:AJ$163,$AN69)*其他调用!J70*其他调用!$M70</f>
        <v>13114377.377475804</v>
      </c>
      <c r="AR69" s="2">
        <f>求节点(节奏总纲!G$4:G$163,AK$4:AK$163,$AN69)*其他调用!K70*其他调用!$M70</f>
        <v>3089488.8695012587</v>
      </c>
      <c r="AS69" s="2">
        <f>求节点(节奏总纲!H$4:H$163,AL$4:AL$163,$AN69)*其他调用!L70*其他调用!$M70</f>
        <v>1244394.1840957571</v>
      </c>
      <c r="AT69" s="2">
        <f t="shared" ref="AT69:AT103" si="13">SUM(AO69:AS69)</f>
        <v>273091856.55794007</v>
      </c>
      <c r="AY69" s="2">
        <v>66</v>
      </c>
      <c r="AZ69" s="2">
        <f>其他调用!R70*6*(其他调用!AH$2*$AZ$1*MIN(其他调用!$AJ70/其他调用!AH70,1)+$E$4*0%*攻城基础信息!AC70)</f>
        <v>7182.4200579005519</v>
      </c>
      <c r="BA69" s="2">
        <f>其他调用!S70*6*(其他调用!AI$2*$AZ$1*MIN(其他调用!$AJ70/其他调用!AI70,1)+$E$4*0%*攻城基础信息!AD70)</f>
        <v>21743.984832700997</v>
      </c>
      <c r="BB69" s="2">
        <f>其他调用!T70*6*(其他调用!AJ$2*$AZ$1*MIN(其他调用!$AJ70/其他调用!AJ70,1)+$E$4*0%*攻城基础信息!AE70)</f>
        <v>65905.69966855798</v>
      </c>
      <c r="BC69" s="2">
        <f>其他调用!U70*6*(其他调用!AK$2*$AZ$1*MIN(其他调用!$AJ70/其他调用!AK70,1)+$E$4*0%*攻城基础信息!AF70)</f>
        <v>28784.126361454175</v>
      </c>
      <c r="BD69" s="2">
        <f>其他调用!V70*6*(其他调用!AL$2*$AZ$1*MIN(其他调用!$AJ70/其他调用!AL70,1)+$E$4*0%*攻城基础信息!AG70)</f>
        <v>8605.0864381300362</v>
      </c>
      <c r="BF69" s="2">
        <v>66</v>
      </c>
      <c r="BG69" s="2">
        <f>求节点(节奏总纲!D$4:D$163,AZ$4:AZ$163,$AN69)</f>
        <v>6752.7659946351978</v>
      </c>
      <c r="BH69" s="2">
        <f>求节点(节奏总纲!E$4:E$163,BA$4:BA$163,$AN69)</f>
        <v>20942.357777906309</v>
      </c>
      <c r="BI69" s="2">
        <f>求节点(节奏总纲!F$4:F$163,BB$4:BB$163,$AN69)</f>
        <v>65510.17265277775</v>
      </c>
      <c r="BJ69" s="2">
        <f>求节点(节奏总纲!G$4:G$163,BC$4:BC$163,$AN69)</f>
        <v>30644.468186925613</v>
      </c>
      <c r="BK69" s="2">
        <f>求节点(节奏总纲!H$4:H$163,BD$4:BD$163,$AN69)</f>
        <v>9674.3642439694049</v>
      </c>
      <c r="BL69" s="2">
        <f>BG69*其他调用!H70*其他调用!$M70</f>
        <v>327376.80695547711</v>
      </c>
      <c r="BM69" s="2">
        <f>BH69*其他调用!I70*其他调用!$M70</f>
        <v>921746.05344415177</v>
      </c>
      <c r="BN69" s="2">
        <f>BI69*其他调用!J70*其他调用!$M70</f>
        <v>242398.84439780781</v>
      </c>
      <c r="BO69" s="2">
        <f>BJ69*其他调用!K70*其他调用!$M70</f>
        <v>19274.795354197282</v>
      </c>
      <c r="BP69" s="2">
        <f>BK69*其他调用!L70*其他调用!$M70</f>
        <v>1670.1510438823964</v>
      </c>
      <c r="BQ69" s="2">
        <f t="shared" ref="BQ69:BQ102" si="14">SUM(BL69:BP69)</f>
        <v>1512466.6511955163</v>
      </c>
      <c r="BR69" s="2">
        <f>[1]服务器生态!$R68</f>
        <v>1.9990936891030264E-2</v>
      </c>
      <c r="BS69" s="2" t="e">
        <f>SUMPRODUCT((BG$4:BG69)*($BR$4:$BR69)*(其他调用!#REF!))</f>
        <v>#REF!</v>
      </c>
      <c r="BT69" s="2" t="e">
        <f>SUMPRODUCT((BH$4:BH69)*($BR$4:$BR69)*(其他调用!#REF!))</f>
        <v>#REF!</v>
      </c>
      <c r="BU69" s="2" t="e">
        <f>SUMPRODUCT((BI$4:BI69)*($BR$4:$BR69)*(其他调用!#REF!))</f>
        <v>#REF!</v>
      </c>
      <c r="BV69" s="2" t="e">
        <f>SUMPRODUCT((BJ$4:BJ69)*($BR$4:$BR69)*(其他调用!#REF!))</f>
        <v>#REF!</v>
      </c>
      <c r="BW69" s="2" t="e">
        <f>SUMPRODUCT((BK$4:BK69)*($BR$4:$BR69)*(其他调用!#REF!))</f>
        <v>#REF!</v>
      </c>
      <c r="BX69" s="2" t="e">
        <f>SUMPRODUCT((BG$4:BG69)*($BR$4:$BR69))*'[1]功能-战损相关'!$D$2-BS69</f>
        <v>#REF!</v>
      </c>
      <c r="BY69" s="2" t="e">
        <f>SUMPRODUCT((BH$4:BH69)*($BR$4:$BR69))*'[1]功能-战损相关'!$D$2-BT69</f>
        <v>#REF!</v>
      </c>
      <c r="BZ69" s="2" t="e">
        <f>SUMPRODUCT((BI$4:BI69)*($BR$4:$BR69))*'[1]功能-战损相关'!$D$2-BU69</f>
        <v>#REF!</v>
      </c>
      <c r="CA69" s="2" t="e">
        <f>SUMPRODUCT((BJ$4:BJ69)*($BR$4:$BR69))*'[1]功能-战损相关'!$D$2-BV69</f>
        <v>#REF!</v>
      </c>
      <c r="CB69" s="2" t="e">
        <f>SUMPRODUCT((BK$4:BK69)*($BR$4:$BR69))*'[1]功能-战损相关'!$D$2-BW69</f>
        <v>#REF!</v>
      </c>
      <c r="CD69" s="2">
        <v>66</v>
      </c>
      <c r="CE69" s="7">
        <v>1</v>
      </c>
      <c r="CF69" s="2" t="e">
        <f>求节点(节奏总纲!R$4:R$363,BS$4:BS$363,$CD69)*$CE69</f>
        <v>#VALUE!</v>
      </c>
      <c r="CG69" s="2" t="e">
        <f>求节点(节奏总纲!S$4:S$363,BT$4:BT$363,$CD69)*$CE69</f>
        <v>#VALUE!</v>
      </c>
      <c r="CH69" s="2" t="e">
        <f>求节点(节奏总纲!T$4:T$363,BU$4:BU$363,$CD69)*$CE69</f>
        <v>#VALUE!</v>
      </c>
      <c r="CI69" s="2" t="e">
        <f>求节点(节奏总纲!U$4:U$363,BV$4:BV$363,$CD69)*$CE69</f>
        <v>#VALUE!</v>
      </c>
      <c r="CJ69" s="2" t="e">
        <f>求节点(节奏总纲!V$4:V$363,BW$4:BW$363,$CD69)*$CE69</f>
        <v>#VALUE!</v>
      </c>
      <c r="CK69" s="2" t="e">
        <f>求节点(节奏总纲!R$4:R$363,BX$4:BX$363,$CD69)*$CE69</f>
        <v>#VALUE!</v>
      </c>
      <c r="CL69" s="2" t="e">
        <f>求节点(节奏总纲!S$4:S$363,BY$4:BY$363,$CD69)*$CE69</f>
        <v>#VALUE!</v>
      </c>
      <c r="CM69" s="2" t="e">
        <f>求节点(节奏总纲!T$4:T$363,BZ$4:BZ$363,$CD69)*$CE69</f>
        <v>#VALUE!</v>
      </c>
      <c r="CN69" s="2" t="e">
        <f>求节点(节奏总纲!U$4:U$363,CA$4:CA$363,$CD69)*$CE69</f>
        <v>#VALUE!</v>
      </c>
      <c r="CO69" s="2" t="e">
        <f>求节点(节奏总纲!V$4:V$363,CB$4:CB$363,$CD69)*$CE69</f>
        <v>#VALUE!</v>
      </c>
    </row>
    <row r="70" spans="27:93" x14ac:dyDescent="0.15">
      <c r="AA70" s="2">
        <v>67</v>
      </c>
      <c r="AB70" s="2">
        <f>攻城基础信息!X71*$E$12</f>
        <v>159006.23026042437</v>
      </c>
      <c r="AC70" s="2">
        <f>攻城基础信息!Y71*$E$12</f>
        <v>169226.72428426717</v>
      </c>
      <c r="AD70" s="2">
        <f>攻城基础信息!Z71*$E$12</f>
        <v>181876.67582940176</v>
      </c>
      <c r="AE70" s="2">
        <f>攻城基础信息!AA71*$E$12</f>
        <v>206293.18114053435</v>
      </c>
      <c r="AF70" s="2">
        <f>攻城基础信息!AB71*$E$12</f>
        <v>203797.83793603466</v>
      </c>
      <c r="AH70" s="2">
        <f>$E$4*AB70*攻城基础信息!AC71</f>
        <v>3413333.7429237762</v>
      </c>
      <c r="AI70" s="2">
        <f>$E$4*AC70*攻城基础信息!AD71</f>
        <v>3632733.6813022681</v>
      </c>
      <c r="AJ70" s="2">
        <f>$E$4*AD70*攻城基础信息!AE71</f>
        <v>3904285.974471157</v>
      </c>
      <c r="AK70" s="2">
        <f>$E$4*AE70*攻城基础信息!AF71</f>
        <v>4428426.9551501367</v>
      </c>
      <c r="AL70" s="2">
        <f>$E$4*AF70*攻城基础信息!AG71</f>
        <v>4374860.2543602102</v>
      </c>
      <c r="AN70" s="2">
        <v>67</v>
      </c>
      <c r="AO70" s="2">
        <f>求节点(节奏总纲!D$4:D$163,AH$4:AH$163,$AN70)*其他调用!H71*其他调用!$M71</f>
        <v>126650487.24798316</v>
      </c>
      <c r="AP70" s="2">
        <f>求节点(节奏总纲!E$4:E$163,AI$4:AI$163,$AN70)*其他调用!I71*其他调用!$M71</f>
        <v>132089067.65483291</v>
      </c>
      <c r="AQ70" s="2">
        <f>求节点(节奏总纲!F$4:F$163,AJ$4:AJ$163,$AN70)*其他调用!J71*其他调用!$M71</f>
        <v>13259025.270801401</v>
      </c>
      <c r="AR70" s="2">
        <f>求节点(节奏总纲!G$4:G$163,AK$4:AK$163,$AN70)*其他调用!K71*其他调用!$M71</f>
        <v>3124150.038446086</v>
      </c>
      <c r="AS70" s="2">
        <f>求节点(节奏总纲!H$4:H$163,AL$4:AL$163,$AN70)*其他调用!L71*其他调用!$M71</f>
        <v>1266641.1554773657</v>
      </c>
      <c r="AT70" s="2">
        <f t="shared" si="13"/>
        <v>276389371.3675409</v>
      </c>
      <c r="AY70" s="2">
        <v>67</v>
      </c>
      <c r="AZ70" s="2">
        <f>其他调用!R71*6*(其他调用!AH$2*$AZ$1*MIN(其他调用!$AJ71/其他调用!AH71,1)+$E$4*0%*攻城基础信息!AC71)</f>
        <v>7262.8104047096567</v>
      </c>
      <c r="BA70" s="2">
        <f>其他调用!S71*6*(其他调用!AI$2*$AZ$1*MIN(其他调用!$AJ71/其他调用!AI71,1)+$E$4*0%*攻城基础信息!AD71)</f>
        <v>21988.381195258295</v>
      </c>
      <c r="BB70" s="2">
        <f>其他调用!T71*6*(其他调用!AJ$2*$AZ$1*MIN(其他调用!$AJ71/其他调用!AJ71,1)+$E$4*0%*攻城基础信息!AE71)</f>
        <v>66600.060121379298</v>
      </c>
      <c r="BC70" s="2">
        <f>其他调用!U71*6*(其他调用!AK$2*$AZ$1*MIN(其他调用!$AJ71/其他调用!AK71,1)+$E$4*0%*攻城基础信息!AF71)</f>
        <v>29230.803163102159</v>
      </c>
      <c r="BD70" s="2">
        <f>其他调用!V71*6*(其他调用!AL$2*$AZ$1*MIN(其他调用!$AJ71/其他调用!AL71,1)+$E$4*0%*攻城基础信息!AG71)</f>
        <v>8707.7110365833814</v>
      </c>
      <c r="BF70" s="2">
        <v>67</v>
      </c>
      <c r="BG70" s="2">
        <f>求节点(节奏总纲!D$4:D$163,AZ$4:AZ$163,$AN70)</f>
        <v>6769.8181295732447</v>
      </c>
      <c r="BH70" s="2">
        <f>求节点(节奏总纲!E$4:E$163,BA$4:BA$163,$AN70)</f>
        <v>20995.795069255648</v>
      </c>
      <c r="BI70" s="2">
        <f>求节点(节奏总纲!F$4:F$163,BB$4:BB$163,$AN70)</f>
        <v>65668.981807065298</v>
      </c>
      <c r="BJ70" s="2">
        <f>求节点(节奏总纲!G$4:G$163,BC$4:BC$163,$AN70)</f>
        <v>30747.764886123259</v>
      </c>
      <c r="BK70" s="2">
        <f>求节点(节奏总纲!H$4:H$163,BD$4:BD$163,$AN70)</f>
        <v>9688.7607661149559</v>
      </c>
      <c r="BL70" s="2">
        <f>BG70*其他调用!H71*其他调用!$M71</f>
        <v>328382.13808160805</v>
      </c>
      <c r="BM70" s="2">
        <f>BH70*其他调用!I71*其他调用!$M71</f>
        <v>927788.56695699133</v>
      </c>
      <c r="BN70" s="2">
        <f>BI70*其他调用!J71*其他调用!$M71</f>
        <v>243650.10084464998</v>
      </c>
      <c r="BO70" s="2">
        <f>BJ70*其他调用!K71*其他调用!$M71</f>
        <v>19430.665795715584</v>
      </c>
      <c r="BP70" s="2">
        <f>BK70*其他调用!L71*其他调用!$M71</f>
        <v>1684.5066901448461</v>
      </c>
      <c r="BQ70" s="2">
        <f t="shared" si="14"/>
        <v>1520935.9783691098</v>
      </c>
      <c r="BR70" s="2">
        <f>[1]服务器生态!$R69</f>
        <v>2.029382987422769E-2</v>
      </c>
      <c r="BS70" s="2" t="e">
        <f>SUMPRODUCT((BG$4:BG70)*($BR$4:$BR70)*(其他调用!#REF!))</f>
        <v>#REF!</v>
      </c>
      <c r="BT70" s="2" t="e">
        <f>SUMPRODUCT((BH$4:BH70)*($BR$4:$BR70)*(其他调用!#REF!))</f>
        <v>#REF!</v>
      </c>
      <c r="BU70" s="2" t="e">
        <f>SUMPRODUCT((BI$4:BI70)*($BR$4:$BR70)*(其他调用!#REF!))</f>
        <v>#REF!</v>
      </c>
      <c r="BV70" s="2" t="e">
        <f>SUMPRODUCT((BJ$4:BJ70)*($BR$4:$BR70)*(其他调用!#REF!))</f>
        <v>#REF!</v>
      </c>
      <c r="BW70" s="2" t="e">
        <f>SUMPRODUCT((BK$4:BK70)*($BR$4:$BR70)*(其他调用!#REF!))</f>
        <v>#REF!</v>
      </c>
      <c r="BX70" s="2" t="e">
        <f>SUMPRODUCT((BG$4:BG70)*($BR$4:$BR70))*'[1]功能-战损相关'!$D$2-BS70</f>
        <v>#REF!</v>
      </c>
      <c r="BY70" s="2" t="e">
        <f>SUMPRODUCT((BH$4:BH70)*($BR$4:$BR70))*'[1]功能-战损相关'!$D$2-BT70</f>
        <v>#REF!</v>
      </c>
      <c r="BZ70" s="2" t="e">
        <f>SUMPRODUCT((BI$4:BI70)*($BR$4:$BR70))*'[1]功能-战损相关'!$D$2-BU70</f>
        <v>#REF!</v>
      </c>
      <c r="CA70" s="2" t="e">
        <f>SUMPRODUCT((BJ$4:BJ70)*($BR$4:$BR70))*'[1]功能-战损相关'!$D$2-BV70</f>
        <v>#REF!</v>
      </c>
      <c r="CB70" s="2" t="e">
        <f>SUMPRODUCT((BK$4:BK70)*($BR$4:$BR70))*'[1]功能-战损相关'!$D$2-BW70</f>
        <v>#REF!</v>
      </c>
      <c r="CD70" s="2">
        <v>67</v>
      </c>
      <c r="CE70" s="7">
        <v>1</v>
      </c>
      <c r="CF70" s="2" t="e">
        <f>求节点(节奏总纲!R$4:R$363,BS$4:BS$363,$CD70)*$CE70</f>
        <v>#VALUE!</v>
      </c>
      <c r="CG70" s="2" t="e">
        <f>求节点(节奏总纲!S$4:S$363,BT$4:BT$363,$CD70)*$CE70</f>
        <v>#VALUE!</v>
      </c>
      <c r="CH70" s="2" t="e">
        <f>求节点(节奏总纲!T$4:T$363,BU$4:BU$363,$CD70)*$CE70</f>
        <v>#VALUE!</v>
      </c>
      <c r="CI70" s="2" t="e">
        <f>求节点(节奏总纲!U$4:U$363,BV$4:BV$363,$CD70)*$CE70</f>
        <v>#VALUE!</v>
      </c>
      <c r="CJ70" s="2" t="e">
        <f>求节点(节奏总纲!V$4:V$363,BW$4:BW$363,$CD70)*$CE70</f>
        <v>#VALUE!</v>
      </c>
      <c r="CK70" s="2" t="e">
        <f>求节点(节奏总纲!R$4:R$363,BX$4:BX$363,$CD70)*$CE70</f>
        <v>#VALUE!</v>
      </c>
      <c r="CL70" s="2" t="e">
        <f>求节点(节奏总纲!S$4:S$363,BY$4:BY$363,$CD70)*$CE70</f>
        <v>#VALUE!</v>
      </c>
      <c r="CM70" s="2" t="e">
        <f>求节点(节奏总纲!T$4:T$363,BZ$4:BZ$363,$CD70)*$CE70</f>
        <v>#VALUE!</v>
      </c>
      <c r="CN70" s="2" t="e">
        <f>求节点(节奏总纲!U$4:U$363,CA$4:CA$363,$CD70)*$CE70</f>
        <v>#VALUE!</v>
      </c>
      <c r="CO70" s="2" t="e">
        <f>求节点(节奏总纲!V$4:V$363,CB$4:CB$363,$CD70)*$CE70</f>
        <v>#VALUE!</v>
      </c>
    </row>
    <row r="71" spans="27:93" x14ac:dyDescent="0.15">
      <c r="AA71" s="2">
        <v>68</v>
      </c>
      <c r="AB71" s="2">
        <f>攻城基础信息!X72*$E$12</f>
        <v>162066.82760134607</v>
      </c>
      <c r="AC71" s="2">
        <f>攻城基础信息!Y72*$E$12</f>
        <v>173076.99737860754</v>
      </c>
      <c r="AD71" s="2">
        <f>攻城基础信息!Z72*$E$12</f>
        <v>185908.86133777667</v>
      </c>
      <c r="AE71" s="2">
        <f>攻城基础信息!AA72*$E$12</f>
        <v>211850.65141613639</v>
      </c>
      <c r="AF71" s="2">
        <f>攻城基础信息!AB72*$E$12</f>
        <v>208945.82373987592</v>
      </c>
      <c r="AH71" s="2">
        <f>$E$4*AB71*攻城基础信息!AC72</f>
        <v>3516850.1589492084</v>
      </c>
      <c r="AI71" s="2">
        <f>$E$4*AC71*攻城基础信息!AD72</f>
        <v>3755770.8431157828</v>
      </c>
      <c r="AJ71" s="2">
        <f>$E$4*AD71*攻城基础信息!AE72</f>
        <v>4034222.2910297527</v>
      </c>
      <c r="AK71" s="2">
        <f>$E$4*AE71*攻城基础信息!AF72</f>
        <v>4597159.1357301585</v>
      </c>
      <c r="AL71" s="2">
        <f>$E$4*AF71*攻城基础信息!AG72</f>
        <v>4534124.3751553064</v>
      </c>
      <c r="AN71" s="2">
        <v>68</v>
      </c>
      <c r="AO71" s="2">
        <f>求节点(节奏总纲!D$4:D$163,AH$4:AH$163,$AN71)*其他调用!H72*其他调用!$M72</f>
        <v>127900418.471948</v>
      </c>
      <c r="AP71" s="2">
        <f>求节点(节奏总纲!E$4:E$163,AI$4:AI$163,$AN71)*其他调用!I72*其他调用!$M72</f>
        <v>133834120.064468</v>
      </c>
      <c r="AQ71" s="2">
        <f>求节点(节奏总纲!F$4:F$163,AJ$4:AJ$163,$AN71)*其他调用!J72*其他调用!$M72</f>
        <v>13404295.672638299</v>
      </c>
      <c r="AR71" s="2">
        <f>求节点(节奏总纲!G$4:G$163,AK$4:AK$163,$AN71)*其他调用!K72*其他调用!$M72</f>
        <v>3159034.0471272194</v>
      </c>
      <c r="AS71" s="2">
        <f>求节点(节奏总纲!H$4:H$163,AL$4:AL$163,$AN71)*其他调用!L72*其他调用!$M72</f>
        <v>1289104.7400359912</v>
      </c>
      <c r="AT71" s="2">
        <f t="shared" si="13"/>
        <v>279586972.99621755</v>
      </c>
      <c r="AY71" s="2">
        <v>68</v>
      </c>
      <c r="AZ71" s="2">
        <f>其他调用!R72*6*(其他调用!AH$2*$AZ$1*MIN(其他调用!$AJ72/其他调用!AH72,1)+$E$4*0%*攻城基础信息!AC72)</f>
        <v>7342.8935259766213</v>
      </c>
      <c r="BA71" s="2">
        <f>其他调用!S72*6*(其他调用!AI$2*$AZ$1*MIN(其他调用!$AJ72/其他调用!AI72,1)+$E$4*0%*攻城基础信息!AD72)</f>
        <v>22226.011148587608</v>
      </c>
      <c r="BB71" s="2">
        <f>其他调用!T72*6*(其他调用!AJ$2*$AZ$1*MIN(其他调用!$AJ72/其他调用!AJ72,1)+$E$4*0%*攻城基础信息!AE72)</f>
        <v>67298.288263267474</v>
      </c>
      <c r="BC71" s="2">
        <f>其他调用!U72*6*(其他调用!AK$2*$AZ$1*MIN(其他调用!$AJ72/其他调用!AK72,1)+$E$4*0%*攻城基础信息!AF72)</f>
        <v>29662.284811758749</v>
      </c>
      <c r="BD71" s="2">
        <f>其他调用!V72*6*(其他调用!AL$2*$AZ$1*MIN(其他调用!$AJ72/其他调用!AL72,1)+$E$4*0%*攻城基础信息!AG72)</f>
        <v>8810.0558947410482</v>
      </c>
      <c r="BF71" s="2">
        <v>68</v>
      </c>
      <c r="BG71" s="2">
        <f>求节点(节奏总纲!D$4:D$163,AZ$4:AZ$163,$AN71)</f>
        <v>6786.6806950845812</v>
      </c>
      <c r="BH71" s="2">
        <f>求节点(节奏总纲!E$4:E$163,BA$4:BA$163,$AN71)</f>
        <v>21046.54488420608</v>
      </c>
      <c r="BI71" s="2">
        <f>求节点(节奏总纲!F$4:F$163,BB$4:BB$163,$AN71)</f>
        <v>65827.790961352832</v>
      </c>
      <c r="BJ71" s="2">
        <f>求节点(节奏总纲!G$4:G$163,BC$4:BC$163,$AN71)</f>
        <v>30851.061585320909</v>
      </c>
      <c r="BK71" s="2">
        <f>求节点(节奏总纲!H$4:H$163,BD$4:BD$163,$AN71)</f>
        <v>9703.1572882605069</v>
      </c>
      <c r="BL71" s="2">
        <f>BG71*其他调用!H72*其他调用!$M72</f>
        <v>329376.69657996017</v>
      </c>
      <c r="BM71" s="2">
        <f>BH71*其他调用!I72*其他调用!$M72</f>
        <v>933737.9054362193</v>
      </c>
      <c r="BN71" s="2">
        <f>BI71*其他调用!J72*其他调用!$M72</f>
        <v>244905.1089888296</v>
      </c>
      <c r="BO71" s="2">
        <f>BJ71*其他调用!K72*其他调用!$M72</f>
        <v>19587.360296567334</v>
      </c>
      <c r="BP71" s="2">
        <f>BK71*其他调用!L72*其他调用!$M72</f>
        <v>1698.933904807041</v>
      </c>
      <c r="BQ71" s="2">
        <f t="shared" si="14"/>
        <v>1529306.0052063835</v>
      </c>
      <c r="BR71" s="2">
        <f>[1]服务器生态!$R70</f>
        <v>2.0596722857425118E-2</v>
      </c>
      <c r="BS71" s="2" t="e">
        <f>SUMPRODUCT((BG$4:BG71)*($BR$4:$BR71)*(其他调用!#REF!))</f>
        <v>#REF!</v>
      </c>
      <c r="BT71" s="2" t="e">
        <f>SUMPRODUCT((BH$4:BH71)*($BR$4:$BR71)*(其他调用!#REF!))</f>
        <v>#REF!</v>
      </c>
      <c r="BU71" s="2" t="e">
        <f>SUMPRODUCT((BI$4:BI71)*($BR$4:$BR71)*(其他调用!#REF!))</f>
        <v>#REF!</v>
      </c>
      <c r="BV71" s="2" t="e">
        <f>SUMPRODUCT((BJ$4:BJ71)*($BR$4:$BR71)*(其他调用!#REF!))</f>
        <v>#REF!</v>
      </c>
      <c r="BW71" s="2" t="e">
        <f>SUMPRODUCT((BK$4:BK71)*($BR$4:$BR71)*(其他调用!#REF!))</f>
        <v>#REF!</v>
      </c>
      <c r="BX71" s="2" t="e">
        <f>SUMPRODUCT((BG$4:BG71)*($BR$4:$BR71))*'[1]功能-战损相关'!$D$2-BS71</f>
        <v>#REF!</v>
      </c>
      <c r="BY71" s="2" t="e">
        <f>SUMPRODUCT((BH$4:BH71)*($BR$4:$BR71))*'[1]功能-战损相关'!$D$2-BT71</f>
        <v>#REF!</v>
      </c>
      <c r="BZ71" s="2" t="e">
        <f>SUMPRODUCT((BI$4:BI71)*($BR$4:$BR71))*'[1]功能-战损相关'!$D$2-BU71</f>
        <v>#REF!</v>
      </c>
      <c r="CA71" s="2" t="e">
        <f>SUMPRODUCT((BJ$4:BJ71)*($BR$4:$BR71))*'[1]功能-战损相关'!$D$2-BV71</f>
        <v>#REF!</v>
      </c>
      <c r="CB71" s="2" t="e">
        <f>SUMPRODUCT((BK$4:BK71)*($BR$4:$BR71))*'[1]功能-战损相关'!$D$2-BW71</f>
        <v>#REF!</v>
      </c>
      <c r="CD71" s="2">
        <v>68</v>
      </c>
      <c r="CE71" s="7">
        <v>1</v>
      </c>
      <c r="CF71" s="2" t="e">
        <f>求节点(节奏总纲!R$4:R$363,BS$4:BS$363,$CD71)*$CE71</f>
        <v>#VALUE!</v>
      </c>
      <c r="CG71" s="2" t="e">
        <f>求节点(节奏总纲!S$4:S$363,BT$4:BT$363,$CD71)*$CE71</f>
        <v>#VALUE!</v>
      </c>
      <c r="CH71" s="2" t="e">
        <f>求节点(节奏总纲!T$4:T$363,BU$4:BU$363,$CD71)*$CE71</f>
        <v>#VALUE!</v>
      </c>
      <c r="CI71" s="2" t="e">
        <f>求节点(节奏总纲!U$4:U$363,BV$4:BV$363,$CD71)*$CE71</f>
        <v>#VALUE!</v>
      </c>
      <c r="CJ71" s="2" t="e">
        <f>求节点(节奏总纲!V$4:V$363,BW$4:BW$363,$CD71)*$CE71</f>
        <v>#VALUE!</v>
      </c>
      <c r="CK71" s="2" t="e">
        <f>求节点(节奏总纲!R$4:R$363,BX$4:BX$363,$CD71)*$CE71</f>
        <v>#VALUE!</v>
      </c>
      <c r="CL71" s="2" t="e">
        <f>求节点(节奏总纲!S$4:S$363,BY$4:BY$363,$CD71)*$CE71</f>
        <v>#VALUE!</v>
      </c>
      <c r="CM71" s="2" t="e">
        <f>求节点(节奏总纲!T$4:T$363,BZ$4:BZ$363,$CD71)*$CE71</f>
        <v>#VALUE!</v>
      </c>
      <c r="CN71" s="2" t="e">
        <f>求节点(节奏总纲!U$4:U$363,CA$4:CA$363,$CD71)*$CE71</f>
        <v>#VALUE!</v>
      </c>
      <c r="CO71" s="2" t="e">
        <f>求节点(节奏总纲!V$4:V$363,CB$4:CB$363,$CD71)*$CE71</f>
        <v>#VALUE!</v>
      </c>
    </row>
    <row r="72" spans="27:93" x14ac:dyDescent="0.15">
      <c r="AA72" s="2">
        <v>69</v>
      </c>
      <c r="AB72" s="2">
        <f>攻城基础信息!X73*$E$12</f>
        <v>165158.987468712</v>
      </c>
      <c r="AC72" s="2">
        <f>攻城基础信息!Y73*$E$12</f>
        <v>176929.29489778145</v>
      </c>
      <c r="AD72" s="2">
        <f>攻城基础信息!Z73*$E$12</f>
        <v>190432.35123042844</v>
      </c>
      <c r="AE72" s="2">
        <f>攻城基础信息!AA73*$E$12</f>
        <v>217005.0702415806</v>
      </c>
      <c r="AF72" s="2">
        <f>攻城基础信息!AB73*$E$12</f>
        <v>214302.8645257981</v>
      </c>
      <c r="AH72" s="2">
        <f>$E$4*AB72*攻城基础信息!AC73</f>
        <v>3622487.1251470819</v>
      </c>
      <c r="AI72" s="2">
        <f>$E$4*AC72*攻城基础信息!AD73</f>
        <v>3880649.2014246723</v>
      </c>
      <c r="AJ72" s="2">
        <f>$E$4*AD72*攻城基础信息!AE73</f>
        <v>4176816.2369873957</v>
      </c>
      <c r="AK72" s="2">
        <f>$E$4*AE72*攻城基础信息!AF73</f>
        <v>4759644.5406319993</v>
      </c>
      <c r="AL72" s="2">
        <f>$E$4*AF72*攻城基础信息!AG73</f>
        <v>4700376.1619325038</v>
      </c>
      <c r="AN72" s="2">
        <v>69</v>
      </c>
      <c r="AO72" s="2">
        <f>求节点(节奏总纲!D$4:D$163,AH$4:AH$163,$AN72)*其他调用!H73*其他调用!$M73</f>
        <v>129076305.82316123</v>
      </c>
      <c r="AP72" s="2">
        <f>求节点(节奏总纲!E$4:E$163,AI$4:AI$163,$AN72)*其他调用!I73*其他调用!$M73</f>
        <v>135534992.42803276</v>
      </c>
      <c r="AQ72" s="2">
        <f>求节点(节奏总纲!F$4:F$163,AJ$4:AJ$163,$AN72)*其他调用!J73*其他调用!$M73</f>
        <v>13608008.848170416</v>
      </c>
      <c r="AR72" s="2">
        <f>求节点(节奏总纲!G$4:G$163,AK$4:AK$163,$AN72)*其他调用!K73*其他调用!$M73</f>
        <v>3194141.5566335418</v>
      </c>
      <c r="AS72" s="2">
        <f>求节点(节奏总纲!H$4:H$163,AL$4:AL$163,$AN72)*其他调用!L73*其他调用!$M73</f>
        <v>1311019.4497740527</v>
      </c>
      <c r="AT72" s="2">
        <f t="shared" si="13"/>
        <v>282724468.10577196</v>
      </c>
      <c r="AY72" s="2">
        <v>69</v>
      </c>
      <c r="AZ72" s="2">
        <f>其他调用!R73*6*(其他调用!AH$2*$AZ$1*MIN(其他调用!$AJ73/其他调用!AH73,1)+$E$4*0%*攻城基础信息!AC73)</f>
        <v>7423.8442589038495</v>
      </c>
      <c r="BA72" s="2">
        <f>其他调用!S73*6*(其他调用!AI$2*$AZ$1*MIN(其他调用!$AJ73/其他调用!AI73,1)+$E$4*0%*攻城基础信息!AD73)</f>
        <v>22460.4311810043</v>
      </c>
      <c r="BB72" s="2">
        <f>其他调用!T73*6*(其他调用!AJ$2*$AZ$1*MIN(其他调用!$AJ73/其他调用!AJ73,1)+$E$4*0%*攻城基础信息!AE73)</f>
        <v>68015.537433354621</v>
      </c>
      <c r="BC72" s="2">
        <f>其他调用!U73*6*(其他调用!AK$2*$AZ$1*MIN(其他调用!$AJ73/其他调用!AK73,1)+$E$4*0%*攻城基础信息!AF73)</f>
        <v>30142.467865775125</v>
      </c>
      <c r="BD72" s="2">
        <f>其他调用!V73*6*(其他调用!AL$2*$AZ$1*MIN(其他调用!$AJ73/其他调用!AL73,1)+$E$4*0%*攻城基础信息!AG73)</f>
        <v>8900.1295129606715</v>
      </c>
      <c r="BF72" s="2">
        <v>69</v>
      </c>
      <c r="BG72" s="2">
        <f>求节点(节奏总纲!D$4:D$163,AZ$4:AZ$163,$AN72)</f>
        <v>6803.2664827312374</v>
      </c>
      <c r="BH72" s="2">
        <f>求节点(节奏总纲!E$4:E$163,BA$4:BA$163,$AN72)</f>
        <v>21094.910707706633</v>
      </c>
      <c r="BI72" s="2">
        <f>求节点(节奏总纲!F$4:F$163,BB$4:BB$163,$AN72)</f>
        <v>65979.35678187231</v>
      </c>
      <c r="BJ72" s="2">
        <f>求节点(节奏总纲!G$4:G$163,BC$4:BC$163,$AN72)</f>
        <v>30954.358284518559</v>
      </c>
      <c r="BK72" s="2">
        <f>求节点(节奏总纲!H$4:H$163,BD$4:BD$163,$AN72)</f>
        <v>9717.2870133828801</v>
      </c>
      <c r="BL72" s="2">
        <f>BG72*其他调用!H73*其他调用!$M73</f>
        <v>330356.21451545379</v>
      </c>
      <c r="BM72" s="2">
        <f>BH72*其他调用!I73*其他调用!$M73</f>
        <v>939606.21928002837</v>
      </c>
      <c r="BN72" s="2">
        <f>BI72*其他调用!J73*其他调用!$M73</f>
        <v>246136.85140135305</v>
      </c>
      <c r="BO72" s="2">
        <f>BJ72*其他调用!K73*其他调用!$M73</f>
        <v>19744.88099942121</v>
      </c>
      <c r="BP72" s="2">
        <f>BK72*其他调用!L73*其他调用!$M73</f>
        <v>1713.3858068311215</v>
      </c>
      <c r="BQ72" s="2">
        <f t="shared" si="14"/>
        <v>1537557.5520030875</v>
      </c>
      <c r="BR72" s="2">
        <f>[1]服务器生态!$R71</f>
        <v>2.0899615840622547E-2</v>
      </c>
      <c r="BS72" s="2" t="e">
        <f>SUMPRODUCT((BG$4:BG72)*($BR$4:$BR72)*(其他调用!#REF!))</f>
        <v>#REF!</v>
      </c>
      <c r="BT72" s="2" t="e">
        <f>SUMPRODUCT((BH$4:BH72)*($BR$4:$BR72)*(其他调用!#REF!))</f>
        <v>#REF!</v>
      </c>
      <c r="BU72" s="2" t="e">
        <f>SUMPRODUCT((BI$4:BI72)*($BR$4:$BR72)*(其他调用!#REF!))</f>
        <v>#REF!</v>
      </c>
      <c r="BV72" s="2" t="e">
        <f>SUMPRODUCT((BJ$4:BJ72)*($BR$4:$BR72)*(其他调用!#REF!))</f>
        <v>#REF!</v>
      </c>
      <c r="BW72" s="2" t="e">
        <f>SUMPRODUCT((BK$4:BK72)*($BR$4:$BR72)*(其他调用!#REF!))</f>
        <v>#REF!</v>
      </c>
      <c r="BX72" s="2" t="e">
        <f>SUMPRODUCT((BG$4:BG72)*($BR$4:$BR72))*'[1]功能-战损相关'!$D$2-BS72</f>
        <v>#REF!</v>
      </c>
      <c r="BY72" s="2" t="e">
        <f>SUMPRODUCT((BH$4:BH72)*($BR$4:$BR72))*'[1]功能-战损相关'!$D$2-BT72</f>
        <v>#REF!</v>
      </c>
      <c r="BZ72" s="2" t="e">
        <f>SUMPRODUCT((BI$4:BI72)*($BR$4:$BR72))*'[1]功能-战损相关'!$D$2-BU72</f>
        <v>#REF!</v>
      </c>
      <c r="CA72" s="2" t="e">
        <f>SUMPRODUCT((BJ$4:BJ72)*($BR$4:$BR72))*'[1]功能-战损相关'!$D$2-BV72</f>
        <v>#REF!</v>
      </c>
      <c r="CB72" s="2" t="e">
        <f>SUMPRODUCT((BK$4:BK72)*($BR$4:$BR72))*'[1]功能-战损相关'!$D$2-BW72</f>
        <v>#REF!</v>
      </c>
      <c r="CD72" s="2">
        <v>69</v>
      </c>
      <c r="CE72" s="7">
        <v>1</v>
      </c>
      <c r="CF72" s="2" t="e">
        <f>求节点(节奏总纲!R$4:R$363,BS$4:BS$363,$CD72)*$CE72</f>
        <v>#VALUE!</v>
      </c>
      <c r="CG72" s="2" t="e">
        <f>求节点(节奏总纲!S$4:S$363,BT$4:BT$363,$CD72)*$CE72</f>
        <v>#VALUE!</v>
      </c>
      <c r="CH72" s="2" t="e">
        <f>求节点(节奏总纲!T$4:T$363,BU$4:BU$363,$CD72)*$CE72</f>
        <v>#VALUE!</v>
      </c>
      <c r="CI72" s="2" t="e">
        <f>求节点(节奏总纲!U$4:U$363,BV$4:BV$363,$CD72)*$CE72</f>
        <v>#VALUE!</v>
      </c>
      <c r="CJ72" s="2" t="e">
        <f>求节点(节奏总纲!V$4:V$363,BW$4:BW$363,$CD72)*$CE72</f>
        <v>#VALUE!</v>
      </c>
      <c r="CK72" s="2" t="e">
        <f>求节点(节奏总纲!R$4:R$363,BX$4:BX$363,$CD72)*$CE72</f>
        <v>#VALUE!</v>
      </c>
      <c r="CL72" s="2" t="e">
        <f>求节点(节奏总纲!S$4:S$363,BY$4:BY$363,$CD72)*$CE72</f>
        <v>#VALUE!</v>
      </c>
      <c r="CM72" s="2" t="e">
        <f>求节点(节奏总纲!T$4:T$363,BZ$4:BZ$363,$CD72)*$CE72</f>
        <v>#VALUE!</v>
      </c>
      <c r="CN72" s="2" t="e">
        <f>求节点(节奏总纲!U$4:U$363,CA$4:CA$363,$CD72)*$CE72</f>
        <v>#VALUE!</v>
      </c>
      <c r="CO72" s="2" t="e">
        <f>求节点(节奏总纲!V$4:V$363,CB$4:CB$363,$CD72)*$CE72</f>
        <v>#VALUE!</v>
      </c>
    </row>
    <row r="73" spans="27:93" x14ac:dyDescent="0.15">
      <c r="AA73" s="2">
        <v>70</v>
      </c>
      <c r="AB73" s="2">
        <f>攻城基础信息!X74*$E$12</f>
        <v>168141.33271214311</v>
      </c>
      <c r="AC73" s="2">
        <f>攻城基础信息!Y74*$E$12</f>
        <v>180475.91340595044</v>
      </c>
      <c r="AD73" s="2">
        <f>攻城基础信息!Z74*$E$12</f>
        <v>193851.91221289322</v>
      </c>
      <c r="AE73" s="2">
        <f>攻城基础信息!AA74*$E$12</f>
        <v>221482.35696470729</v>
      </c>
      <c r="AF73" s="2">
        <f>攻城基础信息!AB74*$E$12</f>
        <v>220017.58865373413</v>
      </c>
      <c r="AH73" s="2">
        <f>$E$4*AB73*攻城基础信息!AC74</f>
        <v>3727132.8751191706</v>
      </c>
      <c r="AI73" s="2">
        <f>$E$4*AC73*攻城基础信息!AD74</f>
        <v>4000549.4138319003</v>
      </c>
      <c r="AJ73" s="2">
        <f>$E$4*AD73*攻城基础信息!AE74</f>
        <v>4297050.7207191316</v>
      </c>
      <c r="AK73" s="2">
        <f>$E$4*AE73*攻城基础信息!AF74</f>
        <v>4909525.5793843428</v>
      </c>
      <c r="AL73" s="2">
        <f>$E$4*AF73*攻城基础信息!AG74</f>
        <v>4877056.5484911045</v>
      </c>
      <c r="AN73" s="2">
        <v>70</v>
      </c>
      <c r="AO73" s="2">
        <f>求节点(节奏总纲!D$4:D$163,AH$4:AH$163,$AN73)*其他调用!H74*其他调用!$M74</f>
        <v>130252387.82595381</v>
      </c>
      <c r="AP73" s="2">
        <f>求节点(节奏总纲!E$4:E$163,AI$4:AI$163,$AN73)*其他调用!I74*其他调用!$M74</f>
        <v>137246183.84458598</v>
      </c>
      <c r="AQ73" s="2">
        <f>求节点(节奏总纲!F$4:F$163,AJ$4:AJ$163,$AN73)*其他调用!J74*其他调用!$M74</f>
        <v>13868492.558016142</v>
      </c>
      <c r="AR73" s="2">
        <f>求节点(节奏总纲!G$4:G$163,AK$4:AK$163,$AN73)*其他调用!K74*其他调用!$M74</f>
        <v>3229473.2280539344</v>
      </c>
      <c r="AS73" s="2">
        <f>求节点(节奏总纲!H$4:H$163,AL$4:AL$163,$AN73)*其他调用!L74*其他调用!$M74</f>
        <v>1333034.4376184689</v>
      </c>
      <c r="AT73" s="2">
        <f t="shared" si="13"/>
        <v>285929571.89422834</v>
      </c>
      <c r="AY73" s="2">
        <v>70</v>
      </c>
      <c r="AZ73" s="2">
        <f>其他调用!R74*6*(其他调用!AH$2*$AZ$1*MIN(其他调用!$AJ74/其他调用!AH74,1)+$E$4*0%*攻城基础信息!AC74)</f>
        <v>7503.4230169618359</v>
      </c>
      <c r="BA73" s="2">
        <f>其他调用!S74*6*(其他调用!AI$2*$AZ$1*MIN(其他调用!$AJ74/其他调用!AI74,1)+$E$4*0%*攻城基础信息!AD74)</f>
        <v>22704.194002584369</v>
      </c>
      <c r="BB73" s="2">
        <f>其他调用!T74*6*(其他调用!AJ$2*$AZ$1*MIN(其他调用!$AJ74/其他调用!AJ74,1)+$E$4*0%*攻城基础信息!AE74)</f>
        <v>68752.810143629496</v>
      </c>
      <c r="BC73" s="2">
        <f>其他调用!U74*6*(其他调用!AK$2*$AZ$1*MIN(其他调用!$AJ74/其他调用!AK74,1)+$E$4*0%*攻城基础信息!AF74)</f>
        <v>30636.793242175227</v>
      </c>
      <c r="BD73" s="2">
        <f>其他调用!V74*6*(其他调用!AL$2*$AZ$1*MIN(其他调用!$AJ74/其他调用!AL74,1)+$E$4*0%*攻城基础信息!AG74)</f>
        <v>9001.6671345134255</v>
      </c>
      <c r="BF73" s="2">
        <v>70</v>
      </c>
      <c r="BG73" s="2">
        <f>求节点(节奏总纲!D$4:D$163,AZ$4:AZ$163,$AN73)</f>
        <v>6819.8522703778945</v>
      </c>
      <c r="BH73" s="2">
        <f>求节点(节奏总纲!E$4:E$163,BA$4:BA$163,$AN73)</f>
        <v>21143.276531207186</v>
      </c>
      <c r="BI73" s="2">
        <f>求节点(节奏总纲!F$4:F$163,BB$4:BB$163,$AN73)</f>
        <v>66123.947130808185</v>
      </c>
      <c r="BJ73" s="2">
        <f>求节点(节奏总纲!G$4:G$163,BC$4:BC$163,$AN73)</f>
        <v>31057.654983716209</v>
      </c>
      <c r="BK73" s="2">
        <f>求节点(节奏总纲!H$4:H$163,BD$4:BD$163,$AN73)</f>
        <v>9731.3796366846673</v>
      </c>
      <c r="BL73" s="2">
        <f>BG73*其他调用!H74*其他调用!$M74</f>
        <v>331334.09936872777</v>
      </c>
      <c r="BM73" s="2">
        <f>BH73*其他调用!I74*其他调用!$M74</f>
        <v>945498.9054105581</v>
      </c>
      <c r="BN73" s="2">
        <f>BI73*其他调用!J74*其他调用!$M74</f>
        <v>247346.11384631053</v>
      </c>
      <c r="BO73" s="2">
        <f>BJ73*其他调用!K74*其他调用!$M74</f>
        <v>19903.230046945886</v>
      </c>
      <c r="BP73" s="2">
        <f>BK73*其他调用!L74*其他调用!$M74</f>
        <v>1727.9023528163273</v>
      </c>
      <c r="BQ73" s="2">
        <f t="shared" si="14"/>
        <v>1545810.2510253584</v>
      </c>
      <c r="BR73" s="2">
        <f>[1]服务器生态!$R72</f>
        <v>2.1202508823819976E-2</v>
      </c>
      <c r="BS73" s="2" t="e">
        <f>SUMPRODUCT((BG$4:BG73)*($BR$4:$BR73)*(其他调用!#REF!))</f>
        <v>#REF!</v>
      </c>
      <c r="BT73" s="2" t="e">
        <f>SUMPRODUCT((BH$4:BH73)*($BR$4:$BR73)*(其他调用!#REF!))</f>
        <v>#REF!</v>
      </c>
      <c r="BU73" s="2" t="e">
        <f>SUMPRODUCT((BI$4:BI73)*($BR$4:$BR73)*(其他调用!#REF!))</f>
        <v>#REF!</v>
      </c>
      <c r="BV73" s="2" t="e">
        <f>SUMPRODUCT((BJ$4:BJ73)*($BR$4:$BR73)*(其他调用!#REF!))</f>
        <v>#REF!</v>
      </c>
      <c r="BW73" s="2" t="e">
        <f>SUMPRODUCT((BK$4:BK73)*($BR$4:$BR73)*(其他调用!#REF!))</f>
        <v>#REF!</v>
      </c>
      <c r="BX73" s="2" t="e">
        <f>SUMPRODUCT((BG$4:BG73)*($BR$4:$BR73))*'[1]功能-战损相关'!$D$2-BS73</f>
        <v>#REF!</v>
      </c>
      <c r="BY73" s="2" t="e">
        <f>SUMPRODUCT((BH$4:BH73)*($BR$4:$BR73))*'[1]功能-战损相关'!$D$2-BT73</f>
        <v>#REF!</v>
      </c>
      <c r="BZ73" s="2" t="e">
        <f>SUMPRODUCT((BI$4:BI73)*($BR$4:$BR73))*'[1]功能-战损相关'!$D$2-BU73</f>
        <v>#REF!</v>
      </c>
      <c r="CA73" s="2" t="e">
        <f>SUMPRODUCT((BJ$4:BJ73)*($BR$4:$BR73))*'[1]功能-战损相关'!$D$2-BV73</f>
        <v>#REF!</v>
      </c>
      <c r="CB73" s="2" t="e">
        <f>SUMPRODUCT((BK$4:BK73)*($BR$4:$BR73))*'[1]功能-战损相关'!$D$2-BW73</f>
        <v>#REF!</v>
      </c>
      <c r="CD73" s="2">
        <v>70</v>
      </c>
      <c r="CE73" s="7">
        <v>1</v>
      </c>
      <c r="CF73" s="2" t="e">
        <f>求节点(节奏总纲!R$4:R$363,BS$4:BS$363,$CD73)*$CE73</f>
        <v>#VALUE!</v>
      </c>
      <c r="CG73" s="2" t="e">
        <f>求节点(节奏总纲!S$4:S$363,BT$4:BT$363,$CD73)*$CE73</f>
        <v>#VALUE!</v>
      </c>
      <c r="CH73" s="2" t="e">
        <f>求节点(节奏总纲!T$4:T$363,BU$4:BU$363,$CD73)*$CE73</f>
        <v>#VALUE!</v>
      </c>
      <c r="CI73" s="2" t="e">
        <f>求节点(节奏总纲!U$4:U$363,BV$4:BV$363,$CD73)*$CE73</f>
        <v>#VALUE!</v>
      </c>
      <c r="CJ73" s="2" t="e">
        <f>求节点(节奏总纲!V$4:V$363,BW$4:BW$363,$CD73)*$CE73</f>
        <v>#VALUE!</v>
      </c>
      <c r="CK73" s="2" t="e">
        <f>求节点(节奏总纲!R$4:R$363,BX$4:BX$363,$CD73)*$CE73</f>
        <v>#VALUE!</v>
      </c>
      <c r="CL73" s="2" t="e">
        <f>求节点(节奏总纲!S$4:S$363,BY$4:BY$363,$CD73)*$CE73</f>
        <v>#VALUE!</v>
      </c>
      <c r="CM73" s="2" t="e">
        <f>求节点(节奏总纲!T$4:T$363,BZ$4:BZ$363,$CD73)*$CE73</f>
        <v>#VALUE!</v>
      </c>
      <c r="CN73" s="2" t="e">
        <f>求节点(节奏总纲!U$4:U$363,CA$4:CA$363,$CD73)*$CE73</f>
        <v>#VALUE!</v>
      </c>
      <c r="CO73" s="2" t="e">
        <f>求节点(节奏总纲!V$4:V$363,CB$4:CB$363,$CD73)*$CE73</f>
        <v>#VALUE!</v>
      </c>
    </row>
    <row r="74" spans="27:93" x14ac:dyDescent="0.15">
      <c r="AA74" s="2">
        <v>71</v>
      </c>
      <c r="AB74" s="2">
        <f>攻城基础信息!X75*$E$12</f>
        <v>171335.35960184474</v>
      </c>
      <c r="AC74" s="2">
        <f>攻城基础信息!Y75*$E$12</f>
        <v>184208.07910556791</v>
      </c>
      <c r="AD74" s="2">
        <f>攻城基础信息!Z75*$E$12</f>
        <v>197279.2675047144</v>
      </c>
      <c r="AE74" s="2">
        <f>攻城基础信息!AA75*$E$12</f>
        <v>225844.27507737791</v>
      </c>
      <c r="AF74" s="2">
        <f>攻城基础信息!AB75*$E$12</f>
        <v>225850.81950634115</v>
      </c>
      <c r="AH74" s="2">
        <f>$E$4*AB74*攻城基础信息!AC75</f>
        <v>3837912.0550813205</v>
      </c>
      <c r="AI74" s="2">
        <f>$E$4*AC74*攻城基础信息!AD75</f>
        <v>4126260.9719647197</v>
      </c>
      <c r="AJ74" s="2">
        <f>$E$4*AD74*攻城基础信息!AE75</f>
        <v>4419055.592105601</v>
      </c>
      <c r="AK74" s="2">
        <f>$E$4*AE74*攻城基础信息!AF75</f>
        <v>5058911.7617332637</v>
      </c>
      <c r="AL74" s="2">
        <f>$E$4*AF74*攻城基础信息!AG75</f>
        <v>5059058.3569420399</v>
      </c>
      <c r="AN74" s="2">
        <v>71</v>
      </c>
      <c r="AO74" s="2">
        <f>求节点(节奏总纲!D$4:D$163,AH$4:AH$163,$AN74)*其他调用!H75*其他调用!$M75</f>
        <v>131419559.63132325</v>
      </c>
      <c r="AP74" s="2">
        <f>求节点(节奏总纲!E$4:E$163,AI$4:AI$163,$AN74)*其他调用!I75*其他调用!$M75</f>
        <v>138958120.74203259</v>
      </c>
      <c r="AQ74" s="2">
        <f>求节点(节奏总纲!F$4:F$163,AJ$4:AJ$163,$AN74)*其他调用!J75*其他调用!$M75</f>
        <v>14129241.813701941</v>
      </c>
      <c r="AR74" s="2">
        <f>求节点(节奏总纲!G$4:G$163,AK$4:AK$163,$AN74)*其他调用!K75*其他调用!$M75</f>
        <v>3264157.4858768391</v>
      </c>
      <c r="AS74" s="2">
        <f>求节点(节奏总纲!H$4:H$163,AL$4:AL$163,$AN74)*其他调用!L75*其他调用!$M75</f>
        <v>1355162.7114072687</v>
      </c>
      <c r="AT74" s="2">
        <f t="shared" si="13"/>
        <v>289126242.3843419</v>
      </c>
      <c r="AY74" s="2">
        <v>71</v>
      </c>
      <c r="AZ74" s="2">
        <f>其他调用!R75*6*(其他调用!AH$2*$AZ$1*MIN(其他调用!$AJ75/其他调用!AH75,1)+$E$4*0%*攻城基础信息!AC75)</f>
        <v>7584.934046805889</v>
      </c>
      <c r="BA74" s="2">
        <f>其他调用!S75*6*(其他调用!AI$2*$AZ$1*MIN(其他调用!$AJ75/其他调用!AI75,1)+$E$4*0%*攻城基础信息!AD75)</f>
        <v>22945.36521952568</v>
      </c>
      <c r="BB74" s="2">
        <f>其他调用!T75*6*(其他调用!AJ$2*$AZ$1*MIN(其他调用!$AJ75/其他调用!AJ75,1)+$E$4*0%*攻城基础信息!AE75)</f>
        <v>69473.358052347729</v>
      </c>
      <c r="BC74" s="2">
        <f>其他调用!U75*6*(其他调用!AK$2*$AZ$1*MIN(其他调用!$AJ75/其他调用!AK75,1)+$E$4*0%*攻城基础信息!AF75)</f>
        <v>31120.971848446741</v>
      </c>
      <c r="BD74" s="2">
        <f>其他调用!V75*6*(其他调用!AL$2*$AZ$1*MIN(其他调用!$AJ75/其他调用!AL75,1)+$E$4*0%*攻城基础信息!AG75)</f>
        <v>9099.8953538530532</v>
      </c>
      <c r="BF74" s="2">
        <v>71</v>
      </c>
      <c r="BG74" s="2">
        <f>求节点(节奏总纲!D$4:D$163,AZ$4:AZ$163,$AN74)</f>
        <v>6836.4380580245515</v>
      </c>
      <c r="BH74" s="2">
        <f>求节点(节奏总纲!E$4:E$163,BA$4:BA$163,$AN74)</f>
        <v>21191.642354707743</v>
      </c>
      <c r="BI74" s="2">
        <f>求节点(节奏总纲!F$4:F$163,BB$4:BB$163,$AN74)</f>
        <v>66268.537479744045</v>
      </c>
      <c r="BJ74" s="2">
        <f>求节点(节奏总纲!G$4:G$163,BC$4:BC$163,$AN74)</f>
        <v>31155.717210329145</v>
      </c>
      <c r="BK74" s="2">
        <f>求节点(节奏总纲!H$4:H$163,BD$4:BD$163,$AN74)</f>
        <v>9745.4722599864544</v>
      </c>
      <c r="BL74" s="2">
        <f>BG74*其他调用!H75*其他调用!$M75</f>
        <v>332287.37495035771</v>
      </c>
      <c r="BM74" s="2">
        <f>BH74*其他调用!I75*其他调用!$M75</f>
        <v>951350.28420537361</v>
      </c>
      <c r="BN74" s="2">
        <f>BI74*其他调用!J75*其他调用!$M75</f>
        <v>248541.67938371236</v>
      </c>
      <c r="BO74" s="2">
        <f>BJ74*其他调用!K75*其他调用!$M75</f>
        <v>20057.653659039464</v>
      </c>
      <c r="BP74" s="2">
        <f>BK74*其他调用!L75*其他调用!$M75</f>
        <v>1742.369815021184</v>
      </c>
      <c r="BQ74" s="2">
        <f t="shared" si="14"/>
        <v>1553979.3620135044</v>
      </c>
      <c r="BR74" s="2">
        <f>[1]服务器生态!$R73</f>
        <v>2.1505401807017405E-2</v>
      </c>
      <c r="BS74" s="2" t="e">
        <f>SUMPRODUCT((BG$4:BG74)*($BR$4:$BR74)*(其他调用!#REF!))</f>
        <v>#REF!</v>
      </c>
      <c r="BT74" s="2" t="e">
        <f>SUMPRODUCT((BH$4:BH74)*($BR$4:$BR74)*(其他调用!#REF!))</f>
        <v>#REF!</v>
      </c>
      <c r="BU74" s="2" t="e">
        <f>SUMPRODUCT((BI$4:BI74)*($BR$4:$BR74)*(其他调用!#REF!))</f>
        <v>#REF!</v>
      </c>
      <c r="BV74" s="2" t="e">
        <f>SUMPRODUCT((BJ$4:BJ74)*($BR$4:$BR74)*(其他调用!#REF!))</f>
        <v>#REF!</v>
      </c>
      <c r="BW74" s="2" t="e">
        <f>SUMPRODUCT((BK$4:BK74)*($BR$4:$BR74)*(其他调用!#REF!))</f>
        <v>#REF!</v>
      </c>
      <c r="BX74" s="2" t="e">
        <f>SUMPRODUCT((BG$4:BG74)*($BR$4:$BR74))*'[1]功能-战损相关'!$D$2-BS74</f>
        <v>#REF!</v>
      </c>
      <c r="BY74" s="2" t="e">
        <f>SUMPRODUCT((BH$4:BH74)*($BR$4:$BR74))*'[1]功能-战损相关'!$D$2-BT74</f>
        <v>#REF!</v>
      </c>
      <c r="BZ74" s="2" t="e">
        <f>SUMPRODUCT((BI$4:BI74)*($BR$4:$BR74))*'[1]功能-战损相关'!$D$2-BU74</f>
        <v>#REF!</v>
      </c>
      <c r="CA74" s="2" t="e">
        <f>SUMPRODUCT((BJ$4:BJ74)*($BR$4:$BR74))*'[1]功能-战损相关'!$D$2-BV74</f>
        <v>#REF!</v>
      </c>
      <c r="CB74" s="2" t="e">
        <f>SUMPRODUCT((BK$4:BK74)*($BR$4:$BR74))*'[1]功能-战损相关'!$D$2-BW74</f>
        <v>#REF!</v>
      </c>
      <c r="CD74" s="2">
        <v>71</v>
      </c>
      <c r="CE74" s="7">
        <v>1</v>
      </c>
      <c r="CF74" s="2" t="e">
        <f>求节点(节奏总纲!R$4:R$363,BS$4:BS$363,$CD74)*$CE74</f>
        <v>#VALUE!</v>
      </c>
      <c r="CG74" s="2" t="e">
        <f>求节点(节奏总纲!S$4:S$363,BT$4:BT$363,$CD74)*$CE74</f>
        <v>#VALUE!</v>
      </c>
      <c r="CH74" s="2" t="e">
        <f>求节点(节奏总纲!T$4:T$363,BU$4:BU$363,$CD74)*$CE74</f>
        <v>#VALUE!</v>
      </c>
      <c r="CI74" s="2" t="e">
        <f>求节点(节奏总纲!U$4:U$363,BV$4:BV$363,$CD74)*$CE74</f>
        <v>#VALUE!</v>
      </c>
      <c r="CJ74" s="2" t="e">
        <f>求节点(节奏总纲!V$4:V$363,BW$4:BW$363,$CD74)*$CE74</f>
        <v>#VALUE!</v>
      </c>
      <c r="CK74" s="2" t="e">
        <f>求节点(节奏总纲!R$4:R$363,BX$4:BX$363,$CD74)*$CE74</f>
        <v>#VALUE!</v>
      </c>
      <c r="CL74" s="2" t="e">
        <f>求节点(节奏总纲!S$4:S$363,BY$4:BY$363,$CD74)*$CE74</f>
        <v>#VALUE!</v>
      </c>
      <c r="CM74" s="2" t="e">
        <f>求节点(节奏总纲!T$4:T$363,BZ$4:BZ$363,$CD74)*$CE74</f>
        <v>#VALUE!</v>
      </c>
      <c r="CN74" s="2" t="e">
        <f>求节点(节奏总纲!U$4:U$363,CA$4:CA$363,$CD74)*$CE74</f>
        <v>#VALUE!</v>
      </c>
      <c r="CO74" s="2" t="e">
        <f>求节点(节奏总纲!V$4:V$363,CB$4:CB$363,$CD74)*$CE74</f>
        <v>#VALUE!</v>
      </c>
    </row>
    <row r="75" spans="27:93" x14ac:dyDescent="0.15">
      <c r="AA75" s="2">
        <v>72</v>
      </c>
      <c r="AB75" s="2">
        <f>攻城基础信息!X76*$E$12</f>
        <v>174771.78371930355</v>
      </c>
      <c r="AC75" s="2">
        <f>攻城基础信息!Y76*$E$12</f>
        <v>187977.76742879953</v>
      </c>
      <c r="AD75" s="2">
        <f>攻城基础信息!Z76*$E$12</f>
        <v>200734.94068135406</v>
      </c>
      <c r="AE75" s="2">
        <f>攻城基础信息!AA76*$E$12</f>
        <v>229949.57000951009</v>
      </c>
      <c r="AF75" s="2">
        <f>攻城基础信息!AB76*$E$12</f>
        <v>232567.07876031083</v>
      </c>
      <c r="AH75" s="2">
        <f>$E$4*AB75*攻城基础信息!AC76</f>
        <v>3955668.0381802353</v>
      </c>
      <c r="AI75" s="2">
        <f>$E$4*AC75*攻城基础信息!AD76</f>
        <v>4254563.4694718281</v>
      </c>
      <c r="AJ75" s="2">
        <f>$E$4*AD75*攻城基础信息!AE76</f>
        <v>4543300.8240879783</v>
      </c>
      <c r="AK75" s="2">
        <f>$E$4*AE75*攻城基础信息!AF76</f>
        <v>5204525.2678819103</v>
      </c>
      <c r="AL75" s="2">
        <f>$E$4*AF75*攻城基础信息!AG76</f>
        <v>5263768.2159417002</v>
      </c>
      <c r="AN75" s="2">
        <v>72</v>
      </c>
      <c r="AO75" s="2">
        <f>求节点(节奏总纲!D$4:D$163,AH$4:AH$163,$AN75)*其他调用!H76*其他调用!$M76</f>
        <v>132570503.32796739</v>
      </c>
      <c r="AP75" s="2">
        <f>求节点(节奏总纲!E$4:E$163,AI$4:AI$163,$AN75)*其他调用!I76*其他调用!$M76</f>
        <v>140662991.89674187</v>
      </c>
      <c r="AQ75" s="2">
        <f>求节点(节奏总纲!F$4:F$163,AJ$4:AJ$163,$AN75)*其他调用!J76*其他调用!$M76</f>
        <v>14389438.461039549</v>
      </c>
      <c r="AR75" s="2">
        <f>求节点(节奏总纲!G$4:G$163,AK$4:AK$163,$AN75)*其他调用!K76*其他调用!$M76</f>
        <v>3297624.3140440579</v>
      </c>
      <c r="AS75" s="2">
        <f>求节点(节奏总纲!H$4:H$163,AL$4:AL$163,$AN75)*其他调用!L76*其他调用!$M76</f>
        <v>1377327.196275454</v>
      </c>
      <c r="AT75" s="2">
        <f t="shared" si="13"/>
        <v>292297885.19606835</v>
      </c>
      <c r="AY75" s="2">
        <v>72</v>
      </c>
      <c r="AZ75" s="2">
        <f>其他调用!R76*6*(其他调用!AH$2*$AZ$1*MIN(其他调用!$AJ76/其他调用!AH76,1)+$E$4*0%*攻城基础信息!AC76)</f>
        <v>7664.0177163164353</v>
      </c>
      <c r="BA75" s="2">
        <f>其他调用!S76*6*(其他调用!AI$2*$AZ$1*MIN(其他调用!$AJ76/其他调用!AI76,1)+$E$4*0%*攻城基础信息!AD76)</f>
        <v>23190.022012879614</v>
      </c>
      <c r="BB75" s="2">
        <f>其他调用!T76*6*(其他调用!AJ$2*$AZ$1*MIN(其他调用!$AJ76/其他调用!AJ76,1)+$E$4*0%*攻城基础信息!AE76)</f>
        <v>70177.006002229769</v>
      </c>
      <c r="BC75" s="2">
        <f>其他调用!U76*6*(其他调用!AK$2*$AZ$1*MIN(其他调用!$AJ76/其他调用!AK76,1)+$E$4*0%*攻城基础信息!AF76)</f>
        <v>31567.49213363462</v>
      </c>
      <c r="BD75" s="2">
        <f>其他调用!V76*6*(其他调用!AL$2*$AZ$1*MIN(其他调用!$AJ76/其他调用!AL76,1)+$E$4*0%*攻城基础信息!AG76)</f>
        <v>9201.0242648308431</v>
      </c>
      <c r="BF75" s="2">
        <v>72</v>
      </c>
      <c r="BG75" s="2">
        <f>求节点(节奏总纲!D$4:D$163,AZ$4:AZ$163,$AN75)</f>
        <v>6853.0238456712086</v>
      </c>
      <c r="BH75" s="2">
        <f>求节点(节奏总纲!E$4:E$163,BA$4:BA$163,$AN75)</f>
        <v>21240.008178208296</v>
      </c>
      <c r="BI75" s="2">
        <f>求节点(节奏总纲!F$4:F$163,BB$4:BB$163,$AN75)</f>
        <v>66413.127828679921</v>
      </c>
      <c r="BJ75" s="2">
        <f>求节点(节奏总纲!G$4:G$163,BC$4:BC$163,$AN75)</f>
        <v>31245.489497851551</v>
      </c>
      <c r="BK75" s="2">
        <f>求节点(节奏总纲!H$4:H$163,BD$4:BD$163,$AN75)</f>
        <v>9759.5648832882416</v>
      </c>
      <c r="BL75" s="2">
        <f>BG75*其他调用!H76*其他调用!$M76</f>
        <v>333198.10405508836</v>
      </c>
      <c r="BM75" s="2">
        <f>BH75*其他调用!I76*其他调用!$M76</f>
        <v>957108.28215625091</v>
      </c>
      <c r="BN75" s="2">
        <f>BI75*其他调用!J76*其他调用!$M76</f>
        <v>249710.02171909309</v>
      </c>
      <c r="BO75" s="2">
        <f>BJ75*其他调用!K76*其他调用!$M76</f>
        <v>20205.024960790295</v>
      </c>
      <c r="BP75" s="2">
        <f>BK75*其他调用!L76*其他调用!$M76</f>
        <v>1756.6919049896717</v>
      </c>
      <c r="BQ75" s="2">
        <f t="shared" si="14"/>
        <v>1561978.1247962124</v>
      </c>
      <c r="BR75" s="2">
        <f>[1]服务器生态!$R74</f>
        <v>2.1808294790214833E-2</v>
      </c>
      <c r="BS75" s="2" t="e">
        <f>SUMPRODUCT((BG$4:BG75)*($BR$4:$BR75)*(其他调用!#REF!))</f>
        <v>#REF!</v>
      </c>
      <c r="BT75" s="2" t="e">
        <f>SUMPRODUCT((BH$4:BH75)*($BR$4:$BR75)*(其他调用!#REF!))</f>
        <v>#REF!</v>
      </c>
      <c r="BU75" s="2" t="e">
        <f>SUMPRODUCT((BI$4:BI75)*($BR$4:$BR75)*(其他调用!#REF!))</f>
        <v>#REF!</v>
      </c>
      <c r="BV75" s="2" t="e">
        <f>SUMPRODUCT((BJ$4:BJ75)*($BR$4:$BR75)*(其他调用!#REF!))</f>
        <v>#REF!</v>
      </c>
      <c r="BW75" s="2" t="e">
        <f>SUMPRODUCT((BK$4:BK75)*($BR$4:$BR75)*(其他调用!#REF!))</f>
        <v>#REF!</v>
      </c>
      <c r="BX75" s="2" t="e">
        <f>SUMPRODUCT((BG$4:BG75)*($BR$4:$BR75))*'[1]功能-战损相关'!$D$2-BS75</f>
        <v>#REF!</v>
      </c>
      <c r="BY75" s="2" t="e">
        <f>SUMPRODUCT((BH$4:BH75)*($BR$4:$BR75))*'[1]功能-战损相关'!$D$2-BT75</f>
        <v>#REF!</v>
      </c>
      <c r="BZ75" s="2" t="e">
        <f>SUMPRODUCT((BI$4:BI75)*($BR$4:$BR75))*'[1]功能-战损相关'!$D$2-BU75</f>
        <v>#REF!</v>
      </c>
      <c r="CA75" s="2" t="e">
        <f>SUMPRODUCT((BJ$4:BJ75)*($BR$4:$BR75))*'[1]功能-战损相关'!$D$2-BV75</f>
        <v>#REF!</v>
      </c>
      <c r="CB75" s="2" t="e">
        <f>SUMPRODUCT((BK$4:BK75)*($BR$4:$BR75))*'[1]功能-战损相关'!$D$2-BW75</f>
        <v>#REF!</v>
      </c>
      <c r="CD75" s="2">
        <v>72</v>
      </c>
      <c r="CE75" s="7">
        <v>1</v>
      </c>
      <c r="CF75" s="2" t="e">
        <f>求节点(节奏总纲!R$4:R$363,BS$4:BS$363,$CD75)*$CE75</f>
        <v>#VALUE!</v>
      </c>
      <c r="CG75" s="2" t="e">
        <f>求节点(节奏总纲!S$4:S$363,BT$4:BT$363,$CD75)*$CE75</f>
        <v>#VALUE!</v>
      </c>
      <c r="CH75" s="2" t="e">
        <f>求节点(节奏总纲!T$4:T$363,BU$4:BU$363,$CD75)*$CE75</f>
        <v>#VALUE!</v>
      </c>
      <c r="CI75" s="2" t="e">
        <f>求节点(节奏总纲!U$4:U$363,BV$4:BV$363,$CD75)*$CE75</f>
        <v>#VALUE!</v>
      </c>
      <c r="CJ75" s="2" t="e">
        <f>求节点(节奏总纲!V$4:V$363,BW$4:BW$363,$CD75)*$CE75</f>
        <v>#VALUE!</v>
      </c>
      <c r="CK75" s="2" t="e">
        <f>求节点(节奏总纲!R$4:R$363,BX$4:BX$363,$CD75)*$CE75</f>
        <v>#VALUE!</v>
      </c>
      <c r="CL75" s="2" t="e">
        <f>求节点(节奏总纲!S$4:S$363,BY$4:BY$363,$CD75)*$CE75</f>
        <v>#VALUE!</v>
      </c>
      <c r="CM75" s="2" t="e">
        <f>求节点(节奏总纲!T$4:T$363,BZ$4:BZ$363,$CD75)*$CE75</f>
        <v>#VALUE!</v>
      </c>
      <c r="CN75" s="2" t="e">
        <f>求节点(节奏总纲!U$4:U$363,CA$4:CA$363,$CD75)*$CE75</f>
        <v>#VALUE!</v>
      </c>
      <c r="CO75" s="2" t="e">
        <f>求节点(节奏总纲!V$4:V$363,CB$4:CB$363,$CD75)*$CE75</f>
        <v>#VALUE!</v>
      </c>
    </row>
    <row r="76" spans="27:93" x14ac:dyDescent="0.15">
      <c r="AA76" s="2">
        <v>73</v>
      </c>
      <c r="AB76" s="2">
        <f>攻城基础信息!X77*$E$12</f>
        <v>178891.16901743013</v>
      </c>
      <c r="AC76" s="2">
        <f>攻城基础信息!Y77*$E$12</f>
        <v>192006.18396158703</v>
      </c>
      <c r="AD76" s="2">
        <f>攻城基础信息!Z77*$E$12</f>
        <v>204459.14163360512</v>
      </c>
      <c r="AE76" s="2">
        <f>攻城基础信息!AA77*$E$12</f>
        <v>237856.48041266517</v>
      </c>
      <c r="AF76" s="2">
        <f>攻城基础信息!AB77*$E$12</f>
        <v>241954.21620009508</v>
      </c>
      <c r="AH76" s="2">
        <f>$E$4*AB76*攻城基础信息!AC77</f>
        <v>4090644.7315319004</v>
      </c>
      <c r="AI76" s="2">
        <f>$E$4*AC76*攻城基础信息!AD77</f>
        <v>4390541.406588288</v>
      </c>
      <c r="AJ76" s="2">
        <f>$E$4*AD76*攻城基础信息!AE77</f>
        <v>4675299.0386884352</v>
      </c>
      <c r="AK76" s="2">
        <f>$E$4*AE76*攻城基础信息!AF77</f>
        <v>5438984.8521029409</v>
      </c>
      <c r="AL76" s="2">
        <f>$E$4*AF76*攻城基础信息!AG77</f>
        <v>5532686.4104421716</v>
      </c>
      <c r="AN76" s="2">
        <v>73</v>
      </c>
      <c r="AO76" s="2">
        <f>求节点(节奏总纲!D$4:D$163,AH$4:AH$163,$AN76)*其他调用!H77*其他调用!$M77</f>
        <v>133671633.76897049</v>
      </c>
      <c r="AP76" s="2">
        <f>求节点(节奏总纲!E$4:E$163,AI$4:AI$163,$AN76)*其他调用!I77*其他调用!$M77</f>
        <v>142297893.68237263</v>
      </c>
      <c r="AQ76" s="2">
        <f>求节点(节奏总纲!F$4:F$163,AJ$4:AJ$163,$AN76)*其他调用!J77*其他调用!$M77</f>
        <v>14650790.942460261</v>
      </c>
      <c r="AR76" s="2">
        <f>求节点(节奏总纲!G$4:G$163,AK$4:AK$163,$AN76)*其他调用!K77*其他调用!$M77</f>
        <v>3331291.3785519046</v>
      </c>
      <c r="AS76" s="2">
        <f>求节点(节奏总纲!H$4:H$163,AL$4:AL$163,$AN76)*其他调用!L77*其他调用!$M77</f>
        <v>1398826.0668644716</v>
      </c>
      <c r="AT76" s="2">
        <f t="shared" si="13"/>
        <v>295350435.83921975</v>
      </c>
      <c r="AY76" s="2">
        <v>73</v>
      </c>
      <c r="AZ76" s="2">
        <f>其他调用!R77*6*(其他调用!AH$2*$AZ$1*MIN(其他调用!$AJ77/其他调用!AH77,1)+$E$4*0%*攻城基础信息!AC77)</f>
        <v>7746.0874754582001</v>
      </c>
      <c r="BA76" s="2">
        <f>其他调用!S77*6*(其他调用!AI$2*$AZ$1*MIN(其他调用!$AJ77/其他调用!AI77,1)+$E$4*0%*攻城基础信息!AD77)</f>
        <v>23421.937814483059</v>
      </c>
      <c r="BB76" s="2">
        <f>其他调用!T77*6*(其他调用!AJ$2*$AZ$1*MIN(其他调用!$AJ77/其他调用!AJ77,1)+$E$4*0%*攻城基础信息!AE77)</f>
        <v>70894.363747898649</v>
      </c>
      <c r="BC76" s="2">
        <f>其他调用!U77*6*(其他调用!AK$2*$AZ$1*MIN(其他调用!$AJ77/其他调用!AK77,1)+$E$4*0%*攻城基础信息!AF77)</f>
        <v>32017.566141873984</v>
      </c>
      <c r="BD76" s="2">
        <f>其他调用!V77*6*(其他调用!AL$2*$AZ$1*MIN(其他调用!$AJ77/其他调用!AL77,1)+$E$4*0%*攻城基础信息!AG77)</f>
        <v>9286.4204588322809</v>
      </c>
      <c r="BF76" s="2">
        <v>73</v>
      </c>
      <c r="BG76" s="2">
        <f>求节点(节奏总纲!D$4:D$163,AZ$4:AZ$163,$AN76)</f>
        <v>6868.8549899322625</v>
      </c>
      <c r="BH76" s="2">
        <f>求节点(节奏总纲!E$4:E$163,BA$4:BA$163,$AN76)</f>
        <v>21287.186154348139</v>
      </c>
      <c r="BI76" s="2">
        <f>求节点(节奏总纲!F$4:F$163,BB$4:BB$163,$AN76)</f>
        <v>66557.718177615781</v>
      </c>
      <c r="BJ76" s="2">
        <f>求节点(节奏总纲!G$4:G$163,BC$4:BC$163,$AN76)</f>
        <v>31335.261785373958</v>
      </c>
      <c r="BK76" s="2">
        <f>求节点(节奏总纲!H$4:H$163,BD$4:BD$163,$AN76)</f>
        <v>9773.4915106381559</v>
      </c>
      <c r="BL76" s="2">
        <f>BG76*其他调用!H77*其他调用!$M77</f>
        <v>334070.35210299148</v>
      </c>
      <c r="BM76" s="2">
        <f>BH76*其他调用!I77*其他调用!$M77</f>
        <v>962835.60075275286</v>
      </c>
      <c r="BN76" s="2">
        <f>BI76*其他调用!J77*其他调用!$M77</f>
        <v>250881.59034166471</v>
      </c>
      <c r="BO76" s="2">
        <f>BJ76*其他调用!K77*其他调用!$M77</f>
        <v>20353.108816037573</v>
      </c>
      <c r="BP76" s="2">
        <f>BK76*其他调用!L77*其他调用!$M77</f>
        <v>1771.0513772905799</v>
      </c>
      <c r="BQ76" s="2">
        <f t="shared" si="14"/>
        <v>1569911.7033907373</v>
      </c>
      <c r="BR76" s="2">
        <f>[1]服务器生态!$R75</f>
        <v>2.2111187773412262E-2</v>
      </c>
      <c r="BS76" s="2" t="e">
        <f>SUMPRODUCT((BG$4:BG76)*($BR$4:$BR76)*(其他调用!#REF!))</f>
        <v>#REF!</v>
      </c>
      <c r="BT76" s="2" t="e">
        <f>SUMPRODUCT((BH$4:BH76)*($BR$4:$BR76)*(其他调用!#REF!))</f>
        <v>#REF!</v>
      </c>
      <c r="BU76" s="2" t="e">
        <f>SUMPRODUCT((BI$4:BI76)*($BR$4:$BR76)*(其他调用!#REF!))</f>
        <v>#REF!</v>
      </c>
      <c r="BV76" s="2" t="e">
        <f>SUMPRODUCT((BJ$4:BJ76)*($BR$4:$BR76)*(其他调用!#REF!))</f>
        <v>#REF!</v>
      </c>
      <c r="BW76" s="2" t="e">
        <f>SUMPRODUCT((BK$4:BK76)*($BR$4:$BR76)*(其他调用!#REF!))</f>
        <v>#REF!</v>
      </c>
      <c r="BX76" s="2" t="e">
        <f>SUMPRODUCT((BG$4:BG76)*($BR$4:$BR76))*'[1]功能-战损相关'!$D$2-BS76</f>
        <v>#REF!</v>
      </c>
      <c r="BY76" s="2" t="e">
        <f>SUMPRODUCT((BH$4:BH76)*($BR$4:$BR76))*'[1]功能-战损相关'!$D$2-BT76</f>
        <v>#REF!</v>
      </c>
      <c r="BZ76" s="2" t="e">
        <f>SUMPRODUCT((BI$4:BI76)*($BR$4:$BR76))*'[1]功能-战损相关'!$D$2-BU76</f>
        <v>#REF!</v>
      </c>
      <c r="CA76" s="2" t="e">
        <f>SUMPRODUCT((BJ$4:BJ76)*($BR$4:$BR76))*'[1]功能-战损相关'!$D$2-BV76</f>
        <v>#REF!</v>
      </c>
      <c r="CB76" s="2" t="e">
        <f>SUMPRODUCT((BK$4:BK76)*($BR$4:$BR76))*'[1]功能-战损相关'!$D$2-BW76</f>
        <v>#REF!</v>
      </c>
      <c r="CD76" s="2">
        <v>73</v>
      </c>
      <c r="CE76" s="7">
        <v>1</v>
      </c>
      <c r="CF76" s="2" t="e">
        <f>求节点(节奏总纲!R$4:R$363,BS$4:BS$363,$CD76)*$CE76</f>
        <v>#VALUE!</v>
      </c>
      <c r="CG76" s="2" t="e">
        <f>求节点(节奏总纲!S$4:S$363,BT$4:BT$363,$CD76)*$CE76</f>
        <v>#VALUE!</v>
      </c>
      <c r="CH76" s="2" t="e">
        <f>求节点(节奏总纲!T$4:T$363,BU$4:BU$363,$CD76)*$CE76</f>
        <v>#VALUE!</v>
      </c>
      <c r="CI76" s="2" t="e">
        <f>求节点(节奏总纲!U$4:U$363,BV$4:BV$363,$CD76)*$CE76</f>
        <v>#VALUE!</v>
      </c>
      <c r="CJ76" s="2" t="e">
        <f>求节点(节奏总纲!V$4:V$363,BW$4:BW$363,$CD76)*$CE76</f>
        <v>#VALUE!</v>
      </c>
      <c r="CK76" s="2" t="e">
        <f>求节点(节奏总纲!R$4:R$363,BX$4:BX$363,$CD76)*$CE76</f>
        <v>#VALUE!</v>
      </c>
      <c r="CL76" s="2" t="e">
        <f>求节点(节奏总纲!S$4:S$363,BY$4:BY$363,$CD76)*$CE76</f>
        <v>#VALUE!</v>
      </c>
      <c r="CM76" s="2" t="e">
        <f>求节点(节奏总纲!T$4:T$363,BZ$4:BZ$363,$CD76)*$CE76</f>
        <v>#VALUE!</v>
      </c>
      <c r="CN76" s="2" t="e">
        <f>求节点(节奏总纲!U$4:U$363,CA$4:CA$363,$CD76)*$CE76</f>
        <v>#VALUE!</v>
      </c>
      <c r="CO76" s="2" t="e">
        <f>求节点(节奏总纲!V$4:V$363,CB$4:CB$363,$CD76)*$CE76</f>
        <v>#VALUE!</v>
      </c>
    </row>
    <row r="77" spans="27:93" x14ac:dyDescent="0.15">
      <c r="AA77" s="2">
        <v>74</v>
      </c>
      <c r="AB77" s="2">
        <f>攻城基础信息!X78*$E$12</f>
        <v>183472.83144787693</v>
      </c>
      <c r="AC77" s="2">
        <f>攻城基础信息!Y78*$E$12</f>
        <v>196101.75590976758</v>
      </c>
      <c r="AD77" s="2">
        <f>攻城基础信息!Z78*$E$12</f>
        <v>208288.51740799373</v>
      </c>
      <c r="AE77" s="2">
        <f>攻城基础信息!AA78*$E$12</f>
        <v>245934.2424309928</v>
      </c>
      <c r="AF77" s="2">
        <f>攻城基础信息!AB78*$E$12</f>
        <v>251149.88677767041</v>
      </c>
      <c r="AH77" s="2">
        <f>$E$4*AB77*攻城基础信息!AC78</f>
        <v>4238222.4064459549</v>
      </c>
      <c r="AI77" s="2">
        <f>$E$4*AC77*攻城基础信息!AD78</f>
        <v>4529950.5615156293</v>
      </c>
      <c r="AJ77" s="2">
        <f>$E$4*AD77*攻城基础信息!AE78</f>
        <v>4811464.7521246523</v>
      </c>
      <c r="AK77" s="2">
        <f>$E$4*AE77*攻城基础信息!AF78</f>
        <v>5681081.0001559304</v>
      </c>
      <c r="AL77" s="2">
        <f>$E$4*AF77*攻城基础信息!AG78</f>
        <v>5801562.3845641837</v>
      </c>
      <c r="AN77" s="2">
        <v>74</v>
      </c>
      <c r="AO77" s="2">
        <f>求节点(节奏总纲!D$4:D$163,AH$4:AH$163,$AN77)*其他调用!H78*其他调用!$M78</f>
        <v>134719456.18298066</v>
      </c>
      <c r="AP77" s="2">
        <f>求节点(节奏总纲!E$4:E$163,AI$4:AI$163,$AN77)*其他调用!I78*其他调用!$M78</f>
        <v>143888677.58316478</v>
      </c>
      <c r="AQ77" s="2">
        <f>求节点(节奏总纲!F$4:F$163,AJ$4:AJ$163,$AN77)*其他调用!J78*其他调用!$M78</f>
        <v>14823645.187996116</v>
      </c>
      <c r="AR77" s="2">
        <f>求节点(节奏总纲!G$4:G$163,AK$4:AK$163,$AN77)*其他调用!K78*其他调用!$M78</f>
        <v>3365159.2338508964</v>
      </c>
      <c r="AS77" s="2">
        <f>求节点(节奏总纲!H$4:H$163,AL$4:AL$163,$AN77)*其他调用!L78*其他调用!$M78</f>
        <v>1417475.1400677357</v>
      </c>
      <c r="AT77" s="2">
        <f t="shared" si="13"/>
        <v>298214413.32806021</v>
      </c>
      <c r="AY77" s="2">
        <v>74</v>
      </c>
      <c r="AZ77" s="2">
        <f>其他调用!R78*6*(其他调用!AH$2*$AZ$1*MIN(其他调用!$AJ78/其他调用!AH78,1)+$E$4*0%*攻城基础信息!AC78)</f>
        <v>7824.685041724515</v>
      </c>
      <c r="BA77" s="2">
        <f>其他调用!S78*6*(其他调用!AI$2*$AZ$1*MIN(其他调用!$AJ78/其他调用!AI78,1)+$E$4*0%*攻城基础信息!AD78)</f>
        <v>23667.869332983017</v>
      </c>
      <c r="BB77" s="2">
        <f>其他调用!T78*6*(其他调用!AJ$2*$AZ$1*MIN(其他调用!$AJ78/其他调用!AJ78,1)+$E$4*0%*攻城基础信息!AE78)</f>
        <v>71617.838608727878</v>
      </c>
      <c r="BC77" s="2">
        <f>其他调用!U78*6*(其他调用!AK$2*$AZ$1*MIN(其他调用!$AJ78/其他调用!AK78,1)+$E$4*0%*攻城基础信息!AF78)</f>
        <v>32515.484249004443</v>
      </c>
      <c r="BD77" s="2">
        <f>其他调用!V78*6*(其他调用!AL$2*$AZ$1*MIN(其他调用!$AJ78/其他调用!AL78,1)+$E$4*0%*攻城基础信息!AG78)</f>
        <v>9354.0948343922682</v>
      </c>
      <c r="BF77" s="2">
        <v>74</v>
      </c>
      <c r="BG77" s="2">
        <f>求节点(节奏总纲!D$4:D$163,AZ$4:AZ$163,$AN77)</f>
        <v>6883.8793558098341</v>
      </c>
      <c r="BH77" s="2">
        <f>求节点(节奏总纲!E$4:E$163,BA$4:BA$163,$AN77)</f>
        <v>21333.572482796353</v>
      </c>
      <c r="BI77" s="2">
        <f>求节点(节奏总纲!F$4:F$163,BB$4:BB$163,$AN77)</f>
        <v>66699.644510428087</v>
      </c>
      <c r="BJ77" s="2">
        <f>求节点(节奏总纲!G$4:G$163,BC$4:BC$163,$AN77)</f>
        <v>31425.034072896364</v>
      </c>
      <c r="BK77" s="2">
        <f>求节点(节奏总纲!H$4:H$163,BD$4:BD$163,$AN77)</f>
        <v>9786.8397574741466</v>
      </c>
      <c r="BL77" s="2">
        <f>BG77*其他调用!H78*其他调用!$M78</f>
        <v>334901.53313189576</v>
      </c>
      <c r="BM77" s="2">
        <f>BH77*其他调用!I78*其他调用!$M78</f>
        <v>968549.6693069489</v>
      </c>
      <c r="BN77" s="2">
        <f>BI77*其他调用!J78*其他调用!$M78</f>
        <v>252046.32165965941</v>
      </c>
      <c r="BO77" s="2">
        <f>BJ77*其他调用!K78*其他调用!$M78</f>
        <v>20501.906924990381</v>
      </c>
      <c r="BP77" s="2">
        <f>BK77*其他调用!L78*其他调用!$M78</f>
        <v>1785.3725410689394</v>
      </c>
      <c r="BQ77" s="2">
        <f t="shared" si="14"/>
        <v>1577784.8035645636</v>
      </c>
      <c r="BR77" s="2">
        <f>[1]服务器生态!$R76</f>
        <v>2.2414080756609688E-2</v>
      </c>
      <c r="BS77" s="2" t="e">
        <f>SUMPRODUCT((BG$4:BG77)*($BR$4:$BR77)*(其他调用!#REF!))</f>
        <v>#REF!</v>
      </c>
      <c r="BT77" s="2" t="e">
        <f>SUMPRODUCT((BH$4:BH77)*($BR$4:$BR77)*(其他调用!#REF!))</f>
        <v>#REF!</v>
      </c>
      <c r="BU77" s="2" t="e">
        <f>SUMPRODUCT((BI$4:BI77)*($BR$4:$BR77)*(其他调用!#REF!))</f>
        <v>#REF!</v>
      </c>
      <c r="BV77" s="2" t="e">
        <f>SUMPRODUCT((BJ$4:BJ77)*($BR$4:$BR77)*(其他调用!#REF!))</f>
        <v>#REF!</v>
      </c>
      <c r="BW77" s="2" t="e">
        <f>SUMPRODUCT((BK$4:BK77)*($BR$4:$BR77)*(其他调用!#REF!))</f>
        <v>#REF!</v>
      </c>
      <c r="BX77" s="2" t="e">
        <f>SUMPRODUCT((BG$4:BG77)*($BR$4:$BR77))*'[1]功能-战损相关'!$D$2-BS77</f>
        <v>#REF!</v>
      </c>
      <c r="BY77" s="2" t="e">
        <f>SUMPRODUCT((BH$4:BH77)*($BR$4:$BR77))*'[1]功能-战损相关'!$D$2-BT77</f>
        <v>#REF!</v>
      </c>
      <c r="BZ77" s="2" t="e">
        <f>SUMPRODUCT((BI$4:BI77)*($BR$4:$BR77))*'[1]功能-战损相关'!$D$2-BU77</f>
        <v>#REF!</v>
      </c>
      <c r="CA77" s="2" t="e">
        <f>SUMPRODUCT((BJ$4:BJ77)*($BR$4:$BR77))*'[1]功能-战损相关'!$D$2-BV77</f>
        <v>#REF!</v>
      </c>
      <c r="CB77" s="2" t="e">
        <f>SUMPRODUCT((BK$4:BK77)*($BR$4:$BR77))*'[1]功能-战损相关'!$D$2-BW77</f>
        <v>#REF!</v>
      </c>
      <c r="CD77" s="2">
        <v>74</v>
      </c>
      <c r="CE77" s="7">
        <v>1</v>
      </c>
      <c r="CF77" s="2" t="e">
        <f>求节点(节奏总纲!R$4:R$363,BS$4:BS$363,$CD77)*$CE77</f>
        <v>#VALUE!</v>
      </c>
      <c r="CG77" s="2" t="e">
        <f>求节点(节奏总纲!S$4:S$363,BT$4:BT$363,$CD77)*$CE77</f>
        <v>#VALUE!</v>
      </c>
      <c r="CH77" s="2" t="e">
        <f>求节点(节奏总纲!T$4:T$363,BU$4:BU$363,$CD77)*$CE77</f>
        <v>#VALUE!</v>
      </c>
      <c r="CI77" s="2" t="e">
        <f>求节点(节奏总纲!U$4:U$363,BV$4:BV$363,$CD77)*$CE77</f>
        <v>#VALUE!</v>
      </c>
      <c r="CJ77" s="2" t="e">
        <f>求节点(节奏总纲!V$4:V$363,BW$4:BW$363,$CD77)*$CE77</f>
        <v>#VALUE!</v>
      </c>
      <c r="CK77" s="2" t="e">
        <f>求节点(节奏总纲!R$4:R$363,BX$4:BX$363,$CD77)*$CE77</f>
        <v>#VALUE!</v>
      </c>
      <c r="CL77" s="2" t="e">
        <f>求节点(节奏总纲!S$4:S$363,BY$4:BY$363,$CD77)*$CE77</f>
        <v>#VALUE!</v>
      </c>
      <c r="CM77" s="2" t="e">
        <f>求节点(节奏总纲!T$4:T$363,BZ$4:BZ$363,$CD77)*$CE77</f>
        <v>#VALUE!</v>
      </c>
      <c r="CN77" s="2" t="e">
        <f>求节点(节奏总纲!U$4:U$363,CA$4:CA$363,$CD77)*$CE77</f>
        <v>#VALUE!</v>
      </c>
      <c r="CO77" s="2" t="e">
        <f>求节点(节奏总纲!V$4:V$363,CB$4:CB$363,$CD77)*$CE77</f>
        <v>#VALUE!</v>
      </c>
    </row>
    <row r="78" spans="27:93" x14ac:dyDescent="0.15">
      <c r="AA78" s="2">
        <v>75</v>
      </c>
      <c r="AB78" s="2">
        <f>攻城基础信息!X79*$E$12</f>
        <v>188120.8052051595</v>
      </c>
      <c r="AC78" s="2">
        <f>攻城基础信息!Y79*$E$12</f>
        <v>200221.28271582242</v>
      </c>
      <c r="AD78" s="2">
        <f>攻城基础信息!Z79*$E$12</f>
        <v>212565.30464242963</v>
      </c>
      <c r="AE78" s="2">
        <f>攻城基础信息!AA79*$E$12</f>
        <v>254011.3316399988</v>
      </c>
      <c r="AF78" s="2">
        <f>攻城基础信息!AB79*$E$12</f>
        <v>260753.25812519499</v>
      </c>
      <c r="AH78" s="2">
        <f>$E$4*AB78*攻城基础信息!AC79</f>
        <v>4389485.4547870522</v>
      </c>
      <c r="AI78" s="2">
        <f>$E$4*AC78*攻城基础信息!AD79</f>
        <v>4671829.9300358547</v>
      </c>
      <c r="AJ78" s="2">
        <f>$E$4*AD78*攻城基础信息!AE79</f>
        <v>4959857.1083233561</v>
      </c>
      <c r="AK78" s="2">
        <f>$E$4*AE78*攻城基础信息!AF79</f>
        <v>5926931.0715999687</v>
      </c>
      <c r="AL78" s="2">
        <f>$E$4*AF78*攻城基础信息!AG79</f>
        <v>6084242.6895878799</v>
      </c>
      <c r="AN78" s="2">
        <v>75</v>
      </c>
      <c r="AO78" s="2">
        <f>求节点(节奏总纲!D$4:D$163,AH$4:AH$163,$AN78)*其他调用!H79*其他调用!$M79</f>
        <v>135766955.30436173</v>
      </c>
      <c r="AP78" s="2">
        <f>求节点(节奏总纲!E$4:E$163,AI$4:AI$163,$AN78)*其他调用!I79*其他调用!$M79</f>
        <v>145488364.68120307</v>
      </c>
      <c r="AQ78" s="2">
        <f>求节点(节奏总纲!F$4:F$163,AJ$4:AJ$163,$AN78)*其他调用!J79*其他调用!$M79</f>
        <v>14959989.666590499</v>
      </c>
      <c r="AR78" s="2">
        <f>求节点(节奏总纲!G$4:G$163,AK$4:AK$163,$AN78)*其他调用!K79*其他调用!$M79</f>
        <v>3399228.4343915484</v>
      </c>
      <c r="AS78" s="2">
        <f>求节点(节奏总纲!H$4:H$163,AL$4:AL$163,$AN78)*其他调用!L79*其他调用!$M79</f>
        <v>1436274.4015846169</v>
      </c>
      <c r="AT78" s="2">
        <f t="shared" si="13"/>
        <v>301050812.48813152</v>
      </c>
      <c r="AY78" s="2">
        <v>75</v>
      </c>
      <c r="AZ78" s="2">
        <f>其他调用!R79*6*(其他调用!AH$2*$AZ$1*MIN(其他调用!$AJ79/其他调用!AH79,1)+$E$4*0%*攻城基础信息!AC79)</f>
        <v>7907.201264367819</v>
      </c>
      <c r="BA78" s="2">
        <f>其他调用!S79*6*(其他调用!AI$2*$AZ$1*MIN(其他调用!$AJ79/其他调用!AI79,1)+$E$4*0%*攻城基础信息!AD79)</f>
        <v>23905.276914987651</v>
      </c>
      <c r="BB78" s="2">
        <f>其他调用!T79*6*(其他调用!AJ$2*$AZ$1*MIN(其他调用!$AJ79/其他调用!AJ79,1)+$E$4*0%*攻城基础信息!AE79)</f>
        <v>72359.096299425481</v>
      </c>
      <c r="BC78" s="2">
        <f>其他调用!U79*6*(其他调用!AK$2*$AZ$1*MIN(其他调用!$AJ79/其他调用!AK79,1)+$E$4*0%*攻城基础信息!AF79)</f>
        <v>33029.091522073213</v>
      </c>
      <c r="BD78" s="2">
        <f>其他调用!V79*6*(其他调用!AL$2*$AZ$1*MIN(其他调用!$AJ79/其他调用!AL79,1)+$E$4*0%*攻城基础信息!AG79)</f>
        <v>9425.0852909222249</v>
      </c>
      <c r="BF78" s="2">
        <v>75</v>
      </c>
      <c r="BG78" s="2">
        <f>求节点(节奏总纲!D$4:D$163,AZ$4:AZ$163,$AN78)</f>
        <v>6898.9037216874049</v>
      </c>
      <c r="BH78" s="2">
        <f>求节点(节奏总纲!E$4:E$163,BA$4:BA$163,$AN78)</f>
        <v>21379.958811244567</v>
      </c>
      <c r="BI78" s="2">
        <f>求节点(节奏总纲!F$4:F$163,BB$4:BB$163,$AN78)</f>
        <v>66840.467651257117</v>
      </c>
      <c r="BJ78" s="2">
        <f>求节点(节奏总纲!G$4:G$163,BC$4:BC$163,$AN78)</f>
        <v>31514.80636041877</v>
      </c>
      <c r="BK78" s="2">
        <f>求节点(节奏总纲!H$4:H$163,BD$4:BD$163,$AN78)</f>
        <v>9800.1880043101373</v>
      </c>
      <c r="BL78" s="2">
        <f>BG78*其他调用!H79*其他调用!$M79</f>
        <v>335730.85819689592</v>
      </c>
      <c r="BM78" s="2">
        <f>BH78*其他调用!I79*其他调用!$M79</f>
        <v>974286.20459582889</v>
      </c>
      <c r="BN78" s="2">
        <f>BI78*其他调用!J79*其他调用!$M79</f>
        <v>253210.05624581283</v>
      </c>
      <c r="BO78" s="2">
        <f>BJ78*其他调用!K79*其他调用!$M79</f>
        <v>20651.420987857764</v>
      </c>
      <c r="BP78" s="2">
        <f>BK78*其他调用!L79*其他调用!$M79</f>
        <v>1799.7596398063413</v>
      </c>
      <c r="BQ78" s="2">
        <f t="shared" si="14"/>
        <v>1585678.2996662019</v>
      </c>
      <c r="BR78" s="2">
        <f>[1]服务器生态!$R77</f>
        <v>2.2716973739807116E-2</v>
      </c>
      <c r="BS78" s="2" t="e">
        <f>SUMPRODUCT((BG$4:BG78)*($BR$4:$BR78)*(其他调用!#REF!))</f>
        <v>#REF!</v>
      </c>
      <c r="BT78" s="2" t="e">
        <f>SUMPRODUCT((BH$4:BH78)*($BR$4:$BR78)*(其他调用!#REF!))</f>
        <v>#REF!</v>
      </c>
      <c r="BU78" s="2" t="e">
        <f>SUMPRODUCT((BI$4:BI78)*($BR$4:$BR78)*(其他调用!#REF!))</f>
        <v>#REF!</v>
      </c>
      <c r="BV78" s="2" t="e">
        <f>SUMPRODUCT((BJ$4:BJ78)*($BR$4:$BR78)*(其他调用!#REF!))</f>
        <v>#REF!</v>
      </c>
      <c r="BW78" s="2" t="e">
        <f>SUMPRODUCT((BK$4:BK78)*($BR$4:$BR78)*(其他调用!#REF!))</f>
        <v>#REF!</v>
      </c>
      <c r="BX78" s="2" t="e">
        <f>SUMPRODUCT((BG$4:BG78)*($BR$4:$BR78))*'[1]功能-战损相关'!$D$2-BS78</f>
        <v>#REF!</v>
      </c>
      <c r="BY78" s="2" t="e">
        <f>SUMPRODUCT((BH$4:BH78)*($BR$4:$BR78))*'[1]功能-战损相关'!$D$2-BT78</f>
        <v>#REF!</v>
      </c>
      <c r="BZ78" s="2" t="e">
        <f>SUMPRODUCT((BI$4:BI78)*($BR$4:$BR78))*'[1]功能-战损相关'!$D$2-BU78</f>
        <v>#REF!</v>
      </c>
      <c r="CA78" s="2" t="e">
        <f>SUMPRODUCT((BJ$4:BJ78)*($BR$4:$BR78))*'[1]功能-战损相关'!$D$2-BV78</f>
        <v>#REF!</v>
      </c>
      <c r="CB78" s="2" t="e">
        <f>SUMPRODUCT((BK$4:BK78)*($BR$4:$BR78))*'[1]功能-战损相关'!$D$2-BW78</f>
        <v>#REF!</v>
      </c>
      <c r="CD78" s="2">
        <v>75</v>
      </c>
      <c r="CE78" s="7">
        <v>1</v>
      </c>
      <c r="CF78" s="2" t="e">
        <f>求节点(节奏总纲!R$4:R$363,BS$4:BS$363,$CD78)*$CE78</f>
        <v>#VALUE!</v>
      </c>
      <c r="CG78" s="2" t="e">
        <f>求节点(节奏总纲!S$4:S$363,BT$4:BT$363,$CD78)*$CE78</f>
        <v>#VALUE!</v>
      </c>
      <c r="CH78" s="2" t="e">
        <f>求节点(节奏总纲!T$4:T$363,BU$4:BU$363,$CD78)*$CE78</f>
        <v>#VALUE!</v>
      </c>
      <c r="CI78" s="2" t="e">
        <f>求节点(节奏总纲!U$4:U$363,BV$4:BV$363,$CD78)*$CE78</f>
        <v>#VALUE!</v>
      </c>
      <c r="CJ78" s="2" t="e">
        <f>求节点(节奏总纲!V$4:V$363,BW$4:BW$363,$CD78)*$CE78</f>
        <v>#VALUE!</v>
      </c>
      <c r="CK78" s="2" t="e">
        <f>求节点(节奏总纲!R$4:R$363,BX$4:BX$363,$CD78)*$CE78</f>
        <v>#VALUE!</v>
      </c>
      <c r="CL78" s="2" t="e">
        <f>求节点(节奏总纲!S$4:S$363,BY$4:BY$363,$CD78)*$CE78</f>
        <v>#VALUE!</v>
      </c>
      <c r="CM78" s="2" t="e">
        <f>求节点(节奏总纲!T$4:T$363,BZ$4:BZ$363,$CD78)*$CE78</f>
        <v>#VALUE!</v>
      </c>
      <c r="CN78" s="2" t="e">
        <f>求节点(节奏总纲!U$4:U$363,CA$4:CA$363,$CD78)*$CE78</f>
        <v>#VALUE!</v>
      </c>
      <c r="CO78" s="2" t="e">
        <f>求节点(节奏总纲!V$4:V$363,CB$4:CB$363,$CD78)*$CE78</f>
        <v>#VALUE!</v>
      </c>
    </row>
    <row r="79" spans="27:93" x14ac:dyDescent="0.15">
      <c r="AA79" s="2">
        <v>76</v>
      </c>
      <c r="AB79" s="2">
        <f>攻城基础信息!X80*$E$12</f>
        <v>191938.98791316774</v>
      </c>
      <c r="AC79" s="2">
        <f>攻城基础信息!Y80*$E$12</f>
        <v>204300.37043271007</v>
      </c>
      <c r="AD79" s="2">
        <f>攻城基础信息!Z80*$E$12</f>
        <v>219140.26311999836</v>
      </c>
      <c r="AE79" s="2">
        <f>攻城基础信息!AA80*$E$12</f>
        <v>262085.66102781214</v>
      </c>
      <c r="AF79" s="2">
        <f>攻城基础信息!AB80*$E$12</f>
        <v>270985.06021116977</v>
      </c>
      <c r="AH79" s="2">
        <f>$E$4*AB79*攻城基础信息!AC80</f>
        <v>4523362.148486984</v>
      </c>
      <c r="AI79" s="2">
        <f>$E$4*AC79*攻城基础信息!AD80</f>
        <v>4814678.7298641987</v>
      </c>
      <c r="AJ79" s="2">
        <f>$E$4*AD79*攻城基础信息!AE80</f>
        <v>5164405.534194625</v>
      </c>
      <c r="AK79" s="2">
        <f>$E$4*AE79*攻城基础信息!AF80</f>
        <v>6176485.4115554364</v>
      </c>
      <c r="AL79" s="2">
        <f>$E$4*AF79*攻城基础信息!AG80</f>
        <v>6386214.5856432309</v>
      </c>
      <c r="AN79" s="2">
        <v>76</v>
      </c>
      <c r="AO79" s="2">
        <f>求节点(节奏总纲!D$4:D$163,AH$4:AH$163,$AN79)*其他调用!H80*其他调用!$M80</f>
        <v>136814110.46596292</v>
      </c>
      <c r="AP79" s="2">
        <f>求节点(节奏总纲!E$4:E$163,AI$4:AI$163,$AN79)*其他调用!I80*其他调用!$M80</f>
        <v>147096977.01302075</v>
      </c>
      <c r="AQ79" s="2">
        <f>求节点(节奏总纲!F$4:F$163,AJ$4:AJ$163,$AN79)*其他调用!J80*其他调用!$M80</f>
        <v>15096859.283692934</v>
      </c>
      <c r="AR79" s="2">
        <f>求节点(节奏总纲!G$4:G$163,AK$4:AK$163,$AN79)*其他调用!K80*其他调用!$M80</f>
        <v>3437414.7851192574</v>
      </c>
      <c r="AS79" s="2">
        <f>求节点(节奏总纲!H$4:H$163,AL$4:AL$163,$AN79)*其他调用!L80*其他调用!$M80</f>
        <v>1455224.3715196426</v>
      </c>
      <c r="AT79" s="2">
        <f t="shared" si="13"/>
        <v>303900585.91931546</v>
      </c>
      <c r="AY79" s="2">
        <v>76</v>
      </c>
      <c r="AZ79" s="2">
        <f>其他调用!R80*6*(其他调用!AH$2*$AZ$1*MIN(其他调用!$AJ80/其他调用!AH80,1)+$E$4*0%*攻城基础信息!AC80)</f>
        <v>7985.4309153793147</v>
      </c>
      <c r="BA79" s="2">
        <f>其他调用!S80*6*(其他调用!AI$2*$AZ$1*MIN(其他调用!$AJ80/其他调用!AI80,1)+$E$4*0%*攻城基础信息!AD80)</f>
        <v>24152.568324875534</v>
      </c>
      <c r="BB79" s="2">
        <f>其他调用!T80*6*(其他调用!AJ$2*$AZ$1*MIN(其他调用!$AJ80/其他调用!AJ80,1)+$E$4*0%*攻城基础信息!AE80)</f>
        <v>73067.712661848011</v>
      </c>
      <c r="BC79" s="2">
        <f>其他调用!U80*6*(其他调用!AK$2*$AZ$1*MIN(其他调用!$AJ80/其他调用!AK80,1)+$E$4*0%*攻城基础信息!AF80)</f>
        <v>33484.976158374317</v>
      </c>
      <c r="BD79" s="2">
        <f>其他调用!V80*6*(其他调用!AL$2*$AZ$1*MIN(其他调用!$AJ80/其他调用!AL80,1)+$E$4*0%*攻城基础信息!AG80)</f>
        <v>9501.7569448843806</v>
      </c>
      <c r="BF79" s="2">
        <v>76</v>
      </c>
      <c r="BG79" s="2">
        <f>求节点(节奏总纲!D$4:D$163,AZ$4:AZ$163,$AN79)</f>
        <v>6913.9280875649765</v>
      </c>
      <c r="BH79" s="2">
        <f>求节点(节奏总纲!E$4:E$163,BA$4:BA$163,$AN79)</f>
        <v>21426.345139692781</v>
      </c>
      <c r="BI79" s="2">
        <f>求节点(节奏总纲!F$4:F$163,BB$4:BB$163,$AN79)</f>
        <v>66981.290792086133</v>
      </c>
      <c r="BJ79" s="2">
        <f>求节点(节奏总纲!G$4:G$163,BC$4:BC$163,$AN79)</f>
        <v>31602.12739164316</v>
      </c>
      <c r="BK79" s="2">
        <f>求节点(节奏总纲!H$4:H$163,BD$4:BD$163,$AN79)</f>
        <v>9813.5362511461262</v>
      </c>
      <c r="BL79" s="2">
        <f>BG79*其他调用!H80*其他调用!$M80</f>
        <v>336558.31230721012</v>
      </c>
      <c r="BM79" s="2">
        <f>BH79*其他调用!I80*其他调用!$M80</f>
        <v>980045.25050229428</v>
      </c>
      <c r="BN79" s="2">
        <f>BI79*其他调用!J80*其他调用!$M80</f>
        <v>254376.9556297177</v>
      </c>
      <c r="BO79" s="2">
        <f>BJ79*其他调用!K80*其他调用!$M80</f>
        <v>20800.039325256876</v>
      </c>
      <c r="BP79" s="2">
        <f>BK79*其他调用!L80*其他调用!$M80</f>
        <v>1814.2128102563661</v>
      </c>
      <c r="BQ79" s="2">
        <f t="shared" si="14"/>
        <v>1593594.7705747352</v>
      </c>
      <c r="BR79" s="2">
        <f>[1]服务器生态!$R78</f>
        <v>2.3019866723004545E-2</v>
      </c>
      <c r="BS79" s="2" t="e">
        <f>SUMPRODUCT((BG$4:BG79)*($BR$4:$BR79)*(其他调用!#REF!))</f>
        <v>#REF!</v>
      </c>
      <c r="BT79" s="2" t="e">
        <f>SUMPRODUCT((BH$4:BH79)*($BR$4:$BR79)*(其他调用!#REF!))</f>
        <v>#REF!</v>
      </c>
      <c r="BU79" s="2" t="e">
        <f>SUMPRODUCT((BI$4:BI79)*($BR$4:$BR79)*(其他调用!#REF!))</f>
        <v>#REF!</v>
      </c>
      <c r="BV79" s="2" t="e">
        <f>SUMPRODUCT((BJ$4:BJ79)*($BR$4:$BR79)*(其他调用!#REF!))</f>
        <v>#REF!</v>
      </c>
      <c r="BW79" s="2" t="e">
        <f>SUMPRODUCT((BK$4:BK79)*($BR$4:$BR79)*(其他调用!#REF!))</f>
        <v>#REF!</v>
      </c>
      <c r="BX79" s="2" t="e">
        <f>SUMPRODUCT((BG$4:BG79)*($BR$4:$BR79))*'[1]功能-战损相关'!$D$2-BS79</f>
        <v>#REF!</v>
      </c>
      <c r="BY79" s="2" t="e">
        <f>SUMPRODUCT((BH$4:BH79)*($BR$4:$BR79))*'[1]功能-战损相关'!$D$2-BT79</f>
        <v>#REF!</v>
      </c>
      <c r="BZ79" s="2" t="e">
        <f>SUMPRODUCT((BI$4:BI79)*($BR$4:$BR79))*'[1]功能-战损相关'!$D$2-BU79</f>
        <v>#REF!</v>
      </c>
      <c r="CA79" s="2" t="e">
        <f>SUMPRODUCT((BJ$4:BJ79)*($BR$4:$BR79))*'[1]功能-战损相关'!$D$2-BV79</f>
        <v>#REF!</v>
      </c>
      <c r="CB79" s="2" t="e">
        <f>SUMPRODUCT((BK$4:BK79)*($BR$4:$BR79))*'[1]功能-战损相关'!$D$2-BW79</f>
        <v>#REF!</v>
      </c>
      <c r="CD79" s="2">
        <v>76</v>
      </c>
      <c r="CE79" s="7">
        <v>1</v>
      </c>
      <c r="CF79" s="2" t="e">
        <f>求节点(节奏总纲!R$4:R$363,BS$4:BS$363,$CD79)*$CE79</f>
        <v>#VALUE!</v>
      </c>
      <c r="CG79" s="2" t="e">
        <f>求节点(节奏总纲!S$4:S$363,BT$4:BT$363,$CD79)*$CE79</f>
        <v>#VALUE!</v>
      </c>
      <c r="CH79" s="2" t="e">
        <f>求节点(节奏总纲!T$4:T$363,BU$4:BU$363,$CD79)*$CE79</f>
        <v>#VALUE!</v>
      </c>
      <c r="CI79" s="2" t="e">
        <f>求节点(节奏总纲!U$4:U$363,BV$4:BV$363,$CD79)*$CE79</f>
        <v>#VALUE!</v>
      </c>
      <c r="CJ79" s="2" t="e">
        <f>求节点(节奏总纲!V$4:V$363,BW$4:BW$363,$CD79)*$CE79</f>
        <v>#VALUE!</v>
      </c>
      <c r="CK79" s="2" t="e">
        <f>求节点(节奏总纲!R$4:R$363,BX$4:BX$363,$CD79)*$CE79</f>
        <v>#VALUE!</v>
      </c>
      <c r="CL79" s="2" t="e">
        <f>求节点(节奏总纲!S$4:S$363,BY$4:BY$363,$CD79)*$CE79</f>
        <v>#VALUE!</v>
      </c>
      <c r="CM79" s="2" t="e">
        <f>求节点(节奏总纲!T$4:T$363,BZ$4:BZ$363,$CD79)*$CE79</f>
        <v>#VALUE!</v>
      </c>
      <c r="CN79" s="2" t="e">
        <f>求节点(节奏总纲!U$4:U$363,CA$4:CA$363,$CD79)*$CE79</f>
        <v>#VALUE!</v>
      </c>
      <c r="CO79" s="2" t="e">
        <f>求节点(节奏总纲!V$4:V$363,CB$4:CB$363,$CD79)*$CE79</f>
        <v>#VALUE!</v>
      </c>
    </row>
    <row r="80" spans="27:93" x14ac:dyDescent="0.15">
      <c r="AA80" s="2">
        <v>77</v>
      </c>
      <c r="AB80" s="2">
        <f>攻城基础信息!X81*$E$12</f>
        <v>195794.41579005829</v>
      </c>
      <c r="AC80" s="2">
        <f>攻城基础信息!Y81*$E$12</f>
        <v>208428.98899674803</v>
      </c>
      <c r="AD80" s="2">
        <f>攻城基础信息!Z81*$E$12</f>
        <v>225840.42596522643</v>
      </c>
      <c r="AE80" s="2">
        <f>攻城基础信息!AA81*$E$12</f>
        <v>270328.22888198023</v>
      </c>
      <c r="AF80" s="2">
        <f>攻城基础信息!AB81*$E$12</f>
        <v>281426.36903337023</v>
      </c>
      <c r="AH80" s="2">
        <f>$E$4*AB80*攻城基础信息!AC81</f>
        <v>4659907.0958033856</v>
      </c>
      <c r="AI80" s="2">
        <f>$E$4*AC80*攻城基础信息!AD81</f>
        <v>4960609.9381226003</v>
      </c>
      <c r="AJ80" s="2">
        <f>$E$4*AD80*攻城基础信息!AE81</f>
        <v>5375002.1379723856</v>
      </c>
      <c r="AK80" s="2">
        <f>$E$4*AE80*攻城基础信息!AF81</f>
        <v>6433811.8473911257</v>
      </c>
      <c r="AL80" s="2">
        <f>$E$4*AF80*攻城基础信息!AG81</f>
        <v>6697947.5829942077</v>
      </c>
      <c r="AN80" s="2">
        <v>77</v>
      </c>
      <c r="AO80" s="2">
        <f>求节点(节奏总纲!D$4:D$163,AH$4:AH$163,$AN80)*其他调用!H81*其他调用!$M81</f>
        <v>137860901.00063327</v>
      </c>
      <c r="AP80" s="2">
        <f>求节点(节奏总纲!E$4:E$163,AI$4:AI$163,$AN80)*其他调用!I81*其他调用!$M81</f>
        <v>148714536.61515108</v>
      </c>
      <c r="AQ80" s="2">
        <f>求节点(节奏总纲!F$4:F$163,AJ$4:AJ$163,$AN80)*其他调用!J81*其他调用!$M81</f>
        <v>15234254.630247625</v>
      </c>
      <c r="AR80" s="2">
        <f>求节点(节奏总纲!G$4:G$163,AK$4:AK$163,$AN80)*其他调用!K81*其他调用!$M81</f>
        <v>3481424.642492353</v>
      </c>
      <c r="AS80" s="2">
        <f>求节点(节奏总纲!H$4:H$163,AL$4:AL$163,$AN80)*其他调用!L81*其他调用!$M81</f>
        <v>1474325.5699773401</v>
      </c>
      <c r="AT80" s="2">
        <f t="shared" si="13"/>
        <v>306765442.4585017</v>
      </c>
      <c r="AY80" s="2">
        <v>77</v>
      </c>
      <c r="AZ80" s="2">
        <f>其他调用!R81*6*(其他调用!AH$2*$AZ$1*MIN(其他调用!$AJ81/其他调用!AH81,1)+$E$4*0%*攻城基础信息!AC81)</f>
        <v>8067.4354829584918</v>
      </c>
      <c r="BA80" s="2">
        <f>其他调用!S81*6*(其他调用!AI$2*$AZ$1*MIN(其他调用!$AJ81/其他调用!AI81,1)+$E$4*0%*攻城基础信息!AD81)</f>
        <v>24388.828901696001</v>
      </c>
      <c r="BB80" s="2">
        <f>其他调用!T81*6*(其他调用!AJ$2*$AZ$1*MIN(其他调用!$AJ81/其他调用!AJ81,1)+$E$4*0%*攻城基础信息!AE81)</f>
        <v>73815.55486213314</v>
      </c>
      <c r="BC80" s="2">
        <f>其他调用!U81*6*(其他调用!AK$2*$AZ$1*MIN(其他调用!$AJ81/其他调用!AK81,1)+$E$4*0%*攻城基础信息!AF81)</f>
        <v>33858.489676625926</v>
      </c>
      <c r="BD80" s="2">
        <f>其他调用!V81*6*(其他调用!AL$2*$AZ$1*MIN(其他调用!$AJ81/其他调用!AL81,1)+$E$4*0%*攻城基础信息!AG81)</f>
        <v>9570.380354316223</v>
      </c>
      <c r="BF80" s="2">
        <v>77</v>
      </c>
      <c r="BG80" s="2">
        <f>求节点(节奏总纲!D$4:D$163,AZ$4:AZ$163,$AN80)</f>
        <v>6928.9524534425482</v>
      </c>
      <c r="BH80" s="2">
        <f>求节点(节奏总纲!E$4:E$163,BA$4:BA$163,$AN80)</f>
        <v>21472.731468140999</v>
      </c>
      <c r="BI80" s="2">
        <f>求节点(节奏总纲!F$4:F$163,BB$4:BB$163,$AN80)</f>
        <v>67122.113932915163</v>
      </c>
      <c r="BJ80" s="2">
        <f>求节点(节奏总纲!G$4:G$163,BC$4:BC$163,$AN80)</f>
        <v>31685.966123820956</v>
      </c>
      <c r="BK80" s="2">
        <f>求节点(节奏总纲!H$4:H$163,BD$4:BD$163,$AN80)</f>
        <v>9826.884497982117</v>
      </c>
      <c r="BL80" s="2">
        <f>BG80*其他调用!H81*其他调用!$M81</f>
        <v>337383.88047205587</v>
      </c>
      <c r="BM80" s="2">
        <f>BH80*其他调用!I81*其他调用!$M81</f>
        <v>985826.85090924508</v>
      </c>
      <c r="BN80" s="2">
        <f>BI80*其他调用!J81*其他调用!$M81</f>
        <v>255547.02298688248</v>
      </c>
      <c r="BO80" s="2">
        <f>BJ80*其他调用!K81*其他调用!$M81</f>
        <v>20947.060717838787</v>
      </c>
      <c r="BP80" s="2">
        <f>BK80*其他调用!L81*其他调用!$M81</f>
        <v>1828.7321891725942</v>
      </c>
      <c r="BQ80" s="2">
        <f t="shared" si="14"/>
        <v>1601533.5472751947</v>
      </c>
      <c r="BR80" s="2">
        <f>[1]服务器生态!$R79</f>
        <v>1.8209073441072077</v>
      </c>
      <c r="BS80" s="2" t="e">
        <f>SUMPRODUCT((BG$4:BG80)*($BR$4:$BR80)*(其他调用!#REF!))</f>
        <v>#REF!</v>
      </c>
      <c r="BT80" s="2" t="e">
        <f>SUMPRODUCT((BH$4:BH80)*($BR$4:$BR80)*(其他调用!#REF!))</f>
        <v>#REF!</v>
      </c>
      <c r="BU80" s="2" t="e">
        <f>SUMPRODUCT((BI$4:BI80)*($BR$4:$BR80)*(其他调用!#REF!))</f>
        <v>#REF!</v>
      </c>
      <c r="BV80" s="2" t="e">
        <f>SUMPRODUCT((BJ$4:BJ80)*($BR$4:$BR80)*(其他调用!#REF!))</f>
        <v>#REF!</v>
      </c>
      <c r="BW80" s="2" t="e">
        <f>SUMPRODUCT((BK$4:BK80)*($BR$4:$BR80)*(其他调用!#REF!))</f>
        <v>#REF!</v>
      </c>
      <c r="BX80" s="2" t="e">
        <f>SUMPRODUCT((BG$4:BG80)*($BR$4:$BR80))*'[1]功能-战损相关'!$D$2-BS80</f>
        <v>#REF!</v>
      </c>
      <c r="BY80" s="2" t="e">
        <f>SUMPRODUCT((BH$4:BH80)*($BR$4:$BR80))*'[1]功能-战损相关'!$D$2-BT80</f>
        <v>#REF!</v>
      </c>
      <c r="BZ80" s="2" t="e">
        <f>SUMPRODUCT((BI$4:BI80)*($BR$4:$BR80))*'[1]功能-战损相关'!$D$2-BU80</f>
        <v>#REF!</v>
      </c>
      <c r="CA80" s="2" t="e">
        <f>SUMPRODUCT((BJ$4:BJ80)*($BR$4:$BR80))*'[1]功能-战损相关'!$D$2-BV80</f>
        <v>#REF!</v>
      </c>
      <c r="CB80" s="2" t="e">
        <f>SUMPRODUCT((BK$4:BK80)*($BR$4:$BR80))*'[1]功能-战损相关'!$D$2-BW80</f>
        <v>#REF!</v>
      </c>
      <c r="CD80" s="2">
        <v>77</v>
      </c>
      <c r="CE80" s="7">
        <v>1</v>
      </c>
      <c r="CF80" s="2" t="e">
        <f>求节点(节奏总纲!R$4:R$363,BS$4:BS$363,$CD80)*$CE80</f>
        <v>#VALUE!</v>
      </c>
      <c r="CG80" s="2" t="e">
        <f>求节点(节奏总纲!S$4:S$363,BT$4:BT$363,$CD80)*$CE80</f>
        <v>#VALUE!</v>
      </c>
      <c r="CH80" s="2" t="e">
        <f>求节点(节奏总纲!T$4:T$363,BU$4:BU$363,$CD80)*$CE80</f>
        <v>#VALUE!</v>
      </c>
      <c r="CI80" s="2" t="e">
        <f>求节点(节奏总纲!U$4:U$363,BV$4:BV$363,$CD80)*$CE80</f>
        <v>#VALUE!</v>
      </c>
      <c r="CJ80" s="2" t="e">
        <f>求节点(节奏总纲!V$4:V$363,BW$4:BW$363,$CD80)*$CE80</f>
        <v>#VALUE!</v>
      </c>
      <c r="CK80" s="2" t="e">
        <f>求节点(节奏总纲!R$4:R$363,BX$4:BX$363,$CD80)*$CE80</f>
        <v>#VALUE!</v>
      </c>
      <c r="CL80" s="2" t="e">
        <f>求节点(节奏总纲!S$4:S$363,BY$4:BY$363,$CD80)*$CE80</f>
        <v>#VALUE!</v>
      </c>
      <c r="CM80" s="2" t="e">
        <f>求节点(节奏总纲!T$4:T$363,BZ$4:BZ$363,$CD80)*$CE80</f>
        <v>#VALUE!</v>
      </c>
      <c r="CN80" s="2" t="e">
        <f>求节点(节奏总纲!U$4:U$363,CA$4:CA$363,$CD80)*$CE80</f>
        <v>#VALUE!</v>
      </c>
      <c r="CO80" s="2" t="e">
        <f>求节点(节奏总纲!V$4:V$363,CB$4:CB$363,$CD80)*$CE80</f>
        <v>#VALUE!</v>
      </c>
    </row>
    <row r="81" spans="27:93" x14ac:dyDescent="0.15">
      <c r="AA81" s="2">
        <v>78</v>
      </c>
      <c r="AB81" s="2">
        <f>攻城基础信息!X82*$E$12</f>
        <v>199788.83937226192</v>
      </c>
      <c r="AC81" s="2">
        <f>攻城基础信息!Y82*$E$12</f>
        <v>213551.09926355304</v>
      </c>
      <c r="AD81" s="2">
        <f>攻城基础信息!Z82*$E$12</f>
        <v>232998.51933327955</v>
      </c>
      <c r="AE81" s="2">
        <f>攻城基础信息!AA82*$E$12</f>
        <v>279826.68469891301</v>
      </c>
      <c r="AF81" s="2">
        <f>攻城基础信息!AB82*$E$12</f>
        <v>292384.59364536515</v>
      </c>
      <c r="AH81" s="2">
        <f>$E$4*AB81*攻城基础信息!AC82</f>
        <v>4801591.7729133591</v>
      </c>
      <c r="AI81" s="2">
        <f>$E$4*AC81*攻城基础信息!AD82</f>
        <v>5132344.7523007216</v>
      </c>
      <c r="AJ81" s="2">
        <f>$E$4*AD81*攻城基础信息!AE82</f>
        <v>5599731.0813098159</v>
      </c>
      <c r="AK81" s="2">
        <f>$E$4*AE81*攻城基础信息!AF82</f>
        <v>6725167.9889305392</v>
      </c>
      <c r="AL81" s="2">
        <f>$E$4*AF81*攻城基础信息!AG82</f>
        <v>7026976.4006102718</v>
      </c>
      <c r="AN81" s="2">
        <v>78</v>
      </c>
      <c r="AO81" s="2">
        <f>求节点(节奏总纲!D$4:D$163,AH$4:AH$163,$AN81)*其他调用!H82*其他调用!$M82</f>
        <v>138898964.40219116</v>
      </c>
      <c r="AP81" s="2">
        <f>求节点(节奏总纲!E$4:E$163,AI$4:AI$163,$AN81)*其他调用!I82*其他调用!$M82</f>
        <v>150286046.52205274</v>
      </c>
      <c r="AQ81" s="2">
        <f>求节点(节奏总纲!F$4:F$163,AJ$4:AJ$163,$AN81)*其他调用!J82*其他调用!$M82</f>
        <v>15372176.297198782</v>
      </c>
      <c r="AR81" s="2">
        <f>求节点(节奏总纲!G$4:G$163,AK$4:AK$163,$AN81)*其他调用!K82*其他调用!$M82</f>
        <v>3525721.1983107002</v>
      </c>
      <c r="AS81" s="2">
        <f>求节点(节奏总纲!H$4:H$163,AL$4:AL$163,$AN81)*其他调用!L82*其他调用!$M82</f>
        <v>1493452.6421529243</v>
      </c>
      <c r="AT81" s="2">
        <f t="shared" si="13"/>
        <v>309576361.06190628</v>
      </c>
      <c r="AY81" s="2">
        <v>78</v>
      </c>
      <c r="AZ81" s="2">
        <f>其他调用!R82*6*(其他调用!AH$2*$AZ$1*MIN(其他调用!$AJ82/其他调用!AH82,1)+$E$4*0%*攻城基础信息!AC82)</f>
        <v>8146.2599957516068</v>
      </c>
      <c r="BA81" s="2">
        <f>其他调用!S82*6*(其他调用!AI$2*$AZ$1*MIN(其他调用!$AJ82/其他调用!AI82,1)+$E$4*0%*攻城基础信息!AD82)</f>
        <v>24634.980819987275</v>
      </c>
      <c r="BB81" s="2">
        <f>其他调用!T82*6*(其他调用!AJ$2*$AZ$1*MIN(其他调用!$AJ82/其他调用!AJ82,1)+$E$4*0%*攻城基础信息!AE82)</f>
        <v>74529.578934141115</v>
      </c>
      <c r="BC81" s="2">
        <f>其他调用!U82*6*(其他调用!AK$2*$AZ$1*MIN(其他调用!$AJ82/其他调用!AK82,1)+$E$4*0%*攻城基础信息!AF82)</f>
        <v>34230.489849348029</v>
      </c>
      <c r="BD81" s="2">
        <f>其他调用!V82*6*(其他调用!AL$2*$AZ$1*MIN(其他调用!$AJ82/其他调用!AL82,1)+$E$4*0%*攻城基础信息!AG82)</f>
        <v>9640.5598407482648</v>
      </c>
      <c r="BF81" s="2">
        <v>78</v>
      </c>
      <c r="BG81" s="2">
        <f>求节点(节奏总纲!D$4:D$163,AZ$4:AZ$163,$AN81)</f>
        <v>6943.8362149658205</v>
      </c>
      <c r="BH81" s="2">
        <f>求节点(节奏总纲!E$4:E$163,BA$4:BA$163,$AN81)</f>
        <v>21517.679767428177</v>
      </c>
      <c r="BI81" s="2">
        <f>求节点(节奏总纲!F$4:F$163,BB$4:BB$163,$AN81)</f>
        <v>67262.937073744193</v>
      </c>
      <c r="BJ81" s="2">
        <f>求节点(节奏总纲!G$4:G$163,BC$4:BC$163,$AN81)</f>
        <v>31769.804855998751</v>
      </c>
      <c r="BK81" s="2">
        <f>求节点(节奏总纲!H$4:H$163,BD$4:BD$163,$AN81)</f>
        <v>9840.1030942901998</v>
      </c>
      <c r="BL81" s="2">
        <f>BG81*其他调用!H82*其他调用!$M82</f>
        <v>338200.6995421531</v>
      </c>
      <c r="BM81" s="2">
        <f>BH81*其他调用!I82*其他调用!$M82</f>
        <v>991564.7833042799</v>
      </c>
      <c r="BN81" s="2">
        <f>BI81*其他调用!J82*其他调用!$M82</f>
        <v>256720.26149281568</v>
      </c>
      <c r="BO81" s="2">
        <f>BJ81*其他调用!K82*其他调用!$M82</f>
        <v>21094.768678408025</v>
      </c>
      <c r="BP81" s="2">
        <f>BK81*其他调用!L82*其他调用!$M82</f>
        <v>1843.2936265720252</v>
      </c>
      <c r="BQ81" s="2">
        <f t="shared" si="14"/>
        <v>1609423.8066442288</v>
      </c>
      <c r="BR81" s="2">
        <f>[1]服务器生态!$R80</f>
        <v>1.572548153140173</v>
      </c>
      <c r="BS81" s="2" t="e">
        <f>SUMPRODUCT((BG$4:BG81)*($BR$4:$BR81)*(其他调用!#REF!))</f>
        <v>#REF!</v>
      </c>
      <c r="BT81" s="2" t="e">
        <f>SUMPRODUCT((BH$4:BH81)*($BR$4:$BR81)*(其他调用!#REF!))</f>
        <v>#REF!</v>
      </c>
      <c r="BU81" s="2" t="e">
        <f>SUMPRODUCT((BI$4:BI81)*($BR$4:$BR81)*(其他调用!#REF!))</f>
        <v>#REF!</v>
      </c>
      <c r="BV81" s="2" t="e">
        <f>SUMPRODUCT((BJ$4:BJ81)*($BR$4:$BR81)*(其他调用!#REF!))</f>
        <v>#REF!</v>
      </c>
      <c r="BW81" s="2" t="e">
        <f>SUMPRODUCT((BK$4:BK81)*($BR$4:$BR81)*(其他调用!#REF!))</f>
        <v>#REF!</v>
      </c>
      <c r="BX81" s="2" t="e">
        <f>SUMPRODUCT((BG$4:BG81)*($BR$4:$BR81))*'[1]功能-战损相关'!$D$2-BS81</f>
        <v>#REF!</v>
      </c>
      <c r="BY81" s="2" t="e">
        <f>SUMPRODUCT((BH$4:BH81)*($BR$4:$BR81))*'[1]功能-战损相关'!$D$2-BT81</f>
        <v>#REF!</v>
      </c>
      <c r="BZ81" s="2" t="e">
        <f>SUMPRODUCT((BI$4:BI81)*($BR$4:$BR81))*'[1]功能-战损相关'!$D$2-BU81</f>
        <v>#REF!</v>
      </c>
      <c r="CA81" s="2" t="e">
        <f>SUMPRODUCT((BJ$4:BJ81)*($BR$4:$BR81))*'[1]功能-战损相关'!$D$2-BV81</f>
        <v>#REF!</v>
      </c>
      <c r="CB81" s="2" t="e">
        <f>SUMPRODUCT((BK$4:BK81)*($BR$4:$BR81))*'[1]功能-战损相关'!$D$2-BW81</f>
        <v>#REF!</v>
      </c>
      <c r="CD81" s="2">
        <v>78</v>
      </c>
      <c r="CE81" s="7">
        <v>1</v>
      </c>
      <c r="CF81" s="2" t="e">
        <f>求节点(节奏总纲!R$4:R$363,BS$4:BS$363,$CD81)*$CE81</f>
        <v>#VALUE!</v>
      </c>
      <c r="CG81" s="2" t="e">
        <f>求节点(节奏总纲!S$4:S$363,BT$4:BT$363,$CD81)*$CE81</f>
        <v>#VALUE!</v>
      </c>
      <c r="CH81" s="2" t="e">
        <f>求节点(节奏总纲!T$4:T$363,BU$4:BU$363,$CD81)*$CE81</f>
        <v>#VALUE!</v>
      </c>
      <c r="CI81" s="2" t="e">
        <f>求节点(节奏总纲!U$4:U$363,BV$4:BV$363,$CD81)*$CE81</f>
        <v>#VALUE!</v>
      </c>
      <c r="CJ81" s="2" t="e">
        <f>求节点(节奏总纲!V$4:V$363,BW$4:BW$363,$CD81)*$CE81</f>
        <v>#VALUE!</v>
      </c>
      <c r="CK81" s="2" t="e">
        <f>求节点(节奏总纲!R$4:R$363,BX$4:BX$363,$CD81)*$CE81</f>
        <v>#VALUE!</v>
      </c>
      <c r="CL81" s="2" t="e">
        <f>求节点(节奏总纲!S$4:S$363,BY$4:BY$363,$CD81)*$CE81</f>
        <v>#VALUE!</v>
      </c>
      <c r="CM81" s="2" t="e">
        <f>求节点(节奏总纲!T$4:T$363,BZ$4:BZ$363,$CD81)*$CE81</f>
        <v>#VALUE!</v>
      </c>
      <c r="CN81" s="2" t="e">
        <f>求节点(节奏总纲!U$4:U$363,CA$4:CA$363,$CD81)*$CE81</f>
        <v>#VALUE!</v>
      </c>
      <c r="CO81" s="2" t="e">
        <f>求节点(节奏总纲!V$4:V$363,CB$4:CB$363,$CD81)*$CE81</f>
        <v>#VALUE!</v>
      </c>
    </row>
    <row r="82" spans="27:93" x14ac:dyDescent="0.15">
      <c r="AA82" s="2">
        <v>79</v>
      </c>
      <c r="AB82" s="2">
        <f>攻城基础信息!X83*$E$12</f>
        <v>204486.62574153824</v>
      </c>
      <c r="AC82" s="2">
        <f>攻城基础信息!Y83*$E$12</f>
        <v>220275.01469883134</v>
      </c>
      <c r="AD82" s="2">
        <f>攻城基础信息!Z83*$E$12</f>
        <v>241051.7498110598</v>
      </c>
      <c r="AE82" s="2">
        <f>攻城基础信息!AA83*$E$12</f>
        <v>290108.38034281763</v>
      </c>
      <c r="AF82" s="2">
        <f>攻城基础信息!AB83*$E$12</f>
        <v>303787.57764830266</v>
      </c>
      <c r="AH82" s="2">
        <f>$E$4*AB82*攻城基础信息!AC83</f>
        <v>4962208.7846613256</v>
      </c>
      <c r="AI82" s="2">
        <f>$E$4*AC82*攻城基础信息!AD83</f>
        <v>5345340.3566916371</v>
      </c>
      <c r="AJ82" s="2">
        <f>$E$4*AD82*攻城基础信息!AE83</f>
        <v>5849522.4620817145</v>
      </c>
      <c r="AK82" s="2">
        <f>$E$4*AE82*攻城基础信息!AF83</f>
        <v>7039963.3629857032</v>
      </c>
      <c r="AL82" s="2">
        <f>$E$4*AF82*攻城基础信息!AG83</f>
        <v>7371911.884265474</v>
      </c>
      <c r="AN82" s="2">
        <v>79</v>
      </c>
      <c r="AO82" s="2">
        <f>求节点(节奏总纲!D$4:D$163,AH$4:AH$163,$AN82)*其他调用!H83*其他调用!$M83</f>
        <v>139904604.75955373</v>
      </c>
      <c r="AP82" s="2">
        <f>求节点(节奏总纲!E$4:E$163,AI$4:AI$163,$AN82)*其他调用!I83*其他调用!$M83</f>
        <v>151763745.26777175</v>
      </c>
      <c r="AQ82" s="2">
        <f>求节点(节奏总纲!F$4:F$163,AJ$4:AJ$163,$AN82)*其他调用!J83*其他调用!$M83</f>
        <v>15507932.447519988</v>
      </c>
      <c r="AR82" s="2">
        <f>求节点(节奏总纲!G$4:G$163,AK$4:AK$163,$AN82)*其他调用!K83*其他调用!$M83</f>
        <v>3570305.2797329114</v>
      </c>
      <c r="AS82" s="2">
        <f>求节点(节奏总纲!H$4:H$163,AL$4:AL$163,$AN82)*其他调用!L83*其他调用!$M83</f>
        <v>1511971.5039889852</v>
      </c>
      <c r="AT82" s="2">
        <f t="shared" si="13"/>
        <v>312258559.25856739</v>
      </c>
      <c r="AY82" s="2">
        <v>79</v>
      </c>
      <c r="AZ82" s="2">
        <f>其他调用!R83*6*(其他调用!AH$2*$AZ$1*MIN(其他调用!$AJ83/其他调用!AH83,1)+$E$4*0%*攻城基础信息!AC83)</f>
        <v>8227.7619687874594</v>
      </c>
      <c r="BA82" s="2">
        <f>其他调用!S83*6*(其他调用!AI$2*$AZ$1*MIN(其他调用!$AJ83/其他调用!AI83,1)+$E$4*0%*攻城基础信息!AD83)</f>
        <v>24873.714647396588</v>
      </c>
      <c r="BB82" s="2">
        <f>其他调用!T83*6*(其他调用!AJ$2*$AZ$1*MIN(其他调用!$AJ83/其他调用!AJ83,1)+$E$4*0%*攻城基础信息!AE83)</f>
        <v>75280.232459694176</v>
      </c>
      <c r="BC82" s="2">
        <f>其他调用!U83*6*(其他调用!AK$2*$AZ$1*MIN(其他调用!$AJ83/其他调用!AK83,1)+$E$4*0%*攻城基础信息!AF83)</f>
        <v>34597.235497960457</v>
      </c>
      <c r="BD82" s="2">
        <f>其他调用!V83*6*(其他调用!AL$2*$AZ$1*MIN(其他调用!$AJ83/其他调用!AL83,1)+$E$4*0%*攻城基础信息!AG83)</f>
        <v>9704.9149033112353</v>
      </c>
      <c r="BF82" s="2">
        <v>79</v>
      </c>
      <c r="BG82" s="2">
        <f>求节点(节奏总纲!D$4:D$163,AZ$4:AZ$163,$AN82)</f>
        <v>6958.1805362352516</v>
      </c>
      <c r="BH82" s="2">
        <f>求节点(节奏总纲!E$4:E$163,BA$4:BA$163,$AN82)</f>
        <v>21559.961698177223</v>
      </c>
      <c r="BI82" s="2">
        <f>求节点(节奏总纲!F$4:F$163,BB$4:BB$163,$AN82)</f>
        <v>67393.476415306359</v>
      </c>
      <c r="BJ82" s="2">
        <f>求节点(节奏总纲!G$4:G$163,BC$4:BC$163,$AN82)</f>
        <v>31853.64358817655</v>
      </c>
      <c r="BK82" s="2">
        <f>求节点(节奏总纲!H$4:H$163,BD$4:BD$163,$AN82)</f>
        <v>9852.5452198476851</v>
      </c>
      <c r="BL82" s="2">
        <f>BG82*其他调用!H83*其他调用!$M83</f>
        <v>338989.31854595809</v>
      </c>
      <c r="BM82" s="2">
        <f>BH82*其他调用!I83*其他调用!$M83</f>
        <v>997201.53980917472</v>
      </c>
      <c r="BN82" s="2">
        <f>BI82*其他调用!J83*其他调用!$M83</f>
        <v>257857.32699845688</v>
      </c>
      <c r="BO82" s="2">
        <f>BJ82*其他调用!K83*其他调用!$M83</f>
        <v>21243.164794797289</v>
      </c>
      <c r="BP82" s="2">
        <f>BK82*其他调用!L83*其他调用!$M83</f>
        <v>1857.7748165054172</v>
      </c>
      <c r="BQ82" s="2">
        <f t="shared" si="14"/>
        <v>1617149.1249648924</v>
      </c>
      <c r="BR82" s="2">
        <f>[1]服务器生态!$R81</f>
        <v>1.3296398729137613</v>
      </c>
      <c r="BS82" s="2" t="e">
        <f>SUMPRODUCT((BG$4:BG82)*($BR$4:$BR82)*(其他调用!#REF!))</f>
        <v>#REF!</v>
      </c>
      <c r="BT82" s="2" t="e">
        <f>SUMPRODUCT((BH$4:BH82)*($BR$4:$BR82)*(其他调用!#REF!))</f>
        <v>#REF!</v>
      </c>
      <c r="BU82" s="2" t="e">
        <f>SUMPRODUCT((BI$4:BI82)*($BR$4:$BR82)*(其他调用!#REF!))</f>
        <v>#REF!</v>
      </c>
      <c r="BV82" s="2" t="e">
        <f>SUMPRODUCT((BJ$4:BJ82)*($BR$4:$BR82)*(其他调用!#REF!))</f>
        <v>#REF!</v>
      </c>
      <c r="BW82" s="2" t="e">
        <f>SUMPRODUCT((BK$4:BK82)*($BR$4:$BR82)*(其他调用!#REF!))</f>
        <v>#REF!</v>
      </c>
      <c r="BX82" s="2" t="e">
        <f>SUMPRODUCT((BG$4:BG82)*($BR$4:$BR82))*'[1]功能-战损相关'!$D$2-BS82</f>
        <v>#REF!</v>
      </c>
      <c r="BY82" s="2" t="e">
        <f>SUMPRODUCT((BH$4:BH82)*($BR$4:$BR82))*'[1]功能-战损相关'!$D$2-BT82</f>
        <v>#REF!</v>
      </c>
      <c r="BZ82" s="2" t="e">
        <f>SUMPRODUCT((BI$4:BI82)*($BR$4:$BR82))*'[1]功能-战损相关'!$D$2-BU82</f>
        <v>#REF!</v>
      </c>
      <c r="CA82" s="2" t="e">
        <f>SUMPRODUCT((BJ$4:BJ82)*($BR$4:$BR82))*'[1]功能-战损相关'!$D$2-BV82</f>
        <v>#REF!</v>
      </c>
      <c r="CB82" s="2" t="e">
        <f>SUMPRODUCT((BK$4:BK82)*($BR$4:$BR82))*'[1]功能-战损相关'!$D$2-BW82</f>
        <v>#REF!</v>
      </c>
      <c r="CD82" s="2">
        <v>79</v>
      </c>
      <c r="CE82" s="7">
        <v>1</v>
      </c>
      <c r="CF82" s="2" t="e">
        <f>求节点(节奏总纲!R$4:R$363,BS$4:BS$363,$CD82)*$CE82</f>
        <v>#VALUE!</v>
      </c>
      <c r="CG82" s="2" t="e">
        <f>求节点(节奏总纲!S$4:S$363,BT$4:BT$363,$CD82)*$CE82</f>
        <v>#VALUE!</v>
      </c>
      <c r="CH82" s="2" t="e">
        <f>求节点(节奏总纲!T$4:T$363,BU$4:BU$363,$CD82)*$CE82</f>
        <v>#VALUE!</v>
      </c>
      <c r="CI82" s="2" t="e">
        <f>求节点(节奏总纲!U$4:U$363,BV$4:BV$363,$CD82)*$CE82</f>
        <v>#VALUE!</v>
      </c>
      <c r="CJ82" s="2" t="e">
        <f>求节点(节奏总纲!V$4:V$363,BW$4:BW$363,$CD82)*$CE82</f>
        <v>#VALUE!</v>
      </c>
      <c r="CK82" s="2" t="e">
        <f>求节点(节奏总纲!R$4:R$363,BX$4:BX$363,$CD82)*$CE82</f>
        <v>#VALUE!</v>
      </c>
      <c r="CL82" s="2" t="e">
        <f>求节点(节奏总纲!S$4:S$363,BY$4:BY$363,$CD82)*$CE82</f>
        <v>#VALUE!</v>
      </c>
      <c r="CM82" s="2" t="e">
        <f>求节点(节奏总纲!T$4:T$363,BZ$4:BZ$363,$CD82)*$CE82</f>
        <v>#VALUE!</v>
      </c>
      <c r="CN82" s="2" t="e">
        <f>求节点(节奏总纲!U$4:U$363,CA$4:CA$363,$CD82)*$CE82</f>
        <v>#VALUE!</v>
      </c>
      <c r="CO82" s="2" t="e">
        <f>求节点(节奏总纲!V$4:V$363,CB$4:CB$363,$CD82)*$CE82</f>
        <v>#VALUE!</v>
      </c>
    </row>
    <row r="83" spans="27:93" x14ac:dyDescent="0.15">
      <c r="AA83" s="2">
        <v>80</v>
      </c>
      <c r="AB83" s="2">
        <f>攻城基础信息!X84*$E$12</f>
        <v>209253.62967635033</v>
      </c>
      <c r="AC83" s="2">
        <f>攻城基础信息!Y84*$E$12</f>
        <v>227138.74652810997</v>
      </c>
      <c r="AD83" s="2">
        <f>攻城基础信息!Z84*$E$12</f>
        <v>249301.13546421888</v>
      </c>
      <c r="AE83" s="2">
        <f>攻城基础信息!AA84*$E$12</f>
        <v>300497.61732138618</v>
      </c>
      <c r="AF83" s="2">
        <f>攻城基础信息!AB84*$E$12</f>
        <v>314614.56738726812</v>
      </c>
      <c r="AH83" s="2">
        <f>$E$4*AB83*攻城基础信息!AC84</f>
        <v>5126713.9270705795</v>
      </c>
      <c r="AI83" s="2">
        <f>$E$4*AC83*攻城基础信息!AD84</f>
        <v>5564899.2899386911</v>
      </c>
      <c r="AJ83" s="2">
        <f>$E$4*AD83*攻城基础信息!AE84</f>
        <v>6107877.8188733589</v>
      </c>
      <c r="AK83" s="2">
        <f>$E$4*AE83*攻城基础信息!AF84</f>
        <v>7362191.6243739575</v>
      </c>
      <c r="AL83" s="2">
        <f>$E$4*AF83*攻城基础信息!AG84</f>
        <v>7708056.9009880647</v>
      </c>
      <c r="AN83" s="2">
        <v>80</v>
      </c>
      <c r="AO83" s="2">
        <f>求节点(节奏总纲!D$4:D$163,AH$4:AH$163,$AN83)*其他调用!H84*其他调用!$M84</f>
        <v>140909797.67310229</v>
      </c>
      <c r="AP83" s="2">
        <f>求节点(节奏总纲!E$4:E$163,AI$4:AI$163,$AN83)*其他调用!I84*其他调用!$M84</f>
        <v>153249288.91086113</v>
      </c>
      <c r="AQ83" s="2">
        <f>求节点(节奏总纲!F$4:F$163,AJ$4:AJ$163,$AN83)*其他调用!J84*其他调用!$M84</f>
        <v>15643298.086011952</v>
      </c>
      <c r="AR83" s="2">
        <f>求节点(节奏总纲!G$4:G$163,AK$4:AK$163,$AN83)*其他调用!K84*其他调用!$M84</f>
        <v>3615177.7139175953</v>
      </c>
      <c r="AS83" s="2">
        <f>求节点(节奏总纲!H$4:H$163,AL$4:AL$163,$AN83)*其他调用!L84*其他调用!$M84</f>
        <v>1530631.5370228151</v>
      </c>
      <c r="AT83" s="2">
        <f t="shared" si="13"/>
        <v>314948193.92091578</v>
      </c>
      <c r="AY83" s="2">
        <v>80</v>
      </c>
      <c r="AZ83" s="2">
        <f>其他调用!R84*6*(其他调用!AH$2*$AZ$1*MIN(其他调用!$AJ84/其他调用!AH84,1)+$E$4*0%*攻城基础信息!AC84)</f>
        <v>8307.1758748539996</v>
      </c>
      <c r="BA83" s="2">
        <f>其他调用!S84*6*(其他调用!AI$2*$AZ$1*MIN(其他调用!$AJ84/其他调用!AI84,1)+$E$4*0%*攻城基础信息!AD84)</f>
        <v>25120.310759607979</v>
      </c>
      <c r="BB83" s="2">
        <f>其他调用!T84*6*(其他调用!AJ$2*$AZ$1*MIN(其他调用!$AJ84/其他调用!AJ84,1)+$E$4*0%*攻城基础信息!AE84)</f>
        <v>75962.234582996316</v>
      </c>
      <c r="BC83" s="2">
        <f>其他调用!U84*6*(其他调用!AK$2*$AZ$1*MIN(其他调用!$AJ84/其他调用!AK84,1)+$E$4*0%*攻城基础信息!AF84)</f>
        <v>34976.253172907956</v>
      </c>
      <c r="BD83" s="2">
        <f>其他调用!V84*6*(其他调用!AL$2*$AZ$1*MIN(其他调用!$AJ84/其他调用!AL84,1)+$E$4*0%*攻城基础信息!AG84)</f>
        <v>9770.5148515937308</v>
      </c>
      <c r="BF83" s="2">
        <v>80</v>
      </c>
      <c r="BG83" s="2">
        <f>求节点(节奏总纲!D$4:D$163,AZ$4:AZ$163,$AN83)</f>
        <v>6972.5248575046826</v>
      </c>
      <c r="BH83" s="2">
        <f>求节点(节奏总纲!E$4:E$163,BA$4:BA$163,$AN83)</f>
        <v>21602.24362892627</v>
      </c>
      <c r="BI83" s="2">
        <f>求节点(节奏总纲!F$4:F$163,BB$4:BB$163,$AN83)</f>
        <v>67520.568920696431</v>
      </c>
      <c r="BJ83" s="2">
        <f>求节点(节奏总纲!G$4:G$163,BC$4:BC$163,$AN83)</f>
        <v>31937.482320354346</v>
      </c>
      <c r="BK83" s="2">
        <f>求节点(节奏总纲!H$4:H$163,BD$4:BD$163,$AN83)</f>
        <v>9864.9873454051722</v>
      </c>
      <c r="BL83" s="2">
        <f>BG83*其他调用!H84*其他调用!$M84</f>
        <v>339775.98954370525</v>
      </c>
      <c r="BM83" s="2">
        <f>BH83*其他调用!I84*其他调用!$M84</f>
        <v>1002859.5751108308</v>
      </c>
      <c r="BN83" s="2">
        <f>BI83*其他调用!J84*其他调用!$M84</f>
        <v>258984.15408349433</v>
      </c>
      <c r="BO83" s="2">
        <f>BJ83*其他调用!K84*其他调用!$M84</f>
        <v>21392.250654839245</v>
      </c>
      <c r="BP83" s="2">
        <f>BK83*其他调用!L84*其他调用!$M84</f>
        <v>1872.3203836187511</v>
      </c>
      <c r="BQ83" s="2">
        <f t="shared" si="14"/>
        <v>1624884.2897764884</v>
      </c>
      <c r="BR83" s="2">
        <f>[1]服务器生态!$R82</f>
        <v>1.0921825034279726</v>
      </c>
      <c r="BS83" s="2" t="e">
        <f>SUMPRODUCT((BG$4:BG83)*($BR$4:$BR83)*(其他调用!#REF!))</f>
        <v>#REF!</v>
      </c>
      <c r="BT83" s="2" t="e">
        <f>SUMPRODUCT((BH$4:BH83)*($BR$4:$BR83)*(其他调用!#REF!))</f>
        <v>#REF!</v>
      </c>
      <c r="BU83" s="2" t="e">
        <f>SUMPRODUCT((BI$4:BI83)*($BR$4:$BR83)*(其他调用!#REF!))</f>
        <v>#REF!</v>
      </c>
      <c r="BV83" s="2" t="e">
        <f>SUMPRODUCT((BJ$4:BJ83)*($BR$4:$BR83)*(其他调用!#REF!))</f>
        <v>#REF!</v>
      </c>
      <c r="BW83" s="2" t="e">
        <f>SUMPRODUCT((BK$4:BK83)*($BR$4:$BR83)*(其他调用!#REF!))</f>
        <v>#REF!</v>
      </c>
      <c r="BX83" s="2" t="e">
        <f>SUMPRODUCT((BG$4:BG83)*($BR$4:$BR83))*'[1]功能-战损相关'!$D$2-BS83</f>
        <v>#REF!</v>
      </c>
      <c r="BY83" s="2" t="e">
        <f>SUMPRODUCT((BH$4:BH83)*($BR$4:$BR83))*'[1]功能-战损相关'!$D$2-BT83</f>
        <v>#REF!</v>
      </c>
      <c r="BZ83" s="2" t="e">
        <f>SUMPRODUCT((BI$4:BI83)*($BR$4:$BR83))*'[1]功能-战损相关'!$D$2-BU83</f>
        <v>#REF!</v>
      </c>
      <c r="CA83" s="2" t="e">
        <f>SUMPRODUCT((BJ$4:BJ83)*($BR$4:$BR83))*'[1]功能-战损相关'!$D$2-BV83</f>
        <v>#REF!</v>
      </c>
      <c r="CB83" s="2" t="e">
        <f>SUMPRODUCT((BK$4:BK83)*($BR$4:$BR83))*'[1]功能-战损相关'!$D$2-BW83</f>
        <v>#REF!</v>
      </c>
      <c r="CD83" s="2">
        <v>80</v>
      </c>
      <c r="CE83" s="7">
        <v>1</v>
      </c>
      <c r="CF83" s="2" t="e">
        <f>求节点(节奏总纲!R$4:R$363,BS$4:BS$363,$CD83)*$CE83</f>
        <v>#VALUE!</v>
      </c>
      <c r="CG83" s="2" t="e">
        <f>求节点(节奏总纲!S$4:S$363,BT$4:BT$363,$CD83)*$CE83</f>
        <v>#VALUE!</v>
      </c>
      <c r="CH83" s="2" t="e">
        <f>求节点(节奏总纲!T$4:T$363,BU$4:BU$363,$CD83)*$CE83</f>
        <v>#VALUE!</v>
      </c>
      <c r="CI83" s="2" t="e">
        <f>求节点(节奏总纲!U$4:U$363,BV$4:BV$363,$CD83)*$CE83</f>
        <v>#VALUE!</v>
      </c>
      <c r="CJ83" s="2" t="e">
        <f>求节点(节奏总纲!V$4:V$363,BW$4:BW$363,$CD83)*$CE83</f>
        <v>#VALUE!</v>
      </c>
      <c r="CK83" s="2" t="e">
        <f>求节点(节奏总纲!R$4:R$363,BX$4:BX$363,$CD83)*$CE83</f>
        <v>#VALUE!</v>
      </c>
      <c r="CL83" s="2" t="e">
        <f>求节点(节奏总纲!S$4:S$363,BY$4:BY$363,$CD83)*$CE83</f>
        <v>#VALUE!</v>
      </c>
      <c r="CM83" s="2" t="e">
        <f>求节点(节奏总纲!T$4:T$363,BZ$4:BZ$363,$CD83)*$CE83</f>
        <v>#VALUE!</v>
      </c>
      <c r="CN83" s="2" t="e">
        <f>求节点(节奏总纲!U$4:U$363,CA$4:CA$363,$CD83)*$CE83</f>
        <v>#VALUE!</v>
      </c>
      <c r="CO83" s="2" t="e">
        <f>求节点(节奏总纲!V$4:V$363,CB$4:CB$363,$CD83)*$CE83</f>
        <v>#VALUE!</v>
      </c>
    </row>
    <row r="84" spans="27:93" x14ac:dyDescent="0.15">
      <c r="AA84" s="2">
        <v>81</v>
      </c>
      <c r="AB84" s="2">
        <f>攻城基础信息!X85*$E$12</f>
        <v>215231.4059896759</v>
      </c>
      <c r="AC84" s="2">
        <f>攻城基础信息!Y85*$E$12</f>
        <v>234970.56760323391</v>
      </c>
      <c r="AD84" s="2">
        <f>攻城基础信息!Z85*$E$12</f>
        <v>257196.68307032442</v>
      </c>
      <c r="AE84" s="2">
        <f>攻城基础信息!AA85*$E$12</f>
        <v>310530.59660000587</v>
      </c>
      <c r="AF84" s="2">
        <f>攻城基础信息!AB85*$E$12</f>
        <v>325140.64801767736</v>
      </c>
      <c r="AH84" s="2">
        <f>$E$4*AB84*攻城基础信息!AC85</f>
        <v>5273169.4467470562</v>
      </c>
      <c r="AI84" s="2">
        <f>$E$4*AC84*攻城基础信息!AD85</f>
        <v>5756778.9062792268</v>
      </c>
      <c r="AJ84" s="2">
        <f>$E$4*AD84*攻城基础信息!AE85</f>
        <v>6301318.7352229441</v>
      </c>
      <c r="AK84" s="2">
        <f>$E$4*AE84*攻城基础信息!AF85</f>
        <v>7607999.6167001389</v>
      </c>
      <c r="AL84" s="2">
        <f>$E$4*AF84*攻城基础信息!AG85</f>
        <v>7965945.8764330903</v>
      </c>
      <c r="AN84" s="2">
        <v>81</v>
      </c>
      <c r="AO84" s="2">
        <f>求节点(节奏总纲!D$4:D$163,AH$4:AH$163,$AN84)*其他调用!H85*其他调用!$M85</f>
        <v>141847243.97699994</v>
      </c>
      <c r="AP84" s="2">
        <f>求节点(节奏总纲!E$4:E$163,AI$4:AI$163,$AN84)*其他调用!I85*其他调用!$M85</f>
        <v>154669335.3144531</v>
      </c>
      <c r="AQ84" s="2">
        <f>求节点(节奏总纲!F$4:F$163,AJ$4:AJ$163,$AN84)*其他调用!J85*其他调用!$M85</f>
        <v>15771693.326677749</v>
      </c>
      <c r="AR84" s="2">
        <f>求节点(节奏总纲!G$4:G$163,AK$4:AK$163,$AN84)*其他调用!K85*其他调用!$M85</f>
        <v>3658521.4038519328</v>
      </c>
      <c r="AS84" s="2">
        <f>求节点(节奏总纲!H$4:H$163,AL$4:AL$163,$AN84)*其他调用!L85*其他调用!$M85</f>
        <v>1548698.652619265</v>
      </c>
      <c r="AT84" s="2">
        <f t="shared" si="13"/>
        <v>317495492.67460191</v>
      </c>
      <c r="AY84" s="2">
        <v>81</v>
      </c>
      <c r="AZ84" s="2">
        <f>其他调用!R85*6*(其他调用!AH$2*$AZ$1*MIN(其他调用!$AJ85/其他调用!AH85,1)+$E$4*0%*攻城基础信息!AC85)</f>
        <v>8388.1840511863593</v>
      </c>
      <c r="BA84" s="2">
        <f>其他调用!S85*6*(其他调用!AI$2*$AZ$1*MIN(其他调用!$AJ85/其他调用!AI85,1)+$E$4*0%*攻城基础信息!AD85)</f>
        <v>25351.682346509351</v>
      </c>
      <c r="BB84" s="2">
        <f>其他调用!T85*6*(其他调用!AJ$2*$AZ$1*MIN(其他调用!$AJ85/其他调用!AJ85,1)+$E$4*0%*攻城基础信息!AE85)</f>
        <v>76673.856840988621</v>
      </c>
      <c r="BC84" s="2">
        <f>其他调用!U85*6*(其他调用!AK$2*$AZ$1*MIN(其他调用!$AJ85/其他调用!AK85,1)+$E$4*0%*攻城基础信息!AF85)</f>
        <v>35342.623374581308</v>
      </c>
      <c r="BD84" s="2">
        <f>其他调用!V85*6*(其他调用!AL$2*$AZ$1*MIN(其他调用!$AJ85/其他调用!AL85,1)+$E$4*0%*攻城基础信息!AG85)</f>
        <v>9838.3228379546654</v>
      </c>
      <c r="BF84" s="2">
        <v>81</v>
      </c>
      <c r="BG84" s="2">
        <f>求节点(节奏总纲!D$4:D$163,AZ$4:AZ$163,$AN84)</f>
        <v>6986.8691787741136</v>
      </c>
      <c r="BH84" s="2">
        <f>求节点(节奏总纲!E$4:E$163,BA$4:BA$163,$AN84)</f>
        <v>21644.52555967532</v>
      </c>
      <c r="BI84" s="2">
        <f>求节点(节奏总纲!F$4:F$163,BB$4:BB$163,$AN84)</f>
        <v>67647.661426086517</v>
      </c>
      <c r="BJ84" s="2">
        <f>求节点(节奏总纲!G$4:G$163,BC$4:BC$163,$AN84)</f>
        <v>32021.336477276349</v>
      </c>
      <c r="BK84" s="2">
        <f>求节点(节奏总纲!H$4:H$163,BD$4:BD$163,$AN84)</f>
        <v>9877.4294709626593</v>
      </c>
      <c r="BL84" s="2">
        <f>BG84*其他调用!H85*其他调用!$M85</f>
        <v>340399.24403624225</v>
      </c>
      <c r="BM84" s="2">
        <f>BH84*其他调用!I85*其他调用!$M85</f>
        <v>1008060.797605655</v>
      </c>
      <c r="BN84" s="2">
        <f>BI84*其他调用!J85*其他调用!$M85</f>
        <v>259990.58534853125</v>
      </c>
      <c r="BO84" s="2">
        <f>BJ84*其他调用!K85*其他调用!$M85</f>
        <v>21531.825499653944</v>
      </c>
      <c r="BP84" s="2">
        <f>BK84*其他调用!L85*其他调用!$M85</f>
        <v>1886.0358929034937</v>
      </c>
      <c r="BQ84" s="2">
        <f t="shared" si="14"/>
        <v>1631868.4883829863</v>
      </c>
      <c r="BR84" s="2">
        <f>[1]服务器生态!$R83</f>
        <v>0.85472513394218408</v>
      </c>
      <c r="BS84" s="2" t="e">
        <f>SUMPRODUCT((BG$4:BG84)*($BR$4:$BR84)*(其他调用!#REF!))</f>
        <v>#REF!</v>
      </c>
      <c r="BT84" s="2" t="e">
        <f>SUMPRODUCT((BH$4:BH84)*($BR$4:$BR84)*(其他调用!#REF!))</f>
        <v>#REF!</v>
      </c>
      <c r="BU84" s="2" t="e">
        <f>SUMPRODUCT((BI$4:BI84)*($BR$4:$BR84)*(其他调用!#REF!))</f>
        <v>#REF!</v>
      </c>
      <c r="BV84" s="2" t="e">
        <f>SUMPRODUCT((BJ$4:BJ84)*($BR$4:$BR84)*(其他调用!#REF!))</f>
        <v>#REF!</v>
      </c>
      <c r="BW84" s="2" t="e">
        <f>SUMPRODUCT((BK$4:BK84)*($BR$4:$BR84)*(其他调用!#REF!))</f>
        <v>#REF!</v>
      </c>
      <c r="BX84" s="2" t="e">
        <f>SUMPRODUCT((BG$4:BG84)*($BR$4:$BR84))*'[1]功能-战损相关'!$D$2-BS84</f>
        <v>#REF!</v>
      </c>
      <c r="BY84" s="2" t="e">
        <f>SUMPRODUCT((BH$4:BH84)*($BR$4:$BR84))*'[1]功能-战损相关'!$D$2-BT84</f>
        <v>#REF!</v>
      </c>
      <c r="BZ84" s="2" t="e">
        <f>SUMPRODUCT((BI$4:BI84)*($BR$4:$BR84))*'[1]功能-战损相关'!$D$2-BU84</f>
        <v>#REF!</v>
      </c>
      <c r="CA84" s="2" t="e">
        <f>SUMPRODUCT((BJ$4:BJ84)*($BR$4:$BR84))*'[1]功能-战损相关'!$D$2-BV84</f>
        <v>#REF!</v>
      </c>
      <c r="CB84" s="2" t="e">
        <f>SUMPRODUCT((BK$4:BK84)*($BR$4:$BR84))*'[1]功能-战损相关'!$D$2-BW84</f>
        <v>#REF!</v>
      </c>
      <c r="CD84" s="2">
        <v>81</v>
      </c>
      <c r="CE84" s="7">
        <v>1</v>
      </c>
      <c r="CF84" s="2" t="e">
        <f>求节点(节奏总纲!R$4:R$363,BS$4:BS$363,$CD84)*$CE84</f>
        <v>#VALUE!</v>
      </c>
      <c r="CG84" s="2" t="e">
        <f>求节点(节奏总纲!S$4:S$363,BT$4:BT$363,$CD84)*$CE84</f>
        <v>#VALUE!</v>
      </c>
      <c r="CH84" s="2" t="e">
        <f>求节点(节奏总纲!T$4:T$363,BU$4:BU$363,$CD84)*$CE84</f>
        <v>#VALUE!</v>
      </c>
      <c r="CI84" s="2" t="e">
        <f>求节点(节奏总纲!U$4:U$363,BV$4:BV$363,$CD84)*$CE84</f>
        <v>#VALUE!</v>
      </c>
      <c r="CJ84" s="2" t="e">
        <f>求节点(节奏总纲!V$4:V$363,BW$4:BW$363,$CD84)*$CE84</f>
        <v>#VALUE!</v>
      </c>
      <c r="CK84" s="2" t="e">
        <f>求节点(节奏总纲!R$4:R$363,BX$4:BX$363,$CD84)*$CE84</f>
        <v>#VALUE!</v>
      </c>
      <c r="CL84" s="2" t="e">
        <f>求节点(节奏总纲!S$4:S$363,BY$4:BY$363,$CD84)*$CE84</f>
        <v>#VALUE!</v>
      </c>
      <c r="CM84" s="2" t="e">
        <f>求节点(节奏总纲!T$4:T$363,BZ$4:BZ$363,$CD84)*$CE84</f>
        <v>#VALUE!</v>
      </c>
      <c r="CN84" s="2" t="e">
        <f>求节点(节奏总纲!U$4:U$363,CA$4:CA$363,$CD84)*$CE84</f>
        <v>#VALUE!</v>
      </c>
      <c r="CO84" s="2" t="e">
        <f>求节点(节奏总纲!V$4:V$363,CB$4:CB$363,$CD84)*$CE84</f>
        <v>#VALUE!</v>
      </c>
    </row>
    <row r="85" spans="27:93" x14ac:dyDescent="0.15">
      <c r="AA85" s="2">
        <v>82</v>
      </c>
      <c r="AB85" s="2">
        <f>攻城基础信息!X86*$E$12</f>
        <v>221759.36821959075</v>
      </c>
      <c r="AC85" s="2">
        <f>攻城基础信息!Y86*$E$12</f>
        <v>242975.65202584513</v>
      </c>
      <c r="AD85" s="2">
        <f>攻城基础信息!Z86*$E$12</f>
        <v>265172.76634974923</v>
      </c>
      <c r="AE85" s="2">
        <f>攻城基础信息!AA86*$E$12</f>
        <v>320593.64748959366</v>
      </c>
      <c r="AF85" s="2">
        <f>攻城基础信息!AB86*$E$12</f>
        <v>335246.06744986452</v>
      </c>
      <c r="AH85" s="2">
        <f>$E$4*AB85*攻城基础信息!AC86</f>
        <v>5433104.52137997</v>
      </c>
      <c r="AI85" s="2">
        <f>$E$4*AC85*攻城基础信息!AD86</f>
        <v>5952903.474633202</v>
      </c>
      <c r="AJ85" s="2">
        <f>$E$4*AD85*攻城基础信息!AE86</f>
        <v>6496732.7755688522</v>
      </c>
      <c r="AK85" s="2">
        <f>$E$4*AE85*攻城基础信息!AF86</f>
        <v>7854544.3634950388</v>
      </c>
      <c r="AL85" s="2">
        <f>$E$4*AF85*攻城基础信息!AG86</f>
        <v>8213528.6525216755</v>
      </c>
      <c r="AN85" s="2">
        <v>82</v>
      </c>
      <c r="AO85" s="2">
        <f>求节点(节奏总纲!D$4:D$163,AH$4:AH$163,$AN85)*其他调用!H86*其他调用!$M86</f>
        <v>142569382.29231766</v>
      </c>
      <c r="AP85" s="2">
        <f>求节点(节奏总纲!E$4:E$163,AI$4:AI$163,$AN85)*其他调用!I86*其他调用!$M86</f>
        <v>155862031.75378886</v>
      </c>
      <c r="AQ85" s="2">
        <f>求节点(节奏总纲!F$4:F$163,AJ$4:AJ$163,$AN85)*其他调用!J86*其他调用!$M86</f>
        <v>15876653.46042981</v>
      </c>
      <c r="AR85" s="2">
        <f>求节点(节奏总纲!G$4:G$163,AK$4:AK$163,$AN85)*其他调用!K86*其他调用!$M86</f>
        <v>3694799.89610255</v>
      </c>
      <c r="AS85" s="2">
        <f>求节点(节奏总纲!H$4:H$163,AL$4:AL$163,$AN85)*其他调用!L86*其他调用!$M86</f>
        <v>1564542.9468318091</v>
      </c>
      <c r="AT85" s="2">
        <f t="shared" si="13"/>
        <v>319567410.34947067</v>
      </c>
      <c r="AY85" s="2">
        <v>82</v>
      </c>
      <c r="AZ85" s="2">
        <f>其他调用!R86*6*(其他调用!AH$2*$AZ$1*MIN(其他调用!$AJ86/其他调用!AH86,1)+$E$4*0%*攻城基础信息!AC86)</f>
        <v>8468.1812461144636</v>
      </c>
      <c r="BA85" s="2">
        <f>其他调用!S86*6*(其他调用!AI$2*$AZ$1*MIN(其他调用!$AJ86/其他调用!AI86,1)+$E$4*0%*攻城基础信息!AD86)</f>
        <v>25592.316815925293</v>
      </c>
      <c r="BB85" s="2">
        <f>其他调用!T86*6*(其他调用!AJ$2*$AZ$1*MIN(其他调用!$AJ86/其他调用!AJ86,1)+$E$4*0%*攻城基础信息!AE86)</f>
        <v>77380.648093918222</v>
      </c>
      <c r="BC85" s="2">
        <f>其他调用!U86*6*(其他调用!AK$2*$AZ$1*MIN(其他调用!$AJ86/其他调用!AK86,1)+$E$4*0%*攻城基础信息!AF86)</f>
        <v>35706.000237885863</v>
      </c>
      <c r="BD85" s="2">
        <f>其他调用!V86*6*(其他调用!AL$2*$AZ$1*MIN(其他调用!$AJ86/其他调用!AL86,1)+$E$4*0%*攻城基础信息!AG86)</f>
        <v>9905.1874201166465</v>
      </c>
      <c r="BF85" s="2">
        <v>82</v>
      </c>
      <c r="BG85" s="2">
        <f>求节点(节奏总纲!D$4:D$163,AZ$4:AZ$163,$AN85)</f>
        <v>7001.2135000435446</v>
      </c>
      <c r="BH85" s="2">
        <f>求节点(节奏总纲!E$4:E$163,BA$4:BA$163,$AN85)</f>
        <v>21686.807490424366</v>
      </c>
      <c r="BI85" s="2">
        <f>求节点(节奏总纲!F$4:F$163,BB$4:BB$163,$AN85)</f>
        <v>67774.753931476589</v>
      </c>
      <c r="BJ85" s="2">
        <f>求节点(节奏总纲!G$4:G$163,BC$4:BC$163,$AN85)</f>
        <v>32105.519609392286</v>
      </c>
      <c r="BK85" s="2">
        <f>求节点(节奏总纲!H$4:H$163,BD$4:BD$163,$AN85)</f>
        <v>9889.8715965201445</v>
      </c>
      <c r="BL85" s="2">
        <f>BG85*其他调用!H86*其他调用!$M86</f>
        <v>340508.98138480732</v>
      </c>
      <c r="BM85" s="2">
        <f>BH85*其他调用!I86*其他调用!$M86</f>
        <v>1011760.2296839133</v>
      </c>
      <c r="BN85" s="2">
        <f>BI85*其他调用!J86*其他调用!$M86</f>
        <v>260607.92680611825</v>
      </c>
      <c r="BO85" s="2">
        <f>BJ85*其他调用!K86*其他调用!$M86</f>
        <v>21639.710958291216</v>
      </c>
      <c r="BP85" s="2">
        <f>BK85*其他调用!L86*其他调用!$M86</f>
        <v>1896.9564911853358</v>
      </c>
      <c r="BQ85" s="2">
        <f t="shared" si="14"/>
        <v>1636413.8053243156</v>
      </c>
      <c r="BR85" s="2">
        <f>[1]服务器生态!$R84</f>
        <v>0.67921212443781254</v>
      </c>
      <c r="BS85" s="2" t="e">
        <f>SUMPRODUCT((BG$4:BG85)*($BR$4:$BR85)*(其他调用!#REF!))</f>
        <v>#REF!</v>
      </c>
      <c r="BT85" s="2" t="e">
        <f>SUMPRODUCT((BH$4:BH85)*($BR$4:$BR85)*(其他调用!#REF!))</f>
        <v>#REF!</v>
      </c>
      <c r="BU85" s="2" t="e">
        <f>SUMPRODUCT((BI$4:BI85)*($BR$4:$BR85)*(其他调用!#REF!))</f>
        <v>#REF!</v>
      </c>
      <c r="BV85" s="2" t="e">
        <f>SUMPRODUCT((BJ$4:BJ85)*($BR$4:$BR85)*(其他调用!#REF!))</f>
        <v>#REF!</v>
      </c>
      <c r="BW85" s="2" t="e">
        <f>SUMPRODUCT((BK$4:BK85)*($BR$4:$BR85)*(其他调用!#REF!))</f>
        <v>#REF!</v>
      </c>
      <c r="BX85" s="2" t="e">
        <f>SUMPRODUCT((BG$4:BG85)*($BR$4:$BR85))*'[1]功能-战损相关'!$D$2-BS85</f>
        <v>#REF!</v>
      </c>
      <c r="BY85" s="2" t="e">
        <f>SUMPRODUCT((BH$4:BH85)*($BR$4:$BR85))*'[1]功能-战损相关'!$D$2-BT85</f>
        <v>#REF!</v>
      </c>
      <c r="BZ85" s="2" t="e">
        <f>SUMPRODUCT((BI$4:BI85)*($BR$4:$BR85))*'[1]功能-战损相关'!$D$2-BU85</f>
        <v>#REF!</v>
      </c>
      <c r="CA85" s="2" t="e">
        <f>SUMPRODUCT((BJ$4:BJ85)*($BR$4:$BR85))*'[1]功能-战损相关'!$D$2-BV85</f>
        <v>#REF!</v>
      </c>
      <c r="CB85" s="2" t="e">
        <f>SUMPRODUCT((BK$4:BK85)*($BR$4:$BR85))*'[1]功能-战损相关'!$D$2-BW85</f>
        <v>#REF!</v>
      </c>
      <c r="CD85" s="2">
        <v>82</v>
      </c>
      <c r="CE85" s="7">
        <v>1</v>
      </c>
      <c r="CF85" s="2" t="e">
        <f>求节点(节奏总纲!R$4:R$363,BS$4:BS$363,$CD85)*$CE85</f>
        <v>#VALUE!</v>
      </c>
      <c r="CG85" s="2" t="e">
        <f>求节点(节奏总纲!S$4:S$363,BT$4:BT$363,$CD85)*$CE85</f>
        <v>#VALUE!</v>
      </c>
      <c r="CH85" s="2" t="e">
        <f>求节点(节奏总纲!T$4:T$363,BU$4:BU$363,$CD85)*$CE85</f>
        <v>#VALUE!</v>
      </c>
      <c r="CI85" s="2" t="e">
        <f>求节点(节奏总纲!U$4:U$363,BV$4:BV$363,$CD85)*$CE85</f>
        <v>#VALUE!</v>
      </c>
      <c r="CJ85" s="2" t="e">
        <f>求节点(节奏总纲!V$4:V$363,BW$4:BW$363,$CD85)*$CE85</f>
        <v>#VALUE!</v>
      </c>
      <c r="CK85" s="2" t="e">
        <f>求节点(节奏总纲!R$4:R$363,BX$4:BX$363,$CD85)*$CE85</f>
        <v>#VALUE!</v>
      </c>
      <c r="CL85" s="2" t="e">
        <f>求节点(节奏总纲!S$4:S$363,BY$4:BY$363,$CD85)*$CE85</f>
        <v>#VALUE!</v>
      </c>
      <c r="CM85" s="2" t="e">
        <f>求节点(节奏总纲!T$4:T$363,BZ$4:BZ$363,$CD85)*$CE85</f>
        <v>#VALUE!</v>
      </c>
      <c r="CN85" s="2" t="e">
        <f>求节点(节奏总纲!U$4:U$363,CA$4:CA$363,$CD85)*$CE85</f>
        <v>#VALUE!</v>
      </c>
      <c r="CO85" s="2" t="e">
        <f>求节点(节奏总纲!V$4:V$363,CB$4:CB$363,$CD85)*$CE85</f>
        <v>#VALUE!</v>
      </c>
    </row>
    <row r="86" spans="27:93" x14ac:dyDescent="0.15">
      <c r="AA86" s="2">
        <v>83</v>
      </c>
      <c r="AB86" s="2">
        <f>攻城基础信息!X87*$E$12</f>
        <v>228694.78969141757</v>
      </c>
      <c r="AC86" s="2">
        <f>攻城基础信息!Y87*$E$12</f>
        <v>250812.00890212599</v>
      </c>
      <c r="AD86" s="2">
        <f>攻城基础信息!Z87*$E$12</f>
        <v>273409.63204622531</v>
      </c>
      <c r="AE86" s="2">
        <f>攻城基础信息!AA87*$E$12</f>
        <v>328798.33157569513</v>
      </c>
      <c r="AF86" s="2">
        <f>攻城基础信息!AB87*$E$12</f>
        <v>341312.73497518606</v>
      </c>
      <c r="AH86" s="2">
        <f>$E$4*AB86*攻城基础信息!AC87</f>
        <v>5603022.3474397268</v>
      </c>
      <c r="AI86" s="2">
        <f>$E$4*AC86*攻城基础信息!AD87</f>
        <v>6144894.2181020826</v>
      </c>
      <c r="AJ86" s="2">
        <f>$E$4*AD86*攻城基础信息!AE87</f>
        <v>6698535.9851325164</v>
      </c>
      <c r="AK86" s="2">
        <f>$E$4*AE86*攻城基础信息!AF87</f>
        <v>8055559.1236045267</v>
      </c>
      <c r="AL86" s="2">
        <f>$E$4*AF86*攻城基础信息!AG87</f>
        <v>8362162.0068920525</v>
      </c>
      <c r="AN86" s="2">
        <v>83</v>
      </c>
      <c r="AO86" s="2">
        <f>求节点(节奏总纲!D$4:D$163,AH$4:AH$163,$AN86)*其他调用!H87*其他调用!$M87</f>
        <v>143288174.15462577</v>
      </c>
      <c r="AP86" s="2">
        <f>求节点(节奏总纲!E$4:E$163,AI$4:AI$163,$AN86)*其他调用!I87*其他调用!$M87</f>
        <v>157057901.26657775</v>
      </c>
      <c r="AQ86" s="2">
        <f>求节点(节奏总纲!F$4:F$163,AJ$4:AJ$163,$AN86)*其他调用!J87*其他调用!$M87</f>
        <v>15981709.693319459</v>
      </c>
      <c r="AR86" s="2">
        <f>求节点(节奏总纲!G$4:G$163,AK$4:AK$163,$AN86)*其他调用!K87*其他调用!$M87</f>
        <v>3731209.139147751</v>
      </c>
      <c r="AS86" s="2">
        <f>求节点(节奏总纲!H$4:H$163,AL$4:AL$163,$AN86)*其他调用!L87*其他调用!$M87</f>
        <v>1580466.8501254488</v>
      </c>
      <c r="AT86" s="2">
        <f t="shared" si="13"/>
        <v>321639461.10379612</v>
      </c>
      <c r="AY86" s="2">
        <v>83</v>
      </c>
      <c r="AZ86" s="2">
        <f>其他调用!R87*6*(其他调用!AH$2*$AZ$1*MIN(其他调用!$AJ87/其他调用!AH87,1)+$E$4*0%*攻城基础信息!AC87)</f>
        <v>8548.7041739231536</v>
      </c>
      <c r="BA86" s="2">
        <f>其他调用!S87*6*(其他调用!AI$2*$AZ$1*MIN(其他调用!$AJ87/其他调用!AI87,1)+$E$4*0%*攻城基础信息!AD87)</f>
        <v>25834.077478342737</v>
      </c>
      <c r="BB86" s="2">
        <f>其他调用!T87*6*(其他调用!AJ$2*$AZ$1*MIN(其他调用!$AJ87/其他调用!AJ87,1)+$E$4*0%*攻城基础信息!AE87)</f>
        <v>78122.920066473424</v>
      </c>
      <c r="BC86" s="2">
        <f>其他调用!U87*6*(其他调用!AK$2*$AZ$1*MIN(其他调用!$AJ87/其他调用!AK87,1)+$E$4*0%*攻城基础信息!AF87)</f>
        <v>36051.68591390334</v>
      </c>
      <c r="BD86" s="2">
        <f>其他调用!V87*6*(其他调用!AL$2*$AZ$1*MIN(其他调用!$AJ87/其他调用!AL87,1)+$E$4*0%*攻城基础信息!AG87)</f>
        <v>9976.8586432133052</v>
      </c>
      <c r="BF86" s="2">
        <v>83</v>
      </c>
      <c r="BG86" s="2">
        <f>求节点(节奏总纲!D$4:D$163,AZ$4:AZ$163,$AN86)</f>
        <v>7015.5578213129766</v>
      </c>
      <c r="BH86" s="2">
        <f>求节点(节奏总纲!E$4:E$163,BA$4:BA$163,$AN86)</f>
        <v>21729.089421173412</v>
      </c>
      <c r="BI86" s="2">
        <f>求节点(节奏总纲!F$4:F$163,BB$4:BB$163,$AN86)</f>
        <v>67901.846436866661</v>
      </c>
      <c r="BJ86" s="2">
        <f>求节点(节奏总纲!G$4:G$163,BC$4:BC$163,$AN86)</f>
        <v>32189.702741508223</v>
      </c>
      <c r="BK86" s="2">
        <f>求节点(节奏总纲!H$4:H$163,BD$4:BD$163,$AN86)</f>
        <v>9902.3137220776316</v>
      </c>
      <c r="BL86" s="2">
        <f>BG86*其他调用!H87*其他调用!$M87</f>
        <v>340616.30473256652</v>
      </c>
      <c r="BM86" s="2">
        <f>BH86*其他调用!I87*其他调用!$M87</f>
        <v>1015466.408431118</v>
      </c>
      <c r="BN86" s="2">
        <f>BI86*其他调用!J87*其他调用!$M87</f>
        <v>261225.75164346036</v>
      </c>
      <c r="BO86" s="2">
        <f>BJ86*其他调用!K87*其他调用!$M87</f>
        <v>21747.865331525729</v>
      </c>
      <c r="BP86" s="2">
        <f>BK86*其他调用!L87*其他调用!$M87</f>
        <v>1907.8985894601412</v>
      </c>
      <c r="BQ86" s="2">
        <f t="shared" si="14"/>
        <v>1640964.2287281307</v>
      </c>
      <c r="BR86" s="2">
        <f>[1]服务器生态!$R85</f>
        <v>0.59661565490556434</v>
      </c>
      <c r="BS86" s="2" t="e">
        <f>SUMPRODUCT((BG$4:BG86)*($BR$4:$BR86)*(其他调用!#REF!))</f>
        <v>#REF!</v>
      </c>
      <c r="BT86" s="2" t="e">
        <f>SUMPRODUCT((BH$4:BH86)*($BR$4:$BR86)*(其他调用!#REF!))</f>
        <v>#REF!</v>
      </c>
      <c r="BU86" s="2" t="e">
        <f>SUMPRODUCT((BI$4:BI86)*($BR$4:$BR86)*(其他调用!#REF!))</f>
        <v>#REF!</v>
      </c>
      <c r="BV86" s="2" t="e">
        <f>SUMPRODUCT((BJ$4:BJ86)*($BR$4:$BR86)*(其他调用!#REF!))</f>
        <v>#REF!</v>
      </c>
      <c r="BW86" s="2" t="e">
        <f>SUMPRODUCT((BK$4:BK86)*($BR$4:$BR86)*(其他调用!#REF!))</f>
        <v>#REF!</v>
      </c>
      <c r="BX86" s="2" t="e">
        <f>SUMPRODUCT((BG$4:BG86)*($BR$4:$BR86))*'[1]功能-战损相关'!$D$2-BS86</f>
        <v>#REF!</v>
      </c>
      <c r="BY86" s="2" t="e">
        <f>SUMPRODUCT((BH$4:BH86)*($BR$4:$BR86))*'[1]功能-战损相关'!$D$2-BT86</f>
        <v>#REF!</v>
      </c>
      <c r="BZ86" s="2" t="e">
        <f>SUMPRODUCT((BI$4:BI86)*($BR$4:$BR86))*'[1]功能-战损相关'!$D$2-BU86</f>
        <v>#REF!</v>
      </c>
      <c r="CA86" s="2" t="e">
        <f>SUMPRODUCT((BJ$4:BJ86)*($BR$4:$BR86))*'[1]功能-战损相关'!$D$2-BV86</f>
        <v>#REF!</v>
      </c>
      <c r="CB86" s="2" t="e">
        <f>SUMPRODUCT((BK$4:BK86)*($BR$4:$BR86))*'[1]功能-战损相关'!$D$2-BW86</f>
        <v>#REF!</v>
      </c>
      <c r="CD86" s="2">
        <v>83</v>
      </c>
      <c r="CE86" s="7">
        <v>1</v>
      </c>
      <c r="CF86" s="2" t="e">
        <f>求节点(节奏总纲!R$4:R$363,BS$4:BS$363,$CD86)*$CE86</f>
        <v>#VALUE!</v>
      </c>
      <c r="CG86" s="2" t="e">
        <f>求节点(节奏总纲!S$4:S$363,BT$4:BT$363,$CD86)*$CE86</f>
        <v>#VALUE!</v>
      </c>
      <c r="CH86" s="2" t="e">
        <f>求节点(节奏总纲!T$4:T$363,BU$4:BU$363,$CD86)*$CE86</f>
        <v>#VALUE!</v>
      </c>
      <c r="CI86" s="2" t="e">
        <f>求节点(节奏总纲!U$4:U$363,BV$4:BV$363,$CD86)*$CE86</f>
        <v>#VALUE!</v>
      </c>
      <c r="CJ86" s="2" t="e">
        <f>求节点(节奏总纲!V$4:V$363,BW$4:BW$363,$CD86)*$CE86</f>
        <v>#VALUE!</v>
      </c>
      <c r="CK86" s="2" t="e">
        <f>求节点(节奏总纲!R$4:R$363,BX$4:BX$363,$CD86)*$CE86</f>
        <v>#VALUE!</v>
      </c>
      <c r="CL86" s="2" t="e">
        <f>求节点(节奏总纲!S$4:S$363,BY$4:BY$363,$CD86)*$CE86</f>
        <v>#VALUE!</v>
      </c>
      <c r="CM86" s="2" t="e">
        <f>求节点(节奏总纲!T$4:T$363,BZ$4:BZ$363,$CD86)*$CE86</f>
        <v>#VALUE!</v>
      </c>
      <c r="CN86" s="2" t="e">
        <f>求节点(节奏总纲!U$4:U$363,CA$4:CA$363,$CD86)*$CE86</f>
        <v>#VALUE!</v>
      </c>
      <c r="CO86" s="2" t="e">
        <f>求节点(节奏总纲!V$4:V$363,CB$4:CB$363,$CD86)*$CE86</f>
        <v>#VALUE!</v>
      </c>
    </row>
    <row r="87" spans="27:93" x14ac:dyDescent="0.15">
      <c r="AA87" s="2">
        <v>84</v>
      </c>
      <c r="AB87" s="2">
        <f>攻城基础信息!X88*$E$12</f>
        <v>235911.87314336107</v>
      </c>
      <c r="AC87" s="2">
        <f>攻城基础信息!Y88*$E$12</f>
        <v>258706.07196051345</v>
      </c>
      <c r="AD87" s="2">
        <f>攻城基础信息!Z88*$E$12</f>
        <v>281855.08223483589</v>
      </c>
      <c r="AE87" s="2">
        <f>攻城基础信息!AA88*$E$12</f>
        <v>336227.15160092601</v>
      </c>
      <c r="AF87" s="2">
        <f>攻城基础信息!AB88*$E$12</f>
        <v>346962.28669508005</v>
      </c>
      <c r="AH87" s="2">
        <f>$E$4*AB87*攻城基础信息!AC88</f>
        <v>5779840.8920123428</v>
      </c>
      <c r="AI87" s="2">
        <f>$E$4*AC87*攻城基础信息!AD88</f>
        <v>6338298.7630325751</v>
      </c>
      <c r="AJ87" s="2">
        <f>$E$4*AD87*攻城基础信息!AE88</f>
        <v>6905449.5147534749</v>
      </c>
      <c r="AK87" s="2">
        <f>$E$4*AE87*攻城基础信息!AF88</f>
        <v>8237565.2142226817</v>
      </c>
      <c r="AL87" s="2">
        <f>$E$4*AF87*攻城基础信息!AG88</f>
        <v>8500576.0240294561</v>
      </c>
      <c r="AN87" s="2">
        <v>84</v>
      </c>
      <c r="AO87" s="2">
        <f>求节点(节奏总纲!D$4:D$163,AH$4:AH$163,$AN87)*其他调用!H88*其他调用!$M88</f>
        <v>143982414.327057</v>
      </c>
      <c r="AP87" s="2">
        <f>求节点(节奏总纲!E$4:E$163,AI$4:AI$163,$AN87)*其他调用!I88*其他调用!$M88</f>
        <v>158967487.49693647</v>
      </c>
      <c r="AQ87" s="2">
        <f>求节点(节奏总纲!F$4:F$163,AJ$4:AJ$163,$AN87)*其他调用!J88*其他调用!$M88</f>
        <v>16084462.75594417</v>
      </c>
      <c r="AR87" s="2">
        <f>求节点(节奏总纲!G$4:G$163,AK$4:AK$163,$AN87)*其他调用!K88*其他调用!$M88</f>
        <v>3767749.132987536</v>
      </c>
      <c r="AS87" s="2">
        <f>求节点(节奏总纲!H$4:H$163,AL$4:AL$163,$AN87)*其他调用!L88*其他调用!$M88</f>
        <v>1593323.5170168434</v>
      </c>
      <c r="AT87" s="2">
        <f t="shared" si="13"/>
        <v>324395437.22994202</v>
      </c>
      <c r="AY87" s="2">
        <v>84</v>
      </c>
      <c r="AZ87" s="2">
        <f>其他调用!R88*6*(其他调用!AH$2*$AZ$1*MIN(其他调用!$AJ88/其他调用!AH88,1)+$E$4*0%*攻城基础信息!AC88)</f>
        <v>8629.2780472096329</v>
      </c>
      <c r="BA87" s="2">
        <f>其他调用!S88*6*(其他调用!AI$2*$AZ$1*MIN(其他调用!$AJ88/其他调用!AI88,1)+$E$4*0%*攻城基础信息!AD88)</f>
        <v>26077.024645082616</v>
      </c>
      <c r="BB87" s="2">
        <f>其他调用!T88*6*(其他调用!AJ$2*$AZ$1*MIN(其他调用!$AJ88/其他调用!AJ88,1)+$E$4*0%*攻城基础信息!AE88)</f>
        <v>78833.594512846728</v>
      </c>
      <c r="BC87" s="2">
        <f>其他调用!U88*6*(其他调用!AK$2*$AZ$1*MIN(其他调用!$AJ88/其他调用!AK88,1)+$E$4*0%*攻城基础信息!AF88)</f>
        <v>36406.353552453547</v>
      </c>
      <c r="BD87" s="2">
        <f>其他调用!V88*6*(其他调用!AL$2*$AZ$1*MIN(其他调用!$AJ88/其他调用!AL88,1)+$E$4*0%*攻城基础信息!AG88)</f>
        <v>10075.3830740783</v>
      </c>
      <c r="BF87" s="2">
        <v>84</v>
      </c>
      <c r="BG87" s="2">
        <f>求节点(节奏总纲!D$4:D$163,AZ$4:AZ$163,$AN87)</f>
        <v>7029.2550715591269</v>
      </c>
      <c r="BH87" s="2">
        <f>求节点(节奏总纲!E$4:E$163,BA$4:BA$163,$AN87)</f>
        <v>21769.863817842725</v>
      </c>
      <c r="BI87" s="2">
        <f>求节点(节奏总纲!F$4:F$163,BB$4:BB$163,$AN87)</f>
        <v>68028.052529300272</v>
      </c>
      <c r="BJ87" s="2">
        <f>求节点(节奏总纲!G$4:G$163,BC$4:BC$163,$AN87)</f>
        <v>32273.88587362416</v>
      </c>
      <c r="BK87" s="2">
        <f>求节点(节奏总纲!H$4:H$163,BD$4:BD$163,$AN87)</f>
        <v>9914.4310993662948</v>
      </c>
      <c r="BL87" s="2">
        <f>BG87*其他调用!H88*其他调用!$M88</f>
        <v>340689.85221698222</v>
      </c>
      <c r="BM87" s="2">
        <f>BH87*其他调用!I88*其他调用!$M88</f>
        <v>1019108.7619225937</v>
      </c>
      <c r="BN87" s="2">
        <f>BI87*其他调用!J88*其他调用!$M88</f>
        <v>261840.64804830772</v>
      </c>
      <c r="BO87" s="2">
        <f>BJ87*其他调用!K88*其他调用!$M88</f>
        <v>21856.28861935747</v>
      </c>
      <c r="BP87" s="2">
        <f>BK87*其他调用!L88*其他调用!$M88</f>
        <v>1918.799337246955</v>
      </c>
      <c r="BQ87" s="2">
        <f t="shared" si="14"/>
        <v>1645414.350144488</v>
      </c>
      <c r="BR87" s="2">
        <f>[1]服务器生态!$R86</f>
        <v>0.51401918537331626</v>
      </c>
      <c r="BS87" s="2" t="e">
        <f>SUMPRODUCT((BG$4:BG87)*($BR$4:$BR87)*(其他调用!#REF!))</f>
        <v>#REF!</v>
      </c>
      <c r="BT87" s="2" t="e">
        <f>SUMPRODUCT((BH$4:BH87)*($BR$4:$BR87)*(其他调用!#REF!))</f>
        <v>#REF!</v>
      </c>
      <c r="BU87" s="2" t="e">
        <f>SUMPRODUCT((BI$4:BI87)*($BR$4:$BR87)*(其他调用!#REF!))</f>
        <v>#REF!</v>
      </c>
      <c r="BV87" s="2" t="e">
        <f>SUMPRODUCT((BJ$4:BJ87)*($BR$4:$BR87)*(其他调用!#REF!))</f>
        <v>#REF!</v>
      </c>
      <c r="BW87" s="2" t="e">
        <f>SUMPRODUCT((BK$4:BK87)*($BR$4:$BR87)*(其他调用!#REF!))</f>
        <v>#REF!</v>
      </c>
      <c r="BX87" s="2" t="e">
        <f>SUMPRODUCT((BG$4:BG87)*($BR$4:$BR87))*'[1]功能-战损相关'!$D$2-BS87</f>
        <v>#REF!</v>
      </c>
      <c r="BY87" s="2" t="e">
        <f>SUMPRODUCT((BH$4:BH87)*($BR$4:$BR87))*'[1]功能-战损相关'!$D$2-BT87</f>
        <v>#REF!</v>
      </c>
      <c r="BZ87" s="2" t="e">
        <f>SUMPRODUCT((BI$4:BI87)*($BR$4:$BR87))*'[1]功能-战损相关'!$D$2-BU87</f>
        <v>#REF!</v>
      </c>
      <c r="CA87" s="2" t="e">
        <f>SUMPRODUCT((BJ$4:BJ87)*($BR$4:$BR87))*'[1]功能-战损相关'!$D$2-BV87</f>
        <v>#REF!</v>
      </c>
      <c r="CB87" s="2" t="e">
        <f>SUMPRODUCT((BK$4:BK87)*($BR$4:$BR87))*'[1]功能-战损相关'!$D$2-BW87</f>
        <v>#REF!</v>
      </c>
      <c r="CD87" s="2">
        <v>84</v>
      </c>
      <c r="CE87" s="7">
        <v>1</v>
      </c>
      <c r="CF87" s="2" t="e">
        <f>求节点(节奏总纲!R$4:R$363,BS$4:BS$363,$CD87)*$CE87</f>
        <v>#VALUE!</v>
      </c>
      <c r="CG87" s="2" t="e">
        <f>求节点(节奏总纲!S$4:S$363,BT$4:BT$363,$CD87)*$CE87</f>
        <v>#VALUE!</v>
      </c>
      <c r="CH87" s="2" t="e">
        <f>求节点(节奏总纲!T$4:T$363,BU$4:BU$363,$CD87)*$CE87</f>
        <v>#VALUE!</v>
      </c>
      <c r="CI87" s="2" t="e">
        <f>求节点(节奏总纲!U$4:U$363,BV$4:BV$363,$CD87)*$CE87</f>
        <v>#VALUE!</v>
      </c>
      <c r="CJ87" s="2" t="e">
        <f>求节点(节奏总纲!V$4:V$363,BW$4:BW$363,$CD87)*$CE87</f>
        <v>#VALUE!</v>
      </c>
      <c r="CK87" s="2" t="e">
        <f>求节点(节奏总纲!R$4:R$363,BX$4:BX$363,$CD87)*$CE87</f>
        <v>#VALUE!</v>
      </c>
      <c r="CL87" s="2" t="e">
        <f>求节点(节奏总纲!S$4:S$363,BY$4:BY$363,$CD87)*$CE87</f>
        <v>#VALUE!</v>
      </c>
      <c r="CM87" s="2" t="e">
        <f>求节点(节奏总纲!T$4:T$363,BZ$4:BZ$363,$CD87)*$CE87</f>
        <v>#VALUE!</v>
      </c>
      <c r="CN87" s="2" t="e">
        <f>求节点(节奏总纲!U$4:U$363,CA$4:CA$363,$CD87)*$CE87</f>
        <v>#VALUE!</v>
      </c>
      <c r="CO87" s="2" t="e">
        <f>求节点(节奏总纲!V$4:V$363,CB$4:CB$363,$CD87)*$CE87</f>
        <v>#VALUE!</v>
      </c>
    </row>
    <row r="88" spans="27:93" x14ac:dyDescent="0.15">
      <c r="AA88" s="2">
        <v>85</v>
      </c>
      <c r="AB88" s="2">
        <f>攻城基础信息!X89*$E$12</f>
        <v>243495.69014117931</v>
      </c>
      <c r="AC88" s="2">
        <f>攻城基础信息!Y89*$E$12</f>
        <v>266231.42417924263</v>
      </c>
      <c r="AD88" s="2">
        <f>攻城基础信息!Z89*$E$12</f>
        <v>291246.2383723887</v>
      </c>
      <c r="AE88" s="2">
        <f>攻城基础信息!AA89*$E$12</f>
        <v>341166.20857982192</v>
      </c>
      <c r="AF88" s="2">
        <f>攻城基础信息!AB89*$E$12</f>
        <v>351693.32559227856</v>
      </c>
      <c r="AH88" s="2">
        <f>$E$4*AB88*攻城基础信息!AC89</f>
        <v>5965644.4084588895</v>
      </c>
      <c r="AI88" s="2">
        <f>$E$4*AC88*攻城基础信息!AD89</f>
        <v>6522669.8923914405</v>
      </c>
      <c r="AJ88" s="2">
        <f>$E$4*AD88*攻城基础信息!AE89</f>
        <v>7135532.8401235184</v>
      </c>
      <c r="AK88" s="2">
        <f>$E$4*AE88*攻城基础信息!AF89</f>
        <v>8358572.1102056317</v>
      </c>
      <c r="AL88" s="2">
        <f>$E$4*AF88*攻城基础信息!AG89</f>
        <v>8616486.4770108201</v>
      </c>
      <c r="AN88" s="2">
        <v>85</v>
      </c>
      <c r="AO88" s="2">
        <f>求节点(节奏总纲!D$4:D$163,AH$4:AH$163,$AN88)*其他调用!H89*其他调用!$M89</f>
        <v>144656166.30174035</v>
      </c>
      <c r="AP88" s="2">
        <f>求节点(节奏总纲!E$4:E$163,AI$4:AI$163,$AN88)*其他调用!I89*其他调用!$M89</f>
        <v>161269789.0331693</v>
      </c>
      <c r="AQ88" s="2">
        <f>求节点(节奏总纲!F$4:F$163,AJ$4:AJ$163,$AN88)*其他调用!J89*其他调用!$M89</f>
        <v>16166945.414636692</v>
      </c>
      <c r="AR88" s="2">
        <f>求节点(节奏总纲!G$4:G$163,AK$4:AK$163,$AN88)*其他调用!K89*其他调用!$M89</f>
        <v>3804419.877621904</v>
      </c>
      <c r="AS88" s="2">
        <f>求节点(节奏总纲!H$4:H$163,AL$4:AL$163,$AN88)*其他调用!L89*其他调用!$M89</f>
        <v>1605282.3808584567</v>
      </c>
      <c r="AT88" s="2">
        <f t="shared" si="13"/>
        <v>327502603.00802672</v>
      </c>
      <c r="AY88" s="2">
        <v>85</v>
      </c>
      <c r="AZ88" s="2">
        <f>其他调用!R89*6*(其他调用!AH$2*$AZ$1*MIN(其他调用!$AJ89/其他调用!AH89,1)+$E$4*0%*攻城基础信息!AC89)</f>
        <v>8709.3240369215582</v>
      </c>
      <c r="BA88" s="2">
        <f>其他调用!S89*6*(其他调用!AI$2*$AZ$1*MIN(其他调用!$AJ89/其他调用!AI89,1)+$E$4*0%*攻城基础信息!AD89)</f>
        <v>26315.133364246023</v>
      </c>
      <c r="BB88" s="2">
        <f>其他调用!T89*6*(其他调用!AJ$2*$AZ$1*MIN(其他调用!$AJ89/其他调用!AJ89,1)+$E$4*0%*攻城基础信息!AE89)</f>
        <v>79547.909940568075</v>
      </c>
      <c r="BC88" s="2">
        <f>其他调用!U89*6*(其他调用!AK$2*$AZ$1*MIN(其他调用!$AJ89/其他调用!AK89,1)+$E$4*0%*攻城基础信息!AF89)</f>
        <v>36735.572418601216</v>
      </c>
      <c r="BD88" s="2">
        <f>其他调用!V89*6*(其他调用!AL$2*$AZ$1*MIN(其他调用!$AJ89/其他调用!AL89,1)+$E$4*0%*攻城基础信息!AG89)</f>
        <v>10179.498366368567</v>
      </c>
      <c r="BF88" s="2">
        <v>85</v>
      </c>
      <c r="BG88" s="2">
        <f>求节点(节奏总纲!D$4:D$163,AZ$4:AZ$163,$AN88)</f>
        <v>7042.4260865679053</v>
      </c>
      <c r="BH88" s="2">
        <f>求节点(节奏总纲!E$4:E$163,BA$4:BA$163,$AN88)</f>
        <v>21809.818273126719</v>
      </c>
      <c r="BI88" s="2">
        <f>求节点(节奏总纲!F$4:F$163,BB$4:BB$163,$AN88)</f>
        <v>68146.738784000874</v>
      </c>
      <c r="BJ88" s="2">
        <f>求节点(节奏总纲!G$4:G$163,BC$4:BC$163,$AN88)</f>
        <v>32358.069005740093</v>
      </c>
      <c r="BK88" s="2">
        <f>求节点(节奏总纲!H$4:H$163,BD$4:BD$163,$AN88)</f>
        <v>9926.4509445932381</v>
      </c>
      <c r="BL88" s="2">
        <f>BG88*其他调用!H89*其他调用!$M89</f>
        <v>340735.6336120725</v>
      </c>
      <c r="BM88" s="2">
        <f>BH88*其他调用!I89*其他调用!$M89</f>
        <v>1022719.1723483147</v>
      </c>
      <c r="BN88" s="2">
        <f>BI88*其他调用!J89*其他调用!$M89</f>
        <v>262427.0662312702</v>
      </c>
      <c r="BO88" s="2">
        <f>BJ88*其他调用!K89*其他调用!$M89</f>
        <v>21964.980821786437</v>
      </c>
      <c r="BP88" s="2">
        <f>BK88*其他调用!L89*其他调用!$M89</f>
        <v>1929.7020636289253</v>
      </c>
      <c r="BQ88" s="2">
        <f t="shared" si="14"/>
        <v>1649776.5550770727</v>
      </c>
      <c r="BR88" s="2">
        <f>[1]服务器生态!$R87</f>
        <v>0.43142271584106812</v>
      </c>
      <c r="BS88" s="2" t="e">
        <f>SUMPRODUCT((BG$4:BG88)*($BR$4:$BR88)*(其他调用!#REF!))</f>
        <v>#REF!</v>
      </c>
      <c r="BT88" s="2" t="e">
        <f>SUMPRODUCT((BH$4:BH88)*($BR$4:$BR88)*(其他调用!#REF!))</f>
        <v>#REF!</v>
      </c>
      <c r="BU88" s="2" t="e">
        <f>SUMPRODUCT((BI$4:BI88)*($BR$4:$BR88)*(其他调用!#REF!))</f>
        <v>#REF!</v>
      </c>
      <c r="BV88" s="2" t="e">
        <f>SUMPRODUCT((BJ$4:BJ88)*($BR$4:$BR88)*(其他调用!#REF!))</f>
        <v>#REF!</v>
      </c>
      <c r="BW88" s="2" t="e">
        <f>SUMPRODUCT((BK$4:BK88)*($BR$4:$BR88)*(其他调用!#REF!))</f>
        <v>#REF!</v>
      </c>
      <c r="BX88" s="2" t="e">
        <f>SUMPRODUCT((BG$4:BG88)*($BR$4:$BR88))*'[1]功能-战损相关'!$D$2-BS88</f>
        <v>#REF!</v>
      </c>
      <c r="BY88" s="2" t="e">
        <f>SUMPRODUCT((BH$4:BH88)*($BR$4:$BR88))*'[1]功能-战损相关'!$D$2-BT88</f>
        <v>#REF!</v>
      </c>
      <c r="BZ88" s="2" t="e">
        <f>SUMPRODUCT((BI$4:BI88)*($BR$4:$BR88))*'[1]功能-战损相关'!$D$2-BU88</f>
        <v>#REF!</v>
      </c>
      <c r="CA88" s="2" t="e">
        <f>SUMPRODUCT((BJ$4:BJ88)*($BR$4:$BR88))*'[1]功能-战损相关'!$D$2-BV88</f>
        <v>#REF!</v>
      </c>
      <c r="CB88" s="2" t="e">
        <f>SUMPRODUCT((BK$4:BK88)*($BR$4:$BR88))*'[1]功能-战损相关'!$D$2-BW88</f>
        <v>#REF!</v>
      </c>
      <c r="CD88" s="2">
        <v>85</v>
      </c>
      <c r="CE88" s="7">
        <v>1</v>
      </c>
      <c r="CF88" s="2" t="e">
        <f>求节点(节奏总纲!R$4:R$363,BS$4:BS$363,$CD88)*$CE88</f>
        <v>#VALUE!</v>
      </c>
      <c r="CG88" s="2" t="e">
        <f>求节点(节奏总纲!S$4:S$363,BT$4:BT$363,$CD88)*$CE88</f>
        <v>#VALUE!</v>
      </c>
      <c r="CH88" s="2" t="e">
        <f>求节点(节奏总纲!T$4:T$363,BU$4:BU$363,$CD88)*$CE88</f>
        <v>#VALUE!</v>
      </c>
      <c r="CI88" s="2" t="e">
        <f>求节点(节奏总纲!U$4:U$363,BV$4:BV$363,$CD88)*$CE88</f>
        <v>#VALUE!</v>
      </c>
      <c r="CJ88" s="2" t="e">
        <f>求节点(节奏总纲!V$4:V$363,BW$4:BW$363,$CD88)*$CE88</f>
        <v>#VALUE!</v>
      </c>
      <c r="CK88" s="2" t="e">
        <f>求节点(节奏总纲!R$4:R$363,BX$4:BX$363,$CD88)*$CE88</f>
        <v>#VALUE!</v>
      </c>
      <c r="CL88" s="2" t="e">
        <f>求节点(节奏总纲!S$4:S$363,BY$4:BY$363,$CD88)*$CE88</f>
        <v>#VALUE!</v>
      </c>
      <c r="CM88" s="2" t="e">
        <f>求节点(节奏总纲!T$4:T$363,BZ$4:BZ$363,$CD88)*$CE88</f>
        <v>#VALUE!</v>
      </c>
      <c r="CN88" s="2" t="e">
        <f>求节点(节奏总纲!U$4:U$363,CA$4:CA$363,$CD88)*$CE88</f>
        <v>#VALUE!</v>
      </c>
      <c r="CO88" s="2" t="e">
        <f>求节点(节奏总纲!V$4:V$363,CB$4:CB$363,$CD88)*$CE88</f>
        <v>#VALUE!</v>
      </c>
    </row>
    <row r="89" spans="27:93" x14ac:dyDescent="0.15">
      <c r="AA89" s="2">
        <v>86</v>
      </c>
      <c r="AB89" s="2">
        <f>攻城基础信息!X90*$E$12</f>
        <v>251272.16409927278</v>
      </c>
      <c r="AC89" s="2">
        <f>攻城基础信息!Y90*$E$12</f>
        <v>273900.23050114</v>
      </c>
      <c r="AD89" s="2">
        <f>攻城基础信息!Z90*$E$12</f>
        <v>300877.49413983716</v>
      </c>
      <c r="AE89" s="2">
        <f>攻城基础信息!AA90*$E$12</f>
        <v>346144.57990932988</v>
      </c>
      <c r="AF89" s="2">
        <f>攻城基础信息!AB90*$E$12</f>
        <v>356469.02128405508</v>
      </c>
      <c r="AH89" s="2">
        <f>$E$4*AB89*攻城基础信息!AC90</f>
        <v>6156168.0204321789</v>
      </c>
      <c r="AI89" s="2">
        <f>$E$4*AC89*攻城基础信息!AD90</f>
        <v>6710555.6472779261</v>
      </c>
      <c r="AJ89" s="2">
        <f>$E$4*AD89*攻城基础信息!AE90</f>
        <v>7371498.6064260062</v>
      </c>
      <c r="AK89" s="2">
        <f>$E$4*AE89*攻城基础信息!AF90</f>
        <v>8480542.2077785768</v>
      </c>
      <c r="AL89" s="2">
        <f>$E$4*AF89*攻城基础信息!AG90</f>
        <v>8733491.0214593448</v>
      </c>
      <c r="AN89" s="2">
        <v>86</v>
      </c>
      <c r="AO89" s="2">
        <f>求节点(节奏总纲!D$4:D$163,AH$4:AH$163,$AN89)*其他调用!H90*其他调用!$M90</f>
        <v>145326705.33227059</v>
      </c>
      <c r="AP89" s="2">
        <f>求节点(节奏总纲!E$4:E$163,AI$4:AI$163,$AN89)*其他调用!I90*其他调用!$M90</f>
        <v>163579002.84116128</v>
      </c>
      <c r="AQ89" s="2">
        <f>求节点(节奏总纲!F$4:F$163,AJ$4:AJ$163,$AN89)*其他调用!J90*其他调用!$M90</f>
        <v>16249501.688924016</v>
      </c>
      <c r="AR89" s="2">
        <f>求节点(节奏总纲!G$4:G$163,AK$4:AK$163,$AN89)*其他调用!K90*其他调用!$M90</f>
        <v>3841221.3730508564</v>
      </c>
      <c r="AS89" s="2">
        <f>求节点(节奏总纲!H$4:H$163,AL$4:AL$163,$AN89)*其他调用!L90*其他调用!$M90</f>
        <v>1617284.3185883039</v>
      </c>
      <c r="AT89" s="2">
        <f t="shared" si="13"/>
        <v>330613715.55399507</v>
      </c>
      <c r="AY89" s="2">
        <v>86</v>
      </c>
      <c r="AZ89" s="2">
        <f>其他调用!R90*6*(其他调用!AH$2*$AZ$1*MIN(其他调用!$AJ90/其他调用!AH90,1)+$E$4*0%*攻城基础信息!AC90)</f>
        <v>8790.4675815611099</v>
      </c>
      <c r="BA89" s="2">
        <f>其他调用!S90*6*(其他调用!AI$2*$AZ$1*MIN(其他调用!$AJ90/其他调用!AI90,1)+$E$4*0%*攻城基础信息!AD90)</f>
        <v>26553.869346088028</v>
      </c>
      <c r="BB89" s="2">
        <f>其他调用!T90*6*(其他调用!AJ$2*$AZ$1*MIN(其他调用!$AJ90/其他调用!AJ90,1)+$E$4*0%*攻城基础信息!AE90)</f>
        <v>80273.285750484763</v>
      </c>
      <c r="BC89" s="2">
        <f>其他调用!U90*6*(其他调用!AK$2*$AZ$1*MIN(其他调用!$AJ90/其他调用!AK90,1)+$E$4*0%*攻城基础信息!AF90)</f>
        <v>37080.374950921076</v>
      </c>
      <c r="BD89" s="2">
        <f>其他调用!V90*6*(其他调用!AL$2*$AZ$1*MIN(其他调用!$AJ90/其他调用!AL90,1)+$E$4*0%*攻城基础信息!AG90)</f>
        <v>10271.58065419497</v>
      </c>
      <c r="BF89" s="2">
        <v>86</v>
      </c>
      <c r="BG89" s="2">
        <f>求节点(节奏总纲!D$4:D$163,AZ$4:AZ$163,$AN89)</f>
        <v>7055.5971015766845</v>
      </c>
      <c r="BH89" s="2">
        <f>求节点(节奏总纲!E$4:E$163,BA$4:BA$163,$AN89)</f>
        <v>21849.772728410713</v>
      </c>
      <c r="BI89" s="2">
        <f>求节点(节奏总纲!F$4:F$163,BB$4:BB$163,$AN89)</f>
        <v>68265.425038701476</v>
      </c>
      <c r="BJ89" s="2">
        <f>求节点(节奏总纲!G$4:G$163,BC$4:BC$163,$AN89)</f>
        <v>32442.25213785603</v>
      </c>
      <c r="BK89" s="2">
        <f>求节点(节奏总纲!H$4:H$163,BD$4:BD$163,$AN89)</f>
        <v>9938.4707898201814</v>
      </c>
      <c r="BL89" s="2">
        <f>BG89*其他调用!H90*其他调用!$M90</f>
        <v>340779.19846165681</v>
      </c>
      <c r="BM89" s="2">
        <f>BH89*其他调用!I90*其他调用!$M90</f>
        <v>1026335.9580619652</v>
      </c>
      <c r="BN89" s="2">
        <f>BI89*其他调用!J90*其他调用!$M90</f>
        <v>263013.93582191056</v>
      </c>
      <c r="BO89" s="2">
        <f>BJ89*其他调用!K90*其他调用!$M90</f>
        <v>22073.941938812644</v>
      </c>
      <c r="BP89" s="2">
        <f>BK89*其他调用!L90*其他调用!$M90</f>
        <v>1940.6255603034476</v>
      </c>
      <c r="BQ89" s="2">
        <f t="shared" si="14"/>
        <v>1654143.6598446488</v>
      </c>
      <c r="BR89" s="2">
        <f>[1]服务器生态!$R88</f>
        <v>0.34882624630881998</v>
      </c>
      <c r="BS89" s="2" t="e">
        <f>SUMPRODUCT((BG$4:BG89)*($BR$4:$BR89)*(其他调用!#REF!))</f>
        <v>#REF!</v>
      </c>
      <c r="BT89" s="2" t="e">
        <f>SUMPRODUCT((BH$4:BH89)*($BR$4:$BR89)*(其他调用!#REF!))</f>
        <v>#REF!</v>
      </c>
      <c r="BU89" s="2" t="e">
        <f>SUMPRODUCT((BI$4:BI89)*($BR$4:$BR89)*(其他调用!#REF!))</f>
        <v>#REF!</v>
      </c>
      <c r="BV89" s="2" t="e">
        <f>SUMPRODUCT((BJ$4:BJ89)*($BR$4:$BR89)*(其他调用!#REF!))</f>
        <v>#REF!</v>
      </c>
      <c r="BW89" s="2" t="e">
        <f>SUMPRODUCT((BK$4:BK89)*($BR$4:$BR89)*(其他调用!#REF!))</f>
        <v>#REF!</v>
      </c>
      <c r="BX89" s="2" t="e">
        <f>SUMPRODUCT((BG$4:BG89)*($BR$4:$BR89))*'[1]功能-战损相关'!$D$2-BS89</f>
        <v>#REF!</v>
      </c>
      <c r="BY89" s="2" t="e">
        <f>SUMPRODUCT((BH$4:BH89)*($BR$4:$BR89))*'[1]功能-战损相关'!$D$2-BT89</f>
        <v>#REF!</v>
      </c>
      <c r="BZ89" s="2" t="e">
        <f>SUMPRODUCT((BI$4:BI89)*($BR$4:$BR89))*'[1]功能-战损相关'!$D$2-BU89</f>
        <v>#REF!</v>
      </c>
      <c r="CA89" s="2" t="e">
        <f>SUMPRODUCT((BJ$4:BJ89)*($BR$4:$BR89))*'[1]功能-战损相关'!$D$2-BV89</f>
        <v>#REF!</v>
      </c>
      <c r="CB89" s="2" t="e">
        <f>SUMPRODUCT((BK$4:BK89)*($BR$4:$BR89))*'[1]功能-战损相关'!$D$2-BW89</f>
        <v>#REF!</v>
      </c>
      <c r="CD89" s="2">
        <v>86</v>
      </c>
      <c r="CE89" s="7">
        <v>1</v>
      </c>
      <c r="CF89" s="2" t="e">
        <f>求节点(节奏总纲!R$4:R$363,BS$4:BS$363,$CD89)*$CE89</f>
        <v>#VALUE!</v>
      </c>
      <c r="CG89" s="2" t="e">
        <f>求节点(节奏总纲!S$4:S$363,BT$4:BT$363,$CD89)*$CE89</f>
        <v>#VALUE!</v>
      </c>
      <c r="CH89" s="2" t="e">
        <f>求节点(节奏总纲!T$4:T$363,BU$4:BU$363,$CD89)*$CE89</f>
        <v>#VALUE!</v>
      </c>
      <c r="CI89" s="2" t="e">
        <f>求节点(节奏总纲!U$4:U$363,BV$4:BV$363,$CD89)*$CE89</f>
        <v>#VALUE!</v>
      </c>
      <c r="CJ89" s="2" t="e">
        <f>求节点(节奏总纲!V$4:V$363,BW$4:BW$363,$CD89)*$CE89</f>
        <v>#VALUE!</v>
      </c>
      <c r="CK89" s="2" t="e">
        <f>求节点(节奏总纲!R$4:R$363,BX$4:BX$363,$CD89)*$CE89</f>
        <v>#VALUE!</v>
      </c>
      <c r="CL89" s="2" t="e">
        <f>求节点(节奏总纲!S$4:S$363,BY$4:BY$363,$CD89)*$CE89</f>
        <v>#VALUE!</v>
      </c>
      <c r="CM89" s="2" t="e">
        <f>求节点(节奏总纲!T$4:T$363,BZ$4:BZ$363,$CD89)*$CE89</f>
        <v>#VALUE!</v>
      </c>
      <c r="CN89" s="2" t="e">
        <f>求节点(节奏总纲!U$4:U$363,CA$4:CA$363,$CD89)*$CE89</f>
        <v>#VALUE!</v>
      </c>
      <c r="CO89" s="2" t="e">
        <f>求节点(节奏总纲!V$4:V$363,CB$4:CB$363,$CD89)*$CE89</f>
        <v>#VALUE!</v>
      </c>
    </row>
    <row r="90" spans="27:93" x14ac:dyDescent="0.15">
      <c r="AA90" s="2">
        <v>87</v>
      </c>
      <c r="AB90" s="2">
        <f>攻城基础信息!X91*$E$12</f>
        <v>258499.9215442393</v>
      </c>
      <c r="AC90" s="2">
        <f>攻城基础信息!Y91*$E$12</f>
        <v>281987.98645447363</v>
      </c>
      <c r="AD90" s="2">
        <f>攻城基础信息!Z91*$E$12</f>
        <v>310223.38067390997</v>
      </c>
      <c r="AE90" s="2">
        <f>攻城基础信息!AA91*$E$12</f>
        <v>350844.11682710913</v>
      </c>
      <c r="AF90" s="2">
        <f>攻城基础信息!AB91*$E$12</f>
        <v>361125.91971851792</v>
      </c>
      <c r="AH90" s="2">
        <f>$E$4*AB90*攻城基础信息!AC91</f>
        <v>6333248.0778338583</v>
      </c>
      <c r="AI90" s="2">
        <f>$E$4*AC90*攻城基础信息!AD91</f>
        <v>6908705.6681345999</v>
      </c>
      <c r="AJ90" s="2">
        <f>$E$4*AD90*攻城基础信息!AE91</f>
        <v>7600472.8265107889</v>
      </c>
      <c r="AK90" s="2">
        <f>$E$4*AE90*攻城基础信息!AF91</f>
        <v>8595680.8622641694</v>
      </c>
      <c r="AL90" s="2">
        <f>$E$4*AF90*攻城基础信息!AG91</f>
        <v>8847585.033103684</v>
      </c>
      <c r="AN90" s="2">
        <v>87</v>
      </c>
      <c r="AO90" s="2">
        <f>求节点(节奏总纲!D$4:D$163,AH$4:AH$163,$AN90)*其他调用!H91*其他调用!$M91</f>
        <v>145994031.41864783</v>
      </c>
      <c r="AP90" s="2">
        <f>求节点(节奏总纲!E$4:E$163,AI$4:AI$163,$AN90)*其他调用!I91*其他调用!$M91</f>
        <v>165895128.92091247</v>
      </c>
      <c r="AQ90" s="2">
        <f>求节点(节奏总纲!F$4:F$163,AJ$4:AJ$163,$AN90)*其他调用!J91*其他调用!$M91</f>
        <v>16332131.578806147</v>
      </c>
      <c r="AR90" s="2">
        <f>求节点(节奏总纲!G$4:G$163,AK$4:AK$163,$AN90)*其他调用!K91*其他调用!$M91</f>
        <v>3877960.3283153223</v>
      </c>
      <c r="AS90" s="2">
        <f>求节点(节奏总纲!H$4:H$163,AL$4:AL$163,$AN90)*其他调用!L91*其他调用!$M91</f>
        <v>1629329.3302063851</v>
      </c>
      <c r="AT90" s="2">
        <f t="shared" si="13"/>
        <v>333728581.57688814</v>
      </c>
      <c r="AY90" s="2">
        <v>87</v>
      </c>
      <c r="AZ90" s="2">
        <f>其他调用!R91*6*(其他调用!AH$2*$AZ$1*MIN(其他调用!$AJ91/其他调用!AH91,1)+$E$4*0%*攻城基础信息!AC91)</f>
        <v>8870.0447167778784</v>
      </c>
      <c r="BA90" s="2">
        <f>其他调用!S91*6*(其他调用!AI$2*$AZ$1*MIN(其他调用!$AJ91/其他调用!AI91,1)+$E$4*0%*攻城基础信息!AD91)</f>
        <v>26799.448992080837</v>
      </c>
      <c r="BB90" s="2">
        <f>其他调用!T91*6*(其他调用!AJ$2*$AZ$1*MIN(其他调用!$AJ91/其他调用!AJ91,1)+$E$4*0%*攻城基础信息!AE91)</f>
        <v>81010.547604278181</v>
      </c>
      <c r="BC90" s="2">
        <f>其他调用!U91*6*(其他调用!AK$2*$AZ$1*MIN(其他调用!$AJ91/其他调用!AK91,1)+$E$4*0%*攻城基础信息!AF91)</f>
        <v>37386.985734786656</v>
      </c>
      <c r="BD90" s="2">
        <f>其他调用!V91*6*(其他调用!AL$2*$AZ$1*MIN(其他调用!$AJ91/其他调用!AL91,1)+$E$4*0%*攻城基础信息!AG91)</f>
        <v>10366.713171693906</v>
      </c>
      <c r="BF90" s="2">
        <v>87</v>
      </c>
      <c r="BG90" s="2">
        <f>求节点(节奏总纲!D$4:D$163,AZ$4:AZ$163,$AN90)</f>
        <v>7068.7681165854638</v>
      </c>
      <c r="BH90" s="2">
        <f>求节点(节奏总纲!E$4:E$163,BA$4:BA$163,$AN90)</f>
        <v>21889.727183694707</v>
      </c>
      <c r="BI90" s="2">
        <f>求节点(节奏总纲!F$4:F$163,BB$4:BB$163,$AN90)</f>
        <v>68384.111293402078</v>
      </c>
      <c r="BJ90" s="2">
        <f>求节点(节奏总纲!G$4:G$163,BC$4:BC$163,$AN90)</f>
        <v>32526.015763301864</v>
      </c>
      <c r="BK90" s="2">
        <f>求节点(节奏总纲!H$4:H$163,BD$4:BD$163,$AN90)</f>
        <v>9950.4906350471247</v>
      </c>
      <c r="BL90" s="2">
        <f>BG90*其他调用!H91*其他调用!$M91</f>
        <v>340820.54676573514</v>
      </c>
      <c r="BM90" s="2">
        <f>BH90*其他调用!I91*其他调用!$M91</f>
        <v>1029959.1190635453</v>
      </c>
      <c r="BN90" s="2">
        <f>BI90*其他调用!J91*其他调用!$M91</f>
        <v>263601.25682022877</v>
      </c>
      <c r="BO90" s="2">
        <f>BJ90*其他调用!K91*其他调用!$M91</f>
        <v>22182.885865041233</v>
      </c>
      <c r="BP90" s="2">
        <f>BK90*其他调用!L91*其他调用!$M91</f>
        <v>1951.5698272705222</v>
      </c>
      <c r="BQ90" s="2">
        <f t="shared" si="14"/>
        <v>1658515.378341821</v>
      </c>
      <c r="BR90" s="2">
        <f>[1]服务器生态!$R89</f>
        <v>0.26622977677657178</v>
      </c>
      <c r="BS90" s="2" t="e">
        <f>SUMPRODUCT((BG$4:BG90)*($BR$4:$BR90)*(其他调用!#REF!))</f>
        <v>#REF!</v>
      </c>
      <c r="BT90" s="2" t="e">
        <f>SUMPRODUCT((BH$4:BH90)*($BR$4:$BR90)*(其他调用!#REF!))</f>
        <v>#REF!</v>
      </c>
      <c r="BU90" s="2" t="e">
        <f>SUMPRODUCT((BI$4:BI90)*($BR$4:$BR90)*(其他调用!#REF!))</f>
        <v>#REF!</v>
      </c>
      <c r="BV90" s="2" t="e">
        <f>SUMPRODUCT((BJ$4:BJ90)*($BR$4:$BR90)*(其他调用!#REF!))</f>
        <v>#REF!</v>
      </c>
      <c r="BW90" s="2" t="e">
        <f>SUMPRODUCT((BK$4:BK90)*($BR$4:$BR90)*(其他调用!#REF!))</f>
        <v>#REF!</v>
      </c>
      <c r="BX90" s="2" t="e">
        <f>SUMPRODUCT((BG$4:BG90)*($BR$4:$BR90))*'[1]功能-战损相关'!$D$2-BS90</f>
        <v>#REF!</v>
      </c>
      <c r="BY90" s="2" t="e">
        <f>SUMPRODUCT((BH$4:BH90)*($BR$4:$BR90))*'[1]功能-战损相关'!$D$2-BT90</f>
        <v>#REF!</v>
      </c>
      <c r="BZ90" s="2" t="e">
        <f>SUMPRODUCT((BI$4:BI90)*($BR$4:$BR90))*'[1]功能-战损相关'!$D$2-BU90</f>
        <v>#REF!</v>
      </c>
      <c r="CA90" s="2" t="e">
        <f>SUMPRODUCT((BJ$4:BJ90)*($BR$4:$BR90))*'[1]功能-战损相关'!$D$2-BV90</f>
        <v>#REF!</v>
      </c>
      <c r="CB90" s="2" t="e">
        <f>SUMPRODUCT((BK$4:BK90)*($BR$4:$BR90))*'[1]功能-战损相关'!$D$2-BW90</f>
        <v>#REF!</v>
      </c>
      <c r="CD90" s="2">
        <v>87</v>
      </c>
      <c r="CE90" s="7">
        <v>1</v>
      </c>
      <c r="CF90" s="2" t="e">
        <f>求节点(节奏总纲!R$4:R$363,BS$4:BS$363,$CD90)*$CE90</f>
        <v>#VALUE!</v>
      </c>
      <c r="CG90" s="2" t="e">
        <f>求节点(节奏总纲!S$4:S$363,BT$4:BT$363,$CD90)*$CE90</f>
        <v>#VALUE!</v>
      </c>
      <c r="CH90" s="2" t="e">
        <f>求节点(节奏总纲!T$4:T$363,BU$4:BU$363,$CD90)*$CE90</f>
        <v>#VALUE!</v>
      </c>
      <c r="CI90" s="2" t="e">
        <f>求节点(节奏总纲!U$4:U$363,BV$4:BV$363,$CD90)*$CE90</f>
        <v>#VALUE!</v>
      </c>
      <c r="CJ90" s="2" t="e">
        <f>求节点(节奏总纲!V$4:V$363,BW$4:BW$363,$CD90)*$CE90</f>
        <v>#VALUE!</v>
      </c>
      <c r="CK90" s="2" t="e">
        <f>求节点(节奏总纲!R$4:R$363,BX$4:BX$363,$CD90)*$CE90</f>
        <v>#VALUE!</v>
      </c>
      <c r="CL90" s="2" t="e">
        <f>求节点(节奏总纲!S$4:S$363,BY$4:BY$363,$CD90)*$CE90</f>
        <v>#VALUE!</v>
      </c>
      <c r="CM90" s="2" t="e">
        <f>求节点(节奏总纲!T$4:T$363,BZ$4:BZ$363,$CD90)*$CE90</f>
        <v>#VALUE!</v>
      </c>
      <c r="CN90" s="2" t="e">
        <f>求节点(节奏总纲!U$4:U$363,CA$4:CA$363,$CD90)*$CE90</f>
        <v>#VALUE!</v>
      </c>
      <c r="CO90" s="2" t="e">
        <f>求节点(节奏总纲!V$4:V$363,CB$4:CB$363,$CD90)*$CE90</f>
        <v>#VALUE!</v>
      </c>
    </row>
    <row r="91" spans="27:93" x14ac:dyDescent="0.15">
      <c r="AA91" s="2">
        <v>88</v>
      </c>
      <c r="AB91" s="2">
        <f>攻城基础信息!X92*$E$12</f>
        <v>274330.08377245965</v>
      </c>
      <c r="AC91" s="2">
        <f>攻城基础信息!Y92*$E$12</f>
        <v>299956.68716845638</v>
      </c>
      <c r="AD91" s="2">
        <f>攻城基础信息!Z92*$E$12</f>
        <v>329835.3876061691</v>
      </c>
      <c r="AE91" s="2">
        <f>攻城基础信息!AA92*$E$12</f>
        <v>367059.98352557869</v>
      </c>
      <c r="AF91" s="2">
        <f>攻城基础信息!AB92*$E$12</f>
        <v>378657.04554852686</v>
      </c>
      <c r="AH91" s="2">
        <f>$E$4*AB91*攻城基础信息!AC92</f>
        <v>6721087.0524252579</v>
      </c>
      <c r="AI91" s="2">
        <f>$E$4*AC91*攻城基础信息!AD92</f>
        <v>7348938.8356271759</v>
      </c>
      <c r="AJ91" s="2">
        <f>$E$4*AD91*攻城基础信息!AE92</f>
        <v>8080966.9963511378</v>
      </c>
      <c r="AK91" s="2">
        <f>$E$4*AE91*攻城基础信息!AF92</f>
        <v>8992969.5963766724</v>
      </c>
      <c r="AL91" s="2">
        <f>$E$4*AF91*攻城基础信息!AG92</f>
        <v>9277097.6159389019</v>
      </c>
      <c r="AN91" s="2">
        <v>88</v>
      </c>
      <c r="AO91" s="2">
        <f>求节点(节奏总纲!D$4:D$163,AH$4:AH$163,$AN91)*其他调用!H92*其他调用!$M92</f>
        <v>146658144.56087199</v>
      </c>
      <c r="AP91" s="2">
        <f>求节点(节奏总纲!E$4:E$163,AI$4:AI$163,$AN91)*其他调用!I92*其他调用!$M92</f>
        <v>168218167.27242282</v>
      </c>
      <c r="AQ91" s="2">
        <f>求节点(节奏总纲!F$4:F$163,AJ$4:AJ$163,$AN91)*其他调用!J92*其他调用!$M92</f>
        <v>16414835.084283089</v>
      </c>
      <c r="AR91" s="2">
        <f>求节点(节奏总纲!G$4:G$163,AK$4:AK$163,$AN91)*其他调用!K92*其他调用!$M92</f>
        <v>3913533.5187699054</v>
      </c>
      <c r="AS91" s="2">
        <f>求节点(节奏总纲!H$4:H$163,AL$4:AL$163,$AN91)*其他调用!L92*其他调用!$M92</f>
        <v>1641417.4157127012</v>
      </c>
      <c r="AT91" s="2">
        <f t="shared" si="13"/>
        <v>336846097.85206056</v>
      </c>
      <c r="AY91" s="2">
        <v>88</v>
      </c>
      <c r="AZ91" s="2">
        <f>其他调用!R92*6*(其他调用!AH$2*$AZ$1*MIN(其他调用!$AJ92/其他调用!AH92,1)+$E$4*0%*攻城基础信息!AC92)</f>
        <v>8951.7506216482361</v>
      </c>
      <c r="BA91" s="2">
        <f>其他调用!S92*6*(其他调用!AI$2*$AZ$1*MIN(其他调用!$AJ92/其他调用!AI92,1)+$E$4*0%*攻城基础信息!AD92)</f>
        <v>27042.586622565104</v>
      </c>
      <c r="BB91" s="2">
        <f>其他调用!T92*6*(其他调用!AJ$2*$AZ$1*MIN(其他调用!$AJ92/其他调用!AJ92,1)+$E$4*0%*攻城基础信息!AE92)</f>
        <v>81726.857638343892</v>
      </c>
      <c r="BC91" s="2">
        <f>其他调用!U92*6*(其他调用!AK$2*$AZ$1*MIN(其他调用!$AJ92/其他调用!AK92,1)+$E$4*0%*攻城基础信息!AF92)</f>
        <v>37663.858341452025</v>
      </c>
      <c r="BD91" s="2">
        <f>其他调用!V92*6*(其他调用!AL$2*$AZ$1*MIN(其他调用!$AJ92/其他调用!AL92,1)+$E$4*0%*攻城基础信息!AG92)</f>
        <v>10460.600811250977</v>
      </c>
      <c r="BF91" s="2">
        <v>88</v>
      </c>
      <c r="BG91" s="2">
        <f>求节点(节奏总纲!D$4:D$163,AZ$4:AZ$163,$AN91)</f>
        <v>7081.9391315942421</v>
      </c>
      <c r="BH91" s="2">
        <f>求节点(节奏总纲!E$4:E$163,BA$4:BA$163,$AN91)</f>
        <v>21929.681638978702</v>
      </c>
      <c r="BI91" s="2">
        <f>求节点(节奏总纲!F$4:F$163,BB$4:BB$163,$AN91)</f>
        <v>68502.797548102681</v>
      </c>
      <c r="BJ91" s="2">
        <f>求节点(节奏总纲!G$4:G$163,BC$4:BC$163,$AN91)</f>
        <v>32606.974046744999</v>
      </c>
      <c r="BK91" s="2">
        <f>求节点(节奏总纲!H$4:H$163,BD$4:BD$163,$AN91)</f>
        <v>9962.510480274068</v>
      </c>
      <c r="BL91" s="2">
        <f>BG91*其他调用!H92*其他调用!$M92</f>
        <v>340859.6785243075</v>
      </c>
      <c r="BM91" s="2">
        <f>BH91*其他调用!I92*其他调用!$M92</f>
        <v>1033588.6553530546</v>
      </c>
      <c r="BN91" s="2">
        <f>BI91*其他调用!J92*其他调用!$M92</f>
        <v>264189.02922622493</v>
      </c>
      <c r="BO91" s="2">
        <f>BJ91*其他调用!K92*其他调用!$M92</f>
        <v>22290.179629513364</v>
      </c>
      <c r="BP91" s="2">
        <f>BK91*其他调用!L92*其他调用!$M92</f>
        <v>1962.534864530149</v>
      </c>
      <c r="BQ91" s="2">
        <f t="shared" si="14"/>
        <v>1662890.0775976304</v>
      </c>
      <c r="BR91" s="2">
        <f>[1]服务器生态!$R90</f>
        <v>0.24697751957202035</v>
      </c>
      <c r="BS91" s="2" t="e">
        <f>SUMPRODUCT((BG$4:BG91)*($BR$4:$BR91)*(其他调用!#REF!))</f>
        <v>#REF!</v>
      </c>
      <c r="BT91" s="2" t="e">
        <f>SUMPRODUCT((BH$4:BH91)*($BR$4:$BR91)*(其他调用!#REF!))</f>
        <v>#REF!</v>
      </c>
      <c r="BU91" s="2" t="e">
        <f>SUMPRODUCT((BI$4:BI91)*($BR$4:$BR91)*(其他调用!#REF!))</f>
        <v>#REF!</v>
      </c>
      <c r="BV91" s="2" t="e">
        <f>SUMPRODUCT((BJ$4:BJ91)*($BR$4:$BR91)*(其他调用!#REF!))</f>
        <v>#REF!</v>
      </c>
      <c r="BW91" s="2" t="e">
        <f>SUMPRODUCT((BK$4:BK91)*($BR$4:$BR91)*(其他调用!#REF!))</f>
        <v>#REF!</v>
      </c>
      <c r="BX91" s="2" t="e">
        <f>SUMPRODUCT((BG$4:BG91)*($BR$4:$BR91))*'[1]功能-战损相关'!$D$2-BS91</f>
        <v>#REF!</v>
      </c>
      <c r="BY91" s="2" t="e">
        <f>SUMPRODUCT((BH$4:BH91)*($BR$4:$BR91))*'[1]功能-战损相关'!$D$2-BT91</f>
        <v>#REF!</v>
      </c>
      <c r="BZ91" s="2" t="e">
        <f>SUMPRODUCT((BI$4:BI91)*($BR$4:$BR91))*'[1]功能-战损相关'!$D$2-BU91</f>
        <v>#REF!</v>
      </c>
      <c r="CA91" s="2" t="e">
        <f>SUMPRODUCT((BJ$4:BJ91)*($BR$4:$BR91))*'[1]功能-战损相关'!$D$2-BV91</f>
        <v>#REF!</v>
      </c>
      <c r="CB91" s="2" t="e">
        <f>SUMPRODUCT((BK$4:BK91)*($BR$4:$BR91))*'[1]功能-战损相关'!$D$2-BW91</f>
        <v>#REF!</v>
      </c>
      <c r="CD91" s="2">
        <v>88</v>
      </c>
      <c r="CE91" s="7">
        <v>1</v>
      </c>
      <c r="CF91" s="2" t="e">
        <f>求节点(节奏总纲!R$4:R$363,BS$4:BS$363,$CD91)*$CE91</f>
        <v>#VALUE!</v>
      </c>
      <c r="CG91" s="2" t="e">
        <f>求节点(节奏总纲!S$4:S$363,BT$4:BT$363,$CD91)*$CE91</f>
        <v>#VALUE!</v>
      </c>
      <c r="CH91" s="2" t="e">
        <f>求节点(节奏总纲!T$4:T$363,BU$4:BU$363,$CD91)*$CE91</f>
        <v>#VALUE!</v>
      </c>
      <c r="CI91" s="2" t="e">
        <f>求节点(节奏总纲!U$4:U$363,BV$4:BV$363,$CD91)*$CE91</f>
        <v>#VALUE!</v>
      </c>
      <c r="CJ91" s="2" t="e">
        <f>求节点(节奏总纲!V$4:V$363,BW$4:BW$363,$CD91)*$CE91</f>
        <v>#VALUE!</v>
      </c>
      <c r="CK91" s="2" t="e">
        <f>求节点(节奏总纲!R$4:R$363,BX$4:BX$363,$CD91)*$CE91</f>
        <v>#VALUE!</v>
      </c>
      <c r="CL91" s="2" t="e">
        <f>求节点(节奏总纲!S$4:S$363,BY$4:BY$363,$CD91)*$CE91</f>
        <v>#VALUE!</v>
      </c>
      <c r="CM91" s="2" t="e">
        <f>求节点(节奏总纲!T$4:T$363,BZ$4:BZ$363,$CD91)*$CE91</f>
        <v>#VALUE!</v>
      </c>
      <c r="CN91" s="2" t="e">
        <f>求节点(节奏总纲!U$4:U$363,CA$4:CA$363,$CD91)*$CE91</f>
        <v>#VALUE!</v>
      </c>
      <c r="CO91" s="2" t="e">
        <f>求节点(节奏总纲!V$4:V$363,CB$4:CB$363,$CD91)*$CE91</f>
        <v>#VALUE!</v>
      </c>
    </row>
    <row r="92" spans="27:93" x14ac:dyDescent="0.15">
      <c r="AA92" s="2">
        <v>89</v>
      </c>
      <c r="AB92" s="2">
        <f>攻城基础信息!X93*$E$12</f>
        <v>281308.09766367468</v>
      </c>
      <c r="AC92" s="2">
        <f>攻城基础信息!Y93*$E$12</f>
        <v>308641.69404805143</v>
      </c>
      <c r="AD92" s="2">
        <f>攻城基础信息!Z93*$E$12</f>
        <v>339433.94501952495</v>
      </c>
      <c r="AE92" s="2">
        <f>攻城基础信息!AA93*$E$12</f>
        <v>371911.13132712955</v>
      </c>
      <c r="AF92" s="2">
        <f>攻城基础信息!AB93*$E$12</f>
        <v>385310.37946916179</v>
      </c>
      <c r="AH92" s="2">
        <f>$E$4*AB92*攻城基础信息!AC93</f>
        <v>6892048.3927600253</v>
      </c>
      <c r="AI92" s="2">
        <f>$E$4*AC92*攻城基础信息!AD93</f>
        <v>7561721.5041772556</v>
      </c>
      <c r="AJ92" s="2">
        <f>$E$4*AD92*攻城基础信息!AE93</f>
        <v>8316131.652978356</v>
      </c>
      <c r="AK92" s="2">
        <f>$E$4*AE92*攻城基础信息!AF93</f>
        <v>9111822.7175146695</v>
      </c>
      <c r="AL92" s="2">
        <f>$E$4*AF92*攻城基础信息!AG93</f>
        <v>9440104.296994457</v>
      </c>
      <c r="AN92" s="2">
        <v>89</v>
      </c>
      <c r="AO92" s="2">
        <f>求节点(节奏总纲!D$4:D$163,AH$4:AH$163,$AN92)*其他调用!H93*其他调用!$M93</f>
        <v>147319044.75894311</v>
      </c>
      <c r="AP92" s="2">
        <f>求节点(节奏总纲!E$4:E$163,AI$4:AI$163,$AN92)*其他调用!I93*其他调用!$M93</f>
        <v>170548117.89569232</v>
      </c>
      <c r="AQ92" s="2">
        <f>求节点(节奏总纲!F$4:F$163,AJ$4:AJ$163,$AN92)*其他调用!J93*其他调用!$M93</f>
        <v>16497612.205354838</v>
      </c>
      <c r="AR92" s="2">
        <f>求节点(节奏总纲!G$4:G$163,AK$4:AK$163,$AN92)*其他调用!K93*其他调用!$M93</f>
        <v>3949230.5004214477</v>
      </c>
      <c r="AS92" s="2">
        <f>求节点(节奏总纲!H$4:H$163,AL$4:AL$163,$AN92)*其他调用!L93*其他调用!$M93</f>
        <v>1653548.5751072515</v>
      </c>
      <c r="AT92" s="2">
        <f t="shared" si="13"/>
        <v>339967553.93551898</v>
      </c>
      <c r="AY92" s="2">
        <v>89</v>
      </c>
      <c r="AZ92" s="2">
        <f>其他调用!R93*6*(其他调用!AH$2*$AZ$1*MIN(其他调用!$AJ93/其他调用!AH93,1)+$E$4*0%*攻城基础信息!AC93)</f>
        <v>9030.8667692098697</v>
      </c>
      <c r="BA92" s="2">
        <f>其他调用!S93*6*(其他调用!AI$2*$AZ$1*MIN(其他调用!$AJ93/其他调用!AI93,1)+$E$4*0%*攻城基础信息!AD93)</f>
        <v>27284.030984790024</v>
      </c>
      <c r="BB92" s="2">
        <f>其他调用!T93*6*(其他调用!AJ$2*$AZ$1*MIN(其他调用!$AJ93/其他调用!AJ93,1)+$E$4*0%*攻城基础信息!AE93)</f>
        <v>82382.33173280464</v>
      </c>
      <c r="BC92" s="2">
        <f>其他调用!U93*6*(其他调用!AK$2*$AZ$1*MIN(其他调用!$AJ93/其他调用!AK93,1)+$E$4*0%*攻城基础信息!AF93)</f>
        <v>37944.314213142388</v>
      </c>
      <c r="BD92" s="2">
        <f>其他调用!V93*6*(其他调用!AL$2*$AZ$1*MIN(其他调用!$AJ93/其他调用!AL93,1)+$E$4*0%*攻城基础信息!AG93)</f>
        <v>10552.038169926267</v>
      </c>
      <c r="BF92" s="2">
        <v>89</v>
      </c>
      <c r="BG92" s="2">
        <f>求节点(节奏总纲!D$4:D$163,AZ$4:AZ$163,$AN92)</f>
        <v>7095.1101466030213</v>
      </c>
      <c r="BH92" s="2">
        <f>求节点(节奏总纲!E$4:E$163,BA$4:BA$163,$AN92)</f>
        <v>21969.636094262696</v>
      </c>
      <c r="BI92" s="2">
        <f>求节点(节奏总纲!F$4:F$163,BB$4:BB$163,$AN92)</f>
        <v>68621.483802803283</v>
      </c>
      <c r="BJ92" s="2">
        <f>求节点(节奏总纲!G$4:G$163,BC$4:BC$163,$AN92)</f>
        <v>32687.93233018813</v>
      </c>
      <c r="BK92" s="2">
        <f>求节点(节奏总纲!H$4:H$163,BD$4:BD$163,$AN92)</f>
        <v>9974.5303255010112</v>
      </c>
      <c r="BL92" s="2">
        <f>BG92*其他调用!H93*其他调用!$M93</f>
        <v>340896.59373737389</v>
      </c>
      <c r="BM92" s="2">
        <f>BH92*其他调用!I93*其他调用!$M93</f>
        <v>1037224.5669304937</v>
      </c>
      <c r="BN92" s="2">
        <f>BI92*其他调用!J93*其他调用!$M93</f>
        <v>264777.25303989893</v>
      </c>
      <c r="BO92" s="2">
        <f>BJ92*其他调用!K93*其他调用!$M93</f>
        <v>22397.732007126113</v>
      </c>
      <c r="BP92" s="2">
        <f>BK92*其他调用!L93*其他调用!$M93</f>
        <v>1973.5206720823278</v>
      </c>
      <c r="BQ92" s="2">
        <f t="shared" si="14"/>
        <v>1667269.6663869752</v>
      </c>
      <c r="BR92" s="2">
        <f>[1]服务器生态!$R91</f>
        <v>0.22772526236746896</v>
      </c>
      <c r="BS92" s="2" t="e">
        <f>SUMPRODUCT((BG$4:BG92)*($BR$4:$BR92)*(其他调用!#REF!))</f>
        <v>#REF!</v>
      </c>
      <c r="BT92" s="2" t="e">
        <f>SUMPRODUCT((BH$4:BH92)*($BR$4:$BR92)*(其他调用!#REF!))</f>
        <v>#REF!</v>
      </c>
      <c r="BU92" s="2" t="e">
        <f>SUMPRODUCT((BI$4:BI92)*($BR$4:$BR92)*(其他调用!#REF!))</f>
        <v>#REF!</v>
      </c>
      <c r="BV92" s="2" t="e">
        <f>SUMPRODUCT((BJ$4:BJ92)*($BR$4:$BR92)*(其他调用!#REF!))</f>
        <v>#REF!</v>
      </c>
      <c r="BW92" s="2" t="e">
        <f>SUMPRODUCT((BK$4:BK92)*($BR$4:$BR92)*(其他调用!#REF!))</f>
        <v>#REF!</v>
      </c>
      <c r="BX92" s="2" t="e">
        <f>SUMPRODUCT((BG$4:BG92)*($BR$4:$BR92))*'[1]功能-战损相关'!$D$2-BS92</f>
        <v>#REF!</v>
      </c>
      <c r="BY92" s="2" t="e">
        <f>SUMPRODUCT((BH$4:BH92)*($BR$4:$BR92))*'[1]功能-战损相关'!$D$2-BT92</f>
        <v>#REF!</v>
      </c>
      <c r="BZ92" s="2" t="e">
        <f>SUMPRODUCT((BI$4:BI92)*($BR$4:$BR92))*'[1]功能-战损相关'!$D$2-BU92</f>
        <v>#REF!</v>
      </c>
      <c r="CA92" s="2" t="e">
        <f>SUMPRODUCT((BJ$4:BJ92)*($BR$4:$BR92))*'[1]功能-战损相关'!$D$2-BV92</f>
        <v>#REF!</v>
      </c>
      <c r="CB92" s="2" t="e">
        <f>SUMPRODUCT((BK$4:BK92)*($BR$4:$BR92))*'[1]功能-战损相关'!$D$2-BW92</f>
        <v>#REF!</v>
      </c>
      <c r="CD92" s="2">
        <v>89</v>
      </c>
      <c r="CE92" s="7">
        <v>1</v>
      </c>
      <c r="CF92" s="2" t="e">
        <f>求节点(节奏总纲!R$4:R$363,BS$4:BS$363,$CD92)*$CE92</f>
        <v>#VALUE!</v>
      </c>
      <c r="CG92" s="2" t="e">
        <f>求节点(节奏总纲!S$4:S$363,BT$4:BT$363,$CD92)*$CE92</f>
        <v>#VALUE!</v>
      </c>
      <c r="CH92" s="2" t="e">
        <f>求节点(节奏总纲!T$4:T$363,BU$4:BU$363,$CD92)*$CE92</f>
        <v>#VALUE!</v>
      </c>
      <c r="CI92" s="2" t="e">
        <f>求节点(节奏总纲!U$4:U$363,BV$4:BV$363,$CD92)*$CE92</f>
        <v>#VALUE!</v>
      </c>
      <c r="CJ92" s="2" t="e">
        <f>求节点(节奏总纲!V$4:V$363,BW$4:BW$363,$CD92)*$CE92</f>
        <v>#VALUE!</v>
      </c>
      <c r="CK92" s="2" t="e">
        <f>求节点(节奏总纲!R$4:R$363,BX$4:BX$363,$CD92)*$CE92</f>
        <v>#VALUE!</v>
      </c>
      <c r="CL92" s="2" t="e">
        <f>求节点(节奏总纲!S$4:S$363,BY$4:BY$363,$CD92)*$CE92</f>
        <v>#VALUE!</v>
      </c>
      <c r="CM92" s="2" t="e">
        <f>求节点(节奏总纲!T$4:T$363,BZ$4:BZ$363,$CD92)*$CE92</f>
        <v>#VALUE!</v>
      </c>
      <c r="CN92" s="2" t="e">
        <f>求节点(节奏总纲!U$4:U$363,CA$4:CA$363,$CD92)*$CE92</f>
        <v>#VALUE!</v>
      </c>
      <c r="CO92" s="2" t="e">
        <f>求节点(节奏总纲!V$4:V$363,CB$4:CB$363,$CD92)*$CE92</f>
        <v>#VALUE!</v>
      </c>
    </row>
    <row r="93" spans="27:93" x14ac:dyDescent="0.15">
      <c r="AA93" s="2">
        <v>90</v>
      </c>
      <c r="AB93" s="2">
        <f>攻城基础信息!X94*$E$12</f>
        <v>288416.86798028625</v>
      </c>
      <c r="AC93" s="2">
        <f>攻城基础信息!Y94*$E$12</f>
        <v>317506.70189265511</v>
      </c>
      <c r="AD93" s="2">
        <f>攻城基础信息!Z94*$E$12</f>
        <v>349209.13798850699</v>
      </c>
      <c r="AE93" s="2">
        <f>攻城基础信息!AA94*$E$12</f>
        <v>378366.04795319063</v>
      </c>
      <c r="AF93" s="2">
        <f>攻城基础信息!AB94*$E$12</f>
        <v>392026.70378176164</v>
      </c>
      <c r="AH93" s="2">
        <f>$E$4*AB93*攻城基础信息!AC94</f>
        <v>7066213.2655170085</v>
      </c>
      <c r="AI93" s="2">
        <f>$E$4*AC93*攻城基础信息!AD94</f>
        <v>7778914.1963700447</v>
      </c>
      <c r="AJ93" s="2">
        <f>$E$4*AD93*攻城基础信息!AE94</f>
        <v>8555623.8807184156</v>
      </c>
      <c r="AK93" s="2">
        <f>$E$4*AE93*攻城基础信息!AF94</f>
        <v>9269968.1748531647</v>
      </c>
      <c r="AL93" s="2">
        <f>$E$4*AF93*攻城基础信息!AG94</f>
        <v>9604654.2426531538</v>
      </c>
      <c r="AN93" s="2">
        <v>90</v>
      </c>
      <c r="AO93" s="2">
        <f>求节点(节奏总纲!D$4:D$163,AH$4:AH$163,$AN93)*其他调用!H94*其他调用!$M94</f>
        <v>147880895.9625192</v>
      </c>
      <c r="AP93" s="2">
        <f>求节点(节奏总纲!E$4:E$163,AI$4:AI$163,$AN93)*其他调用!I94*其他调用!$M94</f>
        <v>172282942.83323747</v>
      </c>
      <c r="AQ93" s="2">
        <f>求节点(节奏总纲!F$4:F$163,AJ$4:AJ$163,$AN93)*其他调用!J94*其他调用!$M94</f>
        <v>16580462.942021392</v>
      </c>
      <c r="AR93" s="2">
        <f>求节点(节奏总纲!G$4:G$163,AK$4:AK$163,$AN93)*其他调用!K94*其他调用!$M94</f>
        <v>3985051.2732699504</v>
      </c>
      <c r="AS93" s="2">
        <f>求节点(节奏总纲!H$4:H$163,AL$4:AL$163,$AN93)*其他调用!L94*其他调用!$M94</f>
        <v>1665164.1377526452</v>
      </c>
      <c r="AT93" s="2">
        <f t="shared" si="13"/>
        <v>342394517.14880067</v>
      </c>
      <c r="AY93" s="2">
        <v>90</v>
      </c>
      <c r="AZ93" s="2">
        <f>其他调用!R94*6*(其他调用!AH$2*$AZ$1*MIN(其他调用!$AJ94/其他调用!AH94,1)+$E$4*0%*攻城基础信息!AC94)</f>
        <v>9113.1274968234557</v>
      </c>
      <c r="BA93" s="2">
        <f>其他调用!S94*6*(其他调用!AI$2*$AZ$1*MIN(其他调用!$AJ94/其他调用!AI94,1)+$E$4*0%*攻城基础信息!AD94)</f>
        <v>27502.997155718302</v>
      </c>
      <c r="BB93" s="2">
        <f>其他调用!T94*6*(其他调用!AJ$2*$AZ$1*MIN(其他调用!$AJ94/其他调用!AJ94,1)+$E$4*0%*攻城基础信息!AE94)</f>
        <v>83074.887741312312</v>
      </c>
      <c r="BC93" s="2">
        <f>其他调用!U94*6*(其他调用!AK$2*$AZ$1*MIN(其他调用!$AJ94/其他调用!AK94,1)+$E$4*0%*攻城基础信息!AF94)</f>
        <v>38209.600878738383</v>
      </c>
      <c r="BD93" s="2">
        <f>其他调用!V94*6*(其他调用!AL$2*$AZ$1*MIN(其他调用!$AJ94/其他调用!AL94,1)+$E$4*0%*攻城基础信息!AG94)</f>
        <v>10641.133811593823</v>
      </c>
      <c r="BF93" s="2">
        <v>90</v>
      </c>
      <c r="BG93" s="2">
        <f>求节点(节奏总纲!D$4:D$163,AZ$4:AZ$163,$AN93)</f>
        <v>7107.9064507091189</v>
      </c>
      <c r="BH93" s="2">
        <f>求节点(节奏总纲!E$4:E$163,BA$4:BA$163,$AN93)</f>
        <v>22008.207524389436</v>
      </c>
      <c r="BI93" s="2">
        <f>求节点(节奏总纲!F$4:F$163,BB$4:BB$163,$AN93)</f>
        <v>68740.170057503885</v>
      </c>
      <c r="BJ93" s="2">
        <f>求节点(节奏总纲!G$4:G$163,BC$4:BC$163,$AN93)</f>
        <v>32768.890613631265</v>
      </c>
      <c r="BK93" s="2">
        <f>求节点(节奏总纲!H$4:H$163,BD$4:BD$163,$AN93)</f>
        <v>9989.1638077648113</v>
      </c>
      <c r="BL93" s="2">
        <f>BG93*其他调用!H94*其他调用!$M94</f>
        <v>340913.32031443529</v>
      </c>
      <c r="BM93" s="2">
        <f>BH93*其他调用!I94*其他调用!$M94</f>
        <v>1040801.4484426408</v>
      </c>
      <c r="BN93" s="2">
        <f>BI93*其他调用!J94*其他调用!$M94</f>
        <v>265365.92826125072</v>
      </c>
      <c r="BO93" s="2">
        <f>BJ93*其他调用!K94*其他调用!$M94</f>
        <v>22505.542997879504</v>
      </c>
      <c r="BP93" s="2">
        <f>BK93*其他调用!L94*其他调用!$M94</f>
        <v>1985.0466318790229</v>
      </c>
      <c r="BQ93" s="2">
        <f t="shared" si="14"/>
        <v>1671571.2866480851</v>
      </c>
      <c r="BR93" s="2">
        <f>[1]服务器生态!$R92</f>
        <v>0.20847300516291753</v>
      </c>
      <c r="BS93" s="2" t="e">
        <f>SUMPRODUCT((BG$4:BG93)*($BR$4:$BR93)*(其他调用!#REF!))</f>
        <v>#REF!</v>
      </c>
      <c r="BT93" s="2" t="e">
        <f>SUMPRODUCT((BH$4:BH93)*($BR$4:$BR93)*(其他调用!#REF!))</f>
        <v>#REF!</v>
      </c>
      <c r="BU93" s="2" t="e">
        <f>SUMPRODUCT((BI$4:BI93)*($BR$4:$BR93)*(其他调用!#REF!))</f>
        <v>#REF!</v>
      </c>
      <c r="BV93" s="2" t="e">
        <f>SUMPRODUCT((BJ$4:BJ93)*($BR$4:$BR93)*(其他调用!#REF!))</f>
        <v>#REF!</v>
      </c>
      <c r="BW93" s="2" t="e">
        <f>SUMPRODUCT((BK$4:BK93)*($BR$4:$BR93)*(其他调用!#REF!))</f>
        <v>#REF!</v>
      </c>
      <c r="BX93" s="2" t="e">
        <f>SUMPRODUCT((BG$4:BG93)*($BR$4:$BR93))*'[1]功能-战损相关'!$D$2-BS93</f>
        <v>#REF!</v>
      </c>
      <c r="BY93" s="2" t="e">
        <f>SUMPRODUCT((BH$4:BH93)*($BR$4:$BR93))*'[1]功能-战损相关'!$D$2-BT93</f>
        <v>#REF!</v>
      </c>
      <c r="BZ93" s="2" t="e">
        <f>SUMPRODUCT((BI$4:BI93)*($BR$4:$BR93))*'[1]功能-战损相关'!$D$2-BU93</f>
        <v>#REF!</v>
      </c>
      <c r="CA93" s="2" t="e">
        <f>SUMPRODUCT((BJ$4:BJ93)*($BR$4:$BR93))*'[1]功能-战损相关'!$D$2-BV93</f>
        <v>#REF!</v>
      </c>
      <c r="CB93" s="2" t="e">
        <f>SUMPRODUCT((BK$4:BK93)*($BR$4:$BR93))*'[1]功能-战损相关'!$D$2-BW93</f>
        <v>#REF!</v>
      </c>
      <c r="CD93" s="2">
        <v>90</v>
      </c>
      <c r="CE93" s="7">
        <v>1</v>
      </c>
      <c r="CF93" s="2" t="e">
        <f>求节点(节奏总纲!R$4:R$363,BS$4:BS$363,$CD93)*$CE93</f>
        <v>#VALUE!</v>
      </c>
      <c r="CG93" s="2" t="e">
        <f>求节点(节奏总纲!S$4:S$363,BT$4:BT$363,$CD93)*$CE93</f>
        <v>#VALUE!</v>
      </c>
      <c r="CH93" s="2" t="e">
        <f>求节点(节奏总纲!T$4:T$363,BU$4:BU$363,$CD93)*$CE93</f>
        <v>#VALUE!</v>
      </c>
      <c r="CI93" s="2" t="e">
        <f>求节点(节奏总纲!U$4:U$363,BV$4:BV$363,$CD93)*$CE93</f>
        <v>#VALUE!</v>
      </c>
      <c r="CJ93" s="2" t="e">
        <f>求节点(节奏总纲!V$4:V$363,BW$4:BW$363,$CD93)*$CE93</f>
        <v>#VALUE!</v>
      </c>
      <c r="CK93" s="2" t="e">
        <f>求节点(节奏总纲!R$4:R$363,BX$4:BX$363,$CD93)*$CE93</f>
        <v>#VALUE!</v>
      </c>
      <c r="CL93" s="2" t="e">
        <f>求节点(节奏总纲!S$4:S$363,BY$4:BY$363,$CD93)*$CE93</f>
        <v>#VALUE!</v>
      </c>
      <c r="CM93" s="2" t="e">
        <f>求节点(节奏总纲!T$4:T$363,BZ$4:BZ$363,$CD93)*$CE93</f>
        <v>#VALUE!</v>
      </c>
      <c r="CN93" s="2" t="e">
        <f>求节点(节奏总纲!U$4:U$363,CA$4:CA$363,$CD93)*$CE93</f>
        <v>#VALUE!</v>
      </c>
      <c r="CO93" s="2" t="e">
        <f>求节点(节奏总纲!V$4:V$363,CB$4:CB$363,$CD93)*$CE93</f>
        <v>#VALUE!</v>
      </c>
    </row>
    <row r="94" spans="27:93" x14ac:dyDescent="0.15">
      <c r="AA94" s="2">
        <v>91</v>
      </c>
      <c r="AB94" s="2">
        <f>攻城基础信息!X95*$E$12</f>
        <v>296042.07388427207</v>
      </c>
      <c r="AC94" s="2">
        <f>攻城基础信息!Y95*$E$12</f>
        <v>326665.7025300918</v>
      </c>
      <c r="AD94" s="2">
        <f>攻城基础信息!Z95*$E$12</f>
        <v>358450.7524879087</v>
      </c>
      <c r="AE94" s="2">
        <f>攻城基础信息!AA95*$E$12</f>
        <v>385130.62688422861</v>
      </c>
      <c r="AF94" s="2">
        <f>攻城基础信息!AB95*$E$12</f>
        <v>399016.28873194102</v>
      </c>
      <c r="AH94" s="2">
        <f>$E$4*AB94*攻城基础信息!AC95</f>
        <v>7253030.8101646611</v>
      </c>
      <c r="AI94" s="2">
        <f>$E$4*AC94*攻城基础信息!AD95</f>
        <v>8003309.7119872449</v>
      </c>
      <c r="AJ94" s="2">
        <f>$E$4*AD94*攻城基础信息!AE95</f>
        <v>8782043.4359537587</v>
      </c>
      <c r="AK94" s="2">
        <f>$E$4*AE94*攻城基础信息!AF95</f>
        <v>9435700.3586635944</v>
      </c>
      <c r="AL94" s="2">
        <f>$E$4*AF94*攻城基础信息!AG95</f>
        <v>9775899.073932549</v>
      </c>
      <c r="AN94" s="2">
        <v>91</v>
      </c>
      <c r="AO94" s="2">
        <f>求节点(节奏总纲!D$4:D$163,AH$4:AH$163,$AN94)*其他调用!H95*其他调用!$M95</f>
        <v>148601133.70142728</v>
      </c>
      <c r="AP94" s="2">
        <f>求节点(节奏总纲!E$4:E$163,AI$4:AI$163,$AN94)*其他调用!I95*其他调用!$M95</f>
        <v>173197473.80064443</v>
      </c>
      <c r="AQ94" s="2">
        <f>求节点(节奏总纲!F$4:F$163,AJ$4:AJ$163,$AN94)*其他调用!J95*其他调用!$M95</f>
        <v>16653390.287790732</v>
      </c>
      <c r="AR94" s="2">
        <f>求节点(节奏总纲!G$4:G$163,AK$4:AK$163,$AN94)*其他调用!K95*其他调用!$M95</f>
        <v>4011666.3806163049</v>
      </c>
      <c r="AS94" s="2">
        <f>求节点(节奏总纲!H$4:H$163,AL$4:AL$163,$AN94)*其他调用!L95*其他调用!$M95</f>
        <v>1669424.7477789456</v>
      </c>
      <c r="AT94" s="2">
        <f t="shared" si="13"/>
        <v>344133088.91825771</v>
      </c>
      <c r="AY94" s="2">
        <v>91</v>
      </c>
      <c r="AZ94" s="2">
        <f>其他调用!R95*6*(其他调用!AH$2*$AZ$1*MIN(其他调用!$AJ95/其他调用!AH95,1)+$E$4*0%*攻城基础信息!AC95)</f>
        <v>9191.7903161078102</v>
      </c>
      <c r="BA94" s="2">
        <f>其他调用!S95*6*(其他调用!AI$2*$AZ$1*MIN(其他调用!$AJ95/其他调用!AI95,1)+$E$4*0%*攻城基础信息!AD95)</f>
        <v>27750.751785422322</v>
      </c>
      <c r="BB94" s="2">
        <f>其他调用!T95*6*(其他调用!AJ$2*$AZ$1*MIN(其他调用!$AJ95/其他调用!AJ95,1)+$E$4*0%*攻城基础信息!AE95)</f>
        <v>83759.356304939894</v>
      </c>
      <c r="BC94" s="2">
        <f>其他调用!U95*6*(其他调用!AK$2*$AZ$1*MIN(其他调用!$AJ95/其他调用!AK95,1)+$E$4*0%*攻城基础信息!AF95)</f>
        <v>38436.404967446026</v>
      </c>
      <c r="BD94" s="2">
        <f>其他调用!V95*6*(其他调用!AL$2*$AZ$1*MIN(其他调用!$AJ95/其他调用!AL95,1)+$E$4*0%*攻城基础信息!AG95)</f>
        <v>10710.945641434986</v>
      </c>
      <c r="BF94" s="2">
        <v>91</v>
      </c>
      <c r="BG94" s="2">
        <f>求节点(节奏总纲!D$4:D$163,AZ$4:AZ$163,$AN94)</f>
        <v>7120.3132673860027</v>
      </c>
      <c r="BH94" s="2">
        <f>求节点(节奏总纲!E$4:E$163,BA$4:BA$163,$AN94)</f>
        <v>22045.556619036292</v>
      </c>
      <c r="BI94" s="2">
        <f>求节点(节奏总纲!F$4:F$163,BB$4:BB$163,$AN94)</f>
        <v>68852.204536802121</v>
      </c>
      <c r="BJ94" s="2">
        <f>求节点(节奏总纲!G$4:G$163,BC$4:BC$163,$AN94)</f>
        <v>32849.8488970744</v>
      </c>
      <c r="BK94" s="2">
        <f>求节点(节奏总纲!H$4:H$163,BD$4:BD$163,$AN94)</f>
        <v>10004.425196970755</v>
      </c>
      <c r="BL94" s="2">
        <f>BG94*其他调用!H95*其他调用!$M95</f>
        <v>341508.38288274279</v>
      </c>
      <c r="BM94" s="2">
        <f>BH94*其他调用!I95*其他调用!$M95</f>
        <v>1042567.7436651568</v>
      </c>
      <c r="BN94" s="2">
        <f>BI94*其他调用!J95*其他调用!$M95</f>
        <v>265798.42840740073</v>
      </c>
      <c r="BO94" s="2">
        <f>BJ94*其他调用!K95*其他调用!$M95</f>
        <v>22561.144823115119</v>
      </c>
      <c r="BP94" s="2">
        <f>BK94*其他调用!L95*其他调用!$M95</f>
        <v>1988.0793751420281</v>
      </c>
      <c r="BQ94" s="2">
        <f t="shared" si="14"/>
        <v>1674423.7791535575</v>
      </c>
      <c r="BR94" s="2">
        <f>[1]服务器生态!$R93</f>
        <v>0.18922074795836613</v>
      </c>
      <c r="BS94" s="2" t="e">
        <f>SUMPRODUCT((BG$4:BG94)*($BR$4:$BR94)*(其他调用!#REF!))</f>
        <v>#REF!</v>
      </c>
      <c r="BT94" s="2" t="e">
        <f>SUMPRODUCT((BH$4:BH94)*($BR$4:$BR94)*(其他调用!#REF!))</f>
        <v>#REF!</v>
      </c>
      <c r="BU94" s="2" t="e">
        <f>SUMPRODUCT((BI$4:BI94)*($BR$4:$BR94)*(其他调用!#REF!))</f>
        <v>#REF!</v>
      </c>
      <c r="BV94" s="2" t="e">
        <f>SUMPRODUCT((BJ$4:BJ94)*($BR$4:$BR94)*(其他调用!#REF!))</f>
        <v>#REF!</v>
      </c>
      <c r="BW94" s="2" t="e">
        <f>SUMPRODUCT((BK$4:BK94)*($BR$4:$BR94)*(其他调用!#REF!))</f>
        <v>#REF!</v>
      </c>
      <c r="BX94" s="2" t="e">
        <f>SUMPRODUCT((BG$4:BG94)*($BR$4:$BR94))*'[1]功能-战损相关'!$D$2-BS94</f>
        <v>#REF!</v>
      </c>
      <c r="BY94" s="2" t="e">
        <f>SUMPRODUCT((BH$4:BH94)*($BR$4:$BR94))*'[1]功能-战损相关'!$D$2-BT94</f>
        <v>#REF!</v>
      </c>
      <c r="BZ94" s="2" t="e">
        <f>SUMPRODUCT((BI$4:BI94)*($BR$4:$BR94))*'[1]功能-战损相关'!$D$2-BU94</f>
        <v>#REF!</v>
      </c>
      <c r="CA94" s="2" t="e">
        <f>SUMPRODUCT((BJ$4:BJ94)*($BR$4:$BR94))*'[1]功能-战损相关'!$D$2-BV94</f>
        <v>#REF!</v>
      </c>
      <c r="CB94" s="2" t="e">
        <f>SUMPRODUCT((BK$4:BK94)*($BR$4:$BR94))*'[1]功能-战损相关'!$D$2-BW94</f>
        <v>#REF!</v>
      </c>
      <c r="CD94" s="2">
        <v>91</v>
      </c>
      <c r="CE94" s="7">
        <v>1</v>
      </c>
      <c r="CF94" s="2" t="e">
        <f>求节点(节奏总纲!R$4:R$363,BS$4:BS$363,$CD94)*$CE94</f>
        <v>#VALUE!</v>
      </c>
      <c r="CG94" s="2" t="e">
        <f>求节点(节奏总纲!S$4:S$363,BT$4:BT$363,$CD94)*$CE94</f>
        <v>#VALUE!</v>
      </c>
      <c r="CH94" s="2" t="e">
        <f>求节点(节奏总纲!T$4:T$363,BU$4:BU$363,$CD94)*$CE94</f>
        <v>#VALUE!</v>
      </c>
      <c r="CI94" s="2" t="e">
        <f>求节点(节奏总纲!U$4:U$363,BV$4:BV$363,$CD94)*$CE94</f>
        <v>#VALUE!</v>
      </c>
      <c r="CJ94" s="2" t="e">
        <f>求节点(节奏总纲!V$4:V$363,BW$4:BW$363,$CD94)*$CE94</f>
        <v>#VALUE!</v>
      </c>
      <c r="CK94" s="2" t="e">
        <f>求节点(节奏总纲!R$4:R$363,BX$4:BX$363,$CD94)*$CE94</f>
        <v>#VALUE!</v>
      </c>
      <c r="CL94" s="2" t="e">
        <f>求节点(节奏总纲!S$4:S$363,BY$4:BY$363,$CD94)*$CE94</f>
        <v>#VALUE!</v>
      </c>
      <c r="CM94" s="2" t="e">
        <f>求节点(节奏总纲!T$4:T$363,BZ$4:BZ$363,$CD94)*$CE94</f>
        <v>#VALUE!</v>
      </c>
      <c r="CN94" s="2" t="e">
        <f>求节点(节奏总纲!U$4:U$363,CA$4:CA$363,$CD94)*$CE94</f>
        <v>#VALUE!</v>
      </c>
      <c r="CO94" s="2" t="e">
        <f>求节点(节奏总纲!V$4:V$363,CB$4:CB$363,$CD94)*$CE94</f>
        <v>#VALUE!</v>
      </c>
    </row>
    <row r="95" spans="27:93" x14ac:dyDescent="0.15">
      <c r="AA95" s="2">
        <v>92</v>
      </c>
      <c r="AB95" s="2">
        <f>攻城基础信息!X96*$E$12</f>
        <v>303921.90192398796</v>
      </c>
      <c r="AC95" s="2">
        <f>攻城基础信息!Y96*$E$12</f>
        <v>336618.87180410605</v>
      </c>
      <c r="AD95" s="2">
        <f>攻城基础信息!Z96*$E$12</f>
        <v>367567.04680238117</v>
      </c>
      <c r="AE95" s="2">
        <f>攻城基础信息!AA96*$E$12</f>
        <v>392071.47350220085</v>
      </c>
      <c r="AF95" s="2">
        <f>攻城基础信息!AB96*$E$12</f>
        <v>406161.78744817915</v>
      </c>
      <c r="AH95" s="2">
        <f>$E$4*AB95*攻城基础信息!AC96</f>
        <v>7446086.5971376998</v>
      </c>
      <c r="AI95" s="2">
        <f>$E$4*AC95*攻城基础信息!AD96</f>
        <v>8247162.3592005931</v>
      </c>
      <c r="AJ95" s="2">
        <f>$E$4*AD95*攻城基础信息!AE96</f>
        <v>9005392.646658333</v>
      </c>
      <c r="AK95" s="2">
        <f>$E$4*AE95*攻城基础信息!AF96</f>
        <v>9605751.1008039135</v>
      </c>
      <c r="AL95" s="2">
        <f>$E$4*AF95*攻城基础信息!AG96</f>
        <v>9950963.7924803831</v>
      </c>
      <c r="AN95" s="2">
        <v>92</v>
      </c>
      <c r="AO95" s="2">
        <f>求节点(节奏总纲!D$4:D$163,AH$4:AH$163,$AN95)*其他调用!H96*其他调用!$M96</f>
        <v>149321371.44033536</v>
      </c>
      <c r="AP95" s="2">
        <f>求节点(节奏总纲!E$4:E$163,AI$4:AI$163,$AN95)*其他调用!I96*其他调用!$M96</f>
        <v>174112004.76805136</v>
      </c>
      <c r="AQ95" s="2">
        <f>求节点(节奏总纲!F$4:F$163,AJ$4:AJ$163,$AN95)*其他调用!J96*其他调用!$M96</f>
        <v>16726103.980023196</v>
      </c>
      <c r="AR95" s="2">
        <f>求节点(节奏总纲!G$4:G$163,AK$4:AK$163,$AN95)*其他调用!K96*其他调用!$M96</f>
        <v>4038281.4879626604</v>
      </c>
      <c r="AS95" s="2">
        <f>求节点(节奏总纲!H$4:H$163,AL$4:AL$163,$AN95)*其他调用!L96*其他调用!$M96</f>
        <v>1673685.3578052456</v>
      </c>
      <c r="AT95" s="2">
        <f t="shared" si="13"/>
        <v>345871447.03417784</v>
      </c>
      <c r="AY95" s="2">
        <v>92</v>
      </c>
      <c r="AZ95" s="2">
        <f>其他调用!R96*6*(其他调用!AH$2*$AZ$1*MIN(其他调用!$AJ96/其他调用!AH96,1)+$E$4*0%*攻城基础信息!AC96)</f>
        <v>9274.3764752041989</v>
      </c>
      <c r="BA95" s="2">
        <f>其他调用!S96*6*(其他调用!AI$2*$AZ$1*MIN(其他调用!$AJ96/其他调用!AI96,1)+$E$4*0%*攻城基础信息!AD96)</f>
        <v>27980.742722340947</v>
      </c>
      <c r="BB95" s="2">
        <f>其他调用!T96*6*(其他调用!AJ$2*$AZ$1*MIN(其他调用!$AJ96/其他调用!AJ96,1)+$E$4*0%*攻城基础信息!AE96)</f>
        <v>84489.426010192619</v>
      </c>
      <c r="BC95" s="2">
        <f>其他调用!U96*6*(其他调用!AK$2*$AZ$1*MIN(其他调用!$AJ96/其他调用!AK96,1)+$E$4*0%*攻城基础信息!AF96)</f>
        <v>38638.099522958102</v>
      </c>
      <c r="BD95" s="2">
        <f>其他调用!V96*6*(其他调用!AL$2*$AZ$1*MIN(其他调用!$AJ96/其他调用!AL96,1)+$E$4*0%*攻城基础信息!AG96)</f>
        <v>10780.578175969658</v>
      </c>
      <c r="BF95" s="2">
        <v>92</v>
      </c>
      <c r="BG95" s="2">
        <f>求节点(节奏总纲!D$4:D$163,AZ$4:AZ$163,$AN95)</f>
        <v>7132.7200840628875</v>
      </c>
      <c r="BH95" s="2">
        <f>求节点(节奏总纲!E$4:E$163,BA$4:BA$163,$AN95)</f>
        <v>22082.905713683143</v>
      </c>
      <c r="BI95" s="2">
        <f>求节点(节奏总纲!F$4:F$163,BB$4:BB$163,$AN95)</f>
        <v>68963.446163184461</v>
      </c>
      <c r="BJ95" s="2">
        <f>求节点(节奏总纲!G$4:G$163,BC$4:BC$163,$AN95)</f>
        <v>32930.807180517535</v>
      </c>
      <c r="BK95" s="2">
        <f>求节点(节奏总纲!H$4:H$163,BD$4:BD$163,$AN95)</f>
        <v>10019.686586176698</v>
      </c>
      <c r="BL95" s="2">
        <f>BG95*其他调用!H96*其他调用!$M96</f>
        <v>342103.44545105047</v>
      </c>
      <c r="BM95" s="2">
        <f>BH95*其他调用!I96*其他调用!$M96</f>
        <v>1044334.0388876726</v>
      </c>
      <c r="BN95" s="2">
        <f>BI95*其他调用!J96*其他调用!$M96</f>
        <v>266227.86780828587</v>
      </c>
      <c r="BO95" s="2">
        <f>BJ95*其他调用!K96*其他调用!$M96</f>
        <v>22616.746648350727</v>
      </c>
      <c r="BP95" s="2">
        <f>BK95*其他调用!L96*其他调用!$M96</f>
        <v>1991.1121184050335</v>
      </c>
      <c r="BQ95" s="2">
        <f t="shared" si="14"/>
        <v>1677273.2109137648</v>
      </c>
      <c r="BR95" s="2">
        <f>[1]服务器生态!$R94</f>
        <v>0.1699684907538147</v>
      </c>
      <c r="BS95" s="2" t="e">
        <f>SUMPRODUCT((BG$4:BG95)*($BR$4:$BR95)*(其他调用!#REF!))</f>
        <v>#REF!</v>
      </c>
      <c r="BT95" s="2" t="e">
        <f>SUMPRODUCT((BH$4:BH95)*($BR$4:$BR95)*(其他调用!#REF!))</f>
        <v>#REF!</v>
      </c>
      <c r="BU95" s="2" t="e">
        <f>SUMPRODUCT((BI$4:BI95)*($BR$4:$BR95)*(其他调用!#REF!))</f>
        <v>#REF!</v>
      </c>
      <c r="BV95" s="2" t="e">
        <f>SUMPRODUCT((BJ$4:BJ95)*($BR$4:$BR95)*(其他调用!#REF!))</f>
        <v>#REF!</v>
      </c>
      <c r="BW95" s="2" t="e">
        <f>SUMPRODUCT((BK$4:BK95)*($BR$4:$BR95)*(其他调用!#REF!))</f>
        <v>#REF!</v>
      </c>
      <c r="BX95" s="2" t="e">
        <f>SUMPRODUCT((BG$4:BG95)*($BR$4:$BR95))*'[1]功能-战损相关'!$D$2-BS95</f>
        <v>#REF!</v>
      </c>
      <c r="BY95" s="2" t="e">
        <f>SUMPRODUCT((BH$4:BH95)*($BR$4:$BR95))*'[1]功能-战损相关'!$D$2-BT95</f>
        <v>#REF!</v>
      </c>
      <c r="BZ95" s="2" t="e">
        <f>SUMPRODUCT((BI$4:BI95)*($BR$4:$BR95))*'[1]功能-战损相关'!$D$2-BU95</f>
        <v>#REF!</v>
      </c>
      <c r="CA95" s="2" t="e">
        <f>SUMPRODUCT((BJ$4:BJ95)*($BR$4:$BR95))*'[1]功能-战损相关'!$D$2-BV95</f>
        <v>#REF!</v>
      </c>
      <c r="CB95" s="2" t="e">
        <f>SUMPRODUCT((BK$4:BK95)*($BR$4:$BR95))*'[1]功能-战损相关'!$D$2-BW95</f>
        <v>#REF!</v>
      </c>
      <c r="CD95" s="2">
        <v>92</v>
      </c>
      <c r="CE95" s="7">
        <v>1</v>
      </c>
      <c r="CF95" s="2" t="e">
        <f>求节点(节奏总纲!R$4:R$363,BS$4:BS$363,$CD95)*$CE95</f>
        <v>#VALUE!</v>
      </c>
      <c r="CG95" s="2" t="e">
        <f>求节点(节奏总纲!S$4:S$363,BT$4:BT$363,$CD95)*$CE95</f>
        <v>#VALUE!</v>
      </c>
      <c r="CH95" s="2" t="e">
        <f>求节点(节奏总纲!T$4:T$363,BU$4:BU$363,$CD95)*$CE95</f>
        <v>#VALUE!</v>
      </c>
      <c r="CI95" s="2" t="e">
        <f>求节点(节奏总纲!U$4:U$363,BV$4:BV$363,$CD95)*$CE95</f>
        <v>#VALUE!</v>
      </c>
      <c r="CJ95" s="2" t="e">
        <f>求节点(节奏总纲!V$4:V$363,BW$4:BW$363,$CD95)*$CE95</f>
        <v>#VALUE!</v>
      </c>
      <c r="CK95" s="2" t="e">
        <f>求节点(节奏总纲!R$4:R$363,BX$4:BX$363,$CD95)*$CE95</f>
        <v>#VALUE!</v>
      </c>
      <c r="CL95" s="2" t="e">
        <f>求节点(节奏总纲!S$4:S$363,BY$4:BY$363,$CD95)*$CE95</f>
        <v>#VALUE!</v>
      </c>
      <c r="CM95" s="2" t="e">
        <f>求节点(节奏总纲!T$4:T$363,BZ$4:BZ$363,$CD95)*$CE95</f>
        <v>#VALUE!</v>
      </c>
      <c r="CN95" s="2" t="e">
        <f>求节点(节奏总纲!U$4:U$363,CA$4:CA$363,$CD95)*$CE95</f>
        <v>#VALUE!</v>
      </c>
      <c r="CO95" s="2" t="e">
        <f>求节点(节奏总纲!V$4:V$363,CB$4:CB$363,$CD95)*$CE95</f>
        <v>#VALUE!</v>
      </c>
    </row>
    <row r="96" spans="27:93" x14ac:dyDescent="0.15">
      <c r="AA96" s="2">
        <v>93</v>
      </c>
      <c r="AB96" s="2">
        <f>攻城基础信息!X97*$E$12</f>
        <v>312335.7742846763</v>
      </c>
      <c r="AC96" s="2">
        <f>攻城基础信息!Y97*$E$12</f>
        <v>347991.06599577283</v>
      </c>
      <c r="AD96" s="2">
        <f>攻城基础信息!Z97*$E$12</f>
        <v>376925.6131793512</v>
      </c>
      <c r="AE96" s="2">
        <f>攻城基础信息!AA97*$E$12</f>
        <v>399049.04926006612</v>
      </c>
      <c r="AF96" s="2">
        <f>攻城基础信息!AB97*$E$12</f>
        <v>413347.81957127678</v>
      </c>
      <c r="AH96" s="2">
        <f>$E$4*AB96*攻城基础信息!AC97</f>
        <v>7652226.4699745653</v>
      </c>
      <c r="AI96" s="2">
        <f>$E$4*AC96*攻城基础信息!AD97</f>
        <v>8525781.1168964282</v>
      </c>
      <c r="AJ96" s="2">
        <f>$E$4*AD96*攻城基础信息!AE97</f>
        <v>9234677.5228940994</v>
      </c>
      <c r="AK96" s="2">
        <f>$E$4*AE96*攻城基础信息!AF97</f>
        <v>9776701.7068716139</v>
      </c>
      <c r="AL96" s="2">
        <f>$E$4*AF96*攻城基础信息!AG97</f>
        <v>10127021.579496276</v>
      </c>
      <c r="AN96" s="2">
        <v>93</v>
      </c>
      <c r="AO96" s="2">
        <f>求节点(节奏总纲!D$4:D$163,AH$4:AH$163,$AN96)*其他调用!H97*其他调用!$M97</f>
        <v>150041609.17924342</v>
      </c>
      <c r="AP96" s="2">
        <f>求节点(节奏总纲!E$4:E$163,AI$4:AI$163,$AN96)*其他调用!I97*其他调用!$M97</f>
        <v>175026535.73545834</v>
      </c>
      <c r="AQ96" s="2">
        <f>求节点(节奏总纲!F$4:F$163,AJ$4:AJ$163,$AN96)*其他调用!J97*其他调用!$M97</f>
        <v>16798817.672255661</v>
      </c>
      <c r="AR96" s="2">
        <f>求节点(节奏总纲!G$4:G$163,AK$4:AK$163,$AN96)*其他调用!K97*其他调用!$M97</f>
        <v>4064896.5953090149</v>
      </c>
      <c r="AS96" s="2">
        <f>求节点(节奏总纲!H$4:H$163,AL$4:AL$163,$AN96)*其他调用!L97*其他调用!$M97</f>
        <v>1677945.967831546</v>
      </c>
      <c r="AT96" s="2">
        <f t="shared" si="13"/>
        <v>347609805.15009797</v>
      </c>
      <c r="AY96" s="2">
        <v>93</v>
      </c>
      <c r="AZ96" s="2">
        <f>其他调用!R97*6*(其他调用!AH$2*$AZ$1*MIN(其他调用!$AJ97/其他调用!AH97,1)+$E$4*0%*攻城基础信息!AC97)</f>
        <v>9352.8151194629554</v>
      </c>
      <c r="BA96" s="2">
        <f>其他调用!S97*6*(其他调用!AI$2*$AZ$1*MIN(其他调用!$AJ97/其他调用!AI97,1)+$E$4*0%*攻城基础信息!AD97)</f>
        <v>28226.374359072637</v>
      </c>
      <c r="BB96" s="2">
        <f>其他调用!T97*6*(其他调用!AJ$2*$AZ$1*MIN(其他调用!$AJ97/其他调用!AJ97,1)+$E$4*0%*攻城基础信息!AE97)</f>
        <v>85190.735482241536</v>
      </c>
      <c r="BC96" s="2">
        <f>其他调用!U97*6*(其他调用!AK$2*$AZ$1*MIN(其他调用!$AJ97/其他调用!AK97,1)+$E$4*0%*攻城基础信息!AF97)</f>
        <v>38853.338109785516</v>
      </c>
      <c r="BD96" s="2">
        <f>其他调用!V97*6*(其他调用!AL$2*$AZ$1*MIN(其他调用!$AJ97/其他调用!AL97,1)+$E$4*0%*攻城基础信息!AG97)</f>
        <v>10847.643529857362</v>
      </c>
      <c r="BF96" s="2">
        <v>93</v>
      </c>
      <c r="BG96" s="2">
        <f>求节点(节奏总纲!D$4:D$163,AZ$4:AZ$163,$AN96)</f>
        <v>7145.1269007397714</v>
      </c>
      <c r="BH96" s="2">
        <f>求节点(节奏总纲!E$4:E$163,BA$4:BA$163,$AN96)</f>
        <v>22120.254808329999</v>
      </c>
      <c r="BI96" s="2">
        <f>求节点(节奏总纲!F$4:F$163,BB$4:BB$163,$AN96)</f>
        <v>69074.687789566815</v>
      </c>
      <c r="BJ96" s="2">
        <f>求节点(节奏总纲!G$4:G$163,BC$4:BC$163,$AN96)</f>
        <v>33011.76546396067</v>
      </c>
      <c r="BK96" s="2">
        <f>求节点(节奏总纲!H$4:H$163,BD$4:BD$163,$AN96)</f>
        <v>10034.94797538264</v>
      </c>
      <c r="BL96" s="2">
        <f>BG96*其他调用!H97*其他调用!$M97</f>
        <v>342698.50801935804</v>
      </c>
      <c r="BM96" s="2">
        <f>BH96*其他调用!I97*其他调用!$M97</f>
        <v>1046100.3341101885</v>
      </c>
      <c r="BN96" s="2">
        <f>BI96*其他调用!J97*其他调用!$M97</f>
        <v>266657.30720917112</v>
      </c>
      <c r="BO96" s="2">
        <f>BJ96*其他调用!K97*其他调用!$M97</f>
        <v>22672.348473586339</v>
      </c>
      <c r="BP96" s="2">
        <f>BK96*其他调用!L97*其他调用!$M97</f>
        <v>1994.1448616680379</v>
      </c>
      <c r="BQ96" s="2">
        <f t="shared" si="14"/>
        <v>1680122.6426739723</v>
      </c>
      <c r="BR96" s="2">
        <f>[1]服务器生态!$R95</f>
        <v>0.15071623354926328</v>
      </c>
      <c r="BS96" s="2" t="e">
        <f>SUMPRODUCT((BG$4:BG96)*($BR$4:$BR96)*(其他调用!#REF!))</f>
        <v>#REF!</v>
      </c>
      <c r="BT96" s="2" t="e">
        <f>SUMPRODUCT((BH$4:BH96)*($BR$4:$BR96)*(其他调用!#REF!))</f>
        <v>#REF!</v>
      </c>
      <c r="BU96" s="2" t="e">
        <f>SUMPRODUCT((BI$4:BI96)*($BR$4:$BR96)*(其他调用!#REF!))</f>
        <v>#REF!</v>
      </c>
      <c r="BV96" s="2" t="e">
        <f>SUMPRODUCT((BJ$4:BJ96)*($BR$4:$BR96)*(其他调用!#REF!))</f>
        <v>#REF!</v>
      </c>
      <c r="BW96" s="2" t="e">
        <f>SUMPRODUCT((BK$4:BK96)*($BR$4:$BR96)*(其他调用!#REF!))</f>
        <v>#REF!</v>
      </c>
      <c r="BX96" s="2" t="e">
        <f>SUMPRODUCT((BG$4:BG96)*($BR$4:$BR96))*'[1]功能-战损相关'!$D$2-BS96</f>
        <v>#REF!</v>
      </c>
      <c r="BY96" s="2" t="e">
        <f>SUMPRODUCT((BH$4:BH96)*($BR$4:$BR96))*'[1]功能-战损相关'!$D$2-BT96</f>
        <v>#REF!</v>
      </c>
      <c r="BZ96" s="2" t="e">
        <f>SUMPRODUCT((BI$4:BI96)*($BR$4:$BR96))*'[1]功能-战损相关'!$D$2-BU96</f>
        <v>#REF!</v>
      </c>
      <c r="CA96" s="2" t="e">
        <f>SUMPRODUCT((BJ$4:BJ96)*($BR$4:$BR96))*'[1]功能-战损相关'!$D$2-BV96</f>
        <v>#REF!</v>
      </c>
      <c r="CB96" s="2" t="e">
        <f>SUMPRODUCT((BK$4:BK96)*($BR$4:$BR96))*'[1]功能-战损相关'!$D$2-BW96</f>
        <v>#REF!</v>
      </c>
      <c r="CD96" s="2">
        <v>93</v>
      </c>
      <c r="CE96" s="7">
        <v>1</v>
      </c>
      <c r="CF96" s="2" t="e">
        <f>求节点(节奏总纲!R$4:R$363,BS$4:BS$363,$CD96)*$CE96</f>
        <v>#VALUE!</v>
      </c>
      <c r="CG96" s="2" t="e">
        <f>求节点(节奏总纲!S$4:S$363,BT$4:BT$363,$CD96)*$CE96</f>
        <v>#VALUE!</v>
      </c>
      <c r="CH96" s="2" t="e">
        <f>求节点(节奏总纲!T$4:T$363,BU$4:BU$363,$CD96)*$CE96</f>
        <v>#VALUE!</v>
      </c>
      <c r="CI96" s="2" t="e">
        <f>求节点(节奏总纲!U$4:U$363,BV$4:BV$363,$CD96)*$CE96</f>
        <v>#VALUE!</v>
      </c>
      <c r="CJ96" s="2" t="e">
        <f>求节点(节奏总纲!V$4:V$363,BW$4:BW$363,$CD96)*$CE96</f>
        <v>#VALUE!</v>
      </c>
      <c r="CK96" s="2" t="e">
        <f>求节点(节奏总纲!R$4:R$363,BX$4:BX$363,$CD96)*$CE96</f>
        <v>#VALUE!</v>
      </c>
      <c r="CL96" s="2" t="e">
        <f>求节点(节奏总纲!S$4:S$363,BY$4:BY$363,$CD96)*$CE96</f>
        <v>#VALUE!</v>
      </c>
      <c r="CM96" s="2" t="e">
        <f>求节点(节奏总纲!T$4:T$363,BZ$4:BZ$363,$CD96)*$CE96</f>
        <v>#VALUE!</v>
      </c>
      <c r="CN96" s="2" t="e">
        <f>求节点(节奏总纲!U$4:U$363,CA$4:CA$363,$CD96)*$CE96</f>
        <v>#VALUE!</v>
      </c>
      <c r="CO96" s="2" t="e">
        <f>求节点(节奏总纲!V$4:V$363,CB$4:CB$363,$CD96)*$CE96</f>
        <v>#VALUE!</v>
      </c>
    </row>
    <row r="97" spans="27:93" x14ac:dyDescent="0.15">
      <c r="AA97" s="2">
        <v>94</v>
      </c>
      <c r="AB97" s="2">
        <f>攻城基础信息!X98*$E$12</f>
        <v>322565.98740250192</v>
      </c>
      <c r="AC97" s="2">
        <f>攻城基础信息!Y98*$E$12</f>
        <v>358568.76748906623</v>
      </c>
      <c r="AD97" s="2">
        <f>攻城基础信息!Z98*$E$12</f>
        <v>385040.98856674484</v>
      </c>
      <c r="AE97" s="2">
        <f>攻城基础信息!AA98*$E$12</f>
        <v>406152.94236854784</v>
      </c>
      <c r="AF97" s="2">
        <f>攻城基础信息!AB98*$E$12</f>
        <v>420097.81580557348</v>
      </c>
      <c r="AH97" s="2">
        <f>$E$4*AB97*攻城基础信息!AC98</f>
        <v>7902866.6913612923</v>
      </c>
      <c r="AI97" s="2">
        <f>$E$4*AC97*攻城基础信息!AD98</f>
        <v>8784934.8034821171</v>
      </c>
      <c r="AJ97" s="2">
        <f>$E$4*AD97*攻城基础信息!AE98</f>
        <v>9433504.2198852412</v>
      </c>
      <c r="AK97" s="2">
        <f>$E$4*AE97*攻城基础信息!AF98</f>
        <v>9950747.0880294163</v>
      </c>
      <c r="AL97" s="2">
        <f>$E$4*AF97*攻城基础信息!AG98</f>
        <v>10292396.487236544</v>
      </c>
      <c r="AN97" s="2">
        <v>94</v>
      </c>
      <c r="AO97" s="2">
        <f>求节点(节奏总纲!D$4:D$163,AH$4:AH$163,$AN97)*其他调用!H98*其他调用!$M98</f>
        <v>150761846.9181515</v>
      </c>
      <c r="AP97" s="2">
        <f>求节点(节奏总纲!E$4:E$163,AI$4:AI$163,$AN97)*其他调用!I98*其他调用!$M98</f>
        <v>175941066.7028653</v>
      </c>
      <c r="AQ97" s="2">
        <f>求节点(节奏总纲!F$4:F$163,AJ$4:AJ$163,$AN97)*其他调用!J98*其他调用!$M98</f>
        <v>16871531.364488121</v>
      </c>
      <c r="AR97" s="2">
        <f>求节点(节奏总纲!G$4:G$163,AK$4:AK$163,$AN97)*其他调用!K98*其他调用!$M98</f>
        <v>4090333.6849751533</v>
      </c>
      <c r="AS97" s="2">
        <f>求节点(节奏总纲!H$4:H$163,AL$4:AL$163,$AN97)*其他调用!L98*其他调用!$M98</f>
        <v>1682206.5778578464</v>
      </c>
      <c r="AT97" s="2">
        <f t="shared" si="13"/>
        <v>349346985.24833792</v>
      </c>
      <c r="AY97" s="2">
        <v>94</v>
      </c>
      <c r="AZ97" s="2">
        <f>其他调用!R98*6*(其他调用!AH$2*$AZ$1*MIN(其他调用!$AJ98/其他调用!AH98,1)+$E$4*0%*攻城基础信息!AC98)</f>
        <v>9434.9234093472496</v>
      </c>
      <c r="BA97" s="2">
        <f>其他调用!S98*6*(其他调用!AI$2*$AZ$1*MIN(其他调用!$AJ98/其他调用!AI98,1)+$E$4*0%*攻城基础信息!AD98)</f>
        <v>28460.83298736902</v>
      </c>
      <c r="BB97" s="2">
        <f>其他调用!T98*6*(其他调用!AJ$2*$AZ$1*MIN(其他调用!$AJ98/其他调用!AJ98,1)+$E$4*0%*攻城基础信息!AE98)</f>
        <v>85911.92275602775</v>
      </c>
      <c r="BC97" s="2">
        <f>其他调用!U98*6*(其他调用!AK$2*$AZ$1*MIN(其他调用!$AJ98/其他调用!AK98,1)+$E$4*0%*攻城基础信息!AF98)</f>
        <v>39028.797054062023</v>
      </c>
      <c r="BD97" s="2">
        <f>其他调用!V98*6*(其他调用!AL$2*$AZ$1*MIN(其他调用!$AJ98/其他调用!AL98,1)+$E$4*0%*攻城基础信息!AG98)</f>
        <v>10917.95186634218</v>
      </c>
      <c r="BF97" s="2">
        <v>94</v>
      </c>
      <c r="BG97" s="2">
        <f>求节点(节奏总纲!D$4:D$163,AZ$4:AZ$163,$AN97)</f>
        <v>7157.5337174166561</v>
      </c>
      <c r="BH97" s="2">
        <f>求节点(节奏总纲!E$4:E$163,BA$4:BA$163,$AN97)</f>
        <v>22157.603902976854</v>
      </c>
      <c r="BI97" s="2">
        <f>求节点(节奏总纲!F$4:F$163,BB$4:BB$163,$AN97)</f>
        <v>69185.929415949155</v>
      </c>
      <c r="BJ97" s="2">
        <f>求节点(节奏总纲!G$4:G$163,BC$4:BC$163,$AN97)</f>
        <v>33081.600569605238</v>
      </c>
      <c r="BK97" s="2">
        <f>求节点(节奏总纲!H$4:H$163,BD$4:BD$163,$AN97)</f>
        <v>10050.209364588583</v>
      </c>
      <c r="BL97" s="2">
        <f>BG97*其他调用!H98*其他调用!$M98</f>
        <v>343293.57058766566</v>
      </c>
      <c r="BM97" s="2">
        <f>BH97*其他调用!I98*其他调用!$M98</f>
        <v>1047866.6293327046</v>
      </c>
      <c r="BN97" s="2">
        <f>BI97*其他调用!J98*其他调用!$M98</f>
        <v>267086.74661005632</v>
      </c>
      <c r="BO97" s="2">
        <f>BJ97*其他调用!K98*其他调用!$M98</f>
        <v>22720.310944802604</v>
      </c>
      <c r="BP97" s="2">
        <f>BK97*其他调用!L98*其他调用!$M98</f>
        <v>1997.1776049310431</v>
      </c>
      <c r="BQ97" s="2">
        <f t="shared" si="14"/>
        <v>1682964.4350801602</v>
      </c>
      <c r="BR97" s="2">
        <f>[1]服务器生态!$R96</f>
        <v>0.13146397634471188</v>
      </c>
      <c r="BS97" s="2" t="e">
        <f>SUMPRODUCT((BG$4:BG97)*($BR$4:$BR97)*(其他调用!#REF!))</f>
        <v>#REF!</v>
      </c>
      <c r="BT97" s="2" t="e">
        <f>SUMPRODUCT((BH$4:BH97)*($BR$4:$BR97)*(其他调用!#REF!))</f>
        <v>#REF!</v>
      </c>
      <c r="BU97" s="2" t="e">
        <f>SUMPRODUCT((BI$4:BI97)*($BR$4:$BR97)*(其他调用!#REF!))</f>
        <v>#REF!</v>
      </c>
      <c r="BV97" s="2" t="e">
        <f>SUMPRODUCT((BJ$4:BJ97)*($BR$4:$BR97)*(其他调用!#REF!))</f>
        <v>#REF!</v>
      </c>
      <c r="BW97" s="2" t="e">
        <f>SUMPRODUCT((BK$4:BK97)*($BR$4:$BR97)*(其他调用!#REF!))</f>
        <v>#REF!</v>
      </c>
      <c r="BX97" s="2" t="e">
        <f>SUMPRODUCT((BG$4:BG97)*($BR$4:$BR97))*'[1]功能-战损相关'!$D$2-BS97</f>
        <v>#REF!</v>
      </c>
      <c r="BY97" s="2" t="e">
        <f>SUMPRODUCT((BH$4:BH97)*($BR$4:$BR97))*'[1]功能-战损相关'!$D$2-BT97</f>
        <v>#REF!</v>
      </c>
      <c r="BZ97" s="2" t="e">
        <f>SUMPRODUCT((BI$4:BI97)*($BR$4:$BR97))*'[1]功能-战损相关'!$D$2-BU97</f>
        <v>#REF!</v>
      </c>
      <c r="CA97" s="2" t="e">
        <f>SUMPRODUCT((BJ$4:BJ97)*($BR$4:$BR97))*'[1]功能-战损相关'!$D$2-BV97</f>
        <v>#REF!</v>
      </c>
      <c r="CB97" s="2" t="e">
        <f>SUMPRODUCT((BK$4:BK97)*($BR$4:$BR97))*'[1]功能-战损相关'!$D$2-BW97</f>
        <v>#REF!</v>
      </c>
      <c r="CD97" s="2">
        <v>94</v>
      </c>
      <c r="CE97" s="7">
        <v>1</v>
      </c>
      <c r="CF97" s="2" t="e">
        <f>求节点(节奏总纲!R$4:R$363,BS$4:BS$363,$CD97)*$CE97</f>
        <v>#VALUE!</v>
      </c>
      <c r="CG97" s="2" t="e">
        <f>求节点(节奏总纲!S$4:S$363,BT$4:BT$363,$CD97)*$CE97</f>
        <v>#VALUE!</v>
      </c>
      <c r="CH97" s="2" t="e">
        <f>求节点(节奏总纲!T$4:T$363,BU$4:BU$363,$CD97)*$CE97</f>
        <v>#VALUE!</v>
      </c>
      <c r="CI97" s="2" t="e">
        <f>求节点(节奏总纲!U$4:U$363,BV$4:BV$363,$CD97)*$CE97</f>
        <v>#VALUE!</v>
      </c>
      <c r="CJ97" s="2" t="e">
        <f>求节点(节奏总纲!V$4:V$363,BW$4:BW$363,$CD97)*$CE97</f>
        <v>#VALUE!</v>
      </c>
      <c r="CK97" s="2" t="e">
        <f>求节点(节奏总纲!R$4:R$363,BX$4:BX$363,$CD97)*$CE97</f>
        <v>#VALUE!</v>
      </c>
      <c r="CL97" s="2" t="e">
        <f>求节点(节奏总纲!S$4:S$363,BY$4:BY$363,$CD97)*$CE97</f>
        <v>#VALUE!</v>
      </c>
      <c r="CM97" s="2" t="e">
        <f>求节点(节奏总纲!T$4:T$363,BZ$4:BZ$363,$CD97)*$CE97</f>
        <v>#VALUE!</v>
      </c>
      <c r="CN97" s="2" t="e">
        <f>求节点(节奏总纲!U$4:U$363,CA$4:CA$363,$CD97)*$CE97</f>
        <v>#VALUE!</v>
      </c>
      <c r="CO97" s="2" t="e">
        <f>求节点(节奏总纲!V$4:V$363,CB$4:CB$363,$CD97)*$CE97</f>
        <v>#VALUE!</v>
      </c>
    </row>
    <row r="98" spans="27:93" x14ac:dyDescent="0.15">
      <c r="AA98" s="2">
        <v>95</v>
      </c>
      <c r="AB98" s="2">
        <f>攻城基础信息!X99*$E$12</f>
        <v>333206.48276448122</v>
      </c>
      <c r="AC98" s="2">
        <f>攻城基础信息!Y99*$E$12</f>
        <v>369165.5584712972</v>
      </c>
      <c r="AD98" s="2">
        <f>攻城基础信息!Z99*$E$12</f>
        <v>391971.34618271387</v>
      </c>
      <c r="AE98" s="2">
        <f>攻城基础信息!AA99*$E$12</f>
        <v>413356.56920156896</v>
      </c>
      <c r="AF98" s="2">
        <f>攻城基础信息!AB99*$E$12</f>
        <v>425860.734404905</v>
      </c>
      <c r="AH98" s="2">
        <f>$E$4*AB98*攻城基础信息!AC99</f>
        <v>8163558.8277297849</v>
      </c>
      <c r="AI98" s="2">
        <f>$E$4*AC98*攻城基础信息!AD99</f>
        <v>9044556.1825467758</v>
      </c>
      <c r="AJ98" s="2">
        <f>$E$4*AD98*攻城基础信息!AE99</f>
        <v>9603297.9814764839</v>
      </c>
      <c r="AK98" s="2">
        <f>$E$4*AE98*攻城基础信息!AF99</f>
        <v>10127235.945438433</v>
      </c>
      <c r="AL98" s="2">
        <f>$E$4*AF98*攻城基础信息!AG99</f>
        <v>10433587.992920166</v>
      </c>
      <c r="AN98" s="2">
        <v>95</v>
      </c>
      <c r="AO98" s="2">
        <f>求节点(节奏总纲!D$4:D$163,AH$4:AH$163,$AN98)*其他调用!H99*其他调用!$M99</f>
        <v>151482084.65705958</v>
      </c>
      <c r="AP98" s="2">
        <f>求节点(节奏总纲!E$4:E$163,AI$4:AI$163,$AN98)*其他调用!I99*其他调用!$M99</f>
        <v>176855597.67027226</v>
      </c>
      <c r="AQ98" s="2">
        <f>求节点(节奏总纲!F$4:F$163,AJ$4:AJ$163,$AN98)*其他调用!J99*其他调用!$M99</f>
        <v>16944245.056720588</v>
      </c>
      <c r="AR98" s="2">
        <f>求节点(节奏总纲!G$4:G$163,AK$4:AK$163,$AN98)*其他调用!K99*其他调用!$M99</f>
        <v>4115450.0188814718</v>
      </c>
      <c r="AS98" s="2">
        <f>求节点(节奏总纲!H$4:H$163,AL$4:AL$163,$AN98)*其他调用!L99*其他调用!$M99</f>
        <v>1686467.1878841461</v>
      </c>
      <c r="AT98" s="2">
        <f t="shared" si="13"/>
        <v>351083844.59081811</v>
      </c>
      <c r="AY98" s="2">
        <v>95</v>
      </c>
      <c r="AZ98" s="2">
        <f>其他调用!R99*6*(其他调用!AH$2*$AZ$1*MIN(其他调用!$AJ99/其他调用!AH99,1)+$E$4*0%*攻城基础信息!AC99)</f>
        <v>9513.9406441124211</v>
      </c>
      <c r="BA98" s="2">
        <f>其他调用!S99*6*(其他调用!AI$2*$AZ$1*MIN(其他调用!$AJ99/其他调用!AI99,1)+$E$4*0%*攻城基础信息!AD99)</f>
        <v>28706.923048939683</v>
      </c>
      <c r="BB98" s="2">
        <f>其他调用!T99*6*(其他调用!AJ$2*$AZ$1*MIN(其他调用!$AJ99/其他调用!AJ99,1)+$E$4*0%*攻城基础信息!AE99)</f>
        <v>86608.735261236041</v>
      </c>
      <c r="BC98" s="2">
        <f>其他调用!U99*6*(其他调用!AK$2*$AZ$1*MIN(其他调用!$AJ99/其他调用!AK99,1)+$E$4*0%*攻城基础信息!AF99)</f>
        <v>39206.93653770649</v>
      </c>
      <c r="BD98" s="2">
        <f>其他调用!V99*6*(其他调用!AL$2*$AZ$1*MIN(其他调用!$AJ99/其他调用!AL99,1)+$E$4*0%*攻城基础信息!AG99)</f>
        <v>10991.654946633476</v>
      </c>
      <c r="BF98" s="2">
        <v>95</v>
      </c>
      <c r="BG98" s="2">
        <f>求节点(节奏总纲!D$4:D$163,AZ$4:AZ$163,$AN98)</f>
        <v>7169.94053409354</v>
      </c>
      <c r="BH98" s="2">
        <f>求节点(节奏总纲!E$4:E$163,BA$4:BA$163,$AN98)</f>
        <v>22194.95299762371</v>
      </c>
      <c r="BI98" s="2">
        <f>求节点(节奏总纲!F$4:F$163,BB$4:BB$163,$AN98)</f>
        <v>69297.171042331494</v>
      </c>
      <c r="BJ98" s="2">
        <f>求节点(节奏总纲!G$4:G$163,BC$4:BC$163,$AN98)</f>
        <v>33148.407008187904</v>
      </c>
      <c r="BK98" s="2">
        <f>求节点(节奏总纲!H$4:H$163,BD$4:BD$163,$AN98)</f>
        <v>10065.470753794527</v>
      </c>
      <c r="BL98" s="2">
        <f>BG98*其他调用!H99*其他调用!$M99</f>
        <v>343888.63315597322</v>
      </c>
      <c r="BM98" s="2">
        <f>BH98*其他调用!I99*其他调用!$M99</f>
        <v>1049632.9245552204</v>
      </c>
      <c r="BN98" s="2">
        <f>BI98*其他调用!J99*其他调用!$M99</f>
        <v>267516.18601094151</v>
      </c>
      <c r="BO98" s="2">
        <f>BJ98*其他调用!K99*其他调用!$M99</f>
        <v>22766.193339595426</v>
      </c>
      <c r="BP98" s="2">
        <f>BK98*其他调用!L99*其他调用!$M99</f>
        <v>2000.210348194048</v>
      </c>
      <c r="BQ98" s="2">
        <f t="shared" si="14"/>
        <v>1685804.1474099245</v>
      </c>
      <c r="BR98" s="2">
        <f>[1]服务器生态!$R97</f>
        <v>0.11221171914016045</v>
      </c>
      <c r="BS98" s="2" t="e">
        <f>SUMPRODUCT((BG$4:BG98)*($BR$4:$BR98)*(其他调用!#REF!))</f>
        <v>#REF!</v>
      </c>
      <c r="BT98" s="2" t="e">
        <f>SUMPRODUCT((BH$4:BH98)*($BR$4:$BR98)*(其他调用!#REF!))</f>
        <v>#REF!</v>
      </c>
      <c r="BU98" s="2" t="e">
        <f>SUMPRODUCT((BI$4:BI98)*($BR$4:$BR98)*(其他调用!#REF!))</f>
        <v>#REF!</v>
      </c>
      <c r="BV98" s="2" t="e">
        <f>SUMPRODUCT((BJ$4:BJ98)*($BR$4:$BR98)*(其他调用!#REF!))</f>
        <v>#REF!</v>
      </c>
      <c r="BW98" s="2" t="e">
        <f>SUMPRODUCT((BK$4:BK98)*($BR$4:$BR98)*(其他调用!#REF!))</f>
        <v>#REF!</v>
      </c>
      <c r="BX98" s="2" t="e">
        <f>SUMPRODUCT((BG$4:BG98)*($BR$4:$BR98))*'[1]功能-战损相关'!$D$2-BS98</f>
        <v>#REF!</v>
      </c>
      <c r="BY98" s="2" t="e">
        <f>SUMPRODUCT((BH$4:BH98)*($BR$4:$BR98))*'[1]功能-战损相关'!$D$2-BT98</f>
        <v>#REF!</v>
      </c>
      <c r="BZ98" s="2" t="e">
        <f>SUMPRODUCT((BI$4:BI98)*($BR$4:$BR98))*'[1]功能-战损相关'!$D$2-BU98</f>
        <v>#REF!</v>
      </c>
      <c r="CA98" s="2" t="e">
        <f>SUMPRODUCT((BJ$4:BJ98)*($BR$4:$BR98))*'[1]功能-战损相关'!$D$2-BV98</f>
        <v>#REF!</v>
      </c>
      <c r="CB98" s="2" t="e">
        <f>SUMPRODUCT((BK$4:BK98)*($BR$4:$BR98))*'[1]功能-战损相关'!$D$2-BW98</f>
        <v>#REF!</v>
      </c>
      <c r="CD98" s="2">
        <v>95</v>
      </c>
      <c r="CE98" s="7">
        <v>1</v>
      </c>
      <c r="CF98" s="2" t="e">
        <f>求节点(节奏总纲!R$4:R$363,BS$4:BS$363,$CD98)*$CE98</f>
        <v>#VALUE!</v>
      </c>
      <c r="CG98" s="2" t="e">
        <f>求节点(节奏总纲!S$4:S$363,BT$4:BT$363,$CD98)*$CE98</f>
        <v>#VALUE!</v>
      </c>
      <c r="CH98" s="2" t="e">
        <f>求节点(节奏总纲!T$4:T$363,BU$4:BU$363,$CD98)*$CE98</f>
        <v>#VALUE!</v>
      </c>
      <c r="CI98" s="2" t="e">
        <f>求节点(节奏总纲!U$4:U$363,BV$4:BV$363,$CD98)*$CE98</f>
        <v>#VALUE!</v>
      </c>
      <c r="CJ98" s="2" t="e">
        <f>求节点(节奏总纲!V$4:V$363,BW$4:BW$363,$CD98)*$CE98</f>
        <v>#VALUE!</v>
      </c>
      <c r="CK98" s="2" t="e">
        <f>求节点(节奏总纲!R$4:R$363,BX$4:BX$363,$CD98)*$CE98</f>
        <v>#VALUE!</v>
      </c>
      <c r="CL98" s="2" t="e">
        <f>求节点(节奏总纲!S$4:S$363,BY$4:BY$363,$CD98)*$CE98</f>
        <v>#VALUE!</v>
      </c>
      <c r="CM98" s="2" t="e">
        <f>求节点(节奏总纲!T$4:T$363,BZ$4:BZ$363,$CD98)*$CE98</f>
        <v>#VALUE!</v>
      </c>
      <c r="CN98" s="2" t="e">
        <f>求节点(节奏总纲!U$4:U$363,CA$4:CA$363,$CD98)*$CE98</f>
        <v>#VALUE!</v>
      </c>
      <c r="CO98" s="2" t="e">
        <f>求节点(节奏总纲!V$4:V$363,CB$4:CB$363,$CD98)*$CE98</f>
        <v>#VALUE!</v>
      </c>
    </row>
    <row r="99" spans="27:93" x14ac:dyDescent="0.15">
      <c r="AA99" s="2">
        <v>96</v>
      </c>
      <c r="AB99" s="2">
        <f>攻城基础信息!X100*$E$12</f>
        <v>344085.65563017002</v>
      </c>
      <c r="AC99" s="2">
        <f>攻城基础信息!Y100*$E$12</f>
        <v>379953.66539671936</v>
      </c>
      <c r="AD99" s="2">
        <f>攻城基础信息!Z100*$E$12</f>
        <v>398939.60672178312</v>
      </c>
      <c r="AE99" s="2">
        <f>攻城基础信息!AA100*$E$12</f>
        <v>420600.76122945559</v>
      </c>
      <c r="AF99" s="2">
        <f>攻城基础信息!AB100*$E$12</f>
        <v>431623.65300423646</v>
      </c>
      <c r="AH99" s="2">
        <f>$E$4*AB99*攻城基础信息!AC100</f>
        <v>8430098.5629391614</v>
      </c>
      <c r="AI99" s="2">
        <f>$E$4*AC99*攻城基础信息!AD100</f>
        <v>9308864.8022196181</v>
      </c>
      <c r="AJ99" s="2">
        <f>$E$4*AD99*攻城基础信息!AE100</f>
        <v>9774020.3646836802</v>
      </c>
      <c r="AK99" s="2">
        <f>$E$4*AE99*攻城基础信息!AF100</f>
        <v>10304718.650121655</v>
      </c>
      <c r="AL99" s="2">
        <f>$E$4*AF99*攻城基础信息!AG100</f>
        <v>10574779.498603787</v>
      </c>
      <c r="AN99" s="2">
        <v>96</v>
      </c>
      <c r="AO99" s="2">
        <f>求节点(节奏总纲!D$4:D$163,AH$4:AH$163,$AN99)*其他调用!H100*其他调用!$M100</f>
        <v>152202322.39596766</v>
      </c>
      <c r="AP99" s="2">
        <f>求节点(节奏总纲!E$4:E$163,AI$4:AI$163,$AN99)*其他调用!I100*其他调用!$M100</f>
        <v>177765002.49496049</v>
      </c>
      <c r="AQ99" s="2">
        <f>求节点(节奏总纲!F$4:F$163,AJ$4:AJ$163,$AN99)*其他调用!J100*其他调用!$M100</f>
        <v>17016958.748953052</v>
      </c>
      <c r="AR99" s="2">
        <f>求节点(节奏总纲!G$4:G$163,AK$4:AK$163,$AN99)*其他调用!K100*其他调用!$M100</f>
        <v>4140566.3527877894</v>
      </c>
      <c r="AS99" s="2">
        <f>求节点(节奏总纲!H$4:H$163,AL$4:AL$163,$AN99)*其他调用!L100*其他调用!$M100</f>
        <v>1690406.9708805203</v>
      </c>
      <c r="AT99" s="2">
        <f t="shared" si="13"/>
        <v>352815256.96354949</v>
      </c>
      <c r="AY99" s="2">
        <v>96</v>
      </c>
      <c r="AZ99" s="2">
        <f>其他调用!R100*6*(其他调用!AH$2*$AZ$1*MIN(其他调用!$AJ100/其他调用!AH100,1)+$E$4*0%*攻城基础信息!AC100)</f>
        <v>9595.5788562697544</v>
      </c>
      <c r="BA99" s="2">
        <f>其他调用!S100*6*(其他调用!AI$2*$AZ$1*MIN(其他调用!$AJ100/其他调用!AI100,1)+$E$4*0%*攻城基础信息!AD100)</f>
        <v>28940.713390758516</v>
      </c>
      <c r="BB99" s="2">
        <f>其他调用!T100*6*(其他调用!AJ$2*$AZ$1*MIN(其他调用!$AJ100/其他调用!AJ100,1)+$E$4*0%*攻城基础信息!AE100)</f>
        <v>87313.456060381111</v>
      </c>
      <c r="BC99" s="2">
        <f>其他调用!U100*6*(其他调用!AK$2*$AZ$1*MIN(其他调用!$AJ100/其他调用!AK100,1)+$E$4*0%*攻城基础信息!AF100)</f>
        <v>39394.032081920355</v>
      </c>
      <c r="BD99" s="2">
        <f>其他调用!V100*6*(其他调用!AL$2*$AZ$1*MIN(其他调用!$AJ100/其他调用!AL100,1)+$E$4*0%*攻城基础信息!AG100)</f>
        <v>11066.264439263896</v>
      </c>
      <c r="BF99" s="2">
        <v>96</v>
      </c>
      <c r="BG99" s="2">
        <f>求节点(节奏总纲!D$4:D$163,AZ$4:AZ$163,$AN99)</f>
        <v>7182.3473507704239</v>
      </c>
      <c r="BH99" s="2">
        <f>求节点(节奏总纲!E$4:E$163,BA$4:BA$163,$AN99)</f>
        <v>22231.922136683654</v>
      </c>
      <c r="BI99" s="2">
        <f>求节点(节奏总纲!F$4:F$163,BB$4:BB$163,$AN99)</f>
        <v>69408.412668713849</v>
      </c>
      <c r="BJ99" s="2">
        <f>求节点(节奏总纲!G$4:G$163,BC$4:BC$163,$AN99)</f>
        <v>33215.213446770569</v>
      </c>
      <c r="BK99" s="2">
        <f>求节点(节奏总纲!H$4:H$163,BD$4:BD$163,$AN99)</f>
        <v>10080.682934675477</v>
      </c>
      <c r="BL99" s="2">
        <f>BG99*其他调用!H100*其他调用!$M100</f>
        <v>344483.69572428084</v>
      </c>
      <c r="BM99" s="2">
        <f>BH99*其他调用!I100*其他调用!$M100</f>
        <v>1051381.2511028789</v>
      </c>
      <c r="BN99" s="2">
        <f>BI99*其他调用!J100*其他调用!$M100</f>
        <v>267945.62541182677</v>
      </c>
      <c r="BO99" s="2">
        <f>BJ99*其他调用!K100*其他调用!$M100</f>
        <v>22812.075734388247</v>
      </c>
      <c r="BP99" s="2">
        <f>BK99*其他调用!L100*其他调用!$M100</f>
        <v>2003.2333127787106</v>
      </c>
      <c r="BQ99" s="2">
        <f t="shared" si="14"/>
        <v>1688625.8812861533</v>
      </c>
      <c r="BR99" s="2">
        <f>[1]服务器生态!$R98</f>
        <v>9.2959461935609028E-2</v>
      </c>
      <c r="BS99" s="2" t="e">
        <f>SUMPRODUCT((BG$4:BG99)*($BR$4:$BR99)*(其他调用!#REF!))</f>
        <v>#REF!</v>
      </c>
      <c r="BT99" s="2" t="e">
        <f>SUMPRODUCT((BH$4:BH99)*($BR$4:$BR99)*(其他调用!#REF!))</f>
        <v>#REF!</v>
      </c>
      <c r="BU99" s="2" t="e">
        <f>SUMPRODUCT((BI$4:BI99)*($BR$4:$BR99)*(其他调用!#REF!))</f>
        <v>#REF!</v>
      </c>
      <c r="BV99" s="2" t="e">
        <f>SUMPRODUCT((BJ$4:BJ99)*($BR$4:$BR99)*(其他调用!#REF!))</f>
        <v>#REF!</v>
      </c>
      <c r="BW99" s="2" t="e">
        <f>SUMPRODUCT((BK$4:BK99)*($BR$4:$BR99)*(其他调用!#REF!))</f>
        <v>#REF!</v>
      </c>
      <c r="BX99" s="2" t="e">
        <f>SUMPRODUCT((BG$4:BG99)*($BR$4:$BR99))*'[1]功能-战损相关'!$D$2-BS99</f>
        <v>#REF!</v>
      </c>
      <c r="BY99" s="2" t="e">
        <f>SUMPRODUCT((BH$4:BH99)*($BR$4:$BR99))*'[1]功能-战损相关'!$D$2-BT99</f>
        <v>#REF!</v>
      </c>
      <c r="BZ99" s="2" t="e">
        <f>SUMPRODUCT((BI$4:BI99)*($BR$4:$BR99))*'[1]功能-战损相关'!$D$2-BU99</f>
        <v>#REF!</v>
      </c>
      <c r="CA99" s="2" t="e">
        <f>SUMPRODUCT((BJ$4:BJ99)*($BR$4:$BR99))*'[1]功能-战损相关'!$D$2-BV99</f>
        <v>#REF!</v>
      </c>
      <c r="CB99" s="2" t="e">
        <f>SUMPRODUCT((BK$4:BK99)*($BR$4:$BR99))*'[1]功能-战损相关'!$D$2-BW99</f>
        <v>#REF!</v>
      </c>
      <c r="CD99" s="2">
        <v>96</v>
      </c>
      <c r="CE99" s="7">
        <v>1</v>
      </c>
      <c r="CF99" s="2" t="e">
        <f>求节点(节奏总纲!R$4:R$363,BS$4:BS$363,$CD99)*$CE99</f>
        <v>#VALUE!</v>
      </c>
      <c r="CG99" s="2" t="e">
        <f>求节点(节奏总纲!S$4:S$363,BT$4:BT$363,$CD99)*$CE99</f>
        <v>#VALUE!</v>
      </c>
      <c r="CH99" s="2" t="e">
        <f>求节点(节奏总纲!T$4:T$363,BU$4:BU$363,$CD99)*$CE99</f>
        <v>#VALUE!</v>
      </c>
      <c r="CI99" s="2" t="e">
        <f>求节点(节奏总纲!U$4:U$363,BV$4:BV$363,$CD99)*$CE99</f>
        <v>#VALUE!</v>
      </c>
      <c r="CJ99" s="2" t="e">
        <f>求节点(节奏总纲!V$4:V$363,BW$4:BW$363,$CD99)*$CE99</f>
        <v>#VALUE!</v>
      </c>
      <c r="CK99" s="2" t="e">
        <f>求节点(节奏总纲!R$4:R$363,BX$4:BX$363,$CD99)*$CE99</f>
        <v>#VALUE!</v>
      </c>
      <c r="CL99" s="2" t="e">
        <f>求节点(节奏总纲!S$4:S$363,BY$4:BY$363,$CD99)*$CE99</f>
        <v>#VALUE!</v>
      </c>
      <c r="CM99" s="2" t="e">
        <f>求节点(节奏总纲!T$4:T$363,BZ$4:BZ$363,$CD99)*$CE99</f>
        <v>#VALUE!</v>
      </c>
      <c r="CN99" s="2" t="e">
        <f>求节点(节奏总纲!U$4:U$363,CA$4:CA$363,$CD99)*$CE99</f>
        <v>#VALUE!</v>
      </c>
      <c r="CO99" s="2" t="e">
        <f>求节点(节奏总纲!V$4:V$363,CB$4:CB$363,$CD99)*$CE99</f>
        <v>#VALUE!</v>
      </c>
    </row>
    <row r="100" spans="27:93" x14ac:dyDescent="0.15">
      <c r="AA100" s="2">
        <v>97</v>
      </c>
      <c r="AB100" s="2">
        <f>攻城基础信息!X101*$E$12</f>
        <v>355062.86460212327</v>
      </c>
      <c r="AC100" s="2">
        <f>攻城基础信息!Y101*$E$12</f>
        <v>389898.96151851467</v>
      </c>
      <c r="AD100" s="2">
        <f>攻城基础信息!Z101*$E$12</f>
        <v>405945.77018395258</v>
      </c>
      <c r="AE100" s="2">
        <f>攻城基础信息!AA101*$E$12</f>
        <v>427885.51845220785</v>
      </c>
      <c r="AF100" s="2">
        <f>攻城基础信息!AB101*$E$12</f>
        <v>437386.57160356792</v>
      </c>
      <c r="AH100" s="2">
        <f>$E$4*AB100*攻城基础信息!AC101</f>
        <v>8699040.1827520151</v>
      </c>
      <c r="AI100" s="2">
        <f>$E$4*AC100*攻城基础信息!AD101</f>
        <v>9552524.557203602</v>
      </c>
      <c r="AJ100" s="2">
        <f>$E$4*AD100*攻城基础信息!AE101</f>
        <v>9945671.3695068322</v>
      </c>
      <c r="AK100" s="2">
        <f>$E$4*AE100*攻城基础信息!AF101</f>
        <v>10483195.202079086</v>
      </c>
      <c r="AL100" s="2">
        <f>$E$4*AF100*攻城基础信息!AG101</f>
        <v>10715971.004287407</v>
      </c>
      <c r="AN100" s="2">
        <v>97</v>
      </c>
      <c r="AO100" s="2">
        <f>求节点(节奏总纲!D$4:D$163,AH$4:AH$163,$AN100)*其他调用!H101*其他调用!$M101</f>
        <v>153849388.39779255</v>
      </c>
      <c r="AP100" s="2">
        <f>求节点(节奏总纲!E$4:E$163,AI$4:AI$163,$AN100)*其他调用!I101*其他调用!$M101</f>
        <v>178649099.74697846</v>
      </c>
      <c r="AQ100" s="2">
        <f>求节点(节奏总纲!F$4:F$163,AJ$4:AJ$163,$AN100)*其他调用!J101*其他调用!$M101</f>
        <v>17089049.953681748</v>
      </c>
      <c r="AR100" s="2">
        <f>求节点(节奏总纲!G$4:G$163,AK$4:AK$163,$AN100)*其他调用!K101*其他调用!$M101</f>
        <v>4165682.6866941061</v>
      </c>
      <c r="AS100" s="2">
        <f>求节点(节奏总纲!H$4:H$163,AL$4:AL$163,$AN100)*其他调用!L101*其他调用!$M101</f>
        <v>1693752.2316670311</v>
      </c>
      <c r="AT100" s="2">
        <f t="shared" si="13"/>
        <v>355446973.01681387</v>
      </c>
      <c r="AY100" s="2">
        <v>97</v>
      </c>
      <c r="AZ100" s="2">
        <f>其他调用!R101*6*(其他调用!AH$2*$AZ$1*MIN(其他调用!$AJ101/其他调用!AH101,1)+$E$4*0%*攻城基础信息!AC101)</f>
        <v>9675.1661109534652</v>
      </c>
      <c r="BA100" s="2">
        <f>其他调用!S101*6*(其他调用!AI$2*$AZ$1*MIN(其他调用!$AJ101/其他调用!AI101,1)+$E$4*0%*攻城基础信息!AD101)</f>
        <v>29180.352885994089</v>
      </c>
      <c r="BB100" s="2">
        <f>其他调用!T101*6*(其他调用!AJ$2*$AZ$1*MIN(其他调用!$AJ101/其他调用!AJ101,1)+$E$4*0%*攻城基础信息!AE101)</f>
        <v>88054.91392924267</v>
      </c>
      <c r="BC100" s="2">
        <f>其他调用!U101*6*(其他调用!AK$2*$AZ$1*MIN(其他调用!$AJ101/其他调用!AK101,1)+$E$4*0%*攻城基础信息!AF101)</f>
        <v>39614.030164822827</v>
      </c>
      <c r="BD100" s="2">
        <f>其他调用!V101*6*(其他调用!AL$2*$AZ$1*MIN(其他调用!$AJ101/其他调用!AL101,1)+$E$4*0%*攻城基础信息!AG101)</f>
        <v>11147.63038733722</v>
      </c>
      <c r="BF100" s="2">
        <v>97</v>
      </c>
      <c r="BG100" s="2">
        <f>求节点(节奏总纲!D$4:D$163,AZ$4:AZ$163,$AN100)</f>
        <v>7193.8986723514008</v>
      </c>
      <c r="BH100" s="2">
        <f>求节点(节奏总纲!E$4:E$163,BA$4:BA$163,$AN100)</f>
        <v>22267.015449385493</v>
      </c>
      <c r="BI100" s="2">
        <f>求节点(节奏总纲!F$4:F$163,BB$4:BB$163,$AN100)</f>
        <v>69516.84001285836</v>
      </c>
      <c r="BJ100" s="2">
        <f>求节点(节奏总纲!G$4:G$163,BC$4:BC$163,$AN100)</f>
        <v>33282.019885353235</v>
      </c>
      <c r="BK100" s="2">
        <f>求节点(节奏总纲!H$4:H$163,BD$4:BD$163,$AN100)</f>
        <v>10095.80392797125</v>
      </c>
      <c r="BL100" s="2">
        <f>BG100*其他调用!H101*其他调用!$M101</f>
        <v>345037.72656606231</v>
      </c>
      <c r="BM100" s="2">
        <f>BH100*其他调用!I101*其他调用!$M101</f>
        <v>1053040.8669825569</v>
      </c>
      <c r="BN100" s="2">
        <f>BI100*其他调用!J101*其他调用!$M101</f>
        <v>268364.20050123578</v>
      </c>
      <c r="BO100" s="2">
        <f>BJ100*其他调用!K101*其他调用!$M101</f>
        <v>22857.958129181065</v>
      </c>
      <c r="BP100" s="2">
        <f>BK100*其他调用!L101*其他调用!$M101</f>
        <v>2006.2381565664466</v>
      </c>
      <c r="BQ100" s="2">
        <f t="shared" si="14"/>
        <v>1691306.9903356023</v>
      </c>
      <c r="BR100" s="2">
        <f>[1]服务器生态!$R99</f>
        <v>8.1527011846405206E-2</v>
      </c>
      <c r="BS100" s="2" t="e">
        <f>SUMPRODUCT((BG$4:BG100)*($BR$4:$BR100)*(其他调用!#REF!))</f>
        <v>#REF!</v>
      </c>
      <c r="BT100" s="2" t="e">
        <f>SUMPRODUCT((BH$4:BH100)*($BR$4:$BR100)*(其他调用!#REF!))</f>
        <v>#REF!</v>
      </c>
      <c r="BU100" s="2" t="e">
        <f>SUMPRODUCT((BI$4:BI100)*($BR$4:$BR100)*(其他调用!#REF!))</f>
        <v>#REF!</v>
      </c>
      <c r="BV100" s="2" t="e">
        <f>SUMPRODUCT((BJ$4:BJ100)*($BR$4:$BR100)*(其他调用!#REF!))</f>
        <v>#REF!</v>
      </c>
      <c r="BW100" s="2" t="e">
        <f>SUMPRODUCT((BK$4:BK100)*($BR$4:$BR100)*(其他调用!#REF!))</f>
        <v>#REF!</v>
      </c>
      <c r="BX100" s="2" t="e">
        <f>SUMPRODUCT((BG$4:BG100)*($BR$4:$BR100))*'[1]功能-战损相关'!$D$2-BS100</f>
        <v>#REF!</v>
      </c>
      <c r="BY100" s="2" t="e">
        <f>SUMPRODUCT((BH$4:BH100)*($BR$4:$BR100))*'[1]功能-战损相关'!$D$2-BT100</f>
        <v>#REF!</v>
      </c>
      <c r="BZ100" s="2" t="e">
        <f>SUMPRODUCT((BI$4:BI100)*($BR$4:$BR100))*'[1]功能-战损相关'!$D$2-BU100</f>
        <v>#REF!</v>
      </c>
      <c r="CA100" s="2" t="e">
        <f>SUMPRODUCT((BJ$4:BJ100)*($BR$4:$BR100))*'[1]功能-战损相关'!$D$2-BV100</f>
        <v>#REF!</v>
      </c>
      <c r="CB100" s="2" t="e">
        <f>SUMPRODUCT((BK$4:BK100)*($BR$4:$BR100))*'[1]功能-战损相关'!$D$2-BW100</f>
        <v>#REF!</v>
      </c>
      <c r="CD100" s="2">
        <v>97</v>
      </c>
      <c r="CE100" s="7">
        <v>1</v>
      </c>
      <c r="CF100" s="2" t="e">
        <f>求节点(节奏总纲!R$4:R$363,BS$4:BS$363,$CD100)*$CE100</f>
        <v>#VALUE!</v>
      </c>
      <c r="CG100" s="2" t="e">
        <f>求节点(节奏总纲!S$4:S$363,BT$4:BT$363,$CD100)*$CE100</f>
        <v>#VALUE!</v>
      </c>
      <c r="CH100" s="2" t="e">
        <f>求节点(节奏总纲!T$4:T$363,BU$4:BU$363,$CD100)*$CE100</f>
        <v>#VALUE!</v>
      </c>
      <c r="CI100" s="2" t="e">
        <f>求节点(节奏总纲!U$4:U$363,BV$4:BV$363,$CD100)*$CE100</f>
        <v>#VALUE!</v>
      </c>
      <c r="CJ100" s="2" t="e">
        <f>求节点(节奏总纲!V$4:V$363,BW$4:BW$363,$CD100)*$CE100</f>
        <v>#VALUE!</v>
      </c>
      <c r="CK100" s="2" t="e">
        <f>求节点(节奏总纲!R$4:R$363,BX$4:BX$363,$CD100)*$CE100</f>
        <v>#VALUE!</v>
      </c>
      <c r="CL100" s="2" t="e">
        <f>求节点(节奏总纲!S$4:S$363,BY$4:BY$363,$CD100)*$CE100</f>
        <v>#VALUE!</v>
      </c>
      <c r="CM100" s="2" t="e">
        <f>求节点(节奏总纲!T$4:T$363,BZ$4:BZ$363,$CD100)*$CE100</f>
        <v>#VALUE!</v>
      </c>
      <c r="CN100" s="2" t="e">
        <f>求节点(节奏总纲!U$4:U$363,CA$4:CA$363,$CD100)*$CE100</f>
        <v>#VALUE!</v>
      </c>
      <c r="CO100" s="2" t="e">
        <f>求节点(节奏总纲!V$4:V$363,CB$4:CB$363,$CD100)*$CE100</f>
        <v>#VALUE!</v>
      </c>
    </row>
    <row r="101" spans="27:93" x14ac:dyDescent="0.15">
      <c r="AA101" s="2">
        <v>98</v>
      </c>
      <c r="AB101" s="2">
        <f>攻城基础信息!X102*$E$12</f>
        <v>365722.12318077695</v>
      </c>
      <c r="AC101" s="2">
        <f>攻城基础信息!Y102*$E$12</f>
        <v>396459.07020181365</v>
      </c>
      <c r="AD101" s="2">
        <f>攻城基础信息!Z102*$E$12</f>
        <v>412465.7221696155</v>
      </c>
      <c r="AE101" s="2">
        <f>攻城基础信息!AA102*$E$12</f>
        <v>433706.35184015433</v>
      </c>
      <c r="AF101" s="2">
        <f>攻城基础信息!AB102*$E$12</f>
        <v>443149.49020289944</v>
      </c>
      <c r="AH101" s="2">
        <f>$E$4*AB101*攻城基础信息!AC102</f>
        <v>8960192.0179290306</v>
      </c>
      <c r="AI101" s="2">
        <f>$E$4*AC101*攻城基础信息!AD102</f>
        <v>9713247.2199444287</v>
      </c>
      <c r="AJ101" s="2">
        <f>$E$4*AD101*攻城基础信息!AE102</f>
        <v>10105410.193155574</v>
      </c>
      <c r="AK101" s="2">
        <f>$E$4*AE101*攻城基础信息!AF102</f>
        <v>10625805.620083775</v>
      </c>
      <c r="AL101" s="2">
        <f>$E$4*AF101*攻城基础信息!AG102</f>
        <v>10857162.509971028</v>
      </c>
      <c r="AN101" s="2">
        <v>98</v>
      </c>
      <c r="AO101" s="2">
        <f>求节点(节奏总纲!D$4:D$163,AH$4:AH$163,$AN101)*其他调用!H102*其他调用!$M102</f>
        <v>155501917.86845258</v>
      </c>
      <c r="AP101" s="2">
        <f>求节点(节奏总纲!E$4:E$163,AI$4:AI$163,$AN101)*其他调用!I102*其他调用!$M102</f>
        <v>179533196.99899644</v>
      </c>
      <c r="AQ101" s="2">
        <f>求节点(节奏总纲!F$4:F$163,AJ$4:AJ$163,$AN101)*其他调用!J102*其他调用!$M102</f>
        <v>17160267.919302057</v>
      </c>
      <c r="AR101" s="2">
        <f>求节点(节奏总纲!G$4:G$163,AK$4:AK$163,$AN101)*其他调用!K102*其他调用!$M102</f>
        <v>4190799.0206004237</v>
      </c>
      <c r="AS101" s="2">
        <f>求节点(节奏总纲!H$4:H$163,AL$4:AL$163,$AN101)*其他调用!L102*其他调用!$M102</f>
        <v>1697097.4924535418</v>
      </c>
      <c r="AT101" s="2">
        <f t="shared" si="13"/>
        <v>358083279.29980505</v>
      </c>
      <c r="AY101" s="2">
        <v>98</v>
      </c>
      <c r="AZ101" s="2">
        <f>其他调用!R102*6*(其他调用!AH$2*$AZ$1*MIN(其他调用!$AJ102/其他调用!AH102,1)+$E$4*0%*攻城基础信息!AC102)</f>
        <v>9756.3418403628475</v>
      </c>
      <c r="BA101" s="2">
        <f>其他调用!S102*6*(其他调用!AI$2*$AZ$1*MIN(其他调用!$AJ102/其他调用!AI102,1)+$E$4*0%*攻城基础信息!AD102)</f>
        <v>29427.574806600183</v>
      </c>
      <c r="BB101" s="2">
        <f>其他调用!T102*6*(其他调用!AJ$2*$AZ$1*MIN(其他调用!$AJ102/其他调用!AJ102,1)+$E$4*0%*攻城基础信息!AE102)</f>
        <v>88812.745459175421</v>
      </c>
      <c r="BC101" s="2">
        <f>其他调用!U102*6*(其他调用!AK$2*$AZ$1*MIN(其他调用!$AJ102/其他调用!AK102,1)+$E$4*0%*攻城基础信息!AF102)</f>
        <v>39858.682545358963</v>
      </c>
      <c r="BD101" s="2">
        <f>其他调用!V102*6*(其他调用!AL$2*$AZ$1*MIN(其他调用!$AJ102/其他调用!AL102,1)+$E$4*0%*攻城基础信息!AG102)</f>
        <v>11235.02047063781</v>
      </c>
      <c r="BF101" s="2">
        <v>98</v>
      </c>
      <c r="BG101" s="2">
        <f>求节点(节奏总纲!D$4:D$163,AZ$4:AZ$163,$AN101)</f>
        <v>7205.4449509584174</v>
      </c>
      <c r="BH101" s="2">
        <f>求节点(节奏总纲!E$4:E$163,BA$4:BA$163,$AN101)</f>
        <v>22302.108762087337</v>
      </c>
      <c r="BI101" s="2">
        <f>求节点(节奏总纲!F$4:F$163,BB$4:BB$163,$AN101)</f>
        <v>69621.319420221393</v>
      </c>
      <c r="BJ101" s="2">
        <f>求节点(节奏总纲!G$4:G$163,BC$4:BC$163,$AN101)</f>
        <v>33348.8263239359</v>
      </c>
      <c r="BK101" s="2">
        <f>求节点(节奏总纲!H$4:H$163,BD$4:BD$163,$AN101)</f>
        <v>10110.924921267024</v>
      </c>
      <c r="BL101" s="2">
        <f>BG101*其他调用!H102*其他调用!$M102</f>
        <v>345591.51553395187</v>
      </c>
      <c r="BM101" s="2">
        <f>BH101*其他调用!I102*其他调用!$M102</f>
        <v>1054700.482862235</v>
      </c>
      <c r="BN101" s="2">
        <f>BI101*其他调用!J102*其他调用!$M102</f>
        <v>268767.53489647928</v>
      </c>
      <c r="BO101" s="2">
        <f>BJ101*其他调用!K102*其他调用!$M102</f>
        <v>22903.840523973886</v>
      </c>
      <c r="BP101" s="2">
        <f>BK101*其他调用!L102*其他调用!$M102</f>
        <v>2009.2430003541829</v>
      </c>
      <c r="BQ101" s="2">
        <f t="shared" si="14"/>
        <v>1693972.616816994</v>
      </c>
      <c r="BR101" s="2">
        <f>[1]服务器生态!$R100</f>
        <v>7.7914368872549003E-2</v>
      </c>
      <c r="BS101" s="2" t="e">
        <f>SUMPRODUCT((BG$4:BG101)*($BR$4:$BR101)*(其他调用!#REF!))</f>
        <v>#REF!</v>
      </c>
      <c r="BT101" s="2" t="e">
        <f>SUMPRODUCT((BH$4:BH101)*($BR$4:$BR101)*(其他调用!#REF!))</f>
        <v>#REF!</v>
      </c>
      <c r="BU101" s="2" t="e">
        <f>SUMPRODUCT((BI$4:BI101)*($BR$4:$BR101)*(其他调用!#REF!))</f>
        <v>#REF!</v>
      </c>
      <c r="BV101" s="2" t="e">
        <f>SUMPRODUCT((BJ$4:BJ101)*($BR$4:$BR101)*(其他调用!#REF!))</f>
        <v>#REF!</v>
      </c>
      <c r="BW101" s="2" t="e">
        <f>SUMPRODUCT((BK$4:BK101)*($BR$4:$BR101)*(其他调用!#REF!))</f>
        <v>#REF!</v>
      </c>
      <c r="BX101" s="2" t="e">
        <f>SUMPRODUCT((BG$4:BG101)*($BR$4:$BR101))*'[1]功能-战损相关'!$D$2-BS101</f>
        <v>#REF!</v>
      </c>
      <c r="BY101" s="2" t="e">
        <f>SUMPRODUCT((BH$4:BH101)*($BR$4:$BR101))*'[1]功能-战损相关'!$D$2-BT101</f>
        <v>#REF!</v>
      </c>
      <c r="BZ101" s="2" t="e">
        <f>SUMPRODUCT((BI$4:BI101)*($BR$4:$BR101))*'[1]功能-战损相关'!$D$2-BU101</f>
        <v>#REF!</v>
      </c>
      <c r="CA101" s="2" t="e">
        <f>SUMPRODUCT((BJ$4:BJ101)*($BR$4:$BR101))*'[1]功能-战损相关'!$D$2-BV101</f>
        <v>#REF!</v>
      </c>
      <c r="CB101" s="2" t="e">
        <f>SUMPRODUCT((BK$4:BK101)*($BR$4:$BR101))*'[1]功能-战损相关'!$D$2-BW101</f>
        <v>#REF!</v>
      </c>
      <c r="CD101" s="2">
        <v>98</v>
      </c>
      <c r="CE101" s="7">
        <v>1</v>
      </c>
      <c r="CF101" s="2" t="e">
        <f>求节点(节奏总纲!R$4:R$363,BS$4:BS$363,$CD101)*$CE101</f>
        <v>#VALUE!</v>
      </c>
      <c r="CG101" s="2" t="e">
        <f>求节点(节奏总纲!S$4:S$363,BT$4:BT$363,$CD101)*$CE101</f>
        <v>#VALUE!</v>
      </c>
      <c r="CH101" s="2" t="e">
        <f>求节点(节奏总纲!T$4:T$363,BU$4:BU$363,$CD101)*$CE101</f>
        <v>#VALUE!</v>
      </c>
      <c r="CI101" s="2" t="e">
        <f>求节点(节奏总纲!U$4:U$363,BV$4:BV$363,$CD101)*$CE101</f>
        <v>#VALUE!</v>
      </c>
      <c r="CJ101" s="2" t="e">
        <f>求节点(节奏总纲!V$4:V$363,BW$4:BW$363,$CD101)*$CE101</f>
        <v>#VALUE!</v>
      </c>
      <c r="CK101" s="2" t="e">
        <f>求节点(节奏总纲!R$4:R$363,BX$4:BX$363,$CD101)*$CE101</f>
        <v>#VALUE!</v>
      </c>
      <c r="CL101" s="2" t="e">
        <f>求节点(节奏总纲!S$4:S$363,BY$4:BY$363,$CD101)*$CE101</f>
        <v>#VALUE!</v>
      </c>
      <c r="CM101" s="2" t="e">
        <f>求节点(节奏总纲!T$4:T$363,BZ$4:BZ$363,$CD101)*$CE101</f>
        <v>#VALUE!</v>
      </c>
      <c r="CN101" s="2" t="e">
        <f>求节点(节奏总纲!U$4:U$363,CA$4:CA$363,$CD101)*$CE101</f>
        <v>#VALUE!</v>
      </c>
      <c r="CO101" s="2" t="e">
        <f>求节点(节奏总纲!V$4:V$363,CB$4:CB$363,$CD101)*$CE101</f>
        <v>#VALUE!</v>
      </c>
    </row>
    <row r="102" spans="27:93" x14ac:dyDescent="0.15">
      <c r="AA102" s="2">
        <v>99</v>
      </c>
      <c r="AB102" s="2">
        <f>攻城基础信息!X103*$E$12</f>
        <v>376579.31193874974</v>
      </c>
      <c r="AC102" s="2">
        <f>攻城基础信息!Y103*$E$12</f>
        <v>403046.88660999242</v>
      </c>
      <c r="AD102" s="2">
        <f>攻城基础信息!Z103*$E$12</f>
        <v>418945.22454151907</v>
      </c>
      <c r="AE102" s="2">
        <f>攻城基础信息!AA103*$E$12</f>
        <v>439518.22296658234</v>
      </c>
      <c r="AF102" s="2">
        <f>攻城基础信息!AB103*$E$12</f>
        <v>448912.40880223078</v>
      </c>
      <c r="AH102" s="2">
        <f>$E$4*AB102*攻城基础信息!AC103</f>
        <v>9226193.142499363</v>
      </c>
      <c r="AI102" s="2">
        <f>$E$4*AC102*攻城基础信息!AD103</f>
        <v>9874648.7219448071</v>
      </c>
      <c r="AJ102" s="2">
        <f>$E$4*AD102*攻城基础信息!AE103</f>
        <v>10264158.001267212</v>
      </c>
      <c r="AK102" s="2">
        <f>$E$4*AE102*攻城基础信息!AF103</f>
        <v>10768196.46268126</v>
      </c>
      <c r="AL102" s="2">
        <f>$E$4*AF102*攻城基础信息!AG103</f>
        <v>10998354.015654648</v>
      </c>
      <c r="AN102" s="2">
        <v>99</v>
      </c>
      <c r="AO102" s="2">
        <f>求节点(节奏总纲!D$4:D$163,AH$4:AH$163,$AN102)*其他调用!H103*其他调用!$M103</f>
        <v>157154447.33911264</v>
      </c>
      <c r="AP102" s="2">
        <f>求节点(节奏总纲!E$4:E$163,AI$4:AI$163,$AN102)*其他调用!I103*其他调用!$M103</f>
        <v>180417294.25101444</v>
      </c>
      <c r="AQ102" s="2">
        <f>求节点(节奏总纲!F$4:F$163,AJ$4:AJ$163,$AN102)*其他调用!J103*其他调用!$M103</f>
        <v>17231485.884922363</v>
      </c>
      <c r="AR102" s="2">
        <f>求节点(节奏总纲!G$4:G$163,AK$4:AK$163,$AN102)*其他调用!K103*其他调用!$M103</f>
        <v>4215915.3545067403</v>
      </c>
      <c r="AS102" s="2">
        <f>求节点(节奏总纲!H$4:H$163,AL$4:AL$163,$AN102)*其他调用!L103*其他调用!$M103</f>
        <v>1700442.7532400524</v>
      </c>
      <c r="AT102" s="2">
        <f t="shared" si="13"/>
        <v>360719585.58279628</v>
      </c>
      <c r="AY102" s="2">
        <v>99</v>
      </c>
      <c r="AZ102" s="2">
        <f>其他调用!R103*6*(其他调用!AH$2*$AZ$1*MIN(其他调用!$AJ103/其他调用!AH103,1)+$E$4*0%*攻城基础信息!AC103)</f>
        <v>9836.4905420364703</v>
      </c>
      <c r="BA102" s="2">
        <f>其他调用!S103*6*(其他调用!AI$2*$AZ$1*MIN(其他调用!$AJ103/其他调用!AI103,1)+$E$4*0%*攻城基础信息!AD103)</f>
        <v>29673.775112090534</v>
      </c>
      <c r="BB102" s="2">
        <f>其他调用!T103*6*(其他调用!AJ$2*$AZ$1*MIN(其他调用!$AJ103/其他调用!AJ103,1)+$E$4*0%*攻城基础信息!AE103)</f>
        <v>89557.269342569401</v>
      </c>
      <c r="BC102" s="2">
        <f>其他调用!U103*6*(其他调用!AK$2*$AZ$1*MIN(其他调用!$AJ103/其他调用!AK103,1)+$E$4*0%*攻城基础信息!AF103)</f>
        <v>40098.638038641038</v>
      </c>
      <c r="BD102" s="2">
        <f>其他调用!V103*6*(其他调用!AL$2*$AZ$1*MIN(其他调用!$AJ103/其他调用!AL103,1)+$E$4*0%*攻城基础信息!AG103)</f>
        <v>11313.422621332651</v>
      </c>
      <c r="BF102" s="2">
        <v>99</v>
      </c>
      <c r="BG102" s="2">
        <f>求节点(节奏总纲!D$4:D$163,AZ$4:AZ$163,$AN102)</f>
        <v>7216.9912295654331</v>
      </c>
      <c r="BH102" s="2">
        <f>求节点(节奏总纲!E$4:E$163,BA$4:BA$163,$AN102)</f>
        <v>22337.20207478918</v>
      </c>
      <c r="BI102" s="2">
        <f>求节点(节奏总纲!F$4:F$163,BB$4:BB$163,$AN102)</f>
        <v>69725.798827584425</v>
      </c>
      <c r="BJ102" s="2">
        <f>求节点(节奏总纲!G$4:G$163,BC$4:BC$163,$AN102)</f>
        <v>33415.632762518566</v>
      </c>
      <c r="BK102" s="2">
        <f>求节点(节奏总纲!H$4:H$163,BD$4:BD$163,$AN102)</f>
        <v>10126.045914562799</v>
      </c>
      <c r="BL102" s="2">
        <f>BG102*其他调用!H103*其他调用!$M103</f>
        <v>346145.30450184131</v>
      </c>
      <c r="BM102" s="2">
        <f>BH102*其他调用!I103*其他调用!$M103</f>
        <v>1056360.0987419132</v>
      </c>
      <c r="BN102" s="2">
        <f>BI102*其他调用!J103*其他调用!$M103</f>
        <v>269170.86929172272</v>
      </c>
      <c r="BO102" s="2">
        <f>BJ102*其他调用!K103*其他调用!$M103</f>
        <v>22949.722918766707</v>
      </c>
      <c r="BP102" s="2">
        <f>BK102*其他调用!L103*其他调用!$M103</f>
        <v>2012.2478441419189</v>
      </c>
      <c r="BQ102" s="2">
        <f t="shared" si="14"/>
        <v>1696638.243298386</v>
      </c>
      <c r="BR102" s="2">
        <f>[1]服务器生态!$R101</f>
        <v>7.43017258986928E-2</v>
      </c>
      <c r="BS102" s="2" t="e">
        <f>SUMPRODUCT((BG$4:BG102)*($BR$4:$BR102)*(其他调用!#REF!))</f>
        <v>#REF!</v>
      </c>
      <c r="BT102" s="2" t="e">
        <f>SUMPRODUCT((BH$4:BH102)*($BR$4:$BR102)*(其他调用!#REF!))</f>
        <v>#REF!</v>
      </c>
      <c r="BU102" s="2" t="e">
        <f>SUMPRODUCT((BI$4:BI102)*($BR$4:$BR102)*(其他调用!#REF!))</f>
        <v>#REF!</v>
      </c>
      <c r="BV102" s="2" t="e">
        <f>SUMPRODUCT((BJ$4:BJ102)*($BR$4:$BR102)*(其他调用!#REF!))</f>
        <v>#REF!</v>
      </c>
      <c r="BW102" s="2" t="e">
        <f>SUMPRODUCT((BK$4:BK102)*($BR$4:$BR102)*(其他调用!#REF!))</f>
        <v>#REF!</v>
      </c>
      <c r="BX102" s="2" t="e">
        <f>SUMPRODUCT((BG$4:BG102)*($BR$4:$BR102))*'[1]功能-战损相关'!$D$2-BS102</f>
        <v>#REF!</v>
      </c>
      <c r="BY102" s="2" t="e">
        <f>SUMPRODUCT((BH$4:BH102)*($BR$4:$BR102))*'[1]功能-战损相关'!$D$2-BT102</f>
        <v>#REF!</v>
      </c>
      <c r="BZ102" s="2" t="e">
        <f>SUMPRODUCT((BI$4:BI102)*($BR$4:$BR102))*'[1]功能-战损相关'!$D$2-BU102</f>
        <v>#REF!</v>
      </c>
      <c r="CA102" s="2" t="e">
        <f>SUMPRODUCT((BJ$4:BJ102)*($BR$4:$BR102))*'[1]功能-战损相关'!$D$2-BV102</f>
        <v>#REF!</v>
      </c>
      <c r="CB102" s="2" t="e">
        <f>SUMPRODUCT((BK$4:BK102)*($BR$4:$BR102))*'[1]功能-战损相关'!$D$2-BW102</f>
        <v>#REF!</v>
      </c>
      <c r="CD102" s="2">
        <v>99</v>
      </c>
      <c r="CE102" s="7">
        <v>1</v>
      </c>
      <c r="CF102" s="2" t="e">
        <f>求节点(节奏总纲!R$4:R$363,BS$4:BS$363,$CD102)*$CE102</f>
        <v>#VALUE!</v>
      </c>
      <c r="CG102" s="2" t="e">
        <f>求节点(节奏总纲!S$4:S$363,BT$4:BT$363,$CD102)*$CE102</f>
        <v>#VALUE!</v>
      </c>
      <c r="CH102" s="2" t="e">
        <f>求节点(节奏总纲!T$4:T$363,BU$4:BU$363,$CD102)*$CE102</f>
        <v>#VALUE!</v>
      </c>
      <c r="CI102" s="2" t="e">
        <f>求节点(节奏总纲!U$4:U$363,BV$4:BV$363,$CD102)*$CE102</f>
        <v>#VALUE!</v>
      </c>
      <c r="CJ102" s="2" t="e">
        <f>求节点(节奏总纲!V$4:V$363,BW$4:BW$363,$CD102)*$CE102</f>
        <v>#VALUE!</v>
      </c>
      <c r="CK102" s="2" t="e">
        <f>求节点(节奏总纲!R$4:R$363,BX$4:BX$363,$CD102)*$CE102</f>
        <v>#VALUE!</v>
      </c>
      <c r="CL102" s="2" t="e">
        <f>求节点(节奏总纲!S$4:S$363,BY$4:BY$363,$CD102)*$CE102</f>
        <v>#VALUE!</v>
      </c>
      <c r="CM102" s="2" t="e">
        <f>求节点(节奏总纲!T$4:T$363,BZ$4:BZ$363,$CD102)*$CE102</f>
        <v>#VALUE!</v>
      </c>
      <c r="CN102" s="2" t="e">
        <f>求节点(节奏总纲!U$4:U$363,CA$4:CA$363,$CD102)*$CE102</f>
        <v>#VALUE!</v>
      </c>
      <c r="CO102" s="2" t="e">
        <f>求节点(节奏总纲!V$4:V$363,CB$4:CB$363,$CD102)*$CE102</f>
        <v>#VALUE!</v>
      </c>
    </row>
    <row r="103" spans="27:93" x14ac:dyDescent="0.15">
      <c r="AA103" s="2">
        <v>100</v>
      </c>
      <c r="AB103" s="2">
        <f>攻城基础信息!X104*$E$12</f>
        <v>387636.1507508097</v>
      </c>
      <c r="AC103" s="2">
        <f>攻城基础信息!Y104*$E$12</f>
        <v>409662.41074305115</v>
      </c>
      <c r="AD103" s="2">
        <f>攻城基础信息!Z104*$E$12</f>
        <v>425446.45982877794</v>
      </c>
      <c r="AE103" s="2">
        <f>攻城基础信息!AA104*$E$12</f>
        <v>445330.09409301053</v>
      </c>
      <c r="AF103" s="2">
        <f>攻城基础信息!AB104*$E$12</f>
        <v>454675.32740156236</v>
      </c>
      <c r="AH103" s="2">
        <f>$E$4*AB103*攻城基础信息!AC104</f>
        <v>9497085.6933948305</v>
      </c>
      <c r="AI103" s="2">
        <f>$E$4*AC103*攻城基础信息!AD104</f>
        <v>10036729.063204747</v>
      </c>
      <c r="AJ103" s="2">
        <f>$E$4*AD103*攻城基础信息!AE104</f>
        <v>10423438.265805053</v>
      </c>
      <c r="AK103" s="2">
        <f>$E$4*AE103*攻城基础信息!AF104</f>
        <v>10910587.30527875</v>
      </c>
      <c r="AL103" s="2">
        <f>$E$4*AF103*攻城基础信息!AG104</f>
        <v>11139545.521338269</v>
      </c>
      <c r="AN103" s="2">
        <v>100</v>
      </c>
      <c r="AO103" s="2">
        <f>求节点(节奏总纲!D$4:D$163,AH$4:AH$163,$AN103)*其他调用!H104*其他调用!$M104</f>
        <v>158806976.80977267</v>
      </c>
      <c r="AP103" s="2">
        <f>求节点(节奏总纲!E$4:E$163,AI$4:AI$163,$AN103)*其他调用!I104*其他调用!$M104</f>
        <v>181301391.50303242</v>
      </c>
      <c r="AQ103" s="2">
        <f>求节点(节奏总纲!F$4:F$163,AJ$4:AJ$163,$AN103)*其他调用!J104*其他调用!$M104</f>
        <v>17302703.850542672</v>
      </c>
      <c r="AR103" s="2">
        <f>求节点(节奏总纲!G$4:G$163,AK$4:AK$163,$AN103)*其他调用!K104*其他调用!$M104</f>
        <v>4241031.6884130593</v>
      </c>
      <c r="AS103" s="2">
        <f>求节点(节奏总纲!H$4:H$163,AL$4:AL$163,$AN103)*其他调用!L104*其他调用!$M104</f>
        <v>1703788.0140265636</v>
      </c>
      <c r="AT103" s="2">
        <f t="shared" si="13"/>
        <v>363355891.86578739</v>
      </c>
      <c r="AY103" s="2">
        <v>100</v>
      </c>
      <c r="AZ103" s="2">
        <f>其他调用!R104*6*(其他调用!AH$2*$AZ$1*MIN(其他调用!$AJ104/其他调用!AH104,1)+$E$4*0%*攻城基础信息!AC104)</f>
        <v>9917.2111946663572</v>
      </c>
      <c r="BA103" s="2">
        <f>其他调用!S104*6*(其他调用!AI$2*$AZ$1*MIN(其他调用!$AJ104/其他调用!AI104,1)+$E$4*0%*攻城基础信息!AD104)</f>
        <v>29916.874190469029</v>
      </c>
      <c r="BB103" s="2">
        <f>其他调用!T104*6*(其他调用!AJ$2*$AZ$1*MIN(其他调用!$AJ104/其他调用!AJ104,1)+$E$4*0%*攻城基础信息!AE104)</f>
        <v>90288.045467030664</v>
      </c>
      <c r="BC103" s="2">
        <f>其他调用!U104*6*(其他调用!AK$2*$AZ$1*MIN(其他调用!$AJ104/其他调用!AK104,1)+$E$4*0%*攻城基础信息!AF104)</f>
        <v>40319.209965614064</v>
      </c>
      <c r="BD103" s="2">
        <f>其他调用!V104*6*(其他调用!AL$2*$AZ$1*MIN(其他调用!$AJ104/其他调用!AL104,1)+$E$4*0%*攻城基础信息!AG104)</f>
        <v>11390.547426132329</v>
      </c>
      <c r="BF103" s="2">
        <v>100</v>
      </c>
      <c r="BG103" s="2">
        <f>求节点(节奏总纲!D$4:D$163,AZ$4:AZ$163,$AN103)</f>
        <v>7228.5375081724496</v>
      </c>
      <c r="BH103" s="2">
        <f>求节点(节奏总纲!E$4:E$163,BA$4:BA$163,$AN103)</f>
        <v>22372.29538749102</v>
      </c>
      <c r="BI103" s="2">
        <f>求节点(节奏总纲!F$4:F$163,BB$4:BB$163,$AN103)</f>
        <v>69830.278234947473</v>
      </c>
      <c r="BJ103" s="2">
        <f>求节点(节奏总纲!G$4:G$163,BC$4:BC$163,$AN103)</f>
        <v>33482.439201101231</v>
      </c>
      <c r="BK103" s="2">
        <f>求节点(节奏总纲!H$4:H$163,BD$4:BD$163,$AN103)</f>
        <v>10141.166907858573</v>
      </c>
      <c r="BL103" s="2">
        <f>BG103*其他调用!H104*其他调用!$M104</f>
        <v>346699.09346973087</v>
      </c>
      <c r="BM103" s="2">
        <f>BH103*其他调用!I104*其他调用!$M104</f>
        <v>1058019.7146215914</v>
      </c>
      <c r="BN103" s="2">
        <f>BI103*其他调用!J104*其他调用!$M104</f>
        <v>269574.20368696627</v>
      </c>
      <c r="BO103" s="2">
        <f>BJ103*其他调用!K104*其他调用!$M104</f>
        <v>22995.605313559528</v>
      </c>
      <c r="BP103" s="2">
        <f>BK103*其他调用!L104*其他调用!$M104</f>
        <v>2015.2526879296552</v>
      </c>
      <c r="BQ103" s="2">
        <f t="shared" ref="BQ103:BQ123" si="15">SUM(BL103:BP103)</f>
        <v>1699303.8697797777</v>
      </c>
      <c r="BR103" s="2">
        <f>[1]服务器生态!$R102</f>
        <v>7.0689082924836583E-2</v>
      </c>
      <c r="BS103" s="2" t="e">
        <f>SUMPRODUCT((BG$4:BG103)*($BR$4:$BR103)*(其他调用!#REF!))</f>
        <v>#REF!</v>
      </c>
      <c r="BT103" s="2" t="e">
        <f>SUMPRODUCT((BH$4:BH103)*($BR$4:$BR103)*(其他调用!#REF!))</f>
        <v>#REF!</v>
      </c>
      <c r="BU103" s="2" t="e">
        <f>SUMPRODUCT((BI$4:BI103)*($BR$4:$BR103)*(其他调用!#REF!))</f>
        <v>#REF!</v>
      </c>
      <c r="BV103" s="2" t="e">
        <f>SUMPRODUCT((BJ$4:BJ103)*($BR$4:$BR103)*(其他调用!#REF!))</f>
        <v>#REF!</v>
      </c>
      <c r="BW103" s="2" t="e">
        <f>SUMPRODUCT((BK$4:BK103)*($BR$4:$BR103)*(其他调用!#REF!))</f>
        <v>#REF!</v>
      </c>
      <c r="BX103" s="2" t="e">
        <f>SUMPRODUCT((BG$4:BG103)*($BR$4:$BR103))*'[1]功能-战损相关'!$D$2-BS103</f>
        <v>#REF!</v>
      </c>
      <c r="BY103" s="2" t="e">
        <f>SUMPRODUCT((BH$4:BH103)*($BR$4:$BR103))*'[1]功能-战损相关'!$D$2-BT103</f>
        <v>#REF!</v>
      </c>
      <c r="BZ103" s="2" t="e">
        <f>SUMPRODUCT((BI$4:BI103)*($BR$4:$BR103))*'[1]功能-战损相关'!$D$2-BU103</f>
        <v>#REF!</v>
      </c>
      <c r="CA103" s="2" t="e">
        <f>SUMPRODUCT((BJ$4:BJ103)*($BR$4:$BR103))*'[1]功能-战损相关'!$D$2-BV103</f>
        <v>#REF!</v>
      </c>
      <c r="CB103" s="2" t="e">
        <f>SUMPRODUCT((BK$4:BK103)*($BR$4:$BR103))*'[1]功能-战损相关'!$D$2-BW103</f>
        <v>#REF!</v>
      </c>
      <c r="CD103" s="2">
        <v>100</v>
      </c>
      <c r="CE103" s="7">
        <v>1</v>
      </c>
      <c r="CF103" s="2" t="e">
        <f>求节点(节奏总纲!R$4:R$363,BS$4:BS$363,$CD103)*$CE103</f>
        <v>#VALUE!</v>
      </c>
      <c r="CG103" s="2" t="e">
        <f>求节点(节奏总纲!S$4:S$363,BT$4:BT$363,$CD103)*$CE103</f>
        <v>#VALUE!</v>
      </c>
      <c r="CH103" s="2" t="e">
        <f>求节点(节奏总纲!T$4:T$363,BU$4:BU$363,$CD103)*$CE103</f>
        <v>#VALUE!</v>
      </c>
      <c r="CI103" s="2" t="e">
        <f>求节点(节奏总纲!U$4:U$363,BV$4:BV$363,$CD103)*$CE103</f>
        <v>#VALUE!</v>
      </c>
      <c r="CJ103" s="2" t="e">
        <f>求节点(节奏总纲!V$4:V$363,BW$4:BW$363,$CD103)*$CE103</f>
        <v>#VALUE!</v>
      </c>
      <c r="CK103" s="2" t="e">
        <f>求节点(节奏总纲!R$4:R$363,BX$4:BX$363,$CD103)*$CE103</f>
        <v>#VALUE!</v>
      </c>
      <c r="CL103" s="2" t="e">
        <f>求节点(节奏总纲!S$4:S$363,BY$4:BY$363,$CD103)*$CE103</f>
        <v>#VALUE!</v>
      </c>
      <c r="CM103" s="2" t="e">
        <f>求节点(节奏总纲!T$4:T$363,BZ$4:BZ$363,$CD103)*$CE103</f>
        <v>#VALUE!</v>
      </c>
      <c r="CN103" s="2" t="e">
        <f>求节点(节奏总纲!U$4:U$363,CA$4:CA$363,$CD103)*$CE103</f>
        <v>#VALUE!</v>
      </c>
      <c r="CO103" s="2" t="e">
        <f>求节点(节奏总纲!V$4:V$363,CB$4:CB$363,$CD103)*$CE103</f>
        <v>#VALUE!</v>
      </c>
    </row>
    <row r="104" spans="27:93" x14ac:dyDescent="0.2">
      <c r="AA104" s="2">
        <v>101</v>
      </c>
      <c r="AB104" s="2">
        <f>攻城基础信息!X105*$E$12</f>
        <v>397236.83763399272</v>
      </c>
      <c r="AC104" s="2">
        <f>攻城基础信息!Y105*$E$12</f>
        <v>416305.64260098973</v>
      </c>
      <c r="AD104" s="2">
        <f>攻城基础信息!Z105*$E$12</f>
        <v>431898.45838815055</v>
      </c>
      <c r="AE104" s="2">
        <f>攻城基础信息!AA105*$E$12</f>
        <v>451141.96521943872</v>
      </c>
      <c r="AF104" s="2">
        <f>攻城基础信息!AB105*$E$12</f>
        <v>460438.24600089388</v>
      </c>
      <c r="AH104" s="2">
        <f>$E$4*AB104*攻城基础信息!AC105</f>
        <v>9732302.522032816</v>
      </c>
      <c r="AI104" s="2">
        <f>$E$4*AC104*攻城基础信息!AD105</f>
        <v>10199488.243724242</v>
      </c>
      <c r="AJ104" s="2">
        <f>$E$4*AD104*攻城基础信息!AE105</f>
        <v>10581512.230509682</v>
      </c>
      <c r="AK104" s="2">
        <f>$E$4*AE104*攻城基础信息!AF105</f>
        <v>11052978.147876242</v>
      </c>
      <c r="AL104" s="2">
        <f>$E$4*AF104*攻城基础信息!AG105</f>
        <v>11280737.027021892</v>
      </c>
      <c r="AN104" s="2">
        <v>101</v>
      </c>
      <c r="AO104" s="2">
        <f>求节点(节奏总纲!D$4:D$163,AH$4:AH$163,$AN104)*其他调用!H105*其他调用!$M105</f>
        <v>160459506.2804327</v>
      </c>
      <c r="AP104" s="2">
        <f>求节点(节奏总纲!E$4:E$163,AI$4:AI$163,$AN104)*其他调用!I105*其他调用!$M105</f>
        <v>182185488.75505039</v>
      </c>
      <c r="AQ104" s="2">
        <f>求节点(节奏总纲!F$4:F$163,AJ$4:AJ$163,$AN104)*其他调用!J105*其他调用!$M105</f>
        <v>17373921.816162981</v>
      </c>
      <c r="AR104" s="2">
        <f>求节点(节奏总纲!G$4:G$163,AK$4:AK$163,$AN104)*其他调用!K105*其他调用!$M105</f>
        <v>4265014.5383248013</v>
      </c>
      <c r="AS104" s="2">
        <f>求节点(节奏总纲!H$4:H$163,AL$4:AL$163,$AN104)*其他调用!L105*其他调用!$M105</f>
        <v>1707133.2748130742</v>
      </c>
      <c r="AT104" s="2">
        <f t="shared" ref="AT104:AT123" si="16">SUM(AO104:AS104)</f>
        <v>365991064.66478395</v>
      </c>
      <c r="AY104" s="2">
        <v>101</v>
      </c>
      <c r="AZ104" s="2">
        <f>其他调用!R105*6*(其他调用!AH$2*$AZ$1*MIN(其他调用!$AJ105/其他调用!AH105,1)+$E$4*0%*攻城基础信息!AC105)</f>
        <v>9997.912798738369</v>
      </c>
      <c r="BA104" s="2">
        <f>其他调用!S105*6*(其他调用!AI$2*$AZ$1*MIN(其他调用!$AJ105/其他调用!AI105,1)+$E$4*0%*攻城基础信息!AD105)</f>
        <v>30159.704136290664</v>
      </c>
      <c r="BB104" s="2">
        <f>其他调用!T105*6*(其他调用!AJ$2*$AZ$1*MIN(其他调用!$AJ105/其他调用!AJ105,1)+$E$4*0%*攻城基础信息!AE105)</f>
        <v>91006.940129219001</v>
      </c>
      <c r="BC104" s="2">
        <f>其他调用!U105*6*(其他调用!AK$2*$AZ$1*MIN(其他调用!$AJ105/其他调用!AK105,1)+$E$4*0%*攻城基础信息!AF105)</f>
        <v>40523.68237710878</v>
      </c>
      <c r="BD104" s="2">
        <f>其他调用!V105*6*(其他调用!AL$2*$AZ$1*MIN(其他调用!$AJ105/其他调用!AL105,1)+$E$4*0%*攻城基础信息!AG105)</f>
        <v>11468.701831964514</v>
      </c>
      <c r="BF104" s="2">
        <v>101</v>
      </c>
      <c r="BG104" s="2">
        <f>求节点(节奏总纲!D$4:D$163,AZ$4:AZ$163,$AN104)</f>
        <v>7240.0837867794662</v>
      </c>
      <c r="BH104" s="2">
        <f>求节点(节奏总纲!E$4:E$163,BA$4:BA$163,$AN104)</f>
        <v>22407.388700192863</v>
      </c>
      <c r="BI104" s="2">
        <f>求节点(节奏总纲!F$4:F$163,BB$4:BB$163,$AN104)</f>
        <v>69934.757642310506</v>
      </c>
      <c r="BJ104" s="2">
        <f>求节点(节奏总纲!G$4:G$163,BC$4:BC$163,$AN104)</f>
        <v>33533.647177719431</v>
      </c>
      <c r="BK104" s="2">
        <f>求节点(节奏总纲!H$4:H$163,BD$4:BD$163,$AN104)</f>
        <v>10156.287901154346</v>
      </c>
      <c r="BL104" s="2">
        <f>BG104*其他调用!H105*其他调用!$M105</f>
        <v>347252.88243762043</v>
      </c>
      <c r="BM104" s="2">
        <f>BH104*其他调用!I105*其他调用!$M105</f>
        <v>1059679.3305012693</v>
      </c>
      <c r="BN104" s="2">
        <f>BI104*其他调用!J105*其他调用!$M105</f>
        <v>269977.53808220971</v>
      </c>
      <c r="BO104" s="2">
        <f>BJ104*其他调用!K105*其他调用!$M105</f>
        <v>23030.774747069001</v>
      </c>
      <c r="BP104" s="2">
        <f>BK104*其他调用!L105*其他调用!$M105</f>
        <v>2018.2575317173914</v>
      </c>
      <c r="BQ104" s="2">
        <f t="shared" si="15"/>
        <v>1701958.7832998859</v>
      </c>
      <c r="BR104" s="2">
        <f>[1]服务器生态!$R103</f>
        <v>6.7076439950980379E-2</v>
      </c>
      <c r="BS104" s="2" t="e">
        <f>SUMPRODUCT((BG$4:BG104)*($BR$4:$BR104)*(其他调用!#REF!))</f>
        <v>#REF!</v>
      </c>
      <c r="BT104" s="2" t="e">
        <f>SUMPRODUCT((BH$4:BH104)*($BR$4:$BR104)*(其他调用!#REF!))</f>
        <v>#REF!</v>
      </c>
      <c r="BU104" s="2" t="e">
        <f>SUMPRODUCT((BI$4:BI104)*($BR$4:$BR104)*(其他调用!#REF!))</f>
        <v>#REF!</v>
      </c>
      <c r="BV104" s="2" t="e">
        <f>SUMPRODUCT((BJ$4:BJ104)*($BR$4:$BR104)*(其他调用!#REF!))</f>
        <v>#REF!</v>
      </c>
      <c r="BW104" s="2" t="e">
        <f>SUMPRODUCT((BK$4:BK104)*($BR$4:$BR104)*(其他调用!#REF!))</f>
        <v>#REF!</v>
      </c>
      <c r="BX104" s="2" t="e">
        <f>SUMPRODUCT((BG$4:BG104)*($BR$4:$BR104))*'[1]功能-战损相关'!$D$2-BS104</f>
        <v>#REF!</v>
      </c>
      <c r="BY104" s="2" t="e">
        <f>SUMPRODUCT((BH$4:BH104)*($BR$4:$BR104))*'[1]功能-战损相关'!$D$2-BT104</f>
        <v>#REF!</v>
      </c>
      <c r="BZ104" s="2" t="e">
        <f>SUMPRODUCT((BI$4:BI104)*($BR$4:$BR104))*'[1]功能-战损相关'!$D$2-BU104</f>
        <v>#REF!</v>
      </c>
      <c r="CA104" s="2" t="e">
        <f>SUMPRODUCT((BJ$4:BJ104)*($BR$4:$BR104))*'[1]功能-战损相关'!$D$2-BV104</f>
        <v>#REF!</v>
      </c>
      <c r="CB104" s="2" t="e">
        <f>SUMPRODUCT((BK$4:BK104)*($BR$4:$BR104))*'[1]功能-战损相关'!$D$2-BW104</f>
        <v>#REF!</v>
      </c>
    </row>
    <row r="105" spans="27:93" x14ac:dyDescent="0.2">
      <c r="AA105" s="2">
        <v>102</v>
      </c>
      <c r="AB105" s="2">
        <f>攻城基础信息!X106*$E$12</f>
        <v>405265.66632573248</v>
      </c>
      <c r="AC105" s="2">
        <f>攻城基础信息!Y106*$E$12</f>
        <v>422976.58218380815</v>
      </c>
      <c r="AD105" s="2">
        <f>攻城基础信息!Z106*$E$12</f>
        <v>438192.16555018566</v>
      </c>
      <c r="AE105" s="2">
        <f>攻城基础信息!AA106*$E$12</f>
        <v>456953.83634586685</v>
      </c>
      <c r="AF105" s="2">
        <f>攻城基础信息!AB106*$E$12</f>
        <v>466201.16460022528</v>
      </c>
      <c r="AH105" s="2">
        <f>$E$4*AB105*攻城基础信息!AC106</f>
        <v>9929008.8249804396</v>
      </c>
      <c r="AI105" s="2">
        <f>$E$4*AC105*攻城基础信息!AD106</f>
        <v>10362926.263503293</v>
      </c>
      <c r="AJ105" s="2">
        <f>$E$4*AD105*攻城基础信息!AE106</f>
        <v>10735708.055979541</v>
      </c>
      <c r="AK105" s="2">
        <f>$E$4*AE105*攻城基础信息!AF106</f>
        <v>11195368.99047373</v>
      </c>
      <c r="AL105" s="2">
        <f>$E$4*AF105*攻城基础信息!AG106</f>
        <v>11421928.532705512</v>
      </c>
      <c r="AN105" s="2">
        <v>102</v>
      </c>
      <c r="AO105" s="2">
        <f>求节点(节奏总纲!D$4:D$163,AH$4:AH$163,$AN105)*其他调用!H106*其他调用!$M106</f>
        <v>162112035.75109276</v>
      </c>
      <c r="AP105" s="2">
        <f>求节点(节奏总纲!E$4:E$163,AI$4:AI$163,$AN105)*其他调用!I106*其他调用!$M106</f>
        <v>183069586.00706837</v>
      </c>
      <c r="AQ105" s="2">
        <f>求节点(节奏总纲!F$4:F$163,AJ$4:AJ$163,$AN105)*其他调用!J106*其他调用!$M106</f>
        <v>17445139.78178329</v>
      </c>
      <c r="AR105" s="2">
        <f>求节点(节奏总纲!G$4:G$163,AK$4:AK$163,$AN105)*其他调用!K106*其他调用!$M106</f>
        <v>4288952.6453756196</v>
      </c>
      <c r="AS105" s="2">
        <f>求节点(节奏总纲!H$4:H$163,AL$4:AL$163,$AN105)*其他调用!L106*其他调用!$M106</f>
        <v>1710478.5355995849</v>
      </c>
      <c r="AT105" s="2">
        <f t="shared" si="16"/>
        <v>368626192.72091961</v>
      </c>
      <c r="AY105" s="2">
        <v>102</v>
      </c>
      <c r="AZ105" s="2">
        <f>其他调用!R106*6*(其他调用!AH$2*$AZ$1*MIN(其他调用!$AJ106/其他调用!AH106,1)+$E$4*0%*攻城基础信息!AC106)</f>
        <v>10078.185598575838</v>
      </c>
      <c r="BA105" s="2">
        <f>其他调用!S106*6*(其他调用!AI$2*$AZ$1*MIN(其他调用!$AJ106/其他调用!AI106,1)+$E$4*0%*攻城基础信息!AD106)</f>
        <v>30398.224586113964</v>
      </c>
      <c r="BB105" s="2">
        <f>其他调用!T106*6*(其他调用!AJ$2*$AZ$1*MIN(其他调用!$AJ106/其他调用!AJ106,1)+$E$4*0%*攻城基础信息!AE106)</f>
        <v>91685.531174028976</v>
      </c>
      <c r="BC105" s="2">
        <f>其他调用!U106*6*(其他调用!AK$2*$AZ$1*MIN(其他调用!$AJ106/其他调用!AK106,1)+$E$4*0%*攻城基础信息!AF106)</f>
        <v>40735.883226051541</v>
      </c>
      <c r="BD105" s="2">
        <f>其他调用!V106*6*(其他调用!AL$2*$AZ$1*MIN(其他调用!$AJ106/其他调用!AL106,1)+$E$4*0%*攻城基础信息!AG106)</f>
        <v>11546.861405734664</v>
      </c>
      <c r="BF105" s="2">
        <v>102</v>
      </c>
      <c r="BG105" s="2">
        <f>求节点(节奏总纲!D$4:D$163,AZ$4:AZ$163,$AN105)</f>
        <v>7251.6300653864828</v>
      </c>
      <c r="BH105" s="2">
        <f>求节点(节奏总纲!E$4:E$163,BA$4:BA$163,$AN105)</f>
        <v>22442.482012894707</v>
      </c>
      <c r="BI105" s="2">
        <f>求节点(节奏总纲!F$4:F$163,BB$4:BB$163,$AN105)</f>
        <v>70039.237049673553</v>
      </c>
      <c r="BJ105" s="2">
        <f>求节点(节奏总纲!G$4:G$163,BC$4:BC$163,$AN105)</f>
        <v>33584.23942458965</v>
      </c>
      <c r="BK105" s="2">
        <f>求节点(节奏总纲!H$4:H$163,BD$4:BD$163,$AN105)</f>
        <v>10171.40889445012</v>
      </c>
      <c r="BL105" s="2">
        <f>BG105*其他调用!H106*其他调用!$M106</f>
        <v>347806.67140550993</v>
      </c>
      <c r="BM105" s="2">
        <f>BH105*其他调用!I106*其他调用!$M106</f>
        <v>1061338.9463809475</v>
      </c>
      <c r="BN105" s="2">
        <f>BI105*其他调用!J106*其他调用!$M106</f>
        <v>270380.87247745326</v>
      </c>
      <c r="BO105" s="2">
        <f>BJ105*其他调用!K106*其他调用!$M106</f>
        <v>23065.521299850479</v>
      </c>
      <c r="BP105" s="2">
        <f>BK105*其他调用!L106*其他调用!$M106</f>
        <v>2021.2623755051275</v>
      </c>
      <c r="BQ105" s="2">
        <f t="shared" si="15"/>
        <v>1704613.2739392661</v>
      </c>
      <c r="BR105" s="2">
        <f>[1]服务器生态!$R104</f>
        <v>6.3463796977124176E-2</v>
      </c>
      <c r="BS105" s="2" t="e">
        <f>SUMPRODUCT((BG$4:BG105)*($BR$4:$BR105)*(其他调用!#REF!))</f>
        <v>#REF!</v>
      </c>
      <c r="BT105" s="2" t="e">
        <f>SUMPRODUCT((BH$4:BH105)*($BR$4:$BR105)*(其他调用!#REF!))</f>
        <v>#REF!</v>
      </c>
      <c r="BU105" s="2" t="e">
        <f>SUMPRODUCT((BI$4:BI105)*($BR$4:$BR105)*(其他调用!#REF!))</f>
        <v>#REF!</v>
      </c>
      <c r="BV105" s="2" t="e">
        <f>SUMPRODUCT((BJ$4:BJ105)*($BR$4:$BR105)*(其他调用!#REF!))</f>
        <v>#REF!</v>
      </c>
      <c r="BW105" s="2" t="e">
        <f>SUMPRODUCT((BK$4:BK105)*($BR$4:$BR105)*(其他调用!#REF!))</f>
        <v>#REF!</v>
      </c>
      <c r="BX105" s="2" t="e">
        <f>SUMPRODUCT((BG$4:BG105)*($BR$4:$BR105))*'[1]功能-战损相关'!$D$2-BS105</f>
        <v>#REF!</v>
      </c>
      <c r="BY105" s="2" t="e">
        <f>SUMPRODUCT((BH$4:BH105)*($BR$4:$BR105))*'[1]功能-战损相关'!$D$2-BT105</f>
        <v>#REF!</v>
      </c>
      <c r="BZ105" s="2" t="e">
        <f>SUMPRODUCT((BI$4:BI105)*($BR$4:$BR105))*'[1]功能-战损相关'!$D$2-BU105</f>
        <v>#REF!</v>
      </c>
      <c r="CA105" s="2" t="e">
        <f>SUMPRODUCT((BJ$4:BJ105)*($BR$4:$BR105))*'[1]功能-战损相关'!$D$2-BV105</f>
        <v>#REF!</v>
      </c>
      <c r="CB105" s="2" t="e">
        <f>SUMPRODUCT((BK$4:BK105)*($BR$4:$BR105))*'[1]功能-战损相关'!$D$2-BW105</f>
        <v>#REF!</v>
      </c>
    </row>
    <row r="106" spans="27:93" x14ac:dyDescent="0.2">
      <c r="AA106" s="2">
        <v>103</v>
      </c>
      <c r="AB106" s="2">
        <f>攻城基础信息!X107*$E$12</f>
        <v>413371.80613351311</v>
      </c>
      <c r="AC106" s="2">
        <f>攻城基础信息!Y107*$E$12</f>
        <v>429675.22949150653</v>
      </c>
      <c r="AD106" s="2">
        <f>攻城基础信息!Z107*$E$12</f>
        <v>444501.07880602527</v>
      </c>
      <c r="AE106" s="2">
        <f>攻城基础信息!AA107*$E$12</f>
        <v>462765.70747229492</v>
      </c>
      <c r="AF106" s="2">
        <f>攻城基础信息!AB107*$E$12</f>
        <v>471964.0831995568</v>
      </c>
      <c r="AH106" s="2">
        <f>$E$4*AB106*攻城基础信息!AC107</f>
        <v>10127609.250271063</v>
      </c>
      <c r="AI106" s="2">
        <f>$E$4*AC106*攻城基础信息!AD107</f>
        <v>10527043.122541903</v>
      </c>
      <c r="AJ106" s="2">
        <f>$E$4*AD106*攻城基础信息!AE107</f>
        <v>10890276.430747611</v>
      </c>
      <c r="AK106" s="2">
        <f>$E$4*AE106*攻城基础信息!AF107</f>
        <v>11337759.833071219</v>
      </c>
      <c r="AL106" s="2">
        <f>$E$4*AF106*攻城基础信息!AG107</f>
        <v>11563120.038389133</v>
      </c>
      <c r="AN106" s="2">
        <v>103</v>
      </c>
      <c r="AO106" s="2">
        <f>求节点(节奏总纲!D$4:D$163,AH$4:AH$163,$AN106)*其他调用!H107*其他调用!$M107</f>
        <v>163733278.10812056</v>
      </c>
      <c r="AP106" s="2">
        <f>求节点(节奏总纲!E$4:E$163,AI$4:AI$163,$AN106)*其他调用!I107*其他调用!$M107</f>
        <v>183893209.41848558</v>
      </c>
      <c r="AQ106" s="2">
        <f>求节点(节奏总纲!F$4:F$163,AJ$4:AJ$163,$AN106)*其他调用!J107*其他调用!$M107</f>
        <v>17516357.747403599</v>
      </c>
      <c r="AR106" s="2">
        <f>求节点(节奏总纲!G$4:G$163,AK$4:AK$163,$AN106)*其他调用!K107*其他调用!$M107</f>
        <v>4312890.7524264371</v>
      </c>
      <c r="AS106" s="2">
        <f>求节点(节奏总纲!H$4:H$163,AL$4:AL$163,$AN106)*其他调用!L107*其他调用!$M107</f>
        <v>1713954.4037637573</v>
      </c>
      <c r="AT106" s="2">
        <f t="shared" si="16"/>
        <v>371169690.43019998</v>
      </c>
      <c r="AY106" s="2">
        <v>103</v>
      </c>
      <c r="AZ106" s="2">
        <f>其他调用!R107*6*(其他调用!AH$2*$AZ$1*MIN(其他调用!$AJ107/其他调用!AH107,1)+$E$4*0%*攻城基础信息!AC107)</f>
        <v>10159.431614041416</v>
      </c>
      <c r="BA106" s="2">
        <f>其他调用!S107*6*(其他调用!AI$2*$AZ$1*MIN(其他调用!$AJ107/其他调用!AI107,1)+$E$4*0%*攻城基础信息!AD107)</f>
        <v>30630.154920142551</v>
      </c>
      <c r="BB106" s="2">
        <f>其他调用!T107*6*(其他调用!AJ$2*$AZ$1*MIN(其他调用!$AJ107/其他调用!AJ107,1)+$E$4*0%*攻城基础信息!AE107)</f>
        <v>92403.129661174185</v>
      </c>
      <c r="BC106" s="2">
        <f>其他调用!U107*6*(其他调用!AK$2*$AZ$1*MIN(其他调用!$AJ107/其他调用!AK107,1)+$E$4*0%*攻城基础信息!AF107)</f>
        <v>40953.776074912668</v>
      </c>
      <c r="BD106" s="2">
        <f>其他调用!V107*6*(其他调用!AL$2*$AZ$1*MIN(其他调用!$AJ107/其他调用!AL107,1)+$E$4*0%*攻城基础信息!AG107)</f>
        <v>11627.294914315013</v>
      </c>
      <c r="BF106" s="2">
        <v>103</v>
      </c>
      <c r="BG106" s="2">
        <f>求节点(节奏总纲!D$4:D$163,AZ$4:AZ$163,$AN106)</f>
        <v>7263.1505332878023</v>
      </c>
      <c r="BH106" s="2">
        <f>求节点(节奏总纲!E$4:E$163,BA$4:BA$163,$AN106)</f>
        <v>22476.399030452172</v>
      </c>
      <c r="BI106" s="2">
        <f>求节点(节奏总纲!F$4:F$163,BB$4:BB$163,$AN106)</f>
        <v>70143.716457036586</v>
      </c>
      <c r="BJ106" s="2">
        <f>求节点(节奏总纲!G$4:G$163,BC$4:BC$163,$AN106)</f>
        <v>33634.83167145987</v>
      </c>
      <c r="BK106" s="2">
        <f>求节点(节奏总纲!H$4:H$163,BD$4:BD$163,$AN106)</f>
        <v>10186.176324994321</v>
      </c>
      <c r="BL106" s="2">
        <f>BG106*其他调用!H107*其他调用!$M107</f>
        <v>348359.22242613049</v>
      </c>
      <c r="BM106" s="2">
        <f>BH106*其他调用!I107*其他调用!$M107</f>
        <v>1062942.9334826479</v>
      </c>
      <c r="BN106" s="2">
        <f>BI106*其他调用!J107*其他调用!$M107</f>
        <v>270784.2068726967</v>
      </c>
      <c r="BO106" s="2">
        <f>BJ106*其他调用!K107*其他调用!$M107</f>
        <v>23100.267852631958</v>
      </c>
      <c r="BP106" s="2">
        <f>BK106*其他调用!L107*其他调用!$M107</f>
        <v>2024.1969593028714</v>
      </c>
      <c r="BQ106" s="2">
        <f t="shared" si="15"/>
        <v>1707210.8275934097</v>
      </c>
      <c r="BR106" s="2">
        <f>[1]服务器生态!$R105</f>
        <v>5.9851154003267959E-2</v>
      </c>
      <c r="BS106" s="2" t="e">
        <f>SUMPRODUCT((BG$4:BG106)*($BR$4:$BR106)*(其他调用!#REF!))</f>
        <v>#REF!</v>
      </c>
      <c r="BT106" s="2" t="e">
        <f>SUMPRODUCT((BH$4:BH106)*($BR$4:$BR106)*(其他调用!#REF!))</f>
        <v>#REF!</v>
      </c>
      <c r="BU106" s="2" t="e">
        <f>SUMPRODUCT((BI$4:BI106)*($BR$4:$BR106)*(其他调用!#REF!))</f>
        <v>#REF!</v>
      </c>
      <c r="BV106" s="2" t="e">
        <f>SUMPRODUCT((BJ$4:BJ106)*($BR$4:$BR106)*(其他调用!#REF!))</f>
        <v>#REF!</v>
      </c>
      <c r="BW106" s="2" t="e">
        <f>SUMPRODUCT((BK$4:BK106)*($BR$4:$BR106)*(其他调用!#REF!))</f>
        <v>#REF!</v>
      </c>
      <c r="BX106" s="2" t="e">
        <f>SUMPRODUCT((BG$4:BG106)*($BR$4:$BR106))*'[1]功能-战损相关'!$D$2-BS106</f>
        <v>#REF!</v>
      </c>
      <c r="BY106" s="2" t="e">
        <f>SUMPRODUCT((BH$4:BH106)*($BR$4:$BR106))*'[1]功能-战损相关'!$D$2-BT106</f>
        <v>#REF!</v>
      </c>
      <c r="BZ106" s="2" t="e">
        <f>SUMPRODUCT((BI$4:BI106)*($BR$4:$BR106))*'[1]功能-战损相关'!$D$2-BU106</f>
        <v>#REF!</v>
      </c>
      <c r="CA106" s="2" t="e">
        <f>SUMPRODUCT((BJ$4:BJ106)*($BR$4:$BR106))*'[1]功能-战损相关'!$D$2-BV106</f>
        <v>#REF!</v>
      </c>
      <c r="CB106" s="2" t="e">
        <f>SUMPRODUCT((BK$4:BK106)*($BR$4:$BR106))*'[1]功能-战损相关'!$D$2-BW106</f>
        <v>#REF!</v>
      </c>
    </row>
    <row r="107" spans="27:93" x14ac:dyDescent="0.2">
      <c r="AA107" s="2">
        <v>104</v>
      </c>
      <c r="AB107" s="2">
        <f>攻城基础信息!X108*$E$12</f>
        <v>421555.58309029904</v>
      </c>
      <c r="AC107" s="2">
        <f>攻城基础信息!Y108*$E$12</f>
        <v>436401.58452408481</v>
      </c>
      <c r="AD107" s="2">
        <f>攻城基础信息!Z108*$E$12</f>
        <v>450825.19815566961</v>
      </c>
      <c r="AE107" s="2">
        <f>攻城基础信息!AA108*$E$12</f>
        <v>468577.57859872299</v>
      </c>
      <c r="AF107" s="2">
        <f>攻城基础信息!AB108*$E$12</f>
        <v>477727.00179888832</v>
      </c>
      <c r="AH107" s="2">
        <f>$E$4*AB107*攻城基础信息!AC108</f>
        <v>10328111.78571232</v>
      </c>
      <c r="AI107" s="2">
        <f>$E$4*AC107*攻城基础信息!AD108</f>
        <v>10691838.820840072</v>
      </c>
      <c r="AJ107" s="2">
        <f>$E$4*AD107*攻城基础信息!AE108</f>
        <v>11045217.354813898</v>
      </c>
      <c r="AK107" s="2">
        <f>$E$4*AE107*攻城基础信息!AF108</f>
        <v>11480150.675668707</v>
      </c>
      <c r="AL107" s="2">
        <f>$E$4*AF107*攻城基础信息!AG108</f>
        <v>11704311.544072757</v>
      </c>
      <c r="AN107" s="2">
        <v>104</v>
      </c>
      <c r="AO107" s="2">
        <f>求节点(节奏总纲!D$4:D$163,AH$4:AH$163,$AN107)*其他调用!H108*其他调用!$M108</f>
        <v>164398622.69112957</v>
      </c>
      <c r="AP107" s="2">
        <f>求节点(节奏总纲!E$4:E$163,AI$4:AI$163,$AN107)*其他调用!I108*其他调用!$M108</f>
        <v>184653519.36883533</v>
      </c>
      <c r="AQ107" s="2">
        <f>求节点(节奏总纲!F$4:F$163,AJ$4:AJ$163,$AN107)*其他调用!J108*其他调用!$M108</f>
        <v>17586856.136750385</v>
      </c>
      <c r="AR107" s="2">
        <f>求节点(节奏总纲!G$4:G$163,AK$4:AK$163,$AN107)*其他调用!K108*其他调用!$M108</f>
        <v>4336828.8594772546</v>
      </c>
      <c r="AS107" s="2">
        <f>求节点(节奏总纲!H$4:H$163,AL$4:AL$163,$AN107)*其他调用!L108*其他调用!$M108</f>
        <v>1717580.5302656696</v>
      </c>
      <c r="AT107" s="2">
        <f t="shared" si="16"/>
        <v>372693407.58645827</v>
      </c>
      <c r="AY107" s="2">
        <v>104</v>
      </c>
      <c r="AZ107" s="2">
        <f>其他调用!R108*6*(其他调用!AH$2*$AZ$1*MIN(其他调用!$AJ108/其他调用!AH108,1)+$E$4*0%*攻城基础信息!AC108)</f>
        <v>10239.263609700378</v>
      </c>
      <c r="BA107" s="2">
        <f>其他调用!S108*6*(其他调用!AI$2*$AZ$1*MIN(其他调用!$AJ108/其他调用!AI108,1)+$E$4*0%*攻城基础信息!AD108)</f>
        <v>30877.208616984382</v>
      </c>
      <c r="BB107" s="2">
        <f>其他调用!T108*6*(其他调用!AJ$2*$AZ$1*MIN(其他调用!$AJ108/其他调用!AJ108,1)+$E$4*0%*攻城基础信息!AE108)</f>
        <v>93130.056074453591</v>
      </c>
      <c r="BC107" s="2">
        <f>其他调用!U108*6*(其他调用!AK$2*$AZ$1*MIN(其他调用!$AJ108/其他调用!AK108,1)+$E$4*0%*攻城基础信息!AF108)</f>
        <v>41220.338889867344</v>
      </c>
      <c r="BD107" s="2">
        <f>其他调用!V108*6*(其他调用!AL$2*$AZ$1*MIN(其他调用!$AJ108/其他调用!AL108,1)+$E$4*0%*攻城基础信息!AG108)</f>
        <v>11712.614449179031</v>
      </c>
      <c r="BF107" s="2">
        <v>104</v>
      </c>
      <c r="BG107" s="2">
        <f>求节点(节奏总纲!D$4:D$163,AZ$4:AZ$163,$AN107)</f>
        <v>7273.8824210595612</v>
      </c>
      <c r="BH107" s="2">
        <f>求节点(节奏总纲!E$4:E$163,BA$4:BA$163,$AN107)</f>
        <v>22509.084518540243</v>
      </c>
      <c r="BI107" s="2">
        <f>求节点(节奏总纲!F$4:F$163,BB$4:BB$163,$AN107)</f>
        <v>70244.307075832054</v>
      </c>
      <c r="BJ107" s="2">
        <f>求节点(节奏总纲!G$4:G$163,BC$4:BC$163,$AN107)</f>
        <v>33685.423918330089</v>
      </c>
      <c r="BK107" s="2">
        <f>求节点(节奏总纲!H$4:H$163,BD$4:BD$163,$AN107)</f>
        <v>10200.536996347055</v>
      </c>
      <c r="BL107" s="2">
        <f>BG107*其他调用!H108*其他调用!$M108</f>
        <v>348873.95113266085</v>
      </c>
      <c r="BM107" s="2">
        <f>BH107*其他调用!I108*其他调用!$M108</f>
        <v>1064488.6796915301</v>
      </c>
      <c r="BN107" s="2">
        <f>BI107*其他调用!J108*其他调用!$M108</f>
        <v>271172.52891072346</v>
      </c>
      <c r="BO107" s="2">
        <f>BJ107*其他调用!K108*其他调用!$M108</f>
        <v>23135.014405413436</v>
      </c>
      <c r="BP107" s="2">
        <f>BK107*其他调用!L108*其他调用!$M108</f>
        <v>2027.0507119140866</v>
      </c>
      <c r="BQ107" s="2">
        <f t="shared" si="15"/>
        <v>1709697.2248522423</v>
      </c>
      <c r="BR107" s="2">
        <f>[1]服务器生态!$R106</f>
        <v>5.6238511029411756E-2</v>
      </c>
      <c r="BS107" s="2" t="e">
        <f>SUMPRODUCT((BG$4:BG107)*($BR$4:$BR107)*(其他调用!#REF!))</f>
        <v>#REF!</v>
      </c>
      <c r="BT107" s="2" t="e">
        <f>SUMPRODUCT((BH$4:BH107)*($BR$4:$BR107)*(其他调用!#REF!))</f>
        <v>#REF!</v>
      </c>
      <c r="BU107" s="2" t="e">
        <f>SUMPRODUCT((BI$4:BI107)*($BR$4:$BR107)*(其他调用!#REF!))</f>
        <v>#REF!</v>
      </c>
      <c r="BV107" s="2" t="e">
        <f>SUMPRODUCT((BJ$4:BJ107)*($BR$4:$BR107)*(其他调用!#REF!))</f>
        <v>#REF!</v>
      </c>
      <c r="BW107" s="2" t="e">
        <f>SUMPRODUCT((BK$4:BK107)*($BR$4:$BR107)*(其他调用!#REF!))</f>
        <v>#REF!</v>
      </c>
      <c r="BX107" s="2" t="e">
        <f>SUMPRODUCT((BG$4:BG107)*($BR$4:$BR107))*'[1]功能-战损相关'!$D$2-BS107</f>
        <v>#REF!</v>
      </c>
      <c r="BY107" s="2" t="e">
        <f>SUMPRODUCT((BH$4:BH107)*($BR$4:$BR107))*'[1]功能-战损相关'!$D$2-BT107</f>
        <v>#REF!</v>
      </c>
      <c r="BZ107" s="2" t="e">
        <f>SUMPRODUCT((BI$4:BI107)*($BR$4:$BR107))*'[1]功能-战损相关'!$D$2-BU107</f>
        <v>#REF!</v>
      </c>
      <c r="CA107" s="2" t="e">
        <f>SUMPRODUCT((BJ$4:BJ107)*($BR$4:$BR107))*'[1]功能-战损相关'!$D$2-BV107</f>
        <v>#REF!</v>
      </c>
      <c r="CB107" s="2" t="e">
        <f>SUMPRODUCT((BK$4:BK107)*($BR$4:$BR107))*'[1]功能-战损相关'!$D$2-BW107</f>
        <v>#REF!</v>
      </c>
    </row>
    <row r="108" spans="27:93" x14ac:dyDescent="0.2">
      <c r="AA108" s="2">
        <v>105</v>
      </c>
      <c r="AB108" s="2">
        <f>攻城基础信息!X109*$E$12</f>
        <v>428046.37720880291</v>
      </c>
      <c r="AC108" s="2">
        <f>攻城基础信息!Y109*$E$12</f>
        <v>443119.78491322201</v>
      </c>
      <c r="AD108" s="2">
        <f>攻城基础信息!Z109*$E$12</f>
        <v>457164.52359911823</v>
      </c>
      <c r="AE108" s="2">
        <f>攻城基础信息!AA109*$E$12</f>
        <v>474389.44972515106</v>
      </c>
      <c r="AF108" s="2">
        <f>攻城基础信息!AB109*$E$12</f>
        <v>483703.08420555841</v>
      </c>
      <c r="AH108" s="2">
        <f>$E$4*AB108*攻城基础信息!AC109</f>
        <v>10487136.241615664</v>
      </c>
      <c r="AI108" s="2">
        <f>$E$4*AC108*攻城基础信息!AD109</f>
        <v>10856434.730373934</v>
      </c>
      <c r="AJ108" s="2">
        <f>$E$4*AD108*攻城基础信息!AE109</f>
        <v>11200530.828178391</v>
      </c>
      <c r="AK108" s="2">
        <f>$E$4*AE108*攻城基础信息!AF109</f>
        <v>11622541.518266194</v>
      </c>
      <c r="AL108" s="2">
        <f>$E$4*AF108*攻城基础信息!AG109</f>
        <v>11850725.563036174</v>
      </c>
      <c r="AN108" s="2">
        <v>105</v>
      </c>
      <c r="AO108" s="2">
        <f>求节点(节奏总纲!D$4:D$163,AH$4:AH$163,$AN108)*其他调用!H109*其他调用!$M109</f>
        <v>165063967.2741386</v>
      </c>
      <c r="AP108" s="2">
        <f>求节点(节奏总纲!E$4:E$163,AI$4:AI$163,$AN108)*其他调用!I109*其他调用!$M109</f>
        <v>185413829.31918508</v>
      </c>
      <c r="AQ108" s="2">
        <f>求节点(节奏总纲!F$4:F$163,AJ$4:AJ$163,$AN108)*其他调用!J109*其他调用!$M109</f>
        <v>17657018.040449537</v>
      </c>
      <c r="AR108" s="2">
        <f>求节点(节奏总纲!G$4:G$163,AK$4:AK$163,$AN108)*其他调用!K109*其他调用!$M109</f>
        <v>4360766.966528073</v>
      </c>
      <c r="AS108" s="2">
        <f>求节点(节奏总纲!H$4:H$163,AL$4:AL$163,$AN108)*其他调用!L109*其他调用!$M109</f>
        <v>1721206.6567675811</v>
      </c>
      <c r="AT108" s="2">
        <f t="shared" si="16"/>
        <v>374216788.25706893</v>
      </c>
      <c r="AY108" s="2">
        <v>105</v>
      </c>
      <c r="AZ108" s="2">
        <f>其他调用!R109*6*(其他调用!AH$2*$AZ$1*MIN(其他调用!$AJ109/其他调用!AH109,1)+$E$4*0%*攻城基础信息!AC109)</f>
        <v>10321.045619791306</v>
      </c>
      <c r="BA108" s="2">
        <f>其他调用!S109*6*(其他调用!AI$2*$AZ$1*MIN(其他调用!$AJ109/其他调用!AI109,1)+$E$4*0%*攻城基础信息!AD109)</f>
        <v>31117.303078636705</v>
      </c>
      <c r="BB108" s="2">
        <f>其他调用!T109*6*(其他调用!AJ$2*$AZ$1*MIN(其他调用!$AJ109/其他调用!AJ109,1)+$E$4*0%*攻城基础信息!AE109)</f>
        <v>93882.990568521069</v>
      </c>
      <c r="BC108" s="2">
        <f>其他调用!U109*6*(其他调用!AK$2*$AZ$1*MIN(其他调用!$AJ109/其他调用!AK109,1)+$E$4*0%*攻城基础信息!AF109)</f>
        <v>41481.577632265558</v>
      </c>
      <c r="BD108" s="2">
        <f>其他调用!V109*6*(其他调用!AL$2*$AZ$1*MIN(其他调用!$AJ109/其他调用!AL109,1)+$E$4*0%*攻城基础信息!AG109)</f>
        <v>11802.770788481808</v>
      </c>
      <c r="BF108" s="2">
        <v>105</v>
      </c>
      <c r="BG108" s="2">
        <f>求节点(节奏总纲!D$4:D$163,AZ$4:AZ$163,$AN108)</f>
        <v>7284.6143088313202</v>
      </c>
      <c r="BH108" s="2">
        <f>求节点(节奏总纲!E$4:E$163,BA$4:BA$163,$AN108)</f>
        <v>22541.770006628314</v>
      </c>
      <c r="BI108" s="2">
        <f>求节点(节奏总纲!F$4:F$163,BB$4:BB$163,$AN108)</f>
        <v>70343.079233419427</v>
      </c>
      <c r="BJ108" s="2">
        <f>求节点(节奏总纲!G$4:G$163,BC$4:BC$163,$AN108)</f>
        <v>33736.016165200308</v>
      </c>
      <c r="BK108" s="2">
        <f>求节点(节奏总纲!H$4:H$163,BD$4:BD$163,$AN108)</f>
        <v>10214.897667699788</v>
      </c>
      <c r="BL108" s="2">
        <f>BG108*其他调用!H109*其他调用!$M109</f>
        <v>349388.67983919114</v>
      </c>
      <c r="BM108" s="2">
        <f>BH108*其他调用!I109*其他调用!$M109</f>
        <v>1066034.4259004123</v>
      </c>
      <c r="BN108" s="2">
        <f>BI108*其他调用!J109*其他调用!$M109</f>
        <v>271553.83092470758</v>
      </c>
      <c r="BO108" s="2">
        <f>BJ108*其他调用!K109*其他调用!$M109</f>
        <v>23169.760958194918</v>
      </c>
      <c r="BP108" s="2">
        <f>BK108*其他调用!L109*其他调用!$M109</f>
        <v>2029.9044645253016</v>
      </c>
      <c r="BQ108" s="2">
        <f t="shared" si="15"/>
        <v>1712176.6020870311</v>
      </c>
      <c r="BR108" s="2">
        <f>[1]服务器生态!$R107</f>
        <v>5.2625868055555539E-2</v>
      </c>
      <c r="BS108" s="2" t="e">
        <f>SUMPRODUCT((BG$4:BG108)*($BR$4:$BR108)*(其他调用!#REF!))</f>
        <v>#REF!</v>
      </c>
      <c r="BT108" s="2" t="e">
        <f>SUMPRODUCT((BH$4:BH108)*($BR$4:$BR108)*(其他调用!#REF!))</f>
        <v>#REF!</v>
      </c>
      <c r="BU108" s="2" t="e">
        <f>SUMPRODUCT((BI$4:BI108)*($BR$4:$BR108)*(其他调用!#REF!))</f>
        <v>#REF!</v>
      </c>
      <c r="BV108" s="2" t="e">
        <f>SUMPRODUCT((BJ$4:BJ108)*($BR$4:$BR108)*(其他调用!#REF!))</f>
        <v>#REF!</v>
      </c>
      <c r="BW108" s="2" t="e">
        <f>SUMPRODUCT((BK$4:BK108)*($BR$4:$BR108)*(其他调用!#REF!))</f>
        <v>#REF!</v>
      </c>
      <c r="BX108" s="2" t="e">
        <f>SUMPRODUCT((BG$4:BG108)*($BR$4:$BR108))*'[1]功能-战损相关'!$D$2-BS108</f>
        <v>#REF!</v>
      </c>
      <c r="BY108" s="2" t="e">
        <f>SUMPRODUCT((BH$4:BH108)*($BR$4:$BR108))*'[1]功能-战损相关'!$D$2-BT108</f>
        <v>#REF!</v>
      </c>
      <c r="BZ108" s="2" t="e">
        <f>SUMPRODUCT((BI$4:BI108)*($BR$4:$BR108))*'[1]功能-战损相关'!$D$2-BU108</f>
        <v>#REF!</v>
      </c>
      <c r="CA108" s="2" t="e">
        <f>SUMPRODUCT((BJ$4:BJ108)*($BR$4:$BR108))*'[1]功能-战损相关'!$D$2-BV108</f>
        <v>#REF!</v>
      </c>
      <c r="CB108" s="2" t="e">
        <f>SUMPRODUCT((BK$4:BK108)*($BR$4:$BR108))*'[1]功能-战损相关'!$D$2-BW108</f>
        <v>#REF!</v>
      </c>
    </row>
    <row r="109" spans="27:93" x14ac:dyDescent="0.2">
      <c r="AA109" s="2">
        <v>106</v>
      </c>
      <c r="AB109" s="2">
        <f>攻城基础信息!X110*$E$12</f>
        <v>434358.86633510387</v>
      </c>
      <c r="AC109" s="2">
        <f>攻城基础信息!Y110*$E$12</f>
        <v>449862.35643236898</v>
      </c>
      <c r="AD109" s="2">
        <f>攻城基础信息!Z110*$E$12</f>
        <v>463519.0551363714</v>
      </c>
      <c r="AE109" s="2">
        <f>攻城基础信息!AA110*$E$12</f>
        <v>480289.74419378984</v>
      </c>
      <c r="AF109" s="2">
        <f>攻城基础信息!AB110*$E$12</f>
        <v>490223.3477999515</v>
      </c>
      <c r="AH109" s="2">
        <f>$E$4*AB109*攻城基础信息!AC110</f>
        <v>10641792.225210039</v>
      </c>
      <c r="AI109" s="2">
        <f>$E$4*AC109*攻城基础信息!AD110</f>
        <v>11021627.732593033</v>
      </c>
      <c r="AJ109" s="2">
        <f>$E$4*AD109*攻城基础信息!AE110</f>
        <v>11356216.850841092</v>
      </c>
      <c r="AK109" s="2">
        <f>$E$4*AE109*攻城基础信息!AF110</f>
        <v>11767098.732747843</v>
      </c>
      <c r="AL109" s="2">
        <f>$E$4*AF109*攻城基础信息!AG110</f>
        <v>12010472.021098804</v>
      </c>
      <c r="AN109" s="2">
        <v>106</v>
      </c>
      <c r="AO109" s="2">
        <f>求节点(节奏总纲!D$4:D$163,AH$4:AH$163,$AN109)*其他调用!H110*其他调用!$M110</f>
        <v>165729311.85714757</v>
      </c>
      <c r="AP109" s="2">
        <f>求节点(节奏总纲!E$4:E$163,AI$4:AI$163,$AN109)*其他调用!I110*其他调用!$M110</f>
        <v>186174139.26953477</v>
      </c>
      <c r="AQ109" s="2">
        <f>求节点(节奏总纲!F$4:F$163,AJ$4:AJ$163,$AN109)*其他调用!J110*其他调用!$M110</f>
        <v>17727179.944148693</v>
      </c>
      <c r="AR109" s="2">
        <f>求节点(节奏总纲!G$4:G$163,AK$4:AK$163,$AN109)*其他调用!K110*其他调用!$M110</f>
        <v>4384705.0735788904</v>
      </c>
      <c r="AS109" s="2">
        <f>求节点(节奏总纲!H$4:H$163,AL$4:AL$163,$AN109)*其他调用!L110*其他调用!$M110</f>
        <v>1724832.7832694934</v>
      </c>
      <c r="AT109" s="2">
        <f t="shared" si="16"/>
        <v>375740168.92767942</v>
      </c>
      <c r="AY109" s="2">
        <v>106</v>
      </c>
      <c r="AZ109" s="2">
        <f>其他调用!R110*6*(其他调用!AH$2*$AZ$1*MIN(其他调用!$AJ110/其他调用!AH110,1)+$E$4*0%*攻城基础信息!AC110)</f>
        <v>10400.443690739485</v>
      </c>
      <c r="BA109" s="2">
        <f>其他调用!S110*6*(其他调用!AI$2*$AZ$1*MIN(其他调用!$AJ110/其他调用!AI110,1)+$E$4*0%*攻城基础信息!AD110)</f>
        <v>31366.737566709791</v>
      </c>
      <c r="BB109" s="2">
        <f>其他调用!T110*6*(其他调用!AJ$2*$AZ$1*MIN(其他调用!$AJ110/其他调用!AJ110,1)+$E$4*0%*攻城基础信息!AE110)</f>
        <v>94592.7042095793</v>
      </c>
      <c r="BC109" s="2">
        <f>其他调用!U110*6*(其他调用!AK$2*$AZ$1*MIN(其他调用!$AJ110/其他调用!AK110,1)+$E$4*0%*攻城基础信息!AF110)</f>
        <v>41753.508994386822</v>
      </c>
      <c r="BD109" s="2">
        <f>其他调用!V110*6*(其他调用!AL$2*$AZ$1*MIN(其他调用!$AJ110/其他调用!AL110,1)+$E$4*0%*攻城基础信息!AG110)</f>
        <v>11886.209747144041</v>
      </c>
      <c r="BF109" s="2">
        <v>106</v>
      </c>
      <c r="BG109" s="2">
        <f>求节点(节奏总纲!D$4:D$163,AZ$4:AZ$163,$AN109)</f>
        <v>7295.3461966030791</v>
      </c>
      <c r="BH109" s="2">
        <f>求节点(节奏总纲!E$4:E$163,BA$4:BA$163,$AN109)</f>
        <v>22574.455494716385</v>
      </c>
      <c r="BI109" s="2">
        <f>求节点(节奏总纲!F$4:F$163,BB$4:BB$163,$AN109)</f>
        <v>70441.851391006785</v>
      </c>
      <c r="BJ109" s="2">
        <f>求节点(节奏总纲!G$4:G$163,BC$4:BC$163,$AN109)</f>
        <v>33786.608412070527</v>
      </c>
      <c r="BK109" s="2">
        <f>求节点(节奏总纲!H$4:H$163,BD$4:BD$163,$AN109)</f>
        <v>10229.258339052521</v>
      </c>
      <c r="BL109" s="2">
        <f>BG109*其他调用!H110*其他调用!$M110</f>
        <v>349903.40854572156</v>
      </c>
      <c r="BM109" s="2">
        <f>BH109*其他调用!I110*其他调用!$M110</f>
        <v>1067580.1721092947</v>
      </c>
      <c r="BN109" s="2">
        <f>BI109*其他调用!J110*其他调用!$M110</f>
        <v>271935.13293869171</v>
      </c>
      <c r="BO109" s="2">
        <f>BJ109*其他调用!K110*其他调用!$M110</f>
        <v>23204.507510976397</v>
      </c>
      <c r="BP109" s="2">
        <f>BK109*其他调用!L110*其他调用!$M110</f>
        <v>2032.7582171365168</v>
      </c>
      <c r="BQ109" s="2">
        <f t="shared" si="15"/>
        <v>1714655.9793218209</v>
      </c>
      <c r="BR109" s="2">
        <f>[1]服务器生态!$R108</f>
        <v>4.9013225081699335E-2</v>
      </c>
      <c r="BS109" s="2" t="e">
        <f>SUMPRODUCT((BG$4:BG109)*($BR$4:$BR109)*(其他调用!#REF!))</f>
        <v>#REF!</v>
      </c>
      <c r="BT109" s="2" t="e">
        <f>SUMPRODUCT((BH$4:BH109)*($BR$4:$BR109)*(其他调用!#REF!))</f>
        <v>#REF!</v>
      </c>
      <c r="BU109" s="2" t="e">
        <f>SUMPRODUCT((BI$4:BI109)*($BR$4:$BR109)*(其他调用!#REF!))</f>
        <v>#REF!</v>
      </c>
      <c r="BV109" s="2" t="e">
        <f>SUMPRODUCT((BJ$4:BJ109)*($BR$4:$BR109)*(其他调用!#REF!))</f>
        <v>#REF!</v>
      </c>
      <c r="BW109" s="2" t="e">
        <f>SUMPRODUCT((BK$4:BK109)*($BR$4:$BR109)*(其他调用!#REF!))</f>
        <v>#REF!</v>
      </c>
      <c r="BX109" s="2" t="e">
        <f>SUMPRODUCT((BG$4:BG109)*($BR$4:$BR109))*'[1]功能-战损相关'!$D$2-BS109</f>
        <v>#REF!</v>
      </c>
      <c r="BY109" s="2" t="e">
        <f>SUMPRODUCT((BH$4:BH109)*($BR$4:$BR109))*'[1]功能-战损相关'!$D$2-BT109</f>
        <v>#REF!</v>
      </c>
      <c r="BZ109" s="2" t="e">
        <f>SUMPRODUCT((BI$4:BI109)*($BR$4:$BR109))*'[1]功能-战损相关'!$D$2-BU109</f>
        <v>#REF!</v>
      </c>
      <c r="CA109" s="2" t="e">
        <f>SUMPRODUCT((BJ$4:BJ109)*($BR$4:$BR109))*'[1]功能-战损相关'!$D$2-BV109</f>
        <v>#REF!</v>
      </c>
      <c r="CB109" s="2" t="e">
        <f>SUMPRODUCT((BK$4:BK109)*($BR$4:$BR109))*'[1]功能-战损相关'!$D$2-BW109</f>
        <v>#REF!</v>
      </c>
    </row>
    <row r="110" spans="27:93" x14ac:dyDescent="0.2">
      <c r="AA110" s="2">
        <v>107</v>
      </c>
      <c r="AB110" s="2">
        <f>攻城基础信息!X111*$E$12</f>
        <v>440689.63908501866</v>
      </c>
      <c r="AC110" s="2">
        <f>攻城基础信息!Y111*$E$12</f>
        <v>456631.65372500499</v>
      </c>
      <c r="AD110" s="2">
        <f>攻城基础信息!Z111*$E$12</f>
        <v>469929.58228253672</v>
      </c>
      <c r="AE110" s="2">
        <f>攻城基础信息!AA111*$E$12</f>
        <v>486784.54559683881</v>
      </c>
      <c r="AF110" s="2">
        <f>攻城基础信息!AB111*$E$12</f>
        <v>496743.61139434431</v>
      </c>
      <c r="AH110" s="2">
        <f>$E$4*AB110*攻城基础信息!AC111</f>
        <v>10796896.15758295</v>
      </c>
      <c r="AI110" s="2">
        <f>$E$4*AC110*攻城基础信息!AD111</f>
        <v>11187475.516262615</v>
      </c>
      <c r="AJ110" s="2">
        <f>$E$4*AD110*攻城基础信息!AE111</f>
        <v>11513274.765922142</v>
      </c>
      <c r="AK110" s="2">
        <f>$E$4*AE110*攻城基础信息!AF111</f>
        <v>11926221.367122542</v>
      </c>
      <c r="AL110" s="2">
        <f>$E$4*AF110*攻城基础信息!AG111</f>
        <v>12170218.479161428</v>
      </c>
      <c r="AN110" s="2">
        <v>107</v>
      </c>
      <c r="AO110" s="2">
        <f>求节点(节奏总纲!D$4:D$163,AH$4:AH$163,$AN110)*其他调用!H111*其他调用!$M111</f>
        <v>166394656.44015661</v>
      </c>
      <c r="AP110" s="2">
        <f>求节点(节奏总纲!E$4:E$163,AI$4:AI$163,$AN110)*其他调用!I111*其他调用!$M111</f>
        <v>186934449.21988454</v>
      </c>
      <c r="AQ110" s="2">
        <f>求节点(节奏总纲!F$4:F$163,AJ$4:AJ$163,$AN110)*其他调用!J111*其他调用!$M111</f>
        <v>17797341.847847849</v>
      </c>
      <c r="AR110" s="2">
        <f>求节点(节奏总纲!G$4:G$163,AK$4:AK$163,$AN110)*其他调用!K111*其他调用!$M111</f>
        <v>4408643.1806297088</v>
      </c>
      <c r="AS110" s="2">
        <f>求节点(节奏总纲!H$4:H$163,AL$4:AL$163,$AN110)*其他调用!L111*其他调用!$M111</f>
        <v>1728458.9097714056</v>
      </c>
      <c r="AT110" s="2">
        <f t="shared" si="16"/>
        <v>377263549.59829015</v>
      </c>
      <c r="AY110" s="2">
        <v>107</v>
      </c>
      <c r="AZ110" s="2">
        <f>其他调用!R111*6*(其他调用!AH$2*$AZ$1*MIN(其他调用!$AJ111/其他调用!AH111,1)+$E$4*0%*攻城基础信息!AC111)</f>
        <v>10482.753369680311</v>
      </c>
      <c r="BA110" s="2">
        <f>其他调用!S111*6*(其他调用!AI$2*$AZ$1*MIN(其他调用!$AJ111/其他调用!AI111,1)+$E$4*0%*攻城基础信息!AD111)</f>
        <v>31601.825217162121</v>
      </c>
      <c r="BB110" s="2">
        <f>其他调用!T111*6*(其他调用!AJ$2*$AZ$1*MIN(其他调用!$AJ111/其他调用!AJ111,1)+$E$4*0%*攻城基础信息!AE111)</f>
        <v>95340.226672850404</v>
      </c>
      <c r="BC110" s="2">
        <f>其他调用!U111*6*(其他调用!AK$2*$AZ$1*MIN(其他调用!$AJ111/其他调用!AK111,1)+$E$4*0%*攻城基础信息!AF111)</f>
        <v>41999.230399352855</v>
      </c>
      <c r="BD110" s="2">
        <f>其他调用!V111*6*(其他调用!AL$2*$AZ$1*MIN(其他调用!$AJ111/其他调用!AL111,1)+$E$4*0%*攻城基础信息!AG111)</f>
        <v>11972.865536543142</v>
      </c>
      <c r="BF110" s="2">
        <v>107</v>
      </c>
      <c r="BG110" s="2">
        <f>求节点(节奏总纲!D$4:D$163,AZ$4:AZ$163,$AN110)</f>
        <v>7306.0780843748389</v>
      </c>
      <c r="BH110" s="2">
        <f>求节点(节奏总纲!E$4:E$163,BA$4:BA$163,$AN110)</f>
        <v>22607.140982804456</v>
      </c>
      <c r="BI110" s="2">
        <f>求节点(节奏总纲!F$4:F$163,BB$4:BB$163,$AN110)</f>
        <v>70540.623548594143</v>
      </c>
      <c r="BJ110" s="2">
        <f>求节点(节奏总纲!G$4:G$163,BC$4:BC$163,$AN110)</f>
        <v>33837.200658940747</v>
      </c>
      <c r="BK110" s="2">
        <f>求节点(节奏总纲!H$4:H$163,BD$4:BD$163,$AN110)</f>
        <v>10243.619010405253</v>
      </c>
      <c r="BL110" s="2">
        <f>BG110*其他调用!H111*其他调用!$M111</f>
        <v>350418.13725225191</v>
      </c>
      <c r="BM110" s="2">
        <f>BH110*其他调用!I111*其他调用!$M111</f>
        <v>1069125.9183181769</v>
      </c>
      <c r="BN110" s="2">
        <f>BI110*其他调用!J111*其他调用!$M111</f>
        <v>272316.43495267583</v>
      </c>
      <c r="BO110" s="2">
        <f>BJ110*其他调用!K111*其他调用!$M111</f>
        <v>23239.254063757875</v>
      </c>
      <c r="BP110" s="2">
        <f>BK110*其他调用!L111*其他调用!$M111</f>
        <v>2035.6119697477316</v>
      </c>
      <c r="BQ110" s="2">
        <f t="shared" si="15"/>
        <v>1717135.3565566102</v>
      </c>
      <c r="BR110" s="2">
        <f>[1]服务器生态!$R109</f>
        <v>4.5400582107843125E-2</v>
      </c>
      <c r="BS110" s="2" t="e">
        <f>SUMPRODUCT((BG$4:BG110)*($BR$4:$BR110)*(其他调用!#REF!))</f>
        <v>#REF!</v>
      </c>
      <c r="BT110" s="2" t="e">
        <f>SUMPRODUCT((BH$4:BH110)*($BR$4:$BR110)*(其他调用!#REF!))</f>
        <v>#REF!</v>
      </c>
      <c r="BU110" s="2" t="e">
        <f>SUMPRODUCT((BI$4:BI110)*($BR$4:$BR110)*(其他调用!#REF!))</f>
        <v>#REF!</v>
      </c>
      <c r="BV110" s="2" t="e">
        <f>SUMPRODUCT((BJ$4:BJ110)*($BR$4:$BR110)*(其他调用!#REF!))</f>
        <v>#REF!</v>
      </c>
      <c r="BW110" s="2" t="e">
        <f>SUMPRODUCT((BK$4:BK110)*($BR$4:$BR110)*(其他调用!#REF!))</f>
        <v>#REF!</v>
      </c>
      <c r="BX110" s="2" t="e">
        <f>SUMPRODUCT((BG$4:BG110)*($BR$4:$BR110))*'[1]功能-战损相关'!$D$2-BS110</f>
        <v>#REF!</v>
      </c>
      <c r="BY110" s="2" t="e">
        <f>SUMPRODUCT((BH$4:BH110)*($BR$4:$BR110))*'[1]功能-战损相关'!$D$2-BT110</f>
        <v>#REF!</v>
      </c>
      <c r="BZ110" s="2" t="e">
        <f>SUMPRODUCT((BI$4:BI110)*($BR$4:$BR110))*'[1]功能-战损相关'!$D$2-BU110</f>
        <v>#REF!</v>
      </c>
      <c r="CA110" s="2" t="e">
        <f>SUMPRODUCT((BJ$4:BJ110)*($BR$4:$BR110))*'[1]功能-战损相关'!$D$2-BV110</f>
        <v>#REF!</v>
      </c>
      <c r="CB110" s="2" t="e">
        <f>SUMPRODUCT((BK$4:BK110)*($BR$4:$BR110))*'[1]功能-战损相关'!$D$2-BW110</f>
        <v>#REF!</v>
      </c>
    </row>
    <row r="111" spans="27:93" x14ac:dyDescent="0.2">
      <c r="AA111" s="2">
        <v>108</v>
      </c>
      <c r="AB111" s="2">
        <f>攻城基础信息!X112*$E$12</f>
        <v>447038.69545854762</v>
      </c>
      <c r="AC111" s="2">
        <f>攻城基础信息!Y112*$E$12</f>
        <v>463164.17888923874</v>
      </c>
      <c r="AD111" s="2">
        <f>攻城基础信息!Z112*$E$12</f>
        <v>476931.42858866649</v>
      </c>
      <c r="AE111" s="2">
        <f>攻城基础信息!AA112*$E$12</f>
        <v>493279.34699988796</v>
      </c>
      <c r="AF111" s="2">
        <f>攻城基础信息!AB112*$E$12</f>
        <v>503263.87498873711</v>
      </c>
      <c r="AH111" s="2">
        <f>$E$4*AB111*攻城基础信息!AC112</f>
        <v>10952448.03873441</v>
      </c>
      <c r="AI111" s="2">
        <f>$E$4*AC111*攻城基础信息!AD112</f>
        <v>11347522.382786343</v>
      </c>
      <c r="AJ111" s="2">
        <f>$E$4*AD111*攻城基础信息!AE112</f>
        <v>11684820.000422321</v>
      </c>
      <c r="AK111" s="2">
        <f>$E$4*AE111*攻城基础信息!AF112</f>
        <v>12085344.001497248</v>
      </c>
      <c r="AL111" s="2">
        <f>$E$4*AF111*攻城基础信息!AG112</f>
        <v>12329964.937224051</v>
      </c>
      <c r="AN111" s="2">
        <v>108</v>
      </c>
      <c r="AO111" s="2">
        <f>求节点(节奏总纲!D$4:D$163,AH$4:AH$163,$AN111)*其他调用!H112*其他调用!$M112</f>
        <v>167060001.02316561</v>
      </c>
      <c r="AP111" s="2">
        <f>求节点(节奏总纲!E$4:E$163,AI$4:AI$163,$AN111)*其他调用!I112*其他调用!$M112</f>
        <v>187694759.17023426</v>
      </c>
      <c r="AQ111" s="2">
        <f>求节点(节奏总纲!F$4:F$163,AJ$4:AJ$163,$AN111)*其他调用!J112*其他调用!$M112</f>
        <v>17867503.751547001</v>
      </c>
      <c r="AR111" s="2">
        <f>求节点(节奏总纲!G$4:G$163,AK$4:AK$163,$AN111)*其他调用!K112*其他调用!$M112</f>
        <v>4433676.4468887234</v>
      </c>
      <c r="AS111" s="2">
        <f>求节点(节奏总纲!H$4:H$163,AL$4:AL$163,$AN111)*其他调用!L112*其他调用!$M112</f>
        <v>1732085.0362733174</v>
      </c>
      <c r="AT111" s="2">
        <f t="shared" si="16"/>
        <v>378788025.42810893</v>
      </c>
      <c r="AY111" s="2">
        <v>108</v>
      </c>
      <c r="AZ111" s="2">
        <f>其他调用!R112*6*(其他调用!AH$2*$AZ$1*MIN(其他调用!$AJ112/其他调用!AH112,1)+$E$4*0%*攻城基础信息!AC112)</f>
        <v>10561.724232119719</v>
      </c>
      <c r="BA111" s="2">
        <f>其他调用!S112*6*(其他调用!AI$2*$AZ$1*MIN(其他调用!$AJ112/其他调用!AI112,1)+$E$4*0%*攻城基础信息!AD112)</f>
        <v>31849.766333757245</v>
      </c>
      <c r="BB111" s="2">
        <f>其他调用!T112*6*(其他调用!AJ$2*$AZ$1*MIN(其他调用!$AJ112/其他调用!AJ112,1)+$E$4*0%*攻城基础信息!AE112)</f>
        <v>96015.663697884884</v>
      </c>
      <c r="BC111" s="2">
        <f>其他调用!U112*6*(其他调用!AK$2*$AZ$1*MIN(其他调用!$AJ112/其他调用!AK112,1)+$E$4*0%*攻城基础信息!AF112)</f>
        <v>42233.591840632354</v>
      </c>
      <c r="BD111" s="2">
        <f>其他调用!V112*6*(其他调用!AL$2*$AZ$1*MIN(其他调用!$AJ112/其他调用!AL112,1)+$E$4*0%*攻城基础信息!AG112)</f>
        <v>12058.002139254226</v>
      </c>
      <c r="BF111" s="2">
        <v>108</v>
      </c>
      <c r="BG111" s="2">
        <f>求节点(节奏总纲!D$4:D$163,AZ$4:AZ$163,$AN111)</f>
        <v>7316.8099721465978</v>
      </c>
      <c r="BH111" s="2">
        <f>求节点(节奏总纲!E$4:E$163,BA$4:BA$163,$AN111)</f>
        <v>22639.826470892531</v>
      </c>
      <c r="BI111" s="2">
        <f>求节点(节奏总纲!F$4:F$163,BB$4:BB$163,$AN111)</f>
        <v>70639.395706181516</v>
      </c>
      <c r="BJ111" s="2">
        <f>求节点(节奏总纲!G$4:G$163,BC$4:BC$163,$AN111)</f>
        <v>33886.30145514277</v>
      </c>
      <c r="BK111" s="2">
        <f>求节点(节奏总纲!H$4:H$163,BD$4:BD$163,$AN111)</f>
        <v>10257.979681757986</v>
      </c>
      <c r="BL111" s="2">
        <f>BG111*其他调用!H112*其他调用!$M112</f>
        <v>350932.86595878226</v>
      </c>
      <c r="BM111" s="2">
        <f>BH111*其他调用!I112*其他调用!$M112</f>
        <v>1070671.6645270593</v>
      </c>
      <c r="BN111" s="2">
        <f>BI111*其他调用!J112*其他调用!$M112</f>
        <v>272697.73696665996</v>
      </c>
      <c r="BO111" s="2">
        <f>BJ111*其他调用!K112*其他调用!$M112</f>
        <v>23272.976294186239</v>
      </c>
      <c r="BP111" s="2">
        <f>BK111*其他调用!L112*其他调用!$M112</f>
        <v>2038.4657223589468</v>
      </c>
      <c r="BQ111" s="2">
        <f t="shared" si="15"/>
        <v>1719613.7094690467</v>
      </c>
      <c r="BR111" s="2">
        <f>[1]服务器生态!$R110</f>
        <v>4.1787939133986915E-2</v>
      </c>
      <c r="BS111" s="2" t="e">
        <f>SUMPRODUCT((BG$4:BG111)*($BR$4:$BR111)*(其他调用!#REF!))</f>
        <v>#REF!</v>
      </c>
      <c r="BT111" s="2" t="e">
        <f>SUMPRODUCT((BH$4:BH111)*($BR$4:$BR111)*(其他调用!#REF!))</f>
        <v>#REF!</v>
      </c>
      <c r="BU111" s="2" t="e">
        <f>SUMPRODUCT((BI$4:BI111)*($BR$4:$BR111)*(其他调用!#REF!))</f>
        <v>#REF!</v>
      </c>
      <c r="BV111" s="2" t="e">
        <f>SUMPRODUCT((BJ$4:BJ111)*($BR$4:$BR111)*(其他调用!#REF!))</f>
        <v>#REF!</v>
      </c>
      <c r="BW111" s="2" t="e">
        <f>SUMPRODUCT((BK$4:BK111)*($BR$4:$BR111)*(其他调用!#REF!))</f>
        <v>#REF!</v>
      </c>
      <c r="BX111" s="2" t="e">
        <f>SUMPRODUCT((BG$4:BG111)*($BR$4:$BR111))*'[1]功能-战损相关'!$D$2-BS111</f>
        <v>#REF!</v>
      </c>
      <c r="BY111" s="2" t="e">
        <f>SUMPRODUCT((BH$4:BH111)*($BR$4:$BR111))*'[1]功能-战损相关'!$D$2-BT111</f>
        <v>#REF!</v>
      </c>
      <c r="BZ111" s="2" t="e">
        <f>SUMPRODUCT((BI$4:BI111)*($BR$4:$BR111))*'[1]功能-战损相关'!$D$2-BU111</f>
        <v>#REF!</v>
      </c>
      <c r="CA111" s="2" t="e">
        <f>SUMPRODUCT((BJ$4:BJ111)*($BR$4:$BR111))*'[1]功能-战损相关'!$D$2-BV111</f>
        <v>#REF!</v>
      </c>
      <c r="CB111" s="2" t="e">
        <f>SUMPRODUCT((BK$4:BK111)*($BR$4:$BR111))*'[1]功能-战损相关'!$D$2-BW111</f>
        <v>#REF!</v>
      </c>
    </row>
    <row r="112" spans="27:93" x14ac:dyDescent="0.2">
      <c r="AA112" s="2">
        <v>109</v>
      </c>
      <c r="AB112" s="2">
        <f>攻城基础信息!X113*$E$12</f>
        <v>453478.37433186313</v>
      </c>
      <c r="AC112" s="2">
        <f>攻城基础信息!Y113*$E$12</f>
        <v>470031.32159432553</v>
      </c>
      <c r="AD112" s="2">
        <f>攻城基础信息!Z113*$E$12</f>
        <v>483950.10820671724</v>
      </c>
      <c r="AE112" s="2">
        <f>攻城基础信息!AA113*$E$12</f>
        <v>499774.14840293711</v>
      </c>
      <c r="AF112" s="2">
        <f>攻城基础信息!AB113*$E$12</f>
        <v>509784.13858313009</v>
      </c>
      <c r="AH112" s="2">
        <f>$E$4*AB112*攻城基础信息!AC113</f>
        <v>11110220.17113064</v>
      </c>
      <c r="AI112" s="2">
        <f>$E$4*AC112*攻城基础信息!AD113</f>
        <v>11515767.379060969</v>
      </c>
      <c r="AJ112" s="2">
        <f>$E$4*AD112*攻城基础信息!AE113</f>
        <v>11856777.651064565</v>
      </c>
      <c r="AK112" s="2">
        <f>$E$4*AE112*攻城基础信息!AF113</f>
        <v>12244466.635871951</v>
      </c>
      <c r="AL112" s="2">
        <f>$E$4*AF112*攻城基础信息!AG113</f>
        <v>12489711.395286679</v>
      </c>
      <c r="AN112" s="2">
        <v>109</v>
      </c>
      <c r="AO112" s="2">
        <f>求节点(节奏总纲!D$4:D$163,AH$4:AH$163,$AN112)*其他调用!H113*其他调用!$M113</f>
        <v>167725345.60617462</v>
      </c>
      <c r="AP112" s="2">
        <f>求节点(节奏总纲!E$4:E$163,AI$4:AI$163,$AN112)*其他调用!I113*其他调用!$M113</f>
        <v>188455069.12058401</v>
      </c>
      <c r="AQ112" s="2">
        <f>求节点(节奏总纲!F$4:F$163,AJ$4:AJ$163,$AN112)*其他调用!J113*其他调用!$M113</f>
        <v>17937665.655246157</v>
      </c>
      <c r="AR112" s="2">
        <f>求节点(节奏总纲!G$4:G$163,AK$4:AK$163,$AN112)*其他调用!K113*其他调用!$M113</f>
        <v>4459505.3545974959</v>
      </c>
      <c r="AS112" s="2">
        <f>求节点(节奏总纲!H$4:H$163,AL$4:AL$163,$AN112)*其他调用!L113*其他调用!$M113</f>
        <v>1735695.655395864</v>
      </c>
      <c r="AT112" s="2">
        <f t="shared" si="16"/>
        <v>380313281.39199811</v>
      </c>
      <c r="AY112" s="2">
        <v>109</v>
      </c>
      <c r="AZ112" s="2">
        <f>其他调用!R113*6*(其他调用!AH$2*$AZ$1*MIN(其他调用!$AJ113/其他调用!AH113,1)+$E$4*0%*攻城基础信息!AC113)</f>
        <v>10644.553358591293</v>
      </c>
      <c r="BA112" s="2">
        <f>其他调用!S113*6*(其他调用!AI$2*$AZ$1*MIN(其他调用!$AJ113/其他调用!AI113,1)+$E$4*0%*攻城基础信息!AD113)</f>
        <v>32078.085761273018</v>
      </c>
      <c r="BB112" s="2">
        <f>其他调用!T113*6*(其他调用!AJ$2*$AZ$1*MIN(其他调用!$AJ113/其他调用!AJ113,1)+$E$4*0%*攻城基础信息!AE113)</f>
        <v>96729.634536448255</v>
      </c>
      <c r="BC112" s="2">
        <f>其他调用!U113*6*(其他调用!AK$2*$AZ$1*MIN(其他调用!$AJ113/其他调用!AK113,1)+$E$4*0%*攻城基础信息!AF113)</f>
        <v>42441.996271163203</v>
      </c>
      <c r="BD112" s="2">
        <f>其他调用!V113*6*(其他调用!AL$2*$AZ$1*MIN(其他调用!$AJ113/其他调用!AL113,1)+$E$4*0%*攻城基础信息!AG113)</f>
        <v>12147.045589541347</v>
      </c>
      <c r="BF112" s="2">
        <v>109</v>
      </c>
      <c r="BG112" s="2">
        <f>求节点(节奏总纲!D$4:D$163,AZ$4:AZ$163,$AN112)</f>
        <v>7327.5418599183567</v>
      </c>
      <c r="BH112" s="2">
        <f>求节点(节奏总纲!E$4:E$163,BA$4:BA$163,$AN112)</f>
        <v>22672.511958980602</v>
      </c>
      <c r="BI112" s="2">
        <f>求节点(节奏总纲!F$4:F$163,BB$4:BB$163,$AN112)</f>
        <v>70738.167863768875</v>
      </c>
      <c r="BJ112" s="2">
        <f>求节点(节奏总纲!G$4:G$163,BC$4:BC$163,$AN112)</f>
        <v>33934.318701151358</v>
      </c>
      <c r="BK112" s="2">
        <f>求节点(节奏总纲!H$4:H$163,BD$4:BD$163,$AN112)</f>
        <v>10272.320472684107</v>
      </c>
      <c r="BL112" s="2">
        <f>BG112*其他调用!H113*其他调用!$M113</f>
        <v>351447.59466531262</v>
      </c>
      <c r="BM112" s="2">
        <f>BH112*其他调用!I113*其他调用!$M113</f>
        <v>1072217.4107359415</v>
      </c>
      <c r="BN112" s="2">
        <f>BI112*其他调用!J113*其他调用!$M113</f>
        <v>273079.03898064408</v>
      </c>
      <c r="BO112" s="2">
        <f>BJ112*其他调用!K113*其他调用!$M113</f>
        <v>23305.954346675953</v>
      </c>
      <c r="BP112" s="2">
        <f>BK112*其他调用!L113*其他调用!$M113</f>
        <v>2041.3155243317854</v>
      </c>
      <c r="BQ112" s="2">
        <f t="shared" si="15"/>
        <v>1722091.314252906</v>
      </c>
      <c r="BR112" s="2">
        <f>[1]服务器生态!$R111</f>
        <v>3.8175296160130712E-2</v>
      </c>
      <c r="BS112" s="2" t="e">
        <f>SUMPRODUCT((BG$4:BG112)*($BR$4:$BR112)*(其他调用!#REF!))</f>
        <v>#REF!</v>
      </c>
      <c r="BT112" s="2" t="e">
        <f>SUMPRODUCT((BH$4:BH112)*($BR$4:$BR112)*(其他调用!#REF!))</f>
        <v>#REF!</v>
      </c>
      <c r="BU112" s="2" t="e">
        <f>SUMPRODUCT((BI$4:BI112)*($BR$4:$BR112)*(其他调用!#REF!))</f>
        <v>#REF!</v>
      </c>
      <c r="BV112" s="2" t="e">
        <f>SUMPRODUCT((BJ$4:BJ112)*($BR$4:$BR112)*(其他调用!#REF!))</f>
        <v>#REF!</v>
      </c>
      <c r="BW112" s="2" t="e">
        <f>SUMPRODUCT((BK$4:BK112)*($BR$4:$BR112)*(其他调用!#REF!))</f>
        <v>#REF!</v>
      </c>
      <c r="BX112" s="2" t="e">
        <f>SUMPRODUCT((BG$4:BG112)*($BR$4:$BR112))*'[1]功能-战损相关'!$D$2-BS112</f>
        <v>#REF!</v>
      </c>
      <c r="BY112" s="2" t="e">
        <f>SUMPRODUCT((BH$4:BH112)*($BR$4:$BR112))*'[1]功能-战损相关'!$D$2-BT112</f>
        <v>#REF!</v>
      </c>
      <c r="BZ112" s="2" t="e">
        <f>SUMPRODUCT((BI$4:BI112)*($BR$4:$BR112))*'[1]功能-战损相关'!$D$2-BU112</f>
        <v>#REF!</v>
      </c>
      <c r="CA112" s="2" t="e">
        <f>SUMPRODUCT((BJ$4:BJ112)*($BR$4:$BR112))*'[1]功能-战损相关'!$D$2-BV112</f>
        <v>#REF!</v>
      </c>
      <c r="CB112" s="2" t="e">
        <f>SUMPRODUCT((BK$4:BK112)*($BR$4:$BR112))*'[1]功能-战损相关'!$D$2-BW112</f>
        <v>#REF!</v>
      </c>
    </row>
    <row r="113" spans="27:80" x14ac:dyDescent="0.2">
      <c r="AA113" s="2">
        <v>110</v>
      </c>
      <c r="AB113" s="2">
        <f>攻城基础信息!X114*$E$12</f>
        <v>460414.39542927139</v>
      </c>
      <c r="AC113" s="2">
        <f>攻城基础信息!Y114*$E$12</f>
        <v>476913.57586629724</v>
      </c>
      <c r="AD113" s="2">
        <f>攻城基础信息!Z114*$E$12</f>
        <v>490985.62113668898</v>
      </c>
      <c r="AE113" s="2">
        <f>攻城基础信息!AA114*$E$12</f>
        <v>506268.94980598631</v>
      </c>
      <c r="AF113" s="2">
        <f>攻城基础信息!AB114*$E$12</f>
        <v>516304.40217752301</v>
      </c>
      <c r="AH113" s="2">
        <f>$E$4*AB113*攻城基础信息!AC114</f>
        <v>11280152.688017143</v>
      </c>
      <c r="AI113" s="2">
        <f>$E$4*AC113*攻城基础信息!AD114</f>
        <v>11684382.608724274</v>
      </c>
      <c r="AJ113" s="2">
        <f>$E$4*AD113*攻城基础信息!AE114</f>
        <v>12029147.717848873</v>
      </c>
      <c r="AK113" s="2">
        <f>$E$4*AE113*攻城基础信息!AF114</f>
        <v>12403589.270246657</v>
      </c>
      <c r="AL113" s="2">
        <f>$E$4*AF113*攻城基础信息!AG114</f>
        <v>12649457.853349306</v>
      </c>
      <c r="AN113" s="2">
        <v>110</v>
      </c>
      <c r="AO113" s="2">
        <f>求节点(节奏总纲!D$4:D$163,AH$4:AH$163,$AN113)*其他调用!H114*其他调用!$M114</f>
        <v>168390690.18918365</v>
      </c>
      <c r="AP113" s="2">
        <f>求节点(节奏总纲!E$4:E$163,AI$4:AI$163,$AN113)*其他调用!I114*其他调用!$M114</f>
        <v>189214670.84039846</v>
      </c>
      <c r="AQ113" s="2">
        <f>求节点(节奏总纲!F$4:F$163,AJ$4:AJ$163,$AN113)*其他调用!J114*其他调用!$M114</f>
        <v>18007827.558945309</v>
      </c>
      <c r="AR113" s="2">
        <f>求节点(节奏总纲!G$4:G$163,AK$4:AK$163,$AN113)*其他调用!K114*其他调用!$M114</f>
        <v>4485334.2623062693</v>
      </c>
      <c r="AS113" s="2">
        <f>求节点(节奏总纲!H$4:H$163,AL$4:AL$163,$AN113)*其他调用!L114*其他调用!$M114</f>
        <v>1739028.6442165289</v>
      </c>
      <c r="AT113" s="2">
        <f t="shared" si="16"/>
        <v>381837551.49505025</v>
      </c>
      <c r="AY113" s="2">
        <v>110</v>
      </c>
      <c r="AZ113" s="2">
        <f>其他调用!R114*6*(其他调用!AH$2*$AZ$1*MIN(其他调用!$AJ114/其他调用!AH114,1)+$E$4*0%*攻城基础信息!AC114)</f>
        <v>10723.103571022757</v>
      </c>
      <c r="BA113" s="2">
        <f>其他调用!S114*6*(其他调用!AI$2*$AZ$1*MIN(其他调用!$AJ114/其他调用!AI114,1)+$E$4*0%*攻城基础信息!AD114)</f>
        <v>32324.107757705948</v>
      </c>
      <c r="BB113" s="2">
        <f>其他调用!T114*6*(其他调用!AJ$2*$AZ$1*MIN(其他调用!$AJ114/其他调用!AJ114,1)+$E$4*0%*攻城基础信息!AE114)</f>
        <v>97458.922257177386</v>
      </c>
      <c r="BC113" s="2">
        <f>其他调用!U114*6*(其他调用!AK$2*$AZ$1*MIN(其他调用!$AJ114/其他调用!AK114,1)+$E$4*0%*攻城基础信息!AF114)</f>
        <v>42677.360558952103</v>
      </c>
      <c r="BD113" s="2">
        <f>其他调用!V114*6*(其他调用!AL$2*$AZ$1*MIN(其他调用!$AJ114/其他调用!AL114,1)+$E$4*0%*攻城基础信息!AG114)</f>
        <v>12227.720396676232</v>
      </c>
      <c r="BF113" s="2">
        <v>110</v>
      </c>
      <c r="BG113" s="2">
        <f>求节点(节奏总纲!D$4:D$163,AZ$4:AZ$163,$AN113)</f>
        <v>7338.2737476901157</v>
      </c>
      <c r="BH113" s="2">
        <f>求节点(节奏总纲!E$4:E$163,BA$4:BA$163,$AN113)</f>
        <v>22705.112154703897</v>
      </c>
      <c r="BI113" s="2">
        <f>求节点(节奏总纲!F$4:F$163,BB$4:BB$163,$AN113)</f>
        <v>70836.940021356233</v>
      </c>
      <c r="BJ113" s="2">
        <f>求节点(节奏总纲!G$4:G$163,BC$4:BC$163,$AN113)</f>
        <v>33982.33594715994</v>
      </c>
      <c r="BK113" s="2">
        <f>求节点(节奏总纲!H$4:H$163,BD$4:BD$163,$AN113)</f>
        <v>10286.305342167148</v>
      </c>
      <c r="BL113" s="2">
        <f>BG113*其他调用!H114*其他调用!$M114</f>
        <v>351962.32337184297</v>
      </c>
      <c r="BM113" s="2">
        <f>BH113*其他调用!I114*其他调用!$M114</f>
        <v>1073759.1233397834</v>
      </c>
      <c r="BN113" s="2">
        <f>BI113*其他调用!J114*其他调用!$M114</f>
        <v>273460.3409946282</v>
      </c>
      <c r="BO113" s="2">
        <f>BJ113*其他调用!K114*其他调用!$M114</f>
        <v>23338.932399165664</v>
      </c>
      <c r="BP113" s="2">
        <f>BK113*其他调用!L114*其他调用!$M114</f>
        <v>2044.0945975954555</v>
      </c>
      <c r="BQ113" s="2">
        <f t="shared" si="15"/>
        <v>1724564.8147030156</v>
      </c>
      <c r="BR113" s="2">
        <f>[1]服务器生态!$R112</f>
        <v>3.4562653186274502E-2</v>
      </c>
      <c r="BS113" s="2" t="e">
        <f>SUMPRODUCT((BG$4:BG113)*($BR$4:$BR113)*(其他调用!#REF!))</f>
        <v>#REF!</v>
      </c>
      <c r="BT113" s="2" t="e">
        <f>SUMPRODUCT((BH$4:BH113)*($BR$4:$BR113)*(其他调用!#REF!))</f>
        <v>#REF!</v>
      </c>
      <c r="BU113" s="2" t="e">
        <f>SUMPRODUCT((BI$4:BI113)*($BR$4:$BR113)*(其他调用!#REF!))</f>
        <v>#REF!</v>
      </c>
      <c r="BV113" s="2" t="e">
        <f>SUMPRODUCT((BJ$4:BJ113)*($BR$4:$BR113)*(其他调用!#REF!))</f>
        <v>#REF!</v>
      </c>
      <c r="BW113" s="2" t="e">
        <f>SUMPRODUCT((BK$4:BK113)*($BR$4:$BR113)*(其他调用!#REF!))</f>
        <v>#REF!</v>
      </c>
      <c r="BX113" s="2" t="e">
        <f>SUMPRODUCT((BG$4:BG113)*($BR$4:$BR113))*'[1]功能-战损相关'!$D$2-BS113</f>
        <v>#REF!</v>
      </c>
      <c r="BY113" s="2" t="e">
        <f>SUMPRODUCT((BH$4:BH113)*($BR$4:$BR113))*'[1]功能-战损相关'!$D$2-BT113</f>
        <v>#REF!</v>
      </c>
      <c r="BZ113" s="2" t="e">
        <f>SUMPRODUCT((BI$4:BI113)*($BR$4:$BR113))*'[1]功能-战损相关'!$D$2-BU113</f>
        <v>#REF!</v>
      </c>
      <c r="CA113" s="2" t="e">
        <f>SUMPRODUCT((BJ$4:BJ113)*($BR$4:$BR113))*'[1]功能-战损相关'!$D$2-BV113</f>
        <v>#REF!</v>
      </c>
      <c r="CB113" s="2" t="e">
        <f>SUMPRODUCT((BK$4:BK113)*($BR$4:$BR113))*'[1]功能-战损相关'!$D$2-BW113</f>
        <v>#REF!</v>
      </c>
    </row>
    <row r="114" spans="27:80" x14ac:dyDescent="0.2">
      <c r="AA114" s="2">
        <v>111</v>
      </c>
      <c r="AB114" s="2">
        <f>攻城基础信息!X115*$E$12</f>
        <v>467370.4805838053</v>
      </c>
      <c r="AC114" s="2">
        <f>攻城基础信息!Y115*$E$12</f>
        <v>483810.94170515361</v>
      </c>
      <c r="AD114" s="2">
        <f>攻城基础信息!Z115*$E$12</f>
        <v>498037.96737858141</v>
      </c>
      <c r="AE114" s="2">
        <f>攻城基础信息!AA115*$E$12</f>
        <v>512763.75120903528</v>
      </c>
      <c r="AF114" s="2">
        <f>攻城基础信息!AB115*$E$12</f>
        <v>522824.66577191593</v>
      </c>
      <c r="AH114" s="2">
        <f>$E$4*AB114*攻城基础信息!AC115</f>
        <v>11450576.774303224</v>
      </c>
      <c r="AI114" s="2">
        <f>$E$4*AC114*攻城基础信息!AD115</f>
        <v>11853368.071776256</v>
      </c>
      <c r="AJ114" s="2">
        <f>$E$4*AD114*攻城基础信息!AE115</f>
        <v>12201930.200775236</v>
      </c>
      <c r="AK114" s="2">
        <f>$E$4*AE114*攻城基础信息!AF115</f>
        <v>12562711.904621355</v>
      </c>
      <c r="AL114" s="2">
        <f>$E$4*AF114*攻城基础信息!AG115</f>
        <v>12809204.311411932</v>
      </c>
      <c r="AN114" s="2">
        <v>111</v>
      </c>
      <c r="AO114" s="2">
        <f>求节点(节奏总纲!D$4:D$163,AH$4:AH$163,$AN114)*其他调用!H115*其他调用!$M115</f>
        <v>169037901.46711487</v>
      </c>
      <c r="AP114" s="2">
        <f>求节点(节奏总纲!E$4:E$163,AI$4:AI$163,$AN114)*其他调用!I115*其他调用!$M115</f>
        <v>189951911.39220402</v>
      </c>
      <c r="AQ114" s="2">
        <f>求节点(节奏总纲!F$4:F$163,AJ$4:AJ$163,$AN114)*其他调用!J115*其他调用!$M115</f>
        <v>18075712.027330447</v>
      </c>
      <c r="AR114" s="2">
        <f>求节点(节奏总纲!G$4:G$163,AK$4:AK$163,$AN114)*其他调用!K115*其他调用!$M115</f>
        <v>4511163.1700150417</v>
      </c>
      <c r="AS114" s="2">
        <f>求节点(节奏总纲!H$4:H$163,AL$4:AL$163,$AN114)*其他调用!L115*其他调用!$M115</f>
        <v>1742361.6330371937</v>
      </c>
      <c r="AT114" s="2">
        <f t="shared" si="16"/>
        <v>383319049.68970156</v>
      </c>
      <c r="AY114" s="2">
        <v>111</v>
      </c>
      <c r="AZ114" s="2">
        <f>其他调用!R115*6*(其他调用!AH$2*$AZ$1*MIN(其他调用!$AJ115/其他调用!AH115,1)+$E$4*0%*攻城基础信息!AC115)</f>
        <v>10805.569041082521</v>
      </c>
      <c r="BA114" s="2">
        <f>其他调用!S115*6*(其他调用!AI$2*$AZ$1*MIN(其他调用!$AJ115/其他调用!AI115,1)+$E$4*0%*攻城基础信息!AD115)</f>
        <v>32566.063406660029</v>
      </c>
      <c r="BB114" s="2">
        <f>其他调用!T115*6*(其他调用!AJ$2*$AZ$1*MIN(其他调用!$AJ115/其他调用!AJ115,1)+$E$4*0%*攻城基础信息!AE115)</f>
        <v>98206.802148564122</v>
      </c>
      <c r="BC114" s="2">
        <f>其他调用!U115*6*(其他调用!AK$2*$AZ$1*MIN(其他调用!$AJ115/其他调用!AK115,1)+$E$4*0%*攻城基础信息!AF115)</f>
        <v>42911.649277641664</v>
      </c>
      <c r="BD114" s="2">
        <f>其他调用!V115*6*(其他调用!AL$2*$AZ$1*MIN(其他调用!$AJ115/其他调用!AL115,1)+$E$4*0%*攻城基础信息!AG115)</f>
        <v>12313.45892635836</v>
      </c>
      <c r="BF114" s="2">
        <v>111</v>
      </c>
      <c r="BG114" s="2">
        <f>求节点(节奏总纲!D$4:D$163,AZ$4:AZ$163,$AN114)</f>
        <v>7348.6581092752194</v>
      </c>
      <c r="BH114" s="2">
        <f>求节点(节奏总纲!E$4:E$163,BA$4:BA$163,$AN114)</f>
        <v>22735.019389867717</v>
      </c>
      <c r="BI114" s="2">
        <f>求节点(节奏总纲!F$4:F$163,BB$4:BB$163,$AN114)</f>
        <v>70931.65397201119</v>
      </c>
      <c r="BJ114" s="2">
        <f>求节点(节奏总纲!G$4:G$163,BC$4:BC$163,$AN114)</f>
        <v>34030.353193168528</v>
      </c>
      <c r="BK114" s="2">
        <f>求节点(节奏总纲!H$4:H$163,BD$4:BD$163,$AN114)</f>
        <v>10300.29021165019</v>
      </c>
      <c r="BL114" s="2">
        <f>BG114*其他调用!H115*其他调用!$M115</f>
        <v>352460.38383618271</v>
      </c>
      <c r="BM114" s="2">
        <f>BH114*其他调用!I115*其他调用!$M115</f>
        <v>1075173.4817623366</v>
      </c>
      <c r="BN114" s="2">
        <f>BI114*其他调用!J115*其他调用!$M115</f>
        <v>273825.97662534914</v>
      </c>
      <c r="BO114" s="2">
        <f>BJ114*其他调用!K115*其他调用!$M115</f>
        <v>23371.910451655378</v>
      </c>
      <c r="BP114" s="2">
        <f>BK114*其他调用!L115*其他调用!$M115</f>
        <v>2046.8736708591255</v>
      </c>
      <c r="BQ114" s="2">
        <f t="shared" si="15"/>
        <v>1726878.6263463828</v>
      </c>
      <c r="BR114" s="2">
        <f>[1]服务器生态!$R113</f>
        <v>3.0950010212418291E-2</v>
      </c>
      <c r="BS114" s="2" t="e">
        <f>SUMPRODUCT((BG$4:BG114)*($BR$4:$BR114)*(其他调用!#REF!))</f>
        <v>#REF!</v>
      </c>
      <c r="BT114" s="2" t="e">
        <f>SUMPRODUCT((BH$4:BH114)*($BR$4:$BR114)*(其他调用!#REF!))</f>
        <v>#REF!</v>
      </c>
      <c r="BU114" s="2" t="e">
        <f>SUMPRODUCT((BI$4:BI114)*($BR$4:$BR114)*(其他调用!#REF!))</f>
        <v>#REF!</v>
      </c>
      <c r="BV114" s="2" t="e">
        <f>SUMPRODUCT((BJ$4:BJ114)*($BR$4:$BR114)*(其他调用!#REF!))</f>
        <v>#REF!</v>
      </c>
      <c r="BW114" s="2" t="e">
        <f>SUMPRODUCT((BK$4:BK114)*($BR$4:$BR114)*(其他调用!#REF!))</f>
        <v>#REF!</v>
      </c>
      <c r="BX114" s="2" t="e">
        <f>SUMPRODUCT((BG$4:BG114)*($BR$4:$BR114))*'[1]功能-战损相关'!$D$2-BS114</f>
        <v>#REF!</v>
      </c>
      <c r="BY114" s="2" t="e">
        <f>SUMPRODUCT((BH$4:BH114)*($BR$4:$BR114))*'[1]功能-战损相关'!$D$2-BT114</f>
        <v>#REF!</v>
      </c>
      <c r="BZ114" s="2" t="e">
        <f>SUMPRODUCT((BI$4:BI114)*($BR$4:$BR114))*'[1]功能-战损相关'!$D$2-BU114</f>
        <v>#REF!</v>
      </c>
      <c r="CA114" s="2" t="e">
        <f>SUMPRODUCT((BJ$4:BJ114)*($BR$4:$BR114))*'[1]功能-战损相关'!$D$2-BV114</f>
        <v>#REF!</v>
      </c>
      <c r="CB114" s="2" t="e">
        <f>SUMPRODUCT((BK$4:BK114)*($BR$4:$BR114))*'[1]功能-战损相关'!$D$2-BW114</f>
        <v>#REF!</v>
      </c>
    </row>
    <row r="115" spans="27:80" x14ac:dyDescent="0.2">
      <c r="AA115" s="2">
        <v>112</v>
      </c>
      <c r="AB115" s="2">
        <f>攻城基础信息!X116*$E$12</f>
        <v>485303.47752721864</v>
      </c>
      <c r="AC115" s="2">
        <f>攻城基础信息!Y116*$E$12</f>
        <v>502052.41647799214</v>
      </c>
      <c r="AD115" s="2">
        <f>攻城基础信息!Z116*$E$12</f>
        <v>517230.04544187419</v>
      </c>
      <c r="AE115" s="2">
        <f>攻城基础信息!AA116*$E$12</f>
        <v>532184.62494665128</v>
      </c>
      <c r="AF115" s="2">
        <f>攻城基础信息!AB116*$E$12</f>
        <v>543144.72520584625</v>
      </c>
      <c r="AH115" s="2">
        <f>$E$4*AB115*攻城基础信息!AC116</f>
        <v>11889935.199416848</v>
      </c>
      <c r="AI115" s="2">
        <f>$E$4*AC115*攻城基础信息!AD116</f>
        <v>12300284.2037108</v>
      </c>
      <c r="AJ115" s="2">
        <f>$E$4*AD115*攻城基础信息!AE116</f>
        <v>12672136.113325909</v>
      </c>
      <c r="AK115" s="2">
        <f>$E$4*AE115*攻城基础信息!AF116</f>
        <v>13038523.311192948</v>
      </c>
      <c r="AL115" s="2">
        <f>$E$4*AF115*攻城基础信息!AG116</f>
        <v>13307045.767543225</v>
      </c>
      <c r="AN115" s="2">
        <v>112</v>
      </c>
      <c r="AO115" s="2">
        <f>求节点(节奏总纲!D$4:D$163,AH$4:AH$163,$AN115)*其他调用!H116*其他调用!$M116</f>
        <v>169671406.86342487</v>
      </c>
      <c r="AP115" s="2">
        <f>求节点(节奏总纲!E$4:E$163,AI$4:AI$163,$AN115)*其他调用!I116*其他调用!$M116</f>
        <v>190689151.94400963</v>
      </c>
      <c r="AQ115" s="2">
        <f>求节点(节奏总纲!F$4:F$163,AJ$4:AJ$163,$AN115)*其他调用!J116*其他调用!$M116</f>
        <v>18140433.647225685</v>
      </c>
      <c r="AR115" s="2">
        <f>求节点(节奏总纲!G$4:G$163,AK$4:AK$163,$AN115)*其他调用!K116*其他调用!$M116</f>
        <v>4536992.0777238151</v>
      </c>
      <c r="AS115" s="2">
        <f>求节点(节奏总纲!H$4:H$163,AL$4:AL$163,$AN115)*其他调用!L116*其他调用!$M116</f>
        <v>1745694.6218578583</v>
      </c>
      <c r="AT115" s="2">
        <f t="shared" si="16"/>
        <v>384783679.15424186</v>
      </c>
      <c r="AY115" s="2">
        <v>112</v>
      </c>
      <c r="AZ115" s="2">
        <f>其他调用!R116*6*(其他调用!AH$2*$AZ$1*MIN(其他调用!$AJ116/其他调用!AH116,1)+$E$4*0%*攻城基础信息!AC116)</f>
        <v>10884.580007343666</v>
      </c>
      <c r="BA115" s="2">
        <f>其他调用!S116*6*(其他调用!AI$2*$AZ$1*MIN(其他调用!$AJ116/其他调用!AI116,1)+$E$4*0%*攻城基础信息!AD116)</f>
        <v>32812.825646447083</v>
      </c>
      <c r="BB115" s="2">
        <f>其他调用!T116*6*(其他调用!AJ$2*$AZ$1*MIN(其他调用!$AJ116/其他调用!AJ116,1)+$E$4*0%*攻城基础信息!AE116)</f>
        <v>98932.503089719787</v>
      </c>
      <c r="BC115" s="2">
        <f>其他调用!U116*6*(其他调用!AK$2*$AZ$1*MIN(其他调用!$AJ116/其他调用!AK116,1)+$E$4*0%*攻城基础信息!AF116)</f>
        <v>43151.037898019917</v>
      </c>
      <c r="BD115" s="2">
        <f>其他调用!V116*6*(其他调用!AL$2*$AZ$1*MIN(其他调用!$AJ116/其他调用!AL116,1)+$E$4*0%*攻城基础信息!AG116)</f>
        <v>12391.671214694365</v>
      </c>
      <c r="BF115" s="2">
        <v>112</v>
      </c>
      <c r="BG115" s="2">
        <f>求节点(节奏总纲!D$4:D$163,AZ$4:AZ$163,$AN115)</f>
        <v>7358.7797965847749</v>
      </c>
      <c r="BH115" s="2">
        <f>求节点(节奏总纲!E$4:E$163,BA$4:BA$163,$AN115)</f>
        <v>22764.926625031538</v>
      </c>
      <c r="BI115" s="2">
        <f>求节点(节奏总纲!F$4:F$163,BB$4:BB$163,$AN115)</f>
        <v>71020.731980521567</v>
      </c>
      <c r="BJ115" s="2">
        <f>求节点(节奏总纲!G$4:G$163,BC$4:BC$163,$AN115)</f>
        <v>34078.37043917711</v>
      </c>
      <c r="BK115" s="2">
        <f>求节点(节奏总纲!H$4:H$163,BD$4:BD$163,$AN115)</f>
        <v>10314.275081133233</v>
      </c>
      <c r="BL115" s="2">
        <f>BG115*其他调用!H116*其他调用!$M116</f>
        <v>352945.84577238199</v>
      </c>
      <c r="BM115" s="2">
        <f>BH115*其他调用!I116*其他调用!$M116</f>
        <v>1076587.84018489</v>
      </c>
      <c r="BN115" s="2">
        <f>BI115*其他调用!J116*其他调用!$M116</f>
        <v>274169.85515221697</v>
      </c>
      <c r="BO115" s="2">
        <f>BJ115*其他调用!K116*其他调用!$M116</f>
        <v>23404.888504145089</v>
      </c>
      <c r="BP115" s="2">
        <f>BK115*其他调用!L116*其他调用!$M116</f>
        <v>2049.6527441227959</v>
      </c>
      <c r="BQ115" s="2">
        <f t="shared" si="15"/>
        <v>1729158.082357757</v>
      </c>
      <c r="BR115" s="2">
        <f>[1]服务器生态!$R114</f>
        <v>2.7337367238562081E-2</v>
      </c>
      <c r="BS115" s="2" t="e">
        <f>SUMPRODUCT((BG$4:BG115)*($BR$4:$BR115)*(其他调用!#REF!))</f>
        <v>#REF!</v>
      </c>
      <c r="BT115" s="2" t="e">
        <f>SUMPRODUCT((BH$4:BH115)*($BR$4:$BR115)*(其他调用!#REF!))</f>
        <v>#REF!</v>
      </c>
      <c r="BU115" s="2" t="e">
        <f>SUMPRODUCT((BI$4:BI115)*($BR$4:$BR115)*(其他调用!#REF!))</f>
        <v>#REF!</v>
      </c>
      <c r="BV115" s="2" t="e">
        <f>SUMPRODUCT((BJ$4:BJ115)*($BR$4:$BR115)*(其他调用!#REF!))</f>
        <v>#REF!</v>
      </c>
      <c r="BW115" s="2" t="e">
        <f>SUMPRODUCT((BK$4:BK115)*($BR$4:$BR115)*(其他调用!#REF!))</f>
        <v>#REF!</v>
      </c>
      <c r="BX115" s="2" t="e">
        <f>SUMPRODUCT((BG$4:BG115)*($BR$4:$BR115))*'[1]功能-战损相关'!$D$2-BS115</f>
        <v>#REF!</v>
      </c>
      <c r="BY115" s="2" t="e">
        <f>SUMPRODUCT((BH$4:BH115)*($BR$4:$BR115))*'[1]功能-战损相关'!$D$2-BT115</f>
        <v>#REF!</v>
      </c>
      <c r="BZ115" s="2" t="e">
        <f>SUMPRODUCT((BI$4:BI115)*($BR$4:$BR115))*'[1]功能-战损相关'!$D$2-BU115</f>
        <v>#REF!</v>
      </c>
      <c r="CA115" s="2" t="e">
        <f>SUMPRODUCT((BJ$4:BJ115)*($BR$4:$BR115))*'[1]功能-战损相关'!$D$2-BV115</f>
        <v>#REF!</v>
      </c>
      <c r="CB115" s="2" t="e">
        <f>SUMPRODUCT((BK$4:BK115)*($BR$4:$BR115))*'[1]功能-战损相关'!$D$2-BW115</f>
        <v>#REF!</v>
      </c>
    </row>
    <row r="116" spans="27:80" x14ac:dyDescent="0.2">
      <c r="AA116" s="2">
        <v>113</v>
      </c>
      <c r="AB116" s="2">
        <f>攻城基础信息!X117*$E$12</f>
        <v>492461.29507159011</v>
      </c>
      <c r="AC116" s="2">
        <f>攻城基础信息!Y117*$E$12</f>
        <v>508982.89282766386</v>
      </c>
      <c r="AD116" s="2">
        <f>攻城基础信息!Z117*$E$12</f>
        <v>524486.12720354449</v>
      </c>
      <c r="AE116" s="2">
        <f>攻城基础信息!AA117*$E$12</f>
        <v>538841.10355715745</v>
      </c>
      <c r="AF116" s="2">
        <f>攻城基础信息!AB117*$E$12</f>
        <v>549834.96928258799</v>
      </c>
      <c r="AH116" s="2">
        <f>$E$4*AB116*攻城基础信息!AC117</f>
        <v>12065301.72925395</v>
      </c>
      <c r="AI116" s="2">
        <f>$E$4*AC116*攻城基础信息!AD117</f>
        <v>12470080.874277756</v>
      </c>
      <c r="AJ116" s="2">
        <f>$E$4*AD116*攻城基础信息!AE117</f>
        <v>12849910.116486831</v>
      </c>
      <c r="AK116" s="2">
        <f>$E$4*AE116*攻城基础信息!AF117</f>
        <v>13201607.037150349</v>
      </c>
      <c r="AL116" s="2">
        <f>$E$4*AF116*攻城基础信息!AG117</f>
        <v>13470956.747423397</v>
      </c>
      <c r="AN116" s="2">
        <v>113</v>
      </c>
      <c r="AO116" s="2">
        <f>求节点(节奏总纲!D$4:D$163,AH$4:AH$163,$AN116)*其他调用!H117*其他调用!$M117</f>
        <v>170304912.25973481</v>
      </c>
      <c r="AP116" s="2">
        <f>求节点(节奏总纲!E$4:E$163,AI$4:AI$163,$AN116)*其他调用!I117*其他调用!$M117</f>
        <v>191426392.49581525</v>
      </c>
      <c r="AQ116" s="2">
        <f>求节点(节奏总纲!F$4:F$163,AJ$4:AJ$163,$AN116)*其他调用!J117*其他调用!$M117</f>
        <v>18205155.267120931</v>
      </c>
      <c r="AR116" s="2">
        <f>求节点(节奏总纲!G$4:G$163,AK$4:AK$163,$AN116)*其他调用!K117*其他调用!$M117</f>
        <v>4562820.9854325876</v>
      </c>
      <c r="AS116" s="2">
        <f>求节点(节奏总纲!H$4:H$163,AL$4:AL$163,$AN116)*其他调用!L117*其他调用!$M117</f>
        <v>1749027.6106785231</v>
      </c>
      <c r="AT116" s="2">
        <f t="shared" si="16"/>
        <v>386248308.61878204</v>
      </c>
      <c r="AY116" s="2">
        <v>113</v>
      </c>
      <c r="AZ116" s="2">
        <f>其他调用!R117*6*(其他调用!AH$2*$AZ$1*MIN(其他调用!$AJ117/其他调用!AH117,1)+$E$4*0%*攻城基础信息!AC117)</f>
        <v>10966.601501749277</v>
      </c>
      <c r="BA116" s="2">
        <f>其他调用!S117*6*(其他调用!AI$2*$AZ$1*MIN(其他调用!$AJ117/其他调用!AI117,1)+$E$4*0%*攻城基础信息!AD117)</f>
        <v>33053.711623142823</v>
      </c>
      <c r="BB116" s="2">
        <f>其他调用!T117*6*(其他调用!AJ$2*$AZ$1*MIN(其他调用!$AJ117/其他调用!AJ117,1)+$E$4*0%*攻城基础信息!AE117)</f>
        <v>99670.99441788673</v>
      </c>
      <c r="BC116" s="2">
        <f>其他调用!U117*6*(其他调用!AK$2*$AZ$1*MIN(其他调用!$AJ117/其他调用!AK117,1)+$E$4*0%*攻城基础信息!AF117)</f>
        <v>43376.886081329263</v>
      </c>
      <c r="BD116" s="2">
        <f>其他调用!V117*6*(其他调用!AL$2*$AZ$1*MIN(其他调用!$AJ117/其他调用!AL117,1)+$E$4*0%*攻城基础信息!AG117)</f>
        <v>12471.395183820125</v>
      </c>
      <c r="BF116" s="2">
        <v>113</v>
      </c>
      <c r="BG116" s="2">
        <f>求节点(节奏总纲!D$4:D$163,AZ$4:AZ$163,$AN116)</f>
        <v>7368.9014838943312</v>
      </c>
      <c r="BH116" s="2">
        <f>求节点(节奏总纲!E$4:E$163,BA$4:BA$163,$AN116)</f>
        <v>22794.833860195358</v>
      </c>
      <c r="BI116" s="2">
        <f>求节点(节奏总纲!F$4:F$163,BB$4:BB$163,$AN116)</f>
        <v>71109.809989031928</v>
      </c>
      <c r="BJ116" s="2">
        <f>求节点(节奏总纲!G$4:G$163,BC$4:BC$163,$AN116)</f>
        <v>34126.387685185691</v>
      </c>
      <c r="BK116" s="2">
        <f>求节点(节奏总纲!H$4:H$163,BD$4:BD$163,$AN116)</f>
        <v>10328.259950616275</v>
      </c>
      <c r="BL116" s="2">
        <f>BG116*其他调用!H117*其他调用!$M117</f>
        <v>353431.30770858144</v>
      </c>
      <c r="BM116" s="2">
        <f>BH116*其他调用!I117*其他调用!$M117</f>
        <v>1078002.1986074431</v>
      </c>
      <c r="BN116" s="2">
        <f>BI116*其他调用!J117*其他调用!$M117</f>
        <v>274513.73367908475</v>
      </c>
      <c r="BO116" s="2">
        <f>BJ116*其他调用!K117*其他调用!$M117</f>
        <v>23437.866556634799</v>
      </c>
      <c r="BP116" s="2">
        <f>BK116*其他调用!L117*其他调用!$M117</f>
        <v>2052.4318173864663</v>
      </c>
      <c r="BQ116" s="2">
        <f t="shared" si="15"/>
        <v>1731437.5383691308</v>
      </c>
      <c r="BR116" s="2">
        <f>[1]服务器生态!$R115</f>
        <v>2.5230680507497109E-2</v>
      </c>
      <c r="BS116" s="2" t="e">
        <f>SUMPRODUCT((BG$4:BG116)*($BR$4:$BR116)*(其他调用!#REF!))</f>
        <v>#REF!</v>
      </c>
      <c r="BT116" s="2" t="e">
        <f>SUMPRODUCT((BH$4:BH116)*($BR$4:$BR116)*(其他调用!#REF!))</f>
        <v>#REF!</v>
      </c>
      <c r="BU116" s="2" t="e">
        <f>SUMPRODUCT((BI$4:BI116)*($BR$4:$BR116)*(其他调用!#REF!))</f>
        <v>#REF!</v>
      </c>
      <c r="BV116" s="2" t="e">
        <f>SUMPRODUCT((BJ$4:BJ116)*($BR$4:$BR116)*(其他调用!#REF!))</f>
        <v>#REF!</v>
      </c>
      <c r="BW116" s="2" t="e">
        <f>SUMPRODUCT((BK$4:BK116)*($BR$4:$BR116)*(其他调用!#REF!))</f>
        <v>#REF!</v>
      </c>
      <c r="BX116" s="2" t="e">
        <f>SUMPRODUCT((BG$4:BG116)*($BR$4:$BR116))*'[1]功能-战损相关'!$D$2-BS116</f>
        <v>#REF!</v>
      </c>
      <c r="BY116" s="2" t="e">
        <f>SUMPRODUCT((BH$4:BH116)*($BR$4:$BR116))*'[1]功能-战损相关'!$D$2-BT116</f>
        <v>#REF!</v>
      </c>
      <c r="BZ116" s="2" t="e">
        <f>SUMPRODUCT((BI$4:BI116)*($BR$4:$BR116))*'[1]功能-战损相关'!$D$2-BU116</f>
        <v>#REF!</v>
      </c>
      <c r="CA116" s="2" t="e">
        <f>SUMPRODUCT((BJ$4:BJ116)*($BR$4:$BR116))*'[1]功能-战损相关'!$D$2-BV116</f>
        <v>#REF!</v>
      </c>
      <c r="CB116" s="2" t="e">
        <f>SUMPRODUCT((BK$4:BK116)*($BR$4:$BR116))*'[1]功能-战损相关'!$D$2-BW116</f>
        <v>#REF!</v>
      </c>
    </row>
    <row r="117" spans="27:80" x14ac:dyDescent="0.2">
      <c r="AA117" s="2">
        <v>114</v>
      </c>
      <c r="AB117" s="2">
        <f>攻城基础信息!X118*$E$12</f>
        <v>499639.64012914454</v>
      </c>
      <c r="AC117" s="2">
        <f>攻城基础信息!Y118*$E$12</f>
        <v>515924.82671498571</v>
      </c>
      <c r="AD117" s="2">
        <f>攻城基础信息!Z118*$E$12</f>
        <v>531759.4462875186</v>
      </c>
      <c r="AE117" s="2">
        <f>攻城基础信息!AA118*$E$12</f>
        <v>545497.5821676635</v>
      </c>
      <c r="AF117" s="2">
        <f>攻城基础信息!AB118*$E$12</f>
        <v>556525.2133593295</v>
      </c>
      <c r="AH117" s="2">
        <f>$E$4*AB117*攻城基础信息!AC118</f>
        <v>12241171.183164034</v>
      </c>
      <c r="AI117" s="2">
        <f>$E$4*AC117*攻城基础信息!AD118</f>
        <v>12640158.254517142</v>
      </c>
      <c r="AJ117" s="2">
        <f>$E$4*AD117*攻城基础信息!AE118</f>
        <v>13028106.434044199</v>
      </c>
      <c r="AK117" s="2">
        <f>$E$4*AE117*攻城基础信息!AF118</f>
        <v>13364690.763107747</v>
      </c>
      <c r="AL117" s="2">
        <f>$E$4*AF117*攻城基础信息!AG118</f>
        <v>13634867.727303565</v>
      </c>
      <c r="AN117" s="2">
        <v>114</v>
      </c>
      <c r="AO117" s="2">
        <f>求节点(节奏总纲!D$4:D$163,AH$4:AH$163,$AN117)*其他调用!H118*其他调用!$M118</f>
        <v>170938417.65604481</v>
      </c>
      <c r="AP117" s="2">
        <f>求节点(节奏总纲!E$4:E$163,AI$4:AI$163,$AN117)*其他调用!I118*其他调用!$M118</f>
        <v>192163633.04762083</v>
      </c>
      <c r="AQ117" s="2">
        <f>求节点(节奏总纲!F$4:F$163,AJ$4:AJ$163,$AN117)*其他调用!J118*其他调用!$M118</f>
        <v>18269876.887016166</v>
      </c>
      <c r="AR117" s="2">
        <f>求节点(节奏总纲!G$4:G$163,AK$4:AK$163,$AN117)*其他调用!K118*其他调用!$M118</f>
        <v>4588649.89314136</v>
      </c>
      <c r="AS117" s="2">
        <f>求节点(节奏总纲!H$4:H$163,AL$4:AL$163,$AN117)*其他调用!L118*其他调用!$M118</f>
        <v>1752360.5994991879</v>
      </c>
      <c r="AT117" s="2">
        <f t="shared" si="16"/>
        <v>387712938.08332235</v>
      </c>
      <c r="AY117" s="2">
        <v>114</v>
      </c>
      <c r="AZ117" s="2">
        <f>其他调用!R118*6*(其他调用!AH$2*$AZ$1*MIN(其他调用!$AJ118/其他调用!AH118,1)+$E$4*0%*攻城基础信息!AC118)</f>
        <v>11046.151817038921</v>
      </c>
      <c r="BA117" s="2">
        <f>其他调用!S118*6*(其他调用!AI$2*$AZ$1*MIN(其他调用!$AJ118/其他调用!AI118,1)+$E$4*0%*攻城基础信息!AD118)</f>
        <v>33298.155367769607</v>
      </c>
      <c r="BB117" s="2">
        <f>其他调用!T118*6*(其他调用!AJ$2*$AZ$1*MIN(其他调用!$AJ118/其他调用!AJ118,1)+$E$4*0%*攻城基础信息!AE118)</f>
        <v>100378.56579019687</v>
      </c>
      <c r="BC117" s="2">
        <f>其他调用!U118*6*(其他调用!AK$2*$AZ$1*MIN(其他调用!$AJ118/其他调用!AK118,1)+$E$4*0%*攻城基础信息!AF118)</f>
        <v>43600.070421697223</v>
      </c>
      <c r="BD117" s="2">
        <f>其他调用!V118*6*(其他调用!AL$2*$AZ$1*MIN(其他调用!$AJ118/其他调用!AL118,1)+$E$4*0%*攻城基础信息!AG118)</f>
        <v>12550.545263033146</v>
      </c>
      <c r="BF117" s="2">
        <v>114</v>
      </c>
      <c r="BG117" s="2">
        <f>求节点(节奏总纲!D$4:D$163,AZ$4:AZ$163,$AN117)</f>
        <v>7379.0231712038876</v>
      </c>
      <c r="BH117" s="2">
        <f>求节点(节奏总纲!E$4:E$163,BA$4:BA$163,$AN117)</f>
        <v>22824.741095359179</v>
      </c>
      <c r="BI117" s="2">
        <f>求节点(节奏总纲!F$4:F$163,BB$4:BB$163,$AN117)</f>
        <v>71198.887997542304</v>
      </c>
      <c r="BJ117" s="2">
        <f>求节点(节奏总纲!G$4:G$163,BC$4:BC$163,$AN117)</f>
        <v>34174.40493119428</v>
      </c>
      <c r="BK117" s="2">
        <f>求节点(节奏总纲!H$4:H$163,BD$4:BD$163,$AN117)</f>
        <v>10342.244820099317</v>
      </c>
      <c r="BL117" s="2">
        <f>BG117*其他调用!H118*其他调用!$M118</f>
        <v>353916.76964478078</v>
      </c>
      <c r="BM117" s="2">
        <f>BH117*其他调用!I118*其他调用!$M118</f>
        <v>1079416.5570299963</v>
      </c>
      <c r="BN117" s="2">
        <f>BI117*其他调用!J118*其他调用!$M118</f>
        <v>274857.61220595264</v>
      </c>
      <c r="BO117" s="2">
        <f>BJ117*其他调用!K118*其他调用!$M118</f>
        <v>23470.844609124513</v>
      </c>
      <c r="BP117" s="2">
        <f>BK117*其他调用!L118*其他调用!$M118</f>
        <v>2055.2108906501362</v>
      </c>
      <c r="BQ117" s="2">
        <f t="shared" si="15"/>
        <v>1733716.9943805044</v>
      </c>
      <c r="BR117" s="2">
        <f>[1]服务器生态!$R116</f>
        <v>2.4629950019223367E-2</v>
      </c>
      <c r="BS117" s="2" t="e">
        <f>SUMPRODUCT((BG$4:BG117)*($BR$4:$BR117)*(其他调用!#REF!))</f>
        <v>#REF!</v>
      </c>
      <c r="BT117" s="2" t="e">
        <f>SUMPRODUCT((BH$4:BH117)*($BR$4:$BR117)*(其他调用!#REF!))</f>
        <v>#REF!</v>
      </c>
      <c r="BU117" s="2" t="e">
        <f>SUMPRODUCT((BI$4:BI117)*($BR$4:$BR117)*(其他调用!#REF!))</f>
        <v>#REF!</v>
      </c>
      <c r="BV117" s="2" t="e">
        <f>SUMPRODUCT((BJ$4:BJ117)*($BR$4:$BR117)*(其他调用!#REF!))</f>
        <v>#REF!</v>
      </c>
      <c r="BW117" s="2" t="e">
        <f>SUMPRODUCT((BK$4:BK117)*($BR$4:$BR117)*(其他调用!#REF!))</f>
        <v>#REF!</v>
      </c>
      <c r="BX117" s="2" t="e">
        <f>SUMPRODUCT((BG$4:BG117)*($BR$4:$BR117))*'[1]功能-战损相关'!$D$2-BS117</f>
        <v>#REF!</v>
      </c>
      <c r="BY117" s="2" t="e">
        <f>SUMPRODUCT((BH$4:BH117)*($BR$4:$BR117))*'[1]功能-战损相关'!$D$2-BT117</f>
        <v>#REF!</v>
      </c>
      <c r="BZ117" s="2" t="e">
        <f>SUMPRODUCT((BI$4:BI117)*($BR$4:$BR117))*'[1]功能-战损相关'!$D$2-BU117</f>
        <v>#REF!</v>
      </c>
      <c r="CA117" s="2" t="e">
        <f>SUMPRODUCT((BJ$4:BJ117)*($BR$4:$BR117))*'[1]功能-战损相关'!$D$2-BV117</f>
        <v>#REF!</v>
      </c>
      <c r="CB117" s="2" t="e">
        <f>SUMPRODUCT((BK$4:BK117)*($BR$4:$BR117))*'[1]功能-战损相关'!$D$2-BW117</f>
        <v>#REF!</v>
      </c>
    </row>
    <row r="118" spans="27:80" x14ac:dyDescent="0.2">
      <c r="AA118" s="2">
        <v>115</v>
      </c>
      <c r="AB118" s="2">
        <f>攻城基础信息!X119*$E$12</f>
        <v>506838.51269988192</v>
      </c>
      <c r="AC118" s="2">
        <f>攻城基础信息!Y119*$E$12</f>
        <v>522878.21813995799</v>
      </c>
      <c r="AD118" s="2">
        <f>攻城基础信息!Z119*$E$12</f>
        <v>539050.002693797</v>
      </c>
      <c r="AE118" s="2">
        <f>攻城基础信息!AA119*$E$12</f>
        <v>552154.06077816954</v>
      </c>
      <c r="AF118" s="2">
        <f>攻城基础信息!AB119*$E$12</f>
        <v>563215.45743607124</v>
      </c>
      <c r="AH118" s="2">
        <f>$E$4*AB118*攻城基础信息!AC119</f>
        <v>12417543.561147099</v>
      </c>
      <c r="AI118" s="2">
        <f>$E$4*AC118*攻城基础信息!AD119</f>
        <v>12810516.344428962</v>
      </c>
      <c r="AJ118" s="2">
        <f>$E$4*AD118*攻城基础信息!AE119</f>
        <v>13206725.065998018</v>
      </c>
      <c r="AK118" s="2">
        <f>$E$4*AE118*攻城基础信息!AF119</f>
        <v>13527774.489065146</v>
      </c>
      <c r="AL118" s="2">
        <f>$E$4*AF118*攻城基础信息!AG119</f>
        <v>13798778.707183737</v>
      </c>
      <c r="AN118" s="2">
        <v>115</v>
      </c>
      <c r="AO118" s="2">
        <f>求节点(节奏总纲!D$4:D$163,AH$4:AH$163,$AN118)*其他调用!H119*其他调用!$M119</f>
        <v>171571923.05235478</v>
      </c>
      <c r="AP118" s="2">
        <f>求节点(节奏总纲!E$4:E$163,AI$4:AI$163,$AN118)*其他调用!I119*其他调用!$M119</f>
        <v>192900873.59942642</v>
      </c>
      <c r="AQ118" s="2">
        <f>求节点(节奏总纲!F$4:F$163,AJ$4:AJ$163,$AN118)*其他调用!J119*其他调用!$M119</f>
        <v>18334598.506911412</v>
      </c>
      <c r="AR118" s="2">
        <f>求节点(节奏总纲!G$4:G$163,AK$4:AK$163,$AN118)*其他调用!K119*其他调用!$M119</f>
        <v>4614478.8008501334</v>
      </c>
      <c r="AS118" s="2">
        <f>求节点(节奏总纲!H$4:H$163,AL$4:AL$163,$AN118)*其他调用!L119*其他调用!$M119</f>
        <v>1755693.5883198527</v>
      </c>
      <c r="AT118" s="2">
        <f t="shared" si="16"/>
        <v>389177567.54786259</v>
      </c>
      <c r="AY118" s="2">
        <v>115</v>
      </c>
      <c r="AZ118" s="2">
        <f>其他调用!R119*6*(其他调用!AH$2*$AZ$1*MIN(其他调用!$AJ119/其他调用!AH119,1)+$E$4*0%*攻城基础信息!AC119)</f>
        <v>11127.736043655779</v>
      </c>
      <c r="BA118" s="2">
        <f>其他调用!S119*6*(其他调用!AI$2*$AZ$1*MIN(其他调用!$AJ119/其他调用!AI119,1)+$E$4*0%*攻城基础信息!AD119)</f>
        <v>33532.683395480519</v>
      </c>
      <c r="BB118" s="2">
        <f>其他调用!T119*6*(其他调用!AJ$2*$AZ$1*MIN(其他调用!$AJ119/其他调用!AJ119,1)+$E$4*0%*攻城基础信息!AE119)</f>
        <v>101070.14261481172</v>
      </c>
      <c r="BC118" s="2">
        <f>其他调用!U119*6*(其他调用!AK$2*$AZ$1*MIN(其他调用!$AJ119/其他调用!AK119,1)+$E$4*0%*攻城基础信息!AF119)</f>
        <v>43823.200433682767</v>
      </c>
      <c r="BD118" s="2">
        <f>其他调用!V119*6*(其他调用!AL$2*$AZ$1*MIN(其他调用!$AJ119/其他调用!AL119,1)+$E$4*0%*攻城基础信息!AG119)</f>
        <v>12628.878597362618</v>
      </c>
      <c r="BF118" s="2">
        <v>115</v>
      </c>
      <c r="BG118" s="2">
        <f>求节点(节奏总纲!D$4:D$163,AZ$4:AZ$163,$AN118)</f>
        <v>7389.1448585134431</v>
      </c>
      <c r="BH118" s="2">
        <f>求节点(节奏总纲!E$4:E$163,BA$4:BA$163,$AN118)</f>
        <v>22854.648330522999</v>
      </c>
      <c r="BI118" s="2">
        <f>求节点(节奏总纲!F$4:F$163,BB$4:BB$163,$AN118)</f>
        <v>71287.966006052666</v>
      </c>
      <c r="BJ118" s="2">
        <f>求节点(节奏总纲!G$4:G$163,BC$4:BC$163,$AN118)</f>
        <v>34222.422177202861</v>
      </c>
      <c r="BK118" s="2">
        <f>求节点(节奏总纲!H$4:H$163,BD$4:BD$163,$AN118)</f>
        <v>10356.229689582358</v>
      </c>
      <c r="BL118" s="2">
        <f>BG118*其他调用!H119*其他调用!$M119</f>
        <v>354402.23158098012</v>
      </c>
      <c r="BM118" s="2">
        <f>BH118*其他调用!I119*其他调用!$M119</f>
        <v>1080830.9154525495</v>
      </c>
      <c r="BN118" s="2">
        <f>BI118*其他调用!J119*其他调用!$M119</f>
        <v>275201.49073282041</v>
      </c>
      <c r="BO118" s="2">
        <f>BJ118*其他调用!K119*其他调用!$M119</f>
        <v>23503.822661614224</v>
      </c>
      <c r="BP118" s="2">
        <f>BK118*其他调用!L119*其他调用!$M119</f>
        <v>2057.9899639138057</v>
      </c>
      <c r="BQ118" s="2">
        <f t="shared" si="15"/>
        <v>1735996.4503918781</v>
      </c>
      <c r="BR118" s="2">
        <f>[1]服务器生态!$R117</f>
        <v>2.4029219530949629E-2</v>
      </c>
      <c r="BS118" s="2" t="e">
        <f>SUMPRODUCT((BG$4:BG118)*($BR$4:$BR118)*(其他调用!#REF!))</f>
        <v>#REF!</v>
      </c>
      <c r="BT118" s="2" t="e">
        <f>SUMPRODUCT((BH$4:BH118)*($BR$4:$BR118)*(其他调用!#REF!))</f>
        <v>#REF!</v>
      </c>
      <c r="BU118" s="2" t="e">
        <f>SUMPRODUCT((BI$4:BI118)*($BR$4:$BR118)*(其他调用!#REF!))</f>
        <v>#REF!</v>
      </c>
      <c r="BV118" s="2" t="e">
        <f>SUMPRODUCT((BJ$4:BJ118)*($BR$4:$BR118)*(其他调用!#REF!))</f>
        <v>#REF!</v>
      </c>
      <c r="BW118" s="2" t="e">
        <f>SUMPRODUCT((BK$4:BK118)*($BR$4:$BR118)*(其他调用!#REF!))</f>
        <v>#REF!</v>
      </c>
      <c r="BX118" s="2" t="e">
        <f>SUMPRODUCT((BG$4:BG118)*($BR$4:$BR118))*'[1]功能-战损相关'!$D$2-BS118</f>
        <v>#REF!</v>
      </c>
      <c r="BY118" s="2" t="e">
        <f>SUMPRODUCT((BH$4:BH118)*($BR$4:$BR118))*'[1]功能-战损相关'!$D$2-BT118</f>
        <v>#REF!</v>
      </c>
      <c r="BZ118" s="2" t="e">
        <f>SUMPRODUCT((BI$4:BI118)*($BR$4:$BR118))*'[1]功能-战损相关'!$D$2-BU118</f>
        <v>#REF!</v>
      </c>
      <c r="CA118" s="2" t="e">
        <f>SUMPRODUCT((BJ$4:BJ118)*($BR$4:$BR118))*'[1]功能-战损相关'!$D$2-BV118</f>
        <v>#REF!</v>
      </c>
      <c r="CB118" s="2" t="e">
        <f>SUMPRODUCT((BK$4:BK118)*($BR$4:$BR118))*'[1]功能-战损相关'!$D$2-BW118</f>
        <v>#REF!</v>
      </c>
    </row>
    <row r="119" spans="27:80" x14ac:dyDescent="0.2">
      <c r="AA119" s="2">
        <v>116</v>
      </c>
      <c r="AB119" s="2">
        <f>攻城基础信息!X120*$E$12</f>
        <v>514057.91278380202</v>
      </c>
      <c r="AC119" s="2">
        <f>攻城基础信息!Y120*$E$12</f>
        <v>529843.06710258068</v>
      </c>
      <c r="AD119" s="2">
        <f>攻城基础信息!Z120*$E$12</f>
        <v>546357.79642237944</v>
      </c>
      <c r="AE119" s="2">
        <f>攻城基础信息!AA120*$E$12</f>
        <v>558810.53938867559</v>
      </c>
      <c r="AF119" s="2">
        <f>攻城基础信息!AB120*$E$12</f>
        <v>569905.7015128131</v>
      </c>
      <c r="AH119" s="2">
        <f>$E$4*AB119*攻城基础信息!AC120</f>
        <v>12594418.863203142</v>
      </c>
      <c r="AI119" s="2">
        <f>$E$4*AC119*攻城基础信息!AD120</f>
        <v>12981155.144013219</v>
      </c>
      <c r="AJ119" s="2">
        <f>$E$4*AD119*攻城基础信息!AE120</f>
        <v>13385766.012348287</v>
      </c>
      <c r="AK119" s="2">
        <f>$E$4*AE119*攻城基础信息!AF120</f>
        <v>13690858.215022543</v>
      </c>
      <c r="AL119" s="2">
        <f>$E$4*AF119*攻城基础信息!AG120</f>
        <v>13962689.687063912</v>
      </c>
      <c r="AN119" s="2">
        <v>116</v>
      </c>
      <c r="AO119" s="2">
        <f>求节点(节奏总纲!D$4:D$163,AH$4:AH$163,$AN119)*其他调用!H120*其他调用!$M120</f>
        <v>172205428.44866478</v>
      </c>
      <c r="AP119" s="2">
        <f>求节点(节奏总纲!E$4:E$163,AI$4:AI$163,$AN119)*其他调用!I120*其他调用!$M120</f>
        <v>193638114.15123203</v>
      </c>
      <c r="AQ119" s="2">
        <f>求节点(节奏总纲!F$4:F$163,AJ$4:AJ$163,$AN119)*其他调用!J120*其他调用!$M120</f>
        <v>18399320.12680665</v>
      </c>
      <c r="AR119" s="2">
        <f>求节点(节奏总纲!G$4:G$163,AK$4:AK$163,$AN119)*其他调用!K120*其他调用!$M120</f>
        <v>4641454.2922114385</v>
      </c>
      <c r="AS119" s="2">
        <f>求节点(节奏总纲!H$4:H$163,AL$4:AL$163,$AN119)*其他调用!L120*其他调用!$M120</f>
        <v>1761065.0182859255</v>
      </c>
      <c r="AT119" s="2">
        <f t="shared" si="16"/>
        <v>390645382.03720081</v>
      </c>
      <c r="AY119" s="2">
        <v>116</v>
      </c>
      <c r="AZ119" s="2">
        <f>其他调用!R120*6*(其他调用!AH$2*$AZ$1*MIN(其他调用!$AJ120/其他调用!AH120,1)+$E$4*0%*攻城基础信息!AC120)</f>
        <v>11207.817263256053</v>
      </c>
      <c r="BA119" s="2">
        <f>其他调用!S120*6*(其他调用!AI$2*$AZ$1*MIN(其他调用!$AJ120/其他调用!AI120,1)+$E$4*0%*攻城基础信息!AD120)</f>
        <v>33771.815185791886</v>
      </c>
      <c r="BB119" s="2">
        <f>其他调用!T120*6*(其他调用!AJ$2*$AZ$1*MIN(其他调用!$AJ120/其他调用!AJ120,1)+$E$4*0%*攻城基础信息!AE120)</f>
        <v>101794.62751307595</v>
      </c>
      <c r="BC119" s="2">
        <f>其他调用!U120*6*(其他调用!AK$2*$AZ$1*MIN(其他调用!$AJ120/其他调用!AK120,1)+$E$4*0%*攻城基础信息!AF120)</f>
        <v>44029.854725114201</v>
      </c>
      <c r="BD119" s="2">
        <f>其他调用!V120*6*(其他调用!AL$2*$AZ$1*MIN(其他调用!$AJ120/其他调用!AL120,1)+$E$4*0%*攻城基础信息!AG120)</f>
        <v>12714.172350714503</v>
      </c>
      <c r="BF119" s="2">
        <v>116</v>
      </c>
      <c r="BG119" s="2">
        <f>求节点(节奏总纲!D$4:D$163,AZ$4:AZ$163,$AN119)</f>
        <v>7399.2665458229994</v>
      </c>
      <c r="BH119" s="2">
        <f>求节点(节奏总纲!E$4:E$163,BA$4:BA$163,$AN119)</f>
        <v>22884.55556568682</v>
      </c>
      <c r="BI119" s="2">
        <f>求节点(节奏总纲!F$4:F$163,BB$4:BB$163,$AN119)</f>
        <v>71377.044014563042</v>
      </c>
      <c r="BJ119" s="2">
        <f>求节点(节奏总纲!G$4:G$163,BC$4:BC$163,$AN119)</f>
        <v>34268.887536505405</v>
      </c>
      <c r="BK119" s="2">
        <f>求节点(节奏总纲!H$4:H$163,BD$4:BD$163,$AN119)</f>
        <v>10369.873371631636</v>
      </c>
      <c r="BL119" s="2">
        <f>BG119*其他调用!H120*其他调用!$M120</f>
        <v>354887.69351717952</v>
      </c>
      <c r="BM119" s="2">
        <f>BH119*其他调用!I120*其他调用!$M120</f>
        <v>1082245.2738751029</v>
      </c>
      <c r="BN119" s="2">
        <f>BI119*其他调用!J120*其他调用!$M120</f>
        <v>275545.36925968825</v>
      </c>
      <c r="BO119" s="2">
        <f>BJ119*其他调用!K120*其他调用!$M120</f>
        <v>23535.734884521771</v>
      </c>
      <c r="BP119" s="2">
        <f>BK119*其他调用!L120*其他调用!$M120</f>
        <v>2060.7012364106386</v>
      </c>
      <c r="BQ119" s="2">
        <f t="shared" si="15"/>
        <v>1738274.7727729029</v>
      </c>
      <c r="BR119" s="2">
        <f>[1]服务器生态!$R118</f>
        <v>2.3428489042675887E-2</v>
      </c>
      <c r="BS119" s="2" t="e">
        <f>SUMPRODUCT((BG$4:BG119)*($BR$4:$BR119)*(其他调用!#REF!))</f>
        <v>#REF!</v>
      </c>
      <c r="BT119" s="2" t="e">
        <f>SUMPRODUCT((BH$4:BH119)*($BR$4:$BR119)*(其他调用!#REF!))</f>
        <v>#REF!</v>
      </c>
      <c r="BU119" s="2" t="e">
        <f>SUMPRODUCT((BI$4:BI119)*($BR$4:$BR119)*(其他调用!#REF!))</f>
        <v>#REF!</v>
      </c>
      <c r="BV119" s="2" t="e">
        <f>SUMPRODUCT((BJ$4:BJ119)*($BR$4:$BR119)*(其他调用!#REF!))</f>
        <v>#REF!</v>
      </c>
      <c r="BW119" s="2" t="e">
        <f>SUMPRODUCT((BK$4:BK119)*($BR$4:$BR119)*(其他调用!#REF!))</f>
        <v>#REF!</v>
      </c>
      <c r="BX119" s="2" t="e">
        <f>SUMPRODUCT((BG$4:BG119)*($BR$4:$BR119))*'[1]功能-战损相关'!$D$2-BS119</f>
        <v>#REF!</v>
      </c>
      <c r="BY119" s="2" t="e">
        <f>SUMPRODUCT((BH$4:BH119)*($BR$4:$BR119))*'[1]功能-战损相关'!$D$2-BT119</f>
        <v>#REF!</v>
      </c>
      <c r="BZ119" s="2" t="e">
        <f>SUMPRODUCT((BI$4:BI119)*($BR$4:$BR119))*'[1]功能-战损相关'!$D$2-BU119</f>
        <v>#REF!</v>
      </c>
      <c r="CA119" s="2" t="e">
        <f>SUMPRODUCT((BJ$4:BJ119)*($BR$4:$BR119))*'[1]功能-战损相关'!$D$2-BV119</f>
        <v>#REF!</v>
      </c>
      <c r="CB119" s="2" t="e">
        <f>SUMPRODUCT((BK$4:BK119)*($BR$4:$BR119))*'[1]功能-战损相关'!$D$2-BW119</f>
        <v>#REF!</v>
      </c>
    </row>
    <row r="120" spans="27:80" x14ac:dyDescent="0.2">
      <c r="AA120" s="2">
        <v>117</v>
      </c>
      <c r="AB120" s="2">
        <f>攻城基础信息!X121*$E$12</f>
        <v>521297.84038090502</v>
      </c>
      <c r="AC120" s="2">
        <f>攻城基础信息!Y121*$E$12</f>
        <v>536819.37360285362</v>
      </c>
      <c r="AD120" s="2">
        <f>攻城基础信息!Z121*$E$12</f>
        <v>553682.82747326617</v>
      </c>
      <c r="AE120" s="2">
        <f>攻城基础信息!AA121*$E$12</f>
        <v>565467.01799918164</v>
      </c>
      <c r="AF120" s="2">
        <f>攻城基础信息!AB121*$E$12</f>
        <v>576595.94558955485</v>
      </c>
      <c r="AH120" s="2">
        <f>$E$4*AB120*攻城基础信息!AC121</f>
        <v>12771797.089332165</v>
      </c>
      <c r="AI120" s="2">
        <f>$E$4*AC120*攻城基础信息!AD121</f>
        <v>13152074.653269906</v>
      </c>
      <c r="AJ120" s="2">
        <f>$E$4*AD120*攻城基础信息!AE121</f>
        <v>13565229.273095014</v>
      </c>
      <c r="AK120" s="2">
        <f>$E$4*AE120*攻城基础信息!AF121</f>
        <v>13853941.940979943</v>
      </c>
      <c r="AL120" s="2">
        <f>$E$4*AF120*攻城基础信息!AG121</f>
        <v>14126600.666944085</v>
      </c>
      <c r="AN120" s="2">
        <v>117</v>
      </c>
      <c r="AO120" s="2">
        <f>求节点(节奏总纲!D$4:D$163,AH$4:AH$163,$AN120)*其他调用!H121*其他调用!$M121</f>
        <v>172838933.84497476</v>
      </c>
      <c r="AP120" s="2">
        <f>求节点(节奏总纲!E$4:E$163,AI$4:AI$163,$AN120)*其他调用!I121*其他调用!$M121</f>
        <v>194375354.70303762</v>
      </c>
      <c r="AQ120" s="2">
        <f>求节点(节奏总纲!F$4:F$163,AJ$4:AJ$163,$AN120)*其他调用!J121*其他调用!$M121</f>
        <v>18464041.746701889</v>
      </c>
      <c r="AR120" s="2">
        <f>求节点(节奏总纲!G$4:G$163,AK$4:AK$163,$AN120)*其他调用!K121*其他调用!$M121</f>
        <v>4668661.331999951</v>
      </c>
      <c r="AS120" s="2">
        <f>求节点(节奏总纲!H$4:H$163,AL$4:AL$163,$AN120)*其他调用!L121*其他调用!$M121</f>
        <v>1772539.7321837631</v>
      </c>
      <c r="AT120" s="2">
        <f t="shared" si="16"/>
        <v>392119531.35889798</v>
      </c>
      <c r="AY120" s="2">
        <v>117</v>
      </c>
      <c r="AZ120" s="2">
        <f>其他调用!R121*6*(其他调用!AH$2*$AZ$1*MIN(其他调用!$AJ121/其他调用!AH121,1)+$E$4*0%*攻城基础信息!AC121)</f>
        <v>11288.970777061644</v>
      </c>
      <c r="BA120" s="2">
        <f>其他调用!S121*6*(其他调用!AI$2*$AZ$1*MIN(其他调用!$AJ121/其他调用!AI121,1)+$E$4*0%*攻城基础信息!AD121)</f>
        <v>34015.88930312985</v>
      </c>
      <c r="BB120" s="2">
        <f>其他调用!T121*6*(其他调用!AJ$2*$AZ$1*MIN(其他调用!$AJ121/其他调用!AJ121,1)+$E$4*0%*攻城基础信息!AE121)</f>
        <v>102521.80579405166</v>
      </c>
      <c r="BC120" s="2">
        <f>其他调用!U121*6*(其他调用!AK$2*$AZ$1*MIN(其他调用!$AJ121/其他调用!AK121,1)+$E$4*0%*攻城基础信息!AF121)</f>
        <v>44238.814693810629</v>
      </c>
      <c r="BD120" s="2">
        <f>其他调用!V121*6*(其他调用!AL$2*$AZ$1*MIN(其他调用!$AJ121/其他调用!AL121,1)+$E$4*0%*攻城基础信息!AG121)</f>
        <v>12804.647449509181</v>
      </c>
      <c r="BF120" s="2">
        <v>117</v>
      </c>
      <c r="BG120" s="2">
        <f>求节点(节奏总纲!D$4:D$163,AZ$4:AZ$163,$AN120)</f>
        <v>7409.3882331325558</v>
      </c>
      <c r="BH120" s="2">
        <f>求节点(节奏总纲!E$4:E$163,BA$4:BA$163,$AN120)</f>
        <v>22914.462800850641</v>
      </c>
      <c r="BI120" s="2">
        <f>求节点(节奏总纲!F$4:F$163,BB$4:BB$163,$AN120)</f>
        <v>71466.122023073403</v>
      </c>
      <c r="BJ120" s="2">
        <f>求节点(节奏总纲!G$4:G$163,BC$4:BC$163,$AN120)</f>
        <v>34315.039497893027</v>
      </c>
      <c r="BK120" s="2">
        <f>求节点(节奏总纲!H$4:H$163,BD$4:BD$163,$AN120)</f>
        <v>10382.49550651145</v>
      </c>
      <c r="BL120" s="2">
        <f>BG120*其他调用!H121*其他调用!$M121</f>
        <v>355373.15545337886</v>
      </c>
      <c r="BM120" s="2">
        <f>BH120*其他调用!I121*其他调用!$M121</f>
        <v>1083659.6322976558</v>
      </c>
      <c r="BN120" s="2">
        <f>BI120*其他调用!J121*其他调用!$M121</f>
        <v>275889.24778655608</v>
      </c>
      <c r="BO120" s="2">
        <f>BJ120*其他调用!K121*其他调用!$M121</f>
        <v>23567.431866994946</v>
      </c>
      <c r="BP120" s="2">
        <f>BK120*其他调用!L121*其他调用!$M121</f>
        <v>2063.2095070539549</v>
      </c>
      <c r="BQ120" s="2">
        <f t="shared" si="15"/>
        <v>1740552.6769116397</v>
      </c>
      <c r="BR120" s="2">
        <f>[1]服务器生态!$R119</f>
        <v>2.2827758554402146E-2</v>
      </c>
      <c r="BS120" s="2" t="e">
        <f>SUMPRODUCT((BG$4:BG120)*($BR$4:$BR120)*(其他调用!#REF!))</f>
        <v>#REF!</v>
      </c>
      <c r="BT120" s="2" t="e">
        <f>SUMPRODUCT((BH$4:BH120)*($BR$4:$BR120)*(其他调用!#REF!))</f>
        <v>#REF!</v>
      </c>
      <c r="BU120" s="2" t="e">
        <f>SUMPRODUCT((BI$4:BI120)*($BR$4:$BR120)*(其他调用!#REF!))</f>
        <v>#REF!</v>
      </c>
      <c r="BV120" s="2" t="e">
        <f>SUMPRODUCT((BJ$4:BJ120)*($BR$4:$BR120)*(其他调用!#REF!))</f>
        <v>#REF!</v>
      </c>
      <c r="BW120" s="2" t="e">
        <f>SUMPRODUCT((BK$4:BK120)*($BR$4:$BR120)*(其他调用!#REF!))</f>
        <v>#REF!</v>
      </c>
      <c r="BX120" s="2" t="e">
        <f>SUMPRODUCT((BG$4:BG120)*($BR$4:$BR120))*'[1]功能-战损相关'!$D$2-BS120</f>
        <v>#REF!</v>
      </c>
      <c r="BY120" s="2" t="e">
        <f>SUMPRODUCT((BH$4:BH120)*($BR$4:$BR120))*'[1]功能-战损相关'!$D$2-BT120</f>
        <v>#REF!</v>
      </c>
      <c r="BZ120" s="2" t="e">
        <f>SUMPRODUCT((BI$4:BI120)*($BR$4:$BR120))*'[1]功能-战损相关'!$D$2-BU120</f>
        <v>#REF!</v>
      </c>
      <c r="CA120" s="2" t="e">
        <f>SUMPRODUCT((BJ$4:BJ120)*($BR$4:$BR120))*'[1]功能-战损相关'!$D$2-BV120</f>
        <v>#REF!</v>
      </c>
      <c r="CB120" s="2" t="e">
        <f>SUMPRODUCT((BK$4:BK120)*($BR$4:$BR120))*'[1]功能-战损相关'!$D$2-BW120</f>
        <v>#REF!</v>
      </c>
    </row>
    <row r="121" spans="27:80" x14ac:dyDescent="0.2">
      <c r="AA121" s="2">
        <v>118</v>
      </c>
      <c r="AB121" s="2">
        <f>攻城基础信息!X122*$E$12</f>
        <v>528558.29549119098</v>
      </c>
      <c r="AC121" s="2">
        <f>攻城基础信息!Y122*$E$12</f>
        <v>543807.13764077681</v>
      </c>
      <c r="AD121" s="2">
        <f>攻城基础信息!Z122*$E$12</f>
        <v>561025.09584645682</v>
      </c>
      <c r="AE121" s="2">
        <f>攻城基础信息!AA122*$E$12</f>
        <v>572123.49660968781</v>
      </c>
      <c r="AF121" s="2">
        <f>攻城基础信息!AB122*$E$12</f>
        <v>583286.18966629659</v>
      </c>
      <c r="AH121" s="2">
        <f>$E$4*AB121*攻城基础信息!AC122</f>
        <v>12949678.239534169</v>
      </c>
      <c r="AI121" s="2">
        <f>$E$4*AC121*攻城基础信息!AD122</f>
        <v>13323274.872199023</v>
      </c>
      <c r="AJ121" s="2">
        <f>$E$4*AD121*攻城基础信息!AE122</f>
        <v>13745114.848238183</v>
      </c>
      <c r="AK121" s="2">
        <f>$E$4*AE121*攻城基础信息!AF122</f>
        <v>14017025.666937342</v>
      </c>
      <c r="AL121" s="2">
        <f>$E$4*AF121*攻城基础信息!AG122</f>
        <v>14290511.646824257</v>
      </c>
      <c r="AN121" s="2">
        <v>118</v>
      </c>
      <c r="AO121" s="2">
        <f>求节点(节奏总纲!D$4:D$163,AH$4:AH$163,$AN121)*其他调用!H122*其他调用!$M122</f>
        <v>173472439.24128473</v>
      </c>
      <c r="AP121" s="2">
        <f>求节点(节奏总纲!E$4:E$163,AI$4:AI$163,$AN121)*其他调用!I122*其他调用!$M122</f>
        <v>195112595.25484321</v>
      </c>
      <c r="AQ121" s="2">
        <f>求节点(节奏总纲!F$4:F$163,AJ$4:AJ$163,$AN121)*其他调用!J122*其他调用!$M122</f>
        <v>18528763.366597131</v>
      </c>
      <c r="AR121" s="2">
        <f>求节点(节奏总纲!G$4:G$163,AK$4:AK$163,$AN121)*其他调用!K122*其他调用!$M122</f>
        <v>4695868.3717884636</v>
      </c>
      <c r="AS121" s="2">
        <f>求节点(节奏总纲!H$4:H$163,AL$4:AL$163,$AN121)*其他调用!L122*其他调用!$M122</f>
        <v>1784014.4460816006</v>
      </c>
      <c r="AT121" s="2">
        <f t="shared" si="16"/>
        <v>393593680.6805951</v>
      </c>
      <c r="AY121" s="2">
        <v>118</v>
      </c>
      <c r="AZ121" s="2">
        <f>其他调用!R122*6*(其他调用!AH$2*$AZ$1*MIN(其他调用!$AJ122/其他调用!AH122,1)+$E$4*0%*攻城基础信息!AC122)</f>
        <v>11369.574605579175</v>
      </c>
      <c r="BA121" s="2">
        <f>其他调用!S122*6*(其他调用!AI$2*$AZ$1*MIN(其他调用!$AJ122/其他调用!AI122,1)+$E$4*0%*攻城基础信息!AD122)</f>
        <v>34257.177166982612</v>
      </c>
      <c r="BB121" s="2">
        <f>其他调用!T122*6*(其他调用!AJ$2*$AZ$1*MIN(其他调用!$AJ122/其他调用!AJ122,1)+$E$4*0%*攻城基础信息!AE122)</f>
        <v>103262.26480676369</v>
      </c>
      <c r="BC121" s="2">
        <f>其他调用!U122*6*(其他调用!AK$2*$AZ$1*MIN(其他调用!$AJ122/其他调用!AK122,1)+$E$4*0%*攻城基础信息!AF122)</f>
        <v>44445.37153059851</v>
      </c>
      <c r="BD121" s="2">
        <f>其他调用!V122*6*(其他调用!AL$2*$AZ$1*MIN(其他调用!$AJ122/其他调用!AL122,1)+$E$4*0%*攻城基础信息!AG122)</f>
        <v>12896.296243784735</v>
      </c>
      <c r="BF121" s="2">
        <v>118</v>
      </c>
      <c r="BG121" s="2">
        <f>求节点(节奏总纲!D$4:D$163,AZ$4:AZ$163,$AN121)</f>
        <v>7419.5099204421113</v>
      </c>
      <c r="BH121" s="2">
        <f>求节点(节奏总纲!E$4:E$163,BA$4:BA$163,$AN121)</f>
        <v>22944.370036014461</v>
      </c>
      <c r="BI121" s="2">
        <f>求节点(节奏总纲!F$4:F$163,BB$4:BB$163,$AN121)</f>
        <v>71555.200031583779</v>
      </c>
      <c r="BJ121" s="2">
        <f>求节点(节奏总纲!G$4:G$163,BC$4:BC$163,$AN121)</f>
        <v>34361.191459280642</v>
      </c>
      <c r="BK121" s="2">
        <f>求节点(节奏总纲!H$4:H$163,BD$4:BD$163,$AN121)</f>
        <v>10395.117641391265</v>
      </c>
      <c r="BL121" s="2">
        <f>BG121*其他调用!H122*其他调用!$M122</f>
        <v>355858.61738957826</v>
      </c>
      <c r="BM121" s="2">
        <f>BH121*其他调用!I122*其他调用!$M122</f>
        <v>1085073.990720209</v>
      </c>
      <c r="BN121" s="2">
        <f>BI121*其他调用!J122*其他调用!$M122</f>
        <v>276233.12631342385</v>
      </c>
      <c r="BO121" s="2">
        <f>BJ121*其他调用!K122*其他调用!$M122</f>
        <v>23599.128849468114</v>
      </c>
      <c r="BP121" s="2">
        <f>BK121*其他调用!L122*其他调用!$M122</f>
        <v>2065.7177776972721</v>
      </c>
      <c r="BQ121" s="2">
        <f t="shared" si="15"/>
        <v>1742830.5810503764</v>
      </c>
      <c r="BR121" s="2">
        <f>[1]服务器生态!$R120</f>
        <v>2.2227028066128404E-2</v>
      </c>
      <c r="BS121" s="2" t="e">
        <f>SUMPRODUCT((BG$4:BG121)*($BR$4:$BR121)*(其他调用!#REF!))</f>
        <v>#REF!</v>
      </c>
      <c r="BT121" s="2" t="e">
        <f>SUMPRODUCT((BH$4:BH121)*($BR$4:$BR121)*(其他调用!#REF!))</f>
        <v>#REF!</v>
      </c>
      <c r="BU121" s="2" t="e">
        <f>SUMPRODUCT((BI$4:BI121)*($BR$4:$BR121)*(其他调用!#REF!))</f>
        <v>#REF!</v>
      </c>
      <c r="BV121" s="2" t="e">
        <f>SUMPRODUCT((BJ$4:BJ121)*($BR$4:$BR121)*(其他调用!#REF!))</f>
        <v>#REF!</v>
      </c>
      <c r="BW121" s="2" t="e">
        <f>SUMPRODUCT((BK$4:BK121)*($BR$4:$BR121)*(其他调用!#REF!))</f>
        <v>#REF!</v>
      </c>
      <c r="BX121" s="2" t="e">
        <f>SUMPRODUCT((BG$4:BG121)*($BR$4:$BR121))*'[1]功能-战损相关'!$D$2-BS121</f>
        <v>#REF!</v>
      </c>
      <c r="BY121" s="2" t="e">
        <f>SUMPRODUCT((BH$4:BH121)*($BR$4:$BR121))*'[1]功能-战损相关'!$D$2-BT121</f>
        <v>#REF!</v>
      </c>
      <c r="BZ121" s="2" t="e">
        <f>SUMPRODUCT((BI$4:BI121)*($BR$4:$BR121))*'[1]功能-战损相关'!$D$2-BU121</f>
        <v>#REF!</v>
      </c>
      <c r="CA121" s="2" t="e">
        <f>SUMPRODUCT((BJ$4:BJ121)*($BR$4:$BR121))*'[1]功能-战损相关'!$D$2-BV121</f>
        <v>#REF!</v>
      </c>
      <c r="CB121" s="2" t="e">
        <f>SUMPRODUCT((BK$4:BK121)*($BR$4:$BR121))*'[1]功能-战损相关'!$D$2-BW121</f>
        <v>#REF!</v>
      </c>
    </row>
    <row r="122" spans="27:80" x14ac:dyDescent="0.2">
      <c r="AA122" s="2">
        <v>119</v>
      </c>
      <c r="AB122" s="2">
        <f>攻城基础信息!X123*$E$12</f>
        <v>535839.2781146596</v>
      </c>
      <c r="AC122" s="2">
        <f>攻城基础信息!Y123*$E$12</f>
        <v>550806.35921635036</v>
      </c>
      <c r="AD122" s="2">
        <f>攻城基础信息!Z123*$E$12</f>
        <v>568193.35853998584</v>
      </c>
      <c r="AE122" s="2">
        <f>攻城基础信息!AA123*$E$12</f>
        <v>578779.97522019374</v>
      </c>
      <c r="AF122" s="2">
        <f>攻城基础信息!AB123*$E$12</f>
        <v>589976.43374303821</v>
      </c>
      <c r="AH122" s="2">
        <f>$E$4*AB122*攻城基础信息!AC123</f>
        <v>13128062.313809151</v>
      </c>
      <c r="AI122" s="2">
        <f>$E$4*AC122*攻城基础信息!AD123</f>
        <v>13494755.800800577</v>
      </c>
      <c r="AJ122" s="2">
        <f>$E$4*AD122*攻城基础信息!AE123</f>
        <v>13920737.284229644</v>
      </c>
      <c r="AK122" s="2">
        <f>$E$4*AE122*攻城基础信息!AF123</f>
        <v>14180109.392894737</v>
      </c>
      <c r="AL122" s="2">
        <f>$E$4*AF122*攻城基础信息!AG123</f>
        <v>14454422.626704426</v>
      </c>
      <c r="AN122" s="2">
        <v>119</v>
      </c>
      <c r="AO122" s="2">
        <f>求节点(节奏总纲!D$4:D$163,AH$4:AH$163,$AN122)*其他调用!H123*其他调用!$M123</f>
        <v>174078516.36750188</v>
      </c>
      <c r="AP122" s="2">
        <f>求节点(节奏总纲!E$4:E$163,AI$4:AI$163,$AN122)*其他调用!I123*其他调用!$M123</f>
        <v>195823299.07912952</v>
      </c>
      <c r="AQ122" s="2">
        <f>求节点(节奏总纲!F$4:F$163,AJ$4:AJ$163,$AN122)*其他调用!J123*其他调用!$M123</f>
        <v>18593867.03133855</v>
      </c>
      <c r="AR122" s="2">
        <f>求节点(节奏总纲!G$4:G$163,AK$4:AK$163,$AN122)*其他调用!K123*其他调用!$M123</f>
        <v>4723075.4115769751</v>
      </c>
      <c r="AS122" s="2">
        <f>求节点(节奏总纲!H$4:H$163,AL$4:AL$163,$AN122)*其他调用!L123*其他调用!$M123</f>
        <v>1795489.1599794377</v>
      </c>
      <c r="AT122" s="2">
        <f t="shared" si="16"/>
        <v>395014247.04952645</v>
      </c>
      <c r="AY122" s="2">
        <v>119</v>
      </c>
      <c r="AZ122" s="2">
        <f>其他调用!R123*6*(其他调用!AH$2*$AZ$1*MIN(其他调用!$AJ123/其他调用!AH123,1)+$E$4*0%*攻城基础信息!AC123)</f>
        <v>11450.30381352935</v>
      </c>
      <c r="BA122" s="2">
        <f>其他调用!S123*6*(其他调用!AI$2*$AZ$1*MIN(其他调用!$AJ123/其他调用!AI123,1)+$E$4*0%*攻城基础信息!AD123)</f>
        <v>34503.786179458541</v>
      </c>
      <c r="BB122" s="2">
        <f>其他调用!T123*6*(其他调用!AJ$2*$AZ$1*MIN(其他调用!$AJ123/其他调用!AJ123,1)+$E$4*0%*攻城基础信息!AE123)</f>
        <v>103990.80281503555</v>
      </c>
      <c r="BC122" s="2">
        <f>其他调用!U123*6*(其他调用!AK$2*$AZ$1*MIN(其他调用!$AJ123/其他调用!AK123,1)+$E$4*0%*攻城基础信息!AF123)</f>
        <v>44669.274804097178</v>
      </c>
      <c r="BD122" s="2">
        <f>其他调用!V123*6*(其他调用!AL$2*$AZ$1*MIN(其他调用!$AJ123/其他调用!AL123,1)+$E$4*0%*攻城基础信息!AG123)</f>
        <v>12985.007882710943</v>
      </c>
      <c r="BF122" s="2">
        <v>119</v>
      </c>
      <c r="BG122" s="2">
        <f>求节点(节奏总纲!D$4:D$163,AZ$4:AZ$163,$AN122)</f>
        <v>7429.1525292580609</v>
      </c>
      <c r="BH122" s="2">
        <f>求节点(节奏总纲!E$4:E$163,BA$4:BA$163,$AN122)</f>
        <v>22973.032834372374</v>
      </c>
      <c r="BI122" s="2">
        <f>求节点(节奏总纲!F$4:F$163,BB$4:BB$163,$AN122)</f>
        <v>71643.190271179119</v>
      </c>
      <c r="BJ122" s="2">
        <f>求节点(节奏总纲!G$4:G$163,BC$4:BC$163,$AN122)</f>
        <v>34407.343420668265</v>
      </c>
      <c r="BK122" s="2">
        <f>求节点(节奏总纲!H$4:H$163,BD$4:BD$163,$AN122)</f>
        <v>10407.739776271079</v>
      </c>
      <c r="BL122" s="2">
        <f>BG122*其他调用!H123*其他调用!$M123</f>
        <v>356321.10149945435</v>
      </c>
      <c r="BM122" s="2">
        <f>BH122*其他调用!I123*其他调用!$M123</f>
        <v>1086429.4978424623</v>
      </c>
      <c r="BN122" s="2">
        <f>BI122*其他调用!J123*其他调用!$M123</f>
        <v>276572.80559540138</v>
      </c>
      <c r="BO122" s="2">
        <f>BJ122*其他调用!K123*其他调用!$M123</f>
        <v>23630.825831941289</v>
      </c>
      <c r="BP122" s="2">
        <f>BK122*其他调用!L123*其他调用!$M123</f>
        <v>2068.2260483405885</v>
      </c>
      <c r="BQ122" s="2">
        <f t="shared" si="15"/>
        <v>1745022.4568175999</v>
      </c>
      <c r="BR122" s="2">
        <f>[1]服务器生态!$R121</f>
        <v>2.1626297577854666E-2</v>
      </c>
      <c r="BS122" s="2" t="e">
        <f>SUMPRODUCT((BG$4:BG122)*($BR$4:$BR122)*(其他调用!#REF!))</f>
        <v>#REF!</v>
      </c>
      <c r="BT122" s="2" t="e">
        <f>SUMPRODUCT((BH$4:BH122)*($BR$4:$BR122)*(其他调用!#REF!))</f>
        <v>#REF!</v>
      </c>
      <c r="BU122" s="2" t="e">
        <f>SUMPRODUCT((BI$4:BI122)*($BR$4:$BR122)*(其他调用!#REF!))</f>
        <v>#REF!</v>
      </c>
      <c r="BV122" s="2" t="e">
        <f>SUMPRODUCT((BJ$4:BJ122)*($BR$4:$BR122)*(其他调用!#REF!))</f>
        <v>#REF!</v>
      </c>
      <c r="BW122" s="2" t="e">
        <f>SUMPRODUCT((BK$4:BK122)*($BR$4:$BR122)*(其他调用!#REF!))</f>
        <v>#REF!</v>
      </c>
      <c r="BX122" s="2" t="e">
        <f>SUMPRODUCT((BG$4:BG122)*($BR$4:$BR122))*'[1]功能-战损相关'!$D$2-BS122</f>
        <v>#REF!</v>
      </c>
      <c r="BY122" s="2" t="e">
        <f>SUMPRODUCT((BH$4:BH122)*($BR$4:$BR122))*'[1]功能-战损相关'!$D$2-BT122</f>
        <v>#REF!</v>
      </c>
      <c r="BZ122" s="2" t="e">
        <f>SUMPRODUCT((BI$4:BI122)*($BR$4:$BR122))*'[1]功能-战损相关'!$D$2-BU122</f>
        <v>#REF!</v>
      </c>
      <c r="CA122" s="2" t="e">
        <f>SUMPRODUCT((BJ$4:BJ122)*($BR$4:$BR122))*'[1]功能-战损相关'!$D$2-BV122</f>
        <v>#REF!</v>
      </c>
      <c r="CB122" s="2" t="e">
        <f>SUMPRODUCT((BK$4:BK122)*($BR$4:$BR122))*'[1]功能-战损相关'!$D$2-BW122</f>
        <v>#REF!</v>
      </c>
    </row>
    <row r="123" spans="27:80" x14ac:dyDescent="0.2">
      <c r="AA123" s="2">
        <v>120</v>
      </c>
      <c r="AB123" s="2">
        <f>攻城基础信息!X124*$E$12</f>
        <v>543140.78825131117</v>
      </c>
      <c r="AC123" s="2">
        <f>攻城基础信息!Y124*$E$12</f>
        <v>557817.03832957428</v>
      </c>
      <c r="AD123" s="2">
        <f>攻城基础信息!Z124*$E$12</f>
        <v>575217.74356018216</v>
      </c>
      <c r="AE123" s="2">
        <f>攻城基础信息!AA124*$E$12</f>
        <v>585436.4538306999</v>
      </c>
      <c r="AF123" s="2">
        <f>攻城基础信息!AB124*$E$12</f>
        <v>596666.67781978007</v>
      </c>
      <c r="AH123" s="2">
        <f>$E$4*AB123*攻城基础信息!AC124</f>
        <v>13306949.312157115</v>
      </c>
      <c r="AI123" s="2">
        <f>$E$4*AC123*攻城基础信息!AD124</f>
        <v>13666517.439074561</v>
      </c>
      <c r="AJ123" s="2">
        <f>$E$4*AD123*攻城基础信息!AE124</f>
        <v>14092834.717224455</v>
      </c>
      <c r="AK123" s="2">
        <f>$E$4*AE123*攻城基础信息!AF124</f>
        <v>14343193.118852139</v>
      </c>
      <c r="AL123" s="2">
        <f>$E$4*AF123*攻城基础信息!AG124</f>
        <v>14618333.606584603</v>
      </c>
      <c r="AN123" s="2">
        <v>120</v>
      </c>
      <c r="AO123" s="2">
        <f>求节点(节奏总纲!D$4:D$163,AH$4:AH$163,$AN123)*其他调用!H124*其他调用!$M124</f>
        <v>174664051.5479804</v>
      </c>
      <c r="AP123" s="2">
        <f>求节点(节奏总纲!E$4:E$163,AI$4:AI$163,$AN123)*其他调用!I124*其他调用!$M124</f>
        <v>196533089.48108292</v>
      </c>
      <c r="AQ123" s="2">
        <f>求节点(节奏总纲!F$4:F$163,AJ$4:AJ$163,$AN123)*其他调用!J124*其他调用!$M124</f>
        <v>18659875.811823145</v>
      </c>
      <c r="AR123" s="2">
        <f>求节点(节奏总纲!G$4:G$163,AK$4:AK$163,$AN123)*其他调用!K124*其他调用!$M124</f>
        <v>4750282.4513654877</v>
      </c>
      <c r="AS123" s="2">
        <f>求节点(节奏总纲!H$4:H$163,AL$4:AL$163,$AN123)*其他调用!L124*其他调用!$M124</f>
        <v>1806963.8738772755</v>
      </c>
      <c r="AT123" s="2">
        <f t="shared" si="16"/>
        <v>396414263.16612923</v>
      </c>
      <c r="AY123" s="2">
        <v>120</v>
      </c>
      <c r="AZ123" s="2">
        <f>其他调用!R124*6*(其他调用!AH$2*$AZ$1*MIN(其他调用!$AJ124/其他调用!AH124,1)+$E$4*0%*攻城基础信息!AC124)</f>
        <v>11531.422107675317</v>
      </c>
      <c r="BA123" s="2">
        <f>其他调用!S124*6*(其他调用!AI$2*$AZ$1*MIN(其他调用!$AJ124/其他调用!AI124,1)+$E$4*0%*攻城基础信息!AD124)</f>
        <v>34745.16075352965</v>
      </c>
      <c r="BB123" s="2">
        <f>其他调用!T124*6*(其他调用!AJ$2*$AZ$1*MIN(其他调用!$AJ124/其他调用!AJ124,1)+$E$4*0%*攻城基础信息!AE124)</f>
        <v>104732.56681757946</v>
      </c>
      <c r="BC123" s="2">
        <f>其他调用!U124*6*(其他调用!AK$2*$AZ$1*MIN(其他调用!$AJ124/其他调用!AK124,1)+$E$4*0%*攻城基础信息!AF124)</f>
        <v>44890.629646852511</v>
      </c>
      <c r="BD123" s="2">
        <f>其他调用!V124*6*(其他调用!AL$2*$AZ$1*MIN(其他调用!$AJ124/其他调用!AL124,1)+$E$4*0%*攻城基础信息!AG124)</f>
        <v>13083.195917508705</v>
      </c>
      <c r="BF123" s="2">
        <v>120</v>
      </c>
      <c r="BG123" s="2">
        <f>求节点(节奏总纲!D$4:D$163,AZ$4:AZ$163,$AN123)</f>
        <v>7438.4363402210329</v>
      </c>
      <c r="BH123" s="2">
        <f>求节点(节奏总纲!E$4:E$163,BA$4:BA$163,$AN123)</f>
        <v>23001.652797894316</v>
      </c>
      <c r="BI123" s="2">
        <f>求节点(节奏总纲!F$4:F$163,BB$4:BB$163,$AN123)</f>
        <v>71728.603439575236</v>
      </c>
      <c r="BJ123" s="2">
        <f>求节点(节奏总纲!G$4:G$163,BC$4:BC$163,$AN123)</f>
        <v>34453.49538205588</v>
      </c>
      <c r="BK123" s="2">
        <f>求节点(节奏总纲!H$4:H$163,BD$4:BD$163,$AN123)</f>
        <v>10420.361911150892</v>
      </c>
      <c r="BL123" s="2">
        <f>BG123*其他调用!H124*其他调用!$M124</f>
        <v>356766.37674927741</v>
      </c>
      <c r="BM123" s="2">
        <f>BH123*其他调用!I124*其他调用!$M124</f>
        <v>1087782.9792404817</v>
      </c>
      <c r="BN123" s="2">
        <f>BI123*其他调用!J124*其他调用!$M124</f>
        <v>276902.53630014375</v>
      </c>
      <c r="BO123" s="2">
        <f>BJ123*其他调用!K124*其他调用!$M124</f>
        <v>23662.522814414457</v>
      </c>
      <c r="BP123" s="2">
        <f>BK123*其他调用!L124*其他调用!$M124</f>
        <v>2070.7343189839053</v>
      </c>
      <c r="BQ123" s="2">
        <f t="shared" si="15"/>
        <v>1747185.1494233012</v>
      </c>
      <c r="BR123" s="2">
        <f>[1]服务器生态!$R122</f>
        <v>2.1025567089580924E-2</v>
      </c>
      <c r="BS123" s="2" t="e">
        <f>SUMPRODUCT((BG$4:BG123)*($BR$4:$BR123)*(其他调用!#REF!))</f>
        <v>#REF!</v>
      </c>
      <c r="BT123" s="2" t="e">
        <f>SUMPRODUCT((BH$4:BH123)*($BR$4:$BR123)*(其他调用!#REF!))</f>
        <v>#REF!</v>
      </c>
      <c r="BU123" s="2" t="e">
        <f>SUMPRODUCT((BI$4:BI123)*($BR$4:$BR123)*(其他调用!#REF!))</f>
        <v>#REF!</v>
      </c>
      <c r="BV123" s="2" t="e">
        <f>SUMPRODUCT((BJ$4:BJ123)*($BR$4:$BR123)*(其他调用!#REF!))</f>
        <v>#REF!</v>
      </c>
      <c r="BW123" s="2" t="e">
        <f>SUMPRODUCT((BK$4:BK123)*($BR$4:$BR123)*(其他调用!#REF!))</f>
        <v>#REF!</v>
      </c>
      <c r="BX123" s="2" t="e">
        <f>SUMPRODUCT((BG$4:BG123)*($BR$4:$BR123))*'[1]功能-战损相关'!$D$2-BS123</f>
        <v>#REF!</v>
      </c>
      <c r="BY123" s="2" t="e">
        <f>SUMPRODUCT((BH$4:BH123)*($BR$4:$BR123))*'[1]功能-战损相关'!$D$2-BT123</f>
        <v>#REF!</v>
      </c>
      <c r="BZ123" s="2" t="e">
        <f>SUMPRODUCT((BI$4:BI123)*($BR$4:$BR123))*'[1]功能-战损相关'!$D$2-BU123</f>
        <v>#REF!</v>
      </c>
      <c r="CA123" s="2" t="e">
        <f>SUMPRODUCT((BJ$4:BJ123)*($BR$4:$BR123))*'[1]功能-战损相关'!$D$2-BV123</f>
        <v>#REF!</v>
      </c>
      <c r="CB123" s="2" t="e">
        <f>SUMPRODUCT((BK$4:BK123)*($BR$4:$BR123))*'[1]功能-战损相关'!$D$2-BW123</f>
        <v>#REF!</v>
      </c>
    </row>
    <row r="124" spans="27:80" x14ac:dyDescent="0.2">
      <c r="AA124" s="2">
        <v>121</v>
      </c>
      <c r="AB124" s="2">
        <f>攻城基础信息!X125*$E$12</f>
        <v>550462.82590114558</v>
      </c>
      <c r="AC124" s="2">
        <f>攻城基础信息!Y125*$E$12</f>
        <v>564839.17498044844</v>
      </c>
      <c r="AD124" s="2">
        <f>攻城基础信息!Z125*$E$12</f>
        <v>582251.29287453683</v>
      </c>
      <c r="AE124" s="2">
        <f>攻城基础信息!AA125*$E$12</f>
        <v>592092.93244120583</v>
      </c>
      <c r="AF124" s="2">
        <f>攻城基础信息!AB125*$E$12</f>
        <v>603356.92189652182</v>
      </c>
      <c r="AH124" s="2">
        <f>$E$4*AB124*攻城基础信息!AC125</f>
        <v>13486339.234578058</v>
      </c>
      <c r="AI124" s="2">
        <f>$E$4*AC124*攻城基础信息!AD125</f>
        <v>13838559.787020978</v>
      </c>
      <c r="AJ124" s="2">
        <f>$E$4*AD124*攻城基础信息!AE125</f>
        <v>14265156.675426142</v>
      </c>
      <c r="AK124" s="2">
        <f>$E$4*AE124*攻城基础信息!AF125</f>
        <v>14506276.844809534</v>
      </c>
      <c r="AL124" s="2">
        <f>$E$4*AF124*攻城基础信息!AG125</f>
        <v>14782244.586464774</v>
      </c>
      <c r="AN124" s="2">
        <v>121</v>
      </c>
      <c r="AO124" s="2">
        <f>求节点(节奏总纲!D$4:D$163,AH$4:AH$163,$AN124)*其他调用!H125*其他调用!$M125</f>
        <v>175249586.72845894</v>
      </c>
      <c r="AP124" s="2">
        <f>求节点(节奏总纲!E$4:E$163,AI$4:AI$163,$AN124)*其他调用!I125*其他调用!$M125</f>
        <v>197242879.88303635</v>
      </c>
      <c r="AQ124" s="2">
        <f>求节点(节奏总纲!F$4:F$163,AJ$4:AJ$163,$AN124)*其他调用!J125*其他调用!$M125</f>
        <v>18725884.592307735</v>
      </c>
      <c r="AR124" s="2">
        <f>求节点(节奏总纲!G$4:G$163,AK$4:AK$163,$AN124)*其他调用!K125*其他调用!$M125</f>
        <v>4777489.4911539992</v>
      </c>
      <c r="AS124" s="2">
        <f>求节点(节奏总纲!H$4:H$163,AL$4:AL$163,$AN124)*其他调用!L125*其他调用!$M125</f>
        <v>1818438.5877751131</v>
      </c>
      <c r="AT124" s="2">
        <f t="shared" ref="AT124:AT187" si="17">SUM(AO124:AS124)</f>
        <v>397814279.28273213</v>
      </c>
      <c r="AY124" s="2">
        <v>121</v>
      </c>
      <c r="AZ124" s="2">
        <f>其他调用!R125*6*(其他调用!AH$2*$AZ$1*MIN(其他调用!$AJ125/其他调用!AH125,1)+$E$4*0%*攻城基础信息!AC125)</f>
        <v>11611.733273346661</v>
      </c>
      <c r="BA124" s="2">
        <f>其他调用!S125*6*(其他调用!AI$2*$AZ$1*MIN(其他调用!$AJ125/其他调用!AI125,1)+$E$4*0%*攻城基础信息!AD125)</f>
        <v>34988.371648012413</v>
      </c>
      <c r="BB124" s="2">
        <f>其他调用!T125*6*(其他调用!AJ$2*$AZ$1*MIN(其他调用!$AJ125/其他调用!AJ125,1)+$E$4*0%*攻城基础信息!AE125)</f>
        <v>105412.46196401594</v>
      </c>
      <c r="BC124" s="2">
        <f>其他调用!U125*6*(其他调用!AK$2*$AZ$1*MIN(其他调用!$AJ125/其他调用!AK125,1)+$E$4*0%*攻城基础信息!AF125)</f>
        <v>45126.345166358689</v>
      </c>
      <c r="BD124" s="2">
        <f>其他调用!V125*6*(其他调用!AL$2*$AZ$1*MIN(其他调用!$AJ125/其他调用!AL125,1)+$E$4*0%*攻城基础信息!AG125)</f>
        <v>13179.287730671746</v>
      </c>
      <c r="BF124" s="2">
        <v>121</v>
      </c>
      <c r="BG124" s="2">
        <f>求节点(节奏总纲!D$4:D$163,AZ$4:AZ$163,$AN124)</f>
        <v>7447.7201511840049</v>
      </c>
      <c r="BH124" s="2">
        <f>求节点(节奏总纲!E$4:E$163,BA$4:BA$163,$AN124)</f>
        <v>23030.272761416261</v>
      </c>
      <c r="BI124" s="2">
        <f>求节点(节奏总纲!F$4:F$163,BB$4:BB$163,$AN124)</f>
        <v>71814.016607971338</v>
      </c>
      <c r="BJ124" s="2">
        <f>求节点(节奏总纲!G$4:G$163,BC$4:BC$163,$AN124)</f>
        <v>34499.647343443503</v>
      </c>
      <c r="BK124" s="2">
        <f>求节点(节奏总纲!H$4:H$163,BD$4:BD$163,$AN124)</f>
        <v>10432.984046030708</v>
      </c>
      <c r="BL124" s="2">
        <f>BG124*其他调用!H125*其他调用!$M125</f>
        <v>357211.6519991004</v>
      </c>
      <c r="BM124" s="2">
        <f>BH124*其他调用!I125*其他调用!$M125</f>
        <v>1089136.4606385014</v>
      </c>
      <c r="BN124" s="2">
        <f>BI124*其他调用!J125*其他调用!$M125</f>
        <v>277232.26700488606</v>
      </c>
      <c r="BO124" s="2">
        <f>BJ124*其他调用!K125*其他调用!$M125</f>
        <v>23694.219796887632</v>
      </c>
      <c r="BP124" s="2">
        <f>BK124*其他调用!L125*其他调用!$M125</f>
        <v>2073.2425896272216</v>
      </c>
      <c r="BQ124" s="2">
        <f t="shared" ref="BQ124:BQ187" si="18">SUM(BL124:BP124)</f>
        <v>1749347.8420290027</v>
      </c>
      <c r="BR124" s="2">
        <f>[1]服务器生态!$R123</f>
        <v>2.0424836601307186E-2</v>
      </c>
      <c r="BS124" s="2" t="e">
        <f>SUMPRODUCT((BG$4:BG124)*($BR$4:$BR124)*(其他调用!#REF!))</f>
        <v>#REF!</v>
      </c>
      <c r="BT124" s="2" t="e">
        <f>SUMPRODUCT((BH$4:BH124)*($BR$4:$BR124)*(其他调用!#REF!))</f>
        <v>#REF!</v>
      </c>
      <c r="BU124" s="2" t="e">
        <f>SUMPRODUCT((BI$4:BI124)*($BR$4:$BR124)*(其他调用!#REF!))</f>
        <v>#REF!</v>
      </c>
      <c r="BV124" s="2" t="e">
        <f>SUMPRODUCT((BJ$4:BJ124)*($BR$4:$BR124)*(其他调用!#REF!))</f>
        <v>#REF!</v>
      </c>
      <c r="BW124" s="2" t="e">
        <f>SUMPRODUCT((BK$4:BK124)*($BR$4:$BR124)*(其他调用!#REF!))</f>
        <v>#REF!</v>
      </c>
      <c r="BX124" s="2" t="e">
        <f>SUMPRODUCT((BG$4:BG124)*($BR$4:$BR124))*'[1]功能-战损相关'!$D$2-BS124</f>
        <v>#REF!</v>
      </c>
      <c r="BY124" s="2" t="e">
        <f>SUMPRODUCT((BH$4:BH124)*($BR$4:$BR124))*'[1]功能-战损相关'!$D$2-BT124</f>
        <v>#REF!</v>
      </c>
      <c r="BZ124" s="2" t="e">
        <f>SUMPRODUCT((BI$4:BI124)*($BR$4:$BR124))*'[1]功能-战损相关'!$D$2-BU124</f>
        <v>#REF!</v>
      </c>
      <c r="CA124" s="2" t="e">
        <f>SUMPRODUCT((BJ$4:BJ124)*($BR$4:$BR124))*'[1]功能-战损相关'!$D$2-BV124</f>
        <v>#REF!</v>
      </c>
      <c r="CB124" s="2" t="e">
        <f>SUMPRODUCT((BK$4:BK124)*($BR$4:$BR124))*'[1]功能-战损相关'!$D$2-BW124</f>
        <v>#REF!</v>
      </c>
    </row>
    <row r="125" spans="27:80" x14ac:dyDescent="0.2">
      <c r="AA125" s="2">
        <v>122</v>
      </c>
      <c r="AB125" s="2">
        <f>攻城基础信息!X126*$E$12</f>
        <v>557667.14915901434</v>
      </c>
      <c r="AC125" s="2">
        <f>攻城基础信息!Y126*$E$12</f>
        <v>571872.76916897309</v>
      </c>
      <c r="AD125" s="2">
        <f>攻城基础信息!Z126*$E$12</f>
        <v>589282.66863917466</v>
      </c>
      <c r="AE125" s="2">
        <f>攻城基础信息!AA126*$E$12</f>
        <v>598749.41105171188</v>
      </c>
      <c r="AF125" s="2">
        <f>攻城基础信息!AB126*$E$12</f>
        <v>610091.13509582414</v>
      </c>
      <c r="AH125" s="2">
        <f>$E$4*AB125*攻城基础信息!AC126</f>
        <v>13662845.154395843</v>
      </c>
      <c r="AI125" s="2">
        <f>$E$4*AC125*攻城基础信息!AD126</f>
        <v>14010882.844639832</v>
      </c>
      <c r="AJ125" s="2">
        <f>$E$4*AD125*攻城基础信息!AE126</f>
        <v>14437425.38165977</v>
      </c>
      <c r="AK125" s="2">
        <f>$E$4*AE125*攻城基础信息!AF126</f>
        <v>14669360.570766931</v>
      </c>
      <c r="AL125" s="2">
        <f>$E$4*AF125*攻城基础信息!AG126</f>
        <v>14947232.809847681</v>
      </c>
      <c r="AN125" s="2">
        <v>122</v>
      </c>
      <c r="AO125" s="2">
        <f>求节点(节奏总纲!D$4:D$163,AH$4:AH$163,$AN125)*其他调用!H126*其他调用!$M126</f>
        <v>175835121.90893748</v>
      </c>
      <c r="AP125" s="2">
        <f>求节点(节奏总纲!E$4:E$163,AI$4:AI$163,$AN125)*其他调用!I126*其他调用!$M126</f>
        <v>197952670.28498974</v>
      </c>
      <c r="AQ125" s="2">
        <f>求节点(节奏总纲!F$4:F$163,AJ$4:AJ$163,$AN125)*其他调用!J126*其他调用!$M126</f>
        <v>18791893.37279233</v>
      </c>
      <c r="AR125" s="2">
        <f>求节点(节奏总纲!G$4:G$163,AK$4:AK$163,$AN125)*其他调用!K126*其他调用!$M126</f>
        <v>4804696.5309425108</v>
      </c>
      <c r="AS125" s="2">
        <f>求节点(节奏总纲!H$4:H$163,AL$4:AL$163,$AN125)*其他调用!L126*其他调用!$M126</f>
        <v>1829913.3016729506</v>
      </c>
      <c r="AT125" s="2">
        <f t="shared" si="17"/>
        <v>399214295.39933497</v>
      </c>
      <c r="AY125" s="2">
        <v>122</v>
      </c>
      <c r="AZ125" s="2">
        <f>其他调用!R126*6*(其他调用!AH$2*$AZ$1*MIN(其他调用!$AJ126/其他调用!AH126,1)+$E$4*0%*攻城基础信息!AC126)</f>
        <v>11693.358043584569</v>
      </c>
      <c r="BA125" s="2">
        <f>其他调用!S126*6*(其他调用!AI$2*$AZ$1*MIN(其他调用!$AJ126/其他调用!AI126,1)+$E$4*0%*攻城基础信息!AD126)</f>
        <v>35220.525539043141</v>
      </c>
      <c r="BB125" s="2">
        <f>其他调用!T126*6*(其他调用!AJ$2*$AZ$1*MIN(其他调用!$AJ126/其他调用!AJ126,1)+$E$4*0%*攻城基础信息!AE126)</f>
        <v>106137.24261318661</v>
      </c>
      <c r="BC125" s="2">
        <f>其他调用!U126*6*(其他调用!AK$2*$AZ$1*MIN(其他调用!$AJ126/其他调用!AK126,1)+$E$4*0%*攻城基础信息!AF126)</f>
        <v>45357.201371777192</v>
      </c>
      <c r="BD125" s="2">
        <f>其他调用!V126*6*(其他调用!AL$2*$AZ$1*MIN(其他调用!$AJ126/其他调用!AL126,1)+$E$4*0%*攻城基础信息!AG126)</f>
        <v>13279.518984329974</v>
      </c>
      <c r="BF125" s="2">
        <v>122</v>
      </c>
      <c r="BG125" s="2">
        <f>求节点(节奏总纲!D$4:D$163,AZ$4:AZ$163,$AN125)</f>
        <v>7457.0039621469768</v>
      </c>
      <c r="BH125" s="2">
        <f>求节点(节奏总纲!E$4:E$163,BA$4:BA$163,$AN125)</f>
        <v>23058.892724938207</v>
      </c>
      <c r="BI125" s="2">
        <f>求节点(节奏总纲!F$4:F$163,BB$4:BB$163,$AN125)</f>
        <v>71899.429776367455</v>
      </c>
      <c r="BJ125" s="2">
        <f>求节点(节奏总纲!G$4:G$163,BC$4:BC$163,$AN125)</f>
        <v>34545.799304831125</v>
      </c>
      <c r="BK125" s="2">
        <f>求节点(节奏总纲!H$4:H$163,BD$4:BD$163,$AN125)</f>
        <v>10445.606180910521</v>
      </c>
      <c r="BL125" s="2">
        <f>BG125*其他调用!H126*其他调用!$M126</f>
        <v>357656.92724892346</v>
      </c>
      <c r="BM125" s="2">
        <f>BH125*其他调用!I126*其他调用!$M126</f>
        <v>1090489.9420365209</v>
      </c>
      <c r="BN125" s="2">
        <f>BI125*其他调用!J126*其他调用!$M126</f>
        <v>277561.99770962843</v>
      </c>
      <c r="BO125" s="2">
        <f>BJ125*其他调用!K126*其他调用!$M126</f>
        <v>23725.916779360803</v>
      </c>
      <c r="BP125" s="2">
        <f>BK125*其他调用!L126*其他调用!$M126</f>
        <v>2075.7508602705384</v>
      </c>
      <c r="BQ125" s="2">
        <f t="shared" si="18"/>
        <v>1751510.534634704</v>
      </c>
      <c r="BR125" s="2">
        <f>[1]服务器生态!$R124</f>
        <v>1.9824106113033445E-2</v>
      </c>
      <c r="BS125" s="2" t="e">
        <f>SUMPRODUCT((BG$4:BG125)*($BR$4:$BR125)*(其他调用!#REF!))</f>
        <v>#REF!</v>
      </c>
      <c r="BT125" s="2" t="e">
        <f>SUMPRODUCT((BH$4:BH125)*($BR$4:$BR125)*(其他调用!#REF!))</f>
        <v>#REF!</v>
      </c>
      <c r="BU125" s="2" t="e">
        <f>SUMPRODUCT((BI$4:BI125)*($BR$4:$BR125)*(其他调用!#REF!))</f>
        <v>#REF!</v>
      </c>
      <c r="BV125" s="2" t="e">
        <f>SUMPRODUCT((BJ$4:BJ125)*($BR$4:$BR125)*(其他调用!#REF!))</f>
        <v>#REF!</v>
      </c>
      <c r="BW125" s="2" t="e">
        <f>SUMPRODUCT((BK$4:BK125)*($BR$4:$BR125)*(其他调用!#REF!))</f>
        <v>#REF!</v>
      </c>
      <c r="BX125" s="2" t="e">
        <f>SUMPRODUCT((BG$4:BG125)*($BR$4:$BR125))*'[1]功能-战损相关'!$D$2-BS125</f>
        <v>#REF!</v>
      </c>
      <c r="BY125" s="2" t="e">
        <f>SUMPRODUCT((BH$4:BH125)*($BR$4:$BR125))*'[1]功能-战损相关'!$D$2-BT125</f>
        <v>#REF!</v>
      </c>
      <c r="BZ125" s="2" t="e">
        <f>SUMPRODUCT((BI$4:BI125)*($BR$4:$BR125))*'[1]功能-战损相关'!$D$2-BU125</f>
        <v>#REF!</v>
      </c>
      <c r="CA125" s="2" t="e">
        <f>SUMPRODUCT((BJ$4:BJ125)*($BR$4:$BR125))*'[1]功能-战损相关'!$D$2-BV125</f>
        <v>#REF!</v>
      </c>
      <c r="CB125" s="2" t="e">
        <f>SUMPRODUCT((BK$4:BK125)*($BR$4:$BR125))*'[1]功能-战损相关'!$D$2-BW125</f>
        <v>#REF!</v>
      </c>
    </row>
    <row r="126" spans="27:80" x14ac:dyDescent="0.2">
      <c r="AA126" s="2">
        <v>123</v>
      </c>
      <c r="AB126" s="2">
        <f>攻城基础信息!X127*$E$12</f>
        <v>564760.0748130721</v>
      </c>
      <c r="AC126" s="2">
        <f>攻城基础信息!Y127*$E$12</f>
        <v>578917.82089514798</v>
      </c>
      <c r="AD126" s="2">
        <f>攻城基础信息!Z127*$E$12</f>
        <v>595923.21659245167</v>
      </c>
      <c r="AE126" s="2">
        <f>攻城基础信息!AA127*$E$12</f>
        <v>605405.88966221793</v>
      </c>
      <c r="AF126" s="2">
        <f>攻城基础信息!AB127*$E$12</f>
        <v>617727.79035257315</v>
      </c>
      <c r="AH126" s="2">
        <f>$E$4*AB126*攻城基础信息!AC127</f>
        <v>13836621.832920257</v>
      </c>
      <c r="AI126" s="2">
        <f>$E$4*AC126*攻城基础信息!AD127</f>
        <v>14183486.611931117</v>
      </c>
      <c r="AJ126" s="2">
        <f>$E$4*AD126*攻城基础信息!AE127</f>
        <v>14600118.806515057</v>
      </c>
      <c r="AK126" s="2">
        <f>$E$4*AE126*攻城基础信息!AF127</f>
        <v>14832444.296724329</v>
      </c>
      <c r="AL126" s="2">
        <f>$E$4*AF126*攻城基础信息!AG127</f>
        <v>15134330.86363803</v>
      </c>
      <c r="AN126" s="2">
        <v>123</v>
      </c>
      <c r="AO126" s="2">
        <f>求节点(节奏总纲!D$4:D$163,AH$4:AH$163,$AN126)*其他调用!H127*其他调用!$M127</f>
        <v>176420657.08941603</v>
      </c>
      <c r="AP126" s="2">
        <f>求节点(节奏总纲!E$4:E$163,AI$4:AI$163,$AN126)*其他调用!I127*其他调用!$M127</f>
        <v>198662460.68694317</v>
      </c>
      <c r="AQ126" s="2">
        <f>求节点(节奏总纲!F$4:F$163,AJ$4:AJ$163,$AN126)*其他调用!J127*其他调用!$M127</f>
        <v>18857902.15327692</v>
      </c>
      <c r="AR126" s="2">
        <f>求节点(节奏总纲!G$4:G$163,AK$4:AK$163,$AN126)*其他调用!K127*其他调用!$M127</f>
        <v>4831903.5707310233</v>
      </c>
      <c r="AS126" s="2">
        <f>求节点(节奏总纲!H$4:H$163,AL$4:AL$163,$AN126)*其他调用!L127*其他调用!$M127</f>
        <v>1841388.0155707879</v>
      </c>
      <c r="AT126" s="2">
        <f t="shared" si="17"/>
        <v>400614311.51593792</v>
      </c>
      <c r="AY126" s="2">
        <v>123</v>
      </c>
      <c r="AZ126" s="2">
        <f>其他调用!R127*6*(其他调用!AH$2*$AZ$1*MIN(其他调用!$AJ127/其他调用!AH127,1)+$E$4*0%*攻城基础信息!AC127)</f>
        <v>11773.257291608801</v>
      </c>
      <c r="BA126" s="2">
        <f>其他调用!S127*6*(其他调用!AI$2*$AZ$1*MIN(其他调用!$AJ127/其他调用!AI127,1)+$E$4*0%*攻城基础信息!AD127)</f>
        <v>35468.906837282142</v>
      </c>
      <c r="BB126" s="2">
        <f>其他调用!T127*6*(其他调用!AJ$2*$AZ$1*MIN(其他调用!$AJ127/其他调用!AJ127,1)+$E$4*0%*攻城基础信息!AE127)</f>
        <v>106863.54418264289</v>
      </c>
      <c r="BC126" s="2">
        <f>其他调用!U127*6*(其他调用!AK$2*$AZ$1*MIN(其他调用!$AJ127/其他调用!AK127,1)+$E$4*0%*攻城基础信息!AF127)</f>
        <v>45618.252879448984</v>
      </c>
      <c r="BD126" s="2">
        <f>其他调用!V127*6*(其他调用!AL$2*$AZ$1*MIN(其他调用!$AJ127/其他调用!AL127,1)+$E$4*0%*攻城基础信息!AG127)</f>
        <v>13379.951062848446</v>
      </c>
      <c r="BF126" s="2">
        <v>123</v>
      </c>
      <c r="BG126" s="2">
        <f>求节点(节奏总纲!D$4:D$163,AZ$4:AZ$163,$AN126)</f>
        <v>7466.2877731099488</v>
      </c>
      <c r="BH126" s="2">
        <f>求节点(节奏总纲!E$4:E$163,BA$4:BA$163,$AN126)</f>
        <v>23087.512688460149</v>
      </c>
      <c r="BI126" s="2">
        <f>求节点(节奏总纲!F$4:F$163,BB$4:BB$163,$AN126)</f>
        <v>71984.842944763572</v>
      </c>
      <c r="BJ126" s="2">
        <f>求节点(节奏总纲!G$4:G$163,BC$4:BC$163,$AN126)</f>
        <v>34591.951266218741</v>
      </c>
      <c r="BK126" s="2">
        <f>求节点(节奏总纲!H$4:H$163,BD$4:BD$163,$AN126)</f>
        <v>10458.228315790335</v>
      </c>
      <c r="BL126" s="2">
        <f>BG126*其他调用!H127*其他调用!$M127</f>
        <v>358102.20249874651</v>
      </c>
      <c r="BM126" s="2">
        <f>BH126*其他调用!I127*其他调用!$M127</f>
        <v>1091843.4234345404</v>
      </c>
      <c r="BN126" s="2">
        <f>BI126*其他调用!J127*其他调用!$M127</f>
        <v>277891.72841437079</v>
      </c>
      <c r="BO126" s="2">
        <f>BJ126*其他调用!K127*其他调用!$M127</f>
        <v>23757.613761833974</v>
      </c>
      <c r="BP126" s="2">
        <f>BK126*其他调用!L127*其他调用!$M127</f>
        <v>2078.2591309138547</v>
      </c>
      <c r="BQ126" s="2">
        <f t="shared" si="18"/>
        <v>1753673.2272404055</v>
      </c>
      <c r="BR126" s="2">
        <f>[1]服务器生态!$R125</f>
        <v>1.9223375624759703E-2</v>
      </c>
      <c r="BS126" s="2" t="e">
        <f>SUMPRODUCT((BG$4:BG126)*($BR$4:$BR126)*(其他调用!#REF!))</f>
        <v>#REF!</v>
      </c>
      <c r="BT126" s="2" t="e">
        <f>SUMPRODUCT((BH$4:BH126)*($BR$4:$BR126)*(其他调用!#REF!))</f>
        <v>#REF!</v>
      </c>
      <c r="BU126" s="2" t="e">
        <f>SUMPRODUCT((BI$4:BI126)*($BR$4:$BR126)*(其他调用!#REF!))</f>
        <v>#REF!</v>
      </c>
      <c r="BV126" s="2" t="e">
        <f>SUMPRODUCT((BJ$4:BJ126)*($BR$4:$BR126)*(其他调用!#REF!))</f>
        <v>#REF!</v>
      </c>
      <c r="BW126" s="2" t="e">
        <f>SUMPRODUCT((BK$4:BK126)*($BR$4:$BR126)*(其他调用!#REF!))</f>
        <v>#REF!</v>
      </c>
      <c r="BX126" s="2" t="e">
        <f>SUMPRODUCT((BG$4:BG126)*($BR$4:$BR126))*'[1]功能-战损相关'!$D$2-BS126</f>
        <v>#REF!</v>
      </c>
      <c r="BY126" s="2" t="e">
        <f>SUMPRODUCT((BH$4:BH126)*($BR$4:$BR126))*'[1]功能-战损相关'!$D$2-BT126</f>
        <v>#REF!</v>
      </c>
      <c r="BZ126" s="2" t="e">
        <f>SUMPRODUCT((BI$4:BI126)*($BR$4:$BR126))*'[1]功能-战损相关'!$D$2-BU126</f>
        <v>#REF!</v>
      </c>
      <c r="CA126" s="2" t="e">
        <f>SUMPRODUCT((BJ$4:BJ126)*($BR$4:$BR126))*'[1]功能-战损相关'!$D$2-BV126</f>
        <v>#REF!</v>
      </c>
      <c r="CB126" s="2" t="e">
        <f>SUMPRODUCT((BK$4:BK126)*($BR$4:$BR126))*'[1]功能-战损相关'!$D$2-BW126</f>
        <v>#REF!</v>
      </c>
    </row>
    <row r="127" spans="27:80" x14ac:dyDescent="0.2">
      <c r="AA127" s="2">
        <v>124</v>
      </c>
      <c r="AB127" s="2">
        <f>攻城基础信息!X128*$E$12</f>
        <v>571867.37148678978</v>
      </c>
      <c r="AC127" s="2">
        <f>攻城基础信息!Y128*$E$12</f>
        <v>585974.33015897323</v>
      </c>
      <c r="AD127" s="2">
        <f>攻城基础信息!Z128*$E$12</f>
        <v>602563.76454572857</v>
      </c>
      <c r="AE127" s="2">
        <f>攻城基础信息!AA128*$E$12</f>
        <v>612968.70331325359</v>
      </c>
      <c r="AF127" s="2">
        <f>攻城基础信息!AB128*$E$12</f>
        <v>625364.44560932205</v>
      </c>
      <c r="AH127" s="2">
        <f>$E$4*AB127*攻城基础信息!AC128</f>
        <v>14010750.601426341</v>
      </c>
      <c r="AI127" s="2">
        <f>$E$4*AC127*攻城基础信息!AD128</f>
        <v>14356371.088894835</v>
      </c>
      <c r="AJ127" s="2">
        <f>$E$4*AD127*攻城基础信息!AE128</f>
        <v>14762812.231370341</v>
      </c>
      <c r="AK127" s="2">
        <f>$E$4*AE127*攻城基础信息!AF128</f>
        <v>15017733.231174702</v>
      </c>
      <c r="AL127" s="2">
        <f>$E$4*AF127*攻城基础信息!AG128</f>
        <v>15321428.917428382</v>
      </c>
      <c r="AN127" s="2">
        <v>124</v>
      </c>
      <c r="AO127" s="2">
        <f>求节点(节奏总纲!D$4:D$163,AH$4:AH$163,$AN127)*其他调用!H128*其他调用!$M128</f>
        <v>177006192.26989457</v>
      </c>
      <c r="AP127" s="2">
        <f>求节点(节奏总纲!E$4:E$163,AI$4:AI$163,$AN127)*其他调用!I128*其他调用!$M128</f>
        <v>199372251.08889657</v>
      </c>
      <c r="AQ127" s="2">
        <f>求节点(节奏总纲!F$4:F$163,AJ$4:AJ$163,$AN127)*其他调用!J128*其他调用!$M128</f>
        <v>18923910.933761511</v>
      </c>
      <c r="AR127" s="2">
        <f>求节点(节奏总纲!G$4:G$163,AK$4:AK$163,$AN127)*其他调用!K128*其他调用!$M128</f>
        <v>4858167.5018782113</v>
      </c>
      <c r="AS127" s="2">
        <f>求节点(节奏总纲!H$4:H$163,AL$4:AL$163,$AN127)*其他调用!L128*其他调用!$M128</f>
        <v>1847084.4360204176</v>
      </c>
      <c r="AT127" s="2">
        <f t="shared" si="17"/>
        <v>402007606.23045129</v>
      </c>
      <c r="AY127" s="2">
        <v>124</v>
      </c>
      <c r="AZ127" s="2">
        <f>其他调用!R128*6*(其他调用!AH$2*$AZ$1*MIN(其他调用!$AJ128/其他调用!AH128,1)+$E$4*0%*攻城基础信息!AC128)</f>
        <v>11855.380702861112</v>
      </c>
      <c r="BA127" s="2">
        <f>其他调用!S128*6*(其他调用!AI$2*$AZ$1*MIN(其他调用!$AJ128/其他调用!AI128,1)+$E$4*0%*攻城基础信息!AD128)</f>
        <v>35710.215608498256</v>
      </c>
      <c r="BB127" s="2">
        <f>其他调用!T128*6*(其他调用!AJ$2*$AZ$1*MIN(其他调用!$AJ128/其他调用!AJ128,1)+$E$4*0%*攻城基础信息!AE128)</f>
        <v>107619.10527088038</v>
      </c>
      <c r="BC127" s="2">
        <f>其他调用!U128*6*(其他调用!AK$2*$AZ$1*MIN(其他调用!$AJ128/其他调用!AK128,1)+$E$4*0%*攻城基础信息!AF128)</f>
        <v>45856.254781531192</v>
      </c>
      <c r="BD127" s="2">
        <f>其他调用!V128*6*(其他调用!AL$2*$AZ$1*MIN(其他调用!$AJ128/其他调用!AL128,1)+$E$4*0%*攻城基础信息!AG128)</f>
        <v>13477.367292180383</v>
      </c>
      <c r="BF127" s="2">
        <v>124</v>
      </c>
      <c r="BG127" s="2">
        <f>求节点(节奏总纲!D$4:D$163,AZ$4:AZ$163,$AN127)</f>
        <v>7475.5715840729199</v>
      </c>
      <c r="BH127" s="2">
        <f>求节点(节奏总纲!E$4:E$163,BA$4:BA$163,$AN127)</f>
        <v>23116.132651982094</v>
      </c>
      <c r="BI127" s="2">
        <f>求节点(节奏总纲!F$4:F$163,BB$4:BB$163,$AN127)</f>
        <v>72070.256113159674</v>
      </c>
      <c r="BJ127" s="2">
        <f>求节点(节奏总纲!G$4:G$163,BC$4:BC$163,$AN127)</f>
        <v>34636.881282064496</v>
      </c>
      <c r="BK127" s="2">
        <f>求节点(节奏总纲!H$4:H$163,BD$4:BD$163,$AN127)</f>
        <v>10470.592309186395</v>
      </c>
      <c r="BL127" s="2">
        <f>BG127*其他调用!H128*其他调用!$M128</f>
        <v>358547.47774856951</v>
      </c>
      <c r="BM127" s="2">
        <f>BH127*其他调用!I128*其他调用!$M128</f>
        <v>1093196.9048325601</v>
      </c>
      <c r="BN127" s="2">
        <f>BI127*其他调用!J128*其他调用!$M128</f>
        <v>278221.45911911305</v>
      </c>
      <c r="BO127" s="2">
        <f>BJ127*其他调用!K128*其他调用!$M128</f>
        <v>23788.471516996775</v>
      </c>
      <c r="BP127" s="2">
        <f>BK127*其他调用!L128*其他调用!$M128</f>
        <v>2080.7161036815201</v>
      </c>
      <c r="BQ127" s="2">
        <f t="shared" si="18"/>
        <v>1755835.0293209213</v>
      </c>
      <c r="BR127" s="2">
        <f>[1]服务器生态!$R126</f>
        <v>1.8622645136485962E-2</v>
      </c>
      <c r="BS127" s="2" t="e">
        <f>SUMPRODUCT((BG$4:BG127)*($BR$4:$BR127)*(其他调用!#REF!))</f>
        <v>#REF!</v>
      </c>
      <c r="BT127" s="2" t="e">
        <f>SUMPRODUCT((BH$4:BH127)*($BR$4:$BR127)*(其他调用!#REF!))</f>
        <v>#REF!</v>
      </c>
      <c r="BU127" s="2" t="e">
        <f>SUMPRODUCT((BI$4:BI127)*($BR$4:$BR127)*(其他调用!#REF!))</f>
        <v>#REF!</v>
      </c>
      <c r="BV127" s="2" t="e">
        <f>SUMPRODUCT((BJ$4:BJ127)*($BR$4:$BR127)*(其他调用!#REF!))</f>
        <v>#REF!</v>
      </c>
      <c r="BW127" s="2" t="e">
        <f>SUMPRODUCT((BK$4:BK127)*($BR$4:$BR127)*(其他调用!#REF!))</f>
        <v>#REF!</v>
      </c>
      <c r="BX127" s="2" t="e">
        <f>SUMPRODUCT((BG$4:BG127)*($BR$4:$BR127))*'[1]功能-战损相关'!$D$2-BS127</f>
        <v>#REF!</v>
      </c>
      <c r="BY127" s="2" t="e">
        <f>SUMPRODUCT((BH$4:BH127)*($BR$4:$BR127))*'[1]功能-战损相关'!$D$2-BT127</f>
        <v>#REF!</v>
      </c>
      <c r="BZ127" s="2" t="e">
        <f>SUMPRODUCT((BI$4:BI127)*($BR$4:$BR127))*'[1]功能-战损相关'!$D$2-BU127</f>
        <v>#REF!</v>
      </c>
      <c r="CA127" s="2" t="e">
        <f>SUMPRODUCT((BJ$4:BJ127)*($BR$4:$BR127))*'[1]功能-战损相关'!$D$2-BV127</f>
        <v>#REF!</v>
      </c>
      <c r="CB127" s="2" t="e">
        <f>SUMPRODUCT((BK$4:BK127)*($BR$4:$BR127))*'[1]功能-战损相关'!$D$2-BW127</f>
        <v>#REF!</v>
      </c>
    </row>
    <row r="128" spans="27:80" x14ac:dyDescent="0.2">
      <c r="AA128" s="2">
        <v>125</v>
      </c>
      <c r="AB128" s="2">
        <f>攻城基础信息!X129*$E$12</f>
        <v>578989.03918016749</v>
      </c>
      <c r="AC128" s="2">
        <f>攻城基础信息!Y129*$E$12</f>
        <v>593093.95514346578</v>
      </c>
      <c r="AD128" s="2">
        <f>攻城基础信息!Z129*$E$12</f>
        <v>610105.36011333577</v>
      </c>
      <c r="AE128" s="2">
        <f>攻城基础信息!AA129*$E$12</f>
        <v>620580.12024324411</v>
      </c>
      <c r="AF128" s="2">
        <f>攻城基础信息!AB129*$E$12</f>
        <v>633001.10086607072</v>
      </c>
      <c r="AH128" s="2">
        <f>$E$4*AB128*攻城基础信息!AC129</f>
        <v>14185231.459914094</v>
      </c>
      <c r="AI128" s="2">
        <f>$E$4*AC128*攻城基础信息!AD129</f>
        <v>14530801.901014904</v>
      </c>
      <c r="AJ128" s="2">
        <f>$E$4*AD128*攻城基础信息!AE129</f>
        <v>14947581.322776716</v>
      </c>
      <c r="AK128" s="2">
        <f>$E$4*AE128*攻城基础信息!AF129</f>
        <v>15204212.945959471</v>
      </c>
      <c r="AL128" s="2">
        <f>$E$4*AF128*攻城基础信息!AG129</f>
        <v>15508526.971218722</v>
      </c>
      <c r="AN128" s="2">
        <v>125</v>
      </c>
      <c r="AO128" s="2">
        <f>求节点(节奏总纲!D$4:D$163,AH$4:AH$163,$AN128)*其他调用!H129*其他调用!$M129</f>
        <v>177591727.45037311</v>
      </c>
      <c r="AP128" s="2">
        <f>求节点(节奏总纲!E$4:E$163,AI$4:AI$163,$AN128)*其他调用!I129*其他调用!$M129</f>
        <v>200082041.49085</v>
      </c>
      <c r="AQ128" s="2">
        <f>求节点(节奏总纲!F$4:F$163,AJ$4:AJ$163,$AN128)*其他调用!J129*其他调用!$M129</f>
        <v>18989919.714246102</v>
      </c>
      <c r="AR128" s="2">
        <f>求节点(节奏总纲!G$4:G$163,AK$4:AK$163,$AN128)*其他调用!K129*其他调用!$M129</f>
        <v>4884309.4882865651</v>
      </c>
      <c r="AS128" s="2">
        <f>求节点(节奏总纲!H$4:H$163,AL$4:AL$163,$AN128)*其他调用!L129*其他调用!$M129</f>
        <v>1851443.348445083</v>
      </c>
      <c r="AT128" s="2">
        <f t="shared" si="17"/>
        <v>403399441.49220085</v>
      </c>
      <c r="AY128" s="2">
        <v>125</v>
      </c>
      <c r="AZ128" s="2">
        <f>其他调用!R129*6*(其他调用!AH$2*$AZ$1*MIN(其他调用!$AJ129/其他调用!AH129,1)+$E$4*0%*攻城基础信息!AC129)</f>
        <v>11934.874023165801</v>
      </c>
      <c r="BA128" s="2">
        <f>其他调用!S129*6*(其他调用!AI$2*$AZ$1*MIN(其他调用!$AJ129/其他调用!AI129,1)+$E$4*0%*攻城基础信息!AD129)</f>
        <v>35957.795351732719</v>
      </c>
      <c r="BB128" s="2">
        <f>其他调用!T129*6*(其他调用!AJ$2*$AZ$1*MIN(其他调用!$AJ129/其他调用!AJ129,1)+$E$4*0%*攻城基础信息!AE129)</f>
        <v>108341.26955864338</v>
      </c>
      <c r="BC128" s="2">
        <f>其他调用!U129*6*(其他调用!AK$2*$AZ$1*MIN(其他调用!$AJ129/其他调用!AK129,1)+$E$4*0%*攻城基础信息!AF129)</f>
        <v>46103.209293474079</v>
      </c>
      <c r="BD128" s="2">
        <f>其他调用!V129*6*(其他调用!AL$2*$AZ$1*MIN(其他调用!$AJ129/其他调用!AL129,1)+$E$4*0%*攻城基础信息!AG129)</f>
        <v>13561.783453981923</v>
      </c>
      <c r="BF128" s="2">
        <v>125</v>
      </c>
      <c r="BG128" s="2">
        <f>求节点(节奏总纲!D$4:D$163,AZ$4:AZ$163,$AN128)</f>
        <v>7484.8553950358919</v>
      </c>
      <c r="BH128" s="2">
        <f>求节点(节奏总纲!E$4:E$163,BA$4:BA$163,$AN128)</f>
        <v>23144.75261550404</v>
      </c>
      <c r="BI128" s="2">
        <f>求节点(节奏总纲!F$4:F$163,BB$4:BB$163,$AN128)</f>
        <v>72155.669281555791</v>
      </c>
      <c r="BJ128" s="2">
        <f>求节点(节奏总纲!G$4:G$163,BC$4:BC$163,$AN128)</f>
        <v>34681.653299326172</v>
      </c>
      <c r="BK128" s="2">
        <f>求节点(节奏总纲!H$4:H$163,BD$4:BD$163,$AN128)</f>
        <v>10482.896550285486</v>
      </c>
      <c r="BL128" s="2">
        <f>BG128*其他调用!H129*其他调用!$M129</f>
        <v>358992.75299839256</v>
      </c>
      <c r="BM128" s="2">
        <f>BH128*其他调用!I129*其他调用!$M129</f>
        <v>1094550.3862305796</v>
      </c>
      <c r="BN128" s="2">
        <f>BI128*其他调用!J129*其他调用!$M129</f>
        <v>278551.18982385541</v>
      </c>
      <c r="BO128" s="2">
        <f>BJ128*其他调用!K129*其他调用!$M129</f>
        <v>23819.220759364023</v>
      </c>
      <c r="BP128" s="2">
        <f>BK128*其他调用!L129*其他调用!$M129</f>
        <v>2083.1612024727315</v>
      </c>
      <c r="BQ128" s="2">
        <f t="shared" si="18"/>
        <v>1757996.7110146643</v>
      </c>
      <c r="BR128" s="2">
        <f>[1]服务器生态!$R127</f>
        <v>1.802191464821222E-2</v>
      </c>
      <c r="BS128" s="2" t="e">
        <f>SUMPRODUCT((BG$4:BG128)*($BR$4:$BR128)*(其他调用!#REF!))</f>
        <v>#REF!</v>
      </c>
      <c r="BT128" s="2" t="e">
        <f>SUMPRODUCT((BH$4:BH128)*($BR$4:$BR128)*(其他调用!#REF!))</f>
        <v>#REF!</v>
      </c>
      <c r="BU128" s="2" t="e">
        <f>SUMPRODUCT((BI$4:BI128)*($BR$4:$BR128)*(其他调用!#REF!))</f>
        <v>#REF!</v>
      </c>
      <c r="BV128" s="2" t="e">
        <f>SUMPRODUCT((BJ$4:BJ128)*($BR$4:$BR128)*(其他调用!#REF!))</f>
        <v>#REF!</v>
      </c>
      <c r="BW128" s="2" t="e">
        <f>SUMPRODUCT((BK$4:BK128)*($BR$4:$BR128)*(其他调用!#REF!))</f>
        <v>#REF!</v>
      </c>
      <c r="BX128" s="2" t="e">
        <f>SUMPRODUCT((BG$4:BG128)*($BR$4:$BR128))*'[1]功能-战损相关'!$D$2-BS128</f>
        <v>#REF!</v>
      </c>
      <c r="BY128" s="2" t="e">
        <f>SUMPRODUCT((BH$4:BH128)*($BR$4:$BR128))*'[1]功能-战损相关'!$D$2-BT128</f>
        <v>#REF!</v>
      </c>
      <c r="BZ128" s="2" t="e">
        <f>SUMPRODUCT((BI$4:BI128)*($BR$4:$BR128))*'[1]功能-战损相关'!$D$2-BU128</f>
        <v>#REF!</v>
      </c>
      <c r="CA128" s="2" t="e">
        <f>SUMPRODUCT((BJ$4:BJ128)*($BR$4:$BR128))*'[1]功能-战损相关'!$D$2-BV128</f>
        <v>#REF!</v>
      </c>
      <c r="CB128" s="2" t="e">
        <f>SUMPRODUCT((BK$4:BK128)*($BR$4:$BR128))*'[1]功能-战损相关'!$D$2-BW128</f>
        <v>#REF!</v>
      </c>
    </row>
    <row r="129" spans="27:80" x14ac:dyDescent="0.2">
      <c r="AA129" s="2">
        <v>126</v>
      </c>
      <c r="AB129" s="2">
        <f>攻城基础信息!X130*$E$12</f>
        <v>586009.11630068801</v>
      </c>
      <c r="AC129" s="2">
        <f>攻城基础信息!Y130*$E$12</f>
        <v>601065.30788702017</v>
      </c>
      <c r="AD129" s="2">
        <f>攻城基础信息!Z130*$E$12</f>
        <v>617690.04642776365</v>
      </c>
      <c r="AE129" s="2">
        <f>攻城基础信息!AA130*$E$12</f>
        <v>628191.53717323474</v>
      </c>
      <c r="AF129" s="2">
        <f>攻城基础信息!AB130*$E$12</f>
        <v>640637.75612281961</v>
      </c>
      <c r="AH129" s="2">
        <f>$E$4*AB129*攻城基础信息!AC130</f>
        <v>14357223.349366847</v>
      </c>
      <c r="AI129" s="2">
        <f>$E$4*AC129*攻城基础信息!AD130</f>
        <v>14726100.043231983</v>
      </c>
      <c r="AJ129" s="2">
        <f>$E$4*AD129*攻城基础信息!AE130</f>
        <v>15133406.137480199</v>
      </c>
      <c r="AK129" s="2">
        <f>$E$4*AE129*攻城基础信息!AF130</f>
        <v>15390692.660744241</v>
      </c>
      <c r="AL129" s="2">
        <f>$E$4*AF129*攻城基础信息!AG130</f>
        <v>15695625.02500907</v>
      </c>
      <c r="AN129" s="2">
        <v>126</v>
      </c>
      <c r="AO129" s="2">
        <f>求节点(节奏总纲!D$4:D$163,AH$4:AH$163,$AN129)*其他调用!H130*其他调用!$M130</f>
        <v>178177262.63085163</v>
      </c>
      <c r="AP129" s="2">
        <f>求节点(节奏总纲!E$4:E$163,AI$4:AI$163,$AN129)*其他调用!I130*其他调用!$M130</f>
        <v>200791831.89280343</v>
      </c>
      <c r="AQ129" s="2">
        <f>求节点(节奏总纲!F$4:F$163,AJ$4:AJ$163,$AN129)*其他调用!J130*其他调用!$M130</f>
        <v>19055928.494730696</v>
      </c>
      <c r="AR129" s="2">
        <f>求节点(节奏总纲!G$4:G$163,AK$4:AK$163,$AN129)*其他调用!K130*其他调用!$M130</f>
        <v>4910451.4746949198</v>
      </c>
      <c r="AS129" s="2">
        <f>求节点(节奏总纲!H$4:H$163,AL$4:AL$163,$AN129)*其他调用!L130*其他调用!$M130</f>
        <v>1855802.2608697484</v>
      </c>
      <c r="AT129" s="2">
        <f t="shared" si="17"/>
        <v>404791276.75395042</v>
      </c>
      <c r="AY129" s="2">
        <v>126</v>
      </c>
      <c r="AZ129" s="2">
        <f>其他调用!R130*6*(其他调用!AH$2*$AZ$1*MIN(其他调用!$AJ130/其他调用!AH130,1)+$E$4*0%*攻城基础信息!AC130)</f>
        <v>12017.488394741667</v>
      </c>
      <c r="BA129" s="2">
        <f>其他调用!S130*6*(其他调用!AI$2*$AZ$1*MIN(其他调用!$AJ130/其他调用!AI130,1)+$E$4*0%*攻城基础信息!AD130)</f>
        <v>36197.805867065115</v>
      </c>
      <c r="BB129" s="2">
        <f>其他调用!T130*6*(其他调用!AJ$2*$AZ$1*MIN(其他调用!$AJ130/其他调用!AJ130,1)+$E$4*0%*攻城基础信息!AE130)</f>
        <v>109087.57592285176</v>
      </c>
      <c r="BC129" s="2">
        <f>其他调用!U130*6*(其他调用!AK$2*$AZ$1*MIN(其他调用!$AJ130/其他调用!AK130,1)+$E$4*0%*攻城基础信息!AF130)</f>
        <v>46324.220541184208</v>
      </c>
      <c r="BD129" s="2">
        <f>其他调用!V130*6*(其他调用!AL$2*$AZ$1*MIN(其他调用!$AJ130/其他调用!AL130,1)+$E$4*0%*攻城基础信息!AG130)</f>
        <v>13648.875122053207</v>
      </c>
      <c r="BF129" s="2">
        <v>126</v>
      </c>
      <c r="BG129" s="2">
        <f>求节点(节奏总纲!D$4:D$163,AZ$4:AZ$163,$AN129)</f>
        <v>7494.1392059988639</v>
      </c>
      <c r="BH129" s="2">
        <f>求节点(节奏总纲!E$4:E$163,BA$4:BA$163,$AN129)</f>
        <v>23173.372579025981</v>
      </c>
      <c r="BI129" s="2">
        <f>求节点(节奏总纲!F$4:F$163,BB$4:BB$163,$AN129)</f>
        <v>72241.082449951893</v>
      </c>
      <c r="BJ129" s="2">
        <f>求节点(节奏总纲!G$4:G$163,BC$4:BC$163,$AN129)</f>
        <v>34726.42531658784</v>
      </c>
      <c r="BK129" s="2">
        <f>求节点(节奏总纲!H$4:H$163,BD$4:BD$163,$AN129)</f>
        <v>10495.200791384577</v>
      </c>
      <c r="BL129" s="2">
        <f>BG129*其他调用!H130*其他调用!$M130</f>
        <v>359438.02824821562</v>
      </c>
      <c r="BM129" s="2">
        <f>BH129*其他调用!I130*其他调用!$M130</f>
        <v>1095903.8676285991</v>
      </c>
      <c r="BN129" s="2">
        <f>BI129*其他调用!J130*其他调用!$M130</f>
        <v>278880.92052859772</v>
      </c>
      <c r="BO129" s="2">
        <f>BJ129*其他调用!K130*其他调用!$M130</f>
        <v>23849.970001731268</v>
      </c>
      <c r="BP129" s="2">
        <f>BK129*其他调用!L130*其他调用!$M130</f>
        <v>2085.6063012639429</v>
      </c>
      <c r="BQ129" s="2">
        <f t="shared" si="18"/>
        <v>1760158.3927084075</v>
      </c>
      <c r="BR129" s="2">
        <f>[1]服务器生态!$R128</f>
        <v>1.7421184159938482E-2</v>
      </c>
      <c r="BS129" s="2" t="e">
        <f>SUMPRODUCT((BG$4:BG129)*($BR$4:$BR129)*(其他调用!#REF!))</f>
        <v>#REF!</v>
      </c>
      <c r="BT129" s="2" t="e">
        <f>SUMPRODUCT((BH$4:BH129)*($BR$4:$BR129)*(其他调用!#REF!))</f>
        <v>#REF!</v>
      </c>
      <c r="BU129" s="2" t="e">
        <f>SUMPRODUCT((BI$4:BI129)*($BR$4:$BR129)*(其他调用!#REF!))</f>
        <v>#REF!</v>
      </c>
      <c r="BV129" s="2" t="e">
        <f>SUMPRODUCT((BJ$4:BJ129)*($BR$4:$BR129)*(其他调用!#REF!))</f>
        <v>#REF!</v>
      </c>
      <c r="BW129" s="2" t="e">
        <f>SUMPRODUCT((BK$4:BK129)*($BR$4:$BR129)*(其他调用!#REF!))</f>
        <v>#REF!</v>
      </c>
      <c r="BX129" s="2" t="e">
        <f>SUMPRODUCT((BG$4:BG129)*($BR$4:$BR129))*'[1]功能-战损相关'!$D$2-BS129</f>
        <v>#REF!</v>
      </c>
      <c r="BY129" s="2" t="e">
        <f>SUMPRODUCT((BH$4:BH129)*($BR$4:$BR129))*'[1]功能-战损相关'!$D$2-BT129</f>
        <v>#REF!</v>
      </c>
      <c r="BZ129" s="2" t="e">
        <f>SUMPRODUCT((BI$4:BI129)*($BR$4:$BR129))*'[1]功能-战损相关'!$D$2-BU129</f>
        <v>#REF!</v>
      </c>
      <c r="CA129" s="2" t="e">
        <f>SUMPRODUCT((BJ$4:BJ129)*($BR$4:$BR129))*'[1]功能-战损相关'!$D$2-BV129</f>
        <v>#REF!</v>
      </c>
      <c r="CB129" s="2" t="e">
        <f>SUMPRODUCT((BK$4:BK129)*($BR$4:$BR129))*'[1]功能-战损相关'!$D$2-BW129</f>
        <v>#REF!</v>
      </c>
    </row>
    <row r="130" spans="27:80" x14ac:dyDescent="0.2">
      <c r="AA130" s="2">
        <v>127</v>
      </c>
      <c r="AB130" s="2">
        <f>攻城基础信息!X131*$E$12</f>
        <v>593692.9603949429</v>
      </c>
      <c r="AC130" s="2">
        <f>攻城基础信息!Y131*$E$12</f>
        <v>609049.67563286284</v>
      </c>
      <c r="AD130" s="2">
        <f>攻城基础信息!Z131*$E$12</f>
        <v>625274.73274219176</v>
      </c>
      <c r="AE130" s="2">
        <f>攻城基础信息!AA131*$E$12</f>
        <v>635802.95410322549</v>
      </c>
      <c r="AF130" s="2">
        <f>攻城基础信息!AB131*$E$12</f>
        <v>648274.41137956851</v>
      </c>
      <c r="AH130" s="2">
        <f>$E$4*AB130*攻城基础信息!AC131</f>
        <v>14545477.529676091</v>
      </c>
      <c r="AI130" s="2">
        <f>$E$4*AC130*攻城基础信息!AD131</f>
        <v>14921717.053005131</v>
      </c>
      <c r="AJ130" s="2">
        <f>$E$4*AD130*攻城基础信息!AE131</f>
        <v>15319230.952183686</v>
      </c>
      <c r="AK130" s="2">
        <f>$E$4*AE130*攻城基础信息!AF131</f>
        <v>15577172.375529014</v>
      </c>
      <c r="AL130" s="2">
        <f>$E$4*AF130*攻城基础信息!AG131</f>
        <v>15882723.078799419</v>
      </c>
      <c r="AN130" s="2">
        <v>127</v>
      </c>
      <c r="AO130" s="2">
        <f>求节点(节奏总纲!D$4:D$163,AH$4:AH$163,$AN130)*其他调用!H131*其他调用!$M131</f>
        <v>178762797.81133017</v>
      </c>
      <c r="AP130" s="2">
        <f>求节点(节奏总纲!E$4:E$163,AI$4:AI$163,$AN130)*其他调用!I131*其他调用!$M131</f>
        <v>201509203.96533883</v>
      </c>
      <c r="AQ130" s="2">
        <f>求节点(节奏总纲!F$4:F$163,AJ$4:AJ$163,$AN130)*其他调用!J131*其他调用!$M131</f>
        <v>19121937.275215287</v>
      </c>
      <c r="AR130" s="2">
        <f>求节点(节奏总纲!G$4:G$163,AK$4:AK$163,$AN130)*其他调用!K131*其他调用!$M131</f>
        <v>4936593.4611032745</v>
      </c>
      <c r="AS130" s="2">
        <f>求节点(节奏总纲!H$4:H$163,AL$4:AL$163,$AN130)*其他调用!L131*其他调用!$M131</f>
        <v>1860161.1732944136</v>
      </c>
      <c r="AT130" s="2">
        <f t="shared" si="17"/>
        <v>406190693.68628198</v>
      </c>
      <c r="AY130" s="2">
        <v>127</v>
      </c>
      <c r="AZ130" s="2">
        <f>其他调用!R131*6*(其他调用!AH$2*$AZ$1*MIN(其他调用!$AJ131/其他调用!AH131,1)+$E$4*0%*攻城基础信息!AC131)</f>
        <v>12096.581646610124</v>
      </c>
      <c r="BA130" s="2">
        <f>其他调用!S131*6*(其他调用!AI$2*$AZ$1*MIN(其他调用!$AJ131/其他调用!AI131,1)+$E$4*0%*攻城基础信息!AD131)</f>
        <v>36445.51890724308</v>
      </c>
      <c r="BB130" s="2">
        <f>其他调用!T131*6*(其他调用!AJ$2*$AZ$1*MIN(其他调用!$AJ131/其他调用!AJ131,1)+$E$4*0%*攻城基础信息!AE131)</f>
        <v>109770.4185398704</v>
      </c>
      <c r="BC130" s="2">
        <f>其他调用!U131*6*(其他调用!AK$2*$AZ$1*MIN(其他调用!$AJ131/其他调用!AK131,1)+$E$4*0%*攻城基础信息!AF131)</f>
        <v>46546.583503618109</v>
      </c>
      <c r="BD130" s="2">
        <f>其他调用!V131*6*(其他调用!AL$2*$AZ$1*MIN(其他调用!$AJ131/其他调用!AL131,1)+$E$4*0%*攻城基础信息!AG131)</f>
        <v>13735.956186962261</v>
      </c>
      <c r="BF130" s="2">
        <v>127</v>
      </c>
      <c r="BG130" s="2">
        <f>求节点(节奏总纲!D$4:D$163,AZ$4:AZ$163,$AN130)</f>
        <v>7503.4230169618359</v>
      </c>
      <c r="BH130" s="2">
        <f>求节点(节奏总纲!E$4:E$163,BA$4:BA$163,$AN130)</f>
        <v>23201.002078552363</v>
      </c>
      <c r="BI130" s="2">
        <f>求节点(节奏总纲!F$4:F$163,BB$4:BB$163,$AN130)</f>
        <v>72326.49561834801</v>
      </c>
      <c r="BJ130" s="2">
        <f>求节点(节奏总纲!G$4:G$163,BC$4:BC$163,$AN130)</f>
        <v>34771.197333849508</v>
      </c>
      <c r="BK130" s="2">
        <f>求节点(节奏总纲!H$4:H$163,BD$4:BD$163,$AN130)</f>
        <v>10507.505032483668</v>
      </c>
      <c r="BL130" s="2">
        <f>BG130*其他调用!H131*其他调用!$M131</f>
        <v>359883.30349803861</v>
      </c>
      <c r="BM130" s="2">
        <f>BH130*其他调用!I131*其他调用!$M131</f>
        <v>1097210.5084849675</v>
      </c>
      <c r="BN130" s="2">
        <f>BI130*其他调用!J131*其他调用!$M131</f>
        <v>279210.65123334009</v>
      </c>
      <c r="BO130" s="2">
        <f>BJ130*其他调用!K131*其他调用!$M131</f>
        <v>23880.719244098516</v>
      </c>
      <c r="BP130" s="2">
        <f>BK130*其他调用!L131*其他调用!$M131</f>
        <v>2088.0514000551543</v>
      </c>
      <c r="BQ130" s="2">
        <f t="shared" si="18"/>
        <v>1762273.2338604999</v>
      </c>
      <c r="BR130" s="2">
        <f>[1]服务器生态!$R129</f>
        <v>1.682045367166474E-2</v>
      </c>
      <c r="BS130" s="2" t="e">
        <f>SUMPRODUCT((BG$4:BG130)*($BR$4:$BR130)*(其他调用!#REF!))</f>
        <v>#REF!</v>
      </c>
      <c r="BT130" s="2" t="e">
        <f>SUMPRODUCT((BH$4:BH130)*($BR$4:$BR130)*(其他调用!#REF!))</f>
        <v>#REF!</v>
      </c>
      <c r="BU130" s="2" t="e">
        <f>SUMPRODUCT((BI$4:BI130)*($BR$4:$BR130)*(其他调用!#REF!))</f>
        <v>#REF!</v>
      </c>
      <c r="BV130" s="2" t="e">
        <f>SUMPRODUCT((BJ$4:BJ130)*($BR$4:$BR130)*(其他调用!#REF!))</f>
        <v>#REF!</v>
      </c>
      <c r="BW130" s="2" t="e">
        <f>SUMPRODUCT((BK$4:BK130)*($BR$4:$BR130)*(其他调用!#REF!))</f>
        <v>#REF!</v>
      </c>
      <c r="BX130" s="2" t="e">
        <f>SUMPRODUCT((BG$4:BG130)*($BR$4:$BR130))*'[1]功能-战损相关'!$D$2-BS130</f>
        <v>#REF!</v>
      </c>
      <c r="BY130" s="2" t="e">
        <f>SUMPRODUCT((BH$4:BH130)*($BR$4:$BR130))*'[1]功能-战损相关'!$D$2-BT130</f>
        <v>#REF!</v>
      </c>
      <c r="BZ130" s="2" t="e">
        <f>SUMPRODUCT((BI$4:BI130)*($BR$4:$BR130))*'[1]功能-战损相关'!$D$2-BU130</f>
        <v>#REF!</v>
      </c>
      <c r="CA130" s="2" t="e">
        <f>SUMPRODUCT((BJ$4:BJ130)*($BR$4:$BR130))*'[1]功能-战损相关'!$D$2-BV130</f>
        <v>#REF!</v>
      </c>
      <c r="CB130" s="2" t="e">
        <f>SUMPRODUCT((BK$4:BK130)*($BR$4:$BR130))*'[1]功能-战损相关'!$D$2-BW130</f>
        <v>#REF!</v>
      </c>
    </row>
    <row r="131" spans="27:80" x14ac:dyDescent="0.2">
      <c r="AA131" s="2">
        <v>128</v>
      </c>
      <c r="AB131" s="2">
        <f>攻城基础信息!X132*$E$12</f>
        <v>601385.31995522289</v>
      </c>
      <c r="AC131" s="2">
        <f>攻城基础信息!Y132*$E$12</f>
        <v>617047.05838099332</v>
      </c>
      <c r="AD131" s="2">
        <f>攻城基础信息!Z132*$E$12</f>
        <v>632859.41905661975</v>
      </c>
      <c r="AE131" s="2">
        <f>攻城基础信息!AA132*$E$12</f>
        <v>643414.37103321601</v>
      </c>
      <c r="AF131" s="2">
        <f>攻城基础信息!AB132*$E$12</f>
        <v>655911.06663631729</v>
      </c>
      <c r="AH131" s="2">
        <f>$E$4*AB131*攻城基础信息!AC132</f>
        <v>14733940.33890295</v>
      </c>
      <c r="AI131" s="2">
        <f>$E$4*AC131*攻城基础信息!AD132</f>
        <v>15117652.930334328</v>
      </c>
      <c r="AJ131" s="2">
        <f>$E$4*AD131*攻城基础信息!AE132</f>
        <v>15505055.766887175</v>
      </c>
      <c r="AK131" s="2">
        <f>$E$4*AE131*攻城基础信息!AF132</f>
        <v>15763652.090313783</v>
      </c>
      <c r="AL131" s="2">
        <f>$E$4*AF131*攻城基础信息!AG132</f>
        <v>16069821.132589763</v>
      </c>
      <c r="AN131" s="2">
        <v>128</v>
      </c>
      <c r="AO131" s="2">
        <f>求节点(节奏总纲!D$4:D$163,AH$4:AH$163,$AN131)*其他调用!H132*其他调用!$M132</f>
        <v>179341142.22541526</v>
      </c>
      <c r="AP131" s="2">
        <f>求节点(节奏总纲!E$4:E$163,AI$4:AI$163,$AN131)*其他调用!I132*其他调用!$M132</f>
        <v>202237121.14543024</v>
      </c>
      <c r="AQ131" s="2">
        <f>求节点(节奏总纲!F$4:F$163,AJ$4:AJ$163,$AN131)*其他调用!J132*其他调用!$M132</f>
        <v>19200576.982290633</v>
      </c>
      <c r="AR131" s="2">
        <f>求节点(节奏总纲!G$4:G$163,AK$4:AK$163,$AN131)*其他调用!K132*其他调用!$M132</f>
        <v>4962735.4475116283</v>
      </c>
      <c r="AS131" s="2">
        <f>求节点(节奏总纲!H$4:H$163,AL$4:AL$163,$AN131)*其他调用!L132*其他调用!$M132</f>
        <v>1864520.085719079</v>
      </c>
      <c r="AT131" s="2">
        <f t="shared" si="17"/>
        <v>407606095.88636684</v>
      </c>
      <c r="AY131" s="2">
        <v>128</v>
      </c>
      <c r="AZ131" s="2">
        <f>其他调用!R132*6*(其他调用!AH$2*$AZ$1*MIN(其他调用!$AJ132/其他调用!AH132,1)+$E$4*0%*攻城基础信息!AC132)</f>
        <v>12179.629131927566</v>
      </c>
      <c r="BA131" s="2">
        <f>其他调用!S132*6*(其他调用!AI$2*$AZ$1*MIN(其他调用!$AJ132/其他调用!AI132,1)+$E$4*0%*攻城基础信息!AD132)</f>
        <v>36671.911782611765</v>
      </c>
      <c r="BB131" s="2">
        <f>其他调用!T132*6*(其他调用!AJ$2*$AZ$1*MIN(其他调用!$AJ132/其他调用!AJ132,1)+$E$4*0%*攻城基础信息!AE132)</f>
        <v>110462.93301457423</v>
      </c>
      <c r="BC131" s="2">
        <f>其他调用!U132*6*(其他调用!AK$2*$AZ$1*MIN(其他调用!$AJ132/其他调用!AK132,1)+$E$4*0%*攻城基础信息!AF132)</f>
        <v>46819.993667393654</v>
      </c>
      <c r="BD131" s="2">
        <f>其他调用!V132*6*(其他调用!AL$2*$AZ$1*MIN(其他调用!$AJ132/其他调用!AL132,1)+$E$4*0%*攻城基础信息!AG132)</f>
        <v>13838.452845211414</v>
      </c>
      <c r="BF131" s="2">
        <v>128</v>
      </c>
      <c r="BG131" s="2">
        <f>求节点(节奏总纲!D$4:D$163,AZ$4:AZ$163,$AN131)</f>
        <v>7512.2954455469089</v>
      </c>
      <c r="BH131" s="2">
        <f>求节点(节奏总纲!E$4:E$163,BA$4:BA$163,$AN131)</f>
        <v>23227.25397280684</v>
      </c>
      <c r="BI131" s="2">
        <f>求节点(节奏总纲!F$4:F$163,BB$4:BB$163,$AN131)</f>
        <v>72407.057525224693</v>
      </c>
      <c r="BJ131" s="2">
        <f>求节点(节奏总纲!G$4:G$163,BC$4:BC$163,$AN131)</f>
        <v>34815.969351111176</v>
      </c>
      <c r="BK131" s="2">
        <f>求节点(节奏总纲!H$4:H$163,BD$4:BD$163,$AN131)</f>
        <v>10519.809273582758</v>
      </c>
      <c r="BL131" s="2">
        <f>BG131*其他调用!H132*其他调用!$M132</f>
        <v>360308.84779988974</v>
      </c>
      <c r="BM131" s="2">
        <f>BH131*其他调用!I132*其他调用!$M132</f>
        <v>1098452.0003026971</v>
      </c>
      <c r="BN131" s="2">
        <f>BI131*其他调用!J132*其他调用!$M132</f>
        <v>279521.65403101931</v>
      </c>
      <c r="BO131" s="2">
        <f>BJ131*其他调用!K132*其他调用!$M132</f>
        <v>23911.468486465757</v>
      </c>
      <c r="BP131" s="2">
        <f>BK131*其他调用!L132*其他调用!$M132</f>
        <v>2090.4964988463653</v>
      </c>
      <c r="BQ131" s="2">
        <f t="shared" si="18"/>
        <v>1764284.4671189182</v>
      </c>
      <c r="BR131" s="2">
        <f>[1]服务器生态!$R130</f>
        <v>1.6219723183391002E-2</v>
      </c>
      <c r="BS131" s="2" t="e">
        <f>SUMPRODUCT((BG$4:BG131)*($BR$4:$BR131)*(其他调用!#REF!))</f>
        <v>#REF!</v>
      </c>
      <c r="BT131" s="2" t="e">
        <f>SUMPRODUCT((BH$4:BH131)*($BR$4:$BR131)*(其他调用!#REF!))</f>
        <v>#REF!</v>
      </c>
      <c r="BU131" s="2" t="e">
        <f>SUMPRODUCT((BI$4:BI131)*($BR$4:$BR131)*(其他调用!#REF!))</f>
        <v>#REF!</v>
      </c>
      <c r="BV131" s="2" t="e">
        <f>SUMPRODUCT((BJ$4:BJ131)*($BR$4:$BR131)*(其他调用!#REF!))</f>
        <v>#REF!</v>
      </c>
      <c r="BW131" s="2" t="e">
        <f>SUMPRODUCT((BK$4:BK131)*($BR$4:$BR131)*(其他调用!#REF!))</f>
        <v>#REF!</v>
      </c>
      <c r="BX131" s="2" t="e">
        <f>SUMPRODUCT((BG$4:BG131)*($BR$4:$BR131))*'[1]功能-战损相关'!$D$2-BS131</f>
        <v>#REF!</v>
      </c>
      <c r="BY131" s="2" t="e">
        <f>SUMPRODUCT((BH$4:BH131)*($BR$4:$BR131))*'[1]功能-战损相关'!$D$2-BT131</f>
        <v>#REF!</v>
      </c>
      <c r="BZ131" s="2" t="e">
        <f>SUMPRODUCT((BI$4:BI131)*($BR$4:$BR131))*'[1]功能-战损相关'!$D$2-BU131</f>
        <v>#REF!</v>
      </c>
      <c r="CA131" s="2" t="e">
        <f>SUMPRODUCT((BJ$4:BJ131)*($BR$4:$BR131))*'[1]功能-战损相关'!$D$2-BV131</f>
        <v>#REF!</v>
      </c>
      <c r="CB131" s="2" t="e">
        <f>SUMPRODUCT((BK$4:BK131)*($BR$4:$BR131))*'[1]功能-战损相关'!$D$2-BW131</f>
        <v>#REF!</v>
      </c>
    </row>
    <row r="132" spans="27:80" x14ac:dyDescent="0.2">
      <c r="AA132" s="2">
        <v>129</v>
      </c>
      <c r="AB132" s="2">
        <f>攻城基础信息!X133*$E$12</f>
        <v>609086.19498152856</v>
      </c>
      <c r="AC132" s="2">
        <f>攻城基础信息!Y133*$E$12</f>
        <v>625057.45613141265</v>
      </c>
      <c r="AD132" s="2">
        <f>攻城基础信息!Z133*$E$12</f>
        <v>640444.10537104786</v>
      </c>
      <c r="AE132" s="2">
        <f>攻城基础信息!AA133*$E$12</f>
        <v>651025.78796320676</v>
      </c>
      <c r="AF132" s="2">
        <f>攻城基础信息!AB133*$E$12</f>
        <v>663547.72189306619</v>
      </c>
      <c r="AH132" s="2">
        <f>$E$4*AB132*攻城基础信息!AC133</f>
        <v>14922611.77704744</v>
      </c>
      <c r="AI132" s="2">
        <f>$E$4*AC132*攻城基础信息!AD133</f>
        <v>15313907.675219601</v>
      </c>
      <c r="AJ132" s="2">
        <f>$E$4*AD132*攻城基础信息!AE133</f>
        <v>15690880.581590664</v>
      </c>
      <c r="AK132" s="2">
        <f>$E$4*AE132*攻城基础信息!AF133</f>
        <v>15950131.805098556</v>
      </c>
      <c r="AL132" s="2">
        <f>$E$4*AF132*攻城基础信息!AG133</f>
        <v>16256919.186380111</v>
      </c>
      <c r="AN132" s="2">
        <v>129</v>
      </c>
      <c r="AO132" s="2">
        <f>求节点(节奏总纲!D$4:D$163,AH$4:AH$163,$AN132)*其他调用!H133*其他调用!$M133</f>
        <v>179919486.63950035</v>
      </c>
      <c r="AP132" s="2">
        <f>求节点(节奏总纲!E$4:E$163,AI$4:AI$163,$AN132)*其他调用!I133*其他调用!$M133</f>
        <v>202965038.32552165</v>
      </c>
      <c r="AQ132" s="2">
        <f>求节点(节奏总纲!F$4:F$163,AJ$4:AJ$163,$AN132)*其他调用!J133*其他调用!$M133</f>
        <v>19287013.648577794</v>
      </c>
      <c r="AR132" s="2">
        <f>求节点(节奏总纲!G$4:G$163,AK$4:AK$163,$AN132)*其他调用!K133*其他调用!$M133</f>
        <v>4988877.433919983</v>
      </c>
      <c r="AS132" s="2">
        <f>求节点(节奏总纲!H$4:H$163,AL$4:AL$163,$AN132)*其他调用!L133*其他调用!$M133</f>
        <v>1868878.9981437444</v>
      </c>
      <c r="AT132" s="2">
        <f t="shared" si="17"/>
        <v>409029295.04566348</v>
      </c>
      <c r="AY132" s="2">
        <v>129</v>
      </c>
      <c r="AZ132" s="2">
        <f>其他调用!R133*6*(其他调用!AH$2*$AZ$1*MIN(其他调用!$AJ133/其他调用!AH133,1)+$E$4*0%*攻城基础信息!AC133)</f>
        <v>12258.378367453675</v>
      </c>
      <c r="BA132" s="2">
        <f>其他调用!S133*6*(其他调用!AI$2*$AZ$1*MIN(其他调用!$AJ133/其他调用!AI133,1)+$E$4*0%*攻城基础信息!AD133)</f>
        <v>36917.546653968362</v>
      </c>
      <c r="BB132" s="2">
        <f>其他调用!T133*6*(其他调用!AJ$2*$AZ$1*MIN(其他调用!$AJ133/其他调用!AJ133,1)+$E$4*0%*攻城基础信息!AE133)</f>
        <v>111200.73403755884</v>
      </c>
      <c r="BC132" s="2">
        <f>其他调用!U133*6*(其他调用!AK$2*$AZ$1*MIN(其他调用!$AJ133/其他调用!AK133,1)+$E$4*0%*攻城基础信息!AF133)</f>
        <v>47145.492913435824</v>
      </c>
      <c r="BD132" s="2">
        <f>其他调用!V133*6*(其他调用!AL$2*$AZ$1*MIN(其他调用!$AJ133/其他调用!AL133,1)+$E$4*0%*攻城基础信息!AG133)</f>
        <v>13953.769784242073</v>
      </c>
      <c r="BF132" s="2">
        <v>129</v>
      </c>
      <c r="BG132" s="2">
        <f>求节点(节奏总纲!D$4:D$163,AZ$4:AZ$163,$AN132)</f>
        <v>7521.167874131982</v>
      </c>
      <c r="BH132" s="2">
        <f>求节点(节奏总纲!E$4:E$163,BA$4:BA$163,$AN132)</f>
        <v>23253.505867061314</v>
      </c>
      <c r="BI132" s="2">
        <f>求节点(节奏总纲!F$4:F$163,BB$4:BB$163,$AN132)</f>
        <v>72484.62479129486</v>
      </c>
      <c r="BJ132" s="2">
        <f>求节点(节奏总纲!G$4:G$163,BC$4:BC$163,$AN132)</f>
        <v>34860.741368372845</v>
      </c>
      <c r="BK132" s="2">
        <f>求节点(节奏总纲!H$4:H$163,BD$4:BD$163,$AN132)</f>
        <v>10532.113514681849</v>
      </c>
      <c r="BL132" s="2">
        <f>BG132*其他调用!H133*其他调用!$M133</f>
        <v>360734.39210174081</v>
      </c>
      <c r="BM132" s="2">
        <f>BH132*其他调用!I133*其他调用!$M133</f>
        <v>1099693.4921204264</v>
      </c>
      <c r="BN132" s="2">
        <f>BI132*其他调用!J133*其他调用!$M133</f>
        <v>279821.09625739406</v>
      </c>
      <c r="BO132" s="2">
        <f>BJ132*其他调用!K133*其他调用!$M133</f>
        <v>23942.217728833002</v>
      </c>
      <c r="BP132" s="2">
        <f>BK132*其他调用!L133*其他调用!$M133</f>
        <v>2092.9415976375767</v>
      </c>
      <c r="BQ132" s="2">
        <f t="shared" si="18"/>
        <v>1766284.1398060317</v>
      </c>
      <c r="BR132" s="2">
        <f>[1]服务器生态!$R131</f>
        <v>1.5618992695117259E-2</v>
      </c>
      <c r="BS132" s="2" t="e">
        <f>SUMPRODUCT((BG$4:BG132)*($BR$4:$BR132)*(其他调用!#REF!))</f>
        <v>#REF!</v>
      </c>
      <c r="BT132" s="2" t="e">
        <f>SUMPRODUCT((BH$4:BH132)*($BR$4:$BR132)*(其他调用!#REF!))</f>
        <v>#REF!</v>
      </c>
      <c r="BU132" s="2" t="e">
        <f>SUMPRODUCT((BI$4:BI132)*($BR$4:$BR132)*(其他调用!#REF!))</f>
        <v>#REF!</v>
      </c>
      <c r="BV132" s="2" t="e">
        <f>SUMPRODUCT((BJ$4:BJ132)*($BR$4:$BR132)*(其他调用!#REF!))</f>
        <v>#REF!</v>
      </c>
      <c r="BW132" s="2" t="e">
        <f>SUMPRODUCT((BK$4:BK132)*($BR$4:$BR132)*(其他调用!#REF!))</f>
        <v>#REF!</v>
      </c>
      <c r="BX132" s="2" t="e">
        <f>SUMPRODUCT((BG$4:BG132)*($BR$4:$BR132))*'[1]功能-战损相关'!$D$2-BS132</f>
        <v>#REF!</v>
      </c>
      <c r="BY132" s="2" t="e">
        <f>SUMPRODUCT((BH$4:BH132)*($BR$4:$BR132))*'[1]功能-战损相关'!$D$2-BT132</f>
        <v>#REF!</v>
      </c>
      <c r="BZ132" s="2" t="e">
        <f>SUMPRODUCT((BI$4:BI132)*($BR$4:$BR132))*'[1]功能-战损相关'!$D$2-BU132</f>
        <v>#REF!</v>
      </c>
      <c r="CA132" s="2" t="e">
        <f>SUMPRODUCT((BJ$4:BJ132)*($BR$4:$BR132))*'[1]功能-战损相关'!$D$2-BV132</f>
        <v>#REF!</v>
      </c>
      <c r="CB132" s="2" t="e">
        <f>SUMPRODUCT((BK$4:BK132)*($BR$4:$BR132))*'[1]功能-战损相关'!$D$2-BW132</f>
        <v>#REF!</v>
      </c>
    </row>
    <row r="133" spans="27:80" x14ac:dyDescent="0.2">
      <c r="AA133" s="2">
        <v>130</v>
      </c>
      <c r="AB133" s="2">
        <f>攻城基础信息!X134*$E$12</f>
        <v>616795.58547385945</v>
      </c>
      <c r="AC133" s="2">
        <f>攻城基础信息!Y134*$E$12</f>
        <v>633080.86888411955</v>
      </c>
      <c r="AD133" s="2">
        <f>攻城基础信息!Z134*$E$12</f>
        <v>648028.79168547585</v>
      </c>
      <c r="AE133" s="2">
        <f>攻城基础信息!AA134*$E$12</f>
        <v>658637.20489319728</v>
      </c>
      <c r="AF133" s="2">
        <f>攻城基础信息!AB134*$E$12</f>
        <v>671184.37714981497</v>
      </c>
      <c r="AH133" s="2">
        <f>$E$4*AB133*攻城基础信息!AC134</f>
        <v>15111491.844109546</v>
      </c>
      <c r="AI133" s="2">
        <f>$E$4*AC133*攻城基础信息!AD134</f>
        <v>15510481.287660921</v>
      </c>
      <c r="AJ133" s="2">
        <f>$E$4*AD133*攻城基础信息!AE134</f>
        <v>15876705.396294149</v>
      </c>
      <c r="AK133" s="2">
        <f>$E$4*AE133*攻城基础信息!AF134</f>
        <v>16136611.519883325</v>
      </c>
      <c r="AL133" s="2">
        <f>$E$4*AF133*攻城基础信息!AG134</f>
        <v>16444017.240170456</v>
      </c>
      <c r="AN133" s="2">
        <v>130</v>
      </c>
      <c r="AO133" s="2">
        <f>求节点(节奏总纲!D$4:D$163,AH$4:AH$163,$AN133)*其他调用!H134*其他调用!$M134</f>
        <v>180497831.05358541</v>
      </c>
      <c r="AP133" s="2">
        <f>求节点(节奏总纲!E$4:E$163,AI$4:AI$163,$AN133)*其他调用!I134*其他调用!$M134</f>
        <v>203692955.50561306</v>
      </c>
      <c r="AQ133" s="2">
        <f>求节点(节奏总纲!F$4:F$163,AJ$4:AJ$163,$AN133)*其他调用!J134*其他调用!$M134</f>
        <v>19373450.314864956</v>
      </c>
      <c r="AR133" s="2">
        <f>求节点(节奏总纲!G$4:G$163,AK$4:AK$163,$AN133)*其他调用!K134*其他调用!$M134</f>
        <v>5015019.4203283377</v>
      </c>
      <c r="AS133" s="2">
        <f>求节点(节奏总纲!H$4:H$163,AL$4:AL$163,$AN133)*其他调用!L134*其他调用!$M134</f>
        <v>1873237.9105684096</v>
      </c>
      <c r="AT133" s="2">
        <f t="shared" si="17"/>
        <v>410452494.20496017</v>
      </c>
      <c r="AY133" s="2">
        <v>130</v>
      </c>
      <c r="AZ133" s="2">
        <f>其他调用!R134*6*(其他调用!AH$2*$AZ$1*MIN(其他调用!$AJ134/其他调用!AH134,1)+$E$4*0%*攻城基础信息!AC134)</f>
        <v>12341.003214011158</v>
      </c>
      <c r="BA133" s="2">
        <f>其他调用!S134*6*(其他调用!AI$2*$AZ$1*MIN(其他调用!$AJ134/其他调用!AI134,1)+$E$4*0%*攻城基础信息!AD134)</f>
        <v>37160.625467949729</v>
      </c>
      <c r="BB133" s="2">
        <f>其他调用!T134*6*(其他调用!AJ$2*$AZ$1*MIN(其他调用!$AJ134/其他调用!AJ134,1)+$E$4*0%*攻城基础信息!AE134)</f>
        <v>111946.89960776117</v>
      </c>
      <c r="BC133" s="2">
        <f>其他调用!U134*6*(其他调用!AK$2*$AZ$1*MIN(其他调用!$AJ134/其他调用!AK134,1)+$E$4*0%*攻城基础信息!AF134)</f>
        <v>47470.373169330625</v>
      </c>
      <c r="BD133" s="2">
        <f>其他调用!V134*6*(其他调用!AL$2*$AZ$1*MIN(其他调用!$AJ134/其他调用!AL134,1)+$E$4*0%*攻城基础信息!AG134)</f>
        <v>14069.443509140609</v>
      </c>
      <c r="BF133" s="2">
        <v>130</v>
      </c>
      <c r="BG133" s="2">
        <f>求节点(节奏总纲!D$4:D$163,AZ$4:AZ$163,$AN133)</f>
        <v>7530.0403027170541</v>
      </c>
      <c r="BH133" s="2">
        <f>求节点(节奏总纲!E$4:E$163,BA$4:BA$163,$AN133)</f>
        <v>23279.757761315792</v>
      </c>
      <c r="BI133" s="2">
        <f>求节点(节奏总纲!F$4:F$163,BB$4:BB$163,$AN133)</f>
        <v>72562.192057365013</v>
      </c>
      <c r="BJ133" s="2">
        <f>求节点(节奏总纲!G$4:G$163,BC$4:BC$163,$AN133)</f>
        <v>34905.51338563452</v>
      </c>
      <c r="BK133" s="2">
        <f>求节点(节奏总纲!H$4:H$163,BD$4:BD$163,$AN133)</f>
        <v>10544.41775578094</v>
      </c>
      <c r="BL133" s="2">
        <f>BG133*其他调用!H134*其他调用!$M134</f>
        <v>361159.93640359188</v>
      </c>
      <c r="BM133" s="2">
        <f>BH133*其他调用!I134*其他调用!$M134</f>
        <v>1100934.9839381559</v>
      </c>
      <c r="BN133" s="2">
        <f>BI133*其他调用!J134*其他调用!$M134</f>
        <v>280120.5384837687</v>
      </c>
      <c r="BO133" s="2">
        <f>BJ133*其他调用!K134*其他调用!$M134</f>
        <v>23972.966971200254</v>
      </c>
      <c r="BP133" s="2">
        <f>BK133*其他调用!L134*其他调用!$M134</f>
        <v>2095.3866964287881</v>
      </c>
      <c r="BQ133" s="2">
        <f t="shared" si="18"/>
        <v>1768283.8124931455</v>
      </c>
      <c r="BR133" s="2">
        <f>[1]服务器生态!$R132</f>
        <v>1.5018262206843519E-2</v>
      </c>
      <c r="BS133" s="2" t="e">
        <f>SUMPRODUCT((BG$4:BG133)*($BR$4:$BR133)*(其他调用!#REF!))</f>
        <v>#REF!</v>
      </c>
      <c r="BT133" s="2" t="e">
        <f>SUMPRODUCT((BH$4:BH133)*($BR$4:$BR133)*(其他调用!#REF!))</f>
        <v>#REF!</v>
      </c>
      <c r="BU133" s="2" t="e">
        <f>SUMPRODUCT((BI$4:BI133)*($BR$4:$BR133)*(其他调用!#REF!))</f>
        <v>#REF!</v>
      </c>
      <c r="BV133" s="2" t="e">
        <f>SUMPRODUCT((BJ$4:BJ133)*($BR$4:$BR133)*(其他调用!#REF!))</f>
        <v>#REF!</v>
      </c>
      <c r="BW133" s="2" t="e">
        <f>SUMPRODUCT((BK$4:BK133)*($BR$4:$BR133)*(其他调用!#REF!))</f>
        <v>#REF!</v>
      </c>
      <c r="BX133" s="2" t="e">
        <f>SUMPRODUCT((BG$4:BG133)*($BR$4:$BR133))*'[1]功能-战损相关'!$D$2-BS133</f>
        <v>#REF!</v>
      </c>
      <c r="BY133" s="2" t="e">
        <f>SUMPRODUCT((BH$4:BH133)*($BR$4:$BR133))*'[1]功能-战损相关'!$D$2-BT133</f>
        <v>#REF!</v>
      </c>
      <c r="BZ133" s="2" t="e">
        <f>SUMPRODUCT((BI$4:BI133)*($BR$4:$BR133))*'[1]功能-战损相关'!$D$2-BU133</f>
        <v>#REF!</v>
      </c>
      <c r="CA133" s="2" t="e">
        <f>SUMPRODUCT((BJ$4:BJ133)*($BR$4:$BR133))*'[1]功能-战损相关'!$D$2-BV133</f>
        <v>#REF!</v>
      </c>
      <c r="CB133" s="2" t="e">
        <f>SUMPRODUCT((BK$4:BK133)*($BR$4:$BR133))*'[1]功能-战损相关'!$D$2-BW133</f>
        <v>#REF!</v>
      </c>
    </row>
    <row r="134" spans="27:80" x14ac:dyDescent="0.2">
      <c r="AA134" s="2">
        <v>131</v>
      </c>
      <c r="AB134" s="2">
        <f>攻城基础信息!X135*$E$12</f>
        <v>624513.49143221579</v>
      </c>
      <c r="AC134" s="2">
        <f>攻城基础信息!Y135*$E$12</f>
        <v>641117.29663911497</v>
      </c>
      <c r="AD134" s="2">
        <f>攻城基础信息!Z135*$E$12</f>
        <v>655613.47799990396</v>
      </c>
      <c r="AE134" s="2">
        <f>攻城基础信息!AA135*$E$12</f>
        <v>666248.62182318792</v>
      </c>
      <c r="AF134" s="2">
        <f>攻城基础信息!AB135*$E$12</f>
        <v>678821.03240656375</v>
      </c>
      <c r="AH134" s="2">
        <f>$E$4*AB134*攻城基础信息!AC135</f>
        <v>15300580.540089276</v>
      </c>
      <c r="AI134" s="2">
        <f>$E$4*AC134*攻城基础信息!AD135</f>
        <v>15707373.767658308</v>
      </c>
      <c r="AJ134" s="2">
        <f>$E$4*AD134*攻城基础信息!AE135</f>
        <v>16062530.210997635</v>
      </c>
      <c r="AK134" s="2">
        <f>$E$4*AE134*攻城基础信息!AF135</f>
        <v>16323091.234668093</v>
      </c>
      <c r="AL134" s="2">
        <f>$E$4*AF134*攻城基础信息!AG135</f>
        <v>16631115.2939608</v>
      </c>
      <c r="AN134" s="2">
        <v>131</v>
      </c>
      <c r="AO134" s="2">
        <f>求节点(节奏总纲!D$4:D$163,AH$4:AH$163,$AN134)*其他调用!H135*其他调用!$M135</f>
        <v>181076175.46767047</v>
      </c>
      <c r="AP134" s="2">
        <f>求节点(节奏总纲!E$4:E$163,AI$4:AI$163,$AN134)*其他调用!I135*其他调用!$M135</f>
        <v>204420872.68570444</v>
      </c>
      <c r="AQ134" s="2">
        <f>求节点(节奏总纲!F$4:F$163,AJ$4:AJ$163,$AN134)*其他调用!J135*其他调用!$M135</f>
        <v>19459886.981152121</v>
      </c>
      <c r="AR134" s="2">
        <f>求节点(节奏总纲!G$4:G$163,AK$4:AK$163,$AN134)*其他调用!K135*其他调用!$M135</f>
        <v>5041161.4067366924</v>
      </c>
      <c r="AS134" s="2">
        <f>求节点(节奏总纲!H$4:H$163,AL$4:AL$163,$AN134)*其他调用!L135*其他调用!$M135</f>
        <v>1877520.8530117008</v>
      </c>
      <c r="AT134" s="2">
        <f t="shared" si="17"/>
        <v>411875617.39427543</v>
      </c>
      <c r="AY134" s="2">
        <v>131</v>
      </c>
      <c r="AZ134" s="2">
        <f>其他调用!R135*6*(其他调用!AH$2*$AZ$1*MIN(其他调用!$AJ135/其他调用!AH135,1)+$E$4*0%*攻城基础信息!AC135)</f>
        <v>12420.262420621199</v>
      </c>
      <c r="BA134" s="2">
        <f>其他调用!S135*6*(其他调用!AI$2*$AZ$1*MIN(其他调用!$AJ135/其他调用!AI135,1)+$E$4*0%*攻城基础信息!AD135)</f>
        <v>37406.446399385575</v>
      </c>
      <c r="BB134" s="2">
        <f>其他调用!T135*6*(其他调用!AJ$2*$AZ$1*MIN(其他调用!$AJ135/其他调用!AJ135,1)+$E$4*0%*攻城基础信息!AE135)</f>
        <v>112681.6101675088</v>
      </c>
      <c r="BC134" s="2">
        <f>其他调用!U135*6*(其他调用!AK$2*$AZ$1*MIN(其他调用!$AJ135/其他调用!AK135,1)+$E$4*0%*攻城基础信息!AF135)</f>
        <v>47792.042653720819</v>
      </c>
      <c r="BD134" s="2">
        <f>其他调用!V135*6*(其他调用!AL$2*$AZ$1*MIN(其他调用!$AJ135/其他调用!AL135,1)+$E$4*0%*攻城基础信息!AG135)</f>
        <v>14179.091133894673</v>
      </c>
      <c r="BF134" s="2">
        <v>131</v>
      </c>
      <c r="BG134" s="2">
        <f>求节点(节奏总纲!D$4:D$163,AZ$4:AZ$163,$AN134)</f>
        <v>7538.9127313021272</v>
      </c>
      <c r="BH134" s="2">
        <f>求节点(节奏总纲!E$4:E$163,BA$4:BA$163,$AN134)</f>
        <v>23306.009655570269</v>
      </c>
      <c r="BI134" s="2">
        <f>求节点(节奏总纲!F$4:F$163,BB$4:BB$163,$AN134)</f>
        <v>72639.759323435181</v>
      </c>
      <c r="BJ134" s="2">
        <f>求节点(节奏总纲!G$4:G$163,BC$4:BC$163,$AN134)</f>
        <v>34950.285402896188</v>
      </c>
      <c r="BK134" s="2">
        <f>求节点(节奏总纲!H$4:H$163,BD$4:BD$163,$AN134)</f>
        <v>10556.352245879443</v>
      </c>
      <c r="BL134" s="2">
        <f>BG134*其他调用!H135*其他调用!$M135</f>
        <v>361585.48070544295</v>
      </c>
      <c r="BM134" s="2">
        <f>BH134*其他调用!I135*其他调用!$M135</f>
        <v>1102176.4757558855</v>
      </c>
      <c r="BN134" s="2">
        <f>BI134*其他调用!J135*其他调用!$M135</f>
        <v>280419.98071014346</v>
      </c>
      <c r="BO134" s="2">
        <f>BJ134*其他调用!K135*其他调用!$M135</f>
        <v>24003.716213567499</v>
      </c>
      <c r="BP134" s="2">
        <f>BK134*其他调用!L135*其他调用!$M135</f>
        <v>2097.7583183011629</v>
      </c>
      <c r="BQ134" s="2">
        <f t="shared" si="18"/>
        <v>1770283.4117033405</v>
      </c>
      <c r="BR134" s="2">
        <f>[1]服务器生态!$R133</f>
        <v>1.4417531718569777E-2</v>
      </c>
      <c r="BS134" s="2" t="e">
        <f>SUMPRODUCT((BG$4:BG134)*($BR$4:$BR134)*(其他调用!#REF!))</f>
        <v>#REF!</v>
      </c>
      <c r="BT134" s="2" t="e">
        <f>SUMPRODUCT((BH$4:BH134)*($BR$4:$BR134)*(其他调用!#REF!))</f>
        <v>#REF!</v>
      </c>
      <c r="BU134" s="2" t="e">
        <f>SUMPRODUCT((BI$4:BI134)*($BR$4:$BR134)*(其他调用!#REF!))</f>
        <v>#REF!</v>
      </c>
      <c r="BV134" s="2" t="e">
        <f>SUMPRODUCT((BJ$4:BJ134)*($BR$4:$BR134)*(其他调用!#REF!))</f>
        <v>#REF!</v>
      </c>
      <c r="BW134" s="2" t="e">
        <f>SUMPRODUCT((BK$4:BK134)*($BR$4:$BR134)*(其他调用!#REF!))</f>
        <v>#REF!</v>
      </c>
      <c r="BX134" s="2" t="e">
        <f>SUMPRODUCT((BG$4:BG134)*($BR$4:$BR134))*'[1]功能-战损相关'!$D$2-BS134</f>
        <v>#REF!</v>
      </c>
      <c r="BY134" s="2" t="e">
        <f>SUMPRODUCT((BH$4:BH134)*($BR$4:$BR134))*'[1]功能-战损相关'!$D$2-BT134</f>
        <v>#REF!</v>
      </c>
      <c r="BZ134" s="2" t="e">
        <f>SUMPRODUCT((BI$4:BI134)*($BR$4:$BR134))*'[1]功能-战损相关'!$D$2-BU134</f>
        <v>#REF!</v>
      </c>
      <c r="CA134" s="2" t="e">
        <f>SUMPRODUCT((BJ$4:BJ134)*($BR$4:$BR134))*'[1]功能-战损相关'!$D$2-BV134</f>
        <v>#REF!</v>
      </c>
      <c r="CB134" s="2" t="e">
        <f>SUMPRODUCT((BK$4:BK134)*($BR$4:$BR134))*'[1]功能-战损相关'!$D$2-BW134</f>
        <v>#REF!</v>
      </c>
    </row>
    <row r="135" spans="27:80" x14ac:dyDescent="0.2">
      <c r="AA135" s="2">
        <v>132</v>
      </c>
      <c r="AB135" s="2">
        <f>攻城基础信息!X136*$E$12</f>
        <v>632239.91285659734</v>
      </c>
      <c r="AC135" s="2">
        <f>攻城基础信息!Y136*$E$12</f>
        <v>649166.73939639877</v>
      </c>
      <c r="AD135" s="2">
        <f>攻城基础信息!Z136*$E$12</f>
        <v>663198.16431433184</v>
      </c>
      <c r="AE135" s="2">
        <f>攻城基础信息!AA136*$E$12</f>
        <v>673860.03875317844</v>
      </c>
      <c r="AF135" s="2">
        <f>攻城基础信息!AB136*$E$12</f>
        <v>686457.68766331254</v>
      </c>
      <c r="AH135" s="2">
        <f>$E$4*AB135*攻城基础信息!AC136</f>
        <v>15489877.864986625</v>
      </c>
      <c r="AI135" s="2">
        <f>$E$4*AC135*攻城基础信息!AD136</f>
        <v>15904585.115211759</v>
      </c>
      <c r="AJ135" s="2">
        <f>$E$4*AD135*攻城基础信息!AE136</f>
        <v>16248355.02570112</v>
      </c>
      <c r="AK135" s="2">
        <f>$E$4*AE135*攻城基础信息!AF136</f>
        <v>16509570.949452862</v>
      </c>
      <c r="AL135" s="2">
        <f>$E$4*AF135*攻城基础信息!AG136</f>
        <v>16818213.347751144</v>
      </c>
      <c r="AN135" s="2">
        <v>132</v>
      </c>
      <c r="AO135" s="2">
        <f>求节点(节奏总纲!D$4:D$163,AH$4:AH$163,$AN135)*其他调用!H136*其他调用!$M136</f>
        <v>181654519.88175556</v>
      </c>
      <c r="AP135" s="2">
        <f>求节点(节奏总纲!E$4:E$163,AI$4:AI$163,$AN135)*其他调用!I136*其他调用!$M136</f>
        <v>205148789.86579591</v>
      </c>
      <c r="AQ135" s="2">
        <f>求节点(节奏总纲!F$4:F$163,AJ$4:AJ$163,$AN135)*其他调用!J136*其他调用!$M136</f>
        <v>19546323.647439282</v>
      </c>
      <c r="AR135" s="2">
        <f>求节点(节奏总纲!G$4:G$163,AK$4:AK$163,$AN135)*其他调用!K136*其他调用!$M136</f>
        <v>5064047.3151004585</v>
      </c>
      <c r="AS135" s="2">
        <f>求节点(节奏总纲!H$4:H$163,AL$4:AL$163,$AN135)*其他调用!L136*其他调用!$M136</f>
        <v>1881680.1950900771</v>
      </c>
      <c r="AT135" s="2">
        <f t="shared" si="17"/>
        <v>413295360.90518123</v>
      </c>
      <c r="AY135" s="2">
        <v>132</v>
      </c>
      <c r="AZ135" s="2">
        <f>其他调用!R136*6*(其他调用!AH$2*$AZ$1*MIN(其他调用!$AJ136/其他调用!AH136,1)+$E$4*0%*攻城基础信息!AC136)</f>
        <v>12502.470640540509</v>
      </c>
      <c r="BA135" s="2">
        <f>其他调用!S136*6*(其他调用!AI$2*$AZ$1*MIN(其他调用!$AJ136/其他调用!AI136,1)+$E$4*0%*攻城基础信息!AD136)</f>
        <v>37649.552521005797</v>
      </c>
      <c r="BB135" s="2">
        <f>其他调用!T136*6*(其他调用!AJ$2*$AZ$1*MIN(其他调用!$AJ136/其他调用!AJ136,1)+$E$4*0%*攻城基础信息!AE136)</f>
        <v>113425.61986812818</v>
      </c>
      <c r="BC135" s="2">
        <f>其他调用!U136*6*(其他调用!AK$2*$AZ$1*MIN(其他调用!$AJ136/其他调用!AK136,1)+$E$4*0%*攻城基础信息!AF136)</f>
        <v>48027.998773417974</v>
      </c>
      <c r="BD135" s="2">
        <f>其他调用!V136*6*(其他调用!AL$2*$AZ$1*MIN(其他调用!$AJ136/其他调用!AL136,1)+$E$4*0%*攻城基础信息!AG136)</f>
        <v>14280.91992962045</v>
      </c>
      <c r="BF135" s="2">
        <v>132</v>
      </c>
      <c r="BG135" s="2">
        <f>求节点(节奏总纲!D$4:D$163,AZ$4:AZ$163,$AN135)</f>
        <v>7547.7851598872003</v>
      </c>
      <c r="BH135" s="2">
        <f>求节点(节奏总纲!E$4:E$163,BA$4:BA$163,$AN135)</f>
        <v>23332.261549824743</v>
      </c>
      <c r="BI135" s="2">
        <f>求节点(节奏总纲!F$4:F$163,BB$4:BB$163,$AN135)</f>
        <v>72717.326589505348</v>
      </c>
      <c r="BJ135" s="2">
        <f>求节点(节奏总纲!G$4:G$163,BC$4:BC$163,$AN135)</f>
        <v>34993.014704519483</v>
      </c>
      <c r="BK135" s="2">
        <f>求节点(节奏总纲!H$4:H$163,BD$4:BD$163,$AN135)</f>
        <v>10567.68516470238</v>
      </c>
      <c r="BL135" s="2">
        <f>BG135*其他调用!H136*其他调用!$M136</f>
        <v>362011.02500729414</v>
      </c>
      <c r="BM135" s="2">
        <f>BH135*其他调用!I136*其他调用!$M136</f>
        <v>1103417.9675736148</v>
      </c>
      <c r="BN135" s="2">
        <f>BI135*其他调用!J136*其他调用!$M136</f>
        <v>280719.42293651821</v>
      </c>
      <c r="BO135" s="2">
        <f>BJ135*其他调用!K136*其他调用!$M136</f>
        <v>24033.062527005168</v>
      </c>
      <c r="BP135" s="2">
        <f>BK135*其他调用!L136*其他调用!$M136</f>
        <v>2100.0103959296566</v>
      </c>
      <c r="BQ135" s="2">
        <f t="shared" si="18"/>
        <v>1772281.4884403618</v>
      </c>
      <c r="BR135" s="2">
        <f>[1]服务器生态!$R134</f>
        <v>1.3816801230296038E-2</v>
      </c>
      <c r="BS135" s="2" t="e">
        <f>SUMPRODUCT((BG$4:BG135)*($BR$4:$BR135)*(其他调用!#REF!))</f>
        <v>#REF!</v>
      </c>
      <c r="BT135" s="2" t="e">
        <f>SUMPRODUCT((BH$4:BH135)*($BR$4:$BR135)*(其他调用!#REF!))</f>
        <v>#REF!</v>
      </c>
      <c r="BU135" s="2" t="e">
        <f>SUMPRODUCT((BI$4:BI135)*($BR$4:$BR135)*(其他调用!#REF!))</f>
        <v>#REF!</v>
      </c>
      <c r="BV135" s="2" t="e">
        <f>SUMPRODUCT((BJ$4:BJ135)*($BR$4:$BR135)*(其他调用!#REF!))</f>
        <v>#REF!</v>
      </c>
      <c r="BW135" s="2" t="e">
        <f>SUMPRODUCT((BK$4:BK135)*($BR$4:$BR135)*(其他调用!#REF!))</f>
        <v>#REF!</v>
      </c>
      <c r="BX135" s="2" t="e">
        <f>SUMPRODUCT((BG$4:BG135)*($BR$4:$BR135))*'[1]功能-战损相关'!$D$2-BS135</f>
        <v>#REF!</v>
      </c>
      <c r="BY135" s="2" t="e">
        <f>SUMPRODUCT((BH$4:BH135)*($BR$4:$BR135))*'[1]功能-战损相关'!$D$2-BT135</f>
        <v>#REF!</v>
      </c>
      <c r="BZ135" s="2" t="e">
        <f>SUMPRODUCT((BI$4:BI135)*($BR$4:$BR135))*'[1]功能-战损相关'!$D$2-BU135</f>
        <v>#REF!</v>
      </c>
      <c r="CA135" s="2" t="e">
        <f>SUMPRODUCT((BJ$4:BJ135)*($BR$4:$BR135))*'[1]功能-战损相关'!$D$2-BV135</f>
        <v>#REF!</v>
      </c>
      <c r="CB135" s="2" t="e">
        <f>SUMPRODUCT((BK$4:BK135)*($BR$4:$BR135))*'[1]功能-战损相关'!$D$2-BW135</f>
        <v>#REF!</v>
      </c>
    </row>
    <row r="136" spans="27:80" x14ac:dyDescent="0.2">
      <c r="AA136" s="2">
        <v>133</v>
      </c>
      <c r="AB136" s="2">
        <f>攻城基础信息!X137*$E$12</f>
        <v>639974.84974700434</v>
      </c>
      <c r="AC136" s="2">
        <f>攻城基础信息!Y137*$E$12</f>
        <v>657229.1971559705</v>
      </c>
      <c r="AD136" s="2">
        <f>攻城基础信息!Z137*$E$12</f>
        <v>670782.85062875994</v>
      </c>
      <c r="AE136" s="2">
        <f>攻城基础信息!AA137*$E$12</f>
        <v>681471.45568316919</v>
      </c>
      <c r="AF136" s="2">
        <f>攻城基础信息!AB137*$E$12</f>
        <v>694094.34292006132</v>
      </c>
      <c r="AH136" s="2">
        <f>$E$4*AB136*攻城基础信息!AC137</f>
        <v>15679383.818801597</v>
      </c>
      <c r="AI136" s="2">
        <f>$E$4*AC136*攻城基础信息!AD137</f>
        <v>16102115.330321269</v>
      </c>
      <c r="AJ136" s="2">
        <f>$E$4*AD136*攻城基础信息!AE137</f>
        <v>16434179.840404609</v>
      </c>
      <c r="AK136" s="2">
        <f>$E$4*AE136*攻城基础信息!AF137</f>
        <v>16696050.664237635</v>
      </c>
      <c r="AL136" s="2">
        <f>$E$4*AF136*攻城基础信息!AG137</f>
        <v>17005311.40154149</v>
      </c>
      <c r="AN136" s="2">
        <v>133</v>
      </c>
      <c r="AO136" s="2">
        <f>求节点(节奏总纲!D$4:D$163,AH$4:AH$163,$AN136)*其他调用!H137*其他调用!$M137</f>
        <v>182232864.29584062</v>
      </c>
      <c r="AP136" s="2">
        <f>求节点(节奏总纲!E$4:E$163,AI$4:AI$163,$AN136)*其他调用!I137*其他调用!$M137</f>
        <v>205876707.04588732</v>
      </c>
      <c r="AQ136" s="2">
        <f>求节点(节奏总纲!F$4:F$163,AJ$4:AJ$163,$AN136)*其他调用!J137*其他调用!$M137</f>
        <v>19632760.313726444</v>
      </c>
      <c r="AR136" s="2">
        <f>求节点(节奏总纲!G$4:G$163,AK$4:AK$163,$AN136)*其他调用!K137*其他调用!$M137</f>
        <v>5082436.7347359844</v>
      </c>
      <c r="AS136" s="2">
        <f>求节点(节奏总纲!H$4:H$163,AL$4:AL$163,$AN136)*其他调用!L137*其他调用!$M137</f>
        <v>1885839.5371684534</v>
      </c>
      <c r="AT136" s="2">
        <f t="shared" si="17"/>
        <v>414710607.92735881</v>
      </c>
      <c r="AY136" s="2">
        <v>133</v>
      </c>
      <c r="AZ136" s="2">
        <f>其他调用!R137*6*(其他调用!AH$2*$AZ$1*MIN(其他调用!$AJ137/其他调用!AH137,1)+$E$4*0%*攻城基础信息!AC137)</f>
        <v>12582.232072368204</v>
      </c>
      <c r="BA136" s="2">
        <f>其他调用!S137*6*(其他调用!AI$2*$AZ$1*MIN(其他调用!$AJ137/其他调用!AI137,1)+$E$4*0%*攻城基础信息!AD137)</f>
        <v>37894.953037634215</v>
      </c>
      <c r="BB136" s="2">
        <f>其他调用!T137*6*(其他调用!AJ$2*$AZ$1*MIN(其他调用!$AJ137/其他调用!AJ137,1)+$E$4*0%*攻城基础信息!AE137)</f>
        <v>114138.90206407045</v>
      </c>
      <c r="BC136" s="2">
        <f>其他调用!U137*6*(其他调用!AK$2*$AZ$1*MIN(其他调用!$AJ137/其他调用!AK137,1)+$E$4*0%*攻城基础信息!AF137)</f>
        <v>48142.048911450482</v>
      </c>
      <c r="BD136" s="2">
        <f>其他调用!V137*6*(其他调用!AL$2*$AZ$1*MIN(其他调用!$AJ137/其他调用!AL137,1)+$E$4*0%*攻城基础信息!AG137)</f>
        <v>14384.029791769692</v>
      </c>
      <c r="BF136" s="2">
        <v>133</v>
      </c>
      <c r="BG136" s="2">
        <f>求节点(节奏总纲!D$4:D$163,AZ$4:AZ$163,$AN136)</f>
        <v>7556.6575884722733</v>
      </c>
      <c r="BH136" s="2">
        <f>求节点(节奏总纲!E$4:E$163,BA$4:BA$163,$AN136)</f>
        <v>23358.513444079221</v>
      </c>
      <c r="BI136" s="2">
        <f>求节点(节奏总纲!F$4:F$163,BB$4:BB$163,$AN136)</f>
        <v>72794.893855575516</v>
      </c>
      <c r="BJ136" s="2">
        <f>求节点(节奏总纲!G$4:G$163,BC$4:BC$163,$AN136)</f>
        <v>35032.923113118362</v>
      </c>
      <c r="BK136" s="2">
        <f>求节点(节奏总纲!H$4:H$163,BD$4:BD$163,$AN136)</f>
        <v>10579.018083525314</v>
      </c>
      <c r="BL136" s="2">
        <f>BG136*其他调用!H137*其他调用!$M137</f>
        <v>362436.56930914521</v>
      </c>
      <c r="BM136" s="2">
        <f>BH136*其他调用!I137*其他调用!$M137</f>
        <v>1104659.4593913443</v>
      </c>
      <c r="BN136" s="2">
        <f>BI136*其他调用!J137*其他调用!$M137</f>
        <v>281018.86516289297</v>
      </c>
      <c r="BO136" s="2">
        <f>BJ136*其他调用!K137*其他调用!$M137</f>
        <v>24060.471462397247</v>
      </c>
      <c r="BP136" s="2">
        <f>BK136*其他调用!L137*其他调用!$M137</f>
        <v>2102.2624735581503</v>
      </c>
      <c r="BQ136" s="2">
        <f t="shared" si="18"/>
        <v>1774277.6277993377</v>
      </c>
      <c r="BR136" s="2">
        <f>[1]服务器生态!$R135</f>
        <v>1.3216070742022298E-2</v>
      </c>
      <c r="BS136" s="2" t="e">
        <f>SUMPRODUCT((BG$4:BG136)*($BR$4:$BR136)*(其他调用!#REF!))</f>
        <v>#REF!</v>
      </c>
      <c r="BT136" s="2" t="e">
        <f>SUMPRODUCT((BH$4:BH136)*($BR$4:$BR136)*(其他调用!#REF!))</f>
        <v>#REF!</v>
      </c>
      <c r="BU136" s="2" t="e">
        <f>SUMPRODUCT((BI$4:BI136)*($BR$4:$BR136)*(其他调用!#REF!))</f>
        <v>#REF!</v>
      </c>
      <c r="BV136" s="2" t="e">
        <f>SUMPRODUCT((BJ$4:BJ136)*($BR$4:$BR136)*(其他调用!#REF!))</f>
        <v>#REF!</v>
      </c>
      <c r="BW136" s="2" t="e">
        <f>SUMPRODUCT((BK$4:BK136)*($BR$4:$BR136)*(其他调用!#REF!))</f>
        <v>#REF!</v>
      </c>
      <c r="BX136" s="2" t="e">
        <f>SUMPRODUCT((BG$4:BG136)*($BR$4:$BR136))*'[1]功能-战损相关'!$D$2-BS136</f>
        <v>#REF!</v>
      </c>
      <c r="BY136" s="2" t="e">
        <f>SUMPRODUCT((BH$4:BH136)*($BR$4:$BR136))*'[1]功能-战损相关'!$D$2-BT136</f>
        <v>#REF!</v>
      </c>
      <c r="BZ136" s="2" t="e">
        <f>SUMPRODUCT((BI$4:BI136)*($BR$4:$BR136))*'[1]功能-战损相关'!$D$2-BU136</f>
        <v>#REF!</v>
      </c>
      <c r="CA136" s="2" t="e">
        <f>SUMPRODUCT((BJ$4:BJ136)*($BR$4:$BR136))*'[1]功能-战损相关'!$D$2-BV136</f>
        <v>#REF!</v>
      </c>
      <c r="CB136" s="2" t="e">
        <f>SUMPRODUCT((BK$4:BK136)*($BR$4:$BR136))*'[1]功能-战损相关'!$D$2-BW136</f>
        <v>#REF!</v>
      </c>
    </row>
    <row r="137" spans="27:80" x14ac:dyDescent="0.2">
      <c r="AA137" s="2">
        <v>134</v>
      </c>
      <c r="AB137" s="2">
        <f>攻城基础信息!X138*$E$12</f>
        <v>647718.30210343678</v>
      </c>
      <c r="AC137" s="2">
        <f>攻城基础信息!Y138*$E$12</f>
        <v>665304.66991783038</v>
      </c>
      <c r="AD137" s="2">
        <f>攻城基础信息!Z138*$E$12</f>
        <v>678367.53694318782</v>
      </c>
      <c r="AE137" s="2">
        <f>攻城基础信息!AA138*$E$12</f>
        <v>689082.87261315982</v>
      </c>
      <c r="AF137" s="2">
        <f>攻城基础信息!AB138*$E$12</f>
        <v>701730.9981768101</v>
      </c>
      <c r="AH137" s="2">
        <f>$E$4*AB137*攻城基础信息!AC138</f>
        <v>15869098.401534192</v>
      </c>
      <c r="AI137" s="2">
        <f>$E$4*AC137*攻城基础信息!AD138</f>
        <v>16299964.412986834</v>
      </c>
      <c r="AJ137" s="2">
        <f>$E$4*AD137*攻城基础信息!AE138</f>
        <v>16620004.65510809</v>
      </c>
      <c r="AK137" s="2">
        <f>$E$4*AE137*攻城基础信息!AF138</f>
        <v>16882530.379022405</v>
      </c>
      <c r="AL137" s="2">
        <f>$E$4*AF137*攻城基础信息!AG138</f>
        <v>17192409.455331836</v>
      </c>
      <c r="AN137" s="2">
        <v>134</v>
      </c>
      <c r="AO137" s="2">
        <f>求节点(节奏总纲!D$4:D$163,AH$4:AH$163,$AN137)*其他调用!H138*其他调用!$M138</f>
        <v>182811208.70992571</v>
      </c>
      <c r="AP137" s="2">
        <f>求节点(节奏总纲!E$4:E$163,AI$4:AI$163,$AN137)*其他调用!I138*其他调用!$M138</f>
        <v>206604624.2259787</v>
      </c>
      <c r="AQ137" s="2">
        <f>求节点(节奏总纲!F$4:F$163,AJ$4:AJ$163,$AN137)*其他调用!J138*其他调用!$M138</f>
        <v>19719196.980013609</v>
      </c>
      <c r="AR137" s="2">
        <f>求节点(节奏总纲!G$4:G$163,AK$4:AK$163,$AN137)*其他调用!K138*其他调用!$M138</f>
        <v>5100826.1543715112</v>
      </c>
      <c r="AS137" s="2">
        <f>求节点(节奏总纲!H$4:H$163,AL$4:AL$163,$AN137)*其他调用!L138*其他调用!$M138</f>
        <v>1889998.87924683</v>
      </c>
      <c r="AT137" s="2">
        <f t="shared" si="17"/>
        <v>416125854.94953632</v>
      </c>
      <c r="AY137" s="2">
        <v>134</v>
      </c>
      <c r="AZ137" s="2">
        <f>其他调用!R138*6*(其他调用!AH$2*$AZ$1*MIN(其他调用!$AJ138/其他调用!AH138,1)+$E$4*0%*攻城基础信息!AC138)</f>
        <v>12664.029549759533</v>
      </c>
      <c r="BA137" s="2">
        <f>其他调用!S138*6*(其他调用!AI$2*$AZ$1*MIN(其他调用!$AJ138/其他调用!AI138,1)+$E$4*0%*攻城基础信息!AD138)</f>
        <v>38130.855609119659</v>
      </c>
      <c r="BB137" s="2">
        <f>其他调用!T138*6*(其他调用!AJ$2*$AZ$1*MIN(其他调用!$AJ138/其他调用!AJ138,1)+$E$4*0%*攻城基础信息!AE138)</f>
        <v>114827.58729048978</v>
      </c>
      <c r="BC137" s="2">
        <f>其他调用!U138*6*(其他调用!AK$2*$AZ$1*MIN(其他调用!$AJ138/其他调用!AK138,1)+$E$4*0%*攻城基础信息!AF138)</f>
        <v>48270.45810487392</v>
      </c>
      <c r="BD137" s="2">
        <f>其他调用!V138*6*(其他调用!AL$2*$AZ$1*MIN(其他调用!$AJ138/其他调用!AL138,1)+$E$4*0%*攻城基础信息!AG138)</f>
        <v>14485.421210174311</v>
      </c>
      <c r="BF137" s="2">
        <v>134</v>
      </c>
      <c r="BG137" s="2">
        <f>求节点(节奏总纲!D$4:D$163,AZ$4:AZ$163,$AN137)</f>
        <v>7565.5300170573464</v>
      </c>
      <c r="BH137" s="2">
        <f>求节点(节奏总纲!E$4:E$163,BA$4:BA$163,$AN137)</f>
        <v>23384.765338333698</v>
      </c>
      <c r="BI137" s="2">
        <f>求节点(节奏总纲!F$4:F$163,BB$4:BB$163,$AN137)</f>
        <v>72872.461121645683</v>
      </c>
      <c r="BJ137" s="2">
        <f>求节点(节奏总纲!G$4:G$163,BC$4:BC$163,$AN137)</f>
        <v>35072.831521717235</v>
      </c>
      <c r="BK137" s="2">
        <f>求节点(节奏总纲!H$4:H$163,BD$4:BD$163,$AN137)</f>
        <v>10590.35100234825</v>
      </c>
      <c r="BL137" s="2">
        <f>BG137*其他调用!H138*其他调用!$M138</f>
        <v>362862.11361099628</v>
      </c>
      <c r="BM137" s="2">
        <f>BH137*其他调用!I138*其他调用!$M138</f>
        <v>1105900.9512090739</v>
      </c>
      <c r="BN137" s="2">
        <f>BI137*其他调用!J138*其他调用!$M138</f>
        <v>281318.30738926772</v>
      </c>
      <c r="BO137" s="2">
        <f>BJ137*其他调用!K138*其他调用!$M138</f>
        <v>24087.880397789319</v>
      </c>
      <c r="BP137" s="2">
        <f>BK137*其他调用!L138*其他调用!$M138</f>
        <v>2104.514551186644</v>
      </c>
      <c r="BQ137" s="2">
        <f t="shared" si="18"/>
        <v>1776273.7671583141</v>
      </c>
      <c r="BR137" s="2">
        <f>[1]服务器生态!$R136</f>
        <v>1.2615340253748556E-2</v>
      </c>
      <c r="BS137" s="2" t="e">
        <f>SUMPRODUCT((BG$4:BG137)*($BR$4:$BR137)*(其他调用!#REF!))</f>
        <v>#REF!</v>
      </c>
      <c r="BT137" s="2" t="e">
        <f>SUMPRODUCT((BH$4:BH137)*($BR$4:$BR137)*(其他调用!#REF!))</f>
        <v>#REF!</v>
      </c>
      <c r="BU137" s="2" t="e">
        <f>SUMPRODUCT((BI$4:BI137)*($BR$4:$BR137)*(其他调用!#REF!))</f>
        <v>#REF!</v>
      </c>
      <c r="BV137" s="2" t="e">
        <f>SUMPRODUCT((BJ$4:BJ137)*($BR$4:$BR137)*(其他调用!#REF!))</f>
        <v>#REF!</v>
      </c>
      <c r="BW137" s="2" t="e">
        <f>SUMPRODUCT((BK$4:BK137)*($BR$4:$BR137)*(其他调用!#REF!))</f>
        <v>#REF!</v>
      </c>
      <c r="BX137" s="2" t="e">
        <f>SUMPRODUCT((BG$4:BG137)*($BR$4:$BR137))*'[1]功能-战损相关'!$D$2-BS137</f>
        <v>#REF!</v>
      </c>
      <c r="BY137" s="2" t="e">
        <f>SUMPRODUCT((BH$4:BH137)*($BR$4:$BR137))*'[1]功能-战损相关'!$D$2-BT137</f>
        <v>#REF!</v>
      </c>
      <c r="BZ137" s="2" t="e">
        <f>SUMPRODUCT((BI$4:BI137)*($BR$4:$BR137))*'[1]功能-战损相关'!$D$2-BU137</f>
        <v>#REF!</v>
      </c>
      <c r="CA137" s="2" t="e">
        <f>SUMPRODUCT((BJ$4:BJ137)*($BR$4:$BR137))*'[1]功能-战损相关'!$D$2-BV137</f>
        <v>#REF!</v>
      </c>
      <c r="CB137" s="2" t="e">
        <f>SUMPRODUCT((BK$4:BK137)*($BR$4:$BR137))*'[1]功能-战损相关'!$D$2-BW137</f>
        <v>#REF!</v>
      </c>
    </row>
    <row r="138" spans="27:80" x14ac:dyDescent="0.2">
      <c r="AA138" s="2">
        <v>135</v>
      </c>
      <c r="AB138" s="2">
        <f>攻城基础信息!X139*$E$12</f>
        <v>655470.26992589445</v>
      </c>
      <c r="AC138" s="2">
        <f>攻城基础信息!Y139*$E$12</f>
        <v>673393.15768197877</v>
      </c>
      <c r="AD138" s="2">
        <f>攻城基础信息!Z139*$E$12</f>
        <v>685952.22325761593</v>
      </c>
      <c r="AE138" s="2">
        <f>攻城基础信息!AA139*$E$12</f>
        <v>696694.28954315046</v>
      </c>
      <c r="AF138" s="2">
        <f>攻城基础信息!AB139*$E$12</f>
        <v>709367.653433559</v>
      </c>
      <c r="AH138" s="2">
        <f>$E$4*AB138*攻城基础信息!AC139</f>
        <v>16059021.613184405</v>
      </c>
      <c r="AI138" s="2">
        <f>$E$4*AC138*攻城基础信息!AD139</f>
        <v>16498132.363208467</v>
      </c>
      <c r="AJ138" s="2">
        <f>$E$4*AD138*攻城基础信息!AE139</f>
        <v>16805829.469811577</v>
      </c>
      <c r="AK138" s="2">
        <f>$E$4*AE138*攻城基础信息!AF139</f>
        <v>17069010.093807176</v>
      </c>
      <c r="AL138" s="2">
        <f>$E$4*AF138*攻城基础信息!AG139</f>
        <v>17379507.509122182</v>
      </c>
      <c r="AN138" s="2">
        <v>135</v>
      </c>
      <c r="AO138" s="2">
        <f>求节点(节奏总纲!D$4:D$163,AH$4:AH$163,$AN138)*其他调用!H139*其他调用!$M139</f>
        <v>183389553.12401077</v>
      </c>
      <c r="AP138" s="2">
        <f>求节点(节奏总纲!E$4:E$163,AI$4:AI$163,$AN138)*其他调用!I139*其他调用!$M139</f>
        <v>207332541.40607011</v>
      </c>
      <c r="AQ138" s="2">
        <f>求节点(节奏总纲!F$4:F$163,AJ$4:AJ$163,$AN138)*其他调用!J139*其他调用!$M139</f>
        <v>19805633.64630077</v>
      </c>
      <c r="AR138" s="2">
        <f>求节点(节奏总纲!G$4:G$163,AK$4:AK$163,$AN138)*其他调用!K139*其他调用!$M139</f>
        <v>5119215.5740070371</v>
      </c>
      <c r="AS138" s="2">
        <f>求节点(节奏总纲!H$4:H$163,AL$4:AL$163,$AN138)*其他调用!L139*其他调用!$M139</f>
        <v>1894158.2213252066</v>
      </c>
      <c r="AT138" s="2">
        <f t="shared" si="17"/>
        <v>417541101.97171396</v>
      </c>
      <c r="AY138" s="2">
        <v>135</v>
      </c>
      <c r="AZ138" s="2">
        <f>其他调用!R139*6*(其他调用!AH$2*$AZ$1*MIN(其他调用!$AJ139/其他调用!AH139,1)+$E$4*0%*攻城基础信息!AC139)</f>
        <v>12744.285621715431</v>
      </c>
      <c r="BA138" s="2">
        <f>其他调用!S139*6*(其他调用!AI$2*$AZ$1*MIN(其他调用!$AJ139/其他调用!AI139,1)+$E$4*0%*攻城基础信息!AD139)</f>
        <v>38369.88229826554</v>
      </c>
      <c r="BB138" s="2">
        <f>其他调用!T139*6*(其他调用!AJ$2*$AZ$1*MIN(其他调用!$AJ139/其他调用!AJ139,1)+$E$4*0%*攻城基础信息!AE139)</f>
        <v>115557.54955930075</v>
      </c>
      <c r="BC138" s="2">
        <f>其他调用!U139*6*(其他调用!AK$2*$AZ$1*MIN(其他调用!$AJ139/其他调用!AK139,1)+$E$4*0%*攻城基础信息!AF139)</f>
        <v>48404.229492677448</v>
      </c>
      <c r="BD138" s="2">
        <f>其他调用!V139*6*(其他调用!AL$2*$AZ$1*MIN(其他调用!$AJ139/其他调用!AL139,1)+$E$4*0%*攻城基础信息!AG139)</f>
        <v>14593.931834971097</v>
      </c>
      <c r="BF138" s="2">
        <v>135</v>
      </c>
      <c r="BG138" s="2">
        <f>求节点(节奏总纲!D$4:D$163,AZ$4:AZ$163,$AN138)</f>
        <v>7574.4024456424195</v>
      </c>
      <c r="BH138" s="2">
        <f>求节点(节奏总纲!E$4:E$163,BA$4:BA$163,$AN138)</f>
        <v>23411.017232588172</v>
      </c>
      <c r="BI138" s="2">
        <f>求节点(节奏总纲!F$4:F$163,BB$4:BB$163,$AN138)</f>
        <v>72950.028387715836</v>
      </c>
      <c r="BJ138" s="2">
        <f>求节点(节奏总纲!G$4:G$163,BC$4:BC$163,$AN138)</f>
        <v>35112.739930316107</v>
      </c>
      <c r="BK138" s="2">
        <f>求节点(节奏总纲!H$4:H$163,BD$4:BD$163,$AN138)</f>
        <v>10601.683921171185</v>
      </c>
      <c r="BL138" s="2">
        <f>BG138*其他调用!H139*其他调用!$M139</f>
        <v>363287.65791284741</v>
      </c>
      <c r="BM138" s="2">
        <f>BH138*其他调用!I139*其他调用!$M139</f>
        <v>1107142.4430268032</v>
      </c>
      <c r="BN138" s="2">
        <f>BI138*其他调用!J139*其他调用!$M139</f>
        <v>281617.74961564236</v>
      </c>
      <c r="BO138" s="2">
        <f>BJ138*其他调用!K139*其他调用!$M139</f>
        <v>24115.28933318139</v>
      </c>
      <c r="BP138" s="2">
        <f>BK138*其他调用!L139*其他调用!$M139</f>
        <v>2106.7666288151377</v>
      </c>
      <c r="BQ138" s="2">
        <f t="shared" si="18"/>
        <v>1778269.9065172893</v>
      </c>
      <c r="BR138" s="2">
        <f>[1]服务器生态!$R137</f>
        <v>1.2014609765474816E-2</v>
      </c>
      <c r="BS138" s="2" t="e">
        <f>SUMPRODUCT((BG$4:BG138)*($BR$4:$BR138)*(其他调用!#REF!))</f>
        <v>#REF!</v>
      </c>
      <c r="BT138" s="2" t="e">
        <f>SUMPRODUCT((BH$4:BH138)*($BR$4:$BR138)*(其他调用!#REF!))</f>
        <v>#REF!</v>
      </c>
      <c r="BU138" s="2" t="e">
        <f>SUMPRODUCT((BI$4:BI138)*($BR$4:$BR138)*(其他调用!#REF!))</f>
        <v>#REF!</v>
      </c>
      <c r="BV138" s="2" t="e">
        <f>SUMPRODUCT((BJ$4:BJ138)*($BR$4:$BR138)*(其他调用!#REF!))</f>
        <v>#REF!</v>
      </c>
      <c r="BW138" s="2" t="e">
        <f>SUMPRODUCT((BK$4:BK138)*($BR$4:$BR138)*(其他调用!#REF!))</f>
        <v>#REF!</v>
      </c>
      <c r="BX138" s="2" t="e">
        <f>SUMPRODUCT((BG$4:BG138)*($BR$4:$BR138))*'[1]功能-战损相关'!$D$2-BS138</f>
        <v>#REF!</v>
      </c>
      <c r="BY138" s="2" t="e">
        <f>SUMPRODUCT((BH$4:BH138)*($BR$4:$BR138))*'[1]功能-战损相关'!$D$2-BT138</f>
        <v>#REF!</v>
      </c>
      <c r="BZ138" s="2" t="e">
        <f>SUMPRODUCT((BI$4:BI138)*($BR$4:$BR138))*'[1]功能-战损相关'!$D$2-BU138</f>
        <v>#REF!</v>
      </c>
      <c r="CA138" s="2" t="e">
        <f>SUMPRODUCT((BJ$4:BJ138)*($BR$4:$BR138))*'[1]功能-战损相关'!$D$2-BV138</f>
        <v>#REF!</v>
      </c>
      <c r="CB138" s="2" t="e">
        <f>SUMPRODUCT((BK$4:BK138)*($BR$4:$BR138))*'[1]功能-战损相关'!$D$2-BW138</f>
        <v>#REF!</v>
      </c>
    </row>
    <row r="139" spans="27:80" x14ac:dyDescent="0.2">
      <c r="AA139" s="2">
        <v>136</v>
      </c>
      <c r="AB139" s="2">
        <f>攻城基础信息!X140*$E$12</f>
        <v>663230.75321437733</v>
      </c>
      <c r="AC139" s="2">
        <f>攻城基础信息!Y140*$E$12</f>
        <v>681494.66044841544</v>
      </c>
      <c r="AD139" s="2">
        <f>攻城基础信息!Z140*$E$12</f>
        <v>693536.90957204415</v>
      </c>
      <c r="AE139" s="2">
        <f>攻城基础信息!AA140*$E$12</f>
        <v>704305.70647314098</v>
      </c>
      <c r="AF139" s="2">
        <f>攻城基础信息!AB140*$E$12</f>
        <v>717004.30869030778</v>
      </c>
      <c r="AH139" s="2">
        <f>$E$4*AB139*攻城基础信息!AC140</f>
        <v>16249153.453752235</v>
      </c>
      <c r="AI139" s="2">
        <f>$E$4*AC139*攻城基础信息!AD140</f>
        <v>16696619.180986168</v>
      </c>
      <c r="AJ139" s="2">
        <f>$E$4*AD139*攻城基础信息!AE140</f>
        <v>16991654.284515072</v>
      </c>
      <c r="AK139" s="2">
        <f>$E$4*AE139*攻城基础信息!AF140</f>
        <v>17255489.808591943</v>
      </c>
      <c r="AL139" s="2">
        <f>$E$4*AF139*攻城基础信息!AG140</f>
        <v>17566605.562912531</v>
      </c>
      <c r="AN139" s="2">
        <v>136</v>
      </c>
      <c r="AO139" s="2">
        <f>求节点(节奏总纲!D$4:D$163,AH$4:AH$163,$AN139)*其他调用!H140*其他调用!$M140</f>
        <v>183967897.53809586</v>
      </c>
      <c r="AP139" s="2">
        <f>求节点(节奏总纲!E$4:E$163,AI$4:AI$163,$AN139)*其他调用!I140*其他调用!$M140</f>
        <v>208030341.1002267</v>
      </c>
      <c r="AQ139" s="2">
        <f>求节点(节奏总纲!F$4:F$163,AJ$4:AJ$163,$AN139)*其他调用!J140*其他调用!$M140</f>
        <v>19892070.312587932</v>
      </c>
      <c r="AR139" s="2">
        <f>求节点(节奏总纲!G$4:G$163,AK$4:AK$163,$AN139)*其他调用!K140*其他调用!$M140</f>
        <v>5137604.9936425621</v>
      </c>
      <c r="AS139" s="2">
        <f>求节点(节奏总纲!H$4:H$163,AL$4:AL$163,$AN139)*其他调用!L140*其他调用!$M140</f>
        <v>1898317.5634035827</v>
      </c>
      <c r="AT139" s="2">
        <f t="shared" si="17"/>
        <v>418926231.50795668</v>
      </c>
      <c r="AY139" s="2">
        <v>136</v>
      </c>
      <c r="AZ139" s="2">
        <f>其他调用!R140*6*(其他调用!AH$2*$AZ$1*MIN(其他调用!$AJ140/其他调用!AH140,1)+$E$4*0%*攻城基础信息!AC140)</f>
        <v>12825.678116366546</v>
      </c>
      <c r="BA139" s="2">
        <f>其他调用!S140*6*(其他调用!AI$2*$AZ$1*MIN(其他调用!$AJ140/其他调用!AI140,1)+$E$4*0%*攻城基础信息!AD140)</f>
        <v>38616.362003790739</v>
      </c>
      <c r="BB139" s="2">
        <f>其他调用!T140*6*(其他调用!AJ$2*$AZ$1*MIN(其他调用!$AJ140/其他调用!AJ140,1)+$E$4*0%*攻城基础信息!AE140)</f>
        <v>116299.97598689602</v>
      </c>
      <c r="BC139" s="2">
        <f>其他调用!U140*6*(其他调用!AK$2*$AZ$1*MIN(其他调用!$AJ140/其他调用!AK140,1)+$E$4*0%*攻城基础信息!AF140)</f>
        <v>48562.514205011896</v>
      </c>
      <c r="BD139" s="2">
        <f>其他调用!V140*6*(其他调用!AL$2*$AZ$1*MIN(其他调用!$AJ140/其他调用!AL140,1)+$E$4*0%*攻城基础信息!AG140)</f>
        <v>14699.994381161332</v>
      </c>
      <c r="BF139" s="2">
        <v>136</v>
      </c>
      <c r="BG139" s="2">
        <f>求节点(节奏总纲!D$4:D$163,AZ$4:AZ$163,$AN139)</f>
        <v>7583.2748742274925</v>
      </c>
      <c r="BH139" s="2">
        <f>求节点(节奏总纲!E$4:E$163,BA$4:BA$163,$AN139)</f>
        <v>23436.672057542026</v>
      </c>
      <c r="BI139" s="2">
        <f>求节点(节奏总纲!F$4:F$163,BB$4:BB$163,$AN139)</f>
        <v>73027.595653786004</v>
      </c>
      <c r="BJ139" s="2">
        <f>求节点(节奏总纲!G$4:G$163,BC$4:BC$163,$AN139)</f>
        <v>35152.648338914987</v>
      </c>
      <c r="BK139" s="2">
        <f>求节点(节奏总纲!H$4:H$163,BD$4:BD$163,$AN139)</f>
        <v>10613.016839994121</v>
      </c>
      <c r="BL139" s="2">
        <f>BG139*其他调用!H140*其他调用!$M140</f>
        <v>363713.20221469848</v>
      </c>
      <c r="BM139" s="2">
        <f>BH139*其他调用!I140*其他调用!$M140</f>
        <v>1108355.6985335012</v>
      </c>
      <c r="BN139" s="2">
        <f>BI139*其他调用!J140*其他调用!$M140</f>
        <v>281917.19184201711</v>
      </c>
      <c r="BO139" s="2">
        <f>BJ139*其他调用!K140*其他调用!$M140</f>
        <v>24142.698268573466</v>
      </c>
      <c r="BP139" s="2">
        <f>BK139*其他调用!L140*其他调用!$M140</f>
        <v>2109.0187064436313</v>
      </c>
      <c r="BQ139" s="2">
        <f t="shared" si="18"/>
        <v>1780237.8095652342</v>
      </c>
      <c r="BR139" s="2">
        <f>[1]服务器生态!$R138</f>
        <v>1.1413879277201075E-2</v>
      </c>
      <c r="BS139" s="2" t="e">
        <f>SUMPRODUCT((BG$4:BG139)*($BR$4:$BR139)*(其他调用!#REF!))</f>
        <v>#REF!</v>
      </c>
      <c r="BT139" s="2" t="e">
        <f>SUMPRODUCT((BH$4:BH139)*($BR$4:$BR139)*(其他调用!#REF!))</f>
        <v>#REF!</v>
      </c>
      <c r="BU139" s="2" t="e">
        <f>SUMPRODUCT((BI$4:BI139)*($BR$4:$BR139)*(其他调用!#REF!))</f>
        <v>#REF!</v>
      </c>
      <c r="BV139" s="2" t="e">
        <f>SUMPRODUCT((BJ$4:BJ139)*($BR$4:$BR139)*(其他调用!#REF!))</f>
        <v>#REF!</v>
      </c>
      <c r="BW139" s="2" t="e">
        <f>SUMPRODUCT((BK$4:BK139)*($BR$4:$BR139)*(其他调用!#REF!))</f>
        <v>#REF!</v>
      </c>
      <c r="BX139" s="2" t="e">
        <f>SUMPRODUCT((BG$4:BG139)*($BR$4:$BR139))*'[1]功能-战损相关'!$D$2-BS139</f>
        <v>#REF!</v>
      </c>
      <c r="BY139" s="2" t="e">
        <f>SUMPRODUCT((BH$4:BH139)*($BR$4:$BR139))*'[1]功能-战损相关'!$D$2-BT139</f>
        <v>#REF!</v>
      </c>
      <c r="BZ139" s="2" t="e">
        <f>SUMPRODUCT((BI$4:BI139)*($BR$4:$BR139))*'[1]功能-战损相关'!$D$2-BU139</f>
        <v>#REF!</v>
      </c>
      <c r="CA139" s="2" t="e">
        <f>SUMPRODUCT((BJ$4:BJ139)*($BR$4:$BR139))*'[1]功能-战损相关'!$D$2-BV139</f>
        <v>#REF!</v>
      </c>
      <c r="CB139" s="2" t="e">
        <f>SUMPRODUCT((BK$4:BK139)*($BR$4:$BR139))*'[1]功能-战损相关'!$D$2-BW139</f>
        <v>#REF!</v>
      </c>
    </row>
    <row r="140" spans="27:80" x14ac:dyDescent="0.2">
      <c r="AA140" s="2">
        <v>137</v>
      </c>
      <c r="AB140" s="2">
        <f>攻城基础信息!X141*$E$12</f>
        <v>686149.1223130438</v>
      </c>
      <c r="AC140" s="2">
        <f>攻城基础信息!Y141*$E$12</f>
        <v>705377.36383480544</v>
      </c>
      <c r="AD140" s="2">
        <f>攻城基础信息!Z141*$E$12</f>
        <v>717554.56613760011</v>
      </c>
      <c r="AE140" s="2">
        <f>攻城基础信息!AA141*$E$12</f>
        <v>729208.66434956202</v>
      </c>
      <c r="AF140" s="2">
        <f>攻城基础信息!AB141*$E$12</f>
        <v>743052.07409020525</v>
      </c>
      <c r="AH140" s="2">
        <f>$E$4*AB140*攻城基础信息!AC141</f>
        <v>16810653.496669561</v>
      </c>
      <c r="AI140" s="2">
        <f>$E$4*AC140*攻城基础信息!AD141</f>
        <v>17281745.413952719</v>
      </c>
      <c r="AJ140" s="2">
        <f>$E$4*AD140*攻城基础信息!AE141</f>
        <v>17580086.870371193</v>
      </c>
      <c r="AK140" s="2">
        <f>$E$4*AE140*攻城基础信息!AF141</f>
        <v>17865612.276564259</v>
      </c>
      <c r="AL140" s="2">
        <f>$E$4*AF140*攻城基础信息!AG141</f>
        <v>18204775.815210018</v>
      </c>
      <c r="AN140" s="2">
        <v>137</v>
      </c>
      <c r="AO140" s="2">
        <f>求节点(节奏总纲!D$4:D$163,AH$4:AH$163,$AN140)*其他调用!H141*其他调用!$M141</f>
        <v>184542383.94232085</v>
      </c>
      <c r="AP140" s="2">
        <f>求节点(节奏总纲!E$4:E$163,AI$4:AI$163,$AN140)*其他调用!I141*其他调用!$M141</f>
        <v>208706687.93608233</v>
      </c>
      <c r="AQ140" s="2">
        <f>求节点(节奏总纲!F$4:F$163,AJ$4:AJ$163,$AN140)*其他调用!J141*其他调用!$M141</f>
        <v>19975969.200202383</v>
      </c>
      <c r="AR140" s="2">
        <f>求节点(节奏总纲!G$4:G$163,AK$4:AK$163,$AN140)*其他调用!K141*其他调用!$M141</f>
        <v>5155994.413278088</v>
      </c>
      <c r="AS140" s="2">
        <f>求节点(节奏总纲!H$4:H$163,AL$4:AL$163,$AN140)*其他调用!L141*其他调用!$M141</f>
        <v>1902476.905481959</v>
      </c>
      <c r="AT140" s="2">
        <f t="shared" si="17"/>
        <v>420283512.39736563</v>
      </c>
      <c r="AY140" s="2">
        <v>137</v>
      </c>
      <c r="AZ140" s="2">
        <f>其他调用!R141*6*(其他调用!AH$2*$AZ$1*MIN(其他调用!$AJ141/其他调用!AH141,1)+$E$4*0%*攻城基础信息!AC141)</f>
        <v>12906.421401478045</v>
      </c>
      <c r="BA140" s="2">
        <f>其他调用!S141*6*(其他调用!AI$2*$AZ$1*MIN(其他调用!$AJ141/其他调用!AI141,1)+$E$4*0%*攻城基础信息!AD141)</f>
        <v>38860.101780806552</v>
      </c>
      <c r="BB140" s="2">
        <f>其他调用!T141*6*(其他调用!AJ$2*$AZ$1*MIN(其他调用!$AJ141/其他调用!AJ141,1)+$E$4*0%*攻城基础信息!AE141)</f>
        <v>117049.55815236094</v>
      </c>
      <c r="BC140" s="2">
        <f>其他调用!U141*6*(其他调用!AK$2*$AZ$1*MIN(其他调用!$AJ141/其他调用!AK141,1)+$E$4*0%*攻城基础信息!AF141)</f>
        <v>48715.543178790576</v>
      </c>
      <c r="BD140" s="2">
        <f>其他调用!V141*6*(其他调用!AL$2*$AZ$1*MIN(其他调用!$AJ141/其他调用!AL141,1)+$E$4*0%*攻城基础信息!AG141)</f>
        <v>14810.986553281224</v>
      </c>
      <c r="BF140" s="2">
        <v>137</v>
      </c>
      <c r="BG140" s="2">
        <f>求节点(节奏总纲!D$4:D$163,AZ$4:AZ$163,$AN140)</f>
        <v>7591.463830255635</v>
      </c>
      <c r="BH140" s="2">
        <f>求节点(节奏总纲!E$4:E$163,BA$4:BA$163,$AN140)</f>
        <v>23461.901586601998</v>
      </c>
      <c r="BI140" s="2">
        <f>求节点(节奏总纲!F$4:F$163,BB$4:BB$163,$AN140)</f>
        <v>73103.766504543499</v>
      </c>
      <c r="BJ140" s="2">
        <f>求节点(节奏总纲!G$4:G$163,BC$4:BC$163,$AN140)</f>
        <v>35192.55674751386</v>
      </c>
      <c r="BK140" s="2">
        <f>求节点(节奏总纲!H$4:H$163,BD$4:BD$163,$AN140)</f>
        <v>10624.349758817056</v>
      </c>
      <c r="BL140" s="2">
        <f>BG140*其他调用!H141*其他调用!$M141</f>
        <v>364105.96542969334</v>
      </c>
      <c r="BM140" s="2">
        <f>BH140*其他调用!I141*其他调用!$M141</f>
        <v>1109548.8411535916</v>
      </c>
      <c r="BN140" s="2">
        <f>BI140*其他调用!J141*其他调用!$M141</f>
        <v>282211.24331877084</v>
      </c>
      <c r="BO140" s="2">
        <f>BJ140*其他调用!K141*其他调用!$M141</f>
        <v>24170.107203965534</v>
      </c>
      <c r="BP140" s="2">
        <f>BK140*其他调用!L141*其他调用!$M141</f>
        <v>2111.270784072125</v>
      </c>
      <c r="BQ140" s="2">
        <f t="shared" si="18"/>
        <v>1782147.4278900933</v>
      </c>
      <c r="BR140" s="2">
        <f>[1]服务器生态!$R139</f>
        <v>1.0813148788927335E-2</v>
      </c>
      <c r="BS140" s="2" t="e">
        <f>SUMPRODUCT((BG$4:BG140)*($BR$4:$BR140)*(其他调用!#REF!))</f>
        <v>#REF!</v>
      </c>
      <c r="BT140" s="2" t="e">
        <f>SUMPRODUCT((BH$4:BH140)*($BR$4:$BR140)*(其他调用!#REF!))</f>
        <v>#REF!</v>
      </c>
      <c r="BU140" s="2" t="e">
        <f>SUMPRODUCT((BI$4:BI140)*($BR$4:$BR140)*(其他调用!#REF!))</f>
        <v>#REF!</v>
      </c>
      <c r="BV140" s="2" t="e">
        <f>SUMPRODUCT((BJ$4:BJ140)*($BR$4:$BR140)*(其他调用!#REF!))</f>
        <v>#REF!</v>
      </c>
      <c r="BW140" s="2" t="e">
        <f>SUMPRODUCT((BK$4:BK140)*($BR$4:$BR140)*(其他调用!#REF!))</f>
        <v>#REF!</v>
      </c>
      <c r="BX140" s="2" t="e">
        <f>SUMPRODUCT((BG$4:BG140)*($BR$4:$BR140))*'[1]功能-战损相关'!$D$2-BS140</f>
        <v>#REF!</v>
      </c>
      <c r="BY140" s="2" t="e">
        <f>SUMPRODUCT((BH$4:BH140)*($BR$4:$BR140))*'[1]功能-战损相关'!$D$2-BT140</f>
        <v>#REF!</v>
      </c>
      <c r="BZ140" s="2" t="e">
        <f>SUMPRODUCT((BI$4:BI140)*($BR$4:$BR140))*'[1]功能-战损相关'!$D$2-BU140</f>
        <v>#REF!</v>
      </c>
      <c r="CA140" s="2" t="e">
        <f>SUMPRODUCT((BJ$4:BJ140)*($BR$4:$BR140))*'[1]功能-战损相关'!$D$2-BV140</f>
        <v>#REF!</v>
      </c>
      <c r="CB140" s="2" t="e">
        <f>SUMPRODUCT((BK$4:BK140)*($BR$4:$BR140))*'[1]功能-战损相关'!$D$2-BW140</f>
        <v>#REF!</v>
      </c>
    </row>
    <row r="141" spans="27:80" x14ac:dyDescent="0.2">
      <c r="AA141" s="2">
        <v>138</v>
      </c>
      <c r="AB141" s="2">
        <f>攻城基础信息!X142*$E$12</f>
        <v>694102.23189399019</v>
      </c>
      <c r="AC141" s="2">
        <f>攻城基础信息!Y142*$E$12</f>
        <v>713690.73584548489</v>
      </c>
      <c r="AD141" s="2">
        <f>攻城基础信息!Z142*$E$12</f>
        <v>725317.02322003827</v>
      </c>
      <c r="AE141" s="2">
        <f>攻城基础信息!AA142*$E$12</f>
        <v>737004.95269671443</v>
      </c>
      <c r="AF141" s="2">
        <f>攻城基础信息!AB142*$E$12</f>
        <v>750882.75550342666</v>
      </c>
      <c r="AH141" s="2">
        <f>$E$4*AB141*攻城基础信息!AC142</f>
        <v>17005504.68140275</v>
      </c>
      <c r="AI141" s="2">
        <f>$E$4*AC141*攻城基础信息!AD142</f>
        <v>17485423.028214369</v>
      </c>
      <c r="AJ141" s="2">
        <f>$E$4*AD141*攻城基础信息!AE142</f>
        <v>17770267.068890925</v>
      </c>
      <c r="AK141" s="2">
        <f>$E$4*AE141*攻城基础信息!AF142</f>
        <v>18056621.341069493</v>
      </c>
      <c r="AL141" s="2">
        <f>$E$4*AF141*攻城基础信息!AG142</f>
        <v>18396627.509833943</v>
      </c>
      <c r="AN141" s="2">
        <v>138</v>
      </c>
      <c r="AO141" s="2">
        <f>求节点(节奏总纲!D$4:D$163,AH$4:AH$163,$AN141)*其他调用!H142*其他调用!$M142</f>
        <v>185115982.93811873</v>
      </c>
      <c r="AP141" s="2">
        <f>求节点(节奏总纲!E$4:E$163,AI$4:AI$163,$AN141)*其他调用!I142*其他调用!$M142</f>
        <v>209383034.77193791</v>
      </c>
      <c r="AQ141" s="2">
        <f>求节点(节奏总纲!F$4:F$163,AJ$4:AJ$163,$AN141)*其他调用!J142*其他调用!$M142</f>
        <v>20057149.599536974</v>
      </c>
      <c r="AR141" s="2">
        <f>求节点(节奏总纲!G$4:G$163,AK$4:AK$163,$AN141)*其他调用!K142*其他调用!$M142</f>
        <v>5174383.8329136139</v>
      </c>
      <c r="AS141" s="2">
        <f>求节点(节奏总纲!H$4:H$163,AL$4:AL$163,$AN141)*其他调用!L142*其他调用!$M142</f>
        <v>1906636.2475603353</v>
      </c>
      <c r="AT141" s="2">
        <f t="shared" si="17"/>
        <v>421637187.39006758</v>
      </c>
      <c r="AY141" s="2">
        <v>138</v>
      </c>
      <c r="AZ141" s="2">
        <f>其他调用!R142*6*(其他调用!AH$2*$AZ$1*MIN(其他调用!$AJ142/其他调用!AH142,1)+$E$4*0%*攻城基础信息!AC142)</f>
        <v>12987.41455240132</v>
      </c>
      <c r="BA141" s="2">
        <f>其他调用!S142*6*(其他调用!AI$2*$AZ$1*MIN(其他调用!$AJ142/其他调用!AI142,1)+$E$4*0%*攻城基础信息!AD142)</f>
        <v>39105.984960652182</v>
      </c>
      <c r="BB141" s="2">
        <f>其他调用!T142*6*(其他调用!AJ$2*$AZ$1*MIN(其他调用!$AJ142/其他调用!AJ142,1)+$E$4*0%*攻城基础信息!AE142)</f>
        <v>117770.70000673427</v>
      </c>
      <c r="BC141" s="2">
        <f>其他调用!U142*6*(其他调用!AK$2*$AZ$1*MIN(其他调用!$AJ142/其他调用!AK142,1)+$E$4*0%*攻城基础信息!AF142)</f>
        <v>48891.626949159108</v>
      </c>
      <c r="BD141" s="2">
        <f>其他调用!V142*6*(其他调用!AL$2*$AZ$1*MIN(其他调用!$AJ142/其他调用!AL142,1)+$E$4*0%*攻城基础信息!AG142)</f>
        <v>14915.78163862823</v>
      </c>
      <c r="BF141" s="2">
        <v>138</v>
      </c>
      <c r="BG141" s="2">
        <f>求节点(节奏总纲!D$4:D$163,AZ$4:AZ$163,$AN141)</f>
        <v>7599.495575875123</v>
      </c>
      <c r="BH141" s="2">
        <f>求节点(节奏总纲!E$4:E$163,BA$4:BA$163,$AN141)</f>
        <v>23487.13111566197</v>
      </c>
      <c r="BI141" s="2">
        <f>求节点(节奏总纲!F$4:F$163,BB$4:BB$163,$AN141)</f>
        <v>73178.441504341987</v>
      </c>
      <c r="BJ141" s="2">
        <f>求节点(节奏总纲!G$4:G$163,BC$4:BC$163,$AN141)</f>
        <v>35232.465156112732</v>
      </c>
      <c r="BK141" s="2">
        <f>求节点(节奏总纲!H$4:H$163,BD$4:BD$163,$AN141)</f>
        <v>10635.68267763999</v>
      </c>
      <c r="BL141" s="2">
        <f>BG141*其他调用!H142*其他调用!$M142</f>
        <v>364491.18843256321</v>
      </c>
      <c r="BM141" s="2">
        <f>BH141*其他调用!I142*其他调用!$M142</f>
        <v>1110741.983773682</v>
      </c>
      <c r="BN141" s="2">
        <f>BI141*其他调用!J142*其他调用!$M142</f>
        <v>282499.52018254437</v>
      </c>
      <c r="BO141" s="2">
        <f>BJ141*其他调用!K142*其他调用!$M142</f>
        <v>24197.516139357605</v>
      </c>
      <c r="BP141" s="2">
        <f>BK141*其他调用!L142*其他调用!$M142</f>
        <v>2113.5228617006183</v>
      </c>
      <c r="BQ141" s="2">
        <f t="shared" si="18"/>
        <v>1784043.7313898478</v>
      </c>
      <c r="BR141" s="2">
        <f>[1]服务器生态!$R140</f>
        <v>1.0212418300653593E-2</v>
      </c>
      <c r="BS141" s="2" t="e">
        <f>SUMPRODUCT((BG$4:BG141)*($BR$4:$BR141)*(其他调用!#REF!))</f>
        <v>#REF!</v>
      </c>
      <c r="BT141" s="2" t="e">
        <f>SUMPRODUCT((BH$4:BH141)*($BR$4:$BR141)*(其他调用!#REF!))</f>
        <v>#REF!</v>
      </c>
      <c r="BU141" s="2" t="e">
        <f>SUMPRODUCT((BI$4:BI141)*($BR$4:$BR141)*(其他调用!#REF!))</f>
        <v>#REF!</v>
      </c>
      <c r="BV141" s="2" t="e">
        <f>SUMPRODUCT((BJ$4:BJ141)*($BR$4:$BR141)*(其他调用!#REF!))</f>
        <v>#REF!</v>
      </c>
      <c r="BW141" s="2" t="e">
        <f>SUMPRODUCT((BK$4:BK141)*($BR$4:$BR141)*(其他调用!#REF!))</f>
        <v>#REF!</v>
      </c>
      <c r="BX141" s="2" t="e">
        <f>SUMPRODUCT((BG$4:BG141)*($BR$4:$BR141))*'[1]功能-战损相关'!$D$2-BS141</f>
        <v>#REF!</v>
      </c>
      <c r="BY141" s="2" t="e">
        <f>SUMPRODUCT((BH$4:BH141)*($BR$4:$BR141))*'[1]功能-战损相关'!$D$2-BT141</f>
        <v>#REF!</v>
      </c>
      <c r="BZ141" s="2" t="e">
        <f>SUMPRODUCT((BI$4:BI141)*($BR$4:$BR141))*'[1]功能-战损相关'!$D$2-BU141</f>
        <v>#REF!</v>
      </c>
      <c r="CA141" s="2" t="e">
        <f>SUMPRODUCT((BJ$4:BJ141)*($BR$4:$BR141))*'[1]功能-战损相关'!$D$2-BV141</f>
        <v>#REF!</v>
      </c>
      <c r="CB141" s="2" t="e">
        <f>SUMPRODUCT((BK$4:BK141)*($BR$4:$BR141))*'[1]功能-战损相关'!$D$2-BW141</f>
        <v>#REF!</v>
      </c>
    </row>
    <row r="142" spans="27:80" x14ac:dyDescent="0.2">
      <c r="AA142" s="2">
        <v>139</v>
      </c>
      <c r="AB142" s="2">
        <f>攻城基础信息!X143*$E$12</f>
        <v>702064.04919729009</v>
      </c>
      <c r="AC142" s="2">
        <f>攻城基础信息!Y143*$E$12</f>
        <v>722017.42045160895</v>
      </c>
      <c r="AD142" s="2">
        <f>攻城基础信息!Z143*$E$12</f>
        <v>733079.48030247609</v>
      </c>
      <c r="AE142" s="2">
        <f>攻城基础信息!AA143*$E$12</f>
        <v>744801.24104386684</v>
      </c>
      <c r="AF142" s="2">
        <f>攻城基础信息!AB143*$E$12</f>
        <v>758837.67566008167</v>
      </c>
      <c r="AH142" s="2">
        <f>$E$4*AB142*攻城基础信息!AC143</f>
        <v>17200569.205333598</v>
      </c>
      <c r="AI142" s="2">
        <f>$E$4*AC142*攻城基础信息!AD143</f>
        <v>17689426.801064406</v>
      </c>
      <c r="AJ142" s="2">
        <f>$E$4*AD142*攻城基础信息!AE143</f>
        <v>17960447.267410651</v>
      </c>
      <c r="AK142" s="2">
        <f>$E$4*AE142*攻城基础信息!AF143</f>
        <v>18247630.405574728</v>
      </c>
      <c r="AL142" s="2">
        <f>$E$4*AF142*攻城基础信息!AG143</f>
        <v>18591523.05367199</v>
      </c>
      <c r="AN142" s="2">
        <v>139</v>
      </c>
      <c r="AO142" s="2">
        <f>求节点(节奏总纲!D$4:D$163,AH$4:AH$163,$AN142)*其他调用!H143*其他调用!$M143</f>
        <v>185689581.93391663</v>
      </c>
      <c r="AP142" s="2">
        <f>求节点(节奏总纲!E$4:E$163,AI$4:AI$163,$AN142)*其他调用!I143*其他调用!$M143</f>
        <v>210059381.60779345</v>
      </c>
      <c r="AQ142" s="2">
        <f>求节点(节奏总纲!F$4:F$163,AJ$4:AJ$163,$AN142)*其他调用!J143*其他调用!$M143</f>
        <v>20138329.998871569</v>
      </c>
      <c r="AR142" s="2">
        <f>求节点(节奏总纲!G$4:G$163,AK$4:AK$163,$AN142)*其他调用!K143*其他调用!$M143</f>
        <v>5192773.2525491398</v>
      </c>
      <c r="AS142" s="2">
        <f>求节点(节奏总纲!H$4:H$163,AL$4:AL$163,$AN142)*其他调用!L143*其他调用!$M143</f>
        <v>1910513.5801546297</v>
      </c>
      <c r="AT142" s="2">
        <f t="shared" si="17"/>
        <v>422990580.37328541</v>
      </c>
      <c r="AY142" s="2">
        <v>139</v>
      </c>
      <c r="AZ142" s="2">
        <f>其他调用!R143*6*(其他调用!AH$2*$AZ$1*MIN(其他调用!$AJ143/其他调用!AH143,1)+$E$4*0%*攻城基础信息!AC143)</f>
        <v>13068.637778956168</v>
      </c>
      <c r="BA142" s="2">
        <f>其他调用!S143*6*(其他调用!AI$2*$AZ$1*MIN(其他调用!$AJ143/其他调用!AI143,1)+$E$4*0%*攻城基础信息!AD143)</f>
        <v>39346.961884699936</v>
      </c>
      <c r="BB142" s="2">
        <f>其他调用!T143*6*(其他调用!AJ$2*$AZ$1*MIN(其他调用!$AJ143/其他调用!AJ143,1)+$E$4*0%*攻城基础信息!AE143)</f>
        <v>118517.2943714967</v>
      </c>
      <c r="BC142" s="2">
        <f>其他调用!U143*6*(其他调用!AK$2*$AZ$1*MIN(其他调用!$AJ143/其他调用!AK143,1)+$E$4*0%*攻城基础信息!AF143)</f>
        <v>49041.030046164306</v>
      </c>
      <c r="BD142" s="2">
        <f>其他调用!V143*6*(其他调用!AL$2*$AZ$1*MIN(其他调用!$AJ143/其他调用!AL143,1)+$E$4*0%*攻城基础信息!AG143)</f>
        <v>15050.394372693072</v>
      </c>
      <c r="BF142" s="2">
        <v>139</v>
      </c>
      <c r="BG142" s="2">
        <f>求节点(节奏总纲!D$4:D$163,AZ$4:AZ$163,$AN142)</f>
        <v>7607.527321494611</v>
      </c>
      <c r="BH142" s="2">
        <f>求节点(节奏总纲!E$4:E$163,BA$4:BA$163,$AN142)</f>
        <v>23512.360644721943</v>
      </c>
      <c r="BI142" s="2">
        <f>求节点(节奏总纲!F$4:F$163,BB$4:BB$163,$AN142)</f>
        <v>73253.116504140475</v>
      </c>
      <c r="BJ142" s="2">
        <f>求节点(节奏总纲!G$4:G$163,BC$4:BC$163,$AN142)</f>
        <v>35272.373564711612</v>
      </c>
      <c r="BK142" s="2">
        <f>求节点(节奏总纲!H$4:H$163,BD$4:BD$163,$AN142)</f>
        <v>10644.983825446034</v>
      </c>
      <c r="BL142" s="2">
        <f>BG142*其他调用!H143*其他调用!$M143</f>
        <v>364876.41143543314</v>
      </c>
      <c r="BM142" s="2">
        <f>BH142*其他调用!I143*其他调用!$M143</f>
        <v>1111935.1263937727</v>
      </c>
      <c r="BN142" s="2">
        <f>BI142*其他调用!J143*其他调用!$M143</f>
        <v>282787.79704631789</v>
      </c>
      <c r="BO142" s="2">
        <f>BJ142*其他调用!K143*其他调用!$M143</f>
        <v>24224.925074749684</v>
      </c>
      <c r="BP142" s="2">
        <f>BK142*其他调用!L143*其他调用!$M143</f>
        <v>2115.3711857926355</v>
      </c>
      <c r="BQ142" s="2">
        <f t="shared" si="18"/>
        <v>1785939.631136066</v>
      </c>
      <c r="BR142" s="2">
        <f>[1]服务器生态!$R141</f>
        <v>1.0286421331817749E-2</v>
      </c>
      <c r="BS142" s="2" t="e">
        <f>SUMPRODUCT((BG$4:BG142)*($BR$4:$BR142)*(其他调用!#REF!))</f>
        <v>#REF!</v>
      </c>
      <c r="BT142" s="2" t="e">
        <f>SUMPRODUCT((BH$4:BH142)*($BR$4:$BR142)*(其他调用!#REF!))</f>
        <v>#REF!</v>
      </c>
      <c r="BU142" s="2" t="e">
        <f>SUMPRODUCT((BI$4:BI142)*($BR$4:$BR142)*(其他调用!#REF!))</f>
        <v>#REF!</v>
      </c>
      <c r="BV142" s="2" t="e">
        <f>SUMPRODUCT((BJ$4:BJ142)*($BR$4:$BR142)*(其他调用!#REF!))</f>
        <v>#REF!</v>
      </c>
      <c r="BW142" s="2" t="e">
        <f>SUMPRODUCT((BK$4:BK142)*($BR$4:$BR142)*(其他调用!#REF!))</f>
        <v>#REF!</v>
      </c>
      <c r="BX142" s="2" t="e">
        <f>SUMPRODUCT((BG$4:BG142)*($BR$4:$BR142))*'[1]功能-战损相关'!$D$2-BS142</f>
        <v>#REF!</v>
      </c>
      <c r="BY142" s="2" t="e">
        <f>SUMPRODUCT((BH$4:BH142)*($BR$4:$BR142))*'[1]功能-战损相关'!$D$2-BT142</f>
        <v>#REF!</v>
      </c>
      <c r="BZ142" s="2" t="e">
        <f>SUMPRODUCT((BI$4:BI142)*($BR$4:$BR142))*'[1]功能-战损相关'!$D$2-BU142</f>
        <v>#REF!</v>
      </c>
      <c r="CA142" s="2" t="e">
        <f>SUMPRODUCT((BJ$4:BJ142)*($BR$4:$BR142))*'[1]功能-战损相关'!$D$2-BV142</f>
        <v>#REF!</v>
      </c>
      <c r="CB142" s="2" t="e">
        <f>SUMPRODUCT((BK$4:BK142)*($BR$4:$BR142))*'[1]功能-战损相关'!$D$2-BW142</f>
        <v>#REF!</v>
      </c>
    </row>
    <row r="143" spans="27:80" x14ac:dyDescent="0.2">
      <c r="AA143" s="2">
        <v>140</v>
      </c>
      <c r="AB143" s="2">
        <f>攻城基础信息!X144*$E$12</f>
        <v>710034.5742229434</v>
      </c>
      <c r="AC143" s="2">
        <f>攻城基础信息!Y144*$E$12</f>
        <v>730146.26720772719</v>
      </c>
      <c r="AD143" s="2">
        <f>攻城基础信息!Z144*$E$12</f>
        <v>740841.93738491414</v>
      </c>
      <c r="AE143" s="2">
        <f>攻城基础信息!AA144*$E$12</f>
        <v>752689.84510714642</v>
      </c>
      <c r="AF143" s="2">
        <f>攻城基础信息!AB144*$E$12</f>
        <v>769168.37591482198</v>
      </c>
      <c r="AH143" s="2">
        <f>$E$4*AB143*攻城基础信息!AC144</f>
        <v>17395847.0684621</v>
      </c>
      <c r="AI143" s="2">
        <f>$E$4*AC143*攻城基础信息!AD144</f>
        <v>17888583.546589307</v>
      </c>
      <c r="AJ143" s="2">
        <f>$E$4*AD143*攻城基础信息!AE144</f>
        <v>18150627.465930384</v>
      </c>
      <c r="AK143" s="2">
        <f>$E$4*AE143*攻城基础信息!AF144</f>
        <v>18440901.205125075</v>
      </c>
      <c r="AL143" s="2">
        <f>$E$4*AF143*攻城基础信息!AG144</f>
        <v>18844625.209913127</v>
      </c>
      <c r="AN143" s="2">
        <v>140</v>
      </c>
      <c r="AO143" s="2">
        <f>求节点(节奏总纲!D$4:D$163,AH$4:AH$163,$AN143)*其他调用!H144*其他调用!$M144</f>
        <v>186263180.92971453</v>
      </c>
      <c r="AP143" s="2">
        <f>求节点(节奏总纲!E$4:E$163,AI$4:AI$163,$AN143)*其他调用!I144*其他调用!$M144</f>
        <v>210735728.44364908</v>
      </c>
      <c r="AQ143" s="2">
        <f>求节点(节奏总纲!F$4:F$163,AJ$4:AJ$163,$AN143)*其他调用!J144*其他调用!$M144</f>
        <v>20219510.398206159</v>
      </c>
      <c r="AR143" s="2">
        <f>求节点(节奏总纲!G$4:G$163,AK$4:AK$163,$AN143)*其他调用!K144*其他调用!$M144</f>
        <v>5211162.6721846657</v>
      </c>
      <c r="AS143" s="2">
        <f>求节点(节奏总纲!H$4:H$163,AL$4:AL$163,$AN143)*其他调用!L144*其他调用!$M144</f>
        <v>1914129.5513580884</v>
      </c>
      <c r="AT143" s="2">
        <f t="shared" si="17"/>
        <v>424343711.99511254</v>
      </c>
      <c r="AY143" s="2">
        <v>140</v>
      </c>
      <c r="AZ143" s="2">
        <f>其他调用!R144*6*(其他调用!AH$2*$AZ$1*MIN(其他调用!$AJ144/其他调用!AH144,1)+$E$4*0%*攻城基础信息!AC144)</f>
        <v>13149.237107801222</v>
      </c>
      <c r="BA143" s="2">
        <f>其他调用!S144*6*(其他调用!AI$2*$AZ$1*MIN(其他调用!$AJ144/其他调用!AI144,1)+$E$4*0%*攻城基础信息!AD144)</f>
        <v>39593.063928429052</v>
      </c>
      <c r="BB143" s="2">
        <f>其他调用!T144*6*(其他调用!AJ$2*$AZ$1*MIN(其他调用!$AJ144/其他调用!AJ144,1)+$E$4*0%*攻城基础信息!AE144)</f>
        <v>119198.14545319969</v>
      </c>
      <c r="BC143" s="2">
        <f>其他调用!U144*6*(其他调用!AK$2*$AZ$1*MIN(其他调用!$AJ144/其他调用!AK144,1)+$E$4*0%*攻城基础信息!AF144)</f>
        <v>49204.274821139763</v>
      </c>
      <c r="BD143" s="2">
        <f>其他调用!V144*6*(其他调用!AL$2*$AZ$1*MIN(其他调用!$AJ144/其他调用!AL144,1)+$E$4*0%*攻城基础信息!AG144)</f>
        <v>15206.341089538886</v>
      </c>
      <c r="BF143" s="2">
        <v>140</v>
      </c>
      <c r="BG143" s="2">
        <f>求节点(节奏总纲!D$4:D$163,AZ$4:AZ$163,$AN143)</f>
        <v>7615.559067114099</v>
      </c>
      <c r="BH143" s="2">
        <f>求节点(节奏总纲!E$4:E$163,BA$4:BA$163,$AN143)</f>
        <v>23537.590173781915</v>
      </c>
      <c r="BI143" s="2">
        <f>求节点(节奏总纲!F$4:F$163,BB$4:BB$163,$AN143)</f>
        <v>73327.791503938977</v>
      </c>
      <c r="BJ143" s="2">
        <f>求节点(节奏总纲!G$4:G$163,BC$4:BC$163,$AN143)</f>
        <v>35312.281973310484</v>
      </c>
      <c r="BK143" s="2">
        <f>求节点(节奏总纲!H$4:H$163,BD$4:BD$163,$AN143)</f>
        <v>10652.401963889599</v>
      </c>
      <c r="BL143" s="2">
        <f>BG143*其他调用!H144*其他调用!$M144</f>
        <v>365261.63443830307</v>
      </c>
      <c r="BM143" s="2">
        <f>BH143*其他调用!I144*其他调用!$M144</f>
        <v>1113128.2690138631</v>
      </c>
      <c r="BN143" s="2">
        <f>BI143*其他调用!J144*其他调用!$M144</f>
        <v>283076.07391009142</v>
      </c>
      <c r="BO143" s="2">
        <f>BJ143*其他调用!K144*其他调用!$M144</f>
        <v>24252.334010141756</v>
      </c>
      <c r="BP143" s="2">
        <f>BK143*其他调用!L144*其他调用!$M144</f>
        <v>2116.8453182641406</v>
      </c>
      <c r="BQ143" s="2">
        <f t="shared" si="18"/>
        <v>1787835.1566906632</v>
      </c>
      <c r="BR143" s="2">
        <f>[1]服务器生态!$R142</f>
        <v>1.0360424362981907E-2</v>
      </c>
      <c r="BS143" s="2" t="e">
        <f>SUMPRODUCT((BG$4:BG143)*($BR$4:$BR143)*(其他调用!#REF!))</f>
        <v>#REF!</v>
      </c>
      <c r="BT143" s="2" t="e">
        <f>SUMPRODUCT((BH$4:BH143)*($BR$4:$BR143)*(其他调用!#REF!))</f>
        <v>#REF!</v>
      </c>
      <c r="BU143" s="2" t="e">
        <f>SUMPRODUCT((BI$4:BI143)*($BR$4:$BR143)*(其他调用!#REF!))</f>
        <v>#REF!</v>
      </c>
      <c r="BV143" s="2" t="e">
        <f>SUMPRODUCT((BJ$4:BJ143)*($BR$4:$BR143)*(其他调用!#REF!))</f>
        <v>#REF!</v>
      </c>
      <c r="BW143" s="2" t="e">
        <f>SUMPRODUCT((BK$4:BK143)*($BR$4:$BR143)*(其他调用!#REF!))</f>
        <v>#REF!</v>
      </c>
      <c r="BX143" s="2" t="e">
        <f>SUMPRODUCT((BG$4:BG143)*($BR$4:$BR143))*'[1]功能-战损相关'!$D$2-BS143</f>
        <v>#REF!</v>
      </c>
      <c r="BY143" s="2" t="e">
        <f>SUMPRODUCT((BH$4:BH143)*($BR$4:$BR143))*'[1]功能-战损相关'!$D$2-BT143</f>
        <v>#REF!</v>
      </c>
      <c r="BZ143" s="2" t="e">
        <f>SUMPRODUCT((BI$4:BI143)*($BR$4:$BR143))*'[1]功能-战损相关'!$D$2-BU143</f>
        <v>#REF!</v>
      </c>
      <c r="CA143" s="2" t="e">
        <f>SUMPRODUCT((BJ$4:BJ143)*($BR$4:$BR143))*'[1]功能-战损相关'!$D$2-BV143</f>
        <v>#REF!</v>
      </c>
      <c r="CB143" s="2" t="e">
        <f>SUMPRODUCT((BK$4:BK143)*($BR$4:$BR143))*'[1]功能-战损相关'!$D$2-BW143</f>
        <v>#REF!</v>
      </c>
    </row>
    <row r="144" spans="27:80" x14ac:dyDescent="0.2">
      <c r="AA144" s="2">
        <v>141</v>
      </c>
      <c r="AB144" s="2">
        <f>攻城基础信息!X145*$E$12</f>
        <v>718013.80697095033</v>
      </c>
      <c r="AC144" s="2">
        <f>攻城基础信息!Y145*$E$12</f>
        <v>738263.39031377027</v>
      </c>
      <c r="AD144" s="2">
        <f>攻城基础信息!Z145*$E$12</f>
        <v>748812.08520268416</v>
      </c>
      <c r="AE144" s="2">
        <f>攻城基础信息!AA145*$E$12</f>
        <v>762905.77886952157</v>
      </c>
      <c r="AF144" s="2">
        <f>攻城基础信息!AB145*$E$12</f>
        <v>779499.07616956253</v>
      </c>
      <c r="AH144" s="2">
        <f>$E$4*AB144*攻城基础信息!AC145</f>
        <v>17591338.270788271</v>
      </c>
      <c r="AI144" s="2">
        <f>$E$4*AC144*攻城基础信息!AD145</f>
        <v>18087453.06268736</v>
      </c>
      <c r="AJ144" s="2">
        <f>$E$4*AD144*攻城基础信息!AE145</f>
        <v>18345896.087465748</v>
      </c>
      <c r="AK144" s="2">
        <f>$E$4*AE144*攻城基础信息!AF145</f>
        <v>18691191.582303267</v>
      </c>
      <c r="AL144" s="2">
        <f>$E$4*AF144*攻城基础信息!AG145</f>
        <v>19097727.366154268</v>
      </c>
      <c r="AN144" s="2">
        <v>141</v>
      </c>
      <c r="AO144" s="2">
        <f>求节点(节奏总纲!D$4:D$163,AH$4:AH$163,$AN144)*其他调用!H145*其他调用!$M145</f>
        <v>186836779.92551243</v>
      </c>
      <c r="AP144" s="2">
        <f>求节点(节奏总纲!E$4:E$163,AI$4:AI$163,$AN144)*其他调用!I145*其他调用!$M145</f>
        <v>211412075.27950466</v>
      </c>
      <c r="AQ144" s="2">
        <f>求节点(节奏总纲!F$4:F$163,AJ$4:AJ$163,$AN144)*其他调用!J145*其他调用!$M145</f>
        <v>20300690.797540747</v>
      </c>
      <c r="AR144" s="2">
        <f>求节点(节奏总纲!G$4:G$163,AK$4:AK$163,$AN144)*其他调用!K145*其他调用!$M145</f>
        <v>5229181.902142955</v>
      </c>
      <c r="AS144" s="2">
        <f>求节点(节奏总纲!H$4:H$163,AL$4:AL$163,$AN144)*其他调用!L145*其他调用!$M145</f>
        <v>1917745.5225615471</v>
      </c>
      <c r="AT144" s="2">
        <f t="shared" si="17"/>
        <v>425696473.42726231</v>
      </c>
      <c r="AY144" s="2">
        <v>141</v>
      </c>
      <c r="AZ144" s="2">
        <f>其他调用!R145*6*(其他调用!AH$2*$AZ$1*MIN(其他调用!$AJ145/其他调用!AH145,1)+$E$4*0%*攻城基础信息!AC145)</f>
        <v>13230.933156343195</v>
      </c>
      <c r="BA144" s="2">
        <f>其他调用!S145*6*(其他调用!AI$2*$AZ$1*MIN(其他调用!$AJ145/其他调用!AI145,1)+$E$4*0%*攻城基础信息!AD145)</f>
        <v>39825.245768365778</v>
      </c>
      <c r="BB144" s="2">
        <f>其他调用!T145*6*(其他调用!AJ$2*$AZ$1*MIN(其他调用!$AJ145/其他调用!AJ145,1)+$E$4*0%*攻城基础信息!AE145)</f>
        <v>119917.12707871657</v>
      </c>
      <c r="BC144" s="2">
        <f>其他调用!U145*6*(其他调用!AK$2*$AZ$1*MIN(其他调用!$AJ145/其他调用!AK145,1)+$E$4*0%*攻城基础信息!AF145)</f>
        <v>49364.50037636159</v>
      </c>
      <c r="BD144" s="2">
        <f>其他调用!V145*6*(其他调用!AL$2*$AZ$1*MIN(其他调用!$AJ145/其他调用!AL145,1)+$E$4*0%*攻城基础信息!AG145)</f>
        <v>15366.249671998859</v>
      </c>
      <c r="BF144" s="2">
        <v>141</v>
      </c>
      <c r="BG144" s="2">
        <f>求节点(节奏总纲!D$4:D$163,AZ$4:AZ$163,$AN144)</f>
        <v>7623.590812733587</v>
      </c>
      <c r="BH144" s="2">
        <f>求节点(节奏总纲!E$4:E$163,BA$4:BA$163,$AN144)</f>
        <v>23562.819702841887</v>
      </c>
      <c r="BI144" s="2">
        <f>求节点(节奏总纲!F$4:F$163,BB$4:BB$163,$AN144)</f>
        <v>73402.466503737465</v>
      </c>
      <c r="BJ144" s="2">
        <f>求节点(节奏总纲!G$4:G$163,BC$4:BC$163,$AN144)</f>
        <v>35351.289426872667</v>
      </c>
      <c r="BK144" s="2">
        <f>求节点(节奏总纲!H$4:H$163,BD$4:BD$163,$AN144)</f>
        <v>10659.820102333166</v>
      </c>
      <c r="BL144" s="2">
        <f>BG144*其他调用!H145*其他调用!$M145</f>
        <v>365646.85744117294</v>
      </c>
      <c r="BM144" s="2">
        <f>BH144*其他调用!I145*其他调用!$M145</f>
        <v>1114321.4116339535</v>
      </c>
      <c r="BN144" s="2">
        <f>BI144*其他调用!J145*其他调用!$M145</f>
        <v>283364.35077386489</v>
      </c>
      <c r="BO144" s="2">
        <f>BJ144*其他调用!K145*其他调用!$M145</f>
        <v>24279.124173218446</v>
      </c>
      <c r="BP144" s="2">
        <f>BK144*其他调用!L145*其他调用!$M145</f>
        <v>2118.3194507356466</v>
      </c>
      <c r="BQ144" s="2">
        <f t="shared" si="18"/>
        <v>1789730.0634729452</v>
      </c>
      <c r="BR144" s="2">
        <f>[1]服务器生态!$R143</f>
        <v>1.0434427394146063E-2</v>
      </c>
      <c r="BS144" s="2" t="e">
        <f>SUMPRODUCT((BG$4:BG144)*($BR$4:$BR144)*(其他调用!#REF!))</f>
        <v>#REF!</v>
      </c>
      <c r="BT144" s="2" t="e">
        <f>SUMPRODUCT((BH$4:BH144)*($BR$4:$BR144)*(其他调用!#REF!))</f>
        <v>#REF!</v>
      </c>
      <c r="BU144" s="2" t="e">
        <f>SUMPRODUCT((BI$4:BI144)*($BR$4:$BR144)*(其他调用!#REF!))</f>
        <v>#REF!</v>
      </c>
      <c r="BV144" s="2" t="e">
        <f>SUMPRODUCT((BJ$4:BJ144)*($BR$4:$BR144)*(其他调用!#REF!))</f>
        <v>#REF!</v>
      </c>
      <c r="BW144" s="2" t="e">
        <f>SUMPRODUCT((BK$4:BK144)*($BR$4:$BR144)*(其他调用!#REF!))</f>
        <v>#REF!</v>
      </c>
      <c r="BX144" s="2" t="e">
        <f>SUMPRODUCT((BG$4:BG144)*($BR$4:$BR144))*'[1]功能-战损相关'!$D$2-BS144</f>
        <v>#REF!</v>
      </c>
      <c r="BY144" s="2" t="e">
        <f>SUMPRODUCT((BH$4:BH144)*($BR$4:$BR144))*'[1]功能-战损相关'!$D$2-BT144</f>
        <v>#REF!</v>
      </c>
      <c r="BZ144" s="2" t="e">
        <f>SUMPRODUCT((BI$4:BI144)*($BR$4:$BR144))*'[1]功能-战损相关'!$D$2-BU144</f>
        <v>#REF!</v>
      </c>
      <c r="CA144" s="2" t="e">
        <f>SUMPRODUCT((BJ$4:BJ144)*($BR$4:$BR144))*'[1]功能-战损相关'!$D$2-BV144</f>
        <v>#REF!</v>
      </c>
      <c r="CB144" s="2" t="e">
        <f>SUMPRODUCT((BK$4:BK144)*($BR$4:$BR144))*'[1]功能-战损相关'!$D$2-BW144</f>
        <v>#REF!</v>
      </c>
    </row>
    <row r="145" spans="27:80" x14ac:dyDescent="0.2">
      <c r="AA145" s="2">
        <v>142</v>
      </c>
      <c r="AB145" s="2">
        <f>攻城基础信息!X146*$E$12</f>
        <v>726001.74744131032</v>
      </c>
      <c r="AC145" s="2">
        <f>攻城基础信息!Y146*$E$12</f>
        <v>746814.77980838064</v>
      </c>
      <c r="AD145" s="2">
        <f>攻城基础信息!Z146*$E$12</f>
        <v>758909.90582436835</v>
      </c>
      <c r="AE145" s="2">
        <f>攻城基础信息!AA146*$E$12</f>
        <v>773121.71263189649</v>
      </c>
      <c r="AF145" s="2">
        <f>攻城基础信息!AB146*$E$12</f>
        <v>789829.77642430284</v>
      </c>
      <c r="AH145" s="2">
        <f>$E$4*AB145*攻城基础信息!AC146</f>
        <v>17787042.812312093</v>
      </c>
      <c r="AI145" s="2">
        <f>$E$4*AC145*攻城基础信息!AD146</f>
        <v>18296962.105305314</v>
      </c>
      <c r="AJ145" s="2">
        <f>$E$4*AD145*攻城基础信息!AE146</f>
        <v>18593292.692697011</v>
      </c>
      <c r="AK145" s="2">
        <f>$E$4*AE145*攻城基础信息!AF146</f>
        <v>18941481.959481452</v>
      </c>
      <c r="AL145" s="2">
        <f>$E$4*AF145*攻城基础信息!AG146</f>
        <v>19350829.522395406</v>
      </c>
      <c r="AN145" s="2">
        <v>142</v>
      </c>
      <c r="AO145" s="2">
        <f>求节点(节奏总纲!D$4:D$163,AH$4:AH$163,$AN145)*其他调用!H146*其他调用!$M146</f>
        <v>187410378.92131034</v>
      </c>
      <c r="AP145" s="2">
        <f>求节点(节奏总纲!E$4:E$163,AI$4:AI$163,$AN145)*其他调用!I146*其他调用!$M146</f>
        <v>212088422.1153602</v>
      </c>
      <c r="AQ145" s="2">
        <f>求节点(节奏总纲!F$4:F$163,AJ$4:AJ$163,$AN145)*其他调用!J146*其他调用!$M146</f>
        <v>20381871.196875341</v>
      </c>
      <c r="AR145" s="2">
        <f>求节点(节奏总纲!G$4:G$163,AK$4:AK$163,$AN145)*其他调用!K146*其他调用!$M146</f>
        <v>5246027.0895654522</v>
      </c>
      <c r="AS145" s="2">
        <f>求节点(节奏总纲!H$4:H$163,AL$4:AL$163,$AN145)*其他调用!L146*其他调用!$M146</f>
        <v>1921361.4937650061</v>
      </c>
      <c r="AT145" s="2">
        <f t="shared" si="17"/>
        <v>427048060.81687635</v>
      </c>
      <c r="AY145" s="2">
        <v>142</v>
      </c>
      <c r="AZ145" s="2">
        <f>其他调用!R146*6*(其他调用!AH$2*$AZ$1*MIN(其他调用!$AJ146/其他调用!AH146,1)+$E$4*0%*攻城基础信息!AC146)</f>
        <v>13311.144070682332</v>
      </c>
      <c r="BA145" s="2">
        <f>其他调用!S146*6*(其他调用!AI$2*$AZ$1*MIN(其他调用!$AJ146/其他调用!AI146,1)+$E$4*0%*攻城基础信息!AD146)</f>
        <v>40074.38535513285</v>
      </c>
      <c r="BB145" s="2">
        <f>其他调用!T146*6*(其他调用!AJ$2*$AZ$1*MIN(其他调用!$AJ146/其他调用!AJ146,1)+$E$4*0%*攻城基础信息!AE146)</f>
        <v>120650.68741444884</v>
      </c>
      <c r="BC145" s="2">
        <f>其他调用!U146*6*(其他调用!AK$2*$AZ$1*MIN(其他调用!$AJ146/其他调用!AK146,1)+$E$4*0%*攻城基础信息!AF146)</f>
        <v>49529.669982232408</v>
      </c>
      <c r="BD145" s="2">
        <f>其他调用!V146*6*(其他调用!AL$2*$AZ$1*MIN(其他调用!$AJ146/其他调用!AL146,1)+$E$4*0%*攻城基础信息!AG146)</f>
        <v>15526.926059286679</v>
      </c>
      <c r="BF145" s="2">
        <v>142</v>
      </c>
      <c r="BG145" s="2">
        <f>求节点(节奏总纲!D$4:D$163,AZ$4:AZ$163,$AN145)</f>
        <v>7631.622558353075</v>
      </c>
      <c r="BH145" s="2">
        <f>求节点(节奏总纲!E$4:E$163,BA$4:BA$163,$AN145)</f>
        <v>23588.049231901859</v>
      </c>
      <c r="BI145" s="2">
        <f>求节点(节奏总纲!F$4:F$163,BB$4:BB$163,$AN145)</f>
        <v>73477.141503535953</v>
      </c>
      <c r="BJ145" s="2">
        <f>求节点(节奏总纲!G$4:G$163,BC$4:BC$163,$AN145)</f>
        <v>35387.439535670906</v>
      </c>
      <c r="BK145" s="2">
        <f>求节点(节奏总纲!H$4:H$163,BD$4:BD$163,$AN145)</f>
        <v>10667.238240776731</v>
      </c>
      <c r="BL145" s="2">
        <f>BG145*其他调用!H146*其他调用!$M146</f>
        <v>366032.08044404292</v>
      </c>
      <c r="BM145" s="2">
        <f>BH145*其他调用!I146*其他调用!$M146</f>
        <v>1115514.5542540441</v>
      </c>
      <c r="BN145" s="2">
        <f>BI145*其他调用!J146*其他调用!$M146</f>
        <v>283652.62763763842</v>
      </c>
      <c r="BO145" s="2">
        <f>BJ145*其他调用!K146*其他调用!$M146</f>
        <v>24303.951923340643</v>
      </c>
      <c r="BP145" s="2">
        <f>BK145*其他调用!L146*其他调用!$M146</f>
        <v>2119.7935832071516</v>
      </c>
      <c r="BQ145" s="2">
        <f t="shared" si="18"/>
        <v>1791623.007842273</v>
      </c>
      <c r="BR145" s="2">
        <f>[1]服务器生态!$R144</f>
        <v>1.0508430425310218E-2</v>
      </c>
      <c r="BS145" s="2" t="e">
        <f>SUMPRODUCT((BG$4:BG145)*($BR$4:$BR145)*(其他调用!#REF!))</f>
        <v>#REF!</v>
      </c>
      <c r="BT145" s="2" t="e">
        <f>SUMPRODUCT((BH$4:BH145)*($BR$4:$BR145)*(其他调用!#REF!))</f>
        <v>#REF!</v>
      </c>
      <c r="BU145" s="2" t="e">
        <f>SUMPRODUCT((BI$4:BI145)*($BR$4:$BR145)*(其他调用!#REF!))</f>
        <v>#REF!</v>
      </c>
      <c r="BV145" s="2" t="e">
        <f>SUMPRODUCT((BJ$4:BJ145)*($BR$4:$BR145)*(其他调用!#REF!))</f>
        <v>#REF!</v>
      </c>
      <c r="BW145" s="2" t="e">
        <f>SUMPRODUCT((BK$4:BK145)*($BR$4:$BR145)*(其他调用!#REF!))</f>
        <v>#REF!</v>
      </c>
      <c r="BX145" s="2" t="e">
        <f>SUMPRODUCT((BG$4:BG145)*($BR$4:$BR145))*'[1]功能-战损相关'!$D$2-BS145</f>
        <v>#REF!</v>
      </c>
      <c r="BY145" s="2" t="e">
        <f>SUMPRODUCT((BH$4:BH145)*($BR$4:$BR145))*'[1]功能-战损相关'!$D$2-BT145</f>
        <v>#REF!</v>
      </c>
      <c r="BZ145" s="2" t="e">
        <f>SUMPRODUCT((BI$4:BI145)*($BR$4:$BR145))*'[1]功能-战损相关'!$D$2-BU145</f>
        <v>#REF!</v>
      </c>
      <c r="CA145" s="2" t="e">
        <f>SUMPRODUCT((BJ$4:BJ145)*($BR$4:$BR145))*'[1]功能-战损相关'!$D$2-BV145</f>
        <v>#REF!</v>
      </c>
      <c r="CB145" s="2" t="e">
        <f>SUMPRODUCT((BK$4:BK145)*($BR$4:$BR145))*'[1]功能-战损相关'!$D$2-BW145</f>
        <v>#REF!</v>
      </c>
    </row>
    <row r="146" spans="27:80" x14ac:dyDescent="0.2">
      <c r="AA146" s="2">
        <v>143</v>
      </c>
      <c r="AB146" s="2">
        <f>攻城基础信息!X147*$E$12</f>
        <v>734713.80786598986</v>
      </c>
      <c r="AC146" s="2">
        <f>攻城基础信息!Y147*$E$12</f>
        <v>757051.10525248398</v>
      </c>
      <c r="AD146" s="2">
        <f>攻城基础信息!Z147*$E$12</f>
        <v>769007.72644605278</v>
      </c>
      <c r="AE146" s="2">
        <f>攻城基础信息!AA147*$E$12</f>
        <v>783337.6463942714</v>
      </c>
      <c r="AF146" s="2">
        <f>攻城基础信息!AB147*$E$12</f>
        <v>800160.4766790435</v>
      </c>
      <c r="AH146" s="2">
        <f>$E$4*AB146*攻城基础信息!AC147</f>
        <v>18000488.292716738</v>
      </c>
      <c r="AI146" s="2">
        <f>$E$4*AC146*攻城基础信息!AD147</f>
        <v>18547752.078685846</v>
      </c>
      <c r="AJ146" s="2">
        <f>$E$4*AD146*攻城基础信息!AE147</f>
        <v>18840689.297928281</v>
      </c>
      <c r="AK146" s="2">
        <f>$E$4*AE146*攻城基础信息!AF147</f>
        <v>19191772.336659636</v>
      </c>
      <c r="AL146" s="2">
        <f>$E$4*AF146*攻城基础信息!AG147</f>
        <v>19603931.678636551</v>
      </c>
      <c r="AN146" s="2">
        <v>143</v>
      </c>
      <c r="AO146" s="2">
        <f>求节点(节奏总纲!D$4:D$163,AH$4:AH$163,$AN146)*其他调用!H147*其他调用!$M147</f>
        <v>187983977.91710821</v>
      </c>
      <c r="AP146" s="2">
        <f>求节点(节奏总纲!E$4:E$163,AI$4:AI$163,$AN146)*其他调用!I147*其他调用!$M147</f>
        <v>212764768.95121583</v>
      </c>
      <c r="AQ146" s="2">
        <f>求节点(节奏总纲!F$4:F$163,AJ$4:AJ$163,$AN146)*其他调用!J147*其他调用!$M147</f>
        <v>20463051.596209932</v>
      </c>
      <c r="AR146" s="2">
        <f>求节点(节奏总纲!G$4:G$163,AK$4:AK$163,$AN146)*其他调用!K147*其他调用!$M147</f>
        <v>5262872.2769879494</v>
      </c>
      <c r="AS146" s="2">
        <f>求节点(节奏总纲!H$4:H$163,AL$4:AL$163,$AN146)*其他调用!L147*其他调用!$M147</f>
        <v>1924977.4649684648</v>
      </c>
      <c r="AT146" s="2">
        <f t="shared" si="17"/>
        <v>428399648.2064904</v>
      </c>
      <c r="AY146" s="2">
        <v>143</v>
      </c>
      <c r="AZ146" s="2">
        <f>其他调用!R147*6*(其他调用!AH$2*$AZ$1*MIN(其他调用!$AJ147/其他调用!AH147,1)+$E$4*0%*攻城基础信息!AC147)</f>
        <v>13393.305970899957</v>
      </c>
      <c r="BA146" s="2">
        <f>其他调用!S147*6*(其他调用!AI$2*$AZ$1*MIN(其他调用!$AJ147/其他调用!AI147,1)+$E$4*0%*攻城基础信息!AD147)</f>
        <v>40314.379195585701</v>
      </c>
      <c r="BB146" s="2">
        <f>其他调用!T147*6*(其他调用!AJ$2*$AZ$1*MIN(其他调用!$AJ147/其他调用!AJ147,1)+$E$4*0%*攻城基础信息!AE147)</f>
        <v>121403.1060099913</v>
      </c>
      <c r="BC146" s="2">
        <f>其他调用!U147*6*(其他调用!AK$2*$AZ$1*MIN(其他调用!$AJ147/其他调用!AK147,1)+$E$4*0%*攻城基础信息!AF147)</f>
        <v>49689.086353576873</v>
      </c>
      <c r="BD146" s="2">
        <f>其他调用!V147*6*(其他调用!AL$2*$AZ$1*MIN(其他调用!$AJ147/其他调用!AL147,1)+$E$4*0%*攻城基础信息!AG147)</f>
        <v>15690.048789495057</v>
      </c>
      <c r="BF146" s="2">
        <v>143</v>
      </c>
      <c r="BG146" s="2">
        <f>求节点(节奏总纲!D$4:D$163,AZ$4:AZ$163,$AN146)</f>
        <v>7639.654303972563</v>
      </c>
      <c r="BH146" s="2">
        <f>求节点(节奏总纲!E$4:E$163,BA$4:BA$163,$AN146)</f>
        <v>23613.278760961832</v>
      </c>
      <c r="BI146" s="2">
        <f>求节点(节奏总纲!F$4:F$163,BB$4:BB$163,$AN146)</f>
        <v>73551.816503334441</v>
      </c>
      <c r="BJ146" s="2">
        <f>求节点(节奏总纲!G$4:G$163,BC$4:BC$163,$AN146)</f>
        <v>35423.589644469153</v>
      </c>
      <c r="BK146" s="2">
        <f>求节点(节奏总纲!H$4:H$163,BD$4:BD$163,$AN146)</f>
        <v>10674.656379220296</v>
      </c>
      <c r="BL146" s="2">
        <f>BG146*其他调用!H147*其他调用!$M147</f>
        <v>366417.30344691285</v>
      </c>
      <c r="BM146" s="2">
        <f>BH146*其他调用!I147*其他调用!$M147</f>
        <v>1116707.6968741345</v>
      </c>
      <c r="BN146" s="2">
        <f>BI146*其他调用!J147*其他调用!$M147</f>
        <v>283940.90450141195</v>
      </c>
      <c r="BO146" s="2">
        <f>BJ146*其他调用!K147*其他调用!$M147</f>
        <v>24328.779673462843</v>
      </c>
      <c r="BP146" s="2">
        <f>BK146*其他调用!L147*其他调用!$M147</f>
        <v>2121.2677156786567</v>
      </c>
      <c r="BQ146" s="2">
        <f t="shared" si="18"/>
        <v>1793515.9522116007</v>
      </c>
      <c r="BR146" s="2">
        <f>[1]服务器生态!$R145</f>
        <v>1.0582433456474376E-2</v>
      </c>
      <c r="BS146" s="2" t="e">
        <f>SUMPRODUCT((BG$4:BG146)*($BR$4:$BR146)*(其他调用!#REF!))</f>
        <v>#REF!</v>
      </c>
      <c r="BT146" s="2" t="e">
        <f>SUMPRODUCT((BH$4:BH146)*($BR$4:$BR146)*(其他调用!#REF!))</f>
        <v>#REF!</v>
      </c>
      <c r="BU146" s="2" t="e">
        <f>SUMPRODUCT((BI$4:BI146)*($BR$4:$BR146)*(其他调用!#REF!))</f>
        <v>#REF!</v>
      </c>
      <c r="BV146" s="2" t="e">
        <f>SUMPRODUCT((BJ$4:BJ146)*($BR$4:$BR146)*(其他调用!#REF!))</f>
        <v>#REF!</v>
      </c>
      <c r="BW146" s="2" t="e">
        <f>SUMPRODUCT((BK$4:BK146)*($BR$4:$BR146)*(其他调用!#REF!))</f>
        <v>#REF!</v>
      </c>
      <c r="BX146" s="2" t="e">
        <f>SUMPRODUCT((BG$4:BG146)*($BR$4:$BR146))*'[1]功能-战损相关'!$D$2-BS146</f>
        <v>#REF!</v>
      </c>
      <c r="BY146" s="2" t="e">
        <f>SUMPRODUCT((BH$4:BH146)*($BR$4:$BR146))*'[1]功能-战损相关'!$D$2-BT146</f>
        <v>#REF!</v>
      </c>
      <c r="BZ146" s="2" t="e">
        <f>SUMPRODUCT((BI$4:BI146)*($BR$4:$BR146))*'[1]功能-战损相关'!$D$2-BU146</f>
        <v>#REF!</v>
      </c>
      <c r="CA146" s="2" t="e">
        <f>SUMPRODUCT((BJ$4:BJ146)*($BR$4:$BR146))*'[1]功能-战损相关'!$D$2-BV146</f>
        <v>#REF!</v>
      </c>
      <c r="CB146" s="2" t="e">
        <f>SUMPRODUCT((BK$4:BK146)*($BR$4:$BR146))*'[1]功能-战损相关'!$D$2-BW146</f>
        <v>#REF!</v>
      </c>
    </row>
    <row r="147" spans="27:80" x14ac:dyDescent="0.2">
      <c r="AA147" s="2">
        <v>144</v>
      </c>
      <c r="AB147" s="2">
        <f>攻城基础信息!X148*$E$12</f>
        <v>744702.47282329085</v>
      </c>
      <c r="AC147" s="2">
        <f>攻城基础信息!Y148*$E$12</f>
        <v>767040.4144074379</v>
      </c>
      <c r="AD147" s="2">
        <f>攻城基础信息!Z148*$E$12</f>
        <v>779105.54706773721</v>
      </c>
      <c r="AE147" s="2">
        <f>攻城基础信息!AA148*$E$12</f>
        <v>793553.5801566462</v>
      </c>
      <c r="AF147" s="2">
        <f>攻城基础信息!AB148*$E$12</f>
        <v>810491.17693378392</v>
      </c>
      <c r="AH147" s="2">
        <f>$E$4*AB147*攻城基础信息!AC148</f>
        <v>18245210.584170613</v>
      </c>
      <c r="AI147" s="2">
        <f>$E$4*AC147*攻城基础信息!AD148</f>
        <v>18792490.152982216</v>
      </c>
      <c r="AJ147" s="2">
        <f>$E$4*AD147*攻城基础信息!AE148</f>
        <v>19088085.903159548</v>
      </c>
      <c r="AK147" s="2">
        <f>$E$4*AE147*攻城基础信息!AF148</f>
        <v>19442062.713837817</v>
      </c>
      <c r="AL147" s="2">
        <f>$E$4*AF147*攻城基础信息!AG148</f>
        <v>19857033.834877692</v>
      </c>
      <c r="AN147" s="2">
        <v>144</v>
      </c>
      <c r="AO147" s="2">
        <f>求节点(节奏总纲!D$4:D$163,AH$4:AH$163,$AN147)*其他调用!H148*其他调用!$M148</f>
        <v>188557576.91290611</v>
      </c>
      <c r="AP147" s="2">
        <f>求节点(节奏总纲!E$4:E$163,AI$4:AI$163,$AN147)*其他调用!I148*其他调用!$M148</f>
        <v>213441115.78707141</v>
      </c>
      <c r="AQ147" s="2">
        <f>求节点(节奏总纲!F$4:F$163,AJ$4:AJ$163,$AN147)*其他调用!J148*其他调用!$M148</f>
        <v>20544231.995544523</v>
      </c>
      <c r="AR147" s="2">
        <f>求节点(节奏总纲!G$4:G$163,AK$4:AK$163,$AN147)*其他调用!K148*其他调用!$M148</f>
        <v>5279717.4644104466</v>
      </c>
      <c r="AS147" s="2">
        <f>求节点(节奏总纲!H$4:H$163,AL$4:AL$163,$AN147)*其他调用!L148*其他调用!$M148</f>
        <v>1928593.4361719235</v>
      </c>
      <c r="AT147" s="2">
        <f t="shared" si="17"/>
        <v>429751235.59610444</v>
      </c>
      <c r="AY147" s="2">
        <v>144</v>
      </c>
      <c r="AZ147" s="2">
        <f>其他调用!R148*6*(其他调用!AH$2*$AZ$1*MIN(其他调用!$AJ148/其他调用!AH148,1)+$E$4*0%*攻城基础信息!AC148)</f>
        <v>13473.133767392907</v>
      </c>
      <c r="BA147" s="2">
        <f>其他调用!S148*6*(其他调用!AI$2*$AZ$1*MIN(其他调用!$AJ148/其他调用!AI148,1)+$E$4*0%*攻城基础信息!AD148)</f>
        <v>40563.513815383267</v>
      </c>
      <c r="BB147" s="2">
        <f>其他调用!T148*6*(其他调用!AJ$2*$AZ$1*MIN(其他调用!$AJ148/其他调用!AJ148,1)+$E$4*0%*攻城基础信息!AE148)</f>
        <v>122127.81732352881</v>
      </c>
      <c r="BC147" s="2">
        <f>其他调用!U148*6*(其他调用!AK$2*$AZ$1*MIN(其他调用!$AJ148/其他调用!AK148,1)+$E$4*0%*攻城基础信息!AF148)</f>
        <v>49856.292053551857</v>
      </c>
      <c r="BD147" s="2">
        <f>其他调用!V148*6*(其他调用!AL$2*$AZ$1*MIN(其他调用!$AJ148/其他调用!AL148,1)+$E$4*0%*攻城基础信息!AG148)</f>
        <v>15846.591668410498</v>
      </c>
      <c r="BF147" s="2">
        <v>144</v>
      </c>
      <c r="BG147" s="2">
        <f>求节点(节奏总纲!D$4:D$163,AZ$4:AZ$163,$AN147)</f>
        <v>7647.6860495920509</v>
      </c>
      <c r="BH147" s="2">
        <f>求节点(节奏总纲!E$4:E$163,BA$4:BA$163,$AN147)</f>
        <v>23638.508290021804</v>
      </c>
      <c r="BI147" s="2">
        <f>求节点(节奏总纲!F$4:F$163,BB$4:BB$163,$AN147)</f>
        <v>73626.491503132944</v>
      </c>
      <c r="BJ147" s="2">
        <f>求节点(节奏总纲!G$4:G$163,BC$4:BC$163,$AN147)</f>
        <v>35459.739753267393</v>
      </c>
      <c r="BK147" s="2">
        <f>求节点(节奏总纲!H$4:H$163,BD$4:BD$163,$AN147)</f>
        <v>10682.074517663861</v>
      </c>
      <c r="BL147" s="2">
        <f>BG147*其他调用!H148*其他调用!$M148</f>
        <v>366802.52644978272</v>
      </c>
      <c r="BM147" s="2">
        <f>BH147*其他调用!I148*其他调用!$M148</f>
        <v>1117900.8394942249</v>
      </c>
      <c r="BN147" s="2">
        <f>BI147*其他调用!J148*其他调用!$M148</f>
        <v>284229.18136518553</v>
      </c>
      <c r="BO147" s="2">
        <f>BJ147*其他调用!K148*其他调用!$M148</f>
        <v>24353.607423585039</v>
      </c>
      <c r="BP147" s="2">
        <f>BK147*其他调用!L148*其他调用!$M148</f>
        <v>2122.7418481501622</v>
      </c>
      <c r="BQ147" s="2">
        <f t="shared" si="18"/>
        <v>1795408.8965809287</v>
      </c>
      <c r="BR147" s="2">
        <f>[1]服务器生态!$R146</f>
        <v>1.0656436487638532E-2</v>
      </c>
      <c r="BS147" s="2" t="e">
        <f>SUMPRODUCT((BG$4:BG147)*($BR$4:$BR147)*(其他调用!#REF!))</f>
        <v>#REF!</v>
      </c>
      <c r="BT147" s="2" t="e">
        <f>SUMPRODUCT((BH$4:BH147)*($BR$4:$BR147)*(其他调用!#REF!))</f>
        <v>#REF!</v>
      </c>
      <c r="BU147" s="2" t="e">
        <f>SUMPRODUCT((BI$4:BI147)*($BR$4:$BR147)*(其他调用!#REF!))</f>
        <v>#REF!</v>
      </c>
      <c r="BV147" s="2" t="e">
        <f>SUMPRODUCT((BJ$4:BJ147)*($BR$4:$BR147)*(其他调用!#REF!))</f>
        <v>#REF!</v>
      </c>
      <c r="BW147" s="2" t="e">
        <f>SUMPRODUCT((BK$4:BK147)*($BR$4:$BR147)*(其他调用!#REF!))</f>
        <v>#REF!</v>
      </c>
      <c r="BX147" s="2" t="e">
        <f>SUMPRODUCT((BG$4:BG147)*($BR$4:$BR147))*'[1]功能-战损相关'!$D$2-BS147</f>
        <v>#REF!</v>
      </c>
      <c r="BY147" s="2" t="e">
        <f>SUMPRODUCT((BH$4:BH147)*($BR$4:$BR147))*'[1]功能-战损相关'!$D$2-BT147</f>
        <v>#REF!</v>
      </c>
      <c r="BZ147" s="2" t="e">
        <f>SUMPRODUCT((BI$4:BI147)*($BR$4:$BR147))*'[1]功能-战损相关'!$D$2-BU147</f>
        <v>#REF!</v>
      </c>
      <c r="CA147" s="2" t="e">
        <f>SUMPRODUCT((BJ$4:BJ147)*($BR$4:$BR147))*'[1]功能-战损相关'!$D$2-BV147</f>
        <v>#REF!</v>
      </c>
      <c r="CB147" s="2" t="e">
        <f>SUMPRODUCT((BK$4:BK147)*($BR$4:$BR147))*'[1]功能-战损相关'!$D$2-BW147</f>
        <v>#REF!</v>
      </c>
    </row>
    <row r="148" spans="27:80" x14ac:dyDescent="0.2">
      <c r="AA148" s="2">
        <v>145</v>
      </c>
      <c r="AB148" s="2">
        <f>攻城基础信息!X149*$E$12</f>
        <v>754702.12229113141</v>
      </c>
      <c r="AC148" s="2">
        <f>攻城基础信息!Y149*$E$12</f>
        <v>777029.72356239182</v>
      </c>
      <c r="AD148" s="2">
        <f>攻城基础信息!Z149*$E$12</f>
        <v>789203.3676894214</v>
      </c>
      <c r="AE148" s="2">
        <f>攻城基础信息!AA149*$E$12</f>
        <v>803769.51391902124</v>
      </c>
      <c r="AF148" s="2">
        <f>攻城基础信息!AB149*$E$12</f>
        <v>820821.87718852435</v>
      </c>
      <c r="AH148" s="2">
        <f>$E$4*AB148*攻城基础信息!AC149</f>
        <v>18490201.996132709</v>
      </c>
      <c r="AI148" s="2">
        <f>$E$4*AC148*攻城基础信息!AD149</f>
        <v>19037228.22727859</v>
      </c>
      <c r="AJ148" s="2">
        <f>$E$4*AD148*攻城基础信息!AE149</f>
        <v>19335482.50839081</v>
      </c>
      <c r="AK148" s="2">
        <f>$E$4*AE148*攻城基础信息!AF149</f>
        <v>19692353.091016009</v>
      </c>
      <c r="AL148" s="2">
        <f>$E$4*AF148*攻城基础信息!AG149</f>
        <v>20110135.991118833</v>
      </c>
      <c r="AN148" s="2">
        <v>145</v>
      </c>
      <c r="AO148" s="2">
        <f>求节点(节奏总纲!D$4:D$163,AH$4:AH$163,$AN148)*其他调用!H149*其他调用!$M149</f>
        <v>189131175.90870401</v>
      </c>
      <c r="AP148" s="2">
        <f>求节点(节奏总纲!E$4:E$163,AI$4:AI$163,$AN148)*其他调用!I149*其他调用!$M149</f>
        <v>214117462.62292695</v>
      </c>
      <c r="AQ148" s="2">
        <f>求节点(节奏总纲!F$4:F$163,AJ$4:AJ$163,$AN148)*其他调用!J149*其他调用!$M149</f>
        <v>20625412.394879114</v>
      </c>
      <c r="AR148" s="2">
        <f>求节点(节奏总纲!G$4:G$163,AK$4:AK$163,$AN148)*其他调用!K149*其他调用!$M149</f>
        <v>5296562.6518329447</v>
      </c>
      <c r="AS148" s="2">
        <f>求节点(节奏总纲!H$4:H$163,AL$4:AL$163,$AN148)*其他调用!L149*其他调用!$M149</f>
        <v>1932209.4073753825</v>
      </c>
      <c r="AT148" s="2">
        <f t="shared" si="17"/>
        <v>431102822.98571843</v>
      </c>
      <c r="AY148" s="2">
        <v>145</v>
      </c>
      <c r="AZ148" s="2">
        <f>其他调用!R149*6*(其他调用!AH$2*$AZ$1*MIN(其他调用!$AJ149/其他调用!AH149,1)+$E$4*0%*攻城基础信息!AC149)</f>
        <v>13555.754694935293</v>
      </c>
      <c r="BA148" s="2">
        <f>其他调用!S149*6*(其他调用!AI$2*$AZ$1*MIN(其他调用!$AJ149/其他调用!AI149,1)+$E$4*0%*攻城基础信息!AD149)</f>
        <v>40804.292387602385</v>
      </c>
      <c r="BB148" s="2">
        <f>其他调用!T149*6*(其他调用!AJ$2*$AZ$1*MIN(其他调用!$AJ149/其他调用!AJ149,1)+$E$4*0%*攻城基础信息!AE149)</f>
        <v>122876.68754922831</v>
      </c>
      <c r="BC148" s="2">
        <f>其他调用!U149*6*(其他调用!AK$2*$AZ$1*MIN(其他调用!$AJ149/其他调用!AK149,1)+$E$4*0%*攻城基础信息!AF149)</f>
        <v>50009.371986840692</v>
      </c>
      <c r="BD148" s="2">
        <f>其他调用!V149*6*(其他调用!AL$2*$AZ$1*MIN(其他调用!$AJ149/其他调用!AL149,1)+$E$4*0%*攻城基础信息!AG149)</f>
        <v>16002.823808593224</v>
      </c>
      <c r="BF148" s="2">
        <v>145</v>
      </c>
      <c r="BG148" s="2">
        <f>求节点(节奏总纲!D$4:D$163,AZ$4:AZ$163,$AN148)</f>
        <v>7655.7177952115389</v>
      </c>
      <c r="BH148" s="2">
        <f>求节点(节奏总纲!E$4:E$163,BA$4:BA$163,$AN148)</f>
        <v>23663.737819081776</v>
      </c>
      <c r="BI148" s="2">
        <f>求节点(节奏总纲!F$4:F$163,BB$4:BB$163,$AN148)</f>
        <v>73701.166502931432</v>
      </c>
      <c r="BJ148" s="2">
        <f>求节点(节奏总纲!G$4:G$163,BC$4:BC$163,$AN148)</f>
        <v>35495.88986206564</v>
      </c>
      <c r="BK148" s="2">
        <f>求节点(节奏总纲!H$4:H$163,BD$4:BD$163,$AN148)</f>
        <v>10689.492656107428</v>
      </c>
      <c r="BL148" s="2">
        <f>BG148*其他调用!H149*其他调用!$M149</f>
        <v>367187.74945265264</v>
      </c>
      <c r="BM148" s="2">
        <f>BH148*其他调用!I149*其他调用!$M149</f>
        <v>1119093.9821143155</v>
      </c>
      <c r="BN148" s="2">
        <f>BI148*其他调用!J149*其他调用!$M149</f>
        <v>284517.458228959</v>
      </c>
      <c r="BO148" s="2">
        <f>BJ148*其他调用!K149*其他调用!$M149</f>
        <v>24378.435173707239</v>
      </c>
      <c r="BP148" s="2">
        <f>BK148*其他调用!L149*其他调用!$M149</f>
        <v>2124.2159806216678</v>
      </c>
      <c r="BQ148" s="2">
        <f t="shared" si="18"/>
        <v>1797301.8409502562</v>
      </c>
      <c r="BR148" s="2">
        <f>[1]服务器生态!$R147</f>
        <v>1.0730439518802688E-2</v>
      </c>
      <c r="BS148" s="2" t="e">
        <f>SUMPRODUCT((BG$4:BG148)*($BR$4:$BR148)*(其他调用!#REF!))</f>
        <v>#REF!</v>
      </c>
      <c r="BT148" s="2" t="e">
        <f>SUMPRODUCT((BH$4:BH148)*($BR$4:$BR148)*(其他调用!#REF!))</f>
        <v>#REF!</v>
      </c>
      <c r="BU148" s="2" t="e">
        <f>SUMPRODUCT((BI$4:BI148)*($BR$4:$BR148)*(其他调用!#REF!))</f>
        <v>#REF!</v>
      </c>
      <c r="BV148" s="2" t="e">
        <f>SUMPRODUCT((BJ$4:BJ148)*($BR$4:$BR148)*(其他调用!#REF!))</f>
        <v>#REF!</v>
      </c>
      <c r="BW148" s="2" t="e">
        <f>SUMPRODUCT((BK$4:BK148)*($BR$4:$BR148)*(其他调用!#REF!))</f>
        <v>#REF!</v>
      </c>
      <c r="BX148" s="2" t="e">
        <f>SUMPRODUCT((BG$4:BG148)*($BR$4:$BR148))*'[1]功能-战损相关'!$D$2-BS148</f>
        <v>#REF!</v>
      </c>
      <c r="BY148" s="2" t="e">
        <f>SUMPRODUCT((BH$4:BH148)*($BR$4:$BR148))*'[1]功能-战损相关'!$D$2-BT148</f>
        <v>#REF!</v>
      </c>
      <c r="BZ148" s="2" t="e">
        <f>SUMPRODUCT((BI$4:BI148)*($BR$4:$BR148))*'[1]功能-战损相关'!$D$2-BU148</f>
        <v>#REF!</v>
      </c>
      <c r="CA148" s="2" t="e">
        <f>SUMPRODUCT((BJ$4:BJ148)*($BR$4:$BR148))*'[1]功能-战损相关'!$D$2-BV148</f>
        <v>#REF!</v>
      </c>
      <c r="CB148" s="2" t="e">
        <f>SUMPRODUCT((BK$4:BK148)*($BR$4:$BR148))*'[1]功能-战损相关'!$D$2-BW148</f>
        <v>#REF!</v>
      </c>
    </row>
    <row r="149" spans="27:80" x14ac:dyDescent="0.2">
      <c r="AA149" s="2">
        <v>146</v>
      </c>
      <c r="AB149" s="2">
        <f>攻城基础信息!X150*$E$12</f>
        <v>764712.75626951177</v>
      </c>
      <c r="AC149" s="2">
        <f>攻城基础信息!Y150*$E$12</f>
        <v>787019.03271734575</v>
      </c>
      <c r="AD149" s="2">
        <f>攻城基础信息!Z150*$E$12</f>
        <v>799301.18831110583</v>
      </c>
      <c r="AE149" s="2">
        <f>攻城基础信息!AA150*$E$12</f>
        <v>813985.44768139627</v>
      </c>
      <c r="AF149" s="2">
        <f>攻城基础信息!AB150*$E$12</f>
        <v>831152.57744326489</v>
      </c>
      <c r="AH149" s="2">
        <f>$E$4*AB149*攻城基础信息!AC150</f>
        <v>18735462.528603025</v>
      </c>
      <c r="AI149" s="2">
        <f>$E$4*AC149*攻城基础信息!AD150</f>
        <v>19281966.30157496</v>
      </c>
      <c r="AJ149" s="2">
        <f>$E$4*AD149*攻城基础信息!AE150</f>
        <v>19582879.113622081</v>
      </c>
      <c r="AK149" s="2">
        <f>$E$4*AE149*攻城基础信息!AF150</f>
        <v>19942643.468194194</v>
      </c>
      <c r="AL149" s="2">
        <f>$E$4*AF149*攻城基础信息!AG150</f>
        <v>20363238.147359978</v>
      </c>
      <c r="AN149" s="2">
        <v>146</v>
      </c>
      <c r="AO149" s="2">
        <f>求节点(节奏总纲!D$4:D$163,AH$4:AH$163,$AN149)*其他调用!H150*其他调用!$M150</f>
        <v>189704774.90450191</v>
      </c>
      <c r="AP149" s="2">
        <f>求节点(节奏总纲!E$4:E$163,AI$4:AI$163,$AN149)*其他调用!I150*其他调用!$M150</f>
        <v>214758103.56314296</v>
      </c>
      <c r="AQ149" s="2">
        <f>求节点(节奏总纲!F$4:F$163,AJ$4:AJ$163,$AN149)*其他调用!J150*其他调用!$M150</f>
        <v>20706592.794213708</v>
      </c>
      <c r="AR149" s="2">
        <f>求节点(节奏总纲!G$4:G$163,AK$4:AK$163,$AN149)*其他调用!K150*其他调用!$M150</f>
        <v>5313407.8392554419</v>
      </c>
      <c r="AS149" s="2">
        <f>求节点(节奏总纲!H$4:H$163,AL$4:AL$163,$AN149)*其他调用!L150*其他调用!$M150</f>
        <v>1935825.3785788412</v>
      </c>
      <c r="AT149" s="2">
        <f t="shared" si="17"/>
        <v>432418704.47969288</v>
      </c>
      <c r="AY149" s="2">
        <v>146</v>
      </c>
      <c r="AZ149" s="2">
        <f>其他调用!R150*6*(其他调用!AH$2*$AZ$1*MIN(其他调用!$AJ150/其他调用!AH150,1)+$E$4*0%*攻城基础信息!AC150)</f>
        <v>13635.204562379469</v>
      </c>
      <c r="BA149" s="2">
        <f>其他调用!S150*6*(其他调用!AI$2*$AZ$1*MIN(其他调用!$AJ150/其他调用!AI150,1)+$E$4*0%*攻城基础信息!AD150)</f>
        <v>41051.856421914745</v>
      </c>
      <c r="BB149" s="2">
        <f>其他调用!T150*6*(其他调用!AJ$2*$AZ$1*MIN(其他调用!$AJ150/其他调用!AJ150,1)+$E$4*0%*攻城基础信息!AE150)</f>
        <v>123573.19554860622</v>
      </c>
      <c r="BC149" s="2">
        <f>其他调用!U150*6*(其他调用!AK$2*$AZ$1*MIN(其他调用!$AJ150/其他调用!AK150,1)+$E$4*0%*攻城基础信息!AF150)</f>
        <v>50159.788689248708</v>
      </c>
      <c r="BD149" s="2">
        <f>其他调用!V150*6*(其他调用!AL$2*$AZ$1*MIN(其他调用!$AJ150/其他调用!AL150,1)+$E$4*0%*攻城基础信息!AG150)</f>
        <v>16157.771227014175</v>
      </c>
      <c r="BF149" s="2">
        <v>146</v>
      </c>
      <c r="BG149" s="2">
        <f>求节点(节奏总纲!D$4:D$163,AZ$4:AZ$163,$AN149)</f>
        <v>7663.7495408310269</v>
      </c>
      <c r="BH149" s="2">
        <f>求节点(节奏总纲!E$4:E$163,BA$4:BA$163,$AN149)</f>
        <v>23686.618122080814</v>
      </c>
      <c r="BI149" s="2">
        <f>求节点(节奏总纲!F$4:F$163,BB$4:BB$163,$AN149)</f>
        <v>73775.84150272992</v>
      </c>
      <c r="BJ149" s="2">
        <f>求节点(节奏总纲!G$4:G$163,BC$4:BC$163,$AN149)</f>
        <v>35532.03997086388</v>
      </c>
      <c r="BK149" s="2">
        <f>求节点(节奏总纲!H$4:H$163,BD$4:BD$163,$AN149)</f>
        <v>10696.910794550993</v>
      </c>
      <c r="BL149" s="2">
        <f>BG149*其他调用!H150*其他调用!$M150</f>
        <v>367572.97245552251</v>
      </c>
      <c r="BM149" s="2">
        <f>BH149*其他调用!I150*其他调用!$M150</f>
        <v>1120176.0262778765</v>
      </c>
      <c r="BN149" s="2">
        <f>BI149*其他调用!J150*其他调用!$M150</f>
        <v>284805.73509273247</v>
      </c>
      <c r="BO149" s="2">
        <f>BJ149*其他调用!K150*其他调用!$M150</f>
        <v>24403.262923829436</v>
      </c>
      <c r="BP149" s="2">
        <f>BK149*其他调用!L150*其他调用!$M150</f>
        <v>2125.6901130931728</v>
      </c>
      <c r="BQ149" s="2">
        <f t="shared" si="18"/>
        <v>1799083.6868630543</v>
      </c>
      <c r="BR149" s="2">
        <f>[1]服务器生态!$R148</f>
        <v>1.0804442549966846E-2</v>
      </c>
      <c r="BS149" s="2" t="e">
        <f>SUMPRODUCT((BG$4:BG149)*($BR$4:$BR149)*(其他调用!#REF!))</f>
        <v>#REF!</v>
      </c>
      <c r="BT149" s="2" t="e">
        <f>SUMPRODUCT((BH$4:BH149)*($BR$4:$BR149)*(其他调用!#REF!))</f>
        <v>#REF!</v>
      </c>
      <c r="BU149" s="2" t="e">
        <f>SUMPRODUCT((BI$4:BI149)*($BR$4:$BR149)*(其他调用!#REF!))</f>
        <v>#REF!</v>
      </c>
      <c r="BV149" s="2" t="e">
        <f>SUMPRODUCT((BJ$4:BJ149)*($BR$4:$BR149)*(其他调用!#REF!))</f>
        <v>#REF!</v>
      </c>
      <c r="BW149" s="2" t="e">
        <f>SUMPRODUCT((BK$4:BK149)*($BR$4:$BR149)*(其他调用!#REF!))</f>
        <v>#REF!</v>
      </c>
      <c r="BX149" s="2" t="e">
        <f>SUMPRODUCT((BG$4:BG149)*($BR$4:$BR149))*'[1]功能-战损相关'!$D$2-BS149</f>
        <v>#REF!</v>
      </c>
      <c r="BY149" s="2" t="e">
        <f>SUMPRODUCT((BH$4:BH149)*($BR$4:$BR149))*'[1]功能-战损相关'!$D$2-BT149</f>
        <v>#REF!</v>
      </c>
      <c r="BZ149" s="2" t="e">
        <f>SUMPRODUCT((BI$4:BI149)*($BR$4:$BR149))*'[1]功能-战损相关'!$D$2-BU149</f>
        <v>#REF!</v>
      </c>
      <c r="CA149" s="2" t="e">
        <f>SUMPRODUCT((BJ$4:BJ149)*($BR$4:$BR149))*'[1]功能-战损相关'!$D$2-BV149</f>
        <v>#REF!</v>
      </c>
      <c r="CB149" s="2" t="e">
        <f>SUMPRODUCT((BK$4:BK149)*($BR$4:$BR149))*'[1]功能-战损相关'!$D$2-BW149</f>
        <v>#REF!</v>
      </c>
    </row>
    <row r="150" spans="27:80" x14ac:dyDescent="0.2">
      <c r="AA150" s="2">
        <v>147</v>
      </c>
      <c r="AB150" s="2">
        <f>攻城基础信息!X151*$E$12</f>
        <v>774734.37475843192</v>
      </c>
      <c r="AC150" s="2">
        <f>攻城基础信息!Y151*$E$12</f>
        <v>797008.34187229967</v>
      </c>
      <c r="AD150" s="2">
        <f>攻城基础信息!Z151*$E$12</f>
        <v>809388.66596652754</v>
      </c>
      <c r="AE150" s="2">
        <f>攻城基础信息!AA151*$E$12</f>
        <v>824190.14372672688</v>
      </c>
      <c r="AF150" s="2">
        <f>攻城基础信息!AB151*$E$12</f>
        <v>841483.27769800532</v>
      </c>
      <c r="AH150" s="2">
        <f>$E$4*AB150*攻城基础信息!AC151</f>
        <v>18980992.181581572</v>
      </c>
      <c r="AI150" s="2">
        <f>$E$4*AC150*攻城基础信息!AD151</f>
        <v>19526704.375871327</v>
      </c>
      <c r="AJ150" s="2">
        <f>$E$4*AD150*攻城基础信息!AE151</f>
        <v>19830022.316179913</v>
      </c>
      <c r="AK150" s="2">
        <f>$E$4*AE150*攻城基础信息!AF151</f>
        <v>20192658.521304794</v>
      </c>
      <c r="AL150" s="2">
        <f>$E$4*AF150*攻城基础信息!AG151</f>
        <v>20616340.303601116</v>
      </c>
      <c r="AN150" s="2">
        <v>147</v>
      </c>
      <c r="AO150" s="2">
        <f>求节点(节奏总纲!D$4:D$163,AH$4:AH$163,$AN150)*其他调用!H151*其他调用!$M151</f>
        <v>190316897.05169424</v>
      </c>
      <c r="AP150" s="2">
        <f>求节点(节奏总纲!E$4:E$163,AI$4:AI$163,$AN150)*其他调用!I151*其他调用!$M151</f>
        <v>215391752.40466702</v>
      </c>
      <c r="AQ150" s="2">
        <f>求节点(节奏总纲!F$4:F$163,AJ$4:AJ$163,$AN150)*其他调用!J151*其他调用!$M151</f>
        <v>20787722.17093176</v>
      </c>
      <c r="AR150" s="2">
        <f>求节点(节奏总纲!G$4:G$163,AK$4:AK$163,$AN150)*其他调用!K151*其他调用!$M151</f>
        <v>5330253.0266779391</v>
      </c>
      <c r="AS150" s="2">
        <f>求节点(节奏总纲!H$4:H$163,AL$4:AL$163,$AN150)*其他调用!L151*其他调用!$M151</f>
        <v>1939441.3497823004</v>
      </c>
      <c r="AT150" s="2">
        <f t="shared" si="17"/>
        <v>433766066.0037533</v>
      </c>
      <c r="AY150" s="2">
        <v>147</v>
      </c>
      <c r="AZ150" s="2">
        <f>其他调用!R151*6*(其他调用!AH$2*$AZ$1*MIN(其他调用!$AJ151/其他调用!AH151,1)+$E$4*0%*攻城基础信息!AC151)</f>
        <v>13718.277835627745</v>
      </c>
      <c r="BA150" s="2">
        <f>其他调用!S151*6*(其他调用!AI$2*$AZ$1*MIN(其他调用!$AJ151/其他调用!AI151,1)+$E$4*0%*攻城基础信息!AD151)</f>
        <v>41282.308568477376</v>
      </c>
      <c r="BB150" s="2">
        <f>其他调用!T151*6*(其他调用!AJ$2*$AZ$1*MIN(其他调用!$AJ151/其他调用!AJ151,1)+$E$4*0%*攻城基础信息!AE151)</f>
        <v>124269.49582277857</v>
      </c>
      <c r="BC150" s="2">
        <f>其他调用!U151*6*(其他调用!AK$2*$AZ$1*MIN(其他调用!$AJ151/其他调用!AK151,1)+$E$4*0%*攻城基础信息!AF151)</f>
        <v>50307.281882780662</v>
      </c>
      <c r="BD150" s="2">
        <f>其他调用!V151*6*(其他调用!AL$2*$AZ$1*MIN(其他调用!$AJ151/其他调用!AL151,1)+$E$4*0%*攻城基础信息!AG151)</f>
        <v>16311.672911571106</v>
      </c>
      <c r="BF150" s="2">
        <v>147</v>
      </c>
      <c r="BG150" s="2">
        <f>求节点(节奏总纲!D$4:D$163,AZ$4:AZ$163,$AN150)</f>
        <v>7671.534894201428</v>
      </c>
      <c r="BH150" s="2">
        <f>求节点(节奏总纲!E$4:E$163,BA$4:BA$163,$AN150)</f>
        <v>23709.038388433994</v>
      </c>
      <c r="BI150" s="2">
        <f>求节点(节奏总纲!F$4:F$163,BB$4:BB$163,$AN150)</f>
        <v>73846.794330452321</v>
      </c>
      <c r="BJ150" s="2">
        <f>求节点(节奏总纲!G$4:G$163,BC$4:BC$163,$AN150)</f>
        <v>35568.190079662127</v>
      </c>
      <c r="BK150" s="2">
        <f>求节点(节奏总纲!H$4:H$163,BD$4:BD$163,$AN150)</f>
        <v>10704.328932994558</v>
      </c>
      <c r="BL150" s="2">
        <f>BG150*其他调用!H151*其他调用!$M151</f>
        <v>367946.37785776443</v>
      </c>
      <c r="BM150" s="2">
        <f>BH150*其他调用!I151*其他调用!$M151</f>
        <v>1121236.3146120808</v>
      </c>
      <c r="BN150" s="2">
        <f>BI150*其他调用!J151*其他调用!$M151</f>
        <v>285079.64280892763</v>
      </c>
      <c r="BO150" s="2">
        <f>BJ150*其他调用!K151*其他调用!$M151</f>
        <v>24428.090673951639</v>
      </c>
      <c r="BP150" s="2">
        <f>BK150*其他调用!L151*其他调用!$M151</f>
        <v>2127.1642455646784</v>
      </c>
      <c r="BQ150" s="2">
        <f t="shared" si="18"/>
        <v>1800817.5901982894</v>
      </c>
      <c r="BR150" s="2">
        <f>[1]服务器生态!$R149</f>
        <v>1.0878445581131001E-2</v>
      </c>
      <c r="BS150" s="2" t="e">
        <f>SUMPRODUCT((BG$4:BG150)*($BR$4:$BR150)*(其他调用!#REF!))</f>
        <v>#REF!</v>
      </c>
      <c r="BT150" s="2" t="e">
        <f>SUMPRODUCT((BH$4:BH150)*($BR$4:$BR150)*(其他调用!#REF!))</f>
        <v>#REF!</v>
      </c>
      <c r="BU150" s="2" t="e">
        <f>SUMPRODUCT((BI$4:BI150)*($BR$4:$BR150)*(其他调用!#REF!))</f>
        <v>#REF!</v>
      </c>
      <c r="BV150" s="2" t="e">
        <f>SUMPRODUCT((BJ$4:BJ150)*($BR$4:$BR150)*(其他调用!#REF!))</f>
        <v>#REF!</v>
      </c>
      <c r="BW150" s="2" t="e">
        <f>SUMPRODUCT((BK$4:BK150)*($BR$4:$BR150)*(其他调用!#REF!))</f>
        <v>#REF!</v>
      </c>
      <c r="BX150" s="2" t="e">
        <f>SUMPRODUCT((BG$4:BG150)*($BR$4:$BR150))*'[1]功能-战损相关'!$D$2-BS150</f>
        <v>#REF!</v>
      </c>
      <c r="BY150" s="2" t="e">
        <f>SUMPRODUCT((BH$4:BH150)*($BR$4:$BR150))*'[1]功能-战损相关'!$D$2-BT150</f>
        <v>#REF!</v>
      </c>
      <c r="BZ150" s="2" t="e">
        <f>SUMPRODUCT((BI$4:BI150)*($BR$4:$BR150))*'[1]功能-战损相关'!$D$2-BU150</f>
        <v>#REF!</v>
      </c>
      <c r="CA150" s="2" t="e">
        <f>SUMPRODUCT((BJ$4:BJ150)*($BR$4:$BR150))*'[1]功能-战损相关'!$D$2-BV150</f>
        <v>#REF!</v>
      </c>
      <c r="CB150" s="2" t="e">
        <f>SUMPRODUCT((BK$4:BK150)*($BR$4:$BR150))*'[1]功能-战损相关'!$D$2-BW150</f>
        <v>#REF!</v>
      </c>
    </row>
    <row r="151" spans="27:80" x14ac:dyDescent="0.2">
      <c r="AA151" s="2">
        <v>148</v>
      </c>
      <c r="AB151" s="2">
        <f>攻城基础信息!X152*$E$12</f>
        <v>784766.97775789199</v>
      </c>
      <c r="AC151" s="2">
        <f>攻城基础信息!Y152*$E$12</f>
        <v>806997.65102725336</v>
      </c>
      <c r="AD151" s="2">
        <f>攻城基础信息!Z152*$E$12</f>
        <v>819459.04979837534</v>
      </c>
      <c r="AE151" s="2">
        <f>攻城基础信息!AA152*$E$12</f>
        <v>834360.06177811988</v>
      </c>
      <c r="AF151" s="2">
        <f>攻城基础信息!AB152*$E$12</f>
        <v>851721.57583262585</v>
      </c>
      <c r="AH151" s="2">
        <f>$E$4*AB151*攻城基础信息!AC152</f>
        <v>19226790.955068342</v>
      </c>
      <c r="AI151" s="2">
        <f>$E$4*AC151*攻城基础信息!AD152</f>
        <v>19771442.450167697</v>
      </c>
      <c r="AJ151" s="2">
        <f>$E$4*AD151*攻城基础信息!AE152</f>
        <v>20076746.720060185</v>
      </c>
      <c r="AK151" s="2">
        <f>$E$4*AE151*攻城基础信息!AF152</f>
        <v>20441821.513563924</v>
      </c>
      <c r="AL151" s="2">
        <f>$E$4*AF151*攻城基础信息!AG152</f>
        <v>20867178.607899319</v>
      </c>
      <c r="AN151" s="2">
        <v>148</v>
      </c>
      <c r="AO151" s="2">
        <f>求节点(节奏总纲!D$4:D$163,AH$4:AH$163,$AN151)*其他调用!H152*其他调用!$M152</f>
        <v>190930349.89657411</v>
      </c>
      <c r="AP151" s="2">
        <f>求节点(节奏总纲!E$4:E$163,AI$4:AI$163,$AN151)*其他调用!I152*其他调用!$M152</f>
        <v>216025401.24619114</v>
      </c>
      <c r="AQ151" s="2">
        <f>求节点(节奏总纲!F$4:F$163,AJ$4:AJ$163,$AN151)*其他调用!J152*其他调用!$M152</f>
        <v>20868793.59042912</v>
      </c>
      <c r="AR151" s="2">
        <f>求节点(节奏总纲!G$4:G$163,AK$4:AK$163,$AN151)*其他调用!K152*其他调用!$M152</f>
        <v>5347098.2141004354</v>
      </c>
      <c r="AS151" s="2">
        <f>求节点(节奏总纲!H$4:H$163,AL$4:AL$163,$AN151)*其他调用!L152*其他调用!$M152</f>
        <v>1943052.013630226</v>
      </c>
      <c r="AT151" s="2">
        <f t="shared" si="17"/>
        <v>435114694.96092504</v>
      </c>
      <c r="AY151" s="2">
        <v>148</v>
      </c>
      <c r="AZ151" s="2">
        <f>其他调用!R152*6*(其他调用!AH$2*$AZ$1*MIN(其他调用!$AJ152/其他调用!AH152,1)+$E$4*0%*攻城基础信息!AC152)</f>
        <v>13797.354857899509</v>
      </c>
      <c r="BA151" s="2">
        <f>其他调用!S152*6*(其他调用!AI$2*$AZ$1*MIN(其他调用!$AJ152/其他调用!AI152,1)+$E$4*0%*攻城基础信息!AD152)</f>
        <v>41528.689305617561</v>
      </c>
      <c r="BB151" s="2">
        <f>其他调用!T152*6*(其他调用!AJ$2*$AZ$1*MIN(其他调用!$AJ152/其他调用!AJ152,1)+$E$4*0%*攻城基础信息!AE152)</f>
        <v>124994.56866249049</v>
      </c>
      <c r="BC151" s="2">
        <f>其他调用!U152*6*(其他调用!AK$2*$AZ$1*MIN(其他调用!$AJ152/其他调用!AK152,1)+$E$4*0%*攻城基础信息!AF152)</f>
        <v>50469.36485574393</v>
      </c>
      <c r="BD151" s="2">
        <f>其他调用!V152*6*(其他调用!AL$2*$AZ$1*MIN(其他调用!$AJ152/其他调用!AL152,1)+$E$4*0%*攻城基础信息!AG152)</f>
        <v>16466.483740470328</v>
      </c>
      <c r="BF151" s="2">
        <v>148</v>
      </c>
      <c r="BG151" s="2">
        <f>求节点(节奏总纲!D$4:D$163,AZ$4:AZ$163,$AN151)</f>
        <v>7679.3117364925365</v>
      </c>
      <c r="BH151" s="2">
        <f>求节点(节奏总纲!E$4:E$163,BA$4:BA$163,$AN151)</f>
        <v>23731.458654787173</v>
      </c>
      <c r="BI151" s="2">
        <f>求节点(节奏总纲!F$4:F$163,BB$4:BB$163,$AN151)</f>
        <v>73913.51909691254</v>
      </c>
      <c r="BJ151" s="2">
        <f>求节点(节奏总纲!G$4:G$163,BC$4:BC$163,$AN151)</f>
        <v>35604.340188460366</v>
      </c>
      <c r="BK151" s="2">
        <f>求节点(节奏总纲!H$4:H$163,BD$4:BD$163,$AN151)</f>
        <v>10711.716947902691</v>
      </c>
      <c r="BL151" s="2">
        <f>BG151*其他调用!H152*其他调用!$M152</f>
        <v>368319.37504693802</v>
      </c>
      <c r="BM151" s="2">
        <f>BH151*其他调用!I152*其他调用!$M152</f>
        <v>1122296.6029462852</v>
      </c>
      <c r="BN151" s="2">
        <f>BI151*其他调用!J152*其他调用!$M152</f>
        <v>285337.22843280545</v>
      </c>
      <c r="BO151" s="2">
        <f>BJ151*其他调用!K152*其他调用!$M152</f>
        <v>24452.918424073832</v>
      </c>
      <c r="BP151" s="2">
        <f>BK151*其他调用!L152*其他调用!$M152</f>
        <v>2128.6323918872222</v>
      </c>
      <c r="BQ151" s="2">
        <f t="shared" si="18"/>
        <v>1802534.7572419897</v>
      </c>
      <c r="BR151" s="2">
        <f>[1]服务器生态!$R150</f>
        <v>1.0952448612295157E-2</v>
      </c>
      <c r="BS151" s="2" t="e">
        <f>SUMPRODUCT((BG$4:BG151)*($BR$4:$BR151)*(其他调用!#REF!))</f>
        <v>#REF!</v>
      </c>
      <c r="BT151" s="2" t="e">
        <f>SUMPRODUCT((BH$4:BH151)*($BR$4:$BR151)*(其他调用!#REF!))</f>
        <v>#REF!</v>
      </c>
      <c r="BU151" s="2" t="e">
        <f>SUMPRODUCT((BI$4:BI151)*($BR$4:$BR151)*(其他调用!#REF!))</f>
        <v>#REF!</v>
      </c>
      <c r="BV151" s="2" t="e">
        <f>SUMPRODUCT((BJ$4:BJ151)*($BR$4:$BR151)*(其他调用!#REF!))</f>
        <v>#REF!</v>
      </c>
      <c r="BW151" s="2" t="e">
        <f>SUMPRODUCT((BK$4:BK151)*($BR$4:$BR151)*(其他调用!#REF!))</f>
        <v>#REF!</v>
      </c>
      <c r="BX151" s="2" t="e">
        <f>SUMPRODUCT((BG$4:BG151)*($BR$4:$BR151))*'[1]功能-战损相关'!$D$2-BS151</f>
        <v>#REF!</v>
      </c>
      <c r="BY151" s="2" t="e">
        <f>SUMPRODUCT((BH$4:BH151)*($BR$4:$BR151))*'[1]功能-战损相关'!$D$2-BT151</f>
        <v>#REF!</v>
      </c>
      <c r="BZ151" s="2" t="e">
        <f>SUMPRODUCT((BI$4:BI151)*($BR$4:$BR151))*'[1]功能-战损相关'!$D$2-BU151</f>
        <v>#REF!</v>
      </c>
      <c r="CA151" s="2" t="e">
        <f>SUMPRODUCT((BJ$4:BJ151)*($BR$4:$BR151))*'[1]功能-战损相关'!$D$2-BV151</f>
        <v>#REF!</v>
      </c>
      <c r="CB151" s="2" t="e">
        <f>SUMPRODUCT((BK$4:BK151)*($BR$4:$BR151))*'[1]功能-战损相关'!$D$2-BW151</f>
        <v>#REF!</v>
      </c>
    </row>
    <row r="152" spans="27:80" x14ac:dyDescent="0.2">
      <c r="AA152" s="2">
        <v>149</v>
      </c>
      <c r="AB152" s="2">
        <f>攻城基础信息!X153*$E$12</f>
        <v>794810.56526789162</v>
      </c>
      <c r="AC152" s="2">
        <f>攻城基础信息!Y153*$E$12</f>
        <v>816986.96018220729</v>
      </c>
      <c r="AD152" s="2">
        <f>攻城基础信息!Z153*$E$12</f>
        <v>829529.43363022292</v>
      </c>
      <c r="AE152" s="2">
        <f>攻城基础信息!AA153*$E$12</f>
        <v>844529.97982951324</v>
      </c>
      <c r="AF152" s="2">
        <f>攻城基础信息!AB153*$E$12</f>
        <v>861939.77131516323</v>
      </c>
      <c r="AH152" s="2">
        <f>$E$4*AB152*攻城基础信息!AC153</f>
        <v>19472858.849063333</v>
      </c>
      <c r="AI152" s="2">
        <f>$E$4*AC152*攻城基础信息!AD153</f>
        <v>20016180.524464063</v>
      </c>
      <c r="AJ152" s="2">
        <f>$E$4*AD152*攻城基础信息!AE153</f>
        <v>20323471.123940449</v>
      </c>
      <c r="AK152" s="2">
        <f>$E$4*AE152*攻城基础信息!AF153</f>
        <v>20690984.505823061</v>
      </c>
      <c r="AL152" s="2">
        <f>$E$4*AF152*攻城基础信息!AG153</f>
        <v>21117524.397221487</v>
      </c>
      <c r="AN152" s="2">
        <v>149</v>
      </c>
      <c r="AO152" s="2">
        <f>求节点(节奏总纲!D$4:D$163,AH$4:AH$163,$AN152)*其他调用!H153*其他调用!$M153</f>
        <v>191543802.74145401</v>
      </c>
      <c r="AP152" s="2">
        <f>求节点(节奏总纲!E$4:E$163,AI$4:AI$163,$AN152)*其他调用!I153*其他调用!$M153</f>
        <v>216659050.08771527</v>
      </c>
      <c r="AQ152" s="2">
        <f>求节点(节奏总纲!F$4:F$163,AJ$4:AJ$163,$AN152)*其他调用!J153*其他调用!$M153</f>
        <v>20949865.009926476</v>
      </c>
      <c r="AR152" s="2">
        <f>求节点(节奏总纲!G$4:G$163,AK$4:AK$163,$AN152)*其他调用!K153*其他调用!$M153</f>
        <v>5363943.4015229326</v>
      </c>
      <c r="AS152" s="2">
        <f>求节点(节奏总纲!H$4:H$163,AL$4:AL$163,$AN152)*其他调用!L153*其他调用!$M153</f>
        <v>1946618.8592731764</v>
      </c>
      <c r="AT152" s="2">
        <f t="shared" si="17"/>
        <v>436463280.0998919</v>
      </c>
      <c r="AY152" s="2">
        <v>149</v>
      </c>
      <c r="AZ152" s="2">
        <f>其他调用!R153*6*(其他调用!AH$2*$AZ$1*MIN(其他调用!$AJ153/其他调用!AH153,1)+$E$4*0%*攻城基础信息!AC153)</f>
        <v>13880.384948765906</v>
      </c>
      <c r="BA152" s="2">
        <f>其他调用!S153*6*(其他调用!AI$2*$AZ$1*MIN(其他调用!$AJ153/其他调用!AI153,1)+$E$4*0%*攻城基础信息!AD153)</f>
        <v>41769.817733643496</v>
      </c>
      <c r="BB152" s="2">
        <f>其他调用!T153*6*(其他调用!AJ$2*$AZ$1*MIN(其他调用!$AJ153/其他调用!AJ153,1)+$E$4*0%*攻城基础信息!AE153)</f>
        <v>125722.88852183035</v>
      </c>
      <c r="BC152" s="2">
        <f>其他调用!U153*6*(其他调用!AK$2*$AZ$1*MIN(其他调用!$AJ153/其他调用!AK153,1)+$E$4*0%*攻城基础信息!AF153)</f>
        <v>50633.625289853226</v>
      </c>
      <c r="BD152" s="2">
        <f>其他调用!V153*6*(其他调用!AL$2*$AZ$1*MIN(其他调用!$AJ153/其他调用!AL153,1)+$E$4*0%*攻城基础信息!AG153)</f>
        <v>16615.319124785165</v>
      </c>
      <c r="BF152" s="2">
        <v>149</v>
      </c>
      <c r="BG152" s="2">
        <f>求节点(节奏总纲!D$4:D$163,AZ$4:AZ$163,$AN152)</f>
        <v>7687.0885787836451</v>
      </c>
      <c r="BH152" s="2">
        <f>求节点(节奏总纲!E$4:E$163,BA$4:BA$163,$AN152)</f>
        <v>23753.878921140353</v>
      </c>
      <c r="BI152" s="2">
        <f>求节点(节奏总纲!F$4:F$163,BB$4:BB$163,$AN152)</f>
        <v>73980.243863372743</v>
      </c>
      <c r="BJ152" s="2">
        <f>求节点(节奏总纲!G$4:G$163,BC$4:BC$163,$AN152)</f>
        <v>35640.490297258613</v>
      </c>
      <c r="BK152" s="2">
        <f>求节点(节奏总纲!H$4:H$163,BD$4:BD$163,$AN152)</f>
        <v>10718.856259055819</v>
      </c>
      <c r="BL152" s="2">
        <f>BG152*其他调用!H153*其他调用!$M153</f>
        <v>368692.37223611161</v>
      </c>
      <c r="BM152" s="2">
        <f>BH152*其他调用!I153*其他调用!$M153</f>
        <v>1123356.8912804895</v>
      </c>
      <c r="BN152" s="2">
        <f>BI152*其他调用!J153*其他调用!$M153</f>
        <v>285594.81405668327</v>
      </c>
      <c r="BO152" s="2">
        <f>BJ152*其他调用!K153*其他调用!$M153</f>
        <v>24477.746174196032</v>
      </c>
      <c r="BP152" s="2">
        <f>BK152*其他调用!L153*其他调用!$M153</f>
        <v>2130.051115799572</v>
      </c>
      <c r="BQ152" s="2">
        <f t="shared" si="18"/>
        <v>1804251.87486328</v>
      </c>
      <c r="BR152" s="2">
        <f>[1]服务器生态!$R151</f>
        <v>1.1026451643459315E-2</v>
      </c>
      <c r="BS152" s="2" t="e">
        <f>SUMPRODUCT((BG$4:BG152)*($BR$4:$BR152)*(其他调用!#REF!))</f>
        <v>#REF!</v>
      </c>
      <c r="BT152" s="2" t="e">
        <f>SUMPRODUCT((BH$4:BH152)*($BR$4:$BR152)*(其他调用!#REF!))</f>
        <v>#REF!</v>
      </c>
      <c r="BU152" s="2" t="e">
        <f>SUMPRODUCT((BI$4:BI152)*($BR$4:$BR152)*(其他调用!#REF!))</f>
        <v>#REF!</v>
      </c>
      <c r="BV152" s="2" t="e">
        <f>SUMPRODUCT((BJ$4:BJ152)*($BR$4:$BR152)*(其他调用!#REF!))</f>
        <v>#REF!</v>
      </c>
      <c r="BW152" s="2" t="e">
        <f>SUMPRODUCT((BK$4:BK152)*($BR$4:$BR152)*(其他调用!#REF!))</f>
        <v>#REF!</v>
      </c>
      <c r="BX152" s="2" t="e">
        <f>SUMPRODUCT((BG$4:BG152)*($BR$4:$BR152))*'[1]功能-战损相关'!$D$2-BS152</f>
        <v>#REF!</v>
      </c>
      <c r="BY152" s="2" t="e">
        <f>SUMPRODUCT((BH$4:BH152)*($BR$4:$BR152))*'[1]功能-战损相关'!$D$2-BT152</f>
        <v>#REF!</v>
      </c>
      <c r="BZ152" s="2" t="e">
        <f>SUMPRODUCT((BI$4:BI152)*($BR$4:$BR152))*'[1]功能-战损相关'!$D$2-BU152</f>
        <v>#REF!</v>
      </c>
      <c r="CA152" s="2" t="e">
        <f>SUMPRODUCT((BJ$4:BJ152)*($BR$4:$BR152))*'[1]功能-战损相关'!$D$2-BV152</f>
        <v>#REF!</v>
      </c>
      <c r="CB152" s="2" t="e">
        <f>SUMPRODUCT((BK$4:BK152)*($BR$4:$BR152))*'[1]功能-战损相关'!$D$2-BW152</f>
        <v>#REF!</v>
      </c>
    </row>
    <row r="153" spans="27:80" x14ac:dyDescent="0.2">
      <c r="AA153" s="2">
        <v>150</v>
      </c>
      <c r="AB153" s="2">
        <f>攻城基础信息!X154*$E$12</f>
        <v>804566.15284438676</v>
      </c>
      <c r="AC153" s="2">
        <f>攻城基础信息!Y154*$E$12</f>
        <v>826725.91951958928</v>
      </c>
      <c r="AD153" s="2">
        <f>攻城基础信息!Z154*$E$12</f>
        <v>839599.8174620705</v>
      </c>
      <c r="AE153" s="2">
        <f>攻城基础信息!AA154*$E$12</f>
        <v>854699.89788090624</v>
      </c>
      <c r="AF153" s="2">
        <f>攻城基础信息!AB154*$E$12</f>
        <v>872157.96679770085</v>
      </c>
      <c r="AH153" s="2">
        <f>$E$4*AB153*攻城基础信息!AC154</f>
        <v>19711870.74468746</v>
      </c>
      <c r="AI153" s="2">
        <f>$E$4*AC153*攻城基础信息!AD154</f>
        <v>20254785.028229926</v>
      </c>
      <c r="AJ153" s="2">
        <f>$E$4*AD153*攻城基础信息!AE154</f>
        <v>20570195.527820714</v>
      </c>
      <c r="AK153" s="2">
        <f>$E$4*AE153*攻城基础信息!AF154</f>
        <v>20940147.498082191</v>
      </c>
      <c r="AL153" s="2">
        <f>$E$4*AF153*攻城基础信息!AG154</f>
        <v>21367870.186543655</v>
      </c>
      <c r="AN153" s="2">
        <v>150</v>
      </c>
      <c r="AO153" s="2">
        <f>求节点(节奏总纲!D$4:D$163,AH$4:AH$163,$AN153)*其他调用!H154*其他调用!$M154</f>
        <v>192157255.5863339</v>
      </c>
      <c r="AP153" s="2">
        <f>求节点(节奏总纲!E$4:E$163,AI$4:AI$163,$AN153)*其他调用!I154*其他调用!$M154</f>
        <v>217292698.92923933</v>
      </c>
      <c r="AQ153" s="2">
        <f>求节点(节奏总纲!F$4:F$163,AJ$4:AJ$163,$AN153)*其他调用!J154*其他调用!$M154</f>
        <v>21030936.429423831</v>
      </c>
      <c r="AR153" s="2">
        <f>求节点(节奏总纲!G$4:G$163,AK$4:AK$163,$AN153)*其他调用!K154*其他调用!$M154</f>
        <v>5380788.5889454298</v>
      </c>
      <c r="AS153" s="2">
        <f>求节点(节奏总纲!H$4:H$163,AL$4:AL$163,$AN153)*其他调用!L154*其他调用!$M154</f>
        <v>1950185.7049161266</v>
      </c>
      <c r="AT153" s="2">
        <f t="shared" si="17"/>
        <v>437811865.23885864</v>
      </c>
      <c r="AY153" s="2">
        <v>150</v>
      </c>
      <c r="AZ153" s="2">
        <f>其他调用!R154*6*(其他调用!AH$2*$AZ$1*MIN(其他调用!$AJ154/其他调用!AH154,1)+$E$4*0%*攻城基础信息!AC154)</f>
        <v>13949.691095653514</v>
      </c>
      <c r="BA153" s="2">
        <f>其他调用!S154*6*(其他调用!AI$2*$AZ$1*MIN(其他调用!$AJ154/其他调用!AI154,1)+$E$4*0%*攻城基础信息!AD154)</f>
        <v>41990.61221252074</v>
      </c>
      <c r="BB153" s="2">
        <f>其他调用!T154*6*(其他调用!AJ$2*$AZ$1*MIN(其他调用!$AJ154/其他调用!AJ154,1)+$E$4*0%*攻城基础信息!AE154)</f>
        <v>126448.03714457035</v>
      </c>
      <c r="BC153" s="2">
        <f>其他调用!U154*6*(其他调用!AK$2*$AZ$1*MIN(其他调用!$AJ154/其他调用!AK154,1)+$E$4*0%*攻城基础信息!AF154)</f>
        <v>50794.195366442174</v>
      </c>
      <c r="BD153" s="2">
        <f>其他调用!V154*6*(其他调用!AL$2*$AZ$1*MIN(其他调用!$AJ154/其他调用!AL154,1)+$E$4*0%*攻城基础信息!AG154)</f>
        <v>16769.356847602783</v>
      </c>
      <c r="BF153" s="2">
        <v>150</v>
      </c>
      <c r="BG153" s="2">
        <f>求节点(节奏总纲!D$4:D$163,AZ$4:AZ$163,$AN153)</f>
        <v>7694.8654210747545</v>
      </c>
      <c r="BH153" s="2">
        <f>求节点(节奏总纲!E$4:E$163,BA$4:BA$163,$AN153)</f>
        <v>23776.299187493532</v>
      </c>
      <c r="BI153" s="2">
        <f>求节点(节奏总纲!F$4:F$163,BB$4:BB$163,$AN153)</f>
        <v>74046.968629832947</v>
      </c>
      <c r="BJ153" s="2">
        <f>求节点(节奏总纲!G$4:G$163,BC$4:BC$163,$AN153)</f>
        <v>35676.640406056853</v>
      </c>
      <c r="BK153" s="2">
        <f>求节点(节奏总纲!H$4:H$163,BD$4:BD$163,$AN153)</f>
        <v>10725.995570208948</v>
      </c>
      <c r="BL153" s="2">
        <f>BG153*其他调用!H154*其他调用!$M154</f>
        <v>369065.36942528526</v>
      </c>
      <c r="BM153" s="2">
        <f>BH153*其他调用!I154*其他调用!$M154</f>
        <v>1124417.1796146939</v>
      </c>
      <c r="BN153" s="2">
        <f>BI153*其他调用!J154*其他调用!$M154</f>
        <v>285852.39968056104</v>
      </c>
      <c r="BO153" s="2">
        <f>BJ153*其他调用!K154*其他调用!$M154</f>
        <v>24502.573924318229</v>
      </c>
      <c r="BP153" s="2">
        <f>BK153*其他调用!L154*其他调用!$M154</f>
        <v>2131.4698397119218</v>
      </c>
      <c r="BQ153" s="2">
        <f t="shared" si="18"/>
        <v>1805968.99248457</v>
      </c>
      <c r="BR153" s="2">
        <f>[1]服务器生态!$R152</f>
        <v>1.1100454674623471E-2</v>
      </c>
      <c r="BS153" s="2" t="e">
        <f>SUMPRODUCT((BG$4:BG153)*($BR$4:$BR153)*(其他调用!#REF!))</f>
        <v>#REF!</v>
      </c>
      <c r="BT153" s="2" t="e">
        <f>SUMPRODUCT((BH$4:BH153)*($BR$4:$BR153)*(其他调用!#REF!))</f>
        <v>#REF!</v>
      </c>
      <c r="BU153" s="2" t="e">
        <f>SUMPRODUCT((BI$4:BI153)*($BR$4:$BR153)*(其他调用!#REF!))</f>
        <v>#REF!</v>
      </c>
      <c r="BV153" s="2" t="e">
        <f>SUMPRODUCT((BJ$4:BJ153)*($BR$4:$BR153)*(其他调用!#REF!))</f>
        <v>#REF!</v>
      </c>
      <c r="BW153" s="2" t="e">
        <f>SUMPRODUCT((BK$4:BK153)*($BR$4:$BR153)*(其他调用!#REF!))</f>
        <v>#REF!</v>
      </c>
      <c r="BX153" s="2" t="e">
        <f>SUMPRODUCT((BG$4:BG153)*($BR$4:$BR153))*'[1]功能-战损相关'!$D$2-BS153</f>
        <v>#REF!</v>
      </c>
      <c r="BY153" s="2" t="e">
        <f>SUMPRODUCT((BH$4:BH153)*($BR$4:$BR153))*'[1]功能-战损相关'!$D$2-BT153</f>
        <v>#REF!</v>
      </c>
      <c r="BZ153" s="2" t="e">
        <f>SUMPRODUCT((BI$4:BI153)*($BR$4:$BR153))*'[1]功能-战损相关'!$D$2-BU153</f>
        <v>#REF!</v>
      </c>
      <c r="CA153" s="2" t="e">
        <f>SUMPRODUCT((BJ$4:BJ153)*($BR$4:$BR153))*'[1]功能-战损相关'!$D$2-BV153</f>
        <v>#REF!</v>
      </c>
      <c r="CB153" s="2" t="e">
        <f>SUMPRODUCT((BK$4:BK153)*($BR$4:$BR153))*'[1]功能-战损相关'!$D$2-BW153</f>
        <v>#REF!</v>
      </c>
    </row>
    <row r="154" spans="27:80" x14ac:dyDescent="0.2">
      <c r="AA154" s="2">
        <v>151</v>
      </c>
      <c r="AB154" s="2">
        <f>攻城基础信息!X155*$E$12</f>
        <v>814004.54754383443</v>
      </c>
      <c r="AC154" s="2">
        <f>攻城基础信息!Y155*$E$12</f>
        <v>836061.55094979424</v>
      </c>
      <c r="AD154" s="2">
        <f>攻城基础信息!Z155*$E$12</f>
        <v>849050.08371520741</v>
      </c>
      <c r="AE154" s="2">
        <f>攻城基础信息!AA155*$E$12</f>
        <v>864319.86784143071</v>
      </c>
      <c r="AF154" s="2">
        <f>攻城基础信息!AB155*$E$12</f>
        <v>882054.10880176735</v>
      </c>
      <c r="AH154" s="2">
        <f>$E$4*AB154*攻城基础信息!AC155</f>
        <v>19943111.414823931</v>
      </c>
      <c r="AI154" s="2">
        <f>$E$4*AC154*攻城基础信息!AD155</f>
        <v>20483507.998269945</v>
      </c>
      <c r="AJ154" s="2">
        <f>$E$4*AD154*攻城基础信息!AE155</f>
        <v>20801727.051022567</v>
      </c>
      <c r="AK154" s="2">
        <f>$E$4*AE154*攻城基础信息!AF155</f>
        <v>21175836.762115039</v>
      </c>
      <c r="AL154" s="2">
        <f>$E$4*AF154*攻城基础信息!AG155</f>
        <v>21610325.665643286</v>
      </c>
      <c r="AN154" s="2">
        <v>151</v>
      </c>
      <c r="AO154" s="2">
        <f>求节点(节奏总纲!D$4:D$163,AH$4:AH$163,$AN154)*其他调用!H155*其他调用!$M155</f>
        <v>192770708.4312138</v>
      </c>
      <c r="AP154" s="2">
        <f>求节点(节奏总纲!E$4:E$163,AI$4:AI$163,$AN154)*其他调用!I155*其他调用!$M155</f>
        <v>217926347.77076346</v>
      </c>
      <c r="AQ154" s="2">
        <f>求节点(节奏总纲!F$4:F$163,AJ$4:AJ$163,$AN154)*其他调用!J155*其他调用!$M155</f>
        <v>21112007.848921187</v>
      </c>
      <c r="AR154" s="2">
        <f>求节点(节奏总纲!G$4:G$163,AK$4:AK$163,$AN154)*其他调用!K155*其他调用!$M155</f>
        <v>5396878.1088849837</v>
      </c>
      <c r="AS154" s="2">
        <f>求节点(节奏总纲!H$4:H$163,AL$4:AL$163,$AN154)*其他调用!L155*其他调用!$M155</f>
        <v>1953752.5505590765</v>
      </c>
      <c r="AT154" s="2">
        <f t="shared" si="17"/>
        <v>439159694.71034253</v>
      </c>
      <c r="AY154" s="2">
        <v>151</v>
      </c>
      <c r="AZ154" s="2">
        <f>其他调用!R155*6*(其他调用!AH$2*$AZ$1*MIN(其他调用!$AJ155/其他调用!AH155,1)+$E$4*0%*攻城基础信息!AC155)</f>
        <v>14011.594587594309</v>
      </c>
      <c r="BA154" s="2">
        <f>其他调用!S155*6*(其他调用!AI$2*$AZ$1*MIN(其他调用!$AJ155/其他调用!AI155,1)+$E$4*0%*攻城基础信息!AD155)</f>
        <v>42169.777200337026</v>
      </c>
      <c r="BB154" s="2">
        <f>其他调用!T155*6*(其他调用!AJ$2*$AZ$1*MIN(其他调用!$AJ155/其他调用!AJ155,1)+$E$4*0%*攻城基础信息!AE155)</f>
        <v>126991.34497064205</v>
      </c>
      <c r="BC154" s="2">
        <f>其他调用!U155*6*(其他调用!AK$2*$AZ$1*MIN(其他调用!$AJ155/其他调用!AK155,1)+$E$4*0%*攻城基础信息!AF155)</f>
        <v>50914.366728552945</v>
      </c>
      <c r="BD154" s="2">
        <f>其他调用!V155*6*(其他调用!AL$2*$AZ$1*MIN(其他调用!$AJ155/其他调用!AL155,1)+$E$4*0%*攻城基础信息!AG155)</f>
        <v>16920.257605704355</v>
      </c>
      <c r="BF154" s="2">
        <v>151</v>
      </c>
      <c r="BG154" s="2">
        <f>求节点(节奏总纲!D$4:D$163,AZ$4:AZ$163,$AN154)</f>
        <v>7702.6422633658631</v>
      </c>
      <c r="BH154" s="2">
        <f>求节点(节奏总纲!E$4:E$163,BA$4:BA$163,$AN154)</f>
        <v>23798.719453846712</v>
      </c>
      <c r="BI154" s="2">
        <f>求节点(节奏总纲!F$4:F$163,BB$4:BB$163,$AN154)</f>
        <v>74113.693396293151</v>
      </c>
      <c r="BJ154" s="2">
        <f>求节点(节奏总纲!G$4:G$163,BC$4:BC$163,$AN154)</f>
        <v>35712.030897203047</v>
      </c>
      <c r="BK154" s="2">
        <f>求节点(节奏总纲!H$4:H$163,BD$4:BD$163,$AN154)</f>
        <v>10733.134881362077</v>
      </c>
      <c r="BL154" s="2">
        <f>BG154*其他调用!H155*其他调用!$M155</f>
        <v>369438.36661445897</v>
      </c>
      <c r="BM154" s="2">
        <f>BH154*其他调用!I155*其他调用!$M155</f>
        <v>1125477.4679488982</v>
      </c>
      <c r="BN154" s="2">
        <f>BI154*其他调用!J155*其他调用!$M155</f>
        <v>286109.9853044388</v>
      </c>
      <c r="BO154" s="2">
        <f>BJ154*其他调用!K155*其他调用!$M155</f>
        <v>24526.879972075472</v>
      </c>
      <c r="BP154" s="2">
        <f>BK154*其他调用!L155*其他调用!$M155</f>
        <v>2132.8885636242717</v>
      </c>
      <c r="BQ154" s="2">
        <f t="shared" si="18"/>
        <v>1807685.588403496</v>
      </c>
      <c r="BR154" s="2">
        <f>[1]服务器生态!$R153</f>
        <v>1.1174457705787627E-2</v>
      </c>
      <c r="BS154" s="2" t="e">
        <f>SUMPRODUCT((BG$4:BG154)*($BR$4:$BR154)*(其他调用!#REF!))</f>
        <v>#REF!</v>
      </c>
      <c r="BT154" s="2" t="e">
        <f>SUMPRODUCT((BH$4:BH154)*($BR$4:$BR154)*(其他调用!#REF!))</f>
        <v>#REF!</v>
      </c>
      <c r="BU154" s="2" t="e">
        <f>SUMPRODUCT((BI$4:BI154)*($BR$4:$BR154)*(其他调用!#REF!))</f>
        <v>#REF!</v>
      </c>
      <c r="BV154" s="2" t="e">
        <f>SUMPRODUCT((BJ$4:BJ154)*($BR$4:$BR154)*(其他调用!#REF!))</f>
        <v>#REF!</v>
      </c>
      <c r="BW154" s="2" t="e">
        <f>SUMPRODUCT((BK$4:BK154)*($BR$4:$BR154)*(其他调用!#REF!))</f>
        <v>#REF!</v>
      </c>
      <c r="BX154" s="2" t="e">
        <f>SUMPRODUCT((BG$4:BG154)*($BR$4:$BR154))*'[1]功能-战损相关'!$D$2-BS154</f>
        <v>#REF!</v>
      </c>
      <c r="BY154" s="2" t="e">
        <f>SUMPRODUCT((BH$4:BH154)*($BR$4:$BR154))*'[1]功能-战损相关'!$D$2-BT154</f>
        <v>#REF!</v>
      </c>
      <c r="BZ154" s="2" t="e">
        <f>SUMPRODUCT((BI$4:BI154)*($BR$4:$BR154))*'[1]功能-战损相关'!$D$2-BU154</f>
        <v>#REF!</v>
      </c>
      <c r="CA154" s="2" t="e">
        <f>SUMPRODUCT((BJ$4:BJ154)*($BR$4:$BR154))*'[1]功能-战损相关'!$D$2-BV154</f>
        <v>#REF!</v>
      </c>
      <c r="CB154" s="2" t="e">
        <f>SUMPRODUCT((BK$4:BK154)*($BR$4:$BR154))*'[1]功能-战损相关'!$D$2-BW154</f>
        <v>#REF!</v>
      </c>
    </row>
    <row r="155" spans="27:80" x14ac:dyDescent="0.2">
      <c r="AA155" s="2">
        <v>152</v>
      </c>
      <c r="AB155" s="2">
        <f>攻城基础信息!X156*$E$12</f>
        <v>823453.20971682447</v>
      </c>
      <c r="AC155" s="2">
        <f>攻城基础信息!Y156*$E$12</f>
        <v>845397.18237999978</v>
      </c>
      <c r="AD155" s="2">
        <f>攻城基础信息!Z156*$E$12</f>
        <v>858407.69663257163</v>
      </c>
      <c r="AE155" s="2">
        <f>攻城基础信息!AA156*$E$12</f>
        <v>873790.5529519656</v>
      </c>
      <c r="AF155" s="2">
        <f>攻城基础信息!AB156*$E$12</f>
        <v>891632.83914130775</v>
      </c>
      <c r="AH155" s="2">
        <f>$E$4*AB155*攻城基础信息!AC156</f>
        <v>20174603.638062187</v>
      </c>
      <c r="AI155" s="2">
        <f>$E$4*AC155*攻城基础信息!AD156</f>
        <v>20712230.96830998</v>
      </c>
      <c r="AJ155" s="2">
        <f>$E$4*AD155*攻城基础信息!AE156</f>
        <v>21030988.567497991</v>
      </c>
      <c r="AK155" s="2">
        <f>$E$4*AE155*攻城基础信息!AF156</f>
        <v>21407868.547323145</v>
      </c>
      <c r="AL155" s="2">
        <f>$E$4*AF155*攻城基础信息!AG156</f>
        <v>21845004.558962028</v>
      </c>
      <c r="AN155" s="2">
        <v>152</v>
      </c>
      <c r="AO155" s="2">
        <f>求节点(节奏总纲!D$4:D$163,AH$4:AH$163,$AN155)*其他调用!H156*其他调用!$M156</f>
        <v>193384161.27609366</v>
      </c>
      <c r="AP155" s="2">
        <f>求节点(节奏总纲!E$4:E$163,AI$4:AI$163,$AN155)*其他调用!I156*其他调用!$M156</f>
        <v>218559996.61228758</v>
      </c>
      <c r="AQ155" s="2">
        <f>求节点(节奏总纲!F$4:F$163,AJ$4:AJ$163,$AN155)*其他调用!J156*其他调用!$M156</f>
        <v>21193079.268418539</v>
      </c>
      <c r="AR155" s="2">
        <f>求节点(节奏总纲!G$4:G$163,AK$4:AK$163,$AN155)*其他调用!K156*其他调用!$M156</f>
        <v>5409700.2701706244</v>
      </c>
      <c r="AS155" s="2">
        <f>求节点(节奏总纲!H$4:H$163,AL$4:AL$163,$AN155)*其他调用!L156*其他调用!$M156</f>
        <v>1957319.3962020269</v>
      </c>
      <c r="AT155" s="2">
        <f t="shared" si="17"/>
        <v>440504256.82317245</v>
      </c>
      <c r="AY155" s="2">
        <v>152</v>
      </c>
      <c r="AZ155" s="2">
        <f>其他调用!R156*6*(其他调用!AH$2*$AZ$1*MIN(其他调用!$AJ156/其他调用!AH156,1)+$E$4*0%*攻城基础信息!AC156)</f>
        <v>14070.531082662113</v>
      </c>
      <c r="BA155" s="2">
        <f>其他调用!S156*6*(其他调用!AI$2*$AZ$1*MIN(其他调用!$AJ156/其他调用!AI156,1)+$E$4*0%*攻城基础信息!AD156)</f>
        <v>42349.484414295177</v>
      </c>
      <c r="BB155" s="2">
        <f>其他调用!T156*6*(其他调用!AJ$2*$AZ$1*MIN(其他调用!$AJ156/其他调用!AJ156,1)+$E$4*0%*攻城基础信息!AE156)</f>
        <v>127549.95918701385</v>
      </c>
      <c r="BC155" s="2">
        <f>其他调用!U156*6*(其他调用!AK$2*$AZ$1*MIN(其他调用!$AJ156/其他调用!AK156,1)+$E$4*0%*攻城基础信息!AF156)</f>
        <v>51051.494225072885</v>
      </c>
      <c r="BD155" s="2">
        <f>其他调用!V156*6*(其他调用!AL$2*$AZ$1*MIN(其他调用!$AJ156/其他调用!AL156,1)+$E$4*0%*攻城基础信息!AG156)</f>
        <v>17021.827730154822</v>
      </c>
      <c r="BF155" s="2">
        <v>152</v>
      </c>
      <c r="BG155" s="2">
        <f>求节点(节奏总纲!D$4:D$163,AZ$4:AZ$163,$AN155)</f>
        <v>7710.4191056569725</v>
      </c>
      <c r="BH155" s="2">
        <f>求节点(节奏总纲!E$4:E$163,BA$4:BA$163,$AN155)</f>
        <v>23821.139720199892</v>
      </c>
      <c r="BI155" s="2">
        <f>求节点(节奏总纲!F$4:F$163,BB$4:BB$163,$AN155)</f>
        <v>74180.418162753354</v>
      </c>
      <c r="BJ155" s="2">
        <f>求节点(节奏总纲!G$4:G$163,BC$4:BC$163,$AN155)</f>
        <v>35744.136949935375</v>
      </c>
      <c r="BK155" s="2">
        <f>求节点(节奏总纲!H$4:H$163,BD$4:BD$163,$AN155)</f>
        <v>10740.274192515204</v>
      </c>
      <c r="BL155" s="2">
        <f>BG155*其他调用!H156*其他调用!$M156</f>
        <v>369811.36380363262</v>
      </c>
      <c r="BM155" s="2">
        <f>BH155*其他调用!I156*其他调用!$M156</f>
        <v>1126537.7562831028</v>
      </c>
      <c r="BN155" s="2">
        <f>BI155*其他调用!J156*其他调用!$M156</f>
        <v>286367.57092831662</v>
      </c>
      <c r="BO155" s="2">
        <f>BJ155*其他调用!K156*其他调用!$M156</f>
        <v>24548.930280667824</v>
      </c>
      <c r="BP155" s="2">
        <f>BK155*其他调用!L156*其他调用!$M156</f>
        <v>2134.3072875366211</v>
      </c>
      <c r="BQ155" s="2">
        <f t="shared" si="18"/>
        <v>1809399.9285832562</v>
      </c>
      <c r="BR155" s="2">
        <f>[1]服务器生态!$R154</f>
        <v>2.9218906041832033</v>
      </c>
      <c r="BS155" s="2" t="e">
        <f>SUMPRODUCT((BG$4:BG155)*($BR$4:$BR155)*(其他调用!#REF!))</f>
        <v>#REF!</v>
      </c>
      <c r="BT155" s="2" t="e">
        <f>SUMPRODUCT((BH$4:BH155)*($BR$4:$BR155)*(其他调用!#REF!))</f>
        <v>#REF!</v>
      </c>
      <c r="BU155" s="2" t="e">
        <f>SUMPRODUCT((BI$4:BI155)*($BR$4:$BR155)*(其他调用!#REF!))</f>
        <v>#REF!</v>
      </c>
      <c r="BV155" s="2" t="e">
        <f>SUMPRODUCT((BJ$4:BJ155)*($BR$4:$BR155)*(其他调用!#REF!))</f>
        <v>#REF!</v>
      </c>
      <c r="BW155" s="2" t="e">
        <f>SUMPRODUCT((BK$4:BK155)*($BR$4:$BR155)*(其他调用!#REF!))</f>
        <v>#REF!</v>
      </c>
      <c r="BX155" s="2" t="e">
        <f>SUMPRODUCT((BG$4:BG155)*($BR$4:$BR155))*'[1]功能-战损相关'!$D$2-BS155</f>
        <v>#REF!</v>
      </c>
      <c r="BY155" s="2" t="e">
        <f>SUMPRODUCT((BH$4:BH155)*($BR$4:$BR155))*'[1]功能-战损相关'!$D$2-BT155</f>
        <v>#REF!</v>
      </c>
      <c r="BZ155" s="2" t="e">
        <f>SUMPRODUCT((BI$4:BI155)*($BR$4:$BR155))*'[1]功能-战损相关'!$D$2-BU155</f>
        <v>#REF!</v>
      </c>
      <c r="CA155" s="2" t="e">
        <f>SUMPRODUCT((BJ$4:BJ155)*($BR$4:$BR155))*'[1]功能-战损相关'!$D$2-BV155</f>
        <v>#REF!</v>
      </c>
      <c r="CB155" s="2" t="e">
        <f>SUMPRODUCT((BK$4:BK155)*($BR$4:$BR155))*'[1]功能-战损相关'!$D$2-BW155</f>
        <v>#REF!</v>
      </c>
    </row>
    <row r="156" spans="27:80" x14ac:dyDescent="0.2">
      <c r="AA156" s="2">
        <v>153</v>
      </c>
      <c r="AB156" s="2">
        <f>攻城基础信息!X157*$E$12</f>
        <v>832912.13936335675</v>
      </c>
      <c r="AC156" s="2">
        <f>攻城基础信息!Y157*$E$12</f>
        <v>854732.81381020485</v>
      </c>
      <c r="AD156" s="2">
        <f>攻城基础信息!Z157*$E$12</f>
        <v>867765.30954993598</v>
      </c>
      <c r="AE156" s="2">
        <f>攻城基础信息!AA157*$E$12</f>
        <v>883261.23806250014</v>
      </c>
      <c r="AF156" s="2">
        <f>攻城基础信息!AB157*$E$12</f>
        <v>901211.56948084838</v>
      </c>
      <c r="AH156" s="2">
        <f>$E$4*AB156*攻城基础信息!AC157</f>
        <v>20406347.414402228</v>
      </c>
      <c r="AI156" s="2">
        <f>$E$4*AC156*攻城基础信息!AD157</f>
        <v>20940953.938350003</v>
      </c>
      <c r="AJ156" s="2">
        <f>$E$4*AD156*攻城基础信息!AE157</f>
        <v>21260250.083973419</v>
      </c>
      <c r="AK156" s="2">
        <f>$E$4*AE156*攻城基础信息!AF157</f>
        <v>21639900.33253124</v>
      </c>
      <c r="AL156" s="2">
        <f>$E$4*AF156*攻城基础信息!AG157</f>
        <v>22079683.452280771</v>
      </c>
      <c r="AN156" s="2">
        <v>153</v>
      </c>
      <c r="AO156" s="2">
        <f>求节点(节奏总纲!D$4:D$163,AH$4:AH$163,$AN156)*其他调用!H157*其他调用!$M157</f>
        <v>193997614.12097359</v>
      </c>
      <c r="AP156" s="2">
        <f>求节点(节奏总纲!E$4:E$163,AI$4:AI$163,$AN156)*其他调用!I157*其他调用!$M157</f>
        <v>219193645.45381168</v>
      </c>
      <c r="AQ156" s="2">
        <f>求节点(节奏总纲!F$4:F$163,AJ$4:AJ$163,$AN156)*其他调用!J157*其他调用!$M157</f>
        <v>21274150.687915899</v>
      </c>
      <c r="AR156" s="2">
        <f>求节点(节奏总纲!G$4:G$163,AK$4:AK$163,$AN156)*其他调用!K157*其他调用!$M157</f>
        <v>5422522.431456266</v>
      </c>
      <c r="AS156" s="2">
        <f>求节点(节奏总纲!H$4:H$163,AL$4:AL$163,$AN156)*其他调用!L157*其他调用!$M157</f>
        <v>1960886.241844977</v>
      </c>
      <c r="AT156" s="2">
        <f t="shared" si="17"/>
        <v>441848818.93600237</v>
      </c>
      <c r="AY156" s="2">
        <v>153</v>
      </c>
      <c r="AZ156" s="2">
        <f>其他调用!R157*6*(其他调用!AH$2*$AZ$1*MIN(其他调用!$AJ157/其他调用!AH157,1)+$E$4*0%*攻城基础信息!AC157)</f>
        <v>14132.045541273385</v>
      </c>
      <c r="BA156" s="2">
        <f>其他调用!S157*6*(其他调用!AI$2*$AZ$1*MIN(其他调用!$AJ157/其他调用!AI157,1)+$E$4*0%*攻城基础信息!AD157)</f>
        <v>42546.610425195242</v>
      </c>
      <c r="BB156" s="2">
        <f>其他调用!T157*6*(其他调用!AJ$2*$AZ$1*MIN(其他调用!$AJ157/其他调用!AJ157,1)+$E$4*0%*攻城基础信息!AE157)</f>
        <v>128144.97962090478</v>
      </c>
      <c r="BC156" s="2">
        <f>其他调用!U157*6*(其他调用!AK$2*$AZ$1*MIN(其他调用!$AJ157/其他调用!AK157,1)+$E$4*0%*攻城基础信息!AF157)</f>
        <v>51073.259886864318</v>
      </c>
      <c r="BD156" s="2">
        <f>其他调用!V157*6*(其他调用!AL$2*$AZ$1*MIN(其他调用!$AJ157/其他调用!AL157,1)+$E$4*0%*攻城基础信息!AG157)</f>
        <v>17077.526196577241</v>
      </c>
      <c r="BF156" s="2">
        <v>153</v>
      </c>
      <c r="BG156" s="2">
        <f>求节点(节奏总纲!D$4:D$163,AZ$4:AZ$163,$AN156)</f>
        <v>7718.1959479480811</v>
      </c>
      <c r="BH156" s="2">
        <f>求节点(节奏总纲!E$4:E$163,BA$4:BA$163,$AN156)</f>
        <v>23843.559986553071</v>
      </c>
      <c r="BI156" s="2">
        <f>求节点(节奏总纲!F$4:F$163,BB$4:BB$163,$AN156)</f>
        <v>74247.142929213558</v>
      </c>
      <c r="BJ156" s="2">
        <f>求节点(节奏总纲!G$4:G$163,BC$4:BC$163,$AN156)</f>
        <v>35776.243002667703</v>
      </c>
      <c r="BK156" s="2">
        <f>求节点(节奏总纲!H$4:H$163,BD$4:BD$163,$AN156)</f>
        <v>10747.413503668333</v>
      </c>
      <c r="BL156" s="2">
        <f>BG156*其他调用!H157*其他调用!$M157</f>
        <v>370184.36099280621</v>
      </c>
      <c r="BM156" s="2">
        <f>BH156*其他调用!I157*其他调用!$M157</f>
        <v>1127598.0446173071</v>
      </c>
      <c r="BN156" s="2">
        <f>BI156*其他调用!J157*其他调用!$M157</f>
        <v>286625.15655219438</v>
      </c>
      <c r="BO156" s="2">
        <f>BJ156*其他调用!K157*其他调用!$M157</f>
        <v>24570.980589260173</v>
      </c>
      <c r="BP156" s="2">
        <f>BK156*其他调用!L157*其他调用!$M157</f>
        <v>2135.7260114489709</v>
      </c>
      <c r="BQ156" s="2">
        <f t="shared" si="18"/>
        <v>1811114.2687630169</v>
      </c>
      <c r="BR156" s="2">
        <f>[1]服务器生态!$R155</f>
        <v>2.5271917331507723</v>
      </c>
      <c r="BS156" s="2" t="e">
        <f>SUMPRODUCT((BG$4:BG156)*($BR$4:$BR156)*(其他调用!#REF!))</f>
        <v>#REF!</v>
      </c>
      <c r="BT156" s="2" t="e">
        <f>SUMPRODUCT((BH$4:BH156)*($BR$4:$BR156)*(其他调用!#REF!))</f>
        <v>#REF!</v>
      </c>
      <c r="BU156" s="2" t="e">
        <f>SUMPRODUCT((BI$4:BI156)*($BR$4:$BR156)*(其他调用!#REF!))</f>
        <v>#REF!</v>
      </c>
      <c r="BV156" s="2" t="e">
        <f>SUMPRODUCT((BJ$4:BJ156)*($BR$4:$BR156)*(其他调用!#REF!))</f>
        <v>#REF!</v>
      </c>
      <c r="BW156" s="2" t="e">
        <f>SUMPRODUCT((BK$4:BK156)*($BR$4:$BR156)*(其他调用!#REF!))</f>
        <v>#REF!</v>
      </c>
      <c r="BX156" s="2" t="e">
        <f>SUMPRODUCT((BG$4:BG156)*($BR$4:$BR156))*'[1]功能-战损相关'!$D$2-BS156</f>
        <v>#REF!</v>
      </c>
      <c r="BY156" s="2" t="e">
        <f>SUMPRODUCT((BH$4:BH156)*($BR$4:$BR156))*'[1]功能-战损相关'!$D$2-BT156</f>
        <v>#REF!</v>
      </c>
      <c r="BZ156" s="2" t="e">
        <f>SUMPRODUCT((BI$4:BI156)*($BR$4:$BR156))*'[1]功能-战损相关'!$D$2-BU156</f>
        <v>#REF!</v>
      </c>
      <c r="CA156" s="2" t="e">
        <f>SUMPRODUCT((BJ$4:BJ156)*($BR$4:$BR156))*'[1]功能-战损相关'!$D$2-BV156</f>
        <v>#REF!</v>
      </c>
      <c r="CB156" s="2" t="e">
        <f>SUMPRODUCT((BK$4:BK156)*($BR$4:$BR156))*'[1]功能-战损相关'!$D$2-BW156</f>
        <v>#REF!</v>
      </c>
    </row>
    <row r="157" spans="27:80" x14ac:dyDescent="0.2">
      <c r="AA157" s="2">
        <v>154</v>
      </c>
      <c r="AB157" s="2">
        <f>攻城基础信息!X158*$E$12</f>
        <v>842285.04165942105</v>
      </c>
      <c r="AC157" s="2">
        <f>攻城基础信息!Y158*$E$12</f>
        <v>863986.1176664168</v>
      </c>
      <c r="AD157" s="2">
        <f>攻城基础信息!Z158*$E$12</f>
        <v>877122.92246730032</v>
      </c>
      <c r="AE157" s="2">
        <f>攻城基础信息!AA158*$E$12</f>
        <v>892731.92317303526</v>
      </c>
      <c r="AF157" s="2">
        <f>攻城基础信息!AB158*$E$12</f>
        <v>901987.9132824</v>
      </c>
      <c r="AH157" s="2">
        <f>$E$4*AB157*攻城基础信息!AC158</f>
        <v>20635983.520655803</v>
      </c>
      <c r="AI157" s="2">
        <f>$E$4*AC157*攻城基础信息!AD158</f>
        <v>21167659.8828272</v>
      </c>
      <c r="AJ157" s="2">
        <f>$E$4*AD157*攻城基础信息!AE158</f>
        <v>21489511.600448843</v>
      </c>
      <c r="AK157" s="2">
        <f>$E$4*AE157*攻城基础信息!AF158</f>
        <v>21871932.11773935</v>
      </c>
      <c r="AL157" s="2">
        <f>$E$4*AF157*攻城基础信息!AG158</f>
        <v>22098703.875418786</v>
      </c>
      <c r="AN157" s="2">
        <v>154</v>
      </c>
      <c r="AO157" s="2">
        <f>求节点(节奏总纲!D$4:D$163,AH$4:AH$163,$AN157)*其他调用!H158*其他调用!$M158</f>
        <v>194611066.96585345</v>
      </c>
      <c r="AP157" s="2">
        <f>求节点(节奏总纲!E$4:E$163,AI$4:AI$163,$AN157)*其他调用!I158*其他调用!$M158</f>
        <v>219827294.2953358</v>
      </c>
      <c r="AQ157" s="2">
        <f>求节点(节奏总纲!F$4:F$163,AJ$4:AJ$163,$AN157)*其他调用!J158*其他调用!$M158</f>
        <v>21355222.107413255</v>
      </c>
      <c r="AR157" s="2">
        <f>求节点(节奏总纲!G$4:G$163,AK$4:AK$163,$AN157)*其他调用!K158*其他调用!$M158</f>
        <v>5435344.5927419066</v>
      </c>
      <c r="AS157" s="2">
        <f>求节点(节奏总纲!H$4:H$163,AL$4:AL$163,$AN157)*其他调用!L158*其他调用!$M158</f>
        <v>1964453.0874879274</v>
      </c>
      <c r="AT157" s="2">
        <f t="shared" si="17"/>
        <v>443193381.0488323</v>
      </c>
      <c r="AY157" s="2">
        <v>154</v>
      </c>
      <c r="AZ157" s="2">
        <f>其他调用!R158*6*(其他调用!AH$2*$AZ$1*MIN(其他调用!$AJ158/其他调用!AH158,1)+$E$4*0%*攻城基础信息!AC158)</f>
        <v>14188.267328069924</v>
      </c>
      <c r="BA157" s="2">
        <f>其他调用!S158*6*(其他调用!AI$2*$AZ$1*MIN(其他调用!$AJ158/其他调用!AI158,1)+$E$4*0%*攻城基础信息!AD158)</f>
        <v>42731.074364784734</v>
      </c>
      <c r="BB157" s="2">
        <f>其他调用!T158*6*(其他调用!AJ$2*$AZ$1*MIN(其他调用!$AJ158/其他调用!AJ158,1)+$E$4*0%*攻城基础信息!AE158)</f>
        <v>128412</v>
      </c>
      <c r="BC157" s="2">
        <f>其他调用!U158*6*(其他调用!AK$2*$AZ$1*MIN(其他调用!$AJ158/其他调用!AK158,1)+$E$4*0%*攻城基础信息!AF158)</f>
        <v>50972.11881179818</v>
      </c>
      <c r="BD157" s="2">
        <f>其他调用!V158*6*(其他调用!AL$2*$AZ$1*MIN(其他调用!$AJ158/其他调用!AL158,1)+$E$4*0%*攻城基础信息!AG158)</f>
        <v>17132.462185985867</v>
      </c>
      <c r="BF157" s="2">
        <v>154</v>
      </c>
      <c r="BG157" s="2">
        <f>求节点(节奏总纲!D$4:D$163,AZ$4:AZ$163,$AN157)</f>
        <v>7725.9727902391896</v>
      </c>
      <c r="BH157" s="2">
        <f>求节点(节奏总纲!E$4:E$163,BA$4:BA$163,$AN157)</f>
        <v>23865.980252906251</v>
      </c>
      <c r="BI157" s="2">
        <f>求节点(节奏总纲!F$4:F$163,BB$4:BB$163,$AN157)</f>
        <v>74313.867695673762</v>
      </c>
      <c r="BJ157" s="2">
        <f>求节点(节奏总纲!G$4:G$163,BC$4:BC$163,$AN157)</f>
        <v>35808.349055400038</v>
      </c>
      <c r="BK157" s="2">
        <f>求节点(节奏总纲!H$4:H$163,BD$4:BD$163,$AN157)</f>
        <v>10754.552814821462</v>
      </c>
      <c r="BL157" s="2">
        <f>BG157*其他调用!H158*其他调用!$M158</f>
        <v>370557.3581819798</v>
      </c>
      <c r="BM157" s="2">
        <f>BH157*其他调用!I158*其他调用!$M158</f>
        <v>1128658.3329515113</v>
      </c>
      <c r="BN157" s="2">
        <f>BI157*其他调用!J158*其他调用!$M158</f>
        <v>286882.74217607221</v>
      </c>
      <c r="BO157" s="2">
        <f>BJ157*其他调用!K158*其他调用!$M158</f>
        <v>24593.030897852532</v>
      </c>
      <c r="BP157" s="2">
        <f>BK157*其他调用!L158*其他调用!$M158</f>
        <v>2137.1447353613207</v>
      </c>
      <c r="BQ157" s="2">
        <f t="shared" si="18"/>
        <v>1812828.6089427769</v>
      </c>
      <c r="BR157" s="2">
        <f>[1]服务器生态!$R156</f>
        <v>2.1414089949602779</v>
      </c>
      <c r="BS157" s="2" t="e">
        <f>SUMPRODUCT((BG$4:BG157)*($BR$4:$BR157)*(其他调用!#REF!))</f>
        <v>#REF!</v>
      </c>
      <c r="BT157" s="2" t="e">
        <f>SUMPRODUCT((BH$4:BH157)*($BR$4:$BR157)*(其他调用!#REF!))</f>
        <v>#REF!</v>
      </c>
      <c r="BU157" s="2" t="e">
        <f>SUMPRODUCT((BI$4:BI157)*($BR$4:$BR157)*(其他调用!#REF!))</f>
        <v>#REF!</v>
      </c>
      <c r="BV157" s="2" t="e">
        <f>SUMPRODUCT((BJ$4:BJ157)*($BR$4:$BR157)*(其他调用!#REF!))</f>
        <v>#REF!</v>
      </c>
      <c r="BW157" s="2" t="e">
        <f>SUMPRODUCT((BK$4:BK157)*($BR$4:$BR157)*(其他调用!#REF!))</f>
        <v>#REF!</v>
      </c>
      <c r="BX157" s="2" t="e">
        <f>SUMPRODUCT((BG$4:BG157)*($BR$4:$BR157))*'[1]功能-战损相关'!$D$2-BS157</f>
        <v>#REF!</v>
      </c>
      <c r="BY157" s="2" t="e">
        <f>SUMPRODUCT((BH$4:BH157)*($BR$4:$BR157))*'[1]功能-战损相关'!$D$2-BT157</f>
        <v>#REF!</v>
      </c>
      <c r="BZ157" s="2" t="e">
        <f>SUMPRODUCT((BI$4:BI157)*($BR$4:$BR157))*'[1]功能-战损相关'!$D$2-BU157</f>
        <v>#REF!</v>
      </c>
      <c r="CA157" s="2" t="e">
        <f>SUMPRODUCT((BJ$4:BJ157)*($BR$4:$BR157))*'[1]功能-战损相关'!$D$2-BV157</f>
        <v>#REF!</v>
      </c>
      <c r="CB157" s="2" t="e">
        <f>SUMPRODUCT((BK$4:BK157)*($BR$4:$BR157))*'[1]功能-战损相关'!$D$2-BW157</f>
        <v>#REF!</v>
      </c>
    </row>
    <row r="158" spans="27:80" x14ac:dyDescent="0.2">
      <c r="AA158" s="2">
        <v>155</v>
      </c>
      <c r="AB158" s="2">
        <f>攻城基础信息!X159*$E$12</f>
        <v>851665.40390168957</v>
      </c>
      <c r="AC158" s="2">
        <f>攻城基础信息!Y159*$E$12</f>
        <v>873238.57974873052</v>
      </c>
      <c r="AD158" s="2">
        <f>攻城基础信息!Z159*$E$12</f>
        <v>886480.53538466454</v>
      </c>
      <c r="AE158" s="2">
        <f>攻城基础信息!AA159*$E$12</f>
        <v>893925.75788208004</v>
      </c>
      <c r="AF158" s="2">
        <f>攻城基础信息!AB159*$E$12</f>
        <v>901987.9132824</v>
      </c>
      <c r="AH158" s="2">
        <f>$E$4*AB158*攻城基础信息!AC159</f>
        <v>20865802.395591382</v>
      </c>
      <c r="AI158" s="2">
        <f>$E$4*AC158*攻城基础信息!AD159</f>
        <v>21394345.203843884</v>
      </c>
      <c r="AJ158" s="2">
        <f>$E$4*AD158*攻城基础信息!AE159</f>
        <v>21718773.116924267</v>
      </c>
      <c r="AK158" s="2">
        <f>$E$4*AE158*攻城基础信息!AF159</f>
        <v>21901181.068110947</v>
      </c>
      <c r="AL158" s="2">
        <f>$E$4*AF158*攻城基础信息!AG159</f>
        <v>22098703.875418786</v>
      </c>
      <c r="AN158" s="2">
        <v>155</v>
      </c>
      <c r="AO158" s="2">
        <f>求节点(节奏总纲!D$4:D$163,AH$4:AH$163,$AN158)*其他调用!H159*其他调用!$M159</f>
        <v>195224519.81073335</v>
      </c>
      <c r="AP158" s="2">
        <f>求节点(节奏总纲!E$4:E$163,AI$4:AI$163,$AN158)*其他调用!I159*其他调用!$M159</f>
        <v>220460943.13685992</v>
      </c>
      <c r="AQ158" s="2">
        <f>求节点(节奏总纲!F$4:F$163,AJ$4:AJ$163,$AN158)*其他调用!J159*其他调用!$M159</f>
        <v>21436293.52691061</v>
      </c>
      <c r="AR158" s="2">
        <f>求节点(节奏总纲!G$4:G$163,AK$4:AK$163,$AN158)*其他调用!K159*其他调用!$M159</f>
        <v>5448166.7540275473</v>
      </c>
      <c r="AS158" s="2">
        <f>求节点(节奏总纲!H$4:H$163,AL$4:AL$163,$AN158)*其他调用!L159*其他调用!$M159</f>
        <v>1968019.9331308773</v>
      </c>
      <c r="AT158" s="2">
        <f t="shared" si="17"/>
        <v>444537943.16166228</v>
      </c>
      <c r="AY158" s="2">
        <v>155</v>
      </c>
      <c r="AZ158" s="2">
        <f>其他调用!R159*6*(其他调用!AH$2*$AZ$1*MIN(其他调用!$AJ159/其他调用!AH159,1)+$E$4*0%*攻城基础信息!AC159)</f>
        <v>14246.130215307072</v>
      </c>
      <c r="BA158" s="2">
        <f>其他调用!S159*6*(其他调用!AI$2*$AZ$1*MIN(其他调用!$AJ159/其他调用!AI159,1)+$E$4*0%*攻城基础信息!AD159)</f>
        <v>42804</v>
      </c>
      <c r="BB158" s="2">
        <f>其他调用!T159*6*(其他调用!AJ$2*$AZ$1*MIN(其他调用!$AJ159/其他调用!AJ159,1)+$E$4*0%*攻城基础信息!AE159)</f>
        <v>128412</v>
      </c>
      <c r="BC158" s="2">
        <f>其他调用!U159*6*(其他调用!AK$2*$AZ$1*MIN(其他调用!$AJ159/其他调用!AK159,1)+$E$4*0%*攻城基础信息!AF159)</f>
        <v>50873.374311687672</v>
      </c>
      <c r="BD158" s="2">
        <f>其他调用!V159*6*(其他调用!AL$2*$AZ$1*MIN(其他调用!$AJ159/其他调用!AL159,1)+$E$4*0%*攻城基础信息!AG159)</f>
        <v>17186.651248690658</v>
      </c>
      <c r="BF158" s="2">
        <v>155</v>
      </c>
      <c r="BG158" s="2">
        <f>求节点(节奏总纲!D$4:D$163,AZ$4:AZ$163,$AN158)</f>
        <v>7733.7496325302991</v>
      </c>
      <c r="BH158" s="2">
        <f>求节点(节奏总纲!E$4:E$163,BA$4:BA$163,$AN158)</f>
        <v>23888.40051925943</v>
      </c>
      <c r="BI158" s="2">
        <f>求节点(节奏总纲!F$4:F$163,BB$4:BB$163,$AN158)</f>
        <v>74380.592462133965</v>
      </c>
      <c r="BJ158" s="2">
        <f>求节点(节奏总纲!G$4:G$163,BC$4:BC$163,$AN158)</f>
        <v>35840.455108132366</v>
      </c>
      <c r="BK158" s="2">
        <f>求节点(节奏总纲!H$4:H$163,BD$4:BD$163,$AN158)</f>
        <v>10761.692125974589</v>
      </c>
      <c r="BL158" s="2">
        <f>BG158*其他调用!H159*其他调用!$M159</f>
        <v>370930.35537115345</v>
      </c>
      <c r="BM158" s="2">
        <f>BH158*其他调用!I159*其他调用!$M159</f>
        <v>1129718.6212857158</v>
      </c>
      <c r="BN158" s="2">
        <f>BI158*其他调用!J159*其他调用!$M159</f>
        <v>287140.32779994997</v>
      </c>
      <c r="BO158" s="2">
        <f>BJ158*其他调用!K159*其他调用!$M159</f>
        <v>24615.081206444884</v>
      </c>
      <c r="BP158" s="2">
        <f>BK158*其他调用!L159*其他调用!$M159</f>
        <v>2138.5634592736701</v>
      </c>
      <c r="BQ158" s="2">
        <f t="shared" si="18"/>
        <v>1814542.9491225379</v>
      </c>
      <c r="BR158" s="2">
        <f>[1]服务器生态!$R157</f>
        <v>1.7645423896117198</v>
      </c>
      <c r="BS158" s="2" t="e">
        <f>SUMPRODUCT((BG$4:BG158)*($BR$4:$BR158)*(其他调用!#REF!))</f>
        <v>#REF!</v>
      </c>
      <c r="BT158" s="2" t="e">
        <f>SUMPRODUCT((BH$4:BH158)*($BR$4:$BR158)*(其他调用!#REF!))</f>
        <v>#REF!</v>
      </c>
      <c r="BU158" s="2" t="e">
        <f>SUMPRODUCT((BI$4:BI158)*($BR$4:$BR158)*(其他调用!#REF!))</f>
        <v>#REF!</v>
      </c>
      <c r="BV158" s="2" t="e">
        <f>SUMPRODUCT((BJ$4:BJ158)*($BR$4:$BR158)*(其他调用!#REF!))</f>
        <v>#REF!</v>
      </c>
      <c r="BW158" s="2" t="e">
        <f>SUMPRODUCT((BK$4:BK158)*($BR$4:$BR158)*(其他调用!#REF!))</f>
        <v>#REF!</v>
      </c>
      <c r="BX158" s="2" t="e">
        <f>SUMPRODUCT((BG$4:BG158)*($BR$4:$BR158))*'[1]功能-战损相关'!$D$2-BS158</f>
        <v>#REF!</v>
      </c>
      <c r="BY158" s="2" t="e">
        <f>SUMPRODUCT((BH$4:BH158)*($BR$4:$BR158))*'[1]功能-战损相关'!$D$2-BT158</f>
        <v>#REF!</v>
      </c>
      <c r="BZ158" s="2" t="e">
        <f>SUMPRODUCT((BI$4:BI158)*($BR$4:$BR158))*'[1]功能-战损相关'!$D$2-BU158</f>
        <v>#REF!</v>
      </c>
      <c r="CA158" s="2" t="e">
        <f>SUMPRODUCT((BJ$4:BJ158)*($BR$4:$BR158))*'[1]功能-战损相关'!$D$2-BV158</f>
        <v>#REF!</v>
      </c>
      <c r="CB158" s="2" t="e">
        <f>SUMPRODUCT((BK$4:BK158)*($BR$4:$BR158))*'[1]功能-战损相关'!$D$2-BW158</f>
        <v>#REF!</v>
      </c>
    </row>
    <row r="159" spans="27:80" x14ac:dyDescent="0.2">
      <c r="AA159" s="2">
        <v>156</v>
      </c>
      <c r="AB159" s="2">
        <f>攻城基础信息!X160*$E$12</f>
        <v>870561.47457451443</v>
      </c>
      <c r="AC159" s="2">
        <f>攻城基础信息!Y160*$E$12</f>
        <v>892354.756820329</v>
      </c>
      <c r="AD159" s="2">
        <f>攻城基础信息!Z160*$E$12</f>
        <v>898045.9580484</v>
      </c>
      <c r="AE159" s="2">
        <f>攻城基础信息!AA160*$E$12</f>
        <v>904524.4757808001</v>
      </c>
      <c r="AF159" s="2">
        <f>攻城基础信息!AB160*$E$12</f>
        <v>913162.49942399992</v>
      </c>
      <c r="AH159" s="2">
        <f>$E$4*AB159*攻城基础信息!AC160</f>
        <v>21328756.12707559</v>
      </c>
      <c r="AI159" s="2">
        <f>$E$4*AC159*攻城基础信息!AD160</f>
        <v>21862691.542098049</v>
      </c>
      <c r="AJ159" s="2">
        <f>$E$4*AD159*攻城基础信息!AE160</f>
        <v>22002125.972185787</v>
      </c>
      <c r="AK159" s="2">
        <f>$E$4*AE159*攻城基础信息!AF160</f>
        <v>22160849.656629588</v>
      </c>
      <c r="AL159" s="2">
        <f>$E$4*AF159*攻城基础信息!AG160</f>
        <v>22372481.235887982</v>
      </c>
      <c r="AN159" s="2">
        <v>156</v>
      </c>
      <c r="AO159" s="2">
        <f>求节点(节奏总纲!D$4:D$163,AH$4:AH$163,$AN159)*其他调用!H160*其他调用!$M160</f>
        <v>195837972.65561324</v>
      </c>
      <c r="AP159" s="2">
        <f>求节点(节奏总纲!E$4:E$163,AI$4:AI$163,$AN159)*其他调用!I160*其他调用!$M160</f>
        <v>221086767.62095493</v>
      </c>
      <c r="AQ159" s="2">
        <f>求节点(节奏总纲!F$4:F$163,AJ$4:AJ$163,$AN159)*其他调用!J160*其他调用!$M160</f>
        <v>21517364.946407966</v>
      </c>
      <c r="AR159" s="2">
        <f>求节点(节奏总纲!G$4:G$163,AK$4:AK$163,$AN159)*其他调用!K160*其他调用!$M160</f>
        <v>5460988.9153131898</v>
      </c>
      <c r="AS159" s="2">
        <f>求节点(节奏总纲!H$4:H$163,AL$4:AL$163,$AN159)*其他调用!L160*其他调用!$M160</f>
        <v>1971586.7787738277</v>
      </c>
      <c r="AT159" s="2">
        <f t="shared" si="17"/>
        <v>445874680.91706318</v>
      </c>
      <c r="AY159" s="2">
        <v>156</v>
      </c>
      <c r="AZ159" s="2">
        <f>其他调用!R160*6*(其他调用!AH$2*$AZ$1*MIN(其他调用!$AJ160/其他调用!AH160,1)+$E$4*0%*攻城基础信息!AC160)</f>
        <v>14268</v>
      </c>
      <c r="BA159" s="2">
        <f>其他调用!S160*6*(其他调用!AI$2*$AZ$1*MIN(其他调用!$AJ160/其他调用!AI160,1)+$E$4*0%*攻城基础信息!AD160)</f>
        <v>42804</v>
      </c>
      <c r="BB159" s="2">
        <f>其他调用!T160*6*(其他调用!AJ$2*$AZ$1*MIN(其他调用!$AJ160/其他调用!AJ160,1)+$E$4*0%*攻城基础信息!AE160)</f>
        <v>128412</v>
      </c>
      <c r="BC159" s="2">
        <f>其他调用!U160*6*(其他调用!AK$2*$AZ$1*MIN(其他调用!$AJ160/其他调用!AK160,1)+$E$4*0%*攻城基础信息!AF160)</f>
        <v>50776.942202333652</v>
      </c>
      <c r="BD159" s="2">
        <f>其他调用!V160*6*(其他调用!AL$2*$AZ$1*MIN(其他调用!$AJ160/其他调用!AL160,1)+$E$4*0%*攻城基础信息!AG160)</f>
        <v>17240.108515003169</v>
      </c>
      <c r="BF159" s="2">
        <v>156</v>
      </c>
      <c r="BG159" s="2">
        <f>求节点(节奏总纲!D$4:D$163,AZ$4:AZ$163,$AN159)</f>
        <v>7741.5264748214076</v>
      </c>
      <c r="BH159" s="2">
        <f>求节点(节奏总纲!E$4:E$163,BA$4:BA$163,$AN159)</f>
        <v>23910.725984040728</v>
      </c>
      <c r="BI159" s="2">
        <f>求节点(节奏总纲!F$4:F$163,BB$4:BB$163,$AN159)</f>
        <v>74447.317228594184</v>
      </c>
      <c r="BJ159" s="2">
        <f>求节点(节奏总纲!G$4:G$163,BC$4:BC$163,$AN159)</f>
        <v>35872.561160864694</v>
      </c>
      <c r="BK159" s="2">
        <f>求节点(节奏总纲!H$4:H$163,BD$4:BD$163,$AN159)</f>
        <v>10768.831437127717</v>
      </c>
      <c r="BL159" s="2">
        <f>BG159*其他调用!H160*其他调用!$M160</f>
        <v>371303.3525603271</v>
      </c>
      <c r="BM159" s="2">
        <f>BH159*其他调用!I160*其他调用!$M160</f>
        <v>1130774.4263100813</v>
      </c>
      <c r="BN159" s="2">
        <f>BI159*其他调用!J160*其他调用!$M160</f>
        <v>287397.91342382779</v>
      </c>
      <c r="BO159" s="2">
        <f>BJ159*其他调用!K160*其他调用!$M160</f>
        <v>24637.131515037236</v>
      </c>
      <c r="BP159" s="2">
        <f>BK159*其他调用!L160*其他调用!$M160</f>
        <v>2139.9821831860199</v>
      </c>
      <c r="BQ159" s="2">
        <f t="shared" si="18"/>
        <v>1816252.8059924596</v>
      </c>
      <c r="BR159" s="2">
        <f>[1]服务器生态!$R158</f>
        <v>1.3876757842631615</v>
      </c>
      <c r="BS159" s="2" t="e">
        <f>SUMPRODUCT((BG$4:BG159)*($BR$4:$BR159)*(其他调用!#REF!))</f>
        <v>#REF!</v>
      </c>
      <c r="BT159" s="2" t="e">
        <f>SUMPRODUCT((BH$4:BH159)*($BR$4:$BR159)*(其他调用!#REF!))</f>
        <v>#REF!</v>
      </c>
      <c r="BU159" s="2" t="e">
        <f>SUMPRODUCT((BI$4:BI159)*($BR$4:$BR159)*(其他调用!#REF!))</f>
        <v>#REF!</v>
      </c>
      <c r="BV159" s="2" t="e">
        <f>SUMPRODUCT((BJ$4:BJ159)*($BR$4:$BR159)*(其他调用!#REF!))</f>
        <v>#REF!</v>
      </c>
      <c r="BW159" s="2" t="e">
        <f>SUMPRODUCT((BK$4:BK159)*($BR$4:$BR159)*(其他调用!#REF!))</f>
        <v>#REF!</v>
      </c>
      <c r="BX159" s="2" t="e">
        <f>SUMPRODUCT((BG$4:BG159)*($BR$4:$BR159))*'[1]功能-战损相关'!$D$2-BS159</f>
        <v>#REF!</v>
      </c>
      <c r="BY159" s="2" t="e">
        <f>SUMPRODUCT((BH$4:BH159)*($BR$4:$BR159))*'[1]功能-战损相关'!$D$2-BT159</f>
        <v>#REF!</v>
      </c>
      <c r="BZ159" s="2" t="e">
        <f>SUMPRODUCT((BI$4:BI159)*($BR$4:$BR159))*'[1]功能-战损相关'!$D$2-BU159</f>
        <v>#REF!</v>
      </c>
      <c r="CA159" s="2" t="e">
        <f>SUMPRODUCT((BJ$4:BJ159)*($BR$4:$BR159))*'[1]功能-战损相关'!$D$2-BV159</f>
        <v>#REF!</v>
      </c>
      <c r="CB159" s="2" t="e">
        <f>SUMPRODUCT((BK$4:BK159)*($BR$4:$BR159))*'[1]功能-战损相关'!$D$2-BW159</f>
        <v>#REF!</v>
      </c>
    </row>
    <row r="160" spans="27:80" x14ac:dyDescent="0.2">
      <c r="AA160" s="2">
        <v>157</v>
      </c>
      <c r="AB160" s="2">
        <f>攻城基础信息!X161*$E$12</f>
        <v>880065.92365018243</v>
      </c>
      <c r="AC160" s="2">
        <f>攻城基础信息!Y161*$E$12</f>
        <v>893726.94622679986</v>
      </c>
      <c r="AD160" s="2">
        <f>攻城基础信息!Z161*$E$12</f>
        <v>898045.9580484</v>
      </c>
      <c r="AE160" s="2">
        <f>攻城基础信息!AA161*$E$12</f>
        <v>904524.4757808001</v>
      </c>
      <c r="AF160" s="2">
        <f>攻城基础信息!AB161*$E$12</f>
        <v>913162.49942399992</v>
      </c>
      <c r="AH160" s="2">
        <f>$E$4*AB160*攻城基础信息!AC161</f>
        <v>21561615.129429456</v>
      </c>
      <c r="AI160" s="2">
        <f>$E$4*AC160*攻城基础信息!AD161</f>
        <v>21896310.182556584</v>
      </c>
      <c r="AJ160" s="2">
        <f>$E$4*AD160*攻城基础信息!AE161</f>
        <v>22002125.972185787</v>
      </c>
      <c r="AK160" s="2">
        <f>$E$4*AE160*攻城基础信息!AF161</f>
        <v>22160849.656629588</v>
      </c>
      <c r="AL160" s="2">
        <f>$E$4*AF160*攻城基础信息!AG161</f>
        <v>22372481.235887982</v>
      </c>
      <c r="AN160" s="2">
        <v>157</v>
      </c>
      <c r="AO160" s="2">
        <f>求节点(节奏总纲!D$4:D$163,AH$4:AH$163,$AN160)*其他调用!H161*其他调用!$M161</f>
        <v>196456533.92018205</v>
      </c>
      <c r="AP160" s="2">
        <f>求节点(节奏总纲!E$4:E$163,AI$4:AI$163,$AN160)*其他调用!I161*其他调用!$M161</f>
        <v>221688773.55638137</v>
      </c>
      <c r="AQ160" s="2">
        <f>求节点(节奏总纲!F$4:F$163,AJ$4:AJ$163,$AN160)*其他调用!J161*其他调用!$M161</f>
        <v>21598436.365905326</v>
      </c>
      <c r="AR160" s="2">
        <f>求节点(节奏总纲!G$4:G$163,AK$4:AK$163,$AN160)*其他调用!K161*其他调用!$M161</f>
        <v>5473811.0765988305</v>
      </c>
      <c r="AS160" s="2">
        <f>求节点(节奏总纲!H$4:H$163,AL$4:AL$163,$AN160)*其他调用!L161*其他调用!$M161</f>
        <v>1975153.6244167779</v>
      </c>
      <c r="AT160" s="2">
        <f t="shared" si="17"/>
        <v>447192708.54348439</v>
      </c>
      <c r="AY160" s="2">
        <v>157</v>
      </c>
      <c r="AZ160" s="2">
        <f>其他调用!R161*6*(其他调用!AH$2*$AZ$1*MIN(其他调用!$AJ161/其他调用!AH161,1)+$E$4*0%*攻城基础信息!AC161)</f>
        <v>14268</v>
      </c>
      <c r="BA160" s="2">
        <f>其他调用!S161*6*(其他调用!AI$2*$AZ$1*MIN(其他调用!$AJ161/其他调用!AI161,1)+$E$4*0%*攻城基础信息!AD161)</f>
        <v>42804</v>
      </c>
      <c r="BB160" s="2">
        <f>其他调用!T161*6*(其他调用!AJ$2*$AZ$1*MIN(其他调用!$AJ161/其他调用!AJ161,1)+$E$4*0%*攻城基础信息!AE161)</f>
        <v>128412</v>
      </c>
      <c r="BC160" s="2">
        <f>其他调用!U161*6*(其他调用!AK$2*$AZ$1*MIN(其他调用!$AJ161/其他调用!AK161,1)+$E$4*0%*攻城基础信息!AF161)</f>
        <v>50682.742196742358</v>
      </c>
      <c r="BD160" s="2">
        <f>其他调用!V161*6*(其他调用!AL$2*$AZ$1*MIN(其他调用!$AJ161/其他调用!AL161,1)+$E$4*0%*攻城基础信息!AG161)</f>
        <v>17292.848709321068</v>
      </c>
      <c r="BF160" s="2">
        <v>157</v>
      </c>
      <c r="BG160" s="2">
        <f>求节点(节奏总纲!D$4:D$163,AZ$4:AZ$163,$AN160)</f>
        <v>7748.9610177702725</v>
      </c>
      <c r="BH160" s="2">
        <f>求节点(节奏总纲!E$4:E$163,BA$4:BA$163,$AN160)</f>
        <v>23932.762858241371</v>
      </c>
      <c r="BI160" s="2">
        <f>求节点(节奏总纲!F$4:F$163,BB$4:BB$163,$AN160)</f>
        <v>74514.041995054387</v>
      </c>
      <c r="BJ160" s="2">
        <f>求节点(节奏总纲!G$4:G$163,BC$4:BC$163,$AN160)</f>
        <v>35904.667213597022</v>
      </c>
      <c r="BK160" s="2">
        <f>求节点(节奏总纲!H$4:H$163,BD$4:BD$163,$AN160)</f>
        <v>10775.970748280846</v>
      </c>
      <c r="BL160" s="2">
        <f>BG160*其他调用!H161*其他调用!$M161</f>
        <v>371659.93220009783</v>
      </c>
      <c r="BM160" s="2">
        <f>BH160*其他调用!I161*其他调用!$M161</f>
        <v>1131816.5834490377</v>
      </c>
      <c r="BN160" s="2">
        <f>BI160*其他调用!J161*其他调用!$M161</f>
        <v>287655.49904770561</v>
      </c>
      <c r="BO160" s="2">
        <f>BJ160*其他调用!K161*其他调用!$M161</f>
        <v>24659.181823629588</v>
      </c>
      <c r="BP160" s="2">
        <f>BK160*其他调用!L161*其他调用!$M161</f>
        <v>2141.4009070983693</v>
      </c>
      <c r="BQ160" s="2">
        <f t="shared" si="18"/>
        <v>1817932.5974275693</v>
      </c>
      <c r="BR160" s="2">
        <f>[1]服务器生态!$R159</f>
        <v>1.107709193325197</v>
      </c>
      <c r="BS160" s="2" t="e">
        <f>SUMPRODUCT((BG$4:BG160)*($BR$4:$BR160)*(其他调用!#REF!))</f>
        <v>#REF!</v>
      </c>
      <c r="BT160" s="2" t="e">
        <f>SUMPRODUCT((BH$4:BH160)*($BR$4:$BR160)*(其他调用!#REF!))</f>
        <v>#REF!</v>
      </c>
      <c r="BU160" s="2" t="e">
        <f>SUMPRODUCT((BI$4:BI160)*($BR$4:$BR160)*(其他调用!#REF!))</f>
        <v>#REF!</v>
      </c>
      <c r="BV160" s="2" t="e">
        <f>SUMPRODUCT((BJ$4:BJ160)*($BR$4:$BR160)*(其他调用!#REF!))</f>
        <v>#REF!</v>
      </c>
      <c r="BW160" s="2" t="e">
        <f>SUMPRODUCT((BK$4:BK160)*($BR$4:$BR160)*(其他调用!#REF!))</f>
        <v>#REF!</v>
      </c>
      <c r="BX160" s="2" t="e">
        <f>SUMPRODUCT((BG$4:BG160)*($BR$4:$BR160))*'[1]功能-战损相关'!$D$2-BS160</f>
        <v>#REF!</v>
      </c>
      <c r="BY160" s="2" t="e">
        <f>SUMPRODUCT((BH$4:BH160)*($BR$4:$BR160))*'[1]功能-战损相关'!$D$2-BT160</f>
        <v>#REF!</v>
      </c>
      <c r="BZ160" s="2" t="e">
        <f>SUMPRODUCT((BI$4:BI160)*($BR$4:$BR160))*'[1]功能-战损相关'!$D$2-BU160</f>
        <v>#REF!</v>
      </c>
      <c r="CA160" s="2" t="e">
        <f>SUMPRODUCT((BJ$4:BJ160)*($BR$4:$BR160))*'[1]功能-战损相关'!$D$2-BV160</f>
        <v>#REF!</v>
      </c>
      <c r="CB160" s="2" t="e">
        <f>SUMPRODUCT((BK$4:BK160)*($BR$4:$BR160))*'[1]功能-战损相关'!$D$2-BW160</f>
        <v>#REF!</v>
      </c>
    </row>
    <row r="161" spans="27:80" x14ac:dyDescent="0.2">
      <c r="AA161" s="2">
        <v>158</v>
      </c>
      <c r="AB161" s="2">
        <f>攻城基础信息!X162*$E$12</f>
        <v>883745.92140085646</v>
      </c>
      <c r="AC161" s="2">
        <f>攻城基础信息!Y162*$E$12</f>
        <v>893726.94622679986</v>
      </c>
      <c r="AD161" s="2">
        <f>攻城基础信息!Z162*$E$12</f>
        <v>898045.9580484</v>
      </c>
      <c r="AE161" s="2">
        <f>攻城基础信息!AA162*$E$12</f>
        <v>904524.4757808001</v>
      </c>
      <c r="AF161" s="2">
        <f>攻城基础信息!AB162*$E$12</f>
        <v>913162.49942399992</v>
      </c>
      <c r="AH161" s="2">
        <f>$E$4*AB161*攻城基础信息!AC162</f>
        <v>21651775.074320972</v>
      </c>
      <c r="AI161" s="2">
        <f>$E$4*AC161*攻城基础信息!AD162</f>
        <v>21896310.182556584</v>
      </c>
      <c r="AJ161" s="2">
        <f>$E$4*AD161*攻城基础信息!AE162</f>
        <v>22002125.972185787</v>
      </c>
      <c r="AK161" s="2">
        <f>$E$4*AE161*攻城基础信息!AF162</f>
        <v>22160849.656629588</v>
      </c>
      <c r="AL161" s="2">
        <f>$E$4*AF161*攻城基础信息!AG162</f>
        <v>22372481.235887982</v>
      </c>
      <c r="AN161" s="2">
        <v>158</v>
      </c>
      <c r="AO161" s="2">
        <f>求节点(节奏总纲!D$4:D$163,AH$4:AH$163,$AN161)*其他调用!H162*其他调用!$M162</f>
        <v>197082340.41258195</v>
      </c>
      <c r="AP161" s="2">
        <f>求节点(节奏总纲!E$4:E$163,AI$4:AI$163,$AN161)*其他调用!I162*其他调用!$M162</f>
        <v>222290779.49180785</v>
      </c>
      <c r="AQ161" s="2">
        <f>求节点(节奏总纲!F$4:F$163,AJ$4:AJ$163,$AN161)*其他调用!J162*其他调用!$M162</f>
        <v>21681626.968796931</v>
      </c>
      <c r="AR161" s="2">
        <f>求节点(节奏总纲!G$4:G$163,AK$4:AK$163,$AN161)*其他调用!K162*其他调用!$M162</f>
        <v>5486633.2378844712</v>
      </c>
      <c r="AS161" s="2">
        <f>求节点(节奏总纲!H$4:H$163,AL$4:AL$163,$AN161)*其他调用!L162*其他调用!$M162</f>
        <v>1978614.5973020517</v>
      </c>
      <c r="AT161" s="2">
        <f t="shared" si="17"/>
        <v>448519994.70837325</v>
      </c>
      <c r="AY161" s="2">
        <v>158</v>
      </c>
      <c r="AZ161" s="2">
        <f>其他调用!R162*6*(其他调用!AH$2*$AZ$1*MIN(其他调用!$AJ162/其他调用!AH162,1)+$E$4*0%*攻城基础信息!AC162)</f>
        <v>14268</v>
      </c>
      <c r="BA161" s="2">
        <f>其他调用!S162*6*(其他调用!AI$2*$AZ$1*MIN(其他调用!$AJ162/其他调用!AI162,1)+$E$4*0%*攻城基础信息!AD162)</f>
        <v>42804</v>
      </c>
      <c r="BB161" s="2">
        <f>其他调用!T162*6*(其他调用!AJ$2*$AZ$1*MIN(其他调用!$AJ162/其他调用!AJ162,1)+$E$4*0%*攻城基础信息!AE162)</f>
        <v>128412</v>
      </c>
      <c r="BC161" s="2">
        <f>其他调用!U162*6*(其他调用!AK$2*$AZ$1*MIN(其他调用!$AJ162/其他调用!AK162,1)+$E$4*0%*攻城基础信息!AF162)</f>
        <v>50593.664103278032</v>
      </c>
      <c r="BD161" s="2">
        <f>其他调用!V162*6*(其他调用!AL$2*$AZ$1*MIN(其他调用!$AJ162/其他调用!AL162,1)+$E$4*0%*攻城基础信息!AG162)</f>
        <v>17347.43740839983</v>
      </c>
      <c r="BF161" s="2">
        <v>158</v>
      </c>
      <c r="BG161" s="2">
        <f>求节点(节奏总纲!D$4:D$163,AZ$4:AZ$163,$AN161)</f>
        <v>7755.9100804978552</v>
      </c>
      <c r="BH161" s="2">
        <f>求节点(节奏总纲!E$4:E$163,BA$4:BA$163,$AN161)</f>
        <v>23954.799732442018</v>
      </c>
      <c r="BI161" s="2">
        <f>求节点(节奏总纲!F$4:F$163,BB$4:BB$163,$AN161)</f>
        <v>74579.643042539712</v>
      </c>
      <c r="BJ161" s="2">
        <f>求节点(节奏总纲!G$4:G$163,BC$4:BC$163,$AN161)</f>
        <v>35936.77326632935</v>
      </c>
      <c r="BK161" s="2">
        <f>求节点(节奏总纲!H$4:H$163,BD$4:BD$163,$AN161)</f>
        <v>10782.800011925008</v>
      </c>
      <c r="BL161" s="2">
        <f>BG161*其他调用!H162*其他调用!$M162</f>
        <v>371993.22697035992</v>
      </c>
      <c r="BM161" s="2">
        <f>BH161*其他调用!I162*其他调用!$M162</f>
        <v>1132858.7405879945</v>
      </c>
      <c r="BN161" s="2">
        <f>BI161*其他调用!J162*其他调用!$M162</f>
        <v>287908.74664436257</v>
      </c>
      <c r="BO161" s="2">
        <f>BJ161*其他调用!K162*其他调用!$M162</f>
        <v>24681.23213222194</v>
      </c>
      <c r="BP161" s="2">
        <f>BK161*其他调用!L162*其他调用!$M162</f>
        <v>2142.7580183697373</v>
      </c>
      <c r="BQ161" s="2">
        <f t="shared" si="18"/>
        <v>1819584.7043533088</v>
      </c>
      <c r="BR161" s="2">
        <f>[1]服务器生态!$R160</f>
        <v>0.97309262400311947</v>
      </c>
      <c r="BS161" s="2" t="e">
        <f>SUMPRODUCT((BG$4:BG161)*($BR$4:$BR161)*(其他调用!#REF!))</f>
        <v>#REF!</v>
      </c>
      <c r="BT161" s="2" t="e">
        <f>SUMPRODUCT((BH$4:BH161)*($BR$4:$BR161)*(其他调用!#REF!))</f>
        <v>#REF!</v>
      </c>
      <c r="BU161" s="2" t="e">
        <f>SUMPRODUCT((BI$4:BI161)*($BR$4:$BR161)*(其他调用!#REF!))</f>
        <v>#REF!</v>
      </c>
      <c r="BV161" s="2" t="e">
        <f>SUMPRODUCT((BJ$4:BJ161)*($BR$4:$BR161)*(其他调用!#REF!))</f>
        <v>#REF!</v>
      </c>
      <c r="BW161" s="2" t="e">
        <f>SUMPRODUCT((BK$4:BK161)*($BR$4:$BR161)*(其他调用!#REF!))</f>
        <v>#REF!</v>
      </c>
      <c r="BX161" s="2" t="e">
        <f>SUMPRODUCT((BG$4:BG161)*($BR$4:$BR161))*'[1]功能-战损相关'!$D$2-BS161</f>
        <v>#REF!</v>
      </c>
      <c r="BY161" s="2" t="e">
        <f>SUMPRODUCT((BH$4:BH161)*($BR$4:$BR161))*'[1]功能-战损相关'!$D$2-BT161</f>
        <v>#REF!</v>
      </c>
      <c r="BZ161" s="2" t="e">
        <f>SUMPRODUCT((BI$4:BI161)*($BR$4:$BR161))*'[1]功能-战损相关'!$D$2-BU161</f>
        <v>#REF!</v>
      </c>
      <c r="CA161" s="2" t="e">
        <f>SUMPRODUCT((BJ$4:BJ161)*($BR$4:$BR161))*'[1]功能-战损相关'!$D$2-BV161</f>
        <v>#REF!</v>
      </c>
      <c r="CB161" s="2" t="e">
        <f>SUMPRODUCT((BK$4:BK161)*($BR$4:$BR161))*'[1]功能-战损相关'!$D$2-BW161</f>
        <v>#REF!</v>
      </c>
    </row>
    <row r="162" spans="27:80" x14ac:dyDescent="0.2">
      <c r="AA162" s="2">
        <v>159</v>
      </c>
      <c r="AB162" s="2">
        <f>攻城基础信息!X163*$E$12</f>
        <v>884249.24000108114</v>
      </c>
      <c r="AC162" s="2">
        <f>攻城基础信息!Y163*$E$12</f>
        <v>893726.94622679986</v>
      </c>
      <c r="AD162" s="2">
        <f>攻城基础信息!Z163*$E$12</f>
        <v>898045.9580484</v>
      </c>
      <c r="AE162" s="2">
        <f>攻城基础信息!AA163*$E$12</f>
        <v>904524.4757808001</v>
      </c>
      <c r="AF162" s="2">
        <f>攻城基础信息!AB163*$E$12</f>
        <v>913162.49942399992</v>
      </c>
      <c r="AH162" s="2">
        <f>$E$4*AB162*攻城基础信息!AC163</f>
        <v>21664106.380026475</v>
      </c>
      <c r="AI162" s="2">
        <f>$E$4*AC162*攻城基础信息!AD163</f>
        <v>21896310.182556584</v>
      </c>
      <c r="AJ162" s="2">
        <f>$E$4*AD162*攻城基础信息!AE163</f>
        <v>22002125.972185787</v>
      </c>
      <c r="AK162" s="2">
        <f>$E$4*AE162*攻城基础信息!AF163</f>
        <v>22160849.656629588</v>
      </c>
      <c r="AL162" s="2">
        <f>$E$4*AF162*攻城基础信息!AG163</f>
        <v>22372481.235887982</v>
      </c>
      <c r="AN162" s="2">
        <v>159</v>
      </c>
      <c r="AO162" s="2">
        <f>求节点(节奏总纲!D$4:D$163,AH$4:AH$163,$AN162)*其他调用!H163*其他调用!$M163</f>
        <v>197708146.90498182</v>
      </c>
      <c r="AP162" s="2">
        <f>求节点(节奏总纲!E$4:E$163,AI$4:AI$163,$AN162)*其他调用!I163*其他调用!$M163</f>
        <v>222892785.42723426</v>
      </c>
      <c r="AQ162" s="2">
        <f>求节点(节奏总纲!F$4:F$163,AJ$4:AJ$163,$AN162)*其他调用!J163*其他调用!$M163</f>
        <v>21765460.803194929</v>
      </c>
      <c r="AR162" s="2">
        <f>求节点(节奏总纲!G$4:G$163,AK$4:AK$163,$AN162)*其他调用!K163*其他调用!$M163</f>
        <v>5499455.3991701128</v>
      </c>
      <c r="AS162" s="2">
        <f>求节点(节奏总纲!H$4:H$163,AL$4:AL$163,$AN162)*其他调用!L163*其他调用!$M163</f>
        <v>1981882.9068668827</v>
      </c>
      <c r="AT162" s="2">
        <f t="shared" si="17"/>
        <v>449847731.44144803</v>
      </c>
      <c r="AY162" s="2">
        <v>159</v>
      </c>
      <c r="AZ162" s="2">
        <f>其他调用!R163*6*(其他调用!AH$2*$AZ$1*MIN(其他调用!$AJ163/其他调用!AH163,1)+$E$4*0%*攻城基础信息!AC163)</f>
        <v>14268</v>
      </c>
      <c r="BA162" s="2">
        <f>其他调用!S163*6*(其他调用!AI$2*$AZ$1*MIN(其他调用!$AJ163/其他调用!AI163,1)+$E$4*0%*攻城基础信息!AD163)</f>
        <v>42804</v>
      </c>
      <c r="BB162" s="2">
        <f>其他调用!T163*6*(其他调用!AJ$2*$AZ$1*MIN(其他调用!$AJ163/其他调用!AJ163,1)+$E$4*0%*攻城基础信息!AE163)</f>
        <v>128412</v>
      </c>
      <c r="BC162" s="2">
        <f>其他调用!U163*6*(其他调用!AK$2*$AZ$1*MIN(其他调用!$AJ163/其他调用!AK163,1)+$E$4*0%*攻城基础信息!AF163)</f>
        <v>50507.491451516064</v>
      </c>
      <c r="BD162" s="2">
        <f>其他调用!V163*6*(其他调用!AL$2*$AZ$1*MIN(其他调用!$AJ163/其他调用!AL163,1)+$E$4*0%*攻城基础信息!AG163)</f>
        <v>17404.402752077498</v>
      </c>
      <c r="BF162" s="2">
        <v>159</v>
      </c>
      <c r="BG162" s="2">
        <f>求节点(节奏总纲!D$4:D$163,AZ$4:AZ$163,$AN162)</f>
        <v>7762.8591432254379</v>
      </c>
      <c r="BH162" s="2">
        <f>求节点(节奏总纲!E$4:E$163,BA$4:BA$163,$AN162)</f>
        <v>23976.836606642661</v>
      </c>
      <c r="BI162" s="2">
        <f>求节点(节奏总纲!F$4:F$163,BB$4:BB$163,$AN162)</f>
        <v>74644.903009847229</v>
      </c>
      <c r="BJ162" s="2">
        <f>求节点(节奏总纲!G$4:G$163,BC$4:BC$163,$AN162)</f>
        <v>35968.879319061678</v>
      </c>
      <c r="BK162" s="2">
        <f>求节点(节奏总纲!H$4:H$163,BD$4:BD$163,$AN162)</f>
        <v>10789.065062603691</v>
      </c>
      <c r="BL162" s="2">
        <f>BG162*其他调用!H163*其他调用!$M163</f>
        <v>372326.521740622</v>
      </c>
      <c r="BM162" s="2">
        <f>BH162*其他调用!I163*其他调用!$M163</f>
        <v>1133900.8977269509</v>
      </c>
      <c r="BN162" s="2">
        <f>BI162*其他调用!J163*其他调用!$M163</f>
        <v>288160.67752827465</v>
      </c>
      <c r="BO162" s="2">
        <f>BJ162*其他调用!K163*其他调用!$M163</f>
        <v>24703.282440814291</v>
      </c>
      <c r="BP162" s="2">
        <f>BK162*其他调用!L163*其他调用!$M163</f>
        <v>2144.003009240605</v>
      </c>
      <c r="BQ162" s="2">
        <f t="shared" si="18"/>
        <v>1821235.3824459026</v>
      </c>
      <c r="BR162" s="2">
        <f>[1]服务器生态!$R161</f>
        <v>0.83847605468104214</v>
      </c>
      <c r="BS162" s="2" t="e">
        <f>SUMPRODUCT((BG$4:BG162)*($BR$4:$BR162)*(其他调用!#REF!))</f>
        <v>#REF!</v>
      </c>
      <c r="BT162" s="2" t="e">
        <f>SUMPRODUCT((BH$4:BH162)*($BR$4:$BR162)*(其他调用!#REF!))</f>
        <v>#REF!</v>
      </c>
      <c r="BU162" s="2" t="e">
        <f>SUMPRODUCT((BI$4:BI162)*($BR$4:$BR162)*(其他调用!#REF!))</f>
        <v>#REF!</v>
      </c>
      <c r="BV162" s="2" t="e">
        <f>SUMPRODUCT((BJ$4:BJ162)*($BR$4:$BR162)*(其他调用!#REF!))</f>
        <v>#REF!</v>
      </c>
      <c r="BW162" s="2" t="e">
        <f>SUMPRODUCT((BK$4:BK162)*($BR$4:$BR162)*(其他调用!#REF!))</f>
        <v>#REF!</v>
      </c>
      <c r="BX162" s="2" t="e">
        <f>SUMPRODUCT((BG$4:BG162)*($BR$4:$BR162))*'[1]功能-战损相关'!$D$2-BS162</f>
        <v>#REF!</v>
      </c>
      <c r="BY162" s="2" t="e">
        <f>SUMPRODUCT((BH$4:BH162)*($BR$4:$BR162))*'[1]功能-战损相关'!$D$2-BT162</f>
        <v>#REF!</v>
      </c>
      <c r="BZ162" s="2" t="e">
        <f>SUMPRODUCT((BI$4:BI162)*($BR$4:$BR162))*'[1]功能-战损相关'!$D$2-BU162</f>
        <v>#REF!</v>
      </c>
      <c r="CA162" s="2" t="e">
        <f>SUMPRODUCT((BJ$4:BJ162)*($BR$4:$BR162))*'[1]功能-战损相关'!$D$2-BV162</f>
        <v>#REF!</v>
      </c>
      <c r="CB162" s="2" t="e">
        <f>SUMPRODUCT((BK$4:BK162)*($BR$4:$BR162))*'[1]功能-战损相关'!$D$2-BW162</f>
        <v>#REF!</v>
      </c>
    </row>
    <row r="163" spans="27:80" x14ac:dyDescent="0.2">
      <c r="AA163" s="2">
        <v>160</v>
      </c>
      <c r="AB163" s="2">
        <f>攻城基础信息!X164*$E$12</f>
        <v>884748.54466760193</v>
      </c>
      <c r="AC163" s="2">
        <f>攻城基础信息!Y164*$E$12</f>
        <v>893726.94622679986</v>
      </c>
      <c r="AD163" s="2">
        <f>攻城基础信息!Z164*$E$12</f>
        <v>898045.9580484</v>
      </c>
      <c r="AE163" s="2">
        <f>攻城基础信息!AA164*$E$12</f>
        <v>904524.4757808001</v>
      </c>
      <c r="AF163" s="2">
        <f>攻城基础信息!AB164*$E$12</f>
        <v>913162.49942399992</v>
      </c>
      <c r="AH163" s="2">
        <f>$E$4*AB163*攻城基础信息!AC164</f>
        <v>21676339.344356235</v>
      </c>
      <c r="AI163" s="2">
        <f>$E$4*AC163*攻城基础信息!AD164</f>
        <v>21896310.182556584</v>
      </c>
      <c r="AJ163" s="2">
        <f>$E$4*AD163*攻城基础信息!AE164</f>
        <v>22002125.972185787</v>
      </c>
      <c r="AK163" s="2">
        <f>$E$4*AE163*攻城基础信息!AF164</f>
        <v>22160849.656629588</v>
      </c>
      <c r="AL163" s="2">
        <f>$E$4*AF163*攻城基础信息!AG164</f>
        <v>22372481.235887982</v>
      </c>
      <c r="AN163" s="2">
        <v>160</v>
      </c>
      <c r="AO163" s="2">
        <f>求节点(节奏总纲!D$4:D$163,AH$4:AH$163,$AN163)*其他调用!H164*其他调用!$M164</f>
        <v>198333953.39738175</v>
      </c>
      <c r="AP163" s="2">
        <f>求节点(节奏总纲!E$4:E$163,AI$4:AI$163,$AN163)*其他调用!I164*其他调用!$M164</f>
        <v>223494791.36266077</v>
      </c>
      <c r="AQ163" s="2">
        <f>求节点(节奏总纲!F$4:F$163,AJ$4:AJ$163,$AN163)*其他调用!J164*其他调用!$M164</f>
        <v>21849294.637592927</v>
      </c>
      <c r="AR163" s="2">
        <f>求节点(节奏总纲!G$4:G$163,AK$4:AK$163,$AN163)*其他调用!K164*其他调用!$M164</f>
        <v>5512277.5604557535</v>
      </c>
      <c r="AS163" s="2">
        <f>求节点(节奏总纲!H$4:H$163,AL$4:AL$163,$AN163)*其他调用!L164*其他调用!$M164</f>
        <v>1985151.2164317134</v>
      </c>
      <c r="AT163" s="2">
        <f t="shared" si="17"/>
        <v>451175468.17452294</v>
      </c>
      <c r="AY163" s="2">
        <v>160</v>
      </c>
      <c r="AZ163" s="2">
        <f>其他调用!R164*6*(其他调用!AH$2*$AZ$1*MIN(其他调用!$AJ164/其他调用!AH164,1)+$E$4*0%*攻城基础信息!AC164)</f>
        <v>14268</v>
      </c>
      <c r="BA163" s="2">
        <f>其他调用!S164*6*(其他调用!AI$2*$AZ$1*MIN(其他调用!$AJ164/其他调用!AI164,1)+$E$4*0%*攻城基础信息!AD164)</f>
        <v>42804</v>
      </c>
      <c r="BB163" s="2">
        <f>其他调用!T164*6*(其他调用!AJ$2*$AZ$1*MIN(其他调用!$AJ164/其他调用!AJ164,1)+$E$4*0%*攻城基础信息!AE164)</f>
        <v>128412</v>
      </c>
      <c r="BC163" s="2">
        <f>其他调用!U164*6*(其他调用!AK$2*$AZ$1*MIN(其他调用!$AJ164/其他调用!AK164,1)+$E$4*0%*攻城基础信息!AF164)</f>
        <v>50423.246498585577</v>
      </c>
      <c r="BD163" s="2">
        <f>其他调用!V164*6*(其他调用!AL$2*$AZ$1*MIN(其他调用!$AJ164/其他调用!AL164,1)+$E$4*0%*攻城基础信息!AG164)</f>
        <v>17460.646658862683</v>
      </c>
      <c r="BF163" s="2">
        <v>160</v>
      </c>
      <c r="BG163" s="2">
        <f>求节点(节奏总纲!D$4:D$163,AZ$4:AZ$163,$AN163)</f>
        <v>7769.8082059530198</v>
      </c>
      <c r="BH163" s="2">
        <f>求节点(节奏总纲!E$4:E$163,BA$4:BA$163,$AN163)</f>
        <v>23998.873480843307</v>
      </c>
      <c r="BI163" s="2">
        <f>求节点(节奏总纲!F$4:F$163,BB$4:BB$163,$AN163)</f>
        <v>74710.16297715473</v>
      </c>
      <c r="BJ163" s="2">
        <f>求节点(节奏总纲!G$4:G$163,BC$4:BC$163,$AN163)</f>
        <v>36000.985371794013</v>
      </c>
      <c r="BK163" s="2">
        <f>求节点(节奏总纲!H$4:H$163,BD$4:BD$163,$AN163)</f>
        <v>10795.330113282373</v>
      </c>
      <c r="BL163" s="2">
        <f>BG163*其他调用!H164*其他调用!$M164</f>
        <v>372659.81651088403</v>
      </c>
      <c r="BM163" s="2">
        <f>BH163*其他调用!I164*其他调用!$M164</f>
        <v>1134943.0548659074</v>
      </c>
      <c r="BN163" s="2">
        <f>BI163*其他调用!J164*其他调用!$M164</f>
        <v>288412.60841218679</v>
      </c>
      <c r="BO163" s="2">
        <f>BJ163*其他调用!K164*其他调用!$M164</f>
        <v>24725.332749406647</v>
      </c>
      <c r="BP163" s="2">
        <f>BK163*其他调用!L164*其他调用!$M164</f>
        <v>2145.2480001114727</v>
      </c>
      <c r="BQ163" s="2">
        <f t="shared" si="18"/>
        <v>1822886.0605384964</v>
      </c>
      <c r="BR163" s="2">
        <f>[1]服务器生态!$R162</f>
        <v>0.7038594853589647</v>
      </c>
      <c r="BS163" s="2" t="e">
        <f>SUMPRODUCT((BG$4:BG163)*($BR$4:$BR163)*(其他调用!#REF!))</f>
        <v>#REF!</v>
      </c>
      <c r="BT163" s="2" t="e">
        <f>SUMPRODUCT((BH$4:BH163)*($BR$4:$BR163)*(其他调用!#REF!))</f>
        <v>#REF!</v>
      </c>
      <c r="BU163" s="2" t="e">
        <f>SUMPRODUCT((BI$4:BI163)*($BR$4:$BR163)*(其他调用!#REF!))</f>
        <v>#REF!</v>
      </c>
      <c r="BV163" s="2" t="e">
        <f>SUMPRODUCT((BJ$4:BJ163)*($BR$4:$BR163)*(其他调用!#REF!))</f>
        <v>#REF!</v>
      </c>
      <c r="BW163" s="2" t="e">
        <f>SUMPRODUCT((BK$4:BK163)*($BR$4:$BR163)*(其他调用!#REF!))</f>
        <v>#REF!</v>
      </c>
      <c r="BX163" s="2" t="e">
        <f>SUMPRODUCT((BG$4:BG163)*($BR$4:$BR163))*'[1]功能-战损相关'!$D$2-BS163</f>
        <v>#REF!</v>
      </c>
      <c r="BY163" s="2" t="e">
        <f>SUMPRODUCT((BH$4:BH163)*($BR$4:$BR163))*'[1]功能-战损相关'!$D$2-BT163</f>
        <v>#REF!</v>
      </c>
      <c r="BZ163" s="2" t="e">
        <f>SUMPRODUCT((BI$4:BI163)*($BR$4:$BR163))*'[1]功能-战损相关'!$D$2-BU163</f>
        <v>#REF!</v>
      </c>
      <c r="CA163" s="2" t="e">
        <f>SUMPRODUCT((BJ$4:BJ163)*($BR$4:$BR163))*'[1]功能-战损相关'!$D$2-BV163</f>
        <v>#REF!</v>
      </c>
      <c r="CB163" s="2" t="e">
        <f>SUMPRODUCT((BK$4:BK163)*($BR$4:$BR163))*'[1]功能-战损相关'!$D$2-BW163</f>
        <v>#REF!</v>
      </c>
    </row>
    <row r="164" spans="27:80" x14ac:dyDescent="0.2">
      <c r="AN164" s="2">
        <v>161</v>
      </c>
      <c r="AO164" s="2">
        <f>求节点(节奏总纲!D$4:D$163,AH$4:AH$163,$AN164)*其他调用!H165*其他调用!$M165</f>
        <v>198959759.88978162</v>
      </c>
      <c r="AP164" s="2">
        <f>求节点(节奏总纲!E$4:E$163,AI$4:AI$163,$AN164)*其他调用!I165*其他调用!$M165</f>
        <v>224096797.29808718</v>
      </c>
      <c r="AQ164" s="2">
        <f>求节点(节奏总纲!F$4:F$163,AJ$4:AJ$163,$AN164)*其他调用!J165*其他调用!$M165</f>
        <v>21933128.471990921</v>
      </c>
      <c r="AR164" s="2">
        <f>求节点(节奏总纲!G$4:G$163,AK$4:AK$163,$AN164)*其他调用!K165*其他调用!$M165</f>
        <v>5525099.7217413951</v>
      </c>
      <c r="AS164" s="2">
        <f>求节点(节奏总纲!H$4:H$163,AL$4:AL$163,$AN164)*其他调用!L165*其他调用!$M165</f>
        <v>1988419.5259965446</v>
      </c>
      <c r="AT164" s="2">
        <f t="shared" si="17"/>
        <v>452503204.90759772</v>
      </c>
      <c r="BF164" s="2">
        <v>161</v>
      </c>
      <c r="BG164" s="2">
        <f>求节点(节奏总纲!D$4:D$163,AZ$4:AZ$163,$AN164)</f>
        <v>7776.7572686806025</v>
      </c>
      <c r="BH164" s="2">
        <f>求节点(节奏总纲!E$4:E$163,BA$4:BA$163,$AN164)</f>
        <v>24020.91035504395</v>
      </c>
      <c r="BI164" s="2">
        <f>求节点(节奏总纲!F$4:F$163,BB$4:BB$163,$AN164)</f>
        <v>74775.422944462232</v>
      </c>
      <c r="BJ164" s="2">
        <f>求节点(节奏总纲!G$4:G$163,BC$4:BC$163,$AN164)</f>
        <v>36033.091424526341</v>
      </c>
      <c r="BK164" s="2">
        <f>求节点(节奏总纲!H$4:H$163,BD$4:BD$163,$AN164)</f>
        <v>10801.595163961056</v>
      </c>
      <c r="BL164" s="2">
        <f>BG164*其他调用!H165*其他调用!$M165</f>
        <v>372993.11128114612</v>
      </c>
      <c r="BM164" s="2">
        <f>BH164*其他调用!I165*其他调用!$M165</f>
        <v>1135985.2120048639</v>
      </c>
      <c r="BN164" s="2">
        <f>BI164*其他调用!J165*其他调用!$M165</f>
        <v>288664.53929609881</v>
      </c>
      <c r="BO164" s="2">
        <f>BJ164*其他调用!K165*其他调用!$M165</f>
        <v>24747.383057998999</v>
      </c>
      <c r="BP164" s="2">
        <f>BK164*其他调用!L165*其他调用!$M165</f>
        <v>2146.4929909823409</v>
      </c>
      <c r="BQ164" s="2">
        <f t="shared" si="18"/>
        <v>1824536.7386310899</v>
      </c>
      <c r="BR164" s="2">
        <f>[1]服务器生态!$R163</f>
        <v>0.56924291603688726</v>
      </c>
      <c r="BS164" s="2" t="e">
        <f>SUMPRODUCT((BG$4:BG164)*($BR$4:$BR164)*(其他调用!#REF!))</f>
        <v>#REF!</v>
      </c>
      <c r="BT164" s="2" t="e">
        <f>SUMPRODUCT((BH$4:BH164)*($BR$4:$BR164)*(其他调用!#REF!))</f>
        <v>#REF!</v>
      </c>
      <c r="BU164" s="2" t="e">
        <f>SUMPRODUCT((BI$4:BI164)*($BR$4:$BR164)*(其他调用!#REF!))</f>
        <v>#REF!</v>
      </c>
      <c r="BV164" s="2" t="e">
        <f>SUMPRODUCT((BJ$4:BJ164)*($BR$4:$BR164)*(其他调用!#REF!))</f>
        <v>#REF!</v>
      </c>
      <c r="BW164" s="2" t="e">
        <f>SUMPRODUCT((BK$4:BK164)*($BR$4:$BR164)*(其他调用!#REF!))</f>
        <v>#REF!</v>
      </c>
      <c r="BX164" s="2" t="e">
        <f>SUMPRODUCT((BG$4:BG164)*($BR$4:$BR164))*'[1]功能-战损相关'!$D$2-BS164</f>
        <v>#REF!</v>
      </c>
      <c r="BY164" s="2" t="e">
        <f>SUMPRODUCT((BH$4:BH164)*($BR$4:$BR164))*'[1]功能-战损相关'!$D$2-BT164</f>
        <v>#REF!</v>
      </c>
      <c r="BZ164" s="2" t="e">
        <f>SUMPRODUCT((BI$4:BI164)*($BR$4:$BR164))*'[1]功能-战损相关'!$D$2-BU164</f>
        <v>#REF!</v>
      </c>
      <c r="CA164" s="2" t="e">
        <f>SUMPRODUCT((BJ$4:BJ164)*($BR$4:$BR164))*'[1]功能-战损相关'!$D$2-BV164</f>
        <v>#REF!</v>
      </c>
      <c r="CB164" s="2" t="e">
        <f>SUMPRODUCT((BK$4:BK164)*($BR$4:$BR164))*'[1]功能-战损相关'!$D$2-BW164</f>
        <v>#REF!</v>
      </c>
    </row>
    <row r="165" spans="27:80" x14ac:dyDescent="0.2">
      <c r="AN165" s="2">
        <v>162</v>
      </c>
      <c r="AO165" s="2">
        <f>求节点(节奏总纲!D$4:D$163,AH$4:AH$163,$AN165)*其他调用!H166*其他调用!$M166</f>
        <v>199585566.3821815</v>
      </c>
      <c r="AP165" s="2">
        <f>求节点(节奏总纲!E$4:E$163,AI$4:AI$163,$AN165)*其他调用!I166*其他调用!$M166</f>
        <v>224698803.23351359</v>
      </c>
      <c r="AQ165" s="2">
        <f>求节点(节奏总纲!F$4:F$163,AJ$4:AJ$163,$AN165)*其他调用!J166*其他调用!$M166</f>
        <v>22016962.306388922</v>
      </c>
      <c r="AR165" s="2">
        <f>求节点(节奏总纲!G$4:G$163,AK$4:AK$163,$AN165)*其他调用!K166*其他调用!$M166</f>
        <v>5537141.0215747384</v>
      </c>
      <c r="AS165" s="2">
        <f>求节点(节奏总纲!H$4:H$163,AL$4:AL$163,$AN165)*其他调用!L166*其他调用!$M166</f>
        <v>1991687.8355613756</v>
      </c>
      <c r="AT165" s="2">
        <f t="shared" si="17"/>
        <v>453830160.77922016</v>
      </c>
      <c r="BF165" s="2">
        <v>162</v>
      </c>
      <c r="BG165" s="2">
        <f>求节点(节奏总纲!D$4:D$163,AZ$4:AZ$163,$AN165)</f>
        <v>7783.7063314081852</v>
      </c>
      <c r="BH165" s="2">
        <f>求节点(节奏总纲!E$4:E$163,BA$4:BA$163,$AN165)</f>
        <v>24042.947229244593</v>
      </c>
      <c r="BI165" s="2">
        <f>求节点(节奏总纲!F$4:F$163,BB$4:BB$163,$AN165)</f>
        <v>74840.682911769734</v>
      </c>
      <c r="BJ165" s="2">
        <f>求节点(节奏总纲!G$4:G$163,BC$4:BC$163,$AN165)</f>
        <v>36064.780807088151</v>
      </c>
      <c r="BK165" s="2">
        <f>求节点(节奏总纲!H$4:H$163,BD$4:BD$163,$AN165)</f>
        <v>10807.860214639737</v>
      </c>
      <c r="BL165" s="2">
        <f>BG165*其他调用!H166*其他调用!$M166</f>
        <v>373326.40605140821</v>
      </c>
      <c r="BM165" s="2">
        <f>BH165*其他调用!I166*其他调用!$M166</f>
        <v>1137027.3691438204</v>
      </c>
      <c r="BN165" s="2">
        <f>BI165*其他调用!J166*其他调用!$M166</f>
        <v>288916.47018001095</v>
      </c>
      <c r="BO165" s="2">
        <f>BJ165*其他调用!K166*其他调用!$M166</f>
        <v>24769.147199184921</v>
      </c>
      <c r="BP165" s="2">
        <f>BK165*其他调用!L166*其他调用!$M166</f>
        <v>2147.7379818532081</v>
      </c>
      <c r="BQ165" s="2">
        <f t="shared" si="18"/>
        <v>1826187.1305562777</v>
      </c>
      <c r="BR165" s="2">
        <f>[1]服务器生态!$R164</f>
        <v>0.43462634671480987</v>
      </c>
      <c r="BS165" s="2" t="e">
        <f>SUMPRODUCT((BG$4:BG165)*($BR$4:$BR165)*(其他调用!#REF!))</f>
        <v>#REF!</v>
      </c>
      <c r="BT165" s="2" t="e">
        <f>SUMPRODUCT((BH$4:BH165)*($BR$4:$BR165)*(其他调用!#REF!))</f>
        <v>#REF!</v>
      </c>
      <c r="BU165" s="2" t="e">
        <f>SUMPRODUCT((BI$4:BI165)*($BR$4:$BR165)*(其他调用!#REF!))</f>
        <v>#REF!</v>
      </c>
      <c r="BV165" s="2" t="e">
        <f>SUMPRODUCT((BJ$4:BJ165)*($BR$4:$BR165)*(其他调用!#REF!))</f>
        <v>#REF!</v>
      </c>
      <c r="BW165" s="2" t="e">
        <f>SUMPRODUCT((BK$4:BK165)*($BR$4:$BR165)*(其他调用!#REF!))</f>
        <v>#REF!</v>
      </c>
      <c r="BX165" s="2" t="e">
        <f>SUMPRODUCT((BG$4:BG165)*($BR$4:$BR165))*'[1]功能-战损相关'!$D$2-BS165</f>
        <v>#REF!</v>
      </c>
      <c r="BY165" s="2" t="e">
        <f>SUMPRODUCT((BH$4:BH165)*($BR$4:$BR165))*'[1]功能-战损相关'!$D$2-BT165</f>
        <v>#REF!</v>
      </c>
      <c r="BZ165" s="2" t="e">
        <f>SUMPRODUCT((BI$4:BI165)*($BR$4:$BR165))*'[1]功能-战损相关'!$D$2-BU165</f>
        <v>#REF!</v>
      </c>
      <c r="CA165" s="2" t="e">
        <f>SUMPRODUCT((BJ$4:BJ165)*($BR$4:$BR165))*'[1]功能-战损相关'!$D$2-BV165</f>
        <v>#REF!</v>
      </c>
      <c r="CB165" s="2" t="e">
        <f>SUMPRODUCT((BK$4:BK165)*($BR$4:$BR165))*'[1]功能-战损相关'!$D$2-BW165</f>
        <v>#REF!</v>
      </c>
    </row>
    <row r="166" spans="27:80" x14ac:dyDescent="0.2">
      <c r="AN166" s="2">
        <v>163</v>
      </c>
      <c r="AO166" s="2">
        <f>求节点(节奏总纲!D$4:D$163,AH$4:AH$163,$AN166)*其他调用!H167*其他调用!$M167</f>
        <v>200211372.8745814</v>
      </c>
      <c r="AP166" s="2">
        <f>求节点(节奏总纲!E$4:E$163,AI$4:AI$163,$AN166)*其他调用!I167*其他调用!$M167</f>
        <v>225300809.1689401</v>
      </c>
      <c r="AQ166" s="2">
        <f>求节点(节奏总纲!F$4:F$163,AJ$4:AJ$163,$AN166)*其他调用!J167*其他调用!$M167</f>
        <v>22100796.14078692</v>
      </c>
      <c r="AR166" s="2">
        <f>求节点(节奏总纲!G$4:G$163,AK$4:AK$163,$AN166)*其他调用!K167*其他调用!$M167</f>
        <v>5548107.7070501558</v>
      </c>
      <c r="AS166" s="2">
        <f>求节点(节奏总纲!H$4:H$163,AL$4:AL$163,$AN166)*其他调用!L167*其他调用!$M167</f>
        <v>1994956.1451262063</v>
      </c>
      <c r="AT166" s="2">
        <f t="shared" si="17"/>
        <v>455156042.03648484</v>
      </c>
      <c r="BF166" s="2">
        <v>163</v>
      </c>
      <c r="BG166" s="2">
        <f>求节点(节奏总纲!D$4:D$163,AZ$4:AZ$163,$AN166)</f>
        <v>7790.655394135767</v>
      </c>
      <c r="BH166" s="2">
        <f>求节点(节奏总纲!E$4:E$163,BA$4:BA$163,$AN166)</f>
        <v>24064.98410344524</v>
      </c>
      <c r="BI166" s="2">
        <f>求节点(节奏总纲!F$4:F$163,BB$4:BB$163,$AN166)</f>
        <v>74905.942879077236</v>
      </c>
      <c r="BJ166" s="2">
        <f>求节点(节奏总纲!G$4:G$163,BC$4:BC$163,$AN166)</f>
        <v>36095.896771988686</v>
      </c>
      <c r="BK166" s="2">
        <f>求节点(节奏总纲!H$4:H$163,BD$4:BD$163,$AN166)</f>
        <v>10814.12526531842</v>
      </c>
      <c r="BL166" s="2">
        <f>BG166*其他调用!H167*其他调用!$M167</f>
        <v>373659.7008216703</v>
      </c>
      <c r="BM166" s="2">
        <f>BH166*其他调用!I167*其他调用!$M167</f>
        <v>1138069.5262827771</v>
      </c>
      <c r="BN166" s="2">
        <f>BI166*其他调用!J167*其他调用!$M167</f>
        <v>289168.40106392308</v>
      </c>
      <c r="BO166" s="2">
        <f>BJ166*其他调用!K167*其他调用!$M167</f>
        <v>24790.517519414749</v>
      </c>
      <c r="BP166" s="2">
        <f>BK166*其他调用!L167*其他调用!$M167</f>
        <v>2148.9829727240758</v>
      </c>
      <c r="BQ166" s="2">
        <f t="shared" si="18"/>
        <v>1827837.1286605091</v>
      </c>
      <c r="BR166" s="2">
        <f>[1]服务器生态!$R165</f>
        <v>0.40277508366331644</v>
      </c>
      <c r="BS166" s="2" t="e">
        <f>SUMPRODUCT((BG$4:BG166)*($BR$4:$BR166)*(其他调用!#REF!))</f>
        <v>#REF!</v>
      </c>
      <c r="BT166" s="2" t="e">
        <f>SUMPRODUCT((BH$4:BH166)*($BR$4:$BR166)*(其他调用!#REF!))</f>
        <v>#REF!</v>
      </c>
      <c r="BU166" s="2" t="e">
        <f>SUMPRODUCT((BI$4:BI166)*($BR$4:$BR166)*(其他调用!#REF!))</f>
        <v>#REF!</v>
      </c>
      <c r="BV166" s="2" t="e">
        <f>SUMPRODUCT((BJ$4:BJ166)*($BR$4:$BR166)*(其他调用!#REF!))</f>
        <v>#REF!</v>
      </c>
      <c r="BW166" s="2" t="e">
        <f>SUMPRODUCT((BK$4:BK166)*($BR$4:$BR166)*(其他调用!#REF!))</f>
        <v>#REF!</v>
      </c>
      <c r="BX166" s="2" t="e">
        <f>SUMPRODUCT((BG$4:BG166)*($BR$4:$BR166))*'[1]功能-战损相关'!$D$2-BS166</f>
        <v>#REF!</v>
      </c>
      <c r="BY166" s="2" t="e">
        <f>SUMPRODUCT((BH$4:BH166)*($BR$4:$BR166))*'[1]功能-战损相关'!$D$2-BT166</f>
        <v>#REF!</v>
      </c>
      <c r="BZ166" s="2" t="e">
        <f>SUMPRODUCT((BI$4:BI166)*($BR$4:$BR166))*'[1]功能-战损相关'!$D$2-BU166</f>
        <v>#REF!</v>
      </c>
      <c r="CA166" s="2" t="e">
        <f>SUMPRODUCT((BJ$4:BJ166)*($BR$4:$BR166))*'[1]功能-战损相关'!$D$2-BV166</f>
        <v>#REF!</v>
      </c>
      <c r="CB166" s="2" t="e">
        <f>SUMPRODUCT((BK$4:BK166)*($BR$4:$BR166))*'[1]功能-战损相关'!$D$2-BW166</f>
        <v>#REF!</v>
      </c>
    </row>
    <row r="167" spans="27:80" x14ac:dyDescent="0.2">
      <c r="AN167" s="2">
        <v>164</v>
      </c>
      <c r="AO167" s="2">
        <f>求节点(节奏总纲!D$4:D$163,AH$4:AH$163,$AN167)*其他调用!H168*其他调用!$M168</f>
        <v>200837179.3669813</v>
      </c>
      <c r="AP167" s="2">
        <f>求节点(节奏总纲!E$4:E$163,AI$4:AI$163,$AN167)*其他调用!I168*其他调用!$M168</f>
        <v>225902815.10436651</v>
      </c>
      <c r="AQ167" s="2">
        <f>求节点(节奏总纲!F$4:F$163,AJ$4:AJ$163,$AN167)*其他调用!J168*其他调用!$M168</f>
        <v>22184629.975184914</v>
      </c>
      <c r="AR167" s="2">
        <f>求节点(节奏总纲!G$4:G$163,AK$4:AK$163,$AN167)*其他调用!K168*其他调用!$M168</f>
        <v>5559074.3925255742</v>
      </c>
      <c r="AS167" s="2">
        <f>求节点(节奏总纲!H$4:H$163,AL$4:AL$163,$AN167)*其他调用!L168*其他调用!$M168</f>
        <v>1998224.4546910378</v>
      </c>
      <c r="AT167" s="2">
        <f t="shared" si="17"/>
        <v>456481923.29374933</v>
      </c>
      <c r="BF167" s="2">
        <v>164</v>
      </c>
      <c r="BG167" s="2">
        <f>求节点(节奏总纲!D$4:D$163,AZ$4:AZ$163,$AN167)</f>
        <v>7797.6044568633497</v>
      </c>
      <c r="BH167" s="2">
        <f>求节点(节奏总纲!E$4:E$163,BA$4:BA$163,$AN167)</f>
        <v>24087.020977645883</v>
      </c>
      <c r="BI167" s="2">
        <f>求节点(节奏总纲!F$4:F$163,BB$4:BB$163,$AN167)</f>
        <v>74971.202846384753</v>
      </c>
      <c r="BJ167" s="2">
        <f>求节点(节奏总纲!G$4:G$163,BC$4:BC$163,$AN167)</f>
        <v>36127.012736889228</v>
      </c>
      <c r="BK167" s="2">
        <f>求节点(节奏总纲!H$4:H$163,BD$4:BD$163,$AN167)</f>
        <v>10820.390315997101</v>
      </c>
      <c r="BL167" s="2">
        <f>BG167*其他调用!H168*其他调用!$M168</f>
        <v>373992.99559193233</v>
      </c>
      <c r="BM167" s="2">
        <f>BH167*其他调用!I168*其他调用!$M168</f>
        <v>1139111.6834217336</v>
      </c>
      <c r="BN167" s="2">
        <f>BI167*其他调用!J168*其他调用!$M168</f>
        <v>289420.33194783516</v>
      </c>
      <c r="BO167" s="2">
        <f>BJ167*其他调用!K168*其他调用!$M168</f>
        <v>24811.88783964458</v>
      </c>
      <c r="BP167" s="2">
        <f>BK167*其他调用!L168*其他调用!$M168</f>
        <v>2150.227963594944</v>
      </c>
      <c r="BQ167" s="2">
        <f t="shared" si="18"/>
        <v>1829487.1267647406</v>
      </c>
      <c r="BR167" s="2">
        <f>[1]服务器生态!$R166</f>
        <v>0.370923820611823</v>
      </c>
      <c r="BS167" s="2" t="e">
        <f>SUMPRODUCT((BG$4:BG167)*($BR$4:$BR167)*(其他调用!#REF!))</f>
        <v>#REF!</v>
      </c>
      <c r="BT167" s="2" t="e">
        <f>SUMPRODUCT((BH$4:BH167)*($BR$4:$BR167)*(其他调用!#REF!))</f>
        <v>#REF!</v>
      </c>
      <c r="BU167" s="2" t="e">
        <f>SUMPRODUCT((BI$4:BI167)*($BR$4:$BR167)*(其他调用!#REF!))</f>
        <v>#REF!</v>
      </c>
      <c r="BV167" s="2" t="e">
        <f>SUMPRODUCT((BJ$4:BJ167)*($BR$4:$BR167)*(其他调用!#REF!))</f>
        <v>#REF!</v>
      </c>
      <c r="BW167" s="2" t="e">
        <f>SUMPRODUCT((BK$4:BK167)*($BR$4:$BR167)*(其他调用!#REF!))</f>
        <v>#REF!</v>
      </c>
      <c r="BX167" s="2" t="e">
        <f>SUMPRODUCT((BG$4:BG167)*($BR$4:$BR167))*'[1]功能-战损相关'!$D$2-BS167</f>
        <v>#REF!</v>
      </c>
      <c r="BY167" s="2" t="e">
        <f>SUMPRODUCT((BH$4:BH167)*($BR$4:$BR167))*'[1]功能-战损相关'!$D$2-BT167</f>
        <v>#REF!</v>
      </c>
      <c r="BZ167" s="2" t="e">
        <f>SUMPRODUCT((BI$4:BI167)*($BR$4:$BR167))*'[1]功能-战损相关'!$D$2-BU167</f>
        <v>#REF!</v>
      </c>
      <c r="CA167" s="2" t="e">
        <f>SUMPRODUCT((BJ$4:BJ167)*($BR$4:$BR167))*'[1]功能-战损相关'!$D$2-BV167</f>
        <v>#REF!</v>
      </c>
      <c r="CB167" s="2" t="e">
        <f>SUMPRODUCT((BK$4:BK167)*($BR$4:$BR167))*'[1]功能-战损相关'!$D$2-BW167</f>
        <v>#REF!</v>
      </c>
    </row>
    <row r="168" spans="27:80" x14ac:dyDescent="0.2">
      <c r="AN168" s="2">
        <v>165</v>
      </c>
      <c r="AO168" s="2">
        <f>求节点(节奏总纲!D$4:D$163,AH$4:AH$163,$AN168)*其他调用!H169*其他调用!$M169</f>
        <v>201462985.8593812</v>
      </c>
      <c r="AP168" s="2">
        <f>求节点(节奏总纲!E$4:E$163,AI$4:AI$163,$AN168)*其他调用!I169*其他调用!$M169</f>
        <v>226504821.03979295</v>
      </c>
      <c r="AQ168" s="2">
        <f>求节点(节奏总纲!F$4:F$163,AJ$4:AJ$163,$AN168)*其他调用!J169*其他调用!$M169</f>
        <v>22268463.809582911</v>
      </c>
      <c r="AR168" s="2">
        <f>求节点(节奏总纲!G$4:G$163,AK$4:AK$163,$AN168)*其他调用!K169*其他调用!$M169</f>
        <v>5570041.0780009916</v>
      </c>
      <c r="AS168" s="2">
        <f>求节点(节奏总纲!H$4:H$163,AL$4:AL$163,$AN168)*其他调用!L169*其他调用!$M169</f>
        <v>2001492.7642558687</v>
      </c>
      <c r="AT168" s="2">
        <f t="shared" si="17"/>
        <v>457807804.55101389</v>
      </c>
      <c r="BF168" s="2">
        <v>165</v>
      </c>
      <c r="BG168" s="2">
        <f>求节点(节奏总纲!D$4:D$163,AZ$4:AZ$163,$AN168)</f>
        <v>7804.5535195909324</v>
      </c>
      <c r="BH168" s="2">
        <f>求节点(节奏总纲!E$4:E$163,BA$4:BA$163,$AN168)</f>
        <v>24109.05785184653</v>
      </c>
      <c r="BI168" s="2">
        <f>求节点(节奏总纲!F$4:F$163,BB$4:BB$163,$AN168)</f>
        <v>75036.462813692255</v>
      </c>
      <c r="BJ168" s="2">
        <f>求节点(节奏总纲!G$4:G$163,BC$4:BC$163,$AN168)</f>
        <v>36158.128701789763</v>
      </c>
      <c r="BK168" s="2">
        <f>求节点(节奏总纲!H$4:H$163,BD$4:BD$163,$AN168)</f>
        <v>10826.655366675783</v>
      </c>
      <c r="BL168" s="2">
        <f>BG168*其他调用!H169*其他调用!$M169</f>
        <v>374326.29036219441</v>
      </c>
      <c r="BM168" s="2">
        <f>BH168*其他调用!I169*其他调用!$M169</f>
        <v>1140153.84056069</v>
      </c>
      <c r="BN168" s="2">
        <f>BI168*其他调用!J169*其他调用!$M169</f>
        <v>289672.2628317473</v>
      </c>
      <c r="BO168" s="2">
        <f>BJ168*其他调用!K169*其他调用!$M169</f>
        <v>24833.258159874411</v>
      </c>
      <c r="BP168" s="2">
        <f>BK168*其他调用!L169*其他调用!$M169</f>
        <v>2151.4729544658112</v>
      </c>
      <c r="BQ168" s="2">
        <f t="shared" si="18"/>
        <v>1831137.124868972</v>
      </c>
      <c r="BR168" s="2">
        <f>[1]服务器生态!$R167</f>
        <v>0.33907255756032961</v>
      </c>
      <c r="BS168" s="2" t="e">
        <f>SUMPRODUCT((BG$4:BG168)*($BR$4:$BR168)*(其他调用!#REF!))</f>
        <v>#REF!</v>
      </c>
      <c r="BT168" s="2" t="e">
        <f>SUMPRODUCT((BH$4:BH168)*($BR$4:$BR168)*(其他调用!#REF!))</f>
        <v>#REF!</v>
      </c>
      <c r="BU168" s="2" t="e">
        <f>SUMPRODUCT((BI$4:BI168)*($BR$4:$BR168)*(其他调用!#REF!))</f>
        <v>#REF!</v>
      </c>
      <c r="BV168" s="2" t="e">
        <f>SUMPRODUCT((BJ$4:BJ168)*($BR$4:$BR168)*(其他调用!#REF!))</f>
        <v>#REF!</v>
      </c>
      <c r="BW168" s="2" t="e">
        <f>SUMPRODUCT((BK$4:BK168)*($BR$4:$BR168)*(其他调用!#REF!))</f>
        <v>#REF!</v>
      </c>
      <c r="BX168" s="2" t="e">
        <f>SUMPRODUCT((BG$4:BG168)*($BR$4:$BR168))*'[1]功能-战损相关'!$D$2-BS168</f>
        <v>#REF!</v>
      </c>
      <c r="BY168" s="2" t="e">
        <f>SUMPRODUCT((BH$4:BH168)*($BR$4:$BR168))*'[1]功能-战损相关'!$D$2-BT168</f>
        <v>#REF!</v>
      </c>
      <c r="BZ168" s="2" t="e">
        <f>SUMPRODUCT((BI$4:BI168)*($BR$4:$BR168))*'[1]功能-战损相关'!$D$2-BU168</f>
        <v>#REF!</v>
      </c>
      <c r="CA168" s="2" t="e">
        <f>SUMPRODUCT((BJ$4:BJ168)*($BR$4:$BR168))*'[1]功能-战损相关'!$D$2-BV168</f>
        <v>#REF!</v>
      </c>
      <c r="CB168" s="2" t="e">
        <f>SUMPRODUCT((BK$4:BK168)*($BR$4:$BR168))*'[1]功能-战损相关'!$D$2-BW168</f>
        <v>#REF!</v>
      </c>
    </row>
    <row r="169" spans="27:80" x14ac:dyDescent="0.2">
      <c r="AN169" s="2">
        <v>166</v>
      </c>
      <c r="AO169" s="2">
        <f>求节点(节奏总纲!D$4:D$163,AH$4:AH$163,$AN169)*其他调用!H170*其他调用!$M170</f>
        <v>202088792.3517811</v>
      </c>
      <c r="AP169" s="2">
        <f>求节点(节奏总纲!E$4:E$163,AI$4:AI$163,$AN169)*其他调用!I170*其他调用!$M170</f>
        <v>227106826.97521943</v>
      </c>
      <c r="AQ169" s="2">
        <f>求节点(节奏总纲!F$4:F$163,AJ$4:AJ$163,$AN169)*其他调用!J170*其他调用!$M170</f>
        <v>22352297.643980909</v>
      </c>
      <c r="AR169" s="2">
        <f>求节点(节奏总纲!G$4:G$163,AK$4:AK$163,$AN169)*其他调用!K170*其他调用!$M170</f>
        <v>5581007.763476409</v>
      </c>
      <c r="AS169" s="2">
        <f>求节点(节奏总纲!H$4:H$163,AL$4:AL$163,$AN169)*其他调用!L170*其他调用!$M170</f>
        <v>2004761.0738206992</v>
      </c>
      <c r="AT169" s="2">
        <f t="shared" si="17"/>
        <v>459133685.80827856</v>
      </c>
      <c r="BF169" s="2">
        <v>166</v>
      </c>
      <c r="BG169" s="2">
        <f>求节点(节奏总纲!D$4:D$163,AZ$4:AZ$163,$AN169)</f>
        <v>7811.5025823185142</v>
      </c>
      <c r="BH169" s="2">
        <f>求节点(节奏总纲!E$4:E$163,BA$4:BA$163,$AN169)</f>
        <v>24131.094726047173</v>
      </c>
      <c r="BI169" s="2">
        <f>求节点(节奏总纲!F$4:F$163,BB$4:BB$163,$AN169)</f>
        <v>75101.722780999757</v>
      </c>
      <c r="BJ169" s="2">
        <f>求节点(节奏总纲!G$4:G$163,BC$4:BC$163,$AN169)</f>
        <v>36189.244666690298</v>
      </c>
      <c r="BK169" s="2">
        <f>求节点(节奏总纲!H$4:H$163,BD$4:BD$163,$AN169)</f>
        <v>10832.920417354466</v>
      </c>
      <c r="BL169" s="2">
        <f>BG169*其他调用!H170*其他调用!$M170</f>
        <v>374659.58513245644</v>
      </c>
      <c r="BM169" s="2">
        <f>BH169*其他调用!I170*其他调用!$M170</f>
        <v>1141195.9976996465</v>
      </c>
      <c r="BN169" s="2">
        <f>BI169*其他调用!J170*其他调用!$M170</f>
        <v>289924.19371565932</v>
      </c>
      <c r="BO169" s="2">
        <f>BJ169*其他调用!K170*其他调用!$M170</f>
        <v>24854.628480104235</v>
      </c>
      <c r="BP169" s="2">
        <f>BK169*其他调用!L170*其他调用!$M170</f>
        <v>2152.7179453366793</v>
      </c>
      <c r="BQ169" s="2">
        <f t="shared" si="18"/>
        <v>1832787.122973203</v>
      </c>
      <c r="BR169" s="2">
        <f>[1]服务器生态!$R168</f>
        <v>0.30722129450883617</v>
      </c>
      <c r="BS169" s="2" t="e">
        <f>SUMPRODUCT((BG$4:BG169)*($BR$4:$BR169)*(其他调用!#REF!))</f>
        <v>#REF!</v>
      </c>
      <c r="BT169" s="2" t="e">
        <f>SUMPRODUCT((BH$4:BH169)*($BR$4:$BR169)*(其他调用!#REF!))</f>
        <v>#REF!</v>
      </c>
      <c r="BU169" s="2" t="e">
        <f>SUMPRODUCT((BI$4:BI169)*($BR$4:$BR169)*(其他调用!#REF!))</f>
        <v>#REF!</v>
      </c>
      <c r="BV169" s="2" t="e">
        <f>SUMPRODUCT((BJ$4:BJ169)*($BR$4:$BR169)*(其他调用!#REF!))</f>
        <v>#REF!</v>
      </c>
      <c r="BW169" s="2" t="e">
        <f>SUMPRODUCT((BK$4:BK169)*($BR$4:$BR169)*(其他调用!#REF!))</f>
        <v>#REF!</v>
      </c>
      <c r="BX169" s="2" t="e">
        <f>SUMPRODUCT((BG$4:BG169)*($BR$4:$BR169))*'[1]功能-战损相关'!$D$2-BS169</f>
        <v>#REF!</v>
      </c>
      <c r="BY169" s="2" t="e">
        <f>SUMPRODUCT((BH$4:BH169)*($BR$4:$BR169))*'[1]功能-战损相关'!$D$2-BT169</f>
        <v>#REF!</v>
      </c>
      <c r="BZ169" s="2" t="e">
        <f>SUMPRODUCT((BI$4:BI169)*($BR$4:$BR169))*'[1]功能-战损相关'!$D$2-BU169</f>
        <v>#REF!</v>
      </c>
      <c r="CA169" s="2" t="e">
        <f>SUMPRODUCT((BJ$4:BJ169)*($BR$4:$BR169))*'[1]功能-战损相关'!$D$2-BV169</f>
        <v>#REF!</v>
      </c>
      <c r="CB169" s="2" t="e">
        <f>SUMPRODUCT((BK$4:BK169)*($BR$4:$BR169))*'[1]功能-战损相关'!$D$2-BW169</f>
        <v>#REF!</v>
      </c>
    </row>
    <row r="170" spans="27:80" x14ac:dyDescent="0.2">
      <c r="AN170" s="2">
        <v>167</v>
      </c>
      <c r="AO170" s="2">
        <f>求节点(节奏总纲!D$4:D$163,AH$4:AH$163,$AN170)*其他调用!H171*其他调用!$M171</f>
        <v>202714598.84418097</v>
      </c>
      <c r="AP170" s="2">
        <f>求节点(节奏总纲!E$4:E$163,AI$4:AI$163,$AN170)*其他调用!I171*其他调用!$M171</f>
        <v>227707964.05335805</v>
      </c>
      <c r="AQ170" s="2">
        <f>求节点(节奏总纲!F$4:F$163,AJ$4:AJ$163,$AN170)*其他调用!J171*其他调用!$M171</f>
        <v>22436131.478378907</v>
      </c>
      <c r="AR170" s="2">
        <f>求节点(节奏总纲!G$4:G$163,AK$4:AK$163,$AN170)*其他调用!K171*其他调用!$M171</f>
        <v>5591974.4489518264</v>
      </c>
      <c r="AS170" s="2">
        <f>求节点(节奏总纲!H$4:H$163,AL$4:AL$163,$AN170)*其他调用!L171*其他调用!$M171</f>
        <v>2008029.3833855307</v>
      </c>
      <c r="AT170" s="2">
        <f t="shared" si="17"/>
        <v>460458698.20825529</v>
      </c>
      <c r="BF170" s="2">
        <v>167</v>
      </c>
      <c r="BG170" s="2">
        <f>求节点(节奏总纲!D$4:D$163,AZ$4:AZ$163,$AN170)</f>
        <v>7818.4516450460969</v>
      </c>
      <c r="BH170" s="2">
        <f>求节点(节奏总纲!E$4:E$163,BA$4:BA$163,$AN170)</f>
        <v>24153.065362849469</v>
      </c>
      <c r="BI170" s="2">
        <f>求节点(节奏总纲!F$4:F$163,BB$4:BB$163,$AN170)</f>
        <v>75166.982748307259</v>
      </c>
      <c r="BJ170" s="2">
        <f>求节点(节奏总纲!G$4:G$163,BC$4:BC$163,$AN170)</f>
        <v>36220.360631590833</v>
      </c>
      <c r="BK170" s="2">
        <f>求节点(节奏总纲!H$4:H$163,BD$4:BD$163,$AN170)</f>
        <v>10839.185468033147</v>
      </c>
      <c r="BL170" s="2">
        <f>BG170*其他调用!H171*其他调用!$M171</f>
        <v>374992.87990271853</v>
      </c>
      <c r="BM170" s="2">
        <f>BH170*其他调用!I171*其他调用!$M171</f>
        <v>1142235.0223717692</v>
      </c>
      <c r="BN170" s="2">
        <f>BI170*其他调用!J171*其他调用!$M171</f>
        <v>290176.12459957146</v>
      </c>
      <c r="BO170" s="2">
        <f>BJ170*其他调用!K171*其他调用!$M171</f>
        <v>24875.998800334066</v>
      </c>
      <c r="BP170" s="2">
        <f>BK170*其他调用!L171*其他调用!$M171</f>
        <v>2153.9629362075466</v>
      </c>
      <c r="BQ170" s="2">
        <f t="shared" si="18"/>
        <v>1834433.9886106011</v>
      </c>
      <c r="BR170" s="2">
        <f>[1]服务器生态!$R169</f>
        <v>0.27537003145734273</v>
      </c>
      <c r="BS170" s="2" t="e">
        <f>SUMPRODUCT((BG$4:BG170)*($BR$4:$BR170)*(其他调用!#REF!))</f>
        <v>#REF!</v>
      </c>
      <c r="BT170" s="2" t="e">
        <f>SUMPRODUCT((BH$4:BH170)*($BR$4:$BR170)*(其他调用!#REF!))</f>
        <v>#REF!</v>
      </c>
      <c r="BU170" s="2" t="e">
        <f>SUMPRODUCT((BI$4:BI170)*($BR$4:$BR170)*(其他调用!#REF!))</f>
        <v>#REF!</v>
      </c>
      <c r="BV170" s="2" t="e">
        <f>SUMPRODUCT((BJ$4:BJ170)*($BR$4:$BR170)*(其他调用!#REF!))</f>
        <v>#REF!</v>
      </c>
      <c r="BW170" s="2" t="e">
        <f>SUMPRODUCT((BK$4:BK170)*($BR$4:$BR170)*(其他调用!#REF!))</f>
        <v>#REF!</v>
      </c>
      <c r="BX170" s="2" t="e">
        <f>SUMPRODUCT((BG$4:BG170)*($BR$4:$BR170))*'[1]功能-战损相关'!$D$2-BS170</f>
        <v>#REF!</v>
      </c>
      <c r="BY170" s="2" t="e">
        <f>SUMPRODUCT((BH$4:BH170)*($BR$4:$BR170))*'[1]功能-战损相关'!$D$2-BT170</f>
        <v>#REF!</v>
      </c>
      <c r="BZ170" s="2" t="e">
        <f>SUMPRODUCT((BI$4:BI170)*($BR$4:$BR170))*'[1]功能-战损相关'!$D$2-BU170</f>
        <v>#REF!</v>
      </c>
      <c r="CA170" s="2" t="e">
        <f>SUMPRODUCT((BJ$4:BJ170)*($BR$4:$BR170))*'[1]功能-战损相关'!$D$2-BV170</f>
        <v>#REF!</v>
      </c>
      <c r="CB170" s="2" t="e">
        <f>SUMPRODUCT((BK$4:BK170)*($BR$4:$BR170))*'[1]功能-战损相关'!$D$2-BW170</f>
        <v>#REF!</v>
      </c>
    </row>
    <row r="171" spans="27:80" x14ac:dyDescent="0.2">
      <c r="AN171" s="2">
        <v>168</v>
      </c>
      <c r="AO171" s="2">
        <f>求节点(节奏总纲!D$4:D$163,AH$4:AH$163,$AN171)*其他调用!H172*其他调用!$M172</f>
        <v>203337590.99591854</v>
      </c>
      <c r="AP171" s="2">
        <f>求节点(节奏总纲!E$4:E$163,AI$4:AI$163,$AN171)*其他调用!I172*其他调用!$M172</f>
        <v>228275977.91369501</v>
      </c>
      <c r="AQ171" s="2">
        <f>求节点(节奏总纲!F$4:F$163,AJ$4:AJ$163,$AN171)*其他调用!J172*其他调用!$M172</f>
        <v>22519965.312776905</v>
      </c>
      <c r="AR171" s="2">
        <f>求节点(节奏总纲!G$4:G$163,AK$4:AK$163,$AN171)*其他调用!K172*其他调用!$M172</f>
        <v>5602941.1344272448</v>
      </c>
      <c r="AS171" s="2">
        <f>求节点(节奏总纲!H$4:H$163,AL$4:AL$163,$AN171)*其他调用!L172*其他调用!$M172</f>
        <v>2011297.6929503616</v>
      </c>
      <c r="AT171" s="2">
        <f t="shared" si="17"/>
        <v>461747773.04976809</v>
      </c>
      <c r="BF171" s="2">
        <v>168</v>
      </c>
      <c r="BG171" s="2">
        <f>求节点(节奏总纲!D$4:D$163,AZ$4:AZ$163,$AN171)</f>
        <v>7825.3860734230302</v>
      </c>
      <c r="BH171" s="2">
        <f>求节点(节奏总纲!E$4:E$163,BA$4:BA$163,$AN171)</f>
        <v>24172.510848740541</v>
      </c>
      <c r="BI171" s="2">
        <f>求节点(节奏总纲!F$4:F$163,BB$4:BB$163,$AN171)</f>
        <v>75232.242715614761</v>
      </c>
      <c r="BJ171" s="2">
        <f>求节点(节奏总纲!G$4:G$163,BC$4:BC$163,$AN171)</f>
        <v>36251.476596491375</v>
      </c>
      <c r="BK171" s="2">
        <f>求节点(节奏总纲!H$4:H$163,BD$4:BD$163,$AN171)</f>
        <v>10845.45051871183</v>
      </c>
      <c r="BL171" s="2">
        <f>BG171*其他调用!H172*其他调用!$M172</f>
        <v>375325.47277220222</v>
      </c>
      <c r="BM171" s="2">
        <f>BH171*其他调用!I172*其他调用!$M172</f>
        <v>1143154.6288348886</v>
      </c>
      <c r="BN171" s="2">
        <f>BI171*其他调用!J172*其他调用!$M172</f>
        <v>290428.05548348353</v>
      </c>
      <c r="BO171" s="2">
        <f>BJ171*其他调用!K172*其他调用!$M172</f>
        <v>24897.369120563897</v>
      </c>
      <c r="BP171" s="2">
        <f>BK171*其他调用!L172*其他调用!$M172</f>
        <v>2155.2079270784143</v>
      </c>
      <c r="BQ171" s="2">
        <f t="shared" si="18"/>
        <v>1835960.7341382166</v>
      </c>
      <c r="BR171" s="2">
        <f>[1]服务器生态!$R170</f>
        <v>0.2435187684058493</v>
      </c>
      <c r="BS171" s="2" t="e">
        <f>SUMPRODUCT((BG$4:BG171)*($BR$4:$BR171)*(其他调用!#REF!))</f>
        <v>#REF!</v>
      </c>
      <c r="BT171" s="2" t="e">
        <f>SUMPRODUCT((BH$4:BH171)*($BR$4:$BR171)*(其他调用!#REF!))</f>
        <v>#REF!</v>
      </c>
      <c r="BU171" s="2" t="e">
        <f>SUMPRODUCT((BI$4:BI171)*($BR$4:$BR171)*(其他调用!#REF!))</f>
        <v>#REF!</v>
      </c>
      <c r="BV171" s="2" t="e">
        <f>SUMPRODUCT((BJ$4:BJ171)*($BR$4:$BR171)*(其他调用!#REF!))</f>
        <v>#REF!</v>
      </c>
      <c r="BW171" s="2" t="e">
        <f>SUMPRODUCT((BK$4:BK171)*($BR$4:$BR171)*(其他调用!#REF!))</f>
        <v>#REF!</v>
      </c>
      <c r="BX171" s="2" t="e">
        <f>SUMPRODUCT((BG$4:BG171)*($BR$4:$BR171))*'[1]功能-战损相关'!$D$2-BS171</f>
        <v>#REF!</v>
      </c>
      <c r="BY171" s="2" t="e">
        <f>SUMPRODUCT((BH$4:BH171)*($BR$4:$BR171))*'[1]功能-战损相关'!$D$2-BT171</f>
        <v>#REF!</v>
      </c>
      <c r="BZ171" s="2" t="e">
        <f>SUMPRODUCT((BI$4:BI171)*($BR$4:$BR171))*'[1]功能-战损相关'!$D$2-BU171</f>
        <v>#REF!</v>
      </c>
      <c r="CA171" s="2" t="e">
        <f>SUMPRODUCT((BJ$4:BJ171)*($BR$4:$BR171))*'[1]功能-战损相关'!$D$2-BV171</f>
        <v>#REF!</v>
      </c>
      <c r="CB171" s="2" t="e">
        <f>SUMPRODUCT((BK$4:BK171)*($BR$4:$BR171))*'[1]功能-战损相关'!$D$2-BW171</f>
        <v>#REF!</v>
      </c>
    </row>
    <row r="172" spans="27:80" x14ac:dyDescent="0.2">
      <c r="AN172" s="2">
        <v>169</v>
      </c>
      <c r="AO172" s="2">
        <f>求节点(节奏总纲!D$4:D$163,AH$4:AH$163,$AN172)*其他调用!H173*其他调用!$M173</f>
        <v>203936070.45523903</v>
      </c>
      <c r="AP172" s="2">
        <f>求节点(节奏总纲!E$4:E$163,AI$4:AI$163,$AN172)*其他调用!I173*其他调用!$M173</f>
        <v>228843991.77403194</v>
      </c>
      <c r="AQ172" s="2">
        <f>求节点(节奏总纲!F$4:F$163,AJ$4:AJ$163,$AN172)*其他调用!J173*其他调用!$M173</f>
        <v>22604365.674486428</v>
      </c>
      <c r="AR172" s="2">
        <f>求节点(节奏总纲!G$4:G$163,AK$4:AK$163,$AN172)*其他调用!K173*其他调用!$M173</f>
        <v>5613907.8199026622</v>
      </c>
      <c r="AS172" s="2">
        <f>求节点(节奏总纲!H$4:H$163,AL$4:AL$163,$AN172)*其他调用!L173*其他调用!$M173</f>
        <v>2014333.1942502332</v>
      </c>
      <c r="AT172" s="2">
        <f t="shared" si="17"/>
        <v>463012668.91791022</v>
      </c>
      <c r="BF172" s="2">
        <v>169</v>
      </c>
      <c r="BG172" s="2">
        <f>求节点(节奏总纲!D$4:D$163,AZ$4:AZ$163,$AN172)</f>
        <v>7832.1930377225026</v>
      </c>
      <c r="BH172" s="2">
        <f>求节点(节奏总纲!E$4:E$163,BA$4:BA$163,$AN172)</f>
        <v>24191.956334631614</v>
      </c>
      <c r="BI172" s="2">
        <f>求节点(节奏总纲!F$4:F$163,BB$4:BB$163,$AN172)</f>
        <v>75295.79050301644</v>
      </c>
      <c r="BJ172" s="2">
        <f>求节点(节奏总纲!G$4:G$163,BC$4:BC$163,$AN172)</f>
        <v>36282.59256139191</v>
      </c>
      <c r="BK172" s="2">
        <f>求节点(节奏总纲!H$4:H$163,BD$4:BD$163,$AN172)</f>
        <v>10851.690166053917</v>
      </c>
      <c r="BL172" s="2">
        <f>BG172*其他调用!H173*其他调用!$M173</f>
        <v>375651.9521394656</v>
      </c>
      <c r="BM172" s="2">
        <f>BH172*其他调用!I173*其他调用!$M173</f>
        <v>1144074.2352980077</v>
      </c>
      <c r="BN172" s="2">
        <f>BI172*其他调用!J173*其他调用!$M173</f>
        <v>290673.37663381943</v>
      </c>
      <c r="BO172" s="2">
        <f>BJ172*其他调用!K173*其他调用!$M173</f>
        <v>24918.739440793724</v>
      </c>
      <c r="BP172" s="2">
        <f>BK172*其他调用!L173*其他调用!$M173</f>
        <v>2156.447869798234</v>
      </c>
      <c r="BQ172" s="2">
        <f t="shared" si="18"/>
        <v>1837474.7513818846</v>
      </c>
      <c r="BR172" s="2">
        <f>[1]服务器生态!$R171</f>
        <v>0.21166750535435586</v>
      </c>
      <c r="BS172" s="2" t="e">
        <f>SUMPRODUCT((BG$4:BG172)*($BR$4:$BR172)*(其他调用!#REF!))</f>
        <v>#REF!</v>
      </c>
      <c r="BT172" s="2" t="e">
        <f>SUMPRODUCT((BH$4:BH172)*($BR$4:$BR172)*(其他调用!#REF!))</f>
        <v>#REF!</v>
      </c>
      <c r="BU172" s="2" t="e">
        <f>SUMPRODUCT((BI$4:BI172)*($BR$4:$BR172)*(其他调用!#REF!))</f>
        <v>#REF!</v>
      </c>
      <c r="BV172" s="2" t="e">
        <f>SUMPRODUCT((BJ$4:BJ172)*($BR$4:$BR172)*(其他调用!#REF!))</f>
        <v>#REF!</v>
      </c>
      <c r="BW172" s="2" t="e">
        <f>SUMPRODUCT((BK$4:BK172)*($BR$4:$BR172)*(其他调用!#REF!))</f>
        <v>#REF!</v>
      </c>
      <c r="BX172" s="2" t="e">
        <f>SUMPRODUCT((BG$4:BG172)*($BR$4:$BR172))*'[1]功能-战损相关'!$D$2-BS172</f>
        <v>#REF!</v>
      </c>
      <c r="BY172" s="2" t="e">
        <f>SUMPRODUCT((BH$4:BH172)*($BR$4:$BR172))*'[1]功能-战损相关'!$D$2-BT172</f>
        <v>#REF!</v>
      </c>
      <c r="BZ172" s="2" t="e">
        <f>SUMPRODUCT((BI$4:BI172)*($BR$4:$BR172))*'[1]功能-战损相关'!$D$2-BU172</f>
        <v>#REF!</v>
      </c>
      <c r="CA172" s="2" t="e">
        <f>SUMPRODUCT((BJ$4:BJ172)*($BR$4:$BR172))*'[1]功能-战损相关'!$D$2-BV172</f>
        <v>#REF!</v>
      </c>
      <c r="CB172" s="2" t="e">
        <f>SUMPRODUCT((BK$4:BK172)*($BR$4:$BR172))*'[1]功能-战损相关'!$D$2-BW172</f>
        <v>#REF!</v>
      </c>
    </row>
    <row r="173" spans="27:80" x14ac:dyDescent="0.2">
      <c r="AN173" s="2">
        <v>170</v>
      </c>
      <c r="AO173" s="2">
        <f>求节点(节奏总纲!D$4:D$163,AH$4:AH$163,$AN173)*其他调用!H174*其他调用!$M174</f>
        <v>204534549.91455954</v>
      </c>
      <c r="AP173" s="2">
        <f>求节点(节奏总纲!E$4:E$163,AI$4:AI$163,$AN173)*其他调用!I174*其他调用!$M174</f>
        <v>229412005.63436896</v>
      </c>
      <c r="AQ173" s="2">
        <f>求节点(节奏总纲!F$4:F$163,AJ$4:AJ$163,$AN173)*其他调用!J174*其他调用!$M174</f>
        <v>22690340.277613427</v>
      </c>
      <c r="AR173" s="2">
        <f>求节点(节奏总纲!G$4:G$163,AK$4:AK$163,$AN173)*其他调用!K174*其他调用!$M174</f>
        <v>5624874.5053780796</v>
      </c>
      <c r="AS173" s="2">
        <f>求节点(节奏总纲!H$4:H$163,AL$4:AL$163,$AN173)*其他调用!L174*其他调用!$M174</f>
        <v>2017243.3158440213</v>
      </c>
      <c r="AT173" s="2">
        <f t="shared" si="17"/>
        <v>464279013.64776397</v>
      </c>
      <c r="BF173" s="2">
        <v>170</v>
      </c>
      <c r="BG173" s="2">
        <f>求节点(节奏总纲!D$4:D$163,AZ$4:AZ$163,$AN173)</f>
        <v>7839.000002021975</v>
      </c>
      <c r="BH173" s="2">
        <f>求节点(节奏总纲!E$4:E$163,BA$4:BA$163,$AN173)</f>
        <v>24211.401820522686</v>
      </c>
      <c r="BI173" s="2">
        <f>求节点(节奏总纲!F$4:F$163,BB$4:BB$163,$AN173)</f>
        <v>75354.580559471957</v>
      </c>
      <c r="BJ173" s="2">
        <f>求节点(节奏总纲!G$4:G$163,BC$4:BC$163,$AN173)</f>
        <v>36313.708526292445</v>
      </c>
      <c r="BK173" s="2">
        <f>求节点(节奏总纲!H$4:H$163,BD$4:BD$163,$AN173)</f>
        <v>10857.916132340151</v>
      </c>
      <c r="BL173" s="2">
        <f>BG173*其他调用!H174*其他调用!$M174</f>
        <v>375978.43150672904</v>
      </c>
      <c r="BM173" s="2">
        <f>BH173*其他调用!I174*其他调用!$M174</f>
        <v>1144993.8417611271</v>
      </c>
      <c r="BN173" s="2">
        <f>BI173*其他调用!J174*其他调用!$M174</f>
        <v>290900.33094438922</v>
      </c>
      <c r="BO173" s="2">
        <f>BJ173*其他调用!K174*其他调用!$M174</f>
        <v>24940.109761023552</v>
      </c>
      <c r="BP173" s="2">
        <f>BK173*其他调用!L174*其他调用!$M174</f>
        <v>2157.6850938186349</v>
      </c>
      <c r="BQ173" s="2">
        <f t="shared" si="18"/>
        <v>1838970.3990670878</v>
      </c>
      <c r="BR173" s="2">
        <f>[1]服务器生态!$R172</f>
        <v>0.17981624230286242</v>
      </c>
      <c r="BS173" s="2" t="e">
        <f>SUMPRODUCT((BG$4:BG173)*($BR$4:$BR173)*(其他调用!#REF!))</f>
        <v>#REF!</v>
      </c>
      <c r="BT173" s="2" t="e">
        <f>SUMPRODUCT((BH$4:BH173)*($BR$4:$BR173)*(其他调用!#REF!))</f>
        <v>#REF!</v>
      </c>
      <c r="BU173" s="2" t="e">
        <f>SUMPRODUCT((BI$4:BI173)*($BR$4:$BR173)*(其他调用!#REF!))</f>
        <v>#REF!</v>
      </c>
      <c r="BV173" s="2" t="e">
        <f>SUMPRODUCT((BJ$4:BJ173)*($BR$4:$BR173)*(其他调用!#REF!))</f>
        <v>#REF!</v>
      </c>
      <c r="BW173" s="2" t="e">
        <f>SUMPRODUCT((BK$4:BK173)*($BR$4:$BR173)*(其他调用!#REF!))</f>
        <v>#REF!</v>
      </c>
      <c r="BX173" s="2" t="e">
        <f>SUMPRODUCT((BG$4:BG173)*($BR$4:$BR173))*'[1]功能-战损相关'!$D$2-BS173</f>
        <v>#REF!</v>
      </c>
      <c r="BY173" s="2" t="e">
        <f>SUMPRODUCT((BH$4:BH173)*($BR$4:$BR173))*'[1]功能-战损相关'!$D$2-BT173</f>
        <v>#REF!</v>
      </c>
      <c r="BZ173" s="2" t="e">
        <f>SUMPRODUCT((BI$4:BI173)*($BR$4:$BR173))*'[1]功能-战损相关'!$D$2-BU173</f>
        <v>#REF!</v>
      </c>
      <c r="CA173" s="2" t="e">
        <f>SUMPRODUCT((BJ$4:BJ173)*($BR$4:$BR173))*'[1]功能-战损相关'!$D$2-BV173</f>
        <v>#REF!</v>
      </c>
      <c r="CB173" s="2" t="e">
        <f>SUMPRODUCT((BK$4:BK173)*($BR$4:$BR173))*'[1]功能-战损相关'!$D$2-BW173</f>
        <v>#REF!</v>
      </c>
    </row>
    <row r="174" spans="27:80" x14ac:dyDescent="0.2">
      <c r="AN174" s="2">
        <v>171</v>
      </c>
      <c r="AO174" s="2">
        <f>求节点(节奏总纲!D$4:D$163,AH$4:AH$163,$AN174)*其他调用!H175*其他调用!$M175</f>
        <v>205133029.37388</v>
      </c>
      <c r="AP174" s="2">
        <f>求节点(节奏总纲!E$4:E$163,AI$4:AI$163,$AN174)*其他调用!I175*其他调用!$M175</f>
        <v>229980019.49470592</v>
      </c>
      <c r="AQ174" s="2">
        <f>求节点(节奏总纲!F$4:F$163,AJ$4:AJ$163,$AN174)*其他调用!J175*其他调用!$M175</f>
        <v>22776314.880740415</v>
      </c>
      <c r="AR174" s="2">
        <f>求节点(节奏总纲!G$4:G$163,AK$4:AK$163,$AN174)*其他调用!K175*其他调用!$M175</f>
        <v>5635841.190853497</v>
      </c>
      <c r="AS174" s="2">
        <f>求节点(节奏总纲!H$4:H$163,AL$4:AL$163,$AN174)*其他调用!L175*其他调用!$M175</f>
        <v>2020153.4374378093</v>
      </c>
      <c r="AT174" s="2">
        <f t="shared" si="17"/>
        <v>465545358.37761766</v>
      </c>
      <c r="BF174" s="2">
        <v>171</v>
      </c>
      <c r="BG174" s="2">
        <f>求节点(节奏总纲!D$4:D$163,AZ$4:AZ$163,$AN174)</f>
        <v>7845.8069663214465</v>
      </c>
      <c r="BH174" s="2">
        <f>求节点(节奏总纲!E$4:E$163,BA$4:BA$163,$AN174)</f>
        <v>24230.847306413758</v>
      </c>
      <c r="BI174" s="2">
        <f>求节点(节奏总纲!F$4:F$163,BB$4:BB$163,$AN174)</f>
        <v>75413.370615927488</v>
      </c>
      <c r="BJ174" s="2">
        <f>求节点(节奏总纲!G$4:G$163,BC$4:BC$163,$AN174)</f>
        <v>36344.82449119298</v>
      </c>
      <c r="BK174" s="2">
        <f>求节点(节奏总纲!H$4:H$163,BD$4:BD$163,$AN174)</f>
        <v>10864.142098626386</v>
      </c>
      <c r="BL174" s="2">
        <f>BG174*其他调用!H175*其他调用!$M175</f>
        <v>376304.91087399243</v>
      </c>
      <c r="BM174" s="2">
        <f>BH174*其他调用!I175*其他调用!$M175</f>
        <v>1145913.4482242463</v>
      </c>
      <c r="BN174" s="2">
        <f>BI174*其他调用!J175*其他调用!$M175</f>
        <v>291127.28525495902</v>
      </c>
      <c r="BO174" s="2">
        <f>BJ174*其他调用!K175*其他调用!$M175</f>
        <v>24961.480081253383</v>
      </c>
      <c r="BP174" s="2">
        <f>BK174*其他调用!L175*其他调用!$M175</f>
        <v>2158.9223178390353</v>
      </c>
      <c r="BQ174" s="2">
        <f t="shared" si="18"/>
        <v>1840466.0467522901</v>
      </c>
      <c r="BR174" s="2">
        <f>[1]服务器生态!$R173</f>
        <v>0.14796497925136898</v>
      </c>
      <c r="BS174" s="2" t="e">
        <f>SUMPRODUCT((BG$4:BG174)*($BR$4:$BR174)*(其他调用!#REF!))</f>
        <v>#REF!</v>
      </c>
      <c r="BT174" s="2" t="e">
        <f>SUMPRODUCT((BH$4:BH174)*($BR$4:$BR174)*(其他调用!#REF!))</f>
        <v>#REF!</v>
      </c>
      <c r="BU174" s="2" t="e">
        <f>SUMPRODUCT((BI$4:BI174)*($BR$4:$BR174)*(其他调用!#REF!))</f>
        <v>#REF!</v>
      </c>
      <c r="BV174" s="2" t="e">
        <f>SUMPRODUCT((BJ$4:BJ174)*($BR$4:$BR174)*(其他调用!#REF!))</f>
        <v>#REF!</v>
      </c>
      <c r="BW174" s="2" t="e">
        <f>SUMPRODUCT((BK$4:BK174)*($BR$4:$BR174)*(其他调用!#REF!))</f>
        <v>#REF!</v>
      </c>
      <c r="BX174" s="2" t="e">
        <f>SUMPRODUCT((BG$4:BG174)*($BR$4:$BR174))*'[1]功能-战损相关'!$D$2-BS174</f>
        <v>#REF!</v>
      </c>
      <c r="BY174" s="2" t="e">
        <f>SUMPRODUCT((BH$4:BH174)*($BR$4:$BR174))*'[1]功能-战损相关'!$D$2-BT174</f>
        <v>#REF!</v>
      </c>
      <c r="BZ174" s="2" t="e">
        <f>SUMPRODUCT((BI$4:BI174)*($BR$4:$BR174))*'[1]功能-战损相关'!$D$2-BU174</f>
        <v>#REF!</v>
      </c>
      <c r="CA174" s="2" t="e">
        <f>SUMPRODUCT((BJ$4:BJ174)*($BR$4:$BR174))*'[1]功能-战损相关'!$D$2-BV174</f>
        <v>#REF!</v>
      </c>
      <c r="CB174" s="2" t="e">
        <f>SUMPRODUCT((BK$4:BK174)*($BR$4:$BR174))*'[1]功能-战损相关'!$D$2-BW174</f>
        <v>#REF!</v>
      </c>
    </row>
    <row r="175" spans="27:80" x14ac:dyDescent="0.2">
      <c r="AN175" s="2">
        <v>172</v>
      </c>
      <c r="AO175" s="2">
        <f>求节点(节奏总纲!D$4:D$163,AH$4:AH$163,$AN175)*其他调用!H176*其他调用!$M176</f>
        <v>205731508.83320048</v>
      </c>
      <c r="AP175" s="2">
        <f>求节点(节奏总纲!E$4:E$163,AI$4:AI$163,$AN175)*其他调用!I176*其他调用!$M176</f>
        <v>230548033.3550429</v>
      </c>
      <c r="AQ175" s="2">
        <f>求节点(节奏总纲!F$4:F$163,AJ$4:AJ$163,$AN175)*其他调用!J176*其他调用!$M176</f>
        <v>22862289.483867407</v>
      </c>
      <c r="AR175" s="2">
        <f>求节点(节奏总纲!G$4:G$163,AK$4:AK$163,$AN175)*其他调用!K176*其他调用!$M176</f>
        <v>5646807.8763289154</v>
      </c>
      <c r="AS175" s="2">
        <f>求节点(节奏总纲!H$4:H$163,AL$4:AL$163,$AN175)*其他调用!L176*其他调用!$M176</f>
        <v>2023063.5590315971</v>
      </c>
      <c r="AT175" s="2">
        <f t="shared" si="17"/>
        <v>466811703.10747135</v>
      </c>
      <c r="BF175" s="2">
        <v>172</v>
      </c>
      <c r="BG175" s="2">
        <f>求节点(节奏总纲!D$4:D$163,AZ$4:AZ$163,$AN175)</f>
        <v>7852.6139306209188</v>
      </c>
      <c r="BH175" s="2">
        <f>求节点(节奏总纲!E$4:E$163,BA$4:BA$163,$AN175)</f>
        <v>24250.29279230483</v>
      </c>
      <c r="BI175" s="2">
        <f>求节点(节奏总纲!F$4:F$163,BB$4:BB$163,$AN175)</f>
        <v>75472.160672383019</v>
      </c>
      <c r="BJ175" s="2">
        <f>求节点(节奏总纲!G$4:G$163,BC$4:BC$163,$AN175)</f>
        <v>36375.940456093522</v>
      </c>
      <c r="BK175" s="2">
        <f>求节点(节奏总纲!H$4:H$163,BD$4:BD$163,$AN175)</f>
        <v>10870.36806491262</v>
      </c>
      <c r="BL175" s="2">
        <f>BG175*其他调用!H176*其他调用!$M176</f>
        <v>376631.39024125581</v>
      </c>
      <c r="BM175" s="2">
        <f>BH175*其他调用!I176*其他调用!$M176</f>
        <v>1146833.0546873657</v>
      </c>
      <c r="BN175" s="2">
        <f>BI175*其他调用!J176*其他调用!$M176</f>
        <v>291354.23956552893</v>
      </c>
      <c r="BO175" s="2">
        <f>BJ175*其他调用!K176*其他调用!$M176</f>
        <v>24982.850401483214</v>
      </c>
      <c r="BP175" s="2">
        <f>BK175*其他调用!L176*其他调用!$M176</f>
        <v>2160.1595418594356</v>
      </c>
      <c r="BQ175" s="2">
        <f t="shared" si="18"/>
        <v>1841961.6944374931</v>
      </c>
      <c r="BR175" s="2">
        <f>[1]服务器生态!$R174</f>
        <v>0.12918576198811574</v>
      </c>
      <c r="BS175" s="2" t="e">
        <f>SUMPRODUCT((BG$4:BG175)*($BR$4:$BR175)*(其他调用!#REF!))</f>
        <v>#REF!</v>
      </c>
      <c r="BT175" s="2" t="e">
        <f>SUMPRODUCT((BH$4:BH175)*($BR$4:$BR175)*(其他调用!#REF!))</f>
        <v>#REF!</v>
      </c>
      <c r="BU175" s="2" t="e">
        <f>SUMPRODUCT((BI$4:BI175)*($BR$4:$BR175)*(其他调用!#REF!))</f>
        <v>#REF!</v>
      </c>
      <c r="BV175" s="2" t="e">
        <f>SUMPRODUCT((BJ$4:BJ175)*($BR$4:$BR175)*(其他调用!#REF!))</f>
        <v>#REF!</v>
      </c>
      <c r="BW175" s="2" t="e">
        <f>SUMPRODUCT((BK$4:BK175)*($BR$4:$BR175)*(其他调用!#REF!))</f>
        <v>#REF!</v>
      </c>
      <c r="BX175" s="2" t="e">
        <f>SUMPRODUCT((BG$4:BG175)*($BR$4:$BR175))*'[1]功能-战损相关'!$D$2-BS175</f>
        <v>#REF!</v>
      </c>
      <c r="BY175" s="2" t="e">
        <f>SUMPRODUCT((BH$4:BH175)*($BR$4:$BR175))*'[1]功能-战损相关'!$D$2-BT175</f>
        <v>#REF!</v>
      </c>
      <c r="BZ175" s="2" t="e">
        <f>SUMPRODUCT((BI$4:BI175)*($BR$4:$BR175))*'[1]功能-战损相关'!$D$2-BU175</f>
        <v>#REF!</v>
      </c>
      <c r="CA175" s="2" t="e">
        <f>SUMPRODUCT((BJ$4:BJ175)*($BR$4:$BR175))*'[1]功能-战损相关'!$D$2-BV175</f>
        <v>#REF!</v>
      </c>
      <c r="CB175" s="2" t="e">
        <f>SUMPRODUCT((BK$4:BK175)*($BR$4:$BR175))*'[1]功能-战损相关'!$D$2-BW175</f>
        <v>#REF!</v>
      </c>
    </row>
    <row r="176" spans="27:80" x14ac:dyDescent="0.2">
      <c r="AN176" s="2">
        <v>173</v>
      </c>
      <c r="AO176" s="2">
        <f>求节点(节奏总纲!D$4:D$163,AH$4:AH$163,$AN176)*其他调用!H177*其他调用!$M177</f>
        <v>206329988.29252094</v>
      </c>
      <c r="AP176" s="2">
        <f>求节点(节奏总纲!E$4:E$163,AI$4:AI$163,$AN176)*其他调用!I177*其他调用!$M177</f>
        <v>231116047.21537986</v>
      </c>
      <c r="AQ176" s="2">
        <f>求节点(节奏总纲!F$4:F$163,AJ$4:AJ$163,$AN176)*其他调用!J177*其他调用!$M177</f>
        <v>22948264.086994398</v>
      </c>
      <c r="AR176" s="2">
        <f>求节点(节奏总纲!G$4:G$163,AK$4:AK$163,$AN176)*其他调用!K177*其他调用!$M177</f>
        <v>5657675.8710249038</v>
      </c>
      <c r="AS176" s="2">
        <f>求节点(节奏总纲!H$4:H$163,AL$4:AL$163,$AN176)*其他调用!L177*其他调用!$M177</f>
        <v>2025973.6806253856</v>
      </c>
      <c r="AT176" s="2">
        <f t="shared" si="17"/>
        <v>468077949.14654553</v>
      </c>
      <c r="BF176" s="2">
        <v>173</v>
      </c>
      <c r="BG176" s="2">
        <f>求节点(节奏总纲!D$4:D$163,AZ$4:AZ$163,$AN176)</f>
        <v>7859.4208949203912</v>
      </c>
      <c r="BH176" s="2">
        <f>求节点(节奏总纲!E$4:E$163,BA$4:BA$163,$AN176)</f>
        <v>24269.738278195902</v>
      </c>
      <c r="BI176" s="2">
        <f>求节点(节奏总纲!F$4:F$163,BB$4:BB$163,$AN176)</f>
        <v>75530.95072883855</v>
      </c>
      <c r="BJ176" s="2">
        <f>求节点(节奏总纲!G$4:G$163,BC$4:BC$163,$AN176)</f>
        <v>36406.943925913947</v>
      </c>
      <c r="BK176" s="2">
        <f>求节点(节奏总纲!H$4:H$163,BD$4:BD$163,$AN176)</f>
        <v>10876.594031198856</v>
      </c>
      <c r="BL176" s="2">
        <f>BG176*其他调用!H177*其他调用!$M177</f>
        <v>376957.86960851919</v>
      </c>
      <c r="BM176" s="2">
        <f>BH176*其他调用!I177*其他调用!$M177</f>
        <v>1147752.6611504848</v>
      </c>
      <c r="BN176" s="2">
        <f>BI176*其他调用!J177*其他调用!$M177</f>
        <v>291581.19387609873</v>
      </c>
      <c r="BO176" s="2">
        <f>BJ176*其他调用!K177*其他调用!$M177</f>
        <v>25004.143460542004</v>
      </c>
      <c r="BP176" s="2">
        <f>BK176*其他调用!L177*其他调用!$M177</f>
        <v>2161.396765879836</v>
      </c>
      <c r="BQ176" s="2">
        <f t="shared" si="18"/>
        <v>1843457.2648615246</v>
      </c>
      <c r="BR176" s="2">
        <f>[1]服务器生态!$R175</f>
        <v>0.1234785905131027</v>
      </c>
      <c r="BS176" s="2" t="e">
        <f>SUMPRODUCT((BG$4:BG176)*($BR$4:$BR176)*(其他调用!#REF!))</f>
        <v>#REF!</v>
      </c>
      <c r="BT176" s="2" t="e">
        <f>SUMPRODUCT((BH$4:BH176)*($BR$4:$BR176)*(其他调用!#REF!))</f>
        <v>#REF!</v>
      </c>
      <c r="BU176" s="2" t="e">
        <f>SUMPRODUCT((BI$4:BI176)*($BR$4:$BR176)*(其他调用!#REF!))</f>
        <v>#REF!</v>
      </c>
      <c r="BV176" s="2" t="e">
        <f>SUMPRODUCT((BJ$4:BJ176)*($BR$4:$BR176)*(其他调用!#REF!))</f>
        <v>#REF!</v>
      </c>
      <c r="BW176" s="2" t="e">
        <f>SUMPRODUCT((BK$4:BK176)*($BR$4:$BR176)*(其他调用!#REF!))</f>
        <v>#REF!</v>
      </c>
      <c r="BX176" s="2" t="e">
        <f>SUMPRODUCT((BG$4:BG176)*($BR$4:$BR176))*'[1]功能-战损相关'!$D$2-BS176</f>
        <v>#REF!</v>
      </c>
      <c r="BY176" s="2" t="e">
        <f>SUMPRODUCT((BH$4:BH176)*($BR$4:$BR176))*'[1]功能-战损相关'!$D$2-BT176</f>
        <v>#REF!</v>
      </c>
      <c r="BZ176" s="2" t="e">
        <f>SUMPRODUCT((BI$4:BI176)*($BR$4:$BR176))*'[1]功能-战损相关'!$D$2-BU176</f>
        <v>#REF!</v>
      </c>
      <c r="CA176" s="2" t="e">
        <f>SUMPRODUCT((BJ$4:BJ176)*($BR$4:$BR176))*'[1]功能-战损相关'!$D$2-BV176</f>
        <v>#REF!</v>
      </c>
      <c r="CB176" s="2" t="e">
        <f>SUMPRODUCT((BK$4:BK176)*($BR$4:$BR176))*'[1]功能-战损相关'!$D$2-BW176</f>
        <v>#REF!</v>
      </c>
    </row>
    <row r="177" spans="40:80" x14ac:dyDescent="0.2">
      <c r="AN177" s="2">
        <v>174</v>
      </c>
      <c r="AO177" s="2">
        <f>求节点(节奏总纲!D$4:D$163,AH$4:AH$163,$AN177)*其他调用!H178*其他调用!$M178</f>
        <v>206928467.7518414</v>
      </c>
      <c r="AP177" s="2">
        <f>求节点(节奏总纲!E$4:E$163,AI$4:AI$163,$AN177)*其他调用!I178*其他调用!$M178</f>
        <v>231684061.07571688</v>
      </c>
      <c r="AQ177" s="2">
        <f>求节点(节奏总纲!F$4:F$163,AJ$4:AJ$163,$AN177)*其他调用!J178*其他调用!$M178</f>
        <v>23034238.69012139</v>
      </c>
      <c r="AR177" s="2">
        <f>求节点(节奏总纲!G$4:G$163,AK$4:AK$163,$AN177)*其他调用!K178*其他调用!$M178</f>
        <v>5664273.519259749</v>
      </c>
      <c r="AS177" s="2">
        <f>求节点(节奏总纲!H$4:H$163,AL$4:AL$163,$AN177)*其他调用!L178*其他调用!$M178</f>
        <v>2028883.8022191732</v>
      </c>
      <c r="AT177" s="2">
        <f t="shared" si="17"/>
        <v>469339924.83915859</v>
      </c>
      <c r="BF177" s="2">
        <v>174</v>
      </c>
      <c r="BG177" s="2">
        <f>求节点(节奏总纲!D$4:D$163,AZ$4:AZ$163,$AN177)</f>
        <v>7866.2278592198627</v>
      </c>
      <c r="BH177" s="2">
        <f>求节点(节奏总纲!E$4:E$163,BA$4:BA$163,$AN177)</f>
        <v>24289.183764086978</v>
      </c>
      <c r="BI177" s="2">
        <f>求节点(节奏总纲!F$4:F$163,BB$4:BB$163,$AN177)</f>
        <v>75589.740785294081</v>
      </c>
      <c r="BJ177" s="2">
        <f>求节点(节奏总纲!G$4:G$163,BC$4:BC$163,$AN177)</f>
        <v>36433.079737681495</v>
      </c>
      <c r="BK177" s="2">
        <f>求节点(节奏总纲!H$4:H$163,BD$4:BD$163,$AN177)</f>
        <v>10882.81999748509</v>
      </c>
      <c r="BL177" s="2">
        <f>BG177*其他调用!H178*其他调用!$M178</f>
        <v>377284.34897578257</v>
      </c>
      <c r="BM177" s="2">
        <f>BH177*其他调用!I178*其他调用!$M178</f>
        <v>1148672.2676136044</v>
      </c>
      <c r="BN177" s="2">
        <f>BI177*其他调用!J178*其他调用!$M178</f>
        <v>291808.14818666852</v>
      </c>
      <c r="BO177" s="2">
        <f>BJ177*其他调用!K178*其他调用!$M178</f>
        <v>25022.093431520709</v>
      </c>
      <c r="BP177" s="2">
        <f>BK177*其他调用!L178*其他调用!$M178</f>
        <v>2162.6339899002369</v>
      </c>
      <c r="BQ177" s="2">
        <f t="shared" si="18"/>
        <v>1844949.4921974766</v>
      </c>
      <c r="BR177" s="2">
        <f>[1]服务器生态!$R176</f>
        <v>0.11777141903808966</v>
      </c>
      <c r="BS177" s="2" t="e">
        <f>SUMPRODUCT((BG$4:BG177)*($BR$4:$BR177)*(其他调用!#REF!))</f>
        <v>#REF!</v>
      </c>
      <c r="BT177" s="2" t="e">
        <f>SUMPRODUCT((BH$4:BH177)*($BR$4:$BR177)*(其他调用!#REF!))</f>
        <v>#REF!</v>
      </c>
      <c r="BU177" s="2" t="e">
        <f>SUMPRODUCT((BI$4:BI177)*($BR$4:$BR177)*(其他调用!#REF!))</f>
        <v>#REF!</v>
      </c>
      <c r="BV177" s="2" t="e">
        <f>SUMPRODUCT((BJ$4:BJ177)*($BR$4:$BR177)*(其他调用!#REF!))</f>
        <v>#REF!</v>
      </c>
      <c r="BW177" s="2" t="e">
        <f>SUMPRODUCT((BK$4:BK177)*($BR$4:$BR177)*(其他调用!#REF!))</f>
        <v>#REF!</v>
      </c>
      <c r="BX177" s="2" t="e">
        <f>SUMPRODUCT((BG$4:BG177)*($BR$4:$BR177))*'[1]功能-战损相关'!$D$2-BS177</f>
        <v>#REF!</v>
      </c>
      <c r="BY177" s="2" t="e">
        <f>SUMPRODUCT((BH$4:BH177)*($BR$4:$BR177))*'[1]功能-战损相关'!$D$2-BT177</f>
        <v>#REF!</v>
      </c>
      <c r="BZ177" s="2" t="e">
        <f>SUMPRODUCT((BI$4:BI177)*($BR$4:$BR177))*'[1]功能-战损相关'!$D$2-BU177</f>
        <v>#REF!</v>
      </c>
      <c r="CA177" s="2" t="e">
        <f>SUMPRODUCT((BJ$4:BJ177)*($BR$4:$BR177))*'[1]功能-战损相关'!$D$2-BV177</f>
        <v>#REF!</v>
      </c>
      <c r="CB177" s="2" t="e">
        <f>SUMPRODUCT((BK$4:BK177)*($BR$4:$BR177))*'[1]功能-战损相关'!$D$2-BW177</f>
        <v>#REF!</v>
      </c>
    </row>
    <row r="178" spans="40:80" x14ac:dyDescent="0.2">
      <c r="AN178" s="2">
        <v>175</v>
      </c>
      <c r="AO178" s="2">
        <f>求节点(节奏总纲!D$4:D$163,AH$4:AH$163,$AN178)*其他调用!H179*其他调用!$M179</f>
        <v>207526947.21116188</v>
      </c>
      <c r="AP178" s="2">
        <f>求节点(节奏总纲!E$4:E$163,AI$4:AI$163,$AN178)*其他调用!I179*其他调用!$M179</f>
        <v>232252074.93605384</v>
      </c>
      <c r="AQ178" s="2">
        <f>求节点(节奏总纲!F$4:F$163,AJ$4:AJ$163,$AN178)*其他调用!J179*其他调用!$M179</f>
        <v>23120213.293248381</v>
      </c>
      <c r="AR178" s="2">
        <f>求节点(节奏总纲!G$4:G$163,AK$4:AK$163,$AN178)*其他调用!K179*其他调用!$M179</f>
        <v>5670871.1674945951</v>
      </c>
      <c r="AS178" s="2">
        <f>求节点(节奏总纲!H$4:H$163,AL$4:AL$163,$AN178)*其他调用!L179*其他调用!$M179</f>
        <v>2031793.9238129612</v>
      </c>
      <c r="AT178" s="2">
        <f t="shared" si="17"/>
        <v>470601900.53177166</v>
      </c>
      <c r="BF178" s="2">
        <v>175</v>
      </c>
      <c r="BG178" s="2">
        <f>求节点(节奏总纲!D$4:D$163,AZ$4:AZ$163,$AN178)</f>
        <v>7873.0348235193351</v>
      </c>
      <c r="BH178" s="2">
        <f>求节点(节奏总纲!E$4:E$163,BA$4:BA$163,$AN178)</f>
        <v>24308.62924997805</v>
      </c>
      <c r="BI178" s="2">
        <f>求节点(节奏总纲!F$4:F$163,BB$4:BB$163,$AN178)</f>
        <v>75648.530841749613</v>
      </c>
      <c r="BJ178" s="2">
        <f>求节点(节奏总纲!G$4:G$163,BC$4:BC$163,$AN178)</f>
        <v>36459.215549449043</v>
      </c>
      <c r="BK178" s="2">
        <f>求节点(节奏总纲!H$4:H$163,BD$4:BD$163,$AN178)</f>
        <v>10889.045963771325</v>
      </c>
      <c r="BL178" s="2">
        <f>BG178*其他调用!H179*其他调用!$M179</f>
        <v>377610.82834304596</v>
      </c>
      <c r="BM178" s="2">
        <f>BH178*其他调用!I179*其他调用!$M179</f>
        <v>1149591.8740767236</v>
      </c>
      <c r="BN178" s="2">
        <f>BI178*其他调用!J179*其他调用!$M179</f>
        <v>292035.10249723837</v>
      </c>
      <c r="BO178" s="2">
        <f>BJ178*其他调用!K179*其他调用!$M179</f>
        <v>25040.043402499414</v>
      </c>
      <c r="BP178" s="2">
        <f>BK178*其他调用!L179*其他调用!$M179</f>
        <v>2163.8712139206373</v>
      </c>
      <c r="BQ178" s="2">
        <f t="shared" si="18"/>
        <v>1846441.7195334281</v>
      </c>
      <c r="BR178" s="2">
        <f>[1]服务器生态!$R177</f>
        <v>0.11206424756307662</v>
      </c>
      <c r="BS178" s="2" t="e">
        <f>SUMPRODUCT((BG$4:BG178)*($BR$4:$BR178)*(其他调用!#REF!))</f>
        <v>#REF!</v>
      </c>
      <c r="BT178" s="2" t="e">
        <f>SUMPRODUCT((BH$4:BH178)*($BR$4:$BR178)*(其他调用!#REF!))</f>
        <v>#REF!</v>
      </c>
      <c r="BU178" s="2" t="e">
        <f>SUMPRODUCT((BI$4:BI178)*($BR$4:$BR178)*(其他调用!#REF!))</f>
        <v>#REF!</v>
      </c>
      <c r="BV178" s="2" t="e">
        <f>SUMPRODUCT((BJ$4:BJ178)*($BR$4:$BR178)*(其他调用!#REF!))</f>
        <v>#REF!</v>
      </c>
      <c r="BW178" s="2" t="e">
        <f>SUMPRODUCT((BK$4:BK178)*($BR$4:$BR178)*(其他调用!#REF!))</f>
        <v>#REF!</v>
      </c>
      <c r="BX178" s="2" t="e">
        <f>SUMPRODUCT((BG$4:BG178)*($BR$4:$BR178))*'[1]功能-战损相关'!$D$2-BS178</f>
        <v>#REF!</v>
      </c>
      <c r="BY178" s="2" t="e">
        <f>SUMPRODUCT((BH$4:BH178)*($BR$4:$BR178))*'[1]功能-战损相关'!$D$2-BT178</f>
        <v>#REF!</v>
      </c>
      <c r="BZ178" s="2" t="e">
        <f>SUMPRODUCT((BI$4:BI178)*($BR$4:$BR178))*'[1]功能-战损相关'!$D$2-BU178</f>
        <v>#REF!</v>
      </c>
      <c r="CA178" s="2" t="e">
        <f>SUMPRODUCT((BJ$4:BJ178)*($BR$4:$BR178))*'[1]功能-战损相关'!$D$2-BV178</f>
        <v>#REF!</v>
      </c>
      <c r="CB178" s="2" t="e">
        <f>SUMPRODUCT((BK$4:BK178)*($BR$4:$BR178))*'[1]功能-战损相关'!$D$2-BW178</f>
        <v>#REF!</v>
      </c>
    </row>
    <row r="179" spans="40:80" x14ac:dyDescent="0.2">
      <c r="AN179" s="2">
        <v>176</v>
      </c>
      <c r="AO179" s="2">
        <f>求节点(节奏总纲!D$4:D$163,AH$4:AH$163,$AN179)*其他调用!H180*其他调用!$M180</f>
        <v>208125426.67048237</v>
      </c>
      <c r="AP179" s="2">
        <f>求节点(节奏总纲!E$4:E$163,AI$4:AI$163,$AN179)*其他调用!I180*其他调用!$M180</f>
        <v>232820088.79639077</v>
      </c>
      <c r="AQ179" s="2">
        <f>求节点(节奏总纲!F$4:F$163,AJ$4:AJ$163,$AN179)*其他调用!J180*其他调用!$M180</f>
        <v>23206187.896375373</v>
      </c>
      <c r="AR179" s="2">
        <f>求节点(节奏总纲!G$4:G$163,AK$4:AK$163,$AN179)*其他调用!K180*其他调用!$M180</f>
        <v>5677468.8157294411</v>
      </c>
      <c r="AS179" s="2">
        <f>求节点(节奏总纲!H$4:H$163,AL$4:AL$163,$AN179)*其他调用!L180*其他调用!$M180</f>
        <v>2034704.0454067495</v>
      </c>
      <c r="AT179" s="2">
        <f t="shared" si="17"/>
        <v>471863876.22438473</v>
      </c>
      <c r="BF179" s="2">
        <v>176</v>
      </c>
      <c r="BG179" s="2">
        <f>求节点(节奏总纲!D$4:D$163,AZ$4:AZ$163,$AN179)</f>
        <v>7879.8417878188075</v>
      </c>
      <c r="BH179" s="2">
        <f>求节点(节奏总纲!E$4:E$163,BA$4:BA$163,$AN179)</f>
        <v>24328.074735869122</v>
      </c>
      <c r="BI179" s="2">
        <f>求节点(节奏总纲!F$4:F$163,BB$4:BB$163,$AN179)</f>
        <v>75707.320898205144</v>
      </c>
      <c r="BJ179" s="2">
        <f>求节点(节奏总纲!G$4:G$163,BC$4:BC$163,$AN179)</f>
        <v>36485.351361216592</v>
      </c>
      <c r="BK179" s="2">
        <f>求节点(节奏总纲!H$4:H$163,BD$4:BD$163,$AN179)</f>
        <v>10895.271930057559</v>
      </c>
      <c r="BL179" s="2">
        <f>BG179*其他调用!H180*其他调用!$M180</f>
        <v>377937.3077103094</v>
      </c>
      <c r="BM179" s="2">
        <f>BH179*其他调用!I180*其他调用!$M180</f>
        <v>1150511.480539843</v>
      </c>
      <c r="BN179" s="2">
        <f>BI179*其他调用!J180*其他调用!$M180</f>
        <v>292262.05680780817</v>
      </c>
      <c r="BO179" s="2">
        <f>BJ179*其他调用!K180*其他调用!$M180</f>
        <v>25057.993373478119</v>
      </c>
      <c r="BP179" s="2">
        <f>BK179*其他调用!L180*其他调用!$M180</f>
        <v>2165.1084379410377</v>
      </c>
      <c r="BQ179" s="2">
        <f t="shared" si="18"/>
        <v>1847933.9468693796</v>
      </c>
      <c r="BR179" s="2">
        <f>[1]服务器生态!$R178</f>
        <v>0.10635707608806358</v>
      </c>
      <c r="BS179" s="2" t="e">
        <f>SUMPRODUCT((BG$4:BG179)*($BR$4:$BR179)*(其他调用!#REF!))</f>
        <v>#REF!</v>
      </c>
      <c r="BT179" s="2" t="e">
        <f>SUMPRODUCT((BH$4:BH179)*($BR$4:$BR179)*(其他调用!#REF!))</f>
        <v>#REF!</v>
      </c>
      <c r="BU179" s="2" t="e">
        <f>SUMPRODUCT((BI$4:BI179)*($BR$4:$BR179)*(其他调用!#REF!))</f>
        <v>#REF!</v>
      </c>
      <c r="BV179" s="2" t="e">
        <f>SUMPRODUCT((BJ$4:BJ179)*($BR$4:$BR179)*(其他调用!#REF!))</f>
        <v>#REF!</v>
      </c>
      <c r="BW179" s="2" t="e">
        <f>SUMPRODUCT((BK$4:BK179)*($BR$4:$BR179)*(其他调用!#REF!))</f>
        <v>#REF!</v>
      </c>
      <c r="BX179" s="2" t="e">
        <f>SUMPRODUCT((BG$4:BG179)*($BR$4:$BR179))*'[1]功能-战损相关'!$D$2-BS179</f>
        <v>#REF!</v>
      </c>
      <c r="BY179" s="2" t="e">
        <f>SUMPRODUCT((BH$4:BH179)*($BR$4:$BR179))*'[1]功能-战损相关'!$D$2-BT179</f>
        <v>#REF!</v>
      </c>
      <c r="BZ179" s="2" t="e">
        <f>SUMPRODUCT((BI$4:BI179)*($BR$4:$BR179))*'[1]功能-战损相关'!$D$2-BU179</f>
        <v>#REF!</v>
      </c>
      <c r="CA179" s="2" t="e">
        <f>SUMPRODUCT((BJ$4:BJ179)*($BR$4:$BR179))*'[1]功能-战损相关'!$D$2-BV179</f>
        <v>#REF!</v>
      </c>
      <c r="CB179" s="2" t="e">
        <f>SUMPRODUCT((BK$4:BK179)*($BR$4:$BR179))*'[1]功能-战损相关'!$D$2-BW179</f>
        <v>#REF!</v>
      </c>
    </row>
    <row r="180" spans="40:80" x14ac:dyDescent="0.2">
      <c r="AN180" s="2">
        <v>177</v>
      </c>
      <c r="AO180" s="2">
        <f>求节点(节奏总纲!D$4:D$163,AH$4:AH$163,$AN180)*其他调用!H181*其他调用!$M181</f>
        <v>208723906.12980282</v>
      </c>
      <c r="AP180" s="2">
        <f>求节点(节奏总纲!E$4:E$163,AI$4:AI$163,$AN180)*其他调用!I181*其他调用!$M181</f>
        <v>233388102.65672779</v>
      </c>
      <c r="AQ180" s="2">
        <f>求节点(节奏总纲!F$4:F$163,AJ$4:AJ$163,$AN180)*其他调用!J181*其他调用!$M181</f>
        <v>23292162.499502368</v>
      </c>
      <c r="AR180" s="2">
        <f>求节点(节奏总纲!G$4:G$163,AK$4:AK$163,$AN180)*其他调用!K181*其他调用!$M181</f>
        <v>5684066.4639642863</v>
      </c>
      <c r="AS180" s="2">
        <f>求节点(节奏总纲!H$4:H$163,AL$4:AL$163,$AN180)*其他调用!L181*其他调用!$M181</f>
        <v>2037614.167000537</v>
      </c>
      <c r="AT180" s="2">
        <f t="shared" si="17"/>
        <v>473125851.91699779</v>
      </c>
      <c r="BF180" s="2">
        <v>177</v>
      </c>
      <c r="BG180" s="2">
        <f>求节点(节奏总纲!D$4:D$163,AZ$4:AZ$163,$AN180)</f>
        <v>7886.6487521182798</v>
      </c>
      <c r="BH180" s="2">
        <f>求节点(节奏总纲!E$4:E$163,BA$4:BA$163,$AN180)</f>
        <v>24347.520221760195</v>
      </c>
      <c r="BI180" s="2">
        <f>求节点(节奏总纲!F$4:F$163,BB$4:BB$163,$AN180)</f>
        <v>75766.110954660675</v>
      </c>
      <c r="BJ180" s="2">
        <f>求节点(节奏总纲!G$4:G$163,BC$4:BC$163,$AN180)</f>
        <v>36511.48717298414</v>
      </c>
      <c r="BK180" s="2">
        <f>求节点(节奏总纲!H$4:H$163,BD$4:BD$163,$AN180)</f>
        <v>10901.497896343793</v>
      </c>
      <c r="BL180" s="2">
        <f>BG180*其他调用!H181*其他调用!$M181</f>
        <v>378263.78707757278</v>
      </c>
      <c r="BM180" s="2">
        <f>BH180*其他调用!I181*其他调用!$M181</f>
        <v>1151431.0870029621</v>
      </c>
      <c r="BN180" s="2">
        <f>BI180*其他调用!J181*其他调用!$M181</f>
        <v>292489.01111837802</v>
      </c>
      <c r="BO180" s="2">
        <f>BJ180*其他调用!K181*其他调用!$M181</f>
        <v>25075.943344456824</v>
      </c>
      <c r="BP180" s="2">
        <f>BK180*其他调用!L181*其他调用!$M181</f>
        <v>2166.3456619614385</v>
      </c>
      <c r="BQ180" s="2">
        <f t="shared" si="18"/>
        <v>1849426.1742053314</v>
      </c>
      <c r="BR180" s="2">
        <f>[1]服务器生态!$R179</f>
        <v>0.10064990461305054</v>
      </c>
      <c r="BS180" s="2" t="e">
        <f>SUMPRODUCT((BG$4:BG180)*($BR$4:$BR180)*(其他调用!#REF!))</f>
        <v>#REF!</v>
      </c>
      <c r="BT180" s="2" t="e">
        <f>SUMPRODUCT((BH$4:BH180)*($BR$4:$BR180)*(其他调用!#REF!))</f>
        <v>#REF!</v>
      </c>
      <c r="BU180" s="2" t="e">
        <f>SUMPRODUCT((BI$4:BI180)*($BR$4:$BR180)*(其他调用!#REF!))</f>
        <v>#REF!</v>
      </c>
      <c r="BV180" s="2" t="e">
        <f>SUMPRODUCT((BJ$4:BJ180)*($BR$4:$BR180)*(其他调用!#REF!))</f>
        <v>#REF!</v>
      </c>
      <c r="BW180" s="2" t="e">
        <f>SUMPRODUCT((BK$4:BK180)*($BR$4:$BR180)*(其他调用!#REF!))</f>
        <v>#REF!</v>
      </c>
      <c r="BX180" s="2" t="e">
        <f>SUMPRODUCT((BG$4:BG180)*($BR$4:$BR180))*'[1]功能-战损相关'!$D$2-BS180</f>
        <v>#REF!</v>
      </c>
      <c r="BY180" s="2" t="e">
        <f>SUMPRODUCT((BH$4:BH180)*($BR$4:$BR180))*'[1]功能-战损相关'!$D$2-BT180</f>
        <v>#REF!</v>
      </c>
      <c r="BZ180" s="2" t="e">
        <f>SUMPRODUCT((BI$4:BI180)*($BR$4:$BR180))*'[1]功能-战损相关'!$D$2-BU180</f>
        <v>#REF!</v>
      </c>
      <c r="CA180" s="2" t="e">
        <f>SUMPRODUCT((BJ$4:BJ180)*($BR$4:$BR180))*'[1]功能-战损相关'!$D$2-BV180</f>
        <v>#REF!</v>
      </c>
      <c r="CB180" s="2" t="e">
        <f>SUMPRODUCT((BK$4:BK180)*($BR$4:$BR180))*'[1]功能-战损相关'!$D$2-BW180</f>
        <v>#REF!</v>
      </c>
    </row>
    <row r="181" spans="40:80" x14ac:dyDescent="0.2">
      <c r="AN181" s="2">
        <v>178</v>
      </c>
      <c r="AO181" s="2">
        <f>求节点(节奏总纲!D$4:D$163,AH$4:AH$163,$AN181)*其他调用!H182*其他调用!$M182</f>
        <v>209322385.58912331</v>
      </c>
      <c r="AP181" s="2">
        <f>求节点(节奏总纲!E$4:E$163,AI$4:AI$163,$AN181)*其他调用!I182*其他调用!$M182</f>
        <v>233956116.51706478</v>
      </c>
      <c r="AQ181" s="2">
        <f>求节点(节奏总纲!F$4:F$163,AJ$4:AJ$163,$AN181)*其他调用!J182*其他调用!$M182</f>
        <v>23378137.10262936</v>
      </c>
      <c r="AR181" s="2">
        <f>求节点(节奏总纲!G$4:G$163,AK$4:AK$163,$AN181)*其他调用!K182*其他调用!$M182</f>
        <v>5690664.1121991323</v>
      </c>
      <c r="AS181" s="2">
        <f>求节点(节奏总纲!H$4:H$163,AL$4:AL$163,$AN181)*其他调用!L182*其他调用!$M182</f>
        <v>2040524.2885943255</v>
      </c>
      <c r="AT181" s="2">
        <f t="shared" si="17"/>
        <v>474387827.60961086</v>
      </c>
      <c r="BF181" s="2">
        <v>178</v>
      </c>
      <c r="BG181" s="2">
        <f>求节点(节奏总纲!D$4:D$163,AZ$4:AZ$163,$AN181)</f>
        <v>7893.4557164177513</v>
      </c>
      <c r="BH181" s="2">
        <f>求节点(节奏总纲!E$4:E$163,BA$4:BA$163,$AN181)</f>
        <v>24366.965707651267</v>
      </c>
      <c r="BI181" s="2">
        <f>求节点(节奏总纲!F$4:F$163,BB$4:BB$163,$AN181)</f>
        <v>75824.901011116192</v>
      </c>
      <c r="BJ181" s="2">
        <f>求节点(节奏总纲!G$4:G$163,BC$4:BC$163,$AN181)</f>
        <v>36537.622984751681</v>
      </c>
      <c r="BK181" s="2">
        <f>求节点(节奏总纲!H$4:H$163,BD$4:BD$163,$AN181)</f>
        <v>10907.723862630028</v>
      </c>
      <c r="BL181" s="2">
        <f>BG181*其他调用!H182*其他调用!$M182</f>
        <v>378590.2664448361</v>
      </c>
      <c r="BM181" s="2">
        <f>BH181*其他调用!I182*其他调用!$M182</f>
        <v>1152350.6934660815</v>
      </c>
      <c r="BN181" s="2">
        <f>BI181*其他调用!J182*其他调用!$M182</f>
        <v>292715.96542894776</v>
      </c>
      <c r="BO181" s="2">
        <f>BJ181*其他调用!K182*其他调用!$M182</f>
        <v>25093.893315435522</v>
      </c>
      <c r="BP181" s="2">
        <f>BK181*其他调用!L182*其他调用!$M182</f>
        <v>2167.5828859818389</v>
      </c>
      <c r="BQ181" s="2">
        <f t="shared" si="18"/>
        <v>1850918.4015412827</v>
      </c>
      <c r="BR181" s="2">
        <f>[1]服务器生态!$R180</f>
        <v>9.4942733138037499E-2</v>
      </c>
      <c r="BS181" s="2" t="e">
        <f>SUMPRODUCT((BG$4:BG181)*($BR$4:$BR181)*(其他调用!#REF!))</f>
        <v>#REF!</v>
      </c>
      <c r="BT181" s="2" t="e">
        <f>SUMPRODUCT((BH$4:BH181)*($BR$4:$BR181)*(其他调用!#REF!))</f>
        <v>#REF!</v>
      </c>
      <c r="BU181" s="2" t="e">
        <f>SUMPRODUCT((BI$4:BI181)*($BR$4:$BR181)*(其他调用!#REF!))</f>
        <v>#REF!</v>
      </c>
      <c r="BV181" s="2" t="e">
        <f>SUMPRODUCT((BJ$4:BJ181)*($BR$4:$BR181)*(其他调用!#REF!))</f>
        <v>#REF!</v>
      </c>
      <c r="BW181" s="2" t="e">
        <f>SUMPRODUCT((BK$4:BK181)*($BR$4:$BR181)*(其他调用!#REF!))</f>
        <v>#REF!</v>
      </c>
      <c r="BX181" s="2" t="e">
        <f>SUMPRODUCT((BG$4:BG181)*($BR$4:$BR181))*'[1]功能-战损相关'!$D$2-BS181</f>
        <v>#REF!</v>
      </c>
      <c r="BY181" s="2" t="e">
        <f>SUMPRODUCT((BH$4:BH181)*($BR$4:$BR181))*'[1]功能-战损相关'!$D$2-BT181</f>
        <v>#REF!</v>
      </c>
      <c r="BZ181" s="2" t="e">
        <f>SUMPRODUCT((BI$4:BI181)*($BR$4:$BR181))*'[1]功能-战损相关'!$D$2-BU181</f>
        <v>#REF!</v>
      </c>
      <c r="CA181" s="2" t="e">
        <f>SUMPRODUCT((BJ$4:BJ181)*($BR$4:$BR181))*'[1]功能-战损相关'!$D$2-BV181</f>
        <v>#REF!</v>
      </c>
      <c r="CB181" s="2" t="e">
        <f>SUMPRODUCT((BK$4:BK181)*($BR$4:$BR181))*'[1]功能-战损相关'!$D$2-BW181</f>
        <v>#REF!</v>
      </c>
    </row>
    <row r="182" spans="40:80" x14ac:dyDescent="0.2">
      <c r="AN182" s="2">
        <v>179</v>
      </c>
      <c r="AO182" s="2">
        <f>求节点(节奏总纲!D$4:D$163,AH$4:AH$163,$AN182)*其他调用!H183*其他调用!$M183</f>
        <v>209920865.04844385</v>
      </c>
      <c r="AP182" s="2">
        <f>求节点(节奏总纲!E$4:E$163,AI$4:AI$163,$AN182)*其他调用!I183*其他调用!$M183</f>
        <v>234524130.37740174</v>
      </c>
      <c r="AQ182" s="2">
        <f>求节点(节奏总纲!F$4:F$163,AJ$4:AJ$163,$AN182)*其他调用!J183*其他调用!$M183</f>
        <v>23464111.705756351</v>
      </c>
      <c r="AR182" s="2">
        <f>求节点(节奏总纲!G$4:G$163,AK$4:AK$163,$AN182)*其他调用!K183*其他调用!$M183</f>
        <v>5697261.7604339775</v>
      </c>
      <c r="AS182" s="2">
        <f>求节点(节奏总纲!H$4:H$163,AL$4:AL$163,$AN182)*其他调用!L183*其他调用!$M183</f>
        <v>2043434.4101881136</v>
      </c>
      <c r="AT182" s="2">
        <f t="shared" si="17"/>
        <v>475649803.3022241</v>
      </c>
      <c r="BF182" s="2">
        <v>179</v>
      </c>
      <c r="BG182" s="2">
        <f>求节点(节奏总纲!D$4:D$163,AZ$4:AZ$163,$AN182)</f>
        <v>7900.2626807172237</v>
      </c>
      <c r="BH182" s="2">
        <f>求节点(节奏总纲!E$4:E$163,BA$4:BA$163,$AN182)</f>
        <v>24386.411193542339</v>
      </c>
      <c r="BI182" s="2">
        <f>求节点(节奏总纲!F$4:F$163,BB$4:BB$163,$AN182)</f>
        <v>75883.691067571723</v>
      </c>
      <c r="BJ182" s="2">
        <f>求节点(节奏总纲!G$4:G$163,BC$4:BC$163,$AN182)</f>
        <v>36563.758796519229</v>
      </c>
      <c r="BK182" s="2">
        <f>求节点(节奏总纲!H$4:H$163,BD$4:BD$163,$AN182)</f>
        <v>10913.949828916264</v>
      </c>
      <c r="BL182" s="2">
        <f>BG182*其他调用!H183*其他调用!$M183</f>
        <v>378916.74581209954</v>
      </c>
      <c r="BM182" s="2">
        <f>BH182*其他调用!I183*其他调用!$M183</f>
        <v>1153270.2999292007</v>
      </c>
      <c r="BN182" s="2">
        <f>BI182*其他调用!J183*其他调用!$M183</f>
        <v>292942.91973951762</v>
      </c>
      <c r="BO182" s="2">
        <f>BJ182*其他调用!K183*其他调用!$M183</f>
        <v>25111.843286414227</v>
      </c>
      <c r="BP182" s="2">
        <f>BK182*其他调用!L183*其他调用!$M183</f>
        <v>2168.8201100022397</v>
      </c>
      <c r="BQ182" s="2">
        <f t="shared" si="18"/>
        <v>1852410.6288772342</v>
      </c>
      <c r="BR182" s="2">
        <f>[1]服务器生态!$R181</f>
        <v>8.923556166302446E-2</v>
      </c>
      <c r="BS182" s="2" t="e">
        <f>SUMPRODUCT((BG$4:BG182)*($BR$4:$BR182)*(其他调用!#REF!))</f>
        <v>#REF!</v>
      </c>
      <c r="BT182" s="2" t="e">
        <f>SUMPRODUCT((BH$4:BH182)*($BR$4:$BR182)*(其他调用!#REF!))</f>
        <v>#REF!</v>
      </c>
      <c r="BU182" s="2" t="e">
        <f>SUMPRODUCT((BI$4:BI182)*($BR$4:$BR182)*(其他调用!#REF!))</f>
        <v>#REF!</v>
      </c>
      <c r="BV182" s="2" t="e">
        <f>SUMPRODUCT((BJ$4:BJ182)*($BR$4:$BR182)*(其他调用!#REF!))</f>
        <v>#REF!</v>
      </c>
      <c r="BW182" s="2" t="e">
        <f>SUMPRODUCT((BK$4:BK182)*($BR$4:$BR182)*(其他调用!#REF!))</f>
        <v>#REF!</v>
      </c>
      <c r="BX182" s="2" t="e">
        <f>SUMPRODUCT((BG$4:BG182)*($BR$4:$BR182))*'[1]功能-战损相关'!$D$2-BS182</f>
        <v>#REF!</v>
      </c>
      <c r="BY182" s="2" t="e">
        <f>SUMPRODUCT((BH$4:BH182)*($BR$4:$BR182))*'[1]功能-战损相关'!$D$2-BT182</f>
        <v>#REF!</v>
      </c>
      <c r="BZ182" s="2" t="e">
        <f>SUMPRODUCT((BI$4:BI182)*($BR$4:$BR182))*'[1]功能-战损相关'!$D$2-BU182</f>
        <v>#REF!</v>
      </c>
      <c r="CA182" s="2" t="e">
        <f>SUMPRODUCT((BJ$4:BJ182)*($BR$4:$BR182))*'[1]功能-战损相关'!$D$2-BV182</f>
        <v>#REF!</v>
      </c>
      <c r="CB182" s="2" t="e">
        <f>SUMPRODUCT((BK$4:BK182)*($BR$4:$BR182))*'[1]功能-战损相关'!$D$2-BW182</f>
        <v>#REF!</v>
      </c>
    </row>
    <row r="183" spans="40:80" x14ac:dyDescent="0.2">
      <c r="AN183" s="2">
        <v>180</v>
      </c>
      <c r="AO183" s="2">
        <f>求节点(节奏总纲!D$4:D$163,AH$4:AH$163,$AN183)*其他调用!H184*其他调用!$M184</f>
        <v>210519344.50776428</v>
      </c>
      <c r="AP183" s="2">
        <f>求节点(节奏总纲!E$4:E$163,AI$4:AI$163,$AN183)*其他调用!I184*其他调用!$M184</f>
        <v>235145267.34753576</v>
      </c>
      <c r="AQ183" s="2">
        <f>求节点(节奏总纲!F$4:F$163,AJ$4:AJ$163,$AN183)*其他调用!J184*其他调用!$M184</f>
        <v>23550086.308883343</v>
      </c>
      <c r="AR183" s="2">
        <f>求节点(节奏总纲!G$4:G$163,AK$4:AK$163,$AN183)*其他调用!K184*其他调用!$M184</f>
        <v>5703859.4086688235</v>
      </c>
      <c r="AS183" s="2">
        <f>求节点(节奏总纲!H$4:H$163,AL$4:AL$163,$AN183)*其他调用!L184*其他调用!$M184</f>
        <v>2046064.1786464052</v>
      </c>
      <c r="AT183" s="2">
        <f t="shared" si="17"/>
        <v>476964621.75149864</v>
      </c>
      <c r="BF183" s="2">
        <v>180</v>
      </c>
      <c r="BG183" s="2">
        <f>求节点(节奏总纲!D$4:D$163,AZ$4:AZ$163,$AN183)</f>
        <v>7907.0696450166961</v>
      </c>
      <c r="BH183" s="2">
        <f>求节点(节奏总纲!E$4:E$163,BA$4:BA$163,$AN183)</f>
        <v>24405.51405822505</v>
      </c>
      <c r="BI183" s="2">
        <f>求节点(节奏总纲!F$4:F$163,BB$4:BB$163,$AN183)</f>
        <v>75942.481124027254</v>
      </c>
      <c r="BJ183" s="2">
        <f>求节点(节奏总纲!G$4:G$163,BC$4:BC$163,$AN183)</f>
        <v>36589.894608286777</v>
      </c>
      <c r="BK183" s="2">
        <f>求节点(节奏总纲!H$4:H$163,BD$4:BD$163,$AN183)</f>
        <v>10919.946037106385</v>
      </c>
      <c r="BL183" s="2">
        <f>BG183*其他调用!H184*其他调用!$M184</f>
        <v>379243.22517936293</v>
      </c>
      <c r="BM183" s="2">
        <f>BH183*其他调用!I184*其他调用!$M184</f>
        <v>1154173.7033167386</v>
      </c>
      <c r="BN183" s="2">
        <f>BI183*其他调用!J184*其他调用!$M184</f>
        <v>293169.87405008747</v>
      </c>
      <c r="BO183" s="2">
        <f>BJ183*其他调用!K184*其他调用!$M184</f>
        <v>25129.793257392932</v>
      </c>
      <c r="BP183" s="2">
        <f>BK183*其他调用!L184*其他调用!$M184</f>
        <v>2170.0116764937807</v>
      </c>
      <c r="BQ183" s="2">
        <f t="shared" si="18"/>
        <v>1853886.6074800757</v>
      </c>
      <c r="BR183" s="2">
        <f>[1]服务器生态!$R182</f>
        <v>8.352839018801142E-2</v>
      </c>
      <c r="BS183" s="2" t="e">
        <f>SUMPRODUCT((BG$4:BG183)*($BR$4:$BR183)*(其他调用!#REF!))</f>
        <v>#REF!</v>
      </c>
      <c r="BT183" s="2" t="e">
        <f>SUMPRODUCT((BH$4:BH183)*($BR$4:$BR183)*(其他调用!#REF!))</f>
        <v>#REF!</v>
      </c>
      <c r="BU183" s="2" t="e">
        <f>SUMPRODUCT((BI$4:BI183)*($BR$4:$BR183)*(其他调用!#REF!))</f>
        <v>#REF!</v>
      </c>
      <c r="BV183" s="2" t="e">
        <f>SUMPRODUCT((BJ$4:BJ183)*($BR$4:$BR183)*(其他调用!#REF!))</f>
        <v>#REF!</v>
      </c>
      <c r="BW183" s="2" t="e">
        <f>SUMPRODUCT((BK$4:BK183)*($BR$4:$BR183)*(其他调用!#REF!))</f>
        <v>#REF!</v>
      </c>
      <c r="BX183" s="2" t="e">
        <f>SUMPRODUCT((BG$4:BG183)*($BR$4:$BR183))*'[1]功能-战损相关'!$D$2-BS183</f>
        <v>#REF!</v>
      </c>
      <c r="BY183" s="2" t="e">
        <f>SUMPRODUCT((BH$4:BH183)*($BR$4:$BR183))*'[1]功能-战损相关'!$D$2-BT183</f>
        <v>#REF!</v>
      </c>
      <c r="BZ183" s="2" t="e">
        <f>SUMPRODUCT((BI$4:BI183)*($BR$4:$BR183))*'[1]功能-战损相关'!$D$2-BU183</f>
        <v>#REF!</v>
      </c>
      <c r="CA183" s="2" t="e">
        <f>SUMPRODUCT((BJ$4:BJ183)*($BR$4:$BR183))*'[1]功能-战损相关'!$D$2-BV183</f>
        <v>#REF!</v>
      </c>
      <c r="CB183" s="2" t="e">
        <f>SUMPRODUCT((BK$4:BK183)*($BR$4:$BR183))*'[1]功能-战损相关'!$D$2-BW183</f>
        <v>#REF!</v>
      </c>
    </row>
    <row r="184" spans="40:80" x14ac:dyDescent="0.2">
      <c r="AN184" s="2">
        <v>181</v>
      </c>
      <c r="AO184" s="2">
        <f>求节点(节奏总纲!D$4:D$163,AH$4:AH$163,$AN184)*其他调用!H185*其他调用!$M185</f>
        <v>211015578.30573571</v>
      </c>
      <c r="AP184" s="2">
        <f>求节点(节奏总纲!E$4:E$163,AI$4:AI$163,$AN184)*其他调用!I185*其他调用!$M185</f>
        <v>235773947.06210098</v>
      </c>
      <c r="AQ184" s="2">
        <f>求节点(节奏总纲!F$4:F$163,AJ$4:AJ$163,$AN184)*其他调用!J185*其他调用!$M185</f>
        <v>23619162.685099144</v>
      </c>
      <c r="AR184" s="2">
        <f>求节点(节奏总纲!G$4:G$163,AK$4:AK$163,$AN184)*其他调用!K185*其他调用!$M185</f>
        <v>5710457.0569036687</v>
      </c>
      <c r="AS184" s="2">
        <f>求节点(节奏总纲!H$4:H$163,AL$4:AL$163,$AN184)*其他调用!L185*其他调用!$M185</f>
        <v>2048189.4418748999</v>
      </c>
      <c r="AT184" s="2">
        <f t="shared" si="17"/>
        <v>478167334.55171442</v>
      </c>
      <c r="BF184" s="2">
        <v>181</v>
      </c>
      <c r="BG184" s="2">
        <f>求节点(节奏总纲!D$4:D$163,AZ$4:AZ$163,$AN184)</f>
        <v>7913.1060313931221</v>
      </c>
      <c r="BH184" s="2">
        <f>求节点(节奏总纲!E$4:E$163,BA$4:BA$163,$AN184)</f>
        <v>24424.568275450543</v>
      </c>
      <c r="BI184" s="2">
        <f>求节点(节奏总纲!F$4:F$163,BB$4:BB$163,$AN184)</f>
        <v>76000.532296575082</v>
      </c>
      <c r="BJ184" s="2">
        <f>求节点(节奏总纲!G$4:G$163,BC$4:BC$163,$AN184)</f>
        <v>36616.030420054325</v>
      </c>
      <c r="BK184" s="2">
        <f>求节点(节奏总纲!H$4:H$163,BD$4:BD$163,$AN184)</f>
        <v>10925.528787601907</v>
      </c>
      <c r="BL184" s="2">
        <f>BG184*其他调用!H185*其他调用!$M185</f>
        <v>379532.74566427065</v>
      </c>
      <c r="BM184" s="2">
        <f>BH184*其他调用!I185*其他调用!$M185</f>
        <v>1155074.8060923852</v>
      </c>
      <c r="BN184" s="2">
        <f>BI184*其他调用!J185*其他调用!$M185</f>
        <v>293393.9759584319</v>
      </c>
      <c r="BO184" s="2">
        <f>BJ184*其他调用!K185*其他调用!$M185</f>
        <v>25147.743228371637</v>
      </c>
      <c r="BP184" s="2">
        <f>BK184*其他调用!L185*其他调用!$M185</f>
        <v>2171.1210806722506</v>
      </c>
      <c r="BQ184" s="2">
        <f t="shared" si="18"/>
        <v>1855320.3920241315</v>
      </c>
      <c r="BR184" s="2">
        <f>[1]服务器生态!$R183</f>
        <v>7.782121871299838E-2</v>
      </c>
      <c r="BS184" s="2" t="e">
        <f>SUMPRODUCT((BG$4:BG184)*($BR$4:$BR184)*(其他调用!#REF!))</f>
        <v>#REF!</v>
      </c>
      <c r="BT184" s="2" t="e">
        <f>SUMPRODUCT((BH$4:BH184)*($BR$4:$BR184)*(其他调用!#REF!))</f>
        <v>#REF!</v>
      </c>
      <c r="BU184" s="2" t="e">
        <f>SUMPRODUCT((BI$4:BI184)*($BR$4:$BR184)*(其他调用!#REF!))</f>
        <v>#REF!</v>
      </c>
      <c r="BV184" s="2" t="e">
        <f>SUMPRODUCT((BJ$4:BJ184)*($BR$4:$BR184)*(其他调用!#REF!))</f>
        <v>#REF!</v>
      </c>
      <c r="BW184" s="2" t="e">
        <f>SUMPRODUCT((BK$4:BK184)*($BR$4:$BR184)*(其他调用!#REF!))</f>
        <v>#REF!</v>
      </c>
      <c r="BX184" s="2" t="e">
        <f>SUMPRODUCT((BG$4:BG184)*($BR$4:$BR184))*'[1]功能-战损相关'!$D$2-BS184</f>
        <v>#REF!</v>
      </c>
      <c r="BY184" s="2" t="e">
        <f>SUMPRODUCT((BH$4:BH184)*($BR$4:$BR184))*'[1]功能-战损相关'!$D$2-BT184</f>
        <v>#REF!</v>
      </c>
      <c r="BZ184" s="2" t="e">
        <f>SUMPRODUCT((BI$4:BI184)*($BR$4:$BR184))*'[1]功能-战损相关'!$D$2-BU184</f>
        <v>#REF!</v>
      </c>
      <c r="CA184" s="2" t="e">
        <f>SUMPRODUCT((BJ$4:BJ184)*($BR$4:$BR184))*'[1]功能-战损相关'!$D$2-BV184</f>
        <v>#REF!</v>
      </c>
      <c r="CB184" s="2" t="e">
        <f>SUMPRODUCT((BK$4:BK184)*($BR$4:$BR184))*'[1]功能-战损相关'!$D$2-BW184</f>
        <v>#REF!</v>
      </c>
    </row>
    <row r="185" spans="40:80" x14ac:dyDescent="0.2">
      <c r="AN185" s="2">
        <v>182</v>
      </c>
      <c r="AO185" s="2">
        <f>求节点(节奏总纲!D$4:D$163,AH$4:AH$163,$AN185)*其他调用!H186*其他调用!$M186</f>
        <v>211509796.10188165</v>
      </c>
      <c r="AP185" s="2">
        <f>求节点(节奏总纲!E$4:E$163,AI$4:AI$163,$AN185)*其他调用!I186*其他调用!$M186</f>
        <v>236402626.77666619</v>
      </c>
      <c r="AQ185" s="2">
        <f>求节点(节奏总纲!F$4:F$163,AJ$4:AJ$163,$AN185)*其他调用!J186*其他调用!$M186</f>
        <v>23679688.151311688</v>
      </c>
      <c r="AR185" s="2">
        <f>求节点(节奏总纲!G$4:G$163,AK$4:AK$163,$AN185)*其他调用!K186*其他调用!$M186</f>
        <v>5717054.7051385147</v>
      </c>
      <c r="AS185" s="2">
        <f>求节点(节奏总纲!H$4:H$163,AL$4:AL$163,$AN185)*其他调用!L186*其他调用!$M186</f>
        <v>2050314.7051033941</v>
      </c>
      <c r="AT185" s="2">
        <f t="shared" si="17"/>
        <v>479359480.44010144</v>
      </c>
      <c r="BF185" s="2">
        <v>182</v>
      </c>
      <c r="BG185" s="2">
        <f>求节点(节奏总纲!D$4:D$163,AZ$4:AZ$163,$AN185)</f>
        <v>7919.1272241028528</v>
      </c>
      <c r="BH185" s="2">
        <f>求节点(节奏总纲!E$4:E$163,BA$4:BA$163,$AN185)</f>
        <v>24443.622492676033</v>
      </c>
      <c r="BI185" s="2">
        <f>求节点(节奏总纲!F$4:F$163,BB$4:BB$163,$AN185)</f>
        <v>76058.209576061185</v>
      </c>
      <c r="BJ185" s="2">
        <f>求节点(节奏总纲!G$4:G$163,BC$4:BC$163,$AN185)</f>
        <v>36642.166231821873</v>
      </c>
      <c r="BK185" s="2">
        <f>求节点(节奏总纲!H$4:H$163,BD$4:BD$163,$AN185)</f>
        <v>10931.111538097428</v>
      </c>
      <c r="BL185" s="2">
        <f>BG185*其他调用!H186*其他调用!$M186</f>
        <v>379821.53742217604</v>
      </c>
      <c r="BM185" s="2">
        <f>BH185*其他调用!I186*其他调用!$M186</f>
        <v>1155975.9088680318</v>
      </c>
      <c r="BN185" s="2">
        <f>BI185*其他调用!J186*其他调用!$M186</f>
        <v>293616.63448251772</v>
      </c>
      <c r="BO185" s="2">
        <f>BJ185*其他调用!K186*其他调用!$M186</f>
        <v>25165.693199350342</v>
      </c>
      <c r="BP185" s="2">
        <f>BK185*其他调用!L186*其他调用!$M186</f>
        <v>2172.2304848507206</v>
      </c>
      <c r="BQ185" s="2">
        <f t="shared" si="18"/>
        <v>1856752.0044569264</v>
      </c>
      <c r="BR185" s="2">
        <f>[1]服务器生态!$R184</f>
        <v>7.211404723798534E-2</v>
      </c>
      <c r="BS185" s="2" t="e">
        <f>SUMPRODUCT((BG$4:BG185)*($BR$4:$BR185)*(其他调用!#REF!))</f>
        <v>#REF!</v>
      </c>
      <c r="BT185" s="2" t="e">
        <f>SUMPRODUCT((BH$4:BH185)*($BR$4:$BR185)*(其他调用!#REF!))</f>
        <v>#REF!</v>
      </c>
      <c r="BU185" s="2" t="e">
        <f>SUMPRODUCT((BI$4:BI185)*($BR$4:$BR185)*(其他调用!#REF!))</f>
        <v>#REF!</v>
      </c>
      <c r="BV185" s="2" t="e">
        <f>SUMPRODUCT((BJ$4:BJ185)*($BR$4:$BR185)*(其他调用!#REF!))</f>
        <v>#REF!</v>
      </c>
      <c r="BW185" s="2" t="e">
        <f>SUMPRODUCT((BK$4:BK185)*($BR$4:$BR185)*(其他调用!#REF!))</f>
        <v>#REF!</v>
      </c>
      <c r="BX185" s="2" t="e">
        <f>SUMPRODUCT((BG$4:BG185)*($BR$4:$BR185))*'[1]功能-战损相关'!$D$2-BS185</f>
        <v>#REF!</v>
      </c>
      <c r="BY185" s="2" t="e">
        <f>SUMPRODUCT((BH$4:BH185)*($BR$4:$BR185))*'[1]功能-战损相关'!$D$2-BT185</f>
        <v>#REF!</v>
      </c>
      <c r="BZ185" s="2" t="e">
        <f>SUMPRODUCT((BI$4:BI185)*($BR$4:$BR185))*'[1]功能-战损相关'!$D$2-BU185</f>
        <v>#REF!</v>
      </c>
      <c r="CA185" s="2" t="e">
        <f>SUMPRODUCT((BJ$4:BJ185)*($BR$4:$BR185))*'[1]功能-战损相关'!$D$2-BV185</f>
        <v>#REF!</v>
      </c>
      <c r="CB185" s="2" t="e">
        <f>SUMPRODUCT((BK$4:BK185)*($BR$4:$BR185))*'[1]功能-战损相关'!$D$2-BW185</f>
        <v>#REF!</v>
      </c>
    </row>
    <row r="186" spans="40:80" x14ac:dyDescent="0.2">
      <c r="AN186" s="2">
        <v>183</v>
      </c>
      <c r="AO186" s="2">
        <f>求节点(节奏总纲!D$4:D$163,AH$4:AH$163,$AN186)*其他调用!H187*其他调用!$M187</f>
        <v>212004013.8980276</v>
      </c>
      <c r="AP186" s="2">
        <f>求节点(节奏总纲!E$4:E$163,AI$4:AI$163,$AN186)*其他调用!I187*其他调用!$M187</f>
        <v>237031306.49123135</v>
      </c>
      <c r="AQ186" s="2">
        <f>求节点(节奏总纲!F$4:F$163,AJ$4:AJ$163,$AN186)*其他调用!J187*其他调用!$M187</f>
        <v>23740213.617524233</v>
      </c>
      <c r="AR186" s="2">
        <f>求节点(节奏总纲!G$4:G$163,AK$4:AK$163,$AN186)*其他调用!K187*其他调用!$M187</f>
        <v>5723652.3533733608</v>
      </c>
      <c r="AS186" s="2">
        <f>求节点(节奏总纲!H$4:H$163,AL$4:AL$163,$AN186)*其他调用!L187*其他调用!$M187</f>
        <v>2052439.9683318883</v>
      </c>
      <c r="AT186" s="2">
        <f t="shared" si="17"/>
        <v>480551626.32848841</v>
      </c>
      <c r="BF186" s="2">
        <v>183</v>
      </c>
      <c r="BG186" s="2">
        <f>求节点(节奏总纲!D$4:D$163,AZ$4:AZ$163,$AN186)</f>
        <v>7925.1484168125835</v>
      </c>
      <c r="BH186" s="2">
        <f>求节点(节奏总纲!E$4:E$163,BA$4:BA$163,$AN186)</f>
        <v>24462.676709901523</v>
      </c>
      <c r="BI186" s="2">
        <f>求节点(节奏总纲!F$4:F$163,BB$4:BB$163,$AN186)</f>
        <v>76115.886855547287</v>
      </c>
      <c r="BJ186" s="2">
        <f>求节点(节奏总纲!G$4:G$163,BC$4:BC$163,$AN186)</f>
        <v>36668.302043589421</v>
      </c>
      <c r="BK186" s="2">
        <f>求节点(节奏总纲!H$4:H$163,BD$4:BD$163,$AN186)</f>
        <v>10936.694288592947</v>
      </c>
      <c r="BL186" s="2">
        <f>BG186*其他调用!H187*其他调用!$M187</f>
        <v>380110.32918008143</v>
      </c>
      <c r="BM186" s="2">
        <f>BH186*其他调用!I187*其他调用!$M187</f>
        <v>1156877.0116436782</v>
      </c>
      <c r="BN186" s="2">
        <f>BI186*其他调用!J187*其他调用!$M187</f>
        <v>293839.29300660355</v>
      </c>
      <c r="BO186" s="2">
        <f>BJ186*其他调用!K187*其他调用!$M187</f>
        <v>25183.643170329047</v>
      </c>
      <c r="BP186" s="2">
        <f>BK186*其他调用!L187*其他调用!$M187</f>
        <v>2173.3398890291901</v>
      </c>
      <c r="BQ186" s="2">
        <f t="shared" si="18"/>
        <v>1858183.6168897215</v>
      </c>
      <c r="BR186" s="2">
        <f>[1]服务器生态!$R185</f>
        <v>6.6406875762972287E-2</v>
      </c>
      <c r="BS186" s="2" t="e">
        <f>SUMPRODUCT((BG$4:BG186)*($BR$4:$BR186)*(其他调用!#REF!))</f>
        <v>#REF!</v>
      </c>
      <c r="BT186" s="2" t="e">
        <f>SUMPRODUCT((BH$4:BH186)*($BR$4:$BR186)*(其他调用!#REF!))</f>
        <v>#REF!</v>
      </c>
      <c r="BU186" s="2" t="e">
        <f>SUMPRODUCT((BI$4:BI186)*($BR$4:$BR186)*(其他调用!#REF!))</f>
        <v>#REF!</v>
      </c>
      <c r="BV186" s="2" t="e">
        <f>SUMPRODUCT((BJ$4:BJ186)*($BR$4:$BR186)*(其他调用!#REF!))</f>
        <v>#REF!</v>
      </c>
      <c r="BW186" s="2" t="e">
        <f>SUMPRODUCT((BK$4:BK186)*($BR$4:$BR186)*(其他调用!#REF!))</f>
        <v>#REF!</v>
      </c>
      <c r="BX186" s="2" t="e">
        <f>SUMPRODUCT((BG$4:BG186)*($BR$4:$BR186))*'[1]功能-战损相关'!$D$2-BS186</f>
        <v>#REF!</v>
      </c>
      <c r="BY186" s="2" t="e">
        <f>SUMPRODUCT((BH$4:BH186)*($BR$4:$BR186))*'[1]功能-战损相关'!$D$2-BT186</f>
        <v>#REF!</v>
      </c>
      <c r="BZ186" s="2" t="e">
        <f>SUMPRODUCT((BI$4:BI186)*($BR$4:$BR186))*'[1]功能-战损相关'!$D$2-BU186</f>
        <v>#REF!</v>
      </c>
      <c r="CA186" s="2" t="e">
        <f>SUMPRODUCT((BJ$4:BJ186)*($BR$4:$BR186))*'[1]功能-战损相关'!$D$2-BV186</f>
        <v>#REF!</v>
      </c>
      <c r="CB186" s="2" t="e">
        <f>SUMPRODUCT((BK$4:BK186)*($BR$4:$BR186))*'[1]功能-战损相关'!$D$2-BW186</f>
        <v>#REF!</v>
      </c>
    </row>
    <row r="187" spans="40:80" x14ac:dyDescent="0.2">
      <c r="AN187" s="2">
        <v>184</v>
      </c>
      <c r="AO187" s="2">
        <f>求节点(节奏总纲!D$4:D$163,AH$4:AH$163,$AN187)*其他调用!H188*其他调用!$M188</f>
        <v>212498231.69417349</v>
      </c>
      <c r="AP187" s="2">
        <f>求节点(节奏总纲!E$4:E$163,AI$4:AI$163,$AN187)*其他调用!I188*其他调用!$M188</f>
        <v>237659986.20579663</v>
      </c>
      <c r="AQ187" s="2">
        <f>求节点(节奏总纲!F$4:F$163,AJ$4:AJ$163,$AN187)*其他调用!J188*其他调用!$M188</f>
        <v>23800739.083736781</v>
      </c>
      <c r="AR187" s="2">
        <f>求节点(节奏总纲!G$4:G$163,AK$4:AK$163,$AN187)*其他调用!K188*其他调用!$M188</f>
        <v>5730250.001608206</v>
      </c>
      <c r="AS187" s="2">
        <f>求节点(节奏总纲!H$4:H$163,AL$4:AL$163,$AN187)*其他调用!L188*其他调用!$M188</f>
        <v>2054565.2315603828</v>
      </c>
      <c r="AT187" s="2">
        <f t="shared" si="17"/>
        <v>481743772.21687549</v>
      </c>
      <c r="BF187" s="2">
        <v>184</v>
      </c>
      <c r="BG187" s="2">
        <f>求节点(节奏总纲!D$4:D$163,AZ$4:AZ$163,$AN187)</f>
        <v>7931.1696095223142</v>
      </c>
      <c r="BH187" s="2">
        <f>求节点(节奏总纲!E$4:E$163,BA$4:BA$163,$AN187)</f>
        <v>24481.730927127013</v>
      </c>
      <c r="BI187" s="2">
        <f>求节点(节奏总纲!F$4:F$163,BB$4:BB$163,$AN187)</f>
        <v>76173.56413503339</v>
      </c>
      <c r="BJ187" s="2">
        <f>求节点(节奏总纲!G$4:G$163,BC$4:BC$163,$AN187)</f>
        <v>36694.43785535697</v>
      </c>
      <c r="BK187" s="2">
        <f>求节点(节奏总纲!H$4:H$163,BD$4:BD$163,$AN187)</f>
        <v>10942.277039088469</v>
      </c>
      <c r="BL187" s="2">
        <f>BG187*其他调用!H188*其他调用!$M188</f>
        <v>380399.12093798682</v>
      </c>
      <c r="BM187" s="2">
        <f>BH187*其他调用!I188*其他调用!$M188</f>
        <v>1157778.1144193246</v>
      </c>
      <c r="BN187" s="2">
        <f>BI187*其他调用!J188*其他调用!$M188</f>
        <v>294061.95153068937</v>
      </c>
      <c r="BO187" s="2">
        <f>BJ187*其他调用!K188*其他调用!$M188</f>
        <v>25201.593141307752</v>
      </c>
      <c r="BP187" s="2">
        <f>BK187*其他调用!L188*其他调用!$M188</f>
        <v>2174.4492932076605</v>
      </c>
      <c r="BQ187" s="2">
        <f t="shared" si="18"/>
        <v>1859615.2293225161</v>
      </c>
      <c r="BR187" s="2">
        <f>[1]服务器生态!$R186</f>
        <v>6.0699704287959247E-2</v>
      </c>
      <c r="BS187" s="2" t="e">
        <f>SUMPRODUCT((BG$4:BG187)*($BR$4:$BR187)*(其他调用!#REF!))</f>
        <v>#REF!</v>
      </c>
      <c r="BT187" s="2" t="e">
        <f>SUMPRODUCT((BH$4:BH187)*($BR$4:$BR187)*(其他调用!#REF!))</f>
        <v>#REF!</v>
      </c>
      <c r="BU187" s="2" t="e">
        <f>SUMPRODUCT((BI$4:BI187)*($BR$4:$BR187)*(其他调用!#REF!))</f>
        <v>#REF!</v>
      </c>
      <c r="BV187" s="2" t="e">
        <f>SUMPRODUCT((BJ$4:BJ187)*($BR$4:$BR187)*(其他调用!#REF!))</f>
        <v>#REF!</v>
      </c>
      <c r="BW187" s="2" t="e">
        <f>SUMPRODUCT((BK$4:BK187)*($BR$4:$BR187)*(其他调用!#REF!))</f>
        <v>#REF!</v>
      </c>
      <c r="BX187" s="2" t="e">
        <f>SUMPRODUCT((BG$4:BG187)*($BR$4:$BR187))*'[1]功能-战损相关'!$D$2-BS187</f>
        <v>#REF!</v>
      </c>
      <c r="BY187" s="2" t="e">
        <f>SUMPRODUCT((BH$4:BH187)*($BR$4:$BR187))*'[1]功能-战损相关'!$D$2-BT187</f>
        <v>#REF!</v>
      </c>
      <c r="BZ187" s="2" t="e">
        <f>SUMPRODUCT((BI$4:BI187)*($BR$4:$BR187))*'[1]功能-战损相关'!$D$2-BU187</f>
        <v>#REF!</v>
      </c>
      <c r="CA187" s="2" t="e">
        <f>SUMPRODUCT((BJ$4:BJ187)*($BR$4:$BR187))*'[1]功能-战损相关'!$D$2-BV187</f>
        <v>#REF!</v>
      </c>
      <c r="CB187" s="2" t="e">
        <f>SUMPRODUCT((BK$4:BK187)*($BR$4:$BR187))*'[1]功能-战损相关'!$D$2-BW187</f>
        <v>#REF!</v>
      </c>
    </row>
    <row r="188" spans="40:80" x14ac:dyDescent="0.2">
      <c r="AN188" s="2">
        <v>185</v>
      </c>
      <c r="AO188" s="2">
        <f>求节点(节奏总纲!D$4:D$163,AH$4:AH$163,$AN188)*其他调用!H189*其他调用!$M189</f>
        <v>212992449.49031943</v>
      </c>
      <c r="AP188" s="2">
        <f>求节点(节奏总纲!E$4:E$163,AI$4:AI$163,$AN188)*其他调用!I189*其他调用!$M189</f>
        <v>238288665.92036179</v>
      </c>
      <c r="AQ188" s="2">
        <f>求节点(节奏总纲!F$4:F$163,AJ$4:AJ$163,$AN188)*其他调用!J189*其他调用!$M189</f>
        <v>23861264.549949322</v>
      </c>
      <c r="AR188" s="2">
        <f>求节点(节奏总纲!G$4:G$163,AK$4:AK$163,$AN188)*其他调用!K189*其他调用!$M189</f>
        <v>5736847.6498430511</v>
      </c>
      <c r="AS188" s="2">
        <f>求节点(节奏总纲!H$4:H$163,AL$4:AL$163,$AN188)*其他调用!L189*其他调用!$M189</f>
        <v>2056690.4947888767</v>
      </c>
      <c r="AT188" s="2">
        <f t="shared" ref="AT188:AT251" si="19">SUM(AO188:AS188)</f>
        <v>482935918.10526252</v>
      </c>
      <c r="BF188" s="2">
        <v>185</v>
      </c>
      <c r="BG188" s="2">
        <f>求节点(节奏总纲!D$4:D$163,AZ$4:AZ$163,$AN188)</f>
        <v>7937.1908022320458</v>
      </c>
      <c r="BH188" s="2">
        <f>求节点(节奏总纲!E$4:E$163,BA$4:BA$163,$AN188)</f>
        <v>24500.785144352503</v>
      </c>
      <c r="BI188" s="2">
        <f>求节点(节奏总纲!F$4:F$163,BB$4:BB$163,$AN188)</f>
        <v>76231.241414519493</v>
      </c>
      <c r="BJ188" s="2">
        <f>求节点(节奏总纲!G$4:G$163,BC$4:BC$163,$AN188)</f>
        <v>36720.57366712451</v>
      </c>
      <c r="BK188" s="2">
        <f>求节点(节奏总纲!H$4:H$163,BD$4:BD$163,$AN188)</f>
        <v>10947.859789583988</v>
      </c>
      <c r="BL188" s="2">
        <f>BG188*其他调用!H189*其他调用!$M189</f>
        <v>380687.91269589227</v>
      </c>
      <c r="BM188" s="2">
        <f>BH188*其他调用!I189*其他调用!$M189</f>
        <v>1158679.2171949709</v>
      </c>
      <c r="BN188" s="2">
        <f>BI188*其他调用!J189*其他调用!$M189</f>
        <v>294284.61005477526</v>
      </c>
      <c r="BO188" s="2">
        <f>BJ188*其他调用!K189*其他调用!$M189</f>
        <v>25219.543112286454</v>
      </c>
      <c r="BP188" s="2">
        <f>BK188*其他调用!L189*其他调用!$M189</f>
        <v>2175.55869738613</v>
      </c>
      <c r="BQ188" s="2">
        <f t="shared" ref="BQ188:BQ251" si="20">SUM(BL188:BP188)</f>
        <v>1861046.841755311</v>
      </c>
      <c r="BR188" s="2">
        <f>[1]服务器生态!$R187</f>
        <v>5.4992532812946207E-2</v>
      </c>
      <c r="BS188" s="2" t="e">
        <f>SUMPRODUCT((BG$4:BG188)*($BR$4:$BR188)*(其他调用!#REF!))</f>
        <v>#REF!</v>
      </c>
      <c r="BT188" s="2" t="e">
        <f>SUMPRODUCT((BH$4:BH188)*($BR$4:$BR188)*(其他调用!#REF!))</f>
        <v>#REF!</v>
      </c>
      <c r="BU188" s="2" t="e">
        <f>SUMPRODUCT((BI$4:BI188)*($BR$4:$BR188)*(其他调用!#REF!))</f>
        <v>#REF!</v>
      </c>
      <c r="BV188" s="2" t="e">
        <f>SUMPRODUCT((BJ$4:BJ188)*($BR$4:$BR188)*(其他调用!#REF!))</f>
        <v>#REF!</v>
      </c>
      <c r="BW188" s="2" t="e">
        <f>SUMPRODUCT((BK$4:BK188)*($BR$4:$BR188)*(其他调用!#REF!))</f>
        <v>#REF!</v>
      </c>
      <c r="BX188" s="2" t="e">
        <f>SUMPRODUCT((BG$4:BG188)*($BR$4:$BR188))*'[1]功能-战损相关'!$D$2-BS188</f>
        <v>#REF!</v>
      </c>
      <c r="BY188" s="2" t="e">
        <f>SUMPRODUCT((BH$4:BH188)*($BR$4:$BR188))*'[1]功能-战损相关'!$D$2-BT188</f>
        <v>#REF!</v>
      </c>
      <c r="BZ188" s="2" t="e">
        <f>SUMPRODUCT((BI$4:BI188)*($BR$4:$BR188))*'[1]功能-战损相关'!$D$2-BU188</f>
        <v>#REF!</v>
      </c>
      <c r="CA188" s="2" t="e">
        <f>SUMPRODUCT((BJ$4:BJ188)*($BR$4:$BR188))*'[1]功能-战损相关'!$D$2-BV188</f>
        <v>#REF!</v>
      </c>
      <c r="CB188" s="2" t="e">
        <f>SUMPRODUCT((BK$4:BK188)*($BR$4:$BR188))*'[1]功能-战损相关'!$D$2-BW188</f>
        <v>#REF!</v>
      </c>
    </row>
    <row r="189" spans="40:80" x14ac:dyDescent="0.2">
      <c r="AN189" s="2">
        <v>186</v>
      </c>
      <c r="AO189" s="2">
        <f>求节点(节奏总纲!D$4:D$163,AH$4:AH$163,$AN189)*其他调用!H190*其他调用!$M190</f>
        <v>213486667.28646538</v>
      </c>
      <c r="AP189" s="2">
        <f>求节点(节奏总纲!E$4:E$163,AI$4:AI$163,$AN189)*其他调用!I190*其他调用!$M190</f>
        <v>238917345.634927</v>
      </c>
      <c r="AQ189" s="2">
        <f>求节点(节奏总纲!F$4:F$163,AJ$4:AJ$163,$AN189)*其他调用!J190*其他调用!$M190</f>
        <v>23921790.01616187</v>
      </c>
      <c r="AR189" s="2">
        <f>求节点(节奏总纲!G$4:G$163,AK$4:AK$163,$AN189)*其他调用!K190*其他调用!$M190</f>
        <v>5743216.6793924645</v>
      </c>
      <c r="AS189" s="2">
        <f>求节点(节奏总纲!H$4:H$163,AL$4:AL$163,$AN189)*其他调用!L190*其他调用!$M190</f>
        <v>2058815.7580173716</v>
      </c>
      <c r="AT189" s="2">
        <f t="shared" si="19"/>
        <v>484127835.37496406</v>
      </c>
      <c r="BF189" s="2">
        <v>186</v>
      </c>
      <c r="BG189" s="2">
        <f>求节点(节奏总纲!D$4:D$163,AZ$4:AZ$163,$AN189)</f>
        <v>7943.2119949417765</v>
      </c>
      <c r="BH189" s="2">
        <f>求节点(节奏总纲!E$4:E$163,BA$4:BA$163,$AN189)</f>
        <v>24519.839361577993</v>
      </c>
      <c r="BI189" s="2">
        <f>求节点(节奏总纲!F$4:F$163,BB$4:BB$163,$AN189)</f>
        <v>76288.918694005581</v>
      </c>
      <c r="BJ189" s="2">
        <f>求节点(节奏总纲!G$4:G$163,BC$4:BC$163,$AN189)</f>
        <v>36746.203517154405</v>
      </c>
      <c r="BK189" s="2">
        <f>求节点(节奏总纲!H$4:H$163,BD$4:BD$163,$AN189)</f>
        <v>10953.44254007951</v>
      </c>
      <c r="BL189" s="2">
        <f>BG189*其他调用!H190*其他调用!$M190</f>
        <v>380976.70445379766</v>
      </c>
      <c r="BM189" s="2">
        <f>BH189*其他调用!I190*其他调用!$M190</f>
        <v>1159580.3199706175</v>
      </c>
      <c r="BN189" s="2">
        <f>BI189*其他调用!J190*其他调用!$M190</f>
        <v>294507.26857886103</v>
      </c>
      <c r="BO189" s="2">
        <f>BJ189*其他调用!K190*其他调用!$M190</f>
        <v>25237.145590767585</v>
      </c>
      <c r="BP189" s="2">
        <f>BK189*其他调用!L190*其他调用!$M190</f>
        <v>2176.6681015646</v>
      </c>
      <c r="BQ189" s="2">
        <f t="shared" si="20"/>
        <v>1862478.106695608</v>
      </c>
      <c r="BR189" s="2">
        <f>[1]服务器生态!$R188</f>
        <v>4.9285361337933167E-2</v>
      </c>
      <c r="BS189" s="2" t="e">
        <f>SUMPRODUCT((BG$4:BG189)*($BR$4:$BR189)*(其他调用!#REF!))</f>
        <v>#REF!</v>
      </c>
      <c r="BT189" s="2" t="e">
        <f>SUMPRODUCT((BH$4:BH189)*($BR$4:$BR189)*(其他调用!#REF!))</f>
        <v>#REF!</v>
      </c>
      <c r="BU189" s="2" t="e">
        <f>SUMPRODUCT((BI$4:BI189)*($BR$4:$BR189)*(其他调用!#REF!))</f>
        <v>#REF!</v>
      </c>
      <c r="BV189" s="2" t="e">
        <f>SUMPRODUCT((BJ$4:BJ189)*($BR$4:$BR189)*(其他调用!#REF!))</f>
        <v>#REF!</v>
      </c>
      <c r="BW189" s="2" t="e">
        <f>SUMPRODUCT((BK$4:BK189)*($BR$4:$BR189)*(其他调用!#REF!))</f>
        <v>#REF!</v>
      </c>
      <c r="BX189" s="2" t="e">
        <f>SUMPRODUCT((BG$4:BG189)*($BR$4:$BR189))*'[1]功能-战损相关'!$D$2-BS189</f>
        <v>#REF!</v>
      </c>
      <c r="BY189" s="2" t="e">
        <f>SUMPRODUCT((BH$4:BH189)*($BR$4:$BR189))*'[1]功能-战损相关'!$D$2-BT189</f>
        <v>#REF!</v>
      </c>
      <c r="BZ189" s="2" t="e">
        <f>SUMPRODUCT((BI$4:BI189)*($BR$4:$BR189))*'[1]功能-战损相关'!$D$2-BU189</f>
        <v>#REF!</v>
      </c>
      <c r="CA189" s="2" t="e">
        <f>SUMPRODUCT((BJ$4:BJ189)*($BR$4:$BR189))*'[1]功能-战损相关'!$D$2-BV189</f>
        <v>#REF!</v>
      </c>
      <c r="CB189" s="2" t="e">
        <f>SUMPRODUCT((BK$4:BK189)*($BR$4:$BR189))*'[1]功能-战损相关'!$D$2-BW189</f>
        <v>#REF!</v>
      </c>
    </row>
    <row r="190" spans="40:80" x14ac:dyDescent="0.2">
      <c r="AN190" s="2">
        <v>187</v>
      </c>
      <c r="AO190" s="2">
        <f>求节点(节奏总纲!D$4:D$163,AH$4:AH$163,$AN190)*其他调用!H191*其他调用!$M191</f>
        <v>213980885.08261129</v>
      </c>
      <c r="AP190" s="2">
        <f>求节点(节奏总纲!E$4:E$163,AI$4:AI$163,$AN190)*其他调用!I191*其他调用!$M191</f>
        <v>239546025.34949225</v>
      </c>
      <c r="AQ190" s="2">
        <f>求节点(节奏总纲!F$4:F$163,AJ$4:AJ$163,$AN190)*其他调用!J191*其他调用!$M191</f>
        <v>23982315.482374411</v>
      </c>
      <c r="AR190" s="2">
        <f>求节点(节奏总纲!G$4:G$163,AK$4:AK$163,$AN190)*其他调用!K191*其他调用!$M191</f>
        <v>5749277.8184612468</v>
      </c>
      <c r="AS190" s="2">
        <f>求节点(节奏总纲!H$4:H$163,AL$4:AL$163,$AN190)*其他调用!L191*其他调用!$M191</f>
        <v>2060941.0212458656</v>
      </c>
      <c r="AT190" s="2">
        <f t="shared" si="19"/>
        <v>485319444.75418502</v>
      </c>
      <c r="BF190" s="2">
        <v>187</v>
      </c>
      <c r="BG190" s="2">
        <f>求节点(节奏总纲!D$4:D$163,AZ$4:AZ$163,$AN190)</f>
        <v>7949.2331876515073</v>
      </c>
      <c r="BH190" s="2">
        <f>求节点(节奏总纲!E$4:E$163,BA$4:BA$163,$AN190)</f>
        <v>24538.893578803483</v>
      </c>
      <c r="BI190" s="2">
        <f>求节点(节奏总纲!F$4:F$163,BB$4:BB$163,$AN190)</f>
        <v>76346.595973491683</v>
      </c>
      <c r="BJ190" s="2">
        <f>求节点(节奏总纲!G$4:G$163,BC$4:BC$163,$AN190)</f>
        <v>36771.151967051614</v>
      </c>
      <c r="BK190" s="2">
        <f>求节点(节奏总纲!H$4:H$163,BD$4:BD$163,$AN190)</f>
        <v>10959.025290575029</v>
      </c>
      <c r="BL190" s="2">
        <f>BG190*其他调用!H191*其他调用!$M191</f>
        <v>381265.49621170305</v>
      </c>
      <c r="BM190" s="2">
        <f>BH190*其他调用!I191*其他调用!$M191</f>
        <v>1160481.4227462641</v>
      </c>
      <c r="BN190" s="2">
        <f>BI190*其他调用!J191*其他调用!$M191</f>
        <v>294729.92710294685</v>
      </c>
      <c r="BO190" s="2">
        <f>BJ190*其他调用!K191*其他调用!$M191</f>
        <v>25254.280086363186</v>
      </c>
      <c r="BP190" s="2">
        <f>BK190*其他调用!L191*其他调用!$M191</f>
        <v>2177.7775057430695</v>
      </c>
      <c r="BQ190" s="2">
        <f t="shared" si="20"/>
        <v>1863908.9036530205</v>
      </c>
      <c r="BR190" s="2">
        <f>[1]服务器生态!$R189</f>
        <v>4.3578189862920128E-2</v>
      </c>
      <c r="BS190" s="2" t="e">
        <f>SUMPRODUCT((BG$4:BG190)*($BR$4:$BR190)*(其他调用!#REF!))</f>
        <v>#REF!</v>
      </c>
      <c r="BT190" s="2" t="e">
        <f>SUMPRODUCT((BH$4:BH190)*($BR$4:$BR190)*(其他调用!#REF!))</f>
        <v>#REF!</v>
      </c>
      <c r="BU190" s="2" t="e">
        <f>SUMPRODUCT((BI$4:BI190)*($BR$4:$BR190)*(其他调用!#REF!))</f>
        <v>#REF!</v>
      </c>
      <c r="BV190" s="2" t="e">
        <f>SUMPRODUCT((BJ$4:BJ190)*($BR$4:$BR190)*(其他调用!#REF!))</f>
        <v>#REF!</v>
      </c>
      <c r="BW190" s="2" t="e">
        <f>SUMPRODUCT((BK$4:BK190)*($BR$4:$BR190)*(其他调用!#REF!))</f>
        <v>#REF!</v>
      </c>
      <c r="BX190" s="2" t="e">
        <f>SUMPRODUCT((BG$4:BG190)*($BR$4:$BR190))*'[1]功能-战损相关'!$D$2-BS190</f>
        <v>#REF!</v>
      </c>
      <c r="BY190" s="2" t="e">
        <f>SUMPRODUCT((BH$4:BH190)*($BR$4:$BR190))*'[1]功能-战损相关'!$D$2-BT190</f>
        <v>#REF!</v>
      </c>
      <c r="BZ190" s="2" t="e">
        <f>SUMPRODUCT((BI$4:BI190)*($BR$4:$BR190))*'[1]功能-战损相关'!$D$2-BU190</f>
        <v>#REF!</v>
      </c>
      <c r="CA190" s="2" t="e">
        <f>SUMPRODUCT((BJ$4:BJ190)*($BR$4:$BR190))*'[1]功能-战损相关'!$D$2-BV190</f>
        <v>#REF!</v>
      </c>
      <c r="CB190" s="2" t="e">
        <f>SUMPRODUCT((BK$4:BK190)*($BR$4:$BR190))*'[1]功能-战损相关'!$D$2-BW190</f>
        <v>#REF!</v>
      </c>
    </row>
    <row r="191" spans="40:80" x14ac:dyDescent="0.2">
      <c r="AN191" s="2">
        <v>188</v>
      </c>
      <c r="AO191" s="2">
        <f>求节点(节奏总纲!D$4:D$163,AH$4:AH$163,$AN191)*其他调用!H192*其他调用!$M192</f>
        <v>214475102.87875718</v>
      </c>
      <c r="AP191" s="2">
        <f>求节点(节奏总纲!E$4:E$163,AI$4:AI$163,$AN191)*其他调用!I192*其他调用!$M192</f>
        <v>240174705.06405741</v>
      </c>
      <c r="AQ191" s="2">
        <f>求节点(节奏总纲!F$4:F$163,AJ$4:AJ$163,$AN191)*其他调用!J192*其他调用!$M192</f>
        <v>24042840.948586959</v>
      </c>
      <c r="AR191" s="2">
        <f>求节点(节奏总纲!G$4:G$163,AK$4:AK$163,$AN191)*其他调用!K192*其他调用!$M192</f>
        <v>5755338.9575300291</v>
      </c>
      <c r="AS191" s="2">
        <f>求节点(节奏总纲!H$4:H$163,AL$4:AL$163,$AN191)*其他调用!L192*其他调用!$M192</f>
        <v>2063066.2844743601</v>
      </c>
      <c r="AT191" s="2">
        <f t="shared" si="19"/>
        <v>486511054.13340592</v>
      </c>
      <c r="BF191" s="2">
        <v>188</v>
      </c>
      <c r="BG191" s="2">
        <f>求节点(节奏总纲!D$4:D$163,AZ$4:AZ$163,$AN191)</f>
        <v>7955.254380361238</v>
      </c>
      <c r="BH191" s="2">
        <f>求节点(节奏总纲!E$4:E$163,BA$4:BA$163,$AN191)</f>
        <v>24557.947796028973</v>
      </c>
      <c r="BI191" s="2">
        <f>求节点(节奏总纲!F$4:F$163,BB$4:BB$163,$AN191)</f>
        <v>76404.273252977786</v>
      </c>
      <c r="BJ191" s="2">
        <f>求节点(节奏总纲!G$4:G$163,BC$4:BC$163,$AN191)</f>
        <v>36796.100416948822</v>
      </c>
      <c r="BK191" s="2">
        <f>求节点(节奏总纲!H$4:H$163,BD$4:BD$163,$AN191)</f>
        <v>10964.608041070551</v>
      </c>
      <c r="BL191" s="2">
        <f>BG191*其他调用!H192*其他调用!$M192</f>
        <v>381554.28796960844</v>
      </c>
      <c r="BM191" s="2">
        <f>BH191*其他调用!I192*其他调用!$M192</f>
        <v>1161382.5255219105</v>
      </c>
      <c r="BN191" s="2">
        <f>BI191*其他调用!J192*其他调用!$M192</f>
        <v>294952.58562703268</v>
      </c>
      <c r="BO191" s="2">
        <f>BJ191*其他调用!K192*其他调用!$M192</f>
        <v>25271.41458195879</v>
      </c>
      <c r="BP191" s="2">
        <f>BK191*其他调用!L192*其他调用!$M192</f>
        <v>2178.8869099215399</v>
      </c>
      <c r="BQ191" s="2">
        <f t="shared" si="20"/>
        <v>1865339.7006104323</v>
      </c>
      <c r="BR191" s="2">
        <f>[1]服务器生态!$R190</f>
        <v>4.024549113570286E-2</v>
      </c>
      <c r="BS191" s="2" t="e">
        <f>SUMPRODUCT((BG$4:BG191)*($BR$4:$BR191)*(其他调用!#REF!))</f>
        <v>#REF!</v>
      </c>
      <c r="BT191" s="2" t="e">
        <f>SUMPRODUCT((BH$4:BH191)*($BR$4:$BR191)*(其他调用!#REF!))</f>
        <v>#REF!</v>
      </c>
      <c r="BU191" s="2" t="e">
        <f>SUMPRODUCT((BI$4:BI191)*($BR$4:$BR191)*(其他调用!#REF!))</f>
        <v>#REF!</v>
      </c>
      <c r="BV191" s="2" t="e">
        <f>SUMPRODUCT((BJ$4:BJ191)*($BR$4:$BR191)*(其他调用!#REF!))</f>
        <v>#REF!</v>
      </c>
      <c r="BW191" s="2" t="e">
        <f>SUMPRODUCT((BK$4:BK191)*($BR$4:$BR191)*(其他调用!#REF!))</f>
        <v>#REF!</v>
      </c>
      <c r="BX191" s="2" t="e">
        <f>SUMPRODUCT((BG$4:BG191)*($BR$4:$BR191))*'[1]功能-战损相关'!$D$2-BS191</f>
        <v>#REF!</v>
      </c>
      <c r="BY191" s="2" t="e">
        <f>SUMPRODUCT((BH$4:BH191)*($BR$4:$BR191))*'[1]功能-战损相关'!$D$2-BT191</f>
        <v>#REF!</v>
      </c>
      <c r="BZ191" s="2" t="e">
        <f>SUMPRODUCT((BI$4:BI191)*($BR$4:$BR191))*'[1]功能-战损相关'!$D$2-BU191</f>
        <v>#REF!</v>
      </c>
      <c r="CA191" s="2" t="e">
        <f>SUMPRODUCT((BJ$4:BJ191)*($BR$4:$BR191))*'[1]功能-战损相关'!$D$2-BV191</f>
        <v>#REF!</v>
      </c>
      <c r="CB191" s="2" t="e">
        <f>SUMPRODUCT((BK$4:BK191)*($BR$4:$BR191))*'[1]功能-战损相关'!$D$2-BW191</f>
        <v>#REF!</v>
      </c>
    </row>
    <row r="192" spans="40:80" x14ac:dyDescent="0.2">
      <c r="AN192" s="2">
        <v>189</v>
      </c>
      <c r="AO192" s="2">
        <f>求节点(节奏总纲!D$4:D$163,AH$4:AH$163,$AN192)*其他调用!H193*其他调用!$M193</f>
        <v>214969320.67490312</v>
      </c>
      <c r="AP192" s="2">
        <f>求节点(节奏总纲!E$4:E$163,AI$4:AI$163,$AN192)*其他调用!I193*其他调用!$M193</f>
        <v>240803384.77862263</v>
      </c>
      <c r="AQ192" s="2">
        <f>求节点(节奏总纲!F$4:F$163,AJ$4:AJ$163,$AN192)*其他调用!J193*其他调用!$M193</f>
        <v>24103366.414799504</v>
      </c>
      <c r="AR192" s="2">
        <f>求节点(节奏总纲!G$4:G$163,AK$4:AK$163,$AN192)*其他调用!K193*其他调用!$M193</f>
        <v>5761400.0965988114</v>
      </c>
      <c r="AS192" s="2">
        <f>求节点(节奏总纲!H$4:H$163,AL$4:AL$163,$AN192)*其他调用!L193*其他调用!$M193</f>
        <v>2065191.5477028545</v>
      </c>
      <c r="AT192" s="2">
        <f t="shared" si="19"/>
        <v>487702663.51262695</v>
      </c>
      <c r="BF192" s="2">
        <v>189</v>
      </c>
      <c r="BG192" s="2">
        <f>求节点(节奏总纲!D$4:D$163,AZ$4:AZ$163,$AN192)</f>
        <v>7961.2755730709687</v>
      </c>
      <c r="BH192" s="2">
        <f>求节点(节奏总纲!E$4:E$163,BA$4:BA$163,$AN192)</f>
        <v>24577.002013254463</v>
      </c>
      <c r="BI192" s="2">
        <f>求节点(节奏总纲!F$4:F$163,BB$4:BB$163,$AN192)</f>
        <v>76461.950532463889</v>
      </c>
      <c r="BJ192" s="2">
        <f>求节点(节奏总纲!G$4:G$163,BC$4:BC$163,$AN192)</f>
        <v>36821.048866846031</v>
      </c>
      <c r="BK192" s="2">
        <f>求节点(节奏总纲!H$4:H$163,BD$4:BD$163,$AN192)</f>
        <v>10970.19079156607</v>
      </c>
      <c r="BL192" s="2">
        <f>BG192*其他调用!H193*其他调用!$M193</f>
        <v>381843.07972751383</v>
      </c>
      <c r="BM192" s="2">
        <f>BH192*其他调用!I193*其他调用!$M193</f>
        <v>1162283.6282975569</v>
      </c>
      <c r="BN192" s="2">
        <f>BI192*其他调用!J193*其他调用!$M193</f>
        <v>295175.2441511185</v>
      </c>
      <c r="BO192" s="2">
        <f>BJ192*其他调用!K193*其他调用!$M193</f>
        <v>25288.549077554391</v>
      </c>
      <c r="BP192" s="2">
        <f>BK192*其他调用!L193*其他调用!$M193</f>
        <v>2179.9963141000089</v>
      </c>
      <c r="BQ192" s="2">
        <f t="shared" si="20"/>
        <v>1866770.4975678436</v>
      </c>
      <c r="BR192" s="2">
        <f>[1]服务器生态!$R191</f>
        <v>3.9287265156281365E-2</v>
      </c>
      <c r="BS192" s="2" t="e">
        <f>SUMPRODUCT((BG$4:BG192)*($BR$4:$BR192)*(其他调用!#REF!))</f>
        <v>#REF!</v>
      </c>
      <c r="BT192" s="2" t="e">
        <f>SUMPRODUCT((BH$4:BH192)*($BR$4:$BR192)*(其他调用!#REF!))</f>
        <v>#REF!</v>
      </c>
      <c r="BU192" s="2" t="e">
        <f>SUMPRODUCT((BI$4:BI192)*($BR$4:$BR192)*(其他调用!#REF!))</f>
        <v>#REF!</v>
      </c>
      <c r="BV192" s="2" t="e">
        <f>SUMPRODUCT((BJ$4:BJ192)*($BR$4:$BR192)*(其他调用!#REF!))</f>
        <v>#REF!</v>
      </c>
      <c r="BW192" s="2" t="e">
        <f>SUMPRODUCT((BK$4:BK192)*($BR$4:$BR192)*(其他调用!#REF!))</f>
        <v>#REF!</v>
      </c>
      <c r="BX192" s="2" t="e">
        <f>SUMPRODUCT((BG$4:BG192)*($BR$4:$BR192))*'[1]功能-战损相关'!$D$2-BS192</f>
        <v>#REF!</v>
      </c>
      <c r="BY192" s="2" t="e">
        <f>SUMPRODUCT((BH$4:BH192)*($BR$4:$BR192))*'[1]功能-战损相关'!$D$2-BT192</f>
        <v>#REF!</v>
      </c>
      <c r="BZ192" s="2" t="e">
        <f>SUMPRODUCT((BI$4:BI192)*($BR$4:$BR192))*'[1]功能-战损相关'!$D$2-BU192</f>
        <v>#REF!</v>
      </c>
      <c r="CA192" s="2" t="e">
        <f>SUMPRODUCT((BJ$4:BJ192)*($BR$4:$BR192))*'[1]功能-战损相关'!$D$2-BV192</f>
        <v>#REF!</v>
      </c>
      <c r="CB192" s="2" t="e">
        <f>SUMPRODUCT((BK$4:BK192)*($BR$4:$BR192))*'[1]功能-战损相关'!$D$2-BW192</f>
        <v>#REF!</v>
      </c>
    </row>
    <row r="193" spans="40:80" x14ac:dyDescent="0.2">
      <c r="AN193" s="2">
        <v>190</v>
      </c>
      <c r="AO193" s="2">
        <f>求节点(节奏总纲!D$4:D$163,AH$4:AH$163,$AN193)*其他调用!H194*其他调用!$M194</f>
        <v>215463538.47104907</v>
      </c>
      <c r="AP193" s="2">
        <f>求节点(节奏总纲!E$4:E$163,AI$4:AI$163,$AN193)*其他调用!I194*其他调用!$M194</f>
        <v>241432064.49318784</v>
      </c>
      <c r="AQ193" s="2">
        <f>求节点(节奏总纲!F$4:F$163,AJ$4:AJ$163,$AN193)*其他调用!J194*其他调用!$M194</f>
        <v>24163891.881012049</v>
      </c>
      <c r="AR193" s="2">
        <f>求节点(节奏总纲!G$4:G$163,AK$4:AK$163,$AN193)*其他调用!K194*其他调用!$M194</f>
        <v>5767461.2356675938</v>
      </c>
      <c r="AS193" s="2">
        <f>求节点(节奏总纲!H$4:H$163,AL$4:AL$163,$AN193)*其他调用!L194*其他调用!$M194</f>
        <v>2067316.8109313489</v>
      </c>
      <c r="AT193" s="2">
        <f t="shared" si="19"/>
        <v>488894272.89184785</v>
      </c>
      <c r="BF193" s="2">
        <v>190</v>
      </c>
      <c r="BG193" s="2">
        <f>求节点(节奏总纲!D$4:D$163,AZ$4:AZ$163,$AN193)</f>
        <v>7967.2967657806994</v>
      </c>
      <c r="BH193" s="2">
        <f>求节点(节奏总纲!E$4:E$163,BA$4:BA$163,$AN193)</f>
        <v>24596.056230479953</v>
      </c>
      <c r="BI193" s="2">
        <f>求节点(节奏总纲!F$4:F$163,BB$4:BB$163,$AN193)</f>
        <v>76519.627811949991</v>
      </c>
      <c r="BJ193" s="2">
        <f>求节点(节奏总纲!G$4:G$163,BC$4:BC$163,$AN193)</f>
        <v>36845.99731674324</v>
      </c>
      <c r="BK193" s="2">
        <f>求节点(节奏总纲!H$4:H$163,BD$4:BD$163,$AN193)</f>
        <v>10975.773542061592</v>
      </c>
      <c r="BL193" s="2">
        <f>BG193*其他调用!H194*其他调用!$M194</f>
        <v>382131.87148541922</v>
      </c>
      <c r="BM193" s="2">
        <f>BH193*其他调用!I194*其他调用!$M194</f>
        <v>1163184.7310732033</v>
      </c>
      <c r="BN193" s="2">
        <f>BI193*其他调用!J194*其他调用!$M194</f>
        <v>295397.90267520433</v>
      </c>
      <c r="BO193" s="2">
        <f>BJ193*其他调用!K194*其他调用!$M194</f>
        <v>25305.683573149996</v>
      </c>
      <c r="BP193" s="2">
        <f>BK193*其他调用!L194*其他调用!$M194</f>
        <v>2181.1057182784793</v>
      </c>
      <c r="BQ193" s="2">
        <f t="shared" si="20"/>
        <v>1868201.2945252557</v>
      </c>
      <c r="BR193" s="2">
        <f>[1]服务器生态!$R192</f>
        <v>3.8329039176859869E-2</v>
      </c>
      <c r="BS193" s="2" t="e">
        <f>SUMPRODUCT((BG$4:BG193)*($BR$4:$BR193)*(其他调用!#REF!))</f>
        <v>#REF!</v>
      </c>
      <c r="BT193" s="2" t="e">
        <f>SUMPRODUCT((BH$4:BH193)*($BR$4:$BR193)*(其他调用!#REF!))</f>
        <v>#REF!</v>
      </c>
      <c r="BU193" s="2" t="e">
        <f>SUMPRODUCT((BI$4:BI193)*($BR$4:$BR193)*(其他调用!#REF!))</f>
        <v>#REF!</v>
      </c>
      <c r="BV193" s="2" t="e">
        <f>SUMPRODUCT((BJ$4:BJ193)*($BR$4:$BR193)*(其他调用!#REF!))</f>
        <v>#REF!</v>
      </c>
      <c r="BW193" s="2" t="e">
        <f>SUMPRODUCT((BK$4:BK193)*($BR$4:$BR193)*(其他调用!#REF!))</f>
        <v>#REF!</v>
      </c>
      <c r="BX193" s="2" t="e">
        <f>SUMPRODUCT((BG$4:BG193)*($BR$4:$BR193))*'[1]功能-战损相关'!$D$2-BS193</f>
        <v>#REF!</v>
      </c>
      <c r="BY193" s="2" t="e">
        <f>SUMPRODUCT((BH$4:BH193)*($BR$4:$BR193))*'[1]功能-战损相关'!$D$2-BT193</f>
        <v>#REF!</v>
      </c>
      <c r="BZ193" s="2" t="e">
        <f>SUMPRODUCT((BI$4:BI193)*($BR$4:$BR193))*'[1]功能-战损相关'!$D$2-BU193</f>
        <v>#REF!</v>
      </c>
      <c r="CA193" s="2" t="e">
        <f>SUMPRODUCT((BJ$4:BJ193)*($BR$4:$BR193))*'[1]功能-战损相关'!$D$2-BV193</f>
        <v>#REF!</v>
      </c>
      <c r="CB193" s="2" t="e">
        <f>SUMPRODUCT((BK$4:BK193)*($BR$4:$BR193))*'[1]功能-战损相关'!$D$2-BW193</f>
        <v>#REF!</v>
      </c>
    </row>
    <row r="194" spans="40:80" x14ac:dyDescent="0.2">
      <c r="AN194" s="2">
        <v>191</v>
      </c>
      <c r="AO194" s="2">
        <f>求节点(节奏总纲!D$4:D$163,AH$4:AH$163,$AN194)*其他调用!H195*其他调用!$M195</f>
        <v>215957756.26719502</v>
      </c>
      <c r="AP194" s="2">
        <f>求节点(节奏总纲!E$4:E$163,AI$4:AI$163,$AN194)*其他调用!I195*其他调用!$M195</f>
        <v>242060744.20775306</v>
      </c>
      <c r="AQ194" s="2">
        <f>求节点(节奏总纲!F$4:F$163,AJ$4:AJ$163,$AN194)*其他调用!J195*其他调用!$M195</f>
        <v>24224417.347224597</v>
      </c>
      <c r="AR194" s="2">
        <f>求节点(节奏总纲!G$4:G$163,AK$4:AK$163,$AN194)*其他调用!K195*其他调用!$M195</f>
        <v>5773522.3747363761</v>
      </c>
      <c r="AS194" s="2">
        <f>求节点(节奏总纲!H$4:H$163,AL$4:AL$163,$AN194)*其他调用!L195*其他调用!$M195</f>
        <v>2069442.0741598431</v>
      </c>
      <c r="AT194" s="2">
        <f t="shared" si="19"/>
        <v>490085882.27106887</v>
      </c>
      <c r="BF194" s="2">
        <v>191</v>
      </c>
      <c r="BG194" s="2">
        <f>求节点(节奏总纲!D$4:D$163,AZ$4:AZ$163,$AN194)</f>
        <v>7973.317958490431</v>
      </c>
      <c r="BH194" s="2">
        <f>求节点(节奏总纲!E$4:E$163,BA$4:BA$163,$AN194)</f>
        <v>24615.110447705443</v>
      </c>
      <c r="BI194" s="2">
        <f>求节点(节奏总纲!F$4:F$163,BB$4:BB$163,$AN194)</f>
        <v>76577.305091436079</v>
      </c>
      <c r="BJ194" s="2">
        <f>求节点(节奏总纲!G$4:G$163,BC$4:BC$163,$AN194)</f>
        <v>36870.945766640456</v>
      </c>
      <c r="BK194" s="2">
        <f>求节点(节奏总纲!H$4:H$163,BD$4:BD$163,$AN194)</f>
        <v>10981.356292557111</v>
      </c>
      <c r="BL194" s="2">
        <f>BG194*其他调用!H195*其他调用!$M195</f>
        <v>382420.66324332467</v>
      </c>
      <c r="BM194" s="2">
        <f>BH194*其他调用!I195*其他调用!$M195</f>
        <v>1164085.8338488499</v>
      </c>
      <c r="BN194" s="2">
        <f>BI194*其他调用!J195*其他调用!$M195</f>
        <v>295620.56119929015</v>
      </c>
      <c r="BO194" s="2">
        <f>BJ194*其他调用!K195*其他调用!$M195</f>
        <v>25322.818068745604</v>
      </c>
      <c r="BP194" s="2">
        <f>BK194*其他调用!L195*其他调用!$M195</f>
        <v>2182.2151224569488</v>
      </c>
      <c r="BQ194" s="2">
        <f t="shared" si="20"/>
        <v>1869632.0914826673</v>
      </c>
      <c r="BR194" s="2">
        <f>[1]服务器生态!$R193</f>
        <v>3.7370813197438367E-2</v>
      </c>
      <c r="BS194" s="2" t="e">
        <f>SUMPRODUCT((BG$4:BG194)*($BR$4:$BR194)*(其他调用!#REF!))</f>
        <v>#REF!</v>
      </c>
      <c r="BT194" s="2" t="e">
        <f>SUMPRODUCT((BH$4:BH194)*($BR$4:$BR194)*(其他调用!#REF!))</f>
        <v>#REF!</v>
      </c>
      <c r="BU194" s="2" t="e">
        <f>SUMPRODUCT((BI$4:BI194)*($BR$4:$BR194)*(其他调用!#REF!))</f>
        <v>#REF!</v>
      </c>
      <c r="BV194" s="2" t="e">
        <f>SUMPRODUCT((BJ$4:BJ194)*($BR$4:$BR194)*(其他调用!#REF!))</f>
        <v>#REF!</v>
      </c>
      <c r="BW194" s="2" t="e">
        <f>SUMPRODUCT((BK$4:BK194)*($BR$4:$BR194)*(其他调用!#REF!))</f>
        <v>#REF!</v>
      </c>
      <c r="BX194" s="2" t="e">
        <f>SUMPRODUCT((BG$4:BG194)*($BR$4:$BR194))*'[1]功能-战损相关'!$D$2-BS194</f>
        <v>#REF!</v>
      </c>
      <c r="BY194" s="2" t="e">
        <f>SUMPRODUCT((BH$4:BH194)*($BR$4:$BR194))*'[1]功能-战损相关'!$D$2-BT194</f>
        <v>#REF!</v>
      </c>
      <c r="BZ194" s="2" t="e">
        <f>SUMPRODUCT((BI$4:BI194)*($BR$4:$BR194))*'[1]功能-战损相关'!$D$2-BU194</f>
        <v>#REF!</v>
      </c>
      <c r="CA194" s="2" t="e">
        <f>SUMPRODUCT((BJ$4:BJ194)*($BR$4:$BR194))*'[1]功能-战损相关'!$D$2-BV194</f>
        <v>#REF!</v>
      </c>
      <c r="CB194" s="2" t="e">
        <f>SUMPRODUCT((BK$4:BK194)*($BR$4:$BR194))*'[1]功能-战损相关'!$D$2-BW194</f>
        <v>#REF!</v>
      </c>
    </row>
    <row r="195" spans="40:80" x14ac:dyDescent="0.2">
      <c r="AN195" s="2">
        <v>192</v>
      </c>
      <c r="AO195" s="2">
        <f>求节点(节奏总纲!D$4:D$163,AH$4:AH$163,$AN195)*其他调用!H196*其他调用!$M196</f>
        <v>216451974.06334084</v>
      </c>
      <c r="AP195" s="2">
        <f>求节点(节奏总纲!E$4:E$163,AI$4:AI$163,$AN195)*其他调用!I196*其他调用!$M196</f>
        <v>242689423.92231822</v>
      </c>
      <c r="AQ195" s="2">
        <f>求节点(节奏总纲!F$4:F$163,AJ$4:AJ$163,$AN195)*其他调用!J196*其他调用!$M196</f>
        <v>24284942.813437141</v>
      </c>
      <c r="AR195" s="2">
        <f>求节点(节奏总纲!G$4:G$163,AK$4:AK$163,$AN195)*其他调用!K196*其他调用!$M196</f>
        <v>5779583.5138051584</v>
      </c>
      <c r="AS195" s="2">
        <f>求节点(节奏总纲!H$4:H$163,AL$4:AL$163,$AN195)*其他调用!L196*其他调用!$M196</f>
        <v>2071567.3373883376</v>
      </c>
      <c r="AT195" s="2">
        <f t="shared" si="19"/>
        <v>491277491.65028971</v>
      </c>
      <c r="BF195" s="2">
        <v>192</v>
      </c>
      <c r="BG195" s="2">
        <f>求节点(节奏总纲!D$4:D$163,AZ$4:AZ$163,$AN195)</f>
        <v>7979.3391512001617</v>
      </c>
      <c r="BH195" s="2">
        <f>求节点(节奏总纲!E$4:E$163,BA$4:BA$163,$AN195)</f>
        <v>24634.164664930933</v>
      </c>
      <c r="BI195" s="2">
        <f>求节点(节奏总纲!F$4:F$163,BB$4:BB$163,$AN195)</f>
        <v>76634.982370922182</v>
      </c>
      <c r="BJ195" s="2">
        <f>求节点(节奏总纲!G$4:G$163,BC$4:BC$163,$AN195)</f>
        <v>36895.894216537665</v>
      </c>
      <c r="BK195" s="2">
        <f>求节点(节奏总纲!H$4:H$163,BD$4:BD$163,$AN195)</f>
        <v>10986.939043052633</v>
      </c>
      <c r="BL195" s="2">
        <f>BG195*其他调用!H196*其他调用!$M196</f>
        <v>382709.45500123006</v>
      </c>
      <c r="BM195" s="2">
        <f>BH195*其他调用!I196*其他调用!$M196</f>
        <v>1164986.9366244962</v>
      </c>
      <c r="BN195" s="2">
        <f>BI195*其他调用!J196*其他调用!$M196</f>
        <v>295843.21972337598</v>
      </c>
      <c r="BO195" s="2">
        <f>BJ195*其他调用!K196*其他调用!$M196</f>
        <v>25339.952564341209</v>
      </c>
      <c r="BP195" s="2">
        <f>BK195*其他调用!L196*其他调用!$M196</f>
        <v>2183.3245266354188</v>
      </c>
      <c r="BQ195" s="2">
        <f t="shared" si="20"/>
        <v>1871062.8884400791</v>
      </c>
      <c r="BR195" s="2">
        <f>[1]服务器生态!$R194</f>
        <v>3.6412587218016872E-2</v>
      </c>
      <c r="BS195" s="2" t="e">
        <f>SUMPRODUCT((BG$4:BG195)*($BR$4:$BR195)*(其他调用!#REF!))</f>
        <v>#REF!</v>
      </c>
      <c r="BT195" s="2" t="e">
        <f>SUMPRODUCT((BH$4:BH195)*($BR$4:$BR195)*(其他调用!#REF!))</f>
        <v>#REF!</v>
      </c>
      <c r="BU195" s="2" t="e">
        <f>SUMPRODUCT((BI$4:BI195)*($BR$4:$BR195)*(其他调用!#REF!))</f>
        <v>#REF!</v>
      </c>
      <c r="BV195" s="2" t="e">
        <f>SUMPRODUCT((BJ$4:BJ195)*($BR$4:$BR195)*(其他调用!#REF!))</f>
        <v>#REF!</v>
      </c>
      <c r="BW195" s="2" t="e">
        <f>SUMPRODUCT((BK$4:BK195)*($BR$4:$BR195)*(其他调用!#REF!))</f>
        <v>#REF!</v>
      </c>
      <c r="BX195" s="2" t="e">
        <f>SUMPRODUCT((BG$4:BG195)*($BR$4:$BR195))*'[1]功能-战损相关'!$D$2-BS195</f>
        <v>#REF!</v>
      </c>
      <c r="BY195" s="2" t="e">
        <f>SUMPRODUCT((BH$4:BH195)*($BR$4:$BR195))*'[1]功能-战损相关'!$D$2-BT195</f>
        <v>#REF!</v>
      </c>
      <c r="BZ195" s="2" t="e">
        <f>SUMPRODUCT((BI$4:BI195)*($BR$4:$BR195))*'[1]功能-战损相关'!$D$2-BU195</f>
        <v>#REF!</v>
      </c>
      <c r="CA195" s="2" t="e">
        <f>SUMPRODUCT((BJ$4:BJ195)*($BR$4:$BR195))*'[1]功能-战损相关'!$D$2-BV195</f>
        <v>#REF!</v>
      </c>
      <c r="CB195" s="2" t="e">
        <f>SUMPRODUCT((BK$4:BK195)*($BR$4:$BR195))*'[1]功能-战损相关'!$D$2-BW195</f>
        <v>#REF!</v>
      </c>
    </row>
    <row r="196" spans="40:80" x14ac:dyDescent="0.2">
      <c r="AN196" s="2">
        <v>193</v>
      </c>
      <c r="AO196" s="2">
        <f>求节点(节奏总纲!D$4:D$163,AH$4:AH$163,$AN196)*其他调用!H197*其他调用!$M197</f>
        <v>216946191.85948679</v>
      </c>
      <c r="AP196" s="2">
        <f>求节点(节奏总纲!E$4:E$163,AI$4:AI$163,$AN196)*其他调用!I197*其他调用!$M197</f>
        <v>243403259.9860194</v>
      </c>
      <c r="AQ196" s="2">
        <f>求节点(节奏总纲!F$4:F$163,AJ$4:AJ$163,$AN196)*其他调用!J197*其他调用!$M197</f>
        <v>24343683.172936279</v>
      </c>
      <c r="AR196" s="2">
        <f>求节点(节奏总纲!G$4:G$163,AK$4:AK$163,$AN196)*其他调用!K197*其他调用!$M197</f>
        <v>5785644.6528739417</v>
      </c>
      <c r="AS196" s="2">
        <f>求节点(节奏总纲!H$4:H$163,AL$4:AL$163,$AN196)*其他调用!L197*其他调用!$M197</f>
        <v>2073673.4498877381</v>
      </c>
      <c r="AT196" s="2">
        <f t="shared" si="19"/>
        <v>492552453.12120414</v>
      </c>
      <c r="BF196" s="2">
        <v>193</v>
      </c>
      <c r="BG196" s="2">
        <f>求节点(节奏总纲!D$4:D$163,AZ$4:AZ$163,$AN196)</f>
        <v>7985.3603439098924</v>
      </c>
      <c r="BH196" s="2">
        <f>求节点(节奏总纲!E$4:E$163,BA$4:BA$163,$AN196)</f>
        <v>24651.260971713535</v>
      </c>
      <c r="BI196" s="2">
        <f>求节点(节奏总纲!F$4:F$163,BB$4:BB$163,$AN196)</f>
        <v>76690.670941782111</v>
      </c>
      <c r="BJ196" s="2">
        <f>求节点(节奏总纲!G$4:G$163,BC$4:BC$163,$AN196)</f>
        <v>36920.842666434874</v>
      </c>
      <c r="BK196" s="2">
        <f>求节点(节奏总纲!H$4:H$163,BD$4:BD$163,$AN196)</f>
        <v>10992.481529380437</v>
      </c>
      <c r="BL196" s="2">
        <f>BG196*其他调用!H197*其他调用!$M197</f>
        <v>382998.24675913545</v>
      </c>
      <c r="BM196" s="2">
        <f>BH196*其他调用!I197*其他调用!$M197</f>
        <v>1165795.4468515392</v>
      </c>
      <c r="BN196" s="2">
        <f>BI196*其他调用!J197*其他调用!$M197</f>
        <v>296058.20099687914</v>
      </c>
      <c r="BO196" s="2">
        <f>BJ196*其他调用!K197*其他调用!$M197</f>
        <v>25357.087059936814</v>
      </c>
      <c r="BP196" s="2">
        <f>BK196*其他调用!L197*其他调用!$M197</f>
        <v>2184.4259295184802</v>
      </c>
      <c r="BQ196" s="2">
        <f t="shared" si="20"/>
        <v>1872393.4075970089</v>
      </c>
      <c r="BR196" s="2">
        <f>[1]服务器生态!$R195</f>
        <v>3.5454361238595376E-2</v>
      </c>
      <c r="BS196" s="2" t="e">
        <f>SUMPRODUCT((BG$4:BG196)*($BR$4:$BR196)*(其他调用!#REF!))</f>
        <v>#REF!</v>
      </c>
      <c r="BT196" s="2" t="e">
        <f>SUMPRODUCT((BH$4:BH196)*($BR$4:$BR196)*(其他调用!#REF!))</f>
        <v>#REF!</v>
      </c>
      <c r="BU196" s="2" t="e">
        <f>SUMPRODUCT((BI$4:BI196)*($BR$4:$BR196)*(其他调用!#REF!))</f>
        <v>#REF!</v>
      </c>
      <c r="BV196" s="2" t="e">
        <f>SUMPRODUCT((BJ$4:BJ196)*($BR$4:$BR196)*(其他调用!#REF!))</f>
        <v>#REF!</v>
      </c>
      <c r="BW196" s="2" t="e">
        <f>SUMPRODUCT((BK$4:BK196)*($BR$4:$BR196)*(其他调用!#REF!))</f>
        <v>#REF!</v>
      </c>
      <c r="BX196" s="2" t="e">
        <f>SUMPRODUCT((BG$4:BG196)*($BR$4:$BR196))*'[1]功能-战损相关'!$D$2-BS196</f>
        <v>#REF!</v>
      </c>
      <c r="BY196" s="2" t="e">
        <f>SUMPRODUCT((BH$4:BH196)*($BR$4:$BR196))*'[1]功能-战损相关'!$D$2-BT196</f>
        <v>#REF!</v>
      </c>
      <c r="BZ196" s="2" t="e">
        <f>SUMPRODUCT((BI$4:BI196)*($BR$4:$BR196))*'[1]功能-战损相关'!$D$2-BU196</f>
        <v>#REF!</v>
      </c>
      <c r="CA196" s="2" t="e">
        <f>SUMPRODUCT((BJ$4:BJ196)*($BR$4:$BR196))*'[1]功能-战损相关'!$D$2-BV196</f>
        <v>#REF!</v>
      </c>
      <c r="CB196" s="2" t="e">
        <f>SUMPRODUCT((BK$4:BK196)*($BR$4:$BR196))*'[1]功能-战损相关'!$D$2-BW196</f>
        <v>#REF!</v>
      </c>
    </row>
    <row r="197" spans="40:80" x14ac:dyDescent="0.2">
      <c r="AN197" s="2">
        <v>194</v>
      </c>
      <c r="AO197" s="2">
        <f>求节点(节奏总纲!D$4:D$163,AH$4:AH$163,$AN197)*其他调用!H198*其他调用!$M198</f>
        <v>217416784.02229032</v>
      </c>
      <c r="AP197" s="2">
        <f>求节点(节奏总纲!E$4:E$163,AI$4:AI$163,$AN197)*其他调用!I198*其他调用!$M198</f>
        <v>244120906.80462882</v>
      </c>
      <c r="AQ197" s="2">
        <f>求节点(节奏总纲!F$4:F$163,AJ$4:AJ$163,$AN197)*其他调用!J198*其他调用!$M198</f>
        <v>24398732.856433406</v>
      </c>
      <c r="AR197" s="2">
        <f>求节点(节奏总纲!G$4:G$163,AK$4:AK$163,$AN197)*其他调用!K198*其他调用!$M198</f>
        <v>5791705.791942724</v>
      </c>
      <c r="AS197" s="2">
        <f>求节点(节奏总纲!H$4:H$163,AL$4:AL$163,$AN197)*其他调用!L198*其他调用!$M198</f>
        <v>2075675.3767571491</v>
      </c>
      <c r="AT197" s="2">
        <f t="shared" si="19"/>
        <v>493803804.85205239</v>
      </c>
      <c r="BF197" s="2">
        <v>194</v>
      </c>
      <c r="BG197" s="2">
        <f>求节点(节奏总纲!D$4:D$163,AZ$4:AZ$163,$AN197)</f>
        <v>7991.2509552331339</v>
      </c>
      <c r="BH197" s="2">
        <f>求节点(节奏总纲!E$4:E$163,BA$4:BA$163,$AN197)</f>
        <v>24668.269661813341</v>
      </c>
      <c r="BI197" s="2">
        <f>求节点(节奏总纲!F$4:F$163,BB$4:BB$163,$AN197)</f>
        <v>76742.247893349748</v>
      </c>
      <c r="BJ197" s="2">
        <f>求节点(节奏总纲!G$4:G$163,BC$4:BC$163,$AN197)</f>
        <v>36945.791116332082</v>
      </c>
      <c r="BK197" s="2">
        <f>求节点(节奏总纲!H$4:H$163,BD$4:BD$163,$AN197)</f>
        <v>10997.804966727972</v>
      </c>
      <c r="BL197" s="2">
        <f>BG197*其他调用!H198*其他调用!$M198</f>
        <v>383280.77550072968</v>
      </c>
      <c r="BM197" s="2">
        <f>BH197*其他调用!I198*其他调用!$M198</f>
        <v>1166599.8135530243</v>
      </c>
      <c r="BN197" s="2">
        <f>BI197*其他调用!J198*其他调用!$M198</f>
        <v>296257.30969297612</v>
      </c>
      <c r="BO197" s="2">
        <f>BJ197*其他调用!K198*其他调用!$M198</f>
        <v>25374.221555532415</v>
      </c>
      <c r="BP197" s="2">
        <f>BK197*其他调用!L198*其他调用!$M198</f>
        <v>2185.4838029881821</v>
      </c>
      <c r="BQ197" s="2">
        <f t="shared" si="20"/>
        <v>1873697.6041052507</v>
      </c>
      <c r="BR197" s="2">
        <f>[1]服务器生态!$R196</f>
        <v>3.4496135259173881E-2</v>
      </c>
      <c r="BS197" s="2" t="e">
        <f>SUMPRODUCT((BG$4:BG197)*($BR$4:$BR197)*(其他调用!#REF!))</f>
        <v>#REF!</v>
      </c>
      <c r="BT197" s="2" t="e">
        <f>SUMPRODUCT((BH$4:BH197)*($BR$4:$BR197)*(其他调用!#REF!))</f>
        <v>#REF!</v>
      </c>
      <c r="BU197" s="2" t="e">
        <f>SUMPRODUCT((BI$4:BI197)*($BR$4:$BR197)*(其他调用!#REF!))</f>
        <v>#REF!</v>
      </c>
      <c r="BV197" s="2" t="e">
        <f>SUMPRODUCT((BJ$4:BJ197)*($BR$4:$BR197)*(其他调用!#REF!))</f>
        <v>#REF!</v>
      </c>
      <c r="BW197" s="2" t="e">
        <f>SUMPRODUCT((BK$4:BK197)*($BR$4:$BR197)*(其他调用!#REF!))</f>
        <v>#REF!</v>
      </c>
      <c r="BX197" s="2" t="e">
        <f>SUMPRODUCT((BG$4:BG197)*($BR$4:$BR197))*'[1]功能-战损相关'!$D$2-BS197</f>
        <v>#REF!</v>
      </c>
      <c r="BY197" s="2" t="e">
        <f>SUMPRODUCT((BH$4:BH197)*($BR$4:$BR197))*'[1]功能-战损相关'!$D$2-BT197</f>
        <v>#REF!</v>
      </c>
      <c r="BZ197" s="2" t="e">
        <f>SUMPRODUCT((BI$4:BI197)*($BR$4:$BR197))*'[1]功能-战损相关'!$D$2-BU197</f>
        <v>#REF!</v>
      </c>
      <c r="CA197" s="2" t="e">
        <f>SUMPRODUCT((BJ$4:BJ197)*($BR$4:$BR197))*'[1]功能-战损相关'!$D$2-BV197</f>
        <v>#REF!</v>
      </c>
      <c r="CB197" s="2" t="e">
        <f>SUMPRODUCT((BK$4:BK197)*($BR$4:$BR197))*'[1]功能-战损相关'!$D$2-BW197</f>
        <v>#REF!</v>
      </c>
    </row>
    <row r="198" spans="40:80" x14ac:dyDescent="0.2">
      <c r="AN198" s="2">
        <v>195</v>
      </c>
      <c r="AO198" s="2">
        <f>求节点(节奏总纲!D$4:D$163,AH$4:AH$163,$AN198)*其他调用!H199*其他调用!$M199</f>
        <v>217887095.99659014</v>
      </c>
      <c r="AP198" s="2">
        <f>求节点(节奏总纲!E$4:E$163,AI$4:AI$163,$AN198)*其他调用!I199*其他调用!$M199</f>
        <v>244838553.62323812</v>
      </c>
      <c r="AQ198" s="2">
        <f>求节点(节奏总纲!F$4:F$163,AJ$4:AJ$163,$AN198)*其他调用!J199*其他调用!$M199</f>
        <v>24453782.53993053</v>
      </c>
      <c r="AR198" s="2">
        <f>求节点(节奏总纲!G$4:G$163,AK$4:AK$163,$AN198)*其他调用!K199*其他调用!$M199</f>
        <v>5797766.9310115064</v>
      </c>
      <c r="AS198" s="2">
        <f>求节点(节奏总纲!H$4:H$163,AL$4:AL$163,$AN198)*其他调用!L199*其他调用!$M199</f>
        <v>2077677.3036265604</v>
      </c>
      <c r="AT198" s="2">
        <f t="shared" si="19"/>
        <v>495054876.39439678</v>
      </c>
      <c r="BF198" s="2">
        <v>195</v>
      </c>
      <c r="BG198" s="2">
        <f>求节点(节奏总纲!D$4:D$163,AZ$4:AZ$163,$AN198)</f>
        <v>7997.1400179247375</v>
      </c>
      <c r="BH198" s="2">
        <f>求节点(节奏总纲!E$4:E$163,BA$4:BA$163,$AN198)</f>
        <v>24685.278351913148</v>
      </c>
      <c r="BI198" s="2">
        <f>求节点(节奏总纲!F$4:F$163,BB$4:BB$163,$AN198)</f>
        <v>76793.824844917399</v>
      </c>
      <c r="BJ198" s="2">
        <f>求节点(节奏总纲!G$4:G$163,BC$4:BC$163,$AN198)</f>
        <v>36970.739566229291</v>
      </c>
      <c r="BK198" s="2">
        <f>求节点(节奏总纲!H$4:H$163,BD$4:BD$163,$AN198)</f>
        <v>11003.128404075505</v>
      </c>
      <c r="BL198" s="2">
        <f>BG198*其他调用!H199*其他调用!$M199</f>
        <v>383563.22996600112</v>
      </c>
      <c r="BM198" s="2">
        <f>BH198*其他调用!I199*其他调用!$M199</f>
        <v>1167404.1802545092</v>
      </c>
      <c r="BN198" s="2">
        <f>BI198*其他调用!J199*其他调用!$M199</f>
        <v>296456.41838907311</v>
      </c>
      <c r="BO198" s="2">
        <f>BJ198*其他调用!K199*其他调用!$M199</f>
        <v>25391.356051128019</v>
      </c>
      <c r="BP198" s="2">
        <f>BK198*其他调用!L199*其他调用!$M199</f>
        <v>2186.5416764578845</v>
      </c>
      <c r="BQ198" s="2">
        <f t="shared" si="20"/>
        <v>1875001.7263371695</v>
      </c>
      <c r="BR198" s="2">
        <f>[1]服务器生态!$R197</f>
        <v>3.3537909279752386E-2</v>
      </c>
      <c r="BS198" s="2" t="e">
        <f>SUMPRODUCT((BG$4:BG198)*($BR$4:$BR198)*(其他调用!#REF!))</f>
        <v>#REF!</v>
      </c>
      <c r="BT198" s="2" t="e">
        <f>SUMPRODUCT((BH$4:BH198)*($BR$4:$BR198)*(其他调用!#REF!))</f>
        <v>#REF!</v>
      </c>
      <c r="BU198" s="2" t="e">
        <f>SUMPRODUCT((BI$4:BI198)*($BR$4:$BR198)*(其他调用!#REF!))</f>
        <v>#REF!</v>
      </c>
      <c r="BV198" s="2" t="e">
        <f>SUMPRODUCT((BJ$4:BJ198)*($BR$4:$BR198)*(其他调用!#REF!))</f>
        <v>#REF!</v>
      </c>
      <c r="BW198" s="2" t="e">
        <f>SUMPRODUCT((BK$4:BK198)*($BR$4:$BR198)*(其他调用!#REF!))</f>
        <v>#REF!</v>
      </c>
      <c r="BX198" s="2" t="e">
        <f>SUMPRODUCT((BG$4:BG198)*($BR$4:$BR198))*'[1]功能-战损相关'!$D$2-BS198</f>
        <v>#REF!</v>
      </c>
      <c r="BY198" s="2" t="e">
        <f>SUMPRODUCT((BH$4:BH198)*($BR$4:$BR198))*'[1]功能-战损相关'!$D$2-BT198</f>
        <v>#REF!</v>
      </c>
      <c r="BZ198" s="2" t="e">
        <f>SUMPRODUCT((BI$4:BI198)*($BR$4:$BR198))*'[1]功能-战损相关'!$D$2-BU198</f>
        <v>#REF!</v>
      </c>
      <c r="CA198" s="2" t="e">
        <f>SUMPRODUCT((BJ$4:BJ198)*($BR$4:$BR198))*'[1]功能-战损相关'!$D$2-BV198</f>
        <v>#REF!</v>
      </c>
      <c r="CB198" s="2" t="e">
        <f>SUMPRODUCT((BK$4:BK198)*($BR$4:$BR198))*'[1]功能-战损相关'!$D$2-BW198</f>
        <v>#REF!</v>
      </c>
    </row>
    <row r="199" spans="40:80" x14ac:dyDescent="0.2">
      <c r="AN199" s="2">
        <v>196</v>
      </c>
      <c r="AO199" s="2">
        <f>求节点(节奏总纲!D$4:D$163,AH$4:AH$163,$AN199)*其他调用!H200*其他调用!$M200</f>
        <v>218357407.97089005</v>
      </c>
      <c r="AP199" s="2">
        <f>求节点(节奏总纲!E$4:E$163,AI$4:AI$163,$AN199)*其他调用!I200*其他调用!$M200</f>
        <v>245556200.4418475</v>
      </c>
      <c r="AQ199" s="2">
        <f>求节点(节奏总纲!F$4:F$163,AJ$4:AJ$163,$AN199)*其他调用!J200*其他调用!$M200</f>
        <v>24508832.223427657</v>
      </c>
      <c r="AR199" s="2">
        <f>求节点(节奏总纲!G$4:G$163,AK$4:AK$163,$AN199)*其他调用!K200*其他调用!$M200</f>
        <v>5803828.0700802887</v>
      </c>
      <c r="AS199" s="2">
        <f>求节点(节奏总纲!H$4:H$163,AL$4:AL$163,$AN199)*其他调用!L200*其他调用!$M200</f>
        <v>2079679.2304959716</v>
      </c>
      <c r="AT199" s="2">
        <f t="shared" si="19"/>
        <v>496305947.93674147</v>
      </c>
      <c r="BF199" s="2">
        <v>196</v>
      </c>
      <c r="BG199" s="2">
        <f>求节点(节奏总纲!D$4:D$163,AZ$4:AZ$163,$AN199)</f>
        <v>8003.0290806163412</v>
      </c>
      <c r="BH199" s="2">
        <f>求节点(节奏总纲!E$4:E$163,BA$4:BA$163,$AN199)</f>
        <v>24702.287042012955</v>
      </c>
      <c r="BI199" s="2">
        <f>求节点(节奏总纲!F$4:F$163,BB$4:BB$163,$AN199)</f>
        <v>76845.401796485035</v>
      </c>
      <c r="BJ199" s="2">
        <f>求节点(节奏总纲!G$4:G$163,BC$4:BC$163,$AN199)</f>
        <v>36995.6880161265</v>
      </c>
      <c r="BK199" s="2">
        <f>求节点(节奏总纲!H$4:H$163,BD$4:BD$163,$AN199)</f>
        <v>11008.451841423039</v>
      </c>
      <c r="BL199" s="2">
        <f>BG199*其他调用!H200*其他调用!$M200</f>
        <v>383845.68443127256</v>
      </c>
      <c r="BM199" s="2">
        <f>BH199*其他调用!I200*其他调用!$M200</f>
        <v>1168208.5469559943</v>
      </c>
      <c r="BN199" s="2">
        <f>BI199*其他调用!J200*其他调用!$M200</f>
        <v>296655.52708517003</v>
      </c>
      <c r="BO199" s="2">
        <f>BJ199*其他调用!K200*其他调用!$M200</f>
        <v>25408.490546723624</v>
      </c>
      <c r="BP199" s="2">
        <f>BK199*其他调用!L200*其他调用!$M200</f>
        <v>2187.5995499275859</v>
      </c>
      <c r="BQ199" s="2">
        <f t="shared" si="20"/>
        <v>1876305.8485690881</v>
      </c>
      <c r="BR199" s="2">
        <f>[1]服务器生态!$R198</f>
        <v>3.2579683300330883E-2</v>
      </c>
      <c r="BS199" s="2" t="e">
        <f>SUMPRODUCT((BG$4:BG199)*($BR$4:$BR199)*(其他调用!#REF!))</f>
        <v>#REF!</v>
      </c>
      <c r="BT199" s="2" t="e">
        <f>SUMPRODUCT((BH$4:BH199)*($BR$4:$BR199)*(其他调用!#REF!))</f>
        <v>#REF!</v>
      </c>
      <c r="BU199" s="2" t="e">
        <f>SUMPRODUCT((BI$4:BI199)*($BR$4:$BR199)*(其他调用!#REF!))</f>
        <v>#REF!</v>
      </c>
      <c r="BV199" s="2" t="e">
        <f>SUMPRODUCT((BJ$4:BJ199)*($BR$4:$BR199)*(其他调用!#REF!))</f>
        <v>#REF!</v>
      </c>
      <c r="BW199" s="2" t="e">
        <f>SUMPRODUCT((BK$4:BK199)*($BR$4:$BR199)*(其他调用!#REF!))</f>
        <v>#REF!</v>
      </c>
      <c r="BX199" s="2" t="e">
        <f>SUMPRODUCT((BG$4:BG199)*($BR$4:$BR199))*'[1]功能-战损相关'!$D$2-BS199</f>
        <v>#REF!</v>
      </c>
      <c r="BY199" s="2" t="e">
        <f>SUMPRODUCT((BH$4:BH199)*($BR$4:$BR199))*'[1]功能-战损相关'!$D$2-BT199</f>
        <v>#REF!</v>
      </c>
      <c r="BZ199" s="2" t="e">
        <f>SUMPRODUCT((BI$4:BI199)*($BR$4:$BR199))*'[1]功能-战损相关'!$D$2-BU199</f>
        <v>#REF!</v>
      </c>
      <c r="CA199" s="2" t="e">
        <f>SUMPRODUCT((BJ$4:BJ199)*($BR$4:$BR199))*'[1]功能-战损相关'!$D$2-BV199</f>
        <v>#REF!</v>
      </c>
      <c r="CB199" s="2" t="e">
        <f>SUMPRODUCT((BK$4:BK199)*($BR$4:$BR199))*'[1]功能-战损相关'!$D$2-BW199</f>
        <v>#REF!</v>
      </c>
    </row>
    <row r="200" spans="40:80" x14ac:dyDescent="0.2">
      <c r="AN200" s="2">
        <v>197</v>
      </c>
      <c r="AO200" s="2">
        <f>求节点(节奏总纲!D$4:D$163,AH$4:AH$163,$AN200)*其他调用!H201*其他调用!$M201</f>
        <v>218827719.94518986</v>
      </c>
      <c r="AP200" s="2">
        <f>求节点(节奏总纲!E$4:E$163,AI$4:AI$163,$AN200)*其他调用!I201*其他调用!$M201</f>
        <v>246273847.26045692</v>
      </c>
      <c r="AQ200" s="2">
        <f>求节点(节奏总纲!F$4:F$163,AJ$4:AJ$163,$AN200)*其他调用!J201*其他调用!$M201</f>
        <v>24563881.906924788</v>
      </c>
      <c r="AR200" s="2">
        <f>求节点(节奏总纲!G$4:G$163,AK$4:AK$163,$AN200)*其他调用!K201*其他调用!$M201</f>
        <v>5809889.209149071</v>
      </c>
      <c r="AS200" s="2">
        <f>求节点(节奏总纲!H$4:H$163,AL$4:AL$163,$AN200)*其他调用!L201*其他调用!$M201</f>
        <v>2081681.1573653826</v>
      </c>
      <c r="AT200" s="2">
        <f t="shared" si="19"/>
        <v>497557019.47908598</v>
      </c>
      <c r="BF200" s="2">
        <v>197</v>
      </c>
      <c r="BG200" s="2">
        <f>求节点(节奏总纲!D$4:D$163,AZ$4:AZ$163,$AN200)</f>
        <v>8008.9181433079439</v>
      </c>
      <c r="BH200" s="2">
        <f>求节点(节奏总纲!E$4:E$163,BA$4:BA$163,$AN200)</f>
        <v>24719.295732112761</v>
      </c>
      <c r="BI200" s="2">
        <f>求节点(节奏总纲!F$4:F$163,BB$4:BB$163,$AN200)</f>
        <v>76896.978748052672</v>
      </c>
      <c r="BJ200" s="2">
        <f>求节点(节奏总纲!G$4:G$163,BC$4:BC$163,$AN200)</f>
        <v>37020.636466023716</v>
      </c>
      <c r="BK200" s="2">
        <f>求节点(节奏总纲!H$4:H$163,BD$4:BD$163,$AN200)</f>
        <v>11013.775278770572</v>
      </c>
      <c r="BL200" s="2">
        <f>BG200*其他调用!H201*其他调用!$M201</f>
        <v>384128.13889654394</v>
      </c>
      <c r="BM200" s="2">
        <f>BH200*其他调用!I201*其他调用!$M201</f>
        <v>1169012.9136574792</v>
      </c>
      <c r="BN200" s="2">
        <f>BI200*其他调用!J201*其他调用!$M201</f>
        <v>296854.63578126696</v>
      </c>
      <c r="BO200" s="2">
        <f>BJ200*其他调用!K201*其他调用!$M201</f>
        <v>25425.625042319232</v>
      </c>
      <c r="BP200" s="2">
        <f>BK200*其他调用!L201*其他调用!$M201</f>
        <v>2188.6574233972879</v>
      </c>
      <c r="BQ200" s="2">
        <f t="shared" si="20"/>
        <v>1877609.9708010068</v>
      </c>
      <c r="BR200" s="2">
        <f>[1]服务器生态!$R199</f>
        <v>3.1621457320909388E-2</v>
      </c>
      <c r="BS200" s="2" t="e">
        <f>SUMPRODUCT((BG$4:BG200)*($BR$4:$BR200)*(其他调用!#REF!))</f>
        <v>#REF!</v>
      </c>
      <c r="BT200" s="2" t="e">
        <f>SUMPRODUCT((BH$4:BH200)*($BR$4:$BR200)*(其他调用!#REF!))</f>
        <v>#REF!</v>
      </c>
      <c r="BU200" s="2" t="e">
        <f>SUMPRODUCT((BI$4:BI200)*($BR$4:$BR200)*(其他调用!#REF!))</f>
        <v>#REF!</v>
      </c>
      <c r="BV200" s="2" t="e">
        <f>SUMPRODUCT((BJ$4:BJ200)*($BR$4:$BR200)*(其他调用!#REF!))</f>
        <v>#REF!</v>
      </c>
      <c r="BW200" s="2" t="e">
        <f>SUMPRODUCT((BK$4:BK200)*($BR$4:$BR200)*(其他调用!#REF!))</f>
        <v>#REF!</v>
      </c>
      <c r="BX200" s="2" t="e">
        <f>SUMPRODUCT((BG$4:BG200)*($BR$4:$BR200))*'[1]功能-战损相关'!$D$2-BS200</f>
        <v>#REF!</v>
      </c>
      <c r="BY200" s="2" t="e">
        <f>SUMPRODUCT((BH$4:BH200)*($BR$4:$BR200))*'[1]功能-战损相关'!$D$2-BT200</f>
        <v>#REF!</v>
      </c>
      <c r="BZ200" s="2" t="e">
        <f>SUMPRODUCT((BI$4:BI200)*($BR$4:$BR200))*'[1]功能-战损相关'!$D$2-BU200</f>
        <v>#REF!</v>
      </c>
      <c r="CA200" s="2" t="e">
        <f>SUMPRODUCT((BJ$4:BJ200)*($BR$4:$BR200))*'[1]功能-战损相关'!$D$2-BV200</f>
        <v>#REF!</v>
      </c>
      <c r="CB200" s="2" t="e">
        <f>SUMPRODUCT((BK$4:BK200)*($BR$4:$BR200))*'[1]功能-战损相关'!$D$2-BW200</f>
        <v>#REF!</v>
      </c>
    </row>
    <row r="201" spans="40:80" x14ac:dyDescent="0.2">
      <c r="AN201" s="2">
        <v>198</v>
      </c>
      <c r="AO201" s="2">
        <f>求节点(节奏总纲!D$4:D$163,AH$4:AH$163,$AN201)*其他调用!H202*其他调用!$M202</f>
        <v>219298031.91948971</v>
      </c>
      <c r="AP201" s="2">
        <f>求节点(节奏总纲!E$4:E$163,AI$4:AI$163,$AN201)*其他调用!I202*其他调用!$M202</f>
        <v>246991494.07906622</v>
      </c>
      <c r="AQ201" s="2">
        <f>求节点(节奏总纲!F$4:F$163,AJ$4:AJ$163,$AN201)*其他调用!J202*其他调用!$M202</f>
        <v>24618931.590421908</v>
      </c>
      <c r="AR201" s="2">
        <f>求节点(节奏总纲!G$4:G$163,AK$4:AK$163,$AN201)*其他调用!K202*其他调用!$M202</f>
        <v>5815950.3482178533</v>
      </c>
      <c r="AS201" s="2">
        <f>求节点(节奏总纲!H$4:H$163,AL$4:AL$163,$AN201)*其他调用!L202*其他调用!$M202</f>
        <v>2083683.0842347944</v>
      </c>
      <c r="AT201" s="2">
        <f t="shared" si="19"/>
        <v>498808091.02143043</v>
      </c>
      <c r="BF201" s="2">
        <v>198</v>
      </c>
      <c r="BG201" s="2">
        <f>求节点(节奏总纲!D$4:D$163,AZ$4:AZ$163,$AN201)</f>
        <v>8014.8072059995475</v>
      </c>
      <c r="BH201" s="2">
        <f>求节点(节奏总纲!E$4:E$163,BA$4:BA$163,$AN201)</f>
        <v>24736.304422212568</v>
      </c>
      <c r="BI201" s="2">
        <f>求节点(节奏总纲!F$4:F$163,BB$4:BB$163,$AN201)</f>
        <v>76948.555699620309</v>
      </c>
      <c r="BJ201" s="2">
        <f>求节点(节奏总纲!G$4:G$163,BC$4:BC$163,$AN201)</f>
        <v>37045.584915920925</v>
      </c>
      <c r="BK201" s="2">
        <f>求节点(节奏总纲!H$4:H$163,BD$4:BD$163,$AN201)</f>
        <v>11019.098716118107</v>
      </c>
      <c r="BL201" s="2">
        <f>BG201*其他调用!H202*其他调用!$M202</f>
        <v>384410.59336181538</v>
      </c>
      <c r="BM201" s="2">
        <f>BH201*其他调用!I202*其他调用!$M202</f>
        <v>1169817.2803589643</v>
      </c>
      <c r="BN201" s="2">
        <f>BI201*其他调用!J202*其他调用!$M202</f>
        <v>297053.74447736389</v>
      </c>
      <c r="BO201" s="2">
        <f>BJ201*其他调用!K202*其他调用!$M202</f>
        <v>25442.759537914837</v>
      </c>
      <c r="BP201" s="2">
        <f>BK201*其他调用!L202*其他调用!$M202</f>
        <v>2189.7152968669898</v>
      </c>
      <c r="BQ201" s="2">
        <f t="shared" si="20"/>
        <v>1878914.0930329256</v>
      </c>
      <c r="BR201" s="2">
        <f>[1]服务器生态!$R200</f>
        <v>3.0663231341487893E-2</v>
      </c>
      <c r="BS201" s="2" t="e">
        <f>SUMPRODUCT((BG$4:BG201)*($BR$4:$BR201)*(其他调用!#REF!))</f>
        <v>#REF!</v>
      </c>
      <c r="BT201" s="2" t="e">
        <f>SUMPRODUCT((BH$4:BH201)*($BR$4:$BR201)*(其他调用!#REF!))</f>
        <v>#REF!</v>
      </c>
      <c r="BU201" s="2" t="e">
        <f>SUMPRODUCT((BI$4:BI201)*($BR$4:$BR201)*(其他调用!#REF!))</f>
        <v>#REF!</v>
      </c>
      <c r="BV201" s="2" t="e">
        <f>SUMPRODUCT((BJ$4:BJ201)*($BR$4:$BR201)*(其他调用!#REF!))</f>
        <v>#REF!</v>
      </c>
      <c r="BW201" s="2" t="e">
        <f>SUMPRODUCT((BK$4:BK201)*($BR$4:$BR201)*(其他调用!#REF!))</f>
        <v>#REF!</v>
      </c>
      <c r="BX201" s="2" t="e">
        <f>SUMPRODUCT((BG$4:BG201)*($BR$4:$BR201))*'[1]功能-战损相关'!$D$2-BS201</f>
        <v>#REF!</v>
      </c>
      <c r="BY201" s="2" t="e">
        <f>SUMPRODUCT((BH$4:BH201)*($BR$4:$BR201))*'[1]功能-战损相关'!$D$2-BT201</f>
        <v>#REF!</v>
      </c>
      <c r="BZ201" s="2" t="e">
        <f>SUMPRODUCT((BI$4:BI201)*($BR$4:$BR201))*'[1]功能-战损相关'!$D$2-BU201</f>
        <v>#REF!</v>
      </c>
      <c r="CA201" s="2" t="e">
        <f>SUMPRODUCT((BJ$4:BJ201)*($BR$4:$BR201))*'[1]功能-战损相关'!$D$2-BV201</f>
        <v>#REF!</v>
      </c>
      <c r="CB201" s="2" t="e">
        <f>SUMPRODUCT((BK$4:BK201)*($BR$4:$BR201))*'[1]功能-战损相关'!$D$2-BW201</f>
        <v>#REF!</v>
      </c>
    </row>
    <row r="202" spans="40:80" x14ac:dyDescent="0.2">
      <c r="AN202" s="2">
        <v>199</v>
      </c>
      <c r="AO202" s="2">
        <f>求节点(节奏总纲!D$4:D$163,AH$4:AH$163,$AN202)*其他调用!H203*其他调用!$M203</f>
        <v>219768343.89378956</v>
      </c>
      <c r="AP202" s="2">
        <f>求节点(节奏总纲!E$4:E$163,AI$4:AI$163,$AN202)*其他调用!I203*其他调用!$M203</f>
        <v>247709140.8976756</v>
      </c>
      <c r="AQ202" s="2">
        <f>求节点(节奏总纲!F$4:F$163,AJ$4:AJ$163,$AN202)*其他调用!J203*其他调用!$M203</f>
        <v>24673981.273919035</v>
      </c>
      <c r="AR202" s="2">
        <f>求节点(节奏总纲!G$4:G$163,AK$4:AK$163,$AN202)*其他调用!K203*其他调用!$M203</f>
        <v>5822011.4872866366</v>
      </c>
      <c r="AS202" s="2">
        <f>求节点(节奏总纲!H$4:H$163,AL$4:AL$163,$AN202)*其他调用!L203*其他调用!$M203</f>
        <v>2085685.0111042054</v>
      </c>
      <c r="AT202" s="2">
        <f t="shared" si="19"/>
        <v>500059162.56377506</v>
      </c>
      <c r="BF202" s="2">
        <v>199</v>
      </c>
      <c r="BG202" s="2">
        <f>求节点(节奏总纲!D$4:D$163,AZ$4:AZ$163,$AN202)</f>
        <v>8020.6962686911502</v>
      </c>
      <c r="BH202" s="2">
        <f>求节点(节奏总纲!E$4:E$163,BA$4:BA$163,$AN202)</f>
        <v>24753.313112312375</v>
      </c>
      <c r="BI202" s="2">
        <f>求节点(节奏总纲!F$4:F$163,BB$4:BB$163,$AN202)</f>
        <v>77000.13265118796</v>
      </c>
      <c r="BJ202" s="2">
        <f>求节点(节奏总纲!G$4:G$163,BC$4:BC$163,$AN202)</f>
        <v>37070.533365818133</v>
      </c>
      <c r="BK202" s="2">
        <f>求节点(节奏总纲!H$4:H$163,BD$4:BD$163,$AN202)</f>
        <v>11024.422153465641</v>
      </c>
      <c r="BL202" s="2">
        <f>BG202*其他调用!H203*其他调用!$M203</f>
        <v>384693.04782708676</v>
      </c>
      <c r="BM202" s="2">
        <f>BH202*其他调用!I203*其他调用!$M203</f>
        <v>1170621.6470604492</v>
      </c>
      <c r="BN202" s="2">
        <f>BI202*其他调用!J203*其他调用!$M203</f>
        <v>297252.85317346093</v>
      </c>
      <c r="BO202" s="2">
        <f>BJ202*其他调用!K203*其他调用!$M203</f>
        <v>25459.894033510438</v>
      </c>
      <c r="BP202" s="2">
        <f>BK202*其他调用!L203*其他调用!$M203</f>
        <v>2190.7731703366917</v>
      </c>
      <c r="BQ202" s="2">
        <f t="shared" si="20"/>
        <v>1880218.215264844</v>
      </c>
      <c r="BR202" s="2">
        <f>[1]服务器生态!$R201</f>
        <v>2.9705005362066397E-2</v>
      </c>
      <c r="BS202" s="2" t="e">
        <f>SUMPRODUCT((BG$4:BG202)*($BR$4:$BR202)*(其他调用!#REF!))</f>
        <v>#REF!</v>
      </c>
      <c r="BT202" s="2" t="e">
        <f>SUMPRODUCT((BH$4:BH202)*($BR$4:$BR202)*(其他调用!#REF!))</f>
        <v>#REF!</v>
      </c>
      <c r="BU202" s="2" t="e">
        <f>SUMPRODUCT((BI$4:BI202)*($BR$4:$BR202)*(其他调用!#REF!))</f>
        <v>#REF!</v>
      </c>
      <c r="BV202" s="2" t="e">
        <f>SUMPRODUCT((BJ$4:BJ202)*($BR$4:$BR202)*(其他调用!#REF!))</f>
        <v>#REF!</v>
      </c>
      <c r="BW202" s="2" t="e">
        <f>SUMPRODUCT((BK$4:BK202)*($BR$4:$BR202)*(其他调用!#REF!))</f>
        <v>#REF!</v>
      </c>
      <c r="BX202" s="2" t="e">
        <f>SUMPRODUCT((BG$4:BG202)*($BR$4:$BR202))*'[1]功能-战损相关'!$D$2-BS202</f>
        <v>#REF!</v>
      </c>
      <c r="BY202" s="2" t="e">
        <f>SUMPRODUCT((BH$4:BH202)*($BR$4:$BR202))*'[1]功能-战损相关'!$D$2-BT202</f>
        <v>#REF!</v>
      </c>
      <c r="BZ202" s="2" t="e">
        <f>SUMPRODUCT((BI$4:BI202)*($BR$4:$BR202))*'[1]功能-战损相关'!$D$2-BU202</f>
        <v>#REF!</v>
      </c>
      <c r="CA202" s="2" t="e">
        <f>SUMPRODUCT((BJ$4:BJ202)*($BR$4:$BR202))*'[1]功能-战损相关'!$D$2-BV202</f>
        <v>#REF!</v>
      </c>
      <c r="CB202" s="2" t="e">
        <f>SUMPRODUCT((BK$4:BK202)*($BR$4:$BR202))*'[1]功能-战损相关'!$D$2-BW202</f>
        <v>#REF!</v>
      </c>
    </row>
    <row r="203" spans="40:80" x14ac:dyDescent="0.2">
      <c r="AN203" s="2">
        <v>200</v>
      </c>
      <c r="AO203" s="2">
        <f>求节点(节奏总纲!D$4:D$163,AH$4:AH$163,$AN203)*其他调用!H204*其他调用!$M204</f>
        <v>220238655.86808938</v>
      </c>
      <c r="AP203" s="2">
        <f>求节点(节奏总纲!E$4:E$163,AI$4:AI$163,$AN203)*其他调用!I204*其他调用!$M204</f>
        <v>248426787.71628496</v>
      </c>
      <c r="AQ203" s="2">
        <f>求节点(节奏总纲!F$4:F$163,AJ$4:AJ$163,$AN203)*其他调用!J204*其他调用!$M204</f>
        <v>24729030.957416158</v>
      </c>
      <c r="AR203" s="2">
        <f>求节点(节奏总纲!G$4:G$163,AK$4:AK$163,$AN203)*其他调用!K204*其他调用!$M204</f>
        <v>5828033.6481046146</v>
      </c>
      <c r="AS203" s="2">
        <f>求节点(节奏总纲!H$4:H$163,AL$4:AL$163,$AN203)*其他调用!L204*其他调用!$M204</f>
        <v>2087686.9379736162</v>
      </c>
      <c r="AT203" s="2">
        <f t="shared" si="19"/>
        <v>501310195.12786871</v>
      </c>
      <c r="BF203" s="2">
        <v>200</v>
      </c>
      <c r="BG203" s="2">
        <f>求节点(节奏总纲!D$4:D$163,AZ$4:AZ$163,$AN203)</f>
        <v>8026.5853313827538</v>
      </c>
      <c r="BH203" s="2">
        <f>求节点(节奏总纲!E$4:E$163,BA$4:BA$163,$AN203)</f>
        <v>24770.321802412182</v>
      </c>
      <c r="BI203" s="2">
        <f>求节点(节奏总纲!F$4:F$163,BB$4:BB$163,$AN203)</f>
        <v>77051.709602755596</v>
      </c>
      <c r="BJ203" s="2">
        <f>求节点(节奏总纲!G$4:G$163,BC$4:BC$163,$AN203)</f>
        <v>37094.45442821749</v>
      </c>
      <c r="BK203" s="2">
        <f>求节点(节奏总纲!H$4:H$163,BD$4:BD$163,$AN203)</f>
        <v>11029.745590813174</v>
      </c>
      <c r="BL203" s="2">
        <f>BG203*其他调用!H204*其他调用!$M204</f>
        <v>384975.5022923582</v>
      </c>
      <c r="BM203" s="2">
        <f>BH203*其他调用!I204*其他调用!$M204</f>
        <v>1171426.0137619344</v>
      </c>
      <c r="BN203" s="2">
        <f>BI203*其他调用!J204*其他调用!$M204</f>
        <v>297451.96186955785</v>
      </c>
      <c r="BO203" s="2">
        <f>BJ203*其他调用!K204*其他调用!$M204</f>
        <v>25476.322923482068</v>
      </c>
      <c r="BP203" s="2">
        <f>BK203*其他调用!L204*其他调用!$M204</f>
        <v>2191.8310438063936</v>
      </c>
      <c r="BQ203" s="2">
        <f t="shared" si="20"/>
        <v>1881521.6318911391</v>
      </c>
      <c r="BR203" s="2">
        <f>[1]服务器生态!$R202</f>
        <v>2.8746779382644902E-2</v>
      </c>
      <c r="BS203" s="2" t="e">
        <f>SUMPRODUCT((BG$4:BG203)*($BR$4:$BR203)*(其他调用!#REF!))</f>
        <v>#REF!</v>
      </c>
      <c r="BT203" s="2" t="e">
        <f>SUMPRODUCT((BH$4:BH203)*($BR$4:$BR203)*(其他调用!#REF!))</f>
        <v>#REF!</v>
      </c>
      <c r="BU203" s="2" t="e">
        <f>SUMPRODUCT((BI$4:BI203)*($BR$4:$BR203)*(其他调用!#REF!))</f>
        <v>#REF!</v>
      </c>
      <c r="BV203" s="2" t="e">
        <f>SUMPRODUCT((BJ$4:BJ203)*($BR$4:$BR203)*(其他调用!#REF!))</f>
        <v>#REF!</v>
      </c>
      <c r="BW203" s="2" t="e">
        <f>SUMPRODUCT((BK$4:BK203)*($BR$4:$BR203)*(其他调用!#REF!))</f>
        <v>#REF!</v>
      </c>
      <c r="BX203" s="2" t="e">
        <f>SUMPRODUCT((BG$4:BG203)*($BR$4:$BR203))*'[1]功能-战损相关'!$D$2-BS203</f>
        <v>#REF!</v>
      </c>
      <c r="BY203" s="2" t="e">
        <f>SUMPRODUCT((BH$4:BH203)*($BR$4:$BR203))*'[1]功能-战损相关'!$D$2-BT203</f>
        <v>#REF!</v>
      </c>
      <c r="BZ203" s="2" t="e">
        <f>SUMPRODUCT((BI$4:BI203)*($BR$4:$BR203))*'[1]功能-战损相关'!$D$2-BU203</f>
        <v>#REF!</v>
      </c>
      <c r="CA203" s="2" t="e">
        <f>SUMPRODUCT((BJ$4:BJ203)*($BR$4:$BR203))*'[1]功能-战损相关'!$D$2-BV203</f>
        <v>#REF!</v>
      </c>
      <c r="CB203" s="2" t="e">
        <f>SUMPRODUCT((BK$4:BK203)*($BR$4:$BR203))*'[1]功能-战损相关'!$D$2-BW203</f>
        <v>#REF!</v>
      </c>
    </row>
    <row r="204" spans="40:80" x14ac:dyDescent="0.2">
      <c r="AN204" s="2">
        <v>201</v>
      </c>
      <c r="AO204" s="2">
        <f>求节点(节奏总纲!D$4:D$163,AH$4:AH$163,$AN204)*其他调用!H205*其他调用!$M205</f>
        <v>220708967.84238929</v>
      </c>
      <c r="AP204" s="2">
        <f>求节点(节奏总纲!E$4:E$163,AI$4:AI$163,$AN204)*其他调用!I205*其他调用!$M205</f>
        <v>249144434.53489429</v>
      </c>
      <c r="AQ204" s="2">
        <f>求节点(节奏总纲!F$4:F$163,AJ$4:AJ$163,$AN204)*其他调用!J205*其他调用!$M205</f>
        <v>24784080.640913285</v>
      </c>
      <c r="AR204" s="2">
        <f>求节点(节奏总纲!G$4:G$163,AK$4:AK$163,$AN204)*其他调用!K205*其他调用!$M205</f>
        <v>5834030.415978549</v>
      </c>
      <c r="AS204" s="2">
        <f>求节点(节奏总纲!H$4:H$163,AL$4:AL$163,$AN204)*其他调用!L205*其他调用!$M205</f>
        <v>2089688.8648430279</v>
      </c>
      <c r="AT204" s="2">
        <f t="shared" si="19"/>
        <v>502561202.29901844</v>
      </c>
      <c r="BF204" s="2">
        <v>201</v>
      </c>
      <c r="BG204" s="2">
        <f>求节点(节奏总纲!D$4:D$163,AZ$4:AZ$163,$AN204)</f>
        <v>8032.4743940743574</v>
      </c>
      <c r="BH204" s="2">
        <f>求节点(节奏总纲!E$4:E$163,BA$4:BA$163,$AN204)</f>
        <v>24787.330492511988</v>
      </c>
      <c r="BI204" s="2">
        <f>求节点(节奏总纲!F$4:F$163,BB$4:BB$163,$AN204)</f>
        <v>77103.286554323233</v>
      </c>
      <c r="BJ204" s="2">
        <f>求节点(节奏总纲!G$4:G$163,BC$4:BC$163,$AN204)</f>
        <v>37117.706184203409</v>
      </c>
      <c r="BK204" s="2">
        <f>求节点(节奏总纲!H$4:H$163,BD$4:BD$163,$AN204)</f>
        <v>11035.069028160709</v>
      </c>
      <c r="BL204" s="2">
        <f>BG204*其他调用!H205*其他调用!$M205</f>
        <v>385257.95675762964</v>
      </c>
      <c r="BM204" s="2">
        <f>BH204*其他调用!I205*其他调用!$M205</f>
        <v>1172230.3804634192</v>
      </c>
      <c r="BN204" s="2">
        <f>BI204*其他调用!J205*其他调用!$M205</f>
        <v>297651.07056565478</v>
      </c>
      <c r="BO204" s="2">
        <f>BJ204*其他调用!K205*其他调用!$M205</f>
        <v>25492.292136486172</v>
      </c>
      <c r="BP204" s="2">
        <f>BK204*其他调用!L205*其他调用!$M205</f>
        <v>2192.8889172760955</v>
      </c>
      <c r="BQ204" s="2">
        <f t="shared" si="20"/>
        <v>1882824.588840466</v>
      </c>
      <c r="BR204" s="2">
        <f>[1]服务器生态!$R203</f>
        <v>2.7788553403223407E-2</v>
      </c>
      <c r="BS204" s="2" t="e">
        <f>SUMPRODUCT((BG$4:BG204)*($BR$4:$BR204)*(其他调用!#REF!))</f>
        <v>#REF!</v>
      </c>
      <c r="BT204" s="2" t="e">
        <f>SUMPRODUCT((BH$4:BH204)*($BR$4:$BR204)*(其他调用!#REF!))</f>
        <v>#REF!</v>
      </c>
      <c r="BU204" s="2" t="e">
        <f>SUMPRODUCT((BI$4:BI204)*($BR$4:$BR204)*(其他调用!#REF!))</f>
        <v>#REF!</v>
      </c>
      <c r="BV204" s="2" t="e">
        <f>SUMPRODUCT((BJ$4:BJ204)*($BR$4:$BR204)*(其他调用!#REF!))</f>
        <v>#REF!</v>
      </c>
      <c r="BW204" s="2" t="e">
        <f>SUMPRODUCT((BK$4:BK204)*($BR$4:$BR204)*(其他调用!#REF!))</f>
        <v>#REF!</v>
      </c>
      <c r="BX204" s="2" t="e">
        <f>SUMPRODUCT((BG$4:BG204)*($BR$4:$BR204))*'[1]功能-战损相关'!$D$2-BS204</f>
        <v>#REF!</v>
      </c>
      <c r="BY204" s="2" t="e">
        <f>SUMPRODUCT((BH$4:BH204)*($BR$4:$BR204))*'[1]功能-战损相关'!$D$2-BT204</f>
        <v>#REF!</v>
      </c>
      <c r="BZ204" s="2" t="e">
        <f>SUMPRODUCT((BI$4:BI204)*($BR$4:$BR204))*'[1]功能-战损相关'!$D$2-BU204</f>
        <v>#REF!</v>
      </c>
      <c r="CA204" s="2" t="e">
        <f>SUMPRODUCT((BJ$4:BJ204)*($BR$4:$BR204))*'[1]功能-战损相关'!$D$2-BV204</f>
        <v>#REF!</v>
      </c>
      <c r="CB204" s="2" t="e">
        <f>SUMPRODUCT((BK$4:BK204)*($BR$4:$BR204))*'[1]功能-战损相关'!$D$2-BW204</f>
        <v>#REF!</v>
      </c>
    </row>
    <row r="205" spans="40:80" x14ac:dyDescent="0.2">
      <c r="AN205" s="2">
        <v>202</v>
      </c>
      <c r="AO205" s="2">
        <f>求节点(节奏总纲!D$4:D$163,AH$4:AH$163,$AN205)*其他调用!H206*其他调用!$M206</f>
        <v>221179279.8166891</v>
      </c>
      <c r="AP205" s="2">
        <f>求节点(节奏总纲!E$4:E$163,AI$4:AI$163,$AN205)*其他调用!I206*其他调用!$M206</f>
        <v>249862081.3535037</v>
      </c>
      <c r="AQ205" s="2">
        <f>求节点(节奏总纲!F$4:F$163,AJ$4:AJ$163,$AN205)*其他调用!J206*其他调用!$M206</f>
        <v>24839130.324410412</v>
      </c>
      <c r="AR205" s="2">
        <f>求节点(节奏总纲!G$4:G$163,AK$4:AK$163,$AN205)*其他调用!K206*其他调用!$M206</f>
        <v>5840027.1838524807</v>
      </c>
      <c r="AS205" s="2">
        <f>求节点(节奏总纲!H$4:H$163,AL$4:AL$163,$AN205)*其他调用!L206*其他调用!$M206</f>
        <v>2091690.7917124389</v>
      </c>
      <c r="AT205" s="2">
        <f t="shared" si="19"/>
        <v>503812209.47016823</v>
      </c>
      <c r="BF205" s="2">
        <v>202</v>
      </c>
      <c r="BG205" s="2">
        <f>求节点(节奏总纲!D$4:D$163,AZ$4:AZ$163,$AN205)</f>
        <v>8038.3634567659601</v>
      </c>
      <c r="BH205" s="2">
        <f>求节点(节奏总纲!E$4:E$163,BA$4:BA$163,$AN205)</f>
        <v>24804.339182611795</v>
      </c>
      <c r="BI205" s="2">
        <f>求节点(节奏总纲!F$4:F$163,BB$4:BB$163,$AN205)</f>
        <v>77154.863505890884</v>
      </c>
      <c r="BJ205" s="2">
        <f>求节点(节奏总纲!G$4:G$163,BC$4:BC$163,$AN205)</f>
        <v>37140.957940189328</v>
      </c>
      <c r="BK205" s="2">
        <f>求节点(节奏总纲!H$4:H$163,BD$4:BD$163,$AN205)</f>
        <v>11040.392465508243</v>
      </c>
      <c r="BL205" s="2">
        <f>BG205*其他调用!H206*其他调用!$M206</f>
        <v>385540.41122290102</v>
      </c>
      <c r="BM205" s="2">
        <f>BH205*其他调用!I206*其他调用!$M206</f>
        <v>1173034.7471649044</v>
      </c>
      <c r="BN205" s="2">
        <f>BI205*其他调用!J206*其他调用!$M206</f>
        <v>297850.17926175176</v>
      </c>
      <c r="BO205" s="2">
        <f>BJ205*其他调用!K206*其他调用!$M206</f>
        <v>25508.261349490276</v>
      </c>
      <c r="BP205" s="2">
        <f>BK205*其他调用!L206*其他调用!$M206</f>
        <v>2193.9467907457979</v>
      </c>
      <c r="BQ205" s="2">
        <f t="shared" si="20"/>
        <v>1884127.5457897931</v>
      </c>
      <c r="BR205" s="2">
        <f>[1]服务器生态!$R204</f>
        <v>2.6830327423801908E-2</v>
      </c>
      <c r="BS205" s="2" t="e">
        <f>SUMPRODUCT((BG$4:BG205)*($BR$4:$BR205)*(其他调用!#REF!))</f>
        <v>#REF!</v>
      </c>
      <c r="BT205" s="2" t="e">
        <f>SUMPRODUCT((BH$4:BH205)*($BR$4:$BR205)*(其他调用!#REF!))</f>
        <v>#REF!</v>
      </c>
      <c r="BU205" s="2" t="e">
        <f>SUMPRODUCT((BI$4:BI205)*($BR$4:$BR205)*(其他调用!#REF!))</f>
        <v>#REF!</v>
      </c>
      <c r="BV205" s="2" t="e">
        <f>SUMPRODUCT((BJ$4:BJ205)*($BR$4:$BR205)*(其他调用!#REF!))</f>
        <v>#REF!</v>
      </c>
      <c r="BW205" s="2" t="e">
        <f>SUMPRODUCT((BK$4:BK205)*($BR$4:$BR205)*(其他调用!#REF!))</f>
        <v>#REF!</v>
      </c>
      <c r="BX205" s="2" t="e">
        <f>SUMPRODUCT((BG$4:BG205)*($BR$4:$BR205))*'[1]功能-战损相关'!$D$2-BS205</f>
        <v>#REF!</v>
      </c>
      <c r="BY205" s="2" t="e">
        <f>SUMPRODUCT((BH$4:BH205)*($BR$4:$BR205))*'[1]功能-战损相关'!$D$2-BT205</f>
        <v>#REF!</v>
      </c>
      <c r="BZ205" s="2" t="e">
        <f>SUMPRODUCT((BI$4:BI205)*($BR$4:$BR205))*'[1]功能-战损相关'!$D$2-BU205</f>
        <v>#REF!</v>
      </c>
      <c r="CA205" s="2" t="e">
        <f>SUMPRODUCT((BJ$4:BJ205)*($BR$4:$BR205))*'[1]功能-战损相关'!$D$2-BV205</f>
        <v>#REF!</v>
      </c>
      <c r="CB205" s="2" t="e">
        <f>SUMPRODUCT((BK$4:BK205)*($BR$4:$BR205))*'[1]功能-战损相关'!$D$2-BW205</f>
        <v>#REF!</v>
      </c>
    </row>
    <row r="206" spans="40:80" x14ac:dyDescent="0.2">
      <c r="AN206" s="2">
        <v>203</v>
      </c>
      <c r="AO206" s="2">
        <f>求节点(节奏总纲!D$4:D$163,AH$4:AH$163,$AN206)*其他调用!H207*其他调用!$M207</f>
        <v>221649591.79098898</v>
      </c>
      <c r="AP206" s="2">
        <f>求节点(节奏总纲!E$4:E$163,AI$4:AI$163,$AN206)*其他调用!I207*其他调用!$M207</f>
        <v>250579728.172113</v>
      </c>
      <c r="AQ206" s="2">
        <f>求节点(节奏总纲!F$4:F$163,AJ$4:AJ$163,$AN206)*其他调用!J207*其他调用!$M207</f>
        <v>24894180.00790754</v>
      </c>
      <c r="AR206" s="2">
        <f>求节点(节奏总纲!G$4:G$163,AK$4:AK$163,$AN206)*其他调用!K207*其他调用!$M207</f>
        <v>5846023.9517264124</v>
      </c>
      <c r="AS206" s="2">
        <f>求节点(节奏总纲!H$4:H$163,AL$4:AL$163,$AN206)*其他调用!L207*其他调用!$M207</f>
        <v>2093692.7185818502</v>
      </c>
      <c r="AT206" s="2">
        <f t="shared" si="19"/>
        <v>505063216.64131778</v>
      </c>
      <c r="BF206" s="2">
        <v>203</v>
      </c>
      <c r="BG206" s="2">
        <f>求节点(节奏总纲!D$4:D$163,AZ$4:AZ$163,$AN206)</f>
        <v>8044.2525194575637</v>
      </c>
      <c r="BH206" s="2">
        <f>求节点(节奏总纲!E$4:E$163,BA$4:BA$163,$AN206)</f>
        <v>24821.347872711602</v>
      </c>
      <c r="BI206" s="2">
        <f>求节点(节奏总纲!F$4:F$163,BB$4:BB$163,$AN206)</f>
        <v>77206.440457458521</v>
      </c>
      <c r="BJ206" s="2">
        <f>求节点(节奏总纲!G$4:G$163,BC$4:BC$163,$AN206)</f>
        <v>37164.209696175247</v>
      </c>
      <c r="BK206" s="2">
        <f>求节点(节奏总纲!H$4:H$163,BD$4:BD$163,$AN206)</f>
        <v>11045.715902855776</v>
      </c>
      <c r="BL206" s="2">
        <f>BG206*其他调用!H207*其他调用!$M207</f>
        <v>385822.86568817246</v>
      </c>
      <c r="BM206" s="2">
        <f>BH206*其他调用!I207*其他调用!$M207</f>
        <v>1173839.1138663893</v>
      </c>
      <c r="BN206" s="2">
        <f>BI206*其他调用!J207*其他调用!$M207</f>
        <v>298049.28795784875</v>
      </c>
      <c r="BO206" s="2">
        <f>BJ206*其他调用!K207*其他调用!$M207</f>
        <v>25524.23056249438</v>
      </c>
      <c r="BP206" s="2">
        <f>BK206*其他调用!L207*其他调用!$M207</f>
        <v>2195.0046642154994</v>
      </c>
      <c r="BQ206" s="2">
        <f t="shared" si="20"/>
        <v>1885430.5027391203</v>
      </c>
      <c r="BR206" s="2">
        <f>[1]服务器生态!$R205</f>
        <v>2.5872101444380409E-2</v>
      </c>
      <c r="BS206" s="2" t="e">
        <f>SUMPRODUCT((BG$4:BG206)*($BR$4:$BR206)*(其他调用!#REF!))</f>
        <v>#REF!</v>
      </c>
      <c r="BT206" s="2" t="e">
        <f>SUMPRODUCT((BH$4:BH206)*($BR$4:$BR206)*(其他调用!#REF!))</f>
        <v>#REF!</v>
      </c>
      <c r="BU206" s="2" t="e">
        <f>SUMPRODUCT((BI$4:BI206)*($BR$4:$BR206)*(其他调用!#REF!))</f>
        <v>#REF!</v>
      </c>
      <c r="BV206" s="2" t="e">
        <f>SUMPRODUCT((BJ$4:BJ206)*($BR$4:$BR206)*(其他调用!#REF!))</f>
        <v>#REF!</v>
      </c>
      <c r="BW206" s="2" t="e">
        <f>SUMPRODUCT((BK$4:BK206)*($BR$4:$BR206)*(其他调用!#REF!))</f>
        <v>#REF!</v>
      </c>
      <c r="BX206" s="2" t="e">
        <f>SUMPRODUCT((BG$4:BG206)*($BR$4:$BR206))*'[1]功能-战损相关'!$D$2-BS206</f>
        <v>#REF!</v>
      </c>
      <c r="BY206" s="2" t="e">
        <f>SUMPRODUCT((BH$4:BH206)*($BR$4:$BR206))*'[1]功能-战损相关'!$D$2-BT206</f>
        <v>#REF!</v>
      </c>
      <c r="BZ206" s="2" t="e">
        <f>SUMPRODUCT((BI$4:BI206)*($BR$4:$BR206))*'[1]功能-战损相关'!$D$2-BU206</f>
        <v>#REF!</v>
      </c>
      <c r="CA206" s="2" t="e">
        <f>SUMPRODUCT((BJ$4:BJ206)*($BR$4:$BR206))*'[1]功能-战损相关'!$D$2-BV206</f>
        <v>#REF!</v>
      </c>
      <c r="CB206" s="2" t="e">
        <f>SUMPRODUCT((BK$4:BK206)*($BR$4:$BR206))*'[1]功能-战损相关'!$D$2-BW206</f>
        <v>#REF!</v>
      </c>
    </row>
    <row r="207" spans="40:80" x14ac:dyDescent="0.2">
      <c r="AN207" s="2">
        <v>204</v>
      </c>
      <c r="AO207" s="2">
        <f>求节点(节奏总纲!D$4:D$163,AH$4:AH$163,$AN207)*其他调用!H208*其他调用!$M208</f>
        <v>222119903.7652888</v>
      </c>
      <c r="AP207" s="2">
        <f>求节点(节奏总纲!E$4:E$163,AI$4:AI$163,$AN207)*其他调用!I208*其他调用!$M208</f>
        <v>251297374.99072239</v>
      </c>
      <c r="AQ207" s="2">
        <f>求节点(节奏总纲!F$4:F$163,AJ$4:AJ$163,$AN207)*其他调用!J208*其他调用!$M208</f>
        <v>24949229.691404663</v>
      </c>
      <c r="AR207" s="2">
        <f>求节点(节奏总纲!G$4:G$163,AK$4:AK$163,$AN207)*其他调用!K208*其他调用!$M208</f>
        <v>5852020.7196003469</v>
      </c>
      <c r="AS207" s="2">
        <f>求节点(节奏总纲!H$4:H$163,AL$4:AL$163,$AN207)*其他调用!L208*其他调用!$M208</f>
        <v>2095694.6454512617</v>
      </c>
      <c r="AT207" s="2">
        <f t="shared" si="19"/>
        <v>506314223.8124674</v>
      </c>
      <c r="BF207" s="2">
        <v>204</v>
      </c>
      <c r="BG207" s="2">
        <f>求节点(节奏总纲!D$4:D$163,AZ$4:AZ$163,$AN207)</f>
        <v>8050.1415821491664</v>
      </c>
      <c r="BH207" s="2">
        <f>求节点(节奏总纲!E$4:E$163,BA$4:BA$163,$AN207)</f>
        <v>24838.356562811408</v>
      </c>
      <c r="BI207" s="2">
        <f>求节点(节奏总纲!F$4:F$163,BB$4:BB$163,$AN207)</f>
        <v>77258.017409026157</v>
      </c>
      <c r="BJ207" s="2">
        <f>求节点(节奏总纲!G$4:G$163,BC$4:BC$163,$AN207)</f>
        <v>37187.461452161166</v>
      </c>
      <c r="BK207" s="2">
        <f>求节点(节奏总纲!H$4:H$163,BD$4:BD$163,$AN207)</f>
        <v>11051.039340203311</v>
      </c>
      <c r="BL207" s="2">
        <f>BG207*其他调用!H208*其他调用!$M208</f>
        <v>386105.3201534439</v>
      </c>
      <c r="BM207" s="2">
        <f>BH207*其他调用!I208*其他调用!$M208</f>
        <v>1174643.4805678744</v>
      </c>
      <c r="BN207" s="2">
        <f>BI207*其他调用!J208*其他调用!$M208</f>
        <v>298248.39665394567</v>
      </c>
      <c r="BO207" s="2">
        <f>BJ207*其他调用!K208*其他调用!$M208</f>
        <v>25540.199775498488</v>
      </c>
      <c r="BP207" s="2">
        <f>BK207*其他调用!L208*其他调用!$M208</f>
        <v>2196.0625376852017</v>
      </c>
      <c r="BQ207" s="2">
        <f t="shared" si="20"/>
        <v>1886733.4596884479</v>
      </c>
      <c r="BR207" s="2">
        <f>[1]服务器生态!$R206</f>
        <v>2.4913875464958914E-2</v>
      </c>
      <c r="BS207" s="2" t="e">
        <f>SUMPRODUCT((BG$4:BG207)*($BR$4:$BR207)*(其他调用!#REF!))</f>
        <v>#REF!</v>
      </c>
      <c r="BT207" s="2" t="e">
        <f>SUMPRODUCT((BH$4:BH207)*($BR$4:$BR207)*(其他调用!#REF!))</f>
        <v>#REF!</v>
      </c>
      <c r="BU207" s="2" t="e">
        <f>SUMPRODUCT((BI$4:BI207)*($BR$4:$BR207)*(其他调用!#REF!))</f>
        <v>#REF!</v>
      </c>
      <c r="BV207" s="2" t="e">
        <f>SUMPRODUCT((BJ$4:BJ207)*($BR$4:$BR207)*(其他调用!#REF!))</f>
        <v>#REF!</v>
      </c>
      <c r="BW207" s="2" t="e">
        <f>SUMPRODUCT((BK$4:BK207)*($BR$4:$BR207)*(其他调用!#REF!))</f>
        <v>#REF!</v>
      </c>
      <c r="BX207" s="2" t="e">
        <f>SUMPRODUCT((BG$4:BG207)*($BR$4:$BR207))*'[1]功能-战损相关'!$D$2-BS207</f>
        <v>#REF!</v>
      </c>
      <c r="BY207" s="2" t="e">
        <f>SUMPRODUCT((BH$4:BH207)*($BR$4:$BR207))*'[1]功能-战损相关'!$D$2-BT207</f>
        <v>#REF!</v>
      </c>
      <c r="BZ207" s="2" t="e">
        <f>SUMPRODUCT((BI$4:BI207)*($BR$4:$BR207))*'[1]功能-战损相关'!$D$2-BU207</f>
        <v>#REF!</v>
      </c>
      <c r="CA207" s="2" t="e">
        <f>SUMPRODUCT((BJ$4:BJ207)*($BR$4:$BR207))*'[1]功能-战损相关'!$D$2-BV207</f>
        <v>#REF!</v>
      </c>
      <c r="CB207" s="2" t="e">
        <f>SUMPRODUCT((BK$4:BK207)*($BR$4:$BR207))*'[1]功能-战损相关'!$D$2-BW207</f>
        <v>#REF!</v>
      </c>
    </row>
    <row r="208" spans="40:80" x14ac:dyDescent="0.2">
      <c r="AN208" s="2">
        <v>205</v>
      </c>
      <c r="AO208" s="2">
        <f>求节点(节奏总纲!D$4:D$163,AH$4:AH$163,$AN208)*其他调用!H209*其他调用!$M209</f>
        <v>222590215.73958868</v>
      </c>
      <c r="AP208" s="2">
        <f>求节点(节奏总纲!E$4:E$163,AI$4:AI$163,$AN208)*其他调用!I209*其他调用!$M209</f>
        <v>252015021.80933174</v>
      </c>
      <c r="AQ208" s="2">
        <f>求节点(节奏总纲!F$4:F$163,AJ$4:AJ$163,$AN208)*其他调用!J209*其他调用!$M209</f>
        <v>25004279.37490179</v>
      </c>
      <c r="AR208" s="2">
        <f>求节点(节奏总纲!G$4:G$163,AK$4:AK$163,$AN208)*其他调用!K209*其他调用!$M209</f>
        <v>5858017.4874742785</v>
      </c>
      <c r="AS208" s="2">
        <f>求节点(节奏总纲!H$4:H$163,AL$4:AL$163,$AN208)*其他调用!L209*其他调用!$M209</f>
        <v>2097696.5723206727</v>
      </c>
      <c r="AT208" s="2">
        <f t="shared" si="19"/>
        <v>507565230.98361713</v>
      </c>
      <c r="BF208" s="2">
        <v>205</v>
      </c>
      <c r="BG208" s="2">
        <f>求节点(节奏总纲!D$4:D$163,AZ$4:AZ$163,$AN208)</f>
        <v>8056.03064484077</v>
      </c>
      <c r="BH208" s="2">
        <f>求节点(节奏总纲!E$4:E$163,BA$4:BA$163,$AN208)</f>
        <v>24855.365252911215</v>
      </c>
      <c r="BI208" s="2">
        <f>求节点(节奏总纲!F$4:F$163,BB$4:BB$163,$AN208)</f>
        <v>77309.594360593794</v>
      </c>
      <c r="BJ208" s="2">
        <f>求节点(节奏总纲!G$4:G$163,BC$4:BC$163,$AN208)</f>
        <v>37210.713208147077</v>
      </c>
      <c r="BK208" s="2">
        <f>求节点(节奏总纲!H$4:H$163,BD$4:BD$163,$AN208)</f>
        <v>11056.362777550845</v>
      </c>
      <c r="BL208" s="2">
        <f>BG208*其他调用!H209*其他调用!$M209</f>
        <v>386387.77461871534</v>
      </c>
      <c r="BM208" s="2">
        <f>BH208*其他调用!I209*其他调用!$M209</f>
        <v>1175447.8472693595</v>
      </c>
      <c r="BN208" s="2">
        <f>BI208*其他调用!J209*其他调用!$M209</f>
        <v>298447.5053500426</v>
      </c>
      <c r="BO208" s="2">
        <f>BJ208*其他调用!K209*其他调用!$M209</f>
        <v>25556.168988502588</v>
      </c>
      <c r="BP208" s="2">
        <f>BK208*其他调用!L209*其他调用!$M209</f>
        <v>2197.1204111549036</v>
      </c>
      <c r="BQ208" s="2">
        <f t="shared" si="20"/>
        <v>1888036.4166377748</v>
      </c>
      <c r="BR208" s="2">
        <f>[1]服务器生态!$R207</f>
        <v>2.3955649485537418E-2</v>
      </c>
      <c r="BS208" s="2" t="e">
        <f>SUMPRODUCT((BG$4:BG208)*($BR$4:$BR208)*(其他调用!#REF!))</f>
        <v>#REF!</v>
      </c>
      <c r="BT208" s="2" t="e">
        <f>SUMPRODUCT((BH$4:BH208)*($BR$4:$BR208)*(其他调用!#REF!))</f>
        <v>#REF!</v>
      </c>
      <c r="BU208" s="2" t="e">
        <f>SUMPRODUCT((BI$4:BI208)*($BR$4:$BR208)*(其他调用!#REF!))</f>
        <v>#REF!</v>
      </c>
      <c r="BV208" s="2" t="e">
        <f>SUMPRODUCT((BJ$4:BJ208)*($BR$4:$BR208)*(其他调用!#REF!))</f>
        <v>#REF!</v>
      </c>
      <c r="BW208" s="2" t="e">
        <f>SUMPRODUCT((BK$4:BK208)*($BR$4:$BR208)*(其他调用!#REF!))</f>
        <v>#REF!</v>
      </c>
      <c r="BX208" s="2" t="e">
        <f>SUMPRODUCT((BG$4:BG208)*($BR$4:$BR208))*'[1]功能-战损相关'!$D$2-BS208</f>
        <v>#REF!</v>
      </c>
      <c r="BY208" s="2" t="e">
        <f>SUMPRODUCT((BH$4:BH208)*($BR$4:$BR208))*'[1]功能-战损相关'!$D$2-BT208</f>
        <v>#REF!</v>
      </c>
      <c r="BZ208" s="2" t="e">
        <f>SUMPRODUCT((BI$4:BI208)*($BR$4:$BR208))*'[1]功能-战损相关'!$D$2-BU208</f>
        <v>#REF!</v>
      </c>
      <c r="CA208" s="2" t="e">
        <f>SUMPRODUCT((BJ$4:BJ208)*($BR$4:$BR208))*'[1]功能-战损相关'!$D$2-BV208</f>
        <v>#REF!</v>
      </c>
      <c r="CB208" s="2" t="e">
        <f>SUMPRODUCT((BK$4:BK208)*($BR$4:$BR208))*'[1]功能-战损相关'!$D$2-BW208</f>
        <v>#REF!</v>
      </c>
    </row>
    <row r="209" spans="40:80" x14ac:dyDescent="0.2">
      <c r="AN209" s="2">
        <v>206</v>
      </c>
      <c r="AO209" s="2">
        <f>求节点(节奏总纲!D$4:D$163,AH$4:AH$163,$AN209)*其他调用!H210*其他调用!$M210</f>
        <v>223060527.71388853</v>
      </c>
      <c r="AP209" s="2">
        <f>求节点(节奏总纲!E$4:E$163,AI$4:AI$163,$AN209)*其他调用!I210*其他调用!$M210</f>
        <v>252732668.6279411</v>
      </c>
      <c r="AQ209" s="2">
        <f>求节点(节奏总纲!F$4:F$163,AJ$4:AJ$163,$AN209)*其他调用!J210*其他调用!$M210</f>
        <v>25059329.058398914</v>
      </c>
      <c r="AR209" s="2">
        <f>求节点(节奏总纲!G$4:G$163,AK$4:AK$163,$AN209)*其他调用!K210*其他调用!$M210</f>
        <v>5864014.2553482112</v>
      </c>
      <c r="AS209" s="2">
        <f>求节点(节奏总纲!H$4:H$163,AL$4:AL$163,$AN209)*其他调用!L210*其他调用!$M210</f>
        <v>2099698.4991900837</v>
      </c>
      <c r="AT209" s="2">
        <f t="shared" si="19"/>
        <v>508816238.15476686</v>
      </c>
      <c r="BF209" s="2">
        <v>206</v>
      </c>
      <c r="BG209" s="2">
        <f>求节点(节奏总纲!D$4:D$163,AZ$4:AZ$163,$AN209)</f>
        <v>8061.9197075323727</v>
      </c>
      <c r="BH209" s="2">
        <f>求节点(节奏总纲!E$4:E$163,BA$4:BA$163,$AN209)</f>
        <v>24872.373943011022</v>
      </c>
      <c r="BI209" s="2">
        <f>求节点(节奏总纲!F$4:F$163,BB$4:BB$163,$AN209)</f>
        <v>77361.171312161445</v>
      </c>
      <c r="BJ209" s="2">
        <f>求节点(节奏总纲!G$4:G$163,BC$4:BC$163,$AN209)</f>
        <v>37233.964964132996</v>
      </c>
      <c r="BK209" s="2">
        <f>求节点(节奏总纲!H$4:H$163,BD$4:BD$163,$AN209)</f>
        <v>11061.686214898378</v>
      </c>
      <c r="BL209" s="2">
        <f>BG209*其他调用!H210*其他调用!$M210</f>
        <v>386670.22908398672</v>
      </c>
      <c r="BM209" s="2">
        <f>BH209*其他调用!I210*其他调用!$M210</f>
        <v>1176252.2139708444</v>
      </c>
      <c r="BN209" s="2">
        <f>BI209*其他调用!J210*其他调用!$M210</f>
        <v>298646.61404613958</v>
      </c>
      <c r="BO209" s="2">
        <f>BJ209*其他调用!K210*其他调用!$M210</f>
        <v>25572.138201506692</v>
      </c>
      <c r="BP209" s="2">
        <f>BK209*其他调用!L210*其他调用!$M210</f>
        <v>2198.1782846246056</v>
      </c>
      <c r="BQ209" s="2">
        <f t="shared" si="20"/>
        <v>1889339.3735871022</v>
      </c>
      <c r="BR209" s="2">
        <f>[1]服务器生态!$R208</f>
        <v>2.2997423506115923E-2</v>
      </c>
      <c r="BS209" s="2" t="e">
        <f>SUMPRODUCT((BG$4:BG209)*($BR$4:$BR209)*(其他调用!#REF!))</f>
        <v>#REF!</v>
      </c>
      <c r="BT209" s="2" t="e">
        <f>SUMPRODUCT((BH$4:BH209)*($BR$4:$BR209)*(其他调用!#REF!))</f>
        <v>#REF!</v>
      </c>
      <c r="BU209" s="2" t="e">
        <f>SUMPRODUCT((BI$4:BI209)*($BR$4:$BR209)*(其他调用!#REF!))</f>
        <v>#REF!</v>
      </c>
      <c r="BV209" s="2" t="e">
        <f>SUMPRODUCT((BJ$4:BJ209)*($BR$4:$BR209)*(其他调用!#REF!))</f>
        <v>#REF!</v>
      </c>
      <c r="BW209" s="2" t="e">
        <f>SUMPRODUCT((BK$4:BK209)*($BR$4:$BR209)*(其他调用!#REF!))</f>
        <v>#REF!</v>
      </c>
      <c r="BX209" s="2" t="e">
        <f>SUMPRODUCT((BG$4:BG209)*($BR$4:$BR209))*'[1]功能-战损相关'!$D$2-BS209</f>
        <v>#REF!</v>
      </c>
      <c r="BY209" s="2" t="e">
        <f>SUMPRODUCT((BH$4:BH209)*($BR$4:$BR209))*'[1]功能-战损相关'!$D$2-BT209</f>
        <v>#REF!</v>
      </c>
      <c r="BZ209" s="2" t="e">
        <f>SUMPRODUCT((BI$4:BI209)*($BR$4:$BR209))*'[1]功能-战损相关'!$D$2-BU209</f>
        <v>#REF!</v>
      </c>
      <c r="CA209" s="2" t="e">
        <f>SUMPRODUCT((BJ$4:BJ209)*($BR$4:$BR209))*'[1]功能-战损相关'!$D$2-BV209</f>
        <v>#REF!</v>
      </c>
      <c r="CB209" s="2" t="e">
        <f>SUMPRODUCT((BK$4:BK209)*($BR$4:$BR209))*'[1]功能-战损相关'!$D$2-BW209</f>
        <v>#REF!</v>
      </c>
    </row>
    <row r="210" spans="40:80" x14ac:dyDescent="0.2">
      <c r="AN210" s="2">
        <v>207</v>
      </c>
      <c r="AO210" s="2">
        <f>求节点(节奏总纲!D$4:D$163,AH$4:AH$163,$AN210)*其他调用!H211*其他调用!$M211</f>
        <v>223529890.30006415</v>
      </c>
      <c r="AP210" s="2">
        <f>求节点(节奏总纲!E$4:E$163,AI$4:AI$163,$AN210)*其他调用!I211*其他调用!$M211</f>
        <v>253426628.90364894</v>
      </c>
      <c r="AQ210" s="2">
        <f>求节点(节奏总纲!F$4:F$163,AJ$4:AJ$163,$AN210)*其他调用!J211*其他调用!$M211</f>
        <v>25112063.784541741</v>
      </c>
      <c r="AR210" s="2">
        <f>求节点(节奏总纲!G$4:G$163,AK$4:AK$163,$AN210)*其他调用!K211*其他调用!$M211</f>
        <v>5870011.0232221447</v>
      </c>
      <c r="AS210" s="2">
        <f>求节点(节奏总纲!H$4:H$163,AL$4:AL$163,$AN210)*其他调用!L211*其他调用!$M211</f>
        <v>2101659.0258885995</v>
      </c>
      <c r="AT210" s="2">
        <f t="shared" si="19"/>
        <v>510040253.03736556</v>
      </c>
      <c r="BF210" s="2">
        <v>207</v>
      </c>
      <c r="BG210" s="2">
        <f>求节点(节奏总纲!D$4:D$163,AZ$4:AZ$163,$AN210)</f>
        <v>8067.7702659818697</v>
      </c>
      <c r="BH210" s="2">
        <f>求节点(节奏总纲!E$4:E$163,BA$4:BA$163,$AN210)</f>
        <v>24888.8522990653</v>
      </c>
      <c r="BI210" s="2">
        <f>求节点(节奏总纲!F$4:F$163,BB$4:BB$163,$AN210)</f>
        <v>77411.086676206207</v>
      </c>
      <c r="BJ210" s="2">
        <f>求节点(节奏总纲!G$4:G$163,BC$4:BC$163,$AN210)</f>
        <v>37257.216720118915</v>
      </c>
      <c r="BK210" s="2">
        <f>求节点(节奏总纲!H$4:H$163,BD$4:BD$163,$AN210)</f>
        <v>11066.957077946528</v>
      </c>
      <c r="BL210" s="2">
        <f>BG210*其他调用!H211*其他调用!$M211</f>
        <v>386950.83678761125</v>
      </c>
      <c r="BM210" s="2">
        <f>BH210*其他调用!I211*其他调用!$M211</f>
        <v>1177031.5003725307</v>
      </c>
      <c r="BN210" s="2">
        <f>BI210*其他调用!J211*其他调用!$M211</f>
        <v>298839.30831650808</v>
      </c>
      <c r="BO210" s="2">
        <f>BJ210*其他调用!K211*其他调用!$M211</f>
        <v>25588.1074145108</v>
      </c>
      <c r="BP210" s="2">
        <f>BK210*其他调用!L211*其他调用!$M211</f>
        <v>2199.2257105295339</v>
      </c>
      <c r="BQ210" s="2">
        <f t="shared" si="20"/>
        <v>1890608.9786016904</v>
      </c>
      <c r="BR210" s="2">
        <f>[1]服务器生态!$R209</f>
        <v>2.2039197526694424E-2</v>
      </c>
      <c r="BS210" s="2" t="e">
        <f>SUMPRODUCT((BG$4:BG210)*($BR$4:$BR210)*(其他调用!#REF!))</f>
        <v>#REF!</v>
      </c>
      <c r="BT210" s="2" t="e">
        <f>SUMPRODUCT((BH$4:BH210)*($BR$4:$BR210)*(其他调用!#REF!))</f>
        <v>#REF!</v>
      </c>
      <c r="BU210" s="2" t="e">
        <f>SUMPRODUCT((BI$4:BI210)*($BR$4:$BR210)*(其他调用!#REF!))</f>
        <v>#REF!</v>
      </c>
      <c r="BV210" s="2" t="e">
        <f>SUMPRODUCT((BJ$4:BJ210)*($BR$4:$BR210)*(其他调用!#REF!))</f>
        <v>#REF!</v>
      </c>
      <c r="BW210" s="2" t="e">
        <f>SUMPRODUCT((BK$4:BK210)*($BR$4:$BR210)*(其他调用!#REF!))</f>
        <v>#REF!</v>
      </c>
      <c r="BX210" s="2" t="e">
        <f>SUMPRODUCT((BG$4:BG210)*($BR$4:$BR210))*'[1]功能-战损相关'!$D$2-BS210</f>
        <v>#REF!</v>
      </c>
      <c r="BY210" s="2" t="e">
        <f>SUMPRODUCT((BH$4:BH210)*($BR$4:$BR210))*'[1]功能-战损相关'!$D$2-BT210</f>
        <v>#REF!</v>
      </c>
      <c r="BZ210" s="2" t="e">
        <f>SUMPRODUCT((BI$4:BI210)*($BR$4:$BR210))*'[1]功能-战损相关'!$D$2-BU210</f>
        <v>#REF!</v>
      </c>
      <c r="CA210" s="2" t="e">
        <f>SUMPRODUCT((BJ$4:BJ210)*($BR$4:$BR210))*'[1]功能-战损相关'!$D$2-BV210</f>
        <v>#REF!</v>
      </c>
      <c r="CB210" s="2" t="e">
        <f>SUMPRODUCT((BK$4:BK210)*($BR$4:$BR210))*'[1]功能-战损相关'!$D$2-BW210</f>
        <v>#REF!</v>
      </c>
    </row>
    <row r="211" spans="40:80" x14ac:dyDescent="0.2">
      <c r="AN211" s="2">
        <v>208</v>
      </c>
      <c r="AO211" s="2">
        <f>求节点(节奏总纲!D$4:D$163,AH$4:AH$163,$AN211)*其他调用!H212*其他调用!$M212</f>
        <v>223985224.5167518</v>
      </c>
      <c r="AP211" s="2">
        <f>求节点(节奏总纲!E$4:E$163,AI$4:AI$163,$AN211)*其他调用!I212*其他调用!$M212</f>
        <v>254118562.32966945</v>
      </c>
      <c r="AQ211" s="2">
        <f>求节点(节奏总纲!F$4:F$163,AJ$4:AJ$163,$AN211)*其他调用!J212*其他调用!$M212</f>
        <v>25163393.910041284</v>
      </c>
      <c r="AR211" s="2">
        <f>求节点(节奏总纲!G$4:G$163,AK$4:AK$163,$AN211)*其他调用!K212*其他调用!$M212</f>
        <v>5876007.7910960764</v>
      </c>
      <c r="AS211" s="2">
        <f>求节点(节奏总纲!H$4:H$163,AL$4:AL$163,$AN211)*其他调用!L212*其他调用!$M212</f>
        <v>2103365.2101699738</v>
      </c>
      <c r="AT211" s="2">
        <f t="shared" si="19"/>
        <v>511246553.75772858</v>
      </c>
      <c r="BF211" s="2">
        <v>208</v>
      </c>
      <c r="BG211" s="2">
        <f>求节点(节奏总纲!D$4:D$163,AZ$4:AZ$163,$AN211)</f>
        <v>8073.0518772101541</v>
      </c>
      <c r="BH211" s="2">
        <f>求节点(节奏总纲!E$4:E$163,BA$4:BA$163,$AN211)</f>
        <v>24905.285274609683</v>
      </c>
      <c r="BI211" s="2">
        <f>求节点(节奏总纲!F$4:F$163,BB$4:BB$163,$AN211)</f>
        <v>77459.993871828716</v>
      </c>
      <c r="BJ211" s="2">
        <f>求节点(节奏总纲!G$4:G$163,BC$4:BC$163,$AN211)</f>
        <v>37280.468476104834</v>
      </c>
      <c r="BK211" s="2">
        <f>求节点(节奏总纲!H$4:H$163,BD$4:BD$163,$AN211)</f>
        <v>11071.904950193048</v>
      </c>
      <c r="BL211" s="2">
        <f>BG211*其他调用!H212*其他调用!$M212</f>
        <v>387204.15633154882</v>
      </c>
      <c r="BM211" s="2">
        <f>BH211*其他调用!I212*其他调用!$M212</f>
        <v>1177808.6406612098</v>
      </c>
      <c r="BN211" s="2">
        <f>BI211*其他调用!J212*其他调用!$M212</f>
        <v>299028.11063332175</v>
      </c>
      <c r="BO211" s="2">
        <f>BJ211*其他调用!K212*其他调用!$M212</f>
        <v>25604.076627514907</v>
      </c>
      <c r="BP211" s="2">
        <f>BK211*其他调用!L212*其他调用!$M212</f>
        <v>2200.2089517023619</v>
      </c>
      <c r="BQ211" s="2">
        <f t="shared" si="20"/>
        <v>1891845.1932052979</v>
      </c>
      <c r="BR211" s="2">
        <f>[1]服务器生态!$R210</f>
        <v>2.1080971547272929E-2</v>
      </c>
      <c r="BS211" s="2" t="e">
        <f>SUMPRODUCT((BG$4:BG211)*($BR$4:$BR211)*(其他调用!#REF!))</f>
        <v>#REF!</v>
      </c>
      <c r="BT211" s="2" t="e">
        <f>SUMPRODUCT((BH$4:BH211)*($BR$4:$BR211)*(其他调用!#REF!))</f>
        <v>#REF!</v>
      </c>
      <c r="BU211" s="2" t="e">
        <f>SUMPRODUCT((BI$4:BI211)*($BR$4:$BR211)*(其他调用!#REF!))</f>
        <v>#REF!</v>
      </c>
      <c r="BV211" s="2" t="e">
        <f>SUMPRODUCT((BJ$4:BJ211)*($BR$4:$BR211)*(其他调用!#REF!))</f>
        <v>#REF!</v>
      </c>
      <c r="BW211" s="2" t="e">
        <f>SUMPRODUCT((BK$4:BK211)*($BR$4:$BR211)*(其他调用!#REF!))</f>
        <v>#REF!</v>
      </c>
      <c r="BX211" s="2" t="e">
        <f>SUMPRODUCT((BG$4:BG211)*($BR$4:$BR211))*'[1]功能-战损相关'!$D$2-BS211</f>
        <v>#REF!</v>
      </c>
      <c r="BY211" s="2" t="e">
        <f>SUMPRODUCT((BH$4:BH211)*($BR$4:$BR211))*'[1]功能-战损相关'!$D$2-BT211</f>
        <v>#REF!</v>
      </c>
      <c r="BZ211" s="2" t="e">
        <f>SUMPRODUCT((BI$4:BI211)*($BR$4:$BR211))*'[1]功能-战损相关'!$D$2-BU211</f>
        <v>#REF!</v>
      </c>
      <c r="CA211" s="2" t="e">
        <f>SUMPRODUCT((BJ$4:BJ211)*($BR$4:$BR211))*'[1]功能-战损相关'!$D$2-BV211</f>
        <v>#REF!</v>
      </c>
      <c r="CB211" s="2" t="e">
        <f>SUMPRODUCT((BK$4:BK211)*($BR$4:$BR211))*'[1]功能-战损相关'!$D$2-BW211</f>
        <v>#REF!</v>
      </c>
    </row>
    <row r="212" spans="40:80" x14ac:dyDescent="0.2">
      <c r="AN212" s="2">
        <v>209</v>
      </c>
      <c r="AO212" s="2">
        <f>求节点(节奏总纲!D$4:D$163,AH$4:AH$163,$AN212)*其他调用!H213*其他调用!$M213</f>
        <v>224440558.73343939</v>
      </c>
      <c r="AP212" s="2">
        <f>求节点(节奏总纲!E$4:E$163,AI$4:AI$163,$AN212)*其他调用!I213*其他调用!$M213</f>
        <v>254810495.75568986</v>
      </c>
      <c r="AQ212" s="2">
        <f>求节点(节奏总纲!F$4:F$163,AJ$4:AJ$163,$AN212)*其他调用!J213*其他调用!$M213</f>
        <v>25214724.035540823</v>
      </c>
      <c r="AR212" s="2">
        <f>求节点(节奏总纲!G$4:G$163,AK$4:AK$163,$AN212)*其他调用!K213*其他调用!$M213</f>
        <v>5882004.558970009</v>
      </c>
      <c r="AS212" s="2">
        <f>求节点(节奏总纲!H$4:H$163,AL$4:AL$163,$AN212)*其他调用!L213*其他调用!$M213</f>
        <v>2105071.3944513476</v>
      </c>
      <c r="AT212" s="2">
        <f t="shared" si="19"/>
        <v>512452854.47809142</v>
      </c>
      <c r="BF212" s="2">
        <v>209</v>
      </c>
      <c r="BG212" s="2">
        <f>求节点(节奏总纲!D$4:D$163,AZ$4:AZ$163,$AN212)</f>
        <v>8078.3334884384385</v>
      </c>
      <c r="BH212" s="2">
        <f>求节点(节奏总纲!E$4:E$163,BA$4:BA$163,$AN212)</f>
        <v>24921.71825015407</v>
      </c>
      <c r="BI212" s="2">
        <f>求节点(节奏总纲!F$4:F$163,BB$4:BB$163,$AN212)</f>
        <v>77508.901067451225</v>
      </c>
      <c r="BJ212" s="2">
        <f>求节点(节奏总纲!G$4:G$163,BC$4:BC$163,$AN212)</f>
        <v>37303.720232090753</v>
      </c>
      <c r="BK212" s="2">
        <f>求节点(节奏总纲!H$4:H$163,BD$4:BD$163,$AN212)</f>
        <v>11076.852822439569</v>
      </c>
      <c r="BL212" s="2">
        <f>BG212*其他调用!H213*其他调用!$M213</f>
        <v>387457.47587548633</v>
      </c>
      <c r="BM212" s="2">
        <f>BH212*其他调用!I213*其他调用!$M213</f>
        <v>1178585.7809498894</v>
      </c>
      <c r="BN212" s="2">
        <f>BI212*其他调用!J213*其他调用!$M213</f>
        <v>299216.91295013536</v>
      </c>
      <c r="BO212" s="2">
        <f>BJ212*其他调用!K213*其他调用!$M213</f>
        <v>25620.045840519007</v>
      </c>
      <c r="BP212" s="2">
        <f>BK212*其他调用!L213*其他调用!$M213</f>
        <v>2201.1921928751908</v>
      </c>
      <c r="BQ212" s="2">
        <f t="shared" si="20"/>
        <v>1893081.4078089052</v>
      </c>
      <c r="BR212" s="2">
        <f>[1]服务器生态!$R211</f>
        <v>2.0122745567851433E-2</v>
      </c>
      <c r="BS212" s="2" t="e">
        <f>SUMPRODUCT((BG$4:BG212)*($BR$4:$BR212)*(其他调用!#REF!))</f>
        <v>#REF!</v>
      </c>
      <c r="BT212" s="2" t="e">
        <f>SUMPRODUCT((BH$4:BH212)*($BR$4:$BR212)*(其他调用!#REF!))</f>
        <v>#REF!</v>
      </c>
      <c r="BU212" s="2" t="e">
        <f>SUMPRODUCT((BI$4:BI212)*($BR$4:$BR212)*(其他调用!#REF!))</f>
        <v>#REF!</v>
      </c>
      <c r="BV212" s="2" t="e">
        <f>SUMPRODUCT((BJ$4:BJ212)*($BR$4:$BR212)*(其他调用!#REF!))</f>
        <v>#REF!</v>
      </c>
      <c r="BW212" s="2" t="e">
        <f>SUMPRODUCT((BK$4:BK212)*($BR$4:$BR212)*(其他调用!#REF!))</f>
        <v>#REF!</v>
      </c>
      <c r="BX212" s="2" t="e">
        <f>SUMPRODUCT((BG$4:BG212)*($BR$4:$BR212))*'[1]功能-战损相关'!$D$2-BS212</f>
        <v>#REF!</v>
      </c>
      <c r="BY212" s="2" t="e">
        <f>SUMPRODUCT((BH$4:BH212)*($BR$4:$BR212))*'[1]功能-战损相关'!$D$2-BT212</f>
        <v>#REF!</v>
      </c>
      <c r="BZ212" s="2" t="e">
        <f>SUMPRODUCT((BI$4:BI212)*($BR$4:$BR212))*'[1]功能-战损相关'!$D$2-BU212</f>
        <v>#REF!</v>
      </c>
      <c r="CA212" s="2" t="e">
        <f>SUMPRODUCT((BJ$4:BJ212)*($BR$4:$BR212))*'[1]功能-战损相关'!$D$2-BV212</f>
        <v>#REF!</v>
      </c>
      <c r="CB212" s="2" t="e">
        <f>SUMPRODUCT((BK$4:BK212)*($BR$4:$BR212))*'[1]功能-战损相关'!$D$2-BW212</f>
        <v>#REF!</v>
      </c>
    </row>
    <row r="213" spans="40:80" x14ac:dyDescent="0.2">
      <c r="AN213" s="2">
        <v>210</v>
      </c>
      <c r="AO213" s="2">
        <f>求节点(节奏总纲!D$4:D$163,AH$4:AH$163,$AN213)*其他调用!H214*其他调用!$M214</f>
        <v>224895892.95012704</v>
      </c>
      <c r="AP213" s="2">
        <f>求节点(节奏总纲!E$4:E$163,AI$4:AI$163,$AN213)*其他调用!I214*其他调用!$M214</f>
        <v>255502429.1817103</v>
      </c>
      <c r="AQ213" s="2">
        <f>求节点(节奏总纲!F$4:F$163,AJ$4:AJ$163,$AN213)*其他调用!J214*其他调用!$M214</f>
        <v>25266054.161040362</v>
      </c>
      <c r="AR213" s="2">
        <f>求节点(节奏总纲!G$4:G$163,AK$4:AK$163,$AN213)*其他调用!K214*其他调用!$M214</f>
        <v>5888001.3268439416</v>
      </c>
      <c r="AS213" s="2">
        <f>求节点(节奏总纲!H$4:H$163,AL$4:AL$163,$AN213)*其他调用!L214*其他调用!$M214</f>
        <v>2106777.5787327215</v>
      </c>
      <c r="AT213" s="2">
        <f t="shared" si="19"/>
        <v>513659155.19845438</v>
      </c>
      <c r="BF213" s="2">
        <v>210</v>
      </c>
      <c r="BG213" s="2">
        <f>求节点(节奏总纲!D$4:D$163,AZ$4:AZ$163,$AN213)</f>
        <v>8083.6150996667229</v>
      </c>
      <c r="BH213" s="2">
        <f>求节点(节奏总纲!E$4:E$163,BA$4:BA$163,$AN213)</f>
        <v>24938.151225698457</v>
      </c>
      <c r="BI213" s="2">
        <f>求节点(节奏总纲!F$4:F$163,BB$4:BB$163,$AN213)</f>
        <v>77557.808263073734</v>
      </c>
      <c r="BJ213" s="2">
        <f>求节点(节奏总纲!G$4:G$163,BC$4:BC$163,$AN213)</f>
        <v>37326.971988076672</v>
      </c>
      <c r="BK213" s="2">
        <f>求节点(节奏总纲!H$4:H$163,BD$4:BD$163,$AN213)</f>
        <v>11081.80069468609</v>
      </c>
      <c r="BL213" s="2">
        <f>BG213*其他调用!H214*其他调用!$M214</f>
        <v>387710.79541942396</v>
      </c>
      <c r="BM213" s="2">
        <f>BH213*其他调用!I214*其他调用!$M214</f>
        <v>1179362.9212385688</v>
      </c>
      <c r="BN213" s="2">
        <f>BI213*其他调用!J214*其他调用!$M214</f>
        <v>299405.71526694909</v>
      </c>
      <c r="BO213" s="2">
        <f>BJ213*其他调用!K214*其他调用!$M214</f>
        <v>25636.015053523111</v>
      </c>
      <c r="BP213" s="2">
        <f>BK213*其他调用!L214*其他调用!$M214</f>
        <v>2202.1754340480193</v>
      </c>
      <c r="BQ213" s="2">
        <f t="shared" si="20"/>
        <v>1894317.622412513</v>
      </c>
      <c r="BR213" s="2">
        <f>[1]服务器生态!$R212</f>
        <v>1.9164519588429935E-2</v>
      </c>
      <c r="BS213" s="2" t="e">
        <f>SUMPRODUCT((BG$4:BG213)*($BR$4:$BR213)*(其他调用!#REF!))</f>
        <v>#REF!</v>
      </c>
      <c r="BT213" s="2" t="e">
        <f>SUMPRODUCT((BH$4:BH213)*($BR$4:$BR213)*(其他调用!#REF!))</f>
        <v>#REF!</v>
      </c>
      <c r="BU213" s="2" t="e">
        <f>SUMPRODUCT((BI$4:BI213)*($BR$4:$BR213)*(其他调用!#REF!))</f>
        <v>#REF!</v>
      </c>
      <c r="BV213" s="2" t="e">
        <f>SUMPRODUCT((BJ$4:BJ213)*($BR$4:$BR213)*(其他调用!#REF!))</f>
        <v>#REF!</v>
      </c>
      <c r="BW213" s="2" t="e">
        <f>SUMPRODUCT((BK$4:BK213)*($BR$4:$BR213)*(其他调用!#REF!))</f>
        <v>#REF!</v>
      </c>
      <c r="BX213" s="2" t="e">
        <f>SUMPRODUCT((BG$4:BG213)*($BR$4:$BR213))*'[1]功能-战损相关'!$D$2-BS213</f>
        <v>#REF!</v>
      </c>
      <c r="BY213" s="2" t="e">
        <f>SUMPRODUCT((BH$4:BH213)*($BR$4:$BR213))*'[1]功能-战损相关'!$D$2-BT213</f>
        <v>#REF!</v>
      </c>
      <c r="BZ213" s="2" t="e">
        <f>SUMPRODUCT((BI$4:BI213)*($BR$4:$BR213))*'[1]功能-战损相关'!$D$2-BU213</f>
        <v>#REF!</v>
      </c>
      <c r="CA213" s="2" t="e">
        <f>SUMPRODUCT((BJ$4:BJ213)*($BR$4:$BR213))*'[1]功能-战损相关'!$D$2-BV213</f>
        <v>#REF!</v>
      </c>
      <c r="CB213" s="2" t="e">
        <f>SUMPRODUCT((BK$4:BK213)*($BR$4:$BR213))*'[1]功能-战损相关'!$D$2-BW213</f>
        <v>#REF!</v>
      </c>
    </row>
    <row r="214" spans="40:80" x14ac:dyDescent="0.2">
      <c r="AN214" s="2">
        <v>211</v>
      </c>
      <c r="AO214" s="2">
        <f>求节点(节奏总纲!D$4:D$163,AH$4:AH$163,$AN214)*其他调用!H215*其他调用!$M215</f>
        <v>225351227.16681468</v>
      </c>
      <c r="AP214" s="2">
        <f>求节点(节奏总纲!E$4:E$163,AI$4:AI$163,$AN214)*其他调用!I215*其他调用!$M215</f>
        <v>256194362.60773078</v>
      </c>
      <c r="AQ214" s="2">
        <f>求节点(节奏总纲!F$4:F$163,AJ$4:AJ$163,$AN214)*其他调用!J215*其他调用!$M215</f>
        <v>25317384.286539905</v>
      </c>
      <c r="AR214" s="2">
        <f>求节点(节奏总纲!G$4:G$163,AK$4:AK$163,$AN214)*其他调用!K215*其他调用!$M215</f>
        <v>5893998.0947178742</v>
      </c>
      <c r="AS214" s="2">
        <f>求节点(节奏总纲!H$4:H$163,AL$4:AL$163,$AN214)*其他调用!L215*其他调用!$M215</f>
        <v>2108483.7630140954</v>
      </c>
      <c r="AT214" s="2">
        <f t="shared" si="19"/>
        <v>514865455.91881728</v>
      </c>
      <c r="BF214" s="2">
        <v>211</v>
      </c>
      <c r="BG214" s="2">
        <f>求节点(节奏总纲!D$4:D$163,AZ$4:AZ$163,$AN214)</f>
        <v>8088.8967108950073</v>
      </c>
      <c r="BH214" s="2">
        <f>求节点(节奏总纲!E$4:E$163,BA$4:BA$163,$AN214)</f>
        <v>24954.584201242844</v>
      </c>
      <c r="BI214" s="2">
        <f>求节点(节奏总纲!F$4:F$163,BB$4:BB$163,$AN214)</f>
        <v>77606.715458696242</v>
      </c>
      <c r="BJ214" s="2">
        <f>求节点(节奏总纲!G$4:G$163,BC$4:BC$163,$AN214)</f>
        <v>37350.223744062583</v>
      </c>
      <c r="BK214" s="2">
        <f>求节点(节奏总纲!H$4:H$163,BD$4:BD$163,$AN214)</f>
        <v>11086.748566932611</v>
      </c>
      <c r="BL214" s="2">
        <f>BG214*其他调用!H215*其他调用!$M215</f>
        <v>387964.11496336153</v>
      </c>
      <c r="BM214" s="2">
        <f>BH214*其他调用!I215*其他调用!$M215</f>
        <v>1180140.0615272482</v>
      </c>
      <c r="BN214" s="2">
        <f>BI214*其他调用!J215*其他调用!$M215</f>
        <v>299594.5175837627</v>
      </c>
      <c r="BO214" s="2">
        <f>BJ214*其他调用!K215*其他调用!$M215</f>
        <v>25651.984266527212</v>
      </c>
      <c r="BP214" s="2">
        <f>BK214*其他调用!L215*其他调用!$M215</f>
        <v>2203.1586752208477</v>
      </c>
      <c r="BQ214" s="2">
        <f t="shared" si="20"/>
        <v>1895553.8370161206</v>
      </c>
      <c r="BR214" s="2">
        <f>[1]服务器生态!$R213</f>
        <v>1.8206293609008439E-2</v>
      </c>
      <c r="BS214" s="2" t="e">
        <f>SUMPRODUCT((BG$4:BG214)*($BR$4:$BR214)*(其他调用!#REF!))</f>
        <v>#REF!</v>
      </c>
      <c r="BT214" s="2" t="e">
        <f>SUMPRODUCT((BH$4:BH214)*($BR$4:$BR214)*(其他调用!#REF!))</f>
        <v>#REF!</v>
      </c>
      <c r="BU214" s="2" t="e">
        <f>SUMPRODUCT((BI$4:BI214)*($BR$4:$BR214)*(其他调用!#REF!))</f>
        <v>#REF!</v>
      </c>
      <c r="BV214" s="2" t="e">
        <f>SUMPRODUCT((BJ$4:BJ214)*($BR$4:$BR214)*(其他调用!#REF!))</f>
        <v>#REF!</v>
      </c>
      <c r="BW214" s="2" t="e">
        <f>SUMPRODUCT((BK$4:BK214)*($BR$4:$BR214)*(其他调用!#REF!))</f>
        <v>#REF!</v>
      </c>
      <c r="BX214" s="2" t="e">
        <f>SUMPRODUCT((BG$4:BG214)*($BR$4:$BR214))*'[1]功能-战损相关'!$D$2-BS214</f>
        <v>#REF!</v>
      </c>
      <c r="BY214" s="2" t="e">
        <f>SUMPRODUCT((BH$4:BH214)*($BR$4:$BR214))*'[1]功能-战损相关'!$D$2-BT214</f>
        <v>#REF!</v>
      </c>
      <c r="BZ214" s="2" t="e">
        <f>SUMPRODUCT((BI$4:BI214)*($BR$4:$BR214))*'[1]功能-战损相关'!$D$2-BU214</f>
        <v>#REF!</v>
      </c>
      <c r="CA214" s="2" t="e">
        <f>SUMPRODUCT((BJ$4:BJ214)*($BR$4:$BR214))*'[1]功能-战损相关'!$D$2-BV214</f>
        <v>#REF!</v>
      </c>
      <c r="CB214" s="2" t="e">
        <f>SUMPRODUCT((BK$4:BK214)*($BR$4:$BR214))*'[1]功能-战损相关'!$D$2-BW214</f>
        <v>#REF!</v>
      </c>
    </row>
    <row r="215" spans="40:80" x14ac:dyDescent="0.2">
      <c r="AN215" s="2">
        <v>212</v>
      </c>
      <c r="AO215" s="2">
        <f>求节点(节奏总纲!D$4:D$163,AH$4:AH$163,$AN215)*其他调用!H216*其他调用!$M216</f>
        <v>225806561.38350233</v>
      </c>
      <c r="AP215" s="2">
        <f>求节点(节奏总纲!E$4:E$163,AI$4:AI$163,$AN215)*其他调用!I216*其他调用!$M216</f>
        <v>256886296.03375122</v>
      </c>
      <c r="AQ215" s="2">
        <f>求节点(节奏总纲!F$4:F$163,AJ$4:AJ$163,$AN215)*其他调用!J216*其他调用!$M216</f>
        <v>25368714.412039444</v>
      </c>
      <c r="AR215" s="2">
        <f>求节点(节奏总纲!G$4:G$163,AK$4:AK$163,$AN215)*其他调用!K216*其他调用!$M216</f>
        <v>5899994.8625918059</v>
      </c>
      <c r="AS215" s="2">
        <f>求节点(节奏总纲!H$4:H$163,AL$4:AL$163,$AN215)*其他调用!L216*其他调用!$M216</f>
        <v>2110189.9472954692</v>
      </c>
      <c r="AT215" s="2">
        <f t="shared" si="19"/>
        <v>516071756.6391803</v>
      </c>
      <c r="BF215" s="2">
        <v>212</v>
      </c>
      <c r="BG215" s="2">
        <f>求节点(节奏总纲!D$4:D$163,AZ$4:AZ$163,$AN215)</f>
        <v>8094.1783221232909</v>
      </c>
      <c r="BH215" s="2">
        <f>求节点(节奏总纲!E$4:E$163,BA$4:BA$163,$AN215)</f>
        <v>24971.017176787231</v>
      </c>
      <c r="BI215" s="2">
        <f>求节点(节奏总纲!F$4:F$163,BB$4:BB$163,$AN215)</f>
        <v>77655.622654318737</v>
      </c>
      <c r="BJ215" s="2">
        <f>求节点(节奏总纲!G$4:G$163,BC$4:BC$163,$AN215)</f>
        <v>37373.475500048502</v>
      </c>
      <c r="BK215" s="2">
        <f>求节点(节奏总纲!H$4:H$163,BD$4:BD$163,$AN215)</f>
        <v>11091.696439179132</v>
      </c>
      <c r="BL215" s="2">
        <f>BG215*其他调用!H216*其他调用!$M216</f>
        <v>388217.43450729898</v>
      </c>
      <c r="BM215" s="2">
        <f>BH215*其他调用!I216*其他调用!$M216</f>
        <v>1180917.2018159276</v>
      </c>
      <c r="BN215" s="2">
        <f>BI215*其他调用!J216*其他调用!$M216</f>
        <v>299783.31990057632</v>
      </c>
      <c r="BO215" s="2">
        <f>BJ215*其他调用!K216*其他调用!$M216</f>
        <v>25667.953479531319</v>
      </c>
      <c r="BP215" s="2">
        <f>BK215*其他调用!L216*其他调用!$M216</f>
        <v>2204.1419163936766</v>
      </c>
      <c r="BQ215" s="2">
        <f t="shared" si="20"/>
        <v>1896790.0516197279</v>
      </c>
      <c r="BR215" s="2">
        <f>[1]服务器生态!$R214</f>
        <v>1.7248067629586944E-2</v>
      </c>
      <c r="BS215" s="2" t="e">
        <f>SUMPRODUCT((BG$4:BG215)*($BR$4:$BR215)*(其他调用!#REF!))</f>
        <v>#REF!</v>
      </c>
      <c r="BT215" s="2" t="e">
        <f>SUMPRODUCT((BH$4:BH215)*($BR$4:$BR215)*(其他调用!#REF!))</f>
        <v>#REF!</v>
      </c>
      <c r="BU215" s="2" t="e">
        <f>SUMPRODUCT((BI$4:BI215)*($BR$4:$BR215)*(其他调用!#REF!))</f>
        <v>#REF!</v>
      </c>
      <c r="BV215" s="2" t="e">
        <f>SUMPRODUCT((BJ$4:BJ215)*($BR$4:$BR215)*(其他调用!#REF!))</f>
        <v>#REF!</v>
      </c>
      <c r="BW215" s="2" t="e">
        <f>SUMPRODUCT((BK$4:BK215)*($BR$4:$BR215)*(其他调用!#REF!))</f>
        <v>#REF!</v>
      </c>
      <c r="BX215" s="2" t="e">
        <f>SUMPRODUCT((BG$4:BG215)*($BR$4:$BR215))*'[1]功能-战损相关'!$D$2-BS215</f>
        <v>#REF!</v>
      </c>
      <c r="BY215" s="2" t="e">
        <f>SUMPRODUCT((BH$4:BH215)*($BR$4:$BR215))*'[1]功能-战损相关'!$D$2-BT215</f>
        <v>#REF!</v>
      </c>
      <c r="BZ215" s="2" t="e">
        <f>SUMPRODUCT((BI$4:BI215)*($BR$4:$BR215))*'[1]功能-战损相关'!$D$2-BU215</f>
        <v>#REF!</v>
      </c>
      <c r="CA215" s="2" t="e">
        <f>SUMPRODUCT((BJ$4:BJ215)*($BR$4:$BR215))*'[1]功能-战损相关'!$D$2-BV215</f>
        <v>#REF!</v>
      </c>
      <c r="CB215" s="2" t="e">
        <f>SUMPRODUCT((BK$4:BK215)*($BR$4:$BR215))*'[1]功能-战损相关'!$D$2-BW215</f>
        <v>#REF!</v>
      </c>
    </row>
    <row r="216" spans="40:80" x14ac:dyDescent="0.2">
      <c r="AN216" s="2">
        <v>213</v>
      </c>
      <c r="AO216" s="2">
        <f>求节点(节奏总纲!D$4:D$163,AH$4:AH$163,$AN216)*其他调用!H217*其他调用!$M217</f>
        <v>226261895.60018995</v>
      </c>
      <c r="AP216" s="2">
        <f>求节点(节奏总纲!E$4:E$163,AI$4:AI$163,$AN216)*其他调用!I217*其他调用!$M217</f>
        <v>257578229.45977166</v>
      </c>
      <c r="AQ216" s="2">
        <f>求节点(节奏总纲!F$4:F$163,AJ$4:AJ$163,$AN216)*其他调用!J217*其他调用!$M217</f>
        <v>25420044.537538987</v>
      </c>
      <c r="AR216" s="2">
        <f>求节点(节奏总纲!G$4:G$163,AK$4:AK$163,$AN216)*其他调用!K217*其他调用!$M217</f>
        <v>5911993.3240050236</v>
      </c>
      <c r="AS216" s="2">
        <f>求节点(节奏总纲!H$4:H$163,AL$4:AL$163,$AN216)*其他调用!L217*其他调用!$M217</f>
        <v>2111896.1315768431</v>
      </c>
      <c r="AT216" s="2">
        <f t="shared" si="19"/>
        <v>517284059.05308247</v>
      </c>
      <c r="BF216" s="2">
        <v>213</v>
      </c>
      <c r="BG216" s="2">
        <f>求节点(节奏总纲!D$4:D$163,AZ$4:AZ$163,$AN216)</f>
        <v>8099.4599333515753</v>
      </c>
      <c r="BH216" s="2">
        <f>求节点(节奏总纲!E$4:E$163,BA$4:BA$163,$AN216)</f>
        <v>24987.450152331618</v>
      </c>
      <c r="BI216" s="2">
        <f>求节点(节奏总纲!F$4:F$163,BB$4:BB$163,$AN216)</f>
        <v>77704.529849941246</v>
      </c>
      <c r="BJ216" s="2">
        <f>求节点(节奏总纲!G$4:G$163,BC$4:BC$163,$AN216)</f>
        <v>37395.625147990992</v>
      </c>
      <c r="BK216" s="2">
        <f>求节点(节奏总纲!H$4:H$163,BD$4:BD$163,$AN216)</f>
        <v>11096.644311425653</v>
      </c>
      <c r="BL216" s="2">
        <f>BG216*其他调用!H217*其他调用!$M217</f>
        <v>388470.75405123655</v>
      </c>
      <c r="BM216" s="2">
        <f>BH216*其他调用!I217*其他调用!$M217</f>
        <v>1181694.342104607</v>
      </c>
      <c r="BN216" s="2">
        <f>BI216*其他调用!J217*其他调用!$M217</f>
        <v>299972.12221738999</v>
      </c>
      <c r="BO216" s="2">
        <f>BJ216*其他调用!K217*其他调用!$M217</f>
        <v>25683.165769139629</v>
      </c>
      <c r="BP216" s="2">
        <f>BK216*其他调用!L217*其他调用!$M217</f>
        <v>2205.1251575665051</v>
      </c>
      <c r="BQ216" s="2">
        <f t="shared" si="20"/>
        <v>1898025.5092999397</v>
      </c>
      <c r="BR216" s="2">
        <f>[1]服务器生态!$R215</f>
        <v>1.6289841650165445E-2</v>
      </c>
      <c r="BS216" s="2" t="e">
        <f>SUMPRODUCT((BG$4:BG216)*($BR$4:$BR216)*(其他调用!#REF!))</f>
        <v>#REF!</v>
      </c>
      <c r="BT216" s="2" t="e">
        <f>SUMPRODUCT((BH$4:BH216)*($BR$4:$BR216)*(其他调用!#REF!))</f>
        <v>#REF!</v>
      </c>
      <c r="BU216" s="2" t="e">
        <f>SUMPRODUCT((BI$4:BI216)*($BR$4:$BR216)*(其他调用!#REF!))</f>
        <v>#REF!</v>
      </c>
      <c r="BV216" s="2" t="e">
        <f>SUMPRODUCT((BJ$4:BJ216)*($BR$4:$BR216)*(其他调用!#REF!))</f>
        <v>#REF!</v>
      </c>
      <c r="BW216" s="2" t="e">
        <f>SUMPRODUCT((BK$4:BK216)*($BR$4:$BR216)*(其他调用!#REF!))</f>
        <v>#REF!</v>
      </c>
      <c r="BX216" s="2" t="e">
        <f>SUMPRODUCT((BG$4:BG216)*($BR$4:$BR216))*'[1]功能-战损相关'!$D$2-BS216</f>
        <v>#REF!</v>
      </c>
      <c r="BY216" s="2" t="e">
        <f>SUMPRODUCT((BH$4:BH216)*($BR$4:$BR216))*'[1]功能-战损相关'!$D$2-BT216</f>
        <v>#REF!</v>
      </c>
      <c r="BZ216" s="2" t="e">
        <f>SUMPRODUCT((BI$4:BI216)*($BR$4:$BR216))*'[1]功能-战损相关'!$D$2-BU216</f>
        <v>#REF!</v>
      </c>
      <c r="CA216" s="2" t="e">
        <f>SUMPRODUCT((BJ$4:BJ216)*($BR$4:$BR216))*'[1]功能-战损相关'!$D$2-BV216</f>
        <v>#REF!</v>
      </c>
      <c r="CB216" s="2" t="e">
        <f>SUMPRODUCT((BK$4:BK216)*($BR$4:$BR216))*'[1]功能-战损相关'!$D$2-BW216</f>
        <v>#REF!</v>
      </c>
    </row>
    <row r="217" spans="40:80" x14ac:dyDescent="0.2">
      <c r="AN217" s="2">
        <v>214</v>
      </c>
      <c r="AO217" s="2">
        <f>求节点(节奏总纲!D$4:D$163,AH$4:AH$163,$AN217)*其他调用!H218*其他调用!$M218</f>
        <v>226717229.8168776</v>
      </c>
      <c r="AP217" s="2">
        <f>求节点(节奏总纲!E$4:E$163,AI$4:AI$163,$AN217)*其他调用!I218*其他调用!$M218</f>
        <v>258270162.88579214</v>
      </c>
      <c r="AQ217" s="2">
        <f>求节点(节奏总纲!F$4:F$163,AJ$4:AJ$163,$AN217)*其他调用!J218*其他调用!$M218</f>
        <v>25471374.663038529</v>
      </c>
      <c r="AR217" s="2">
        <f>求节点(节奏总纲!G$4:G$163,AK$4:AK$163,$AN217)*其他调用!K218*其他调用!$M218</f>
        <v>5932315.3610159215</v>
      </c>
      <c r="AS217" s="2">
        <f>求节点(节奏总纲!H$4:H$163,AL$4:AL$163,$AN217)*其他调用!L218*其他调用!$M218</f>
        <v>2113602.315858217</v>
      </c>
      <c r="AT217" s="2">
        <f t="shared" si="19"/>
        <v>518504685.04258245</v>
      </c>
      <c r="BF217" s="2">
        <v>214</v>
      </c>
      <c r="BG217" s="2">
        <f>求节点(节奏总纲!D$4:D$163,AZ$4:AZ$163,$AN217)</f>
        <v>8104.7415445798597</v>
      </c>
      <c r="BH217" s="2">
        <f>求节点(节奏总纲!E$4:E$163,BA$4:BA$163,$AN217)</f>
        <v>25003.883127876001</v>
      </c>
      <c r="BI217" s="2">
        <f>求节点(节奏总纲!F$4:F$163,BB$4:BB$163,$AN217)</f>
        <v>77753.437045563755</v>
      </c>
      <c r="BJ217" s="2">
        <f>求节点(节奏总纲!G$4:G$163,BC$4:BC$163,$AN217)</f>
        <v>37416.246314088101</v>
      </c>
      <c r="BK217" s="2">
        <f>求节点(节奏总纲!H$4:H$163,BD$4:BD$163,$AN217)</f>
        <v>11101.592183672172</v>
      </c>
      <c r="BL217" s="2">
        <f>BG217*其他调用!H218*其他调用!$M218</f>
        <v>388724.07359517412</v>
      </c>
      <c r="BM217" s="2">
        <f>BH217*其他调用!I218*其他调用!$M218</f>
        <v>1182471.4823932862</v>
      </c>
      <c r="BN217" s="2">
        <f>BI217*其他调用!J218*其他调用!$M218</f>
        <v>300160.92453420366</v>
      </c>
      <c r="BO217" s="2">
        <f>BJ217*其他调用!K218*其他调用!$M218</f>
        <v>25697.328303530456</v>
      </c>
      <c r="BP217" s="2">
        <f>BK217*其他调用!L218*其他调用!$M218</f>
        <v>2206.1083987393336</v>
      </c>
      <c r="BQ217" s="2">
        <f t="shared" si="20"/>
        <v>1899259.9172249336</v>
      </c>
      <c r="BR217" s="2">
        <f>[1]服务器生态!$R216</f>
        <v>1.6289841650165445E-2</v>
      </c>
      <c r="BS217" s="2" t="e">
        <f>SUMPRODUCT((BG$4:BG217)*($BR$4:$BR217)*(其他调用!#REF!))</f>
        <v>#REF!</v>
      </c>
      <c r="BT217" s="2" t="e">
        <f>SUMPRODUCT((BH$4:BH217)*($BR$4:$BR217)*(其他调用!#REF!))</f>
        <v>#REF!</v>
      </c>
      <c r="BU217" s="2" t="e">
        <f>SUMPRODUCT((BI$4:BI217)*($BR$4:$BR217)*(其他调用!#REF!))</f>
        <v>#REF!</v>
      </c>
      <c r="BV217" s="2" t="e">
        <f>SUMPRODUCT((BJ$4:BJ217)*($BR$4:$BR217)*(其他调用!#REF!))</f>
        <v>#REF!</v>
      </c>
      <c r="BW217" s="2" t="e">
        <f>SUMPRODUCT((BK$4:BK217)*($BR$4:$BR217)*(其他调用!#REF!))</f>
        <v>#REF!</v>
      </c>
      <c r="BX217" s="2" t="e">
        <f>SUMPRODUCT((BG$4:BG217)*($BR$4:$BR217))*'[1]功能-战损相关'!$D$2-BS217</f>
        <v>#REF!</v>
      </c>
      <c r="BY217" s="2" t="e">
        <f>SUMPRODUCT((BH$4:BH217)*($BR$4:$BR217))*'[1]功能-战损相关'!$D$2-BT217</f>
        <v>#REF!</v>
      </c>
      <c r="BZ217" s="2" t="e">
        <f>SUMPRODUCT((BI$4:BI217)*($BR$4:$BR217))*'[1]功能-战损相关'!$D$2-BU217</f>
        <v>#REF!</v>
      </c>
      <c r="CA217" s="2" t="e">
        <f>SUMPRODUCT((BJ$4:BJ217)*($BR$4:$BR217))*'[1]功能-战损相关'!$D$2-BV217</f>
        <v>#REF!</v>
      </c>
      <c r="CB217" s="2" t="e">
        <f>SUMPRODUCT((BK$4:BK217)*($BR$4:$BR217))*'[1]功能-战损相关'!$D$2-BW217</f>
        <v>#REF!</v>
      </c>
    </row>
    <row r="218" spans="40:80" x14ac:dyDescent="0.2">
      <c r="AN218" s="2">
        <v>215</v>
      </c>
      <c r="AO218" s="2">
        <f>求节点(节奏总纲!D$4:D$163,AH$4:AH$163,$AN218)*其他调用!H219*其他调用!$M219</f>
        <v>227172564.03356519</v>
      </c>
      <c r="AP218" s="2">
        <f>求节点(节奏总纲!E$4:E$163,AI$4:AI$163,$AN218)*其他调用!I219*其他调用!$M219</f>
        <v>258962096.31181261</v>
      </c>
      <c r="AQ218" s="2">
        <f>求节点(节奏总纲!F$4:F$163,AJ$4:AJ$163,$AN218)*其他调用!J219*其他调用!$M219</f>
        <v>25522704.788538069</v>
      </c>
      <c r="AR218" s="2">
        <f>求节点(节奏总纲!G$4:G$163,AK$4:AK$163,$AN218)*其他调用!K219*其他调用!$M219</f>
        <v>5952637.3980268184</v>
      </c>
      <c r="AS218" s="2">
        <f>求节点(节奏总纲!H$4:H$163,AL$4:AL$163,$AN218)*其他调用!L219*其他调用!$M219</f>
        <v>2115308.5001395913</v>
      </c>
      <c r="AT218" s="2">
        <f t="shared" si="19"/>
        <v>519725311.03208232</v>
      </c>
      <c r="BF218" s="2">
        <v>215</v>
      </c>
      <c r="BG218" s="2">
        <f>求节点(节奏总纲!D$4:D$163,AZ$4:AZ$163,$AN218)</f>
        <v>8110.0231558081441</v>
      </c>
      <c r="BH218" s="2">
        <f>求节点(节奏总纲!E$4:E$163,BA$4:BA$163,$AN218)</f>
        <v>25020.316103420388</v>
      </c>
      <c r="BI218" s="2">
        <f>求节点(节奏总纲!F$4:F$163,BB$4:BB$163,$AN218)</f>
        <v>77802.344241186263</v>
      </c>
      <c r="BJ218" s="2">
        <f>求节点(节奏总纲!G$4:G$163,BC$4:BC$163,$AN218)</f>
        <v>37436.867480185203</v>
      </c>
      <c r="BK218" s="2">
        <f>求节点(节奏总纲!H$4:H$163,BD$4:BD$163,$AN218)</f>
        <v>11106.540055918693</v>
      </c>
      <c r="BL218" s="2">
        <f>BG218*其他调用!H219*其他调用!$M219</f>
        <v>388977.39313911163</v>
      </c>
      <c r="BM218" s="2">
        <f>BH218*其他调用!I219*其他调用!$M219</f>
        <v>1183248.6226819656</v>
      </c>
      <c r="BN218" s="2">
        <f>BI218*其他调用!J219*其他调用!$M219</f>
        <v>300349.72685101727</v>
      </c>
      <c r="BO218" s="2">
        <f>BJ218*其他调用!K219*其他调用!$M219</f>
        <v>25711.490837921287</v>
      </c>
      <c r="BP218" s="2">
        <f>BK218*其他调用!L219*其他调用!$M219</f>
        <v>2207.0916399121625</v>
      </c>
      <c r="BQ218" s="2">
        <f t="shared" si="20"/>
        <v>1900494.325149928</v>
      </c>
      <c r="BR218" s="2">
        <f>[1]服务器生态!$R217</f>
        <v>1.6289841650165445E-2</v>
      </c>
      <c r="BS218" s="2" t="e">
        <f>SUMPRODUCT((BG$4:BG218)*($BR$4:$BR218)*(其他调用!#REF!))</f>
        <v>#REF!</v>
      </c>
      <c r="BT218" s="2" t="e">
        <f>SUMPRODUCT((BH$4:BH218)*($BR$4:$BR218)*(其他调用!#REF!))</f>
        <v>#REF!</v>
      </c>
      <c r="BU218" s="2" t="e">
        <f>SUMPRODUCT((BI$4:BI218)*($BR$4:$BR218)*(其他调用!#REF!))</f>
        <v>#REF!</v>
      </c>
      <c r="BV218" s="2" t="e">
        <f>SUMPRODUCT((BJ$4:BJ218)*($BR$4:$BR218)*(其他调用!#REF!))</f>
        <v>#REF!</v>
      </c>
      <c r="BW218" s="2" t="e">
        <f>SUMPRODUCT((BK$4:BK218)*($BR$4:$BR218)*(其他调用!#REF!))</f>
        <v>#REF!</v>
      </c>
      <c r="BX218" s="2" t="e">
        <f>SUMPRODUCT((BG$4:BG218)*($BR$4:$BR218))*'[1]功能-战损相关'!$D$2-BS218</f>
        <v>#REF!</v>
      </c>
      <c r="BY218" s="2" t="e">
        <f>SUMPRODUCT((BH$4:BH218)*($BR$4:$BR218))*'[1]功能-战损相关'!$D$2-BT218</f>
        <v>#REF!</v>
      </c>
      <c r="BZ218" s="2" t="e">
        <f>SUMPRODUCT((BI$4:BI218)*($BR$4:$BR218))*'[1]功能-战损相关'!$D$2-BU218</f>
        <v>#REF!</v>
      </c>
      <c r="CA218" s="2" t="e">
        <f>SUMPRODUCT((BJ$4:BJ218)*($BR$4:$BR218))*'[1]功能-战损相关'!$D$2-BV218</f>
        <v>#REF!</v>
      </c>
      <c r="CB218" s="2" t="e">
        <f>SUMPRODUCT((BK$4:BK218)*($BR$4:$BR218))*'[1]功能-战损相关'!$D$2-BW218</f>
        <v>#REF!</v>
      </c>
    </row>
    <row r="219" spans="40:80" x14ac:dyDescent="0.2">
      <c r="AN219" s="2">
        <v>216</v>
      </c>
      <c r="AO219" s="2">
        <f>求节点(节奏总纲!D$4:D$163,AH$4:AH$163,$AN219)*其他调用!H220*其他调用!$M220</f>
        <v>227627898.25025284</v>
      </c>
      <c r="AP219" s="2">
        <f>求节点(节奏总纲!E$4:E$163,AI$4:AI$163,$AN219)*其他调用!I220*其他调用!$M220</f>
        <v>259654029.73783305</v>
      </c>
      <c r="AQ219" s="2">
        <f>求节点(节奏总纲!F$4:F$163,AJ$4:AJ$163,$AN219)*其他调用!J220*其他调用!$M220</f>
        <v>25574034.914037608</v>
      </c>
      <c r="AR219" s="2">
        <f>求节点(节奏总纲!G$4:G$163,AK$4:AK$163,$AN219)*其他调用!K220*其他调用!$M220</f>
        <v>5972959.4350377172</v>
      </c>
      <c r="AS219" s="2">
        <f>求节点(节奏总纲!H$4:H$163,AL$4:AL$163,$AN219)*其他调用!L220*其他调用!$M220</f>
        <v>2117014.6844209651</v>
      </c>
      <c r="AT219" s="2">
        <f t="shared" si="19"/>
        <v>520945937.02158213</v>
      </c>
      <c r="BF219" s="2">
        <v>216</v>
      </c>
      <c r="BG219" s="2">
        <f>求节点(节奏总纲!D$4:D$163,AZ$4:AZ$163,$AN219)</f>
        <v>8115.3047670364285</v>
      </c>
      <c r="BH219" s="2">
        <f>求节点(节奏总纲!E$4:E$163,BA$4:BA$163,$AN219)</f>
        <v>25036.749078964775</v>
      </c>
      <c r="BI219" s="2">
        <f>求节点(节奏总纲!F$4:F$163,BB$4:BB$163,$AN219)</f>
        <v>77851.251436808772</v>
      </c>
      <c r="BJ219" s="2">
        <f>求节点(节奏总纲!G$4:G$163,BC$4:BC$163,$AN219)</f>
        <v>37457.488646282312</v>
      </c>
      <c r="BK219" s="2">
        <f>求节点(节奏总纲!H$4:H$163,BD$4:BD$163,$AN219)</f>
        <v>11111.487928165214</v>
      </c>
      <c r="BL219" s="2">
        <f>BG219*其他调用!H220*其他调用!$M220</f>
        <v>389230.71268304921</v>
      </c>
      <c r="BM219" s="2">
        <f>BH219*其他调用!I220*其他调用!$M220</f>
        <v>1184025.762970645</v>
      </c>
      <c r="BN219" s="2">
        <f>BI219*其他调用!J220*其他调用!$M220</f>
        <v>300538.52916783094</v>
      </c>
      <c r="BO219" s="2">
        <f>BJ219*其他调用!K220*其他调用!$M220</f>
        <v>25725.653372312114</v>
      </c>
      <c r="BP219" s="2">
        <f>BK219*其他调用!L220*其他调用!$M220</f>
        <v>2208.0748810849909</v>
      </c>
      <c r="BQ219" s="2">
        <f t="shared" si="20"/>
        <v>1901728.7330749223</v>
      </c>
      <c r="BR219" s="2">
        <f>[1]服务器生态!$R218</f>
        <v>1.6289841650165445E-2</v>
      </c>
      <c r="BS219" s="2" t="e">
        <f>SUMPRODUCT((BG$4:BG219)*($BR$4:$BR219)*(其他调用!#REF!))</f>
        <v>#REF!</v>
      </c>
      <c r="BT219" s="2" t="e">
        <f>SUMPRODUCT((BH$4:BH219)*($BR$4:$BR219)*(其他调用!#REF!))</f>
        <v>#REF!</v>
      </c>
      <c r="BU219" s="2" t="e">
        <f>SUMPRODUCT((BI$4:BI219)*($BR$4:$BR219)*(其他调用!#REF!))</f>
        <v>#REF!</v>
      </c>
      <c r="BV219" s="2" t="e">
        <f>SUMPRODUCT((BJ$4:BJ219)*($BR$4:$BR219)*(其他调用!#REF!))</f>
        <v>#REF!</v>
      </c>
      <c r="BW219" s="2" t="e">
        <f>SUMPRODUCT((BK$4:BK219)*($BR$4:$BR219)*(其他调用!#REF!))</f>
        <v>#REF!</v>
      </c>
      <c r="BX219" s="2" t="e">
        <f>SUMPRODUCT((BG$4:BG219)*($BR$4:$BR219))*'[1]功能-战损相关'!$D$2-BS219</f>
        <v>#REF!</v>
      </c>
      <c r="BY219" s="2" t="e">
        <f>SUMPRODUCT((BH$4:BH219)*($BR$4:$BR219))*'[1]功能-战损相关'!$D$2-BT219</f>
        <v>#REF!</v>
      </c>
      <c r="BZ219" s="2" t="e">
        <f>SUMPRODUCT((BI$4:BI219)*($BR$4:$BR219))*'[1]功能-战损相关'!$D$2-BU219</f>
        <v>#REF!</v>
      </c>
      <c r="CA219" s="2" t="e">
        <f>SUMPRODUCT((BJ$4:BJ219)*($BR$4:$BR219))*'[1]功能-战损相关'!$D$2-BV219</f>
        <v>#REF!</v>
      </c>
      <c r="CB219" s="2" t="e">
        <f>SUMPRODUCT((BK$4:BK219)*($BR$4:$BR219))*'[1]功能-战损相关'!$D$2-BW219</f>
        <v>#REF!</v>
      </c>
    </row>
    <row r="220" spans="40:80" x14ac:dyDescent="0.2">
      <c r="AN220" s="2">
        <v>217</v>
      </c>
      <c r="AO220" s="2">
        <f>求节点(节奏总纲!D$4:D$163,AH$4:AH$163,$AN220)*其他调用!H221*其他调用!$M221</f>
        <v>228083232.46694049</v>
      </c>
      <c r="AP220" s="2">
        <f>求节点(节奏总纲!E$4:E$163,AI$4:AI$163,$AN220)*其他调用!I221*其他调用!$M221</f>
        <v>260345963.1638535</v>
      </c>
      <c r="AQ220" s="2">
        <f>求节点(节奏总纲!F$4:F$163,AJ$4:AJ$163,$AN220)*其他调用!J221*其他调用!$M221</f>
        <v>25625365.039537147</v>
      </c>
      <c r="AR220" s="2">
        <f>求节点(节奏总纲!G$4:G$163,AK$4:AK$163,$AN220)*其他调用!K221*其他调用!$M221</f>
        <v>5993281.4720486142</v>
      </c>
      <c r="AS220" s="2">
        <f>求节点(节奏总纲!H$4:H$163,AL$4:AL$163,$AN220)*其他调用!L221*其他调用!$M221</f>
        <v>2118720.868702339</v>
      </c>
      <c r="AT220" s="2">
        <f t="shared" si="19"/>
        <v>522166563.01108211</v>
      </c>
      <c r="BF220" s="2">
        <v>217</v>
      </c>
      <c r="BG220" s="2">
        <f>求节点(节奏总纲!D$4:D$163,AZ$4:AZ$163,$AN220)</f>
        <v>8120.5863782647129</v>
      </c>
      <c r="BH220" s="2">
        <f>求节点(节奏总纲!E$4:E$163,BA$4:BA$163,$AN220)</f>
        <v>25053.182054509161</v>
      </c>
      <c r="BI220" s="2">
        <f>求节点(节奏总纲!F$4:F$163,BB$4:BB$163,$AN220)</f>
        <v>77900.158632431281</v>
      </c>
      <c r="BJ220" s="2">
        <f>求节点(节奏总纲!G$4:G$163,BC$4:BC$163,$AN220)</f>
        <v>37478.109812379422</v>
      </c>
      <c r="BK220" s="2">
        <f>求节点(节奏总纲!H$4:H$163,BD$4:BD$163,$AN220)</f>
        <v>11116.435800411735</v>
      </c>
      <c r="BL220" s="2">
        <f>BG220*其他调用!H221*其他调用!$M221</f>
        <v>389484.03222698678</v>
      </c>
      <c r="BM220" s="2">
        <f>BH220*其他调用!I221*其他调用!$M221</f>
        <v>1184802.9032593244</v>
      </c>
      <c r="BN220" s="2">
        <f>BI220*其他调用!J221*其他调用!$M221</f>
        <v>300727.33148464462</v>
      </c>
      <c r="BO220" s="2">
        <f>BJ220*其他调用!K221*其他调用!$M221</f>
        <v>25739.815906702945</v>
      </c>
      <c r="BP220" s="2">
        <f>BK220*其他调用!L221*其他调用!$M221</f>
        <v>2209.0581222578198</v>
      </c>
      <c r="BQ220" s="2">
        <f t="shared" si="20"/>
        <v>1902963.1409999167</v>
      </c>
      <c r="BR220" s="2">
        <f>[1]服务器生态!$R219</f>
        <v>1.6289841650165445E-2</v>
      </c>
      <c r="BS220" s="2" t="e">
        <f>SUMPRODUCT((BG$4:BG220)*($BR$4:$BR220)*(其他调用!#REF!))</f>
        <v>#REF!</v>
      </c>
      <c r="BT220" s="2" t="e">
        <f>SUMPRODUCT((BH$4:BH220)*($BR$4:$BR220)*(其他调用!#REF!))</f>
        <v>#REF!</v>
      </c>
      <c r="BU220" s="2" t="e">
        <f>SUMPRODUCT((BI$4:BI220)*($BR$4:$BR220)*(其他调用!#REF!))</f>
        <v>#REF!</v>
      </c>
      <c r="BV220" s="2" t="e">
        <f>SUMPRODUCT((BJ$4:BJ220)*($BR$4:$BR220)*(其他调用!#REF!))</f>
        <v>#REF!</v>
      </c>
      <c r="BW220" s="2" t="e">
        <f>SUMPRODUCT((BK$4:BK220)*($BR$4:$BR220)*(其他调用!#REF!))</f>
        <v>#REF!</v>
      </c>
      <c r="BX220" s="2" t="e">
        <f>SUMPRODUCT((BG$4:BG220)*($BR$4:$BR220))*'[1]功能-战损相关'!$D$2-BS220</f>
        <v>#REF!</v>
      </c>
      <c r="BY220" s="2" t="e">
        <f>SUMPRODUCT((BH$4:BH220)*($BR$4:$BR220))*'[1]功能-战损相关'!$D$2-BT220</f>
        <v>#REF!</v>
      </c>
      <c r="BZ220" s="2" t="e">
        <f>SUMPRODUCT((BI$4:BI220)*($BR$4:$BR220))*'[1]功能-战损相关'!$D$2-BU220</f>
        <v>#REF!</v>
      </c>
      <c r="CA220" s="2" t="e">
        <f>SUMPRODUCT((BJ$4:BJ220)*($BR$4:$BR220))*'[1]功能-战损相关'!$D$2-BV220</f>
        <v>#REF!</v>
      </c>
      <c r="CB220" s="2" t="e">
        <f>SUMPRODUCT((BK$4:BK220)*($BR$4:$BR220))*'[1]功能-战损相关'!$D$2-BW220</f>
        <v>#REF!</v>
      </c>
    </row>
    <row r="221" spans="40:80" x14ac:dyDescent="0.2">
      <c r="AN221" s="2">
        <v>218</v>
      </c>
      <c r="AO221" s="2">
        <f>求节点(节奏总纲!D$4:D$163,AH$4:AH$163,$AN221)*其他调用!H222*其他调用!$M222</f>
        <v>228538566.68362814</v>
      </c>
      <c r="AP221" s="2">
        <f>求节点(节奏总纲!E$4:E$163,AI$4:AI$163,$AN221)*其他调用!I222*其他调用!$M222</f>
        <v>261037896.58987391</v>
      </c>
      <c r="AQ221" s="2">
        <f>求节点(节奏总纲!F$4:F$163,AJ$4:AJ$163,$AN221)*其他调用!J222*其他调用!$M222</f>
        <v>25676695.165036693</v>
      </c>
      <c r="AR221" s="2">
        <f>求节点(节奏总纲!G$4:G$163,AK$4:AK$163,$AN221)*其他调用!K222*其他调用!$M222</f>
        <v>6013603.5090595121</v>
      </c>
      <c r="AS221" s="2">
        <f>求节点(节奏总纲!H$4:H$163,AL$4:AL$163,$AN221)*其他调用!L222*其他调用!$M222</f>
        <v>2120427.0529837133</v>
      </c>
      <c r="AT221" s="2">
        <f t="shared" si="19"/>
        <v>523387189.00058192</v>
      </c>
      <c r="BF221" s="2">
        <v>218</v>
      </c>
      <c r="BG221" s="2">
        <f>求节点(节奏总纲!D$4:D$163,AZ$4:AZ$163,$AN221)</f>
        <v>8125.8679894929965</v>
      </c>
      <c r="BH221" s="2">
        <f>求节点(节奏总纲!E$4:E$163,BA$4:BA$163,$AN221)</f>
        <v>25069.615030053548</v>
      </c>
      <c r="BI221" s="2">
        <f>求节点(节奏总纲!F$4:F$163,BB$4:BB$163,$AN221)</f>
        <v>77949.065828053775</v>
      </c>
      <c r="BJ221" s="2">
        <f>求节点(节奏总纲!G$4:G$163,BC$4:BC$163,$AN221)</f>
        <v>37498.730978476531</v>
      </c>
      <c r="BK221" s="2">
        <f>求节点(节奏总纲!H$4:H$163,BD$4:BD$163,$AN221)</f>
        <v>11121.383672658256</v>
      </c>
      <c r="BL221" s="2">
        <f>BG221*其他调用!H222*其他调用!$M222</f>
        <v>389737.35177092429</v>
      </c>
      <c r="BM221" s="2">
        <f>BH221*其他调用!I222*其他调用!$M222</f>
        <v>1185580.0435480038</v>
      </c>
      <c r="BN221" s="2">
        <f>BI221*其他调用!J222*其他调用!$M222</f>
        <v>300916.13380145823</v>
      </c>
      <c r="BO221" s="2">
        <f>BJ221*其他调用!K222*其他调用!$M222</f>
        <v>25753.978441093772</v>
      </c>
      <c r="BP221" s="2">
        <f>BK221*其他调用!L222*其他调用!$M222</f>
        <v>2210.0413634306483</v>
      </c>
      <c r="BQ221" s="2">
        <f t="shared" si="20"/>
        <v>1904197.5489249108</v>
      </c>
      <c r="BR221" s="2">
        <f>[1]服务器生态!$R220</f>
        <v>1.6289841650165445E-2</v>
      </c>
      <c r="BS221" s="2" t="e">
        <f>SUMPRODUCT((BG$4:BG221)*($BR$4:$BR221)*(其他调用!#REF!))</f>
        <v>#REF!</v>
      </c>
      <c r="BT221" s="2" t="e">
        <f>SUMPRODUCT((BH$4:BH221)*($BR$4:$BR221)*(其他调用!#REF!))</f>
        <v>#REF!</v>
      </c>
      <c r="BU221" s="2" t="e">
        <f>SUMPRODUCT((BI$4:BI221)*($BR$4:$BR221)*(其他调用!#REF!))</f>
        <v>#REF!</v>
      </c>
      <c r="BV221" s="2" t="e">
        <f>SUMPRODUCT((BJ$4:BJ221)*($BR$4:$BR221)*(其他调用!#REF!))</f>
        <v>#REF!</v>
      </c>
      <c r="BW221" s="2" t="e">
        <f>SUMPRODUCT((BK$4:BK221)*($BR$4:$BR221)*(其他调用!#REF!))</f>
        <v>#REF!</v>
      </c>
      <c r="BX221" s="2" t="e">
        <f>SUMPRODUCT((BG$4:BG221)*($BR$4:$BR221))*'[1]功能-战损相关'!$D$2-BS221</f>
        <v>#REF!</v>
      </c>
      <c r="BY221" s="2" t="e">
        <f>SUMPRODUCT((BH$4:BH221)*($BR$4:$BR221))*'[1]功能-战损相关'!$D$2-BT221</f>
        <v>#REF!</v>
      </c>
      <c r="BZ221" s="2" t="e">
        <f>SUMPRODUCT((BI$4:BI221)*($BR$4:$BR221))*'[1]功能-战损相关'!$D$2-BU221</f>
        <v>#REF!</v>
      </c>
      <c r="CA221" s="2" t="e">
        <f>SUMPRODUCT((BJ$4:BJ221)*($BR$4:$BR221))*'[1]功能-战损相关'!$D$2-BV221</f>
        <v>#REF!</v>
      </c>
      <c r="CB221" s="2" t="e">
        <f>SUMPRODUCT((BK$4:BK221)*($BR$4:$BR221))*'[1]功能-战损相关'!$D$2-BW221</f>
        <v>#REF!</v>
      </c>
    </row>
    <row r="222" spans="40:80" x14ac:dyDescent="0.2">
      <c r="AN222" s="2">
        <v>219</v>
      </c>
      <c r="AO222" s="2">
        <f>求节点(节奏总纲!D$4:D$163,AH$4:AH$163,$AN222)*其他调用!H223*其他调用!$M223</f>
        <v>228993900.90031573</v>
      </c>
      <c r="AP222" s="2">
        <f>求节点(节奏总纲!E$4:E$163,AI$4:AI$163,$AN222)*其他调用!I223*其他调用!$M223</f>
        <v>261729830.01589441</v>
      </c>
      <c r="AQ222" s="2">
        <f>求节点(节奏总纲!F$4:F$163,AJ$4:AJ$163,$AN222)*其他调用!J223*其他调用!$M223</f>
        <v>25728025.290536232</v>
      </c>
      <c r="AR222" s="2">
        <f>求节点(节奏总纲!G$4:G$163,AK$4:AK$163,$AN222)*其他调用!K223*其他调用!$M223</f>
        <v>6033925.5460704099</v>
      </c>
      <c r="AS222" s="2">
        <f>求节点(节奏总纲!H$4:H$163,AL$4:AL$163,$AN222)*其他调用!L223*其他调用!$M223</f>
        <v>2122133.2372650872</v>
      </c>
      <c r="AT222" s="2">
        <f t="shared" si="19"/>
        <v>524607814.99008191</v>
      </c>
      <c r="BF222" s="2">
        <v>219</v>
      </c>
      <c r="BG222" s="2">
        <f>求节点(节奏总纲!D$4:D$163,AZ$4:AZ$163,$AN222)</f>
        <v>8131.1496007212809</v>
      </c>
      <c r="BH222" s="2">
        <f>求节点(节奏总纲!E$4:E$163,BA$4:BA$163,$AN222)</f>
        <v>25086.048005597935</v>
      </c>
      <c r="BI222" s="2">
        <f>求节点(节奏总纲!F$4:F$163,BB$4:BB$163,$AN222)</f>
        <v>77997.973023676284</v>
      </c>
      <c r="BJ222" s="2">
        <f>求节点(节奏总纲!G$4:G$163,BC$4:BC$163,$AN222)</f>
        <v>37519.352144573633</v>
      </c>
      <c r="BK222" s="2">
        <f>求节点(节奏总纲!H$4:H$163,BD$4:BD$163,$AN222)</f>
        <v>11126.331544904777</v>
      </c>
      <c r="BL222" s="2">
        <f>BG222*其他调用!H223*其他调用!$M223</f>
        <v>389990.67131486186</v>
      </c>
      <c r="BM222" s="2">
        <f>BH222*其他调用!I223*其他调用!$M223</f>
        <v>1186357.1838366832</v>
      </c>
      <c r="BN222" s="2">
        <f>BI222*其他调用!J223*其他调用!$M223</f>
        <v>301104.9361182719</v>
      </c>
      <c r="BO222" s="2">
        <f>BJ222*其他调用!K223*其他调用!$M223</f>
        <v>25768.140975484603</v>
      </c>
      <c r="BP222" s="2">
        <f>BK222*其他调用!L223*其他调用!$M223</f>
        <v>2211.0246046034772</v>
      </c>
      <c r="BQ222" s="2">
        <f t="shared" si="20"/>
        <v>1905431.956849905</v>
      </c>
      <c r="BR222" s="2">
        <f>[1]服务器生态!$R221</f>
        <v>1.6289841650165445E-2</v>
      </c>
      <c r="BS222" s="2" t="e">
        <f>SUMPRODUCT((BG$4:BG222)*($BR$4:$BR222)*(其他调用!#REF!))</f>
        <v>#REF!</v>
      </c>
      <c r="BT222" s="2" t="e">
        <f>SUMPRODUCT((BH$4:BH222)*($BR$4:$BR222)*(其他调用!#REF!))</f>
        <v>#REF!</v>
      </c>
      <c r="BU222" s="2" t="e">
        <f>SUMPRODUCT((BI$4:BI222)*($BR$4:$BR222)*(其他调用!#REF!))</f>
        <v>#REF!</v>
      </c>
      <c r="BV222" s="2" t="e">
        <f>SUMPRODUCT((BJ$4:BJ222)*($BR$4:$BR222)*(其他调用!#REF!))</f>
        <v>#REF!</v>
      </c>
      <c r="BW222" s="2" t="e">
        <f>SUMPRODUCT((BK$4:BK222)*($BR$4:$BR222)*(其他调用!#REF!))</f>
        <v>#REF!</v>
      </c>
      <c r="BX222" s="2" t="e">
        <f>SUMPRODUCT((BG$4:BG222)*($BR$4:$BR222))*'[1]功能-战损相关'!$D$2-BS222</f>
        <v>#REF!</v>
      </c>
      <c r="BY222" s="2" t="e">
        <f>SUMPRODUCT((BH$4:BH222)*($BR$4:$BR222))*'[1]功能-战损相关'!$D$2-BT222</f>
        <v>#REF!</v>
      </c>
      <c r="BZ222" s="2" t="e">
        <f>SUMPRODUCT((BI$4:BI222)*($BR$4:$BR222))*'[1]功能-战损相关'!$D$2-BU222</f>
        <v>#REF!</v>
      </c>
      <c r="CA222" s="2" t="e">
        <f>SUMPRODUCT((BJ$4:BJ222)*($BR$4:$BR222))*'[1]功能-战损相关'!$D$2-BV222</f>
        <v>#REF!</v>
      </c>
      <c r="CB222" s="2" t="e">
        <f>SUMPRODUCT((BK$4:BK222)*($BR$4:$BR222))*'[1]功能-战损相关'!$D$2-BW222</f>
        <v>#REF!</v>
      </c>
    </row>
    <row r="223" spans="40:80" x14ac:dyDescent="0.2">
      <c r="AN223" s="2">
        <v>220</v>
      </c>
      <c r="AO223" s="2">
        <f>求节点(节奏总纲!D$4:D$163,AH$4:AH$163,$AN223)*其他调用!H224*其他调用!$M224</f>
        <v>229449235.11700338</v>
      </c>
      <c r="AP223" s="2">
        <f>求节点(节奏总纲!E$4:E$163,AI$4:AI$163,$AN223)*其他调用!I224*其他调用!$M224</f>
        <v>262421763.44191489</v>
      </c>
      <c r="AQ223" s="2">
        <f>求节点(节奏总纲!F$4:F$163,AJ$4:AJ$163,$AN223)*其他调用!J224*其他调用!$M224</f>
        <v>25779355.416035771</v>
      </c>
      <c r="AR223" s="2">
        <f>求节点(节奏总纲!G$4:G$163,AK$4:AK$163,$AN223)*其他调用!K224*其他调用!$M224</f>
        <v>6054247.5830813078</v>
      </c>
      <c r="AS223" s="2">
        <f>求节点(节奏总纲!H$4:H$163,AL$4:AL$163,$AN223)*其他调用!L224*其他调用!$M224</f>
        <v>2123839.4215464611</v>
      </c>
      <c r="AT223" s="2">
        <f t="shared" si="19"/>
        <v>525828440.97958177</v>
      </c>
      <c r="BF223" s="2">
        <v>220</v>
      </c>
      <c r="BG223" s="2">
        <f>求节点(节奏总纲!D$4:D$163,AZ$4:AZ$163,$AN223)</f>
        <v>8136.4312119495653</v>
      </c>
      <c r="BH223" s="2">
        <f>求节点(节奏总纲!E$4:E$163,BA$4:BA$163,$AN223)</f>
        <v>25102.480981142318</v>
      </c>
      <c r="BI223" s="2">
        <f>求节点(节奏总纲!F$4:F$163,BB$4:BB$163,$AN223)</f>
        <v>78046.880219298793</v>
      </c>
      <c r="BJ223" s="2">
        <f>求节点(节奏总纲!G$4:G$163,BC$4:BC$163,$AN223)</f>
        <v>37539.973310670743</v>
      </c>
      <c r="BK223" s="2">
        <f>求节点(节奏总纲!H$4:H$163,BD$4:BD$163,$AN223)</f>
        <v>11131.279417151296</v>
      </c>
      <c r="BL223" s="2">
        <f>BG223*其他调用!H224*其他调用!$M224</f>
        <v>390243.99085879943</v>
      </c>
      <c r="BM223" s="2">
        <f>BH223*其他调用!I224*其他调用!$M224</f>
        <v>1187134.3241253623</v>
      </c>
      <c r="BN223" s="2">
        <f>BI223*其他调用!J224*其他调用!$M224</f>
        <v>301293.73843508551</v>
      </c>
      <c r="BO223" s="2">
        <f>BJ223*其他调用!K224*其他调用!$M224</f>
        <v>25782.30350987543</v>
      </c>
      <c r="BP223" s="2">
        <f>BK223*其他调用!L224*其他调用!$M224</f>
        <v>2212.0078457763052</v>
      </c>
      <c r="BQ223" s="2">
        <f t="shared" si="20"/>
        <v>1906666.3647748991</v>
      </c>
      <c r="BR223" s="2">
        <f>[1]服务器生态!$R222</f>
        <v>1.6289841650165445E-2</v>
      </c>
      <c r="BS223" s="2" t="e">
        <f>SUMPRODUCT((BG$4:BG223)*($BR$4:$BR223)*(其他调用!#REF!))</f>
        <v>#REF!</v>
      </c>
      <c r="BT223" s="2" t="e">
        <f>SUMPRODUCT((BH$4:BH223)*($BR$4:$BR223)*(其他调用!#REF!))</f>
        <v>#REF!</v>
      </c>
      <c r="BU223" s="2" t="e">
        <f>SUMPRODUCT((BI$4:BI223)*($BR$4:$BR223)*(其他调用!#REF!))</f>
        <v>#REF!</v>
      </c>
      <c r="BV223" s="2" t="e">
        <f>SUMPRODUCT((BJ$4:BJ223)*($BR$4:$BR223)*(其他调用!#REF!))</f>
        <v>#REF!</v>
      </c>
      <c r="BW223" s="2" t="e">
        <f>SUMPRODUCT((BK$4:BK223)*($BR$4:$BR223)*(其他调用!#REF!))</f>
        <v>#REF!</v>
      </c>
      <c r="BX223" s="2" t="e">
        <f>SUMPRODUCT((BG$4:BG223)*($BR$4:$BR223))*'[1]功能-战损相关'!$D$2-BS223</f>
        <v>#REF!</v>
      </c>
      <c r="BY223" s="2" t="e">
        <f>SUMPRODUCT((BH$4:BH223)*($BR$4:$BR223))*'[1]功能-战损相关'!$D$2-BT223</f>
        <v>#REF!</v>
      </c>
      <c r="BZ223" s="2" t="e">
        <f>SUMPRODUCT((BI$4:BI223)*($BR$4:$BR223))*'[1]功能-战损相关'!$D$2-BU223</f>
        <v>#REF!</v>
      </c>
      <c r="CA223" s="2" t="e">
        <f>SUMPRODUCT((BJ$4:BJ223)*($BR$4:$BR223))*'[1]功能-战损相关'!$D$2-BV223</f>
        <v>#REF!</v>
      </c>
      <c r="CB223" s="2" t="e">
        <f>SUMPRODUCT((BK$4:BK223)*($BR$4:$BR223))*'[1]功能-战损相关'!$D$2-BW223</f>
        <v>#REF!</v>
      </c>
    </row>
    <row r="224" spans="40:80" x14ac:dyDescent="0.2">
      <c r="AN224" s="2">
        <v>221</v>
      </c>
      <c r="AO224" s="2">
        <f>求节点(节奏总纲!D$4:D$163,AH$4:AH$163,$AN224)*其他调用!H225*其他调用!$M225</f>
        <v>229904569.333691</v>
      </c>
      <c r="AP224" s="2">
        <f>求节点(节奏总纲!E$4:E$163,AI$4:AI$163,$AN224)*其他调用!I225*其他调用!$M225</f>
        <v>263113696.8679353</v>
      </c>
      <c r="AQ224" s="2">
        <f>求节点(节奏总纲!F$4:F$163,AJ$4:AJ$163,$AN224)*其他调用!J225*其他调用!$M225</f>
        <v>25830685.541535314</v>
      </c>
      <c r="AR224" s="2">
        <f>求节点(节奏总纲!G$4:G$163,AK$4:AK$163,$AN224)*其他调用!K225*其他调用!$M225</f>
        <v>6074569.6200922048</v>
      </c>
      <c r="AS224" s="2">
        <f>求节点(节奏总纲!H$4:H$163,AL$4:AL$163,$AN224)*其他调用!L225*其他调用!$M225</f>
        <v>2125545.6058278354</v>
      </c>
      <c r="AT224" s="2">
        <f t="shared" si="19"/>
        <v>527049066.96908164</v>
      </c>
      <c r="BF224" s="2">
        <v>221</v>
      </c>
      <c r="BG224" s="2">
        <f>求节点(节奏总纲!D$4:D$163,AZ$4:AZ$163,$AN224)</f>
        <v>8141.7128231778497</v>
      </c>
      <c r="BH224" s="2">
        <f>求节点(节奏总纲!E$4:E$163,BA$4:BA$163,$AN224)</f>
        <v>25118.913956686705</v>
      </c>
      <c r="BI224" s="2">
        <f>求节点(节奏总纲!F$4:F$163,BB$4:BB$163,$AN224)</f>
        <v>78095.787414921302</v>
      </c>
      <c r="BJ224" s="2">
        <f>求节点(节奏总纲!G$4:G$163,BC$4:BC$163,$AN224)</f>
        <v>37560.594476767852</v>
      </c>
      <c r="BK224" s="2">
        <f>求节点(节奏总纲!H$4:H$163,BD$4:BD$163,$AN224)</f>
        <v>11136.227289397817</v>
      </c>
      <c r="BL224" s="2">
        <f>BG224*其他调用!H225*其他调用!$M225</f>
        <v>390497.31040273694</v>
      </c>
      <c r="BM224" s="2">
        <f>BH224*其他调用!I225*其他调用!$M225</f>
        <v>1187911.4644140417</v>
      </c>
      <c r="BN224" s="2">
        <f>BI224*其他调用!J225*其他调用!$M225</f>
        <v>301482.54075189919</v>
      </c>
      <c r="BO224" s="2">
        <f>BJ224*其他调用!K225*其他调用!$M225</f>
        <v>25796.466044266261</v>
      </c>
      <c r="BP224" s="2">
        <f>BK224*其他调用!L225*其他调用!$M225</f>
        <v>2212.9910869491341</v>
      </c>
      <c r="BQ224" s="2">
        <f t="shared" si="20"/>
        <v>1907900.7726998932</v>
      </c>
      <c r="BR224" s="2">
        <f>[1]服务器生态!$R223</f>
        <v>1.6289841650165445E-2</v>
      </c>
      <c r="BS224" s="2" t="e">
        <f>SUMPRODUCT((BG$4:BG224)*($BR$4:$BR224)*(其他调用!#REF!))</f>
        <v>#REF!</v>
      </c>
      <c r="BT224" s="2" t="e">
        <f>SUMPRODUCT((BH$4:BH224)*($BR$4:$BR224)*(其他调用!#REF!))</f>
        <v>#REF!</v>
      </c>
      <c r="BU224" s="2" t="e">
        <f>SUMPRODUCT((BI$4:BI224)*($BR$4:$BR224)*(其他调用!#REF!))</f>
        <v>#REF!</v>
      </c>
      <c r="BV224" s="2" t="e">
        <f>SUMPRODUCT((BJ$4:BJ224)*($BR$4:$BR224)*(其他调用!#REF!))</f>
        <v>#REF!</v>
      </c>
      <c r="BW224" s="2" t="e">
        <f>SUMPRODUCT((BK$4:BK224)*($BR$4:$BR224)*(其他调用!#REF!))</f>
        <v>#REF!</v>
      </c>
      <c r="BX224" s="2" t="e">
        <f>SUMPRODUCT((BG$4:BG224)*($BR$4:$BR224))*'[1]功能-战损相关'!$D$2-BS224</f>
        <v>#REF!</v>
      </c>
      <c r="BY224" s="2" t="e">
        <f>SUMPRODUCT((BH$4:BH224)*($BR$4:$BR224))*'[1]功能-战损相关'!$D$2-BT224</f>
        <v>#REF!</v>
      </c>
      <c r="BZ224" s="2" t="e">
        <f>SUMPRODUCT((BI$4:BI224)*($BR$4:$BR224))*'[1]功能-战损相关'!$D$2-BU224</f>
        <v>#REF!</v>
      </c>
      <c r="CA224" s="2" t="e">
        <f>SUMPRODUCT((BJ$4:BJ224)*($BR$4:$BR224))*'[1]功能-战损相关'!$D$2-BV224</f>
        <v>#REF!</v>
      </c>
      <c r="CB224" s="2" t="e">
        <f>SUMPRODUCT((BK$4:BK224)*($BR$4:$BR224))*'[1]功能-战损相关'!$D$2-BW224</f>
        <v>#REF!</v>
      </c>
    </row>
    <row r="225" spans="40:80" x14ac:dyDescent="0.2">
      <c r="AN225" s="2">
        <v>222</v>
      </c>
      <c r="AO225" s="2">
        <f>求节点(节奏总纲!D$4:D$163,AH$4:AH$163,$AN225)*其他调用!H226*其他调用!$M226</f>
        <v>230363557.41952243</v>
      </c>
      <c r="AP225" s="2">
        <f>求节点(节奏总纲!E$4:E$163,AI$4:AI$163,$AN225)*其他调用!I226*其他调用!$M226</f>
        <v>263716106.45062354</v>
      </c>
      <c r="AQ225" s="2">
        <f>求节点(节奏总纲!F$4:F$163,AJ$4:AJ$163,$AN225)*其他调用!J226*其他调用!$M226</f>
        <v>25881790.102980904</v>
      </c>
      <c r="AR225" s="2">
        <f>求节点(节奏总纲!G$4:G$163,AK$4:AK$163,$AN225)*其他调用!K226*其他调用!$M226</f>
        <v>6094891.6571031036</v>
      </c>
      <c r="AS225" s="2">
        <f>求节点(节奏总纲!H$4:H$163,AL$4:AL$163,$AN225)*其他调用!L226*其他调用!$M226</f>
        <v>2127251.7901092093</v>
      </c>
      <c r="AT225" s="2">
        <f t="shared" si="19"/>
        <v>528183597.42033923</v>
      </c>
      <c r="BF225" s="2">
        <v>222</v>
      </c>
      <c r="BG225" s="2">
        <f>求节点(节奏总纲!D$4:D$163,AZ$4:AZ$163,$AN225)</f>
        <v>8146.9685275634984</v>
      </c>
      <c r="BH225" s="2">
        <f>求节点(节奏总纲!E$4:E$163,BA$4:BA$163,$AN225)</f>
        <v>25134.171091021555</v>
      </c>
      <c r="BI225" s="2">
        <f>求节点(节奏总纲!F$4:F$163,BB$4:BB$163,$AN225)</f>
        <v>78143.052119529748</v>
      </c>
      <c r="BJ225" s="2">
        <f>求节点(节奏总纲!G$4:G$163,BC$4:BC$163,$AN225)</f>
        <v>37581.215642864961</v>
      </c>
      <c r="BK225" s="2">
        <f>求节点(节奏总纲!H$4:H$163,BD$4:BD$163,$AN225)</f>
        <v>11141.175161644338</v>
      </c>
      <c r="BL225" s="2">
        <f>BG225*其他调用!H226*其他调用!$M226</f>
        <v>390749.38738843275</v>
      </c>
      <c r="BM225" s="2">
        <f>BH225*其他调用!I226*其他调用!$M226</f>
        <v>1188632.9973920092</v>
      </c>
      <c r="BN225" s="2">
        <f>BI225*其他调用!J226*其他调用!$M226</f>
        <v>301665.00236352923</v>
      </c>
      <c r="BO225" s="2">
        <f>BJ225*其他调用!K226*其他调用!$M226</f>
        <v>25810.628578657095</v>
      </c>
      <c r="BP225" s="2">
        <f>BK225*其他调用!L226*其他调用!$M226</f>
        <v>2213.9743281219626</v>
      </c>
      <c r="BQ225" s="2">
        <f t="shared" si="20"/>
        <v>1909071.9900507501</v>
      </c>
      <c r="BR225" s="2">
        <f>[1]服务器生态!$R224</f>
        <v>1.6289841650165445E-2</v>
      </c>
      <c r="BS225" s="2" t="e">
        <f>SUMPRODUCT((BG$4:BG225)*($BR$4:$BR225)*(其他调用!#REF!))</f>
        <v>#REF!</v>
      </c>
      <c r="BT225" s="2" t="e">
        <f>SUMPRODUCT((BH$4:BH225)*($BR$4:$BR225)*(其他调用!#REF!))</f>
        <v>#REF!</v>
      </c>
      <c r="BU225" s="2" t="e">
        <f>SUMPRODUCT((BI$4:BI225)*($BR$4:$BR225)*(其他调用!#REF!))</f>
        <v>#REF!</v>
      </c>
      <c r="BV225" s="2" t="e">
        <f>SUMPRODUCT((BJ$4:BJ225)*($BR$4:$BR225)*(其他调用!#REF!))</f>
        <v>#REF!</v>
      </c>
      <c r="BW225" s="2" t="e">
        <f>SUMPRODUCT((BK$4:BK225)*($BR$4:$BR225)*(其他调用!#REF!))</f>
        <v>#REF!</v>
      </c>
      <c r="BX225" s="2" t="e">
        <f>SUMPRODUCT((BG$4:BG225)*($BR$4:$BR225))*'[1]功能-战损相关'!$D$2-BS225</f>
        <v>#REF!</v>
      </c>
      <c r="BY225" s="2" t="e">
        <f>SUMPRODUCT((BH$4:BH225)*($BR$4:$BR225))*'[1]功能-战损相关'!$D$2-BT225</f>
        <v>#REF!</v>
      </c>
      <c r="BZ225" s="2" t="e">
        <f>SUMPRODUCT((BI$4:BI225)*($BR$4:$BR225))*'[1]功能-战损相关'!$D$2-BU225</f>
        <v>#REF!</v>
      </c>
      <c r="CA225" s="2" t="e">
        <f>SUMPRODUCT((BJ$4:BJ225)*($BR$4:$BR225))*'[1]功能-战损相关'!$D$2-BV225</f>
        <v>#REF!</v>
      </c>
      <c r="CB225" s="2" t="e">
        <f>SUMPRODUCT((BK$4:BK225)*($BR$4:$BR225))*'[1]功能-战损相关'!$D$2-BW225</f>
        <v>#REF!</v>
      </c>
    </row>
    <row r="226" spans="40:80" x14ac:dyDescent="0.2">
      <c r="AN226" s="2">
        <v>223</v>
      </c>
      <c r="AO226" s="2">
        <f>求节点(节奏总纲!D$4:D$163,AH$4:AH$163,$AN226)*其他调用!H227*其他调用!$M227</f>
        <v>230845167.9169828</v>
      </c>
      <c r="AP226" s="2">
        <f>求节点(节奏总纲!E$4:E$163,AI$4:AI$163,$AN226)*其他调用!I227*其他调用!$M227</f>
        <v>264310199.61070722</v>
      </c>
      <c r="AQ226" s="2">
        <f>求节点(节奏总纲!F$4:F$163,AJ$4:AJ$163,$AN226)*其他调用!J227*其他调用!$M227</f>
        <v>25932613.595355261</v>
      </c>
      <c r="AR226" s="2">
        <f>求节点(节奏总纲!G$4:G$163,AK$4:AK$163,$AN226)*其他调用!K227*其他调用!$M227</f>
        <v>6115213.6941140005</v>
      </c>
      <c r="AS226" s="2">
        <f>求节点(节奏总纲!H$4:H$163,AL$4:AL$163,$AN226)*其他调用!L227*其他调用!$M227</f>
        <v>2128957.9743905831</v>
      </c>
      <c r="AT226" s="2">
        <f t="shared" si="19"/>
        <v>529332152.79154992</v>
      </c>
      <c r="BF226" s="2">
        <v>223</v>
      </c>
      <c r="BG226" s="2">
        <f>求节点(节奏总纲!D$4:D$163,AZ$4:AZ$163,$AN226)</f>
        <v>8152.0638334140476</v>
      </c>
      <c r="BH226" s="2">
        <f>求节点(节奏总纲!E$4:E$163,BA$4:BA$163,$AN226)</f>
        <v>25149.318994205787</v>
      </c>
      <c r="BI226" s="2">
        <f>求节点(节奏总纲!F$4:F$163,BB$4:BB$163,$AN226)</f>
        <v>78188.270161934008</v>
      </c>
      <c r="BJ226" s="2">
        <f>求节点(节奏总纲!G$4:G$163,BC$4:BC$163,$AN226)</f>
        <v>37601.836808962071</v>
      </c>
      <c r="BK226" s="2">
        <f>求节点(节奏总纲!H$4:H$163,BD$4:BD$163,$AN226)</f>
        <v>11146.123033890859</v>
      </c>
      <c r="BL226" s="2">
        <f>BG226*其他调用!H227*其他调用!$M227</f>
        <v>390993.77125132887</v>
      </c>
      <c r="BM226" s="2">
        <f>BH226*其他调用!I227*其他调用!$M227</f>
        <v>1189349.3646635166</v>
      </c>
      <c r="BN226" s="2">
        <f>BI226*其他调用!J227*其他调用!$M227</f>
        <v>301839.56299942418</v>
      </c>
      <c r="BO226" s="2">
        <f>BJ226*其他调用!K227*其他调用!$M227</f>
        <v>25824.791113047922</v>
      </c>
      <c r="BP226" s="2">
        <f>BK226*其他调用!L227*其他调用!$M227</f>
        <v>2214.9575692947915</v>
      </c>
      <c r="BQ226" s="2">
        <f t="shared" si="20"/>
        <v>1910222.4475966122</v>
      </c>
      <c r="BR226" s="2">
        <f>[1]服务器生态!$R225</f>
        <v>1.6289841650165445E-2</v>
      </c>
      <c r="BS226" s="2" t="e">
        <f>SUMPRODUCT((BG$4:BG226)*($BR$4:$BR226)*(其他调用!#REF!))</f>
        <v>#REF!</v>
      </c>
      <c r="BT226" s="2" t="e">
        <f>SUMPRODUCT((BH$4:BH226)*($BR$4:$BR226)*(其他调用!#REF!))</f>
        <v>#REF!</v>
      </c>
      <c r="BU226" s="2" t="e">
        <f>SUMPRODUCT((BI$4:BI226)*($BR$4:$BR226)*(其他调用!#REF!))</f>
        <v>#REF!</v>
      </c>
      <c r="BV226" s="2" t="e">
        <f>SUMPRODUCT((BJ$4:BJ226)*($BR$4:$BR226)*(其他调用!#REF!))</f>
        <v>#REF!</v>
      </c>
      <c r="BW226" s="2" t="e">
        <f>SUMPRODUCT((BK$4:BK226)*($BR$4:$BR226)*(其他调用!#REF!))</f>
        <v>#REF!</v>
      </c>
      <c r="BX226" s="2" t="e">
        <f>SUMPRODUCT((BG$4:BG226)*($BR$4:$BR226))*'[1]功能-战损相关'!$D$2-BS226</f>
        <v>#REF!</v>
      </c>
      <c r="BY226" s="2" t="e">
        <f>SUMPRODUCT((BH$4:BH226)*($BR$4:$BR226))*'[1]功能-战损相关'!$D$2-BT226</f>
        <v>#REF!</v>
      </c>
      <c r="BZ226" s="2" t="e">
        <f>SUMPRODUCT((BI$4:BI226)*($BR$4:$BR226))*'[1]功能-战损相关'!$D$2-BU226</f>
        <v>#REF!</v>
      </c>
      <c r="CA226" s="2" t="e">
        <f>SUMPRODUCT((BJ$4:BJ226)*($BR$4:$BR226))*'[1]功能-战损相关'!$D$2-BV226</f>
        <v>#REF!</v>
      </c>
      <c r="CB226" s="2" t="e">
        <f>SUMPRODUCT((BK$4:BK226)*($BR$4:$BR226))*'[1]功能-战损相关'!$D$2-BW226</f>
        <v>#REF!</v>
      </c>
    </row>
    <row r="227" spans="40:80" x14ac:dyDescent="0.2">
      <c r="AN227" s="2">
        <v>224</v>
      </c>
      <c r="AO227" s="2">
        <f>求节点(节奏总纲!D$4:D$163,AH$4:AH$163,$AN227)*其他调用!H228*其他调用!$M228</f>
        <v>231326778.41444319</v>
      </c>
      <c r="AP227" s="2">
        <f>求节点(节奏总纲!E$4:E$163,AI$4:AI$163,$AN227)*其他调用!I228*其他调用!$M228</f>
        <v>264904292.77079087</v>
      </c>
      <c r="AQ227" s="2">
        <f>求节点(节奏总纲!F$4:F$163,AJ$4:AJ$163,$AN227)*其他调用!J228*其他调用!$M228</f>
        <v>25983437.087729618</v>
      </c>
      <c r="AR227" s="2">
        <f>求节点(节奏总纲!G$4:G$163,AK$4:AK$163,$AN227)*其他调用!K228*其他调用!$M228</f>
        <v>6135535.7311248984</v>
      </c>
      <c r="AS227" s="2">
        <f>求节点(节奏总纲!H$4:H$163,AL$4:AL$163,$AN227)*其他调用!L228*其他调用!$M228</f>
        <v>2130594.4389818111</v>
      </c>
      <c r="AT227" s="2">
        <f t="shared" si="19"/>
        <v>530480638.44307041</v>
      </c>
      <c r="BF227" s="2">
        <v>224</v>
      </c>
      <c r="BG227" s="2">
        <f>求节点(节奏总纲!D$4:D$163,AZ$4:AZ$163,$AN227)</f>
        <v>8157.1591392645969</v>
      </c>
      <c r="BH227" s="2">
        <f>求节点(节奏总纲!E$4:E$163,BA$4:BA$163,$AN227)</f>
        <v>25164.466897390022</v>
      </c>
      <c r="BI227" s="2">
        <f>求节点(节奏总纲!F$4:F$163,BB$4:BB$163,$AN227)</f>
        <v>78233.488204338282</v>
      </c>
      <c r="BJ227" s="2">
        <f>求节点(节奏总纲!G$4:G$163,BC$4:BC$163,$AN227)</f>
        <v>37622.457975059173</v>
      </c>
      <c r="BK227" s="2">
        <f>求节点(节奏总纲!H$4:H$163,BD$4:BD$163,$AN227)</f>
        <v>11151.108479900715</v>
      </c>
      <c r="BL227" s="2">
        <f>BG227*其他调用!H228*其他调用!$M228</f>
        <v>391238.15511422494</v>
      </c>
      <c r="BM227" s="2">
        <f>BH227*其他调用!I228*其他调用!$M228</f>
        <v>1190065.7319350245</v>
      </c>
      <c r="BN227" s="2">
        <f>BI227*其他调用!J228*其他调用!$M228</f>
        <v>302014.12363531912</v>
      </c>
      <c r="BO227" s="2">
        <f>BJ227*其他调用!K228*其他调用!$M228</f>
        <v>25838.953647438746</v>
      </c>
      <c r="BP227" s="2">
        <f>BK227*其他调用!L228*其他调用!$M228</f>
        <v>2215.9482771258699</v>
      </c>
      <c r="BQ227" s="2">
        <f t="shared" si="20"/>
        <v>1911372.9126091329</v>
      </c>
      <c r="BR227" s="2">
        <f>[1]服务器生态!$R226</f>
        <v>1.6289841650165445E-2</v>
      </c>
      <c r="BS227" s="2" t="e">
        <f>SUMPRODUCT((BG$4:BG227)*($BR$4:$BR227)*(其他调用!#REF!))</f>
        <v>#REF!</v>
      </c>
      <c r="BT227" s="2" t="e">
        <f>SUMPRODUCT((BH$4:BH227)*($BR$4:$BR227)*(其他调用!#REF!))</f>
        <v>#REF!</v>
      </c>
      <c r="BU227" s="2" t="e">
        <f>SUMPRODUCT((BI$4:BI227)*($BR$4:$BR227)*(其他调用!#REF!))</f>
        <v>#REF!</v>
      </c>
      <c r="BV227" s="2" t="e">
        <f>SUMPRODUCT((BJ$4:BJ227)*($BR$4:$BR227)*(其他调用!#REF!))</f>
        <v>#REF!</v>
      </c>
      <c r="BW227" s="2" t="e">
        <f>SUMPRODUCT((BK$4:BK227)*($BR$4:$BR227)*(其他调用!#REF!))</f>
        <v>#REF!</v>
      </c>
      <c r="BX227" s="2" t="e">
        <f>SUMPRODUCT((BG$4:BG227)*($BR$4:$BR227))*'[1]功能-战损相关'!$D$2-BS227</f>
        <v>#REF!</v>
      </c>
      <c r="BY227" s="2" t="e">
        <f>SUMPRODUCT((BH$4:BH227)*($BR$4:$BR227))*'[1]功能-战损相关'!$D$2-BT227</f>
        <v>#REF!</v>
      </c>
      <c r="BZ227" s="2" t="e">
        <f>SUMPRODUCT((BI$4:BI227)*($BR$4:$BR227))*'[1]功能-战损相关'!$D$2-BU227</f>
        <v>#REF!</v>
      </c>
      <c r="CA227" s="2" t="e">
        <f>SUMPRODUCT((BJ$4:BJ227)*($BR$4:$BR227))*'[1]功能-战损相关'!$D$2-BV227</f>
        <v>#REF!</v>
      </c>
      <c r="CB227" s="2" t="e">
        <f>SUMPRODUCT((BK$4:BK227)*($BR$4:$BR227))*'[1]功能-战损相关'!$D$2-BW227</f>
        <v>#REF!</v>
      </c>
    </row>
    <row r="228" spans="40:80" x14ac:dyDescent="0.2">
      <c r="AN228" s="2">
        <v>225</v>
      </c>
      <c r="AO228" s="2">
        <f>求节点(节奏总纲!D$4:D$163,AH$4:AH$163,$AN228)*其他调用!H229*其他调用!$M229</f>
        <v>231808388.9119035</v>
      </c>
      <c r="AP228" s="2">
        <f>求节点(节奏总纲!E$4:E$163,AI$4:AI$163,$AN228)*其他调用!I229*其他调用!$M229</f>
        <v>265498385.93087447</v>
      </c>
      <c r="AQ228" s="2">
        <f>求节点(节奏总纲!F$4:F$163,AJ$4:AJ$163,$AN228)*其他调用!J229*其他调用!$M229</f>
        <v>26034260.580103971</v>
      </c>
      <c r="AR228" s="2">
        <f>求节点(节奏总纲!G$4:G$163,AK$4:AK$163,$AN228)*其他调用!K229*其他调用!$M229</f>
        <v>6155857.7681357954</v>
      </c>
      <c r="AS228" s="2">
        <f>求节点(节奏总纲!H$4:H$163,AL$4:AL$163,$AN228)*其他调用!L229*其他调用!$M229</f>
        <v>2132200.3581171567</v>
      </c>
      <c r="AT228" s="2">
        <f t="shared" si="19"/>
        <v>531629093.54913491</v>
      </c>
      <c r="BF228" s="2">
        <v>225</v>
      </c>
      <c r="BG228" s="2">
        <f>求节点(节奏总纲!D$4:D$163,AZ$4:AZ$163,$AN228)</f>
        <v>8162.2544451151471</v>
      </c>
      <c r="BH228" s="2">
        <f>求节点(节奏总纲!E$4:E$163,BA$4:BA$163,$AN228)</f>
        <v>25179.614800574258</v>
      </c>
      <c r="BI228" s="2">
        <f>求节点(节奏总纲!F$4:F$163,BB$4:BB$163,$AN228)</f>
        <v>78278.706246742542</v>
      </c>
      <c r="BJ228" s="2">
        <f>求节点(节奏总纲!G$4:G$163,BC$4:BC$163,$AN228)</f>
        <v>37643.079141156282</v>
      </c>
      <c r="BK228" s="2">
        <f>求节点(节奏总纲!H$4:H$163,BD$4:BD$163,$AN228)</f>
        <v>11156.110387655135</v>
      </c>
      <c r="BL228" s="2">
        <f>BG228*其他调用!H229*其他调用!$M229</f>
        <v>391482.53897712106</v>
      </c>
      <c r="BM228" s="2">
        <f>BH228*其他调用!I229*其他调用!$M229</f>
        <v>1190782.0992065321</v>
      </c>
      <c r="BN228" s="2">
        <f>BI228*其他调用!J229*其他调用!$M229</f>
        <v>302188.68427121406</v>
      </c>
      <c r="BO228" s="2">
        <f>BJ228*其他调用!K229*其他调用!$M229</f>
        <v>25853.11618182958</v>
      </c>
      <c r="BP228" s="2">
        <f>BK228*其他调用!L229*其他调用!$M229</f>
        <v>2216.9422562348282</v>
      </c>
      <c r="BQ228" s="2">
        <f t="shared" si="20"/>
        <v>1912523.3808929315</v>
      </c>
      <c r="BR228" s="2">
        <f>[1]服务器生态!$R227</f>
        <v>1.6289841650165445E-2</v>
      </c>
      <c r="BS228" s="2" t="e">
        <f>SUMPRODUCT((BG$4:BG228)*($BR$4:$BR228)*(其他调用!#REF!))</f>
        <v>#REF!</v>
      </c>
      <c r="BT228" s="2" t="e">
        <f>SUMPRODUCT((BH$4:BH228)*($BR$4:$BR228)*(其他调用!#REF!))</f>
        <v>#REF!</v>
      </c>
      <c r="BU228" s="2" t="e">
        <f>SUMPRODUCT((BI$4:BI228)*($BR$4:$BR228)*(其他调用!#REF!))</f>
        <v>#REF!</v>
      </c>
      <c r="BV228" s="2" t="e">
        <f>SUMPRODUCT((BJ$4:BJ228)*($BR$4:$BR228)*(其他调用!#REF!))</f>
        <v>#REF!</v>
      </c>
      <c r="BW228" s="2" t="e">
        <f>SUMPRODUCT((BK$4:BK228)*($BR$4:$BR228)*(其他调用!#REF!))</f>
        <v>#REF!</v>
      </c>
      <c r="BX228" s="2" t="e">
        <f>SUMPRODUCT((BG$4:BG228)*($BR$4:$BR228))*'[1]功能-战损相关'!$D$2-BS228</f>
        <v>#REF!</v>
      </c>
      <c r="BY228" s="2" t="e">
        <f>SUMPRODUCT((BH$4:BH228)*($BR$4:$BR228))*'[1]功能-战损相关'!$D$2-BT228</f>
        <v>#REF!</v>
      </c>
      <c r="BZ228" s="2" t="e">
        <f>SUMPRODUCT((BI$4:BI228)*($BR$4:$BR228))*'[1]功能-战损相关'!$D$2-BU228</f>
        <v>#REF!</v>
      </c>
      <c r="CA228" s="2" t="e">
        <f>SUMPRODUCT((BJ$4:BJ228)*($BR$4:$BR228))*'[1]功能-战损相关'!$D$2-BV228</f>
        <v>#REF!</v>
      </c>
      <c r="CB228" s="2" t="e">
        <f>SUMPRODUCT((BK$4:BK228)*($BR$4:$BR228))*'[1]功能-战损相关'!$D$2-BW228</f>
        <v>#REF!</v>
      </c>
    </row>
    <row r="229" spans="40:80" x14ac:dyDescent="0.2">
      <c r="AN229" s="2">
        <v>226</v>
      </c>
      <c r="AO229" s="2">
        <f>求节点(节奏总纲!D$4:D$163,AH$4:AH$163,$AN229)*其他调用!H230*其他调用!$M230</f>
        <v>232289999.40936384</v>
      </c>
      <c r="AP229" s="2">
        <f>求节点(节奏总纲!E$4:E$163,AI$4:AI$163,$AN229)*其他调用!I230*其他调用!$M230</f>
        <v>266092479.09095815</v>
      </c>
      <c r="AQ229" s="2">
        <f>求节点(节奏总纲!F$4:F$163,AJ$4:AJ$163,$AN229)*其他调用!J230*其他调用!$M230</f>
        <v>26085084.072478332</v>
      </c>
      <c r="AR229" s="2">
        <f>求节点(节奏总纲!G$4:G$163,AK$4:AK$163,$AN229)*其他调用!K230*其他调用!$M230</f>
        <v>6176179.8051466942</v>
      </c>
      <c r="AS229" s="2">
        <f>求节点(节奏总纲!H$4:H$163,AL$4:AL$163,$AN229)*其他调用!L230*其他调用!$M230</f>
        <v>2133806.2772525027</v>
      </c>
      <c r="AT229" s="2">
        <f t="shared" si="19"/>
        <v>532777548.65519953</v>
      </c>
      <c r="BF229" s="2">
        <v>226</v>
      </c>
      <c r="BG229" s="2">
        <f>求节点(节奏总纲!D$4:D$163,AZ$4:AZ$163,$AN229)</f>
        <v>8167.3497509656963</v>
      </c>
      <c r="BH229" s="2">
        <f>求节点(节奏总纲!E$4:E$163,BA$4:BA$163,$AN229)</f>
        <v>25194.762703758493</v>
      </c>
      <c r="BI229" s="2">
        <f>求节点(节奏总纲!F$4:F$163,BB$4:BB$163,$AN229)</f>
        <v>78323.924289146817</v>
      </c>
      <c r="BJ229" s="2">
        <f>求节点(节奏总纲!G$4:G$163,BC$4:BC$163,$AN229)</f>
        <v>37663.700307253392</v>
      </c>
      <c r="BK229" s="2">
        <f>求节点(节奏总纲!H$4:H$163,BD$4:BD$163,$AN229)</f>
        <v>11161.112295409554</v>
      </c>
      <c r="BL229" s="2">
        <f>BG229*其他调用!H230*其他调用!$M230</f>
        <v>391726.92284001719</v>
      </c>
      <c r="BM229" s="2">
        <f>BH229*其他调用!I230*其他调用!$M230</f>
        <v>1191498.4664780397</v>
      </c>
      <c r="BN229" s="2">
        <f>BI229*其他调用!J230*其他调用!$M230</f>
        <v>302363.24490710907</v>
      </c>
      <c r="BO229" s="2">
        <f>BJ229*其他调用!K230*其他调用!$M230</f>
        <v>25867.278716220408</v>
      </c>
      <c r="BP229" s="2">
        <f>BK229*其他调用!L230*其他调用!$M230</f>
        <v>2217.9362353437864</v>
      </c>
      <c r="BQ229" s="2">
        <f t="shared" si="20"/>
        <v>1913673.8491767303</v>
      </c>
      <c r="BR229" s="2">
        <f>[1]服务器生态!$R228</f>
        <v>1.6289841650165445E-2</v>
      </c>
      <c r="BS229" s="2" t="e">
        <f>SUMPRODUCT((BG$4:BG229)*($BR$4:$BR229)*(其他调用!#REF!))</f>
        <v>#REF!</v>
      </c>
      <c r="BT229" s="2" t="e">
        <f>SUMPRODUCT((BH$4:BH229)*($BR$4:$BR229)*(其他调用!#REF!))</f>
        <v>#REF!</v>
      </c>
      <c r="BU229" s="2" t="e">
        <f>SUMPRODUCT((BI$4:BI229)*($BR$4:$BR229)*(其他调用!#REF!))</f>
        <v>#REF!</v>
      </c>
      <c r="BV229" s="2" t="e">
        <f>SUMPRODUCT((BJ$4:BJ229)*($BR$4:$BR229)*(其他调用!#REF!))</f>
        <v>#REF!</v>
      </c>
      <c r="BW229" s="2" t="e">
        <f>SUMPRODUCT((BK$4:BK229)*($BR$4:$BR229)*(其他调用!#REF!))</f>
        <v>#REF!</v>
      </c>
      <c r="BX229" s="2" t="e">
        <f>SUMPRODUCT((BG$4:BG229)*($BR$4:$BR229))*'[1]功能-战损相关'!$D$2-BS229</f>
        <v>#REF!</v>
      </c>
      <c r="BY229" s="2" t="e">
        <f>SUMPRODUCT((BH$4:BH229)*($BR$4:$BR229))*'[1]功能-战损相关'!$D$2-BT229</f>
        <v>#REF!</v>
      </c>
      <c r="BZ229" s="2" t="e">
        <f>SUMPRODUCT((BI$4:BI229)*($BR$4:$BR229))*'[1]功能-战损相关'!$D$2-BU229</f>
        <v>#REF!</v>
      </c>
      <c r="CA229" s="2" t="e">
        <f>SUMPRODUCT((BJ$4:BJ229)*($BR$4:$BR229))*'[1]功能-战损相关'!$D$2-BV229</f>
        <v>#REF!</v>
      </c>
      <c r="CB229" s="2" t="e">
        <f>SUMPRODUCT((BK$4:BK229)*($BR$4:$BR229))*'[1]功能-战损相关'!$D$2-BW229</f>
        <v>#REF!</v>
      </c>
    </row>
    <row r="230" spans="40:80" x14ac:dyDescent="0.2">
      <c r="AN230" s="2">
        <v>227</v>
      </c>
      <c r="AO230" s="2">
        <f>求节点(节奏总纲!D$4:D$163,AH$4:AH$163,$AN230)*其他调用!H231*其他调用!$M231</f>
        <v>232771609.9068242</v>
      </c>
      <c r="AP230" s="2">
        <f>求节点(节奏总纲!E$4:E$163,AI$4:AI$163,$AN230)*其他调用!I231*其他调用!$M231</f>
        <v>266686572.25104174</v>
      </c>
      <c r="AQ230" s="2">
        <f>求节点(节奏总纲!F$4:F$163,AJ$4:AJ$163,$AN230)*其他调用!J231*其他调用!$M231</f>
        <v>26135907.564852685</v>
      </c>
      <c r="AR230" s="2">
        <f>求节点(节奏总纲!G$4:G$163,AK$4:AK$163,$AN230)*其他调用!K231*其他调用!$M231</f>
        <v>6181998.7329921629</v>
      </c>
      <c r="AS230" s="2">
        <f>求节点(节奏总纲!H$4:H$163,AL$4:AL$163,$AN230)*其他调用!L231*其他调用!$M231</f>
        <v>2135412.1963878488</v>
      </c>
      <c r="AT230" s="2">
        <f t="shared" si="19"/>
        <v>533911500.6520986</v>
      </c>
      <c r="BF230" s="2">
        <v>227</v>
      </c>
      <c r="BG230" s="2">
        <f>求节点(节奏总纲!D$4:D$163,AZ$4:AZ$163,$AN230)</f>
        <v>8172.4450568162465</v>
      </c>
      <c r="BH230" s="2">
        <f>求节点(节奏总纲!E$4:E$163,BA$4:BA$163,$AN230)</f>
        <v>25209.910606942729</v>
      </c>
      <c r="BI230" s="2">
        <f>求节点(节奏总纲!F$4:F$163,BB$4:BB$163,$AN230)</f>
        <v>78369.142331551076</v>
      </c>
      <c r="BJ230" s="2">
        <f>求节点(节奏总纲!G$4:G$163,BC$4:BC$163,$AN230)</f>
        <v>37683.315840622439</v>
      </c>
      <c r="BK230" s="2">
        <f>求节点(节奏总纲!H$4:H$163,BD$4:BD$163,$AN230)</f>
        <v>11166.114203163974</v>
      </c>
      <c r="BL230" s="2">
        <f>BG230*其他调用!H231*其他调用!$M231</f>
        <v>391971.30670291331</v>
      </c>
      <c r="BM230" s="2">
        <f>BH230*其他调用!I231*其他调用!$M231</f>
        <v>1192214.8337495474</v>
      </c>
      <c r="BN230" s="2">
        <f>BI230*其他调用!J231*其他调用!$M231</f>
        <v>302537.80554300395</v>
      </c>
      <c r="BO230" s="2">
        <f>BJ230*其他调用!K231*其他调用!$M231</f>
        <v>25880.750586076134</v>
      </c>
      <c r="BP230" s="2">
        <f>BK230*其他调用!L231*其他调用!$M231</f>
        <v>2218.9302144527446</v>
      </c>
      <c r="BQ230" s="2">
        <f t="shared" si="20"/>
        <v>1914823.6267959934</v>
      </c>
      <c r="BR230" s="2">
        <f>[1]服务器生态!$R229</f>
        <v>1.6289841650165445E-2</v>
      </c>
      <c r="BS230" s="2" t="e">
        <f>SUMPRODUCT((BG$4:BG230)*($BR$4:$BR230)*(其他调用!#REF!))</f>
        <v>#REF!</v>
      </c>
      <c r="BT230" s="2" t="e">
        <f>SUMPRODUCT((BH$4:BH230)*($BR$4:$BR230)*(其他调用!#REF!))</f>
        <v>#REF!</v>
      </c>
      <c r="BU230" s="2" t="e">
        <f>SUMPRODUCT((BI$4:BI230)*($BR$4:$BR230)*(其他调用!#REF!))</f>
        <v>#REF!</v>
      </c>
      <c r="BV230" s="2" t="e">
        <f>SUMPRODUCT((BJ$4:BJ230)*($BR$4:$BR230)*(其他调用!#REF!))</f>
        <v>#REF!</v>
      </c>
      <c r="BW230" s="2" t="e">
        <f>SUMPRODUCT((BK$4:BK230)*($BR$4:$BR230)*(其他调用!#REF!))</f>
        <v>#REF!</v>
      </c>
      <c r="BX230" s="2" t="e">
        <f>SUMPRODUCT((BG$4:BG230)*($BR$4:$BR230))*'[1]功能-战损相关'!$D$2-BS230</f>
        <v>#REF!</v>
      </c>
      <c r="BY230" s="2" t="e">
        <f>SUMPRODUCT((BH$4:BH230)*($BR$4:$BR230))*'[1]功能-战损相关'!$D$2-BT230</f>
        <v>#REF!</v>
      </c>
      <c r="BZ230" s="2" t="e">
        <f>SUMPRODUCT((BI$4:BI230)*($BR$4:$BR230))*'[1]功能-战损相关'!$D$2-BU230</f>
        <v>#REF!</v>
      </c>
      <c r="CA230" s="2" t="e">
        <f>SUMPRODUCT((BJ$4:BJ230)*($BR$4:$BR230))*'[1]功能-战损相关'!$D$2-BV230</f>
        <v>#REF!</v>
      </c>
      <c r="CB230" s="2" t="e">
        <f>SUMPRODUCT((BK$4:BK230)*($BR$4:$BR230))*'[1]功能-战损相关'!$D$2-BW230</f>
        <v>#REF!</v>
      </c>
    </row>
    <row r="231" spans="40:80" x14ac:dyDescent="0.2">
      <c r="AN231" s="2">
        <v>228</v>
      </c>
      <c r="AO231" s="2">
        <f>求节点(节奏总纲!D$4:D$163,AH$4:AH$163,$AN231)*其他调用!H232*其他调用!$M232</f>
        <v>233253220.4042846</v>
      </c>
      <c r="AP231" s="2">
        <f>求节点(节奏总纲!E$4:E$163,AI$4:AI$163,$AN231)*其他调用!I232*其他调用!$M232</f>
        <v>267280665.41112536</v>
      </c>
      <c r="AQ231" s="2">
        <f>求节点(节奏总纲!F$4:F$163,AJ$4:AJ$163,$AN231)*其他调用!J232*其他调用!$M232</f>
        <v>26186731.057227038</v>
      </c>
      <c r="AR231" s="2">
        <f>求节点(节奏总纲!G$4:G$163,AK$4:AK$163,$AN231)*其他调用!K232*其他调用!$M232</f>
        <v>6187705.6551463222</v>
      </c>
      <c r="AS231" s="2">
        <f>求节点(节奏总纲!H$4:H$163,AL$4:AL$163,$AN231)*其他调用!L232*其他调用!$M232</f>
        <v>2137018.1155231944</v>
      </c>
      <c r="AT231" s="2">
        <f t="shared" si="19"/>
        <v>535045340.64330649</v>
      </c>
      <c r="BF231" s="2">
        <v>228</v>
      </c>
      <c r="BG231" s="2">
        <f>求节点(节奏总纲!D$4:D$163,AZ$4:AZ$163,$AN231)</f>
        <v>8177.5403626667958</v>
      </c>
      <c r="BH231" s="2">
        <f>求节点(节奏总纲!E$4:E$163,BA$4:BA$163,$AN231)</f>
        <v>25225.058510126964</v>
      </c>
      <c r="BI231" s="2">
        <f>求节点(节奏总纲!F$4:F$163,BB$4:BB$163,$AN231)</f>
        <v>78414.360373955351</v>
      </c>
      <c r="BJ231" s="2">
        <f>求节点(节奏总纲!G$4:G$163,BC$4:BC$163,$AN231)</f>
        <v>37702.923607616183</v>
      </c>
      <c r="BK231" s="2">
        <f>求节点(节奏总纲!H$4:H$163,BD$4:BD$163,$AN231)</f>
        <v>11171.116110918394</v>
      </c>
      <c r="BL231" s="2">
        <f>BG231*其他调用!H232*其他调用!$M232</f>
        <v>392215.69056580937</v>
      </c>
      <c r="BM231" s="2">
        <f>BH231*其他调用!I232*其他调用!$M232</f>
        <v>1192931.201021055</v>
      </c>
      <c r="BN231" s="2">
        <f>BI231*其他调用!J232*其他调用!$M232</f>
        <v>302712.36617889896</v>
      </c>
      <c r="BO231" s="2">
        <f>BJ231*其他调用!K232*其他调用!$M232</f>
        <v>25894.217122016373</v>
      </c>
      <c r="BP231" s="2">
        <f>BK231*其他调用!L232*其他调用!$M232</f>
        <v>2219.9241935617029</v>
      </c>
      <c r="BQ231" s="2">
        <f t="shared" si="20"/>
        <v>1915973.3990813417</v>
      </c>
      <c r="BR231" s="2">
        <f>[1]服务器生态!$R230</f>
        <v>1.6289841650165445E-2</v>
      </c>
      <c r="BS231" s="2" t="e">
        <f>SUMPRODUCT((BG$4:BG231)*($BR$4:$BR231)*(其他调用!#REF!))</f>
        <v>#REF!</v>
      </c>
      <c r="BT231" s="2" t="e">
        <f>SUMPRODUCT((BH$4:BH231)*($BR$4:$BR231)*(其他调用!#REF!))</f>
        <v>#REF!</v>
      </c>
      <c r="BU231" s="2" t="e">
        <f>SUMPRODUCT((BI$4:BI231)*($BR$4:$BR231)*(其他调用!#REF!))</f>
        <v>#REF!</v>
      </c>
      <c r="BV231" s="2" t="e">
        <f>SUMPRODUCT((BJ$4:BJ231)*($BR$4:$BR231)*(其他调用!#REF!))</f>
        <v>#REF!</v>
      </c>
      <c r="BW231" s="2" t="e">
        <f>SUMPRODUCT((BK$4:BK231)*($BR$4:$BR231)*(其他调用!#REF!))</f>
        <v>#REF!</v>
      </c>
      <c r="BX231" s="2" t="e">
        <f>SUMPRODUCT((BG$4:BG231)*($BR$4:$BR231))*'[1]功能-战损相关'!$D$2-BS231</f>
        <v>#REF!</v>
      </c>
      <c r="BY231" s="2" t="e">
        <f>SUMPRODUCT((BH$4:BH231)*($BR$4:$BR231))*'[1]功能-战损相关'!$D$2-BT231</f>
        <v>#REF!</v>
      </c>
      <c r="BZ231" s="2" t="e">
        <f>SUMPRODUCT((BI$4:BI231)*($BR$4:$BR231))*'[1]功能-战损相关'!$D$2-BU231</f>
        <v>#REF!</v>
      </c>
      <c r="CA231" s="2" t="e">
        <f>SUMPRODUCT((BJ$4:BJ231)*($BR$4:$BR231))*'[1]功能-战损相关'!$D$2-BV231</f>
        <v>#REF!</v>
      </c>
      <c r="CB231" s="2" t="e">
        <f>SUMPRODUCT((BK$4:BK231)*($BR$4:$BR231))*'[1]功能-战损相关'!$D$2-BW231</f>
        <v>#REF!</v>
      </c>
    </row>
    <row r="232" spans="40:80" x14ac:dyDescent="0.2">
      <c r="AN232" s="2">
        <v>229</v>
      </c>
      <c r="AO232" s="2">
        <f>求节点(节奏总纲!D$4:D$163,AH$4:AH$163,$AN232)*其他调用!H233*其他调用!$M233</f>
        <v>233734830.9017449</v>
      </c>
      <c r="AP232" s="2">
        <f>求节点(节奏总纲!E$4:E$163,AI$4:AI$163,$AN232)*其他调用!I233*其他调用!$M233</f>
        <v>267874758.57120895</v>
      </c>
      <c r="AQ232" s="2">
        <f>求节点(节奏总纲!F$4:F$163,AJ$4:AJ$163,$AN232)*其他调用!J233*其他调用!$M233</f>
        <v>26237554.549601395</v>
      </c>
      <c r="AR232" s="2">
        <f>求节点(节奏总纲!G$4:G$163,AK$4:AK$163,$AN232)*其他调用!K233*其他调用!$M233</f>
        <v>6193412.5773004824</v>
      </c>
      <c r="AS232" s="2">
        <f>求节点(节奏总纲!H$4:H$163,AL$4:AL$163,$AN232)*其他调用!L233*其他调用!$M233</f>
        <v>2138624.03465854</v>
      </c>
      <c r="AT232" s="2">
        <f t="shared" si="19"/>
        <v>536179180.63451427</v>
      </c>
      <c r="BF232" s="2">
        <v>229</v>
      </c>
      <c r="BG232" s="2">
        <f>求节点(节奏总纲!D$4:D$163,AZ$4:AZ$163,$AN232)</f>
        <v>8182.635668517345</v>
      </c>
      <c r="BH232" s="2">
        <f>求节点(节奏总纲!E$4:E$163,BA$4:BA$163,$AN232)</f>
        <v>25240.2064133112</v>
      </c>
      <c r="BI232" s="2">
        <f>求节点(节奏总纲!F$4:F$163,BB$4:BB$163,$AN232)</f>
        <v>78459.578416359611</v>
      </c>
      <c r="BJ232" s="2">
        <f>求节点(节奏总纲!G$4:G$163,BC$4:BC$163,$AN232)</f>
        <v>37722.531374609927</v>
      </c>
      <c r="BK232" s="2">
        <f>求节点(节奏总纲!H$4:H$163,BD$4:BD$163,$AN232)</f>
        <v>11176.118018672814</v>
      </c>
      <c r="BL232" s="2">
        <f>BG232*其他调用!H233*其他调用!$M233</f>
        <v>392460.07442870544</v>
      </c>
      <c r="BM232" s="2">
        <f>BH232*其他调用!I233*其他调用!$M233</f>
        <v>1193647.5682925626</v>
      </c>
      <c r="BN232" s="2">
        <f>BI232*其他调用!J233*其他调用!$M233</f>
        <v>302886.92681479384</v>
      </c>
      <c r="BO232" s="2">
        <f>BJ232*其他调用!K233*其他调用!$M233</f>
        <v>25907.683657956608</v>
      </c>
      <c r="BP232" s="2">
        <f>BK232*其他调用!L233*其他调用!$M233</f>
        <v>2220.9181726706615</v>
      </c>
      <c r="BQ232" s="2">
        <f t="shared" si="20"/>
        <v>1917123.1713666893</v>
      </c>
      <c r="BR232" s="2">
        <f>[1]服务器生态!$R231</f>
        <v>1.6289841650165445E-2</v>
      </c>
      <c r="BS232" s="2" t="e">
        <f>SUMPRODUCT((BG$4:BG232)*($BR$4:$BR232)*(其他调用!#REF!))</f>
        <v>#REF!</v>
      </c>
      <c r="BT232" s="2" t="e">
        <f>SUMPRODUCT((BH$4:BH232)*($BR$4:$BR232)*(其他调用!#REF!))</f>
        <v>#REF!</v>
      </c>
      <c r="BU232" s="2" t="e">
        <f>SUMPRODUCT((BI$4:BI232)*($BR$4:$BR232)*(其他调用!#REF!))</f>
        <v>#REF!</v>
      </c>
      <c r="BV232" s="2" t="e">
        <f>SUMPRODUCT((BJ$4:BJ232)*($BR$4:$BR232)*(其他调用!#REF!))</f>
        <v>#REF!</v>
      </c>
      <c r="BW232" s="2" t="e">
        <f>SUMPRODUCT((BK$4:BK232)*($BR$4:$BR232)*(其他调用!#REF!))</f>
        <v>#REF!</v>
      </c>
      <c r="BX232" s="2" t="e">
        <f>SUMPRODUCT((BG$4:BG232)*($BR$4:$BR232))*'[1]功能-战损相关'!$D$2-BS232</f>
        <v>#REF!</v>
      </c>
      <c r="BY232" s="2" t="e">
        <f>SUMPRODUCT((BH$4:BH232)*($BR$4:$BR232))*'[1]功能-战损相关'!$D$2-BT232</f>
        <v>#REF!</v>
      </c>
      <c r="BZ232" s="2" t="e">
        <f>SUMPRODUCT((BI$4:BI232)*($BR$4:$BR232))*'[1]功能-战损相关'!$D$2-BU232</f>
        <v>#REF!</v>
      </c>
      <c r="CA232" s="2" t="e">
        <f>SUMPRODUCT((BJ$4:BJ232)*($BR$4:$BR232))*'[1]功能-战损相关'!$D$2-BV232</f>
        <v>#REF!</v>
      </c>
      <c r="CB232" s="2" t="e">
        <f>SUMPRODUCT((BK$4:BK232)*($BR$4:$BR232))*'[1]功能-战损相关'!$D$2-BW232</f>
        <v>#REF!</v>
      </c>
    </row>
    <row r="233" spans="40:80" x14ac:dyDescent="0.2">
      <c r="AN233" s="2">
        <v>230</v>
      </c>
      <c r="AO233" s="2">
        <f>求节点(节奏总纲!D$4:D$163,AH$4:AH$163,$AN233)*其他调用!H234*其他调用!$M234</f>
        <v>234216441.39920524</v>
      </c>
      <c r="AP233" s="2">
        <f>求节点(节奏总纲!E$4:E$163,AI$4:AI$163,$AN233)*其他调用!I234*其他调用!$M234</f>
        <v>268468851.73129267</v>
      </c>
      <c r="AQ233" s="2">
        <f>求节点(节奏总纲!F$4:F$163,AJ$4:AJ$163,$AN233)*其他调用!J234*其他调用!$M234</f>
        <v>26288378.041975752</v>
      </c>
      <c r="AR233" s="2">
        <f>求节点(节奏总纲!G$4:G$163,AK$4:AK$163,$AN233)*其他调用!K234*其他调用!$M234</f>
        <v>6199119.4994546426</v>
      </c>
      <c r="AS233" s="2">
        <f>求节点(节奏总纲!H$4:H$163,AL$4:AL$163,$AN233)*其他调用!L234*其他调用!$M234</f>
        <v>2140229.9537938861</v>
      </c>
      <c r="AT233" s="2">
        <f t="shared" si="19"/>
        <v>537313020.62572217</v>
      </c>
      <c r="BF233" s="2">
        <v>230</v>
      </c>
      <c r="BG233" s="2">
        <f>求节点(节奏总纲!D$4:D$163,AZ$4:AZ$163,$AN233)</f>
        <v>8187.7309743678952</v>
      </c>
      <c r="BH233" s="2">
        <f>求节点(节奏总纲!E$4:E$163,BA$4:BA$163,$AN233)</f>
        <v>25255.354316495435</v>
      </c>
      <c r="BI233" s="2">
        <f>求节点(节奏总纲!F$4:F$163,BB$4:BB$163,$AN233)</f>
        <v>78504.796458763885</v>
      </c>
      <c r="BJ233" s="2">
        <f>求节点(节奏总纲!G$4:G$163,BC$4:BC$163,$AN233)</f>
        <v>37742.139141603671</v>
      </c>
      <c r="BK233" s="2">
        <f>求节点(节奏总纲!H$4:H$163,BD$4:BD$163,$AN233)</f>
        <v>11181.119926427235</v>
      </c>
      <c r="BL233" s="2">
        <f>BG233*其他调用!H234*其他调用!$M234</f>
        <v>392704.45829160162</v>
      </c>
      <c r="BM233" s="2">
        <f>BH233*其他调用!I234*其他调用!$M234</f>
        <v>1194363.9355640705</v>
      </c>
      <c r="BN233" s="2">
        <f>BI233*其他调用!J234*其他调用!$M234</f>
        <v>303061.48745068879</v>
      </c>
      <c r="BO233" s="2">
        <f>BJ233*其他调用!K234*其他调用!$M234</f>
        <v>25921.150193896839</v>
      </c>
      <c r="BP233" s="2">
        <f>BK233*其他调用!L234*其他调用!$M234</f>
        <v>2221.9121517796198</v>
      </c>
      <c r="BQ233" s="2">
        <f t="shared" si="20"/>
        <v>1918272.9436520373</v>
      </c>
      <c r="BR233" s="2">
        <f>[1]服务器生态!$R232</f>
        <v>1.6289841650165445E-2</v>
      </c>
      <c r="BS233" s="2" t="e">
        <f>SUMPRODUCT((BG$4:BG233)*($BR$4:$BR233)*(其他调用!#REF!))</f>
        <v>#REF!</v>
      </c>
      <c r="BT233" s="2" t="e">
        <f>SUMPRODUCT((BH$4:BH233)*($BR$4:$BR233)*(其他调用!#REF!))</f>
        <v>#REF!</v>
      </c>
      <c r="BU233" s="2" t="e">
        <f>SUMPRODUCT((BI$4:BI233)*($BR$4:$BR233)*(其他调用!#REF!))</f>
        <v>#REF!</v>
      </c>
      <c r="BV233" s="2" t="e">
        <f>SUMPRODUCT((BJ$4:BJ233)*($BR$4:$BR233)*(其他调用!#REF!))</f>
        <v>#REF!</v>
      </c>
      <c r="BW233" s="2" t="e">
        <f>SUMPRODUCT((BK$4:BK233)*($BR$4:$BR233)*(其他调用!#REF!))</f>
        <v>#REF!</v>
      </c>
      <c r="BX233" s="2" t="e">
        <f>SUMPRODUCT((BG$4:BG233)*($BR$4:$BR233))*'[1]功能-战损相关'!$D$2-BS233</f>
        <v>#REF!</v>
      </c>
      <c r="BY233" s="2" t="e">
        <f>SUMPRODUCT((BH$4:BH233)*($BR$4:$BR233))*'[1]功能-战损相关'!$D$2-BT233</f>
        <v>#REF!</v>
      </c>
      <c r="BZ233" s="2" t="e">
        <f>SUMPRODUCT((BI$4:BI233)*($BR$4:$BR233))*'[1]功能-战损相关'!$D$2-BU233</f>
        <v>#REF!</v>
      </c>
      <c r="CA233" s="2" t="e">
        <f>SUMPRODUCT((BJ$4:BJ233)*($BR$4:$BR233))*'[1]功能-战损相关'!$D$2-BV233</f>
        <v>#REF!</v>
      </c>
      <c r="CB233" s="2" t="e">
        <f>SUMPRODUCT((BK$4:BK233)*($BR$4:$BR233))*'[1]功能-战损相关'!$D$2-BW233</f>
        <v>#REF!</v>
      </c>
    </row>
    <row r="234" spans="40:80" x14ac:dyDescent="0.2">
      <c r="AN234" s="2">
        <v>231</v>
      </c>
      <c r="AO234" s="2">
        <f>求节点(节奏总纲!D$4:D$163,AH$4:AH$163,$AN234)*其他调用!H235*其他调用!$M235</f>
        <v>234698051.89666563</v>
      </c>
      <c r="AP234" s="2">
        <f>求节点(节奏总纲!E$4:E$163,AI$4:AI$163,$AN234)*其他调用!I235*其他调用!$M235</f>
        <v>269062944.89137626</v>
      </c>
      <c r="AQ234" s="2">
        <f>求节点(节奏总纲!F$4:F$163,AJ$4:AJ$163,$AN234)*其他调用!J235*其他调用!$M235</f>
        <v>26339201.534350105</v>
      </c>
      <c r="AR234" s="2">
        <f>求节点(节奏总纲!G$4:G$163,AK$4:AK$163,$AN234)*其他调用!K235*其他调用!$M235</f>
        <v>6204826.4216088019</v>
      </c>
      <c r="AS234" s="2">
        <f>求节点(节奏总纲!H$4:H$163,AL$4:AL$163,$AN234)*其他调用!L235*其他调用!$M235</f>
        <v>2141835.8729292322</v>
      </c>
      <c r="AT234" s="2">
        <f t="shared" si="19"/>
        <v>538446860.61693001</v>
      </c>
      <c r="BF234" s="2">
        <v>231</v>
      </c>
      <c r="BG234" s="2">
        <f>求节点(节奏总纲!D$4:D$163,AZ$4:AZ$163,$AN234)</f>
        <v>8192.8262802184454</v>
      </c>
      <c r="BH234" s="2">
        <f>求节点(节奏总纲!E$4:E$163,BA$4:BA$163,$AN234)</f>
        <v>25270.502219679667</v>
      </c>
      <c r="BI234" s="2">
        <f>求节点(节奏总纲!F$4:F$163,BB$4:BB$163,$AN234)</f>
        <v>78550.014501168145</v>
      </c>
      <c r="BJ234" s="2">
        <f>求节点(节奏总纲!G$4:G$163,BC$4:BC$163,$AN234)</f>
        <v>37761.746908597408</v>
      </c>
      <c r="BK234" s="2">
        <f>求节点(节奏总纲!H$4:H$163,BD$4:BD$163,$AN234)</f>
        <v>11186.121834181653</v>
      </c>
      <c r="BL234" s="2">
        <f>BG234*其他调用!H235*其他调用!$M235</f>
        <v>392948.84215449775</v>
      </c>
      <c r="BM234" s="2">
        <f>BH234*其他调用!I235*其他调用!$M235</f>
        <v>1195080.3028355779</v>
      </c>
      <c r="BN234" s="2">
        <f>BI234*其他调用!J235*其他调用!$M235</f>
        <v>303236.04808658373</v>
      </c>
      <c r="BO234" s="2">
        <f>BJ234*其他调用!K235*其他调用!$M235</f>
        <v>25934.616729837075</v>
      </c>
      <c r="BP234" s="2">
        <f>BK234*其他调用!L235*其他调用!$M235</f>
        <v>2222.906130888578</v>
      </c>
      <c r="BQ234" s="2">
        <f t="shared" si="20"/>
        <v>1919422.7159373851</v>
      </c>
      <c r="BR234" s="2">
        <f>[1]服务器生态!$R233</f>
        <v>1.6289841650165445E-2</v>
      </c>
      <c r="BS234" s="2" t="e">
        <f>SUMPRODUCT((BG$4:BG234)*($BR$4:$BR234)*(其他调用!#REF!))</f>
        <v>#REF!</v>
      </c>
      <c r="BT234" s="2" t="e">
        <f>SUMPRODUCT((BH$4:BH234)*($BR$4:$BR234)*(其他调用!#REF!))</f>
        <v>#REF!</v>
      </c>
      <c r="BU234" s="2" t="e">
        <f>SUMPRODUCT((BI$4:BI234)*($BR$4:$BR234)*(其他调用!#REF!))</f>
        <v>#REF!</v>
      </c>
      <c r="BV234" s="2" t="e">
        <f>SUMPRODUCT((BJ$4:BJ234)*($BR$4:$BR234)*(其他调用!#REF!))</f>
        <v>#REF!</v>
      </c>
      <c r="BW234" s="2" t="e">
        <f>SUMPRODUCT((BK$4:BK234)*($BR$4:$BR234)*(其他调用!#REF!))</f>
        <v>#REF!</v>
      </c>
      <c r="BX234" s="2" t="e">
        <f>SUMPRODUCT((BG$4:BG234)*($BR$4:$BR234))*'[1]功能-战损相关'!$D$2-BS234</f>
        <v>#REF!</v>
      </c>
      <c r="BY234" s="2" t="e">
        <f>SUMPRODUCT((BH$4:BH234)*($BR$4:$BR234))*'[1]功能-战损相关'!$D$2-BT234</f>
        <v>#REF!</v>
      </c>
      <c r="BZ234" s="2" t="e">
        <f>SUMPRODUCT((BI$4:BI234)*($BR$4:$BR234))*'[1]功能-战损相关'!$D$2-BU234</f>
        <v>#REF!</v>
      </c>
      <c r="CA234" s="2" t="e">
        <f>SUMPRODUCT((BJ$4:BJ234)*($BR$4:$BR234))*'[1]功能-战损相关'!$D$2-BV234</f>
        <v>#REF!</v>
      </c>
      <c r="CB234" s="2" t="e">
        <f>SUMPRODUCT((BK$4:BK234)*($BR$4:$BR234))*'[1]功能-战损相关'!$D$2-BW234</f>
        <v>#REF!</v>
      </c>
    </row>
    <row r="235" spans="40:80" x14ac:dyDescent="0.2">
      <c r="AN235" s="2">
        <v>232</v>
      </c>
      <c r="AO235" s="2">
        <f>求节点(节奏总纲!D$4:D$163,AH$4:AH$163,$AN235)*其他调用!H236*其他调用!$M236</f>
        <v>235179662.39412594</v>
      </c>
      <c r="AP235" s="2">
        <f>求节点(节奏总纲!E$4:E$163,AI$4:AI$163,$AN235)*其他调用!I236*其他调用!$M236</f>
        <v>269657038.05145991</v>
      </c>
      <c r="AQ235" s="2">
        <f>求节点(节奏总纲!F$4:F$163,AJ$4:AJ$163,$AN235)*其他调用!J236*其他调用!$M236</f>
        <v>26390025.026724465</v>
      </c>
      <c r="AR235" s="2">
        <f>求节点(节奏总纲!G$4:G$163,AK$4:AK$163,$AN235)*其他调用!K236*其他调用!$M236</f>
        <v>6210533.3437629612</v>
      </c>
      <c r="AS235" s="2">
        <f>求节点(节奏总纲!H$4:H$163,AL$4:AL$163,$AN235)*其他调用!L236*其他调用!$M236</f>
        <v>2143441.7920645778</v>
      </c>
      <c r="AT235" s="2">
        <f t="shared" si="19"/>
        <v>539580700.60813785</v>
      </c>
      <c r="BF235" s="2">
        <v>232</v>
      </c>
      <c r="BG235" s="2">
        <f>求节点(节奏总纲!D$4:D$163,AZ$4:AZ$163,$AN235)</f>
        <v>8197.9215860689947</v>
      </c>
      <c r="BH235" s="2">
        <f>求节点(节奏总纲!E$4:E$163,BA$4:BA$163,$AN235)</f>
        <v>25285.650122863903</v>
      </c>
      <c r="BI235" s="2">
        <f>求节点(节奏总纲!F$4:F$163,BB$4:BB$163,$AN235)</f>
        <v>78595.23254357242</v>
      </c>
      <c r="BJ235" s="2">
        <f>求节点(节奏总纲!G$4:G$163,BC$4:BC$163,$AN235)</f>
        <v>37781.354675591152</v>
      </c>
      <c r="BK235" s="2">
        <f>求节点(节奏总纲!H$4:H$163,BD$4:BD$163,$AN235)</f>
        <v>11191.123741936073</v>
      </c>
      <c r="BL235" s="2">
        <f>BG235*其他调用!H236*其他调用!$M236</f>
        <v>393193.22601739381</v>
      </c>
      <c r="BM235" s="2">
        <f>BH235*其他调用!I236*其他调用!$M236</f>
        <v>1195796.6701070855</v>
      </c>
      <c r="BN235" s="2">
        <f>BI235*其他调用!J236*其他调用!$M236</f>
        <v>303410.60872247873</v>
      </c>
      <c r="BO235" s="2">
        <f>BJ235*其他调用!K236*其他调用!$M236</f>
        <v>25948.083265777306</v>
      </c>
      <c r="BP235" s="2">
        <f>BK235*其他调用!L236*其他调用!$M236</f>
        <v>2223.9001099975362</v>
      </c>
      <c r="BQ235" s="2">
        <f t="shared" si="20"/>
        <v>1920572.4882227327</v>
      </c>
      <c r="BR235" s="2">
        <f>[1]服务器生态!$R234</f>
        <v>1.6289841650165445E-2</v>
      </c>
      <c r="BS235" s="2" t="e">
        <f>SUMPRODUCT((BG$4:BG235)*($BR$4:$BR235)*(其他调用!#REF!))</f>
        <v>#REF!</v>
      </c>
      <c r="BT235" s="2" t="e">
        <f>SUMPRODUCT((BH$4:BH235)*($BR$4:$BR235)*(其他调用!#REF!))</f>
        <v>#REF!</v>
      </c>
      <c r="BU235" s="2" t="e">
        <f>SUMPRODUCT((BI$4:BI235)*($BR$4:$BR235)*(其他调用!#REF!))</f>
        <v>#REF!</v>
      </c>
      <c r="BV235" s="2" t="e">
        <f>SUMPRODUCT((BJ$4:BJ235)*($BR$4:$BR235)*(其他调用!#REF!))</f>
        <v>#REF!</v>
      </c>
      <c r="BW235" s="2" t="e">
        <f>SUMPRODUCT((BK$4:BK235)*($BR$4:$BR235)*(其他调用!#REF!))</f>
        <v>#REF!</v>
      </c>
      <c r="BX235" s="2" t="e">
        <f>SUMPRODUCT((BG$4:BG235)*($BR$4:$BR235))*'[1]功能-战损相关'!$D$2-BS235</f>
        <v>#REF!</v>
      </c>
      <c r="BY235" s="2" t="e">
        <f>SUMPRODUCT((BH$4:BH235)*($BR$4:$BR235))*'[1]功能-战损相关'!$D$2-BT235</f>
        <v>#REF!</v>
      </c>
      <c r="BZ235" s="2" t="e">
        <f>SUMPRODUCT((BI$4:BI235)*($BR$4:$BR235))*'[1]功能-战损相关'!$D$2-BU235</f>
        <v>#REF!</v>
      </c>
      <c r="CA235" s="2" t="e">
        <f>SUMPRODUCT((BJ$4:BJ235)*($BR$4:$BR235))*'[1]功能-战损相关'!$D$2-BV235</f>
        <v>#REF!</v>
      </c>
      <c r="CB235" s="2" t="e">
        <f>SUMPRODUCT((BK$4:BK235)*($BR$4:$BR235))*'[1]功能-战损相关'!$D$2-BW235</f>
        <v>#REF!</v>
      </c>
    </row>
    <row r="236" spans="40:80" x14ac:dyDescent="0.2">
      <c r="AN236" s="2">
        <v>233</v>
      </c>
      <c r="AO236" s="2">
        <f>求节点(节奏总纲!D$4:D$163,AH$4:AH$163,$AN236)*其他调用!H237*其他调用!$M237</f>
        <v>235661272.89158633</v>
      </c>
      <c r="AP236" s="2">
        <f>求节点(节奏总纲!E$4:E$163,AI$4:AI$163,$AN236)*其他调用!I237*其他调用!$M237</f>
        <v>270251131.21154356</v>
      </c>
      <c r="AQ236" s="2">
        <f>求节点(节奏总纲!F$4:F$163,AJ$4:AJ$163,$AN236)*其他调用!J237*其他调用!$M237</f>
        <v>26440848.519098822</v>
      </c>
      <c r="AR236" s="2">
        <f>求节点(节奏总纲!G$4:G$163,AK$4:AK$163,$AN236)*其他调用!K237*其他调用!$M237</f>
        <v>6216240.2659171214</v>
      </c>
      <c r="AS236" s="2">
        <f>求节点(节奏总纲!H$4:H$163,AL$4:AL$163,$AN236)*其他调用!L237*其他调用!$M237</f>
        <v>2145047.7111999234</v>
      </c>
      <c r="AT236" s="2">
        <f t="shared" si="19"/>
        <v>540714540.59934568</v>
      </c>
      <c r="BF236" s="2">
        <v>233</v>
      </c>
      <c r="BG236" s="2">
        <f>求节点(节奏总纲!D$4:D$163,AZ$4:AZ$163,$AN236)</f>
        <v>8203.0168919195439</v>
      </c>
      <c r="BH236" s="2">
        <f>求节点(节奏总纲!E$4:E$163,BA$4:BA$163,$AN236)</f>
        <v>25300.798026048138</v>
      </c>
      <c r="BI236" s="2">
        <f>求节点(节奏总纲!F$4:F$163,BB$4:BB$163,$AN236)</f>
        <v>78640.45058597668</v>
      </c>
      <c r="BJ236" s="2">
        <f>求节点(节奏总纲!G$4:G$163,BC$4:BC$163,$AN236)</f>
        <v>37800.962442584896</v>
      </c>
      <c r="BK236" s="2">
        <f>求节点(节奏总纲!H$4:H$163,BD$4:BD$163,$AN236)</f>
        <v>11196.125649690493</v>
      </c>
      <c r="BL236" s="2">
        <f>BG236*其他调用!H237*其他调用!$M237</f>
        <v>393437.60988028994</v>
      </c>
      <c r="BM236" s="2">
        <f>BH236*其他调用!I237*其他调用!$M237</f>
        <v>1196513.0373785931</v>
      </c>
      <c r="BN236" s="2">
        <f>BI236*其他调用!J237*其他调用!$M237</f>
        <v>303585.16935837368</v>
      </c>
      <c r="BO236" s="2">
        <f>BJ236*其他调用!K237*其他调用!$M237</f>
        <v>25961.549801717541</v>
      </c>
      <c r="BP236" s="2">
        <f>BK236*其他调用!L237*其他调用!$M237</f>
        <v>2224.8940891064949</v>
      </c>
      <c r="BQ236" s="2">
        <f t="shared" si="20"/>
        <v>1921722.2605080807</v>
      </c>
      <c r="BR236" s="2">
        <f>[1]服务器生态!$R235</f>
        <v>1.6289841650165445E-2</v>
      </c>
      <c r="BS236" s="2" t="e">
        <f>SUMPRODUCT((BG$4:BG236)*($BR$4:$BR236)*(其他调用!#REF!))</f>
        <v>#REF!</v>
      </c>
      <c r="BT236" s="2" t="e">
        <f>SUMPRODUCT((BH$4:BH236)*($BR$4:$BR236)*(其他调用!#REF!))</f>
        <v>#REF!</v>
      </c>
      <c r="BU236" s="2" t="e">
        <f>SUMPRODUCT((BI$4:BI236)*($BR$4:$BR236)*(其他调用!#REF!))</f>
        <v>#REF!</v>
      </c>
      <c r="BV236" s="2" t="e">
        <f>SUMPRODUCT((BJ$4:BJ236)*($BR$4:$BR236)*(其他调用!#REF!))</f>
        <v>#REF!</v>
      </c>
      <c r="BW236" s="2" t="e">
        <f>SUMPRODUCT((BK$4:BK236)*($BR$4:$BR236)*(其他调用!#REF!))</f>
        <v>#REF!</v>
      </c>
      <c r="BX236" s="2" t="e">
        <f>SUMPRODUCT((BG$4:BG236)*($BR$4:$BR236))*'[1]功能-战损相关'!$D$2-BS236</f>
        <v>#REF!</v>
      </c>
      <c r="BY236" s="2" t="e">
        <f>SUMPRODUCT((BH$4:BH236)*($BR$4:$BR236))*'[1]功能-战损相关'!$D$2-BT236</f>
        <v>#REF!</v>
      </c>
      <c r="BZ236" s="2" t="e">
        <f>SUMPRODUCT((BI$4:BI236)*($BR$4:$BR236))*'[1]功能-战损相关'!$D$2-BU236</f>
        <v>#REF!</v>
      </c>
      <c r="CA236" s="2" t="e">
        <f>SUMPRODUCT((BJ$4:BJ236)*($BR$4:$BR236))*'[1]功能-战损相关'!$D$2-BV236</f>
        <v>#REF!</v>
      </c>
      <c r="CB236" s="2" t="e">
        <f>SUMPRODUCT((BK$4:BK236)*($BR$4:$BR236))*'[1]功能-战损相关'!$D$2-BW236</f>
        <v>#REF!</v>
      </c>
    </row>
    <row r="237" spans="40:80" x14ac:dyDescent="0.2">
      <c r="AN237" s="2">
        <v>234</v>
      </c>
      <c r="AO237" s="2">
        <f>求节点(节奏总纲!D$4:D$163,AH$4:AH$163,$AN237)*其他调用!H238*其他调用!$M238</f>
        <v>236142883.3890467</v>
      </c>
      <c r="AP237" s="2">
        <f>求节点(节奏总纲!E$4:E$163,AI$4:AI$163,$AN237)*其他调用!I238*其他调用!$M238</f>
        <v>270845224.37162715</v>
      </c>
      <c r="AQ237" s="2">
        <f>求节点(节奏总纲!F$4:F$163,AJ$4:AJ$163,$AN237)*其他调用!J238*其他调用!$M238</f>
        <v>26491672.011473175</v>
      </c>
      <c r="AR237" s="2">
        <f>求节点(节奏总纲!G$4:G$163,AK$4:AK$163,$AN237)*其他调用!K238*其他调用!$M238</f>
        <v>6221947.1880712807</v>
      </c>
      <c r="AS237" s="2">
        <f>求节点(节奏总纲!H$4:H$163,AL$4:AL$163,$AN237)*其他调用!L238*其他调用!$M238</f>
        <v>2146653.63033527</v>
      </c>
      <c r="AT237" s="2">
        <f t="shared" si="19"/>
        <v>541848380.59055352</v>
      </c>
      <c r="BF237" s="2">
        <v>234</v>
      </c>
      <c r="BG237" s="2">
        <f>求节点(节奏总纲!D$4:D$163,AZ$4:AZ$163,$AN237)</f>
        <v>8208.1121977700932</v>
      </c>
      <c r="BH237" s="2">
        <f>求节点(节奏总纲!E$4:E$163,BA$4:BA$163,$AN237)</f>
        <v>25315.945929232374</v>
      </c>
      <c r="BI237" s="2">
        <f>求节点(节奏总纲!F$4:F$163,BB$4:BB$163,$AN237)</f>
        <v>78685.668628380954</v>
      </c>
      <c r="BJ237" s="2">
        <f>求节点(节奏总纲!G$4:G$163,BC$4:BC$163,$AN237)</f>
        <v>37820.57020957864</v>
      </c>
      <c r="BK237" s="2">
        <f>求节点(节奏总纲!H$4:H$163,BD$4:BD$163,$AN237)</f>
        <v>11201.127557444914</v>
      </c>
      <c r="BL237" s="2">
        <f>BG237*其他调用!H238*其他调用!$M238</f>
        <v>393681.993743186</v>
      </c>
      <c r="BM237" s="2">
        <f>BH237*其他调用!I238*其他调用!$M238</f>
        <v>1197229.4046501007</v>
      </c>
      <c r="BN237" s="2">
        <f>BI237*其他调用!J238*其他调用!$M238</f>
        <v>303759.72999426862</v>
      </c>
      <c r="BO237" s="2">
        <f>BJ237*其他调用!K238*其他调用!$M238</f>
        <v>25975.01633765778</v>
      </c>
      <c r="BP237" s="2">
        <f>BK237*其他调用!L238*其他调用!$M238</f>
        <v>2225.8880682154531</v>
      </c>
      <c r="BQ237" s="2">
        <f t="shared" si="20"/>
        <v>1922872.0327934287</v>
      </c>
      <c r="BR237" s="2">
        <f>[1]服务器生态!$R236</f>
        <v>1.6289841650165445E-2</v>
      </c>
      <c r="BS237" s="2" t="e">
        <f>SUMPRODUCT((BG$4:BG237)*($BR$4:$BR237)*(其他调用!#REF!))</f>
        <v>#REF!</v>
      </c>
      <c r="BT237" s="2" t="e">
        <f>SUMPRODUCT((BH$4:BH237)*($BR$4:$BR237)*(其他调用!#REF!))</f>
        <v>#REF!</v>
      </c>
      <c r="BU237" s="2" t="e">
        <f>SUMPRODUCT((BI$4:BI237)*($BR$4:$BR237)*(其他调用!#REF!))</f>
        <v>#REF!</v>
      </c>
      <c r="BV237" s="2" t="e">
        <f>SUMPRODUCT((BJ$4:BJ237)*($BR$4:$BR237)*(其他调用!#REF!))</f>
        <v>#REF!</v>
      </c>
      <c r="BW237" s="2" t="e">
        <f>SUMPRODUCT((BK$4:BK237)*($BR$4:$BR237)*(其他调用!#REF!))</f>
        <v>#REF!</v>
      </c>
      <c r="BX237" s="2" t="e">
        <f>SUMPRODUCT((BG$4:BG237)*($BR$4:$BR237))*'[1]功能-战损相关'!$D$2-BS237</f>
        <v>#REF!</v>
      </c>
      <c r="BY237" s="2" t="e">
        <f>SUMPRODUCT((BH$4:BH237)*($BR$4:$BR237))*'[1]功能-战损相关'!$D$2-BT237</f>
        <v>#REF!</v>
      </c>
      <c r="BZ237" s="2" t="e">
        <f>SUMPRODUCT((BI$4:BI237)*($BR$4:$BR237))*'[1]功能-战损相关'!$D$2-BU237</f>
        <v>#REF!</v>
      </c>
      <c r="CA237" s="2" t="e">
        <f>SUMPRODUCT((BJ$4:BJ237)*($BR$4:$BR237))*'[1]功能-战损相关'!$D$2-BV237</f>
        <v>#REF!</v>
      </c>
      <c r="CB237" s="2" t="e">
        <f>SUMPRODUCT((BK$4:BK237)*($BR$4:$BR237))*'[1]功能-战损相关'!$D$2-BW237</f>
        <v>#REF!</v>
      </c>
    </row>
    <row r="238" spans="40:80" x14ac:dyDescent="0.2">
      <c r="AN238" s="2">
        <v>235</v>
      </c>
      <c r="AO238" s="2">
        <f>求节点(节奏总纲!D$4:D$163,AH$4:AH$163,$AN238)*其他调用!H239*其他调用!$M239</f>
        <v>236624493.88650703</v>
      </c>
      <c r="AP238" s="2">
        <f>求节点(节奏总纲!E$4:E$163,AI$4:AI$163,$AN238)*其他调用!I239*其他调用!$M239</f>
        <v>271439317.5317108</v>
      </c>
      <c r="AQ238" s="2">
        <f>求节点(节奏总纲!F$4:F$163,AJ$4:AJ$163,$AN238)*其他调用!J239*其他调用!$M239</f>
        <v>26542495.503847528</v>
      </c>
      <c r="AR238" s="2">
        <f>求节点(节奏总纲!G$4:G$163,AK$4:AK$163,$AN238)*其他调用!K239*其他调用!$M239</f>
        <v>6227654.1102254391</v>
      </c>
      <c r="AS238" s="2">
        <f>求节点(节奏总纲!H$4:H$163,AL$4:AL$163,$AN238)*其他调用!L239*其他调用!$M239</f>
        <v>2148259.549470616</v>
      </c>
      <c r="AT238" s="2">
        <f t="shared" si="19"/>
        <v>542982220.58176148</v>
      </c>
      <c r="BF238" s="2">
        <v>235</v>
      </c>
      <c r="BG238" s="2">
        <f>求节点(节奏总纲!D$4:D$163,AZ$4:AZ$163,$AN238)</f>
        <v>8213.2075036206425</v>
      </c>
      <c r="BH238" s="2">
        <f>求节点(节奏总纲!E$4:E$163,BA$4:BA$163,$AN238)</f>
        <v>25331.093832416609</v>
      </c>
      <c r="BI238" s="2">
        <f>求节点(节奏总纲!F$4:F$163,BB$4:BB$163,$AN238)</f>
        <v>78730.886670785214</v>
      </c>
      <c r="BJ238" s="2">
        <f>求节点(节奏总纲!G$4:G$163,BC$4:BC$163,$AN238)</f>
        <v>37840.177976572384</v>
      </c>
      <c r="BK238" s="2">
        <f>求节点(节奏总纲!H$4:H$163,BD$4:BD$163,$AN238)</f>
        <v>11206.129465199334</v>
      </c>
      <c r="BL238" s="2">
        <f>BG238*其他调用!H239*其他调用!$M239</f>
        <v>393926.37760608207</v>
      </c>
      <c r="BM238" s="2">
        <f>BH238*其他调用!I239*其他调用!$M239</f>
        <v>1197945.7719216086</v>
      </c>
      <c r="BN238" s="2">
        <f>BI238*其他调用!J239*其他调用!$M239</f>
        <v>303934.29063016357</v>
      </c>
      <c r="BO238" s="2">
        <f>BJ238*其他调用!K239*其他调用!$M239</f>
        <v>25988.482873598012</v>
      </c>
      <c r="BP238" s="2">
        <f>BK238*其他调用!L239*其他调用!$M239</f>
        <v>2226.8820473244114</v>
      </c>
      <c r="BQ238" s="2">
        <f t="shared" si="20"/>
        <v>1924021.8050787768</v>
      </c>
      <c r="BR238" s="2">
        <f>[1]服务器生态!$R237</f>
        <v>1.6289841650165445E-2</v>
      </c>
      <c r="BS238" s="2" t="e">
        <f>SUMPRODUCT((BG$4:BG238)*($BR$4:$BR238)*(其他调用!#REF!))</f>
        <v>#REF!</v>
      </c>
      <c r="BT238" s="2" t="e">
        <f>SUMPRODUCT((BH$4:BH238)*($BR$4:$BR238)*(其他调用!#REF!))</f>
        <v>#REF!</v>
      </c>
      <c r="BU238" s="2" t="e">
        <f>SUMPRODUCT((BI$4:BI238)*($BR$4:$BR238)*(其他调用!#REF!))</f>
        <v>#REF!</v>
      </c>
      <c r="BV238" s="2" t="e">
        <f>SUMPRODUCT((BJ$4:BJ238)*($BR$4:$BR238)*(其他调用!#REF!))</f>
        <v>#REF!</v>
      </c>
      <c r="BW238" s="2" t="e">
        <f>SUMPRODUCT((BK$4:BK238)*($BR$4:$BR238)*(其他调用!#REF!))</f>
        <v>#REF!</v>
      </c>
      <c r="BX238" s="2" t="e">
        <f>SUMPRODUCT((BG$4:BG238)*($BR$4:$BR238))*'[1]功能-战损相关'!$D$2-BS238</f>
        <v>#REF!</v>
      </c>
      <c r="BY238" s="2" t="e">
        <f>SUMPRODUCT((BH$4:BH238)*($BR$4:$BR238))*'[1]功能-战损相关'!$D$2-BT238</f>
        <v>#REF!</v>
      </c>
      <c r="BZ238" s="2" t="e">
        <f>SUMPRODUCT((BI$4:BI238)*($BR$4:$BR238))*'[1]功能-战损相关'!$D$2-BU238</f>
        <v>#REF!</v>
      </c>
      <c r="CA238" s="2" t="e">
        <f>SUMPRODUCT((BJ$4:BJ238)*($BR$4:$BR238))*'[1]功能-战损相关'!$D$2-BV238</f>
        <v>#REF!</v>
      </c>
      <c r="CB238" s="2" t="e">
        <f>SUMPRODUCT((BK$4:BK238)*($BR$4:$BR238))*'[1]功能-战损相关'!$D$2-BW238</f>
        <v>#REF!</v>
      </c>
    </row>
    <row r="239" spans="40:80" x14ac:dyDescent="0.2">
      <c r="AN239" s="2">
        <v>236</v>
      </c>
      <c r="AO239" s="2">
        <f>求节点(节奏总纲!D$4:D$163,AH$4:AH$163,$AN239)*其他调用!H240*其他调用!$M240</f>
        <v>237106104.38396734</v>
      </c>
      <c r="AP239" s="2">
        <f>求节点(节奏总纲!E$4:E$163,AI$4:AI$163,$AN239)*其他调用!I240*其他调用!$M240</f>
        <v>272033410.69179446</v>
      </c>
      <c r="AQ239" s="2">
        <f>求节点(节奏总纲!F$4:F$163,AJ$4:AJ$163,$AN239)*其他调用!J240*其他调用!$M240</f>
        <v>26593318.996221885</v>
      </c>
      <c r="AR239" s="2">
        <f>求节点(节奏总纲!G$4:G$163,AK$4:AK$163,$AN239)*其他调用!K240*其他调用!$M240</f>
        <v>6233361.0323795993</v>
      </c>
      <c r="AS239" s="2">
        <f>求节点(节奏总纲!H$4:H$163,AL$4:AL$163,$AN239)*其他调用!L240*其他调用!$M240</f>
        <v>2149865.4686059612</v>
      </c>
      <c r="AT239" s="2">
        <f t="shared" si="19"/>
        <v>544116060.57296932</v>
      </c>
      <c r="BF239" s="2">
        <v>236</v>
      </c>
      <c r="BG239" s="2">
        <f>求节点(节奏总纲!D$4:D$163,AZ$4:AZ$163,$AN239)</f>
        <v>8218.3028094711917</v>
      </c>
      <c r="BH239" s="2">
        <f>求节点(节奏总纲!E$4:E$163,BA$4:BA$163,$AN239)</f>
        <v>25346.241735600845</v>
      </c>
      <c r="BI239" s="2">
        <f>求节点(节奏总纲!F$4:F$163,BB$4:BB$163,$AN239)</f>
        <v>78776.104713189488</v>
      </c>
      <c r="BJ239" s="2">
        <f>求节点(节奏总纲!G$4:G$163,BC$4:BC$163,$AN239)</f>
        <v>37859.785743566121</v>
      </c>
      <c r="BK239" s="2">
        <f>求节点(节奏总纲!H$4:H$163,BD$4:BD$163,$AN239)</f>
        <v>11211.131372953752</v>
      </c>
      <c r="BL239" s="2">
        <f>BG239*其他调用!H240*其他调用!$M240</f>
        <v>394170.76146897813</v>
      </c>
      <c r="BM239" s="2">
        <f>BH239*其他调用!I240*其他调用!$M240</f>
        <v>1198662.1391931162</v>
      </c>
      <c r="BN239" s="2">
        <f>BI239*其他调用!J240*其他调用!$M240</f>
        <v>304108.85126605851</v>
      </c>
      <c r="BO239" s="2">
        <f>BJ239*其他调用!K240*其他调用!$M240</f>
        <v>26001.949409538247</v>
      </c>
      <c r="BP239" s="2">
        <f>BK239*其他调用!L240*其他调用!$M240</f>
        <v>2227.8760264333696</v>
      </c>
      <c r="BQ239" s="2">
        <f t="shared" si="20"/>
        <v>1925171.5773641246</v>
      </c>
      <c r="BR239" s="2">
        <f>[1]服务器生态!$R238</f>
        <v>1.6289841650165445E-2</v>
      </c>
      <c r="BS239" s="2" t="e">
        <f>SUMPRODUCT((BG$4:BG239)*($BR$4:$BR239)*(其他调用!#REF!))</f>
        <v>#REF!</v>
      </c>
      <c r="BT239" s="2" t="e">
        <f>SUMPRODUCT((BH$4:BH239)*($BR$4:$BR239)*(其他调用!#REF!))</f>
        <v>#REF!</v>
      </c>
      <c r="BU239" s="2" t="e">
        <f>SUMPRODUCT((BI$4:BI239)*($BR$4:$BR239)*(其他调用!#REF!))</f>
        <v>#REF!</v>
      </c>
      <c r="BV239" s="2" t="e">
        <f>SUMPRODUCT((BJ$4:BJ239)*($BR$4:$BR239)*(其他调用!#REF!))</f>
        <v>#REF!</v>
      </c>
      <c r="BW239" s="2" t="e">
        <f>SUMPRODUCT((BK$4:BK239)*($BR$4:$BR239)*(其他调用!#REF!))</f>
        <v>#REF!</v>
      </c>
      <c r="BX239" s="2" t="e">
        <f>SUMPRODUCT((BG$4:BG239)*($BR$4:$BR239))*'[1]功能-战损相关'!$D$2-BS239</f>
        <v>#REF!</v>
      </c>
      <c r="BY239" s="2" t="e">
        <f>SUMPRODUCT((BH$4:BH239)*($BR$4:$BR239))*'[1]功能-战损相关'!$D$2-BT239</f>
        <v>#REF!</v>
      </c>
      <c r="BZ239" s="2" t="e">
        <f>SUMPRODUCT((BI$4:BI239)*($BR$4:$BR239))*'[1]功能-战损相关'!$D$2-BU239</f>
        <v>#REF!</v>
      </c>
      <c r="CA239" s="2" t="e">
        <f>SUMPRODUCT((BJ$4:BJ239)*($BR$4:$BR239))*'[1]功能-战损相关'!$D$2-BV239</f>
        <v>#REF!</v>
      </c>
      <c r="CB239" s="2" t="e">
        <f>SUMPRODUCT((BK$4:BK239)*($BR$4:$BR239))*'[1]功能-战损相关'!$D$2-BW239</f>
        <v>#REF!</v>
      </c>
    </row>
    <row r="240" spans="40:80" x14ac:dyDescent="0.2">
      <c r="AN240" s="2">
        <v>237</v>
      </c>
      <c r="AO240" s="2">
        <f>求节点(节奏总纲!D$4:D$163,AH$4:AH$163,$AN240)*其他调用!H241*其他调用!$M241</f>
        <v>237587714.88142768</v>
      </c>
      <c r="AP240" s="2">
        <f>求节点(节奏总纲!E$4:E$163,AI$4:AI$163,$AN240)*其他调用!I241*其他调用!$M241</f>
        <v>272600753.87121534</v>
      </c>
      <c r="AQ240" s="2">
        <f>求节点(节奏总纲!F$4:F$163,AJ$4:AJ$163,$AN240)*其他调用!J241*其他调用!$M241</f>
        <v>26644142.488596246</v>
      </c>
      <c r="AR240" s="2">
        <f>求节点(节奏总纲!G$4:G$163,AK$4:AK$163,$AN240)*其他调用!K241*其他调用!$M241</f>
        <v>6239067.9545337586</v>
      </c>
      <c r="AS240" s="2">
        <f>求节点(节奏总纲!H$4:H$163,AL$4:AL$163,$AN240)*其他调用!L241*其他调用!$M241</f>
        <v>2151471.3877413073</v>
      </c>
      <c r="AT240" s="2">
        <f t="shared" si="19"/>
        <v>545223150.58351433</v>
      </c>
      <c r="BF240" s="2">
        <v>237</v>
      </c>
      <c r="BG240" s="2">
        <f>求节点(节奏总纲!D$4:D$163,AZ$4:AZ$163,$AN240)</f>
        <v>8223.3981153217428</v>
      </c>
      <c r="BH240" s="2">
        <f>求节点(节奏总纲!E$4:E$163,BA$4:BA$163,$AN240)</f>
        <v>25360.865738593027</v>
      </c>
      <c r="BI240" s="2">
        <f>求节点(节奏总纲!F$4:F$163,BB$4:BB$163,$AN240)</f>
        <v>78821.322755593748</v>
      </c>
      <c r="BJ240" s="2">
        <f>求节点(节奏总纲!G$4:G$163,BC$4:BC$163,$AN240)</f>
        <v>37879.393510559865</v>
      </c>
      <c r="BK240" s="2">
        <f>求节点(节奏总纲!H$4:H$163,BD$4:BD$163,$AN240)</f>
        <v>11216.133280708173</v>
      </c>
      <c r="BL240" s="2">
        <f>BG240*其他调用!H241*其他调用!$M241</f>
        <v>394415.14533187437</v>
      </c>
      <c r="BM240" s="2">
        <f>BH240*其他调用!I241*其他调用!$M241</f>
        <v>1199353.730431495</v>
      </c>
      <c r="BN240" s="2">
        <f>BI240*其他调用!J241*其他调用!$M241</f>
        <v>304283.41190195346</v>
      </c>
      <c r="BO240" s="2">
        <f>BJ240*其他调用!K241*其他调用!$M241</f>
        <v>26015.415945478482</v>
      </c>
      <c r="BP240" s="2">
        <f>BK240*其他调用!L241*其他调用!$M241</f>
        <v>2228.8700055423278</v>
      </c>
      <c r="BQ240" s="2">
        <f t="shared" si="20"/>
        <v>1926296.5736163436</v>
      </c>
      <c r="BR240" s="2">
        <f>[1]服务器生态!$R239</f>
        <v>1.6289841650165445E-2</v>
      </c>
      <c r="BS240" s="2" t="e">
        <f>SUMPRODUCT((BG$4:BG240)*($BR$4:$BR240)*(其他调用!#REF!))</f>
        <v>#REF!</v>
      </c>
      <c r="BT240" s="2" t="e">
        <f>SUMPRODUCT((BH$4:BH240)*($BR$4:$BR240)*(其他调用!#REF!))</f>
        <v>#REF!</v>
      </c>
      <c r="BU240" s="2" t="e">
        <f>SUMPRODUCT((BI$4:BI240)*($BR$4:$BR240)*(其他调用!#REF!))</f>
        <v>#REF!</v>
      </c>
      <c r="BV240" s="2" t="e">
        <f>SUMPRODUCT((BJ$4:BJ240)*($BR$4:$BR240)*(其他调用!#REF!))</f>
        <v>#REF!</v>
      </c>
      <c r="BW240" s="2" t="e">
        <f>SUMPRODUCT((BK$4:BK240)*($BR$4:$BR240)*(其他调用!#REF!))</f>
        <v>#REF!</v>
      </c>
      <c r="BX240" s="2" t="e">
        <f>SUMPRODUCT((BG$4:BG240)*($BR$4:$BR240))*'[1]功能-战损相关'!$D$2-BS240</f>
        <v>#REF!</v>
      </c>
      <c r="BY240" s="2" t="e">
        <f>SUMPRODUCT((BH$4:BH240)*($BR$4:$BR240))*'[1]功能-战损相关'!$D$2-BT240</f>
        <v>#REF!</v>
      </c>
      <c r="BZ240" s="2" t="e">
        <f>SUMPRODUCT((BI$4:BI240)*($BR$4:$BR240))*'[1]功能-战损相关'!$D$2-BU240</f>
        <v>#REF!</v>
      </c>
      <c r="CA240" s="2" t="e">
        <f>SUMPRODUCT((BJ$4:BJ240)*($BR$4:$BR240))*'[1]功能-战损相关'!$D$2-BV240</f>
        <v>#REF!</v>
      </c>
      <c r="CB240" s="2" t="e">
        <f>SUMPRODUCT((BK$4:BK240)*($BR$4:$BR240))*'[1]功能-战损相关'!$D$2-BW240</f>
        <v>#REF!</v>
      </c>
    </row>
    <row r="241" spans="40:80" x14ac:dyDescent="0.2">
      <c r="AN241" s="2">
        <v>238</v>
      </c>
      <c r="AO241" s="2">
        <f>求节点(节奏总纲!D$4:D$163,AH$4:AH$163,$AN241)*其他调用!H242*其他调用!$M242</f>
        <v>238066257.02563357</v>
      </c>
      <c r="AP241" s="2">
        <f>求节点(节奏总纲!E$4:E$163,AI$4:AI$163,$AN241)*其他调用!I242*其他调用!$M242</f>
        <v>273153104.5859549</v>
      </c>
      <c r="AQ241" s="2">
        <f>求节点(节奏总纲!F$4:F$163,AJ$4:AJ$163,$AN241)*其他调用!J242*其他调用!$M242</f>
        <v>26696810.980247457</v>
      </c>
      <c r="AR241" s="2">
        <f>求节点(节奏总纲!G$4:G$163,AK$4:AK$163,$AN241)*其他调用!K242*其他调用!$M242</f>
        <v>6244774.8766879179</v>
      </c>
      <c r="AS241" s="2">
        <f>求节点(节奏总纲!H$4:H$163,AL$4:AL$163,$AN241)*其他调用!L242*其他调用!$M242</f>
        <v>2153077.3068766533</v>
      </c>
      <c r="AT241" s="2">
        <f t="shared" si="19"/>
        <v>546314024.77540052</v>
      </c>
      <c r="BF241" s="2">
        <v>238</v>
      </c>
      <c r="BG241" s="2">
        <f>求节点(节奏总纲!D$4:D$163,AZ$4:AZ$163,$AN241)</f>
        <v>8228.4269532468807</v>
      </c>
      <c r="BH241" s="2">
        <f>求节点(节奏总纲!E$4:E$163,BA$4:BA$163,$AN241)</f>
        <v>25375.196113143946</v>
      </c>
      <c r="BI241" s="2">
        <f>求节点(节奏总纲!F$4:F$163,BB$4:BB$163,$AN241)</f>
        <v>78864.858614072175</v>
      </c>
      <c r="BJ241" s="2">
        <f>求节点(节奏总纲!G$4:G$163,BC$4:BC$163,$AN241)</f>
        <v>37899.001277553609</v>
      </c>
      <c r="BK241" s="2">
        <f>求节点(节奏总纲!H$4:H$163,BD$4:BD$163,$AN241)</f>
        <v>11221.135188462593</v>
      </c>
      <c r="BL241" s="2">
        <f>BG241*其他调用!H242*其他调用!$M242</f>
        <v>394656.34122355789</v>
      </c>
      <c r="BM241" s="2">
        <f>BH241*其他调用!I242*其他调用!$M242</f>
        <v>1200031.4355364107</v>
      </c>
      <c r="BN241" s="2">
        <f>BI241*其他调用!J242*其他调用!$M242</f>
        <v>304451.47860135371</v>
      </c>
      <c r="BO241" s="2">
        <f>BJ241*其他调用!K242*其他调用!$M242</f>
        <v>26028.882481418714</v>
      </c>
      <c r="BP241" s="2">
        <f>BK241*其他调用!L242*其他调用!$M242</f>
        <v>2229.8639846512865</v>
      </c>
      <c r="BQ241" s="2">
        <f t="shared" si="20"/>
        <v>1927398.0018273925</v>
      </c>
      <c r="BR241" s="2">
        <f>[1]服务器生态!$R240</f>
        <v>1.6289841650165445E-2</v>
      </c>
      <c r="BS241" s="2" t="e">
        <f>SUMPRODUCT((BG$4:BG241)*($BR$4:$BR241)*(其他调用!#REF!))</f>
        <v>#REF!</v>
      </c>
      <c r="BT241" s="2" t="e">
        <f>SUMPRODUCT((BH$4:BH241)*($BR$4:$BR241)*(其他调用!#REF!))</f>
        <v>#REF!</v>
      </c>
      <c r="BU241" s="2" t="e">
        <f>SUMPRODUCT((BI$4:BI241)*($BR$4:$BR241)*(其他调用!#REF!))</f>
        <v>#REF!</v>
      </c>
      <c r="BV241" s="2" t="e">
        <f>SUMPRODUCT((BJ$4:BJ241)*($BR$4:$BR241)*(其他调用!#REF!))</f>
        <v>#REF!</v>
      </c>
      <c r="BW241" s="2" t="e">
        <f>SUMPRODUCT((BK$4:BK241)*($BR$4:$BR241)*(其他调用!#REF!))</f>
        <v>#REF!</v>
      </c>
      <c r="BX241" s="2" t="e">
        <f>SUMPRODUCT((BG$4:BG241)*($BR$4:$BR241))*'[1]功能-战损相关'!$D$2-BS241</f>
        <v>#REF!</v>
      </c>
      <c r="BY241" s="2" t="e">
        <f>SUMPRODUCT((BH$4:BH241)*($BR$4:$BR241))*'[1]功能-战损相关'!$D$2-BT241</f>
        <v>#REF!</v>
      </c>
      <c r="BZ241" s="2" t="e">
        <f>SUMPRODUCT((BI$4:BI241)*($BR$4:$BR241))*'[1]功能-战损相关'!$D$2-BU241</f>
        <v>#REF!</v>
      </c>
      <c r="CA241" s="2" t="e">
        <f>SUMPRODUCT((BJ$4:BJ241)*($BR$4:$BR241))*'[1]功能-战损相关'!$D$2-BV241</f>
        <v>#REF!</v>
      </c>
      <c r="CB241" s="2" t="e">
        <f>SUMPRODUCT((BK$4:BK241)*($BR$4:$BR241))*'[1]功能-战损相关'!$D$2-BW241</f>
        <v>#REF!</v>
      </c>
    </row>
    <row r="242" spans="40:80" x14ac:dyDescent="0.2">
      <c r="AN242" s="2">
        <v>239</v>
      </c>
      <c r="AO242" s="2">
        <f>求节点(节奏总纲!D$4:D$163,AH$4:AH$163,$AN242)*其他调用!H243*其他调用!$M243</f>
        <v>238526493.33850789</v>
      </c>
      <c r="AP242" s="2">
        <f>求节点(节奏总纲!E$4:E$163,AI$4:AI$163,$AN242)*其他调用!I243*其他调用!$M243</f>
        <v>273705455.30069441</v>
      </c>
      <c r="AQ242" s="2">
        <f>求节点(节奏总纲!F$4:F$163,AJ$4:AJ$163,$AN242)*其他调用!J243*其他调用!$M243</f>
        <v>26750166.693027049</v>
      </c>
      <c r="AR242" s="2">
        <f>求节点(节奏总纲!G$4:G$163,AK$4:AK$163,$AN242)*其他调用!K243*其他调用!$M243</f>
        <v>6250481.7988420781</v>
      </c>
      <c r="AS242" s="2">
        <f>求节点(节奏总纲!H$4:H$163,AL$4:AL$163,$AN242)*其他调用!L243*其他调用!$M243</f>
        <v>2154683.2260119994</v>
      </c>
      <c r="AT242" s="2">
        <f t="shared" si="19"/>
        <v>547387280.35708344</v>
      </c>
      <c r="BF242" s="2">
        <v>239</v>
      </c>
      <c r="BG242" s="2">
        <f>求节点(节奏总纲!D$4:D$163,AZ$4:AZ$163,$AN242)</f>
        <v>8233.0592427531828</v>
      </c>
      <c r="BH242" s="2">
        <f>求节点(节奏总纲!E$4:E$163,BA$4:BA$163,$AN242)</f>
        <v>25389.526487694864</v>
      </c>
      <c r="BI242" s="2">
        <f>求节点(节奏总纲!F$4:F$163,BB$4:BB$163,$AN242)</f>
        <v>78907.767896513338</v>
      </c>
      <c r="BJ242" s="2">
        <f>求节点(节奏总纲!G$4:G$163,BC$4:BC$163,$AN242)</f>
        <v>37918.609044547353</v>
      </c>
      <c r="BK242" s="2">
        <f>求节点(节奏总纲!H$4:H$163,BD$4:BD$163,$AN242)</f>
        <v>11226.137096217013</v>
      </c>
      <c r="BL242" s="2">
        <f>BG242*其他调用!H243*其他调用!$M243</f>
        <v>394878.51764177642</v>
      </c>
      <c r="BM242" s="2">
        <f>BH242*其他调用!I243*其他调用!$M243</f>
        <v>1200709.1406413263</v>
      </c>
      <c r="BN242" s="2">
        <f>BI242*其他调用!J243*其他调用!$M243</f>
        <v>304617.12645407941</v>
      </c>
      <c r="BO242" s="2">
        <f>BJ242*其他调用!K243*其他调用!$M243</f>
        <v>26042.349017358953</v>
      </c>
      <c r="BP242" s="2">
        <f>BK242*其他调用!L243*其他调用!$M243</f>
        <v>2230.8579637602447</v>
      </c>
      <c r="BQ242" s="2">
        <f t="shared" si="20"/>
        <v>1928477.9917183013</v>
      </c>
      <c r="BR242" s="2">
        <f>[1]服务器生态!$R241</f>
        <v>1.6289841650165445E-2</v>
      </c>
      <c r="BS242" s="2" t="e">
        <f>SUMPRODUCT((BG$4:BG242)*($BR$4:$BR242)*(其他调用!#REF!))</f>
        <v>#REF!</v>
      </c>
      <c r="BT242" s="2" t="e">
        <f>SUMPRODUCT((BH$4:BH242)*($BR$4:$BR242)*(其他调用!#REF!))</f>
        <v>#REF!</v>
      </c>
      <c r="BU242" s="2" t="e">
        <f>SUMPRODUCT((BI$4:BI242)*($BR$4:$BR242)*(其他调用!#REF!))</f>
        <v>#REF!</v>
      </c>
      <c r="BV242" s="2" t="e">
        <f>SUMPRODUCT((BJ$4:BJ242)*($BR$4:$BR242)*(其他调用!#REF!))</f>
        <v>#REF!</v>
      </c>
      <c r="BW242" s="2" t="e">
        <f>SUMPRODUCT((BK$4:BK242)*($BR$4:$BR242)*(其他调用!#REF!))</f>
        <v>#REF!</v>
      </c>
      <c r="BX242" s="2" t="e">
        <f>SUMPRODUCT((BG$4:BG242)*($BR$4:$BR242))*'[1]功能-战损相关'!$D$2-BS242</f>
        <v>#REF!</v>
      </c>
      <c r="BY242" s="2" t="e">
        <f>SUMPRODUCT((BH$4:BH242)*($BR$4:$BR242))*'[1]功能-战损相关'!$D$2-BT242</f>
        <v>#REF!</v>
      </c>
      <c r="BZ242" s="2" t="e">
        <f>SUMPRODUCT((BI$4:BI242)*($BR$4:$BR242))*'[1]功能-战损相关'!$D$2-BU242</f>
        <v>#REF!</v>
      </c>
      <c r="CA242" s="2" t="e">
        <f>SUMPRODUCT((BJ$4:BJ242)*($BR$4:$BR242))*'[1]功能-战损相关'!$D$2-BV242</f>
        <v>#REF!</v>
      </c>
      <c r="CB242" s="2" t="e">
        <f>SUMPRODUCT((BK$4:BK242)*($BR$4:$BR242))*'[1]功能-战损相关'!$D$2-BW242</f>
        <v>#REF!</v>
      </c>
    </row>
    <row r="243" spans="40:80" x14ac:dyDescent="0.2">
      <c r="AN243" s="2">
        <v>240</v>
      </c>
      <c r="AO243" s="2">
        <f>求节点(节奏总纲!D$4:D$163,AH$4:AH$163,$AN243)*其他调用!H244*其他调用!$M244</f>
        <v>238986729.6513823</v>
      </c>
      <c r="AP243" s="2">
        <f>求节点(节奏总纲!E$4:E$163,AI$4:AI$163,$AN243)*其他调用!I244*其他调用!$M244</f>
        <v>274257806.01543397</v>
      </c>
      <c r="AQ243" s="2">
        <f>求节点(节奏总纲!F$4:F$163,AJ$4:AJ$163,$AN243)*其他调用!J244*其他调用!$M244</f>
        <v>26803522.405806642</v>
      </c>
      <c r="AR243" s="2">
        <f>求节点(节奏总纲!G$4:G$163,AK$4:AK$163,$AN243)*其他调用!K244*其他调用!$M244</f>
        <v>6256188.7209962374</v>
      </c>
      <c r="AS243" s="2">
        <f>求节点(节奏总纲!H$4:H$163,AL$4:AL$163,$AN243)*其他调用!L244*其他调用!$M244</f>
        <v>2156289.145147345</v>
      </c>
      <c r="AT243" s="2">
        <f t="shared" si="19"/>
        <v>548460535.93876648</v>
      </c>
      <c r="BF243" s="2">
        <v>240</v>
      </c>
      <c r="BG243" s="2">
        <f>求节点(节奏总纲!D$4:D$163,AZ$4:AZ$163,$AN243)</f>
        <v>8237.6915322594832</v>
      </c>
      <c r="BH243" s="2">
        <f>求节点(节奏总纲!E$4:E$163,BA$4:BA$163,$AN243)</f>
        <v>25403.856862245782</v>
      </c>
      <c r="BI243" s="2">
        <f>求节点(节奏总纲!F$4:F$163,BB$4:BB$163,$AN243)</f>
        <v>78950.677178954502</v>
      </c>
      <c r="BJ243" s="2">
        <f>求节点(节奏总纲!G$4:G$163,BC$4:BC$163,$AN243)</f>
        <v>37938.21681154109</v>
      </c>
      <c r="BK243" s="2">
        <f>求节点(节奏总纲!H$4:H$163,BD$4:BD$163,$AN243)</f>
        <v>11231.139003971433</v>
      </c>
      <c r="BL243" s="2">
        <f>BG243*其他调用!H244*其他调用!$M244</f>
        <v>395100.69405999494</v>
      </c>
      <c r="BM243" s="2">
        <f>BH243*其他调用!I244*其他调用!$M244</f>
        <v>1201386.8457462417</v>
      </c>
      <c r="BN243" s="2">
        <f>BI243*其他调用!J244*其他调用!$M244</f>
        <v>304782.77430680511</v>
      </c>
      <c r="BO243" s="2">
        <f>BJ243*其他调用!K244*其他调用!$M244</f>
        <v>26055.81555329918</v>
      </c>
      <c r="BP243" s="2">
        <f>BK243*其他调用!L244*其他调用!$M244</f>
        <v>2231.851942869203</v>
      </c>
      <c r="BQ243" s="2">
        <f t="shared" si="20"/>
        <v>1929557.9816092101</v>
      </c>
      <c r="BR243" s="2">
        <f>[1]服务器生态!$R242</f>
        <v>1.6289841650165445E-2</v>
      </c>
      <c r="BS243" s="2" t="e">
        <f>SUMPRODUCT((BG$4:BG243)*($BR$4:$BR243)*(其他调用!#REF!))</f>
        <v>#REF!</v>
      </c>
      <c r="BT243" s="2" t="e">
        <f>SUMPRODUCT((BH$4:BH243)*($BR$4:$BR243)*(其他调用!#REF!))</f>
        <v>#REF!</v>
      </c>
      <c r="BU243" s="2" t="e">
        <f>SUMPRODUCT((BI$4:BI243)*($BR$4:$BR243)*(其他调用!#REF!))</f>
        <v>#REF!</v>
      </c>
      <c r="BV243" s="2" t="e">
        <f>SUMPRODUCT((BJ$4:BJ243)*($BR$4:$BR243)*(其他调用!#REF!))</f>
        <v>#REF!</v>
      </c>
      <c r="BW243" s="2" t="e">
        <f>SUMPRODUCT((BK$4:BK243)*($BR$4:$BR243)*(其他调用!#REF!))</f>
        <v>#REF!</v>
      </c>
      <c r="BX243" s="2" t="e">
        <f>SUMPRODUCT((BG$4:BG243)*($BR$4:$BR243))*'[1]功能-战损相关'!$D$2-BS243</f>
        <v>#REF!</v>
      </c>
      <c r="BY243" s="2" t="e">
        <f>SUMPRODUCT((BH$4:BH243)*($BR$4:$BR243))*'[1]功能-战损相关'!$D$2-BT243</f>
        <v>#REF!</v>
      </c>
      <c r="BZ243" s="2" t="e">
        <f>SUMPRODUCT((BI$4:BI243)*($BR$4:$BR243))*'[1]功能-战损相关'!$D$2-BU243</f>
        <v>#REF!</v>
      </c>
      <c r="CA243" s="2" t="e">
        <f>SUMPRODUCT((BJ$4:BJ243)*($BR$4:$BR243))*'[1]功能-战损相关'!$D$2-BV243</f>
        <v>#REF!</v>
      </c>
      <c r="CB243" s="2" t="e">
        <f>SUMPRODUCT((BK$4:BK243)*($BR$4:$BR243))*'[1]功能-战损相关'!$D$2-BW243</f>
        <v>#REF!</v>
      </c>
    </row>
    <row r="244" spans="40:80" x14ac:dyDescent="0.2">
      <c r="AN244" s="2">
        <v>241</v>
      </c>
      <c r="AO244" s="2">
        <f>求节点(节奏总纲!D$4:D$163,AH$4:AH$163,$AN244)*其他调用!H245*其他调用!$M245</f>
        <v>239446965.96425658</v>
      </c>
      <c r="AP244" s="2">
        <f>求节点(节奏总纲!E$4:E$163,AI$4:AI$163,$AN244)*其他调用!I245*其他调用!$M245</f>
        <v>274810156.73017341</v>
      </c>
      <c r="AQ244" s="2">
        <f>求节点(节奏总纲!F$4:F$163,AJ$4:AJ$163,$AN244)*其他调用!J245*其他调用!$M245</f>
        <v>26856878.118586231</v>
      </c>
      <c r="AR244" s="2">
        <f>求节点(节奏总纲!G$4:G$163,AK$4:AK$163,$AN244)*其他调用!K245*其他调用!$M245</f>
        <v>6263097.7998603955</v>
      </c>
      <c r="AS244" s="2">
        <f>求节点(节奏总纲!H$4:H$163,AL$4:AL$163,$AN244)*其他调用!L245*其他调用!$M245</f>
        <v>2157908.9165335302</v>
      </c>
      <c r="AT244" s="2">
        <f t="shared" si="19"/>
        <v>549535007.52941012</v>
      </c>
      <c r="BF244" s="2">
        <v>241</v>
      </c>
      <c r="BG244" s="2">
        <f>求节点(节奏总纲!D$4:D$163,AZ$4:AZ$163,$AN244)</f>
        <v>8242.3238217657854</v>
      </c>
      <c r="BH244" s="2">
        <f>求节点(节奏总纲!E$4:E$163,BA$4:BA$163,$AN244)</f>
        <v>25418.187236796701</v>
      </c>
      <c r="BI244" s="2">
        <f>求节点(节奏总纲!F$4:F$163,BB$4:BB$163,$AN244)</f>
        <v>78993.58646139568</v>
      </c>
      <c r="BJ244" s="2">
        <f>求节点(节奏总纲!G$4:G$163,BC$4:BC$163,$AN244)</f>
        <v>37956.854891956609</v>
      </c>
      <c r="BK244" s="2">
        <f>求节点(节奏总纲!H$4:H$163,BD$4:BD$163,$AN244)</f>
        <v>11236.06438389446</v>
      </c>
      <c r="BL244" s="2">
        <f>BG244*其他调用!H245*其他调用!$M245</f>
        <v>395322.87047821353</v>
      </c>
      <c r="BM244" s="2">
        <f>BH244*其他调用!I245*其他调用!$M245</f>
        <v>1202064.5508511576</v>
      </c>
      <c r="BN244" s="2">
        <f>BI244*其他调用!J245*其他调用!$M245</f>
        <v>304948.4221595308</v>
      </c>
      <c r="BO244" s="2">
        <f>BJ244*其他调用!K245*其他调用!$M245</f>
        <v>26068.616112376236</v>
      </c>
      <c r="BP244" s="2">
        <f>BK244*其他调用!L245*其他调用!$M245</f>
        <v>2232.830714367507</v>
      </c>
      <c r="BQ244" s="2">
        <f t="shared" si="20"/>
        <v>1930637.2903156457</v>
      </c>
      <c r="BR244" s="2">
        <f>[1]服务器生态!$R243</f>
        <v>1.6289841650165445E-2</v>
      </c>
      <c r="BS244" s="2" t="e">
        <f>SUMPRODUCT((BG$4:BG244)*($BR$4:$BR244)*(其他调用!#REF!))</f>
        <v>#REF!</v>
      </c>
      <c r="BT244" s="2" t="e">
        <f>SUMPRODUCT((BH$4:BH244)*($BR$4:$BR244)*(其他调用!#REF!))</f>
        <v>#REF!</v>
      </c>
      <c r="BU244" s="2" t="e">
        <f>SUMPRODUCT((BI$4:BI244)*($BR$4:$BR244)*(其他调用!#REF!))</f>
        <v>#REF!</v>
      </c>
      <c r="BV244" s="2" t="e">
        <f>SUMPRODUCT((BJ$4:BJ244)*($BR$4:$BR244)*(其他调用!#REF!))</f>
        <v>#REF!</v>
      </c>
      <c r="BW244" s="2" t="e">
        <f>SUMPRODUCT((BK$4:BK244)*($BR$4:$BR244)*(其他调用!#REF!))</f>
        <v>#REF!</v>
      </c>
      <c r="BX244" s="2" t="e">
        <f>SUMPRODUCT((BG$4:BG244)*($BR$4:$BR244))*'[1]功能-战损相关'!$D$2-BS244</f>
        <v>#REF!</v>
      </c>
      <c r="BY244" s="2" t="e">
        <f>SUMPRODUCT((BH$4:BH244)*($BR$4:$BR244))*'[1]功能-战损相关'!$D$2-BT244</f>
        <v>#REF!</v>
      </c>
      <c r="BZ244" s="2" t="e">
        <f>SUMPRODUCT((BI$4:BI244)*($BR$4:$BR244))*'[1]功能-战损相关'!$D$2-BU244</f>
        <v>#REF!</v>
      </c>
      <c r="CA244" s="2" t="e">
        <f>SUMPRODUCT((BJ$4:BJ244)*($BR$4:$BR244))*'[1]功能-战损相关'!$D$2-BV244</f>
        <v>#REF!</v>
      </c>
      <c r="CB244" s="2" t="e">
        <f>SUMPRODUCT((BK$4:BK244)*($BR$4:$BR244))*'[1]功能-战损相关'!$D$2-BW244</f>
        <v>#REF!</v>
      </c>
    </row>
    <row r="245" spans="40:80" x14ac:dyDescent="0.2">
      <c r="AN245" s="2">
        <v>242</v>
      </c>
      <c r="AO245" s="2">
        <f>求节点(节奏总纲!D$4:D$163,AH$4:AH$163,$AN245)*其他调用!H246*其他调用!$M246</f>
        <v>239907202.27713096</v>
      </c>
      <c r="AP245" s="2">
        <f>求节点(节奏总纲!E$4:E$163,AI$4:AI$163,$AN245)*其他调用!I246*其他调用!$M246</f>
        <v>275362507.44491297</v>
      </c>
      <c r="AQ245" s="2">
        <f>求节点(节奏总纲!F$4:F$163,AJ$4:AJ$163,$AN245)*其他调用!J246*其他调用!$M246</f>
        <v>26910233.831365824</v>
      </c>
      <c r="AR245" s="2">
        <f>求节点(节奏总纲!G$4:G$163,AK$4:AK$163,$AN245)*其他调用!K246*其他调用!$M246</f>
        <v>6270549.4275036296</v>
      </c>
      <c r="AS245" s="2">
        <f>求节点(节奏总纲!H$4:H$163,AL$4:AL$163,$AN245)*其他调用!L246*其他调用!$M246</f>
        <v>2159576.6753154467</v>
      </c>
      <c r="AT245" s="2">
        <f t="shared" si="19"/>
        <v>550610069.6562289</v>
      </c>
      <c r="BF245" s="2">
        <v>242</v>
      </c>
      <c r="BG245" s="2">
        <f>求节点(节奏总纲!D$4:D$163,AZ$4:AZ$163,$AN245)</f>
        <v>8246.9561112720858</v>
      </c>
      <c r="BH245" s="2">
        <f>求节点(节奏总纲!E$4:E$163,BA$4:BA$163,$AN245)</f>
        <v>25432.517611347619</v>
      </c>
      <c r="BI245" s="2">
        <f>求节点(节奏总纲!F$4:F$163,BB$4:BB$163,$AN245)</f>
        <v>79036.495743836844</v>
      </c>
      <c r="BJ245" s="2">
        <f>求节点(节奏总纲!G$4:G$163,BC$4:BC$163,$AN245)</f>
        <v>37975.055340352337</v>
      </c>
      <c r="BK245" s="2">
        <f>求节点(节奏总纲!H$4:H$163,BD$4:BD$163,$AN245)</f>
        <v>11240.724653737387</v>
      </c>
      <c r="BL245" s="2">
        <f>BG245*其他调用!H246*其他调用!$M246</f>
        <v>395545.046896432</v>
      </c>
      <c r="BM245" s="2">
        <f>BH245*其他调用!I246*其他调用!$M246</f>
        <v>1202742.2559560731</v>
      </c>
      <c r="BN245" s="2">
        <f>BI245*其他调用!J246*其他调用!$M246</f>
        <v>305114.0700122565</v>
      </c>
      <c r="BO245" s="2">
        <f>BJ245*其他调用!K246*其他调用!$M246</f>
        <v>26081.116107532631</v>
      </c>
      <c r="BP245" s="2">
        <f>BK245*其他调用!L246*其他调用!$M246</f>
        <v>2233.7568031906935</v>
      </c>
      <c r="BQ245" s="2">
        <f t="shared" si="20"/>
        <v>1931716.2457754849</v>
      </c>
      <c r="BR245" s="2">
        <f>[1]服务器生态!$R244</f>
        <v>1.6289841650165445E-2</v>
      </c>
      <c r="BS245" s="2" t="e">
        <f>SUMPRODUCT((BG$4:BG245)*($BR$4:$BR245)*(其他调用!#REF!))</f>
        <v>#REF!</v>
      </c>
      <c r="BT245" s="2" t="e">
        <f>SUMPRODUCT((BH$4:BH245)*($BR$4:$BR245)*(其他调用!#REF!))</f>
        <v>#REF!</v>
      </c>
      <c r="BU245" s="2" t="e">
        <f>SUMPRODUCT((BI$4:BI245)*($BR$4:$BR245)*(其他调用!#REF!))</f>
        <v>#REF!</v>
      </c>
      <c r="BV245" s="2" t="e">
        <f>SUMPRODUCT((BJ$4:BJ245)*($BR$4:$BR245)*(其他调用!#REF!))</f>
        <v>#REF!</v>
      </c>
      <c r="BW245" s="2" t="e">
        <f>SUMPRODUCT((BK$4:BK245)*($BR$4:$BR245)*(其他调用!#REF!))</f>
        <v>#REF!</v>
      </c>
      <c r="BX245" s="2" t="e">
        <f>SUMPRODUCT((BG$4:BG245)*($BR$4:$BR245))*'[1]功能-战损相关'!$D$2-BS245</f>
        <v>#REF!</v>
      </c>
      <c r="BY245" s="2" t="e">
        <f>SUMPRODUCT((BH$4:BH245)*($BR$4:$BR245))*'[1]功能-战损相关'!$D$2-BT245</f>
        <v>#REF!</v>
      </c>
      <c r="BZ245" s="2" t="e">
        <f>SUMPRODUCT((BI$4:BI245)*($BR$4:$BR245))*'[1]功能-战损相关'!$D$2-BU245</f>
        <v>#REF!</v>
      </c>
      <c r="CA245" s="2" t="e">
        <f>SUMPRODUCT((BJ$4:BJ245)*($BR$4:$BR245))*'[1]功能-战损相关'!$D$2-BV245</f>
        <v>#REF!</v>
      </c>
      <c r="CB245" s="2" t="e">
        <f>SUMPRODUCT((BK$4:BK245)*($BR$4:$BR245))*'[1]功能-战损相关'!$D$2-BW245</f>
        <v>#REF!</v>
      </c>
    </row>
    <row r="246" spans="40:80" x14ac:dyDescent="0.2">
      <c r="AN246" s="2">
        <v>243</v>
      </c>
      <c r="AO246" s="2">
        <f>求节点(节奏总纲!D$4:D$163,AH$4:AH$163,$AN246)*其他调用!H247*其他调用!$M247</f>
        <v>240367438.59000531</v>
      </c>
      <c r="AP246" s="2">
        <f>求节点(节奏总纲!E$4:E$163,AI$4:AI$163,$AN246)*其他调用!I247*其他调用!$M247</f>
        <v>275914858.15965247</v>
      </c>
      <c r="AQ246" s="2">
        <f>求节点(节奏总纲!F$4:F$163,AJ$4:AJ$163,$AN246)*其他调用!J247*其他调用!$M247</f>
        <v>26963589.54414542</v>
      </c>
      <c r="AR246" s="2">
        <f>求节点(节奏总纲!G$4:G$163,AK$4:AK$163,$AN246)*其他调用!K247*其他调用!$M247</f>
        <v>6278001.0551468618</v>
      </c>
      <c r="AS246" s="2">
        <f>求节点(节奏总纲!H$4:H$163,AL$4:AL$163,$AN246)*其他调用!L247*其他调用!$M247</f>
        <v>2161244.4340973631</v>
      </c>
      <c r="AT246" s="2">
        <f t="shared" si="19"/>
        <v>551685131.78304744</v>
      </c>
      <c r="BF246" s="2">
        <v>243</v>
      </c>
      <c r="BG246" s="2">
        <f>求节点(节奏总纲!D$4:D$163,AZ$4:AZ$163,$AN246)</f>
        <v>8251.5884007783861</v>
      </c>
      <c r="BH246" s="2">
        <f>求节点(节奏总纲!E$4:E$163,BA$4:BA$163,$AN246)</f>
        <v>25446.847985898537</v>
      </c>
      <c r="BI246" s="2">
        <f>求节点(节奏总纲!F$4:F$163,BB$4:BB$163,$AN246)</f>
        <v>79079.405026278007</v>
      </c>
      <c r="BJ246" s="2">
        <f>求节点(节奏总纲!G$4:G$163,BC$4:BC$163,$AN246)</f>
        <v>37993.255788748065</v>
      </c>
      <c r="BK246" s="2">
        <f>求节点(节奏总纲!H$4:H$163,BD$4:BD$163,$AN246)</f>
        <v>11245.384923580314</v>
      </c>
      <c r="BL246" s="2">
        <f>BG246*其他调用!H247*其他调用!$M247</f>
        <v>395767.22331465041</v>
      </c>
      <c r="BM246" s="2">
        <f>BH246*其他调用!I247*其他调用!$M247</f>
        <v>1203419.9610609889</v>
      </c>
      <c r="BN246" s="2">
        <f>BI246*其他调用!J247*其他调用!$M247</f>
        <v>305279.7178649822</v>
      </c>
      <c r="BO246" s="2">
        <f>BJ246*其他调用!K247*其他调用!$M247</f>
        <v>26093.616102689026</v>
      </c>
      <c r="BP246" s="2">
        <f>BK246*其他调用!L247*其他调用!$M247</f>
        <v>2234.6828920138796</v>
      </c>
      <c r="BQ246" s="2">
        <f t="shared" si="20"/>
        <v>1932795.2012353241</v>
      </c>
      <c r="BR246" s="2">
        <f>[1]服务器生态!$R245</f>
        <v>1.6289841650165445E-2</v>
      </c>
      <c r="BS246" s="2" t="e">
        <f>SUMPRODUCT((BG$4:BG246)*($BR$4:$BR246)*(其他调用!#REF!))</f>
        <v>#REF!</v>
      </c>
      <c r="BT246" s="2" t="e">
        <f>SUMPRODUCT((BH$4:BH246)*($BR$4:$BR246)*(其他调用!#REF!))</f>
        <v>#REF!</v>
      </c>
      <c r="BU246" s="2" t="e">
        <f>SUMPRODUCT((BI$4:BI246)*($BR$4:$BR246)*(其他调用!#REF!))</f>
        <v>#REF!</v>
      </c>
      <c r="BV246" s="2" t="e">
        <f>SUMPRODUCT((BJ$4:BJ246)*($BR$4:$BR246)*(其他调用!#REF!))</f>
        <v>#REF!</v>
      </c>
      <c r="BW246" s="2" t="e">
        <f>SUMPRODUCT((BK$4:BK246)*($BR$4:$BR246)*(其他调用!#REF!))</f>
        <v>#REF!</v>
      </c>
      <c r="BX246" s="2" t="e">
        <f>SUMPRODUCT((BG$4:BG246)*($BR$4:$BR246))*'[1]功能-战损相关'!$D$2-BS246</f>
        <v>#REF!</v>
      </c>
      <c r="BY246" s="2" t="e">
        <f>SUMPRODUCT((BH$4:BH246)*($BR$4:$BR246))*'[1]功能-战损相关'!$D$2-BT246</f>
        <v>#REF!</v>
      </c>
      <c r="BZ246" s="2" t="e">
        <f>SUMPRODUCT((BI$4:BI246)*($BR$4:$BR246))*'[1]功能-战损相关'!$D$2-BU246</f>
        <v>#REF!</v>
      </c>
      <c r="CA246" s="2" t="e">
        <f>SUMPRODUCT((BJ$4:BJ246)*($BR$4:$BR246))*'[1]功能-战损相关'!$D$2-BV246</f>
        <v>#REF!</v>
      </c>
      <c r="CB246" s="2" t="e">
        <f>SUMPRODUCT((BK$4:BK246)*($BR$4:$BR246))*'[1]功能-战损相关'!$D$2-BW246</f>
        <v>#REF!</v>
      </c>
    </row>
    <row r="247" spans="40:80" x14ac:dyDescent="0.2">
      <c r="AN247" s="2">
        <v>244</v>
      </c>
      <c r="AO247" s="2">
        <f>求节点(节奏总纲!D$4:D$163,AH$4:AH$163,$AN247)*其他调用!H248*其他调用!$M248</f>
        <v>240827674.90287963</v>
      </c>
      <c r="AP247" s="2">
        <f>求节点(节奏总纲!E$4:E$163,AI$4:AI$163,$AN247)*其他调用!I248*其他调用!$M248</f>
        <v>276467208.87439203</v>
      </c>
      <c r="AQ247" s="2">
        <f>求节点(节奏总纲!F$4:F$163,AJ$4:AJ$163,$AN247)*其他调用!J248*其他调用!$M248</f>
        <v>27016945.256925013</v>
      </c>
      <c r="AR247" s="2">
        <f>求节点(节奏总纲!G$4:G$163,AK$4:AK$163,$AN247)*其他调用!K248*其他调用!$M248</f>
        <v>6285452.6827900968</v>
      </c>
      <c r="AS247" s="2">
        <f>求节点(节奏总纲!H$4:H$163,AL$4:AL$163,$AN247)*其他调用!L248*其他调用!$M248</f>
        <v>2162912.1928792796</v>
      </c>
      <c r="AT247" s="2">
        <f t="shared" si="19"/>
        <v>552760193.90986598</v>
      </c>
      <c r="BF247" s="2">
        <v>244</v>
      </c>
      <c r="BG247" s="2">
        <f>求节点(节奏总纲!D$4:D$163,AZ$4:AZ$163,$AN247)</f>
        <v>8256.2206902846883</v>
      </c>
      <c r="BH247" s="2">
        <f>求节点(节奏总纲!E$4:E$163,BA$4:BA$163,$AN247)</f>
        <v>25461.178360449456</v>
      </c>
      <c r="BI247" s="2">
        <f>求节点(节奏总纲!F$4:F$163,BB$4:BB$163,$AN247)</f>
        <v>79122.314308719171</v>
      </c>
      <c r="BJ247" s="2">
        <f>求节点(节奏总纲!G$4:G$163,BC$4:BC$163,$AN247)</f>
        <v>38011.456237143793</v>
      </c>
      <c r="BK247" s="2">
        <f>求节点(节奏总纲!H$4:H$163,BD$4:BD$163,$AN247)</f>
        <v>11250.045193423242</v>
      </c>
      <c r="BL247" s="2">
        <f>BG247*其他调用!H248*其他调用!$M248</f>
        <v>395989.399732869</v>
      </c>
      <c r="BM247" s="2">
        <f>BH247*其他调用!I248*其他调用!$M248</f>
        <v>1204097.6661659044</v>
      </c>
      <c r="BN247" s="2">
        <f>BI247*其他调用!J248*其他调用!$M248</f>
        <v>305445.36571770784</v>
      </c>
      <c r="BO247" s="2">
        <f>BJ247*其他调用!K248*其他调用!$M248</f>
        <v>26106.116097845414</v>
      </c>
      <c r="BP247" s="2">
        <f>BK247*其他调用!L248*其他调用!$M248</f>
        <v>2235.6089808370666</v>
      </c>
      <c r="BQ247" s="2">
        <f t="shared" si="20"/>
        <v>1933874.1566951636</v>
      </c>
      <c r="BR247" s="2">
        <f>[1]服务器生态!$R246</f>
        <v>1.6289841650165445E-2</v>
      </c>
      <c r="BS247" s="2" t="e">
        <f>SUMPRODUCT((BG$4:BG247)*($BR$4:$BR247)*(其他调用!#REF!))</f>
        <v>#REF!</v>
      </c>
      <c r="BT247" s="2" t="e">
        <f>SUMPRODUCT((BH$4:BH247)*($BR$4:$BR247)*(其他调用!#REF!))</f>
        <v>#REF!</v>
      </c>
      <c r="BU247" s="2" t="e">
        <f>SUMPRODUCT((BI$4:BI247)*($BR$4:$BR247)*(其他调用!#REF!))</f>
        <v>#REF!</v>
      </c>
      <c r="BV247" s="2" t="e">
        <f>SUMPRODUCT((BJ$4:BJ247)*($BR$4:$BR247)*(其他调用!#REF!))</f>
        <v>#REF!</v>
      </c>
      <c r="BW247" s="2" t="e">
        <f>SUMPRODUCT((BK$4:BK247)*($BR$4:$BR247)*(其他调用!#REF!))</f>
        <v>#REF!</v>
      </c>
      <c r="BX247" s="2" t="e">
        <f>SUMPRODUCT((BG$4:BG247)*($BR$4:$BR247))*'[1]功能-战损相关'!$D$2-BS247</f>
        <v>#REF!</v>
      </c>
      <c r="BY247" s="2" t="e">
        <f>SUMPRODUCT((BH$4:BH247)*($BR$4:$BR247))*'[1]功能-战损相关'!$D$2-BT247</f>
        <v>#REF!</v>
      </c>
      <c r="BZ247" s="2" t="e">
        <f>SUMPRODUCT((BI$4:BI247)*($BR$4:$BR247))*'[1]功能-战损相关'!$D$2-BU247</f>
        <v>#REF!</v>
      </c>
      <c r="CA247" s="2" t="e">
        <f>SUMPRODUCT((BJ$4:BJ247)*($BR$4:$BR247))*'[1]功能-战损相关'!$D$2-BV247</f>
        <v>#REF!</v>
      </c>
      <c r="CB247" s="2" t="e">
        <f>SUMPRODUCT((BK$4:BK247)*($BR$4:$BR247))*'[1]功能-战损相关'!$D$2-BW247</f>
        <v>#REF!</v>
      </c>
    </row>
    <row r="248" spans="40:80" x14ac:dyDescent="0.2">
      <c r="AN248" s="2">
        <v>245</v>
      </c>
      <c r="AO248" s="2">
        <f>求节点(节奏总纲!D$4:D$163,AH$4:AH$163,$AN248)*其他调用!H249*其他调用!$M249</f>
        <v>241287911.215754</v>
      </c>
      <c r="AP248" s="2">
        <f>求节点(节奏总纲!E$4:E$163,AI$4:AI$163,$AN248)*其他调用!I249*其他调用!$M249</f>
        <v>277019559.58913153</v>
      </c>
      <c r="AQ248" s="2">
        <f>求节点(节奏总纲!F$4:F$163,AJ$4:AJ$163,$AN248)*其他调用!J249*其他调用!$M249</f>
        <v>27070300.969704606</v>
      </c>
      <c r="AR248" s="2">
        <f>求节点(节奏总纲!G$4:G$163,AK$4:AK$163,$AN248)*其他调用!K249*其他调用!$M249</f>
        <v>6292904.3104333309</v>
      </c>
      <c r="AS248" s="2">
        <f>求节点(节奏总纲!H$4:H$163,AL$4:AL$163,$AN248)*其他调用!L249*其他调用!$M249</f>
        <v>2164579.9516611965</v>
      </c>
      <c r="AT248" s="2">
        <f t="shared" si="19"/>
        <v>553835256.03668475</v>
      </c>
      <c r="BF248" s="2">
        <v>245</v>
      </c>
      <c r="BG248" s="2">
        <f>求节点(节奏总纲!D$4:D$163,AZ$4:AZ$163,$AN248)</f>
        <v>8260.8529797909887</v>
      </c>
      <c r="BH248" s="2">
        <f>求节点(节奏总纲!E$4:E$163,BA$4:BA$163,$AN248)</f>
        <v>25475.508735000374</v>
      </c>
      <c r="BI248" s="2">
        <f>求节点(节奏总纲!F$4:F$163,BB$4:BB$163,$AN248)</f>
        <v>79165.223591160335</v>
      </c>
      <c r="BJ248" s="2">
        <f>求节点(节奏总纲!G$4:G$163,BC$4:BC$163,$AN248)</f>
        <v>38029.656685539514</v>
      </c>
      <c r="BK248" s="2">
        <f>求节点(节奏总纲!H$4:H$163,BD$4:BD$163,$AN248)</f>
        <v>11254.705463266169</v>
      </c>
      <c r="BL248" s="2">
        <f>BG248*其他调用!H249*其他调用!$M249</f>
        <v>396211.57615108753</v>
      </c>
      <c r="BM248" s="2">
        <f>BH248*其他调用!I249*其他调用!$M249</f>
        <v>1204775.37127082</v>
      </c>
      <c r="BN248" s="2">
        <f>BI248*其他调用!J249*其他调用!$M249</f>
        <v>305611.01357043354</v>
      </c>
      <c r="BO248" s="2">
        <f>BJ248*其他调用!K249*其他调用!$M249</f>
        <v>26118.616093001805</v>
      </c>
      <c r="BP248" s="2">
        <f>BK248*其他调用!L249*其他调用!$M249</f>
        <v>2236.5350696602532</v>
      </c>
      <c r="BQ248" s="2">
        <f t="shared" si="20"/>
        <v>1934953.112155003</v>
      </c>
      <c r="BR248" s="2">
        <f>[1]服务器生态!$R247</f>
        <v>1.6289841650165445E-2</v>
      </c>
      <c r="BS248" s="2" t="e">
        <f>SUMPRODUCT((BG$4:BG248)*($BR$4:$BR248)*(其他调用!#REF!))</f>
        <v>#REF!</v>
      </c>
      <c r="BT248" s="2" t="e">
        <f>SUMPRODUCT((BH$4:BH248)*($BR$4:$BR248)*(其他调用!#REF!))</f>
        <v>#REF!</v>
      </c>
      <c r="BU248" s="2" t="e">
        <f>SUMPRODUCT((BI$4:BI248)*($BR$4:$BR248)*(其他调用!#REF!))</f>
        <v>#REF!</v>
      </c>
      <c r="BV248" s="2" t="e">
        <f>SUMPRODUCT((BJ$4:BJ248)*($BR$4:$BR248)*(其他调用!#REF!))</f>
        <v>#REF!</v>
      </c>
      <c r="BW248" s="2" t="e">
        <f>SUMPRODUCT((BK$4:BK248)*($BR$4:$BR248)*(其他调用!#REF!))</f>
        <v>#REF!</v>
      </c>
      <c r="BX248" s="2" t="e">
        <f>SUMPRODUCT((BG$4:BG248)*($BR$4:$BR248))*'[1]功能-战损相关'!$D$2-BS248</f>
        <v>#REF!</v>
      </c>
      <c r="BY248" s="2" t="e">
        <f>SUMPRODUCT((BH$4:BH248)*($BR$4:$BR248))*'[1]功能-战损相关'!$D$2-BT248</f>
        <v>#REF!</v>
      </c>
      <c r="BZ248" s="2" t="e">
        <f>SUMPRODUCT((BI$4:BI248)*($BR$4:$BR248))*'[1]功能-战损相关'!$D$2-BU248</f>
        <v>#REF!</v>
      </c>
      <c r="CA248" s="2" t="e">
        <f>SUMPRODUCT((BJ$4:BJ248)*($BR$4:$BR248))*'[1]功能-战损相关'!$D$2-BV248</f>
        <v>#REF!</v>
      </c>
      <c r="CB248" s="2" t="e">
        <f>SUMPRODUCT((BK$4:BK248)*($BR$4:$BR248))*'[1]功能-战损相关'!$D$2-BW248</f>
        <v>#REF!</v>
      </c>
    </row>
    <row r="249" spans="40:80" x14ac:dyDescent="0.2">
      <c r="AN249" s="2">
        <v>246</v>
      </c>
      <c r="AO249" s="2">
        <f>求节点(节奏总纲!D$4:D$163,AH$4:AH$163,$AN249)*其他调用!H250*其他调用!$M250</f>
        <v>241748147.52862832</v>
      </c>
      <c r="AP249" s="2">
        <f>求节点(节奏总纲!E$4:E$163,AI$4:AI$163,$AN249)*其他调用!I250*其他调用!$M250</f>
        <v>277571910.3038711</v>
      </c>
      <c r="AQ249" s="2">
        <f>求节点(节奏总纲!F$4:F$163,AJ$4:AJ$163,$AN249)*其他调用!J250*其他调用!$M250</f>
        <v>27123656.682484202</v>
      </c>
      <c r="AR249" s="2">
        <f>求节点(节奏总纲!G$4:G$163,AK$4:AK$163,$AN249)*其他调用!K250*其他调用!$M250</f>
        <v>6300355.9380765641</v>
      </c>
      <c r="AS249" s="2">
        <f>求节点(节奏总纲!H$4:H$163,AL$4:AL$163,$AN249)*其他调用!L250*其他调用!$M250</f>
        <v>2166247.710443113</v>
      </c>
      <c r="AT249" s="2">
        <f t="shared" si="19"/>
        <v>554910318.16350329</v>
      </c>
      <c r="BF249" s="2">
        <v>246</v>
      </c>
      <c r="BG249" s="2">
        <f>求节点(节奏总纲!D$4:D$163,AZ$4:AZ$163,$AN249)</f>
        <v>8265.4852692972909</v>
      </c>
      <c r="BH249" s="2">
        <f>求节点(节奏总纲!E$4:E$163,BA$4:BA$163,$AN249)</f>
        <v>25489.839109551289</v>
      </c>
      <c r="BI249" s="2">
        <f>求节点(节奏总纲!F$4:F$163,BB$4:BB$163,$AN249)</f>
        <v>79208.132873601498</v>
      </c>
      <c r="BJ249" s="2">
        <f>求节点(节奏总纲!G$4:G$163,BC$4:BC$163,$AN249)</f>
        <v>38047.857133935242</v>
      </c>
      <c r="BK249" s="2">
        <f>求节点(节奏总纲!H$4:H$163,BD$4:BD$163,$AN249)</f>
        <v>11259.365733109096</v>
      </c>
      <c r="BL249" s="2">
        <f>BG249*其他调用!H250*其他调用!$M250</f>
        <v>396433.75256930606</v>
      </c>
      <c r="BM249" s="2">
        <f>BH249*其他调用!I250*其他调用!$M250</f>
        <v>1205453.0763757355</v>
      </c>
      <c r="BN249" s="2">
        <f>BI249*其他调用!J250*其他调用!$M250</f>
        <v>305776.66142315918</v>
      </c>
      <c r="BO249" s="2">
        <f>BJ249*其他调用!K250*其他调用!$M250</f>
        <v>26131.116088158193</v>
      </c>
      <c r="BP249" s="2">
        <f>BK249*其他调用!L250*其他调用!$M250</f>
        <v>2237.4611584834392</v>
      </c>
      <c r="BQ249" s="2">
        <f t="shared" si="20"/>
        <v>1936032.0676148427</v>
      </c>
      <c r="BR249" s="2">
        <f>[1]服务器生态!$R248</f>
        <v>1.6289841650165445E-2</v>
      </c>
      <c r="BS249" s="2" t="e">
        <f>SUMPRODUCT((BG$4:BG249)*($BR$4:$BR249)*(其他调用!#REF!))</f>
        <v>#REF!</v>
      </c>
      <c r="BT249" s="2" t="e">
        <f>SUMPRODUCT((BH$4:BH249)*($BR$4:$BR249)*(其他调用!#REF!))</f>
        <v>#REF!</v>
      </c>
      <c r="BU249" s="2" t="e">
        <f>SUMPRODUCT((BI$4:BI249)*($BR$4:$BR249)*(其他调用!#REF!))</f>
        <v>#REF!</v>
      </c>
      <c r="BV249" s="2" t="e">
        <f>SUMPRODUCT((BJ$4:BJ249)*($BR$4:$BR249)*(其他调用!#REF!))</f>
        <v>#REF!</v>
      </c>
      <c r="BW249" s="2" t="e">
        <f>SUMPRODUCT((BK$4:BK249)*($BR$4:$BR249)*(其他调用!#REF!))</f>
        <v>#REF!</v>
      </c>
      <c r="BX249" s="2" t="e">
        <f>SUMPRODUCT((BG$4:BG249)*($BR$4:$BR249))*'[1]功能-战损相关'!$D$2-BS249</f>
        <v>#REF!</v>
      </c>
      <c r="BY249" s="2" t="e">
        <f>SUMPRODUCT((BH$4:BH249)*($BR$4:$BR249))*'[1]功能-战损相关'!$D$2-BT249</f>
        <v>#REF!</v>
      </c>
      <c r="BZ249" s="2" t="e">
        <f>SUMPRODUCT((BI$4:BI249)*($BR$4:$BR249))*'[1]功能-战损相关'!$D$2-BU249</f>
        <v>#REF!</v>
      </c>
      <c r="CA249" s="2" t="e">
        <f>SUMPRODUCT((BJ$4:BJ249)*($BR$4:$BR249))*'[1]功能-战损相关'!$D$2-BV249</f>
        <v>#REF!</v>
      </c>
      <c r="CB249" s="2" t="e">
        <f>SUMPRODUCT((BK$4:BK249)*($BR$4:$BR249))*'[1]功能-战损相关'!$D$2-BW249</f>
        <v>#REF!</v>
      </c>
    </row>
    <row r="250" spans="40:80" x14ac:dyDescent="0.2">
      <c r="AN250" s="2">
        <v>247</v>
      </c>
      <c r="AO250" s="2">
        <f>求节点(节奏总纲!D$4:D$163,AH$4:AH$163,$AN250)*其他调用!H251*其他调用!$M251</f>
        <v>242208383.84150273</v>
      </c>
      <c r="AP250" s="2">
        <f>求节点(节奏总纲!E$4:E$163,AI$4:AI$163,$AN250)*其他调用!I251*其他调用!$M251</f>
        <v>278124261.0186106</v>
      </c>
      <c r="AQ250" s="2">
        <f>求节点(节奏总纲!F$4:F$163,AJ$4:AJ$163,$AN250)*其他调用!J251*其他调用!$M251</f>
        <v>27177012.395263791</v>
      </c>
      <c r="AR250" s="2">
        <f>求节点(节奏总纲!G$4:G$163,AK$4:AK$163,$AN250)*其他调用!K251*其他调用!$M251</f>
        <v>6307807.5657197982</v>
      </c>
      <c r="AS250" s="2">
        <f>求节点(节奏总纲!H$4:H$163,AL$4:AL$163,$AN250)*其他调用!L251*其他调用!$M251</f>
        <v>2167915.4692250295</v>
      </c>
      <c r="AT250" s="2">
        <f t="shared" si="19"/>
        <v>555985380.29032195</v>
      </c>
      <c r="BF250" s="2">
        <v>247</v>
      </c>
      <c r="BG250" s="2">
        <f>求节点(节奏总纲!D$4:D$163,AZ$4:AZ$163,$AN250)</f>
        <v>8270.1175588035912</v>
      </c>
      <c r="BH250" s="2">
        <f>求节点(节奏总纲!E$4:E$163,BA$4:BA$163,$AN250)</f>
        <v>25504.169484102207</v>
      </c>
      <c r="BI250" s="2">
        <f>求节点(节奏总纲!F$4:F$163,BB$4:BB$163,$AN250)</f>
        <v>79251.042156042662</v>
      </c>
      <c r="BJ250" s="2">
        <f>求节点(节奏总纲!G$4:G$163,BC$4:BC$163,$AN250)</f>
        <v>38066.05758233097</v>
      </c>
      <c r="BK250" s="2">
        <f>求节点(节奏总纲!H$4:H$163,BD$4:BD$163,$AN250)</f>
        <v>11264.026002952023</v>
      </c>
      <c r="BL250" s="2">
        <f>BG250*其他调用!H251*其他调用!$M251</f>
        <v>396655.92898752459</v>
      </c>
      <c r="BM250" s="2">
        <f>BH250*其他调用!I251*其他调用!$M251</f>
        <v>1206130.7814806513</v>
      </c>
      <c r="BN250" s="2">
        <f>BI250*其他调用!J251*其他调用!$M251</f>
        <v>305942.30927588494</v>
      </c>
      <c r="BO250" s="2">
        <f>BJ250*其他调用!K251*其他调用!$M251</f>
        <v>26143.616083314588</v>
      </c>
      <c r="BP250" s="2">
        <f>BK250*其他调用!L251*其他调用!$M251</f>
        <v>2238.3872473066258</v>
      </c>
      <c r="BQ250" s="2">
        <f t="shared" si="20"/>
        <v>1937111.0230746819</v>
      </c>
      <c r="BR250" s="2">
        <f>[1]服务器生态!$R249</f>
        <v>1.6289841650165445E-2</v>
      </c>
      <c r="BS250" s="2" t="e">
        <f>SUMPRODUCT((BG$4:BG250)*($BR$4:$BR250)*(其他调用!#REF!))</f>
        <v>#REF!</v>
      </c>
      <c r="BT250" s="2" t="e">
        <f>SUMPRODUCT((BH$4:BH250)*($BR$4:$BR250)*(其他调用!#REF!))</f>
        <v>#REF!</v>
      </c>
      <c r="BU250" s="2" t="e">
        <f>SUMPRODUCT((BI$4:BI250)*($BR$4:$BR250)*(其他调用!#REF!))</f>
        <v>#REF!</v>
      </c>
      <c r="BV250" s="2" t="e">
        <f>SUMPRODUCT((BJ$4:BJ250)*($BR$4:$BR250)*(其他调用!#REF!))</f>
        <v>#REF!</v>
      </c>
      <c r="BW250" s="2" t="e">
        <f>SUMPRODUCT((BK$4:BK250)*($BR$4:$BR250)*(其他调用!#REF!))</f>
        <v>#REF!</v>
      </c>
      <c r="BX250" s="2" t="e">
        <f>SUMPRODUCT((BG$4:BG250)*($BR$4:$BR250))*'[1]功能-战损相关'!$D$2-BS250</f>
        <v>#REF!</v>
      </c>
      <c r="BY250" s="2" t="e">
        <f>SUMPRODUCT((BH$4:BH250)*($BR$4:$BR250))*'[1]功能-战损相关'!$D$2-BT250</f>
        <v>#REF!</v>
      </c>
      <c r="BZ250" s="2" t="e">
        <f>SUMPRODUCT((BI$4:BI250)*($BR$4:$BR250))*'[1]功能-战损相关'!$D$2-BU250</f>
        <v>#REF!</v>
      </c>
      <c r="CA250" s="2" t="e">
        <f>SUMPRODUCT((BJ$4:BJ250)*($BR$4:$BR250))*'[1]功能-战损相关'!$D$2-BV250</f>
        <v>#REF!</v>
      </c>
      <c r="CB250" s="2" t="e">
        <f>SUMPRODUCT((BK$4:BK250)*($BR$4:$BR250))*'[1]功能-战损相关'!$D$2-BW250</f>
        <v>#REF!</v>
      </c>
    </row>
    <row r="251" spans="40:80" x14ac:dyDescent="0.2">
      <c r="AN251" s="2">
        <v>248</v>
      </c>
      <c r="AO251" s="2">
        <f>求节点(节奏总纲!D$4:D$163,AH$4:AH$163,$AN251)*其他调用!H252*其他调用!$M252</f>
        <v>242668620.15437701</v>
      </c>
      <c r="AP251" s="2">
        <f>求节点(节奏总纲!E$4:E$163,AI$4:AI$163,$AN251)*其他调用!I252*其他调用!$M252</f>
        <v>278676611.73335016</v>
      </c>
      <c r="AQ251" s="2">
        <f>求节点(节奏总纲!F$4:F$163,AJ$4:AJ$163,$AN251)*其他调用!J252*其他调用!$M252</f>
        <v>27230368.108043384</v>
      </c>
      <c r="AR251" s="2">
        <f>求节点(节奏总纲!G$4:G$163,AK$4:AK$163,$AN251)*其他调用!K252*其他调用!$M252</f>
        <v>6315259.1933630323</v>
      </c>
      <c r="AS251" s="2">
        <f>求节点(节奏总纲!H$4:H$163,AL$4:AL$163,$AN251)*其他调用!L252*其他调用!$M252</f>
        <v>2169583.2280069464</v>
      </c>
      <c r="AT251" s="2">
        <f t="shared" si="19"/>
        <v>557060442.4171406</v>
      </c>
      <c r="BF251" s="2">
        <v>248</v>
      </c>
      <c r="BG251" s="2">
        <f>求节点(节奏总纲!D$4:D$163,AZ$4:AZ$163,$AN251)</f>
        <v>8274.7498483098916</v>
      </c>
      <c r="BH251" s="2">
        <f>求节点(节奏总纲!E$4:E$163,BA$4:BA$163,$AN251)</f>
        <v>25518.499858653126</v>
      </c>
      <c r="BI251" s="2">
        <f>求节点(节奏总纲!F$4:F$163,BB$4:BB$163,$AN251)</f>
        <v>79293.951438483826</v>
      </c>
      <c r="BJ251" s="2">
        <f>求节点(节奏总纲!G$4:G$163,BC$4:BC$163,$AN251)</f>
        <v>38084.258030726698</v>
      </c>
      <c r="BK251" s="2">
        <f>求节点(节奏总纲!H$4:H$163,BD$4:BD$163,$AN251)</f>
        <v>11268.68627279495</v>
      </c>
      <c r="BL251" s="2">
        <f>BG251*其他调用!H252*其他调用!$M252</f>
        <v>396878.105405743</v>
      </c>
      <c r="BM251" s="2">
        <f>BH251*其他调用!I252*其他调用!$M252</f>
        <v>1206808.4865855668</v>
      </c>
      <c r="BN251" s="2">
        <f>BI251*其他调用!J252*其他调用!$M252</f>
        <v>306107.95712861058</v>
      </c>
      <c r="BO251" s="2">
        <f>BJ251*其他调用!K252*其他调用!$M252</f>
        <v>26156.116078470979</v>
      </c>
      <c r="BP251" s="2">
        <f>BK251*其他调用!L252*其他调用!$M252</f>
        <v>2239.3133361298123</v>
      </c>
      <c r="BQ251" s="2">
        <f t="shared" si="20"/>
        <v>1938189.9785345213</v>
      </c>
      <c r="BR251" s="2">
        <f>[1]服务器生态!$R250</f>
        <v>1.6289841650165445E-2</v>
      </c>
      <c r="BS251" s="2" t="e">
        <f>SUMPRODUCT((BG$4:BG251)*($BR$4:$BR251)*(其他调用!#REF!))</f>
        <v>#REF!</v>
      </c>
      <c r="BT251" s="2" t="e">
        <f>SUMPRODUCT((BH$4:BH251)*($BR$4:$BR251)*(其他调用!#REF!))</f>
        <v>#REF!</v>
      </c>
      <c r="BU251" s="2" t="e">
        <f>SUMPRODUCT((BI$4:BI251)*($BR$4:$BR251)*(其他调用!#REF!))</f>
        <v>#REF!</v>
      </c>
      <c r="BV251" s="2" t="e">
        <f>SUMPRODUCT((BJ$4:BJ251)*($BR$4:$BR251)*(其他调用!#REF!))</f>
        <v>#REF!</v>
      </c>
      <c r="BW251" s="2" t="e">
        <f>SUMPRODUCT((BK$4:BK251)*($BR$4:$BR251)*(其他调用!#REF!))</f>
        <v>#REF!</v>
      </c>
      <c r="BX251" s="2" t="e">
        <f>SUMPRODUCT((BG$4:BG251)*($BR$4:$BR251))*'[1]功能-战损相关'!$D$2-BS251</f>
        <v>#REF!</v>
      </c>
      <c r="BY251" s="2" t="e">
        <f>SUMPRODUCT((BH$4:BH251)*($BR$4:$BR251))*'[1]功能-战损相关'!$D$2-BT251</f>
        <v>#REF!</v>
      </c>
      <c r="BZ251" s="2" t="e">
        <f>SUMPRODUCT((BI$4:BI251)*($BR$4:$BR251))*'[1]功能-战损相关'!$D$2-BU251</f>
        <v>#REF!</v>
      </c>
      <c r="CA251" s="2" t="e">
        <f>SUMPRODUCT((BJ$4:BJ251)*($BR$4:$BR251))*'[1]功能-战损相关'!$D$2-BV251</f>
        <v>#REF!</v>
      </c>
      <c r="CB251" s="2" t="e">
        <f>SUMPRODUCT((BK$4:BK251)*($BR$4:$BR251))*'[1]功能-战损相关'!$D$2-BW251</f>
        <v>#REF!</v>
      </c>
    </row>
    <row r="252" spans="40:80" x14ac:dyDescent="0.2">
      <c r="AN252" s="2">
        <v>249</v>
      </c>
      <c r="AO252" s="2">
        <f>求节点(节奏总纲!D$4:D$163,AH$4:AH$163,$AN252)*其他调用!H253*其他调用!$M253</f>
        <v>243128856.46725139</v>
      </c>
      <c r="AP252" s="2">
        <f>求节点(节奏总纲!E$4:E$163,AI$4:AI$163,$AN252)*其他调用!I253*其他调用!$M253</f>
        <v>279228962.44808966</v>
      </c>
      <c r="AQ252" s="2">
        <f>求节点(节奏总纲!F$4:F$163,AJ$4:AJ$163,$AN252)*其他调用!J253*其他调用!$M253</f>
        <v>27283723.820822977</v>
      </c>
      <c r="AR252" s="2">
        <f>求节点(节奏总纲!G$4:G$163,AK$4:AK$163,$AN252)*其他调用!K253*其他调用!$M253</f>
        <v>6322710.8210062664</v>
      </c>
      <c r="AS252" s="2">
        <f>求节点(节奏总纲!H$4:H$163,AL$4:AL$163,$AN252)*其他调用!L253*其他调用!$M253</f>
        <v>2171250.9867888629</v>
      </c>
      <c r="AT252" s="2">
        <f t="shared" ref="AT252:AT315" si="21">SUM(AO252:AS252)</f>
        <v>558135504.54395914</v>
      </c>
      <c r="BF252" s="2">
        <v>249</v>
      </c>
      <c r="BG252" s="2">
        <f>求节点(节奏总纲!D$4:D$163,AZ$4:AZ$163,$AN252)</f>
        <v>8279.3821378161938</v>
      </c>
      <c r="BH252" s="2">
        <f>求节点(节奏总纲!E$4:E$163,BA$4:BA$163,$AN252)</f>
        <v>25532.830233204044</v>
      </c>
      <c r="BI252" s="2">
        <f>求节点(节奏总纲!F$4:F$163,BB$4:BB$163,$AN252)</f>
        <v>79336.860720924989</v>
      </c>
      <c r="BJ252" s="2">
        <f>求节点(节奏总纲!G$4:G$163,BC$4:BC$163,$AN252)</f>
        <v>38102.458479122419</v>
      </c>
      <c r="BK252" s="2">
        <f>求节点(节奏总纲!H$4:H$163,BD$4:BD$163,$AN252)</f>
        <v>11273.346542637877</v>
      </c>
      <c r="BL252" s="2">
        <f>BG252*其他调用!H253*其他调用!$M253</f>
        <v>397100.28182396159</v>
      </c>
      <c r="BM252" s="2">
        <f>BH252*其他调用!I253*其他调用!$M253</f>
        <v>1207486.1916904824</v>
      </c>
      <c r="BN252" s="2">
        <f>BI252*其他调用!J253*其他调用!$M253</f>
        <v>306273.60498133628</v>
      </c>
      <c r="BO252" s="2">
        <f>BJ252*其他调用!K253*其他调用!$M253</f>
        <v>26168.616073627367</v>
      </c>
      <c r="BP252" s="2">
        <f>BK252*其他调用!L253*其他调用!$M253</f>
        <v>2240.2394249529989</v>
      </c>
      <c r="BQ252" s="2">
        <f t="shared" ref="BQ252:BQ315" si="22">SUM(BL252:BP252)</f>
        <v>1939268.9339943605</v>
      </c>
      <c r="BR252" s="2">
        <f>[1]服务器生态!$R251</f>
        <v>1.6289841650165445E-2</v>
      </c>
      <c r="BS252" s="2" t="e">
        <f>SUMPRODUCT((BG$4:BG252)*($BR$4:$BR252)*(其他调用!#REF!))</f>
        <v>#REF!</v>
      </c>
      <c r="BT252" s="2" t="e">
        <f>SUMPRODUCT((BH$4:BH252)*($BR$4:$BR252)*(其他调用!#REF!))</f>
        <v>#REF!</v>
      </c>
      <c r="BU252" s="2" t="e">
        <f>SUMPRODUCT((BI$4:BI252)*($BR$4:$BR252)*(其他调用!#REF!))</f>
        <v>#REF!</v>
      </c>
      <c r="BV252" s="2" t="e">
        <f>SUMPRODUCT((BJ$4:BJ252)*($BR$4:$BR252)*(其他调用!#REF!))</f>
        <v>#REF!</v>
      </c>
      <c r="BW252" s="2" t="e">
        <f>SUMPRODUCT((BK$4:BK252)*($BR$4:$BR252)*(其他调用!#REF!))</f>
        <v>#REF!</v>
      </c>
      <c r="BX252" s="2" t="e">
        <f>SUMPRODUCT((BG$4:BG252)*($BR$4:$BR252))*'[1]功能-战损相关'!$D$2-BS252</f>
        <v>#REF!</v>
      </c>
      <c r="BY252" s="2" t="e">
        <f>SUMPRODUCT((BH$4:BH252)*($BR$4:$BR252))*'[1]功能-战损相关'!$D$2-BT252</f>
        <v>#REF!</v>
      </c>
      <c r="BZ252" s="2" t="e">
        <f>SUMPRODUCT((BI$4:BI252)*($BR$4:$BR252))*'[1]功能-战损相关'!$D$2-BU252</f>
        <v>#REF!</v>
      </c>
      <c r="CA252" s="2" t="e">
        <f>SUMPRODUCT((BJ$4:BJ252)*($BR$4:$BR252))*'[1]功能-战损相关'!$D$2-BV252</f>
        <v>#REF!</v>
      </c>
      <c r="CB252" s="2" t="e">
        <f>SUMPRODUCT((BK$4:BK252)*($BR$4:$BR252))*'[1]功能-战损相关'!$D$2-BW252</f>
        <v>#REF!</v>
      </c>
    </row>
    <row r="253" spans="40:80" x14ac:dyDescent="0.2">
      <c r="AN253" s="2">
        <v>250</v>
      </c>
      <c r="AO253" s="2">
        <f>求节点(节奏总纲!D$4:D$163,AH$4:AH$163,$AN253)*其他调用!H254*其他调用!$M254</f>
        <v>243589092.78012574</v>
      </c>
      <c r="AP253" s="2">
        <f>求节点(节奏总纲!E$4:E$163,AI$4:AI$163,$AN253)*其他调用!I254*其他调用!$M254</f>
        <v>279781313.16282922</v>
      </c>
      <c r="AQ253" s="2">
        <f>求节点(节奏总纲!F$4:F$163,AJ$4:AJ$163,$AN253)*其他调用!J254*其他调用!$M254</f>
        <v>27337079.533602569</v>
      </c>
      <c r="AR253" s="2">
        <f>求节点(节奏总纲!G$4:G$163,AK$4:AK$163,$AN253)*其他调用!K254*其他调用!$M254</f>
        <v>6330162.4486494996</v>
      </c>
      <c r="AS253" s="2">
        <f>求节点(节奏总纲!H$4:H$163,AL$4:AL$163,$AN253)*其他调用!L254*其他调用!$M254</f>
        <v>2172918.7455707798</v>
      </c>
      <c r="AT253" s="2">
        <f t="shared" si="21"/>
        <v>559210566.6707778</v>
      </c>
      <c r="BF253" s="2">
        <v>250</v>
      </c>
      <c r="BG253" s="2">
        <f>求节点(节奏总纲!D$4:D$163,AZ$4:AZ$163,$AN253)</f>
        <v>8284.0144273224942</v>
      </c>
      <c r="BH253" s="2">
        <f>求节点(节奏总纲!E$4:E$163,BA$4:BA$163,$AN253)</f>
        <v>25547.160607754962</v>
      </c>
      <c r="BI253" s="2">
        <f>求节点(节奏总纲!F$4:F$163,BB$4:BB$163,$AN253)</f>
        <v>79379.770003366153</v>
      </c>
      <c r="BJ253" s="2">
        <f>求节点(节奏总纲!G$4:G$163,BC$4:BC$163,$AN253)</f>
        <v>38120.658927518147</v>
      </c>
      <c r="BK253" s="2">
        <f>求节点(节奏总纲!H$4:H$163,BD$4:BD$163,$AN253)</f>
        <v>11278.006812480804</v>
      </c>
      <c r="BL253" s="2">
        <f>BG253*其他调用!H254*其他调用!$M254</f>
        <v>397322.45824218006</v>
      </c>
      <c r="BM253" s="2">
        <f>BH253*其他调用!I254*其他调用!$M254</f>
        <v>1208163.8967953981</v>
      </c>
      <c r="BN253" s="2">
        <f>BI253*其他调用!J254*其他调用!$M254</f>
        <v>306439.25283406192</v>
      </c>
      <c r="BO253" s="2">
        <f>BJ253*其他调用!K254*其他调用!$M254</f>
        <v>26181.116068783762</v>
      </c>
      <c r="BP253" s="2">
        <f>BK253*其他调用!L254*其他调用!$M254</f>
        <v>2241.165513776185</v>
      </c>
      <c r="BQ253" s="2">
        <f t="shared" si="22"/>
        <v>1940347.8894541999</v>
      </c>
      <c r="BR253" s="2">
        <f>[1]服务器生态!$R252</f>
        <v>1.6289841650165445E-2</v>
      </c>
      <c r="BS253" s="2" t="e">
        <f>SUMPRODUCT((BG$4:BG253)*($BR$4:$BR253)*(其他调用!#REF!))</f>
        <v>#REF!</v>
      </c>
      <c r="BT253" s="2" t="e">
        <f>SUMPRODUCT((BH$4:BH253)*($BR$4:$BR253)*(其他调用!#REF!))</f>
        <v>#REF!</v>
      </c>
      <c r="BU253" s="2" t="e">
        <f>SUMPRODUCT((BI$4:BI253)*($BR$4:$BR253)*(其他调用!#REF!))</f>
        <v>#REF!</v>
      </c>
      <c r="BV253" s="2" t="e">
        <f>SUMPRODUCT((BJ$4:BJ253)*($BR$4:$BR253)*(其他调用!#REF!))</f>
        <v>#REF!</v>
      </c>
      <c r="BW253" s="2" t="e">
        <f>SUMPRODUCT((BK$4:BK253)*($BR$4:$BR253)*(其他调用!#REF!))</f>
        <v>#REF!</v>
      </c>
      <c r="BX253" s="2" t="e">
        <f>SUMPRODUCT((BG$4:BG253)*($BR$4:$BR253))*'[1]功能-战损相关'!$D$2-BS253</f>
        <v>#REF!</v>
      </c>
      <c r="BY253" s="2" t="e">
        <f>SUMPRODUCT((BH$4:BH253)*($BR$4:$BR253))*'[1]功能-战损相关'!$D$2-BT253</f>
        <v>#REF!</v>
      </c>
      <c r="BZ253" s="2" t="e">
        <f>SUMPRODUCT((BI$4:BI253)*($BR$4:$BR253))*'[1]功能-战损相关'!$D$2-BU253</f>
        <v>#REF!</v>
      </c>
      <c r="CA253" s="2" t="e">
        <f>SUMPRODUCT((BJ$4:BJ253)*($BR$4:$BR253))*'[1]功能-战损相关'!$D$2-BV253</f>
        <v>#REF!</v>
      </c>
      <c r="CB253" s="2" t="e">
        <f>SUMPRODUCT((BK$4:BK253)*($BR$4:$BR253))*'[1]功能-战损相关'!$D$2-BW253</f>
        <v>#REF!</v>
      </c>
    </row>
    <row r="254" spans="40:80" x14ac:dyDescent="0.2">
      <c r="AN254" s="2">
        <v>251</v>
      </c>
      <c r="AO254" s="2">
        <f>求节点(节奏总纲!D$4:D$163,AH$4:AH$163,$AN254)*其他调用!H255*其他调用!$M255</f>
        <v>244049329.09300011</v>
      </c>
      <c r="AP254" s="2">
        <f>求节点(节奏总纲!E$4:E$163,AI$4:AI$163,$AN254)*其他调用!I255*其他调用!$M255</f>
        <v>280333663.87756872</v>
      </c>
      <c r="AQ254" s="2">
        <f>求节点(节奏总纲!F$4:F$163,AJ$4:AJ$163,$AN254)*其他调用!J255*其他调用!$M255</f>
        <v>27390435.246382166</v>
      </c>
      <c r="AR254" s="2">
        <f>求节点(节奏总纲!G$4:G$163,AK$4:AK$163,$AN254)*其他调用!K255*其他调用!$M255</f>
        <v>6337614.0762927346</v>
      </c>
      <c r="AS254" s="2">
        <f>求节点(节奏总纲!H$4:H$163,AL$4:AL$163,$AN254)*其他调用!L255*其他调用!$M255</f>
        <v>2174586.5043526962</v>
      </c>
      <c r="AT254" s="2">
        <f t="shared" si="21"/>
        <v>560285628.79759645</v>
      </c>
      <c r="BF254" s="2">
        <v>251</v>
      </c>
      <c r="BG254" s="2">
        <f>求节点(节奏总纲!D$4:D$163,AZ$4:AZ$163,$AN254)</f>
        <v>8288.6467168287945</v>
      </c>
      <c r="BH254" s="2">
        <f>求节点(节奏总纲!E$4:E$163,BA$4:BA$163,$AN254)</f>
        <v>25561.490982305881</v>
      </c>
      <c r="BI254" s="2">
        <f>求节点(节奏总纲!F$4:F$163,BB$4:BB$163,$AN254)</f>
        <v>79422.679285807317</v>
      </c>
      <c r="BJ254" s="2">
        <f>求节点(节奏总纲!G$4:G$163,BC$4:BC$163,$AN254)</f>
        <v>38138.859375913875</v>
      </c>
      <c r="BK254" s="2">
        <f>求节点(节奏总纲!H$4:H$163,BD$4:BD$163,$AN254)</f>
        <v>11282.667082323731</v>
      </c>
      <c r="BL254" s="2">
        <f>BG254*其他调用!H255*其他调用!$M255</f>
        <v>397544.63466039859</v>
      </c>
      <c r="BM254" s="2">
        <f>BH254*其他调用!I255*其他调用!$M255</f>
        <v>1208841.6019003137</v>
      </c>
      <c r="BN254" s="2">
        <f>BI254*其他调用!J255*其他调用!$M255</f>
        <v>306604.90068678762</v>
      </c>
      <c r="BO254" s="2">
        <f>BJ254*其他调用!K255*其他调用!$M255</f>
        <v>26193.616063940153</v>
      </c>
      <c r="BP254" s="2">
        <f>BK254*其他调用!L255*其他调用!$M255</f>
        <v>2242.0916025993715</v>
      </c>
      <c r="BQ254" s="2">
        <f t="shared" si="22"/>
        <v>1941426.8449140396</v>
      </c>
      <c r="BR254" s="2">
        <f>[1]服务器生态!$R253</f>
        <v>1.6289841650165445E-2</v>
      </c>
      <c r="BS254" s="2" t="e">
        <f>SUMPRODUCT((BG$4:BG254)*($BR$4:$BR254)*(其他调用!#REF!))</f>
        <v>#REF!</v>
      </c>
      <c r="BT254" s="2" t="e">
        <f>SUMPRODUCT((BH$4:BH254)*($BR$4:$BR254)*(其他调用!#REF!))</f>
        <v>#REF!</v>
      </c>
      <c r="BU254" s="2" t="e">
        <f>SUMPRODUCT((BI$4:BI254)*($BR$4:$BR254)*(其他调用!#REF!))</f>
        <v>#REF!</v>
      </c>
      <c r="BV254" s="2" t="e">
        <f>SUMPRODUCT((BJ$4:BJ254)*($BR$4:$BR254)*(其他调用!#REF!))</f>
        <v>#REF!</v>
      </c>
      <c r="BW254" s="2" t="e">
        <f>SUMPRODUCT((BK$4:BK254)*($BR$4:$BR254)*(其他调用!#REF!))</f>
        <v>#REF!</v>
      </c>
      <c r="BX254" s="2" t="e">
        <f>SUMPRODUCT((BG$4:BG254)*($BR$4:$BR254))*'[1]功能-战损相关'!$D$2-BS254</f>
        <v>#REF!</v>
      </c>
      <c r="BY254" s="2" t="e">
        <f>SUMPRODUCT((BH$4:BH254)*($BR$4:$BR254))*'[1]功能-战损相关'!$D$2-BT254</f>
        <v>#REF!</v>
      </c>
      <c r="BZ254" s="2" t="e">
        <f>SUMPRODUCT((BI$4:BI254)*($BR$4:$BR254))*'[1]功能-战损相关'!$D$2-BU254</f>
        <v>#REF!</v>
      </c>
      <c r="CA254" s="2" t="e">
        <f>SUMPRODUCT((BJ$4:BJ254)*($BR$4:$BR254))*'[1]功能-战损相关'!$D$2-BV254</f>
        <v>#REF!</v>
      </c>
      <c r="CB254" s="2" t="e">
        <f>SUMPRODUCT((BK$4:BK254)*($BR$4:$BR254))*'[1]功能-战损相关'!$D$2-BW254</f>
        <v>#REF!</v>
      </c>
    </row>
    <row r="255" spans="40:80" x14ac:dyDescent="0.2">
      <c r="AN255" s="2">
        <v>252</v>
      </c>
      <c r="AO255" s="2">
        <f>求节点(节奏总纲!D$4:D$163,AH$4:AH$163,$AN255)*其他调用!H256*其他调用!$M256</f>
        <v>244509565.40587443</v>
      </c>
      <c r="AP255" s="2">
        <f>求节点(节奏总纲!E$4:E$163,AI$4:AI$163,$AN255)*其他调用!I256*其他调用!$M256</f>
        <v>280886014.59230828</v>
      </c>
      <c r="AQ255" s="2">
        <f>求节点(节奏总纲!F$4:F$163,AJ$4:AJ$163,$AN255)*其他调用!J256*其他调用!$M256</f>
        <v>27443790.959161751</v>
      </c>
      <c r="AR255" s="2">
        <f>求节点(节奏总纲!G$4:G$163,AK$4:AK$163,$AN255)*其他调用!K256*其他调用!$M256</f>
        <v>6345065.7039359687</v>
      </c>
      <c r="AS255" s="2">
        <f>求节点(节奏总纲!H$4:H$163,AL$4:AL$163,$AN255)*其他调用!L256*其他调用!$M256</f>
        <v>2176254.2631346127</v>
      </c>
      <c r="AT255" s="2">
        <f t="shared" si="21"/>
        <v>561360690.92441499</v>
      </c>
      <c r="BF255" s="2">
        <v>252</v>
      </c>
      <c r="BG255" s="2">
        <f>求节点(节奏总纲!D$4:D$163,AZ$4:AZ$163,$AN255)</f>
        <v>8293.2790063350967</v>
      </c>
      <c r="BH255" s="2">
        <f>求节点(节奏总纲!E$4:E$163,BA$4:BA$163,$AN255)</f>
        <v>25575.821356856799</v>
      </c>
      <c r="BI255" s="2">
        <f>求节点(节奏总纲!F$4:F$163,BB$4:BB$163,$AN255)</f>
        <v>79465.58856824848</v>
      </c>
      <c r="BJ255" s="2">
        <f>求节点(节奏总纲!G$4:G$163,BC$4:BC$163,$AN255)</f>
        <v>38157.059824309603</v>
      </c>
      <c r="BK255" s="2">
        <f>求节点(节奏总纲!H$4:H$163,BD$4:BD$163,$AN255)</f>
        <v>11287.327352166658</v>
      </c>
      <c r="BL255" s="2">
        <f>BG255*其他调用!H256*其他调用!$M256</f>
        <v>397766.81107861712</v>
      </c>
      <c r="BM255" s="2">
        <f>BH255*其他调用!I256*其他调用!$M256</f>
        <v>1209519.3070052294</v>
      </c>
      <c r="BN255" s="2">
        <f>BI255*其他调用!J256*其他调用!$M256</f>
        <v>306770.54853951331</v>
      </c>
      <c r="BO255" s="2">
        <f>BJ255*其他调用!K256*其他调用!$M256</f>
        <v>26206.116059096548</v>
      </c>
      <c r="BP255" s="2">
        <f>BK255*其他调用!L256*其他调用!$M256</f>
        <v>2243.0176914225581</v>
      </c>
      <c r="BQ255" s="2">
        <f t="shared" si="22"/>
        <v>1942505.8003738788</v>
      </c>
      <c r="BR255" s="2">
        <f>[1]服务器生态!$R254</f>
        <v>1.6289841650165445E-2</v>
      </c>
      <c r="BS255" s="2" t="e">
        <f>SUMPRODUCT((BG$4:BG255)*($BR$4:$BR255)*(其他调用!#REF!))</f>
        <v>#REF!</v>
      </c>
      <c r="BT255" s="2" t="e">
        <f>SUMPRODUCT((BH$4:BH255)*($BR$4:$BR255)*(其他调用!#REF!))</f>
        <v>#REF!</v>
      </c>
      <c r="BU255" s="2" t="e">
        <f>SUMPRODUCT((BI$4:BI255)*($BR$4:$BR255)*(其他调用!#REF!))</f>
        <v>#REF!</v>
      </c>
      <c r="BV255" s="2" t="e">
        <f>SUMPRODUCT((BJ$4:BJ255)*($BR$4:$BR255)*(其他调用!#REF!))</f>
        <v>#REF!</v>
      </c>
      <c r="BW255" s="2" t="e">
        <f>SUMPRODUCT((BK$4:BK255)*($BR$4:$BR255)*(其他调用!#REF!))</f>
        <v>#REF!</v>
      </c>
      <c r="BX255" s="2" t="e">
        <f>SUMPRODUCT((BG$4:BG255)*($BR$4:$BR255))*'[1]功能-战损相关'!$D$2-BS255</f>
        <v>#REF!</v>
      </c>
      <c r="BY255" s="2" t="e">
        <f>SUMPRODUCT((BH$4:BH255)*($BR$4:$BR255))*'[1]功能-战损相关'!$D$2-BT255</f>
        <v>#REF!</v>
      </c>
      <c r="BZ255" s="2" t="e">
        <f>SUMPRODUCT((BI$4:BI255)*($BR$4:$BR255))*'[1]功能-战损相关'!$D$2-BU255</f>
        <v>#REF!</v>
      </c>
      <c r="CA255" s="2" t="e">
        <f>SUMPRODUCT((BJ$4:BJ255)*($BR$4:$BR255))*'[1]功能-战损相关'!$D$2-BV255</f>
        <v>#REF!</v>
      </c>
      <c r="CB255" s="2" t="e">
        <f>SUMPRODUCT((BK$4:BK255)*($BR$4:$BR255))*'[1]功能-战损相关'!$D$2-BW255</f>
        <v>#REF!</v>
      </c>
    </row>
    <row r="256" spans="40:80" x14ac:dyDescent="0.2">
      <c r="AN256" s="2">
        <v>253</v>
      </c>
      <c r="AO256" s="2">
        <f>求节点(节奏总纲!D$4:D$163,AH$4:AH$163,$AN256)*其他调用!H257*其他调用!$M257</f>
        <v>244969801.71874878</v>
      </c>
      <c r="AP256" s="2">
        <f>求节点(节奏总纲!E$4:E$163,AI$4:AI$163,$AN256)*其他调用!I257*其他调用!$M257</f>
        <v>281438365.30704778</v>
      </c>
      <c r="AQ256" s="2">
        <f>求节点(节奏总纲!F$4:F$163,AJ$4:AJ$163,$AN256)*其他调用!J257*其他调用!$M257</f>
        <v>27497146.671941347</v>
      </c>
      <c r="AR256" s="2">
        <f>求节点(节奏总纲!G$4:G$163,AK$4:AK$163,$AN256)*其他调用!K257*其他调用!$M257</f>
        <v>6352517.3315792019</v>
      </c>
      <c r="AS256" s="2">
        <f>求节点(节奏总纲!H$4:H$163,AL$4:AL$163,$AN256)*其他调用!L257*其他调用!$M257</f>
        <v>2177922.0219165296</v>
      </c>
      <c r="AT256" s="2">
        <f t="shared" si="21"/>
        <v>562435753.05123365</v>
      </c>
      <c r="BF256" s="2">
        <v>253</v>
      </c>
      <c r="BG256" s="2">
        <f>求节点(节奏总纲!D$4:D$163,AZ$4:AZ$163,$AN256)</f>
        <v>8297.9112958413971</v>
      </c>
      <c r="BH256" s="2">
        <f>求节点(节奏总纲!E$4:E$163,BA$4:BA$163,$AN256)</f>
        <v>25590.151731407717</v>
      </c>
      <c r="BI256" s="2">
        <f>求节点(节奏总纲!F$4:F$163,BB$4:BB$163,$AN256)</f>
        <v>79508.497850689644</v>
      </c>
      <c r="BJ256" s="2">
        <f>求节点(节奏总纲!G$4:G$163,BC$4:BC$163,$AN256)</f>
        <v>38175.260272705324</v>
      </c>
      <c r="BK256" s="2">
        <f>求节点(节奏总纲!H$4:H$163,BD$4:BD$163,$AN256)</f>
        <v>11291.987622009587</v>
      </c>
      <c r="BL256" s="2">
        <f>BG256*其他调用!H257*其他调用!$M257</f>
        <v>397988.98749683559</v>
      </c>
      <c r="BM256" s="2">
        <f>BH256*其他调用!I257*其他调用!$M257</f>
        <v>1210197.0121101451</v>
      </c>
      <c r="BN256" s="2">
        <f>BI256*其他调用!J257*其他调用!$M257</f>
        <v>306936.19639223896</v>
      </c>
      <c r="BO256" s="2">
        <f>BJ256*其他调用!K257*其他调用!$M257</f>
        <v>26218.616054252932</v>
      </c>
      <c r="BP256" s="2">
        <f>BK256*其他调用!L257*其他调用!$M257</f>
        <v>2243.9437802457446</v>
      </c>
      <c r="BQ256" s="2">
        <f t="shared" si="22"/>
        <v>1943584.7558337182</v>
      </c>
      <c r="BR256" s="2">
        <f>[1]服务器生态!$R255</f>
        <v>1.6289841650165445E-2</v>
      </c>
      <c r="BS256" s="2" t="e">
        <f>SUMPRODUCT((BG$4:BG256)*($BR$4:$BR256)*(其他调用!#REF!))</f>
        <v>#REF!</v>
      </c>
      <c r="BT256" s="2" t="e">
        <f>SUMPRODUCT((BH$4:BH256)*($BR$4:$BR256)*(其他调用!#REF!))</f>
        <v>#REF!</v>
      </c>
      <c r="BU256" s="2" t="e">
        <f>SUMPRODUCT((BI$4:BI256)*($BR$4:$BR256)*(其他调用!#REF!))</f>
        <v>#REF!</v>
      </c>
      <c r="BV256" s="2" t="e">
        <f>SUMPRODUCT((BJ$4:BJ256)*($BR$4:$BR256)*(其他调用!#REF!))</f>
        <v>#REF!</v>
      </c>
      <c r="BW256" s="2" t="e">
        <f>SUMPRODUCT((BK$4:BK256)*($BR$4:$BR256)*(其他调用!#REF!))</f>
        <v>#REF!</v>
      </c>
      <c r="BX256" s="2" t="e">
        <f>SUMPRODUCT((BG$4:BG256)*($BR$4:$BR256))*'[1]功能-战损相关'!$D$2-BS256</f>
        <v>#REF!</v>
      </c>
      <c r="BY256" s="2" t="e">
        <f>SUMPRODUCT((BH$4:BH256)*($BR$4:$BR256))*'[1]功能-战损相关'!$D$2-BT256</f>
        <v>#REF!</v>
      </c>
      <c r="BZ256" s="2" t="e">
        <f>SUMPRODUCT((BI$4:BI256)*($BR$4:$BR256))*'[1]功能-战损相关'!$D$2-BU256</f>
        <v>#REF!</v>
      </c>
      <c r="CA256" s="2" t="e">
        <f>SUMPRODUCT((BJ$4:BJ256)*($BR$4:$BR256))*'[1]功能-战损相关'!$D$2-BV256</f>
        <v>#REF!</v>
      </c>
      <c r="CB256" s="2" t="e">
        <f>SUMPRODUCT((BK$4:BK256)*($BR$4:$BR256))*'[1]功能-战损相关'!$D$2-BW256</f>
        <v>#REF!</v>
      </c>
    </row>
    <row r="257" spans="40:80" x14ac:dyDescent="0.2">
      <c r="AN257" s="2">
        <v>254</v>
      </c>
      <c r="AO257" s="2">
        <f>求节点(节奏总纲!D$4:D$163,AH$4:AH$163,$AN257)*其他调用!H258*其他调用!$M258</f>
        <v>245430038.03162313</v>
      </c>
      <c r="AP257" s="2">
        <f>求节点(节奏总纲!E$4:E$163,AI$4:AI$163,$AN257)*其他调用!I258*其他调用!$M258</f>
        <v>281940976.05149406</v>
      </c>
      <c r="AQ257" s="2">
        <f>求节点(节奏总纲!F$4:F$163,AJ$4:AJ$163,$AN257)*其他调用!J258*其他调用!$M258</f>
        <v>27550207.692567598</v>
      </c>
      <c r="AR257" s="2">
        <f>求节点(节奏总纲!G$4:G$163,AK$4:AK$163,$AN257)*其他调用!K258*其他调用!$M258</f>
        <v>6359968.959222436</v>
      </c>
      <c r="AS257" s="2">
        <f>求节点(节奏总纲!H$4:H$163,AL$4:AL$163,$AN257)*其他调用!L258*其他调用!$M258</f>
        <v>2179589.7806984461</v>
      </c>
      <c r="AT257" s="2">
        <f t="shared" si="21"/>
        <v>563460780.51560569</v>
      </c>
      <c r="BF257" s="2">
        <v>254</v>
      </c>
      <c r="BG257" s="2">
        <f>求节点(节奏总纲!D$4:D$163,AZ$4:AZ$163,$AN257)</f>
        <v>8302.5435853476993</v>
      </c>
      <c r="BH257" s="2">
        <f>求节点(节奏总纲!E$4:E$163,BA$4:BA$163,$AN257)</f>
        <v>25603.477776168442</v>
      </c>
      <c r="BI257" s="2">
        <f>求节点(节奏总纲!F$4:F$163,BB$4:BB$163,$AN257)</f>
        <v>79551.138086227729</v>
      </c>
      <c r="BJ257" s="2">
        <f>求节点(节奏总纲!G$4:G$163,BC$4:BC$163,$AN257)</f>
        <v>38193.460721101052</v>
      </c>
      <c r="BK257" s="2">
        <f>求节点(节奏总纲!H$4:H$163,BD$4:BD$163,$AN257)</f>
        <v>11296.647891852514</v>
      </c>
      <c r="BL257" s="2">
        <f>BG257*其他调用!H258*其他调用!$M258</f>
        <v>398211.16391505417</v>
      </c>
      <c r="BM257" s="2">
        <f>BH257*其他调用!I258*其他调用!$M258</f>
        <v>1210827.2209389922</v>
      </c>
      <c r="BN257" s="2">
        <f>BI257*其他调用!J258*其他调用!$M258</f>
        <v>307100.8056109153</v>
      </c>
      <c r="BO257" s="2">
        <f>BJ257*其他调用!K258*其他调用!$M258</f>
        <v>26231.116049409327</v>
      </c>
      <c r="BP257" s="2">
        <f>BK257*其他调用!L258*其他调用!$M258</f>
        <v>2244.8698690689312</v>
      </c>
      <c r="BQ257" s="2">
        <f t="shared" si="22"/>
        <v>1944615.1763834401</v>
      </c>
      <c r="BR257" s="2">
        <f>[1]服务器生态!$R256</f>
        <v>1.6289841650165445E-2</v>
      </c>
      <c r="BS257" s="2" t="e">
        <f>SUMPRODUCT((BG$4:BG257)*($BR$4:$BR257)*(其他调用!#REF!))</f>
        <v>#REF!</v>
      </c>
      <c r="BT257" s="2" t="e">
        <f>SUMPRODUCT((BH$4:BH257)*($BR$4:$BR257)*(其他调用!#REF!))</f>
        <v>#REF!</v>
      </c>
      <c r="BU257" s="2" t="e">
        <f>SUMPRODUCT((BI$4:BI257)*($BR$4:$BR257)*(其他调用!#REF!))</f>
        <v>#REF!</v>
      </c>
      <c r="BV257" s="2" t="e">
        <f>SUMPRODUCT((BJ$4:BJ257)*($BR$4:$BR257)*(其他调用!#REF!))</f>
        <v>#REF!</v>
      </c>
      <c r="BW257" s="2" t="e">
        <f>SUMPRODUCT((BK$4:BK257)*($BR$4:$BR257)*(其他调用!#REF!))</f>
        <v>#REF!</v>
      </c>
      <c r="BX257" s="2" t="e">
        <f>SUMPRODUCT((BG$4:BG257)*($BR$4:$BR257))*'[1]功能-战损相关'!$D$2-BS257</f>
        <v>#REF!</v>
      </c>
      <c r="BY257" s="2" t="e">
        <f>SUMPRODUCT((BH$4:BH257)*($BR$4:$BR257))*'[1]功能-战损相关'!$D$2-BT257</f>
        <v>#REF!</v>
      </c>
      <c r="BZ257" s="2" t="e">
        <f>SUMPRODUCT((BI$4:BI257)*($BR$4:$BR257))*'[1]功能-战损相关'!$D$2-BU257</f>
        <v>#REF!</v>
      </c>
      <c r="CA257" s="2" t="e">
        <f>SUMPRODUCT((BJ$4:BJ257)*($BR$4:$BR257))*'[1]功能-战损相关'!$D$2-BV257</f>
        <v>#REF!</v>
      </c>
      <c r="CB257" s="2" t="e">
        <f>SUMPRODUCT((BK$4:BK257)*($BR$4:$BR257))*'[1]功能-战损相关'!$D$2-BW257</f>
        <v>#REF!</v>
      </c>
    </row>
    <row r="258" spans="40:80" x14ac:dyDescent="0.2">
      <c r="AN258" s="2">
        <v>255</v>
      </c>
      <c r="AO258" s="2">
        <f>求节点(节奏总纲!D$4:D$163,AH$4:AH$163,$AN258)*其他调用!H259*其他调用!$M259</f>
        <v>245890274.3444975</v>
      </c>
      <c r="AP258" s="2">
        <f>求节点(节奏总纲!E$4:E$163,AI$4:AI$163,$AN258)*其他调用!I259*其他调用!$M259</f>
        <v>282434734.45955622</v>
      </c>
      <c r="AQ258" s="2">
        <f>求节点(节奏总纲!F$4:F$163,AJ$4:AJ$163,$AN258)*其他调用!J259*其他调用!$M259</f>
        <v>27599947.639668215</v>
      </c>
      <c r="AR258" s="2">
        <f>求节点(节奏总纲!G$4:G$163,AK$4:AK$163,$AN258)*其他调用!K259*其他调用!$M259</f>
        <v>6367303.8984600445</v>
      </c>
      <c r="AS258" s="2">
        <f>求节点(节奏总纲!H$4:H$163,AL$4:AL$163,$AN258)*其他调用!L259*其他调用!$M259</f>
        <v>2181257.5394803621</v>
      </c>
      <c r="AT258" s="2">
        <f t="shared" si="21"/>
        <v>564473517.88166225</v>
      </c>
      <c r="BF258" s="2">
        <v>255</v>
      </c>
      <c r="BG258" s="2">
        <f>求节点(节奏总纲!D$4:D$163,AZ$4:AZ$163,$AN258)</f>
        <v>8307.1758748539996</v>
      </c>
      <c r="BH258" s="2">
        <f>求节点(节奏总纲!E$4:E$163,BA$4:BA$163,$AN258)</f>
        <v>25616.625078057161</v>
      </c>
      <c r="BI258" s="2">
        <f>求节点(节奏总纲!F$4:F$163,BB$4:BB$163,$AN258)</f>
        <v>79590.746260895365</v>
      </c>
      <c r="BJ258" s="2">
        <f>求节点(节奏总纲!G$4:G$163,BC$4:BC$163,$AN258)</f>
        <v>38211.049158979527</v>
      </c>
      <c r="BK258" s="2">
        <f>求节点(节奏总纲!H$4:H$163,BD$4:BD$163,$AN258)</f>
        <v>11301.308161695441</v>
      </c>
      <c r="BL258" s="2">
        <f>BG258*其他调用!H259*其他调用!$M259</f>
        <v>398433.34033327264</v>
      </c>
      <c r="BM258" s="2">
        <f>BH258*其他调用!I259*其他调用!$M259</f>
        <v>1211448.976746853</v>
      </c>
      <c r="BN258" s="2">
        <f>BI258*其他调用!J259*其他调用!$M259</f>
        <v>307253.70980112336</v>
      </c>
      <c r="BO258" s="2">
        <f>BJ258*其他调用!K259*其他调用!$M259</f>
        <v>26243.195718190509</v>
      </c>
      <c r="BP258" s="2">
        <f>BK258*其他调用!L259*其他调用!$M259</f>
        <v>2245.7959578921177</v>
      </c>
      <c r="BQ258" s="2">
        <f t="shared" si="22"/>
        <v>1945625.0185573318</v>
      </c>
      <c r="BR258" s="2">
        <f>[1]服务器生态!$R257</f>
        <v>1.6289841650165445E-2</v>
      </c>
      <c r="BS258" s="2" t="e">
        <f>SUMPRODUCT((BG$4:BG258)*($BR$4:$BR258)*(其他调用!#REF!))</f>
        <v>#REF!</v>
      </c>
      <c r="BT258" s="2" t="e">
        <f>SUMPRODUCT((BH$4:BH258)*($BR$4:$BR258)*(其他调用!#REF!))</f>
        <v>#REF!</v>
      </c>
      <c r="BU258" s="2" t="e">
        <f>SUMPRODUCT((BI$4:BI258)*($BR$4:$BR258)*(其他调用!#REF!))</f>
        <v>#REF!</v>
      </c>
      <c r="BV258" s="2" t="e">
        <f>SUMPRODUCT((BJ$4:BJ258)*($BR$4:$BR258)*(其他调用!#REF!))</f>
        <v>#REF!</v>
      </c>
      <c r="BW258" s="2" t="e">
        <f>SUMPRODUCT((BK$4:BK258)*($BR$4:$BR258)*(其他调用!#REF!))</f>
        <v>#REF!</v>
      </c>
      <c r="BX258" s="2" t="e">
        <f>SUMPRODUCT((BG$4:BG258)*($BR$4:$BR258))*'[1]功能-战损相关'!$D$2-BS258</f>
        <v>#REF!</v>
      </c>
      <c r="BY258" s="2" t="e">
        <f>SUMPRODUCT((BH$4:BH258)*($BR$4:$BR258))*'[1]功能-战损相关'!$D$2-BT258</f>
        <v>#REF!</v>
      </c>
      <c r="BZ258" s="2" t="e">
        <f>SUMPRODUCT((BI$4:BI258)*($BR$4:$BR258))*'[1]功能-战损相关'!$D$2-BU258</f>
        <v>#REF!</v>
      </c>
      <c r="CA258" s="2" t="e">
        <f>SUMPRODUCT((BJ$4:BJ258)*($BR$4:$BR258))*'[1]功能-战损相关'!$D$2-BV258</f>
        <v>#REF!</v>
      </c>
      <c r="CB258" s="2" t="e">
        <f>SUMPRODUCT((BK$4:BK258)*($BR$4:$BR258))*'[1]功能-战损相关'!$D$2-BW258</f>
        <v>#REF!</v>
      </c>
    </row>
    <row r="259" spans="40:80" x14ac:dyDescent="0.2">
      <c r="AN259" s="2">
        <v>256</v>
      </c>
      <c r="AO259" s="2">
        <f>求节点(节奏总纲!D$4:D$163,AH$4:AH$163,$AN259)*其他调用!H260*其他调用!$M260</f>
        <v>246272574.21233258</v>
      </c>
      <c r="AP259" s="2">
        <f>求节点(节奏总纲!E$4:E$163,AI$4:AI$163,$AN259)*其他调用!I260*其他调用!$M260</f>
        <v>282928492.86761832</v>
      </c>
      <c r="AQ259" s="2">
        <f>求节点(节奏总纲!F$4:F$163,AJ$4:AJ$163,$AN259)*其他调用!J260*其他调用!$M260</f>
        <v>27649687.586768832</v>
      </c>
      <c r="AR259" s="2">
        <f>求节点(节奏总纲!G$4:G$163,AK$4:AK$163,$AN259)*其他调用!K260*其他调用!$M260</f>
        <v>6373724.7097991733</v>
      </c>
      <c r="AS259" s="2">
        <f>求节点(节奏总纲!H$4:H$163,AL$4:AL$163,$AN259)*其他调用!L260*其他调用!$M260</f>
        <v>2182925.298262279</v>
      </c>
      <c r="AT259" s="2">
        <f t="shared" si="21"/>
        <v>565407404.6747812</v>
      </c>
      <c r="BF259" s="2">
        <v>256</v>
      </c>
      <c r="BG259" s="2">
        <f>求节点(节奏总纲!D$4:D$163,AZ$4:AZ$163,$AN259)</f>
        <v>8311.5847214891783</v>
      </c>
      <c r="BH259" s="2">
        <f>求节点(节奏总纲!E$4:E$163,BA$4:BA$163,$AN259)</f>
        <v>25629.772379945884</v>
      </c>
      <c r="BI259" s="2">
        <f>求节点(节奏总纲!F$4:F$163,BB$4:BB$163,$AN259)</f>
        <v>79630.354435563</v>
      </c>
      <c r="BJ259" s="2">
        <f>求节点(节奏总纲!G$4:G$163,BC$4:BC$163,$AN259)</f>
        <v>38223.843154042646</v>
      </c>
      <c r="BK259" s="2">
        <f>求节点(节奏总纲!H$4:H$163,BD$4:BD$163,$AN259)</f>
        <v>11305.968431538367</v>
      </c>
      <c r="BL259" s="2">
        <f>BG259*其他调用!H260*其他调用!$M260</f>
        <v>398644.79986155691</v>
      </c>
      <c r="BM259" s="2">
        <f>BH259*其他调用!I260*其他调用!$M260</f>
        <v>1212070.7325547137</v>
      </c>
      <c r="BN259" s="2">
        <f>BI259*其他调用!J260*其他调用!$M260</f>
        <v>307406.61399133148</v>
      </c>
      <c r="BO259" s="2">
        <f>BJ259*其他调用!K260*其他调用!$M260</f>
        <v>26251.982582823883</v>
      </c>
      <c r="BP259" s="2">
        <f>BK259*其他调用!L260*其他调用!$M260</f>
        <v>2246.7220467153043</v>
      </c>
      <c r="BQ259" s="2">
        <f t="shared" si="22"/>
        <v>1946620.8510371412</v>
      </c>
      <c r="BR259" s="2">
        <f>[1]服务器生态!$R258</f>
        <v>1.6289841650165445E-2</v>
      </c>
      <c r="BS259" s="2" t="e">
        <f>SUMPRODUCT((BG$4:BG259)*($BR$4:$BR259)*(其他调用!#REF!))</f>
        <v>#REF!</v>
      </c>
      <c r="BT259" s="2" t="e">
        <f>SUMPRODUCT((BH$4:BH259)*($BR$4:$BR259)*(其他调用!#REF!))</f>
        <v>#REF!</v>
      </c>
      <c r="BU259" s="2" t="e">
        <f>SUMPRODUCT((BI$4:BI259)*($BR$4:$BR259)*(其他调用!#REF!))</f>
        <v>#REF!</v>
      </c>
      <c r="BV259" s="2" t="e">
        <f>SUMPRODUCT((BJ$4:BJ259)*($BR$4:$BR259)*(其他调用!#REF!))</f>
        <v>#REF!</v>
      </c>
      <c r="BW259" s="2" t="e">
        <f>SUMPRODUCT((BK$4:BK259)*($BR$4:$BR259)*(其他调用!#REF!))</f>
        <v>#REF!</v>
      </c>
      <c r="BX259" s="2" t="e">
        <f>SUMPRODUCT((BG$4:BG259)*($BR$4:$BR259))*'[1]功能-战损相关'!$D$2-BS259</f>
        <v>#REF!</v>
      </c>
      <c r="BY259" s="2" t="e">
        <f>SUMPRODUCT((BH$4:BH259)*($BR$4:$BR259))*'[1]功能-战损相关'!$D$2-BT259</f>
        <v>#REF!</v>
      </c>
      <c r="BZ259" s="2" t="e">
        <f>SUMPRODUCT((BI$4:BI259)*($BR$4:$BR259))*'[1]功能-战损相关'!$D$2-BU259</f>
        <v>#REF!</v>
      </c>
      <c r="CA259" s="2" t="e">
        <f>SUMPRODUCT((BJ$4:BJ259)*($BR$4:$BR259))*'[1]功能-战损相关'!$D$2-BV259</f>
        <v>#REF!</v>
      </c>
      <c r="CB259" s="2" t="e">
        <f>SUMPRODUCT((BK$4:BK259)*($BR$4:$BR259))*'[1]功能-战损相关'!$D$2-BW259</f>
        <v>#REF!</v>
      </c>
    </row>
    <row r="260" spans="40:80" x14ac:dyDescent="0.2">
      <c r="AN260" s="2">
        <v>257</v>
      </c>
      <c r="AO260" s="2">
        <f>求节点(节奏总纲!D$4:D$163,AH$4:AH$163,$AN260)*其他调用!H261*其他调用!$M261</f>
        <v>246654874.08016762</v>
      </c>
      <c r="AP260" s="2">
        <f>求节点(节奏总纲!E$4:E$163,AI$4:AI$163,$AN260)*其他调用!I261*其他调用!$M261</f>
        <v>283422251.27568042</v>
      </c>
      <c r="AQ260" s="2">
        <f>求节点(节奏总纲!F$4:F$163,AJ$4:AJ$163,$AN260)*其他调用!J261*其他调用!$M261</f>
        <v>27699427.533869453</v>
      </c>
      <c r="AR260" s="2">
        <f>求节点(节奏总纲!G$4:G$163,AK$4:AK$163,$AN260)*其他调用!K261*其他调用!$M261</f>
        <v>6380145.521138303</v>
      </c>
      <c r="AS260" s="2">
        <f>求节点(节奏总纲!H$4:H$163,AL$4:AL$163,$AN260)*其他调用!L261*其他调用!$M261</f>
        <v>2184593.0570441955</v>
      </c>
      <c r="AT260" s="2">
        <f t="shared" si="21"/>
        <v>566341291.46790004</v>
      </c>
      <c r="BF260" s="2">
        <v>257</v>
      </c>
      <c r="BG260" s="2">
        <f>求节点(节奏总纲!D$4:D$163,AZ$4:AZ$163,$AN260)</f>
        <v>8315.9935681243569</v>
      </c>
      <c r="BH260" s="2">
        <f>求节点(节奏总纲!E$4:E$163,BA$4:BA$163,$AN260)</f>
        <v>25642.919681834606</v>
      </c>
      <c r="BI260" s="2">
        <f>求节点(节奏总纲!F$4:F$163,BB$4:BB$163,$AN260)</f>
        <v>79669.96261023065</v>
      </c>
      <c r="BJ260" s="2">
        <f>求节点(节奏总纲!G$4:G$163,BC$4:BC$163,$AN260)</f>
        <v>38236.637149105765</v>
      </c>
      <c r="BK260" s="2">
        <f>求节点(节奏总纲!H$4:H$163,BD$4:BD$163,$AN260)</f>
        <v>11310.628701381294</v>
      </c>
      <c r="BL260" s="2">
        <f>BG260*其他调用!H261*其他调用!$M261</f>
        <v>398856.25938984123</v>
      </c>
      <c r="BM260" s="2">
        <f>BH260*其他调用!I261*其他调用!$M261</f>
        <v>1212692.4883625747</v>
      </c>
      <c r="BN260" s="2">
        <f>BI260*其他调用!J261*其他调用!$M261</f>
        <v>307559.51818153972</v>
      </c>
      <c r="BO260" s="2">
        <f>BJ260*其他调用!K261*其他调用!$M261</f>
        <v>26260.769447457249</v>
      </c>
      <c r="BP260" s="2">
        <f>BK260*其他调用!L261*其他调用!$M261</f>
        <v>2247.6481355384904</v>
      </c>
      <c r="BQ260" s="2">
        <f t="shared" si="22"/>
        <v>1947616.6835169513</v>
      </c>
      <c r="BR260" s="2">
        <f>[1]服务器生态!$R259</f>
        <v>1.6289841650165445E-2</v>
      </c>
      <c r="BS260" s="2" t="e">
        <f>SUMPRODUCT((BG$4:BG260)*($BR$4:$BR260)*(其他调用!#REF!))</f>
        <v>#REF!</v>
      </c>
      <c r="BT260" s="2" t="e">
        <f>SUMPRODUCT((BH$4:BH260)*($BR$4:$BR260)*(其他调用!#REF!))</f>
        <v>#REF!</v>
      </c>
      <c r="BU260" s="2" t="e">
        <f>SUMPRODUCT((BI$4:BI260)*($BR$4:$BR260)*(其他调用!#REF!))</f>
        <v>#REF!</v>
      </c>
      <c r="BV260" s="2" t="e">
        <f>SUMPRODUCT((BJ$4:BJ260)*($BR$4:$BR260)*(其他调用!#REF!))</f>
        <v>#REF!</v>
      </c>
      <c r="BW260" s="2" t="e">
        <f>SUMPRODUCT((BK$4:BK260)*($BR$4:$BR260)*(其他调用!#REF!))</f>
        <v>#REF!</v>
      </c>
      <c r="BX260" s="2" t="e">
        <f>SUMPRODUCT((BG$4:BG260)*($BR$4:$BR260))*'[1]功能-战损相关'!$D$2-BS260</f>
        <v>#REF!</v>
      </c>
      <c r="BY260" s="2" t="e">
        <f>SUMPRODUCT((BH$4:BH260)*($BR$4:$BR260))*'[1]功能-战损相关'!$D$2-BT260</f>
        <v>#REF!</v>
      </c>
      <c r="BZ260" s="2" t="e">
        <f>SUMPRODUCT((BI$4:BI260)*($BR$4:$BR260))*'[1]功能-战损相关'!$D$2-BU260</f>
        <v>#REF!</v>
      </c>
      <c r="CA260" s="2" t="e">
        <f>SUMPRODUCT((BJ$4:BJ260)*($BR$4:$BR260))*'[1]功能-战损相关'!$D$2-BV260</f>
        <v>#REF!</v>
      </c>
      <c r="CB260" s="2" t="e">
        <f>SUMPRODUCT((BK$4:BK260)*($BR$4:$BR260))*'[1]功能-战损相关'!$D$2-BW260</f>
        <v>#REF!</v>
      </c>
    </row>
    <row r="261" spans="40:80" x14ac:dyDescent="0.2">
      <c r="AN261" s="2">
        <v>258</v>
      </c>
      <c r="AO261" s="2">
        <f>求节点(节奏总纲!D$4:D$163,AH$4:AH$163,$AN261)*其他调用!H262*其他调用!$M262</f>
        <v>247037173.94800276</v>
      </c>
      <c r="AP261" s="2">
        <f>求节点(节奏总纲!E$4:E$163,AI$4:AI$163,$AN261)*其他调用!I262*其他调用!$M262</f>
        <v>283916009.68374258</v>
      </c>
      <c r="AQ261" s="2">
        <f>求节点(节奏总纲!F$4:F$163,AJ$4:AJ$163,$AN261)*其他调用!J262*其他调用!$M262</f>
        <v>27749167.480970062</v>
      </c>
      <c r="AR261" s="2">
        <f>求节点(节奏总纲!G$4:G$163,AK$4:AK$163,$AN261)*其他调用!K262*其他调用!$M262</f>
        <v>6386566.3324774327</v>
      </c>
      <c r="AS261" s="2">
        <f>求节点(节奏总纲!H$4:H$163,AL$4:AL$163,$AN261)*其他调用!L262*其他调用!$M262</f>
        <v>2186247.0224857214</v>
      </c>
      <c r="AT261" s="2">
        <f t="shared" si="21"/>
        <v>567275164.46767855</v>
      </c>
      <c r="BF261" s="2">
        <v>258</v>
      </c>
      <c r="BG261" s="2">
        <f>求节点(节奏总纲!D$4:D$163,AZ$4:AZ$163,$AN261)</f>
        <v>8320.4024147595374</v>
      </c>
      <c r="BH261" s="2">
        <f>求节点(节奏总纲!E$4:E$163,BA$4:BA$163,$AN261)</f>
        <v>25656.066983723325</v>
      </c>
      <c r="BI261" s="2">
        <f>求节点(节奏总纲!F$4:F$163,BB$4:BB$163,$AN261)</f>
        <v>79709.570784898286</v>
      </c>
      <c r="BJ261" s="2">
        <f>求节点(节奏总纲!G$4:G$163,BC$4:BC$163,$AN261)</f>
        <v>38249.431144168877</v>
      </c>
      <c r="BK261" s="2">
        <f>求节点(节奏总纲!H$4:H$163,BD$4:BD$163,$AN261)</f>
        <v>11315.220649019142</v>
      </c>
      <c r="BL261" s="2">
        <f>BG261*其他调用!H262*其他调用!$M262</f>
        <v>399067.71891812561</v>
      </c>
      <c r="BM261" s="2">
        <f>BH261*其他调用!I262*其他调用!$M262</f>
        <v>1213314.2441704352</v>
      </c>
      <c r="BN261" s="2">
        <f>BI261*其他调用!J262*其他调用!$M262</f>
        <v>307712.42237174779</v>
      </c>
      <c r="BO261" s="2">
        <f>BJ261*其他调用!K262*其他调用!$M262</f>
        <v>26269.556312090615</v>
      </c>
      <c r="BP261" s="2">
        <f>BK261*其他调用!L262*其他调用!$M262</f>
        <v>2248.5606473730836</v>
      </c>
      <c r="BQ261" s="2">
        <f t="shared" si="22"/>
        <v>1948612.5024197726</v>
      </c>
      <c r="BR261" s="2">
        <f>[1]服务器生态!$R260</f>
        <v>1.6289841650165445E-2</v>
      </c>
      <c r="BS261" s="2" t="e">
        <f>SUMPRODUCT((BG$4:BG261)*($BR$4:$BR261)*(其他调用!#REF!))</f>
        <v>#REF!</v>
      </c>
      <c r="BT261" s="2" t="e">
        <f>SUMPRODUCT((BH$4:BH261)*($BR$4:$BR261)*(其他调用!#REF!))</f>
        <v>#REF!</v>
      </c>
      <c r="BU261" s="2" t="e">
        <f>SUMPRODUCT((BI$4:BI261)*($BR$4:$BR261)*(其他调用!#REF!))</f>
        <v>#REF!</v>
      </c>
      <c r="BV261" s="2" t="e">
        <f>SUMPRODUCT((BJ$4:BJ261)*($BR$4:$BR261)*(其他调用!#REF!))</f>
        <v>#REF!</v>
      </c>
      <c r="BW261" s="2" t="e">
        <f>SUMPRODUCT((BK$4:BK261)*($BR$4:$BR261)*(其他调用!#REF!))</f>
        <v>#REF!</v>
      </c>
      <c r="BX261" s="2" t="e">
        <f>SUMPRODUCT((BG$4:BG261)*($BR$4:$BR261))*'[1]功能-战损相关'!$D$2-BS261</f>
        <v>#REF!</v>
      </c>
      <c r="BY261" s="2" t="e">
        <f>SUMPRODUCT((BH$4:BH261)*($BR$4:$BR261))*'[1]功能-战损相关'!$D$2-BT261</f>
        <v>#REF!</v>
      </c>
      <c r="BZ261" s="2" t="e">
        <f>SUMPRODUCT((BI$4:BI261)*($BR$4:$BR261))*'[1]功能-战损相关'!$D$2-BU261</f>
        <v>#REF!</v>
      </c>
      <c r="CA261" s="2" t="e">
        <f>SUMPRODUCT((BJ$4:BJ261)*($BR$4:$BR261))*'[1]功能-战损相关'!$D$2-BV261</f>
        <v>#REF!</v>
      </c>
      <c r="CB261" s="2" t="e">
        <f>SUMPRODUCT((BK$4:BK261)*($BR$4:$BR261))*'[1]功能-战损相关'!$D$2-BW261</f>
        <v>#REF!</v>
      </c>
    </row>
    <row r="262" spans="40:80" x14ac:dyDescent="0.2">
      <c r="AN262" s="2">
        <v>259</v>
      </c>
      <c r="AO262" s="2">
        <f>求节点(节奏总纲!D$4:D$163,AH$4:AH$163,$AN262)*其他调用!H263*其他调用!$M263</f>
        <v>247419473.81583783</v>
      </c>
      <c r="AP262" s="2">
        <f>求节点(节奏总纲!E$4:E$163,AI$4:AI$163,$AN262)*其他调用!I263*其他调用!$M263</f>
        <v>284409768.09180474</v>
      </c>
      <c r="AQ262" s="2">
        <f>求节点(节奏总纲!F$4:F$163,AJ$4:AJ$163,$AN262)*其他调用!J263*其他调用!$M263</f>
        <v>27798907.428070687</v>
      </c>
      <c r="AR262" s="2">
        <f>求节点(节奏总纲!G$4:G$163,AK$4:AK$163,$AN262)*其他调用!K263*其他调用!$M263</f>
        <v>6392987.1438165614</v>
      </c>
      <c r="AS262" s="2">
        <f>求节点(节奏总纲!H$4:H$163,AL$4:AL$163,$AN262)*其他调用!L263*其他调用!$M263</f>
        <v>2187880.3393398155</v>
      </c>
      <c r="AT262" s="2">
        <f t="shared" si="21"/>
        <v>568209016.81886971</v>
      </c>
      <c r="BF262" s="2">
        <v>259</v>
      </c>
      <c r="BG262" s="2">
        <f>求节点(节奏总纲!D$4:D$163,AZ$4:AZ$163,$AN262)</f>
        <v>8324.811261394716</v>
      </c>
      <c r="BH262" s="2">
        <f>求节点(节奏总纲!E$4:E$163,BA$4:BA$163,$AN262)</f>
        <v>25669.214285612048</v>
      </c>
      <c r="BI262" s="2">
        <f>求节点(节奏总纲!F$4:F$163,BB$4:BB$163,$AN262)</f>
        <v>79749.178959565921</v>
      </c>
      <c r="BJ262" s="2">
        <f>求节点(节奏总纲!G$4:G$163,BC$4:BC$163,$AN262)</f>
        <v>38262.225139231996</v>
      </c>
      <c r="BK262" s="2">
        <f>求节点(节奏总纲!H$4:H$163,BD$4:BD$163,$AN262)</f>
        <v>11319.710318529636</v>
      </c>
      <c r="BL262" s="2">
        <f>BG262*其他调用!H263*其他调用!$M263</f>
        <v>399279.17844640993</v>
      </c>
      <c r="BM262" s="2">
        <f>BH262*其他调用!I263*其他调用!$M263</f>
        <v>1213935.999978296</v>
      </c>
      <c r="BN262" s="2">
        <f>BI262*其他调用!J263*其他调用!$M263</f>
        <v>307865.32656195591</v>
      </c>
      <c r="BO262" s="2">
        <f>BJ262*其他调用!K263*其他调用!$M263</f>
        <v>26278.343176723985</v>
      </c>
      <c r="BP262" s="2">
        <f>BK262*其他调用!L263*其他调用!$M263</f>
        <v>2249.4528344982091</v>
      </c>
      <c r="BQ262" s="2">
        <f t="shared" si="22"/>
        <v>1949608.300997884</v>
      </c>
      <c r="BR262" s="2">
        <f>[1]服务器生态!$R261</f>
        <v>1.6289841650165445E-2</v>
      </c>
      <c r="BS262" s="2" t="e">
        <f>SUMPRODUCT((BG$4:BG262)*($BR$4:$BR262)*(其他调用!#REF!))</f>
        <v>#REF!</v>
      </c>
      <c r="BT262" s="2" t="e">
        <f>SUMPRODUCT((BH$4:BH262)*($BR$4:$BR262)*(其他调用!#REF!))</f>
        <v>#REF!</v>
      </c>
      <c r="BU262" s="2" t="e">
        <f>SUMPRODUCT((BI$4:BI262)*($BR$4:$BR262)*(其他调用!#REF!))</f>
        <v>#REF!</v>
      </c>
      <c r="BV262" s="2" t="e">
        <f>SUMPRODUCT((BJ$4:BJ262)*($BR$4:$BR262)*(其他调用!#REF!))</f>
        <v>#REF!</v>
      </c>
      <c r="BW262" s="2" t="e">
        <f>SUMPRODUCT((BK$4:BK262)*($BR$4:$BR262)*(其他调用!#REF!))</f>
        <v>#REF!</v>
      </c>
      <c r="BX262" s="2" t="e">
        <f>SUMPRODUCT((BG$4:BG262)*($BR$4:$BR262))*'[1]功能-战损相关'!$D$2-BS262</f>
        <v>#REF!</v>
      </c>
      <c r="BY262" s="2" t="e">
        <f>SUMPRODUCT((BH$4:BH262)*($BR$4:$BR262))*'[1]功能-战损相关'!$D$2-BT262</f>
        <v>#REF!</v>
      </c>
      <c r="BZ262" s="2" t="e">
        <f>SUMPRODUCT((BI$4:BI262)*($BR$4:$BR262))*'[1]功能-战损相关'!$D$2-BU262</f>
        <v>#REF!</v>
      </c>
      <c r="CA262" s="2" t="e">
        <f>SUMPRODUCT((BJ$4:BJ262)*($BR$4:$BR262))*'[1]功能-战损相关'!$D$2-BV262</f>
        <v>#REF!</v>
      </c>
      <c r="CB262" s="2" t="e">
        <f>SUMPRODUCT((BK$4:BK262)*($BR$4:$BR262))*'[1]功能-战损相关'!$D$2-BW262</f>
        <v>#REF!</v>
      </c>
    </row>
    <row r="263" spans="40:80" x14ac:dyDescent="0.2">
      <c r="AN263" s="2">
        <v>260</v>
      </c>
      <c r="AO263" s="2">
        <f>求节点(节奏总纲!D$4:D$163,AH$4:AH$163,$AN263)*其他调用!H264*其他调用!$M264</f>
        <v>247801773.6836729</v>
      </c>
      <c r="AP263" s="2">
        <f>求节点(节奏总纲!E$4:E$163,AI$4:AI$163,$AN263)*其他调用!I264*其他调用!$M264</f>
        <v>284903526.49986684</v>
      </c>
      <c r="AQ263" s="2">
        <f>求节点(节奏总纲!F$4:F$163,AJ$4:AJ$163,$AN263)*其他调用!J264*其他调用!$M264</f>
        <v>27848647.3751713</v>
      </c>
      <c r="AR263" s="2">
        <f>求节点(节奏总纲!G$4:G$163,AK$4:AK$163,$AN263)*其他调用!K264*其他调用!$M264</f>
        <v>6399407.9551556893</v>
      </c>
      <c r="AS263" s="2">
        <f>求节点(节奏总纲!H$4:H$163,AL$4:AL$163,$AN263)*其他调用!L264*其他调用!$M264</f>
        <v>2189513.6561939092</v>
      </c>
      <c r="AT263" s="2">
        <f t="shared" si="21"/>
        <v>569142869.17006063</v>
      </c>
      <c r="BF263" s="2">
        <v>260</v>
      </c>
      <c r="BG263" s="2">
        <f>求节点(节奏总纲!D$4:D$163,AZ$4:AZ$163,$AN263)</f>
        <v>8329.2201080298946</v>
      </c>
      <c r="BH263" s="2">
        <f>求节点(节奏总纲!E$4:E$163,BA$4:BA$163,$AN263)</f>
        <v>25682.361587500771</v>
      </c>
      <c r="BI263" s="2">
        <f>求节点(节奏总纲!F$4:F$163,BB$4:BB$163,$AN263)</f>
        <v>79788.787134233571</v>
      </c>
      <c r="BJ263" s="2">
        <f>求节点(节奏总纲!G$4:G$163,BC$4:BC$163,$AN263)</f>
        <v>38275.019134295115</v>
      </c>
      <c r="BK263" s="2">
        <f>求节点(节奏总纲!H$4:H$163,BD$4:BD$163,$AN263)</f>
        <v>11324.199988040133</v>
      </c>
      <c r="BL263" s="2">
        <f>BG263*其他调用!H264*其他调用!$M264</f>
        <v>399490.6379746942</v>
      </c>
      <c r="BM263" s="2">
        <f>BH263*其他调用!I264*其他调用!$M264</f>
        <v>1214557.7557861567</v>
      </c>
      <c r="BN263" s="2">
        <f>BI263*其他调用!J264*其他调用!$M264</f>
        <v>308018.23075216409</v>
      </c>
      <c r="BO263" s="2">
        <f>BJ263*其他调用!K264*其他调用!$M264</f>
        <v>26287.130041357359</v>
      </c>
      <c r="BP263" s="2">
        <f>BK263*其他调用!L264*其他调用!$M264</f>
        <v>2250.345021623335</v>
      </c>
      <c r="BQ263" s="2">
        <f t="shared" si="22"/>
        <v>1950604.0995759957</v>
      </c>
      <c r="BR263" s="2">
        <f>[1]服务器生态!$R262</f>
        <v>1.6289841650165445E-2</v>
      </c>
      <c r="BS263" s="2" t="e">
        <f>SUMPRODUCT((BG$4:BG263)*($BR$4:$BR263)*(其他调用!#REF!))</f>
        <v>#REF!</v>
      </c>
      <c r="BT263" s="2" t="e">
        <f>SUMPRODUCT((BH$4:BH263)*($BR$4:$BR263)*(其他调用!#REF!))</f>
        <v>#REF!</v>
      </c>
      <c r="BU263" s="2" t="e">
        <f>SUMPRODUCT((BI$4:BI263)*($BR$4:$BR263)*(其他调用!#REF!))</f>
        <v>#REF!</v>
      </c>
      <c r="BV263" s="2" t="e">
        <f>SUMPRODUCT((BJ$4:BJ263)*($BR$4:$BR263)*(其他调用!#REF!))</f>
        <v>#REF!</v>
      </c>
      <c r="BW263" s="2" t="e">
        <f>SUMPRODUCT((BK$4:BK263)*($BR$4:$BR263)*(其他调用!#REF!))</f>
        <v>#REF!</v>
      </c>
      <c r="BX263" s="2" t="e">
        <f>SUMPRODUCT((BG$4:BG263)*($BR$4:$BR263))*'[1]功能-战损相关'!$D$2-BS263</f>
        <v>#REF!</v>
      </c>
      <c r="BY263" s="2" t="e">
        <f>SUMPRODUCT((BH$4:BH263)*($BR$4:$BR263))*'[1]功能-战损相关'!$D$2-BT263</f>
        <v>#REF!</v>
      </c>
      <c r="BZ263" s="2" t="e">
        <f>SUMPRODUCT((BI$4:BI263)*($BR$4:$BR263))*'[1]功能-战损相关'!$D$2-BU263</f>
        <v>#REF!</v>
      </c>
      <c r="CA263" s="2" t="e">
        <f>SUMPRODUCT((BJ$4:BJ263)*($BR$4:$BR263))*'[1]功能-战损相关'!$D$2-BV263</f>
        <v>#REF!</v>
      </c>
      <c r="CB263" s="2" t="e">
        <f>SUMPRODUCT((BK$4:BK263)*($BR$4:$BR263))*'[1]功能-战损相关'!$D$2-BW263</f>
        <v>#REF!</v>
      </c>
    </row>
    <row r="264" spans="40:80" x14ac:dyDescent="0.2">
      <c r="AN264" s="2">
        <v>261</v>
      </c>
      <c r="AO264" s="2">
        <f>求节点(节奏总纲!D$4:D$163,AH$4:AH$163,$AN264)*其他调用!H265*其他调用!$M265</f>
        <v>248184073.55150798</v>
      </c>
      <c r="AP264" s="2">
        <f>求节点(节奏总纲!E$4:E$163,AI$4:AI$163,$AN264)*其他调用!I265*其他调用!$M265</f>
        <v>285397284.907929</v>
      </c>
      <c r="AQ264" s="2">
        <f>求节点(节奏总纲!F$4:F$163,AJ$4:AJ$163,$AN264)*其他调用!J265*其他调用!$M265</f>
        <v>27898387.322271924</v>
      </c>
      <c r="AR264" s="2">
        <f>求节点(节奏总纲!G$4:G$163,AK$4:AK$163,$AN264)*其他调用!K265*其他调用!$M265</f>
        <v>6405828.766494818</v>
      </c>
      <c r="AS264" s="2">
        <f>求节点(节奏总纲!H$4:H$163,AL$4:AL$163,$AN264)*其他调用!L265*其他调用!$M265</f>
        <v>2191146.9730480034</v>
      </c>
      <c r="AT264" s="2">
        <f t="shared" si="21"/>
        <v>570076721.5212518</v>
      </c>
      <c r="BF264" s="2">
        <v>261</v>
      </c>
      <c r="BG264" s="2">
        <f>求节点(节奏总纲!D$4:D$163,AZ$4:AZ$163,$AN264)</f>
        <v>8333.6289546650733</v>
      </c>
      <c r="BH264" s="2">
        <f>求节点(节奏总纲!E$4:E$163,BA$4:BA$163,$AN264)</f>
        <v>25695.50888938949</v>
      </c>
      <c r="BI264" s="2">
        <f>求节点(节奏总纲!F$4:F$163,BB$4:BB$163,$AN264)</f>
        <v>79828.395308901207</v>
      </c>
      <c r="BJ264" s="2">
        <f>求节点(节奏总纲!G$4:G$163,BC$4:BC$163,$AN264)</f>
        <v>38287.813129358234</v>
      </c>
      <c r="BK264" s="2">
        <f>求节点(节奏总纲!H$4:H$163,BD$4:BD$163,$AN264)</f>
        <v>11328.689657550627</v>
      </c>
      <c r="BL264" s="2">
        <f>BG264*其他调用!H265*其他调用!$M265</f>
        <v>399702.09750297852</v>
      </c>
      <c r="BM264" s="2">
        <f>BH264*其他调用!I265*其他调用!$M265</f>
        <v>1215179.5115940175</v>
      </c>
      <c r="BN264" s="2">
        <f>BI264*其他调用!J265*其他调用!$M265</f>
        <v>308171.13494237221</v>
      </c>
      <c r="BO264" s="2">
        <f>BJ264*其他调用!K265*其他调用!$M265</f>
        <v>26295.916905990725</v>
      </c>
      <c r="BP264" s="2">
        <f>BK264*其他调用!L265*其他调用!$M265</f>
        <v>2251.2372087484605</v>
      </c>
      <c r="BQ264" s="2">
        <f t="shared" si="22"/>
        <v>1951599.8981541076</v>
      </c>
      <c r="BR264" s="2">
        <f>[1]服务器生态!$R263</f>
        <v>1.6289841650165445E-2</v>
      </c>
      <c r="BS264" s="2" t="e">
        <f>SUMPRODUCT((BG$4:BG264)*($BR$4:$BR264)*(其他调用!#REF!))</f>
        <v>#REF!</v>
      </c>
      <c r="BT264" s="2" t="e">
        <f>SUMPRODUCT((BH$4:BH264)*($BR$4:$BR264)*(其他调用!#REF!))</f>
        <v>#REF!</v>
      </c>
      <c r="BU264" s="2" t="e">
        <f>SUMPRODUCT((BI$4:BI264)*($BR$4:$BR264)*(其他调用!#REF!))</f>
        <v>#REF!</v>
      </c>
      <c r="BV264" s="2" t="e">
        <f>SUMPRODUCT((BJ$4:BJ264)*($BR$4:$BR264)*(其他调用!#REF!))</f>
        <v>#REF!</v>
      </c>
      <c r="BW264" s="2" t="e">
        <f>SUMPRODUCT((BK$4:BK264)*($BR$4:$BR264)*(其他调用!#REF!))</f>
        <v>#REF!</v>
      </c>
      <c r="BX264" s="2" t="e">
        <f>SUMPRODUCT((BG$4:BG264)*($BR$4:$BR264))*'[1]功能-战损相关'!$D$2-BS264</f>
        <v>#REF!</v>
      </c>
      <c r="BY264" s="2" t="e">
        <f>SUMPRODUCT((BH$4:BH264)*($BR$4:$BR264))*'[1]功能-战损相关'!$D$2-BT264</f>
        <v>#REF!</v>
      </c>
      <c r="BZ264" s="2" t="e">
        <f>SUMPRODUCT((BI$4:BI264)*($BR$4:$BR264))*'[1]功能-战损相关'!$D$2-BU264</f>
        <v>#REF!</v>
      </c>
      <c r="CA264" s="2" t="e">
        <f>SUMPRODUCT((BJ$4:BJ264)*($BR$4:$BR264))*'[1]功能-战损相关'!$D$2-BV264</f>
        <v>#REF!</v>
      </c>
      <c r="CB264" s="2" t="e">
        <f>SUMPRODUCT((BK$4:BK264)*($BR$4:$BR264))*'[1]功能-战损相关'!$D$2-BW264</f>
        <v>#REF!</v>
      </c>
    </row>
    <row r="265" spans="40:80" x14ac:dyDescent="0.2">
      <c r="AN265" s="2">
        <v>262</v>
      </c>
      <c r="AO265" s="2">
        <f>求节点(节奏总纲!D$4:D$163,AH$4:AH$163,$AN265)*其他调用!H266*其他调用!$M266</f>
        <v>248566373.41934302</v>
      </c>
      <c r="AP265" s="2">
        <f>求节点(节奏总纲!E$4:E$163,AI$4:AI$163,$AN265)*其他调用!I266*其他调用!$M266</f>
        <v>285891043.31599104</v>
      </c>
      <c r="AQ265" s="2">
        <f>求节点(节奏总纲!F$4:F$163,AJ$4:AJ$163,$AN265)*其他调用!J266*其他调用!$M266</f>
        <v>27948127.269372538</v>
      </c>
      <c r="AR265" s="2">
        <f>求节点(节奏总纲!G$4:G$163,AK$4:AK$163,$AN265)*其他调用!K266*其他调用!$M266</f>
        <v>6412249.5778339477</v>
      </c>
      <c r="AS265" s="2">
        <f>求节点(节奏总纲!H$4:H$163,AL$4:AL$163,$AN265)*其他调用!L266*其他调用!$M266</f>
        <v>2192780.2899020975</v>
      </c>
      <c r="AT265" s="2">
        <f t="shared" si="21"/>
        <v>571010573.8724426</v>
      </c>
      <c r="BF265" s="2">
        <v>262</v>
      </c>
      <c r="BG265" s="2">
        <f>求节点(节奏总纲!D$4:D$163,AZ$4:AZ$163,$AN265)</f>
        <v>8338.0378013002519</v>
      </c>
      <c r="BH265" s="2">
        <f>求节点(节奏总纲!E$4:E$163,BA$4:BA$163,$AN265)</f>
        <v>25708.656191278213</v>
      </c>
      <c r="BI265" s="2">
        <f>求节点(节奏总纲!F$4:F$163,BB$4:BB$163,$AN265)</f>
        <v>79868.003483568842</v>
      </c>
      <c r="BJ265" s="2">
        <f>求节点(节奏总纲!G$4:G$163,BC$4:BC$163,$AN265)</f>
        <v>38300.607124421353</v>
      </c>
      <c r="BK265" s="2">
        <f>求节点(节奏总纲!H$4:H$163,BD$4:BD$163,$AN265)</f>
        <v>11333.179327061123</v>
      </c>
      <c r="BL265" s="2">
        <f>BG265*其他调用!H266*其他调用!$M266</f>
        <v>399913.55703126284</v>
      </c>
      <c r="BM265" s="2">
        <f>BH265*其他调用!I266*其他调用!$M266</f>
        <v>1215801.2674018783</v>
      </c>
      <c r="BN265" s="2">
        <f>BI265*其他调用!J266*其他调用!$M266</f>
        <v>308324.03913258034</v>
      </c>
      <c r="BO265" s="2">
        <f>BJ265*其他调用!K266*其他调用!$M266</f>
        <v>26304.703770624092</v>
      </c>
      <c r="BP265" s="2">
        <f>BK265*其他调用!L266*其他调用!$M266</f>
        <v>2252.129395873586</v>
      </c>
      <c r="BQ265" s="2">
        <f t="shared" si="22"/>
        <v>1952595.6967322191</v>
      </c>
      <c r="BR265" s="2">
        <f>[1]服务器生态!$R264</f>
        <v>1.6289841650165445E-2</v>
      </c>
      <c r="BS265" s="2" t="e">
        <f>SUMPRODUCT((BG$4:BG265)*($BR$4:$BR265)*(其他调用!#REF!))</f>
        <v>#REF!</v>
      </c>
      <c r="BT265" s="2" t="e">
        <f>SUMPRODUCT((BH$4:BH265)*($BR$4:$BR265)*(其他调用!#REF!))</f>
        <v>#REF!</v>
      </c>
      <c r="BU265" s="2" t="e">
        <f>SUMPRODUCT((BI$4:BI265)*($BR$4:$BR265)*(其他调用!#REF!))</f>
        <v>#REF!</v>
      </c>
      <c r="BV265" s="2" t="e">
        <f>SUMPRODUCT((BJ$4:BJ265)*($BR$4:$BR265)*(其他调用!#REF!))</f>
        <v>#REF!</v>
      </c>
      <c r="BW265" s="2" t="e">
        <f>SUMPRODUCT((BK$4:BK265)*($BR$4:$BR265)*(其他调用!#REF!))</f>
        <v>#REF!</v>
      </c>
      <c r="BX265" s="2" t="e">
        <f>SUMPRODUCT((BG$4:BG265)*($BR$4:$BR265))*'[1]功能-战损相关'!$D$2-BS265</f>
        <v>#REF!</v>
      </c>
      <c r="BY265" s="2" t="e">
        <f>SUMPRODUCT((BH$4:BH265)*($BR$4:$BR265))*'[1]功能-战损相关'!$D$2-BT265</f>
        <v>#REF!</v>
      </c>
      <c r="BZ265" s="2" t="e">
        <f>SUMPRODUCT((BI$4:BI265)*($BR$4:$BR265))*'[1]功能-战损相关'!$D$2-BU265</f>
        <v>#REF!</v>
      </c>
      <c r="CA265" s="2" t="e">
        <f>SUMPRODUCT((BJ$4:BJ265)*($BR$4:$BR265))*'[1]功能-战损相关'!$D$2-BV265</f>
        <v>#REF!</v>
      </c>
      <c r="CB265" s="2" t="e">
        <f>SUMPRODUCT((BK$4:BK265)*($BR$4:$BR265))*'[1]功能-战损相关'!$D$2-BW265</f>
        <v>#REF!</v>
      </c>
    </row>
    <row r="266" spans="40:80" x14ac:dyDescent="0.2">
      <c r="AN266" s="2">
        <v>263</v>
      </c>
      <c r="AO266" s="2">
        <f>求节点(节奏总纲!D$4:D$163,AH$4:AH$163,$AN266)*其他调用!H267*其他调用!$M267</f>
        <v>248948673.2871781</v>
      </c>
      <c r="AP266" s="2">
        <f>求节点(节奏总纲!E$4:E$163,AI$4:AI$163,$AN266)*其他调用!I267*其他调用!$M267</f>
        <v>286384801.72405314</v>
      </c>
      <c r="AQ266" s="2">
        <f>求节点(节奏总纲!F$4:F$163,AJ$4:AJ$163,$AN266)*其他调用!J267*其他调用!$M267</f>
        <v>27997867.216473158</v>
      </c>
      <c r="AR266" s="2">
        <f>求节点(节奏总纲!G$4:G$163,AK$4:AK$163,$AN266)*其他调用!K267*其他调用!$M267</f>
        <v>6418670.3891730765</v>
      </c>
      <c r="AS266" s="2">
        <f>求节点(节奏总纲!H$4:H$163,AL$4:AL$163,$AN266)*其他调用!L267*其他调用!$M267</f>
        <v>2194413.6067561917</v>
      </c>
      <c r="AT266" s="2">
        <f t="shared" si="21"/>
        <v>571944426.22363365</v>
      </c>
      <c r="BF266" s="2">
        <v>263</v>
      </c>
      <c r="BG266" s="2">
        <f>求节点(节奏总纲!D$4:D$163,AZ$4:AZ$163,$AN266)</f>
        <v>8342.4466479354323</v>
      </c>
      <c r="BH266" s="2">
        <f>求节点(节奏总纲!E$4:E$163,BA$4:BA$163,$AN266)</f>
        <v>25721.803493166935</v>
      </c>
      <c r="BI266" s="2">
        <f>求节点(节奏总纲!F$4:F$163,BB$4:BB$163,$AN266)</f>
        <v>79907.611658236492</v>
      </c>
      <c r="BJ266" s="2">
        <f>求节点(节奏总纲!G$4:G$163,BC$4:BC$163,$AN266)</f>
        <v>38313.401119484464</v>
      </c>
      <c r="BK266" s="2">
        <f>求节点(节奏总纲!H$4:H$163,BD$4:BD$163,$AN266)</f>
        <v>11337.668996571618</v>
      </c>
      <c r="BL266" s="2">
        <f>BG266*其他调用!H267*其他调用!$M267</f>
        <v>400125.01655954722</v>
      </c>
      <c r="BM266" s="2">
        <f>BH266*其他调用!I267*其他调用!$M267</f>
        <v>1216423.0232097392</v>
      </c>
      <c r="BN266" s="2">
        <f>BI266*其他调用!J267*其他调用!$M267</f>
        <v>308476.94332278852</v>
      </c>
      <c r="BO266" s="2">
        <f>BJ266*其他调用!K267*其他调用!$M267</f>
        <v>26313.490635257462</v>
      </c>
      <c r="BP266" s="2">
        <f>BK266*其他调用!L267*其他调用!$M267</f>
        <v>2253.0215829987119</v>
      </c>
      <c r="BQ266" s="2">
        <f t="shared" si="22"/>
        <v>1953591.4953103312</v>
      </c>
      <c r="BR266" s="2">
        <f>[1]服务器生态!$R265</f>
        <v>1.6289841650165445E-2</v>
      </c>
      <c r="BS266" s="2" t="e">
        <f>SUMPRODUCT((BG$4:BG266)*($BR$4:$BR266)*(其他调用!#REF!))</f>
        <v>#REF!</v>
      </c>
      <c r="BT266" s="2" t="e">
        <f>SUMPRODUCT((BH$4:BH266)*($BR$4:$BR266)*(其他调用!#REF!))</f>
        <v>#REF!</v>
      </c>
      <c r="BU266" s="2" t="e">
        <f>SUMPRODUCT((BI$4:BI266)*($BR$4:$BR266)*(其他调用!#REF!))</f>
        <v>#REF!</v>
      </c>
      <c r="BV266" s="2" t="e">
        <f>SUMPRODUCT((BJ$4:BJ266)*($BR$4:$BR266)*(其他调用!#REF!))</f>
        <v>#REF!</v>
      </c>
      <c r="BW266" s="2" t="e">
        <f>SUMPRODUCT((BK$4:BK266)*($BR$4:$BR266)*(其他调用!#REF!))</f>
        <v>#REF!</v>
      </c>
      <c r="BX266" s="2" t="e">
        <f>SUMPRODUCT((BG$4:BG266)*($BR$4:$BR266))*'[1]功能-战损相关'!$D$2-BS266</f>
        <v>#REF!</v>
      </c>
      <c r="BY266" s="2" t="e">
        <f>SUMPRODUCT((BH$4:BH266)*($BR$4:$BR266))*'[1]功能-战损相关'!$D$2-BT266</f>
        <v>#REF!</v>
      </c>
      <c r="BZ266" s="2" t="e">
        <f>SUMPRODUCT((BI$4:BI266)*($BR$4:$BR266))*'[1]功能-战损相关'!$D$2-BU266</f>
        <v>#REF!</v>
      </c>
      <c r="CA266" s="2" t="e">
        <f>SUMPRODUCT((BJ$4:BJ266)*($BR$4:$BR266))*'[1]功能-战损相关'!$D$2-BV266</f>
        <v>#REF!</v>
      </c>
      <c r="CB266" s="2" t="e">
        <f>SUMPRODUCT((BK$4:BK266)*($BR$4:$BR266))*'[1]功能-战损相关'!$D$2-BW266</f>
        <v>#REF!</v>
      </c>
    </row>
    <row r="267" spans="40:80" x14ac:dyDescent="0.2">
      <c r="AN267" s="2">
        <v>264</v>
      </c>
      <c r="AO267" s="2">
        <f>求节点(节奏总纲!D$4:D$163,AH$4:AH$163,$AN267)*其他调用!H268*其他调用!$M268</f>
        <v>249330973.15501323</v>
      </c>
      <c r="AP267" s="2">
        <f>求节点(节奏总纲!E$4:E$163,AI$4:AI$163,$AN267)*其他调用!I268*其他调用!$M268</f>
        <v>286878560.13211536</v>
      </c>
      <c r="AQ267" s="2">
        <f>求节点(节奏总纲!F$4:F$163,AJ$4:AJ$163,$AN267)*其他调用!J268*其他调用!$M268</f>
        <v>28047607.163573772</v>
      </c>
      <c r="AR267" s="2">
        <f>求节点(节奏总纲!G$4:G$163,AK$4:AK$163,$AN267)*其他调用!K268*其他调用!$M268</f>
        <v>6425091.2005122062</v>
      </c>
      <c r="AS267" s="2">
        <f>求节点(节奏总纲!H$4:H$163,AL$4:AL$163,$AN267)*其他调用!L268*其他调用!$M268</f>
        <v>2196046.9236102859</v>
      </c>
      <c r="AT267" s="2">
        <f t="shared" si="21"/>
        <v>572878278.57482481</v>
      </c>
      <c r="BF267" s="2">
        <v>264</v>
      </c>
      <c r="BG267" s="2">
        <f>求节点(节奏总纲!D$4:D$163,AZ$4:AZ$163,$AN267)</f>
        <v>8346.855494570611</v>
      </c>
      <c r="BH267" s="2">
        <f>求节点(节奏总纲!E$4:E$163,BA$4:BA$163,$AN267)</f>
        <v>25734.950795055654</v>
      </c>
      <c r="BI267" s="2">
        <f>求节点(节奏总纲!F$4:F$163,BB$4:BB$163,$AN267)</f>
        <v>79947.219832904128</v>
      </c>
      <c r="BJ267" s="2">
        <f>求节点(节奏总纲!G$4:G$163,BC$4:BC$163,$AN267)</f>
        <v>38326.195114547583</v>
      </c>
      <c r="BK267" s="2">
        <f>求节点(节奏总纲!H$4:H$163,BD$4:BD$163,$AN267)</f>
        <v>11342.158666082112</v>
      </c>
      <c r="BL267" s="2">
        <f>BG267*其他调用!H268*其他调用!$M268</f>
        <v>400336.47608783148</v>
      </c>
      <c r="BM267" s="2">
        <f>BH267*其他调用!I268*其他调用!$M268</f>
        <v>1217044.7790175998</v>
      </c>
      <c r="BN267" s="2">
        <f>BI267*其他调用!J268*其他调用!$M268</f>
        <v>308629.84751299664</v>
      </c>
      <c r="BO267" s="2">
        <f>BJ267*其他调用!K268*其他调用!$M268</f>
        <v>26322.277499890828</v>
      </c>
      <c r="BP267" s="2">
        <f>BK267*其他调用!L268*其他调用!$M268</f>
        <v>2253.9137701238369</v>
      </c>
      <c r="BQ267" s="2">
        <f t="shared" si="22"/>
        <v>1954587.2938884427</v>
      </c>
      <c r="BR267" s="2">
        <f>[1]服务器生态!$R266</f>
        <v>1.6289841650165445E-2</v>
      </c>
      <c r="BS267" s="2" t="e">
        <f>SUMPRODUCT((BG$4:BG267)*($BR$4:$BR267)*(其他调用!#REF!))</f>
        <v>#REF!</v>
      </c>
      <c r="BT267" s="2" t="e">
        <f>SUMPRODUCT((BH$4:BH267)*($BR$4:$BR267)*(其他调用!#REF!))</f>
        <v>#REF!</v>
      </c>
      <c r="BU267" s="2" t="e">
        <f>SUMPRODUCT((BI$4:BI267)*($BR$4:$BR267)*(其他调用!#REF!))</f>
        <v>#REF!</v>
      </c>
      <c r="BV267" s="2" t="e">
        <f>SUMPRODUCT((BJ$4:BJ267)*($BR$4:$BR267)*(其他调用!#REF!))</f>
        <v>#REF!</v>
      </c>
      <c r="BW267" s="2" t="e">
        <f>SUMPRODUCT((BK$4:BK267)*($BR$4:$BR267)*(其他调用!#REF!))</f>
        <v>#REF!</v>
      </c>
      <c r="BX267" s="2" t="e">
        <f>SUMPRODUCT((BG$4:BG267)*($BR$4:$BR267))*'[1]功能-战损相关'!$D$2-BS267</f>
        <v>#REF!</v>
      </c>
      <c r="BY267" s="2" t="e">
        <f>SUMPRODUCT((BH$4:BH267)*($BR$4:$BR267))*'[1]功能-战损相关'!$D$2-BT267</f>
        <v>#REF!</v>
      </c>
      <c r="BZ267" s="2" t="e">
        <f>SUMPRODUCT((BI$4:BI267)*($BR$4:$BR267))*'[1]功能-战损相关'!$D$2-BU267</f>
        <v>#REF!</v>
      </c>
      <c r="CA267" s="2" t="e">
        <f>SUMPRODUCT((BJ$4:BJ267)*($BR$4:$BR267))*'[1]功能-战损相关'!$D$2-BV267</f>
        <v>#REF!</v>
      </c>
      <c r="CB267" s="2" t="e">
        <f>SUMPRODUCT((BK$4:BK267)*($BR$4:$BR267))*'[1]功能-战损相关'!$D$2-BW267</f>
        <v>#REF!</v>
      </c>
    </row>
    <row r="268" spans="40:80" x14ac:dyDescent="0.2">
      <c r="AN268" s="2">
        <v>265</v>
      </c>
      <c r="AO268" s="2">
        <f>求节点(节奏总纲!D$4:D$163,AH$4:AH$163,$AN268)*其他调用!H269*其他调用!$M269</f>
        <v>249713273.02284831</v>
      </c>
      <c r="AP268" s="2">
        <f>求节点(节奏总纲!E$4:E$163,AI$4:AI$163,$AN268)*其他调用!I269*其他调用!$M269</f>
        <v>287372318.54017746</v>
      </c>
      <c r="AQ268" s="2">
        <f>求节点(节奏总纲!F$4:F$163,AJ$4:AJ$163,$AN268)*其他调用!J269*其他调用!$M269</f>
        <v>28097347.110674389</v>
      </c>
      <c r="AR268" s="2">
        <f>求节点(节奏总纲!G$4:G$163,AK$4:AK$163,$AN268)*其他调用!K269*其他调用!$M269</f>
        <v>6431512.011851334</v>
      </c>
      <c r="AS268" s="2">
        <f>求节点(节奏总纲!H$4:H$163,AL$4:AL$163,$AN268)*其他调用!L269*其他调用!$M269</f>
        <v>2197680.2404643795</v>
      </c>
      <c r="AT268" s="2">
        <f t="shared" si="21"/>
        <v>573812130.92601573</v>
      </c>
      <c r="BF268" s="2">
        <v>265</v>
      </c>
      <c r="BG268" s="2">
        <f>求节点(节奏总纲!D$4:D$163,AZ$4:AZ$163,$AN268)</f>
        <v>8351.2643412057896</v>
      </c>
      <c r="BH268" s="2">
        <f>求节点(节奏总纲!E$4:E$163,BA$4:BA$163,$AN268)</f>
        <v>25748.098096944377</v>
      </c>
      <c r="BI268" s="2">
        <f>求节点(节奏总纲!F$4:F$163,BB$4:BB$163,$AN268)</f>
        <v>79986.828007571763</v>
      </c>
      <c r="BJ268" s="2">
        <f>求节点(节奏总纲!G$4:G$163,BC$4:BC$163,$AN268)</f>
        <v>38338.989109610702</v>
      </c>
      <c r="BK268" s="2">
        <f>求节点(节奏总纲!H$4:H$163,BD$4:BD$163,$AN268)</f>
        <v>11346.648335592608</v>
      </c>
      <c r="BL268" s="2">
        <f>BG268*其他调用!H269*其他调用!$M269</f>
        <v>400547.93561611581</v>
      </c>
      <c r="BM268" s="2">
        <f>BH268*其他调用!I269*其他调用!$M269</f>
        <v>1217666.5348254605</v>
      </c>
      <c r="BN268" s="2">
        <f>BI268*其他调用!J269*其他调用!$M269</f>
        <v>308782.75170320476</v>
      </c>
      <c r="BO268" s="2">
        <f>BJ268*其他调用!K269*其他调用!$M269</f>
        <v>26331.064364524202</v>
      </c>
      <c r="BP268" s="2">
        <f>BK268*其他调用!L269*其他调用!$M269</f>
        <v>2254.8059572489628</v>
      </c>
      <c r="BQ268" s="2">
        <f t="shared" si="22"/>
        <v>1955583.0924665541</v>
      </c>
      <c r="BR268" s="2">
        <f>[1]服务器生态!$R267</f>
        <v>1.6289841650165445E-2</v>
      </c>
      <c r="BS268" s="2" t="e">
        <f>SUMPRODUCT((BG$4:BG268)*($BR$4:$BR268)*(其他调用!#REF!))</f>
        <v>#REF!</v>
      </c>
      <c r="BT268" s="2" t="e">
        <f>SUMPRODUCT((BH$4:BH268)*($BR$4:$BR268)*(其他调用!#REF!))</f>
        <v>#REF!</v>
      </c>
      <c r="BU268" s="2" t="e">
        <f>SUMPRODUCT((BI$4:BI268)*($BR$4:$BR268)*(其他调用!#REF!))</f>
        <v>#REF!</v>
      </c>
      <c r="BV268" s="2" t="e">
        <f>SUMPRODUCT((BJ$4:BJ268)*($BR$4:$BR268)*(其他调用!#REF!))</f>
        <v>#REF!</v>
      </c>
      <c r="BW268" s="2" t="e">
        <f>SUMPRODUCT((BK$4:BK268)*($BR$4:$BR268)*(其他调用!#REF!))</f>
        <v>#REF!</v>
      </c>
      <c r="BX268" s="2" t="e">
        <f>SUMPRODUCT((BG$4:BG268)*($BR$4:$BR268))*'[1]功能-战损相关'!$D$2-BS268</f>
        <v>#REF!</v>
      </c>
      <c r="BY268" s="2" t="e">
        <f>SUMPRODUCT((BH$4:BH268)*($BR$4:$BR268))*'[1]功能-战损相关'!$D$2-BT268</f>
        <v>#REF!</v>
      </c>
      <c r="BZ268" s="2" t="e">
        <f>SUMPRODUCT((BI$4:BI268)*($BR$4:$BR268))*'[1]功能-战损相关'!$D$2-BU268</f>
        <v>#REF!</v>
      </c>
      <c r="CA268" s="2" t="e">
        <f>SUMPRODUCT((BJ$4:BJ268)*($BR$4:$BR268))*'[1]功能-战损相关'!$D$2-BV268</f>
        <v>#REF!</v>
      </c>
      <c r="CB268" s="2" t="e">
        <f>SUMPRODUCT((BK$4:BK268)*($BR$4:$BR268))*'[1]功能-战损相关'!$D$2-BW268</f>
        <v>#REF!</v>
      </c>
    </row>
    <row r="269" spans="40:80" x14ac:dyDescent="0.2">
      <c r="AN269" s="2">
        <v>266</v>
      </c>
      <c r="AO269" s="2">
        <f>求节点(节奏总纲!D$4:D$163,AH$4:AH$163,$AN269)*其他调用!H270*其他调用!$M270</f>
        <v>250095572.89068341</v>
      </c>
      <c r="AP269" s="2">
        <f>求节点(节奏总纲!E$4:E$163,AI$4:AI$163,$AN269)*其他调用!I270*其他调用!$M270</f>
        <v>287866076.94823956</v>
      </c>
      <c r="AQ269" s="2">
        <f>求节点(节奏总纲!F$4:F$163,AJ$4:AJ$163,$AN269)*其他调用!J270*其他调用!$M270</f>
        <v>28147087.057775009</v>
      </c>
      <c r="AR269" s="2">
        <f>求节点(节奏总纲!G$4:G$163,AK$4:AK$163,$AN269)*其他调用!K270*其他调用!$M270</f>
        <v>6437932.8231904637</v>
      </c>
      <c r="AS269" s="2">
        <f>求节点(节奏总纲!H$4:H$163,AL$4:AL$163,$AN269)*其他调用!L270*其他调用!$M270</f>
        <v>2199313.5573184742</v>
      </c>
      <c r="AT269" s="2">
        <f t="shared" si="21"/>
        <v>574745983.2772069</v>
      </c>
      <c r="BF269" s="2">
        <v>266</v>
      </c>
      <c r="BG269" s="2">
        <f>求节点(节奏总纲!D$4:D$163,AZ$4:AZ$163,$AN269)</f>
        <v>8355.6731878409682</v>
      </c>
      <c r="BH269" s="2">
        <f>求节点(节奏总纲!E$4:E$163,BA$4:BA$163,$AN269)</f>
        <v>25761.2453988331</v>
      </c>
      <c r="BI269" s="2">
        <f>求节点(节奏总纲!F$4:F$163,BB$4:BB$163,$AN269)</f>
        <v>80026.436182239413</v>
      </c>
      <c r="BJ269" s="2">
        <f>求节点(节奏总纲!G$4:G$163,BC$4:BC$163,$AN269)</f>
        <v>38351.783104673821</v>
      </c>
      <c r="BK269" s="2">
        <f>求节点(节奏总纲!H$4:H$163,BD$4:BD$163,$AN269)</f>
        <v>11351.138005103103</v>
      </c>
      <c r="BL269" s="2">
        <f>BG269*其他调用!H270*其他调用!$M270</f>
        <v>400759.39514440013</v>
      </c>
      <c r="BM269" s="2">
        <f>BH269*其他调用!I270*其他调用!$M270</f>
        <v>1218288.2906333215</v>
      </c>
      <c r="BN269" s="2">
        <f>BI269*其他调用!J270*其他调用!$M270</f>
        <v>308935.65589341294</v>
      </c>
      <c r="BO269" s="2">
        <f>BJ269*其他调用!K270*其他调用!$M270</f>
        <v>26339.851229157568</v>
      </c>
      <c r="BP269" s="2">
        <f>BK269*其他调用!L270*其他调用!$M270</f>
        <v>2255.6981443740883</v>
      </c>
      <c r="BQ269" s="2">
        <f t="shared" si="22"/>
        <v>1956578.8910446663</v>
      </c>
      <c r="BR269" s="2">
        <f>[1]服务器生态!$R268</f>
        <v>1.6289841650165445E-2</v>
      </c>
      <c r="BS269" s="2" t="e">
        <f>SUMPRODUCT((BG$4:BG269)*($BR$4:$BR269)*(其他调用!#REF!))</f>
        <v>#REF!</v>
      </c>
      <c r="BT269" s="2" t="e">
        <f>SUMPRODUCT((BH$4:BH269)*($BR$4:$BR269)*(其他调用!#REF!))</f>
        <v>#REF!</v>
      </c>
      <c r="BU269" s="2" t="e">
        <f>SUMPRODUCT((BI$4:BI269)*($BR$4:$BR269)*(其他调用!#REF!))</f>
        <v>#REF!</v>
      </c>
      <c r="BV269" s="2" t="e">
        <f>SUMPRODUCT((BJ$4:BJ269)*($BR$4:$BR269)*(其他调用!#REF!))</f>
        <v>#REF!</v>
      </c>
      <c r="BW269" s="2" t="e">
        <f>SUMPRODUCT((BK$4:BK269)*($BR$4:$BR269)*(其他调用!#REF!))</f>
        <v>#REF!</v>
      </c>
      <c r="BX269" s="2" t="e">
        <f>SUMPRODUCT((BG$4:BG269)*($BR$4:$BR269))*'[1]功能-战损相关'!$D$2-BS269</f>
        <v>#REF!</v>
      </c>
      <c r="BY269" s="2" t="e">
        <f>SUMPRODUCT((BH$4:BH269)*($BR$4:$BR269))*'[1]功能-战损相关'!$D$2-BT269</f>
        <v>#REF!</v>
      </c>
      <c r="BZ269" s="2" t="e">
        <f>SUMPRODUCT((BI$4:BI269)*($BR$4:$BR269))*'[1]功能-战损相关'!$D$2-BU269</f>
        <v>#REF!</v>
      </c>
      <c r="CA269" s="2" t="e">
        <f>SUMPRODUCT((BJ$4:BJ269)*($BR$4:$BR269))*'[1]功能-战损相关'!$D$2-BV269</f>
        <v>#REF!</v>
      </c>
      <c r="CB269" s="2" t="e">
        <f>SUMPRODUCT((BK$4:BK269)*($BR$4:$BR269))*'[1]功能-战损相关'!$D$2-BW269</f>
        <v>#REF!</v>
      </c>
    </row>
    <row r="270" spans="40:80" x14ac:dyDescent="0.2">
      <c r="AN270" s="2">
        <v>267</v>
      </c>
      <c r="AO270" s="2">
        <f>求节点(节奏总纲!D$4:D$163,AH$4:AH$163,$AN270)*其他调用!H271*其他调用!$M271</f>
        <v>250477872.75851843</v>
      </c>
      <c r="AP270" s="2">
        <f>求节点(节奏总纲!E$4:E$163,AI$4:AI$163,$AN270)*其他调用!I271*其他调用!$M271</f>
        <v>288359835.35630167</v>
      </c>
      <c r="AQ270" s="2">
        <f>求节点(节奏总纲!F$4:F$163,AJ$4:AJ$163,$AN270)*其他调用!J271*其他调用!$M271</f>
        <v>28196827.004875626</v>
      </c>
      <c r="AR270" s="2">
        <f>求节点(节奏总纲!G$4:G$163,AK$4:AK$163,$AN270)*其他调用!K271*其他调用!$M271</f>
        <v>6444353.6345295925</v>
      </c>
      <c r="AS270" s="2">
        <f>求节点(节奏总纲!H$4:H$163,AL$4:AL$163,$AN270)*其他调用!L271*其他调用!$M271</f>
        <v>2200946.8741725674</v>
      </c>
      <c r="AT270" s="2">
        <f t="shared" si="21"/>
        <v>575679835.62839794</v>
      </c>
      <c r="BF270" s="2">
        <v>267</v>
      </c>
      <c r="BG270" s="2">
        <f>求节点(节奏总纲!D$4:D$163,AZ$4:AZ$163,$AN270)</f>
        <v>8360.0820344761469</v>
      </c>
      <c r="BH270" s="2">
        <f>求节点(节奏总纲!E$4:E$163,BA$4:BA$163,$AN270)</f>
        <v>25774.392700721819</v>
      </c>
      <c r="BI270" s="2">
        <f>求节点(节奏总纲!F$4:F$163,BB$4:BB$163,$AN270)</f>
        <v>80066.044356907048</v>
      </c>
      <c r="BJ270" s="2">
        <f>求节点(节奏总纲!G$4:G$163,BC$4:BC$163,$AN270)</f>
        <v>38364.577099736933</v>
      </c>
      <c r="BK270" s="2">
        <f>求节点(节奏总纲!H$4:H$163,BD$4:BD$163,$AN270)</f>
        <v>11355.627674613599</v>
      </c>
      <c r="BL270" s="2">
        <f>BG270*其他调用!H271*其他调用!$M271</f>
        <v>400970.85467268439</v>
      </c>
      <c r="BM270" s="2">
        <f>BH270*其他调用!I271*其他调用!$M271</f>
        <v>1218910.046441182</v>
      </c>
      <c r="BN270" s="2">
        <f>BI270*其他调用!J271*其他调用!$M271</f>
        <v>309088.56008362107</v>
      </c>
      <c r="BO270" s="2">
        <f>BJ270*其他调用!K271*其他调用!$M271</f>
        <v>26348.638093790934</v>
      </c>
      <c r="BP270" s="2">
        <f>BK270*其他调用!L271*其他调用!$M271</f>
        <v>2256.5903314992142</v>
      </c>
      <c r="BQ270" s="2">
        <f t="shared" si="22"/>
        <v>1957574.6896227777</v>
      </c>
      <c r="BR270" s="2">
        <f>[1]服务器生态!$R269</f>
        <v>1.6289841650165445E-2</v>
      </c>
      <c r="BS270" s="2" t="e">
        <f>SUMPRODUCT((BG$4:BG270)*($BR$4:$BR270)*(其他调用!#REF!))</f>
        <v>#REF!</v>
      </c>
      <c r="BT270" s="2" t="e">
        <f>SUMPRODUCT((BH$4:BH270)*($BR$4:$BR270)*(其他调用!#REF!))</f>
        <v>#REF!</v>
      </c>
      <c r="BU270" s="2" t="e">
        <f>SUMPRODUCT((BI$4:BI270)*($BR$4:$BR270)*(其他调用!#REF!))</f>
        <v>#REF!</v>
      </c>
      <c r="BV270" s="2" t="e">
        <f>SUMPRODUCT((BJ$4:BJ270)*($BR$4:$BR270)*(其他调用!#REF!))</f>
        <v>#REF!</v>
      </c>
      <c r="BW270" s="2" t="e">
        <f>SUMPRODUCT((BK$4:BK270)*($BR$4:$BR270)*(其他调用!#REF!))</f>
        <v>#REF!</v>
      </c>
      <c r="BX270" s="2" t="e">
        <f>SUMPRODUCT((BG$4:BG270)*($BR$4:$BR270))*'[1]功能-战损相关'!$D$2-BS270</f>
        <v>#REF!</v>
      </c>
      <c r="BY270" s="2" t="e">
        <f>SUMPRODUCT((BH$4:BH270)*($BR$4:$BR270))*'[1]功能-战损相关'!$D$2-BT270</f>
        <v>#REF!</v>
      </c>
      <c r="BZ270" s="2" t="e">
        <f>SUMPRODUCT((BI$4:BI270)*($BR$4:$BR270))*'[1]功能-战损相关'!$D$2-BU270</f>
        <v>#REF!</v>
      </c>
      <c r="CA270" s="2" t="e">
        <f>SUMPRODUCT((BJ$4:BJ270)*($BR$4:$BR270))*'[1]功能-战损相关'!$D$2-BV270</f>
        <v>#REF!</v>
      </c>
      <c r="CB270" s="2" t="e">
        <f>SUMPRODUCT((BK$4:BK270)*($BR$4:$BR270))*'[1]功能-战损相关'!$D$2-BW270</f>
        <v>#REF!</v>
      </c>
    </row>
    <row r="271" spans="40:80" x14ac:dyDescent="0.2">
      <c r="AN271" s="2">
        <v>268</v>
      </c>
      <c r="AO271" s="2">
        <f>求节点(节奏总纲!D$4:D$163,AH$4:AH$163,$AN271)*其他调用!H272*其他调用!$M272</f>
        <v>250860172.62635353</v>
      </c>
      <c r="AP271" s="2">
        <f>求节点(节奏总纲!E$4:E$163,AI$4:AI$163,$AN271)*其他调用!I272*其他调用!$M272</f>
        <v>288853593.76436383</v>
      </c>
      <c r="AQ271" s="2">
        <f>求节点(节奏总纲!F$4:F$163,AJ$4:AJ$163,$AN271)*其他调用!J272*其他调用!$M272</f>
        <v>28246566.951976251</v>
      </c>
      <c r="AR271" s="2">
        <f>求节点(节奏总纲!G$4:G$163,AK$4:AK$163,$AN271)*其他调用!K272*其他调用!$M272</f>
        <v>6450774.4458687212</v>
      </c>
      <c r="AS271" s="2">
        <f>求节点(节奏总纲!H$4:H$163,AL$4:AL$163,$AN271)*其他调用!L272*其他调用!$M272</f>
        <v>2202580.191026662</v>
      </c>
      <c r="AT271" s="2">
        <f t="shared" si="21"/>
        <v>576613687.9795891</v>
      </c>
      <c r="BF271" s="2">
        <v>268</v>
      </c>
      <c r="BG271" s="2">
        <f>求节点(节奏总纲!D$4:D$163,AZ$4:AZ$163,$AN271)</f>
        <v>8364.4908811113273</v>
      </c>
      <c r="BH271" s="2">
        <f>求节点(节奏总纲!E$4:E$163,BA$4:BA$163,$AN271)</f>
        <v>25787.540002610542</v>
      </c>
      <c r="BI271" s="2">
        <f>求节点(节奏总纲!F$4:F$163,BB$4:BB$163,$AN271)</f>
        <v>80105.652531574684</v>
      </c>
      <c r="BJ271" s="2">
        <f>求节点(节奏总纲!G$4:G$163,BC$4:BC$163,$AN271)</f>
        <v>38377.371094800052</v>
      </c>
      <c r="BK271" s="2">
        <f>求节点(节奏总纲!H$4:H$163,BD$4:BD$163,$AN271)</f>
        <v>11360.117344124094</v>
      </c>
      <c r="BL271" s="2">
        <f>BG271*其他调用!H272*其他调用!$M272</f>
        <v>401182.31420096877</v>
      </c>
      <c r="BM271" s="2">
        <f>BH271*其他调用!I272*其他调用!$M272</f>
        <v>1219531.8022490428</v>
      </c>
      <c r="BN271" s="2">
        <f>BI271*其他调用!J272*其他调用!$M272</f>
        <v>309241.46427382919</v>
      </c>
      <c r="BO271" s="2">
        <f>BJ271*其他调用!K272*其他调用!$M272</f>
        <v>26357.424958424304</v>
      </c>
      <c r="BP271" s="2">
        <f>BK271*其他调用!L272*其他调用!$M272</f>
        <v>2257.4825186243393</v>
      </c>
      <c r="BQ271" s="2">
        <f t="shared" si="22"/>
        <v>1958570.4882008894</v>
      </c>
      <c r="BR271" s="2">
        <f>[1]服务器生态!$R270</f>
        <v>1.6289841650165445E-2</v>
      </c>
      <c r="BS271" s="2" t="e">
        <f>SUMPRODUCT((BG$4:BG271)*($BR$4:$BR271)*(其他调用!#REF!))</f>
        <v>#REF!</v>
      </c>
      <c r="BT271" s="2" t="e">
        <f>SUMPRODUCT((BH$4:BH271)*($BR$4:$BR271)*(其他调用!#REF!))</f>
        <v>#REF!</v>
      </c>
      <c r="BU271" s="2" t="e">
        <f>SUMPRODUCT((BI$4:BI271)*($BR$4:$BR271)*(其他调用!#REF!))</f>
        <v>#REF!</v>
      </c>
      <c r="BV271" s="2" t="e">
        <f>SUMPRODUCT((BJ$4:BJ271)*($BR$4:$BR271)*(其他调用!#REF!))</f>
        <v>#REF!</v>
      </c>
      <c r="BW271" s="2" t="e">
        <f>SUMPRODUCT((BK$4:BK271)*($BR$4:$BR271)*(其他调用!#REF!))</f>
        <v>#REF!</v>
      </c>
      <c r="BX271" s="2" t="e">
        <f>SUMPRODUCT((BG$4:BG271)*($BR$4:$BR271))*'[1]功能-战损相关'!$D$2-BS271</f>
        <v>#REF!</v>
      </c>
      <c r="BY271" s="2" t="e">
        <f>SUMPRODUCT((BH$4:BH271)*($BR$4:$BR271))*'[1]功能-战损相关'!$D$2-BT271</f>
        <v>#REF!</v>
      </c>
      <c r="BZ271" s="2" t="e">
        <f>SUMPRODUCT((BI$4:BI271)*($BR$4:$BR271))*'[1]功能-战损相关'!$D$2-BU271</f>
        <v>#REF!</v>
      </c>
      <c r="CA271" s="2" t="e">
        <f>SUMPRODUCT((BJ$4:BJ271)*($BR$4:$BR271))*'[1]功能-战损相关'!$D$2-BV271</f>
        <v>#REF!</v>
      </c>
      <c r="CB271" s="2" t="e">
        <f>SUMPRODUCT((BK$4:BK271)*($BR$4:$BR271))*'[1]功能-战损相关'!$D$2-BW271</f>
        <v>#REF!</v>
      </c>
    </row>
    <row r="272" spans="40:80" x14ac:dyDescent="0.2">
      <c r="AN272" s="2">
        <v>269</v>
      </c>
      <c r="AO272" s="2">
        <f>求节点(节奏总纲!D$4:D$163,AH$4:AH$163,$AN272)*其他调用!H273*其他调用!$M273</f>
        <v>251242472.49418861</v>
      </c>
      <c r="AP272" s="2">
        <f>求节点(节奏总纲!E$4:E$163,AI$4:AI$163,$AN272)*其他调用!I273*其他调用!$M273</f>
        <v>289347352.17242593</v>
      </c>
      <c r="AQ272" s="2">
        <f>求节点(节奏总纲!F$4:F$163,AJ$4:AJ$163,$AN272)*其他调用!J273*其他调用!$M273</f>
        <v>28296306.899076864</v>
      </c>
      <c r="AR272" s="2">
        <f>求节点(节奏总纲!G$4:G$163,AK$4:AK$163,$AN272)*其他调用!K273*其他调用!$M273</f>
        <v>6457195.2572078509</v>
      </c>
      <c r="AS272" s="2">
        <f>求节点(节奏总纲!H$4:H$163,AL$4:AL$163,$AN272)*其他调用!L273*其他调用!$M273</f>
        <v>2204213.5078807562</v>
      </c>
      <c r="AT272" s="2">
        <f t="shared" si="21"/>
        <v>577547540.33078003</v>
      </c>
      <c r="BF272" s="2">
        <v>269</v>
      </c>
      <c r="BG272" s="2">
        <f>求节点(节奏总纲!D$4:D$163,AZ$4:AZ$163,$AN272)</f>
        <v>8368.899727746506</v>
      </c>
      <c r="BH272" s="2">
        <f>求节点(节奏总纲!E$4:E$163,BA$4:BA$163,$AN272)</f>
        <v>25800.687304499264</v>
      </c>
      <c r="BI272" s="2">
        <f>求节点(节奏总纲!F$4:F$163,BB$4:BB$163,$AN272)</f>
        <v>80145.260706242334</v>
      </c>
      <c r="BJ272" s="2">
        <f>求节点(节奏总纲!G$4:G$163,BC$4:BC$163,$AN272)</f>
        <v>38390.165089863171</v>
      </c>
      <c r="BK272" s="2">
        <f>求节点(节奏总纲!H$4:H$163,BD$4:BD$163,$AN272)</f>
        <v>11364.60701363459</v>
      </c>
      <c r="BL272" s="2">
        <f>BG272*其他调用!H273*其他调用!$M273</f>
        <v>401393.77372925309</v>
      </c>
      <c r="BM272" s="2">
        <f>BH272*其他调用!I273*其他调用!$M273</f>
        <v>1220153.5580569035</v>
      </c>
      <c r="BN272" s="2">
        <f>BI272*其他调用!J273*其他调用!$M273</f>
        <v>309394.36846403731</v>
      </c>
      <c r="BO272" s="2">
        <f>BJ272*其他调用!K273*其他调用!$M273</f>
        <v>26366.211823057671</v>
      </c>
      <c r="BP272" s="2">
        <f>BK272*其他调用!L273*其他调用!$M273</f>
        <v>2258.3747057494656</v>
      </c>
      <c r="BQ272" s="2">
        <f t="shared" si="22"/>
        <v>1959566.2867790011</v>
      </c>
      <c r="BR272" s="2">
        <f>[1]服务器生态!$R271</f>
        <v>1.6289841650165445E-2</v>
      </c>
      <c r="BS272" s="2" t="e">
        <f>SUMPRODUCT((BG$4:BG272)*($BR$4:$BR272)*(其他调用!#REF!))</f>
        <v>#REF!</v>
      </c>
      <c r="BT272" s="2" t="e">
        <f>SUMPRODUCT((BH$4:BH272)*($BR$4:$BR272)*(其他调用!#REF!))</f>
        <v>#REF!</v>
      </c>
      <c r="BU272" s="2" t="e">
        <f>SUMPRODUCT((BI$4:BI272)*($BR$4:$BR272)*(其他调用!#REF!))</f>
        <v>#REF!</v>
      </c>
      <c r="BV272" s="2" t="e">
        <f>SUMPRODUCT((BJ$4:BJ272)*($BR$4:$BR272)*(其他调用!#REF!))</f>
        <v>#REF!</v>
      </c>
      <c r="BW272" s="2" t="e">
        <f>SUMPRODUCT((BK$4:BK272)*($BR$4:$BR272)*(其他调用!#REF!))</f>
        <v>#REF!</v>
      </c>
      <c r="BX272" s="2" t="e">
        <f>SUMPRODUCT((BG$4:BG272)*($BR$4:$BR272))*'[1]功能-战损相关'!$D$2-BS272</f>
        <v>#REF!</v>
      </c>
      <c r="BY272" s="2" t="e">
        <f>SUMPRODUCT((BH$4:BH272)*($BR$4:$BR272))*'[1]功能-战损相关'!$D$2-BT272</f>
        <v>#REF!</v>
      </c>
      <c r="BZ272" s="2" t="e">
        <f>SUMPRODUCT((BI$4:BI272)*($BR$4:$BR272))*'[1]功能-战损相关'!$D$2-BU272</f>
        <v>#REF!</v>
      </c>
      <c r="CA272" s="2" t="e">
        <f>SUMPRODUCT((BJ$4:BJ272)*($BR$4:$BR272))*'[1]功能-战损相关'!$D$2-BV272</f>
        <v>#REF!</v>
      </c>
      <c r="CB272" s="2" t="e">
        <f>SUMPRODUCT((BK$4:BK272)*($BR$4:$BR272))*'[1]功能-战损相关'!$D$2-BW272</f>
        <v>#REF!</v>
      </c>
    </row>
    <row r="273" spans="40:80" x14ac:dyDescent="0.2">
      <c r="AN273" s="2">
        <v>270</v>
      </c>
      <c r="AO273" s="2">
        <f>求节点(节奏总纲!D$4:D$163,AH$4:AH$163,$AN273)*其他调用!H274*其他调用!$M274</f>
        <v>251624772.36202374</v>
      </c>
      <c r="AP273" s="2">
        <f>求节点(节奏总纲!E$4:E$163,AI$4:AI$163,$AN273)*其他调用!I274*其他调用!$M274</f>
        <v>289841110.58048809</v>
      </c>
      <c r="AQ273" s="2">
        <f>求节点(节奏总纲!F$4:F$163,AJ$4:AJ$163,$AN273)*其他调用!J274*其他调用!$M274</f>
        <v>28346046.846177489</v>
      </c>
      <c r="AR273" s="2">
        <f>求节点(节奏总纲!G$4:G$163,AK$4:AK$163,$AN273)*其他调用!K274*其他调用!$M274</f>
        <v>6463616.0685469778</v>
      </c>
      <c r="AS273" s="2">
        <f>求节点(节奏总纲!H$4:H$163,AL$4:AL$163,$AN273)*其他调用!L274*其他调用!$M274</f>
        <v>2205846.8247348499</v>
      </c>
      <c r="AT273" s="2">
        <f t="shared" si="21"/>
        <v>578481392.68197107</v>
      </c>
      <c r="BF273" s="2">
        <v>270</v>
      </c>
      <c r="BG273" s="2">
        <f>求节点(节奏总纲!D$4:D$163,AZ$4:AZ$163,$AN273)</f>
        <v>8373.3085743816846</v>
      </c>
      <c r="BH273" s="2">
        <f>求节点(节奏总纲!E$4:E$163,BA$4:BA$163,$AN273)</f>
        <v>25813.834606387984</v>
      </c>
      <c r="BI273" s="2">
        <f>求节点(节奏总纲!F$4:F$163,BB$4:BB$163,$AN273)</f>
        <v>80184.868880909969</v>
      </c>
      <c r="BJ273" s="2">
        <f>求节点(节奏总纲!G$4:G$163,BC$4:BC$163,$AN273)</f>
        <v>38402.95908492629</v>
      </c>
      <c r="BK273" s="2">
        <f>求节点(节奏总纲!H$4:H$163,BD$4:BD$163,$AN273)</f>
        <v>11369.096683145084</v>
      </c>
      <c r="BL273" s="2">
        <f>BG273*其他调用!H274*其他调用!$M274</f>
        <v>401605.23325753736</v>
      </c>
      <c r="BM273" s="2">
        <f>BH273*其他调用!I274*其他调用!$M274</f>
        <v>1220775.3138647643</v>
      </c>
      <c r="BN273" s="2">
        <f>BI273*其他调用!J274*其他调用!$M274</f>
        <v>309547.27265424543</v>
      </c>
      <c r="BO273" s="2">
        <f>BJ273*其他调用!K274*其他调用!$M274</f>
        <v>26374.998687691044</v>
      </c>
      <c r="BP273" s="2">
        <f>BK273*其他调用!L274*其他调用!$M274</f>
        <v>2259.2668928745907</v>
      </c>
      <c r="BQ273" s="2">
        <f t="shared" si="22"/>
        <v>1960562.0853571126</v>
      </c>
      <c r="BR273" s="2">
        <f>[1]服务器生态!$R272</f>
        <v>1.6289841650165445E-2</v>
      </c>
      <c r="BS273" s="2" t="e">
        <f>SUMPRODUCT((BG$4:BG273)*($BR$4:$BR273)*(其他调用!#REF!))</f>
        <v>#REF!</v>
      </c>
      <c r="BT273" s="2" t="e">
        <f>SUMPRODUCT((BH$4:BH273)*($BR$4:$BR273)*(其他调用!#REF!))</f>
        <v>#REF!</v>
      </c>
      <c r="BU273" s="2" t="e">
        <f>SUMPRODUCT((BI$4:BI273)*($BR$4:$BR273)*(其他调用!#REF!))</f>
        <v>#REF!</v>
      </c>
      <c r="BV273" s="2" t="e">
        <f>SUMPRODUCT((BJ$4:BJ273)*($BR$4:$BR273)*(其他调用!#REF!))</f>
        <v>#REF!</v>
      </c>
      <c r="BW273" s="2" t="e">
        <f>SUMPRODUCT((BK$4:BK273)*($BR$4:$BR273)*(其他调用!#REF!))</f>
        <v>#REF!</v>
      </c>
      <c r="BX273" s="2" t="e">
        <f>SUMPRODUCT((BG$4:BG273)*($BR$4:$BR273))*'[1]功能-战损相关'!$D$2-BS273</f>
        <v>#REF!</v>
      </c>
      <c r="BY273" s="2" t="e">
        <f>SUMPRODUCT((BH$4:BH273)*($BR$4:$BR273))*'[1]功能-战损相关'!$D$2-BT273</f>
        <v>#REF!</v>
      </c>
      <c r="BZ273" s="2" t="e">
        <f>SUMPRODUCT((BI$4:BI273)*($BR$4:$BR273))*'[1]功能-战损相关'!$D$2-BU273</f>
        <v>#REF!</v>
      </c>
      <c r="CA273" s="2" t="e">
        <f>SUMPRODUCT((BJ$4:BJ273)*($BR$4:$BR273))*'[1]功能-战损相关'!$D$2-BV273</f>
        <v>#REF!</v>
      </c>
      <c r="CB273" s="2" t="e">
        <f>SUMPRODUCT((BK$4:BK273)*($BR$4:$BR273))*'[1]功能-战损相关'!$D$2-BW273</f>
        <v>#REF!</v>
      </c>
    </row>
    <row r="274" spans="40:80" x14ac:dyDescent="0.2">
      <c r="AN274" s="2">
        <v>271</v>
      </c>
      <c r="AO274" s="2">
        <f>求节点(节奏总纲!D$4:D$163,AH$4:AH$163,$AN274)*其他调用!H275*其他调用!$M275</f>
        <v>252007072.22985882</v>
      </c>
      <c r="AP274" s="2">
        <f>求节点(节奏总纲!E$4:E$163,AI$4:AI$163,$AN274)*其他调用!I275*其他调用!$M275</f>
        <v>290334868.98855019</v>
      </c>
      <c r="AQ274" s="2">
        <f>求节点(节奏总纲!F$4:F$163,AJ$4:AJ$163,$AN274)*其他调用!J275*其他调用!$M275</f>
        <v>28395786.793278098</v>
      </c>
      <c r="AR274" s="2">
        <f>求节点(节奏总纲!G$4:G$163,AK$4:AK$163,$AN274)*其他调用!K275*其他调用!$M275</f>
        <v>6470036.8798861075</v>
      </c>
      <c r="AS274" s="2">
        <f>求节点(节奏总纲!H$4:H$163,AL$4:AL$163,$AN274)*其他调用!L275*其他调用!$M275</f>
        <v>2207480.141588944</v>
      </c>
      <c r="AT274" s="2">
        <f t="shared" si="21"/>
        <v>579415245.03316224</v>
      </c>
      <c r="BF274" s="2">
        <v>271</v>
      </c>
      <c r="BG274" s="2">
        <f>求节点(节奏总纲!D$4:D$163,AZ$4:AZ$163,$AN274)</f>
        <v>8377.7174210168632</v>
      </c>
      <c r="BH274" s="2">
        <f>求节点(节奏总纲!E$4:E$163,BA$4:BA$163,$AN274)</f>
        <v>25826.981908276706</v>
      </c>
      <c r="BI274" s="2">
        <f>求节点(节奏总纲!F$4:F$163,BB$4:BB$163,$AN274)</f>
        <v>80224.477055577605</v>
      </c>
      <c r="BJ274" s="2">
        <f>求节点(节奏总纲!G$4:G$163,BC$4:BC$163,$AN274)</f>
        <v>38415.753079989408</v>
      </c>
      <c r="BK274" s="2">
        <f>求节点(节奏总纲!H$4:H$163,BD$4:BD$163,$AN274)</f>
        <v>11373.58635265558</v>
      </c>
      <c r="BL274" s="2">
        <f>BG274*其他调用!H275*其他调用!$M275</f>
        <v>401816.69278582168</v>
      </c>
      <c r="BM274" s="2">
        <f>BH274*其他调用!I275*其他调用!$M275</f>
        <v>1221397.0696726253</v>
      </c>
      <c r="BN274" s="2">
        <f>BI274*其他调用!J275*其他调用!$M275</f>
        <v>309700.17684445356</v>
      </c>
      <c r="BO274" s="2">
        <f>BJ274*其他调用!K275*其他调用!$M275</f>
        <v>26383.785552324411</v>
      </c>
      <c r="BP274" s="2">
        <f>BK274*其他调用!L275*其他调用!$M275</f>
        <v>2260.1590799997166</v>
      </c>
      <c r="BQ274" s="2">
        <f t="shared" si="22"/>
        <v>1961557.8839352245</v>
      </c>
      <c r="BR274" s="2">
        <f>[1]服务器生态!$R273</f>
        <v>1.6289841650165445E-2</v>
      </c>
      <c r="BS274" s="2" t="e">
        <f>SUMPRODUCT((BG$4:BG274)*($BR$4:$BR274)*(其他调用!#REF!))</f>
        <v>#REF!</v>
      </c>
      <c r="BT274" s="2" t="e">
        <f>SUMPRODUCT((BH$4:BH274)*($BR$4:$BR274)*(其他调用!#REF!))</f>
        <v>#REF!</v>
      </c>
      <c r="BU274" s="2" t="e">
        <f>SUMPRODUCT((BI$4:BI274)*($BR$4:$BR274)*(其他调用!#REF!))</f>
        <v>#REF!</v>
      </c>
      <c r="BV274" s="2" t="e">
        <f>SUMPRODUCT((BJ$4:BJ274)*($BR$4:$BR274)*(其他调用!#REF!))</f>
        <v>#REF!</v>
      </c>
      <c r="BW274" s="2" t="e">
        <f>SUMPRODUCT((BK$4:BK274)*($BR$4:$BR274)*(其他调用!#REF!))</f>
        <v>#REF!</v>
      </c>
      <c r="BX274" s="2" t="e">
        <f>SUMPRODUCT((BG$4:BG274)*($BR$4:$BR274))*'[1]功能-战损相关'!$D$2-BS274</f>
        <v>#REF!</v>
      </c>
      <c r="BY274" s="2" t="e">
        <f>SUMPRODUCT((BH$4:BH274)*($BR$4:$BR274))*'[1]功能-战损相关'!$D$2-BT274</f>
        <v>#REF!</v>
      </c>
      <c r="BZ274" s="2" t="e">
        <f>SUMPRODUCT((BI$4:BI274)*($BR$4:$BR274))*'[1]功能-战损相关'!$D$2-BU274</f>
        <v>#REF!</v>
      </c>
      <c r="CA274" s="2" t="e">
        <f>SUMPRODUCT((BJ$4:BJ274)*($BR$4:$BR274))*'[1]功能-战损相关'!$D$2-BV274</f>
        <v>#REF!</v>
      </c>
      <c r="CB274" s="2" t="e">
        <f>SUMPRODUCT((BK$4:BK274)*($BR$4:$BR274))*'[1]功能-战损相关'!$D$2-BW274</f>
        <v>#REF!</v>
      </c>
    </row>
    <row r="275" spans="40:80" x14ac:dyDescent="0.2">
      <c r="AN275" s="2">
        <v>272</v>
      </c>
      <c r="AO275" s="2">
        <f>求节点(节奏总纲!D$4:D$163,AH$4:AH$163,$AN275)*其他调用!H276*其他调用!$M276</f>
        <v>252389372.09769386</v>
      </c>
      <c r="AP275" s="2">
        <f>求节点(节奏总纲!E$4:E$163,AI$4:AI$163,$AN275)*其他调用!I276*其他调用!$M276</f>
        <v>290814845.92526412</v>
      </c>
      <c r="AQ275" s="2">
        <f>求节点(节奏总纲!F$4:F$163,AJ$4:AJ$163,$AN275)*其他调用!J276*其他调用!$M276</f>
        <v>28445526.740378719</v>
      </c>
      <c r="AR275" s="2">
        <f>求节点(节奏总纲!G$4:G$163,AK$4:AK$163,$AN275)*其他调用!K276*其他调用!$M276</f>
        <v>6476457.6912252372</v>
      </c>
      <c r="AS275" s="2">
        <f>求节点(节奏总纲!H$4:H$163,AL$4:AL$163,$AN275)*其他调用!L276*其他调用!$M276</f>
        <v>2209113.4584430382</v>
      </c>
      <c r="AT275" s="2">
        <f t="shared" si="21"/>
        <v>580335315.91300511</v>
      </c>
      <c r="BF275" s="2">
        <v>272</v>
      </c>
      <c r="BG275" s="2">
        <f>求节点(节奏总纲!D$4:D$163,AZ$4:AZ$163,$AN275)</f>
        <v>8382.1262676520419</v>
      </c>
      <c r="BH275" s="2">
        <f>求节点(节奏总纲!E$4:E$163,BA$4:BA$163,$AN275)</f>
        <v>25839.748390487795</v>
      </c>
      <c r="BI275" s="2">
        <f>求节点(节奏总纲!F$4:F$163,BB$4:BB$163,$AN275)</f>
        <v>80264.085230245255</v>
      </c>
      <c r="BJ275" s="2">
        <f>求节点(节奏总纲!G$4:G$163,BC$4:BC$163,$AN275)</f>
        <v>38428.54707505252</v>
      </c>
      <c r="BK275" s="2">
        <f>求节点(节奏总纲!H$4:H$163,BD$4:BD$163,$AN275)</f>
        <v>11378.076022166075</v>
      </c>
      <c r="BL275" s="2">
        <f>BG275*其他调用!H276*其他调用!$M276</f>
        <v>402028.152314106</v>
      </c>
      <c r="BM275" s="2">
        <f>BH275*其他调用!I276*其他调用!$M276</f>
        <v>1222000.8159414702</v>
      </c>
      <c r="BN275" s="2">
        <f>BI275*其他调用!J276*其他调用!$M276</f>
        <v>309853.08103466174</v>
      </c>
      <c r="BO275" s="2">
        <f>BJ275*其他调用!K276*其他调用!$M276</f>
        <v>26392.572416957781</v>
      </c>
      <c r="BP275" s="2">
        <f>BK275*其他调用!L276*其他调用!$M276</f>
        <v>2261.0512671248421</v>
      </c>
      <c r="BQ275" s="2">
        <f t="shared" si="22"/>
        <v>1962535.6729743206</v>
      </c>
      <c r="BR275" s="2">
        <f>[1]服务器生态!$R274</f>
        <v>1.6289841650165445E-2</v>
      </c>
      <c r="BS275" s="2" t="e">
        <f>SUMPRODUCT((BG$4:BG275)*($BR$4:$BR275)*(其他调用!#REF!))</f>
        <v>#REF!</v>
      </c>
      <c r="BT275" s="2" t="e">
        <f>SUMPRODUCT((BH$4:BH275)*($BR$4:$BR275)*(其他调用!#REF!))</f>
        <v>#REF!</v>
      </c>
      <c r="BU275" s="2" t="e">
        <f>SUMPRODUCT((BI$4:BI275)*($BR$4:$BR275)*(其他调用!#REF!))</f>
        <v>#REF!</v>
      </c>
      <c r="BV275" s="2" t="e">
        <f>SUMPRODUCT((BJ$4:BJ275)*($BR$4:$BR275)*(其他调用!#REF!))</f>
        <v>#REF!</v>
      </c>
      <c r="BW275" s="2" t="e">
        <f>SUMPRODUCT((BK$4:BK275)*($BR$4:$BR275)*(其他调用!#REF!))</f>
        <v>#REF!</v>
      </c>
      <c r="BX275" s="2" t="e">
        <f>SUMPRODUCT((BG$4:BG275)*($BR$4:$BR275))*'[1]功能-战损相关'!$D$2-BS275</f>
        <v>#REF!</v>
      </c>
      <c r="BY275" s="2" t="e">
        <f>SUMPRODUCT((BH$4:BH275)*($BR$4:$BR275))*'[1]功能-战损相关'!$D$2-BT275</f>
        <v>#REF!</v>
      </c>
      <c r="BZ275" s="2" t="e">
        <f>SUMPRODUCT((BI$4:BI275)*($BR$4:$BR275))*'[1]功能-战损相关'!$D$2-BU275</f>
        <v>#REF!</v>
      </c>
      <c r="CA275" s="2" t="e">
        <f>SUMPRODUCT((BJ$4:BJ275)*($BR$4:$BR275))*'[1]功能-战损相关'!$D$2-BV275</f>
        <v>#REF!</v>
      </c>
      <c r="CB275" s="2" t="e">
        <f>SUMPRODUCT((BK$4:BK275)*($BR$4:$BR275))*'[1]功能-战损相关'!$D$2-BW275</f>
        <v>#REF!</v>
      </c>
    </row>
    <row r="276" spans="40:80" x14ac:dyDescent="0.2">
      <c r="AN276" s="2">
        <v>273</v>
      </c>
      <c r="AO276" s="2">
        <f>求节点(节奏总纲!D$4:D$163,AH$4:AH$163,$AN276)*其他调用!H277*其他调用!$M277</f>
        <v>252771671.96552894</v>
      </c>
      <c r="AP276" s="2">
        <f>求节点(节奏总纲!E$4:E$163,AI$4:AI$163,$AN276)*其他调用!I277*其他调用!$M277</f>
        <v>291278664.28152043</v>
      </c>
      <c r="AQ276" s="2">
        <f>求节点(节奏总纲!F$4:F$163,AJ$4:AJ$163,$AN276)*其他调用!J277*其他调用!$M277</f>
        <v>28490724.593197867</v>
      </c>
      <c r="AR276" s="2">
        <f>求节点(节奏总纲!G$4:G$163,AK$4:AK$163,$AN276)*其他调用!K277*其他调用!$M277</f>
        <v>6482778.2670884002</v>
      </c>
      <c r="AS276" s="2">
        <f>求节点(节奏总纲!H$4:H$163,AL$4:AL$163,$AN276)*其他调用!L277*其他调用!$M277</f>
        <v>2210746.7752971323</v>
      </c>
      <c r="AT276" s="2">
        <f t="shared" si="21"/>
        <v>581234585.88263273</v>
      </c>
      <c r="BF276" s="2">
        <v>273</v>
      </c>
      <c r="BG276" s="2">
        <f>求节点(节奏总纲!D$4:D$163,AZ$4:AZ$163,$AN276)</f>
        <v>8386.5351142872205</v>
      </c>
      <c r="BH276" s="2">
        <f>求节点(节奏总纲!E$4:E$163,BA$4:BA$163,$AN276)</f>
        <v>25852.068367006912</v>
      </c>
      <c r="BI276" s="2">
        <f>求节点(节奏总纲!F$4:F$163,BB$4:BB$163,$AN276)</f>
        <v>80301.346945723068</v>
      </c>
      <c r="BJ276" s="2">
        <f>求节点(节奏总纲!G$4:G$163,BC$4:BC$163,$AN276)</f>
        <v>38440.510010520076</v>
      </c>
      <c r="BK276" s="2">
        <f>求节点(节奏总纲!H$4:H$163,BD$4:BD$163,$AN276)</f>
        <v>11382.565691676571</v>
      </c>
      <c r="BL276" s="2">
        <f>BG276*其他调用!H277*其他调用!$M277</f>
        <v>402239.61184239027</v>
      </c>
      <c r="BM276" s="2">
        <f>BH276*其他调用!I277*其他调用!$M277</f>
        <v>1222583.4462802503</v>
      </c>
      <c r="BN276" s="2">
        <f>BI276*其他调用!J277*其他调用!$M277</f>
        <v>309996.92690685124</v>
      </c>
      <c r="BO276" s="2">
        <f>BJ276*其他调用!K277*其他调用!$M277</f>
        <v>26400.788513185154</v>
      </c>
      <c r="BP276" s="2">
        <f>BK276*其他调用!L277*其他调用!$M277</f>
        <v>2261.943454249968</v>
      </c>
      <c r="BQ276" s="2">
        <f t="shared" si="22"/>
        <v>1963482.7169969268</v>
      </c>
      <c r="BR276" s="2">
        <f>[1]服务器生态!$R275</f>
        <v>1.6289841650165445E-2</v>
      </c>
      <c r="BS276" s="2" t="e">
        <f>SUMPRODUCT((BG$4:BG276)*($BR$4:$BR276)*(其他调用!#REF!))</f>
        <v>#REF!</v>
      </c>
      <c r="BT276" s="2" t="e">
        <f>SUMPRODUCT((BH$4:BH276)*($BR$4:$BR276)*(其他调用!#REF!))</f>
        <v>#REF!</v>
      </c>
      <c r="BU276" s="2" t="e">
        <f>SUMPRODUCT((BI$4:BI276)*($BR$4:$BR276)*(其他调用!#REF!))</f>
        <v>#REF!</v>
      </c>
      <c r="BV276" s="2" t="e">
        <f>SUMPRODUCT((BJ$4:BJ276)*($BR$4:$BR276)*(其他调用!#REF!))</f>
        <v>#REF!</v>
      </c>
      <c r="BW276" s="2" t="e">
        <f>SUMPRODUCT((BK$4:BK276)*($BR$4:$BR276)*(其他调用!#REF!))</f>
        <v>#REF!</v>
      </c>
      <c r="BX276" s="2" t="e">
        <f>SUMPRODUCT((BG$4:BG276)*($BR$4:$BR276))*'[1]功能-战损相关'!$D$2-BS276</f>
        <v>#REF!</v>
      </c>
      <c r="BY276" s="2" t="e">
        <f>SUMPRODUCT((BH$4:BH276)*($BR$4:$BR276))*'[1]功能-战损相关'!$D$2-BT276</f>
        <v>#REF!</v>
      </c>
      <c r="BZ276" s="2" t="e">
        <f>SUMPRODUCT((BI$4:BI276)*($BR$4:$BR276))*'[1]功能-战损相关'!$D$2-BU276</f>
        <v>#REF!</v>
      </c>
      <c r="CA276" s="2" t="e">
        <f>SUMPRODUCT((BJ$4:BJ276)*($BR$4:$BR276))*'[1]功能-战损相关'!$D$2-BV276</f>
        <v>#REF!</v>
      </c>
      <c r="CB276" s="2" t="e">
        <f>SUMPRODUCT((BK$4:BK276)*($BR$4:$BR276))*'[1]功能-战损相关'!$D$2-BW276</f>
        <v>#REF!</v>
      </c>
    </row>
    <row r="277" spans="40:80" x14ac:dyDescent="0.2">
      <c r="AN277" s="2">
        <v>274</v>
      </c>
      <c r="AO277" s="2">
        <f>求节点(节奏总纲!D$4:D$163,AH$4:AH$163,$AN277)*其他调用!H278*其他调用!$M278</f>
        <v>253158496.84505543</v>
      </c>
      <c r="AP277" s="2">
        <f>求节点(节奏总纲!E$4:E$163,AI$4:AI$163,$AN277)*其他调用!I278*其他调用!$M278</f>
        <v>291742482.63777673</v>
      </c>
      <c r="AQ277" s="2">
        <f>求节点(节奏总纲!F$4:F$163,AJ$4:AJ$163,$AN277)*其他调用!J278*其他调用!$M278</f>
        <v>28534548.133162171</v>
      </c>
      <c r="AR277" s="2">
        <f>求节点(节奏总纲!G$4:G$163,AK$4:AK$163,$AN277)*其他调用!K278*其他调用!$M278</f>
        <v>6488939.2758524027</v>
      </c>
      <c r="AS277" s="2">
        <f>求节点(节奏总纲!H$4:H$163,AL$4:AL$163,$AN277)*其他调用!L278*其他调用!$M278</f>
        <v>2212380.092151226</v>
      </c>
      <c r="AT277" s="2">
        <f t="shared" si="21"/>
        <v>582136846.98399806</v>
      </c>
      <c r="BF277" s="2">
        <v>274</v>
      </c>
      <c r="BG277" s="2">
        <f>求节点(节奏总纲!D$4:D$163,AZ$4:AZ$163,$AN277)</f>
        <v>8390.7270009602471</v>
      </c>
      <c r="BH277" s="2">
        <f>求节点(节奏总纲!E$4:E$163,BA$4:BA$163,$AN277)</f>
        <v>25864.388343526025</v>
      </c>
      <c r="BI277" s="2">
        <f>求节点(节奏总纲!F$4:F$163,BB$4:BB$163,$AN277)</f>
        <v>80337.89868716069</v>
      </c>
      <c r="BJ277" s="2">
        <f>求节点(节奏总纲!G$4:G$163,BC$4:BC$163,$AN277)</f>
        <v>38451.14996360425</v>
      </c>
      <c r="BK277" s="2">
        <f>求节点(节奏总纲!H$4:H$163,BD$4:BD$163,$AN277)</f>
        <v>11387.055361187066</v>
      </c>
      <c r="BL277" s="2">
        <f>BG277*其他调用!H278*其他调用!$M278</f>
        <v>402440.66541758762</v>
      </c>
      <c r="BM277" s="2">
        <f>BH277*其他调用!I278*其他调用!$M278</f>
        <v>1223166.0766190302</v>
      </c>
      <c r="BN277" s="2">
        <f>BI277*其他调用!J278*其他调用!$M278</f>
        <v>310138.03198104654</v>
      </c>
      <c r="BO277" s="2">
        <f>BJ277*其他调用!K278*其他调用!$M278</f>
        <v>26408.095990403552</v>
      </c>
      <c r="BP277" s="2">
        <f>BK277*其他调用!L278*其他调用!$M278</f>
        <v>2262.835641375093</v>
      </c>
      <c r="BQ277" s="2">
        <f t="shared" si="22"/>
        <v>1964415.705649443</v>
      </c>
      <c r="BR277" s="2">
        <f>[1]服务器生态!$R276</f>
        <v>1.6289841650165445E-2</v>
      </c>
      <c r="BS277" s="2" t="e">
        <f>SUMPRODUCT((BG$4:BG277)*($BR$4:$BR277)*(其他调用!#REF!))</f>
        <v>#REF!</v>
      </c>
      <c r="BT277" s="2" t="e">
        <f>SUMPRODUCT((BH$4:BH277)*($BR$4:$BR277)*(其他调用!#REF!))</f>
        <v>#REF!</v>
      </c>
      <c r="BU277" s="2" t="e">
        <f>SUMPRODUCT((BI$4:BI277)*($BR$4:$BR277)*(其他调用!#REF!))</f>
        <v>#REF!</v>
      </c>
      <c r="BV277" s="2" t="e">
        <f>SUMPRODUCT((BJ$4:BJ277)*($BR$4:$BR277)*(其他调用!#REF!))</f>
        <v>#REF!</v>
      </c>
      <c r="BW277" s="2" t="e">
        <f>SUMPRODUCT((BK$4:BK277)*($BR$4:$BR277)*(其他调用!#REF!))</f>
        <v>#REF!</v>
      </c>
      <c r="BX277" s="2" t="e">
        <f>SUMPRODUCT((BG$4:BG277)*($BR$4:$BR277))*'[1]功能-战损相关'!$D$2-BS277</f>
        <v>#REF!</v>
      </c>
      <c r="BY277" s="2" t="e">
        <f>SUMPRODUCT((BH$4:BH277)*($BR$4:$BR277))*'[1]功能-战损相关'!$D$2-BT277</f>
        <v>#REF!</v>
      </c>
      <c r="BZ277" s="2" t="e">
        <f>SUMPRODUCT((BI$4:BI277)*($BR$4:$BR277))*'[1]功能-战损相关'!$D$2-BU277</f>
        <v>#REF!</v>
      </c>
      <c r="CA277" s="2" t="e">
        <f>SUMPRODUCT((BJ$4:BJ277)*($BR$4:$BR277))*'[1]功能-战损相关'!$D$2-BV277</f>
        <v>#REF!</v>
      </c>
      <c r="CB277" s="2" t="e">
        <f>SUMPRODUCT((BK$4:BK277)*($BR$4:$BR277))*'[1]功能-战损相关'!$D$2-BW277</f>
        <v>#REF!</v>
      </c>
    </row>
    <row r="278" spans="40:80" x14ac:dyDescent="0.2">
      <c r="AN278" s="2">
        <v>275</v>
      </c>
      <c r="AO278" s="2">
        <f>求节点(节奏总纲!D$4:D$163,AH$4:AH$163,$AN278)*其他调用!H279*其他调用!$M279</f>
        <v>253548025.24008071</v>
      </c>
      <c r="AP278" s="2">
        <f>求节点(节奏总纲!E$4:E$163,AI$4:AI$163,$AN278)*其他调用!I279*其他调用!$M279</f>
        <v>292206300.99403316</v>
      </c>
      <c r="AQ278" s="2">
        <f>求节点(节奏总纲!F$4:F$163,AJ$4:AJ$163,$AN278)*其他调用!J279*其他调用!$M279</f>
        <v>28578371.673126474</v>
      </c>
      <c r="AR278" s="2">
        <f>求节点(节奏总纲!G$4:G$163,AK$4:AK$163,$AN278)*其他调用!K279*其他调用!$M279</f>
        <v>6495100.2846164033</v>
      </c>
      <c r="AS278" s="2">
        <f>求节点(节奏总纲!H$4:H$163,AL$4:AL$163,$AN278)*其他调用!L279*其他调用!$M279</f>
        <v>2213984.8677857234</v>
      </c>
      <c r="AT278" s="2">
        <f t="shared" si="21"/>
        <v>583041783.05964243</v>
      </c>
      <c r="BF278" s="2">
        <v>275</v>
      </c>
      <c r="BG278" s="2">
        <f>求节点(节奏总纲!D$4:D$163,AZ$4:AZ$163,$AN278)</f>
        <v>8394.7892626377325</v>
      </c>
      <c r="BH278" s="2">
        <f>求节点(节奏总纲!E$4:E$163,BA$4:BA$163,$AN278)</f>
        <v>25876.708320045138</v>
      </c>
      <c r="BI278" s="2">
        <f>求节点(节奏总纲!F$4:F$163,BB$4:BB$163,$AN278)</f>
        <v>80374.450428598313</v>
      </c>
      <c r="BJ278" s="2">
        <f>求节点(节奏总纲!G$4:G$163,BC$4:BC$163,$AN278)</f>
        <v>38461.789916688416</v>
      </c>
      <c r="BK278" s="2">
        <f>求节点(节奏总纲!H$4:H$163,BD$4:BD$163,$AN278)</f>
        <v>11391.478846927514</v>
      </c>
      <c r="BL278" s="2">
        <f>BG278*其他调用!H279*其他调用!$M279</f>
        <v>402635.50184742268</v>
      </c>
      <c r="BM278" s="2">
        <f>BH278*其他调用!I279*其他调用!$M279</f>
        <v>1223748.7069578099</v>
      </c>
      <c r="BN278" s="2">
        <f>BI278*其他调用!J279*其他调用!$M279</f>
        <v>310279.13705524179</v>
      </c>
      <c r="BO278" s="2">
        <f>BJ278*其他调用!K279*其他调用!$M279</f>
        <v>26415.403467621945</v>
      </c>
      <c r="BP278" s="2">
        <f>BK278*其他调用!L279*其他调用!$M279</f>
        <v>2263.7146764614354</v>
      </c>
      <c r="BQ278" s="2">
        <f t="shared" si="22"/>
        <v>1965342.4640045576</v>
      </c>
      <c r="BR278" s="2">
        <f>[1]服务器生态!$R277</f>
        <v>1.6289841650165445E-2</v>
      </c>
      <c r="BS278" s="2" t="e">
        <f>SUMPRODUCT((BG$4:BG278)*($BR$4:$BR278)*(其他调用!#REF!))</f>
        <v>#REF!</v>
      </c>
      <c r="BT278" s="2" t="e">
        <f>SUMPRODUCT((BH$4:BH278)*($BR$4:$BR278)*(其他调用!#REF!))</f>
        <v>#REF!</v>
      </c>
      <c r="BU278" s="2" t="e">
        <f>SUMPRODUCT((BI$4:BI278)*($BR$4:$BR278)*(其他调用!#REF!))</f>
        <v>#REF!</v>
      </c>
      <c r="BV278" s="2" t="e">
        <f>SUMPRODUCT((BJ$4:BJ278)*($BR$4:$BR278)*(其他调用!#REF!))</f>
        <v>#REF!</v>
      </c>
      <c r="BW278" s="2" t="e">
        <f>SUMPRODUCT((BK$4:BK278)*($BR$4:$BR278)*(其他调用!#REF!))</f>
        <v>#REF!</v>
      </c>
      <c r="BX278" s="2" t="e">
        <f>SUMPRODUCT((BG$4:BG278)*($BR$4:$BR278))*'[1]功能-战损相关'!$D$2-BS278</f>
        <v>#REF!</v>
      </c>
      <c r="BY278" s="2" t="e">
        <f>SUMPRODUCT((BH$4:BH278)*($BR$4:$BR278))*'[1]功能-战损相关'!$D$2-BT278</f>
        <v>#REF!</v>
      </c>
      <c r="BZ278" s="2" t="e">
        <f>SUMPRODUCT((BI$4:BI278)*($BR$4:$BR278))*'[1]功能-战损相关'!$D$2-BU278</f>
        <v>#REF!</v>
      </c>
      <c r="CA278" s="2" t="e">
        <f>SUMPRODUCT((BJ$4:BJ278)*($BR$4:$BR278))*'[1]功能-战损相关'!$D$2-BV278</f>
        <v>#REF!</v>
      </c>
      <c r="CB278" s="2" t="e">
        <f>SUMPRODUCT((BK$4:BK278)*($BR$4:$BR278))*'[1]功能-战损相关'!$D$2-BW278</f>
        <v>#REF!</v>
      </c>
    </row>
    <row r="279" spans="40:80" x14ac:dyDescent="0.2">
      <c r="AN279" s="2">
        <v>276</v>
      </c>
      <c r="AO279" s="2">
        <f>求节点(节奏总纲!D$4:D$163,AH$4:AH$163,$AN279)*其他调用!H280*其他调用!$M280</f>
        <v>253937553.63510609</v>
      </c>
      <c r="AP279" s="2">
        <f>求节点(节奏总纲!E$4:E$163,AI$4:AI$163,$AN279)*其他调用!I280*其他调用!$M280</f>
        <v>292670119.35028946</v>
      </c>
      <c r="AQ279" s="2">
        <f>求节点(节奏总纲!F$4:F$163,AJ$4:AJ$163,$AN279)*其他调用!J280*其他调用!$M280</f>
        <v>28622195.213090774</v>
      </c>
      <c r="AR279" s="2">
        <f>求节点(节奏总纲!G$4:G$163,AK$4:AK$163,$AN279)*其他调用!K280*其他调用!$M280</f>
        <v>6501261.2933804067</v>
      </c>
      <c r="AS279" s="2">
        <f>求节点(节奏总纲!H$4:H$163,AL$4:AL$163,$AN279)*其他调用!L280*其他调用!$M280</f>
        <v>2215489.7363067982</v>
      </c>
      <c r="AT279" s="2">
        <f t="shared" si="21"/>
        <v>583946619.22817349</v>
      </c>
      <c r="BF279" s="2">
        <v>276</v>
      </c>
      <c r="BG279" s="2">
        <f>求节点(节奏总纲!D$4:D$163,AZ$4:AZ$163,$AN279)</f>
        <v>8398.8515243152178</v>
      </c>
      <c r="BH279" s="2">
        <f>求节点(节奏总纲!E$4:E$163,BA$4:BA$163,$AN279)</f>
        <v>25889.028296564255</v>
      </c>
      <c r="BI279" s="2">
        <f>求节点(节奏总纲!F$4:F$163,BB$4:BB$163,$AN279)</f>
        <v>80411.002170035936</v>
      </c>
      <c r="BJ279" s="2">
        <f>求节点(节奏总纲!G$4:G$163,BC$4:BC$163,$AN279)</f>
        <v>38472.429869772583</v>
      </c>
      <c r="BK279" s="2">
        <f>求节点(节奏总纲!H$4:H$163,BD$4:BD$163,$AN279)</f>
        <v>11395.670659687126</v>
      </c>
      <c r="BL279" s="2">
        <f>BG279*其他调用!H280*其他调用!$M280</f>
        <v>402830.33827725769</v>
      </c>
      <c r="BM279" s="2">
        <f>BH279*其他调用!I280*其他调用!$M280</f>
        <v>1224331.33729659</v>
      </c>
      <c r="BN279" s="2">
        <f>BI279*其他调用!J280*其他调用!$M280</f>
        <v>310420.24212943704</v>
      </c>
      <c r="BO279" s="2">
        <f>BJ279*其他调用!K280*其他调用!$M280</f>
        <v>26422.710944840339</v>
      </c>
      <c r="BP279" s="2">
        <f>BK279*其他调用!L280*其他调用!$M280</f>
        <v>2264.5476734930257</v>
      </c>
      <c r="BQ279" s="2">
        <f t="shared" si="22"/>
        <v>1966269.1763216183</v>
      </c>
      <c r="BR279" s="2">
        <f>[1]服务器生态!$R278</f>
        <v>1.6289841650165445E-2</v>
      </c>
      <c r="BS279" s="2" t="e">
        <f>SUMPRODUCT((BG$4:BG279)*($BR$4:$BR279)*(其他调用!#REF!))</f>
        <v>#REF!</v>
      </c>
      <c r="BT279" s="2" t="e">
        <f>SUMPRODUCT((BH$4:BH279)*($BR$4:$BR279)*(其他调用!#REF!))</f>
        <v>#REF!</v>
      </c>
      <c r="BU279" s="2" t="e">
        <f>SUMPRODUCT((BI$4:BI279)*($BR$4:$BR279)*(其他调用!#REF!))</f>
        <v>#REF!</v>
      </c>
      <c r="BV279" s="2" t="e">
        <f>SUMPRODUCT((BJ$4:BJ279)*($BR$4:$BR279)*(其他调用!#REF!))</f>
        <v>#REF!</v>
      </c>
      <c r="BW279" s="2" t="e">
        <f>SUMPRODUCT((BK$4:BK279)*($BR$4:$BR279)*(其他调用!#REF!))</f>
        <v>#REF!</v>
      </c>
      <c r="BX279" s="2" t="e">
        <f>SUMPRODUCT((BG$4:BG279)*($BR$4:$BR279))*'[1]功能-战损相关'!$D$2-BS279</f>
        <v>#REF!</v>
      </c>
      <c r="BY279" s="2" t="e">
        <f>SUMPRODUCT((BH$4:BH279)*($BR$4:$BR279))*'[1]功能-战损相关'!$D$2-BT279</f>
        <v>#REF!</v>
      </c>
      <c r="BZ279" s="2" t="e">
        <f>SUMPRODUCT((BI$4:BI279)*($BR$4:$BR279))*'[1]功能-战损相关'!$D$2-BU279</f>
        <v>#REF!</v>
      </c>
      <c r="CA279" s="2" t="e">
        <f>SUMPRODUCT((BJ$4:BJ279)*($BR$4:$BR279))*'[1]功能-战损相关'!$D$2-BV279</f>
        <v>#REF!</v>
      </c>
      <c r="CB279" s="2" t="e">
        <f>SUMPRODUCT((BK$4:BK279)*($BR$4:$BR279))*'[1]功能-战损相关'!$D$2-BW279</f>
        <v>#REF!</v>
      </c>
    </row>
    <row r="280" spans="40:80" x14ac:dyDescent="0.2">
      <c r="AN280" s="2">
        <v>277</v>
      </c>
      <c r="AO280" s="2">
        <f>求节点(节奏总纲!D$4:D$163,AH$4:AH$163,$AN280)*其他调用!H281*其他调用!$M281</f>
        <v>254327082.03013143</v>
      </c>
      <c r="AP280" s="2">
        <f>求节点(节奏总纲!E$4:E$163,AI$4:AI$163,$AN280)*其他调用!I281*其他调用!$M281</f>
        <v>293133937.70654577</v>
      </c>
      <c r="AQ280" s="2">
        <f>求节点(节奏总纲!F$4:F$163,AJ$4:AJ$163,$AN280)*其他调用!J281*其他调用!$M281</f>
        <v>28666018.753055077</v>
      </c>
      <c r="AR280" s="2">
        <f>求节点(节奏总纲!G$4:G$163,AK$4:AK$163,$AN280)*其他调用!K281*其他调用!$M281</f>
        <v>6507422.3021444073</v>
      </c>
      <c r="AS280" s="2">
        <f>求节点(节奏总纲!H$4:H$163,AL$4:AL$163,$AN280)*其他调用!L281*其他调用!$M281</f>
        <v>2216994.6048278734</v>
      </c>
      <c r="AT280" s="2">
        <f t="shared" si="21"/>
        <v>584851455.39670455</v>
      </c>
      <c r="BF280" s="2">
        <v>277</v>
      </c>
      <c r="BG280" s="2">
        <f>求节点(节奏总纲!D$4:D$163,AZ$4:AZ$163,$AN280)</f>
        <v>8402.9137859927014</v>
      </c>
      <c r="BH280" s="2">
        <f>求节点(节奏总纲!E$4:E$163,BA$4:BA$163,$AN280)</f>
        <v>25901.348273083368</v>
      </c>
      <c r="BI280" s="2">
        <f>求节点(节奏总纲!F$4:F$163,BB$4:BB$163,$AN280)</f>
        <v>80447.553911473573</v>
      </c>
      <c r="BJ280" s="2">
        <f>求节点(节奏总纲!G$4:G$163,BC$4:BC$163,$AN280)</f>
        <v>38483.069822856749</v>
      </c>
      <c r="BK280" s="2">
        <f>求节点(节奏总纲!H$4:H$163,BD$4:BD$163,$AN280)</f>
        <v>11399.862472446737</v>
      </c>
      <c r="BL280" s="2">
        <f>BG280*其他调用!H281*其他调用!$M281</f>
        <v>403025.17470709269</v>
      </c>
      <c r="BM280" s="2">
        <f>BH280*其他调用!I281*其他调用!$M281</f>
        <v>1224913.9676353699</v>
      </c>
      <c r="BN280" s="2">
        <f>BI280*其他调用!J281*其他调用!$M281</f>
        <v>310561.34720363241</v>
      </c>
      <c r="BO280" s="2">
        <f>BJ280*其他调用!K281*其他调用!$M281</f>
        <v>26430.018422058733</v>
      </c>
      <c r="BP280" s="2">
        <f>BK280*其他调用!L281*其他调用!$M281</f>
        <v>2265.3806705246152</v>
      </c>
      <c r="BQ280" s="2">
        <f t="shared" si="22"/>
        <v>1967195.8886386785</v>
      </c>
      <c r="BR280" s="2">
        <f>[1]服务器生态!$R279</f>
        <v>1.6289841650165445E-2</v>
      </c>
      <c r="BS280" s="2" t="e">
        <f>SUMPRODUCT((BG$4:BG280)*($BR$4:$BR280)*(其他调用!#REF!))</f>
        <v>#REF!</v>
      </c>
      <c r="BT280" s="2" t="e">
        <f>SUMPRODUCT((BH$4:BH280)*($BR$4:$BR280)*(其他调用!#REF!))</f>
        <v>#REF!</v>
      </c>
      <c r="BU280" s="2" t="e">
        <f>SUMPRODUCT((BI$4:BI280)*($BR$4:$BR280)*(其他调用!#REF!))</f>
        <v>#REF!</v>
      </c>
      <c r="BV280" s="2" t="e">
        <f>SUMPRODUCT((BJ$4:BJ280)*($BR$4:$BR280)*(其他调用!#REF!))</f>
        <v>#REF!</v>
      </c>
      <c r="BW280" s="2" t="e">
        <f>SUMPRODUCT((BK$4:BK280)*($BR$4:$BR280)*(其他调用!#REF!))</f>
        <v>#REF!</v>
      </c>
      <c r="BX280" s="2" t="e">
        <f>SUMPRODUCT((BG$4:BG280)*($BR$4:$BR280))*'[1]功能-战损相关'!$D$2-BS280</f>
        <v>#REF!</v>
      </c>
      <c r="BY280" s="2" t="e">
        <f>SUMPRODUCT((BH$4:BH280)*($BR$4:$BR280))*'[1]功能-战损相关'!$D$2-BT280</f>
        <v>#REF!</v>
      </c>
      <c r="BZ280" s="2" t="e">
        <f>SUMPRODUCT((BI$4:BI280)*($BR$4:$BR280))*'[1]功能-战损相关'!$D$2-BU280</f>
        <v>#REF!</v>
      </c>
      <c r="CA280" s="2" t="e">
        <f>SUMPRODUCT((BJ$4:BJ280)*($BR$4:$BR280))*'[1]功能-战损相关'!$D$2-BV280</f>
        <v>#REF!</v>
      </c>
      <c r="CB280" s="2" t="e">
        <f>SUMPRODUCT((BK$4:BK280)*($BR$4:$BR280))*'[1]功能-战损相关'!$D$2-BW280</f>
        <v>#REF!</v>
      </c>
    </row>
    <row r="281" spans="40:80" x14ac:dyDescent="0.2">
      <c r="AN281" s="2">
        <v>278</v>
      </c>
      <c r="AO281" s="2">
        <f>求节点(节奏总纲!D$4:D$163,AH$4:AH$163,$AN281)*其他调用!H282*其他调用!$M282</f>
        <v>254716610.42515671</v>
      </c>
      <c r="AP281" s="2">
        <f>求节点(节奏总纲!E$4:E$163,AI$4:AI$163,$AN281)*其他调用!I282*其他调用!$M282</f>
        <v>293597756.06280214</v>
      </c>
      <c r="AQ281" s="2">
        <f>求节点(节奏总纲!F$4:F$163,AJ$4:AJ$163,$AN281)*其他调用!J282*其他调用!$M282</f>
        <v>28709842.293019373</v>
      </c>
      <c r="AR281" s="2">
        <f>求节点(节奏总纲!G$4:G$163,AK$4:AK$163,$AN281)*其他调用!K282*其他调用!$M282</f>
        <v>6513583.3109084098</v>
      </c>
      <c r="AS281" s="2">
        <f>求节点(节奏总纲!H$4:H$163,AL$4:AL$163,$AN281)*其他调用!L282*其他调用!$M282</f>
        <v>2218499.4733489482</v>
      </c>
      <c r="AT281" s="2">
        <f t="shared" si="21"/>
        <v>585756291.56523573</v>
      </c>
      <c r="BF281" s="2">
        <v>278</v>
      </c>
      <c r="BG281" s="2">
        <f>求节点(节奏总纲!D$4:D$163,AZ$4:AZ$163,$AN281)</f>
        <v>8406.9760476701867</v>
      </c>
      <c r="BH281" s="2">
        <f>求节点(节奏总纲!E$4:E$163,BA$4:BA$163,$AN281)</f>
        <v>25913.668249602484</v>
      </c>
      <c r="BI281" s="2">
        <f>求节点(节奏总纲!F$4:F$163,BB$4:BB$163,$AN281)</f>
        <v>80484.105652911196</v>
      </c>
      <c r="BJ281" s="2">
        <f>求节点(节奏总纲!G$4:G$163,BC$4:BC$163,$AN281)</f>
        <v>38493.709775940915</v>
      </c>
      <c r="BK281" s="2">
        <f>求节点(节奏总纲!H$4:H$163,BD$4:BD$163,$AN281)</f>
        <v>11404.054285206348</v>
      </c>
      <c r="BL281" s="2">
        <f>BG281*其他调用!H282*其他调用!$M282</f>
        <v>403220.0111369277</v>
      </c>
      <c r="BM281" s="2">
        <f>BH281*其他调用!I282*其他调用!$M282</f>
        <v>1225496.59797415</v>
      </c>
      <c r="BN281" s="2">
        <f>BI281*其他调用!J282*其他调用!$M282</f>
        <v>310702.45227782766</v>
      </c>
      <c r="BO281" s="2">
        <f>BJ281*其他调用!K282*其他调用!$M282</f>
        <v>26437.325899277123</v>
      </c>
      <c r="BP281" s="2">
        <f>BK281*其他调用!L282*其他调用!$M282</f>
        <v>2266.2136675562051</v>
      </c>
      <c r="BQ281" s="2">
        <f t="shared" si="22"/>
        <v>1968122.6009557385</v>
      </c>
      <c r="BR281" s="2">
        <f>[1]服务器生态!$R280</f>
        <v>1.6289841650165445E-2</v>
      </c>
      <c r="BS281" s="2" t="e">
        <f>SUMPRODUCT((BG$4:BG281)*($BR$4:$BR281)*(其他调用!#REF!))</f>
        <v>#REF!</v>
      </c>
      <c r="BT281" s="2" t="e">
        <f>SUMPRODUCT((BH$4:BH281)*($BR$4:$BR281)*(其他调用!#REF!))</f>
        <v>#REF!</v>
      </c>
      <c r="BU281" s="2" t="e">
        <f>SUMPRODUCT((BI$4:BI281)*($BR$4:$BR281)*(其他调用!#REF!))</f>
        <v>#REF!</v>
      </c>
      <c r="BV281" s="2" t="e">
        <f>SUMPRODUCT((BJ$4:BJ281)*($BR$4:$BR281)*(其他调用!#REF!))</f>
        <v>#REF!</v>
      </c>
      <c r="BW281" s="2" t="e">
        <f>SUMPRODUCT((BK$4:BK281)*($BR$4:$BR281)*(其他调用!#REF!))</f>
        <v>#REF!</v>
      </c>
      <c r="BX281" s="2" t="e">
        <f>SUMPRODUCT((BG$4:BG281)*($BR$4:$BR281))*'[1]功能-战损相关'!$D$2-BS281</f>
        <v>#REF!</v>
      </c>
      <c r="BY281" s="2" t="e">
        <f>SUMPRODUCT((BH$4:BH281)*($BR$4:$BR281))*'[1]功能-战损相关'!$D$2-BT281</f>
        <v>#REF!</v>
      </c>
      <c r="BZ281" s="2" t="e">
        <f>SUMPRODUCT((BI$4:BI281)*($BR$4:$BR281))*'[1]功能-战损相关'!$D$2-BU281</f>
        <v>#REF!</v>
      </c>
      <c r="CA281" s="2" t="e">
        <f>SUMPRODUCT((BJ$4:BJ281)*($BR$4:$BR281))*'[1]功能-战损相关'!$D$2-BV281</f>
        <v>#REF!</v>
      </c>
      <c r="CB281" s="2" t="e">
        <f>SUMPRODUCT((BK$4:BK281)*($BR$4:$BR281))*'[1]功能-战损相关'!$D$2-BW281</f>
        <v>#REF!</v>
      </c>
    </row>
    <row r="282" spans="40:80" x14ac:dyDescent="0.2">
      <c r="AN282" s="2">
        <v>279</v>
      </c>
      <c r="AO282" s="2">
        <f>求节点(节奏总纲!D$4:D$163,AH$4:AH$163,$AN282)*其他调用!H283*其他调用!$M283</f>
        <v>255106138.82018211</v>
      </c>
      <c r="AP282" s="2">
        <f>求节点(节奏总纲!E$4:E$163,AI$4:AI$163,$AN282)*其他调用!I283*其他调用!$M283</f>
        <v>294061574.4190585</v>
      </c>
      <c r="AQ282" s="2">
        <f>求节点(节奏总纲!F$4:F$163,AJ$4:AJ$163,$AN282)*其他调用!J283*其他调用!$M283</f>
        <v>28753665.832983673</v>
      </c>
      <c r="AR282" s="2">
        <f>求节点(节奏总纲!G$4:G$163,AK$4:AK$163,$AN282)*其他调用!K283*其他调用!$M283</f>
        <v>6519744.3196724113</v>
      </c>
      <c r="AS282" s="2">
        <f>求节点(节奏总纲!H$4:H$163,AL$4:AL$163,$AN282)*其他调用!L283*其他调用!$M283</f>
        <v>2220004.3418700234</v>
      </c>
      <c r="AT282" s="2">
        <f t="shared" si="21"/>
        <v>586661127.73376691</v>
      </c>
      <c r="BF282" s="2">
        <v>279</v>
      </c>
      <c r="BG282" s="2">
        <f>求节点(节奏总纲!D$4:D$163,AZ$4:AZ$163,$AN282)</f>
        <v>8411.0383093476721</v>
      </c>
      <c r="BH282" s="2">
        <f>求节点(节奏总纲!E$4:E$163,BA$4:BA$163,$AN282)</f>
        <v>25925.988226121597</v>
      </c>
      <c r="BI282" s="2">
        <f>求节点(节奏总纲!F$4:F$163,BB$4:BB$163,$AN282)</f>
        <v>80520.657394348818</v>
      </c>
      <c r="BJ282" s="2">
        <f>求节点(节奏总纲!G$4:G$163,BC$4:BC$163,$AN282)</f>
        <v>38504.349729025089</v>
      </c>
      <c r="BK282" s="2">
        <f>求节点(节奏总纲!H$4:H$163,BD$4:BD$163,$AN282)</f>
        <v>11408.246097965961</v>
      </c>
      <c r="BL282" s="2">
        <f>BG282*其他调用!H283*其他调用!$M283</f>
        <v>403414.84756676271</v>
      </c>
      <c r="BM282" s="2">
        <f>BH282*其他调用!I283*其他调用!$M283</f>
        <v>1226079.2283129296</v>
      </c>
      <c r="BN282" s="2">
        <f>BI282*其他调用!J283*其他调用!$M283</f>
        <v>310843.55735202291</v>
      </c>
      <c r="BO282" s="2">
        <f>BJ282*其他调用!K283*其他调用!$M283</f>
        <v>26444.633376495523</v>
      </c>
      <c r="BP282" s="2">
        <f>BK282*其他调用!L283*其他调用!$M283</f>
        <v>2267.0466645877955</v>
      </c>
      <c r="BQ282" s="2">
        <f t="shared" si="22"/>
        <v>1969049.3132727984</v>
      </c>
      <c r="BR282" s="2">
        <f>[1]服务器生态!$R281</f>
        <v>1.6289841650165445E-2</v>
      </c>
      <c r="BS282" s="2" t="e">
        <f>SUMPRODUCT((BG$4:BG282)*($BR$4:$BR282)*(其他调用!#REF!))</f>
        <v>#REF!</v>
      </c>
      <c r="BT282" s="2" t="e">
        <f>SUMPRODUCT((BH$4:BH282)*($BR$4:$BR282)*(其他调用!#REF!))</f>
        <v>#REF!</v>
      </c>
      <c r="BU282" s="2" t="e">
        <f>SUMPRODUCT((BI$4:BI282)*($BR$4:$BR282)*(其他调用!#REF!))</f>
        <v>#REF!</v>
      </c>
      <c r="BV282" s="2" t="e">
        <f>SUMPRODUCT((BJ$4:BJ282)*($BR$4:$BR282)*(其他调用!#REF!))</f>
        <v>#REF!</v>
      </c>
      <c r="BW282" s="2" t="e">
        <f>SUMPRODUCT((BK$4:BK282)*($BR$4:$BR282)*(其他调用!#REF!))</f>
        <v>#REF!</v>
      </c>
      <c r="BX282" s="2" t="e">
        <f>SUMPRODUCT((BG$4:BG282)*($BR$4:$BR282))*'[1]功能-战损相关'!$D$2-BS282</f>
        <v>#REF!</v>
      </c>
      <c r="BY282" s="2" t="e">
        <f>SUMPRODUCT((BH$4:BH282)*($BR$4:$BR282))*'[1]功能-战损相关'!$D$2-BT282</f>
        <v>#REF!</v>
      </c>
      <c r="BZ282" s="2" t="e">
        <f>SUMPRODUCT((BI$4:BI282)*($BR$4:$BR282))*'[1]功能-战损相关'!$D$2-BU282</f>
        <v>#REF!</v>
      </c>
      <c r="CA282" s="2" t="e">
        <f>SUMPRODUCT((BJ$4:BJ282)*($BR$4:$BR282))*'[1]功能-战损相关'!$D$2-BV282</f>
        <v>#REF!</v>
      </c>
      <c r="CB282" s="2" t="e">
        <f>SUMPRODUCT((BK$4:BK282)*($BR$4:$BR282))*'[1]功能-战损相关'!$D$2-BW282</f>
        <v>#REF!</v>
      </c>
    </row>
    <row r="283" spans="40:80" x14ac:dyDescent="0.2">
      <c r="AN283" s="2">
        <v>280</v>
      </c>
      <c r="AO283" s="2">
        <f>求节点(节奏总纲!D$4:D$163,AH$4:AH$163,$AN283)*其他调用!H284*其他调用!$M284</f>
        <v>255495667.2152074</v>
      </c>
      <c r="AP283" s="2">
        <f>求节点(节奏总纲!E$4:E$163,AI$4:AI$163,$AN283)*其他调用!I284*其他调用!$M284</f>
        <v>294525392.77531481</v>
      </c>
      <c r="AQ283" s="2">
        <f>求节点(节奏总纲!F$4:F$163,AJ$4:AJ$163,$AN283)*其他调用!J284*其他调用!$M284</f>
        <v>28797489.372947976</v>
      </c>
      <c r="AR283" s="2">
        <f>求节点(节奏总纲!G$4:G$163,AK$4:AK$163,$AN283)*其他调用!K284*其他调用!$M284</f>
        <v>6525905.3284364138</v>
      </c>
      <c r="AS283" s="2">
        <f>求节点(节奏总纲!H$4:H$163,AL$4:AL$163,$AN283)*其他调用!L284*其他调用!$M284</f>
        <v>2221509.2103910986</v>
      </c>
      <c r="AT283" s="2">
        <f t="shared" si="21"/>
        <v>587565963.9022975</v>
      </c>
      <c r="BF283" s="2">
        <v>280</v>
      </c>
      <c r="BG283" s="2">
        <f>求节点(节奏总纲!D$4:D$163,AZ$4:AZ$163,$AN283)</f>
        <v>8415.1005710251557</v>
      </c>
      <c r="BH283" s="2">
        <f>求节点(节奏总纲!E$4:E$163,BA$4:BA$163,$AN283)</f>
        <v>25938.30820264071</v>
      </c>
      <c r="BI283" s="2">
        <f>求节点(节奏总纲!F$4:F$163,BB$4:BB$163,$AN283)</f>
        <v>80557.209135786441</v>
      </c>
      <c r="BJ283" s="2">
        <f>求节点(节奏总纲!G$4:G$163,BC$4:BC$163,$AN283)</f>
        <v>38514.989682109255</v>
      </c>
      <c r="BK283" s="2">
        <f>求节点(节奏总纲!H$4:H$163,BD$4:BD$163,$AN283)</f>
        <v>11412.437910725572</v>
      </c>
      <c r="BL283" s="2">
        <f>BG283*其他调用!H284*其他调用!$M284</f>
        <v>403609.68399659771</v>
      </c>
      <c r="BM283" s="2">
        <f>BH283*其他调用!I284*其他调用!$M284</f>
        <v>1226661.8586517095</v>
      </c>
      <c r="BN283" s="2">
        <f>BI283*其他调用!J284*其他调用!$M284</f>
        <v>310984.66242621822</v>
      </c>
      <c r="BO283" s="2">
        <f>BJ283*其他调用!K284*其他调用!$M284</f>
        <v>26451.940853713917</v>
      </c>
      <c r="BP283" s="2">
        <f>BK283*其他调用!L284*其他调用!$M284</f>
        <v>2267.8796616193854</v>
      </c>
      <c r="BQ283" s="2">
        <f t="shared" si="22"/>
        <v>1969976.0255898589</v>
      </c>
      <c r="BR283" s="2">
        <f>[1]服务器生态!$R282</f>
        <v>1.6289841650165445E-2</v>
      </c>
      <c r="BS283" s="2" t="e">
        <f>SUMPRODUCT((BG$4:BG283)*($BR$4:$BR283)*(其他调用!#REF!))</f>
        <v>#REF!</v>
      </c>
      <c r="BT283" s="2" t="e">
        <f>SUMPRODUCT((BH$4:BH283)*($BR$4:$BR283)*(其他调用!#REF!))</f>
        <v>#REF!</v>
      </c>
      <c r="BU283" s="2" t="e">
        <f>SUMPRODUCT((BI$4:BI283)*($BR$4:$BR283)*(其他调用!#REF!))</f>
        <v>#REF!</v>
      </c>
      <c r="BV283" s="2" t="e">
        <f>SUMPRODUCT((BJ$4:BJ283)*($BR$4:$BR283)*(其他调用!#REF!))</f>
        <v>#REF!</v>
      </c>
      <c r="BW283" s="2" t="e">
        <f>SUMPRODUCT((BK$4:BK283)*($BR$4:$BR283)*(其他调用!#REF!))</f>
        <v>#REF!</v>
      </c>
      <c r="BX283" s="2" t="e">
        <f>SUMPRODUCT((BG$4:BG283)*($BR$4:$BR283))*'[1]功能-战损相关'!$D$2-BS283</f>
        <v>#REF!</v>
      </c>
      <c r="BY283" s="2" t="e">
        <f>SUMPRODUCT((BH$4:BH283)*($BR$4:$BR283))*'[1]功能-战损相关'!$D$2-BT283</f>
        <v>#REF!</v>
      </c>
      <c r="BZ283" s="2" t="e">
        <f>SUMPRODUCT((BI$4:BI283)*($BR$4:$BR283))*'[1]功能-战损相关'!$D$2-BU283</f>
        <v>#REF!</v>
      </c>
      <c r="CA283" s="2" t="e">
        <f>SUMPRODUCT((BJ$4:BJ283)*($BR$4:$BR283))*'[1]功能-战损相关'!$D$2-BV283</f>
        <v>#REF!</v>
      </c>
      <c r="CB283" s="2" t="e">
        <f>SUMPRODUCT((BK$4:BK283)*($BR$4:$BR283))*'[1]功能-战损相关'!$D$2-BW283</f>
        <v>#REF!</v>
      </c>
    </row>
    <row r="284" spans="40:80" x14ac:dyDescent="0.2">
      <c r="AN284" s="2">
        <v>281</v>
      </c>
      <c r="AO284" s="2">
        <f>求节点(节奏总纲!D$4:D$163,AH$4:AH$163,$AN284)*其他调用!H285*其他调用!$M285</f>
        <v>255885195.61023274</v>
      </c>
      <c r="AP284" s="2">
        <f>求节点(节奏总纲!E$4:E$163,AI$4:AI$163,$AN284)*其他调用!I285*其他调用!$M285</f>
        <v>294989211.13157117</v>
      </c>
      <c r="AQ284" s="2">
        <f>求节点(节奏总纲!F$4:F$163,AJ$4:AJ$163,$AN284)*其他调用!J285*其他调用!$M285</f>
        <v>28841312.912912276</v>
      </c>
      <c r="AR284" s="2">
        <f>求节点(节奏总纲!G$4:G$163,AK$4:AK$163,$AN284)*其他调用!K285*其他调用!$M285</f>
        <v>6532066.3372004153</v>
      </c>
      <c r="AS284" s="2">
        <f>求节点(节奏总纲!H$4:H$163,AL$4:AL$163,$AN284)*其他调用!L285*其他调用!$M285</f>
        <v>2223014.0789121734</v>
      </c>
      <c r="AT284" s="2">
        <f t="shared" si="21"/>
        <v>588470800.07082868</v>
      </c>
      <c r="BF284" s="2">
        <v>281</v>
      </c>
      <c r="BG284" s="2">
        <f>求节点(节奏总纲!D$4:D$163,AZ$4:AZ$163,$AN284)</f>
        <v>8419.162832702641</v>
      </c>
      <c r="BH284" s="2">
        <f>求节点(节奏总纲!E$4:E$163,BA$4:BA$163,$AN284)</f>
        <v>25950.628179159827</v>
      </c>
      <c r="BI284" s="2">
        <f>求节点(节奏总纲!F$4:F$163,BB$4:BB$163,$AN284)</f>
        <v>80593.760877224064</v>
      </c>
      <c r="BJ284" s="2">
        <f>求节点(节奏总纲!G$4:G$163,BC$4:BC$163,$AN284)</f>
        <v>38525.629635193422</v>
      </c>
      <c r="BK284" s="2">
        <f>求节点(节奏总纲!H$4:H$163,BD$4:BD$163,$AN284)</f>
        <v>11416.629723485183</v>
      </c>
      <c r="BL284" s="2">
        <f>BG284*其他调用!H285*其他调用!$M285</f>
        <v>403804.52042643272</v>
      </c>
      <c r="BM284" s="2">
        <f>BH284*其他调用!I285*其他调用!$M285</f>
        <v>1227244.4889904894</v>
      </c>
      <c r="BN284" s="2">
        <f>BI284*其他调用!J285*其他调用!$M285</f>
        <v>311125.76750041347</v>
      </c>
      <c r="BO284" s="2">
        <f>BJ284*其他调用!K285*其他调用!$M285</f>
        <v>26459.248330932307</v>
      </c>
      <c r="BP284" s="2">
        <f>BK284*其他调用!L285*其他调用!$M285</f>
        <v>2268.7126586509753</v>
      </c>
      <c r="BQ284" s="2">
        <f t="shared" si="22"/>
        <v>1970902.7379069189</v>
      </c>
      <c r="BR284" s="2">
        <f>[1]服务器生态!$R283</f>
        <v>1.6289841650165445E-2</v>
      </c>
      <c r="BS284" s="2" t="e">
        <f>SUMPRODUCT((BG$4:BG284)*($BR$4:$BR284)*(其他调用!#REF!))</f>
        <v>#REF!</v>
      </c>
      <c r="BT284" s="2" t="e">
        <f>SUMPRODUCT((BH$4:BH284)*($BR$4:$BR284)*(其他调用!#REF!))</f>
        <v>#REF!</v>
      </c>
      <c r="BU284" s="2" t="e">
        <f>SUMPRODUCT((BI$4:BI284)*($BR$4:$BR284)*(其他调用!#REF!))</f>
        <v>#REF!</v>
      </c>
      <c r="BV284" s="2" t="e">
        <f>SUMPRODUCT((BJ$4:BJ284)*($BR$4:$BR284)*(其他调用!#REF!))</f>
        <v>#REF!</v>
      </c>
      <c r="BW284" s="2" t="e">
        <f>SUMPRODUCT((BK$4:BK284)*($BR$4:$BR284)*(其他调用!#REF!))</f>
        <v>#REF!</v>
      </c>
      <c r="BX284" s="2" t="e">
        <f>SUMPRODUCT((BG$4:BG284)*($BR$4:$BR284))*'[1]功能-战损相关'!$D$2-BS284</f>
        <v>#REF!</v>
      </c>
      <c r="BY284" s="2" t="e">
        <f>SUMPRODUCT((BH$4:BH284)*($BR$4:$BR284))*'[1]功能-战损相关'!$D$2-BT284</f>
        <v>#REF!</v>
      </c>
      <c r="BZ284" s="2" t="e">
        <f>SUMPRODUCT((BI$4:BI284)*($BR$4:$BR284))*'[1]功能-战损相关'!$D$2-BU284</f>
        <v>#REF!</v>
      </c>
      <c r="CA284" s="2" t="e">
        <f>SUMPRODUCT((BJ$4:BJ284)*($BR$4:$BR284))*'[1]功能-战损相关'!$D$2-BV284</f>
        <v>#REF!</v>
      </c>
      <c r="CB284" s="2" t="e">
        <f>SUMPRODUCT((BK$4:BK284)*($BR$4:$BR284))*'[1]功能-战损相关'!$D$2-BW284</f>
        <v>#REF!</v>
      </c>
    </row>
    <row r="285" spans="40:80" x14ac:dyDescent="0.2">
      <c r="AN285" s="2">
        <v>282</v>
      </c>
      <c r="AO285" s="2">
        <f>求节点(节奏总纲!D$4:D$163,AH$4:AH$163,$AN285)*其他调用!H286*其他调用!$M286</f>
        <v>256274724.00525808</v>
      </c>
      <c r="AP285" s="2">
        <f>求节点(节奏总纲!E$4:E$163,AI$4:AI$163,$AN285)*其他调用!I286*其他调用!$M286</f>
        <v>295453029.48782754</v>
      </c>
      <c r="AQ285" s="2">
        <f>求节点(节奏总纲!F$4:F$163,AJ$4:AJ$163,$AN285)*其他调用!J286*其他调用!$M286</f>
        <v>28885136.452876572</v>
      </c>
      <c r="AR285" s="2">
        <f>求节点(节奏总纲!G$4:G$163,AK$4:AK$163,$AN285)*其他调用!K286*其他调用!$M286</f>
        <v>6538227.3459644169</v>
      </c>
      <c r="AS285" s="2">
        <f>求节点(节奏总纲!H$4:H$163,AL$4:AL$163,$AN285)*其他调用!L286*其他调用!$M286</f>
        <v>2224518.9474332486</v>
      </c>
      <c r="AT285" s="2">
        <f t="shared" si="21"/>
        <v>589375636.23935986</v>
      </c>
      <c r="BF285" s="2">
        <v>282</v>
      </c>
      <c r="BG285" s="2">
        <f>求节点(节奏总纲!D$4:D$163,AZ$4:AZ$163,$AN285)</f>
        <v>8423.2250943801264</v>
      </c>
      <c r="BH285" s="2">
        <f>求节点(节奏总纲!E$4:E$163,BA$4:BA$163,$AN285)</f>
        <v>25962.94815567894</v>
      </c>
      <c r="BI285" s="2">
        <f>求节点(节奏总纲!F$4:F$163,BB$4:BB$163,$AN285)</f>
        <v>80630.312618661686</v>
      </c>
      <c r="BJ285" s="2">
        <f>求节点(节奏总纲!G$4:G$163,BC$4:BC$163,$AN285)</f>
        <v>38536.269588277588</v>
      </c>
      <c r="BK285" s="2">
        <f>求节点(节奏总纲!H$4:H$163,BD$4:BD$163,$AN285)</f>
        <v>11420.821536244795</v>
      </c>
      <c r="BL285" s="2">
        <f>BG285*其他调用!H286*其他调用!$M286</f>
        <v>403999.35685626778</v>
      </c>
      <c r="BM285" s="2">
        <f>BH285*其他调用!I286*其他调用!$M286</f>
        <v>1227827.1193292695</v>
      </c>
      <c r="BN285" s="2">
        <f>BI285*其他调用!J286*其他调用!$M286</f>
        <v>311266.87257460877</v>
      </c>
      <c r="BO285" s="2">
        <f>BJ285*其他调用!K286*其他调用!$M286</f>
        <v>26466.555808150701</v>
      </c>
      <c r="BP285" s="2">
        <f>BK285*其他调用!L286*其他调用!$M286</f>
        <v>2269.5456556825652</v>
      </c>
      <c r="BQ285" s="2">
        <f t="shared" si="22"/>
        <v>1971829.4502239793</v>
      </c>
      <c r="BR285" s="2">
        <f>[1]服务器生态!$R284</f>
        <v>1.6289841650165445E-2</v>
      </c>
      <c r="BS285" s="2" t="e">
        <f>SUMPRODUCT((BG$4:BG285)*($BR$4:$BR285)*(其他调用!#REF!))</f>
        <v>#REF!</v>
      </c>
      <c r="BT285" s="2" t="e">
        <f>SUMPRODUCT((BH$4:BH285)*($BR$4:$BR285)*(其他调用!#REF!))</f>
        <v>#REF!</v>
      </c>
      <c r="BU285" s="2" t="e">
        <f>SUMPRODUCT((BI$4:BI285)*($BR$4:$BR285)*(其他调用!#REF!))</f>
        <v>#REF!</v>
      </c>
      <c r="BV285" s="2" t="e">
        <f>SUMPRODUCT((BJ$4:BJ285)*($BR$4:$BR285)*(其他调用!#REF!))</f>
        <v>#REF!</v>
      </c>
      <c r="BW285" s="2" t="e">
        <f>SUMPRODUCT((BK$4:BK285)*($BR$4:$BR285)*(其他调用!#REF!))</f>
        <v>#REF!</v>
      </c>
      <c r="BX285" s="2" t="e">
        <f>SUMPRODUCT((BG$4:BG285)*($BR$4:$BR285))*'[1]功能-战损相关'!$D$2-BS285</f>
        <v>#REF!</v>
      </c>
      <c r="BY285" s="2" t="e">
        <f>SUMPRODUCT((BH$4:BH285)*($BR$4:$BR285))*'[1]功能-战损相关'!$D$2-BT285</f>
        <v>#REF!</v>
      </c>
      <c r="BZ285" s="2" t="e">
        <f>SUMPRODUCT((BI$4:BI285)*($BR$4:$BR285))*'[1]功能-战损相关'!$D$2-BU285</f>
        <v>#REF!</v>
      </c>
      <c r="CA285" s="2" t="e">
        <f>SUMPRODUCT((BJ$4:BJ285)*($BR$4:$BR285))*'[1]功能-战损相关'!$D$2-BV285</f>
        <v>#REF!</v>
      </c>
      <c r="CB285" s="2" t="e">
        <f>SUMPRODUCT((BK$4:BK285)*($BR$4:$BR285))*'[1]功能-战损相关'!$D$2-BW285</f>
        <v>#REF!</v>
      </c>
    </row>
    <row r="286" spans="40:80" x14ac:dyDescent="0.2">
      <c r="AN286" s="2">
        <v>283</v>
      </c>
      <c r="AO286" s="2">
        <f>求节点(节奏总纲!D$4:D$163,AH$4:AH$163,$AN286)*其他调用!H287*其他调用!$M287</f>
        <v>256664252.40028343</v>
      </c>
      <c r="AP286" s="2">
        <f>求节点(节奏总纲!E$4:E$163,AI$4:AI$163,$AN286)*其他调用!I287*其他调用!$M287</f>
        <v>295916847.84408385</v>
      </c>
      <c r="AQ286" s="2">
        <f>求节点(节奏总纲!F$4:F$163,AJ$4:AJ$163,$AN286)*其他调用!J287*其他调用!$M287</f>
        <v>28928959.992840875</v>
      </c>
      <c r="AR286" s="2">
        <f>求节点(节奏总纲!G$4:G$163,AK$4:AK$163,$AN286)*其他调用!K287*其他调用!$M287</f>
        <v>6544388.3547284184</v>
      </c>
      <c r="AS286" s="2">
        <f>求节点(节奏总纲!H$4:H$163,AL$4:AL$163,$AN286)*其他调用!L287*其他调用!$M287</f>
        <v>2226023.8159543234</v>
      </c>
      <c r="AT286" s="2">
        <f t="shared" si="21"/>
        <v>590280472.40789092</v>
      </c>
      <c r="BF286" s="2">
        <v>283</v>
      </c>
      <c r="BG286" s="2">
        <f>求节点(节奏总纲!D$4:D$163,AZ$4:AZ$163,$AN286)</f>
        <v>8427.2873560576118</v>
      </c>
      <c r="BH286" s="2">
        <f>求节点(节奏总纲!E$4:E$163,BA$4:BA$163,$AN286)</f>
        <v>25975.268132198053</v>
      </c>
      <c r="BI286" s="2">
        <f>求节点(节奏总纲!F$4:F$163,BB$4:BB$163,$AN286)</f>
        <v>80666.864360099309</v>
      </c>
      <c r="BJ286" s="2">
        <f>求节点(节奏总纲!G$4:G$163,BC$4:BC$163,$AN286)</f>
        <v>38546.909541361754</v>
      </c>
      <c r="BK286" s="2">
        <f>求节点(节奏总纲!H$4:H$163,BD$4:BD$163,$AN286)</f>
        <v>11425.013349004406</v>
      </c>
      <c r="BL286" s="2">
        <f>BG286*其他调用!H287*其他调用!$M287</f>
        <v>404194.19328610285</v>
      </c>
      <c r="BM286" s="2">
        <f>BH286*其他调用!I287*其他调用!$M287</f>
        <v>1228409.7496680492</v>
      </c>
      <c r="BN286" s="2">
        <f>BI286*其他调用!J287*其他调用!$M287</f>
        <v>311407.97764880402</v>
      </c>
      <c r="BO286" s="2">
        <f>BJ286*其他调用!K287*其他调用!$M287</f>
        <v>26473.863285369094</v>
      </c>
      <c r="BP286" s="2">
        <f>BK286*其他调用!L287*其他调用!$M287</f>
        <v>2270.3786527141551</v>
      </c>
      <c r="BQ286" s="2">
        <f t="shared" si="22"/>
        <v>1972756.1625410391</v>
      </c>
      <c r="BR286" s="2">
        <f>[1]服务器生态!$R285</f>
        <v>1.6289841650165445E-2</v>
      </c>
      <c r="BS286" s="2" t="e">
        <f>SUMPRODUCT((BG$4:BG286)*($BR$4:$BR286)*(其他调用!#REF!))</f>
        <v>#REF!</v>
      </c>
      <c r="BT286" s="2" t="e">
        <f>SUMPRODUCT((BH$4:BH286)*($BR$4:$BR286)*(其他调用!#REF!))</f>
        <v>#REF!</v>
      </c>
      <c r="BU286" s="2" t="e">
        <f>SUMPRODUCT((BI$4:BI286)*($BR$4:$BR286)*(其他调用!#REF!))</f>
        <v>#REF!</v>
      </c>
      <c r="BV286" s="2" t="e">
        <f>SUMPRODUCT((BJ$4:BJ286)*($BR$4:$BR286)*(其他调用!#REF!))</f>
        <v>#REF!</v>
      </c>
      <c r="BW286" s="2" t="e">
        <f>SUMPRODUCT((BK$4:BK286)*($BR$4:$BR286)*(其他调用!#REF!))</f>
        <v>#REF!</v>
      </c>
      <c r="BX286" s="2" t="e">
        <f>SUMPRODUCT((BG$4:BG286)*($BR$4:$BR286))*'[1]功能-战损相关'!$D$2-BS286</f>
        <v>#REF!</v>
      </c>
      <c r="BY286" s="2" t="e">
        <f>SUMPRODUCT((BH$4:BH286)*($BR$4:$BR286))*'[1]功能-战损相关'!$D$2-BT286</f>
        <v>#REF!</v>
      </c>
      <c r="BZ286" s="2" t="e">
        <f>SUMPRODUCT((BI$4:BI286)*($BR$4:$BR286))*'[1]功能-战损相关'!$D$2-BU286</f>
        <v>#REF!</v>
      </c>
      <c r="CA286" s="2" t="e">
        <f>SUMPRODUCT((BJ$4:BJ286)*($BR$4:$BR286))*'[1]功能-战损相关'!$D$2-BV286</f>
        <v>#REF!</v>
      </c>
      <c r="CB286" s="2" t="e">
        <f>SUMPRODUCT((BK$4:BK286)*($BR$4:$BR286))*'[1]功能-战损相关'!$D$2-BW286</f>
        <v>#REF!</v>
      </c>
    </row>
    <row r="287" spans="40:80" x14ac:dyDescent="0.2">
      <c r="AN287" s="2">
        <v>284</v>
      </c>
      <c r="AO287" s="2">
        <f>求节点(节奏总纲!D$4:D$163,AH$4:AH$163,$AN287)*其他调用!H288*其他调用!$M288</f>
        <v>257053780.79530877</v>
      </c>
      <c r="AP287" s="2">
        <f>求节点(节奏总纲!E$4:E$163,AI$4:AI$163,$AN287)*其他调用!I288*其他调用!$M288</f>
        <v>296380666.20034015</v>
      </c>
      <c r="AQ287" s="2">
        <f>求节点(节奏总纲!F$4:F$163,AJ$4:AJ$163,$AN287)*其他调用!J288*其他调用!$M288</f>
        <v>28972783.532805175</v>
      </c>
      <c r="AR287" s="2">
        <f>求节点(节奏总纲!G$4:G$163,AK$4:AK$163,$AN287)*其他调用!K288*其他调用!$M288</f>
        <v>6550549.3634924209</v>
      </c>
      <c r="AS287" s="2">
        <f>求节点(节奏总纲!H$4:H$163,AL$4:AL$163,$AN287)*其他调用!L288*其他调用!$M288</f>
        <v>2227528.6844753986</v>
      </c>
      <c r="AT287" s="2">
        <f t="shared" si="21"/>
        <v>591185308.57642186</v>
      </c>
      <c r="BF287" s="2">
        <v>284</v>
      </c>
      <c r="BG287" s="2">
        <f>求节点(节奏总纲!D$4:D$163,AZ$4:AZ$163,$AN287)</f>
        <v>8431.3496177350953</v>
      </c>
      <c r="BH287" s="2">
        <f>求节点(节奏总纲!E$4:E$163,BA$4:BA$163,$AN287)</f>
        <v>25987.588108717169</v>
      </c>
      <c r="BI287" s="2">
        <f>求节点(节奏总纲!F$4:F$163,BB$4:BB$163,$AN287)</f>
        <v>80703.416101536932</v>
      </c>
      <c r="BJ287" s="2">
        <f>求节点(节奏总纲!G$4:G$163,BC$4:BC$163,$AN287)</f>
        <v>38557.549494445921</v>
      </c>
      <c r="BK287" s="2">
        <f>求节点(节奏总纲!H$4:H$163,BD$4:BD$163,$AN287)</f>
        <v>11429.205161764017</v>
      </c>
      <c r="BL287" s="2">
        <f>BG287*其他调用!H288*其他调用!$M288</f>
        <v>404389.02971593774</v>
      </c>
      <c r="BM287" s="2">
        <f>BH287*其他调用!I288*其他调用!$M288</f>
        <v>1228992.3800068293</v>
      </c>
      <c r="BN287" s="2">
        <f>BI287*其他调用!J288*其他调用!$M288</f>
        <v>311549.08272299933</v>
      </c>
      <c r="BO287" s="2">
        <f>BJ287*其他调用!K288*其他调用!$M288</f>
        <v>26481.170762587488</v>
      </c>
      <c r="BP287" s="2">
        <f>BK287*其他调用!L288*其他调用!$M288</f>
        <v>2271.211649745745</v>
      </c>
      <c r="BQ287" s="2">
        <f t="shared" si="22"/>
        <v>1973682.8748580997</v>
      </c>
      <c r="BR287" s="2">
        <f>[1]服务器生态!$R286</f>
        <v>1.6289841650165445E-2</v>
      </c>
      <c r="BS287" s="2" t="e">
        <f>SUMPRODUCT((BG$4:BG287)*($BR$4:$BR287)*(其他调用!#REF!))</f>
        <v>#REF!</v>
      </c>
      <c r="BT287" s="2" t="e">
        <f>SUMPRODUCT((BH$4:BH287)*($BR$4:$BR287)*(其他调用!#REF!))</f>
        <v>#REF!</v>
      </c>
      <c r="BU287" s="2" t="e">
        <f>SUMPRODUCT((BI$4:BI287)*($BR$4:$BR287)*(其他调用!#REF!))</f>
        <v>#REF!</v>
      </c>
      <c r="BV287" s="2" t="e">
        <f>SUMPRODUCT((BJ$4:BJ287)*($BR$4:$BR287)*(其他调用!#REF!))</f>
        <v>#REF!</v>
      </c>
      <c r="BW287" s="2" t="e">
        <f>SUMPRODUCT((BK$4:BK287)*($BR$4:$BR287)*(其他调用!#REF!))</f>
        <v>#REF!</v>
      </c>
      <c r="BX287" s="2" t="e">
        <f>SUMPRODUCT((BG$4:BG287)*($BR$4:$BR287))*'[1]功能-战损相关'!$D$2-BS287</f>
        <v>#REF!</v>
      </c>
      <c r="BY287" s="2" t="e">
        <f>SUMPRODUCT((BH$4:BH287)*($BR$4:$BR287))*'[1]功能-战损相关'!$D$2-BT287</f>
        <v>#REF!</v>
      </c>
      <c r="BZ287" s="2" t="e">
        <f>SUMPRODUCT((BI$4:BI287)*($BR$4:$BR287))*'[1]功能-战损相关'!$D$2-BU287</f>
        <v>#REF!</v>
      </c>
      <c r="CA287" s="2" t="e">
        <f>SUMPRODUCT((BJ$4:BJ287)*($BR$4:$BR287))*'[1]功能-战损相关'!$D$2-BV287</f>
        <v>#REF!</v>
      </c>
      <c r="CB287" s="2" t="e">
        <f>SUMPRODUCT((BK$4:BK287)*($BR$4:$BR287))*'[1]功能-战损相关'!$D$2-BW287</f>
        <v>#REF!</v>
      </c>
    </row>
    <row r="288" spans="40:80" x14ac:dyDescent="0.2">
      <c r="AN288" s="2">
        <v>285</v>
      </c>
      <c r="AO288" s="2">
        <f>求节点(节奏总纲!D$4:D$163,AH$4:AH$163,$AN288)*其他调用!H289*其他调用!$M289</f>
        <v>257443309.19033411</v>
      </c>
      <c r="AP288" s="2">
        <f>求节点(节奏总纲!E$4:E$163,AI$4:AI$163,$AN288)*其他调用!I289*其他调用!$M289</f>
        <v>296844484.55659652</v>
      </c>
      <c r="AQ288" s="2">
        <f>求节点(节奏总纲!F$4:F$163,AJ$4:AJ$163,$AN288)*其他调用!J289*其他调用!$M289</f>
        <v>29016607.072769478</v>
      </c>
      <c r="AR288" s="2">
        <f>求节点(节奏总纲!G$4:G$163,AK$4:AK$163,$AN288)*其他调用!K289*其他调用!$M289</f>
        <v>6556710.3722564233</v>
      </c>
      <c r="AS288" s="2">
        <f>求节点(节奏总纲!H$4:H$163,AL$4:AL$163,$AN288)*其他调用!L289*其他调用!$M289</f>
        <v>2229033.5529964739</v>
      </c>
      <c r="AT288" s="2">
        <f t="shared" si="21"/>
        <v>592090144.74495304</v>
      </c>
      <c r="BF288" s="2">
        <v>285</v>
      </c>
      <c r="BG288" s="2">
        <f>求节点(节奏总纲!D$4:D$163,AZ$4:AZ$163,$AN288)</f>
        <v>8435.4118794125807</v>
      </c>
      <c r="BH288" s="2">
        <f>求节点(节奏总纲!E$4:E$163,BA$4:BA$163,$AN288)</f>
        <v>25999.908085236282</v>
      </c>
      <c r="BI288" s="2">
        <f>求节点(节奏总纲!F$4:F$163,BB$4:BB$163,$AN288)</f>
        <v>80739.967842974555</v>
      </c>
      <c r="BJ288" s="2">
        <f>求节点(节奏总纲!G$4:G$163,BC$4:BC$163,$AN288)</f>
        <v>38568.189447530094</v>
      </c>
      <c r="BK288" s="2">
        <f>求节点(节奏总纲!H$4:H$163,BD$4:BD$163,$AN288)</f>
        <v>11433.396974523628</v>
      </c>
      <c r="BL288" s="2">
        <f>BG288*其他调用!H289*其他调用!$M289</f>
        <v>404583.8661457728</v>
      </c>
      <c r="BM288" s="2">
        <f>BH288*其他调用!I289*其他调用!$M289</f>
        <v>1229575.0103456089</v>
      </c>
      <c r="BN288" s="2">
        <f>BI288*其他调用!J289*其他调用!$M289</f>
        <v>311690.18779719458</v>
      </c>
      <c r="BO288" s="2">
        <f>BJ288*其他调用!K289*其他调用!$M289</f>
        <v>26488.478239805885</v>
      </c>
      <c r="BP288" s="2">
        <f>BK288*其他调用!L289*其他调用!$M289</f>
        <v>2272.0446467773349</v>
      </c>
      <c r="BQ288" s="2">
        <f t="shared" si="22"/>
        <v>1974609.5871751597</v>
      </c>
      <c r="BR288" s="2">
        <f>[1]服务器生态!$R287</f>
        <v>1.6289841650165445E-2</v>
      </c>
      <c r="BS288" s="2" t="e">
        <f>SUMPRODUCT((BG$4:BG288)*($BR$4:$BR288)*(其他调用!#REF!))</f>
        <v>#REF!</v>
      </c>
      <c r="BT288" s="2" t="e">
        <f>SUMPRODUCT((BH$4:BH288)*($BR$4:$BR288)*(其他调用!#REF!))</f>
        <v>#REF!</v>
      </c>
      <c r="BU288" s="2" t="e">
        <f>SUMPRODUCT((BI$4:BI288)*($BR$4:$BR288)*(其他调用!#REF!))</f>
        <v>#REF!</v>
      </c>
      <c r="BV288" s="2" t="e">
        <f>SUMPRODUCT((BJ$4:BJ288)*($BR$4:$BR288)*(其他调用!#REF!))</f>
        <v>#REF!</v>
      </c>
      <c r="BW288" s="2" t="e">
        <f>SUMPRODUCT((BK$4:BK288)*($BR$4:$BR288)*(其他调用!#REF!))</f>
        <v>#REF!</v>
      </c>
      <c r="BX288" s="2" t="e">
        <f>SUMPRODUCT((BG$4:BG288)*($BR$4:$BR288))*'[1]功能-战损相关'!$D$2-BS288</f>
        <v>#REF!</v>
      </c>
      <c r="BY288" s="2" t="e">
        <f>SUMPRODUCT((BH$4:BH288)*($BR$4:$BR288))*'[1]功能-战损相关'!$D$2-BT288</f>
        <v>#REF!</v>
      </c>
      <c r="BZ288" s="2" t="e">
        <f>SUMPRODUCT((BI$4:BI288)*($BR$4:$BR288))*'[1]功能-战损相关'!$D$2-BU288</f>
        <v>#REF!</v>
      </c>
      <c r="CA288" s="2" t="e">
        <f>SUMPRODUCT((BJ$4:BJ288)*($BR$4:$BR288))*'[1]功能-战损相关'!$D$2-BV288</f>
        <v>#REF!</v>
      </c>
      <c r="CB288" s="2" t="e">
        <f>SUMPRODUCT((BK$4:BK288)*($BR$4:$BR288))*'[1]功能-战损相关'!$D$2-BW288</f>
        <v>#REF!</v>
      </c>
    </row>
    <row r="289" spans="40:80" x14ac:dyDescent="0.2">
      <c r="AN289" s="2">
        <v>286</v>
      </c>
      <c r="AO289" s="2">
        <f>求节点(节奏总纲!D$4:D$163,AH$4:AH$163,$AN289)*其他调用!H290*其他调用!$M290</f>
        <v>257832837.58535945</v>
      </c>
      <c r="AP289" s="2">
        <f>求节点(节奏总纲!E$4:E$163,AI$4:AI$163,$AN289)*其他调用!I290*其他调用!$M290</f>
        <v>297308302.91285288</v>
      </c>
      <c r="AQ289" s="2">
        <f>求节点(节奏总纲!F$4:F$163,AJ$4:AJ$163,$AN289)*其他调用!J290*其他调用!$M290</f>
        <v>29060430.612733774</v>
      </c>
      <c r="AR289" s="2">
        <f>求节点(节奏总纲!G$4:G$163,AK$4:AK$163,$AN289)*其他调用!K290*其他调用!$M290</f>
        <v>6562871.3810204249</v>
      </c>
      <c r="AS289" s="2">
        <f>求节点(节奏总纲!H$4:H$163,AL$4:AL$163,$AN289)*其他调用!L290*其他调用!$M290</f>
        <v>2230538.4215175486</v>
      </c>
      <c r="AT289" s="2">
        <f t="shared" si="21"/>
        <v>592994980.91348398</v>
      </c>
      <c r="BF289" s="2">
        <v>286</v>
      </c>
      <c r="BG289" s="2">
        <f>求节点(节奏总纲!D$4:D$163,AZ$4:AZ$163,$AN289)</f>
        <v>8439.474141090066</v>
      </c>
      <c r="BH289" s="2">
        <f>求节点(节奏总纲!E$4:E$163,BA$4:BA$163,$AN289)</f>
        <v>26012.228061755395</v>
      </c>
      <c r="BI289" s="2">
        <f>求节点(节奏总纲!F$4:F$163,BB$4:BB$163,$AN289)</f>
        <v>80776.519584412192</v>
      </c>
      <c r="BJ289" s="2">
        <f>求节点(节奏总纲!G$4:G$163,BC$4:BC$163,$AN289)</f>
        <v>38578.829400614261</v>
      </c>
      <c r="BK289" s="2">
        <f>求节点(节奏总纲!H$4:H$163,BD$4:BD$163,$AN289)</f>
        <v>11437.588787283241</v>
      </c>
      <c r="BL289" s="2">
        <f>BG289*其他调用!H290*其他调用!$M290</f>
        <v>404778.70257560787</v>
      </c>
      <c r="BM289" s="2">
        <f>BH289*其他调用!I290*其他调用!$M290</f>
        <v>1230157.640684389</v>
      </c>
      <c r="BN289" s="2">
        <f>BI289*其他调用!J290*其他调用!$M290</f>
        <v>311831.29287138989</v>
      </c>
      <c r="BO289" s="2">
        <f>BJ289*其他调用!K290*其他调用!$M290</f>
        <v>26495.785717024279</v>
      </c>
      <c r="BP289" s="2">
        <f>BK289*其他调用!L290*其他调用!$M290</f>
        <v>2272.8776438089253</v>
      </c>
      <c r="BQ289" s="2">
        <f t="shared" si="22"/>
        <v>1975536.2994922199</v>
      </c>
      <c r="BR289" s="2">
        <f>[1]服务器生态!$R288</f>
        <v>1.6289841650165445E-2</v>
      </c>
      <c r="BS289" s="2" t="e">
        <f>SUMPRODUCT((BG$4:BG289)*($BR$4:$BR289)*(其他调用!#REF!))</f>
        <v>#REF!</v>
      </c>
      <c r="BT289" s="2" t="e">
        <f>SUMPRODUCT((BH$4:BH289)*($BR$4:$BR289)*(其他调用!#REF!))</f>
        <v>#REF!</v>
      </c>
      <c r="BU289" s="2" t="e">
        <f>SUMPRODUCT((BI$4:BI289)*($BR$4:$BR289)*(其他调用!#REF!))</f>
        <v>#REF!</v>
      </c>
      <c r="BV289" s="2" t="e">
        <f>SUMPRODUCT((BJ$4:BJ289)*($BR$4:$BR289)*(其他调用!#REF!))</f>
        <v>#REF!</v>
      </c>
      <c r="BW289" s="2" t="e">
        <f>SUMPRODUCT((BK$4:BK289)*($BR$4:$BR289)*(其他调用!#REF!))</f>
        <v>#REF!</v>
      </c>
      <c r="BX289" s="2" t="e">
        <f>SUMPRODUCT((BG$4:BG289)*($BR$4:$BR289))*'[1]功能-战损相关'!$D$2-BS289</f>
        <v>#REF!</v>
      </c>
      <c r="BY289" s="2" t="e">
        <f>SUMPRODUCT((BH$4:BH289)*($BR$4:$BR289))*'[1]功能-战损相关'!$D$2-BT289</f>
        <v>#REF!</v>
      </c>
      <c r="BZ289" s="2" t="e">
        <f>SUMPRODUCT((BI$4:BI289)*($BR$4:$BR289))*'[1]功能-战损相关'!$D$2-BU289</f>
        <v>#REF!</v>
      </c>
      <c r="CA289" s="2" t="e">
        <f>SUMPRODUCT((BJ$4:BJ289)*($BR$4:$BR289))*'[1]功能-战损相关'!$D$2-BV289</f>
        <v>#REF!</v>
      </c>
      <c r="CB289" s="2" t="e">
        <f>SUMPRODUCT((BK$4:BK289)*($BR$4:$BR289))*'[1]功能-战损相关'!$D$2-BW289</f>
        <v>#REF!</v>
      </c>
    </row>
    <row r="290" spans="40:80" x14ac:dyDescent="0.2">
      <c r="AN290" s="2">
        <v>287</v>
      </c>
      <c r="AO290" s="2">
        <f>求节点(节奏总纲!D$4:D$163,AH$4:AH$163,$AN290)*其他调用!H291*其他调用!$M291</f>
        <v>258222365.98038477</v>
      </c>
      <c r="AP290" s="2">
        <f>求节点(节奏总纲!E$4:E$163,AI$4:AI$163,$AN290)*其他调用!I291*其他调用!$M291</f>
        <v>297772121.26910919</v>
      </c>
      <c r="AQ290" s="2">
        <f>求节点(节奏总纲!F$4:F$163,AJ$4:AJ$163,$AN290)*其他调用!J291*其他调用!$M291</f>
        <v>29104254.152698077</v>
      </c>
      <c r="AR290" s="2">
        <f>求节点(节奏总纲!G$4:G$163,AK$4:AK$163,$AN290)*其他调用!K291*其他调用!$M291</f>
        <v>6569032.3897844264</v>
      </c>
      <c r="AS290" s="2">
        <f>求节点(节奏总纲!H$4:H$163,AL$4:AL$163,$AN290)*其他调用!L291*其他调用!$M291</f>
        <v>2232043.2900386238</v>
      </c>
      <c r="AT290" s="2">
        <f t="shared" si="21"/>
        <v>593899817.08201504</v>
      </c>
      <c r="BF290" s="2">
        <v>287</v>
      </c>
      <c r="BG290" s="2">
        <f>求节点(节奏总纲!D$4:D$163,AZ$4:AZ$163,$AN290)</f>
        <v>8443.5364027675496</v>
      </c>
      <c r="BH290" s="2">
        <f>求节点(节奏总纲!E$4:E$163,BA$4:BA$163,$AN290)</f>
        <v>26024.548038274512</v>
      </c>
      <c r="BI290" s="2">
        <f>求节点(节奏总纲!F$4:F$163,BB$4:BB$163,$AN290)</f>
        <v>80813.071325849814</v>
      </c>
      <c r="BJ290" s="2">
        <f>求节点(节奏总纲!G$4:G$163,BC$4:BC$163,$AN290)</f>
        <v>38589.469353698427</v>
      </c>
      <c r="BK290" s="2">
        <f>求节点(节奏总纲!H$4:H$163,BD$4:BD$163,$AN290)</f>
        <v>11441.780600042852</v>
      </c>
      <c r="BL290" s="2">
        <f>BG290*其他调用!H291*其他调用!$M291</f>
        <v>404973.53900544281</v>
      </c>
      <c r="BM290" s="2">
        <f>BH290*其他调用!I291*其他调用!$M291</f>
        <v>1230740.2710231689</v>
      </c>
      <c r="BN290" s="2">
        <f>BI290*其他调用!J291*其他调用!$M291</f>
        <v>311972.39794558519</v>
      </c>
      <c r="BO290" s="2">
        <f>BJ290*其他调用!K291*其他调用!$M291</f>
        <v>26503.093194242672</v>
      </c>
      <c r="BP290" s="2">
        <f>BK290*其他调用!L291*其他调用!$M291</f>
        <v>2273.7106408405152</v>
      </c>
      <c r="BQ290" s="2">
        <f t="shared" si="22"/>
        <v>1976463.0118092799</v>
      </c>
      <c r="BR290" s="2">
        <f>[1]服务器生态!$R289</f>
        <v>1.6289841650165445E-2</v>
      </c>
      <c r="BS290" s="2" t="e">
        <f>SUMPRODUCT((BG$4:BG290)*($BR$4:$BR290)*(其他调用!#REF!))</f>
        <v>#REF!</v>
      </c>
      <c r="BT290" s="2" t="e">
        <f>SUMPRODUCT((BH$4:BH290)*($BR$4:$BR290)*(其他调用!#REF!))</f>
        <v>#REF!</v>
      </c>
      <c r="BU290" s="2" t="e">
        <f>SUMPRODUCT((BI$4:BI290)*($BR$4:$BR290)*(其他调用!#REF!))</f>
        <v>#REF!</v>
      </c>
      <c r="BV290" s="2" t="e">
        <f>SUMPRODUCT((BJ$4:BJ290)*($BR$4:$BR290)*(其他调用!#REF!))</f>
        <v>#REF!</v>
      </c>
      <c r="BW290" s="2" t="e">
        <f>SUMPRODUCT((BK$4:BK290)*($BR$4:$BR290)*(其他调用!#REF!))</f>
        <v>#REF!</v>
      </c>
      <c r="BX290" s="2" t="e">
        <f>SUMPRODUCT((BG$4:BG290)*($BR$4:$BR290))*'[1]功能-战损相关'!$D$2-BS290</f>
        <v>#REF!</v>
      </c>
      <c r="BY290" s="2" t="e">
        <f>SUMPRODUCT((BH$4:BH290)*($BR$4:$BR290))*'[1]功能-战损相关'!$D$2-BT290</f>
        <v>#REF!</v>
      </c>
      <c r="BZ290" s="2" t="e">
        <f>SUMPRODUCT((BI$4:BI290)*($BR$4:$BR290))*'[1]功能-战损相关'!$D$2-BU290</f>
        <v>#REF!</v>
      </c>
      <c r="CA290" s="2" t="e">
        <f>SUMPRODUCT((BJ$4:BJ290)*($BR$4:$BR290))*'[1]功能-战损相关'!$D$2-BV290</f>
        <v>#REF!</v>
      </c>
      <c r="CB290" s="2" t="e">
        <f>SUMPRODUCT((BK$4:BK290)*($BR$4:$BR290))*'[1]功能-战损相关'!$D$2-BW290</f>
        <v>#REF!</v>
      </c>
    </row>
    <row r="291" spans="40:80" x14ac:dyDescent="0.2">
      <c r="AN291" s="2">
        <v>288</v>
      </c>
      <c r="AO291" s="2">
        <f>求节点(节奏总纲!D$4:D$163,AH$4:AH$163,$AN291)*其他调用!H292*其他调用!$M292</f>
        <v>258611894.37541008</v>
      </c>
      <c r="AP291" s="2">
        <f>求节点(节奏总纲!E$4:E$163,AI$4:AI$163,$AN291)*其他调用!I292*其他调用!$M292</f>
        <v>298235939.6253655</v>
      </c>
      <c r="AQ291" s="2">
        <f>求节点(节奏总纲!F$4:F$163,AJ$4:AJ$163,$AN291)*其他调用!J292*其他调用!$M292</f>
        <v>29148077.692662377</v>
      </c>
      <c r="AR291" s="2">
        <f>求节点(节奏总纲!G$4:G$163,AK$4:AK$163,$AN291)*其他调用!K292*其他调用!$M292</f>
        <v>6575193.398548428</v>
      </c>
      <c r="AS291" s="2">
        <f>求节点(节奏总纲!H$4:H$163,AL$4:AL$163,$AN291)*其他调用!L292*其他调用!$M292</f>
        <v>2233548.1585596986</v>
      </c>
      <c r="AT291" s="2">
        <f t="shared" si="21"/>
        <v>594804653.2505461</v>
      </c>
      <c r="BF291" s="2">
        <v>288</v>
      </c>
      <c r="BG291" s="2">
        <f>求节点(节奏总纲!D$4:D$163,AZ$4:AZ$163,$AN291)</f>
        <v>8447.598664445035</v>
      </c>
      <c r="BH291" s="2">
        <f>求节点(节奏总纲!E$4:E$163,BA$4:BA$163,$AN291)</f>
        <v>26036.868014793625</v>
      </c>
      <c r="BI291" s="2">
        <f>求节点(节奏总纲!F$4:F$163,BB$4:BB$163,$AN291)</f>
        <v>80849.623067287437</v>
      </c>
      <c r="BJ291" s="2">
        <f>求节点(节奏总纲!G$4:G$163,BC$4:BC$163,$AN291)</f>
        <v>38600.109306782593</v>
      </c>
      <c r="BK291" s="2">
        <f>求节点(节奏总纲!H$4:H$163,BD$4:BD$163,$AN291)</f>
        <v>11445.972412802463</v>
      </c>
      <c r="BL291" s="2">
        <f>BG291*其他调用!H292*其他调用!$M292</f>
        <v>405168.37543527788</v>
      </c>
      <c r="BM291" s="2">
        <f>BH291*其他调用!I292*其他调用!$M292</f>
        <v>1231322.9013619488</v>
      </c>
      <c r="BN291" s="2">
        <f>BI291*其他调用!J292*其他调用!$M292</f>
        <v>312113.50301978044</v>
      </c>
      <c r="BO291" s="2">
        <f>BJ291*其他调用!K292*其他调用!$M292</f>
        <v>26510.400671461066</v>
      </c>
      <c r="BP291" s="2">
        <f>BK291*其他调用!L292*其他调用!$M292</f>
        <v>2274.5436378721051</v>
      </c>
      <c r="BQ291" s="2">
        <f t="shared" si="22"/>
        <v>1977389.7241263404</v>
      </c>
      <c r="BR291" s="2">
        <f>[1]服务器生态!$R290</f>
        <v>1.6289841650165445E-2</v>
      </c>
      <c r="BS291" s="2" t="e">
        <f>SUMPRODUCT((BG$4:BG291)*($BR$4:$BR291)*(其他调用!#REF!))</f>
        <v>#REF!</v>
      </c>
      <c r="BT291" s="2" t="e">
        <f>SUMPRODUCT((BH$4:BH291)*($BR$4:$BR291)*(其他调用!#REF!))</f>
        <v>#REF!</v>
      </c>
      <c r="BU291" s="2" t="e">
        <f>SUMPRODUCT((BI$4:BI291)*($BR$4:$BR291)*(其他调用!#REF!))</f>
        <v>#REF!</v>
      </c>
      <c r="BV291" s="2" t="e">
        <f>SUMPRODUCT((BJ$4:BJ291)*($BR$4:$BR291)*(其他调用!#REF!))</f>
        <v>#REF!</v>
      </c>
      <c r="BW291" s="2" t="e">
        <f>SUMPRODUCT((BK$4:BK291)*($BR$4:$BR291)*(其他调用!#REF!))</f>
        <v>#REF!</v>
      </c>
      <c r="BX291" s="2" t="e">
        <f>SUMPRODUCT((BG$4:BG291)*($BR$4:$BR291))*'[1]功能-战损相关'!$D$2-BS291</f>
        <v>#REF!</v>
      </c>
      <c r="BY291" s="2" t="e">
        <f>SUMPRODUCT((BH$4:BH291)*($BR$4:$BR291))*'[1]功能-战损相关'!$D$2-BT291</f>
        <v>#REF!</v>
      </c>
      <c r="BZ291" s="2" t="e">
        <f>SUMPRODUCT((BI$4:BI291)*($BR$4:$BR291))*'[1]功能-战损相关'!$D$2-BU291</f>
        <v>#REF!</v>
      </c>
      <c r="CA291" s="2" t="e">
        <f>SUMPRODUCT((BJ$4:BJ291)*($BR$4:$BR291))*'[1]功能-战损相关'!$D$2-BV291</f>
        <v>#REF!</v>
      </c>
      <c r="CB291" s="2" t="e">
        <f>SUMPRODUCT((BK$4:BK291)*($BR$4:$BR291))*'[1]功能-战损相关'!$D$2-BW291</f>
        <v>#REF!</v>
      </c>
    </row>
    <row r="292" spans="40:80" x14ac:dyDescent="0.2">
      <c r="AN292" s="2">
        <v>289</v>
      </c>
      <c r="AO292" s="2">
        <f>求节点(节奏总纲!D$4:D$163,AH$4:AH$163,$AN292)*其他调用!H293*其他调用!$M293</f>
        <v>259001422.77043545</v>
      </c>
      <c r="AP292" s="2">
        <f>求节点(节奏总纲!E$4:E$163,AI$4:AI$163,$AN292)*其他调用!I293*其他调用!$M293</f>
        <v>298699757.98162192</v>
      </c>
      <c r="AQ292" s="2">
        <f>求节点(节奏总纲!F$4:F$163,AJ$4:AJ$163,$AN292)*其他调用!J293*其他调用!$M293</f>
        <v>29191901.23262668</v>
      </c>
      <c r="AR292" s="2">
        <f>求节点(节奏总纲!G$4:G$163,AK$4:AK$163,$AN292)*其他调用!K293*其他调用!$M293</f>
        <v>6581354.4073124314</v>
      </c>
      <c r="AS292" s="2">
        <f>求节点(节奏总纲!H$4:H$163,AL$4:AL$163,$AN292)*其他调用!L293*其他调用!$M293</f>
        <v>2235053.0270807738</v>
      </c>
      <c r="AT292" s="2">
        <f t="shared" si="21"/>
        <v>595709489.41907716</v>
      </c>
      <c r="BF292" s="2">
        <v>289</v>
      </c>
      <c r="BG292" s="2">
        <f>求节点(节奏总纲!D$4:D$163,AZ$4:AZ$163,$AN292)</f>
        <v>8451.6609261225203</v>
      </c>
      <c r="BH292" s="2">
        <f>求节点(节奏总纲!E$4:E$163,BA$4:BA$163,$AN292)</f>
        <v>26049.187991312741</v>
      </c>
      <c r="BI292" s="2">
        <f>求节点(节奏总纲!F$4:F$163,BB$4:BB$163,$AN292)</f>
        <v>80886.17480872506</v>
      </c>
      <c r="BJ292" s="2">
        <f>求节点(节奏总纲!G$4:G$163,BC$4:BC$163,$AN292)</f>
        <v>38610.74925986676</v>
      </c>
      <c r="BK292" s="2">
        <f>求节点(节奏总纲!H$4:H$163,BD$4:BD$163,$AN292)</f>
        <v>11450.164225562075</v>
      </c>
      <c r="BL292" s="2">
        <f>BG292*其他调用!H293*其他调用!$M293</f>
        <v>405363.21186511288</v>
      </c>
      <c r="BM292" s="2">
        <f>BH292*其他调用!I293*其他调用!$M293</f>
        <v>1231905.5317007287</v>
      </c>
      <c r="BN292" s="2">
        <f>BI292*其他调用!J293*其他调用!$M293</f>
        <v>312254.60809397575</v>
      </c>
      <c r="BO292" s="2">
        <f>BJ292*其他调用!K293*其他调用!$M293</f>
        <v>26517.708148679456</v>
      </c>
      <c r="BP292" s="2">
        <f>BK292*其他调用!L293*其他调用!$M293</f>
        <v>2275.3766349036955</v>
      </c>
      <c r="BQ292" s="2">
        <f t="shared" si="22"/>
        <v>1978316.4364434006</v>
      </c>
      <c r="BR292" s="2">
        <f>[1]服务器生态!$R291</f>
        <v>1.6289841650165445E-2</v>
      </c>
      <c r="BS292" s="2" t="e">
        <f>SUMPRODUCT((BG$4:BG292)*($BR$4:$BR292)*(其他调用!#REF!))</f>
        <v>#REF!</v>
      </c>
      <c r="BT292" s="2" t="e">
        <f>SUMPRODUCT((BH$4:BH292)*($BR$4:$BR292)*(其他调用!#REF!))</f>
        <v>#REF!</v>
      </c>
      <c r="BU292" s="2" t="e">
        <f>SUMPRODUCT((BI$4:BI292)*($BR$4:$BR292)*(其他调用!#REF!))</f>
        <v>#REF!</v>
      </c>
      <c r="BV292" s="2" t="e">
        <f>SUMPRODUCT((BJ$4:BJ292)*($BR$4:$BR292)*(其他调用!#REF!))</f>
        <v>#REF!</v>
      </c>
      <c r="BW292" s="2" t="e">
        <f>SUMPRODUCT((BK$4:BK292)*($BR$4:$BR292)*(其他调用!#REF!))</f>
        <v>#REF!</v>
      </c>
      <c r="BX292" s="2" t="e">
        <f>SUMPRODUCT((BG$4:BG292)*($BR$4:$BR292))*'[1]功能-战损相关'!$D$2-BS292</f>
        <v>#REF!</v>
      </c>
      <c r="BY292" s="2" t="e">
        <f>SUMPRODUCT((BH$4:BH292)*($BR$4:$BR292))*'[1]功能-战损相关'!$D$2-BT292</f>
        <v>#REF!</v>
      </c>
      <c r="BZ292" s="2" t="e">
        <f>SUMPRODUCT((BI$4:BI292)*($BR$4:$BR292))*'[1]功能-战损相关'!$D$2-BU292</f>
        <v>#REF!</v>
      </c>
      <c r="CA292" s="2" t="e">
        <f>SUMPRODUCT((BJ$4:BJ292)*($BR$4:$BR292))*'[1]功能-战损相关'!$D$2-BV292</f>
        <v>#REF!</v>
      </c>
      <c r="CB292" s="2" t="e">
        <f>SUMPRODUCT((BK$4:BK292)*($BR$4:$BR292))*'[1]功能-战损相关'!$D$2-BW292</f>
        <v>#REF!</v>
      </c>
    </row>
    <row r="293" spans="40:80" x14ac:dyDescent="0.2">
      <c r="AN293" s="2">
        <v>290</v>
      </c>
      <c r="AO293" s="2">
        <f>求节点(节奏总纲!D$4:D$163,AH$4:AH$163,$AN293)*其他调用!H294*其他调用!$M294</f>
        <v>259390951.1654608</v>
      </c>
      <c r="AP293" s="2">
        <f>求节点(节奏总纲!E$4:E$163,AI$4:AI$163,$AN293)*其他调用!I294*其他调用!$M294</f>
        <v>299163576.33787823</v>
      </c>
      <c r="AQ293" s="2">
        <f>求节点(节奏总纲!F$4:F$163,AJ$4:AJ$163,$AN293)*其他调用!J294*其他调用!$M294</f>
        <v>29235724.772590976</v>
      </c>
      <c r="AR293" s="2">
        <f>求节点(节奏总纲!G$4:G$163,AK$4:AK$163,$AN293)*其他调用!K294*其他调用!$M294</f>
        <v>6587515.416076432</v>
      </c>
      <c r="AS293" s="2">
        <f>求节点(节奏总纲!H$4:H$163,AL$4:AL$163,$AN293)*其他调用!L294*其他调用!$M294</f>
        <v>2236557.8956018491</v>
      </c>
      <c r="AT293" s="2">
        <f t="shared" si="21"/>
        <v>596614325.58760834</v>
      </c>
      <c r="BF293" s="2">
        <v>290</v>
      </c>
      <c r="BG293" s="2">
        <f>求节点(节奏总纲!D$4:D$163,AZ$4:AZ$163,$AN293)</f>
        <v>8455.7231878000039</v>
      </c>
      <c r="BH293" s="2">
        <f>求节点(节奏总纲!E$4:E$163,BA$4:BA$163,$AN293)</f>
        <v>26061.507967831854</v>
      </c>
      <c r="BI293" s="2">
        <f>求节点(节奏总纲!F$4:F$163,BB$4:BB$163,$AN293)</f>
        <v>80922.726550162683</v>
      </c>
      <c r="BJ293" s="2">
        <f>求节点(节奏总纲!G$4:G$163,BC$4:BC$163,$AN293)</f>
        <v>38621.389212950926</v>
      </c>
      <c r="BK293" s="2">
        <f>求节点(节奏总纲!H$4:H$163,BD$4:BD$163,$AN293)</f>
        <v>11454.356038321686</v>
      </c>
      <c r="BL293" s="2">
        <f>BG293*其他调用!H294*其他调用!$M294</f>
        <v>405558.04829494789</v>
      </c>
      <c r="BM293" s="2">
        <f>BH293*其他调用!I294*其他调用!$M294</f>
        <v>1232488.1620395086</v>
      </c>
      <c r="BN293" s="2">
        <f>BI293*其他调用!J294*其他调用!$M294</f>
        <v>312395.713168171</v>
      </c>
      <c r="BO293" s="2">
        <f>BJ293*其他调用!K294*其他调用!$M294</f>
        <v>26525.01562589785</v>
      </c>
      <c r="BP293" s="2">
        <f>BK293*其他调用!L294*其他调用!$M294</f>
        <v>2276.2096319352854</v>
      </c>
      <c r="BQ293" s="2">
        <f t="shared" si="22"/>
        <v>1979243.1487604605</v>
      </c>
      <c r="BR293" s="2">
        <f>[1]服务器生态!$R292</f>
        <v>1.6289841650165445E-2</v>
      </c>
      <c r="BS293" s="2" t="e">
        <f>SUMPRODUCT((BG$4:BG293)*($BR$4:$BR293)*(其他调用!#REF!))</f>
        <v>#REF!</v>
      </c>
      <c r="BT293" s="2" t="e">
        <f>SUMPRODUCT((BH$4:BH293)*($BR$4:$BR293)*(其他调用!#REF!))</f>
        <v>#REF!</v>
      </c>
      <c r="BU293" s="2" t="e">
        <f>SUMPRODUCT((BI$4:BI293)*($BR$4:$BR293)*(其他调用!#REF!))</f>
        <v>#REF!</v>
      </c>
      <c r="BV293" s="2" t="e">
        <f>SUMPRODUCT((BJ$4:BJ293)*($BR$4:$BR293)*(其他调用!#REF!))</f>
        <v>#REF!</v>
      </c>
      <c r="BW293" s="2" t="e">
        <f>SUMPRODUCT((BK$4:BK293)*($BR$4:$BR293)*(其他调用!#REF!))</f>
        <v>#REF!</v>
      </c>
      <c r="BX293" s="2" t="e">
        <f>SUMPRODUCT((BG$4:BG293)*($BR$4:$BR293))*'[1]功能-战损相关'!$D$2-BS293</f>
        <v>#REF!</v>
      </c>
      <c r="BY293" s="2" t="e">
        <f>SUMPRODUCT((BH$4:BH293)*($BR$4:$BR293))*'[1]功能-战损相关'!$D$2-BT293</f>
        <v>#REF!</v>
      </c>
      <c r="BZ293" s="2" t="e">
        <f>SUMPRODUCT((BI$4:BI293)*($BR$4:$BR293))*'[1]功能-战损相关'!$D$2-BU293</f>
        <v>#REF!</v>
      </c>
      <c r="CA293" s="2" t="e">
        <f>SUMPRODUCT((BJ$4:BJ293)*($BR$4:$BR293))*'[1]功能-战损相关'!$D$2-BV293</f>
        <v>#REF!</v>
      </c>
      <c r="CB293" s="2" t="e">
        <f>SUMPRODUCT((BK$4:BK293)*($BR$4:$BR293))*'[1]功能-战损相关'!$D$2-BW293</f>
        <v>#REF!</v>
      </c>
    </row>
    <row r="294" spans="40:80" x14ac:dyDescent="0.2">
      <c r="AN294" s="2">
        <v>291</v>
      </c>
      <c r="AO294" s="2">
        <f>求节点(节奏总纲!D$4:D$163,AH$4:AH$163,$AN294)*其他调用!H295*其他调用!$M295</f>
        <v>259780479.56048608</v>
      </c>
      <c r="AP294" s="2">
        <f>求节点(节奏总纲!E$4:E$163,AI$4:AI$163,$AN294)*其他调用!I295*其他调用!$M295</f>
        <v>299627394.69413453</v>
      </c>
      <c r="AQ294" s="2">
        <f>求节点(节奏总纲!F$4:F$163,AJ$4:AJ$163,$AN294)*其他调用!J295*其他调用!$M295</f>
        <v>29279548.312555283</v>
      </c>
      <c r="AR294" s="2">
        <f>求节点(节奏总纲!G$4:G$163,AK$4:AK$163,$AN294)*其他调用!K295*其他调用!$M295</f>
        <v>6593676.4248404345</v>
      </c>
      <c r="AS294" s="2">
        <f>求节点(节奏总纲!H$4:H$163,AL$4:AL$163,$AN294)*其他调用!L295*其他调用!$M295</f>
        <v>2238062.7641229238</v>
      </c>
      <c r="AT294" s="2">
        <f t="shared" si="21"/>
        <v>597519161.75613928</v>
      </c>
      <c r="BF294" s="2">
        <v>291</v>
      </c>
      <c r="BG294" s="2">
        <f>求节点(节奏总纲!D$4:D$163,AZ$4:AZ$163,$AN294)</f>
        <v>8459.7854494774892</v>
      </c>
      <c r="BH294" s="2">
        <f>求节点(节奏总纲!E$4:E$163,BA$4:BA$163,$AN294)</f>
        <v>26073.827944350967</v>
      </c>
      <c r="BI294" s="2">
        <f>求节点(节奏总纲!F$4:F$163,BB$4:BB$163,$AN294)</f>
        <v>80959.278291600305</v>
      </c>
      <c r="BJ294" s="2">
        <f>求节点(节奏总纲!G$4:G$163,BC$4:BC$163,$AN294)</f>
        <v>38632.029166035099</v>
      </c>
      <c r="BK294" s="2">
        <f>求节点(节奏总纲!H$4:H$163,BD$4:BD$163,$AN294)</f>
        <v>11458.547851081297</v>
      </c>
      <c r="BL294" s="2">
        <f>BG294*其他调用!H295*其他调用!$M295</f>
        <v>405752.8847247829</v>
      </c>
      <c r="BM294" s="2">
        <f>BH294*其他调用!I295*其他调用!$M295</f>
        <v>1233070.7923782885</v>
      </c>
      <c r="BN294" s="2">
        <f>BI294*其他调用!J295*其他调用!$M295</f>
        <v>312536.81824236631</v>
      </c>
      <c r="BO294" s="2">
        <f>BJ294*其他调用!K295*其他调用!$M295</f>
        <v>26532.32310311625</v>
      </c>
      <c r="BP294" s="2">
        <f>BK294*其他调用!L295*其他调用!$M295</f>
        <v>2277.0426289668753</v>
      </c>
      <c r="BQ294" s="2">
        <f t="shared" si="22"/>
        <v>1980169.8610775212</v>
      </c>
      <c r="BR294" s="2">
        <f>[1]服务器生态!$R293</f>
        <v>1.6289841650165445E-2</v>
      </c>
      <c r="BS294" s="2" t="e">
        <f>SUMPRODUCT((BG$4:BG294)*($BR$4:$BR294)*(其他调用!#REF!))</f>
        <v>#REF!</v>
      </c>
      <c r="BT294" s="2" t="e">
        <f>SUMPRODUCT((BH$4:BH294)*($BR$4:$BR294)*(其他调用!#REF!))</f>
        <v>#REF!</v>
      </c>
      <c r="BU294" s="2" t="e">
        <f>SUMPRODUCT((BI$4:BI294)*($BR$4:$BR294)*(其他调用!#REF!))</f>
        <v>#REF!</v>
      </c>
      <c r="BV294" s="2" t="e">
        <f>SUMPRODUCT((BJ$4:BJ294)*($BR$4:$BR294)*(其他调用!#REF!))</f>
        <v>#REF!</v>
      </c>
      <c r="BW294" s="2" t="e">
        <f>SUMPRODUCT((BK$4:BK294)*($BR$4:$BR294)*(其他调用!#REF!))</f>
        <v>#REF!</v>
      </c>
      <c r="BX294" s="2" t="e">
        <f>SUMPRODUCT((BG$4:BG294)*($BR$4:$BR294))*'[1]功能-战损相关'!$D$2-BS294</f>
        <v>#REF!</v>
      </c>
      <c r="BY294" s="2" t="e">
        <f>SUMPRODUCT((BH$4:BH294)*($BR$4:$BR294))*'[1]功能-战损相关'!$D$2-BT294</f>
        <v>#REF!</v>
      </c>
      <c r="BZ294" s="2" t="e">
        <f>SUMPRODUCT((BI$4:BI294)*($BR$4:$BR294))*'[1]功能-战损相关'!$D$2-BU294</f>
        <v>#REF!</v>
      </c>
      <c r="CA294" s="2" t="e">
        <f>SUMPRODUCT((BJ$4:BJ294)*($BR$4:$BR294))*'[1]功能-战损相关'!$D$2-BV294</f>
        <v>#REF!</v>
      </c>
      <c r="CB294" s="2" t="e">
        <f>SUMPRODUCT((BK$4:BK294)*($BR$4:$BR294))*'[1]功能-战损相关'!$D$2-BW294</f>
        <v>#REF!</v>
      </c>
    </row>
    <row r="295" spans="40:80" x14ac:dyDescent="0.2">
      <c r="AN295" s="2">
        <v>292</v>
      </c>
      <c r="AO295" s="2">
        <f>求节点(节奏总纲!D$4:D$163,AH$4:AH$163,$AN295)*其他调用!H296*其他调用!$M296</f>
        <v>260170007.95551148</v>
      </c>
      <c r="AP295" s="2">
        <f>求节点(节奏总纲!E$4:E$163,AI$4:AI$163,$AN295)*其他调用!I296*其他调用!$M296</f>
        <v>300063304.13018405</v>
      </c>
      <c r="AQ295" s="2">
        <f>求节点(节奏总纲!F$4:F$163,AJ$4:AJ$163,$AN295)*其他调用!J296*其他调用!$M296</f>
        <v>29323371.852519579</v>
      </c>
      <c r="AR295" s="2">
        <f>求节点(节奏总纲!G$4:G$163,AK$4:AK$163,$AN295)*其他调用!K296*其他调用!$M296</f>
        <v>6599718.2233781042</v>
      </c>
      <c r="AS295" s="2">
        <f>求节点(节奏总纲!H$4:H$163,AL$4:AL$163,$AN295)*其他调用!L296*其他调用!$M296</f>
        <v>2239567.6326439991</v>
      </c>
      <c r="AT295" s="2">
        <f t="shared" si="21"/>
        <v>598395969.79423726</v>
      </c>
      <c r="BF295" s="2">
        <v>292</v>
      </c>
      <c r="BG295" s="2">
        <f>求节点(节奏总纲!D$4:D$163,AZ$4:AZ$163,$AN295)</f>
        <v>8463.8477111549746</v>
      </c>
      <c r="BH295" s="2">
        <f>求节点(节奏总纲!E$4:E$163,BA$4:BA$163,$AN295)</f>
        <v>26085.642172039727</v>
      </c>
      <c r="BI295" s="2">
        <f>求节点(节奏总纲!F$4:F$163,BB$4:BB$163,$AN295)</f>
        <v>80995.830033037928</v>
      </c>
      <c r="BJ295" s="2">
        <f>求节点(节奏总纲!G$4:G$163,BC$4:BC$163,$AN295)</f>
        <v>38642.731761755917</v>
      </c>
      <c r="BK295" s="2">
        <f>求节点(节奏总纲!H$4:H$163,BD$4:BD$163,$AN295)</f>
        <v>11462.739663840908</v>
      </c>
      <c r="BL295" s="2">
        <f>BG295*其他调用!H296*其他调用!$M296</f>
        <v>405947.7211546179</v>
      </c>
      <c r="BM295" s="2">
        <f>BH295*其他调用!I296*其他调用!$M296</f>
        <v>1233629.5050893107</v>
      </c>
      <c r="BN295" s="2">
        <f>BI295*其他调用!J296*其他调用!$M296</f>
        <v>312677.92331656162</v>
      </c>
      <c r="BO295" s="2">
        <f>BJ295*其他调用!K296*其他调用!$M296</f>
        <v>26539.673603046926</v>
      </c>
      <c r="BP295" s="2">
        <f>BK295*其他调用!L296*其他调用!$M296</f>
        <v>2277.8756259984652</v>
      </c>
      <c r="BQ295" s="2">
        <f t="shared" si="22"/>
        <v>1981072.6987895356</v>
      </c>
      <c r="BR295" s="2">
        <f>[1]服务器生态!$R294</f>
        <v>1.6289841650165445E-2</v>
      </c>
      <c r="BS295" s="2" t="e">
        <f>SUMPRODUCT((BG$4:BG295)*($BR$4:$BR295)*(其他调用!#REF!))</f>
        <v>#REF!</v>
      </c>
      <c r="BT295" s="2" t="e">
        <f>SUMPRODUCT((BH$4:BH295)*($BR$4:$BR295)*(其他调用!#REF!))</f>
        <v>#REF!</v>
      </c>
      <c r="BU295" s="2" t="e">
        <f>SUMPRODUCT((BI$4:BI295)*($BR$4:$BR295)*(其他调用!#REF!))</f>
        <v>#REF!</v>
      </c>
      <c r="BV295" s="2" t="e">
        <f>SUMPRODUCT((BJ$4:BJ295)*($BR$4:$BR295)*(其他调用!#REF!))</f>
        <v>#REF!</v>
      </c>
      <c r="BW295" s="2" t="e">
        <f>SUMPRODUCT((BK$4:BK295)*($BR$4:$BR295)*(其他调用!#REF!))</f>
        <v>#REF!</v>
      </c>
      <c r="BX295" s="2" t="e">
        <f>SUMPRODUCT((BG$4:BG295)*($BR$4:$BR295))*'[1]功能-战损相关'!$D$2-BS295</f>
        <v>#REF!</v>
      </c>
      <c r="BY295" s="2" t="e">
        <f>SUMPRODUCT((BH$4:BH295)*($BR$4:$BR295))*'[1]功能-战损相关'!$D$2-BT295</f>
        <v>#REF!</v>
      </c>
      <c r="BZ295" s="2" t="e">
        <f>SUMPRODUCT((BI$4:BI295)*($BR$4:$BR295))*'[1]功能-战损相关'!$D$2-BU295</f>
        <v>#REF!</v>
      </c>
      <c r="CA295" s="2" t="e">
        <f>SUMPRODUCT((BJ$4:BJ295)*($BR$4:$BR295))*'[1]功能-战损相关'!$D$2-BV295</f>
        <v>#REF!</v>
      </c>
      <c r="CB295" s="2" t="e">
        <f>SUMPRODUCT((BK$4:BK295)*($BR$4:$BR295))*'[1]功能-战损相关'!$D$2-BW295</f>
        <v>#REF!</v>
      </c>
    </row>
    <row r="296" spans="40:80" x14ac:dyDescent="0.2">
      <c r="AN296" s="2">
        <v>293</v>
      </c>
      <c r="AO296" s="2">
        <f>求节点(节奏总纲!D$4:D$163,AH$4:AH$163,$AN296)*其他调用!H297*其他调用!$M297</f>
        <v>260559536.35053682</v>
      </c>
      <c r="AP296" s="2">
        <f>求节点(节奏总纲!E$4:E$163,AI$4:AI$163,$AN296)*其他调用!I297*其他调用!$M297</f>
        <v>300489434.57152557</v>
      </c>
      <c r="AQ296" s="2">
        <f>求节点(节奏总纲!F$4:F$163,AJ$4:AJ$163,$AN296)*其他调用!J297*其他调用!$M297</f>
        <v>29395057.957016151</v>
      </c>
      <c r="AR296" s="2">
        <f>求节点(节奏总纲!G$4:G$163,AK$4:AK$163,$AN296)*其他调用!K297*其他调用!$M297</f>
        <v>6605601.6603019275</v>
      </c>
      <c r="AS296" s="2">
        <f>求节点(节奏总纲!H$4:H$163,AL$4:AL$163,$AN296)*其他调用!L297*其他调用!$M297</f>
        <v>2241072.5011650743</v>
      </c>
      <c r="AT296" s="2">
        <f t="shared" si="21"/>
        <v>599290703.04054546</v>
      </c>
      <c r="BF296" s="2">
        <v>293</v>
      </c>
      <c r="BG296" s="2">
        <f>求节点(节奏总纲!D$4:D$163,AZ$4:AZ$163,$AN296)</f>
        <v>8467.9099728324582</v>
      </c>
      <c r="BH296" s="2">
        <f>求节点(节奏总纲!E$4:E$163,BA$4:BA$163,$AN296)</f>
        <v>26097.279190610436</v>
      </c>
      <c r="BI296" s="2">
        <f>求节点(节奏总纲!F$4:F$163,BB$4:BB$163,$AN296)</f>
        <v>81031.416431458725</v>
      </c>
      <c r="BJ296" s="2">
        <f>求节点(节奏总纲!G$4:G$163,BC$4:BC$163,$AN296)</f>
        <v>38653.517573399913</v>
      </c>
      <c r="BK296" s="2">
        <f>求节点(节奏总纲!H$4:H$163,BD$4:BD$163,$AN296)</f>
        <v>11466.931476600521</v>
      </c>
      <c r="BL296" s="2">
        <f>BG296*其他调用!H297*其他调用!$M297</f>
        <v>406142.55758445291</v>
      </c>
      <c r="BM296" s="2">
        <f>BH296*其他调用!I297*其他调用!$M297</f>
        <v>1234179.8373128925</v>
      </c>
      <c r="BN296" s="2">
        <f>BI296*其他调用!J297*其他调用!$M297</f>
        <v>312815.30176125426</v>
      </c>
      <c r="BO296" s="2">
        <f>BJ296*其他调用!K297*其他调用!$M297</f>
        <v>26547.081255340778</v>
      </c>
      <c r="BP296" s="2">
        <f>BK296*其他调用!L297*其他调用!$M297</f>
        <v>2278.7086230300552</v>
      </c>
      <c r="BQ296" s="2">
        <f t="shared" si="22"/>
        <v>1981963.4865369704</v>
      </c>
      <c r="BR296" s="2">
        <f>[1]服务器生态!$R295</f>
        <v>1.6289841650165445E-2</v>
      </c>
      <c r="BS296" s="2" t="e">
        <f>SUMPRODUCT((BG$4:BG296)*($BR$4:$BR296)*(其他调用!#REF!))</f>
        <v>#REF!</v>
      </c>
      <c r="BT296" s="2" t="e">
        <f>SUMPRODUCT((BH$4:BH296)*($BR$4:$BR296)*(其他调用!#REF!))</f>
        <v>#REF!</v>
      </c>
      <c r="BU296" s="2" t="e">
        <f>SUMPRODUCT((BI$4:BI296)*($BR$4:$BR296)*(其他调用!#REF!))</f>
        <v>#REF!</v>
      </c>
      <c r="BV296" s="2" t="e">
        <f>SUMPRODUCT((BJ$4:BJ296)*($BR$4:$BR296)*(其他调用!#REF!))</f>
        <v>#REF!</v>
      </c>
      <c r="BW296" s="2" t="e">
        <f>SUMPRODUCT((BK$4:BK296)*($BR$4:$BR296)*(其他调用!#REF!))</f>
        <v>#REF!</v>
      </c>
      <c r="BX296" s="2" t="e">
        <f>SUMPRODUCT((BG$4:BG296)*($BR$4:$BR296))*'[1]功能-战损相关'!$D$2-BS296</f>
        <v>#REF!</v>
      </c>
      <c r="BY296" s="2" t="e">
        <f>SUMPRODUCT((BH$4:BH296)*($BR$4:$BR296))*'[1]功能-战损相关'!$D$2-BT296</f>
        <v>#REF!</v>
      </c>
      <c r="BZ296" s="2" t="e">
        <f>SUMPRODUCT((BI$4:BI296)*($BR$4:$BR296))*'[1]功能-战损相关'!$D$2-BU296</f>
        <v>#REF!</v>
      </c>
      <c r="CA296" s="2" t="e">
        <f>SUMPRODUCT((BJ$4:BJ296)*($BR$4:$BR296))*'[1]功能-战损相关'!$D$2-BV296</f>
        <v>#REF!</v>
      </c>
      <c r="CB296" s="2" t="e">
        <f>SUMPRODUCT((BK$4:BK296)*($BR$4:$BR296))*'[1]功能-战损相关'!$D$2-BW296</f>
        <v>#REF!</v>
      </c>
    </row>
    <row r="297" spans="40:80" x14ac:dyDescent="0.2">
      <c r="AN297" s="2">
        <v>294</v>
      </c>
      <c r="AO297" s="2">
        <f>求节点(节奏总纲!D$4:D$163,AH$4:AH$163,$AN297)*其他调用!H298*其他调用!$M298</f>
        <v>260945891.4682872</v>
      </c>
      <c r="AP297" s="2">
        <f>求节点(节奏总纲!E$4:E$163,AI$4:AI$163,$AN297)*其他调用!I298*其他调用!$M298</f>
        <v>300915565.01286703</v>
      </c>
      <c r="AQ297" s="2">
        <f>求节点(节奏总纲!F$4:F$163,AJ$4:AJ$163,$AN297)*其他调用!J298*其他调用!$M298</f>
        <v>29485525.140653033</v>
      </c>
      <c r="AR297" s="2">
        <f>求节点(节奏总纲!G$4:G$163,AK$4:AK$163,$AN297)*其他调用!K298*其他调用!$M298</f>
        <v>6611485.0972257527</v>
      </c>
      <c r="AS297" s="2">
        <f>求节点(节奏总纲!H$4:H$163,AL$4:AL$163,$AN297)*其他调用!L298*其他调用!$M298</f>
        <v>2242512.8633919852</v>
      </c>
      <c r="AT297" s="2">
        <f t="shared" si="21"/>
        <v>600200979.582425</v>
      </c>
      <c r="BF297" s="2">
        <v>294</v>
      </c>
      <c r="BG297" s="2">
        <f>求节点(节奏总纲!D$4:D$163,AZ$4:AZ$163,$AN297)</f>
        <v>8471.7416089085145</v>
      </c>
      <c r="BH297" s="2">
        <f>求节点(节奏总纲!E$4:E$163,BA$4:BA$163,$AN297)</f>
        <v>26108.916209181149</v>
      </c>
      <c r="BI297" s="2">
        <f>求节点(节奏总纲!F$4:F$163,BB$4:BB$163,$AN297)</f>
        <v>81066.352129418126</v>
      </c>
      <c r="BJ297" s="2">
        <f>求节点(节奏总纲!G$4:G$163,BC$4:BC$163,$AN297)</f>
        <v>38664.303385043902</v>
      </c>
      <c r="BK297" s="2">
        <f>求节点(节奏总纲!H$4:H$163,BD$4:BD$163,$AN297)</f>
        <v>11470.943755250431</v>
      </c>
      <c r="BL297" s="2">
        <f>BG297*其他调用!H298*其他调用!$M298</f>
        <v>406326.33262229047</v>
      </c>
      <c r="BM297" s="2">
        <f>BH297*其他调用!I298*其他调用!$M298</f>
        <v>1234730.1695364746</v>
      </c>
      <c r="BN297" s="2">
        <f>BI297*其他调用!J298*其他调用!$M298</f>
        <v>312950.16822886257</v>
      </c>
      <c r="BO297" s="2">
        <f>BJ297*其他调用!K298*其他调用!$M298</f>
        <v>26554.488907634619</v>
      </c>
      <c r="BP297" s="2">
        <f>BK297*其他调用!L298*其他调用!$M298</f>
        <v>2279.5059430433653</v>
      </c>
      <c r="BQ297" s="2">
        <f t="shared" si="22"/>
        <v>1982840.6652383057</v>
      </c>
      <c r="BR297" s="2">
        <f>[1]服务器生态!$R296</f>
        <v>1.6289841650165445E-2</v>
      </c>
      <c r="BS297" s="2" t="e">
        <f>SUMPRODUCT((BG$4:BG297)*($BR$4:$BR297)*(其他调用!#REF!))</f>
        <v>#REF!</v>
      </c>
      <c r="BT297" s="2" t="e">
        <f>SUMPRODUCT((BH$4:BH297)*($BR$4:$BR297)*(其他调用!#REF!))</f>
        <v>#REF!</v>
      </c>
      <c r="BU297" s="2" t="e">
        <f>SUMPRODUCT((BI$4:BI297)*($BR$4:$BR297)*(其他调用!#REF!))</f>
        <v>#REF!</v>
      </c>
      <c r="BV297" s="2" t="e">
        <f>SUMPRODUCT((BJ$4:BJ297)*($BR$4:$BR297)*(其他调用!#REF!))</f>
        <v>#REF!</v>
      </c>
      <c r="BW297" s="2" t="e">
        <f>SUMPRODUCT((BK$4:BK297)*($BR$4:$BR297)*(其他调用!#REF!))</f>
        <v>#REF!</v>
      </c>
      <c r="BX297" s="2" t="e">
        <f>SUMPRODUCT((BG$4:BG297)*($BR$4:$BR297))*'[1]功能-战损相关'!$D$2-BS297</f>
        <v>#REF!</v>
      </c>
      <c r="BY297" s="2" t="e">
        <f>SUMPRODUCT((BH$4:BH297)*($BR$4:$BR297))*'[1]功能-战损相关'!$D$2-BT297</f>
        <v>#REF!</v>
      </c>
      <c r="BZ297" s="2" t="e">
        <f>SUMPRODUCT((BI$4:BI297)*($BR$4:$BR297))*'[1]功能-战损相关'!$D$2-BU297</f>
        <v>#REF!</v>
      </c>
      <c r="CA297" s="2" t="e">
        <f>SUMPRODUCT((BJ$4:BJ297)*($BR$4:$BR297))*'[1]功能-战损相关'!$D$2-BV297</f>
        <v>#REF!</v>
      </c>
      <c r="CB297" s="2" t="e">
        <f>SUMPRODUCT((BK$4:BK297)*($BR$4:$BR297))*'[1]功能-战损相关'!$D$2-BW297</f>
        <v>#REF!</v>
      </c>
    </row>
    <row r="298" spans="40:80" x14ac:dyDescent="0.2">
      <c r="AN298" s="2">
        <v>295</v>
      </c>
      <c r="AO298" s="2">
        <f>求节点(节奏总纲!D$4:D$163,AH$4:AH$163,$AN298)*其他调用!H299*其他调用!$M299</f>
        <v>261332019.51455885</v>
      </c>
      <c r="AP298" s="2">
        <f>求节点(节奏总纲!E$4:E$163,AI$4:AI$163,$AN298)*其他调用!I299*其他调用!$M299</f>
        <v>301341695.45420861</v>
      </c>
      <c r="AQ298" s="2">
        <f>求节点(节奏总纲!F$4:F$163,AJ$4:AJ$163,$AN298)*其他调用!J299*其他调用!$M299</f>
        <v>29575992.324289918</v>
      </c>
      <c r="AR298" s="2">
        <f>求节点(节奏总纲!G$4:G$163,AK$4:AK$163,$AN298)*其他调用!K299*其他调用!$M299</f>
        <v>6617368.534149576</v>
      </c>
      <c r="AS298" s="2">
        <f>求节点(节奏总纲!H$4:H$163,AL$4:AL$163,$AN298)*其他调用!L299*其他调用!$M299</f>
        <v>2243906.064325003</v>
      </c>
      <c r="AT298" s="2">
        <f t="shared" si="21"/>
        <v>601110981.89153183</v>
      </c>
      <c r="BF298" s="2">
        <v>295</v>
      </c>
      <c r="BG298" s="2">
        <f>求节点(节奏总纲!D$4:D$163,AZ$4:AZ$163,$AN298)</f>
        <v>8475.5567420156131</v>
      </c>
      <c r="BH298" s="2">
        <f>求节点(节奏总纲!E$4:E$163,BA$4:BA$163,$AN298)</f>
        <v>26120.553227751858</v>
      </c>
      <c r="BI298" s="2">
        <f>求节点(节奏总纲!F$4:F$163,BB$4:BB$163,$AN298)</f>
        <v>81101.287827377528</v>
      </c>
      <c r="BJ298" s="2">
        <f>求节点(节奏总纲!G$4:G$163,BC$4:BC$163,$AN298)</f>
        <v>38675.089196687899</v>
      </c>
      <c r="BK298" s="2">
        <f>求节点(节奏总纲!H$4:H$163,BD$4:BD$163,$AN298)</f>
        <v>11474.824774446965</v>
      </c>
      <c r="BL298" s="2">
        <f>BG298*其他调用!H299*其他调用!$M299</f>
        <v>406509.31613565009</v>
      </c>
      <c r="BM298" s="2">
        <f>BH298*其他调用!I299*其他调用!$M299</f>
        <v>1235280.5017600562</v>
      </c>
      <c r="BN298" s="2">
        <f>BI298*其他调用!J299*其他调用!$M299</f>
        <v>313085.03469647089</v>
      </c>
      <c r="BO298" s="2">
        <f>BJ298*其他调用!K299*其他调用!$M299</f>
        <v>26561.896559928471</v>
      </c>
      <c r="BP298" s="2">
        <f>BK298*其他调用!L299*其他调用!$M299</f>
        <v>2280.2771791781006</v>
      </c>
      <c r="BQ298" s="2">
        <f t="shared" si="22"/>
        <v>1983717.0263312839</v>
      </c>
      <c r="BR298" s="2">
        <f>[1]服务器生态!$R297</f>
        <v>1.6289841650165445E-2</v>
      </c>
      <c r="BS298" s="2" t="e">
        <f>SUMPRODUCT((BG$4:BG298)*($BR$4:$BR298)*(其他调用!#REF!))</f>
        <v>#REF!</v>
      </c>
      <c r="BT298" s="2" t="e">
        <f>SUMPRODUCT((BH$4:BH298)*($BR$4:$BR298)*(其他调用!#REF!))</f>
        <v>#REF!</v>
      </c>
      <c r="BU298" s="2" t="e">
        <f>SUMPRODUCT((BI$4:BI298)*($BR$4:$BR298)*(其他调用!#REF!))</f>
        <v>#REF!</v>
      </c>
      <c r="BV298" s="2" t="e">
        <f>SUMPRODUCT((BJ$4:BJ298)*($BR$4:$BR298)*(其他调用!#REF!))</f>
        <v>#REF!</v>
      </c>
      <c r="BW298" s="2" t="e">
        <f>SUMPRODUCT((BK$4:BK298)*($BR$4:$BR298)*(其他调用!#REF!))</f>
        <v>#REF!</v>
      </c>
      <c r="BX298" s="2" t="e">
        <f>SUMPRODUCT((BG$4:BG298)*($BR$4:$BR298))*'[1]功能-战损相关'!$D$2-BS298</f>
        <v>#REF!</v>
      </c>
      <c r="BY298" s="2" t="e">
        <f>SUMPRODUCT((BH$4:BH298)*($BR$4:$BR298))*'[1]功能-战损相关'!$D$2-BT298</f>
        <v>#REF!</v>
      </c>
      <c r="BZ298" s="2" t="e">
        <f>SUMPRODUCT((BI$4:BI298)*($BR$4:$BR298))*'[1]功能-战损相关'!$D$2-BU298</f>
        <v>#REF!</v>
      </c>
      <c r="CA298" s="2" t="e">
        <f>SUMPRODUCT((BJ$4:BJ298)*($BR$4:$BR298))*'[1]功能-战损相关'!$D$2-BV298</f>
        <v>#REF!</v>
      </c>
      <c r="CB298" s="2" t="e">
        <f>SUMPRODUCT((BK$4:BK298)*($BR$4:$BR298))*'[1]功能-战损相关'!$D$2-BW298</f>
        <v>#REF!</v>
      </c>
    </row>
    <row r="299" spans="40:80" x14ac:dyDescent="0.2">
      <c r="AN299" s="2">
        <v>296</v>
      </c>
      <c r="AO299" s="2">
        <f>求节点(节奏总纲!D$4:D$163,AH$4:AH$163,$AN299)*其他调用!H300*其他调用!$M300</f>
        <v>261718147.56083047</v>
      </c>
      <c r="AP299" s="2">
        <f>求节点(节奏总纲!E$4:E$163,AI$4:AI$163,$AN299)*其他调用!I300*其他调用!$M300</f>
        <v>301767825.89555013</v>
      </c>
      <c r="AQ299" s="2">
        <f>求节点(节奏总纲!F$4:F$163,AJ$4:AJ$163,$AN299)*其他调用!J300*其他调用!$M300</f>
        <v>29666459.507926792</v>
      </c>
      <c r="AR299" s="2">
        <f>求节点(节奏总纲!G$4:G$163,AK$4:AK$163,$AN299)*其他调用!K300*其他调用!$M300</f>
        <v>6623251.9710734002</v>
      </c>
      <c r="AS299" s="2">
        <f>求节点(节奏总纲!H$4:H$163,AL$4:AL$163,$AN299)*其他调用!L300*其他调用!$M300</f>
        <v>2245299.2652580217</v>
      </c>
      <c r="AT299" s="2">
        <f t="shared" si="21"/>
        <v>602020984.20063889</v>
      </c>
      <c r="BF299" s="2">
        <v>296</v>
      </c>
      <c r="BG299" s="2">
        <f>求节点(节奏总纲!D$4:D$163,AZ$4:AZ$163,$AN299)</f>
        <v>8479.3718751227098</v>
      </c>
      <c r="BH299" s="2">
        <f>求节点(节奏总纲!E$4:E$163,BA$4:BA$163,$AN299)</f>
        <v>26132.190246322567</v>
      </c>
      <c r="BI299" s="2">
        <f>求节点(节奏总纲!F$4:F$163,BB$4:BB$163,$AN299)</f>
        <v>81136.223525336929</v>
      </c>
      <c r="BJ299" s="2">
        <f>求节点(节奏总纲!G$4:G$163,BC$4:BC$163,$AN299)</f>
        <v>38685.875008331888</v>
      </c>
      <c r="BK299" s="2">
        <f>求节点(节奏总纲!H$4:H$163,BD$4:BD$163,$AN299)</f>
        <v>11478.705793643498</v>
      </c>
      <c r="BL299" s="2">
        <f>BG299*其他调用!H300*其他调用!$M300</f>
        <v>406692.29964900966</v>
      </c>
      <c r="BM299" s="2">
        <f>BH299*其他调用!I300*其他调用!$M300</f>
        <v>1235830.8339836383</v>
      </c>
      <c r="BN299" s="2">
        <f>BI299*其他调用!J300*其他调用!$M300</f>
        <v>313219.90116407926</v>
      </c>
      <c r="BO299" s="2">
        <f>BJ299*其他调用!K300*其他调用!$M300</f>
        <v>26569.304212222316</v>
      </c>
      <c r="BP299" s="2">
        <f>BK299*其他调用!L300*其他调用!$M300</f>
        <v>2281.0484153128355</v>
      </c>
      <c r="BQ299" s="2">
        <f t="shared" si="22"/>
        <v>1984593.3874242625</v>
      </c>
      <c r="BR299" s="2">
        <f>[1]服务器生态!$R298</f>
        <v>1.6289841650165445E-2</v>
      </c>
      <c r="BS299" s="2" t="e">
        <f>SUMPRODUCT((BG$4:BG299)*($BR$4:$BR299)*(其他调用!#REF!))</f>
        <v>#REF!</v>
      </c>
      <c r="BT299" s="2" t="e">
        <f>SUMPRODUCT((BH$4:BH299)*($BR$4:$BR299)*(其他调用!#REF!))</f>
        <v>#REF!</v>
      </c>
      <c r="BU299" s="2" t="e">
        <f>SUMPRODUCT((BI$4:BI299)*($BR$4:$BR299)*(其他调用!#REF!))</f>
        <v>#REF!</v>
      </c>
      <c r="BV299" s="2" t="e">
        <f>SUMPRODUCT((BJ$4:BJ299)*($BR$4:$BR299)*(其他调用!#REF!))</f>
        <v>#REF!</v>
      </c>
      <c r="BW299" s="2" t="e">
        <f>SUMPRODUCT((BK$4:BK299)*($BR$4:$BR299)*(其他调用!#REF!))</f>
        <v>#REF!</v>
      </c>
      <c r="BX299" s="2" t="e">
        <f>SUMPRODUCT((BG$4:BG299)*($BR$4:$BR299))*'[1]功能-战损相关'!$D$2-BS299</f>
        <v>#REF!</v>
      </c>
      <c r="BY299" s="2" t="e">
        <f>SUMPRODUCT((BH$4:BH299)*($BR$4:$BR299))*'[1]功能-战损相关'!$D$2-BT299</f>
        <v>#REF!</v>
      </c>
      <c r="BZ299" s="2" t="e">
        <f>SUMPRODUCT((BI$4:BI299)*($BR$4:$BR299))*'[1]功能-战损相关'!$D$2-BU299</f>
        <v>#REF!</v>
      </c>
      <c r="CA299" s="2" t="e">
        <f>SUMPRODUCT((BJ$4:BJ299)*($BR$4:$BR299))*'[1]功能-战损相关'!$D$2-BV299</f>
        <v>#REF!</v>
      </c>
      <c r="CB299" s="2" t="e">
        <f>SUMPRODUCT((BK$4:BK299)*($BR$4:$BR299))*'[1]功能-战损相关'!$D$2-BW299</f>
        <v>#REF!</v>
      </c>
    </row>
    <row r="300" spans="40:80" x14ac:dyDescent="0.2">
      <c r="AN300" s="2">
        <v>297</v>
      </c>
      <c r="AO300" s="2">
        <f>求节点(节奏总纲!D$4:D$163,AH$4:AH$163,$AN300)*其他调用!H301*其他调用!$M301</f>
        <v>262104275.60710204</v>
      </c>
      <c r="AP300" s="2">
        <f>求节点(节奏总纲!E$4:E$163,AI$4:AI$163,$AN300)*其他调用!I301*其他调用!$M301</f>
        <v>302193956.33689159</v>
      </c>
      <c r="AQ300" s="2">
        <f>求节点(节奏总纲!F$4:F$163,AJ$4:AJ$163,$AN300)*其他调用!J301*其他调用!$M301</f>
        <v>29756926.691563677</v>
      </c>
      <c r="AR300" s="2">
        <f>求节点(节奏总纲!G$4:G$163,AK$4:AK$163,$AN300)*其他调用!K301*其他调用!$M301</f>
        <v>6629135.4079972254</v>
      </c>
      <c r="AS300" s="2">
        <f>求节点(节奏总纲!H$4:H$163,AL$4:AL$163,$AN300)*其他调用!L301*其他调用!$M301</f>
        <v>2246692.466191039</v>
      </c>
      <c r="AT300" s="2">
        <f t="shared" si="21"/>
        <v>602930986.5097456</v>
      </c>
      <c r="BF300" s="2">
        <v>297</v>
      </c>
      <c r="BG300" s="2">
        <f>求节点(节奏总纲!D$4:D$163,AZ$4:AZ$163,$AN300)</f>
        <v>8483.1870082298083</v>
      </c>
      <c r="BH300" s="2">
        <f>求节点(节奏总纲!E$4:E$163,BA$4:BA$163,$AN300)</f>
        <v>26143.827264893276</v>
      </c>
      <c r="BI300" s="2">
        <f>求节点(节奏总纲!F$4:F$163,BB$4:BB$163,$AN300)</f>
        <v>81171.15922329633</v>
      </c>
      <c r="BJ300" s="2">
        <f>求节点(节奏总纲!G$4:G$163,BC$4:BC$163,$AN300)</f>
        <v>38696.660819975885</v>
      </c>
      <c r="BK300" s="2">
        <f>求节点(节奏总纲!H$4:H$163,BD$4:BD$163,$AN300)</f>
        <v>11482.586812840031</v>
      </c>
      <c r="BL300" s="2">
        <f>BG300*其他调用!H301*其他调用!$M301</f>
        <v>406875.28316236928</v>
      </c>
      <c r="BM300" s="2">
        <f>BH300*其他调用!I301*其他调用!$M301</f>
        <v>1236381.1662072202</v>
      </c>
      <c r="BN300" s="2">
        <f>BI300*其他调用!J301*其他调用!$M301</f>
        <v>313354.76763168751</v>
      </c>
      <c r="BO300" s="2">
        <f>BJ300*其他调用!K301*其他调用!$M301</f>
        <v>26576.711864516164</v>
      </c>
      <c r="BP300" s="2">
        <f>BK300*其他调用!L301*其他调用!$M301</f>
        <v>2281.8196514475703</v>
      </c>
      <c r="BQ300" s="2">
        <f t="shared" si="22"/>
        <v>1985469.7485172404</v>
      </c>
      <c r="BR300" s="2">
        <f>[1]服务器生态!$R299</f>
        <v>1.6289841650165445E-2</v>
      </c>
      <c r="BS300" s="2" t="e">
        <f>SUMPRODUCT((BG$4:BG300)*($BR$4:$BR300)*(其他调用!#REF!))</f>
        <v>#REF!</v>
      </c>
      <c r="BT300" s="2" t="e">
        <f>SUMPRODUCT((BH$4:BH300)*($BR$4:$BR300)*(其他调用!#REF!))</f>
        <v>#REF!</v>
      </c>
      <c r="BU300" s="2" t="e">
        <f>SUMPRODUCT((BI$4:BI300)*($BR$4:$BR300)*(其他调用!#REF!))</f>
        <v>#REF!</v>
      </c>
      <c r="BV300" s="2" t="e">
        <f>SUMPRODUCT((BJ$4:BJ300)*($BR$4:$BR300)*(其他调用!#REF!))</f>
        <v>#REF!</v>
      </c>
      <c r="BW300" s="2" t="e">
        <f>SUMPRODUCT((BK$4:BK300)*($BR$4:$BR300)*(其他调用!#REF!))</f>
        <v>#REF!</v>
      </c>
      <c r="BX300" s="2" t="e">
        <f>SUMPRODUCT((BG$4:BG300)*($BR$4:$BR300))*'[1]功能-战损相关'!$D$2-BS300</f>
        <v>#REF!</v>
      </c>
      <c r="BY300" s="2" t="e">
        <f>SUMPRODUCT((BH$4:BH300)*($BR$4:$BR300))*'[1]功能-战损相关'!$D$2-BT300</f>
        <v>#REF!</v>
      </c>
      <c r="BZ300" s="2" t="e">
        <f>SUMPRODUCT((BI$4:BI300)*($BR$4:$BR300))*'[1]功能-战损相关'!$D$2-BU300</f>
        <v>#REF!</v>
      </c>
      <c r="CA300" s="2" t="e">
        <f>SUMPRODUCT((BJ$4:BJ300)*($BR$4:$BR300))*'[1]功能-战损相关'!$D$2-BV300</f>
        <v>#REF!</v>
      </c>
      <c r="CB300" s="2" t="e">
        <f>SUMPRODUCT((BK$4:BK300)*($BR$4:$BR300))*'[1]功能-战损相关'!$D$2-BW300</f>
        <v>#REF!</v>
      </c>
    </row>
    <row r="301" spans="40:80" x14ac:dyDescent="0.2">
      <c r="AN301" s="2">
        <v>298</v>
      </c>
      <c r="AO301" s="2">
        <f>求节点(节奏总纲!D$4:D$163,AH$4:AH$163,$AN301)*其他调用!H302*其他调用!$M302</f>
        <v>262490403.65337366</v>
      </c>
      <c r="AP301" s="2">
        <f>求节点(节奏总纲!E$4:E$163,AI$4:AI$163,$AN301)*其他调用!I302*其他调用!$M302</f>
        <v>302620086.77823311</v>
      </c>
      <c r="AQ301" s="2">
        <f>求节点(节奏总纲!F$4:F$163,AJ$4:AJ$163,$AN301)*其他调用!J302*其他调用!$M302</f>
        <v>29847393.875200558</v>
      </c>
      <c r="AR301" s="2">
        <f>求节点(节奏总纲!G$4:G$163,AK$4:AK$163,$AN301)*其他调用!K302*其他调用!$M302</f>
        <v>6635018.8449210487</v>
      </c>
      <c r="AS301" s="2">
        <f>求节点(节奏总纲!H$4:H$163,AL$4:AL$163,$AN301)*其他调用!L302*其他调用!$M302</f>
        <v>2248085.6671240572</v>
      </c>
      <c r="AT301" s="2">
        <f t="shared" si="21"/>
        <v>603840988.81885231</v>
      </c>
      <c r="BF301" s="2">
        <v>298</v>
      </c>
      <c r="BG301" s="2">
        <f>求节点(节奏总纲!D$4:D$163,AZ$4:AZ$163,$AN301)</f>
        <v>8487.002141336905</v>
      </c>
      <c r="BH301" s="2">
        <f>求节点(节奏总纲!E$4:E$163,BA$4:BA$163,$AN301)</f>
        <v>26155.464283463985</v>
      </c>
      <c r="BI301" s="2">
        <f>求节点(节奏总纲!F$4:F$163,BB$4:BB$163,$AN301)</f>
        <v>81206.094921255732</v>
      </c>
      <c r="BJ301" s="2">
        <f>求节点(节奏总纲!G$4:G$163,BC$4:BC$163,$AN301)</f>
        <v>38707.446631619881</v>
      </c>
      <c r="BK301" s="2">
        <f>求节点(节奏总纲!H$4:H$163,BD$4:BD$163,$AN301)</f>
        <v>11486.467832036566</v>
      </c>
      <c r="BL301" s="2">
        <f>BG301*其他调用!H302*其他调用!$M302</f>
        <v>407058.2666757289</v>
      </c>
      <c r="BM301" s="2">
        <f>BH301*其他调用!I302*其他调用!$M302</f>
        <v>1236931.498430802</v>
      </c>
      <c r="BN301" s="2">
        <f>BI301*其他调用!J302*其他调用!$M302</f>
        <v>313489.63409929589</v>
      </c>
      <c r="BO301" s="2">
        <f>BJ301*其他调用!K302*其他调用!$M302</f>
        <v>26584.119516810017</v>
      </c>
      <c r="BP301" s="2">
        <f>BK301*其他调用!L302*其他调用!$M302</f>
        <v>2282.5908875823061</v>
      </c>
      <c r="BQ301" s="2">
        <f t="shared" si="22"/>
        <v>1986346.109610219</v>
      </c>
      <c r="BR301" s="2">
        <f>[1]服务器生态!$R300</f>
        <v>1.6289841650165445E-2</v>
      </c>
      <c r="BS301" s="2" t="e">
        <f>SUMPRODUCT((BG$4:BG301)*($BR$4:$BR301)*(其他调用!#REF!))</f>
        <v>#REF!</v>
      </c>
      <c r="BT301" s="2" t="e">
        <f>SUMPRODUCT((BH$4:BH301)*($BR$4:$BR301)*(其他调用!#REF!))</f>
        <v>#REF!</v>
      </c>
      <c r="BU301" s="2" t="e">
        <f>SUMPRODUCT((BI$4:BI301)*($BR$4:$BR301)*(其他调用!#REF!))</f>
        <v>#REF!</v>
      </c>
      <c r="BV301" s="2" t="e">
        <f>SUMPRODUCT((BJ$4:BJ301)*($BR$4:$BR301)*(其他调用!#REF!))</f>
        <v>#REF!</v>
      </c>
      <c r="BW301" s="2" t="e">
        <f>SUMPRODUCT((BK$4:BK301)*($BR$4:$BR301)*(其他调用!#REF!))</f>
        <v>#REF!</v>
      </c>
      <c r="BX301" s="2" t="e">
        <f>SUMPRODUCT((BG$4:BG301)*($BR$4:$BR301))*'[1]功能-战损相关'!$D$2-BS301</f>
        <v>#REF!</v>
      </c>
      <c r="BY301" s="2" t="e">
        <f>SUMPRODUCT((BH$4:BH301)*($BR$4:$BR301))*'[1]功能-战损相关'!$D$2-BT301</f>
        <v>#REF!</v>
      </c>
      <c r="BZ301" s="2" t="e">
        <f>SUMPRODUCT((BI$4:BI301)*($BR$4:$BR301))*'[1]功能-战损相关'!$D$2-BU301</f>
        <v>#REF!</v>
      </c>
      <c r="CA301" s="2" t="e">
        <f>SUMPRODUCT((BJ$4:BJ301)*($BR$4:$BR301))*'[1]功能-战损相关'!$D$2-BV301</f>
        <v>#REF!</v>
      </c>
      <c r="CB301" s="2" t="e">
        <f>SUMPRODUCT((BK$4:BK301)*($BR$4:$BR301))*'[1]功能-战损相关'!$D$2-BW301</f>
        <v>#REF!</v>
      </c>
    </row>
    <row r="302" spans="40:80" x14ac:dyDescent="0.2">
      <c r="AN302" s="2">
        <v>299</v>
      </c>
      <c r="AO302" s="2">
        <f>求节点(节奏总纲!D$4:D$163,AH$4:AH$163,$AN302)*其他调用!H303*其他调用!$M303</f>
        <v>262876531.69964528</v>
      </c>
      <c r="AP302" s="2">
        <f>求节点(节奏总纲!E$4:E$163,AI$4:AI$163,$AN302)*其他调用!I303*其他调用!$M303</f>
        <v>303046217.21957463</v>
      </c>
      <c r="AQ302" s="2">
        <f>求节点(节奏总纲!F$4:F$163,AJ$4:AJ$163,$AN302)*其他调用!J303*其他调用!$M303</f>
        <v>29937861.058837436</v>
      </c>
      <c r="AR302" s="2">
        <f>求节点(节奏总纲!G$4:G$163,AK$4:AK$163,$AN302)*其他调用!K303*其他调用!$M303</f>
        <v>6640902.2818448739</v>
      </c>
      <c r="AS302" s="2">
        <f>求节点(节奏总纲!H$4:H$163,AL$4:AL$163,$AN302)*其他调用!L303*其他调用!$M303</f>
        <v>2249478.8680570754</v>
      </c>
      <c r="AT302" s="2">
        <f t="shared" si="21"/>
        <v>604750991.12795937</v>
      </c>
      <c r="BF302" s="2">
        <v>299</v>
      </c>
      <c r="BG302" s="2">
        <f>求节点(节奏总纲!D$4:D$163,AZ$4:AZ$163,$AN302)</f>
        <v>8490.8172744440017</v>
      </c>
      <c r="BH302" s="2">
        <f>求节点(节奏总纲!E$4:E$163,BA$4:BA$163,$AN302)</f>
        <v>26167.101302034695</v>
      </c>
      <c r="BI302" s="2">
        <f>求节点(节奏总纲!F$4:F$163,BB$4:BB$163,$AN302)</f>
        <v>81241.030619215133</v>
      </c>
      <c r="BJ302" s="2">
        <f>求节点(节奏总纲!G$4:G$163,BC$4:BC$163,$AN302)</f>
        <v>38718.232443263871</v>
      </c>
      <c r="BK302" s="2">
        <f>求节点(节奏总纲!H$4:H$163,BD$4:BD$163,$AN302)</f>
        <v>11490.348851233099</v>
      </c>
      <c r="BL302" s="2">
        <f>BG302*其他调用!H303*其他调用!$M303</f>
        <v>407241.25018908846</v>
      </c>
      <c r="BM302" s="2">
        <f>BH302*其他调用!I303*其他调用!$M303</f>
        <v>1237481.8306543839</v>
      </c>
      <c r="BN302" s="2">
        <f>BI302*其他调用!J303*其他调用!$M303</f>
        <v>313624.5005669042</v>
      </c>
      <c r="BO302" s="2">
        <f>BJ302*其他调用!K303*其他调用!$M303</f>
        <v>26591.527169103858</v>
      </c>
      <c r="BP302" s="2">
        <f>BK302*其他调用!L303*其他调用!$M303</f>
        <v>2283.3621237170414</v>
      </c>
      <c r="BQ302" s="2">
        <f t="shared" si="22"/>
        <v>1987222.4707031976</v>
      </c>
      <c r="BR302" s="2">
        <f>[1]服务器生态!$R301</f>
        <v>1.6289841650165445E-2</v>
      </c>
      <c r="BS302" s="2" t="e">
        <f>SUMPRODUCT((BG$4:BG302)*($BR$4:$BR302)*(其他调用!#REF!))</f>
        <v>#REF!</v>
      </c>
      <c r="BT302" s="2" t="e">
        <f>SUMPRODUCT((BH$4:BH302)*($BR$4:$BR302)*(其他调用!#REF!))</f>
        <v>#REF!</v>
      </c>
      <c r="BU302" s="2" t="e">
        <f>SUMPRODUCT((BI$4:BI302)*($BR$4:$BR302)*(其他调用!#REF!))</f>
        <v>#REF!</v>
      </c>
      <c r="BV302" s="2" t="e">
        <f>SUMPRODUCT((BJ$4:BJ302)*($BR$4:$BR302)*(其他调用!#REF!))</f>
        <v>#REF!</v>
      </c>
      <c r="BW302" s="2" t="e">
        <f>SUMPRODUCT((BK$4:BK302)*($BR$4:$BR302)*(其他调用!#REF!))</f>
        <v>#REF!</v>
      </c>
      <c r="BX302" s="2" t="e">
        <f>SUMPRODUCT((BG$4:BG302)*($BR$4:$BR302))*'[1]功能-战损相关'!$D$2-BS302</f>
        <v>#REF!</v>
      </c>
      <c r="BY302" s="2" t="e">
        <f>SUMPRODUCT((BH$4:BH302)*($BR$4:$BR302))*'[1]功能-战损相关'!$D$2-BT302</f>
        <v>#REF!</v>
      </c>
      <c r="BZ302" s="2" t="e">
        <f>SUMPRODUCT((BI$4:BI302)*($BR$4:$BR302))*'[1]功能-战损相关'!$D$2-BU302</f>
        <v>#REF!</v>
      </c>
      <c r="CA302" s="2" t="e">
        <f>SUMPRODUCT((BJ$4:BJ302)*($BR$4:$BR302))*'[1]功能-战损相关'!$D$2-BV302</f>
        <v>#REF!</v>
      </c>
      <c r="CB302" s="2" t="e">
        <f>SUMPRODUCT((BK$4:BK302)*($BR$4:$BR302))*'[1]功能-战损相关'!$D$2-BW302</f>
        <v>#REF!</v>
      </c>
    </row>
    <row r="303" spans="40:80" x14ac:dyDescent="0.2">
      <c r="AN303" s="2">
        <v>300</v>
      </c>
      <c r="AO303" s="2">
        <f>求节点(节奏总纲!D$4:D$163,AH$4:AH$163,$AN303)*其他调用!H304*其他调用!$M304</f>
        <v>263262659.74591687</v>
      </c>
      <c r="AP303" s="2">
        <f>求节点(节奏总纲!E$4:E$163,AI$4:AI$163,$AN303)*其他调用!I304*其他调用!$M304</f>
        <v>303472347.66091615</v>
      </c>
      <c r="AQ303" s="2">
        <f>求节点(节奏总纲!F$4:F$163,AJ$4:AJ$163,$AN303)*其他调用!J304*其他调用!$M304</f>
        <v>30028328.242474321</v>
      </c>
      <c r="AR303" s="2">
        <f>求节点(节奏总纲!G$4:G$163,AK$4:AK$163,$AN303)*其他调用!K304*其他调用!$M304</f>
        <v>6646785.7187686972</v>
      </c>
      <c r="AS303" s="2">
        <f>求节点(节奏总纲!H$4:H$163,AL$4:AL$163,$AN303)*其他调用!L304*其他调用!$M304</f>
        <v>2250872.0689900932</v>
      </c>
      <c r="AT303" s="2">
        <f t="shared" si="21"/>
        <v>605660993.4370662</v>
      </c>
      <c r="BF303" s="2">
        <v>300</v>
      </c>
      <c r="BG303" s="2">
        <f>求节点(节奏总纲!D$4:D$163,AZ$4:AZ$163,$AN303)</f>
        <v>8494.6324075511002</v>
      </c>
      <c r="BH303" s="2">
        <f>求节点(节奏总纲!E$4:E$163,BA$4:BA$163,$AN303)</f>
        <v>26178.738320605404</v>
      </c>
      <c r="BI303" s="2">
        <f>求节点(节奏总纲!F$4:F$163,BB$4:BB$163,$AN303)</f>
        <v>81275.966317174534</v>
      </c>
      <c r="BJ303" s="2">
        <f>求节点(节奏总纲!G$4:G$163,BC$4:BC$163,$AN303)</f>
        <v>38729.018254907867</v>
      </c>
      <c r="BK303" s="2">
        <f>求节点(节奏总纲!H$4:H$163,BD$4:BD$163,$AN303)</f>
        <v>11494.229870429632</v>
      </c>
      <c r="BL303" s="2">
        <f>BG303*其他调用!H304*其他调用!$M304</f>
        <v>407424.23370244808</v>
      </c>
      <c r="BM303" s="2">
        <f>BH303*其他调用!I304*其他调用!$M304</f>
        <v>1238032.1628779657</v>
      </c>
      <c r="BN303" s="2">
        <f>BI303*其他调用!J304*其他调用!$M304</f>
        <v>313759.36703451251</v>
      </c>
      <c r="BO303" s="2">
        <f>BJ303*其他调用!K304*其他调用!$M304</f>
        <v>26598.93482139771</v>
      </c>
      <c r="BP303" s="2">
        <f>BK303*其他调用!L304*其他调用!$M304</f>
        <v>2284.1333598517758</v>
      </c>
      <c r="BQ303" s="2">
        <f t="shared" si="22"/>
        <v>1988098.831796176</v>
      </c>
      <c r="BR303" s="2">
        <f>[1]服务器生态!$R302</f>
        <v>1.6289841650165445E-2</v>
      </c>
      <c r="BS303" s="2" t="e">
        <f>SUMPRODUCT((BG$4:BG303)*($BR$4:$BR303)*(其他调用!#REF!))</f>
        <v>#REF!</v>
      </c>
      <c r="BT303" s="2" t="e">
        <f>SUMPRODUCT((BH$4:BH303)*($BR$4:$BR303)*(其他调用!#REF!))</f>
        <v>#REF!</v>
      </c>
      <c r="BU303" s="2" t="e">
        <f>SUMPRODUCT((BI$4:BI303)*($BR$4:$BR303)*(其他调用!#REF!))</f>
        <v>#REF!</v>
      </c>
      <c r="BV303" s="2" t="e">
        <f>SUMPRODUCT((BJ$4:BJ303)*($BR$4:$BR303)*(其他调用!#REF!))</f>
        <v>#REF!</v>
      </c>
      <c r="BW303" s="2" t="e">
        <f>SUMPRODUCT((BK$4:BK303)*($BR$4:$BR303)*(其他调用!#REF!))</f>
        <v>#REF!</v>
      </c>
      <c r="BX303" s="2" t="e">
        <f>SUMPRODUCT((BG$4:BG303)*($BR$4:$BR303))*'[1]功能-战损相关'!$D$2-BS303</f>
        <v>#REF!</v>
      </c>
      <c r="BY303" s="2" t="e">
        <f>SUMPRODUCT((BH$4:BH303)*($BR$4:$BR303))*'[1]功能-战损相关'!$D$2-BT303</f>
        <v>#REF!</v>
      </c>
      <c r="BZ303" s="2" t="e">
        <f>SUMPRODUCT((BI$4:BI303)*($BR$4:$BR303))*'[1]功能-战损相关'!$D$2-BU303</f>
        <v>#REF!</v>
      </c>
      <c r="CA303" s="2" t="e">
        <f>SUMPRODUCT((BJ$4:BJ303)*($BR$4:$BR303))*'[1]功能-战损相关'!$D$2-BV303</f>
        <v>#REF!</v>
      </c>
      <c r="CB303" s="2" t="e">
        <f>SUMPRODUCT((BK$4:BK303)*($BR$4:$BR303))*'[1]功能-战损相关'!$D$2-BW303</f>
        <v>#REF!</v>
      </c>
    </row>
    <row r="304" spans="40:80" x14ac:dyDescent="0.2">
      <c r="AN304" s="2">
        <v>301</v>
      </c>
      <c r="AO304" s="2">
        <f>求节点(节奏总纲!D$4:D$163,AH$4:AH$163,$AN304)*其他调用!H305*其他调用!$M305</f>
        <v>263648787.7921885</v>
      </c>
      <c r="AP304" s="2">
        <f>求节点(节奏总纲!E$4:E$163,AI$4:AI$163,$AN304)*其他调用!I305*其他调用!$M305</f>
        <v>303898478.10225773</v>
      </c>
      <c r="AQ304" s="2">
        <f>求节点(节奏总纲!F$4:F$163,AJ$4:AJ$163,$AN304)*其他调用!J305*其他调用!$M305</f>
        <v>30118795.426111195</v>
      </c>
      <c r="AR304" s="2">
        <f>求节点(节奏总纲!G$4:G$163,AK$4:AK$163,$AN304)*其他调用!K305*其他调用!$M305</f>
        <v>6652669.1556925215</v>
      </c>
      <c r="AS304" s="2">
        <f>求节点(节奏总纲!H$4:H$163,AL$4:AL$163,$AN304)*其他调用!L305*其他调用!$M305</f>
        <v>2252265.269923111</v>
      </c>
      <c r="AT304" s="2">
        <f t="shared" si="21"/>
        <v>606570995.74617314</v>
      </c>
      <c r="BF304" s="2">
        <v>301</v>
      </c>
      <c r="BG304" s="2">
        <f>求节点(节奏总纲!D$4:D$163,AZ$4:AZ$163,$AN304)</f>
        <v>8498.4475406581969</v>
      </c>
      <c r="BH304" s="2">
        <f>求节点(节奏总纲!E$4:E$163,BA$4:BA$163,$AN304)</f>
        <v>26190.375339176117</v>
      </c>
      <c r="BI304" s="2">
        <f>求节点(节奏总纲!F$4:F$163,BB$4:BB$163,$AN304)</f>
        <v>81310.902015133935</v>
      </c>
      <c r="BJ304" s="2">
        <f>求节点(节奏总纲!G$4:G$163,BC$4:BC$163,$AN304)</f>
        <v>38739.804066551857</v>
      </c>
      <c r="BK304" s="2">
        <f>求节点(节奏总纲!H$4:H$163,BD$4:BD$163,$AN304)</f>
        <v>11498.110889626165</v>
      </c>
      <c r="BL304" s="2">
        <f>BG304*其他调用!H305*其他调用!$M305</f>
        <v>407607.21721580764</v>
      </c>
      <c r="BM304" s="2">
        <f>BH304*其他调用!I305*其他调用!$M305</f>
        <v>1238582.4951015476</v>
      </c>
      <c r="BN304" s="2">
        <f>BI304*其他调用!J305*其他调用!$M305</f>
        <v>313894.23350212089</v>
      </c>
      <c r="BO304" s="2">
        <f>BJ304*其他调用!K305*其他调用!$M305</f>
        <v>26606.342473691559</v>
      </c>
      <c r="BP304" s="2">
        <f>BK304*其他调用!L305*其他调用!$M305</f>
        <v>2284.9045959865111</v>
      </c>
      <c r="BQ304" s="2">
        <f t="shared" si="22"/>
        <v>1988975.1928891542</v>
      </c>
      <c r="BR304" s="2">
        <f>[1]服务器生态!$R303</f>
        <v>1.6289841650165445E-2</v>
      </c>
      <c r="BS304" s="2" t="e">
        <f>SUMPRODUCT((BG$4:BG304)*($BR$4:$BR304)*(其他调用!#REF!))</f>
        <v>#REF!</v>
      </c>
      <c r="BT304" s="2" t="e">
        <f>SUMPRODUCT((BH$4:BH304)*($BR$4:$BR304)*(其他调用!#REF!))</f>
        <v>#REF!</v>
      </c>
      <c r="BU304" s="2" t="e">
        <f>SUMPRODUCT((BI$4:BI304)*($BR$4:$BR304)*(其他调用!#REF!))</f>
        <v>#REF!</v>
      </c>
      <c r="BV304" s="2" t="e">
        <f>SUMPRODUCT((BJ$4:BJ304)*($BR$4:$BR304)*(其他调用!#REF!))</f>
        <v>#REF!</v>
      </c>
      <c r="BW304" s="2" t="e">
        <f>SUMPRODUCT((BK$4:BK304)*($BR$4:$BR304)*(其他调用!#REF!))</f>
        <v>#REF!</v>
      </c>
      <c r="BX304" s="2" t="e">
        <f>SUMPRODUCT((BG$4:BG304)*($BR$4:$BR304))*'[1]功能-战损相关'!$D$2-BS304</f>
        <v>#REF!</v>
      </c>
      <c r="BY304" s="2" t="e">
        <f>SUMPRODUCT((BH$4:BH304)*($BR$4:$BR304))*'[1]功能-战损相关'!$D$2-BT304</f>
        <v>#REF!</v>
      </c>
      <c r="BZ304" s="2" t="e">
        <f>SUMPRODUCT((BI$4:BI304)*($BR$4:$BR304))*'[1]功能-战损相关'!$D$2-BU304</f>
        <v>#REF!</v>
      </c>
      <c r="CA304" s="2" t="e">
        <f>SUMPRODUCT((BJ$4:BJ304)*($BR$4:$BR304))*'[1]功能-战损相关'!$D$2-BV304</f>
        <v>#REF!</v>
      </c>
      <c r="CB304" s="2" t="e">
        <f>SUMPRODUCT((BK$4:BK304)*($BR$4:$BR304))*'[1]功能-战损相关'!$D$2-BW304</f>
        <v>#REF!</v>
      </c>
    </row>
    <row r="305" spans="40:80" x14ac:dyDescent="0.2">
      <c r="AN305" s="2">
        <v>302</v>
      </c>
      <c r="AO305" s="2">
        <f>求节点(节奏总纲!D$4:D$163,AH$4:AH$163,$AN305)*其他调用!H306*其他调用!$M306</f>
        <v>264034915.83846012</v>
      </c>
      <c r="AP305" s="2">
        <f>求节点(节奏总纲!E$4:E$163,AI$4:AI$163,$AN305)*其他调用!I306*其他调用!$M306</f>
        <v>304324608.54359919</v>
      </c>
      <c r="AQ305" s="2">
        <f>求节点(节奏总纲!F$4:F$163,AJ$4:AJ$163,$AN305)*其他调用!J306*其他调用!$M306</f>
        <v>30209262.609748084</v>
      </c>
      <c r="AR305" s="2">
        <f>求节点(节奏总纲!G$4:G$163,AK$4:AK$163,$AN305)*其他调用!K306*其他调用!$M306</f>
        <v>6658552.5926163448</v>
      </c>
      <c r="AS305" s="2">
        <f>求节点(节奏总纲!H$4:H$163,AL$4:AL$163,$AN305)*其他调用!L306*其他调用!$M306</f>
        <v>2253658.4708561292</v>
      </c>
      <c r="AT305" s="2">
        <f t="shared" si="21"/>
        <v>607480998.05527985</v>
      </c>
      <c r="BF305" s="2">
        <v>302</v>
      </c>
      <c r="BG305" s="2">
        <f>求节点(节奏总纲!D$4:D$163,AZ$4:AZ$163,$AN305)</f>
        <v>8502.2626737652954</v>
      </c>
      <c r="BH305" s="2">
        <f>求节点(节奏总纲!E$4:E$163,BA$4:BA$163,$AN305)</f>
        <v>26202.012357746826</v>
      </c>
      <c r="BI305" s="2">
        <f>求节点(节奏总纲!F$4:F$163,BB$4:BB$163,$AN305)</f>
        <v>81345.837713093337</v>
      </c>
      <c r="BJ305" s="2">
        <f>求节点(节奏总纲!G$4:G$163,BC$4:BC$163,$AN305)</f>
        <v>38750.589878195853</v>
      </c>
      <c r="BK305" s="2">
        <f>求节点(节奏总纲!H$4:H$163,BD$4:BD$163,$AN305)</f>
        <v>11501.991908822698</v>
      </c>
      <c r="BL305" s="2">
        <f>BG305*其他调用!H306*其他调用!$M306</f>
        <v>407790.20072916732</v>
      </c>
      <c r="BM305" s="2">
        <f>BH305*其他调用!I306*其他调用!$M306</f>
        <v>1239132.8273251296</v>
      </c>
      <c r="BN305" s="2">
        <f>BI305*其他调用!J306*其他调用!$M306</f>
        <v>314029.09996972914</v>
      </c>
      <c r="BO305" s="2">
        <f>BJ305*其他调用!K306*其他调用!$M306</f>
        <v>26613.750125985403</v>
      </c>
      <c r="BP305" s="2">
        <f>BK305*其他调用!L306*其他调用!$M306</f>
        <v>2285.6758321212465</v>
      </c>
      <c r="BQ305" s="2">
        <f t="shared" si="22"/>
        <v>1989851.5539821326</v>
      </c>
      <c r="BR305" s="2">
        <f>[1]服务器生态!$R304</f>
        <v>1.6289841650165445E-2</v>
      </c>
      <c r="BS305" s="2" t="e">
        <f>SUMPRODUCT((BG$4:BG305)*($BR$4:$BR305)*(其他调用!#REF!))</f>
        <v>#REF!</v>
      </c>
      <c r="BT305" s="2" t="e">
        <f>SUMPRODUCT((BH$4:BH305)*($BR$4:$BR305)*(其他调用!#REF!))</f>
        <v>#REF!</v>
      </c>
      <c r="BU305" s="2" t="e">
        <f>SUMPRODUCT((BI$4:BI305)*($BR$4:$BR305)*(其他调用!#REF!))</f>
        <v>#REF!</v>
      </c>
      <c r="BV305" s="2" t="e">
        <f>SUMPRODUCT((BJ$4:BJ305)*($BR$4:$BR305)*(其他调用!#REF!))</f>
        <v>#REF!</v>
      </c>
      <c r="BW305" s="2" t="e">
        <f>SUMPRODUCT((BK$4:BK305)*($BR$4:$BR305)*(其他调用!#REF!))</f>
        <v>#REF!</v>
      </c>
      <c r="BX305" s="2" t="e">
        <f>SUMPRODUCT((BG$4:BG305)*($BR$4:$BR305))*'[1]功能-战损相关'!$D$2-BS305</f>
        <v>#REF!</v>
      </c>
      <c r="BY305" s="2" t="e">
        <f>SUMPRODUCT((BH$4:BH305)*($BR$4:$BR305))*'[1]功能-战损相关'!$D$2-BT305</f>
        <v>#REF!</v>
      </c>
      <c r="BZ305" s="2" t="e">
        <f>SUMPRODUCT((BI$4:BI305)*($BR$4:$BR305))*'[1]功能-战损相关'!$D$2-BU305</f>
        <v>#REF!</v>
      </c>
      <c r="CA305" s="2" t="e">
        <f>SUMPRODUCT((BJ$4:BJ305)*($BR$4:$BR305))*'[1]功能-战损相关'!$D$2-BV305</f>
        <v>#REF!</v>
      </c>
      <c r="CB305" s="2" t="e">
        <f>SUMPRODUCT((BK$4:BK305)*($BR$4:$BR305))*'[1]功能-战损相关'!$D$2-BW305</f>
        <v>#REF!</v>
      </c>
    </row>
    <row r="306" spans="40:80" x14ac:dyDescent="0.2">
      <c r="AN306" s="2">
        <v>303</v>
      </c>
      <c r="AO306" s="2">
        <f>求节点(节奏总纲!D$4:D$163,AH$4:AH$163,$AN306)*其他调用!H307*其他调用!$M307</f>
        <v>264421043.88473168</v>
      </c>
      <c r="AP306" s="2">
        <f>求节点(节奏总纲!E$4:E$163,AI$4:AI$163,$AN306)*其他调用!I307*其他调用!$M307</f>
        <v>304750738.98494071</v>
      </c>
      <c r="AQ306" s="2">
        <f>求节点(节奏总纲!F$4:F$163,AJ$4:AJ$163,$AN306)*其他调用!J307*其他调用!$M307</f>
        <v>30299729.793384962</v>
      </c>
      <c r="AR306" s="2">
        <f>求节点(节奏总纲!G$4:G$163,AK$4:AK$163,$AN306)*其他调用!K307*其他调用!$M307</f>
        <v>6664436.02954017</v>
      </c>
      <c r="AS306" s="2">
        <f>求节点(节奏总纲!H$4:H$163,AL$4:AL$163,$AN306)*其他调用!L307*其他调用!$M307</f>
        <v>2255051.671789147</v>
      </c>
      <c r="AT306" s="2">
        <f t="shared" si="21"/>
        <v>608391000.36438668</v>
      </c>
      <c r="BF306" s="2">
        <v>303</v>
      </c>
      <c r="BG306" s="2">
        <f>求节点(节奏总纲!D$4:D$163,AZ$4:AZ$163,$AN306)</f>
        <v>8506.0778068723921</v>
      </c>
      <c r="BH306" s="2">
        <f>求节点(节奏总纲!E$4:E$163,BA$4:BA$163,$AN306)</f>
        <v>26213.649376317535</v>
      </c>
      <c r="BI306" s="2">
        <f>求节点(节奏总纲!F$4:F$163,BB$4:BB$163,$AN306)</f>
        <v>81380.773411052738</v>
      </c>
      <c r="BJ306" s="2">
        <f>求节点(节奏总纲!G$4:G$163,BC$4:BC$163,$AN306)</f>
        <v>38761.375689839842</v>
      </c>
      <c r="BK306" s="2">
        <f>求节点(节奏总纲!H$4:H$163,BD$4:BD$163,$AN306)</f>
        <v>11505.872928019231</v>
      </c>
      <c r="BL306" s="2">
        <f>BG306*其他调用!H307*其他调用!$M307</f>
        <v>407973.18424252688</v>
      </c>
      <c r="BM306" s="2">
        <f>BH306*其他调用!I307*其他调用!$M307</f>
        <v>1239683.1595487115</v>
      </c>
      <c r="BN306" s="2">
        <f>BI306*其他调用!J307*其他调用!$M307</f>
        <v>314163.96643733751</v>
      </c>
      <c r="BO306" s="2">
        <f>BJ306*其他调用!K307*其他调用!$M307</f>
        <v>26621.157778279252</v>
      </c>
      <c r="BP306" s="2">
        <f>BK306*其他调用!L307*其他调用!$M307</f>
        <v>2286.4470682559813</v>
      </c>
      <c r="BQ306" s="2">
        <f t="shared" si="22"/>
        <v>1990727.9150751112</v>
      </c>
      <c r="BR306" s="2">
        <f>[1]服务器生态!$R305</f>
        <v>1.6289841650165445E-2</v>
      </c>
      <c r="BS306" s="2" t="e">
        <f>SUMPRODUCT((BG$4:BG306)*($BR$4:$BR306)*(其他调用!#REF!))</f>
        <v>#REF!</v>
      </c>
      <c r="BT306" s="2" t="e">
        <f>SUMPRODUCT((BH$4:BH306)*($BR$4:$BR306)*(其他调用!#REF!))</f>
        <v>#REF!</v>
      </c>
      <c r="BU306" s="2" t="e">
        <f>SUMPRODUCT((BI$4:BI306)*($BR$4:$BR306)*(其他调用!#REF!))</f>
        <v>#REF!</v>
      </c>
      <c r="BV306" s="2" t="e">
        <f>SUMPRODUCT((BJ$4:BJ306)*($BR$4:$BR306)*(其他调用!#REF!))</f>
        <v>#REF!</v>
      </c>
      <c r="BW306" s="2" t="e">
        <f>SUMPRODUCT((BK$4:BK306)*($BR$4:$BR306)*(其他调用!#REF!))</f>
        <v>#REF!</v>
      </c>
      <c r="BX306" s="2" t="e">
        <f>SUMPRODUCT((BG$4:BG306)*($BR$4:$BR306))*'[1]功能-战损相关'!$D$2-BS306</f>
        <v>#REF!</v>
      </c>
      <c r="BY306" s="2" t="e">
        <f>SUMPRODUCT((BH$4:BH306)*($BR$4:$BR306))*'[1]功能-战损相关'!$D$2-BT306</f>
        <v>#REF!</v>
      </c>
      <c r="BZ306" s="2" t="e">
        <f>SUMPRODUCT((BI$4:BI306)*($BR$4:$BR306))*'[1]功能-战损相关'!$D$2-BU306</f>
        <v>#REF!</v>
      </c>
      <c r="CA306" s="2" t="e">
        <f>SUMPRODUCT((BJ$4:BJ306)*($BR$4:$BR306))*'[1]功能-战损相关'!$D$2-BV306</f>
        <v>#REF!</v>
      </c>
      <c r="CB306" s="2" t="e">
        <f>SUMPRODUCT((BK$4:BK306)*($BR$4:$BR306))*'[1]功能-战损相关'!$D$2-BW306</f>
        <v>#REF!</v>
      </c>
    </row>
    <row r="307" spans="40:80" x14ac:dyDescent="0.2">
      <c r="AN307" s="2">
        <v>304</v>
      </c>
      <c r="AO307" s="2">
        <f>求节点(节奏总纲!D$4:D$163,AH$4:AH$163,$AN307)*其他调用!H308*其他调用!$M308</f>
        <v>264807171.9310033</v>
      </c>
      <c r="AP307" s="2">
        <f>求节点(节奏总纲!E$4:E$163,AI$4:AI$163,$AN307)*其他调用!I308*其他调用!$M308</f>
        <v>305176869.42628223</v>
      </c>
      <c r="AQ307" s="2">
        <f>求节点(节奏总纲!F$4:F$163,AJ$4:AJ$163,$AN307)*其他调用!J308*其他调用!$M308</f>
        <v>30390196.977021843</v>
      </c>
      <c r="AR307" s="2">
        <f>求节点(节奏总纲!G$4:G$163,AK$4:AK$163,$AN307)*其他调用!K308*其他调用!$M308</f>
        <v>6670319.4664639942</v>
      </c>
      <c r="AS307" s="2">
        <f>求节点(节奏总纲!H$4:H$163,AL$4:AL$163,$AN307)*其他调用!L308*其他调用!$M308</f>
        <v>2256444.8727221652</v>
      </c>
      <c r="AT307" s="2">
        <f t="shared" si="21"/>
        <v>609301002.6734935</v>
      </c>
      <c r="BF307" s="2">
        <v>304</v>
      </c>
      <c r="BG307" s="2">
        <f>求节点(节奏总纲!D$4:D$163,AZ$4:AZ$163,$AN307)</f>
        <v>8509.8929399794888</v>
      </c>
      <c r="BH307" s="2">
        <f>求节点(节奏总纲!E$4:E$163,BA$4:BA$163,$AN307)</f>
        <v>26225.286394888244</v>
      </c>
      <c r="BI307" s="2">
        <f>求节点(节奏总纲!F$4:F$163,BB$4:BB$163,$AN307)</f>
        <v>81415.709109012139</v>
      </c>
      <c r="BJ307" s="2">
        <f>求节点(节奏总纲!G$4:G$163,BC$4:BC$163,$AN307)</f>
        <v>38772.161501483839</v>
      </c>
      <c r="BK307" s="2">
        <f>求节点(节奏总纲!H$4:H$163,BD$4:BD$163,$AN307)</f>
        <v>11509.753947215764</v>
      </c>
      <c r="BL307" s="2">
        <f>BG307*其他调用!H308*其他调用!$M308</f>
        <v>408156.16775588645</v>
      </c>
      <c r="BM307" s="2">
        <f>BH307*其他调用!I308*其他调用!$M308</f>
        <v>1240233.4917722931</v>
      </c>
      <c r="BN307" s="2">
        <f>BI307*其他调用!J308*其他调用!$M308</f>
        <v>314298.83290494588</v>
      </c>
      <c r="BO307" s="2">
        <f>BJ307*其他调用!K308*其他调用!$M308</f>
        <v>26628.565430573104</v>
      </c>
      <c r="BP307" s="2">
        <f>BK307*其他调用!L308*其他调用!$M308</f>
        <v>2287.2183043907162</v>
      </c>
      <c r="BQ307" s="2">
        <f t="shared" si="22"/>
        <v>1991604.2761680894</v>
      </c>
      <c r="BR307" s="2">
        <f>[1]服务器生态!$R306</f>
        <v>1.6289841650165445E-2</v>
      </c>
      <c r="BS307" s="2" t="e">
        <f>SUMPRODUCT((BG$4:BG307)*($BR$4:$BR307)*(其他调用!#REF!))</f>
        <v>#REF!</v>
      </c>
      <c r="BT307" s="2" t="e">
        <f>SUMPRODUCT((BH$4:BH307)*($BR$4:$BR307)*(其他调用!#REF!))</f>
        <v>#REF!</v>
      </c>
      <c r="BU307" s="2" t="e">
        <f>SUMPRODUCT((BI$4:BI307)*($BR$4:$BR307)*(其他调用!#REF!))</f>
        <v>#REF!</v>
      </c>
      <c r="BV307" s="2" t="e">
        <f>SUMPRODUCT((BJ$4:BJ307)*($BR$4:$BR307)*(其他调用!#REF!))</f>
        <v>#REF!</v>
      </c>
      <c r="BW307" s="2" t="e">
        <f>SUMPRODUCT((BK$4:BK307)*($BR$4:$BR307)*(其他调用!#REF!))</f>
        <v>#REF!</v>
      </c>
      <c r="BX307" s="2" t="e">
        <f>SUMPRODUCT((BG$4:BG307)*($BR$4:$BR307))*'[1]功能-战损相关'!$D$2-BS307</f>
        <v>#REF!</v>
      </c>
      <c r="BY307" s="2" t="e">
        <f>SUMPRODUCT((BH$4:BH307)*($BR$4:$BR307))*'[1]功能-战损相关'!$D$2-BT307</f>
        <v>#REF!</v>
      </c>
      <c r="BZ307" s="2" t="e">
        <f>SUMPRODUCT((BI$4:BI307)*($BR$4:$BR307))*'[1]功能-战损相关'!$D$2-BU307</f>
        <v>#REF!</v>
      </c>
      <c r="CA307" s="2" t="e">
        <f>SUMPRODUCT((BJ$4:BJ307)*($BR$4:$BR307))*'[1]功能-战损相关'!$D$2-BV307</f>
        <v>#REF!</v>
      </c>
      <c r="CB307" s="2" t="e">
        <f>SUMPRODUCT((BK$4:BK307)*($BR$4:$BR307))*'[1]功能-战损相关'!$D$2-BW307</f>
        <v>#REF!</v>
      </c>
    </row>
    <row r="308" spans="40:80" x14ac:dyDescent="0.2">
      <c r="AN308" s="2">
        <v>305</v>
      </c>
      <c r="AO308" s="2">
        <f>求节点(节奏总纲!D$4:D$163,AH$4:AH$163,$AN308)*其他调用!H309*其他调用!$M309</f>
        <v>265193299.97727492</v>
      </c>
      <c r="AP308" s="2">
        <f>求节点(节奏总纲!E$4:E$163,AI$4:AI$163,$AN308)*其他调用!I309*其他调用!$M309</f>
        <v>305602999.86762375</v>
      </c>
      <c r="AQ308" s="2">
        <f>求节点(节奏总纲!F$4:F$163,AJ$4:AJ$163,$AN308)*其他调用!J309*其他调用!$M309</f>
        <v>30480664.160658721</v>
      </c>
      <c r="AR308" s="2">
        <f>求节点(节奏总纲!G$4:G$163,AK$4:AK$163,$AN308)*其他调用!K309*其他调用!$M309</f>
        <v>6676202.9033878176</v>
      </c>
      <c r="AS308" s="2">
        <f>求节点(节奏总纲!H$4:H$163,AL$4:AL$163,$AN308)*其他调用!L309*其他调用!$M309</f>
        <v>2257838.0736551834</v>
      </c>
      <c r="AT308" s="2">
        <f t="shared" si="21"/>
        <v>610211004.98260033</v>
      </c>
      <c r="BF308" s="2">
        <v>305</v>
      </c>
      <c r="BG308" s="2">
        <f>求节点(节奏总纲!D$4:D$163,AZ$4:AZ$163,$AN308)</f>
        <v>8513.7080730865873</v>
      </c>
      <c r="BH308" s="2">
        <f>求节点(节奏总纲!E$4:E$163,BA$4:BA$163,$AN308)</f>
        <v>26236.923413458953</v>
      </c>
      <c r="BI308" s="2">
        <f>求节点(节奏总纲!F$4:F$163,BB$4:BB$163,$AN308)</f>
        <v>81450.644806971541</v>
      </c>
      <c r="BJ308" s="2">
        <f>求节点(节奏总纲!G$4:G$163,BC$4:BC$163,$AN308)</f>
        <v>38782.947313127836</v>
      </c>
      <c r="BK308" s="2">
        <f>求节点(节奏总纲!H$4:H$163,BD$4:BD$163,$AN308)</f>
        <v>11513.634966412297</v>
      </c>
      <c r="BL308" s="2">
        <f>BG308*其他调用!H309*其他调用!$M309</f>
        <v>408339.15126924607</v>
      </c>
      <c r="BM308" s="2">
        <f>BH308*其他调用!I309*其他调用!$M309</f>
        <v>1240783.8239958752</v>
      </c>
      <c r="BN308" s="2">
        <f>BI308*其他调用!J309*其他调用!$M309</f>
        <v>314433.69937255414</v>
      </c>
      <c r="BO308" s="2">
        <f>BJ308*其他调用!K309*其他调用!$M309</f>
        <v>26635.973082866953</v>
      </c>
      <c r="BP308" s="2">
        <f>BK308*其他调用!L309*其他调用!$M309</f>
        <v>2287.9895405254515</v>
      </c>
      <c r="BQ308" s="2">
        <f t="shared" si="22"/>
        <v>1992480.637261068</v>
      </c>
      <c r="BR308" s="2">
        <f>[1]服务器生态!$R307</f>
        <v>1.6289841650165445E-2</v>
      </c>
      <c r="BS308" s="2" t="e">
        <f>SUMPRODUCT((BG$4:BG308)*($BR$4:$BR308)*(其他调用!#REF!))</f>
        <v>#REF!</v>
      </c>
      <c r="BT308" s="2" t="e">
        <f>SUMPRODUCT((BH$4:BH308)*($BR$4:$BR308)*(其他调用!#REF!))</f>
        <v>#REF!</v>
      </c>
      <c r="BU308" s="2" t="e">
        <f>SUMPRODUCT((BI$4:BI308)*($BR$4:$BR308)*(其他调用!#REF!))</f>
        <v>#REF!</v>
      </c>
      <c r="BV308" s="2" t="e">
        <f>SUMPRODUCT((BJ$4:BJ308)*($BR$4:$BR308)*(其他调用!#REF!))</f>
        <v>#REF!</v>
      </c>
      <c r="BW308" s="2" t="e">
        <f>SUMPRODUCT((BK$4:BK308)*($BR$4:$BR308)*(其他调用!#REF!))</f>
        <v>#REF!</v>
      </c>
      <c r="BX308" s="2" t="e">
        <f>SUMPRODUCT((BG$4:BG308)*($BR$4:$BR308))*'[1]功能-战损相关'!$D$2-BS308</f>
        <v>#REF!</v>
      </c>
      <c r="BY308" s="2" t="e">
        <f>SUMPRODUCT((BH$4:BH308)*($BR$4:$BR308))*'[1]功能-战损相关'!$D$2-BT308</f>
        <v>#REF!</v>
      </c>
      <c r="BZ308" s="2" t="e">
        <f>SUMPRODUCT((BI$4:BI308)*($BR$4:$BR308))*'[1]功能-战损相关'!$D$2-BU308</f>
        <v>#REF!</v>
      </c>
      <c r="CA308" s="2" t="e">
        <f>SUMPRODUCT((BJ$4:BJ308)*($BR$4:$BR308))*'[1]功能-战损相关'!$D$2-BV308</f>
        <v>#REF!</v>
      </c>
      <c r="CB308" s="2" t="e">
        <f>SUMPRODUCT((BK$4:BK308)*($BR$4:$BR308))*'[1]功能-战损相关'!$D$2-BW308</f>
        <v>#REF!</v>
      </c>
    </row>
    <row r="309" spans="40:80" x14ac:dyDescent="0.2">
      <c r="AN309" s="2">
        <v>306</v>
      </c>
      <c r="AO309" s="2">
        <f>求节点(节奏总纲!D$4:D$163,AH$4:AH$163,$AN309)*其他调用!H310*其他调用!$M310</f>
        <v>265579428.02354652</v>
      </c>
      <c r="AP309" s="2">
        <f>求节点(节奏总纲!E$4:E$163,AI$4:AI$163,$AN309)*其他调用!I310*其他调用!$M310</f>
        <v>306029130.30896527</v>
      </c>
      <c r="AQ309" s="2">
        <f>求节点(节奏总纲!F$4:F$163,AJ$4:AJ$163,$AN309)*其他调用!J310*其他调用!$M310</f>
        <v>30571131.344295602</v>
      </c>
      <c r="AR309" s="2">
        <f>求节点(节奏总纲!G$4:G$163,AK$4:AK$163,$AN309)*其他调用!K310*其他调用!$M310</f>
        <v>6682086.3403116427</v>
      </c>
      <c r="AS309" s="2">
        <f>求节点(节奏总纲!H$4:H$163,AL$4:AL$163,$AN309)*其他调用!L310*其他调用!$M310</f>
        <v>2259231.2745882007</v>
      </c>
      <c r="AT309" s="2">
        <f t="shared" si="21"/>
        <v>611121007.29170728</v>
      </c>
      <c r="BF309" s="2">
        <v>306</v>
      </c>
      <c r="BG309" s="2">
        <f>求节点(节奏总纲!D$4:D$163,AZ$4:AZ$163,$AN309)</f>
        <v>8517.523206193684</v>
      </c>
      <c r="BH309" s="2">
        <f>求节点(节奏总纲!E$4:E$163,BA$4:BA$163,$AN309)</f>
        <v>26248.560432029662</v>
      </c>
      <c r="BI309" s="2">
        <f>求节点(节奏总纲!F$4:F$163,BB$4:BB$163,$AN309)</f>
        <v>81485.580504930942</v>
      </c>
      <c r="BJ309" s="2">
        <f>求节点(节奏总纲!G$4:G$163,BC$4:BC$163,$AN309)</f>
        <v>38793.733124771825</v>
      </c>
      <c r="BK309" s="2">
        <f>求节点(节奏总纲!H$4:H$163,BD$4:BD$163,$AN309)</f>
        <v>11517.51598560883</v>
      </c>
      <c r="BL309" s="2">
        <f>BG309*其他调用!H310*其他调用!$M310</f>
        <v>408522.13478260563</v>
      </c>
      <c r="BM309" s="2">
        <f>BH309*其他调用!I310*其他调用!$M310</f>
        <v>1241334.156219457</v>
      </c>
      <c r="BN309" s="2">
        <f>BI309*其他调用!J310*其他调用!$M310</f>
        <v>314568.56584016251</v>
      </c>
      <c r="BO309" s="2">
        <f>BJ309*其他调用!K310*其他调用!$M310</f>
        <v>26643.380735160797</v>
      </c>
      <c r="BP309" s="2">
        <f>BK309*其他调用!L310*其他调用!$M310</f>
        <v>2288.7607766601864</v>
      </c>
      <c r="BQ309" s="2">
        <f t="shared" si="22"/>
        <v>1993356.9983540461</v>
      </c>
      <c r="BR309" s="2">
        <f>[1]服务器生态!$R308</f>
        <v>1.6289841650165445E-2</v>
      </c>
      <c r="BS309" s="2" t="e">
        <f>SUMPRODUCT((BG$4:BG309)*($BR$4:$BR309)*(其他调用!#REF!))</f>
        <v>#REF!</v>
      </c>
      <c r="BT309" s="2" t="e">
        <f>SUMPRODUCT((BH$4:BH309)*($BR$4:$BR309)*(其他调用!#REF!))</f>
        <v>#REF!</v>
      </c>
      <c r="BU309" s="2" t="e">
        <f>SUMPRODUCT((BI$4:BI309)*($BR$4:$BR309)*(其他调用!#REF!))</f>
        <v>#REF!</v>
      </c>
      <c r="BV309" s="2" t="e">
        <f>SUMPRODUCT((BJ$4:BJ309)*($BR$4:$BR309)*(其他调用!#REF!))</f>
        <v>#REF!</v>
      </c>
      <c r="BW309" s="2" t="e">
        <f>SUMPRODUCT((BK$4:BK309)*($BR$4:$BR309)*(其他调用!#REF!))</f>
        <v>#REF!</v>
      </c>
      <c r="BX309" s="2" t="e">
        <f>SUMPRODUCT((BG$4:BG309)*($BR$4:$BR309))*'[1]功能-战损相关'!$D$2-BS309</f>
        <v>#REF!</v>
      </c>
      <c r="BY309" s="2" t="e">
        <f>SUMPRODUCT((BH$4:BH309)*($BR$4:$BR309))*'[1]功能-战损相关'!$D$2-BT309</f>
        <v>#REF!</v>
      </c>
      <c r="BZ309" s="2" t="e">
        <f>SUMPRODUCT((BI$4:BI309)*($BR$4:$BR309))*'[1]功能-战损相关'!$D$2-BU309</f>
        <v>#REF!</v>
      </c>
      <c r="CA309" s="2" t="e">
        <f>SUMPRODUCT((BJ$4:BJ309)*($BR$4:$BR309))*'[1]功能-战损相关'!$D$2-BV309</f>
        <v>#REF!</v>
      </c>
      <c r="CB309" s="2" t="e">
        <f>SUMPRODUCT((BK$4:BK309)*($BR$4:$BR309))*'[1]功能-战损相关'!$D$2-BW309</f>
        <v>#REF!</v>
      </c>
    </row>
    <row r="310" spans="40:80" x14ac:dyDescent="0.2">
      <c r="AN310" s="2">
        <v>307</v>
      </c>
      <c r="AO310" s="2">
        <f>求节点(节奏总纲!D$4:D$163,AH$4:AH$163,$AN310)*其他调用!H311*其他调用!$M311</f>
        <v>265965556.06981814</v>
      </c>
      <c r="AP310" s="2">
        <f>求节点(节奏总纲!E$4:E$163,AI$4:AI$163,$AN310)*其他调用!I311*其他调用!$M311</f>
        <v>306455260.75030679</v>
      </c>
      <c r="AQ310" s="2">
        <f>求节点(节奏总纲!F$4:F$163,AJ$4:AJ$163,$AN310)*其他调用!J311*其他调用!$M311</f>
        <v>30661598.527932487</v>
      </c>
      <c r="AR310" s="2">
        <f>求节点(节奏总纲!G$4:G$163,AK$4:AK$163,$AN310)*其他调用!K311*其他调用!$M311</f>
        <v>6687969.777235467</v>
      </c>
      <c r="AS310" s="2">
        <f>求节点(节奏总纲!H$4:H$163,AL$4:AL$163,$AN310)*其他调用!L311*其他调用!$M311</f>
        <v>2260624.475521219</v>
      </c>
      <c r="AT310" s="2">
        <f t="shared" si="21"/>
        <v>612031009.6008141</v>
      </c>
      <c r="BF310" s="2">
        <v>307</v>
      </c>
      <c r="BG310" s="2">
        <f>求节点(节奏总纲!D$4:D$163,AZ$4:AZ$163,$AN310)</f>
        <v>8521.3383393007807</v>
      </c>
      <c r="BH310" s="2">
        <f>求节点(节奏总纲!E$4:E$163,BA$4:BA$163,$AN310)</f>
        <v>26260.197450600372</v>
      </c>
      <c r="BI310" s="2">
        <f>求节点(节奏总纲!F$4:F$163,BB$4:BB$163,$AN310)</f>
        <v>81520.516202890343</v>
      </c>
      <c r="BJ310" s="2">
        <f>求节点(节奏总纲!G$4:G$163,BC$4:BC$163,$AN310)</f>
        <v>38804.518936415821</v>
      </c>
      <c r="BK310" s="2">
        <f>求节点(节奏总纲!H$4:H$163,BD$4:BD$163,$AN310)</f>
        <v>11521.397004805363</v>
      </c>
      <c r="BL310" s="2">
        <f>BG310*其他调用!H311*其他调用!$M311</f>
        <v>408705.11829596519</v>
      </c>
      <c r="BM310" s="2">
        <f>BH310*其他调用!I311*其他调用!$M311</f>
        <v>1241884.4884430387</v>
      </c>
      <c r="BN310" s="2">
        <f>BI310*其他调用!J311*其他调用!$M311</f>
        <v>314703.43230777082</v>
      </c>
      <c r="BO310" s="2">
        <f>BJ310*其他调用!K311*其他调用!$M311</f>
        <v>26650.78838745465</v>
      </c>
      <c r="BP310" s="2">
        <f>BK310*其他调用!L311*其他调用!$M311</f>
        <v>2289.5320127949217</v>
      </c>
      <c r="BQ310" s="2">
        <f t="shared" si="22"/>
        <v>1994233.3594470241</v>
      </c>
      <c r="BR310" s="2">
        <f>[1]服务器生态!$R309</f>
        <v>1.6289841650165445E-2</v>
      </c>
      <c r="BS310" s="2" t="e">
        <f>SUMPRODUCT((BG$4:BG310)*($BR$4:$BR310)*(其他调用!#REF!))</f>
        <v>#REF!</v>
      </c>
      <c r="BT310" s="2" t="e">
        <f>SUMPRODUCT((BH$4:BH310)*($BR$4:$BR310)*(其他调用!#REF!))</f>
        <v>#REF!</v>
      </c>
      <c r="BU310" s="2" t="e">
        <f>SUMPRODUCT((BI$4:BI310)*($BR$4:$BR310)*(其他调用!#REF!))</f>
        <v>#REF!</v>
      </c>
      <c r="BV310" s="2" t="e">
        <f>SUMPRODUCT((BJ$4:BJ310)*($BR$4:$BR310)*(其他调用!#REF!))</f>
        <v>#REF!</v>
      </c>
      <c r="BW310" s="2" t="e">
        <f>SUMPRODUCT((BK$4:BK310)*($BR$4:$BR310)*(其他调用!#REF!))</f>
        <v>#REF!</v>
      </c>
      <c r="BX310" s="2" t="e">
        <f>SUMPRODUCT((BG$4:BG310)*($BR$4:$BR310))*'[1]功能-战损相关'!$D$2-BS310</f>
        <v>#REF!</v>
      </c>
      <c r="BY310" s="2" t="e">
        <f>SUMPRODUCT((BH$4:BH310)*($BR$4:$BR310))*'[1]功能-战损相关'!$D$2-BT310</f>
        <v>#REF!</v>
      </c>
      <c r="BZ310" s="2" t="e">
        <f>SUMPRODUCT((BI$4:BI310)*($BR$4:$BR310))*'[1]功能-战损相关'!$D$2-BU310</f>
        <v>#REF!</v>
      </c>
      <c r="CA310" s="2" t="e">
        <f>SUMPRODUCT((BJ$4:BJ310)*($BR$4:$BR310))*'[1]功能-战损相关'!$D$2-BV310</f>
        <v>#REF!</v>
      </c>
      <c r="CB310" s="2" t="e">
        <f>SUMPRODUCT((BK$4:BK310)*($BR$4:$BR310))*'[1]功能-战损相关'!$D$2-BW310</f>
        <v>#REF!</v>
      </c>
    </row>
    <row r="311" spans="40:80" x14ac:dyDescent="0.2">
      <c r="AN311" s="2">
        <v>308</v>
      </c>
      <c r="AO311" s="2">
        <f>求节点(节奏总纲!D$4:D$163,AH$4:AH$163,$AN311)*其他调用!H312*其他调用!$M312</f>
        <v>266351684.11608976</v>
      </c>
      <c r="AP311" s="2">
        <f>求节点(节奏总纲!E$4:E$163,AI$4:AI$163,$AN311)*其他调用!I312*其他调用!$M312</f>
        <v>306881391.19164824</v>
      </c>
      <c r="AQ311" s="2">
        <f>求节点(节奏总纲!F$4:F$163,AJ$4:AJ$163,$AN311)*其他调用!J312*其他调用!$M312</f>
        <v>30752065.711569369</v>
      </c>
      <c r="AR311" s="2">
        <f>求节点(节奏总纲!G$4:G$163,AK$4:AK$163,$AN311)*其他调用!K312*其他调用!$M312</f>
        <v>6693853.2141592894</v>
      </c>
      <c r="AS311" s="2">
        <f>求节点(节奏总纲!H$4:H$163,AL$4:AL$163,$AN311)*其他调用!L312*其他调用!$M312</f>
        <v>2262017.6764542372</v>
      </c>
      <c r="AT311" s="2">
        <f t="shared" si="21"/>
        <v>612941011.90992081</v>
      </c>
      <c r="BF311" s="2">
        <v>308</v>
      </c>
      <c r="BG311" s="2">
        <f>求节点(节奏总纲!D$4:D$163,AZ$4:AZ$163,$AN311)</f>
        <v>8525.1534724078792</v>
      </c>
      <c r="BH311" s="2">
        <f>求节点(节奏总纲!E$4:E$163,BA$4:BA$163,$AN311)</f>
        <v>26271.834469171084</v>
      </c>
      <c r="BI311" s="2">
        <f>求节点(节奏总纲!F$4:F$163,BB$4:BB$163,$AN311)</f>
        <v>81555.451900849745</v>
      </c>
      <c r="BJ311" s="2">
        <f>求节点(节奏总纲!G$4:G$163,BC$4:BC$163,$AN311)</f>
        <v>38815.304748059811</v>
      </c>
      <c r="BK311" s="2">
        <f>求节点(节奏总纲!H$4:H$163,BD$4:BD$163,$AN311)</f>
        <v>11525.278024001896</v>
      </c>
      <c r="BL311" s="2">
        <f>BG311*其他调用!H312*其他调用!$M312</f>
        <v>408888.10180932487</v>
      </c>
      <c r="BM311" s="2">
        <f>BH311*其他调用!I312*其他调用!$M312</f>
        <v>1242434.820666621</v>
      </c>
      <c r="BN311" s="2">
        <f>BI311*其他调用!J312*其他调用!$M312</f>
        <v>314838.29877537914</v>
      </c>
      <c r="BO311" s="2">
        <f>BJ311*其他调用!K312*其他调用!$M312</f>
        <v>26658.196039748491</v>
      </c>
      <c r="BP311" s="2">
        <f>BK311*其他调用!L312*其他调用!$M312</f>
        <v>2290.3032489296565</v>
      </c>
      <c r="BQ311" s="2">
        <f t="shared" si="22"/>
        <v>1995109.7205400029</v>
      </c>
      <c r="BR311" s="2">
        <f>[1]服务器生态!$R310</f>
        <v>1.6289841650165445E-2</v>
      </c>
      <c r="BS311" s="2" t="e">
        <f>SUMPRODUCT((BG$4:BG311)*($BR$4:$BR311)*(其他调用!#REF!))</f>
        <v>#REF!</v>
      </c>
      <c r="BT311" s="2" t="e">
        <f>SUMPRODUCT((BH$4:BH311)*($BR$4:$BR311)*(其他调用!#REF!))</f>
        <v>#REF!</v>
      </c>
      <c r="BU311" s="2" t="e">
        <f>SUMPRODUCT((BI$4:BI311)*($BR$4:$BR311)*(其他调用!#REF!))</f>
        <v>#REF!</v>
      </c>
      <c r="BV311" s="2" t="e">
        <f>SUMPRODUCT((BJ$4:BJ311)*($BR$4:$BR311)*(其他调用!#REF!))</f>
        <v>#REF!</v>
      </c>
      <c r="BW311" s="2" t="e">
        <f>SUMPRODUCT((BK$4:BK311)*($BR$4:$BR311)*(其他调用!#REF!))</f>
        <v>#REF!</v>
      </c>
      <c r="BX311" s="2" t="e">
        <f>SUMPRODUCT((BG$4:BG311)*($BR$4:$BR311))*'[1]功能-战损相关'!$D$2-BS311</f>
        <v>#REF!</v>
      </c>
      <c r="BY311" s="2" t="e">
        <f>SUMPRODUCT((BH$4:BH311)*($BR$4:$BR311))*'[1]功能-战损相关'!$D$2-BT311</f>
        <v>#REF!</v>
      </c>
      <c r="BZ311" s="2" t="e">
        <f>SUMPRODUCT((BI$4:BI311)*($BR$4:$BR311))*'[1]功能-战损相关'!$D$2-BU311</f>
        <v>#REF!</v>
      </c>
      <c r="CA311" s="2" t="e">
        <f>SUMPRODUCT((BJ$4:BJ311)*($BR$4:$BR311))*'[1]功能-战损相关'!$D$2-BV311</f>
        <v>#REF!</v>
      </c>
      <c r="CB311" s="2" t="e">
        <f>SUMPRODUCT((BK$4:BK311)*($BR$4:$BR311))*'[1]功能-战损相关'!$D$2-BW311</f>
        <v>#REF!</v>
      </c>
    </row>
    <row r="312" spans="40:80" x14ac:dyDescent="0.2">
      <c r="AN312" s="2">
        <v>309</v>
      </c>
      <c r="AO312" s="2">
        <f>求节点(节奏总纲!D$4:D$163,AH$4:AH$163,$AN312)*其他调用!H313*其他调用!$M313</f>
        <v>266737812.16236135</v>
      </c>
      <c r="AP312" s="2">
        <f>求节点(节奏总纲!E$4:E$163,AI$4:AI$163,$AN312)*其他调用!I313*其他调用!$M313</f>
        <v>307307521.63298982</v>
      </c>
      <c r="AQ312" s="2">
        <f>求节点(节奏总纲!F$4:F$163,AJ$4:AJ$163,$AN312)*其他调用!J313*其他调用!$M313</f>
        <v>30842532.895206247</v>
      </c>
      <c r="AR312" s="2">
        <f>求节点(节奏总纲!G$4:G$163,AK$4:AK$163,$AN312)*其他调用!K313*其他调用!$M313</f>
        <v>6699736.6510831136</v>
      </c>
      <c r="AS312" s="2">
        <f>求节点(节奏总纲!H$4:H$163,AL$4:AL$163,$AN312)*其他调用!L313*其他调用!$M313</f>
        <v>2263410.877387255</v>
      </c>
      <c r="AT312" s="2">
        <f t="shared" si="21"/>
        <v>613851014.21902776</v>
      </c>
      <c r="BF312" s="2">
        <v>309</v>
      </c>
      <c r="BG312" s="2">
        <f>求节点(节奏总纲!D$4:D$163,AZ$4:AZ$163,$AN312)</f>
        <v>8528.9686055149759</v>
      </c>
      <c r="BH312" s="2">
        <f>求节点(节奏总纲!E$4:E$163,BA$4:BA$163,$AN312)</f>
        <v>26283.471487741794</v>
      </c>
      <c r="BI312" s="2">
        <f>求节点(节奏总纲!F$4:F$163,BB$4:BB$163,$AN312)</f>
        <v>81590.387598809146</v>
      </c>
      <c r="BJ312" s="2">
        <f>求节点(节奏总纲!G$4:G$163,BC$4:BC$163,$AN312)</f>
        <v>38826.090559703807</v>
      </c>
      <c r="BK312" s="2">
        <f>求节点(节奏总纲!H$4:H$163,BD$4:BD$163,$AN312)</f>
        <v>11529.15904319843</v>
      </c>
      <c r="BL312" s="2">
        <f>BG312*其他调用!H313*其他调用!$M313</f>
        <v>409071.08532268443</v>
      </c>
      <c r="BM312" s="2">
        <f>BH312*其他调用!I313*其他调用!$M313</f>
        <v>1242985.1528902026</v>
      </c>
      <c r="BN312" s="2">
        <f>BI312*其他调用!J313*其他调用!$M313</f>
        <v>314973.16524298751</v>
      </c>
      <c r="BO312" s="2">
        <f>BJ312*其他调用!K313*其他调用!$M313</f>
        <v>26665.603692042343</v>
      </c>
      <c r="BP312" s="2">
        <f>BK312*其他调用!L313*其他调用!$M313</f>
        <v>2291.0744850643914</v>
      </c>
      <c r="BQ312" s="2">
        <f t="shared" si="22"/>
        <v>1995986.0816329813</v>
      </c>
      <c r="BR312" s="2">
        <f>[1]服务器生态!$R311</f>
        <v>1.6289841650165445E-2</v>
      </c>
      <c r="BS312" s="2" t="e">
        <f>SUMPRODUCT((BG$4:BG312)*($BR$4:$BR312)*(其他调用!#REF!))</f>
        <v>#REF!</v>
      </c>
      <c r="BT312" s="2" t="e">
        <f>SUMPRODUCT((BH$4:BH312)*($BR$4:$BR312)*(其他调用!#REF!))</f>
        <v>#REF!</v>
      </c>
      <c r="BU312" s="2" t="e">
        <f>SUMPRODUCT((BI$4:BI312)*($BR$4:$BR312)*(其他调用!#REF!))</f>
        <v>#REF!</v>
      </c>
      <c r="BV312" s="2" t="e">
        <f>SUMPRODUCT((BJ$4:BJ312)*($BR$4:$BR312)*(其他调用!#REF!))</f>
        <v>#REF!</v>
      </c>
      <c r="BW312" s="2" t="e">
        <f>SUMPRODUCT((BK$4:BK312)*($BR$4:$BR312)*(其他调用!#REF!))</f>
        <v>#REF!</v>
      </c>
      <c r="BX312" s="2" t="e">
        <f>SUMPRODUCT((BG$4:BG312)*($BR$4:$BR312))*'[1]功能-战损相关'!$D$2-BS312</f>
        <v>#REF!</v>
      </c>
      <c r="BY312" s="2" t="e">
        <f>SUMPRODUCT((BH$4:BH312)*($BR$4:$BR312))*'[1]功能-战损相关'!$D$2-BT312</f>
        <v>#REF!</v>
      </c>
      <c r="BZ312" s="2" t="e">
        <f>SUMPRODUCT((BI$4:BI312)*($BR$4:$BR312))*'[1]功能-战损相关'!$D$2-BU312</f>
        <v>#REF!</v>
      </c>
      <c r="CA312" s="2" t="e">
        <f>SUMPRODUCT((BJ$4:BJ312)*($BR$4:$BR312))*'[1]功能-战损相关'!$D$2-BV312</f>
        <v>#REF!</v>
      </c>
      <c r="CB312" s="2" t="e">
        <f>SUMPRODUCT((BK$4:BK312)*($BR$4:$BR312))*'[1]功能-战损相关'!$D$2-BW312</f>
        <v>#REF!</v>
      </c>
    </row>
    <row r="313" spans="40:80" x14ac:dyDescent="0.2">
      <c r="AN313" s="2">
        <v>310</v>
      </c>
      <c r="AO313" s="2">
        <f>求节点(节奏总纲!D$4:D$163,AH$4:AH$163,$AN313)*其他调用!H314*其他调用!$M314</f>
        <v>267123940.20863298</v>
      </c>
      <c r="AP313" s="2">
        <f>求节点(节奏总纲!E$4:E$163,AI$4:AI$163,$AN313)*其他调用!I314*其他调用!$M314</f>
        <v>307733652.07433134</v>
      </c>
      <c r="AQ313" s="2">
        <f>求节点(节奏总纲!F$4:F$163,AJ$4:AJ$163,$AN313)*其他调用!J314*其他调用!$M314</f>
        <v>30933000.078843128</v>
      </c>
      <c r="AR313" s="2">
        <f>求节点(节奏总纲!G$4:G$163,AK$4:AK$163,$AN313)*其他调用!K314*其他调用!$M314</f>
        <v>6705620.0880069388</v>
      </c>
      <c r="AS313" s="2">
        <f>求节点(节奏总纲!H$4:H$163,AL$4:AL$163,$AN313)*其他调用!L314*其他调用!$M314</f>
        <v>2264804.0783202732</v>
      </c>
      <c r="AT313" s="2">
        <f t="shared" si="21"/>
        <v>614761016.5281347</v>
      </c>
      <c r="BF313" s="2">
        <v>310</v>
      </c>
      <c r="BG313" s="2">
        <f>求节点(节奏总纲!D$4:D$163,AZ$4:AZ$163,$AN313)</f>
        <v>8532.7837386220745</v>
      </c>
      <c r="BH313" s="2">
        <f>求节点(节奏总纲!E$4:E$163,BA$4:BA$163,$AN313)</f>
        <v>26295.108506312503</v>
      </c>
      <c r="BI313" s="2">
        <f>求节点(节奏总纲!F$4:F$163,BB$4:BB$163,$AN313)</f>
        <v>81625.323296768547</v>
      </c>
      <c r="BJ313" s="2">
        <f>求节点(节奏总纲!G$4:G$163,BC$4:BC$163,$AN313)</f>
        <v>38836.876371347797</v>
      </c>
      <c r="BK313" s="2">
        <f>求节点(节奏总纲!H$4:H$163,BD$4:BD$163,$AN313)</f>
        <v>11533.040062394963</v>
      </c>
      <c r="BL313" s="2">
        <f>BG313*其他调用!H314*其他调用!$M314</f>
        <v>409254.06883604411</v>
      </c>
      <c r="BM313" s="2">
        <f>BH313*其他调用!I314*其他调用!$M314</f>
        <v>1243535.4851137844</v>
      </c>
      <c r="BN313" s="2">
        <f>BI313*其他调用!J314*其他调用!$M314</f>
        <v>315108.03171059577</v>
      </c>
      <c r="BO313" s="2">
        <f>BJ313*其他调用!K314*其他调用!$M314</f>
        <v>26673.011344336192</v>
      </c>
      <c r="BP313" s="2">
        <f>BK313*其他调用!L314*其他调用!$M314</f>
        <v>2291.8457211991267</v>
      </c>
      <c r="BQ313" s="2">
        <f t="shared" si="22"/>
        <v>1996862.4427259597</v>
      </c>
      <c r="BR313" s="2">
        <f>[1]服务器生态!$R312</f>
        <v>1.6289841650165445E-2</v>
      </c>
      <c r="BS313" s="2" t="e">
        <f>SUMPRODUCT((BG$4:BG313)*($BR$4:$BR313)*(其他调用!#REF!))</f>
        <v>#REF!</v>
      </c>
      <c r="BT313" s="2" t="e">
        <f>SUMPRODUCT((BH$4:BH313)*($BR$4:$BR313)*(其他调用!#REF!))</f>
        <v>#REF!</v>
      </c>
      <c r="BU313" s="2" t="e">
        <f>SUMPRODUCT((BI$4:BI313)*($BR$4:$BR313)*(其他调用!#REF!))</f>
        <v>#REF!</v>
      </c>
      <c r="BV313" s="2" t="e">
        <f>SUMPRODUCT((BJ$4:BJ313)*($BR$4:$BR313)*(其他调用!#REF!))</f>
        <v>#REF!</v>
      </c>
      <c r="BW313" s="2" t="e">
        <f>SUMPRODUCT((BK$4:BK313)*($BR$4:$BR313)*(其他调用!#REF!))</f>
        <v>#REF!</v>
      </c>
      <c r="BX313" s="2" t="e">
        <f>SUMPRODUCT((BG$4:BG313)*($BR$4:$BR313))*'[1]功能-战损相关'!$D$2-BS313</f>
        <v>#REF!</v>
      </c>
      <c r="BY313" s="2" t="e">
        <f>SUMPRODUCT((BH$4:BH313)*($BR$4:$BR313))*'[1]功能-战损相关'!$D$2-BT313</f>
        <v>#REF!</v>
      </c>
      <c r="BZ313" s="2" t="e">
        <f>SUMPRODUCT((BI$4:BI313)*($BR$4:$BR313))*'[1]功能-战损相关'!$D$2-BU313</f>
        <v>#REF!</v>
      </c>
      <c r="CA313" s="2" t="e">
        <f>SUMPRODUCT((BJ$4:BJ313)*($BR$4:$BR313))*'[1]功能-战损相关'!$D$2-BV313</f>
        <v>#REF!</v>
      </c>
      <c r="CB313" s="2" t="e">
        <f>SUMPRODUCT((BK$4:BK313)*($BR$4:$BR313))*'[1]功能-战损相关'!$D$2-BW313</f>
        <v>#REF!</v>
      </c>
    </row>
    <row r="314" spans="40:80" x14ac:dyDescent="0.2">
      <c r="AN314" s="2">
        <v>311</v>
      </c>
      <c r="AO314" s="2">
        <f>求节点(节奏总纲!D$4:D$163,AH$4:AH$163,$AN314)*其他调用!H315*其他调用!$M315</f>
        <v>267510068.25490463</v>
      </c>
      <c r="AP314" s="2">
        <f>求节点(节奏总纲!E$4:E$163,AI$4:AI$163,$AN314)*其他调用!I315*其他调用!$M315</f>
        <v>308159782.5156728</v>
      </c>
      <c r="AQ314" s="2">
        <f>求节点(节奏总纲!F$4:F$163,AJ$4:AJ$163,$AN314)*其他调用!J315*其他调用!$M315</f>
        <v>31023467.262480006</v>
      </c>
      <c r="AR314" s="2">
        <f>求节点(节奏总纲!G$4:G$163,AK$4:AK$163,$AN314)*其他调用!K315*其他调用!$M315</f>
        <v>6711503.5249307621</v>
      </c>
      <c r="AS314" s="2">
        <f>求节点(节奏总纲!H$4:H$163,AL$4:AL$163,$AN314)*其他调用!L315*其他调用!$M315</f>
        <v>2266197.279253291</v>
      </c>
      <c r="AT314" s="2">
        <f t="shared" si="21"/>
        <v>615671018.83724141</v>
      </c>
      <c r="BF314" s="2">
        <v>311</v>
      </c>
      <c r="BG314" s="2">
        <f>求节点(节奏总纲!D$4:D$163,AZ$4:AZ$163,$AN314)</f>
        <v>8536.5988717291712</v>
      </c>
      <c r="BH314" s="2">
        <f>求节点(节奏总纲!E$4:E$163,BA$4:BA$163,$AN314)</f>
        <v>26306.745524883212</v>
      </c>
      <c r="BI314" s="2">
        <f>求节点(节奏总纲!F$4:F$163,BB$4:BB$163,$AN314)</f>
        <v>81660.258994727948</v>
      </c>
      <c r="BJ314" s="2">
        <f>求节点(节奏总纲!G$4:G$163,BC$4:BC$163,$AN314)</f>
        <v>38847.662182991793</v>
      </c>
      <c r="BK314" s="2">
        <f>求节点(节奏总纲!H$4:H$163,BD$4:BD$163,$AN314)</f>
        <v>11536.921081591498</v>
      </c>
      <c r="BL314" s="2">
        <f>BG314*其他调用!H315*其他调用!$M315</f>
        <v>409437.05234940368</v>
      </c>
      <c r="BM314" s="2">
        <f>BH314*其他调用!I315*其他调用!$M315</f>
        <v>1244085.8173373665</v>
      </c>
      <c r="BN314" s="2">
        <f>BI314*其他调用!J315*其他调用!$M315</f>
        <v>315242.89817820414</v>
      </c>
      <c r="BO314" s="2">
        <f>BJ314*其他调用!K315*其他调用!$M315</f>
        <v>26680.41899663004</v>
      </c>
      <c r="BP314" s="2">
        <f>BK314*其他调用!L315*其他调用!$M315</f>
        <v>2292.616957333862</v>
      </c>
      <c r="BQ314" s="2">
        <f t="shared" si="22"/>
        <v>1997738.8038189383</v>
      </c>
      <c r="BR314" s="2">
        <f>[1]服务器生态!$R313</f>
        <v>1.6289841650165445E-2</v>
      </c>
      <c r="BS314" s="2" t="e">
        <f>SUMPRODUCT((BG$4:BG314)*($BR$4:$BR314)*(其他调用!#REF!))</f>
        <v>#REF!</v>
      </c>
      <c r="BT314" s="2" t="e">
        <f>SUMPRODUCT((BH$4:BH314)*($BR$4:$BR314)*(其他调用!#REF!))</f>
        <v>#REF!</v>
      </c>
      <c r="BU314" s="2" t="e">
        <f>SUMPRODUCT((BI$4:BI314)*($BR$4:$BR314)*(其他调用!#REF!))</f>
        <v>#REF!</v>
      </c>
      <c r="BV314" s="2" t="e">
        <f>SUMPRODUCT((BJ$4:BJ314)*($BR$4:$BR314)*(其他调用!#REF!))</f>
        <v>#REF!</v>
      </c>
      <c r="BW314" s="2" t="e">
        <f>SUMPRODUCT((BK$4:BK314)*($BR$4:$BR314)*(其他调用!#REF!))</f>
        <v>#REF!</v>
      </c>
      <c r="BX314" s="2" t="e">
        <f>SUMPRODUCT((BG$4:BG314)*($BR$4:$BR314))*'[1]功能-战损相关'!$D$2-BS314</f>
        <v>#REF!</v>
      </c>
      <c r="BY314" s="2" t="e">
        <f>SUMPRODUCT((BH$4:BH314)*($BR$4:$BR314))*'[1]功能-战损相关'!$D$2-BT314</f>
        <v>#REF!</v>
      </c>
      <c r="BZ314" s="2" t="e">
        <f>SUMPRODUCT((BI$4:BI314)*($BR$4:$BR314))*'[1]功能-战损相关'!$D$2-BU314</f>
        <v>#REF!</v>
      </c>
      <c r="CA314" s="2" t="e">
        <f>SUMPRODUCT((BJ$4:BJ314)*($BR$4:$BR314))*'[1]功能-战损相关'!$D$2-BV314</f>
        <v>#REF!</v>
      </c>
      <c r="CB314" s="2" t="e">
        <f>SUMPRODUCT((BK$4:BK314)*($BR$4:$BR314))*'[1]功能-战损相关'!$D$2-BW314</f>
        <v>#REF!</v>
      </c>
    </row>
    <row r="315" spans="40:80" x14ac:dyDescent="0.2">
      <c r="AN315" s="2">
        <v>312</v>
      </c>
      <c r="AO315" s="2">
        <f>求节点(节奏总纲!D$4:D$163,AH$4:AH$163,$AN315)*其他调用!H316*其他调用!$M316</f>
        <v>267896196.30117622</v>
      </c>
      <c r="AP315" s="2">
        <f>求节点(节奏总纲!E$4:E$163,AI$4:AI$163,$AN315)*其他调用!I316*其他调用!$M316</f>
        <v>308578281.53368938</v>
      </c>
      <c r="AQ315" s="2">
        <f>求节点(节奏总纲!F$4:F$163,AJ$4:AJ$163,$AN315)*其他调用!J316*其他调用!$M316</f>
        <v>31113934.446116887</v>
      </c>
      <c r="AR315" s="2">
        <f>求节点(节奏总纲!G$4:G$163,AK$4:AK$163,$AN315)*其他调用!K316*其他调用!$M316</f>
        <v>6717273.3124678172</v>
      </c>
      <c r="AS315" s="2">
        <f>求节点(节奏总纲!H$4:H$163,AL$4:AL$163,$AN315)*其他调用!L316*其他调用!$M316</f>
        <v>2267590.4801863087</v>
      </c>
      <c r="AT315" s="2">
        <f t="shared" si="21"/>
        <v>616573276.07363665</v>
      </c>
      <c r="BF315" s="2">
        <v>312</v>
      </c>
      <c r="BG315" s="2">
        <f>求节点(节奏总纲!D$4:D$163,AZ$4:AZ$163,$AN315)</f>
        <v>8540.4140048362678</v>
      </c>
      <c r="BH315" s="2">
        <f>求节点(节奏总纲!E$4:E$163,BA$4:BA$163,$AN315)</f>
        <v>26318.125119417662</v>
      </c>
      <c r="BI315" s="2">
        <f>求节点(节奏总纲!F$4:F$163,BB$4:BB$163,$AN315)</f>
        <v>81695.19469268735</v>
      </c>
      <c r="BJ315" s="2">
        <f>求节点(节奏总纲!G$4:G$163,BC$4:BC$163,$AN315)</f>
        <v>38857.262713549768</v>
      </c>
      <c r="BK315" s="2">
        <f>求节点(节奏总纲!H$4:H$163,BD$4:BD$163,$AN315)</f>
        <v>11540.802100788031</v>
      </c>
      <c r="BL315" s="2">
        <f>BG315*其他调用!H316*其他调用!$M316</f>
        <v>409620.03586276324</v>
      </c>
      <c r="BM315" s="2">
        <f>BH315*其他调用!I316*其他调用!$M316</f>
        <v>1244623.9755886015</v>
      </c>
      <c r="BN315" s="2">
        <f>BI315*其他调用!J316*其他调用!$M316</f>
        <v>315377.76464581245</v>
      </c>
      <c r="BO315" s="2">
        <f>BJ315*其他调用!K316*其他调用!$M316</f>
        <v>26687.012602615134</v>
      </c>
      <c r="BP315" s="2">
        <f>BK315*其他调用!L316*其他调用!$M316</f>
        <v>2293.3881934685969</v>
      </c>
      <c r="BQ315" s="2">
        <f t="shared" si="22"/>
        <v>1998602.1768932608</v>
      </c>
      <c r="BR315" s="2">
        <f>[1]服务器生态!$R314</f>
        <v>1.6289841650165445E-2</v>
      </c>
      <c r="BS315" s="2" t="e">
        <f>SUMPRODUCT((BG$4:BG315)*($BR$4:$BR315)*(其他调用!#REF!))</f>
        <v>#REF!</v>
      </c>
      <c r="BT315" s="2" t="e">
        <f>SUMPRODUCT((BH$4:BH315)*($BR$4:$BR315)*(其他调用!#REF!))</f>
        <v>#REF!</v>
      </c>
      <c r="BU315" s="2" t="e">
        <f>SUMPRODUCT((BI$4:BI315)*($BR$4:$BR315)*(其他调用!#REF!))</f>
        <v>#REF!</v>
      </c>
      <c r="BV315" s="2" t="e">
        <f>SUMPRODUCT((BJ$4:BJ315)*($BR$4:$BR315)*(其他调用!#REF!))</f>
        <v>#REF!</v>
      </c>
      <c r="BW315" s="2" t="e">
        <f>SUMPRODUCT((BK$4:BK315)*($BR$4:$BR315)*(其他调用!#REF!))</f>
        <v>#REF!</v>
      </c>
      <c r="BX315" s="2" t="e">
        <f>SUMPRODUCT((BG$4:BG315)*($BR$4:$BR315))*'[1]功能-战损相关'!$D$2-BS315</f>
        <v>#REF!</v>
      </c>
      <c r="BY315" s="2" t="e">
        <f>SUMPRODUCT((BH$4:BH315)*($BR$4:$BR315))*'[1]功能-战损相关'!$D$2-BT315</f>
        <v>#REF!</v>
      </c>
      <c r="BZ315" s="2" t="e">
        <f>SUMPRODUCT((BI$4:BI315)*($BR$4:$BR315))*'[1]功能-战损相关'!$D$2-BU315</f>
        <v>#REF!</v>
      </c>
      <c r="CA315" s="2" t="e">
        <f>SUMPRODUCT((BJ$4:BJ315)*($BR$4:$BR315))*'[1]功能-战损相关'!$D$2-BV315</f>
        <v>#REF!</v>
      </c>
      <c r="CB315" s="2" t="e">
        <f>SUMPRODUCT((BK$4:BK315)*($BR$4:$BR315))*'[1]功能-战损相关'!$D$2-BW315</f>
        <v>#REF!</v>
      </c>
    </row>
    <row r="316" spans="40:80" x14ac:dyDescent="0.2">
      <c r="AN316" s="2">
        <v>313</v>
      </c>
      <c r="AO316" s="2">
        <f>求节点(节奏总纲!D$4:D$163,AH$4:AH$163,$AN316)*其他调用!H317*其他调用!$M317</f>
        <v>268282324.34744784</v>
      </c>
      <c r="AP316" s="2">
        <f>求节点(节奏总纲!E$4:E$163,AI$4:AI$163,$AN316)*其他调用!I317*其他调用!$M317</f>
        <v>308977079.83689022</v>
      </c>
      <c r="AQ316" s="2">
        <f>求节点(节奏总纲!F$4:F$163,AJ$4:AJ$163,$AN316)*其他调用!J317*其他调用!$M317</f>
        <v>31200244.565083053</v>
      </c>
      <c r="AR316" s="2">
        <f>求节点(节奏总纲!G$4:G$163,AK$4:AK$163,$AN316)*其他调用!K317*其他调用!$M317</f>
        <v>6722916.8612307375</v>
      </c>
      <c r="AS316" s="2">
        <f>求节点(节奏总纲!H$4:H$163,AL$4:AL$163,$AN316)*其他调用!L317*其他调用!$M317</f>
        <v>2268983.6811193274</v>
      </c>
      <c r="AT316" s="2">
        <f t="shared" ref="AT316:AT363" si="23">SUM(AO316:AS316)</f>
        <v>617451549.29177117</v>
      </c>
      <c r="BF316" s="2">
        <v>313</v>
      </c>
      <c r="BG316" s="2">
        <f>求节点(节奏总纲!D$4:D$163,AZ$4:AZ$163,$AN316)</f>
        <v>8544.2291379433664</v>
      </c>
      <c r="BH316" s="2">
        <f>求节点(节奏总纲!E$4:E$163,BA$4:BA$163,$AN316)</f>
        <v>26328.840167207807</v>
      </c>
      <c r="BI316" s="2">
        <f>求节点(节奏总纲!F$4:F$163,BB$4:BB$163,$AN316)</f>
        <v>81729.975202446949</v>
      </c>
      <c r="BJ316" s="2">
        <f>求节点(节奏总纲!G$4:G$163,BC$4:BC$163,$AN316)</f>
        <v>38865.546664796981</v>
      </c>
      <c r="BK316" s="2">
        <f>求节点(节奏总纲!H$4:H$163,BD$4:BD$163,$AN316)</f>
        <v>11544.683119984564</v>
      </c>
      <c r="BL316" s="2">
        <f>BG316*其他调用!H317*其他调用!$M317</f>
        <v>409803.01937612286</v>
      </c>
      <c r="BM316" s="2">
        <f>BH316*其他调用!I317*其他调用!$M317</f>
        <v>1245130.7064183501</v>
      </c>
      <c r="BN316" s="2">
        <f>BI316*其他调用!J317*其他调用!$M317</f>
        <v>315512.0320217883</v>
      </c>
      <c r="BO316" s="2">
        <f>BJ316*其他调用!K317*其他调用!$M317</f>
        <v>26692.701987195913</v>
      </c>
      <c r="BP316" s="2">
        <f>BK316*其他调用!L317*其他调用!$M317</f>
        <v>2294.1594296033322</v>
      </c>
      <c r="BQ316" s="2">
        <f t="shared" ref="BQ316:BQ363" si="24">SUM(BL316:BP316)</f>
        <v>1999432.6192330604</v>
      </c>
      <c r="BR316" s="2">
        <f>[1]服务器生态!$R315</f>
        <v>1.6289841650165445E-2</v>
      </c>
      <c r="BS316" s="2" t="e">
        <f>SUMPRODUCT((BG$4:BG316)*($BR$4:$BR316)*(其他调用!#REF!))</f>
        <v>#REF!</v>
      </c>
      <c r="BT316" s="2" t="e">
        <f>SUMPRODUCT((BH$4:BH316)*($BR$4:$BR316)*(其他调用!#REF!))</f>
        <v>#REF!</v>
      </c>
      <c r="BU316" s="2" t="e">
        <f>SUMPRODUCT((BI$4:BI316)*($BR$4:$BR316)*(其他调用!#REF!))</f>
        <v>#REF!</v>
      </c>
      <c r="BV316" s="2" t="e">
        <f>SUMPRODUCT((BJ$4:BJ316)*($BR$4:$BR316)*(其他调用!#REF!))</f>
        <v>#REF!</v>
      </c>
      <c r="BW316" s="2" t="e">
        <f>SUMPRODUCT((BK$4:BK316)*($BR$4:$BR316)*(其他调用!#REF!))</f>
        <v>#REF!</v>
      </c>
      <c r="BX316" s="2" t="e">
        <f>SUMPRODUCT((BG$4:BG316)*($BR$4:$BR316))*'[1]功能-战损相关'!$D$2-BS316</f>
        <v>#REF!</v>
      </c>
      <c r="BY316" s="2" t="e">
        <f>SUMPRODUCT((BH$4:BH316)*($BR$4:$BR316))*'[1]功能-战损相关'!$D$2-BT316</f>
        <v>#REF!</v>
      </c>
      <c r="BZ316" s="2" t="e">
        <f>SUMPRODUCT((BI$4:BI316)*($BR$4:$BR316))*'[1]功能-战损相关'!$D$2-BU316</f>
        <v>#REF!</v>
      </c>
      <c r="CA316" s="2" t="e">
        <f>SUMPRODUCT((BJ$4:BJ316)*($BR$4:$BR316))*'[1]功能-战损相关'!$D$2-BV316</f>
        <v>#REF!</v>
      </c>
      <c r="CB316" s="2" t="e">
        <f>SUMPRODUCT((BK$4:BK316)*($BR$4:$BR316))*'[1]功能-战损相关'!$D$2-BW316</f>
        <v>#REF!</v>
      </c>
    </row>
    <row r="317" spans="40:80" x14ac:dyDescent="0.2">
      <c r="AN317" s="2">
        <v>314</v>
      </c>
      <c r="AO317" s="2">
        <f>求节点(节奏总纲!D$4:D$163,AH$4:AH$163,$AN317)*其他调用!H318*其他调用!$M318</f>
        <v>268668452.39371943</v>
      </c>
      <c r="AP317" s="2">
        <f>求节点(节奏总纲!E$4:E$163,AI$4:AI$163,$AN317)*其他调用!I318*其他调用!$M318</f>
        <v>309375878.14009118</v>
      </c>
      <c r="AQ317" s="2">
        <f>求节点(节奏总纲!F$4:F$163,AJ$4:AJ$163,$AN317)*其他调用!J318*其他调用!$M318</f>
        <v>31246336.268300209</v>
      </c>
      <c r="AR317" s="2">
        <f>求节点(节奏总纲!G$4:G$163,AK$4:AK$163,$AN317)*其他调用!K318*其他调用!$M318</f>
        <v>6728560.4099936606</v>
      </c>
      <c r="AS317" s="2">
        <f>求节点(节奏总纲!H$4:H$163,AL$4:AL$163,$AN317)*其他调用!L318*其他调用!$M318</f>
        <v>2270318.3263931065</v>
      </c>
      <c r="AT317" s="2">
        <f t="shared" si="23"/>
        <v>618289545.53849757</v>
      </c>
      <c r="BF317" s="2">
        <v>314</v>
      </c>
      <c r="BG317" s="2">
        <f>求节点(节奏总纲!D$4:D$163,AZ$4:AZ$163,$AN317)</f>
        <v>8548.0442710504631</v>
      </c>
      <c r="BH317" s="2">
        <f>求节点(节奏总纲!E$4:E$163,BA$4:BA$163,$AN317)</f>
        <v>26339.555214997956</v>
      </c>
      <c r="BI317" s="2">
        <f>求节点(节奏总纲!F$4:F$163,BB$4:BB$163,$AN317)</f>
        <v>81763.254310608769</v>
      </c>
      <c r="BJ317" s="2">
        <f>求节点(节奏总纲!G$4:G$163,BC$4:BC$163,$AN317)</f>
        <v>38873.830616044193</v>
      </c>
      <c r="BK317" s="2">
        <f>求节点(节奏总纲!H$4:H$163,BD$4:BD$163,$AN317)</f>
        <v>11548.445814346684</v>
      </c>
      <c r="BL317" s="2">
        <f>BG317*其他调用!H318*其他调用!$M318</f>
        <v>409986.00288948248</v>
      </c>
      <c r="BM317" s="2">
        <f>BH317*其他调用!I318*其他调用!$M318</f>
        <v>1245637.4372480991</v>
      </c>
      <c r="BN317" s="2">
        <f>BI317*其他调用!J318*其他调用!$M318</f>
        <v>315640.50335698691</v>
      </c>
      <c r="BO317" s="2">
        <f>BJ317*其他调用!K318*其他调用!$M318</f>
        <v>26698.391371776695</v>
      </c>
      <c r="BP317" s="2">
        <f>BK317*其他调用!L318*其他调用!$M318</f>
        <v>2294.9071522269728</v>
      </c>
      <c r="BQ317" s="2">
        <f t="shared" si="24"/>
        <v>2000257.2420185721</v>
      </c>
      <c r="BR317" s="2">
        <f>[1]服务器生态!$R316</f>
        <v>1.6289841650165445E-2</v>
      </c>
      <c r="BS317" s="2" t="e">
        <f>SUMPRODUCT((BG$4:BG317)*($BR$4:$BR317)*(其他调用!#REF!))</f>
        <v>#REF!</v>
      </c>
      <c r="BT317" s="2" t="e">
        <f>SUMPRODUCT((BH$4:BH317)*($BR$4:$BR317)*(其他调用!#REF!))</f>
        <v>#REF!</v>
      </c>
      <c r="BU317" s="2" t="e">
        <f>SUMPRODUCT((BI$4:BI317)*($BR$4:$BR317)*(其他调用!#REF!))</f>
        <v>#REF!</v>
      </c>
      <c r="BV317" s="2" t="e">
        <f>SUMPRODUCT((BJ$4:BJ317)*($BR$4:$BR317)*(其他调用!#REF!))</f>
        <v>#REF!</v>
      </c>
      <c r="BW317" s="2" t="e">
        <f>SUMPRODUCT((BK$4:BK317)*($BR$4:$BR317)*(其他调用!#REF!))</f>
        <v>#REF!</v>
      </c>
      <c r="BX317" s="2" t="e">
        <f>SUMPRODUCT((BG$4:BG317)*($BR$4:$BR317))*'[1]功能-战损相关'!$D$2-BS317</f>
        <v>#REF!</v>
      </c>
      <c r="BY317" s="2" t="e">
        <f>SUMPRODUCT((BH$4:BH317)*($BR$4:$BR317))*'[1]功能-战损相关'!$D$2-BT317</f>
        <v>#REF!</v>
      </c>
      <c r="BZ317" s="2" t="e">
        <f>SUMPRODUCT((BI$4:BI317)*($BR$4:$BR317))*'[1]功能-战损相关'!$D$2-BU317</f>
        <v>#REF!</v>
      </c>
      <c r="CA317" s="2" t="e">
        <f>SUMPRODUCT((BJ$4:BJ317)*($BR$4:$BR317))*'[1]功能-战损相关'!$D$2-BV317</f>
        <v>#REF!</v>
      </c>
      <c r="CB317" s="2" t="e">
        <f>SUMPRODUCT((BK$4:BK317)*($BR$4:$BR317))*'[1]功能-战损相关'!$D$2-BW317</f>
        <v>#REF!</v>
      </c>
    </row>
    <row r="318" spans="40:80" x14ac:dyDescent="0.2">
      <c r="AN318" s="2">
        <v>315</v>
      </c>
      <c r="AO318" s="2">
        <f>求节点(节奏总纲!D$4:D$163,AH$4:AH$163,$AN318)*其他调用!H319*其他调用!$M319</f>
        <v>269045295.77478808</v>
      </c>
      <c r="AP318" s="2">
        <f>求节点(节奏总纲!E$4:E$163,AI$4:AI$163,$AN318)*其他调用!I319*其他调用!$M319</f>
        <v>309774676.44329214</v>
      </c>
      <c r="AQ318" s="2">
        <f>求节点(节奏总纲!F$4:F$163,AJ$4:AJ$163,$AN318)*其他调用!J319*其他调用!$M319</f>
        <v>31292427.971517365</v>
      </c>
      <c r="AR318" s="2">
        <f>求节点(节奏总纲!G$4:G$163,AK$4:AK$163,$AN318)*其他调用!K319*其他调用!$M319</f>
        <v>6734203.9587565809</v>
      </c>
      <c r="AS318" s="2">
        <f>求节点(节奏总纲!H$4:H$163,AL$4:AL$163,$AN318)*其他调用!L319*其他调用!$M319</f>
        <v>2271578.0621392834</v>
      </c>
      <c r="AT318" s="2">
        <f t="shared" si="23"/>
        <v>619118182.21049345</v>
      </c>
      <c r="BF318" s="2">
        <v>315</v>
      </c>
      <c r="BG318" s="2">
        <f>求节点(节奏总纲!D$4:D$163,AZ$4:AZ$163,$AN318)</f>
        <v>8551.649970404329</v>
      </c>
      <c r="BH318" s="2">
        <f>求节点(节奏总纲!E$4:E$163,BA$4:BA$163,$AN318)</f>
        <v>26350.270262788101</v>
      </c>
      <c r="BI318" s="2">
        <f>求节点(节奏总纲!F$4:F$163,BB$4:BB$163,$AN318)</f>
        <v>81796.533418770574</v>
      </c>
      <c r="BJ318" s="2">
        <f>求节点(节奏总纲!G$4:G$163,BC$4:BC$163,$AN318)</f>
        <v>38882.114567291399</v>
      </c>
      <c r="BK318" s="2">
        <f>求节点(节奏总纲!H$4:H$163,BD$4:BD$163,$AN318)</f>
        <v>11552.057137217731</v>
      </c>
      <c r="BL318" s="2">
        <f>BG318*其他调用!H319*其他调用!$M319</f>
        <v>410158.94142592861</v>
      </c>
      <c r="BM318" s="2">
        <f>BH318*其他调用!I319*其他调用!$M319</f>
        <v>1246144.1680778479</v>
      </c>
      <c r="BN318" s="2">
        <f>BI318*其他调用!J319*其他调用!$M319</f>
        <v>315768.97469218553</v>
      </c>
      <c r="BO318" s="2">
        <f>BJ318*其他调用!K319*其他调用!$M319</f>
        <v>26704.080756357474</v>
      </c>
      <c r="BP318" s="2">
        <f>BK318*其他调用!L319*其他调用!$M319</f>
        <v>2295.624794307907</v>
      </c>
      <c r="BQ318" s="2">
        <f t="shared" si="24"/>
        <v>2001071.7897466274</v>
      </c>
      <c r="BR318" s="2">
        <f>[1]服务器生态!$R317</f>
        <v>1.6289841650165445E-2</v>
      </c>
      <c r="BS318" s="2" t="e">
        <f>SUMPRODUCT((BG$4:BG318)*($BR$4:$BR318)*(其他调用!#REF!))</f>
        <v>#REF!</v>
      </c>
      <c r="BT318" s="2" t="e">
        <f>SUMPRODUCT((BH$4:BH318)*($BR$4:$BR318)*(其他调用!#REF!))</f>
        <v>#REF!</v>
      </c>
      <c r="BU318" s="2" t="e">
        <f>SUMPRODUCT((BI$4:BI318)*($BR$4:$BR318)*(其他调用!#REF!))</f>
        <v>#REF!</v>
      </c>
      <c r="BV318" s="2" t="e">
        <f>SUMPRODUCT((BJ$4:BJ318)*($BR$4:$BR318)*(其他调用!#REF!))</f>
        <v>#REF!</v>
      </c>
      <c r="BW318" s="2" t="e">
        <f>SUMPRODUCT((BK$4:BK318)*($BR$4:$BR318)*(其他调用!#REF!))</f>
        <v>#REF!</v>
      </c>
      <c r="BX318" s="2" t="e">
        <f>SUMPRODUCT((BG$4:BG318)*($BR$4:$BR318))*'[1]功能-战损相关'!$D$2-BS318</f>
        <v>#REF!</v>
      </c>
      <c r="BY318" s="2" t="e">
        <f>SUMPRODUCT((BH$4:BH318)*($BR$4:$BR318))*'[1]功能-战损相关'!$D$2-BT318</f>
        <v>#REF!</v>
      </c>
      <c r="BZ318" s="2" t="e">
        <f>SUMPRODUCT((BI$4:BI318)*($BR$4:$BR318))*'[1]功能-战损相关'!$D$2-BU318</f>
        <v>#REF!</v>
      </c>
      <c r="CA318" s="2" t="e">
        <f>SUMPRODUCT((BJ$4:BJ318)*($BR$4:$BR318))*'[1]功能-战损相关'!$D$2-BV318</f>
        <v>#REF!</v>
      </c>
      <c r="CB318" s="2" t="e">
        <f>SUMPRODUCT((BK$4:BK318)*($BR$4:$BR318))*'[1]功能-战损相关'!$D$2-BW318</f>
        <v>#REF!</v>
      </c>
    </row>
    <row r="319" spans="40:80" x14ac:dyDescent="0.2">
      <c r="AN319" s="2">
        <v>316</v>
      </c>
      <c r="AO319" s="2">
        <f>求节点(节奏总纲!D$4:D$163,AH$4:AH$163,$AN319)*其他调用!H320*其他调用!$M320</f>
        <v>269420197.30794573</v>
      </c>
      <c r="AP319" s="2">
        <f>求节点(节奏总纲!E$4:E$163,AI$4:AI$163,$AN319)*其他调用!I320*其他调用!$M320</f>
        <v>310173474.74649304</v>
      </c>
      <c r="AQ319" s="2">
        <f>求节点(节奏总纲!F$4:F$163,AJ$4:AJ$163,$AN319)*其他调用!J320*其他调用!$M320</f>
        <v>31338519.674734525</v>
      </c>
      <c r="AR319" s="2">
        <f>求节点(节奏总纲!G$4:G$163,AK$4:AK$163,$AN319)*其他调用!K320*其他调用!$M320</f>
        <v>6739847.5075195031</v>
      </c>
      <c r="AS319" s="2">
        <f>求节点(节奏总纲!H$4:H$163,AL$4:AL$163,$AN319)*其他调用!L320*其他调用!$M320</f>
        <v>2272837.7978854598</v>
      </c>
      <c r="AT319" s="2">
        <f t="shared" si="23"/>
        <v>619944877.0345782</v>
      </c>
      <c r="BF319" s="2">
        <v>316</v>
      </c>
      <c r="BG319" s="2">
        <f>求节点(节奏总纲!D$4:D$163,AZ$4:AZ$163,$AN319)</f>
        <v>8555.2118675868369</v>
      </c>
      <c r="BH319" s="2">
        <f>求节点(节奏总纲!E$4:E$163,BA$4:BA$163,$AN319)</f>
        <v>26360.985310578246</v>
      </c>
      <c r="BI319" s="2">
        <f>求节点(节奏总纲!F$4:F$163,BB$4:BB$163,$AN319)</f>
        <v>81829.812526932394</v>
      </c>
      <c r="BJ319" s="2">
        <f>求节点(节奏总纲!G$4:G$163,BC$4:BC$163,$AN319)</f>
        <v>38890.398518538612</v>
      </c>
      <c r="BK319" s="2">
        <f>求节点(节奏总纲!H$4:H$163,BD$4:BD$163,$AN319)</f>
        <v>11555.668460088778</v>
      </c>
      <c r="BL319" s="2">
        <f>BG319*其他调用!H320*其他调用!$M320</f>
        <v>410329.77909852995</v>
      </c>
      <c r="BM319" s="2">
        <f>BH319*其他调用!I320*其他调用!$M320</f>
        <v>1246650.8989075965</v>
      </c>
      <c r="BN319" s="2">
        <f>BI319*其他调用!J320*其他调用!$M320</f>
        <v>315897.44602738414</v>
      </c>
      <c r="BO319" s="2">
        <f>BJ319*其他调用!K320*其他调用!$M320</f>
        <v>26709.770140938253</v>
      </c>
      <c r="BP319" s="2">
        <f>BK319*其他调用!L320*其他调用!$M320</f>
        <v>2296.3424363888416</v>
      </c>
      <c r="BQ319" s="2">
        <f t="shared" si="24"/>
        <v>2001884.2366108377</v>
      </c>
      <c r="BR319" s="2">
        <f>[1]服务器生态!$R318</f>
        <v>1.6289841650165445E-2</v>
      </c>
      <c r="BS319" s="2" t="e">
        <f>SUMPRODUCT((BG$4:BG319)*($BR$4:$BR319)*(其他调用!#REF!))</f>
        <v>#REF!</v>
      </c>
      <c r="BT319" s="2" t="e">
        <f>SUMPRODUCT((BH$4:BH319)*($BR$4:$BR319)*(其他调用!#REF!))</f>
        <v>#REF!</v>
      </c>
      <c r="BU319" s="2" t="e">
        <f>SUMPRODUCT((BI$4:BI319)*($BR$4:$BR319)*(其他调用!#REF!))</f>
        <v>#REF!</v>
      </c>
      <c r="BV319" s="2" t="e">
        <f>SUMPRODUCT((BJ$4:BJ319)*($BR$4:$BR319)*(其他调用!#REF!))</f>
        <v>#REF!</v>
      </c>
      <c r="BW319" s="2" t="e">
        <f>SUMPRODUCT((BK$4:BK319)*($BR$4:$BR319)*(其他调用!#REF!))</f>
        <v>#REF!</v>
      </c>
      <c r="BX319" s="2" t="e">
        <f>SUMPRODUCT((BG$4:BG319)*($BR$4:$BR319))*'[1]功能-战损相关'!$D$2-BS319</f>
        <v>#REF!</v>
      </c>
      <c r="BY319" s="2" t="e">
        <f>SUMPRODUCT((BH$4:BH319)*($BR$4:$BR319))*'[1]功能-战损相关'!$D$2-BT319</f>
        <v>#REF!</v>
      </c>
      <c r="BZ319" s="2" t="e">
        <f>SUMPRODUCT((BI$4:BI319)*($BR$4:$BR319))*'[1]功能-战损相关'!$D$2-BU319</f>
        <v>#REF!</v>
      </c>
      <c r="CA319" s="2" t="e">
        <f>SUMPRODUCT((BJ$4:BJ319)*($BR$4:$BR319))*'[1]功能-战损相关'!$D$2-BV319</f>
        <v>#REF!</v>
      </c>
      <c r="CB319" s="2" t="e">
        <f>SUMPRODUCT((BK$4:BK319)*($BR$4:$BR319))*'[1]功能-战损相关'!$D$2-BW319</f>
        <v>#REF!</v>
      </c>
    </row>
    <row r="320" spans="40:80" x14ac:dyDescent="0.2">
      <c r="AN320" s="2">
        <v>317</v>
      </c>
      <c r="AO320" s="2">
        <f>求节点(节奏总纲!D$4:D$163,AH$4:AH$163,$AN320)*其他调用!H321*其他调用!$M321</f>
        <v>269795098.84110337</v>
      </c>
      <c r="AP320" s="2">
        <f>求节点(节奏总纲!E$4:E$163,AI$4:AI$163,$AN320)*其他调用!I321*其他调用!$M321</f>
        <v>310572273.049694</v>
      </c>
      <c r="AQ320" s="2">
        <f>求节点(节奏总纲!F$4:F$163,AJ$4:AJ$163,$AN320)*其他调用!J321*其他调用!$M321</f>
        <v>31384611.377951682</v>
      </c>
      <c r="AR320" s="2">
        <f>求节点(节奏总纲!G$4:G$163,AK$4:AK$163,$AN320)*其他调用!K321*其他调用!$M321</f>
        <v>6745491.0562824244</v>
      </c>
      <c r="AS320" s="2">
        <f>求节点(节奏总纲!H$4:H$163,AL$4:AL$163,$AN320)*其他调用!L321*其他调用!$M321</f>
        <v>2274097.5336316368</v>
      </c>
      <c r="AT320" s="2">
        <f t="shared" si="23"/>
        <v>620771571.85866308</v>
      </c>
      <c r="BF320" s="2">
        <v>317</v>
      </c>
      <c r="BG320" s="2">
        <f>求节点(节奏总纲!D$4:D$163,AZ$4:AZ$163,$AN320)</f>
        <v>8558.7737647693448</v>
      </c>
      <c r="BH320" s="2">
        <f>求节点(节奏总纲!E$4:E$163,BA$4:BA$163,$AN320)</f>
        <v>26371.700358368395</v>
      </c>
      <c r="BI320" s="2">
        <f>求节点(节奏总纲!F$4:F$163,BB$4:BB$163,$AN320)</f>
        <v>81863.091635094213</v>
      </c>
      <c r="BJ320" s="2">
        <f>求节点(节奏总纲!G$4:G$163,BC$4:BC$163,$AN320)</f>
        <v>38898.682469785825</v>
      </c>
      <c r="BK320" s="2">
        <f>求节点(节奏总纲!H$4:H$163,BD$4:BD$163,$AN320)</f>
        <v>11559.279782959824</v>
      </c>
      <c r="BL320" s="2">
        <f>BG320*其他调用!H321*其他调用!$M321</f>
        <v>410500.61677113135</v>
      </c>
      <c r="BM320" s="2">
        <f>BH320*其他调用!I321*其他调用!$M321</f>
        <v>1247157.6297373453</v>
      </c>
      <c r="BN320" s="2">
        <f>BI320*其他调用!J321*其他调用!$M321</f>
        <v>316025.91736258275</v>
      </c>
      <c r="BO320" s="2">
        <f>BJ320*其他调用!K321*其他调用!$M321</f>
        <v>26715.459525519032</v>
      </c>
      <c r="BP320" s="2">
        <f>BK320*其他调用!L321*其他调用!$M321</f>
        <v>2297.0600784697758</v>
      </c>
      <c r="BQ320" s="2">
        <f t="shared" si="24"/>
        <v>2002696.683475048</v>
      </c>
      <c r="BR320" s="2">
        <f>[1]服务器生态!$R319</f>
        <v>1.6289841650165445E-2</v>
      </c>
      <c r="BS320" s="2" t="e">
        <f>SUMPRODUCT((BG$4:BG320)*($BR$4:$BR320)*(其他调用!#REF!))</f>
        <v>#REF!</v>
      </c>
      <c r="BT320" s="2" t="e">
        <f>SUMPRODUCT((BH$4:BH320)*($BR$4:$BR320)*(其他调用!#REF!))</f>
        <v>#REF!</v>
      </c>
      <c r="BU320" s="2" t="e">
        <f>SUMPRODUCT((BI$4:BI320)*($BR$4:$BR320)*(其他调用!#REF!))</f>
        <v>#REF!</v>
      </c>
      <c r="BV320" s="2" t="e">
        <f>SUMPRODUCT((BJ$4:BJ320)*($BR$4:$BR320)*(其他调用!#REF!))</f>
        <v>#REF!</v>
      </c>
      <c r="BW320" s="2" t="e">
        <f>SUMPRODUCT((BK$4:BK320)*($BR$4:$BR320)*(其他调用!#REF!))</f>
        <v>#REF!</v>
      </c>
      <c r="BX320" s="2" t="e">
        <f>SUMPRODUCT((BG$4:BG320)*($BR$4:$BR320))*'[1]功能-战损相关'!$D$2-BS320</f>
        <v>#REF!</v>
      </c>
      <c r="BY320" s="2" t="e">
        <f>SUMPRODUCT((BH$4:BH320)*($BR$4:$BR320))*'[1]功能-战损相关'!$D$2-BT320</f>
        <v>#REF!</v>
      </c>
      <c r="BZ320" s="2" t="e">
        <f>SUMPRODUCT((BI$4:BI320)*($BR$4:$BR320))*'[1]功能-战损相关'!$D$2-BU320</f>
        <v>#REF!</v>
      </c>
      <c r="CA320" s="2" t="e">
        <f>SUMPRODUCT((BJ$4:BJ320)*($BR$4:$BR320))*'[1]功能-战损相关'!$D$2-BV320</f>
        <v>#REF!</v>
      </c>
      <c r="CB320" s="2" t="e">
        <f>SUMPRODUCT((BK$4:BK320)*($BR$4:$BR320))*'[1]功能-战损相关'!$D$2-BW320</f>
        <v>#REF!</v>
      </c>
    </row>
    <row r="321" spans="40:80" x14ac:dyDescent="0.2">
      <c r="AN321" s="2">
        <v>318</v>
      </c>
      <c r="AO321" s="2">
        <f>求节点(节奏总纲!D$4:D$163,AH$4:AH$163,$AN321)*其他调用!H322*其他调用!$M322</f>
        <v>270170000.37426108</v>
      </c>
      <c r="AP321" s="2">
        <f>求节点(节奏总纲!E$4:E$163,AI$4:AI$163,$AN321)*其他调用!I322*其他调用!$M322</f>
        <v>310971071.35289484</v>
      </c>
      <c r="AQ321" s="2">
        <f>求节点(节奏总纲!F$4:F$163,AJ$4:AJ$163,$AN321)*其他调用!J322*其他调用!$M322</f>
        <v>31430703.081168838</v>
      </c>
      <c r="AR321" s="2">
        <f>求节点(节奏总纲!G$4:G$163,AK$4:AK$163,$AN321)*其他调用!K322*其他调用!$M322</f>
        <v>6751134.6050453475</v>
      </c>
      <c r="AS321" s="2">
        <f>求节点(节奏总纲!H$4:H$163,AL$4:AL$163,$AN321)*其他调用!L322*其他调用!$M322</f>
        <v>2275357.2693778137</v>
      </c>
      <c r="AT321" s="2">
        <f t="shared" si="23"/>
        <v>621598266.68274796</v>
      </c>
      <c r="BF321" s="2">
        <v>318</v>
      </c>
      <c r="BG321" s="2">
        <f>求节点(节奏总纲!D$4:D$163,AZ$4:AZ$163,$AN321)</f>
        <v>8562.3356619518545</v>
      </c>
      <c r="BH321" s="2">
        <f>求节点(节奏总纲!E$4:E$163,BA$4:BA$163,$AN321)</f>
        <v>26382.41540615854</v>
      </c>
      <c r="BI321" s="2">
        <f>求节点(节奏总纲!F$4:F$163,BB$4:BB$163,$AN321)</f>
        <v>81896.370743256033</v>
      </c>
      <c r="BJ321" s="2">
        <f>求节点(节奏总纲!G$4:G$163,BC$4:BC$163,$AN321)</f>
        <v>38906.966421033037</v>
      </c>
      <c r="BK321" s="2">
        <f>求节点(节奏总纲!H$4:H$163,BD$4:BD$163,$AN321)</f>
        <v>11562.891105830871</v>
      </c>
      <c r="BL321" s="2">
        <f>BG321*其他调用!H322*其他调用!$M322</f>
        <v>410671.4544437328</v>
      </c>
      <c r="BM321" s="2">
        <f>BH321*其他调用!I322*其他调用!$M322</f>
        <v>1247664.3605670938</v>
      </c>
      <c r="BN321" s="2">
        <f>BI321*其他调用!J322*其他调用!$M322</f>
        <v>316154.38869778137</v>
      </c>
      <c r="BO321" s="2">
        <f>BJ321*其他调用!K322*其他调用!$M322</f>
        <v>26721.148910099811</v>
      </c>
      <c r="BP321" s="2">
        <f>BK321*其他调用!L322*其他调用!$M322</f>
        <v>2297.7777205507105</v>
      </c>
      <c r="BQ321" s="2">
        <f t="shared" si="24"/>
        <v>2003509.1303392586</v>
      </c>
      <c r="BR321" s="2">
        <f>[1]服务器生态!$R320</f>
        <v>1.6289841650165445E-2</v>
      </c>
      <c r="BS321" s="2" t="e">
        <f>SUMPRODUCT((BG$4:BG321)*($BR$4:$BR321)*(其他调用!#REF!))</f>
        <v>#REF!</v>
      </c>
      <c r="BT321" s="2" t="e">
        <f>SUMPRODUCT((BH$4:BH321)*($BR$4:$BR321)*(其他调用!#REF!))</f>
        <v>#REF!</v>
      </c>
      <c r="BU321" s="2" t="e">
        <f>SUMPRODUCT((BI$4:BI321)*($BR$4:$BR321)*(其他调用!#REF!))</f>
        <v>#REF!</v>
      </c>
      <c r="BV321" s="2" t="e">
        <f>SUMPRODUCT((BJ$4:BJ321)*($BR$4:$BR321)*(其他调用!#REF!))</f>
        <v>#REF!</v>
      </c>
      <c r="BW321" s="2" t="e">
        <f>SUMPRODUCT((BK$4:BK321)*($BR$4:$BR321)*(其他调用!#REF!))</f>
        <v>#REF!</v>
      </c>
      <c r="BX321" s="2" t="e">
        <f>SUMPRODUCT((BG$4:BG321)*($BR$4:$BR321))*'[1]功能-战损相关'!$D$2-BS321</f>
        <v>#REF!</v>
      </c>
      <c r="BY321" s="2" t="e">
        <f>SUMPRODUCT((BH$4:BH321)*($BR$4:$BR321))*'[1]功能-战损相关'!$D$2-BT321</f>
        <v>#REF!</v>
      </c>
      <c r="BZ321" s="2" t="e">
        <f>SUMPRODUCT((BI$4:BI321)*($BR$4:$BR321))*'[1]功能-战损相关'!$D$2-BU321</f>
        <v>#REF!</v>
      </c>
      <c r="CA321" s="2" t="e">
        <f>SUMPRODUCT((BJ$4:BJ321)*($BR$4:$BR321))*'[1]功能-战损相关'!$D$2-BV321</f>
        <v>#REF!</v>
      </c>
      <c r="CB321" s="2" t="e">
        <f>SUMPRODUCT((BK$4:BK321)*($BR$4:$BR321))*'[1]功能-战损相关'!$D$2-BW321</f>
        <v>#REF!</v>
      </c>
    </row>
    <row r="322" spans="40:80" x14ac:dyDescent="0.2">
      <c r="AN322" s="2">
        <v>319</v>
      </c>
      <c r="AO322" s="2">
        <f>求节点(节奏总纲!D$4:D$163,AH$4:AH$163,$AN322)*其他调用!H323*其他调用!$M323</f>
        <v>270544901.90741873</v>
      </c>
      <c r="AP322" s="2">
        <f>求节点(节奏总纲!E$4:E$163,AI$4:AI$163,$AN322)*其他调用!I323*其他调用!$M323</f>
        <v>311369869.6560958</v>
      </c>
      <c r="AQ322" s="2">
        <f>求节点(节奏总纲!F$4:F$163,AJ$4:AJ$163,$AN322)*其他调用!J323*其他调用!$M323</f>
        <v>31476794.784385998</v>
      </c>
      <c r="AR322" s="2">
        <f>求节点(节奏总纲!G$4:G$163,AK$4:AK$163,$AN322)*其他调用!K323*其他调用!$M323</f>
        <v>6756778.1538082678</v>
      </c>
      <c r="AS322" s="2">
        <f>求节点(节奏总纲!H$4:H$163,AL$4:AL$163,$AN322)*其他调用!L323*其他调用!$M323</f>
        <v>2276617.0051239901</v>
      </c>
      <c r="AT322" s="2">
        <f t="shared" si="23"/>
        <v>622424961.50683272</v>
      </c>
      <c r="BF322" s="2">
        <v>319</v>
      </c>
      <c r="BG322" s="2">
        <f>求节点(节奏总纲!D$4:D$163,AZ$4:AZ$163,$AN322)</f>
        <v>8565.8975591343624</v>
      </c>
      <c r="BH322" s="2">
        <f>求节点(节奏总纲!E$4:E$163,BA$4:BA$163,$AN322)</f>
        <v>26393.130453948685</v>
      </c>
      <c r="BI322" s="2">
        <f>求节点(节奏总纲!F$4:F$163,BB$4:BB$163,$AN322)</f>
        <v>81929.649851417838</v>
      </c>
      <c r="BJ322" s="2">
        <f>求节点(节奏总纲!G$4:G$163,BC$4:BC$163,$AN322)</f>
        <v>38915.25037228025</v>
      </c>
      <c r="BK322" s="2">
        <f>求节点(节奏总纲!H$4:H$163,BD$4:BD$163,$AN322)</f>
        <v>11566.502428701919</v>
      </c>
      <c r="BL322" s="2">
        <f>BG322*其他调用!H323*其他调用!$M323</f>
        <v>410842.2921163342</v>
      </c>
      <c r="BM322" s="2">
        <f>BH322*其他调用!I323*其他调用!$M323</f>
        <v>1248171.0913968426</v>
      </c>
      <c r="BN322" s="2">
        <f>BI322*其他调用!J323*其他调用!$M323</f>
        <v>316282.86003297992</v>
      </c>
      <c r="BO322" s="2">
        <f>BJ322*其他调用!K323*其他调用!$M323</f>
        <v>26726.838294680594</v>
      </c>
      <c r="BP322" s="2">
        <f>BK322*其他调用!L323*其他调用!$M323</f>
        <v>2298.4953626316451</v>
      </c>
      <c r="BQ322" s="2">
        <f t="shared" si="24"/>
        <v>2004321.5772034691</v>
      </c>
      <c r="BR322" s="2">
        <f>[1]服务器生态!$R321</f>
        <v>1.6289841650165445E-2</v>
      </c>
      <c r="BS322" s="2" t="e">
        <f>SUMPRODUCT((BG$4:BG322)*($BR$4:$BR322)*(其他调用!#REF!))</f>
        <v>#REF!</v>
      </c>
      <c r="BT322" s="2" t="e">
        <f>SUMPRODUCT((BH$4:BH322)*($BR$4:$BR322)*(其他调用!#REF!))</f>
        <v>#REF!</v>
      </c>
      <c r="BU322" s="2" t="e">
        <f>SUMPRODUCT((BI$4:BI322)*($BR$4:$BR322)*(其他调用!#REF!))</f>
        <v>#REF!</v>
      </c>
      <c r="BV322" s="2" t="e">
        <f>SUMPRODUCT((BJ$4:BJ322)*($BR$4:$BR322)*(其他调用!#REF!))</f>
        <v>#REF!</v>
      </c>
      <c r="BW322" s="2" t="e">
        <f>SUMPRODUCT((BK$4:BK322)*($BR$4:$BR322)*(其他调用!#REF!))</f>
        <v>#REF!</v>
      </c>
      <c r="BX322" s="2" t="e">
        <f>SUMPRODUCT((BG$4:BG322)*($BR$4:$BR322))*'[1]功能-战损相关'!$D$2-BS322</f>
        <v>#REF!</v>
      </c>
      <c r="BY322" s="2" t="e">
        <f>SUMPRODUCT((BH$4:BH322)*($BR$4:$BR322))*'[1]功能-战损相关'!$D$2-BT322</f>
        <v>#REF!</v>
      </c>
      <c r="BZ322" s="2" t="e">
        <f>SUMPRODUCT((BI$4:BI322)*($BR$4:$BR322))*'[1]功能-战损相关'!$D$2-BU322</f>
        <v>#REF!</v>
      </c>
      <c r="CA322" s="2" t="e">
        <f>SUMPRODUCT((BJ$4:BJ322)*($BR$4:$BR322))*'[1]功能-战损相关'!$D$2-BV322</f>
        <v>#REF!</v>
      </c>
      <c r="CB322" s="2" t="e">
        <f>SUMPRODUCT((BK$4:BK322)*($BR$4:$BR322))*'[1]功能-战损相关'!$D$2-BW322</f>
        <v>#REF!</v>
      </c>
    </row>
    <row r="323" spans="40:80" x14ac:dyDescent="0.2">
      <c r="AN323" s="2">
        <v>320</v>
      </c>
      <c r="AO323" s="2">
        <f>求节点(节奏总纲!D$4:D$163,AH$4:AH$163,$AN323)*其他调用!H324*其他调用!$M324</f>
        <v>270919803.44057643</v>
      </c>
      <c r="AP323" s="2">
        <f>求节点(节奏总纲!E$4:E$163,AI$4:AI$163,$AN323)*其他调用!I324*其他调用!$M324</f>
        <v>311768667.95929664</v>
      </c>
      <c r="AQ323" s="2">
        <f>求节点(节奏总纲!F$4:F$163,AJ$4:AJ$163,$AN323)*其他调用!J324*其他调用!$M324</f>
        <v>31522886.487603154</v>
      </c>
      <c r="AR323" s="2">
        <f>求节点(节奏总纲!G$4:G$163,AK$4:AK$163,$AN323)*其他调用!K324*其他调用!$M324</f>
        <v>6762421.70257119</v>
      </c>
      <c r="AS323" s="2">
        <f>求节点(节奏总纲!H$4:H$163,AL$4:AL$163,$AN323)*其他调用!L324*其他调用!$M324</f>
        <v>2277876.7408701666</v>
      </c>
      <c r="AT323" s="2">
        <f t="shared" si="23"/>
        <v>623251656.33091748</v>
      </c>
      <c r="BF323" s="2">
        <v>320</v>
      </c>
      <c r="BG323" s="2">
        <f>求节点(节奏总纲!D$4:D$163,AZ$4:AZ$163,$AN323)</f>
        <v>8569.4594563168703</v>
      </c>
      <c r="BH323" s="2">
        <f>求节点(节奏总纲!E$4:E$163,BA$4:BA$163,$AN323)</f>
        <v>26403.84550173883</v>
      </c>
      <c r="BI323" s="2">
        <f>求节点(节奏总纲!F$4:F$163,BB$4:BB$163,$AN323)</f>
        <v>81962.928959579658</v>
      </c>
      <c r="BJ323" s="2">
        <f>求节点(节奏总纲!G$4:G$163,BC$4:BC$163,$AN323)</f>
        <v>38923.534323527463</v>
      </c>
      <c r="BK323" s="2">
        <f>求节点(节奏总纲!H$4:H$163,BD$4:BD$163,$AN323)</f>
        <v>11570.113751572966</v>
      </c>
      <c r="BL323" s="2">
        <f>BG323*其他调用!H324*其他调用!$M324</f>
        <v>411013.12978893559</v>
      </c>
      <c r="BM323" s="2">
        <f>BH323*其他调用!I324*其他调用!$M324</f>
        <v>1248677.8222265914</v>
      </c>
      <c r="BN323" s="2">
        <f>BI323*其他调用!J324*其他调用!$M324</f>
        <v>316411.33136817859</v>
      </c>
      <c r="BO323" s="2">
        <f>BJ323*其他调用!K324*其他调用!$M324</f>
        <v>26732.527679261373</v>
      </c>
      <c r="BP323" s="2">
        <f>BK323*其他调用!L324*其他调用!$M324</f>
        <v>2299.2130047125793</v>
      </c>
      <c r="BQ323" s="2">
        <f t="shared" si="24"/>
        <v>2005134.0240676794</v>
      </c>
      <c r="BR323" s="2">
        <f>[1]服务器生态!$R322</f>
        <v>1.6289841650165445E-2</v>
      </c>
      <c r="BS323" s="2" t="e">
        <f>SUMPRODUCT((BG$4:BG323)*($BR$4:$BR323)*(其他调用!#REF!))</f>
        <v>#REF!</v>
      </c>
      <c r="BT323" s="2" t="e">
        <f>SUMPRODUCT((BH$4:BH323)*($BR$4:$BR323)*(其他调用!#REF!))</f>
        <v>#REF!</v>
      </c>
      <c r="BU323" s="2" t="e">
        <f>SUMPRODUCT((BI$4:BI323)*($BR$4:$BR323)*(其他调用!#REF!))</f>
        <v>#REF!</v>
      </c>
      <c r="BV323" s="2" t="e">
        <f>SUMPRODUCT((BJ$4:BJ323)*($BR$4:$BR323)*(其他调用!#REF!))</f>
        <v>#REF!</v>
      </c>
      <c r="BW323" s="2" t="e">
        <f>SUMPRODUCT((BK$4:BK323)*($BR$4:$BR323)*(其他调用!#REF!))</f>
        <v>#REF!</v>
      </c>
      <c r="BX323" s="2" t="e">
        <f>SUMPRODUCT((BG$4:BG323)*($BR$4:$BR323))*'[1]功能-战损相关'!$D$2-BS323</f>
        <v>#REF!</v>
      </c>
      <c r="BY323" s="2" t="e">
        <f>SUMPRODUCT((BH$4:BH323)*($BR$4:$BR323))*'[1]功能-战损相关'!$D$2-BT323</f>
        <v>#REF!</v>
      </c>
      <c r="BZ323" s="2" t="e">
        <f>SUMPRODUCT((BI$4:BI323)*($BR$4:$BR323))*'[1]功能-战损相关'!$D$2-BU323</f>
        <v>#REF!</v>
      </c>
      <c r="CA323" s="2" t="e">
        <f>SUMPRODUCT((BJ$4:BJ323)*($BR$4:$BR323))*'[1]功能-战损相关'!$D$2-BV323</f>
        <v>#REF!</v>
      </c>
      <c r="CB323" s="2" t="e">
        <f>SUMPRODUCT((BK$4:BK323)*($BR$4:$BR323))*'[1]功能-战损相关'!$D$2-BW323</f>
        <v>#REF!</v>
      </c>
    </row>
    <row r="324" spans="40:80" x14ac:dyDescent="0.2">
      <c r="AN324" s="2">
        <v>321</v>
      </c>
      <c r="AO324" s="2">
        <f>求节点(节奏总纲!D$4:D$163,AH$4:AH$163,$AN324)*其他调用!H325*其他调用!$M325</f>
        <v>271294704.97373408</v>
      </c>
      <c r="AP324" s="2">
        <f>求节点(节奏总纲!E$4:E$163,AI$4:AI$163,$AN324)*其他调用!I325*其他调用!$M325</f>
        <v>312167466.2624976</v>
      </c>
      <c r="AQ324" s="2">
        <f>求节点(节奏总纲!F$4:F$163,AJ$4:AJ$163,$AN324)*其他调用!J325*其他调用!$M325</f>
        <v>31568978.190820314</v>
      </c>
      <c r="AR324" s="2">
        <f>求节点(节奏总纲!G$4:G$163,AK$4:AK$163,$AN324)*其他调用!K325*其他调用!$M325</f>
        <v>6768065.2513341103</v>
      </c>
      <c r="AS324" s="2">
        <f>求节点(节奏总纲!H$4:H$163,AL$4:AL$163,$AN324)*其他调用!L325*其他调用!$M325</f>
        <v>2279136.476616343</v>
      </c>
      <c r="AT324" s="2">
        <f t="shared" si="23"/>
        <v>624078351.15500247</v>
      </c>
      <c r="BF324" s="2">
        <v>321</v>
      </c>
      <c r="BG324" s="2">
        <f>求节点(节奏总纲!D$4:D$163,AZ$4:AZ$163,$AN324)</f>
        <v>8573.02135349938</v>
      </c>
      <c r="BH324" s="2">
        <f>求节点(节奏总纲!E$4:E$163,BA$4:BA$163,$AN324)</f>
        <v>26414.560549528978</v>
      </c>
      <c r="BI324" s="2">
        <f>求节点(节奏总纲!F$4:F$163,BB$4:BB$163,$AN324)</f>
        <v>81996.208067741478</v>
      </c>
      <c r="BJ324" s="2">
        <f>求节点(节奏总纲!G$4:G$163,BC$4:BC$163,$AN324)</f>
        <v>38931.818274774676</v>
      </c>
      <c r="BK324" s="2">
        <f>求节点(节奏总纲!H$4:H$163,BD$4:BD$163,$AN324)</f>
        <v>11573.725074444013</v>
      </c>
      <c r="BL324" s="2">
        <f>BG324*其他调用!H325*其他调用!$M325</f>
        <v>411183.96746153705</v>
      </c>
      <c r="BM324" s="2">
        <f>BH324*其他调用!I325*其他调用!$M325</f>
        <v>1249184.5530563402</v>
      </c>
      <c r="BN324" s="2">
        <f>BI324*其他调用!J325*其他调用!$M325</f>
        <v>316539.80270337721</v>
      </c>
      <c r="BO324" s="2">
        <f>BJ324*其他调用!K325*其他调用!$M325</f>
        <v>26738.217063842156</v>
      </c>
      <c r="BP324" s="2">
        <f>BK324*其他调用!L325*其他调用!$M325</f>
        <v>2299.9306467935144</v>
      </c>
      <c r="BQ324" s="2">
        <f t="shared" si="24"/>
        <v>2005946.4709318902</v>
      </c>
      <c r="BR324" s="2">
        <f>[1]服务器生态!$R323</f>
        <v>1.6289841650165445E-2</v>
      </c>
      <c r="BS324" s="2" t="e">
        <f>SUMPRODUCT((BG$4:BG324)*($BR$4:$BR324)*(其他调用!#REF!))</f>
        <v>#REF!</v>
      </c>
      <c r="BT324" s="2" t="e">
        <f>SUMPRODUCT((BH$4:BH324)*($BR$4:$BR324)*(其他调用!#REF!))</f>
        <v>#REF!</v>
      </c>
      <c r="BU324" s="2" t="e">
        <f>SUMPRODUCT((BI$4:BI324)*($BR$4:$BR324)*(其他调用!#REF!))</f>
        <v>#REF!</v>
      </c>
      <c r="BV324" s="2" t="e">
        <f>SUMPRODUCT((BJ$4:BJ324)*($BR$4:$BR324)*(其他调用!#REF!))</f>
        <v>#REF!</v>
      </c>
      <c r="BW324" s="2" t="e">
        <f>SUMPRODUCT((BK$4:BK324)*($BR$4:$BR324)*(其他调用!#REF!))</f>
        <v>#REF!</v>
      </c>
      <c r="BX324" s="2" t="e">
        <f>SUMPRODUCT((BG$4:BG324)*($BR$4:$BR324))*'[1]功能-战损相关'!$D$2-BS324</f>
        <v>#REF!</v>
      </c>
      <c r="BY324" s="2" t="e">
        <f>SUMPRODUCT((BH$4:BH324)*($BR$4:$BR324))*'[1]功能-战损相关'!$D$2-BT324</f>
        <v>#REF!</v>
      </c>
      <c r="BZ324" s="2" t="e">
        <f>SUMPRODUCT((BI$4:BI324)*($BR$4:$BR324))*'[1]功能-战损相关'!$D$2-BU324</f>
        <v>#REF!</v>
      </c>
      <c r="CA324" s="2" t="e">
        <f>SUMPRODUCT((BJ$4:BJ324)*($BR$4:$BR324))*'[1]功能-战损相关'!$D$2-BV324</f>
        <v>#REF!</v>
      </c>
      <c r="CB324" s="2" t="e">
        <f>SUMPRODUCT((BK$4:BK324)*($BR$4:$BR324))*'[1]功能-战损相关'!$D$2-BW324</f>
        <v>#REF!</v>
      </c>
    </row>
    <row r="325" spans="40:80" x14ac:dyDescent="0.2">
      <c r="AN325" s="2">
        <v>322</v>
      </c>
      <c r="AO325" s="2">
        <f>求节点(节奏总纲!D$4:D$163,AH$4:AH$163,$AN325)*其他调用!H326*其他调用!$M326</f>
        <v>271669606.50689173</v>
      </c>
      <c r="AP325" s="2">
        <f>求节点(节奏总纲!E$4:E$163,AI$4:AI$163,$AN325)*其他调用!I326*其他调用!$M326</f>
        <v>312566264.5656985</v>
      </c>
      <c r="AQ325" s="2">
        <f>求节点(节奏总纲!F$4:F$163,AJ$4:AJ$163,$AN325)*其他调用!J326*其他调用!$M326</f>
        <v>31615069.89403747</v>
      </c>
      <c r="AR325" s="2">
        <f>求节点(节奏总纲!G$4:G$163,AK$4:AK$163,$AN325)*其他调用!K326*其他调用!$M326</f>
        <v>6773708.8000970343</v>
      </c>
      <c r="AS325" s="2">
        <f>求节点(节奏总纲!H$4:H$163,AL$4:AL$163,$AN325)*其他调用!L326*其他调用!$M326</f>
        <v>2280396.2123625199</v>
      </c>
      <c r="AT325" s="2">
        <f t="shared" si="23"/>
        <v>624905045.97908723</v>
      </c>
      <c r="BF325" s="2">
        <v>322</v>
      </c>
      <c r="BG325" s="2">
        <f>求节点(节奏总纲!D$4:D$163,AZ$4:AZ$163,$AN325)</f>
        <v>8576.5832506818879</v>
      </c>
      <c r="BH325" s="2">
        <f>求节点(节奏总纲!E$4:E$163,BA$4:BA$163,$AN325)</f>
        <v>26425.275597319123</v>
      </c>
      <c r="BI325" s="2">
        <f>求节点(节奏总纲!F$4:F$163,BB$4:BB$163,$AN325)</f>
        <v>82029.487175903283</v>
      </c>
      <c r="BJ325" s="2">
        <f>求节点(节奏总纲!G$4:G$163,BC$4:BC$163,$AN325)</f>
        <v>38940.102226021889</v>
      </c>
      <c r="BK325" s="2">
        <f>求节点(节奏总纲!H$4:H$163,BD$4:BD$163,$AN325)</f>
        <v>11577.336397315061</v>
      </c>
      <c r="BL325" s="2">
        <f>BG325*其他调用!H326*其他调用!$M326</f>
        <v>411354.80513413838</v>
      </c>
      <c r="BM325" s="2">
        <f>BH325*其他调用!I326*其他调用!$M326</f>
        <v>1249691.2838860888</v>
      </c>
      <c r="BN325" s="2">
        <f>BI325*其他调用!J326*其他调用!$M326</f>
        <v>316668.27403857576</v>
      </c>
      <c r="BO325" s="2">
        <f>BJ325*其他调用!K326*其他调用!$M326</f>
        <v>26743.906448422938</v>
      </c>
      <c r="BP325" s="2">
        <f>BK325*其他调用!L326*其他调用!$M326</f>
        <v>2300.6482888744486</v>
      </c>
      <c r="BQ325" s="2">
        <f t="shared" si="24"/>
        <v>2006758.9177961003</v>
      </c>
      <c r="BR325" s="2">
        <f>[1]服务器生态!$R324</f>
        <v>1.6289841650165445E-2</v>
      </c>
      <c r="BS325" s="2" t="e">
        <f>SUMPRODUCT((BG$4:BG325)*($BR$4:$BR325)*(其他调用!#REF!))</f>
        <v>#REF!</v>
      </c>
      <c r="BT325" s="2" t="e">
        <f>SUMPRODUCT((BH$4:BH325)*($BR$4:$BR325)*(其他调用!#REF!))</f>
        <v>#REF!</v>
      </c>
      <c r="BU325" s="2" t="e">
        <f>SUMPRODUCT((BI$4:BI325)*($BR$4:$BR325)*(其他调用!#REF!))</f>
        <v>#REF!</v>
      </c>
      <c r="BV325" s="2" t="e">
        <f>SUMPRODUCT((BJ$4:BJ325)*($BR$4:$BR325)*(其他调用!#REF!))</f>
        <v>#REF!</v>
      </c>
      <c r="BW325" s="2" t="e">
        <f>SUMPRODUCT((BK$4:BK325)*($BR$4:$BR325)*(其他调用!#REF!))</f>
        <v>#REF!</v>
      </c>
      <c r="BX325" s="2" t="e">
        <f>SUMPRODUCT((BG$4:BG325)*($BR$4:$BR325))*'[1]功能-战损相关'!$D$2-BS325</f>
        <v>#REF!</v>
      </c>
      <c r="BY325" s="2" t="e">
        <f>SUMPRODUCT((BH$4:BH325)*($BR$4:$BR325))*'[1]功能-战损相关'!$D$2-BT325</f>
        <v>#REF!</v>
      </c>
      <c r="BZ325" s="2" t="e">
        <f>SUMPRODUCT((BI$4:BI325)*($BR$4:$BR325))*'[1]功能-战损相关'!$D$2-BU325</f>
        <v>#REF!</v>
      </c>
      <c r="CA325" s="2" t="e">
        <f>SUMPRODUCT((BJ$4:BJ325)*($BR$4:$BR325))*'[1]功能-战损相关'!$D$2-BV325</f>
        <v>#REF!</v>
      </c>
      <c r="CB325" s="2" t="e">
        <f>SUMPRODUCT((BK$4:BK325)*($BR$4:$BR325))*'[1]功能-战损相关'!$D$2-BW325</f>
        <v>#REF!</v>
      </c>
    </row>
    <row r="326" spans="40:80" x14ac:dyDescent="0.2">
      <c r="AN326" s="2">
        <v>323</v>
      </c>
      <c r="AO326" s="2">
        <f>求节点(节奏总纲!D$4:D$163,AH$4:AH$163,$AN326)*其他调用!H327*其他调用!$M327</f>
        <v>272044508.04004937</v>
      </c>
      <c r="AP326" s="2">
        <f>求节点(节奏总纲!E$4:E$163,AI$4:AI$163,$AN326)*其他调用!I327*其他调用!$M327</f>
        <v>312965062.86889941</v>
      </c>
      <c r="AQ326" s="2">
        <f>求节点(节奏总纲!F$4:F$163,AJ$4:AJ$163,$AN326)*其他调用!J327*其他调用!$M327</f>
        <v>31661161.597254626</v>
      </c>
      <c r="AR326" s="2">
        <f>求节点(节奏总纲!G$4:G$163,AK$4:AK$163,$AN326)*其他调用!K327*其他调用!$M327</f>
        <v>6779352.3488599546</v>
      </c>
      <c r="AS326" s="2">
        <f>求节点(节奏总纲!H$4:H$163,AL$4:AL$163,$AN326)*其他调用!L327*其他调用!$M327</f>
        <v>2281655.9481086964</v>
      </c>
      <c r="AT326" s="2">
        <f t="shared" si="23"/>
        <v>625731740.80317199</v>
      </c>
      <c r="BF326" s="2">
        <v>323</v>
      </c>
      <c r="BG326" s="2">
        <f>求节点(节奏总纲!D$4:D$163,AZ$4:AZ$163,$AN326)</f>
        <v>8580.1451478643958</v>
      </c>
      <c r="BH326" s="2">
        <f>求节点(节奏总纲!E$4:E$163,BA$4:BA$163,$AN326)</f>
        <v>26435.990645109268</v>
      </c>
      <c r="BI326" s="2">
        <f>求节点(节奏总纲!F$4:F$163,BB$4:BB$163,$AN326)</f>
        <v>82062.766284065103</v>
      </c>
      <c r="BJ326" s="2">
        <f>求节点(节奏总纲!G$4:G$163,BC$4:BC$163,$AN326)</f>
        <v>38948.386177269102</v>
      </c>
      <c r="BK326" s="2">
        <f>求节点(节奏总纲!H$4:H$163,BD$4:BD$163,$AN326)</f>
        <v>11580.947720186108</v>
      </c>
      <c r="BL326" s="2">
        <f>BG326*其他调用!H327*其他调用!$M327</f>
        <v>411525.64280673978</v>
      </c>
      <c r="BM326" s="2">
        <f>BH326*其他调用!I327*其他调用!$M327</f>
        <v>1250198.0147158375</v>
      </c>
      <c r="BN326" s="2">
        <f>BI326*其他调用!J327*其他调用!$M327</f>
        <v>316796.74537377438</v>
      </c>
      <c r="BO326" s="2">
        <f>BJ326*其他调用!K327*其他调用!$M327</f>
        <v>26749.595833003717</v>
      </c>
      <c r="BP326" s="2">
        <f>BK326*其他调用!L327*其他调用!$M327</f>
        <v>2301.3659309553832</v>
      </c>
      <c r="BQ326" s="2">
        <f t="shared" si="24"/>
        <v>2007571.3646603108</v>
      </c>
      <c r="BR326" s="2">
        <f>[1]服务器生态!$R325</f>
        <v>1.6289841650165445E-2</v>
      </c>
      <c r="BS326" s="2" t="e">
        <f>SUMPRODUCT((BG$4:BG326)*($BR$4:$BR326)*(其他调用!#REF!))</f>
        <v>#REF!</v>
      </c>
      <c r="BT326" s="2" t="e">
        <f>SUMPRODUCT((BH$4:BH326)*($BR$4:$BR326)*(其他调用!#REF!))</f>
        <v>#REF!</v>
      </c>
      <c r="BU326" s="2" t="e">
        <f>SUMPRODUCT((BI$4:BI326)*($BR$4:$BR326)*(其他调用!#REF!))</f>
        <v>#REF!</v>
      </c>
      <c r="BV326" s="2" t="e">
        <f>SUMPRODUCT((BJ$4:BJ326)*($BR$4:$BR326)*(其他调用!#REF!))</f>
        <v>#REF!</v>
      </c>
      <c r="BW326" s="2" t="e">
        <f>SUMPRODUCT((BK$4:BK326)*($BR$4:$BR326)*(其他调用!#REF!))</f>
        <v>#REF!</v>
      </c>
      <c r="BX326" s="2" t="e">
        <f>SUMPRODUCT((BG$4:BG326)*($BR$4:$BR326))*'[1]功能-战损相关'!$D$2-BS326</f>
        <v>#REF!</v>
      </c>
      <c r="BY326" s="2" t="e">
        <f>SUMPRODUCT((BH$4:BH326)*($BR$4:$BR326))*'[1]功能-战损相关'!$D$2-BT326</f>
        <v>#REF!</v>
      </c>
      <c r="BZ326" s="2" t="e">
        <f>SUMPRODUCT((BI$4:BI326)*($BR$4:$BR326))*'[1]功能-战损相关'!$D$2-BU326</f>
        <v>#REF!</v>
      </c>
      <c r="CA326" s="2" t="e">
        <f>SUMPRODUCT((BJ$4:BJ326)*($BR$4:$BR326))*'[1]功能-战损相关'!$D$2-BV326</f>
        <v>#REF!</v>
      </c>
      <c r="CB326" s="2" t="e">
        <f>SUMPRODUCT((BK$4:BK326)*($BR$4:$BR326))*'[1]功能-战损相关'!$D$2-BW326</f>
        <v>#REF!</v>
      </c>
    </row>
    <row r="327" spans="40:80" x14ac:dyDescent="0.2">
      <c r="AN327" s="2">
        <v>324</v>
      </c>
      <c r="AO327" s="2">
        <f>求节点(节奏总纲!D$4:D$163,AH$4:AH$163,$AN327)*其他调用!H328*其他调用!$M328</f>
        <v>272419409.57320702</v>
      </c>
      <c r="AP327" s="2">
        <f>求节点(节奏总纲!E$4:E$163,AI$4:AI$163,$AN327)*其他调用!I328*其他调用!$M328</f>
        <v>313363861.17210037</v>
      </c>
      <c r="AQ327" s="2">
        <f>求节点(节奏总纲!F$4:F$163,AJ$4:AJ$163,$AN327)*其他调用!J328*其他调用!$M328</f>
        <v>31707253.300471783</v>
      </c>
      <c r="AR327" s="2">
        <f>求节点(节奏总纲!G$4:G$163,AK$4:AK$163,$AN327)*其他调用!K328*其他调用!$M328</f>
        <v>6784995.8976228768</v>
      </c>
      <c r="AS327" s="2">
        <f>求节点(节奏总纲!H$4:H$163,AL$4:AL$163,$AN327)*其他调用!L328*其他调用!$M328</f>
        <v>2282915.6838548733</v>
      </c>
      <c r="AT327" s="2">
        <f t="shared" si="23"/>
        <v>626558435.62725687</v>
      </c>
      <c r="BF327" s="2">
        <v>324</v>
      </c>
      <c r="BG327" s="2">
        <f>求节点(节奏总纲!D$4:D$163,AZ$4:AZ$163,$AN327)</f>
        <v>8583.7070450469055</v>
      </c>
      <c r="BH327" s="2">
        <f>求节点(节奏总纲!E$4:E$163,BA$4:BA$163,$AN327)</f>
        <v>26446.705692899417</v>
      </c>
      <c r="BI327" s="2">
        <f>求节点(节奏总纲!F$4:F$163,BB$4:BB$163,$AN327)</f>
        <v>82096.045392226923</v>
      </c>
      <c r="BJ327" s="2">
        <f>求节点(节奏总纲!G$4:G$163,BC$4:BC$163,$AN327)</f>
        <v>38956.670128516307</v>
      </c>
      <c r="BK327" s="2">
        <f>求节点(节奏总纲!H$4:H$163,BD$4:BD$163,$AN327)</f>
        <v>11584.559043057156</v>
      </c>
      <c r="BL327" s="2">
        <f>BG327*其他调用!H328*其他调用!$M328</f>
        <v>411696.48047934117</v>
      </c>
      <c r="BM327" s="2">
        <f>BH327*其他调用!I328*其他调用!$M328</f>
        <v>1250704.7455455863</v>
      </c>
      <c r="BN327" s="2">
        <f>BI327*其他调用!J328*其他调用!$M328</f>
        <v>316925.21670897299</v>
      </c>
      <c r="BO327" s="2">
        <f>BJ327*其他调用!K328*其他调用!$M328</f>
        <v>26755.285217584493</v>
      </c>
      <c r="BP327" s="2">
        <f>BK327*其他调用!L328*其他调用!$M328</f>
        <v>2302.0835730363178</v>
      </c>
      <c r="BQ327" s="2">
        <f t="shared" si="24"/>
        <v>2008383.8115245216</v>
      </c>
      <c r="BR327" s="2">
        <f>[1]服务器生态!$R326</f>
        <v>1.6289841650165445E-2</v>
      </c>
      <c r="BS327" s="2" t="e">
        <f>SUMPRODUCT((BG$4:BG327)*($BR$4:$BR327)*(其他调用!#REF!))</f>
        <v>#REF!</v>
      </c>
      <c r="BT327" s="2" t="e">
        <f>SUMPRODUCT((BH$4:BH327)*($BR$4:$BR327)*(其他调用!#REF!))</f>
        <v>#REF!</v>
      </c>
      <c r="BU327" s="2" t="e">
        <f>SUMPRODUCT((BI$4:BI327)*($BR$4:$BR327)*(其他调用!#REF!))</f>
        <v>#REF!</v>
      </c>
      <c r="BV327" s="2" t="e">
        <f>SUMPRODUCT((BJ$4:BJ327)*($BR$4:$BR327)*(其他调用!#REF!))</f>
        <v>#REF!</v>
      </c>
      <c r="BW327" s="2" t="e">
        <f>SUMPRODUCT((BK$4:BK327)*($BR$4:$BR327)*(其他调用!#REF!))</f>
        <v>#REF!</v>
      </c>
      <c r="BX327" s="2" t="e">
        <f>SUMPRODUCT((BG$4:BG327)*($BR$4:$BR327))*'[1]功能-战损相关'!$D$2-BS327</f>
        <v>#REF!</v>
      </c>
      <c r="BY327" s="2" t="e">
        <f>SUMPRODUCT((BH$4:BH327)*($BR$4:$BR327))*'[1]功能-战损相关'!$D$2-BT327</f>
        <v>#REF!</v>
      </c>
      <c r="BZ327" s="2" t="e">
        <f>SUMPRODUCT((BI$4:BI327)*($BR$4:$BR327))*'[1]功能-战损相关'!$D$2-BU327</f>
        <v>#REF!</v>
      </c>
      <c r="CA327" s="2" t="e">
        <f>SUMPRODUCT((BJ$4:BJ327)*($BR$4:$BR327))*'[1]功能-战损相关'!$D$2-BV327</f>
        <v>#REF!</v>
      </c>
      <c r="CB327" s="2" t="e">
        <f>SUMPRODUCT((BK$4:BK327)*($BR$4:$BR327))*'[1]功能-战损相关'!$D$2-BW327</f>
        <v>#REF!</v>
      </c>
    </row>
    <row r="328" spans="40:80" x14ac:dyDescent="0.2">
      <c r="AN328" s="2">
        <v>325</v>
      </c>
      <c r="AO328" s="2">
        <f>求节点(节奏总纲!D$4:D$163,AH$4:AH$163,$AN328)*其他调用!H329*其他调用!$M329</f>
        <v>272794311.10636473</v>
      </c>
      <c r="AP328" s="2">
        <f>求节点(节奏总纲!E$4:E$163,AI$4:AI$163,$AN328)*其他调用!I329*其他调用!$M329</f>
        <v>313762659.47530127</v>
      </c>
      <c r="AQ328" s="2">
        <f>求节点(节奏总纲!F$4:F$163,AJ$4:AJ$163,$AN328)*其他调用!J329*其他调用!$M329</f>
        <v>31753345.003688946</v>
      </c>
      <c r="AR328" s="2">
        <f>求节点(节奏总纲!G$4:G$163,AK$4:AK$163,$AN328)*其他调用!K329*其他调用!$M329</f>
        <v>6790639.4463857971</v>
      </c>
      <c r="AS328" s="2">
        <f>求节点(节奏总纲!H$4:H$163,AL$4:AL$163,$AN328)*其他调用!L329*其他调用!$M329</f>
        <v>2284175.4196010497</v>
      </c>
      <c r="AT328" s="2">
        <f t="shared" si="23"/>
        <v>627385130.45134175</v>
      </c>
      <c r="BF328" s="2">
        <v>325</v>
      </c>
      <c r="BG328" s="2">
        <f>求节点(节奏总纲!D$4:D$163,AZ$4:AZ$163,$AN328)</f>
        <v>8587.2689422294134</v>
      </c>
      <c r="BH328" s="2">
        <f>求节点(节奏总纲!E$4:E$163,BA$4:BA$163,$AN328)</f>
        <v>26457.420740689562</v>
      </c>
      <c r="BI328" s="2">
        <f>求节点(节奏总纲!F$4:F$163,BB$4:BB$163,$AN328)</f>
        <v>82129.324500388728</v>
      </c>
      <c r="BJ328" s="2">
        <f>求节点(节奏总纲!G$4:G$163,BC$4:BC$163,$AN328)</f>
        <v>38964.95407976352</v>
      </c>
      <c r="BK328" s="2">
        <f>求节点(节奏总纲!H$4:H$163,BD$4:BD$163,$AN328)</f>
        <v>11588.170365928203</v>
      </c>
      <c r="BL328" s="2">
        <f>BG328*其他调用!H329*其他调用!$M329</f>
        <v>411867.31815194251</v>
      </c>
      <c r="BM328" s="2">
        <f>BH328*其他调用!I329*其他调用!$M329</f>
        <v>1251211.4763753351</v>
      </c>
      <c r="BN328" s="2">
        <f>BI328*其他调用!J329*其他调用!$M329</f>
        <v>317053.68804417155</v>
      </c>
      <c r="BO328" s="2">
        <f>BJ328*其他调用!K329*其他调用!$M329</f>
        <v>26760.974602165275</v>
      </c>
      <c r="BP328" s="2">
        <f>BK328*其他调用!L329*其他调用!$M329</f>
        <v>2302.801215117252</v>
      </c>
      <c r="BQ328" s="2">
        <f t="shared" si="24"/>
        <v>2009196.2583887316</v>
      </c>
      <c r="BR328" s="2">
        <f>[1]服务器生态!$R327</f>
        <v>1.6289841650165445E-2</v>
      </c>
      <c r="BS328" s="2" t="e">
        <f>SUMPRODUCT((BG$4:BG328)*($BR$4:$BR328)*(其他调用!#REF!))</f>
        <v>#REF!</v>
      </c>
      <c r="BT328" s="2" t="e">
        <f>SUMPRODUCT((BH$4:BH328)*($BR$4:$BR328)*(其他调用!#REF!))</f>
        <v>#REF!</v>
      </c>
      <c r="BU328" s="2" t="e">
        <f>SUMPRODUCT((BI$4:BI328)*($BR$4:$BR328)*(其他调用!#REF!))</f>
        <v>#REF!</v>
      </c>
      <c r="BV328" s="2" t="e">
        <f>SUMPRODUCT((BJ$4:BJ328)*($BR$4:$BR328)*(其他调用!#REF!))</f>
        <v>#REF!</v>
      </c>
      <c r="BW328" s="2" t="e">
        <f>SUMPRODUCT((BK$4:BK328)*($BR$4:$BR328)*(其他调用!#REF!))</f>
        <v>#REF!</v>
      </c>
      <c r="BX328" s="2" t="e">
        <f>SUMPRODUCT((BG$4:BG328)*($BR$4:$BR328))*'[1]功能-战损相关'!$D$2-BS328</f>
        <v>#REF!</v>
      </c>
      <c r="BY328" s="2" t="e">
        <f>SUMPRODUCT((BH$4:BH328)*($BR$4:$BR328))*'[1]功能-战损相关'!$D$2-BT328</f>
        <v>#REF!</v>
      </c>
      <c r="BZ328" s="2" t="e">
        <f>SUMPRODUCT((BI$4:BI328)*($BR$4:$BR328))*'[1]功能-战损相关'!$D$2-BU328</f>
        <v>#REF!</v>
      </c>
      <c r="CA328" s="2" t="e">
        <f>SUMPRODUCT((BJ$4:BJ328)*($BR$4:$BR328))*'[1]功能-战损相关'!$D$2-BV328</f>
        <v>#REF!</v>
      </c>
      <c r="CB328" s="2" t="e">
        <f>SUMPRODUCT((BK$4:BK328)*($BR$4:$BR328))*'[1]功能-战损相关'!$D$2-BW328</f>
        <v>#REF!</v>
      </c>
    </row>
    <row r="329" spans="40:80" x14ac:dyDescent="0.2">
      <c r="AN329" s="2">
        <v>326</v>
      </c>
      <c r="AO329" s="2">
        <f>求节点(节奏总纲!D$4:D$163,AH$4:AH$163,$AN329)*其他调用!H330*其他调用!$M330</f>
        <v>273169212.63952237</v>
      </c>
      <c r="AP329" s="2">
        <f>求节点(节奏总纲!E$4:E$163,AI$4:AI$163,$AN329)*其他调用!I330*其他调用!$M330</f>
        <v>314161457.77850217</v>
      </c>
      <c r="AQ329" s="2">
        <f>求节点(节奏总纲!F$4:F$163,AJ$4:AJ$163,$AN329)*其他调用!J330*其他调用!$M330</f>
        <v>31799436.706906103</v>
      </c>
      <c r="AR329" s="2">
        <f>求节点(节奏总纲!G$4:G$163,AK$4:AK$163,$AN329)*其他调用!K330*其他调用!$M330</f>
        <v>6796282.9951487202</v>
      </c>
      <c r="AS329" s="2">
        <f>求节点(节奏总纲!H$4:H$163,AL$4:AL$163,$AN329)*其他调用!L330*其他调用!$M330</f>
        <v>2285435.1553472267</v>
      </c>
      <c r="AT329" s="2">
        <f t="shared" si="23"/>
        <v>628211825.27542663</v>
      </c>
      <c r="BF329" s="2">
        <v>326</v>
      </c>
      <c r="BG329" s="2">
        <f>求节点(节奏总纲!D$4:D$163,AZ$4:AZ$163,$AN329)</f>
        <v>8590.8308394119213</v>
      </c>
      <c r="BH329" s="2">
        <f>求节点(节奏总纲!E$4:E$163,BA$4:BA$163,$AN329)</f>
        <v>26468.135788479707</v>
      </c>
      <c r="BI329" s="2">
        <f>求节点(节奏总纲!F$4:F$163,BB$4:BB$163,$AN329)</f>
        <v>82162.603608550548</v>
      </c>
      <c r="BJ329" s="2">
        <f>求节点(节奏总纲!G$4:G$163,BC$4:BC$163,$AN329)</f>
        <v>38973.238031010733</v>
      </c>
      <c r="BK329" s="2">
        <f>求节点(节奏总纲!H$4:H$163,BD$4:BD$163,$AN329)</f>
        <v>11591.78168879925</v>
      </c>
      <c r="BL329" s="2">
        <f>BG329*其他调用!H330*其他调用!$M330</f>
        <v>412038.15582454391</v>
      </c>
      <c r="BM329" s="2">
        <f>BH329*其他调用!I330*其他调用!$M330</f>
        <v>1251718.2072050839</v>
      </c>
      <c r="BN329" s="2">
        <f>BI329*其他调用!J330*其他调用!$M330</f>
        <v>317182.15937937016</v>
      </c>
      <c r="BO329" s="2">
        <f>BJ329*其他调用!K330*其他调用!$M330</f>
        <v>26766.663986746054</v>
      </c>
      <c r="BP329" s="2">
        <f>BK329*其他调用!L330*其他调用!$M330</f>
        <v>2303.5188571981867</v>
      </c>
      <c r="BQ329" s="2">
        <f t="shared" si="24"/>
        <v>2010008.7052529424</v>
      </c>
      <c r="BR329" s="2">
        <f>[1]服务器生态!$R328</f>
        <v>1.6289841650165445E-2</v>
      </c>
      <c r="BS329" s="2" t="e">
        <f>SUMPRODUCT((BG$4:BG329)*($BR$4:$BR329)*(其他调用!#REF!))</f>
        <v>#REF!</v>
      </c>
      <c r="BT329" s="2" t="e">
        <f>SUMPRODUCT((BH$4:BH329)*($BR$4:$BR329)*(其他调用!#REF!))</f>
        <v>#REF!</v>
      </c>
      <c r="BU329" s="2" t="e">
        <f>SUMPRODUCT((BI$4:BI329)*($BR$4:$BR329)*(其他调用!#REF!))</f>
        <v>#REF!</v>
      </c>
      <c r="BV329" s="2" t="e">
        <f>SUMPRODUCT((BJ$4:BJ329)*($BR$4:$BR329)*(其他调用!#REF!))</f>
        <v>#REF!</v>
      </c>
      <c r="BW329" s="2" t="e">
        <f>SUMPRODUCT((BK$4:BK329)*($BR$4:$BR329)*(其他调用!#REF!))</f>
        <v>#REF!</v>
      </c>
      <c r="BX329" s="2" t="e">
        <f>SUMPRODUCT((BG$4:BG329)*($BR$4:$BR329))*'[1]功能-战损相关'!$D$2-BS329</f>
        <v>#REF!</v>
      </c>
      <c r="BY329" s="2" t="e">
        <f>SUMPRODUCT((BH$4:BH329)*($BR$4:$BR329))*'[1]功能-战损相关'!$D$2-BT329</f>
        <v>#REF!</v>
      </c>
      <c r="BZ329" s="2" t="e">
        <f>SUMPRODUCT((BI$4:BI329)*($BR$4:$BR329))*'[1]功能-战损相关'!$D$2-BU329</f>
        <v>#REF!</v>
      </c>
      <c r="CA329" s="2" t="e">
        <f>SUMPRODUCT((BJ$4:BJ329)*($BR$4:$BR329))*'[1]功能-战损相关'!$D$2-BV329</f>
        <v>#REF!</v>
      </c>
      <c r="CB329" s="2" t="e">
        <f>SUMPRODUCT((BK$4:BK329)*($BR$4:$BR329))*'[1]功能-战损相关'!$D$2-BW329</f>
        <v>#REF!</v>
      </c>
    </row>
    <row r="330" spans="40:80" x14ac:dyDescent="0.2">
      <c r="AN330" s="2">
        <v>327</v>
      </c>
      <c r="AO330" s="2">
        <f>求节点(节奏总纲!D$4:D$163,AH$4:AH$163,$AN330)*其他调用!H331*其他调用!$M331</f>
        <v>273544114.17268008</v>
      </c>
      <c r="AP330" s="2">
        <f>求节点(节奏总纲!E$4:E$163,AI$4:AI$163,$AN330)*其他调用!I331*其他调用!$M331</f>
        <v>314560256.08170307</v>
      </c>
      <c r="AQ330" s="2">
        <f>求节点(节奏总纲!F$4:F$163,AJ$4:AJ$163,$AN330)*其他调用!J331*其他调用!$M331</f>
        <v>31845528.410123259</v>
      </c>
      <c r="AR330" s="2">
        <f>求节点(节奏总纲!G$4:G$163,AK$4:AK$163,$AN330)*其他调用!K331*其他调用!$M331</f>
        <v>6801926.5439116415</v>
      </c>
      <c r="AS330" s="2">
        <f>求节点(节奏总纲!H$4:H$163,AL$4:AL$163,$AN330)*其他调用!L331*其他调用!$M331</f>
        <v>2286694.8910934026</v>
      </c>
      <c r="AT330" s="2">
        <f t="shared" si="23"/>
        <v>629038520.09951138</v>
      </c>
      <c r="BF330" s="2">
        <v>327</v>
      </c>
      <c r="BG330" s="2">
        <f>求节点(节奏总纲!D$4:D$163,AZ$4:AZ$163,$AN330)</f>
        <v>8594.392736594431</v>
      </c>
      <c r="BH330" s="2">
        <f>求节点(节奏总纲!E$4:E$163,BA$4:BA$163,$AN330)</f>
        <v>26478.850836269852</v>
      </c>
      <c r="BI330" s="2">
        <f>求节点(节奏总纲!F$4:F$163,BB$4:BB$163,$AN330)</f>
        <v>82195.882716712367</v>
      </c>
      <c r="BJ330" s="2">
        <f>求节点(节奏总纲!G$4:G$163,BC$4:BC$163,$AN330)</f>
        <v>38981.521982257946</v>
      </c>
      <c r="BK330" s="2">
        <f>求节点(节奏总纲!H$4:H$163,BD$4:BD$163,$AN330)</f>
        <v>11595.393011670298</v>
      </c>
      <c r="BL330" s="2">
        <f>BG330*其他调用!H331*其他调用!$M331</f>
        <v>412208.99349714536</v>
      </c>
      <c r="BM330" s="2">
        <f>BH330*其他调用!I331*其他调用!$M331</f>
        <v>1252224.9380348325</v>
      </c>
      <c r="BN330" s="2">
        <f>BI330*其他调用!J331*其他调用!$M331</f>
        <v>317310.63071456878</v>
      </c>
      <c r="BO330" s="2">
        <f>BJ330*其他调用!K331*其他调用!$M331</f>
        <v>26772.353371326833</v>
      </c>
      <c r="BP330" s="2">
        <f>BK330*其他调用!L331*其他调用!$M331</f>
        <v>2304.2364992791213</v>
      </c>
      <c r="BQ330" s="2">
        <f t="shared" si="24"/>
        <v>2010821.1521171525</v>
      </c>
      <c r="BR330" s="2">
        <f>[1]服务器生态!$R329</f>
        <v>1.6289841650165445E-2</v>
      </c>
      <c r="BS330" s="2" t="e">
        <f>SUMPRODUCT((BG$4:BG330)*($BR$4:$BR330)*(其他调用!#REF!))</f>
        <v>#REF!</v>
      </c>
      <c r="BT330" s="2" t="e">
        <f>SUMPRODUCT((BH$4:BH330)*($BR$4:$BR330)*(其他调用!#REF!))</f>
        <v>#REF!</v>
      </c>
      <c r="BU330" s="2" t="e">
        <f>SUMPRODUCT((BI$4:BI330)*($BR$4:$BR330)*(其他调用!#REF!))</f>
        <v>#REF!</v>
      </c>
      <c r="BV330" s="2" t="e">
        <f>SUMPRODUCT((BJ$4:BJ330)*($BR$4:$BR330)*(其他调用!#REF!))</f>
        <v>#REF!</v>
      </c>
      <c r="BW330" s="2" t="e">
        <f>SUMPRODUCT((BK$4:BK330)*($BR$4:$BR330)*(其他调用!#REF!))</f>
        <v>#REF!</v>
      </c>
      <c r="BX330" s="2" t="e">
        <f>SUMPRODUCT((BG$4:BG330)*($BR$4:$BR330))*'[1]功能-战损相关'!$D$2-BS330</f>
        <v>#REF!</v>
      </c>
      <c r="BY330" s="2" t="e">
        <f>SUMPRODUCT((BH$4:BH330)*($BR$4:$BR330))*'[1]功能-战损相关'!$D$2-BT330</f>
        <v>#REF!</v>
      </c>
      <c r="BZ330" s="2" t="e">
        <f>SUMPRODUCT((BI$4:BI330)*($BR$4:$BR330))*'[1]功能-战损相关'!$D$2-BU330</f>
        <v>#REF!</v>
      </c>
      <c r="CA330" s="2" t="e">
        <f>SUMPRODUCT((BJ$4:BJ330)*($BR$4:$BR330))*'[1]功能-战损相关'!$D$2-BV330</f>
        <v>#REF!</v>
      </c>
      <c r="CB330" s="2" t="e">
        <f>SUMPRODUCT((BK$4:BK330)*($BR$4:$BR330))*'[1]功能-战损相关'!$D$2-BW330</f>
        <v>#REF!</v>
      </c>
    </row>
    <row r="331" spans="40:80" x14ac:dyDescent="0.2">
      <c r="AN331" s="2">
        <v>328</v>
      </c>
      <c r="AO331" s="2">
        <f>求节点(节奏总纲!D$4:D$163,AH$4:AH$163,$AN331)*其他调用!H332*其他调用!$M332</f>
        <v>273919015.70583773</v>
      </c>
      <c r="AP331" s="2">
        <f>求节点(节奏总纲!E$4:E$163,AI$4:AI$163,$AN331)*其他调用!I332*其他调用!$M332</f>
        <v>314959054.38490403</v>
      </c>
      <c r="AQ331" s="2">
        <f>求节点(节奏总纲!F$4:F$163,AJ$4:AJ$163,$AN331)*其他调用!J332*其他调用!$M332</f>
        <v>31891620.113340415</v>
      </c>
      <c r="AR331" s="2">
        <f>求节点(节奏总纲!G$4:G$163,AK$4:AK$163,$AN331)*其他调用!K332*其他调用!$M332</f>
        <v>6807570.0926745627</v>
      </c>
      <c r="AS331" s="2">
        <f>求节点(节奏总纲!H$4:H$163,AL$4:AL$163,$AN331)*其他调用!L332*其他调用!$M332</f>
        <v>2287954.62683958</v>
      </c>
      <c r="AT331" s="2">
        <f t="shared" si="23"/>
        <v>629865214.92359638</v>
      </c>
      <c r="BF331" s="2">
        <v>328</v>
      </c>
      <c r="BG331" s="2">
        <f>求节点(节奏总纲!D$4:D$163,AZ$4:AZ$163,$AN331)</f>
        <v>8597.9546337769389</v>
      </c>
      <c r="BH331" s="2">
        <f>求节点(节奏总纲!E$4:E$163,BA$4:BA$163,$AN331)</f>
        <v>26489.565884060001</v>
      </c>
      <c r="BI331" s="2">
        <f>求节点(节奏总纲!F$4:F$163,BB$4:BB$163,$AN331)</f>
        <v>82229.161824874172</v>
      </c>
      <c r="BJ331" s="2">
        <f>求节点(节奏总纲!G$4:G$163,BC$4:BC$163,$AN331)</f>
        <v>38989.805933505158</v>
      </c>
      <c r="BK331" s="2">
        <f>求节点(节奏总纲!H$4:H$163,BD$4:BD$163,$AN331)</f>
        <v>11599.004334541345</v>
      </c>
      <c r="BL331" s="2">
        <f>BG331*其他调用!H332*其他调用!$M332</f>
        <v>412379.83116974676</v>
      </c>
      <c r="BM331" s="2">
        <f>BH331*其他调用!I332*其他调用!$M332</f>
        <v>1252731.6688645813</v>
      </c>
      <c r="BN331" s="2">
        <f>BI331*其他调用!J332*其他调用!$M332</f>
        <v>317439.10204976739</v>
      </c>
      <c r="BO331" s="2">
        <f>BJ331*其他调用!K332*其他调用!$M332</f>
        <v>26778.042755907616</v>
      </c>
      <c r="BP331" s="2">
        <f>BK331*其他调用!L332*其他调用!$M332</f>
        <v>2304.9541413600559</v>
      </c>
      <c r="BQ331" s="2">
        <f t="shared" si="24"/>
        <v>2011633.5989813632</v>
      </c>
      <c r="BR331" s="2">
        <f>[1]服务器生态!$R330</f>
        <v>1.6289841650165445E-2</v>
      </c>
      <c r="BS331" s="2" t="e">
        <f>SUMPRODUCT((BG$4:BG331)*($BR$4:$BR331)*(其他调用!#REF!))</f>
        <v>#REF!</v>
      </c>
      <c r="BT331" s="2" t="e">
        <f>SUMPRODUCT((BH$4:BH331)*($BR$4:$BR331)*(其他调用!#REF!))</f>
        <v>#REF!</v>
      </c>
      <c r="BU331" s="2" t="e">
        <f>SUMPRODUCT((BI$4:BI331)*($BR$4:$BR331)*(其他调用!#REF!))</f>
        <v>#REF!</v>
      </c>
      <c r="BV331" s="2" t="e">
        <f>SUMPRODUCT((BJ$4:BJ331)*($BR$4:$BR331)*(其他调用!#REF!))</f>
        <v>#REF!</v>
      </c>
      <c r="BW331" s="2" t="e">
        <f>SUMPRODUCT((BK$4:BK331)*($BR$4:$BR331)*(其他调用!#REF!))</f>
        <v>#REF!</v>
      </c>
      <c r="BX331" s="2" t="e">
        <f>SUMPRODUCT((BG$4:BG331)*($BR$4:$BR331))*'[1]功能-战损相关'!$D$2-BS331</f>
        <v>#REF!</v>
      </c>
      <c r="BY331" s="2" t="e">
        <f>SUMPRODUCT((BH$4:BH331)*($BR$4:$BR331))*'[1]功能-战损相关'!$D$2-BT331</f>
        <v>#REF!</v>
      </c>
      <c r="BZ331" s="2" t="e">
        <f>SUMPRODUCT((BI$4:BI331)*($BR$4:$BR331))*'[1]功能-战损相关'!$D$2-BU331</f>
        <v>#REF!</v>
      </c>
      <c r="CA331" s="2" t="e">
        <f>SUMPRODUCT((BJ$4:BJ331)*($BR$4:$BR331))*'[1]功能-战损相关'!$D$2-BV331</f>
        <v>#REF!</v>
      </c>
      <c r="CB331" s="2" t="e">
        <f>SUMPRODUCT((BK$4:BK331)*($BR$4:$BR331))*'[1]功能-战损相关'!$D$2-BW331</f>
        <v>#REF!</v>
      </c>
    </row>
    <row r="332" spans="40:80" x14ac:dyDescent="0.2">
      <c r="AN332" s="2">
        <v>329</v>
      </c>
      <c r="AO332" s="2">
        <f>求节点(节奏总纲!D$4:D$163,AH$4:AH$163,$AN332)*其他调用!H333*其他调用!$M333</f>
        <v>274293917.23899537</v>
      </c>
      <c r="AP332" s="2">
        <f>求节点(节奏总纲!E$4:E$163,AI$4:AI$163,$AN332)*其他调用!I333*其他调用!$M333</f>
        <v>315357852.68810487</v>
      </c>
      <c r="AQ332" s="2">
        <f>求节点(节奏总纲!F$4:F$163,AJ$4:AJ$163,$AN332)*其他调用!J333*其他调用!$M333</f>
        <v>31937711.816557579</v>
      </c>
      <c r="AR332" s="2">
        <f>求节点(节奏总纲!G$4:G$163,AK$4:AK$163,$AN332)*其他调用!K333*其他调用!$M333</f>
        <v>6813213.641437484</v>
      </c>
      <c r="AS332" s="2">
        <f>求节点(节奏总纲!H$4:H$163,AL$4:AL$163,$AN332)*其他调用!L333*其他调用!$M333</f>
        <v>2289214.3625857565</v>
      </c>
      <c r="AT332" s="2">
        <f t="shared" si="23"/>
        <v>630691909.74768102</v>
      </c>
      <c r="BF332" s="2">
        <v>329</v>
      </c>
      <c r="BG332" s="2">
        <f>求节点(节奏总纲!D$4:D$163,AZ$4:AZ$163,$AN332)</f>
        <v>8601.5165309594486</v>
      </c>
      <c r="BH332" s="2">
        <f>求节点(节奏总纲!E$4:E$163,BA$4:BA$163,$AN332)</f>
        <v>26500.280931850146</v>
      </c>
      <c r="BI332" s="2">
        <f>求节点(节奏总纲!F$4:F$163,BB$4:BB$163,$AN332)</f>
        <v>82262.440933035992</v>
      </c>
      <c r="BJ332" s="2">
        <f>求节点(节奏总纲!G$4:G$163,BC$4:BC$163,$AN332)</f>
        <v>38998.089884752371</v>
      </c>
      <c r="BK332" s="2">
        <f>求节点(节奏总纲!H$4:H$163,BD$4:BD$163,$AN332)</f>
        <v>11602.615657412392</v>
      </c>
      <c r="BL332" s="2">
        <f>BG332*其他调用!H333*其他调用!$M333</f>
        <v>412550.66884234821</v>
      </c>
      <c r="BM332" s="2">
        <f>BH332*其他调用!I333*其他调用!$M333</f>
        <v>1253238.3996943298</v>
      </c>
      <c r="BN332" s="2">
        <f>BI332*其他调用!J333*其他调用!$M333</f>
        <v>317567.573384966</v>
      </c>
      <c r="BO332" s="2">
        <f>BJ332*其他调用!K333*其他调用!$M333</f>
        <v>26783.732140488399</v>
      </c>
      <c r="BP332" s="2">
        <f>BK332*其他调用!L333*其他调用!$M333</f>
        <v>2305.6717834409901</v>
      </c>
      <c r="BQ332" s="2">
        <f t="shared" si="24"/>
        <v>2012446.0458455735</v>
      </c>
      <c r="BR332" s="2">
        <f>[1]服务器生态!$R331</f>
        <v>1.6289841650165445E-2</v>
      </c>
      <c r="BS332" s="2" t="e">
        <f>SUMPRODUCT((BG$4:BG332)*($BR$4:$BR332)*(其他调用!#REF!))</f>
        <v>#REF!</v>
      </c>
      <c r="BT332" s="2" t="e">
        <f>SUMPRODUCT((BH$4:BH332)*($BR$4:$BR332)*(其他调用!#REF!))</f>
        <v>#REF!</v>
      </c>
      <c r="BU332" s="2" t="e">
        <f>SUMPRODUCT((BI$4:BI332)*($BR$4:$BR332)*(其他调用!#REF!))</f>
        <v>#REF!</v>
      </c>
      <c r="BV332" s="2" t="e">
        <f>SUMPRODUCT((BJ$4:BJ332)*($BR$4:$BR332)*(其他调用!#REF!))</f>
        <v>#REF!</v>
      </c>
      <c r="BW332" s="2" t="e">
        <f>SUMPRODUCT((BK$4:BK332)*($BR$4:$BR332)*(其他调用!#REF!))</f>
        <v>#REF!</v>
      </c>
      <c r="BX332" s="2" t="e">
        <f>SUMPRODUCT((BG$4:BG332)*($BR$4:$BR332))*'[1]功能-战损相关'!$D$2-BS332</f>
        <v>#REF!</v>
      </c>
      <c r="BY332" s="2" t="e">
        <f>SUMPRODUCT((BH$4:BH332)*($BR$4:$BR332))*'[1]功能-战损相关'!$D$2-BT332</f>
        <v>#REF!</v>
      </c>
      <c r="BZ332" s="2" t="e">
        <f>SUMPRODUCT((BI$4:BI332)*($BR$4:$BR332))*'[1]功能-战损相关'!$D$2-BU332</f>
        <v>#REF!</v>
      </c>
      <c r="CA332" s="2" t="e">
        <f>SUMPRODUCT((BJ$4:BJ332)*($BR$4:$BR332))*'[1]功能-战损相关'!$D$2-BV332</f>
        <v>#REF!</v>
      </c>
      <c r="CB332" s="2" t="e">
        <f>SUMPRODUCT((BK$4:BK332)*($BR$4:$BR332))*'[1]功能-战损相关'!$D$2-BW332</f>
        <v>#REF!</v>
      </c>
    </row>
    <row r="333" spans="40:80" x14ac:dyDescent="0.2">
      <c r="AN333" s="2">
        <v>330</v>
      </c>
      <c r="AO333" s="2">
        <f>求节点(节奏总纲!D$4:D$163,AH$4:AH$163,$AN333)*其他调用!H334*其他调用!$M334</f>
        <v>274668818.77215302</v>
      </c>
      <c r="AP333" s="2">
        <f>求节点(节奏总纲!E$4:E$163,AI$4:AI$163,$AN333)*其他调用!I334*其他调用!$M334</f>
        <v>315756650.99130583</v>
      </c>
      <c r="AQ333" s="2">
        <f>求节点(节奏总纲!F$4:F$163,AJ$4:AJ$163,$AN333)*其他调用!J334*其他调用!$M334</f>
        <v>31983803.519774735</v>
      </c>
      <c r="AR333" s="2">
        <f>求节点(节奏总纲!G$4:G$163,AK$4:AK$163,$AN333)*其他调用!K334*其他调用!$M334</f>
        <v>6818857.1902004071</v>
      </c>
      <c r="AS333" s="2">
        <f>求节点(节奏总纲!H$4:H$163,AL$4:AL$163,$AN333)*其他调用!L334*其他调用!$M334</f>
        <v>2290474.0983319329</v>
      </c>
      <c r="AT333" s="2">
        <f t="shared" si="23"/>
        <v>631518604.57176602</v>
      </c>
      <c r="BF333" s="2">
        <v>330</v>
      </c>
      <c r="BG333" s="2">
        <f>求节点(节奏总纲!D$4:D$163,AZ$4:AZ$163,$AN333)</f>
        <v>8605.0784281419565</v>
      </c>
      <c r="BH333" s="2">
        <f>求节点(节奏总纲!E$4:E$163,BA$4:BA$163,$AN333)</f>
        <v>26510.995979640291</v>
      </c>
      <c r="BI333" s="2">
        <f>求节点(节奏总纲!F$4:F$163,BB$4:BB$163,$AN333)</f>
        <v>82295.720041197812</v>
      </c>
      <c r="BJ333" s="2">
        <f>求节点(节奏总纲!G$4:G$163,BC$4:BC$163,$AN333)</f>
        <v>39006.373835999584</v>
      </c>
      <c r="BK333" s="2">
        <f>求节点(节奏总纲!H$4:H$163,BD$4:BD$163,$AN333)</f>
        <v>11606.22698028344</v>
      </c>
      <c r="BL333" s="2">
        <f>BG333*其他调用!H334*其他调用!$M334</f>
        <v>412721.50651494961</v>
      </c>
      <c r="BM333" s="2">
        <f>BH333*其他调用!I334*其他调用!$M334</f>
        <v>1253745.1305240788</v>
      </c>
      <c r="BN333" s="2">
        <f>BI333*其他调用!J334*其他调用!$M334</f>
        <v>317696.04472016462</v>
      </c>
      <c r="BO333" s="2">
        <f>BJ333*其他调用!K334*其他调用!$M334</f>
        <v>26789.421525069178</v>
      </c>
      <c r="BP333" s="2">
        <f>BK333*其他调用!L334*其他调用!$M334</f>
        <v>2306.3894255219247</v>
      </c>
      <c r="BQ333" s="2">
        <f t="shared" si="24"/>
        <v>2013258.4927097843</v>
      </c>
      <c r="BR333" s="2">
        <f>[1]服务器生态!$R332</f>
        <v>1.6289841650165445E-2</v>
      </c>
      <c r="BS333" s="2" t="e">
        <f>SUMPRODUCT((BG$4:BG333)*($BR$4:$BR333)*(其他调用!#REF!))</f>
        <v>#REF!</v>
      </c>
      <c r="BT333" s="2" t="e">
        <f>SUMPRODUCT((BH$4:BH333)*($BR$4:$BR333)*(其他调用!#REF!))</f>
        <v>#REF!</v>
      </c>
      <c r="BU333" s="2" t="e">
        <f>SUMPRODUCT((BI$4:BI333)*($BR$4:$BR333)*(其他调用!#REF!))</f>
        <v>#REF!</v>
      </c>
      <c r="BV333" s="2" t="e">
        <f>SUMPRODUCT((BJ$4:BJ333)*($BR$4:$BR333)*(其他调用!#REF!))</f>
        <v>#REF!</v>
      </c>
      <c r="BW333" s="2" t="e">
        <f>SUMPRODUCT((BK$4:BK333)*($BR$4:$BR333)*(其他调用!#REF!))</f>
        <v>#REF!</v>
      </c>
      <c r="BX333" s="2" t="e">
        <f>SUMPRODUCT((BG$4:BG333)*($BR$4:$BR333))*'[1]功能-战损相关'!$D$2-BS333</f>
        <v>#REF!</v>
      </c>
      <c r="BY333" s="2" t="e">
        <f>SUMPRODUCT((BH$4:BH333)*($BR$4:$BR333))*'[1]功能-战损相关'!$D$2-BT333</f>
        <v>#REF!</v>
      </c>
      <c r="BZ333" s="2" t="e">
        <f>SUMPRODUCT((BI$4:BI333)*($BR$4:$BR333))*'[1]功能-战损相关'!$D$2-BU333</f>
        <v>#REF!</v>
      </c>
      <c r="CA333" s="2" t="e">
        <f>SUMPRODUCT((BJ$4:BJ333)*($BR$4:$BR333))*'[1]功能-战损相关'!$D$2-BV333</f>
        <v>#REF!</v>
      </c>
      <c r="CB333" s="2" t="e">
        <f>SUMPRODUCT((BK$4:BK333)*($BR$4:$BR333))*'[1]功能-战损相关'!$D$2-BW333</f>
        <v>#REF!</v>
      </c>
    </row>
    <row r="334" spans="40:80" x14ac:dyDescent="0.2">
      <c r="AN334" s="2">
        <v>331</v>
      </c>
      <c r="AO334" s="2">
        <f>求节点(节奏总纲!D$4:D$163,AH$4:AH$163,$AN334)*其他调用!H335*其他调用!$M335</f>
        <v>275043720.30531067</v>
      </c>
      <c r="AP334" s="2">
        <f>求节点(节奏总纲!E$4:E$163,AI$4:AI$163,$AN334)*其他调用!I335*其他调用!$M335</f>
        <v>316155449.29450679</v>
      </c>
      <c r="AQ334" s="2">
        <f>求节点(节奏总纲!F$4:F$163,AJ$4:AJ$163,$AN334)*其他调用!J335*其他调用!$M335</f>
        <v>32029895.222991899</v>
      </c>
      <c r="AR334" s="2">
        <f>求节点(节奏总纲!G$4:G$163,AK$4:AK$163,$AN334)*其他调用!K335*其他调用!$M335</f>
        <v>6824500.7389633274</v>
      </c>
      <c r="AS334" s="2">
        <f>求节点(节奏总纲!H$4:H$163,AL$4:AL$163,$AN334)*其他调用!L335*其他调用!$M335</f>
        <v>2291733.8340781098</v>
      </c>
      <c r="AT334" s="2">
        <f t="shared" si="23"/>
        <v>632345299.3958509</v>
      </c>
      <c r="BF334" s="2">
        <v>331</v>
      </c>
      <c r="BG334" s="2">
        <f>求节点(节奏总纲!D$4:D$163,AZ$4:AZ$163,$AN334)</f>
        <v>8608.6403253244644</v>
      </c>
      <c r="BH334" s="2">
        <f>求节点(节奏总纲!E$4:E$163,BA$4:BA$163,$AN334)</f>
        <v>26521.71102743044</v>
      </c>
      <c r="BI334" s="2">
        <f>求节点(节奏总纲!F$4:F$163,BB$4:BB$163,$AN334)</f>
        <v>82328.999149359617</v>
      </c>
      <c r="BJ334" s="2">
        <f>求节点(节奏总纲!G$4:G$163,BC$4:BC$163,$AN334)</f>
        <v>39014.657787246797</v>
      </c>
      <c r="BK334" s="2">
        <f>求节点(节奏总纲!H$4:H$163,BD$4:BD$163,$AN334)</f>
        <v>11609.838303154487</v>
      </c>
      <c r="BL334" s="2">
        <f>BG334*其他调用!H335*其他调用!$M335</f>
        <v>412892.34418755095</v>
      </c>
      <c r="BM334" s="2">
        <f>BH334*其他调用!I335*其他调用!$M335</f>
        <v>1254251.8613538276</v>
      </c>
      <c r="BN334" s="2">
        <f>BI334*其他调用!J335*其他调用!$M335</f>
        <v>317824.51605536317</v>
      </c>
      <c r="BO334" s="2">
        <f>BJ334*其他调用!K335*其他调用!$M335</f>
        <v>26795.110909649957</v>
      </c>
      <c r="BP334" s="2">
        <f>BK334*其他调用!L335*其他调用!$M335</f>
        <v>2307.1070676028594</v>
      </c>
      <c r="BQ334" s="2">
        <f t="shared" si="24"/>
        <v>2014070.9395739946</v>
      </c>
      <c r="BR334" s="2">
        <f>[1]服务器生态!$R333</f>
        <v>1.6289841650165445E-2</v>
      </c>
      <c r="BS334" s="2" t="e">
        <f>SUMPRODUCT((BG$4:BG334)*($BR$4:$BR334)*(其他调用!#REF!))</f>
        <v>#REF!</v>
      </c>
      <c r="BT334" s="2" t="e">
        <f>SUMPRODUCT((BH$4:BH334)*($BR$4:$BR334)*(其他调用!#REF!))</f>
        <v>#REF!</v>
      </c>
      <c r="BU334" s="2" t="e">
        <f>SUMPRODUCT((BI$4:BI334)*($BR$4:$BR334)*(其他调用!#REF!))</f>
        <v>#REF!</v>
      </c>
      <c r="BV334" s="2" t="e">
        <f>SUMPRODUCT((BJ$4:BJ334)*($BR$4:$BR334)*(其他调用!#REF!))</f>
        <v>#REF!</v>
      </c>
      <c r="BW334" s="2" t="e">
        <f>SUMPRODUCT((BK$4:BK334)*($BR$4:$BR334)*(其他调用!#REF!))</f>
        <v>#REF!</v>
      </c>
      <c r="BX334" s="2" t="e">
        <f>SUMPRODUCT((BG$4:BG334)*($BR$4:$BR334))*'[1]功能-战损相关'!$D$2-BS334</f>
        <v>#REF!</v>
      </c>
      <c r="BY334" s="2" t="e">
        <f>SUMPRODUCT((BH$4:BH334)*($BR$4:$BR334))*'[1]功能-战损相关'!$D$2-BT334</f>
        <v>#REF!</v>
      </c>
      <c r="BZ334" s="2" t="e">
        <f>SUMPRODUCT((BI$4:BI334)*($BR$4:$BR334))*'[1]功能-战损相关'!$D$2-BU334</f>
        <v>#REF!</v>
      </c>
      <c r="CA334" s="2" t="e">
        <f>SUMPRODUCT((BJ$4:BJ334)*($BR$4:$BR334))*'[1]功能-战损相关'!$D$2-BV334</f>
        <v>#REF!</v>
      </c>
      <c r="CB334" s="2" t="e">
        <f>SUMPRODUCT((BK$4:BK334)*($BR$4:$BR334))*'[1]功能-战损相关'!$D$2-BW334</f>
        <v>#REF!</v>
      </c>
    </row>
    <row r="335" spans="40:80" x14ac:dyDescent="0.2">
      <c r="AN335" s="2">
        <v>332</v>
      </c>
      <c r="AO335" s="2">
        <f>求节点(节奏总纲!D$4:D$163,AH$4:AH$163,$AN335)*其他调用!H336*其他调用!$M336</f>
        <v>275418621.83846831</v>
      </c>
      <c r="AP335" s="2">
        <f>求节点(节奏总纲!E$4:E$163,AI$4:AI$163,$AN335)*其他调用!I336*其他调用!$M336</f>
        <v>316554247.59770769</v>
      </c>
      <c r="AQ335" s="2">
        <f>求节点(节奏总纲!F$4:F$163,AJ$4:AJ$163,$AN335)*其他调用!J336*其他调用!$M336</f>
        <v>32075986.926209047</v>
      </c>
      <c r="AR335" s="2">
        <f>求节点(节奏总纲!G$4:G$163,AK$4:AK$163,$AN335)*其他调用!K336*其他调用!$M336</f>
        <v>6830144.2877262495</v>
      </c>
      <c r="AS335" s="2">
        <f>求节点(节奏总纲!H$4:H$163,AL$4:AL$163,$AN335)*其他调用!L336*其他调用!$M336</f>
        <v>2292993.5698242863</v>
      </c>
      <c r="AT335" s="2">
        <f t="shared" si="23"/>
        <v>633171994.21993577</v>
      </c>
      <c r="BF335" s="2">
        <v>332</v>
      </c>
      <c r="BG335" s="2">
        <f>求节点(节奏总纲!D$4:D$163,AZ$4:AZ$163,$AN335)</f>
        <v>8612.2022225069741</v>
      </c>
      <c r="BH335" s="2">
        <f>求节点(节奏总纲!E$4:E$163,BA$4:BA$163,$AN335)</f>
        <v>26532.426075220585</v>
      </c>
      <c r="BI335" s="2">
        <f>求节点(节奏总纲!F$4:F$163,BB$4:BB$163,$AN335)</f>
        <v>82362.278257521437</v>
      </c>
      <c r="BJ335" s="2">
        <f>求节点(节奏总纲!G$4:G$163,BC$4:BC$163,$AN335)</f>
        <v>39022.941738494002</v>
      </c>
      <c r="BK335" s="2">
        <f>求节点(节奏总纲!H$4:H$163,BD$4:BD$163,$AN335)</f>
        <v>11613.449626025535</v>
      </c>
      <c r="BL335" s="2">
        <f>BG335*其他调用!H336*其他调用!$M336</f>
        <v>413063.1818601524</v>
      </c>
      <c r="BM335" s="2">
        <f>BH335*其他调用!I336*其他调用!$M336</f>
        <v>1254758.5921835762</v>
      </c>
      <c r="BN335" s="2">
        <f>BI335*其他调用!J336*其他调用!$M336</f>
        <v>317952.98739056179</v>
      </c>
      <c r="BO335" s="2">
        <f>BJ335*其他调用!K336*其他调用!$M336</f>
        <v>26800.800294230736</v>
      </c>
      <c r="BP335" s="2">
        <f>BK335*其他调用!L336*其他调用!$M336</f>
        <v>2307.8247096837936</v>
      </c>
      <c r="BQ335" s="2">
        <f t="shared" si="24"/>
        <v>2014883.3864382049</v>
      </c>
      <c r="BR335" s="2">
        <f>[1]服务器生态!$R334</f>
        <v>1.6289841650165445E-2</v>
      </c>
      <c r="BS335" s="2" t="e">
        <f>SUMPRODUCT((BG$4:BG335)*($BR$4:$BR335)*(其他调用!#REF!))</f>
        <v>#REF!</v>
      </c>
      <c r="BT335" s="2" t="e">
        <f>SUMPRODUCT((BH$4:BH335)*($BR$4:$BR335)*(其他调用!#REF!))</f>
        <v>#REF!</v>
      </c>
      <c r="BU335" s="2" t="e">
        <f>SUMPRODUCT((BI$4:BI335)*($BR$4:$BR335)*(其他调用!#REF!))</f>
        <v>#REF!</v>
      </c>
      <c r="BV335" s="2" t="e">
        <f>SUMPRODUCT((BJ$4:BJ335)*($BR$4:$BR335)*(其他调用!#REF!))</f>
        <v>#REF!</v>
      </c>
      <c r="BW335" s="2" t="e">
        <f>SUMPRODUCT((BK$4:BK335)*($BR$4:$BR335)*(其他调用!#REF!))</f>
        <v>#REF!</v>
      </c>
      <c r="BX335" s="2" t="e">
        <f>SUMPRODUCT((BG$4:BG335)*($BR$4:$BR335))*'[1]功能-战损相关'!$D$2-BS335</f>
        <v>#REF!</v>
      </c>
      <c r="BY335" s="2" t="e">
        <f>SUMPRODUCT((BH$4:BH335)*($BR$4:$BR335))*'[1]功能-战损相关'!$D$2-BT335</f>
        <v>#REF!</v>
      </c>
      <c r="BZ335" s="2" t="e">
        <f>SUMPRODUCT((BI$4:BI335)*($BR$4:$BR335))*'[1]功能-战损相关'!$D$2-BU335</f>
        <v>#REF!</v>
      </c>
      <c r="CA335" s="2" t="e">
        <f>SUMPRODUCT((BJ$4:BJ335)*($BR$4:$BR335))*'[1]功能-战损相关'!$D$2-BV335</f>
        <v>#REF!</v>
      </c>
      <c r="CB335" s="2" t="e">
        <f>SUMPRODUCT((BK$4:BK335)*($BR$4:$BR335))*'[1]功能-战损相关'!$D$2-BW335</f>
        <v>#REF!</v>
      </c>
    </row>
    <row r="336" spans="40:80" x14ac:dyDescent="0.2">
      <c r="AN336" s="2">
        <v>333</v>
      </c>
      <c r="AO336" s="2">
        <f>求节点(节奏总纲!D$4:D$163,AH$4:AH$163,$AN336)*其他调用!H337*其他调用!$M337</f>
        <v>275793523.37162602</v>
      </c>
      <c r="AP336" s="2">
        <f>求节点(节奏总纲!E$4:E$163,AI$4:AI$163,$AN336)*其他调用!I337*其他调用!$M337</f>
        <v>316953045.90090859</v>
      </c>
      <c r="AQ336" s="2">
        <f>求节点(节奏总纲!F$4:F$163,AJ$4:AJ$163,$AN336)*其他调用!J337*其他调用!$M337</f>
        <v>32120834.476787057</v>
      </c>
      <c r="AR336" s="2">
        <f>求节点(节奏总纲!G$4:G$163,AK$4:AK$163,$AN336)*其他调用!K337*其他调用!$M337</f>
        <v>6835699.7520869393</v>
      </c>
      <c r="AS336" s="2">
        <f>求节点(节奏总纲!H$4:H$163,AL$4:AL$163,$AN336)*其他调用!L337*其他调用!$M337</f>
        <v>2294253.3055704632</v>
      </c>
      <c r="AT336" s="2">
        <f t="shared" si="23"/>
        <v>633997356.80697918</v>
      </c>
      <c r="BF336" s="2">
        <v>333</v>
      </c>
      <c r="BG336" s="2">
        <f>求节点(节奏总纲!D$4:D$163,AZ$4:AZ$163,$AN336)</f>
        <v>8615.764119689482</v>
      </c>
      <c r="BH336" s="2">
        <f>求节点(节奏总纲!E$4:E$163,BA$4:BA$163,$AN336)</f>
        <v>26543.14112301073</v>
      </c>
      <c r="BI336" s="2">
        <f>求节点(节奏总纲!F$4:F$163,BB$4:BB$163,$AN336)</f>
        <v>82395.121099327385</v>
      </c>
      <c r="BJ336" s="2">
        <f>求节点(节奏总纲!G$4:G$163,BC$4:BC$163,$AN336)</f>
        <v>39031.099201152618</v>
      </c>
      <c r="BK336" s="2">
        <f>求节点(节奏总纲!H$4:H$163,BD$4:BD$163,$AN336)</f>
        <v>11617.060948896582</v>
      </c>
      <c r="BL336" s="2">
        <f>BG336*其他调用!H337*其他调用!$M337</f>
        <v>413234.01953275379</v>
      </c>
      <c r="BM336" s="2">
        <f>BH336*其他调用!I337*其他调用!$M337</f>
        <v>1255265.3230133248</v>
      </c>
      <c r="BN336" s="2">
        <f>BI336*其他调用!J337*其他调用!$M337</f>
        <v>318079.77455438871</v>
      </c>
      <c r="BO336" s="2">
        <f>BJ336*其他调用!K337*其他调用!$M337</f>
        <v>26806.402806954822</v>
      </c>
      <c r="BP336" s="2">
        <f>BK336*其他调用!L337*其他调用!$M337</f>
        <v>2308.5423517647287</v>
      </c>
      <c r="BQ336" s="2">
        <f t="shared" si="24"/>
        <v>2015694.062259187</v>
      </c>
      <c r="BR336" s="2">
        <f>[1]服务器生态!$R335</f>
        <v>1.6289841650165445E-2</v>
      </c>
      <c r="BS336" s="2" t="e">
        <f>SUMPRODUCT((BG$4:BG336)*($BR$4:$BR336)*(其他调用!#REF!))</f>
        <v>#REF!</v>
      </c>
      <c r="BT336" s="2" t="e">
        <f>SUMPRODUCT((BH$4:BH336)*($BR$4:$BR336)*(其他调用!#REF!))</f>
        <v>#REF!</v>
      </c>
      <c r="BU336" s="2" t="e">
        <f>SUMPRODUCT((BI$4:BI336)*($BR$4:$BR336)*(其他调用!#REF!))</f>
        <v>#REF!</v>
      </c>
      <c r="BV336" s="2" t="e">
        <f>SUMPRODUCT((BJ$4:BJ336)*($BR$4:$BR336)*(其他调用!#REF!))</f>
        <v>#REF!</v>
      </c>
      <c r="BW336" s="2" t="e">
        <f>SUMPRODUCT((BK$4:BK336)*($BR$4:$BR336)*(其他调用!#REF!))</f>
        <v>#REF!</v>
      </c>
      <c r="BX336" s="2" t="e">
        <f>SUMPRODUCT((BG$4:BG336)*($BR$4:$BR336))*'[1]功能-战损相关'!$D$2-BS336</f>
        <v>#REF!</v>
      </c>
      <c r="BY336" s="2" t="e">
        <f>SUMPRODUCT((BH$4:BH336)*($BR$4:$BR336))*'[1]功能-战损相关'!$D$2-BT336</f>
        <v>#REF!</v>
      </c>
      <c r="BZ336" s="2" t="e">
        <f>SUMPRODUCT((BI$4:BI336)*($BR$4:$BR336))*'[1]功能-战损相关'!$D$2-BU336</f>
        <v>#REF!</v>
      </c>
      <c r="CA336" s="2" t="e">
        <f>SUMPRODUCT((BJ$4:BJ336)*($BR$4:$BR336))*'[1]功能-战损相关'!$D$2-BV336</f>
        <v>#REF!</v>
      </c>
      <c r="CB336" s="2" t="e">
        <f>SUMPRODUCT((BK$4:BK336)*($BR$4:$BR336))*'[1]功能-战损相关'!$D$2-BW336</f>
        <v>#REF!</v>
      </c>
    </row>
    <row r="337" spans="40:80" x14ac:dyDescent="0.2">
      <c r="AN337" s="2">
        <v>334</v>
      </c>
      <c r="AO337" s="2">
        <f>求节点(节奏总纲!D$4:D$163,AH$4:AH$163,$AN337)*其他调用!H338*其他调用!$M338</f>
        <v>276168424.90478367</v>
      </c>
      <c r="AP337" s="2">
        <f>求节点(节奏总纲!E$4:E$163,AI$4:AI$163,$AN337)*其他调用!I338*其他调用!$M338</f>
        <v>317351844.20410949</v>
      </c>
      <c r="AQ337" s="2">
        <f>求节点(节奏总纲!F$4:F$163,AJ$4:AJ$163,$AN337)*其他调用!J338*其他调用!$M338</f>
        <v>32163795.570631646</v>
      </c>
      <c r="AR337" s="2">
        <f>求节点(节奏总纲!G$4:G$163,AK$4:AK$163,$AN337)*其他调用!K338*其他调用!$M338</f>
        <v>6841042.8494894663</v>
      </c>
      <c r="AS337" s="2">
        <f>求节点(节奏总纲!H$4:H$163,AL$4:AL$163,$AN337)*其他调用!L338*其他调用!$M338</f>
        <v>2295513.0413166396</v>
      </c>
      <c r="AT337" s="2">
        <f t="shared" si="23"/>
        <v>634820620.57033086</v>
      </c>
      <c r="BF337" s="2">
        <v>334</v>
      </c>
      <c r="BG337" s="2">
        <f>求节点(节奏总纲!D$4:D$163,AZ$4:AZ$163,$AN337)</f>
        <v>8619.3260168719899</v>
      </c>
      <c r="BH337" s="2">
        <f>求节点(节奏总纲!E$4:E$163,BA$4:BA$163,$AN337)</f>
        <v>26553.856170800875</v>
      </c>
      <c r="BI337" s="2">
        <f>求节点(节奏总纲!F$4:F$163,BB$4:BB$163,$AN337)</f>
        <v>82427.302448661518</v>
      </c>
      <c r="BJ337" s="2">
        <f>求节点(节奏总纲!G$4:G$163,BC$4:BC$163,$AN337)</f>
        <v>39038.95170633724</v>
      </c>
      <c r="BK337" s="2">
        <f>求节点(节奏总纲!H$4:H$163,BD$4:BD$163,$AN337)</f>
        <v>11620.672271767628</v>
      </c>
      <c r="BL337" s="2">
        <f>BG337*其他调用!H338*其他调用!$M338</f>
        <v>413404.85720535519</v>
      </c>
      <c r="BM337" s="2">
        <f>BH337*其他调用!I338*其他调用!$M338</f>
        <v>1255772.0538430735</v>
      </c>
      <c r="BN337" s="2">
        <f>BI337*其他调用!J338*其他调用!$M338</f>
        <v>318204.00807943835</v>
      </c>
      <c r="BO337" s="2">
        <f>BJ337*其他调用!K338*其他调用!$M338</f>
        <v>26811.7958761056</v>
      </c>
      <c r="BP337" s="2">
        <f>BK337*其他调用!L338*其他调用!$M338</f>
        <v>2309.2599938456624</v>
      </c>
      <c r="BQ337" s="2">
        <f t="shared" si="24"/>
        <v>2016501.9749978182</v>
      </c>
      <c r="BR337" s="2">
        <f>[1]服务器生态!$R336</f>
        <v>1.6289841650165445E-2</v>
      </c>
      <c r="BS337" s="2" t="e">
        <f>SUMPRODUCT((BG$4:BG337)*($BR$4:$BR337)*(其他调用!#REF!))</f>
        <v>#REF!</v>
      </c>
      <c r="BT337" s="2" t="e">
        <f>SUMPRODUCT((BH$4:BH337)*($BR$4:$BR337)*(其他调用!#REF!))</f>
        <v>#REF!</v>
      </c>
      <c r="BU337" s="2" t="e">
        <f>SUMPRODUCT((BI$4:BI337)*($BR$4:$BR337)*(其他调用!#REF!))</f>
        <v>#REF!</v>
      </c>
      <c r="BV337" s="2" t="e">
        <f>SUMPRODUCT((BJ$4:BJ337)*($BR$4:$BR337)*(其他调用!#REF!))</f>
        <v>#REF!</v>
      </c>
      <c r="BW337" s="2" t="e">
        <f>SUMPRODUCT((BK$4:BK337)*($BR$4:$BR337)*(其他调用!#REF!))</f>
        <v>#REF!</v>
      </c>
      <c r="BX337" s="2" t="e">
        <f>SUMPRODUCT((BG$4:BG337)*($BR$4:$BR337))*'[1]功能-战损相关'!$D$2-BS337</f>
        <v>#REF!</v>
      </c>
      <c r="BY337" s="2" t="e">
        <f>SUMPRODUCT((BH$4:BH337)*($BR$4:$BR337))*'[1]功能-战损相关'!$D$2-BT337</f>
        <v>#REF!</v>
      </c>
      <c r="BZ337" s="2" t="e">
        <f>SUMPRODUCT((BI$4:BI337)*($BR$4:$BR337))*'[1]功能-战损相关'!$D$2-BU337</f>
        <v>#REF!</v>
      </c>
      <c r="CA337" s="2" t="e">
        <f>SUMPRODUCT((BJ$4:BJ337)*($BR$4:$BR337))*'[1]功能-战损相关'!$D$2-BV337</f>
        <v>#REF!</v>
      </c>
      <c r="CB337" s="2" t="e">
        <f>SUMPRODUCT((BK$4:BK337)*($BR$4:$BR337))*'[1]功能-战损相关'!$D$2-BW337</f>
        <v>#REF!</v>
      </c>
    </row>
    <row r="338" spans="40:80" x14ac:dyDescent="0.2">
      <c r="AN338" s="2">
        <v>335</v>
      </c>
      <c r="AO338" s="2">
        <f>求节点(节奏总纲!D$4:D$163,AH$4:AH$163,$AN338)*其他调用!H339*其他调用!$M339</f>
        <v>276543326.43794131</v>
      </c>
      <c r="AP338" s="2">
        <f>求节点(节奏总纲!E$4:E$163,AI$4:AI$163,$AN338)*其他调用!I339*其他调用!$M339</f>
        <v>317737755.66882181</v>
      </c>
      <c r="AQ338" s="2">
        <f>求节点(节奏总纲!F$4:F$163,AJ$4:AJ$163,$AN338)*其他调用!J339*其他调用!$M339</f>
        <v>32206756.664476223</v>
      </c>
      <c r="AR338" s="2">
        <f>求节点(节奏总纲!G$4:G$163,AK$4:AK$163,$AN338)*其他调用!K339*其他调用!$M339</f>
        <v>6846385.9468919905</v>
      </c>
      <c r="AS338" s="2">
        <f>求节点(节奏总纲!H$4:H$163,AL$4:AL$163,$AN338)*其他调用!L339*其他调用!$M339</f>
        <v>2296772.7770628165</v>
      </c>
      <c r="AT338" s="2">
        <f t="shared" si="23"/>
        <v>635630997.4951942</v>
      </c>
      <c r="BF338" s="2">
        <v>335</v>
      </c>
      <c r="BG338" s="2">
        <f>求节点(节奏总纲!D$4:D$163,AZ$4:AZ$163,$AN338)</f>
        <v>8622.8879140544996</v>
      </c>
      <c r="BH338" s="2">
        <f>求节点(节奏总纲!E$4:E$163,BA$4:BA$163,$AN338)</f>
        <v>26563.970023884245</v>
      </c>
      <c r="BI338" s="2">
        <f>求节点(节奏总纲!F$4:F$163,BB$4:BB$163,$AN338)</f>
        <v>82459.483797995665</v>
      </c>
      <c r="BJ338" s="2">
        <f>求节点(节奏总纲!G$4:G$163,BC$4:BC$163,$AN338)</f>
        <v>39046.804211521856</v>
      </c>
      <c r="BK338" s="2">
        <f>求节点(节奏总纲!H$4:H$163,BD$4:BD$163,$AN338)</f>
        <v>11624.283594638675</v>
      </c>
      <c r="BL338" s="2">
        <f>BG338*其他调用!H339*其他调用!$M339</f>
        <v>413575.69487795664</v>
      </c>
      <c r="BM338" s="2">
        <f>BH338*其他调用!I339*其他调用!$M339</f>
        <v>1256250.353265089</v>
      </c>
      <c r="BN338" s="2">
        <f>BI338*其他调用!J339*其他调用!$M339</f>
        <v>318328.24160448794</v>
      </c>
      <c r="BO338" s="2">
        <f>BJ338*其他调用!K339*其他调用!$M339</f>
        <v>26817.188945256374</v>
      </c>
      <c r="BP338" s="2">
        <f>BK338*其他调用!L339*其他调用!$M339</f>
        <v>2309.977635926597</v>
      </c>
      <c r="BQ338" s="2">
        <f t="shared" si="24"/>
        <v>2017281.4563287164</v>
      </c>
      <c r="BR338" s="2">
        <f>[1]服务器生态!$R337</f>
        <v>1.6289841650165445E-2</v>
      </c>
      <c r="BS338" s="2" t="e">
        <f>SUMPRODUCT((BG$4:BG338)*($BR$4:$BR338)*(其他调用!#REF!))</f>
        <v>#REF!</v>
      </c>
      <c r="BT338" s="2" t="e">
        <f>SUMPRODUCT((BH$4:BH338)*($BR$4:$BR338)*(其他调用!#REF!))</f>
        <v>#REF!</v>
      </c>
      <c r="BU338" s="2" t="e">
        <f>SUMPRODUCT((BI$4:BI338)*($BR$4:$BR338)*(其他调用!#REF!))</f>
        <v>#REF!</v>
      </c>
      <c r="BV338" s="2" t="e">
        <f>SUMPRODUCT((BJ$4:BJ338)*($BR$4:$BR338)*(其他调用!#REF!))</f>
        <v>#REF!</v>
      </c>
      <c r="BW338" s="2" t="e">
        <f>SUMPRODUCT((BK$4:BK338)*($BR$4:$BR338)*(其他调用!#REF!))</f>
        <v>#REF!</v>
      </c>
      <c r="BX338" s="2" t="e">
        <f>SUMPRODUCT((BG$4:BG338)*($BR$4:$BR338))*'[1]功能-战损相关'!$D$2-BS338</f>
        <v>#REF!</v>
      </c>
      <c r="BY338" s="2" t="e">
        <f>SUMPRODUCT((BH$4:BH338)*($BR$4:$BR338))*'[1]功能-战损相关'!$D$2-BT338</f>
        <v>#REF!</v>
      </c>
      <c r="BZ338" s="2" t="e">
        <f>SUMPRODUCT((BI$4:BI338)*($BR$4:$BR338))*'[1]功能-战损相关'!$D$2-BU338</f>
        <v>#REF!</v>
      </c>
      <c r="CA338" s="2" t="e">
        <f>SUMPRODUCT((BJ$4:BJ338)*($BR$4:$BR338))*'[1]功能-战损相关'!$D$2-BV338</f>
        <v>#REF!</v>
      </c>
      <c r="CB338" s="2" t="e">
        <f>SUMPRODUCT((BK$4:BK338)*($BR$4:$BR338))*'[1]功能-战损相关'!$D$2-BW338</f>
        <v>#REF!</v>
      </c>
    </row>
    <row r="339" spans="40:80" x14ac:dyDescent="0.2">
      <c r="AN339" s="2">
        <v>336</v>
      </c>
      <c r="AO339" s="2">
        <f>求节点(节奏总纲!D$4:D$163,AH$4:AH$163,$AN339)*其他调用!H340*其他调用!$M340</f>
        <v>276918227.97109902</v>
      </c>
      <c r="AP339" s="2">
        <f>求节点(节奏总纲!E$4:E$163,AI$4:AI$163,$AN339)*其他调用!I340*其他调用!$M340</f>
        <v>318123651.26829213</v>
      </c>
      <c r="AQ339" s="2">
        <f>求节点(节奏总纲!F$4:F$163,AJ$4:AJ$163,$AN339)*其他调用!J340*其他调用!$M340</f>
        <v>32249717.758320808</v>
      </c>
      <c r="AR339" s="2">
        <f>求节点(节奏总纲!G$4:G$163,AK$4:AK$163,$AN339)*其他调用!K340*其他调用!$M340</f>
        <v>6851729.0442945156</v>
      </c>
      <c r="AS339" s="2">
        <f>求节点(节奏总纲!H$4:H$163,AL$4:AL$163,$AN339)*其他调用!L340*其他调用!$M340</f>
        <v>2298012.2256921427</v>
      </c>
      <c r="AT339" s="2">
        <f t="shared" si="23"/>
        <v>636441338.26769853</v>
      </c>
      <c r="BF339" s="2">
        <v>336</v>
      </c>
      <c r="BG339" s="2">
        <f>求节点(节奏总纲!D$4:D$163,AZ$4:AZ$163,$AN339)</f>
        <v>8626.4498112370075</v>
      </c>
      <c r="BH339" s="2">
        <f>求节点(节奏总纲!E$4:E$163,BA$4:BA$163,$AN339)</f>
        <v>26574.083136824909</v>
      </c>
      <c r="BI339" s="2">
        <f>求节点(节奏总纲!F$4:F$163,BB$4:BB$163,$AN339)</f>
        <v>82491.665147329797</v>
      </c>
      <c r="BJ339" s="2">
        <f>求节点(节奏总纲!G$4:G$163,BC$4:BC$163,$AN339)</f>
        <v>39054.656716706471</v>
      </c>
      <c r="BK339" s="2">
        <f>求节点(节奏总纲!H$4:H$163,BD$4:BD$163,$AN339)</f>
        <v>11627.869674843307</v>
      </c>
      <c r="BL339" s="2">
        <f>BG339*其他调用!H340*其他调用!$M340</f>
        <v>413746.53255055792</v>
      </c>
      <c r="BM339" s="2">
        <f>BH339*其他调用!I340*其他调用!$M340</f>
        <v>1256728.6176846351</v>
      </c>
      <c r="BN339" s="2">
        <f>BI339*其他调用!J340*其他调用!$M340</f>
        <v>318452.47512953758</v>
      </c>
      <c r="BO339" s="2">
        <f>BJ339*其他调用!K340*其他调用!$M340</f>
        <v>26822.582014407148</v>
      </c>
      <c r="BP339" s="2">
        <f>BK339*其他调用!L340*其他调用!$M340</f>
        <v>2310.6902617848614</v>
      </c>
      <c r="BQ339" s="2">
        <f t="shared" si="24"/>
        <v>2018060.8976409226</v>
      </c>
      <c r="BR339" s="2">
        <f>[1]服务器生态!$R338</f>
        <v>1.6289841650165445E-2</v>
      </c>
      <c r="BS339" s="2" t="e">
        <f>SUMPRODUCT((BG$4:BG339)*($BR$4:$BR339)*(其他调用!#REF!))</f>
        <v>#REF!</v>
      </c>
      <c r="BT339" s="2" t="e">
        <f>SUMPRODUCT((BH$4:BH339)*($BR$4:$BR339)*(其他调用!#REF!))</f>
        <v>#REF!</v>
      </c>
      <c r="BU339" s="2" t="e">
        <f>SUMPRODUCT((BI$4:BI339)*($BR$4:$BR339)*(其他调用!#REF!))</f>
        <v>#REF!</v>
      </c>
      <c r="BV339" s="2" t="e">
        <f>SUMPRODUCT((BJ$4:BJ339)*($BR$4:$BR339)*(其他调用!#REF!))</f>
        <v>#REF!</v>
      </c>
      <c r="BW339" s="2" t="e">
        <f>SUMPRODUCT((BK$4:BK339)*($BR$4:$BR339)*(其他调用!#REF!))</f>
        <v>#REF!</v>
      </c>
      <c r="BX339" s="2" t="e">
        <f>SUMPRODUCT((BG$4:BG339)*($BR$4:$BR339))*'[1]功能-战损相关'!$D$2-BS339</f>
        <v>#REF!</v>
      </c>
      <c r="BY339" s="2" t="e">
        <f>SUMPRODUCT((BH$4:BH339)*($BR$4:$BR339))*'[1]功能-战损相关'!$D$2-BT339</f>
        <v>#REF!</v>
      </c>
      <c r="BZ339" s="2" t="e">
        <f>SUMPRODUCT((BI$4:BI339)*($BR$4:$BR339))*'[1]功能-战损相关'!$D$2-BU339</f>
        <v>#REF!</v>
      </c>
      <c r="CA339" s="2" t="e">
        <f>SUMPRODUCT((BJ$4:BJ339)*($BR$4:$BR339))*'[1]功能-战损相关'!$D$2-BV339</f>
        <v>#REF!</v>
      </c>
      <c r="CB339" s="2" t="e">
        <f>SUMPRODUCT((BK$4:BK339)*($BR$4:$BR339))*'[1]功能-战损相关'!$D$2-BW339</f>
        <v>#REF!</v>
      </c>
    </row>
    <row r="340" spans="40:80" x14ac:dyDescent="0.2">
      <c r="AN340" s="2">
        <v>337</v>
      </c>
      <c r="AO340" s="2">
        <f>求节点(节奏总纲!D$4:D$163,AH$4:AH$163,$AN340)*其他调用!H341*其他调用!$M341</f>
        <v>277291619.44101161</v>
      </c>
      <c r="AP340" s="2">
        <f>求节点(节奏总纲!E$4:E$163,AI$4:AI$163,$AN340)*其他调用!I341*其他调用!$M341</f>
        <v>318509546.86776239</v>
      </c>
      <c r="AQ340" s="2">
        <f>求节点(节奏总纲!F$4:F$163,AJ$4:AJ$163,$AN340)*其他调用!J341*其他调用!$M341</f>
        <v>32292678.85216539</v>
      </c>
      <c r="AR340" s="2">
        <f>求节点(节奏总纲!G$4:G$163,AK$4:AK$163,$AN340)*其他调用!K341*其他调用!$M341</f>
        <v>6857072.1416970408</v>
      </c>
      <c r="AS340" s="2">
        <f>求节点(节奏总纲!H$4:H$163,AL$4:AL$163,$AN340)*其他调用!L341*其他调用!$M341</f>
        <v>2299149.856540022</v>
      </c>
      <c r="AT340" s="2">
        <f t="shared" si="23"/>
        <v>637250067.15917635</v>
      </c>
      <c r="BF340" s="2">
        <v>337</v>
      </c>
      <c r="BG340" s="2">
        <f>求节点(节奏总纲!D$4:D$163,AZ$4:AZ$163,$AN340)</f>
        <v>8629.9580925913706</v>
      </c>
      <c r="BH340" s="2">
        <f>求节点(节奏总纲!E$4:E$163,BA$4:BA$163,$AN340)</f>
        <v>26584.196249765573</v>
      </c>
      <c r="BI340" s="2">
        <f>求节点(节奏总纲!F$4:F$163,BB$4:BB$163,$AN340)</f>
        <v>82523.846496663929</v>
      </c>
      <c r="BJ340" s="2">
        <f>求节点(节奏总纲!G$4:G$163,BC$4:BC$163,$AN340)</f>
        <v>39062.509221891087</v>
      </c>
      <c r="BK340" s="2">
        <f>求节点(节奏总纲!H$4:H$163,BD$4:BD$163,$AN340)</f>
        <v>11631.329066159054</v>
      </c>
      <c r="BL340" s="2">
        <f>BG340*其他调用!H341*其他调用!$M341</f>
        <v>413914.79867130774</v>
      </c>
      <c r="BM340" s="2">
        <f>BH340*其他调用!I341*其他调用!$M341</f>
        <v>1257206.8821041817</v>
      </c>
      <c r="BN340" s="2">
        <f>BI340*其他调用!J341*其他调用!$M341</f>
        <v>318576.70865458716</v>
      </c>
      <c r="BO340" s="2">
        <f>BJ340*其他调用!K341*其他调用!$M341</f>
        <v>26827.975083557918</v>
      </c>
      <c r="BP340" s="2">
        <f>BK340*其他调用!L341*其他调用!$M341</f>
        <v>2311.377712027127</v>
      </c>
      <c r="BQ340" s="2">
        <f t="shared" si="24"/>
        <v>2018837.7422256616</v>
      </c>
      <c r="BR340" s="2">
        <f>[1]服务器生态!$R339</f>
        <v>1.6289841650165445E-2</v>
      </c>
      <c r="BS340" s="2" t="e">
        <f>SUMPRODUCT((BG$4:BG340)*($BR$4:$BR340)*(其他调用!#REF!))</f>
        <v>#REF!</v>
      </c>
      <c r="BT340" s="2" t="e">
        <f>SUMPRODUCT((BH$4:BH340)*($BR$4:$BR340)*(其他调用!#REF!))</f>
        <v>#REF!</v>
      </c>
      <c r="BU340" s="2" t="e">
        <f>SUMPRODUCT((BI$4:BI340)*($BR$4:$BR340)*(其他调用!#REF!))</f>
        <v>#REF!</v>
      </c>
      <c r="BV340" s="2" t="e">
        <f>SUMPRODUCT((BJ$4:BJ340)*($BR$4:$BR340)*(其他调用!#REF!))</f>
        <v>#REF!</v>
      </c>
      <c r="BW340" s="2" t="e">
        <f>SUMPRODUCT((BK$4:BK340)*($BR$4:$BR340)*(其他调用!#REF!))</f>
        <v>#REF!</v>
      </c>
      <c r="BX340" s="2" t="e">
        <f>SUMPRODUCT((BG$4:BG340)*($BR$4:$BR340))*'[1]功能-战损相关'!$D$2-BS340</f>
        <v>#REF!</v>
      </c>
      <c r="BY340" s="2" t="e">
        <f>SUMPRODUCT((BH$4:BH340)*($BR$4:$BR340))*'[1]功能-战损相关'!$D$2-BT340</f>
        <v>#REF!</v>
      </c>
      <c r="BZ340" s="2" t="e">
        <f>SUMPRODUCT((BI$4:BI340)*($BR$4:$BR340))*'[1]功能-战损相关'!$D$2-BU340</f>
        <v>#REF!</v>
      </c>
      <c r="CA340" s="2" t="e">
        <f>SUMPRODUCT((BJ$4:BJ340)*($BR$4:$BR340))*'[1]功能-战损相关'!$D$2-BV340</f>
        <v>#REF!</v>
      </c>
      <c r="CB340" s="2" t="e">
        <f>SUMPRODUCT((BK$4:BK340)*($BR$4:$BR340))*'[1]功能-战损相关'!$D$2-BW340</f>
        <v>#REF!</v>
      </c>
    </row>
    <row r="341" spans="40:80" x14ac:dyDescent="0.2">
      <c r="AN341" s="2">
        <v>338</v>
      </c>
      <c r="AO341" s="2">
        <f>求节点(节奏总纲!D$4:D$163,AH$4:AH$163,$AN341)*其他调用!H342*其他调用!$M342</f>
        <v>277659189.67472792</v>
      </c>
      <c r="AP341" s="2">
        <f>求节点(节奏总纲!E$4:E$163,AI$4:AI$163,$AN341)*其他调用!I342*其他调用!$M342</f>
        <v>318895442.46723264</v>
      </c>
      <c r="AQ341" s="2">
        <f>求节点(节奏总纲!F$4:F$163,AJ$4:AJ$163,$AN341)*其他调用!J342*其他调用!$M342</f>
        <v>32335639.946009971</v>
      </c>
      <c r="AR341" s="2">
        <f>求节点(节奏总纲!G$4:G$163,AK$4:AK$163,$AN341)*其他调用!K342*其他调用!$M342</f>
        <v>6862415.2390995659</v>
      </c>
      <c r="AS341" s="2">
        <f>求节点(节奏总纲!H$4:H$163,AL$4:AL$163,$AN341)*其他调用!L342*其他调用!$M342</f>
        <v>2300287.4873879012</v>
      </c>
      <c r="AT341" s="2">
        <f t="shared" si="23"/>
        <v>638052974.81445813</v>
      </c>
      <c r="BF341" s="2">
        <v>338</v>
      </c>
      <c r="BG341" s="2">
        <f>求节点(节奏总纲!D$4:D$163,AZ$4:AZ$163,$AN341)</f>
        <v>8633.25968697385</v>
      </c>
      <c r="BH341" s="2">
        <f>求节点(节奏总纲!E$4:E$163,BA$4:BA$163,$AN341)</f>
        <v>26594.309362706234</v>
      </c>
      <c r="BI341" s="2">
        <f>求节点(节奏总纲!F$4:F$163,BB$4:BB$163,$AN341)</f>
        <v>82556.027845998062</v>
      </c>
      <c r="BJ341" s="2">
        <f>求节点(节奏总纲!G$4:G$163,BC$4:BC$163,$AN341)</f>
        <v>39070.361727075702</v>
      </c>
      <c r="BK341" s="2">
        <f>求节点(节奏总纲!H$4:H$163,BD$4:BD$163,$AN341)</f>
        <v>11634.788457474802</v>
      </c>
      <c r="BL341" s="2">
        <f>BG341*其他调用!H342*其他调用!$M342</f>
        <v>414073.15155778249</v>
      </c>
      <c r="BM341" s="2">
        <f>BH341*其他调用!I342*其他调用!$M342</f>
        <v>1257685.1465237276</v>
      </c>
      <c r="BN341" s="2">
        <f>BI341*其他调用!J342*其他调用!$M342</f>
        <v>318700.94217963674</v>
      </c>
      <c r="BO341" s="2">
        <f>BJ341*其他调用!K342*其他调用!$M342</f>
        <v>26833.368152708692</v>
      </c>
      <c r="BP341" s="2">
        <f>BK341*其他调用!L342*其他调用!$M342</f>
        <v>2312.0651622693922</v>
      </c>
      <c r="BQ341" s="2">
        <f t="shared" si="24"/>
        <v>2019604.6735761249</v>
      </c>
      <c r="BR341" s="2">
        <f>[1]服务器生态!$R340</f>
        <v>1.6289841650165445E-2</v>
      </c>
      <c r="BS341" s="2" t="e">
        <f>SUMPRODUCT((BG$4:BG341)*($BR$4:$BR341)*(其他调用!#REF!))</f>
        <v>#REF!</v>
      </c>
      <c r="BT341" s="2" t="e">
        <f>SUMPRODUCT((BH$4:BH341)*($BR$4:$BR341)*(其他调用!#REF!))</f>
        <v>#REF!</v>
      </c>
      <c r="BU341" s="2" t="e">
        <f>SUMPRODUCT((BI$4:BI341)*($BR$4:$BR341)*(其他调用!#REF!))</f>
        <v>#REF!</v>
      </c>
      <c r="BV341" s="2" t="e">
        <f>SUMPRODUCT((BJ$4:BJ341)*($BR$4:$BR341)*(其他调用!#REF!))</f>
        <v>#REF!</v>
      </c>
      <c r="BW341" s="2" t="e">
        <f>SUMPRODUCT((BK$4:BK341)*($BR$4:$BR341)*(其他调用!#REF!))</f>
        <v>#REF!</v>
      </c>
      <c r="BX341" s="2" t="e">
        <f>SUMPRODUCT((BG$4:BG341)*($BR$4:$BR341))*'[1]功能-战损相关'!$D$2-BS341</f>
        <v>#REF!</v>
      </c>
      <c r="BY341" s="2" t="e">
        <f>SUMPRODUCT((BH$4:BH341)*($BR$4:$BR341))*'[1]功能-战损相关'!$D$2-BT341</f>
        <v>#REF!</v>
      </c>
      <c r="BZ341" s="2" t="e">
        <f>SUMPRODUCT((BI$4:BI341)*($BR$4:$BR341))*'[1]功能-战损相关'!$D$2-BU341</f>
        <v>#REF!</v>
      </c>
      <c r="CA341" s="2" t="e">
        <f>SUMPRODUCT((BJ$4:BJ341)*($BR$4:$BR341))*'[1]功能-战损相关'!$D$2-BV341</f>
        <v>#REF!</v>
      </c>
      <c r="CB341" s="2" t="e">
        <f>SUMPRODUCT((BK$4:BK341)*($BR$4:$BR341))*'[1]功能-战损相关'!$D$2-BW341</f>
        <v>#REF!</v>
      </c>
    </row>
    <row r="342" spans="40:80" x14ac:dyDescent="0.2">
      <c r="AN342" s="2">
        <v>339</v>
      </c>
      <c r="AO342" s="2">
        <f>求节点(节奏总纲!D$4:D$163,AH$4:AH$163,$AN342)*其他调用!H343*其他调用!$M343</f>
        <v>278026759.90844429</v>
      </c>
      <c r="AP342" s="2">
        <f>求节点(节奏总纲!E$4:E$163,AI$4:AI$163,$AN342)*其他调用!I343*其他调用!$M343</f>
        <v>319281338.06670296</v>
      </c>
      <c r="AQ342" s="2">
        <f>求节点(节奏总纲!F$4:F$163,AJ$4:AJ$163,$AN342)*其他调用!J343*其他调用!$M343</f>
        <v>32378601.039854553</v>
      </c>
      <c r="AR342" s="2">
        <f>求节点(节奏总纲!G$4:G$163,AK$4:AK$163,$AN342)*其他调用!K343*其他调用!$M343</f>
        <v>6867758.336502091</v>
      </c>
      <c r="AS342" s="2">
        <f>求节点(节奏总纲!H$4:H$163,AL$4:AL$163,$AN342)*其他调用!L343*其他调用!$M343</f>
        <v>2301425.1182357809</v>
      </c>
      <c r="AT342" s="2">
        <f t="shared" si="23"/>
        <v>638855882.46973968</v>
      </c>
      <c r="BF342" s="2">
        <v>339</v>
      </c>
      <c r="BG342" s="2">
        <f>求节点(节奏总纲!D$4:D$163,AZ$4:AZ$163,$AN342)</f>
        <v>8636.5612813563293</v>
      </c>
      <c r="BH342" s="2">
        <f>求节点(节奏总纲!E$4:E$163,BA$4:BA$163,$AN342)</f>
        <v>26604.422475646898</v>
      </c>
      <c r="BI342" s="2">
        <f>求节点(节奏总纲!F$4:F$163,BB$4:BB$163,$AN342)</f>
        <v>82588.209195332194</v>
      </c>
      <c r="BJ342" s="2">
        <f>求节点(节奏总纲!G$4:G$163,BC$4:BC$163,$AN342)</f>
        <v>39078.214232260318</v>
      </c>
      <c r="BK342" s="2">
        <f>求节点(节奏总纲!H$4:H$163,BD$4:BD$163,$AN342)</f>
        <v>11638.247848790548</v>
      </c>
      <c r="BL342" s="2">
        <f>BG342*其他调用!H343*其他调用!$M343</f>
        <v>414231.5044442573</v>
      </c>
      <c r="BM342" s="2">
        <f>BH342*其他调用!I343*其他调用!$M343</f>
        <v>1258163.4109432739</v>
      </c>
      <c r="BN342" s="2">
        <f>BI342*其他调用!J343*其他调用!$M343</f>
        <v>318825.17570468632</v>
      </c>
      <c r="BO342" s="2">
        <f>BJ342*其他调用!K343*其他调用!$M343</f>
        <v>26838.761221859466</v>
      </c>
      <c r="BP342" s="2">
        <f>BK342*其他调用!L343*其他调用!$M343</f>
        <v>2312.7526125116574</v>
      </c>
      <c r="BQ342" s="2">
        <f t="shared" si="24"/>
        <v>2020371.6049265887</v>
      </c>
      <c r="BR342" s="2">
        <f>[1]服务器生态!$R341</f>
        <v>1.6289841650165445E-2</v>
      </c>
      <c r="BS342" s="2" t="e">
        <f>SUMPRODUCT((BG$4:BG342)*($BR$4:$BR342)*(其他调用!#REF!))</f>
        <v>#REF!</v>
      </c>
      <c r="BT342" s="2" t="e">
        <f>SUMPRODUCT((BH$4:BH342)*($BR$4:$BR342)*(其他调用!#REF!))</f>
        <v>#REF!</v>
      </c>
      <c r="BU342" s="2" t="e">
        <f>SUMPRODUCT((BI$4:BI342)*($BR$4:$BR342)*(其他调用!#REF!))</f>
        <v>#REF!</v>
      </c>
      <c r="BV342" s="2" t="e">
        <f>SUMPRODUCT((BJ$4:BJ342)*($BR$4:$BR342)*(其他调用!#REF!))</f>
        <v>#REF!</v>
      </c>
      <c r="BW342" s="2" t="e">
        <f>SUMPRODUCT((BK$4:BK342)*($BR$4:$BR342)*(其他调用!#REF!))</f>
        <v>#REF!</v>
      </c>
      <c r="BX342" s="2" t="e">
        <f>SUMPRODUCT((BG$4:BG342)*($BR$4:$BR342))*'[1]功能-战损相关'!$D$2-BS342</f>
        <v>#REF!</v>
      </c>
      <c r="BY342" s="2" t="e">
        <f>SUMPRODUCT((BH$4:BH342)*($BR$4:$BR342))*'[1]功能-战损相关'!$D$2-BT342</f>
        <v>#REF!</v>
      </c>
      <c r="BZ342" s="2" t="e">
        <f>SUMPRODUCT((BI$4:BI342)*($BR$4:$BR342))*'[1]功能-战损相关'!$D$2-BU342</f>
        <v>#REF!</v>
      </c>
      <c r="CA342" s="2" t="e">
        <f>SUMPRODUCT((BJ$4:BJ342)*($BR$4:$BR342))*'[1]功能-战损相关'!$D$2-BV342</f>
        <v>#REF!</v>
      </c>
      <c r="CB342" s="2" t="e">
        <f>SUMPRODUCT((BK$4:BK342)*($BR$4:$BR342))*'[1]功能-战损相关'!$D$2-BW342</f>
        <v>#REF!</v>
      </c>
    </row>
    <row r="343" spans="40:80" x14ac:dyDescent="0.2">
      <c r="AN343" s="2">
        <v>340</v>
      </c>
      <c r="AO343" s="2">
        <f>求节点(节奏总纲!D$4:D$163,AH$4:AH$163,$AN343)*其他调用!H344*其他调用!$M344</f>
        <v>278394330.14216071</v>
      </c>
      <c r="AP343" s="2">
        <f>求节点(节奏总纲!E$4:E$163,AI$4:AI$163,$AN343)*其他调用!I344*其他调用!$M344</f>
        <v>319667233.66617322</v>
      </c>
      <c r="AQ343" s="2">
        <f>求节点(节奏总纲!F$4:F$163,AJ$4:AJ$163,$AN343)*其他调用!J344*其他调用!$M344</f>
        <v>32421562.133699138</v>
      </c>
      <c r="AR343" s="2">
        <f>求节点(节奏总纲!G$4:G$163,AK$4:AK$163,$AN343)*其他调用!K344*其他调用!$M344</f>
        <v>6873101.4339046162</v>
      </c>
      <c r="AS343" s="2">
        <f>求节点(节奏总纲!H$4:H$163,AL$4:AL$163,$AN343)*其他调用!L344*其他调用!$M344</f>
        <v>2302562.7490836601</v>
      </c>
      <c r="AT343" s="2">
        <f t="shared" si="23"/>
        <v>639658790.12502134</v>
      </c>
      <c r="BF343" s="2">
        <v>340</v>
      </c>
      <c r="BG343" s="2">
        <f>求节点(节奏总纲!D$4:D$163,AZ$4:AZ$163,$AN343)</f>
        <v>8639.8628757388069</v>
      </c>
      <c r="BH343" s="2">
        <f>求节点(节奏总纲!E$4:E$163,BA$4:BA$163,$AN343)</f>
        <v>26614.535588587558</v>
      </c>
      <c r="BI343" s="2">
        <f>求节点(节奏总纲!F$4:F$163,BB$4:BB$163,$AN343)</f>
        <v>82620.390544666327</v>
      </c>
      <c r="BJ343" s="2">
        <f>求节点(节奏总纲!G$4:G$163,BC$4:BC$163,$AN343)</f>
        <v>39086.06673744494</v>
      </c>
      <c r="BK343" s="2">
        <f>求节点(节奏总纲!H$4:H$163,BD$4:BD$163,$AN343)</f>
        <v>11641.707240106296</v>
      </c>
      <c r="BL343" s="2">
        <f>BG343*其他调用!H344*其他调用!$M344</f>
        <v>414389.85733073205</v>
      </c>
      <c r="BM343" s="2">
        <f>BH343*其他调用!I344*其他调用!$M344</f>
        <v>1258641.6753628203</v>
      </c>
      <c r="BN343" s="2">
        <f>BI343*其他调用!J344*其他调用!$M344</f>
        <v>318949.4092297359</v>
      </c>
      <c r="BO343" s="2">
        <f>BJ343*其他调用!K344*其他调用!$M344</f>
        <v>26844.154291010243</v>
      </c>
      <c r="BP343" s="2">
        <f>BK343*其他调用!L344*其他调用!$M344</f>
        <v>2313.440062753923</v>
      </c>
      <c r="BQ343" s="2">
        <f t="shared" si="24"/>
        <v>2021138.5362770522</v>
      </c>
      <c r="BR343" s="2">
        <f>[1]服务器生态!$R342</f>
        <v>1.6289841650165445E-2</v>
      </c>
      <c r="BS343" s="2" t="e">
        <f>SUMPRODUCT((BG$4:BG343)*($BR$4:$BR343)*(其他调用!#REF!))</f>
        <v>#REF!</v>
      </c>
      <c r="BT343" s="2" t="e">
        <f>SUMPRODUCT((BH$4:BH343)*($BR$4:$BR343)*(其他调用!#REF!))</f>
        <v>#REF!</v>
      </c>
      <c r="BU343" s="2" t="e">
        <f>SUMPRODUCT((BI$4:BI343)*($BR$4:$BR343)*(其他调用!#REF!))</f>
        <v>#REF!</v>
      </c>
      <c r="BV343" s="2" t="e">
        <f>SUMPRODUCT((BJ$4:BJ343)*($BR$4:$BR343)*(其他调用!#REF!))</f>
        <v>#REF!</v>
      </c>
      <c r="BW343" s="2" t="e">
        <f>SUMPRODUCT((BK$4:BK343)*($BR$4:$BR343)*(其他调用!#REF!))</f>
        <v>#REF!</v>
      </c>
      <c r="BX343" s="2" t="e">
        <f>SUMPRODUCT((BG$4:BG343)*($BR$4:$BR343))*'[1]功能-战损相关'!$D$2-BS343</f>
        <v>#REF!</v>
      </c>
      <c r="BY343" s="2" t="e">
        <f>SUMPRODUCT((BH$4:BH343)*($BR$4:$BR343))*'[1]功能-战损相关'!$D$2-BT343</f>
        <v>#REF!</v>
      </c>
      <c r="BZ343" s="2" t="e">
        <f>SUMPRODUCT((BI$4:BI343)*($BR$4:$BR343))*'[1]功能-战损相关'!$D$2-BU343</f>
        <v>#REF!</v>
      </c>
      <c r="CA343" s="2" t="e">
        <f>SUMPRODUCT((BJ$4:BJ343)*($BR$4:$BR343))*'[1]功能-战损相关'!$D$2-BV343</f>
        <v>#REF!</v>
      </c>
      <c r="CB343" s="2" t="e">
        <f>SUMPRODUCT((BK$4:BK343)*($BR$4:$BR343))*'[1]功能-战损相关'!$D$2-BW343</f>
        <v>#REF!</v>
      </c>
    </row>
    <row r="344" spans="40:80" x14ac:dyDescent="0.2">
      <c r="AN344" s="2">
        <v>341</v>
      </c>
      <c r="AO344" s="2">
        <f>求节点(节奏总纲!D$4:D$163,AH$4:AH$163,$AN344)*其他调用!H345*其他调用!$M345</f>
        <v>278761900.37587702</v>
      </c>
      <c r="AP344" s="2">
        <f>求节点(节奏总纲!E$4:E$163,AI$4:AI$163,$AN344)*其他调用!I345*其他调用!$M345</f>
        <v>320053129.26564354</v>
      </c>
      <c r="AQ344" s="2">
        <f>求节点(节奏总纲!F$4:F$163,AJ$4:AJ$163,$AN344)*其他调用!J345*其他调用!$M345</f>
        <v>32464523.227543723</v>
      </c>
      <c r="AR344" s="2">
        <f>求节点(节奏总纲!G$4:G$163,AK$4:AK$163,$AN344)*其他调用!K345*其他调用!$M345</f>
        <v>6878444.5313071413</v>
      </c>
      <c r="AS344" s="2">
        <f>求节点(节奏总纲!H$4:H$163,AL$4:AL$163,$AN344)*其他调用!L345*其他调用!$M345</f>
        <v>2303700.3799315393</v>
      </c>
      <c r="AT344" s="2">
        <f t="shared" si="23"/>
        <v>640461697.78030288</v>
      </c>
      <c r="BF344" s="2">
        <v>341</v>
      </c>
      <c r="BG344" s="2">
        <f>求节点(节奏总纲!D$4:D$163,AZ$4:AZ$163,$AN344)</f>
        <v>8643.1644701212863</v>
      </c>
      <c r="BH344" s="2">
        <f>求节点(节奏总纲!E$4:E$163,BA$4:BA$163,$AN344)</f>
        <v>26624.648701528222</v>
      </c>
      <c r="BI344" s="2">
        <f>求节点(节奏总纲!F$4:F$163,BB$4:BB$163,$AN344)</f>
        <v>82652.571894000459</v>
      </c>
      <c r="BJ344" s="2">
        <f>求节点(节奏总纲!G$4:G$163,BC$4:BC$163,$AN344)</f>
        <v>39093.919242629556</v>
      </c>
      <c r="BK344" s="2">
        <f>求节点(节奏总纲!H$4:H$163,BD$4:BD$163,$AN344)</f>
        <v>11645.166631422044</v>
      </c>
      <c r="BL344" s="2">
        <f>BG344*其他调用!H345*其他调用!$M345</f>
        <v>414548.2102172068</v>
      </c>
      <c r="BM344" s="2">
        <f>BH344*其他调用!I345*其他调用!$M345</f>
        <v>1259119.9397823664</v>
      </c>
      <c r="BN344" s="2">
        <f>BI344*其他调用!J345*其他调用!$M345</f>
        <v>319073.64275478548</v>
      </c>
      <c r="BO344" s="2">
        <f>BJ344*其他调用!K345*其他调用!$M345</f>
        <v>26849.547360161017</v>
      </c>
      <c r="BP344" s="2">
        <f>BK344*其他调用!L345*其他调用!$M345</f>
        <v>2314.1275129961882</v>
      </c>
      <c r="BQ344" s="2">
        <f t="shared" si="24"/>
        <v>2021905.4676275158</v>
      </c>
      <c r="BR344" s="2">
        <f>[1]服务器生态!$R343</f>
        <v>1.6289841650165445E-2</v>
      </c>
      <c r="BS344" s="2" t="e">
        <f>SUMPRODUCT((BG$4:BG344)*($BR$4:$BR344)*(其他调用!#REF!))</f>
        <v>#REF!</v>
      </c>
      <c r="BT344" s="2" t="e">
        <f>SUMPRODUCT((BH$4:BH344)*($BR$4:$BR344)*(其他调用!#REF!))</f>
        <v>#REF!</v>
      </c>
      <c r="BU344" s="2" t="e">
        <f>SUMPRODUCT((BI$4:BI344)*($BR$4:$BR344)*(其他调用!#REF!))</f>
        <v>#REF!</v>
      </c>
      <c r="BV344" s="2" t="e">
        <f>SUMPRODUCT((BJ$4:BJ344)*($BR$4:$BR344)*(其他调用!#REF!))</f>
        <v>#REF!</v>
      </c>
      <c r="BW344" s="2" t="e">
        <f>SUMPRODUCT((BK$4:BK344)*($BR$4:$BR344)*(其他调用!#REF!))</f>
        <v>#REF!</v>
      </c>
      <c r="BX344" s="2" t="e">
        <f>SUMPRODUCT((BG$4:BG344)*($BR$4:$BR344))*'[1]功能-战损相关'!$D$2-BS344</f>
        <v>#REF!</v>
      </c>
      <c r="BY344" s="2" t="e">
        <f>SUMPRODUCT((BH$4:BH344)*($BR$4:$BR344))*'[1]功能-战损相关'!$D$2-BT344</f>
        <v>#REF!</v>
      </c>
      <c r="BZ344" s="2" t="e">
        <f>SUMPRODUCT((BI$4:BI344)*($BR$4:$BR344))*'[1]功能-战损相关'!$D$2-BU344</f>
        <v>#REF!</v>
      </c>
      <c r="CA344" s="2" t="e">
        <f>SUMPRODUCT((BJ$4:BJ344)*($BR$4:$BR344))*'[1]功能-战损相关'!$D$2-BV344</f>
        <v>#REF!</v>
      </c>
      <c r="CB344" s="2" t="e">
        <f>SUMPRODUCT((BK$4:BK344)*($BR$4:$BR344))*'[1]功能-战损相关'!$D$2-BW344</f>
        <v>#REF!</v>
      </c>
    </row>
    <row r="345" spans="40:80" x14ac:dyDescent="0.2">
      <c r="AN345" s="2">
        <v>342</v>
      </c>
      <c r="AO345" s="2">
        <f>求节点(节奏总纲!D$4:D$163,AH$4:AH$163,$AN345)*其他调用!H346*其他调用!$M346</f>
        <v>279129470.60959339</v>
      </c>
      <c r="AP345" s="2">
        <f>求节点(节奏总纲!E$4:E$163,AI$4:AI$163,$AN345)*其他调用!I346*其他调用!$M346</f>
        <v>320439024.86511379</v>
      </c>
      <c r="AQ345" s="2">
        <f>求节点(节奏总纲!F$4:F$163,AJ$4:AJ$163,$AN345)*其他调用!J346*其他调用!$M346</f>
        <v>32507484.321388301</v>
      </c>
      <c r="AR345" s="2">
        <f>求节点(节奏总纲!G$4:G$163,AK$4:AK$163,$AN345)*其他调用!K346*其他调用!$M346</f>
        <v>6883787.6287096664</v>
      </c>
      <c r="AS345" s="2">
        <f>求节点(节奏总纲!H$4:H$163,AL$4:AL$163,$AN345)*其他调用!L346*其他调用!$M346</f>
        <v>2304838.0107794185</v>
      </c>
      <c r="AT345" s="2">
        <f t="shared" si="23"/>
        <v>641264605.43558443</v>
      </c>
      <c r="BF345" s="2">
        <v>342</v>
      </c>
      <c r="BG345" s="2">
        <f>求节点(节奏总纲!D$4:D$163,AZ$4:AZ$163,$AN345)</f>
        <v>8646.4660645037657</v>
      </c>
      <c r="BH345" s="2">
        <f>求节点(节奏总纲!E$4:E$163,BA$4:BA$163,$AN345)</f>
        <v>26634.761814468886</v>
      </c>
      <c r="BI345" s="2">
        <f>求节点(节奏总纲!F$4:F$163,BB$4:BB$163,$AN345)</f>
        <v>82684.753243334606</v>
      </c>
      <c r="BJ345" s="2">
        <f>求节点(节奏总纲!G$4:G$163,BC$4:BC$163,$AN345)</f>
        <v>39101.771747814171</v>
      </c>
      <c r="BK345" s="2">
        <f>求节点(节奏总纲!H$4:H$163,BD$4:BD$163,$AN345)</f>
        <v>11648.626022737792</v>
      </c>
      <c r="BL345" s="2">
        <f>BG345*其他调用!H346*其他调用!$M346</f>
        <v>414706.5631036816</v>
      </c>
      <c r="BM345" s="2">
        <f>BH345*其他调用!I346*其他调用!$M346</f>
        <v>1259598.2042019127</v>
      </c>
      <c r="BN345" s="2">
        <f>BI345*其他调用!J346*其他调用!$M346</f>
        <v>319197.87627983512</v>
      </c>
      <c r="BO345" s="2">
        <f>BJ345*其他调用!K346*其他调用!$M346</f>
        <v>26854.940429311791</v>
      </c>
      <c r="BP345" s="2">
        <f>BK345*其他调用!L346*其他调用!$M346</f>
        <v>2314.8149632384539</v>
      </c>
      <c r="BQ345" s="2">
        <f t="shared" si="24"/>
        <v>2022672.3989779798</v>
      </c>
      <c r="BR345" s="2">
        <f>[1]服务器生态!$R344</f>
        <v>1.6289841650165445E-2</v>
      </c>
      <c r="BS345" s="2" t="e">
        <f>SUMPRODUCT((BG$4:BG345)*($BR$4:$BR345)*(其他调用!#REF!))</f>
        <v>#REF!</v>
      </c>
      <c r="BT345" s="2" t="e">
        <f>SUMPRODUCT((BH$4:BH345)*($BR$4:$BR345)*(其他调用!#REF!))</f>
        <v>#REF!</v>
      </c>
      <c r="BU345" s="2" t="e">
        <f>SUMPRODUCT((BI$4:BI345)*($BR$4:$BR345)*(其他调用!#REF!))</f>
        <v>#REF!</v>
      </c>
      <c r="BV345" s="2" t="e">
        <f>SUMPRODUCT((BJ$4:BJ345)*($BR$4:$BR345)*(其他调用!#REF!))</f>
        <v>#REF!</v>
      </c>
      <c r="BW345" s="2" t="e">
        <f>SUMPRODUCT((BK$4:BK345)*($BR$4:$BR345)*(其他调用!#REF!))</f>
        <v>#REF!</v>
      </c>
      <c r="BX345" s="2" t="e">
        <f>SUMPRODUCT((BG$4:BG345)*($BR$4:$BR345))*'[1]功能-战损相关'!$D$2-BS345</f>
        <v>#REF!</v>
      </c>
      <c r="BY345" s="2" t="e">
        <f>SUMPRODUCT((BH$4:BH345)*($BR$4:$BR345))*'[1]功能-战损相关'!$D$2-BT345</f>
        <v>#REF!</v>
      </c>
      <c r="BZ345" s="2" t="e">
        <f>SUMPRODUCT((BI$4:BI345)*($BR$4:$BR345))*'[1]功能-战损相关'!$D$2-BU345</f>
        <v>#REF!</v>
      </c>
      <c r="CA345" s="2" t="e">
        <f>SUMPRODUCT((BJ$4:BJ345)*($BR$4:$BR345))*'[1]功能-战损相关'!$D$2-BV345</f>
        <v>#REF!</v>
      </c>
      <c r="CB345" s="2" t="e">
        <f>SUMPRODUCT((BK$4:BK345)*($BR$4:$BR345))*'[1]功能-战损相关'!$D$2-BW345</f>
        <v>#REF!</v>
      </c>
    </row>
    <row r="346" spans="40:80" x14ac:dyDescent="0.2">
      <c r="AN346" s="2">
        <v>343</v>
      </c>
      <c r="AO346" s="2">
        <f>求节点(节奏总纲!D$4:D$163,AH$4:AH$163,$AN346)*其他调用!H347*其他调用!$M347</f>
        <v>279497040.84330976</v>
      </c>
      <c r="AP346" s="2">
        <f>求节点(节奏总纲!E$4:E$163,AI$4:AI$163,$AN346)*其他调用!I347*其他调用!$M347</f>
        <v>320824920.46458405</v>
      </c>
      <c r="AQ346" s="2">
        <f>求节点(节奏总纲!F$4:F$163,AJ$4:AJ$163,$AN346)*其他调用!J347*其他调用!$M347</f>
        <v>32550445.415232882</v>
      </c>
      <c r="AR346" s="2">
        <f>求节点(节奏总纲!G$4:G$163,AK$4:AK$163,$AN346)*其他调用!K347*其他调用!$M347</f>
        <v>6889130.7261121906</v>
      </c>
      <c r="AS346" s="2">
        <f>求节点(节奏总纲!H$4:H$163,AL$4:AL$163,$AN346)*其他调用!L347*其他调用!$M347</f>
        <v>2305975.6416272977</v>
      </c>
      <c r="AT346" s="2">
        <f t="shared" si="23"/>
        <v>642067513.09086621</v>
      </c>
      <c r="BF346" s="2">
        <v>343</v>
      </c>
      <c r="BG346" s="2">
        <f>求节点(节奏总纲!D$4:D$163,AZ$4:AZ$163,$AN346)</f>
        <v>8649.7676588862432</v>
      </c>
      <c r="BH346" s="2">
        <f>求节点(节奏总纲!E$4:E$163,BA$4:BA$163,$AN346)</f>
        <v>26644.874927409546</v>
      </c>
      <c r="BI346" s="2">
        <f>求节点(节奏总纲!F$4:F$163,BB$4:BB$163,$AN346)</f>
        <v>82716.934592668738</v>
      </c>
      <c r="BJ346" s="2">
        <f>求节点(节奏总纲!G$4:G$163,BC$4:BC$163,$AN346)</f>
        <v>39109.624252998787</v>
      </c>
      <c r="BK346" s="2">
        <f>求节点(节奏总纲!H$4:H$163,BD$4:BD$163,$AN346)</f>
        <v>11652.085414053539</v>
      </c>
      <c r="BL346" s="2">
        <f>BG346*其他调用!H347*其他调用!$M347</f>
        <v>414864.91599015624</v>
      </c>
      <c r="BM346" s="2">
        <f>BH346*其他调用!I347*其他调用!$M347</f>
        <v>1260076.4686214591</v>
      </c>
      <c r="BN346" s="2">
        <f>BI346*其他调用!J347*其他调用!$M347</f>
        <v>319322.10980488471</v>
      </c>
      <c r="BO346" s="2">
        <f>BJ346*其他调用!K347*其他调用!$M347</f>
        <v>26860.333498462562</v>
      </c>
      <c r="BP346" s="2">
        <f>BK346*其他调用!L347*其他调用!$M347</f>
        <v>2315.502413480719</v>
      </c>
      <c r="BQ346" s="2">
        <f t="shared" si="24"/>
        <v>2023439.3303284436</v>
      </c>
      <c r="BR346" s="2">
        <f>[1]服务器生态!$R345</f>
        <v>1.6289841650165445E-2</v>
      </c>
      <c r="BS346" s="2" t="e">
        <f>SUMPRODUCT((BG$4:BG346)*($BR$4:$BR346)*(其他调用!#REF!))</f>
        <v>#REF!</v>
      </c>
      <c r="BT346" s="2" t="e">
        <f>SUMPRODUCT((BH$4:BH346)*($BR$4:$BR346)*(其他调用!#REF!))</f>
        <v>#REF!</v>
      </c>
      <c r="BU346" s="2" t="e">
        <f>SUMPRODUCT((BI$4:BI346)*($BR$4:$BR346)*(其他调用!#REF!))</f>
        <v>#REF!</v>
      </c>
      <c r="BV346" s="2" t="e">
        <f>SUMPRODUCT((BJ$4:BJ346)*($BR$4:$BR346)*(其他调用!#REF!))</f>
        <v>#REF!</v>
      </c>
      <c r="BW346" s="2" t="e">
        <f>SUMPRODUCT((BK$4:BK346)*($BR$4:$BR346)*(其他调用!#REF!))</f>
        <v>#REF!</v>
      </c>
      <c r="BX346" s="2" t="e">
        <f>SUMPRODUCT((BG$4:BG346)*($BR$4:$BR346))*'[1]功能-战损相关'!$D$2-BS346</f>
        <v>#REF!</v>
      </c>
      <c r="BY346" s="2" t="e">
        <f>SUMPRODUCT((BH$4:BH346)*($BR$4:$BR346))*'[1]功能-战损相关'!$D$2-BT346</f>
        <v>#REF!</v>
      </c>
      <c r="BZ346" s="2" t="e">
        <f>SUMPRODUCT((BI$4:BI346)*($BR$4:$BR346))*'[1]功能-战损相关'!$D$2-BU346</f>
        <v>#REF!</v>
      </c>
      <c r="CA346" s="2" t="e">
        <f>SUMPRODUCT((BJ$4:BJ346)*($BR$4:$BR346))*'[1]功能-战损相关'!$D$2-BV346</f>
        <v>#REF!</v>
      </c>
      <c r="CB346" s="2" t="e">
        <f>SUMPRODUCT((BK$4:BK346)*($BR$4:$BR346))*'[1]功能-战损相关'!$D$2-BW346</f>
        <v>#REF!</v>
      </c>
    </row>
    <row r="347" spans="40:80" x14ac:dyDescent="0.2">
      <c r="AN347" s="2">
        <v>344</v>
      </c>
      <c r="AO347" s="2">
        <f>求节点(节奏总纲!D$4:D$163,AH$4:AH$163,$AN347)*其他调用!H348*其他调用!$M348</f>
        <v>279864611.07702613</v>
      </c>
      <c r="AP347" s="2">
        <f>求节点(节奏总纲!E$4:E$163,AI$4:AI$163,$AN347)*其他调用!I348*其他调用!$M348</f>
        <v>321210816.06405431</v>
      </c>
      <c r="AQ347" s="2">
        <f>求节点(节奏总纲!F$4:F$163,AJ$4:AJ$163,$AN347)*其他调用!J348*其他调用!$M348</f>
        <v>32593406.509077463</v>
      </c>
      <c r="AR347" s="2">
        <f>求节点(节奏总纲!G$4:G$163,AK$4:AK$163,$AN347)*其他调用!K348*其他调用!$M348</f>
        <v>6894473.8235147158</v>
      </c>
      <c r="AS347" s="2">
        <f>求节点(节奏总纲!H$4:H$163,AL$4:AL$163,$AN347)*其他调用!L348*其他调用!$M348</f>
        <v>2307113.272475177</v>
      </c>
      <c r="AT347" s="2">
        <f t="shared" si="23"/>
        <v>642870420.74614763</v>
      </c>
      <c r="BF347" s="2">
        <v>344</v>
      </c>
      <c r="BG347" s="2">
        <f>求节点(节奏总纲!D$4:D$163,AZ$4:AZ$163,$AN347)</f>
        <v>8653.0692532687226</v>
      </c>
      <c r="BH347" s="2">
        <f>求节点(节奏总纲!E$4:E$163,BA$4:BA$163,$AN347)</f>
        <v>26654.98804035021</v>
      </c>
      <c r="BI347" s="2">
        <f>求节点(节奏总纲!F$4:F$163,BB$4:BB$163,$AN347)</f>
        <v>82749.115942002871</v>
      </c>
      <c r="BJ347" s="2">
        <f>求节点(节奏总纲!G$4:G$163,BC$4:BC$163,$AN347)</f>
        <v>39117.476758183402</v>
      </c>
      <c r="BK347" s="2">
        <f>求节点(节奏总纲!H$4:H$163,BD$4:BD$163,$AN347)</f>
        <v>11655.544805369287</v>
      </c>
      <c r="BL347" s="2">
        <f>BG347*其他调用!H348*其他调用!$M348</f>
        <v>415023.26887663105</v>
      </c>
      <c r="BM347" s="2">
        <f>BH347*其他调用!I348*其他调用!$M348</f>
        <v>1260554.7330410052</v>
      </c>
      <c r="BN347" s="2">
        <f>BI347*其他调用!J348*其他调用!$M348</f>
        <v>319446.34332993429</v>
      </c>
      <c r="BO347" s="2">
        <f>BJ347*其他调用!K348*其他调用!$M348</f>
        <v>26865.726567613336</v>
      </c>
      <c r="BP347" s="2">
        <f>BK347*其他调用!L348*其他调用!$M348</f>
        <v>2316.1898637229842</v>
      </c>
      <c r="BQ347" s="2">
        <f t="shared" si="24"/>
        <v>2024206.2616789069</v>
      </c>
      <c r="BR347" s="2">
        <f>[1]服务器生态!$R346</f>
        <v>1.6289841650165445E-2</v>
      </c>
      <c r="BS347" s="2" t="e">
        <f>SUMPRODUCT((BG$4:BG347)*($BR$4:$BR347)*(其他调用!#REF!))</f>
        <v>#REF!</v>
      </c>
      <c r="BT347" s="2" t="e">
        <f>SUMPRODUCT((BH$4:BH347)*($BR$4:$BR347)*(其他调用!#REF!))</f>
        <v>#REF!</v>
      </c>
      <c r="BU347" s="2" t="e">
        <f>SUMPRODUCT((BI$4:BI347)*($BR$4:$BR347)*(其他调用!#REF!))</f>
        <v>#REF!</v>
      </c>
      <c r="BV347" s="2" t="e">
        <f>SUMPRODUCT((BJ$4:BJ347)*($BR$4:$BR347)*(其他调用!#REF!))</f>
        <v>#REF!</v>
      </c>
      <c r="BW347" s="2" t="e">
        <f>SUMPRODUCT((BK$4:BK347)*($BR$4:$BR347)*(其他调用!#REF!))</f>
        <v>#REF!</v>
      </c>
      <c r="BX347" s="2" t="e">
        <f>SUMPRODUCT((BG$4:BG347)*($BR$4:$BR347))*'[1]功能-战损相关'!$D$2-BS347</f>
        <v>#REF!</v>
      </c>
      <c r="BY347" s="2" t="e">
        <f>SUMPRODUCT((BH$4:BH347)*($BR$4:$BR347))*'[1]功能-战损相关'!$D$2-BT347</f>
        <v>#REF!</v>
      </c>
      <c r="BZ347" s="2" t="e">
        <f>SUMPRODUCT((BI$4:BI347)*($BR$4:$BR347))*'[1]功能-战损相关'!$D$2-BU347</f>
        <v>#REF!</v>
      </c>
      <c r="CA347" s="2" t="e">
        <f>SUMPRODUCT((BJ$4:BJ347)*($BR$4:$BR347))*'[1]功能-战损相关'!$D$2-BV347</f>
        <v>#REF!</v>
      </c>
      <c r="CB347" s="2" t="e">
        <f>SUMPRODUCT((BK$4:BK347)*($BR$4:$BR347))*'[1]功能-战损相关'!$D$2-BW347</f>
        <v>#REF!</v>
      </c>
    </row>
    <row r="348" spans="40:80" x14ac:dyDescent="0.2">
      <c r="AN348" s="2">
        <v>345</v>
      </c>
      <c r="AO348" s="2">
        <f>求节点(节奏总纲!D$4:D$163,AH$4:AH$163,$AN348)*其他调用!H349*其他调用!$M349</f>
        <v>280232181.31074244</v>
      </c>
      <c r="AP348" s="2">
        <f>求节点(节奏总纲!E$4:E$163,AI$4:AI$163,$AN348)*其他调用!I349*其他调用!$M349</f>
        <v>321596711.66352463</v>
      </c>
      <c r="AQ348" s="2">
        <f>求节点(节奏总纲!F$4:F$163,AJ$4:AJ$163,$AN348)*其他调用!J349*其他调用!$M349</f>
        <v>32636367.602922045</v>
      </c>
      <c r="AR348" s="2">
        <f>求节点(节奏总纲!G$4:G$163,AK$4:AK$163,$AN348)*其他调用!K349*其他调用!$M349</f>
        <v>6899816.9209172409</v>
      </c>
      <c r="AS348" s="2">
        <f>求节点(节奏总纲!H$4:H$163,AL$4:AL$163,$AN348)*其他调用!L349*其他调用!$M349</f>
        <v>2308250.9033230566</v>
      </c>
      <c r="AT348" s="2">
        <f t="shared" si="23"/>
        <v>643673328.40142941</v>
      </c>
      <c r="BF348" s="2">
        <v>345</v>
      </c>
      <c r="BG348" s="2">
        <f>求节点(节奏总纲!D$4:D$163,AZ$4:AZ$163,$AN348)</f>
        <v>8656.3708476512002</v>
      </c>
      <c r="BH348" s="2">
        <f>求节点(节奏总纲!E$4:E$163,BA$4:BA$163,$AN348)</f>
        <v>26665.101153290874</v>
      </c>
      <c r="BI348" s="2">
        <f>求节点(节奏总纲!F$4:F$163,BB$4:BB$163,$AN348)</f>
        <v>82781.297291337003</v>
      </c>
      <c r="BJ348" s="2">
        <f>求节点(节奏总纲!G$4:G$163,BC$4:BC$163,$AN348)</f>
        <v>39125.329263368018</v>
      </c>
      <c r="BK348" s="2">
        <f>求节点(节奏总纲!H$4:H$163,BD$4:BD$163,$AN348)</f>
        <v>11659.004196685035</v>
      </c>
      <c r="BL348" s="2">
        <f>BG348*其他调用!H349*其他调用!$M349</f>
        <v>415181.6217631058</v>
      </c>
      <c r="BM348" s="2">
        <f>BH348*其他调用!I349*其他调用!$M349</f>
        <v>1261032.9974605516</v>
      </c>
      <c r="BN348" s="2">
        <f>BI348*其他调用!J349*其他调用!$M349</f>
        <v>319570.57685498387</v>
      </c>
      <c r="BO348" s="2">
        <f>BJ348*其他调用!K349*其他调用!$M349</f>
        <v>26871.11963676411</v>
      </c>
      <c r="BP348" s="2">
        <f>BK348*其他调用!L349*其他调用!$M349</f>
        <v>2316.8773139652499</v>
      </c>
      <c r="BQ348" s="2">
        <f t="shared" si="24"/>
        <v>2024973.1930293704</v>
      </c>
      <c r="BR348" s="2">
        <f>[1]服务器生态!$R347</f>
        <v>1.6289841650165445E-2</v>
      </c>
      <c r="BS348" s="2" t="e">
        <f>SUMPRODUCT((BG$4:BG348)*($BR$4:$BR348)*(其他调用!#REF!))</f>
        <v>#REF!</v>
      </c>
      <c r="BT348" s="2" t="e">
        <f>SUMPRODUCT((BH$4:BH348)*($BR$4:$BR348)*(其他调用!#REF!))</f>
        <v>#REF!</v>
      </c>
      <c r="BU348" s="2" t="e">
        <f>SUMPRODUCT((BI$4:BI348)*($BR$4:$BR348)*(其他调用!#REF!))</f>
        <v>#REF!</v>
      </c>
      <c r="BV348" s="2" t="e">
        <f>SUMPRODUCT((BJ$4:BJ348)*($BR$4:$BR348)*(其他调用!#REF!))</f>
        <v>#REF!</v>
      </c>
      <c r="BW348" s="2" t="e">
        <f>SUMPRODUCT((BK$4:BK348)*($BR$4:$BR348)*(其他调用!#REF!))</f>
        <v>#REF!</v>
      </c>
      <c r="BX348" s="2" t="e">
        <f>SUMPRODUCT((BG$4:BG348)*($BR$4:$BR348))*'[1]功能-战损相关'!$D$2-BS348</f>
        <v>#REF!</v>
      </c>
      <c r="BY348" s="2" t="e">
        <f>SUMPRODUCT((BH$4:BH348)*($BR$4:$BR348))*'[1]功能-战损相关'!$D$2-BT348</f>
        <v>#REF!</v>
      </c>
      <c r="BZ348" s="2" t="e">
        <f>SUMPRODUCT((BI$4:BI348)*($BR$4:$BR348))*'[1]功能-战损相关'!$D$2-BU348</f>
        <v>#REF!</v>
      </c>
      <c r="CA348" s="2" t="e">
        <f>SUMPRODUCT((BJ$4:BJ348)*($BR$4:$BR348))*'[1]功能-战损相关'!$D$2-BV348</f>
        <v>#REF!</v>
      </c>
      <c r="CB348" s="2" t="e">
        <f>SUMPRODUCT((BK$4:BK348)*($BR$4:$BR348))*'[1]功能-战损相关'!$D$2-BW348</f>
        <v>#REF!</v>
      </c>
    </row>
    <row r="349" spans="40:80" x14ac:dyDescent="0.2">
      <c r="AN349" s="2">
        <v>346</v>
      </c>
      <c r="AO349" s="2">
        <f>求节点(节奏总纲!D$4:D$163,AH$4:AH$163,$AN349)*其他调用!H350*其他调用!$M350</f>
        <v>280599751.54445881</v>
      </c>
      <c r="AP349" s="2">
        <f>求节点(节奏总纲!E$4:E$163,AI$4:AI$163,$AN349)*其他调用!I350*其他调用!$M350</f>
        <v>321982607.26299495</v>
      </c>
      <c r="AQ349" s="2">
        <f>求节点(节奏总纲!F$4:F$163,AJ$4:AJ$163,$AN349)*其他调用!J350*其他调用!$M350</f>
        <v>32679328.69676663</v>
      </c>
      <c r="AR349" s="2">
        <f>求节点(节奏总纲!G$4:G$163,AK$4:AK$163,$AN349)*其他调用!K350*其他调用!$M350</f>
        <v>6905160.018319766</v>
      </c>
      <c r="AS349" s="2">
        <f>求节点(节奏总纲!H$4:H$163,AL$4:AL$163,$AN349)*其他调用!L350*其他调用!$M350</f>
        <v>2309388.5341709354</v>
      </c>
      <c r="AT349" s="2">
        <f t="shared" si="23"/>
        <v>644476236.05671108</v>
      </c>
      <c r="BF349" s="2">
        <v>346</v>
      </c>
      <c r="BG349" s="2">
        <f>求节点(节奏总纲!D$4:D$163,AZ$4:AZ$163,$AN349)</f>
        <v>8659.6724420336795</v>
      </c>
      <c r="BH349" s="2">
        <f>求节点(节奏总纲!E$4:E$163,BA$4:BA$163,$AN349)</f>
        <v>26675.214266231535</v>
      </c>
      <c r="BI349" s="2">
        <f>求节点(节奏总纲!F$4:F$163,BB$4:BB$163,$AN349)</f>
        <v>82813.478640671136</v>
      </c>
      <c r="BJ349" s="2">
        <f>求节点(节奏总纲!G$4:G$163,BC$4:BC$163,$AN349)</f>
        <v>39133.181768552633</v>
      </c>
      <c r="BK349" s="2">
        <f>求节点(节奏总纲!H$4:H$163,BD$4:BD$163,$AN349)</f>
        <v>11662.463588000783</v>
      </c>
      <c r="BL349" s="2">
        <f>BG349*其他调用!H350*其他调用!$M350</f>
        <v>415339.97464958054</v>
      </c>
      <c r="BM349" s="2">
        <f>BH349*其他调用!I350*其他调用!$M350</f>
        <v>1261511.2618800977</v>
      </c>
      <c r="BN349" s="2">
        <f>BI349*其他调用!J350*其他调用!$M350</f>
        <v>319694.81038003345</v>
      </c>
      <c r="BO349" s="2">
        <f>BJ349*其他调用!K350*其他调用!$M350</f>
        <v>26876.512705914884</v>
      </c>
      <c r="BP349" s="2">
        <f>BK349*其他调用!L350*其他调用!$M350</f>
        <v>2317.5647642075151</v>
      </c>
      <c r="BQ349" s="2">
        <f t="shared" si="24"/>
        <v>2025740.1243798339</v>
      </c>
      <c r="BR349" s="2">
        <f>[1]服务器生态!$R348</f>
        <v>1.6289841650165445E-2</v>
      </c>
      <c r="BS349" s="2" t="e">
        <f>SUMPRODUCT((BG$4:BG349)*($BR$4:$BR349)*(其他调用!#REF!))</f>
        <v>#REF!</v>
      </c>
      <c r="BT349" s="2" t="e">
        <f>SUMPRODUCT((BH$4:BH349)*($BR$4:$BR349)*(其他调用!#REF!))</f>
        <v>#REF!</v>
      </c>
      <c r="BU349" s="2" t="e">
        <f>SUMPRODUCT((BI$4:BI349)*($BR$4:$BR349)*(其他调用!#REF!))</f>
        <v>#REF!</v>
      </c>
      <c r="BV349" s="2" t="e">
        <f>SUMPRODUCT((BJ$4:BJ349)*($BR$4:$BR349)*(其他调用!#REF!))</f>
        <v>#REF!</v>
      </c>
      <c r="BW349" s="2" t="e">
        <f>SUMPRODUCT((BK$4:BK349)*($BR$4:$BR349)*(其他调用!#REF!))</f>
        <v>#REF!</v>
      </c>
      <c r="BX349" s="2" t="e">
        <f>SUMPRODUCT((BG$4:BG349)*($BR$4:$BR349))*'[1]功能-战损相关'!$D$2-BS349</f>
        <v>#REF!</v>
      </c>
      <c r="BY349" s="2" t="e">
        <f>SUMPRODUCT((BH$4:BH349)*($BR$4:$BR349))*'[1]功能-战损相关'!$D$2-BT349</f>
        <v>#REF!</v>
      </c>
      <c r="BZ349" s="2" t="e">
        <f>SUMPRODUCT((BI$4:BI349)*($BR$4:$BR349))*'[1]功能-战损相关'!$D$2-BU349</f>
        <v>#REF!</v>
      </c>
      <c r="CA349" s="2" t="e">
        <f>SUMPRODUCT((BJ$4:BJ349)*($BR$4:$BR349))*'[1]功能-战损相关'!$D$2-BV349</f>
        <v>#REF!</v>
      </c>
      <c r="CB349" s="2" t="e">
        <f>SUMPRODUCT((BK$4:BK349)*($BR$4:$BR349))*'[1]功能-战损相关'!$D$2-BW349</f>
        <v>#REF!</v>
      </c>
    </row>
    <row r="350" spans="40:80" x14ac:dyDescent="0.2">
      <c r="AN350" s="2">
        <v>347</v>
      </c>
      <c r="AO350" s="2">
        <f>求节点(节奏总纲!D$4:D$163,AH$4:AH$163,$AN350)*其他调用!H351*其他调用!$M351</f>
        <v>280967321.77817512</v>
      </c>
      <c r="AP350" s="2">
        <f>求节点(节奏总纲!E$4:E$163,AI$4:AI$163,$AN350)*其他调用!I351*其他调用!$M351</f>
        <v>322368502.86246526</v>
      </c>
      <c r="AQ350" s="2">
        <f>求节点(节奏总纲!F$4:F$163,AJ$4:AJ$163,$AN350)*其他调用!J351*其他调用!$M351</f>
        <v>32722289.790611215</v>
      </c>
      <c r="AR350" s="2">
        <f>求节点(节奏总纲!G$4:G$163,AK$4:AK$163,$AN350)*其他调用!K351*其他调用!$M351</f>
        <v>6910503.1157222912</v>
      </c>
      <c r="AS350" s="2">
        <f>求节点(节奏总纲!H$4:H$163,AL$4:AL$163,$AN350)*其他调用!L351*其他调用!$M351</f>
        <v>2310526.1650188151</v>
      </c>
      <c r="AT350" s="2">
        <f t="shared" si="23"/>
        <v>645279143.71199274</v>
      </c>
      <c r="BF350" s="2">
        <v>347</v>
      </c>
      <c r="BG350" s="2">
        <f>求节点(节奏总纲!D$4:D$163,AZ$4:AZ$163,$AN350)</f>
        <v>8662.9740364161589</v>
      </c>
      <c r="BH350" s="2">
        <f>求节点(节奏总纲!E$4:E$163,BA$4:BA$163,$AN350)</f>
        <v>26685.327379172199</v>
      </c>
      <c r="BI350" s="2">
        <f>求节点(节奏总纲!F$4:F$163,BB$4:BB$163,$AN350)</f>
        <v>82845.659990005268</v>
      </c>
      <c r="BJ350" s="2">
        <f>求节点(节奏总纲!G$4:G$163,BC$4:BC$163,$AN350)</f>
        <v>39141.034273737256</v>
      </c>
      <c r="BK350" s="2">
        <f>求节点(节奏总纲!H$4:H$163,BD$4:BD$163,$AN350)</f>
        <v>11665.92297931653</v>
      </c>
      <c r="BL350" s="2">
        <f>BG350*其他调用!H351*其他调用!$M351</f>
        <v>415498.32753605535</v>
      </c>
      <c r="BM350" s="2">
        <f>BH350*其他调用!I351*其他调用!$M351</f>
        <v>1261989.526299644</v>
      </c>
      <c r="BN350" s="2">
        <f>BI350*其他调用!J351*其他调用!$M351</f>
        <v>319819.04390508303</v>
      </c>
      <c r="BO350" s="2">
        <f>BJ350*其他调用!K351*其他调用!$M351</f>
        <v>26881.905775065661</v>
      </c>
      <c r="BP350" s="2">
        <f>BK350*其他调用!L351*其他调用!$M351</f>
        <v>2318.2522144497807</v>
      </c>
      <c r="BQ350" s="2">
        <f t="shared" si="24"/>
        <v>2026507.0557302979</v>
      </c>
      <c r="BR350" s="2">
        <f>[1]服务器生态!$R349</f>
        <v>1.6289841650165445E-2</v>
      </c>
      <c r="BS350" s="2" t="e">
        <f>SUMPRODUCT((BG$4:BG350)*($BR$4:$BR350)*(其他调用!#REF!))</f>
        <v>#REF!</v>
      </c>
      <c r="BT350" s="2" t="e">
        <f>SUMPRODUCT((BH$4:BH350)*($BR$4:$BR350)*(其他调用!#REF!))</f>
        <v>#REF!</v>
      </c>
      <c r="BU350" s="2" t="e">
        <f>SUMPRODUCT((BI$4:BI350)*($BR$4:$BR350)*(其他调用!#REF!))</f>
        <v>#REF!</v>
      </c>
      <c r="BV350" s="2" t="e">
        <f>SUMPRODUCT((BJ$4:BJ350)*($BR$4:$BR350)*(其他调用!#REF!))</f>
        <v>#REF!</v>
      </c>
      <c r="BW350" s="2" t="e">
        <f>SUMPRODUCT((BK$4:BK350)*($BR$4:$BR350)*(其他调用!#REF!))</f>
        <v>#REF!</v>
      </c>
      <c r="BX350" s="2" t="e">
        <f>SUMPRODUCT((BG$4:BG350)*($BR$4:$BR350))*'[1]功能-战损相关'!$D$2-BS350</f>
        <v>#REF!</v>
      </c>
      <c r="BY350" s="2" t="e">
        <f>SUMPRODUCT((BH$4:BH350)*($BR$4:$BR350))*'[1]功能-战损相关'!$D$2-BT350</f>
        <v>#REF!</v>
      </c>
      <c r="BZ350" s="2" t="e">
        <f>SUMPRODUCT((BI$4:BI350)*($BR$4:$BR350))*'[1]功能-战损相关'!$D$2-BU350</f>
        <v>#REF!</v>
      </c>
      <c r="CA350" s="2" t="e">
        <f>SUMPRODUCT((BJ$4:BJ350)*($BR$4:$BR350))*'[1]功能-战损相关'!$D$2-BV350</f>
        <v>#REF!</v>
      </c>
      <c r="CB350" s="2" t="e">
        <f>SUMPRODUCT((BK$4:BK350)*($BR$4:$BR350))*'[1]功能-战损相关'!$D$2-BW350</f>
        <v>#REF!</v>
      </c>
    </row>
    <row r="351" spans="40:80" x14ac:dyDescent="0.2">
      <c r="AN351" s="2">
        <v>348</v>
      </c>
      <c r="AO351" s="2">
        <f>求节点(节奏总纲!D$4:D$163,AH$4:AH$163,$AN351)*其他调用!H352*其他调用!$M352</f>
        <v>281334892.01189154</v>
      </c>
      <c r="AP351" s="2">
        <f>求节点(节奏总纲!E$4:E$163,AI$4:AI$163,$AN351)*其他调用!I352*其他调用!$M352</f>
        <v>322754398.46193552</v>
      </c>
      <c r="AQ351" s="2">
        <f>求节点(节奏总纲!F$4:F$163,AJ$4:AJ$163,$AN351)*其他调用!J352*其他调用!$M352</f>
        <v>32765250.884455796</v>
      </c>
      <c r="AR351" s="2">
        <f>求节点(节奏总纲!G$4:G$163,AK$4:AK$163,$AN351)*其他调用!K352*其他调用!$M352</f>
        <v>6915846.2131248163</v>
      </c>
      <c r="AS351" s="2">
        <f>求节点(节奏总纲!H$4:H$163,AL$4:AL$163,$AN351)*其他调用!L352*其他调用!$M352</f>
        <v>2311663.7958666943</v>
      </c>
      <c r="AT351" s="2">
        <f t="shared" si="23"/>
        <v>646082051.36727452</v>
      </c>
      <c r="BF351" s="2">
        <v>348</v>
      </c>
      <c r="BG351" s="2">
        <f>求节点(节奏总纲!D$4:D$163,AZ$4:AZ$163,$AN351)</f>
        <v>8666.2756307986365</v>
      </c>
      <c r="BH351" s="2">
        <f>求节点(节奏总纲!E$4:E$163,BA$4:BA$163,$AN351)</f>
        <v>26695.440492112859</v>
      </c>
      <c r="BI351" s="2">
        <f>求节点(节奏总纲!F$4:F$163,BB$4:BB$163,$AN351)</f>
        <v>82877.8413393394</v>
      </c>
      <c r="BJ351" s="2">
        <f>求节点(节奏总纲!G$4:G$163,BC$4:BC$163,$AN351)</f>
        <v>39148.886778921871</v>
      </c>
      <c r="BK351" s="2">
        <f>求节点(节奏总纲!H$4:H$163,BD$4:BD$163,$AN351)</f>
        <v>11669.382370632278</v>
      </c>
      <c r="BL351" s="2">
        <f>BG351*其他调用!H352*其他调用!$M352</f>
        <v>415656.68042252999</v>
      </c>
      <c r="BM351" s="2">
        <f>BH351*其他调用!I352*其他调用!$M352</f>
        <v>1262467.7907191904</v>
      </c>
      <c r="BN351" s="2">
        <f>BI351*其他调用!J352*其他调用!$M352</f>
        <v>319943.27743013261</v>
      </c>
      <c r="BO351" s="2">
        <f>BJ351*其他调用!K352*其他调用!$M352</f>
        <v>26887.298844216435</v>
      </c>
      <c r="BP351" s="2">
        <f>BK351*其他调用!L352*其他调用!$M352</f>
        <v>2318.9396646920459</v>
      </c>
      <c r="BQ351" s="2">
        <f t="shared" si="24"/>
        <v>2027273.9870807617</v>
      </c>
      <c r="BR351" s="2">
        <f>[1]服务器生态!$R350</f>
        <v>1.6289841650165445E-2</v>
      </c>
      <c r="BS351" s="2" t="e">
        <f>SUMPRODUCT((BG$4:BG351)*($BR$4:$BR351)*(其他调用!#REF!))</f>
        <v>#REF!</v>
      </c>
      <c r="BT351" s="2" t="e">
        <f>SUMPRODUCT((BH$4:BH351)*($BR$4:$BR351)*(其他调用!#REF!))</f>
        <v>#REF!</v>
      </c>
      <c r="BU351" s="2" t="e">
        <f>SUMPRODUCT((BI$4:BI351)*($BR$4:$BR351)*(其他调用!#REF!))</f>
        <v>#REF!</v>
      </c>
      <c r="BV351" s="2" t="e">
        <f>SUMPRODUCT((BJ$4:BJ351)*($BR$4:$BR351)*(其他调用!#REF!))</f>
        <v>#REF!</v>
      </c>
      <c r="BW351" s="2" t="e">
        <f>SUMPRODUCT((BK$4:BK351)*($BR$4:$BR351)*(其他调用!#REF!))</f>
        <v>#REF!</v>
      </c>
      <c r="BX351" s="2" t="e">
        <f>SUMPRODUCT((BG$4:BG351)*($BR$4:$BR351))*'[1]功能-战损相关'!$D$2-BS351</f>
        <v>#REF!</v>
      </c>
      <c r="BY351" s="2" t="e">
        <f>SUMPRODUCT((BH$4:BH351)*($BR$4:$BR351))*'[1]功能-战损相关'!$D$2-BT351</f>
        <v>#REF!</v>
      </c>
      <c r="BZ351" s="2" t="e">
        <f>SUMPRODUCT((BI$4:BI351)*($BR$4:$BR351))*'[1]功能-战损相关'!$D$2-BU351</f>
        <v>#REF!</v>
      </c>
      <c r="CA351" s="2" t="e">
        <f>SUMPRODUCT((BJ$4:BJ351)*($BR$4:$BR351))*'[1]功能-战损相关'!$D$2-BV351</f>
        <v>#REF!</v>
      </c>
      <c r="CB351" s="2" t="e">
        <f>SUMPRODUCT((BK$4:BK351)*($BR$4:$BR351))*'[1]功能-战损相关'!$D$2-BW351</f>
        <v>#REF!</v>
      </c>
    </row>
    <row r="352" spans="40:80" x14ac:dyDescent="0.2">
      <c r="AN352" s="2">
        <v>349</v>
      </c>
      <c r="AO352" s="2">
        <f>求节点(节奏总纲!D$4:D$163,AH$4:AH$163,$AN352)*其他调用!H353*其他调用!$M353</f>
        <v>281702462.24560791</v>
      </c>
      <c r="AP352" s="2">
        <f>求节点(节奏总纲!E$4:E$163,AI$4:AI$163,$AN352)*其他调用!I353*其他调用!$M353</f>
        <v>323140294.06140578</v>
      </c>
      <c r="AQ352" s="2">
        <f>求节点(节奏总纲!F$4:F$163,AJ$4:AJ$163,$AN352)*其他调用!J353*其他调用!$M353</f>
        <v>32808211.978300374</v>
      </c>
      <c r="AR352" s="2">
        <f>求节点(节奏总纲!G$4:G$163,AK$4:AK$163,$AN352)*其他调用!K353*其他调用!$M353</f>
        <v>6921189.3105273414</v>
      </c>
      <c r="AS352" s="2">
        <f>求节点(节奏总纲!H$4:H$163,AL$4:AL$163,$AN352)*其他调用!L353*其他调用!$M353</f>
        <v>2312801.4267145731</v>
      </c>
      <c r="AT352" s="2">
        <f t="shared" si="23"/>
        <v>646884959.02255595</v>
      </c>
      <c r="BF352" s="2">
        <v>349</v>
      </c>
      <c r="BG352" s="2">
        <f>求节点(节奏总纲!D$4:D$163,AZ$4:AZ$163,$AN352)</f>
        <v>8669.5772251811159</v>
      </c>
      <c r="BH352" s="2">
        <f>求节点(节奏总纲!E$4:E$163,BA$4:BA$163,$AN352)</f>
        <v>26705.553605053523</v>
      </c>
      <c r="BI352" s="2">
        <f>求节点(节奏总纲!F$4:F$163,BB$4:BB$163,$AN352)</f>
        <v>82910.022688673547</v>
      </c>
      <c r="BJ352" s="2">
        <f>求节点(节奏总纲!G$4:G$163,BC$4:BC$163,$AN352)</f>
        <v>39156.739284106487</v>
      </c>
      <c r="BK352" s="2">
        <f>求节点(节奏总纲!H$4:H$163,BD$4:BD$163,$AN352)</f>
        <v>11672.841761948026</v>
      </c>
      <c r="BL352" s="2">
        <f>BG352*其他调用!H353*其他调用!$M353</f>
        <v>415815.03330900479</v>
      </c>
      <c r="BM352" s="2">
        <f>BH352*其他调用!I353*其他调用!$M353</f>
        <v>1262946.0551387365</v>
      </c>
      <c r="BN352" s="2">
        <f>BI352*其他调用!J353*其他调用!$M353</f>
        <v>320067.51095518225</v>
      </c>
      <c r="BO352" s="2">
        <f>BJ352*其他调用!K353*其他调用!$M353</f>
        <v>26892.691913367205</v>
      </c>
      <c r="BP352" s="2">
        <f>BK352*其他调用!L353*其他调用!$M353</f>
        <v>2319.6271149343115</v>
      </c>
      <c r="BQ352" s="2">
        <f t="shared" si="24"/>
        <v>2028040.9184312252</v>
      </c>
      <c r="BR352" s="2">
        <f>[1]服务器生态!$R351</f>
        <v>1.6289841650165445E-2</v>
      </c>
      <c r="BS352" s="2" t="e">
        <f>SUMPRODUCT((BG$4:BG352)*($BR$4:$BR352)*(其他调用!#REF!))</f>
        <v>#REF!</v>
      </c>
      <c r="BT352" s="2" t="e">
        <f>SUMPRODUCT((BH$4:BH352)*($BR$4:$BR352)*(其他调用!#REF!))</f>
        <v>#REF!</v>
      </c>
      <c r="BU352" s="2" t="e">
        <f>SUMPRODUCT((BI$4:BI352)*($BR$4:$BR352)*(其他调用!#REF!))</f>
        <v>#REF!</v>
      </c>
      <c r="BV352" s="2" t="e">
        <f>SUMPRODUCT((BJ$4:BJ352)*($BR$4:$BR352)*(其他调用!#REF!))</f>
        <v>#REF!</v>
      </c>
      <c r="BW352" s="2" t="e">
        <f>SUMPRODUCT((BK$4:BK352)*($BR$4:$BR352)*(其他调用!#REF!))</f>
        <v>#REF!</v>
      </c>
      <c r="BX352" s="2" t="e">
        <f>SUMPRODUCT((BG$4:BG352)*($BR$4:$BR352))*'[1]功能-战损相关'!$D$2-BS352</f>
        <v>#REF!</v>
      </c>
      <c r="BY352" s="2" t="e">
        <f>SUMPRODUCT((BH$4:BH352)*($BR$4:$BR352))*'[1]功能-战损相关'!$D$2-BT352</f>
        <v>#REF!</v>
      </c>
      <c r="BZ352" s="2" t="e">
        <f>SUMPRODUCT((BI$4:BI352)*($BR$4:$BR352))*'[1]功能-战损相关'!$D$2-BU352</f>
        <v>#REF!</v>
      </c>
      <c r="CA352" s="2" t="e">
        <f>SUMPRODUCT((BJ$4:BJ352)*($BR$4:$BR352))*'[1]功能-战损相关'!$D$2-BV352</f>
        <v>#REF!</v>
      </c>
      <c r="CB352" s="2" t="e">
        <f>SUMPRODUCT((BK$4:BK352)*($BR$4:$BR352))*'[1]功能-战损相关'!$D$2-BW352</f>
        <v>#REF!</v>
      </c>
    </row>
    <row r="353" spans="40:80" x14ac:dyDescent="0.2">
      <c r="AN353" s="2">
        <v>350</v>
      </c>
      <c r="AO353" s="2">
        <f>求节点(节奏总纲!D$4:D$163,AH$4:AH$163,$AN353)*其他调用!H354*其他调用!$M354</f>
        <v>282070032.47932422</v>
      </c>
      <c r="AP353" s="2">
        <f>求节点(节奏总纲!E$4:E$163,AI$4:AI$163,$AN353)*其他调用!I354*其他调用!$M354</f>
        <v>323526189.66087604</v>
      </c>
      <c r="AQ353" s="2">
        <f>求节点(节奏总纲!F$4:F$163,AJ$4:AJ$163,$AN353)*其他调用!J354*其他调用!$M354</f>
        <v>32851173.072144959</v>
      </c>
      <c r="AR353" s="2">
        <f>求节点(节奏总纲!G$4:G$163,AK$4:AK$163,$AN353)*其他调用!K354*其他调用!$M354</f>
        <v>6926532.4079298666</v>
      </c>
      <c r="AS353" s="2">
        <f>求节点(节奏总纲!H$4:H$163,AL$4:AL$163,$AN353)*其他调用!L354*其他调用!$M354</f>
        <v>2313939.0575624527</v>
      </c>
      <c r="AT353" s="2">
        <f t="shared" si="23"/>
        <v>647687866.67783761</v>
      </c>
      <c r="BF353" s="2">
        <v>350</v>
      </c>
      <c r="BG353" s="2">
        <f>求节点(节奏总纲!D$4:D$163,AZ$4:AZ$163,$AN353)</f>
        <v>8672.8788195635952</v>
      </c>
      <c r="BH353" s="2">
        <f>求节点(节奏总纲!E$4:E$163,BA$4:BA$163,$AN353)</f>
        <v>26715.666717994187</v>
      </c>
      <c r="BI353" s="2">
        <f>求节点(节奏总纲!F$4:F$163,BB$4:BB$163,$AN353)</f>
        <v>82942.20403800768</v>
      </c>
      <c r="BJ353" s="2">
        <f>求节点(节奏总纲!G$4:G$163,BC$4:BC$163,$AN353)</f>
        <v>39164.591789291102</v>
      </c>
      <c r="BK353" s="2">
        <f>求节点(节奏总纲!H$4:H$163,BD$4:BD$163,$AN353)</f>
        <v>11676.301153263772</v>
      </c>
      <c r="BL353" s="2">
        <f>BG353*其他调用!H354*其他调用!$M354</f>
        <v>415973.38619547966</v>
      </c>
      <c r="BM353" s="2">
        <f>BH353*其他调用!I354*其他调用!$M354</f>
        <v>1263424.3195582828</v>
      </c>
      <c r="BN353" s="2">
        <f>BI353*其他调用!J354*其他调用!$M354</f>
        <v>320191.74448023189</v>
      </c>
      <c r="BO353" s="2">
        <f>BJ353*其他调用!K354*其他调用!$M354</f>
        <v>26898.084982517979</v>
      </c>
      <c r="BP353" s="2">
        <f>BK353*其他调用!L354*其他调用!$M354</f>
        <v>2320.3145651765767</v>
      </c>
      <c r="BQ353" s="2">
        <f t="shared" si="24"/>
        <v>2028807.849781689</v>
      </c>
      <c r="BR353" s="2">
        <f>[1]服务器生态!$R352</f>
        <v>1.6289841650165445E-2</v>
      </c>
      <c r="BS353" s="2" t="e">
        <f>SUMPRODUCT((BG$4:BG353)*($BR$4:$BR353)*(其他调用!#REF!))</f>
        <v>#REF!</v>
      </c>
      <c r="BT353" s="2" t="e">
        <f>SUMPRODUCT((BH$4:BH353)*($BR$4:$BR353)*(其他调用!#REF!))</f>
        <v>#REF!</v>
      </c>
      <c r="BU353" s="2" t="e">
        <f>SUMPRODUCT((BI$4:BI353)*($BR$4:$BR353)*(其他调用!#REF!))</f>
        <v>#REF!</v>
      </c>
      <c r="BV353" s="2" t="e">
        <f>SUMPRODUCT((BJ$4:BJ353)*($BR$4:$BR353)*(其他调用!#REF!))</f>
        <v>#REF!</v>
      </c>
      <c r="BW353" s="2" t="e">
        <f>SUMPRODUCT((BK$4:BK353)*($BR$4:$BR353)*(其他调用!#REF!))</f>
        <v>#REF!</v>
      </c>
      <c r="BX353" s="2" t="e">
        <f>SUMPRODUCT((BG$4:BG353)*($BR$4:$BR353))*'[1]功能-战损相关'!$D$2-BS353</f>
        <v>#REF!</v>
      </c>
      <c r="BY353" s="2" t="e">
        <f>SUMPRODUCT((BH$4:BH353)*($BR$4:$BR353))*'[1]功能-战损相关'!$D$2-BT353</f>
        <v>#REF!</v>
      </c>
      <c r="BZ353" s="2" t="e">
        <f>SUMPRODUCT((BI$4:BI353)*($BR$4:$BR353))*'[1]功能-战损相关'!$D$2-BU353</f>
        <v>#REF!</v>
      </c>
      <c r="CA353" s="2" t="e">
        <f>SUMPRODUCT((BJ$4:BJ353)*($BR$4:$BR353))*'[1]功能-战损相关'!$D$2-BV353</f>
        <v>#REF!</v>
      </c>
      <c r="CB353" s="2" t="e">
        <f>SUMPRODUCT((BK$4:BK353)*($BR$4:$BR353))*'[1]功能-战损相关'!$D$2-BW353</f>
        <v>#REF!</v>
      </c>
    </row>
    <row r="354" spans="40:80" x14ac:dyDescent="0.2">
      <c r="AN354" s="2">
        <v>351</v>
      </c>
      <c r="AO354" s="2">
        <f>求节点(节奏总纲!D$4:D$163,AH$4:AH$163,$AN354)*其他调用!H355*其他调用!$M355</f>
        <v>282437602.71304059</v>
      </c>
      <c r="AP354" s="2">
        <f>求节点(节奏总纲!E$4:E$163,AI$4:AI$163,$AN354)*其他调用!I355*其他调用!$M355</f>
        <v>323912085.26034635</v>
      </c>
      <c r="AQ354" s="2">
        <f>求节点(节奏总纲!F$4:F$163,AJ$4:AJ$163,$AN354)*其他调用!J355*其他调用!$M355</f>
        <v>32894134.165989537</v>
      </c>
      <c r="AR354" s="2">
        <f>求节点(节奏总纲!G$4:G$163,AK$4:AK$163,$AN354)*其他调用!K355*其他调用!$M355</f>
        <v>6931875.5053323908</v>
      </c>
      <c r="AS354" s="2">
        <f>求节点(节奏总纲!H$4:H$163,AL$4:AL$163,$AN354)*其他调用!L355*其他调用!$M355</f>
        <v>2315076.6884103324</v>
      </c>
      <c r="AT354" s="2">
        <f t="shared" si="23"/>
        <v>648490774.33311915</v>
      </c>
      <c r="BF354" s="2">
        <v>351</v>
      </c>
      <c r="BG354" s="2">
        <f>求节点(节奏总纲!D$4:D$163,AZ$4:AZ$163,$AN354)</f>
        <v>8676.1804139460728</v>
      </c>
      <c r="BH354" s="2">
        <f>求节点(节奏总纲!E$4:E$163,BA$4:BA$163,$AN354)</f>
        <v>26725.779830934847</v>
      </c>
      <c r="BI354" s="2">
        <f>求节点(节奏总纲!F$4:F$163,BB$4:BB$163,$AN354)</f>
        <v>82974.385387341812</v>
      </c>
      <c r="BJ354" s="2">
        <f>求节点(节奏总纲!G$4:G$163,BC$4:BC$163,$AN354)</f>
        <v>39172.444294475717</v>
      </c>
      <c r="BK354" s="2">
        <f>求节点(节奏总纲!H$4:H$163,BD$4:BD$163,$AN354)</f>
        <v>11679.76054457952</v>
      </c>
      <c r="BL354" s="2">
        <f>BG354*其他调用!H355*其他调用!$M355</f>
        <v>416131.73908195429</v>
      </c>
      <c r="BM354" s="2">
        <f>BH354*其他调用!I355*其他调用!$M355</f>
        <v>1263902.583977829</v>
      </c>
      <c r="BN354" s="2">
        <f>BI354*其他调用!J355*其他调用!$M355</f>
        <v>320315.97800528142</v>
      </c>
      <c r="BO354" s="2">
        <f>BJ354*其他调用!K355*其他调用!$M355</f>
        <v>26903.478051668753</v>
      </c>
      <c r="BP354" s="2">
        <f>BK354*其他调用!L355*其他调用!$M355</f>
        <v>2321.0020154188419</v>
      </c>
      <c r="BQ354" s="2">
        <f t="shared" si="24"/>
        <v>2029574.7811321523</v>
      </c>
      <c r="BR354" s="2">
        <f>[1]服务器生态!$R353</f>
        <v>1.6289841650165445E-2</v>
      </c>
      <c r="BS354" s="2" t="e">
        <f>SUMPRODUCT((BG$4:BG354)*($BR$4:$BR354)*(其他调用!#REF!))</f>
        <v>#REF!</v>
      </c>
      <c r="BT354" s="2" t="e">
        <f>SUMPRODUCT((BH$4:BH354)*($BR$4:$BR354)*(其他调用!#REF!))</f>
        <v>#REF!</v>
      </c>
      <c r="BU354" s="2" t="e">
        <f>SUMPRODUCT((BI$4:BI354)*($BR$4:$BR354)*(其他调用!#REF!))</f>
        <v>#REF!</v>
      </c>
      <c r="BV354" s="2" t="e">
        <f>SUMPRODUCT((BJ$4:BJ354)*($BR$4:$BR354)*(其他调用!#REF!))</f>
        <v>#REF!</v>
      </c>
      <c r="BW354" s="2" t="e">
        <f>SUMPRODUCT((BK$4:BK354)*($BR$4:$BR354)*(其他调用!#REF!))</f>
        <v>#REF!</v>
      </c>
      <c r="BX354" s="2" t="e">
        <f>SUMPRODUCT((BG$4:BG354)*($BR$4:$BR354))*'[1]功能-战损相关'!$D$2-BS354</f>
        <v>#REF!</v>
      </c>
      <c r="BY354" s="2" t="e">
        <f>SUMPRODUCT((BH$4:BH354)*($BR$4:$BR354))*'[1]功能-战损相关'!$D$2-BT354</f>
        <v>#REF!</v>
      </c>
      <c r="BZ354" s="2" t="e">
        <f>SUMPRODUCT((BI$4:BI354)*($BR$4:$BR354))*'[1]功能-战损相关'!$D$2-BU354</f>
        <v>#REF!</v>
      </c>
      <c r="CA354" s="2" t="e">
        <f>SUMPRODUCT((BJ$4:BJ354)*($BR$4:$BR354))*'[1]功能-战损相关'!$D$2-BV354</f>
        <v>#REF!</v>
      </c>
      <c r="CB354" s="2" t="e">
        <f>SUMPRODUCT((BK$4:BK354)*($BR$4:$BR354))*'[1]功能-战损相关'!$D$2-BW354</f>
        <v>#REF!</v>
      </c>
    </row>
    <row r="355" spans="40:80" x14ac:dyDescent="0.2">
      <c r="AN355" s="2">
        <v>352</v>
      </c>
      <c r="AO355" s="2">
        <f>求节点(节奏总纲!D$4:D$163,AH$4:AH$163,$AN355)*其他调用!H356*其他调用!$M356</f>
        <v>282805172.94675696</v>
      </c>
      <c r="AP355" s="2">
        <f>求节点(节奏总纲!E$4:E$163,AI$4:AI$163,$AN355)*其他调用!I356*其他调用!$M356</f>
        <v>324297980.85981661</v>
      </c>
      <c r="AQ355" s="2">
        <f>求节点(节奏总纲!F$4:F$163,AJ$4:AJ$163,$AN355)*其他调用!J356*其他调用!$M356</f>
        <v>32937095.259834126</v>
      </c>
      <c r="AR355" s="2">
        <f>求节点(节奏总纲!G$4:G$163,AK$4:AK$163,$AN355)*其他调用!K356*其他调用!$M356</f>
        <v>6937218.6027349159</v>
      </c>
      <c r="AS355" s="2">
        <f>求节点(节奏总纲!H$4:H$163,AL$4:AL$163,$AN355)*其他调用!L356*其他调用!$M356</f>
        <v>2316214.3192582112</v>
      </c>
      <c r="AT355" s="2">
        <f t="shared" si="23"/>
        <v>649293681.98840094</v>
      </c>
      <c r="BF355" s="2">
        <v>352</v>
      </c>
      <c r="BG355" s="2">
        <f>求节点(节奏总纲!D$4:D$163,AZ$4:AZ$163,$AN355)</f>
        <v>8679.4820083285522</v>
      </c>
      <c r="BH355" s="2">
        <f>求节点(节奏总纲!E$4:E$163,BA$4:BA$163,$AN355)</f>
        <v>26735.892943875511</v>
      </c>
      <c r="BI355" s="2">
        <f>求节点(节奏总纲!F$4:F$163,BB$4:BB$163,$AN355)</f>
        <v>83006.566736675944</v>
      </c>
      <c r="BJ355" s="2">
        <f>求节点(节奏总纲!G$4:G$163,BC$4:BC$163,$AN355)</f>
        <v>39180.296799660333</v>
      </c>
      <c r="BK355" s="2">
        <f>求节点(节奏总纲!H$4:H$163,BD$4:BD$163,$AN355)</f>
        <v>11683.219935895268</v>
      </c>
      <c r="BL355" s="2">
        <f>BG355*其他调用!H356*其他调用!$M356</f>
        <v>416290.0919684291</v>
      </c>
      <c r="BM355" s="2">
        <f>BH355*其他调用!I356*其他调用!$M356</f>
        <v>1264380.8483973753</v>
      </c>
      <c r="BN355" s="2">
        <f>BI355*其他调用!J356*其他调用!$M356</f>
        <v>320440.21153033106</v>
      </c>
      <c r="BO355" s="2">
        <f>BJ355*其他调用!K356*其他调用!$M356</f>
        <v>26908.871120819527</v>
      </c>
      <c r="BP355" s="2">
        <f>BK355*其他调用!L356*其他调用!$M356</f>
        <v>2321.6894656611071</v>
      </c>
      <c r="BQ355" s="2">
        <f t="shared" si="24"/>
        <v>2030341.7124826161</v>
      </c>
      <c r="BR355" s="2">
        <f>[1]服务器生态!$R354</f>
        <v>1.6289841650165445E-2</v>
      </c>
      <c r="BS355" s="2" t="e">
        <f>SUMPRODUCT((BG$4:BG355)*($BR$4:$BR355)*(其他调用!#REF!))</f>
        <v>#REF!</v>
      </c>
      <c r="BT355" s="2" t="e">
        <f>SUMPRODUCT((BH$4:BH355)*($BR$4:$BR355)*(其他调用!#REF!))</f>
        <v>#REF!</v>
      </c>
      <c r="BU355" s="2" t="e">
        <f>SUMPRODUCT((BI$4:BI355)*($BR$4:$BR355)*(其他调用!#REF!))</f>
        <v>#REF!</v>
      </c>
      <c r="BV355" s="2" t="e">
        <f>SUMPRODUCT((BJ$4:BJ355)*($BR$4:$BR355)*(其他调用!#REF!))</f>
        <v>#REF!</v>
      </c>
      <c r="BW355" s="2" t="e">
        <f>SUMPRODUCT((BK$4:BK355)*($BR$4:$BR355)*(其他调用!#REF!))</f>
        <v>#REF!</v>
      </c>
      <c r="BX355" s="2" t="e">
        <f>SUMPRODUCT((BG$4:BG355)*($BR$4:$BR355))*'[1]功能-战损相关'!$D$2-BS355</f>
        <v>#REF!</v>
      </c>
      <c r="BY355" s="2" t="e">
        <f>SUMPRODUCT((BH$4:BH355)*($BR$4:$BR355))*'[1]功能-战损相关'!$D$2-BT355</f>
        <v>#REF!</v>
      </c>
      <c r="BZ355" s="2" t="e">
        <f>SUMPRODUCT((BI$4:BI355)*($BR$4:$BR355))*'[1]功能-战损相关'!$D$2-BU355</f>
        <v>#REF!</v>
      </c>
      <c r="CA355" s="2" t="e">
        <f>SUMPRODUCT((BJ$4:BJ355)*($BR$4:$BR355))*'[1]功能-战损相关'!$D$2-BV355</f>
        <v>#REF!</v>
      </c>
      <c r="CB355" s="2" t="e">
        <f>SUMPRODUCT((BK$4:BK355)*($BR$4:$BR355))*'[1]功能-战损相关'!$D$2-BW355</f>
        <v>#REF!</v>
      </c>
    </row>
    <row r="356" spans="40:80" x14ac:dyDescent="0.2">
      <c r="AN356" s="2">
        <v>353</v>
      </c>
      <c r="AO356" s="2">
        <f>求节点(节奏总纲!D$4:D$163,AH$4:AH$163,$AN356)*其他调用!H357*其他调用!$M357</f>
        <v>283172743.18047333</v>
      </c>
      <c r="AP356" s="2">
        <f>求节点(节奏总纲!E$4:E$163,AI$4:AI$163,$AN356)*其他调用!I357*其他调用!$M357</f>
        <v>324683876.45928693</v>
      </c>
      <c r="AQ356" s="2">
        <f>求节点(节奏总纲!F$4:F$163,AJ$4:AJ$163,$AN356)*其他调用!J357*其他调用!$M357</f>
        <v>32980056.353678707</v>
      </c>
      <c r="AR356" s="2">
        <f>求节点(节奏总纲!G$4:G$163,AK$4:AK$163,$AN356)*其他调用!K357*其他调用!$M357</f>
        <v>6942561.700137441</v>
      </c>
      <c r="AS356" s="2">
        <f>求节点(节奏总纲!H$4:H$163,AL$4:AL$163,$AN356)*其他调用!L357*其他调用!$M357</f>
        <v>2317351.9501060904</v>
      </c>
      <c r="AT356" s="2">
        <f t="shared" si="23"/>
        <v>650096589.6436826</v>
      </c>
      <c r="BF356" s="2">
        <v>353</v>
      </c>
      <c r="BG356" s="2">
        <f>求节点(节奏总纲!D$4:D$163,AZ$4:AZ$163,$AN356)</f>
        <v>8682.7836027110297</v>
      </c>
      <c r="BH356" s="2">
        <f>求节点(节奏总纲!E$4:E$163,BA$4:BA$163,$AN356)</f>
        <v>26746.006056816172</v>
      </c>
      <c r="BI356" s="2">
        <f>求节点(节奏总纲!F$4:F$163,BB$4:BB$163,$AN356)</f>
        <v>83038.748086010077</v>
      </c>
      <c r="BJ356" s="2">
        <f>求节点(节奏总纲!G$4:G$163,BC$4:BC$163,$AN356)</f>
        <v>39188.149304844956</v>
      </c>
      <c r="BK356" s="2">
        <f>求节点(节奏总纲!H$4:H$163,BD$4:BD$163,$AN356)</f>
        <v>11686.679327211015</v>
      </c>
      <c r="BL356" s="2">
        <f>BG356*其他调用!H357*其他调用!$M357</f>
        <v>416448.44485490373</v>
      </c>
      <c r="BM356" s="2">
        <f>BH356*其他调用!I357*其他调用!$M357</f>
        <v>1264859.1128169214</v>
      </c>
      <c r="BN356" s="2">
        <f>BI356*其他调用!J357*其他调用!$M357</f>
        <v>320564.44505538064</v>
      </c>
      <c r="BO356" s="2">
        <f>BJ356*其他调用!K357*其他调用!$M357</f>
        <v>26914.264189970305</v>
      </c>
      <c r="BP356" s="2">
        <f>BK356*其他调用!L357*其他调用!$M357</f>
        <v>2322.3769159033727</v>
      </c>
      <c r="BQ356" s="2">
        <f t="shared" si="24"/>
        <v>2031108.6438330794</v>
      </c>
      <c r="BR356" s="2">
        <f>[1]服务器生态!$R355</f>
        <v>1.6289841650165445E-2</v>
      </c>
      <c r="BS356" s="2" t="e">
        <f>SUMPRODUCT((BG$4:BG356)*($BR$4:$BR356)*(其他调用!#REF!))</f>
        <v>#REF!</v>
      </c>
      <c r="BT356" s="2" t="e">
        <f>SUMPRODUCT((BH$4:BH356)*($BR$4:$BR356)*(其他调用!#REF!))</f>
        <v>#REF!</v>
      </c>
      <c r="BU356" s="2" t="e">
        <f>SUMPRODUCT((BI$4:BI356)*($BR$4:$BR356)*(其他调用!#REF!))</f>
        <v>#REF!</v>
      </c>
      <c r="BV356" s="2" t="e">
        <f>SUMPRODUCT((BJ$4:BJ356)*($BR$4:$BR356)*(其他调用!#REF!))</f>
        <v>#REF!</v>
      </c>
      <c r="BW356" s="2" t="e">
        <f>SUMPRODUCT((BK$4:BK356)*($BR$4:$BR356)*(其他调用!#REF!))</f>
        <v>#REF!</v>
      </c>
      <c r="BX356" s="2" t="e">
        <f>SUMPRODUCT((BG$4:BG356)*($BR$4:$BR356))*'[1]功能-战损相关'!$D$2-BS356</f>
        <v>#REF!</v>
      </c>
      <c r="BY356" s="2" t="e">
        <f>SUMPRODUCT((BH$4:BH356)*($BR$4:$BR356))*'[1]功能-战损相关'!$D$2-BT356</f>
        <v>#REF!</v>
      </c>
      <c r="BZ356" s="2" t="e">
        <f>SUMPRODUCT((BI$4:BI356)*($BR$4:$BR356))*'[1]功能-战损相关'!$D$2-BU356</f>
        <v>#REF!</v>
      </c>
      <c r="CA356" s="2" t="e">
        <f>SUMPRODUCT((BJ$4:BJ356)*($BR$4:$BR356))*'[1]功能-战损相关'!$D$2-BV356</f>
        <v>#REF!</v>
      </c>
      <c r="CB356" s="2" t="e">
        <f>SUMPRODUCT((BK$4:BK356)*($BR$4:$BR356))*'[1]功能-战损相关'!$D$2-BW356</f>
        <v>#REF!</v>
      </c>
    </row>
    <row r="357" spans="40:80" x14ac:dyDescent="0.2">
      <c r="AN357" s="2">
        <v>354</v>
      </c>
      <c r="AO357" s="2">
        <f>求节点(节奏总纲!D$4:D$163,AH$4:AH$163,$AN357)*其他调用!H358*其他调用!$M358</f>
        <v>283540313.4141897</v>
      </c>
      <c r="AP357" s="2">
        <f>求节点(节奏总纲!E$4:E$163,AI$4:AI$163,$AN357)*其他调用!I358*其他调用!$M358</f>
        <v>325069772.05875719</v>
      </c>
      <c r="AQ357" s="2">
        <f>求节点(节奏总纲!F$4:F$163,AJ$4:AJ$163,$AN357)*其他调用!J358*其他调用!$M358</f>
        <v>33023017.447523288</v>
      </c>
      <c r="AR357" s="2">
        <f>求节点(节奏总纲!G$4:G$163,AK$4:AK$163,$AN357)*其他调用!K358*其他调用!$M358</f>
        <v>6947904.7975399662</v>
      </c>
      <c r="AS357" s="2">
        <f>求节点(节奏总纲!H$4:H$163,AL$4:AL$163,$AN357)*其他调用!L358*其他调用!$M358</f>
        <v>2318489.5809539701</v>
      </c>
      <c r="AT357" s="2">
        <f t="shared" si="23"/>
        <v>650899497.29896402</v>
      </c>
      <c r="BF357" s="2">
        <v>354</v>
      </c>
      <c r="BG357" s="2">
        <f>求节点(节奏总纲!D$4:D$163,AZ$4:AZ$163,$AN357)</f>
        <v>8686.0851970935091</v>
      </c>
      <c r="BH357" s="2">
        <f>求节点(节奏总纲!E$4:E$163,BA$4:BA$163,$AN357)</f>
        <v>26756.119169756836</v>
      </c>
      <c r="BI357" s="2">
        <f>求节点(节奏总纲!F$4:F$163,BB$4:BB$163,$AN357)</f>
        <v>83070.929435344209</v>
      </c>
      <c r="BJ357" s="2">
        <f>求节点(节奏总纲!G$4:G$163,BC$4:BC$163,$AN357)</f>
        <v>39196.001810029571</v>
      </c>
      <c r="BK357" s="2">
        <f>求节点(节奏总纲!H$4:H$163,BD$4:BD$163,$AN357)</f>
        <v>11690.138718526763</v>
      </c>
      <c r="BL357" s="2">
        <f>BG357*其他调用!H358*其他调用!$M358</f>
        <v>416606.79774137854</v>
      </c>
      <c r="BM357" s="2">
        <f>BH357*其他调用!I358*其他调用!$M358</f>
        <v>1265337.3772364678</v>
      </c>
      <c r="BN357" s="2">
        <f>BI357*其他调用!J358*其他调用!$M358</f>
        <v>320688.67858043016</v>
      </c>
      <c r="BO357" s="2">
        <f>BJ357*其他调用!K358*其他调用!$M358</f>
        <v>26919.657259121079</v>
      </c>
      <c r="BP357" s="2">
        <f>BK357*其他调用!L358*其他调用!$M358</f>
        <v>2323.0643661456379</v>
      </c>
      <c r="BQ357" s="2">
        <f t="shared" si="24"/>
        <v>2031875.5751835431</v>
      </c>
      <c r="BR357" s="2">
        <f>[1]服务器生态!$R356</f>
        <v>1.6289841650165445E-2</v>
      </c>
      <c r="BS357" s="2" t="e">
        <f>SUMPRODUCT((BG$4:BG357)*($BR$4:$BR357)*(其他调用!#REF!))</f>
        <v>#REF!</v>
      </c>
      <c r="BT357" s="2" t="e">
        <f>SUMPRODUCT((BH$4:BH357)*($BR$4:$BR357)*(其他调用!#REF!))</f>
        <v>#REF!</v>
      </c>
      <c r="BU357" s="2" t="e">
        <f>SUMPRODUCT((BI$4:BI357)*($BR$4:$BR357)*(其他调用!#REF!))</f>
        <v>#REF!</v>
      </c>
      <c r="BV357" s="2" t="e">
        <f>SUMPRODUCT((BJ$4:BJ357)*($BR$4:$BR357)*(其他调用!#REF!))</f>
        <v>#REF!</v>
      </c>
      <c r="BW357" s="2" t="e">
        <f>SUMPRODUCT((BK$4:BK357)*($BR$4:$BR357)*(其他调用!#REF!))</f>
        <v>#REF!</v>
      </c>
      <c r="BX357" s="2" t="e">
        <f>SUMPRODUCT((BG$4:BG357)*($BR$4:$BR357))*'[1]功能-战损相关'!$D$2-BS357</f>
        <v>#REF!</v>
      </c>
      <c r="BY357" s="2" t="e">
        <f>SUMPRODUCT((BH$4:BH357)*($BR$4:$BR357))*'[1]功能-战损相关'!$D$2-BT357</f>
        <v>#REF!</v>
      </c>
      <c r="BZ357" s="2" t="e">
        <f>SUMPRODUCT((BI$4:BI357)*($BR$4:$BR357))*'[1]功能-战损相关'!$D$2-BU357</f>
        <v>#REF!</v>
      </c>
      <c r="CA357" s="2" t="e">
        <f>SUMPRODUCT((BJ$4:BJ357)*($BR$4:$BR357))*'[1]功能-战损相关'!$D$2-BV357</f>
        <v>#REF!</v>
      </c>
      <c r="CB357" s="2" t="e">
        <f>SUMPRODUCT((BK$4:BK357)*($BR$4:$BR357))*'[1]功能-战损相关'!$D$2-BW357</f>
        <v>#REF!</v>
      </c>
    </row>
    <row r="358" spans="40:80" x14ac:dyDescent="0.2">
      <c r="AN358" s="2">
        <v>355</v>
      </c>
      <c r="AO358" s="2">
        <f>求节点(节奏总纲!D$4:D$163,AH$4:AH$163,$AN358)*其他调用!H359*其他调用!$M359</f>
        <v>283907883.64790606</v>
      </c>
      <c r="AP358" s="2">
        <f>求节点(节奏总纲!E$4:E$163,AI$4:AI$163,$AN358)*其他调用!I359*其他调用!$M359</f>
        <v>325455667.65822744</v>
      </c>
      <c r="AQ358" s="2">
        <f>求节点(节奏总纲!F$4:F$163,AJ$4:AJ$163,$AN358)*其他调用!J359*其他调用!$M359</f>
        <v>33059826.591809101</v>
      </c>
      <c r="AR358" s="2">
        <f>求节点(节奏总纲!G$4:G$163,AK$4:AK$163,$AN358)*其他调用!K359*其他调用!$M359</f>
        <v>6953247.8949424913</v>
      </c>
      <c r="AS358" s="2">
        <f>求节点(节奏总纲!H$4:H$163,AL$4:AL$163,$AN358)*其他调用!L359*其他调用!$M359</f>
        <v>2319627.2118018493</v>
      </c>
      <c r="AT358" s="2">
        <f t="shared" si="23"/>
        <v>651696253.00468707</v>
      </c>
      <c r="BF358" s="2">
        <v>355</v>
      </c>
      <c r="BG358" s="2">
        <f>求节点(节奏总纲!D$4:D$163,AZ$4:AZ$163,$AN358)</f>
        <v>8689.3867914759885</v>
      </c>
      <c r="BH358" s="2">
        <f>求节点(节奏总纲!E$4:E$163,BA$4:BA$163,$AN358)</f>
        <v>26766.2322826975</v>
      </c>
      <c r="BI358" s="2">
        <f>求节点(节奏总纲!F$4:F$163,BB$4:BB$163,$AN358)</f>
        <v>83099.57421979928</v>
      </c>
      <c r="BJ358" s="2">
        <f>求节点(节奏总纲!G$4:G$163,BC$4:BC$163,$AN358)</f>
        <v>39203.854315214186</v>
      </c>
      <c r="BK358" s="2">
        <f>求节点(节奏总纲!H$4:H$163,BD$4:BD$163,$AN358)</f>
        <v>11693.598109842511</v>
      </c>
      <c r="BL358" s="2">
        <f>BG358*其他调用!H359*其他调用!$M359</f>
        <v>416765.15062785341</v>
      </c>
      <c r="BM358" s="2">
        <f>BH358*其他调用!I359*其他调用!$M359</f>
        <v>1265815.6416560141</v>
      </c>
      <c r="BN358" s="2">
        <f>BI358*其他调用!J359*其他调用!$M359</f>
        <v>320799.25947963959</v>
      </c>
      <c r="BO358" s="2">
        <f>BJ358*其他调用!K359*其他调用!$M359</f>
        <v>26925.050328271853</v>
      </c>
      <c r="BP358" s="2">
        <f>BK358*其他调用!L359*其他调用!$M359</f>
        <v>2323.7518163879035</v>
      </c>
      <c r="BQ358" s="2">
        <f t="shared" si="24"/>
        <v>2032628.853908167</v>
      </c>
      <c r="BR358" s="2">
        <f>[1]服务器生态!$R357</f>
        <v>1.6289841650165445E-2</v>
      </c>
      <c r="BS358" s="2" t="e">
        <f>SUMPRODUCT((BG$4:BG358)*($BR$4:$BR358)*(其他调用!#REF!))</f>
        <v>#REF!</v>
      </c>
      <c r="BT358" s="2" t="e">
        <f>SUMPRODUCT((BH$4:BH358)*($BR$4:$BR358)*(其他调用!#REF!))</f>
        <v>#REF!</v>
      </c>
      <c r="BU358" s="2" t="e">
        <f>SUMPRODUCT((BI$4:BI358)*($BR$4:$BR358)*(其他调用!#REF!))</f>
        <v>#REF!</v>
      </c>
      <c r="BV358" s="2" t="e">
        <f>SUMPRODUCT((BJ$4:BJ358)*($BR$4:$BR358)*(其他调用!#REF!))</f>
        <v>#REF!</v>
      </c>
      <c r="BW358" s="2" t="e">
        <f>SUMPRODUCT((BK$4:BK358)*($BR$4:$BR358)*(其他调用!#REF!))</f>
        <v>#REF!</v>
      </c>
      <c r="BX358" s="2" t="e">
        <f>SUMPRODUCT((BG$4:BG358)*($BR$4:$BR358))*'[1]功能-战损相关'!$D$2-BS358</f>
        <v>#REF!</v>
      </c>
      <c r="BY358" s="2" t="e">
        <f>SUMPRODUCT((BH$4:BH358)*($BR$4:$BR358))*'[1]功能-战损相关'!$D$2-BT358</f>
        <v>#REF!</v>
      </c>
      <c r="BZ358" s="2" t="e">
        <f>SUMPRODUCT((BI$4:BI358)*($BR$4:$BR358))*'[1]功能-战损相关'!$D$2-BU358</f>
        <v>#REF!</v>
      </c>
      <c r="CA358" s="2" t="e">
        <f>SUMPRODUCT((BJ$4:BJ358)*($BR$4:$BR358))*'[1]功能-战损相关'!$D$2-BV358</f>
        <v>#REF!</v>
      </c>
      <c r="CB358" s="2" t="e">
        <f>SUMPRODUCT((BK$4:BK358)*($BR$4:$BR358))*'[1]功能-战损相关'!$D$2-BW358</f>
        <v>#REF!</v>
      </c>
    </row>
    <row r="359" spans="40:80" x14ac:dyDescent="0.2">
      <c r="AN359" s="2">
        <v>356</v>
      </c>
      <c r="AO359" s="2">
        <f>求节点(节奏总纲!D$4:D$163,AH$4:AH$163,$AN359)*其他调用!H360*其他调用!$M360</f>
        <v>284275453.88162243</v>
      </c>
      <c r="AP359" s="2">
        <f>求节点(节奏总纲!E$4:E$163,AI$4:AI$163,$AN359)*其他调用!I360*其他调用!$M360</f>
        <v>325841563.25769776</v>
      </c>
      <c r="AQ359" s="2">
        <f>求节点(节奏总纲!F$4:F$163,AJ$4:AJ$163,$AN359)*其他调用!J360*其他调用!$M360</f>
        <v>33095772.919908226</v>
      </c>
      <c r="AR359" s="2">
        <f>求节点(节奏总纲!G$4:G$163,AK$4:AK$163,$AN359)*其他调用!K360*其他调用!$M360</f>
        <v>6958270.7637762865</v>
      </c>
      <c r="AS359" s="2">
        <f>求节点(节奏总纲!H$4:H$163,AL$4:AL$163,$AN359)*其他调用!L360*其他调用!$M360</f>
        <v>2320764.8426497281</v>
      </c>
      <c r="AT359" s="2">
        <f t="shared" si="23"/>
        <v>652491825.66565442</v>
      </c>
      <c r="BF359" s="2">
        <v>356</v>
      </c>
      <c r="BG359" s="2">
        <f>求节点(节奏总纲!D$4:D$163,AZ$4:AZ$163,$AN359)</f>
        <v>8692.6883858584661</v>
      </c>
      <c r="BH359" s="2">
        <f>求节点(节奏总纲!E$4:E$163,BA$4:BA$163,$AN359)</f>
        <v>26776.34539563816</v>
      </c>
      <c r="BI359" s="2">
        <f>求节点(节奏总纲!F$4:F$163,BB$4:BB$163,$AN359)</f>
        <v>83127.722998005644</v>
      </c>
      <c r="BJ359" s="2">
        <f>求节点(节奏总纲!G$4:G$163,BC$4:BC$163,$AN359)</f>
        <v>39211.427075604581</v>
      </c>
      <c r="BK359" s="2">
        <f>求节点(节奏总纲!H$4:H$163,BD$4:BD$163,$AN359)</f>
        <v>11697.057501158259</v>
      </c>
      <c r="BL359" s="2">
        <f>BG359*其他调用!H360*其他调用!$M360</f>
        <v>416923.50351432804</v>
      </c>
      <c r="BM359" s="2">
        <f>BH359*其他调用!I360*其他调用!$M360</f>
        <v>1266293.9060755603</v>
      </c>
      <c r="BN359" s="2">
        <f>BI359*其他调用!J360*其他调用!$M360</f>
        <v>320907.92558639933</v>
      </c>
      <c r="BO359" s="2">
        <f>BJ359*其他调用!K360*其他调用!$M360</f>
        <v>26930.251269816934</v>
      </c>
      <c r="BP359" s="2">
        <f>BK359*其他调用!L360*其他调用!$M360</f>
        <v>2324.4392666301687</v>
      </c>
      <c r="BQ359" s="2">
        <f t="shared" si="24"/>
        <v>2033380.0257127348</v>
      </c>
      <c r="BR359" s="2">
        <f>[1]服务器生态!$R358</f>
        <v>1.6289841650165445E-2</v>
      </c>
      <c r="BS359" s="2" t="e">
        <f>SUMPRODUCT((BG$4:BG359)*($BR$4:$BR359)*(其他调用!#REF!))</f>
        <v>#REF!</v>
      </c>
      <c r="BT359" s="2" t="e">
        <f>SUMPRODUCT((BH$4:BH359)*($BR$4:$BR359)*(其他调用!#REF!))</f>
        <v>#REF!</v>
      </c>
      <c r="BU359" s="2" t="e">
        <f>SUMPRODUCT((BI$4:BI359)*($BR$4:$BR359)*(其他调用!#REF!))</f>
        <v>#REF!</v>
      </c>
      <c r="BV359" s="2" t="e">
        <f>SUMPRODUCT((BJ$4:BJ359)*($BR$4:$BR359)*(其他调用!#REF!))</f>
        <v>#REF!</v>
      </c>
      <c r="BW359" s="2" t="e">
        <f>SUMPRODUCT((BK$4:BK359)*($BR$4:$BR359)*(其他调用!#REF!))</f>
        <v>#REF!</v>
      </c>
      <c r="BX359" s="2" t="e">
        <f>SUMPRODUCT((BG$4:BG359)*($BR$4:$BR359))*'[1]功能-战损相关'!$D$2-BS359</f>
        <v>#REF!</v>
      </c>
      <c r="BY359" s="2" t="e">
        <f>SUMPRODUCT((BH$4:BH359)*($BR$4:$BR359))*'[1]功能-战损相关'!$D$2-BT359</f>
        <v>#REF!</v>
      </c>
      <c r="BZ359" s="2" t="e">
        <f>SUMPRODUCT((BI$4:BI359)*($BR$4:$BR359))*'[1]功能-战损相关'!$D$2-BU359</f>
        <v>#REF!</v>
      </c>
      <c r="CA359" s="2" t="e">
        <f>SUMPRODUCT((BJ$4:BJ359)*($BR$4:$BR359))*'[1]功能-战损相关'!$D$2-BV359</f>
        <v>#REF!</v>
      </c>
      <c r="CB359" s="2" t="e">
        <f>SUMPRODUCT((BK$4:BK359)*($BR$4:$BR359))*'[1]功能-战损相关'!$D$2-BW359</f>
        <v>#REF!</v>
      </c>
    </row>
    <row r="360" spans="40:80" x14ac:dyDescent="0.2">
      <c r="AN360" s="2">
        <v>357</v>
      </c>
      <c r="AO360" s="2">
        <f>求节点(节奏总纲!D$4:D$163,AH$4:AH$163,$AN360)*其他调用!H361*其他调用!$M361</f>
        <v>284643024.1153388</v>
      </c>
      <c r="AP360" s="2">
        <f>求节点(节奏总纲!E$4:E$163,AI$4:AI$163,$AN360)*其他调用!I361*其他调用!$M361</f>
        <v>326227458.85716802</v>
      </c>
      <c r="AQ360" s="2">
        <f>求节点(节奏总纲!F$4:F$163,AJ$4:AJ$163,$AN360)*其他调用!J361*其他调用!$M361</f>
        <v>33131719.248007342</v>
      </c>
      <c r="AR360" s="2">
        <f>求节点(节奏总纲!G$4:G$163,AK$4:AK$163,$AN360)*其他调用!K361*其他调用!$M361</f>
        <v>6963086.7233426692</v>
      </c>
      <c r="AS360" s="2">
        <f>求节点(节奏总纲!H$4:H$163,AL$4:AL$163,$AN360)*其他调用!L361*其他调用!$M361</f>
        <v>2321902.4734976077</v>
      </c>
      <c r="AT360" s="2">
        <f t="shared" si="23"/>
        <v>653287191.41735435</v>
      </c>
      <c r="BF360" s="2">
        <v>357</v>
      </c>
      <c r="BG360" s="2">
        <f>求节点(节奏总纲!D$4:D$163,AZ$4:AZ$163,$AN360)</f>
        <v>8695.9899802409454</v>
      </c>
      <c r="BH360" s="2">
        <f>求节点(节奏总纲!E$4:E$163,BA$4:BA$163,$AN360)</f>
        <v>26786.458508578824</v>
      </c>
      <c r="BI360" s="2">
        <f>求节点(节奏总纲!F$4:F$163,BB$4:BB$163,$AN360)</f>
        <v>83155.871776212007</v>
      </c>
      <c r="BJ360" s="2">
        <f>求节点(节奏总纲!G$4:G$163,BC$4:BC$163,$AN360)</f>
        <v>39218.819084506547</v>
      </c>
      <c r="BK360" s="2">
        <f>求节点(节奏总纲!H$4:H$163,BD$4:BD$163,$AN360)</f>
        <v>11700.516892474006</v>
      </c>
      <c r="BL360" s="2">
        <f>BG360*其他调用!H361*其他调用!$M361</f>
        <v>417081.85640080285</v>
      </c>
      <c r="BM360" s="2">
        <f>BH360*其他调用!I361*其他调用!$M361</f>
        <v>1266772.1704951066</v>
      </c>
      <c r="BN360" s="2">
        <f>BI360*其他调用!J361*其他调用!$M361</f>
        <v>321016.59169315902</v>
      </c>
      <c r="BO360" s="2">
        <f>BJ360*其他调用!K361*其他调用!$M361</f>
        <v>26935.328071962766</v>
      </c>
      <c r="BP360" s="2">
        <f>BK360*其他调用!L361*其他调用!$M361</f>
        <v>2325.1267168724344</v>
      </c>
      <c r="BQ360" s="2">
        <f t="shared" si="24"/>
        <v>2034131.0733779038</v>
      </c>
      <c r="BR360" s="2">
        <f>[1]服务器生态!$R359</f>
        <v>1.6289841650165445E-2</v>
      </c>
      <c r="BS360" s="2" t="e">
        <f>SUMPRODUCT((BG$4:BG360)*($BR$4:$BR360)*(其他调用!#REF!))</f>
        <v>#REF!</v>
      </c>
      <c r="BT360" s="2" t="e">
        <f>SUMPRODUCT((BH$4:BH360)*($BR$4:$BR360)*(其他调用!#REF!))</f>
        <v>#REF!</v>
      </c>
      <c r="BU360" s="2" t="e">
        <f>SUMPRODUCT((BI$4:BI360)*($BR$4:$BR360)*(其他调用!#REF!))</f>
        <v>#REF!</v>
      </c>
      <c r="BV360" s="2" t="e">
        <f>SUMPRODUCT((BJ$4:BJ360)*($BR$4:$BR360)*(其他调用!#REF!))</f>
        <v>#REF!</v>
      </c>
      <c r="BW360" s="2" t="e">
        <f>SUMPRODUCT((BK$4:BK360)*($BR$4:$BR360)*(其他调用!#REF!))</f>
        <v>#REF!</v>
      </c>
      <c r="BX360" s="2" t="e">
        <f>SUMPRODUCT((BG$4:BG360)*($BR$4:$BR360))*'[1]功能-战损相关'!$D$2-BS360</f>
        <v>#REF!</v>
      </c>
      <c r="BY360" s="2" t="e">
        <f>SUMPRODUCT((BH$4:BH360)*($BR$4:$BR360))*'[1]功能-战损相关'!$D$2-BT360</f>
        <v>#REF!</v>
      </c>
      <c r="BZ360" s="2" t="e">
        <f>SUMPRODUCT((BI$4:BI360)*($BR$4:$BR360))*'[1]功能-战损相关'!$D$2-BU360</f>
        <v>#REF!</v>
      </c>
      <c r="CA360" s="2" t="e">
        <f>SUMPRODUCT((BJ$4:BJ360)*($BR$4:$BR360))*'[1]功能-战损相关'!$D$2-BV360</f>
        <v>#REF!</v>
      </c>
      <c r="CB360" s="2" t="e">
        <f>SUMPRODUCT((BK$4:BK360)*($BR$4:$BR360))*'[1]功能-战损相关'!$D$2-BW360</f>
        <v>#REF!</v>
      </c>
    </row>
    <row r="361" spans="40:80" x14ac:dyDescent="0.2">
      <c r="AN361" s="2">
        <v>358</v>
      </c>
      <c r="AO361" s="2">
        <f>求节点(节奏总纲!D$4:D$163,AH$4:AH$163,$AN361)*其他调用!H362*其他调用!$M362</f>
        <v>285010594.34905511</v>
      </c>
      <c r="AP361" s="2">
        <f>求节点(节奏总纲!E$4:E$163,AI$4:AI$163,$AN361)*其他调用!I362*其他调用!$M362</f>
        <v>326613354.45663834</v>
      </c>
      <c r="AQ361" s="2">
        <f>求节点(节奏总纲!F$4:F$163,AJ$4:AJ$163,$AN361)*其他调用!J362*其他调用!$M362</f>
        <v>33167665.576106474</v>
      </c>
      <c r="AR361" s="2">
        <f>求节点(节奏总纲!G$4:G$163,AK$4:AK$163,$AN361)*其他调用!K362*其他调用!$M362</f>
        <v>6967902.682909051</v>
      </c>
      <c r="AS361" s="2">
        <f>求节点(节奏总纲!H$4:H$163,AL$4:AL$163,$AN361)*其他调用!L362*其他调用!$M362</f>
        <v>2323040.1043454874</v>
      </c>
      <c r="AT361" s="2">
        <f t="shared" si="23"/>
        <v>654082557.16905427</v>
      </c>
      <c r="BF361" s="2">
        <v>358</v>
      </c>
      <c r="BG361" s="2">
        <f>求节点(节奏总纲!D$4:D$163,AZ$4:AZ$163,$AN361)</f>
        <v>8699.2915746234248</v>
      </c>
      <c r="BH361" s="2">
        <f>求节点(节奏总纲!E$4:E$163,BA$4:BA$163,$AN361)</f>
        <v>26796.571621519484</v>
      </c>
      <c r="BI361" s="2">
        <f>求节点(节奏总纲!F$4:F$163,BB$4:BB$163,$AN361)</f>
        <v>83184.020554418355</v>
      </c>
      <c r="BJ361" s="2">
        <f>求节点(节奏总纲!G$4:G$163,BC$4:BC$163,$AN361)</f>
        <v>39226.211093408507</v>
      </c>
      <c r="BK361" s="2">
        <f>求节点(节奏总纲!H$4:H$163,BD$4:BD$163,$AN361)</f>
        <v>11703.976283789754</v>
      </c>
      <c r="BL361" s="2">
        <f>BG361*其他调用!H362*其他调用!$M362</f>
        <v>417240.2092872776</v>
      </c>
      <c r="BM361" s="2">
        <f>BH361*其他调用!I362*其他调用!$M362</f>
        <v>1267250.4349146527</v>
      </c>
      <c r="BN361" s="2">
        <f>BI361*其他调用!J362*其他调用!$M362</f>
        <v>321125.25779991876</v>
      </c>
      <c r="BO361" s="2">
        <f>BJ361*其他调用!K362*其他调用!$M362</f>
        <v>26940.404874108594</v>
      </c>
      <c r="BP361" s="2">
        <f>BK361*其他调用!L362*其他调用!$M362</f>
        <v>2325.8141671146996</v>
      </c>
      <c r="BQ361" s="2">
        <f t="shared" si="24"/>
        <v>2034882.1210430723</v>
      </c>
      <c r="BR361" s="2">
        <f>[1]服务器生态!$R360</f>
        <v>1.6289841650165445E-2</v>
      </c>
      <c r="BS361" s="2" t="e">
        <f>SUMPRODUCT((BG$4:BG361)*($BR$4:$BR361)*(其他调用!#REF!))</f>
        <v>#REF!</v>
      </c>
      <c r="BT361" s="2" t="e">
        <f>SUMPRODUCT((BH$4:BH361)*($BR$4:$BR361)*(其他调用!#REF!))</f>
        <v>#REF!</v>
      </c>
      <c r="BU361" s="2" t="e">
        <f>SUMPRODUCT((BI$4:BI361)*($BR$4:$BR361)*(其他调用!#REF!))</f>
        <v>#REF!</v>
      </c>
      <c r="BV361" s="2" t="e">
        <f>SUMPRODUCT((BJ$4:BJ361)*($BR$4:$BR361)*(其他调用!#REF!))</f>
        <v>#REF!</v>
      </c>
      <c r="BW361" s="2" t="e">
        <f>SUMPRODUCT((BK$4:BK361)*($BR$4:$BR361)*(其他调用!#REF!))</f>
        <v>#REF!</v>
      </c>
      <c r="BX361" s="2" t="e">
        <f>SUMPRODUCT((BG$4:BG361)*($BR$4:$BR361))*'[1]功能-战损相关'!$D$2-BS361</f>
        <v>#REF!</v>
      </c>
      <c r="BY361" s="2" t="e">
        <f>SUMPRODUCT((BH$4:BH361)*($BR$4:$BR361))*'[1]功能-战损相关'!$D$2-BT361</f>
        <v>#REF!</v>
      </c>
      <c r="BZ361" s="2" t="e">
        <f>SUMPRODUCT((BI$4:BI361)*($BR$4:$BR361))*'[1]功能-战损相关'!$D$2-BU361</f>
        <v>#REF!</v>
      </c>
      <c r="CA361" s="2" t="e">
        <f>SUMPRODUCT((BJ$4:BJ361)*($BR$4:$BR361))*'[1]功能-战损相关'!$D$2-BV361</f>
        <v>#REF!</v>
      </c>
      <c r="CB361" s="2" t="e">
        <f>SUMPRODUCT((BK$4:BK361)*($BR$4:$BR361))*'[1]功能-战损相关'!$D$2-BW361</f>
        <v>#REF!</v>
      </c>
    </row>
    <row r="362" spans="40:80" x14ac:dyDescent="0.2">
      <c r="AN362" s="2">
        <v>359</v>
      </c>
      <c r="AO362" s="2">
        <f>求节点(节奏总纲!D$4:D$163,AH$4:AH$163,$AN362)*其他调用!H363*其他调用!$M363</f>
        <v>285378164.58277148</v>
      </c>
      <c r="AP362" s="2">
        <f>求节点(节奏总纲!E$4:E$163,AI$4:AI$163,$AN362)*其他调用!I363*其他调用!$M363</f>
        <v>327285491.57117659</v>
      </c>
      <c r="AQ362" s="2">
        <f>求节点(节奏总纲!F$4:F$163,AJ$4:AJ$163,$AN362)*其他调用!J363*其他调用!$M363</f>
        <v>33203611.904205598</v>
      </c>
      <c r="AR362" s="2">
        <f>求节点(节奏总纲!G$4:G$163,AK$4:AK$163,$AN362)*其他调用!K363*其他调用!$M363</f>
        <v>6972718.6424754346</v>
      </c>
      <c r="AS362" s="2">
        <f>求节点(节奏总纲!H$4:H$163,AL$4:AL$163,$AN362)*其他调用!L363*其他调用!$M363</f>
        <v>2324177.7351933662</v>
      </c>
      <c r="AT362" s="2">
        <f t="shared" si="23"/>
        <v>655164164.43582249</v>
      </c>
      <c r="BF362" s="2">
        <v>359</v>
      </c>
      <c r="BG362" s="2">
        <f>求节点(节奏总纲!D$4:D$163,AZ$4:AZ$163,$AN362)</f>
        <v>8702.5931690059024</v>
      </c>
      <c r="BH362" s="2">
        <f>求节点(节奏总纲!E$4:E$163,BA$4:BA$163,$AN362)</f>
        <v>26806.016296769096</v>
      </c>
      <c r="BI362" s="2">
        <f>求节点(节奏总纲!F$4:F$163,BB$4:BB$163,$AN362)</f>
        <v>83212.169332624719</v>
      </c>
      <c r="BJ362" s="2">
        <f>求节点(节奏总纲!G$4:G$163,BC$4:BC$163,$AN362)</f>
        <v>39233.603102310473</v>
      </c>
      <c r="BK362" s="2">
        <f>求节点(节奏总纲!H$4:H$163,BD$4:BD$163,$AN362)</f>
        <v>11707.435675105502</v>
      </c>
      <c r="BL362" s="2">
        <f>BG362*其他调用!H363*其他调用!$M363</f>
        <v>417398.56217375229</v>
      </c>
      <c r="BM362" s="2">
        <f>BH362*其他调用!I363*其他调用!$M363</f>
        <v>1267697.0879039511</v>
      </c>
      <c r="BN362" s="2">
        <f>BI362*其他调用!J363*其他调用!$M363</f>
        <v>321233.92390667845</v>
      </c>
      <c r="BO362" s="2">
        <f>BJ362*其他调用!K363*其他调用!$M363</f>
        <v>26945.481676254432</v>
      </c>
      <c r="BP362" s="2">
        <f>BK362*其他调用!L363*其他调用!$M363</f>
        <v>2326.5016173569652</v>
      </c>
      <c r="BQ362" s="2">
        <f t="shared" si="24"/>
        <v>2035601.5572779931</v>
      </c>
      <c r="BR362" s="2">
        <f>[1]服务器生态!$R361</f>
        <v>1.6289841650165445E-2</v>
      </c>
      <c r="BS362" s="2" t="e">
        <f>SUMPRODUCT((BG$4:BG362)*($BR$4:$BR362)*(其他调用!#REF!))</f>
        <v>#REF!</v>
      </c>
      <c r="BT362" s="2" t="e">
        <f>SUMPRODUCT((BH$4:BH362)*($BR$4:$BR362)*(其他调用!#REF!))</f>
        <v>#REF!</v>
      </c>
      <c r="BU362" s="2" t="e">
        <f>SUMPRODUCT((BI$4:BI362)*($BR$4:$BR362)*(其他调用!#REF!))</f>
        <v>#REF!</v>
      </c>
      <c r="BV362" s="2" t="e">
        <f>SUMPRODUCT((BJ$4:BJ362)*($BR$4:$BR362)*(其他调用!#REF!))</f>
        <v>#REF!</v>
      </c>
      <c r="BW362" s="2" t="e">
        <f>SUMPRODUCT((BK$4:BK362)*($BR$4:$BR362)*(其他调用!#REF!))</f>
        <v>#REF!</v>
      </c>
      <c r="BX362" s="2" t="e">
        <f>SUMPRODUCT((BG$4:BG362)*($BR$4:$BR362))*'[1]功能-战损相关'!$D$2-BS362</f>
        <v>#REF!</v>
      </c>
      <c r="BY362" s="2" t="e">
        <f>SUMPRODUCT((BH$4:BH362)*($BR$4:$BR362))*'[1]功能-战损相关'!$D$2-BT362</f>
        <v>#REF!</v>
      </c>
      <c r="BZ362" s="2" t="e">
        <f>SUMPRODUCT((BI$4:BI362)*($BR$4:$BR362))*'[1]功能-战损相关'!$D$2-BU362</f>
        <v>#REF!</v>
      </c>
      <c r="CA362" s="2" t="e">
        <f>SUMPRODUCT((BJ$4:BJ362)*($BR$4:$BR362))*'[1]功能-战损相关'!$D$2-BV362</f>
        <v>#REF!</v>
      </c>
      <c r="CB362" s="2" t="e">
        <f>SUMPRODUCT((BK$4:BK362)*($BR$4:$BR362))*'[1]功能-战损相关'!$D$2-BW362</f>
        <v>#REF!</v>
      </c>
    </row>
    <row r="363" spans="40:80" x14ac:dyDescent="0.2">
      <c r="AN363" s="2">
        <v>360</v>
      </c>
      <c r="AO363" s="2">
        <f>求节点(节奏总纲!D$4:D$163,AH$4:AH$163,$AN363)*其他调用!H364*其他调用!$M364</f>
        <v>285745734.81648791</v>
      </c>
      <c r="AP363" s="2">
        <f>求节点(节奏总纲!E$4:E$163,AI$4:AI$163,$AN363)*其他调用!I364*其他调用!$M364</f>
        <v>328071455.69415671</v>
      </c>
      <c r="AQ363" s="2">
        <f>求节点(节奏总纲!F$4:F$163,AJ$4:AJ$163,$AN363)*其他调用!J364*其他调用!$M364</f>
        <v>33239558.232304715</v>
      </c>
      <c r="AR363" s="2">
        <f>求节点(节奏总纲!G$4:G$163,AK$4:AK$163,$AN363)*其他调用!K364*其他调用!$M364</f>
        <v>6977534.6020418145</v>
      </c>
      <c r="AS363" s="2">
        <f>求节点(节奏总纲!H$4:H$163,AL$4:AL$163,$AN363)*其他调用!L364*其他调用!$M364</f>
        <v>2325315.3660412454</v>
      </c>
      <c r="AT363" s="2">
        <f t="shared" si="23"/>
        <v>656359598.71103251</v>
      </c>
      <c r="BF363" s="2">
        <v>360</v>
      </c>
      <c r="BG363" s="2">
        <f>求节点(节奏总纲!D$4:D$163,AZ$4:AZ$163,$AN363)</f>
        <v>8705.8947633883818</v>
      </c>
      <c r="BH363" s="2">
        <f>求节点(节奏总纲!E$4:E$163,BA$4:BA$163,$AN363)</f>
        <v>26815.195160601783</v>
      </c>
      <c r="BI363" s="2">
        <f>求节点(节奏总纲!F$4:F$163,BB$4:BB$163,$AN363)</f>
        <v>83240.318110831067</v>
      </c>
      <c r="BJ363" s="2">
        <f>求节点(节奏总纲!G$4:G$163,BC$4:BC$163,$AN363)</f>
        <v>39240.99511121244</v>
      </c>
      <c r="BK363" s="2">
        <f>求节点(节奏总纲!H$4:H$163,BD$4:BD$163,$AN363)</f>
        <v>11710.89506642125</v>
      </c>
      <c r="BL363" s="2">
        <f>BG363*其他调用!H364*其他调用!$M364</f>
        <v>417556.91506022715</v>
      </c>
      <c r="BM363" s="2">
        <f>BH363*其他调用!I364*其他调用!$M364</f>
        <v>1268131.1702689747</v>
      </c>
      <c r="BN363" s="2">
        <f>BI363*其他调用!J364*其他调用!$M364</f>
        <v>321342.59001343814</v>
      </c>
      <c r="BO363" s="2">
        <f>BJ363*其他调用!K364*其他调用!$M364</f>
        <v>26950.558478400268</v>
      </c>
      <c r="BP363" s="2">
        <f>BK363*其他调用!L364*其他调用!$M364</f>
        <v>2327.1890675992304</v>
      </c>
      <c r="BQ363" s="2">
        <f t="shared" si="24"/>
        <v>2036308.4228886396</v>
      </c>
      <c r="BR363" s="2">
        <f>[1]服务器生态!$R362</f>
        <v>1.6289841650165445E-2</v>
      </c>
      <c r="BS363" s="2" t="e">
        <f>SUMPRODUCT((BG$4:BG363)*($BR$4:$BR363)*(其他调用!#REF!))</f>
        <v>#REF!</v>
      </c>
      <c r="BT363" s="2" t="e">
        <f>SUMPRODUCT((BH$4:BH363)*($BR$4:$BR363)*(其他调用!#REF!))</f>
        <v>#REF!</v>
      </c>
      <c r="BU363" s="2" t="e">
        <f>SUMPRODUCT((BI$4:BI363)*($BR$4:$BR363)*(其他调用!#REF!))</f>
        <v>#REF!</v>
      </c>
      <c r="BV363" s="2" t="e">
        <f>SUMPRODUCT((BJ$4:BJ363)*($BR$4:$BR363)*(其他调用!#REF!))</f>
        <v>#REF!</v>
      </c>
      <c r="BW363" s="2" t="e">
        <f>SUMPRODUCT((BK$4:BK363)*($BR$4:$BR363)*(其他调用!#REF!))</f>
        <v>#REF!</v>
      </c>
      <c r="BX363" s="2" t="e">
        <f>SUMPRODUCT((BG$4:BG363)*($BR$4:$BR363))*'[1]功能-战损相关'!$D$2-BS363</f>
        <v>#REF!</v>
      </c>
      <c r="BY363" s="2" t="e">
        <f>SUMPRODUCT((BH$4:BH363)*($BR$4:$BR363))*'[1]功能-战损相关'!$D$2-BT363</f>
        <v>#REF!</v>
      </c>
      <c r="BZ363" s="2" t="e">
        <f>SUMPRODUCT((BI$4:BI363)*($BR$4:$BR363))*'[1]功能-战损相关'!$D$2-BU363</f>
        <v>#REF!</v>
      </c>
      <c r="CA363" s="2" t="e">
        <f>SUMPRODUCT((BJ$4:BJ363)*($BR$4:$BR363))*'[1]功能-战损相关'!$D$2-BV363</f>
        <v>#REF!</v>
      </c>
      <c r="CB363" s="2" t="e">
        <f>SUMPRODUCT((BK$4:BK363)*($BR$4:$BR363))*'[1]功能-战损相关'!$D$2-BW363</f>
        <v>#REF!</v>
      </c>
    </row>
  </sheetData>
  <mergeCells count="14">
    <mergeCell ref="S33:W33"/>
    <mergeCell ref="S45:W45"/>
    <mergeCell ref="H15:I15"/>
    <mergeCell ref="AZ2:BD2"/>
    <mergeCell ref="AH2:AL2"/>
    <mergeCell ref="AB2:AF2"/>
    <mergeCell ref="AO2:AT2"/>
    <mergeCell ref="BG2:BK2"/>
    <mergeCell ref="BL2:BQ2"/>
    <mergeCell ref="CF2:CJ2"/>
    <mergeCell ref="CK2:CO2"/>
    <mergeCell ref="BX2:CB2"/>
    <mergeCell ref="BS2:BW2"/>
    <mergeCell ref="BR2:BR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N364"/>
  <sheetViews>
    <sheetView topLeftCell="A7" zoomScaleNormal="100" workbookViewId="0">
      <selection activeCell="J41" sqref="J41"/>
    </sheetView>
  </sheetViews>
  <sheetFormatPr defaultColWidth="6.625" defaultRowHeight="11.25" x14ac:dyDescent="0.15"/>
  <cols>
    <col min="1" max="21" width="6.625" style="2" customWidth="1"/>
    <col min="22" max="22" width="6.625" style="9"/>
    <col min="23" max="28" width="9" style="2"/>
    <col min="29" max="16384" width="6.625" style="2"/>
  </cols>
  <sheetData>
    <row r="1" spans="1:40" x14ac:dyDescent="0.15">
      <c r="B1" s="2" t="s">
        <v>29</v>
      </c>
      <c r="W1" s="9"/>
      <c r="X1" s="9"/>
      <c r="AC1" s="9"/>
    </row>
    <row r="2" spans="1:40" x14ac:dyDescent="0.15">
      <c r="AC2" s="2">
        <v>1</v>
      </c>
      <c r="AD2" s="2">
        <v>1.02</v>
      </c>
      <c r="AE2" s="2">
        <v>1.06</v>
      </c>
      <c r="AF2" s="2">
        <v>1.1399999999999999</v>
      </c>
      <c r="AG2" s="2">
        <v>1.4</v>
      </c>
    </row>
    <row r="3" spans="1:40" ht="11.25" customHeight="1" x14ac:dyDescent="0.15">
      <c r="B3" s="2" t="s">
        <v>27</v>
      </c>
      <c r="X3" s="62" t="s">
        <v>117</v>
      </c>
      <c r="Y3" s="63"/>
      <c r="Z3" s="63"/>
      <c r="AA3" s="63"/>
      <c r="AB3" s="64"/>
      <c r="AC3" s="62" t="s">
        <v>42</v>
      </c>
      <c r="AD3" s="63"/>
      <c r="AE3" s="63"/>
      <c r="AF3" s="63"/>
      <c r="AG3" s="64"/>
      <c r="AJ3" s="62" t="s">
        <v>116</v>
      </c>
      <c r="AK3" s="63"/>
      <c r="AL3" s="63"/>
      <c r="AM3" s="63"/>
      <c r="AN3" s="64"/>
    </row>
    <row r="4" spans="1:40" s="27" customFormat="1" x14ac:dyDescent="0.2">
      <c r="B4" s="2"/>
      <c r="C4" s="2" t="s">
        <v>26</v>
      </c>
      <c r="D4" s="2" t="s">
        <v>25</v>
      </c>
      <c r="E4" s="2" t="s">
        <v>24</v>
      </c>
      <c r="W4" s="14" t="s">
        <v>128</v>
      </c>
      <c r="X4" s="14" t="s">
        <v>14</v>
      </c>
      <c r="Y4" s="14" t="s">
        <v>15</v>
      </c>
      <c r="Z4" s="14" t="s">
        <v>16</v>
      </c>
      <c r="AA4" s="14" t="s">
        <v>17</v>
      </c>
      <c r="AB4" s="14" t="s">
        <v>18</v>
      </c>
      <c r="AC4" s="14" t="s">
        <v>14</v>
      </c>
      <c r="AD4" s="14" t="s">
        <v>15</v>
      </c>
      <c r="AE4" s="14" t="s">
        <v>16</v>
      </c>
      <c r="AF4" s="14" t="s">
        <v>17</v>
      </c>
      <c r="AG4" s="14" t="s">
        <v>18</v>
      </c>
      <c r="AI4" s="27" t="s">
        <v>115</v>
      </c>
      <c r="AJ4" s="14" t="s">
        <v>14</v>
      </c>
      <c r="AK4" s="14" t="s">
        <v>15</v>
      </c>
      <c r="AL4" s="14" t="s">
        <v>16</v>
      </c>
      <c r="AM4" s="14" t="s">
        <v>17</v>
      </c>
      <c r="AN4" s="14" t="s">
        <v>18</v>
      </c>
    </row>
    <row r="5" spans="1:40" x14ac:dyDescent="0.15">
      <c r="B5" s="2" t="s">
        <v>21</v>
      </c>
      <c r="C5" s="4">
        <v>0.4</v>
      </c>
      <c r="D5" s="4"/>
      <c r="E5" s="4"/>
      <c r="W5" s="14">
        <v>1</v>
      </c>
      <c r="X5" s="14">
        <f>求节点(B$10:B$48,Q$10:Q$48,$W5)*(其他调用!AS5+其他调用!AZ5*$D$50*$D$51)*6</f>
        <v>29.281199337593414</v>
      </c>
      <c r="Y5" s="14">
        <f>求节点(C$10:C$48,R$10:R$48,$W5)*(其他调用!AT5+其他调用!BA5*$D$50*$D$51)*6</f>
        <v>29.837005148982975</v>
      </c>
      <c r="Z5" s="14">
        <f>求节点(D$10:D$48,S$10:S$48,$W5)*(其他调用!AU5+其他调用!BB5*$D$50*$D$51)*6</f>
        <v>30.101152525742236</v>
      </c>
      <c r="AA5" s="14">
        <f>求节点(E$10:E$48,T$10:T$48,$W5)*(其他调用!AV5+其他调用!BC5*$D$50*$D$51)*6</f>
        <v>30.996716323955333</v>
      </c>
      <c r="AB5" s="14">
        <f>求节点(F$10:F$48,U$10:U$48,$W5)*(其他调用!AW5+其他调用!BD5*$D$50*$D$51)*6</f>
        <v>31.363615404507669</v>
      </c>
      <c r="AC5" s="14">
        <f>[1]节奏总纲!$BJ4</f>
        <v>0.3</v>
      </c>
      <c r="AD5" s="14">
        <f>[1]节奏总纲!$BJ4</f>
        <v>0.3</v>
      </c>
      <c r="AE5" s="14">
        <f>[1]节奏总纲!$BJ4</f>
        <v>0.3</v>
      </c>
      <c r="AF5" s="14">
        <f>[1]节奏总纲!$BJ4</f>
        <v>0.3</v>
      </c>
      <c r="AG5" s="14">
        <f>[1]节奏总纲!$BJ4</f>
        <v>0.3</v>
      </c>
      <c r="AI5" s="2">
        <v>1</v>
      </c>
      <c r="AJ5" s="2">
        <f>求节点(节奏总纲!$D$4:$D$113,AC$5:AC$104,$AI5)</f>
        <v>1.1666666666666672</v>
      </c>
      <c r="AK5" s="2">
        <f>求节点(节奏总纲!$D$4:$D$113,AD$5:AD$104,$AI5)</f>
        <v>1.1666666666666672</v>
      </c>
      <c r="AL5" s="2">
        <f>求节点(节奏总纲!$D$4:$D$113,AE$5:AE$104,$AI5)</f>
        <v>1.1666666666666672</v>
      </c>
      <c r="AM5" s="2">
        <f>求节点(节奏总纲!$D$4:$D$113,AF$5:AF$104,$AI5)</f>
        <v>1.1666666666666672</v>
      </c>
      <c r="AN5" s="2">
        <f>求节点(节奏总纲!$D$4:$D$113,AG$5:AG$104,$AI5)</f>
        <v>1.1666666666666672</v>
      </c>
    </row>
    <row r="6" spans="1:40" x14ac:dyDescent="0.15">
      <c r="W6" s="14">
        <v>2</v>
      </c>
      <c r="X6" s="14">
        <f>求节点(B$10:B$48,Q$10:Q$48,$W6)*(其他调用!AS6+其他调用!AZ6*$D$50*$D$51)*6</f>
        <v>59.984091815715303</v>
      </c>
      <c r="Y6" s="14">
        <f>求节点(C$10:C$48,R$10:R$48,$W6)*(其他调用!AT6+其他调用!BA6*$D$50*$D$51)*6</f>
        <v>61.171024927343623</v>
      </c>
      <c r="Z6" s="14">
        <f>求节点(D$10:D$48,S$10:S$48,$W6)*(其他调用!AU6+其他调用!BB6*$D$50*$D$51)*6</f>
        <v>61.783073146833061</v>
      </c>
      <c r="AA6" s="14">
        <f>求节点(E$10:E$48,T$10:T$48,$W6)*(其他调用!AV6+其他调用!BC6*$D$50*$D$51)*6</f>
        <v>63.606848145446946</v>
      </c>
      <c r="AB6" s="14">
        <f>求节点(F$10:F$48,U$10:U$48,$W6)*(其他调用!AW6+其他调用!BD6*$D$50*$D$51)*6</f>
        <v>64.413358798633965</v>
      </c>
      <c r="AC6" s="14">
        <f>[1]节奏总纲!$BJ5</f>
        <v>0.47499999999999998</v>
      </c>
      <c r="AD6" s="14">
        <f>[1]节奏总纲!$BJ5</f>
        <v>0.47499999999999998</v>
      </c>
      <c r="AE6" s="14">
        <f>[1]节奏总纲!$BJ5</f>
        <v>0.47499999999999998</v>
      </c>
      <c r="AF6" s="14">
        <f>[1]节奏总纲!$BJ5</f>
        <v>0.47499999999999998</v>
      </c>
      <c r="AG6" s="14">
        <f>[1]节奏总纲!$BJ5</f>
        <v>0.47499999999999998</v>
      </c>
      <c r="AI6" s="2">
        <v>2</v>
      </c>
      <c r="AJ6" s="2">
        <f>求节点(节奏总纲!$D$4:$D$113,AC$5:AC$104,$AI6)</f>
        <v>1.3615053854336716</v>
      </c>
      <c r="AK6" s="2">
        <f>求节点(节奏总纲!$D$4:$D$113,AD$5:AD$104,$AI6)</f>
        <v>1.3615053854336716</v>
      </c>
      <c r="AL6" s="2">
        <f>求节点(节奏总纲!$D$4:$D$113,AE$5:AE$104,$AI6)</f>
        <v>1.3615053854336716</v>
      </c>
      <c r="AM6" s="2">
        <f>求节点(节奏总纲!$D$4:$D$113,AF$5:AF$104,$AI6)</f>
        <v>1.3615053854336716</v>
      </c>
      <c r="AN6" s="2">
        <f>求节点(节奏总纲!$D$4:$D$113,AG$5:AG$104,$AI6)</f>
        <v>1.3615053854336716</v>
      </c>
    </row>
    <row r="7" spans="1:40" x14ac:dyDescent="0.15">
      <c r="W7" s="14">
        <v>3</v>
      </c>
      <c r="X7" s="14">
        <f>求节点(B$10:B$48,Q$10:Q$48,$W7)*(其他调用!AS7+其他调用!AZ7*$D$50*$D$51)*6</f>
        <v>92.111095989311963</v>
      </c>
      <c r="Y7" s="14">
        <f>求节点(C$10:C$48,R$10:R$48,$W7)*(其他调用!AT7+其他调用!BA7*$D$50*$D$51)*6</f>
        <v>94.005554481352618</v>
      </c>
      <c r="Z7" s="14">
        <f>求节点(D$10:D$48,S$10:S$48,$W7)*(其他调用!AU7+其他调用!BB7*$D$50*$D$51)*6</f>
        <v>95.051874709797403</v>
      </c>
      <c r="AA7" s="14">
        <f>求节点(E$10:E$48,T$10:T$48,$W7)*(其他调用!AV7+其他调用!BC7*$D$50*$D$51)*6</f>
        <v>97.83039546447489</v>
      </c>
      <c r="AB7" s="14">
        <f>求节点(F$10:F$48,U$10:U$48,$W7)*(其他调用!AW7+其他调用!BD7*$D$50*$D$51)*6</f>
        <v>99.149230182378744</v>
      </c>
      <c r="AC7" s="14">
        <f>[1]节奏总纲!$BJ6</f>
        <v>0.65</v>
      </c>
      <c r="AD7" s="14">
        <f>[1]节奏总纲!$BJ6</f>
        <v>0.65</v>
      </c>
      <c r="AE7" s="14">
        <f>[1]节奏总纲!$BJ6</f>
        <v>0.65</v>
      </c>
      <c r="AF7" s="14">
        <f>[1]节奏总纲!$BJ6</f>
        <v>0.65</v>
      </c>
      <c r="AG7" s="14">
        <f>[1]节奏总纲!$BJ6</f>
        <v>0.65</v>
      </c>
      <c r="AI7" s="2">
        <v>3</v>
      </c>
      <c r="AJ7" s="2">
        <f>求节点(节奏总纲!$D$4:$D$113,AC$5:AC$104,$AI7)</f>
        <v>1.5000000000000016</v>
      </c>
      <c r="AK7" s="2">
        <f>求节点(节奏总纲!$D$4:$D$113,AD$5:AD$104,$AI7)</f>
        <v>1.5000000000000016</v>
      </c>
      <c r="AL7" s="2">
        <f>求节点(节奏总纲!$D$4:$D$113,AE$5:AE$104,$AI7)</f>
        <v>1.5000000000000016</v>
      </c>
      <c r="AM7" s="2">
        <f>求节点(节奏总纲!$D$4:$D$113,AF$5:AF$104,$AI7)</f>
        <v>1.5000000000000016</v>
      </c>
      <c r="AN7" s="2">
        <f>求节点(节奏总纲!$D$4:$D$113,AG$5:AG$104,$AI7)</f>
        <v>1.5000000000000016</v>
      </c>
    </row>
    <row r="8" spans="1:40" x14ac:dyDescent="0.15">
      <c r="B8" s="66" t="s">
        <v>128</v>
      </c>
      <c r="C8" s="66"/>
      <c r="D8" s="66"/>
      <c r="E8" s="66"/>
      <c r="F8" s="66"/>
      <c r="G8" s="66" t="s">
        <v>20</v>
      </c>
      <c r="H8" s="66"/>
      <c r="I8" s="66"/>
      <c r="J8" s="66"/>
      <c r="K8" s="66"/>
      <c r="L8" s="66" t="s">
        <v>19</v>
      </c>
      <c r="M8" s="66"/>
      <c r="N8" s="66"/>
      <c r="O8" s="66"/>
      <c r="P8" s="66"/>
      <c r="Q8" s="66" t="s">
        <v>28</v>
      </c>
      <c r="R8" s="66"/>
      <c r="S8" s="66"/>
      <c r="T8" s="66"/>
      <c r="U8" s="66"/>
      <c r="W8" s="14">
        <v>4</v>
      </c>
      <c r="X8" s="14">
        <f>求节点(B$10:B$48,Q$10:Q$48,$W8)*(其他调用!AS8+其他调用!AZ8*$D$50*$D$51)*6</f>
        <v>125.66463041332992</v>
      </c>
      <c r="Y8" s="14">
        <f>求节点(C$10:C$48,R$10:R$48,$W8)*(其他调用!AT8+其他调用!BA8*$D$50*$D$51)*6</f>
        <v>128.34408895728063</v>
      </c>
      <c r="Z8" s="14">
        <f>求节点(D$10:D$48,S$10:S$48,$W8)*(其他调用!AU8+其他调用!BB8*$D$50*$D$51)*6</f>
        <v>129.91367006116022</v>
      </c>
      <c r="AA8" s="14">
        <f>求节点(E$10:E$48,T$10:T$48,$W8)*(其他调用!AV8+其他调用!BC8*$D$50*$D$51)*6</f>
        <v>133.66735828103916</v>
      </c>
      <c r="AB8" s="14">
        <f>求节点(F$10:F$48,U$10:U$48,$W8)*(其他调用!AW8+其他调用!BD8*$D$50*$D$51)*6</f>
        <v>135.57122955574212</v>
      </c>
      <c r="AC8" s="14">
        <f>[1]节奏总纲!$BJ7</f>
        <v>0.82499999999999996</v>
      </c>
      <c r="AD8" s="14">
        <f>[1]节奏总纲!$BJ7</f>
        <v>0.82499999999999996</v>
      </c>
      <c r="AE8" s="14">
        <f>[1]节奏总纲!$BJ7</f>
        <v>0.82499999999999996</v>
      </c>
      <c r="AF8" s="14">
        <f>[1]节奏总纲!$BJ7</f>
        <v>0.82499999999999996</v>
      </c>
      <c r="AG8" s="14">
        <f>[1]节奏总纲!$BJ7</f>
        <v>0.82499999999999996</v>
      </c>
      <c r="AI8" s="2">
        <v>4</v>
      </c>
      <c r="AJ8" s="2">
        <f>求节点(节奏总纲!$D$4:$D$113,AC$5:AC$104,$AI8)</f>
        <v>1.6071128868080613</v>
      </c>
      <c r="AK8" s="2">
        <f>求节点(节奏总纲!$D$4:$D$113,AD$5:AD$104,$AI8)</f>
        <v>1.6071128868080613</v>
      </c>
      <c r="AL8" s="2">
        <f>求节点(节奏总纲!$D$4:$D$113,AE$5:AE$104,$AI8)</f>
        <v>1.6071128868080613</v>
      </c>
      <c r="AM8" s="2">
        <f>求节点(节奏总纲!$D$4:$D$113,AF$5:AF$104,$AI8)</f>
        <v>1.6071128868080613</v>
      </c>
      <c r="AN8" s="2">
        <f>求节点(节奏总纲!$D$4:$D$113,AG$5:AG$104,$AI8)</f>
        <v>1.6071128868080613</v>
      </c>
    </row>
    <row r="9" spans="1:40" x14ac:dyDescent="0.15">
      <c r="B9" s="2" t="s">
        <v>9</v>
      </c>
      <c r="C9" s="2" t="s">
        <v>10</v>
      </c>
      <c r="D9" s="2" t="s">
        <v>11</v>
      </c>
      <c r="E9" s="2" t="s">
        <v>12</v>
      </c>
      <c r="F9" s="2" t="s">
        <v>13</v>
      </c>
      <c r="G9" s="2" t="s">
        <v>9</v>
      </c>
      <c r="H9" s="2" t="s">
        <v>10</v>
      </c>
      <c r="I9" s="2" t="s">
        <v>11</v>
      </c>
      <c r="J9" s="2" t="s">
        <v>12</v>
      </c>
      <c r="K9" s="2" t="s">
        <v>13</v>
      </c>
      <c r="L9" s="2" t="s">
        <v>9</v>
      </c>
      <c r="M9" s="2" t="s">
        <v>10</v>
      </c>
      <c r="N9" s="2" t="s">
        <v>11</v>
      </c>
      <c r="O9" s="2" t="s">
        <v>12</v>
      </c>
      <c r="P9" s="2" t="s">
        <v>13</v>
      </c>
      <c r="Q9" s="2" t="s">
        <v>9</v>
      </c>
      <c r="R9" s="2" t="s">
        <v>10</v>
      </c>
      <c r="S9" s="2" t="s">
        <v>11</v>
      </c>
      <c r="T9" s="2" t="s">
        <v>12</v>
      </c>
      <c r="U9" s="2" t="s">
        <v>13</v>
      </c>
      <c r="W9" s="14">
        <v>5</v>
      </c>
      <c r="X9" s="14">
        <f>求节点(B$10:B$48,Q$10:Q$48,$W9)*(其他调用!AS9+其他调用!AZ9*$D$50*$D$51)*6</f>
        <v>160.64711364271545</v>
      </c>
      <c r="Y9" s="14">
        <f>求节点(C$10:C$48,R$10:R$48,$W9)*(其他调用!AT9+其他调用!BA9*$D$50*$D$51)*6</f>
        <v>164.1901235013984</v>
      </c>
      <c r="Z9" s="14">
        <f>求节点(D$10:D$48,S$10:S$48,$W9)*(其他调用!AU9+其他调用!BB9*$D$50*$D$51)*6</f>
        <v>166.37457204744652</v>
      </c>
      <c r="AA9" s="14">
        <f>求节点(E$10:E$48,T$10:T$48,$W9)*(其他调用!AV9+其他调用!BC9*$D$50*$D$51)*6</f>
        <v>171.11773659513975</v>
      </c>
      <c r="AB9" s="14">
        <f>求节点(F$10:F$48,U$10:U$48,$W9)*(其他调用!AW9+其他调用!BD9*$D$50*$D$51)*6</f>
        <v>173.67935691872407</v>
      </c>
      <c r="AC9" s="14">
        <f>[1]节奏总纲!$BJ8</f>
        <v>1</v>
      </c>
      <c r="AD9" s="14">
        <f>[1]节奏总纲!$BJ8</f>
        <v>1</v>
      </c>
      <c r="AE9" s="14">
        <f>[1]节奏总纲!$BJ8</f>
        <v>1</v>
      </c>
      <c r="AF9" s="14">
        <f>[1]节奏总纲!$BJ8</f>
        <v>1</v>
      </c>
      <c r="AG9" s="14">
        <f>[1]节奏总纲!$BJ8</f>
        <v>1</v>
      </c>
      <c r="AI9" s="2">
        <v>5</v>
      </c>
      <c r="AJ9" s="2">
        <f>求节点(节奏总纲!$D$4:$D$113,AC$5:AC$104,$AI9)</f>
        <v>1.694838718767006</v>
      </c>
      <c r="AK9" s="2">
        <f>求节点(节奏总纲!$D$4:$D$113,AD$5:AD$104,$AI9)</f>
        <v>1.694838718767006</v>
      </c>
      <c r="AL9" s="2">
        <f>求节点(节奏总纲!$D$4:$D$113,AE$5:AE$104,$AI9)</f>
        <v>1.694838718767006</v>
      </c>
      <c r="AM9" s="2">
        <f>求节点(节奏总纲!$D$4:$D$113,AF$5:AF$104,$AI9)</f>
        <v>1.694838718767006</v>
      </c>
      <c r="AN9" s="2">
        <f>求节点(节奏总纲!$D$4:$D$113,AG$5:AG$104,$AI9)</f>
        <v>1.694838718767006</v>
      </c>
    </row>
    <row r="10" spans="1:40" ht="11.25" customHeight="1" x14ac:dyDescent="0.15">
      <c r="A10" s="58"/>
      <c r="B10" s="2">
        <f>[2]战法升星!$K5</f>
        <v>10</v>
      </c>
      <c r="C10" s="2">
        <f>[2]战法升星!$K50</f>
        <v>9.9592453074578113</v>
      </c>
      <c r="D10" s="2">
        <f>[2]战法升星!$K95</f>
        <v>10.099965341977441</v>
      </c>
      <c r="E10" s="2">
        <f>[2]战法升星!$K140</f>
        <v>10.00263241450434</v>
      </c>
      <c r="F10" s="2">
        <f>[2]战法升星!$K185</f>
        <v>10.040470049930473</v>
      </c>
      <c r="G10" s="2">
        <f>[3]武将升星!$AQ4</f>
        <v>0.15383660207693281</v>
      </c>
      <c r="H10" s="2">
        <f>[3]武将升星!$AQ49</f>
        <v>0.15587795735079332</v>
      </c>
      <c r="I10" s="2">
        <f>[3]武将升星!$AQ94</f>
        <v>0.16228171977582811</v>
      </c>
      <c r="J10" s="2">
        <f>[3]武将升星!$AQ139</f>
        <v>0.18000473834610778</v>
      </c>
      <c r="K10" s="2">
        <f>[3]武将升星!$AQ184</f>
        <v>0.18007284608987484</v>
      </c>
      <c r="L10" s="2">
        <f>[2]战法升星!$Z5</f>
        <v>0</v>
      </c>
      <c r="M10" s="2">
        <f>[2]战法升星!$Z50</f>
        <v>2.9367528871644275E-2</v>
      </c>
      <c r="N10" s="2">
        <f>[2]战法升星!$Z95</f>
        <v>7.2359162908730859E-2</v>
      </c>
      <c r="O10" s="2">
        <f>[2]战法升星!$Z140</f>
        <v>0.10124462070988637</v>
      </c>
      <c r="P10" s="2">
        <f>[2]战法升星!$Z185</f>
        <v>0.13695373790466928</v>
      </c>
      <c r="Q10" s="2">
        <f>(1+G10*0.5+L10*0.5)*(1+$C$5)/10</f>
        <v>0.15076856214538531</v>
      </c>
      <c r="R10" s="2">
        <f>(1+H10*0.5+M10*0.5)*(1+$C$5)/10</f>
        <v>0.15296718403557061</v>
      </c>
      <c r="S10" s="2">
        <f>(1+I10*0.5+N10*0.5)*(1+$C$5)/10</f>
        <v>0.15642486178791912</v>
      </c>
      <c r="T10" s="2">
        <f>(1+J10*0.5+O10*0.5)*(1+$C$5)/10</f>
        <v>0.15968745513391958</v>
      </c>
      <c r="U10" s="2">
        <f>(1+K10*0.5+P10*0.5)*(1+$C$5)/10</f>
        <v>0.16219186087961807</v>
      </c>
      <c r="W10" s="14">
        <v>6</v>
      </c>
      <c r="X10" s="14">
        <f>求节点(B$10:B$48,Q$10:Q$48,$W10)*(其他调用!AS10+其他调用!AZ10*$D$50*$D$51)*6</f>
        <v>197.06096423241502</v>
      </c>
      <c r="Y10" s="14">
        <f>求节点(C$10:C$48,R$10:R$48,$W10)*(其他调用!AT10+其他调用!BA10*$D$50*$D$51)*6</f>
        <v>201.54715325997674</v>
      </c>
      <c r="Z10" s="14">
        <f>求节点(D$10:D$48,S$10:S$48,$W10)*(其他调用!AU10+其他调用!BB10*$D$50*$D$51)*6</f>
        <v>204.44069351518127</v>
      </c>
      <c r="AA10" s="14">
        <f>求节点(E$10:E$48,T$10:T$48,$W10)*(其他调用!AV10+其他调用!BC10*$D$50*$D$51)*6</f>
        <v>210.18153040677672</v>
      </c>
      <c r="AB10" s="14">
        <f>求节点(F$10:F$48,U$10:U$48,$W10)*(其他调用!AW10+其他调用!BD10*$D$50*$D$51)*6</f>
        <v>213.47361227132455</v>
      </c>
      <c r="AC10" s="14">
        <f>[1]节奏总纲!$BJ9</f>
        <v>1.0333333333333334</v>
      </c>
      <c r="AD10" s="14">
        <f>[1]节奏总纲!$BJ9</f>
        <v>1.0333333333333334</v>
      </c>
      <c r="AE10" s="14">
        <f>[1]节奏总纲!$BJ9</f>
        <v>1.0333333333333334</v>
      </c>
      <c r="AF10" s="14">
        <f>[1]节奏总纲!$BJ9</f>
        <v>1.0333333333333334</v>
      </c>
      <c r="AG10" s="14">
        <f>[1]节奏总纲!$BJ9</f>
        <v>1.0333333333333334</v>
      </c>
      <c r="AI10" s="2">
        <v>6</v>
      </c>
      <c r="AJ10" s="2">
        <f>求节点(节奏总纲!$D$4:$D$113,AC$5:AC$104,$AI10)</f>
        <v>1.7690403669368404</v>
      </c>
      <c r="AK10" s="2">
        <f>求节点(节奏总纲!$D$4:$D$113,AD$5:AD$104,$AI10)</f>
        <v>1.7690403669368404</v>
      </c>
      <c r="AL10" s="2">
        <f>求节点(节奏总纲!$D$4:$D$113,AE$5:AE$104,$AI10)</f>
        <v>1.7690403669368404</v>
      </c>
      <c r="AM10" s="2">
        <f>求节点(节奏总纲!$D$4:$D$113,AF$5:AF$104,$AI10)</f>
        <v>1.7690403669368404</v>
      </c>
      <c r="AN10" s="2">
        <f>求节点(节奏总纲!$D$4:$D$113,AG$5:AG$104,$AI10)</f>
        <v>1.7690403669368404</v>
      </c>
    </row>
    <row r="11" spans="1:40" x14ac:dyDescent="0.15">
      <c r="A11" s="58"/>
      <c r="B11" s="2">
        <f>[2]战法升星!$K6</f>
        <v>20</v>
      </c>
      <c r="C11" s="2">
        <f>[2]战法升星!$K51</f>
        <v>19.766822802328868</v>
      </c>
      <c r="D11" s="2">
        <f>[2]战法升星!$K96</f>
        <v>19.800198258084681</v>
      </c>
      <c r="E11" s="2">
        <f>[2]战法升星!$K141</f>
        <v>19.43005414991557</v>
      </c>
      <c r="F11" s="2">
        <f>[2]战法升星!$K186</f>
        <v>19.288856680060892</v>
      </c>
      <c r="G11" s="2">
        <f>[3]武将升星!$AQ5</f>
        <v>0.19800000000000004</v>
      </c>
      <c r="H11" s="2">
        <f>[3]武将升星!$AQ50</f>
        <v>0.19758028104419192</v>
      </c>
      <c r="I11" s="2">
        <f>[3]武将升星!$AQ95</f>
        <v>0.19764035686455247</v>
      </c>
      <c r="J11" s="2">
        <f>[3]武将升星!$AQ140</f>
        <v>0.2158916267190383</v>
      </c>
      <c r="K11" s="2">
        <f>[3]武将升星!$AQ185</f>
        <v>0.23358332922105832</v>
      </c>
      <c r="L11" s="2">
        <f>[2]战法升星!$Z6</f>
        <v>0.32500000000000001</v>
      </c>
      <c r="M11" s="2">
        <f>[2]战法升星!$Z51</f>
        <v>0.35166666666666674</v>
      </c>
      <c r="N11" s="2">
        <f>[2]战法升星!$Z96</f>
        <v>0.37833333333333341</v>
      </c>
      <c r="O11" s="2">
        <f>[2]战法升星!$Z141</f>
        <v>0.40500000000000003</v>
      </c>
      <c r="P11" s="2">
        <f>[2]战法升星!$Z186</f>
        <v>0.40500000000000003</v>
      </c>
      <c r="Q11" s="2">
        <f t="shared" ref="Q11:Q48" si="0">(1+G11*0.5+L11*0.5)*(1+$C$5)/10</f>
        <v>0.17660999999999999</v>
      </c>
      <c r="R11" s="2">
        <f t="shared" ref="R11:R48" si="1">(1+H11*0.5+M11*0.5)*(1+$C$5)/10</f>
        <v>0.17844728633976009</v>
      </c>
      <c r="S11" s="2">
        <f t="shared" ref="S11:S48" si="2">(1+I11*0.5+N11*0.5)*(1+$C$5)/10</f>
        <v>0.18031815831385198</v>
      </c>
      <c r="T11" s="2">
        <f t="shared" ref="T11:T48" si="3">(1+J11*0.5+O11*0.5)*(1+$C$5)/10</f>
        <v>0.18346241387033271</v>
      </c>
      <c r="U11" s="2">
        <f t="shared" ref="U11:U48" si="4">(1+K11*0.5+P11*0.5)*(1+$C$5)/10</f>
        <v>0.18470083304547405</v>
      </c>
      <c r="W11" s="14">
        <v>7</v>
      </c>
      <c r="X11" s="14">
        <f>求节点(B$10:B$48,Q$10:Q$48,$W11)*(其他调用!AS11+其他调用!AZ11*$D$50*$D$51)*6</f>
        <v>234.90860073737508</v>
      </c>
      <c r="Y11" s="14">
        <f>求节点(C$10:C$48,R$10:R$48,$W11)*(其他调用!AT11+其他调用!BA11*$D$50*$D$51)*6</f>
        <v>240.41867337928622</v>
      </c>
      <c r="Z11" s="14">
        <f>求节点(D$10:D$48,S$10:S$48,$W11)*(其他调用!AU11+其他调用!BB11*$D$50*$D$51)*6</f>
        <v>244.11814731088941</v>
      </c>
      <c r="AA11" s="14">
        <f>求节点(E$10:E$48,T$10:T$48,$W11)*(其他调用!AV11+其他调用!BC11*$D$50*$D$51)*6</f>
        <v>250.85873971594998</v>
      </c>
      <c r="AB11" s="14">
        <f>求节点(F$10:F$48,U$10:U$48,$W11)*(其他调用!AW11+其他调用!BD11*$D$50*$D$51)*6</f>
        <v>254.95399561354361</v>
      </c>
      <c r="AC11" s="14">
        <f>[1]节奏总纲!$BJ10</f>
        <v>1.0666666666666669</v>
      </c>
      <c r="AD11" s="14">
        <f>[1]节奏总纲!$BJ10</f>
        <v>1.0666666666666669</v>
      </c>
      <c r="AE11" s="14">
        <f>[1]节奏总纲!$BJ10</f>
        <v>1.0666666666666669</v>
      </c>
      <c r="AF11" s="14">
        <f>[1]节奏总纲!$BJ10</f>
        <v>1.0666666666666669</v>
      </c>
      <c r="AG11" s="14">
        <f>[1]节奏总纲!$BJ10</f>
        <v>1.0666666666666669</v>
      </c>
      <c r="AI11" s="2">
        <v>7</v>
      </c>
      <c r="AJ11" s="2">
        <f>求节点(节奏总纲!$D$4:$D$113,AC$5:AC$104,$AI11)</f>
        <v>1.8333333333333359</v>
      </c>
      <c r="AK11" s="2">
        <f>求节点(节奏总纲!$D$4:$D$113,AD$5:AD$104,$AI11)</f>
        <v>1.8333333333333359</v>
      </c>
      <c r="AL11" s="2">
        <f>求节点(节奏总纲!$D$4:$D$113,AE$5:AE$104,$AI11)</f>
        <v>1.8333333333333359</v>
      </c>
      <c r="AM11" s="2">
        <f>求节点(节奏总纲!$D$4:$D$113,AF$5:AF$104,$AI11)</f>
        <v>1.8333333333333359</v>
      </c>
      <c r="AN11" s="2">
        <f>求节点(节奏总纲!$D$4:$D$113,AG$5:AG$104,$AI11)</f>
        <v>1.8333333333333359</v>
      </c>
    </row>
    <row r="12" spans="1:40" x14ac:dyDescent="0.15">
      <c r="A12" s="58"/>
      <c r="B12" s="2">
        <f>[2]战法升星!$K7</f>
        <v>28.071211008105138</v>
      </c>
      <c r="C12" s="2">
        <f>[2]战法升星!$K52</f>
        <v>27.773265580596355</v>
      </c>
      <c r="D12" s="2">
        <f>[2]战法升星!$K97</f>
        <v>27.769105021676069</v>
      </c>
      <c r="E12" s="2">
        <f>[2]战法升星!$K142</f>
        <v>27.324610510337703</v>
      </c>
      <c r="F12" s="2">
        <f>[2]战法升星!$K187</f>
        <v>27.144641112884834</v>
      </c>
      <c r="G12" s="2">
        <f>[3]武将升星!$AQ6</f>
        <v>0.21586140463019357</v>
      </c>
      <c r="H12" s="2">
        <f>[3]武将升星!$AQ51</f>
        <v>0.22560752133885256</v>
      </c>
      <c r="I12" s="2">
        <f>[3]武将升星!$AQ96</f>
        <v>0.24766004580844</v>
      </c>
      <c r="J12" s="2">
        <f>[3]武将升星!$AQ141</f>
        <v>0.29257756754173281</v>
      </c>
      <c r="K12" s="2">
        <f>[3]武将升星!$AQ186</f>
        <v>0.31520564064802631</v>
      </c>
      <c r="L12" s="2">
        <f>[2]战法升星!$Z7</f>
        <v>0.37833333333333341</v>
      </c>
      <c r="M12" s="2">
        <f>[2]战法升星!$Z52</f>
        <v>0.40500000000000003</v>
      </c>
      <c r="N12" s="2">
        <f>[2]战法升星!$Z97</f>
        <v>0.40500000000000003</v>
      </c>
      <c r="O12" s="2">
        <f>[2]战法升星!$Z142</f>
        <v>0.40500000000000003</v>
      </c>
      <c r="P12" s="2">
        <f>[2]战法升星!$Z187</f>
        <v>0.42703863167990025</v>
      </c>
      <c r="Q12" s="2">
        <f t="shared" si="0"/>
        <v>0.18159363165744688</v>
      </c>
      <c r="R12" s="2">
        <f t="shared" si="1"/>
        <v>0.18414252649371965</v>
      </c>
      <c r="S12" s="2">
        <f t="shared" si="2"/>
        <v>0.18568620320659077</v>
      </c>
      <c r="T12" s="2">
        <f t="shared" si="3"/>
        <v>0.18883042972792127</v>
      </c>
      <c r="U12" s="2">
        <f t="shared" si="4"/>
        <v>0.19195709906295486</v>
      </c>
      <c r="W12" s="14">
        <v>8</v>
      </c>
      <c r="X12" s="14">
        <f>求节点(B$10:B$48,Q$10:Q$48,$W12)*(其他调用!AS12+其他调用!AZ12*$D$50*$D$51)*6</f>
        <v>274.19244171254189</v>
      </c>
      <c r="Y12" s="14">
        <f>求节点(C$10:C$48,R$10:R$48,$W12)*(其他调用!AT12+其他调用!BA12*$D$50*$D$51)*6</f>
        <v>280.80817900559765</v>
      </c>
      <c r="Z12" s="14">
        <f>求节点(D$10:D$48,S$10:S$48,$W12)*(其他调用!AU12+其他调用!BB12*$D$50*$D$51)*6</f>
        <v>285.41304628109594</v>
      </c>
      <c r="AA12" s="14">
        <f>求节点(E$10:E$48,T$10:T$48,$W12)*(其他调用!AV12+其他调用!BC12*$D$50*$D$51)*6</f>
        <v>293.14936452265965</v>
      </c>
      <c r="AB12" s="14">
        <f>求节点(F$10:F$48,U$10:U$48,$W12)*(其他调用!AW12+其他调用!BD12*$D$50*$D$51)*6</f>
        <v>298.12050694538129</v>
      </c>
      <c r="AC12" s="14">
        <f>[1]节奏总纲!$BJ11</f>
        <v>1.1000000000000003</v>
      </c>
      <c r="AD12" s="14">
        <f>[1]节奏总纲!$BJ11</f>
        <v>1.1000000000000003</v>
      </c>
      <c r="AE12" s="14">
        <f>[1]节奏总纲!$BJ11</f>
        <v>1.1000000000000003</v>
      </c>
      <c r="AF12" s="14">
        <f>[1]节奏总纲!$BJ11</f>
        <v>1.1000000000000003</v>
      </c>
      <c r="AG12" s="14">
        <f>[1]节奏总纲!$BJ11</f>
        <v>1.1000000000000003</v>
      </c>
      <c r="AI12" s="2">
        <v>8</v>
      </c>
      <c r="AJ12" s="2">
        <f>求节点(节奏总纲!$D$4:$D$113,AC$5:AC$104,$AI12)</f>
        <v>1.8897309552045098</v>
      </c>
      <c r="AK12" s="2">
        <f>求节点(节奏总纲!$D$4:$D$113,AD$5:AD$104,$AI12)</f>
        <v>1.8897309552045098</v>
      </c>
      <c r="AL12" s="2">
        <f>求节点(节奏总纲!$D$4:$D$113,AE$5:AE$104,$AI12)</f>
        <v>1.8897309552045098</v>
      </c>
      <c r="AM12" s="2">
        <f>求节点(节奏总纲!$D$4:$D$113,AF$5:AF$104,$AI12)</f>
        <v>1.8897309552045098</v>
      </c>
      <c r="AN12" s="2">
        <f>求节点(节奏总纲!$D$4:$D$113,AG$5:AG$104,$AI12)</f>
        <v>1.8897309552045098</v>
      </c>
    </row>
    <row r="13" spans="1:40" x14ac:dyDescent="0.15">
      <c r="A13" s="58"/>
      <c r="B13" s="2">
        <f>[2]战法升星!$K8</f>
        <v>34.585942742481357</v>
      </c>
      <c r="C13" s="2">
        <f>[2]战法升星!$K53</f>
        <v>34.250806171891597</v>
      </c>
      <c r="D13" s="2">
        <f>[2]战法升星!$K98</f>
        <v>34.192155176139416</v>
      </c>
      <c r="E13" s="2">
        <f>[2]战法升星!$K143</f>
        <v>33.672145166817529</v>
      </c>
      <c r="F13" s="2">
        <f>[2]战法升星!$K188</f>
        <v>33.399598377161809</v>
      </c>
      <c r="G13" s="2">
        <f>[3]武将升星!$AQ7</f>
        <v>0.24766451739400477</v>
      </c>
      <c r="H13" s="2">
        <f>[3]武将升星!$AQ52</f>
        <v>0.26656775806159533</v>
      </c>
      <c r="I13" s="2">
        <f>[3]武将升星!$AQ97</f>
        <v>0.30503099053152027</v>
      </c>
      <c r="J13" s="2">
        <f>[3]武将升星!$AQ142</f>
        <v>0.37948180751358834</v>
      </c>
      <c r="K13" s="2">
        <f>[3]武将升星!$AQ187</f>
        <v>0.39581145813105861</v>
      </c>
      <c r="L13" s="2">
        <f>[2]战法升星!$Z8</f>
        <v>0.51205113511749167</v>
      </c>
      <c r="M13" s="2">
        <f>[2]战法升星!$Z53</f>
        <v>0.609993239340615</v>
      </c>
      <c r="N13" s="2">
        <f>[2]战法升星!$Z98</f>
        <v>0.7348080048636132</v>
      </c>
      <c r="O13" s="2">
        <f>[2]战法升星!$Z143</f>
        <v>0.81</v>
      </c>
      <c r="P13" s="2">
        <f>[2]战法升星!$Z188</f>
        <v>0.87434912357075067</v>
      </c>
      <c r="Q13" s="2">
        <f t="shared" si="0"/>
        <v>0.19318009567580471</v>
      </c>
      <c r="R13" s="2">
        <f t="shared" si="1"/>
        <v>0.20135926981815472</v>
      </c>
      <c r="S13" s="2">
        <f t="shared" si="2"/>
        <v>0.21278872967765933</v>
      </c>
      <c r="T13" s="2">
        <f t="shared" si="3"/>
        <v>0.22326372652595117</v>
      </c>
      <c r="U13" s="2">
        <f t="shared" si="4"/>
        <v>0.22891124071912664</v>
      </c>
      <c r="W13" s="14">
        <v>9</v>
      </c>
      <c r="X13" s="14">
        <f>求节点(B$10:B$48,Q$10:Q$48,$W13)*(其他调用!AS13+其他调用!AZ13*$D$50*$D$51)*6</f>
        <v>314.91490571286204</v>
      </c>
      <c r="Y13" s="14">
        <f>求节点(C$10:C$48,R$10:R$48,$W13)*(其他调用!AT13+其他调用!BA13*$D$50*$D$51)*6</f>
        <v>322.71916528518176</v>
      </c>
      <c r="Z13" s="14">
        <f>求节点(D$10:D$48,S$10:S$48,$W13)*(其他调用!AU13+其他调用!BB13*$D$50*$D$51)*6</f>
        <v>328.3315032723259</v>
      </c>
      <c r="AA13" s="14">
        <f>求节点(E$10:E$48,T$10:T$48,$W13)*(其他调用!AV13+其他调用!BC13*$D$50*$D$51)*6</f>
        <v>337.05340482690553</v>
      </c>
      <c r="AB13" s="14">
        <f>求节点(F$10:F$48,U$10:U$48,$W13)*(其他调用!AW13+其他调用!BD13*$D$50*$D$51)*6</f>
        <v>342.97314626683738</v>
      </c>
      <c r="AC13" s="14">
        <f>[1]节奏总纲!$BJ12</f>
        <v>1.1333333333333337</v>
      </c>
      <c r="AD13" s="14">
        <f>[1]节奏总纲!$BJ12</f>
        <v>1.1333333333333337</v>
      </c>
      <c r="AE13" s="14">
        <f>[1]节奏总纲!$BJ12</f>
        <v>1.1333333333333337</v>
      </c>
      <c r="AF13" s="14">
        <f>[1]节奏总纲!$BJ12</f>
        <v>1.1333333333333337</v>
      </c>
      <c r="AG13" s="14">
        <f>[1]节奏总纲!$BJ12</f>
        <v>1.1333333333333337</v>
      </c>
      <c r="AI13" s="2">
        <v>9</v>
      </c>
      <c r="AJ13" s="2">
        <f>求节点(节奏总纲!$D$4:$D$113,AC$5:AC$104,$AI13)</f>
        <v>1.9404462201413957</v>
      </c>
      <c r="AK13" s="2">
        <f>求节点(节奏总纲!$D$4:$D$113,AD$5:AD$104,$AI13)</f>
        <v>1.9404462201413957</v>
      </c>
      <c r="AL13" s="2">
        <f>求节点(节奏总纲!$D$4:$D$113,AE$5:AE$104,$AI13)</f>
        <v>1.9404462201413957</v>
      </c>
      <c r="AM13" s="2">
        <f>求节点(节奏总纲!$D$4:$D$113,AF$5:AF$104,$AI13)</f>
        <v>1.9404462201413957</v>
      </c>
      <c r="AN13" s="2">
        <f>求节点(节奏总纲!$D$4:$D$113,AG$5:AG$104,$AI13)</f>
        <v>1.9404462201413957</v>
      </c>
    </row>
    <row r="14" spans="1:40" x14ac:dyDescent="0.15">
      <c r="A14" s="58"/>
      <c r="B14" s="2">
        <f>[2]战法升星!$K9</f>
        <v>40</v>
      </c>
      <c r="C14" s="2">
        <f>[2]战法升星!$K54</f>
        <v>39.661158518499626</v>
      </c>
      <c r="D14" s="2">
        <f>[2]战法升星!$K99</f>
        <v>39.631851677253941</v>
      </c>
      <c r="E14" s="2">
        <f>[2]战法升星!$K144</f>
        <v>39.138098927718012</v>
      </c>
      <c r="F14" s="2">
        <f>[2]战法升星!$K189</f>
        <v>38.848984787984186</v>
      </c>
      <c r="G14" s="2">
        <f>[3]武将升星!$AQ8</f>
        <v>0.27756963193621775</v>
      </c>
      <c r="H14" s="2">
        <f>[3]武将升星!$AQ53</f>
        <v>0.30156182669211873</v>
      </c>
      <c r="I14" s="2">
        <f>[3]武将升星!$AQ98</f>
        <v>0.35294029539231353</v>
      </c>
      <c r="J14" s="2">
        <f>[3]武将升星!$AQ143</f>
        <v>0.45371660755189303</v>
      </c>
      <c r="K14" s="2">
        <f>[3]武将升星!$AQ188</f>
        <v>0.45805590748150821</v>
      </c>
      <c r="L14" s="2">
        <f>[2]战法升星!$Z9</f>
        <v>0.79122585322482653</v>
      </c>
      <c r="M14" s="2">
        <f>[2]战法升星!$Z54</f>
        <v>0.81</v>
      </c>
      <c r="N14" s="2">
        <f>[2]战法升星!$Z99</f>
        <v>0.81</v>
      </c>
      <c r="O14" s="2">
        <f>[2]战法升星!$Z144</f>
        <v>0.87474960526126955</v>
      </c>
      <c r="P14" s="2">
        <f>[2]战法升星!$Z189</f>
        <v>0.96379724801304378</v>
      </c>
      <c r="Q14" s="2">
        <f t="shared" si="0"/>
        <v>0.2148156839612731</v>
      </c>
      <c r="R14" s="2">
        <f t="shared" si="1"/>
        <v>0.21780932786844831</v>
      </c>
      <c r="S14" s="2">
        <f t="shared" si="2"/>
        <v>0.22140582067746192</v>
      </c>
      <c r="T14" s="2">
        <f t="shared" si="3"/>
        <v>0.2329926348969214</v>
      </c>
      <c r="U14" s="2">
        <f t="shared" si="4"/>
        <v>0.23952972088461863</v>
      </c>
      <c r="W14" s="14">
        <v>10</v>
      </c>
      <c r="X14" s="14">
        <f>求节点(B$10:B$48,Q$10:Q$48,$W14)*(其他调用!AS14+其他调用!AZ14*$D$50*$D$51)*6</f>
        <v>365.95374843162944</v>
      </c>
      <c r="Y14" s="14">
        <f>求节点(C$10:C$48,R$10:R$48,$W14)*(其他调用!AT14+其他调用!BA14*$D$50*$D$51)*6</f>
        <v>364.85042352212525</v>
      </c>
      <c r="Z14" s="14">
        <f>求节点(D$10:D$48,S$10:S$48,$W14)*(其他调用!AU14+其他调用!BB14*$D$50*$D$51)*6</f>
        <v>372.87963113110402</v>
      </c>
      <c r="AA14" s="14">
        <f>求节点(E$10:E$48,T$10:T$48,$W14)*(其他调用!AV14+其他调用!BC14*$D$50*$D$51)*6</f>
        <v>382.57086062868774</v>
      </c>
      <c r="AB14" s="14">
        <f>求节点(F$10:F$48,U$10:U$48,$W14)*(其他调用!AW14+其他调用!BD14*$D$50*$D$51)*6</f>
        <v>389.51191357791225</v>
      </c>
      <c r="AC14" s="14">
        <f>[1]节奏总纲!$BJ13</f>
        <v>1.1666666666666672</v>
      </c>
      <c r="AD14" s="14">
        <f>[1]节奏总纲!$BJ13</f>
        <v>1.1666666666666672</v>
      </c>
      <c r="AE14" s="14">
        <f>[1]节奏总纲!$BJ13</f>
        <v>1.1666666666666672</v>
      </c>
      <c r="AF14" s="14">
        <f>[1]节奏总纲!$BJ13</f>
        <v>1.1666666666666672</v>
      </c>
      <c r="AG14" s="14">
        <f>[1]节奏总纲!$BJ13</f>
        <v>1.1666666666666672</v>
      </c>
      <c r="AI14" s="2">
        <v>10</v>
      </c>
      <c r="AJ14" s="2">
        <f>求节点(节奏总纲!$D$4:$D$113,AC$5:AC$104,$AI14)</f>
        <v>1.9861980914160484</v>
      </c>
      <c r="AK14" s="2">
        <f>求节点(节奏总纲!$D$4:$D$113,AD$5:AD$104,$AI14)</f>
        <v>1.9861980914160484</v>
      </c>
      <c r="AL14" s="2">
        <f>求节点(节奏总纲!$D$4:$D$113,AE$5:AE$104,$AI14)</f>
        <v>1.9861980914160484</v>
      </c>
      <c r="AM14" s="2">
        <f>求节点(节奏总纲!$D$4:$D$113,AF$5:AF$104,$AI14)</f>
        <v>1.9861980914160484</v>
      </c>
      <c r="AN14" s="2">
        <f>求节点(节奏总纲!$D$4:$D$113,AG$5:AG$104,$AI14)</f>
        <v>1.9861980914160484</v>
      </c>
    </row>
    <row r="15" spans="1:40" x14ac:dyDescent="0.15">
      <c r="A15" s="58"/>
      <c r="B15" s="2">
        <f>[2]战法升星!$K10</f>
        <v>43.920692243099523</v>
      </c>
      <c r="C15" s="2">
        <f>[2]战法升星!$K55</f>
        <v>43.535389560453282</v>
      </c>
      <c r="D15" s="2">
        <f>[2]战法升星!$K100</f>
        <v>43.484929789964411</v>
      </c>
      <c r="E15" s="2">
        <f>[2]战法升星!$K145</f>
        <v>42.970748198558951</v>
      </c>
      <c r="F15" s="2">
        <f>[2]战法升星!$K190</f>
        <v>42.643360270022924</v>
      </c>
      <c r="G15" s="2">
        <f>[3]武将升星!$AQ9</f>
        <v>0.30686476349174463</v>
      </c>
      <c r="H15" s="2">
        <f>[3]武将升星!$AQ54</f>
        <v>0.335086799983426</v>
      </c>
      <c r="I15" s="2">
        <f>[3]武将升星!$AQ99</f>
        <v>0.39914166857409894</v>
      </c>
      <c r="J15" s="2">
        <f>[3]武将升星!$AQ144</f>
        <v>0.4969006371659081</v>
      </c>
      <c r="K15" s="2">
        <f>[3]武将升星!$AQ189</f>
        <v>0.5013287170754771</v>
      </c>
      <c r="L15" s="2">
        <f>[2]战法升星!$Z10</f>
        <v>0.81</v>
      </c>
      <c r="M15" s="2">
        <f>[2]战法升星!$Z55</f>
        <v>0.81</v>
      </c>
      <c r="N15" s="2">
        <f>[2]战法升星!$Z100</f>
        <v>0.81</v>
      </c>
      <c r="O15" s="2">
        <f>[2]战法升星!$Z145</f>
        <v>0.93617724042598394</v>
      </c>
      <c r="P15" s="2">
        <f>[2]战法升星!$Z190</f>
        <v>1.0166226862276684</v>
      </c>
      <c r="Q15" s="2">
        <f t="shared" si="0"/>
        <v>0.21818053344442209</v>
      </c>
      <c r="R15" s="2">
        <f t="shared" si="1"/>
        <v>0.22015607599883982</v>
      </c>
      <c r="S15" s="2">
        <f t="shared" si="2"/>
        <v>0.22463991680018691</v>
      </c>
      <c r="T15" s="2">
        <f t="shared" si="3"/>
        <v>0.24031545143143243</v>
      </c>
      <c r="U15" s="2">
        <f t="shared" si="4"/>
        <v>0.2462565982312202</v>
      </c>
      <c r="W15" s="14">
        <v>11</v>
      </c>
      <c r="X15" s="14">
        <f>求节点(B$10:B$48,Q$10:Q$48,$W15)*(其他调用!AS15+其他调用!AZ15*$D$50*$D$51)*6</f>
        <v>379.36131352767234</v>
      </c>
      <c r="Y15" s="14">
        <f>求节点(C$10:C$48,R$10:R$48,$W15)*(其他调用!AT15+其他调用!BA15*$D$50*$D$51)*6</f>
        <v>377.11070273567907</v>
      </c>
      <c r="Z15" s="14">
        <f>求节点(D$10:D$48,S$10:S$48,$W15)*(其他调用!AU15+其他调用!BB15*$D$50*$D$51)*6</f>
        <v>388.55642334250689</v>
      </c>
      <c r="AA15" s="14">
        <f>求节点(E$10:E$48,T$10:T$48,$W15)*(其他调用!AV15+其他调用!BC15*$D$50*$D$51)*6</f>
        <v>396.18628422026143</v>
      </c>
      <c r="AB15" s="14">
        <f>求节点(F$10:F$48,U$10:U$48,$W15)*(其他调用!AW15+其他调用!BD15*$D$50*$D$51)*6</f>
        <v>405.44521016180926</v>
      </c>
      <c r="AC15" s="14">
        <f>[1]节奏总纲!$BJ14</f>
        <v>1.2000000000000006</v>
      </c>
      <c r="AD15" s="14">
        <f>[1]节奏总纲!$BJ14</f>
        <v>1.2000000000000006</v>
      </c>
      <c r="AE15" s="14">
        <f>[1]节奏总纲!$BJ14</f>
        <v>1.2000000000000006</v>
      </c>
      <c r="AF15" s="14">
        <f>[1]节奏总纲!$BJ14</f>
        <v>1.2000000000000006</v>
      </c>
      <c r="AG15" s="14">
        <f>[1]节奏总纲!$BJ14</f>
        <v>1.2000000000000006</v>
      </c>
      <c r="AI15" s="2">
        <v>11</v>
      </c>
      <c r="AJ15" s="2">
        <f>求节点(节奏总纲!$D$4:$D$113,AC$5:AC$104,$AI15)</f>
        <v>2.0281720521003401</v>
      </c>
      <c r="AK15" s="2">
        <f>求节点(节奏总纲!$D$4:$D$113,AD$5:AD$104,$AI15)</f>
        <v>2.0281720521003401</v>
      </c>
      <c r="AL15" s="2">
        <f>求节点(节奏总纲!$D$4:$D$113,AE$5:AE$104,$AI15)</f>
        <v>2.0281720521003401</v>
      </c>
      <c r="AM15" s="2">
        <f>求节点(节奏总纲!$D$4:$D$113,AF$5:AF$104,$AI15)</f>
        <v>2.0281720521003401</v>
      </c>
      <c r="AN15" s="2">
        <f>求节点(节奏总纲!$D$4:$D$113,AG$5:AG$104,$AI15)</f>
        <v>2.0281720521003401</v>
      </c>
    </row>
    <row r="16" spans="1:40" x14ac:dyDescent="0.15">
      <c r="A16" s="58"/>
      <c r="B16" s="2">
        <f>[2]战法升星!$K11</f>
        <v>49.533352307096472</v>
      </c>
      <c r="C16" s="2">
        <f>[2]战法升星!$K56</f>
        <v>49.178590903134719</v>
      </c>
      <c r="D16" s="2">
        <f>[2]战法升星!$K101</f>
        <v>49.18886033229559</v>
      </c>
      <c r="E16" s="2">
        <f>[2]战法升星!$K146</f>
        <v>48.731413734867289</v>
      </c>
      <c r="F16" s="2">
        <f>[2]战法升星!$K191</f>
        <v>48.493134765265182</v>
      </c>
      <c r="G16" s="2">
        <f>[3]武将升星!$AQ10</f>
        <v>0.35920087627536751</v>
      </c>
      <c r="H16" s="2">
        <f>[3]武将升星!$AQ55</f>
        <v>0.39414151730329589</v>
      </c>
      <c r="I16" s="2">
        <f>[3]武将升星!$AQ100</f>
        <v>0.45392593896190786</v>
      </c>
      <c r="J16" s="2">
        <f>[3]武将升星!$AQ145</f>
        <v>0.57124487276176161</v>
      </c>
      <c r="K16" s="2">
        <f>[3]武将升星!$AQ190</f>
        <v>0.5781228489679644</v>
      </c>
      <c r="L16" s="2">
        <f>[2]战法升星!$Z11</f>
        <v>0.81</v>
      </c>
      <c r="M16" s="2">
        <f>[2]战法升星!$Z56</f>
        <v>0.81</v>
      </c>
      <c r="N16" s="2">
        <f>[2]战法升星!$Z101</f>
        <v>0.85646948788083532</v>
      </c>
      <c r="O16" s="2">
        <f>[2]战法升星!$Z146</f>
        <v>1.0182988648539602</v>
      </c>
      <c r="P16" s="2">
        <f>[2]战法升星!$Z191</f>
        <v>1.1021053697641714</v>
      </c>
      <c r="Q16" s="2">
        <f t="shared" si="0"/>
        <v>0.22184406133927573</v>
      </c>
      <c r="R16" s="2">
        <f t="shared" si="1"/>
        <v>0.22428990621123074</v>
      </c>
      <c r="S16" s="2">
        <f t="shared" si="2"/>
        <v>0.23172767987899201</v>
      </c>
      <c r="T16" s="2">
        <f t="shared" si="3"/>
        <v>0.2512680616331005</v>
      </c>
      <c r="U16" s="2">
        <f t="shared" si="4"/>
        <v>0.25761597531124952</v>
      </c>
      <c r="W16" s="14">
        <v>12</v>
      </c>
      <c r="X16" s="14">
        <f>求节点(B$10:B$48,Q$10:Q$48,$W16)*(其他调用!AS16+其他调用!AZ16*$D$50*$D$51)*6</f>
        <v>393.13629182965133</v>
      </c>
      <c r="Y16" s="14">
        <f>求节点(C$10:C$48,R$10:R$48,$W16)*(其他调用!AT16+其他调用!BA16*$D$50*$D$51)*6</f>
        <v>400.22480089361648</v>
      </c>
      <c r="Z16" s="14">
        <f>求节点(D$10:D$48,S$10:S$48,$W16)*(其他调用!AU16+其他调用!BB16*$D$50*$D$51)*6</f>
        <v>401.11632151158125</v>
      </c>
      <c r="AA16" s="14">
        <f>求节点(E$10:E$48,T$10:T$48,$W16)*(其他调用!AV16+其他调用!BC16*$D$50*$D$51)*6</f>
        <v>409.9766390539296</v>
      </c>
      <c r="AB16" s="14">
        <f>求节点(F$10:F$48,U$10:U$48,$W16)*(其他调用!AW16+其他调用!BD16*$D$50*$D$51)*6</f>
        <v>420.36311319690094</v>
      </c>
      <c r="AC16" s="14">
        <f>[1]节奏总纲!$BJ15</f>
        <v>1.2333333333333341</v>
      </c>
      <c r="AD16" s="14">
        <f>[1]节奏总纲!$BJ15</f>
        <v>1.2333333333333341</v>
      </c>
      <c r="AE16" s="14">
        <f>[1]节奏总纲!$BJ15</f>
        <v>1.2333333333333341</v>
      </c>
      <c r="AF16" s="14">
        <f>[1]节奏总纲!$BJ15</f>
        <v>1.2333333333333341</v>
      </c>
      <c r="AG16" s="14">
        <f>[1]节奏总纲!$BJ15</f>
        <v>1.2333333333333341</v>
      </c>
      <c r="AI16" s="2">
        <v>12</v>
      </c>
      <c r="AJ16" s="2">
        <f>求节点(节奏总纲!$D$4:$D$113,AC$5:AC$104,$AI16)</f>
        <v>2.0668082398108245</v>
      </c>
      <c r="AK16" s="2">
        <f>求节点(节奏总纲!$D$4:$D$113,AD$5:AD$104,$AI16)</f>
        <v>2.0668082398108245</v>
      </c>
      <c r="AL16" s="2">
        <f>求节点(节奏总纲!$D$4:$D$113,AE$5:AE$104,$AI16)</f>
        <v>2.0668082398108245</v>
      </c>
      <c r="AM16" s="2">
        <f>求节点(节奏总纲!$D$4:$D$113,AF$5:AF$104,$AI16)</f>
        <v>2.0668082398108245</v>
      </c>
      <c r="AN16" s="2">
        <f>求节点(节奏总纲!$D$4:$D$113,AG$5:AG$104,$AI16)</f>
        <v>2.0668082398108245</v>
      </c>
    </row>
    <row r="17" spans="1:40" x14ac:dyDescent="0.15">
      <c r="A17" s="58"/>
      <c r="B17" s="2">
        <f>[2]战法升星!$K12</f>
        <v>53.567039423670657</v>
      </c>
      <c r="C17" s="2">
        <f>[2]战法升星!$K57</f>
        <v>53.226994578658328</v>
      </c>
      <c r="D17" s="2">
        <f>[2]战法升星!$K102</f>
        <v>53.212684955585161</v>
      </c>
      <c r="E17" s="2">
        <f>[2]战法升星!$K147</f>
        <v>52.769987980532711</v>
      </c>
      <c r="F17" s="2">
        <f>[2]战法升星!$K192</f>
        <v>52.559419343629337</v>
      </c>
      <c r="G17" s="2">
        <f>[3]武将升星!$AQ11</f>
        <v>0.42344511445651212</v>
      </c>
      <c r="H17" s="2">
        <f>[3]武将升星!$AQ56</f>
        <v>0.45019063111707075</v>
      </c>
      <c r="I17" s="2">
        <f>[3]武将升星!$AQ101</f>
        <v>0.49019082960552757</v>
      </c>
      <c r="J17" s="2">
        <f>[3]武将升星!$AQ146</f>
        <v>0.60073367165517422</v>
      </c>
      <c r="K17" s="2">
        <f>[3]武将升星!$AQ191</f>
        <v>0.61411947901215125</v>
      </c>
      <c r="L17" s="2">
        <f>[2]战法升星!$Z12</f>
        <v>0.81236160374146527</v>
      </c>
      <c r="M17" s="2">
        <f>[2]战法升星!$Z57</f>
        <v>0.84345785559577513</v>
      </c>
      <c r="N17" s="2">
        <f>[2]战法升星!$Z102</f>
        <v>0.91680850102650424</v>
      </c>
      <c r="O17" s="2">
        <f>[2]战法升星!$Z147</f>
        <v>1.0736395473999434</v>
      </c>
      <c r="P17" s="2">
        <f>[2]战法升星!$Z192</f>
        <v>1.1664147621068632</v>
      </c>
      <c r="Q17" s="2">
        <f t="shared" si="0"/>
        <v>0.2265064702738584</v>
      </c>
      <c r="R17" s="2">
        <f t="shared" si="1"/>
        <v>0.23055539406989917</v>
      </c>
      <c r="S17" s="2">
        <f t="shared" si="2"/>
        <v>0.23848995314424221</v>
      </c>
      <c r="T17" s="2">
        <f t="shared" si="3"/>
        <v>0.25720612533385817</v>
      </c>
      <c r="U17" s="2">
        <f t="shared" si="4"/>
        <v>0.26463739687833099</v>
      </c>
      <c r="W17" s="14">
        <v>13</v>
      </c>
      <c r="X17" s="14">
        <f>求节点(B$10:B$48,Q$10:Q$48,$W17)*(其他调用!AS17+其他调用!AZ17*$D$50*$D$51)*6</f>
        <v>407.29575096698147</v>
      </c>
      <c r="Y17" s="14">
        <f>求节点(C$10:C$48,R$10:R$48,$W17)*(其他调用!AT17+其他调用!BA17*$D$50*$D$51)*6</f>
        <v>414.59847155808461</v>
      </c>
      <c r="Z17" s="14">
        <f>求节点(D$10:D$48,S$10:S$48,$W17)*(其他调用!AU17+其他调用!BB17*$D$50*$D$51)*6</f>
        <v>424.35543959742637</v>
      </c>
      <c r="AA17" s="14">
        <f>求节点(E$10:E$48,T$10:T$48,$W17)*(其他调用!AV17+其他调用!BC17*$D$50*$D$51)*6</f>
        <v>424.02992920231759</v>
      </c>
      <c r="AB17" s="14">
        <f>求节点(F$10:F$48,U$10:U$48,$W17)*(其他调用!AW17+其他调用!BD17*$D$50*$D$51)*6</f>
        <v>435.6025310987327</v>
      </c>
      <c r="AC17" s="14">
        <f>[1]节奏总纲!$BJ16</f>
        <v>1.2666666666666675</v>
      </c>
      <c r="AD17" s="14">
        <f>[1]节奏总纲!$BJ16</f>
        <v>1.2666666666666675</v>
      </c>
      <c r="AE17" s="14">
        <f>[1]节奏总纲!$BJ16</f>
        <v>1.2666666666666675</v>
      </c>
      <c r="AF17" s="14">
        <f>[1]节奏总纲!$BJ16</f>
        <v>1.2666666666666675</v>
      </c>
      <c r="AG17" s="14">
        <f>[1]节奏总纲!$BJ16</f>
        <v>1.2666666666666675</v>
      </c>
      <c r="AI17" s="2">
        <v>13</v>
      </c>
      <c r="AJ17" s="2">
        <f>求节点(节奏总纲!$D$4:$D$113,AC$5:AC$104,$AI17)</f>
        <v>2.1023737002701739</v>
      </c>
      <c r="AK17" s="2">
        <f>求节点(节奏总纲!$D$4:$D$113,AD$5:AD$104,$AI17)</f>
        <v>2.1023737002701739</v>
      </c>
      <c r="AL17" s="2">
        <f>求节点(节奏总纲!$D$4:$D$113,AE$5:AE$104,$AI17)</f>
        <v>2.1023737002701739</v>
      </c>
      <c r="AM17" s="2">
        <f>求节点(节奏总纲!$D$4:$D$113,AF$5:AF$104,$AI17)</f>
        <v>2.1023737002701739</v>
      </c>
      <c r="AN17" s="2">
        <f>求节点(节奏总纲!$D$4:$D$113,AG$5:AG$104,$AI17)</f>
        <v>2.1023737002701739</v>
      </c>
    </row>
    <row r="18" spans="1:40" x14ac:dyDescent="0.15">
      <c r="A18" s="58"/>
      <c r="B18" s="2">
        <f>[2]战法升星!$K13</f>
        <v>59.300028460644697</v>
      </c>
      <c r="C18" s="2">
        <f>[2]战法升星!$K58</f>
        <v>59.016342740868758</v>
      </c>
      <c r="D18" s="2">
        <f>[2]战法升星!$K103</f>
        <v>59.09095196730258</v>
      </c>
      <c r="E18" s="2">
        <f>[2]战法升星!$K148</f>
        <v>58.701446767877648</v>
      </c>
      <c r="F18" s="2">
        <f>[2]战法升星!$K193</f>
        <v>58.560986008166232</v>
      </c>
      <c r="G18" s="2">
        <f>[3]武将升星!$AQ12</f>
        <v>0.48473937604862566</v>
      </c>
      <c r="H18" s="2">
        <f>[3]武将升星!$AQ57</f>
        <v>0.5080303668098386</v>
      </c>
      <c r="I18" s="2">
        <f>[3]武将升星!$AQ102</f>
        <v>0.5544051085575562</v>
      </c>
      <c r="J18" s="2">
        <f>[3]武将升星!$AQ147</f>
        <v>0.66703104836352478</v>
      </c>
      <c r="K18" s="2">
        <f>[3]武将升星!$AQ192</f>
        <v>0.69756609832907779</v>
      </c>
      <c r="L18" s="2">
        <f>[2]战法升星!$Z13</f>
        <v>0.88901877439490107</v>
      </c>
      <c r="M18" s="2">
        <f>[2]战法升星!$Z58</f>
        <v>0.93361804030665441</v>
      </c>
      <c r="N18" s="2">
        <f>[2]战法升星!$Z103</f>
        <v>1.0089722756717872</v>
      </c>
      <c r="O18" s="2">
        <f>[2]战法升星!$Z148</f>
        <v>1.1650847572166976</v>
      </c>
      <c r="P18" s="2">
        <f>[2]战法升星!$Z193</f>
        <v>1.2399269711502783</v>
      </c>
      <c r="Q18" s="2">
        <f t="shared" si="0"/>
        <v>0.23616307053104685</v>
      </c>
      <c r="R18" s="2">
        <f t="shared" si="1"/>
        <v>0.24091538849815453</v>
      </c>
      <c r="S18" s="2">
        <f t="shared" si="2"/>
        <v>0.24943641689605403</v>
      </c>
      <c r="T18" s="2">
        <f t="shared" si="3"/>
        <v>0.26824810639061558</v>
      </c>
      <c r="U18" s="2">
        <f t="shared" si="4"/>
        <v>0.27562451486355494</v>
      </c>
      <c r="W18" s="14">
        <v>14</v>
      </c>
      <c r="X18" s="14">
        <f>求节点(B$10:B$48,Q$10:Q$48,$W18)*(其他调用!AS18+其他调用!AZ18*$D$50*$D$51)*6</f>
        <v>421.85835360578494</v>
      </c>
      <c r="Y18" s="14">
        <f>求节点(C$10:C$48,R$10:R$48,$W18)*(其他调用!AT18+其他调用!BA18*$D$50*$D$51)*6</f>
        <v>429.27328780827042</v>
      </c>
      <c r="Z18" s="14">
        <f>求节点(D$10:D$48,S$10:S$48,$W18)*(其他调用!AU18+其他调用!BB18*$D$50*$D$51)*6</f>
        <v>438.83945145809378</v>
      </c>
      <c r="AA18" s="14">
        <f>求节点(E$10:E$48,T$10:T$48,$W18)*(其他调用!AV18+其他调用!BC18*$D$50*$D$51)*6</f>
        <v>438.34747974261927</v>
      </c>
      <c r="AB18" s="14">
        <f>求节点(F$10:F$48,U$10:U$48,$W18)*(其他调用!AW18+其他调用!BD18*$D$50*$D$51)*6</f>
        <v>451.16611261734619</v>
      </c>
      <c r="AC18" s="14">
        <f>[1]节奏总纲!$BJ17</f>
        <v>1.3000000000000009</v>
      </c>
      <c r="AD18" s="14">
        <f>[1]节奏总纲!$BJ17</f>
        <v>1.3000000000000009</v>
      </c>
      <c r="AE18" s="14">
        <f>[1]节奏总纲!$BJ17</f>
        <v>1.3000000000000009</v>
      </c>
      <c r="AF18" s="14">
        <f>[1]节奏总纲!$BJ17</f>
        <v>1.3000000000000009</v>
      </c>
      <c r="AG18" s="14">
        <f>[1]节奏总纲!$BJ17</f>
        <v>1.3000000000000009</v>
      </c>
      <c r="AI18" s="2">
        <v>14</v>
      </c>
      <c r="AJ18" s="2">
        <f>求节点(节奏总纲!$D$4:$D$113,AC$5:AC$104,$AI18)</f>
        <v>2.1355568204731008</v>
      </c>
      <c r="AK18" s="2">
        <f>求节点(节奏总纲!$D$4:$D$113,AD$5:AD$104,$AI18)</f>
        <v>2.1355568204731008</v>
      </c>
      <c r="AL18" s="2">
        <f>求节点(节奏总纲!$D$4:$D$113,AE$5:AE$104,$AI18)</f>
        <v>2.1355568204731008</v>
      </c>
      <c r="AM18" s="2">
        <f>求节点(节奏总纲!$D$4:$D$113,AF$5:AF$104,$AI18)</f>
        <v>2.1355568204731008</v>
      </c>
      <c r="AN18" s="2">
        <f>求节点(节奏总纲!$D$4:$D$113,AG$5:AG$104,$AI18)</f>
        <v>2.1355568204731008</v>
      </c>
    </row>
    <row r="19" spans="1:40" x14ac:dyDescent="0.15">
      <c r="A19" s="58"/>
      <c r="B19" s="2">
        <f>[2]战法升星!$K14</f>
        <v>65.075479910097457</v>
      </c>
      <c r="C19" s="2">
        <f>[2]战法升星!$K59</f>
        <v>64.781009552500748</v>
      </c>
      <c r="D19" s="2">
        <f>[2]战法升星!$K104</f>
        <v>64.819145630244321</v>
      </c>
      <c r="E19" s="2">
        <f>[2]战法升星!$K149</f>
        <v>64.399012521055653</v>
      </c>
      <c r="F19" s="2">
        <f>[2]战法升星!$K194</f>
        <v>64.247064283227857</v>
      </c>
      <c r="G19" s="2">
        <f>[3]武将升星!$AQ13</f>
        <v>0.57862795739305395</v>
      </c>
      <c r="H19" s="2">
        <f>[3]武将升星!$AQ58</f>
        <v>0.61447062218989057</v>
      </c>
      <c r="I19" s="2">
        <f>[3]武将升星!$AQ103</f>
        <v>0.66361862825388762</v>
      </c>
      <c r="J19" s="2">
        <f>[3]武将升星!$AQ148</f>
        <v>0.77501711452824207</v>
      </c>
      <c r="K19" s="2">
        <f>[3]武将升星!$AQ193</f>
        <v>0.7910912683317104</v>
      </c>
      <c r="L19" s="2">
        <f>[2]战法升星!$Z14</f>
        <v>0.99151791795688238</v>
      </c>
      <c r="M19" s="2">
        <f>[2]战法升星!$Z59</f>
        <v>1.0210606818380823</v>
      </c>
      <c r="N19" s="2">
        <f>[2]战法升星!$Z104</f>
        <v>1.0898659341600285</v>
      </c>
      <c r="O19" s="2">
        <f>[2]战法升星!$Z149</f>
        <v>1.2267264474038384</v>
      </c>
      <c r="P19" s="2">
        <f>[2]战法升星!$Z194</f>
        <v>1.2769708885340061</v>
      </c>
      <c r="Q19" s="2">
        <f t="shared" si="0"/>
        <v>0.24991021127449553</v>
      </c>
      <c r="R19" s="2">
        <f t="shared" si="1"/>
        <v>0.25448719128195807</v>
      </c>
      <c r="S19" s="2">
        <f t="shared" si="2"/>
        <v>0.26274391936897412</v>
      </c>
      <c r="T19" s="2">
        <f t="shared" si="3"/>
        <v>0.28012204933524565</v>
      </c>
      <c r="U19" s="2">
        <f t="shared" si="4"/>
        <v>0.2847643509806001</v>
      </c>
      <c r="W19" s="14">
        <v>15</v>
      </c>
      <c r="X19" s="14">
        <f>求节点(B$10:B$48,Q$10:Q$48,$W19)*(其他调用!AS19+其他调用!AZ19*$D$50*$D$51)*6</f>
        <v>436.84450223692932</v>
      </c>
      <c r="Y19" s="14">
        <f>求节点(C$10:C$48,R$10:R$48,$W19)*(其他调用!AT19+其他调用!BA19*$D$50*$D$51)*6</f>
        <v>444.3898438185264</v>
      </c>
      <c r="Z19" s="14">
        <f>求节点(D$10:D$48,S$10:S$48,$W19)*(其他调用!AU19+其他调用!BB19*$D$50*$D$51)*6</f>
        <v>453.73295237768957</v>
      </c>
      <c r="AA19" s="14">
        <f>求节点(E$10:E$48,T$10:T$48,$W19)*(其他调用!AV19+其他调用!BC19*$D$50*$D$51)*6</f>
        <v>452.93061575202807</v>
      </c>
      <c r="AB19" s="14">
        <f>求节点(F$10:F$48,U$10:U$48,$W19)*(其他调用!AW19+其他调用!BD19*$D$50*$D$51)*6</f>
        <v>467.05650650278312</v>
      </c>
      <c r="AC19" s="14">
        <f>[1]节奏总纲!$BJ18</f>
        <v>1.3333333333333344</v>
      </c>
      <c r="AD19" s="14">
        <f>[1]节奏总纲!$BJ18</f>
        <v>1.3333333333333344</v>
      </c>
      <c r="AE19" s="14">
        <f>[1]节奏总纲!$BJ18</f>
        <v>1.3333333333333344</v>
      </c>
      <c r="AF19" s="14">
        <f>[1]节奏总纲!$BJ18</f>
        <v>1.3333333333333344</v>
      </c>
      <c r="AG19" s="14">
        <f>[1]节奏总纲!$BJ18</f>
        <v>1.3333333333333344</v>
      </c>
      <c r="AI19" s="2">
        <v>15</v>
      </c>
      <c r="AJ19" s="2">
        <f>求节点(节奏总纲!$D$4:$D$113,AC$5:AC$104,$AI19)</f>
        <v>2.1666666666666692</v>
      </c>
      <c r="AK19" s="2">
        <f>求节点(节奏总纲!$D$4:$D$113,AD$5:AD$104,$AI19)</f>
        <v>2.1666666666666692</v>
      </c>
      <c r="AL19" s="2">
        <f>求节点(节奏总纲!$D$4:$D$113,AE$5:AE$104,$AI19)</f>
        <v>2.1666666666666692</v>
      </c>
      <c r="AM19" s="2">
        <f>求节点(节奏总纲!$D$4:$D$113,AF$5:AF$104,$AI19)</f>
        <v>2.1666666666666692</v>
      </c>
      <c r="AN19" s="2">
        <f>求节点(节奏总纲!$D$4:$D$113,AG$5:AG$104,$AI19)</f>
        <v>2.1666666666666692</v>
      </c>
    </row>
    <row r="20" spans="1:40" x14ac:dyDescent="0.15">
      <c r="A20" s="58"/>
      <c r="B20" s="2">
        <f>[2]战法升星!$K15</f>
        <v>69.18336653741882</v>
      </c>
      <c r="C20" s="2">
        <f>[2]战法升星!$K60</f>
        <v>68.923431594456531</v>
      </c>
      <c r="D20" s="2">
        <f>[2]战法升星!$K105</f>
        <v>69.01697485309198</v>
      </c>
      <c r="E20" s="2">
        <f>[2]战法升星!$K150</f>
        <v>68.627579426319684</v>
      </c>
      <c r="F20" s="2">
        <f>[2]战法升星!$K195</f>
        <v>68.518369035696878</v>
      </c>
      <c r="G20" s="2">
        <f>[3]武将升星!$AQ14</f>
        <v>0.63308656063446256</v>
      </c>
      <c r="H20" s="2">
        <f>[3]武将升星!$AQ59</f>
        <v>0.68296220696844323</v>
      </c>
      <c r="I20" s="2">
        <f>[3]武将升星!$AQ104</f>
        <v>0.72910454818572656</v>
      </c>
      <c r="J20" s="2">
        <f>[3]武将升星!$AQ149</f>
        <v>0.84953398228434873</v>
      </c>
      <c r="K20" s="2">
        <f>[3]武将升星!$AQ194</f>
        <v>0.85995436198627229</v>
      </c>
      <c r="L20" s="2">
        <f>[2]战法升星!$Z15</f>
        <v>1.0238221009742585</v>
      </c>
      <c r="M20" s="2">
        <f>[2]战法升星!$Z60</f>
        <v>1.0627512698928083</v>
      </c>
      <c r="N20" s="2">
        <f>[2]战法升星!$Z105</f>
        <v>1.1370548156539799</v>
      </c>
      <c r="O20" s="2">
        <f>[2]战法升星!$Z150</f>
        <v>1.2159519898555373</v>
      </c>
      <c r="P20" s="2">
        <f>[2]战法升星!$Z195</f>
        <v>1.2240213431553604</v>
      </c>
      <c r="Q20" s="2">
        <f t="shared" si="0"/>
        <v>0.25598360631261047</v>
      </c>
      <c r="R20" s="2">
        <f t="shared" si="1"/>
        <v>0.26219994338028757</v>
      </c>
      <c r="S20" s="2">
        <f t="shared" si="2"/>
        <v>0.27063115546877942</v>
      </c>
      <c r="T20" s="2">
        <f t="shared" si="3"/>
        <v>0.28458401804979194</v>
      </c>
      <c r="U20" s="2">
        <f t="shared" si="4"/>
        <v>0.28587829935991427</v>
      </c>
      <c r="W20" s="14">
        <v>16</v>
      </c>
      <c r="X20" s="14">
        <f>求节点(B$10:B$48,Q$10:Q$48,$W20)*(其他调用!AS20+其他调用!AZ20*$D$50*$D$51)*6</f>
        <v>452.27649680024206</v>
      </c>
      <c r="Y20" s="14">
        <f>求节点(C$10:C$48,R$10:R$48,$W20)*(其他调用!AT20+其他调用!BA20*$D$50*$D$51)*6</f>
        <v>459.94913793235298</v>
      </c>
      <c r="Z20" s="14">
        <f>求节点(D$10:D$48,S$10:S$48,$W20)*(其他调用!AU20+其他调用!BB20*$D$50*$D$51)*6</f>
        <v>469.00234099720979</v>
      </c>
      <c r="AA20" s="14">
        <f>求节点(E$10:E$48,T$10:T$48,$W20)*(其他调用!AV20+其他调用!BC20*$D$50*$D$51)*6</f>
        <v>479.97604564601431</v>
      </c>
      <c r="AB20" s="14">
        <f>求节点(F$10:F$48,U$10:U$48,$W20)*(其他调用!AW20+其他调用!BD20*$D$50*$D$51)*6</f>
        <v>483.27636150508511</v>
      </c>
      <c r="AC20" s="14">
        <f>[1]节奏总纲!$BJ19</f>
        <v>1.3666666666666678</v>
      </c>
      <c r="AD20" s="14">
        <f>[1]节奏总纲!$BJ19</f>
        <v>1.3666666666666678</v>
      </c>
      <c r="AE20" s="14">
        <f>[1]节奏总纲!$BJ19</f>
        <v>1.3666666666666678</v>
      </c>
      <c r="AF20" s="14">
        <f>[1]节奏总纲!$BJ19</f>
        <v>1.3666666666666678</v>
      </c>
      <c r="AG20" s="14">
        <f>[1]节奏总纲!$BJ19</f>
        <v>1.3666666666666678</v>
      </c>
      <c r="AI20" s="2">
        <v>16</v>
      </c>
      <c r="AJ20" s="2">
        <f>求节点(节奏总纲!$D$4:$D$113,AC$5:AC$104,$AI20)</f>
        <v>2.1956931795269048</v>
      </c>
      <c r="AK20" s="2">
        <f>求节点(节奏总纲!$D$4:$D$113,AD$5:AD$104,$AI20)</f>
        <v>2.1956931795269048</v>
      </c>
      <c r="AL20" s="2">
        <f>求节点(节奏总纲!$D$4:$D$113,AE$5:AE$104,$AI20)</f>
        <v>2.1956931795269048</v>
      </c>
      <c r="AM20" s="2">
        <f>求节点(节奏总纲!$D$4:$D$113,AF$5:AF$104,$AI20)</f>
        <v>2.1956931795269048</v>
      </c>
      <c r="AN20" s="2">
        <f>求节点(节奏总纲!$D$4:$D$113,AG$5:AG$104,$AI20)</f>
        <v>2.1956931795269048</v>
      </c>
    </row>
    <row r="21" spans="1:40" x14ac:dyDescent="0.15">
      <c r="A21" s="58"/>
      <c r="B21" s="2">
        <f>[2]战法升星!$K16</f>
        <v>72.375871759353331</v>
      </c>
      <c r="C21" s="2">
        <f>[2]战法升星!$K61</f>
        <v>72.103942950990486</v>
      </c>
      <c r="D21" s="2">
        <f>[2]战法升星!$K106</f>
        <v>72.23150684883845</v>
      </c>
      <c r="E21" s="2">
        <f>[2]战法升星!$K151</f>
        <v>71.882008108111634</v>
      </c>
      <c r="F21" s="2">
        <f>[2]战法升星!$K196</f>
        <v>71.7664716439551</v>
      </c>
      <c r="G21" s="2">
        <f>[3]武将升星!$AQ15</f>
        <v>0.67883419631003727</v>
      </c>
      <c r="H21" s="2">
        <f>[3]武将升星!$AQ60</f>
        <v>0.73007016922483026</v>
      </c>
      <c r="I21" s="2">
        <f>[3]武将升星!$AQ105</f>
        <v>0.77786250874293883</v>
      </c>
      <c r="J21" s="2">
        <f>[3]武将升星!$AQ150</f>
        <v>0.90164198581782173</v>
      </c>
      <c r="K21" s="2">
        <f>[3]武将升星!$AQ195</f>
        <v>0.90791999312252347</v>
      </c>
      <c r="L21" s="2">
        <f>[2]战法升星!$Z16</f>
        <v>1.0419317611639451</v>
      </c>
      <c r="M21" s="2">
        <f>[2]战法升星!$Z61</f>
        <v>1.0829073218523386</v>
      </c>
      <c r="N21" s="2">
        <f>[2]战法升星!$Z106</f>
        <v>1.1154180798502258</v>
      </c>
      <c r="O21" s="2">
        <f>[2]战法升星!$Z151</f>
        <v>1.1593598639287197</v>
      </c>
      <c r="P21" s="2">
        <f>[2]战法升星!$Z196</f>
        <v>1.2278836995401339</v>
      </c>
      <c r="Q21" s="2">
        <f t="shared" si="0"/>
        <v>0.26045361702317876</v>
      </c>
      <c r="R21" s="2">
        <f t="shared" si="1"/>
        <v>0.2669084243754018</v>
      </c>
      <c r="S21" s="2">
        <f t="shared" si="2"/>
        <v>0.27252964120152151</v>
      </c>
      <c r="T21" s="2">
        <f t="shared" si="3"/>
        <v>0.28427012948225794</v>
      </c>
      <c r="U21" s="2">
        <f t="shared" si="4"/>
        <v>0.289506258486386</v>
      </c>
      <c r="W21" s="14">
        <v>17</v>
      </c>
      <c r="X21" s="14">
        <f>求节点(B$10:B$48,Q$10:Q$48,$W21)*(其他调用!AS21+其他调用!AZ21*$D$50*$D$51)*6</f>
        <v>468.05396425679226</v>
      </c>
      <c r="Y21" s="14">
        <f>求节点(C$10:C$48,R$10:R$48,$W21)*(其他调用!AT21+其他调用!BA21*$D$50*$D$51)*6</f>
        <v>475.88437332266119</v>
      </c>
      <c r="Z21" s="14">
        <f>求节点(D$10:D$48,S$10:S$48,$W21)*(其他调用!AU21+其他调用!BB21*$D$50*$D$51)*6</f>
        <v>484.60480574100518</v>
      </c>
      <c r="AA21" s="14">
        <f>求节点(E$10:E$48,T$10:T$48,$W21)*(其他调用!AV21+其他调用!BC21*$D$50*$D$51)*6</f>
        <v>496.67708943454778</v>
      </c>
      <c r="AB21" s="14">
        <f>求节点(F$10:F$48,U$10:U$48,$W21)*(其他调用!AW21+其他调用!BD21*$D$50*$D$51)*6</f>
        <v>499.71450894146938</v>
      </c>
      <c r="AC21" s="14">
        <f>[1]节奏总纲!$BJ20</f>
        <v>1.4000000000000012</v>
      </c>
      <c r="AD21" s="14">
        <f>[1]节奏总纲!$BJ20</f>
        <v>1.4000000000000012</v>
      </c>
      <c r="AE21" s="14">
        <f>[1]节奏总纲!$BJ20</f>
        <v>1.4000000000000012</v>
      </c>
      <c r="AF21" s="14">
        <f>[1]节奏总纲!$BJ20</f>
        <v>1.4000000000000012</v>
      </c>
      <c r="AG21" s="14">
        <f>[1]节奏总纲!$BJ20</f>
        <v>1.4000000000000012</v>
      </c>
      <c r="AI21" s="2">
        <v>17</v>
      </c>
      <c r="AJ21" s="2">
        <f>求节点(节奏总纲!$D$4:$D$113,AC$5:AC$104,$AI21)</f>
        <v>2.2230642885378429</v>
      </c>
      <c r="AK21" s="2">
        <f>求节点(节奏总纲!$D$4:$D$113,AD$5:AD$104,$AI21)</f>
        <v>2.2230642885378429</v>
      </c>
      <c r="AL21" s="2">
        <f>求节点(节奏总纲!$D$4:$D$113,AE$5:AE$104,$AI21)</f>
        <v>2.2230642885378429</v>
      </c>
      <c r="AM21" s="2">
        <f>求节点(节奏总纲!$D$4:$D$113,AF$5:AF$104,$AI21)</f>
        <v>2.2230642885378429</v>
      </c>
      <c r="AN21" s="2">
        <f>求节点(节奏总纲!$D$4:$D$113,AG$5:AG$104,$AI21)</f>
        <v>2.2230642885378429</v>
      </c>
    </row>
    <row r="22" spans="1:40" x14ac:dyDescent="0.15">
      <c r="A22" s="58"/>
      <c r="B22" s="2">
        <f>[2]战法升星!$K17</f>
        <v>74.998404927577795</v>
      </c>
      <c r="C22" s="2">
        <f>[2]战法升星!$K62</f>
        <v>74.74003809013405</v>
      </c>
      <c r="D22" s="2">
        <f>[2]战法升星!$K107</f>
        <v>74.840792411391348</v>
      </c>
      <c r="E22" s="2">
        <f>[2]战法升星!$K152</f>
        <v>74.493385467679886</v>
      </c>
      <c r="F22" s="2">
        <f>[2]战法升星!$K197</f>
        <v>74.370993278111257</v>
      </c>
      <c r="G22" s="2">
        <f>[3]武将升星!$AQ16</f>
        <v>0.72430392306399682</v>
      </c>
      <c r="H22" s="2">
        <f>[3]武将升星!$AQ61</f>
        <v>0.76772426904780733</v>
      </c>
      <c r="I22" s="2">
        <f>[3]武将升星!$AQ106</f>
        <v>0.81954753472474928</v>
      </c>
      <c r="J22" s="2">
        <f>[3]武将升星!$AQ151</f>
        <v>0.95004958203776135</v>
      </c>
      <c r="K22" s="2">
        <f>[3]武将升星!$AQ196</f>
        <v>0.95414169121759684</v>
      </c>
      <c r="L22" s="2">
        <f>[2]战法升星!$Z17</f>
        <v>1.0564649286118015</v>
      </c>
      <c r="M22" s="2">
        <f>[2]战法升星!$Z62</f>
        <v>1.0872077228453385</v>
      </c>
      <c r="N22" s="2">
        <f>[2]战法升星!$Z107</f>
        <v>1.0805523345088981</v>
      </c>
      <c r="O22" s="2">
        <f>[2]战法升星!$Z152</f>
        <v>1.2645821851263015</v>
      </c>
      <c r="P22" s="2">
        <f>[2]战法升星!$Z197</f>
        <v>1.3296252411717058</v>
      </c>
      <c r="Q22" s="2">
        <f t="shared" si="0"/>
        <v>0.26465381961730589</v>
      </c>
      <c r="R22" s="2">
        <f t="shared" si="1"/>
        <v>0.2698452394325202</v>
      </c>
      <c r="S22" s="2">
        <f t="shared" si="2"/>
        <v>0.27300699084635532</v>
      </c>
      <c r="T22" s="2">
        <f t="shared" si="3"/>
        <v>0.29502422370148434</v>
      </c>
      <c r="U22" s="2">
        <f t="shared" si="4"/>
        <v>0.29986368526725116</v>
      </c>
      <c r="W22" s="14">
        <v>18</v>
      </c>
      <c r="X22" s="14">
        <f>求节点(B$10:B$48,Q$10:Q$48,$W22)*(其他调用!AS22+其他调用!AZ22*$D$50*$D$51)*6</f>
        <v>484.24823977158348</v>
      </c>
      <c r="Y22" s="14">
        <f>求节点(C$10:C$48,R$10:R$48,$W22)*(其他调用!AT22+其他调用!BA22*$D$50*$D$51)*6</f>
        <v>492.34689711032161</v>
      </c>
      <c r="Z22" s="14">
        <f>求节点(D$10:D$48,S$10:S$48,$W22)*(其他调用!AU22+其他调用!BB22*$D$50*$D$51)*6</f>
        <v>500.80779773036704</v>
      </c>
      <c r="AA22" s="14">
        <f>求节点(E$10:E$48,T$10:T$48,$W22)*(其他调用!AV22+其他调用!BC22*$D$50*$D$51)*6</f>
        <v>513.87910121897312</v>
      </c>
      <c r="AB22" s="14">
        <f>求节点(F$10:F$48,U$10:U$48,$W22)*(其他调用!AW22+其他调用!BD22*$D$50*$D$51)*6</f>
        <v>516.24637294787158</v>
      </c>
      <c r="AC22" s="14">
        <f>[1]节奏总纲!$BJ21</f>
        <v>1.4333333333333347</v>
      </c>
      <c r="AD22" s="14">
        <f>[1]节奏总纲!$BJ21</f>
        <v>1.4333333333333347</v>
      </c>
      <c r="AE22" s="14">
        <f>[1]节奏总纲!$BJ21</f>
        <v>1.4333333333333347</v>
      </c>
      <c r="AF22" s="14">
        <f>[1]节奏总纲!$BJ21</f>
        <v>1.4333333333333347</v>
      </c>
      <c r="AG22" s="14">
        <f>[1]节奏总纲!$BJ21</f>
        <v>1.4333333333333347</v>
      </c>
      <c r="AI22" s="2">
        <v>18</v>
      </c>
      <c r="AJ22" s="2">
        <f>求节点(节奏总纲!$D$4:$D$113,AC$5:AC$104,$AI22)</f>
        <v>2.2490210228685714</v>
      </c>
      <c r="AK22" s="2">
        <f>求节点(节奏总纲!$D$4:$D$113,AD$5:AD$104,$AI22)</f>
        <v>2.2490210228685714</v>
      </c>
      <c r="AL22" s="2">
        <f>求节点(节奏总纲!$D$4:$D$113,AE$5:AE$104,$AI22)</f>
        <v>2.2490210228685714</v>
      </c>
      <c r="AM22" s="2">
        <f>求节点(节奏总纲!$D$4:$D$113,AF$5:AF$104,$AI22)</f>
        <v>2.2490210228685714</v>
      </c>
      <c r="AN22" s="2">
        <f>求节点(节奏总纲!$D$4:$D$113,AG$5:AG$104,$AI22)</f>
        <v>2.2490210228685714</v>
      </c>
    </row>
    <row r="23" spans="1:40" x14ac:dyDescent="0.15">
      <c r="A23" s="58"/>
      <c r="B23" s="2">
        <f>[2]战法升星!$K18</f>
        <v>77.875308029777003</v>
      </c>
      <c r="C23" s="2">
        <f>[2]战法升星!$K63</f>
        <v>77.609642525433856</v>
      </c>
      <c r="D23" s="2">
        <f>[2]战法升星!$K108</f>
        <v>77.697893604818219</v>
      </c>
      <c r="E23" s="2">
        <f>[2]战法升星!$K153</f>
        <v>77.332919927503724</v>
      </c>
      <c r="F23" s="2">
        <f>[2]战法升星!$K198</f>
        <v>77.234275947206214</v>
      </c>
      <c r="G23" s="2">
        <f>[3]武将升星!$AQ17</f>
        <v>0.75908639660189436</v>
      </c>
      <c r="H23" s="2">
        <f>[3]武将升星!$AQ62</f>
        <v>0.81285223726222211</v>
      </c>
      <c r="I23" s="2">
        <f>[3]武将升星!$AQ107</f>
        <v>0.87324791215904085</v>
      </c>
      <c r="J23" s="2">
        <f>[3]武将升星!$AQ152</f>
        <v>1.0079774730047888</v>
      </c>
      <c r="K23" s="2">
        <f>[3]武将升星!$AQ197</f>
        <v>1.0188194537115434</v>
      </c>
      <c r="L23" s="2">
        <f>[2]战法升星!$Z18</f>
        <v>1.0672185466118485</v>
      </c>
      <c r="M23" s="2">
        <f>[2]战法升星!$Z63</f>
        <v>1.0657599608426507</v>
      </c>
      <c r="N23" s="2">
        <f>[2]战法升星!$Z108</f>
        <v>1.1473249494128226</v>
      </c>
      <c r="O23" s="2">
        <f>[2]战法升星!$Z153</f>
        <v>1.3396334726930685</v>
      </c>
      <c r="P23" s="2">
        <f>[2]战法升星!$Z198</f>
        <v>1.4288471266759426</v>
      </c>
      <c r="Q23" s="2">
        <f t="shared" si="0"/>
        <v>0.26784134602496201</v>
      </c>
      <c r="R23" s="2">
        <f t="shared" si="1"/>
        <v>0.27150285386734108</v>
      </c>
      <c r="S23" s="2">
        <f t="shared" si="2"/>
        <v>0.28144010031003042</v>
      </c>
      <c r="T23" s="2">
        <f t="shared" si="3"/>
        <v>0.30433276619885002</v>
      </c>
      <c r="U23" s="2">
        <f t="shared" si="4"/>
        <v>0.31133666062712406</v>
      </c>
      <c r="W23" s="14">
        <v>19</v>
      </c>
      <c r="X23" s="14">
        <f>求节点(B$10:B$48,Q$10:Q$48,$W23)*(其他调用!AS23+其他调用!AZ23*$D$50*$D$51)*6</f>
        <v>500.94169396635255</v>
      </c>
      <c r="Y23" s="14">
        <f>求节点(C$10:C$48,R$10:R$48,$W23)*(其他调用!AT23+其他调用!BA23*$D$50*$D$51)*6</f>
        <v>509.14280512049243</v>
      </c>
      <c r="Z23" s="14">
        <f>求节点(D$10:D$48,S$10:S$48,$W23)*(其他调用!AU23+其他调用!BB23*$D$50*$D$51)*6</f>
        <v>517.3848234296803</v>
      </c>
      <c r="AA23" s="14">
        <f>求节点(E$10:E$48,T$10:T$48,$W23)*(其他调用!AV23+其他调用!BC23*$D$50*$D$51)*6</f>
        <v>531.34580242127595</v>
      </c>
      <c r="AB23" s="14">
        <f>求节点(F$10:F$48,U$10:U$48,$W23)*(其他调用!AW23+其他调用!BD23*$D$50*$D$51)*6</f>
        <v>533.10322893655939</v>
      </c>
      <c r="AC23" s="14">
        <f>[1]节奏总纲!$BJ22</f>
        <v>1.4666666666666681</v>
      </c>
      <c r="AD23" s="14">
        <f>[1]节奏总纲!$BJ22</f>
        <v>1.4666666666666681</v>
      </c>
      <c r="AE23" s="14">
        <f>[1]节奏总纲!$BJ22</f>
        <v>1.4666666666666681</v>
      </c>
      <c r="AF23" s="14">
        <f>[1]节奏总纲!$BJ22</f>
        <v>1.4666666666666681</v>
      </c>
      <c r="AG23" s="14">
        <f>[1]节奏总纲!$BJ22</f>
        <v>1.4666666666666681</v>
      </c>
      <c r="AI23" s="2">
        <v>19</v>
      </c>
      <c r="AJ23" s="2">
        <f>求节点(节奏总纲!$D$4:$D$113,AC$5:AC$104,$AI23)</f>
        <v>2.273779553474728</v>
      </c>
      <c r="AK23" s="2">
        <f>求节点(节奏总纲!$D$4:$D$113,AD$5:AD$104,$AI23)</f>
        <v>2.273779553474728</v>
      </c>
      <c r="AL23" s="2">
        <f>求节点(节奏总纲!$D$4:$D$113,AE$5:AE$104,$AI23)</f>
        <v>2.273779553474728</v>
      </c>
      <c r="AM23" s="2">
        <f>求节点(节奏总纲!$D$4:$D$113,AF$5:AF$104,$AI23)</f>
        <v>2.273779553474728</v>
      </c>
      <c r="AN23" s="2">
        <f>求节点(节奏总纲!$D$4:$D$113,AG$5:AG$104,$AI23)</f>
        <v>2.273779553474728</v>
      </c>
    </row>
    <row r="24" spans="1:40" x14ac:dyDescent="0.15">
      <c r="A24" s="58"/>
      <c r="B24" s="2">
        <f>[2]战法升星!$K19</f>
        <v>80.272123558064706</v>
      </c>
      <c r="C24" s="2">
        <f>[2]战法升星!$K64</f>
        <v>79.994335665275713</v>
      </c>
      <c r="D24" s="2">
        <f>[2]战法升星!$K109</f>
        <v>80.134867890916794</v>
      </c>
      <c r="E24" s="2">
        <f>[2]战法升星!$K154</f>
        <v>79.813360188853366</v>
      </c>
      <c r="F24" s="2">
        <f>[2]战法升星!$K199</f>
        <v>79.725666247801229</v>
      </c>
      <c r="G24" s="2">
        <f>[3]武将升星!$AQ18</f>
        <v>0.7887959109112469</v>
      </c>
      <c r="H24" s="2">
        <f>[3]武将升星!$AQ63</f>
        <v>0.85190630116529087</v>
      </c>
      <c r="I24" s="2">
        <f>[3]武将升星!$AQ108</f>
        <v>0.9184809066198163</v>
      </c>
      <c r="J24" s="2">
        <f>[3]武将升星!$AQ153</f>
        <v>1.0675175061292383</v>
      </c>
      <c r="K24" s="2">
        <f>[3]武将升星!$AQ198</f>
        <v>1.0809712246906062</v>
      </c>
      <c r="L24" s="2">
        <f>[2]战法升星!$Z19</f>
        <v>1.0721215950165386</v>
      </c>
      <c r="M24" s="2">
        <f>[2]战法升星!$Z64</f>
        <v>1.1153906423137601</v>
      </c>
      <c r="N24" s="2">
        <f>[2]战法升星!$Z109</f>
        <v>1.2187465105624389</v>
      </c>
      <c r="O24" s="2">
        <f>[2]战法升星!$Z154</f>
        <v>1.4114600370335779</v>
      </c>
      <c r="P24" s="2">
        <f>[2]战法升星!$Z199</f>
        <v>1.4801522414846315</v>
      </c>
      <c r="Q24" s="2">
        <f t="shared" si="0"/>
        <v>0.27026422541494499</v>
      </c>
      <c r="R24" s="2">
        <f t="shared" si="1"/>
        <v>0.27771078604353355</v>
      </c>
      <c r="S24" s="2">
        <f t="shared" si="2"/>
        <v>0.28960591920275786</v>
      </c>
      <c r="T24" s="2">
        <f t="shared" si="3"/>
        <v>0.31352842802139713</v>
      </c>
      <c r="U24" s="2">
        <f t="shared" si="4"/>
        <v>0.31927864263226663</v>
      </c>
      <c r="W24" s="14">
        <v>20</v>
      </c>
      <c r="X24" s="14">
        <f>求节点(B$10:B$48,Q$10:Q$48,$W24)*(其他调用!AS24+其他调用!AZ24*$D$50*$D$51)*6</f>
        <v>518.16344368007969</v>
      </c>
      <c r="Y24" s="14">
        <f>求节点(C$10:C$48,R$10:R$48,$W24)*(其他调用!AT24+其他调用!BA24*$D$50*$D$51)*6</f>
        <v>525.23909794396218</v>
      </c>
      <c r="Z24" s="14">
        <f>求节点(D$10:D$48,S$10:S$48,$W24)*(其他调用!AU24+其他调用!BB24*$D$50*$D$51)*6</f>
        <v>533.51167227751353</v>
      </c>
      <c r="AA24" s="14">
        <f>求节点(E$10:E$48,T$10:T$48,$W24)*(其他调用!AV24+其他调用!BC24*$D$50*$D$51)*6</f>
        <v>547.77664714949287</v>
      </c>
      <c r="AB24" s="14">
        <f>求节点(F$10:F$48,U$10:U$48,$W24)*(其他调用!AW24+其他调用!BD24*$D$50*$D$51)*6</f>
        <v>548.59735942216696</v>
      </c>
      <c r="AC24" s="14">
        <f>[1]节奏总纲!$BJ23</f>
        <v>1.5000000000000016</v>
      </c>
      <c r="AD24" s="14">
        <f>[1]节奏总纲!$BJ23</f>
        <v>1.5000000000000016</v>
      </c>
      <c r="AE24" s="14">
        <f>[1]节奏总纲!$BJ23</f>
        <v>1.5000000000000016</v>
      </c>
      <c r="AF24" s="14">
        <f>[1]节奏总纲!$BJ23</f>
        <v>1.5000000000000016</v>
      </c>
      <c r="AG24" s="14">
        <f>[1]节奏总纲!$BJ23</f>
        <v>1.5000000000000016</v>
      </c>
      <c r="AI24" s="2">
        <v>20</v>
      </c>
      <c r="AJ24" s="2">
        <f>求节点(节奏总纲!$D$4:$D$113,AC$5:AC$104,$AI24)</f>
        <v>2.2973564081033193</v>
      </c>
      <c r="AK24" s="2">
        <f>求节点(节奏总纲!$D$4:$D$113,AD$5:AD$104,$AI24)</f>
        <v>2.2973564081033193</v>
      </c>
      <c r="AL24" s="2">
        <f>求节点(节奏总纲!$D$4:$D$113,AE$5:AE$104,$AI24)</f>
        <v>2.2973564081033193</v>
      </c>
      <c r="AM24" s="2">
        <f>求节点(节奏总纲!$D$4:$D$113,AF$5:AF$104,$AI24)</f>
        <v>2.2973564081033193</v>
      </c>
      <c r="AN24" s="2">
        <f>求节点(节奏总纲!$D$4:$D$113,AG$5:AG$104,$AI24)</f>
        <v>2.2973564081033193</v>
      </c>
    </row>
    <row r="25" spans="1:40" x14ac:dyDescent="0.15">
      <c r="A25" s="58"/>
      <c r="B25" s="2">
        <f>[2]战法升星!$K20</f>
        <v>82.328492296001457</v>
      </c>
      <c r="C25" s="2">
        <f>[2]战法升星!$K65</f>
        <v>82.100546804797787</v>
      </c>
      <c r="D25" s="2">
        <f>[2]战法升星!$K110</f>
        <v>82.238672852681816</v>
      </c>
      <c r="E25" s="2">
        <f>[2]战法升星!$K155</f>
        <v>81.919202803497143</v>
      </c>
      <c r="F25" s="2">
        <f>[2]战法升星!$K200</f>
        <v>81.863982387630472</v>
      </c>
      <c r="G25" s="2">
        <f>[3]武将升星!$AQ19</f>
        <v>0.8191589532688397</v>
      </c>
      <c r="H25" s="2">
        <f>[3]武将升星!$AQ64</f>
        <v>0.89167737550368698</v>
      </c>
      <c r="I25" s="2">
        <f>[3]武将升星!$AQ109</f>
        <v>0.95335731689665304</v>
      </c>
      <c r="J25" s="2">
        <f>[3]武将升星!$AQ154</f>
        <v>1.1144903403306139</v>
      </c>
      <c r="K25" s="2">
        <f>[3]武将升星!$AQ199</f>
        <v>1.1331891277155681</v>
      </c>
      <c r="L25" s="2">
        <f>[2]战法升星!$Z20</f>
        <v>1.1179737792537343</v>
      </c>
      <c r="M25" s="2">
        <f>[2]战法升星!$Z65</f>
        <v>1.1708030865942578</v>
      </c>
      <c r="N25" s="2">
        <f>[2]战法升星!$Z110</f>
        <v>1.2736507926137444</v>
      </c>
      <c r="O25" s="2">
        <f>[2]战法升星!$Z155</f>
        <v>1.4616956222256727</v>
      </c>
      <c r="P25" s="2">
        <f>[2]战法升星!$Z200</f>
        <v>1.5221455039948115</v>
      </c>
      <c r="Q25" s="2">
        <f t="shared" si="0"/>
        <v>0.27559929127658017</v>
      </c>
      <c r="R25" s="2">
        <f t="shared" si="1"/>
        <v>0.28437363234685609</v>
      </c>
      <c r="S25" s="2">
        <f t="shared" si="2"/>
        <v>0.29589056766572774</v>
      </c>
      <c r="T25" s="2">
        <f t="shared" si="3"/>
        <v>0.32033301737894004</v>
      </c>
      <c r="U25" s="2">
        <f t="shared" si="4"/>
        <v>0.32587342421972659</v>
      </c>
      <c r="W25" s="14">
        <v>21</v>
      </c>
      <c r="X25" s="14">
        <f>求节点(B$10:B$48,Q$10:Q$48,$W25)*(其他调用!AS25+其他调用!AZ25*$D$50*$D$51)*6</f>
        <v>530.20308238285543</v>
      </c>
      <c r="Y25" s="14">
        <f>求节点(C$10:C$48,R$10:R$48,$W25)*(其他调用!AT25+其他调用!BA25*$D$50*$D$51)*6</f>
        <v>537.75080529541651</v>
      </c>
      <c r="Z25" s="14">
        <f>求节点(D$10:D$48,S$10:S$48,$W25)*(其他调用!AU25+其他调用!BB25*$D$50*$D$51)*6</f>
        <v>546.73946594506253</v>
      </c>
      <c r="AA25" s="14">
        <f>求节点(E$10:E$48,T$10:T$48,$W25)*(其他调用!AV25+其他调用!BC25*$D$50*$D$51)*6</f>
        <v>563.55937561586552</v>
      </c>
      <c r="AB25" s="14">
        <f>求节点(F$10:F$48,U$10:U$48,$W25)*(其他调用!AW25+其他调用!BD25*$D$50*$D$51)*6</f>
        <v>563.6628775868536</v>
      </c>
      <c r="AC25" s="14">
        <f>[1]节奏总纲!$BJ24</f>
        <v>1.533333333333335</v>
      </c>
      <c r="AD25" s="14">
        <f>[1]节奏总纲!$BJ24</f>
        <v>1.533333333333335</v>
      </c>
      <c r="AE25" s="14">
        <f>[1]节奏总纲!$BJ24</f>
        <v>1.533333333333335</v>
      </c>
      <c r="AF25" s="14">
        <f>[1]节奏总纲!$BJ24</f>
        <v>1.533333333333335</v>
      </c>
      <c r="AG25" s="14">
        <f>[1]节奏总纲!$BJ24</f>
        <v>1.533333333333335</v>
      </c>
      <c r="AI25" s="2">
        <v>21</v>
      </c>
      <c r="AJ25" s="2">
        <f>求节点(节奏总纲!$D$4:$D$113,AC$5:AC$104,$AI25)</f>
        <v>2.3195314247493806</v>
      </c>
      <c r="AK25" s="2">
        <f>求节点(节奏总纲!$D$4:$D$113,AD$5:AD$104,$AI25)</f>
        <v>2.3195314247493806</v>
      </c>
      <c r="AL25" s="2">
        <f>求节点(节奏总纲!$D$4:$D$113,AE$5:AE$104,$AI25)</f>
        <v>2.3195314247493806</v>
      </c>
      <c r="AM25" s="2">
        <f>求节点(节奏总纲!$D$4:$D$113,AF$5:AF$104,$AI25)</f>
        <v>2.3195314247493806</v>
      </c>
      <c r="AN25" s="2">
        <f>求节点(节奏总纲!$D$4:$D$113,AG$5:AG$104,$AI25)</f>
        <v>2.3195314247493806</v>
      </c>
    </row>
    <row r="26" spans="1:40" x14ac:dyDescent="0.15">
      <c r="A26" s="58"/>
      <c r="B26" s="2">
        <f>[2]战法升星!$K21</f>
        <v>84.132234338875293</v>
      </c>
      <c r="C26" s="2">
        <f>[2]战法升星!$K66</f>
        <v>83.885420957389968</v>
      </c>
      <c r="D26" s="2">
        <f>[2]战法升星!$K111</f>
        <v>84.043767921022209</v>
      </c>
      <c r="E26" s="2">
        <f>[2]战法升星!$K156</f>
        <v>83.738783536778797</v>
      </c>
      <c r="F26" s="2">
        <f>[2]战法升星!$K201</f>
        <v>83.667042947574714</v>
      </c>
      <c r="G26" s="2">
        <f>[3]武将升星!$AQ20</f>
        <v>0.84797581263208477</v>
      </c>
      <c r="H26" s="2">
        <f>[3]武将升星!$AQ65</f>
        <v>0.91963292731229307</v>
      </c>
      <c r="I26" s="2">
        <f>[3]武将升星!$AQ110</f>
        <v>0.98649582261032276</v>
      </c>
      <c r="J26" s="2">
        <f>[3]武将升星!$AQ155</f>
        <v>1.1399999999999999</v>
      </c>
      <c r="K26" s="2">
        <f>[3]武将升星!$AQ200</f>
        <v>1.1399999999999999</v>
      </c>
      <c r="L26" s="2">
        <f>[2]战法升星!$Z21</f>
        <v>1.1635798581458321</v>
      </c>
      <c r="M26" s="2">
        <f>[2]战法升星!$Z66</f>
        <v>1.2262155308747555</v>
      </c>
      <c r="N26" s="2">
        <f>[2]战法升星!$Z111</f>
        <v>1.313605206172249</v>
      </c>
      <c r="O26" s="2">
        <f>[2]战法升星!$Z156</f>
        <v>1.4986565014327422</v>
      </c>
      <c r="P26" s="2">
        <f>[2]战法升星!$Z201</f>
        <v>1.5637311958089339</v>
      </c>
      <c r="Q26" s="2">
        <f t="shared" si="0"/>
        <v>0.2808088969544541</v>
      </c>
      <c r="R26" s="2">
        <f t="shared" si="1"/>
        <v>0.29020939207309338</v>
      </c>
      <c r="S26" s="2">
        <f t="shared" si="2"/>
        <v>0.30100707201478</v>
      </c>
      <c r="T26" s="2">
        <f t="shared" si="3"/>
        <v>0.32470595510029188</v>
      </c>
      <c r="U26" s="2">
        <f t="shared" si="4"/>
        <v>0.32926118370662538</v>
      </c>
      <c r="W26" s="14">
        <v>22</v>
      </c>
      <c r="X26" s="14">
        <f>求节点(B$10:B$48,Q$10:Q$48,$W26)*(其他调用!AS26+其他调用!AZ26*$D$50*$D$51)*6</f>
        <v>542.07175157112067</v>
      </c>
      <c r="Y26" s="14">
        <f>求节点(C$10:C$48,R$10:R$48,$W26)*(其他调用!AT26+其他调用!BA26*$D$50*$D$51)*6</f>
        <v>550.68409841405207</v>
      </c>
      <c r="Z26" s="14">
        <f>求节点(D$10:D$48,S$10:S$48,$W26)*(其他调用!AU26+其他调用!BB26*$D$50*$D$51)*6</f>
        <v>560.35622492937216</v>
      </c>
      <c r="AA26" s="14">
        <f>求节点(E$10:E$48,T$10:T$48,$W26)*(其他调用!AV26+其他调用!BC26*$D$50*$D$51)*6</f>
        <v>579.7889821911433</v>
      </c>
      <c r="AB26" s="14">
        <f>求节点(F$10:F$48,U$10:U$48,$W26)*(其他调用!AW26+其他调用!BD26*$D$50*$D$51)*6</f>
        <v>593.46205936853369</v>
      </c>
      <c r="AC26" s="14">
        <f>[1]节奏总纲!$BJ25</f>
        <v>1.5666666666666684</v>
      </c>
      <c r="AD26" s="14">
        <f>[1]节奏总纲!$BJ25</f>
        <v>1.5666666666666684</v>
      </c>
      <c r="AE26" s="14">
        <f>[1]节奏总纲!$BJ25</f>
        <v>1.5666666666666684</v>
      </c>
      <c r="AF26" s="14">
        <f>[1]节奏总纲!$BJ25</f>
        <v>1.5666666666666684</v>
      </c>
      <c r="AG26" s="14">
        <f>[1]节奏总纲!$BJ25</f>
        <v>1.5666666666666684</v>
      </c>
      <c r="AI26" s="2">
        <v>22</v>
      </c>
      <c r="AJ26" s="2">
        <f>求节点(节奏总纲!$D$4:$D$113,AC$5:AC$104,$AI26)</f>
        <v>2.3409805413560014</v>
      </c>
      <c r="AK26" s="2">
        <f>求节点(节奏总纲!$D$4:$D$113,AD$5:AD$104,$AI26)</f>
        <v>2.3409805413560014</v>
      </c>
      <c r="AL26" s="2">
        <f>求节点(节奏总纲!$D$4:$D$113,AE$5:AE$104,$AI26)</f>
        <v>2.3409805413560014</v>
      </c>
      <c r="AM26" s="2">
        <f>求节点(节奏总纲!$D$4:$D$113,AF$5:AF$104,$AI26)</f>
        <v>2.3409805413560014</v>
      </c>
      <c r="AN26" s="2">
        <f>求节点(节奏总纲!$D$4:$D$113,AG$5:AG$104,$AI26)</f>
        <v>2.3409805413560014</v>
      </c>
    </row>
    <row r="27" spans="1:40" x14ac:dyDescent="0.15">
      <c r="B27" s="2">
        <f>[2]战法升星!$K22</f>
        <v>86.465948248806328</v>
      </c>
      <c r="C27" s="2">
        <f>[2]战法升星!$K67</f>
        <v>86.247032860782397</v>
      </c>
      <c r="D27" s="2">
        <f>[2]战法升星!$K112</f>
        <v>86.385105215793828</v>
      </c>
      <c r="E27" s="2">
        <f>[2]战法升星!$K157</f>
        <v>86.045919706798657</v>
      </c>
      <c r="F27" s="2">
        <f>[2]战法升星!$K202</f>
        <v>86.154780808490059</v>
      </c>
      <c r="G27" s="2">
        <f>[3]武将升星!$AQ21</f>
        <v>0.88791643948975241</v>
      </c>
      <c r="H27" s="2">
        <f>[3]武将升星!$AQ66</f>
        <v>0.95722948006689856</v>
      </c>
      <c r="I27" s="2">
        <f>[3]武将升星!$AQ111</f>
        <v>1.0358821389064259</v>
      </c>
      <c r="J27" s="2">
        <f>[3]武将升星!$AQ156</f>
        <v>1.1399999999999999</v>
      </c>
      <c r="K27" s="2">
        <f>[3]武将升星!$AQ201</f>
        <v>1.1399999999999999</v>
      </c>
      <c r="L27" s="2">
        <f>[2]战法升星!$Z22</f>
        <v>1.2230215399117335</v>
      </c>
      <c r="M27" s="2">
        <f>[2]战法升星!$Z67</f>
        <v>1.2750188807044036</v>
      </c>
      <c r="N27" s="2">
        <f>[2]战法升星!$Z112</f>
        <v>1.371779169340521</v>
      </c>
      <c r="O27" s="2">
        <f>[2]战法升星!$Z157</f>
        <v>1.5453548619239326</v>
      </c>
      <c r="P27" s="2">
        <f>[2]战法升星!$Z202</f>
        <v>1.6041494659827815</v>
      </c>
      <c r="Q27" s="2">
        <f t="shared" si="0"/>
        <v>0.28776565855810399</v>
      </c>
      <c r="R27" s="2">
        <f t="shared" si="1"/>
        <v>0.29625738525399109</v>
      </c>
      <c r="S27" s="2">
        <f t="shared" si="2"/>
        <v>0.30853629157728629</v>
      </c>
      <c r="T27" s="2">
        <f t="shared" si="3"/>
        <v>0.32797484033467528</v>
      </c>
      <c r="U27" s="2">
        <f t="shared" si="4"/>
        <v>0.33209046261879471</v>
      </c>
      <c r="W27" s="14">
        <v>23</v>
      </c>
      <c r="X27" s="14">
        <f>求节点(B$10:B$48,Q$10:Q$48,$W27)*(其他调用!AS27+其他调用!AZ27*$D$50*$D$51)*6</f>
        <v>554.24119710885282</v>
      </c>
      <c r="Y27" s="14">
        <f>求节点(C$10:C$48,R$10:R$48,$W27)*(其他调用!AT27+其他调用!BA27*$D$50*$D$51)*6</f>
        <v>563.6833933195046</v>
      </c>
      <c r="Z27" s="14">
        <f>求节点(D$10:D$48,S$10:S$48,$W27)*(其他调用!AU27+其他调用!BB27*$D$50*$D$51)*6</f>
        <v>574.20199622218047</v>
      </c>
      <c r="AA27" s="14">
        <f>求节点(E$10:E$48,T$10:T$48,$W27)*(其他调用!AV27+其他调用!BC27*$D$50*$D$51)*6</f>
        <v>596.30354142691579</v>
      </c>
      <c r="AB27" s="14">
        <f>求节点(F$10:F$48,U$10:U$48,$W27)*(其他调用!AW27+其他调用!BD27*$D$50*$D$51)*6</f>
        <v>610.46387240162187</v>
      </c>
      <c r="AC27" s="14">
        <f>[1]节奏总纲!$BJ26</f>
        <v>1.6000000000000019</v>
      </c>
      <c r="AD27" s="14">
        <f>[1]节奏总纲!$BJ26</f>
        <v>1.6000000000000019</v>
      </c>
      <c r="AE27" s="14">
        <f>[1]节奏总纲!$BJ26</f>
        <v>1.6000000000000019</v>
      </c>
      <c r="AF27" s="14">
        <f>[1]节奏总纲!$BJ26</f>
        <v>1.6000000000000019</v>
      </c>
      <c r="AG27" s="14">
        <f>[1]节奏总纲!$BJ26</f>
        <v>1.6000000000000019</v>
      </c>
      <c r="AI27" s="2">
        <v>23</v>
      </c>
      <c r="AJ27" s="2">
        <f>求节点(节奏总纲!$D$4:$D$113,AC$5:AC$104,$AI27)</f>
        <v>2.3615053854336723</v>
      </c>
      <c r="AK27" s="2">
        <f>求节点(节奏总纲!$D$4:$D$113,AD$5:AD$104,$AI27)</f>
        <v>2.3615053854336723</v>
      </c>
      <c r="AL27" s="2">
        <f>求节点(节奏总纲!$D$4:$D$113,AE$5:AE$104,$AI27)</f>
        <v>2.3615053854336723</v>
      </c>
      <c r="AM27" s="2">
        <f>求节点(节奏总纲!$D$4:$D$113,AF$5:AF$104,$AI27)</f>
        <v>2.3615053854336723</v>
      </c>
      <c r="AN27" s="2">
        <f>求节点(节奏总纲!$D$4:$D$113,AG$5:AG$104,$AI27)</f>
        <v>2.3615053854336723</v>
      </c>
    </row>
    <row r="28" spans="1:40" x14ac:dyDescent="0.15">
      <c r="B28" s="2">
        <f>[2]战法升星!$K23</f>
        <v>90.244911202258237</v>
      </c>
      <c r="C28" s="2">
        <f>[2]战法升星!$K68</f>
        <v>90.122782504866933</v>
      </c>
      <c r="D28" s="2">
        <f>[2]战法升星!$K113</f>
        <v>90.406191748048585</v>
      </c>
      <c r="E28" s="2">
        <f>[2]战法升星!$K158</f>
        <v>90.288435080379244</v>
      </c>
      <c r="F28" s="2">
        <f>[2]战法升星!$K203</f>
        <v>90.480184629206022</v>
      </c>
      <c r="G28" s="2">
        <f>[3]武将升星!$AQ22</f>
        <v>0.9407940805537689</v>
      </c>
      <c r="H28" s="2">
        <f>[3]武将升星!$AQ67</f>
        <v>1.0243629619962351</v>
      </c>
      <c r="I28" s="2">
        <f>[3]武将升星!$AQ112</f>
        <v>1.1121766105622481</v>
      </c>
      <c r="J28" s="2">
        <f>[3]武将升星!$AQ157</f>
        <v>1.1399999999999999</v>
      </c>
      <c r="K28" s="2">
        <f>[3]武将升星!$AQ202</f>
        <v>1.1399999999999999</v>
      </c>
      <c r="L28" s="2">
        <f>[2]战法升星!$Z23</f>
        <v>1.2795401345905864</v>
      </c>
      <c r="M28" s="2">
        <f>[2]战法升星!$Z68</f>
        <v>1.3580278065007436</v>
      </c>
      <c r="N28" s="2">
        <f>[2]战法升星!$Z113</f>
        <v>1.4539467419235594</v>
      </c>
      <c r="O28" s="2">
        <f>[2]战法升星!$Z158</f>
        <v>1.6115924966521726</v>
      </c>
      <c r="P28" s="2">
        <f>[2]战法升星!$Z203</f>
        <v>1.6653548338966748</v>
      </c>
      <c r="Q28" s="2">
        <f t="shared" si="0"/>
        <v>0.29542339506010484</v>
      </c>
      <c r="R28" s="2">
        <f t="shared" si="1"/>
        <v>0.30676735379478848</v>
      </c>
      <c r="S28" s="2">
        <f t="shared" si="2"/>
        <v>0.31962863467400654</v>
      </c>
      <c r="T28" s="2">
        <f t="shared" si="3"/>
        <v>0.332611474765652</v>
      </c>
      <c r="U28" s="2">
        <f t="shared" si="4"/>
        <v>0.33637483837276722</v>
      </c>
      <c r="W28" s="14">
        <v>24</v>
      </c>
      <c r="X28" s="14">
        <f>求节点(B$10:B$48,Q$10:Q$48,$W28)*(其他调用!AS28+其他调用!AZ28*$D$50*$D$51)*6</f>
        <v>566.76177840296566</v>
      </c>
      <c r="Y28" s="14">
        <f>求节点(C$10:C$48,R$10:R$48,$W28)*(其他调用!AT28+其他调用!BA28*$D$50*$D$51)*6</f>
        <v>576.72795687199846</v>
      </c>
      <c r="Z28" s="14">
        <f>求节点(D$10:D$48,S$10:S$48,$W28)*(其他调用!AU28+其他调用!BB28*$D$50*$D$51)*6</f>
        <v>588.60128456908672</v>
      </c>
      <c r="AA28" s="14">
        <f>求节点(E$10:E$48,T$10:T$48,$W28)*(其他调用!AV28+其他调用!BC28*$D$50*$D$51)*6</f>
        <v>613.19942567299404</v>
      </c>
      <c r="AB28" s="14">
        <f>求节点(F$10:F$48,U$10:U$48,$W28)*(其他调用!AW28+其他调用!BD28*$D$50*$D$51)*6</f>
        <v>627.97180157199796</v>
      </c>
      <c r="AC28" s="14">
        <f>[1]节奏总纲!$BJ27</f>
        <v>1.6333333333333353</v>
      </c>
      <c r="AD28" s="14">
        <f>[1]节奏总纲!$BJ27</f>
        <v>1.6333333333333353</v>
      </c>
      <c r="AE28" s="14">
        <f>[1]节奏总纲!$BJ27</f>
        <v>1.6333333333333353</v>
      </c>
      <c r="AF28" s="14">
        <f>[1]节奏总纲!$BJ27</f>
        <v>1.6333333333333353</v>
      </c>
      <c r="AG28" s="14">
        <f>[1]节奏总纲!$BJ27</f>
        <v>1.6333333333333353</v>
      </c>
      <c r="AI28" s="2">
        <v>24</v>
      </c>
      <c r="AJ28" s="2">
        <f>求节点(节奏总纲!$D$4:$D$113,AC$5:AC$104,$AI28)</f>
        <v>2.3810013776682992</v>
      </c>
      <c r="AK28" s="2">
        <f>求节点(节奏总纲!$D$4:$D$113,AD$5:AD$104,$AI28)</f>
        <v>2.3810013776682992</v>
      </c>
      <c r="AL28" s="2">
        <f>求节点(节奏总纲!$D$4:$D$113,AE$5:AE$104,$AI28)</f>
        <v>2.3810013776682992</v>
      </c>
      <c r="AM28" s="2">
        <f>求节点(节奏总纲!$D$4:$D$113,AF$5:AF$104,$AI28)</f>
        <v>2.3810013776682992</v>
      </c>
      <c r="AN28" s="2">
        <f>求节点(节奏总纲!$D$4:$D$113,AG$5:AG$104,$AI28)</f>
        <v>2.3810013776682992</v>
      </c>
    </row>
    <row r="29" spans="1:40" x14ac:dyDescent="0.15">
      <c r="B29" s="2">
        <f>[2]战法升星!$K24</f>
        <v>93.235489905456092</v>
      </c>
      <c r="C29" s="2">
        <f>[2]战法升星!$K69</f>
        <v>93.149045658279036</v>
      </c>
      <c r="D29" s="2">
        <f>[2]战法升星!$K114</f>
        <v>93.471491811086082</v>
      </c>
      <c r="E29" s="2">
        <f>[2]战法升星!$K159</f>
        <v>93.400072017025948</v>
      </c>
      <c r="F29" s="2">
        <f>[2]战法升星!$K204</f>
        <v>93.6774218048877</v>
      </c>
      <c r="G29" s="2">
        <f>[3]武将升星!$AQ23</f>
        <v>0.98924698406543043</v>
      </c>
      <c r="H29" s="2">
        <f>[3]武将升星!$AQ68</f>
        <v>1.0822265231596675</v>
      </c>
      <c r="I29" s="2">
        <f>[3]武将升星!$AQ113</f>
        <v>1.1399999999999999</v>
      </c>
      <c r="J29" s="2">
        <f>[3]武将升星!$AQ158</f>
        <v>1.1399999999999999</v>
      </c>
      <c r="K29" s="2">
        <f>[3]武将升星!$AQ203</f>
        <v>1.1399999999999999</v>
      </c>
      <c r="L29" s="2">
        <f>[2]战法升星!$Z24</f>
        <v>1.3242675658100047</v>
      </c>
      <c r="M29" s="2">
        <f>[2]战法升星!$Z69</f>
        <v>1.4112842726645913</v>
      </c>
      <c r="N29" s="2">
        <f>[2]战法升星!$Z114</f>
        <v>1.5066465250243513</v>
      </c>
      <c r="O29" s="2">
        <f>[2]战法升星!$Z159</f>
        <v>1.6588408956757121</v>
      </c>
      <c r="P29" s="2">
        <f>[2]战法升星!$Z204</f>
        <v>1.72</v>
      </c>
      <c r="Q29" s="2">
        <f t="shared" si="0"/>
        <v>0.30194601849128044</v>
      </c>
      <c r="R29" s="2">
        <f t="shared" si="1"/>
        <v>0.3145457557076981</v>
      </c>
      <c r="S29" s="2">
        <f t="shared" si="2"/>
        <v>0.32526525675170453</v>
      </c>
      <c r="T29" s="2">
        <f t="shared" si="3"/>
        <v>0.33591886269729981</v>
      </c>
      <c r="U29" s="2">
        <f t="shared" si="4"/>
        <v>0.34019999999999995</v>
      </c>
      <c r="W29" s="14">
        <v>25</v>
      </c>
      <c r="X29" s="14">
        <f>求节点(B$10:B$48,Q$10:Q$48,$W29)*(其他调用!AS29+其他调用!AZ29*$D$50*$D$51)*6</f>
        <v>579.6594926514357</v>
      </c>
      <c r="Y29" s="14">
        <f>求节点(C$10:C$48,R$10:R$48,$W29)*(其他调用!AT29+其他调用!BA29*$D$50*$D$51)*6</f>
        <v>590.11545645694082</v>
      </c>
      <c r="Z29" s="14">
        <f>求节点(D$10:D$48,S$10:S$48,$W29)*(其他调用!AU29+其他调用!BB29*$D$50*$D$51)*6</f>
        <v>603.2360069717945</v>
      </c>
      <c r="AA29" s="14">
        <f>求节点(E$10:E$48,T$10:T$48,$W29)*(其他调用!AV29+其他调用!BC29*$D$50*$D$51)*6</f>
        <v>630.47023214123874</v>
      </c>
      <c r="AB29" s="14">
        <f>求节点(F$10:F$48,U$10:U$48,$W29)*(其他调用!AW29+其他调用!BD29*$D$50*$D$51)*6</f>
        <v>645.82096737243307</v>
      </c>
      <c r="AC29" s="14">
        <f>[1]节奏总纲!$BJ28</f>
        <v>1.6666666666666687</v>
      </c>
      <c r="AD29" s="14">
        <f>[1]节奏总纲!$BJ28</f>
        <v>1.6666666666666687</v>
      </c>
      <c r="AE29" s="14">
        <f>[1]节奏总纲!$BJ28</f>
        <v>1.6666666666666687</v>
      </c>
      <c r="AF29" s="14">
        <f>[1]节奏总纲!$BJ28</f>
        <v>1.6666666666666687</v>
      </c>
      <c r="AG29" s="14">
        <f>[1]节奏总纲!$BJ28</f>
        <v>1.6666666666666687</v>
      </c>
      <c r="AI29" s="2">
        <v>25</v>
      </c>
      <c r="AJ29" s="2">
        <f>求节点(节奏总纲!$D$4:$D$113,AC$5:AC$104,$AI29)</f>
        <v>2.4001415731441567</v>
      </c>
      <c r="AK29" s="2">
        <f>求节点(节奏总纲!$D$4:$D$113,AD$5:AD$104,$AI29)</f>
        <v>2.4001415731441567</v>
      </c>
      <c r="AL29" s="2">
        <f>求节点(节奏总纲!$D$4:$D$113,AE$5:AE$104,$AI29)</f>
        <v>2.4001415731441567</v>
      </c>
      <c r="AM29" s="2">
        <f>求节点(节奏总纲!$D$4:$D$113,AF$5:AF$104,$AI29)</f>
        <v>2.4001415731441567</v>
      </c>
      <c r="AN29" s="2">
        <f>求节点(节奏总纲!$D$4:$D$113,AG$5:AG$104,$AI29)</f>
        <v>2.4001415731441567</v>
      </c>
    </row>
    <row r="30" spans="1:40" x14ac:dyDescent="0.15">
      <c r="B30" s="2">
        <f>[2]战法升星!$K25</f>
        <v>96.807063977001675</v>
      </c>
      <c r="C30" s="2">
        <f>[2]战法升星!$K70</f>
        <v>96.770480813454071</v>
      </c>
      <c r="D30" s="2">
        <f>[2]战法升星!$K115</f>
        <v>97.107381566993553</v>
      </c>
      <c r="E30" s="2">
        <f>[2]战法升星!$K160</f>
        <v>97.006001686863456</v>
      </c>
      <c r="F30" s="2">
        <f>[2]战法升星!$K205</f>
        <v>97.125654465362558</v>
      </c>
      <c r="G30" s="2">
        <f>[3]武将升星!$AQ24</f>
        <v>1.0548554969534547</v>
      </c>
      <c r="H30" s="2">
        <f>[3]武将升星!$AQ69</f>
        <v>1.1399999999999999</v>
      </c>
      <c r="I30" s="2">
        <f>[3]武将升星!$AQ114</f>
        <v>1.1399999999999999</v>
      </c>
      <c r="J30" s="2">
        <f>[3]武将升星!$AQ159</f>
        <v>1.1399999999999999</v>
      </c>
      <c r="K30" s="2">
        <f>[3]武将升星!$AQ204</f>
        <v>1.1399999999999999</v>
      </c>
      <c r="L30" s="2">
        <f>[2]战法升星!$Z25</f>
        <v>1.3727896907452974</v>
      </c>
      <c r="M30" s="2">
        <f>[2]战法升星!$Z70</f>
        <v>1.452616845560222</v>
      </c>
      <c r="N30" s="2">
        <f>[2]战法升星!$Z115</f>
        <v>1.563812538073746</v>
      </c>
      <c r="O30" s="2">
        <f>[2]战法升星!$Z160</f>
        <v>1.72</v>
      </c>
      <c r="P30" s="2">
        <f>[2]战法升星!$Z205</f>
        <v>1.72</v>
      </c>
      <c r="Q30" s="2">
        <f t="shared" si="0"/>
        <v>0.30993516313891267</v>
      </c>
      <c r="R30" s="2">
        <f t="shared" si="1"/>
        <v>0.32148317918921548</v>
      </c>
      <c r="S30" s="2">
        <f t="shared" si="2"/>
        <v>0.32926687766516216</v>
      </c>
      <c r="T30" s="2">
        <f t="shared" si="3"/>
        <v>0.34019999999999995</v>
      </c>
      <c r="U30" s="2">
        <f t="shared" si="4"/>
        <v>0.34019999999999995</v>
      </c>
      <c r="W30" s="14">
        <v>26</v>
      </c>
      <c r="X30" s="14">
        <f>求节点(B$10:B$48,Q$10:Q$48,$W30)*(其他调用!AS30+其他调用!AZ30*$D$50*$D$51)*6</f>
        <v>591.52254751272631</v>
      </c>
      <c r="Y30" s="14">
        <f>求节点(C$10:C$48,R$10:R$48,$W30)*(其他调用!AT30+其他调用!BA30*$D$50*$D$51)*6</f>
        <v>603.87632452324067</v>
      </c>
      <c r="Z30" s="14">
        <f>求节点(D$10:D$48,S$10:S$48,$W30)*(其他调用!AU30+其他调用!BB30*$D$50*$D$51)*6</f>
        <v>617.71600908317316</v>
      </c>
      <c r="AA30" s="14">
        <f>求节点(E$10:E$48,T$10:T$48,$W30)*(其他调用!AV30+其他调用!BC30*$D$50*$D$51)*6</f>
        <v>648.1357389243052</v>
      </c>
      <c r="AB30" s="14">
        <f>求节点(F$10:F$48,U$10:U$48,$W30)*(其他调用!AW30+其他调用!BD30*$D$50*$D$51)*6</f>
        <v>664.09215943419497</v>
      </c>
      <c r="AC30" s="14">
        <f>[1]节奏总纲!$BJ29</f>
        <v>1.7000000000000022</v>
      </c>
      <c r="AD30" s="14">
        <f>[1]节奏总纲!$BJ29</f>
        <v>1.7000000000000022</v>
      </c>
      <c r="AE30" s="14">
        <f>[1]节奏总纲!$BJ29</f>
        <v>1.7000000000000022</v>
      </c>
      <c r="AF30" s="14">
        <f>[1]节奏总纲!$BJ29</f>
        <v>1.7000000000000022</v>
      </c>
      <c r="AG30" s="14">
        <f>[1]节奏总纲!$BJ29</f>
        <v>1.7000000000000022</v>
      </c>
      <c r="AI30" s="2">
        <v>26</v>
      </c>
      <c r="AJ30" s="2">
        <f>求节点(节奏总纲!$D$4:$D$113,AC$5:AC$104,$AI30)</f>
        <v>2.418009487717538</v>
      </c>
      <c r="AK30" s="2">
        <f>求节点(节奏总纲!$D$4:$D$113,AD$5:AD$104,$AI30)</f>
        <v>2.418009487717538</v>
      </c>
      <c r="AL30" s="2">
        <f>求节点(节奏总纲!$D$4:$D$113,AE$5:AE$104,$AI30)</f>
        <v>2.418009487717538</v>
      </c>
      <c r="AM30" s="2">
        <f>求节点(节奏总纲!$D$4:$D$113,AF$5:AF$104,$AI30)</f>
        <v>2.418009487717538</v>
      </c>
      <c r="AN30" s="2">
        <f>求节点(节奏总纲!$D$4:$D$113,AG$5:AG$104,$AI30)</f>
        <v>2.418009487717538</v>
      </c>
    </row>
    <row r="31" spans="1:40" x14ac:dyDescent="0.15">
      <c r="B31" s="2">
        <f>[2]战法升星!$K26</f>
        <v>100.50342858241972</v>
      </c>
      <c r="C31" s="2">
        <f>[2]战法升星!$K71</f>
        <v>100.40175326279811</v>
      </c>
      <c r="D31" s="2">
        <f>[2]战法升星!$K116</f>
        <v>100.71243145193914</v>
      </c>
      <c r="E31" s="2">
        <f>[2]战法升星!$K161</f>
        <v>100.64473135315967</v>
      </c>
      <c r="F31" s="2">
        <f>[2]战法升星!$K206</f>
        <v>100.89689545435591</v>
      </c>
      <c r="G31" s="2">
        <f>[3]武将升星!$AQ25</f>
        <v>1.1172190400773083</v>
      </c>
      <c r="H31" s="2">
        <f>[3]武将升星!$AQ70</f>
        <v>1.1399999999999999</v>
      </c>
      <c r="I31" s="2">
        <f>[3]武将升星!$AQ115</f>
        <v>1.1399999999999999</v>
      </c>
      <c r="J31" s="2">
        <f>[3]武将升星!$AQ160</f>
        <v>1.1399999999999999</v>
      </c>
      <c r="K31" s="2">
        <f>[3]武将升星!$AQ205</f>
        <v>1.1399999999999999</v>
      </c>
      <c r="L31" s="2">
        <f>[2]战法升星!$Z26</f>
        <v>1.4114838367814031</v>
      </c>
      <c r="M31" s="2">
        <f>[2]战法升星!$Z71</f>
        <v>1.4940616945731691</v>
      </c>
      <c r="N31" s="2">
        <f>[2]战法升星!$Z116</f>
        <v>1.5963125679688464</v>
      </c>
      <c r="O31" s="2">
        <f>[2]战法升星!$Z161</f>
        <v>1.72</v>
      </c>
      <c r="P31" s="2">
        <f>[2]战法升星!$Z206</f>
        <v>1.72</v>
      </c>
      <c r="Q31" s="2">
        <f t="shared" si="0"/>
        <v>0.31700920138010974</v>
      </c>
      <c r="R31" s="2">
        <f t="shared" si="1"/>
        <v>0.32438431862012179</v>
      </c>
      <c r="S31" s="2">
        <f t="shared" si="2"/>
        <v>0.33154187975781924</v>
      </c>
      <c r="T31" s="2">
        <f t="shared" si="3"/>
        <v>0.34019999999999995</v>
      </c>
      <c r="U31" s="2">
        <f t="shared" si="4"/>
        <v>0.34019999999999995</v>
      </c>
      <c r="W31" s="14">
        <v>27</v>
      </c>
      <c r="X31" s="14">
        <f>求节点(B$10:B$48,Q$10:Q$48,$W31)*(其他调用!AS31+其他调用!AZ31*$D$50*$D$51)*6</f>
        <v>649.57564737376356</v>
      </c>
      <c r="Y31" s="14">
        <f>求节点(C$10:C$48,R$10:R$48,$W31)*(其他调用!AT31+其他调用!BA31*$D$50*$D$51)*6</f>
        <v>666.75103294083056</v>
      </c>
      <c r="Z31" s="14">
        <f>求节点(D$10:D$48,S$10:S$48,$W31)*(其他调用!AU31+其他调用!BB31*$D$50*$D$51)*6</f>
        <v>683.99364940288194</v>
      </c>
      <c r="AA31" s="14">
        <f>求节点(E$10:E$48,T$10:T$48,$W31)*(其他调用!AV31+其他调用!BC31*$D$50*$D$51)*6</f>
        <v>722.07133092904701</v>
      </c>
      <c r="AB31" s="14">
        <f>求节点(F$10:F$48,U$10:U$48,$W31)*(其他调用!AW31+其他调用!BD31*$D$50*$D$51)*6</f>
        <v>742.6080650635995</v>
      </c>
      <c r="AC31" s="14">
        <f>[1]节奏总纲!$BJ30</f>
        <v>1.7333333333333356</v>
      </c>
      <c r="AD31" s="14">
        <f>[1]节奏总纲!$BJ30</f>
        <v>1.7333333333333356</v>
      </c>
      <c r="AE31" s="14">
        <f>[1]节奏总纲!$BJ30</f>
        <v>1.7333333333333356</v>
      </c>
      <c r="AF31" s="14">
        <f>[1]节奏总纲!$BJ30</f>
        <v>1.7333333333333356</v>
      </c>
      <c r="AG31" s="14">
        <f>[1]节奏总纲!$BJ30</f>
        <v>1.7333333333333356</v>
      </c>
      <c r="AI31" s="2">
        <v>27</v>
      </c>
      <c r="AJ31" s="2">
        <f>求节点(节奏总纲!$D$4:$D$113,AC$5:AC$104,$AI31)</f>
        <v>2.435707033603506</v>
      </c>
      <c r="AK31" s="2">
        <f>求节点(节奏总纲!$D$4:$D$113,AD$5:AD$104,$AI31)</f>
        <v>2.435707033603506</v>
      </c>
      <c r="AL31" s="2">
        <f>求节点(节奏总纲!$D$4:$D$113,AE$5:AE$104,$AI31)</f>
        <v>2.435707033603506</v>
      </c>
      <c r="AM31" s="2">
        <f>求节点(节奏总纲!$D$4:$D$113,AF$5:AF$104,$AI31)</f>
        <v>2.435707033603506</v>
      </c>
      <c r="AN31" s="2">
        <f>求节点(节奏总纲!$D$4:$D$113,AG$5:AG$104,$AI31)</f>
        <v>2.435707033603506</v>
      </c>
    </row>
    <row r="32" spans="1:40" x14ac:dyDescent="0.15">
      <c r="B32" s="2">
        <f>[2]战法升星!$K27</f>
        <v>104.10129967499306</v>
      </c>
      <c r="C32" s="2">
        <f>[2]战法升星!$K72</f>
        <v>104.06236366727887</v>
      </c>
      <c r="D32" s="2">
        <f>[2]战法升星!$K117</f>
        <v>104.39233713204413</v>
      </c>
      <c r="E32" s="2">
        <f>[2]战法升星!$K162</f>
        <v>104.30731379164318</v>
      </c>
      <c r="F32" s="2">
        <f>[2]战法升星!$K207</f>
        <v>104.52148587104635</v>
      </c>
      <c r="G32" s="2">
        <f>[3]武将升星!$AQ26</f>
        <v>1.1399999999999999</v>
      </c>
      <c r="H32" s="2">
        <f>[3]武将升星!$AQ71</f>
        <v>1.1399999999999999</v>
      </c>
      <c r="I32" s="2">
        <f>[3]武将升星!$AQ116</f>
        <v>1.1399999999999999</v>
      </c>
      <c r="J32" s="2">
        <f>[3]武将升星!$AQ161</f>
        <v>1.1399999999999999</v>
      </c>
      <c r="K32" s="2">
        <f>[3]武将升星!$AQ206</f>
        <v>1.1399999999999999</v>
      </c>
      <c r="L32" s="2">
        <f>[2]战法升星!$Z27</f>
        <v>1.4383889190080186</v>
      </c>
      <c r="M32" s="2">
        <f>[2]战法升星!$Z72</f>
        <v>1.5358413868505505</v>
      </c>
      <c r="N32" s="2">
        <f>[2]战法升星!$Z117</f>
        <v>1.6195243693605665</v>
      </c>
      <c r="O32" s="2">
        <f>[2]战法升星!$Z162</f>
        <v>1.72</v>
      </c>
      <c r="P32" s="2">
        <f>[2]战法升星!$Z207</f>
        <v>1.72</v>
      </c>
      <c r="Q32" s="2">
        <f t="shared" si="0"/>
        <v>0.32048722433056132</v>
      </c>
      <c r="R32" s="2">
        <f t="shared" si="1"/>
        <v>0.32730889707953847</v>
      </c>
      <c r="S32" s="2">
        <f t="shared" si="2"/>
        <v>0.33316670585523961</v>
      </c>
      <c r="T32" s="2">
        <f t="shared" si="3"/>
        <v>0.34019999999999995</v>
      </c>
      <c r="U32" s="2">
        <f t="shared" si="4"/>
        <v>0.34019999999999995</v>
      </c>
      <c r="W32" s="14">
        <v>28</v>
      </c>
      <c r="X32" s="14">
        <f>求节点(B$10:B$48,Q$10:Q$48,$W32)*(其他调用!AS32+其他调用!AZ32*$D$50*$D$51)*6</f>
        <v>661.71713472114163</v>
      </c>
      <c r="Y32" s="14">
        <f>求节点(C$10:C$48,R$10:R$48,$W32)*(其他调用!AT32+其他调用!BA32*$D$50*$D$51)*6</f>
        <v>682.00478821337742</v>
      </c>
      <c r="Z32" s="14">
        <f>求节点(D$10:D$48,S$10:S$48,$W32)*(其他调用!AU32+其他调用!BB32*$D$50*$D$51)*6</f>
        <v>703.68911463826112</v>
      </c>
      <c r="AA32" s="14">
        <f>求节点(E$10:E$48,T$10:T$48,$W32)*(其他调用!AV32+其他调用!BC32*$D$50*$D$51)*6</f>
        <v>755.89158018280989</v>
      </c>
      <c r="AB32" s="14">
        <f>求节点(F$10:F$48,U$10:U$48,$W32)*(其他调用!AW32+其他调用!BD32*$D$50*$D$51)*6</f>
        <v>781.47705548028034</v>
      </c>
      <c r="AC32" s="14">
        <f>[1]节奏总纲!$BJ31</f>
        <v>1.766666666666669</v>
      </c>
      <c r="AD32" s="14">
        <f>[1]节奏总纲!$BJ31</f>
        <v>1.766666666666669</v>
      </c>
      <c r="AE32" s="14">
        <f>[1]节奏总纲!$BJ31</f>
        <v>1.766666666666669</v>
      </c>
      <c r="AF32" s="14">
        <f>[1]节奏总纲!$BJ31</f>
        <v>1.766666666666669</v>
      </c>
      <c r="AG32" s="14">
        <f>[1]节奏总纲!$BJ31</f>
        <v>1.766666666666669</v>
      </c>
      <c r="AI32" s="2">
        <v>28</v>
      </c>
      <c r="AJ32" s="2">
        <f>求节点(节奏总纲!$D$4:$D$113,AC$5:AC$104,$AI32)</f>
        <v>2.4523783873904321</v>
      </c>
      <c r="AK32" s="2">
        <f>求节点(节奏总纲!$D$4:$D$113,AD$5:AD$104,$AI32)</f>
        <v>2.4523783873904321</v>
      </c>
      <c r="AL32" s="2">
        <f>求节点(节奏总纲!$D$4:$D$113,AE$5:AE$104,$AI32)</f>
        <v>2.4523783873904321</v>
      </c>
      <c r="AM32" s="2">
        <f>求节点(节奏总纲!$D$4:$D$113,AF$5:AF$104,$AI32)</f>
        <v>2.4523783873904321</v>
      </c>
      <c r="AN32" s="2">
        <f>求节点(节奏总纲!$D$4:$D$113,AG$5:AG$104,$AI32)</f>
        <v>2.4523783873904321</v>
      </c>
    </row>
    <row r="33" spans="2:40" x14ac:dyDescent="0.15">
      <c r="B33" s="2">
        <f>[2]战法升星!$K28</f>
        <v>107.48165553683219</v>
      </c>
      <c r="C33" s="2">
        <f>[2]战法升星!$K73</f>
        <v>107.42257994053838</v>
      </c>
      <c r="D33" s="2">
        <f>[2]战法升星!$K118</f>
        <v>107.81562240612369</v>
      </c>
      <c r="E33" s="2">
        <f>[2]战法升星!$K163</f>
        <v>107.78950972208385</v>
      </c>
      <c r="F33" s="2">
        <f>[2]战法升星!$K208</f>
        <v>108.05586950728798</v>
      </c>
      <c r="G33" s="2">
        <f>[3]武将升星!$AQ27</f>
        <v>1.1399999999999999</v>
      </c>
      <c r="H33" s="2">
        <f>[3]武将升星!$AQ72</f>
        <v>1.1399999999999999</v>
      </c>
      <c r="I33" s="2">
        <f>[3]武将升星!$AQ117</f>
        <v>1.1399999999999999</v>
      </c>
      <c r="J33" s="2">
        <f>[3]武将升星!$AQ162</f>
        <v>1.1399999999999999</v>
      </c>
      <c r="K33" s="2">
        <f>[3]武将升星!$AQ207</f>
        <v>1.1399999999999999</v>
      </c>
      <c r="L33" s="2">
        <f>[2]战法升星!$Z28</f>
        <v>1.4636674101150895</v>
      </c>
      <c r="M33" s="2">
        <f>[2]战法升星!$Z73</f>
        <v>1.5728334347246669</v>
      </c>
      <c r="N33" s="2">
        <f>[2]战法升星!$Z118</f>
        <v>1.6411174820098202</v>
      </c>
      <c r="O33" s="2">
        <f>[2]战法升星!$Z163</f>
        <v>1.72</v>
      </c>
      <c r="P33" s="2">
        <f>[2]战法升星!$Z208</f>
        <v>1.72</v>
      </c>
      <c r="Q33" s="2">
        <f t="shared" si="0"/>
        <v>0.32225671870805622</v>
      </c>
      <c r="R33" s="2">
        <f t="shared" si="1"/>
        <v>0.32989834043072663</v>
      </c>
      <c r="S33" s="2">
        <f t="shared" si="2"/>
        <v>0.33467822374068734</v>
      </c>
      <c r="T33" s="2">
        <f t="shared" si="3"/>
        <v>0.34019999999999995</v>
      </c>
      <c r="U33" s="2">
        <f t="shared" si="4"/>
        <v>0.34019999999999995</v>
      </c>
      <c r="W33" s="14">
        <v>29</v>
      </c>
      <c r="X33" s="14">
        <f>求节点(B$10:B$48,Q$10:Q$48,$W33)*(其他调用!AS33+其他调用!AZ33*$D$50*$D$51)*6</f>
        <v>680.08291688460849</v>
      </c>
      <c r="Y33" s="14">
        <f>求节点(C$10:C$48,R$10:R$48,$W33)*(其他调用!AT33+其他调用!BA33*$D$50*$D$51)*6</f>
        <v>705.34597755874051</v>
      </c>
      <c r="Z33" s="14">
        <f>求节点(D$10:D$48,S$10:S$48,$W33)*(其他调用!AU33+其他调用!BB33*$D$50*$D$51)*6</f>
        <v>737.14321897602269</v>
      </c>
      <c r="AA33" s="14">
        <f>求节点(E$10:E$48,T$10:T$48,$W33)*(其他调用!AV33+其他调用!BC33*$D$50*$D$51)*6</f>
        <v>797.99553555148714</v>
      </c>
      <c r="AB33" s="14">
        <f>求节点(F$10:F$48,U$10:U$48,$W33)*(其他调用!AW33+其他调用!BD33*$D$50*$D$51)*6</f>
        <v>825.05812219013728</v>
      </c>
      <c r="AC33" s="14">
        <f>[1]节奏总纲!$BJ32</f>
        <v>1.8000000000000025</v>
      </c>
      <c r="AD33" s="14">
        <f>[1]节奏总纲!$BJ32</f>
        <v>1.8000000000000025</v>
      </c>
      <c r="AE33" s="14">
        <f>[1]节奏总纲!$BJ32</f>
        <v>1.8000000000000025</v>
      </c>
      <c r="AF33" s="14">
        <f>[1]节奏总纲!$BJ32</f>
        <v>1.8000000000000025</v>
      </c>
      <c r="AG33" s="14">
        <f>[1]节奏总纲!$BJ32</f>
        <v>1.8000000000000025</v>
      </c>
      <c r="AI33" s="2">
        <v>29</v>
      </c>
      <c r="AJ33" s="2">
        <f>求节点(节奏总纲!$D$4:$D$113,AC$5:AC$104,$AI33)</f>
        <v>2.468890153806433</v>
      </c>
      <c r="AK33" s="2">
        <f>求节点(节奏总纲!$D$4:$D$113,AD$5:AD$104,$AI33)</f>
        <v>2.468890153806433</v>
      </c>
      <c r="AL33" s="2">
        <f>求节点(节奏总纲!$D$4:$D$113,AE$5:AE$104,$AI33)</f>
        <v>2.468890153806433</v>
      </c>
      <c r="AM33" s="2">
        <f>求节点(节奏总纲!$D$4:$D$113,AF$5:AF$104,$AI33)</f>
        <v>2.468890153806433</v>
      </c>
      <c r="AN33" s="2">
        <f>求节点(节奏总纲!$D$4:$D$113,AG$5:AG$104,$AI33)</f>
        <v>2.468890153806433</v>
      </c>
    </row>
    <row r="34" spans="2:40" x14ac:dyDescent="0.15">
      <c r="B34" s="2">
        <f>[2]战法升星!$K29</f>
        <v>111.03813549320469</v>
      </c>
      <c r="C34" s="2">
        <f>[2]战法升星!$K74</f>
        <v>111.00691759243479</v>
      </c>
      <c r="D34" s="2">
        <f>[2]战法升星!$K119</f>
        <v>111.36292001894914</v>
      </c>
      <c r="E34" s="2">
        <f>[2]战法升星!$K164</f>
        <v>111.29737083030383</v>
      </c>
      <c r="F34" s="2">
        <f>[2]战法升星!$K209</f>
        <v>111.54601176466306</v>
      </c>
      <c r="G34" s="2">
        <f>[3]武将升星!$AQ28</f>
        <v>1.1399999999999999</v>
      </c>
      <c r="H34" s="2">
        <f>[3]武将升星!$AQ73</f>
        <v>1.1399999999999999</v>
      </c>
      <c r="I34" s="2">
        <f>[3]武将升星!$AQ118</f>
        <v>1.1399999999999999</v>
      </c>
      <c r="J34" s="2">
        <f>[3]武将升星!$AQ163</f>
        <v>1.1399999999999999</v>
      </c>
      <c r="K34" s="2">
        <f>[3]武将升星!$AQ208</f>
        <v>1.1399999999999999</v>
      </c>
      <c r="L34" s="2">
        <f>[2]战法升星!$Z29</f>
        <v>1.4902629670990593</v>
      </c>
      <c r="M34" s="2">
        <f>[2]战法升星!$Z74</f>
        <v>1.5930925640438864</v>
      </c>
      <c r="N34" s="2">
        <f>[2]战法升星!$Z119</f>
        <v>1.6634928293214066</v>
      </c>
      <c r="O34" s="2">
        <f>[2]战法升星!$Z164</f>
        <v>1.72</v>
      </c>
      <c r="P34" s="2">
        <f>[2]战法升星!$Z209</f>
        <v>1.72</v>
      </c>
      <c r="Q34" s="2">
        <f t="shared" si="0"/>
        <v>0.32411840769693406</v>
      </c>
      <c r="R34" s="2">
        <f t="shared" si="1"/>
        <v>0.33131647948307202</v>
      </c>
      <c r="S34" s="2">
        <f t="shared" si="2"/>
        <v>0.33624449805249845</v>
      </c>
      <c r="T34" s="2">
        <f t="shared" si="3"/>
        <v>0.34019999999999995</v>
      </c>
      <c r="U34" s="2">
        <f t="shared" si="4"/>
        <v>0.34019999999999995</v>
      </c>
      <c r="W34" s="14">
        <v>30</v>
      </c>
      <c r="X34" s="14">
        <f>求节点(B$10:B$48,Q$10:Q$48,$W34)*(其他调用!AS34+其他调用!AZ34*$D$50*$D$51)*6</f>
        <v>699.37395857363788</v>
      </c>
      <c r="Y34" s="14">
        <f>求节点(C$10:C$48,R$10:R$48,$W34)*(其他调用!AT34+其他调用!BA34*$D$50*$D$51)*6</f>
        <v>729.30134939526579</v>
      </c>
      <c r="Z34" s="14">
        <f>求节点(D$10:D$48,S$10:S$48,$W34)*(其他调用!AU34+其他调用!BB34*$D$50*$D$51)*6</f>
        <v>770.21769845457152</v>
      </c>
      <c r="AA34" s="14">
        <f>求节点(E$10:E$48,T$10:T$48,$W34)*(其他调用!AV34+其他调用!BC34*$D$50*$D$51)*6</f>
        <v>841.19782746897999</v>
      </c>
      <c r="AB34" s="14">
        <f>求节点(F$10:F$48,U$10:U$48,$W34)*(其他调用!AW34+其他调用!BD34*$D$50*$D$51)*6</f>
        <v>870.08462343122176</v>
      </c>
      <c r="AC34" s="14">
        <f>[1]节奏总纲!$BJ33</f>
        <v>1.8333333333333359</v>
      </c>
      <c r="AD34" s="14">
        <f>[1]节奏总纲!$BJ33</f>
        <v>1.8333333333333359</v>
      </c>
      <c r="AE34" s="14">
        <f>[1]节奏总纲!$BJ33</f>
        <v>1.8333333333333359</v>
      </c>
      <c r="AF34" s="14">
        <f>[1]节奏总纲!$BJ33</f>
        <v>1.8333333333333359</v>
      </c>
      <c r="AG34" s="14">
        <f>[1]节奏总纲!$BJ33</f>
        <v>1.8333333333333359</v>
      </c>
      <c r="AI34" s="2">
        <v>30</v>
      </c>
      <c r="AJ34" s="2">
        <f>求节点(节奏总纲!$D$4:$D$113,AC$5:AC$104,$AI34)</f>
        <v>2.4844450769032171</v>
      </c>
      <c r="AK34" s="2">
        <f>求节点(节奏总纲!$D$4:$D$113,AD$5:AD$104,$AI34)</f>
        <v>2.4844450769032171</v>
      </c>
      <c r="AL34" s="2">
        <f>求节点(节奏总纲!$D$4:$D$113,AE$5:AE$104,$AI34)</f>
        <v>2.4844450769032171</v>
      </c>
      <c r="AM34" s="2">
        <f>求节点(节奏总纲!$D$4:$D$113,AF$5:AF$104,$AI34)</f>
        <v>2.4844450769032171</v>
      </c>
      <c r="AN34" s="2">
        <f>求节点(节奏总纲!$D$4:$D$113,AG$5:AG$104,$AI34)</f>
        <v>2.4844450769032171</v>
      </c>
    </row>
    <row r="35" spans="2:40" x14ac:dyDescent="0.15">
      <c r="B35" s="2">
        <f>[2]战法升星!$K30</f>
        <v>114.50860608277577</v>
      </c>
      <c r="C35" s="2">
        <f>[2]战法升星!$K75</f>
        <v>114.47614359759058</v>
      </c>
      <c r="D35" s="2">
        <f>[2]战法升星!$K120</f>
        <v>114.91934497223426</v>
      </c>
      <c r="E35" s="2">
        <f>[2]战法升星!$K165</f>
        <v>114.91888401282834</v>
      </c>
      <c r="F35" s="2">
        <f>[2]战法升星!$K210</f>
        <v>115.20444967370992</v>
      </c>
      <c r="G35" s="2">
        <f>[3]武将升星!$AQ29</f>
        <v>1.1399999999999999</v>
      </c>
      <c r="H35" s="2">
        <f>[3]武将升星!$AQ74</f>
        <v>1.1399999999999999</v>
      </c>
      <c r="I35" s="2">
        <f>[3]武将升星!$AQ119</f>
        <v>1.1399999999999999</v>
      </c>
      <c r="J35" s="2">
        <f>[3]武将升星!$AQ164</f>
        <v>1.1399999999999999</v>
      </c>
      <c r="K35" s="2">
        <f>[3]武将升星!$AQ209</f>
        <v>1.1399999999999999</v>
      </c>
      <c r="L35" s="2">
        <f>[2]战法升星!$Z30</f>
        <v>1.5162153412044577</v>
      </c>
      <c r="M35" s="2">
        <f>[2]战法升星!$Z75</f>
        <v>1.6076197215498649</v>
      </c>
      <c r="N35" s="2">
        <f>[2]战法升星!$Z120</f>
        <v>1.6859257493080559</v>
      </c>
      <c r="O35" s="2">
        <f>[2]战法升星!$Z165</f>
        <v>1.72</v>
      </c>
      <c r="P35" s="2">
        <f>[2]战法升星!$Z210</f>
        <v>1.72</v>
      </c>
      <c r="Q35" s="2">
        <f t="shared" si="0"/>
        <v>0.32593507388431198</v>
      </c>
      <c r="R35" s="2">
        <f t="shared" si="1"/>
        <v>0.33233338050849048</v>
      </c>
      <c r="S35" s="2">
        <f t="shared" si="2"/>
        <v>0.33781480245156387</v>
      </c>
      <c r="T35" s="2">
        <f t="shared" si="3"/>
        <v>0.34019999999999995</v>
      </c>
      <c r="U35" s="2">
        <f t="shared" si="4"/>
        <v>0.34019999999999995</v>
      </c>
      <c r="W35" s="14">
        <v>31</v>
      </c>
      <c r="X35" s="14">
        <f>求节点(B$10:B$48,Q$10:Q$48,$W35)*(其他调用!AS35+其他调用!AZ35*$D$50*$D$51)*6</f>
        <v>749.28521296872339</v>
      </c>
      <c r="Y35" s="14">
        <f>求节点(C$10:C$48,R$10:R$48,$W35)*(其他调用!AT35+其他调用!BA35*$D$50*$D$51)*6</f>
        <v>785.82625364849378</v>
      </c>
      <c r="Z35" s="14">
        <f>求节点(D$10:D$48,S$10:S$48,$W35)*(其他调用!AU35+其他调用!BB35*$D$50*$D$51)*6</f>
        <v>837.85552802820973</v>
      </c>
      <c r="AA35" s="14">
        <f>求节点(E$10:E$48,T$10:T$48,$W35)*(其他调用!AV35+其他调用!BC35*$D$50*$D$51)*6</f>
        <v>924.50217377091838</v>
      </c>
      <c r="AB35" s="14">
        <f>求节点(F$10:F$48,U$10:U$48,$W35)*(其他调用!AW35+其他调用!BD35*$D$50*$D$51)*6</f>
        <v>958.80379627550383</v>
      </c>
      <c r="AC35" s="14">
        <f>[1]节奏总纲!$BJ34</f>
        <v>1.8666666666666694</v>
      </c>
      <c r="AD35" s="14">
        <f>[1]节奏总纲!$BJ34</f>
        <v>1.8666666666666694</v>
      </c>
      <c r="AE35" s="14">
        <f>[1]节奏总纲!$BJ34</f>
        <v>1.8666666666666694</v>
      </c>
      <c r="AF35" s="14">
        <f>[1]节奏总纲!$BJ34</f>
        <v>1.8666666666666694</v>
      </c>
      <c r="AG35" s="14">
        <f>[1]节奏总纲!$BJ34</f>
        <v>1.8666666666666694</v>
      </c>
      <c r="AI35" s="2">
        <v>31</v>
      </c>
      <c r="AJ35" s="2">
        <f>求节点(节奏总纲!$D$4:$D$113,AC$5:AC$104,$AI35)</f>
        <v>2.5000000000000013</v>
      </c>
      <c r="AK35" s="2">
        <f>求节点(节奏总纲!$D$4:$D$113,AD$5:AD$104,$AI35)</f>
        <v>2.5000000000000013</v>
      </c>
      <c r="AL35" s="2">
        <f>求节点(节奏总纲!$D$4:$D$113,AE$5:AE$104,$AI35)</f>
        <v>2.5000000000000013</v>
      </c>
      <c r="AM35" s="2">
        <f>求节点(节奏总纲!$D$4:$D$113,AF$5:AF$104,$AI35)</f>
        <v>2.5000000000000013</v>
      </c>
      <c r="AN35" s="2">
        <f>求节点(节奏总纲!$D$4:$D$113,AG$5:AG$104,$AI35)</f>
        <v>2.5000000000000013</v>
      </c>
    </row>
    <row r="36" spans="2:40" x14ac:dyDescent="0.15">
      <c r="B36" s="2">
        <f>[2]战法升星!$K31</f>
        <v>118.05948896247369</v>
      </c>
      <c r="C36" s="2">
        <f>[2]战法升星!$K76</f>
        <v>118.05724034557241</v>
      </c>
      <c r="D36" s="2">
        <f>[2]战法升星!$K121</f>
        <v>118.44741987029688</v>
      </c>
      <c r="E36" s="2">
        <f>[2]战法升星!$K166</f>
        <v>118.4172728380062</v>
      </c>
      <c r="F36" s="2">
        <f>[2]战法升星!$K211</f>
        <v>118.75432507225094</v>
      </c>
      <c r="G36" s="2">
        <f>[3]武将升星!$AQ30</f>
        <v>1.1399999999999999</v>
      </c>
      <c r="H36" s="2">
        <f>[3]武将升星!$AQ75</f>
        <v>1.1399999999999999</v>
      </c>
      <c r="I36" s="2">
        <f>[3]武将升星!$AQ120</f>
        <v>1.1399999999999999</v>
      </c>
      <c r="J36" s="2">
        <f>[3]武将升星!$AQ165</f>
        <v>1.1399999999999999</v>
      </c>
      <c r="K36" s="2">
        <f>[3]武将升星!$AQ210</f>
        <v>1.1399999999999999</v>
      </c>
      <c r="L36" s="2">
        <f>[2]战法升星!$Z31</f>
        <v>1.5427690429345053</v>
      </c>
      <c r="M36" s="2">
        <f>[2]战法升星!$Z76</f>
        <v>1.6226153304910997</v>
      </c>
      <c r="N36" s="2">
        <f>[2]战法升星!$Z121</f>
        <v>1.7081798451865697</v>
      </c>
      <c r="O36" s="2">
        <f>[2]战法升星!$Z166</f>
        <v>1.72</v>
      </c>
      <c r="P36" s="2">
        <f>[2]战法升星!$Z211</f>
        <v>1.72</v>
      </c>
      <c r="Q36" s="2">
        <f t="shared" si="0"/>
        <v>0.32779383300541537</v>
      </c>
      <c r="R36" s="2">
        <f t="shared" si="1"/>
        <v>0.33338307313437693</v>
      </c>
      <c r="S36" s="2">
        <f t="shared" si="2"/>
        <v>0.33937258916305985</v>
      </c>
      <c r="T36" s="2">
        <f t="shared" si="3"/>
        <v>0.34019999999999995</v>
      </c>
      <c r="U36" s="2">
        <f t="shared" si="4"/>
        <v>0.34019999999999995</v>
      </c>
      <c r="W36" s="14">
        <v>32</v>
      </c>
      <c r="X36" s="14">
        <f>求节点(B$10:B$48,Q$10:Q$48,$W36)*(其他调用!AS36+其他调用!AZ36*$D$50*$D$51)*6</f>
        <v>770.16458764066533</v>
      </c>
      <c r="Y36" s="14">
        <f>求节点(C$10:C$48,R$10:R$48,$W36)*(其他调用!AT36+其他调用!BA36*$D$50*$D$51)*6</f>
        <v>811.84672308536142</v>
      </c>
      <c r="Z36" s="14">
        <f>求节点(D$10:D$48,S$10:S$48,$W36)*(其他调用!AU36+其他调用!BB36*$D$50*$D$51)*6</f>
        <v>873.01266794394292</v>
      </c>
      <c r="AA36" s="14">
        <f>求节点(E$10:E$48,T$10:T$48,$W36)*(其他调用!AV36+其他调用!BC36*$D$50*$D$51)*6</f>
        <v>972.44388636316535</v>
      </c>
      <c r="AB36" s="14">
        <f>求节点(F$10:F$48,U$10:U$48,$W36)*(其他调用!AW36+其他调用!BD36*$D$50*$D$51)*6</f>
        <v>1008.4429756522577</v>
      </c>
      <c r="AC36" s="14">
        <f>[1]节奏总纲!$BJ35</f>
        <v>1.9000000000000028</v>
      </c>
      <c r="AD36" s="14">
        <f>[1]节奏总纲!$BJ35</f>
        <v>1.9000000000000028</v>
      </c>
      <c r="AE36" s="14">
        <f>[1]节奏总纲!$BJ35</f>
        <v>1.9000000000000028</v>
      </c>
      <c r="AF36" s="14">
        <f>[1]节奏总纲!$BJ35</f>
        <v>1.9000000000000028</v>
      </c>
      <c r="AG36" s="14">
        <f>[1]节奏总纲!$BJ35</f>
        <v>1.9000000000000028</v>
      </c>
      <c r="AI36" s="2">
        <v>32</v>
      </c>
      <c r="AJ36" s="2">
        <f>求节点(节奏总纲!$D$4:$D$113,AC$5:AC$104,$AI36)</f>
        <v>2.5145132564301189</v>
      </c>
      <c r="AK36" s="2">
        <f>求节点(节奏总纲!$D$4:$D$113,AD$5:AD$104,$AI36)</f>
        <v>2.5145132564301189</v>
      </c>
      <c r="AL36" s="2">
        <f>求节点(节奏总纲!$D$4:$D$113,AE$5:AE$104,$AI36)</f>
        <v>2.5145132564301189</v>
      </c>
      <c r="AM36" s="2">
        <f>求节点(节奏总纲!$D$4:$D$113,AF$5:AF$104,$AI36)</f>
        <v>2.5145132564301189</v>
      </c>
      <c r="AN36" s="2">
        <f>求节点(节奏总纲!$D$4:$D$113,AG$5:AG$104,$AI36)</f>
        <v>2.5145132564301189</v>
      </c>
    </row>
    <row r="37" spans="2:40" x14ac:dyDescent="0.15">
      <c r="B37" s="2">
        <f>[2]战法升星!$K32</f>
        <v>121.47928719052189</v>
      </c>
      <c r="C37" s="2">
        <f>[2]战法升星!$K77</f>
        <v>121.49411884885473</v>
      </c>
      <c r="D37" s="2">
        <f>[2]战法升星!$K122</f>
        <v>121.97211685892326</v>
      </c>
      <c r="E37" s="2">
        <f>[2]战法升星!$K167</f>
        <v>121.99245722798884</v>
      </c>
      <c r="F37" s="2">
        <f>[2]战法升星!$K212</f>
        <v>122.26514676047371</v>
      </c>
      <c r="G37" s="2">
        <f>[3]武将升星!$AQ31</f>
        <v>1.1399999999999999</v>
      </c>
      <c r="H37" s="2">
        <f>[3]武将升星!$AQ76</f>
        <v>1.1399999999999999</v>
      </c>
      <c r="I37" s="2">
        <f>[3]武将升星!$AQ121</f>
        <v>1.1399999999999999</v>
      </c>
      <c r="J37" s="2">
        <f>[3]武将升星!$AQ166</f>
        <v>1.1399999999999999</v>
      </c>
      <c r="K37" s="2">
        <f>[3]武将升星!$AQ211</f>
        <v>1.1399999999999999</v>
      </c>
      <c r="L37" s="2">
        <f>[2]战法升星!$Z32</f>
        <v>1.5683424862727051</v>
      </c>
      <c r="M37" s="2">
        <f>[2]战法升星!$Z77</f>
        <v>1.6370070349438779</v>
      </c>
      <c r="N37" s="2">
        <f>[2]战法升星!$Z122</f>
        <v>1.72</v>
      </c>
      <c r="O37" s="2">
        <f>[2]战法升星!$Z167</f>
        <v>1.72</v>
      </c>
      <c r="P37" s="2">
        <f>[2]战法升星!$Z212</f>
        <v>1.72</v>
      </c>
      <c r="Q37" s="2">
        <f t="shared" si="0"/>
        <v>0.32958397403908929</v>
      </c>
      <c r="R37" s="2">
        <f t="shared" si="1"/>
        <v>0.33439049244607139</v>
      </c>
      <c r="S37" s="2">
        <f t="shared" si="2"/>
        <v>0.34019999999999995</v>
      </c>
      <c r="T37" s="2">
        <f t="shared" si="3"/>
        <v>0.34019999999999995</v>
      </c>
      <c r="U37" s="2">
        <f t="shared" si="4"/>
        <v>0.34019999999999995</v>
      </c>
      <c r="W37" s="14">
        <v>33</v>
      </c>
      <c r="X37" s="14">
        <f>求节点(B$10:B$48,Q$10:Q$48,$W37)*(其他调用!AS37+其他调用!AZ37*$D$50*$D$51)*6</f>
        <v>791.93969592466215</v>
      </c>
      <c r="Y37" s="14">
        <f>求节点(C$10:C$48,R$10:R$48,$W37)*(其他调用!AT37+其他调用!BA37*$D$50*$D$51)*6</f>
        <v>838.51927287696833</v>
      </c>
      <c r="Z37" s="14">
        <f>求节点(D$10:D$48,S$10:S$48,$W37)*(其他调用!AU37+其他调用!BB37*$D$50*$D$51)*6</f>
        <v>909.14675065290567</v>
      </c>
      <c r="AA37" s="14">
        <f>求节点(E$10:E$48,T$10:T$48,$W37)*(其他调用!AV37+其他调用!BC37*$D$50*$D$51)*6</f>
        <v>1022.1186449813474</v>
      </c>
      <c r="AB37" s="14">
        <f>求节点(F$10:F$48,U$10:U$48,$W37)*(其他调用!AW37+其他调用!BD37*$D$50*$D$51)*6</f>
        <v>1059.7839226100964</v>
      </c>
      <c r="AC37" s="14">
        <f>[1]节奏总纲!$BJ36</f>
        <v>1.9333333333333362</v>
      </c>
      <c r="AD37" s="14">
        <f>[1]节奏总纲!$BJ36</f>
        <v>1.9333333333333362</v>
      </c>
      <c r="AE37" s="14">
        <f>[1]节奏总纲!$BJ36</f>
        <v>1.9333333333333362</v>
      </c>
      <c r="AF37" s="14">
        <f>[1]节奏总纲!$BJ36</f>
        <v>1.9333333333333362</v>
      </c>
      <c r="AG37" s="14">
        <f>[1]节奏总纲!$BJ36</f>
        <v>1.9333333333333362</v>
      </c>
      <c r="AI37" s="2">
        <v>33</v>
      </c>
      <c r="AJ37" s="2">
        <f>求节点(节奏总纲!$D$4:$D$113,AC$5:AC$104,$AI37)</f>
        <v>2.5290265128602369</v>
      </c>
      <c r="AK37" s="2">
        <f>求节点(节奏总纲!$D$4:$D$113,AD$5:AD$104,$AI37)</f>
        <v>2.5290265128602369</v>
      </c>
      <c r="AL37" s="2">
        <f>求节点(节奏总纲!$D$4:$D$113,AE$5:AE$104,$AI37)</f>
        <v>2.5290265128602369</v>
      </c>
      <c r="AM37" s="2">
        <f>求节点(节奏总纲!$D$4:$D$113,AF$5:AF$104,$AI37)</f>
        <v>2.5290265128602369</v>
      </c>
      <c r="AN37" s="2">
        <f>求节点(节奏总纲!$D$4:$D$113,AG$5:AG$104,$AI37)</f>
        <v>2.5290265128602369</v>
      </c>
    </row>
    <row r="38" spans="2:40" x14ac:dyDescent="0.15">
      <c r="B38" s="2">
        <f>[2]战法升星!$K33</f>
        <v>125.02015904129435</v>
      </c>
      <c r="C38" s="2">
        <f>[2]战法升星!$K78</f>
        <v>125.03100311549058</v>
      </c>
      <c r="D38" s="2">
        <f>[2]战法升星!$K123</f>
        <v>125.41953077529134</v>
      </c>
      <c r="E38" s="2">
        <f>[2]战法升星!$K168</f>
        <v>125.43876546297123</v>
      </c>
      <c r="F38" s="2">
        <f>[2]战法升星!$K213</f>
        <v>125.84855083483956</v>
      </c>
      <c r="G38" s="2">
        <f>[3]武将升星!$AQ32</f>
        <v>1.1399999999999999</v>
      </c>
      <c r="H38" s="2">
        <f>[3]武将升星!$AQ77</f>
        <v>1.1399999999999999</v>
      </c>
      <c r="I38" s="2">
        <f>[3]武将升星!$AQ122</f>
        <v>1.1399999999999999</v>
      </c>
      <c r="J38" s="2">
        <f>[3]武将升星!$AQ167</f>
        <v>1.1399999999999999</v>
      </c>
      <c r="K38" s="2">
        <f>[3]武将升星!$AQ212</f>
        <v>1.1399999999999999</v>
      </c>
      <c r="L38" s="2">
        <f>[2]战法升星!$Z33</f>
        <v>1.5868799441731534</v>
      </c>
      <c r="M38" s="2">
        <f>[2]战法升星!$Z78</f>
        <v>1.6518175070046421</v>
      </c>
      <c r="N38" s="2">
        <f>[2]战法升星!$Z123</f>
        <v>1.72</v>
      </c>
      <c r="O38" s="2">
        <f>[2]战法升星!$Z168</f>
        <v>1.72</v>
      </c>
      <c r="P38" s="2">
        <f>[2]战法升星!$Z213</f>
        <v>1.72</v>
      </c>
      <c r="Q38" s="2">
        <f t="shared" si="0"/>
        <v>0.3308815960921207</v>
      </c>
      <c r="R38" s="2">
        <f t="shared" si="1"/>
        <v>0.33542722549032489</v>
      </c>
      <c r="S38" s="2">
        <f t="shared" si="2"/>
        <v>0.34019999999999995</v>
      </c>
      <c r="T38" s="2">
        <f t="shared" si="3"/>
        <v>0.34019999999999995</v>
      </c>
      <c r="U38" s="2">
        <f t="shared" si="4"/>
        <v>0.34019999999999995</v>
      </c>
      <c r="W38" s="14">
        <v>34</v>
      </c>
      <c r="X38" s="14">
        <f>求节点(B$10:B$48,Q$10:Q$48,$W38)*(其他调用!AS38+其他调用!AZ38*$D$50*$D$51)*6</f>
        <v>815.72474454695896</v>
      </c>
      <c r="Y38" s="14">
        <f>求节点(C$10:C$48,R$10:R$48,$W38)*(其他调用!AT38+其他调用!BA38*$D$50*$D$51)*6</f>
        <v>865.97328576479629</v>
      </c>
      <c r="Z38" s="14">
        <f>求节点(D$10:D$48,S$10:S$48,$W38)*(其他调用!AU38+其他调用!BB38*$D$50*$D$51)*6</f>
        <v>946.46052768401614</v>
      </c>
      <c r="AA38" s="14">
        <f>求节点(E$10:E$48,T$10:T$48,$W38)*(其他调用!AV38+其他调用!BC38*$D$50*$D$51)*6</f>
        <v>1065.847816507131</v>
      </c>
      <c r="AB38" s="14">
        <f>求节点(F$10:F$48,U$10:U$48,$W38)*(其他调用!AW38+其他调用!BD38*$D$50*$D$51)*6</f>
        <v>1101.5234574755204</v>
      </c>
      <c r="AC38" s="14">
        <f>[1]节奏总纲!$BJ37</f>
        <v>1.9666666666666697</v>
      </c>
      <c r="AD38" s="14">
        <f>[1]节奏总纲!$BJ37</f>
        <v>1.9666666666666697</v>
      </c>
      <c r="AE38" s="14">
        <f>[1]节奏总纲!$BJ37</f>
        <v>1.9666666666666697</v>
      </c>
      <c r="AF38" s="14">
        <f>[1]节奏总纲!$BJ37</f>
        <v>1.9666666666666697</v>
      </c>
      <c r="AG38" s="14">
        <f>[1]节奏总纲!$BJ37</f>
        <v>1.9666666666666697</v>
      </c>
      <c r="AI38" s="2">
        <v>34</v>
      </c>
      <c r="AJ38" s="2">
        <f>求节点(节奏总纲!$D$4:$D$113,AC$5:AC$104,$AI38)</f>
        <v>2.5428562748072414</v>
      </c>
      <c r="AK38" s="2">
        <f>求节点(节奏总纲!$D$4:$D$113,AD$5:AD$104,$AI38)</f>
        <v>2.5428562748072414</v>
      </c>
      <c r="AL38" s="2">
        <f>求节点(节奏总纲!$D$4:$D$113,AE$5:AE$104,$AI38)</f>
        <v>2.5428562748072414</v>
      </c>
      <c r="AM38" s="2">
        <f>求节点(节奏总纲!$D$4:$D$113,AF$5:AF$104,$AI38)</f>
        <v>2.5428562748072414</v>
      </c>
      <c r="AN38" s="2">
        <f>求节点(节奏总纲!$D$4:$D$113,AG$5:AG$104,$AI38)</f>
        <v>2.5428562748072414</v>
      </c>
    </row>
    <row r="39" spans="2:40" x14ac:dyDescent="0.15">
      <c r="B39" s="2">
        <f>[2]战法升星!$K34</f>
        <v>128.56549059889721</v>
      </c>
      <c r="C39" s="2">
        <f>[2]战法升星!$K79</f>
        <v>128.62542789463421</v>
      </c>
      <c r="D39" s="2">
        <f>[2]战法升星!$K124</f>
        <v>129.09045404756728</v>
      </c>
      <c r="E39" s="2">
        <f>[2]战法升星!$K169</f>
        <v>129.12105302323599</v>
      </c>
      <c r="F39" s="2">
        <f>[2]战法升星!$K214</f>
        <v>129.43528964176323</v>
      </c>
      <c r="G39" s="2">
        <f>[3]武将升星!$AQ33</f>
        <v>1.1399999999999999</v>
      </c>
      <c r="H39" s="2">
        <f>[3]武将升星!$AQ78</f>
        <v>1.1399999999999999</v>
      </c>
      <c r="I39" s="2">
        <f>[3]武将升星!$AQ123</f>
        <v>1.1399999999999999</v>
      </c>
      <c r="J39" s="2">
        <f>[3]武将升星!$AQ168</f>
        <v>1.1399999999999999</v>
      </c>
      <c r="K39" s="2">
        <f>[3]武将升星!$AQ213</f>
        <v>1.1399999999999999</v>
      </c>
      <c r="L39" s="2">
        <f>[2]战法升星!$Z34</f>
        <v>1.5966070111430783</v>
      </c>
      <c r="M39" s="2">
        <f>[2]战法升星!$Z79</f>
        <v>1.6668689262066225</v>
      </c>
      <c r="N39" s="2">
        <f>[2]战法升星!$Z124</f>
        <v>1.72</v>
      </c>
      <c r="O39" s="2">
        <f>[2]战法升星!$Z169</f>
        <v>1.72</v>
      </c>
      <c r="P39" s="2">
        <f>[2]战法升星!$Z214</f>
        <v>1.72</v>
      </c>
      <c r="Q39" s="2">
        <f t="shared" si="0"/>
        <v>0.33156249078001543</v>
      </c>
      <c r="R39" s="2">
        <f t="shared" si="1"/>
        <v>0.33648082483446357</v>
      </c>
      <c r="S39" s="2">
        <f t="shared" si="2"/>
        <v>0.34019999999999995</v>
      </c>
      <c r="T39" s="2">
        <f t="shared" si="3"/>
        <v>0.34019999999999995</v>
      </c>
      <c r="U39" s="2">
        <f t="shared" si="4"/>
        <v>0.34019999999999995</v>
      </c>
      <c r="W39" s="14">
        <v>35</v>
      </c>
      <c r="X39" s="14">
        <f>求节点(B$10:B$48,Q$10:Q$48,$W39)*(其他调用!AS39+其他调用!AZ39*$D$50*$D$51)*6</f>
        <v>844.68896044188421</v>
      </c>
      <c r="Y39" s="14">
        <f>求节点(C$10:C$48,R$10:R$48,$W39)*(其他调用!AT39+其他调用!BA39*$D$50*$D$51)*6</f>
        <v>896.74489440334514</v>
      </c>
      <c r="Z39" s="14">
        <f>求节点(D$10:D$48,S$10:S$48,$W39)*(其他调用!AU39+其他调用!BB39*$D$50*$D$51)*6</f>
        <v>975.52328430888974</v>
      </c>
      <c r="AA39" s="14">
        <f>求节点(E$10:E$48,T$10:T$48,$W39)*(其他调用!AV39+其他调用!BC39*$D$50*$D$51)*6</f>
        <v>1098.9140574665553</v>
      </c>
      <c r="AB39" s="14">
        <f>求节点(F$10:F$48,U$10:U$48,$W39)*(其他调用!AW39+其他调用!BD39*$D$50*$D$51)*6</f>
        <v>1136.7040416520324</v>
      </c>
      <c r="AC39" s="14">
        <f>[1]节奏总纲!$BJ38</f>
        <v>2.0000000000000031</v>
      </c>
      <c r="AD39" s="14">
        <f>[1]节奏总纲!$BJ38</f>
        <v>2.0000000000000031</v>
      </c>
      <c r="AE39" s="14">
        <f>[1]节奏总纲!$BJ38</f>
        <v>2.0000000000000031</v>
      </c>
      <c r="AF39" s="14">
        <f>[1]节奏总纲!$BJ38</f>
        <v>2.0000000000000031</v>
      </c>
      <c r="AG39" s="14">
        <f>[1]节奏总纲!$BJ38</f>
        <v>2.0000000000000031</v>
      </c>
      <c r="AI39" s="2">
        <v>35</v>
      </c>
      <c r="AJ39" s="2">
        <f>求节点(节奏总纲!$D$4:$D$113,AC$5:AC$104,$AI39)</f>
        <v>2.556397621871175</v>
      </c>
      <c r="AK39" s="2">
        <f>求节点(节奏总纲!$D$4:$D$113,AD$5:AD$104,$AI39)</f>
        <v>2.556397621871175</v>
      </c>
      <c r="AL39" s="2">
        <f>求节点(节奏总纲!$D$4:$D$113,AE$5:AE$104,$AI39)</f>
        <v>2.556397621871175</v>
      </c>
      <c r="AM39" s="2">
        <f>求节点(节奏总纲!$D$4:$D$113,AF$5:AF$104,$AI39)</f>
        <v>2.556397621871175</v>
      </c>
      <c r="AN39" s="2">
        <f>求节点(节奏总纲!$D$4:$D$113,AG$5:AG$104,$AI39)</f>
        <v>2.556397621871175</v>
      </c>
    </row>
    <row r="40" spans="2:40" x14ac:dyDescent="0.15">
      <c r="B40" s="2">
        <f>[2]战法升星!$K35</f>
        <v>132.07530828871487</v>
      </c>
      <c r="C40" s="2">
        <f>[2]战法升星!$K80</f>
        <v>132.09902390525281</v>
      </c>
      <c r="D40" s="2">
        <f>[2]战法升星!$K125</f>
        <v>132.53488795708068</v>
      </c>
      <c r="E40" s="2">
        <f>[2]战法升星!$K170</f>
        <v>132.61179169042359</v>
      </c>
      <c r="F40" s="2">
        <f>[2]战法升星!$K215</f>
        <v>133.03192104200832</v>
      </c>
      <c r="G40" s="2">
        <f>[3]武将升星!$AQ34</f>
        <v>1.1399999999999999</v>
      </c>
      <c r="H40" s="2">
        <f>[3]武将升星!$AQ79</f>
        <v>1.1399999999999999</v>
      </c>
      <c r="I40" s="2">
        <f>[3]武将升星!$AQ124</f>
        <v>1.1399999999999999</v>
      </c>
      <c r="J40" s="2">
        <f>[3]武将升星!$AQ169</f>
        <v>1.1399999999999999</v>
      </c>
      <c r="K40" s="2">
        <f>[3]武将升星!$AQ214</f>
        <v>1.1399999999999999</v>
      </c>
      <c r="L40" s="2">
        <f>[2]战法升星!$Z35</f>
        <v>1.6062366413106357</v>
      </c>
      <c r="M40" s="2">
        <f>[2]战法升星!$Z80</f>
        <v>1.6814143828253041</v>
      </c>
      <c r="N40" s="2">
        <f>[2]战法升星!$Z125</f>
        <v>1.72</v>
      </c>
      <c r="O40" s="2">
        <f>[2]战法升星!$Z170</f>
        <v>1.72</v>
      </c>
      <c r="P40" s="2">
        <f>[2]战法升星!$Z215</f>
        <v>1.72</v>
      </c>
      <c r="Q40" s="2">
        <f t="shared" si="0"/>
        <v>0.33223656489174447</v>
      </c>
      <c r="R40" s="2">
        <f t="shared" si="1"/>
        <v>0.33749900679777123</v>
      </c>
      <c r="S40" s="2">
        <f t="shared" si="2"/>
        <v>0.34019999999999995</v>
      </c>
      <c r="T40" s="2">
        <f t="shared" si="3"/>
        <v>0.34019999999999995</v>
      </c>
      <c r="U40" s="2">
        <f t="shared" si="4"/>
        <v>0.34019999999999995</v>
      </c>
      <c r="W40" s="14">
        <v>36</v>
      </c>
      <c r="X40" s="14">
        <f>求节点(B$10:B$48,Q$10:Q$48,$W40)*(其他调用!AS40+其他调用!AZ40*$D$50*$D$51)*6</f>
        <v>880.96049764609779</v>
      </c>
      <c r="Y40" s="14">
        <f>求节点(C$10:C$48,R$10:R$48,$W40)*(其他调用!AT40+其他调用!BA40*$D$50*$D$51)*6</f>
        <v>930.14963730565569</v>
      </c>
      <c r="Z40" s="14">
        <f>求节点(D$10:D$48,S$10:S$48,$W40)*(其他调用!AU40+其他调用!BB40*$D$50*$D$51)*6</f>
        <v>1003.0422971207552</v>
      </c>
      <c r="AA40" s="14">
        <f>求节点(E$10:E$48,T$10:T$48,$W40)*(其他调用!AV40+其他调用!BC40*$D$50*$D$51)*6</f>
        <v>1132.7354132728483</v>
      </c>
      <c r="AB40" s="14">
        <f>求节点(F$10:F$48,U$10:U$48,$W40)*(其他调用!AW40+其他调用!BD40*$D$50*$D$51)*6</f>
        <v>1172.2978592859449</v>
      </c>
      <c r="AC40" s="14">
        <f>[1]节奏总纲!$BJ39</f>
        <v>2.0333333333333363</v>
      </c>
      <c r="AD40" s="14">
        <f>[1]节奏总纲!$BJ39</f>
        <v>2.0333333333333363</v>
      </c>
      <c r="AE40" s="14">
        <f>[1]节奏总纲!$BJ39</f>
        <v>2.0333333333333363</v>
      </c>
      <c r="AF40" s="14">
        <f>[1]节奏总纲!$BJ39</f>
        <v>2.0333333333333363</v>
      </c>
      <c r="AG40" s="14">
        <f>[1]节奏总纲!$BJ39</f>
        <v>2.0333333333333363</v>
      </c>
      <c r="AI40" s="2">
        <v>36</v>
      </c>
      <c r="AJ40" s="2">
        <f>求节点(节奏总纲!$D$4:$D$113,AC$5:AC$104,$AI40)</f>
        <v>2.5697198326414035</v>
      </c>
      <c r="AK40" s="2">
        <f>求节点(节奏总纲!$D$4:$D$113,AD$5:AD$104,$AI40)</f>
        <v>2.5697198326414035</v>
      </c>
      <c r="AL40" s="2">
        <f>求节点(节奏总纲!$D$4:$D$113,AE$5:AE$104,$AI40)</f>
        <v>2.5697198326414035</v>
      </c>
      <c r="AM40" s="2">
        <f>求节点(节奏总纲!$D$4:$D$113,AF$5:AF$104,$AI40)</f>
        <v>2.5697198326414035</v>
      </c>
      <c r="AN40" s="2">
        <f>求节点(节奏总纲!$D$4:$D$113,AG$5:AG$104,$AI40)</f>
        <v>2.5697198326414035</v>
      </c>
    </row>
    <row r="41" spans="2:40" x14ac:dyDescent="0.15">
      <c r="B41" s="2">
        <f>[2]战法升星!$K36</f>
        <v>135.54811255008914</v>
      </c>
      <c r="C41" s="2">
        <f>[2]战法升星!$K81</f>
        <v>135.61521761503846</v>
      </c>
      <c r="D41" s="2">
        <f>[2]战法升星!$K126</f>
        <v>136.07141427598387</v>
      </c>
      <c r="E41" s="2">
        <f>[2]战法升星!$K171</f>
        <v>136.12035534953262</v>
      </c>
      <c r="F41" s="2">
        <f>[2]战法升星!$K216</f>
        <v>136.45508882162355</v>
      </c>
      <c r="G41" s="2">
        <f>[3]武将升星!$AQ35</f>
        <v>1.1399999999999999</v>
      </c>
      <c r="H41" s="2">
        <f>[3]武将升星!$AQ80</f>
        <v>1.1399999999999999</v>
      </c>
      <c r="I41" s="2">
        <f>[3]武将升星!$AQ125</f>
        <v>1.1399999999999999</v>
      </c>
      <c r="J41" s="2">
        <f>[3]武将升星!$AQ170</f>
        <v>1.1399999999999999</v>
      </c>
      <c r="K41" s="2">
        <f>[3]武将升星!$AQ215</f>
        <v>1.1399999999999999</v>
      </c>
      <c r="L41" s="2">
        <f>[2]战法升星!$Z36</f>
        <v>1.6157647204408905</v>
      </c>
      <c r="M41" s="2">
        <f>[2]战法升星!$Z81</f>
        <v>1.6961382145294577</v>
      </c>
      <c r="N41" s="2">
        <f>[2]战法升星!$Z126</f>
        <v>1.72</v>
      </c>
      <c r="O41" s="2">
        <f>[2]战法升星!$Z171</f>
        <v>1.72</v>
      </c>
      <c r="P41" s="2">
        <f>[2]战法升星!$Z216</f>
        <v>1.72</v>
      </c>
      <c r="Q41" s="2">
        <f t="shared" si="0"/>
        <v>0.33290353043086229</v>
      </c>
      <c r="R41" s="2">
        <f t="shared" si="1"/>
        <v>0.33852967501706199</v>
      </c>
      <c r="S41" s="2">
        <f t="shared" si="2"/>
        <v>0.34019999999999995</v>
      </c>
      <c r="T41" s="2">
        <f t="shared" si="3"/>
        <v>0.34019999999999995</v>
      </c>
      <c r="U41" s="2">
        <f t="shared" si="4"/>
        <v>0.34019999999999995</v>
      </c>
      <c r="W41" s="14">
        <v>37</v>
      </c>
      <c r="X41" s="14">
        <f>求节点(B$10:B$48,Q$10:Q$48,$W41)*(其他调用!AS41+其他调用!AZ41*$D$50*$D$51)*6</f>
        <v>915.1115960261576</v>
      </c>
      <c r="Y41" s="14">
        <f>求节点(C$10:C$48,R$10:R$48,$W41)*(其他调用!AT41+其他调用!BA41*$D$50*$D$51)*6</f>
        <v>964.65038745005677</v>
      </c>
      <c r="Z41" s="14">
        <f>求节点(D$10:D$48,S$10:S$48,$W41)*(其他调用!AU41+其他调用!BB41*$D$50*$D$51)*6</f>
        <v>1031.2393853405658</v>
      </c>
      <c r="AA41" s="14">
        <f>求节点(E$10:E$48,T$10:T$48,$W41)*(其他调用!AV41+其他调用!BC41*$D$50*$D$51)*6</f>
        <v>1167.3526127003981</v>
      </c>
      <c r="AB41" s="14">
        <f>求节点(F$10:F$48,U$10:U$48,$W41)*(其他调用!AW41+其他调用!BD41*$D$50*$D$51)*6</f>
        <v>1208.2877129621447</v>
      </c>
      <c r="AC41" s="14">
        <f>[1]节奏总纲!$BJ40</f>
        <v>2.0666666666666695</v>
      </c>
      <c r="AD41" s="14">
        <f>[1]节奏总纲!$BJ40</f>
        <v>2.0666666666666695</v>
      </c>
      <c r="AE41" s="14">
        <f>[1]节奏总纲!$BJ40</f>
        <v>2.0666666666666695</v>
      </c>
      <c r="AF41" s="14">
        <f>[1]节奏总纲!$BJ40</f>
        <v>2.0666666666666695</v>
      </c>
      <c r="AG41" s="14">
        <f>[1]节奏总纲!$BJ40</f>
        <v>2.0666666666666695</v>
      </c>
      <c r="AI41" s="2">
        <v>37</v>
      </c>
      <c r="AJ41" s="2">
        <f>求节点(节奏总纲!$D$4:$D$113,AC$5:AC$104,$AI41)</f>
        <v>2.5823543562019036</v>
      </c>
      <c r="AK41" s="2">
        <f>求节点(节奏总纲!$D$4:$D$113,AD$5:AD$104,$AI41)</f>
        <v>2.5823543562019036</v>
      </c>
      <c r="AL41" s="2">
        <f>求节点(节奏总纲!$D$4:$D$113,AE$5:AE$104,$AI41)</f>
        <v>2.5823543562019036</v>
      </c>
      <c r="AM41" s="2">
        <f>求节点(节奏总纲!$D$4:$D$113,AF$5:AF$104,$AI41)</f>
        <v>2.5823543562019036</v>
      </c>
      <c r="AN41" s="2">
        <f>求节点(节奏总纲!$D$4:$D$113,AG$5:AG$104,$AI41)</f>
        <v>2.5823543562019036</v>
      </c>
    </row>
    <row r="42" spans="2:40" x14ac:dyDescent="0.15">
      <c r="B42" s="2">
        <f>[2]战法升星!$K37</f>
        <v>139.0493876099641</v>
      </c>
      <c r="C42" s="2">
        <f>[2]战法升星!$K82</f>
        <v>139.08794136138388</v>
      </c>
      <c r="D42" s="2">
        <f>[2]战法升星!$K127</f>
        <v>139.56936219880694</v>
      </c>
      <c r="E42" s="2">
        <f>[2]战法升星!$K172</f>
        <v>139.6793621861803</v>
      </c>
      <c r="F42" s="2">
        <f>[2]战法升星!$K217</f>
        <v>140.08772492574531</v>
      </c>
      <c r="G42" s="2">
        <f>[3]武将升星!$AQ36</f>
        <v>1.1399999999999999</v>
      </c>
      <c r="H42" s="2">
        <f>[3]武将升星!$AQ81</f>
        <v>1.1399999999999999</v>
      </c>
      <c r="I42" s="2">
        <f>[3]武将升星!$AQ126</f>
        <v>1.1399999999999999</v>
      </c>
      <c r="J42" s="2">
        <f>[3]武将升星!$AQ171</f>
        <v>1.1399999999999999</v>
      </c>
      <c r="K42" s="2">
        <f>[3]武将升星!$AQ216</f>
        <v>1.1399999999999999</v>
      </c>
      <c r="L42" s="2">
        <f>[2]战法升星!$Z37</f>
        <v>1.625370912819287</v>
      </c>
      <c r="M42" s="2">
        <f>[2]战法升星!$Z82</f>
        <v>1.7106800185984163</v>
      </c>
      <c r="N42" s="2">
        <f>[2]战法升星!$Z127</f>
        <v>1.72</v>
      </c>
      <c r="O42" s="2">
        <f>[2]战法升星!$Z172</f>
        <v>1.72</v>
      </c>
      <c r="P42" s="2">
        <f>[2]战法升星!$Z217</f>
        <v>1.72</v>
      </c>
      <c r="Q42" s="2">
        <f t="shared" si="0"/>
        <v>0.33357596389735006</v>
      </c>
      <c r="R42" s="2">
        <f t="shared" si="1"/>
        <v>0.3395476013018891</v>
      </c>
      <c r="S42" s="2">
        <f t="shared" si="2"/>
        <v>0.34019999999999995</v>
      </c>
      <c r="T42" s="2">
        <f t="shared" si="3"/>
        <v>0.34019999999999995</v>
      </c>
      <c r="U42" s="2">
        <f t="shared" si="4"/>
        <v>0.34019999999999995</v>
      </c>
      <c r="W42" s="14">
        <v>38</v>
      </c>
      <c r="X42" s="14">
        <f>求节点(B$10:B$48,Q$10:Q$48,$W42)*(其他调用!AS42+其他调用!AZ42*$D$50*$D$51)*6</f>
        <v>950.25079452297814</v>
      </c>
      <c r="Y42" s="14">
        <f>求节点(C$10:C$48,R$10:R$48,$W42)*(其他调用!AT42+其他调用!BA42*$D$50*$D$51)*6</f>
        <v>999.52114585375432</v>
      </c>
      <c r="Z42" s="14">
        <f>求节点(D$10:D$48,S$10:S$48,$W42)*(其他调用!AU42+其他调用!BB42*$D$50*$D$51)*6</f>
        <v>1061.9946436980656</v>
      </c>
      <c r="AA42" s="14">
        <f>求节点(E$10:E$48,T$10:T$48,$W42)*(其他调用!AV42+其他调用!BC42*$D$50*$D$51)*6</f>
        <v>1202.8044203396084</v>
      </c>
      <c r="AB42" s="14">
        <f>求节点(F$10:F$48,U$10:U$48,$W42)*(其他调用!AW42+其他调用!BD42*$D$50*$D$51)*6</f>
        <v>1245.1561523277724</v>
      </c>
      <c r="AC42" s="14">
        <f>[1]节奏总纲!$BJ41</f>
        <v>2.1000000000000028</v>
      </c>
      <c r="AD42" s="14">
        <f>[1]节奏总纲!$BJ41</f>
        <v>2.1000000000000028</v>
      </c>
      <c r="AE42" s="14">
        <f>[1]节奏总纲!$BJ41</f>
        <v>2.1000000000000028</v>
      </c>
      <c r="AF42" s="14">
        <f>[1]节奏总纲!$BJ41</f>
        <v>2.1000000000000028</v>
      </c>
      <c r="AG42" s="14">
        <f>[1]节奏总纲!$BJ41</f>
        <v>2.1000000000000028</v>
      </c>
      <c r="AI42" s="2">
        <v>38</v>
      </c>
      <c r="AJ42" s="2">
        <f>求节点(节奏总纲!$D$4:$D$113,AC$5:AC$104,$AI42)</f>
        <v>2.5949888797624037</v>
      </c>
      <c r="AK42" s="2">
        <f>求节点(节奏总纲!$D$4:$D$113,AD$5:AD$104,$AI42)</f>
        <v>2.5949888797624037</v>
      </c>
      <c r="AL42" s="2">
        <f>求节点(节奏总纲!$D$4:$D$113,AE$5:AE$104,$AI42)</f>
        <v>2.5949888797624037</v>
      </c>
      <c r="AM42" s="2">
        <f>求节点(节奏总纲!$D$4:$D$113,AF$5:AF$104,$AI42)</f>
        <v>2.5949888797624037</v>
      </c>
      <c r="AN42" s="2">
        <f>求节点(节奏总纲!$D$4:$D$113,AG$5:AG$104,$AI42)</f>
        <v>2.5949888797624037</v>
      </c>
    </row>
    <row r="43" spans="2:40" x14ac:dyDescent="0.15">
      <c r="B43" s="2">
        <f>[2]战法升星!$K38</f>
        <v>142.53355653582128</v>
      </c>
      <c r="C43" s="2">
        <f>[2]战法升星!$K83</f>
        <v>142.60670974426387</v>
      </c>
      <c r="D43" s="2">
        <f>[2]战法升星!$K128</f>
        <v>143.08413721822018</v>
      </c>
      <c r="E43" s="2">
        <f>[2]战法升星!$K173</f>
        <v>143.14123736077869</v>
      </c>
      <c r="F43" s="2">
        <f>[2]战法升星!$K218</f>
        <v>143.51956656528549</v>
      </c>
      <c r="G43" s="2">
        <f>[3]武将升星!$AQ37</f>
        <v>1.1399999999999999</v>
      </c>
      <c r="H43" s="2">
        <f>[3]武将升星!$AQ82</f>
        <v>1.1399999999999999</v>
      </c>
      <c r="I43" s="2">
        <f>[3]武将升星!$AQ127</f>
        <v>1.1399999999999999</v>
      </c>
      <c r="J43" s="2">
        <f>[3]武将升星!$AQ172</f>
        <v>1.1399999999999999</v>
      </c>
      <c r="K43" s="2">
        <f>[3]武将升星!$AQ217</f>
        <v>1.1399999999999999</v>
      </c>
      <c r="L43" s="2">
        <f>[2]战法升星!$Z38</f>
        <v>1.6349301723485314</v>
      </c>
      <c r="M43" s="2">
        <f>[2]战法升星!$Z83</f>
        <v>1.72</v>
      </c>
      <c r="N43" s="2">
        <f>[2]战法升星!$Z128</f>
        <v>1.72</v>
      </c>
      <c r="O43" s="2">
        <f>[2]战法升星!$Z173</f>
        <v>1.72</v>
      </c>
      <c r="P43" s="2">
        <f>[2]战法升星!$Z218</f>
        <v>1.72</v>
      </c>
      <c r="Q43" s="2">
        <f t="shared" si="0"/>
        <v>0.33424511206439717</v>
      </c>
      <c r="R43" s="2">
        <f t="shared" si="1"/>
        <v>0.34019999999999995</v>
      </c>
      <c r="S43" s="2">
        <f t="shared" si="2"/>
        <v>0.34019999999999995</v>
      </c>
      <c r="T43" s="2">
        <f t="shared" si="3"/>
        <v>0.34019999999999995</v>
      </c>
      <c r="U43" s="2">
        <f t="shared" si="4"/>
        <v>0.34019999999999995</v>
      </c>
      <c r="W43" s="14">
        <v>39</v>
      </c>
      <c r="X43" s="14">
        <f>求节点(B$10:B$48,Q$10:Q$48,$W43)*(其他调用!AS43+其他调用!AZ43*$D$50*$D$51)*6</f>
        <v>986.4150682436964</v>
      </c>
      <c r="Y43" s="14">
        <f>求节点(C$10:C$48,R$10:R$48,$W43)*(其他调用!AT43+其他调用!BA43*$D$50*$D$51)*6</f>
        <v>1032.5655917151084</v>
      </c>
      <c r="Z43" s="14">
        <f>求节点(D$10:D$48,S$10:S$48,$W43)*(其他调用!AU43+其他调用!BB43*$D$50*$D$51)*6</f>
        <v>1093.8013684869147</v>
      </c>
      <c r="AA43" s="14">
        <f>求节点(E$10:E$48,T$10:T$48,$W43)*(其他调用!AV43+其他调用!BC43*$D$50*$D$51)*6</f>
        <v>1239.2147448013832</v>
      </c>
      <c r="AB43" s="14">
        <f>求节点(F$10:F$48,U$10:U$48,$W43)*(其他调用!AW43+其他调用!BD43*$D$50*$D$51)*6</f>
        <v>1282.9992923866489</v>
      </c>
      <c r="AC43" s="14">
        <f>[1]节奏总纲!$BJ42</f>
        <v>2.133333333333336</v>
      </c>
      <c r="AD43" s="14">
        <f>[1]节奏总纲!$BJ42</f>
        <v>2.133333333333336</v>
      </c>
      <c r="AE43" s="14">
        <f>[1]节奏总纲!$BJ42</f>
        <v>2.133333333333336</v>
      </c>
      <c r="AF43" s="14">
        <f>[1]节奏总纲!$BJ42</f>
        <v>2.133333333333336</v>
      </c>
      <c r="AG43" s="14">
        <f>[1]节奏总纲!$BJ42</f>
        <v>2.133333333333336</v>
      </c>
      <c r="AI43" s="2">
        <v>39</v>
      </c>
      <c r="AJ43" s="2">
        <f>求节点(节奏总纲!$D$4:$D$113,AC$5:AC$104,$AI43)</f>
        <v>2.6071128868080606</v>
      </c>
      <c r="AK43" s="2">
        <f>求节点(节奏总纲!$D$4:$D$113,AD$5:AD$104,$AI43)</f>
        <v>2.6071128868080606</v>
      </c>
      <c r="AL43" s="2">
        <f>求节点(节奏总纲!$D$4:$D$113,AE$5:AE$104,$AI43)</f>
        <v>2.6071128868080606</v>
      </c>
      <c r="AM43" s="2">
        <f>求节点(节奏总纲!$D$4:$D$113,AF$5:AF$104,$AI43)</f>
        <v>2.6071128868080606</v>
      </c>
      <c r="AN43" s="2">
        <f>求节点(节奏总纲!$D$4:$D$113,AG$5:AG$104,$AI43)</f>
        <v>2.6071128868080606</v>
      </c>
    </row>
    <row r="44" spans="2:40" x14ac:dyDescent="0.15">
      <c r="B44" s="2">
        <f>[2]战法升星!$K39</f>
        <v>146.02664953963369</v>
      </c>
      <c r="C44" s="2">
        <f>[2]战法升星!$K84</f>
        <v>146.07830147206653</v>
      </c>
      <c r="D44" s="2">
        <f>[2]战法升星!$K129</f>
        <v>146.62302564097175</v>
      </c>
      <c r="E44" s="2">
        <f>[2]战法升星!$K174</f>
        <v>146.75578521325724</v>
      </c>
      <c r="F44" s="2">
        <f>[2]战法升星!$K219</f>
        <v>147.17868266109423</v>
      </c>
      <c r="G44" s="2">
        <f>[3]武将升星!$AQ38</f>
        <v>1.1399999999999999</v>
      </c>
      <c r="H44" s="2">
        <f>[3]武将升星!$AQ83</f>
        <v>1.1399999999999999</v>
      </c>
      <c r="I44" s="2">
        <f>[3]武将升星!$AQ128</f>
        <v>1.1399999999999999</v>
      </c>
      <c r="J44" s="2">
        <f>[3]武将升星!$AQ173</f>
        <v>1.1399999999999999</v>
      </c>
      <c r="K44" s="2">
        <f>[3]武将升星!$AQ218</f>
        <v>1.1399999999999999</v>
      </c>
      <c r="L44" s="2">
        <f>[2]战法升星!$Z39</f>
        <v>1.6445139162179581</v>
      </c>
      <c r="M44" s="2">
        <f>[2]战法升星!$Z84</f>
        <v>1.72</v>
      </c>
      <c r="N44" s="2">
        <f>[2]战法升星!$Z129</f>
        <v>1.72</v>
      </c>
      <c r="O44" s="2">
        <f>[2]战法升星!$Z174</f>
        <v>1.72</v>
      </c>
      <c r="P44" s="2">
        <f>[2]战法升星!$Z219</f>
        <v>1.72</v>
      </c>
      <c r="Q44" s="2">
        <f t="shared" si="0"/>
        <v>0.33491597413525703</v>
      </c>
      <c r="R44" s="2">
        <f t="shared" si="1"/>
        <v>0.34019999999999995</v>
      </c>
      <c r="S44" s="2">
        <f t="shared" si="2"/>
        <v>0.34019999999999995</v>
      </c>
      <c r="T44" s="2">
        <f t="shared" si="3"/>
        <v>0.34019999999999995</v>
      </c>
      <c r="U44" s="2">
        <f t="shared" si="4"/>
        <v>0.34019999999999995</v>
      </c>
      <c r="W44" s="14">
        <v>40</v>
      </c>
      <c r="X44" s="14">
        <f>求节点(B$10:B$48,Q$10:Q$48,$W44)*(其他调用!AS44+其他调用!AZ44*$D$50*$D$51)*6</f>
        <v>1023.6416588212269</v>
      </c>
      <c r="Y44" s="14">
        <f>求节点(C$10:C$48,R$10:R$48,$W44)*(其他调用!AT44+其他调用!BA44*$D$50*$D$51)*6</f>
        <v>1063.0368418822991</v>
      </c>
      <c r="Z44" s="14">
        <f>求节点(D$10:D$48,S$10:S$48,$W44)*(其他调用!AU44+其他调用!BB44*$D$50*$D$51)*6</f>
        <v>1126.2996390473982</v>
      </c>
      <c r="AA44" s="14">
        <f>求节点(E$10:E$48,T$10:T$48,$W44)*(其他调用!AV44+其他调用!BC44*$D$50*$D$51)*6</f>
        <v>1275.592267281821</v>
      </c>
      <c r="AB44" s="14">
        <f>求节点(F$10:F$48,U$10:U$48,$W44)*(其他调用!AW44+其他调用!BD44*$D$50*$D$51)*6</f>
        <v>1321.2222353060397</v>
      </c>
      <c r="AC44" s="14">
        <f>[1]节奏总纲!$BJ43</f>
        <v>2.1666666666666692</v>
      </c>
      <c r="AD44" s="14">
        <f>[1]节奏总纲!$BJ43</f>
        <v>2.1666666666666692</v>
      </c>
      <c r="AE44" s="14">
        <f>[1]节奏总纲!$BJ43</f>
        <v>2.1666666666666692</v>
      </c>
      <c r="AF44" s="14">
        <f>[1]节奏总纲!$BJ43</f>
        <v>2.1666666666666692</v>
      </c>
      <c r="AG44" s="14">
        <f>[1]节奏总纲!$BJ43</f>
        <v>2.1666666666666692</v>
      </c>
      <c r="AI44" s="2">
        <v>40</v>
      </c>
      <c r="AJ44" s="2">
        <f>求节点(节奏总纲!$D$4:$D$113,AC$5:AC$104,$AI44)</f>
        <v>2.6189013141223558</v>
      </c>
      <c r="AK44" s="2">
        <f>求节点(节奏总纲!$D$4:$D$113,AD$5:AD$104,$AI44)</f>
        <v>2.6189013141223558</v>
      </c>
      <c r="AL44" s="2">
        <f>求节点(节奏总纲!$D$4:$D$113,AE$5:AE$104,$AI44)</f>
        <v>2.6189013141223558</v>
      </c>
      <c r="AM44" s="2">
        <f>求节点(节奏总纲!$D$4:$D$113,AF$5:AF$104,$AI44)</f>
        <v>2.6189013141223558</v>
      </c>
      <c r="AN44" s="2">
        <f>求节点(节奏总纲!$D$4:$D$113,AG$5:AG$104,$AI44)</f>
        <v>2.6189013141223558</v>
      </c>
    </row>
    <row r="45" spans="2:40" x14ac:dyDescent="0.15">
      <c r="B45" s="2">
        <f>[2]战法升星!$K40</f>
        <v>149.52287096243165</v>
      </c>
      <c r="C45" s="2">
        <f>[2]战法升星!$K85</f>
        <v>149.61701338734093</v>
      </c>
      <c r="D45" s="2">
        <f>[2]战法升星!$K130</f>
        <v>150.12999034316616</v>
      </c>
      <c r="E45" s="2">
        <f>[2]战法升星!$K175</f>
        <v>150.21349802228445</v>
      </c>
      <c r="F45" s="2">
        <f>[2]战法升星!$K220</f>
        <v>150.49637054967232</v>
      </c>
      <c r="G45" s="2">
        <f>[3]武将升星!$AQ39</f>
        <v>1.1399999999999999</v>
      </c>
      <c r="H45" s="2">
        <f>[3]武将升星!$AQ84</f>
        <v>1.1399999999999999</v>
      </c>
      <c r="I45" s="2">
        <f>[3]武将升星!$AQ129</f>
        <v>1.1399999999999999</v>
      </c>
      <c r="J45" s="2">
        <f>[3]武将升星!$AQ174</f>
        <v>1.1399999999999999</v>
      </c>
      <c r="K45" s="2">
        <f>[3]武将升星!$AQ219</f>
        <v>1.1399999999999999</v>
      </c>
      <c r="L45" s="2">
        <f>[2]战法升星!$Z40</f>
        <v>1.6541062433018141</v>
      </c>
      <c r="M45" s="2">
        <f>[2]战法升星!$Z85</f>
        <v>1.72</v>
      </c>
      <c r="N45" s="2">
        <f>[2]战法升星!$Z130</f>
        <v>1.72</v>
      </c>
      <c r="O45" s="2">
        <f>[2]战法升星!$Z175</f>
        <v>1.72</v>
      </c>
      <c r="P45" s="2">
        <f>[2]战法升星!$Z220</f>
        <v>1.72</v>
      </c>
      <c r="Q45" s="2">
        <f t="shared" si="0"/>
        <v>0.33558743703112692</v>
      </c>
      <c r="R45" s="2">
        <f t="shared" si="1"/>
        <v>0.34019999999999995</v>
      </c>
      <c r="S45" s="2">
        <f t="shared" si="2"/>
        <v>0.34019999999999995</v>
      </c>
      <c r="T45" s="2">
        <f t="shared" si="3"/>
        <v>0.34019999999999995</v>
      </c>
      <c r="U45" s="2">
        <f t="shared" si="4"/>
        <v>0.34019999999999995</v>
      </c>
      <c r="W45" s="14">
        <v>41</v>
      </c>
      <c r="X45" s="14">
        <f>求节点(B$10:B$48,Q$10:Q$48,$W45)*(其他调用!AS45+其他调用!AZ45*$D$50*$D$51)*6</f>
        <v>1048.2123401977572</v>
      </c>
      <c r="Y45" s="14">
        <f>求节点(C$10:C$48,R$10:R$48,$W45)*(其他调用!AT45+其他调用!BA45*$D$50*$D$51)*6</f>
        <v>1087.4988126254557</v>
      </c>
      <c r="Z45" s="14">
        <f>求节点(D$10:D$48,S$10:S$48,$W45)*(其他调用!AU45+其他调用!BB45*$D$50*$D$51)*6</f>
        <v>1156.6213014529496</v>
      </c>
      <c r="AA45" s="14">
        <f>求节点(E$10:E$48,T$10:T$48,$W45)*(其他调用!AV45+其他调用!BC45*$D$50*$D$51)*6</f>
        <v>1312.7776901425561</v>
      </c>
      <c r="AB45" s="14">
        <f>求节点(F$10:F$48,U$10:U$48,$W45)*(其他调用!AW45+其他调用!BD45*$D$50*$D$51)*6</f>
        <v>1360.0527498722124</v>
      </c>
      <c r="AC45" s="14">
        <f>[1]节奏总纲!$BJ44</f>
        <v>2.2000000000000024</v>
      </c>
      <c r="AD45" s="14">
        <f>[1]节奏总纲!$BJ44</f>
        <v>2.2000000000000024</v>
      </c>
      <c r="AE45" s="14">
        <f>[1]节奏总纲!$BJ44</f>
        <v>2.2000000000000024</v>
      </c>
      <c r="AF45" s="14">
        <f>[1]节奏总纲!$BJ44</f>
        <v>2.2000000000000024</v>
      </c>
      <c r="AG45" s="14">
        <f>[1]节奏总纲!$BJ44</f>
        <v>2.2000000000000024</v>
      </c>
      <c r="AI45" s="2">
        <v>41</v>
      </c>
      <c r="AJ45" s="2">
        <f>求节点(节奏总纲!$D$4:$D$113,AC$5:AC$104,$AI45)</f>
        <v>2.6306897414366515</v>
      </c>
      <c r="AK45" s="2">
        <f>求节点(节奏总纲!$D$4:$D$113,AD$5:AD$104,$AI45)</f>
        <v>2.6306897414366515</v>
      </c>
      <c r="AL45" s="2">
        <f>求节点(节奏总纲!$D$4:$D$113,AE$5:AE$104,$AI45)</f>
        <v>2.6306897414366515</v>
      </c>
      <c r="AM45" s="2">
        <f>求节点(节奏总纲!$D$4:$D$113,AF$5:AF$104,$AI45)</f>
        <v>2.6306897414366515</v>
      </c>
      <c r="AN45" s="2">
        <f>求节点(节奏总纲!$D$4:$D$113,AG$5:AG$104,$AI45)</f>
        <v>2.6306897414366515</v>
      </c>
    </row>
    <row r="46" spans="2:40" x14ac:dyDescent="0.15">
      <c r="B46" s="2">
        <f>[2]战法升星!$K41</f>
        <v>153.02723536432757</v>
      </c>
      <c r="C46" s="2">
        <f>[2]战法升星!$K86</f>
        <v>153.01012120353457</v>
      </c>
      <c r="D46" s="2">
        <f>[2]战法升星!$K131</f>
        <v>153.11600330857166</v>
      </c>
      <c r="E46" s="2">
        <f>[2]战法升星!$K176</f>
        <v>152.32856849044819</v>
      </c>
      <c r="F46" s="2">
        <f>[2]战法升星!$K221</f>
        <v>151.40240982411487</v>
      </c>
      <c r="G46" s="2">
        <f>[3]武将升星!$AQ40</f>
        <v>1.1399999999999999</v>
      </c>
      <c r="H46" s="2">
        <f>[3]武将升星!$AQ85</f>
        <v>1.1399999999999999</v>
      </c>
      <c r="I46" s="2">
        <f>[3]武将升星!$AQ130</f>
        <v>1.1399999999999999</v>
      </c>
      <c r="J46" s="2">
        <f>[3]武将升星!$AQ175</f>
        <v>1.1399999999999999</v>
      </c>
      <c r="K46" s="2">
        <f>[3]武将升星!$AQ220</f>
        <v>1.1399999999999999</v>
      </c>
      <c r="L46" s="2">
        <f>[2]战法升星!$Z41</f>
        <v>1.6637209116820297</v>
      </c>
      <c r="M46" s="2">
        <f>[2]战法升星!$Z86</f>
        <v>1.72</v>
      </c>
      <c r="N46" s="2">
        <f>[2]战法升星!$Z131</f>
        <v>1.72</v>
      </c>
      <c r="O46" s="2">
        <f>[2]战法升星!$Z176</f>
        <v>1.72</v>
      </c>
      <c r="P46" s="2">
        <f>[2]战法升星!$Z221</f>
        <v>1.72</v>
      </c>
      <c r="Q46" s="2">
        <f t="shared" si="0"/>
        <v>0.33626046381774205</v>
      </c>
      <c r="R46" s="2">
        <f t="shared" si="1"/>
        <v>0.34019999999999995</v>
      </c>
      <c r="S46" s="2">
        <f t="shared" si="2"/>
        <v>0.34019999999999995</v>
      </c>
      <c r="T46" s="2">
        <f t="shared" si="3"/>
        <v>0.34019999999999995</v>
      </c>
      <c r="U46" s="2">
        <f t="shared" si="4"/>
        <v>0.34019999999999995</v>
      </c>
      <c r="W46" s="14">
        <v>42</v>
      </c>
      <c r="X46" s="14">
        <f>求节点(B$10:B$48,Q$10:Q$48,$W46)*(其他调用!AS46+其他调用!AZ46*$D$50*$D$51)*6</f>
        <v>1074.8421154735863</v>
      </c>
      <c r="Y46" s="14">
        <f>求节点(C$10:C$48,R$10:R$48,$W46)*(其他调用!AT46+其他调用!BA46*$D$50*$D$51)*6</f>
        <v>1112.6855073236725</v>
      </c>
      <c r="Z46" s="14">
        <f>求节点(D$10:D$48,S$10:S$48,$W46)*(其他调用!AU46+其他调用!BB46*$D$50*$D$51)*6</f>
        <v>1186.1644747870002</v>
      </c>
      <c r="AA46" s="14">
        <f>求节点(E$10:E$48,T$10:T$48,$W46)*(其他调用!AV46+其他调用!BC46*$D$50*$D$51)*6</f>
        <v>1353.200970841033</v>
      </c>
      <c r="AB46" s="14">
        <f>求节点(F$10:F$48,U$10:U$48,$W46)*(其他调用!AW46+其他调用!BD46*$D$50*$D$51)*6</f>
        <v>1398.3005528775573</v>
      </c>
      <c r="AC46" s="14">
        <f>[1]节奏总纲!$BJ45</f>
        <v>2.2333333333333356</v>
      </c>
      <c r="AD46" s="14">
        <f>[1]节奏总纲!$BJ45</f>
        <v>2.2333333333333356</v>
      </c>
      <c r="AE46" s="14">
        <f>[1]节奏总纲!$BJ45</f>
        <v>2.2333333333333356</v>
      </c>
      <c r="AF46" s="14">
        <f>[1]节奏总纲!$BJ45</f>
        <v>2.2333333333333356</v>
      </c>
      <c r="AG46" s="14">
        <f>[1]节奏总纲!$BJ45</f>
        <v>2.2333333333333356</v>
      </c>
      <c r="AI46" s="2">
        <v>42</v>
      </c>
      <c r="AJ46" s="2">
        <f>求节点(节奏总纲!$D$4:$D$113,AC$5:AC$104,$AI46)</f>
        <v>2.6418657664801413</v>
      </c>
      <c r="AK46" s="2">
        <f>求节点(节奏总纲!$D$4:$D$113,AD$5:AD$104,$AI46)</f>
        <v>2.6418657664801413</v>
      </c>
      <c r="AL46" s="2">
        <f>求节点(节奏总纲!$D$4:$D$113,AE$5:AE$104,$AI46)</f>
        <v>2.6418657664801413</v>
      </c>
      <c r="AM46" s="2">
        <f>求节点(节奏总纲!$D$4:$D$113,AF$5:AF$104,$AI46)</f>
        <v>2.6418657664801413</v>
      </c>
      <c r="AN46" s="2">
        <f>求节点(节奏总纲!$D$4:$D$113,AG$5:AG$104,$AI46)</f>
        <v>2.6418657664801413</v>
      </c>
    </row>
    <row r="47" spans="2:40" x14ac:dyDescent="0.15">
      <c r="B47" s="2">
        <f>[2]战法升星!$K42</f>
        <v>156.52008914974525</v>
      </c>
      <c r="C47" s="2">
        <f>[2]战法升星!$K87</f>
        <v>154.95970315183646</v>
      </c>
      <c r="D47" s="2">
        <f>[2]战法升星!$K132</f>
        <v>154.20294442048996</v>
      </c>
      <c r="E47" s="2">
        <f>[2]战法升星!$K177</f>
        <v>153.15627769682186</v>
      </c>
      <c r="F47" s="2">
        <f>[2]战法升星!$K222</f>
        <v>152.00526961196863</v>
      </c>
      <c r="G47" s="2">
        <f>[3]武将升星!$AQ41</f>
        <v>1.1399999999999999</v>
      </c>
      <c r="H47" s="2">
        <f>[3]武将升星!$AQ86</f>
        <v>1.1399999999999999</v>
      </c>
      <c r="I47" s="2">
        <f>[3]武将升星!$AQ131</f>
        <v>1.1399999999999999</v>
      </c>
      <c r="J47" s="2">
        <f>[3]武将升星!$AQ176</f>
        <v>1.1399999999999999</v>
      </c>
      <c r="K47" s="2">
        <f>[3]武将升星!$AQ221</f>
        <v>1.1399999999999999</v>
      </c>
      <c r="L47" s="2">
        <f>[2]战法升星!$Z42</f>
        <v>1.6733039992254375</v>
      </c>
      <c r="M47" s="2">
        <f>[2]战法升星!$Z87</f>
        <v>1.72</v>
      </c>
      <c r="N47" s="2">
        <f>[2]战法升星!$Z132</f>
        <v>1.72</v>
      </c>
      <c r="O47" s="2">
        <f>[2]战法升星!$Z177</f>
        <v>1.72</v>
      </c>
      <c r="P47" s="2">
        <f>[2]战法升星!$Z222</f>
        <v>1.72</v>
      </c>
      <c r="Q47" s="2">
        <f t="shared" si="0"/>
        <v>0.33693127994578054</v>
      </c>
      <c r="R47" s="2">
        <f t="shared" si="1"/>
        <v>0.34019999999999995</v>
      </c>
      <c r="S47" s="2">
        <f t="shared" si="2"/>
        <v>0.34019999999999995</v>
      </c>
      <c r="T47" s="2">
        <f t="shared" si="3"/>
        <v>0.34019999999999995</v>
      </c>
      <c r="U47" s="2">
        <f t="shared" si="4"/>
        <v>0.34019999999999995</v>
      </c>
      <c r="W47" s="14">
        <v>43</v>
      </c>
      <c r="X47" s="14">
        <f>求节点(B$10:B$48,Q$10:Q$48,$W47)*(其他调用!AS47+其他调用!AZ47*$D$50*$D$51)*6</f>
        <v>1104.0729023599038</v>
      </c>
      <c r="Y47" s="14">
        <f>求节点(C$10:C$48,R$10:R$48,$W47)*(其他调用!AT47+其他调用!BA47*$D$50*$D$51)*6</f>
        <v>1138.3435205471703</v>
      </c>
      <c r="Z47" s="14">
        <f>求节点(D$10:D$48,S$10:S$48,$W47)*(其他调用!AU47+其他调用!BB47*$D$50*$D$51)*6</f>
        <v>1216.3238568564552</v>
      </c>
      <c r="AA47" s="14">
        <f>求节点(E$10:E$48,T$10:T$48,$W47)*(其他调用!AV47+其他调用!BC47*$D$50*$D$51)*6</f>
        <v>1394.8155608451534</v>
      </c>
      <c r="AB47" s="14">
        <f>求节点(F$10:F$48,U$10:U$48,$W47)*(其他调用!AW47+其他调用!BD47*$D$50*$D$51)*6</f>
        <v>1441.4821449745225</v>
      </c>
      <c r="AC47" s="14">
        <f>[1]节奏总纲!$BJ46</f>
        <v>2.2666666666666688</v>
      </c>
      <c r="AD47" s="14">
        <f>[1]节奏总纲!$BJ46</f>
        <v>2.2666666666666688</v>
      </c>
      <c r="AE47" s="14">
        <f>[1]节奏总纲!$BJ46</f>
        <v>2.2666666666666688</v>
      </c>
      <c r="AF47" s="14">
        <f>[1]节奏总纲!$BJ46</f>
        <v>2.2666666666666688</v>
      </c>
      <c r="AG47" s="14">
        <f>[1]节奏总纲!$BJ46</f>
        <v>2.2666666666666688</v>
      </c>
      <c r="AI47" s="2">
        <v>43</v>
      </c>
      <c r="AJ47" s="2">
        <f>求节点(节奏总纲!$D$4:$D$113,AC$5:AC$104,$AI47)</f>
        <v>2.6528647580827127</v>
      </c>
      <c r="AK47" s="2">
        <f>求节点(节奏总纲!$D$4:$D$113,AD$5:AD$104,$AI47)</f>
        <v>2.6528647580827127</v>
      </c>
      <c r="AL47" s="2">
        <f>求节点(节奏总纲!$D$4:$D$113,AE$5:AE$104,$AI47)</f>
        <v>2.6528647580827127</v>
      </c>
      <c r="AM47" s="2">
        <f>求节点(节奏总纲!$D$4:$D$113,AF$5:AF$104,$AI47)</f>
        <v>2.6528647580827127</v>
      </c>
      <c r="AN47" s="2">
        <f>求节点(节奏总纲!$D$4:$D$113,AG$5:AG$104,$AI47)</f>
        <v>2.6528647580827127</v>
      </c>
    </row>
    <row r="48" spans="2:40" x14ac:dyDescent="0.15">
      <c r="B48" s="2">
        <f>[2]战法升星!$K43</f>
        <v>159.99202506384199</v>
      </c>
      <c r="C48" s="2">
        <f>[2]战法升星!$K88</f>
        <v>157.63974470288184</v>
      </c>
      <c r="D48" s="2">
        <f>[2]战法升星!$K133</f>
        <v>155.2512378743358</v>
      </c>
      <c r="E48" s="2">
        <f>[2]战法升星!$K178</f>
        <v>153.85863088955028</v>
      </c>
      <c r="F48" s="2">
        <f>[2]战法升星!$K223</f>
        <v>152.38629594951036</v>
      </c>
      <c r="G48" s="2">
        <f>[3]武将升星!$AQ42</f>
        <v>1.1399999999999999</v>
      </c>
      <c r="H48" s="2">
        <f>[3]武将升星!$AQ87</f>
        <v>1.1399999999999999</v>
      </c>
      <c r="I48" s="2">
        <f>[3]武将升星!$AQ132</f>
        <v>1.1399999999999999</v>
      </c>
      <c r="J48" s="2">
        <f>[3]武将升星!$AQ177</f>
        <v>1.1399999999999999</v>
      </c>
      <c r="K48" s="2">
        <f>[3]武将升星!$AQ222</f>
        <v>1.1399999999999999</v>
      </c>
      <c r="L48" s="2">
        <f>[2]战法升星!$Z43</f>
        <v>1.6828296959347584</v>
      </c>
      <c r="M48" s="2">
        <f>[2]战法升星!$Z88</f>
        <v>1.72</v>
      </c>
      <c r="N48" s="2">
        <f>[2]战法升星!$Z133</f>
        <v>1.72</v>
      </c>
      <c r="O48" s="2">
        <f>[2]战法升星!$Z178</f>
        <v>1.72</v>
      </c>
      <c r="P48" s="2">
        <f>[2]战法升星!$Z223</f>
        <v>1.72</v>
      </c>
      <c r="Q48" s="2">
        <f t="shared" si="0"/>
        <v>0.33759807871543307</v>
      </c>
      <c r="R48" s="2">
        <f t="shared" si="1"/>
        <v>0.34019999999999995</v>
      </c>
      <c r="S48" s="2">
        <f t="shared" si="2"/>
        <v>0.34019999999999995</v>
      </c>
      <c r="T48" s="2">
        <f t="shared" si="3"/>
        <v>0.34019999999999995</v>
      </c>
      <c r="U48" s="2">
        <f t="shared" si="4"/>
        <v>0.34019999999999995</v>
      </c>
      <c r="W48" s="14">
        <v>44</v>
      </c>
      <c r="X48" s="14">
        <f>求节点(B$10:B$48,Q$10:Q$48,$W48)*(其他调用!AS48+其他调用!AZ48*$D$50*$D$51)*6</f>
        <v>1134.3280754491723</v>
      </c>
      <c r="Y48" s="14">
        <f>求节点(C$10:C$48,R$10:R$48,$W48)*(其他调用!AT48+其他调用!BA48*$D$50*$D$51)*6</f>
        <v>1167.6478996662781</v>
      </c>
      <c r="Z48" s="14">
        <f>求节点(D$10:D$48,S$10:S$48,$W48)*(其他调用!AU48+其他调用!BB48*$D$50*$D$51)*6</f>
        <v>1247.2683314649089</v>
      </c>
      <c r="AA48" s="14">
        <f>求节点(E$10:E$48,T$10:T$48,$W48)*(其他调用!AV48+其他调用!BC48*$D$50*$D$51)*6</f>
        <v>1442.7154271287548</v>
      </c>
      <c r="AB48" s="14">
        <f>求节点(F$10:F$48,U$10:U$48,$W48)*(其他调用!AW48+其他调用!BD48*$D$50*$D$51)*6</f>
        <v>1487.3747116817667</v>
      </c>
      <c r="AC48" s="14">
        <f>[1]节奏总纲!$BJ47</f>
        <v>2.300000000000002</v>
      </c>
      <c r="AD48" s="14">
        <f>[1]节奏总纲!$BJ47</f>
        <v>2.300000000000002</v>
      </c>
      <c r="AE48" s="14">
        <f>[1]节奏总纲!$BJ47</f>
        <v>2.300000000000002</v>
      </c>
      <c r="AF48" s="14">
        <f>[1]节奏总纲!$BJ47</f>
        <v>2.300000000000002</v>
      </c>
      <c r="AG48" s="14">
        <f>[1]节奏总纲!$BJ47</f>
        <v>2.300000000000002</v>
      </c>
      <c r="AI48" s="2">
        <v>44</v>
      </c>
      <c r="AJ48" s="2">
        <f>求节点(节奏总纲!$D$4:$D$113,AC$5:AC$104,$AI48)</f>
        <v>2.6638637496852842</v>
      </c>
      <c r="AK48" s="2">
        <f>求节点(节奏总纲!$D$4:$D$113,AD$5:AD$104,$AI48)</f>
        <v>2.6638637496852842</v>
      </c>
      <c r="AL48" s="2">
        <f>求节点(节奏总纲!$D$4:$D$113,AE$5:AE$104,$AI48)</f>
        <v>2.6638637496852842</v>
      </c>
      <c r="AM48" s="2">
        <f>求节点(节奏总纲!$D$4:$D$113,AF$5:AF$104,$AI48)</f>
        <v>2.6638637496852842</v>
      </c>
      <c r="AN48" s="2">
        <f>求节点(节奏总纲!$D$4:$D$113,AG$5:AG$104,$AI48)</f>
        <v>2.6638637496852842</v>
      </c>
    </row>
    <row r="49" spans="2:40" x14ac:dyDescent="0.15">
      <c r="W49" s="14">
        <v>45</v>
      </c>
      <c r="X49" s="14">
        <f>求节点(B$10:B$48,Q$10:Q$48,$W49)*(其他调用!AS49+其他调用!AZ49*$D$50*$D$51)*6</f>
        <v>1187.4674279537057</v>
      </c>
      <c r="Y49" s="14">
        <f>求节点(C$10:C$48,R$10:R$48,$W49)*(其他调用!AT49+其他调用!BA49*$D$50*$D$51)*6</f>
        <v>1227.8241492512188</v>
      </c>
      <c r="Z49" s="14">
        <f>求节点(D$10:D$48,S$10:S$48,$W49)*(其他调用!AU49+其他调用!BB49*$D$50*$D$51)*6</f>
        <v>1310.0515350648197</v>
      </c>
      <c r="AA49" s="14">
        <f>求节点(E$10:E$48,T$10:T$48,$W49)*(其他调用!AV49+其他调用!BC49*$D$50*$D$51)*6</f>
        <v>1524.7640341113442</v>
      </c>
      <c r="AB49" s="14">
        <f>求节点(F$10:F$48,U$10:U$48,$W49)*(其他调用!AW49+其他调用!BD49*$D$50*$D$51)*6</f>
        <v>1571.9368535608216</v>
      </c>
      <c r="AC49" s="14">
        <f>[1]节奏总纲!$BJ48</f>
        <v>2.3333333333333353</v>
      </c>
      <c r="AD49" s="14">
        <f>[1]节奏总纲!$BJ48</f>
        <v>2.3333333333333353</v>
      </c>
      <c r="AE49" s="14">
        <f>[1]节奏总纲!$BJ48</f>
        <v>2.3333333333333353</v>
      </c>
      <c r="AF49" s="14">
        <f>[1]节奏总纲!$BJ48</f>
        <v>2.3333333333333353</v>
      </c>
      <c r="AG49" s="14">
        <f>[1]节奏总纲!$BJ48</f>
        <v>2.3333333333333353</v>
      </c>
      <c r="AI49" s="2">
        <v>45</v>
      </c>
      <c r="AJ49" s="2">
        <f>求节点(节奏总纲!$D$4:$D$113,AC$5:AC$104,$AI49)</f>
        <v>2.6743138746893336</v>
      </c>
      <c r="AK49" s="2">
        <f>求节点(节奏总纲!$D$4:$D$113,AD$5:AD$104,$AI49)</f>
        <v>2.6743138746893336</v>
      </c>
      <c r="AL49" s="2">
        <f>求节点(节奏总纲!$D$4:$D$113,AE$5:AE$104,$AI49)</f>
        <v>2.6743138746893336</v>
      </c>
      <c r="AM49" s="2">
        <f>求节点(节奏总纲!$D$4:$D$113,AF$5:AF$104,$AI49)</f>
        <v>2.6743138746893336</v>
      </c>
      <c r="AN49" s="2">
        <f>求节点(节奏总纲!$D$4:$D$113,AG$5:AG$104,$AI49)</f>
        <v>2.6743138746893336</v>
      </c>
    </row>
    <row r="50" spans="2:40" x14ac:dyDescent="0.15">
      <c r="C50" s="28" t="s">
        <v>74</v>
      </c>
      <c r="D50" s="14">
        <v>1</v>
      </c>
      <c r="W50" s="14">
        <v>46</v>
      </c>
      <c r="X50" s="14">
        <f>求节点(B$10:B$48,Q$10:Q$48,$W50)*(其他调用!AS50+其他调用!AZ50*$D$50*$D$51)*6</f>
        <v>1214.9808369690172</v>
      </c>
      <c r="Y50" s="14">
        <f>求节点(C$10:C$48,R$10:R$48,$W50)*(其他调用!AT50+其他调用!BA50*$D$50*$D$51)*6</f>
        <v>1261.1215398651314</v>
      </c>
      <c r="Z50" s="14">
        <f>求节点(D$10:D$48,S$10:S$48,$W50)*(其他调用!AU50+其他调用!BB50*$D$50*$D$51)*6</f>
        <v>1347.8656643190168</v>
      </c>
      <c r="AA50" s="14">
        <f>求节点(E$10:E$48,T$10:T$48,$W50)*(其他调用!AV50+其他调用!BC50*$D$50*$D$51)*6</f>
        <v>1572.9455958755777</v>
      </c>
      <c r="AB50" s="14">
        <f>求节点(F$10:F$48,U$10:U$48,$W50)*(其他调用!AW50+其他调用!BD50*$D$50*$D$51)*6</f>
        <v>1620.6638338028565</v>
      </c>
      <c r="AC50" s="14">
        <f>[1]节奏总纲!$BJ49</f>
        <v>2.3666666666666685</v>
      </c>
      <c r="AD50" s="14">
        <f>[1]节奏总纲!$BJ49</f>
        <v>2.3666666666666685</v>
      </c>
      <c r="AE50" s="14">
        <f>[1]节奏总纲!$BJ49</f>
        <v>2.3666666666666685</v>
      </c>
      <c r="AF50" s="14">
        <f>[1]节奏总纲!$BJ49</f>
        <v>2.3666666666666685</v>
      </c>
      <c r="AG50" s="14">
        <f>[1]节奏总纲!$BJ49</f>
        <v>2.3666666666666685</v>
      </c>
      <c r="AI50" s="2">
        <v>46</v>
      </c>
      <c r="AJ50" s="2">
        <f>求节点(节奏总纲!$D$4:$D$113,AC$5:AC$104,$AI50)</f>
        <v>2.684576296728169</v>
      </c>
      <c r="AK50" s="2">
        <f>求节点(节奏总纲!$D$4:$D$113,AD$5:AD$104,$AI50)</f>
        <v>2.684576296728169</v>
      </c>
      <c r="AL50" s="2">
        <f>求节点(节奏总纲!$D$4:$D$113,AE$5:AE$104,$AI50)</f>
        <v>2.684576296728169</v>
      </c>
      <c r="AM50" s="2">
        <f>求节点(节奏总纲!$D$4:$D$113,AF$5:AF$104,$AI50)</f>
        <v>2.684576296728169</v>
      </c>
      <c r="AN50" s="2">
        <f>求节点(节奏总纲!$D$4:$D$113,AG$5:AG$104,$AI50)</f>
        <v>2.684576296728169</v>
      </c>
    </row>
    <row r="51" spans="2:40" x14ac:dyDescent="0.15">
      <c r="C51" s="28" t="s">
        <v>73</v>
      </c>
      <c r="D51" s="14">
        <v>0.8</v>
      </c>
      <c r="W51" s="14">
        <v>47</v>
      </c>
      <c r="X51" s="14">
        <f>求节点(B$10:B$48,Q$10:Q$48,$W51)*(其他调用!AS51+其他调用!AZ51*$D$50*$D$51)*6</f>
        <v>1243.2028902555071</v>
      </c>
      <c r="Y51" s="14">
        <f>求节点(C$10:C$48,R$10:R$48,$W51)*(其他调用!AT51+其他调用!BA51*$D$50*$D$51)*6</f>
        <v>1295.677544078017</v>
      </c>
      <c r="Z51" s="14">
        <f>求节点(D$10:D$48,S$10:S$48,$W51)*(其他调用!AU51+其他调用!BB51*$D$50*$D$51)*6</f>
        <v>1390.098091478498</v>
      </c>
      <c r="AA51" s="14">
        <f>求节点(E$10:E$48,T$10:T$48,$W51)*(其他调用!AV51+其他调用!BC51*$D$50*$D$51)*6</f>
        <v>1622.3112504844855</v>
      </c>
      <c r="AB51" s="14">
        <f>求节点(F$10:F$48,U$10:U$48,$W51)*(其他调用!AW51+其他调用!BD51*$D$50*$D$51)*6</f>
        <v>1670.5673937288561</v>
      </c>
      <c r="AC51" s="14">
        <f>[1]节奏总纲!$BJ50</f>
        <v>2.4000000000000017</v>
      </c>
      <c r="AD51" s="14">
        <f>[1]节奏总纲!$BJ50</f>
        <v>2.4000000000000017</v>
      </c>
      <c r="AE51" s="14">
        <f>[1]节奏总纲!$BJ50</f>
        <v>2.4000000000000017</v>
      </c>
      <c r="AF51" s="14">
        <f>[1]节奏总纲!$BJ50</f>
        <v>2.4000000000000017</v>
      </c>
      <c r="AG51" s="14">
        <f>[1]节奏总纲!$BJ50</f>
        <v>2.4000000000000017</v>
      </c>
      <c r="AI51" s="2">
        <v>47</v>
      </c>
      <c r="AJ51" s="2">
        <f>求节点(节奏总纲!$D$4:$D$113,AC$5:AC$104,$AI51)</f>
        <v>2.6948387187670044</v>
      </c>
      <c r="AK51" s="2">
        <f>求节点(节奏总纲!$D$4:$D$113,AD$5:AD$104,$AI51)</f>
        <v>2.6948387187670044</v>
      </c>
      <c r="AL51" s="2">
        <f>求节点(节奏总纲!$D$4:$D$113,AE$5:AE$104,$AI51)</f>
        <v>2.6948387187670044</v>
      </c>
      <c r="AM51" s="2">
        <f>求节点(节奏总纲!$D$4:$D$113,AF$5:AF$104,$AI51)</f>
        <v>2.6948387187670044</v>
      </c>
      <c r="AN51" s="2">
        <f>求节点(节奏总纲!$D$4:$D$113,AG$5:AG$104,$AI51)</f>
        <v>2.6948387187670044</v>
      </c>
    </row>
    <row r="52" spans="2:40" x14ac:dyDescent="0.15">
      <c r="B52" s="66"/>
      <c r="C52" s="66"/>
      <c r="W52" s="14">
        <v>48</v>
      </c>
      <c r="X52" s="14">
        <f>求节点(B$10:B$48,Q$10:Q$48,$W52)*(其他调用!AS52+其他调用!AZ52*$D$50*$D$51)*6</f>
        <v>1276.0195182962943</v>
      </c>
      <c r="Y52" s="14">
        <f>求节点(C$10:C$48,R$10:R$48,$W52)*(其他调用!AT52+其他调用!BA52*$D$50*$D$51)*6</f>
        <v>1331.0558709628949</v>
      </c>
      <c r="Z52" s="14">
        <f>求节点(D$10:D$48,S$10:S$48,$W52)*(其他调用!AU52+其他调用!BB52*$D$50*$D$51)*6</f>
        <v>1433.8955736905182</v>
      </c>
      <c r="AA52" s="14">
        <f>求节点(E$10:E$48,T$10:T$48,$W52)*(其他调用!AV52+其他调用!BC52*$D$50*$D$51)*6</f>
        <v>1672.8448792581466</v>
      </c>
      <c r="AB52" s="14">
        <f>求节点(F$10:F$48,U$10:U$48,$W52)*(其他调用!AW52+其他调用!BD52*$D$50*$D$51)*6</f>
        <v>1721.6382672107875</v>
      </c>
      <c r="AC52" s="14">
        <f>[1]节奏总纲!$BJ51</f>
        <v>2.4333333333333349</v>
      </c>
      <c r="AD52" s="14">
        <f>[1]节奏总纲!$BJ51</f>
        <v>2.4333333333333349</v>
      </c>
      <c r="AE52" s="14">
        <f>[1]节奏总纲!$BJ51</f>
        <v>2.4333333333333349</v>
      </c>
      <c r="AF52" s="14">
        <f>[1]节奏总纲!$BJ51</f>
        <v>2.4333333333333349</v>
      </c>
      <c r="AG52" s="14">
        <f>[1]节奏总纲!$BJ51</f>
        <v>2.4333333333333349</v>
      </c>
      <c r="AI52" s="2">
        <v>48</v>
      </c>
      <c r="AJ52" s="2">
        <f>求节点(节奏总纲!$D$4:$D$113,AC$5:AC$104,$AI52)</f>
        <v>2.7047595326663232</v>
      </c>
      <c r="AK52" s="2">
        <f>求节点(节奏总纲!$D$4:$D$113,AD$5:AD$104,$AI52)</f>
        <v>2.7047595326663232</v>
      </c>
      <c r="AL52" s="2">
        <f>求节点(节奏总纲!$D$4:$D$113,AE$5:AE$104,$AI52)</f>
        <v>2.7047595326663232</v>
      </c>
      <c r="AM52" s="2">
        <f>求节点(节奏总纲!$D$4:$D$113,AF$5:AF$104,$AI52)</f>
        <v>2.7047595326663232</v>
      </c>
      <c r="AN52" s="2">
        <f>求节点(节奏总纲!$D$4:$D$113,AG$5:AG$104,$AI52)</f>
        <v>2.7047595326663232</v>
      </c>
    </row>
    <row r="53" spans="2:40" x14ac:dyDescent="0.15">
      <c r="B53" s="66"/>
      <c r="C53" s="66"/>
      <c r="W53" s="14">
        <v>49</v>
      </c>
      <c r="X53" s="14">
        <f>求节点(B$10:B$48,Q$10:Q$48,$W53)*(其他调用!AS53+其他调用!AZ53*$D$50*$D$51)*6</f>
        <v>1313.5572250945136</v>
      </c>
      <c r="Y53" s="14">
        <f>求节点(C$10:C$48,R$10:R$48,$W53)*(其他调用!AT53+其他调用!BA53*$D$50*$D$51)*6</f>
        <v>1367.4064346758355</v>
      </c>
      <c r="Z53" s="14">
        <f>求节点(D$10:D$48,S$10:S$48,$W53)*(其他调用!AU53+其他调用!BB53*$D$50*$D$51)*6</f>
        <v>1476.5437857131401</v>
      </c>
      <c r="AA53" s="14">
        <f>求节点(E$10:E$48,T$10:T$48,$W53)*(其他调用!AV53+其他调用!BC53*$D$50*$D$51)*6</f>
        <v>1720.5098581071652</v>
      </c>
      <c r="AB53" s="14">
        <f>求节点(F$10:F$48,U$10:U$48,$W53)*(其他调用!AW53+其他调用!BD53*$D$50*$D$51)*6</f>
        <v>1766.7333845544463</v>
      </c>
      <c r="AC53" s="14">
        <f>[1]节奏总纲!$BJ52</f>
        <v>2.4666666666666681</v>
      </c>
      <c r="AD53" s="14">
        <f>[1]节奏总纲!$BJ52</f>
        <v>2.4666666666666681</v>
      </c>
      <c r="AE53" s="14">
        <f>[1]节奏总纲!$BJ52</f>
        <v>2.4666666666666681</v>
      </c>
      <c r="AF53" s="14">
        <f>[1]节奏总纲!$BJ52</f>
        <v>2.4666666666666681</v>
      </c>
      <c r="AG53" s="14">
        <f>[1]节奏总纲!$BJ52</f>
        <v>2.4666666666666681</v>
      </c>
      <c r="AI53" s="2">
        <v>49</v>
      </c>
      <c r="AJ53" s="2">
        <f>求节点(节奏总纲!$D$4:$D$113,AC$5:AC$104,$AI53)</f>
        <v>2.7143347110016314</v>
      </c>
      <c r="AK53" s="2">
        <f>求节点(节奏总纲!$D$4:$D$113,AD$5:AD$104,$AI53)</f>
        <v>2.7143347110016314</v>
      </c>
      <c r="AL53" s="2">
        <f>求节点(节奏总纲!$D$4:$D$113,AE$5:AE$104,$AI53)</f>
        <v>2.7143347110016314</v>
      </c>
      <c r="AM53" s="2">
        <f>求节点(节奏总纲!$D$4:$D$113,AF$5:AF$104,$AI53)</f>
        <v>2.7143347110016314</v>
      </c>
      <c r="AN53" s="2">
        <f>求节点(节奏总纲!$D$4:$D$113,AG$5:AG$104,$AI53)</f>
        <v>2.7143347110016314</v>
      </c>
    </row>
    <row r="54" spans="2:40" x14ac:dyDescent="0.15">
      <c r="W54" s="14">
        <v>50</v>
      </c>
      <c r="X54" s="14">
        <f>求节点(B$10:B$48,Q$10:Q$48,$W54)*(其他调用!AS54+其他调用!AZ54*$D$50*$D$51)*6</f>
        <v>1353.7119581843945</v>
      </c>
      <c r="Y54" s="14">
        <f>求节点(C$10:C$48,R$10:R$48,$W54)*(其他调用!AT54+其他调用!BA54*$D$50*$D$51)*6</f>
        <v>1403.1373430063538</v>
      </c>
      <c r="Z54" s="14">
        <f>求节点(D$10:D$48,S$10:S$48,$W54)*(其他调用!AU54+其他调用!BB54*$D$50*$D$51)*6</f>
        <v>1512.6379309814577</v>
      </c>
      <c r="AA54" s="14">
        <f>求节点(E$10:E$48,T$10:T$48,$W54)*(其他调用!AV54+其他调用!BC54*$D$50*$D$51)*6</f>
        <v>1758.0916704084439</v>
      </c>
      <c r="AB54" s="14">
        <f>求节点(F$10:F$48,U$10:U$48,$W54)*(其他调用!AW54+其他调用!BD54*$D$50*$D$51)*6</f>
        <v>1807.5953353446589</v>
      </c>
      <c r="AC54" s="14">
        <f>[1]节奏总纲!$BJ53</f>
        <v>2.5000000000000013</v>
      </c>
      <c r="AD54" s="14">
        <f>[1]节奏总纲!$BJ53</f>
        <v>2.5000000000000013</v>
      </c>
      <c r="AE54" s="14">
        <f>[1]节奏总纲!$BJ53</f>
        <v>2.5000000000000013</v>
      </c>
      <c r="AF54" s="14">
        <f>[1]节奏总纲!$BJ53</f>
        <v>2.5000000000000013</v>
      </c>
      <c r="AG54" s="14">
        <f>[1]节奏总纲!$BJ53</f>
        <v>2.5000000000000013</v>
      </c>
      <c r="AI54" s="2">
        <v>50</v>
      </c>
      <c r="AJ54" s="2">
        <f>求节点(节奏总纲!$D$4:$D$113,AC$5:AC$104,$AI54)</f>
        <v>2.7239098893369391</v>
      </c>
      <c r="AK54" s="2">
        <f>求节点(节奏总纲!$D$4:$D$113,AD$5:AD$104,$AI54)</f>
        <v>2.7239098893369391</v>
      </c>
      <c r="AL54" s="2">
        <f>求节点(节奏总纲!$D$4:$D$113,AE$5:AE$104,$AI54)</f>
        <v>2.7239098893369391</v>
      </c>
      <c r="AM54" s="2">
        <f>求节点(节奏总纲!$D$4:$D$113,AF$5:AF$104,$AI54)</f>
        <v>2.7239098893369391</v>
      </c>
      <c r="AN54" s="2">
        <f>求节点(节奏总纲!$D$4:$D$113,AG$5:AG$104,$AI54)</f>
        <v>2.7239098893369391</v>
      </c>
    </row>
    <row r="55" spans="2:40" x14ac:dyDescent="0.15">
      <c r="W55" s="14">
        <v>51</v>
      </c>
      <c r="X55" s="14">
        <f>求节点(B$10:B$48,Q$10:Q$48,$W55)*(其他调用!AS55+其他调用!AZ55*$D$50*$D$51)*6</f>
        <v>1394.3047112848144</v>
      </c>
      <c r="Y55" s="14">
        <f>求节点(C$10:C$48,R$10:R$48,$W55)*(其他调用!AT55+其他调用!BA55*$D$50*$D$51)*6</f>
        <v>1442.3909849943987</v>
      </c>
      <c r="Z55" s="14">
        <f>求节点(D$10:D$48,S$10:S$48,$W55)*(其他调用!AU55+其他调用!BB55*$D$50*$D$51)*6</f>
        <v>1548.4295109409077</v>
      </c>
      <c r="AA55" s="14">
        <f>求节点(E$10:E$48,T$10:T$48,$W55)*(其他调用!AV55+其他调用!BC55*$D$50*$D$51)*6</f>
        <v>1799.1398738018024</v>
      </c>
      <c r="AB55" s="14">
        <f>求节点(F$10:F$48,U$10:U$48,$W55)*(其他调用!AW55+其他调用!BD55*$D$50*$D$51)*6</f>
        <v>1849.9475293682451</v>
      </c>
      <c r="AC55" s="14">
        <f>[1]节奏总纲!$BJ54</f>
        <v>2.5333333333333345</v>
      </c>
      <c r="AD55" s="14">
        <f>[1]节奏总纲!$BJ54</f>
        <v>2.5333333333333345</v>
      </c>
      <c r="AE55" s="14">
        <f>[1]节奏总纲!$BJ54</f>
        <v>2.5333333333333345</v>
      </c>
      <c r="AF55" s="14">
        <f>[1]节奏总纲!$BJ54</f>
        <v>2.5333333333333345</v>
      </c>
      <c r="AG55" s="14">
        <f>[1]节奏总纲!$BJ54</f>
        <v>2.5333333333333345</v>
      </c>
      <c r="AI55" s="2">
        <v>51</v>
      </c>
      <c r="AJ55" s="2">
        <f>求节点(节奏总纲!$D$4:$D$113,AC$5:AC$104,$AI55)</f>
        <v>2.7334749064774888</v>
      </c>
      <c r="AK55" s="2">
        <f>求节点(节奏总纲!$D$4:$D$113,AD$5:AD$104,$AI55)</f>
        <v>2.7334749064774888</v>
      </c>
      <c r="AL55" s="2">
        <f>求节点(节奏总纲!$D$4:$D$113,AE$5:AE$104,$AI55)</f>
        <v>2.7334749064774888</v>
      </c>
      <c r="AM55" s="2">
        <f>求节点(节奏总纲!$D$4:$D$113,AF$5:AF$104,$AI55)</f>
        <v>2.7334749064774888</v>
      </c>
      <c r="AN55" s="2">
        <f>求节点(节奏总纲!$D$4:$D$113,AG$5:AG$104,$AI55)</f>
        <v>2.7334749064774888</v>
      </c>
    </row>
    <row r="56" spans="2:40" x14ac:dyDescent="0.15">
      <c r="W56" s="14">
        <v>52</v>
      </c>
      <c r="X56" s="14">
        <f>求节点(B$10:B$48,Q$10:Q$48,$W56)*(其他调用!AS56+其他调用!AZ56*$D$50*$D$51)*6</f>
        <v>1436.226168038625</v>
      </c>
      <c r="Y56" s="14">
        <f>求节点(C$10:C$48,R$10:R$48,$W56)*(其他调用!AT56+其他调用!BA56*$D$50*$D$51)*6</f>
        <v>1485.1056977208184</v>
      </c>
      <c r="Z56" s="14">
        <f>求节点(D$10:D$48,S$10:S$48,$W56)*(其他调用!AU56+其他调用!BB56*$D$50*$D$51)*6</f>
        <v>1585.490551637612</v>
      </c>
      <c r="AA56" s="14">
        <f>求节点(E$10:E$48,T$10:T$48,$W56)*(其他调用!AV56+其他调用!BC56*$D$50*$D$51)*6</f>
        <v>1843.2856229176177</v>
      </c>
      <c r="AB56" s="14">
        <f>求节点(F$10:F$48,U$10:U$48,$W56)*(其他调用!AW56+其他调用!BD56*$D$50*$D$51)*6</f>
        <v>1893.5940019847999</v>
      </c>
      <c r="AC56" s="14">
        <f>[1]节奏总纲!$BJ55</f>
        <v>2.5666666666666678</v>
      </c>
      <c r="AD56" s="14">
        <f>[1]节奏总纲!$BJ55</f>
        <v>2.5666666666666678</v>
      </c>
      <c r="AE56" s="14">
        <f>[1]节奏总纲!$BJ55</f>
        <v>2.5666666666666678</v>
      </c>
      <c r="AF56" s="14">
        <f>[1]节奏总纲!$BJ55</f>
        <v>2.5666666666666678</v>
      </c>
      <c r="AG56" s="14">
        <f>[1]节奏总纲!$BJ55</f>
        <v>2.5666666666666678</v>
      </c>
      <c r="AI56" s="2">
        <v>52</v>
      </c>
      <c r="AJ56" s="2">
        <f>求节点(节奏总纲!$D$4:$D$113,AC$5:AC$104,$AI56)</f>
        <v>2.7424088637641795</v>
      </c>
      <c r="AK56" s="2">
        <f>求节点(节奏总纲!$D$4:$D$113,AD$5:AD$104,$AI56)</f>
        <v>2.7424088637641795</v>
      </c>
      <c r="AL56" s="2">
        <f>求节点(节奏总纲!$D$4:$D$113,AE$5:AE$104,$AI56)</f>
        <v>2.7424088637641795</v>
      </c>
      <c r="AM56" s="2">
        <f>求节点(节奏总纲!$D$4:$D$113,AF$5:AF$104,$AI56)</f>
        <v>2.7424088637641795</v>
      </c>
      <c r="AN56" s="2">
        <f>求节点(节奏总纲!$D$4:$D$113,AG$5:AG$104,$AI56)</f>
        <v>2.7424088637641795</v>
      </c>
    </row>
    <row r="57" spans="2:40" x14ac:dyDescent="0.15">
      <c r="W57" s="14">
        <v>53</v>
      </c>
      <c r="X57" s="14">
        <f>求节点(B$10:B$48,Q$10:Q$48,$W57)*(其他调用!AS57+其他调用!AZ57*$D$50*$D$51)*6</f>
        <v>1479.1354947750265</v>
      </c>
      <c r="Y57" s="14">
        <f>求节点(C$10:C$48,R$10:R$48,$W57)*(其他调用!AT57+其他调用!BA57*$D$50*$D$51)*6</f>
        <v>1529.1310548792978</v>
      </c>
      <c r="Z57" s="14">
        <f>求节点(D$10:D$48,S$10:S$48,$W57)*(其他调用!AU57+其他调用!BB57*$D$50*$D$51)*6</f>
        <v>1623.5245073112089</v>
      </c>
      <c r="AA57" s="14">
        <f>求节点(E$10:E$48,T$10:T$48,$W57)*(其他调用!AV57+其他调用!BC57*$D$50*$D$51)*6</f>
        <v>1888.8040411702868</v>
      </c>
      <c r="AB57" s="14">
        <f>求节点(F$10:F$48,U$10:U$48,$W57)*(其他调用!AW57+其他调用!BD57*$D$50*$D$51)*6</f>
        <v>1940.543019212497</v>
      </c>
      <c r="AC57" s="14">
        <f>[1]节奏总纲!$BJ56</f>
        <v>2.600000000000001</v>
      </c>
      <c r="AD57" s="14">
        <f>[1]节奏总纲!$BJ56</f>
        <v>2.600000000000001</v>
      </c>
      <c r="AE57" s="14">
        <f>[1]节奏总纲!$BJ56</f>
        <v>2.600000000000001</v>
      </c>
      <c r="AF57" s="14">
        <f>[1]节奏总纲!$BJ56</f>
        <v>2.600000000000001</v>
      </c>
      <c r="AG57" s="14">
        <f>[1]节奏总纲!$BJ56</f>
        <v>2.600000000000001</v>
      </c>
      <c r="AI57" s="2">
        <v>53</v>
      </c>
      <c r="AJ57" s="2">
        <f>求节点(节奏总纲!$D$4:$D$113,AC$5:AC$104,$AI57)</f>
        <v>2.7513428210508701</v>
      </c>
      <c r="AK57" s="2">
        <f>求节点(节奏总纲!$D$4:$D$113,AD$5:AD$104,$AI57)</f>
        <v>2.7513428210508701</v>
      </c>
      <c r="AL57" s="2">
        <f>求节点(节奏总纲!$D$4:$D$113,AE$5:AE$104,$AI57)</f>
        <v>2.7513428210508701</v>
      </c>
      <c r="AM57" s="2">
        <f>求节点(节奏总纲!$D$4:$D$113,AF$5:AF$104,$AI57)</f>
        <v>2.7513428210508701</v>
      </c>
      <c r="AN57" s="2">
        <f>求节点(节奏总纲!$D$4:$D$113,AG$5:AG$104,$AI57)</f>
        <v>2.7513428210508701</v>
      </c>
    </row>
    <row r="58" spans="2:40" x14ac:dyDescent="0.15">
      <c r="W58" s="14">
        <v>54</v>
      </c>
      <c r="X58" s="14">
        <f>求节点(B$10:B$48,Q$10:Q$48,$W58)*(其他调用!AS58+其他调用!AZ58*$D$50*$D$51)*6</f>
        <v>1524.6519490404696</v>
      </c>
      <c r="Y58" s="14">
        <f>求节点(C$10:C$48,R$10:R$48,$W58)*(其他调用!AT58+其他调用!BA58*$D$50*$D$51)*6</f>
        <v>1576.3329313088921</v>
      </c>
      <c r="Z58" s="14">
        <f>求节点(D$10:D$48,S$10:S$48,$W58)*(其他调用!AU58+其他调用!BB58*$D$50*$D$51)*6</f>
        <v>1670.133688551826</v>
      </c>
      <c r="AA58" s="14">
        <f>求节点(E$10:E$48,T$10:T$48,$W58)*(其他调用!AV58+其他调用!BC58*$D$50*$D$51)*6</f>
        <v>1934.134182892908</v>
      </c>
      <c r="AB58" s="14">
        <f>求节点(F$10:F$48,U$10:U$48,$W58)*(其他调用!AW58+其他调用!BD58*$D$50*$D$51)*6</f>
        <v>1989.4322484802738</v>
      </c>
      <c r="AC58" s="14">
        <f>[1]节奏总纲!$BJ57</f>
        <v>2.6333333333333342</v>
      </c>
      <c r="AD58" s="14">
        <f>[1]节奏总纲!$BJ57</f>
        <v>2.6333333333333342</v>
      </c>
      <c r="AE58" s="14">
        <f>[1]节奏总纲!$BJ57</f>
        <v>2.6333333333333342</v>
      </c>
      <c r="AF58" s="14">
        <f>[1]节奏总纲!$BJ57</f>
        <v>2.6333333333333342</v>
      </c>
      <c r="AG58" s="14">
        <f>[1]节奏总纲!$BJ57</f>
        <v>2.6333333333333342</v>
      </c>
      <c r="AI58" s="2">
        <v>54</v>
      </c>
      <c r="AJ58" s="2">
        <f>求节点(节奏总纲!$D$4:$D$113,AC$5:AC$104,$AI58)</f>
        <v>2.7602767783375612</v>
      </c>
      <c r="AK58" s="2">
        <f>求节点(节奏总纲!$D$4:$D$113,AD$5:AD$104,$AI58)</f>
        <v>2.7602767783375612</v>
      </c>
      <c r="AL58" s="2">
        <f>求节点(节奏总纲!$D$4:$D$113,AE$5:AE$104,$AI58)</f>
        <v>2.7602767783375612</v>
      </c>
      <c r="AM58" s="2">
        <f>求节点(节奏总纲!$D$4:$D$113,AF$5:AF$104,$AI58)</f>
        <v>2.7602767783375612</v>
      </c>
      <c r="AN58" s="2">
        <f>求节点(节奏总纲!$D$4:$D$113,AG$5:AG$104,$AI58)</f>
        <v>2.7602767783375612</v>
      </c>
    </row>
    <row r="59" spans="2:40" x14ac:dyDescent="0.15">
      <c r="W59" s="14">
        <v>55</v>
      </c>
      <c r="X59" s="14">
        <f>求节点(B$10:B$48,Q$10:Q$48,$W59)*(其他调用!AS59+其他调用!AZ59*$D$50*$D$51)*6</f>
        <v>1572.6568486208125</v>
      </c>
      <c r="Y59" s="14">
        <f>求节点(C$10:C$48,R$10:R$48,$W59)*(其他调用!AT59+其他调用!BA59*$D$50*$D$51)*6</f>
        <v>1624.6141113181125</v>
      </c>
      <c r="Z59" s="14">
        <f>求节点(D$10:D$48,S$10:S$48,$W59)*(其他调用!AU59+其他调用!BB59*$D$50*$D$51)*6</f>
        <v>1719.0994291800298</v>
      </c>
      <c r="AA59" s="14">
        <f>求节点(E$10:E$48,T$10:T$48,$W59)*(其他调用!AV59+其他调用!BC59*$D$50*$D$51)*6</f>
        <v>1980.4649417002383</v>
      </c>
      <c r="AB59" s="14">
        <f>求节点(F$10:F$48,U$10:U$48,$W59)*(其他调用!AW59+其他调用!BD59*$D$50*$D$51)*6</f>
        <v>2039.3610872899376</v>
      </c>
      <c r="AC59" s="14">
        <f>[1]节奏总纲!$BJ58</f>
        <v>2.6666666666666674</v>
      </c>
      <c r="AD59" s="14">
        <f>[1]节奏总纲!$BJ58</f>
        <v>2.6666666666666674</v>
      </c>
      <c r="AE59" s="14">
        <f>[1]节奏总纲!$BJ58</f>
        <v>2.6666666666666674</v>
      </c>
      <c r="AF59" s="14">
        <f>[1]节奏总纲!$BJ58</f>
        <v>2.6666666666666674</v>
      </c>
      <c r="AG59" s="14">
        <f>[1]节奏总纲!$BJ58</f>
        <v>2.6666666666666674</v>
      </c>
      <c r="AI59" s="2">
        <v>55</v>
      </c>
      <c r="AJ59" s="2">
        <f>求节点(节奏总纲!$D$4:$D$113,AC$5:AC$104,$AI59)</f>
        <v>2.7690403669368382</v>
      </c>
      <c r="AK59" s="2">
        <f>求节点(节奏总纲!$D$4:$D$113,AD$5:AD$104,$AI59)</f>
        <v>2.7690403669368382</v>
      </c>
      <c r="AL59" s="2">
        <f>求节点(节奏总纲!$D$4:$D$113,AE$5:AE$104,$AI59)</f>
        <v>2.7690403669368382</v>
      </c>
      <c r="AM59" s="2">
        <f>求节点(节奏总纲!$D$4:$D$113,AF$5:AF$104,$AI59)</f>
        <v>2.7690403669368382</v>
      </c>
      <c r="AN59" s="2">
        <f>求节点(节奏总纲!$D$4:$D$113,AG$5:AG$104,$AI59)</f>
        <v>2.7690403669368382</v>
      </c>
    </row>
    <row r="60" spans="2:40" x14ac:dyDescent="0.15">
      <c r="W60" s="14">
        <v>56</v>
      </c>
      <c r="X60" s="14">
        <f>求节点(B$10:B$48,Q$10:Q$48,$W60)*(其他调用!AS60+其他调用!AZ60*$D$50*$D$51)*6</f>
        <v>1619.291984869895</v>
      </c>
      <c r="Y60" s="14">
        <f>求节点(C$10:C$48,R$10:R$48,$W60)*(其他调用!AT60+其他调用!BA60*$D$50*$D$51)*6</f>
        <v>1674.5032179310274</v>
      </c>
      <c r="Z60" s="14">
        <f>求节点(D$10:D$48,S$10:S$48,$W60)*(其他调用!AU60+其他调用!BB60*$D$50*$D$51)*6</f>
        <v>1769.1205331320425</v>
      </c>
      <c r="AA60" s="14">
        <f>求节点(E$10:E$48,T$10:T$48,$W60)*(其他调用!AV60+其他调用!BC60*$D$50*$D$51)*6</f>
        <v>2027.8365379520565</v>
      </c>
      <c r="AB60" s="14">
        <f>求节点(F$10:F$48,U$10:U$48,$W60)*(其他调用!AW60+其他调用!BD60*$D$50*$D$51)*6</f>
        <v>2090.3858674945691</v>
      </c>
      <c r="AC60" s="14">
        <f>[1]节奏总纲!$BJ59</f>
        <v>2.7000000000000006</v>
      </c>
      <c r="AD60" s="14">
        <f>[1]节奏总纲!$BJ59</f>
        <v>2.7000000000000006</v>
      </c>
      <c r="AE60" s="14">
        <f>[1]节奏总纲!$BJ59</f>
        <v>2.7000000000000006</v>
      </c>
      <c r="AF60" s="14">
        <f>[1]节奏总纲!$BJ59</f>
        <v>2.7000000000000006</v>
      </c>
      <c r="AG60" s="14">
        <f>[1]节奏总纲!$BJ59</f>
        <v>2.7000000000000006</v>
      </c>
      <c r="AI60" s="2">
        <v>56</v>
      </c>
      <c r="AJ60" s="2">
        <f>求节点(节奏总纲!$D$4:$D$113,AC$5:AC$104,$AI60)</f>
        <v>2.7773760438303015</v>
      </c>
      <c r="AK60" s="2">
        <f>求节点(节奏总纲!$D$4:$D$113,AD$5:AD$104,$AI60)</f>
        <v>2.7773760438303015</v>
      </c>
      <c r="AL60" s="2">
        <f>求节点(节奏总纲!$D$4:$D$113,AE$5:AE$104,$AI60)</f>
        <v>2.7773760438303015</v>
      </c>
      <c r="AM60" s="2">
        <f>求节点(节奏总纲!$D$4:$D$113,AF$5:AF$104,$AI60)</f>
        <v>2.7773760438303015</v>
      </c>
      <c r="AN60" s="2">
        <f>求节点(节奏总纲!$D$4:$D$113,AG$5:AG$104,$AI60)</f>
        <v>2.7773760438303015</v>
      </c>
    </row>
    <row r="61" spans="2:40" x14ac:dyDescent="0.15">
      <c r="W61" s="14">
        <v>57</v>
      </c>
      <c r="X61" s="14">
        <f>求节点(B$10:B$48,Q$10:Q$48,$W61)*(其他调用!AS61+其他调用!AZ61*$D$50*$D$51)*6</f>
        <v>1662.1925362621871</v>
      </c>
      <c r="Y61" s="14">
        <f>求节点(C$10:C$48,R$10:R$48,$W61)*(其他调用!AT61+其他调用!BA61*$D$50*$D$51)*6</f>
        <v>1726.027588537743</v>
      </c>
      <c r="Z61" s="14">
        <f>求节点(D$10:D$48,S$10:S$48,$W61)*(其他调用!AU61+其他调用!BB61*$D$50*$D$51)*6</f>
        <v>1821.0871735739315</v>
      </c>
      <c r="AA61" s="14">
        <f>求节点(E$10:E$48,T$10:T$48,$W61)*(其他调用!AV61+其他调用!BC61*$D$50*$D$51)*6</f>
        <v>2076.3828484871942</v>
      </c>
      <c r="AB61" s="14">
        <f>求节点(F$10:F$48,U$10:U$48,$W61)*(其他调用!AW61+其他调用!BD61*$D$50*$D$51)*6</f>
        <v>2142.6032084838525</v>
      </c>
      <c r="AC61" s="14">
        <f>[1]节奏总纲!$BJ60</f>
        <v>2.7333333333333338</v>
      </c>
      <c r="AD61" s="14">
        <f>[1]节奏总纲!$BJ60</f>
        <v>2.7333333333333338</v>
      </c>
      <c r="AE61" s="14">
        <f>[1]节奏总纲!$BJ60</f>
        <v>2.7333333333333338</v>
      </c>
      <c r="AF61" s="14">
        <f>[1]节奏总纲!$BJ60</f>
        <v>2.7333333333333338</v>
      </c>
      <c r="AG61" s="14">
        <f>[1]节奏总纲!$BJ60</f>
        <v>2.7333333333333338</v>
      </c>
      <c r="AI61" s="2">
        <v>57</v>
      </c>
      <c r="AJ61" s="2">
        <f>求节点(节奏总纲!$D$4:$D$113,AC$5:AC$104,$AI61)</f>
        <v>2.7857117207237643</v>
      </c>
      <c r="AK61" s="2">
        <f>求节点(节奏总纲!$D$4:$D$113,AD$5:AD$104,$AI61)</f>
        <v>2.7857117207237643</v>
      </c>
      <c r="AL61" s="2">
        <f>求节点(节奏总纲!$D$4:$D$113,AE$5:AE$104,$AI61)</f>
        <v>2.7857117207237643</v>
      </c>
      <c r="AM61" s="2">
        <f>求节点(节奏总纲!$D$4:$D$113,AF$5:AF$104,$AI61)</f>
        <v>2.7857117207237643</v>
      </c>
      <c r="AN61" s="2">
        <f>求节点(节奏总纲!$D$4:$D$113,AG$5:AG$104,$AI61)</f>
        <v>2.7857117207237643</v>
      </c>
    </row>
    <row r="62" spans="2:40" x14ac:dyDescent="0.15">
      <c r="B62" s="2" t="s">
        <v>92</v>
      </c>
      <c r="W62" s="14">
        <v>58</v>
      </c>
      <c r="X62" s="14">
        <f>求节点(B$10:B$48,Q$10:Q$48,$W62)*(其他调用!AS62+其他调用!AZ62*$D$50*$D$51)*6</f>
        <v>1706.3604886815847</v>
      </c>
      <c r="Y62" s="14">
        <f>求节点(C$10:C$48,R$10:R$48,$W62)*(其他调用!AT62+其他调用!BA62*$D$50*$D$51)*6</f>
        <v>1775.6827699263185</v>
      </c>
      <c r="Z62" s="14">
        <f>求节点(D$10:D$48,S$10:S$48,$W62)*(其他调用!AU62+其他调用!BB62*$D$50*$D$51)*6</f>
        <v>1874.0719387055892</v>
      </c>
      <c r="AA62" s="14">
        <f>求节点(E$10:E$48,T$10:T$48,$W62)*(其他调用!AV62+其他调用!BC62*$D$50*$D$51)*6</f>
        <v>2129.2868855993202</v>
      </c>
      <c r="AB62" s="14">
        <f>求节点(F$10:F$48,U$10:U$48,$W62)*(其他调用!AW62+其他调用!BD62*$D$50*$D$51)*6</f>
        <v>2196.0490853227752</v>
      </c>
      <c r="AC62" s="14">
        <f>[1]节奏总纲!$BJ61</f>
        <v>2.7666666666666671</v>
      </c>
      <c r="AD62" s="14">
        <f>[1]节奏总纲!$BJ61</f>
        <v>2.7666666666666671</v>
      </c>
      <c r="AE62" s="14">
        <f>[1]节奏总纲!$BJ61</f>
        <v>2.7666666666666671</v>
      </c>
      <c r="AF62" s="14">
        <f>[1]节奏总纲!$BJ61</f>
        <v>2.7666666666666671</v>
      </c>
      <c r="AG62" s="14">
        <f>[1]节奏总纲!$BJ61</f>
        <v>2.7666666666666671</v>
      </c>
      <c r="AI62" s="2">
        <v>58</v>
      </c>
      <c r="AJ62" s="2">
        <f>求节点(节奏总纲!$D$4:$D$113,AC$5:AC$104,$AI62)</f>
        <v>2.7940473976172275</v>
      </c>
      <c r="AK62" s="2">
        <f>求节点(节奏总纲!$D$4:$D$113,AD$5:AD$104,$AI62)</f>
        <v>2.7940473976172275</v>
      </c>
      <c r="AL62" s="2">
        <f>求节点(节奏总纲!$D$4:$D$113,AE$5:AE$104,$AI62)</f>
        <v>2.7940473976172275</v>
      </c>
      <c r="AM62" s="2">
        <f>求节点(节奏总纲!$D$4:$D$113,AF$5:AF$104,$AI62)</f>
        <v>2.7940473976172275</v>
      </c>
      <c r="AN62" s="2">
        <f>求节点(节奏总纲!$D$4:$D$113,AG$5:AG$104,$AI62)</f>
        <v>2.7940473976172275</v>
      </c>
    </row>
    <row r="63" spans="2:40" x14ac:dyDescent="0.15">
      <c r="C63" s="2" t="s">
        <v>93</v>
      </c>
      <c r="D63" s="2">
        <f>标准城池设计!E9/标准城池设计!E4</f>
        <v>28.571428571428573</v>
      </c>
      <c r="W63" s="14">
        <v>59</v>
      </c>
      <c r="X63" s="14">
        <f>求节点(B$10:B$48,Q$10:Q$48,$W63)*(其他调用!AS63+其他调用!AZ63*$D$50*$D$51)*6</f>
        <v>1751.6028700551506</v>
      </c>
      <c r="Y63" s="14">
        <f>求节点(C$10:C$48,R$10:R$48,$W63)*(其他调用!AT63+其他调用!BA63*$D$50*$D$51)*6</f>
        <v>1821.627339279599</v>
      </c>
      <c r="Z63" s="14">
        <f>求节点(D$10:D$48,S$10:S$48,$W63)*(其他调用!AU63+其他调用!BB63*$D$50*$D$51)*6</f>
        <v>1929.1004560656306</v>
      </c>
      <c r="AA63" s="14">
        <f>求节点(E$10:E$48,T$10:T$48,$W63)*(其他调用!AV63+其他调用!BC63*$D$50*$D$51)*6</f>
        <v>2192.4608160486696</v>
      </c>
      <c r="AB63" s="14">
        <f>求节点(F$10:F$48,U$10:U$48,$W63)*(其他调用!AW63+其他调用!BD63*$D$50*$D$51)*6</f>
        <v>2254.4301263888628</v>
      </c>
      <c r="AC63" s="14">
        <f>[1]节奏总纲!$BJ62</f>
        <v>2.8000000000000003</v>
      </c>
      <c r="AD63" s="14">
        <f>[1]节奏总纲!$BJ62</f>
        <v>2.8000000000000003</v>
      </c>
      <c r="AE63" s="14">
        <f>[1]节奏总纲!$BJ62</f>
        <v>2.8000000000000003</v>
      </c>
      <c r="AF63" s="14">
        <f>[1]节奏总纲!$BJ62</f>
        <v>2.8000000000000003</v>
      </c>
      <c r="AG63" s="14">
        <f>[1]节奏总纲!$BJ62</f>
        <v>2.8000000000000003</v>
      </c>
      <c r="AI63" s="2">
        <v>59</v>
      </c>
      <c r="AJ63" s="2">
        <f>求节点(节奏总纲!$D$4:$D$113,AC$5:AC$104,$AI63)</f>
        <v>2.8022234871397647</v>
      </c>
      <c r="AK63" s="2">
        <f>求节点(节奏总纲!$D$4:$D$113,AD$5:AD$104,$AI63)</f>
        <v>2.8022234871397647</v>
      </c>
      <c r="AL63" s="2">
        <f>求节点(节奏总纲!$D$4:$D$113,AE$5:AE$104,$AI63)</f>
        <v>2.8022234871397647</v>
      </c>
      <c r="AM63" s="2">
        <f>求节点(节奏总纲!$D$4:$D$113,AF$5:AF$104,$AI63)</f>
        <v>2.8022234871397647</v>
      </c>
      <c r="AN63" s="2">
        <f>求节点(节奏总纲!$D$4:$D$113,AG$5:AG$104,$AI63)</f>
        <v>2.8022234871397647</v>
      </c>
    </row>
    <row r="64" spans="2:40" x14ac:dyDescent="0.15">
      <c r="W64" s="14">
        <v>60</v>
      </c>
      <c r="X64" s="14">
        <f>求节点(B$10:B$48,Q$10:Q$48,$W64)*(其他调用!AS64+其他调用!AZ64*$D$50*$D$51)*6</f>
        <v>1807.4715028895196</v>
      </c>
      <c r="Y64" s="14">
        <f>求节点(C$10:C$48,R$10:R$48,$W64)*(其他调用!AT64+其他调用!BA64*$D$50*$D$51)*6</f>
        <v>1885.4673996684564</v>
      </c>
      <c r="Z64" s="14">
        <f>求节点(D$10:D$48,S$10:S$48,$W64)*(其他调用!AU64+其他调用!BB64*$D$50*$D$51)*6</f>
        <v>2002.2967192491205</v>
      </c>
      <c r="AA64" s="14">
        <f>求节点(E$10:E$48,T$10:T$48,$W64)*(其他调用!AV64+其他调用!BC64*$D$50*$D$51)*6</f>
        <v>2270.6758851100076</v>
      </c>
      <c r="AB64" s="14">
        <f>求节点(F$10:F$48,U$10:U$48,$W64)*(其他调用!AW64+其他调用!BD64*$D$50*$D$51)*6</f>
        <v>2322.5644862771428</v>
      </c>
      <c r="AC64" s="14">
        <f>[1]节奏总纲!$BJ63</f>
        <v>2.8333333333333335</v>
      </c>
      <c r="AD64" s="14">
        <f>[1]节奏总纲!$BJ63</f>
        <v>2.8333333333333335</v>
      </c>
      <c r="AE64" s="14">
        <f>[1]节奏总纲!$BJ63</f>
        <v>2.8333333333333335</v>
      </c>
      <c r="AF64" s="14">
        <f>[1]节奏总纲!$BJ63</f>
        <v>2.8333333333333335</v>
      </c>
      <c r="AG64" s="14">
        <f>[1]节奏总纲!$BJ63</f>
        <v>2.8333333333333335</v>
      </c>
      <c r="AI64" s="2">
        <v>60</v>
      </c>
      <c r="AJ64" s="2">
        <f>求节点(节奏总纲!$D$4:$D$113,AC$5:AC$104,$AI64)</f>
        <v>2.810000948688157</v>
      </c>
      <c r="AK64" s="2">
        <f>求节点(节奏总纲!$D$4:$D$113,AD$5:AD$104,$AI64)</f>
        <v>2.810000948688157</v>
      </c>
      <c r="AL64" s="2">
        <f>求节点(节奏总纲!$D$4:$D$113,AE$5:AE$104,$AI64)</f>
        <v>2.810000948688157</v>
      </c>
      <c r="AM64" s="2">
        <f>求节点(节奏总纲!$D$4:$D$113,AF$5:AF$104,$AI64)</f>
        <v>2.810000948688157</v>
      </c>
      <c r="AN64" s="2">
        <f>求节点(节奏总纲!$D$4:$D$113,AG$5:AG$104,$AI64)</f>
        <v>2.810000948688157</v>
      </c>
    </row>
    <row r="65" spans="23:40" x14ac:dyDescent="0.15">
      <c r="W65" s="14">
        <v>61</v>
      </c>
      <c r="X65" s="14">
        <f>求节点(B$10:B$48,Q$10:Q$48,$W65)*(其他调用!AS65+其他调用!AZ65*$D$50*$D$51)*6</f>
        <v>1869.5264440835588</v>
      </c>
      <c r="Y65" s="14">
        <f>求节点(C$10:C$48,R$10:R$48,$W65)*(其他调用!AT65+其他调用!BA65*$D$50*$D$51)*6</f>
        <v>1951.5907418726906</v>
      </c>
      <c r="Z65" s="14">
        <f>求节点(D$10:D$48,S$10:S$48,$W65)*(其他调用!AU65+其他调用!BB65*$D$50*$D$51)*6</f>
        <v>2075.0566356828867</v>
      </c>
      <c r="AA65" s="14">
        <f>求节点(E$10:E$48,T$10:T$48,$W65)*(其他调用!AV65+其他调用!BC65*$D$50*$D$51)*6</f>
        <v>2351.561956428237</v>
      </c>
      <c r="AB65" s="14">
        <f>求节点(F$10:F$48,U$10:U$48,$W65)*(其他调用!AW65+其他调用!BD65*$D$50*$D$51)*6</f>
        <v>2392.5066883474674</v>
      </c>
      <c r="AC65" s="14">
        <f>[1]节奏总纲!$BJ64</f>
        <v>2.8666666666666667</v>
      </c>
      <c r="AD65" s="14">
        <f>[1]节奏总纲!$BJ64</f>
        <v>2.8666666666666667</v>
      </c>
      <c r="AE65" s="14">
        <f>[1]节奏总纲!$BJ64</f>
        <v>2.8666666666666667</v>
      </c>
      <c r="AF65" s="14">
        <f>[1]节奏总纲!$BJ64</f>
        <v>2.8666666666666667</v>
      </c>
      <c r="AG65" s="14">
        <f>[1]节奏总纲!$BJ64</f>
        <v>2.8666666666666667</v>
      </c>
      <c r="AI65" s="2">
        <v>61</v>
      </c>
      <c r="AJ65" s="2">
        <f>求节点(节奏总纲!$D$4:$D$113,AC$5:AC$104,$AI65)</f>
        <v>2.8177784102365493</v>
      </c>
      <c r="AK65" s="2">
        <f>求节点(节奏总纲!$D$4:$D$113,AD$5:AD$104,$AI65)</f>
        <v>2.8177784102365493</v>
      </c>
      <c r="AL65" s="2">
        <f>求节点(节奏总纲!$D$4:$D$113,AE$5:AE$104,$AI65)</f>
        <v>2.8177784102365493</v>
      </c>
      <c r="AM65" s="2">
        <f>求节点(节奏总纲!$D$4:$D$113,AF$5:AF$104,$AI65)</f>
        <v>2.8177784102365493</v>
      </c>
      <c r="AN65" s="2">
        <f>求节点(节奏总纲!$D$4:$D$113,AG$5:AG$104,$AI65)</f>
        <v>2.8177784102365493</v>
      </c>
    </row>
    <row r="66" spans="23:40" x14ac:dyDescent="0.15">
      <c r="W66" s="14">
        <v>62</v>
      </c>
      <c r="X66" s="14">
        <f>求节点(B$10:B$48,Q$10:Q$48,$W66)*(其他调用!AS66+其他调用!AZ66*$D$50*$D$51)*6</f>
        <v>1927.1114273379449</v>
      </c>
      <c r="Y66" s="14">
        <f>求节点(C$10:C$48,R$10:R$48,$W66)*(其他调用!AT66+其他调用!BA66*$D$50*$D$51)*6</f>
        <v>2019.1470151101521</v>
      </c>
      <c r="Z66" s="14">
        <f>求节点(D$10:D$48,S$10:S$48,$W66)*(其他调用!AU66+其他调用!BB66*$D$50*$D$51)*6</f>
        <v>2145.4969829619945</v>
      </c>
      <c r="AA66" s="14">
        <f>求节点(E$10:E$48,T$10:T$48,$W66)*(其他调用!AV66+其他调用!BC66*$D$50*$D$51)*6</f>
        <v>2435.006886219353</v>
      </c>
      <c r="AB66" s="14">
        <f>求节点(F$10:F$48,U$10:U$48,$W66)*(其他调用!AW66+其他调用!BD66*$D$50*$D$51)*6</f>
        <v>2459.9018600312952</v>
      </c>
      <c r="AC66" s="14">
        <f>[1]节奏总纲!$BJ65</f>
        <v>2.9</v>
      </c>
      <c r="AD66" s="14">
        <f>[1]节奏总纲!$BJ65</f>
        <v>2.9</v>
      </c>
      <c r="AE66" s="14">
        <f>[1]节奏总纲!$BJ65</f>
        <v>2.9</v>
      </c>
      <c r="AF66" s="14">
        <f>[1]节奏总纲!$BJ65</f>
        <v>2.9</v>
      </c>
      <c r="AG66" s="14">
        <f>[1]节奏总纲!$BJ65</f>
        <v>2.9</v>
      </c>
      <c r="AI66" s="2">
        <v>62</v>
      </c>
      <c r="AJ66" s="2">
        <f>求节点(节奏总纲!$D$4:$D$113,AC$5:AC$104,$AI66)</f>
        <v>2.8255558717849412</v>
      </c>
      <c r="AK66" s="2">
        <f>求节点(节奏总纲!$D$4:$D$113,AD$5:AD$104,$AI66)</f>
        <v>2.8255558717849412</v>
      </c>
      <c r="AL66" s="2">
        <f>求节点(节奏总纲!$D$4:$D$113,AE$5:AE$104,$AI66)</f>
        <v>2.8255558717849412</v>
      </c>
      <c r="AM66" s="2">
        <f>求节点(节奏总纲!$D$4:$D$113,AF$5:AF$104,$AI66)</f>
        <v>2.8255558717849412</v>
      </c>
      <c r="AN66" s="2">
        <f>求节点(节奏总纲!$D$4:$D$113,AG$5:AG$104,$AI66)</f>
        <v>2.8255558717849412</v>
      </c>
    </row>
    <row r="67" spans="23:40" x14ac:dyDescent="0.15">
      <c r="W67" s="14">
        <v>63</v>
      </c>
      <c r="X67" s="14">
        <f>求节点(B$10:B$48,Q$10:Q$48,$W67)*(其他调用!AS67+其他调用!AZ67*$D$50*$D$51)*6</f>
        <v>1981.2529117920606</v>
      </c>
      <c r="Y67" s="14">
        <f>求节点(C$10:C$48,R$10:R$48,$W67)*(其他调用!AT67+其他调用!BA67*$D$50*$D$51)*6</f>
        <v>2089.0993026359965</v>
      </c>
      <c r="Z67" s="14">
        <f>求节点(D$10:D$48,S$10:S$48,$W67)*(其他调用!AU67+其他调用!BB67*$D$50*$D$51)*6</f>
        <v>2218.2129005682218</v>
      </c>
      <c r="AA67" s="14">
        <f>求节点(E$10:E$48,T$10:T$48,$W67)*(其他调用!AV67+其他调用!BC67*$D$50*$D$51)*6</f>
        <v>2521.2836960835075</v>
      </c>
      <c r="AB67" s="14">
        <f>求节点(F$10:F$48,U$10:U$48,$W67)*(其他调用!AW67+其他调用!BD67*$D$50*$D$51)*6</f>
        <v>2525.8479835188878</v>
      </c>
      <c r="AC67" s="14">
        <f>[1]节奏总纲!$BJ66</f>
        <v>2.9333333333333331</v>
      </c>
      <c r="AD67" s="14">
        <f>[1]节奏总纲!$BJ66</f>
        <v>2.9333333333333331</v>
      </c>
      <c r="AE67" s="14">
        <f>[1]节奏总纲!$BJ66</f>
        <v>2.9333333333333331</v>
      </c>
      <c r="AF67" s="14">
        <f>[1]节奏总纲!$BJ66</f>
        <v>2.9333333333333331</v>
      </c>
      <c r="AG67" s="14">
        <f>[1]节奏总纲!$BJ66</f>
        <v>2.9333333333333331</v>
      </c>
      <c r="AI67" s="2">
        <v>63</v>
      </c>
      <c r="AJ67" s="2">
        <f>求节点(节奏总纲!$D$4:$D$113,AC$5:AC$104,$AI67)</f>
        <v>2.8333333333333335</v>
      </c>
      <c r="AK67" s="2">
        <f>求节点(节奏总纲!$D$4:$D$113,AD$5:AD$104,$AI67)</f>
        <v>2.8333333333333335</v>
      </c>
      <c r="AL67" s="2">
        <f>求节点(节奏总纲!$D$4:$D$113,AE$5:AE$104,$AI67)</f>
        <v>2.8333333333333335</v>
      </c>
      <c r="AM67" s="2">
        <f>求节点(节奏总纲!$D$4:$D$113,AF$5:AF$104,$AI67)</f>
        <v>2.8333333333333335</v>
      </c>
      <c r="AN67" s="2">
        <f>求节点(节奏总纲!$D$4:$D$113,AG$5:AG$104,$AI67)</f>
        <v>2.8333333333333335</v>
      </c>
    </row>
    <row r="68" spans="23:40" x14ac:dyDescent="0.15">
      <c r="W68" s="14">
        <v>64</v>
      </c>
      <c r="X68" s="14">
        <f>求节点(B$10:B$48,Q$10:Q$48,$W68)*(其他调用!AS68+其他调用!AZ68*$D$50*$D$51)*6</f>
        <v>2036.3514474913363</v>
      </c>
      <c r="Y68" s="14">
        <f>求节点(C$10:C$48,R$10:R$48,$W68)*(其他调用!AT68+其他调用!BA68*$D$50*$D$51)*6</f>
        <v>2154.5961208882827</v>
      </c>
      <c r="Z68" s="14">
        <f>求节点(D$10:D$48,S$10:S$48,$W68)*(其他调用!AU68+其他调用!BB68*$D$50*$D$51)*6</f>
        <v>2292.7986121282552</v>
      </c>
      <c r="AA68" s="14">
        <f>求节点(E$10:E$48,T$10:T$48,$W68)*(其他调用!AV68+其他调用!BC68*$D$50*$D$51)*6</f>
        <v>2609.8968909665646</v>
      </c>
      <c r="AB68" s="14">
        <f>求节点(F$10:F$48,U$10:U$48,$W68)*(其他调用!AW68+其他调用!BD68*$D$50*$D$51)*6</f>
        <v>2593.3002570444191</v>
      </c>
      <c r="AC68" s="14">
        <f>[1]节奏总纲!$BJ67</f>
        <v>2.9666666666666663</v>
      </c>
      <c r="AD68" s="14">
        <f>[1]节奏总纲!$BJ67</f>
        <v>2.9666666666666663</v>
      </c>
      <c r="AE68" s="14">
        <f>[1]节奏总纲!$BJ67</f>
        <v>2.9666666666666663</v>
      </c>
      <c r="AF68" s="14">
        <f>[1]节奏总纲!$BJ67</f>
        <v>2.9666666666666663</v>
      </c>
      <c r="AG68" s="14">
        <f>[1]节奏总纲!$BJ67</f>
        <v>2.9666666666666663</v>
      </c>
      <c r="AI68" s="2">
        <v>64</v>
      </c>
      <c r="AJ68" s="2">
        <f>求节点(节奏总纲!$D$4:$D$113,AC$5:AC$104,$AI68)</f>
        <v>2.8405899615483925</v>
      </c>
      <c r="AK68" s="2">
        <f>求节点(节奏总纲!$D$4:$D$113,AD$5:AD$104,$AI68)</f>
        <v>2.8405899615483925</v>
      </c>
      <c r="AL68" s="2">
        <f>求节点(节奏总纲!$D$4:$D$113,AE$5:AE$104,$AI68)</f>
        <v>2.8405899615483925</v>
      </c>
      <c r="AM68" s="2">
        <f>求节点(节奏总纲!$D$4:$D$113,AF$5:AF$104,$AI68)</f>
        <v>2.8405899615483925</v>
      </c>
      <c r="AN68" s="2">
        <f>求节点(节奏总纲!$D$4:$D$113,AG$5:AG$104,$AI68)</f>
        <v>2.8405899615483925</v>
      </c>
    </row>
    <row r="69" spans="23:40" x14ac:dyDescent="0.15">
      <c r="W69" s="14">
        <v>65</v>
      </c>
      <c r="X69" s="14">
        <f>求节点(B$10:B$48,Q$10:Q$48,$W69)*(其他调用!AS69+其他调用!AZ69*$D$50*$D$51)*6</f>
        <v>2092.4451788898423</v>
      </c>
      <c r="Y69" s="14">
        <f>求节点(C$10:C$48,R$10:R$48,$W69)*(其他调用!AT69+其他调用!BA69*$D$50*$D$51)*6</f>
        <v>2213.8432987524729</v>
      </c>
      <c r="Z69" s="14">
        <f>求节点(D$10:D$48,S$10:S$48,$W69)*(其他调用!AU69+其他调用!BB69*$D$50*$D$51)*6</f>
        <v>2367.2141558077474</v>
      </c>
      <c r="AA69" s="14">
        <f>求节点(E$10:E$48,T$10:T$48,$W69)*(其他调用!AV69+其他调用!BC69*$D$50*$D$51)*6</f>
        <v>2690.1353717147745</v>
      </c>
      <c r="AB69" s="14">
        <f>求节点(F$10:F$48,U$10:U$48,$W69)*(其他调用!AW69+其他调用!BD69*$D$50*$D$51)*6</f>
        <v>2650.5411529367498</v>
      </c>
      <c r="AC69" s="14">
        <f>[1]节奏总纲!$BJ68</f>
        <v>2.9999999999999996</v>
      </c>
      <c r="AD69" s="14">
        <f>[1]节奏总纲!$BJ68</f>
        <v>2.9999999999999996</v>
      </c>
      <c r="AE69" s="14">
        <f>[1]节奏总纲!$BJ68</f>
        <v>2.9999999999999996</v>
      </c>
      <c r="AF69" s="14">
        <f>[1]节奏总纲!$BJ68</f>
        <v>2.9999999999999996</v>
      </c>
      <c r="AG69" s="14">
        <f>[1]节奏总纲!$BJ68</f>
        <v>2.9999999999999996</v>
      </c>
      <c r="AI69" s="2">
        <v>65</v>
      </c>
      <c r="AJ69" s="2">
        <f>求节点(节奏总纲!$D$4:$D$113,AC$5:AC$104,$AI69)</f>
        <v>2.8478465897634511</v>
      </c>
      <c r="AK69" s="2">
        <f>求节点(节奏总纲!$D$4:$D$113,AD$5:AD$104,$AI69)</f>
        <v>2.8478465897634511</v>
      </c>
      <c r="AL69" s="2">
        <f>求节点(节奏总纲!$D$4:$D$113,AE$5:AE$104,$AI69)</f>
        <v>2.8478465897634511</v>
      </c>
      <c r="AM69" s="2">
        <f>求节点(节奏总纲!$D$4:$D$113,AF$5:AF$104,$AI69)</f>
        <v>2.8478465897634511</v>
      </c>
      <c r="AN69" s="2">
        <f>求节点(节奏总纲!$D$4:$D$113,AG$5:AG$104,$AI69)</f>
        <v>2.8478465897634511</v>
      </c>
    </row>
    <row r="70" spans="23:40" x14ac:dyDescent="0.15">
      <c r="W70" s="14">
        <v>66</v>
      </c>
      <c r="X70" s="14">
        <f>求节点(B$10:B$48,Q$10:Q$48,$W70)*(其他调用!AS70+其他调用!AZ70*$D$50*$D$51)*6</f>
        <v>2135.0833695566275</v>
      </c>
      <c r="Y70" s="14">
        <f>求节点(C$10:C$48,R$10:R$48,$W70)*(其他调用!AT70+其他调用!BA70*$D$50*$D$51)*6</f>
        <v>2265.8121118558738</v>
      </c>
      <c r="Z70" s="14">
        <f>求节点(D$10:D$48,S$10:S$48,$W70)*(其他调用!AU70+其他调用!BB70*$D$50*$D$51)*6</f>
        <v>2433.7182499484893</v>
      </c>
      <c r="AA70" s="14">
        <f>求节点(E$10:E$48,T$10:T$48,$W70)*(其他调用!AV70+其他调用!BC70*$D$50*$D$51)*6</f>
        <v>2757.0322868129751</v>
      </c>
      <c r="AB70" s="14">
        <f>求节点(F$10:F$48,U$10:U$48,$W70)*(其他调用!AW70+其他调用!BD70*$D$50*$D$51)*6</f>
        <v>2712.0098020078649</v>
      </c>
      <c r="AC70" s="14">
        <f>[1]节奏总纲!$BJ69</f>
        <v>3.0333333333333328</v>
      </c>
      <c r="AD70" s="14">
        <f>[1]节奏总纲!$BJ69</f>
        <v>3.0333333333333328</v>
      </c>
      <c r="AE70" s="14">
        <f>[1]节奏总纲!$BJ69</f>
        <v>3.0333333333333328</v>
      </c>
      <c r="AF70" s="14">
        <f>[1]节奏总纲!$BJ69</f>
        <v>3.0333333333333328</v>
      </c>
      <c r="AG70" s="14">
        <f>[1]节奏总纲!$BJ69</f>
        <v>3.0333333333333328</v>
      </c>
      <c r="AI70" s="2">
        <v>66</v>
      </c>
      <c r="AJ70" s="2">
        <f>求节点(节奏总纲!$D$4:$D$113,AC$5:AC$104,$AI70)</f>
        <v>2.8551032179785101</v>
      </c>
      <c r="AK70" s="2">
        <f>求节点(节奏总纲!$D$4:$D$113,AD$5:AD$104,$AI70)</f>
        <v>2.8551032179785101</v>
      </c>
      <c r="AL70" s="2">
        <f>求节点(节奏总纲!$D$4:$D$113,AE$5:AE$104,$AI70)</f>
        <v>2.8551032179785101</v>
      </c>
      <c r="AM70" s="2">
        <f>求节点(节奏总纲!$D$4:$D$113,AF$5:AF$104,$AI70)</f>
        <v>2.8551032179785101</v>
      </c>
      <c r="AN70" s="2">
        <f>求节点(节奏总纲!$D$4:$D$113,AG$5:AG$104,$AI70)</f>
        <v>2.8551032179785101</v>
      </c>
    </row>
    <row r="71" spans="23:40" x14ac:dyDescent="0.15">
      <c r="W71" s="14">
        <v>67</v>
      </c>
      <c r="X71" s="14">
        <f>求节点(B$10:B$48,Q$10:Q$48,$W71)*(其他调用!AS71+其他调用!AZ71*$D$50*$D$51)*6</f>
        <v>2271.5175751489196</v>
      </c>
      <c r="Y71" s="14">
        <f>求节点(C$10:C$48,R$10:R$48,$W71)*(其他调用!AT71+其他调用!BA71*$D$50*$D$51)*6</f>
        <v>2417.5246326323881</v>
      </c>
      <c r="Z71" s="14">
        <f>求节点(D$10:D$48,S$10:S$48,$W71)*(其他调用!AU71+其他调用!BB71*$D$50*$D$51)*6</f>
        <v>2598.2382261343109</v>
      </c>
      <c r="AA71" s="14">
        <f>求节点(E$10:E$48,T$10:T$48,$W71)*(其他调用!AV71+其他调用!BC71*$D$50*$D$51)*6</f>
        <v>2947.0454448647765</v>
      </c>
      <c r="AB71" s="14">
        <f>求节点(F$10:F$48,U$10:U$48,$W71)*(其他调用!AW71+其他调用!BD71*$D$50*$D$51)*6</f>
        <v>2911.397684800495</v>
      </c>
      <c r="AC71" s="14">
        <f>[1]节奏总纲!$BJ70</f>
        <v>3.066666666666666</v>
      </c>
      <c r="AD71" s="14">
        <f>[1]节奏总纲!$BJ70</f>
        <v>3.066666666666666</v>
      </c>
      <c r="AE71" s="14">
        <f>[1]节奏总纲!$BJ70</f>
        <v>3.066666666666666</v>
      </c>
      <c r="AF71" s="14">
        <f>[1]节奏总纲!$BJ70</f>
        <v>3.066666666666666</v>
      </c>
      <c r="AG71" s="14">
        <f>[1]节奏总纲!$BJ70</f>
        <v>3.066666666666666</v>
      </c>
      <c r="AI71" s="2">
        <v>67</v>
      </c>
      <c r="AJ71" s="2">
        <f>求节点(节奏总纲!$D$4:$D$113,AC$5:AC$104,$AI71)</f>
        <v>2.8623598461935691</v>
      </c>
      <c r="AK71" s="2">
        <f>求节点(节奏总纲!$D$4:$D$113,AD$5:AD$104,$AI71)</f>
        <v>2.8623598461935691</v>
      </c>
      <c r="AL71" s="2">
        <f>求节点(节奏总纲!$D$4:$D$113,AE$5:AE$104,$AI71)</f>
        <v>2.8623598461935691</v>
      </c>
      <c r="AM71" s="2">
        <f>求节点(节奏总纲!$D$4:$D$113,AF$5:AF$104,$AI71)</f>
        <v>2.8623598461935691</v>
      </c>
      <c r="AN71" s="2">
        <f>求节点(节奏总纲!$D$4:$D$113,AG$5:AG$104,$AI71)</f>
        <v>2.8623598461935691</v>
      </c>
    </row>
    <row r="72" spans="23:40" x14ac:dyDescent="0.15">
      <c r="W72" s="14">
        <v>68</v>
      </c>
      <c r="X72" s="14">
        <f>求节点(B$10:B$48,Q$10:Q$48,$W72)*(其他调用!AS72+其他调用!AZ72*$D$50*$D$51)*6</f>
        <v>2315.2403943049439</v>
      </c>
      <c r="Y72" s="14">
        <f>求节点(C$10:C$48,R$10:R$48,$W72)*(其他调用!AT72+其他调用!BA72*$D$50*$D$51)*6</f>
        <v>2472.5285339801076</v>
      </c>
      <c r="Z72" s="14">
        <f>求节点(D$10:D$48,S$10:S$48,$W72)*(其他调用!AU72+其他调用!BB72*$D$50*$D$51)*6</f>
        <v>2655.8408762539525</v>
      </c>
      <c r="AA72" s="14">
        <f>求节点(E$10:E$48,T$10:T$48,$W72)*(其他调用!AV72+其他调用!BC72*$D$50*$D$51)*6</f>
        <v>3026.437877373377</v>
      </c>
      <c r="AB72" s="14">
        <f>求节点(F$10:F$48,U$10:U$48,$W72)*(其他调用!AW72+其他调用!BD72*$D$50*$D$51)*6</f>
        <v>2984.9403391410847</v>
      </c>
      <c r="AC72" s="14">
        <f>[1]节奏总纲!$BJ71</f>
        <v>3.0999999999999992</v>
      </c>
      <c r="AD72" s="14">
        <f>[1]节奏总纲!$BJ71</f>
        <v>3.0999999999999992</v>
      </c>
      <c r="AE72" s="14">
        <f>[1]节奏总纲!$BJ71</f>
        <v>3.0999999999999992</v>
      </c>
      <c r="AF72" s="14">
        <f>[1]节奏总纲!$BJ71</f>
        <v>3.0999999999999992</v>
      </c>
      <c r="AG72" s="14">
        <f>[1]节奏总纲!$BJ71</f>
        <v>3.0999999999999992</v>
      </c>
      <c r="AI72" s="2">
        <v>68</v>
      </c>
      <c r="AJ72" s="2">
        <f>求节点(节奏总纲!$D$4:$D$113,AC$5:AC$104,$AI72)</f>
        <v>2.869418934608607</v>
      </c>
      <c r="AK72" s="2">
        <f>求节点(节奏总纲!$D$4:$D$113,AD$5:AD$104,$AI72)</f>
        <v>2.869418934608607</v>
      </c>
      <c r="AL72" s="2">
        <f>求节点(节奏总纲!$D$4:$D$113,AE$5:AE$104,$AI72)</f>
        <v>2.869418934608607</v>
      </c>
      <c r="AM72" s="2">
        <f>求节点(节奏总纲!$D$4:$D$113,AF$5:AF$104,$AI72)</f>
        <v>2.869418934608607</v>
      </c>
      <c r="AN72" s="2">
        <f>求节点(节奏总纲!$D$4:$D$113,AG$5:AG$104,$AI72)</f>
        <v>2.869418934608607</v>
      </c>
    </row>
    <row r="73" spans="23:40" x14ac:dyDescent="0.15">
      <c r="W73" s="14">
        <v>69</v>
      </c>
      <c r="X73" s="14">
        <f>求节点(B$10:B$48,Q$10:Q$48,$W73)*(其他调用!AS73+其他调用!AZ73*$D$50*$D$51)*6</f>
        <v>2359.4141066958859</v>
      </c>
      <c r="Y73" s="14">
        <f>求节点(C$10:C$48,R$10:R$48,$W73)*(其他调用!AT73+其他调用!BA73*$D$50*$D$51)*6</f>
        <v>2527.561355682592</v>
      </c>
      <c r="Z73" s="14">
        <f>求节点(D$10:D$48,S$10:S$48,$W73)*(其他调用!AU73+其他调用!BB73*$D$50*$D$51)*6</f>
        <v>2720.4621604346921</v>
      </c>
      <c r="AA73" s="14">
        <f>求节点(E$10:E$48,T$10:T$48,$W73)*(其他调用!AV73+其他调用!BC73*$D$50*$D$51)*6</f>
        <v>3100.07243202258</v>
      </c>
      <c r="AB73" s="14">
        <f>求节点(F$10:F$48,U$10:U$48,$W73)*(其他调用!AW73+其他调用!BD73*$D$50*$D$51)*6</f>
        <v>3061.4694932256871</v>
      </c>
      <c r="AC73" s="14">
        <f>[1]节奏总纲!$BJ72</f>
        <v>3.1333333333333324</v>
      </c>
      <c r="AD73" s="14">
        <f>[1]节奏总纲!$BJ72</f>
        <v>3.1333333333333324</v>
      </c>
      <c r="AE73" s="14">
        <f>[1]节奏总纲!$BJ72</f>
        <v>3.1333333333333324</v>
      </c>
      <c r="AF73" s="14">
        <f>[1]节奏总纲!$BJ72</f>
        <v>3.1333333333333324</v>
      </c>
      <c r="AG73" s="14">
        <f>[1]节奏总纲!$BJ72</f>
        <v>3.1333333333333324</v>
      </c>
      <c r="AI73" s="2">
        <v>69</v>
      </c>
      <c r="AJ73" s="2">
        <f>求节点(节奏总纲!$D$4:$D$113,AC$5:AC$104,$AI73)</f>
        <v>2.8761896081405736</v>
      </c>
      <c r="AK73" s="2">
        <f>求节点(节奏总纲!$D$4:$D$113,AD$5:AD$104,$AI73)</f>
        <v>2.8761896081405736</v>
      </c>
      <c r="AL73" s="2">
        <f>求节点(节奏总纲!$D$4:$D$113,AE$5:AE$104,$AI73)</f>
        <v>2.8761896081405736</v>
      </c>
      <c r="AM73" s="2">
        <f>求节点(节奏总纲!$D$4:$D$113,AF$5:AF$104,$AI73)</f>
        <v>2.8761896081405736</v>
      </c>
      <c r="AN73" s="2">
        <f>求节点(节奏总纲!$D$4:$D$113,AG$5:AG$104,$AI73)</f>
        <v>2.8761896081405736</v>
      </c>
    </row>
    <row r="74" spans="23:40" x14ac:dyDescent="0.15">
      <c r="W74" s="14">
        <v>70</v>
      </c>
      <c r="X74" s="14">
        <f>求节点(B$10:B$48,Q$10:Q$48,$W74)*(其他调用!AS74+其他调用!AZ74*$D$50*$D$51)*6</f>
        <v>2402.0190387449015</v>
      </c>
      <c r="Y74" s="14">
        <f>求节点(C$10:C$48,R$10:R$48,$W74)*(其他调用!AT74+其他调用!BA74*$D$50*$D$51)*6</f>
        <v>2578.2273343707207</v>
      </c>
      <c r="Z74" s="14">
        <f>求节点(D$10:D$48,S$10:S$48,$W74)*(其他调用!AU74+其他调用!BB74*$D$50*$D$51)*6</f>
        <v>2769.3130316127604</v>
      </c>
      <c r="AA74" s="14">
        <f>求节点(E$10:E$48,T$10:T$48,$W74)*(其他调用!AV74+其他调用!BC74*$D$50*$D$51)*6</f>
        <v>3164.0336709243898</v>
      </c>
      <c r="AB74" s="14">
        <f>求节点(F$10:F$48,U$10:U$48,$W74)*(其他调用!AW74+其他调用!BD74*$D$50*$D$51)*6</f>
        <v>3143.1084093390591</v>
      </c>
      <c r="AC74" s="14">
        <f>[1]节奏总纲!$BJ73</f>
        <v>3.1666666666666656</v>
      </c>
      <c r="AD74" s="14">
        <f>[1]节奏总纲!$BJ73</f>
        <v>3.1666666666666656</v>
      </c>
      <c r="AE74" s="14">
        <f>[1]节奏总纲!$BJ73</f>
        <v>3.1666666666666656</v>
      </c>
      <c r="AF74" s="14">
        <f>[1]节奏总纲!$BJ73</f>
        <v>3.1666666666666656</v>
      </c>
      <c r="AG74" s="14">
        <f>[1]节奏总纲!$BJ73</f>
        <v>3.1666666666666656</v>
      </c>
      <c r="AI74" s="2">
        <v>70</v>
      </c>
      <c r="AJ74" s="2">
        <f>求节点(节奏总纲!$D$4:$D$113,AC$5:AC$104,$AI74)</f>
        <v>2.8829602816725406</v>
      </c>
      <c r="AK74" s="2">
        <f>求节点(节奏总纲!$D$4:$D$113,AD$5:AD$104,$AI74)</f>
        <v>2.8829602816725406</v>
      </c>
      <c r="AL74" s="2">
        <f>求节点(节奏总纲!$D$4:$D$113,AE$5:AE$104,$AI74)</f>
        <v>2.8829602816725406</v>
      </c>
      <c r="AM74" s="2">
        <f>求节点(节奏总纲!$D$4:$D$113,AF$5:AF$104,$AI74)</f>
        <v>2.8829602816725406</v>
      </c>
      <c r="AN74" s="2">
        <f>求节点(节奏总纲!$D$4:$D$113,AG$5:AG$104,$AI74)</f>
        <v>2.8829602816725406</v>
      </c>
    </row>
    <row r="75" spans="23:40" x14ac:dyDescent="0.15">
      <c r="W75" s="14">
        <v>71</v>
      </c>
      <c r="X75" s="14">
        <f>求节点(B$10:B$48,Q$10:Q$48,$W75)*(其他调用!AS75+其他调用!AZ75*$D$50*$D$51)*6</f>
        <v>2447.6479943120676</v>
      </c>
      <c r="Y75" s="14">
        <f>求节点(C$10:C$48,R$10:R$48,$W75)*(其他调用!AT75+其他调用!BA75*$D$50*$D$51)*6</f>
        <v>2631.5439872223988</v>
      </c>
      <c r="Z75" s="14">
        <f>求节点(D$10:D$48,S$10:S$48,$W75)*(其他调用!AU75+其他调用!BB75*$D$50*$D$51)*6</f>
        <v>2818.2752500673487</v>
      </c>
      <c r="AA75" s="14">
        <f>求节点(E$10:E$48,T$10:T$48,$W75)*(其他调用!AV75+其他调用!BC75*$D$50*$D$51)*6</f>
        <v>3226.3467868196844</v>
      </c>
      <c r="AB75" s="14">
        <f>求节点(F$10:F$48,U$10:U$48,$W75)*(其他调用!AW75+其他调用!BD75*$D$50*$D$51)*6</f>
        <v>3226.4402786620167</v>
      </c>
      <c r="AC75" s="14">
        <f>[1]节奏总纲!$BJ74</f>
        <v>3.1999999999999988</v>
      </c>
      <c r="AD75" s="14">
        <f>[1]节奏总纲!$BJ74</f>
        <v>3.1999999999999988</v>
      </c>
      <c r="AE75" s="14">
        <f>[1]节奏总纲!$BJ74</f>
        <v>3.1999999999999988</v>
      </c>
      <c r="AF75" s="14">
        <f>[1]节奏总纲!$BJ74</f>
        <v>3.1999999999999988</v>
      </c>
      <c r="AG75" s="14">
        <f>[1]节奏总纲!$BJ74</f>
        <v>3.1999999999999988</v>
      </c>
      <c r="AI75" s="2">
        <v>71</v>
      </c>
      <c r="AJ75" s="2">
        <f>求节点(节奏总纲!$D$4:$D$113,AC$5:AC$104,$AI75)</f>
        <v>2.8897309552045072</v>
      </c>
      <c r="AK75" s="2">
        <f>求节点(节奏总纲!$D$4:$D$113,AD$5:AD$104,$AI75)</f>
        <v>2.8897309552045072</v>
      </c>
      <c r="AL75" s="2">
        <f>求节点(节奏总纲!$D$4:$D$113,AE$5:AE$104,$AI75)</f>
        <v>2.8897309552045072</v>
      </c>
      <c r="AM75" s="2">
        <f>求节点(节奏总纲!$D$4:$D$113,AF$5:AF$104,$AI75)</f>
        <v>2.8897309552045072</v>
      </c>
      <c r="AN75" s="2">
        <f>求节点(节奏总纲!$D$4:$D$113,AG$5:AG$104,$AI75)</f>
        <v>2.8897309552045072</v>
      </c>
    </row>
    <row r="76" spans="23:40" x14ac:dyDescent="0.15">
      <c r="W76" s="14">
        <v>72</v>
      </c>
      <c r="X76" s="14">
        <f>求节点(B$10:B$48,Q$10:Q$48,$W76)*(其他调用!AS76+其他调用!AZ76*$D$50*$D$51)*6</f>
        <v>2496.7397674186223</v>
      </c>
      <c r="Y76" s="14">
        <f>求节点(C$10:C$48,R$10:R$48,$W76)*(其他调用!AT76+其他调用!BA76*$D$50*$D$51)*6</f>
        <v>2685.396677554279</v>
      </c>
      <c r="Z76" s="14">
        <f>求节点(D$10:D$48,S$10:S$48,$W76)*(其他调用!AU76+其他调用!BB76*$D$50*$D$51)*6</f>
        <v>2867.6420097336295</v>
      </c>
      <c r="AA76" s="14">
        <f>求节点(E$10:E$48,T$10:T$48,$W76)*(其他调用!AV76+其他调用!BC76*$D$50*$D$51)*6</f>
        <v>3284.9938572787155</v>
      </c>
      <c r="AB76" s="14">
        <f>求节点(F$10:F$48,U$10:U$48,$W76)*(其他调用!AW76+其他调用!BD76*$D$50*$D$51)*6</f>
        <v>3322.386839433012</v>
      </c>
      <c r="AC76" s="14">
        <f>[1]节奏总纲!$BJ75</f>
        <v>3.2333333333333321</v>
      </c>
      <c r="AD76" s="14">
        <f>[1]节奏总纲!$BJ75</f>
        <v>3.2333333333333321</v>
      </c>
      <c r="AE76" s="14">
        <f>[1]节奏总纲!$BJ75</f>
        <v>3.2333333333333321</v>
      </c>
      <c r="AF76" s="14">
        <f>[1]节奏总纲!$BJ75</f>
        <v>3.2333333333333321</v>
      </c>
      <c r="AG76" s="14">
        <f>[1]节奏总纲!$BJ75</f>
        <v>3.2333333333333321</v>
      </c>
      <c r="AI76" s="2">
        <v>72</v>
      </c>
      <c r="AJ76" s="2">
        <f>求节点(节奏总纲!$D$4:$D$113,AC$5:AC$104,$AI76)</f>
        <v>2.8965016287364738</v>
      </c>
      <c r="AK76" s="2">
        <f>求节点(节奏总纲!$D$4:$D$113,AD$5:AD$104,$AI76)</f>
        <v>2.8965016287364738</v>
      </c>
      <c r="AL76" s="2">
        <f>求节点(节奏总纲!$D$4:$D$113,AE$5:AE$104,$AI76)</f>
        <v>2.8965016287364738</v>
      </c>
      <c r="AM76" s="2">
        <f>求节点(节奏总纲!$D$4:$D$113,AF$5:AF$104,$AI76)</f>
        <v>2.8965016287364738</v>
      </c>
      <c r="AN76" s="2">
        <f>求节点(节奏总纲!$D$4:$D$113,AG$5:AG$104,$AI76)</f>
        <v>2.8965016287364738</v>
      </c>
    </row>
    <row r="77" spans="23:40" x14ac:dyDescent="0.15">
      <c r="W77" s="14">
        <v>73</v>
      </c>
      <c r="X77" s="14">
        <f>求节点(B$10:B$48,Q$10:Q$48,$W77)*(其他调用!AS77+其他调用!AZ77*$D$50*$D$51)*6</f>
        <v>2555.5881288204305</v>
      </c>
      <c r="Y77" s="14">
        <f>求节点(C$10:C$48,R$10:R$48,$W77)*(其他调用!AT77+其他调用!BA77*$D$50*$D$51)*6</f>
        <v>2742.9454851655291</v>
      </c>
      <c r="Z77" s="14">
        <f>求节点(D$10:D$48,S$10:S$48,$W77)*(其他调用!AU77+其他调用!BB77*$D$50*$D$51)*6</f>
        <v>2920.8448804800732</v>
      </c>
      <c r="AA77" s="14">
        <f>求节点(E$10:E$48,T$10:T$48,$W77)*(其他调用!AV77+其他调用!BC77*$D$50*$D$51)*6</f>
        <v>3397.9497201809309</v>
      </c>
      <c r="AB77" s="14">
        <f>求节点(F$10:F$48,U$10:U$48,$W77)*(其他调用!AW77+其他调用!BD77*$D$50*$D$51)*6</f>
        <v>3456.488802858501</v>
      </c>
      <c r="AC77" s="14">
        <f>[1]节奏总纲!$BJ76</f>
        <v>3.2666666666666653</v>
      </c>
      <c r="AD77" s="14">
        <f>[1]节奏总纲!$BJ76</f>
        <v>3.2666666666666653</v>
      </c>
      <c r="AE77" s="14">
        <f>[1]节奏总纲!$BJ76</f>
        <v>3.2666666666666653</v>
      </c>
      <c r="AF77" s="14">
        <f>[1]节奏总纲!$BJ76</f>
        <v>3.2666666666666653</v>
      </c>
      <c r="AG77" s="14">
        <f>[1]节奏总纲!$BJ76</f>
        <v>3.2666666666666653</v>
      </c>
      <c r="AI77" s="2">
        <v>73</v>
      </c>
      <c r="AJ77" s="2">
        <f>求节点(节奏总纲!$D$4:$D$113,AC$5:AC$104,$AI77)</f>
        <v>2.9030531659747361</v>
      </c>
      <c r="AK77" s="2">
        <f>求节点(节奏总纲!$D$4:$D$113,AD$5:AD$104,$AI77)</f>
        <v>2.9030531659747361</v>
      </c>
      <c r="AL77" s="2">
        <f>求节点(节奏总纲!$D$4:$D$113,AE$5:AE$104,$AI77)</f>
        <v>2.9030531659747361</v>
      </c>
      <c r="AM77" s="2">
        <f>求节点(节奏总纲!$D$4:$D$113,AF$5:AF$104,$AI77)</f>
        <v>2.9030531659747361</v>
      </c>
      <c r="AN77" s="2">
        <f>求节点(节奏总纲!$D$4:$D$113,AG$5:AG$104,$AI77)</f>
        <v>2.9030531659747361</v>
      </c>
    </row>
    <row r="78" spans="23:40" x14ac:dyDescent="0.15">
      <c r="W78" s="14">
        <v>74</v>
      </c>
      <c r="X78" s="14">
        <f>求节点(B$10:B$48,Q$10:Q$48,$W78)*(其他调用!AS78+其他调用!AZ78*$D$50*$D$51)*6</f>
        <v>2621.0404492553848</v>
      </c>
      <c r="Y78" s="14">
        <f>求节点(C$10:C$48,R$10:R$48,$W78)*(其他调用!AT78+其他调用!BA78*$D$50*$D$51)*6</f>
        <v>2801.4536558538225</v>
      </c>
      <c r="Z78" s="14">
        <f>求节点(D$10:D$48,S$10:S$48,$W78)*(其他调用!AU78+其他调用!BB78*$D$50*$D$51)*6</f>
        <v>2975.5502486856249</v>
      </c>
      <c r="AA78" s="14">
        <f>求节点(E$10:E$48,T$10:T$48,$W78)*(其他调用!AV78+其他调用!BC78*$D$50*$D$51)*6</f>
        <v>3513.3463204427544</v>
      </c>
      <c r="AB78" s="14">
        <f>求节点(F$10:F$48,U$10:U$48,$W78)*(其他调用!AW78+其他调用!BD78*$D$50*$D$51)*6</f>
        <v>3587.8555253952918</v>
      </c>
      <c r="AC78" s="14">
        <f>[1]节奏总纲!$BJ77</f>
        <v>3.2999999999999985</v>
      </c>
      <c r="AD78" s="14">
        <f>[1]节奏总纲!$BJ77</f>
        <v>3.2999999999999985</v>
      </c>
      <c r="AE78" s="14">
        <f>[1]节奏总纲!$BJ77</f>
        <v>3.2999999999999985</v>
      </c>
      <c r="AF78" s="14">
        <f>[1]节奏总纲!$BJ77</f>
        <v>3.2999999999999985</v>
      </c>
      <c r="AG78" s="14">
        <f>[1]节奏总纲!$BJ77</f>
        <v>3.2999999999999985</v>
      </c>
      <c r="AI78" s="2">
        <v>74</v>
      </c>
      <c r="AJ78" s="2">
        <f>求节点(节奏总纲!$D$4:$D$113,AC$5:AC$104,$AI78)</f>
        <v>2.9093704277549857</v>
      </c>
      <c r="AK78" s="2">
        <f>求节点(节奏总纲!$D$4:$D$113,AD$5:AD$104,$AI78)</f>
        <v>2.9093704277549857</v>
      </c>
      <c r="AL78" s="2">
        <f>求节点(节奏总纲!$D$4:$D$113,AE$5:AE$104,$AI78)</f>
        <v>2.9093704277549857</v>
      </c>
      <c r="AM78" s="2">
        <f>求节点(节奏总纲!$D$4:$D$113,AF$5:AF$104,$AI78)</f>
        <v>2.9093704277549857</v>
      </c>
      <c r="AN78" s="2">
        <f>求节点(节奏总纲!$D$4:$D$113,AG$5:AG$104,$AI78)</f>
        <v>2.9093704277549857</v>
      </c>
    </row>
    <row r="79" spans="23:40" x14ac:dyDescent="0.15">
      <c r="W79" s="14">
        <v>75</v>
      </c>
      <c r="X79" s="14">
        <f>求节点(B$10:B$48,Q$10:Q$48,$W79)*(其他调用!AS79+其他调用!AZ79*$D$50*$D$51)*6</f>
        <v>2687.4400743594215</v>
      </c>
      <c r="Y79" s="14">
        <f>求节点(C$10:C$48,R$10:R$48,$W79)*(其他调用!AT79+其他调用!BA79*$D$50*$D$51)*6</f>
        <v>2860.3040387974634</v>
      </c>
      <c r="Z79" s="14">
        <f>求节点(D$10:D$48,S$10:S$48,$W79)*(其他调用!AU79+其他调用!BB79*$D$50*$D$51)*6</f>
        <v>3036.6472091775663</v>
      </c>
      <c r="AA79" s="14">
        <f>求节点(E$10:E$48,T$10:T$48,$W79)*(其他调用!AV79+其他调用!BC79*$D$50*$D$51)*6</f>
        <v>3628.73330914284</v>
      </c>
      <c r="AB79" s="14">
        <f>求节点(F$10:F$48,U$10:U$48,$W79)*(其他调用!AW79+其他调用!BD79*$D$50*$D$51)*6</f>
        <v>3725.0465446456428</v>
      </c>
      <c r="AC79" s="14">
        <f>[1]节奏总纲!$BJ78</f>
        <v>3.3333333333333317</v>
      </c>
      <c r="AD79" s="14">
        <f>[1]节奏总纲!$BJ78</f>
        <v>3.3333333333333317</v>
      </c>
      <c r="AE79" s="14">
        <f>[1]节奏总纲!$BJ78</f>
        <v>3.3333333333333317</v>
      </c>
      <c r="AF79" s="14">
        <f>[1]节奏总纲!$BJ78</f>
        <v>3.3333333333333317</v>
      </c>
      <c r="AG79" s="14">
        <f>[1]节奏总纲!$BJ78</f>
        <v>3.3333333333333317</v>
      </c>
      <c r="AI79" s="2">
        <v>75</v>
      </c>
      <c r="AJ79" s="2">
        <f>求节点(节奏总纲!$D$4:$D$113,AC$5:AC$104,$AI79)</f>
        <v>2.9156876895352357</v>
      </c>
      <c r="AK79" s="2">
        <f>求节点(节奏总纲!$D$4:$D$113,AD$5:AD$104,$AI79)</f>
        <v>2.9156876895352357</v>
      </c>
      <c r="AL79" s="2">
        <f>求节点(节奏总纲!$D$4:$D$113,AE$5:AE$104,$AI79)</f>
        <v>2.9156876895352357</v>
      </c>
      <c r="AM79" s="2">
        <f>求节点(节奏总纲!$D$4:$D$113,AF$5:AF$104,$AI79)</f>
        <v>2.9156876895352357</v>
      </c>
      <c r="AN79" s="2">
        <f>求节点(节奏总纲!$D$4:$D$113,AG$5:AG$104,$AI79)</f>
        <v>2.9156876895352357</v>
      </c>
    </row>
    <row r="80" spans="23:40" x14ac:dyDescent="0.15">
      <c r="W80" s="14">
        <v>76</v>
      </c>
      <c r="X80" s="14">
        <f>求节点(B$10:B$48,Q$10:Q$48,$W80)*(其他调用!AS80+其他调用!AZ80*$D$50*$D$51)*6</f>
        <v>2741.985541616682</v>
      </c>
      <c r="Y80" s="14">
        <f>求节点(C$10:C$48,R$10:R$48,$W80)*(其他调用!AT80+其他调用!BA80*$D$50*$D$51)*6</f>
        <v>2918.5767204672866</v>
      </c>
      <c r="Z80" s="14">
        <f>求节点(D$10:D$48,S$10:S$48,$W80)*(其他调用!AU80+其他调用!BB80*$D$50*$D$51)*6</f>
        <v>3130.5751874285479</v>
      </c>
      <c r="AA80" s="14">
        <f>求节点(E$10:E$48,T$10:T$48,$W80)*(其他调用!AV80+其他调用!BC80*$D$50*$D$51)*6</f>
        <v>3744.0808718258877</v>
      </c>
      <c r="AB80" s="14">
        <f>求节点(F$10:F$48,U$10:U$48,$W80)*(其他调用!AW80+其他调用!BD80*$D$50*$D$51)*6</f>
        <v>3871.2151458738535</v>
      </c>
      <c r="AC80" s="14">
        <f>[1]节奏总纲!$BJ79</f>
        <v>3.3666666666666649</v>
      </c>
      <c r="AD80" s="14">
        <f>[1]节奏总纲!$BJ79</f>
        <v>3.3666666666666649</v>
      </c>
      <c r="AE80" s="14">
        <f>[1]节奏总纲!$BJ79</f>
        <v>3.3666666666666649</v>
      </c>
      <c r="AF80" s="14">
        <f>[1]节奏总纲!$BJ79</f>
        <v>3.3666666666666649</v>
      </c>
      <c r="AG80" s="14">
        <f>[1]节奏总纲!$BJ79</f>
        <v>3.3666666666666649</v>
      </c>
      <c r="AI80" s="2">
        <v>76</v>
      </c>
      <c r="AJ80" s="2">
        <f>求节点(节奏总纲!$D$4:$D$113,AC$5:AC$104,$AI80)</f>
        <v>2.9220049513154858</v>
      </c>
      <c r="AK80" s="2">
        <f>求节点(节奏总纲!$D$4:$D$113,AD$5:AD$104,$AI80)</f>
        <v>2.9220049513154858</v>
      </c>
      <c r="AL80" s="2">
        <f>求节点(节奏总纲!$D$4:$D$113,AE$5:AE$104,$AI80)</f>
        <v>2.9220049513154858</v>
      </c>
      <c r="AM80" s="2">
        <f>求节点(节奏总纲!$D$4:$D$113,AF$5:AF$104,$AI80)</f>
        <v>2.9220049513154858</v>
      </c>
      <c r="AN80" s="2">
        <f>求节点(节奏总纲!$D$4:$D$113,AG$5:AG$104,$AI80)</f>
        <v>2.9220049513154858</v>
      </c>
    </row>
    <row r="81" spans="23:40" x14ac:dyDescent="0.15">
      <c r="W81" s="14">
        <v>77</v>
      </c>
      <c r="X81" s="14">
        <f>求节点(B$10:B$48,Q$10:Q$48,$W81)*(其他调用!AS81+其他调用!AZ81*$D$50*$D$51)*6</f>
        <v>2797.0630827151185</v>
      </c>
      <c r="Y81" s="14">
        <f>求节点(C$10:C$48,R$10:R$48,$W81)*(其他调用!AT81+其他调用!BA81*$D$50*$D$51)*6</f>
        <v>2977.5569856678289</v>
      </c>
      <c r="Z81" s="14">
        <f>求节点(D$10:D$48,S$10:S$48,$W81)*(其他调用!AU81+其他调用!BB81*$D$50*$D$51)*6</f>
        <v>3226.2917995032349</v>
      </c>
      <c r="AA81" s="14">
        <f>求节点(E$10:E$48,T$10:T$48,$W81)*(其他调用!AV81+其他调用!BC81*$D$50*$D$51)*6</f>
        <v>3861.8318411711462</v>
      </c>
      <c r="AB81" s="14">
        <f>求节点(F$10:F$48,U$10:U$48,$W81)*(其他调用!AW81+其他调用!BD81*$D$50*$D$51)*6</f>
        <v>4020.3767004767178</v>
      </c>
      <c r="AC81" s="14">
        <f>[1]节奏总纲!$BJ80</f>
        <v>3.3999999999999981</v>
      </c>
      <c r="AD81" s="14">
        <f>[1]节奏总纲!$BJ80</f>
        <v>3.3999999999999981</v>
      </c>
      <c r="AE81" s="14">
        <f>[1]节奏总纲!$BJ80</f>
        <v>3.3999999999999981</v>
      </c>
      <c r="AF81" s="14">
        <f>[1]节奏总纲!$BJ80</f>
        <v>3.3999999999999981</v>
      </c>
      <c r="AG81" s="14">
        <f>[1]节奏总纲!$BJ80</f>
        <v>3.3999999999999981</v>
      </c>
      <c r="AI81" s="2">
        <v>77</v>
      </c>
      <c r="AJ81" s="2">
        <f>求节点(节奏总纲!$D$4:$D$113,AC$5:AC$104,$AI81)</f>
        <v>2.9283222130957358</v>
      </c>
      <c r="AK81" s="2">
        <f>求节点(节奏总纲!$D$4:$D$113,AD$5:AD$104,$AI81)</f>
        <v>2.9283222130957358</v>
      </c>
      <c r="AL81" s="2">
        <f>求节点(节奏总纲!$D$4:$D$113,AE$5:AE$104,$AI81)</f>
        <v>2.9283222130957358</v>
      </c>
      <c r="AM81" s="2">
        <f>求节点(节奏总纲!$D$4:$D$113,AF$5:AF$104,$AI81)</f>
        <v>2.9283222130957358</v>
      </c>
      <c r="AN81" s="2">
        <f>求节点(节奏总纲!$D$4:$D$113,AG$5:AG$104,$AI81)</f>
        <v>2.9283222130957358</v>
      </c>
    </row>
    <row r="82" spans="23:40" x14ac:dyDescent="0.15">
      <c r="W82" s="14">
        <v>78</v>
      </c>
      <c r="X82" s="14">
        <f>求节点(B$10:B$48,Q$10:Q$48,$W82)*(其他调用!AS82+其他调用!AZ82*$D$50*$D$51)*6</f>
        <v>2854.1262767465987</v>
      </c>
      <c r="Y82" s="14">
        <f>求节点(C$10:C$48,R$10:R$48,$W82)*(其他调用!AT82+其他调用!BA82*$D$50*$D$51)*6</f>
        <v>3050.7299894793291</v>
      </c>
      <c r="Z82" s="14">
        <f>求节点(D$10:D$48,S$10:S$48,$W82)*(其他调用!AU82+其他调用!BB82*$D$50*$D$51)*6</f>
        <v>3328.5502761897078</v>
      </c>
      <c r="AA82" s="14">
        <f>求节点(E$10:E$48,T$10:T$48,$W82)*(其他调用!AV82+其他调用!BC82*$D$50*$D$51)*6</f>
        <v>3997.5240671273291</v>
      </c>
      <c r="AB82" s="14">
        <f>求节点(F$10:F$48,U$10:U$48,$W82)*(其他调用!AW82+其他调用!BD82*$D$50*$D$51)*6</f>
        <v>4176.9227663623597</v>
      </c>
      <c r="AC82" s="14">
        <f>[1]节奏总纲!$BJ81</f>
        <v>3.4333333333333313</v>
      </c>
      <c r="AD82" s="14">
        <f>[1]节奏总纲!$BJ81</f>
        <v>3.4333333333333313</v>
      </c>
      <c r="AE82" s="14">
        <f>[1]节奏总纲!$BJ81</f>
        <v>3.4333333333333313</v>
      </c>
      <c r="AF82" s="14">
        <f>[1]节奏总纲!$BJ81</f>
        <v>3.4333333333333313</v>
      </c>
      <c r="AG82" s="14">
        <f>[1]节奏总纲!$BJ81</f>
        <v>3.4333333333333313</v>
      </c>
      <c r="AI82" s="2">
        <v>78</v>
      </c>
      <c r="AJ82" s="2">
        <f>求节点(节奏总纲!$D$4:$D$113,AC$5:AC$104,$AI82)</f>
        <v>2.9345520064842447</v>
      </c>
      <c r="AK82" s="2">
        <f>求节点(节奏总纲!$D$4:$D$113,AD$5:AD$104,$AI82)</f>
        <v>2.9345520064842447</v>
      </c>
      <c r="AL82" s="2">
        <f>求节点(节奏总纲!$D$4:$D$113,AE$5:AE$104,$AI82)</f>
        <v>2.9345520064842447</v>
      </c>
      <c r="AM82" s="2">
        <f>求节点(节奏总纲!$D$4:$D$113,AF$5:AF$104,$AI82)</f>
        <v>2.9345520064842447</v>
      </c>
      <c r="AN82" s="2">
        <f>求节点(节奏总纲!$D$4:$D$113,AG$5:AG$104,$AI82)</f>
        <v>2.9345520064842447</v>
      </c>
    </row>
    <row r="83" spans="23:40" x14ac:dyDescent="0.15">
      <c r="W83" s="14">
        <v>79</v>
      </c>
      <c r="X83" s="14">
        <f>求节点(B$10:B$48,Q$10:Q$48,$W83)*(其他调用!AS83+其他调用!AZ83*$D$50*$D$51)*6</f>
        <v>2921.2375105934034</v>
      </c>
      <c r="Y83" s="14">
        <f>求节点(C$10:C$48,R$10:R$48,$W83)*(其他调用!AT83+其他调用!BA83*$D$50*$D$51)*6</f>
        <v>3146.7859242690192</v>
      </c>
      <c r="Z83" s="14">
        <f>求节点(D$10:D$48,S$10:S$48,$W83)*(其他调用!AU83+其他调用!BB83*$D$50*$D$51)*6</f>
        <v>3443.5964258722829</v>
      </c>
      <c r="AA83" s="14">
        <f>求节点(E$10:E$48,T$10:T$48,$W83)*(其他调用!AV83+其他调用!BC83*$D$50*$D$51)*6</f>
        <v>4144.4054334688235</v>
      </c>
      <c r="AB83" s="14">
        <f>求节点(F$10:F$48,U$10:U$48,$W83)*(其他调用!AW83+其他调用!BD83*$D$50*$D$51)*6</f>
        <v>4339.8225378328953</v>
      </c>
      <c r="AC83" s="14">
        <f>[1]节奏总纲!$BJ82</f>
        <v>3.4666666666666646</v>
      </c>
      <c r="AD83" s="14">
        <f>[1]节奏总纲!$BJ82</f>
        <v>3.4666666666666646</v>
      </c>
      <c r="AE83" s="14">
        <f>[1]节奏总纲!$BJ82</f>
        <v>3.4666666666666646</v>
      </c>
      <c r="AF83" s="14">
        <f>[1]节奏总纲!$BJ82</f>
        <v>3.4666666666666646</v>
      </c>
      <c r="AG83" s="14">
        <f>[1]节奏总纲!$BJ82</f>
        <v>3.4666666666666646</v>
      </c>
      <c r="AI83" s="2">
        <v>79</v>
      </c>
      <c r="AJ83" s="2">
        <f>求节点(节奏总纲!$D$4:$D$113,AC$5:AC$104,$AI83)</f>
        <v>2.9404462201413928</v>
      </c>
      <c r="AK83" s="2">
        <f>求节点(节奏总纲!$D$4:$D$113,AD$5:AD$104,$AI83)</f>
        <v>2.9404462201413928</v>
      </c>
      <c r="AL83" s="2">
        <f>求节点(节奏总纲!$D$4:$D$113,AE$5:AE$104,$AI83)</f>
        <v>2.9404462201413928</v>
      </c>
      <c r="AM83" s="2">
        <f>求节点(节奏总纲!$D$4:$D$113,AF$5:AF$104,$AI83)</f>
        <v>2.9404462201413928</v>
      </c>
      <c r="AN83" s="2">
        <f>求节点(节奏总纲!$D$4:$D$113,AG$5:AG$104,$AI83)</f>
        <v>2.9404462201413928</v>
      </c>
    </row>
    <row r="84" spans="23:40" x14ac:dyDescent="0.15">
      <c r="W84" s="14">
        <v>80</v>
      </c>
      <c r="X84" s="14">
        <f>求节点(B$10:B$48,Q$10:Q$48,$W84)*(其他调用!AS84+其他调用!AZ84*$D$50*$D$51)*6</f>
        <v>2989.3375668050048</v>
      </c>
      <c r="Y84" s="14">
        <f>求节点(C$10:C$48,R$10:R$48,$W84)*(其他调用!AT84+其他调用!BA84*$D$50*$D$51)*6</f>
        <v>3244.8392361158567</v>
      </c>
      <c r="Z84" s="14">
        <f>求节点(D$10:D$48,S$10:S$48,$W84)*(其他调用!AU84+其他调用!BB84*$D$50*$D$51)*6</f>
        <v>3561.4447923459838</v>
      </c>
      <c r="AA84" s="14">
        <f>求节点(E$10:E$48,T$10:T$48,$W84)*(其他调用!AV84+其他调用!BC84*$D$50*$D$51)*6</f>
        <v>4292.8231045912307</v>
      </c>
      <c r="AB84" s="14">
        <f>求节点(F$10:F$48,U$10:U$48,$W84)*(其他调用!AW84+其他调用!BD84*$D$50*$D$51)*6</f>
        <v>4494.4938198181162</v>
      </c>
      <c r="AC84" s="14">
        <f>[1]节奏总纲!$BJ83</f>
        <v>3.4999999999999978</v>
      </c>
      <c r="AD84" s="14">
        <f>[1]节奏总纲!$BJ83</f>
        <v>3.4999999999999978</v>
      </c>
      <c r="AE84" s="14">
        <f>[1]节奏总纲!$BJ83</f>
        <v>3.4999999999999978</v>
      </c>
      <c r="AF84" s="14">
        <f>[1]节奏总纲!$BJ83</f>
        <v>3.4999999999999978</v>
      </c>
      <c r="AG84" s="14">
        <f>[1]节奏总纲!$BJ83</f>
        <v>3.4999999999999978</v>
      </c>
      <c r="AI84" s="2">
        <v>80</v>
      </c>
      <c r="AJ84" s="2">
        <f>求节点(节奏总纲!$D$4:$D$113,AC$5:AC$104,$AI84)</f>
        <v>2.9463404337985404</v>
      </c>
      <c r="AK84" s="2">
        <f>求节点(节奏总纲!$D$4:$D$113,AD$5:AD$104,$AI84)</f>
        <v>2.9463404337985404</v>
      </c>
      <c r="AL84" s="2">
        <f>求节点(节奏总纲!$D$4:$D$113,AE$5:AE$104,$AI84)</f>
        <v>2.9463404337985404</v>
      </c>
      <c r="AM84" s="2">
        <f>求节点(节奏总纲!$D$4:$D$113,AF$5:AF$104,$AI84)</f>
        <v>2.9463404337985404</v>
      </c>
      <c r="AN84" s="2">
        <f>求节点(节奏总纲!$D$4:$D$113,AG$5:AG$104,$AI84)</f>
        <v>2.9463404337985404</v>
      </c>
    </row>
    <row r="85" spans="23:40" x14ac:dyDescent="0.15">
      <c r="W85" s="14">
        <v>81</v>
      </c>
      <c r="X85" s="14">
        <f>求节点(B$10:B$48,Q$10:Q$48,$W85)*(其他调用!AS85+其他调用!AZ85*$D$50*$D$51)*6</f>
        <v>3074.7343712810843</v>
      </c>
      <c r="Y85" s="14">
        <f>求节点(C$10:C$48,R$10:R$48,$W85)*(其他调用!AT85+其他调用!BA85*$D$50*$D$51)*6</f>
        <v>3356.7223943319132</v>
      </c>
      <c r="Z85" s="14">
        <f>求节点(D$10:D$48,S$10:S$48,$W85)*(其他调用!AU85+其他调用!BB85*$D$50*$D$51)*6</f>
        <v>3674.2383295760633</v>
      </c>
      <c r="AA85" s="14">
        <f>求节点(E$10:E$48,T$10:T$48,$W85)*(其他调用!AV85+其他调用!BC85*$D$50*$D$51)*6</f>
        <v>4436.1513800000839</v>
      </c>
      <c r="AB85" s="14">
        <f>求节点(F$10:F$48,U$10:U$48,$W85)*(其他调用!AW85+其他调用!BD85*$D$50*$D$51)*6</f>
        <v>4644.8664002525338</v>
      </c>
      <c r="AC85" s="14">
        <f>[1]节奏总纲!$BJ84</f>
        <v>3.4999999999999978</v>
      </c>
      <c r="AD85" s="14">
        <f>[1]节奏总纲!$BJ84</f>
        <v>3.4999999999999978</v>
      </c>
      <c r="AE85" s="14">
        <f>[1]节奏总纲!$BJ84</f>
        <v>3.4999999999999978</v>
      </c>
      <c r="AF85" s="14">
        <f>[1]节奏总纲!$BJ84</f>
        <v>3.4999999999999978</v>
      </c>
      <c r="AG85" s="14">
        <f>[1]节奏总纲!$BJ84</f>
        <v>3.4999999999999978</v>
      </c>
      <c r="AI85" s="2">
        <v>81</v>
      </c>
      <c r="AJ85" s="2">
        <f>求节点(节奏总纲!$D$4:$D$113,AC$5:AC$104,$AI85)</f>
        <v>2.9522346474556884</v>
      </c>
      <c r="AK85" s="2">
        <f>求节点(节奏总纲!$D$4:$D$113,AD$5:AD$104,$AI85)</f>
        <v>2.9522346474556884</v>
      </c>
      <c r="AL85" s="2">
        <f>求节点(节奏总纲!$D$4:$D$113,AE$5:AE$104,$AI85)</f>
        <v>2.9522346474556884</v>
      </c>
      <c r="AM85" s="2">
        <f>求节点(节奏总纲!$D$4:$D$113,AF$5:AF$104,$AI85)</f>
        <v>2.9522346474556884</v>
      </c>
      <c r="AN85" s="2">
        <f>求节点(节奏总纲!$D$4:$D$113,AG$5:AG$104,$AI85)</f>
        <v>2.9522346474556884</v>
      </c>
    </row>
    <row r="86" spans="23:40" x14ac:dyDescent="0.15">
      <c r="W86" s="14">
        <v>82</v>
      </c>
      <c r="X86" s="14">
        <f>求节点(B$10:B$48,Q$10:Q$48,$W86)*(其他调用!AS86+其他调用!AZ86*$D$50*$D$51)*6</f>
        <v>3167.9909745655823</v>
      </c>
      <c r="Y86" s="14">
        <f>求节点(C$10:C$48,R$10:R$48,$W86)*(其他调用!AT86+其他调用!BA86*$D$50*$D$51)*6</f>
        <v>3471.0807432263591</v>
      </c>
      <c r="Z86" s="14">
        <f>求节点(D$10:D$48,S$10:S$48,$W86)*(其他调用!AU86+其他调用!BB86*$D$50*$D$51)*6</f>
        <v>3788.1823764249893</v>
      </c>
      <c r="AA86" s="14">
        <f>求节点(E$10:E$48,T$10:T$48,$W86)*(其他调用!AV86+其他调用!BC86*$D$50*$D$51)*6</f>
        <v>4579.9092498513382</v>
      </c>
      <c r="AB86" s="14">
        <f>求节点(F$10:F$48,U$10:U$48,$W86)*(其他调用!AW86+其他调用!BD86*$D$50*$D$51)*6</f>
        <v>4789.229534998065</v>
      </c>
      <c r="AC86" s="14">
        <f>[1]节奏总纲!$BJ85</f>
        <v>3.4999999999999978</v>
      </c>
      <c r="AD86" s="14">
        <f>[1]节奏总纲!$BJ85</f>
        <v>3.4999999999999978</v>
      </c>
      <c r="AE86" s="14">
        <f>[1]节奏总纲!$BJ85</f>
        <v>3.4999999999999978</v>
      </c>
      <c r="AF86" s="14">
        <f>[1]节奏总纲!$BJ85</f>
        <v>3.4999999999999978</v>
      </c>
      <c r="AG86" s="14">
        <f>[1]节奏总纲!$BJ85</f>
        <v>3.4999999999999978</v>
      </c>
      <c r="AI86" s="2">
        <v>82</v>
      </c>
      <c r="AJ86" s="2">
        <f>求节点(节奏总纲!$D$4:$D$113,AC$5:AC$104,$AI86)</f>
        <v>2.958128861112836</v>
      </c>
      <c r="AK86" s="2">
        <f>求节点(节奏总纲!$D$4:$D$113,AD$5:AD$104,$AI86)</f>
        <v>2.958128861112836</v>
      </c>
      <c r="AL86" s="2">
        <f>求节点(节奏总纲!$D$4:$D$113,AE$5:AE$104,$AI86)</f>
        <v>2.958128861112836</v>
      </c>
      <c r="AM86" s="2">
        <f>求节点(节奏总纲!$D$4:$D$113,AF$5:AF$104,$AI86)</f>
        <v>2.958128861112836</v>
      </c>
      <c r="AN86" s="2">
        <f>求节点(节奏总纲!$D$4:$D$113,AG$5:AG$104,$AI86)</f>
        <v>2.958128861112836</v>
      </c>
    </row>
    <row r="87" spans="23:40" x14ac:dyDescent="0.15">
      <c r="W87" s="14">
        <v>83</v>
      </c>
      <c r="X87" s="14">
        <f>求节点(B$10:B$48,Q$10:Q$48,$W87)*(其他调用!AS87+其他调用!AZ87*$D$50*$D$51)*6</f>
        <v>3267.0684241631079</v>
      </c>
      <c r="Y87" s="14">
        <f>求节点(C$10:C$48,R$10:R$48,$W87)*(其他调用!AT87+其他调用!BA87*$D$50*$D$51)*6</f>
        <v>3583.0286986018</v>
      </c>
      <c r="Z87" s="14">
        <f>求节点(D$10:D$48,S$10:S$48,$W87)*(其他调用!AU87+其他调用!BB87*$D$50*$D$51)*6</f>
        <v>3905.8518863746476</v>
      </c>
      <c r="AA87" s="14">
        <f>求节点(E$10:E$48,T$10:T$48,$W87)*(其他调用!AV87+其他调用!BC87*$D$50*$D$51)*6</f>
        <v>4697.1190225099308</v>
      </c>
      <c r="AB87" s="14">
        <f>求节点(F$10:F$48,U$10:U$48,$W87)*(其他调用!AW87+其他调用!BD87*$D$50*$D$51)*6</f>
        <v>4875.8962139312298</v>
      </c>
      <c r="AC87" s="14">
        <f>[1]节奏总纲!$BJ86</f>
        <v>3.4999999999999978</v>
      </c>
      <c r="AD87" s="14">
        <f>[1]节奏总纲!$BJ86</f>
        <v>3.4999999999999978</v>
      </c>
      <c r="AE87" s="14">
        <f>[1]节奏总纲!$BJ86</f>
        <v>3.4999999999999978</v>
      </c>
      <c r="AF87" s="14">
        <f>[1]节奏总纲!$BJ86</f>
        <v>3.4999999999999978</v>
      </c>
      <c r="AG87" s="14">
        <f>[1]节奏总纲!$BJ86</f>
        <v>3.4999999999999978</v>
      </c>
      <c r="AI87" s="2">
        <v>83</v>
      </c>
      <c r="AJ87" s="2">
        <f>求节点(节奏总纲!$D$4:$D$113,AC$5:AC$104,$AI87)</f>
        <v>2.9640230747699841</v>
      </c>
      <c r="AK87" s="2">
        <f>求节点(节奏总纲!$D$4:$D$113,AD$5:AD$104,$AI87)</f>
        <v>2.9640230747699841</v>
      </c>
      <c r="AL87" s="2">
        <f>求节点(节奏总纲!$D$4:$D$113,AE$5:AE$104,$AI87)</f>
        <v>2.9640230747699841</v>
      </c>
      <c r="AM87" s="2">
        <f>求节点(节奏总纲!$D$4:$D$113,AF$5:AF$104,$AI87)</f>
        <v>2.9640230747699841</v>
      </c>
      <c r="AN87" s="2">
        <f>求节点(节奏总纲!$D$4:$D$113,AG$5:AG$104,$AI87)</f>
        <v>2.9640230747699841</v>
      </c>
    </row>
    <row r="88" spans="23:40" x14ac:dyDescent="0.15">
      <c r="W88" s="14">
        <v>84</v>
      </c>
      <c r="X88" s="14">
        <f>求节点(B$10:B$48,Q$10:Q$48,$W88)*(其他调用!AS88+其他调用!AZ88*$D$50*$D$51)*6</f>
        <v>3370.1696163337297</v>
      </c>
      <c r="Y88" s="14">
        <f>求节点(C$10:C$48,R$10:R$48,$W88)*(其他调用!AT88+其他调用!BA88*$D$50*$D$51)*6</f>
        <v>3695.8010280073349</v>
      </c>
      <c r="Z88" s="14">
        <f>求节点(D$10:D$48,S$10:S$48,$W88)*(其他调用!AU88+其他调用!BB88*$D$50*$D$51)*6</f>
        <v>4026.5011747833696</v>
      </c>
      <c r="AA88" s="14">
        <f>求节点(E$10:E$48,T$10:T$48,$W88)*(其他调用!AV88+其他调用!BC88*$D$50*$D$51)*6</f>
        <v>4803.2450228703719</v>
      </c>
      <c r="AB88" s="14">
        <f>求节点(F$10:F$48,U$10:U$48,$W88)*(其他调用!AW88+其他调用!BD88*$D$50*$D$51)*6</f>
        <v>4956.6040956440011</v>
      </c>
      <c r="AC88" s="14">
        <f>[1]节奏总纲!$BJ87</f>
        <v>3.4999999999999978</v>
      </c>
      <c r="AD88" s="14">
        <f>[1]节奏总纲!$BJ87</f>
        <v>3.4999999999999978</v>
      </c>
      <c r="AE88" s="14">
        <f>[1]节奏总纲!$BJ87</f>
        <v>3.4999999999999978</v>
      </c>
      <c r="AF88" s="14">
        <f>[1]节奏总纲!$BJ87</f>
        <v>3.4999999999999978</v>
      </c>
      <c r="AG88" s="14">
        <f>[1]节奏总纲!$BJ87</f>
        <v>3.4999999999999978</v>
      </c>
      <c r="AI88" s="2">
        <v>84</v>
      </c>
      <c r="AJ88" s="2">
        <f>求节点(节奏总纲!$D$4:$D$113,AC$5:AC$104,$AI88)</f>
        <v>2.9696996040121881</v>
      </c>
      <c r="AK88" s="2">
        <f>求节点(节奏总纲!$D$4:$D$113,AD$5:AD$104,$AI88)</f>
        <v>2.9696996040121881</v>
      </c>
      <c r="AL88" s="2">
        <f>求节点(节奏总纲!$D$4:$D$113,AE$5:AE$104,$AI88)</f>
        <v>2.9696996040121881</v>
      </c>
      <c r="AM88" s="2">
        <f>求节点(节奏总纲!$D$4:$D$113,AF$5:AF$104,$AI88)</f>
        <v>2.9696996040121881</v>
      </c>
      <c r="AN88" s="2">
        <f>求节点(节奏总纲!$D$4:$D$113,AG$5:AG$104,$AI88)</f>
        <v>2.9696996040121881</v>
      </c>
    </row>
    <row r="89" spans="23:40" x14ac:dyDescent="0.15">
      <c r="W89" s="14">
        <v>85</v>
      </c>
      <c r="X89" s="14">
        <f>求节点(B$10:B$48,Q$10:Q$48,$W89)*(其他调用!AS89+其他调用!AZ89*$D$50*$D$51)*6</f>
        <v>3478.5098591597043</v>
      </c>
      <c r="Y89" s="14">
        <f>求节点(C$10:C$48,R$10:R$48,$W89)*(其他调用!AT89+其他调用!BA89*$D$50*$D$51)*6</f>
        <v>3803.306059703466</v>
      </c>
      <c r="Z89" s="14">
        <f>求节点(D$10:D$48,S$10:S$48,$W89)*(其他调用!AU89+其他调用!BB89*$D$50*$D$51)*6</f>
        <v>4160.6605481769811</v>
      </c>
      <c r="AA89" s="14">
        <f>求节点(E$10:E$48,T$10:T$48,$W89)*(其他调用!AV89+其他调用!BC89*$D$50*$D$51)*6</f>
        <v>4873.8029797117415</v>
      </c>
      <c r="AB89" s="14">
        <f>求节点(F$10:F$48,U$10:U$48,$W89)*(其他调用!AW89+其他调用!BD89*$D$50*$D$51)*6</f>
        <v>5024.1903656039794</v>
      </c>
      <c r="AC89" s="14">
        <f>[1]节奏总纲!$BJ88</f>
        <v>3.4999999999999978</v>
      </c>
      <c r="AD89" s="14">
        <f>[1]节奏总纲!$BJ88</f>
        <v>3.4999999999999978</v>
      </c>
      <c r="AE89" s="14">
        <f>[1]节奏总纲!$BJ88</f>
        <v>3.4999999999999978</v>
      </c>
      <c r="AF89" s="14">
        <f>[1]节奏总纲!$BJ88</f>
        <v>3.4999999999999978</v>
      </c>
      <c r="AG89" s="14">
        <f>[1]节奏总纲!$BJ88</f>
        <v>3.4999999999999978</v>
      </c>
      <c r="AI89" s="2">
        <v>85</v>
      </c>
      <c r="AJ89" s="2">
        <f>求节点(节奏总纲!$D$4:$D$113,AC$5:AC$104,$AI89)</f>
        <v>2.9751990998134739</v>
      </c>
      <c r="AK89" s="2">
        <f>求节点(节奏总纲!$D$4:$D$113,AD$5:AD$104,$AI89)</f>
        <v>2.9751990998134739</v>
      </c>
      <c r="AL89" s="2">
        <f>求节点(节奏总纲!$D$4:$D$113,AE$5:AE$104,$AI89)</f>
        <v>2.9751990998134739</v>
      </c>
      <c r="AM89" s="2">
        <f>求节点(节奏总纲!$D$4:$D$113,AF$5:AF$104,$AI89)</f>
        <v>2.9751990998134739</v>
      </c>
      <c r="AN89" s="2">
        <f>求节点(节奏总纲!$D$4:$D$113,AG$5:AG$104,$AI89)</f>
        <v>2.9751990998134739</v>
      </c>
    </row>
    <row r="90" spans="23:40" x14ac:dyDescent="0.15">
      <c r="W90" s="14">
        <v>86</v>
      </c>
      <c r="X90" s="14">
        <f>求节点(B$10:B$48,Q$10:Q$48,$W90)*(其他调用!AS90+其他调用!AZ90*$D$50*$D$51)*6</f>
        <v>3589.6023442753253</v>
      </c>
      <c r="Y90" s="14">
        <f>求节点(C$10:C$48,R$10:R$48,$W90)*(其他调用!AT90+其他调用!BA90*$D$50*$D$51)*6</f>
        <v>3912.8604357305712</v>
      </c>
      <c r="Z90" s="14">
        <f>求节点(D$10:D$48,S$10:S$48,$W90)*(其他调用!AU90+其他调用!BB90*$D$50*$D$51)*6</f>
        <v>4298.2499162833883</v>
      </c>
      <c r="AA90" s="14">
        <f>求节点(E$10:E$48,T$10:T$48,$W90)*(其他调用!AV90+其他调用!BC90*$D$50*$D$51)*6</f>
        <v>4944.9225701332844</v>
      </c>
      <c r="AB90" s="14">
        <f>求节点(F$10:F$48,U$10:U$48,$W90)*(其他调用!AW90+其他调用!BD90*$D$50*$D$51)*6</f>
        <v>5092.4145897722155</v>
      </c>
      <c r="AC90" s="14">
        <f>[1]节奏总纲!$BJ89</f>
        <v>3.4999999999999978</v>
      </c>
      <c r="AD90" s="14">
        <f>[1]节奏总纲!$BJ89</f>
        <v>3.4999999999999978</v>
      </c>
      <c r="AE90" s="14">
        <f>[1]节奏总纲!$BJ89</f>
        <v>3.4999999999999978</v>
      </c>
      <c r="AF90" s="14">
        <f>[1]节奏总纲!$BJ89</f>
        <v>3.4999999999999978</v>
      </c>
      <c r="AG90" s="14">
        <f>[1]节奏总纲!$BJ89</f>
        <v>3.4999999999999978</v>
      </c>
      <c r="AI90" s="2">
        <v>86</v>
      </c>
      <c r="AJ90" s="2">
        <f>求节点(节奏总纲!$D$4:$D$113,AC$5:AC$104,$AI90)</f>
        <v>2.9806985956147591</v>
      </c>
      <c r="AK90" s="2">
        <f>求节点(节奏总纲!$D$4:$D$113,AD$5:AD$104,$AI90)</f>
        <v>2.9806985956147591</v>
      </c>
      <c r="AL90" s="2">
        <f>求节点(节奏总纲!$D$4:$D$113,AE$5:AE$104,$AI90)</f>
        <v>2.9806985956147591</v>
      </c>
      <c r="AM90" s="2">
        <f>求节点(节奏总纲!$D$4:$D$113,AF$5:AF$104,$AI90)</f>
        <v>2.9806985956147591</v>
      </c>
      <c r="AN90" s="2">
        <f>求节点(节奏总纲!$D$4:$D$113,AG$5:AG$104,$AI90)</f>
        <v>2.9806985956147591</v>
      </c>
    </row>
    <row r="91" spans="23:40" x14ac:dyDescent="0.15">
      <c r="W91" s="14">
        <v>87</v>
      </c>
      <c r="X91" s="14">
        <f>求节点(B$10:B$48,Q$10:Q$48,$W91)*(其他调用!AS91+其他调用!AZ91*$D$50*$D$51)*6</f>
        <v>3692.8560220605614</v>
      </c>
      <c r="Y91" s="14">
        <f>求节点(C$10:C$48,R$10:R$48,$W91)*(其他调用!AT91+其他调用!BA91*$D$50*$D$51)*6</f>
        <v>4028.3998064924808</v>
      </c>
      <c r="Z91" s="14">
        <f>求节点(D$10:D$48,S$10:S$48,$W91)*(其他调用!AU91+其他调用!BB91*$D$50*$D$51)*6</f>
        <v>4431.7625810558566</v>
      </c>
      <c r="AA91" s="14">
        <f>求节点(E$10:E$48,T$10:T$48,$W91)*(其他调用!AV91+其他调用!BC91*$D$50*$D$51)*6</f>
        <v>5012.0588118158448</v>
      </c>
      <c r="AB91" s="14">
        <f>求节点(F$10:F$48,U$10:U$48,$W91)*(其他调用!AW91+其他调用!BD91*$D$50*$D$51)*6</f>
        <v>5158.9417102645421</v>
      </c>
      <c r="AC91" s="14">
        <f>[1]节奏总纲!$BJ90</f>
        <v>3.4999999999999978</v>
      </c>
      <c r="AD91" s="14">
        <f>[1]节奏总纲!$BJ90</f>
        <v>3.4999999999999978</v>
      </c>
      <c r="AE91" s="14">
        <f>[1]节奏总纲!$BJ90</f>
        <v>3.4999999999999978</v>
      </c>
      <c r="AF91" s="14">
        <f>[1]节奏总纲!$BJ90</f>
        <v>3.4999999999999978</v>
      </c>
      <c r="AG91" s="14">
        <f>[1]节奏总纲!$BJ90</f>
        <v>3.4999999999999978</v>
      </c>
      <c r="AI91" s="2">
        <v>87</v>
      </c>
      <c r="AJ91" s="2">
        <f>求节点(节奏总纲!$D$4:$D$113,AC$5:AC$104,$AI91)</f>
        <v>2.9861980914160449</v>
      </c>
      <c r="AK91" s="2">
        <f>求节点(节奏总纲!$D$4:$D$113,AD$5:AD$104,$AI91)</f>
        <v>2.9861980914160449</v>
      </c>
      <c r="AL91" s="2">
        <f>求节点(节奏总纲!$D$4:$D$113,AE$5:AE$104,$AI91)</f>
        <v>2.9861980914160449</v>
      </c>
      <c r="AM91" s="2">
        <f>求节点(节奏总纲!$D$4:$D$113,AF$5:AF$104,$AI91)</f>
        <v>2.9861980914160449</v>
      </c>
      <c r="AN91" s="2">
        <f>求节点(节奏总纲!$D$4:$D$113,AG$5:AG$104,$AI91)</f>
        <v>2.9861980914160449</v>
      </c>
    </row>
    <row r="92" spans="23:40" x14ac:dyDescent="0.15">
      <c r="W92" s="14">
        <v>88</v>
      </c>
      <c r="X92" s="14">
        <f>求节点(B$10:B$48,Q$10:Q$48,$W92)*(其他调用!AS92+其他调用!AZ92*$D$50*$D$51)*6</f>
        <v>3919.0011967494238</v>
      </c>
      <c r="Y92" s="14">
        <f>求节点(C$10:C$48,R$10:R$48,$W92)*(其他调用!AT92+其他调用!BA92*$D$50*$D$51)*6</f>
        <v>4285.0955309779483</v>
      </c>
      <c r="Z92" s="14">
        <f>求节点(D$10:D$48,S$10:S$48,$W92)*(其他调用!AU92+其他调用!BB92*$D$50*$D$51)*6</f>
        <v>4711.9341086595587</v>
      </c>
      <c r="AA92" s="14">
        <f>求节点(E$10:E$48,T$10:T$48,$W92)*(其他调用!AV92+其他调用!BC92*$D$50*$D$51)*6</f>
        <v>5243.71405036541</v>
      </c>
      <c r="AB92" s="14">
        <f>求节点(F$10:F$48,U$10:U$48,$W92)*(其他调用!AW92+其他调用!BD92*$D$50*$D$51)*6</f>
        <v>5409.3863649789555</v>
      </c>
      <c r="AC92" s="14">
        <f>[1]节奏总纲!$BJ91</f>
        <v>3.4999999999999978</v>
      </c>
      <c r="AD92" s="14">
        <f>[1]节奏总纲!$BJ91</f>
        <v>3.4999999999999978</v>
      </c>
      <c r="AE92" s="14">
        <f>[1]节奏总纲!$BJ91</f>
        <v>3.4999999999999978</v>
      </c>
      <c r="AF92" s="14">
        <f>[1]节奏总纲!$BJ91</f>
        <v>3.4999999999999978</v>
      </c>
      <c r="AG92" s="14">
        <f>[1]节奏总纲!$BJ91</f>
        <v>3.4999999999999978</v>
      </c>
      <c r="AI92" s="2">
        <v>88</v>
      </c>
      <c r="AJ92" s="2">
        <f>求节点(节奏总纲!$D$4:$D$113,AC$5:AC$104,$AI92)</f>
        <v>2.9916975872173306</v>
      </c>
      <c r="AK92" s="2">
        <f>求节点(节奏总纲!$D$4:$D$113,AD$5:AD$104,$AI92)</f>
        <v>2.9916975872173306</v>
      </c>
      <c r="AL92" s="2">
        <f>求节点(节奏总纲!$D$4:$D$113,AE$5:AE$104,$AI92)</f>
        <v>2.9916975872173306</v>
      </c>
      <c r="AM92" s="2">
        <f>求节点(节奏总纲!$D$4:$D$113,AF$5:AF$104,$AI92)</f>
        <v>2.9916975872173306</v>
      </c>
      <c r="AN92" s="2">
        <f>求节点(节奏总纲!$D$4:$D$113,AG$5:AG$104,$AI92)</f>
        <v>2.9916975872173306</v>
      </c>
    </row>
    <row r="93" spans="23:40" x14ac:dyDescent="0.15">
      <c r="W93" s="14">
        <v>89</v>
      </c>
      <c r="X93" s="14">
        <f>求节点(B$10:B$48,Q$10:Q$48,$W93)*(其他调用!AS93+其他调用!AZ93*$D$50*$D$51)*6</f>
        <v>4018.6871094810672</v>
      </c>
      <c r="Y93" s="14">
        <f>求节点(C$10:C$48,R$10:R$48,$W93)*(其他调用!AT93+其他调用!BA93*$D$50*$D$51)*6</f>
        <v>4409.167057829306</v>
      </c>
      <c r="Z93" s="14">
        <f>求节点(D$10:D$48,S$10:S$48,$W93)*(其他调用!AU93+其他调用!BB93*$D$50*$D$51)*6</f>
        <v>4849.0563574217849</v>
      </c>
      <c r="AA93" s="14">
        <f>求节点(E$10:E$48,T$10:T$48,$W93)*(其他调用!AV93+其他调用!BC93*$D$50*$D$51)*6</f>
        <v>5313.0161618161364</v>
      </c>
      <c r="AB93" s="14">
        <f>求节点(F$10:F$48,U$10:U$48,$W93)*(其他调用!AW93+其他调用!BD93*$D$50*$D$51)*6</f>
        <v>5504.433992416597</v>
      </c>
      <c r="AC93" s="14">
        <f>[1]节奏总纲!$BJ92</f>
        <v>3.4999999999999978</v>
      </c>
      <c r="AD93" s="14">
        <f>[1]节奏总纲!$BJ92</f>
        <v>3.4999999999999978</v>
      </c>
      <c r="AE93" s="14">
        <f>[1]节奏总纲!$BJ92</f>
        <v>3.4999999999999978</v>
      </c>
      <c r="AF93" s="14">
        <f>[1]节奏总纲!$BJ92</f>
        <v>3.4999999999999978</v>
      </c>
      <c r="AG93" s="14">
        <f>[1]节奏总纲!$BJ92</f>
        <v>3.4999999999999978</v>
      </c>
      <c r="AI93" s="2">
        <v>89</v>
      </c>
      <c r="AJ93" s="2">
        <f>求节点(节奏总纲!$D$4:$D$113,AC$5:AC$104,$AI93)</f>
        <v>2.9971970830186163</v>
      </c>
      <c r="AK93" s="2">
        <f>求节点(节奏总纲!$D$4:$D$113,AD$5:AD$104,$AI93)</f>
        <v>2.9971970830186163</v>
      </c>
      <c r="AL93" s="2">
        <f>求节点(节奏总纲!$D$4:$D$113,AE$5:AE$104,$AI93)</f>
        <v>2.9971970830186163</v>
      </c>
      <c r="AM93" s="2">
        <f>求节点(节奏总纲!$D$4:$D$113,AF$5:AF$104,$AI93)</f>
        <v>2.9971970830186163</v>
      </c>
      <c r="AN93" s="2">
        <f>求节点(节奏总纲!$D$4:$D$113,AG$5:AG$104,$AI93)</f>
        <v>2.9971970830186163</v>
      </c>
    </row>
    <row r="94" spans="23:40" x14ac:dyDescent="0.15">
      <c r="W94" s="14">
        <v>90</v>
      </c>
      <c r="X94" s="14">
        <f>求节点(B$10:B$48,Q$10:Q$48,$W94)*(其他调用!AS94+其他调用!AZ94*$D$50*$D$51)*6</f>
        <v>4120.2409711469463</v>
      </c>
      <c r="Y94" s="14">
        <f>求节点(C$10:C$48,R$10:R$48,$W94)*(其他调用!AT94+其他调用!BA94*$D$50*$D$51)*6</f>
        <v>4535.81002703793</v>
      </c>
      <c r="Z94" s="14">
        <f>求节点(D$10:D$48,S$10:S$48,$W94)*(其他调用!AU94+其他调用!BB94*$D$50*$D$51)*6</f>
        <v>4988.701971264386</v>
      </c>
      <c r="AA94" s="14">
        <f>求节点(E$10:E$48,T$10:T$48,$W94)*(其他调用!AV94+其他调用!BC94*$D$50*$D$51)*6</f>
        <v>5405.229256474152</v>
      </c>
      <c r="AB94" s="14">
        <f>求节点(F$10:F$48,U$10:U$48,$W94)*(其他调用!AW94+其他调用!BD94*$D$50*$D$51)*6</f>
        <v>5600.3814825965947</v>
      </c>
      <c r="AC94" s="14">
        <f>[1]节奏总纲!$BJ93</f>
        <v>3.4999999999999978</v>
      </c>
      <c r="AD94" s="14">
        <f>[1]节奏总纲!$BJ93</f>
        <v>3.4999999999999978</v>
      </c>
      <c r="AE94" s="14">
        <f>[1]节奏总纲!$BJ93</f>
        <v>3.4999999999999978</v>
      </c>
      <c r="AF94" s="14">
        <f>[1]节奏总纲!$BJ93</f>
        <v>3.4999999999999978</v>
      </c>
      <c r="AG94" s="14">
        <f>[1]节奏总纲!$BJ93</f>
        <v>3.4999999999999978</v>
      </c>
      <c r="AI94" s="2">
        <v>90</v>
      </c>
      <c r="AJ94" s="2">
        <f>求节点(节奏总纲!$D$4:$D$113,AC$5:AC$104,$AI94)</f>
        <v>3.0025159970032482</v>
      </c>
      <c r="AK94" s="2">
        <f>求节点(节奏总纲!$D$4:$D$113,AD$5:AD$104,$AI94)</f>
        <v>3.0025159970032482</v>
      </c>
      <c r="AL94" s="2">
        <f>求节点(节奏总纲!$D$4:$D$113,AE$5:AE$104,$AI94)</f>
        <v>3.0025159970032482</v>
      </c>
      <c r="AM94" s="2">
        <f>求节点(节奏总纲!$D$4:$D$113,AF$5:AF$104,$AI94)</f>
        <v>3.0025159970032482</v>
      </c>
      <c r="AN94" s="2">
        <f>求节点(节奏总纲!$D$4:$D$113,AG$5:AG$104,$AI94)</f>
        <v>3.0025159970032482</v>
      </c>
    </row>
    <row r="95" spans="23:40" x14ac:dyDescent="0.15">
      <c r="W95" s="14">
        <v>91</v>
      </c>
      <c r="X95" s="14">
        <f>求节点(B$10:B$48,Q$10:Q$48,$W95)*(其他调用!AS95+其他调用!AZ95*$D$50*$D$51)*6</f>
        <v>4229.1724840610295</v>
      </c>
      <c r="Y95" s="14">
        <f>求节点(C$10:C$48,R$10:R$48,$W95)*(其他调用!AT95+其他调用!BA95*$D$50*$D$51)*6</f>
        <v>4666.652893287026</v>
      </c>
      <c r="Z95" s="14">
        <f>求节点(D$10:D$48,S$10:S$48,$W95)*(其他调用!AU95+其他调用!BB95*$D$50*$D$51)*6</f>
        <v>5120.7250355415526</v>
      </c>
      <c r="AA95" s="14">
        <f>求节点(E$10:E$48,T$10:T$48,$W95)*(其他调用!AV95+其他调用!BC95*$D$50*$D$51)*6</f>
        <v>5501.8660983461232</v>
      </c>
      <c r="AB95" s="14">
        <f>求节点(F$10:F$48,U$10:U$48,$W95)*(其他调用!AW95+其他调用!BD95*$D$50*$D$51)*6</f>
        <v>5700.2326961705858</v>
      </c>
      <c r="AC95" s="14">
        <f>[1]节奏总纲!$BJ94</f>
        <v>3.4999999999999978</v>
      </c>
      <c r="AD95" s="14">
        <f>[1]节奏总纲!$BJ94</f>
        <v>3.4999999999999978</v>
      </c>
      <c r="AE95" s="14">
        <f>[1]节奏总纲!$BJ94</f>
        <v>3.4999999999999978</v>
      </c>
      <c r="AF95" s="14">
        <f>[1]节奏总纲!$BJ94</f>
        <v>3.4999999999999978</v>
      </c>
      <c r="AG95" s="14">
        <f>[1]节奏总纲!$BJ94</f>
        <v>3.4999999999999978</v>
      </c>
      <c r="AI95" s="2">
        <v>91</v>
      </c>
      <c r="AJ95" s="2">
        <f>求节点(节奏总纲!$D$4:$D$113,AC$5:AC$104,$AI95)</f>
        <v>3.0076472080226657</v>
      </c>
      <c r="AK95" s="2">
        <f>求节点(节奏总纲!$D$4:$D$113,AD$5:AD$104,$AI95)</f>
        <v>3.0076472080226657</v>
      </c>
      <c r="AL95" s="2">
        <f>求节点(节奏总纲!$D$4:$D$113,AE$5:AE$104,$AI95)</f>
        <v>3.0076472080226657</v>
      </c>
      <c r="AM95" s="2">
        <f>求节点(节奏总纲!$D$4:$D$113,AF$5:AF$104,$AI95)</f>
        <v>3.0076472080226657</v>
      </c>
      <c r="AN95" s="2">
        <f>求节点(节奏总纲!$D$4:$D$113,AG$5:AG$104,$AI95)</f>
        <v>3.0076472080226657</v>
      </c>
    </row>
    <row r="96" spans="23:40" x14ac:dyDescent="0.15">
      <c r="W96" s="14">
        <v>92</v>
      </c>
      <c r="X96" s="14">
        <f>求节点(B$10:B$48,Q$10:Q$48,$W96)*(其他调用!AS96+其他调用!AZ96*$D$50*$D$51)*6</f>
        <v>4341.7414560569705</v>
      </c>
      <c r="Y96" s="14">
        <f>求节点(C$10:C$48,R$10:R$48,$W96)*(其他调用!AT96+其他调用!BA96*$D$50*$D$51)*6</f>
        <v>4808.8410257729438</v>
      </c>
      <c r="Z96" s="14">
        <f>求节点(D$10:D$48,S$10:S$48,$W96)*(其他调用!AU96+其他调用!BB96*$D$50*$D$51)*6</f>
        <v>5250.9578114625883</v>
      </c>
      <c r="AA96" s="14">
        <f>求节点(E$10:E$48,T$10:T$48,$W96)*(其他调用!AV96+其他调用!BC96*$D$50*$D$51)*6</f>
        <v>5601.0210500314406</v>
      </c>
      <c r="AB96" s="14">
        <f>求节点(F$10:F$48,U$10:U$48,$W96)*(其他调用!AW96+其他调用!BD96*$D$50*$D$51)*6</f>
        <v>5802.311249259702</v>
      </c>
      <c r="AC96" s="14">
        <f>[1]节奏总纲!$BJ95</f>
        <v>3.4999999999999978</v>
      </c>
      <c r="AD96" s="14">
        <f>[1]节奏总纲!$BJ95</f>
        <v>3.4999999999999978</v>
      </c>
      <c r="AE96" s="14">
        <f>[1]节奏总纲!$BJ95</f>
        <v>3.4999999999999978</v>
      </c>
      <c r="AF96" s="14">
        <f>[1]节奏总纲!$BJ95</f>
        <v>3.4999999999999978</v>
      </c>
      <c r="AG96" s="14">
        <f>[1]节奏总纲!$BJ95</f>
        <v>3.4999999999999978</v>
      </c>
      <c r="AI96" s="2">
        <v>92</v>
      </c>
      <c r="AJ96" s="2">
        <f>求节点(节奏总纲!$D$4:$D$113,AC$5:AC$104,$AI96)</f>
        <v>3.0127784190420837</v>
      </c>
      <c r="AK96" s="2">
        <f>求节点(节奏总纲!$D$4:$D$113,AD$5:AD$104,$AI96)</f>
        <v>3.0127784190420837</v>
      </c>
      <c r="AL96" s="2">
        <f>求节点(节奏总纲!$D$4:$D$113,AE$5:AE$104,$AI96)</f>
        <v>3.0127784190420837</v>
      </c>
      <c r="AM96" s="2">
        <f>求节点(节奏总纲!$D$4:$D$113,AF$5:AF$104,$AI96)</f>
        <v>3.0127784190420837</v>
      </c>
      <c r="AN96" s="2">
        <f>求节点(节奏总纲!$D$4:$D$113,AG$5:AG$104,$AI96)</f>
        <v>3.0127784190420837</v>
      </c>
    </row>
    <row r="97" spans="23:40" x14ac:dyDescent="0.15">
      <c r="W97" s="14">
        <v>93</v>
      </c>
      <c r="X97" s="14">
        <f>求节点(B$10:B$48,Q$10:Q$48,$W97)*(其他调用!AS97+其他调用!AZ97*$D$50*$D$51)*6</f>
        <v>4461.939632638233</v>
      </c>
      <c r="Y97" s="14">
        <f>求节点(C$10:C$48,R$10:R$48,$W97)*(其他调用!AT97+其他调用!BA97*$D$50*$D$51)*6</f>
        <v>4971.3009427967545</v>
      </c>
      <c r="Z97" s="14">
        <f>求节点(D$10:D$48,S$10:S$48,$W97)*(其他调用!AU97+其他调用!BB97*$D$50*$D$51)*6</f>
        <v>5384.6516168478747</v>
      </c>
      <c r="AA97" s="14">
        <f>求节点(E$10:E$48,T$10:T$48,$W97)*(其他调用!AV97+其他调用!BC97*$D$50*$D$51)*6</f>
        <v>5700.7007037152307</v>
      </c>
      <c r="AB97" s="14">
        <f>求节点(F$10:F$48,U$10:U$48,$W97)*(其他调用!AW97+其他调用!BD97*$D$50*$D$51)*6</f>
        <v>5904.9688510182395</v>
      </c>
      <c r="AC97" s="14">
        <f>[1]节奏总纲!$BJ96</f>
        <v>3.4999999999999978</v>
      </c>
      <c r="AD97" s="14">
        <f>[1]节奏总纲!$BJ96</f>
        <v>3.4999999999999978</v>
      </c>
      <c r="AE97" s="14">
        <f>[1]节奏总纲!$BJ96</f>
        <v>3.4999999999999978</v>
      </c>
      <c r="AF97" s="14">
        <f>[1]节奏总纲!$BJ96</f>
        <v>3.4999999999999978</v>
      </c>
      <c r="AG97" s="14">
        <f>[1]节奏总纲!$BJ96</f>
        <v>3.4999999999999978</v>
      </c>
      <c r="AI97" s="2">
        <v>93</v>
      </c>
      <c r="AJ97" s="2">
        <f>求节点(节奏总纲!$D$4:$D$113,AC$5:AC$104,$AI97)</f>
        <v>3.0179096300615011</v>
      </c>
      <c r="AK97" s="2">
        <f>求节点(节奏总纲!$D$4:$D$113,AD$5:AD$104,$AI97)</f>
        <v>3.0179096300615011</v>
      </c>
      <c r="AL97" s="2">
        <f>求节点(节奏总纲!$D$4:$D$113,AE$5:AE$104,$AI97)</f>
        <v>3.0179096300615011</v>
      </c>
      <c r="AM97" s="2">
        <f>求节点(节奏总纲!$D$4:$D$113,AF$5:AF$104,$AI97)</f>
        <v>3.0179096300615011</v>
      </c>
      <c r="AN97" s="2">
        <f>求节点(节奏总纲!$D$4:$D$113,AG$5:AG$104,$AI97)</f>
        <v>3.0179096300615011</v>
      </c>
    </row>
    <row r="98" spans="23:40" x14ac:dyDescent="0.15">
      <c r="W98" s="14">
        <v>94</v>
      </c>
      <c r="X98" s="14">
        <f>求节点(B$10:B$48,Q$10:Q$48,$W98)*(其他调用!AS98+其他调用!AZ98*$D$50*$D$51)*6</f>
        <v>4608.0855343214562</v>
      </c>
      <c r="Y98" s="14">
        <f>求节点(C$10:C$48,R$10:R$48,$W98)*(其他调用!AT98+其他调用!BA98*$D$50*$D$51)*6</f>
        <v>5122.4109641295172</v>
      </c>
      <c r="Z98" s="14">
        <f>求节点(D$10:D$48,S$10:S$48,$W98)*(其他调用!AU98+其他调用!BB98*$D$50*$D$51)*6</f>
        <v>5500.5855509534977</v>
      </c>
      <c r="AA98" s="14">
        <f>求节点(E$10:E$48,T$10:T$48,$W98)*(其他调用!AV98+其他调用!BC98*$D$50*$D$51)*6</f>
        <v>5802.1848909792552</v>
      </c>
      <c r="AB98" s="14">
        <f>求节点(F$10:F$48,U$10:U$48,$W98)*(其他调用!AW98+其他调用!BD98*$D$50*$D$51)*6</f>
        <v>6001.3973686510499</v>
      </c>
      <c r="AC98" s="14">
        <f>[1]节奏总纲!$BJ97</f>
        <v>3.4999999999999978</v>
      </c>
      <c r="AD98" s="14">
        <f>[1]节奏总纲!$BJ97</f>
        <v>3.4999999999999978</v>
      </c>
      <c r="AE98" s="14">
        <f>[1]节奏总纲!$BJ97</f>
        <v>3.4999999999999978</v>
      </c>
      <c r="AF98" s="14">
        <f>[1]节奏总纲!$BJ97</f>
        <v>3.4999999999999978</v>
      </c>
      <c r="AG98" s="14">
        <f>[1]节奏总纲!$BJ97</f>
        <v>3.4999999999999978</v>
      </c>
      <c r="AI98" s="2">
        <v>94</v>
      </c>
      <c r="AJ98" s="2">
        <f>求节点(节奏总纲!$D$4:$D$113,AC$5:AC$104,$AI98)</f>
        <v>3.0230408410809191</v>
      </c>
      <c r="AK98" s="2">
        <f>求节点(节奏总纲!$D$4:$D$113,AD$5:AD$104,$AI98)</f>
        <v>3.0230408410809191</v>
      </c>
      <c r="AL98" s="2">
        <f>求节点(节奏总纲!$D$4:$D$113,AE$5:AE$104,$AI98)</f>
        <v>3.0230408410809191</v>
      </c>
      <c r="AM98" s="2">
        <f>求节点(节奏总纲!$D$4:$D$113,AF$5:AF$104,$AI98)</f>
        <v>3.0230408410809191</v>
      </c>
      <c r="AN98" s="2">
        <f>求节点(节奏总纲!$D$4:$D$113,AG$5:AG$104,$AI98)</f>
        <v>3.0230408410809191</v>
      </c>
    </row>
    <row r="99" spans="23:40" x14ac:dyDescent="0.15">
      <c r="W99" s="14">
        <v>95</v>
      </c>
      <c r="X99" s="14">
        <f>求节点(B$10:B$48,Q$10:Q$48,$W99)*(其他调用!AS99+其他调用!AZ99*$D$50*$D$51)*6</f>
        <v>4760.0926109211605</v>
      </c>
      <c r="Y99" s="14">
        <f>求节点(C$10:C$48,R$10:R$48,$W99)*(其他调用!AT99+其他调用!BA99*$D$50*$D$51)*6</f>
        <v>5273.7936924471032</v>
      </c>
      <c r="Z99" s="14">
        <f>求节点(D$10:D$48,S$10:S$48,$W99)*(其他调用!AU99+其他调用!BB99*$D$50*$D$51)*6</f>
        <v>5599.5906597530557</v>
      </c>
      <c r="AA99" s="14">
        <f>求节点(E$10:E$48,T$10:T$48,$W99)*(其他调用!AV99+其他调用!BC99*$D$50*$D$51)*6</f>
        <v>5905.0938457366992</v>
      </c>
      <c r="AB99" s="14">
        <f>求节点(F$10:F$48,U$10:U$48,$W99)*(其他调用!AW99+其他调用!BD99*$D$50*$D$51)*6</f>
        <v>6083.7247772129285</v>
      </c>
      <c r="AC99" s="14">
        <f>[1]节奏总纲!$BJ98</f>
        <v>3.4999999999999978</v>
      </c>
      <c r="AD99" s="14">
        <f>[1]节奏总纲!$BJ98</f>
        <v>3.4999999999999978</v>
      </c>
      <c r="AE99" s="14">
        <f>[1]节奏总纲!$BJ98</f>
        <v>3.4999999999999978</v>
      </c>
      <c r="AF99" s="14">
        <f>[1]节奏总纲!$BJ98</f>
        <v>3.4999999999999978</v>
      </c>
      <c r="AG99" s="14">
        <f>[1]节奏总纲!$BJ98</f>
        <v>3.4999999999999978</v>
      </c>
      <c r="AI99" s="2">
        <v>95</v>
      </c>
      <c r="AJ99" s="2">
        <f>求节点(节奏总纲!$D$4:$D$113,AC$5:AC$104,$AI99)</f>
        <v>3.0281720521003366</v>
      </c>
      <c r="AK99" s="2">
        <f>求节点(节奏总纲!$D$4:$D$113,AD$5:AD$104,$AI99)</f>
        <v>3.0281720521003366</v>
      </c>
      <c r="AL99" s="2">
        <f>求节点(节奏总纲!$D$4:$D$113,AE$5:AE$104,$AI99)</f>
        <v>3.0281720521003366</v>
      </c>
      <c r="AM99" s="2">
        <f>求节点(节奏总纲!$D$4:$D$113,AF$5:AF$104,$AI99)</f>
        <v>3.0281720521003366</v>
      </c>
      <c r="AN99" s="2">
        <f>求节点(节奏总纲!$D$4:$D$113,AG$5:AG$104,$AI99)</f>
        <v>3.0281720521003366</v>
      </c>
    </row>
    <row r="100" spans="23:40" x14ac:dyDescent="0.15">
      <c r="W100" s="14">
        <v>96</v>
      </c>
      <c r="X100" s="14">
        <f>求节点(B$10:B$48,Q$10:Q$48,$W100)*(其他调用!AS100+其他调用!AZ100*$D$50*$D$51)*6</f>
        <v>4915.5093661452856</v>
      </c>
      <c r="Y100" s="14">
        <f>求节点(C$10:C$48,R$10:R$48,$W100)*(其他调用!AT100+其他调用!BA100*$D$50*$D$51)*6</f>
        <v>5427.9095056674196</v>
      </c>
      <c r="Z100" s="14">
        <f>求节点(D$10:D$48,S$10:S$48,$W100)*(其他调用!AU100+其他调用!BB100*$D$50*$D$51)*6</f>
        <v>5699.1372388826157</v>
      </c>
      <c r="AA100" s="14">
        <f>求节点(E$10:E$48,T$10:T$48,$W100)*(其他调用!AV100+其他调用!BC100*$D$50*$D$51)*6</f>
        <v>6008.5823032779372</v>
      </c>
      <c r="AB100" s="14">
        <f>求节点(F$10:F$48,U$10:U$48,$W100)*(其他调用!AW100+其他调用!BD100*$D$50*$D$51)*6</f>
        <v>6166.0521857748063</v>
      </c>
      <c r="AC100" s="14">
        <f>[1]节奏总纲!$BJ99</f>
        <v>3.4999999999999978</v>
      </c>
      <c r="AD100" s="14">
        <f>[1]节奏总纲!$BJ99</f>
        <v>3.4999999999999978</v>
      </c>
      <c r="AE100" s="14">
        <f>[1]节奏总纲!$BJ99</f>
        <v>3.4999999999999978</v>
      </c>
      <c r="AF100" s="14">
        <f>[1]节奏总纲!$BJ99</f>
        <v>3.4999999999999978</v>
      </c>
      <c r="AG100" s="14">
        <f>[1]节奏总纲!$BJ99</f>
        <v>3.4999999999999978</v>
      </c>
      <c r="AI100" s="2">
        <v>96</v>
      </c>
      <c r="AJ100" s="2">
        <f>求节点(节奏总纲!$D$4:$D$113,AC$5:AC$104,$AI100)</f>
        <v>3.0333032631197545</v>
      </c>
      <c r="AK100" s="2">
        <f>求节点(节奏总纲!$D$4:$D$113,AD$5:AD$104,$AI100)</f>
        <v>3.0333032631197545</v>
      </c>
      <c r="AL100" s="2">
        <f>求节点(节奏总纲!$D$4:$D$113,AE$5:AE$104,$AI100)</f>
        <v>3.0333032631197545</v>
      </c>
      <c r="AM100" s="2">
        <f>求节点(节奏总纲!$D$4:$D$113,AF$5:AF$104,$AI100)</f>
        <v>3.0333032631197545</v>
      </c>
      <c r="AN100" s="2">
        <f>求节点(节奏总纲!$D$4:$D$113,AG$5:AG$104,$AI100)</f>
        <v>3.0333032631197545</v>
      </c>
    </row>
    <row r="101" spans="23:40" x14ac:dyDescent="0.15">
      <c r="W101" s="14">
        <v>97</v>
      </c>
      <c r="X101" s="14">
        <f>求节点(B$10:B$48,Q$10:Q$48,$W101)*(其他调用!AS101+其他调用!AZ101*$D$50*$D$51)*6</f>
        <v>5072.3266371731897</v>
      </c>
      <c r="Y101" s="14">
        <f>求节点(C$10:C$48,R$10:R$48,$W101)*(其他调用!AT101+其他调用!BA101*$D$50*$D$51)*6</f>
        <v>5569.9851645502094</v>
      </c>
      <c r="Z101" s="14">
        <f>求节点(D$10:D$48,S$10:S$48,$W101)*(其他调用!AU101+其他调用!BB101*$D$50*$D$51)*6</f>
        <v>5799.2252883421797</v>
      </c>
      <c r="AA101" s="14">
        <f>求节点(E$10:E$48,T$10:T$48,$W101)*(其他调用!AV101+其他调用!BC101*$D$50*$D$51)*6</f>
        <v>6112.6502636029691</v>
      </c>
      <c r="AB101" s="14">
        <f>求节点(F$10:F$48,U$10:U$48,$W101)*(其他调用!AW101+其他调用!BD101*$D$50*$D$51)*6</f>
        <v>6248.3795943366849</v>
      </c>
      <c r="AC101" s="14">
        <f>[1]节奏总纲!$BJ100</f>
        <v>3.4999999999999978</v>
      </c>
      <c r="AD101" s="14">
        <f>[1]节奏总纲!$BJ100</f>
        <v>3.4999999999999978</v>
      </c>
      <c r="AE101" s="14">
        <f>[1]节奏总纲!$BJ100</f>
        <v>3.4999999999999978</v>
      </c>
      <c r="AF101" s="14">
        <f>[1]节奏总纲!$BJ100</f>
        <v>3.4999999999999978</v>
      </c>
      <c r="AG101" s="14">
        <f>[1]节奏总纲!$BJ100</f>
        <v>3.4999999999999978</v>
      </c>
      <c r="AI101" s="2">
        <v>97</v>
      </c>
      <c r="AJ101" s="2">
        <f>求节点(节奏总纲!$D$4:$D$113,AC$5:AC$104,$AI101)</f>
        <v>3.0380928659996558</v>
      </c>
      <c r="AK101" s="2">
        <f>求节点(节奏总纲!$D$4:$D$113,AD$5:AD$104,$AI101)</f>
        <v>3.0380928659996558</v>
      </c>
      <c r="AL101" s="2">
        <f>求节点(节奏总纲!$D$4:$D$113,AE$5:AE$104,$AI101)</f>
        <v>3.0380928659996558</v>
      </c>
      <c r="AM101" s="2">
        <f>求节点(节奏总纲!$D$4:$D$113,AF$5:AF$104,$AI101)</f>
        <v>3.0380928659996558</v>
      </c>
      <c r="AN101" s="2">
        <f>求节点(节奏总纲!$D$4:$D$113,AG$5:AG$104,$AI101)</f>
        <v>3.0380928659996558</v>
      </c>
    </row>
    <row r="102" spans="23:40" x14ac:dyDescent="0.15">
      <c r="W102" s="14">
        <v>98</v>
      </c>
      <c r="X102" s="14">
        <f>求节点(B$10:B$48,Q$10:Q$48,$W102)*(其他调用!AS102+其他调用!AZ102*$D$50*$D$51)*6</f>
        <v>5224.6017597253849</v>
      </c>
      <c r="Y102" s="14">
        <f>求节点(C$10:C$48,R$10:R$48,$W102)*(其他调用!AT102+其他调用!BA102*$D$50*$D$51)*6</f>
        <v>5663.7010028830518</v>
      </c>
      <c r="Z102" s="14">
        <f>求节点(D$10:D$48,S$10:S$48,$W102)*(其他调用!AU102+其他调用!BB102*$D$50*$D$51)*6</f>
        <v>5892.3674595659359</v>
      </c>
      <c r="AA102" s="14">
        <f>求节点(E$10:E$48,T$10:T$48,$W102)*(其他调用!AV102+其他调用!BC102*$D$50*$D$51)*6</f>
        <v>6195.8050262879187</v>
      </c>
      <c r="AB102" s="14">
        <f>求节点(F$10:F$48,U$10:U$48,$W102)*(其他调用!AW102+其他调用!BD102*$D$50*$D$51)*6</f>
        <v>6330.7070028985636</v>
      </c>
      <c r="AC102" s="14">
        <f>[1]节奏总纲!$BJ101</f>
        <v>3.4999999999999978</v>
      </c>
      <c r="AD102" s="14">
        <f>[1]节奏总纲!$BJ101</f>
        <v>3.4999999999999978</v>
      </c>
      <c r="AE102" s="14">
        <f>[1]节奏总纲!$BJ101</f>
        <v>3.4999999999999978</v>
      </c>
      <c r="AF102" s="14">
        <f>[1]节奏总纲!$BJ101</f>
        <v>3.4999999999999978</v>
      </c>
      <c r="AG102" s="14">
        <f>[1]节奏总纲!$BJ101</f>
        <v>3.4999999999999978</v>
      </c>
      <c r="AI102" s="2">
        <v>98</v>
      </c>
      <c r="AJ102" s="2">
        <f>求节点(节奏总纲!$D$4:$D$113,AC$5:AC$104,$AI102)</f>
        <v>3.0428804551673094</v>
      </c>
      <c r="AK102" s="2">
        <f>求节点(节奏总纲!$D$4:$D$113,AD$5:AD$104,$AI102)</f>
        <v>3.0428804551673094</v>
      </c>
      <c r="AL102" s="2">
        <f>求节点(节奏总纲!$D$4:$D$113,AE$5:AE$104,$AI102)</f>
        <v>3.0428804551673094</v>
      </c>
      <c r="AM102" s="2">
        <f>求节点(节奏总纲!$D$4:$D$113,AF$5:AF$104,$AI102)</f>
        <v>3.0428804551673094</v>
      </c>
      <c r="AN102" s="2">
        <f>求节点(节奏总纲!$D$4:$D$113,AG$5:AG$104,$AI102)</f>
        <v>3.0428804551673094</v>
      </c>
    </row>
    <row r="103" spans="23:40" x14ac:dyDescent="0.15">
      <c r="W103" s="14">
        <v>99</v>
      </c>
      <c r="X103" s="14">
        <f>求节点(B$10:B$48,Q$10:Q$48,$W103)*(其他调用!AS103+其他调用!AZ103*$D$50*$D$51)*6</f>
        <v>5379.7044562678539</v>
      </c>
      <c r="Y103" s="14">
        <f>求节点(C$10:C$48,R$10:R$48,$W103)*(其他调用!AT103+其他调用!BA103*$D$50*$D$51)*6</f>
        <v>5757.8126658570345</v>
      </c>
      <c r="Z103" s="14">
        <f>求节点(D$10:D$48,S$10:S$48,$W103)*(其他调用!AU103+其他调用!BB103*$D$50*$D$51)*6</f>
        <v>5984.9317791645581</v>
      </c>
      <c r="AA103" s="14">
        <f>求节点(E$10:E$48,T$10:T$48,$W103)*(其他调用!AV103+其他调用!BC103*$D$50*$D$51)*6</f>
        <v>6278.8317566654623</v>
      </c>
      <c r="AB103" s="14">
        <f>求节点(F$10:F$48,U$10:U$48,$W103)*(其他调用!AW103+其他调用!BD103*$D$50*$D$51)*6</f>
        <v>6413.0344114604395</v>
      </c>
      <c r="AC103" s="14">
        <f>[1]节奏总纲!$BJ102</f>
        <v>3.4999999999999978</v>
      </c>
      <c r="AD103" s="14">
        <f>[1]节奏总纲!$BJ102</f>
        <v>3.4999999999999978</v>
      </c>
      <c r="AE103" s="14">
        <f>[1]节奏总纲!$BJ102</f>
        <v>3.4999999999999978</v>
      </c>
      <c r="AF103" s="14">
        <f>[1]节奏总纲!$BJ102</f>
        <v>3.4999999999999978</v>
      </c>
      <c r="AG103" s="14">
        <f>[1]节奏总纲!$BJ102</f>
        <v>3.4999999999999978</v>
      </c>
      <c r="AI103" s="2">
        <v>99</v>
      </c>
      <c r="AJ103" s="2">
        <f>求节点(节奏总纲!$D$4:$D$113,AC$5:AC$104,$AI103)</f>
        <v>3.0476680443349635</v>
      </c>
      <c r="AK103" s="2">
        <f>求节点(节奏总纲!$D$4:$D$113,AD$5:AD$104,$AI103)</f>
        <v>3.0476680443349635</v>
      </c>
      <c r="AL103" s="2">
        <f>求节点(节奏总纲!$D$4:$D$113,AE$5:AE$104,$AI103)</f>
        <v>3.0476680443349635</v>
      </c>
      <c r="AM103" s="2">
        <f>求节点(节奏总纲!$D$4:$D$113,AF$5:AF$104,$AI103)</f>
        <v>3.0476680443349635</v>
      </c>
      <c r="AN103" s="2">
        <f>求节点(节奏总纲!$D$4:$D$113,AG$5:AG$104,$AI103)</f>
        <v>3.0476680443349635</v>
      </c>
    </row>
    <row r="104" spans="23:40" x14ac:dyDescent="0.15">
      <c r="W104" s="14">
        <v>100</v>
      </c>
      <c r="X104" s="14">
        <f>求节点(B$10:B$48,Q$10:Q$48,$W104)*(其他调用!AS104+其他调用!AZ104*$D$50*$D$51)*6</f>
        <v>5537.6592964401389</v>
      </c>
      <c r="Y104" s="14">
        <f>求节点(C$10:C$48,R$10:R$48,$W104)*(其他调用!AT104+其他调用!BA104*$D$50*$D$51)*6</f>
        <v>5852.3201534721593</v>
      </c>
      <c r="Z104" s="14">
        <f>求节点(D$10:D$48,S$10:S$48,$W104)*(其他调用!AU104+其他调用!BB104*$D$50*$D$51)*6</f>
        <v>6077.8065689825416</v>
      </c>
      <c r="AA104" s="14">
        <f>求节点(E$10:E$48,T$10:T$48,$W104)*(其他调用!AV104+其他调用!BC104*$D$50*$D$51)*6</f>
        <v>6361.8584870430077</v>
      </c>
      <c r="AB104" s="14">
        <f>求节点(F$10:F$48,U$10:U$48,$W104)*(其他调用!AW104+其他调用!BD104*$D$50*$D$51)*6</f>
        <v>6495.3618200223191</v>
      </c>
      <c r="AC104" s="14">
        <f>[1]节奏总纲!$BJ103</f>
        <v>3.4999999999999978</v>
      </c>
      <c r="AD104" s="14">
        <f>[1]节奏总纲!$BJ103</f>
        <v>3.4999999999999978</v>
      </c>
      <c r="AE104" s="14">
        <f>[1]节奏总纲!$BJ103</f>
        <v>3.4999999999999978</v>
      </c>
      <c r="AF104" s="14">
        <f>[1]节奏总纲!$BJ103</f>
        <v>3.4999999999999978</v>
      </c>
      <c r="AG104" s="14">
        <f>[1]节奏总纲!$BJ103</f>
        <v>3.4999999999999978</v>
      </c>
      <c r="AI104" s="2">
        <v>100</v>
      </c>
      <c r="AJ104" s="2">
        <f>求节点(节奏总纲!$D$4:$D$113,AC$5:AC$104,$AI104)</f>
        <v>3.0524556335026176</v>
      </c>
      <c r="AK104" s="2">
        <f>求节点(节奏总纲!$D$4:$D$113,AD$5:AD$104,$AI104)</f>
        <v>3.0524556335026176</v>
      </c>
      <c r="AL104" s="2">
        <f>求节点(节奏总纲!$D$4:$D$113,AE$5:AE$104,$AI104)</f>
        <v>3.0524556335026176</v>
      </c>
      <c r="AM104" s="2">
        <f>求节点(节奏总纲!$D$4:$D$113,AF$5:AF$104,$AI104)</f>
        <v>3.0524556335026176</v>
      </c>
      <c r="AN104" s="2">
        <f>求节点(节奏总纲!$D$4:$D$113,AG$5:AG$104,$AI104)</f>
        <v>3.0524556335026176</v>
      </c>
    </row>
    <row r="105" spans="23:40" x14ac:dyDescent="0.15">
      <c r="W105" s="14">
        <v>101</v>
      </c>
      <c r="X105" s="14">
        <f>求节点(B$10:B$48,Q$10:Q$48,$W105)*(其他调用!AS105+其他调用!AZ105*$D$50*$D$51)*6</f>
        <v>5674.8119661998962</v>
      </c>
      <c r="Y105" s="14">
        <f>求节点(C$10:C$48,R$10:R$48,$W105)*(其他调用!AT105+其他调用!BA105*$D$50*$D$51)*6</f>
        <v>5947.2234657284243</v>
      </c>
      <c r="Z105" s="14">
        <f>求节点(D$10:D$48,S$10:S$48,$W105)*(其他调用!AU105+其他调用!BB105*$D$50*$D$51)*6</f>
        <v>6169.9779769735796</v>
      </c>
      <c r="AA105" s="14">
        <f>求节点(E$10:E$48,T$10:T$48,$W105)*(其他调用!AV105+其他调用!BC105*$D$50*$D$51)*6</f>
        <v>6444.8852174205531</v>
      </c>
      <c r="AB105" s="14">
        <f>求节点(F$10:F$48,U$10:U$48,$W105)*(其他调用!AW105+其他调用!BD105*$D$50*$D$51)*6</f>
        <v>6577.6892285841986</v>
      </c>
      <c r="AC105" s="14">
        <f>[1]节奏总纲!$BJ104</f>
        <v>3.4999999999999978</v>
      </c>
      <c r="AD105" s="14">
        <f>[1]节奏总纲!$BJ104</f>
        <v>3.4999999999999978</v>
      </c>
      <c r="AE105" s="14">
        <f>[1]节奏总纲!$BJ104</f>
        <v>3.4999999999999978</v>
      </c>
      <c r="AF105" s="14">
        <f>[1]节奏总纲!$BJ104</f>
        <v>3.4999999999999978</v>
      </c>
      <c r="AG105" s="14">
        <f>[1]节奏总纲!$BJ104</f>
        <v>3.4999999999999978</v>
      </c>
      <c r="AI105" s="2">
        <v>101</v>
      </c>
      <c r="AJ105" s="2">
        <f>求节点(节奏总纲!$D$4:$D$113,AC$5:AC$104,$AI105)</f>
        <v>3.0572432226702713</v>
      </c>
      <c r="AK105" s="2">
        <f>求节点(节奏总纲!$D$4:$D$113,AD$5:AD$104,$AI105)</f>
        <v>3.0572432226702713</v>
      </c>
      <c r="AL105" s="2">
        <f>求节点(节奏总纲!$D$4:$D$113,AE$5:AE$104,$AI105)</f>
        <v>3.0572432226702713</v>
      </c>
      <c r="AM105" s="2">
        <f>求节点(节奏总纲!$D$4:$D$113,AF$5:AF$104,$AI105)</f>
        <v>3.0572432226702713</v>
      </c>
      <c r="AN105" s="2">
        <f>求节点(节奏总纲!$D$4:$D$113,AG$5:AG$104,$AI105)</f>
        <v>3.0572432226702713</v>
      </c>
    </row>
    <row r="106" spans="23:40" x14ac:dyDescent="0.15">
      <c r="W106" s="14">
        <v>102</v>
      </c>
      <c r="X106" s="14">
        <f>求节点(B$10:B$48,Q$10:Q$48,$W106)*(其他调用!AS106+其他调用!AZ106*$D$50*$D$51)*6</f>
        <v>5789.5095189390358</v>
      </c>
      <c r="Y106" s="14">
        <f>求节点(C$10:C$48,R$10:R$48,$W106)*(其他调用!AT106+其他调用!BA106*$D$50*$D$51)*6</f>
        <v>6042.5226026258306</v>
      </c>
      <c r="Z106" s="14">
        <f>求节点(D$10:D$48,S$10:S$48,$W106)*(其他调用!AU106+其他调用!BB106*$D$50*$D$51)*6</f>
        <v>6259.8880792883665</v>
      </c>
      <c r="AA106" s="14">
        <f>求节点(E$10:E$48,T$10:T$48,$W106)*(其他调用!AV106+其他调用!BC106*$D$50*$D$51)*6</f>
        <v>6527.9119477980976</v>
      </c>
      <c r="AB106" s="14">
        <f>求节点(F$10:F$48,U$10:U$48,$W106)*(其他调用!AW106+其他调用!BD106*$D$50*$D$51)*6</f>
        <v>6660.0166371460755</v>
      </c>
      <c r="AC106" s="14">
        <f>[1]节奏总纲!$BJ105</f>
        <v>3.4999999999999978</v>
      </c>
      <c r="AD106" s="14">
        <f>[1]节奏总纲!$BJ105</f>
        <v>3.4999999999999978</v>
      </c>
      <c r="AE106" s="14">
        <f>[1]节奏总纲!$BJ105</f>
        <v>3.4999999999999978</v>
      </c>
      <c r="AF106" s="14">
        <f>[1]节奏总纲!$BJ105</f>
        <v>3.4999999999999978</v>
      </c>
      <c r="AG106" s="14">
        <f>[1]节奏总纲!$BJ105</f>
        <v>3.4999999999999978</v>
      </c>
      <c r="AI106" s="2">
        <v>102</v>
      </c>
      <c r="AJ106" s="2">
        <f>求节点(节奏总纲!$D$4:$D$113,AC$5:AC$104,$AI106)</f>
        <v>3.0620308118379254</v>
      </c>
      <c r="AK106" s="2">
        <f>求节点(节奏总纲!$D$4:$D$113,AD$5:AD$104,$AI106)</f>
        <v>3.0620308118379254</v>
      </c>
      <c r="AL106" s="2">
        <f>求节点(节奏总纲!$D$4:$D$113,AE$5:AE$104,$AI106)</f>
        <v>3.0620308118379254</v>
      </c>
      <c r="AM106" s="2">
        <f>求节点(节奏总纲!$D$4:$D$113,AF$5:AF$104,$AI106)</f>
        <v>3.0620308118379254</v>
      </c>
      <c r="AN106" s="2">
        <f>求节点(节奏总纲!$D$4:$D$113,AG$5:AG$104,$AI106)</f>
        <v>3.0620308118379254</v>
      </c>
    </row>
    <row r="107" spans="23:40" x14ac:dyDescent="0.15">
      <c r="W107" s="14">
        <v>103</v>
      </c>
      <c r="X107" s="14">
        <f>求节点(B$10:B$48,Q$10:Q$48,$W107)*(其他调用!AS107+其他调用!AZ107*$D$50*$D$51)*6</f>
        <v>5905.3115161930446</v>
      </c>
      <c r="Y107" s="14">
        <f>求节点(C$10:C$48,R$10:R$48,$W107)*(其他调用!AT107+其他调用!BA107*$D$50*$D$51)*6</f>
        <v>6138.2175641643789</v>
      </c>
      <c r="Z107" s="14">
        <f>求节点(D$10:D$48,S$10:S$48,$W107)*(其他调用!AU107+其他调用!BB107*$D$50*$D$51)*6</f>
        <v>6350.015411514647</v>
      </c>
      <c r="AA107" s="14">
        <f>求节点(E$10:E$48,T$10:T$48,$W107)*(其他调用!AV107+其他调用!BC107*$D$50*$D$51)*6</f>
        <v>6610.9386781756421</v>
      </c>
      <c r="AB107" s="14">
        <f>求节点(F$10:F$48,U$10:U$48,$W107)*(其他调用!AW107+其他调用!BD107*$D$50*$D$51)*6</f>
        <v>6742.3440457079541</v>
      </c>
      <c r="AC107" s="14">
        <f>[1]节奏总纲!$BJ106</f>
        <v>3.4999999999999978</v>
      </c>
      <c r="AD107" s="14">
        <f>[1]节奏总纲!$BJ106</f>
        <v>3.4999999999999978</v>
      </c>
      <c r="AE107" s="14">
        <f>[1]节奏总纲!$BJ106</f>
        <v>3.4999999999999978</v>
      </c>
      <c r="AF107" s="14">
        <f>[1]节奏总纲!$BJ106</f>
        <v>3.4999999999999978</v>
      </c>
      <c r="AG107" s="14">
        <f>[1]节奏总纲!$BJ106</f>
        <v>3.4999999999999978</v>
      </c>
      <c r="AI107" s="2">
        <v>103</v>
      </c>
      <c r="AJ107" s="2">
        <f>求节点(节奏总纲!$D$4:$D$113,AC$5:AC$104,$AI107)</f>
        <v>3.066808239810821</v>
      </c>
      <c r="AK107" s="2">
        <f>求节点(节奏总纲!$D$4:$D$113,AD$5:AD$104,$AI107)</f>
        <v>3.066808239810821</v>
      </c>
      <c r="AL107" s="2">
        <f>求节点(节奏总纲!$D$4:$D$113,AE$5:AE$104,$AI107)</f>
        <v>3.066808239810821</v>
      </c>
      <c r="AM107" s="2">
        <f>求节点(节奏总纲!$D$4:$D$113,AF$5:AF$104,$AI107)</f>
        <v>3.066808239810821</v>
      </c>
      <c r="AN107" s="2">
        <f>求节点(节奏总纲!$D$4:$D$113,AG$5:AG$104,$AI107)</f>
        <v>3.066808239810821</v>
      </c>
    </row>
    <row r="108" spans="23:40" x14ac:dyDescent="0.15">
      <c r="W108" s="14">
        <v>104</v>
      </c>
      <c r="X108" s="14">
        <f>求节点(B$10:B$48,Q$10:Q$48,$W108)*(其他调用!AS108+其他调用!AZ108*$D$50*$D$51)*6</f>
        <v>6022.2226155757007</v>
      </c>
      <c r="Y108" s="14">
        <f>求节点(C$10:C$48,R$10:R$48,$W108)*(其他调用!AT108+其他调用!BA108*$D$50*$D$51)*6</f>
        <v>6234.3083503440685</v>
      </c>
      <c r="Z108" s="14">
        <f>求节点(D$10:D$48,S$10:S$48,$W108)*(其他调用!AU108+其他调用!BB108*$D$50*$D$51)*6</f>
        <v>6440.3599736524229</v>
      </c>
      <c r="AA108" s="14">
        <f>求节点(E$10:E$48,T$10:T$48,$W108)*(其他调用!AV108+其他调用!BC108*$D$50*$D$51)*6</f>
        <v>6693.9654085531856</v>
      </c>
      <c r="AB108" s="14">
        <f>求节点(F$10:F$48,U$10:U$48,$W108)*(其他调用!AW108+其他调用!BD108*$D$50*$D$51)*6</f>
        <v>6824.6714542698328</v>
      </c>
      <c r="AC108" s="14">
        <f>[1]节奏总纲!$BJ107</f>
        <v>3.4999999999999978</v>
      </c>
      <c r="AD108" s="14">
        <f>[1]节奏总纲!$BJ107</f>
        <v>3.4999999999999978</v>
      </c>
      <c r="AE108" s="14">
        <f>[1]节奏总纲!$BJ107</f>
        <v>3.4999999999999978</v>
      </c>
      <c r="AF108" s="14">
        <f>[1]节奏总纲!$BJ107</f>
        <v>3.4999999999999978</v>
      </c>
      <c r="AG108" s="14">
        <f>[1]节奏总纲!$BJ107</f>
        <v>3.4999999999999978</v>
      </c>
      <c r="AI108" s="2">
        <v>104</v>
      </c>
      <c r="AJ108" s="2">
        <f>求节点(节奏总纲!$D$4:$D$113,AC$5:AC$104,$AI108)</f>
        <v>3.0712752184541663</v>
      </c>
      <c r="AK108" s="2">
        <f>求节点(节奏总纲!$D$4:$D$113,AD$5:AD$104,$AI108)</f>
        <v>3.0712752184541663</v>
      </c>
      <c r="AL108" s="2">
        <f>求节点(节奏总纲!$D$4:$D$113,AE$5:AE$104,$AI108)</f>
        <v>3.0712752184541663</v>
      </c>
      <c r="AM108" s="2">
        <f>求节点(节奏总纲!$D$4:$D$113,AF$5:AF$104,$AI108)</f>
        <v>3.0712752184541663</v>
      </c>
      <c r="AN108" s="2">
        <f>求节点(节奏总纲!$D$4:$D$113,AG$5:AG$104,$AI108)</f>
        <v>3.0712752184541663</v>
      </c>
    </row>
    <row r="109" spans="23:40" x14ac:dyDescent="0.15">
      <c r="W109" s="14">
        <v>105</v>
      </c>
      <c r="X109" s="14">
        <f>求节点(B$10:B$48,Q$10:Q$48,$W109)*(其他调用!AS109+其他调用!AZ109*$D$50*$D$51)*6</f>
        <v>6114.9482458400416</v>
      </c>
      <c r="Y109" s="14">
        <f>求节点(C$10:C$48,R$10:R$48,$W109)*(其他调用!AT109+其他调用!BA109*$D$50*$D$51)*6</f>
        <v>6330.2826416174576</v>
      </c>
      <c r="Z109" s="14">
        <f>求节点(D$10:D$48,S$10:S$48,$W109)*(其他调用!AU109+其他调用!BB109*$D$50*$D$51)*6</f>
        <v>6530.9217657016889</v>
      </c>
      <c r="AA109" s="14">
        <f>求节点(E$10:E$48,T$10:T$48,$W109)*(其他调用!AV109+其他调用!BC109*$D$50*$D$51)*6</f>
        <v>6776.9921389307292</v>
      </c>
      <c r="AB109" s="14">
        <f>求节点(F$10:F$48,U$10:U$48,$W109)*(其他调用!AW109+其他调用!BD109*$D$50*$D$51)*6</f>
        <v>6910.0440600794054</v>
      </c>
      <c r="AC109" s="14">
        <f>[1]节奏总纲!$BJ108</f>
        <v>3.4999999999999978</v>
      </c>
      <c r="AD109" s="14">
        <f>[1]节奏总纲!$BJ108</f>
        <v>3.4999999999999978</v>
      </c>
      <c r="AE109" s="14">
        <f>[1]节奏总纲!$BJ108</f>
        <v>3.4999999999999978</v>
      </c>
      <c r="AF109" s="14">
        <f>[1]节奏总纲!$BJ108</f>
        <v>3.4999999999999978</v>
      </c>
      <c r="AG109" s="14">
        <f>[1]节奏总纲!$BJ108</f>
        <v>3.4999999999999978</v>
      </c>
      <c r="AI109" s="2">
        <v>105</v>
      </c>
      <c r="AJ109" s="2">
        <f>求节点(节奏总纲!$D$4:$D$113,AC$5:AC$104,$AI109)</f>
        <v>3.0757421970975116</v>
      </c>
      <c r="AK109" s="2">
        <f>求节点(节奏总纲!$D$4:$D$113,AD$5:AD$104,$AI109)</f>
        <v>3.0757421970975116</v>
      </c>
      <c r="AL109" s="2">
        <f>求节点(节奏总纲!$D$4:$D$113,AE$5:AE$104,$AI109)</f>
        <v>3.0757421970975116</v>
      </c>
      <c r="AM109" s="2">
        <f>求节点(节奏总纲!$D$4:$D$113,AF$5:AF$104,$AI109)</f>
        <v>3.0757421970975116</v>
      </c>
      <c r="AN109" s="2">
        <f>求节点(节奏总纲!$D$4:$D$113,AG$5:AG$104,$AI109)</f>
        <v>3.0757421970975116</v>
      </c>
    </row>
    <row r="110" spans="23:40" x14ac:dyDescent="0.15">
      <c r="W110" s="14">
        <v>106</v>
      </c>
      <c r="X110" s="14">
        <f>求节点(B$10:B$48,Q$10:Q$48,$W110)*(其他调用!AS110+其他调用!AZ110*$D$50*$D$51)*6</f>
        <v>6205.126661930055</v>
      </c>
      <c r="Y110" s="14">
        <f>求节点(C$10:C$48,R$10:R$48,$W110)*(其他调用!AT110+其他调用!BA110*$D$50*$D$51)*6</f>
        <v>6426.605091890985</v>
      </c>
      <c r="Z110" s="14">
        <f>求节点(D$10:D$48,S$10:S$48,$W110)*(其他调用!AU110+其他调用!BB110*$D$50*$D$51)*6</f>
        <v>6621.7007876624484</v>
      </c>
      <c r="AA110" s="14">
        <f>求节点(E$10:E$48,T$10:T$48,$W110)*(其他调用!AV110+其他调用!BC110*$D$50*$D$51)*6</f>
        <v>6861.2820599112838</v>
      </c>
      <c r="AB110" s="14">
        <f>求节点(F$10:F$48,U$10:U$48,$W110)*(其他调用!AW110+其他调用!BD110*$D$50*$D$51)*6</f>
        <v>7003.1906828564497</v>
      </c>
      <c r="AC110" s="14">
        <f>[1]节奏总纲!$BJ109</f>
        <v>3.4999999999999978</v>
      </c>
      <c r="AD110" s="14">
        <f>[1]节奏总纲!$BJ109</f>
        <v>3.4999999999999978</v>
      </c>
      <c r="AE110" s="14">
        <f>[1]节奏总纲!$BJ109</f>
        <v>3.4999999999999978</v>
      </c>
      <c r="AF110" s="14">
        <f>[1]节奏总纲!$BJ109</f>
        <v>3.4999999999999978</v>
      </c>
      <c r="AG110" s="14">
        <f>[1]节奏总纲!$BJ109</f>
        <v>3.4999999999999978</v>
      </c>
      <c r="AI110" s="2">
        <v>106</v>
      </c>
      <c r="AJ110" s="2">
        <f>求节点(节奏总纲!$D$4:$D$113,AC$5:AC$104,$AI110)</f>
        <v>3.0802091757408574</v>
      </c>
      <c r="AK110" s="2">
        <f>求节点(节奏总纲!$D$4:$D$113,AD$5:AD$104,$AI110)</f>
        <v>3.0802091757408574</v>
      </c>
      <c r="AL110" s="2">
        <f>求节点(节奏总纲!$D$4:$D$113,AE$5:AE$104,$AI110)</f>
        <v>3.0802091757408574</v>
      </c>
      <c r="AM110" s="2">
        <f>求节点(节奏总纲!$D$4:$D$113,AF$5:AF$104,$AI110)</f>
        <v>3.0802091757408574</v>
      </c>
      <c r="AN110" s="2">
        <f>求节点(节奏总纲!$D$4:$D$113,AG$5:AG$104,$AI110)</f>
        <v>3.0802091757408574</v>
      </c>
    </row>
    <row r="111" spans="23:40" x14ac:dyDescent="0.15">
      <c r="W111" s="14">
        <v>107</v>
      </c>
      <c r="X111" s="14">
        <f>求节点(B$10:B$48,Q$10:Q$48,$W111)*(其他调用!AS111+其他调用!AZ111*$D$50*$D$51)*6</f>
        <v>6295.5662726431237</v>
      </c>
      <c r="Y111" s="14">
        <f>求节点(C$10:C$48,R$10:R$48,$W111)*(其他调用!AT111+其他调用!BA111*$D$50*$D$51)*6</f>
        <v>6523.3093389286423</v>
      </c>
      <c r="Z111" s="14">
        <f>求节点(D$10:D$48,S$10:S$48,$W111)*(其他调用!AU111+其他调用!BB111*$D$50*$D$51)*6</f>
        <v>6713.2797468933813</v>
      </c>
      <c r="AA111" s="14">
        <f>求节点(E$10:E$48,T$10:T$48,$W111)*(其他调用!AV111+其他调用!BC111*$D$50*$D$51)*6</f>
        <v>6954.0649370976971</v>
      </c>
      <c r="AB111" s="14">
        <f>求节点(F$10:F$48,U$10:U$48,$W111)*(其他调用!AW111+其他调用!BD111*$D$50*$D$51)*6</f>
        <v>7096.3373056334904</v>
      </c>
      <c r="AC111" s="14">
        <f>[1]节奏总纲!$BJ110</f>
        <v>3.4999999999999978</v>
      </c>
      <c r="AD111" s="14">
        <f>[1]节奏总纲!$BJ110</f>
        <v>3.4999999999999978</v>
      </c>
      <c r="AE111" s="14">
        <f>[1]节奏总纲!$BJ110</f>
        <v>3.4999999999999978</v>
      </c>
      <c r="AF111" s="14">
        <f>[1]节奏总纲!$BJ110</f>
        <v>3.4999999999999978</v>
      </c>
      <c r="AG111" s="14">
        <f>[1]节奏总纲!$BJ110</f>
        <v>3.4999999999999978</v>
      </c>
      <c r="AI111" s="2">
        <v>107</v>
      </c>
      <c r="AJ111" s="2">
        <f>求节点(节奏总纲!$D$4:$D$113,AC$5:AC$104,$AI111)</f>
        <v>3.0846761543842027</v>
      </c>
      <c r="AK111" s="2">
        <f>求节点(节奏总纲!$D$4:$D$113,AD$5:AD$104,$AI111)</f>
        <v>3.0846761543842027</v>
      </c>
      <c r="AL111" s="2">
        <f>求节点(节奏总纲!$D$4:$D$113,AE$5:AE$104,$AI111)</f>
        <v>3.0846761543842027</v>
      </c>
      <c r="AM111" s="2">
        <f>求节点(节奏总纲!$D$4:$D$113,AF$5:AF$104,$AI111)</f>
        <v>3.0846761543842027</v>
      </c>
      <c r="AN111" s="2">
        <f>求节点(节奏总纲!$D$4:$D$113,AG$5:AG$104,$AI111)</f>
        <v>3.0846761543842027</v>
      </c>
    </row>
    <row r="112" spans="23:40" x14ac:dyDescent="0.15">
      <c r="W112" s="14">
        <v>108</v>
      </c>
      <c r="X112" s="14">
        <f>求节点(B$10:B$48,Q$10:Q$48,$W112)*(其他调用!AS112+其他调用!AZ112*$D$50*$D$51)*6</f>
        <v>6386.2670779792516</v>
      </c>
      <c r="Y112" s="14">
        <f>求节点(C$10:C$48,R$10:R$48,$W112)*(其他调用!AT112+其他调用!BA112*$D$50*$D$51)*6</f>
        <v>6616.6311269891248</v>
      </c>
      <c r="Z112" s="14">
        <f>求节点(D$10:D$48,S$10:S$48,$W112)*(其他调用!AU112+其他调用!BB112*$D$50*$D$51)*6</f>
        <v>6813.3061226952359</v>
      </c>
      <c r="AA112" s="14">
        <f>求节点(E$10:E$48,T$10:T$48,$W112)*(其他调用!AV112+其他调用!BC112*$D$50*$D$51)*6</f>
        <v>7046.8478142841141</v>
      </c>
      <c r="AB112" s="14">
        <f>求节点(F$10:F$48,U$10:U$48,$W112)*(其他调用!AW112+其他调用!BD112*$D$50*$D$51)*6</f>
        <v>7189.4839284105301</v>
      </c>
      <c r="AC112" s="14">
        <f>[1]节奏总纲!$BJ111</f>
        <v>3.4999999999999978</v>
      </c>
      <c r="AD112" s="14">
        <f>[1]节奏总纲!$BJ111</f>
        <v>3.4999999999999978</v>
      </c>
      <c r="AE112" s="14">
        <f>[1]节奏总纲!$BJ111</f>
        <v>3.4999999999999978</v>
      </c>
      <c r="AF112" s="14">
        <f>[1]节奏总纲!$BJ111</f>
        <v>3.4999999999999978</v>
      </c>
      <c r="AG112" s="14">
        <f>[1]节奏总纲!$BJ111</f>
        <v>3.4999999999999978</v>
      </c>
      <c r="AI112" s="2">
        <v>108</v>
      </c>
      <c r="AJ112" s="2">
        <f>求节点(节奏总纲!$D$4:$D$113,AC$5:AC$104,$AI112)</f>
        <v>3.0891431330275481</v>
      </c>
      <c r="AK112" s="2">
        <f>求节点(节奏总纲!$D$4:$D$113,AD$5:AD$104,$AI112)</f>
        <v>3.0891431330275481</v>
      </c>
      <c r="AL112" s="2">
        <f>求节点(节奏总纲!$D$4:$D$113,AE$5:AE$104,$AI112)</f>
        <v>3.0891431330275481</v>
      </c>
      <c r="AM112" s="2">
        <f>求节点(节奏总纲!$D$4:$D$113,AF$5:AF$104,$AI112)</f>
        <v>3.0891431330275481</v>
      </c>
      <c r="AN112" s="2">
        <f>求节点(节奏总纲!$D$4:$D$113,AG$5:AG$104,$AI112)</f>
        <v>3.0891431330275481</v>
      </c>
    </row>
    <row r="113" spans="23:40" x14ac:dyDescent="0.15">
      <c r="W113" s="14">
        <v>109</v>
      </c>
      <c r="X113" s="14">
        <f>求节点(B$10:B$48,Q$10:Q$48,$W113)*(其他调用!AS113+其他调用!AZ113*$D$50*$D$51)*6</f>
        <v>6478.2624904551876</v>
      </c>
      <c r="Y113" s="14">
        <f>求节点(C$10:C$48,R$10:R$48,$W113)*(其他调用!AT113+其他调用!BA113*$D$50*$D$51)*6</f>
        <v>6714.7331656332217</v>
      </c>
      <c r="Z113" s="14">
        <f>求节点(D$10:D$48,S$10:S$48,$W113)*(其他调用!AU113+其他调用!BB113*$D$50*$D$51)*6</f>
        <v>6913.5729743816746</v>
      </c>
      <c r="AA113" s="14">
        <f>求节点(E$10:E$48,T$10:T$48,$W113)*(其他调用!AV113+其他调用!BC113*$D$50*$D$51)*6</f>
        <v>7139.6306914705301</v>
      </c>
      <c r="AB113" s="14">
        <f>求节点(F$10:F$48,U$10:U$48,$W113)*(其他调用!AW113+其他调用!BD113*$D$50*$D$51)*6</f>
        <v>7282.6305511875726</v>
      </c>
      <c r="AC113" s="14">
        <f>[1]节奏总纲!$BJ112</f>
        <v>3.4999999999999978</v>
      </c>
      <c r="AD113" s="14">
        <f>[1]节奏总纲!$BJ112</f>
        <v>3.4999999999999978</v>
      </c>
      <c r="AE113" s="14">
        <f>[1]节奏总纲!$BJ112</f>
        <v>3.4999999999999978</v>
      </c>
      <c r="AF113" s="14">
        <f>[1]节奏总纲!$BJ112</f>
        <v>3.4999999999999978</v>
      </c>
      <c r="AG113" s="14">
        <f>[1]节奏总纲!$BJ112</f>
        <v>3.4999999999999978</v>
      </c>
      <c r="AI113" s="2">
        <v>109</v>
      </c>
      <c r="AJ113" s="2">
        <f>求节点(节奏总纲!$D$4:$D$113,AC$5:AC$104,$AI113)</f>
        <v>3.0936101116708934</v>
      </c>
      <c r="AK113" s="2">
        <f>求节点(节奏总纲!$D$4:$D$113,AD$5:AD$104,$AI113)</f>
        <v>3.0936101116708934</v>
      </c>
      <c r="AL113" s="2">
        <f>求节点(节奏总纲!$D$4:$D$113,AE$5:AE$104,$AI113)</f>
        <v>3.0936101116708934</v>
      </c>
      <c r="AM113" s="2">
        <f>求节点(节奏总纲!$D$4:$D$113,AF$5:AF$104,$AI113)</f>
        <v>3.0936101116708934</v>
      </c>
      <c r="AN113" s="2">
        <f>求节点(节奏总纲!$D$4:$D$113,AG$5:AG$104,$AI113)</f>
        <v>3.0936101116708934</v>
      </c>
    </row>
    <row r="114" spans="23:40" x14ac:dyDescent="0.15">
      <c r="W114" s="14">
        <v>110</v>
      </c>
      <c r="X114" s="14">
        <f>求节点(B$10:B$48,Q$10:Q$48,$W114)*(其他调用!AS114+其他调用!AZ114*$D$50*$D$51)*6</f>
        <v>6577.3485061324482</v>
      </c>
      <c r="Y114" s="14">
        <f>求节点(C$10:C$48,R$10:R$48,$W114)*(其他调用!AT114+其他调用!BA114*$D$50*$D$51)*6</f>
        <v>6813.0510838042464</v>
      </c>
      <c r="Z114" s="14">
        <f>求节点(D$10:D$48,S$10:S$48,$W114)*(其他调用!AU114+其他调用!BB114*$D$50*$D$51)*6</f>
        <v>7014.0803019526993</v>
      </c>
      <c r="AA114" s="14">
        <f>求节点(E$10:E$48,T$10:T$48,$W114)*(其他调用!AV114+其他调用!BC114*$D$50*$D$51)*6</f>
        <v>7232.4135686569471</v>
      </c>
      <c r="AB114" s="14">
        <f>求节点(F$10:F$48,U$10:U$48,$W114)*(其他调用!AW114+其他调用!BD114*$D$50*$D$51)*6</f>
        <v>7375.7771739646141</v>
      </c>
      <c r="AC114" s="14">
        <f>[1]节奏总纲!$BJ113</f>
        <v>3.4999999999999978</v>
      </c>
      <c r="AD114" s="14">
        <f>[1]节奏总纲!$BJ113</f>
        <v>3.4999999999999978</v>
      </c>
      <c r="AE114" s="14">
        <f>[1]节奏总纲!$BJ113</f>
        <v>3.4999999999999978</v>
      </c>
      <c r="AF114" s="14">
        <f>[1]节奏总纲!$BJ113</f>
        <v>3.4999999999999978</v>
      </c>
      <c r="AG114" s="14">
        <f>[1]节奏总纲!$BJ113</f>
        <v>3.4999999999999978</v>
      </c>
      <c r="AI114" s="2">
        <v>110</v>
      </c>
      <c r="AJ114" s="2">
        <f>求节点(节奏总纲!$D$4:$D$113,AC$5:AC$104,$AI114)</f>
        <v>3.0980770903142387</v>
      </c>
      <c r="AK114" s="2">
        <f>求节点(节奏总纲!$D$4:$D$113,AD$5:AD$104,$AI114)</f>
        <v>3.0980770903142387</v>
      </c>
      <c r="AL114" s="2">
        <f>求节点(节奏总纲!$D$4:$D$113,AE$5:AE$104,$AI114)</f>
        <v>3.0980770903142387</v>
      </c>
      <c r="AM114" s="2">
        <f>求节点(节奏总纲!$D$4:$D$113,AF$5:AF$104,$AI114)</f>
        <v>3.0980770903142387</v>
      </c>
      <c r="AN114" s="2">
        <f>求节点(节奏总纲!$D$4:$D$113,AG$5:AG$104,$AI114)</f>
        <v>3.0980770903142387</v>
      </c>
    </row>
    <row r="115" spans="23:40" x14ac:dyDescent="0.15">
      <c r="W115" s="14">
        <v>111</v>
      </c>
      <c r="X115" s="14">
        <f>求节点(B$10:B$48,Q$10:Q$48,$W115)*(其他调用!AS115+其他调用!AZ115*$D$50*$D$51)*6</f>
        <v>6676.7211511972182</v>
      </c>
      <c r="Y115" s="14">
        <f>求节点(C$10:C$48,R$10:R$48,$W115)*(其他调用!AT115+其他调用!BA115*$D$50*$D$51)*6</f>
        <v>6911.5848815021945</v>
      </c>
      <c r="Z115" s="14">
        <f>求节点(D$10:D$48,S$10:S$48,$W115)*(其他调用!AU115+其他调用!BB115*$D$50*$D$51)*6</f>
        <v>7114.8281054083054</v>
      </c>
      <c r="AA115" s="14">
        <f>求节点(E$10:E$48,T$10:T$48,$W115)*(其他调用!AV115+其他调用!BC115*$D$50*$D$51)*6</f>
        <v>7325.1964458433613</v>
      </c>
      <c r="AB115" s="14">
        <f>求节点(F$10:F$48,U$10:U$48,$W115)*(其他调用!AW115+其他调用!BD115*$D$50*$D$51)*6</f>
        <v>7468.9237967416557</v>
      </c>
      <c r="AC115" s="14">
        <f>[1]节奏总纲!$BJ114</f>
        <v>3.4999999999999978</v>
      </c>
      <c r="AD115" s="14">
        <f>[1]节奏总纲!$BJ114</f>
        <v>3.4999999999999978</v>
      </c>
      <c r="AE115" s="14">
        <f>[1]节奏总纲!$BJ114</f>
        <v>3.4999999999999978</v>
      </c>
      <c r="AF115" s="14">
        <f>[1]节奏总纲!$BJ114</f>
        <v>3.4999999999999978</v>
      </c>
      <c r="AG115" s="14">
        <f>[1]节奏总纲!$BJ114</f>
        <v>3.4999999999999978</v>
      </c>
      <c r="AI115" s="2">
        <v>111</v>
      </c>
      <c r="AJ115" s="2">
        <f>求节点(节奏总纲!$D$4:$D$113,AC$5:AC$104,$AI115)</f>
        <v>3.1023737002701703</v>
      </c>
      <c r="AK115" s="2">
        <f>求节点(节奏总纲!$D$4:$D$113,AD$5:AD$104,$AI115)</f>
        <v>3.1023737002701703</v>
      </c>
      <c r="AL115" s="2">
        <f>求节点(节奏总纲!$D$4:$D$113,AE$5:AE$104,$AI115)</f>
        <v>3.1023737002701703</v>
      </c>
      <c r="AM115" s="2">
        <f>求节点(节奏总纲!$D$4:$D$113,AF$5:AF$104,$AI115)</f>
        <v>3.1023737002701703</v>
      </c>
      <c r="AN115" s="2">
        <f>求节点(节奏总纲!$D$4:$D$113,AG$5:AG$104,$AI115)</f>
        <v>3.1023737002701703</v>
      </c>
    </row>
    <row r="116" spans="23:40" x14ac:dyDescent="0.15">
      <c r="W116" s="14">
        <v>112</v>
      </c>
      <c r="X116" s="14">
        <f>求节点(B$10:B$48,Q$10:Q$48,$W116)*(其他调用!AS116+其他调用!AZ116*$D$50*$D$51)*6</f>
        <v>6932.9068218174089</v>
      </c>
      <c r="Y116" s="14">
        <f>求节点(C$10:C$48,R$10:R$48,$W116)*(其他调用!AT116+其他调用!BA116*$D$50*$D$51)*6</f>
        <v>7172.1773782570308</v>
      </c>
      <c r="Z116" s="14">
        <f>求节点(D$10:D$48,S$10:S$48,$W116)*(其他调用!AU116+其他调用!BB116*$D$50*$D$51)*6</f>
        <v>7389.0006491696313</v>
      </c>
      <c r="AA116" s="14">
        <f>求节点(E$10:E$48,T$10:T$48,$W116)*(其他调用!AV116+其他调用!BC116*$D$50*$D$51)*6</f>
        <v>7602.637499237876</v>
      </c>
      <c r="AB116" s="14">
        <f>求节点(F$10:F$48,U$10:U$48,$W116)*(其他调用!AW116+其他调用!BD116*$D$50*$D$51)*6</f>
        <v>7759.210360083518</v>
      </c>
      <c r="AC116" s="14">
        <f>[1]节奏总纲!$BJ115</f>
        <v>3.4999999999999978</v>
      </c>
      <c r="AD116" s="14">
        <f>[1]节奏总纲!$BJ115</f>
        <v>3.4999999999999978</v>
      </c>
      <c r="AE116" s="14">
        <f>[1]节奏总纲!$BJ115</f>
        <v>3.4999999999999978</v>
      </c>
      <c r="AF116" s="14">
        <f>[1]节奏总纲!$BJ115</f>
        <v>3.4999999999999978</v>
      </c>
      <c r="AG116" s="14">
        <f>[1]节奏总纲!$BJ115</f>
        <v>3.4999999999999978</v>
      </c>
      <c r="AI116" s="2">
        <v>112</v>
      </c>
      <c r="AJ116" s="2">
        <f>求节点(节奏总纲!$D$4:$D$113,AC$5:AC$104,$AI116)</f>
        <v>3.1065415387169022</v>
      </c>
      <c r="AK116" s="2">
        <f>求节点(节奏总纲!$D$4:$D$113,AD$5:AD$104,$AI116)</f>
        <v>3.1065415387169022</v>
      </c>
      <c r="AL116" s="2">
        <f>求节点(节奏总纲!$D$4:$D$113,AE$5:AE$104,$AI116)</f>
        <v>3.1065415387169022</v>
      </c>
      <c r="AM116" s="2">
        <f>求节点(节奏总纲!$D$4:$D$113,AF$5:AF$104,$AI116)</f>
        <v>3.1065415387169022</v>
      </c>
      <c r="AN116" s="2">
        <f>求节点(节奏总纲!$D$4:$D$113,AG$5:AG$104,$AI116)</f>
        <v>3.1065415387169022</v>
      </c>
    </row>
    <row r="117" spans="23:40" x14ac:dyDescent="0.15">
      <c r="W117" s="14">
        <v>113</v>
      </c>
      <c r="X117" s="14">
        <f>求节点(B$10:B$48,Q$10:Q$48,$W117)*(其他调用!AS117+其他调用!AZ117*$D$50*$D$51)*6</f>
        <v>7035.1613581655729</v>
      </c>
      <c r="Y117" s="14">
        <f>求节点(C$10:C$48,R$10:R$48,$W117)*(其他调用!AT117+其他调用!BA117*$D$50*$D$51)*6</f>
        <v>7271.1841832523405</v>
      </c>
      <c r="Z117" s="14">
        <f>求节点(D$10:D$48,S$10:S$48,$W117)*(其他调用!AU117+其他调用!BB117*$D$50*$D$51)*6</f>
        <v>7492.658960050635</v>
      </c>
      <c r="AA117" s="14">
        <f>求节点(E$10:E$48,T$10:T$48,$W117)*(其他调用!AV117+其他调用!BC117*$D$50*$D$51)*6</f>
        <v>7697.7300508165345</v>
      </c>
      <c r="AB117" s="14">
        <f>求节点(F$10:F$48,U$10:U$48,$W117)*(其他调用!AW117+其他调用!BD117*$D$50*$D$51)*6</f>
        <v>7854.7852754655432</v>
      </c>
      <c r="AC117" s="14">
        <f>[1]节奏总纲!$BJ116</f>
        <v>3.4999999999999978</v>
      </c>
      <c r="AD117" s="14">
        <f>[1]节奏总纲!$BJ116</f>
        <v>3.4999999999999978</v>
      </c>
      <c r="AE117" s="14">
        <f>[1]节奏总纲!$BJ116</f>
        <v>3.4999999999999978</v>
      </c>
      <c r="AF117" s="14">
        <f>[1]节奏总纲!$BJ116</f>
        <v>3.4999999999999978</v>
      </c>
      <c r="AG117" s="14">
        <f>[1]节奏总纲!$BJ116</f>
        <v>3.4999999999999978</v>
      </c>
      <c r="AI117" s="2">
        <v>113</v>
      </c>
      <c r="AJ117" s="2">
        <f>求节点(节奏总纲!$D$4:$D$113,AC$5:AC$104,$AI117)</f>
        <v>3.1107093771636336</v>
      </c>
      <c r="AK117" s="2">
        <f>求节点(节奏总纲!$D$4:$D$113,AD$5:AD$104,$AI117)</f>
        <v>3.1107093771636336</v>
      </c>
      <c r="AL117" s="2">
        <f>求节点(节奏总纲!$D$4:$D$113,AE$5:AE$104,$AI117)</f>
        <v>3.1107093771636336</v>
      </c>
      <c r="AM117" s="2">
        <f>求节点(节奏总纲!$D$4:$D$113,AF$5:AF$104,$AI117)</f>
        <v>3.1107093771636336</v>
      </c>
      <c r="AN117" s="2">
        <f>求节点(节奏总纲!$D$4:$D$113,AG$5:AG$104,$AI117)</f>
        <v>3.1107093771636336</v>
      </c>
    </row>
    <row r="118" spans="23:40" x14ac:dyDescent="0.15">
      <c r="W118" s="14">
        <v>114</v>
      </c>
      <c r="X118" s="14">
        <f>求节点(B$10:B$48,Q$10:Q$48,$W118)*(其他调用!AS118+其他调用!AZ118*$D$50*$D$51)*6</f>
        <v>7137.7091447020648</v>
      </c>
      <c r="Y118" s="14">
        <f>求节点(C$10:C$48,R$10:R$48,$W118)*(其他调用!AT118+其他调用!BA118*$D$50*$D$51)*6</f>
        <v>7370.354667356939</v>
      </c>
      <c r="Z118" s="14">
        <f>求节点(D$10:D$48,S$10:S$48,$W118)*(其他调用!AU118+其他调用!BB118*$D$50*$D$51)*6</f>
        <v>7596.5635183931236</v>
      </c>
      <c r="AA118" s="14">
        <f>求节点(E$10:E$48,T$10:T$48,$W118)*(其他调用!AV118+其他调用!BC118*$D$50*$D$51)*6</f>
        <v>7792.8226023951929</v>
      </c>
      <c r="AB118" s="14">
        <f>求节点(F$10:F$48,U$10:U$48,$W118)*(其他调用!AW118+其他调用!BD118*$D$50*$D$51)*6</f>
        <v>7950.3601908475648</v>
      </c>
      <c r="AC118" s="14">
        <f>[1]节奏总纲!$BJ117</f>
        <v>3.4999999999999978</v>
      </c>
      <c r="AD118" s="14">
        <f>[1]节奏总纲!$BJ117</f>
        <v>3.4999999999999978</v>
      </c>
      <c r="AE118" s="14">
        <f>[1]节奏总纲!$BJ117</f>
        <v>3.4999999999999978</v>
      </c>
      <c r="AF118" s="14">
        <f>[1]节奏总纲!$BJ117</f>
        <v>3.4999999999999978</v>
      </c>
      <c r="AG118" s="14">
        <f>[1]节奏总纲!$BJ117</f>
        <v>3.4999999999999978</v>
      </c>
      <c r="AI118" s="2">
        <v>114</v>
      </c>
      <c r="AJ118" s="2">
        <f>求节点(节奏总纲!$D$4:$D$113,AC$5:AC$104,$AI118)</f>
        <v>3.114877215610365</v>
      </c>
      <c r="AK118" s="2">
        <f>求节点(节奏总纲!$D$4:$D$113,AD$5:AD$104,$AI118)</f>
        <v>3.114877215610365</v>
      </c>
      <c r="AL118" s="2">
        <f>求节点(节奏总纲!$D$4:$D$113,AE$5:AE$104,$AI118)</f>
        <v>3.114877215610365</v>
      </c>
      <c r="AM118" s="2">
        <f>求节点(节奏总纲!$D$4:$D$113,AF$5:AF$104,$AI118)</f>
        <v>3.114877215610365</v>
      </c>
      <c r="AN118" s="2">
        <f>求节点(节奏总纲!$D$4:$D$113,AG$5:AG$104,$AI118)</f>
        <v>3.114877215610365</v>
      </c>
    </row>
    <row r="119" spans="23:40" x14ac:dyDescent="0.15">
      <c r="W119" s="14">
        <v>115</v>
      </c>
      <c r="X119" s="14">
        <f>求节点(B$10:B$48,Q$10:Q$48,$W119)*(其他调用!AS119+其他调用!AZ119*$D$50*$D$51)*6</f>
        <v>7240.5501814268846</v>
      </c>
      <c r="Y119" s="14">
        <f>求节点(C$10:C$48,R$10:R$48,$W119)*(其他调用!AT119+其他调用!BA119*$D$50*$D$51)*6</f>
        <v>7469.688830570828</v>
      </c>
      <c r="Z119" s="14">
        <f>求节点(D$10:D$48,S$10:S$48,$W119)*(其他调用!AU119+其他调用!BB119*$D$50*$D$51)*6</f>
        <v>7700.7143241971007</v>
      </c>
      <c r="AA119" s="14">
        <f>求节点(E$10:E$48,T$10:T$48,$W119)*(其他调用!AV119+其他调用!BC119*$D$50*$D$51)*6</f>
        <v>7887.9151539738514</v>
      </c>
      <c r="AB119" s="14">
        <f>求节点(F$10:F$48,U$10:U$48,$W119)*(其他调用!AW119+其他调用!BD119*$D$50*$D$51)*6</f>
        <v>8045.93510622959</v>
      </c>
      <c r="AC119" s="14">
        <f>[1]节奏总纲!$BJ118</f>
        <v>3.4999999999999978</v>
      </c>
      <c r="AD119" s="14">
        <f>[1]节奏总纲!$BJ118</f>
        <v>3.4999999999999978</v>
      </c>
      <c r="AE119" s="14">
        <f>[1]节奏总纲!$BJ118</f>
        <v>3.4999999999999978</v>
      </c>
      <c r="AF119" s="14">
        <f>[1]节奏总纲!$BJ118</f>
        <v>3.4999999999999978</v>
      </c>
      <c r="AG119" s="14">
        <f>[1]节奏总纲!$BJ118</f>
        <v>3.4999999999999978</v>
      </c>
      <c r="AI119" s="2">
        <v>115</v>
      </c>
      <c r="AJ119" s="2">
        <f>求节点(节奏总纲!$D$4:$D$113,AC$5:AC$104,$AI119)</f>
        <v>3.1190450540570969</v>
      </c>
      <c r="AK119" s="2">
        <f>求节点(节奏总纲!$D$4:$D$113,AD$5:AD$104,$AI119)</f>
        <v>3.1190450540570969</v>
      </c>
      <c r="AL119" s="2">
        <f>求节点(节奏总纲!$D$4:$D$113,AE$5:AE$104,$AI119)</f>
        <v>3.1190450540570969</v>
      </c>
      <c r="AM119" s="2">
        <f>求节点(节奏总纲!$D$4:$D$113,AF$5:AF$104,$AI119)</f>
        <v>3.1190450540570969</v>
      </c>
      <c r="AN119" s="2">
        <f>求节点(节奏总纲!$D$4:$D$113,AG$5:AG$104,$AI119)</f>
        <v>3.1190450540570969</v>
      </c>
    </row>
    <row r="120" spans="23:40" x14ac:dyDescent="0.15">
      <c r="W120" s="14">
        <v>116</v>
      </c>
      <c r="X120" s="14">
        <f>求节点(B$10:B$48,Q$10:Q$48,$W120)*(其他调用!AS120+其他调用!AZ120*$D$50*$D$51)*6</f>
        <v>7343.6844683400286</v>
      </c>
      <c r="Y120" s="14">
        <f>求节点(C$10:C$48,R$10:R$48,$W120)*(其他调用!AT120+其他调用!BA120*$D$50*$D$51)*6</f>
        <v>7569.1866728940095</v>
      </c>
      <c r="Z120" s="14">
        <f>求节点(D$10:D$48,S$10:S$48,$W120)*(其他调用!AU120+其他调用!BB120*$D$50*$D$51)*6</f>
        <v>7805.1113774625637</v>
      </c>
      <c r="AA120" s="14">
        <f>求节点(E$10:E$48,T$10:T$48,$W120)*(其他调用!AV120+其他调用!BC120*$D$50*$D$51)*6</f>
        <v>7983.0077055525089</v>
      </c>
      <c r="AB120" s="14">
        <f>求节点(F$10:F$48,U$10:U$48,$W120)*(其他调用!AW120+其他调用!BD120*$D$50*$D$51)*6</f>
        <v>8141.5100216116152</v>
      </c>
      <c r="AC120" s="14">
        <f>[1]节奏总纲!$BJ119</f>
        <v>3.4999999999999978</v>
      </c>
      <c r="AD120" s="14">
        <f>[1]节奏总纲!$BJ119</f>
        <v>3.4999999999999978</v>
      </c>
      <c r="AE120" s="14">
        <f>[1]节奏总纲!$BJ119</f>
        <v>3.4999999999999978</v>
      </c>
      <c r="AF120" s="14">
        <f>[1]节奏总纲!$BJ119</f>
        <v>3.4999999999999978</v>
      </c>
      <c r="AG120" s="14">
        <f>[1]节奏总纲!$BJ119</f>
        <v>3.4999999999999978</v>
      </c>
      <c r="AI120" s="2">
        <v>116</v>
      </c>
      <c r="AJ120" s="2">
        <f>求节点(节奏总纲!$D$4:$D$113,AC$5:AC$104,$AI120)</f>
        <v>3.1232128925038283</v>
      </c>
      <c r="AK120" s="2">
        <f>求节点(节奏总纲!$D$4:$D$113,AD$5:AD$104,$AI120)</f>
        <v>3.1232128925038283</v>
      </c>
      <c r="AL120" s="2">
        <f>求节点(节奏总纲!$D$4:$D$113,AE$5:AE$104,$AI120)</f>
        <v>3.1232128925038283</v>
      </c>
      <c r="AM120" s="2">
        <f>求节点(节奏总纲!$D$4:$D$113,AF$5:AF$104,$AI120)</f>
        <v>3.1232128925038283</v>
      </c>
      <c r="AN120" s="2">
        <f>求节点(节奏总纲!$D$4:$D$113,AG$5:AG$104,$AI120)</f>
        <v>3.1232128925038283</v>
      </c>
    </row>
    <row r="121" spans="23:40" x14ac:dyDescent="0.15">
      <c r="W121" s="14">
        <v>117</v>
      </c>
      <c r="X121" s="14">
        <f>求节点(B$10:B$48,Q$10:Q$48,$W121)*(其他调用!AS121+其他调用!AZ121*$D$50*$D$51)*6</f>
        <v>7447.1120054415005</v>
      </c>
      <c r="Y121" s="14">
        <f>求节点(C$10:C$48,R$10:R$48,$W121)*(其他调用!AT121+其他调用!BA121*$D$50*$D$51)*6</f>
        <v>7668.8481943264796</v>
      </c>
      <c r="Z121" s="14">
        <f>求节点(D$10:D$48,S$10:S$48,$W121)*(其他调用!AU121+其他调用!BB121*$D$50*$D$51)*6</f>
        <v>7909.7546781895162</v>
      </c>
      <c r="AA121" s="14">
        <f>求节点(E$10:E$48,T$10:T$48,$W121)*(其他调用!AV121+其他调用!BC121*$D$50*$D$51)*6</f>
        <v>8078.1002571311656</v>
      </c>
      <c r="AB121" s="14">
        <f>求节点(F$10:F$48,U$10:U$48,$W121)*(其他调用!AW121+其他调用!BD121*$D$50*$D$51)*6</f>
        <v>8237.0849369936404</v>
      </c>
      <c r="AC121" s="14">
        <f>[1]节奏总纲!$BJ120</f>
        <v>3.4999999999999978</v>
      </c>
      <c r="AD121" s="14">
        <f>[1]节奏总纲!$BJ120</f>
        <v>3.4999999999999978</v>
      </c>
      <c r="AE121" s="14">
        <f>[1]节奏总纲!$BJ120</f>
        <v>3.4999999999999978</v>
      </c>
      <c r="AF121" s="14">
        <f>[1]节奏总纲!$BJ120</f>
        <v>3.4999999999999978</v>
      </c>
      <c r="AG121" s="14">
        <f>[1]节奏总纲!$BJ120</f>
        <v>3.4999999999999978</v>
      </c>
      <c r="AI121" s="2">
        <v>117</v>
      </c>
      <c r="AJ121" s="2">
        <f>求节点(节奏总纲!$D$4:$D$113,AC$5:AC$104,$AI121)</f>
        <v>3.1273807309505597</v>
      </c>
      <c r="AK121" s="2">
        <f>求节点(节奏总纲!$D$4:$D$113,AD$5:AD$104,$AI121)</f>
        <v>3.1273807309505597</v>
      </c>
      <c r="AL121" s="2">
        <f>求节点(节奏总纲!$D$4:$D$113,AE$5:AE$104,$AI121)</f>
        <v>3.1273807309505597</v>
      </c>
      <c r="AM121" s="2">
        <f>求节点(节奏总纲!$D$4:$D$113,AF$5:AF$104,$AI121)</f>
        <v>3.1273807309505597</v>
      </c>
      <c r="AN121" s="2">
        <f>求节点(节奏总纲!$D$4:$D$113,AG$5:AG$104,$AI121)</f>
        <v>3.1273807309505597</v>
      </c>
    </row>
    <row r="122" spans="23:40" x14ac:dyDescent="0.15">
      <c r="W122" s="14">
        <v>118</v>
      </c>
      <c r="X122" s="14">
        <f>求节点(B$10:B$48,Q$10:Q$48,$W122)*(其他调用!AS122+其他调用!AZ122*$D$50*$D$51)*6</f>
        <v>7550.8327927313003</v>
      </c>
      <c r="Y122" s="14">
        <f>求节点(C$10:C$48,R$10:R$48,$W122)*(其他调用!AT122+其他调用!BA122*$D$50*$D$51)*6</f>
        <v>7768.6733948682395</v>
      </c>
      <c r="Z122" s="14">
        <f>求节点(D$10:D$48,S$10:S$48,$W122)*(其他调用!AU122+其他调用!BB122*$D$50*$D$51)*6</f>
        <v>8014.6442263779554</v>
      </c>
      <c r="AA122" s="14">
        <f>求节点(E$10:E$48,T$10:T$48,$W122)*(其他调用!AV122+其他调用!BC122*$D$50*$D$51)*6</f>
        <v>8173.1928087098258</v>
      </c>
      <c r="AB122" s="14">
        <f>求节点(F$10:F$48,U$10:U$48,$W122)*(其他调用!AW122+其他调用!BD122*$D$50*$D$51)*6</f>
        <v>8332.6598523756657</v>
      </c>
      <c r="AC122" s="14">
        <f>[1]节奏总纲!$BJ121</f>
        <v>3.4999999999999978</v>
      </c>
      <c r="AD122" s="14">
        <f>[1]节奏总纲!$BJ121</f>
        <v>3.4999999999999978</v>
      </c>
      <c r="AE122" s="14">
        <f>[1]节奏总纲!$BJ121</f>
        <v>3.4999999999999978</v>
      </c>
      <c r="AF122" s="14">
        <f>[1]节奏总纲!$BJ121</f>
        <v>3.4999999999999978</v>
      </c>
      <c r="AG122" s="14">
        <f>[1]节奏总纲!$BJ121</f>
        <v>3.4999999999999978</v>
      </c>
      <c r="AI122" s="2">
        <v>118</v>
      </c>
      <c r="AJ122" s="2">
        <f>求节点(节奏总纲!$D$4:$D$113,AC$5:AC$104,$AI122)</f>
        <v>3.1315485693972915</v>
      </c>
      <c r="AK122" s="2">
        <f>求节点(节奏总纲!$D$4:$D$113,AD$5:AD$104,$AI122)</f>
        <v>3.1315485693972915</v>
      </c>
      <c r="AL122" s="2">
        <f>求节点(节奏总纲!$D$4:$D$113,AE$5:AE$104,$AI122)</f>
        <v>3.1315485693972915</v>
      </c>
      <c r="AM122" s="2">
        <f>求节点(节奏总纲!$D$4:$D$113,AF$5:AF$104,$AI122)</f>
        <v>3.1315485693972915</v>
      </c>
      <c r="AN122" s="2">
        <f>求节点(节奏总纲!$D$4:$D$113,AG$5:AG$104,$AI122)</f>
        <v>3.1315485693972915</v>
      </c>
    </row>
    <row r="123" spans="23:40" x14ac:dyDescent="0.15">
      <c r="W123" s="14">
        <v>119</v>
      </c>
      <c r="X123" s="14">
        <f>求节点(B$10:B$48,Q$10:Q$48,$W123)*(其他调用!AS123+其他调用!AZ123*$D$50*$D$51)*6</f>
        <v>7654.8468302094225</v>
      </c>
      <c r="Y123" s="14">
        <f>求节点(C$10:C$48,R$10:R$48,$W123)*(其他调用!AT123+其他调用!BA123*$D$50*$D$51)*6</f>
        <v>7868.6622745192908</v>
      </c>
      <c r="Z123" s="14">
        <f>求节点(D$10:D$48,S$10:S$48,$W123)*(其他调用!AU123+其他调用!BB123*$D$50*$D$51)*6</f>
        <v>8117.0479791426542</v>
      </c>
      <c r="AA123" s="14">
        <f>求节点(E$10:E$48,T$10:T$48,$W123)*(其他调用!AV123+其他调用!BC123*$D$50*$D$51)*6</f>
        <v>8268.2853602884825</v>
      </c>
      <c r="AB123" s="14">
        <f>求节点(F$10:F$48,U$10:U$48,$W123)*(其他调用!AW123+其他调用!BD123*$D$50*$D$51)*6</f>
        <v>8428.234767757689</v>
      </c>
      <c r="AC123" s="14">
        <f>[1]节奏总纲!$BJ122</f>
        <v>3.4999999999999978</v>
      </c>
      <c r="AD123" s="14">
        <f>[1]节奏总纲!$BJ122</f>
        <v>3.4999999999999978</v>
      </c>
      <c r="AE123" s="14">
        <f>[1]节奏总纲!$BJ122</f>
        <v>3.4999999999999978</v>
      </c>
      <c r="AF123" s="14">
        <f>[1]节奏总纲!$BJ122</f>
        <v>3.4999999999999978</v>
      </c>
      <c r="AG123" s="14">
        <f>[1]节奏总纲!$BJ122</f>
        <v>3.4999999999999978</v>
      </c>
      <c r="AI123" s="2">
        <v>119</v>
      </c>
      <c r="AJ123" s="2">
        <f>求节点(节奏总纲!$D$4:$D$113,AC$5:AC$104,$AI123)</f>
        <v>3.1355568204730973</v>
      </c>
      <c r="AK123" s="2">
        <f>求节点(节奏总纲!$D$4:$D$113,AD$5:AD$104,$AI123)</f>
        <v>3.1355568204730973</v>
      </c>
      <c r="AL123" s="2">
        <f>求节点(节奏总纲!$D$4:$D$113,AE$5:AE$104,$AI123)</f>
        <v>3.1355568204730973</v>
      </c>
      <c r="AM123" s="2">
        <f>求节点(节奏总纲!$D$4:$D$113,AF$5:AF$104,$AI123)</f>
        <v>3.1355568204730973</v>
      </c>
      <c r="AN123" s="2">
        <f>求节点(节奏总纲!$D$4:$D$113,AG$5:AG$104,$AI123)</f>
        <v>3.1355568204730973</v>
      </c>
    </row>
    <row r="124" spans="23:40" x14ac:dyDescent="0.15">
      <c r="W124" s="14">
        <v>120</v>
      </c>
      <c r="X124" s="14">
        <f>求节点(B$10:B$48,Q$10:Q$48,$W124)*(其他调用!AS124+其他调用!AZ124*$D$50*$D$51)*6</f>
        <v>7759.1541178758744</v>
      </c>
      <c r="Y124" s="14">
        <f>求节点(C$10:C$48,R$10:R$48,$W124)*(其他调用!AT124+其他调用!BA124*$D$50*$D$51)*6</f>
        <v>7968.8148332796318</v>
      </c>
      <c r="Z124" s="14">
        <f>求节点(D$10:D$48,S$10:S$48,$W124)*(其他调用!AU124+其他调用!BB124*$D$50*$D$51)*6</f>
        <v>8217.396336574031</v>
      </c>
      <c r="AA124" s="14">
        <f>求节点(E$10:E$48,T$10:T$48,$W124)*(其他调用!AV124+其他调用!BC124*$D$50*$D$51)*6</f>
        <v>8363.3779118671409</v>
      </c>
      <c r="AB124" s="14">
        <f>求节点(F$10:F$48,U$10:U$48,$W124)*(其他调用!AW124+其他调用!BD124*$D$50*$D$51)*6</f>
        <v>8523.8096831397161</v>
      </c>
      <c r="AC124" s="14">
        <f>[1]节奏总纲!$BJ123</f>
        <v>3.4999999999999978</v>
      </c>
      <c r="AD124" s="14">
        <f>[1]节奏总纲!$BJ123</f>
        <v>3.4999999999999978</v>
      </c>
      <c r="AE124" s="14">
        <f>[1]节奏总纲!$BJ123</f>
        <v>3.4999999999999978</v>
      </c>
      <c r="AF124" s="14">
        <f>[1]节奏总纲!$BJ123</f>
        <v>3.4999999999999978</v>
      </c>
      <c r="AG124" s="14">
        <f>[1]节奏总纲!$BJ123</f>
        <v>3.4999999999999978</v>
      </c>
      <c r="AI124" s="2">
        <v>120</v>
      </c>
      <c r="AJ124" s="2">
        <f>求节点(节奏总纲!$D$4:$D$113,AC$5:AC$104,$AI124)</f>
        <v>3.1394455512472934</v>
      </c>
      <c r="AK124" s="2">
        <f>求节点(节奏总纲!$D$4:$D$113,AD$5:AD$104,$AI124)</f>
        <v>3.1394455512472934</v>
      </c>
      <c r="AL124" s="2">
        <f>求节点(节奏总纲!$D$4:$D$113,AE$5:AE$104,$AI124)</f>
        <v>3.1394455512472934</v>
      </c>
      <c r="AM124" s="2">
        <f>求节点(节奏总纲!$D$4:$D$113,AF$5:AF$104,$AI124)</f>
        <v>3.1394455512472934</v>
      </c>
      <c r="AN124" s="2">
        <f>求节点(节奏总纲!$D$4:$D$113,AG$5:AG$104,$AI124)</f>
        <v>3.1394455512472934</v>
      </c>
    </row>
    <row r="125" spans="23:40" x14ac:dyDescent="0.15">
      <c r="W125" s="14">
        <v>121</v>
      </c>
      <c r="X125" s="14">
        <f>求节点(B$10:B$48,Q$10:Q$48,$W125)*(其他调用!AS125+其他调用!AZ125*$D$50*$D$51)*6</f>
        <v>7863.7546557306514</v>
      </c>
      <c r="Y125" s="14">
        <f>求节点(C$10:C$48,R$10:R$48,$W125)*(其他调用!AT125+其他调用!BA125*$D$50*$D$51)*6</f>
        <v>8069.1310711492642</v>
      </c>
      <c r="Z125" s="14">
        <f>求节点(D$10:D$48,S$10:S$48,$W125)*(其他调用!AU125+其他调用!BB125*$D$50*$D$51)*6</f>
        <v>8317.8756124933825</v>
      </c>
      <c r="AA125" s="14">
        <f>求节点(E$10:E$48,T$10:T$48,$W125)*(其他调用!AV125+其他调用!BC125*$D$50*$D$51)*6</f>
        <v>8458.4704634457976</v>
      </c>
      <c r="AB125" s="14">
        <f>求节点(F$10:F$48,U$10:U$48,$W125)*(其他调用!AW125+其他调用!BD125*$D$50*$D$51)*6</f>
        <v>8619.3845985217395</v>
      </c>
      <c r="AC125" s="14">
        <f>[1]节奏总纲!$BJ124</f>
        <v>3.4999999999999978</v>
      </c>
      <c r="AD125" s="14">
        <f>[1]节奏总纲!$BJ124</f>
        <v>3.4999999999999978</v>
      </c>
      <c r="AE125" s="14">
        <f>[1]节奏总纲!$BJ124</f>
        <v>3.4999999999999978</v>
      </c>
      <c r="AF125" s="14">
        <f>[1]节奏总纲!$BJ124</f>
        <v>3.4999999999999978</v>
      </c>
      <c r="AG125" s="14">
        <f>[1]节奏总纲!$BJ124</f>
        <v>3.4999999999999978</v>
      </c>
      <c r="AI125" s="2">
        <v>121</v>
      </c>
      <c r="AJ125" s="2">
        <f>求节点(节奏总纲!$D$4:$D$113,AC$5:AC$104,$AI125)</f>
        <v>3.1433342820214891</v>
      </c>
      <c r="AK125" s="2">
        <f>求节点(节奏总纲!$D$4:$D$113,AD$5:AD$104,$AI125)</f>
        <v>3.1433342820214891</v>
      </c>
      <c r="AL125" s="2">
        <f>求节点(节奏总纲!$D$4:$D$113,AE$5:AE$104,$AI125)</f>
        <v>3.1433342820214891</v>
      </c>
      <c r="AM125" s="2">
        <f>求节点(节奏总纲!$D$4:$D$113,AF$5:AF$104,$AI125)</f>
        <v>3.1433342820214891</v>
      </c>
      <c r="AN125" s="2">
        <f>求节点(节奏总纲!$D$4:$D$113,AG$5:AG$104,$AI125)</f>
        <v>3.1433342820214891</v>
      </c>
    </row>
    <row r="126" spans="23:40" x14ac:dyDescent="0.15">
      <c r="W126" s="14">
        <v>122</v>
      </c>
      <c r="X126" s="14">
        <f>求节点(B$10:B$48,Q$10:Q$48,$W126)*(其他调用!AS126+其他调用!AZ126*$D$50*$D$51)*6</f>
        <v>7966.6735594144902</v>
      </c>
      <c r="Y126" s="14">
        <f>求节点(C$10:C$48,R$10:R$48,$W126)*(其他调用!AT126+其他调用!BA126*$D$50*$D$51)*6</f>
        <v>8169.6109881281864</v>
      </c>
      <c r="Z126" s="14">
        <f>求节点(D$10:D$48,S$10:S$48,$W126)*(其他调用!AU126+其他调用!BB126*$D$50*$D$51)*6</f>
        <v>8418.3238377024954</v>
      </c>
      <c r="AA126" s="14">
        <f>求节点(E$10:E$48,T$10:T$48,$W126)*(其他调用!AV126+其他调用!BC126*$D$50*$D$51)*6</f>
        <v>8553.563015024456</v>
      </c>
      <c r="AB126" s="14">
        <f>求节点(F$10:F$48,U$10:U$48,$W126)*(其他调用!AW126+其他调用!BD126*$D$50*$D$51)*6</f>
        <v>8715.5876442260596</v>
      </c>
      <c r="AC126" s="14">
        <f>[1]节奏总纲!$BJ125</f>
        <v>3.4999999999999978</v>
      </c>
      <c r="AD126" s="14">
        <f>[1]节奏总纲!$BJ125</f>
        <v>3.4999999999999978</v>
      </c>
      <c r="AE126" s="14">
        <f>[1]节奏总纲!$BJ125</f>
        <v>3.4999999999999978</v>
      </c>
      <c r="AF126" s="14">
        <f>[1]节奏总纲!$BJ125</f>
        <v>3.4999999999999978</v>
      </c>
      <c r="AG126" s="14">
        <f>[1]节奏总纲!$BJ125</f>
        <v>3.4999999999999978</v>
      </c>
      <c r="AI126" s="2">
        <v>122</v>
      </c>
      <c r="AJ126" s="2">
        <f>求节点(节奏总纲!$D$4:$D$113,AC$5:AC$104,$AI126)</f>
        <v>3.1472230127956853</v>
      </c>
      <c r="AK126" s="2">
        <f>求节点(节奏总纲!$D$4:$D$113,AD$5:AD$104,$AI126)</f>
        <v>3.1472230127956853</v>
      </c>
      <c r="AL126" s="2">
        <f>求节点(节奏总纲!$D$4:$D$113,AE$5:AE$104,$AI126)</f>
        <v>3.1472230127956853</v>
      </c>
      <c r="AM126" s="2">
        <f>求节点(节奏总纲!$D$4:$D$113,AF$5:AF$104,$AI126)</f>
        <v>3.1472230127956853</v>
      </c>
      <c r="AN126" s="2">
        <f>求节点(节奏总纲!$D$4:$D$113,AG$5:AG$104,$AI126)</f>
        <v>3.1472230127956853</v>
      </c>
    </row>
    <row r="127" spans="23:40" x14ac:dyDescent="0.15">
      <c r="W127" s="14">
        <v>123</v>
      </c>
      <c r="X127" s="14">
        <f>求节点(B$10:B$48,Q$10:Q$48,$W127)*(其他调用!AS127+其他调用!AZ127*$D$50*$D$51)*6</f>
        <v>8068.0010687581726</v>
      </c>
      <c r="Y127" s="14">
        <f>求节点(C$10:C$48,R$10:R$48,$W127)*(其他调用!AT127+其他调用!BA127*$D$50*$D$51)*6</f>
        <v>8270.2545842164</v>
      </c>
      <c r="Z127" s="14">
        <f>求节点(D$10:D$48,S$10:S$48,$W127)*(其他调用!AU127+其他调用!BB127*$D$50*$D$51)*6</f>
        <v>8513.1888084635957</v>
      </c>
      <c r="AA127" s="14">
        <f>求节点(E$10:E$48,T$10:T$48,$W127)*(其他调用!AV127+其他调用!BC127*$D$50*$D$51)*6</f>
        <v>8648.6555666031127</v>
      </c>
      <c r="AB127" s="14">
        <f>求节点(F$10:F$48,U$10:U$48,$W127)*(其他调用!AW127+其他调用!BD127*$D$50*$D$51)*6</f>
        <v>8824.6827193224744</v>
      </c>
      <c r="AC127" s="14">
        <f>[1]节奏总纲!$BJ126</f>
        <v>3.4999999999999978</v>
      </c>
      <c r="AD127" s="14">
        <f>[1]节奏总纲!$BJ126</f>
        <v>3.4999999999999978</v>
      </c>
      <c r="AE127" s="14">
        <f>[1]节奏总纲!$BJ126</f>
        <v>3.4999999999999978</v>
      </c>
      <c r="AF127" s="14">
        <f>[1]节奏总纲!$BJ126</f>
        <v>3.4999999999999978</v>
      </c>
      <c r="AG127" s="14">
        <f>[1]节奏总纲!$BJ126</f>
        <v>3.4999999999999978</v>
      </c>
      <c r="AI127" s="2">
        <v>123</v>
      </c>
      <c r="AJ127" s="2">
        <f>求节点(节奏总纲!$D$4:$D$113,AC$5:AC$104,$AI127)</f>
        <v>3.1511117435698814</v>
      </c>
      <c r="AK127" s="2">
        <f>求节点(节奏总纲!$D$4:$D$113,AD$5:AD$104,$AI127)</f>
        <v>3.1511117435698814</v>
      </c>
      <c r="AL127" s="2">
        <f>求节点(节奏总纲!$D$4:$D$113,AE$5:AE$104,$AI127)</f>
        <v>3.1511117435698814</v>
      </c>
      <c r="AM127" s="2">
        <f>求节点(节奏总纲!$D$4:$D$113,AF$5:AF$104,$AI127)</f>
        <v>3.1511117435698814</v>
      </c>
      <c r="AN127" s="2">
        <f>求节点(节奏总纲!$D$4:$D$113,AG$5:AG$104,$AI127)</f>
        <v>3.1511117435698814</v>
      </c>
    </row>
    <row r="128" spans="23:40" x14ac:dyDescent="0.15">
      <c r="W128" s="14">
        <v>124</v>
      </c>
      <c r="X128" s="14">
        <f>求节点(B$10:B$48,Q$10:Q$48,$W128)*(其他调用!AS128+其他调用!AZ128*$D$50*$D$51)*6</f>
        <v>8169.5338783827119</v>
      </c>
      <c r="Y128" s="14">
        <f>求节点(C$10:C$48,R$10:R$48,$W128)*(其他调用!AT128+其他调用!BA128*$D$50*$D$51)*6</f>
        <v>8371.0618594139032</v>
      </c>
      <c r="Z128" s="14">
        <f>求节点(D$10:D$48,S$10:S$48,$W128)*(其他调用!AU128+其他调用!BB128*$D$50*$D$51)*6</f>
        <v>8608.0537792246942</v>
      </c>
      <c r="AA128" s="14">
        <f>求节点(E$10:E$48,T$10:T$48,$W128)*(其他调用!AV128+其他调用!BC128*$D$50*$D$51)*6</f>
        <v>8756.6957616179079</v>
      </c>
      <c r="AB128" s="14">
        <f>求节点(F$10:F$48,U$10:U$48,$W128)*(其他调用!AW128+其他调用!BD128*$D$50*$D$51)*6</f>
        <v>8933.7777944188856</v>
      </c>
      <c r="AC128" s="14">
        <f>[1]节奏总纲!$BJ127</f>
        <v>3.4999999999999978</v>
      </c>
      <c r="AD128" s="14">
        <f>[1]节奏总纲!$BJ127</f>
        <v>3.4999999999999978</v>
      </c>
      <c r="AE128" s="14">
        <f>[1]节奏总纲!$BJ127</f>
        <v>3.4999999999999978</v>
      </c>
      <c r="AF128" s="14">
        <f>[1]节奏总纲!$BJ127</f>
        <v>3.4999999999999978</v>
      </c>
      <c r="AG128" s="14">
        <f>[1]节奏总纲!$BJ127</f>
        <v>3.4999999999999978</v>
      </c>
      <c r="AI128" s="2">
        <v>124</v>
      </c>
      <c r="AJ128" s="2">
        <f>求节点(节奏总纲!$D$4:$D$113,AC$5:AC$104,$AI128)</f>
        <v>3.1550004743440776</v>
      </c>
      <c r="AK128" s="2">
        <f>求节点(节奏总纲!$D$4:$D$113,AD$5:AD$104,$AI128)</f>
        <v>3.1550004743440776</v>
      </c>
      <c r="AL128" s="2">
        <f>求节点(节奏总纲!$D$4:$D$113,AE$5:AE$104,$AI128)</f>
        <v>3.1550004743440776</v>
      </c>
      <c r="AM128" s="2">
        <f>求节点(节奏总纲!$D$4:$D$113,AF$5:AF$104,$AI128)</f>
        <v>3.1550004743440776</v>
      </c>
      <c r="AN128" s="2">
        <f>求节点(节奏总纲!$D$4:$D$113,AG$5:AG$104,$AI128)</f>
        <v>3.1550004743440776</v>
      </c>
    </row>
    <row r="129" spans="23:40" x14ac:dyDescent="0.15">
      <c r="W129" s="14">
        <v>125</v>
      </c>
      <c r="X129" s="14">
        <f>求节点(B$10:B$48,Q$10:Q$48,$W129)*(其他调用!AS129+其他调用!AZ129*$D$50*$D$51)*6</f>
        <v>8271.2719882881065</v>
      </c>
      <c r="Y129" s="14">
        <f>求节点(C$10:C$48,R$10:R$48,$W129)*(其他调用!AT129+其他调用!BA129*$D$50*$D$51)*6</f>
        <v>8472.7707877637968</v>
      </c>
      <c r="Z129" s="14">
        <f>求节点(D$10:D$48,S$10:S$48,$W129)*(其他调用!AU129+其他调用!BB129*$D$50*$D$51)*6</f>
        <v>8715.7908587619404</v>
      </c>
      <c r="AA129" s="14">
        <f>求节点(E$10:E$48,T$10:T$48,$W129)*(其他调用!AV129+其他调用!BC129*$D$50*$D$51)*6</f>
        <v>8865.4302891892021</v>
      </c>
      <c r="AB129" s="14">
        <f>求节点(F$10:F$48,U$10:U$48,$W129)*(其他调用!AW129+其他调用!BD129*$D$50*$D$51)*6</f>
        <v>9042.8728695152968</v>
      </c>
      <c r="AC129" s="14">
        <f>[1]节奏总纲!$BJ128</f>
        <v>3.4999999999999978</v>
      </c>
      <c r="AD129" s="14">
        <f>[1]节奏总纲!$BJ128</f>
        <v>3.4999999999999978</v>
      </c>
      <c r="AE129" s="14">
        <f>[1]节奏总纲!$BJ128</f>
        <v>3.4999999999999978</v>
      </c>
      <c r="AF129" s="14">
        <f>[1]节奏总纲!$BJ128</f>
        <v>3.4999999999999978</v>
      </c>
      <c r="AG129" s="14">
        <f>[1]节奏总纲!$BJ128</f>
        <v>3.4999999999999978</v>
      </c>
      <c r="AI129" s="2">
        <v>125</v>
      </c>
      <c r="AJ129" s="2">
        <f>求节点(节奏总纲!$D$4:$D$113,AC$5:AC$104,$AI129)</f>
        <v>3.1588892051182733</v>
      </c>
      <c r="AK129" s="2">
        <f>求节点(节奏总纲!$D$4:$D$113,AD$5:AD$104,$AI129)</f>
        <v>3.1588892051182733</v>
      </c>
      <c r="AL129" s="2">
        <f>求节点(节奏总纲!$D$4:$D$113,AE$5:AE$104,$AI129)</f>
        <v>3.1588892051182733</v>
      </c>
      <c r="AM129" s="2">
        <f>求节点(节奏总纲!$D$4:$D$113,AF$5:AF$104,$AI129)</f>
        <v>3.1588892051182733</v>
      </c>
      <c r="AN129" s="2">
        <f>求节点(节奏总纲!$D$4:$D$113,AG$5:AG$104,$AI129)</f>
        <v>3.1588892051182733</v>
      </c>
    </row>
    <row r="130" spans="23:40" x14ac:dyDescent="0.15">
      <c r="W130" s="14">
        <v>126</v>
      </c>
      <c r="X130" s="14">
        <f>求节点(B$10:B$48,Q$10:Q$48,$W130)*(其他调用!AS130+其他调用!AZ130*$D$50*$D$51)*6</f>
        <v>8371.5588042955424</v>
      </c>
      <c r="Y130" s="14">
        <f>求节点(C$10:C$48,R$10:R$48,$W130)*(其他调用!AT130+其他调用!BA130*$D$50*$D$51)*6</f>
        <v>8586.6472555288601</v>
      </c>
      <c r="Z130" s="14">
        <f>求节点(D$10:D$48,S$10:S$48,$W130)*(其他调用!AU130+其他调用!BB130*$D$50*$D$51)*6</f>
        <v>8824.143520396623</v>
      </c>
      <c r="AA130" s="14">
        <f>求节点(E$10:E$48,T$10:T$48,$W130)*(其他调用!AV130+其他调用!BC130*$D$50*$D$51)*6</f>
        <v>8974.1648167604963</v>
      </c>
      <c r="AB130" s="14">
        <f>求节点(F$10:F$48,U$10:U$48,$W130)*(其他调用!AW130+其他调用!BD130*$D$50*$D$51)*6</f>
        <v>9151.9679446117079</v>
      </c>
      <c r="AC130" s="14">
        <f>[1]节奏总纲!$BJ129</f>
        <v>3.4999999999999978</v>
      </c>
      <c r="AD130" s="14">
        <f>[1]节奏总纲!$BJ129</f>
        <v>3.4999999999999978</v>
      </c>
      <c r="AE130" s="14">
        <f>[1]节奏总纲!$BJ129</f>
        <v>3.4999999999999978</v>
      </c>
      <c r="AF130" s="14">
        <f>[1]节奏总纲!$BJ129</f>
        <v>3.4999999999999978</v>
      </c>
      <c r="AG130" s="14">
        <f>[1]节奏总纲!$BJ129</f>
        <v>3.4999999999999978</v>
      </c>
      <c r="AI130" s="2">
        <v>126</v>
      </c>
      <c r="AJ130" s="2">
        <f>求节点(节奏总纲!$D$4:$D$113,AC$5:AC$104,$AI130)</f>
        <v>3.1627779358924695</v>
      </c>
      <c r="AK130" s="2">
        <f>求节点(节奏总纲!$D$4:$D$113,AD$5:AD$104,$AI130)</f>
        <v>3.1627779358924695</v>
      </c>
      <c r="AL130" s="2">
        <f>求节点(节奏总纲!$D$4:$D$113,AE$5:AE$104,$AI130)</f>
        <v>3.1627779358924695</v>
      </c>
      <c r="AM130" s="2">
        <f>求节点(节奏总纲!$D$4:$D$113,AF$5:AF$104,$AI130)</f>
        <v>3.1627779358924695</v>
      </c>
      <c r="AN130" s="2">
        <f>求节点(节奏总纲!$D$4:$D$113,AG$5:AG$104,$AI130)</f>
        <v>3.1627779358924695</v>
      </c>
    </row>
    <row r="131" spans="23:40" x14ac:dyDescent="0.15">
      <c r="W131" s="14">
        <v>127</v>
      </c>
      <c r="X131" s="14">
        <f>求节点(B$10:B$48,Q$10:Q$48,$W131)*(其他调用!AS131+其他调用!AZ131*$D$50*$D$51)*6</f>
        <v>8481.3280056420408</v>
      </c>
      <c r="Y131" s="14">
        <f>求节点(C$10:C$48,R$10:R$48,$W131)*(其他调用!AT131+其他调用!BA131*$D$50*$D$51)*6</f>
        <v>8700.7096518980397</v>
      </c>
      <c r="Z131" s="14">
        <f>求节点(D$10:D$48,S$10:S$48,$W131)*(其他调用!AU131+其他调用!BB131*$D$50*$D$51)*6</f>
        <v>8932.496182031311</v>
      </c>
      <c r="AA131" s="14">
        <f>求节点(E$10:E$48,T$10:T$48,$W131)*(其他调用!AV131+其他调用!BC131*$D$50*$D$51)*6</f>
        <v>9082.8993443317922</v>
      </c>
      <c r="AB131" s="14">
        <f>求节点(F$10:F$48,U$10:U$48,$W131)*(其他调用!AW131+其他调用!BD131*$D$50*$D$51)*6</f>
        <v>9261.0630197081209</v>
      </c>
      <c r="AC131" s="14">
        <f>[1]节奏总纲!$BJ130</f>
        <v>3.4999999999999978</v>
      </c>
      <c r="AD131" s="14">
        <f>[1]节奏总纲!$BJ130</f>
        <v>3.4999999999999978</v>
      </c>
      <c r="AE131" s="14">
        <f>[1]节奏总纲!$BJ130</f>
        <v>3.4999999999999978</v>
      </c>
      <c r="AF131" s="14">
        <f>[1]节奏总纲!$BJ130</f>
        <v>3.4999999999999978</v>
      </c>
      <c r="AG131" s="14">
        <f>[1]节奏总纲!$BJ130</f>
        <v>3.4999999999999978</v>
      </c>
      <c r="AI131" s="2">
        <v>127</v>
      </c>
      <c r="AJ131" s="2">
        <f>求节点(节奏总纲!$D$4:$D$113,AC$5:AC$104,$AI131)</f>
        <v>3.1666666666666656</v>
      </c>
      <c r="AK131" s="2">
        <f>求节点(节奏总纲!$D$4:$D$113,AD$5:AD$104,$AI131)</f>
        <v>3.1666666666666656</v>
      </c>
      <c r="AL131" s="2">
        <f>求节点(节奏总纲!$D$4:$D$113,AE$5:AE$104,$AI131)</f>
        <v>3.1666666666666656</v>
      </c>
      <c r="AM131" s="2">
        <f>求节点(节奏总纲!$D$4:$D$113,AF$5:AF$104,$AI131)</f>
        <v>3.1666666666666656</v>
      </c>
      <c r="AN131" s="2">
        <f>求节点(节奏总纲!$D$4:$D$113,AG$5:AG$104,$AI131)</f>
        <v>3.1666666666666656</v>
      </c>
    </row>
    <row r="132" spans="23:40" x14ac:dyDescent="0.15">
      <c r="W132" s="14">
        <v>128</v>
      </c>
      <c r="X132" s="14">
        <f>求节点(B$10:B$48,Q$10:Q$48,$W132)*(其他调用!AS132+其他调用!AZ132*$D$50*$D$51)*6</f>
        <v>8591.2188565031847</v>
      </c>
      <c r="Y132" s="14">
        <f>求节点(C$10:C$48,R$10:R$48,$W132)*(其他调用!AT132+其他调用!BA132*$D$50*$D$51)*6</f>
        <v>8814.9579768713338</v>
      </c>
      <c r="Z132" s="14">
        <f>求节点(D$10:D$48,S$10:S$48,$W132)*(其他调用!AU132+其他调用!BB132*$D$50*$D$51)*6</f>
        <v>9040.8488436659973</v>
      </c>
      <c r="AA132" s="14">
        <f>求节点(E$10:E$48,T$10:T$48,$W132)*(其他调用!AV132+其他调用!BC132*$D$50*$D$51)*6</f>
        <v>9191.6338719030864</v>
      </c>
      <c r="AB132" s="14">
        <f>求节点(F$10:F$48,U$10:U$48,$W132)*(其他调用!AW132+其他调用!BD132*$D$50*$D$51)*6</f>
        <v>9370.1580948045321</v>
      </c>
      <c r="AC132" s="14">
        <f>[1]节奏总纲!$BJ131</f>
        <v>3.4999999999999978</v>
      </c>
      <c r="AD132" s="14">
        <f>[1]节奏总纲!$BJ131</f>
        <v>3.4999999999999978</v>
      </c>
      <c r="AE132" s="14">
        <f>[1]节奏总纲!$BJ131</f>
        <v>3.4999999999999978</v>
      </c>
      <c r="AF132" s="14">
        <f>[1]节奏总纲!$BJ131</f>
        <v>3.4999999999999978</v>
      </c>
      <c r="AG132" s="14">
        <f>[1]节奏总纲!$BJ131</f>
        <v>3.4999999999999978</v>
      </c>
      <c r="AI132" s="2">
        <v>128</v>
      </c>
      <c r="AJ132" s="2">
        <f>求节点(节奏总纲!$D$4:$D$113,AC$5:AC$104,$AI132)</f>
        <v>3.1702949807741949</v>
      </c>
      <c r="AK132" s="2">
        <f>求节点(节奏总纲!$D$4:$D$113,AD$5:AD$104,$AI132)</f>
        <v>3.1702949807741949</v>
      </c>
      <c r="AL132" s="2">
        <f>求节点(节奏总纲!$D$4:$D$113,AE$5:AE$104,$AI132)</f>
        <v>3.1702949807741949</v>
      </c>
      <c r="AM132" s="2">
        <f>求节点(节奏总纲!$D$4:$D$113,AF$5:AF$104,$AI132)</f>
        <v>3.1702949807741949</v>
      </c>
      <c r="AN132" s="2">
        <f>求节点(节奏总纲!$D$4:$D$113,AG$5:AG$104,$AI132)</f>
        <v>3.1702949807741949</v>
      </c>
    </row>
    <row r="133" spans="23:40" x14ac:dyDescent="0.15">
      <c r="W133" s="14">
        <v>129</v>
      </c>
      <c r="X133" s="14">
        <f>求节点(B$10:B$48,Q$10:Q$48,$W133)*(其他调用!AS133+其他调用!AZ133*$D$50*$D$51)*6</f>
        <v>8701.2313568789796</v>
      </c>
      <c r="Y133" s="14">
        <f>求节点(C$10:C$48,R$10:R$48,$W133)*(其他调用!AT133+其他调用!BA133*$D$50*$D$51)*6</f>
        <v>8929.3922304487514</v>
      </c>
      <c r="Z133" s="14">
        <f>求节点(D$10:D$48,S$10:S$48,$W133)*(其他调用!AU133+其他调用!BB133*$D$50*$D$51)*6</f>
        <v>9149.2015053006835</v>
      </c>
      <c r="AA133" s="14">
        <f>求节点(E$10:E$48,T$10:T$48,$W133)*(其他调用!AV133+其他调用!BC133*$D$50*$D$51)*6</f>
        <v>9300.3683994743824</v>
      </c>
      <c r="AB133" s="14">
        <f>求节点(F$10:F$48,U$10:U$48,$W133)*(其他调用!AW133+其他调用!BD133*$D$50*$D$51)*6</f>
        <v>9479.2531699009451</v>
      </c>
      <c r="AC133" s="14">
        <f>[1]节奏总纲!$BJ132</f>
        <v>3.4999999999999978</v>
      </c>
      <c r="AD133" s="14">
        <f>[1]节奏总纲!$BJ132</f>
        <v>3.4999999999999978</v>
      </c>
      <c r="AE133" s="14">
        <f>[1]节奏总纲!$BJ132</f>
        <v>3.4999999999999978</v>
      </c>
      <c r="AF133" s="14">
        <f>[1]节奏总纲!$BJ132</f>
        <v>3.4999999999999978</v>
      </c>
      <c r="AG133" s="14">
        <f>[1]节奏总纲!$BJ132</f>
        <v>3.4999999999999978</v>
      </c>
      <c r="AI133" s="2">
        <v>129</v>
      </c>
      <c r="AJ133" s="2">
        <f>求节点(节奏总纲!$D$4:$D$113,AC$5:AC$104,$AI133)</f>
        <v>3.1739232948817246</v>
      </c>
      <c r="AK133" s="2">
        <f>求节点(节奏总纲!$D$4:$D$113,AD$5:AD$104,$AI133)</f>
        <v>3.1739232948817246</v>
      </c>
      <c r="AL133" s="2">
        <f>求节点(节奏总纲!$D$4:$D$113,AE$5:AE$104,$AI133)</f>
        <v>3.1739232948817246</v>
      </c>
      <c r="AM133" s="2">
        <f>求节点(节奏总纲!$D$4:$D$113,AF$5:AF$104,$AI133)</f>
        <v>3.1739232948817246</v>
      </c>
      <c r="AN133" s="2">
        <f>求节点(节奏总纲!$D$4:$D$113,AG$5:AG$104,$AI133)</f>
        <v>3.1739232948817246</v>
      </c>
    </row>
    <row r="134" spans="23:40" x14ac:dyDescent="0.15">
      <c r="W134" s="14">
        <v>130</v>
      </c>
      <c r="X134" s="14">
        <f>求节点(B$10:B$48,Q$10:Q$48,$W134)*(其他调用!AS134+其他调用!AZ134*$D$50*$D$51)*6</f>
        <v>8811.3655067694199</v>
      </c>
      <c r="Y134" s="14">
        <f>求节点(C$10:C$48,R$10:R$48,$W134)*(其他调用!AT134+其他调用!BA134*$D$50*$D$51)*6</f>
        <v>9044.0124126302799</v>
      </c>
      <c r="Z134" s="14">
        <f>求节点(D$10:D$48,S$10:S$48,$W134)*(其他调用!AU134+其他调用!BB134*$D$50*$D$51)*6</f>
        <v>9257.5541669353697</v>
      </c>
      <c r="AA134" s="14">
        <f>求节点(E$10:E$48,T$10:T$48,$W134)*(其他调用!AV134+其他调用!BC134*$D$50*$D$51)*6</f>
        <v>9409.1029270456747</v>
      </c>
      <c r="AB134" s="14">
        <f>求节点(F$10:F$48,U$10:U$48,$W134)*(其他调用!AW134+其他调用!BD134*$D$50*$D$51)*6</f>
        <v>9588.3482449973562</v>
      </c>
      <c r="AC134" s="14">
        <f>[1]节奏总纲!$BJ133</f>
        <v>3.4999999999999978</v>
      </c>
      <c r="AD134" s="14">
        <f>[1]节奏总纲!$BJ133</f>
        <v>3.4999999999999978</v>
      </c>
      <c r="AE134" s="14">
        <f>[1]节奏总纲!$BJ133</f>
        <v>3.4999999999999978</v>
      </c>
      <c r="AF134" s="14">
        <f>[1]节奏总纲!$BJ133</f>
        <v>3.4999999999999978</v>
      </c>
      <c r="AG134" s="14">
        <f>[1]节奏总纲!$BJ133</f>
        <v>3.4999999999999978</v>
      </c>
      <c r="AI134" s="2">
        <v>130</v>
      </c>
      <c r="AJ134" s="2">
        <f>求节点(节奏总纲!$D$4:$D$113,AC$5:AC$104,$AI134)</f>
        <v>3.1775516089892539</v>
      </c>
      <c r="AK134" s="2">
        <f>求节点(节奏总纲!$D$4:$D$113,AD$5:AD$104,$AI134)</f>
        <v>3.1775516089892539</v>
      </c>
      <c r="AL134" s="2">
        <f>求节点(节奏总纲!$D$4:$D$113,AE$5:AE$104,$AI134)</f>
        <v>3.1775516089892539</v>
      </c>
      <c r="AM134" s="2">
        <f>求节点(节奏总纲!$D$4:$D$113,AF$5:AF$104,$AI134)</f>
        <v>3.1775516089892539</v>
      </c>
      <c r="AN134" s="2">
        <f>求节点(节奏总纲!$D$4:$D$113,AG$5:AG$104,$AI134)</f>
        <v>3.1775516089892539</v>
      </c>
    </row>
    <row r="135" spans="23:40" x14ac:dyDescent="0.15">
      <c r="W135" s="14">
        <v>131</v>
      </c>
      <c r="X135" s="14">
        <f>求节点(B$10:B$48,Q$10:Q$48,$W135)*(其他调用!AS135+其他调用!AZ135*$D$50*$D$51)*6</f>
        <v>8921.6213061745111</v>
      </c>
      <c r="Y135" s="14">
        <f>求节点(C$10:C$48,R$10:R$48,$W135)*(其他调用!AT135+其他调用!BA135*$D$50*$D$51)*6</f>
        <v>9158.8185234159282</v>
      </c>
      <c r="Z135" s="14">
        <f>求节点(D$10:D$48,S$10:S$48,$W135)*(其他调用!AU135+其他调用!BB135*$D$50*$D$51)*6</f>
        <v>9365.9068285700559</v>
      </c>
      <c r="AA135" s="14">
        <f>求节点(E$10:E$48,T$10:T$48,$W135)*(其他调用!AV135+其他调用!BC135*$D$50*$D$51)*6</f>
        <v>9517.8374546169707</v>
      </c>
      <c r="AB135" s="14">
        <f>求节点(F$10:F$48,U$10:U$48,$W135)*(其他调用!AW135+其他调用!BD135*$D$50*$D$51)*6</f>
        <v>9697.4433200937674</v>
      </c>
      <c r="AC135" s="14">
        <f>[1]节奏总纲!$BJ134</f>
        <v>3.4999999999999978</v>
      </c>
      <c r="AD135" s="14">
        <f>[1]节奏总纲!$BJ134</f>
        <v>3.4999999999999978</v>
      </c>
      <c r="AE135" s="14">
        <f>[1]节奏总纲!$BJ134</f>
        <v>3.4999999999999978</v>
      </c>
      <c r="AF135" s="14">
        <f>[1]节奏总纲!$BJ134</f>
        <v>3.4999999999999978</v>
      </c>
      <c r="AG135" s="14">
        <f>[1]节奏总纲!$BJ134</f>
        <v>3.4999999999999978</v>
      </c>
      <c r="AI135" s="2">
        <v>131</v>
      </c>
      <c r="AJ135" s="2">
        <f>求节点(节奏总纲!$D$4:$D$113,AC$5:AC$104,$AI135)</f>
        <v>3.1811799230967832</v>
      </c>
      <c r="AK135" s="2">
        <f>求节点(节奏总纲!$D$4:$D$113,AD$5:AD$104,$AI135)</f>
        <v>3.1811799230967832</v>
      </c>
      <c r="AL135" s="2">
        <f>求节点(节奏总纲!$D$4:$D$113,AE$5:AE$104,$AI135)</f>
        <v>3.1811799230967832</v>
      </c>
      <c r="AM135" s="2">
        <f>求节点(节奏总纲!$D$4:$D$113,AF$5:AF$104,$AI135)</f>
        <v>3.1811799230967832</v>
      </c>
      <c r="AN135" s="2">
        <f>求节点(节奏总纲!$D$4:$D$113,AG$5:AG$104,$AI135)</f>
        <v>3.1811799230967832</v>
      </c>
    </row>
    <row r="136" spans="23:40" x14ac:dyDescent="0.15">
      <c r="W136" s="14">
        <v>132</v>
      </c>
      <c r="X136" s="14">
        <f>求节点(B$10:B$48,Q$10:Q$48,$W136)*(其他调用!AS136+其他调用!AZ136*$D$50*$D$51)*6</f>
        <v>9031.9987550942478</v>
      </c>
      <c r="Y136" s="14">
        <f>求节点(C$10:C$48,R$10:R$48,$W136)*(其他调用!AT136+其他调用!BA136*$D$50*$D$51)*6</f>
        <v>9273.8105628056965</v>
      </c>
      <c r="Z136" s="14">
        <f>求节点(D$10:D$48,S$10:S$48,$W136)*(其他调用!AU136+其他调用!BB136*$D$50*$D$51)*6</f>
        <v>9474.2594902047404</v>
      </c>
      <c r="AA136" s="14">
        <f>求节点(E$10:E$48,T$10:T$48,$W136)*(其他调用!AV136+其他调用!BC136*$D$50*$D$51)*6</f>
        <v>9626.5719821882631</v>
      </c>
      <c r="AB136" s="14">
        <f>求节点(F$10:F$48,U$10:U$48,$W136)*(其他调用!AW136+其他调用!BD136*$D$50*$D$51)*6</f>
        <v>9806.5383951901786</v>
      </c>
      <c r="AC136" s="14">
        <f>[1]节奏总纲!$BJ135</f>
        <v>3.4999999999999978</v>
      </c>
      <c r="AD136" s="14">
        <f>[1]节奏总纲!$BJ135</f>
        <v>3.4999999999999978</v>
      </c>
      <c r="AE136" s="14">
        <f>[1]节奏总纲!$BJ135</f>
        <v>3.4999999999999978</v>
      </c>
      <c r="AF136" s="14">
        <f>[1]节奏总纲!$BJ135</f>
        <v>3.4999999999999978</v>
      </c>
      <c r="AG136" s="14">
        <f>[1]节奏总纲!$BJ135</f>
        <v>3.4999999999999978</v>
      </c>
      <c r="AI136" s="2">
        <v>132</v>
      </c>
      <c r="AJ136" s="2">
        <f>求节点(节奏总纲!$D$4:$D$113,AC$5:AC$104,$AI136)</f>
        <v>3.1848082372043125</v>
      </c>
      <c r="AK136" s="2">
        <f>求节点(节奏总纲!$D$4:$D$113,AD$5:AD$104,$AI136)</f>
        <v>3.1848082372043125</v>
      </c>
      <c r="AL136" s="2">
        <f>求节点(节奏总纲!$D$4:$D$113,AE$5:AE$104,$AI136)</f>
        <v>3.1848082372043125</v>
      </c>
      <c r="AM136" s="2">
        <f>求节点(节奏总纲!$D$4:$D$113,AF$5:AF$104,$AI136)</f>
        <v>3.1848082372043125</v>
      </c>
      <c r="AN136" s="2">
        <f>求节点(节奏总纲!$D$4:$D$113,AG$5:AG$104,$AI136)</f>
        <v>3.1848082372043125</v>
      </c>
    </row>
    <row r="137" spans="23:40" x14ac:dyDescent="0.15">
      <c r="W137" s="14">
        <v>133</v>
      </c>
      <c r="X137" s="14">
        <f>求节点(B$10:B$48,Q$10:Q$48,$W137)*(其他调用!AS137+其他调用!AZ137*$D$50*$D$51)*6</f>
        <v>9142.4978535286336</v>
      </c>
      <c r="Y137" s="14">
        <f>求节点(C$10:C$48,R$10:R$48,$W137)*(其他调用!AT137+其他调用!BA137*$D$50*$D$51)*6</f>
        <v>9388.9885307995792</v>
      </c>
      <c r="Z137" s="14">
        <f>求节点(D$10:D$48,S$10:S$48,$W137)*(其他调用!AU137+其他调用!BB137*$D$50*$D$51)*6</f>
        <v>9582.6121518394284</v>
      </c>
      <c r="AA137" s="14">
        <f>求节点(E$10:E$48,T$10:T$48,$W137)*(其他调用!AV137+其他调用!BC137*$D$50*$D$51)*6</f>
        <v>9735.306509759559</v>
      </c>
      <c r="AB137" s="14">
        <f>求节点(F$10:F$48,U$10:U$48,$W137)*(其他调用!AW137+其他调用!BD137*$D$50*$D$51)*6</f>
        <v>9915.6334702865897</v>
      </c>
      <c r="AC137" s="14">
        <f>[1]节奏总纲!$BJ136</f>
        <v>3.4999999999999978</v>
      </c>
      <c r="AD137" s="14">
        <f>[1]节奏总纲!$BJ136</f>
        <v>3.4999999999999978</v>
      </c>
      <c r="AE137" s="14">
        <f>[1]节奏总纲!$BJ136</f>
        <v>3.4999999999999978</v>
      </c>
      <c r="AF137" s="14">
        <f>[1]节奏总纲!$BJ136</f>
        <v>3.4999999999999978</v>
      </c>
      <c r="AG137" s="14">
        <f>[1]节奏总纲!$BJ136</f>
        <v>3.4999999999999978</v>
      </c>
      <c r="AI137" s="2">
        <v>133</v>
      </c>
      <c r="AJ137" s="2">
        <f>求节点(节奏总纲!$D$4:$D$113,AC$5:AC$104,$AI137)</f>
        <v>3.1884365513118422</v>
      </c>
      <c r="AK137" s="2">
        <f>求节点(节奏总纲!$D$4:$D$113,AD$5:AD$104,$AI137)</f>
        <v>3.1884365513118422</v>
      </c>
      <c r="AL137" s="2">
        <f>求节点(节奏总纲!$D$4:$D$113,AE$5:AE$104,$AI137)</f>
        <v>3.1884365513118422</v>
      </c>
      <c r="AM137" s="2">
        <f>求节点(节奏总纲!$D$4:$D$113,AF$5:AF$104,$AI137)</f>
        <v>3.1884365513118422</v>
      </c>
      <c r="AN137" s="2">
        <f>求节点(节奏总纲!$D$4:$D$113,AG$5:AG$104,$AI137)</f>
        <v>3.1884365513118422</v>
      </c>
    </row>
    <row r="138" spans="23:40" x14ac:dyDescent="0.15">
      <c r="W138" s="14">
        <v>134</v>
      </c>
      <c r="X138" s="14">
        <f>求节点(B$10:B$48,Q$10:Q$48,$W138)*(其他调用!AS138+其他调用!AZ138*$D$50*$D$51)*6</f>
        <v>9253.1186014776686</v>
      </c>
      <c r="Y138" s="14">
        <f>求节点(C$10:C$48,R$10:R$48,$W138)*(其他调用!AT138+其他调用!BA138*$D$50*$D$51)*6</f>
        <v>9504.3524273975763</v>
      </c>
      <c r="Z138" s="14">
        <f>求节点(D$10:D$48,S$10:S$48,$W138)*(其他调用!AU138+其他调用!BB138*$D$50*$D$51)*6</f>
        <v>9690.964813474111</v>
      </c>
      <c r="AA138" s="14">
        <f>求节点(E$10:E$48,T$10:T$48,$W138)*(其他调用!AV138+其他调用!BC138*$D$50*$D$51)*6</f>
        <v>9844.041037330855</v>
      </c>
      <c r="AB138" s="14">
        <f>求节点(F$10:F$48,U$10:U$48,$W138)*(其他调用!AW138+其他调用!BD138*$D$50*$D$51)*6</f>
        <v>10024.728545383001</v>
      </c>
      <c r="AC138" s="14">
        <f>[1]节奏总纲!$BJ137</f>
        <v>3.4999999999999978</v>
      </c>
      <c r="AD138" s="14">
        <f>[1]节奏总纲!$BJ137</f>
        <v>3.4999999999999978</v>
      </c>
      <c r="AE138" s="14">
        <f>[1]节奏总纲!$BJ137</f>
        <v>3.4999999999999978</v>
      </c>
      <c r="AF138" s="14">
        <f>[1]节奏总纲!$BJ137</f>
        <v>3.4999999999999978</v>
      </c>
      <c r="AG138" s="14">
        <f>[1]节奏总纲!$BJ137</f>
        <v>3.4999999999999978</v>
      </c>
      <c r="AI138" s="2">
        <v>134</v>
      </c>
      <c r="AJ138" s="2">
        <f>求节点(节奏总纲!$D$4:$D$113,AC$5:AC$104,$AI138)</f>
        <v>3.1920648654193715</v>
      </c>
      <c r="AK138" s="2">
        <f>求节点(节奏总纲!$D$4:$D$113,AD$5:AD$104,$AI138)</f>
        <v>3.1920648654193715</v>
      </c>
      <c r="AL138" s="2">
        <f>求节点(节奏总纲!$D$4:$D$113,AE$5:AE$104,$AI138)</f>
        <v>3.1920648654193715</v>
      </c>
      <c r="AM138" s="2">
        <f>求节点(节奏总纲!$D$4:$D$113,AF$5:AF$104,$AI138)</f>
        <v>3.1920648654193715</v>
      </c>
      <c r="AN138" s="2">
        <f>求节点(节奏总纲!$D$4:$D$113,AG$5:AG$104,$AI138)</f>
        <v>3.1920648654193715</v>
      </c>
    </row>
    <row r="139" spans="23:40" x14ac:dyDescent="0.15">
      <c r="W139" s="14">
        <v>135</v>
      </c>
      <c r="X139" s="14">
        <f>求节点(B$10:B$48,Q$10:Q$48,$W139)*(其他调用!AS139+其他调用!AZ139*$D$50*$D$51)*6</f>
        <v>9363.860998941349</v>
      </c>
      <c r="Y139" s="14">
        <f>求节点(C$10:C$48,R$10:R$48,$W139)*(其他调用!AT139+其他调用!BA139*$D$50*$D$51)*6</f>
        <v>9619.902252599697</v>
      </c>
      <c r="Z139" s="14">
        <f>求节点(D$10:D$48,S$10:S$48,$W139)*(其他调用!AU139+其他调用!BB139*$D$50*$D$51)*6</f>
        <v>9799.317475108799</v>
      </c>
      <c r="AA139" s="14">
        <f>求节点(E$10:E$48,T$10:T$48,$W139)*(其他调用!AV139+其他调用!BC139*$D$50*$D$51)*6</f>
        <v>9952.7755649021492</v>
      </c>
      <c r="AB139" s="14">
        <f>求节点(F$10:F$48,U$10:U$48,$W139)*(其他调用!AW139+其他调用!BD139*$D$50*$D$51)*6</f>
        <v>10133.823620479414</v>
      </c>
      <c r="AC139" s="14">
        <f>[1]节奏总纲!$BJ138</f>
        <v>3.4999999999999978</v>
      </c>
      <c r="AD139" s="14">
        <f>[1]节奏总纲!$BJ138</f>
        <v>3.4999999999999978</v>
      </c>
      <c r="AE139" s="14">
        <f>[1]节奏总纲!$BJ138</f>
        <v>3.4999999999999978</v>
      </c>
      <c r="AF139" s="14">
        <f>[1]节奏总纲!$BJ138</f>
        <v>3.4999999999999978</v>
      </c>
      <c r="AG139" s="14">
        <f>[1]节奏总纲!$BJ138</f>
        <v>3.4999999999999978</v>
      </c>
      <c r="AI139" s="2">
        <v>135</v>
      </c>
      <c r="AJ139" s="2">
        <f>求节点(节奏总纲!$D$4:$D$113,AC$5:AC$104,$AI139)</f>
        <v>3.1956931795269008</v>
      </c>
      <c r="AK139" s="2">
        <f>求节点(节奏总纲!$D$4:$D$113,AD$5:AD$104,$AI139)</f>
        <v>3.1956931795269008</v>
      </c>
      <c r="AL139" s="2">
        <f>求节点(节奏总纲!$D$4:$D$113,AE$5:AE$104,$AI139)</f>
        <v>3.1956931795269008</v>
      </c>
      <c r="AM139" s="2">
        <f>求节点(节奏总纲!$D$4:$D$113,AF$5:AF$104,$AI139)</f>
        <v>3.1956931795269008</v>
      </c>
      <c r="AN139" s="2">
        <f>求节点(节奏总纲!$D$4:$D$113,AG$5:AG$104,$AI139)</f>
        <v>3.1956931795269008</v>
      </c>
    </row>
    <row r="140" spans="23:40" x14ac:dyDescent="0.15">
      <c r="W140" s="14">
        <v>136</v>
      </c>
      <c r="X140" s="14">
        <f>求节点(B$10:B$48,Q$10:Q$48,$W140)*(其他调用!AS140+其他调用!AZ140*$D$50*$D$51)*6</f>
        <v>9474.7250459196766</v>
      </c>
      <c r="Y140" s="14">
        <f>求节点(C$10:C$48,R$10:R$48,$W140)*(其他调用!AT140+其他调用!BA140*$D$50*$D$51)*6</f>
        <v>9735.638006405934</v>
      </c>
      <c r="Z140" s="14">
        <f>求节点(D$10:D$48,S$10:S$48,$W140)*(其他调用!AU140+其他调用!BB140*$D$50*$D$51)*6</f>
        <v>9907.6701367434871</v>
      </c>
      <c r="AA140" s="14">
        <f>求节点(E$10:E$48,T$10:T$48,$W140)*(其他调用!AV140+其他调用!BC140*$D$50*$D$51)*6</f>
        <v>10061.510092473443</v>
      </c>
      <c r="AB140" s="14">
        <f>求节点(F$10:F$48,U$10:U$48,$W140)*(其他调用!AW140+其他调用!BD140*$D$50*$D$51)*6</f>
        <v>10242.918695575825</v>
      </c>
      <c r="AC140" s="14">
        <f>[1]节奏总纲!$BJ139</f>
        <v>3.4999999999999978</v>
      </c>
      <c r="AD140" s="14">
        <f>[1]节奏总纲!$BJ139</f>
        <v>3.4999999999999978</v>
      </c>
      <c r="AE140" s="14">
        <f>[1]节奏总纲!$BJ139</f>
        <v>3.4999999999999978</v>
      </c>
      <c r="AF140" s="14">
        <f>[1]节奏总纲!$BJ139</f>
        <v>3.4999999999999978</v>
      </c>
      <c r="AG140" s="14">
        <f>[1]节奏总纲!$BJ139</f>
        <v>3.4999999999999978</v>
      </c>
      <c r="AI140" s="2">
        <v>136</v>
      </c>
      <c r="AJ140" s="2">
        <f>求节点(节奏总纲!$D$4:$D$113,AC$5:AC$104,$AI140)</f>
        <v>3.1993214936344305</v>
      </c>
      <c r="AK140" s="2">
        <f>求节点(节奏总纲!$D$4:$D$113,AD$5:AD$104,$AI140)</f>
        <v>3.1993214936344305</v>
      </c>
      <c r="AL140" s="2">
        <f>求节点(节奏总纲!$D$4:$D$113,AE$5:AE$104,$AI140)</f>
        <v>3.1993214936344305</v>
      </c>
      <c r="AM140" s="2">
        <f>求节点(节奏总纲!$D$4:$D$113,AF$5:AF$104,$AI140)</f>
        <v>3.1993214936344305</v>
      </c>
      <c r="AN140" s="2">
        <f>求节点(节奏总纲!$D$4:$D$113,AG$5:AG$104,$AI140)</f>
        <v>3.1993214936344305</v>
      </c>
    </row>
    <row r="141" spans="23:40" x14ac:dyDescent="0.15">
      <c r="W141" s="14">
        <v>137</v>
      </c>
      <c r="X141" s="14">
        <f>求节点(B$10:B$48,Q$10:Q$48,$W141)*(其他调用!AS141+其他调用!AZ141*$D$50*$D$51)*6</f>
        <v>9802.1303187577687</v>
      </c>
      <c r="Y141" s="14">
        <f>求节点(C$10:C$48,R$10:R$48,$W141)*(其他调用!AT141+其他调用!BA141*$D$50*$D$51)*6</f>
        <v>10076.819483354364</v>
      </c>
      <c r="Z141" s="14">
        <f>求节点(D$10:D$48,S$10:S$48,$W141)*(其他调用!AU141+其他调用!BB141*$D$50*$D$51)*6</f>
        <v>10250.77951625143</v>
      </c>
      <c r="AA141" s="14">
        <f>求节点(E$10:E$48,T$10:T$48,$W141)*(其他调用!AV141+其他调用!BC141*$D$50*$D$51)*6</f>
        <v>10417.266633565172</v>
      </c>
      <c r="AB141" s="14">
        <f>求节点(F$10:F$48,U$10:U$48,$W141)*(其他调用!AW141+其他调用!BD141*$D$50*$D$51)*6</f>
        <v>10615.029629860075</v>
      </c>
      <c r="AC141" s="14">
        <f>[1]节奏总纲!$BJ140</f>
        <v>3.4999999999999978</v>
      </c>
      <c r="AD141" s="14">
        <f>[1]节奏总纲!$BJ140</f>
        <v>3.4999999999999978</v>
      </c>
      <c r="AE141" s="14">
        <f>[1]节奏总纲!$BJ140</f>
        <v>3.4999999999999978</v>
      </c>
      <c r="AF141" s="14">
        <f>[1]节奏总纲!$BJ140</f>
        <v>3.4999999999999978</v>
      </c>
      <c r="AG141" s="14">
        <f>[1]节奏总纲!$BJ140</f>
        <v>3.4999999999999978</v>
      </c>
      <c r="AI141" s="2">
        <v>137</v>
      </c>
      <c r="AJ141" s="2">
        <f>求节点(节奏总纲!$D$4:$D$113,AC$5:AC$104,$AI141)</f>
        <v>3.2027522679419391</v>
      </c>
      <c r="AK141" s="2">
        <f>求节点(节奏总纲!$D$4:$D$113,AD$5:AD$104,$AI141)</f>
        <v>3.2027522679419391</v>
      </c>
      <c r="AL141" s="2">
        <f>求节点(节奏总纲!$D$4:$D$113,AE$5:AE$104,$AI141)</f>
        <v>3.2027522679419391</v>
      </c>
      <c r="AM141" s="2">
        <f>求节点(节奏总纲!$D$4:$D$113,AF$5:AF$104,$AI141)</f>
        <v>3.2027522679419391</v>
      </c>
      <c r="AN141" s="2">
        <f>求节点(节奏总纲!$D$4:$D$113,AG$5:AG$104,$AI141)</f>
        <v>3.2027522679419391</v>
      </c>
    </row>
    <row r="142" spans="23:40" x14ac:dyDescent="0.15">
      <c r="W142" s="14">
        <v>138</v>
      </c>
      <c r="X142" s="14">
        <f>求节点(B$10:B$48,Q$10:Q$48,$W142)*(其他调用!AS142+其他调用!AZ142*$D$50*$D$51)*6</f>
        <v>9915.7461699141459</v>
      </c>
      <c r="Y142" s="14">
        <f>求节点(C$10:C$48,R$10:R$48,$W142)*(其他调用!AT142+其他调用!BA142*$D$50*$D$51)*6</f>
        <v>10195.581940649785</v>
      </c>
      <c r="Z142" s="14">
        <f>求节点(D$10:D$48,S$10:S$48,$W142)*(其他调用!AU142+其他调用!BB142*$D$50*$D$51)*6</f>
        <v>10361.671760286261</v>
      </c>
      <c r="AA142" s="14">
        <f>求节点(E$10:E$48,T$10:T$48,$W142)*(其他调用!AV142+其他调用!BC142*$D$50*$D$51)*6</f>
        <v>10528.642181381634</v>
      </c>
      <c r="AB142" s="14">
        <f>求节点(F$10:F$48,U$10:U$48,$W142)*(其他调用!AW142+其他调用!BD142*$D$50*$D$51)*6</f>
        <v>10726.89650719181</v>
      </c>
      <c r="AC142" s="14">
        <f>[1]节奏总纲!$BJ141</f>
        <v>3.4999999999999978</v>
      </c>
      <c r="AD142" s="14">
        <f>[1]节奏总纲!$BJ141</f>
        <v>3.4999999999999978</v>
      </c>
      <c r="AE142" s="14">
        <f>[1]节奏总纲!$BJ141</f>
        <v>3.4999999999999978</v>
      </c>
      <c r="AF142" s="14">
        <f>[1]节奏总纲!$BJ141</f>
        <v>3.4999999999999978</v>
      </c>
      <c r="AG142" s="14">
        <f>[1]节奏总纲!$BJ141</f>
        <v>3.4999999999999978</v>
      </c>
      <c r="AI142" s="2">
        <v>138</v>
      </c>
      <c r="AJ142" s="2">
        <f>求节点(节奏总纲!$D$4:$D$113,AC$5:AC$104,$AI142)</f>
        <v>3.2061376047079224</v>
      </c>
      <c r="AK142" s="2">
        <f>求节点(节奏总纲!$D$4:$D$113,AD$5:AD$104,$AI142)</f>
        <v>3.2061376047079224</v>
      </c>
      <c r="AL142" s="2">
        <f>求节点(节奏总纲!$D$4:$D$113,AE$5:AE$104,$AI142)</f>
        <v>3.2061376047079224</v>
      </c>
      <c r="AM142" s="2">
        <f>求节点(节奏总纲!$D$4:$D$113,AF$5:AF$104,$AI142)</f>
        <v>3.2061376047079224</v>
      </c>
      <c r="AN142" s="2">
        <f>求节点(节奏总纲!$D$4:$D$113,AG$5:AG$104,$AI142)</f>
        <v>3.2061376047079224</v>
      </c>
    </row>
    <row r="143" spans="23:40" x14ac:dyDescent="0.15">
      <c r="W143" s="14">
        <v>139</v>
      </c>
      <c r="X143" s="14">
        <f>求节点(B$10:B$48,Q$10:Q$48,$W143)*(其他调用!AS143+其他调用!AZ143*$D$50*$D$51)*6</f>
        <v>10029.486417104144</v>
      </c>
      <c r="Y143" s="14">
        <f>求节点(C$10:C$48,R$10:R$48,$W143)*(其他调用!AT143+其他调用!BA143*$D$50*$D$51)*6</f>
        <v>10314.534577880127</v>
      </c>
      <c r="Z143" s="14">
        <f>求节点(D$10:D$48,S$10:S$48,$W143)*(其他调用!AU143+其他调用!BB143*$D$50*$D$51)*6</f>
        <v>10472.564004321088</v>
      </c>
      <c r="AA143" s="14">
        <f>求节点(E$10:E$48,T$10:T$48,$W143)*(其他调用!AV143+其他调用!BC143*$D$50*$D$51)*6</f>
        <v>10640.017729198098</v>
      </c>
      <c r="AB143" s="14">
        <f>求节点(F$10:F$48,U$10:U$48,$W143)*(其他调用!AW143+其他调用!BD143*$D$50*$D$51)*6</f>
        <v>10840.538223715452</v>
      </c>
      <c r="AC143" s="14">
        <f>[1]节奏总纲!$BJ142</f>
        <v>3.4999999999999978</v>
      </c>
      <c r="AD143" s="14">
        <f>[1]节奏总纲!$BJ142</f>
        <v>3.4999999999999978</v>
      </c>
      <c r="AE143" s="14">
        <f>[1]节奏总纲!$BJ142</f>
        <v>3.4999999999999978</v>
      </c>
      <c r="AF143" s="14">
        <f>[1]节奏总纲!$BJ142</f>
        <v>3.4999999999999978</v>
      </c>
      <c r="AG143" s="14">
        <f>[1]节奏总纲!$BJ142</f>
        <v>3.4999999999999978</v>
      </c>
      <c r="AI143" s="2">
        <v>139</v>
      </c>
      <c r="AJ143" s="2">
        <f>求节点(节奏总纲!$D$4:$D$113,AC$5:AC$104,$AI143)</f>
        <v>3.2095229414739057</v>
      </c>
      <c r="AK143" s="2">
        <f>求节点(节奏总纲!$D$4:$D$113,AD$5:AD$104,$AI143)</f>
        <v>3.2095229414739057</v>
      </c>
      <c r="AL143" s="2">
        <f>求节点(节奏总纲!$D$4:$D$113,AE$5:AE$104,$AI143)</f>
        <v>3.2095229414739057</v>
      </c>
      <c r="AM143" s="2">
        <f>求节点(节奏总纲!$D$4:$D$113,AF$5:AF$104,$AI143)</f>
        <v>3.2095229414739057</v>
      </c>
      <c r="AN143" s="2">
        <f>求节点(节奏总纲!$D$4:$D$113,AG$5:AG$104,$AI143)</f>
        <v>3.2095229414739057</v>
      </c>
    </row>
    <row r="144" spans="23:40" x14ac:dyDescent="0.15">
      <c r="W144" s="14">
        <v>140</v>
      </c>
      <c r="X144" s="14">
        <f>求节点(B$10:B$48,Q$10:Q$48,$W144)*(其他调用!AS144+其他调用!AZ144*$D$50*$D$51)*6</f>
        <v>10143.351060327763</v>
      </c>
      <c r="Y144" s="14">
        <f>求节点(C$10:C$48,R$10:R$48,$W144)*(其他调用!AT144+其他调用!BA144*$D$50*$D$51)*6</f>
        <v>10430.660960110388</v>
      </c>
      <c r="Z144" s="14">
        <f>求节点(D$10:D$48,S$10:S$48,$W144)*(其他调用!AU144+其他调用!BB144*$D$50*$D$51)*6</f>
        <v>10583.456248355917</v>
      </c>
      <c r="AA144" s="14">
        <f>求节点(E$10:E$48,T$10:T$48,$W144)*(其他调用!AV144+其他调用!BC144*$D$50*$D$51)*6</f>
        <v>10752.712072959235</v>
      </c>
      <c r="AB144" s="14">
        <f>求节点(F$10:F$48,U$10:U$48,$W144)*(其他调用!AW144+其他调用!BD144*$D$50*$D$51)*6</f>
        <v>10988.119655926028</v>
      </c>
      <c r="AC144" s="14">
        <f>[1]节奏总纲!$BJ143</f>
        <v>3.4999999999999978</v>
      </c>
      <c r="AD144" s="14">
        <f>[1]节奏总纲!$BJ143</f>
        <v>3.4999999999999978</v>
      </c>
      <c r="AE144" s="14">
        <f>[1]节奏总纲!$BJ143</f>
        <v>3.4999999999999978</v>
      </c>
      <c r="AF144" s="14">
        <f>[1]节奏总纲!$BJ143</f>
        <v>3.4999999999999978</v>
      </c>
      <c r="AG144" s="14">
        <f>[1]节奏总纲!$BJ143</f>
        <v>3.4999999999999978</v>
      </c>
      <c r="AI144" s="2">
        <v>140</v>
      </c>
      <c r="AJ144" s="2">
        <f>求节点(节奏总纲!$D$4:$D$113,AC$5:AC$104,$AI144)</f>
        <v>3.212908278239889</v>
      </c>
      <c r="AK144" s="2">
        <f>求节点(节奏总纲!$D$4:$D$113,AD$5:AD$104,$AI144)</f>
        <v>3.212908278239889</v>
      </c>
      <c r="AL144" s="2">
        <f>求节点(节奏总纲!$D$4:$D$113,AE$5:AE$104,$AI144)</f>
        <v>3.212908278239889</v>
      </c>
      <c r="AM144" s="2">
        <f>求节点(节奏总纲!$D$4:$D$113,AF$5:AF$104,$AI144)</f>
        <v>3.212908278239889</v>
      </c>
      <c r="AN144" s="2">
        <f>求节点(节奏总纲!$D$4:$D$113,AG$5:AG$104,$AI144)</f>
        <v>3.212908278239889</v>
      </c>
    </row>
    <row r="145" spans="23:40" x14ac:dyDescent="0.15">
      <c r="W145" s="14">
        <v>141</v>
      </c>
      <c r="X145" s="14">
        <f>求节点(B$10:B$48,Q$10:Q$48,$W145)*(其他调用!AS145+其他调用!AZ145*$D$50*$D$51)*6</f>
        <v>10257.340099585004</v>
      </c>
      <c r="Y145" s="14">
        <f>求节点(C$10:C$48,R$10:R$48,$W145)*(其他调用!AT145+其他调用!BA145*$D$50*$D$51)*6</f>
        <v>10546.61986162529</v>
      </c>
      <c r="Z145" s="14">
        <f>求节点(D$10:D$48,S$10:S$48,$W145)*(其他调用!AU145+其他调用!BB145*$D$50*$D$51)*6</f>
        <v>10697.315502895488</v>
      </c>
      <c r="AA145" s="14">
        <f>求节点(E$10:E$48,T$10:T$48,$W145)*(其他调用!AV145+其他调用!BC145*$D$50*$D$51)*6</f>
        <v>10898.653983850309</v>
      </c>
      <c r="AB145" s="14">
        <f>求节点(F$10:F$48,U$10:U$48,$W145)*(其他调用!AW145+其他调用!BD145*$D$50*$D$51)*6</f>
        <v>11135.701088136608</v>
      </c>
      <c r="AC145" s="14">
        <f>[1]节奏总纲!$BJ144</f>
        <v>3.4999999999999978</v>
      </c>
      <c r="AD145" s="14">
        <f>[1]节奏总纲!$BJ144</f>
        <v>3.4999999999999978</v>
      </c>
      <c r="AE145" s="14">
        <f>[1]节奏总纲!$BJ144</f>
        <v>3.4999999999999978</v>
      </c>
      <c r="AF145" s="14">
        <f>[1]节奏总纲!$BJ144</f>
        <v>3.4999999999999978</v>
      </c>
      <c r="AG145" s="14">
        <f>[1]节奏总纲!$BJ144</f>
        <v>3.4999999999999978</v>
      </c>
      <c r="AI145" s="2">
        <v>141</v>
      </c>
      <c r="AJ145" s="2">
        <f>求节点(节奏总纲!$D$4:$D$113,AC$5:AC$104,$AI145)</f>
        <v>3.2162936150058727</v>
      </c>
      <c r="AK145" s="2">
        <f>求节点(节奏总纲!$D$4:$D$113,AD$5:AD$104,$AI145)</f>
        <v>3.2162936150058727</v>
      </c>
      <c r="AL145" s="2">
        <f>求节点(节奏总纲!$D$4:$D$113,AE$5:AE$104,$AI145)</f>
        <v>3.2162936150058727</v>
      </c>
      <c r="AM145" s="2">
        <f>求节点(节奏总纲!$D$4:$D$113,AF$5:AF$104,$AI145)</f>
        <v>3.2162936150058727</v>
      </c>
      <c r="AN145" s="2">
        <f>求节点(节奏总纲!$D$4:$D$113,AG$5:AG$104,$AI145)</f>
        <v>3.2162936150058727</v>
      </c>
    </row>
    <row r="146" spans="23:40" x14ac:dyDescent="0.15">
      <c r="W146" s="14">
        <v>142</v>
      </c>
      <c r="X146" s="14">
        <f>求节点(B$10:B$48,Q$10:Q$48,$W146)*(其他调用!AS146+其他调用!AZ146*$D$50*$D$51)*6</f>
        <v>10371.453534875862</v>
      </c>
      <c r="Y146" s="14">
        <f>求节点(C$10:C$48,R$10:R$48,$W146)*(其他调用!AT146+其他调用!BA146*$D$50*$D$51)*6</f>
        <v>10668.782568691153</v>
      </c>
      <c r="Z146" s="14">
        <f>求节点(D$10:D$48,S$10:S$48,$W146)*(其他调用!AU146+其他调用!BB146*$D$50*$D$51)*6</f>
        <v>10841.570083205263</v>
      </c>
      <c r="AA146" s="14">
        <f>求节点(E$10:E$48,T$10:T$48,$W146)*(其他调用!AV146+其他调用!BC146*$D$50*$D$51)*6</f>
        <v>11044.595894741378</v>
      </c>
      <c r="AB146" s="14">
        <f>求节点(F$10:F$48,U$10:U$48,$W146)*(其他调用!AW146+其他调用!BD146*$D$50*$D$51)*6</f>
        <v>11283.282520347184</v>
      </c>
      <c r="AC146" s="14">
        <f>[1]节奏总纲!$BJ145</f>
        <v>3.4999999999999978</v>
      </c>
      <c r="AD146" s="14">
        <f>[1]节奏总纲!$BJ145</f>
        <v>3.4999999999999978</v>
      </c>
      <c r="AE146" s="14">
        <f>[1]节奏总纲!$BJ145</f>
        <v>3.4999999999999978</v>
      </c>
      <c r="AF146" s="14">
        <f>[1]节奏总纲!$BJ145</f>
        <v>3.4999999999999978</v>
      </c>
      <c r="AG146" s="14">
        <f>[1]节奏总纲!$BJ145</f>
        <v>3.4999999999999978</v>
      </c>
      <c r="AI146" s="2">
        <v>142</v>
      </c>
      <c r="AJ146" s="2">
        <f>求节点(节奏总纲!$D$4:$D$113,AC$5:AC$104,$AI146)</f>
        <v>3.219678951771856</v>
      </c>
      <c r="AK146" s="2">
        <f>求节点(节奏总纲!$D$4:$D$113,AD$5:AD$104,$AI146)</f>
        <v>3.219678951771856</v>
      </c>
      <c r="AL146" s="2">
        <f>求节点(节奏总纲!$D$4:$D$113,AE$5:AE$104,$AI146)</f>
        <v>3.219678951771856</v>
      </c>
      <c r="AM146" s="2">
        <f>求节点(节奏总纲!$D$4:$D$113,AF$5:AF$104,$AI146)</f>
        <v>3.219678951771856</v>
      </c>
      <c r="AN146" s="2">
        <f>求节点(节奏总纲!$D$4:$D$113,AG$5:AG$104,$AI146)</f>
        <v>3.219678951771856</v>
      </c>
    </row>
    <row r="147" spans="23:40" x14ac:dyDescent="0.15">
      <c r="W147" s="14">
        <v>143</v>
      </c>
      <c r="X147" s="14">
        <f>求节点(B$10:B$48,Q$10:Q$48,$W147)*(其他调用!AS147+其他调用!AZ147*$D$50*$D$51)*6</f>
        <v>10495.911540942712</v>
      </c>
      <c r="Y147" s="14">
        <f>求节点(C$10:C$48,R$10:R$48,$W147)*(其他调用!AT147+其他调用!BA147*$D$50*$D$51)*6</f>
        <v>10815.0157893212</v>
      </c>
      <c r="Z147" s="14">
        <f>求节点(D$10:D$48,S$10:S$48,$W147)*(其他调用!AU147+其他调用!BB147*$D$50*$D$51)*6</f>
        <v>10985.824663515039</v>
      </c>
      <c r="AA147" s="14">
        <f>求节点(E$10:E$48,T$10:T$48,$W147)*(其他调用!AV147+其他调用!BC147*$D$50*$D$51)*6</f>
        <v>11190.537805632448</v>
      </c>
      <c r="AB147" s="14">
        <f>求节点(F$10:F$48,U$10:U$48,$W147)*(其他调用!AW147+其他调用!BD147*$D$50*$D$51)*6</f>
        <v>11430.863952557764</v>
      </c>
      <c r="AC147" s="14">
        <f>[1]节奏总纲!$BJ146</f>
        <v>3.4999999999999978</v>
      </c>
      <c r="AD147" s="14">
        <f>[1]节奏总纲!$BJ146</f>
        <v>3.4999999999999978</v>
      </c>
      <c r="AE147" s="14">
        <f>[1]节奏总纲!$BJ146</f>
        <v>3.4999999999999978</v>
      </c>
      <c r="AF147" s="14">
        <f>[1]节奏总纲!$BJ146</f>
        <v>3.4999999999999978</v>
      </c>
      <c r="AG147" s="14">
        <f>[1]节奏总纲!$BJ146</f>
        <v>3.4999999999999978</v>
      </c>
      <c r="AI147" s="2">
        <v>143</v>
      </c>
      <c r="AJ147" s="2">
        <f>求节点(节奏总纲!$D$4:$D$113,AC$5:AC$104,$AI147)</f>
        <v>3.2230642885378393</v>
      </c>
      <c r="AK147" s="2">
        <f>求节点(节奏总纲!$D$4:$D$113,AD$5:AD$104,$AI147)</f>
        <v>3.2230642885378393</v>
      </c>
      <c r="AL147" s="2">
        <f>求节点(节奏总纲!$D$4:$D$113,AE$5:AE$104,$AI147)</f>
        <v>3.2230642885378393</v>
      </c>
      <c r="AM147" s="2">
        <f>求节点(节奏总纲!$D$4:$D$113,AF$5:AF$104,$AI147)</f>
        <v>3.2230642885378393</v>
      </c>
      <c r="AN147" s="2">
        <f>求节点(节奏总纲!$D$4:$D$113,AG$5:AG$104,$AI147)</f>
        <v>3.2230642885378393</v>
      </c>
    </row>
    <row r="148" spans="23:40" x14ac:dyDescent="0.15">
      <c r="W148" s="14">
        <v>144</v>
      </c>
      <c r="X148" s="14">
        <f>求节点(B$10:B$48,Q$10:Q$48,$W148)*(其他调用!AS148+其他调用!AZ148*$D$50*$D$51)*6</f>
        <v>10638.60675461844</v>
      </c>
      <c r="Y148" s="14">
        <f>求节点(C$10:C$48,R$10:R$48,$W148)*(其他调用!AT148+其他调用!BA148*$D$50*$D$51)*6</f>
        <v>10957.720205820542</v>
      </c>
      <c r="Z148" s="14">
        <f>求节点(D$10:D$48,S$10:S$48,$W148)*(其他调用!AU148+其他调用!BB148*$D$50*$D$51)*6</f>
        <v>11130.079243824817</v>
      </c>
      <c r="AA148" s="14">
        <f>求节点(E$10:E$48,T$10:T$48,$W148)*(其他调用!AV148+其他调用!BC148*$D$50*$D$51)*6</f>
        <v>11336.479716523518</v>
      </c>
      <c r="AB148" s="14">
        <f>求节点(F$10:F$48,U$10:U$48,$W148)*(其他调用!AW148+其他调用!BD148*$D$50*$D$51)*6</f>
        <v>11578.445384768342</v>
      </c>
      <c r="AC148" s="14">
        <f>[1]节奏总纲!$BJ147</f>
        <v>3.4999999999999978</v>
      </c>
      <c r="AD148" s="14">
        <f>[1]节奏总纲!$BJ147</f>
        <v>3.4999999999999978</v>
      </c>
      <c r="AE148" s="14">
        <f>[1]节奏总纲!$BJ147</f>
        <v>3.4999999999999978</v>
      </c>
      <c r="AF148" s="14">
        <f>[1]节奏总纲!$BJ147</f>
        <v>3.4999999999999978</v>
      </c>
      <c r="AG148" s="14">
        <f>[1]节奏总纲!$BJ147</f>
        <v>3.4999999999999978</v>
      </c>
      <c r="AI148" s="2">
        <v>144</v>
      </c>
      <c r="AJ148" s="2">
        <f>求节点(节奏总纲!$D$4:$D$113,AC$5:AC$104,$AI148)</f>
        <v>3.2264496253038226</v>
      </c>
      <c r="AK148" s="2">
        <f>求节点(节奏总纲!$D$4:$D$113,AD$5:AD$104,$AI148)</f>
        <v>3.2264496253038226</v>
      </c>
      <c r="AL148" s="2">
        <f>求节点(节奏总纲!$D$4:$D$113,AE$5:AE$104,$AI148)</f>
        <v>3.2264496253038226</v>
      </c>
      <c r="AM148" s="2">
        <f>求节点(节奏总纲!$D$4:$D$113,AF$5:AF$104,$AI148)</f>
        <v>3.2264496253038226</v>
      </c>
      <c r="AN148" s="2">
        <f>求节点(节奏总纲!$D$4:$D$113,AG$5:AG$104,$AI148)</f>
        <v>3.2264496253038226</v>
      </c>
    </row>
    <row r="149" spans="23:40" x14ac:dyDescent="0.15">
      <c r="W149" s="14">
        <v>145</v>
      </c>
      <c r="X149" s="14">
        <f>求节点(B$10:B$48,Q$10:Q$48,$W149)*(其他调用!AS149+其他调用!AZ149*$D$50*$D$51)*6</f>
        <v>10781.458889873305</v>
      </c>
      <c r="Y149" s="14">
        <f>求节点(C$10:C$48,R$10:R$48,$W149)*(其他调用!AT149+其他调用!BA149*$D$50*$D$51)*6</f>
        <v>11100.424622319882</v>
      </c>
      <c r="Z149" s="14">
        <f>求节点(D$10:D$48,S$10:S$48,$W149)*(其他调用!AU149+其他调用!BB149*$D$50*$D$51)*6</f>
        <v>11274.333824134592</v>
      </c>
      <c r="AA149" s="14">
        <f>求节点(E$10:E$48,T$10:T$48,$W149)*(其他调用!AV149+其他调用!BC149*$D$50*$D$51)*6</f>
        <v>11482.421627414589</v>
      </c>
      <c r="AB149" s="14">
        <f>求节点(F$10:F$48,U$10:U$48,$W149)*(其他调用!AW149+其他调用!BD149*$D$50*$D$51)*6</f>
        <v>11726.02681697892</v>
      </c>
      <c r="AC149" s="14">
        <f>[1]节奏总纲!$BJ148</f>
        <v>3.4999999999999978</v>
      </c>
      <c r="AD149" s="14">
        <f>[1]节奏总纲!$BJ148</f>
        <v>3.4999999999999978</v>
      </c>
      <c r="AE149" s="14">
        <f>[1]节奏总纲!$BJ148</f>
        <v>3.4999999999999978</v>
      </c>
      <c r="AF149" s="14">
        <f>[1]节奏总纲!$BJ148</f>
        <v>3.4999999999999978</v>
      </c>
      <c r="AG149" s="14">
        <f>[1]节奏总纲!$BJ148</f>
        <v>3.4999999999999978</v>
      </c>
      <c r="AI149" s="2">
        <v>145</v>
      </c>
      <c r="AJ149" s="2">
        <f>求节点(节奏总纲!$D$4:$D$113,AC$5:AC$104,$AI149)</f>
        <v>3.2298349620698059</v>
      </c>
      <c r="AK149" s="2">
        <f>求节点(节奏总纲!$D$4:$D$113,AD$5:AD$104,$AI149)</f>
        <v>3.2298349620698059</v>
      </c>
      <c r="AL149" s="2">
        <f>求节点(节奏总纲!$D$4:$D$113,AE$5:AE$104,$AI149)</f>
        <v>3.2298349620698059</v>
      </c>
      <c r="AM149" s="2">
        <f>求节点(节奏总纲!$D$4:$D$113,AF$5:AF$104,$AI149)</f>
        <v>3.2298349620698059</v>
      </c>
      <c r="AN149" s="2">
        <f>求节点(节奏总纲!$D$4:$D$113,AG$5:AG$104,$AI149)</f>
        <v>3.2298349620698059</v>
      </c>
    </row>
    <row r="150" spans="23:40" x14ac:dyDescent="0.15">
      <c r="W150" s="14">
        <v>146</v>
      </c>
      <c r="X150" s="14">
        <f>求节点(B$10:B$48,Q$10:Q$48,$W150)*(其他调用!AS150+其他调用!AZ150*$D$50*$D$51)*6</f>
        <v>10924.467946707311</v>
      </c>
      <c r="Y150" s="14">
        <f>求节点(C$10:C$48,R$10:R$48,$W150)*(其他调用!AT150+其他调用!BA150*$D$50*$D$51)*6</f>
        <v>11243.129038819225</v>
      </c>
      <c r="Z150" s="14">
        <f>求节点(D$10:D$48,S$10:S$48,$W150)*(其他调用!AU150+其他调用!BB150*$D$50*$D$51)*6</f>
        <v>11418.588404444368</v>
      </c>
      <c r="AA150" s="14">
        <f>求节点(E$10:E$48,T$10:T$48,$W150)*(其他调用!AV150+其他调用!BC150*$D$50*$D$51)*6</f>
        <v>11628.363538305661</v>
      </c>
      <c r="AB150" s="14">
        <f>求节点(F$10:F$48,U$10:U$48,$W150)*(其他调用!AW150+其他调用!BD150*$D$50*$D$51)*6</f>
        <v>11873.608249189498</v>
      </c>
      <c r="AC150" s="14">
        <f>[1]节奏总纲!$BJ149</f>
        <v>3.4999999999999978</v>
      </c>
      <c r="AD150" s="14">
        <f>[1]节奏总纲!$BJ149</f>
        <v>3.4999999999999978</v>
      </c>
      <c r="AE150" s="14">
        <f>[1]节奏总纲!$BJ149</f>
        <v>3.4999999999999978</v>
      </c>
      <c r="AF150" s="14">
        <f>[1]节奏总纲!$BJ149</f>
        <v>3.4999999999999978</v>
      </c>
      <c r="AG150" s="14">
        <f>[1]节奏总纲!$BJ149</f>
        <v>3.4999999999999978</v>
      </c>
      <c r="AI150" s="2">
        <v>146</v>
      </c>
      <c r="AJ150" s="2">
        <f>求节点(节奏总纲!$D$4:$D$113,AC$5:AC$104,$AI150)</f>
        <v>3.2332202988357892</v>
      </c>
      <c r="AK150" s="2">
        <f>求节点(节奏总纲!$D$4:$D$113,AD$5:AD$104,$AI150)</f>
        <v>3.2332202988357892</v>
      </c>
      <c r="AL150" s="2">
        <f>求节点(节奏总纲!$D$4:$D$113,AE$5:AE$104,$AI150)</f>
        <v>3.2332202988357892</v>
      </c>
      <c r="AM150" s="2">
        <f>求节点(节奏总纲!$D$4:$D$113,AF$5:AF$104,$AI150)</f>
        <v>3.2332202988357892</v>
      </c>
      <c r="AN150" s="2">
        <f>求节点(节奏总纲!$D$4:$D$113,AG$5:AG$104,$AI150)</f>
        <v>3.2332202988357892</v>
      </c>
    </row>
    <row r="151" spans="23:40" x14ac:dyDescent="0.15">
      <c r="W151" s="14">
        <v>147</v>
      </c>
      <c r="X151" s="14">
        <f>求节点(B$10:B$48,Q$10:Q$48,$W151)*(其他调用!AS151+其他调用!AZ151*$D$50*$D$51)*6</f>
        <v>11067.633925120455</v>
      </c>
      <c r="Y151" s="14">
        <f>求节点(C$10:C$48,R$10:R$48,$W151)*(其他调用!AT151+其他调用!BA151*$D$50*$D$51)*6</f>
        <v>11385.833455318567</v>
      </c>
      <c r="Z151" s="14">
        <f>求节点(D$10:D$48,S$10:S$48,$W151)*(其他调用!AU151+其他调用!BB151*$D$50*$D$51)*6</f>
        <v>11562.695228093251</v>
      </c>
      <c r="AA151" s="14">
        <f>求节点(E$10:E$48,T$10:T$48,$W151)*(其他调用!AV151+其他调用!BC151*$D$50*$D$51)*6</f>
        <v>11774.144910381812</v>
      </c>
      <c r="AB151" s="14">
        <f>求节点(F$10:F$48,U$10:U$48,$W151)*(其他调用!AW151+其他调用!BD151*$D$50*$D$51)*6</f>
        <v>12021.189681400076</v>
      </c>
      <c r="AC151" s="14">
        <f>[1]节奏总纲!$BJ150</f>
        <v>3.4999999999999978</v>
      </c>
      <c r="AD151" s="14">
        <f>[1]节奏总纲!$BJ150</f>
        <v>3.4999999999999978</v>
      </c>
      <c r="AE151" s="14">
        <f>[1]节奏总纲!$BJ150</f>
        <v>3.4999999999999978</v>
      </c>
      <c r="AF151" s="14">
        <f>[1]节奏总纲!$BJ150</f>
        <v>3.4999999999999978</v>
      </c>
      <c r="AG151" s="14">
        <f>[1]节奏总纲!$BJ150</f>
        <v>3.4999999999999978</v>
      </c>
      <c r="AI151" s="2">
        <v>147</v>
      </c>
      <c r="AJ151" s="2">
        <f>求节点(节奏总纲!$D$4:$D$113,AC$5:AC$104,$AI151)</f>
        <v>3.2363864993080678</v>
      </c>
      <c r="AK151" s="2">
        <f>求节点(节奏总纲!$D$4:$D$113,AD$5:AD$104,$AI151)</f>
        <v>3.2363864993080678</v>
      </c>
      <c r="AL151" s="2">
        <f>求节点(节奏总纲!$D$4:$D$113,AE$5:AE$104,$AI151)</f>
        <v>3.2363864993080678</v>
      </c>
      <c r="AM151" s="2">
        <f>求节点(节奏总纲!$D$4:$D$113,AF$5:AF$104,$AI151)</f>
        <v>3.2363864993080678</v>
      </c>
      <c r="AN151" s="2">
        <f>求节点(节奏总纲!$D$4:$D$113,AG$5:AG$104,$AI151)</f>
        <v>3.2363864993080678</v>
      </c>
    </row>
    <row r="152" spans="23:40" x14ac:dyDescent="0.15">
      <c r="W152" s="14">
        <v>148</v>
      </c>
      <c r="X152" s="14">
        <f>求节点(B$10:B$48,Q$10:Q$48,$W152)*(其他调用!AS152+其他调用!AZ152*$D$50*$D$51)*6</f>
        <v>11210.956825112742</v>
      </c>
      <c r="Y152" s="14">
        <f>求节点(C$10:C$48,R$10:R$48,$W152)*(其他调用!AT152+其他调用!BA152*$D$50*$D$51)*6</f>
        <v>11528.537871817905</v>
      </c>
      <c r="Z152" s="14">
        <f>求节点(D$10:D$48,S$10:S$48,$W152)*(其他调用!AU152+其他调用!BB152*$D$50*$D$51)*6</f>
        <v>11706.557854262504</v>
      </c>
      <c r="AA152" s="14">
        <f>求节点(E$10:E$48,T$10:T$48,$W152)*(其他调用!AV152+其他调用!BC152*$D$50*$D$51)*6</f>
        <v>11919.429453973142</v>
      </c>
      <c r="AB152" s="14">
        <f>求节点(F$10:F$48,U$10:U$48,$W152)*(其他调用!AW152+其他调用!BD152*$D$50*$D$51)*6</f>
        <v>12167.451083323227</v>
      </c>
      <c r="AC152" s="14">
        <f>[1]节奏总纲!$BJ151</f>
        <v>3.4999999999999978</v>
      </c>
      <c r="AD152" s="14">
        <f>[1]节奏总纲!$BJ151</f>
        <v>3.4999999999999978</v>
      </c>
      <c r="AE152" s="14">
        <f>[1]节奏总纲!$BJ151</f>
        <v>3.4999999999999978</v>
      </c>
      <c r="AF152" s="14">
        <f>[1]节奏总纲!$BJ151</f>
        <v>3.4999999999999978</v>
      </c>
      <c r="AG152" s="14">
        <f>[1]节奏总纲!$BJ151</f>
        <v>3.4999999999999978</v>
      </c>
      <c r="AI152" s="2">
        <v>148</v>
      </c>
      <c r="AJ152" s="2">
        <f>求节点(节奏总纲!$D$4:$D$113,AC$5:AC$104,$AI152)</f>
        <v>3.2395451301981928</v>
      </c>
      <c r="AK152" s="2">
        <f>求节点(节奏总纲!$D$4:$D$113,AD$5:AD$104,$AI152)</f>
        <v>3.2395451301981928</v>
      </c>
      <c r="AL152" s="2">
        <f>求节点(节奏总纲!$D$4:$D$113,AE$5:AE$104,$AI152)</f>
        <v>3.2395451301981928</v>
      </c>
      <c r="AM152" s="2">
        <f>求节点(节奏总纲!$D$4:$D$113,AF$5:AF$104,$AI152)</f>
        <v>3.2395451301981928</v>
      </c>
      <c r="AN152" s="2">
        <f>求节点(节奏总纲!$D$4:$D$113,AG$5:AG$104,$AI152)</f>
        <v>3.2395451301981928</v>
      </c>
    </row>
    <row r="153" spans="23:40" x14ac:dyDescent="0.15">
      <c r="W153" s="14">
        <v>149</v>
      </c>
      <c r="X153" s="14">
        <f>求节点(B$10:B$48,Q$10:Q$48,$W153)*(其他调用!AS153+其他调用!AZ153*$D$50*$D$51)*6</f>
        <v>11354.436646684166</v>
      </c>
      <c r="Y153" s="14">
        <f>求节点(C$10:C$48,R$10:R$48,$W153)*(其他调用!AT153+其他调用!BA153*$D$50*$D$51)*6</f>
        <v>11671.242288317248</v>
      </c>
      <c r="Z153" s="14">
        <f>求节点(D$10:D$48,S$10:S$48,$W153)*(其他调用!AU153+其他调用!BB153*$D$50*$D$51)*6</f>
        <v>11850.420480431756</v>
      </c>
      <c r="AA153" s="14">
        <f>求节点(E$10:E$48,T$10:T$48,$W153)*(其他调用!AV153+其他调用!BC153*$D$50*$D$51)*6</f>
        <v>12064.713997564475</v>
      </c>
      <c r="AB153" s="14">
        <f>求节点(F$10:F$48,U$10:U$48,$W153)*(其他调用!AW153+其他调用!BD153*$D$50*$D$51)*6</f>
        <v>12313.425304502332</v>
      </c>
      <c r="AC153" s="14">
        <f>[1]节奏总纲!$BJ152</f>
        <v>3.4999999999999978</v>
      </c>
      <c r="AD153" s="14">
        <f>[1]节奏总纲!$BJ152</f>
        <v>3.4999999999999978</v>
      </c>
      <c r="AE153" s="14">
        <f>[1]节奏总纲!$BJ152</f>
        <v>3.4999999999999978</v>
      </c>
      <c r="AF153" s="14">
        <f>[1]节奏总纲!$BJ152</f>
        <v>3.4999999999999978</v>
      </c>
      <c r="AG153" s="14">
        <f>[1]节奏总纲!$BJ152</f>
        <v>3.4999999999999978</v>
      </c>
      <c r="AI153" s="2">
        <v>149</v>
      </c>
      <c r="AJ153" s="2">
        <f>求节点(节奏总纲!$D$4:$D$113,AC$5:AC$104,$AI153)</f>
        <v>3.2427037610883178</v>
      </c>
      <c r="AK153" s="2">
        <f>求节点(节奏总纲!$D$4:$D$113,AD$5:AD$104,$AI153)</f>
        <v>3.2427037610883178</v>
      </c>
      <c r="AL153" s="2">
        <f>求节点(节奏总纲!$D$4:$D$113,AE$5:AE$104,$AI153)</f>
        <v>3.2427037610883178</v>
      </c>
      <c r="AM153" s="2">
        <f>求节点(节奏总纲!$D$4:$D$113,AF$5:AF$104,$AI153)</f>
        <v>3.2427037610883178</v>
      </c>
      <c r="AN153" s="2">
        <f>求节点(节奏总纲!$D$4:$D$113,AG$5:AG$104,$AI153)</f>
        <v>3.2427037610883178</v>
      </c>
    </row>
    <row r="154" spans="23:40" x14ac:dyDescent="0.15">
      <c r="W154" s="14">
        <v>150</v>
      </c>
      <c r="X154" s="14">
        <f>求节点(B$10:B$48,Q$10:Q$48,$W154)*(其他调用!AS154+其他调用!AZ154*$D$50*$D$51)*6</f>
        <v>11493.80218349124</v>
      </c>
      <c r="Y154" s="14">
        <f>求节点(C$10:C$48,R$10:R$48,$W154)*(其他调用!AT154+其他调用!BA154*$D$50*$D$51)*6</f>
        <v>11810.370278851275</v>
      </c>
      <c r="Z154" s="14">
        <f>求节点(D$10:D$48,S$10:S$48,$W154)*(其他调用!AU154+其他调用!BB154*$D$50*$D$51)*6</f>
        <v>11994.283106601008</v>
      </c>
      <c r="AA154" s="14">
        <f>求节点(E$10:E$48,T$10:T$48,$W154)*(其他调用!AV154+其他调用!BC154*$D$50*$D$51)*6</f>
        <v>12209.998541155803</v>
      </c>
      <c r="AB154" s="14">
        <f>求节点(F$10:F$48,U$10:U$48,$W154)*(其他调用!AW154+其他调用!BD154*$D$50*$D$51)*6</f>
        <v>12459.399525681441</v>
      </c>
      <c r="AC154" s="14">
        <f>[1]节奏总纲!$BJ153</f>
        <v>3.4999999999999978</v>
      </c>
      <c r="AD154" s="14">
        <f>[1]节奏总纲!$BJ153</f>
        <v>3.4999999999999978</v>
      </c>
      <c r="AE154" s="14">
        <f>[1]节奏总纲!$BJ153</f>
        <v>3.4999999999999978</v>
      </c>
      <c r="AF154" s="14">
        <f>[1]节奏总纲!$BJ153</f>
        <v>3.4999999999999978</v>
      </c>
      <c r="AG154" s="14">
        <f>[1]节奏总纲!$BJ153</f>
        <v>3.4999999999999978</v>
      </c>
      <c r="AI154" s="2">
        <v>150</v>
      </c>
      <c r="AJ154" s="2">
        <f>求节点(节奏总纲!$D$4:$D$113,AC$5:AC$104,$AI154)</f>
        <v>3.2458623919784428</v>
      </c>
      <c r="AK154" s="2">
        <f>求节点(节奏总纲!$D$4:$D$113,AD$5:AD$104,$AI154)</f>
        <v>3.2458623919784428</v>
      </c>
      <c r="AL154" s="2">
        <f>求节点(节奏总纲!$D$4:$D$113,AE$5:AE$104,$AI154)</f>
        <v>3.2458623919784428</v>
      </c>
      <c r="AM154" s="2">
        <f>求节点(节奏总纲!$D$4:$D$113,AF$5:AF$104,$AI154)</f>
        <v>3.2458623919784428</v>
      </c>
      <c r="AN154" s="2">
        <f>求节点(节奏总纲!$D$4:$D$113,AG$5:AG$104,$AI154)</f>
        <v>3.2458623919784428</v>
      </c>
    </row>
    <row r="155" spans="23:40" x14ac:dyDescent="0.15">
      <c r="W155" s="14">
        <v>151</v>
      </c>
      <c r="X155" s="14">
        <f>求节点(B$10:B$48,Q$10:Q$48,$W155)*(其他调用!AS155+其他调用!AZ155*$D$50*$D$51)*6</f>
        <v>11628.63639348335</v>
      </c>
      <c r="Y155" s="14">
        <f>求节点(C$10:C$48,R$10:R$48,$W155)*(其他调用!AT155+其他调用!BA155*$D$50*$D$51)*6</f>
        <v>11943.736442139918</v>
      </c>
      <c r="Z155" s="14">
        <f>求节点(D$10:D$48,S$10:S$48,$W155)*(其他调用!AU155+其他调用!BB155*$D$50*$D$51)*6</f>
        <v>12129.286910217248</v>
      </c>
      <c r="AA155" s="14">
        <f>求节点(E$10:E$48,T$10:T$48,$W155)*(其他调用!AV155+其他调用!BC155*$D$50*$D$51)*6</f>
        <v>12347.42668344901</v>
      </c>
      <c r="AB155" s="14">
        <f>求节点(F$10:F$48,U$10:U$48,$W155)*(其他调用!AW155+其他调用!BD155*$D$50*$D$51)*6</f>
        <v>12600.77298288239</v>
      </c>
      <c r="AC155" s="14">
        <f>[1]节奏总纲!$BJ154</f>
        <v>3.4999999999999978</v>
      </c>
      <c r="AD155" s="14">
        <f>[1]节奏总纲!$BJ154</f>
        <v>3.4999999999999978</v>
      </c>
      <c r="AE155" s="14">
        <f>[1]节奏总纲!$BJ154</f>
        <v>3.4999999999999978</v>
      </c>
      <c r="AF155" s="14">
        <f>[1]节奏总纲!$BJ154</f>
        <v>3.4999999999999978</v>
      </c>
      <c r="AG155" s="14">
        <f>[1]节奏总纲!$BJ154</f>
        <v>3.4999999999999978</v>
      </c>
      <c r="AI155" s="2">
        <v>151</v>
      </c>
      <c r="AJ155" s="2">
        <f>求节点(节奏总纲!$D$4:$D$113,AC$5:AC$104,$AI155)</f>
        <v>3.2490210228685679</v>
      </c>
      <c r="AK155" s="2">
        <f>求节点(节奏总纲!$D$4:$D$113,AD$5:AD$104,$AI155)</f>
        <v>3.2490210228685679</v>
      </c>
      <c r="AL155" s="2">
        <f>求节点(节奏总纲!$D$4:$D$113,AE$5:AE$104,$AI155)</f>
        <v>3.2490210228685679</v>
      </c>
      <c r="AM155" s="2">
        <f>求节点(节奏总纲!$D$4:$D$113,AF$5:AF$104,$AI155)</f>
        <v>3.2490210228685679</v>
      </c>
      <c r="AN155" s="2">
        <f>求节点(节奏总纲!$D$4:$D$113,AG$5:AG$104,$AI155)</f>
        <v>3.2490210228685679</v>
      </c>
    </row>
    <row r="156" spans="23:40" x14ac:dyDescent="0.15">
      <c r="W156" s="14">
        <v>152</v>
      </c>
      <c r="X156" s="14">
        <f>求节点(B$10:B$48,Q$10:Q$48,$W156)*(其他调用!AS156+其他调用!AZ156*$D$50*$D$51)*6</f>
        <v>11763.617281668921</v>
      </c>
      <c r="Y156" s="14">
        <f>求节点(C$10:C$48,R$10:R$48,$W156)*(其他调用!AT156+其他调用!BA156*$D$50*$D$51)*6</f>
        <v>12077.102605428568</v>
      </c>
      <c r="Z156" s="14">
        <f>求节点(D$10:D$48,S$10:S$48,$W156)*(其他调用!AU156+其他调用!BB156*$D$50*$D$51)*6</f>
        <v>12262.967094751024</v>
      </c>
      <c r="AA156" s="14">
        <f>求节点(E$10:E$48,T$10:T$48,$W156)*(其他调用!AV156+其他调用!BC156*$D$50*$D$51)*6</f>
        <v>12482.72218502808</v>
      </c>
      <c r="AB156" s="14">
        <f>求节点(F$10:F$48,U$10:U$48,$W156)*(其他调用!AW156+其他调用!BD156*$D$50*$D$51)*6</f>
        <v>12737.611987732967</v>
      </c>
      <c r="AC156" s="14">
        <f>[1]节奏总纲!$BJ155</f>
        <v>3.4999999999999978</v>
      </c>
      <c r="AD156" s="14">
        <f>[1]节奏总纲!$BJ155</f>
        <v>3.4999999999999978</v>
      </c>
      <c r="AE156" s="14">
        <f>[1]节奏总纲!$BJ155</f>
        <v>3.4999999999999978</v>
      </c>
      <c r="AF156" s="14">
        <f>[1]节奏总纲!$BJ155</f>
        <v>3.4999999999999978</v>
      </c>
      <c r="AG156" s="14">
        <f>[1]节奏总纲!$BJ155</f>
        <v>3.4999999999999978</v>
      </c>
      <c r="AI156" s="2">
        <v>152</v>
      </c>
      <c r="AJ156" s="2">
        <f>求节点(节奏总纲!$D$4:$D$113,AC$5:AC$104,$AI156)</f>
        <v>3.2521796537586929</v>
      </c>
      <c r="AK156" s="2">
        <f>求节点(节奏总纲!$D$4:$D$113,AD$5:AD$104,$AI156)</f>
        <v>3.2521796537586929</v>
      </c>
      <c r="AL156" s="2">
        <f>求节点(节奏总纲!$D$4:$D$113,AE$5:AE$104,$AI156)</f>
        <v>3.2521796537586929</v>
      </c>
      <c r="AM156" s="2">
        <f>求节点(节奏总纲!$D$4:$D$113,AF$5:AF$104,$AI156)</f>
        <v>3.2521796537586929</v>
      </c>
      <c r="AN156" s="2">
        <f>求节点(节奏总纲!$D$4:$D$113,AG$5:AG$104,$AI156)</f>
        <v>3.2521796537586929</v>
      </c>
    </row>
    <row r="157" spans="23:40" x14ac:dyDescent="0.15">
      <c r="W157" s="14">
        <v>153</v>
      </c>
      <c r="X157" s="14">
        <f>求节点(B$10:B$48,Q$10:Q$48,$W157)*(其他调用!AS157+其他调用!AZ157*$D$50*$D$51)*6</f>
        <v>11898.744848047954</v>
      </c>
      <c r="Y157" s="14">
        <f>求节点(C$10:C$48,R$10:R$48,$W157)*(其他调用!AT157+其他调用!BA157*$D$50*$D$51)*6</f>
        <v>12210.468768717212</v>
      </c>
      <c r="Z157" s="14">
        <f>求节点(D$10:D$48,S$10:S$48,$W157)*(其他调用!AU157+其他调用!BB157*$D$50*$D$51)*6</f>
        <v>12396.6472792848</v>
      </c>
      <c r="AA157" s="14">
        <f>求节点(E$10:E$48,T$10:T$48,$W157)*(其他调用!AV157+其他调用!BC157*$D$50*$D$51)*6</f>
        <v>12618.017686607145</v>
      </c>
      <c r="AB157" s="14">
        <f>求节点(F$10:F$48,U$10:U$48,$W157)*(其他调用!AW157+其他调用!BD157*$D$50*$D$51)*6</f>
        <v>12874.450992583548</v>
      </c>
      <c r="AC157" s="14">
        <f>[1]节奏总纲!$BJ156</f>
        <v>3.4999999999999978</v>
      </c>
      <c r="AD157" s="14">
        <f>[1]节奏总纲!$BJ156</f>
        <v>3.4999999999999978</v>
      </c>
      <c r="AE157" s="14">
        <f>[1]节奏总纲!$BJ156</f>
        <v>3.4999999999999978</v>
      </c>
      <c r="AF157" s="14">
        <f>[1]节奏总纲!$BJ156</f>
        <v>3.4999999999999978</v>
      </c>
      <c r="AG157" s="14">
        <f>[1]节奏总纲!$BJ156</f>
        <v>3.4999999999999978</v>
      </c>
      <c r="AI157" s="2">
        <v>153</v>
      </c>
      <c r="AJ157" s="2">
        <f>求节点(节奏总纲!$D$4:$D$113,AC$5:AC$104,$AI157)</f>
        <v>3.2553382846488179</v>
      </c>
      <c r="AK157" s="2">
        <f>求节点(节奏总纲!$D$4:$D$113,AD$5:AD$104,$AI157)</f>
        <v>3.2553382846488179</v>
      </c>
      <c r="AL157" s="2">
        <f>求节点(节奏总纲!$D$4:$D$113,AE$5:AE$104,$AI157)</f>
        <v>3.2553382846488179</v>
      </c>
      <c r="AM157" s="2">
        <f>求节点(节奏总纲!$D$4:$D$113,AF$5:AF$104,$AI157)</f>
        <v>3.2553382846488179</v>
      </c>
      <c r="AN157" s="2">
        <f>求节点(节奏总纲!$D$4:$D$113,AG$5:AG$104,$AI157)</f>
        <v>3.2553382846488179</v>
      </c>
    </row>
    <row r="158" spans="23:40" x14ac:dyDescent="0.15">
      <c r="W158" s="14">
        <v>154</v>
      </c>
      <c r="X158" s="14">
        <f>求节点(B$10:B$48,Q$10:Q$48,$W158)*(其他调用!AS158+其他调用!AZ158*$D$50*$D$51)*6</f>
        <v>12032.643452277443</v>
      </c>
      <c r="Y158" s="14">
        <f>求节点(C$10:C$48,R$10:R$48,$W158)*(其他调用!AT158+其他调用!BA158*$D$50*$D$51)*6</f>
        <v>12342.658823805954</v>
      </c>
      <c r="Z158" s="14">
        <f>求节点(D$10:D$48,S$10:S$48,$W158)*(其他调用!AU158+其他调用!BB158*$D$50*$D$51)*6</f>
        <v>12530.327463818576</v>
      </c>
      <c r="AA158" s="14">
        <f>求节点(E$10:E$48,T$10:T$48,$W158)*(其他调用!AV158+其他调用!BC158*$D$50*$D$51)*6</f>
        <v>12753.313188186217</v>
      </c>
      <c r="AB158" s="14">
        <f>求节点(F$10:F$48,U$10:U$48,$W158)*(其他调用!AW158+其他调用!BD158*$D$50*$D$51)*6</f>
        <v>12885.54161832</v>
      </c>
      <c r="AC158" s="14">
        <f>[1]节奏总纲!$BJ157</f>
        <v>3.4999999999999978</v>
      </c>
      <c r="AD158" s="14">
        <f>[1]节奏总纲!$BJ157</f>
        <v>3.4999999999999978</v>
      </c>
      <c r="AE158" s="14">
        <f>[1]节奏总纲!$BJ157</f>
        <v>3.4999999999999978</v>
      </c>
      <c r="AF158" s="14">
        <f>[1]节奏总纲!$BJ157</f>
        <v>3.4999999999999978</v>
      </c>
      <c r="AG158" s="14">
        <f>[1]节奏总纲!$BJ157</f>
        <v>3.4999999999999978</v>
      </c>
      <c r="AI158" s="2">
        <v>154</v>
      </c>
      <c r="AJ158" s="2">
        <f>求节点(节奏总纲!$D$4:$D$113,AC$5:AC$104,$AI158)</f>
        <v>3.2584969155389429</v>
      </c>
      <c r="AK158" s="2">
        <f>求节点(节奏总纲!$D$4:$D$113,AD$5:AD$104,$AI158)</f>
        <v>3.2584969155389429</v>
      </c>
      <c r="AL158" s="2">
        <f>求节点(节奏总纲!$D$4:$D$113,AE$5:AE$104,$AI158)</f>
        <v>3.2584969155389429</v>
      </c>
      <c r="AM158" s="2">
        <f>求节点(节奏总纲!$D$4:$D$113,AF$5:AF$104,$AI158)</f>
        <v>3.2584969155389429</v>
      </c>
      <c r="AN158" s="2">
        <f>求节点(节奏总纲!$D$4:$D$113,AG$5:AG$104,$AI158)</f>
        <v>3.2584969155389429</v>
      </c>
    </row>
    <row r="159" spans="23:40" x14ac:dyDescent="0.15">
      <c r="W159" s="14">
        <v>155</v>
      </c>
      <c r="X159" s="14">
        <f>求节点(B$10:B$48,Q$10:Q$48,$W159)*(其他调用!AS159+其他调用!AZ159*$D$50*$D$51)*6</f>
        <v>12166.648627166995</v>
      </c>
      <c r="Y159" s="14">
        <f>求节点(C$10:C$48,R$10:R$48,$W159)*(其他调用!AT159+其他调用!BA159*$D$50*$D$51)*6</f>
        <v>12474.836853553294</v>
      </c>
      <c r="Z159" s="14">
        <f>求节点(D$10:D$48,S$10:S$48,$W159)*(其他调用!AU159+其他调用!BB159*$D$50*$D$51)*6</f>
        <v>12664.00764835235</v>
      </c>
      <c r="AA159" s="14">
        <f>求节点(E$10:E$48,T$10:T$48,$W159)*(其他调用!AV159+其他调用!BC159*$D$50*$D$51)*6</f>
        <v>12770.367969744</v>
      </c>
      <c r="AB159" s="14">
        <f>求节点(F$10:F$48,U$10:U$48,$W159)*(其他调用!AW159+其他调用!BD159*$D$50*$D$51)*6</f>
        <v>12885.54161832</v>
      </c>
      <c r="AC159" s="14">
        <f>[1]节奏总纲!$BJ158</f>
        <v>3.4999999999999978</v>
      </c>
      <c r="AD159" s="14">
        <f>[1]节奏总纲!$BJ158</f>
        <v>3.4999999999999978</v>
      </c>
      <c r="AE159" s="14">
        <f>[1]节奏总纲!$BJ158</f>
        <v>3.4999999999999978</v>
      </c>
      <c r="AF159" s="14">
        <f>[1]节奏总纲!$BJ158</f>
        <v>3.4999999999999978</v>
      </c>
      <c r="AG159" s="14">
        <f>[1]节奏总纲!$BJ158</f>
        <v>3.4999999999999978</v>
      </c>
      <c r="AI159" s="2">
        <v>155</v>
      </c>
      <c r="AJ159" s="2">
        <f>求节点(节奏总纲!$D$4:$D$113,AC$5:AC$104,$AI159)</f>
        <v>3.261655546429068</v>
      </c>
      <c r="AK159" s="2">
        <f>求节点(节奏总纲!$D$4:$D$113,AD$5:AD$104,$AI159)</f>
        <v>3.261655546429068</v>
      </c>
      <c r="AL159" s="2">
        <f>求节点(节奏总纲!$D$4:$D$113,AE$5:AE$104,$AI159)</f>
        <v>3.261655546429068</v>
      </c>
      <c r="AM159" s="2">
        <f>求节点(节奏总纲!$D$4:$D$113,AF$5:AF$104,$AI159)</f>
        <v>3.261655546429068</v>
      </c>
      <c r="AN159" s="2">
        <f>求节点(节奏总纲!$D$4:$D$113,AG$5:AG$104,$AI159)</f>
        <v>3.261655546429068</v>
      </c>
    </row>
    <row r="160" spans="23:40" x14ac:dyDescent="0.15">
      <c r="W160" s="14">
        <v>156</v>
      </c>
      <c r="X160" s="14">
        <f>求节点(B$10:B$48,Q$10:Q$48,$W160)*(其他调用!AS160+其他调用!AZ160*$D$50*$D$51)*6</f>
        <v>12436.592493921635</v>
      </c>
      <c r="Y160" s="14">
        <f>求节点(C$10:C$48,R$10:R$48,$W160)*(其他调用!AT160+其他调用!BA160*$D$50*$D$51)*6</f>
        <v>12747.925097433272</v>
      </c>
      <c r="Z160" s="14">
        <f>求节点(D$10:D$48,S$10:S$48,$W160)*(其他调用!AU160+其他调用!BB160*$D$50*$D$51)*6</f>
        <v>12829.227972119999</v>
      </c>
      <c r="AA160" s="14">
        <f>求节点(E$10:E$48,T$10:T$48,$W160)*(其他调用!AV160+其他调用!BC160*$D$50*$D$51)*6</f>
        <v>12921.778225440001</v>
      </c>
      <c r="AB160" s="14">
        <f>求节点(F$10:F$48,U$10:U$48,$W160)*(其他调用!AW160+其他调用!BD160*$D$50*$D$51)*6</f>
        <v>13045.178563199999</v>
      </c>
      <c r="AC160" s="14">
        <f>[1]节奏总纲!$BJ159</f>
        <v>3.4999999999999978</v>
      </c>
      <c r="AD160" s="14">
        <f>[1]节奏总纲!$BJ159</f>
        <v>3.4999999999999978</v>
      </c>
      <c r="AE160" s="14">
        <f>[1]节奏总纲!$BJ159</f>
        <v>3.4999999999999978</v>
      </c>
      <c r="AF160" s="14">
        <f>[1]节奏总纲!$BJ159</f>
        <v>3.4999999999999978</v>
      </c>
      <c r="AG160" s="14">
        <f>[1]节奏总纲!$BJ159</f>
        <v>3.4999999999999978</v>
      </c>
      <c r="AI160" s="2">
        <v>156</v>
      </c>
      <c r="AJ160" s="2">
        <f>求节点(节奏总纲!$D$4:$D$113,AC$5:AC$104,$AI160)</f>
        <v>3.264814177319193</v>
      </c>
      <c r="AK160" s="2">
        <f>求节点(节奏总纲!$D$4:$D$113,AD$5:AD$104,$AI160)</f>
        <v>3.264814177319193</v>
      </c>
      <c r="AL160" s="2">
        <f>求节点(节奏总纲!$D$4:$D$113,AE$5:AE$104,$AI160)</f>
        <v>3.264814177319193</v>
      </c>
      <c r="AM160" s="2">
        <f>求节点(节奏总纲!$D$4:$D$113,AF$5:AF$104,$AI160)</f>
        <v>3.264814177319193</v>
      </c>
      <c r="AN160" s="2">
        <f>求节点(节奏总纲!$D$4:$D$113,AG$5:AG$104,$AI160)</f>
        <v>3.264814177319193</v>
      </c>
    </row>
    <row r="161" spans="23:40" x14ac:dyDescent="0.15">
      <c r="W161" s="14">
        <v>157</v>
      </c>
      <c r="X161" s="14">
        <f>求节点(B$10:B$48,Q$10:Q$48,$W161)*(其他调用!AS161+其他调用!AZ161*$D$50*$D$51)*6</f>
        <v>12572.370337859749</v>
      </c>
      <c r="Y161" s="14">
        <f>求节点(C$10:C$48,R$10:R$48,$W161)*(其他调用!AT161+其他调用!BA161*$D$50*$D$51)*6</f>
        <v>12767.527803239998</v>
      </c>
      <c r="Z161" s="14">
        <f>求节点(D$10:D$48,S$10:S$48,$W161)*(其他调用!AU161+其他调用!BB161*$D$50*$D$51)*6</f>
        <v>12829.227972119999</v>
      </c>
      <c r="AA161" s="14">
        <f>求节点(E$10:E$48,T$10:T$48,$W161)*(其他调用!AV161+其他调用!BC161*$D$50*$D$51)*6</f>
        <v>12921.778225440001</v>
      </c>
      <c r="AB161" s="14">
        <f>求节点(F$10:F$48,U$10:U$48,$W161)*(其他调用!AW161+其他调用!BD161*$D$50*$D$51)*6</f>
        <v>13045.178563199999</v>
      </c>
      <c r="AC161" s="14">
        <f>[1]节奏总纲!$BJ160</f>
        <v>3.4999999999999978</v>
      </c>
      <c r="AD161" s="14">
        <f>[1]节奏总纲!$BJ160</f>
        <v>3.4999999999999978</v>
      </c>
      <c r="AE161" s="14">
        <f>[1]节奏总纲!$BJ160</f>
        <v>3.4999999999999978</v>
      </c>
      <c r="AF161" s="14">
        <f>[1]节奏总纲!$BJ160</f>
        <v>3.4999999999999978</v>
      </c>
      <c r="AG161" s="14">
        <f>[1]节奏总纲!$BJ160</f>
        <v>3.4999999999999978</v>
      </c>
      <c r="AI161" s="2">
        <v>157</v>
      </c>
      <c r="AJ161" s="2">
        <f>求节点(节奏总纲!$D$4:$D$113,AC$5:AC$104,$AI161)</f>
        <v>3.2678853398175769</v>
      </c>
      <c r="AK161" s="2">
        <f>求节点(节奏总纲!$D$4:$D$113,AD$5:AD$104,$AI161)</f>
        <v>3.2678853398175769</v>
      </c>
      <c r="AL161" s="2">
        <f>求节点(节奏总纲!$D$4:$D$113,AE$5:AE$104,$AI161)</f>
        <v>3.2678853398175769</v>
      </c>
      <c r="AM161" s="2">
        <f>求节点(节奏总纲!$D$4:$D$113,AF$5:AF$104,$AI161)</f>
        <v>3.2678853398175769</v>
      </c>
      <c r="AN161" s="2">
        <f>求节点(节奏总纲!$D$4:$D$113,AG$5:AG$104,$AI161)</f>
        <v>3.2678853398175769</v>
      </c>
    </row>
    <row r="162" spans="23:40" x14ac:dyDescent="0.15">
      <c r="W162" s="14">
        <v>158</v>
      </c>
      <c r="X162" s="14">
        <f>求节点(B$10:B$48,Q$10:Q$48,$W162)*(其他调用!AS162+其他调用!AZ162*$D$50*$D$51)*6</f>
        <v>12624.941734297949</v>
      </c>
      <c r="Y162" s="14">
        <f>求节点(C$10:C$48,R$10:R$48,$W162)*(其他调用!AT162+其他调用!BA162*$D$50*$D$51)*6</f>
        <v>12767.527803239998</v>
      </c>
      <c r="Z162" s="14">
        <f>求节点(D$10:D$48,S$10:S$48,$W162)*(其他调用!AU162+其他调用!BB162*$D$50*$D$51)*6</f>
        <v>12829.227972119999</v>
      </c>
      <c r="AA162" s="14">
        <f>求节点(E$10:E$48,T$10:T$48,$W162)*(其他调用!AV162+其他调用!BC162*$D$50*$D$51)*6</f>
        <v>12921.778225440001</v>
      </c>
      <c r="AB162" s="14">
        <f>求节点(F$10:F$48,U$10:U$48,$W162)*(其他调用!AW162+其他调用!BD162*$D$50*$D$51)*6</f>
        <v>13045.178563199999</v>
      </c>
      <c r="AC162" s="14">
        <f>[1]节奏总纲!$BJ161</f>
        <v>3.4999999999999978</v>
      </c>
      <c r="AD162" s="14">
        <f>[1]节奏总纲!$BJ161</f>
        <v>3.4999999999999978</v>
      </c>
      <c r="AE162" s="14">
        <f>[1]节奏总纲!$BJ161</f>
        <v>3.4999999999999978</v>
      </c>
      <c r="AF162" s="14">
        <f>[1]节奏总纲!$BJ161</f>
        <v>3.4999999999999978</v>
      </c>
      <c r="AG162" s="14">
        <f>[1]节奏总纲!$BJ161</f>
        <v>3.4999999999999978</v>
      </c>
      <c r="AI162" s="2">
        <v>158</v>
      </c>
      <c r="AJ162" s="2">
        <f>求节点(节奏总纲!$D$4:$D$113,AC$5:AC$104,$AI162)</f>
        <v>3.2708324466461507</v>
      </c>
      <c r="AK162" s="2">
        <f>求节点(节奏总纲!$D$4:$D$113,AD$5:AD$104,$AI162)</f>
        <v>3.2708324466461507</v>
      </c>
      <c r="AL162" s="2">
        <f>求节点(节奏总纲!$D$4:$D$113,AE$5:AE$104,$AI162)</f>
        <v>3.2708324466461507</v>
      </c>
      <c r="AM162" s="2">
        <f>求节点(节奏总纲!$D$4:$D$113,AF$5:AF$104,$AI162)</f>
        <v>3.2708324466461507</v>
      </c>
      <c r="AN162" s="2">
        <f>求节点(节奏总纲!$D$4:$D$113,AG$5:AG$104,$AI162)</f>
        <v>3.2708324466461507</v>
      </c>
    </row>
    <row r="163" spans="23:40" x14ac:dyDescent="0.15">
      <c r="W163" s="14">
        <v>159</v>
      </c>
      <c r="X163" s="14">
        <f>求节点(B$10:B$48,Q$10:Q$48,$W163)*(其他调用!AS163+其他调用!AZ163*$D$50*$D$51)*6</f>
        <v>12632.132000015445</v>
      </c>
      <c r="Y163" s="14">
        <f>求节点(C$10:C$48,R$10:R$48,$W163)*(其他调用!AT163+其他调用!BA163*$D$50*$D$51)*6</f>
        <v>12767.527803239998</v>
      </c>
      <c r="Z163" s="14">
        <f>求节点(D$10:D$48,S$10:S$48,$W163)*(其他调用!AU163+其他调用!BB163*$D$50*$D$51)*6</f>
        <v>12829.227972119999</v>
      </c>
      <c r="AA163" s="14">
        <f>求节点(E$10:E$48,T$10:T$48,$W163)*(其他调用!AV163+其他调用!BC163*$D$50*$D$51)*6</f>
        <v>12921.778225440001</v>
      </c>
      <c r="AB163" s="14">
        <f>求节点(F$10:F$48,U$10:U$48,$W163)*(其他调用!AW163+其他调用!BD163*$D$50*$D$51)*6</f>
        <v>13045.178563199999</v>
      </c>
      <c r="AC163" s="14">
        <f>[1]节奏总纲!$BJ162</f>
        <v>3.4999999999999978</v>
      </c>
      <c r="AD163" s="14">
        <f>[1]节奏总纲!$BJ162</f>
        <v>3.4999999999999978</v>
      </c>
      <c r="AE163" s="14">
        <f>[1]节奏总纲!$BJ162</f>
        <v>3.4999999999999978</v>
      </c>
      <c r="AF163" s="14">
        <f>[1]节奏总纲!$BJ162</f>
        <v>3.4999999999999978</v>
      </c>
      <c r="AG163" s="14">
        <f>[1]节奏总纲!$BJ162</f>
        <v>3.4999999999999978</v>
      </c>
      <c r="AI163" s="2">
        <v>159</v>
      </c>
      <c r="AJ163" s="2">
        <f>求节点(节奏总纲!$D$4:$D$113,AC$5:AC$104,$AI163)</f>
        <v>3.2737795534747249</v>
      </c>
      <c r="AK163" s="2">
        <f>求节点(节奏总纲!$D$4:$D$113,AD$5:AD$104,$AI163)</f>
        <v>3.2737795534747249</v>
      </c>
      <c r="AL163" s="2">
        <f>求节点(节奏总纲!$D$4:$D$113,AE$5:AE$104,$AI163)</f>
        <v>3.2737795534747249</v>
      </c>
      <c r="AM163" s="2">
        <f>求节点(节奏总纲!$D$4:$D$113,AF$5:AF$104,$AI163)</f>
        <v>3.2737795534747249</v>
      </c>
      <c r="AN163" s="2">
        <f>求节点(节奏总纲!$D$4:$D$113,AG$5:AG$104,$AI163)</f>
        <v>3.2737795534747249</v>
      </c>
    </row>
    <row r="164" spans="23:40" x14ac:dyDescent="0.15">
      <c r="W164" s="14">
        <v>160</v>
      </c>
      <c r="X164" s="14">
        <f>求节点(B$10:B$48,Q$10:Q$48,$W164)*(其他调用!AS164+其他调用!AZ164*$D$50*$D$51)*6</f>
        <v>12639.264923822884</v>
      </c>
      <c r="Y164" s="14">
        <f>求节点(C$10:C$48,R$10:R$48,$W164)*(其他调用!AT164+其他调用!BA164*$D$50*$D$51)*6</f>
        <v>12767.527803239998</v>
      </c>
      <c r="Z164" s="14">
        <f>求节点(D$10:D$48,S$10:S$48,$W164)*(其他调用!AU164+其他调用!BB164*$D$50*$D$51)*6</f>
        <v>12829.227972119999</v>
      </c>
      <c r="AA164" s="14">
        <f>求节点(E$10:E$48,T$10:T$48,$W164)*(其他调用!AV164+其他调用!BC164*$D$50*$D$51)*6</f>
        <v>12921.778225440001</v>
      </c>
      <c r="AB164" s="14">
        <f>求节点(F$10:F$48,U$10:U$48,$W164)*(其他调用!AW164+其他调用!BD164*$D$50*$D$51)*6</f>
        <v>13045.178563199999</v>
      </c>
      <c r="AC164" s="14">
        <f>[1]节奏总纲!$BJ163</f>
        <v>3.4999999999999978</v>
      </c>
      <c r="AD164" s="14">
        <f>[1]节奏总纲!$BJ163</f>
        <v>3.4999999999999978</v>
      </c>
      <c r="AE164" s="14">
        <f>[1]节奏总纲!$BJ163</f>
        <v>3.4999999999999978</v>
      </c>
      <c r="AF164" s="14">
        <f>[1]节奏总纲!$BJ163</f>
        <v>3.4999999999999978</v>
      </c>
      <c r="AG164" s="14">
        <f>[1]节奏总纲!$BJ163</f>
        <v>3.4999999999999978</v>
      </c>
      <c r="AI164" s="2">
        <v>160</v>
      </c>
      <c r="AJ164" s="2">
        <f>求节点(节奏总纲!$D$4:$D$113,AC$5:AC$104,$AI164)</f>
        <v>3.2767266603032987</v>
      </c>
      <c r="AK164" s="2">
        <f>求节点(节奏总纲!$D$4:$D$113,AD$5:AD$104,$AI164)</f>
        <v>3.2767266603032987</v>
      </c>
      <c r="AL164" s="2">
        <f>求节点(节奏总纲!$D$4:$D$113,AE$5:AE$104,$AI164)</f>
        <v>3.2767266603032987</v>
      </c>
      <c r="AM164" s="2">
        <f>求节点(节奏总纲!$D$4:$D$113,AF$5:AF$104,$AI164)</f>
        <v>3.2767266603032987</v>
      </c>
      <c r="AN164" s="2">
        <f>求节点(节奏总纲!$D$4:$D$113,AG$5:AG$104,$AI164)</f>
        <v>3.2767266603032987</v>
      </c>
    </row>
    <row r="165" spans="23:40" x14ac:dyDescent="0.15">
      <c r="AI165" s="2">
        <v>161</v>
      </c>
      <c r="AJ165" s="2">
        <f>求节点(节奏总纲!$D$4:$D$113,AC$5:AC$104,$AI165)</f>
        <v>3.2796737671318725</v>
      </c>
      <c r="AK165" s="2">
        <f>求节点(节奏总纲!$D$4:$D$113,AD$5:AD$104,$AI165)</f>
        <v>3.2796737671318725</v>
      </c>
      <c r="AL165" s="2">
        <f>求节点(节奏总纲!$D$4:$D$113,AE$5:AE$104,$AI165)</f>
        <v>3.2796737671318725</v>
      </c>
      <c r="AM165" s="2">
        <f>求节点(节奏总纲!$D$4:$D$113,AF$5:AF$104,$AI165)</f>
        <v>3.2796737671318725</v>
      </c>
      <c r="AN165" s="2">
        <f>求节点(节奏总纲!$D$4:$D$113,AG$5:AG$104,$AI165)</f>
        <v>3.2796737671318725</v>
      </c>
    </row>
    <row r="166" spans="23:40" x14ac:dyDescent="0.15">
      <c r="AI166" s="2">
        <v>162</v>
      </c>
      <c r="AJ166" s="2">
        <f>求节点(节奏总纲!$D$4:$D$113,AC$5:AC$104,$AI166)</f>
        <v>3.2826208739604463</v>
      </c>
      <c r="AK166" s="2">
        <f>求节点(节奏总纲!$D$4:$D$113,AD$5:AD$104,$AI166)</f>
        <v>3.2826208739604463</v>
      </c>
      <c r="AL166" s="2">
        <f>求节点(节奏总纲!$D$4:$D$113,AE$5:AE$104,$AI166)</f>
        <v>3.2826208739604463</v>
      </c>
      <c r="AM166" s="2">
        <f>求节点(节奏总纲!$D$4:$D$113,AF$5:AF$104,$AI166)</f>
        <v>3.2826208739604463</v>
      </c>
      <c r="AN166" s="2">
        <f>求节点(节奏总纲!$D$4:$D$113,AG$5:AG$104,$AI166)</f>
        <v>3.2826208739604463</v>
      </c>
    </row>
    <row r="167" spans="23:40" x14ac:dyDescent="0.15">
      <c r="AI167" s="2">
        <v>163</v>
      </c>
      <c r="AJ167" s="2">
        <f>求节点(节奏总纲!$D$4:$D$113,AC$5:AC$104,$AI167)</f>
        <v>3.2855679807890201</v>
      </c>
      <c r="AK167" s="2">
        <f>求节点(节奏总纲!$D$4:$D$113,AD$5:AD$104,$AI167)</f>
        <v>3.2855679807890201</v>
      </c>
      <c r="AL167" s="2">
        <f>求节点(节奏总纲!$D$4:$D$113,AE$5:AE$104,$AI167)</f>
        <v>3.2855679807890201</v>
      </c>
      <c r="AM167" s="2">
        <f>求节点(节奏总纲!$D$4:$D$113,AF$5:AF$104,$AI167)</f>
        <v>3.2855679807890201</v>
      </c>
      <c r="AN167" s="2">
        <f>求节点(节奏总纲!$D$4:$D$113,AG$5:AG$104,$AI167)</f>
        <v>3.2855679807890201</v>
      </c>
    </row>
    <row r="168" spans="23:40" x14ac:dyDescent="0.15">
      <c r="AI168" s="2">
        <v>164</v>
      </c>
      <c r="AJ168" s="2">
        <f>求节点(节奏总纲!$D$4:$D$113,AC$5:AC$104,$AI168)</f>
        <v>3.2885150876175944</v>
      </c>
      <c r="AK168" s="2">
        <f>求节点(节奏总纲!$D$4:$D$113,AD$5:AD$104,$AI168)</f>
        <v>3.2885150876175944</v>
      </c>
      <c r="AL168" s="2">
        <f>求节点(节奏总纲!$D$4:$D$113,AE$5:AE$104,$AI168)</f>
        <v>3.2885150876175944</v>
      </c>
      <c r="AM168" s="2">
        <f>求节点(节奏总纲!$D$4:$D$113,AF$5:AF$104,$AI168)</f>
        <v>3.2885150876175944</v>
      </c>
      <c r="AN168" s="2">
        <f>求节点(节奏总纲!$D$4:$D$113,AG$5:AG$104,$AI168)</f>
        <v>3.2885150876175944</v>
      </c>
    </row>
    <row r="169" spans="23:40" x14ac:dyDescent="0.15">
      <c r="AI169" s="2">
        <v>165</v>
      </c>
      <c r="AJ169" s="2">
        <f>求节点(节奏总纲!$D$4:$D$113,AC$5:AC$104,$AI169)</f>
        <v>3.2914621944461682</v>
      </c>
      <c r="AK169" s="2">
        <f>求节点(节奏总纲!$D$4:$D$113,AD$5:AD$104,$AI169)</f>
        <v>3.2914621944461682</v>
      </c>
      <c r="AL169" s="2">
        <f>求节点(节奏总纲!$D$4:$D$113,AE$5:AE$104,$AI169)</f>
        <v>3.2914621944461682</v>
      </c>
      <c r="AM169" s="2">
        <f>求节点(节奏总纲!$D$4:$D$113,AF$5:AF$104,$AI169)</f>
        <v>3.2914621944461682</v>
      </c>
      <c r="AN169" s="2">
        <f>求节点(节奏总纲!$D$4:$D$113,AG$5:AG$104,$AI169)</f>
        <v>3.2914621944461682</v>
      </c>
    </row>
    <row r="170" spans="23:40" x14ac:dyDescent="0.15">
      <c r="AI170" s="2">
        <v>166</v>
      </c>
      <c r="AJ170" s="2">
        <f>求节点(节奏总纲!$D$4:$D$113,AC$5:AC$104,$AI170)</f>
        <v>3.294409301274742</v>
      </c>
      <c r="AK170" s="2">
        <f>求节点(节奏总纲!$D$4:$D$113,AD$5:AD$104,$AI170)</f>
        <v>3.294409301274742</v>
      </c>
      <c r="AL170" s="2">
        <f>求节点(节奏总纲!$D$4:$D$113,AE$5:AE$104,$AI170)</f>
        <v>3.294409301274742</v>
      </c>
      <c r="AM170" s="2">
        <f>求节点(节奏总纲!$D$4:$D$113,AF$5:AF$104,$AI170)</f>
        <v>3.294409301274742</v>
      </c>
      <c r="AN170" s="2">
        <f>求节点(节奏总纲!$D$4:$D$113,AG$5:AG$104,$AI170)</f>
        <v>3.294409301274742</v>
      </c>
    </row>
    <row r="171" spans="23:40" x14ac:dyDescent="0.15">
      <c r="AI171" s="2">
        <v>167</v>
      </c>
      <c r="AJ171" s="2">
        <f>求节点(节奏总纲!$D$4:$D$113,AC$5:AC$104,$AI171)</f>
        <v>3.2973564081033158</v>
      </c>
      <c r="AK171" s="2">
        <f>求节点(节奏总纲!$D$4:$D$113,AD$5:AD$104,$AI171)</f>
        <v>3.2973564081033158</v>
      </c>
      <c r="AL171" s="2">
        <f>求节点(节奏总纲!$D$4:$D$113,AE$5:AE$104,$AI171)</f>
        <v>3.2973564081033158</v>
      </c>
      <c r="AM171" s="2">
        <f>求节点(节奏总纲!$D$4:$D$113,AF$5:AF$104,$AI171)</f>
        <v>3.2973564081033158</v>
      </c>
      <c r="AN171" s="2">
        <f>求节点(节奏总纲!$D$4:$D$113,AG$5:AG$104,$AI171)</f>
        <v>3.2973564081033158</v>
      </c>
    </row>
    <row r="172" spans="23:40" x14ac:dyDescent="0.15">
      <c r="AI172" s="2">
        <v>168</v>
      </c>
      <c r="AJ172" s="2">
        <f>求节点(节奏总纲!$D$4:$D$113,AC$5:AC$104,$AI172)</f>
        <v>3.300283189444877</v>
      </c>
      <c r="AK172" s="2">
        <f>求节点(节奏总纲!$D$4:$D$113,AD$5:AD$104,$AI172)</f>
        <v>3.300283189444877</v>
      </c>
      <c r="AL172" s="2">
        <f>求节点(节奏总纲!$D$4:$D$113,AE$5:AE$104,$AI172)</f>
        <v>3.300283189444877</v>
      </c>
      <c r="AM172" s="2">
        <f>求节点(节奏总纲!$D$4:$D$113,AF$5:AF$104,$AI172)</f>
        <v>3.300283189444877</v>
      </c>
      <c r="AN172" s="2">
        <f>求节点(节奏总纲!$D$4:$D$113,AG$5:AG$104,$AI172)</f>
        <v>3.300283189444877</v>
      </c>
    </row>
    <row r="173" spans="23:40" x14ac:dyDescent="0.15">
      <c r="AI173" s="2">
        <v>169</v>
      </c>
      <c r="AJ173" s="2">
        <f>求节点(节奏总纲!$D$4:$D$113,AC$5:AC$104,$AI173)</f>
        <v>3.3030329373455198</v>
      </c>
      <c r="AK173" s="2">
        <f>求节点(节奏总纲!$D$4:$D$113,AD$5:AD$104,$AI173)</f>
        <v>3.3030329373455198</v>
      </c>
      <c r="AL173" s="2">
        <f>求节点(节奏总纲!$D$4:$D$113,AE$5:AE$104,$AI173)</f>
        <v>3.3030329373455198</v>
      </c>
      <c r="AM173" s="2">
        <f>求节点(节奏总纲!$D$4:$D$113,AF$5:AF$104,$AI173)</f>
        <v>3.3030329373455198</v>
      </c>
      <c r="AN173" s="2">
        <f>求节点(节奏总纲!$D$4:$D$113,AG$5:AG$104,$AI173)</f>
        <v>3.3030329373455198</v>
      </c>
    </row>
    <row r="174" spans="23:40" x14ac:dyDescent="0.15">
      <c r="AI174" s="2">
        <v>170</v>
      </c>
      <c r="AJ174" s="2">
        <f>求节点(节奏总纲!$D$4:$D$113,AC$5:AC$104,$AI174)</f>
        <v>3.3057826852461627</v>
      </c>
      <c r="AK174" s="2">
        <f>求节点(节奏总纲!$D$4:$D$113,AD$5:AD$104,$AI174)</f>
        <v>3.3057826852461627</v>
      </c>
      <c r="AL174" s="2">
        <f>求节点(节奏总纲!$D$4:$D$113,AE$5:AE$104,$AI174)</f>
        <v>3.3057826852461627</v>
      </c>
      <c r="AM174" s="2">
        <f>求节点(节奏总纲!$D$4:$D$113,AF$5:AF$104,$AI174)</f>
        <v>3.3057826852461627</v>
      </c>
      <c r="AN174" s="2">
        <f>求节点(节奏总纲!$D$4:$D$113,AG$5:AG$104,$AI174)</f>
        <v>3.3057826852461627</v>
      </c>
    </row>
    <row r="175" spans="23:40" x14ac:dyDescent="0.15">
      <c r="AI175" s="2">
        <v>171</v>
      </c>
      <c r="AJ175" s="2">
        <f>求节点(节奏总纲!$D$4:$D$113,AC$5:AC$104,$AI175)</f>
        <v>3.3085324331468056</v>
      </c>
      <c r="AK175" s="2">
        <f>求节点(节奏总纲!$D$4:$D$113,AD$5:AD$104,$AI175)</f>
        <v>3.3085324331468056</v>
      </c>
      <c r="AL175" s="2">
        <f>求节点(节奏总纲!$D$4:$D$113,AE$5:AE$104,$AI175)</f>
        <v>3.3085324331468056</v>
      </c>
      <c r="AM175" s="2">
        <f>求节点(节奏总纲!$D$4:$D$113,AF$5:AF$104,$AI175)</f>
        <v>3.3085324331468056</v>
      </c>
      <c r="AN175" s="2">
        <f>求节点(节奏总纲!$D$4:$D$113,AG$5:AG$104,$AI175)</f>
        <v>3.3085324331468056</v>
      </c>
    </row>
    <row r="176" spans="23:40" x14ac:dyDescent="0.15">
      <c r="AI176" s="2">
        <v>172</v>
      </c>
      <c r="AJ176" s="2">
        <f>求节点(节奏总纲!$D$4:$D$113,AC$5:AC$104,$AI176)</f>
        <v>3.3112821810474484</v>
      </c>
      <c r="AK176" s="2">
        <f>求节点(节奏总纲!$D$4:$D$113,AD$5:AD$104,$AI176)</f>
        <v>3.3112821810474484</v>
      </c>
      <c r="AL176" s="2">
        <f>求节点(节奏总纲!$D$4:$D$113,AE$5:AE$104,$AI176)</f>
        <v>3.3112821810474484</v>
      </c>
      <c r="AM176" s="2">
        <f>求节点(节奏总纲!$D$4:$D$113,AF$5:AF$104,$AI176)</f>
        <v>3.3112821810474484</v>
      </c>
      <c r="AN176" s="2">
        <f>求节点(节奏总纲!$D$4:$D$113,AG$5:AG$104,$AI176)</f>
        <v>3.3112821810474484</v>
      </c>
    </row>
    <row r="177" spans="35:40" x14ac:dyDescent="0.15">
      <c r="AI177" s="2">
        <v>173</v>
      </c>
      <c r="AJ177" s="2">
        <f>求节点(节奏总纲!$D$4:$D$113,AC$5:AC$104,$AI177)</f>
        <v>3.3140319289480913</v>
      </c>
      <c r="AK177" s="2">
        <f>求节点(节奏总纲!$D$4:$D$113,AD$5:AD$104,$AI177)</f>
        <v>3.3140319289480913</v>
      </c>
      <c r="AL177" s="2">
        <f>求节点(节奏总纲!$D$4:$D$113,AE$5:AE$104,$AI177)</f>
        <v>3.3140319289480913</v>
      </c>
      <c r="AM177" s="2">
        <f>求节点(节奏总纲!$D$4:$D$113,AF$5:AF$104,$AI177)</f>
        <v>3.3140319289480913</v>
      </c>
      <c r="AN177" s="2">
        <f>求节点(节奏总纲!$D$4:$D$113,AG$5:AG$104,$AI177)</f>
        <v>3.3140319289480913</v>
      </c>
    </row>
    <row r="178" spans="35:40" x14ac:dyDescent="0.15">
      <c r="AI178" s="2">
        <v>174</v>
      </c>
      <c r="AJ178" s="2">
        <f>求节点(节奏总纲!$D$4:$D$113,AC$5:AC$104,$AI178)</f>
        <v>3.3167816768487342</v>
      </c>
      <c r="AK178" s="2">
        <f>求节点(节奏总纲!$D$4:$D$113,AD$5:AD$104,$AI178)</f>
        <v>3.3167816768487342</v>
      </c>
      <c r="AL178" s="2">
        <f>求节点(节奏总纲!$D$4:$D$113,AE$5:AE$104,$AI178)</f>
        <v>3.3167816768487342</v>
      </c>
      <c r="AM178" s="2">
        <f>求节点(节奏总纲!$D$4:$D$113,AF$5:AF$104,$AI178)</f>
        <v>3.3167816768487342</v>
      </c>
      <c r="AN178" s="2">
        <f>求节点(节奏总纲!$D$4:$D$113,AG$5:AG$104,$AI178)</f>
        <v>3.3167816768487342</v>
      </c>
    </row>
    <row r="179" spans="35:40" x14ac:dyDescent="0.15">
      <c r="AI179" s="2">
        <v>175</v>
      </c>
      <c r="AJ179" s="2">
        <f>求节点(节奏总纲!$D$4:$D$113,AC$5:AC$104,$AI179)</f>
        <v>3.319531424749377</v>
      </c>
      <c r="AK179" s="2">
        <f>求节点(节奏总纲!$D$4:$D$113,AD$5:AD$104,$AI179)</f>
        <v>3.319531424749377</v>
      </c>
      <c r="AL179" s="2">
        <f>求节点(节奏总纲!$D$4:$D$113,AE$5:AE$104,$AI179)</f>
        <v>3.319531424749377</v>
      </c>
      <c r="AM179" s="2">
        <f>求节点(节奏总纲!$D$4:$D$113,AF$5:AF$104,$AI179)</f>
        <v>3.319531424749377</v>
      </c>
      <c r="AN179" s="2">
        <f>求节点(节奏总纲!$D$4:$D$113,AG$5:AG$104,$AI179)</f>
        <v>3.319531424749377</v>
      </c>
    </row>
    <row r="180" spans="35:40" x14ac:dyDescent="0.15">
      <c r="AI180" s="2">
        <v>176</v>
      </c>
      <c r="AJ180" s="2">
        <f>求节点(节奏总纲!$D$4:$D$113,AC$5:AC$104,$AI180)</f>
        <v>3.3222811726500199</v>
      </c>
      <c r="AK180" s="2">
        <f>求节点(节奏总纲!$D$4:$D$113,AD$5:AD$104,$AI180)</f>
        <v>3.3222811726500199</v>
      </c>
      <c r="AL180" s="2">
        <f>求节点(节奏总纲!$D$4:$D$113,AE$5:AE$104,$AI180)</f>
        <v>3.3222811726500199</v>
      </c>
      <c r="AM180" s="2">
        <f>求节点(节奏总纲!$D$4:$D$113,AF$5:AF$104,$AI180)</f>
        <v>3.3222811726500199</v>
      </c>
      <c r="AN180" s="2">
        <f>求节点(节奏总纲!$D$4:$D$113,AG$5:AG$104,$AI180)</f>
        <v>3.3222811726500199</v>
      </c>
    </row>
    <row r="181" spans="35:40" x14ac:dyDescent="0.15">
      <c r="AI181" s="2">
        <v>177</v>
      </c>
      <c r="AJ181" s="2">
        <f>求节点(节奏总纲!$D$4:$D$113,AC$5:AC$104,$AI181)</f>
        <v>3.3250309205506627</v>
      </c>
      <c r="AK181" s="2">
        <f>求节点(节奏总纲!$D$4:$D$113,AD$5:AD$104,$AI181)</f>
        <v>3.3250309205506627</v>
      </c>
      <c r="AL181" s="2">
        <f>求节点(节奏总纲!$D$4:$D$113,AE$5:AE$104,$AI181)</f>
        <v>3.3250309205506627</v>
      </c>
      <c r="AM181" s="2">
        <f>求节点(节奏总纲!$D$4:$D$113,AF$5:AF$104,$AI181)</f>
        <v>3.3250309205506627</v>
      </c>
      <c r="AN181" s="2">
        <f>求节点(节奏总纲!$D$4:$D$113,AG$5:AG$104,$AI181)</f>
        <v>3.3250309205506627</v>
      </c>
    </row>
    <row r="182" spans="35:40" x14ac:dyDescent="0.15">
      <c r="AI182" s="2">
        <v>178</v>
      </c>
      <c r="AJ182" s="2">
        <f>求节点(节奏总纲!$D$4:$D$113,AC$5:AC$104,$AI182)</f>
        <v>3.3277806684513056</v>
      </c>
      <c r="AK182" s="2">
        <f>求节点(节奏总纲!$D$4:$D$113,AD$5:AD$104,$AI182)</f>
        <v>3.3277806684513056</v>
      </c>
      <c r="AL182" s="2">
        <f>求节点(节奏总纲!$D$4:$D$113,AE$5:AE$104,$AI182)</f>
        <v>3.3277806684513056</v>
      </c>
      <c r="AM182" s="2">
        <f>求节点(节奏总纲!$D$4:$D$113,AF$5:AF$104,$AI182)</f>
        <v>3.3277806684513056</v>
      </c>
      <c r="AN182" s="2">
        <f>求节点(节奏总纲!$D$4:$D$113,AG$5:AG$104,$AI182)</f>
        <v>3.3277806684513056</v>
      </c>
    </row>
    <row r="183" spans="35:40" x14ac:dyDescent="0.15">
      <c r="AI183" s="2">
        <v>179</v>
      </c>
      <c r="AJ183" s="2">
        <f>求节点(节奏总纲!$D$4:$D$113,AC$5:AC$104,$AI183)</f>
        <v>3.3305304163519485</v>
      </c>
      <c r="AK183" s="2">
        <f>求节点(节奏总纲!$D$4:$D$113,AD$5:AD$104,$AI183)</f>
        <v>3.3305304163519485</v>
      </c>
      <c r="AL183" s="2">
        <f>求节点(节奏总纲!$D$4:$D$113,AE$5:AE$104,$AI183)</f>
        <v>3.3305304163519485</v>
      </c>
      <c r="AM183" s="2">
        <f>求节点(节奏总纲!$D$4:$D$113,AF$5:AF$104,$AI183)</f>
        <v>3.3305304163519485</v>
      </c>
      <c r="AN183" s="2">
        <f>求节点(节奏总纲!$D$4:$D$113,AG$5:AG$104,$AI183)</f>
        <v>3.3305304163519485</v>
      </c>
    </row>
    <row r="184" spans="35:40" x14ac:dyDescent="0.15">
      <c r="AI184" s="2">
        <v>180</v>
      </c>
      <c r="AJ184" s="2">
        <f>求节点(节奏总纲!$D$4:$D$113,AC$5:AC$104,$AI184)</f>
        <v>3.3332801642525913</v>
      </c>
      <c r="AK184" s="2">
        <f>求节点(节奏总纲!$D$4:$D$113,AD$5:AD$104,$AI184)</f>
        <v>3.3332801642525913</v>
      </c>
      <c r="AL184" s="2">
        <f>求节点(节奏总纲!$D$4:$D$113,AE$5:AE$104,$AI184)</f>
        <v>3.3332801642525913</v>
      </c>
      <c r="AM184" s="2">
        <f>求节点(节奏总纲!$D$4:$D$113,AF$5:AF$104,$AI184)</f>
        <v>3.3332801642525913</v>
      </c>
      <c r="AN184" s="2">
        <f>求节点(节奏总纲!$D$4:$D$113,AG$5:AG$104,$AI184)</f>
        <v>3.3332801642525913</v>
      </c>
    </row>
    <row r="185" spans="35:40" x14ac:dyDescent="0.15">
      <c r="AI185" s="2">
        <v>181</v>
      </c>
      <c r="AJ185" s="2">
        <f>求节点(节奏总纲!$D$4:$D$113,AC$5:AC$104,$AI185)</f>
        <v>3.3358493303365804</v>
      </c>
      <c r="AK185" s="2">
        <f>求节点(节奏总纲!$D$4:$D$113,AD$5:AD$104,$AI185)</f>
        <v>3.3358493303365804</v>
      </c>
      <c r="AL185" s="2">
        <f>求节点(节奏总纲!$D$4:$D$113,AE$5:AE$104,$AI185)</f>
        <v>3.3358493303365804</v>
      </c>
      <c r="AM185" s="2">
        <f>求节点(节奏总纲!$D$4:$D$113,AF$5:AF$104,$AI185)</f>
        <v>3.3358493303365804</v>
      </c>
      <c r="AN185" s="2">
        <f>求节点(节奏总纲!$D$4:$D$113,AG$5:AG$104,$AI185)</f>
        <v>3.3358493303365804</v>
      </c>
    </row>
    <row r="186" spans="35:40" x14ac:dyDescent="0.15">
      <c r="AI186" s="2">
        <v>182</v>
      </c>
      <c r="AJ186" s="2">
        <f>求节点(节奏总纲!$D$4:$D$113,AC$5:AC$104,$AI186)</f>
        <v>3.3384149358462891</v>
      </c>
      <c r="AK186" s="2">
        <f>求节点(节奏总纲!$D$4:$D$113,AD$5:AD$104,$AI186)</f>
        <v>3.3384149358462891</v>
      </c>
      <c r="AL186" s="2">
        <f>求节点(节奏总纲!$D$4:$D$113,AE$5:AE$104,$AI186)</f>
        <v>3.3384149358462891</v>
      </c>
      <c r="AM186" s="2">
        <f>求节点(节奏总纲!$D$4:$D$113,AF$5:AF$104,$AI186)</f>
        <v>3.3384149358462891</v>
      </c>
      <c r="AN186" s="2">
        <f>求节点(节奏总纲!$D$4:$D$113,AG$5:AG$104,$AI186)</f>
        <v>3.3384149358462891</v>
      </c>
    </row>
    <row r="187" spans="35:40" x14ac:dyDescent="0.15">
      <c r="AI187" s="2">
        <v>183</v>
      </c>
      <c r="AJ187" s="2">
        <f>求节点(节奏总纲!$D$4:$D$113,AC$5:AC$104,$AI187)</f>
        <v>3.3409805413559979</v>
      </c>
      <c r="AK187" s="2">
        <f>求节点(节奏总纲!$D$4:$D$113,AD$5:AD$104,$AI187)</f>
        <v>3.3409805413559979</v>
      </c>
      <c r="AL187" s="2">
        <f>求节点(节奏总纲!$D$4:$D$113,AE$5:AE$104,$AI187)</f>
        <v>3.3409805413559979</v>
      </c>
      <c r="AM187" s="2">
        <f>求节点(节奏总纲!$D$4:$D$113,AF$5:AF$104,$AI187)</f>
        <v>3.3409805413559979</v>
      </c>
      <c r="AN187" s="2">
        <f>求节点(节奏总纲!$D$4:$D$113,AG$5:AG$104,$AI187)</f>
        <v>3.3409805413559979</v>
      </c>
    </row>
    <row r="188" spans="35:40" x14ac:dyDescent="0.15">
      <c r="AI188" s="2">
        <v>184</v>
      </c>
      <c r="AJ188" s="2">
        <f>求节点(节奏总纲!$D$4:$D$113,AC$5:AC$104,$AI188)</f>
        <v>3.3435461468657066</v>
      </c>
      <c r="AK188" s="2">
        <f>求节点(节奏总纲!$D$4:$D$113,AD$5:AD$104,$AI188)</f>
        <v>3.3435461468657066</v>
      </c>
      <c r="AL188" s="2">
        <f>求节点(节奏总纲!$D$4:$D$113,AE$5:AE$104,$AI188)</f>
        <v>3.3435461468657066</v>
      </c>
      <c r="AM188" s="2">
        <f>求节点(节奏总纲!$D$4:$D$113,AF$5:AF$104,$AI188)</f>
        <v>3.3435461468657066</v>
      </c>
      <c r="AN188" s="2">
        <f>求节点(节奏总纲!$D$4:$D$113,AG$5:AG$104,$AI188)</f>
        <v>3.3435461468657066</v>
      </c>
    </row>
    <row r="189" spans="35:40" x14ac:dyDescent="0.15">
      <c r="AI189" s="2">
        <v>185</v>
      </c>
      <c r="AJ189" s="2">
        <f>求节点(节奏总纲!$D$4:$D$113,AC$5:AC$104,$AI189)</f>
        <v>3.3461117523754158</v>
      </c>
      <c r="AK189" s="2">
        <f>求节点(节奏总纲!$D$4:$D$113,AD$5:AD$104,$AI189)</f>
        <v>3.3461117523754158</v>
      </c>
      <c r="AL189" s="2">
        <f>求节点(节奏总纲!$D$4:$D$113,AE$5:AE$104,$AI189)</f>
        <v>3.3461117523754158</v>
      </c>
      <c r="AM189" s="2">
        <f>求节点(节奏总纲!$D$4:$D$113,AF$5:AF$104,$AI189)</f>
        <v>3.3461117523754158</v>
      </c>
      <c r="AN189" s="2">
        <f>求节点(节奏总纲!$D$4:$D$113,AG$5:AG$104,$AI189)</f>
        <v>3.3461117523754158</v>
      </c>
    </row>
    <row r="190" spans="35:40" x14ac:dyDescent="0.15">
      <c r="AI190" s="2">
        <v>186</v>
      </c>
      <c r="AJ190" s="2">
        <f>求节点(节奏总纲!$D$4:$D$113,AC$5:AC$104,$AI190)</f>
        <v>3.3486773578851246</v>
      </c>
      <c r="AK190" s="2">
        <f>求节点(节奏总纲!$D$4:$D$113,AD$5:AD$104,$AI190)</f>
        <v>3.3486773578851246</v>
      </c>
      <c r="AL190" s="2">
        <f>求节点(节奏总纲!$D$4:$D$113,AE$5:AE$104,$AI190)</f>
        <v>3.3486773578851246</v>
      </c>
      <c r="AM190" s="2">
        <f>求节点(节奏总纲!$D$4:$D$113,AF$5:AF$104,$AI190)</f>
        <v>3.3486773578851246</v>
      </c>
      <c r="AN190" s="2">
        <f>求节点(节奏总纲!$D$4:$D$113,AG$5:AG$104,$AI190)</f>
        <v>3.3486773578851246</v>
      </c>
    </row>
    <row r="191" spans="35:40" x14ac:dyDescent="0.15">
      <c r="AI191" s="2">
        <v>187</v>
      </c>
      <c r="AJ191" s="2">
        <f>求节点(节奏总纲!$D$4:$D$113,AC$5:AC$104,$AI191)</f>
        <v>3.3512429633948333</v>
      </c>
      <c r="AK191" s="2">
        <f>求节点(节奏总纲!$D$4:$D$113,AD$5:AD$104,$AI191)</f>
        <v>3.3512429633948333</v>
      </c>
      <c r="AL191" s="2">
        <f>求节点(节奏总纲!$D$4:$D$113,AE$5:AE$104,$AI191)</f>
        <v>3.3512429633948333</v>
      </c>
      <c r="AM191" s="2">
        <f>求节点(节奏总纲!$D$4:$D$113,AF$5:AF$104,$AI191)</f>
        <v>3.3512429633948333</v>
      </c>
      <c r="AN191" s="2">
        <f>求节点(节奏总纲!$D$4:$D$113,AG$5:AG$104,$AI191)</f>
        <v>3.3512429633948333</v>
      </c>
    </row>
    <row r="192" spans="35:40" x14ac:dyDescent="0.15">
      <c r="AI192" s="2">
        <v>188</v>
      </c>
      <c r="AJ192" s="2">
        <f>求节点(节奏总纲!$D$4:$D$113,AC$5:AC$104,$AI192)</f>
        <v>3.353808568904542</v>
      </c>
      <c r="AK192" s="2">
        <f>求节点(节奏总纲!$D$4:$D$113,AD$5:AD$104,$AI192)</f>
        <v>3.353808568904542</v>
      </c>
      <c r="AL192" s="2">
        <f>求节点(节奏总纲!$D$4:$D$113,AE$5:AE$104,$AI192)</f>
        <v>3.353808568904542</v>
      </c>
      <c r="AM192" s="2">
        <f>求节点(节奏总纲!$D$4:$D$113,AF$5:AF$104,$AI192)</f>
        <v>3.353808568904542</v>
      </c>
      <c r="AN192" s="2">
        <f>求节点(节奏总纲!$D$4:$D$113,AG$5:AG$104,$AI192)</f>
        <v>3.353808568904542</v>
      </c>
    </row>
    <row r="193" spans="35:40" x14ac:dyDescent="0.15">
      <c r="AI193" s="2">
        <v>189</v>
      </c>
      <c r="AJ193" s="2">
        <f>求节点(节奏总纲!$D$4:$D$113,AC$5:AC$104,$AI193)</f>
        <v>3.3563741744142512</v>
      </c>
      <c r="AK193" s="2">
        <f>求节点(节奏总纲!$D$4:$D$113,AD$5:AD$104,$AI193)</f>
        <v>3.3563741744142512</v>
      </c>
      <c r="AL193" s="2">
        <f>求节点(节奏总纲!$D$4:$D$113,AE$5:AE$104,$AI193)</f>
        <v>3.3563741744142512</v>
      </c>
      <c r="AM193" s="2">
        <f>求节点(节奏总纲!$D$4:$D$113,AF$5:AF$104,$AI193)</f>
        <v>3.3563741744142512</v>
      </c>
      <c r="AN193" s="2">
        <f>求节点(节奏总纲!$D$4:$D$113,AG$5:AG$104,$AI193)</f>
        <v>3.3563741744142512</v>
      </c>
    </row>
    <row r="194" spans="35:40" x14ac:dyDescent="0.15">
      <c r="AI194" s="2">
        <v>190</v>
      </c>
      <c r="AJ194" s="2">
        <f>求节点(节奏总纲!$D$4:$D$113,AC$5:AC$104,$AI194)</f>
        <v>3.35893977992396</v>
      </c>
      <c r="AK194" s="2">
        <f>求节点(节奏总纲!$D$4:$D$113,AD$5:AD$104,$AI194)</f>
        <v>3.35893977992396</v>
      </c>
      <c r="AL194" s="2">
        <f>求节点(节奏总纲!$D$4:$D$113,AE$5:AE$104,$AI194)</f>
        <v>3.35893977992396</v>
      </c>
      <c r="AM194" s="2">
        <f>求节点(节奏总纲!$D$4:$D$113,AF$5:AF$104,$AI194)</f>
        <v>3.35893977992396</v>
      </c>
      <c r="AN194" s="2">
        <f>求节点(节奏总纲!$D$4:$D$113,AG$5:AG$104,$AI194)</f>
        <v>3.35893977992396</v>
      </c>
    </row>
    <row r="195" spans="35:40" x14ac:dyDescent="0.15">
      <c r="AI195" s="2">
        <v>191</v>
      </c>
      <c r="AJ195" s="2">
        <f>求节点(节奏总纲!$D$4:$D$113,AC$5:AC$104,$AI195)</f>
        <v>3.3615053854336687</v>
      </c>
      <c r="AK195" s="2">
        <f>求节点(节奏总纲!$D$4:$D$113,AD$5:AD$104,$AI195)</f>
        <v>3.3615053854336687</v>
      </c>
      <c r="AL195" s="2">
        <f>求节点(节奏总纲!$D$4:$D$113,AE$5:AE$104,$AI195)</f>
        <v>3.3615053854336687</v>
      </c>
      <c r="AM195" s="2">
        <f>求节点(节奏总纲!$D$4:$D$113,AF$5:AF$104,$AI195)</f>
        <v>3.3615053854336687</v>
      </c>
      <c r="AN195" s="2">
        <f>求节点(节奏总纲!$D$4:$D$113,AG$5:AG$104,$AI195)</f>
        <v>3.3615053854336687</v>
      </c>
    </row>
    <row r="196" spans="35:40" x14ac:dyDescent="0.15">
      <c r="AI196" s="2">
        <v>192</v>
      </c>
      <c r="AJ196" s="2">
        <f>求节点(节奏总纲!$D$4:$D$113,AC$5:AC$104,$AI196)</f>
        <v>3.3640709909433775</v>
      </c>
      <c r="AK196" s="2">
        <f>求节点(节奏总纲!$D$4:$D$113,AD$5:AD$104,$AI196)</f>
        <v>3.3640709909433775</v>
      </c>
      <c r="AL196" s="2">
        <f>求节点(节奏总纲!$D$4:$D$113,AE$5:AE$104,$AI196)</f>
        <v>3.3640709909433775</v>
      </c>
      <c r="AM196" s="2">
        <f>求节点(节奏总纲!$D$4:$D$113,AF$5:AF$104,$AI196)</f>
        <v>3.3640709909433775</v>
      </c>
      <c r="AN196" s="2">
        <f>求节点(节奏总纲!$D$4:$D$113,AG$5:AG$104,$AI196)</f>
        <v>3.3640709909433775</v>
      </c>
    </row>
    <row r="197" spans="35:40" x14ac:dyDescent="0.15">
      <c r="AI197" s="2">
        <v>193</v>
      </c>
      <c r="AJ197" s="2">
        <f>求节点(节奏总纲!$D$4:$D$113,AC$5:AC$104,$AI197)</f>
        <v>3.3666365964530867</v>
      </c>
      <c r="AK197" s="2">
        <f>求节点(节奏总纲!$D$4:$D$113,AD$5:AD$104,$AI197)</f>
        <v>3.3666365964530867</v>
      </c>
      <c r="AL197" s="2">
        <f>求节点(节奏总纲!$D$4:$D$113,AE$5:AE$104,$AI197)</f>
        <v>3.3666365964530867</v>
      </c>
      <c r="AM197" s="2">
        <f>求节点(节奏总纲!$D$4:$D$113,AF$5:AF$104,$AI197)</f>
        <v>3.3666365964530867</v>
      </c>
      <c r="AN197" s="2">
        <f>求节点(节奏总纲!$D$4:$D$113,AG$5:AG$104,$AI197)</f>
        <v>3.3666365964530867</v>
      </c>
    </row>
    <row r="198" spans="35:40" x14ac:dyDescent="0.15">
      <c r="AI198" s="2">
        <v>194</v>
      </c>
      <c r="AJ198" s="2">
        <f>求节点(节奏总纲!$D$4:$D$113,AC$5:AC$104,$AI198)</f>
        <v>3.3690324047491607</v>
      </c>
      <c r="AK198" s="2">
        <f>求节点(节奏总纲!$D$4:$D$113,AD$5:AD$104,$AI198)</f>
        <v>3.3690324047491607</v>
      </c>
      <c r="AL198" s="2">
        <f>求节点(节奏总纲!$D$4:$D$113,AE$5:AE$104,$AI198)</f>
        <v>3.3690324047491607</v>
      </c>
      <c r="AM198" s="2">
        <f>求节点(节奏总纲!$D$4:$D$113,AF$5:AF$104,$AI198)</f>
        <v>3.3690324047491607</v>
      </c>
      <c r="AN198" s="2">
        <f>求节点(节奏总纲!$D$4:$D$113,AG$5:AG$104,$AI198)</f>
        <v>3.3690324047491607</v>
      </c>
    </row>
    <row r="199" spans="35:40" x14ac:dyDescent="0.15">
      <c r="AI199" s="2">
        <v>195</v>
      </c>
      <c r="AJ199" s="2">
        <f>求节点(节奏总纲!$D$4:$D$113,AC$5:AC$104,$AI199)</f>
        <v>3.3714261993329875</v>
      </c>
      <c r="AK199" s="2">
        <f>求节点(节奏总纲!$D$4:$D$113,AD$5:AD$104,$AI199)</f>
        <v>3.3714261993329875</v>
      </c>
      <c r="AL199" s="2">
        <f>求节点(节奏总纲!$D$4:$D$113,AE$5:AE$104,$AI199)</f>
        <v>3.3714261993329875</v>
      </c>
      <c r="AM199" s="2">
        <f>求节点(节奏总纲!$D$4:$D$113,AF$5:AF$104,$AI199)</f>
        <v>3.3714261993329875</v>
      </c>
      <c r="AN199" s="2">
        <f>求节点(节奏总纲!$D$4:$D$113,AG$5:AG$104,$AI199)</f>
        <v>3.3714261993329875</v>
      </c>
    </row>
    <row r="200" spans="35:40" x14ac:dyDescent="0.15">
      <c r="AI200" s="2">
        <v>196</v>
      </c>
      <c r="AJ200" s="2">
        <f>求节点(节奏总纲!$D$4:$D$113,AC$5:AC$104,$AI200)</f>
        <v>3.3738199939168148</v>
      </c>
      <c r="AK200" s="2">
        <f>求节点(节奏总纲!$D$4:$D$113,AD$5:AD$104,$AI200)</f>
        <v>3.3738199939168148</v>
      </c>
      <c r="AL200" s="2">
        <f>求节点(节奏总纲!$D$4:$D$113,AE$5:AE$104,$AI200)</f>
        <v>3.3738199939168148</v>
      </c>
      <c r="AM200" s="2">
        <f>求节点(节奏总纲!$D$4:$D$113,AF$5:AF$104,$AI200)</f>
        <v>3.3738199939168148</v>
      </c>
      <c r="AN200" s="2">
        <f>求节点(节奏总纲!$D$4:$D$113,AG$5:AG$104,$AI200)</f>
        <v>3.3738199939168148</v>
      </c>
    </row>
    <row r="201" spans="35:40" x14ac:dyDescent="0.15">
      <c r="AI201" s="2">
        <v>197</v>
      </c>
      <c r="AJ201" s="2">
        <f>求节点(节奏总纲!$D$4:$D$113,AC$5:AC$104,$AI201)</f>
        <v>3.3762137885006416</v>
      </c>
      <c r="AK201" s="2">
        <f>求节点(节奏总纲!$D$4:$D$113,AD$5:AD$104,$AI201)</f>
        <v>3.3762137885006416</v>
      </c>
      <c r="AL201" s="2">
        <f>求节点(节奏总纲!$D$4:$D$113,AE$5:AE$104,$AI201)</f>
        <v>3.3762137885006416</v>
      </c>
      <c r="AM201" s="2">
        <f>求节点(节奏总纲!$D$4:$D$113,AF$5:AF$104,$AI201)</f>
        <v>3.3762137885006416</v>
      </c>
      <c r="AN201" s="2">
        <f>求节点(节奏总纲!$D$4:$D$113,AG$5:AG$104,$AI201)</f>
        <v>3.3762137885006416</v>
      </c>
    </row>
    <row r="202" spans="35:40" x14ac:dyDescent="0.15">
      <c r="AI202" s="2">
        <v>198</v>
      </c>
      <c r="AJ202" s="2">
        <f>求节点(节奏总纲!$D$4:$D$113,AC$5:AC$104,$AI202)</f>
        <v>3.3786075830844684</v>
      </c>
      <c r="AK202" s="2">
        <f>求节点(节奏总纲!$D$4:$D$113,AD$5:AD$104,$AI202)</f>
        <v>3.3786075830844684</v>
      </c>
      <c r="AL202" s="2">
        <f>求节点(节奏总纲!$D$4:$D$113,AE$5:AE$104,$AI202)</f>
        <v>3.3786075830844684</v>
      </c>
      <c r="AM202" s="2">
        <f>求节点(节奏总纲!$D$4:$D$113,AF$5:AF$104,$AI202)</f>
        <v>3.3786075830844684</v>
      </c>
      <c r="AN202" s="2">
        <f>求节点(节奏总纲!$D$4:$D$113,AG$5:AG$104,$AI202)</f>
        <v>3.3786075830844684</v>
      </c>
    </row>
    <row r="203" spans="35:40" x14ac:dyDescent="0.15">
      <c r="AI203" s="2">
        <v>199</v>
      </c>
      <c r="AJ203" s="2">
        <f>求节点(节奏总纲!$D$4:$D$113,AC$5:AC$104,$AI203)</f>
        <v>3.3810013776682957</v>
      </c>
      <c r="AK203" s="2">
        <f>求节点(节奏总纲!$D$4:$D$113,AD$5:AD$104,$AI203)</f>
        <v>3.3810013776682957</v>
      </c>
      <c r="AL203" s="2">
        <f>求节点(节奏总纲!$D$4:$D$113,AE$5:AE$104,$AI203)</f>
        <v>3.3810013776682957</v>
      </c>
      <c r="AM203" s="2">
        <f>求节点(节奏总纲!$D$4:$D$113,AF$5:AF$104,$AI203)</f>
        <v>3.3810013776682957</v>
      </c>
      <c r="AN203" s="2">
        <f>求节点(节奏总纲!$D$4:$D$113,AG$5:AG$104,$AI203)</f>
        <v>3.3810013776682957</v>
      </c>
    </row>
    <row r="204" spans="35:40" x14ac:dyDescent="0.15">
      <c r="AI204" s="2">
        <v>200</v>
      </c>
      <c r="AJ204" s="2">
        <f>求节点(节奏总纲!$D$4:$D$113,AC$5:AC$104,$AI204)</f>
        <v>3.3833951722521225</v>
      </c>
      <c r="AK204" s="2">
        <f>求节点(节奏总纲!$D$4:$D$113,AD$5:AD$104,$AI204)</f>
        <v>3.3833951722521225</v>
      </c>
      <c r="AL204" s="2">
        <f>求节点(节奏总纲!$D$4:$D$113,AE$5:AE$104,$AI204)</f>
        <v>3.3833951722521225</v>
      </c>
      <c r="AM204" s="2">
        <f>求节点(节奏总纲!$D$4:$D$113,AF$5:AF$104,$AI204)</f>
        <v>3.3833951722521225</v>
      </c>
      <c r="AN204" s="2">
        <f>求节点(节奏总纲!$D$4:$D$113,AG$5:AG$104,$AI204)</f>
        <v>3.3833951722521225</v>
      </c>
    </row>
    <row r="205" spans="35:40" x14ac:dyDescent="0.15">
      <c r="AI205" s="2">
        <v>201</v>
      </c>
      <c r="AJ205" s="2">
        <f>求节点(节奏总纲!$D$4:$D$113,AC$5:AC$104,$AI205)</f>
        <v>3.3857889668359493</v>
      </c>
      <c r="AK205" s="2">
        <f>求节点(节奏总纲!$D$4:$D$113,AD$5:AD$104,$AI205)</f>
        <v>3.3857889668359493</v>
      </c>
      <c r="AL205" s="2">
        <f>求节点(节奏总纲!$D$4:$D$113,AE$5:AE$104,$AI205)</f>
        <v>3.3857889668359493</v>
      </c>
      <c r="AM205" s="2">
        <f>求节点(节奏总纲!$D$4:$D$113,AF$5:AF$104,$AI205)</f>
        <v>3.3857889668359493</v>
      </c>
      <c r="AN205" s="2">
        <f>求节点(节奏总纲!$D$4:$D$113,AG$5:AG$104,$AI205)</f>
        <v>3.3857889668359493</v>
      </c>
    </row>
    <row r="206" spans="35:40" x14ac:dyDescent="0.15">
      <c r="AI206" s="2">
        <v>202</v>
      </c>
      <c r="AJ206" s="2">
        <f>求节点(节奏总纲!$D$4:$D$113,AC$5:AC$104,$AI206)</f>
        <v>3.3881827614197766</v>
      </c>
      <c r="AK206" s="2">
        <f>求节点(节奏总纲!$D$4:$D$113,AD$5:AD$104,$AI206)</f>
        <v>3.3881827614197766</v>
      </c>
      <c r="AL206" s="2">
        <f>求节点(节奏总纲!$D$4:$D$113,AE$5:AE$104,$AI206)</f>
        <v>3.3881827614197766</v>
      </c>
      <c r="AM206" s="2">
        <f>求节点(节奏总纲!$D$4:$D$113,AF$5:AF$104,$AI206)</f>
        <v>3.3881827614197766</v>
      </c>
      <c r="AN206" s="2">
        <f>求节点(节奏总纲!$D$4:$D$113,AG$5:AG$104,$AI206)</f>
        <v>3.3881827614197766</v>
      </c>
    </row>
    <row r="207" spans="35:40" x14ac:dyDescent="0.15">
      <c r="AI207" s="2">
        <v>203</v>
      </c>
      <c r="AJ207" s="2">
        <f>求节点(节奏总纲!$D$4:$D$113,AC$5:AC$104,$AI207)</f>
        <v>3.3905765560036034</v>
      </c>
      <c r="AK207" s="2">
        <f>求节点(节奏总纲!$D$4:$D$113,AD$5:AD$104,$AI207)</f>
        <v>3.3905765560036034</v>
      </c>
      <c r="AL207" s="2">
        <f>求节点(节奏总纲!$D$4:$D$113,AE$5:AE$104,$AI207)</f>
        <v>3.3905765560036034</v>
      </c>
      <c r="AM207" s="2">
        <f>求节点(节奏总纲!$D$4:$D$113,AF$5:AF$104,$AI207)</f>
        <v>3.3905765560036034</v>
      </c>
      <c r="AN207" s="2">
        <f>求节点(节奏总纲!$D$4:$D$113,AG$5:AG$104,$AI207)</f>
        <v>3.3905765560036034</v>
      </c>
    </row>
    <row r="208" spans="35:40" x14ac:dyDescent="0.15">
      <c r="AI208" s="2">
        <v>204</v>
      </c>
      <c r="AJ208" s="2">
        <f>求节点(节奏总纲!$D$4:$D$113,AC$5:AC$104,$AI208)</f>
        <v>3.3929703505874302</v>
      </c>
      <c r="AK208" s="2">
        <f>求节点(节奏总纲!$D$4:$D$113,AD$5:AD$104,$AI208)</f>
        <v>3.3929703505874302</v>
      </c>
      <c r="AL208" s="2">
        <f>求节点(节奏总纲!$D$4:$D$113,AE$5:AE$104,$AI208)</f>
        <v>3.3929703505874302</v>
      </c>
      <c r="AM208" s="2">
        <f>求节点(节奏总纲!$D$4:$D$113,AF$5:AF$104,$AI208)</f>
        <v>3.3929703505874302</v>
      </c>
      <c r="AN208" s="2">
        <f>求节点(节奏总纲!$D$4:$D$113,AG$5:AG$104,$AI208)</f>
        <v>3.3929703505874302</v>
      </c>
    </row>
    <row r="209" spans="35:40" x14ac:dyDescent="0.15">
      <c r="AI209" s="2">
        <v>205</v>
      </c>
      <c r="AJ209" s="2">
        <f>求节点(节奏总纲!$D$4:$D$113,AC$5:AC$104,$AI209)</f>
        <v>3.3953641451712575</v>
      </c>
      <c r="AK209" s="2">
        <f>求节点(节奏总纲!$D$4:$D$113,AD$5:AD$104,$AI209)</f>
        <v>3.3953641451712575</v>
      </c>
      <c r="AL209" s="2">
        <f>求节点(节奏总纲!$D$4:$D$113,AE$5:AE$104,$AI209)</f>
        <v>3.3953641451712575</v>
      </c>
      <c r="AM209" s="2">
        <f>求节点(节奏总纲!$D$4:$D$113,AF$5:AF$104,$AI209)</f>
        <v>3.3953641451712575</v>
      </c>
      <c r="AN209" s="2">
        <f>求节点(节奏总纲!$D$4:$D$113,AG$5:AG$104,$AI209)</f>
        <v>3.3953641451712575</v>
      </c>
    </row>
    <row r="210" spans="35:40" x14ac:dyDescent="0.15">
      <c r="AI210" s="2">
        <v>206</v>
      </c>
      <c r="AJ210" s="2">
        <f>求节点(节奏总纲!$D$4:$D$113,AC$5:AC$104,$AI210)</f>
        <v>3.3977579397550843</v>
      </c>
      <c r="AK210" s="2">
        <f>求节点(节奏总纲!$D$4:$D$113,AD$5:AD$104,$AI210)</f>
        <v>3.3977579397550843</v>
      </c>
      <c r="AL210" s="2">
        <f>求节点(节奏总纲!$D$4:$D$113,AE$5:AE$104,$AI210)</f>
        <v>3.3977579397550843</v>
      </c>
      <c r="AM210" s="2">
        <f>求节点(节奏总纲!$D$4:$D$113,AF$5:AF$104,$AI210)</f>
        <v>3.3977579397550843</v>
      </c>
      <c r="AN210" s="2">
        <f>求节点(节奏总纲!$D$4:$D$113,AG$5:AG$104,$AI210)</f>
        <v>3.3977579397550843</v>
      </c>
    </row>
    <row r="211" spans="35:40" x14ac:dyDescent="0.15">
      <c r="AI211" s="2">
        <v>207</v>
      </c>
      <c r="AJ211" s="2">
        <f>求节点(节奏总纲!$D$4:$D$113,AC$5:AC$104,$AI211)</f>
        <v>3.4001415731441531</v>
      </c>
      <c r="AK211" s="2">
        <f>求节点(节奏总纲!$D$4:$D$113,AD$5:AD$104,$AI211)</f>
        <v>3.4001415731441531</v>
      </c>
      <c r="AL211" s="2">
        <f>求节点(节奏总纲!$D$4:$D$113,AE$5:AE$104,$AI211)</f>
        <v>3.4001415731441531</v>
      </c>
      <c r="AM211" s="2">
        <f>求节点(节奏总纲!$D$4:$D$113,AF$5:AF$104,$AI211)</f>
        <v>3.4001415731441531</v>
      </c>
      <c r="AN211" s="2">
        <f>求节点(节奏总纲!$D$4:$D$113,AG$5:AG$104,$AI211)</f>
        <v>3.4001415731441531</v>
      </c>
    </row>
    <row r="212" spans="35:40" x14ac:dyDescent="0.15">
      <c r="AI212" s="2">
        <v>208</v>
      </c>
      <c r="AJ212" s="2">
        <f>求节点(节奏总纲!$D$4:$D$113,AC$5:AC$104,$AI212)</f>
        <v>3.402375062465826</v>
      </c>
      <c r="AK212" s="2">
        <f>求节点(节奏总纲!$D$4:$D$113,AD$5:AD$104,$AI212)</f>
        <v>3.402375062465826</v>
      </c>
      <c r="AL212" s="2">
        <f>求节点(节奏总纲!$D$4:$D$113,AE$5:AE$104,$AI212)</f>
        <v>3.402375062465826</v>
      </c>
      <c r="AM212" s="2">
        <f>求节点(节奏总纲!$D$4:$D$113,AF$5:AF$104,$AI212)</f>
        <v>3.402375062465826</v>
      </c>
      <c r="AN212" s="2">
        <f>求节点(节奏总纲!$D$4:$D$113,AG$5:AG$104,$AI212)</f>
        <v>3.402375062465826</v>
      </c>
    </row>
    <row r="213" spans="35:40" x14ac:dyDescent="0.15">
      <c r="AI213" s="2">
        <v>209</v>
      </c>
      <c r="AJ213" s="2">
        <f>求节点(节奏总纲!$D$4:$D$113,AC$5:AC$104,$AI213)</f>
        <v>3.4046085517874984</v>
      </c>
      <c r="AK213" s="2">
        <f>求节点(节奏总纲!$D$4:$D$113,AD$5:AD$104,$AI213)</f>
        <v>3.4046085517874984</v>
      </c>
      <c r="AL213" s="2">
        <f>求节点(节奏总纲!$D$4:$D$113,AE$5:AE$104,$AI213)</f>
        <v>3.4046085517874984</v>
      </c>
      <c r="AM213" s="2">
        <f>求节点(节奏总纲!$D$4:$D$113,AF$5:AF$104,$AI213)</f>
        <v>3.4046085517874984</v>
      </c>
      <c r="AN213" s="2">
        <f>求节点(节奏总纲!$D$4:$D$113,AG$5:AG$104,$AI213)</f>
        <v>3.4046085517874984</v>
      </c>
    </row>
    <row r="214" spans="35:40" x14ac:dyDescent="0.15">
      <c r="AI214" s="2">
        <v>210</v>
      </c>
      <c r="AJ214" s="2">
        <f>求节点(节奏总纲!$D$4:$D$113,AC$5:AC$104,$AI214)</f>
        <v>3.4068420411091713</v>
      </c>
      <c r="AK214" s="2">
        <f>求节点(节奏总纲!$D$4:$D$113,AD$5:AD$104,$AI214)</f>
        <v>3.4068420411091713</v>
      </c>
      <c r="AL214" s="2">
        <f>求节点(节奏总纲!$D$4:$D$113,AE$5:AE$104,$AI214)</f>
        <v>3.4068420411091713</v>
      </c>
      <c r="AM214" s="2">
        <f>求节点(节奏总纲!$D$4:$D$113,AF$5:AF$104,$AI214)</f>
        <v>3.4068420411091713</v>
      </c>
      <c r="AN214" s="2">
        <f>求节点(节奏总纲!$D$4:$D$113,AG$5:AG$104,$AI214)</f>
        <v>3.4068420411091713</v>
      </c>
    </row>
    <row r="215" spans="35:40" x14ac:dyDescent="0.15">
      <c r="AI215" s="2">
        <v>211</v>
      </c>
      <c r="AJ215" s="2">
        <f>求节点(节奏总纲!$D$4:$D$113,AC$5:AC$104,$AI215)</f>
        <v>3.4090755304308438</v>
      </c>
      <c r="AK215" s="2">
        <f>求节点(节奏总纲!$D$4:$D$113,AD$5:AD$104,$AI215)</f>
        <v>3.4090755304308438</v>
      </c>
      <c r="AL215" s="2">
        <f>求节点(节奏总纲!$D$4:$D$113,AE$5:AE$104,$AI215)</f>
        <v>3.4090755304308438</v>
      </c>
      <c r="AM215" s="2">
        <f>求节点(节奏总纲!$D$4:$D$113,AF$5:AF$104,$AI215)</f>
        <v>3.4090755304308438</v>
      </c>
      <c r="AN215" s="2">
        <f>求节点(节奏总纲!$D$4:$D$113,AG$5:AG$104,$AI215)</f>
        <v>3.4090755304308438</v>
      </c>
    </row>
    <row r="216" spans="35:40" x14ac:dyDescent="0.15">
      <c r="AI216" s="2">
        <v>212</v>
      </c>
      <c r="AJ216" s="2">
        <f>求节点(节奏总纲!$D$4:$D$113,AC$5:AC$104,$AI216)</f>
        <v>3.4113090197525167</v>
      </c>
      <c r="AK216" s="2">
        <f>求节点(节奏总纲!$D$4:$D$113,AD$5:AD$104,$AI216)</f>
        <v>3.4113090197525167</v>
      </c>
      <c r="AL216" s="2">
        <f>求节点(节奏总纲!$D$4:$D$113,AE$5:AE$104,$AI216)</f>
        <v>3.4113090197525167</v>
      </c>
      <c r="AM216" s="2">
        <f>求节点(节奏总纲!$D$4:$D$113,AF$5:AF$104,$AI216)</f>
        <v>3.4113090197525167</v>
      </c>
      <c r="AN216" s="2">
        <f>求节点(节奏总纲!$D$4:$D$113,AG$5:AG$104,$AI216)</f>
        <v>3.4113090197525167</v>
      </c>
    </row>
    <row r="217" spans="35:40" x14ac:dyDescent="0.15">
      <c r="AI217" s="2">
        <v>213</v>
      </c>
      <c r="AJ217" s="2">
        <f>求节点(节奏总纲!$D$4:$D$113,AC$5:AC$104,$AI217)</f>
        <v>3.4135425090741891</v>
      </c>
      <c r="AK217" s="2">
        <f>求节点(节奏总纲!$D$4:$D$113,AD$5:AD$104,$AI217)</f>
        <v>3.4135425090741891</v>
      </c>
      <c r="AL217" s="2">
        <f>求节点(节奏总纲!$D$4:$D$113,AE$5:AE$104,$AI217)</f>
        <v>3.4135425090741891</v>
      </c>
      <c r="AM217" s="2">
        <f>求节点(节奏总纲!$D$4:$D$113,AF$5:AF$104,$AI217)</f>
        <v>3.4135425090741891</v>
      </c>
      <c r="AN217" s="2">
        <f>求节点(节奏总纲!$D$4:$D$113,AG$5:AG$104,$AI217)</f>
        <v>3.4135425090741891</v>
      </c>
    </row>
    <row r="218" spans="35:40" x14ac:dyDescent="0.15">
      <c r="AI218" s="2">
        <v>214</v>
      </c>
      <c r="AJ218" s="2">
        <f>求节点(节奏总纲!$D$4:$D$113,AC$5:AC$104,$AI218)</f>
        <v>3.415775998395862</v>
      </c>
      <c r="AK218" s="2">
        <f>求节点(节奏总纲!$D$4:$D$113,AD$5:AD$104,$AI218)</f>
        <v>3.415775998395862</v>
      </c>
      <c r="AL218" s="2">
        <f>求节点(节奏总纲!$D$4:$D$113,AE$5:AE$104,$AI218)</f>
        <v>3.415775998395862</v>
      </c>
      <c r="AM218" s="2">
        <f>求节点(节奏总纲!$D$4:$D$113,AF$5:AF$104,$AI218)</f>
        <v>3.415775998395862</v>
      </c>
      <c r="AN218" s="2">
        <f>求节点(节奏总纲!$D$4:$D$113,AG$5:AG$104,$AI218)</f>
        <v>3.415775998395862</v>
      </c>
    </row>
    <row r="219" spans="35:40" x14ac:dyDescent="0.15">
      <c r="AI219" s="2">
        <v>215</v>
      </c>
      <c r="AJ219" s="2">
        <f>求节点(节奏总纲!$D$4:$D$113,AC$5:AC$104,$AI219)</f>
        <v>3.4180094877175344</v>
      </c>
      <c r="AK219" s="2">
        <f>求节点(节奏总纲!$D$4:$D$113,AD$5:AD$104,$AI219)</f>
        <v>3.4180094877175344</v>
      </c>
      <c r="AL219" s="2">
        <f>求节点(节奏总纲!$D$4:$D$113,AE$5:AE$104,$AI219)</f>
        <v>3.4180094877175344</v>
      </c>
      <c r="AM219" s="2">
        <f>求节点(节奏总纲!$D$4:$D$113,AF$5:AF$104,$AI219)</f>
        <v>3.4180094877175344</v>
      </c>
      <c r="AN219" s="2">
        <f>求节点(节奏总纲!$D$4:$D$113,AG$5:AG$104,$AI219)</f>
        <v>3.4180094877175344</v>
      </c>
    </row>
    <row r="220" spans="35:40" x14ac:dyDescent="0.15">
      <c r="AI220" s="2">
        <v>216</v>
      </c>
      <c r="AJ220" s="2">
        <f>求节点(节奏总纲!$D$4:$D$113,AC$5:AC$104,$AI220)</f>
        <v>3.4202429770392073</v>
      </c>
      <c r="AK220" s="2">
        <f>求节点(节奏总纲!$D$4:$D$113,AD$5:AD$104,$AI220)</f>
        <v>3.4202429770392073</v>
      </c>
      <c r="AL220" s="2">
        <f>求节点(节奏总纲!$D$4:$D$113,AE$5:AE$104,$AI220)</f>
        <v>3.4202429770392073</v>
      </c>
      <c r="AM220" s="2">
        <f>求节点(节奏总纲!$D$4:$D$113,AF$5:AF$104,$AI220)</f>
        <v>3.4202429770392073</v>
      </c>
      <c r="AN220" s="2">
        <f>求节点(节奏总纲!$D$4:$D$113,AG$5:AG$104,$AI220)</f>
        <v>3.4202429770392073</v>
      </c>
    </row>
    <row r="221" spans="35:40" x14ac:dyDescent="0.15">
      <c r="AI221" s="2">
        <v>217</v>
      </c>
      <c r="AJ221" s="2">
        <f>求节点(节奏总纲!$D$4:$D$113,AC$5:AC$104,$AI221)</f>
        <v>3.4224764663608802</v>
      </c>
      <c r="AK221" s="2">
        <f>求节点(节奏总纲!$D$4:$D$113,AD$5:AD$104,$AI221)</f>
        <v>3.4224764663608802</v>
      </c>
      <c r="AL221" s="2">
        <f>求节点(节奏总纲!$D$4:$D$113,AE$5:AE$104,$AI221)</f>
        <v>3.4224764663608802</v>
      </c>
      <c r="AM221" s="2">
        <f>求节点(节奏总纲!$D$4:$D$113,AF$5:AF$104,$AI221)</f>
        <v>3.4224764663608802</v>
      </c>
      <c r="AN221" s="2">
        <f>求节点(节奏总纲!$D$4:$D$113,AG$5:AG$104,$AI221)</f>
        <v>3.4224764663608802</v>
      </c>
    </row>
    <row r="222" spans="35:40" x14ac:dyDescent="0.15">
      <c r="AI222" s="2">
        <v>218</v>
      </c>
      <c r="AJ222" s="2">
        <f>求节点(节奏总纲!$D$4:$D$113,AC$5:AC$104,$AI222)</f>
        <v>3.4247099556825527</v>
      </c>
      <c r="AK222" s="2">
        <f>求节点(节奏总纲!$D$4:$D$113,AD$5:AD$104,$AI222)</f>
        <v>3.4247099556825527</v>
      </c>
      <c r="AL222" s="2">
        <f>求节点(节奏总纲!$D$4:$D$113,AE$5:AE$104,$AI222)</f>
        <v>3.4247099556825527</v>
      </c>
      <c r="AM222" s="2">
        <f>求节点(节奏总纲!$D$4:$D$113,AF$5:AF$104,$AI222)</f>
        <v>3.4247099556825527</v>
      </c>
      <c r="AN222" s="2">
        <f>求节点(节奏总纲!$D$4:$D$113,AG$5:AG$104,$AI222)</f>
        <v>3.4247099556825527</v>
      </c>
    </row>
    <row r="223" spans="35:40" x14ac:dyDescent="0.15">
      <c r="AI223" s="2">
        <v>219</v>
      </c>
      <c r="AJ223" s="2">
        <f>求节点(节奏总纲!$D$4:$D$113,AC$5:AC$104,$AI223)</f>
        <v>3.4269434450042255</v>
      </c>
      <c r="AK223" s="2">
        <f>求节点(节奏总纲!$D$4:$D$113,AD$5:AD$104,$AI223)</f>
        <v>3.4269434450042255</v>
      </c>
      <c r="AL223" s="2">
        <f>求节点(节奏总纲!$D$4:$D$113,AE$5:AE$104,$AI223)</f>
        <v>3.4269434450042255</v>
      </c>
      <c r="AM223" s="2">
        <f>求节点(节奏总纲!$D$4:$D$113,AF$5:AF$104,$AI223)</f>
        <v>3.4269434450042255</v>
      </c>
      <c r="AN223" s="2">
        <f>求节点(节奏总纲!$D$4:$D$113,AG$5:AG$104,$AI223)</f>
        <v>3.4269434450042255</v>
      </c>
    </row>
    <row r="224" spans="35:40" x14ac:dyDescent="0.15">
      <c r="AI224" s="2">
        <v>220</v>
      </c>
      <c r="AJ224" s="2">
        <f>求节点(节奏总纲!$D$4:$D$113,AC$5:AC$104,$AI224)</f>
        <v>3.429176934325898</v>
      </c>
      <c r="AK224" s="2">
        <f>求节点(节奏总纲!$D$4:$D$113,AD$5:AD$104,$AI224)</f>
        <v>3.429176934325898</v>
      </c>
      <c r="AL224" s="2">
        <f>求节点(节奏总纲!$D$4:$D$113,AE$5:AE$104,$AI224)</f>
        <v>3.429176934325898</v>
      </c>
      <c r="AM224" s="2">
        <f>求节点(节奏总纲!$D$4:$D$113,AF$5:AF$104,$AI224)</f>
        <v>3.429176934325898</v>
      </c>
      <c r="AN224" s="2">
        <f>求节点(节奏总纲!$D$4:$D$113,AG$5:AG$104,$AI224)</f>
        <v>3.429176934325898</v>
      </c>
    </row>
    <row r="225" spans="35:40" x14ac:dyDescent="0.15">
      <c r="AI225" s="2">
        <v>221</v>
      </c>
      <c r="AJ225" s="2">
        <f>求节点(节奏总纲!$D$4:$D$113,AC$5:AC$104,$AI225)</f>
        <v>3.4314104236475709</v>
      </c>
      <c r="AK225" s="2">
        <f>求节点(节奏总纲!$D$4:$D$113,AD$5:AD$104,$AI225)</f>
        <v>3.4314104236475709</v>
      </c>
      <c r="AL225" s="2">
        <f>求节点(节奏总纲!$D$4:$D$113,AE$5:AE$104,$AI225)</f>
        <v>3.4314104236475709</v>
      </c>
      <c r="AM225" s="2">
        <f>求节点(节奏总纲!$D$4:$D$113,AF$5:AF$104,$AI225)</f>
        <v>3.4314104236475709</v>
      </c>
      <c r="AN225" s="2">
        <f>求节点(节奏总纲!$D$4:$D$113,AG$5:AG$104,$AI225)</f>
        <v>3.4314104236475709</v>
      </c>
    </row>
    <row r="226" spans="35:40" x14ac:dyDescent="0.15">
      <c r="AI226" s="2">
        <v>222</v>
      </c>
      <c r="AJ226" s="2">
        <f>求节点(节奏总纲!$D$4:$D$113,AC$5:AC$104,$AI226)</f>
        <v>3.4336231143801368</v>
      </c>
      <c r="AK226" s="2">
        <f>求节点(节奏总纲!$D$4:$D$113,AD$5:AD$104,$AI226)</f>
        <v>3.4336231143801368</v>
      </c>
      <c r="AL226" s="2">
        <f>求节点(节奏总纲!$D$4:$D$113,AE$5:AE$104,$AI226)</f>
        <v>3.4336231143801368</v>
      </c>
      <c r="AM226" s="2">
        <f>求节点(节奏总纲!$D$4:$D$113,AF$5:AF$104,$AI226)</f>
        <v>3.4336231143801368</v>
      </c>
      <c r="AN226" s="2">
        <f>求节点(节奏总纲!$D$4:$D$113,AG$5:AG$104,$AI226)</f>
        <v>3.4336231143801368</v>
      </c>
    </row>
    <row r="227" spans="35:40" x14ac:dyDescent="0.15">
      <c r="AI227" s="2">
        <v>223</v>
      </c>
      <c r="AJ227" s="2">
        <f>求节点(节奏总纲!$D$4:$D$113,AC$5:AC$104,$AI227)</f>
        <v>3.4357070336035025</v>
      </c>
      <c r="AK227" s="2">
        <f>求节点(节奏总纲!$D$4:$D$113,AD$5:AD$104,$AI227)</f>
        <v>3.4357070336035025</v>
      </c>
      <c r="AL227" s="2">
        <f>求节点(节奏总纲!$D$4:$D$113,AE$5:AE$104,$AI227)</f>
        <v>3.4357070336035025</v>
      </c>
      <c r="AM227" s="2">
        <f>求节点(节奏总纲!$D$4:$D$113,AF$5:AF$104,$AI227)</f>
        <v>3.4357070336035025</v>
      </c>
      <c r="AN227" s="2">
        <f>求节点(节奏总纲!$D$4:$D$113,AG$5:AG$104,$AI227)</f>
        <v>3.4357070336035025</v>
      </c>
    </row>
    <row r="228" spans="35:40" x14ac:dyDescent="0.15">
      <c r="AI228" s="2">
        <v>224</v>
      </c>
      <c r="AJ228" s="2">
        <f>求节点(节奏总纲!$D$4:$D$113,AC$5:AC$104,$AI228)</f>
        <v>3.4377909528268682</v>
      </c>
      <c r="AK228" s="2">
        <f>求节点(节奏总纲!$D$4:$D$113,AD$5:AD$104,$AI228)</f>
        <v>3.4377909528268682</v>
      </c>
      <c r="AL228" s="2">
        <f>求节点(节奏总纲!$D$4:$D$113,AE$5:AE$104,$AI228)</f>
        <v>3.4377909528268682</v>
      </c>
      <c r="AM228" s="2">
        <f>求节点(节奏总纲!$D$4:$D$113,AF$5:AF$104,$AI228)</f>
        <v>3.4377909528268682</v>
      </c>
      <c r="AN228" s="2">
        <f>求节点(节奏总纲!$D$4:$D$113,AG$5:AG$104,$AI228)</f>
        <v>3.4377909528268682</v>
      </c>
    </row>
    <row r="229" spans="35:40" x14ac:dyDescent="0.15">
      <c r="AI229" s="2">
        <v>225</v>
      </c>
      <c r="AJ229" s="2">
        <f>求节点(节奏总纲!$D$4:$D$113,AC$5:AC$104,$AI229)</f>
        <v>3.4398748720502343</v>
      </c>
      <c r="AK229" s="2">
        <f>求节点(节奏总纲!$D$4:$D$113,AD$5:AD$104,$AI229)</f>
        <v>3.4398748720502343</v>
      </c>
      <c r="AL229" s="2">
        <f>求节点(节奏总纲!$D$4:$D$113,AE$5:AE$104,$AI229)</f>
        <v>3.4398748720502343</v>
      </c>
      <c r="AM229" s="2">
        <f>求节点(节奏总纲!$D$4:$D$113,AF$5:AF$104,$AI229)</f>
        <v>3.4398748720502343</v>
      </c>
      <c r="AN229" s="2">
        <f>求节点(节奏总纲!$D$4:$D$113,AG$5:AG$104,$AI229)</f>
        <v>3.4398748720502343</v>
      </c>
    </row>
    <row r="230" spans="35:40" x14ac:dyDescent="0.15">
      <c r="AI230" s="2">
        <v>226</v>
      </c>
      <c r="AJ230" s="2">
        <f>求节点(节奏总纲!$D$4:$D$113,AC$5:AC$104,$AI230)</f>
        <v>3.4419587912736</v>
      </c>
      <c r="AK230" s="2">
        <f>求节点(节奏总纲!$D$4:$D$113,AD$5:AD$104,$AI230)</f>
        <v>3.4419587912736</v>
      </c>
      <c r="AL230" s="2">
        <f>求节点(节奏总纲!$D$4:$D$113,AE$5:AE$104,$AI230)</f>
        <v>3.4419587912736</v>
      </c>
      <c r="AM230" s="2">
        <f>求节点(节奏总纲!$D$4:$D$113,AF$5:AF$104,$AI230)</f>
        <v>3.4419587912736</v>
      </c>
      <c r="AN230" s="2">
        <f>求节点(节奏总纲!$D$4:$D$113,AG$5:AG$104,$AI230)</f>
        <v>3.4419587912736</v>
      </c>
    </row>
    <row r="231" spans="35:40" x14ac:dyDescent="0.15">
      <c r="AI231" s="2">
        <v>227</v>
      </c>
      <c r="AJ231" s="2">
        <f>求节点(节奏总纲!$D$4:$D$113,AC$5:AC$104,$AI231)</f>
        <v>3.4440427104969658</v>
      </c>
      <c r="AK231" s="2">
        <f>求节点(节奏总纲!$D$4:$D$113,AD$5:AD$104,$AI231)</f>
        <v>3.4440427104969658</v>
      </c>
      <c r="AL231" s="2">
        <f>求节点(节奏总纲!$D$4:$D$113,AE$5:AE$104,$AI231)</f>
        <v>3.4440427104969658</v>
      </c>
      <c r="AM231" s="2">
        <f>求节点(节奏总纲!$D$4:$D$113,AF$5:AF$104,$AI231)</f>
        <v>3.4440427104969658</v>
      </c>
      <c r="AN231" s="2">
        <f>求节点(节奏总纲!$D$4:$D$113,AG$5:AG$104,$AI231)</f>
        <v>3.4440427104969658</v>
      </c>
    </row>
    <row r="232" spans="35:40" x14ac:dyDescent="0.15">
      <c r="AI232" s="2">
        <v>228</v>
      </c>
      <c r="AJ232" s="2">
        <f>求节点(节奏总纲!$D$4:$D$113,AC$5:AC$104,$AI232)</f>
        <v>3.4461266297203315</v>
      </c>
      <c r="AK232" s="2">
        <f>求节点(节奏总纲!$D$4:$D$113,AD$5:AD$104,$AI232)</f>
        <v>3.4461266297203315</v>
      </c>
      <c r="AL232" s="2">
        <f>求节点(节奏总纲!$D$4:$D$113,AE$5:AE$104,$AI232)</f>
        <v>3.4461266297203315</v>
      </c>
      <c r="AM232" s="2">
        <f>求节点(节奏总纲!$D$4:$D$113,AF$5:AF$104,$AI232)</f>
        <v>3.4461266297203315</v>
      </c>
      <c r="AN232" s="2">
        <f>求节点(节奏总纲!$D$4:$D$113,AG$5:AG$104,$AI232)</f>
        <v>3.4461266297203315</v>
      </c>
    </row>
    <row r="233" spans="35:40" x14ac:dyDescent="0.15">
      <c r="AI233" s="2">
        <v>229</v>
      </c>
      <c r="AJ233" s="2">
        <f>求节点(节奏总纲!$D$4:$D$113,AC$5:AC$104,$AI233)</f>
        <v>3.4482105489436972</v>
      </c>
      <c r="AK233" s="2">
        <f>求节点(节奏总纲!$D$4:$D$113,AD$5:AD$104,$AI233)</f>
        <v>3.4482105489436972</v>
      </c>
      <c r="AL233" s="2">
        <f>求节点(节奏总纲!$D$4:$D$113,AE$5:AE$104,$AI233)</f>
        <v>3.4482105489436972</v>
      </c>
      <c r="AM233" s="2">
        <f>求节点(节奏总纲!$D$4:$D$113,AF$5:AF$104,$AI233)</f>
        <v>3.4482105489436972</v>
      </c>
      <c r="AN233" s="2">
        <f>求节点(节奏总纲!$D$4:$D$113,AG$5:AG$104,$AI233)</f>
        <v>3.4482105489436972</v>
      </c>
    </row>
    <row r="234" spans="35:40" x14ac:dyDescent="0.15">
      <c r="AI234" s="2">
        <v>230</v>
      </c>
      <c r="AJ234" s="2">
        <f>求节点(节奏总纲!$D$4:$D$113,AC$5:AC$104,$AI234)</f>
        <v>3.4502944681670633</v>
      </c>
      <c r="AK234" s="2">
        <f>求节点(节奏总纲!$D$4:$D$113,AD$5:AD$104,$AI234)</f>
        <v>3.4502944681670633</v>
      </c>
      <c r="AL234" s="2">
        <f>求节点(节奏总纲!$D$4:$D$113,AE$5:AE$104,$AI234)</f>
        <v>3.4502944681670633</v>
      </c>
      <c r="AM234" s="2">
        <f>求节点(节奏总纲!$D$4:$D$113,AF$5:AF$104,$AI234)</f>
        <v>3.4502944681670633</v>
      </c>
      <c r="AN234" s="2">
        <f>求节点(节奏总纲!$D$4:$D$113,AG$5:AG$104,$AI234)</f>
        <v>3.4502944681670633</v>
      </c>
    </row>
    <row r="235" spans="35:40" x14ac:dyDescent="0.15">
      <c r="AI235" s="2">
        <v>231</v>
      </c>
      <c r="AJ235" s="2">
        <f>求节点(节奏总纲!$D$4:$D$113,AC$5:AC$104,$AI235)</f>
        <v>3.452378387390429</v>
      </c>
      <c r="AK235" s="2">
        <f>求节点(节奏总纲!$D$4:$D$113,AD$5:AD$104,$AI235)</f>
        <v>3.452378387390429</v>
      </c>
      <c r="AL235" s="2">
        <f>求节点(节奏总纲!$D$4:$D$113,AE$5:AE$104,$AI235)</f>
        <v>3.452378387390429</v>
      </c>
      <c r="AM235" s="2">
        <f>求节点(节奏总纲!$D$4:$D$113,AF$5:AF$104,$AI235)</f>
        <v>3.452378387390429</v>
      </c>
      <c r="AN235" s="2">
        <f>求节点(节奏总纲!$D$4:$D$113,AG$5:AG$104,$AI235)</f>
        <v>3.452378387390429</v>
      </c>
    </row>
    <row r="236" spans="35:40" x14ac:dyDescent="0.15">
      <c r="AI236" s="2">
        <v>232</v>
      </c>
      <c r="AJ236" s="2">
        <f>求节点(节奏总纲!$D$4:$D$113,AC$5:AC$104,$AI236)</f>
        <v>3.4544623066137947</v>
      </c>
      <c r="AK236" s="2">
        <f>求节点(节奏总纲!$D$4:$D$113,AD$5:AD$104,$AI236)</f>
        <v>3.4544623066137947</v>
      </c>
      <c r="AL236" s="2">
        <f>求节点(节奏总纲!$D$4:$D$113,AE$5:AE$104,$AI236)</f>
        <v>3.4544623066137947</v>
      </c>
      <c r="AM236" s="2">
        <f>求节点(节奏总纲!$D$4:$D$113,AF$5:AF$104,$AI236)</f>
        <v>3.4544623066137947</v>
      </c>
      <c r="AN236" s="2">
        <f>求节点(节奏总纲!$D$4:$D$113,AG$5:AG$104,$AI236)</f>
        <v>3.4544623066137947</v>
      </c>
    </row>
    <row r="237" spans="35:40" x14ac:dyDescent="0.15">
      <c r="AI237" s="2">
        <v>233</v>
      </c>
      <c r="AJ237" s="2">
        <f>求节点(节奏总纲!$D$4:$D$113,AC$5:AC$104,$AI237)</f>
        <v>3.4565462258371604</v>
      </c>
      <c r="AK237" s="2">
        <f>求节点(节奏总纲!$D$4:$D$113,AD$5:AD$104,$AI237)</f>
        <v>3.4565462258371604</v>
      </c>
      <c r="AL237" s="2">
        <f>求节点(节奏总纲!$D$4:$D$113,AE$5:AE$104,$AI237)</f>
        <v>3.4565462258371604</v>
      </c>
      <c r="AM237" s="2">
        <f>求节点(节奏总纲!$D$4:$D$113,AF$5:AF$104,$AI237)</f>
        <v>3.4565462258371604</v>
      </c>
      <c r="AN237" s="2">
        <f>求节点(节奏总纲!$D$4:$D$113,AG$5:AG$104,$AI237)</f>
        <v>3.4565462258371604</v>
      </c>
    </row>
    <row r="238" spans="35:40" x14ac:dyDescent="0.15">
      <c r="AI238" s="2">
        <v>234</v>
      </c>
      <c r="AJ238" s="2">
        <f>求节点(节奏总纲!$D$4:$D$113,AC$5:AC$104,$AI238)</f>
        <v>3.4586301450605261</v>
      </c>
      <c r="AK238" s="2">
        <f>求节点(节奏总纲!$D$4:$D$113,AD$5:AD$104,$AI238)</f>
        <v>3.4586301450605261</v>
      </c>
      <c r="AL238" s="2">
        <f>求节点(节奏总纲!$D$4:$D$113,AE$5:AE$104,$AI238)</f>
        <v>3.4586301450605261</v>
      </c>
      <c r="AM238" s="2">
        <f>求节点(节奏总纲!$D$4:$D$113,AF$5:AF$104,$AI238)</f>
        <v>3.4586301450605261</v>
      </c>
      <c r="AN238" s="2">
        <f>求节点(节奏总纲!$D$4:$D$113,AG$5:AG$104,$AI238)</f>
        <v>3.4586301450605261</v>
      </c>
    </row>
    <row r="239" spans="35:40" x14ac:dyDescent="0.15">
      <c r="AI239" s="2">
        <v>235</v>
      </c>
      <c r="AJ239" s="2">
        <f>求节点(节奏总纲!$D$4:$D$113,AC$5:AC$104,$AI239)</f>
        <v>3.4607140642838918</v>
      </c>
      <c r="AK239" s="2">
        <f>求节点(节奏总纲!$D$4:$D$113,AD$5:AD$104,$AI239)</f>
        <v>3.4607140642838918</v>
      </c>
      <c r="AL239" s="2">
        <f>求节点(节奏总纲!$D$4:$D$113,AE$5:AE$104,$AI239)</f>
        <v>3.4607140642838918</v>
      </c>
      <c r="AM239" s="2">
        <f>求节点(节奏总纲!$D$4:$D$113,AF$5:AF$104,$AI239)</f>
        <v>3.4607140642838918</v>
      </c>
      <c r="AN239" s="2">
        <f>求节点(节奏总纲!$D$4:$D$113,AG$5:AG$104,$AI239)</f>
        <v>3.4607140642838918</v>
      </c>
    </row>
    <row r="240" spans="35:40" x14ac:dyDescent="0.15">
      <c r="AI240" s="2">
        <v>236</v>
      </c>
      <c r="AJ240" s="2">
        <f>求节点(节奏总纲!$D$4:$D$113,AC$5:AC$104,$AI240)</f>
        <v>3.462797983507258</v>
      </c>
      <c r="AK240" s="2">
        <f>求节点(节奏总纲!$D$4:$D$113,AD$5:AD$104,$AI240)</f>
        <v>3.462797983507258</v>
      </c>
      <c r="AL240" s="2">
        <f>求节点(节奏总纲!$D$4:$D$113,AE$5:AE$104,$AI240)</f>
        <v>3.462797983507258</v>
      </c>
      <c r="AM240" s="2">
        <f>求节点(节奏总纲!$D$4:$D$113,AF$5:AF$104,$AI240)</f>
        <v>3.462797983507258</v>
      </c>
      <c r="AN240" s="2">
        <f>求节点(节奏总纲!$D$4:$D$113,AG$5:AG$104,$AI240)</f>
        <v>3.462797983507258</v>
      </c>
    </row>
    <row r="241" spans="35:40" x14ac:dyDescent="0.15">
      <c r="AI241" s="2">
        <v>237</v>
      </c>
      <c r="AJ241" s="2">
        <f>求节点(节奏总纲!$D$4:$D$113,AC$5:AC$104,$AI241)</f>
        <v>3.4648819027306237</v>
      </c>
      <c r="AK241" s="2">
        <f>求节点(节奏总纲!$D$4:$D$113,AD$5:AD$104,$AI241)</f>
        <v>3.4648819027306237</v>
      </c>
      <c r="AL241" s="2">
        <f>求节点(节奏总纲!$D$4:$D$113,AE$5:AE$104,$AI241)</f>
        <v>3.4648819027306237</v>
      </c>
      <c r="AM241" s="2">
        <f>求节点(节奏总纲!$D$4:$D$113,AF$5:AF$104,$AI241)</f>
        <v>3.4648819027306237</v>
      </c>
      <c r="AN241" s="2">
        <f>求节点(节奏总纲!$D$4:$D$113,AG$5:AG$104,$AI241)</f>
        <v>3.4648819027306237</v>
      </c>
    </row>
    <row r="242" spans="35:40" x14ac:dyDescent="0.15">
      <c r="AI242" s="2">
        <v>238</v>
      </c>
      <c r="AJ242" s="2">
        <f>求节点(节奏总纲!$D$4:$D$113,AC$5:AC$104,$AI242)</f>
        <v>3.4669457884193311</v>
      </c>
      <c r="AK242" s="2">
        <f>求节点(节奏总纲!$D$4:$D$113,AD$5:AD$104,$AI242)</f>
        <v>3.4669457884193311</v>
      </c>
      <c r="AL242" s="2">
        <f>求节点(节奏总纲!$D$4:$D$113,AE$5:AE$104,$AI242)</f>
        <v>3.4669457884193311</v>
      </c>
      <c r="AM242" s="2">
        <f>求节点(节奏总纲!$D$4:$D$113,AF$5:AF$104,$AI242)</f>
        <v>3.4669457884193311</v>
      </c>
      <c r="AN242" s="2">
        <f>求节点(节奏总纲!$D$4:$D$113,AG$5:AG$104,$AI242)</f>
        <v>3.4669457884193311</v>
      </c>
    </row>
    <row r="243" spans="35:40" x14ac:dyDescent="0.15">
      <c r="AI243" s="2">
        <v>239</v>
      </c>
      <c r="AJ243" s="2">
        <f>求节点(节奏总纲!$D$4:$D$113,AC$5:AC$104,$AI243)</f>
        <v>3.4688901538064294</v>
      </c>
      <c r="AK243" s="2">
        <f>求节点(节奏总纲!$D$4:$D$113,AD$5:AD$104,$AI243)</f>
        <v>3.4688901538064294</v>
      </c>
      <c r="AL243" s="2">
        <f>求节点(节奏总纲!$D$4:$D$113,AE$5:AE$104,$AI243)</f>
        <v>3.4688901538064294</v>
      </c>
      <c r="AM243" s="2">
        <f>求节点(节奏总纲!$D$4:$D$113,AF$5:AF$104,$AI243)</f>
        <v>3.4688901538064294</v>
      </c>
      <c r="AN243" s="2">
        <f>求节点(节奏总纲!$D$4:$D$113,AG$5:AG$104,$AI243)</f>
        <v>3.4688901538064294</v>
      </c>
    </row>
    <row r="244" spans="35:40" x14ac:dyDescent="0.15">
      <c r="AI244" s="2">
        <v>240</v>
      </c>
      <c r="AJ244" s="2">
        <f>求节点(节奏总纲!$D$4:$D$113,AC$5:AC$104,$AI244)</f>
        <v>3.4708345191935273</v>
      </c>
      <c r="AK244" s="2">
        <f>求节点(节奏总纲!$D$4:$D$113,AD$5:AD$104,$AI244)</f>
        <v>3.4708345191935273</v>
      </c>
      <c r="AL244" s="2">
        <f>求节点(节奏总纲!$D$4:$D$113,AE$5:AE$104,$AI244)</f>
        <v>3.4708345191935273</v>
      </c>
      <c r="AM244" s="2">
        <f>求节点(节奏总纲!$D$4:$D$113,AF$5:AF$104,$AI244)</f>
        <v>3.4708345191935273</v>
      </c>
      <c r="AN244" s="2">
        <f>求节点(节奏总纲!$D$4:$D$113,AG$5:AG$104,$AI244)</f>
        <v>3.4708345191935273</v>
      </c>
    </row>
    <row r="245" spans="35:40" x14ac:dyDescent="0.15">
      <c r="AI245" s="2">
        <v>241</v>
      </c>
      <c r="AJ245" s="2">
        <f>求节点(节奏总纲!$D$4:$D$113,AC$5:AC$104,$AI245)</f>
        <v>3.4727788845806256</v>
      </c>
      <c r="AK245" s="2">
        <f>求节点(节奏总纲!$D$4:$D$113,AD$5:AD$104,$AI245)</f>
        <v>3.4727788845806256</v>
      </c>
      <c r="AL245" s="2">
        <f>求节点(节奏总纲!$D$4:$D$113,AE$5:AE$104,$AI245)</f>
        <v>3.4727788845806256</v>
      </c>
      <c r="AM245" s="2">
        <f>求节点(节奏总纲!$D$4:$D$113,AF$5:AF$104,$AI245)</f>
        <v>3.4727788845806256</v>
      </c>
      <c r="AN245" s="2">
        <f>求节点(节奏总纲!$D$4:$D$113,AG$5:AG$104,$AI245)</f>
        <v>3.4727788845806256</v>
      </c>
    </row>
    <row r="246" spans="35:40" x14ac:dyDescent="0.15">
      <c r="AI246" s="2">
        <v>242</v>
      </c>
      <c r="AJ246" s="2">
        <f>求节点(节奏总纲!$D$4:$D$113,AC$5:AC$104,$AI246)</f>
        <v>3.4747232499677234</v>
      </c>
      <c r="AK246" s="2">
        <f>求节点(节奏总纲!$D$4:$D$113,AD$5:AD$104,$AI246)</f>
        <v>3.4747232499677234</v>
      </c>
      <c r="AL246" s="2">
        <f>求节点(节奏总纲!$D$4:$D$113,AE$5:AE$104,$AI246)</f>
        <v>3.4747232499677234</v>
      </c>
      <c r="AM246" s="2">
        <f>求节点(节奏总纲!$D$4:$D$113,AF$5:AF$104,$AI246)</f>
        <v>3.4747232499677234</v>
      </c>
      <c r="AN246" s="2">
        <f>求节点(节奏总纲!$D$4:$D$113,AG$5:AG$104,$AI246)</f>
        <v>3.4747232499677234</v>
      </c>
    </row>
    <row r="247" spans="35:40" x14ac:dyDescent="0.15">
      <c r="AI247" s="2">
        <v>243</v>
      </c>
      <c r="AJ247" s="2">
        <f>求节点(节奏总纲!$D$4:$D$113,AC$5:AC$104,$AI247)</f>
        <v>3.4766676153548213</v>
      </c>
      <c r="AK247" s="2">
        <f>求节点(节奏总纲!$D$4:$D$113,AD$5:AD$104,$AI247)</f>
        <v>3.4766676153548213</v>
      </c>
      <c r="AL247" s="2">
        <f>求节点(节奏总纲!$D$4:$D$113,AE$5:AE$104,$AI247)</f>
        <v>3.4766676153548213</v>
      </c>
      <c r="AM247" s="2">
        <f>求节点(节奏总纲!$D$4:$D$113,AF$5:AF$104,$AI247)</f>
        <v>3.4766676153548213</v>
      </c>
      <c r="AN247" s="2">
        <f>求节点(节奏总纲!$D$4:$D$113,AG$5:AG$104,$AI247)</f>
        <v>3.4766676153548213</v>
      </c>
    </row>
    <row r="248" spans="35:40" x14ac:dyDescent="0.15">
      <c r="AI248" s="2">
        <v>244</v>
      </c>
      <c r="AJ248" s="2">
        <f>求节点(节奏总纲!$D$4:$D$113,AC$5:AC$104,$AI248)</f>
        <v>3.4786119807419196</v>
      </c>
      <c r="AK248" s="2">
        <f>求节点(节奏总纲!$D$4:$D$113,AD$5:AD$104,$AI248)</f>
        <v>3.4786119807419196</v>
      </c>
      <c r="AL248" s="2">
        <f>求节点(节奏总纲!$D$4:$D$113,AE$5:AE$104,$AI248)</f>
        <v>3.4786119807419196</v>
      </c>
      <c r="AM248" s="2">
        <f>求节点(节奏总纲!$D$4:$D$113,AF$5:AF$104,$AI248)</f>
        <v>3.4786119807419196</v>
      </c>
      <c r="AN248" s="2">
        <f>求节点(节奏总纲!$D$4:$D$113,AG$5:AG$104,$AI248)</f>
        <v>3.4786119807419196</v>
      </c>
    </row>
    <row r="249" spans="35:40" x14ac:dyDescent="0.15">
      <c r="AI249" s="2">
        <v>245</v>
      </c>
      <c r="AJ249" s="2">
        <f>求节点(节奏总纲!$D$4:$D$113,AC$5:AC$104,$AI249)</f>
        <v>3.4805563461290174</v>
      </c>
      <c r="AK249" s="2">
        <f>求节点(节奏总纲!$D$4:$D$113,AD$5:AD$104,$AI249)</f>
        <v>3.4805563461290174</v>
      </c>
      <c r="AL249" s="2">
        <f>求节点(节奏总纲!$D$4:$D$113,AE$5:AE$104,$AI249)</f>
        <v>3.4805563461290174</v>
      </c>
      <c r="AM249" s="2">
        <f>求节点(节奏总纲!$D$4:$D$113,AF$5:AF$104,$AI249)</f>
        <v>3.4805563461290174</v>
      </c>
      <c r="AN249" s="2">
        <f>求节点(节奏总纲!$D$4:$D$113,AG$5:AG$104,$AI249)</f>
        <v>3.4805563461290174</v>
      </c>
    </row>
    <row r="250" spans="35:40" x14ac:dyDescent="0.15">
      <c r="AI250" s="2">
        <v>246</v>
      </c>
      <c r="AJ250" s="2">
        <f>求节点(节奏总纲!$D$4:$D$113,AC$5:AC$104,$AI250)</f>
        <v>3.4825007115161157</v>
      </c>
      <c r="AK250" s="2">
        <f>求节点(节奏总纲!$D$4:$D$113,AD$5:AD$104,$AI250)</f>
        <v>3.4825007115161157</v>
      </c>
      <c r="AL250" s="2">
        <f>求节点(节奏总纲!$D$4:$D$113,AE$5:AE$104,$AI250)</f>
        <v>3.4825007115161157</v>
      </c>
      <c r="AM250" s="2">
        <f>求节点(节奏总纲!$D$4:$D$113,AF$5:AF$104,$AI250)</f>
        <v>3.4825007115161157</v>
      </c>
      <c r="AN250" s="2">
        <f>求节点(节奏总纲!$D$4:$D$113,AG$5:AG$104,$AI250)</f>
        <v>3.4825007115161157</v>
      </c>
    </row>
    <row r="251" spans="35:40" x14ac:dyDescent="0.15">
      <c r="AI251" s="2">
        <v>247</v>
      </c>
      <c r="AJ251" s="2">
        <f>求节点(节奏总纲!$D$4:$D$113,AC$5:AC$104,$AI251)</f>
        <v>3.4844450769032136</v>
      </c>
      <c r="AK251" s="2">
        <f>求节点(节奏总纲!$D$4:$D$113,AD$5:AD$104,$AI251)</f>
        <v>3.4844450769032136</v>
      </c>
      <c r="AL251" s="2">
        <f>求节点(节奏总纲!$D$4:$D$113,AE$5:AE$104,$AI251)</f>
        <v>3.4844450769032136</v>
      </c>
      <c r="AM251" s="2">
        <f>求节点(节奏总纲!$D$4:$D$113,AF$5:AF$104,$AI251)</f>
        <v>3.4844450769032136</v>
      </c>
      <c r="AN251" s="2">
        <f>求节点(节奏总纲!$D$4:$D$113,AG$5:AG$104,$AI251)</f>
        <v>3.4844450769032136</v>
      </c>
    </row>
    <row r="252" spans="35:40" x14ac:dyDescent="0.15">
      <c r="AI252" s="2">
        <v>248</v>
      </c>
      <c r="AJ252" s="2">
        <f>求节点(节奏总纲!$D$4:$D$113,AC$5:AC$104,$AI252)</f>
        <v>3.4863894422903114</v>
      </c>
      <c r="AK252" s="2">
        <f>求节点(节奏总纲!$D$4:$D$113,AD$5:AD$104,$AI252)</f>
        <v>3.4863894422903114</v>
      </c>
      <c r="AL252" s="2">
        <f>求节点(节奏总纲!$D$4:$D$113,AE$5:AE$104,$AI252)</f>
        <v>3.4863894422903114</v>
      </c>
      <c r="AM252" s="2">
        <f>求节点(节奏总纲!$D$4:$D$113,AF$5:AF$104,$AI252)</f>
        <v>3.4863894422903114</v>
      </c>
      <c r="AN252" s="2">
        <f>求节点(节奏总纲!$D$4:$D$113,AG$5:AG$104,$AI252)</f>
        <v>3.4863894422903114</v>
      </c>
    </row>
    <row r="253" spans="35:40" x14ac:dyDescent="0.15">
      <c r="AI253" s="2">
        <v>249</v>
      </c>
      <c r="AJ253" s="2">
        <f>求节点(节奏总纲!$D$4:$D$113,AC$5:AC$104,$AI253)</f>
        <v>3.4883338076774097</v>
      </c>
      <c r="AK253" s="2">
        <f>求节点(节奏总纲!$D$4:$D$113,AD$5:AD$104,$AI253)</f>
        <v>3.4883338076774097</v>
      </c>
      <c r="AL253" s="2">
        <f>求节点(节奏总纲!$D$4:$D$113,AE$5:AE$104,$AI253)</f>
        <v>3.4883338076774097</v>
      </c>
      <c r="AM253" s="2">
        <f>求节点(节奏总纲!$D$4:$D$113,AF$5:AF$104,$AI253)</f>
        <v>3.4883338076774097</v>
      </c>
      <c r="AN253" s="2">
        <f>求节点(节奏总纲!$D$4:$D$113,AG$5:AG$104,$AI253)</f>
        <v>3.4883338076774097</v>
      </c>
    </row>
    <row r="254" spans="35:40" x14ac:dyDescent="0.15">
      <c r="AI254" s="2">
        <v>250</v>
      </c>
      <c r="AJ254" s="2">
        <f>求节点(节奏总纲!$D$4:$D$113,AC$5:AC$104,$AI254)</f>
        <v>3.4902781730645076</v>
      </c>
      <c r="AK254" s="2">
        <f>求节点(节奏总纲!$D$4:$D$113,AD$5:AD$104,$AI254)</f>
        <v>3.4902781730645076</v>
      </c>
      <c r="AL254" s="2">
        <f>求节点(节奏总纲!$D$4:$D$113,AE$5:AE$104,$AI254)</f>
        <v>3.4902781730645076</v>
      </c>
      <c r="AM254" s="2">
        <f>求节点(节奏总纲!$D$4:$D$113,AF$5:AF$104,$AI254)</f>
        <v>3.4902781730645076</v>
      </c>
      <c r="AN254" s="2">
        <f>求节点(节奏总纲!$D$4:$D$113,AG$5:AG$104,$AI254)</f>
        <v>3.4902781730645076</v>
      </c>
    </row>
    <row r="255" spans="35:40" x14ac:dyDescent="0.15">
      <c r="AI255" s="2">
        <v>251</v>
      </c>
      <c r="AJ255" s="2">
        <f>求节点(节奏总纲!$D$4:$D$113,AC$5:AC$104,$AI255)</f>
        <v>3.4922225384516055</v>
      </c>
      <c r="AK255" s="2">
        <f>求节点(节奏总纲!$D$4:$D$113,AD$5:AD$104,$AI255)</f>
        <v>3.4922225384516055</v>
      </c>
      <c r="AL255" s="2">
        <f>求节点(节奏总纲!$D$4:$D$113,AE$5:AE$104,$AI255)</f>
        <v>3.4922225384516055</v>
      </c>
      <c r="AM255" s="2">
        <f>求节点(节奏总纲!$D$4:$D$113,AF$5:AF$104,$AI255)</f>
        <v>3.4922225384516055</v>
      </c>
      <c r="AN255" s="2">
        <f>求节点(节奏总纲!$D$4:$D$113,AG$5:AG$104,$AI255)</f>
        <v>3.4922225384516055</v>
      </c>
    </row>
    <row r="256" spans="35:40" x14ac:dyDescent="0.15">
      <c r="AI256" s="2">
        <v>252</v>
      </c>
      <c r="AJ256" s="2">
        <f>求节点(节奏总纲!$D$4:$D$113,AC$5:AC$104,$AI256)</f>
        <v>3.4941669038387038</v>
      </c>
      <c r="AK256" s="2">
        <f>求节点(节奏总纲!$D$4:$D$113,AD$5:AD$104,$AI256)</f>
        <v>3.4941669038387038</v>
      </c>
      <c r="AL256" s="2">
        <f>求节点(节奏总纲!$D$4:$D$113,AE$5:AE$104,$AI256)</f>
        <v>3.4941669038387038</v>
      </c>
      <c r="AM256" s="2">
        <f>求节点(节奏总纲!$D$4:$D$113,AF$5:AF$104,$AI256)</f>
        <v>3.4941669038387038</v>
      </c>
      <c r="AN256" s="2">
        <f>求节点(节奏总纲!$D$4:$D$113,AG$5:AG$104,$AI256)</f>
        <v>3.4941669038387038</v>
      </c>
    </row>
    <row r="257" spans="35:40" x14ac:dyDescent="0.15">
      <c r="AI257" s="2">
        <v>253</v>
      </c>
      <c r="AJ257" s="2">
        <f>求节点(节奏总纲!$D$4:$D$113,AC$5:AC$104,$AI257)</f>
        <v>3.4961112692258016</v>
      </c>
      <c r="AK257" s="2">
        <f>求节点(节奏总纲!$D$4:$D$113,AD$5:AD$104,$AI257)</f>
        <v>3.4961112692258016</v>
      </c>
      <c r="AL257" s="2">
        <f>求节点(节奏总纲!$D$4:$D$113,AE$5:AE$104,$AI257)</f>
        <v>3.4961112692258016</v>
      </c>
      <c r="AM257" s="2">
        <f>求节点(节奏总纲!$D$4:$D$113,AF$5:AF$104,$AI257)</f>
        <v>3.4961112692258016</v>
      </c>
      <c r="AN257" s="2">
        <f>求节点(节奏总纲!$D$4:$D$113,AG$5:AG$104,$AI257)</f>
        <v>3.4961112692258016</v>
      </c>
    </row>
    <row r="258" spans="35:40" x14ac:dyDescent="0.15">
      <c r="AI258" s="2">
        <v>254</v>
      </c>
      <c r="AJ258" s="2">
        <f>求节点(节奏总纲!$D$4:$D$113,AC$5:AC$104,$AI258)</f>
        <v>3.4980556346128999</v>
      </c>
      <c r="AK258" s="2">
        <f>求节点(节奏总纲!$D$4:$D$113,AD$5:AD$104,$AI258)</f>
        <v>3.4980556346128999</v>
      </c>
      <c r="AL258" s="2">
        <f>求节点(节奏总纲!$D$4:$D$113,AE$5:AE$104,$AI258)</f>
        <v>3.4980556346128999</v>
      </c>
      <c r="AM258" s="2">
        <f>求节点(节奏总纲!$D$4:$D$113,AF$5:AF$104,$AI258)</f>
        <v>3.4980556346128999</v>
      </c>
      <c r="AN258" s="2">
        <f>求节点(节奏总纲!$D$4:$D$113,AG$5:AG$104,$AI258)</f>
        <v>3.4980556346128999</v>
      </c>
    </row>
    <row r="259" spans="35:40" x14ac:dyDescent="0.15">
      <c r="AI259" s="2">
        <v>255</v>
      </c>
      <c r="AJ259" s="2">
        <f>求节点(节奏总纲!$D$4:$D$113,AC$5:AC$104,$AI259)</f>
        <v>3.4999999999999978</v>
      </c>
      <c r="AK259" s="2">
        <f>求节点(节奏总纲!$D$4:$D$113,AD$5:AD$104,$AI259)</f>
        <v>3.4999999999999978</v>
      </c>
      <c r="AL259" s="2">
        <f>求节点(节奏总纲!$D$4:$D$113,AE$5:AE$104,$AI259)</f>
        <v>3.4999999999999978</v>
      </c>
      <c r="AM259" s="2">
        <f>求节点(节奏总纲!$D$4:$D$113,AF$5:AF$104,$AI259)</f>
        <v>3.4999999999999978</v>
      </c>
      <c r="AN259" s="2">
        <f>求节点(节奏总纲!$D$4:$D$113,AG$5:AG$104,$AI259)</f>
        <v>3.4999999999999978</v>
      </c>
    </row>
    <row r="260" spans="35:40" x14ac:dyDescent="0.15">
      <c r="AI260" s="2">
        <v>256</v>
      </c>
      <c r="AJ260" s="2">
        <f>求节点(节奏总纲!$D$4:$D$113,AC$5:AC$104,$AI260)</f>
        <v>3.4999999999999978</v>
      </c>
      <c r="AK260" s="2">
        <f>求节点(节奏总纲!$D$4:$D$113,AD$5:AD$104,$AI260)</f>
        <v>3.4999999999999978</v>
      </c>
      <c r="AL260" s="2">
        <f>求节点(节奏总纲!$D$4:$D$113,AE$5:AE$104,$AI260)</f>
        <v>3.4999999999999978</v>
      </c>
      <c r="AM260" s="2">
        <f>求节点(节奏总纲!$D$4:$D$113,AF$5:AF$104,$AI260)</f>
        <v>3.4999999999999978</v>
      </c>
      <c r="AN260" s="2">
        <f>求节点(节奏总纲!$D$4:$D$113,AG$5:AG$104,$AI260)</f>
        <v>3.4999999999999978</v>
      </c>
    </row>
    <row r="261" spans="35:40" x14ac:dyDescent="0.15">
      <c r="AI261" s="2">
        <v>257</v>
      </c>
      <c r="AJ261" s="2">
        <f>求节点(节奏总纲!$D$4:$D$113,AC$5:AC$104,$AI261)</f>
        <v>3.4999999999999978</v>
      </c>
      <c r="AK261" s="2">
        <f>求节点(节奏总纲!$D$4:$D$113,AD$5:AD$104,$AI261)</f>
        <v>3.4999999999999978</v>
      </c>
      <c r="AL261" s="2">
        <f>求节点(节奏总纲!$D$4:$D$113,AE$5:AE$104,$AI261)</f>
        <v>3.4999999999999978</v>
      </c>
      <c r="AM261" s="2">
        <f>求节点(节奏总纲!$D$4:$D$113,AF$5:AF$104,$AI261)</f>
        <v>3.4999999999999978</v>
      </c>
      <c r="AN261" s="2">
        <f>求节点(节奏总纲!$D$4:$D$113,AG$5:AG$104,$AI261)</f>
        <v>3.4999999999999978</v>
      </c>
    </row>
    <row r="262" spans="35:40" x14ac:dyDescent="0.15">
      <c r="AI262" s="2">
        <v>258</v>
      </c>
      <c r="AJ262" s="2">
        <f>求节点(节奏总纲!$D$4:$D$113,AC$5:AC$104,$AI262)</f>
        <v>3.4999999999999978</v>
      </c>
      <c r="AK262" s="2">
        <f>求节点(节奏总纲!$D$4:$D$113,AD$5:AD$104,$AI262)</f>
        <v>3.4999999999999978</v>
      </c>
      <c r="AL262" s="2">
        <f>求节点(节奏总纲!$D$4:$D$113,AE$5:AE$104,$AI262)</f>
        <v>3.4999999999999978</v>
      </c>
      <c r="AM262" s="2">
        <f>求节点(节奏总纲!$D$4:$D$113,AF$5:AF$104,$AI262)</f>
        <v>3.4999999999999978</v>
      </c>
      <c r="AN262" s="2">
        <f>求节点(节奏总纲!$D$4:$D$113,AG$5:AG$104,$AI262)</f>
        <v>3.4999999999999978</v>
      </c>
    </row>
    <row r="263" spans="35:40" x14ac:dyDescent="0.15">
      <c r="AI263" s="2">
        <v>259</v>
      </c>
      <c r="AJ263" s="2">
        <f>求节点(节奏总纲!$D$4:$D$113,AC$5:AC$104,$AI263)</f>
        <v>3.4999999999999978</v>
      </c>
      <c r="AK263" s="2">
        <f>求节点(节奏总纲!$D$4:$D$113,AD$5:AD$104,$AI263)</f>
        <v>3.4999999999999978</v>
      </c>
      <c r="AL263" s="2">
        <f>求节点(节奏总纲!$D$4:$D$113,AE$5:AE$104,$AI263)</f>
        <v>3.4999999999999978</v>
      </c>
      <c r="AM263" s="2">
        <f>求节点(节奏总纲!$D$4:$D$113,AF$5:AF$104,$AI263)</f>
        <v>3.4999999999999978</v>
      </c>
      <c r="AN263" s="2">
        <f>求节点(节奏总纲!$D$4:$D$113,AG$5:AG$104,$AI263)</f>
        <v>3.4999999999999978</v>
      </c>
    </row>
    <row r="264" spans="35:40" x14ac:dyDescent="0.15">
      <c r="AI264" s="2">
        <v>260</v>
      </c>
      <c r="AJ264" s="2">
        <f>求节点(节奏总纲!$D$4:$D$113,AC$5:AC$104,$AI264)</f>
        <v>3.4999999999999978</v>
      </c>
      <c r="AK264" s="2">
        <f>求节点(节奏总纲!$D$4:$D$113,AD$5:AD$104,$AI264)</f>
        <v>3.4999999999999978</v>
      </c>
      <c r="AL264" s="2">
        <f>求节点(节奏总纲!$D$4:$D$113,AE$5:AE$104,$AI264)</f>
        <v>3.4999999999999978</v>
      </c>
      <c r="AM264" s="2">
        <f>求节点(节奏总纲!$D$4:$D$113,AF$5:AF$104,$AI264)</f>
        <v>3.4999999999999978</v>
      </c>
      <c r="AN264" s="2">
        <f>求节点(节奏总纲!$D$4:$D$113,AG$5:AG$104,$AI264)</f>
        <v>3.4999999999999978</v>
      </c>
    </row>
    <row r="265" spans="35:40" x14ac:dyDescent="0.15">
      <c r="AI265" s="2">
        <v>261</v>
      </c>
      <c r="AJ265" s="2">
        <f>求节点(节奏总纲!$D$4:$D$113,AC$5:AC$104,$AI265)</f>
        <v>3.4999999999999978</v>
      </c>
      <c r="AK265" s="2">
        <f>求节点(节奏总纲!$D$4:$D$113,AD$5:AD$104,$AI265)</f>
        <v>3.4999999999999978</v>
      </c>
      <c r="AL265" s="2">
        <f>求节点(节奏总纲!$D$4:$D$113,AE$5:AE$104,$AI265)</f>
        <v>3.4999999999999978</v>
      </c>
      <c r="AM265" s="2">
        <f>求节点(节奏总纲!$D$4:$D$113,AF$5:AF$104,$AI265)</f>
        <v>3.4999999999999978</v>
      </c>
      <c r="AN265" s="2">
        <f>求节点(节奏总纲!$D$4:$D$113,AG$5:AG$104,$AI265)</f>
        <v>3.4999999999999978</v>
      </c>
    </row>
    <row r="266" spans="35:40" x14ac:dyDescent="0.15">
      <c r="AI266" s="2">
        <v>262</v>
      </c>
      <c r="AJ266" s="2">
        <f>求节点(节奏总纲!$D$4:$D$113,AC$5:AC$104,$AI266)</f>
        <v>3.4999999999999978</v>
      </c>
      <c r="AK266" s="2">
        <f>求节点(节奏总纲!$D$4:$D$113,AD$5:AD$104,$AI266)</f>
        <v>3.4999999999999978</v>
      </c>
      <c r="AL266" s="2">
        <f>求节点(节奏总纲!$D$4:$D$113,AE$5:AE$104,$AI266)</f>
        <v>3.4999999999999978</v>
      </c>
      <c r="AM266" s="2">
        <f>求节点(节奏总纲!$D$4:$D$113,AF$5:AF$104,$AI266)</f>
        <v>3.4999999999999978</v>
      </c>
      <c r="AN266" s="2">
        <f>求节点(节奏总纲!$D$4:$D$113,AG$5:AG$104,$AI266)</f>
        <v>3.4999999999999978</v>
      </c>
    </row>
    <row r="267" spans="35:40" x14ac:dyDescent="0.15">
      <c r="AI267" s="2">
        <v>263</v>
      </c>
      <c r="AJ267" s="2">
        <f>求节点(节奏总纲!$D$4:$D$113,AC$5:AC$104,$AI267)</f>
        <v>3.4999999999999978</v>
      </c>
      <c r="AK267" s="2">
        <f>求节点(节奏总纲!$D$4:$D$113,AD$5:AD$104,$AI267)</f>
        <v>3.4999999999999978</v>
      </c>
      <c r="AL267" s="2">
        <f>求节点(节奏总纲!$D$4:$D$113,AE$5:AE$104,$AI267)</f>
        <v>3.4999999999999978</v>
      </c>
      <c r="AM267" s="2">
        <f>求节点(节奏总纲!$D$4:$D$113,AF$5:AF$104,$AI267)</f>
        <v>3.4999999999999978</v>
      </c>
      <c r="AN267" s="2">
        <f>求节点(节奏总纲!$D$4:$D$113,AG$5:AG$104,$AI267)</f>
        <v>3.4999999999999978</v>
      </c>
    </row>
    <row r="268" spans="35:40" x14ac:dyDescent="0.15">
      <c r="AI268" s="2">
        <v>264</v>
      </c>
      <c r="AJ268" s="2">
        <f>求节点(节奏总纲!$D$4:$D$113,AC$5:AC$104,$AI268)</f>
        <v>3.4999999999999978</v>
      </c>
      <c r="AK268" s="2">
        <f>求节点(节奏总纲!$D$4:$D$113,AD$5:AD$104,$AI268)</f>
        <v>3.4999999999999978</v>
      </c>
      <c r="AL268" s="2">
        <f>求节点(节奏总纲!$D$4:$D$113,AE$5:AE$104,$AI268)</f>
        <v>3.4999999999999978</v>
      </c>
      <c r="AM268" s="2">
        <f>求节点(节奏总纲!$D$4:$D$113,AF$5:AF$104,$AI268)</f>
        <v>3.4999999999999978</v>
      </c>
      <c r="AN268" s="2">
        <f>求节点(节奏总纲!$D$4:$D$113,AG$5:AG$104,$AI268)</f>
        <v>3.4999999999999978</v>
      </c>
    </row>
    <row r="269" spans="35:40" x14ac:dyDescent="0.15">
      <c r="AI269" s="2">
        <v>265</v>
      </c>
      <c r="AJ269" s="2">
        <f>求节点(节奏总纲!$D$4:$D$113,AC$5:AC$104,$AI269)</f>
        <v>3.4999999999999978</v>
      </c>
      <c r="AK269" s="2">
        <f>求节点(节奏总纲!$D$4:$D$113,AD$5:AD$104,$AI269)</f>
        <v>3.4999999999999978</v>
      </c>
      <c r="AL269" s="2">
        <f>求节点(节奏总纲!$D$4:$D$113,AE$5:AE$104,$AI269)</f>
        <v>3.4999999999999978</v>
      </c>
      <c r="AM269" s="2">
        <f>求节点(节奏总纲!$D$4:$D$113,AF$5:AF$104,$AI269)</f>
        <v>3.4999999999999978</v>
      </c>
      <c r="AN269" s="2">
        <f>求节点(节奏总纲!$D$4:$D$113,AG$5:AG$104,$AI269)</f>
        <v>3.4999999999999978</v>
      </c>
    </row>
    <row r="270" spans="35:40" x14ac:dyDescent="0.15">
      <c r="AI270" s="2">
        <v>266</v>
      </c>
      <c r="AJ270" s="2">
        <f>求节点(节奏总纲!$D$4:$D$113,AC$5:AC$104,$AI270)</f>
        <v>3.4999999999999978</v>
      </c>
      <c r="AK270" s="2">
        <f>求节点(节奏总纲!$D$4:$D$113,AD$5:AD$104,$AI270)</f>
        <v>3.4999999999999978</v>
      </c>
      <c r="AL270" s="2">
        <f>求节点(节奏总纲!$D$4:$D$113,AE$5:AE$104,$AI270)</f>
        <v>3.4999999999999978</v>
      </c>
      <c r="AM270" s="2">
        <f>求节点(节奏总纲!$D$4:$D$113,AF$5:AF$104,$AI270)</f>
        <v>3.4999999999999978</v>
      </c>
      <c r="AN270" s="2">
        <f>求节点(节奏总纲!$D$4:$D$113,AG$5:AG$104,$AI270)</f>
        <v>3.4999999999999978</v>
      </c>
    </row>
    <row r="271" spans="35:40" x14ac:dyDescent="0.15">
      <c r="AI271" s="2">
        <v>267</v>
      </c>
      <c r="AJ271" s="2">
        <f>求节点(节奏总纲!$D$4:$D$113,AC$5:AC$104,$AI271)</f>
        <v>3.4999999999999978</v>
      </c>
      <c r="AK271" s="2">
        <f>求节点(节奏总纲!$D$4:$D$113,AD$5:AD$104,$AI271)</f>
        <v>3.4999999999999978</v>
      </c>
      <c r="AL271" s="2">
        <f>求节点(节奏总纲!$D$4:$D$113,AE$5:AE$104,$AI271)</f>
        <v>3.4999999999999978</v>
      </c>
      <c r="AM271" s="2">
        <f>求节点(节奏总纲!$D$4:$D$113,AF$5:AF$104,$AI271)</f>
        <v>3.4999999999999978</v>
      </c>
      <c r="AN271" s="2">
        <f>求节点(节奏总纲!$D$4:$D$113,AG$5:AG$104,$AI271)</f>
        <v>3.4999999999999978</v>
      </c>
    </row>
    <row r="272" spans="35:40" x14ac:dyDescent="0.15">
      <c r="AI272" s="2">
        <v>268</v>
      </c>
      <c r="AJ272" s="2">
        <f>求节点(节奏总纲!$D$4:$D$113,AC$5:AC$104,$AI272)</f>
        <v>3.4999999999999978</v>
      </c>
      <c r="AK272" s="2">
        <f>求节点(节奏总纲!$D$4:$D$113,AD$5:AD$104,$AI272)</f>
        <v>3.4999999999999978</v>
      </c>
      <c r="AL272" s="2">
        <f>求节点(节奏总纲!$D$4:$D$113,AE$5:AE$104,$AI272)</f>
        <v>3.4999999999999978</v>
      </c>
      <c r="AM272" s="2">
        <f>求节点(节奏总纲!$D$4:$D$113,AF$5:AF$104,$AI272)</f>
        <v>3.4999999999999978</v>
      </c>
      <c r="AN272" s="2">
        <f>求节点(节奏总纲!$D$4:$D$113,AG$5:AG$104,$AI272)</f>
        <v>3.4999999999999978</v>
      </c>
    </row>
    <row r="273" spans="35:40" x14ac:dyDescent="0.15">
      <c r="AI273" s="2">
        <v>269</v>
      </c>
      <c r="AJ273" s="2">
        <f>求节点(节奏总纲!$D$4:$D$113,AC$5:AC$104,$AI273)</f>
        <v>3.4999999999999978</v>
      </c>
      <c r="AK273" s="2">
        <f>求节点(节奏总纲!$D$4:$D$113,AD$5:AD$104,$AI273)</f>
        <v>3.4999999999999978</v>
      </c>
      <c r="AL273" s="2">
        <f>求节点(节奏总纲!$D$4:$D$113,AE$5:AE$104,$AI273)</f>
        <v>3.4999999999999978</v>
      </c>
      <c r="AM273" s="2">
        <f>求节点(节奏总纲!$D$4:$D$113,AF$5:AF$104,$AI273)</f>
        <v>3.4999999999999978</v>
      </c>
      <c r="AN273" s="2">
        <f>求节点(节奏总纲!$D$4:$D$113,AG$5:AG$104,$AI273)</f>
        <v>3.4999999999999978</v>
      </c>
    </row>
    <row r="274" spans="35:40" x14ac:dyDescent="0.15">
      <c r="AI274" s="2">
        <v>270</v>
      </c>
      <c r="AJ274" s="2">
        <f>求节点(节奏总纲!$D$4:$D$113,AC$5:AC$104,$AI274)</f>
        <v>3.4999999999999978</v>
      </c>
      <c r="AK274" s="2">
        <f>求节点(节奏总纲!$D$4:$D$113,AD$5:AD$104,$AI274)</f>
        <v>3.4999999999999978</v>
      </c>
      <c r="AL274" s="2">
        <f>求节点(节奏总纲!$D$4:$D$113,AE$5:AE$104,$AI274)</f>
        <v>3.4999999999999978</v>
      </c>
      <c r="AM274" s="2">
        <f>求节点(节奏总纲!$D$4:$D$113,AF$5:AF$104,$AI274)</f>
        <v>3.4999999999999978</v>
      </c>
      <c r="AN274" s="2">
        <f>求节点(节奏总纲!$D$4:$D$113,AG$5:AG$104,$AI274)</f>
        <v>3.4999999999999978</v>
      </c>
    </row>
    <row r="275" spans="35:40" x14ac:dyDescent="0.15">
      <c r="AI275" s="2">
        <v>271</v>
      </c>
      <c r="AJ275" s="2">
        <f>求节点(节奏总纲!$D$4:$D$113,AC$5:AC$104,$AI275)</f>
        <v>3.4999999999999978</v>
      </c>
      <c r="AK275" s="2">
        <f>求节点(节奏总纲!$D$4:$D$113,AD$5:AD$104,$AI275)</f>
        <v>3.4999999999999978</v>
      </c>
      <c r="AL275" s="2">
        <f>求节点(节奏总纲!$D$4:$D$113,AE$5:AE$104,$AI275)</f>
        <v>3.4999999999999978</v>
      </c>
      <c r="AM275" s="2">
        <f>求节点(节奏总纲!$D$4:$D$113,AF$5:AF$104,$AI275)</f>
        <v>3.4999999999999978</v>
      </c>
      <c r="AN275" s="2">
        <f>求节点(节奏总纲!$D$4:$D$113,AG$5:AG$104,$AI275)</f>
        <v>3.4999999999999978</v>
      </c>
    </row>
    <row r="276" spans="35:40" x14ac:dyDescent="0.15">
      <c r="AI276" s="2">
        <v>272</v>
      </c>
      <c r="AJ276" s="2">
        <f>求节点(节奏总纲!$D$4:$D$113,AC$5:AC$104,$AI276)</f>
        <v>3.4999999999999978</v>
      </c>
      <c r="AK276" s="2">
        <f>求节点(节奏总纲!$D$4:$D$113,AD$5:AD$104,$AI276)</f>
        <v>3.4999999999999978</v>
      </c>
      <c r="AL276" s="2">
        <f>求节点(节奏总纲!$D$4:$D$113,AE$5:AE$104,$AI276)</f>
        <v>3.4999999999999978</v>
      </c>
      <c r="AM276" s="2">
        <f>求节点(节奏总纲!$D$4:$D$113,AF$5:AF$104,$AI276)</f>
        <v>3.4999999999999978</v>
      </c>
      <c r="AN276" s="2">
        <f>求节点(节奏总纲!$D$4:$D$113,AG$5:AG$104,$AI276)</f>
        <v>3.4999999999999978</v>
      </c>
    </row>
    <row r="277" spans="35:40" x14ac:dyDescent="0.15">
      <c r="AI277" s="2">
        <v>273</v>
      </c>
      <c r="AJ277" s="2">
        <f>求节点(节奏总纲!$D$4:$D$113,AC$5:AC$104,$AI277)</f>
        <v>3.4999999999999978</v>
      </c>
      <c r="AK277" s="2">
        <f>求节点(节奏总纲!$D$4:$D$113,AD$5:AD$104,$AI277)</f>
        <v>3.4999999999999978</v>
      </c>
      <c r="AL277" s="2">
        <f>求节点(节奏总纲!$D$4:$D$113,AE$5:AE$104,$AI277)</f>
        <v>3.4999999999999978</v>
      </c>
      <c r="AM277" s="2">
        <f>求节点(节奏总纲!$D$4:$D$113,AF$5:AF$104,$AI277)</f>
        <v>3.4999999999999978</v>
      </c>
      <c r="AN277" s="2">
        <f>求节点(节奏总纲!$D$4:$D$113,AG$5:AG$104,$AI277)</f>
        <v>3.4999999999999978</v>
      </c>
    </row>
    <row r="278" spans="35:40" x14ac:dyDescent="0.15">
      <c r="AI278" s="2">
        <v>274</v>
      </c>
      <c r="AJ278" s="2">
        <f>求节点(节奏总纲!$D$4:$D$113,AC$5:AC$104,$AI278)</f>
        <v>3.4999999999999978</v>
      </c>
      <c r="AK278" s="2">
        <f>求节点(节奏总纲!$D$4:$D$113,AD$5:AD$104,$AI278)</f>
        <v>3.4999999999999978</v>
      </c>
      <c r="AL278" s="2">
        <f>求节点(节奏总纲!$D$4:$D$113,AE$5:AE$104,$AI278)</f>
        <v>3.4999999999999978</v>
      </c>
      <c r="AM278" s="2">
        <f>求节点(节奏总纲!$D$4:$D$113,AF$5:AF$104,$AI278)</f>
        <v>3.4999999999999978</v>
      </c>
      <c r="AN278" s="2">
        <f>求节点(节奏总纲!$D$4:$D$113,AG$5:AG$104,$AI278)</f>
        <v>3.4999999999999978</v>
      </c>
    </row>
    <row r="279" spans="35:40" x14ac:dyDescent="0.15">
      <c r="AI279" s="2">
        <v>275</v>
      </c>
      <c r="AJ279" s="2">
        <f>求节点(节奏总纲!$D$4:$D$113,AC$5:AC$104,$AI279)</f>
        <v>3.4999999999999978</v>
      </c>
      <c r="AK279" s="2">
        <f>求节点(节奏总纲!$D$4:$D$113,AD$5:AD$104,$AI279)</f>
        <v>3.4999999999999978</v>
      </c>
      <c r="AL279" s="2">
        <f>求节点(节奏总纲!$D$4:$D$113,AE$5:AE$104,$AI279)</f>
        <v>3.4999999999999978</v>
      </c>
      <c r="AM279" s="2">
        <f>求节点(节奏总纲!$D$4:$D$113,AF$5:AF$104,$AI279)</f>
        <v>3.4999999999999978</v>
      </c>
      <c r="AN279" s="2">
        <f>求节点(节奏总纲!$D$4:$D$113,AG$5:AG$104,$AI279)</f>
        <v>3.4999999999999978</v>
      </c>
    </row>
    <row r="280" spans="35:40" x14ac:dyDescent="0.15">
      <c r="AI280" s="2">
        <v>276</v>
      </c>
      <c r="AJ280" s="2">
        <f>求节点(节奏总纲!$D$4:$D$113,AC$5:AC$104,$AI280)</f>
        <v>3.4999999999999978</v>
      </c>
      <c r="AK280" s="2">
        <f>求节点(节奏总纲!$D$4:$D$113,AD$5:AD$104,$AI280)</f>
        <v>3.4999999999999978</v>
      </c>
      <c r="AL280" s="2">
        <f>求节点(节奏总纲!$D$4:$D$113,AE$5:AE$104,$AI280)</f>
        <v>3.4999999999999978</v>
      </c>
      <c r="AM280" s="2">
        <f>求节点(节奏总纲!$D$4:$D$113,AF$5:AF$104,$AI280)</f>
        <v>3.4999999999999978</v>
      </c>
      <c r="AN280" s="2">
        <f>求节点(节奏总纲!$D$4:$D$113,AG$5:AG$104,$AI280)</f>
        <v>3.4999999999999978</v>
      </c>
    </row>
    <row r="281" spans="35:40" x14ac:dyDescent="0.15">
      <c r="AI281" s="2">
        <v>277</v>
      </c>
      <c r="AJ281" s="2">
        <f>求节点(节奏总纲!$D$4:$D$113,AC$5:AC$104,$AI281)</f>
        <v>3.4999999999999978</v>
      </c>
      <c r="AK281" s="2">
        <f>求节点(节奏总纲!$D$4:$D$113,AD$5:AD$104,$AI281)</f>
        <v>3.4999999999999978</v>
      </c>
      <c r="AL281" s="2">
        <f>求节点(节奏总纲!$D$4:$D$113,AE$5:AE$104,$AI281)</f>
        <v>3.4999999999999978</v>
      </c>
      <c r="AM281" s="2">
        <f>求节点(节奏总纲!$D$4:$D$113,AF$5:AF$104,$AI281)</f>
        <v>3.4999999999999978</v>
      </c>
      <c r="AN281" s="2">
        <f>求节点(节奏总纲!$D$4:$D$113,AG$5:AG$104,$AI281)</f>
        <v>3.4999999999999978</v>
      </c>
    </row>
    <row r="282" spans="35:40" x14ac:dyDescent="0.15">
      <c r="AI282" s="2">
        <v>278</v>
      </c>
      <c r="AJ282" s="2">
        <f>求节点(节奏总纲!$D$4:$D$113,AC$5:AC$104,$AI282)</f>
        <v>3.4999999999999978</v>
      </c>
      <c r="AK282" s="2">
        <f>求节点(节奏总纲!$D$4:$D$113,AD$5:AD$104,$AI282)</f>
        <v>3.4999999999999978</v>
      </c>
      <c r="AL282" s="2">
        <f>求节点(节奏总纲!$D$4:$D$113,AE$5:AE$104,$AI282)</f>
        <v>3.4999999999999978</v>
      </c>
      <c r="AM282" s="2">
        <f>求节点(节奏总纲!$D$4:$D$113,AF$5:AF$104,$AI282)</f>
        <v>3.4999999999999978</v>
      </c>
      <c r="AN282" s="2">
        <f>求节点(节奏总纲!$D$4:$D$113,AG$5:AG$104,$AI282)</f>
        <v>3.4999999999999978</v>
      </c>
    </row>
    <row r="283" spans="35:40" x14ac:dyDescent="0.15">
      <c r="AI283" s="2">
        <v>279</v>
      </c>
      <c r="AJ283" s="2">
        <f>求节点(节奏总纲!$D$4:$D$113,AC$5:AC$104,$AI283)</f>
        <v>3.4999999999999978</v>
      </c>
      <c r="AK283" s="2">
        <f>求节点(节奏总纲!$D$4:$D$113,AD$5:AD$104,$AI283)</f>
        <v>3.4999999999999978</v>
      </c>
      <c r="AL283" s="2">
        <f>求节点(节奏总纲!$D$4:$D$113,AE$5:AE$104,$AI283)</f>
        <v>3.4999999999999978</v>
      </c>
      <c r="AM283" s="2">
        <f>求节点(节奏总纲!$D$4:$D$113,AF$5:AF$104,$AI283)</f>
        <v>3.4999999999999978</v>
      </c>
      <c r="AN283" s="2">
        <f>求节点(节奏总纲!$D$4:$D$113,AG$5:AG$104,$AI283)</f>
        <v>3.4999999999999978</v>
      </c>
    </row>
    <row r="284" spans="35:40" x14ac:dyDescent="0.15">
      <c r="AI284" s="2">
        <v>280</v>
      </c>
      <c r="AJ284" s="2">
        <f>求节点(节奏总纲!$D$4:$D$113,AC$5:AC$104,$AI284)</f>
        <v>3.4999999999999978</v>
      </c>
      <c r="AK284" s="2">
        <f>求节点(节奏总纲!$D$4:$D$113,AD$5:AD$104,$AI284)</f>
        <v>3.4999999999999978</v>
      </c>
      <c r="AL284" s="2">
        <f>求节点(节奏总纲!$D$4:$D$113,AE$5:AE$104,$AI284)</f>
        <v>3.4999999999999978</v>
      </c>
      <c r="AM284" s="2">
        <f>求节点(节奏总纲!$D$4:$D$113,AF$5:AF$104,$AI284)</f>
        <v>3.4999999999999978</v>
      </c>
      <c r="AN284" s="2">
        <f>求节点(节奏总纲!$D$4:$D$113,AG$5:AG$104,$AI284)</f>
        <v>3.4999999999999978</v>
      </c>
    </row>
    <row r="285" spans="35:40" x14ac:dyDescent="0.15">
      <c r="AI285" s="2">
        <v>281</v>
      </c>
      <c r="AJ285" s="2">
        <f>求节点(节奏总纲!$D$4:$D$113,AC$5:AC$104,$AI285)</f>
        <v>3.4999999999999978</v>
      </c>
      <c r="AK285" s="2">
        <f>求节点(节奏总纲!$D$4:$D$113,AD$5:AD$104,$AI285)</f>
        <v>3.4999999999999978</v>
      </c>
      <c r="AL285" s="2">
        <f>求节点(节奏总纲!$D$4:$D$113,AE$5:AE$104,$AI285)</f>
        <v>3.4999999999999978</v>
      </c>
      <c r="AM285" s="2">
        <f>求节点(节奏总纲!$D$4:$D$113,AF$5:AF$104,$AI285)</f>
        <v>3.4999999999999978</v>
      </c>
      <c r="AN285" s="2">
        <f>求节点(节奏总纲!$D$4:$D$113,AG$5:AG$104,$AI285)</f>
        <v>3.4999999999999978</v>
      </c>
    </row>
    <row r="286" spans="35:40" x14ac:dyDescent="0.15">
      <c r="AI286" s="2">
        <v>282</v>
      </c>
      <c r="AJ286" s="2">
        <f>求节点(节奏总纲!$D$4:$D$113,AC$5:AC$104,$AI286)</f>
        <v>3.4999999999999978</v>
      </c>
      <c r="AK286" s="2">
        <f>求节点(节奏总纲!$D$4:$D$113,AD$5:AD$104,$AI286)</f>
        <v>3.4999999999999978</v>
      </c>
      <c r="AL286" s="2">
        <f>求节点(节奏总纲!$D$4:$D$113,AE$5:AE$104,$AI286)</f>
        <v>3.4999999999999978</v>
      </c>
      <c r="AM286" s="2">
        <f>求节点(节奏总纲!$D$4:$D$113,AF$5:AF$104,$AI286)</f>
        <v>3.4999999999999978</v>
      </c>
      <c r="AN286" s="2">
        <f>求节点(节奏总纲!$D$4:$D$113,AG$5:AG$104,$AI286)</f>
        <v>3.4999999999999978</v>
      </c>
    </row>
    <row r="287" spans="35:40" x14ac:dyDescent="0.15">
      <c r="AI287" s="2">
        <v>283</v>
      </c>
      <c r="AJ287" s="2">
        <f>求节点(节奏总纲!$D$4:$D$113,AC$5:AC$104,$AI287)</f>
        <v>3.4999999999999978</v>
      </c>
      <c r="AK287" s="2">
        <f>求节点(节奏总纲!$D$4:$D$113,AD$5:AD$104,$AI287)</f>
        <v>3.4999999999999978</v>
      </c>
      <c r="AL287" s="2">
        <f>求节点(节奏总纲!$D$4:$D$113,AE$5:AE$104,$AI287)</f>
        <v>3.4999999999999978</v>
      </c>
      <c r="AM287" s="2">
        <f>求节点(节奏总纲!$D$4:$D$113,AF$5:AF$104,$AI287)</f>
        <v>3.4999999999999978</v>
      </c>
      <c r="AN287" s="2">
        <f>求节点(节奏总纲!$D$4:$D$113,AG$5:AG$104,$AI287)</f>
        <v>3.4999999999999978</v>
      </c>
    </row>
    <row r="288" spans="35:40" x14ac:dyDescent="0.15">
      <c r="AI288" s="2">
        <v>284</v>
      </c>
      <c r="AJ288" s="2">
        <f>求节点(节奏总纲!$D$4:$D$113,AC$5:AC$104,$AI288)</f>
        <v>3.4999999999999978</v>
      </c>
      <c r="AK288" s="2">
        <f>求节点(节奏总纲!$D$4:$D$113,AD$5:AD$104,$AI288)</f>
        <v>3.4999999999999978</v>
      </c>
      <c r="AL288" s="2">
        <f>求节点(节奏总纲!$D$4:$D$113,AE$5:AE$104,$AI288)</f>
        <v>3.4999999999999978</v>
      </c>
      <c r="AM288" s="2">
        <f>求节点(节奏总纲!$D$4:$D$113,AF$5:AF$104,$AI288)</f>
        <v>3.4999999999999978</v>
      </c>
      <c r="AN288" s="2">
        <f>求节点(节奏总纲!$D$4:$D$113,AG$5:AG$104,$AI288)</f>
        <v>3.4999999999999978</v>
      </c>
    </row>
    <row r="289" spans="35:40" x14ac:dyDescent="0.15">
      <c r="AI289" s="2">
        <v>285</v>
      </c>
      <c r="AJ289" s="2">
        <f>求节点(节奏总纲!$D$4:$D$113,AC$5:AC$104,$AI289)</f>
        <v>3.4999999999999978</v>
      </c>
      <c r="AK289" s="2">
        <f>求节点(节奏总纲!$D$4:$D$113,AD$5:AD$104,$AI289)</f>
        <v>3.4999999999999978</v>
      </c>
      <c r="AL289" s="2">
        <f>求节点(节奏总纲!$D$4:$D$113,AE$5:AE$104,$AI289)</f>
        <v>3.4999999999999978</v>
      </c>
      <c r="AM289" s="2">
        <f>求节点(节奏总纲!$D$4:$D$113,AF$5:AF$104,$AI289)</f>
        <v>3.4999999999999978</v>
      </c>
      <c r="AN289" s="2">
        <f>求节点(节奏总纲!$D$4:$D$113,AG$5:AG$104,$AI289)</f>
        <v>3.4999999999999978</v>
      </c>
    </row>
    <row r="290" spans="35:40" x14ac:dyDescent="0.15">
      <c r="AI290" s="2">
        <v>286</v>
      </c>
      <c r="AJ290" s="2">
        <f>求节点(节奏总纲!$D$4:$D$113,AC$5:AC$104,$AI290)</f>
        <v>3.4999999999999978</v>
      </c>
      <c r="AK290" s="2">
        <f>求节点(节奏总纲!$D$4:$D$113,AD$5:AD$104,$AI290)</f>
        <v>3.4999999999999978</v>
      </c>
      <c r="AL290" s="2">
        <f>求节点(节奏总纲!$D$4:$D$113,AE$5:AE$104,$AI290)</f>
        <v>3.4999999999999978</v>
      </c>
      <c r="AM290" s="2">
        <f>求节点(节奏总纲!$D$4:$D$113,AF$5:AF$104,$AI290)</f>
        <v>3.4999999999999978</v>
      </c>
      <c r="AN290" s="2">
        <f>求节点(节奏总纲!$D$4:$D$113,AG$5:AG$104,$AI290)</f>
        <v>3.4999999999999978</v>
      </c>
    </row>
    <row r="291" spans="35:40" x14ac:dyDescent="0.15">
      <c r="AI291" s="2">
        <v>287</v>
      </c>
      <c r="AJ291" s="2">
        <f>求节点(节奏总纲!$D$4:$D$113,AC$5:AC$104,$AI291)</f>
        <v>3.4999999999999978</v>
      </c>
      <c r="AK291" s="2">
        <f>求节点(节奏总纲!$D$4:$D$113,AD$5:AD$104,$AI291)</f>
        <v>3.4999999999999978</v>
      </c>
      <c r="AL291" s="2">
        <f>求节点(节奏总纲!$D$4:$D$113,AE$5:AE$104,$AI291)</f>
        <v>3.4999999999999978</v>
      </c>
      <c r="AM291" s="2">
        <f>求节点(节奏总纲!$D$4:$D$113,AF$5:AF$104,$AI291)</f>
        <v>3.4999999999999978</v>
      </c>
      <c r="AN291" s="2">
        <f>求节点(节奏总纲!$D$4:$D$113,AG$5:AG$104,$AI291)</f>
        <v>3.4999999999999978</v>
      </c>
    </row>
    <row r="292" spans="35:40" x14ac:dyDescent="0.15">
      <c r="AI292" s="2">
        <v>288</v>
      </c>
      <c r="AJ292" s="2">
        <f>求节点(节奏总纲!$D$4:$D$113,AC$5:AC$104,$AI292)</f>
        <v>3.4999999999999978</v>
      </c>
      <c r="AK292" s="2">
        <f>求节点(节奏总纲!$D$4:$D$113,AD$5:AD$104,$AI292)</f>
        <v>3.4999999999999978</v>
      </c>
      <c r="AL292" s="2">
        <f>求节点(节奏总纲!$D$4:$D$113,AE$5:AE$104,$AI292)</f>
        <v>3.4999999999999978</v>
      </c>
      <c r="AM292" s="2">
        <f>求节点(节奏总纲!$D$4:$D$113,AF$5:AF$104,$AI292)</f>
        <v>3.4999999999999978</v>
      </c>
      <c r="AN292" s="2">
        <f>求节点(节奏总纲!$D$4:$D$113,AG$5:AG$104,$AI292)</f>
        <v>3.4999999999999978</v>
      </c>
    </row>
    <row r="293" spans="35:40" x14ac:dyDescent="0.15">
      <c r="AI293" s="2">
        <v>289</v>
      </c>
      <c r="AJ293" s="2">
        <f>求节点(节奏总纲!$D$4:$D$113,AC$5:AC$104,$AI293)</f>
        <v>3.4999999999999978</v>
      </c>
      <c r="AK293" s="2">
        <f>求节点(节奏总纲!$D$4:$D$113,AD$5:AD$104,$AI293)</f>
        <v>3.4999999999999978</v>
      </c>
      <c r="AL293" s="2">
        <f>求节点(节奏总纲!$D$4:$D$113,AE$5:AE$104,$AI293)</f>
        <v>3.4999999999999978</v>
      </c>
      <c r="AM293" s="2">
        <f>求节点(节奏总纲!$D$4:$D$113,AF$5:AF$104,$AI293)</f>
        <v>3.4999999999999978</v>
      </c>
      <c r="AN293" s="2">
        <f>求节点(节奏总纲!$D$4:$D$113,AG$5:AG$104,$AI293)</f>
        <v>3.4999999999999978</v>
      </c>
    </row>
    <row r="294" spans="35:40" x14ac:dyDescent="0.15">
      <c r="AI294" s="2">
        <v>290</v>
      </c>
      <c r="AJ294" s="2">
        <f>求节点(节奏总纲!$D$4:$D$113,AC$5:AC$104,$AI294)</f>
        <v>3.4999999999999978</v>
      </c>
      <c r="AK294" s="2">
        <f>求节点(节奏总纲!$D$4:$D$113,AD$5:AD$104,$AI294)</f>
        <v>3.4999999999999978</v>
      </c>
      <c r="AL294" s="2">
        <f>求节点(节奏总纲!$D$4:$D$113,AE$5:AE$104,$AI294)</f>
        <v>3.4999999999999978</v>
      </c>
      <c r="AM294" s="2">
        <f>求节点(节奏总纲!$D$4:$D$113,AF$5:AF$104,$AI294)</f>
        <v>3.4999999999999978</v>
      </c>
      <c r="AN294" s="2">
        <f>求节点(节奏总纲!$D$4:$D$113,AG$5:AG$104,$AI294)</f>
        <v>3.4999999999999978</v>
      </c>
    </row>
    <row r="295" spans="35:40" x14ac:dyDescent="0.15">
      <c r="AI295" s="2">
        <v>291</v>
      </c>
      <c r="AJ295" s="2">
        <f>求节点(节奏总纲!$D$4:$D$113,AC$5:AC$104,$AI295)</f>
        <v>3.4999999999999978</v>
      </c>
      <c r="AK295" s="2">
        <f>求节点(节奏总纲!$D$4:$D$113,AD$5:AD$104,$AI295)</f>
        <v>3.4999999999999978</v>
      </c>
      <c r="AL295" s="2">
        <f>求节点(节奏总纲!$D$4:$D$113,AE$5:AE$104,$AI295)</f>
        <v>3.4999999999999978</v>
      </c>
      <c r="AM295" s="2">
        <f>求节点(节奏总纲!$D$4:$D$113,AF$5:AF$104,$AI295)</f>
        <v>3.4999999999999978</v>
      </c>
      <c r="AN295" s="2">
        <f>求节点(节奏总纲!$D$4:$D$113,AG$5:AG$104,$AI295)</f>
        <v>3.4999999999999978</v>
      </c>
    </row>
    <row r="296" spans="35:40" x14ac:dyDescent="0.15">
      <c r="AI296" s="2">
        <v>292</v>
      </c>
      <c r="AJ296" s="2">
        <f>求节点(节奏总纲!$D$4:$D$113,AC$5:AC$104,$AI296)</f>
        <v>3.4999999999999978</v>
      </c>
      <c r="AK296" s="2">
        <f>求节点(节奏总纲!$D$4:$D$113,AD$5:AD$104,$AI296)</f>
        <v>3.4999999999999978</v>
      </c>
      <c r="AL296" s="2">
        <f>求节点(节奏总纲!$D$4:$D$113,AE$5:AE$104,$AI296)</f>
        <v>3.4999999999999978</v>
      </c>
      <c r="AM296" s="2">
        <f>求节点(节奏总纲!$D$4:$D$113,AF$5:AF$104,$AI296)</f>
        <v>3.4999999999999978</v>
      </c>
      <c r="AN296" s="2">
        <f>求节点(节奏总纲!$D$4:$D$113,AG$5:AG$104,$AI296)</f>
        <v>3.4999999999999978</v>
      </c>
    </row>
    <row r="297" spans="35:40" x14ac:dyDescent="0.15">
      <c r="AI297" s="2">
        <v>293</v>
      </c>
      <c r="AJ297" s="2">
        <f>求节点(节奏总纲!$D$4:$D$113,AC$5:AC$104,$AI297)</f>
        <v>3.4999999999999978</v>
      </c>
      <c r="AK297" s="2">
        <f>求节点(节奏总纲!$D$4:$D$113,AD$5:AD$104,$AI297)</f>
        <v>3.4999999999999978</v>
      </c>
      <c r="AL297" s="2">
        <f>求节点(节奏总纲!$D$4:$D$113,AE$5:AE$104,$AI297)</f>
        <v>3.4999999999999978</v>
      </c>
      <c r="AM297" s="2">
        <f>求节点(节奏总纲!$D$4:$D$113,AF$5:AF$104,$AI297)</f>
        <v>3.4999999999999978</v>
      </c>
      <c r="AN297" s="2">
        <f>求节点(节奏总纲!$D$4:$D$113,AG$5:AG$104,$AI297)</f>
        <v>3.4999999999999978</v>
      </c>
    </row>
    <row r="298" spans="35:40" x14ac:dyDescent="0.15">
      <c r="AI298" s="2">
        <v>294</v>
      </c>
      <c r="AJ298" s="2">
        <f>求节点(节奏总纲!$D$4:$D$113,AC$5:AC$104,$AI298)</f>
        <v>3.4999999999999978</v>
      </c>
      <c r="AK298" s="2">
        <f>求节点(节奏总纲!$D$4:$D$113,AD$5:AD$104,$AI298)</f>
        <v>3.4999999999999978</v>
      </c>
      <c r="AL298" s="2">
        <f>求节点(节奏总纲!$D$4:$D$113,AE$5:AE$104,$AI298)</f>
        <v>3.4999999999999978</v>
      </c>
      <c r="AM298" s="2">
        <f>求节点(节奏总纲!$D$4:$D$113,AF$5:AF$104,$AI298)</f>
        <v>3.4999999999999978</v>
      </c>
      <c r="AN298" s="2">
        <f>求节点(节奏总纲!$D$4:$D$113,AG$5:AG$104,$AI298)</f>
        <v>3.4999999999999978</v>
      </c>
    </row>
    <row r="299" spans="35:40" x14ac:dyDescent="0.15">
      <c r="AI299" s="2">
        <v>295</v>
      </c>
      <c r="AJ299" s="2">
        <f>求节点(节奏总纲!$D$4:$D$113,AC$5:AC$104,$AI299)</f>
        <v>3.4999999999999978</v>
      </c>
      <c r="AK299" s="2">
        <f>求节点(节奏总纲!$D$4:$D$113,AD$5:AD$104,$AI299)</f>
        <v>3.4999999999999978</v>
      </c>
      <c r="AL299" s="2">
        <f>求节点(节奏总纲!$D$4:$D$113,AE$5:AE$104,$AI299)</f>
        <v>3.4999999999999978</v>
      </c>
      <c r="AM299" s="2">
        <f>求节点(节奏总纲!$D$4:$D$113,AF$5:AF$104,$AI299)</f>
        <v>3.4999999999999978</v>
      </c>
      <c r="AN299" s="2">
        <f>求节点(节奏总纲!$D$4:$D$113,AG$5:AG$104,$AI299)</f>
        <v>3.4999999999999978</v>
      </c>
    </row>
    <row r="300" spans="35:40" x14ac:dyDescent="0.15">
      <c r="AI300" s="2">
        <v>296</v>
      </c>
      <c r="AJ300" s="2">
        <f>求节点(节奏总纲!$D$4:$D$113,AC$5:AC$104,$AI300)</f>
        <v>3.4999999999999978</v>
      </c>
      <c r="AK300" s="2">
        <f>求节点(节奏总纲!$D$4:$D$113,AD$5:AD$104,$AI300)</f>
        <v>3.4999999999999978</v>
      </c>
      <c r="AL300" s="2">
        <f>求节点(节奏总纲!$D$4:$D$113,AE$5:AE$104,$AI300)</f>
        <v>3.4999999999999978</v>
      </c>
      <c r="AM300" s="2">
        <f>求节点(节奏总纲!$D$4:$D$113,AF$5:AF$104,$AI300)</f>
        <v>3.4999999999999978</v>
      </c>
      <c r="AN300" s="2">
        <f>求节点(节奏总纲!$D$4:$D$113,AG$5:AG$104,$AI300)</f>
        <v>3.4999999999999978</v>
      </c>
    </row>
    <row r="301" spans="35:40" x14ac:dyDescent="0.15">
      <c r="AI301" s="2">
        <v>297</v>
      </c>
      <c r="AJ301" s="2">
        <f>求节点(节奏总纲!$D$4:$D$113,AC$5:AC$104,$AI301)</f>
        <v>3.4999999999999978</v>
      </c>
      <c r="AK301" s="2">
        <f>求节点(节奏总纲!$D$4:$D$113,AD$5:AD$104,$AI301)</f>
        <v>3.4999999999999978</v>
      </c>
      <c r="AL301" s="2">
        <f>求节点(节奏总纲!$D$4:$D$113,AE$5:AE$104,$AI301)</f>
        <v>3.4999999999999978</v>
      </c>
      <c r="AM301" s="2">
        <f>求节点(节奏总纲!$D$4:$D$113,AF$5:AF$104,$AI301)</f>
        <v>3.4999999999999978</v>
      </c>
      <c r="AN301" s="2">
        <f>求节点(节奏总纲!$D$4:$D$113,AG$5:AG$104,$AI301)</f>
        <v>3.4999999999999978</v>
      </c>
    </row>
    <row r="302" spans="35:40" x14ac:dyDescent="0.15">
      <c r="AI302" s="2">
        <v>298</v>
      </c>
      <c r="AJ302" s="2">
        <f>求节点(节奏总纲!$D$4:$D$113,AC$5:AC$104,$AI302)</f>
        <v>3.4999999999999978</v>
      </c>
      <c r="AK302" s="2">
        <f>求节点(节奏总纲!$D$4:$D$113,AD$5:AD$104,$AI302)</f>
        <v>3.4999999999999978</v>
      </c>
      <c r="AL302" s="2">
        <f>求节点(节奏总纲!$D$4:$D$113,AE$5:AE$104,$AI302)</f>
        <v>3.4999999999999978</v>
      </c>
      <c r="AM302" s="2">
        <f>求节点(节奏总纲!$D$4:$D$113,AF$5:AF$104,$AI302)</f>
        <v>3.4999999999999978</v>
      </c>
      <c r="AN302" s="2">
        <f>求节点(节奏总纲!$D$4:$D$113,AG$5:AG$104,$AI302)</f>
        <v>3.4999999999999978</v>
      </c>
    </row>
    <row r="303" spans="35:40" x14ac:dyDescent="0.15">
      <c r="AI303" s="2">
        <v>299</v>
      </c>
      <c r="AJ303" s="2">
        <f>求节点(节奏总纲!$D$4:$D$113,AC$5:AC$104,$AI303)</f>
        <v>3.4999999999999978</v>
      </c>
      <c r="AK303" s="2">
        <f>求节点(节奏总纲!$D$4:$D$113,AD$5:AD$104,$AI303)</f>
        <v>3.4999999999999978</v>
      </c>
      <c r="AL303" s="2">
        <f>求节点(节奏总纲!$D$4:$D$113,AE$5:AE$104,$AI303)</f>
        <v>3.4999999999999978</v>
      </c>
      <c r="AM303" s="2">
        <f>求节点(节奏总纲!$D$4:$D$113,AF$5:AF$104,$AI303)</f>
        <v>3.4999999999999978</v>
      </c>
      <c r="AN303" s="2">
        <f>求节点(节奏总纲!$D$4:$D$113,AG$5:AG$104,$AI303)</f>
        <v>3.4999999999999978</v>
      </c>
    </row>
    <row r="304" spans="35:40" x14ac:dyDescent="0.15">
      <c r="AI304" s="2">
        <v>300</v>
      </c>
      <c r="AJ304" s="2">
        <f>求节点(节奏总纲!$D$4:$D$113,AC$5:AC$104,$AI304)</f>
        <v>3.4999999999999978</v>
      </c>
      <c r="AK304" s="2">
        <f>求节点(节奏总纲!$D$4:$D$113,AD$5:AD$104,$AI304)</f>
        <v>3.4999999999999978</v>
      </c>
      <c r="AL304" s="2">
        <f>求节点(节奏总纲!$D$4:$D$113,AE$5:AE$104,$AI304)</f>
        <v>3.4999999999999978</v>
      </c>
      <c r="AM304" s="2">
        <f>求节点(节奏总纲!$D$4:$D$113,AF$5:AF$104,$AI304)</f>
        <v>3.4999999999999978</v>
      </c>
      <c r="AN304" s="2">
        <f>求节点(节奏总纲!$D$4:$D$113,AG$5:AG$104,$AI304)</f>
        <v>3.4999999999999978</v>
      </c>
    </row>
    <row r="305" spans="35:40" x14ac:dyDescent="0.15">
      <c r="AI305" s="2">
        <v>301</v>
      </c>
      <c r="AJ305" s="2">
        <f>求节点(节奏总纲!$D$4:$D$113,AC$5:AC$104,$AI305)</f>
        <v>3.4999999999999978</v>
      </c>
      <c r="AK305" s="2">
        <f>求节点(节奏总纲!$D$4:$D$113,AD$5:AD$104,$AI305)</f>
        <v>3.4999999999999978</v>
      </c>
      <c r="AL305" s="2">
        <f>求节点(节奏总纲!$D$4:$D$113,AE$5:AE$104,$AI305)</f>
        <v>3.4999999999999978</v>
      </c>
      <c r="AM305" s="2">
        <f>求节点(节奏总纲!$D$4:$D$113,AF$5:AF$104,$AI305)</f>
        <v>3.4999999999999978</v>
      </c>
      <c r="AN305" s="2">
        <f>求节点(节奏总纲!$D$4:$D$113,AG$5:AG$104,$AI305)</f>
        <v>3.4999999999999978</v>
      </c>
    </row>
    <row r="306" spans="35:40" x14ac:dyDescent="0.15">
      <c r="AI306" s="2">
        <v>302</v>
      </c>
      <c r="AJ306" s="2">
        <f>求节点(节奏总纲!$D$4:$D$113,AC$5:AC$104,$AI306)</f>
        <v>3.4999999999999978</v>
      </c>
      <c r="AK306" s="2">
        <f>求节点(节奏总纲!$D$4:$D$113,AD$5:AD$104,$AI306)</f>
        <v>3.4999999999999978</v>
      </c>
      <c r="AL306" s="2">
        <f>求节点(节奏总纲!$D$4:$D$113,AE$5:AE$104,$AI306)</f>
        <v>3.4999999999999978</v>
      </c>
      <c r="AM306" s="2">
        <f>求节点(节奏总纲!$D$4:$D$113,AF$5:AF$104,$AI306)</f>
        <v>3.4999999999999978</v>
      </c>
      <c r="AN306" s="2">
        <f>求节点(节奏总纲!$D$4:$D$113,AG$5:AG$104,$AI306)</f>
        <v>3.4999999999999978</v>
      </c>
    </row>
    <row r="307" spans="35:40" x14ac:dyDescent="0.15">
      <c r="AI307" s="2">
        <v>303</v>
      </c>
      <c r="AJ307" s="2">
        <f>求节点(节奏总纲!$D$4:$D$113,AC$5:AC$104,$AI307)</f>
        <v>3.4999999999999978</v>
      </c>
      <c r="AK307" s="2">
        <f>求节点(节奏总纲!$D$4:$D$113,AD$5:AD$104,$AI307)</f>
        <v>3.4999999999999978</v>
      </c>
      <c r="AL307" s="2">
        <f>求节点(节奏总纲!$D$4:$D$113,AE$5:AE$104,$AI307)</f>
        <v>3.4999999999999978</v>
      </c>
      <c r="AM307" s="2">
        <f>求节点(节奏总纲!$D$4:$D$113,AF$5:AF$104,$AI307)</f>
        <v>3.4999999999999978</v>
      </c>
      <c r="AN307" s="2">
        <f>求节点(节奏总纲!$D$4:$D$113,AG$5:AG$104,$AI307)</f>
        <v>3.4999999999999978</v>
      </c>
    </row>
    <row r="308" spans="35:40" x14ac:dyDescent="0.15">
      <c r="AI308" s="2">
        <v>304</v>
      </c>
      <c r="AJ308" s="2">
        <f>求节点(节奏总纲!$D$4:$D$113,AC$5:AC$104,$AI308)</f>
        <v>3.4999999999999978</v>
      </c>
      <c r="AK308" s="2">
        <f>求节点(节奏总纲!$D$4:$D$113,AD$5:AD$104,$AI308)</f>
        <v>3.4999999999999978</v>
      </c>
      <c r="AL308" s="2">
        <f>求节点(节奏总纲!$D$4:$D$113,AE$5:AE$104,$AI308)</f>
        <v>3.4999999999999978</v>
      </c>
      <c r="AM308" s="2">
        <f>求节点(节奏总纲!$D$4:$D$113,AF$5:AF$104,$AI308)</f>
        <v>3.4999999999999978</v>
      </c>
      <c r="AN308" s="2">
        <f>求节点(节奏总纲!$D$4:$D$113,AG$5:AG$104,$AI308)</f>
        <v>3.4999999999999978</v>
      </c>
    </row>
    <row r="309" spans="35:40" x14ac:dyDescent="0.15">
      <c r="AI309" s="2">
        <v>305</v>
      </c>
      <c r="AJ309" s="2">
        <f>求节点(节奏总纲!$D$4:$D$113,AC$5:AC$104,$AI309)</f>
        <v>3.4999999999999978</v>
      </c>
      <c r="AK309" s="2">
        <f>求节点(节奏总纲!$D$4:$D$113,AD$5:AD$104,$AI309)</f>
        <v>3.4999999999999978</v>
      </c>
      <c r="AL309" s="2">
        <f>求节点(节奏总纲!$D$4:$D$113,AE$5:AE$104,$AI309)</f>
        <v>3.4999999999999978</v>
      </c>
      <c r="AM309" s="2">
        <f>求节点(节奏总纲!$D$4:$D$113,AF$5:AF$104,$AI309)</f>
        <v>3.4999999999999978</v>
      </c>
      <c r="AN309" s="2">
        <f>求节点(节奏总纲!$D$4:$D$113,AG$5:AG$104,$AI309)</f>
        <v>3.4999999999999978</v>
      </c>
    </row>
    <row r="310" spans="35:40" x14ac:dyDescent="0.15">
      <c r="AI310" s="2">
        <v>306</v>
      </c>
      <c r="AJ310" s="2">
        <f>求节点(节奏总纲!$D$4:$D$113,AC$5:AC$104,$AI310)</f>
        <v>3.4999999999999978</v>
      </c>
      <c r="AK310" s="2">
        <f>求节点(节奏总纲!$D$4:$D$113,AD$5:AD$104,$AI310)</f>
        <v>3.4999999999999978</v>
      </c>
      <c r="AL310" s="2">
        <f>求节点(节奏总纲!$D$4:$D$113,AE$5:AE$104,$AI310)</f>
        <v>3.4999999999999978</v>
      </c>
      <c r="AM310" s="2">
        <f>求节点(节奏总纲!$D$4:$D$113,AF$5:AF$104,$AI310)</f>
        <v>3.4999999999999978</v>
      </c>
      <c r="AN310" s="2">
        <f>求节点(节奏总纲!$D$4:$D$113,AG$5:AG$104,$AI310)</f>
        <v>3.4999999999999978</v>
      </c>
    </row>
    <row r="311" spans="35:40" x14ac:dyDescent="0.15">
      <c r="AI311" s="2">
        <v>307</v>
      </c>
      <c r="AJ311" s="2">
        <f>求节点(节奏总纲!$D$4:$D$113,AC$5:AC$104,$AI311)</f>
        <v>3.4999999999999978</v>
      </c>
      <c r="AK311" s="2">
        <f>求节点(节奏总纲!$D$4:$D$113,AD$5:AD$104,$AI311)</f>
        <v>3.4999999999999978</v>
      </c>
      <c r="AL311" s="2">
        <f>求节点(节奏总纲!$D$4:$D$113,AE$5:AE$104,$AI311)</f>
        <v>3.4999999999999978</v>
      </c>
      <c r="AM311" s="2">
        <f>求节点(节奏总纲!$D$4:$D$113,AF$5:AF$104,$AI311)</f>
        <v>3.4999999999999978</v>
      </c>
      <c r="AN311" s="2">
        <f>求节点(节奏总纲!$D$4:$D$113,AG$5:AG$104,$AI311)</f>
        <v>3.4999999999999978</v>
      </c>
    </row>
    <row r="312" spans="35:40" x14ac:dyDescent="0.15">
      <c r="AI312" s="2">
        <v>308</v>
      </c>
      <c r="AJ312" s="2">
        <f>求节点(节奏总纲!$D$4:$D$113,AC$5:AC$104,$AI312)</f>
        <v>3.4999999999999978</v>
      </c>
      <c r="AK312" s="2">
        <f>求节点(节奏总纲!$D$4:$D$113,AD$5:AD$104,$AI312)</f>
        <v>3.4999999999999978</v>
      </c>
      <c r="AL312" s="2">
        <f>求节点(节奏总纲!$D$4:$D$113,AE$5:AE$104,$AI312)</f>
        <v>3.4999999999999978</v>
      </c>
      <c r="AM312" s="2">
        <f>求节点(节奏总纲!$D$4:$D$113,AF$5:AF$104,$AI312)</f>
        <v>3.4999999999999978</v>
      </c>
      <c r="AN312" s="2">
        <f>求节点(节奏总纲!$D$4:$D$113,AG$5:AG$104,$AI312)</f>
        <v>3.4999999999999978</v>
      </c>
    </row>
    <row r="313" spans="35:40" x14ac:dyDescent="0.15">
      <c r="AI313" s="2">
        <v>309</v>
      </c>
      <c r="AJ313" s="2">
        <f>求节点(节奏总纲!$D$4:$D$113,AC$5:AC$104,$AI313)</f>
        <v>3.4999999999999978</v>
      </c>
      <c r="AK313" s="2">
        <f>求节点(节奏总纲!$D$4:$D$113,AD$5:AD$104,$AI313)</f>
        <v>3.4999999999999978</v>
      </c>
      <c r="AL313" s="2">
        <f>求节点(节奏总纲!$D$4:$D$113,AE$5:AE$104,$AI313)</f>
        <v>3.4999999999999978</v>
      </c>
      <c r="AM313" s="2">
        <f>求节点(节奏总纲!$D$4:$D$113,AF$5:AF$104,$AI313)</f>
        <v>3.4999999999999978</v>
      </c>
      <c r="AN313" s="2">
        <f>求节点(节奏总纲!$D$4:$D$113,AG$5:AG$104,$AI313)</f>
        <v>3.4999999999999978</v>
      </c>
    </row>
    <row r="314" spans="35:40" x14ac:dyDescent="0.15">
      <c r="AI314" s="2">
        <v>310</v>
      </c>
      <c r="AJ314" s="2">
        <f>求节点(节奏总纲!$D$4:$D$113,AC$5:AC$104,$AI314)</f>
        <v>3.4999999999999978</v>
      </c>
      <c r="AK314" s="2">
        <f>求节点(节奏总纲!$D$4:$D$113,AD$5:AD$104,$AI314)</f>
        <v>3.4999999999999978</v>
      </c>
      <c r="AL314" s="2">
        <f>求节点(节奏总纲!$D$4:$D$113,AE$5:AE$104,$AI314)</f>
        <v>3.4999999999999978</v>
      </c>
      <c r="AM314" s="2">
        <f>求节点(节奏总纲!$D$4:$D$113,AF$5:AF$104,$AI314)</f>
        <v>3.4999999999999978</v>
      </c>
      <c r="AN314" s="2">
        <f>求节点(节奏总纲!$D$4:$D$113,AG$5:AG$104,$AI314)</f>
        <v>3.4999999999999978</v>
      </c>
    </row>
    <row r="315" spans="35:40" x14ac:dyDescent="0.15">
      <c r="AI315" s="2">
        <v>311</v>
      </c>
      <c r="AJ315" s="2">
        <f>求节点(节奏总纲!$D$4:$D$113,AC$5:AC$104,$AI315)</f>
        <v>3.4999999999999978</v>
      </c>
      <c r="AK315" s="2">
        <f>求节点(节奏总纲!$D$4:$D$113,AD$5:AD$104,$AI315)</f>
        <v>3.4999999999999978</v>
      </c>
      <c r="AL315" s="2">
        <f>求节点(节奏总纲!$D$4:$D$113,AE$5:AE$104,$AI315)</f>
        <v>3.4999999999999978</v>
      </c>
      <c r="AM315" s="2">
        <f>求节点(节奏总纲!$D$4:$D$113,AF$5:AF$104,$AI315)</f>
        <v>3.4999999999999978</v>
      </c>
      <c r="AN315" s="2">
        <f>求节点(节奏总纲!$D$4:$D$113,AG$5:AG$104,$AI315)</f>
        <v>3.4999999999999978</v>
      </c>
    </row>
    <row r="316" spans="35:40" x14ac:dyDescent="0.15">
      <c r="AI316" s="2">
        <v>312</v>
      </c>
      <c r="AJ316" s="2">
        <f>求节点(节奏总纲!$D$4:$D$113,AC$5:AC$104,$AI316)</f>
        <v>3.4999999999999978</v>
      </c>
      <c r="AK316" s="2">
        <f>求节点(节奏总纲!$D$4:$D$113,AD$5:AD$104,$AI316)</f>
        <v>3.4999999999999978</v>
      </c>
      <c r="AL316" s="2">
        <f>求节点(节奏总纲!$D$4:$D$113,AE$5:AE$104,$AI316)</f>
        <v>3.4999999999999978</v>
      </c>
      <c r="AM316" s="2">
        <f>求节点(节奏总纲!$D$4:$D$113,AF$5:AF$104,$AI316)</f>
        <v>3.4999999999999978</v>
      </c>
      <c r="AN316" s="2">
        <f>求节点(节奏总纲!$D$4:$D$113,AG$5:AG$104,$AI316)</f>
        <v>3.4999999999999978</v>
      </c>
    </row>
    <row r="317" spans="35:40" x14ac:dyDescent="0.15">
      <c r="AI317" s="2">
        <v>313</v>
      </c>
      <c r="AJ317" s="2">
        <f>求节点(节奏总纲!$D$4:$D$113,AC$5:AC$104,$AI317)</f>
        <v>3.4999999999999978</v>
      </c>
      <c r="AK317" s="2">
        <f>求节点(节奏总纲!$D$4:$D$113,AD$5:AD$104,$AI317)</f>
        <v>3.4999999999999978</v>
      </c>
      <c r="AL317" s="2">
        <f>求节点(节奏总纲!$D$4:$D$113,AE$5:AE$104,$AI317)</f>
        <v>3.4999999999999978</v>
      </c>
      <c r="AM317" s="2">
        <f>求节点(节奏总纲!$D$4:$D$113,AF$5:AF$104,$AI317)</f>
        <v>3.4999999999999978</v>
      </c>
      <c r="AN317" s="2">
        <f>求节点(节奏总纲!$D$4:$D$113,AG$5:AG$104,$AI317)</f>
        <v>3.4999999999999978</v>
      </c>
    </row>
    <row r="318" spans="35:40" x14ac:dyDescent="0.15">
      <c r="AI318" s="2">
        <v>314</v>
      </c>
      <c r="AJ318" s="2">
        <f>求节点(节奏总纲!$D$4:$D$113,AC$5:AC$104,$AI318)</f>
        <v>3.4999999999999978</v>
      </c>
      <c r="AK318" s="2">
        <f>求节点(节奏总纲!$D$4:$D$113,AD$5:AD$104,$AI318)</f>
        <v>3.4999999999999978</v>
      </c>
      <c r="AL318" s="2">
        <f>求节点(节奏总纲!$D$4:$D$113,AE$5:AE$104,$AI318)</f>
        <v>3.4999999999999978</v>
      </c>
      <c r="AM318" s="2">
        <f>求节点(节奏总纲!$D$4:$D$113,AF$5:AF$104,$AI318)</f>
        <v>3.4999999999999978</v>
      </c>
      <c r="AN318" s="2">
        <f>求节点(节奏总纲!$D$4:$D$113,AG$5:AG$104,$AI318)</f>
        <v>3.4999999999999978</v>
      </c>
    </row>
    <row r="319" spans="35:40" x14ac:dyDescent="0.15">
      <c r="AI319" s="2">
        <v>315</v>
      </c>
      <c r="AJ319" s="2">
        <f>求节点(节奏总纲!$D$4:$D$113,AC$5:AC$104,$AI319)</f>
        <v>3.4999999999999978</v>
      </c>
      <c r="AK319" s="2">
        <f>求节点(节奏总纲!$D$4:$D$113,AD$5:AD$104,$AI319)</f>
        <v>3.4999999999999978</v>
      </c>
      <c r="AL319" s="2">
        <f>求节点(节奏总纲!$D$4:$D$113,AE$5:AE$104,$AI319)</f>
        <v>3.4999999999999978</v>
      </c>
      <c r="AM319" s="2">
        <f>求节点(节奏总纲!$D$4:$D$113,AF$5:AF$104,$AI319)</f>
        <v>3.4999999999999978</v>
      </c>
      <c r="AN319" s="2">
        <f>求节点(节奏总纲!$D$4:$D$113,AG$5:AG$104,$AI319)</f>
        <v>3.4999999999999978</v>
      </c>
    </row>
    <row r="320" spans="35:40" x14ac:dyDescent="0.15">
      <c r="AI320" s="2">
        <v>316</v>
      </c>
      <c r="AJ320" s="2">
        <f>求节点(节奏总纲!$D$4:$D$113,AC$5:AC$104,$AI320)</f>
        <v>3.4999999999999978</v>
      </c>
      <c r="AK320" s="2">
        <f>求节点(节奏总纲!$D$4:$D$113,AD$5:AD$104,$AI320)</f>
        <v>3.4999999999999978</v>
      </c>
      <c r="AL320" s="2">
        <f>求节点(节奏总纲!$D$4:$D$113,AE$5:AE$104,$AI320)</f>
        <v>3.4999999999999978</v>
      </c>
      <c r="AM320" s="2">
        <f>求节点(节奏总纲!$D$4:$D$113,AF$5:AF$104,$AI320)</f>
        <v>3.4999999999999978</v>
      </c>
      <c r="AN320" s="2">
        <f>求节点(节奏总纲!$D$4:$D$113,AG$5:AG$104,$AI320)</f>
        <v>3.4999999999999978</v>
      </c>
    </row>
    <row r="321" spans="35:40" x14ac:dyDescent="0.15">
      <c r="AI321" s="2">
        <v>317</v>
      </c>
      <c r="AJ321" s="2">
        <f>求节点(节奏总纲!$D$4:$D$113,AC$5:AC$104,$AI321)</f>
        <v>3.4999999999999978</v>
      </c>
      <c r="AK321" s="2">
        <f>求节点(节奏总纲!$D$4:$D$113,AD$5:AD$104,$AI321)</f>
        <v>3.4999999999999978</v>
      </c>
      <c r="AL321" s="2">
        <f>求节点(节奏总纲!$D$4:$D$113,AE$5:AE$104,$AI321)</f>
        <v>3.4999999999999978</v>
      </c>
      <c r="AM321" s="2">
        <f>求节点(节奏总纲!$D$4:$D$113,AF$5:AF$104,$AI321)</f>
        <v>3.4999999999999978</v>
      </c>
      <c r="AN321" s="2">
        <f>求节点(节奏总纲!$D$4:$D$113,AG$5:AG$104,$AI321)</f>
        <v>3.4999999999999978</v>
      </c>
    </row>
    <row r="322" spans="35:40" x14ac:dyDescent="0.15">
      <c r="AI322" s="2">
        <v>318</v>
      </c>
      <c r="AJ322" s="2">
        <f>求节点(节奏总纲!$D$4:$D$113,AC$5:AC$104,$AI322)</f>
        <v>3.4999999999999978</v>
      </c>
      <c r="AK322" s="2">
        <f>求节点(节奏总纲!$D$4:$D$113,AD$5:AD$104,$AI322)</f>
        <v>3.4999999999999978</v>
      </c>
      <c r="AL322" s="2">
        <f>求节点(节奏总纲!$D$4:$D$113,AE$5:AE$104,$AI322)</f>
        <v>3.4999999999999978</v>
      </c>
      <c r="AM322" s="2">
        <f>求节点(节奏总纲!$D$4:$D$113,AF$5:AF$104,$AI322)</f>
        <v>3.4999999999999978</v>
      </c>
      <c r="AN322" s="2">
        <f>求节点(节奏总纲!$D$4:$D$113,AG$5:AG$104,$AI322)</f>
        <v>3.4999999999999978</v>
      </c>
    </row>
    <row r="323" spans="35:40" x14ac:dyDescent="0.15">
      <c r="AI323" s="2">
        <v>319</v>
      </c>
      <c r="AJ323" s="2">
        <f>求节点(节奏总纲!$D$4:$D$113,AC$5:AC$104,$AI323)</f>
        <v>3.4999999999999978</v>
      </c>
      <c r="AK323" s="2">
        <f>求节点(节奏总纲!$D$4:$D$113,AD$5:AD$104,$AI323)</f>
        <v>3.4999999999999978</v>
      </c>
      <c r="AL323" s="2">
        <f>求节点(节奏总纲!$D$4:$D$113,AE$5:AE$104,$AI323)</f>
        <v>3.4999999999999978</v>
      </c>
      <c r="AM323" s="2">
        <f>求节点(节奏总纲!$D$4:$D$113,AF$5:AF$104,$AI323)</f>
        <v>3.4999999999999978</v>
      </c>
      <c r="AN323" s="2">
        <f>求节点(节奏总纲!$D$4:$D$113,AG$5:AG$104,$AI323)</f>
        <v>3.4999999999999978</v>
      </c>
    </row>
    <row r="324" spans="35:40" x14ac:dyDescent="0.15">
      <c r="AI324" s="2">
        <v>320</v>
      </c>
      <c r="AJ324" s="2">
        <f>求节点(节奏总纲!$D$4:$D$113,AC$5:AC$104,$AI324)</f>
        <v>3.4999999999999978</v>
      </c>
      <c r="AK324" s="2">
        <f>求节点(节奏总纲!$D$4:$D$113,AD$5:AD$104,$AI324)</f>
        <v>3.4999999999999978</v>
      </c>
      <c r="AL324" s="2">
        <f>求节点(节奏总纲!$D$4:$D$113,AE$5:AE$104,$AI324)</f>
        <v>3.4999999999999978</v>
      </c>
      <c r="AM324" s="2">
        <f>求节点(节奏总纲!$D$4:$D$113,AF$5:AF$104,$AI324)</f>
        <v>3.4999999999999978</v>
      </c>
      <c r="AN324" s="2">
        <f>求节点(节奏总纲!$D$4:$D$113,AG$5:AG$104,$AI324)</f>
        <v>3.4999999999999978</v>
      </c>
    </row>
    <row r="325" spans="35:40" x14ac:dyDescent="0.15">
      <c r="AI325" s="2">
        <v>321</v>
      </c>
      <c r="AJ325" s="2">
        <f>求节点(节奏总纲!$D$4:$D$113,AC$5:AC$104,$AI325)</f>
        <v>3.4999999999999978</v>
      </c>
      <c r="AK325" s="2">
        <f>求节点(节奏总纲!$D$4:$D$113,AD$5:AD$104,$AI325)</f>
        <v>3.4999999999999978</v>
      </c>
      <c r="AL325" s="2">
        <f>求节点(节奏总纲!$D$4:$D$113,AE$5:AE$104,$AI325)</f>
        <v>3.4999999999999978</v>
      </c>
      <c r="AM325" s="2">
        <f>求节点(节奏总纲!$D$4:$D$113,AF$5:AF$104,$AI325)</f>
        <v>3.4999999999999978</v>
      </c>
      <c r="AN325" s="2">
        <f>求节点(节奏总纲!$D$4:$D$113,AG$5:AG$104,$AI325)</f>
        <v>3.4999999999999978</v>
      </c>
    </row>
    <row r="326" spans="35:40" x14ac:dyDescent="0.15">
      <c r="AI326" s="2">
        <v>322</v>
      </c>
      <c r="AJ326" s="2">
        <f>求节点(节奏总纲!$D$4:$D$113,AC$5:AC$104,$AI326)</f>
        <v>3.4999999999999978</v>
      </c>
      <c r="AK326" s="2">
        <f>求节点(节奏总纲!$D$4:$D$113,AD$5:AD$104,$AI326)</f>
        <v>3.4999999999999978</v>
      </c>
      <c r="AL326" s="2">
        <f>求节点(节奏总纲!$D$4:$D$113,AE$5:AE$104,$AI326)</f>
        <v>3.4999999999999978</v>
      </c>
      <c r="AM326" s="2">
        <f>求节点(节奏总纲!$D$4:$D$113,AF$5:AF$104,$AI326)</f>
        <v>3.4999999999999978</v>
      </c>
      <c r="AN326" s="2">
        <f>求节点(节奏总纲!$D$4:$D$113,AG$5:AG$104,$AI326)</f>
        <v>3.4999999999999978</v>
      </c>
    </row>
    <row r="327" spans="35:40" x14ac:dyDescent="0.15">
      <c r="AI327" s="2">
        <v>323</v>
      </c>
      <c r="AJ327" s="2">
        <f>求节点(节奏总纲!$D$4:$D$113,AC$5:AC$104,$AI327)</f>
        <v>3.4999999999999978</v>
      </c>
      <c r="AK327" s="2">
        <f>求节点(节奏总纲!$D$4:$D$113,AD$5:AD$104,$AI327)</f>
        <v>3.4999999999999978</v>
      </c>
      <c r="AL327" s="2">
        <f>求节点(节奏总纲!$D$4:$D$113,AE$5:AE$104,$AI327)</f>
        <v>3.4999999999999978</v>
      </c>
      <c r="AM327" s="2">
        <f>求节点(节奏总纲!$D$4:$D$113,AF$5:AF$104,$AI327)</f>
        <v>3.4999999999999978</v>
      </c>
      <c r="AN327" s="2">
        <f>求节点(节奏总纲!$D$4:$D$113,AG$5:AG$104,$AI327)</f>
        <v>3.4999999999999978</v>
      </c>
    </row>
    <row r="328" spans="35:40" x14ac:dyDescent="0.15">
      <c r="AI328" s="2">
        <v>324</v>
      </c>
      <c r="AJ328" s="2">
        <f>求节点(节奏总纲!$D$4:$D$113,AC$5:AC$104,$AI328)</f>
        <v>3.4999999999999978</v>
      </c>
      <c r="AK328" s="2">
        <f>求节点(节奏总纲!$D$4:$D$113,AD$5:AD$104,$AI328)</f>
        <v>3.4999999999999978</v>
      </c>
      <c r="AL328" s="2">
        <f>求节点(节奏总纲!$D$4:$D$113,AE$5:AE$104,$AI328)</f>
        <v>3.4999999999999978</v>
      </c>
      <c r="AM328" s="2">
        <f>求节点(节奏总纲!$D$4:$D$113,AF$5:AF$104,$AI328)</f>
        <v>3.4999999999999978</v>
      </c>
      <c r="AN328" s="2">
        <f>求节点(节奏总纲!$D$4:$D$113,AG$5:AG$104,$AI328)</f>
        <v>3.4999999999999978</v>
      </c>
    </row>
    <row r="329" spans="35:40" x14ac:dyDescent="0.15">
      <c r="AI329" s="2">
        <v>325</v>
      </c>
      <c r="AJ329" s="2">
        <f>求节点(节奏总纲!$D$4:$D$113,AC$5:AC$104,$AI329)</f>
        <v>3.4999999999999978</v>
      </c>
      <c r="AK329" s="2">
        <f>求节点(节奏总纲!$D$4:$D$113,AD$5:AD$104,$AI329)</f>
        <v>3.4999999999999978</v>
      </c>
      <c r="AL329" s="2">
        <f>求节点(节奏总纲!$D$4:$D$113,AE$5:AE$104,$AI329)</f>
        <v>3.4999999999999978</v>
      </c>
      <c r="AM329" s="2">
        <f>求节点(节奏总纲!$D$4:$D$113,AF$5:AF$104,$AI329)</f>
        <v>3.4999999999999978</v>
      </c>
      <c r="AN329" s="2">
        <f>求节点(节奏总纲!$D$4:$D$113,AG$5:AG$104,$AI329)</f>
        <v>3.4999999999999978</v>
      </c>
    </row>
    <row r="330" spans="35:40" x14ac:dyDescent="0.15">
      <c r="AI330" s="2">
        <v>326</v>
      </c>
      <c r="AJ330" s="2">
        <f>求节点(节奏总纲!$D$4:$D$113,AC$5:AC$104,$AI330)</f>
        <v>3.4999999999999978</v>
      </c>
      <c r="AK330" s="2">
        <f>求节点(节奏总纲!$D$4:$D$113,AD$5:AD$104,$AI330)</f>
        <v>3.4999999999999978</v>
      </c>
      <c r="AL330" s="2">
        <f>求节点(节奏总纲!$D$4:$D$113,AE$5:AE$104,$AI330)</f>
        <v>3.4999999999999978</v>
      </c>
      <c r="AM330" s="2">
        <f>求节点(节奏总纲!$D$4:$D$113,AF$5:AF$104,$AI330)</f>
        <v>3.4999999999999978</v>
      </c>
      <c r="AN330" s="2">
        <f>求节点(节奏总纲!$D$4:$D$113,AG$5:AG$104,$AI330)</f>
        <v>3.4999999999999978</v>
      </c>
    </row>
    <row r="331" spans="35:40" x14ac:dyDescent="0.15">
      <c r="AI331" s="2">
        <v>327</v>
      </c>
      <c r="AJ331" s="2">
        <f>求节点(节奏总纲!$D$4:$D$113,AC$5:AC$104,$AI331)</f>
        <v>3.4999999999999978</v>
      </c>
      <c r="AK331" s="2">
        <f>求节点(节奏总纲!$D$4:$D$113,AD$5:AD$104,$AI331)</f>
        <v>3.4999999999999978</v>
      </c>
      <c r="AL331" s="2">
        <f>求节点(节奏总纲!$D$4:$D$113,AE$5:AE$104,$AI331)</f>
        <v>3.4999999999999978</v>
      </c>
      <c r="AM331" s="2">
        <f>求节点(节奏总纲!$D$4:$D$113,AF$5:AF$104,$AI331)</f>
        <v>3.4999999999999978</v>
      </c>
      <c r="AN331" s="2">
        <f>求节点(节奏总纲!$D$4:$D$113,AG$5:AG$104,$AI331)</f>
        <v>3.4999999999999978</v>
      </c>
    </row>
    <row r="332" spans="35:40" x14ac:dyDescent="0.15">
      <c r="AI332" s="2">
        <v>328</v>
      </c>
      <c r="AJ332" s="2">
        <f>求节点(节奏总纲!$D$4:$D$113,AC$5:AC$104,$AI332)</f>
        <v>3.4999999999999978</v>
      </c>
      <c r="AK332" s="2">
        <f>求节点(节奏总纲!$D$4:$D$113,AD$5:AD$104,$AI332)</f>
        <v>3.4999999999999978</v>
      </c>
      <c r="AL332" s="2">
        <f>求节点(节奏总纲!$D$4:$D$113,AE$5:AE$104,$AI332)</f>
        <v>3.4999999999999978</v>
      </c>
      <c r="AM332" s="2">
        <f>求节点(节奏总纲!$D$4:$D$113,AF$5:AF$104,$AI332)</f>
        <v>3.4999999999999978</v>
      </c>
      <c r="AN332" s="2">
        <f>求节点(节奏总纲!$D$4:$D$113,AG$5:AG$104,$AI332)</f>
        <v>3.4999999999999978</v>
      </c>
    </row>
    <row r="333" spans="35:40" x14ac:dyDescent="0.15">
      <c r="AI333" s="2">
        <v>329</v>
      </c>
      <c r="AJ333" s="2">
        <f>求节点(节奏总纲!$D$4:$D$113,AC$5:AC$104,$AI333)</f>
        <v>3.4999999999999978</v>
      </c>
      <c r="AK333" s="2">
        <f>求节点(节奏总纲!$D$4:$D$113,AD$5:AD$104,$AI333)</f>
        <v>3.4999999999999978</v>
      </c>
      <c r="AL333" s="2">
        <f>求节点(节奏总纲!$D$4:$D$113,AE$5:AE$104,$AI333)</f>
        <v>3.4999999999999978</v>
      </c>
      <c r="AM333" s="2">
        <f>求节点(节奏总纲!$D$4:$D$113,AF$5:AF$104,$AI333)</f>
        <v>3.4999999999999978</v>
      </c>
      <c r="AN333" s="2">
        <f>求节点(节奏总纲!$D$4:$D$113,AG$5:AG$104,$AI333)</f>
        <v>3.4999999999999978</v>
      </c>
    </row>
    <row r="334" spans="35:40" x14ac:dyDescent="0.15">
      <c r="AI334" s="2">
        <v>330</v>
      </c>
      <c r="AJ334" s="2">
        <f>求节点(节奏总纲!$D$4:$D$113,AC$5:AC$104,$AI334)</f>
        <v>3.4999999999999978</v>
      </c>
      <c r="AK334" s="2">
        <f>求节点(节奏总纲!$D$4:$D$113,AD$5:AD$104,$AI334)</f>
        <v>3.4999999999999978</v>
      </c>
      <c r="AL334" s="2">
        <f>求节点(节奏总纲!$D$4:$D$113,AE$5:AE$104,$AI334)</f>
        <v>3.4999999999999978</v>
      </c>
      <c r="AM334" s="2">
        <f>求节点(节奏总纲!$D$4:$D$113,AF$5:AF$104,$AI334)</f>
        <v>3.4999999999999978</v>
      </c>
      <c r="AN334" s="2">
        <f>求节点(节奏总纲!$D$4:$D$113,AG$5:AG$104,$AI334)</f>
        <v>3.4999999999999978</v>
      </c>
    </row>
    <row r="335" spans="35:40" x14ac:dyDescent="0.15">
      <c r="AI335" s="2">
        <v>331</v>
      </c>
      <c r="AJ335" s="2">
        <f>求节点(节奏总纲!$D$4:$D$113,AC$5:AC$104,$AI335)</f>
        <v>3.4999999999999978</v>
      </c>
      <c r="AK335" s="2">
        <f>求节点(节奏总纲!$D$4:$D$113,AD$5:AD$104,$AI335)</f>
        <v>3.4999999999999978</v>
      </c>
      <c r="AL335" s="2">
        <f>求节点(节奏总纲!$D$4:$D$113,AE$5:AE$104,$AI335)</f>
        <v>3.4999999999999978</v>
      </c>
      <c r="AM335" s="2">
        <f>求节点(节奏总纲!$D$4:$D$113,AF$5:AF$104,$AI335)</f>
        <v>3.4999999999999978</v>
      </c>
      <c r="AN335" s="2">
        <f>求节点(节奏总纲!$D$4:$D$113,AG$5:AG$104,$AI335)</f>
        <v>3.4999999999999978</v>
      </c>
    </row>
    <row r="336" spans="35:40" x14ac:dyDescent="0.15">
      <c r="AI336" s="2">
        <v>332</v>
      </c>
      <c r="AJ336" s="2">
        <f>求节点(节奏总纲!$D$4:$D$113,AC$5:AC$104,$AI336)</f>
        <v>3.4999999999999978</v>
      </c>
      <c r="AK336" s="2">
        <f>求节点(节奏总纲!$D$4:$D$113,AD$5:AD$104,$AI336)</f>
        <v>3.4999999999999978</v>
      </c>
      <c r="AL336" s="2">
        <f>求节点(节奏总纲!$D$4:$D$113,AE$5:AE$104,$AI336)</f>
        <v>3.4999999999999978</v>
      </c>
      <c r="AM336" s="2">
        <f>求节点(节奏总纲!$D$4:$D$113,AF$5:AF$104,$AI336)</f>
        <v>3.4999999999999978</v>
      </c>
      <c r="AN336" s="2">
        <f>求节点(节奏总纲!$D$4:$D$113,AG$5:AG$104,$AI336)</f>
        <v>3.4999999999999978</v>
      </c>
    </row>
    <row r="337" spans="35:40" x14ac:dyDescent="0.15">
      <c r="AI337" s="2">
        <v>333</v>
      </c>
      <c r="AJ337" s="2">
        <f>求节点(节奏总纲!$D$4:$D$113,AC$5:AC$104,$AI337)</f>
        <v>3.4999999999999978</v>
      </c>
      <c r="AK337" s="2">
        <f>求节点(节奏总纲!$D$4:$D$113,AD$5:AD$104,$AI337)</f>
        <v>3.4999999999999978</v>
      </c>
      <c r="AL337" s="2">
        <f>求节点(节奏总纲!$D$4:$D$113,AE$5:AE$104,$AI337)</f>
        <v>3.4999999999999978</v>
      </c>
      <c r="AM337" s="2">
        <f>求节点(节奏总纲!$D$4:$D$113,AF$5:AF$104,$AI337)</f>
        <v>3.4999999999999978</v>
      </c>
      <c r="AN337" s="2">
        <f>求节点(节奏总纲!$D$4:$D$113,AG$5:AG$104,$AI337)</f>
        <v>3.4999999999999978</v>
      </c>
    </row>
    <row r="338" spans="35:40" x14ac:dyDescent="0.15">
      <c r="AI338" s="2">
        <v>334</v>
      </c>
      <c r="AJ338" s="2">
        <f>求节点(节奏总纲!$D$4:$D$113,AC$5:AC$104,$AI338)</f>
        <v>3.4999999999999978</v>
      </c>
      <c r="AK338" s="2">
        <f>求节点(节奏总纲!$D$4:$D$113,AD$5:AD$104,$AI338)</f>
        <v>3.4999999999999978</v>
      </c>
      <c r="AL338" s="2">
        <f>求节点(节奏总纲!$D$4:$D$113,AE$5:AE$104,$AI338)</f>
        <v>3.4999999999999978</v>
      </c>
      <c r="AM338" s="2">
        <f>求节点(节奏总纲!$D$4:$D$113,AF$5:AF$104,$AI338)</f>
        <v>3.4999999999999978</v>
      </c>
      <c r="AN338" s="2">
        <f>求节点(节奏总纲!$D$4:$D$113,AG$5:AG$104,$AI338)</f>
        <v>3.4999999999999978</v>
      </c>
    </row>
    <row r="339" spans="35:40" x14ac:dyDescent="0.15">
      <c r="AI339" s="2">
        <v>335</v>
      </c>
      <c r="AJ339" s="2">
        <f>求节点(节奏总纲!$D$4:$D$113,AC$5:AC$104,$AI339)</f>
        <v>3.4999999999999978</v>
      </c>
      <c r="AK339" s="2">
        <f>求节点(节奏总纲!$D$4:$D$113,AD$5:AD$104,$AI339)</f>
        <v>3.4999999999999978</v>
      </c>
      <c r="AL339" s="2">
        <f>求节点(节奏总纲!$D$4:$D$113,AE$5:AE$104,$AI339)</f>
        <v>3.4999999999999978</v>
      </c>
      <c r="AM339" s="2">
        <f>求节点(节奏总纲!$D$4:$D$113,AF$5:AF$104,$AI339)</f>
        <v>3.4999999999999978</v>
      </c>
      <c r="AN339" s="2">
        <f>求节点(节奏总纲!$D$4:$D$113,AG$5:AG$104,$AI339)</f>
        <v>3.4999999999999978</v>
      </c>
    </row>
    <row r="340" spans="35:40" x14ac:dyDescent="0.15">
      <c r="AI340" s="2">
        <v>336</v>
      </c>
      <c r="AJ340" s="2">
        <f>求节点(节奏总纲!$D$4:$D$113,AC$5:AC$104,$AI340)</f>
        <v>3.4999999999999978</v>
      </c>
      <c r="AK340" s="2">
        <f>求节点(节奏总纲!$D$4:$D$113,AD$5:AD$104,$AI340)</f>
        <v>3.4999999999999978</v>
      </c>
      <c r="AL340" s="2">
        <f>求节点(节奏总纲!$D$4:$D$113,AE$5:AE$104,$AI340)</f>
        <v>3.4999999999999978</v>
      </c>
      <c r="AM340" s="2">
        <f>求节点(节奏总纲!$D$4:$D$113,AF$5:AF$104,$AI340)</f>
        <v>3.4999999999999978</v>
      </c>
      <c r="AN340" s="2">
        <f>求节点(节奏总纲!$D$4:$D$113,AG$5:AG$104,$AI340)</f>
        <v>3.4999999999999978</v>
      </c>
    </row>
    <row r="341" spans="35:40" x14ac:dyDescent="0.15">
      <c r="AI341" s="2">
        <v>337</v>
      </c>
      <c r="AJ341" s="2">
        <f>求节点(节奏总纲!$D$4:$D$113,AC$5:AC$104,$AI341)</f>
        <v>3.4999999999999978</v>
      </c>
      <c r="AK341" s="2">
        <f>求节点(节奏总纲!$D$4:$D$113,AD$5:AD$104,$AI341)</f>
        <v>3.4999999999999978</v>
      </c>
      <c r="AL341" s="2">
        <f>求节点(节奏总纲!$D$4:$D$113,AE$5:AE$104,$AI341)</f>
        <v>3.4999999999999978</v>
      </c>
      <c r="AM341" s="2">
        <f>求节点(节奏总纲!$D$4:$D$113,AF$5:AF$104,$AI341)</f>
        <v>3.4999999999999978</v>
      </c>
      <c r="AN341" s="2">
        <f>求节点(节奏总纲!$D$4:$D$113,AG$5:AG$104,$AI341)</f>
        <v>3.4999999999999978</v>
      </c>
    </row>
    <row r="342" spans="35:40" x14ac:dyDescent="0.15">
      <c r="AI342" s="2">
        <v>338</v>
      </c>
      <c r="AJ342" s="2">
        <f>求节点(节奏总纲!$D$4:$D$113,AC$5:AC$104,$AI342)</f>
        <v>3.4999999999999978</v>
      </c>
      <c r="AK342" s="2">
        <f>求节点(节奏总纲!$D$4:$D$113,AD$5:AD$104,$AI342)</f>
        <v>3.4999999999999978</v>
      </c>
      <c r="AL342" s="2">
        <f>求节点(节奏总纲!$D$4:$D$113,AE$5:AE$104,$AI342)</f>
        <v>3.4999999999999978</v>
      </c>
      <c r="AM342" s="2">
        <f>求节点(节奏总纲!$D$4:$D$113,AF$5:AF$104,$AI342)</f>
        <v>3.4999999999999978</v>
      </c>
      <c r="AN342" s="2">
        <f>求节点(节奏总纲!$D$4:$D$113,AG$5:AG$104,$AI342)</f>
        <v>3.4999999999999978</v>
      </c>
    </row>
    <row r="343" spans="35:40" x14ac:dyDescent="0.15">
      <c r="AI343" s="2">
        <v>339</v>
      </c>
      <c r="AJ343" s="2">
        <f>求节点(节奏总纲!$D$4:$D$113,AC$5:AC$104,$AI343)</f>
        <v>3.4999999999999978</v>
      </c>
      <c r="AK343" s="2">
        <f>求节点(节奏总纲!$D$4:$D$113,AD$5:AD$104,$AI343)</f>
        <v>3.4999999999999978</v>
      </c>
      <c r="AL343" s="2">
        <f>求节点(节奏总纲!$D$4:$D$113,AE$5:AE$104,$AI343)</f>
        <v>3.4999999999999978</v>
      </c>
      <c r="AM343" s="2">
        <f>求节点(节奏总纲!$D$4:$D$113,AF$5:AF$104,$AI343)</f>
        <v>3.4999999999999978</v>
      </c>
      <c r="AN343" s="2">
        <f>求节点(节奏总纲!$D$4:$D$113,AG$5:AG$104,$AI343)</f>
        <v>3.4999999999999978</v>
      </c>
    </row>
    <row r="344" spans="35:40" x14ac:dyDescent="0.15">
      <c r="AI344" s="2">
        <v>340</v>
      </c>
      <c r="AJ344" s="2">
        <f>求节点(节奏总纲!$D$4:$D$113,AC$5:AC$104,$AI344)</f>
        <v>3.4999999999999978</v>
      </c>
      <c r="AK344" s="2">
        <f>求节点(节奏总纲!$D$4:$D$113,AD$5:AD$104,$AI344)</f>
        <v>3.4999999999999978</v>
      </c>
      <c r="AL344" s="2">
        <f>求节点(节奏总纲!$D$4:$D$113,AE$5:AE$104,$AI344)</f>
        <v>3.4999999999999978</v>
      </c>
      <c r="AM344" s="2">
        <f>求节点(节奏总纲!$D$4:$D$113,AF$5:AF$104,$AI344)</f>
        <v>3.4999999999999978</v>
      </c>
      <c r="AN344" s="2">
        <f>求节点(节奏总纲!$D$4:$D$113,AG$5:AG$104,$AI344)</f>
        <v>3.4999999999999978</v>
      </c>
    </row>
    <row r="345" spans="35:40" x14ac:dyDescent="0.15">
      <c r="AI345" s="2">
        <v>341</v>
      </c>
      <c r="AJ345" s="2">
        <f>求节点(节奏总纲!$D$4:$D$113,AC$5:AC$104,$AI345)</f>
        <v>3.4999999999999978</v>
      </c>
      <c r="AK345" s="2">
        <f>求节点(节奏总纲!$D$4:$D$113,AD$5:AD$104,$AI345)</f>
        <v>3.4999999999999978</v>
      </c>
      <c r="AL345" s="2">
        <f>求节点(节奏总纲!$D$4:$D$113,AE$5:AE$104,$AI345)</f>
        <v>3.4999999999999978</v>
      </c>
      <c r="AM345" s="2">
        <f>求节点(节奏总纲!$D$4:$D$113,AF$5:AF$104,$AI345)</f>
        <v>3.4999999999999978</v>
      </c>
      <c r="AN345" s="2">
        <f>求节点(节奏总纲!$D$4:$D$113,AG$5:AG$104,$AI345)</f>
        <v>3.4999999999999978</v>
      </c>
    </row>
    <row r="346" spans="35:40" x14ac:dyDescent="0.15">
      <c r="AI346" s="2">
        <v>342</v>
      </c>
      <c r="AJ346" s="2">
        <f>求节点(节奏总纲!$D$4:$D$113,AC$5:AC$104,$AI346)</f>
        <v>3.4999999999999978</v>
      </c>
      <c r="AK346" s="2">
        <f>求节点(节奏总纲!$D$4:$D$113,AD$5:AD$104,$AI346)</f>
        <v>3.4999999999999978</v>
      </c>
      <c r="AL346" s="2">
        <f>求节点(节奏总纲!$D$4:$D$113,AE$5:AE$104,$AI346)</f>
        <v>3.4999999999999978</v>
      </c>
      <c r="AM346" s="2">
        <f>求节点(节奏总纲!$D$4:$D$113,AF$5:AF$104,$AI346)</f>
        <v>3.4999999999999978</v>
      </c>
      <c r="AN346" s="2">
        <f>求节点(节奏总纲!$D$4:$D$113,AG$5:AG$104,$AI346)</f>
        <v>3.4999999999999978</v>
      </c>
    </row>
    <row r="347" spans="35:40" x14ac:dyDescent="0.15">
      <c r="AI347" s="2">
        <v>343</v>
      </c>
      <c r="AJ347" s="2">
        <f>求节点(节奏总纲!$D$4:$D$113,AC$5:AC$104,$AI347)</f>
        <v>3.4999999999999978</v>
      </c>
      <c r="AK347" s="2">
        <f>求节点(节奏总纲!$D$4:$D$113,AD$5:AD$104,$AI347)</f>
        <v>3.4999999999999978</v>
      </c>
      <c r="AL347" s="2">
        <f>求节点(节奏总纲!$D$4:$D$113,AE$5:AE$104,$AI347)</f>
        <v>3.4999999999999978</v>
      </c>
      <c r="AM347" s="2">
        <f>求节点(节奏总纲!$D$4:$D$113,AF$5:AF$104,$AI347)</f>
        <v>3.4999999999999978</v>
      </c>
      <c r="AN347" s="2">
        <f>求节点(节奏总纲!$D$4:$D$113,AG$5:AG$104,$AI347)</f>
        <v>3.4999999999999978</v>
      </c>
    </row>
    <row r="348" spans="35:40" x14ac:dyDescent="0.15">
      <c r="AI348" s="2">
        <v>344</v>
      </c>
      <c r="AJ348" s="2">
        <f>求节点(节奏总纲!$D$4:$D$113,AC$5:AC$104,$AI348)</f>
        <v>3.4999999999999978</v>
      </c>
      <c r="AK348" s="2">
        <f>求节点(节奏总纲!$D$4:$D$113,AD$5:AD$104,$AI348)</f>
        <v>3.4999999999999978</v>
      </c>
      <c r="AL348" s="2">
        <f>求节点(节奏总纲!$D$4:$D$113,AE$5:AE$104,$AI348)</f>
        <v>3.4999999999999978</v>
      </c>
      <c r="AM348" s="2">
        <f>求节点(节奏总纲!$D$4:$D$113,AF$5:AF$104,$AI348)</f>
        <v>3.4999999999999978</v>
      </c>
      <c r="AN348" s="2">
        <f>求节点(节奏总纲!$D$4:$D$113,AG$5:AG$104,$AI348)</f>
        <v>3.4999999999999978</v>
      </c>
    </row>
    <row r="349" spans="35:40" x14ac:dyDescent="0.15">
      <c r="AI349" s="2">
        <v>345</v>
      </c>
      <c r="AJ349" s="2">
        <f>求节点(节奏总纲!$D$4:$D$113,AC$5:AC$104,$AI349)</f>
        <v>3.4999999999999978</v>
      </c>
      <c r="AK349" s="2">
        <f>求节点(节奏总纲!$D$4:$D$113,AD$5:AD$104,$AI349)</f>
        <v>3.4999999999999978</v>
      </c>
      <c r="AL349" s="2">
        <f>求节点(节奏总纲!$D$4:$D$113,AE$5:AE$104,$AI349)</f>
        <v>3.4999999999999978</v>
      </c>
      <c r="AM349" s="2">
        <f>求节点(节奏总纲!$D$4:$D$113,AF$5:AF$104,$AI349)</f>
        <v>3.4999999999999978</v>
      </c>
      <c r="AN349" s="2">
        <f>求节点(节奏总纲!$D$4:$D$113,AG$5:AG$104,$AI349)</f>
        <v>3.4999999999999978</v>
      </c>
    </row>
    <row r="350" spans="35:40" x14ac:dyDescent="0.15">
      <c r="AI350" s="2">
        <v>346</v>
      </c>
      <c r="AJ350" s="2">
        <f>求节点(节奏总纲!$D$4:$D$113,AC$5:AC$104,$AI350)</f>
        <v>3.4999999999999978</v>
      </c>
      <c r="AK350" s="2">
        <f>求节点(节奏总纲!$D$4:$D$113,AD$5:AD$104,$AI350)</f>
        <v>3.4999999999999978</v>
      </c>
      <c r="AL350" s="2">
        <f>求节点(节奏总纲!$D$4:$D$113,AE$5:AE$104,$AI350)</f>
        <v>3.4999999999999978</v>
      </c>
      <c r="AM350" s="2">
        <f>求节点(节奏总纲!$D$4:$D$113,AF$5:AF$104,$AI350)</f>
        <v>3.4999999999999978</v>
      </c>
      <c r="AN350" s="2">
        <f>求节点(节奏总纲!$D$4:$D$113,AG$5:AG$104,$AI350)</f>
        <v>3.4999999999999978</v>
      </c>
    </row>
    <row r="351" spans="35:40" x14ac:dyDescent="0.15">
      <c r="AI351" s="2">
        <v>347</v>
      </c>
      <c r="AJ351" s="2">
        <f>求节点(节奏总纲!$D$4:$D$113,AC$5:AC$104,$AI351)</f>
        <v>3.4999999999999978</v>
      </c>
      <c r="AK351" s="2">
        <f>求节点(节奏总纲!$D$4:$D$113,AD$5:AD$104,$AI351)</f>
        <v>3.4999999999999978</v>
      </c>
      <c r="AL351" s="2">
        <f>求节点(节奏总纲!$D$4:$D$113,AE$5:AE$104,$AI351)</f>
        <v>3.4999999999999978</v>
      </c>
      <c r="AM351" s="2">
        <f>求节点(节奏总纲!$D$4:$D$113,AF$5:AF$104,$AI351)</f>
        <v>3.4999999999999978</v>
      </c>
      <c r="AN351" s="2">
        <f>求节点(节奏总纲!$D$4:$D$113,AG$5:AG$104,$AI351)</f>
        <v>3.4999999999999978</v>
      </c>
    </row>
    <row r="352" spans="35:40" x14ac:dyDescent="0.15">
      <c r="AI352" s="2">
        <v>348</v>
      </c>
      <c r="AJ352" s="2">
        <f>求节点(节奏总纲!$D$4:$D$113,AC$5:AC$104,$AI352)</f>
        <v>3.4999999999999978</v>
      </c>
      <c r="AK352" s="2">
        <f>求节点(节奏总纲!$D$4:$D$113,AD$5:AD$104,$AI352)</f>
        <v>3.4999999999999978</v>
      </c>
      <c r="AL352" s="2">
        <f>求节点(节奏总纲!$D$4:$D$113,AE$5:AE$104,$AI352)</f>
        <v>3.4999999999999978</v>
      </c>
      <c r="AM352" s="2">
        <f>求节点(节奏总纲!$D$4:$D$113,AF$5:AF$104,$AI352)</f>
        <v>3.4999999999999978</v>
      </c>
      <c r="AN352" s="2">
        <f>求节点(节奏总纲!$D$4:$D$113,AG$5:AG$104,$AI352)</f>
        <v>3.4999999999999978</v>
      </c>
    </row>
    <row r="353" spans="35:40" x14ac:dyDescent="0.15">
      <c r="AI353" s="2">
        <v>349</v>
      </c>
      <c r="AJ353" s="2">
        <f>求节点(节奏总纲!$D$4:$D$113,AC$5:AC$104,$AI353)</f>
        <v>3.4999999999999978</v>
      </c>
      <c r="AK353" s="2">
        <f>求节点(节奏总纲!$D$4:$D$113,AD$5:AD$104,$AI353)</f>
        <v>3.4999999999999978</v>
      </c>
      <c r="AL353" s="2">
        <f>求节点(节奏总纲!$D$4:$D$113,AE$5:AE$104,$AI353)</f>
        <v>3.4999999999999978</v>
      </c>
      <c r="AM353" s="2">
        <f>求节点(节奏总纲!$D$4:$D$113,AF$5:AF$104,$AI353)</f>
        <v>3.4999999999999978</v>
      </c>
      <c r="AN353" s="2">
        <f>求节点(节奏总纲!$D$4:$D$113,AG$5:AG$104,$AI353)</f>
        <v>3.4999999999999978</v>
      </c>
    </row>
    <row r="354" spans="35:40" x14ac:dyDescent="0.15">
      <c r="AI354" s="2">
        <v>350</v>
      </c>
      <c r="AJ354" s="2">
        <f>求节点(节奏总纲!$D$4:$D$113,AC$5:AC$104,$AI354)</f>
        <v>3.4999999999999978</v>
      </c>
      <c r="AK354" s="2">
        <f>求节点(节奏总纲!$D$4:$D$113,AD$5:AD$104,$AI354)</f>
        <v>3.4999999999999978</v>
      </c>
      <c r="AL354" s="2">
        <f>求节点(节奏总纲!$D$4:$D$113,AE$5:AE$104,$AI354)</f>
        <v>3.4999999999999978</v>
      </c>
      <c r="AM354" s="2">
        <f>求节点(节奏总纲!$D$4:$D$113,AF$5:AF$104,$AI354)</f>
        <v>3.4999999999999978</v>
      </c>
      <c r="AN354" s="2">
        <f>求节点(节奏总纲!$D$4:$D$113,AG$5:AG$104,$AI354)</f>
        <v>3.4999999999999978</v>
      </c>
    </row>
    <row r="355" spans="35:40" x14ac:dyDescent="0.15">
      <c r="AI355" s="2">
        <v>351</v>
      </c>
      <c r="AJ355" s="2">
        <f>求节点(节奏总纲!$D$4:$D$113,AC$5:AC$104,$AI355)</f>
        <v>3.4999999999999978</v>
      </c>
      <c r="AK355" s="2">
        <f>求节点(节奏总纲!$D$4:$D$113,AD$5:AD$104,$AI355)</f>
        <v>3.4999999999999978</v>
      </c>
      <c r="AL355" s="2">
        <f>求节点(节奏总纲!$D$4:$D$113,AE$5:AE$104,$AI355)</f>
        <v>3.4999999999999978</v>
      </c>
      <c r="AM355" s="2">
        <f>求节点(节奏总纲!$D$4:$D$113,AF$5:AF$104,$AI355)</f>
        <v>3.4999999999999978</v>
      </c>
      <c r="AN355" s="2">
        <f>求节点(节奏总纲!$D$4:$D$113,AG$5:AG$104,$AI355)</f>
        <v>3.4999999999999978</v>
      </c>
    </row>
    <row r="356" spans="35:40" x14ac:dyDescent="0.15">
      <c r="AI356" s="2">
        <v>352</v>
      </c>
      <c r="AJ356" s="2">
        <f>求节点(节奏总纲!$D$4:$D$113,AC$5:AC$104,$AI356)</f>
        <v>3.4999999999999978</v>
      </c>
      <c r="AK356" s="2">
        <f>求节点(节奏总纲!$D$4:$D$113,AD$5:AD$104,$AI356)</f>
        <v>3.4999999999999978</v>
      </c>
      <c r="AL356" s="2">
        <f>求节点(节奏总纲!$D$4:$D$113,AE$5:AE$104,$AI356)</f>
        <v>3.4999999999999978</v>
      </c>
      <c r="AM356" s="2">
        <f>求节点(节奏总纲!$D$4:$D$113,AF$5:AF$104,$AI356)</f>
        <v>3.4999999999999978</v>
      </c>
      <c r="AN356" s="2">
        <f>求节点(节奏总纲!$D$4:$D$113,AG$5:AG$104,$AI356)</f>
        <v>3.4999999999999978</v>
      </c>
    </row>
    <row r="357" spans="35:40" x14ac:dyDescent="0.15">
      <c r="AI357" s="2">
        <v>353</v>
      </c>
      <c r="AJ357" s="2">
        <f>求节点(节奏总纲!$D$4:$D$113,AC$5:AC$104,$AI357)</f>
        <v>3.4999999999999978</v>
      </c>
      <c r="AK357" s="2">
        <f>求节点(节奏总纲!$D$4:$D$113,AD$5:AD$104,$AI357)</f>
        <v>3.4999999999999978</v>
      </c>
      <c r="AL357" s="2">
        <f>求节点(节奏总纲!$D$4:$D$113,AE$5:AE$104,$AI357)</f>
        <v>3.4999999999999978</v>
      </c>
      <c r="AM357" s="2">
        <f>求节点(节奏总纲!$D$4:$D$113,AF$5:AF$104,$AI357)</f>
        <v>3.4999999999999978</v>
      </c>
      <c r="AN357" s="2">
        <f>求节点(节奏总纲!$D$4:$D$113,AG$5:AG$104,$AI357)</f>
        <v>3.4999999999999978</v>
      </c>
    </row>
    <row r="358" spans="35:40" x14ac:dyDescent="0.15">
      <c r="AI358" s="2">
        <v>354</v>
      </c>
      <c r="AJ358" s="2">
        <f>求节点(节奏总纲!$D$4:$D$113,AC$5:AC$104,$AI358)</f>
        <v>3.4999999999999978</v>
      </c>
      <c r="AK358" s="2">
        <f>求节点(节奏总纲!$D$4:$D$113,AD$5:AD$104,$AI358)</f>
        <v>3.4999999999999978</v>
      </c>
      <c r="AL358" s="2">
        <f>求节点(节奏总纲!$D$4:$D$113,AE$5:AE$104,$AI358)</f>
        <v>3.4999999999999978</v>
      </c>
      <c r="AM358" s="2">
        <f>求节点(节奏总纲!$D$4:$D$113,AF$5:AF$104,$AI358)</f>
        <v>3.4999999999999978</v>
      </c>
      <c r="AN358" s="2">
        <f>求节点(节奏总纲!$D$4:$D$113,AG$5:AG$104,$AI358)</f>
        <v>3.4999999999999978</v>
      </c>
    </row>
    <row r="359" spans="35:40" x14ac:dyDescent="0.15">
      <c r="AI359" s="2">
        <v>355</v>
      </c>
      <c r="AJ359" s="2">
        <f>求节点(节奏总纲!$D$4:$D$113,AC$5:AC$104,$AI359)</f>
        <v>3.4999999999999978</v>
      </c>
      <c r="AK359" s="2">
        <f>求节点(节奏总纲!$D$4:$D$113,AD$5:AD$104,$AI359)</f>
        <v>3.4999999999999978</v>
      </c>
      <c r="AL359" s="2">
        <f>求节点(节奏总纲!$D$4:$D$113,AE$5:AE$104,$AI359)</f>
        <v>3.4999999999999978</v>
      </c>
      <c r="AM359" s="2">
        <f>求节点(节奏总纲!$D$4:$D$113,AF$5:AF$104,$AI359)</f>
        <v>3.4999999999999978</v>
      </c>
      <c r="AN359" s="2">
        <f>求节点(节奏总纲!$D$4:$D$113,AG$5:AG$104,$AI359)</f>
        <v>3.4999999999999978</v>
      </c>
    </row>
    <row r="360" spans="35:40" x14ac:dyDescent="0.15">
      <c r="AI360" s="2">
        <v>356</v>
      </c>
      <c r="AJ360" s="2">
        <f>求节点(节奏总纲!$D$4:$D$113,AC$5:AC$104,$AI360)</f>
        <v>3.4999999999999978</v>
      </c>
      <c r="AK360" s="2">
        <f>求节点(节奏总纲!$D$4:$D$113,AD$5:AD$104,$AI360)</f>
        <v>3.4999999999999978</v>
      </c>
      <c r="AL360" s="2">
        <f>求节点(节奏总纲!$D$4:$D$113,AE$5:AE$104,$AI360)</f>
        <v>3.4999999999999978</v>
      </c>
      <c r="AM360" s="2">
        <f>求节点(节奏总纲!$D$4:$D$113,AF$5:AF$104,$AI360)</f>
        <v>3.4999999999999978</v>
      </c>
      <c r="AN360" s="2">
        <f>求节点(节奏总纲!$D$4:$D$113,AG$5:AG$104,$AI360)</f>
        <v>3.4999999999999978</v>
      </c>
    </row>
    <row r="361" spans="35:40" x14ac:dyDescent="0.15">
      <c r="AI361" s="2">
        <v>357</v>
      </c>
      <c r="AJ361" s="2">
        <f>求节点(节奏总纲!$D$4:$D$113,AC$5:AC$104,$AI361)</f>
        <v>3.4999999999999978</v>
      </c>
      <c r="AK361" s="2">
        <f>求节点(节奏总纲!$D$4:$D$113,AD$5:AD$104,$AI361)</f>
        <v>3.4999999999999978</v>
      </c>
      <c r="AL361" s="2">
        <f>求节点(节奏总纲!$D$4:$D$113,AE$5:AE$104,$AI361)</f>
        <v>3.4999999999999978</v>
      </c>
      <c r="AM361" s="2">
        <f>求节点(节奏总纲!$D$4:$D$113,AF$5:AF$104,$AI361)</f>
        <v>3.4999999999999978</v>
      </c>
      <c r="AN361" s="2">
        <f>求节点(节奏总纲!$D$4:$D$113,AG$5:AG$104,$AI361)</f>
        <v>3.4999999999999978</v>
      </c>
    </row>
    <row r="362" spans="35:40" x14ac:dyDescent="0.15">
      <c r="AI362" s="2">
        <v>358</v>
      </c>
      <c r="AJ362" s="2">
        <f>求节点(节奏总纲!$D$4:$D$113,AC$5:AC$104,$AI362)</f>
        <v>3.4999999999999978</v>
      </c>
      <c r="AK362" s="2">
        <f>求节点(节奏总纲!$D$4:$D$113,AD$5:AD$104,$AI362)</f>
        <v>3.4999999999999978</v>
      </c>
      <c r="AL362" s="2">
        <f>求节点(节奏总纲!$D$4:$D$113,AE$5:AE$104,$AI362)</f>
        <v>3.4999999999999978</v>
      </c>
      <c r="AM362" s="2">
        <f>求节点(节奏总纲!$D$4:$D$113,AF$5:AF$104,$AI362)</f>
        <v>3.4999999999999978</v>
      </c>
      <c r="AN362" s="2">
        <f>求节点(节奏总纲!$D$4:$D$113,AG$5:AG$104,$AI362)</f>
        <v>3.4999999999999978</v>
      </c>
    </row>
    <row r="363" spans="35:40" x14ac:dyDescent="0.15">
      <c r="AI363" s="2">
        <v>359</v>
      </c>
      <c r="AJ363" s="2">
        <f>求节点(节奏总纲!$D$4:$D$113,AC$5:AC$104,$AI363)</f>
        <v>3.4999999999999978</v>
      </c>
      <c r="AK363" s="2">
        <f>求节点(节奏总纲!$D$4:$D$113,AD$5:AD$104,$AI363)</f>
        <v>3.4999999999999978</v>
      </c>
      <c r="AL363" s="2">
        <f>求节点(节奏总纲!$D$4:$D$113,AE$5:AE$104,$AI363)</f>
        <v>3.4999999999999978</v>
      </c>
      <c r="AM363" s="2">
        <f>求节点(节奏总纲!$D$4:$D$113,AF$5:AF$104,$AI363)</f>
        <v>3.4999999999999978</v>
      </c>
      <c r="AN363" s="2">
        <f>求节点(节奏总纲!$D$4:$D$113,AG$5:AG$104,$AI363)</f>
        <v>3.4999999999999978</v>
      </c>
    </row>
    <row r="364" spans="35:40" x14ac:dyDescent="0.15">
      <c r="AI364" s="2">
        <v>360</v>
      </c>
      <c r="AJ364" s="2">
        <f>求节点(节奏总纲!$D$4:$D$113,AC$5:AC$104,$AI364)</f>
        <v>3.4999999999999978</v>
      </c>
      <c r="AK364" s="2">
        <f>求节点(节奏总纲!$D$4:$D$113,AD$5:AD$104,$AI364)</f>
        <v>3.4999999999999978</v>
      </c>
      <c r="AL364" s="2">
        <f>求节点(节奏总纲!$D$4:$D$113,AE$5:AE$104,$AI364)</f>
        <v>3.4999999999999978</v>
      </c>
      <c r="AM364" s="2">
        <f>求节点(节奏总纲!$D$4:$D$113,AF$5:AF$104,$AI364)</f>
        <v>3.4999999999999978</v>
      </c>
      <c r="AN364" s="2">
        <f>求节点(节奏总纲!$D$4:$D$113,AG$5:AG$104,$AI364)</f>
        <v>3.4999999999999978</v>
      </c>
    </row>
  </sheetData>
  <mergeCells count="9">
    <mergeCell ref="AJ3:AN3"/>
    <mergeCell ref="B52:C52"/>
    <mergeCell ref="B53:C53"/>
    <mergeCell ref="AC3:AG3"/>
    <mergeCell ref="G8:K8"/>
    <mergeCell ref="L8:P8"/>
    <mergeCell ref="Q8:U8"/>
    <mergeCell ref="X3:AB3"/>
    <mergeCell ref="B8:F8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CP404"/>
  <sheetViews>
    <sheetView topLeftCell="H1" workbookViewId="0">
      <selection activeCell="Z6" sqref="Z6"/>
    </sheetView>
  </sheetViews>
  <sheetFormatPr defaultColWidth="6.625" defaultRowHeight="11.25" x14ac:dyDescent="0.15"/>
  <cols>
    <col min="1" max="14" width="6.625" style="7"/>
    <col min="15" max="15" width="6.625" style="8"/>
    <col min="16" max="30" width="6.625" style="7"/>
    <col min="31" max="31" width="6.625" style="8"/>
    <col min="32" max="38" width="6.625" style="7"/>
    <col min="39" max="39" width="10.25" style="7" customWidth="1"/>
    <col min="40" max="41" width="6.625" style="7"/>
    <col min="42" max="42" width="6.625" style="8"/>
    <col min="43" max="61" width="6.625" style="7"/>
    <col min="62" max="62" width="6.625" style="8"/>
    <col min="63" max="76" width="6.625" style="7"/>
    <col min="77" max="77" width="6.625" style="8"/>
    <col min="78" max="85" width="6.625" style="2"/>
    <col min="86" max="86" width="6.625" style="8"/>
    <col min="87" max="87" width="6.625" style="7"/>
    <col min="88" max="89" width="10.5" style="7" bestFit="1" customWidth="1"/>
    <col min="90" max="91" width="6.625" style="7"/>
    <col min="92" max="92" width="6.625" style="8"/>
    <col min="93" max="93" width="10.875" style="7" customWidth="1"/>
    <col min="94" max="94" width="17" style="7" customWidth="1"/>
    <col min="95" max="16384" width="6.625" style="7"/>
  </cols>
  <sheetData>
    <row r="1" spans="2:94" x14ac:dyDescent="0.15">
      <c r="AH1" s="7">
        <v>0.1</v>
      </c>
      <c r="AI1" s="7">
        <v>0.3</v>
      </c>
      <c r="AJ1" s="7">
        <v>0.9</v>
      </c>
      <c r="AK1" s="7">
        <v>1</v>
      </c>
      <c r="AL1" s="7">
        <v>1</v>
      </c>
      <c r="AQ1" s="9" t="s">
        <v>113</v>
      </c>
      <c r="BK1" s="9"/>
      <c r="BL1" s="9"/>
      <c r="BM1" s="9"/>
      <c r="BN1" s="9"/>
      <c r="BO1" s="9"/>
      <c r="BP1" s="9"/>
      <c r="BQ1" s="9"/>
    </row>
    <row r="2" spans="2:94" x14ac:dyDescent="0.15">
      <c r="AG2" s="10" t="s">
        <v>120</v>
      </c>
      <c r="AH2" s="7">
        <f>AH1*标准城池设计!$E$6</f>
        <v>0.2</v>
      </c>
      <c r="AI2" s="7">
        <f>AI1*标准城池设计!$E$6</f>
        <v>0.6</v>
      </c>
      <c r="AJ2" s="7">
        <f>AJ1*标准城池设计!$E$6</f>
        <v>1.8</v>
      </c>
      <c r="AK2" s="7">
        <f>AK1*标准城池设计!$E$6</f>
        <v>2</v>
      </c>
      <c r="AL2" s="7">
        <f>AL1*标准城池设计!$E$6</f>
        <v>2</v>
      </c>
      <c r="AR2" s="11" t="s">
        <v>99</v>
      </c>
      <c r="AS2" s="2"/>
      <c r="AT2" s="2"/>
      <c r="AU2" s="2"/>
      <c r="AV2" s="2"/>
      <c r="AW2" s="2"/>
      <c r="AY2" s="11" t="s">
        <v>100</v>
      </c>
      <c r="AZ2" s="2"/>
      <c r="BA2" s="2"/>
      <c r="BB2" s="2"/>
      <c r="BC2" s="2"/>
      <c r="BD2" s="2"/>
      <c r="BF2" s="11" t="s">
        <v>101</v>
      </c>
      <c r="BG2" s="9"/>
      <c r="BH2" s="9"/>
      <c r="BK2" s="9"/>
      <c r="BL2" s="59" t="s">
        <v>631</v>
      </c>
      <c r="BM2" s="9"/>
      <c r="BN2" s="60">
        <v>1</v>
      </c>
      <c r="BO2" s="9"/>
      <c r="BP2" s="9"/>
      <c r="BQ2" s="9"/>
      <c r="CP2" s="47" t="s">
        <v>376</v>
      </c>
    </row>
    <row r="3" spans="2:94" x14ac:dyDescent="0.15">
      <c r="C3" s="61" t="s">
        <v>75</v>
      </c>
      <c r="D3" s="61"/>
      <c r="E3" s="61"/>
      <c r="F3" s="61"/>
      <c r="G3" s="61"/>
      <c r="H3" s="61" t="s">
        <v>82</v>
      </c>
      <c r="I3" s="61"/>
      <c r="J3" s="61"/>
      <c r="K3" s="61"/>
      <c r="L3" s="61"/>
      <c r="R3" s="66" t="s">
        <v>84</v>
      </c>
      <c r="S3" s="66"/>
      <c r="T3" s="66"/>
      <c r="U3" s="66"/>
      <c r="V3" s="66"/>
      <c r="Y3" s="66" t="s">
        <v>89</v>
      </c>
      <c r="Z3" s="66"/>
      <c r="AA3" s="66"/>
      <c r="AB3" s="66"/>
      <c r="AC3" s="66"/>
      <c r="AH3" s="61" t="s">
        <v>96</v>
      </c>
      <c r="AI3" s="61"/>
      <c r="AJ3" s="61"/>
      <c r="AK3" s="61"/>
      <c r="AL3" s="61"/>
      <c r="AR3" s="67" t="s">
        <v>102</v>
      </c>
      <c r="AS3" s="67"/>
      <c r="AT3" s="67"/>
      <c r="AU3" s="67"/>
      <c r="AV3" s="67"/>
      <c r="AW3" s="67"/>
      <c r="AY3" s="67" t="s">
        <v>103</v>
      </c>
      <c r="AZ3" s="67"/>
      <c r="BA3" s="67"/>
      <c r="BB3" s="67"/>
      <c r="BC3" s="67"/>
      <c r="BD3" s="67"/>
      <c r="BF3" s="67" t="s">
        <v>104</v>
      </c>
      <c r="BG3" s="67"/>
      <c r="BH3" s="67"/>
      <c r="BK3" s="9"/>
      <c r="BL3" s="12"/>
      <c r="BM3" s="68" t="s">
        <v>613</v>
      </c>
      <c r="BN3" s="68"/>
      <c r="BO3" s="68"/>
      <c r="BP3" s="68"/>
      <c r="BQ3" s="68"/>
      <c r="BR3" s="68" t="s">
        <v>614</v>
      </c>
      <c r="BS3" s="68"/>
      <c r="BT3" s="68"/>
      <c r="BU3" s="68"/>
      <c r="BV3" s="68"/>
      <c r="BW3" s="9"/>
      <c r="BX3" s="9"/>
      <c r="CA3" s="2">
        <v>1</v>
      </c>
      <c r="CB3" s="2" t="s">
        <v>190</v>
      </c>
      <c r="CC3" s="2" t="s">
        <v>195</v>
      </c>
      <c r="CD3" s="2">
        <f>'[1]功能-付费相关'!I22</f>
        <v>0.2</v>
      </c>
      <c r="CE3" s="2" t="s">
        <v>194</v>
      </c>
      <c r="CJ3" s="2" t="s">
        <v>260</v>
      </c>
      <c r="CK3" s="2" t="s">
        <v>261</v>
      </c>
      <c r="CO3" s="7" t="s">
        <v>330</v>
      </c>
      <c r="CP3" s="7" t="s">
        <v>329</v>
      </c>
    </row>
    <row r="4" spans="2:94" x14ac:dyDescent="0.15">
      <c r="B4" s="7" t="s">
        <v>76</v>
      </c>
      <c r="C4" s="7" t="s">
        <v>77</v>
      </c>
      <c r="D4" s="7" t="s">
        <v>78</v>
      </c>
      <c r="E4" s="7" t="s">
        <v>79</v>
      </c>
      <c r="F4" s="7" t="s">
        <v>80</v>
      </c>
      <c r="G4" s="2" t="s">
        <v>81</v>
      </c>
      <c r="H4" s="7" t="s">
        <v>77</v>
      </c>
      <c r="I4" s="7" t="s">
        <v>78</v>
      </c>
      <c r="J4" s="7" t="s">
        <v>79</v>
      </c>
      <c r="K4" s="7" t="s">
        <v>80</v>
      </c>
      <c r="L4" s="2" t="s">
        <v>81</v>
      </c>
      <c r="M4" s="7" t="s">
        <v>83</v>
      </c>
      <c r="Q4" s="7" t="s">
        <v>128</v>
      </c>
      <c r="R4" s="2" t="s">
        <v>85</v>
      </c>
      <c r="S4" s="2" t="s">
        <v>86</v>
      </c>
      <c r="T4" s="2" t="s">
        <v>35</v>
      </c>
      <c r="U4" s="2" t="s">
        <v>87</v>
      </c>
      <c r="V4" s="2" t="s">
        <v>88</v>
      </c>
      <c r="X4" s="7" t="s">
        <v>76</v>
      </c>
      <c r="Y4" s="2" t="s">
        <v>85</v>
      </c>
      <c r="Z4" s="2" t="s">
        <v>86</v>
      </c>
      <c r="AA4" s="2" t="s">
        <v>35</v>
      </c>
      <c r="AB4" s="2" t="s">
        <v>87</v>
      </c>
      <c r="AC4" s="2" t="s">
        <v>88</v>
      </c>
      <c r="AG4" s="7" t="s">
        <v>95</v>
      </c>
      <c r="AH4" s="2" t="s">
        <v>85</v>
      </c>
      <c r="AI4" s="2" t="s">
        <v>86</v>
      </c>
      <c r="AJ4" s="2" t="s">
        <v>35</v>
      </c>
      <c r="AK4" s="2" t="s">
        <v>87</v>
      </c>
      <c r="AL4" s="2" t="s">
        <v>88</v>
      </c>
      <c r="AM4" s="7" t="s">
        <v>98</v>
      </c>
      <c r="AR4" s="13" t="s">
        <v>128</v>
      </c>
      <c r="AS4" s="14" t="s">
        <v>105</v>
      </c>
      <c r="AT4" s="14" t="s">
        <v>106</v>
      </c>
      <c r="AU4" s="14" t="s">
        <v>107</v>
      </c>
      <c r="AV4" s="14" t="s">
        <v>17</v>
      </c>
      <c r="AW4" s="14" t="s">
        <v>108</v>
      </c>
      <c r="AY4" s="13" t="s">
        <v>128</v>
      </c>
      <c r="AZ4" s="14" t="s">
        <v>105</v>
      </c>
      <c r="BA4" s="14" t="s">
        <v>106</v>
      </c>
      <c r="BB4" s="14" t="s">
        <v>107</v>
      </c>
      <c r="BC4" s="14" t="s">
        <v>109</v>
      </c>
      <c r="BD4" s="14" t="s">
        <v>110</v>
      </c>
      <c r="BF4" s="13" t="s">
        <v>128</v>
      </c>
      <c r="BG4" s="14" t="s">
        <v>111</v>
      </c>
      <c r="BH4" s="14" t="s">
        <v>112</v>
      </c>
      <c r="BK4" s="9"/>
      <c r="BL4" s="13" t="s">
        <v>258</v>
      </c>
      <c r="BM4" s="14" t="s">
        <v>14</v>
      </c>
      <c r="BN4" s="14" t="s">
        <v>15</v>
      </c>
      <c r="BO4" s="14" t="s">
        <v>16</v>
      </c>
      <c r="BP4" s="14" t="s">
        <v>17</v>
      </c>
      <c r="BQ4" s="14" t="s">
        <v>18</v>
      </c>
      <c r="BR4" s="14" t="s">
        <v>14</v>
      </c>
      <c r="BS4" s="14" t="s">
        <v>15</v>
      </c>
      <c r="BT4" s="14" t="s">
        <v>16</v>
      </c>
      <c r="BU4" s="14" t="s">
        <v>17</v>
      </c>
      <c r="BV4" s="14" t="s">
        <v>18</v>
      </c>
      <c r="CA4" s="2">
        <v>1</v>
      </c>
      <c r="CB4" s="2" t="s">
        <v>191</v>
      </c>
      <c r="CC4" s="2" t="s">
        <v>195</v>
      </c>
      <c r="CD4" s="2">
        <f>'[1]功能-付费相关'!I23</f>
        <v>0.1</v>
      </c>
      <c r="CE4" s="2" t="s">
        <v>194</v>
      </c>
      <c r="CJ4" s="2">
        <f>[4]兵营招募!S38</f>
        <v>1</v>
      </c>
      <c r="CK4" s="2">
        <f>[4]兵营招募!U38</f>
        <v>1500</v>
      </c>
      <c r="CO4" s="7">
        <v>1</v>
      </c>
      <c r="CP4" s="7">
        <v>25680</v>
      </c>
    </row>
    <row r="5" spans="2:94" ht="11.25" customHeight="1" x14ac:dyDescent="0.15">
      <c r="B5" s="7">
        <v>1</v>
      </c>
      <c r="C5" s="7">
        <f>[1]服务器生态!W22</f>
        <v>9000</v>
      </c>
      <c r="D5" s="7">
        <f>[1]服务器生态!X22</f>
        <v>725.99999999999966</v>
      </c>
      <c r="E5" s="7">
        <f>[1]服务器生态!Y22</f>
        <v>256</v>
      </c>
      <c r="F5" s="7">
        <f>[1]服务器生态!Z22</f>
        <v>16</v>
      </c>
      <c r="G5" s="7">
        <f>[1]服务器生态!AA22</f>
        <v>2</v>
      </c>
      <c r="H5" s="7">
        <f>[1]服务器生态!AC22</f>
        <v>0.9</v>
      </c>
      <c r="I5" s="7">
        <f>[1]服务器生态!AD22</f>
        <v>7.259999999999997E-2</v>
      </c>
      <c r="J5" s="7">
        <f>[1]服务器生态!AE22</f>
        <v>2.5600000000000001E-2</v>
      </c>
      <c r="K5" s="7">
        <f>[1]服务器生态!AF22</f>
        <v>1.6000000000000001E-3</v>
      </c>
      <c r="L5" s="7">
        <f>[1]服务器生态!AG22</f>
        <v>2.0000000000000001E-4</v>
      </c>
      <c r="M5" s="7">
        <f>[5]基础信息!M4</f>
        <v>63.333333333333336</v>
      </c>
      <c r="Q5" s="7">
        <v>1</v>
      </c>
      <c r="R5" s="7">
        <f>[6]带兵数!D4</f>
        <v>1249.1935266914652</v>
      </c>
      <c r="S5" s="7">
        <f>[6]带兵数!E4</f>
        <v>1256.4030344854348</v>
      </c>
      <c r="T5" s="7">
        <f>[6]带兵数!F4</f>
        <v>1264.2533874166461</v>
      </c>
      <c r="U5" s="7">
        <f>[6]带兵数!G4</f>
        <v>1272.7882794717291</v>
      </c>
      <c r="V5" s="7">
        <f>[6]带兵数!H4</f>
        <v>1281.8766286907937</v>
      </c>
      <c r="X5" s="7">
        <v>1</v>
      </c>
      <c r="Y5" s="7">
        <f>求节点(节奏总纲!D$4:D$163,R$5:R$164,$X5)*6</f>
        <v>13317.895950578408</v>
      </c>
      <c r="Z5" s="7">
        <f>求节点(节奏总纲!E$4:E$163,S$5:S$164,$X5)*6</f>
        <v>14094.771682418683</v>
      </c>
      <c r="AA5" s="7">
        <f>求节点(节奏总纲!F$4:F$163,T$5:T$164,$X5)*6</f>
        <v>15150.263259704861</v>
      </c>
      <c r="AB5" s="7">
        <f>求节点(节奏总纲!G$4:G$163,U$5:U$164,$X5)*6</f>
        <v>16730.159265834445</v>
      </c>
      <c r="AC5" s="7">
        <f>求节点(节奏总纲!H$4:H$163,V$5:V$164,$X5)*6</f>
        <v>19716.521680422728</v>
      </c>
      <c r="AF5" s="58"/>
      <c r="AG5" s="7">
        <v>1</v>
      </c>
      <c r="AH5" s="7">
        <v>1</v>
      </c>
      <c r="AI5" s="7">
        <f>[6]实力验证!$Z7</f>
        <v>1.3261167529144864</v>
      </c>
      <c r="AJ5" s="7">
        <f>[6]实力验证!$AE7</f>
        <v>1.8692830080213911</v>
      </c>
      <c r="AK5" s="7">
        <f>[6]实力验证!$AJ7</f>
        <v>3.1583367092135126</v>
      </c>
      <c r="AL5" s="7">
        <f>[6]实力验证!$AO7</f>
        <v>7.4992242435651049</v>
      </c>
      <c r="AM5" s="7">
        <f t="shared" ref="AM5:AM68" si="0">AH5*H5*$M5*AH$2+AI5*I5*$M5*AI$2+AJ5*J5*$M5*AJ$2+AK5*K5*$M5*AK$2+AL5*L5*$M5*AL$2</f>
        <v>21.343876349121032</v>
      </c>
      <c r="AQ5" s="58"/>
      <c r="AR5" s="14">
        <v>1</v>
      </c>
      <c r="AS5" s="14">
        <f>[6]攻城值!AC5</f>
        <v>3.502035764964516</v>
      </c>
      <c r="AT5" s="14">
        <f>[6]攻城值!AD5</f>
        <v>3.5089618315413351</v>
      </c>
      <c r="AU5" s="14">
        <f>[6]攻城值!AE5</f>
        <v>3.489904548604176</v>
      </c>
      <c r="AV5" s="14">
        <f>[6]攻城值!AF5</f>
        <v>3.5995789245238257</v>
      </c>
      <c r="AW5" s="14">
        <f>[6]攻城值!AG5</f>
        <v>3.5935508915850818</v>
      </c>
      <c r="AX5" s="58"/>
      <c r="AY5" s="14">
        <v>1</v>
      </c>
      <c r="AZ5" s="14">
        <f>[6]攻城值!AJ5</f>
        <v>400.23265885308757</v>
      </c>
      <c r="BA5" s="14">
        <f>[6]攻城值!AK5</f>
        <v>400.32213351053593</v>
      </c>
      <c r="BB5" s="14">
        <f>[6]攻城值!AL5</f>
        <v>400.54527725281667</v>
      </c>
      <c r="BC5" s="14">
        <f>[6]攻城值!AM5</f>
        <v>400</v>
      </c>
      <c r="BD5" s="14">
        <f>[6]攻城值!AN5</f>
        <v>400</v>
      </c>
      <c r="BF5" s="14">
        <v>1</v>
      </c>
      <c r="BG5" s="14">
        <f>[6]攻城值!AQ5</f>
        <v>8.6741016109045839E-3</v>
      </c>
      <c r="BH5" s="14">
        <f>[6]攻城值!AR5</f>
        <v>0.99132589838909546</v>
      </c>
      <c r="BL5" s="14">
        <v>1</v>
      </c>
      <c r="BM5" s="15">
        <f>$BN$2</f>
        <v>1</v>
      </c>
      <c r="BN5" s="15">
        <f t="shared" ref="BN5:BQ5" si="1">$BN$2</f>
        <v>1</v>
      </c>
      <c r="BO5" s="15">
        <f t="shared" si="1"/>
        <v>1</v>
      </c>
      <c r="BP5" s="15">
        <f t="shared" si="1"/>
        <v>1</v>
      </c>
      <c r="BQ5" s="15">
        <f t="shared" si="1"/>
        <v>1</v>
      </c>
      <c r="BR5" s="15">
        <f>'[1]功能-战损相关'!M11</f>
        <v>0.125</v>
      </c>
      <c r="BS5" s="15">
        <f>'[1]功能-战损相关'!N11</f>
        <v>0.125</v>
      </c>
      <c r="BT5" s="15">
        <f>'[1]功能-战损相关'!O11</f>
        <v>0.125</v>
      </c>
      <c r="BU5" s="15">
        <f>'[1]功能-战损相关'!P11</f>
        <v>0.125</v>
      </c>
      <c r="BV5" s="15">
        <f>'[1]功能-战损相关'!Q11</f>
        <v>0.125</v>
      </c>
      <c r="CA5" s="2">
        <v>1</v>
      </c>
      <c r="CB5" s="2" t="s">
        <v>192</v>
      </c>
      <c r="CC5" s="2" t="s">
        <v>195</v>
      </c>
      <c r="CD5" s="2">
        <f>'[1]功能-付费相关'!I24</f>
        <v>0.1</v>
      </c>
      <c r="CE5" s="2" t="s">
        <v>194</v>
      </c>
      <c r="CJ5" s="2">
        <f>[4]兵营招募!S39</f>
        <v>2</v>
      </c>
      <c r="CK5" s="2">
        <f>[4]兵营招募!U39</f>
        <v>1500</v>
      </c>
      <c r="CO5" s="7">
        <v>2</v>
      </c>
      <c r="CP5" s="7">
        <v>30300</v>
      </c>
    </row>
    <row r="6" spans="2:94" x14ac:dyDescent="0.15">
      <c r="B6" s="7">
        <v>2</v>
      </c>
      <c r="C6" s="7">
        <f>[1]服务器生态!W23</f>
        <v>3454.304347826087</v>
      </c>
      <c r="D6" s="7">
        <f>[1]服务器生态!X23</f>
        <v>426.60231884057947</v>
      </c>
      <c r="E6" s="7">
        <f>[1]服务器生态!Y23</f>
        <v>109.22666666666666</v>
      </c>
      <c r="F6" s="7">
        <f>[1]服务器生态!Z23</f>
        <v>8.5333333333333332</v>
      </c>
      <c r="G6" s="7">
        <f>[1]服务器生态!AA23</f>
        <v>1.3333333333333335</v>
      </c>
      <c r="H6" s="7">
        <f>[1]服务器生态!AC23</f>
        <v>0.86357608695652177</v>
      </c>
      <c r="I6" s="7">
        <f>[1]服务器生态!AD23</f>
        <v>0.10665057971014487</v>
      </c>
      <c r="J6" s="7">
        <f>[1]服务器生态!AE23</f>
        <v>2.7306666666666667E-2</v>
      </c>
      <c r="K6" s="7">
        <f>[1]服务器生态!AF23</f>
        <v>2.1333333333333334E-3</v>
      </c>
      <c r="L6" s="7">
        <f>[1]服务器生态!AG23</f>
        <v>3.3333333333333338E-4</v>
      </c>
      <c r="M6" s="7">
        <f>[5]基础信息!M5</f>
        <v>65.904761904761898</v>
      </c>
      <c r="Q6" s="7">
        <v>2</v>
      </c>
      <c r="R6" s="7">
        <f>[6]带兵数!D5</f>
        <v>1418.8419488561699</v>
      </c>
      <c r="S6" s="7">
        <f>[6]带兵数!E5</f>
        <v>1430.067141301593</v>
      </c>
      <c r="T6" s="7">
        <f>[6]带兵数!F5</f>
        <v>1440.9032272336713</v>
      </c>
      <c r="U6" s="7">
        <f>[6]带兵数!G5</f>
        <v>1455.9075023815944</v>
      </c>
      <c r="V6" s="7">
        <f>[6]带兵数!H5</f>
        <v>1470.8776749654153</v>
      </c>
      <c r="X6" s="7">
        <v>2</v>
      </c>
      <c r="Y6" s="7">
        <f>求节点(节奏总纲!D$4:D$163,R$5:R$164,$X6)*6</f>
        <v>16079.398530861479</v>
      </c>
      <c r="Z6" s="7">
        <f>求节点(节奏总纲!E$4:E$163,S$5:S$164,$X6)*6</f>
        <v>16950.941232978796</v>
      </c>
      <c r="AA6" s="7">
        <f>求节点(节奏总纲!F$4:F$163,T$5:T$164,$X6)*6</f>
        <v>18120.882103313346</v>
      </c>
      <c r="AB6" s="7">
        <f>求节点(节奏总纲!G$4:G$163,U$5:U$164,$X6)*6</f>
        <v>19868.799903065272</v>
      </c>
      <c r="AC6" s="7">
        <f>求节点(节奏总纲!H$4:H$163,V$5:V$164,$X6)*6</f>
        <v>23092.007442867503</v>
      </c>
      <c r="AF6" s="58"/>
      <c r="AG6" s="7">
        <v>2</v>
      </c>
      <c r="AH6" s="7">
        <v>1</v>
      </c>
      <c r="AI6" s="7">
        <f>[6]实力验证!$Z8</f>
        <v>1.276325027060969</v>
      </c>
      <c r="AJ6" s="7">
        <f>[6]实力验证!$AE8</f>
        <v>1.8094371394140152</v>
      </c>
      <c r="AK6" s="7">
        <f>[6]实力验证!$AJ8</f>
        <v>3.0842207717094436</v>
      </c>
      <c r="AL6" s="7">
        <f>[6]实力验证!$AO8</f>
        <v>8.5938082070728701</v>
      </c>
      <c r="AM6" s="7">
        <f t="shared" si="0"/>
        <v>23.871607757267267</v>
      </c>
      <c r="AQ6" s="58"/>
      <c r="AR6" s="14">
        <v>2</v>
      </c>
      <c r="AS6" s="14">
        <f>[6]攻城值!AC6</f>
        <v>7.0081430598580647</v>
      </c>
      <c r="AT6" s="14">
        <f>[6]攻城值!AD6</f>
        <v>7.0235708861488524</v>
      </c>
      <c r="AU6" s="14">
        <f>[6]攻城值!AE6</f>
        <v>6.9893109721419764</v>
      </c>
      <c r="AV6" s="14">
        <f>[6]攻城值!AF6</f>
        <v>7.1991578490476478</v>
      </c>
      <c r="AW6" s="14">
        <f>[6]攻城值!AG6</f>
        <v>7.1871017831701636</v>
      </c>
      <c r="AX6" s="58"/>
      <c r="AY6" s="14">
        <v>2</v>
      </c>
      <c r="AZ6" s="14">
        <f>[6]攻城值!AJ6</f>
        <v>405.67256554565824</v>
      </c>
      <c r="BA6" s="14">
        <f>[6]攻城值!AK6</f>
        <v>406.08160528828347</v>
      </c>
      <c r="BB6" s="14">
        <f>[6]攻城值!AL6</f>
        <v>406.80292288030955</v>
      </c>
      <c r="BC6" s="14">
        <f>[6]攻城值!AM6</f>
        <v>406.02786273573179</v>
      </c>
      <c r="BD6" s="14">
        <f>[6]攻城值!AN6</f>
        <v>406.38093382826207</v>
      </c>
      <c r="BF6" s="14">
        <v>2</v>
      </c>
      <c r="BG6" s="14">
        <f>[6]攻城值!AQ6</f>
        <v>1.6981998222158685E-2</v>
      </c>
      <c r="BH6" s="14">
        <f>[6]攻城值!AR6</f>
        <v>0.98301800177784127</v>
      </c>
      <c r="BL6" s="14">
        <v>2</v>
      </c>
      <c r="BM6" s="15">
        <f t="shared" ref="BM6:BQ69" si="2">$BN$2</f>
        <v>1</v>
      </c>
      <c r="BN6" s="15">
        <f t="shared" si="2"/>
        <v>1</v>
      </c>
      <c r="BO6" s="15">
        <f t="shared" si="2"/>
        <v>1</v>
      </c>
      <c r="BP6" s="15">
        <f t="shared" si="2"/>
        <v>1</v>
      </c>
      <c r="BQ6" s="15">
        <f t="shared" si="2"/>
        <v>1</v>
      </c>
      <c r="BR6" s="15">
        <f>'[1]功能-战损相关'!M12</f>
        <v>0.125</v>
      </c>
      <c r="BS6" s="15">
        <f>'[1]功能-战损相关'!N12</f>
        <v>0.125</v>
      </c>
      <c r="BT6" s="15">
        <f>'[1]功能-战损相关'!O12</f>
        <v>0.125</v>
      </c>
      <c r="BU6" s="15">
        <f>'[1]功能-战损相关'!P12</f>
        <v>0.125</v>
      </c>
      <c r="BV6" s="15">
        <f>'[1]功能-战损相关'!Q12</f>
        <v>0.125</v>
      </c>
      <c r="CA6" s="2">
        <v>1</v>
      </c>
      <c r="CB6" s="2" t="s">
        <v>193</v>
      </c>
      <c r="CC6" s="2" t="s">
        <v>195</v>
      </c>
      <c r="CD6" s="2">
        <f>'[1]功能-付费相关'!I25</f>
        <v>0.1</v>
      </c>
      <c r="CE6" s="2" t="s">
        <v>194</v>
      </c>
      <c r="CJ6" s="2">
        <f>[4]兵营招募!S40</f>
        <v>3</v>
      </c>
      <c r="CK6" s="2">
        <f>[4]兵营招募!U40</f>
        <v>1500</v>
      </c>
      <c r="CO6" s="7">
        <v>3</v>
      </c>
      <c r="CP6" s="7">
        <v>34200</v>
      </c>
    </row>
    <row r="7" spans="2:94" x14ac:dyDescent="0.15">
      <c r="B7" s="7">
        <v>3</v>
      </c>
      <c r="C7" s="7">
        <f>[1]服务器生态!W24</f>
        <v>2646.8869565217392</v>
      </c>
      <c r="D7" s="7">
        <f>[1]服务器生态!X24</f>
        <v>450.24371014492726</v>
      </c>
      <c r="E7" s="7">
        <f>[1]服务器生态!Y24</f>
        <v>92.842666666666659</v>
      </c>
      <c r="F7" s="7">
        <f>[1]服务器生态!Z24</f>
        <v>8.533333333333335</v>
      </c>
      <c r="G7" s="7">
        <f>[1]服务器生态!AA24</f>
        <v>1.4933333333333334</v>
      </c>
      <c r="H7" s="7">
        <f>[1]服务器生态!AC24</f>
        <v>0.82715217391304352</v>
      </c>
      <c r="I7" s="7">
        <f>[1]服务器生态!AD24</f>
        <v>0.14070115942028977</v>
      </c>
      <c r="J7" s="7">
        <f>[1]服务器生态!AE24</f>
        <v>2.9013333333333332E-2</v>
      </c>
      <c r="K7" s="7">
        <f>[1]服务器生态!AF24</f>
        <v>2.666666666666667E-3</v>
      </c>
      <c r="L7" s="7">
        <f>[1]服务器生态!AG24</f>
        <v>4.6666666666666666E-4</v>
      </c>
      <c r="M7" s="7">
        <f>[5]基础信息!M6</f>
        <v>67.714285714285708</v>
      </c>
      <c r="Q7" s="7">
        <v>3</v>
      </c>
      <c r="R7" s="7">
        <f>[6]带兵数!D6</f>
        <v>1553.8747529174316</v>
      </c>
      <c r="S7" s="7">
        <f>[6]带兵数!E6</f>
        <v>1568.8848630060143</v>
      </c>
      <c r="T7" s="7">
        <f>[6]带兵数!F6</f>
        <v>1583.7527718926308</v>
      </c>
      <c r="U7" s="7">
        <f>[6]带兵数!G6</f>
        <v>1605.3982079286131</v>
      </c>
      <c r="V7" s="7">
        <f>[6]带兵数!H6</f>
        <v>1625.3672601748178</v>
      </c>
      <c r="X7" s="7">
        <v>3</v>
      </c>
      <c r="Y7" s="7">
        <f>求节点(节奏总纲!D$4:D$163,R$5:R$164,$X7)*6</f>
        <v>17873.038768239676</v>
      </c>
      <c r="Z7" s="7">
        <f>求节点(节奏总纲!E$4:E$163,S$5:S$164,$X7)*6</f>
        <v>18783.022482719858</v>
      </c>
      <c r="AA7" s="7">
        <f>求节点(节奏总纲!F$4:F$163,T$5:T$164,$X7)*6</f>
        <v>20012.551992595079</v>
      </c>
      <c r="AB7" s="7">
        <f>求节点(节奏总纲!G$4:G$163,U$5:U$164,$X7)*6</f>
        <v>21836.950389739959</v>
      </c>
      <c r="AC7" s="7">
        <f>求节点(节奏总纲!H$4:H$163,V$5:V$164,$X7)*6</f>
        <v>25154.003675283078</v>
      </c>
      <c r="AF7" s="58"/>
      <c r="AG7" s="7">
        <v>3</v>
      </c>
      <c r="AH7" s="7">
        <v>1</v>
      </c>
      <c r="AI7" s="7">
        <f>[6]实力验证!$Z9</f>
        <v>1.2607853690125306</v>
      </c>
      <c r="AJ7" s="7">
        <f>[6]实力验证!$AE9</f>
        <v>1.7734796378766728</v>
      </c>
      <c r="AK7" s="7">
        <f>[6]实力验证!$AJ9</f>
        <v>3.1076919539993271</v>
      </c>
      <c r="AL7" s="7">
        <f>[6]实力验证!$AO9</f>
        <v>11.011859182842645</v>
      </c>
      <c r="AM7" s="7">
        <f t="shared" si="0"/>
        <v>26.499112581672708</v>
      </c>
      <c r="AQ7" s="58"/>
      <c r="AR7" s="14">
        <v>3</v>
      </c>
      <c r="AS7" s="14">
        <f>[6]攻城值!AC7</f>
        <v>10.518321884680645</v>
      </c>
      <c r="AT7" s="14">
        <f>[6]攻城值!AD7</f>
        <v>10.543827163822543</v>
      </c>
      <c r="AU7" s="14">
        <f>[6]攻城值!AE7</f>
        <v>10.498219270613399</v>
      </c>
      <c r="AV7" s="14">
        <f>[6]攻城值!AF7</f>
        <v>10.798736773571473</v>
      </c>
      <c r="AW7" s="14">
        <f>[6]攻城值!AG7</f>
        <v>10.780652674755242</v>
      </c>
      <c r="AX7" s="58"/>
      <c r="AY7" s="14">
        <v>3</v>
      </c>
      <c r="AZ7" s="14">
        <f>[6]攻城值!AJ7</f>
        <v>411.11852276124051</v>
      </c>
      <c r="BA7" s="14">
        <f>[6]攻城值!AK7</f>
        <v>411.84982072721959</v>
      </c>
      <c r="BB7" s="14">
        <f>[6]攻城值!AL7</f>
        <v>413.07610028485095</v>
      </c>
      <c r="BC7" s="14">
        <f>[6]攻城值!AM7</f>
        <v>412.05572547146357</v>
      </c>
      <c r="BD7" s="14">
        <f>[6]攻城值!AN7</f>
        <v>412.76186765652415</v>
      </c>
      <c r="BF7" s="14">
        <v>3</v>
      </c>
      <c r="BG7" s="14">
        <f>[6]攻城值!AQ7</f>
        <v>2.4946401193931805E-2</v>
      </c>
      <c r="BH7" s="14">
        <f>[6]攻城值!AR7</f>
        <v>0.97505359880606823</v>
      </c>
      <c r="BL7" s="14">
        <v>3</v>
      </c>
      <c r="BM7" s="15">
        <f t="shared" si="2"/>
        <v>1</v>
      </c>
      <c r="BN7" s="15">
        <f t="shared" si="2"/>
        <v>1</v>
      </c>
      <c r="BO7" s="15">
        <f t="shared" si="2"/>
        <v>1</v>
      </c>
      <c r="BP7" s="15">
        <f t="shared" si="2"/>
        <v>1</v>
      </c>
      <c r="BQ7" s="15">
        <f t="shared" si="2"/>
        <v>1</v>
      </c>
      <c r="BR7" s="15">
        <f>'[1]功能-战损相关'!M13</f>
        <v>0.125</v>
      </c>
      <c r="BS7" s="15">
        <f>'[1]功能-战损相关'!N13</f>
        <v>0.125</v>
      </c>
      <c r="BT7" s="15">
        <f>'[1]功能-战损相关'!O13</f>
        <v>0.125</v>
      </c>
      <c r="BU7" s="15">
        <f>'[1]功能-战损相关'!P13</f>
        <v>0.125</v>
      </c>
      <c r="BV7" s="15">
        <f>'[1]功能-战损相关'!Q13</f>
        <v>0.125</v>
      </c>
      <c r="BW7" s="9"/>
      <c r="BX7" s="9"/>
      <c r="CJ7" s="2">
        <f>[4]兵营招募!S41</f>
        <v>4</v>
      </c>
      <c r="CK7" s="2">
        <f>[4]兵营招募!U41</f>
        <v>1500</v>
      </c>
      <c r="CO7" s="7">
        <v>4</v>
      </c>
      <c r="CP7" s="7">
        <v>37020</v>
      </c>
    </row>
    <row r="8" spans="2:94" x14ac:dyDescent="0.15">
      <c r="B8" s="7">
        <v>4</v>
      </c>
      <c r="C8" s="7">
        <f>[1]服务器生态!W25</f>
        <v>1897.7478260869568</v>
      </c>
      <c r="D8" s="7">
        <f>[1]服务器生态!X25</f>
        <v>419.40417391304322</v>
      </c>
      <c r="E8" s="7">
        <f>[1]服务器生态!Y25</f>
        <v>73.727999999999994</v>
      </c>
      <c r="F8" s="7">
        <f>[1]服务器生态!Z25</f>
        <v>7.6800000000000015</v>
      </c>
      <c r="G8" s="7">
        <f>[1]服务器生态!AA25</f>
        <v>1.4400000000000002</v>
      </c>
      <c r="H8" s="7">
        <f>[1]服务器生态!AC25</f>
        <v>0.79072826086956538</v>
      </c>
      <c r="I8" s="7">
        <f>[1]服务器生态!AD25</f>
        <v>0.17475173913043468</v>
      </c>
      <c r="J8" s="7">
        <f>[1]服务器生态!AE25</f>
        <v>3.0719999999999997E-2</v>
      </c>
      <c r="K8" s="7">
        <f>[1]服务器生态!AF25</f>
        <v>3.2000000000000006E-3</v>
      </c>
      <c r="L8" s="7">
        <f>[1]服务器生态!AG25</f>
        <v>6.0000000000000006E-4</v>
      </c>
      <c r="M8" s="7">
        <f>[5]基础信息!M7</f>
        <v>69.166666666666671</v>
      </c>
      <c r="Q8" s="7">
        <v>4</v>
      </c>
      <c r="R8" s="7">
        <f>[6]带兵数!D7</f>
        <v>1670.3608952873747</v>
      </c>
      <c r="S8" s="7">
        <f>[6]带兵数!E7</f>
        <v>1688.1131913936119</v>
      </c>
      <c r="T8" s="7">
        <f>[6]带兵数!F7</f>
        <v>1705.3730782166685</v>
      </c>
      <c r="U8" s="7">
        <f>[6]带兵数!G7</f>
        <v>1731.6442908689291</v>
      </c>
      <c r="V8" s="7">
        <f>[6]带兵数!H7</f>
        <v>1756.5440388880138</v>
      </c>
      <c r="X8" s="7">
        <v>4</v>
      </c>
      <c r="Y8" s="7">
        <f>求节点(节奏总纲!D$4:D$163,R$5:R$164,$X8)*6</f>
        <v>19197.73679813544</v>
      </c>
      <c r="Z8" s="7">
        <f>求节点(节奏总纲!E$4:E$163,S$5:S$164,$X8)*6</f>
        <v>20144.834035524498</v>
      </c>
      <c r="AA8" s="7">
        <f>求节点(节奏总纲!F$4:F$163,T$5:T$164,$X8)*6</f>
        <v>21406.36685861733</v>
      </c>
      <c r="AB8" s="7">
        <f>求节点(节奏总纲!G$4:G$163,U$5:U$164,$X8)*6</f>
        <v>23266.048952969642</v>
      </c>
      <c r="AC8" s="7">
        <f>求节点(节奏总纲!H$4:H$163,V$5:V$164,$X8)*6</f>
        <v>26664.388850628606</v>
      </c>
      <c r="AF8" s="58"/>
      <c r="AG8" s="7">
        <v>4</v>
      </c>
      <c r="AH8" s="7">
        <v>1</v>
      </c>
      <c r="AI8" s="7">
        <f>[6]实力验证!$Z10</f>
        <v>1.2526981752285258</v>
      </c>
      <c r="AJ8" s="7">
        <f>[6]实力验证!$AE10</f>
        <v>1.7774212515359076</v>
      </c>
      <c r="AK8" s="7">
        <f>[6]实力验证!$AJ10</f>
        <v>3.7089810671517176</v>
      </c>
      <c r="AL8" s="7">
        <f>[6]实力验证!$AO10</f>
        <v>11.98515748686691</v>
      </c>
      <c r="AM8" s="7">
        <f t="shared" si="0"/>
        <v>29.457828547464072</v>
      </c>
      <c r="AQ8" s="58"/>
      <c r="AR8" s="14">
        <v>4</v>
      </c>
      <c r="AS8" s="14">
        <f>[6]攻城值!AC8</f>
        <v>14.032572239432255</v>
      </c>
      <c r="AT8" s="14">
        <f>[6]攻城值!AD8</f>
        <v>14.069730664562414</v>
      </c>
      <c r="AU8" s="14">
        <f>[6]攻城值!AE8</f>
        <v>14.01662944401845</v>
      </c>
      <c r="AV8" s="14">
        <f>[6]攻城值!AF8</f>
        <v>14.398315698095299</v>
      </c>
      <c r="AW8" s="14">
        <f>[6]攻城值!AG8</f>
        <v>14.374203566340324</v>
      </c>
      <c r="AX8" s="58"/>
      <c r="AY8" s="14">
        <v>4</v>
      </c>
      <c r="AZ8" s="14">
        <f>[6]攻城值!AJ8</f>
        <v>416.57053049983443</v>
      </c>
      <c r="BA8" s="14">
        <f>[6]攻城值!AK8</f>
        <v>417.62677982734419</v>
      </c>
      <c r="BB8" s="14">
        <f>[6]攻城值!AL8</f>
        <v>419.36480946644093</v>
      </c>
      <c r="BC8" s="14">
        <f>[6]攻城值!AM8</f>
        <v>418.08358820719536</v>
      </c>
      <c r="BD8" s="14">
        <f>[6]攻城值!AN8</f>
        <v>419.14280148478622</v>
      </c>
      <c r="BF8" s="14">
        <v>4</v>
      </c>
      <c r="BG8" s="14">
        <f>[6]攻城值!AQ8</f>
        <v>3.258818190153423E-2</v>
      </c>
      <c r="BH8" s="14">
        <f>[6]攻城值!AR8</f>
        <v>0.96741181809846588</v>
      </c>
      <c r="BL8" s="14">
        <v>4</v>
      </c>
      <c r="BM8" s="15">
        <f t="shared" si="2"/>
        <v>1</v>
      </c>
      <c r="BN8" s="15">
        <f t="shared" si="2"/>
        <v>1</v>
      </c>
      <c r="BO8" s="15">
        <f t="shared" si="2"/>
        <v>1</v>
      </c>
      <c r="BP8" s="15">
        <f t="shared" si="2"/>
        <v>1</v>
      </c>
      <c r="BQ8" s="15">
        <f t="shared" si="2"/>
        <v>1</v>
      </c>
      <c r="BR8" s="15">
        <f>'[1]功能-战损相关'!M14</f>
        <v>0.125</v>
      </c>
      <c r="BS8" s="15">
        <f>'[1]功能-战损相关'!N14</f>
        <v>0.125</v>
      </c>
      <c r="BT8" s="15">
        <f>'[1]功能-战损相关'!O14</f>
        <v>0.125</v>
      </c>
      <c r="BU8" s="15">
        <f>'[1]功能-战损相关'!P14</f>
        <v>0.125</v>
      </c>
      <c r="BV8" s="15">
        <f>'[1]功能-战损相关'!Q14</f>
        <v>0.125</v>
      </c>
      <c r="CJ8" s="2">
        <f>[4]兵营招募!S42</f>
        <v>5</v>
      </c>
      <c r="CK8" s="2">
        <f>[4]兵营招募!U42</f>
        <v>1500</v>
      </c>
      <c r="CO8" s="7">
        <v>5</v>
      </c>
      <c r="CP8" s="7">
        <v>39780</v>
      </c>
    </row>
    <row r="9" spans="2:94" x14ac:dyDescent="0.15">
      <c r="B9" s="7">
        <v>5</v>
      </c>
      <c r="C9" s="7">
        <f>[1]服务器生态!W26</f>
        <v>1640.6119565217396</v>
      </c>
      <c r="D9" s="7">
        <f>[1]服务器生态!X26</f>
        <v>454.14504347826056</v>
      </c>
      <c r="E9" s="7">
        <f>[1]服务器生态!Y26</f>
        <v>70.528000000000006</v>
      </c>
      <c r="F9" s="7">
        <f>[1]服务器生态!Z26</f>
        <v>8.120000000000001</v>
      </c>
      <c r="G9" s="7">
        <f>[1]服务器生态!AA26</f>
        <v>1.595</v>
      </c>
      <c r="H9" s="7">
        <f>[1]服务器生态!AC26</f>
        <v>0.75430434782608713</v>
      </c>
      <c r="I9" s="7">
        <f>[1]服务器生态!AD26</f>
        <v>0.20880231884057956</v>
      </c>
      <c r="J9" s="7">
        <f>[1]服务器生态!AE26</f>
        <v>3.2426666666666666E-2</v>
      </c>
      <c r="K9" s="7">
        <f>[1]服务器生态!AF26</f>
        <v>3.7333333333333342E-3</v>
      </c>
      <c r="L9" s="7">
        <f>[1]服务器生态!AG26</f>
        <v>7.3333333333333334E-4</v>
      </c>
      <c r="M9" s="7">
        <f>[5]基础信息!M8</f>
        <v>70.444444444444443</v>
      </c>
      <c r="Q9" s="7">
        <v>5</v>
      </c>
      <c r="R9" s="7">
        <f>[6]带兵数!D8</f>
        <v>1773.6903721970216</v>
      </c>
      <c r="S9" s="7">
        <f>[6]带兵数!E8</f>
        <v>1794.087292315779</v>
      </c>
      <c r="T9" s="7">
        <f>[6]带兵数!F8</f>
        <v>1811.4994928361634</v>
      </c>
      <c r="U9" s="7">
        <f>[6]带兵数!G8</f>
        <v>1840.3283314489927</v>
      </c>
      <c r="V9" s="7">
        <f>[6]带兵数!H8</f>
        <v>1866.5134272468667</v>
      </c>
      <c r="X9" s="7">
        <v>5</v>
      </c>
      <c r="Y9" s="7">
        <f>求节点(节奏总纲!D$4:D$163,R$5:R$164,$X9)*6</f>
        <v>20265.817498908455</v>
      </c>
      <c r="Z9" s="7">
        <f>求节点(节奏总纲!E$4:E$163,S$5:S$164,$X9)*6</f>
        <v>21228.175557622908</v>
      </c>
      <c r="AA9" s="7">
        <f>求节点(节奏总纲!F$4:F$163,T$5:T$164,$X9)*6</f>
        <v>22510.927155605219</v>
      </c>
      <c r="AB9" s="7">
        <f>求节点(节奏总纲!G$4:G$163,U$5:U$164,$X9)*6</f>
        <v>24398.71111740452</v>
      </c>
      <c r="AC9" s="7">
        <f>求节点(节奏总纲!H$4:H$163,V$5:V$164,$X9)*6</f>
        <v>27832.968393763629</v>
      </c>
      <c r="AF9" s="58"/>
      <c r="AG9" s="7">
        <v>5</v>
      </c>
      <c r="AH9" s="7">
        <v>1</v>
      </c>
      <c r="AI9" s="7">
        <f>[6]实力验证!$Z11</f>
        <v>1.2680236602654646</v>
      </c>
      <c r="AJ9" s="7">
        <f>[6]实力验证!$AE11</f>
        <v>1.9422987023142755</v>
      </c>
      <c r="AK9" s="7">
        <f>[6]实力验证!$AJ11</f>
        <v>4.4238839694309746</v>
      </c>
      <c r="AL9" s="7">
        <f>[6]实力验证!$AO11</f>
        <v>12.304469325484646</v>
      </c>
      <c r="AM9" s="7">
        <f t="shared" si="0"/>
        <v>33.402427406767039</v>
      </c>
      <c r="AQ9" s="58"/>
      <c r="AR9" s="14">
        <v>5</v>
      </c>
      <c r="AS9" s="14">
        <f>[6]攻城值!AC9</f>
        <v>17.550894124112901</v>
      </c>
      <c r="AT9" s="14">
        <f>[6]攻城值!AD9</f>
        <v>17.601281388368459</v>
      </c>
      <c r="AU9" s="14">
        <f>[6]攻城值!AE9</f>
        <v>17.544541492357123</v>
      </c>
      <c r="AV9" s="14">
        <f>[6]攻城值!AF9</f>
        <v>17.997894622619121</v>
      </c>
      <c r="AW9" s="14">
        <f>[6]攻城值!AG9</f>
        <v>17.967754457925402</v>
      </c>
      <c r="AX9" s="58"/>
      <c r="AY9" s="14">
        <v>5</v>
      </c>
      <c r="AZ9" s="14">
        <f>[6]攻城值!AJ9</f>
        <v>422.02858876144001</v>
      </c>
      <c r="BA9" s="14">
        <f>[6]攻城值!AK9</f>
        <v>423.41248258865738</v>
      </c>
      <c r="BB9" s="14">
        <f>[6]攻城值!AL9</f>
        <v>425.66905042507932</v>
      </c>
      <c r="BC9" s="14">
        <f>[6]攻城值!AM9</f>
        <v>424.11145094292715</v>
      </c>
      <c r="BD9" s="14">
        <f>[6]攻城值!AN9</f>
        <v>425.52373531304835</v>
      </c>
      <c r="BF9" s="14">
        <v>5</v>
      </c>
      <c r="BG9" s="14">
        <f>[6]攻城值!AQ9</f>
        <v>3.992655437169796E-2</v>
      </c>
      <c r="BH9" s="14">
        <f>[6]攻城值!AR9</f>
        <v>0.96007344562830199</v>
      </c>
      <c r="BL9" s="14">
        <v>5</v>
      </c>
      <c r="BM9" s="15">
        <f t="shared" si="2"/>
        <v>1</v>
      </c>
      <c r="BN9" s="15">
        <f t="shared" si="2"/>
        <v>1</v>
      </c>
      <c r="BO9" s="15">
        <f t="shared" si="2"/>
        <v>1</v>
      </c>
      <c r="BP9" s="15">
        <f t="shared" si="2"/>
        <v>1</v>
      </c>
      <c r="BQ9" s="15">
        <f t="shared" si="2"/>
        <v>1</v>
      </c>
      <c r="BR9" s="15">
        <f>'[1]功能-战损相关'!M15</f>
        <v>0.125</v>
      </c>
      <c r="BS9" s="15">
        <f>'[1]功能-战损相关'!N15</f>
        <v>0.125</v>
      </c>
      <c r="BT9" s="15">
        <f>'[1]功能-战损相关'!O15</f>
        <v>0.125</v>
      </c>
      <c r="BU9" s="15">
        <f>'[1]功能-战损相关'!P15</f>
        <v>0.125</v>
      </c>
      <c r="BV9" s="15">
        <f>'[1]功能-战损相关'!Q15</f>
        <v>0.125</v>
      </c>
      <c r="CJ9" s="2">
        <f>[4]兵营招募!S43</f>
        <v>6</v>
      </c>
      <c r="CK9" s="2">
        <f>[4]兵营招募!U43</f>
        <v>1500</v>
      </c>
      <c r="CO9" s="7">
        <v>6</v>
      </c>
      <c r="CP9" s="7">
        <v>41820</v>
      </c>
    </row>
    <row r="10" spans="2:94" x14ac:dyDescent="0.15">
      <c r="B10" s="7">
        <v>6</v>
      </c>
      <c r="C10" s="7">
        <f>[1]服务器生态!W27</f>
        <v>1399.8668478260872</v>
      </c>
      <c r="D10" s="7">
        <f>[1]服务器生态!X27</f>
        <v>473.56315217391273</v>
      </c>
      <c r="E10" s="7">
        <f>[1]服务器生态!Y27</f>
        <v>66.56</v>
      </c>
      <c r="F10" s="7">
        <f>[1]服务器生态!Z27</f>
        <v>8.3200000000000021</v>
      </c>
      <c r="G10" s="7">
        <f>[1]服务器生态!AA27</f>
        <v>1.6900000000000002</v>
      </c>
      <c r="H10" s="7">
        <f>[1]服务器生态!AC27</f>
        <v>0.71788043478260888</v>
      </c>
      <c r="I10" s="7">
        <f>[1]服务器生态!AD27</f>
        <v>0.24285289855072448</v>
      </c>
      <c r="J10" s="7">
        <f>[1]服务器生态!AE27</f>
        <v>3.4133333333333335E-2</v>
      </c>
      <c r="K10" s="7">
        <f>[1]服务器生态!AF27</f>
        <v>4.2666666666666677E-3</v>
      </c>
      <c r="L10" s="7">
        <f>[1]服务器生态!AG27</f>
        <v>8.6666666666666674E-4</v>
      </c>
      <c r="M10" s="7">
        <f>[5]基础信息!M9</f>
        <v>71.555555555555557</v>
      </c>
      <c r="Q10" s="7">
        <v>6</v>
      </c>
      <c r="R10" s="7">
        <f>[6]带兵数!D9</f>
        <v>1867.310354464177</v>
      </c>
      <c r="S10" s="7">
        <f>[6]带兵数!E9</f>
        <v>1890.539935329901</v>
      </c>
      <c r="T10" s="7">
        <f>[6]带兵数!F9</f>
        <v>1910.1858368510848</v>
      </c>
      <c r="U10" s="7">
        <f>[6]带兵数!G9</f>
        <v>1941.7610659195982</v>
      </c>
      <c r="V10" s="7">
        <f>[6]带兵数!H9</f>
        <v>1970.860537727905</v>
      </c>
      <c r="X10" s="7">
        <v>6</v>
      </c>
      <c r="Y10" s="7">
        <f>求节点(节奏总纲!D$4:D$163,R$5:R$164,$X10)*6</f>
        <v>21154.309686651173</v>
      </c>
      <c r="Z10" s="7">
        <f>求节点(节奏总纲!E$4:E$163,S$5:S$164,$X10)*6</f>
        <v>22132.35874198921</v>
      </c>
      <c r="AA10" s="7">
        <f>求节点(节奏总纲!F$4:F$163,T$5:T$164,$X10)*6</f>
        <v>23429.000340179551</v>
      </c>
      <c r="AB10" s="7">
        <f>求节点(节奏总纲!G$4:G$163,U$5:U$164,$X10)*6</f>
        <v>25344.72022319556</v>
      </c>
      <c r="AC10" s="7">
        <f>求节点(节奏总纲!H$4:H$163,V$5:V$164,$X10)*6</f>
        <v>28801.722144872729</v>
      </c>
      <c r="AF10" s="58"/>
      <c r="AG10" s="7">
        <v>6</v>
      </c>
      <c r="AH10" s="7">
        <v>1</v>
      </c>
      <c r="AI10" s="7">
        <f>[6]实力验证!$Z12</f>
        <v>1.3275560376254887</v>
      </c>
      <c r="AJ10" s="7">
        <f>[6]实力验证!$AE12</f>
        <v>2.1966395758442112</v>
      </c>
      <c r="AK10" s="7">
        <f>[6]实力验证!$AJ12</f>
        <v>4.7459763001473565</v>
      </c>
      <c r="AL10" s="7">
        <f>[6]实力验证!$AO12</f>
        <v>12.320668060583808</v>
      </c>
      <c r="AM10" s="7">
        <f t="shared" si="0"/>
        <v>38.198712876877053</v>
      </c>
      <c r="AQ10" s="58"/>
      <c r="AR10" s="14">
        <v>6</v>
      </c>
      <c r="AS10" s="14">
        <f>[6]攻城值!AC10</f>
        <v>21.073287538722578</v>
      </c>
      <c r="AT10" s="14">
        <f>[6]攻城值!AD10</f>
        <v>21.138479335240689</v>
      </c>
      <c r="AU10" s="14">
        <f>[6]攻城值!AE10</f>
        <v>21.081955415629423</v>
      </c>
      <c r="AV10" s="14">
        <f>[6]攻城值!AF10</f>
        <v>21.597473547142947</v>
      </c>
      <c r="AW10" s="14">
        <f>[6]攻城值!AG10</f>
        <v>21.561305349510484</v>
      </c>
      <c r="AX10" s="58"/>
      <c r="AY10" s="14">
        <v>6</v>
      </c>
      <c r="AZ10" s="14">
        <f>[6]攻城值!AJ10</f>
        <v>427.49269754605734</v>
      </c>
      <c r="BA10" s="14">
        <f>[6]攻城值!AK10</f>
        <v>429.20692901115922</v>
      </c>
      <c r="BB10" s="14">
        <f>[6]攻城值!AL10</f>
        <v>431.98882316076623</v>
      </c>
      <c r="BC10" s="14">
        <f>[6]攻城值!AM10</f>
        <v>430.13931367865899</v>
      </c>
      <c r="BD10" s="14">
        <f>[6]攻城值!AN10</f>
        <v>431.90466914131042</v>
      </c>
      <c r="BF10" s="14">
        <v>6</v>
      </c>
      <c r="BG10" s="14">
        <f>[6]攻城值!AQ10</f>
        <v>4.6979236588212729E-2</v>
      </c>
      <c r="BH10" s="14">
        <f>[6]攻城值!AR10</f>
        <v>0.95302076341178721</v>
      </c>
      <c r="BL10" s="14">
        <v>6</v>
      </c>
      <c r="BM10" s="15">
        <f t="shared" si="2"/>
        <v>1</v>
      </c>
      <c r="BN10" s="15">
        <f t="shared" si="2"/>
        <v>1</v>
      </c>
      <c r="BO10" s="15">
        <f t="shared" si="2"/>
        <v>1</v>
      </c>
      <c r="BP10" s="15">
        <f t="shared" si="2"/>
        <v>1</v>
      </c>
      <c r="BQ10" s="15">
        <f t="shared" si="2"/>
        <v>1</v>
      </c>
      <c r="BR10" s="15">
        <f>'[1]功能-战损相关'!M16</f>
        <v>0.125</v>
      </c>
      <c r="BS10" s="15">
        <f>'[1]功能-战损相关'!N16</f>
        <v>0.125</v>
      </c>
      <c r="BT10" s="15">
        <f>'[1]功能-战损相关'!O16</f>
        <v>0.125</v>
      </c>
      <c r="BU10" s="15">
        <f>'[1]功能-战损相关'!P16</f>
        <v>0.125</v>
      </c>
      <c r="BV10" s="15">
        <f>'[1]功能-战损相关'!Q16</f>
        <v>0.125</v>
      </c>
      <c r="CJ10" s="2">
        <f>[4]兵营招募!S44</f>
        <v>7</v>
      </c>
      <c r="CK10" s="2">
        <f>[4]兵营招募!U44</f>
        <v>1500</v>
      </c>
      <c r="CO10" s="7">
        <v>7</v>
      </c>
      <c r="CP10" s="7">
        <v>44580</v>
      </c>
    </row>
    <row r="11" spans="2:94" x14ac:dyDescent="0.15">
      <c r="B11" s="7">
        <v>7</v>
      </c>
      <c r="C11" s="7">
        <f>[1]服务器生态!W28</f>
        <v>1175.5125000000003</v>
      </c>
      <c r="D11" s="7">
        <f>[1]服务器生态!X28</f>
        <v>477.65849999999961</v>
      </c>
      <c r="E11" s="7">
        <f>[1]服务器生态!Y28</f>
        <v>61.823999999999984</v>
      </c>
      <c r="F11" s="7">
        <f>[1]服务器生态!Z28</f>
        <v>8.2799999999999994</v>
      </c>
      <c r="G11" s="7">
        <f>[1]服务器生态!AA28</f>
        <v>1.7249999999999999</v>
      </c>
      <c r="H11" s="7">
        <f>[1]服务器生态!AC28</f>
        <v>0.68145652173913063</v>
      </c>
      <c r="I11" s="7">
        <f>[1]服务器生态!AD28</f>
        <v>0.27690347826086936</v>
      </c>
      <c r="J11" s="7">
        <f>[1]服务器生态!AE28</f>
        <v>3.5839999999999997E-2</v>
      </c>
      <c r="K11" s="7">
        <f>[1]服务器生态!AF28</f>
        <v>4.8000000000000004E-3</v>
      </c>
      <c r="L11" s="7">
        <f>[1]服务器生态!AG28</f>
        <v>1E-3</v>
      </c>
      <c r="M11" s="7">
        <f>[5]基础信息!M10</f>
        <v>72.545454545454547</v>
      </c>
      <c r="Q11" s="7">
        <v>7</v>
      </c>
      <c r="R11" s="7">
        <f>[6]带兵数!D10</f>
        <v>1956.5942072734199</v>
      </c>
      <c r="S11" s="7">
        <f>[6]带兵数!E10</f>
        <v>1980.6983194779477</v>
      </c>
      <c r="T11" s="7">
        <f>[6]带兵数!F10</f>
        <v>2002.1929321532725</v>
      </c>
      <c r="U11" s="7">
        <f>[6]带兵数!G10</f>
        <v>2039.3615978364692</v>
      </c>
      <c r="V11" s="7">
        <f>[6]带兵数!H10</f>
        <v>2070.0202818206913</v>
      </c>
      <c r="X11" s="7">
        <v>7</v>
      </c>
      <c r="Y11" s="7">
        <f>求节点(节奏总纲!D$4:D$163,R$5:R$164,$X11)*6</f>
        <v>21916.459403299952</v>
      </c>
      <c r="Z11" s="7">
        <f>求节点(节奏总纲!E$4:E$163,S$5:S$164,$X11)*6</f>
        <v>22904.609885612943</v>
      </c>
      <c r="AA11" s="7">
        <f>求节点(节奏总纲!F$4:F$163,T$5:T$164,$X11)*6</f>
        <v>24214.331651621145</v>
      </c>
      <c r="AB11" s="7">
        <f>求节点(节奏总纲!G$4:G$163,U$5:U$164,$X11)*6</f>
        <v>26157.644108558277</v>
      </c>
      <c r="AC11" s="7">
        <f>求节点(节奏总纲!H$4:H$163,V$5:V$164,$X11)*6</f>
        <v>29639.248602221767</v>
      </c>
      <c r="AF11" s="58"/>
      <c r="AG11" s="7">
        <v>7</v>
      </c>
      <c r="AH11" s="7">
        <v>1</v>
      </c>
      <c r="AI11" s="7">
        <f>[6]实力验证!$Z13</f>
        <v>1.3867357651600329</v>
      </c>
      <c r="AJ11" s="7">
        <f>[6]实力验证!$AE13</f>
        <v>2.351469876686882</v>
      </c>
      <c r="AK11" s="7">
        <f>[6]实力验证!$AJ13</f>
        <v>4.8836426013163923</v>
      </c>
      <c r="AL11" s="7">
        <f>[6]实力验证!$AO13</f>
        <v>12.018593481544855</v>
      </c>
      <c r="AM11" s="7">
        <f t="shared" si="0"/>
        <v>42.7513743564866</v>
      </c>
      <c r="AQ11" s="58"/>
      <c r="AR11" s="14">
        <v>7</v>
      </c>
      <c r="AS11" s="14">
        <f>[6]攻城值!AC11</f>
        <v>24.599752483261287</v>
      </c>
      <c r="AT11" s="14">
        <f>[6]攻城值!AD11</f>
        <v>24.681324505179091</v>
      </c>
      <c r="AU11" s="14">
        <f>[6]攻城值!AE11</f>
        <v>24.628871213835346</v>
      </c>
      <c r="AV11" s="14">
        <f>[6]攻城值!AF11</f>
        <v>25.197052471666773</v>
      </c>
      <c r="AW11" s="14">
        <f>[6]攻城值!AG11</f>
        <v>25.154856241095562</v>
      </c>
      <c r="AX11" s="58"/>
      <c r="AY11" s="14">
        <v>7</v>
      </c>
      <c r="AZ11" s="14">
        <f>[6]攻城值!AJ11</f>
        <v>432.96285685368633</v>
      </c>
      <c r="BA11" s="14">
        <f>[6]攻城值!AK11</f>
        <v>435.01011909484964</v>
      </c>
      <c r="BB11" s="14">
        <f>[6]攻城值!AL11</f>
        <v>438.32412767350161</v>
      </c>
      <c r="BC11" s="14">
        <f>[6]攻城值!AM11</f>
        <v>436.16717641439078</v>
      </c>
      <c r="BD11" s="14">
        <f>[6]攻城值!AN11</f>
        <v>438.28560296957249</v>
      </c>
      <c r="BF11" s="14">
        <v>7</v>
      </c>
      <c r="BG11" s="14">
        <f>[6]攻城值!AQ11</f>
        <v>5.3762593317903978E-2</v>
      </c>
      <c r="BH11" s="14">
        <f>[6]攻城值!AR11</f>
        <v>0.94623740668209599</v>
      </c>
      <c r="BL11" s="14">
        <v>7</v>
      </c>
      <c r="BM11" s="15">
        <f t="shared" si="2"/>
        <v>1</v>
      </c>
      <c r="BN11" s="15">
        <f t="shared" si="2"/>
        <v>1</v>
      </c>
      <c r="BO11" s="15">
        <f t="shared" si="2"/>
        <v>1</v>
      </c>
      <c r="BP11" s="15">
        <f t="shared" si="2"/>
        <v>1</v>
      </c>
      <c r="BQ11" s="15">
        <f t="shared" si="2"/>
        <v>1</v>
      </c>
      <c r="BR11" s="15">
        <f>'[1]功能-战损相关'!M17</f>
        <v>0.125</v>
      </c>
      <c r="BS11" s="15">
        <f>'[1]功能-战损相关'!N17</f>
        <v>0.125</v>
      </c>
      <c r="BT11" s="15">
        <f>'[1]功能-战损相关'!O17</f>
        <v>0.125</v>
      </c>
      <c r="BU11" s="15">
        <f>'[1]功能-战损相关'!P17</f>
        <v>0.125</v>
      </c>
      <c r="BV11" s="15">
        <f>'[1]功能-战损相关'!Q17</f>
        <v>0.125</v>
      </c>
      <c r="CJ11" s="2">
        <f>[4]兵营招募!S45</f>
        <v>8</v>
      </c>
      <c r="CK11" s="2">
        <f>[4]兵营招募!U45</f>
        <v>1500</v>
      </c>
    </row>
    <row r="12" spans="2:94" x14ac:dyDescent="0.15">
      <c r="B12" s="7">
        <v>8</v>
      </c>
      <c r="C12" s="7">
        <f>[1]服务器生态!W29</f>
        <v>1005.1159713000645</v>
      </c>
      <c r="D12" s="7">
        <f>[1]服务器生态!X29</f>
        <v>432.12471441422116</v>
      </c>
      <c r="E12" s="7">
        <f>[1]服务器生态!Y29</f>
        <v>53.913600000000002</v>
      </c>
      <c r="F12" s="7">
        <f>[1]服务器生态!Z29</f>
        <v>7.3028571428571434</v>
      </c>
      <c r="G12" s="7">
        <f>[1]服务器生态!AA29</f>
        <v>1.5428571428571429</v>
      </c>
      <c r="H12" s="7">
        <f>[1]服务器生态!AC29</f>
        <v>0.67007731420004302</v>
      </c>
      <c r="I12" s="7">
        <f>[1]服务器生态!AD29</f>
        <v>0.28808314294281412</v>
      </c>
      <c r="J12" s="7">
        <f>[1]服务器生态!AE29</f>
        <v>3.5942399999999999E-2</v>
      </c>
      <c r="K12" s="7">
        <f>[1]服务器生态!AF29</f>
        <v>4.8685714285714287E-3</v>
      </c>
      <c r="L12" s="7">
        <f>[1]服务器生态!AG29</f>
        <v>1.0285714285714286E-3</v>
      </c>
      <c r="M12" s="7">
        <f>[5]基础信息!M11</f>
        <v>73.454545454545453</v>
      </c>
      <c r="Q12" s="7">
        <v>8</v>
      </c>
      <c r="R12" s="7">
        <f>[6]带兵数!D11</f>
        <v>2042.8089350706482</v>
      </c>
      <c r="S12" s="7">
        <f>[6]带兵数!E11</f>
        <v>2068.6957374632739</v>
      </c>
      <c r="T12" s="7">
        <f>[6]带兵数!F11</f>
        <v>2090.2569960802962</v>
      </c>
      <c r="U12" s="7">
        <f>[6]带兵数!G11</f>
        <v>2131.4568510209706</v>
      </c>
      <c r="V12" s="7">
        <f>[6]带兵数!H11</f>
        <v>2164.7938455804324</v>
      </c>
      <c r="X12" s="7">
        <v>8</v>
      </c>
      <c r="Y12" s="7">
        <f>求节点(节奏总纲!D$4:D$163,R$5:R$164,$X12)*6</f>
        <v>22583.412428750897</v>
      </c>
      <c r="Z12" s="7">
        <f>求节点(节奏总纲!E$4:E$163,S$5:S$164,$X12)*6</f>
        <v>23582.128172336197</v>
      </c>
      <c r="AA12" s="7">
        <f>求节点(节奏总纲!F$4:F$163,T$5:T$164,$X12)*6</f>
        <v>24899.3767271018</v>
      </c>
      <c r="AB12" s="7">
        <f>求节点(节奏总纲!G$4:G$163,U$5:U$164,$X12)*6</f>
        <v>26857.611705183728</v>
      </c>
      <c r="AC12" s="7">
        <f>求节点(节奏总纲!H$4:H$163,V$5:V$164,$X12)*6</f>
        <v>30376.188592143262</v>
      </c>
      <c r="AF12" s="58"/>
      <c r="AG12" s="7">
        <v>8</v>
      </c>
      <c r="AH12" s="7">
        <v>1</v>
      </c>
      <c r="AI12" s="7">
        <f>[6]实力验证!$Z14</f>
        <v>1.4075468546556544</v>
      </c>
      <c r="AJ12" s="7">
        <f>[6]实力验证!$AE14</f>
        <v>2.3302065064535191</v>
      </c>
      <c r="AK12" s="7">
        <f>[6]实力验证!$AJ14</f>
        <v>4.8162870569409124</v>
      </c>
      <c r="AL12" s="7">
        <f>[6]实力验证!$AO14</f>
        <v>11.444684016355662</v>
      </c>
      <c r="AM12" s="7">
        <f t="shared" si="0"/>
        <v>43.962970519519473</v>
      </c>
      <c r="AQ12" s="58"/>
      <c r="AR12" s="14">
        <v>8</v>
      </c>
      <c r="AS12" s="14">
        <f>[6]攻城值!AC12</f>
        <v>28.130288957729029</v>
      </c>
      <c r="AT12" s="14">
        <f>[6]攻城值!AD12</f>
        <v>28.229816898183675</v>
      </c>
      <c r="AU12" s="14">
        <f>[6]攻城值!AE12</f>
        <v>28.185288886974899</v>
      </c>
      <c r="AV12" s="14">
        <f>[6]攻城值!AF12</f>
        <v>28.796631396190598</v>
      </c>
      <c r="AW12" s="14">
        <f>[6]攻城值!AG12</f>
        <v>28.74840713268064</v>
      </c>
      <c r="AX12" s="58"/>
      <c r="AY12" s="14">
        <v>8</v>
      </c>
      <c r="AZ12" s="14">
        <f>[6]攻城值!AJ12</f>
        <v>438.43906668432692</v>
      </c>
      <c r="BA12" s="14">
        <f>[6]攻城值!AK12</f>
        <v>440.82205283972854</v>
      </c>
      <c r="BB12" s="14">
        <f>[6]攻城值!AL12</f>
        <v>444.67496396328556</v>
      </c>
      <c r="BC12" s="14">
        <f>[6]攻城值!AM12</f>
        <v>442.19503915012257</v>
      </c>
      <c r="BD12" s="14">
        <f>[6]攻城值!AN12</f>
        <v>444.66653679783457</v>
      </c>
      <c r="BF12" s="14">
        <v>8</v>
      </c>
      <c r="BG12" s="14">
        <f>[6]攻城值!AQ12</f>
        <v>6.0291762880608273E-2</v>
      </c>
      <c r="BH12" s="14">
        <f>[6]攻城值!AR12</f>
        <v>0.93970823711939178</v>
      </c>
      <c r="BL12" s="14">
        <v>8</v>
      </c>
      <c r="BM12" s="15">
        <f t="shared" si="2"/>
        <v>1</v>
      </c>
      <c r="BN12" s="15">
        <f t="shared" si="2"/>
        <v>1</v>
      </c>
      <c r="BO12" s="15">
        <f t="shared" si="2"/>
        <v>1</v>
      </c>
      <c r="BP12" s="15">
        <f t="shared" si="2"/>
        <v>1</v>
      </c>
      <c r="BQ12" s="15">
        <f t="shared" si="2"/>
        <v>1</v>
      </c>
      <c r="BR12" s="15">
        <f>'[1]功能-战损相关'!M18</f>
        <v>0.125</v>
      </c>
      <c r="BS12" s="15">
        <f>'[1]功能-战损相关'!N18</f>
        <v>0.125</v>
      </c>
      <c r="BT12" s="15">
        <f>'[1]功能-战损相关'!O18</f>
        <v>0.125</v>
      </c>
      <c r="BU12" s="15">
        <f>'[1]功能-战损相关'!P18</f>
        <v>0.125</v>
      </c>
      <c r="BV12" s="15">
        <f>'[1]功能-战损相关'!Q18</f>
        <v>0.125</v>
      </c>
      <c r="CJ12" s="2">
        <f>[4]兵营招募!S46</f>
        <v>9</v>
      </c>
      <c r="CK12" s="2">
        <f>[4]兵营招募!U46</f>
        <v>1800</v>
      </c>
    </row>
    <row r="13" spans="2:94" x14ac:dyDescent="0.15">
      <c r="B13" s="7">
        <v>9</v>
      </c>
      <c r="C13" s="7">
        <f>[1]服务器生态!W30</f>
        <v>959.81724113453504</v>
      </c>
      <c r="D13" s="7">
        <f>[1]服务器生态!X30</f>
        <v>436.06866253893429</v>
      </c>
      <c r="E13" s="7">
        <f>[1]服务器生态!Y30</f>
        <v>52.52242285714285</v>
      </c>
      <c r="F13" s="7">
        <f>[1]服务器生态!Z30</f>
        <v>7.1941224489795923</v>
      </c>
      <c r="G13" s="7">
        <f>[1]服务器生态!AA30</f>
        <v>1.5404081632653062</v>
      </c>
      <c r="H13" s="7">
        <f>[1]服务器生态!AC30</f>
        <v>0.65869810666095541</v>
      </c>
      <c r="I13" s="7">
        <f>[1]服务器生态!AD30</f>
        <v>0.29926280762475882</v>
      </c>
      <c r="J13" s="7">
        <f>[1]服务器生态!AE30</f>
        <v>3.6044799999999995E-2</v>
      </c>
      <c r="K13" s="7">
        <f>[1]服务器生态!AF30</f>
        <v>4.9371428571428578E-3</v>
      </c>
      <c r="L13" s="7">
        <f>[1]服务器生态!AG30</f>
        <v>1.0571428571428572E-3</v>
      </c>
      <c r="M13" s="7">
        <f>[5]基础信息!M12</f>
        <v>74.303030303030297</v>
      </c>
      <c r="Q13" s="7">
        <v>9</v>
      </c>
      <c r="R13" s="7">
        <f>[6]带兵数!D12</f>
        <v>2131.7474405437429</v>
      </c>
      <c r="S13" s="7">
        <f>[6]带兵数!E12</f>
        <v>2161.6487760436739</v>
      </c>
      <c r="T13" s="7">
        <f>[6]带兵数!F12</f>
        <v>2184.4009959401383</v>
      </c>
      <c r="U13" s="7">
        <f>[6]带兵数!G12</f>
        <v>2229.6820642502544</v>
      </c>
      <c r="V13" s="7">
        <f>[6]带兵数!H12</f>
        <v>2267.0916745294362</v>
      </c>
      <c r="X13" s="7">
        <v>9</v>
      </c>
      <c r="Y13" s="7">
        <f>求节点(节奏总纲!D$4:D$163,R$5:R$164,$X13)*6</f>
        <v>23185.808420788228</v>
      </c>
      <c r="Z13" s="7">
        <f>求节点(节奏总纲!E$4:E$163,S$5:S$164,$X13)*6</f>
        <v>24180.76053981141</v>
      </c>
      <c r="AA13" s="7">
        <f>求节点(节奏总纲!F$4:F$163,T$5:T$164,$X13)*6</f>
        <v>25513.803081040383</v>
      </c>
      <c r="AB13" s="7">
        <f>求节点(节奏总纲!G$4:G$163,U$5:U$164,$X13)*6</f>
        <v>27465.203376837017</v>
      </c>
      <c r="AC13" s="7">
        <f>求节点(节奏总纲!H$4:H$163,V$5:V$164,$X13)*6</f>
        <v>31010.047952689514</v>
      </c>
      <c r="AF13" s="58"/>
      <c r="AG13" s="7">
        <v>9</v>
      </c>
      <c r="AH13" s="7">
        <v>1</v>
      </c>
      <c r="AI13" s="7">
        <f>[6]实力验证!$Z15</f>
        <v>1.4258146269214853</v>
      </c>
      <c r="AJ13" s="7">
        <f>[6]实力验证!$AE15</f>
        <v>2.3131190305402023</v>
      </c>
      <c r="AK13" s="7">
        <f>[6]实力验证!$AJ15</f>
        <v>4.6200656699231706</v>
      </c>
      <c r="AL13" s="7">
        <f>[6]实力验证!$AO15</f>
        <v>10.879588115791348</v>
      </c>
      <c r="AM13" s="7">
        <f t="shared" si="0"/>
        <v>45.061417764310271</v>
      </c>
      <c r="AQ13" s="58"/>
      <c r="AR13" s="14">
        <v>9</v>
      </c>
      <c r="AS13" s="14">
        <f>[6]攻城值!AC13</f>
        <v>31.664896962125805</v>
      </c>
      <c r="AT13" s="14">
        <f>[6]攻城值!AD13</f>
        <v>31.783956514254438</v>
      </c>
      <c r="AU13" s="14">
        <f>[6]攻城值!AE13</f>
        <v>31.751208435048074</v>
      </c>
      <c r="AV13" s="14">
        <f>[6]攻城值!AF13</f>
        <v>32.396210320714424</v>
      </c>
      <c r="AW13" s="14">
        <f>[6]攻城值!AG13</f>
        <v>32.341958024265722</v>
      </c>
      <c r="AX13" s="58"/>
      <c r="AY13" s="14">
        <v>9</v>
      </c>
      <c r="AZ13" s="14">
        <f>[6]攻城值!AJ13</f>
        <v>443.92132703797921</v>
      </c>
      <c r="BA13" s="14">
        <f>[6]攻城值!AK13</f>
        <v>446.64273024579614</v>
      </c>
      <c r="BB13" s="14">
        <f>[6]攻城值!AL13</f>
        <v>451.04133203011804</v>
      </c>
      <c r="BC13" s="14">
        <f>[6]攻城值!AM13</f>
        <v>448.22290188585436</v>
      </c>
      <c r="BD13" s="14">
        <f>[6]攻城值!AN13</f>
        <v>451.04747062609664</v>
      </c>
      <c r="BF13" s="14">
        <v>9</v>
      </c>
      <c r="BG13" s="14">
        <f>[6]攻城值!AQ13</f>
        <v>6.6580769930204731E-2</v>
      </c>
      <c r="BH13" s="14">
        <f>[6]攻城值!AR13</f>
        <v>0.93341923006979532</v>
      </c>
      <c r="BL13" s="14">
        <v>9</v>
      </c>
      <c r="BM13" s="15">
        <f t="shared" si="2"/>
        <v>1</v>
      </c>
      <c r="BN13" s="15">
        <f t="shared" si="2"/>
        <v>1</v>
      </c>
      <c r="BO13" s="15">
        <f t="shared" si="2"/>
        <v>1</v>
      </c>
      <c r="BP13" s="15">
        <f t="shared" si="2"/>
        <v>1</v>
      </c>
      <c r="BQ13" s="15">
        <f t="shared" si="2"/>
        <v>1</v>
      </c>
      <c r="BR13" s="15">
        <f>'[1]功能-战损相关'!M19</f>
        <v>0.125</v>
      </c>
      <c r="BS13" s="15">
        <f>'[1]功能-战损相关'!N19</f>
        <v>0.125</v>
      </c>
      <c r="BT13" s="15">
        <f>'[1]功能-战损相关'!O19</f>
        <v>0.125</v>
      </c>
      <c r="BU13" s="15">
        <f>'[1]功能-战损相关'!P19</f>
        <v>0.125</v>
      </c>
      <c r="BV13" s="15">
        <f>'[1]功能-战损相关'!Q19</f>
        <v>0.125</v>
      </c>
      <c r="CJ13" s="2">
        <f>[4]兵营招募!S47</f>
        <v>10</v>
      </c>
      <c r="CK13" s="2">
        <f>[4]兵营招募!U47</f>
        <v>1800</v>
      </c>
    </row>
    <row r="14" spans="2:94" x14ac:dyDescent="0.15">
      <c r="B14" s="7">
        <v>10</v>
      </c>
      <c r="C14" s="7">
        <f>[1]服务器生态!W31</f>
        <v>915.49387161521304</v>
      </c>
      <c r="D14" s="7">
        <f>[1]服务器生态!X31</f>
        <v>439.05435369090935</v>
      </c>
      <c r="E14" s="7">
        <f>[1]服务器生态!Y31</f>
        <v>51.122468571428563</v>
      </c>
      <c r="F14" s="7">
        <f>[1]服务器生态!Z31</f>
        <v>7.0795102040816325</v>
      </c>
      <c r="G14" s="7">
        <f>[1]服务器生态!AA31</f>
        <v>1.5355102040816326</v>
      </c>
      <c r="H14" s="7">
        <f>[1]服务器生态!AC31</f>
        <v>0.6473188991218678</v>
      </c>
      <c r="I14" s="7">
        <f>[1]服务器生态!AD31</f>
        <v>0.31044247230670358</v>
      </c>
      <c r="J14" s="7">
        <f>[1]服务器生态!AE31</f>
        <v>3.6147199999999997E-2</v>
      </c>
      <c r="K14" s="7">
        <f>[1]服务器生态!AF31</f>
        <v>5.0057142857142861E-3</v>
      </c>
      <c r="L14" s="7">
        <f>[1]服务器生态!AG31</f>
        <v>1.0857142857142858E-3</v>
      </c>
      <c r="M14" s="7">
        <f>[5]基础信息!M13</f>
        <v>75.060606060606062</v>
      </c>
      <c r="Q14" s="7">
        <v>10</v>
      </c>
      <c r="R14" s="7">
        <f>[6]带兵数!D13</f>
        <v>2219.6493250964013</v>
      </c>
      <c r="S14" s="7">
        <f>[6]带兵数!E13</f>
        <v>2250.7260419981094</v>
      </c>
      <c r="T14" s="7">
        <f>[6]带兵数!F13</f>
        <v>2277.5238510918989</v>
      </c>
      <c r="U14" s="7">
        <f>[6]带兵数!G13</f>
        <v>2325.7086873291846</v>
      </c>
      <c r="V14" s="7">
        <f>[6]带兵数!H13</f>
        <v>2366.3540448486156</v>
      </c>
      <c r="X14" s="7">
        <v>10</v>
      </c>
      <c r="Y14" s="7">
        <f>求节点(节奏总纲!D$4:D$163,R$5:R$164,$X14)*6</f>
        <v>23716.611174702153</v>
      </c>
      <c r="Z14" s="7">
        <f>求节点(节奏总纲!E$4:E$163,S$5:S$164,$X14)*6</f>
        <v>24722.790665449611</v>
      </c>
      <c r="AA14" s="7">
        <f>求节点(节奏总纲!F$4:F$163,T$5:T$164,$X14)*6</f>
        <v>26070.816386966246</v>
      </c>
      <c r="AB14" s="7">
        <f>求节点(节奏总纲!G$4:G$163,U$5:U$164,$X14)*6</f>
        <v>28025.804347055837</v>
      </c>
      <c r="AC14" s="7">
        <f>求节点(节奏总纲!H$4:H$163,V$5:V$164,$X14)*6</f>
        <v>31578.298665229406</v>
      </c>
      <c r="AG14" s="7">
        <v>10</v>
      </c>
      <c r="AH14" s="7">
        <v>1</v>
      </c>
      <c r="AI14" s="7">
        <f>[6]实力验证!$Z16</f>
        <v>1.4404573828946401</v>
      </c>
      <c r="AJ14" s="7">
        <f>[6]实力验证!$AE16</f>
        <v>2.2860502989960341</v>
      </c>
      <c r="AK14" s="7">
        <f>[6]实力验证!$AJ16</f>
        <v>4.4420340611019427</v>
      </c>
      <c r="AL14" s="7">
        <f>[6]实力验证!$AO16</f>
        <v>10.85157043287855</v>
      </c>
      <c r="AM14" s="7">
        <f t="shared" si="0"/>
        <v>46.128312201798671</v>
      </c>
      <c r="AR14" s="14">
        <v>10</v>
      </c>
      <c r="AS14" s="14">
        <f>[6]攻城值!AC14</f>
        <v>36.07857649645161</v>
      </c>
      <c r="AT14" s="14">
        <f>[6]攻城值!AD14</f>
        <v>35.284906839902376</v>
      </c>
      <c r="AU14" s="14">
        <f>[6]攻城值!AE14</f>
        <v>35.326629858054865</v>
      </c>
      <c r="AV14" s="14">
        <f>[6]攻城值!AF14</f>
        <v>35.99578924523825</v>
      </c>
      <c r="AW14" s="14">
        <f>[6]攻城值!AG14</f>
        <v>35.935508915850804</v>
      </c>
      <c r="AY14" s="14">
        <v>10</v>
      </c>
      <c r="AZ14" s="14">
        <f>[6]攻城值!AJ14</f>
        <v>460.57990731084925</v>
      </c>
      <c r="BA14" s="14">
        <f>[6]攻城值!AK14</f>
        <v>452.45741930736739</v>
      </c>
      <c r="BB14" s="14">
        <f>[6]攻城值!AL14</f>
        <v>457.42323187399887</v>
      </c>
      <c r="BC14" s="14">
        <f>[6]攻城值!AM14</f>
        <v>454.25076462158614</v>
      </c>
      <c r="BD14" s="14">
        <f>[6]攻城值!AN14</f>
        <v>457.42840445435877</v>
      </c>
      <c r="BF14" s="14">
        <v>10</v>
      </c>
      <c r="BG14" s="14">
        <f>[6]攻城值!AQ14</f>
        <v>7.2642626015122669E-2</v>
      </c>
      <c r="BH14" s="14">
        <f>[6]攻城值!AR14</f>
        <v>0.92735737398487739</v>
      </c>
      <c r="BL14" s="14">
        <v>10</v>
      </c>
      <c r="BM14" s="15">
        <f t="shared" si="2"/>
        <v>1</v>
      </c>
      <c r="BN14" s="15">
        <f t="shared" si="2"/>
        <v>1</v>
      </c>
      <c r="BO14" s="15">
        <f t="shared" si="2"/>
        <v>1</v>
      </c>
      <c r="BP14" s="15">
        <f t="shared" si="2"/>
        <v>1</v>
      </c>
      <c r="BQ14" s="15">
        <f t="shared" si="2"/>
        <v>1</v>
      </c>
      <c r="BR14" s="15">
        <f>'[1]功能-战损相关'!M20</f>
        <v>0.125</v>
      </c>
      <c r="BS14" s="15">
        <f>'[1]功能-战损相关'!N20</f>
        <v>0.125</v>
      </c>
      <c r="BT14" s="15">
        <f>'[1]功能-战损相关'!O20</f>
        <v>0.125</v>
      </c>
      <c r="BU14" s="15">
        <f>'[1]功能-战损相关'!P20</f>
        <v>0.125</v>
      </c>
      <c r="BV14" s="15">
        <f>'[1]功能-战损相关'!Q20</f>
        <v>0.125</v>
      </c>
      <c r="CJ14" s="2">
        <f>[4]兵营招募!S48</f>
        <v>11</v>
      </c>
      <c r="CK14" s="2">
        <f>[4]兵营招募!U48</f>
        <v>1800</v>
      </c>
    </row>
    <row r="15" spans="2:94" x14ac:dyDescent="0.15">
      <c r="B15" s="7">
        <v>11</v>
      </c>
      <c r="C15" s="7">
        <f>[1]服务器生态!W32</f>
        <v>872.14586274209864</v>
      </c>
      <c r="D15" s="7">
        <f>[1]服务器生态!X32</f>
        <v>441.08178787014623</v>
      </c>
      <c r="E15" s="7">
        <f>[1]服务器生态!Y32</f>
        <v>49.713737142857141</v>
      </c>
      <c r="F15" s="7">
        <f>[1]服务器生态!Z32</f>
        <v>6.9590204081632665</v>
      </c>
      <c r="G15" s="7">
        <f>[1]服务器生态!AA32</f>
        <v>1.5281632653061221</v>
      </c>
      <c r="H15" s="7">
        <f>[1]服务器生态!AC32</f>
        <v>0.6359396915827803</v>
      </c>
      <c r="I15" s="7">
        <f>[1]服务器生态!AD32</f>
        <v>0.32162213698864833</v>
      </c>
      <c r="J15" s="7">
        <f>[1]服务器生态!AE32</f>
        <v>3.62496E-2</v>
      </c>
      <c r="K15" s="7">
        <f>[1]服务器生态!AF32</f>
        <v>5.0742857142857152E-3</v>
      </c>
      <c r="L15" s="7">
        <f>[1]服务器生态!AG32</f>
        <v>1.1142857142857141E-3</v>
      </c>
      <c r="M15" s="7">
        <f>[5]基础信息!M14</f>
        <v>75.818181818181813</v>
      </c>
      <c r="Q15" s="7">
        <v>11</v>
      </c>
      <c r="R15" s="7">
        <f>[6]带兵数!D14</f>
        <v>2304.7729331634296</v>
      </c>
      <c r="S15" s="7">
        <f>[6]带兵数!E14</f>
        <v>2336.8098330256125</v>
      </c>
      <c r="T15" s="7">
        <f>[6]带兵数!F14</f>
        <v>2374.4330976574001</v>
      </c>
      <c r="U15" s="7">
        <f>[6]带兵数!G14</f>
        <v>2416.9974059992542</v>
      </c>
      <c r="V15" s="7">
        <f>[6]带兵数!H14</f>
        <v>2464.7253897167893</v>
      </c>
      <c r="X15" s="7">
        <v>11</v>
      </c>
      <c r="Y15" s="7">
        <f>求节点(节奏总纲!D$4:D$163,R$5:R$164,$X15)*6</f>
        <v>24203.819166539262</v>
      </c>
      <c r="Z15" s="7">
        <f>求节点(节奏总纲!E$4:E$163,S$5:S$164,$X15)*6</f>
        <v>25214.927959303735</v>
      </c>
      <c r="AA15" s="7">
        <f>求节点(节奏总纲!F$4:F$163,T$5:T$164,$X15)*6</f>
        <v>26567.632375250527</v>
      </c>
      <c r="AB15" s="7">
        <f>求节点(节奏总纲!G$4:G$163,U$5:U$164,$X15)*6</f>
        <v>28531.854122763929</v>
      </c>
      <c r="AC15" s="7">
        <f>求节点(节奏总纲!H$4:H$163,V$5:V$164,$X15)*6</f>
        <v>32097.931149404838</v>
      </c>
      <c r="AG15" s="7">
        <v>11</v>
      </c>
      <c r="AH15" s="7">
        <v>1</v>
      </c>
      <c r="AI15" s="7">
        <f>[6]实力验证!$Z17</f>
        <v>1.4257018665273564</v>
      </c>
      <c r="AJ15" s="7">
        <f>[6]实力验证!$AE17</f>
        <v>2.19138924432696</v>
      </c>
      <c r="AK15" s="7">
        <f>[6]实力验证!$AJ17</f>
        <v>4.2295769758643083</v>
      </c>
      <c r="AL15" s="7">
        <f>[6]实力验证!$AO17</f>
        <v>10.660999311458284</v>
      </c>
      <c r="AM15" s="7">
        <f t="shared" si="0"/>
        <v>46.399198765983407</v>
      </c>
      <c r="AR15" s="14">
        <v>11</v>
      </c>
      <c r="AS15" s="14">
        <f>[6]攻城值!AC15</f>
        <v>38.364327243515824</v>
      </c>
      <c r="AT15" s="14">
        <f>[6]攻城值!AD15</f>
        <v>37.403727638830098</v>
      </c>
      <c r="AU15" s="14">
        <f>[6]攻城值!AE15</f>
        <v>37.603485856246067</v>
      </c>
      <c r="AV15" s="14">
        <f>[6]攻城值!AF15</f>
        <v>38.081081262071805</v>
      </c>
      <c r="AW15" s="14">
        <f>[6]攻城值!AG15</f>
        <v>38.155146613146677</v>
      </c>
      <c r="AY15" s="14">
        <v>11</v>
      </c>
      <c r="AZ15" s="14">
        <f>[6]攻城值!AJ15</f>
        <v>467.4160446490132</v>
      </c>
      <c r="BA15" s="14">
        <f>[6]攻城值!AK15</f>
        <v>457.92955404672148</v>
      </c>
      <c r="BB15" s="14">
        <f>[6]攻城值!AL15</f>
        <v>463.25999938094037</v>
      </c>
      <c r="BC15" s="14">
        <f>[6]攻城值!AM15</f>
        <v>461.2607318839182</v>
      </c>
      <c r="BD15" s="14">
        <f>[6]攻城值!AN15</f>
        <v>465.7029816505248</v>
      </c>
      <c r="BF15" s="14">
        <v>11</v>
      </c>
      <c r="BG15" s="14">
        <f>[6]攻城值!AQ15</f>
        <v>7.5851751818608898E-2</v>
      </c>
      <c r="BH15" s="14">
        <f>[6]攻城值!AR15</f>
        <v>0.92414824818139107</v>
      </c>
      <c r="BL15" s="14">
        <v>11</v>
      </c>
      <c r="BM15" s="15">
        <f t="shared" si="2"/>
        <v>1</v>
      </c>
      <c r="BN15" s="15">
        <f t="shared" si="2"/>
        <v>1</v>
      </c>
      <c r="BO15" s="15">
        <f t="shared" si="2"/>
        <v>1</v>
      </c>
      <c r="BP15" s="15">
        <f t="shared" si="2"/>
        <v>1</v>
      </c>
      <c r="BQ15" s="15">
        <f t="shared" si="2"/>
        <v>1</v>
      </c>
      <c r="BR15" s="15">
        <f>'[1]功能-战损相关'!M21</f>
        <v>0.125</v>
      </c>
      <c r="BS15" s="15">
        <f>'[1]功能-战损相关'!N21</f>
        <v>0.125</v>
      </c>
      <c r="BT15" s="15">
        <f>'[1]功能-战损相关'!O21</f>
        <v>0.125</v>
      </c>
      <c r="BU15" s="15">
        <f>'[1]功能-战损相关'!P21</f>
        <v>0.125</v>
      </c>
      <c r="BV15" s="15">
        <f>'[1]功能-战损相关'!Q21</f>
        <v>0.125</v>
      </c>
      <c r="CJ15" s="2">
        <f>[4]兵营招募!S49</f>
        <v>12</v>
      </c>
      <c r="CK15" s="2">
        <f>[4]兵营招募!U49</f>
        <v>1800</v>
      </c>
    </row>
    <row r="16" spans="2:94" x14ac:dyDescent="0.15">
      <c r="B16" s="7">
        <v>12</v>
      </c>
      <c r="C16" s="7">
        <f>[1]服务器生态!W33</f>
        <v>829.77321451519163</v>
      </c>
      <c r="D16" s="7">
        <f>[1]服务器生态!X33</f>
        <v>442.15096507664504</v>
      </c>
      <c r="E16" s="7">
        <f>[1]服务器生态!Y33</f>
        <v>48.296228571428571</v>
      </c>
      <c r="F16" s="7">
        <f>[1]服务器生态!Z33</f>
        <v>6.83265306122449</v>
      </c>
      <c r="G16" s="7">
        <f>[1]服务器生态!AA33</f>
        <v>1.5183673469387753</v>
      </c>
      <c r="H16" s="7">
        <f>[1]服务器生态!AC33</f>
        <v>0.62456048404369269</v>
      </c>
      <c r="I16" s="7">
        <f>[1]服务器生态!AD33</f>
        <v>0.33280180167059309</v>
      </c>
      <c r="J16" s="7">
        <f>[1]服务器生态!AE33</f>
        <v>3.6352000000000002E-2</v>
      </c>
      <c r="K16" s="7">
        <f>[1]服务器生态!AF33</f>
        <v>5.1428571428571435E-3</v>
      </c>
      <c r="L16" s="7">
        <f>[1]服务器生态!AG33</f>
        <v>1.1428571428571427E-3</v>
      </c>
      <c r="M16" s="7">
        <f>[5]基础信息!M15</f>
        <v>76.974358974358978</v>
      </c>
      <c r="Q16" s="7">
        <v>12</v>
      </c>
      <c r="R16" s="7">
        <f>[6]带兵数!D15</f>
        <v>2384.2132297048984</v>
      </c>
      <c r="S16" s="7">
        <f>[6]带兵数!E15</f>
        <v>2419.7943579612602</v>
      </c>
      <c r="T16" s="7">
        <f>[6]带兵数!F15</f>
        <v>2459.5232951964472</v>
      </c>
      <c r="U16" s="7">
        <f>[6]带兵数!G15</f>
        <v>2506.223932139796</v>
      </c>
      <c r="V16" s="7">
        <f>[6]带兵数!H15</f>
        <v>2556.5591764569513</v>
      </c>
      <c r="X16" s="7">
        <v>12</v>
      </c>
      <c r="Y16" s="7">
        <f>求节点(节奏总纲!D$4:D$163,R$5:R$164,$X16)*6</f>
        <v>24655.764771095623</v>
      </c>
      <c r="Z16" s="7">
        <f>求节点(节奏总纲!E$4:E$163,S$5:S$164,$X16)*6</f>
        <v>25672.353103178786</v>
      </c>
      <c r="AA16" s="7">
        <f>求节点(节奏总纲!F$4:F$163,T$5:T$164,$X16)*6</f>
        <v>27021.184122960978</v>
      </c>
      <c r="AB16" s="7">
        <f>求节点(节奏总纲!G$4:G$163,U$5:U$164,$X16)*6</f>
        <v>28997.807963461575</v>
      </c>
      <c r="AC16" s="7">
        <f>求节点(节奏总纲!H$4:H$163,V$5:V$164,$X16)*6</f>
        <v>32579.001312907614</v>
      </c>
      <c r="AG16" s="7">
        <v>12</v>
      </c>
      <c r="AH16" s="7">
        <v>1</v>
      </c>
      <c r="AI16" s="7">
        <f>[6]实力验证!$Z18</f>
        <v>1.4065912923442818</v>
      </c>
      <c r="AJ16" s="7">
        <f>[6]实力验证!$AE18</f>
        <v>2.055823463980381</v>
      </c>
      <c r="AK16" s="7">
        <f>[6]实力验证!$AJ18</f>
        <v>4.0162077834325505</v>
      </c>
      <c r="AL16" s="7">
        <f>[6]实力验证!$AO18</f>
        <v>10.463145620957867</v>
      </c>
      <c r="AM16" s="7">
        <f t="shared" si="0"/>
        <v>46.610054513822938</v>
      </c>
      <c r="AR16" s="14">
        <v>12</v>
      </c>
      <c r="AS16" s="14">
        <f>[6]攻城值!AC16</f>
        <v>40.672959108565976</v>
      </c>
      <c r="AT16" s="14">
        <f>[6]攻城值!AD16</f>
        <v>40.603129716168986</v>
      </c>
      <c r="AU16" s="14">
        <f>[6]攻城值!AE16</f>
        <v>39.735531939455242</v>
      </c>
      <c r="AV16" s="14">
        <f>[6]攻城值!AF16</f>
        <v>40.170922659976952</v>
      </c>
      <c r="AW16" s="14">
        <f>[6]攻城值!AG16</f>
        <v>40.333512460796399</v>
      </c>
      <c r="AY16" s="14">
        <v>12</v>
      </c>
      <c r="AZ16" s="14">
        <f>[6]攻城值!AJ16</f>
        <v>474.39317823671104</v>
      </c>
      <c r="BA16" s="14">
        <f>[6]攻城值!AK16</f>
        <v>476.07149903565886</v>
      </c>
      <c r="BB16" s="14">
        <f>[6]攻城值!AL16</f>
        <v>469.03527118351269</v>
      </c>
      <c r="BC16" s="14">
        <f>[6]攻城值!AM16</f>
        <v>468.29904873433026</v>
      </c>
      <c r="BD16" s="14">
        <f>[6]攻城值!AN16</f>
        <v>474.11062997823865</v>
      </c>
      <c r="BF16" s="14">
        <v>12</v>
      </c>
      <c r="BG16" s="14">
        <f>[6]攻城值!AQ16</f>
        <v>7.8966478592827141E-2</v>
      </c>
      <c r="BH16" s="14">
        <f>[6]攻城值!AR16</f>
        <v>0.92103352140717298</v>
      </c>
      <c r="BL16" s="14">
        <v>12</v>
      </c>
      <c r="BM16" s="15">
        <f t="shared" si="2"/>
        <v>1</v>
      </c>
      <c r="BN16" s="15">
        <f t="shared" si="2"/>
        <v>1</v>
      </c>
      <c r="BO16" s="15">
        <f t="shared" si="2"/>
        <v>1</v>
      </c>
      <c r="BP16" s="15">
        <f t="shared" si="2"/>
        <v>1</v>
      </c>
      <c r="BQ16" s="15">
        <f t="shared" si="2"/>
        <v>1</v>
      </c>
      <c r="BR16" s="15">
        <f>'[1]功能-战损相关'!M22</f>
        <v>0.125</v>
      </c>
      <c r="BS16" s="15">
        <f>'[1]功能-战损相关'!N22</f>
        <v>0.125</v>
      </c>
      <c r="BT16" s="15">
        <f>'[1]功能-战损相关'!O22</f>
        <v>0.125</v>
      </c>
      <c r="BU16" s="15">
        <f>'[1]功能-战损相关'!P22</f>
        <v>0.125</v>
      </c>
      <c r="BV16" s="15">
        <f>'[1]功能-战损相关'!Q22</f>
        <v>0.125</v>
      </c>
      <c r="CJ16" s="2">
        <f>[4]兵营招募!S50</f>
        <v>13</v>
      </c>
      <c r="CK16" s="2">
        <f>[4]兵营招募!U50</f>
        <v>1800</v>
      </c>
    </row>
    <row r="17" spans="2:89" x14ac:dyDescent="0.15">
      <c r="B17" s="7">
        <v>13</v>
      </c>
      <c r="C17" s="7">
        <f>[1]服务器生态!W34</f>
        <v>788.3759269344921</v>
      </c>
      <c r="D17" s="7">
        <f>[1]服务器生态!X34</f>
        <v>442.26188531040566</v>
      </c>
      <c r="E17" s="7">
        <f>[1]服务器生态!Y34</f>
        <v>46.869942857142846</v>
      </c>
      <c r="F17" s="7">
        <f>[1]服务器生态!Z34</f>
        <v>6.7004081632653056</v>
      </c>
      <c r="G17" s="7">
        <f>[1]服务器生态!AA34</f>
        <v>1.5061224489795915</v>
      </c>
      <c r="H17" s="7">
        <f>[1]服务器生态!AC34</f>
        <v>0.61318127650460508</v>
      </c>
      <c r="I17" s="7">
        <f>[1]服务器生态!AD34</f>
        <v>0.34398146635253779</v>
      </c>
      <c r="J17" s="7">
        <f>[1]服务器生态!AE34</f>
        <v>3.6454399999999998E-2</v>
      </c>
      <c r="K17" s="7">
        <f>[1]服务器生态!AF34</f>
        <v>5.2114285714285717E-3</v>
      </c>
      <c r="L17" s="7">
        <f>[1]服务器生态!AG34</f>
        <v>1.1714285714285713E-3</v>
      </c>
      <c r="M17" s="7">
        <f>[5]基础信息!M16</f>
        <v>78.256410256410248</v>
      </c>
      <c r="Q17" s="7">
        <v>13</v>
      </c>
      <c r="R17" s="7">
        <f>[6]带兵数!D16</f>
        <v>2464.3190924164546</v>
      </c>
      <c r="S17" s="7">
        <f>[6]带兵数!E16</f>
        <v>2501.570411481659</v>
      </c>
      <c r="T17" s="7">
        <f>[6]带兵数!F16</f>
        <v>2545.537901279793</v>
      </c>
      <c r="U17" s="7">
        <f>[6]带兵数!G16</f>
        <v>2592.9987921274378</v>
      </c>
      <c r="V17" s="7">
        <f>[6]带兵数!H16</f>
        <v>2648.1817088938906</v>
      </c>
      <c r="X17" s="7">
        <v>13</v>
      </c>
      <c r="Y17" s="7">
        <f>求节点(节奏总纲!D$4:D$163,R$5:R$164,$X17)*6</f>
        <v>25067.772367953003</v>
      </c>
      <c r="Z17" s="7">
        <f>求节点(节奏总纲!E$4:E$163,S$5:S$164,$X17)*6</f>
        <v>26091.584808360167</v>
      </c>
      <c r="AA17" s="7">
        <f>求节点(节奏总纲!F$4:F$163,T$5:T$164,$X17)*6</f>
        <v>27440.415213498436</v>
      </c>
      <c r="AB17" s="7">
        <f>求节点(节奏总纲!G$4:G$163,U$5:U$164,$X17)*6</f>
        <v>29432.967849103472</v>
      </c>
      <c r="AC17" s="7">
        <f>求节点(节奏总纲!H$4:H$163,V$5:V$164,$X17)*6</f>
        <v>33035.284004665926</v>
      </c>
      <c r="AG17" s="7">
        <v>13</v>
      </c>
      <c r="AH17" s="7">
        <v>1</v>
      </c>
      <c r="AI17" s="7">
        <f>[6]实力验证!$Z19</f>
        <v>1.3808805332715555</v>
      </c>
      <c r="AJ17" s="7">
        <f>[6]实力验证!$AE19</f>
        <v>1.9408084375995522</v>
      </c>
      <c r="AK17" s="7">
        <f>[6]实力验证!$AJ19</f>
        <v>3.8278354064768414</v>
      </c>
      <c r="AL17" s="7">
        <f>[6]实力验证!$AO19</f>
        <v>10.294768642301497</v>
      </c>
      <c r="AM17" s="7">
        <f t="shared" si="0"/>
        <v>46.875793864938913</v>
      </c>
      <c r="AR17" s="14">
        <v>13</v>
      </c>
      <c r="AS17" s="14">
        <f>[6]攻城值!AC17</f>
        <v>43.006641369046761</v>
      </c>
      <c r="AT17" s="14">
        <f>[6]攻城值!AD17</f>
        <v>42.920884517277329</v>
      </c>
      <c r="AU17" s="14">
        <f>[6]攻城值!AE17</f>
        <v>42.927695559901373</v>
      </c>
      <c r="AV17" s="14">
        <f>[6]攻城值!AF17</f>
        <v>42.269321454188002</v>
      </c>
      <c r="AW17" s="14">
        <f>[6]攻城值!AG17</f>
        <v>42.528898332089277</v>
      </c>
      <c r="AY17" s="14">
        <v>13</v>
      </c>
      <c r="AZ17" s="14">
        <f>[6]攻城值!AJ17</f>
        <v>481.52273316630334</v>
      </c>
      <c r="BA17" s="14">
        <f>[6]攻城值!AK17</f>
        <v>483.28091995062988</v>
      </c>
      <c r="BB17" s="14">
        <f>[6]攻城值!AL17</f>
        <v>486.83309139363951</v>
      </c>
      <c r="BC17" s="14">
        <f>[6]攻城值!AM17</f>
        <v>475.3631569898958</v>
      </c>
      <c r="BD17" s="14">
        <f>[6]攻城值!AN17</f>
        <v>482.57258012826378</v>
      </c>
      <c r="BF17" s="14">
        <v>13</v>
      </c>
      <c r="BG17" s="14">
        <f>[6]攻城值!AQ17</f>
        <v>8.1990911199480154E-2</v>
      </c>
      <c r="BH17" s="14">
        <f>[6]攻城值!AR17</f>
        <v>0.91800908880051979</v>
      </c>
      <c r="BL17" s="14">
        <v>13</v>
      </c>
      <c r="BM17" s="15">
        <f t="shared" si="2"/>
        <v>1</v>
      </c>
      <c r="BN17" s="15">
        <f t="shared" si="2"/>
        <v>1</v>
      </c>
      <c r="BO17" s="15">
        <f t="shared" si="2"/>
        <v>1</v>
      </c>
      <c r="BP17" s="15">
        <f t="shared" si="2"/>
        <v>1</v>
      </c>
      <c r="BQ17" s="15">
        <f t="shared" si="2"/>
        <v>1</v>
      </c>
      <c r="BR17" s="15">
        <f>'[1]功能-战损相关'!M23</f>
        <v>0.125</v>
      </c>
      <c r="BS17" s="15">
        <f>'[1]功能-战损相关'!N23</f>
        <v>0.125</v>
      </c>
      <c r="BT17" s="15">
        <f>'[1]功能-战损相关'!O23</f>
        <v>0.125</v>
      </c>
      <c r="BU17" s="15">
        <f>'[1]功能-战损相关'!P23</f>
        <v>0.125</v>
      </c>
      <c r="BV17" s="15">
        <f>'[1]功能-战损相关'!Q23</f>
        <v>0.125</v>
      </c>
      <c r="CJ17" s="2">
        <f>[4]兵营招募!S51</f>
        <v>14</v>
      </c>
      <c r="CK17" s="2">
        <f>[4]兵营招募!U51</f>
        <v>1800</v>
      </c>
    </row>
    <row r="18" spans="2:89" x14ac:dyDescent="0.15">
      <c r="B18" s="7">
        <v>14</v>
      </c>
      <c r="C18" s="7">
        <f>[1]服务器生态!W35</f>
        <v>747.95400000000018</v>
      </c>
      <c r="D18" s="7">
        <f>[1]服务器生态!X35</f>
        <v>441.41454857142821</v>
      </c>
      <c r="E18" s="7">
        <f>[1]服务器生态!Y35</f>
        <v>45.434879999999993</v>
      </c>
      <c r="F18" s="7">
        <f>[1]服务器生态!Z35</f>
        <v>6.5622857142857143</v>
      </c>
      <c r="G18" s="7">
        <f>[1]服务器生态!AA35</f>
        <v>1.4914285714285711</v>
      </c>
      <c r="H18" s="7">
        <f>[1]服务器生态!AC35</f>
        <v>0.60180206896551747</v>
      </c>
      <c r="I18" s="7">
        <f>[1]服务器生态!AD35</f>
        <v>0.35516113103448255</v>
      </c>
      <c r="J18" s="7">
        <f>[1]服务器生态!AE35</f>
        <v>3.65568E-2</v>
      </c>
      <c r="K18" s="7">
        <f>[1]服务器生态!AF35</f>
        <v>5.2800000000000008E-3</v>
      </c>
      <c r="L18" s="7">
        <f>[1]服务器生态!AG35</f>
        <v>1.1999999999999999E-3</v>
      </c>
      <c r="M18" s="7">
        <f>[5]基础信息!M17</f>
        <v>79.538461538461533</v>
      </c>
      <c r="Q18" s="7">
        <v>14</v>
      </c>
      <c r="R18" s="7">
        <f>[6]带兵数!D17</f>
        <v>2540.9487920387801</v>
      </c>
      <c r="S18" s="7">
        <f>[6]带兵数!E17</f>
        <v>2580.095688557115</v>
      </c>
      <c r="T18" s="7">
        <f>[6]带兵数!F17</f>
        <v>2622.5291242595772</v>
      </c>
      <c r="U18" s="7">
        <f>[6]带兵数!G17</f>
        <v>2673.4528001908789</v>
      </c>
      <c r="V18" s="7">
        <f>[6]带兵数!H17</f>
        <v>2724.815402260052</v>
      </c>
      <c r="X18" s="7">
        <v>14</v>
      </c>
      <c r="Y18" s="7">
        <f>求节点(节奏总纲!D$4:D$163,R$5:R$164,$X18)*6</f>
        <v>25451.722438814322</v>
      </c>
      <c r="Z18" s="7">
        <f>求节点(节奏总纲!E$4:E$163,S$5:S$164,$X18)*6</f>
        <v>26485.903994552398</v>
      </c>
      <c r="AA18" s="7">
        <f>求节点(节奏总纲!F$4:F$163,T$5:T$164,$X18)*6</f>
        <v>27834.786777385991</v>
      </c>
      <c r="AB18" s="7">
        <f>求节点(节奏总纲!G$4:G$163,U$5:U$164,$X18)*6</f>
        <v>29833.343160338052</v>
      </c>
      <c r="AC18" s="7">
        <f>求节点(节奏总纲!H$4:H$163,V$5:V$164,$X18)*6</f>
        <v>33460.077102732226</v>
      </c>
      <c r="AG18" s="7">
        <v>14</v>
      </c>
      <c r="AH18" s="7">
        <v>1</v>
      </c>
      <c r="AI18" s="7">
        <f>[6]实力验证!$Z20</f>
        <v>1.3133420866031982</v>
      </c>
      <c r="AJ18" s="7">
        <f>[6]实力验证!$AE20</f>
        <v>1.8488616958746762</v>
      </c>
      <c r="AK18" s="7">
        <f>[6]实力验证!$AJ20</f>
        <v>3.6723644381254812</v>
      </c>
      <c r="AL18" s="7">
        <f>[6]实力验证!$AO20</f>
        <v>10.124497517236493</v>
      </c>
      <c r="AM18" s="7">
        <f t="shared" si="0"/>
        <v>46.527411332301476</v>
      </c>
      <c r="AR18" s="14">
        <v>14</v>
      </c>
      <c r="AS18" s="14">
        <f>[6]攻城值!AC18</f>
        <v>45.367736825033795</v>
      </c>
      <c r="AT18" s="14">
        <f>[6]攻城值!AD18</f>
        <v>45.253613413124476</v>
      </c>
      <c r="AU18" s="14">
        <f>[6]攻城值!AE18</f>
        <v>45.237098336231</v>
      </c>
      <c r="AV18" s="14">
        <f>[6]攻城值!AF18</f>
        <v>44.376277644704984</v>
      </c>
      <c r="AW18" s="14">
        <f>[6]攻城值!AG18</f>
        <v>44.741304227025303</v>
      </c>
      <c r="AY18" s="14">
        <v>14</v>
      </c>
      <c r="AZ18" s="14">
        <f>[6]攻城值!AJ18</f>
        <v>488.81704823472904</v>
      </c>
      <c r="BA18" s="14">
        <f>[6]攻城值!AK18</f>
        <v>490.5341727703443</v>
      </c>
      <c r="BB18" s="14">
        <f>[6]攻城值!AL18</f>
        <v>494.10212483360812</v>
      </c>
      <c r="BC18" s="14">
        <f>[6]攻城值!AM18</f>
        <v>482.45305665061505</v>
      </c>
      <c r="BD18" s="14">
        <f>[6]攻城值!AN18</f>
        <v>491.08883210060009</v>
      </c>
      <c r="BF18" s="14">
        <v>14</v>
      </c>
      <c r="BG18" s="14">
        <f>[6]攻城值!AQ18</f>
        <v>8.492891990541851E-2</v>
      </c>
      <c r="BH18" s="14">
        <f>[6]攻城值!AR18</f>
        <v>0.91507108009458149</v>
      </c>
      <c r="BL18" s="14">
        <v>14</v>
      </c>
      <c r="BM18" s="15">
        <f t="shared" si="2"/>
        <v>1</v>
      </c>
      <c r="BN18" s="15">
        <f t="shared" si="2"/>
        <v>1</v>
      </c>
      <c r="BO18" s="15">
        <f t="shared" si="2"/>
        <v>1</v>
      </c>
      <c r="BP18" s="15">
        <f t="shared" si="2"/>
        <v>1</v>
      </c>
      <c r="BQ18" s="15">
        <f t="shared" si="2"/>
        <v>1</v>
      </c>
      <c r="BR18" s="15">
        <f>'[1]功能-战损相关'!M24</f>
        <v>0.125</v>
      </c>
      <c r="BS18" s="15">
        <f>'[1]功能-战损相关'!N24</f>
        <v>0.125</v>
      </c>
      <c r="BT18" s="15">
        <f>'[1]功能-战损相关'!O24</f>
        <v>0.125</v>
      </c>
      <c r="BU18" s="15">
        <f>'[1]功能-战损相关'!P24</f>
        <v>0.125</v>
      </c>
      <c r="BV18" s="15">
        <f>'[1]功能-战损相关'!Q24</f>
        <v>0.125</v>
      </c>
      <c r="CJ18" s="2">
        <f>[4]兵营招募!S52</f>
        <v>15</v>
      </c>
      <c r="CK18" s="2">
        <f>[4]兵营招募!U52</f>
        <v>1800</v>
      </c>
    </row>
    <row r="19" spans="2:89" x14ac:dyDescent="0.15">
      <c r="B19" s="7">
        <v>15</v>
      </c>
      <c r="C19" s="7">
        <f>[1]服务器生态!W36</f>
        <v>717.28800940438896</v>
      </c>
      <c r="D19" s="7">
        <f>[1]服务器生态!X36</f>
        <v>430.95539539561105</v>
      </c>
      <c r="E19" s="7">
        <f>[1]服务器生态!Y36</f>
        <v>43.922995199999995</v>
      </c>
      <c r="F19" s="7">
        <f>[1]服务器生态!Z36</f>
        <v>6.3756000000000013</v>
      </c>
      <c r="G19" s="7">
        <f>[1]服务器生态!AA36</f>
        <v>1.458</v>
      </c>
      <c r="H19" s="7">
        <f>[1]服务器生态!AC36</f>
        <v>0.59774000783699077</v>
      </c>
      <c r="I19" s="7">
        <f>[1]服务器生态!AD36</f>
        <v>0.35912949616300921</v>
      </c>
      <c r="J19" s="7">
        <f>[1]服务器生态!AE36</f>
        <v>3.6602495999999998E-2</v>
      </c>
      <c r="K19" s="7">
        <f>[1]服务器生态!AF36</f>
        <v>5.3130000000000009E-3</v>
      </c>
      <c r="L19" s="7">
        <f>[1]服务器生态!AG36</f>
        <v>1.2149999999999999E-3</v>
      </c>
      <c r="M19" s="7">
        <f>[5]基础信息!M18</f>
        <v>80.35164835164835</v>
      </c>
      <c r="Q19" s="7">
        <v>15</v>
      </c>
      <c r="R19" s="7">
        <f>[6]带兵数!D18</f>
        <v>2616.6658834916134</v>
      </c>
      <c r="S19" s="7">
        <f>[6]带兵数!E18</f>
        <v>2656.0415593263824</v>
      </c>
      <c r="T19" s="7">
        <f>[6]带兵数!F18</f>
        <v>2702.4897159472612</v>
      </c>
      <c r="U19" s="7">
        <f>[6]带兵数!G18</f>
        <v>2752.0787661421978</v>
      </c>
      <c r="V19" s="7">
        <f>[6]带兵数!H18</f>
        <v>2808.6655799493046</v>
      </c>
      <c r="X19" s="7">
        <v>15</v>
      </c>
      <c r="Y19" s="7">
        <f>求节点(节奏总纲!D$4:D$163,R$5:R$164,$X19)*6</f>
        <v>25816.677841663593</v>
      </c>
      <c r="Z19" s="7">
        <f>求节点(节奏总纲!E$4:E$163,S$5:S$164,$X19)*6</f>
        <v>26837.224684544777</v>
      </c>
      <c r="AA19" s="7">
        <f>求节点(节奏总纲!F$4:F$163,T$5:T$164,$X19)*6</f>
        <v>28202.925791515518</v>
      </c>
      <c r="AB19" s="7">
        <f>求节点(节奏总纲!G$4:G$163,U$5:U$164,$X19)*6</f>
        <v>30211.672440888738</v>
      </c>
      <c r="AC19" s="7">
        <f>求节点(节奏总纲!H$4:H$163,V$5:V$164,$X19)*6</f>
        <v>33864.508086221176</v>
      </c>
      <c r="AG19" s="7">
        <v>15</v>
      </c>
      <c r="AH19" s="7">
        <v>1</v>
      </c>
      <c r="AI19" s="7">
        <f>[6]实力验证!$Z21</f>
        <v>1.2500433011194123</v>
      </c>
      <c r="AJ19" s="7">
        <f>[6]实力验证!$AE21</f>
        <v>1.7760352847929504</v>
      </c>
      <c r="AK19" s="7">
        <f>[6]实力验证!$AJ21</f>
        <v>3.6040213365407632</v>
      </c>
      <c r="AL19" s="7">
        <f>[6]实力验证!$AO21</f>
        <v>10.049305876239343</v>
      </c>
      <c r="AM19" s="7">
        <f t="shared" si="0"/>
        <v>45.690661696149817</v>
      </c>
      <c r="AR19" s="14">
        <v>15</v>
      </c>
      <c r="AS19" s="14">
        <f>[6]攻城值!AC19</f>
        <v>47.758818403931443</v>
      </c>
      <c r="AT19" s="14">
        <f>[6]攻城值!AD19</f>
        <v>47.616191328459806</v>
      </c>
      <c r="AU19" s="14">
        <f>[6]攻城值!AE19</f>
        <v>47.572198488755227</v>
      </c>
      <c r="AV19" s="14">
        <f>[6]攻城值!AF19</f>
        <v>46.491791231527891</v>
      </c>
      <c r="AW19" s="14">
        <f>[6]攻城值!AG19</f>
        <v>46.97073014560447</v>
      </c>
      <c r="AY19" s="14">
        <v>15</v>
      </c>
      <c r="AZ19" s="14">
        <f>[6]攻城值!AJ19</f>
        <v>496.28944824742462</v>
      </c>
      <c r="BA19" s="14">
        <f>[6]攻城值!AK19</f>
        <v>497.98610963383794</v>
      </c>
      <c r="BB19" s="14">
        <f>[6]攻城值!AL19</f>
        <v>501.54841681843465</v>
      </c>
      <c r="BC19" s="14">
        <f>[6]攻城值!AM19</f>
        <v>489.56874771648796</v>
      </c>
      <c r="BD19" s="14">
        <f>[6]攻城值!AN19</f>
        <v>499.65938589524751</v>
      </c>
      <c r="BF19" s="14">
        <v>15</v>
      </c>
      <c r="BG19" s="14">
        <f>[6]攻城值!AQ19</f>
        <v>8.778415690557996E-2</v>
      </c>
      <c r="BH19" s="14">
        <f>[6]攻城值!AR19</f>
        <v>0.91221584309442016</v>
      </c>
      <c r="BL19" s="14">
        <v>15</v>
      </c>
      <c r="BM19" s="15">
        <f t="shared" si="2"/>
        <v>1</v>
      </c>
      <c r="BN19" s="15">
        <f t="shared" si="2"/>
        <v>1</v>
      </c>
      <c r="BO19" s="15">
        <f t="shared" si="2"/>
        <v>1</v>
      </c>
      <c r="BP19" s="15">
        <f t="shared" si="2"/>
        <v>1</v>
      </c>
      <c r="BQ19" s="15">
        <f t="shared" si="2"/>
        <v>1</v>
      </c>
      <c r="BR19" s="15">
        <f>'[1]功能-战损相关'!M25</f>
        <v>0.125</v>
      </c>
      <c r="BS19" s="15">
        <f>'[1]功能-战损相关'!N25</f>
        <v>0.125</v>
      </c>
      <c r="BT19" s="15">
        <f>'[1]功能-战损相关'!O25</f>
        <v>0.125</v>
      </c>
      <c r="BU19" s="15">
        <f>'[1]功能-战损相关'!P25</f>
        <v>0.125</v>
      </c>
      <c r="BV19" s="15">
        <f>'[1]功能-战损相关'!Q25</f>
        <v>0.125</v>
      </c>
      <c r="CJ19" s="2">
        <f>[4]兵营招募!S53</f>
        <v>16</v>
      </c>
      <c r="CK19" s="2">
        <f>[4]兵营招募!U53</f>
        <v>1800</v>
      </c>
    </row>
    <row r="20" spans="2:89" x14ac:dyDescent="0.15">
      <c r="B20" s="7">
        <v>16</v>
      </c>
      <c r="C20" s="7">
        <f>[1]服务器生态!W37</f>
        <v>697.57158738244539</v>
      </c>
      <c r="D20" s="7">
        <f>[1]服务器生态!X37</f>
        <v>426.63998701755457</v>
      </c>
      <c r="E20" s="7">
        <f>[1]服务器生态!Y37</f>
        <v>43.061625600000006</v>
      </c>
      <c r="F20" s="7">
        <f>[1]服务器生态!Z37</f>
        <v>6.2815500000000011</v>
      </c>
      <c r="G20" s="7">
        <f>[1]服务器生态!AA37</f>
        <v>1.4452499999999999</v>
      </c>
      <c r="H20" s="7">
        <f>[1]服务器生态!AC37</f>
        <v>0.59367794670846419</v>
      </c>
      <c r="I20" s="7">
        <f>[1]服务器生态!AD37</f>
        <v>0.36309786129153582</v>
      </c>
      <c r="J20" s="7">
        <f>[1]服务器生态!AE37</f>
        <v>3.6648192000000003E-2</v>
      </c>
      <c r="K20" s="7">
        <f>[1]服务器生态!AF37</f>
        <v>5.3460000000000009E-3</v>
      </c>
      <c r="L20" s="7">
        <f>[1]服务器生态!AG37</f>
        <v>1.23E-3</v>
      </c>
      <c r="M20" s="7">
        <f>[5]基础信息!M19</f>
        <v>80.901098901098905</v>
      </c>
      <c r="Q20" s="7">
        <v>16</v>
      </c>
      <c r="R20" s="7">
        <f>[6]带兵数!D19</f>
        <v>2691.4845624513546</v>
      </c>
      <c r="S20" s="7">
        <f>[6]带兵数!E19</f>
        <v>2732.3953663630509</v>
      </c>
      <c r="T20" s="7">
        <f>[6]带兵数!F19</f>
        <v>2778.3269964511292</v>
      </c>
      <c r="U20" s="7">
        <f>[6]带兵数!G19</f>
        <v>2832.3055450854918</v>
      </c>
      <c r="V20" s="7">
        <f>[6]带兵数!H19</f>
        <v>2893.6396297114957</v>
      </c>
      <c r="X20" s="7">
        <v>16</v>
      </c>
      <c r="Y20" s="7">
        <f>求节点(节奏总纲!D$4:D$163,R$5:R$164,$X20)*6</f>
        <v>26147.309858570836</v>
      </c>
      <c r="Z20" s="7">
        <f>求节点(节奏总纲!E$4:E$163,S$5:S$164,$X20)*6</f>
        <v>27182.675225580788</v>
      </c>
      <c r="AA20" s="7">
        <f>求节点(节奏总纲!F$4:F$163,T$5:T$164,$X20)*6</f>
        <v>28544.949061947511</v>
      </c>
      <c r="AB20" s="7">
        <f>求节点(节奏总纲!G$4:G$163,U$5:U$164,$X20)*6</f>
        <v>30561.240704122662</v>
      </c>
      <c r="AC20" s="7">
        <f>求节点(节奏总纲!H$4:H$163,V$5:V$164,$X20)*6</f>
        <v>34230.812658020935</v>
      </c>
      <c r="AG20" s="7">
        <v>16</v>
      </c>
      <c r="AH20" s="7">
        <v>1</v>
      </c>
      <c r="AI20" s="7">
        <f>[6]实力验证!$Z22</f>
        <v>1.2469309495008569</v>
      </c>
      <c r="AJ20" s="7">
        <f>[6]实力验证!$AE22</f>
        <v>1.7843395563448277</v>
      </c>
      <c r="AK20" s="7">
        <f>[6]实力验证!$AJ22</f>
        <v>3.633919782543217</v>
      </c>
      <c r="AL20" s="7">
        <f>[6]实力验证!$AO22</f>
        <v>10.6998585903965</v>
      </c>
      <c r="AM20" s="7">
        <f t="shared" si="0"/>
        <v>46.378412590556508</v>
      </c>
      <c r="AR20" s="14">
        <v>16</v>
      </c>
      <c r="AS20" s="14">
        <f>[6]攻城值!AC20</f>
        <v>50.18268715180578</v>
      </c>
      <c r="AT20" s="14">
        <f>[6]攻城值!AD20</f>
        <v>50.009184311427816</v>
      </c>
      <c r="AU20" s="14">
        <f>[6]攻城值!AE20</f>
        <v>49.929874493990688</v>
      </c>
      <c r="AV20" s="14">
        <f>[6]攻城值!AF20</f>
        <v>49.883313231343962</v>
      </c>
      <c r="AW20" s="14">
        <f>[6]攻城值!AG20</f>
        <v>49.217176087826786</v>
      </c>
      <c r="AY20" s="14">
        <v>16</v>
      </c>
      <c r="AZ20" s="14">
        <f>[6]攻城值!AJ20</f>
        <v>503.95432199436505</v>
      </c>
      <c r="BA20" s="14">
        <f>[6]攻城值!AK20</f>
        <v>505.62635056281238</v>
      </c>
      <c r="BB20" s="14">
        <f>[6]攻城值!AL20</f>
        <v>509.12587149114825</v>
      </c>
      <c r="BC20" s="14">
        <f>[6]攻城值!AM20</f>
        <v>509.65982847850859</v>
      </c>
      <c r="BD20" s="14">
        <f>[6]攻城值!AN20</f>
        <v>508.28424151220622</v>
      </c>
      <c r="BF20" s="14">
        <v>16</v>
      </c>
      <c r="BG20" s="14">
        <f>[6]攻城值!AQ20</f>
        <v>9.0560071468838738E-2</v>
      </c>
      <c r="BH20" s="14">
        <f>[6]攻城值!AR20</f>
        <v>0.90943992853116118</v>
      </c>
      <c r="BL20" s="14">
        <v>16</v>
      </c>
      <c r="BM20" s="15">
        <f t="shared" si="2"/>
        <v>1</v>
      </c>
      <c r="BN20" s="15">
        <f t="shared" si="2"/>
        <v>1</v>
      </c>
      <c r="BO20" s="15">
        <f t="shared" si="2"/>
        <v>1</v>
      </c>
      <c r="BP20" s="15">
        <f t="shared" si="2"/>
        <v>1</v>
      </c>
      <c r="BQ20" s="15">
        <f t="shared" si="2"/>
        <v>1</v>
      </c>
      <c r="BR20" s="15">
        <f>'[1]功能-战损相关'!M26</f>
        <v>0.125</v>
      </c>
      <c r="BS20" s="15">
        <f>'[1]功能-战损相关'!N26</f>
        <v>0.125</v>
      </c>
      <c r="BT20" s="15">
        <f>'[1]功能-战损相关'!O26</f>
        <v>0.125</v>
      </c>
      <c r="BU20" s="15">
        <f>'[1]功能-战损相关'!P26</f>
        <v>0.125</v>
      </c>
      <c r="BV20" s="15">
        <f>'[1]功能-战损相关'!Q26</f>
        <v>0.125</v>
      </c>
      <c r="CJ20" s="2">
        <f>[4]兵营招募!S54</f>
        <v>17</v>
      </c>
      <c r="CK20" s="2">
        <f>[4]兵营招募!U54</f>
        <v>2100</v>
      </c>
    </row>
    <row r="21" spans="2:89" x14ac:dyDescent="0.15">
      <c r="B21" s="7">
        <v>17</v>
      </c>
      <c r="C21" s="7">
        <f>[1]服务器生态!W38</f>
        <v>678.05826841692817</v>
      </c>
      <c r="D21" s="7">
        <f>[1]服务器生态!X38</f>
        <v>422.12616038307186</v>
      </c>
      <c r="E21" s="7">
        <f>[1]服务器生态!Y38</f>
        <v>42.197971199999998</v>
      </c>
      <c r="F21" s="7">
        <f>[1]服务器生态!Z38</f>
        <v>6.1858500000000012</v>
      </c>
      <c r="G21" s="7">
        <f>[1]服务器生态!AA38</f>
        <v>1.4317499999999999</v>
      </c>
      <c r="H21" s="7">
        <f>[1]服务器生态!AC38</f>
        <v>0.58961588557993749</v>
      </c>
      <c r="I21" s="7">
        <f>[1]服务器生态!AD38</f>
        <v>0.36706622642006248</v>
      </c>
      <c r="J21" s="7">
        <f>[1]服务器生态!AE38</f>
        <v>3.6693888000000001E-2</v>
      </c>
      <c r="K21" s="7">
        <f>[1]服务器生态!AF38</f>
        <v>5.379000000000001E-3</v>
      </c>
      <c r="L21" s="7">
        <f>[1]服务器生态!AG38</f>
        <v>1.2449999999999998E-3</v>
      </c>
      <c r="M21" s="7">
        <f>[5]基础信息!M20</f>
        <v>81.450549450549445</v>
      </c>
      <c r="Q21" s="7">
        <v>17</v>
      </c>
      <c r="R21" s="7">
        <f>[6]带兵数!D20</f>
        <v>2763.9606019664152</v>
      </c>
      <c r="S21" s="7">
        <f>[6]带兵数!E20</f>
        <v>2805.0302066190816</v>
      </c>
      <c r="T21" s="7">
        <f>[6]带兵数!F20</f>
        <v>2851.5846584296787</v>
      </c>
      <c r="U21" s="7">
        <f>[6]带兵数!G20</f>
        <v>2906.4198848718197</v>
      </c>
      <c r="V21" s="7">
        <f>[6]带兵数!H20</f>
        <v>2963.8393226762068</v>
      </c>
      <c r="X21" s="7">
        <v>17</v>
      </c>
      <c r="Y21" s="7">
        <f>求节点(节奏总纲!D$4:D$163,R$5:R$164,$X21)*6</f>
        <v>26470.483276192768</v>
      </c>
      <c r="Z21" s="7">
        <f>求节点(节奏总纲!E$4:E$163,S$5:S$164,$X21)*6</f>
        <v>27499.673918890901</v>
      </c>
      <c r="AA21" s="7">
        <f>求节点(节奏总纲!F$4:F$163,T$5:T$164,$X21)*6</f>
        <v>28874.546140220271</v>
      </c>
      <c r="AB21" s="7">
        <f>求节点(节奏总纲!G$4:G$163,U$5:U$164,$X21)*6</f>
        <v>30888.028459444235</v>
      </c>
      <c r="AC21" s="7">
        <f>求节点(节奏总纲!H$4:H$163,V$5:V$164,$X21)*6</f>
        <v>34587.933621543409</v>
      </c>
      <c r="AG21" s="7">
        <v>17</v>
      </c>
      <c r="AH21" s="7">
        <v>1</v>
      </c>
      <c r="AI21" s="7">
        <f>[6]实力验证!$Z23</f>
        <v>1.245797820580768</v>
      </c>
      <c r="AJ21" s="7">
        <f>[6]实力验证!$AE23</f>
        <v>1.7929371899780433</v>
      </c>
      <c r="AK21" s="7">
        <f>[6]实力验证!$AJ23</f>
        <v>3.6977954532871191</v>
      </c>
      <c r="AL21" s="7">
        <f>[6]实力验证!$AO23</f>
        <v>10.913372286941712</v>
      </c>
      <c r="AM21" s="7">
        <f t="shared" si="0"/>
        <v>47.051884749812089</v>
      </c>
      <c r="AR21" s="14">
        <v>17</v>
      </c>
      <c r="AS21" s="14">
        <f>[6]攻城值!AC21</f>
        <v>52.628365633203359</v>
      </c>
      <c r="AT21" s="14">
        <f>[6]攻城值!AD21</f>
        <v>52.425561586389591</v>
      </c>
      <c r="AU21" s="14">
        <f>[6]攻城值!AE21</f>
        <v>52.305693647468672</v>
      </c>
      <c r="AV21" s="14">
        <f>[6]攻城值!AF21</f>
        <v>52.196454121989618</v>
      </c>
      <c r="AW21" s="14">
        <f>[6]攻城值!AG21</f>
        <v>51.480642053692257</v>
      </c>
      <c r="AY21" s="14">
        <v>17</v>
      </c>
      <c r="AZ21" s="14">
        <f>[6]攻城值!AJ21</f>
        <v>511.69083458568321</v>
      </c>
      <c r="BA21" s="14">
        <f>[6]攻城值!AK21</f>
        <v>513.372127025689</v>
      </c>
      <c r="BB21" s="14">
        <f>[6]攻城值!AL21</f>
        <v>516.78180813788958</v>
      </c>
      <c r="BC21" s="14">
        <f>[6]攻城值!AM21</f>
        <v>518.25421241248512</v>
      </c>
      <c r="BD21" s="14">
        <f>[6]攻城值!AN21</f>
        <v>516.83102612146604</v>
      </c>
      <c r="BF21" s="14">
        <v>17</v>
      </c>
      <c r="BG21" s="14">
        <f>[6]攻城值!AQ21</f>
        <v>9.3259923838830958E-2</v>
      </c>
      <c r="BH21" s="14">
        <f>[6]攻城值!AR21</f>
        <v>0.90674007616116914</v>
      </c>
      <c r="BL21" s="14">
        <v>17</v>
      </c>
      <c r="BM21" s="15">
        <f t="shared" si="2"/>
        <v>1</v>
      </c>
      <c r="BN21" s="15">
        <f t="shared" si="2"/>
        <v>1</v>
      </c>
      <c r="BO21" s="15">
        <f t="shared" si="2"/>
        <v>1</v>
      </c>
      <c r="BP21" s="15">
        <f t="shared" si="2"/>
        <v>1</v>
      </c>
      <c r="BQ21" s="15">
        <f t="shared" si="2"/>
        <v>1</v>
      </c>
      <c r="BR21" s="15">
        <f>'[1]功能-战损相关'!M27</f>
        <v>0.125</v>
      </c>
      <c r="BS21" s="15">
        <f>'[1]功能-战损相关'!N27</f>
        <v>0.125</v>
      </c>
      <c r="BT21" s="15">
        <f>'[1]功能-战损相关'!O27</f>
        <v>0.125</v>
      </c>
      <c r="BU21" s="15">
        <f>'[1]功能-战损相关'!P27</f>
        <v>0.125</v>
      </c>
      <c r="BV21" s="15">
        <f>'[1]功能-战损相关'!Q27</f>
        <v>0.125</v>
      </c>
      <c r="CJ21" s="2">
        <f>[4]兵营招募!S55</f>
        <v>18</v>
      </c>
      <c r="CK21" s="2">
        <f>[4]兵营招募!U55</f>
        <v>2100</v>
      </c>
    </row>
    <row r="22" spans="2:89" x14ac:dyDescent="0.15">
      <c r="B22" s="7">
        <v>18</v>
      </c>
      <c r="C22" s="7">
        <f>[1]服务器生态!W39</f>
        <v>658.74805250783731</v>
      </c>
      <c r="D22" s="7">
        <f>[1]服务器生态!X39</f>
        <v>417.4139154921628</v>
      </c>
      <c r="E22" s="7">
        <f>[1]服务器生态!Y39</f>
        <v>41.332031999999998</v>
      </c>
      <c r="F22" s="7">
        <f>[1]服务器生态!Z39</f>
        <v>6.0885000000000016</v>
      </c>
      <c r="G22" s="7">
        <f>[1]服务器生态!AA39</f>
        <v>1.4174999999999998</v>
      </c>
      <c r="H22" s="7">
        <f>[1]服务器生态!AC39</f>
        <v>0.58555382445141091</v>
      </c>
      <c r="I22" s="7">
        <f>[1]服务器生态!AD39</f>
        <v>0.37103459154858914</v>
      </c>
      <c r="J22" s="7">
        <f>[1]服务器生态!AE39</f>
        <v>3.6739583999999999E-2</v>
      </c>
      <c r="K22" s="7">
        <f>[1]服务器生态!AF39</f>
        <v>5.412000000000001E-3</v>
      </c>
      <c r="L22" s="7">
        <f>[1]服务器生态!AG39</f>
        <v>1.2599999999999998E-3</v>
      </c>
      <c r="M22" s="7">
        <f>[5]基础信息!M21</f>
        <v>82</v>
      </c>
      <c r="Q22" s="7">
        <v>18</v>
      </c>
      <c r="R22" s="7">
        <f>[6]带兵数!D21</f>
        <v>2837.1072726902107</v>
      </c>
      <c r="S22" s="7">
        <f>[6]带兵数!E21</f>
        <v>2879.0260811148701</v>
      </c>
      <c r="T22" s="7">
        <f>[6]带兵数!F21</f>
        <v>2928.9090226438066</v>
      </c>
      <c r="U22" s="7">
        <f>[6]带兵数!G21</f>
        <v>2984.0049562343138</v>
      </c>
      <c r="V22" s="7">
        <f>[6]带兵数!H21</f>
        <v>3042.8688718553117</v>
      </c>
      <c r="X22" s="7">
        <v>18</v>
      </c>
      <c r="Y22" s="7">
        <f>求节点(节奏总纲!D$4:D$163,R$5:R$164,$X22)*6</f>
        <v>26768.698841502621</v>
      </c>
      <c r="Z22" s="7">
        <f>求节点(节奏总纲!E$4:E$163,S$5:S$164,$X22)*6</f>
        <v>27799.581858886566</v>
      </c>
      <c r="AA22" s="7">
        <f>求节点(节奏总纲!F$4:F$163,T$5:T$164,$X22)*6</f>
        <v>29177.985009137868</v>
      </c>
      <c r="AB22" s="7">
        <f>求节点(节奏总纲!G$4:G$163,U$5:U$164,$X22)*6</f>
        <v>31197.337766345634</v>
      </c>
      <c r="AC22" s="7">
        <f>求节点(节奏总纲!H$4:H$163,V$5:V$164,$X22)*6</f>
        <v>34903.504505882287</v>
      </c>
      <c r="AG22" s="7">
        <v>18</v>
      </c>
      <c r="AH22" s="7">
        <v>1</v>
      </c>
      <c r="AI22" s="7">
        <f>[6]实力验证!$Z24</f>
        <v>1.2463555009784661</v>
      </c>
      <c r="AJ22" s="7">
        <f>[6]实力验证!$AE24</f>
        <v>1.7975679040896833</v>
      </c>
      <c r="AK22" s="7">
        <f>[6]实力验证!$AJ24</f>
        <v>3.7883319692696302</v>
      </c>
      <c r="AL22" s="7">
        <f>[6]实力验证!$AO24</f>
        <v>11.6438494499025</v>
      </c>
      <c r="AM22" s="7">
        <f t="shared" si="0"/>
        <v>47.871451407123722</v>
      </c>
      <c r="AR22" s="14">
        <v>18</v>
      </c>
      <c r="AS22" s="14">
        <f>[6]攻城值!AC22</f>
        <v>55.103753146309977</v>
      </c>
      <c r="AT22" s="14">
        <f>[6]攻城值!AD22</f>
        <v>54.882142891517638</v>
      </c>
      <c r="AU22" s="14">
        <f>[6]攻城值!AE22</f>
        <v>54.728820747930094</v>
      </c>
      <c r="AV22" s="14">
        <f>[6]攻城值!AF22</f>
        <v>54.552058775195071</v>
      </c>
      <c r="AW22" s="14">
        <f>[6]攻城值!AG22</f>
        <v>53.76112804320087</v>
      </c>
      <c r="AY22" s="14">
        <v>18</v>
      </c>
      <c r="AZ22" s="14">
        <f>[6]攻城值!AJ22</f>
        <v>519.57132508474035</v>
      </c>
      <c r="BA22" s="14">
        <f>[6]攻城值!AK22</f>
        <v>521.37773240115905</v>
      </c>
      <c r="BB22" s="14">
        <f>[6]攻城值!AL22</f>
        <v>524.79231462216717</v>
      </c>
      <c r="BC22" s="14">
        <f>[6]攻城值!AM22</f>
        <v>527.05370290672022</v>
      </c>
      <c r="BD22" s="14">
        <f>[6]攻城值!AN22</f>
        <v>525.15908070895603</v>
      </c>
      <c r="BF22" s="14">
        <v>18</v>
      </c>
      <c r="BG22" s="14">
        <f>[6]攻城值!AQ22</f>
        <v>9.5886798007543503E-2</v>
      </c>
      <c r="BH22" s="14">
        <f>[6]攻城值!AR22</f>
        <v>0.90411320199245659</v>
      </c>
      <c r="BL22" s="14">
        <v>18</v>
      </c>
      <c r="BM22" s="15">
        <f t="shared" si="2"/>
        <v>1</v>
      </c>
      <c r="BN22" s="15">
        <f t="shared" si="2"/>
        <v>1</v>
      </c>
      <c r="BO22" s="15">
        <f t="shared" si="2"/>
        <v>1</v>
      </c>
      <c r="BP22" s="15">
        <f t="shared" si="2"/>
        <v>1</v>
      </c>
      <c r="BQ22" s="15">
        <f t="shared" si="2"/>
        <v>1</v>
      </c>
      <c r="BR22" s="15">
        <f>'[1]功能-战损相关'!M28</f>
        <v>0.125</v>
      </c>
      <c r="BS22" s="15">
        <f>'[1]功能-战损相关'!N28</f>
        <v>0.125</v>
      </c>
      <c r="BT22" s="15">
        <f>'[1]功能-战损相关'!O28</f>
        <v>0.125</v>
      </c>
      <c r="BU22" s="15">
        <f>'[1]功能-战损相关'!P28</f>
        <v>0.125</v>
      </c>
      <c r="BV22" s="15">
        <f>'[1]功能-战损相关'!Q28</f>
        <v>0.125</v>
      </c>
      <c r="CJ22" s="2">
        <f>[4]兵营招募!S56</f>
        <v>19</v>
      </c>
      <c r="CK22" s="2">
        <f>[4]兵营招募!U56</f>
        <v>2100</v>
      </c>
    </row>
    <row r="23" spans="2:89" x14ac:dyDescent="0.15">
      <c r="B23" s="7">
        <v>19</v>
      </c>
      <c r="C23" s="7">
        <f>[1]服务器生态!W40</f>
        <v>639.64093965517259</v>
      </c>
      <c r="D23" s="7">
        <f>[1]服务器生态!X40</f>
        <v>412.50325234482733</v>
      </c>
      <c r="E23" s="7">
        <f>[1]服务器生态!Y40</f>
        <v>40.463808000000007</v>
      </c>
      <c r="F23" s="7">
        <f>[1]服务器生态!Z40</f>
        <v>5.9895000000000014</v>
      </c>
      <c r="G23" s="7">
        <f>[1]服务器生态!AA40</f>
        <v>1.4024999999999999</v>
      </c>
      <c r="H23" s="7">
        <f>[1]服务器生态!AC40</f>
        <v>0.58149176332288421</v>
      </c>
      <c r="I23" s="7">
        <f>[1]服务器生态!AD40</f>
        <v>0.37500295667711575</v>
      </c>
      <c r="J23" s="7">
        <f>[1]服务器生态!AE40</f>
        <v>3.6785280000000004E-2</v>
      </c>
      <c r="K23" s="7">
        <f>[1]服务器生态!AF40</f>
        <v>5.4450000000000011E-3</v>
      </c>
      <c r="L23" s="7">
        <f>[1]服务器生态!AG40</f>
        <v>1.2749999999999999E-3</v>
      </c>
      <c r="M23" s="7">
        <f>[5]基础信息!M22</f>
        <v>82.476190476190482</v>
      </c>
      <c r="Q23" s="7">
        <v>19</v>
      </c>
      <c r="R23" s="7">
        <f>[6]带兵数!D22</f>
        <v>2907.2441911687642</v>
      </c>
      <c r="S23" s="7">
        <f>[6]带兵数!E22</f>
        <v>2952.4360525554048</v>
      </c>
      <c r="T23" s="7">
        <f>[6]带兵数!F22</f>
        <v>3001.5787914321945</v>
      </c>
      <c r="U23" s="7">
        <f>[6]带兵数!G22</f>
        <v>3058.1687348051519</v>
      </c>
      <c r="V23" s="7">
        <f>[6]带兵数!H22</f>
        <v>3117.2191841608897</v>
      </c>
      <c r="X23" s="7">
        <v>19</v>
      </c>
      <c r="Y23" s="7">
        <f>求节点(节奏总纲!D$4:D$163,R$5:R$164,$X23)*6</f>
        <v>27050.627046374069</v>
      </c>
      <c r="Z23" s="7">
        <f>求节点(节奏总纲!E$4:E$163,S$5:S$164,$X23)*6</f>
        <v>28092.854228978194</v>
      </c>
      <c r="AA23" s="7">
        <f>求节点(节奏总纲!F$4:F$163,T$5:T$164,$X23)*6</f>
        <v>29467.725576257581</v>
      </c>
      <c r="AB23" s="7">
        <f>求节点(节奏总纲!G$4:G$163,U$5:U$164,$X23)*6</f>
        <v>31491.923645460385</v>
      </c>
      <c r="AC23" s="7">
        <f>求节点(节奏总纲!H$4:H$163,V$5:V$164,$X23)*6</f>
        <v>35213.785611332991</v>
      </c>
      <c r="AG23" s="7">
        <v>19</v>
      </c>
      <c r="AH23" s="7">
        <v>1</v>
      </c>
      <c r="AI23" s="7">
        <f>[6]实力验证!$Z25</f>
        <v>1.2477924193906091</v>
      </c>
      <c r="AJ23" s="7">
        <f>[6]实力验证!$AE25</f>
        <v>1.8000431846390454</v>
      </c>
      <c r="AK23" s="7">
        <f>[6]实力验证!$AJ25</f>
        <v>3.866010128328579</v>
      </c>
      <c r="AL23" s="7">
        <f>[6]实力验证!$AO25</f>
        <v>12.203844068010895</v>
      </c>
      <c r="AM23" s="7">
        <f t="shared" si="0"/>
        <v>48.6165537895371</v>
      </c>
      <c r="AR23" s="14">
        <v>19</v>
      </c>
      <c r="AS23" s="14">
        <f>[6]攻城值!AC23</f>
        <v>57.618339324854972</v>
      </c>
      <c r="AT23" s="14">
        <f>[6]攻城值!AD23</f>
        <v>57.357517766876946</v>
      </c>
      <c r="AU23" s="14">
        <f>[6]攻城值!AE23</f>
        <v>57.173164518034838</v>
      </c>
      <c r="AV23" s="14">
        <f>[6]攻城值!AF23</f>
        <v>56.928879950515139</v>
      </c>
      <c r="AW23" s="14">
        <f>[6]攻城值!AG23</f>
        <v>56.058634056352638</v>
      </c>
      <c r="AY23" s="14">
        <v>19</v>
      </c>
      <c r="AZ23" s="14">
        <f>[6]攻城值!AJ23</f>
        <v>527.67447242503806</v>
      </c>
      <c r="BA23" s="14">
        <f>[6]攻城值!AK23</f>
        <v>529.42729861377109</v>
      </c>
      <c r="BB23" s="14">
        <f>[6]攻城值!AL23</f>
        <v>532.90828913235998</v>
      </c>
      <c r="BC23" s="14">
        <f>[6]攻城值!AM23</f>
        <v>535.80424349106727</v>
      </c>
      <c r="BD23" s="14">
        <f>[6]攻城值!AN23</f>
        <v>533.53810463946797</v>
      </c>
      <c r="BF23" s="14">
        <v>19</v>
      </c>
      <c r="BG23" s="14">
        <f>[6]攻城值!AQ23</f>
        <v>9.8443613466888777E-2</v>
      </c>
      <c r="BH23" s="14">
        <f>[6]攻城值!AR23</f>
        <v>0.9015563865331111</v>
      </c>
      <c r="BL23" s="14">
        <v>19</v>
      </c>
      <c r="BM23" s="15">
        <f t="shared" si="2"/>
        <v>1</v>
      </c>
      <c r="BN23" s="15">
        <f t="shared" si="2"/>
        <v>1</v>
      </c>
      <c r="BO23" s="15">
        <f t="shared" si="2"/>
        <v>1</v>
      </c>
      <c r="BP23" s="15">
        <f t="shared" si="2"/>
        <v>1</v>
      </c>
      <c r="BQ23" s="15">
        <f t="shared" si="2"/>
        <v>1</v>
      </c>
      <c r="BR23" s="15">
        <f>'[1]功能-战损相关'!M29</f>
        <v>0.125</v>
      </c>
      <c r="BS23" s="15">
        <f>'[1]功能-战损相关'!N29</f>
        <v>0.125</v>
      </c>
      <c r="BT23" s="15">
        <f>'[1]功能-战损相关'!O29</f>
        <v>0.125</v>
      </c>
      <c r="BU23" s="15">
        <f>'[1]功能-战损相关'!P29</f>
        <v>0.125</v>
      </c>
      <c r="BV23" s="15">
        <f>'[1]功能-战损相关'!Q29</f>
        <v>0.125</v>
      </c>
      <c r="CJ23" s="2">
        <f>[4]兵营招募!S57</f>
        <v>20</v>
      </c>
      <c r="CK23" s="2">
        <f>[4]兵营招募!U57</f>
        <v>2100</v>
      </c>
    </row>
    <row r="24" spans="2:89" x14ac:dyDescent="0.15">
      <c r="B24" s="7">
        <v>20</v>
      </c>
      <c r="C24" s="7">
        <f>[1]服务器生态!W41</f>
        <v>620.73692985893445</v>
      </c>
      <c r="D24" s="7">
        <f>[1]服务器生态!X41</f>
        <v>407.39417094106557</v>
      </c>
      <c r="E24" s="7">
        <f>[1]服务器生态!Y41</f>
        <v>39.593299200000004</v>
      </c>
      <c r="F24" s="7">
        <f>[1]服务器生态!Z41</f>
        <v>5.8888500000000015</v>
      </c>
      <c r="G24" s="7">
        <f>[1]服务器生态!AA41</f>
        <v>1.3867499999999999</v>
      </c>
      <c r="H24" s="7">
        <f>[1]服务器生态!AC41</f>
        <v>0.57742970219435763</v>
      </c>
      <c r="I24" s="7">
        <f>[1]服务器生态!AD41</f>
        <v>0.37897132180564241</v>
      </c>
      <c r="J24" s="7">
        <f>[1]服务器生态!AE41</f>
        <v>3.6830976000000001E-2</v>
      </c>
      <c r="K24" s="7">
        <f>[1]服务器生态!AF41</f>
        <v>5.4780000000000011E-3</v>
      </c>
      <c r="L24" s="7">
        <f>[1]服务器生态!AG41</f>
        <v>1.2899999999999999E-3</v>
      </c>
      <c r="M24" s="7">
        <f>[5]基础信息!M23</f>
        <v>82.952380952380949</v>
      </c>
      <c r="Q24" s="7">
        <v>20</v>
      </c>
      <c r="R24" s="7">
        <f>[6]带兵数!D23</f>
        <v>2978.8397947066123</v>
      </c>
      <c r="S24" s="7">
        <f>[6]带兵数!E23</f>
        <v>3022.0567635394318</v>
      </c>
      <c r="T24" s="7">
        <f>[6]带兵数!F23</f>
        <v>3072.1544339079664</v>
      </c>
      <c r="U24" s="7">
        <f>[6]带兵数!G23</f>
        <v>3128.4863983569076</v>
      </c>
      <c r="V24" s="7">
        <f>[6]带兵数!H23</f>
        <v>3190.4337291338857</v>
      </c>
      <c r="X24" s="7">
        <v>20</v>
      </c>
      <c r="Y24" s="7">
        <f>求节点(节奏总纲!D$4:D$163,R$5:R$164,$X24)*6</f>
        <v>27328.301217726279</v>
      </c>
      <c r="Z24" s="7">
        <f>求节点(节奏总纲!E$4:E$163,S$5:S$164,$X24)*6</f>
        <v>28361.07616738545</v>
      </c>
      <c r="AA24" s="7">
        <f>求节点(节奏总纲!F$4:F$163,T$5:T$164,$X24)*6</f>
        <v>29745.070277098421</v>
      </c>
      <c r="AB24" s="7">
        <f>求节点(节奏总纲!G$4:G$163,U$5:U$164,$X24)*6</f>
        <v>31765.158595197638</v>
      </c>
      <c r="AC24" s="7">
        <f>求节点(节奏总纲!H$4:H$163,V$5:V$164,$X24)*6</f>
        <v>35507.734033585795</v>
      </c>
      <c r="AG24" s="7">
        <v>20</v>
      </c>
      <c r="AH24" s="7">
        <v>1</v>
      </c>
      <c r="AI24" s="7">
        <f>[6]实力验证!$Z26</f>
        <v>1.2487286679101139</v>
      </c>
      <c r="AJ24" s="7">
        <f>[6]实力验证!$AE26</f>
        <v>1.8022283318078518</v>
      </c>
      <c r="AK24" s="7">
        <f>[6]实力验证!$AJ26</f>
        <v>3.9512738662665168</v>
      </c>
      <c r="AL24" s="7">
        <f>[6]实力验证!$AO26</f>
        <v>12.658008706229765</v>
      </c>
      <c r="AM24" s="7">
        <f t="shared" si="0"/>
        <v>49.344494472861761</v>
      </c>
      <c r="AR24" s="14">
        <v>20</v>
      </c>
      <c r="AS24" s="14">
        <f>[6]攻城值!AC24</f>
        <v>60.17572239432257</v>
      </c>
      <c r="AT24" s="14">
        <f>[6]攻城值!AD24</f>
        <v>59.845715525200447</v>
      </c>
      <c r="AU24" s="14">
        <f>[6]攻城值!AE24</f>
        <v>59.644710069537084</v>
      </c>
      <c r="AV24" s="14">
        <f>[6]攻城值!AF24</f>
        <v>59.513428242426521</v>
      </c>
      <c r="AW24" s="14">
        <f>[6]攻城值!AG24</f>
        <v>58.531026880186381</v>
      </c>
      <c r="AY24" s="14">
        <v>20</v>
      </c>
      <c r="AZ24" s="14">
        <f>[6]攻城值!AJ24</f>
        <v>536.01820122458128</v>
      </c>
      <c r="BA24" s="14">
        <f>[6]攻城值!AK24</f>
        <v>537.82865743858042</v>
      </c>
      <c r="BB24" s="14">
        <f>[6]攻城值!AL24</f>
        <v>541.38521254895238</v>
      </c>
      <c r="BC24" s="14">
        <f>[6]攻城值!AM24</f>
        <v>546.33251019691875</v>
      </c>
      <c r="BD24" s="14">
        <f>[6]攻城值!AN24</f>
        <v>543.43381883951213</v>
      </c>
      <c r="BF24" s="14">
        <v>20</v>
      </c>
      <c r="BG24" s="14">
        <f>[6]攻城值!AQ24</f>
        <v>0.10093313603240915</v>
      </c>
      <c r="BH24" s="14">
        <f>[6]攻城值!AR24</f>
        <v>0.89906686396759095</v>
      </c>
      <c r="BL24" s="14">
        <v>20</v>
      </c>
      <c r="BM24" s="15">
        <f t="shared" si="2"/>
        <v>1</v>
      </c>
      <c r="BN24" s="15">
        <f t="shared" si="2"/>
        <v>1</v>
      </c>
      <c r="BO24" s="15">
        <f t="shared" si="2"/>
        <v>1</v>
      </c>
      <c r="BP24" s="15">
        <f t="shared" si="2"/>
        <v>1</v>
      </c>
      <c r="BQ24" s="15">
        <f t="shared" si="2"/>
        <v>1</v>
      </c>
      <c r="BR24" s="15">
        <f>'[1]功能-战损相关'!M30</f>
        <v>0.125</v>
      </c>
      <c r="BS24" s="15">
        <f>'[1]功能-战损相关'!N30</f>
        <v>0.125</v>
      </c>
      <c r="BT24" s="15">
        <f>'[1]功能-战损相关'!O30</f>
        <v>0.125</v>
      </c>
      <c r="BU24" s="15">
        <f>'[1]功能-战损相关'!P30</f>
        <v>0.125</v>
      </c>
      <c r="BV24" s="15">
        <f>'[1]功能-战损相关'!Q30</f>
        <v>0.125</v>
      </c>
      <c r="CJ24" s="2">
        <f>[4]兵营招募!S58</f>
        <v>21</v>
      </c>
      <c r="CK24" s="2">
        <f>[4]兵营招募!U58</f>
        <v>2100</v>
      </c>
    </row>
    <row r="25" spans="2:89" x14ac:dyDescent="0.15">
      <c r="B25" s="7">
        <v>21</v>
      </c>
      <c r="C25" s="7">
        <f>[1]服务器生态!W42</f>
        <v>602.03602311912243</v>
      </c>
      <c r="D25" s="7">
        <f>[1]服务器生态!X42</f>
        <v>402.08667128087751</v>
      </c>
      <c r="E25" s="7">
        <f>[1]服务器生态!Y42</f>
        <v>38.720505599999996</v>
      </c>
      <c r="F25" s="7">
        <f>[1]服务器生态!Z42</f>
        <v>5.786550000000001</v>
      </c>
      <c r="G25" s="7">
        <f>[1]服务器生态!AA42</f>
        <v>1.37025</v>
      </c>
      <c r="H25" s="7">
        <f>[1]服务器生态!AC42</f>
        <v>0.57336764106583094</v>
      </c>
      <c r="I25" s="7">
        <f>[1]服务器生态!AD42</f>
        <v>0.38293968693416908</v>
      </c>
      <c r="J25" s="7">
        <f>[1]服务器生态!AE42</f>
        <v>3.6876671999999999E-2</v>
      </c>
      <c r="K25" s="7">
        <f>[1]服务器生态!AF42</f>
        <v>5.5110000000000011E-3</v>
      </c>
      <c r="L25" s="7">
        <f>[1]服务器生态!AG42</f>
        <v>1.305E-3</v>
      </c>
      <c r="M25" s="7">
        <f>[5]基础信息!M24</f>
        <v>83.428571428571431</v>
      </c>
      <c r="Q25" s="7">
        <v>21</v>
      </c>
      <c r="R25" s="7">
        <f>[6]带兵数!D24</f>
        <v>3047.3487155583607</v>
      </c>
      <c r="S25" s="7">
        <f>[6]带兵数!E24</f>
        <v>3092.6194772754434</v>
      </c>
      <c r="T25" s="7">
        <f>[6]带兵数!F24</f>
        <v>3143.0803528855713</v>
      </c>
      <c r="U25" s="7">
        <f>[6]带兵数!G24</f>
        <v>3202.4940477843729</v>
      </c>
      <c r="V25" s="7">
        <f>[6]带兵数!H24</f>
        <v>3264.1473862851608</v>
      </c>
      <c r="X25" s="7">
        <v>21</v>
      </c>
      <c r="Y25" s="7">
        <f>求节点(节奏总纲!D$4:D$163,R$5:R$164,$X25)*6</f>
        <v>27580.980128158262</v>
      </c>
      <c r="Z25" s="7">
        <f>求节点(节奏总纲!E$4:E$163,S$5:S$164,$X25)*6</f>
        <v>28619.999665142153</v>
      </c>
      <c r="AA25" s="7">
        <f>求节点(节奏总纲!F$4:F$163,T$5:T$164,$X25)*6</f>
        <v>30010.729479142297</v>
      </c>
      <c r="AB25" s="7">
        <f>求节点(节奏总纲!G$4:G$163,U$5:U$164,$X25)*6</f>
        <v>32034.696421412773</v>
      </c>
      <c r="AC25" s="7">
        <f>求节点(节奏总纲!H$4:H$163,V$5:V$164,$X25)*6</f>
        <v>35779.93564858126</v>
      </c>
      <c r="AG25" s="7">
        <v>21</v>
      </c>
      <c r="AH25" s="7">
        <v>1</v>
      </c>
      <c r="AI25" s="7">
        <f>[6]实力验证!$Z27</f>
        <v>1.250215200827802</v>
      </c>
      <c r="AJ25" s="7">
        <f>[6]实力验证!$AE27</f>
        <v>1.8263829957641882</v>
      </c>
      <c r="AK25" s="7">
        <f>[6]实力验证!$AJ27</f>
        <v>4.0550609720371558</v>
      </c>
      <c r="AL25" s="7">
        <f>[6]实力验证!$AO27</f>
        <v>13.065210960140076</v>
      </c>
      <c r="AM25" s="7">
        <f t="shared" si="0"/>
        <v>50.220203119181164</v>
      </c>
      <c r="AR25" s="14">
        <v>21</v>
      </c>
      <c r="AS25" s="14">
        <f>[6]攻城值!AC25</f>
        <v>62.671760405902376</v>
      </c>
      <c r="AT25" s="14">
        <f>[6]攻城值!AD25</f>
        <v>62.322555106010235</v>
      </c>
      <c r="AU25" s="14">
        <f>[6]攻城值!AE25</f>
        <v>62.184989414549683</v>
      </c>
      <c r="AV25" s="14">
        <f>[6]攻城值!AF25</f>
        <v>62.291620435632673</v>
      </c>
      <c r="AW25" s="14">
        <f>[6]攻城值!AG25</f>
        <v>61.098129373065163</v>
      </c>
      <c r="AY25" s="14">
        <v>21</v>
      </c>
      <c r="AZ25" s="14">
        <f>[6]攻城值!AJ25</f>
        <v>544.92137262943629</v>
      </c>
      <c r="BA25" s="14">
        <f>[6]攻城值!AK25</f>
        <v>546.83813921288777</v>
      </c>
      <c r="BB25" s="14">
        <f>[6]攻城值!AL25</f>
        <v>551.13386636512905</v>
      </c>
      <c r="BC25" s="14">
        <f>[6]攻城值!AM25</f>
        <v>558.39111633810387</v>
      </c>
      <c r="BD25" s="14">
        <f>[6]攻城值!AN25</f>
        <v>554.01648479160929</v>
      </c>
      <c r="BF25" s="14">
        <v>21</v>
      </c>
      <c r="BG25" s="14">
        <f>[6]攻城值!AQ25</f>
        <v>0.10314757853304651</v>
      </c>
      <c r="BH25" s="14">
        <f>[6]攻城值!AR25</f>
        <v>0.89685242146695343</v>
      </c>
      <c r="BL25" s="14">
        <v>21</v>
      </c>
      <c r="BM25" s="15">
        <f t="shared" si="2"/>
        <v>1</v>
      </c>
      <c r="BN25" s="15">
        <f t="shared" si="2"/>
        <v>1</v>
      </c>
      <c r="BO25" s="15">
        <f t="shared" si="2"/>
        <v>1</v>
      </c>
      <c r="BP25" s="15">
        <f t="shared" si="2"/>
        <v>1</v>
      </c>
      <c r="BQ25" s="15">
        <f t="shared" si="2"/>
        <v>1</v>
      </c>
      <c r="BR25" s="15">
        <f>'[1]功能-战损相关'!M31</f>
        <v>0.125</v>
      </c>
      <c r="BS25" s="15">
        <f>'[1]功能-战损相关'!N31</f>
        <v>0.125</v>
      </c>
      <c r="BT25" s="15">
        <f>'[1]功能-战损相关'!O31</f>
        <v>0.125</v>
      </c>
      <c r="BU25" s="15">
        <f>'[1]功能-战损相关'!P31</f>
        <v>0.125</v>
      </c>
      <c r="BV25" s="15">
        <f>'[1]功能-战损相关'!Q31</f>
        <v>0.125</v>
      </c>
      <c r="CJ25" s="2">
        <f>[4]兵营招募!S59</f>
        <v>22</v>
      </c>
      <c r="CK25" s="2">
        <f>[4]兵营招募!U59</f>
        <v>2100</v>
      </c>
    </row>
    <row r="26" spans="2:89" x14ac:dyDescent="0.15">
      <c r="B26" s="7">
        <v>22</v>
      </c>
      <c r="C26" s="7">
        <f>[1]服务器生态!W43</f>
        <v>583.53821943573701</v>
      </c>
      <c r="D26" s="7">
        <f>[1]服务器生态!X43</f>
        <v>396.58075336426316</v>
      </c>
      <c r="E26" s="7">
        <f>[1]服务器生态!Y43</f>
        <v>37.845427199999996</v>
      </c>
      <c r="F26" s="7">
        <f>[1]服务器生态!Z43</f>
        <v>5.6826000000000016</v>
      </c>
      <c r="G26" s="7">
        <f>[1]服务器生态!AA43</f>
        <v>1.353</v>
      </c>
      <c r="H26" s="7">
        <f>[1]服务器生态!AC43</f>
        <v>0.56930557993730435</v>
      </c>
      <c r="I26" s="7">
        <f>[1]服务器生态!AD43</f>
        <v>0.38690805206269574</v>
      </c>
      <c r="J26" s="7">
        <f>[1]服务器生态!AE43</f>
        <v>3.6922367999999997E-2</v>
      </c>
      <c r="K26" s="7">
        <f>[1]服务器生态!AF43</f>
        <v>5.5440000000000012E-3</v>
      </c>
      <c r="L26" s="7">
        <f>[1]服务器生态!AG43</f>
        <v>1.32E-3</v>
      </c>
      <c r="M26" s="7">
        <f>[5]基础信息!M25</f>
        <v>83.904761904761898</v>
      </c>
      <c r="Q26" s="7">
        <v>22</v>
      </c>
      <c r="R26" s="7">
        <f>[6]带兵数!D25</f>
        <v>3117.4992861074707</v>
      </c>
      <c r="S26" s="7">
        <f>[6]带兵数!E25</f>
        <v>3162.2795653110925</v>
      </c>
      <c r="T26" s="7">
        <f>[6]带兵数!F25</f>
        <v>3215.6122636792888</v>
      </c>
      <c r="U26" s="7">
        <f>[6]带兵数!G25</f>
        <v>3273.736238230199</v>
      </c>
      <c r="V26" s="7">
        <f>[6]带兵数!H25</f>
        <v>3339.3055324260185</v>
      </c>
      <c r="X26" s="7">
        <v>22</v>
      </c>
      <c r="Y26" s="7">
        <f>求节点(节奏总纲!D$4:D$163,R$5:R$164,$X26)*6</f>
        <v>27826.337279047068</v>
      </c>
      <c r="Z26" s="7">
        <f>求节点(节奏总纲!E$4:E$163,S$5:S$164,$X26)*6</f>
        <v>28871.849933276113</v>
      </c>
      <c r="AA26" s="7">
        <f>求节点(节奏总纲!F$4:F$163,T$5:T$164,$X26)*6</f>
        <v>30262.044470179331</v>
      </c>
      <c r="AB26" s="7">
        <f>求节点(节奏总纲!G$4:G$163,U$5:U$164,$X26)*6</f>
        <v>32295.57996479272</v>
      </c>
      <c r="AC26" s="7">
        <f>求节点(节奏总纲!H$4:H$163,V$5:V$164,$X26)*6</f>
        <v>36044.985009119584</v>
      </c>
      <c r="AG26" s="7">
        <v>22</v>
      </c>
      <c r="AH26" s="7">
        <v>1</v>
      </c>
      <c r="AI26" s="7">
        <f>[6]实力验证!$Z28</f>
        <v>1.2513583277924238</v>
      </c>
      <c r="AJ26" s="7">
        <f>[6]实力验证!$AE28</f>
        <v>1.8982815850801125</v>
      </c>
      <c r="AK26" s="7">
        <f>[6]实力验证!$AJ28</f>
        <v>4.1625881024736575</v>
      </c>
      <c r="AL26" s="7">
        <f>[6]实力验证!$AO28</f>
        <v>13.507257045595004</v>
      </c>
      <c r="AM26" s="7">
        <f t="shared" si="0"/>
        <v>51.377546463896017</v>
      </c>
      <c r="AR26" s="14">
        <v>22</v>
      </c>
      <c r="AS26" s="14">
        <f>[6]攻城值!AC26</f>
        <v>65.143781699619467</v>
      </c>
      <c r="AT26" s="14">
        <f>[6]攻城值!AD26</f>
        <v>64.853020110099379</v>
      </c>
      <c r="AU26" s="14">
        <f>[6]攻城值!AE26</f>
        <v>64.77709969502331</v>
      </c>
      <c r="AV26" s="14">
        <f>[6]攻城值!AF26</f>
        <v>65.13489116352757</v>
      </c>
      <c r="AW26" s="14">
        <f>[6]攻城值!AG26</f>
        <v>65.291833895106052</v>
      </c>
      <c r="AY26" s="14">
        <v>22</v>
      </c>
      <c r="AZ26" s="14">
        <f>[6]攻城值!AJ26</f>
        <v>553.57079911388109</v>
      </c>
      <c r="BA26" s="14">
        <f>[6]攻城值!AK26</f>
        <v>556.17277928544263</v>
      </c>
      <c r="BB26" s="14">
        <f>[6]攻城值!AL26</f>
        <v>561.16769086946692</v>
      </c>
      <c r="BC26" s="14">
        <f>[6]攻城值!AM26</f>
        <v>570.75700414204391</v>
      </c>
      <c r="BD26" s="14">
        <f>[6]攻城值!AN26</f>
        <v>578.82632918009881</v>
      </c>
      <c r="BF26" s="14">
        <v>22</v>
      </c>
      <c r="BG26" s="14">
        <f>[6]攻城值!AQ26</f>
        <v>0.10528890658107148</v>
      </c>
      <c r="BH26" s="14">
        <f>[6]攻城值!AR26</f>
        <v>0.89471109341892852</v>
      </c>
      <c r="BL26" s="14">
        <v>22</v>
      </c>
      <c r="BM26" s="15">
        <f t="shared" si="2"/>
        <v>1</v>
      </c>
      <c r="BN26" s="15">
        <f t="shared" si="2"/>
        <v>1</v>
      </c>
      <c r="BO26" s="15">
        <f t="shared" si="2"/>
        <v>1</v>
      </c>
      <c r="BP26" s="15">
        <f t="shared" si="2"/>
        <v>1</v>
      </c>
      <c r="BQ26" s="15">
        <f t="shared" si="2"/>
        <v>1</v>
      </c>
      <c r="BR26" s="15">
        <f>'[1]功能-战损相关'!M32</f>
        <v>0.125</v>
      </c>
      <c r="BS26" s="15">
        <f>'[1]功能-战损相关'!N32</f>
        <v>0.125</v>
      </c>
      <c r="BT26" s="15">
        <f>'[1]功能-战损相关'!O32</f>
        <v>0.125</v>
      </c>
      <c r="BU26" s="15">
        <f>'[1]功能-战损相关'!P32</f>
        <v>0.125</v>
      </c>
      <c r="BV26" s="15">
        <f>'[1]功能-战损相关'!Q32</f>
        <v>0.125</v>
      </c>
      <c r="CJ26" s="2">
        <f>[4]兵营招募!S60</f>
        <v>23</v>
      </c>
      <c r="CK26" s="2">
        <f>[4]兵营招募!U60</f>
        <v>2100</v>
      </c>
    </row>
    <row r="27" spans="2:89" x14ac:dyDescent="0.15">
      <c r="B27" s="7">
        <v>23</v>
      </c>
      <c r="C27" s="7">
        <f>[1]服务器生态!W44</f>
        <v>565.24351880877771</v>
      </c>
      <c r="D27" s="7">
        <f>[1]服务器生态!X44</f>
        <v>390.87641719122234</v>
      </c>
      <c r="E27" s="7">
        <f>[1]服务器生态!Y44</f>
        <v>36.968064000000005</v>
      </c>
      <c r="F27" s="7">
        <f>[1]服务器生态!Z44</f>
        <v>5.5770000000000008</v>
      </c>
      <c r="G27" s="7">
        <f>[1]服务器生态!AA44</f>
        <v>1.3349999999999997</v>
      </c>
      <c r="H27" s="7">
        <f>[1]服务器生态!AC44</f>
        <v>0.56524351880877766</v>
      </c>
      <c r="I27" s="7">
        <f>[1]服务器生态!AD44</f>
        <v>0.39087641719122235</v>
      </c>
      <c r="J27" s="7">
        <f>[1]服务器生态!AE44</f>
        <v>3.6968064000000002E-2</v>
      </c>
      <c r="K27" s="7">
        <f>[1]服务器生态!AF44</f>
        <v>5.5770000000000012E-3</v>
      </c>
      <c r="L27" s="7">
        <f>[1]服务器生态!AG44</f>
        <v>1.3349999999999998E-3</v>
      </c>
      <c r="M27" s="7">
        <f>[5]基础信息!M26</f>
        <v>84.333333333333329</v>
      </c>
      <c r="Q27" s="7">
        <v>23</v>
      </c>
      <c r="R27" s="7">
        <f>[6]带兵数!D26</f>
        <v>3184.9419791058081</v>
      </c>
      <c r="S27" s="7">
        <f>[6]带兵数!E26</f>
        <v>3231.2694466249868</v>
      </c>
      <c r="T27" s="7">
        <f>[6]带兵数!F26</f>
        <v>3282.9718771762273</v>
      </c>
      <c r="U27" s="7">
        <f>[6]带兵数!G26</f>
        <v>3344.0393983271229</v>
      </c>
      <c r="V27" s="7">
        <f>[6]带兵数!H26</f>
        <v>3405.0868314481486</v>
      </c>
      <c r="X27" s="7">
        <v>23</v>
      </c>
      <c r="Y27" s="7">
        <f>求节点(节奏总纲!D$4:D$163,R$5:R$164,$X27)*6</f>
        <v>28064.680390376016</v>
      </c>
      <c r="Z27" s="7">
        <f>求节点(节奏总纲!E$4:E$163,S$5:S$164,$X27)*6</f>
        <v>29110.242696148598</v>
      </c>
      <c r="AA27" s="7">
        <f>求节点(节奏总纲!F$4:F$163,T$5:T$164,$X27)*6</f>
        <v>30506.451156196184</v>
      </c>
      <c r="AB27" s="7">
        <f>求节点(节奏总纲!G$4:G$163,U$5:U$164,$X27)*6</f>
        <v>32534.277983757529</v>
      </c>
      <c r="AC27" s="7">
        <f>求节点(节奏总纲!H$4:H$163,V$5:V$164,$X27)*6</f>
        <v>36302.127620314015</v>
      </c>
      <c r="AG27" s="7">
        <v>23</v>
      </c>
      <c r="AH27" s="7">
        <v>1</v>
      </c>
      <c r="AI27" s="7">
        <f>[6]实力验证!$Z29</f>
        <v>1.2516588318345401</v>
      </c>
      <c r="AJ27" s="7">
        <f>[6]实力验证!$AE29</f>
        <v>2.0068729839795387</v>
      </c>
      <c r="AK27" s="7">
        <f>[6]实力验证!$AJ29</f>
        <v>4.2679854145074332</v>
      </c>
      <c r="AL27" s="7">
        <f>[6]实力验证!$AO29</f>
        <v>13.941310056516018</v>
      </c>
      <c r="AM27" s="7">
        <f t="shared" si="0"/>
        <v>52.705452406051812</v>
      </c>
      <c r="AR27" s="14">
        <v>23</v>
      </c>
      <c r="AS27" s="14">
        <f>[6]攻城值!AC27</f>
        <v>67.656018130778023</v>
      </c>
      <c r="AT27" s="14">
        <f>[6]攻城值!AD27</f>
        <v>67.395860621282836</v>
      </c>
      <c r="AU27" s="14">
        <f>[6]攻城值!AE27</f>
        <v>67.403223433388462</v>
      </c>
      <c r="AV27" s="14">
        <f>[6]攻城值!AF27</f>
        <v>68.025488734527841</v>
      </c>
      <c r="AW27" s="14">
        <f>[6]攻城值!AG27</f>
        <v>68.107672474824469</v>
      </c>
      <c r="AY27" s="14">
        <v>23</v>
      </c>
      <c r="AZ27" s="14">
        <f>[6]攻城值!AJ27</f>
        <v>562.43984273930505</v>
      </c>
      <c r="BA27" s="14">
        <f>[6]攻城值!AK27</f>
        <v>565.46965535026584</v>
      </c>
      <c r="BB27" s="14">
        <f>[6]攻城值!AL27</f>
        <v>571.32246100021405</v>
      </c>
      <c r="BC27" s="14">
        <f>[6]攻城值!AM27</f>
        <v>583.26662294914752</v>
      </c>
      <c r="BD27" s="14">
        <f>[6]攻城值!AN27</f>
        <v>590.89162918152351</v>
      </c>
      <c r="BF27" s="14">
        <v>23</v>
      </c>
      <c r="BG27" s="14">
        <f>[6]攻城值!AQ27</f>
        <v>0.10737416690430815</v>
      </c>
      <c r="BH27" s="14">
        <f>[6]攻城值!AR27</f>
        <v>0.89262583309569199</v>
      </c>
      <c r="BL27" s="14">
        <v>23</v>
      </c>
      <c r="BM27" s="15">
        <f t="shared" si="2"/>
        <v>1</v>
      </c>
      <c r="BN27" s="15">
        <f t="shared" si="2"/>
        <v>1</v>
      </c>
      <c r="BO27" s="15">
        <f t="shared" si="2"/>
        <v>1</v>
      </c>
      <c r="BP27" s="15">
        <f t="shared" si="2"/>
        <v>1</v>
      </c>
      <c r="BQ27" s="15">
        <f t="shared" si="2"/>
        <v>1</v>
      </c>
      <c r="BR27" s="15">
        <f>'[1]功能-战损相关'!M33</f>
        <v>0.125</v>
      </c>
      <c r="BS27" s="15">
        <f>'[1]功能-战损相关'!N33</f>
        <v>0.125</v>
      </c>
      <c r="BT27" s="15">
        <f>'[1]功能-战损相关'!O33</f>
        <v>0.125</v>
      </c>
      <c r="BU27" s="15">
        <f>'[1]功能-战损相关'!P33</f>
        <v>0.125</v>
      </c>
      <c r="BV27" s="15">
        <f>'[1]功能-战损相关'!Q33</f>
        <v>0.125</v>
      </c>
      <c r="CJ27" s="2">
        <f>[4]兵营招募!S61</f>
        <v>24</v>
      </c>
      <c r="CK27" s="2">
        <f>[4]兵营招募!U61</f>
        <v>2100</v>
      </c>
    </row>
    <row r="28" spans="2:89" x14ac:dyDescent="0.15">
      <c r="B28" s="7">
        <v>24</v>
      </c>
      <c r="C28" s="7">
        <f>[1]服务器生态!W45</f>
        <v>547.15192123824465</v>
      </c>
      <c r="D28" s="7">
        <f>[1]服务器生态!X45</f>
        <v>384.97366276175529</v>
      </c>
      <c r="E28" s="7">
        <f>[1]服务器生态!Y45</f>
        <v>36.088416000000002</v>
      </c>
      <c r="F28" s="7">
        <f>[1]服务器生态!Z45</f>
        <v>5.4697500000000012</v>
      </c>
      <c r="G28" s="7">
        <f>[1]服务器生态!AA45</f>
        <v>1.3162499999999999</v>
      </c>
      <c r="H28" s="7">
        <f>[1]服务器生态!AC45</f>
        <v>0.56118145768025096</v>
      </c>
      <c r="I28" s="7">
        <f>[1]服务器生态!AD45</f>
        <v>0.39484478231974901</v>
      </c>
      <c r="J28" s="7">
        <f>[1]服务器生态!AE45</f>
        <v>3.701376E-2</v>
      </c>
      <c r="K28" s="7">
        <f>[1]服务器生态!AF45</f>
        <v>5.6100000000000013E-3</v>
      </c>
      <c r="L28" s="7">
        <f>[1]服务器生态!AG45</f>
        <v>1.3499999999999999E-3</v>
      </c>
      <c r="M28" s="7">
        <f>[5]基础信息!M27</f>
        <v>84.75</v>
      </c>
      <c r="Q28" s="7">
        <v>24</v>
      </c>
      <c r="R28" s="7">
        <f>[6]带兵数!D27</f>
        <v>3253.7411459307195</v>
      </c>
      <c r="S28" s="7">
        <f>[6]带兵数!E27</f>
        <v>3299.9728534552714</v>
      </c>
      <c r="T28" s="7">
        <f>[6]带兵数!F27</f>
        <v>3354.3744575465457</v>
      </c>
      <c r="U28" s="7">
        <f>[6]带兵数!G27</f>
        <v>3413.2690473143757</v>
      </c>
      <c r="V28" s="7">
        <f>[6]带兵数!H27</f>
        <v>3477.5914438033142</v>
      </c>
      <c r="X28" s="7">
        <v>24</v>
      </c>
      <c r="Y28" s="7">
        <f>求节点(节奏总纲!D$4:D$163,R$5:R$164,$X28)*6</f>
        <v>28289.807048649869</v>
      </c>
      <c r="Z28" s="7">
        <f>求节点(节奏总纲!E$4:E$163,S$5:S$164,$X28)*6</f>
        <v>29337.313427001245</v>
      </c>
      <c r="AA28" s="7">
        <f>求节点(节奏总纲!F$4:F$163,T$5:T$164,$X28)*6</f>
        <v>30742.361179174208</v>
      </c>
      <c r="AB28" s="7">
        <f>求节点(节奏总纲!G$4:G$163,U$5:U$164,$X28)*6</f>
        <v>32769.222746320549</v>
      </c>
      <c r="AC28" s="7">
        <f>求节点(节奏总纲!H$4:H$163,V$5:V$164,$X28)*6</f>
        <v>36543.18070281564</v>
      </c>
      <c r="AG28" s="7">
        <v>24</v>
      </c>
      <c r="AH28" s="7">
        <v>1</v>
      </c>
      <c r="AI28" s="7">
        <f>[6]实力验证!$Z30</f>
        <v>1.2505192061173125</v>
      </c>
      <c r="AJ28" s="7">
        <f>[6]实力验证!$AE30</f>
        <v>2.115854898674939</v>
      </c>
      <c r="AK28" s="7">
        <f>[6]实力验证!$AJ30</f>
        <v>4.3674868522690851</v>
      </c>
      <c r="AL28" s="7">
        <f>[6]实力验证!$AO30</f>
        <v>14.391081320959881</v>
      </c>
      <c r="AM28" s="7">
        <f t="shared" si="0"/>
        <v>54.012899286770683</v>
      </c>
      <c r="AR28" s="14">
        <v>24</v>
      </c>
      <c r="AS28" s="14">
        <f>[6]攻城值!AC28</f>
        <v>70.215487917571096</v>
      </c>
      <c r="AT28" s="14">
        <f>[6]攻城值!AD28</f>
        <v>69.947869922089268</v>
      </c>
      <c r="AU28" s="14">
        <f>[6]攻城值!AE28</f>
        <v>70.102049017579247</v>
      </c>
      <c r="AV28" s="14">
        <f>[6]攻城值!AF28</f>
        <v>70.97439131389622</v>
      </c>
      <c r="AW28" s="14">
        <f>[6]攻城值!AG28</f>
        <v>70.988393051898043</v>
      </c>
      <c r="AY28" s="14">
        <v>24</v>
      </c>
      <c r="AZ28" s="14">
        <f>[6]攻城值!AJ28</f>
        <v>571.57552491897229</v>
      </c>
      <c r="BA28" s="14">
        <f>[6]攻城值!AK28</f>
        <v>574.70923417947165</v>
      </c>
      <c r="BB28" s="14">
        <f>[6]攻城值!AL28</f>
        <v>581.91714267662553</v>
      </c>
      <c r="BC28" s="14">
        <f>[6]攻城值!AM28</f>
        <v>596.01164598793684</v>
      </c>
      <c r="BD28" s="14">
        <f>[6]攻城值!AN28</f>
        <v>603.2812667567822</v>
      </c>
      <c r="BF28" s="14">
        <v>24</v>
      </c>
      <c r="BG28" s="14">
        <f>[6]攻城值!AQ28</f>
        <v>0.10940553313022811</v>
      </c>
      <c r="BH28" s="14">
        <f>[6]攻城值!AR28</f>
        <v>0.89059446686977195</v>
      </c>
      <c r="BL28" s="14">
        <v>24</v>
      </c>
      <c r="BM28" s="15">
        <f t="shared" si="2"/>
        <v>1</v>
      </c>
      <c r="BN28" s="15">
        <f t="shared" si="2"/>
        <v>1</v>
      </c>
      <c r="BO28" s="15">
        <f t="shared" si="2"/>
        <v>1</v>
      </c>
      <c r="BP28" s="15">
        <f t="shared" si="2"/>
        <v>1</v>
      </c>
      <c r="BQ28" s="15">
        <f t="shared" si="2"/>
        <v>1</v>
      </c>
      <c r="BR28" s="15">
        <f>'[1]功能-战损相关'!M34</f>
        <v>0.125</v>
      </c>
      <c r="BS28" s="15">
        <f>'[1]功能-战损相关'!N34</f>
        <v>0.125</v>
      </c>
      <c r="BT28" s="15">
        <f>'[1]功能-战损相关'!O34</f>
        <v>0.125</v>
      </c>
      <c r="BU28" s="15">
        <f>'[1]功能-战损相关'!P34</f>
        <v>0.125</v>
      </c>
      <c r="BV28" s="15">
        <f>'[1]功能-战损相关'!Q34</f>
        <v>0.125</v>
      </c>
      <c r="CJ28" s="2">
        <f>[4]兵营招募!S62</f>
        <v>25</v>
      </c>
      <c r="CK28" s="2">
        <f>[4]兵营招募!U62</f>
        <v>2700</v>
      </c>
    </row>
    <row r="29" spans="2:89" x14ac:dyDescent="0.15">
      <c r="B29" s="7">
        <v>25</v>
      </c>
      <c r="C29" s="7">
        <f>[1]服务器生态!W46</f>
        <v>529.26342672413818</v>
      </c>
      <c r="D29" s="7">
        <f>[1]服务器生态!X46</f>
        <v>378.87249007586189</v>
      </c>
      <c r="E29" s="7">
        <f>[1]服务器生态!Y46</f>
        <v>35.206483200000001</v>
      </c>
      <c r="F29" s="7">
        <f>[1]服务器生态!Z46</f>
        <v>5.360850000000001</v>
      </c>
      <c r="G29" s="7">
        <f>[1]服务器生态!AA46</f>
        <v>1.2967499999999998</v>
      </c>
      <c r="H29" s="7">
        <f>[1]服务器生态!AC46</f>
        <v>0.55711939655172438</v>
      </c>
      <c r="I29" s="7">
        <f>[1]服务器生态!AD46</f>
        <v>0.39881314744827567</v>
      </c>
      <c r="J29" s="7">
        <f>[1]服务器生态!AE46</f>
        <v>3.7059455999999998E-2</v>
      </c>
      <c r="K29" s="7">
        <f>[1]服务器生态!AF46</f>
        <v>5.6430000000000013E-3</v>
      </c>
      <c r="L29" s="7">
        <f>[1]服务器生态!AG46</f>
        <v>1.3649999999999999E-3</v>
      </c>
      <c r="M29" s="7">
        <f>[5]基础信息!M28</f>
        <v>85.166666666666671</v>
      </c>
      <c r="Q29" s="7">
        <v>25</v>
      </c>
      <c r="R29" s="7">
        <f>[6]带兵数!D28</f>
        <v>3320.561657309669</v>
      </c>
      <c r="S29" s="7">
        <f>[6]带兵数!E28</f>
        <v>3368.6727569248687</v>
      </c>
      <c r="T29" s="7">
        <f>[6]带兵数!F28</f>
        <v>3422.2159685304628</v>
      </c>
      <c r="U29" s="7">
        <f>[6]带兵数!G28</f>
        <v>3483.9833289691578</v>
      </c>
      <c r="V29" s="7">
        <f>[6]带兵数!H28</f>
        <v>3544.4273429748305</v>
      </c>
      <c r="X29" s="7">
        <v>25</v>
      </c>
      <c r="Y29" s="7">
        <f>求节点(节奏总纲!D$4:D$163,R$5:R$164,$X29)*6</f>
        <v>28510.36679243535</v>
      </c>
      <c r="Z29" s="7">
        <f>求节点(节奏总纲!E$4:E$163,S$5:S$164,$X29)*6</f>
        <v>29556.008353248042</v>
      </c>
      <c r="AA29" s="7">
        <f>求节点(节奏总纲!F$4:F$163,T$5:T$164,$X29)*6</f>
        <v>30953.927963606759</v>
      </c>
      <c r="AB29" s="7">
        <f>求节点(节奏总纲!G$4:G$163,U$5:U$164,$X29)*6</f>
        <v>33001.35330113837</v>
      </c>
      <c r="AC29" s="7">
        <f>求节点(节奏总纲!H$4:H$163,V$5:V$164,$X29)*6</f>
        <v>36780.086894048422</v>
      </c>
      <c r="AG29" s="7">
        <v>25</v>
      </c>
      <c r="AH29" s="7">
        <v>1</v>
      </c>
      <c r="AI29" s="7">
        <f>[6]实力验证!$Z31</f>
        <v>1.24841093235742</v>
      </c>
      <c r="AJ29" s="7">
        <f>[6]实力验证!$AE31</f>
        <v>2.2118835619582886</v>
      </c>
      <c r="AK29" s="7">
        <f>[6]实力验证!$AJ31</f>
        <v>4.460109111340091</v>
      </c>
      <c r="AL29" s="7">
        <f>[6]实力验证!$AO31</f>
        <v>14.857869107581314</v>
      </c>
      <c r="AM29" s="7">
        <f t="shared" si="0"/>
        <v>55.239136802623278</v>
      </c>
      <c r="AR29" s="14">
        <v>25</v>
      </c>
      <c r="AS29" s="14">
        <f>[6]攻城值!AC29</f>
        <v>72.82642678203608</v>
      </c>
      <c r="AT29" s="14">
        <f>[6]攻城值!AD29</f>
        <v>72.544886253211004</v>
      </c>
      <c r="AU29" s="14">
        <f>[6]攻城值!AE29</f>
        <v>72.836787989763394</v>
      </c>
      <c r="AV29" s="14">
        <f>[6]攻城值!AF29</f>
        <v>73.981117748879441</v>
      </c>
      <c r="AW29" s="14">
        <f>[6]攻城值!AG29</f>
        <v>73.915741347855757</v>
      </c>
      <c r="AY29" s="14">
        <v>25</v>
      </c>
      <c r="AZ29" s="14">
        <f>[6]攻城值!AJ29</f>
        <v>580.99933382818153</v>
      </c>
      <c r="BA29" s="14">
        <f>[6]攻城值!AK29</f>
        <v>584.18767376402377</v>
      </c>
      <c r="BB29" s="14">
        <f>[6]攻城值!AL29</f>
        <v>592.63138685469039</v>
      </c>
      <c r="BC29" s="14">
        <f>[6]攻城值!AM29</f>
        <v>608.98219253199511</v>
      </c>
      <c r="BD29" s="14">
        <f>[6]攻城值!AN29</f>
        <v>615.83133422214644</v>
      </c>
      <c r="BF29" s="14">
        <v>25</v>
      </c>
      <c r="BG29" s="14">
        <f>[6]攻城值!AQ29</f>
        <v>0.11138506796377518</v>
      </c>
      <c r="BH29" s="14">
        <f>[6]攻城值!AR29</f>
        <v>0.88861493203622488</v>
      </c>
      <c r="BL29" s="14">
        <v>25</v>
      </c>
      <c r="BM29" s="15">
        <f t="shared" si="2"/>
        <v>1</v>
      </c>
      <c r="BN29" s="15">
        <f t="shared" si="2"/>
        <v>1</v>
      </c>
      <c r="BO29" s="15">
        <f t="shared" si="2"/>
        <v>1</v>
      </c>
      <c r="BP29" s="15">
        <f t="shared" si="2"/>
        <v>1</v>
      </c>
      <c r="BQ29" s="15">
        <f t="shared" si="2"/>
        <v>1</v>
      </c>
      <c r="BR29" s="15">
        <f>'[1]功能-战损相关'!M35</f>
        <v>0.125</v>
      </c>
      <c r="BS29" s="15">
        <f>'[1]功能-战损相关'!N35</f>
        <v>0.125</v>
      </c>
      <c r="BT29" s="15">
        <f>'[1]功能-战损相关'!O35</f>
        <v>0.125</v>
      </c>
      <c r="BU29" s="15">
        <f>'[1]功能-战损相关'!P35</f>
        <v>0.125</v>
      </c>
      <c r="BV29" s="15">
        <f>'[1]功能-战损相关'!Q35</f>
        <v>0.125</v>
      </c>
      <c r="CJ29" s="2">
        <f>[4]兵营招募!S63</f>
        <v>26</v>
      </c>
      <c r="CK29" s="2">
        <f>[4]兵营招募!U63</f>
        <v>2700</v>
      </c>
    </row>
    <row r="30" spans="2:89" x14ac:dyDescent="0.15">
      <c r="B30" s="7">
        <v>26</v>
      </c>
      <c r="C30" s="7">
        <f>[1]服务器生态!W47</f>
        <v>511.57803526645785</v>
      </c>
      <c r="D30" s="7">
        <f>[1]服务器生态!X47</f>
        <v>372.57289913354214</v>
      </c>
      <c r="E30" s="7">
        <f>[1]服务器生态!Y47</f>
        <v>34.322265600000001</v>
      </c>
      <c r="F30" s="7">
        <f>[1]服务器生态!Z47</f>
        <v>5.2503000000000011</v>
      </c>
      <c r="G30" s="7">
        <f>[1]服务器生态!AA47</f>
        <v>1.2765</v>
      </c>
      <c r="H30" s="7">
        <f>[1]服务器生态!AC47</f>
        <v>0.55305733542319768</v>
      </c>
      <c r="I30" s="7">
        <f>[1]服务器生态!AD47</f>
        <v>0.40278151257680228</v>
      </c>
      <c r="J30" s="7">
        <f>[1]服务器生态!AE47</f>
        <v>3.7105152000000002E-2</v>
      </c>
      <c r="K30" s="7">
        <f>[1]服务器生态!AF47</f>
        <v>5.6760000000000014E-3</v>
      </c>
      <c r="L30" s="7">
        <f>[1]服务器生态!AG47</f>
        <v>1.3799999999999999E-3</v>
      </c>
      <c r="M30" s="7">
        <f>[5]基础信息!M29</f>
        <v>85.583333333333329</v>
      </c>
      <c r="Q30" s="7">
        <v>26</v>
      </c>
      <c r="R30" s="7">
        <f>[6]带兵数!D29</f>
        <v>3388.0926419241737</v>
      </c>
      <c r="S30" s="7">
        <f>[6]带兵数!E29</f>
        <v>3435.9244188823618</v>
      </c>
      <c r="T30" s="7">
        <f>[6]带兵数!F29</f>
        <v>3490.6693001307258</v>
      </c>
      <c r="U30" s="7">
        <f>[6]带兵数!G29</f>
        <v>3549.8356957135043</v>
      </c>
      <c r="V30" s="7">
        <f>[6]带兵数!H29</f>
        <v>3614.0613536331493</v>
      </c>
      <c r="X30" s="7">
        <v>26</v>
      </c>
      <c r="Y30" s="7">
        <f>求节点(节奏总纲!D$4:D$163,R$5:R$164,$X30)*6</f>
        <v>28715.032440387167</v>
      </c>
      <c r="Z30" s="7">
        <f>求节点(节奏总纲!E$4:E$163,S$5:S$164,$X30)*6</f>
        <v>29767.370405604728</v>
      </c>
      <c r="AA30" s="7">
        <f>求节点(节奏总纲!F$4:F$163,T$5:T$164,$X30)*6</f>
        <v>31163.512273369965</v>
      </c>
      <c r="AB30" s="7">
        <f>求节点(节奏总纲!G$4:G$163,U$5:U$164,$X30)*6</f>
        <v>33219.879492697946</v>
      </c>
      <c r="AC30" s="7">
        <f>求节点(节奏总纲!H$4:H$163,V$5:V$164,$X30)*6</f>
        <v>37014.704512898992</v>
      </c>
      <c r="AG30" s="7">
        <v>26</v>
      </c>
      <c r="AH30" s="7">
        <v>1</v>
      </c>
      <c r="AI30" s="7">
        <f>[6]实力验证!$Z32</f>
        <v>1.2504204099183625</v>
      </c>
      <c r="AJ30" s="7">
        <f>[6]实力验证!$AE32</f>
        <v>2.3024813186843023</v>
      </c>
      <c r="AK30" s="7">
        <f>[6]实力验证!$AJ32</f>
        <v>4.5467803097699564</v>
      </c>
      <c r="AL30" s="7">
        <f>[6]实力验证!$AO32</f>
        <v>15.313151792390014</v>
      </c>
      <c r="AM30" s="7">
        <f t="shared" si="0"/>
        <v>56.524334553500367</v>
      </c>
      <c r="AR30" s="14">
        <v>26</v>
      </c>
      <c r="AS30" s="14">
        <f>[6]攻城值!AC30</f>
        <v>75.310102781600293</v>
      </c>
      <c r="AT30" s="14">
        <f>[6]攻城值!AD30</f>
        <v>75.191401412246023</v>
      </c>
      <c r="AU30" s="14">
        <f>[6]攻城值!AE30</f>
        <v>75.559678693068008</v>
      </c>
      <c r="AV30" s="14">
        <f>[6]攻城值!AF30</f>
        <v>77.048208525295479</v>
      </c>
      <c r="AW30" s="14">
        <f>[6]攻城值!AG30</f>
        <v>76.898930270297271</v>
      </c>
      <c r="AY30" s="14">
        <v>26</v>
      </c>
      <c r="AZ30" s="14">
        <f>[6]攻城值!AJ30</f>
        <v>589.29989687207717</v>
      </c>
      <c r="BA30" s="14">
        <f>[6]攻城值!AK30</f>
        <v>593.93058351316108</v>
      </c>
      <c r="BB30" s="14">
        <f>[6]攻城值!AL30</f>
        <v>603.08252740474381</v>
      </c>
      <c r="BC30" s="14">
        <f>[6]攻城值!AM30</f>
        <v>622.19377985957522</v>
      </c>
      <c r="BD30" s="14">
        <f>[6]攻城值!AN30</f>
        <v>628.61530821162808</v>
      </c>
      <c r="BF30" s="14">
        <v>26</v>
      </c>
      <c r="BG30" s="14">
        <f>[6]攻城值!AQ30</f>
        <v>0.11331473017385194</v>
      </c>
      <c r="BH30" s="14">
        <f>[6]攻城值!AR30</f>
        <v>0.88668526982614804</v>
      </c>
      <c r="BL30" s="14">
        <v>26</v>
      </c>
      <c r="BM30" s="15">
        <f t="shared" si="2"/>
        <v>1</v>
      </c>
      <c r="BN30" s="15">
        <f t="shared" si="2"/>
        <v>1</v>
      </c>
      <c r="BO30" s="15">
        <f t="shared" si="2"/>
        <v>1</v>
      </c>
      <c r="BP30" s="15">
        <f t="shared" si="2"/>
        <v>1</v>
      </c>
      <c r="BQ30" s="15">
        <f t="shared" si="2"/>
        <v>1</v>
      </c>
      <c r="BR30" s="15">
        <f>'[1]功能-战损相关'!M36</f>
        <v>0.125</v>
      </c>
      <c r="BS30" s="15">
        <f>'[1]功能-战损相关'!N36</f>
        <v>0.125</v>
      </c>
      <c r="BT30" s="15">
        <f>'[1]功能-战损相关'!O36</f>
        <v>0.125</v>
      </c>
      <c r="BU30" s="15">
        <f>'[1]功能-战损相关'!P36</f>
        <v>0.125</v>
      </c>
      <c r="BV30" s="15">
        <f>'[1]功能-战损相关'!Q36</f>
        <v>0.125</v>
      </c>
      <c r="CJ30" s="2">
        <f>[4]兵营招募!S64</f>
        <v>27</v>
      </c>
      <c r="CK30" s="2">
        <f>[4]兵营招募!U64</f>
        <v>2700</v>
      </c>
    </row>
    <row r="31" spans="2:89" x14ac:dyDescent="0.15">
      <c r="B31" s="7">
        <v>27</v>
      </c>
      <c r="C31" s="7">
        <f>[1]服务器生态!W48</f>
        <v>494.09574686520398</v>
      </c>
      <c r="D31" s="7">
        <f>[1]服务器生态!X48</f>
        <v>366.07488993479603</v>
      </c>
      <c r="E31" s="7">
        <f>[1]服务器生态!Y48</f>
        <v>33.435763199999997</v>
      </c>
      <c r="F31" s="7">
        <f>[1]服务器生态!Z48</f>
        <v>5.1381000000000014</v>
      </c>
      <c r="G31" s="7">
        <f>[1]服务器生态!AA48</f>
        <v>1.2555000000000001</v>
      </c>
      <c r="H31" s="7">
        <f>[1]服务器生态!AC48</f>
        <v>0.5489952742946711</v>
      </c>
      <c r="I31" s="7">
        <f>[1]服务器生态!AD48</f>
        <v>0.40674987770532894</v>
      </c>
      <c r="J31" s="7">
        <f>[1]服务器生态!AE48</f>
        <v>3.7150848E-2</v>
      </c>
      <c r="K31" s="7">
        <f>[1]服务器生态!AF48</f>
        <v>5.7090000000000014E-3</v>
      </c>
      <c r="L31" s="7">
        <f>[1]服务器生态!AG48</f>
        <v>1.395E-3</v>
      </c>
      <c r="M31" s="7">
        <f>[5]基础信息!M30</f>
        <v>86</v>
      </c>
      <c r="Q31" s="7">
        <v>27</v>
      </c>
      <c r="R31" s="7">
        <f>[6]带兵数!D30</f>
        <v>3454.6416839245758</v>
      </c>
      <c r="S31" s="7">
        <f>[6]带兵数!E30</f>
        <v>3503.0530825071737</v>
      </c>
      <c r="T31" s="7">
        <f>[6]带兵数!F30</f>
        <v>3557.472326623385</v>
      </c>
      <c r="U31" s="7">
        <f>[6]带兵数!G30</f>
        <v>3618.1755925323187</v>
      </c>
      <c r="V31" s="7">
        <f>[6]带兵数!H30</f>
        <v>3680.4873230223789</v>
      </c>
      <c r="X31" s="7">
        <v>27</v>
      </c>
      <c r="Y31" s="7">
        <f>求节点(节奏总纲!D$4:D$163,R$5:R$164,$X31)*6</f>
        <v>28918.343638806618</v>
      </c>
      <c r="Z31" s="7">
        <f>求节点(节奏总纲!E$4:E$163,S$5:S$164,$X31)*6</f>
        <v>29977.270404113104</v>
      </c>
      <c r="AA31" s="7">
        <f>求节点(节奏总纲!F$4:F$163,T$5:T$164,$X31)*6</f>
        <v>31370.040329908166</v>
      </c>
      <c r="AB31" s="7">
        <f>求节点(节奏总纲!G$4:G$163,U$5:U$164,$X31)*6</f>
        <v>33435.309934451478</v>
      </c>
      <c r="AC31" s="7">
        <f>求节点(节奏总纲!H$4:H$163,V$5:V$164,$X31)*6</f>
        <v>37228.513292990974</v>
      </c>
      <c r="AG31" s="7">
        <v>27</v>
      </c>
      <c r="AH31" s="7">
        <v>1</v>
      </c>
      <c r="AI31" s="7">
        <f>[6]实力验证!$Z33</f>
        <v>1.2531234635368478</v>
      </c>
      <c r="AJ31" s="7">
        <f>[6]实力验证!$AE33</f>
        <v>2.3898124137011871</v>
      </c>
      <c r="AK31" s="7">
        <f>[6]实力验证!$AJ33</f>
        <v>4.6277547716063205</v>
      </c>
      <c r="AL31" s="7">
        <f>[6]实力验证!$AO33</f>
        <v>15.735702970220434</v>
      </c>
      <c r="AM31" s="7">
        <f t="shared" si="0"/>
        <v>57.807175849638668</v>
      </c>
      <c r="AR31" s="14">
        <v>27</v>
      </c>
      <c r="AS31" s="14">
        <f>[6]攻城值!AC31</f>
        <v>83.749242134039179</v>
      </c>
      <c r="AT31" s="14">
        <f>[6]攻城值!AD31</f>
        <v>84.030968439013265</v>
      </c>
      <c r="AU31" s="14">
        <f>[6]攻城值!AE31</f>
        <v>84.702418894511553</v>
      </c>
      <c r="AV31" s="14">
        <f>[6]攻城值!AF31</f>
        <v>86.900431904669603</v>
      </c>
      <c r="AW31" s="14">
        <f>[6]攻城值!AG31</f>
        <v>86.941932171876175</v>
      </c>
      <c r="AY31" s="14">
        <v>27</v>
      </c>
      <c r="AZ31" s="14">
        <f>[6]攻城值!AJ31</f>
        <v>643.26354563434768</v>
      </c>
      <c r="BA31" s="14">
        <f>[6]攻城值!AK31</f>
        <v>651.56344897839449</v>
      </c>
      <c r="BB31" s="14">
        <f>[6]攻城值!AL31</f>
        <v>663.68576627968207</v>
      </c>
      <c r="BC31" s="14">
        <f>[6]攻城值!AM31</f>
        <v>688.95550889607</v>
      </c>
      <c r="BD31" s="14">
        <f>[6]攻城值!AN31</f>
        <v>697.84533370499082</v>
      </c>
      <c r="BF31" s="14">
        <v>27</v>
      </c>
      <c r="BG31" s="14">
        <f>[6]攻城值!AQ31</f>
        <v>0.11519638105832078</v>
      </c>
      <c r="BH31" s="14">
        <f>[6]攻城值!AR31</f>
        <v>0.88480361894167925</v>
      </c>
      <c r="BL31" s="14">
        <v>27</v>
      </c>
      <c r="BM31" s="15">
        <f t="shared" si="2"/>
        <v>1</v>
      </c>
      <c r="BN31" s="15">
        <f t="shared" si="2"/>
        <v>1</v>
      </c>
      <c r="BO31" s="15">
        <f t="shared" si="2"/>
        <v>1</v>
      </c>
      <c r="BP31" s="15">
        <f t="shared" si="2"/>
        <v>1</v>
      </c>
      <c r="BQ31" s="15">
        <f t="shared" si="2"/>
        <v>1</v>
      </c>
      <c r="BR31" s="15">
        <f>'[1]功能-战损相关'!M37</f>
        <v>0.125</v>
      </c>
      <c r="BS31" s="15">
        <f>'[1]功能-战损相关'!N37</f>
        <v>0.125</v>
      </c>
      <c r="BT31" s="15">
        <f>'[1]功能-战损相关'!O37</f>
        <v>0.125</v>
      </c>
      <c r="BU31" s="15">
        <f>'[1]功能-战损相关'!P37</f>
        <v>0.125</v>
      </c>
      <c r="BV31" s="15">
        <f>'[1]功能-战损相关'!Q37</f>
        <v>0.125</v>
      </c>
      <c r="CJ31" s="2">
        <f>[4]兵营招募!S65</f>
        <v>28</v>
      </c>
      <c r="CK31" s="2">
        <f>[4]兵营招募!U65</f>
        <v>2700</v>
      </c>
    </row>
    <row r="32" spans="2:89" x14ac:dyDescent="0.15">
      <c r="B32" s="7">
        <v>28</v>
      </c>
      <c r="C32" s="7">
        <f>[1]服务器生态!W49</f>
        <v>476.81656152037635</v>
      </c>
      <c r="D32" s="7">
        <f>[1]服务器生态!X49</f>
        <v>359.37846247962364</v>
      </c>
      <c r="E32" s="7">
        <f>[1]服务器生态!Y49</f>
        <v>32.546976000000001</v>
      </c>
      <c r="F32" s="7">
        <f>[1]服务器生态!Z49</f>
        <v>5.0242500000000012</v>
      </c>
      <c r="G32" s="7">
        <f>[1]服务器生态!AA49</f>
        <v>1.2337499999999999</v>
      </c>
      <c r="H32" s="7">
        <f>[1]服务器生态!AC49</f>
        <v>0.5449332131661444</v>
      </c>
      <c r="I32" s="7">
        <f>[1]服务器生态!AD49</f>
        <v>0.41071824283385561</v>
      </c>
      <c r="J32" s="7">
        <f>[1]服务器生态!AE49</f>
        <v>3.7196543999999998E-2</v>
      </c>
      <c r="K32" s="7">
        <f>[1]服务器生态!AF49</f>
        <v>5.7420000000000014E-3</v>
      </c>
      <c r="L32" s="7">
        <f>[1]服务器生态!AG49</f>
        <v>1.4099999999999998E-3</v>
      </c>
      <c r="M32" s="7">
        <f>[5]基础信息!M31</f>
        <v>86.367647058823522</v>
      </c>
      <c r="Q32" s="7">
        <v>28</v>
      </c>
      <c r="R32" s="7">
        <f>[6]带兵数!D31</f>
        <v>3520.9789085251496</v>
      </c>
      <c r="S32" s="7">
        <f>[6]带兵数!E31</f>
        <v>3569.6432625118296</v>
      </c>
      <c r="T32" s="7">
        <f>[6]带兵数!F31</f>
        <v>3623.3320028260919</v>
      </c>
      <c r="U32" s="7">
        <f>[6]带兵数!G31</f>
        <v>3683.8424098785335</v>
      </c>
      <c r="V32" s="7">
        <f>[6]带兵数!H31</f>
        <v>3752.0448156730304</v>
      </c>
      <c r="X32" s="7">
        <v>28</v>
      </c>
      <c r="Y32" s="7">
        <f>求节点(节奏总纲!D$4:D$163,R$5:R$164,$X32)*6</f>
        <v>29113.496498802706</v>
      </c>
      <c r="Z32" s="7">
        <f>求节点(节奏总纲!E$4:E$163,S$5:S$164,$X32)*6</f>
        <v>30169.228858442184</v>
      </c>
      <c r="AA32" s="7">
        <f>求节点(节奏总纲!F$4:F$163,T$5:T$164,$X32)*6</f>
        <v>31568.001352038071</v>
      </c>
      <c r="AB32" s="7">
        <f>求节点(节奏总纲!G$4:G$163,U$5:U$164,$X32)*6</f>
        <v>33644.603013723317</v>
      </c>
      <c r="AC32" s="7">
        <f>求节点(节奏总纲!H$4:H$163,V$5:V$164,$X32)*6</f>
        <v>37440.486974100582</v>
      </c>
      <c r="AG32" s="7">
        <v>28</v>
      </c>
      <c r="AH32" s="7">
        <v>1</v>
      </c>
      <c r="AI32" s="7">
        <f>[6]实力验证!$Z34</f>
        <v>1.2752731435471718</v>
      </c>
      <c r="AJ32" s="7">
        <f>[6]实力验证!$AE34</f>
        <v>2.4424035149790968</v>
      </c>
      <c r="AK32" s="7">
        <f>[6]实力验证!$AJ34</f>
        <v>4.7056398259733685</v>
      </c>
      <c r="AL32" s="7">
        <f>[6]实力验证!$AO34</f>
        <v>16.145993686741296</v>
      </c>
      <c r="AM32" s="7">
        <f t="shared" si="0"/>
        <v>59.278678550973829</v>
      </c>
      <c r="AR32" s="14">
        <v>28</v>
      </c>
      <c r="AS32" s="14">
        <f>[6]攻城值!AC32</f>
        <v>86.340650992966545</v>
      </c>
      <c r="AT32" s="14">
        <f>[6]攻城值!AD32</f>
        <v>86.73695442714444</v>
      </c>
      <c r="AU32" s="14">
        <f>[6]攻城值!AE32</f>
        <v>87.777245062535556</v>
      </c>
      <c r="AV32" s="14">
        <f>[6]攻城值!AF32</f>
        <v>90.506559404299622</v>
      </c>
      <c r="AW32" s="14">
        <f>[6]攻城值!AG32</f>
        <v>90.44649564493848</v>
      </c>
      <c r="AY32" s="14">
        <v>28</v>
      </c>
      <c r="AZ32" s="14">
        <f>[6]攻城值!AJ32</f>
        <v>651.41317362154075</v>
      </c>
      <c r="BA32" s="14">
        <f>[6]攻城值!AK32</f>
        <v>660.66160999550334</v>
      </c>
      <c r="BB32" s="14">
        <f>[6]攻城值!AL32</f>
        <v>675.67178369244971</v>
      </c>
      <c r="BC32" s="14">
        <f>[6]攻城值!AM32</f>
        <v>704.95594512690275</v>
      </c>
      <c r="BD32" s="14">
        <f>[6]攻城值!AN32</f>
        <v>713.33279521241673</v>
      </c>
      <c r="BF32" s="14">
        <v>28</v>
      </c>
      <c r="BG32" s="14">
        <f>[6]攻城值!AQ32</f>
        <v>0.11703179043237281</v>
      </c>
      <c r="BH32" s="14">
        <f>[6]攻城值!AR32</f>
        <v>0.88296820956762723</v>
      </c>
      <c r="BL32" s="14">
        <v>28</v>
      </c>
      <c r="BM32" s="15">
        <f t="shared" si="2"/>
        <v>1</v>
      </c>
      <c r="BN32" s="15">
        <f t="shared" si="2"/>
        <v>1</v>
      </c>
      <c r="BO32" s="15">
        <f t="shared" si="2"/>
        <v>1</v>
      </c>
      <c r="BP32" s="15">
        <f t="shared" si="2"/>
        <v>1</v>
      </c>
      <c r="BQ32" s="15">
        <f t="shared" si="2"/>
        <v>1</v>
      </c>
      <c r="BR32" s="15">
        <f>'[1]功能-战损相关'!M38</f>
        <v>0.125</v>
      </c>
      <c r="BS32" s="15">
        <f>'[1]功能-战损相关'!N38</f>
        <v>0.125</v>
      </c>
      <c r="BT32" s="15">
        <f>'[1]功能-战损相关'!O38</f>
        <v>0.125</v>
      </c>
      <c r="BU32" s="15">
        <f>'[1]功能-战损相关'!P38</f>
        <v>0.125</v>
      </c>
      <c r="BV32" s="15">
        <f>'[1]功能-战损相关'!Q38</f>
        <v>0.125</v>
      </c>
      <c r="CJ32" s="2">
        <f>[4]兵营招募!S66</f>
        <v>29</v>
      </c>
      <c r="CK32" s="2">
        <f>[4]兵营招募!U66</f>
        <v>2700</v>
      </c>
    </row>
    <row r="33" spans="2:89" x14ac:dyDescent="0.15">
      <c r="B33" s="7">
        <v>29</v>
      </c>
      <c r="C33" s="7">
        <f>[1]服务器生态!W50</f>
        <v>459.74047923197509</v>
      </c>
      <c r="D33" s="7">
        <f>[1]服务器生态!X50</f>
        <v>352.48361676802483</v>
      </c>
      <c r="E33" s="7">
        <f>[1]服务器生态!Y50</f>
        <v>31.655904</v>
      </c>
      <c r="F33" s="7">
        <f>[1]服务器生态!Z50</f>
        <v>4.9087500000000004</v>
      </c>
      <c r="G33" s="7">
        <f>[1]服务器生态!AA50</f>
        <v>1.2112499999999997</v>
      </c>
      <c r="H33" s="7">
        <f>[1]服务器生态!AC50</f>
        <v>0.54087115203761782</v>
      </c>
      <c r="I33" s="7">
        <f>[1]服务器生态!AD50</f>
        <v>0.41468660796238221</v>
      </c>
      <c r="J33" s="7">
        <f>[1]服务器生态!AE50</f>
        <v>3.7242240000000003E-2</v>
      </c>
      <c r="K33" s="7">
        <f>[1]服务器生态!AF50</f>
        <v>5.7750000000000015E-3</v>
      </c>
      <c r="L33" s="7">
        <f>[1]服务器生态!AG50</f>
        <v>1.4249999999999998E-3</v>
      </c>
      <c r="M33" s="7">
        <f>[5]基础信息!M32</f>
        <v>86.735294117647058</v>
      </c>
      <c r="Q33" s="7">
        <v>29</v>
      </c>
      <c r="R33" s="7">
        <f>[6]带兵数!D32</f>
        <v>3587.5328404170023</v>
      </c>
      <c r="S33" s="7">
        <f>[6]带兵数!E32</f>
        <v>3636.151840648989</v>
      </c>
      <c r="T33" s="7">
        <f>[6]带兵数!F32</f>
        <v>3692.2544796364009</v>
      </c>
      <c r="U33" s="7">
        <f>[6]带兵数!G32</f>
        <v>3755.4718731192797</v>
      </c>
      <c r="V33" s="7">
        <f>[6]带兵数!H32</f>
        <v>3821.7361184365332</v>
      </c>
      <c r="X33" s="7">
        <v>29</v>
      </c>
      <c r="Y33" s="7">
        <f>求节点(节奏总纲!D$4:D$163,R$5:R$164,$X33)*6</f>
        <v>29305.884936116148</v>
      </c>
      <c r="Z33" s="7">
        <f>求节点(节奏总纲!E$4:E$163,S$5:S$164,$X33)*6</f>
        <v>30359.985535409884</v>
      </c>
      <c r="AA33" s="7">
        <f>求节点(节奏总纲!F$4:F$163,T$5:T$164,$X33)*6</f>
        <v>31754.117466513846</v>
      </c>
      <c r="AB33" s="7">
        <f>求节点(节奏总纲!G$4:G$163,U$5:U$164,$X33)*6</f>
        <v>33847.516079262954</v>
      </c>
      <c r="AC33" s="7">
        <f>求节点(节奏总纲!H$4:H$163,V$5:V$164,$X33)*6</f>
        <v>37641.954801075539</v>
      </c>
      <c r="AG33" s="7">
        <v>29</v>
      </c>
      <c r="AH33" s="7">
        <v>1</v>
      </c>
      <c r="AI33" s="7">
        <f>[6]实力验证!$Z35</f>
        <v>1.2963827466492595</v>
      </c>
      <c r="AJ33" s="7">
        <f>[6]实力验证!$AE35</f>
        <v>2.4523816107486267</v>
      </c>
      <c r="AK33" s="7">
        <f>[6]实力验证!$AJ35</f>
        <v>4.7816843400478941</v>
      </c>
      <c r="AL33" s="7">
        <f>[6]实力验证!$AO35</f>
        <v>16.60163970228043</v>
      </c>
      <c r="AM33" s="7">
        <f t="shared" si="0"/>
        <v>60.512684474142709</v>
      </c>
      <c r="AR33" s="14">
        <v>29</v>
      </c>
      <c r="AS33" s="14">
        <f>[6]攻城值!AC33</f>
        <v>89.222307550679844</v>
      </c>
      <c r="AT33" s="14">
        <f>[6]攻城值!AD33</f>
        <v>89.744947219690431</v>
      </c>
      <c r="AU33" s="14">
        <f>[6]攻城值!AE33</f>
        <v>91.248176026358749</v>
      </c>
      <c r="AV33" s="14">
        <f>[6]攻城值!AF33</f>
        <v>94.301777348780504</v>
      </c>
      <c r="AW33" s="14">
        <f>[6]攻城值!AG33</f>
        <v>94.071589224857519</v>
      </c>
      <c r="AY33" s="14">
        <v>29</v>
      </c>
      <c r="AZ33" s="14">
        <f>[6]攻城值!AJ33</f>
        <v>661.66410528422671</v>
      </c>
      <c r="BA33" s="14">
        <f>[6]攻城值!AK33</f>
        <v>671.94188471701318</v>
      </c>
      <c r="BB33" s="14">
        <f>[6]攻城值!AL33</f>
        <v>690.4843134907627</v>
      </c>
      <c r="BC33" s="14">
        <f>[6]攻城值!AM33</f>
        <v>722.1087316859373</v>
      </c>
      <c r="BD33" s="14">
        <f>[6]攻城值!AN33</f>
        <v>729.48505398494763</v>
      </c>
      <c r="BF33" s="14">
        <v>29</v>
      </c>
      <c r="BG33" s="14">
        <f>[6]攻城值!AQ33</f>
        <v>0.11882264218076441</v>
      </c>
      <c r="BH33" s="14">
        <f>[6]攻城值!AR33</f>
        <v>0.88117735781923556</v>
      </c>
      <c r="BL33" s="14">
        <v>29</v>
      </c>
      <c r="BM33" s="15">
        <f t="shared" si="2"/>
        <v>1</v>
      </c>
      <c r="BN33" s="15">
        <f t="shared" si="2"/>
        <v>1</v>
      </c>
      <c r="BO33" s="15">
        <f t="shared" si="2"/>
        <v>1</v>
      </c>
      <c r="BP33" s="15">
        <f t="shared" si="2"/>
        <v>1</v>
      </c>
      <c r="BQ33" s="15">
        <f t="shared" si="2"/>
        <v>1</v>
      </c>
      <c r="BR33" s="15">
        <f>'[1]功能-战损相关'!M39</f>
        <v>0.125</v>
      </c>
      <c r="BS33" s="15">
        <f>'[1]功能-战损相关'!N39</f>
        <v>0.125</v>
      </c>
      <c r="BT33" s="15">
        <f>'[1]功能-战损相关'!O39</f>
        <v>0.125</v>
      </c>
      <c r="BU33" s="15">
        <f>'[1]功能-战损相关'!P39</f>
        <v>0.125</v>
      </c>
      <c r="BV33" s="15">
        <f>'[1]功能-战损相关'!Q39</f>
        <v>0.125</v>
      </c>
      <c r="CJ33" s="2">
        <f>[4]兵营招募!S67</f>
        <v>30</v>
      </c>
      <c r="CK33" s="2">
        <f>[4]兵营招募!U67</f>
        <v>2700</v>
      </c>
    </row>
    <row r="34" spans="2:89" x14ac:dyDescent="0.15">
      <c r="B34" s="7">
        <v>30</v>
      </c>
      <c r="C34" s="7">
        <f>[1]服务器生态!W51</f>
        <v>442.86750000000018</v>
      </c>
      <c r="D34" s="7">
        <f>[1]服务器生态!X51</f>
        <v>345.39035279999985</v>
      </c>
      <c r="E34" s="7">
        <f>[1]服务器生态!Y51</f>
        <v>30.7625472</v>
      </c>
      <c r="F34" s="7">
        <f>[1]服务器生态!Z51</f>
        <v>4.7916000000000016</v>
      </c>
      <c r="G34" s="7">
        <f>[1]服务器生态!AA51</f>
        <v>1.1879999999999999</v>
      </c>
      <c r="H34" s="7">
        <f>[1]服务器生态!AC51</f>
        <v>0.53680909090909112</v>
      </c>
      <c r="I34" s="7">
        <f>[1]服务器生态!AD51</f>
        <v>0.41865497309090888</v>
      </c>
      <c r="J34" s="7">
        <f>[1]服务器生态!AE51</f>
        <v>3.7287936000000001E-2</v>
      </c>
      <c r="K34" s="7">
        <f>[1]服务器生态!AF51</f>
        <v>5.8080000000000015E-3</v>
      </c>
      <c r="L34" s="7">
        <f>[1]服务器生态!AG51</f>
        <v>1.4399999999999999E-3</v>
      </c>
      <c r="M34" s="7">
        <f>[5]基础信息!M33</f>
        <v>87.10294117647058</v>
      </c>
      <c r="Q34" s="7">
        <v>30</v>
      </c>
      <c r="R34" s="7">
        <f>[6]带兵数!D33</f>
        <v>3652.7432338833255</v>
      </c>
      <c r="S34" s="7">
        <f>[6]带兵数!E33</f>
        <v>3703.3969730796721</v>
      </c>
      <c r="T34" s="7">
        <f>[6]带兵数!F33</f>
        <v>3759.0075277664141</v>
      </c>
      <c r="U34" s="7">
        <f>[6]带兵数!G33</f>
        <v>3821.8316384114387</v>
      </c>
      <c r="V34" s="7">
        <f>[6]带兵数!H33</f>
        <v>3891.5075841763833</v>
      </c>
      <c r="X34" s="7">
        <v>30</v>
      </c>
      <c r="Y34" s="7">
        <f>求节点(节奏总纲!D$4:D$163,R$5:R$164,$X34)*6</f>
        <v>29481.698632207641</v>
      </c>
      <c r="Z34" s="7">
        <f>求节点(节奏总纲!E$4:E$163,S$5:S$164,$X34)*6</f>
        <v>30543.641588171784</v>
      </c>
      <c r="AA34" s="7">
        <f>求节点(节奏总纲!F$4:F$163,T$5:T$164,$X34)*6</f>
        <v>31938.404732043717</v>
      </c>
      <c r="AB34" s="7">
        <f>求节点(节奏总纲!G$4:G$163,U$5:U$164,$X34)*6</f>
        <v>34041.892258769461</v>
      </c>
      <c r="AC34" s="7">
        <f>求节点(节奏总纲!H$4:H$163,V$5:V$164,$X34)*6</f>
        <v>37841.261140086994</v>
      </c>
      <c r="AG34" s="7">
        <v>30</v>
      </c>
      <c r="AH34" s="7">
        <v>1</v>
      </c>
      <c r="AI34" s="7">
        <f>[6]实力验证!$Z36</f>
        <v>1.3143605850390845</v>
      </c>
      <c r="AJ34" s="7">
        <f>[6]实力验证!$AE36</f>
        <v>2.4532796490578885</v>
      </c>
      <c r="AK34" s="7">
        <f>[6]实力验证!$AJ36</f>
        <v>4.8567498018335549</v>
      </c>
      <c r="AL34" s="7">
        <f>[6]实力验证!$AO36</f>
        <v>17.041651872592858</v>
      </c>
      <c r="AM34" s="7">
        <f t="shared" si="0"/>
        <v>61.640648863883541</v>
      </c>
      <c r="AR34" s="14">
        <v>30</v>
      </c>
      <c r="AS34" s="14">
        <f>[6]攻城值!AC34</f>
        <v>92.168819886481899</v>
      </c>
      <c r="AT34" s="14">
        <f>[6]攻城值!AD34</f>
        <v>92.79932352950155</v>
      </c>
      <c r="AU34" s="14">
        <f>[6]攻城值!AE34</f>
        <v>94.606553254390576</v>
      </c>
      <c r="AV34" s="14">
        <f>[6]攻城值!AF34</f>
        <v>98.128464893713485</v>
      </c>
      <c r="AW34" s="14">
        <f>[6]攻城值!AG34</f>
        <v>97.758674055895511</v>
      </c>
      <c r="AY34" s="14">
        <v>30</v>
      </c>
      <c r="AZ34" s="14">
        <f>[6]攻城值!AJ34</f>
        <v>672.27015780320085</v>
      </c>
      <c r="BA34" s="14">
        <f>[6]攻城值!AK34</f>
        <v>683.41674754985468</v>
      </c>
      <c r="BB34" s="14">
        <f>[6]攻城值!AL34</f>
        <v>704.20376469506073</v>
      </c>
      <c r="BC34" s="14">
        <f>[6]攻城值!AM34</f>
        <v>739.17917067498831</v>
      </c>
      <c r="BD34" s="14">
        <f>[6]攻城值!AN34</f>
        <v>745.83151066237883</v>
      </c>
      <c r="BF34" s="14">
        <v>30</v>
      </c>
      <c r="BG34" s="14">
        <f>[6]攻城值!AQ34</f>
        <v>0.1205705394105336</v>
      </c>
      <c r="BH34" s="14">
        <f>[6]攻城值!AR34</f>
        <v>0.87942946058946647</v>
      </c>
      <c r="BL34" s="14">
        <v>30</v>
      </c>
      <c r="BM34" s="15">
        <f t="shared" si="2"/>
        <v>1</v>
      </c>
      <c r="BN34" s="15">
        <f t="shared" si="2"/>
        <v>1</v>
      </c>
      <c r="BO34" s="15">
        <f t="shared" si="2"/>
        <v>1</v>
      </c>
      <c r="BP34" s="15">
        <f t="shared" si="2"/>
        <v>1</v>
      </c>
      <c r="BQ34" s="15">
        <f t="shared" si="2"/>
        <v>1</v>
      </c>
      <c r="BR34" s="15">
        <f>'[1]功能-战损相关'!M40</f>
        <v>0.125</v>
      </c>
      <c r="BS34" s="15">
        <f>'[1]功能-战损相关'!N40</f>
        <v>0.125</v>
      </c>
      <c r="BT34" s="15">
        <f>'[1]功能-战损相关'!O40</f>
        <v>0.125</v>
      </c>
      <c r="BU34" s="15">
        <f>'[1]功能-战损相关'!P40</f>
        <v>0.125</v>
      </c>
      <c r="BV34" s="15">
        <f>'[1]功能-战损相关'!Q40</f>
        <v>0.125</v>
      </c>
      <c r="CJ34" s="2">
        <f>[4]兵营招募!S68</f>
        <v>31</v>
      </c>
      <c r="CK34" s="2">
        <f>[4]兵营招募!U68</f>
        <v>2700</v>
      </c>
    </row>
    <row r="35" spans="2:89" x14ac:dyDescent="0.15">
      <c r="B35" s="7">
        <v>31</v>
      </c>
      <c r="C35" s="7">
        <f>[1]服务器生态!W52</f>
        <v>428.59553563636376</v>
      </c>
      <c r="D35" s="7">
        <f>[1]服务器生态!X52</f>
        <v>335.7326606644362</v>
      </c>
      <c r="E35" s="7">
        <f>[1]服务器生态!Y52</f>
        <v>29.850235699199999</v>
      </c>
      <c r="F35" s="7">
        <f>[1]服务器生态!Z52</f>
        <v>4.6618880000000011</v>
      </c>
      <c r="G35" s="7">
        <f>[1]服务器生态!AA52</f>
        <v>1.1596799999999998</v>
      </c>
      <c r="H35" s="7">
        <f>[1]服务器生态!AC52</f>
        <v>0.53574441954545471</v>
      </c>
      <c r="I35" s="7">
        <f>[1]服务器生态!AD52</f>
        <v>0.41966582583054524</v>
      </c>
      <c r="J35" s="7">
        <f>[1]服务器生态!AE52</f>
        <v>3.7312794624000001E-2</v>
      </c>
      <c r="K35" s="7">
        <f>[1]服务器生态!AF52</f>
        <v>5.8273600000000019E-3</v>
      </c>
      <c r="L35" s="7">
        <f>[1]服务器生态!AG52</f>
        <v>1.4495999999999999E-3</v>
      </c>
      <c r="M35" s="7">
        <f>[5]基础信息!M34</f>
        <v>87.470588235294116</v>
      </c>
      <c r="Q35" s="7">
        <v>31</v>
      </c>
      <c r="R35" s="7">
        <f>[6]带兵数!D34</f>
        <v>3719.5189537639744</v>
      </c>
      <c r="S35" s="7">
        <f>[6]带兵数!E34</f>
        <v>3769.0285126353665</v>
      </c>
      <c r="T35" s="7">
        <f>[6]带兵数!F34</f>
        <v>3826.4669534623122</v>
      </c>
      <c r="U35" s="7">
        <f>[6]带兵数!G34</f>
        <v>3889.0108012583764</v>
      </c>
      <c r="V35" s="7">
        <f>[6]带兵数!H34</f>
        <v>3957.6288482572345</v>
      </c>
      <c r="X35" s="7">
        <v>31</v>
      </c>
      <c r="Y35" s="7">
        <f>求节点(节奏总纲!D$4:D$163,R$5:R$164,$X35)*6</f>
        <v>29657.512328299134</v>
      </c>
      <c r="Z35" s="7">
        <f>求节点(节奏总纲!E$4:E$163,S$5:S$164,$X35)*6</f>
        <v>30727.297640933684</v>
      </c>
      <c r="AA35" s="7">
        <f>求节点(节奏总纲!F$4:F$163,T$5:T$164,$X35)*6</f>
        <v>32120.423346958676</v>
      </c>
      <c r="AB35" s="7">
        <f>求节点(节奏总纲!G$4:G$163,U$5:U$164,$X35)*6</f>
        <v>34230.916094280998</v>
      </c>
      <c r="AC35" s="7">
        <f>求节点(节奏总纲!H$4:H$163,V$5:V$164,$X35)*6</f>
        <v>38031.973799043953</v>
      </c>
      <c r="AG35" s="7">
        <v>31</v>
      </c>
      <c r="AH35" s="7">
        <v>1</v>
      </c>
      <c r="AI35" s="7">
        <f>[6]实力验证!$Z37</f>
        <v>1.3311481984788576</v>
      </c>
      <c r="AJ35" s="7">
        <f>[6]实力验证!$AE37</f>
        <v>2.4444465757442204</v>
      </c>
      <c r="AK35" s="7">
        <f>[6]实力验证!$AJ37</f>
        <v>4.9746412198352106</v>
      </c>
      <c r="AL35" s="7">
        <f>[6]实力验证!$AO37</f>
        <v>17.520835918118824</v>
      </c>
      <c r="AM35" s="7">
        <f t="shared" si="0"/>
        <v>62.566157081816783</v>
      </c>
      <c r="AR35" s="14">
        <v>31</v>
      </c>
      <c r="AS35" s="14">
        <f>[6]攻城值!AC35</f>
        <v>99.149583211263291</v>
      </c>
      <c r="AT35" s="14">
        <f>[6]攻城值!AD35</f>
        <v>99.964449798450261</v>
      </c>
      <c r="AU35" s="14">
        <f>[6]攻城值!AE35</f>
        <v>102.11326591537296</v>
      </c>
      <c r="AV35" s="14">
        <f>[6]攻城值!AF35</f>
        <v>106.47763487114975</v>
      </c>
      <c r="AW35" s="14">
        <f>[6]攻城值!AG35</f>
        <v>106.18399150503718</v>
      </c>
      <c r="AY35" s="14">
        <v>31</v>
      </c>
      <c r="AZ35" s="14">
        <f>[6]攻城值!AJ35</f>
        <v>711.71080525976197</v>
      </c>
      <c r="BA35" s="14">
        <f>[6]攻城值!AK35</f>
        <v>724.53971915025284</v>
      </c>
      <c r="BB35" s="14">
        <f>[6]攻城值!AL35</f>
        <v>748.1056399187861</v>
      </c>
      <c r="BC35" s="14">
        <f>[6]攻城值!AM35</f>
        <v>789.47931883634033</v>
      </c>
      <c r="BD35" s="14">
        <f>[6]攻城值!AN35</f>
        <v>797.49230510884252</v>
      </c>
      <c r="BF35" s="14">
        <v>31</v>
      </c>
      <c r="BG35" s="14">
        <f>[6]攻城值!AQ35</f>
        <v>0.12227700923733831</v>
      </c>
      <c r="BH35" s="14">
        <f>[6]攻城值!AR35</f>
        <v>0.87772299076266158</v>
      </c>
      <c r="BL35" s="14">
        <v>31</v>
      </c>
      <c r="BM35" s="15">
        <f t="shared" si="2"/>
        <v>1</v>
      </c>
      <c r="BN35" s="15">
        <f t="shared" si="2"/>
        <v>1</v>
      </c>
      <c r="BO35" s="15">
        <f t="shared" si="2"/>
        <v>1</v>
      </c>
      <c r="BP35" s="15">
        <f t="shared" si="2"/>
        <v>1</v>
      </c>
      <c r="BQ35" s="15">
        <f t="shared" si="2"/>
        <v>1</v>
      </c>
      <c r="BR35" s="15">
        <f>'[1]功能-战损相关'!M41</f>
        <v>0.125</v>
      </c>
      <c r="BS35" s="15">
        <f>'[1]功能-战损相关'!N41</f>
        <v>0.125</v>
      </c>
      <c r="BT35" s="15">
        <f>'[1]功能-战损相关'!O41</f>
        <v>0.125</v>
      </c>
      <c r="BU35" s="15">
        <f>'[1]功能-战损相关'!P41</f>
        <v>0.125</v>
      </c>
      <c r="BV35" s="15">
        <f>'[1]功能-战损相关'!Q41</f>
        <v>0.125</v>
      </c>
      <c r="CJ35" s="2">
        <f>[4]兵营招募!S69</f>
        <v>32</v>
      </c>
      <c r="CK35" s="2">
        <f>[4]兵营招募!U69</f>
        <v>2700</v>
      </c>
    </row>
    <row r="36" spans="2:89" x14ac:dyDescent="0.15">
      <c r="B36" s="7">
        <v>32</v>
      </c>
      <c r="C36" s="7">
        <f>[1]服务器生态!W53</f>
        <v>422.21262873667729</v>
      </c>
      <c r="D36" s="7">
        <f>[1]服务器生态!X53</f>
        <v>332.18951514679861</v>
      </c>
      <c r="E36" s="7">
        <f>[1]服务器生态!Y53</f>
        <v>29.483871013075863</v>
      </c>
      <c r="F36" s="7">
        <f>[1]服务器生态!Z53</f>
        <v>4.6168926896551739</v>
      </c>
      <c r="G36" s="7">
        <f>[1]服务器生态!AA53</f>
        <v>1.1522648275862069</v>
      </c>
      <c r="H36" s="7">
        <f>[1]服务器生态!AC53</f>
        <v>0.5346797481818184</v>
      </c>
      <c r="I36" s="7">
        <f>[1]服务器生态!AD53</f>
        <v>0.42067667857018159</v>
      </c>
      <c r="J36" s="7">
        <f>[1]服务器生态!AE53</f>
        <v>3.7337653248000001E-2</v>
      </c>
      <c r="K36" s="7">
        <f>[1]服务器生态!AF53</f>
        <v>5.8467200000000014E-3</v>
      </c>
      <c r="L36" s="7">
        <f>[1]服务器生态!AG53</f>
        <v>1.4591999999999999E-3</v>
      </c>
      <c r="M36" s="7">
        <f>[5]基础信息!M35</f>
        <v>87.838235294117652</v>
      </c>
      <c r="Q36" s="7">
        <v>32</v>
      </c>
      <c r="R36" s="7">
        <f>[6]带兵数!D35</f>
        <v>3783.6630202092224</v>
      </c>
      <c r="S36" s="7">
        <f>[6]带兵数!E35</f>
        <v>3836.370132315777</v>
      </c>
      <c r="T36" s="7">
        <f>[6]带兵数!F35</f>
        <v>3891.5240622314541</v>
      </c>
      <c r="U36" s="7">
        <f>[6]带兵数!G35</f>
        <v>3955.4131908524987</v>
      </c>
      <c r="V36" s="7">
        <f>[6]带兵数!H35</f>
        <v>4026.1220107826684</v>
      </c>
      <c r="X36" s="7">
        <v>32</v>
      </c>
      <c r="Y36" s="7">
        <f>求节点(节奏总纲!D$4:D$163,R$5:R$164,$X36)*6</f>
        <v>29829.576024390626</v>
      </c>
      <c r="Z36" s="7">
        <f>求节点(节奏总纲!E$4:E$163,S$5:S$164,$X36)*6</f>
        <v>30891.764574697278</v>
      </c>
      <c r="AA36" s="7">
        <f>求节点(节奏总纲!F$4:F$163,T$5:T$164,$X36)*6</f>
        <v>32296.908021298445</v>
      </c>
      <c r="AB36" s="7">
        <f>求节点(节奏总纲!G$4:G$163,U$5:U$164,$X36)*6</f>
        <v>34411.649948289632</v>
      </c>
      <c r="AC36" s="7">
        <f>求节点(节奏总纲!H$4:H$163,V$5:V$164,$X36)*6</f>
        <v>38220.50286033786</v>
      </c>
      <c r="AG36" s="7">
        <v>32</v>
      </c>
      <c r="AH36" s="7">
        <v>1</v>
      </c>
      <c r="AI36" s="7">
        <f>[6]实力验证!$Z38</f>
        <v>1.328866374623545</v>
      </c>
      <c r="AJ36" s="7">
        <f>[6]实力验证!$AE38</f>
        <v>2.4032170061105518</v>
      </c>
      <c r="AK36" s="7">
        <f>[6]实力验证!$AJ38</f>
        <v>5.0879458830397954</v>
      </c>
      <c r="AL36" s="7">
        <f>[6]实力验证!$AO38</f>
        <v>17.738237880780105</v>
      </c>
      <c r="AM36" s="7">
        <f t="shared" si="0"/>
        <v>62.815540989894693</v>
      </c>
      <c r="AR36" s="14">
        <v>32</v>
      </c>
      <c r="AS36" s="14">
        <f>[6]攻城值!AC36</f>
        <v>102.28582673235309</v>
      </c>
      <c r="AT36" s="14">
        <f>[6]攻城值!AD36</f>
        <v>103.21358917741173</v>
      </c>
      <c r="AU36" s="14">
        <f>[6]攻城值!AE36</f>
        <v>105.56351250534</v>
      </c>
      <c r="AV36" s="14">
        <f>[6]攻城值!AF36</f>
        <v>110.5967752979285</v>
      </c>
      <c r="AW36" s="14">
        <f>[6]攻城值!AG36</f>
        <v>110.10991330095666</v>
      </c>
      <c r="AY36" s="14">
        <v>32</v>
      </c>
      <c r="AZ36" s="14">
        <f>[6]攻城值!AJ36</f>
        <v>722.97585105801318</v>
      </c>
      <c r="BA36" s="14">
        <f>[6]攻城值!AK36</f>
        <v>736.66775913999152</v>
      </c>
      <c r="BB36" s="14">
        <f>[6]攻城值!AL36</f>
        <v>761.62297347635092</v>
      </c>
      <c r="BC36" s="14">
        <f>[6]攻城值!AM36</f>
        <v>807.59532161910022</v>
      </c>
      <c r="BD36" s="14">
        <f>[6]攻城值!AN36</f>
        <v>814.54696938578877</v>
      </c>
      <c r="BF36" s="14">
        <v>32</v>
      </c>
      <c r="BG36" s="14">
        <f>[6]攻城值!AQ36</f>
        <v>0.12394350723545389</v>
      </c>
      <c r="BH36" s="14">
        <f>[6]攻城值!AR36</f>
        <v>0.876056492764546</v>
      </c>
      <c r="BL36" s="14">
        <v>32</v>
      </c>
      <c r="BM36" s="15">
        <f t="shared" si="2"/>
        <v>1</v>
      </c>
      <c r="BN36" s="15">
        <f t="shared" si="2"/>
        <v>1</v>
      </c>
      <c r="BO36" s="15">
        <f t="shared" si="2"/>
        <v>1</v>
      </c>
      <c r="BP36" s="15">
        <f t="shared" si="2"/>
        <v>1</v>
      </c>
      <c r="BQ36" s="15">
        <f t="shared" si="2"/>
        <v>1</v>
      </c>
      <c r="BR36" s="15">
        <f>'[1]功能-战损相关'!M42</f>
        <v>0.125</v>
      </c>
      <c r="BS36" s="15">
        <f>'[1]功能-战损相关'!N42</f>
        <v>0.125</v>
      </c>
      <c r="BT36" s="15">
        <f>'[1]功能-战损相关'!O42</f>
        <v>0.125</v>
      </c>
      <c r="BU36" s="15">
        <f>'[1]功能-战损相关'!P42</f>
        <v>0.125</v>
      </c>
      <c r="BV36" s="15">
        <f>'[1]功能-战损相关'!Q42</f>
        <v>0.125</v>
      </c>
      <c r="CJ36" s="2">
        <f>[4]兵营招募!S70</f>
        <v>33</v>
      </c>
      <c r="CK36" s="2">
        <f>[4]兵营招募!U70</f>
        <v>3300</v>
      </c>
    </row>
    <row r="37" spans="2:89" x14ac:dyDescent="0.15">
      <c r="B37" s="7">
        <v>33</v>
      </c>
      <c r="C37" s="7">
        <f>[1]服务器生态!W54</f>
        <v>415.8517495203763</v>
      </c>
      <c r="D37" s="7">
        <f>[1]服务器生态!X54</f>
        <v>328.62545543454775</v>
      </c>
      <c r="E37" s="7">
        <f>[1]服务器生态!Y54</f>
        <v>29.116992010593101</v>
      </c>
      <c r="F37" s="7">
        <f>[1]服务器生态!Z54</f>
        <v>4.5714968275862082</v>
      </c>
      <c r="G37" s="7">
        <f>[1]服务器生态!AA54</f>
        <v>1.1446510344827585</v>
      </c>
      <c r="H37" s="7">
        <f>[1]服务器生态!AC54</f>
        <v>0.53361507681818199</v>
      </c>
      <c r="I37" s="7">
        <f>[1]服务器生态!AD54</f>
        <v>0.42168753130981795</v>
      </c>
      <c r="J37" s="7">
        <f>[1]服务器生态!AE54</f>
        <v>3.7362511872000001E-2</v>
      </c>
      <c r="K37" s="7">
        <f>[1]服务器生态!AF54</f>
        <v>5.8660800000000018E-3</v>
      </c>
      <c r="L37" s="7">
        <f>[1]服务器生态!AG54</f>
        <v>1.4687999999999999E-3</v>
      </c>
      <c r="M37" s="7">
        <f>[5]基础信息!M36</f>
        <v>88.183006535947712</v>
      </c>
      <c r="Q37" s="7">
        <v>33</v>
      </c>
      <c r="R37" s="7">
        <f>[6]带兵数!D36</f>
        <v>3850.8297311415272</v>
      </c>
      <c r="S37" s="7">
        <f>[6]带兵数!E36</f>
        <v>3899.0868763053822</v>
      </c>
      <c r="T37" s="7">
        <f>[6]带兵数!F36</f>
        <v>3957.3520379044335</v>
      </c>
      <c r="U37" s="7">
        <f>[6]带兵数!G36</f>
        <v>4020.925900972692</v>
      </c>
      <c r="V37" s="7">
        <f>[6]带兵数!H36</f>
        <v>4090.4062586103628</v>
      </c>
      <c r="X37" s="7">
        <v>33</v>
      </c>
      <c r="Y37" s="7">
        <f>求节点(节奏总纲!D$4:D$163,R$5:R$164,$X37)*6</f>
        <v>30001.639720482122</v>
      </c>
      <c r="Z37" s="7">
        <f>求节点(节奏总纲!E$4:E$163,S$5:S$164,$X37)*6</f>
        <v>31054.536659034486</v>
      </c>
      <c r="AA37" s="7">
        <f>求节点(节奏总纲!F$4:F$163,T$5:T$164,$X37)*6</f>
        <v>32463.45978846023</v>
      </c>
      <c r="AB37" s="7">
        <f>求节点(节奏总纲!G$4:G$163,U$5:U$164,$X37)*6</f>
        <v>34590.128133490849</v>
      </c>
      <c r="AC37" s="7">
        <f>求节点(节奏总纲!H$4:H$163,V$5:V$164,$X37)*6</f>
        <v>38395.707982232074</v>
      </c>
      <c r="AG37" s="7">
        <v>33</v>
      </c>
      <c r="AH37" s="7">
        <v>1</v>
      </c>
      <c r="AI37" s="7">
        <f>[6]实力验证!$Z39</f>
        <v>1.3267763239411068</v>
      </c>
      <c r="AJ37" s="7">
        <f>[6]实力验证!$AE39</f>
        <v>2.3646543300921108</v>
      </c>
      <c r="AK37" s="7">
        <f>[6]实力验证!$AJ39</f>
        <v>5.1905406994918417</v>
      </c>
      <c r="AL37" s="7">
        <f>[6]实力验证!$AO39</f>
        <v>17.985312282632563</v>
      </c>
      <c r="AM37" s="7">
        <f t="shared" si="0"/>
        <v>63.066097233733828</v>
      </c>
      <c r="AR37" s="14">
        <v>33</v>
      </c>
      <c r="AS37" s="14">
        <f>[6]攻城值!AC37</f>
        <v>105.52200327760572</v>
      </c>
      <c r="AT37" s="14">
        <f>[6]攻城值!AD37</f>
        <v>106.51052199466817</v>
      </c>
      <c r="AU37" s="14">
        <f>[6]攻城值!AE37</f>
        <v>109.06540575114938</v>
      </c>
      <c r="AV37" s="14">
        <f>[6]攻城值!AF37</f>
        <v>114.80964314983693</v>
      </c>
      <c r="AW37" s="14">
        <f>[6]攻城值!AG37</f>
        <v>114.11521330838755</v>
      </c>
      <c r="AY37" s="14">
        <v>33</v>
      </c>
      <c r="AZ37" s="14">
        <f>[6]攻城值!AJ37</f>
        <v>734.81254060971298</v>
      </c>
      <c r="BA37" s="14">
        <f>[6]攻城值!AK37</f>
        <v>748.9874762519172</v>
      </c>
      <c r="BB37" s="14">
        <f>[6]攻城值!AL37</f>
        <v>775.33113481202327</v>
      </c>
      <c r="BC37" s="14">
        <f>[6]攻城值!AM37</f>
        <v>826.08885243677719</v>
      </c>
      <c r="BD37" s="14">
        <f>[6]攻城值!AN37</f>
        <v>831.9218855468522</v>
      </c>
      <c r="BF37" s="14">
        <v>33</v>
      </c>
      <c r="BG37" s="14">
        <f>[6]攻城值!AQ37</f>
        <v>0.12557142157868412</v>
      </c>
      <c r="BH37" s="14">
        <f>[6]攻城值!AR37</f>
        <v>0.87442857842131594</v>
      </c>
      <c r="BL37" s="14">
        <v>33</v>
      </c>
      <c r="BM37" s="15">
        <f t="shared" si="2"/>
        <v>1</v>
      </c>
      <c r="BN37" s="15">
        <f t="shared" si="2"/>
        <v>1</v>
      </c>
      <c r="BO37" s="15">
        <f t="shared" si="2"/>
        <v>1</v>
      </c>
      <c r="BP37" s="15">
        <f t="shared" si="2"/>
        <v>1</v>
      </c>
      <c r="BQ37" s="15">
        <f t="shared" si="2"/>
        <v>1</v>
      </c>
      <c r="BR37" s="15">
        <f>'[1]功能-战损相关'!M43</f>
        <v>0.125</v>
      </c>
      <c r="BS37" s="15">
        <f>'[1]功能-战损相关'!N43</f>
        <v>0.125</v>
      </c>
      <c r="BT37" s="15">
        <f>'[1]功能-战损相关'!O43</f>
        <v>0.125</v>
      </c>
      <c r="BU37" s="15">
        <f>'[1]功能-战损相关'!P43</f>
        <v>0.125</v>
      </c>
      <c r="BV37" s="15">
        <f>'[1]功能-战损相关'!Q43</f>
        <v>0.125</v>
      </c>
      <c r="CJ37" s="2">
        <f>[4]兵营招募!S71</f>
        <v>34</v>
      </c>
      <c r="CK37" s="2">
        <f>[4]兵营招募!U71</f>
        <v>3300</v>
      </c>
    </row>
    <row r="38" spans="2:89" x14ac:dyDescent="0.15">
      <c r="B38" s="7">
        <v>34</v>
      </c>
      <c r="C38" s="7">
        <f>[1]服务器生态!W55</f>
        <v>409.51289798746103</v>
      </c>
      <c r="D38" s="7">
        <f>[1]服务器生态!X55</f>
        <v>325.04048152768388</v>
      </c>
      <c r="E38" s="7">
        <f>[1]服务器生态!Y55</f>
        <v>28.749598691751729</v>
      </c>
      <c r="F38" s="7">
        <f>[1]服务器生态!Z55</f>
        <v>4.5257004137931052</v>
      </c>
      <c r="G38" s="7">
        <f>[1]服务器生态!AA55</f>
        <v>1.1368386206896552</v>
      </c>
      <c r="H38" s="7">
        <f>[1]服务器生态!AC55</f>
        <v>0.53255040545454568</v>
      </c>
      <c r="I38" s="7">
        <f>[1]服务器生态!AD55</f>
        <v>0.42269838404945431</v>
      </c>
      <c r="J38" s="7">
        <f>[1]服务器生态!AE55</f>
        <v>3.7387370496000001E-2</v>
      </c>
      <c r="K38" s="7">
        <f>[1]服务器生态!AF55</f>
        <v>5.8854400000000013E-3</v>
      </c>
      <c r="L38" s="7">
        <f>[1]服务器生态!AG55</f>
        <v>1.4783999999999999E-3</v>
      </c>
      <c r="M38" s="7">
        <f>[5]基础信息!M37</f>
        <v>88.509803921568633</v>
      </c>
      <c r="Q38" s="7">
        <v>34</v>
      </c>
      <c r="R38" s="7">
        <f>[6]带兵数!D37</f>
        <v>3913.962430455269</v>
      </c>
      <c r="S38" s="7">
        <f>[6]带兵数!E37</f>
        <v>3966.2932129146884</v>
      </c>
      <c r="T38" s="7">
        <f>[6]带兵数!F37</f>
        <v>4022.5526780322962</v>
      </c>
      <c r="U38" s="7">
        <f>[6]带兵数!G37</f>
        <v>4088.6582215718527</v>
      </c>
      <c r="V38" s="7">
        <f>[6]带兵数!H37</f>
        <v>4158.7144728338253</v>
      </c>
      <c r="X38" s="7">
        <v>34</v>
      </c>
      <c r="Y38" s="7">
        <f>求节点(节奏总纲!D$4:D$163,R$5:R$164,$X38)*6</f>
        <v>30159.253381426141</v>
      </c>
      <c r="Z38" s="7">
        <f>求节点(节奏总纲!E$4:E$163,S$5:S$164,$X38)*6</f>
        <v>31213.965804538493</v>
      </c>
      <c r="AA38" s="7">
        <f>求节点(节奏总纲!F$4:F$163,T$5:T$164,$X38)*6</f>
        <v>32628.829524831268</v>
      </c>
      <c r="AB38" s="7">
        <f>求节点(节奏总纲!G$4:G$163,U$5:U$164,$X38)*6</f>
        <v>34758.965000118624</v>
      </c>
      <c r="AC38" s="7">
        <f>求节点(节奏总纲!H$4:H$163,V$5:V$164,$X38)*6</f>
        <v>38570.913104126281</v>
      </c>
      <c r="AG38" s="7">
        <v>34</v>
      </c>
      <c r="AH38" s="7">
        <v>1</v>
      </c>
      <c r="AI38" s="7">
        <f>[6]实力验证!$Z40</f>
        <v>1.3263695366105026</v>
      </c>
      <c r="AJ38" s="7">
        <f>[6]实力验证!$AE40</f>
        <v>2.3287827223985555</v>
      </c>
      <c r="AK38" s="7">
        <f>[6]实力验证!$AJ40</f>
        <v>5.2799073736647317</v>
      </c>
      <c r="AL38" s="7">
        <f>[6]实力验证!$AO40</f>
        <v>18.209206404023984</v>
      </c>
      <c r="AM38" s="7">
        <f t="shared" si="0"/>
        <v>63.338809414818677</v>
      </c>
      <c r="AR38" s="14">
        <v>34</v>
      </c>
      <c r="AS38" s="14">
        <f>[6]攻城值!AC38</f>
        <v>109.00720986926194</v>
      </c>
      <c r="AT38" s="14">
        <f>[6]攻城值!AD38</f>
        <v>109.87093896374978</v>
      </c>
      <c r="AU38" s="14">
        <f>[6]攻城值!AE38</f>
        <v>112.64159742867352</v>
      </c>
      <c r="AV38" s="14">
        <f>[6]攻城值!AF38</f>
        <v>118.89216480741203</v>
      </c>
      <c r="AW38" s="14">
        <f>[6]攻城值!AG38</f>
        <v>118.20507889153728</v>
      </c>
      <c r="AY38" s="14">
        <v>34</v>
      </c>
      <c r="AZ38" s="14">
        <f>[6]攻城值!AJ38</f>
        <v>748.22328313065339</v>
      </c>
      <c r="BA38" s="14">
        <f>[6]攻城值!AK38</f>
        <v>761.60357648828131</v>
      </c>
      <c r="BB38" s="14">
        <f>[6]攻城值!AL38</f>
        <v>789.38582385178051</v>
      </c>
      <c r="BC38" s="14">
        <f>[6]攻城值!AM38</f>
        <v>843.36302866221672</v>
      </c>
      <c r="BD38" s="14">
        <f>[6]攻城值!AN38</f>
        <v>849.64844419993483</v>
      </c>
      <c r="BF38" s="14">
        <v>34</v>
      </c>
      <c r="BG38" s="14">
        <f>[6]攻城值!AQ38</f>
        <v>0.12716207689694575</v>
      </c>
      <c r="BH38" s="14">
        <f>[6]攻城值!AR38</f>
        <v>0.8728379231030543</v>
      </c>
      <c r="BL38" s="14">
        <v>34</v>
      </c>
      <c r="BM38" s="15">
        <f t="shared" si="2"/>
        <v>1</v>
      </c>
      <c r="BN38" s="15">
        <f t="shared" si="2"/>
        <v>1</v>
      </c>
      <c r="BO38" s="15">
        <f t="shared" si="2"/>
        <v>1</v>
      </c>
      <c r="BP38" s="15">
        <f t="shared" si="2"/>
        <v>1</v>
      </c>
      <c r="BQ38" s="15">
        <f t="shared" si="2"/>
        <v>1</v>
      </c>
      <c r="BR38" s="15">
        <f>'[1]功能-战损相关'!M44</f>
        <v>0.125</v>
      </c>
      <c r="BS38" s="15">
        <f>'[1]功能-战损相关'!N44</f>
        <v>0.125</v>
      </c>
      <c r="BT38" s="15">
        <f>'[1]功能-战损相关'!O44</f>
        <v>0.125</v>
      </c>
      <c r="BU38" s="15">
        <f>'[1]功能-战损相关'!P44</f>
        <v>0.125</v>
      </c>
      <c r="BV38" s="15">
        <f>'[1]功能-战损相关'!Q44</f>
        <v>0.125</v>
      </c>
      <c r="CJ38" s="2">
        <f>[4]兵营招募!S72</f>
        <v>35</v>
      </c>
      <c r="CK38" s="2">
        <f>[4]兵营招募!U72</f>
        <v>3300</v>
      </c>
    </row>
    <row r="39" spans="2:89" x14ac:dyDescent="0.15">
      <c r="B39" s="7">
        <v>35</v>
      </c>
      <c r="C39" s="7">
        <f>[1]服务器生态!W56</f>
        <v>403.19607413793119</v>
      </c>
      <c r="D39" s="7">
        <f>[1]服务器生态!X56</f>
        <v>321.43459342620673</v>
      </c>
      <c r="E39" s="7">
        <f>[1]服务器生态!Y56</f>
        <v>28.381691056551727</v>
      </c>
      <c r="F39" s="7">
        <f>[1]服务器生态!Z56</f>
        <v>4.4795034482758638</v>
      </c>
      <c r="G39" s="7">
        <f>[1]服务器生态!AA56</f>
        <v>1.1288275862068964</v>
      </c>
      <c r="H39" s="7">
        <f>[1]服务器生态!AC56</f>
        <v>0.53148573409090927</v>
      </c>
      <c r="I39" s="7">
        <f>[1]服务器生态!AD56</f>
        <v>0.42370923678909067</v>
      </c>
      <c r="J39" s="7">
        <f>[1]服务器生态!AE56</f>
        <v>3.7412229120000001E-2</v>
      </c>
      <c r="K39" s="7">
        <f>[1]服务器生态!AF56</f>
        <v>5.9048000000000017E-3</v>
      </c>
      <c r="L39" s="7">
        <f>[1]服务器生态!AG56</f>
        <v>1.4879999999999997E-3</v>
      </c>
      <c r="M39" s="7">
        <f>[5]基础信息!M38</f>
        <v>88.83660130718954</v>
      </c>
      <c r="Q39" s="7">
        <v>35</v>
      </c>
      <c r="R39" s="7">
        <f>[6]带兵数!D38</f>
        <v>3980.1909129472951</v>
      </c>
      <c r="S39" s="7">
        <f>[6]带兵数!E38</f>
        <v>4030.5941741358338</v>
      </c>
      <c r="T39" s="7">
        <f>[6]带兵数!F38</f>
        <v>4091.0872039771339</v>
      </c>
      <c r="U39" s="7">
        <f>[6]带兵数!G38</f>
        <v>4154.191079838205</v>
      </c>
      <c r="V39" s="7">
        <f>[6]带兵数!H38</f>
        <v>4223.6246235371837</v>
      </c>
      <c r="X39" s="7">
        <v>35</v>
      </c>
      <c r="Y39" s="7">
        <f>求节点(节奏总纲!D$4:D$163,R$5:R$164,$X39)*6</f>
        <v>30310.76954590105</v>
      </c>
      <c r="Z39" s="7">
        <f>求节点(节奏总纲!E$4:E$163,S$5:S$164,$X39)*6</f>
        <v>31370.892584248955</v>
      </c>
      <c r="AA39" s="7">
        <f>求节点(节奏总纲!F$4:F$163,T$5:T$164,$X39)*6</f>
        <v>32784.771521399191</v>
      </c>
      <c r="AB39" s="7">
        <f>求节点(节奏总纲!G$4:G$163,U$5:U$164,$X39)*6</f>
        <v>34927.801866746398</v>
      </c>
      <c r="AC39" s="7">
        <f>求节点(节奏总纲!H$4:H$163,V$5:V$164,$X39)*6</f>
        <v>38738.145999461034</v>
      </c>
      <c r="AG39" s="7">
        <v>35</v>
      </c>
      <c r="AH39" s="7">
        <v>1</v>
      </c>
      <c r="AI39" s="7">
        <f>[6]实力验证!$Z41</f>
        <v>1.327145021860431</v>
      </c>
      <c r="AJ39" s="7">
        <f>[6]实力验证!$AE41</f>
        <v>2.2946237875597002</v>
      </c>
      <c r="AK39" s="7">
        <f>[6]实力验证!$AJ41</f>
        <v>5.3618375019186457</v>
      </c>
      <c r="AL39" s="7">
        <f>[6]实力验证!$AO41</f>
        <v>18.438614431719714</v>
      </c>
      <c r="AM39" s="7">
        <f t="shared" si="0"/>
        <v>63.643462031280194</v>
      </c>
      <c r="AR39" s="14">
        <v>35</v>
      </c>
      <c r="AS39" s="14">
        <f>[6]攻城值!AC39</f>
        <v>112.63389403340585</v>
      </c>
      <c r="AT39" s="14">
        <f>[6]攻城值!AD39</f>
        <v>113.45544027479473</v>
      </c>
      <c r="AU39" s="14">
        <f>[6]攻城值!AE39</f>
        <v>116.32212569390767</v>
      </c>
      <c r="AV39" s="14">
        <f>[6]攻城值!AF39</f>
        <v>123.04476397848582</v>
      </c>
      <c r="AW39" s="14">
        <f>[6]攻城值!AG39</f>
        <v>122.37018479838444</v>
      </c>
      <c r="AY39" s="14">
        <v>35</v>
      </c>
      <c r="AZ39" s="14">
        <f>[6]攻城值!AJ39</f>
        <v>762.41853423934435</v>
      </c>
      <c r="BA39" s="14">
        <f>[6]攻城值!AK39</f>
        <v>775.60577644841169</v>
      </c>
      <c r="BB39" s="14">
        <f>[6]攻城值!AL39</f>
        <v>803.9853571873366</v>
      </c>
      <c r="BC39" s="14">
        <f>[6]攻城值!AM39</f>
        <v>860.87862002453642</v>
      </c>
      <c r="BD39" s="14">
        <f>[6]攻城值!AN39</f>
        <v>867.65366069437459</v>
      </c>
      <c r="BF39" s="14">
        <v>35</v>
      </c>
      <c r="BG39" s="14">
        <f>[6]攻城值!AQ39</f>
        <v>0.12871673787104598</v>
      </c>
      <c r="BH39" s="14">
        <f>[6]攻城值!AR39</f>
        <v>0.87128326212895413</v>
      </c>
      <c r="BL39" s="14">
        <v>35</v>
      </c>
      <c r="BM39" s="15">
        <f t="shared" si="2"/>
        <v>1</v>
      </c>
      <c r="BN39" s="15">
        <f t="shared" si="2"/>
        <v>1</v>
      </c>
      <c r="BO39" s="15">
        <f t="shared" si="2"/>
        <v>1</v>
      </c>
      <c r="BP39" s="15">
        <f t="shared" si="2"/>
        <v>1</v>
      </c>
      <c r="BQ39" s="15">
        <f t="shared" si="2"/>
        <v>1</v>
      </c>
      <c r="BR39" s="15">
        <f>'[1]功能-战损相关'!M45</f>
        <v>0.125</v>
      </c>
      <c r="BS39" s="15">
        <f>'[1]功能-战损相关'!N45</f>
        <v>0.125</v>
      </c>
      <c r="BT39" s="15">
        <f>'[1]功能-战损相关'!O45</f>
        <v>0.125</v>
      </c>
      <c r="BU39" s="15">
        <f>'[1]功能-战损相关'!P45</f>
        <v>0.125</v>
      </c>
      <c r="BV39" s="15">
        <f>'[1]功能-战损相关'!Q45</f>
        <v>0.125</v>
      </c>
      <c r="CJ39" s="2">
        <f>[4]兵营招募!S73</f>
        <v>36</v>
      </c>
      <c r="CK39" s="2">
        <f>[4]兵营招募!U73</f>
        <v>3300</v>
      </c>
    </row>
    <row r="40" spans="2:89" x14ac:dyDescent="0.15">
      <c r="B40" s="7">
        <v>36</v>
      </c>
      <c r="C40" s="7">
        <f>[1]服务器生态!W57</f>
        <v>396.90127797178707</v>
      </c>
      <c r="D40" s="7">
        <f>[1]服务器生态!X57</f>
        <v>317.80779113011653</v>
      </c>
      <c r="E40" s="7">
        <f>[1]服务器生态!Y57</f>
        <v>28.013269104993107</v>
      </c>
      <c r="F40" s="7">
        <f>[1]服务器生态!Z57</f>
        <v>4.432905931034484</v>
      </c>
      <c r="G40" s="7">
        <f>[1]服务器生态!AA57</f>
        <v>1.1206179310344826</v>
      </c>
      <c r="H40" s="7">
        <f>[1]服务器生态!AC57</f>
        <v>0.53042106272727296</v>
      </c>
      <c r="I40" s="7">
        <f>[1]服务器生态!AD57</f>
        <v>0.42472008952872708</v>
      </c>
      <c r="J40" s="7">
        <f>[1]服务器生态!AE57</f>
        <v>3.7437087744000001E-2</v>
      </c>
      <c r="K40" s="7">
        <f>[1]服务器生态!AF57</f>
        <v>5.9241600000000012E-3</v>
      </c>
      <c r="L40" s="7">
        <f>[1]服务器生态!AG57</f>
        <v>1.4975999999999998E-3</v>
      </c>
      <c r="M40" s="7">
        <f>[5]基础信息!M39</f>
        <v>89.16339869281046</v>
      </c>
      <c r="Q40" s="7">
        <v>36</v>
      </c>
      <c r="R40" s="7">
        <f>[6]带兵数!D39</f>
        <v>4043.8224722802161</v>
      </c>
      <c r="S40" s="7">
        <f>[6]带兵数!E39</f>
        <v>4097.4135482075872</v>
      </c>
      <c r="T40" s="7">
        <f>[6]带兵数!F39</f>
        <v>4154.2715250695746</v>
      </c>
      <c r="U40" s="7">
        <f>[6]带兵数!G39</f>
        <v>4219.9593475759102</v>
      </c>
      <c r="V40" s="7">
        <f>[6]带兵数!H39</f>
        <v>4286.631625084754</v>
      </c>
      <c r="X40" s="7">
        <v>36</v>
      </c>
      <c r="Y40" s="7">
        <f>求节点(节奏总纲!D$4:D$163,R$5:R$164,$X40)*6</f>
        <v>30461.392258151005</v>
      </c>
      <c r="Z40" s="7">
        <f>求节点(节奏总纲!E$4:E$163,S$5:S$164,$X40)*6</f>
        <v>31527.21911075111</v>
      </c>
      <c r="AA40" s="7">
        <f>求节点(节奏总纲!F$4:F$163,T$5:T$164,$X40)*6</f>
        <v>32940.713517967117</v>
      </c>
      <c r="AB40" s="7">
        <f>求节点(节奏总纲!G$4:G$163,U$5:U$164,$X40)*6</f>
        <v>35085.798155077748</v>
      </c>
      <c r="AC40" s="7">
        <f>求节点(节奏总纲!H$4:H$163,V$5:V$164,$X40)*6</f>
        <v>38904.870418022147</v>
      </c>
      <c r="AG40" s="7">
        <v>36</v>
      </c>
      <c r="AH40" s="7">
        <v>1</v>
      </c>
      <c r="AI40" s="7">
        <f>[6]实力验证!$Z42</f>
        <v>1.3278980643387308</v>
      </c>
      <c r="AJ40" s="7">
        <f>[6]实力验证!$AE42</f>
        <v>2.2628234664328137</v>
      </c>
      <c r="AK40" s="7">
        <f>[6]实力验证!$AJ42</f>
        <v>5.4470564396501997</v>
      </c>
      <c r="AL40" s="7">
        <f>[6]实力验证!$AO42</f>
        <v>18.649853772850236</v>
      </c>
      <c r="AM40" s="7">
        <f t="shared" si="0"/>
        <v>63.962081851097857</v>
      </c>
      <c r="AR40" s="14">
        <v>36</v>
      </c>
      <c r="AS40" s="14">
        <f>[6]攻城值!AC40</f>
        <v>116.42584447103984</v>
      </c>
      <c r="AT40" s="14">
        <f>[6]攻城值!AD40</f>
        <v>117.27381702415913</v>
      </c>
      <c r="AU40" s="14">
        <f>[6]攻城值!AE40</f>
        <v>120.07630866769379</v>
      </c>
      <c r="AV40" s="14">
        <f>[6]攻城值!AF40</f>
        <v>127.26864612554432</v>
      </c>
      <c r="AW40" s="14">
        <f>[6]攻城值!AG40</f>
        <v>126.56351680229093</v>
      </c>
      <c r="AY40" s="14">
        <v>36</v>
      </c>
      <c r="AZ40" s="14">
        <f>[6]攻城值!AJ40</f>
        <v>777.53048746304796</v>
      </c>
      <c r="BA40" s="14">
        <f>[6]攻城值!AK40</f>
        <v>791.00871923901093</v>
      </c>
      <c r="BB40" s="14">
        <f>[6]攻城值!AL40</f>
        <v>818.90375807291946</v>
      </c>
      <c r="BC40" s="14">
        <f>[6]攻城值!AM40</f>
        <v>878.64144319493232</v>
      </c>
      <c r="BD40" s="14">
        <f>[6]攻城值!AN40</f>
        <v>885.60492495002131</v>
      </c>
      <c r="BF40" s="14">
        <v>36</v>
      </c>
      <c r="BG40" s="14">
        <f>[6]攻城值!AQ40</f>
        <v>0.13023661258615485</v>
      </c>
      <c r="BH40" s="14">
        <f>[6]攻城值!AR40</f>
        <v>0.86976338741384518</v>
      </c>
      <c r="BL40" s="14">
        <v>36</v>
      </c>
      <c r="BM40" s="15">
        <f t="shared" si="2"/>
        <v>1</v>
      </c>
      <c r="BN40" s="15">
        <f t="shared" si="2"/>
        <v>1</v>
      </c>
      <c r="BO40" s="15">
        <f t="shared" si="2"/>
        <v>1</v>
      </c>
      <c r="BP40" s="15">
        <f t="shared" si="2"/>
        <v>1</v>
      </c>
      <c r="BQ40" s="15">
        <f t="shared" si="2"/>
        <v>1</v>
      </c>
      <c r="BR40" s="15">
        <f>'[1]功能-战损相关'!M46</f>
        <v>0.125</v>
      </c>
      <c r="BS40" s="15">
        <f>'[1]功能-战损相关'!N46</f>
        <v>0.125</v>
      </c>
      <c r="BT40" s="15">
        <f>'[1]功能-战损相关'!O46</f>
        <v>0.125</v>
      </c>
      <c r="BU40" s="15">
        <f>'[1]功能-战损相关'!P46</f>
        <v>0.125</v>
      </c>
      <c r="BV40" s="15">
        <f>'[1]功能-战损相关'!Q46</f>
        <v>0.125</v>
      </c>
      <c r="CJ40" s="2">
        <f>[4]兵营招募!S74</f>
        <v>37</v>
      </c>
      <c r="CK40" s="2">
        <f>[4]兵营招募!U74</f>
        <v>3600</v>
      </c>
    </row>
    <row r="41" spans="2:89" x14ac:dyDescent="0.15">
      <c r="B41" s="7">
        <v>37</v>
      </c>
      <c r="C41" s="7">
        <f>[1]服务器生态!W58</f>
        <v>390.62850948902832</v>
      </c>
      <c r="D41" s="7">
        <f>[1]服务器生态!X58</f>
        <v>314.16007463941304</v>
      </c>
      <c r="E41" s="7">
        <f>[1]服务器生态!Y58</f>
        <v>27.644332837075861</v>
      </c>
      <c r="F41" s="7">
        <f>[1]服务器生态!Z58</f>
        <v>4.3859078620689669</v>
      </c>
      <c r="G41" s="7">
        <f>[1]服务器生态!AA58</f>
        <v>1.1122096551724137</v>
      </c>
      <c r="H41" s="7">
        <f>[1]服务器生态!AC58</f>
        <v>0.52935639136363655</v>
      </c>
      <c r="I41" s="7">
        <f>[1]服务器生态!AD58</f>
        <v>0.42573094226836344</v>
      </c>
      <c r="J41" s="7">
        <f>[1]服务器生态!AE58</f>
        <v>3.7461946368000001E-2</v>
      </c>
      <c r="K41" s="7">
        <f>[1]服务器生态!AF58</f>
        <v>5.9435200000000016E-3</v>
      </c>
      <c r="L41" s="7">
        <f>[1]服务器生态!AG58</f>
        <v>1.5071999999999998E-3</v>
      </c>
      <c r="M41" s="7">
        <f>[5]基础信息!M40</f>
        <v>89.490196078431367</v>
      </c>
      <c r="Q41" s="7">
        <v>37</v>
      </c>
      <c r="R41" s="7">
        <f>[6]带兵数!D40</f>
        <v>4109.020743671972</v>
      </c>
      <c r="S41" s="7">
        <f>[6]带兵数!E40</f>
        <v>4161.1453581089208</v>
      </c>
      <c r="T41" s="7">
        <f>[6]带兵数!F40</f>
        <v>4220.4599594946012</v>
      </c>
      <c r="U41" s="7">
        <f>[6]带兵数!G40</f>
        <v>4282.0408035249629</v>
      </c>
      <c r="V41" s="7">
        <f>[6]带兵数!H40</f>
        <v>4352.0389775920594</v>
      </c>
      <c r="X41" s="7">
        <v>37</v>
      </c>
      <c r="Y41" s="7">
        <f>求节点(节奏总纲!D$4:D$163,R$5:R$164,$X41)*6</f>
        <v>30609.211164343942</v>
      </c>
      <c r="Z41" s="7">
        <f>求节点(节奏总纲!E$4:E$163,S$5:S$164,$X41)*6</f>
        <v>31672.701871126937</v>
      </c>
      <c r="AA41" s="7">
        <f>求节点(节奏总纲!F$4:F$163,T$5:T$164,$X41)*6</f>
        <v>33092.532056593176</v>
      </c>
      <c r="AB41" s="7">
        <f>求节点(节奏总纲!G$4:G$163,U$5:U$164,$X41)*6</f>
        <v>35240.561228084815</v>
      </c>
      <c r="AC41" s="7">
        <f>求节点(节奏总纲!H$4:H$163,V$5:V$164,$X41)*6</f>
        <v>39063.140502748953</v>
      </c>
      <c r="AG41" s="7">
        <v>37</v>
      </c>
      <c r="AH41" s="7">
        <v>1</v>
      </c>
      <c r="AI41" s="7">
        <f>[6]实力验证!$Z43</f>
        <v>1.3313954236446197</v>
      </c>
      <c r="AJ41" s="7">
        <f>[6]实力验证!$AE43</f>
        <v>2.2324162755419987</v>
      </c>
      <c r="AK41" s="7">
        <f>[6]实力验证!$AJ43</f>
        <v>5.5270090978648145</v>
      </c>
      <c r="AL41" s="7">
        <f>[6]实力验证!$AO43</f>
        <v>18.815485736261177</v>
      </c>
      <c r="AM41" s="7">
        <f t="shared" si="0"/>
        <v>64.335699291330641</v>
      </c>
      <c r="AR41" s="14">
        <v>37</v>
      </c>
      <c r="AS41" s="14">
        <f>[6]攻城值!AC41</f>
        <v>119.86620085288679</v>
      </c>
      <c r="AT41" s="14">
        <f>[6]攻城值!AD41</f>
        <v>121.18191445730005</v>
      </c>
      <c r="AU41" s="14">
        <f>[6]攻城值!AE41</f>
        <v>123.89919784013847</v>
      </c>
      <c r="AV41" s="14">
        <f>[6]攻城值!AF41</f>
        <v>131.56775278823423</v>
      </c>
      <c r="AW41" s="14">
        <f>[6]攻城值!AG41</f>
        <v>130.7821385982916</v>
      </c>
      <c r="AY41" s="14">
        <v>37</v>
      </c>
      <c r="AZ41" s="14">
        <f>[6]攻城值!AJ41</f>
        <v>790.1216691327146</v>
      </c>
      <c r="BA41" s="14">
        <f>[6]攻城值!AK41</f>
        <v>806.80326347777225</v>
      </c>
      <c r="BB41" s="14">
        <f>[6]攻城值!AL41</f>
        <v>834.10054822704012</v>
      </c>
      <c r="BC41" s="14">
        <f>[6]攻城值!AM41</f>
        <v>896.67575798125836</v>
      </c>
      <c r="BD41" s="14">
        <f>[6]攻城值!AN41</f>
        <v>903.49118389508055</v>
      </c>
      <c r="BF41" s="14">
        <v>37</v>
      </c>
      <c r="BG41" s="14">
        <f>[6]攻城值!AQ41</f>
        <v>0.1317228556626622</v>
      </c>
      <c r="BH41" s="14">
        <f>[6]攻城值!AR41</f>
        <v>0.86827714433733783</v>
      </c>
      <c r="BL41" s="14">
        <v>37</v>
      </c>
      <c r="BM41" s="15">
        <f t="shared" si="2"/>
        <v>1</v>
      </c>
      <c r="BN41" s="15">
        <f t="shared" si="2"/>
        <v>1</v>
      </c>
      <c r="BO41" s="15">
        <f t="shared" si="2"/>
        <v>1</v>
      </c>
      <c r="BP41" s="15">
        <f t="shared" si="2"/>
        <v>1</v>
      </c>
      <c r="BQ41" s="15">
        <f t="shared" si="2"/>
        <v>1</v>
      </c>
      <c r="BR41" s="15">
        <f>'[1]功能-战损相关'!M47</f>
        <v>0.125</v>
      </c>
      <c r="BS41" s="15">
        <f>'[1]功能-战损相关'!N47</f>
        <v>0.125</v>
      </c>
      <c r="BT41" s="15">
        <f>'[1]功能-战损相关'!O47</f>
        <v>0.125</v>
      </c>
      <c r="BU41" s="15">
        <f>'[1]功能-战损相关'!P47</f>
        <v>0.125</v>
      </c>
      <c r="BV41" s="15">
        <f>'[1]功能-战损相关'!Q47</f>
        <v>0.125</v>
      </c>
      <c r="CJ41" s="2">
        <f>[4]兵营招募!S75</f>
        <v>38</v>
      </c>
      <c r="CK41" s="2">
        <f>[4]兵营招募!U75</f>
        <v>4100</v>
      </c>
    </row>
    <row r="42" spans="2:89" x14ac:dyDescent="0.15">
      <c r="B42" s="7">
        <v>38</v>
      </c>
      <c r="C42" s="7">
        <f>[1]服务器生态!W59</f>
        <v>384.37776868965534</v>
      </c>
      <c r="D42" s="7">
        <f>[1]服务器生态!X59</f>
        <v>310.49144395409644</v>
      </c>
      <c r="E42" s="7">
        <f>[1]服务器生态!Y59</f>
        <v>27.274882252800001</v>
      </c>
      <c r="F42" s="7">
        <f>[1]服务器生态!Z59</f>
        <v>4.3385092413793123</v>
      </c>
      <c r="G42" s="7">
        <f>[1]服务器生态!AA59</f>
        <v>1.1036027586206896</v>
      </c>
      <c r="H42" s="7">
        <f>[1]服务器生态!AC59</f>
        <v>0.52829172000000024</v>
      </c>
      <c r="I42" s="7">
        <f>[1]服务器生态!AD59</f>
        <v>0.4267417950079998</v>
      </c>
      <c r="J42" s="7">
        <f>[1]服务器生态!AE59</f>
        <v>3.7486804992000002E-2</v>
      </c>
      <c r="K42" s="7">
        <f>[1]服务器生态!AF59</f>
        <v>5.962880000000002E-3</v>
      </c>
      <c r="L42" s="7">
        <f>[1]服务器生态!AG59</f>
        <v>1.5167999999999998E-3</v>
      </c>
      <c r="M42" s="7">
        <f>[5]基础信息!M41</f>
        <v>89.816993464052288</v>
      </c>
      <c r="Q42" s="7">
        <v>38</v>
      </c>
      <c r="R42" s="7">
        <f>[6]带兵数!D41</f>
        <v>4173.3890826430224</v>
      </c>
      <c r="S42" s="7">
        <f>[6]带兵数!E41</f>
        <v>4225.8552007948474</v>
      </c>
      <c r="T42" s="7">
        <f>[6]带兵数!F41</f>
        <v>4282.8232260907926</v>
      </c>
      <c r="U42" s="7">
        <f>[6]带兵数!G41</f>
        <v>4347.2253230365786</v>
      </c>
      <c r="V42" s="7">
        <f>[6]带兵数!H41</f>
        <v>4415.5588848776533</v>
      </c>
      <c r="X42" s="7">
        <v>38</v>
      </c>
      <c r="Y42" s="7">
        <f>求节点(节奏总纲!D$4:D$163,R$5:R$164,$X42)*6</f>
        <v>30757.030070536879</v>
      </c>
      <c r="Z42" s="7">
        <f>求节点(节奏总纲!E$4:E$163,S$5:S$164,$X42)*6</f>
        <v>31818.184631502772</v>
      </c>
      <c r="AA42" s="7">
        <f>求节点(节奏总纲!F$4:F$163,T$5:T$164,$X42)*6</f>
        <v>33242.445496207554</v>
      </c>
      <c r="AB42" s="7">
        <f>求节点(节奏总纲!G$4:G$163,U$5:U$164,$X42)*6</f>
        <v>35394.045644285477</v>
      </c>
      <c r="AC42" s="7">
        <f>求节点(节奏总纲!H$4:H$163,V$5:V$164,$X42)*6</f>
        <v>39212.963014404238</v>
      </c>
      <c r="AG42" s="7">
        <v>38</v>
      </c>
      <c r="AH42" s="7">
        <v>1</v>
      </c>
      <c r="AI42" s="7">
        <f>[6]实力验证!$Z44</f>
        <v>1.3346413264678976</v>
      </c>
      <c r="AJ42" s="7">
        <f>[6]实力验证!$AE44</f>
        <v>2.2041087144182256</v>
      </c>
      <c r="AK42" s="7">
        <f>[6]实力验证!$AJ44</f>
        <v>5.6032312070223425</v>
      </c>
      <c r="AL42" s="7">
        <f>[6]实力验证!$AO44</f>
        <v>18.946521160423359</v>
      </c>
      <c r="AM42" s="7">
        <f t="shared" si="0"/>
        <v>64.705116918571775</v>
      </c>
      <c r="AR42" s="14">
        <v>38</v>
      </c>
      <c r="AS42" s="14">
        <f>[6]攻城值!AC42</f>
        <v>123.36767604949642</v>
      </c>
      <c r="AT42" s="14">
        <f>[6]攻城值!AD42</f>
        <v>125.08726961296153</v>
      </c>
      <c r="AU42" s="14">
        <f>[6]攻城值!AE42</f>
        <v>128.01709614138585</v>
      </c>
      <c r="AV42" s="14">
        <f>[6]攻城值!AF42</f>
        <v>135.94582967641145</v>
      </c>
      <c r="AW42" s="14">
        <f>[6]攻城值!AG42</f>
        <v>135.07736299222333</v>
      </c>
      <c r="AY42" s="14">
        <v>38</v>
      </c>
      <c r="AZ42" s="14">
        <f>[6]攻城值!AJ42</f>
        <v>802.97901507676397</v>
      </c>
      <c r="BA42" s="14">
        <f>[6]攻城值!AK42</f>
        <v>822.37249233796365</v>
      </c>
      <c r="BB42" s="14">
        <f>[6]攻城值!AL42</f>
        <v>851.07492494522683</v>
      </c>
      <c r="BC42" s="14">
        <f>[6]攻城值!AM42</f>
        <v>915.00339758272662</v>
      </c>
      <c r="BD42" s="14">
        <f>[6]攻城值!AN42</f>
        <v>921.67173826495946</v>
      </c>
      <c r="BF42" s="14">
        <v>38</v>
      </c>
      <c r="BG42" s="14">
        <f>[6]攻城值!AQ42</f>
        <v>0.13317657118147089</v>
      </c>
      <c r="BH42" s="14">
        <f>[6]攻城值!AR42</f>
        <v>0.86682342881852914</v>
      </c>
      <c r="BL42" s="14">
        <v>38</v>
      </c>
      <c r="BM42" s="15">
        <f t="shared" si="2"/>
        <v>1</v>
      </c>
      <c r="BN42" s="15">
        <f t="shared" si="2"/>
        <v>1</v>
      </c>
      <c r="BO42" s="15">
        <f t="shared" si="2"/>
        <v>1</v>
      </c>
      <c r="BP42" s="15">
        <f t="shared" si="2"/>
        <v>1</v>
      </c>
      <c r="BQ42" s="15">
        <f t="shared" si="2"/>
        <v>1</v>
      </c>
      <c r="BR42" s="15">
        <f>'[1]功能-战损相关'!M48</f>
        <v>0.125</v>
      </c>
      <c r="BS42" s="15">
        <f>'[1]功能-战损相关'!N48</f>
        <v>0.125</v>
      </c>
      <c r="BT42" s="15">
        <f>'[1]功能-战损相关'!O48</f>
        <v>0.125</v>
      </c>
      <c r="BU42" s="15">
        <f>'[1]功能-战损相关'!P48</f>
        <v>0.125</v>
      </c>
      <c r="BV42" s="15">
        <f>'[1]功能-战损相关'!Q48</f>
        <v>0.125</v>
      </c>
      <c r="CJ42" s="2">
        <f>[4]兵营招募!S76</f>
        <v>39</v>
      </c>
      <c r="CK42" s="2">
        <f>[4]兵营招募!U76</f>
        <v>4700</v>
      </c>
    </row>
    <row r="43" spans="2:89" x14ac:dyDescent="0.15">
      <c r="B43" s="7">
        <v>39</v>
      </c>
      <c r="C43" s="7">
        <f>[1]服务器生态!W60</f>
        <v>378.14905557366779</v>
      </c>
      <c r="D43" s="7">
        <f>[1]服务器生态!X60</f>
        <v>306.80189907416661</v>
      </c>
      <c r="E43" s="7">
        <f>[1]服务器生态!Y60</f>
        <v>26.904917352165516</v>
      </c>
      <c r="F43" s="7">
        <f>[1]服务器生态!Z60</f>
        <v>4.2907100689655175</v>
      </c>
      <c r="G43" s="7">
        <f>[1]服务器生态!AA60</f>
        <v>1.0947972413793101</v>
      </c>
      <c r="H43" s="7">
        <f>[1]服务器生态!AC60</f>
        <v>0.52722704863636383</v>
      </c>
      <c r="I43" s="7">
        <f>[1]服务器生态!AD60</f>
        <v>0.42775264774763616</v>
      </c>
      <c r="J43" s="7">
        <f>[1]服务器生态!AE60</f>
        <v>3.7511663616000002E-2</v>
      </c>
      <c r="K43" s="7">
        <f>[1]服务器生态!AF60</f>
        <v>5.9822400000000015E-3</v>
      </c>
      <c r="L43" s="7">
        <f>[1]服务器生态!AG60</f>
        <v>1.5263999999999998E-3</v>
      </c>
      <c r="M43" s="7">
        <f>[5]基础信息!M42</f>
        <v>90.128654970760238</v>
      </c>
      <c r="Q43" s="7">
        <v>39</v>
      </c>
      <c r="R43" s="7">
        <f>[6]带兵数!D42</f>
        <v>4237.6063828071456</v>
      </c>
      <c r="S43" s="7">
        <f>[6]带兵数!E42</f>
        <v>4289.7083305655342</v>
      </c>
      <c r="T43" s="7">
        <f>[6]带兵数!F42</f>
        <v>4346.6006813599324</v>
      </c>
      <c r="U43" s="7">
        <f>[6]带兵数!G42</f>
        <v>4409.6883495694838</v>
      </c>
      <c r="V43" s="7">
        <f>[6]带兵数!H42</f>
        <v>4481.6418470149474</v>
      </c>
      <c r="X43" s="7">
        <v>39</v>
      </c>
      <c r="Y43" s="7">
        <f>求节点(节奏总纲!D$4:D$163,R$5:R$164,$X43)*6</f>
        <v>30896.642601360421</v>
      </c>
      <c r="Z43" s="7">
        <f>求节点(节奏总纲!E$4:E$163,S$5:S$164,$X43)*6</f>
        <v>31959.785299967953</v>
      </c>
      <c r="AA43" s="7">
        <f>求节点(节奏总纲!F$4:F$163,T$5:T$164,$X43)*6</f>
        <v>33391.520655145898</v>
      </c>
      <c r="AB43" s="7">
        <f>求节点(节奏总纲!G$4:G$163,U$5:U$164,$X43)*6</f>
        <v>35540.48071432185</v>
      </c>
      <c r="AC43" s="7">
        <f>求节点(节奏总纲!H$4:H$163,V$5:V$164,$X43)*6</f>
        <v>39362.785526059517</v>
      </c>
      <c r="AG43" s="7">
        <v>39</v>
      </c>
      <c r="AH43" s="7">
        <v>1</v>
      </c>
      <c r="AI43" s="7">
        <f>[6]实力验证!$Z45</f>
        <v>1.3370233481827924</v>
      </c>
      <c r="AJ43" s="7">
        <f>[6]实力验证!$AE45</f>
        <v>2.1760425102156296</v>
      </c>
      <c r="AK43" s="7">
        <f>[6]实力验证!$AJ45</f>
        <v>5.6805847180465641</v>
      </c>
      <c r="AL43" s="7">
        <f>[6]实力验证!$AO45</f>
        <v>19.053979903944789</v>
      </c>
      <c r="AM43" s="7">
        <f t="shared" si="0"/>
        <v>65.041917310422477</v>
      </c>
      <c r="AR43" s="14">
        <v>39</v>
      </c>
      <c r="AS43" s="14">
        <f>[6]攻城值!AC43</f>
        <v>126.9332915678348</v>
      </c>
      <c r="AT43" s="14">
        <f>[6]攻城值!AD43</f>
        <v>128.71555298396879</v>
      </c>
      <c r="AU43" s="14">
        <f>[6]攻城值!AE43</f>
        <v>132.24951128504898</v>
      </c>
      <c r="AV43" s="14">
        <f>[6]攻城值!AF43</f>
        <v>140.41628491523889</v>
      </c>
      <c r="AW43" s="14">
        <f>[6]攻城值!AG43</f>
        <v>139.47439796763092</v>
      </c>
      <c r="AY43" s="14">
        <v>39</v>
      </c>
      <c r="AZ43" s="14">
        <f>[6]攻城值!AJ43</f>
        <v>816.11580713643275</v>
      </c>
      <c r="BA43" s="14">
        <f>[6]攻城值!AK43</f>
        <v>835.94864908269915</v>
      </c>
      <c r="BB43" s="14">
        <f>[6]攻城值!AL43</f>
        <v>868.58204271891316</v>
      </c>
      <c r="BC43" s="14">
        <f>[6]攻城值!AM43</f>
        <v>933.70951909924122</v>
      </c>
      <c r="BD43" s="14">
        <f>[6]攻城值!AN43</f>
        <v>940.31239365136366</v>
      </c>
      <c r="BF43" s="14">
        <v>39</v>
      </c>
      <c r="BG43" s="14">
        <f>[6]攻城值!AQ43</f>
        <v>0.13459881541930199</v>
      </c>
      <c r="BH43" s="14">
        <f>[6]攻城值!AR43</f>
        <v>0.86540118458069804</v>
      </c>
      <c r="BL43" s="14">
        <v>39</v>
      </c>
      <c r="BM43" s="15">
        <f t="shared" si="2"/>
        <v>1</v>
      </c>
      <c r="BN43" s="15">
        <f t="shared" si="2"/>
        <v>1</v>
      </c>
      <c r="BO43" s="15">
        <f t="shared" si="2"/>
        <v>1</v>
      </c>
      <c r="BP43" s="15">
        <f t="shared" si="2"/>
        <v>1</v>
      </c>
      <c r="BQ43" s="15">
        <f t="shared" si="2"/>
        <v>1</v>
      </c>
      <c r="BR43" s="15">
        <f>'[1]功能-战损相关'!M49</f>
        <v>0.125</v>
      </c>
      <c r="BS43" s="15">
        <f>'[1]功能-战损相关'!N49</f>
        <v>0.125</v>
      </c>
      <c r="BT43" s="15">
        <f>'[1]功能-战损相关'!O49</f>
        <v>0.125</v>
      </c>
      <c r="BU43" s="15">
        <f>'[1]功能-战损相关'!P49</f>
        <v>0.125</v>
      </c>
      <c r="BV43" s="15">
        <f>'[1]功能-战损相关'!Q49</f>
        <v>0.125</v>
      </c>
      <c r="CJ43" s="2">
        <f>[4]兵营招募!S77</f>
        <v>40</v>
      </c>
      <c r="CK43" s="2">
        <f>[4]兵营招募!U77</f>
        <v>5900</v>
      </c>
    </row>
    <row r="44" spans="2:89" x14ac:dyDescent="0.15">
      <c r="B44" s="7">
        <v>40</v>
      </c>
      <c r="C44" s="7">
        <f>[1]服务器生态!W61</f>
        <v>371.94237014106602</v>
      </c>
      <c r="D44" s="7">
        <f>[1]服务器生态!X61</f>
        <v>303.09143999962367</v>
      </c>
      <c r="E44" s="7">
        <f>[1]服务器生态!Y61</f>
        <v>26.534438135172415</v>
      </c>
      <c r="F44" s="7">
        <f>[1]服务器生态!Z61</f>
        <v>4.2425103448275872</v>
      </c>
      <c r="G44" s="7">
        <f>[1]服务器生态!AA61</f>
        <v>1.0857931034482757</v>
      </c>
      <c r="H44" s="7">
        <f>[1]服务器生态!AC61</f>
        <v>0.52616237727272752</v>
      </c>
      <c r="I44" s="7">
        <f>[1]服务器生态!AD61</f>
        <v>0.42876350048727252</v>
      </c>
      <c r="J44" s="7">
        <f>[1]服务器生态!AE61</f>
        <v>3.7536522240000002E-2</v>
      </c>
      <c r="K44" s="7">
        <f>[1]服务器生态!AF61</f>
        <v>6.0016000000000019E-3</v>
      </c>
      <c r="L44" s="7">
        <f>[1]服务器生态!AG61</f>
        <v>1.5359999999999998E-3</v>
      </c>
      <c r="M44" s="7">
        <f>[5]基础信息!M43</f>
        <v>90.421052631578945</v>
      </c>
      <c r="Q44" s="7">
        <v>40</v>
      </c>
      <c r="R44" s="7">
        <f>[6]带兵数!D43</f>
        <v>4302.7796402772656</v>
      </c>
      <c r="S44" s="7">
        <f>[6]带兵数!E43</f>
        <v>4352.671021168183</v>
      </c>
      <c r="T44" s="7">
        <f>[6]带兵数!F43</f>
        <v>4411.073205722515</v>
      </c>
      <c r="U44" s="7">
        <f>[6]带兵数!G43</f>
        <v>4476.3833570485103</v>
      </c>
      <c r="V44" s="7">
        <f>[6]带兵数!H43</f>
        <v>4546.8390277483559</v>
      </c>
      <c r="X44" s="7">
        <v>40</v>
      </c>
      <c r="Y44" s="7">
        <f>求节点(节奏总纲!D$4:D$163,R$5:R$164,$X44)*6</f>
        <v>31030.860804749223</v>
      </c>
      <c r="Z44" s="7">
        <f>求节点(节奏总纲!E$4:E$163,S$5:S$164,$X44)*6</f>
        <v>32096.960851558812</v>
      </c>
      <c r="AA44" s="7">
        <f>求节点(节奏总纲!F$4:F$163,T$5:T$164,$X44)*6</f>
        <v>33531.745690294949</v>
      </c>
      <c r="AB44" s="7">
        <f>求节点(节奏总纲!G$4:G$163,U$5:U$164,$X44)*6</f>
        <v>35686.915784358229</v>
      </c>
      <c r="AC44" s="7">
        <f>求节点(节奏总纲!H$4:H$163,V$5:V$164,$X44)*6</f>
        <v>39510.095067087808</v>
      </c>
      <c r="AG44" s="7">
        <v>40</v>
      </c>
      <c r="AH44" s="7">
        <v>1</v>
      </c>
      <c r="AI44" s="7">
        <f>[6]实力验证!$Z46</f>
        <v>1.3390121240735227</v>
      </c>
      <c r="AJ44" s="7">
        <f>[6]实力验证!$AE46</f>
        <v>2.1481548846045353</v>
      </c>
      <c r="AK44" s="7">
        <f>[6]实力验证!$AJ46</f>
        <v>5.7498714607108266</v>
      </c>
      <c r="AL44" s="7">
        <f>[6]实力验证!$AO46</f>
        <v>19.205340538788022</v>
      </c>
      <c r="AM44" s="7">
        <f t="shared" si="0"/>
        <v>65.361900313495298</v>
      </c>
      <c r="AR44" s="14">
        <v>40</v>
      </c>
      <c r="AS44" s="14">
        <f>[6]攻城值!AC44</f>
        <v>130.5659894801386</v>
      </c>
      <c r="AT44" s="14">
        <f>[6]攻城值!AD44</f>
        <v>132.47629780412959</v>
      </c>
      <c r="AU44" s="14">
        <f>[6]攻城值!AE44</f>
        <v>136.72145135297251</v>
      </c>
      <c r="AV44" s="14">
        <f>[6]攻城值!AF44</f>
        <v>144.79640101612765</v>
      </c>
      <c r="AW44" s="14">
        <f>[6]攻城值!AG44</f>
        <v>143.98196562824481</v>
      </c>
      <c r="AY44" s="14">
        <v>40</v>
      </c>
      <c r="AZ44" s="14">
        <f>[6]攻城值!AJ44</f>
        <v>829.54441556462029</v>
      </c>
      <c r="BA44" s="14">
        <f>[6]攻城值!AK44</f>
        <v>850.23583313299901</v>
      </c>
      <c r="BB44" s="14">
        <f>[6]攻城值!AL44</f>
        <v>887.42054015897008</v>
      </c>
      <c r="BC44" s="14">
        <f>[6]攻城值!AM44</f>
        <v>951.58652982736101</v>
      </c>
      <c r="BD44" s="14">
        <f>[6]攻城值!AN44</f>
        <v>959.46157132957285</v>
      </c>
      <c r="BF44" s="14">
        <v>40</v>
      </c>
      <c r="BG44" s="14">
        <f>[6]攻城值!AQ44</f>
        <v>0.13599059940825431</v>
      </c>
      <c r="BH44" s="14">
        <f>[6]攻城值!AR44</f>
        <v>0.86400940059174569</v>
      </c>
      <c r="BL44" s="14">
        <v>40</v>
      </c>
      <c r="BM44" s="15">
        <f t="shared" si="2"/>
        <v>1</v>
      </c>
      <c r="BN44" s="15">
        <f t="shared" si="2"/>
        <v>1</v>
      </c>
      <c r="BO44" s="15">
        <f t="shared" si="2"/>
        <v>1</v>
      </c>
      <c r="BP44" s="15">
        <f t="shared" si="2"/>
        <v>1</v>
      </c>
      <c r="BQ44" s="15">
        <f t="shared" si="2"/>
        <v>1</v>
      </c>
      <c r="BR44" s="15">
        <f>'[1]功能-战损相关'!M50</f>
        <v>0.125</v>
      </c>
      <c r="BS44" s="15">
        <f>'[1]功能-战损相关'!N50</f>
        <v>0.125</v>
      </c>
      <c r="BT44" s="15">
        <f>'[1]功能-战损相关'!O50</f>
        <v>0.125</v>
      </c>
      <c r="BU44" s="15">
        <f>'[1]功能-战损相关'!P50</f>
        <v>0.125</v>
      </c>
      <c r="BV44" s="15">
        <f>'[1]功能-战损相关'!Q50</f>
        <v>0.125</v>
      </c>
      <c r="CJ44" s="2">
        <f>[4]兵营招募!S78</f>
        <v>41</v>
      </c>
      <c r="CK44" s="2">
        <f>[4]兵营招募!U78</f>
        <v>6300</v>
      </c>
    </row>
    <row r="45" spans="2:89" x14ac:dyDescent="0.15">
      <c r="B45" s="7">
        <v>41</v>
      </c>
      <c r="C45" s="7">
        <f>[1]服务器生态!W62</f>
        <v>365.75771239184962</v>
      </c>
      <c r="D45" s="7">
        <f>[1]服务器生态!X62</f>
        <v>299.36006673046751</v>
      </c>
      <c r="E45" s="7">
        <f>[1]服务器生态!Y62</f>
        <v>26.163444601820686</v>
      </c>
      <c r="F45" s="7">
        <f>[1]服务器生态!Z62</f>
        <v>4.1939100689655175</v>
      </c>
      <c r="G45" s="7">
        <f>[1]服务器生态!AA62</f>
        <v>1.076590344827586</v>
      </c>
      <c r="H45" s="7">
        <f>[1]服务器生态!AC62</f>
        <v>0.52509770590909111</v>
      </c>
      <c r="I45" s="7">
        <f>[1]服务器生态!AD62</f>
        <v>0.42977435322690888</v>
      </c>
      <c r="J45" s="7">
        <f>[1]服务器生态!AE62</f>
        <v>3.7561380864000002E-2</v>
      </c>
      <c r="K45" s="7">
        <f>[1]服务器生态!AF62</f>
        <v>6.0209600000000014E-3</v>
      </c>
      <c r="L45" s="7">
        <f>[1]服务器生态!AG62</f>
        <v>1.5455999999999998E-3</v>
      </c>
      <c r="M45" s="7">
        <f>[5]基础信息!M44</f>
        <v>90.713450292397667</v>
      </c>
      <c r="Q45" s="7">
        <v>41</v>
      </c>
      <c r="R45" s="7">
        <f>[6]带兵数!D44</f>
        <v>4366.0612527540407</v>
      </c>
      <c r="S45" s="7">
        <f>[6]带兵数!E44</f>
        <v>4418.5909727083454</v>
      </c>
      <c r="T45" s="7">
        <f>[6]带兵数!F44</f>
        <v>4476.0585260415355</v>
      </c>
      <c r="U45" s="7">
        <f>[6]带兵数!G44</f>
        <v>4541.4646355865862</v>
      </c>
      <c r="V45" s="7">
        <f>[6]带兵数!H44</f>
        <v>4615.3470241147879</v>
      </c>
      <c r="X45" s="7">
        <v>41</v>
      </c>
      <c r="Y45" s="7">
        <f>求节点(节奏总纲!D$4:D$163,R$5:R$164,$X45)*6</f>
        <v>31165.079008138018</v>
      </c>
      <c r="Z45" s="7">
        <f>求节点(节奏总纲!E$4:E$163,S$5:S$164,$X45)*6</f>
        <v>32234.136403149671</v>
      </c>
      <c r="AA45" s="7">
        <f>求节点(节奏总纲!F$4:F$163,T$5:T$164,$X45)*6</f>
        <v>33671.970725443993</v>
      </c>
      <c r="AB45" s="7">
        <f>求节点(节奏总纲!G$4:G$163,U$5:U$164,$X45)*6</f>
        <v>35829.158509062174</v>
      </c>
      <c r="AC45" s="7">
        <f>求节点(节奏总纲!H$4:H$163,V$5:V$164,$X45)*6</f>
        <v>39657.040594784179</v>
      </c>
      <c r="AG45" s="7">
        <v>41</v>
      </c>
      <c r="AH45" s="7">
        <v>1</v>
      </c>
      <c r="AI45" s="7">
        <f>[6]实力验证!$Z47</f>
        <v>1.3408675527770535</v>
      </c>
      <c r="AJ45" s="7">
        <f>[6]实力验证!$AE47</f>
        <v>2.1221371209775048</v>
      </c>
      <c r="AK45" s="7">
        <f>[6]实力验证!$AJ47</f>
        <v>5.8187942135082098</v>
      </c>
      <c r="AL45" s="7">
        <f>[6]实力验证!$AO47</f>
        <v>19.355020584601586</v>
      </c>
      <c r="AM45" s="7">
        <f t="shared" si="0"/>
        <v>65.691074619593749</v>
      </c>
      <c r="AR45" s="14">
        <v>41</v>
      </c>
      <c r="AS45" s="14">
        <f>[6]攻城值!AC45</f>
        <v>134.45769015937131</v>
      </c>
      <c r="AT45" s="14">
        <f>[6]攻城值!AD45</f>
        <v>136.4553932805301</v>
      </c>
      <c r="AU45" s="14">
        <f>[6]攻城值!AE45</f>
        <v>141.22069737818885</v>
      </c>
      <c r="AV45" s="14">
        <f>[6]攻城值!AF45</f>
        <v>149.235527045135</v>
      </c>
      <c r="AW45" s="14">
        <f>[6]攻城值!AG45</f>
        <v>148.53924381778117</v>
      </c>
      <c r="AY45" s="14">
        <v>41</v>
      </c>
      <c r="AZ45" s="14">
        <f>[6]攻城值!AJ45</f>
        <v>844.46374975216293</v>
      </c>
      <c r="BA45" s="14">
        <f>[6]攻城值!AK45</f>
        <v>865.75832960513014</v>
      </c>
      <c r="BB45" s="14">
        <f>[6]攻城值!AL45</f>
        <v>906.18922141502605</v>
      </c>
      <c r="BC45" s="14">
        <f>[6]攻城值!AM45</f>
        <v>969.63941523719427</v>
      </c>
      <c r="BD45" s="14">
        <f>[6]攻城值!AN45</f>
        <v>978.70765307630677</v>
      </c>
      <c r="BF45" s="14">
        <v>41</v>
      </c>
      <c r="BG45" s="14">
        <f>[6]攻城值!AQ45</f>
        <v>0.13735289133265111</v>
      </c>
      <c r="BH45" s="14">
        <f>[6]攻城值!AR45</f>
        <v>0.86264710866734895</v>
      </c>
      <c r="BL45" s="14">
        <v>41</v>
      </c>
      <c r="BM45" s="15">
        <f t="shared" si="2"/>
        <v>1</v>
      </c>
      <c r="BN45" s="15">
        <f t="shared" si="2"/>
        <v>1</v>
      </c>
      <c r="BO45" s="15">
        <f t="shared" si="2"/>
        <v>1</v>
      </c>
      <c r="BP45" s="15">
        <f t="shared" si="2"/>
        <v>1</v>
      </c>
      <c r="BQ45" s="15">
        <f t="shared" si="2"/>
        <v>1</v>
      </c>
      <c r="BR45" s="15">
        <f>'[1]功能-战损相关'!M51</f>
        <v>0.125</v>
      </c>
      <c r="BS45" s="15">
        <f>'[1]功能-战损相关'!N51</f>
        <v>0.125</v>
      </c>
      <c r="BT45" s="15">
        <f>'[1]功能-战损相关'!O51</f>
        <v>0.125</v>
      </c>
      <c r="BU45" s="15">
        <f>'[1]功能-战损相关'!P51</f>
        <v>0.125</v>
      </c>
      <c r="BV45" s="15">
        <f>'[1]功能-战损相关'!Q51</f>
        <v>0.125</v>
      </c>
      <c r="CJ45" s="2">
        <f>[4]兵营招募!S79</f>
        <v>42</v>
      </c>
      <c r="CK45" s="2">
        <f>[4]兵营招募!U79</f>
        <v>6800</v>
      </c>
    </row>
    <row r="46" spans="2:89" x14ac:dyDescent="0.15">
      <c r="B46" s="7">
        <v>42</v>
      </c>
      <c r="C46" s="7">
        <f>[1]服务器生态!W63</f>
        <v>359.595082326019</v>
      </c>
      <c r="D46" s="7">
        <f>[1]服务器生态!X63</f>
        <v>295.60777926669829</v>
      </c>
      <c r="E46" s="7">
        <f>[1]服务器生态!Y63</f>
        <v>25.791936752110349</v>
      </c>
      <c r="F46" s="7">
        <f>[1]服务器生态!Z63</f>
        <v>4.1449092413793123</v>
      </c>
      <c r="G46" s="7">
        <f>[1]服务器生态!AA63</f>
        <v>1.0671889655172413</v>
      </c>
      <c r="H46" s="7">
        <f>[1]服务器生态!AC63</f>
        <v>0.5240330345454548</v>
      </c>
      <c r="I46" s="7">
        <f>[1]服务器生态!AD63</f>
        <v>0.43078520596654524</v>
      </c>
      <c r="J46" s="7">
        <f>[1]服务器生态!AE63</f>
        <v>3.7586239488000002E-2</v>
      </c>
      <c r="K46" s="7">
        <f>[1]服务器生态!AF63</f>
        <v>6.0403200000000018E-3</v>
      </c>
      <c r="L46" s="7">
        <f>[1]服务器生态!AG63</f>
        <v>1.5551999999999999E-3</v>
      </c>
      <c r="M46" s="7">
        <f>[5]基础信息!M45</f>
        <v>91.005847953216374</v>
      </c>
      <c r="Q46" s="7">
        <v>42</v>
      </c>
      <c r="R46" s="7">
        <f>[6]带兵数!D45</f>
        <v>4432.088233338909</v>
      </c>
      <c r="S46" s="7">
        <f>[6]带兵数!E45</f>
        <v>4483.4650375663032</v>
      </c>
      <c r="T46" s="7">
        <f>[6]带兵数!F45</f>
        <v>4543.3393592464981</v>
      </c>
      <c r="U46" s="7">
        <f>[6]带兵数!G45</f>
        <v>4608.9161632421728</v>
      </c>
      <c r="V46" s="7">
        <f>[6]带兵数!H45</f>
        <v>4680.7063914299051</v>
      </c>
      <c r="X46" s="7">
        <v>42</v>
      </c>
      <c r="Y46" s="7">
        <f>求节点(节奏总纲!D$4:D$163,R$5:R$164,$X46)*6</f>
        <v>31293.724277434107</v>
      </c>
      <c r="Z46" s="7">
        <f>求节点(节奏总纲!E$4:E$163,S$5:S$164,$X46)*6</f>
        <v>32364.953661602034</v>
      </c>
      <c r="AA46" s="7">
        <f>求节点(节奏总纲!F$4:F$163,T$5:T$164,$X46)*6</f>
        <v>33810.945773228508</v>
      </c>
      <c r="AB46" s="7">
        <f>求节点(节奏总纲!G$4:G$163,U$5:U$164,$X46)*6</f>
        <v>35962.570375467738</v>
      </c>
      <c r="AC46" s="7">
        <f>求节点(节奏总纲!H$4:H$163,V$5:V$164,$X46)*6</f>
        <v>39802.253880597833</v>
      </c>
      <c r="AG46" s="7">
        <v>42</v>
      </c>
      <c r="AH46" s="7">
        <v>1</v>
      </c>
      <c r="AI46" s="7">
        <f>[6]实力验证!$Z48</f>
        <v>1.3402751426310968</v>
      </c>
      <c r="AJ46" s="7">
        <f>[6]实力验证!$AE48</f>
        <v>2.1110253304479927</v>
      </c>
      <c r="AK46" s="7">
        <f>[6]实力验证!$AJ48</f>
        <v>5.884685631982995</v>
      </c>
      <c r="AL46" s="7">
        <f>[6]实力验证!$AO48</f>
        <v>19.480698129253046</v>
      </c>
      <c r="AM46" s="7">
        <f t="shared" si="0"/>
        <v>66.04608061002925</v>
      </c>
      <c r="AR46" s="14">
        <v>42</v>
      </c>
      <c r="AS46" s="14">
        <f>[6]攻城值!AC46</f>
        <v>138.61590874949576</v>
      </c>
      <c r="AT46" s="14">
        <f>[6]攻城值!AD46</f>
        <v>140.53380321162331</v>
      </c>
      <c r="AU46" s="14">
        <f>[6]攻城值!AE46</f>
        <v>145.63106617546009</v>
      </c>
      <c r="AV46" s="14">
        <f>[6]攻城值!AF46</f>
        <v>154.02042571173683</v>
      </c>
      <c r="AW46" s="14">
        <f>[6]攻城值!AG46</f>
        <v>152.87361426504572</v>
      </c>
      <c r="AY46" s="14">
        <v>42</v>
      </c>
      <c r="AZ46" s="14">
        <f>[6]攻城值!AJ46</f>
        <v>860.87423654177348</v>
      </c>
      <c r="BA46" s="14">
        <f>[6]攻城值!AK46</f>
        <v>881.73213254123175</v>
      </c>
      <c r="BB46" s="14">
        <f>[6]攻城值!AL46</f>
        <v>924.15969131719589</v>
      </c>
      <c r="BC46" s="14">
        <f>[6]攻城值!AM46</f>
        <v>989.71065474630302</v>
      </c>
      <c r="BD46" s="14">
        <f>[6]攻城值!AN46</f>
        <v>997.37629427326635</v>
      </c>
      <c r="BF46" s="14">
        <v>42</v>
      </c>
      <c r="BG46" s="14">
        <f>[6]攻城值!AQ46</f>
        <v>0.1386866187751162</v>
      </c>
      <c r="BH46" s="14">
        <f>[6]攻城值!AR46</f>
        <v>0.86131338122488377</v>
      </c>
      <c r="BL46" s="14">
        <v>42</v>
      </c>
      <c r="BM46" s="15">
        <f t="shared" si="2"/>
        <v>1</v>
      </c>
      <c r="BN46" s="15">
        <f t="shared" si="2"/>
        <v>1</v>
      </c>
      <c r="BO46" s="15">
        <f t="shared" si="2"/>
        <v>1</v>
      </c>
      <c r="BP46" s="15">
        <f t="shared" si="2"/>
        <v>1</v>
      </c>
      <c r="BQ46" s="15">
        <f t="shared" si="2"/>
        <v>1</v>
      </c>
      <c r="BR46" s="15">
        <f>'[1]功能-战损相关'!M52</f>
        <v>0.125</v>
      </c>
      <c r="BS46" s="15">
        <f>'[1]功能-战损相关'!N52</f>
        <v>0.125</v>
      </c>
      <c r="BT46" s="15">
        <f>'[1]功能-战损相关'!O52</f>
        <v>0.125</v>
      </c>
      <c r="BU46" s="15">
        <f>'[1]功能-战损相关'!P52</f>
        <v>0.125</v>
      </c>
      <c r="BV46" s="15">
        <f>'[1]功能-战损相关'!Q52</f>
        <v>0.125</v>
      </c>
      <c r="CJ46" s="2">
        <f>[4]兵营招募!S80</f>
        <v>43</v>
      </c>
      <c r="CK46" s="2">
        <f>[4]兵营招募!U80</f>
        <v>7200</v>
      </c>
    </row>
    <row r="47" spans="2:89" x14ac:dyDescent="0.15">
      <c r="B47" s="7">
        <v>43</v>
      </c>
      <c r="C47" s="7">
        <f>[1]服务器生态!W64</f>
        <v>353.45447994357386</v>
      </c>
      <c r="D47" s="7">
        <f>[1]服务器生态!X64</f>
        <v>291.8345776083159</v>
      </c>
      <c r="E47" s="7">
        <f>[1]服务器生态!Y64</f>
        <v>25.419914586041383</v>
      </c>
      <c r="F47" s="7">
        <f>[1]服务器生态!Z64</f>
        <v>4.0955078620689669</v>
      </c>
      <c r="G47" s="7">
        <f>[1]服务器生态!AA64</f>
        <v>1.0575889655172415</v>
      </c>
      <c r="H47" s="7">
        <f>[1]服务器生态!AC64</f>
        <v>0.52296836318181839</v>
      </c>
      <c r="I47" s="7">
        <f>[1]服务器生态!AD64</f>
        <v>0.4317960587061816</v>
      </c>
      <c r="J47" s="7">
        <f>[1]服务器生态!AE64</f>
        <v>3.7611098112000002E-2</v>
      </c>
      <c r="K47" s="7">
        <f>[1]服务器生态!AF64</f>
        <v>6.0596800000000013E-3</v>
      </c>
      <c r="L47" s="7">
        <f>[1]服务器生态!AG64</f>
        <v>1.5647999999999999E-3</v>
      </c>
      <c r="M47" s="7">
        <f>[5]基础信息!M46</f>
        <v>91.298245614035082</v>
      </c>
      <c r="Q47" s="7">
        <v>43</v>
      </c>
      <c r="R47" s="7">
        <f>[6]带兵数!D46</f>
        <v>4494.4759493295178</v>
      </c>
      <c r="S47" s="7">
        <f>[6]带兵数!E46</f>
        <v>4549.9026312380975</v>
      </c>
      <c r="T47" s="7">
        <f>[6]带兵数!F46</f>
        <v>4607.2743465906497</v>
      </c>
      <c r="U47" s="7">
        <f>[6]带兵数!G46</f>
        <v>4672.8371965502056</v>
      </c>
      <c r="V47" s="7">
        <f>[6]带兵数!H46</f>
        <v>4746.4225263024609</v>
      </c>
      <c r="X47" s="7">
        <v>43</v>
      </c>
      <c r="Y47" s="7">
        <f>求节点(节奏总纲!D$4:D$163,R$5:R$164,$X47)*6</f>
        <v>31420.75852119115</v>
      </c>
      <c r="Z47" s="7">
        <f>求节点(节奏总纲!E$4:E$163,S$5:S$164,$X47)*6</f>
        <v>32493.355571764565</v>
      </c>
      <c r="AA47" s="7">
        <f>求节点(节奏总纲!F$4:F$163,T$5:T$164,$X47)*6</f>
        <v>33946.573254939183</v>
      </c>
      <c r="AB47" s="7">
        <f>求节点(节奏总纲!G$4:G$163,U$5:U$164,$X47)*6</f>
        <v>36095.982241873295</v>
      </c>
      <c r="AC47" s="7">
        <f>求节点(节奏总纲!H$4:H$163,V$5:V$164,$X47)*6</f>
        <v>39932.384883908169</v>
      </c>
      <c r="AG47" s="7">
        <v>43</v>
      </c>
      <c r="AH47" s="7">
        <v>1</v>
      </c>
      <c r="AI47" s="7">
        <f>[6]实力验证!$Z49</f>
        <v>1.3390129979487115</v>
      </c>
      <c r="AJ47" s="7">
        <f>[6]实力验证!$AE49</f>
        <v>2.1408650944646053</v>
      </c>
      <c r="AK47" s="7">
        <f>[6]实力验证!$AJ49</f>
        <v>5.9442329857991023</v>
      </c>
      <c r="AL47" s="7">
        <f>[6]实力验证!$AO49</f>
        <v>19.674084906068977</v>
      </c>
      <c r="AM47" s="7">
        <f t="shared" si="0"/>
        <v>66.652359630360777</v>
      </c>
      <c r="AR47" s="14">
        <v>43</v>
      </c>
      <c r="AS47" s="14">
        <f>[6]攻城值!AC47</f>
        <v>143.11393786213412</v>
      </c>
      <c r="AT47" s="14">
        <f>[6]攻城值!AD47</f>
        <v>144.68003225291747</v>
      </c>
      <c r="AU47" s="14">
        <f>[6]攻城值!AE47</f>
        <v>150.1218073382164</v>
      </c>
      <c r="AV47" s="14">
        <f>[6]攻城值!AF47</f>
        <v>158.91822165763463</v>
      </c>
      <c r="AW47" s="14">
        <f>[6]攻城值!AG47</f>
        <v>157.32260659349114</v>
      </c>
      <c r="AY47" s="14">
        <v>43</v>
      </c>
      <c r="AZ47" s="14">
        <f>[6]攻城值!AJ47</f>
        <v>879.18199392457495</v>
      </c>
      <c r="BA47" s="14">
        <f>[6]攻城值!AK47</f>
        <v>897.95170337823424</v>
      </c>
      <c r="BB47" s="14">
        <f>[6]攻城值!AL47</f>
        <v>942.42640385398181</v>
      </c>
      <c r="BC47" s="14">
        <f>[6]攻城值!AM47</f>
        <v>1010.2605105021612</v>
      </c>
      <c r="BD47" s="14">
        <f>[6]攻城值!AN47</f>
        <v>1019.4221727816387</v>
      </c>
      <c r="BF47" s="14">
        <v>43</v>
      </c>
      <c r="BG47" s="14">
        <f>[6]攻城值!AQ47</f>
        <v>0.13999267082282912</v>
      </c>
      <c r="BH47" s="14">
        <f>[6]攻城值!AR47</f>
        <v>0.86000732917717093</v>
      </c>
      <c r="BL47" s="14">
        <v>43</v>
      </c>
      <c r="BM47" s="15">
        <f t="shared" si="2"/>
        <v>1</v>
      </c>
      <c r="BN47" s="15">
        <f t="shared" si="2"/>
        <v>1</v>
      </c>
      <c r="BO47" s="15">
        <f t="shared" si="2"/>
        <v>1</v>
      </c>
      <c r="BP47" s="15">
        <f t="shared" si="2"/>
        <v>1</v>
      </c>
      <c r="BQ47" s="15">
        <f t="shared" si="2"/>
        <v>1</v>
      </c>
      <c r="BR47" s="15">
        <f>'[1]功能-战损相关'!M53</f>
        <v>0.125</v>
      </c>
      <c r="BS47" s="15">
        <f>'[1]功能-战损相关'!N53</f>
        <v>0.125</v>
      </c>
      <c r="BT47" s="15">
        <f>'[1]功能-战损相关'!O53</f>
        <v>0.125</v>
      </c>
      <c r="BU47" s="15">
        <f>'[1]功能-战损相关'!P53</f>
        <v>0.125</v>
      </c>
      <c r="BV47" s="15">
        <f>'[1]功能-战损相关'!Q53</f>
        <v>0.125</v>
      </c>
      <c r="CJ47" s="2">
        <f>[4]兵营招募!S81</f>
        <v>44</v>
      </c>
      <c r="CK47" s="2">
        <f>[4]兵营招募!U81</f>
        <v>8600</v>
      </c>
    </row>
    <row r="48" spans="2:89" x14ac:dyDescent="0.15">
      <c r="B48" s="7">
        <v>44</v>
      </c>
      <c r="C48" s="7">
        <f>[1]服务器生态!W65</f>
        <v>347.33590524451427</v>
      </c>
      <c r="D48" s="7">
        <f>[1]服务器生态!X65</f>
        <v>288.04046175532022</v>
      </c>
      <c r="E48" s="7">
        <f>[1]服务器生态!Y65</f>
        <v>25.047378103613795</v>
      </c>
      <c r="F48" s="7">
        <f>[1]服务器生态!Z65</f>
        <v>4.0457059310344841</v>
      </c>
      <c r="G48" s="7">
        <f>[1]服务器生态!AA65</f>
        <v>1.047790344827586</v>
      </c>
      <c r="H48" s="7">
        <f>[1]服务器生态!AC65</f>
        <v>0.52190369181818208</v>
      </c>
      <c r="I48" s="7">
        <f>[1]服务器生态!AD65</f>
        <v>0.43280691144581795</v>
      </c>
      <c r="J48" s="7">
        <f>[1]服务器生态!AE65</f>
        <v>3.7635956736000002E-2</v>
      </c>
      <c r="K48" s="7">
        <f>[1]服务器生态!AF65</f>
        <v>6.0790400000000017E-3</v>
      </c>
      <c r="L48" s="7">
        <f>[1]服务器生态!AG65</f>
        <v>1.5743999999999999E-3</v>
      </c>
      <c r="M48" s="7">
        <f>[5]基础信息!M47</f>
        <v>91.590643274853804</v>
      </c>
      <c r="Q48" s="7">
        <v>44</v>
      </c>
      <c r="R48" s="7">
        <f>[6]带兵数!D47</f>
        <v>4559.9059784657766</v>
      </c>
      <c r="S48" s="7">
        <f>[6]带兵数!E47</f>
        <v>4612.2429488480666</v>
      </c>
      <c r="T48" s="7">
        <f>[6]带兵数!F47</f>
        <v>4672.9679451959646</v>
      </c>
      <c r="U48" s="7">
        <f>[6]带兵数!G47</f>
        <v>4736.553928970714</v>
      </c>
      <c r="V48" s="7">
        <f>[6]带兵数!H47</f>
        <v>4808.3161594939065</v>
      </c>
      <c r="X48" s="7">
        <v>44</v>
      </c>
      <c r="Y48" s="7">
        <f>求节点(节奏总纲!D$4:D$163,R$5:R$164,$X48)*6</f>
        <v>31547.79276494819</v>
      </c>
      <c r="Z48" s="7">
        <f>求节点(节奏总纲!E$4:E$163,S$5:S$164,$X48)*6</f>
        <v>32621.757481927096</v>
      </c>
      <c r="AA48" s="7">
        <f>求节点(节奏总纲!F$4:F$163,T$5:T$164,$X48)*6</f>
        <v>34082.200736649858</v>
      </c>
      <c r="AB48" s="7">
        <f>求节点(节奏总纲!G$4:G$163,U$5:U$164,$X48)*6</f>
        <v>36227.919559605769</v>
      </c>
      <c r="AC48" s="7">
        <f>求节点(节奏总纲!H$4:H$163,V$5:V$164,$X48)*6</f>
        <v>40062.515887218506</v>
      </c>
      <c r="AG48" s="7">
        <v>44</v>
      </c>
      <c r="AH48" s="7">
        <v>1</v>
      </c>
      <c r="AI48" s="7">
        <f>[6]实力验证!$Z50</f>
        <v>1.3378311958020095</v>
      </c>
      <c r="AJ48" s="7">
        <f>[6]实力验证!$AE50</f>
        <v>2.1688053913767522</v>
      </c>
      <c r="AK48" s="7">
        <f>[6]实力验证!$AJ50</f>
        <v>6.002682586350792</v>
      </c>
      <c r="AL48" s="7">
        <f>[6]实力验证!$AO50</f>
        <v>19.85516153791205</v>
      </c>
      <c r="AM48" s="7">
        <f t="shared" si="0"/>
        <v>67.247722169741749</v>
      </c>
      <c r="AR48" s="14">
        <v>44</v>
      </c>
      <c r="AS48" s="14">
        <f>[6]攻城值!AC48</f>
        <v>147.76121272661311</v>
      </c>
      <c r="AT48" s="14">
        <f>[6]攻城值!AD48</f>
        <v>149.26022033896442</v>
      </c>
      <c r="AU48" s="14">
        <f>[6]攻城值!AE48</f>
        <v>154.57113743974045</v>
      </c>
      <c r="AV48" s="14">
        <f>[6]攻城值!AF48</f>
        <v>164.10177862666345</v>
      </c>
      <c r="AW48" s="14">
        <f>[6]攻城值!AG48</f>
        <v>161.95866389284802</v>
      </c>
      <c r="AY48" s="14">
        <v>44</v>
      </c>
      <c r="AZ48" s="14">
        <f>[6]攻城值!AJ48</f>
        <v>898.17370200577261</v>
      </c>
      <c r="BA48" s="14">
        <f>[6]攻城值!AK48</f>
        <v>916.66250443167212</v>
      </c>
      <c r="BB48" s="14">
        <f>[6]攻城值!AL48</f>
        <v>960.22903189234466</v>
      </c>
      <c r="BC48" s="14">
        <f>[6]攻城值!AM48</f>
        <v>1035.4836988412665</v>
      </c>
      <c r="BD48" s="14">
        <f>[6]攻城值!AN48</f>
        <v>1042.5534876144475</v>
      </c>
      <c r="BF48" s="14">
        <v>44</v>
      </c>
      <c r="BG48" s="14">
        <f>[6]攻城值!AQ48</f>
        <v>0.14127190004400941</v>
      </c>
      <c r="BH48" s="14">
        <f>[6]攻城值!AR48</f>
        <v>0.85872809995599053</v>
      </c>
      <c r="BL48" s="14">
        <v>44</v>
      </c>
      <c r="BM48" s="15">
        <f t="shared" si="2"/>
        <v>1</v>
      </c>
      <c r="BN48" s="15">
        <f t="shared" si="2"/>
        <v>1</v>
      </c>
      <c r="BO48" s="15">
        <f t="shared" si="2"/>
        <v>1</v>
      </c>
      <c r="BP48" s="15">
        <f t="shared" si="2"/>
        <v>1</v>
      </c>
      <c r="BQ48" s="15">
        <f t="shared" si="2"/>
        <v>1</v>
      </c>
      <c r="BR48" s="15">
        <f>'[1]功能-战损相关'!M54</f>
        <v>0.125</v>
      </c>
      <c r="BS48" s="15">
        <f>'[1]功能-战损相关'!N54</f>
        <v>0.125</v>
      </c>
      <c r="BT48" s="15">
        <f>'[1]功能-战损相关'!O54</f>
        <v>0.125</v>
      </c>
      <c r="BU48" s="15">
        <f>'[1]功能-战损相关'!P54</f>
        <v>0.125</v>
      </c>
      <c r="BV48" s="15">
        <f>'[1]功能-战损相关'!Q54</f>
        <v>0.125</v>
      </c>
      <c r="CJ48" s="2">
        <f>[4]兵营招募!S82</f>
        <v>45</v>
      </c>
      <c r="CK48" s="2">
        <f>[4]兵营招募!U82</f>
        <v>9000</v>
      </c>
    </row>
    <row r="49" spans="2:89" x14ac:dyDescent="0.15">
      <c r="B49" s="7">
        <v>45</v>
      </c>
      <c r="C49" s="7">
        <f>[1]服务器生态!W66</f>
        <v>341.23935822884027</v>
      </c>
      <c r="D49" s="7">
        <f>[1]服务器生态!X66</f>
        <v>284.22543170771149</v>
      </c>
      <c r="E49" s="7">
        <f>[1]服务器生态!Y66</f>
        <v>24.674327304827589</v>
      </c>
      <c r="F49" s="7">
        <f>[1]服务器生态!Z66</f>
        <v>3.9955034482758638</v>
      </c>
      <c r="G49" s="7">
        <f>[1]服务器生态!AA66</f>
        <v>1.0377931034482759</v>
      </c>
      <c r="H49" s="7">
        <f>[1]服务器生态!AC66</f>
        <v>0.52083902045454566</v>
      </c>
      <c r="I49" s="7">
        <f>[1]服务器生态!AD66</f>
        <v>0.43381776418545437</v>
      </c>
      <c r="J49" s="7">
        <f>[1]服务器生态!AE66</f>
        <v>3.7660815360000002E-2</v>
      </c>
      <c r="K49" s="7">
        <f>[1]服务器生态!AF66</f>
        <v>6.0984000000000021E-3</v>
      </c>
      <c r="L49" s="7">
        <f>[1]服务器生态!AG66</f>
        <v>1.5839999999999999E-3</v>
      </c>
      <c r="M49" s="7">
        <f>[5]基础信息!M48</f>
        <v>91.883040935672511</v>
      </c>
      <c r="Q49" s="7">
        <v>45</v>
      </c>
      <c r="R49" s="7">
        <f>[6]带兵数!D48</f>
        <v>4622.9224478524739</v>
      </c>
      <c r="S49" s="7">
        <f>[6]带兵数!E48</f>
        <v>4677.6809338257735</v>
      </c>
      <c r="T49" s="7">
        <f>[6]带兵数!F48</f>
        <v>4735.1960522840582</v>
      </c>
      <c r="U49" s="7">
        <f>[6]带兵数!G48</f>
        <v>4801.6236887917403</v>
      </c>
      <c r="V49" s="7">
        <f>[6]带兵数!H48</f>
        <v>4872.7767428124025</v>
      </c>
      <c r="X49" s="7">
        <v>45</v>
      </c>
      <c r="Y49" s="7">
        <f>求节点(节奏总纲!D$4:D$163,R$5:R$164,$X49)*6</f>
        <v>31668.713272284655</v>
      </c>
      <c r="Z49" s="7">
        <f>求节点(节奏总纲!E$4:E$163,S$5:S$164,$X49)*6</f>
        <v>32742.971261752915</v>
      </c>
      <c r="AA49" s="7">
        <f>求节点(节奏总纲!F$4:F$163,T$5:T$164,$X49)*6</f>
        <v>34213.687502580135</v>
      </c>
      <c r="AB49" s="7">
        <f>求节点(节奏总纲!G$4:G$163,U$5:U$164,$X49)*6</f>
        <v>36356.090031604173</v>
      </c>
      <c r="AC49" s="7">
        <f>求节点(节奏总纲!H$4:H$163,V$5:V$164,$X49)*6</f>
        <v>40192.181301365505</v>
      </c>
      <c r="AG49" s="7">
        <v>45</v>
      </c>
      <c r="AH49" s="7">
        <v>1</v>
      </c>
      <c r="AI49" s="7">
        <f>[6]实力验证!$Z51</f>
        <v>1.3367660783660353</v>
      </c>
      <c r="AJ49" s="7">
        <f>[6]实力验证!$AE51</f>
        <v>2.1968491030675912</v>
      </c>
      <c r="AK49" s="7">
        <f>[6]实力验证!$AJ51</f>
        <v>6.0601361672266325</v>
      </c>
      <c r="AL49" s="7">
        <f>[6]实力验证!$AO51</f>
        <v>20.020090494169605</v>
      </c>
      <c r="AM49" s="7">
        <f t="shared" si="0"/>
        <v>67.844294125804637</v>
      </c>
      <c r="AR49" s="14">
        <v>45</v>
      </c>
      <c r="AS49" s="14">
        <f>[6]攻城值!AC49</f>
        <v>155.54307699410231</v>
      </c>
      <c r="AT49" s="14">
        <f>[6]攻城值!AD49</f>
        <v>157.76985220662488</v>
      </c>
      <c r="AU49" s="14">
        <f>[6]攻城值!AE49</f>
        <v>162.65300751919955</v>
      </c>
      <c r="AV49" s="14">
        <f>[6]攻城值!AF49</f>
        <v>172.9635487794416</v>
      </c>
      <c r="AW49" s="14">
        <f>[6]攻城值!AG49</f>
        <v>170.75332793534176</v>
      </c>
      <c r="AY49" s="14">
        <v>45</v>
      </c>
      <c r="AZ49" s="14">
        <f>[6]攻城值!AJ49</f>
        <v>935.79487278961972</v>
      </c>
      <c r="BA49" s="14">
        <f>[6]攻城值!AK49</f>
        <v>959.04095245782048</v>
      </c>
      <c r="BB49" s="14">
        <f>[6]攻城值!AL49</f>
        <v>1001.5412377585776</v>
      </c>
      <c r="BC49" s="14">
        <f>[6]攻城值!AM49</f>
        <v>1084.7517324208809</v>
      </c>
      <c r="BD49" s="14">
        <f>[6]攻城值!AN49</f>
        <v>1092.156321732574</v>
      </c>
      <c r="BF49" s="14">
        <v>45</v>
      </c>
      <c r="BG49" s="14">
        <f>[6]攻城值!AQ49</f>
        <v>0.14252512434386375</v>
      </c>
      <c r="BH49" s="14">
        <f>[6]攻城值!AR49</f>
        <v>0.85747487565613623</v>
      </c>
      <c r="BL49" s="14">
        <v>45</v>
      </c>
      <c r="BM49" s="15">
        <f t="shared" si="2"/>
        <v>1</v>
      </c>
      <c r="BN49" s="15">
        <f t="shared" si="2"/>
        <v>1</v>
      </c>
      <c r="BO49" s="15">
        <f t="shared" si="2"/>
        <v>1</v>
      </c>
      <c r="BP49" s="15">
        <f t="shared" si="2"/>
        <v>1</v>
      </c>
      <c r="BQ49" s="15">
        <f t="shared" si="2"/>
        <v>1</v>
      </c>
      <c r="BR49" s="15">
        <f>'[1]功能-战损相关'!M55</f>
        <v>0.125</v>
      </c>
      <c r="BS49" s="15">
        <f>'[1]功能-战损相关'!N55</f>
        <v>0.125</v>
      </c>
      <c r="BT49" s="15">
        <f>'[1]功能-战损相关'!O55</f>
        <v>0.125</v>
      </c>
      <c r="BU49" s="15">
        <f>'[1]功能-战损相关'!P55</f>
        <v>0.125</v>
      </c>
      <c r="BV49" s="15">
        <f>'[1]功能-战损相关'!Q55</f>
        <v>0.125</v>
      </c>
      <c r="CJ49" s="2">
        <f>[4]兵营招募!S83</f>
        <v>46</v>
      </c>
      <c r="CK49" s="2">
        <f>[4]兵营招募!U83</f>
        <v>9400</v>
      </c>
    </row>
    <row r="50" spans="2:89" x14ac:dyDescent="0.15">
      <c r="B50" s="7">
        <v>46</v>
      </c>
      <c r="C50" s="7">
        <f>[1]服务器生态!W67</f>
        <v>335.16483889655183</v>
      </c>
      <c r="D50" s="7">
        <f>[1]服务器生态!X67</f>
        <v>280.38948746548954</v>
      </c>
      <c r="E50" s="7">
        <f>[1]服务器生态!Y67</f>
        <v>24.300762189682757</v>
      </c>
      <c r="F50" s="7">
        <f>[1]服务器生态!Z67</f>
        <v>3.9449004137931043</v>
      </c>
      <c r="G50" s="7">
        <f>[1]服务器生态!AA67</f>
        <v>1.0275972413793102</v>
      </c>
      <c r="H50" s="7">
        <f>[1]服务器生态!AC67</f>
        <v>0.51977434909090925</v>
      </c>
      <c r="I50" s="7">
        <f>[1]服务器生态!AD67</f>
        <v>0.43482861692509073</v>
      </c>
      <c r="J50" s="7">
        <f>[1]服务器生态!AE67</f>
        <v>3.7685673984000002E-2</v>
      </c>
      <c r="K50" s="7">
        <f>[1]服务器生态!AF67</f>
        <v>6.1177600000000016E-3</v>
      </c>
      <c r="L50" s="7">
        <f>[1]服务器生态!AG67</f>
        <v>1.5935999999999997E-3</v>
      </c>
      <c r="M50" s="7">
        <f>[5]基础信息!M49</f>
        <v>92.15789473684211</v>
      </c>
      <c r="Q50" s="7">
        <v>46</v>
      </c>
      <c r="R50" s="7">
        <f>[6]带兵数!D49</f>
        <v>4687.4358926933264</v>
      </c>
      <c r="S50" s="7">
        <f>[6]带兵数!E49</f>
        <v>4740.7110785373725</v>
      </c>
      <c r="T50" s="7">
        <f>[6]带兵数!F49</f>
        <v>4800.1500340512757</v>
      </c>
      <c r="U50" s="7">
        <f>[6]带兵数!G49</f>
        <v>4864.1959062513097</v>
      </c>
      <c r="V50" s="7">
        <f>[6]带兵数!H49</f>
        <v>4934.1319778905254</v>
      </c>
      <c r="X50" s="7">
        <v>46</v>
      </c>
      <c r="Y50" s="7">
        <f>求节点(节奏总纲!D$4:D$163,R$5:R$164,$X50)*6</f>
        <v>31787.542986598248</v>
      </c>
      <c r="Z50" s="7">
        <f>求节点(节奏总纲!E$4:E$163,S$5:S$164,$X50)*6</f>
        <v>32860.950641905481</v>
      </c>
      <c r="AA50" s="7">
        <f>求节点(节奏总纲!F$4:F$163,T$5:T$164,$X50)*6</f>
        <v>34334.662769922827</v>
      </c>
      <c r="AB50" s="7">
        <f>求节点(节奏总纲!G$4:G$163,U$5:U$164,$X50)*6</f>
        <v>36484.260503602578</v>
      </c>
      <c r="AC50" s="7">
        <f>求节点(节奏总纲!H$4:H$163,V$5:V$164,$X50)*6</f>
        <v>40318.505779250743</v>
      </c>
      <c r="AG50" s="7">
        <v>46</v>
      </c>
      <c r="AH50" s="7">
        <v>1</v>
      </c>
      <c r="AI50" s="7">
        <f>[6]实力验证!$Z52</f>
        <v>1.3358788996182744</v>
      </c>
      <c r="AJ50" s="7">
        <f>[6]实力验证!$AE52</f>
        <v>2.230796053073516</v>
      </c>
      <c r="AK50" s="7">
        <f>[6]实力验证!$AJ52</f>
        <v>6.1127255431514103</v>
      </c>
      <c r="AL50" s="7">
        <f>[6]实力验证!$AO52</f>
        <v>20.229034093883492</v>
      </c>
      <c r="AM50" s="7">
        <f t="shared" si="0"/>
        <v>68.480001154093003</v>
      </c>
      <c r="AR50" s="14">
        <v>46</v>
      </c>
      <c r="AS50" s="14">
        <f>[6]攻城值!AC50</f>
        <v>159.99352347890434</v>
      </c>
      <c r="AT50" s="14">
        <f>[6]攻城值!AD50</f>
        <v>162.85395540495279</v>
      </c>
      <c r="AU50" s="14">
        <f>[6]攻城值!AE50</f>
        <v>167.22081656415381</v>
      </c>
      <c r="AV50" s="14">
        <f>[6]攻城值!AF50</f>
        <v>177.9262526630917</v>
      </c>
      <c r="AW50" s="14">
        <f>[6]攻城值!AG50</f>
        <v>175.60183113287468</v>
      </c>
      <c r="AY50" s="14">
        <v>46</v>
      </c>
      <c r="AZ50" s="14">
        <f>[6]攻城值!AJ50</f>
        <v>952.98067691816857</v>
      </c>
      <c r="BA50" s="14">
        <f>[6]攻城值!AK50</f>
        <v>980.12284900259385</v>
      </c>
      <c r="BB50" s="14">
        <f>[6]攻城值!AL50</f>
        <v>1023.8461866700375</v>
      </c>
      <c r="BC50" s="14">
        <f>[6]攻城值!AM50</f>
        <v>1109.2883832152329</v>
      </c>
      <c r="BD50" s="14">
        <f>[6]攻城值!AN50</f>
        <v>1116.2260060714295</v>
      </c>
      <c r="BF50" s="14">
        <v>46</v>
      </c>
      <c r="BG50" s="14">
        <f>[6]攻城值!AQ50</f>
        <v>0.14375312870848564</v>
      </c>
      <c r="BH50" s="14">
        <f>[6]攻城值!AR50</f>
        <v>0.85624687129151422</v>
      </c>
      <c r="BL50" s="14">
        <v>46</v>
      </c>
      <c r="BM50" s="15">
        <f t="shared" si="2"/>
        <v>1</v>
      </c>
      <c r="BN50" s="15">
        <f t="shared" si="2"/>
        <v>1</v>
      </c>
      <c r="BO50" s="15">
        <f t="shared" si="2"/>
        <v>1</v>
      </c>
      <c r="BP50" s="15">
        <f t="shared" si="2"/>
        <v>1</v>
      </c>
      <c r="BQ50" s="15">
        <f t="shared" si="2"/>
        <v>1</v>
      </c>
      <c r="BR50" s="15">
        <f>'[1]功能-战损相关'!M56</f>
        <v>0.125</v>
      </c>
      <c r="BS50" s="15">
        <f>'[1]功能-战损相关'!N56</f>
        <v>0.125</v>
      </c>
      <c r="BT50" s="15">
        <f>'[1]功能-战损相关'!O56</f>
        <v>0.125</v>
      </c>
      <c r="BU50" s="15">
        <f>'[1]功能-战损相关'!P56</f>
        <v>0.125</v>
      </c>
      <c r="BV50" s="15">
        <f>'[1]功能-战损相关'!Q56</f>
        <v>0.125</v>
      </c>
      <c r="CJ50" s="2">
        <f>[4]兵营招募!S84</f>
        <v>47</v>
      </c>
      <c r="CK50" s="2">
        <f>[4]兵营招募!U84</f>
        <v>9900</v>
      </c>
    </row>
    <row r="51" spans="2:89" x14ac:dyDescent="0.15">
      <c r="B51" s="7">
        <v>47</v>
      </c>
      <c r="C51" s="7">
        <f>[1]服务器生态!W68</f>
        <v>329.11234724764904</v>
      </c>
      <c r="D51" s="7">
        <f>[1]服务器生态!X68</f>
        <v>276.53262902865441</v>
      </c>
      <c r="E51" s="7">
        <f>[1]服务器生态!Y68</f>
        <v>23.926682758179311</v>
      </c>
      <c r="F51" s="7">
        <f>[1]服务器生态!Z68</f>
        <v>3.8938968275862083</v>
      </c>
      <c r="G51" s="7">
        <f>[1]服务器生态!AA68</f>
        <v>1.0172027586206895</v>
      </c>
      <c r="H51" s="7">
        <f>[1]服务器生态!AC68</f>
        <v>0.51870967772727294</v>
      </c>
      <c r="I51" s="7">
        <f>[1]服务器生态!AD68</f>
        <v>0.43583946966472709</v>
      </c>
      <c r="J51" s="7">
        <f>[1]服务器生态!AE68</f>
        <v>3.7710532608000003E-2</v>
      </c>
      <c r="K51" s="7">
        <f>[1]服务器生态!AF68</f>
        <v>6.137120000000002E-3</v>
      </c>
      <c r="L51" s="7">
        <f>[1]服务器生态!AG68</f>
        <v>1.6031999999999997E-3</v>
      </c>
      <c r="M51" s="7">
        <f>[5]基础信息!M50</f>
        <v>92.421052631578945</v>
      </c>
      <c r="Q51" s="7">
        <v>47</v>
      </c>
      <c r="R51" s="7">
        <f>[6]带兵数!D50</f>
        <v>4751.4575269515653</v>
      </c>
      <c r="S51" s="7">
        <f>[6]带兵数!E50</f>
        <v>4804.9456349782722</v>
      </c>
      <c r="T51" s="7">
        <f>[6]带兵数!F50</f>
        <v>4862.8427037480733</v>
      </c>
      <c r="U51" s="7">
        <f>[6]带兵数!G50</f>
        <v>4929.6355742175874</v>
      </c>
      <c r="V51" s="7">
        <f>[6]带兵数!H50</f>
        <v>4995.7589077576049</v>
      </c>
      <c r="X51" s="7">
        <v>47</v>
      </c>
      <c r="Y51" s="7">
        <f>求节点(节奏总纲!D$4:D$163,R$5:R$164,$X51)*6</f>
        <v>31906.372700911841</v>
      </c>
      <c r="Z51" s="7">
        <f>求节点(节奏总纲!E$4:E$163,S$5:S$164,$X51)*6</f>
        <v>32978.930022058048</v>
      </c>
      <c r="AA51" s="7">
        <f>求节点(节奏总纲!F$4:F$163,T$5:T$164,$X51)*6</f>
        <v>34455.638037265504</v>
      </c>
      <c r="AB51" s="7">
        <f>求节点(节奏总纲!G$4:G$163,U$5:U$164,$X51)*6</f>
        <v>36611.729756613604</v>
      </c>
      <c r="AC51" s="7">
        <f>求节点(节奏总纲!H$4:H$163,V$5:V$164,$X51)*6</f>
        <v>40444.830257135989</v>
      </c>
      <c r="AG51" s="7">
        <v>47</v>
      </c>
      <c r="AH51" s="7">
        <v>1</v>
      </c>
      <c r="AI51" s="7">
        <f>[6]实力验证!$Z53</f>
        <v>1.3350446508668468</v>
      </c>
      <c r="AJ51" s="7">
        <f>[6]实力验证!$AE53</f>
        <v>2.2627176931361217</v>
      </c>
      <c r="AK51" s="7">
        <f>[6]实力验证!$AJ53</f>
        <v>6.1632467018518842</v>
      </c>
      <c r="AL51" s="7">
        <f>[6]实力验证!$AO53</f>
        <v>20.425511903592096</v>
      </c>
      <c r="AM51" s="7">
        <f t="shared" si="0"/>
        <v>69.093376224200853</v>
      </c>
      <c r="AR51" s="14">
        <v>47</v>
      </c>
      <c r="AS51" s="14">
        <f>[6]攻城值!AC51</f>
        <v>164.54338690431896</v>
      </c>
      <c r="AT51" s="14">
        <f>[6]攻城值!AD51</f>
        <v>167.49256561329079</v>
      </c>
      <c r="AU51" s="14">
        <f>[6]攻城值!AE51</f>
        <v>172.30857101026993</v>
      </c>
      <c r="AV51" s="14">
        <f>[6]攻城值!AF51</f>
        <v>182.97550181156964</v>
      </c>
      <c r="AW51" s="14">
        <f>[6]攻城值!AG51</f>
        <v>180.53316018901617</v>
      </c>
      <c r="AY51" s="14">
        <v>47</v>
      </c>
      <c r="AZ51" s="14">
        <f>[6]攻城值!AJ51</f>
        <v>970.57782197948325</v>
      </c>
      <c r="BA51" s="14">
        <f>[6]攻城值!AK51</f>
        <v>1002.7585587437626</v>
      </c>
      <c r="BB51" s="14">
        <f>[6]攻城值!AL51</f>
        <v>1049.2166059673016</v>
      </c>
      <c r="BC51" s="14">
        <f>[6]攻城值!AM51</f>
        <v>1134.2402716669683</v>
      </c>
      <c r="BD51" s="14">
        <f>[6]攻城值!AN51</f>
        <v>1140.6950847927997</v>
      </c>
      <c r="BF51" s="14">
        <v>47</v>
      </c>
      <c r="BG51" s="14">
        <f>[6]攻城值!AQ51</f>
        <v>0.14495666684452074</v>
      </c>
      <c r="BH51" s="14">
        <f>[6]攻城值!AR51</f>
        <v>0.85504333315547931</v>
      </c>
      <c r="BL51" s="14">
        <v>47</v>
      </c>
      <c r="BM51" s="15">
        <f t="shared" si="2"/>
        <v>1</v>
      </c>
      <c r="BN51" s="15">
        <f t="shared" si="2"/>
        <v>1</v>
      </c>
      <c r="BO51" s="15">
        <f t="shared" si="2"/>
        <v>1</v>
      </c>
      <c r="BP51" s="15">
        <f t="shared" si="2"/>
        <v>1</v>
      </c>
      <c r="BQ51" s="15">
        <f t="shared" si="2"/>
        <v>1</v>
      </c>
      <c r="BR51" s="15">
        <f>'[1]功能-战损相关'!M57</f>
        <v>0.125</v>
      </c>
      <c r="BS51" s="15">
        <f>'[1]功能-战损相关'!N57</f>
        <v>0.125</v>
      </c>
      <c r="BT51" s="15">
        <f>'[1]功能-战损相关'!O57</f>
        <v>0.125</v>
      </c>
      <c r="BU51" s="15">
        <f>'[1]功能-战损相关'!P57</f>
        <v>0.125</v>
      </c>
      <c r="BV51" s="15">
        <f>'[1]功能-战损相关'!Q57</f>
        <v>0.125</v>
      </c>
      <c r="CJ51" s="2">
        <f>[4]兵营招募!S85</f>
        <v>48</v>
      </c>
      <c r="CK51" s="2">
        <f>[4]兵营招募!U85</f>
        <v>11000</v>
      </c>
    </row>
    <row r="52" spans="2:89" x14ac:dyDescent="0.15">
      <c r="B52" s="7">
        <v>48</v>
      </c>
      <c r="C52" s="7">
        <f>[1]服务器生态!W69</f>
        <v>323.08188328213174</v>
      </c>
      <c r="D52" s="7">
        <f>[1]服务器生态!X69</f>
        <v>272.65485639720612</v>
      </c>
      <c r="E52" s="7">
        <f>[1]服务器生态!Y69</f>
        <v>23.552089010317239</v>
      </c>
      <c r="F52" s="7">
        <f>[1]服务器生态!Z69</f>
        <v>3.842492689655173</v>
      </c>
      <c r="G52" s="7">
        <f>[1]服务器生态!AA69</f>
        <v>1.0066096551724135</v>
      </c>
      <c r="H52" s="7">
        <f>[1]服务器生态!AC69</f>
        <v>0.51764500636363653</v>
      </c>
      <c r="I52" s="7">
        <f>[1]服务器生态!AD69</f>
        <v>0.43685032240436344</v>
      </c>
      <c r="J52" s="7">
        <f>[1]服务器生态!AE69</f>
        <v>3.7735391232000003E-2</v>
      </c>
      <c r="K52" s="7">
        <f>[1]服务器生态!AF69</f>
        <v>6.1564800000000015E-3</v>
      </c>
      <c r="L52" s="7">
        <f>[1]服务器生态!AG69</f>
        <v>1.6127999999999997E-3</v>
      </c>
      <c r="M52" s="7">
        <f>[5]基础信息!M51</f>
        <v>92.684210526315795</v>
      </c>
      <c r="Q52" s="7">
        <v>48</v>
      </c>
      <c r="R52" s="7">
        <f>[6]带兵数!D51</f>
        <v>4815.0928982110609</v>
      </c>
      <c r="S52" s="7">
        <f>[6]带兵数!E51</f>
        <v>4868.6017902912299</v>
      </c>
      <c r="T52" s="7">
        <f>[6]带兵数!F51</f>
        <v>4927.1956904722538</v>
      </c>
      <c r="U52" s="7">
        <f>[6]带兵数!G51</f>
        <v>4989.5003378607553</v>
      </c>
      <c r="V52" s="7">
        <f>[6]带兵数!H51</f>
        <v>5058.4842711724432</v>
      </c>
      <c r="X52" s="7">
        <v>48</v>
      </c>
      <c r="Y52" s="7">
        <f>求节点(节奏总纲!D$4:D$163,R$5:R$164,$X52)*6</f>
        <v>32020.419728675355</v>
      </c>
      <c r="Z52" s="7">
        <f>求节点(节奏总纲!E$4:E$163,S$5:S$164,$X52)*6</f>
        <v>33094.808882973441</v>
      </c>
      <c r="AA52" s="7">
        <f>求节点(节奏总纲!F$4:F$163,T$5:T$164,$X52)*6</f>
        <v>34576.541369062004</v>
      </c>
      <c r="AB52" s="7">
        <f>求节点(节奏总纲!G$4:G$163,U$5:U$164,$X52)*6</f>
        <v>36729.894402947742</v>
      </c>
      <c r="AC52" s="7">
        <f>求节点(节奏总纲!H$4:H$163,V$5:V$164,$X52)*6</f>
        <v>40571.154735021228</v>
      </c>
      <c r="AG52" s="7">
        <v>48</v>
      </c>
      <c r="AH52" s="7">
        <v>1</v>
      </c>
      <c r="AI52" s="7">
        <f>[6]实力验证!$Z54</f>
        <v>1.3319704582698595</v>
      </c>
      <c r="AJ52" s="7">
        <f>[6]实力验证!$AE54</f>
        <v>2.289826526863167</v>
      </c>
      <c r="AK52" s="7">
        <f>[6]实力验证!$AJ54</f>
        <v>6.216275711024104</v>
      </c>
      <c r="AL52" s="7">
        <f>[6]实力验证!$AO54</f>
        <v>20.582981311123927</v>
      </c>
      <c r="AM52" s="7">
        <f t="shared" si="0"/>
        <v>69.616848741379428</v>
      </c>
      <c r="AR52" s="14">
        <v>48</v>
      </c>
      <c r="AS52" s="14">
        <f>[6]攻城值!AC52</f>
        <v>169.19803320680924</v>
      </c>
      <c r="AT52" s="14">
        <f>[6]攻城值!AD52</f>
        <v>172.22417053634766</v>
      </c>
      <c r="AU52" s="14">
        <f>[6]攻城值!AE52</f>
        <v>177.56088654566386</v>
      </c>
      <c r="AV52" s="14">
        <f>[6]攻城值!AF52</f>
        <v>188.10820093495317</v>
      </c>
      <c r="AW52" s="14">
        <f>[6]攻城值!AG52</f>
        <v>185.54513117545153</v>
      </c>
      <c r="AY52" s="14">
        <v>48</v>
      </c>
      <c r="AZ52" s="14">
        <f>[6]攻城值!AJ52</f>
        <v>992.24065969829542</v>
      </c>
      <c r="BA52" s="14">
        <f>[6]攻城值!AK52</f>
        <v>1025.8583481874211</v>
      </c>
      <c r="BB52" s="14">
        <f>[6]攻城值!AL52</f>
        <v>1075.4549238422976</v>
      </c>
      <c r="BC52" s="14">
        <f>[6]攻城值!AM52</f>
        <v>1159.5858802421055</v>
      </c>
      <c r="BD52" s="14">
        <f>[6]攻城值!AN52</f>
        <v>1165.5473510942813</v>
      </c>
      <c r="BF52" s="14">
        <v>48</v>
      </c>
      <c r="BG52" s="14">
        <f>[6]攻城值!AQ52</f>
        <v>0.14567969384900933</v>
      </c>
      <c r="BH52" s="14">
        <f>[6]攻城值!AR52</f>
        <v>0.85432030615099053</v>
      </c>
      <c r="BL52" s="14">
        <v>48</v>
      </c>
      <c r="BM52" s="15">
        <f t="shared" si="2"/>
        <v>1</v>
      </c>
      <c r="BN52" s="15">
        <f t="shared" si="2"/>
        <v>1</v>
      </c>
      <c r="BO52" s="15">
        <f t="shared" si="2"/>
        <v>1</v>
      </c>
      <c r="BP52" s="15">
        <f t="shared" si="2"/>
        <v>1</v>
      </c>
      <c r="BQ52" s="15">
        <f t="shared" si="2"/>
        <v>1</v>
      </c>
      <c r="BR52" s="15">
        <f>'[1]功能-战损相关'!M58</f>
        <v>0.125</v>
      </c>
      <c r="BS52" s="15">
        <f>'[1]功能-战损相关'!N58</f>
        <v>0.125</v>
      </c>
      <c r="BT52" s="15">
        <f>'[1]功能-战损相关'!O58</f>
        <v>0.125</v>
      </c>
      <c r="BU52" s="15">
        <f>'[1]功能-战损相关'!P58</f>
        <v>0.125</v>
      </c>
      <c r="BV52" s="15">
        <f>'[1]功能-战损相关'!Q58</f>
        <v>0.125</v>
      </c>
      <c r="CJ52" s="2">
        <f>[4]兵营招募!S86</f>
        <v>49</v>
      </c>
      <c r="CK52" s="2">
        <f>[4]兵营招募!U86</f>
        <v>12000</v>
      </c>
    </row>
    <row r="53" spans="2:89" x14ac:dyDescent="0.15">
      <c r="B53" s="7">
        <v>49</v>
      </c>
      <c r="C53" s="7">
        <f>[1]服务器生态!W70</f>
        <v>317.07344700000016</v>
      </c>
      <c r="D53" s="7">
        <f>[1]服务器生态!X70</f>
        <v>268.75616957114471</v>
      </c>
      <c r="E53" s="7">
        <f>[1]服务器生态!Y70</f>
        <v>23.176980946096556</v>
      </c>
      <c r="F53" s="7">
        <f>[1]服务器生态!Z70</f>
        <v>3.7906880000000016</v>
      </c>
      <c r="G53" s="7">
        <f>[1]服务器生态!AA70</f>
        <v>0.99581793103448268</v>
      </c>
      <c r="H53" s="7">
        <f>[1]服务器生态!AC70</f>
        <v>0.51658033500000022</v>
      </c>
      <c r="I53" s="7">
        <f>[1]服务器生态!AD70</f>
        <v>0.4378611751439998</v>
      </c>
      <c r="J53" s="7">
        <f>[1]服务器生态!AE70</f>
        <v>3.7760249856000003E-2</v>
      </c>
      <c r="K53" s="7">
        <f>[1]服务器生态!AF70</f>
        <v>6.1758400000000019E-3</v>
      </c>
      <c r="L53" s="7">
        <f>[1]服务器生态!AG70</f>
        <v>1.6223999999999998E-3</v>
      </c>
      <c r="M53" s="7">
        <f>[5]基础信息!M52</f>
        <v>92.94736842105263</v>
      </c>
      <c r="Q53" s="7">
        <v>49</v>
      </c>
      <c r="R53" s="7">
        <f>[6]带兵数!D52</f>
        <v>4880.1255625879667</v>
      </c>
      <c r="S53" s="7">
        <f>[6]带兵数!E52</f>
        <v>4932.0606377192671</v>
      </c>
      <c r="T53" s="7">
        <f>[6]带兵数!F52</f>
        <v>4990.0336585588084</v>
      </c>
      <c r="U53" s="7">
        <f>[6]带兵数!G52</f>
        <v>5052.0892668144525</v>
      </c>
      <c r="V53" s="7">
        <f>[6]带兵数!H52</f>
        <v>5121.2459036550872</v>
      </c>
      <c r="X53" s="7">
        <v>49</v>
      </c>
      <c r="Y53" s="7">
        <f>求节点(节奏总纲!D$4:D$163,R$5:R$164,$X53)*6</f>
        <v>32129.627683911021</v>
      </c>
      <c r="Z53" s="7">
        <f>求节点(节奏总纲!E$4:E$163,S$5:S$164,$X53)*6</f>
        <v>33208.898443296843</v>
      </c>
      <c r="AA53" s="7">
        <f>求节点(节奏总纲!F$4:F$163,T$5:T$164,$X53)*6</f>
        <v>34694.266423257075</v>
      </c>
      <c r="AB53" s="7">
        <f>求节点(节奏总纲!G$4:G$163,U$5:U$164,$X53)*6</f>
        <v>36848.059049281888</v>
      </c>
      <c r="AC53" s="7">
        <f>求节点(节奏总纲!H$4:H$163,V$5:V$164,$X53)*6</f>
        <v>40685.649247631816</v>
      </c>
      <c r="AG53" s="7">
        <v>49</v>
      </c>
      <c r="AH53" s="7">
        <v>1</v>
      </c>
      <c r="AI53" s="7">
        <f>[6]实力验证!$Z55</f>
        <v>1.3269169353910799</v>
      </c>
      <c r="AJ53" s="7">
        <f>[6]实力验证!$AE55</f>
        <v>2.3169968588822867</v>
      </c>
      <c r="AK53" s="7">
        <f>[6]实力验证!$AJ55</f>
        <v>6.2579513290953042</v>
      </c>
      <c r="AL53" s="7">
        <f>[6]实力验证!$AO55</f>
        <v>20.724356298799357</v>
      </c>
      <c r="AM53" s="7">
        <f t="shared" si="0"/>
        <v>70.077166536188983</v>
      </c>
      <c r="AR53" s="14">
        <v>49</v>
      </c>
      <c r="AS53" s="14">
        <f>[6]攻城值!AC53</f>
        <v>174.33667915023125</v>
      </c>
      <c r="AT53" s="14">
        <f>[6]攻城值!AD53</f>
        <v>177.06901461634322</v>
      </c>
      <c r="AU53" s="14">
        <f>[6]攻城值!AE53</f>
        <v>182.64082508190776</v>
      </c>
      <c r="AV53" s="14">
        <f>[6]攻城值!AF53</f>
        <v>193.0060326250503</v>
      </c>
      <c r="AW53" s="14">
        <f>[6]攻城值!AG53</f>
        <v>190.03551856083965</v>
      </c>
      <c r="AY53" s="14">
        <v>49</v>
      </c>
      <c r="AZ53" s="14">
        <f>[6]攻城值!AJ53</f>
        <v>1017.5770540296896</v>
      </c>
      <c r="BA53" s="14">
        <f>[6]攻城值!AK53</f>
        <v>1049.5305525789479</v>
      </c>
      <c r="BB53" s="14">
        <f>[6]攻城值!AL53</f>
        <v>1100.5222531008328</v>
      </c>
      <c r="BC53" s="14">
        <f>[6]攻城值!AM53</f>
        <v>1183.0264858820237</v>
      </c>
      <c r="BD53" s="14">
        <f>[6]攻城值!AN53</f>
        <v>1186.3704370911432</v>
      </c>
      <c r="BF53" s="14">
        <v>49</v>
      </c>
      <c r="BG53" s="14">
        <f>[6]攻城值!AQ53</f>
        <v>0.14626618881646439</v>
      </c>
      <c r="BH53" s="14">
        <f>[6]攻城值!AR53</f>
        <v>0.85373381118353564</v>
      </c>
      <c r="BL53" s="14">
        <v>49</v>
      </c>
      <c r="BM53" s="15">
        <f t="shared" si="2"/>
        <v>1</v>
      </c>
      <c r="BN53" s="15">
        <f t="shared" si="2"/>
        <v>1</v>
      </c>
      <c r="BO53" s="15">
        <f t="shared" si="2"/>
        <v>1</v>
      </c>
      <c r="BP53" s="15">
        <f t="shared" si="2"/>
        <v>1</v>
      </c>
      <c r="BQ53" s="15">
        <f t="shared" ref="BN53:BQ68" si="3">$BN$2</f>
        <v>1</v>
      </c>
      <c r="BR53" s="15">
        <f>'[1]功能-战损相关'!M59</f>
        <v>0.125</v>
      </c>
      <c r="BS53" s="15">
        <f>'[1]功能-战损相关'!N59</f>
        <v>0.125</v>
      </c>
      <c r="BT53" s="15">
        <f>'[1]功能-战损相关'!O59</f>
        <v>0.125</v>
      </c>
      <c r="BU53" s="15">
        <f>'[1]功能-战损相关'!P59</f>
        <v>0.125</v>
      </c>
      <c r="BV53" s="15">
        <f>'[1]功能-战损相关'!Q59</f>
        <v>0.125</v>
      </c>
      <c r="CJ53" s="2">
        <f>[4]兵营招募!S87</f>
        <v>50</v>
      </c>
      <c r="CK53" s="2">
        <f>[4]兵营招募!U87</f>
        <v>12000</v>
      </c>
    </row>
    <row r="54" spans="2:89" x14ac:dyDescent="0.15">
      <c r="B54" s="7">
        <v>50</v>
      </c>
      <c r="C54" s="7">
        <f>[1]服务器生态!W71</f>
        <v>311.08703840125401</v>
      </c>
      <c r="D54" s="7">
        <f>[1]服务器生态!X71</f>
        <v>264.83656855047008</v>
      </c>
      <c r="E54" s="7">
        <f>[1]服务器生态!Y71</f>
        <v>22.801358565517244</v>
      </c>
      <c r="F54" s="7">
        <f>[1]服务器生态!Z71</f>
        <v>3.7384827586206906</v>
      </c>
      <c r="G54" s="7">
        <f>[1]服务器生态!AA71</f>
        <v>0.98482758620689637</v>
      </c>
      <c r="H54" s="7">
        <f>[1]服务器生态!AC71</f>
        <v>0.51551566363636381</v>
      </c>
      <c r="I54" s="7">
        <f>[1]服务器生态!AD71</f>
        <v>0.43887202788363616</v>
      </c>
      <c r="J54" s="7">
        <f>[1]服务器生态!AE71</f>
        <v>3.7785108480000003E-2</v>
      </c>
      <c r="K54" s="7">
        <f>[1]服务器生态!AF71</f>
        <v>6.1952000000000014E-3</v>
      </c>
      <c r="L54" s="7">
        <f>[1]服务器生态!AG71</f>
        <v>1.6319999999999998E-3</v>
      </c>
      <c r="M54" s="7">
        <f>[5]基础信息!M53</f>
        <v>93.21052631578948</v>
      </c>
      <c r="Q54" s="7">
        <v>50</v>
      </c>
      <c r="R54" s="7">
        <f>[6]带兵数!D53</f>
        <v>4942.9187213831892</v>
      </c>
      <c r="S54" s="7">
        <f>[6]带兵数!E53</f>
        <v>4997.4396490101244</v>
      </c>
      <c r="T54" s="7">
        <f>[6]带兵数!F53</f>
        <v>5052.2732396398733</v>
      </c>
      <c r="U54" s="7">
        <f>[6]带兵数!G53</f>
        <v>5115.4400792232045</v>
      </c>
      <c r="V54" s="7">
        <f>[6]带兵数!H53</f>
        <v>5187.9479362275724</v>
      </c>
      <c r="X54" s="7">
        <v>50</v>
      </c>
      <c r="Y54" s="7">
        <f>求节点(节奏总纲!D$4:D$163,R$5:R$164,$X54)*6</f>
        <v>32238.835639146688</v>
      </c>
      <c r="Z54" s="7">
        <f>求节点(节奏总纲!E$4:E$163,S$5:S$164,$X54)*6</f>
        <v>33322.988003620238</v>
      </c>
      <c r="AA54" s="7">
        <f>求节点(节奏总纲!F$4:F$163,T$5:T$164,$X54)*6</f>
        <v>34811.991477452146</v>
      </c>
      <c r="AB54" s="7">
        <f>求节点(节奏总纲!G$4:G$163,U$5:U$164,$X54)*6</f>
        <v>36966.22369561602</v>
      </c>
      <c r="AC54" s="7">
        <f>求节点(节奏总纲!H$4:H$163,V$5:V$164,$X54)*6</f>
        <v>40797.726713151533</v>
      </c>
      <c r="AG54" s="7">
        <v>50</v>
      </c>
      <c r="AH54" s="7">
        <v>1</v>
      </c>
      <c r="AI54" s="7">
        <f>[6]实力验证!$Z56</f>
        <v>1.3221640259653382</v>
      </c>
      <c r="AJ54" s="7">
        <f>[6]实力验证!$AE56</f>
        <v>2.3425509387295311</v>
      </c>
      <c r="AK54" s="7">
        <f>[6]实力验证!$AJ56</f>
        <v>6.2971478347222964</v>
      </c>
      <c r="AL54" s="7">
        <f>[6]实力验证!$AO56</f>
        <v>20.861367784162166</v>
      </c>
      <c r="AM54" s="7">
        <f t="shared" si="0"/>
        <v>70.532375107680934</v>
      </c>
      <c r="AR54" s="14">
        <v>50</v>
      </c>
      <c r="AS54" s="14">
        <f>[6]攻城值!AC54</f>
        <v>179.69630794430583</v>
      </c>
      <c r="AT54" s="14">
        <f>[6]攻城值!AD54</f>
        <v>181.41156783503104</v>
      </c>
      <c r="AU54" s="14">
        <f>[6]攻城值!AE54</f>
        <v>186.72994385322102</v>
      </c>
      <c r="AV54" s="14">
        <f>[6]攻城值!AF54</f>
        <v>197.10494757536463</v>
      </c>
      <c r="AW54" s="14">
        <f>[6]攻城值!AG54</f>
        <v>194.1958266423396</v>
      </c>
      <c r="AY54" s="14">
        <v>50</v>
      </c>
      <c r="AZ54" s="14">
        <f>[6]攻城值!AJ54</f>
        <v>1043.5645081654545</v>
      </c>
      <c r="BA54" s="14">
        <f>[6]攻城值!AK54</f>
        <v>1069.2046074310717</v>
      </c>
      <c r="BB54" s="14">
        <f>[6]攻城值!AL54</f>
        <v>1118.56215626985</v>
      </c>
      <c r="BC54" s="14">
        <f>[6]攻城值!AM54</f>
        <v>1200.5603392375083</v>
      </c>
      <c r="BD54" s="14">
        <f>[6]攻城值!AN54</f>
        <v>1204.4358337527651</v>
      </c>
      <c r="BF54" s="14">
        <v>50</v>
      </c>
      <c r="BG54" s="14">
        <f>[6]攻城值!AQ54</f>
        <v>0.14689942290130717</v>
      </c>
      <c r="BH54" s="14">
        <f>[6]攻城值!AR54</f>
        <v>0.85310057709869291</v>
      </c>
      <c r="BL54" s="14">
        <v>50</v>
      </c>
      <c r="BM54" s="15">
        <f t="shared" si="2"/>
        <v>1</v>
      </c>
      <c r="BN54" s="15">
        <f t="shared" si="3"/>
        <v>1</v>
      </c>
      <c r="BO54" s="15">
        <f t="shared" si="3"/>
        <v>1</v>
      </c>
      <c r="BP54" s="15">
        <f t="shared" si="3"/>
        <v>1</v>
      </c>
      <c r="BQ54" s="15">
        <f t="shared" si="3"/>
        <v>1</v>
      </c>
      <c r="BR54" s="15">
        <f>'[1]功能-战损相关'!M60</f>
        <v>0.125</v>
      </c>
      <c r="BS54" s="15">
        <f>'[1]功能-战损相关'!N60</f>
        <v>0.125</v>
      </c>
      <c r="BT54" s="15">
        <f>'[1]功能-战损相关'!O60</f>
        <v>0.125</v>
      </c>
      <c r="BU54" s="15">
        <f>'[1]功能-战损相关'!P60</f>
        <v>0.125</v>
      </c>
      <c r="BV54" s="15">
        <f>'[1]功能-战损相关'!Q60</f>
        <v>0.125</v>
      </c>
      <c r="CJ54" s="2">
        <f>[4]兵营招募!S88</f>
        <v>51</v>
      </c>
      <c r="CK54" s="2">
        <f>[4]兵营招募!U88</f>
        <v>13000</v>
      </c>
    </row>
    <row r="55" spans="2:89" x14ac:dyDescent="0.15">
      <c r="B55" s="7">
        <v>51</v>
      </c>
      <c r="C55" s="7">
        <f>[1]服务器生态!W72</f>
        <v>305.12265748589357</v>
      </c>
      <c r="D55" s="7">
        <f>[1]服务器生态!X72</f>
        <v>260.89605333518233</v>
      </c>
      <c r="E55" s="7">
        <f>[1]服务器生态!Y72</f>
        <v>22.425221868579314</v>
      </c>
      <c r="F55" s="7">
        <f>[1]服务器生态!Z72</f>
        <v>3.6858769655172425</v>
      </c>
      <c r="G55" s="7">
        <f>[1]服务器生态!AA72</f>
        <v>0.97363862068965512</v>
      </c>
      <c r="H55" s="7">
        <f>[1]服务器生态!AC72</f>
        <v>0.5144509922727275</v>
      </c>
      <c r="I55" s="7">
        <f>[1]服务器生态!AD72</f>
        <v>0.43988288062327252</v>
      </c>
      <c r="J55" s="7">
        <f>[1]服务器生态!AE72</f>
        <v>3.7809967104000003E-2</v>
      </c>
      <c r="K55" s="7">
        <f>[1]服务器生态!AF72</f>
        <v>6.2145600000000018E-3</v>
      </c>
      <c r="L55" s="7">
        <f>[1]服务器生态!AG72</f>
        <v>1.6415999999999998E-3</v>
      </c>
      <c r="M55" s="7">
        <f>[5]基础信息!M54</f>
        <v>93.473684210526315</v>
      </c>
      <c r="Q55" s="7">
        <v>51</v>
      </c>
      <c r="R55" s="7">
        <f>[6]带兵数!D54</f>
        <v>5008.7832933580094</v>
      </c>
      <c r="S55" s="7">
        <f>[6]带兵数!E54</f>
        <v>5057.8003617690756</v>
      </c>
      <c r="T55" s="7">
        <f>[6]带兵数!F54</f>
        <v>5116.1058431778374</v>
      </c>
      <c r="U55" s="7">
        <f>[6]带兵数!G54</f>
        <v>5179.1861136941852</v>
      </c>
      <c r="V55" s="7">
        <f>[6]带兵数!H54</f>
        <v>5249.1926598102818</v>
      </c>
      <c r="X55" s="7">
        <v>51</v>
      </c>
      <c r="Y55" s="7">
        <f>求节点(节奏总纲!D$4:D$163,R$5:R$164,$X55)*6</f>
        <v>32347.979209565281</v>
      </c>
      <c r="Z55" s="7">
        <f>求节点(节奏总纲!E$4:E$163,S$5:S$164,$X55)*6</f>
        <v>33436.599757283795</v>
      </c>
      <c r="AA55" s="7">
        <f>求节点(节奏总纲!F$4:F$163,T$5:T$164,$X55)*6</f>
        <v>34929.716531647224</v>
      </c>
      <c r="AB55" s="7">
        <f>求节点(节奏总纲!G$4:G$163,U$5:U$164,$X55)*6</f>
        <v>37082.123929556124</v>
      </c>
      <c r="AC55" s="7">
        <f>求节点(节奏总纲!H$4:H$163,V$5:V$164,$X55)*6</f>
        <v>40909.804178671242</v>
      </c>
      <c r="AG55" s="7">
        <v>51</v>
      </c>
      <c r="AH55" s="7">
        <v>1</v>
      </c>
      <c r="AI55" s="7">
        <f>[6]实力验证!$Z57</f>
        <v>1.3185707215218017</v>
      </c>
      <c r="AJ55" s="7">
        <f>[6]实力验证!$AE57</f>
        <v>2.3666817475270641</v>
      </c>
      <c r="AK55" s="7">
        <f>[6]实力验证!$AJ57</f>
        <v>6.3457506870869382</v>
      </c>
      <c r="AL55" s="7">
        <f>[6]实力验证!$AO57</f>
        <v>20.990933883548809</v>
      </c>
      <c r="AM55" s="7">
        <f t="shared" si="0"/>
        <v>71.017681098608989</v>
      </c>
      <c r="AR55" s="14">
        <v>51</v>
      </c>
      <c r="AS55" s="14">
        <f>[6]攻城值!AC55</f>
        <v>184.95788789069505</v>
      </c>
      <c r="AT55" s="14">
        <f>[6]攻城值!AD55</f>
        <v>186.08426475354841</v>
      </c>
      <c r="AU55" s="14">
        <f>[6]攻城值!AE55</f>
        <v>190.70897700472617</v>
      </c>
      <c r="AV55" s="14">
        <f>[6]攻城值!AF55</f>
        <v>201.56150679585846</v>
      </c>
      <c r="AW55" s="14">
        <f>[6]攻城值!AG55</f>
        <v>198.48124604984079</v>
      </c>
      <c r="AY55" s="14">
        <v>51</v>
      </c>
      <c r="AZ55" s="14">
        <f>[6]攻城值!AJ55</f>
        <v>1068.2615380178947</v>
      </c>
      <c r="BA55" s="14">
        <f>[6]攻城值!AK55</f>
        <v>1090.540769001643</v>
      </c>
      <c r="BB55" s="14">
        <f>[6]攻城值!AL55</f>
        <v>1135.6715761481107</v>
      </c>
      <c r="BC55" s="14">
        <f>[6]攻城值!AM55</f>
        <v>1220.2218706571259</v>
      </c>
      <c r="BD55" s="14">
        <f>[6]攻城值!AN55</f>
        <v>1223.2233449338412</v>
      </c>
      <c r="BF55" s="14">
        <v>51</v>
      </c>
      <c r="BG55" s="14">
        <f>[6]攻城值!AQ55</f>
        <v>0.14758619605389514</v>
      </c>
      <c r="BH55" s="14">
        <f>[6]攻城值!AR55</f>
        <v>0.85241380394610489</v>
      </c>
      <c r="BL55" s="14">
        <v>51</v>
      </c>
      <c r="BM55" s="15">
        <f t="shared" si="2"/>
        <v>1</v>
      </c>
      <c r="BN55" s="15">
        <f t="shared" si="3"/>
        <v>1</v>
      </c>
      <c r="BO55" s="15">
        <f t="shared" si="3"/>
        <v>1</v>
      </c>
      <c r="BP55" s="15">
        <f t="shared" si="3"/>
        <v>1</v>
      </c>
      <c r="BQ55" s="15">
        <f t="shared" si="3"/>
        <v>1</v>
      </c>
      <c r="BR55" s="15">
        <f>'[1]功能-战损相关'!M61</f>
        <v>0.125</v>
      </c>
      <c r="BS55" s="15">
        <f>'[1]功能-战损相关'!N61</f>
        <v>0.125</v>
      </c>
      <c r="BT55" s="15">
        <f>'[1]功能-战损相关'!O61</f>
        <v>0.125</v>
      </c>
      <c r="BU55" s="15">
        <f>'[1]功能-战损相关'!P61</f>
        <v>0.125</v>
      </c>
      <c r="BV55" s="15">
        <f>'[1]功能-战损相关'!Q61</f>
        <v>0.125</v>
      </c>
      <c r="CJ55" s="2">
        <f>[4]兵营招募!S89</f>
        <v>52</v>
      </c>
      <c r="CK55" s="2">
        <f>[4]兵营招募!U89</f>
        <v>14000</v>
      </c>
    </row>
    <row r="56" spans="2:89" x14ac:dyDescent="0.15">
      <c r="B56" s="7">
        <v>52</v>
      </c>
      <c r="C56" s="7">
        <f>[1]服务器生态!W73</f>
        <v>299.18030425391862</v>
      </c>
      <c r="D56" s="7">
        <f>[1]服务器生态!X73</f>
        <v>256.93462392528141</v>
      </c>
      <c r="E56" s="7">
        <f>[1]服务器生态!Y73</f>
        <v>22.048570855282762</v>
      </c>
      <c r="F56" s="7">
        <f>[1]服务器生态!Z73</f>
        <v>3.6328706206896562</v>
      </c>
      <c r="G56" s="7">
        <f>[1]服务器生态!AA73</f>
        <v>0.96225103448275862</v>
      </c>
      <c r="H56" s="7">
        <f>[1]服务器生态!AC73</f>
        <v>0.51338632090909109</v>
      </c>
      <c r="I56" s="7">
        <f>[1]服务器生态!AD73</f>
        <v>0.44089373336290888</v>
      </c>
      <c r="J56" s="7">
        <f>[1]服务器生态!AE73</f>
        <v>3.7834825728000003E-2</v>
      </c>
      <c r="K56" s="7">
        <f>[1]服务器生态!AF73</f>
        <v>6.2339200000000013E-3</v>
      </c>
      <c r="L56" s="7">
        <f>[1]服务器生态!AG73</f>
        <v>1.6511999999999998E-3</v>
      </c>
      <c r="M56" s="7">
        <f>[5]基础信息!M55</f>
        <v>93.736842105263165</v>
      </c>
      <c r="Q56" s="7">
        <v>52</v>
      </c>
      <c r="R56" s="7">
        <f>[6]带兵数!D55</f>
        <v>5070.9452382022582</v>
      </c>
      <c r="S56" s="7">
        <f>[6]带兵数!E55</f>
        <v>5123.7003907261933</v>
      </c>
      <c r="T56" s="7">
        <f>[6]带兵数!F55</f>
        <v>5180.3757225034651</v>
      </c>
      <c r="U56" s="7">
        <f>[6]带兵数!G55</f>
        <v>5245.4875618998367</v>
      </c>
      <c r="V56" s="7">
        <f>[6]带兵数!H55</f>
        <v>5314.3039941845373</v>
      </c>
      <c r="X56" s="7">
        <v>52</v>
      </c>
      <c r="Y56" s="7">
        <f>求节点(节奏总纲!D$4:D$163,R$5:R$164,$X56)*6</f>
        <v>32453.124168184659</v>
      </c>
      <c r="Z56" s="7">
        <f>求节点(节奏总纲!E$4:E$163,S$5:S$164,$X56)*6</f>
        <v>33542.677387577089</v>
      </c>
      <c r="AA56" s="7">
        <f>求节点(节奏总纲!F$4:F$163,T$5:T$164,$X56)*6</f>
        <v>35040.904768490531</v>
      </c>
      <c r="AB56" s="7">
        <f>求节点(节奏总纲!G$4:G$163,U$5:U$164,$X56)*6</f>
        <v>37197.582984375666</v>
      </c>
      <c r="AC56" s="7">
        <f>求节点(节奏总纲!H$4:H$163,V$5:V$164,$X56)*6</f>
        <v>41020.949614492209</v>
      </c>
      <c r="AG56" s="7">
        <v>52</v>
      </c>
      <c r="AH56" s="7">
        <v>1</v>
      </c>
      <c r="AI56" s="7">
        <f>[6]实力验证!$Z58</f>
        <v>1.330086970303632</v>
      </c>
      <c r="AJ56" s="7">
        <f>[6]实力验证!$AE58</f>
        <v>2.3953900125692709</v>
      </c>
      <c r="AK56" s="7">
        <f>[6]实力验证!$AJ58</f>
        <v>6.4024533628191653</v>
      </c>
      <c r="AL56" s="7">
        <f>[6]实力验证!$AO58</f>
        <v>21.161132335771001</v>
      </c>
      <c r="AM56" s="7">
        <f t="shared" si="0"/>
        <v>71.93114539417887</v>
      </c>
      <c r="AR56" s="14">
        <v>52</v>
      </c>
      <c r="AS56" s="14">
        <f>[6]攻城值!AC56</f>
        <v>190.36682397846391</v>
      </c>
      <c r="AT56" s="14">
        <f>[6]攻城值!AD56</f>
        <v>191.16280675889078</v>
      </c>
      <c r="AU56" s="14">
        <f>[6]攻城值!AE56</f>
        <v>194.80554864026297</v>
      </c>
      <c r="AV56" s="14">
        <f>[6]攻城值!AF56</f>
        <v>206.33333507357594</v>
      </c>
      <c r="AW56" s="14">
        <f>[6]攻城值!AG56</f>
        <v>202.87001831538242</v>
      </c>
      <c r="AY56" s="14">
        <v>52</v>
      </c>
      <c r="AZ56" s="14">
        <f>[6]攻城值!AJ56</f>
        <v>1093.6845659288642</v>
      </c>
      <c r="BA56" s="14">
        <f>[6]攻城值!AK56</f>
        <v>1114.155181659336</v>
      </c>
      <c r="BB56" s="14">
        <f>[6]攻城值!AL56</f>
        <v>1153.4386622318514</v>
      </c>
      <c r="BC56" s="14">
        <f>[6]攻城值!AM56</f>
        <v>1241.7196176039879</v>
      </c>
      <c r="BD56" s="14">
        <f>[6]攻城值!AN56</f>
        <v>1242.5880726621508</v>
      </c>
      <c r="BF56" s="14">
        <v>52</v>
      </c>
      <c r="BG56" s="14">
        <f>[6]攻城值!AQ56</f>
        <v>0.1482548326918621</v>
      </c>
      <c r="BH56" s="14">
        <f>[6]攻城值!AR56</f>
        <v>0.85174516730813798</v>
      </c>
      <c r="BL56" s="14">
        <v>52</v>
      </c>
      <c r="BM56" s="15">
        <f t="shared" si="2"/>
        <v>1</v>
      </c>
      <c r="BN56" s="15">
        <f t="shared" si="3"/>
        <v>1</v>
      </c>
      <c r="BO56" s="15">
        <f t="shared" si="3"/>
        <v>1</v>
      </c>
      <c r="BP56" s="15">
        <f t="shared" si="3"/>
        <v>1</v>
      </c>
      <c r="BQ56" s="15">
        <f t="shared" si="3"/>
        <v>1</v>
      </c>
      <c r="BR56" s="15">
        <f>'[1]功能-战损相关'!M62</f>
        <v>0.125</v>
      </c>
      <c r="BS56" s="15">
        <f>'[1]功能-战损相关'!N62</f>
        <v>0.125</v>
      </c>
      <c r="BT56" s="15">
        <f>'[1]功能-战损相关'!O62</f>
        <v>0.125</v>
      </c>
      <c r="BU56" s="15">
        <f>'[1]功能-战损相关'!P62</f>
        <v>0.125</v>
      </c>
      <c r="BV56" s="15">
        <f>'[1]功能-战损相关'!Q62</f>
        <v>0.125</v>
      </c>
      <c r="CJ56" s="2">
        <f>[4]兵营招募!S90</f>
        <v>53</v>
      </c>
      <c r="CK56" s="2">
        <f>[4]兵营招募!U90</f>
        <v>14000</v>
      </c>
    </row>
    <row r="57" spans="2:89" x14ac:dyDescent="0.15">
      <c r="B57" s="7">
        <v>53</v>
      </c>
      <c r="C57" s="7">
        <f>[1]服务器生态!W74</f>
        <v>293.25997870532927</v>
      </c>
      <c r="D57" s="7">
        <f>[1]服务器生态!X74</f>
        <v>252.95228032076727</v>
      </c>
      <c r="E57" s="7">
        <f>[1]服务器生态!Y74</f>
        <v>21.671405525627588</v>
      </c>
      <c r="F57" s="7">
        <f>[1]服务器生态!Z74</f>
        <v>3.5794637241379319</v>
      </c>
      <c r="G57" s="7">
        <f>[1]服务器生态!AA74</f>
        <v>0.95066482758620674</v>
      </c>
      <c r="H57" s="7">
        <f>[1]服务器生态!AC74</f>
        <v>0.51232164954545478</v>
      </c>
      <c r="I57" s="7">
        <f>[1]服务器生态!AD74</f>
        <v>0.44190458610254524</v>
      </c>
      <c r="J57" s="7">
        <f>[1]服务器生态!AE74</f>
        <v>3.7859684352000003E-2</v>
      </c>
      <c r="K57" s="7">
        <f>[1]服务器生态!AF74</f>
        <v>6.2532800000000017E-3</v>
      </c>
      <c r="L57" s="7">
        <f>[1]服务器生态!AG74</f>
        <v>1.6607999999999998E-3</v>
      </c>
      <c r="M57" s="7">
        <f>[5]基础信息!M56</f>
        <v>94</v>
      </c>
      <c r="Q57" s="7">
        <v>53</v>
      </c>
      <c r="R57" s="7">
        <f>[6]带兵数!D56</f>
        <v>5135.9430310817388</v>
      </c>
      <c r="S57" s="7">
        <f>[6]带兵数!E56</f>
        <v>5187.3698557428161</v>
      </c>
      <c r="T57" s="7">
        <f>[6]带兵数!F56</f>
        <v>5248.3145201793022</v>
      </c>
      <c r="U57" s="7">
        <f>[6]带兵数!G56</f>
        <v>5308.7424938353615</v>
      </c>
      <c r="V57" s="7">
        <f>[6]带兵数!H56</f>
        <v>5377.4966559784389</v>
      </c>
      <c r="X57" s="7">
        <v>53</v>
      </c>
      <c r="Y57" s="7">
        <f>求节点(节奏总纲!D$4:D$163,R$5:R$164,$X57)*6</f>
        <v>32558.269126804033</v>
      </c>
      <c r="Z57" s="7">
        <f>求节点(节奏总纲!E$4:E$163,S$5:S$164,$X57)*6</f>
        <v>33648.755017870368</v>
      </c>
      <c r="AA57" s="7">
        <f>求节点(节奏总纲!F$4:F$163,T$5:T$164,$X57)*6</f>
        <v>35145.327162480389</v>
      </c>
      <c r="AB57" s="7">
        <f>求节点(节奏总纲!G$4:G$163,U$5:U$164,$X57)*6</f>
        <v>37313.042039195207</v>
      </c>
      <c r="AC57" s="7">
        <f>求节点(节奏总纲!H$4:H$163,V$5:V$164,$X57)*6</f>
        <v>41129.214176030051</v>
      </c>
      <c r="AG57" s="7">
        <v>53</v>
      </c>
      <c r="AH57" s="7">
        <v>1</v>
      </c>
      <c r="AI57" s="7">
        <f>[6]实力验证!$Z59</f>
        <v>1.3410034014469272</v>
      </c>
      <c r="AJ57" s="7">
        <f>[6]实力验证!$AE59</f>
        <v>2.4253259714018798</v>
      </c>
      <c r="AK57" s="7">
        <f>[6]实力验证!$AJ59</f>
        <v>6.4562027101107979</v>
      </c>
      <c r="AL57" s="7">
        <f>[6]实力验证!$AO59</f>
        <v>21.380747884707453</v>
      </c>
      <c r="AM57" s="7">
        <f t="shared" si="0"/>
        <v>72.856070219817923</v>
      </c>
      <c r="AR57" s="14">
        <v>53</v>
      </c>
      <c r="AS57" s="14">
        <f>[6]攻城值!AC57</f>
        <v>195.87694565211703</v>
      </c>
      <c r="AT57" s="14">
        <f>[6]攻城值!AD57</f>
        <v>196.3677892799727</v>
      </c>
      <c r="AU57" s="14">
        <f>[6]攻城值!AE57</f>
        <v>198.98227053668649</v>
      </c>
      <c r="AV57" s="14">
        <f>[6]攻城值!AF57</f>
        <v>211.13960081003694</v>
      </c>
      <c r="AW57" s="14">
        <f>[6]攻城值!AG57</f>
        <v>207.51586918989238</v>
      </c>
      <c r="AY57" s="14">
        <v>53</v>
      </c>
      <c r="AZ57" s="14">
        <f>[6]攻城值!AJ57</f>
        <v>1119.5629328996934</v>
      </c>
      <c r="BA57" s="14">
        <f>[6]攻城值!AK57</f>
        <v>1138.3947968141047</v>
      </c>
      <c r="BB57" s="14">
        <f>[6]攻城值!AL57</f>
        <v>1171.6336783448858</v>
      </c>
      <c r="BC57" s="14">
        <f>[6]攻城值!AM57</f>
        <v>1263.4374195723526</v>
      </c>
      <c r="BD57" s="14">
        <f>[6]攻城值!AN57</f>
        <v>1263.6376637826563</v>
      </c>
      <c r="BF57" s="14">
        <v>53</v>
      </c>
      <c r="BG57" s="14">
        <f>[6]攻城值!AQ57</f>
        <v>0.14890604188445405</v>
      </c>
      <c r="BH57" s="14">
        <f>[6]攻城值!AR57</f>
        <v>0.851093958115546</v>
      </c>
      <c r="BL57" s="14">
        <v>53</v>
      </c>
      <c r="BM57" s="15">
        <f t="shared" si="2"/>
        <v>1</v>
      </c>
      <c r="BN57" s="15">
        <f t="shared" si="3"/>
        <v>1</v>
      </c>
      <c r="BO57" s="15">
        <f t="shared" si="3"/>
        <v>1</v>
      </c>
      <c r="BP57" s="15">
        <f t="shared" si="3"/>
        <v>1</v>
      </c>
      <c r="BQ57" s="15">
        <f t="shared" si="3"/>
        <v>1</v>
      </c>
      <c r="BR57" s="15">
        <f>'[1]功能-战损相关'!M63</f>
        <v>0.125</v>
      </c>
      <c r="BS57" s="15">
        <f>'[1]功能-战损相关'!N63</f>
        <v>0.125</v>
      </c>
      <c r="BT57" s="15">
        <f>'[1]功能-战损相关'!O63</f>
        <v>0.125</v>
      </c>
      <c r="BU57" s="15">
        <f>'[1]功能-战损相关'!P63</f>
        <v>0.125</v>
      </c>
      <c r="BV57" s="15">
        <f>'[1]功能-战损相关'!Q63</f>
        <v>0.125</v>
      </c>
      <c r="CJ57" s="2">
        <f>[4]兵营招募!S91</f>
        <v>54</v>
      </c>
      <c r="CK57" s="2">
        <f>[4]兵营招募!U91</f>
        <v>15000</v>
      </c>
    </row>
    <row r="58" spans="2:89" x14ac:dyDescent="0.15">
      <c r="B58" s="7">
        <v>54</v>
      </c>
      <c r="C58" s="7">
        <f>[1]服务器生态!W75</f>
        <v>287.36168084012553</v>
      </c>
      <c r="D58" s="7">
        <f>[1]服务器生态!X75</f>
        <v>248.94902252164002</v>
      </c>
      <c r="E58" s="7">
        <f>[1]服务器生态!Y75</f>
        <v>21.293725879613795</v>
      </c>
      <c r="F58" s="7">
        <f>[1]服务器生态!Z75</f>
        <v>3.5256562758620702</v>
      </c>
      <c r="G58" s="7">
        <f>[1]服务器生态!AA75</f>
        <v>0.93887999999999994</v>
      </c>
      <c r="H58" s="7">
        <f>[1]服务器生态!AC75</f>
        <v>0.51125697818181837</v>
      </c>
      <c r="I58" s="7">
        <f>[1]服务器生态!AD75</f>
        <v>0.4429154388421816</v>
      </c>
      <c r="J58" s="7">
        <f>[1]服务器生态!AE75</f>
        <v>3.7884542976000003E-2</v>
      </c>
      <c r="K58" s="7">
        <f>[1]服务器生态!AF75</f>
        <v>6.2726400000000021E-3</v>
      </c>
      <c r="L58" s="7">
        <f>[1]服务器生态!AG75</f>
        <v>1.6703999999999998E-3</v>
      </c>
      <c r="M58" s="7">
        <f>[5]基础信息!M57</f>
        <v>94.238095238095241</v>
      </c>
      <c r="Q58" s="7">
        <v>54</v>
      </c>
      <c r="R58" s="7">
        <f>[6]带兵数!D57</f>
        <v>5199.1963103880526</v>
      </c>
      <c r="S58" s="7">
        <f>[6]带兵数!E57</f>
        <v>5253.2647261636957</v>
      </c>
      <c r="T58" s="7">
        <f>[6]带兵数!F57</f>
        <v>5309.5273053426445</v>
      </c>
      <c r="U58" s="7">
        <f>[6]带兵数!G57</f>
        <v>5373.139573989567</v>
      </c>
      <c r="V58" s="7">
        <f>[6]带兵数!H57</f>
        <v>5438.6702458597865</v>
      </c>
      <c r="X58" s="7">
        <v>54</v>
      </c>
      <c r="Y58" s="7">
        <f>求节点(节奏总纲!D$4:D$163,R$5:R$164,$X58)*6</f>
        <v>32663.414085423407</v>
      </c>
      <c r="Z58" s="7">
        <f>求节点(节奏总纲!E$4:E$163,S$5:S$164,$X58)*6</f>
        <v>33754.832648163647</v>
      </c>
      <c r="AA58" s="7">
        <f>求节点(节奏总纲!F$4:F$163,T$5:T$164,$X58)*6</f>
        <v>35249.749556470255</v>
      </c>
      <c r="AB58" s="7">
        <f>求节点(节奏总纲!G$4:G$163,U$5:U$164,$X58)*6</f>
        <v>37423.322665919506</v>
      </c>
      <c r="AC58" s="7">
        <f>求节点(节奏总纲!H$4:H$163,V$5:V$164,$X58)*6</f>
        <v>41237.478737567893</v>
      </c>
      <c r="AG58" s="7">
        <v>54</v>
      </c>
      <c r="AH58" s="7">
        <v>1</v>
      </c>
      <c r="AI58" s="7">
        <f>[6]实力验证!$Z60</f>
        <v>1.351365687311304</v>
      </c>
      <c r="AJ58" s="7">
        <f>[6]实力验证!$AE60</f>
        <v>2.453742306280541</v>
      </c>
      <c r="AK58" s="7">
        <f>[6]实力验证!$AJ60</f>
        <v>6.5130211904434487</v>
      </c>
      <c r="AL58" s="7">
        <f>[6]实力验证!$AO60</f>
        <v>21.589215200487605</v>
      </c>
      <c r="AM58" s="7">
        <f t="shared" si="0"/>
        <v>73.744587751918019</v>
      </c>
      <c r="AR58" s="14">
        <v>54</v>
      </c>
      <c r="AS58" s="14">
        <f>[6]攻城值!AC58</f>
        <v>201.47731382294077</v>
      </c>
      <c r="AT58" s="14">
        <f>[6]攻城值!AD58</f>
        <v>201.73586018335709</v>
      </c>
      <c r="AU58" s="14">
        <f>[6]攻城值!AE58</f>
        <v>204.00436235161109</v>
      </c>
      <c r="AV58" s="14">
        <f>[6]攻城值!AF58</f>
        <v>215.5951821524614</v>
      </c>
      <c r="AW58" s="14">
        <f>[6]攻城值!AG58</f>
        <v>212.25287879151131</v>
      </c>
      <c r="AY58" s="14">
        <v>54</v>
      </c>
      <c r="AZ58" s="14">
        <f>[6]攻城值!AJ58</f>
        <v>1145.978431130651</v>
      </c>
      <c r="BA58" s="14">
        <f>[6]攻城值!AK58</f>
        <v>1163.7332577145796</v>
      </c>
      <c r="BB58" s="14">
        <f>[6]攻城值!AL58</f>
        <v>1195.0286988668763</v>
      </c>
      <c r="BC58" s="14">
        <f>[6]攻城值!AM58</f>
        <v>1283.3035976352153</v>
      </c>
      <c r="BD58" s="14">
        <f>[6]攻城值!AN58</f>
        <v>1285.3921540879596</v>
      </c>
      <c r="BF58" s="14">
        <v>54</v>
      </c>
      <c r="BG58" s="14">
        <f>[6]攻城值!AQ58</f>
        <v>0.14952425308029685</v>
      </c>
      <c r="BH58" s="14">
        <f>[6]攻城值!AR58</f>
        <v>0.85047574691970318</v>
      </c>
      <c r="BL58" s="14">
        <v>54</v>
      </c>
      <c r="BM58" s="15">
        <f t="shared" si="2"/>
        <v>1</v>
      </c>
      <c r="BN58" s="15">
        <f t="shared" si="3"/>
        <v>1</v>
      </c>
      <c r="BO58" s="15">
        <f t="shared" si="3"/>
        <v>1</v>
      </c>
      <c r="BP58" s="15">
        <f t="shared" si="3"/>
        <v>1</v>
      </c>
      <c r="BQ58" s="15">
        <f t="shared" si="3"/>
        <v>1</v>
      </c>
      <c r="BR58" s="15">
        <f>'[1]功能-战损相关'!M64</f>
        <v>0.125</v>
      </c>
      <c r="BS58" s="15">
        <f>'[1]功能-战损相关'!N64</f>
        <v>0.125</v>
      </c>
      <c r="BT58" s="15">
        <f>'[1]功能-战损相关'!O64</f>
        <v>0.125</v>
      </c>
      <c r="BU58" s="15">
        <f>'[1]功能-战损相关'!P64</f>
        <v>0.125</v>
      </c>
      <c r="BV58" s="15">
        <f>'[1]功能-战损相关'!Q64</f>
        <v>0.125</v>
      </c>
      <c r="CJ58" s="2">
        <f>[4]兵营招募!S92</f>
        <v>55</v>
      </c>
      <c r="CK58" s="2">
        <f>[4]兵营招募!U92</f>
        <v>15000</v>
      </c>
    </row>
    <row r="59" spans="2:89" x14ac:dyDescent="0.15">
      <c r="B59" s="7">
        <v>55</v>
      </c>
      <c r="C59" s="7">
        <f>[1]服务器生态!W76</f>
        <v>281.48541065830733</v>
      </c>
      <c r="D59" s="7">
        <f>[1]服务器生态!X76</f>
        <v>244.92485052789957</v>
      </c>
      <c r="E59" s="7">
        <f>[1]服务器生态!Y76</f>
        <v>20.915531917241378</v>
      </c>
      <c r="F59" s="7">
        <f>[1]服务器生态!Z76</f>
        <v>3.4714482758620693</v>
      </c>
      <c r="G59" s="7">
        <f>[1]服务器生态!AA76</f>
        <v>0.92689655172413765</v>
      </c>
      <c r="H59" s="7">
        <f>[1]服务器生态!AC76</f>
        <v>0.51019230681818206</v>
      </c>
      <c r="I59" s="7">
        <f>[1]服务器生态!AD76</f>
        <v>0.44392629158181801</v>
      </c>
      <c r="J59" s="7">
        <f>[1]服务器生态!AE76</f>
        <v>3.7909401600000003E-2</v>
      </c>
      <c r="K59" s="7">
        <f>[1]服务器生态!AF76</f>
        <v>6.2920000000000016E-3</v>
      </c>
      <c r="L59" s="7">
        <f>[1]服务器生态!AG76</f>
        <v>1.6799999999999996E-3</v>
      </c>
      <c r="M59" s="7">
        <f>[5]基础信息!M58</f>
        <v>94.476190476190482</v>
      </c>
      <c r="Q59" s="7">
        <v>55</v>
      </c>
      <c r="R59" s="7">
        <f>[6]带兵数!D58</f>
        <v>5263.360901484315</v>
      </c>
      <c r="S59" s="7">
        <f>[6]带兵数!E58</f>
        <v>5315.946827408321</v>
      </c>
      <c r="T59" s="7">
        <f>[6]带兵数!F58</f>
        <v>5372.8861415776682</v>
      </c>
      <c r="U59" s="7">
        <f>[6]带兵数!G58</f>
        <v>5433.6170958710936</v>
      </c>
      <c r="V59" s="7">
        <f>[6]带兵数!H58</f>
        <v>5501.9323824093135</v>
      </c>
      <c r="X59" s="7">
        <v>55</v>
      </c>
      <c r="Y59" s="7">
        <f>求节点(节奏总纲!D$4:D$163,R$5:R$164,$X59)*6</f>
        <v>32765.360455762384</v>
      </c>
      <c r="Z59" s="7">
        <f>求节点(节奏总纲!E$4:E$163,S$5:S$164,$X59)*6</f>
        <v>33859.703741978701</v>
      </c>
      <c r="AA59" s="7">
        <f>求节点(节奏总纲!F$4:F$163,T$5:T$164,$X59)*6</f>
        <v>35354.171950460113</v>
      </c>
      <c r="AB59" s="7">
        <f>求节点(节奏总纲!G$4:G$163,U$5:U$164,$X59)*6</f>
        <v>37524.939574053162</v>
      </c>
      <c r="AC59" s="7">
        <f>求节点(节奏总纲!H$4:H$163,V$5:V$164,$X59)*6</f>
        <v>41345.743299105736</v>
      </c>
      <c r="AG59" s="7">
        <v>55</v>
      </c>
      <c r="AH59" s="7">
        <v>1</v>
      </c>
      <c r="AI59" s="7">
        <f>[6]实力验证!$Z61</f>
        <v>1.3645403481706453</v>
      </c>
      <c r="AJ59" s="7">
        <f>[6]实力验证!$AE61</f>
        <v>2.4806655365674022</v>
      </c>
      <c r="AK59" s="7">
        <f>[6]实力验证!$AJ61</f>
        <v>6.5762574626502701</v>
      </c>
      <c r="AL59" s="7">
        <f>[6]实力验证!$AO61</f>
        <v>21.786603972774937</v>
      </c>
      <c r="AM59" s="7">
        <f t="shared" si="0"/>
        <v>74.704521270754583</v>
      </c>
      <c r="AR59" s="14">
        <v>55</v>
      </c>
      <c r="AS59" s="14">
        <f>[6]攻城值!AC59</f>
        <v>207.06515114316673</v>
      </c>
      <c r="AT59" s="14">
        <f>[6]攻城值!AD59</f>
        <v>207.12945861496831</v>
      </c>
      <c r="AU59" s="14">
        <f>[6]攻城值!AE59</f>
        <v>209.21871772096102</v>
      </c>
      <c r="AV59" s="14">
        <f>[6]攻城值!AF59</f>
        <v>220.11879587337265</v>
      </c>
      <c r="AW59" s="14">
        <f>[6]攻城值!AG59</f>
        <v>217.05950959466074</v>
      </c>
      <c r="AY59" s="14">
        <v>55</v>
      </c>
      <c r="AZ59" s="14">
        <f>[6]攻城值!AJ59</f>
        <v>1172.3962682957263</v>
      </c>
      <c r="BA59" s="14">
        <f>[6]攻城值!AK59</f>
        <v>1189.1860578802641</v>
      </c>
      <c r="BB59" s="14">
        <f>[6]攻城值!AL59</f>
        <v>1219.5297229622852</v>
      </c>
      <c r="BC59" s="14">
        <f>[6]攻城值!AM59</f>
        <v>1303.5200013022645</v>
      </c>
      <c r="BD59" s="14">
        <f>[6]攻城值!AN59</f>
        <v>1307.4878993997943</v>
      </c>
      <c r="BF59" s="14">
        <v>55</v>
      </c>
      <c r="BG59" s="14">
        <f>[6]攻城值!AQ59</f>
        <v>0.1501057936273362</v>
      </c>
      <c r="BH59" s="14">
        <f>[6]攻城值!AR59</f>
        <v>0.84989420637266377</v>
      </c>
      <c r="BL59" s="14">
        <v>55</v>
      </c>
      <c r="BM59" s="15">
        <f t="shared" si="2"/>
        <v>1</v>
      </c>
      <c r="BN59" s="15">
        <f t="shared" si="3"/>
        <v>1</v>
      </c>
      <c r="BO59" s="15">
        <f t="shared" si="3"/>
        <v>1</v>
      </c>
      <c r="BP59" s="15">
        <f t="shared" si="3"/>
        <v>1</v>
      </c>
      <c r="BQ59" s="15">
        <f t="shared" si="3"/>
        <v>1</v>
      </c>
      <c r="BR59" s="15">
        <f>'[1]功能-战损相关'!M65</f>
        <v>0.125</v>
      </c>
      <c r="BS59" s="15">
        <f>'[1]功能-战损相关'!N65</f>
        <v>0.125</v>
      </c>
      <c r="BT59" s="15">
        <f>'[1]功能-战损相关'!O65</f>
        <v>0.125</v>
      </c>
      <c r="BU59" s="15">
        <f>'[1]功能-战损相关'!P65</f>
        <v>0.125</v>
      </c>
      <c r="BV59" s="15">
        <f>'[1]功能-战损相关'!Q65</f>
        <v>0.125</v>
      </c>
      <c r="CJ59" s="2">
        <f>[4]兵营招募!S93</f>
        <v>56</v>
      </c>
      <c r="CK59" s="2">
        <f>[4]兵营招募!U93</f>
        <v>17000</v>
      </c>
    </row>
    <row r="60" spans="2:89" x14ac:dyDescent="0.15">
      <c r="B60" s="7">
        <v>56</v>
      </c>
      <c r="C60" s="7">
        <f>[1]服务器生态!W77</f>
        <v>275.63116815987473</v>
      </c>
      <c r="D60" s="7">
        <f>[1]服务器生态!X77</f>
        <v>240.87976433954603</v>
      </c>
      <c r="E60" s="7">
        <f>[1]服务器生态!Y77</f>
        <v>20.536823638510349</v>
      </c>
      <c r="F60" s="7">
        <f>[1]服务器生态!Z77</f>
        <v>3.4168397241379327</v>
      </c>
      <c r="G60" s="7">
        <f>[1]服务器生态!AA77</f>
        <v>0.91471448275862066</v>
      </c>
      <c r="H60" s="7">
        <f>[1]服务器生态!AC77</f>
        <v>0.50912763545454565</v>
      </c>
      <c r="I60" s="7">
        <f>[1]服务器生态!AD77</f>
        <v>0.44493714432145437</v>
      </c>
      <c r="J60" s="7">
        <f>[1]服务器生态!AE77</f>
        <v>3.7934260224000003E-2</v>
      </c>
      <c r="K60" s="7">
        <f>[1]服务器生态!AF77</f>
        <v>6.311360000000002E-3</v>
      </c>
      <c r="L60" s="7">
        <f>[1]服务器生态!AG77</f>
        <v>1.6895999999999997E-3</v>
      </c>
      <c r="M60" s="7">
        <f>[5]基础信息!M59</f>
        <v>94.714285714285708</v>
      </c>
      <c r="Q60" s="7">
        <v>56</v>
      </c>
      <c r="R60" s="7">
        <f>[6]带兵数!D59</f>
        <v>5327.689290730219</v>
      </c>
      <c r="S60" s="7">
        <f>[6]带兵数!E59</f>
        <v>5378.6500470373412</v>
      </c>
      <c r="T60" s="7">
        <f>[6]带兵数!F59</f>
        <v>5435.242680354555</v>
      </c>
      <c r="U60" s="7">
        <f>[6]带兵数!G59</f>
        <v>5496.9671993596457</v>
      </c>
      <c r="V60" s="7">
        <f>[6]带兵数!H59</f>
        <v>5565.5098518625491</v>
      </c>
      <c r="X60" s="7">
        <v>56</v>
      </c>
      <c r="Y60" s="7">
        <f>求节点(节奏总纲!D$4:D$163,R$5:R$164,$X60)*6</f>
        <v>32859.272994368293</v>
      </c>
      <c r="Z60" s="7">
        <f>求节点(节奏总纲!E$4:E$163,S$5:S$164,$X60)*6</f>
        <v>33962.842184748879</v>
      </c>
      <c r="AA60" s="7">
        <f>求节点(节奏总纲!F$4:F$163,T$5:T$164,$X60)*6</f>
        <v>35456.832526382772</v>
      </c>
      <c r="AB60" s="7">
        <f>求节点(节奏总纲!G$4:G$163,U$5:U$164,$X60)*6</f>
        <v>37626.556482186825</v>
      </c>
      <c r="AC60" s="7">
        <f>求节点(节奏总纲!H$4:H$163,V$5:V$164,$X60)*6</f>
        <v>41451.049749203732</v>
      </c>
      <c r="AG60" s="7">
        <v>56</v>
      </c>
      <c r="AH60" s="7">
        <v>1</v>
      </c>
      <c r="AI60" s="7">
        <f>[6]实力验证!$Z62</f>
        <v>1.3816861284510735</v>
      </c>
      <c r="AJ60" s="7">
        <f>[6]实力验证!$AE62</f>
        <v>2.5093916335762478</v>
      </c>
      <c r="AK60" s="7">
        <f>[6]实力验证!$AJ62</f>
        <v>6.6358687302167052</v>
      </c>
      <c r="AL60" s="7">
        <f>[6]实力验证!$AO62</f>
        <v>22.00198558027213</v>
      </c>
      <c r="AM60" s="7">
        <f t="shared" si="0"/>
        <v>75.784772424317154</v>
      </c>
      <c r="AR60" s="14">
        <v>56</v>
      </c>
      <c r="AS60" s="14">
        <f>[6]攻城值!AC60</f>
        <v>212.418547491949</v>
      </c>
      <c r="AT60" s="14">
        <f>[6]攻城值!AD60</f>
        <v>212.67232805381298</v>
      </c>
      <c r="AU60" s="14">
        <f>[6]攻城值!AE60</f>
        <v>214.50806865068947</v>
      </c>
      <c r="AV60" s="14">
        <f>[6]攻城值!AF60</f>
        <v>224.71409086245282</v>
      </c>
      <c r="AW60" s="14">
        <f>[6]攻城值!AG60</f>
        <v>221.94092191211766</v>
      </c>
      <c r="AY60" s="14">
        <v>56</v>
      </c>
      <c r="AZ60" s="14">
        <f>[6]攻城值!AJ60</f>
        <v>1197.3817195684537</v>
      </c>
      <c r="BA60" s="14">
        <f>[6]攻城值!AK60</f>
        <v>1215.3853628441641</v>
      </c>
      <c r="BB60" s="14">
        <f>[6]攻城值!AL60</f>
        <v>1244.3651895249789</v>
      </c>
      <c r="BC60" s="14">
        <f>[6]攻城值!AM60</f>
        <v>1324.1046680210607</v>
      </c>
      <c r="BD60" s="14">
        <f>[6]攻城值!AN60</f>
        <v>1329.9530834246505</v>
      </c>
      <c r="BF60" s="14">
        <v>56</v>
      </c>
      <c r="BG60" s="14">
        <f>[6]攻城值!AQ60</f>
        <v>0.15067279561158428</v>
      </c>
      <c r="BH60" s="14">
        <f>[6]攻城值!AR60</f>
        <v>0.84932720438841569</v>
      </c>
      <c r="BL60" s="14">
        <v>56</v>
      </c>
      <c r="BM60" s="15">
        <f t="shared" si="2"/>
        <v>1</v>
      </c>
      <c r="BN60" s="15">
        <f t="shared" si="3"/>
        <v>1</v>
      </c>
      <c r="BO60" s="15">
        <f t="shared" si="3"/>
        <v>1</v>
      </c>
      <c r="BP60" s="15">
        <f t="shared" si="3"/>
        <v>1</v>
      </c>
      <c r="BQ60" s="15">
        <f t="shared" si="3"/>
        <v>1</v>
      </c>
      <c r="BR60" s="15">
        <f>'[1]功能-战损相关'!M66</f>
        <v>0.125</v>
      </c>
      <c r="BS60" s="15">
        <f>'[1]功能-战损相关'!N66</f>
        <v>0.125</v>
      </c>
      <c r="BT60" s="15">
        <f>'[1]功能-战损相关'!O66</f>
        <v>0.125</v>
      </c>
      <c r="BU60" s="15">
        <f>'[1]功能-战损相关'!P66</f>
        <v>0.125</v>
      </c>
      <c r="BV60" s="15">
        <f>'[1]功能-战损相关'!Q66</f>
        <v>0.125</v>
      </c>
      <c r="CJ60" s="2">
        <f>[4]兵营招募!S94</f>
        <v>57</v>
      </c>
      <c r="CK60" s="2">
        <f>[4]兵营招募!U94</f>
        <v>17000</v>
      </c>
    </row>
    <row r="61" spans="2:89" x14ac:dyDescent="0.15">
      <c r="B61" s="7">
        <v>57</v>
      </c>
      <c r="C61" s="7">
        <f>[1]服务器生态!W78</f>
        <v>269.79895334482774</v>
      </c>
      <c r="D61" s="7">
        <f>[1]服务器生态!X78</f>
        <v>236.81376395657921</v>
      </c>
      <c r="E61" s="7">
        <f>[1]服务器生态!Y78</f>
        <v>20.157601043420691</v>
      </c>
      <c r="F61" s="7">
        <f>[1]服务器生态!Z78</f>
        <v>3.361830620689656</v>
      </c>
      <c r="G61" s="7">
        <f>[1]服务器生态!AA78</f>
        <v>0.90233379310344808</v>
      </c>
      <c r="H61" s="7">
        <f>[1]服务器生态!AC78</f>
        <v>0.50806296409090934</v>
      </c>
      <c r="I61" s="7">
        <f>[1]服务器生态!AD78</f>
        <v>0.44594799706109073</v>
      </c>
      <c r="J61" s="7">
        <f>[1]服务器生态!AE78</f>
        <v>3.7959118848000004E-2</v>
      </c>
      <c r="K61" s="7">
        <f>[1]服务器生态!AF78</f>
        <v>6.3307200000000015E-3</v>
      </c>
      <c r="L61" s="7">
        <f>[1]服务器生态!AG78</f>
        <v>1.6991999999999997E-3</v>
      </c>
      <c r="M61" s="7">
        <f>[5]基础信息!M60</f>
        <v>94.952380952380949</v>
      </c>
      <c r="Q61" s="7">
        <v>57</v>
      </c>
      <c r="R61" s="7">
        <f>[6]带兵数!D60</f>
        <v>5391.052169328852</v>
      </c>
      <c r="S61" s="7">
        <f>[6]带兵数!E60</f>
        <v>5443.6006917064578</v>
      </c>
      <c r="T61" s="7">
        <f>[6]带兵数!F60</f>
        <v>5498.332188215918</v>
      </c>
      <c r="U61" s="7">
        <f>[6]带兵数!G60</f>
        <v>5560.8560867691785</v>
      </c>
      <c r="V61" s="7">
        <f>[6]带兵数!H60</f>
        <v>5632.8038378653764</v>
      </c>
      <c r="X61" s="7">
        <v>57</v>
      </c>
      <c r="Y61" s="7">
        <f>求节点(节奏总纲!D$4:D$163,R$5:R$164,$X61)*6</f>
        <v>32953.185532974196</v>
      </c>
      <c r="Z61" s="7">
        <f>求节点(节奏总纲!E$4:E$163,S$5:S$164,$X61)*6</f>
        <v>34065.980627519057</v>
      </c>
      <c r="AA61" s="7">
        <f>求节点(节奏总纲!F$4:F$163,T$5:T$164,$X61)*6</f>
        <v>35558.808365091492</v>
      </c>
      <c r="AB61" s="7">
        <f>求节点(节奏总纲!G$4:G$163,U$5:U$164,$X61)*6</f>
        <v>37728.17339032048</v>
      </c>
      <c r="AC61" s="7">
        <f>求节点(节奏总纲!H$4:H$163,V$5:V$164,$X61)*6</f>
        <v>41550.49517899991</v>
      </c>
      <c r="AG61" s="7">
        <v>57</v>
      </c>
      <c r="AH61" s="7">
        <v>1</v>
      </c>
      <c r="AI61" s="7">
        <f>[6]实力验证!$Z63</f>
        <v>1.3980193528536511</v>
      </c>
      <c r="AJ61" s="7">
        <f>[6]实力验证!$AE63</f>
        <v>2.5380157521336972</v>
      </c>
      <c r="AK61" s="7">
        <f>[6]实力验证!$AJ63</f>
        <v>6.6926549594906275</v>
      </c>
      <c r="AL61" s="7">
        <f>[6]实力验证!$AO63</f>
        <v>22.264061044578824</v>
      </c>
      <c r="AM61" s="7">
        <f t="shared" si="0"/>
        <v>76.863316206553492</v>
      </c>
      <c r="AR61" s="14">
        <v>57</v>
      </c>
      <c r="AS61" s="14">
        <f>[6]攻城值!AC61</f>
        <v>217.23065495014012</v>
      </c>
      <c r="AT61" s="14">
        <f>[6]攻城值!AD61</f>
        <v>218.36580251018805</v>
      </c>
      <c r="AU61" s="14">
        <f>[6]攻城值!AE61</f>
        <v>219.97873881693761</v>
      </c>
      <c r="AV61" s="14">
        <f>[6]攻城值!AF61</f>
        <v>229.39500134230681</v>
      </c>
      <c r="AW61" s="14">
        <f>[6]攻城值!AG61</f>
        <v>226.90647612178694</v>
      </c>
      <c r="AY61" s="14">
        <v>57</v>
      </c>
      <c r="AZ61" s="14">
        <f>[6]攻城值!AJ61</f>
        <v>1219.234938494382</v>
      </c>
      <c r="BA61" s="14">
        <f>[6]攻城值!AK61</f>
        <v>1242.3323958539518</v>
      </c>
      <c r="BB61" s="14">
        <f>[6]攻城值!AL61</f>
        <v>1270.1477289398274</v>
      </c>
      <c r="BC61" s="14">
        <f>[6]攻城值!AM61</f>
        <v>1345.1357506487977</v>
      </c>
      <c r="BD61" s="14">
        <f>[6]攻城值!AN61</f>
        <v>1352.8404807247309</v>
      </c>
      <c r="BF61" s="14">
        <v>57</v>
      </c>
      <c r="BG61" s="14">
        <f>[6]攻城值!AQ61</f>
        <v>0.15122579750012632</v>
      </c>
      <c r="BH61" s="14">
        <f>[6]攻城值!AR61</f>
        <v>0.84877420249987356</v>
      </c>
      <c r="BL61" s="14">
        <v>57</v>
      </c>
      <c r="BM61" s="15">
        <f t="shared" si="2"/>
        <v>1</v>
      </c>
      <c r="BN61" s="15">
        <f t="shared" si="3"/>
        <v>1</v>
      </c>
      <c r="BO61" s="15">
        <f t="shared" si="3"/>
        <v>1</v>
      </c>
      <c r="BP61" s="15">
        <f t="shared" si="3"/>
        <v>1</v>
      </c>
      <c r="BQ61" s="15">
        <f t="shared" si="3"/>
        <v>1</v>
      </c>
      <c r="BR61" s="15">
        <f>'[1]功能-战损相关'!M67</f>
        <v>0.125</v>
      </c>
      <c r="BS61" s="15">
        <f>'[1]功能-战损相关'!N67</f>
        <v>0.125</v>
      </c>
      <c r="BT61" s="15">
        <f>'[1]功能-战损相关'!O67</f>
        <v>0.125</v>
      </c>
      <c r="BU61" s="15">
        <f>'[1]功能-战损相关'!P67</f>
        <v>0.125</v>
      </c>
      <c r="BV61" s="15">
        <f>'[1]功能-战损相关'!Q67</f>
        <v>0.125</v>
      </c>
      <c r="CJ61" s="2">
        <f>[4]兵营招募!S95</f>
        <v>58</v>
      </c>
      <c r="CK61" s="2">
        <f>[4]兵营招募!U95</f>
        <v>17000</v>
      </c>
    </row>
    <row r="62" spans="2:89" x14ac:dyDescent="0.15">
      <c r="B62" s="7">
        <v>58</v>
      </c>
      <c r="C62" s="7">
        <f>[1]服务器生态!W79</f>
        <v>263.98876621316629</v>
      </c>
      <c r="D62" s="7">
        <f>[1]服务器生态!X79</f>
        <v>232.7268493789993</v>
      </c>
      <c r="E62" s="7">
        <f>[1]服务器生态!Y79</f>
        <v>19.777864131972418</v>
      </c>
      <c r="F62" s="7">
        <f>[1]服务器生态!Z79</f>
        <v>3.3064209655172427</v>
      </c>
      <c r="G62" s="7">
        <f>[1]服务器生态!AA79</f>
        <v>0.88975448275862057</v>
      </c>
      <c r="H62" s="7">
        <f>[1]服务器生态!AC79</f>
        <v>0.50699829272727293</v>
      </c>
      <c r="I62" s="7">
        <f>[1]服务器生态!AD79</f>
        <v>0.44695884980072709</v>
      </c>
      <c r="J62" s="7">
        <f>[1]服务器生态!AE79</f>
        <v>3.7983977472000004E-2</v>
      </c>
      <c r="K62" s="7">
        <f>[1]服务器生态!AF79</f>
        <v>6.3500800000000019E-3</v>
      </c>
      <c r="L62" s="7">
        <f>[1]服务器生态!AG79</f>
        <v>1.7087999999999997E-3</v>
      </c>
      <c r="M62" s="7">
        <f>[5]基础信息!M61</f>
        <v>95.19047619047619</v>
      </c>
      <c r="Q62" s="7">
        <v>58</v>
      </c>
      <c r="R62" s="7">
        <f>[6]带兵数!D61</f>
        <v>5456.4362584006394</v>
      </c>
      <c r="S62" s="7">
        <f>[6]带兵数!E61</f>
        <v>5505.5333392643561</v>
      </c>
      <c r="T62" s="7">
        <f>[6]带兵数!F61</f>
        <v>5563.2313012164523</v>
      </c>
      <c r="U62" s="7">
        <f>[6]带兵数!G61</f>
        <v>5627.396776908311</v>
      </c>
      <c r="V62" s="7">
        <f>[6]带兵数!H61</f>
        <v>5696.5928362136156</v>
      </c>
      <c r="X62" s="7">
        <v>58</v>
      </c>
      <c r="Y62" s="7">
        <f>求节点(节奏总纲!D$4:D$163,R$5:R$164,$X62)*6</f>
        <v>33047.098071580098</v>
      </c>
      <c r="Z62" s="7">
        <f>求节点(节奏总纲!E$4:E$163,S$5:S$164,$X62)*6</f>
        <v>34169.119070289235</v>
      </c>
      <c r="AA62" s="7">
        <f>求节点(节奏总纲!F$4:F$163,T$5:T$164,$X62)*6</f>
        <v>35660.784203800213</v>
      </c>
      <c r="AB62" s="7">
        <f>求节点(节奏总纲!G$4:G$163,U$5:U$164,$X62)*6</f>
        <v>37828.275573301376</v>
      </c>
      <c r="AC62" s="7">
        <f>求节点(节奏总纲!H$4:H$163,V$5:V$164,$X62)*6</f>
        <v>41649.940608796096</v>
      </c>
      <c r="AG62" s="7">
        <v>58</v>
      </c>
      <c r="AH62" s="7">
        <v>1</v>
      </c>
      <c r="AI62" s="7">
        <f>[6]实力验证!$Z64</f>
        <v>1.4135964461332162</v>
      </c>
      <c r="AJ62" s="7">
        <f>[6]实力验证!$AE64</f>
        <v>2.5653147442876514</v>
      </c>
      <c r="AK62" s="7">
        <f>[6]实力验证!$AJ64</f>
        <v>6.7496326849413038</v>
      </c>
      <c r="AL62" s="7">
        <f>[6]实力验证!$AO64</f>
        <v>22.514003973982689</v>
      </c>
      <c r="AM62" s="7">
        <f t="shared" si="0"/>
        <v>77.918177800351827</v>
      </c>
      <c r="AR62" s="14">
        <v>58</v>
      </c>
      <c r="AS62" s="14">
        <f>[6]攻城值!AC62</f>
        <v>222.15850134960067</v>
      </c>
      <c r="AT62" s="14">
        <f>[6]攻城值!AD62</f>
        <v>223.76609937789661</v>
      </c>
      <c r="AU62" s="14">
        <f>[6]攻城值!AE62</f>
        <v>225.51670652738935</v>
      </c>
      <c r="AV62" s="14">
        <f>[6]攻城值!AF62</f>
        <v>234.51109093406188</v>
      </c>
      <c r="AW62" s="14">
        <f>[6]攻城值!AG62</f>
        <v>231.95901399918606</v>
      </c>
      <c r="AY62" s="14">
        <v>58</v>
      </c>
      <c r="AZ62" s="14">
        <f>[6]攻城值!AJ62</f>
        <v>1241.6707437110972</v>
      </c>
      <c r="BA62" s="14">
        <f>[6]攻城值!AK62</f>
        <v>1267.5073158382613</v>
      </c>
      <c r="BB62" s="14">
        <f>[6]攻城值!AL62</f>
        <v>1296.2124149687404</v>
      </c>
      <c r="BC62" s="14">
        <f>[6]攻城值!AM62</f>
        <v>1368.648876758946</v>
      </c>
      <c r="BD62" s="14">
        <f>[6]攻城值!AN62</f>
        <v>1376.1632847163305</v>
      </c>
      <c r="BF62" s="14">
        <v>58</v>
      </c>
      <c r="BG62" s="14">
        <f>[6]攻城值!AQ62</f>
        <v>0.15176531149327382</v>
      </c>
      <c r="BH62" s="14">
        <f>[6]攻城值!AR62</f>
        <v>0.84823468850672623</v>
      </c>
      <c r="BL62" s="14">
        <v>58</v>
      </c>
      <c r="BM62" s="15">
        <f t="shared" si="2"/>
        <v>1</v>
      </c>
      <c r="BN62" s="15">
        <f t="shared" si="3"/>
        <v>1</v>
      </c>
      <c r="BO62" s="15">
        <f t="shared" si="3"/>
        <v>1</v>
      </c>
      <c r="BP62" s="15">
        <f t="shared" si="3"/>
        <v>1</v>
      </c>
      <c r="BQ62" s="15">
        <f t="shared" si="3"/>
        <v>1</v>
      </c>
      <c r="BR62" s="15">
        <f>'[1]功能-战损相关'!M68</f>
        <v>0.125</v>
      </c>
      <c r="BS62" s="15">
        <f>'[1]功能-战损相关'!N68</f>
        <v>0.125</v>
      </c>
      <c r="BT62" s="15">
        <f>'[1]功能-战损相关'!O68</f>
        <v>0.125</v>
      </c>
      <c r="BU62" s="15">
        <f>'[1]功能-战损相关'!P68</f>
        <v>0.125</v>
      </c>
      <c r="BV62" s="15">
        <f>'[1]功能-战损相关'!Q68</f>
        <v>0.125</v>
      </c>
      <c r="CJ62" s="2">
        <f>[4]兵营招募!S96</f>
        <v>59</v>
      </c>
      <c r="CK62" s="2">
        <f>[4]兵营招募!U96</f>
        <v>18000</v>
      </c>
    </row>
    <row r="63" spans="2:89" x14ac:dyDescent="0.15">
      <c r="B63" s="7">
        <v>59</v>
      </c>
      <c r="C63" s="7">
        <f>[1]服务器生态!W80</f>
        <v>258.20060676489038</v>
      </c>
      <c r="D63" s="7">
        <f>[1]服务器生态!X80</f>
        <v>228.61902060680615</v>
      </c>
      <c r="E63" s="7">
        <f>[1]服务器生态!Y80</f>
        <v>19.397612904165516</v>
      </c>
      <c r="F63" s="7">
        <f>[1]服务器生态!Z80</f>
        <v>3.2506107586206903</v>
      </c>
      <c r="G63" s="7">
        <f>[1]服务器生态!AA80</f>
        <v>0.87697655172413769</v>
      </c>
      <c r="H63" s="7">
        <f>[1]服务器生态!AC80</f>
        <v>0.50593362136363662</v>
      </c>
      <c r="I63" s="7">
        <f>[1]服务器生态!AD80</f>
        <v>0.44796970254036345</v>
      </c>
      <c r="J63" s="7">
        <f>[1]服务器生态!AE80</f>
        <v>3.8008836096000004E-2</v>
      </c>
      <c r="K63" s="7">
        <f>[1]服务器生态!AF80</f>
        <v>6.3694400000000014E-3</v>
      </c>
      <c r="L63" s="7">
        <f>[1]服务器生态!AG80</f>
        <v>1.7183999999999997E-3</v>
      </c>
      <c r="M63" s="7">
        <f>[5]基础信息!M62</f>
        <v>95.428571428571431</v>
      </c>
      <c r="Q63" s="7">
        <v>59</v>
      </c>
      <c r="R63" s="7">
        <f>[6]带兵数!D62</f>
        <v>5519.0270152469757</v>
      </c>
      <c r="S63" s="7">
        <f>[6]带兵数!E62</f>
        <v>5571.71226939807</v>
      </c>
      <c r="T63" s="7">
        <f>[6]带兵数!F62</f>
        <v>5629.0118732830306</v>
      </c>
      <c r="U63" s="7">
        <f>[6]带兵数!G62</f>
        <v>5693.3346855347099</v>
      </c>
      <c r="V63" s="7">
        <f>[6]带兵数!H62</f>
        <v>5764.8702736645391</v>
      </c>
      <c r="X63" s="7">
        <v>59</v>
      </c>
      <c r="Y63" s="7">
        <f>求节点(节奏总纲!D$4:D$163,R$5:R$164,$X63)*6</f>
        <v>33140.436095650679</v>
      </c>
      <c r="Z63" s="7">
        <f>求节点(节奏总纲!E$4:E$163,S$5:S$164,$X63)*6</f>
        <v>34267.903105527897</v>
      </c>
      <c r="AA63" s="7">
        <f>求节点(节奏总纲!F$4:F$163,T$5:T$164,$X63)*6</f>
        <v>35762.760042508933</v>
      </c>
      <c r="AB63" s="7">
        <f>求节点(节奏总纲!G$4:G$163,U$5:U$164,$X63)*6</f>
        <v>37927.31289788281</v>
      </c>
      <c r="AC63" s="7">
        <f>求节点(节奏总纲!H$4:H$163,V$5:V$164,$X63)*6</f>
        <v>41749.386038592274</v>
      </c>
      <c r="AG63" s="7">
        <v>59</v>
      </c>
      <c r="AH63" s="7">
        <v>1</v>
      </c>
      <c r="AI63" s="7">
        <f>[6]实力验证!$Z65</f>
        <v>1.4279913010859808</v>
      </c>
      <c r="AJ63" s="7">
        <f>[6]实力验证!$AE65</f>
        <v>2.588567593528416</v>
      </c>
      <c r="AK63" s="7">
        <f>[6]实力验证!$AJ65</f>
        <v>6.798587566786102</v>
      </c>
      <c r="AL63" s="7">
        <f>[6]实力验证!$AO65</f>
        <v>22.727957275265137</v>
      </c>
      <c r="AM63" s="7">
        <f t="shared" si="0"/>
        <v>78.902428595557794</v>
      </c>
      <c r="AR63" s="14">
        <v>59</v>
      </c>
      <c r="AS63" s="14">
        <f>[6]攻城值!AC63</f>
        <v>227.17549404592017</v>
      </c>
      <c r="AT63" s="14">
        <f>[6]攻城值!AD63</f>
        <v>228.64518874313168</v>
      </c>
      <c r="AU63" s="14">
        <f>[6]攻城值!AE63</f>
        <v>231.24377773463291</v>
      </c>
      <c r="AV63" s="14">
        <f>[6]攻城值!AF63</f>
        <v>240.64918173243686</v>
      </c>
      <c r="AW63" s="14">
        <f>[6]攻城值!AG63</f>
        <v>237.57520515699548</v>
      </c>
      <c r="AY63" s="14">
        <v>59</v>
      </c>
      <c r="AZ63" s="14">
        <f>[6]攻城值!AJ63</f>
        <v>1264.5361844138251</v>
      </c>
      <c r="BA63" s="14">
        <f>[6]攻城值!AK63</f>
        <v>1289.6502443891245</v>
      </c>
      <c r="BB63" s="14">
        <f>[6]攻城值!AL63</f>
        <v>1323.2559841280158</v>
      </c>
      <c r="BC63" s="14">
        <f>[6]攻城值!AM63</f>
        <v>1398.0100941447918</v>
      </c>
      <c r="BD63" s="14">
        <f>[6]攻城值!AN63</f>
        <v>1402.7111675736287</v>
      </c>
      <c r="BF63" s="14">
        <v>59</v>
      </c>
      <c r="BG63" s="14">
        <f>[6]攻城值!AQ63</f>
        <v>0.15229182510690562</v>
      </c>
      <c r="BH63" s="14">
        <f>[6]攻城值!AR63</f>
        <v>0.84770817489309436</v>
      </c>
      <c r="BL63" s="14">
        <v>59</v>
      </c>
      <c r="BM63" s="15">
        <f t="shared" si="2"/>
        <v>1</v>
      </c>
      <c r="BN63" s="15">
        <f t="shared" si="3"/>
        <v>1</v>
      </c>
      <c r="BO63" s="15">
        <f t="shared" si="3"/>
        <v>1</v>
      </c>
      <c r="BP63" s="15">
        <f t="shared" si="3"/>
        <v>1</v>
      </c>
      <c r="BQ63" s="15">
        <f t="shared" si="3"/>
        <v>1</v>
      </c>
      <c r="BR63" s="15">
        <f>'[1]功能-战损相关'!M69</f>
        <v>0.125</v>
      </c>
      <c r="BS63" s="15">
        <f>'[1]功能-战损相关'!N69</f>
        <v>0.125</v>
      </c>
      <c r="BT63" s="15">
        <f>'[1]功能-战损相关'!O69</f>
        <v>0.125</v>
      </c>
      <c r="BU63" s="15">
        <f>'[1]功能-战损相关'!P69</f>
        <v>0.125</v>
      </c>
      <c r="BV63" s="15">
        <f>'[1]功能-战损相关'!Q69</f>
        <v>0.125</v>
      </c>
      <c r="CJ63" s="2">
        <f>[4]兵营招募!S97</f>
        <v>60</v>
      </c>
      <c r="CK63" s="2">
        <f>[4]兵营招募!U97</f>
        <v>19000</v>
      </c>
    </row>
    <row r="64" spans="2:89" x14ac:dyDescent="0.15">
      <c r="B64" s="7">
        <v>60</v>
      </c>
      <c r="C64" s="7">
        <f>[1]服务器生态!W81</f>
        <v>252.43447500000011</v>
      </c>
      <c r="D64" s="7">
        <f>[1]服务器生态!X81</f>
        <v>224.4902776399999</v>
      </c>
      <c r="E64" s="7">
        <f>[1]服务器生态!Y81</f>
        <v>19.016847360000003</v>
      </c>
      <c r="F64" s="7">
        <f>[1]服务器生态!Z81</f>
        <v>3.1944000000000008</v>
      </c>
      <c r="G64" s="7">
        <f>[1]服务器生态!AA81</f>
        <v>0.86399999999999988</v>
      </c>
      <c r="H64" s="7">
        <f>[1]服务器生态!AC81</f>
        <v>0.50486895000000021</v>
      </c>
      <c r="I64" s="7">
        <f>[1]服务器生态!AD81</f>
        <v>0.4489805552799998</v>
      </c>
      <c r="J64" s="7">
        <f>[1]服务器生态!AE81</f>
        <v>3.8033694720000004E-2</v>
      </c>
      <c r="K64" s="7">
        <f>[1]服务器生态!AF81</f>
        <v>6.3888000000000018E-3</v>
      </c>
      <c r="L64" s="7">
        <f>[1]服务器生态!AG81</f>
        <v>1.7279999999999997E-3</v>
      </c>
      <c r="M64" s="7">
        <f>[5]基础信息!M63</f>
        <v>95.666666666666671</v>
      </c>
      <c r="Q64" s="7">
        <v>60</v>
      </c>
      <c r="R64" s="7">
        <f>[6]带兵数!D63</f>
        <v>5584.6746581842135</v>
      </c>
      <c r="S64" s="7">
        <f>[6]带兵数!E63</f>
        <v>5636.2275685369232</v>
      </c>
      <c r="T64" s="7">
        <f>[6]带兵数!F63</f>
        <v>5696.5833153381827</v>
      </c>
      <c r="U64" s="7">
        <f>[6]带兵数!G63</f>
        <v>5759.6861105963708</v>
      </c>
      <c r="V64" s="7">
        <f>[6]带兵数!H63</f>
        <v>5831.7758642742501</v>
      </c>
      <c r="X64" s="7">
        <v>60</v>
      </c>
      <c r="Y64" s="7">
        <f>求节点(节奏总纲!D$4:D$163,R$5:R$164,$X64)*6</f>
        <v>33232.339059014324</v>
      </c>
      <c r="Z64" s="7">
        <f>求节点(节奏总纲!E$4:E$163,S$5:S$164,$X64)*6</f>
        <v>34360.241751294176</v>
      </c>
      <c r="AA64" s="7">
        <f>求节点(节奏总纲!F$4:F$163,T$5:T$164,$X64)*6</f>
        <v>35857.320593513112</v>
      </c>
      <c r="AB64" s="7">
        <f>求节点(节奏总纲!G$4:G$163,U$5:U$164,$X64)*6</f>
        <v>38026.350222464251</v>
      </c>
      <c r="AC64" s="7">
        <f>求节点(节奏总纲!H$4:H$163,V$5:V$164,$X64)*6</f>
        <v>41847.27967060206</v>
      </c>
      <c r="AG64" s="7">
        <v>60</v>
      </c>
      <c r="AH64" s="7">
        <v>1</v>
      </c>
      <c r="AI64" s="7">
        <f>[6]实力验证!$Z66</f>
        <v>1.4394602590467995</v>
      </c>
      <c r="AJ64" s="7">
        <f>[6]实力验证!$AE66</f>
        <v>2.6070496584135214</v>
      </c>
      <c r="AK64" s="7">
        <f>[6]实力验证!$AJ66</f>
        <v>6.8272067816294966</v>
      </c>
      <c r="AL64" s="7">
        <f>[6]实力验证!$AO66</f>
        <v>22.869868802015649</v>
      </c>
      <c r="AM64" s="7">
        <f t="shared" si="0"/>
        <v>79.738309142007239</v>
      </c>
      <c r="AR64" s="14">
        <v>60</v>
      </c>
      <c r="AS64" s="14">
        <f>[6]攻城值!AC64</f>
        <v>233.03551561007515</v>
      </c>
      <c r="AT64" s="14">
        <f>[6]攻城值!AD64</f>
        <v>235.17219219408801</v>
      </c>
      <c r="AU64" s="14">
        <f>[6]攻城值!AE64</f>
        <v>238.68728521381766</v>
      </c>
      <c r="AV64" s="14">
        <f>[6]攻城值!AF64</f>
        <v>248.23634870078894</v>
      </c>
      <c r="AW64" s="14">
        <f>[6]攻城值!AG64</f>
        <v>244.28727280371461</v>
      </c>
      <c r="AY64" s="14">
        <v>60</v>
      </c>
      <c r="AZ64" s="14">
        <f>[6]攻城值!AJ64</f>
        <v>1292.0123431688153</v>
      </c>
      <c r="BA64" s="14">
        <f>[6]攻城值!AK64</f>
        <v>1320.9824904463621</v>
      </c>
      <c r="BB64" s="14">
        <f>[6]攻城值!AL64</f>
        <v>1359.9513792285425</v>
      </c>
      <c r="BC64" s="14">
        <f>[6]攻城值!AM64</f>
        <v>1435.5982638823739</v>
      </c>
      <c r="BD64" s="14">
        <f>[6]攻城值!AN64</f>
        <v>1435.5626512345962</v>
      </c>
      <c r="BF64" s="14">
        <v>60</v>
      </c>
      <c r="BG64" s="14">
        <f>[6]攻城值!AQ64</f>
        <v>0.15280537870901131</v>
      </c>
      <c r="BH64" s="14">
        <f>[6]攻城值!AR64</f>
        <v>0.84719462129098866</v>
      </c>
      <c r="BL64" s="14">
        <v>60</v>
      </c>
      <c r="BM64" s="15">
        <f t="shared" si="2"/>
        <v>1</v>
      </c>
      <c r="BN64" s="15">
        <f t="shared" si="3"/>
        <v>1</v>
      </c>
      <c r="BO64" s="15">
        <f t="shared" si="3"/>
        <v>1</v>
      </c>
      <c r="BP64" s="15">
        <f t="shared" si="3"/>
        <v>1</v>
      </c>
      <c r="BQ64" s="15">
        <f t="shared" si="3"/>
        <v>1</v>
      </c>
      <c r="BR64" s="15">
        <f>'[1]功能-战损相关'!M70</f>
        <v>0.125</v>
      </c>
      <c r="BS64" s="15">
        <f>'[1]功能-战损相关'!N70</f>
        <v>0.125</v>
      </c>
      <c r="BT64" s="15">
        <f>'[1]功能-战损相关'!O70</f>
        <v>0.125</v>
      </c>
      <c r="BU64" s="15">
        <f>'[1]功能-战损相关'!P70</f>
        <v>0.125</v>
      </c>
      <c r="BV64" s="15">
        <f>'[1]功能-战损相关'!Q70</f>
        <v>0.125</v>
      </c>
      <c r="CJ64" s="2">
        <f>[4]兵营招募!S98</f>
        <v>61</v>
      </c>
      <c r="CK64" s="2">
        <f>[4]兵营招募!U98</f>
        <v>20000</v>
      </c>
    </row>
    <row r="65" spans="2:89" x14ac:dyDescent="0.15">
      <c r="B65" s="7">
        <v>61</v>
      </c>
      <c r="C65" s="7">
        <f>[1]服务器生态!W82</f>
        <v>251.17370503875009</v>
      </c>
      <c r="D65" s="7">
        <f>[1]服务器生态!X82</f>
        <v>224.13955671684883</v>
      </c>
      <c r="E65" s="7">
        <f>[1]服务器生态!Y82</f>
        <v>18.962934597734399</v>
      </c>
      <c r="F65" s="7">
        <f>[1]服务器生态!Z82</f>
        <v>3.191711380000001</v>
      </c>
      <c r="G65" s="7">
        <f>[1]服务器生态!AA82</f>
        <v>0.86542559999999991</v>
      </c>
      <c r="H65" s="7">
        <f>[1]服务器生态!AC82</f>
        <v>0.50402750175000022</v>
      </c>
      <c r="I65" s="7">
        <f>[1]服务器生态!AD82</f>
        <v>0.44977837468263981</v>
      </c>
      <c r="J65" s="7">
        <f>[1]服务器生态!AE82</f>
        <v>3.8052711567360002E-2</v>
      </c>
      <c r="K65" s="7">
        <f>[1]服务器生态!AF82</f>
        <v>6.4047720000000022E-3</v>
      </c>
      <c r="L65" s="7">
        <f>[1]服务器生态!AG82</f>
        <v>1.7366399999999998E-3</v>
      </c>
      <c r="M65" s="7">
        <f>[5]基础信息!M64</f>
        <v>95.904761904761898</v>
      </c>
      <c r="Q65" s="7">
        <v>61</v>
      </c>
      <c r="R65" s="7">
        <f>[6]带兵数!D64</f>
        <v>5649.948832484999</v>
      </c>
      <c r="S65" s="7">
        <f>[6]带兵数!E64</f>
        <v>5705.1121278937144</v>
      </c>
      <c r="T65" s="7">
        <f>[6]带兵数!F64</f>
        <v>5762.3226353203409</v>
      </c>
      <c r="U65" s="7">
        <f>[6]带兵数!G64</f>
        <v>5827.76487875979</v>
      </c>
      <c r="V65" s="7">
        <f>[6]带兵数!H64</f>
        <v>5899.9048700813719</v>
      </c>
      <c r="X65" s="7">
        <v>61</v>
      </c>
      <c r="Y65" s="7">
        <f>求节点(节奏总纲!D$4:D$163,R$5:R$164,$X65)*6</f>
        <v>33324.242022377977</v>
      </c>
      <c r="Z65" s="7">
        <f>求节点(节奏总纲!E$4:E$163,S$5:S$164,$X65)*6</f>
        <v>34452.580397060454</v>
      </c>
      <c r="AA65" s="7">
        <f>求节点(节奏总纲!F$4:F$163,T$5:T$164,$X65)*6</f>
        <v>35947.613894717702</v>
      </c>
      <c r="AB65" s="7">
        <f>求节点(节奏总纲!G$4:G$163,U$5:U$164,$X65)*6</f>
        <v>38125.387547045699</v>
      </c>
      <c r="AC65" s="7">
        <f>求节点(节奏总纲!H$4:H$163,V$5:V$164,$X65)*6</f>
        <v>41943.383130864386</v>
      </c>
      <c r="AG65" s="7">
        <v>61</v>
      </c>
      <c r="AH65" s="7">
        <v>1</v>
      </c>
      <c r="AI65" s="7">
        <f>[6]实力验证!$Z67</f>
        <v>1.4503541694852211</v>
      </c>
      <c r="AJ65" s="7">
        <f>[6]实力验证!$AE67</f>
        <v>2.6263987491036143</v>
      </c>
      <c r="AK65" s="7">
        <f>[6]实力验证!$AJ67</f>
        <v>6.8543910440870786</v>
      </c>
      <c r="AL65" s="7">
        <f>[6]实力验证!$AO67</f>
        <v>23.002859876220704</v>
      </c>
      <c r="AM65" s="7">
        <f t="shared" si="0"/>
        <v>80.540831622785475</v>
      </c>
      <c r="AR65" s="14">
        <v>61</v>
      </c>
      <c r="AS65" s="14">
        <f>[6]攻城值!AC65</f>
        <v>239.40174002969763</v>
      </c>
      <c r="AT65" s="14">
        <f>[6]攻城值!AD65</f>
        <v>241.88269786575961</v>
      </c>
      <c r="AU65" s="14">
        <f>[6]攻城值!AE65</f>
        <v>245.94610334004673</v>
      </c>
      <c r="AV65" s="14">
        <f>[6]攻城值!AF65</f>
        <v>256.03977171202439</v>
      </c>
      <c r="AW65" s="14">
        <f>[6]攻城值!AG65</f>
        <v>251.14534888151158</v>
      </c>
      <c r="AY65" s="14">
        <v>61</v>
      </c>
      <c r="AZ65" s="14">
        <f>[6]攻城值!AJ65</f>
        <v>1322.1855054341333</v>
      </c>
      <c r="BA65" s="14">
        <f>[6]攻城值!AK65</f>
        <v>1353.2059184805814</v>
      </c>
      <c r="BB65" s="14">
        <f>[6]攻城值!AL65</f>
        <v>1395.411411444029</v>
      </c>
      <c r="BC65" s="14">
        <f>[6]攻城值!AM65</f>
        <v>1474.2355566663448</v>
      </c>
      <c r="BD65" s="14">
        <f>[6]攻城值!AN65</f>
        <v>1469.1046498168648</v>
      </c>
      <c r="BF65" s="14">
        <v>61</v>
      </c>
      <c r="BG65" s="14">
        <f>[6]攻城值!AQ65</f>
        <v>0.15330666968824352</v>
      </c>
      <c r="BH65" s="14">
        <f>[6]攻城值!AR65</f>
        <v>0.84669333031175642</v>
      </c>
      <c r="BL65" s="14">
        <v>61</v>
      </c>
      <c r="BM65" s="15">
        <f t="shared" si="2"/>
        <v>1</v>
      </c>
      <c r="BN65" s="15">
        <f t="shared" si="3"/>
        <v>1</v>
      </c>
      <c r="BO65" s="15">
        <f t="shared" si="3"/>
        <v>1</v>
      </c>
      <c r="BP65" s="15">
        <f t="shared" si="3"/>
        <v>1</v>
      </c>
      <c r="BQ65" s="15">
        <f t="shared" si="3"/>
        <v>1</v>
      </c>
      <c r="BR65" s="15">
        <f>'[1]功能-战损相关'!M71</f>
        <v>0.125</v>
      </c>
      <c r="BS65" s="15">
        <f>'[1]功能-战损相关'!N71</f>
        <v>0.125</v>
      </c>
      <c r="BT65" s="15">
        <f>'[1]功能-战损相关'!O71</f>
        <v>0.125</v>
      </c>
      <c r="BU65" s="15">
        <f>'[1]功能-战损相关'!P71</f>
        <v>0.125</v>
      </c>
      <c r="BV65" s="15">
        <f>'[1]功能-战损相关'!Q71</f>
        <v>0.125</v>
      </c>
      <c r="CJ65" s="2">
        <f>[4]兵营招募!S99</f>
        <v>62</v>
      </c>
      <c r="CK65" s="2">
        <f>[4]兵营招募!U99</f>
        <v>20000</v>
      </c>
    </row>
    <row r="66" spans="2:89" x14ac:dyDescent="0.15">
      <c r="B66" s="7">
        <v>62</v>
      </c>
      <c r="C66" s="7">
        <f>[1]服务器生态!W83</f>
        <v>249.91573990500015</v>
      </c>
      <c r="D66" s="7">
        <f>[1]服务器生态!X83</f>
        <v>223.78617639568901</v>
      </c>
      <c r="E66" s="7">
        <f>[1]服务器生态!Y83</f>
        <v>18.908958445977603</v>
      </c>
      <c r="F66" s="7">
        <f>[1]服务器生态!Z83</f>
        <v>3.1889695200000014</v>
      </c>
      <c r="G66" s="7">
        <f>[1]服务器生态!AA83</f>
        <v>0.86682239999999999</v>
      </c>
      <c r="H66" s="7">
        <f>[1]服务器生态!AC83</f>
        <v>0.50318605350000023</v>
      </c>
      <c r="I66" s="7">
        <f>[1]服务器生态!AD83</f>
        <v>0.45057619408527982</v>
      </c>
      <c r="J66" s="7">
        <f>[1]服务器生态!AE83</f>
        <v>3.8071728414720001E-2</v>
      </c>
      <c r="K66" s="7">
        <f>[1]服务器生态!AF83</f>
        <v>6.4207440000000017E-3</v>
      </c>
      <c r="L66" s="7">
        <f>[1]服务器生态!AG83</f>
        <v>1.7452799999999997E-3</v>
      </c>
      <c r="M66" s="7">
        <f>[5]基础信息!M65</f>
        <v>96.129870129870127</v>
      </c>
      <c r="Q66" s="7">
        <v>62</v>
      </c>
      <c r="R66" s="7">
        <f>[6]带兵数!D65</f>
        <v>5717.9946954767738</v>
      </c>
      <c r="S66" s="7">
        <f>[6]带兵数!E65</f>
        <v>5770.4595889192997</v>
      </c>
      <c r="T66" s="7">
        <f>[6]带兵数!F65</f>
        <v>5831.598744426452</v>
      </c>
      <c r="U66" s="7">
        <f>[6]带兵数!G65</f>
        <v>5895.2604065282285</v>
      </c>
      <c r="V66" s="7">
        <f>[6]带兵数!H65</f>
        <v>5968.9532424015661</v>
      </c>
      <c r="X66" s="7">
        <v>62</v>
      </c>
      <c r="Y66" s="7">
        <f>求节点(节奏总纲!D$4:D$163,R$5:R$164,$X66)*6</f>
        <v>33416.14498574163</v>
      </c>
      <c r="Z66" s="7">
        <f>求节点(节奏总纲!E$4:E$163,S$5:S$164,$X66)*6</f>
        <v>34544.919042826732</v>
      </c>
      <c r="AA66" s="7">
        <f>求节点(节奏总纲!F$4:F$163,T$5:T$164,$X66)*6</f>
        <v>36037.9071959223</v>
      </c>
      <c r="AB66" s="7">
        <f>求节点(节奏总纲!G$4:G$163,U$5:U$164,$X66)*6</f>
        <v>38219.747090232966</v>
      </c>
      <c r="AC66" s="7">
        <f>求节点(节奏总纲!H$4:H$163,V$5:V$164,$X66)*6</f>
        <v>42039.486591126712</v>
      </c>
      <c r="AG66" s="7">
        <v>62</v>
      </c>
      <c r="AH66" s="7">
        <v>1</v>
      </c>
      <c r="AI66" s="7">
        <f>[6]实力验证!$Z68</f>
        <v>1.4607152235508813</v>
      </c>
      <c r="AJ66" s="7">
        <f>[6]实力验证!$AE68</f>
        <v>2.6448014132245117</v>
      </c>
      <c r="AK66" s="7">
        <f>[6]实力验证!$AJ68</f>
        <v>6.8816550807504537</v>
      </c>
      <c r="AL66" s="7">
        <f>[6]实力验证!$AO68</f>
        <v>23.129345927109192</v>
      </c>
      <c r="AM66" s="7">
        <f t="shared" si="0"/>
        <v>81.314936819104133</v>
      </c>
      <c r="AR66" s="14">
        <v>62</v>
      </c>
      <c r="AS66" s="14">
        <f>[6]攻城值!AC66</f>
        <v>245.10595452005552</v>
      </c>
      <c r="AT66" s="14">
        <f>[6]攻城值!AD66</f>
        <v>248.67677852930331</v>
      </c>
      <c r="AU66" s="14">
        <f>[6]攻城值!AE66</f>
        <v>252.83897056921944</v>
      </c>
      <c r="AV66" s="14">
        <f>[6]攻城值!AF66</f>
        <v>264.0440378376839</v>
      </c>
      <c r="AW66" s="14">
        <f>[6]攻城值!AG66</f>
        <v>257.69170588207919</v>
      </c>
      <c r="AY66" s="14">
        <v>62</v>
      </c>
      <c r="AZ66" s="14">
        <f>[6]攻城值!AJ66</f>
        <v>1348.5991549959299</v>
      </c>
      <c r="BA66" s="14">
        <f>[6]攻城值!AK66</f>
        <v>1385.7576562887666</v>
      </c>
      <c r="BB66" s="14">
        <f>[6]攻城值!AL66</f>
        <v>1428.634990193309</v>
      </c>
      <c r="BC66" s="14">
        <f>[6]攻城值!AM66</f>
        <v>1513.8263349099871</v>
      </c>
      <c r="BD66" s="14">
        <f>[6]攻城值!AN66</f>
        <v>1500.667397627092</v>
      </c>
      <c r="BF66" s="14">
        <v>62</v>
      </c>
      <c r="BG66" s="14">
        <f>[6]攻城值!AQ66</f>
        <v>0.15379630337917105</v>
      </c>
      <c r="BH66" s="14">
        <f>[6]攻城值!AR66</f>
        <v>0.84620369662082895</v>
      </c>
      <c r="BL66" s="14">
        <v>62</v>
      </c>
      <c r="BM66" s="15">
        <f t="shared" si="2"/>
        <v>1</v>
      </c>
      <c r="BN66" s="15">
        <f t="shared" si="3"/>
        <v>1</v>
      </c>
      <c r="BO66" s="15">
        <f t="shared" si="3"/>
        <v>1</v>
      </c>
      <c r="BP66" s="15">
        <f t="shared" si="3"/>
        <v>1</v>
      </c>
      <c r="BQ66" s="15">
        <f t="shared" si="3"/>
        <v>1</v>
      </c>
      <c r="BR66" s="15">
        <f>'[1]功能-战损相关'!M72</f>
        <v>0.125</v>
      </c>
      <c r="BS66" s="15">
        <f>'[1]功能-战损相关'!N72</f>
        <v>0.125</v>
      </c>
      <c r="BT66" s="15">
        <f>'[1]功能-战损相关'!O72</f>
        <v>0.125</v>
      </c>
      <c r="BU66" s="15">
        <f>'[1]功能-战损相关'!P72</f>
        <v>0.125</v>
      </c>
      <c r="BV66" s="15">
        <f>'[1]功能-战损相关'!Q72</f>
        <v>0.125</v>
      </c>
      <c r="CJ66" s="2">
        <f>[4]兵营招募!S100</f>
        <v>63</v>
      </c>
      <c r="CK66" s="2">
        <f>[4]兵营招募!U100</f>
        <v>21000</v>
      </c>
    </row>
    <row r="67" spans="2:89" x14ac:dyDescent="0.15">
      <c r="B67" s="7">
        <v>63</v>
      </c>
      <c r="C67" s="7">
        <f>[1]服务器生态!W84</f>
        <v>248.66057959875008</v>
      </c>
      <c r="D67" s="7">
        <f>[1]服务器生态!X84</f>
        <v>223.43013667652031</v>
      </c>
      <c r="E67" s="7">
        <f>[1]服务器生态!Y84</f>
        <v>18.854918904729601</v>
      </c>
      <c r="F67" s="7">
        <f>[1]服务器生态!Z84</f>
        <v>3.1861744200000008</v>
      </c>
      <c r="G67" s="7">
        <f>[1]服务器生态!AA84</f>
        <v>0.86819039999999992</v>
      </c>
      <c r="H67" s="7">
        <f>[1]服务器生态!AC84</f>
        <v>0.50234460525000013</v>
      </c>
      <c r="I67" s="7">
        <f>[1]服务器生态!AD84</f>
        <v>0.45137401348791983</v>
      </c>
      <c r="J67" s="7">
        <f>[1]服务器生态!AE84</f>
        <v>3.8090745262080006E-2</v>
      </c>
      <c r="K67" s="7">
        <f>[1]服务器生态!AF84</f>
        <v>6.436716000000002E-3</v>
      </c>
      <c r="L67" s="7">
        <f>[1]服务器生态!AG84</f>
        <v>1.7539199999999997E-3</v>
      </c>
      <c r="M67" s="7">
        <f>[5]基础信息!M66</f>
        <v>96.34632034632034</v>
      </c>
      <c r="Q67" s="7">
        <v>63</v>
      </c>
      <c r="R67" s="7">
        <f>[6]带兵数!D66</f>
        <v>5784.0586819184891</v>
      </c>
      <c r="S67" s="7">
        <f>[6]带兵数!E66</f>
        <v>5839.1430076047091</v>
      </c>
      <c r="T67" s="7">
        <f>[6]带兵数!F66</f>
        <v>5897.2329150700543</v>
      </c>
      <c r="U67" s="7">
        <f>[6]带兵数!G66</f>
        <v>5964.3685709059691</v>
      </c>
      <c r="V67" s="7">
        <f>[6]带兵数!H66</f>
        <v>6038.3046871454753</v>
      </c>
      <c r="X67" s="7">
        <v>63</v>
      </c>
      <c r="Y67" s="7">
        <f>求节点(节奏总纲!D$4:D$163,R$5:R$164,$X67)*6</f>
        <v>33508.047949105283</v>
      </c>
      <c r="Z67" s="7">
        <f>求节点(节奏总纲!E$4:E$163,S$5:S$164,$X67)*6</f>
        <v>34636.743173097173</v>
      </c>
      <c r="AA67" s="7">
        <f>求节点(节奏总纲!F$4:F$163,T$5:T$164,$X67)*6</f>
        <v>36128.200497126891</v>
      </c>
      <c r="AB67" s="7">
        <f>求节点(节奏总纲!G$4:G$163,U$5:U$164,$X67)*6</f>
        <v>38308.718075291305</v>
      </c>
      <c r="AC67" s="7">
        <f>求节点(节奏总纲!H$4:H$163,V$5:V$164,$X67)*6</f>
        <v>42135.590051389052</v>
      </c>
      <c r="AG67" s="7">
        <v>63</v>
      </c>
      <c r="AH67" s="7">
        <v>1</v>
      </c>
      <c r="AI67" s="7">
        <f>[6]实力验证!$Z69</f>
        <v>1.4708504845187806</v>
      </c>
      <c r="AJ67" s="7">
        <f>[6]实力验证!$AE69</f>
        <v>2.6623254322449084</v>
      </c>
      <c r="AK67" s="7">
        <f>[6]实力验证!$AJ69</f>
        <v>6.9092022271092484</v>
      </c>
      <c r="AL67" s="7">
        <f>[6]实力验证!$AO69</f>
        <v>23.249792833438793</v>
      </c>
      <c r="AM67" s="7">
        <f t="shared" si="0"/>
        <v>82.072686111022293</v>
      </c>
      <c r="AR67" s="14">
        <v>63</v>
      </c>
      <c r="AS67" s="14">
        <f>[6]攻城值!AC67</f>
        <v>250.29098584187219</v>
      </c>
      <c r="AT67" s="14">
        <f>[6]攻城值!AD67</f>
        <v>255.67040679189097</v>
      </c>
      <c r="AU67" s="14">
        <f>[6]攻城值!AE67</f>
        <v>259.91018529720702</v>
      </c>
      <c r="AV67" s="14">
        <f>[6]攻城值!AF67</f>
        <v>272.2755525213808</v>
      </c>
      <c r="AW67" s="14">
        <f>[6]攻城值!AG67</f>
        <v>264.04247368761185</v>
      </c>
      <c r="AY67" s="14">
        <v>63</v>
      </c>
      <c r="AZ67" s="14">
        <f>[6]攻城值!AJ67</f>
        <v>1372.0814152963087</v>
      </c>
      <c r="BA67" s="14">
        <f>[6]攻城值!AK67</f>
        <v>1419.2821519518945</v>
      </c>
      <c r="BB67" s="14">
        <f>[6]攻城值!AL67</f>
        <v>1462.7174821372585</v>
      </c>
      <c r="BC67" s="14">
        <f>[6]攻城值!AM67</f>
        <v>1554.5156128552082</v>
      </c>
      <c r="BD67" s="14">
        <f>[6]攻城值!AN67</f>
        <v>1530.9551091659562</v>
      </c>
      <c r="BF67" s="14">
        <v>63</v>
      </c>
      <c r="BG67" s="14">
        <f>[6]攻城值!AQ67</f>
        <v>0.15427468173538927</v>
      </c>
      <c r="BH67" s="14">
        <f>[6]攻城值!AR67</f>
        <v>0.84572531826461061</v>
      </c>
      <c r="BL67" s="14">
        <v>63</v>
      </c>
      <c r="BM67" s="15">
        <f t="shared" si="2"/>
        <v>1</v>
      </c>
      <c r="BN67" s="15">
        <f t="shared" si="3"/>
        <v>1</v>
      </c>
      <c r="BO67" s="15">
        <f t="shared" si="3"/>
        <v>1</v>
      </c>
      <c r="BP67" s="15">
        <f t="shared" si="3"/>
        <v>1</v>
      </c>
      <c r="BQ67" s="15">
        <f t="shared" si="3"/>
        <v>1</v>
      </c>
      <c r="BR67" s="15">
        <f>'[1]功能-战损相关'!M73</f>
        <v>0.125</v>
      </c>
      <c r="BS67" s="15">
        <f>'[1]功能-战损相关'!N73</f>
        <v>0.125</v>
      </c>
      <c r="BT67" s="15">
        <f>'[1]功能-战损相关'!O73</f>
        <v>0.125</v>
      </c>
      <c r="BU67" s="15">
        <f>'[1]功能-战损相关'!P73</f>
        <v>0.125</v>
      </c>
      <c r="BV67" s="15">
        <f>'[1]功能-战损相关'!Q73</f>
        <v>0.125</v>
      </c>
      <c r="CJ67" s="2">
        <f>[4]兵营招募!S101</f>
        <v>64</v>
      </c>
      <c r="CK67" s="2">
        <f>[4]兵营招募!U101</f>
        <v>22000</v>
      </c>
    </row>
    <row r="68" spans="2:89" x14ac:dyDescent="0.15">
      <c r="B68" s="7">
        <v>64</v>
      </c>
      <c r="C68" s="7">
        <f>[1]服务器生态!W85</f>
        <v>247.40822412000006</v>
      </c>
      <c r="D68" s="7">
        <f>[1]服务器生态!X85</f>
        <v>223.07143755934285</v>
      </c>
      <c r="E68" s="7">
        <f>[1]服务器生态!Y85</f>
        <v>18.800815973990403</v>
      </c>
      <c r="F68" s="7">
        <f>[1]服务器生态!Z85</f>
        <v>3.1833260800000005</v>
      </c>
      <c r="G68" s="7">
        <f>[1]服务器生态!AA85</f>
        <v>0.8695295999999999</v>
      </c>
      <c r="H68" s="7">
        <f>[1]服务器生态!AC85</f>
        <v>0.50150315700000014</v>
      </c>
      <c r="I68" s="7">
        <f>[1]服务器生态!AD85</f>
        <v>0.45217183289055984</v>
      </c>
      <c r="J68" s="7">
        <f>[1]服务器生态!AE85</f>
        <v>3.8109762109440004E-2</v>
      </c>
      <c r="K68" s="7">
        <f>[1]服务器生态!AF85</f>
        <v>6.4526880000000016E-3</v>
      </c>
      <c r="L68" s="7">
        <f>[1]服务器生态!AG85</f>
        <v>1.7625599999999998E-3</v>
      </c>
      <c r="M68" s="7">
        <f>[5]基础信息!M67</f>
        <v>96.562770562770567</v>
      </c>
      <c r="Q68" s="7">
        <v>64</v>
      </c>
      <c r="R68" s="7">
        <f>[6]带兵数!D67</f>
        <v>5851.6594496836879</v>
      </c>
      <c r="S68" s="7">
        <f>[6]带兵数!E67</f>
        <v>5905.3752318195029</v>
      </c>
      <c r="T68" s="7">
        <f>[6]带兵数!F67</f>
        <v>5966.6680815597847</v>
      </c>
      <c r="U68" s="7">
        <f>[6]带兵数!G67</f>
        <v>6031.9769456836293</v>
      </c>
      <c r="V68" s="7">
        <f>[6]带兵数!H67</f>
        <v>6104.2673018124933</v>
      </c>
      <c r="X68" s="7">
        <v>64</v>
      </c>
      <c r="Y68" s="7">
        <f>求节点(节奏总纲!D$4:D$163,R$5:R$164,$X68)*6</f>
        <v>33593.308623795514</v>
      </c>
      <c r="Z68" s="7">
        <f>求节点(节奏总纲!E$4:E$163,S$5:S$164,$X68)*6</f>
        <v>34725.805325346068</v>
      </c>
      <c r="AA68" s="7">
        <f>求节点(节奏总纲!F$4:F$163,T$5:T$164,$X68)*6</f>
        <v>36218.085746779259</v>
      </c>
      <c r="AB68" s="7">
        <f>求节点(节奏总纲!G$4:G$163,U$5:U$164,$X68)*6</f>
        <v>38397.689060349636</v>
      </c>
      <c r="AC68" s="7">
        <f>求节点(节奏总纲!H$4:H$163,V$5:V$164,$X68)*6</f>
        <v>42228.785954844192</v>
      </c>
      <c r="AG68" s="7">
        <v>64</v>
      </c>
      <c r="AH68" s="7">
        <v>1</v>
      </c>
      <c r="AI68" s="7">
        <f>[6]实力验证!$Z70</f>
        <v>1.4749627295069756</v>
      </c>
      <c r="AJ68" s="7">
        <f>[6]实力验证!$AE70</f>
        <v>2.667136817247088</v>
      </c>
      <c r="AK68" s="7">
        <f>[6]实力验证!$AJ70</f>
        <v>6.9028906492990014</v>
      </c>
      <c r="AL68" s="7">
        <f>[6]实力验证!$AO70</f>
        <v>23.262628336530106</v>
      </c>
      <c r="AM68" s="7">
        <f t="shared" si="0"/>
        <v>82.513819946684421</v>
      </c>
      <c r="AR68" s="14">
        <v>64</v>
      </c>
      <c r="AS68" s="14">
        <f>[6]攻城值!AC68</f>
        <v>255.51931846859776</v>
      </c>
      <c r="AT68" s="14">
        <f>[6]攻城值!AD68</f>
        <v>262.02628647251873</v>
      </c>
      <c r="AU68" s="14">
        <f>[6]攻城值!AE68</f>
        <v>267.10906199972538</v>
      </c>
      <c r="AV68" s="14">
        <f>[6]攻城值!AF68</f>
        <v>280.67761189673149</v>
      </c>
      <c r="AW68" s="14">
        <f>[6]攻城值!AG68</f>
        <v>270.50665515400874</v>
      </c>
      <c r="AY68" s="14">
        <v>64</v>
      </c>
      <c r="AZ68" s="14">
        <f>[6]攻城值!AJ68</f>
        <v>1395.7389520983602</v>
      </c>
      <c r="BA68" s="14">
        <f>[6]攻城值!AK68</f>
        <v>1449.1421410788444</v>
      </c>
      <c r="BB68" s="14">
        <f>[6]攻城值!AL68</f>
        <v>1497.3692449010098</v>
      </c>
      <c r="BC68" s="14">
        <f>[6]攻城值!AM68</f>
        <v>1595.9737122629076</v>
      </c>
      <c r="BD68" s="14">
        <f>[6]攻城值!AN68</f>
        <v>1561.7723381310036</v>
      </c>
      <c r="BF68" s="14">
        <v>64</v>
      </c>
      <c r="BG68" s="14">
        <f>[6]攻城值!AQ68</f>
        <v>0.15474218844085816</v>
      </c>
      <c r="BH68" s="14">
        <f>[6]攻城值!AR68</f>
        <v>0.84525781155914181</v>
      </c>
      <c r="BL68" s="14">
        <v>64</v>
      </c>
      <c r="BM68" s="15">
        <f t="shared" si="2"/>
        <v>1</v>
      </c>
      <c r="BN68" s="15">
        <f t="shared" si="3"/>
        <v>1</v>
      </c>
      <c r="BO68" s="15">
        <f t="shared" si="3"/>
        <v>1</v>
      </c>
      <c r="BP68" s="15">
        <f t="shared" si="3"/>
        <v>1</v>
      </c>
      <c r="BQ68" s="15">
        <f t="shared" si="3"/>
        <v>1</v>
      </c>
      <c r="BR68" s="15">
        <f>'[1]功能-战损相关'!M74</f>
        <v>0.125</v>
      </c>
      <c r="BS68" s="15">
        <f>'[1]功能-战损相关'!N74</f>
        <v>0.125</v>
      </c>
      <c r="BT68" s="15">
        <f>'[1]功能-战损相关'!O74</f>
        <v>0.125</v>
      </c>
      <c r="BU68" s="15">
        <f>'[1]功能-战损相关'!P74</f>
        <v>0.125</v>
      </c>
      <c r="BV68" s="15">
        <f>'[1]功能-战损相关'!Q74</f>
        <v>0.125</v>
      </c>
      <c r="CJ68" s="2">
        <f>[4]兵营招募!S102</f>
        <v>65</v>
      </c>
      <c r="CK68" s="2">
        <f>[4]兵营招募!U102</f>
        <v>22000</v>
      </c>
    </row>
    <row r="69" spans="2:89" x14ac:dyDescent="0.15">
      <c r="B69" s="7">
        <v>65</v>
      </c>
      <c r="C69" s="7">
        <f>[1]服务器生态!W86</f>
        <v>246.1586734687501</v>
      </c>
      <c r="D69" s="7">
        <f>[1]服务器生态!X86</f>
        <v>222.7100790441566</v>
      </c>
      <c r="E69" s="7">
        <f>[1]服务器生态!Y86</f>
        <v>18.746649653760002</v>
      </c>
      <c r="F69" s="7">
        <f>[1]服务器生态!Z86</f>
        <v>3.1804245000000009</v>
      </c>
      <c r="G69" s="7">
        <f>[1]服务器生态!AA86</f>
        <v>0.87083999999999984</v>
      </c>
      <c r="H69" s="7">
        <f>[1]服务器生态!AC86</f>
        <v>0.50066170875000016</v>
      </c>
      <c r="I69" s="7">
        <f>[1]服务器生态!AD86</f>
        <v>0.45296965229319985</v>
      </c>
      <c r="J69" s="7">
        <f>[1]服务器生态!AE86</f>
        <v>3.8128778956800002E-2</v>
      </c>
      <c r="K69" s="7">
        <f>[1]服务器生态!AF86</f>
        <v>6.4686600000000019E-3</v>
      </c>
      <c r="L69" s="7">
        <f>[1]服务器生态!AG86</f>
        <v>1.7711999999999997E-3</v>
      </c>
      <c r="M69" s="7">
        <f>[5]基础信息!M68</f>
        <v>96.779220779220779</v>
      </c>
      <c r="Q69" s="7">
        <v>65</v>
      </c>
      <c r="R69" s="7">
        <f>[6]带兵数!D68</f>
        <v>5918.1858261446177</v>
      </c>
      <c r="S69" s="7">
        <f>[6]带兵数!E68</f>
        <v>5973.0182618345607</v>
      </c>
      <c r="T69" s="7">
        <f>[6]带兵数!F68</f>
        <v>6033.4433483033172</v>
      </c>
      <c r="U69" s="7">
        <f>[6]带兵数!G68</f>
        <v>6100.5747752571242</v>
      </c>
      <c r="V69" s="7">
        <f>[6]带兵数!H68</f>
        <v>6168.889626402015</v>
      </c>
      <c r="X69" s="7">
        <v>65</v>
      </c>
      <c r="Y69" s="7">
        <f>求节点(节奏总纲!D$4:D$163,R$5:R$164,$X69)*6</f>
        <v>33678.569298485752</v>
      </c>
      <c r="Z69" s="7">
        <f>求节点(节奏总纲!E$4:E$163,S$5:S$164,$X69)*6</f>
        <v>34814.867477594962</v>
      </c>
      <c r="AA69" s="7">
        <f>求节点(节奏总纲!F$4:F$163,T$5:T$164,$X69)*6</f>
        <v>36306.313054716782</v>
      </c>
      <c r="AB69" s="7">
        <f>求节点(节奏总纲!G$4:G$163,U$5:U$164,$X69)*6</f>
        <v>38486.660045407974</v>
      </c>
      <c r="AC69" s="7">
        <f>求节点(节奏总纲!H$4:H$163,V$5:V$164,$X69)*6</f>
        <v>42316.536649609494</v>
      </c>
      <c r="AG69" s="7">
        <v>65</v>
      </c>
      <c r="AH69" s="7">
        <v>1</v>
      </c>
      <c r="AI69" s="7">
        <f>[6]实力验证!$Z71</f>
        <v>1.4788517131174834</v>
      </c>
      <c r="AJ69" s="7">
        <f>[6]实力验证!$AE71</f>
        <v>2.6744036984417563</v>
      </c>
      <c r="AK69" s="7">
        <f>[6]实力验证!$AJ71</f>
        <v>6.8969217387085662</v>
      </c>
      <c r="AL69" s="7">
        <f>[6]实力验证!$AO71</f>
        <v>23.2888744075346</v>
      </c>
      <c r="AM69" s="7">
        <f t="shared" ref="AM69:AM132" si="4">AH69*H69*$M69*AH$2+AI69*I69*$M69*AI$2+AJ69*J69*$M69*AJ$2+AK69*K69*$M69*AK$2+AL69*L69*$M69*AL$2</f>
        <v>82.97198554428698</v>
      </c>
      <c r="AR69" s="14">
        <v>65</v>
      </c>
      <c r="AS69" s="14">
        <f>[6]攻城值!AC69</f>
        <v>260.79470751102252</v>
      </c>
      <c r="AT69" s="14">
        <f>[6]攻城值!AD69</f>
        <v>267.6635041927338</v>
      </c>
      <c r="AU69" s="14">
        <f>[6]攻城值!AE69</f>
        <v>274.28925785396251</v>
      </c>
      <c r="AV69" s="14">
        <f>[6]攻城值!AF69</f>
        <v>288.76425345739466</v>
      </c>
      <c r="AW69" s="14">
        <f>[6]攻城值!AG69</f>
        <v>276.8788328202649</v>
      </c>
      <c r="AY69" s="14">
        <v>65</v>
      </c>
      <c r="AZ69" s="14">
        <f>[6]攻城值!AJ69</f>
        <v>1419.5923332858943</v>
      </c>
      <c r="BA69" s="14">
        <f>[6]攻城值!AK69</f>
        <v>1474.8616976399931</v>
      </c>
      <c r="BB69" s="14">
        <f>[6]攻城值!AL69</f>
        <v>1531.7113149972702</v>
      </c>
      <c r="BC69" s="14">
        <f>[6]攻城值!AM69</f>
        <v>1635.242276619487</v>
      </c>
      <c r="BD69" s="14">
        <f>[6]攻城值!AN69</f>
        <v>1591.698650059483</v>
      </c>
      <c r="BF69" s="14">
        <v>65</v>
      </c>
      <c r="BG69" s="14">
        <f>[6]攻城值!AQ69</f>
        <v>0.15519918993623141</v>
      </c>
      <c r="BH69" s="14">
        <f>[6]攻城值!AR69</f>
        <v>0.84480081006376861</v>
      </c>
      <c r="BL69" s="14">
        <v>65</v>
      </c>
      <c r="BM69" s="15">
        <f t="shared" si="2"/>
        <v>1</v>
      </c>
      <c r="BN69" s="15">
        <f t="shared" ref="BN69:BQ69" si="5">$BN$2</f>
        <v>1</v>
      </c>
      <c r="BO69" s="15">
        <f t="shared" si="5"/>
        <v>1</v>
      </c>
      <c r="BP69" s="15">
        <f t="shared" si="5"/>
        <v>1</v>
      </c>
      <c r="BQ69" s="15">
        <f t="shared" si="5"/>
        <v>1</v>
      </c>
      <c r="BR69" s="15">
        <f>'[1]功能-战损相关'!M75</f>
        <v>0.125</v>
      </c>
      <c r="BS69" s="15">
        <f>'[1]功能-战损相关'!N75</f>
        <v>0.125</v>
      </c>
      <c r="BT69" s="15">
        <f>'[1]功能-战损相关'!O75</f>
        <v>0.125</v>
      </c>
      <c r="BU69" s="15">
        <f>'[1]功能-战损相关'!P75</f>
        <v>0.125</v>
      </c>
      <c r="BV69" s="15">
        <f>'[1]功能-战损相关'!Q75</f>
        <v>0.125</v>
      </c>
      <c r="CJ69" s="2">
        <f>[4]兵营招募!S103</f>
        <v>66</v>
      </c>
      <c r="CK69" s="2">
        <f>[4]兵营招募!U103</f>
        <v>23000</v>
      </c>
    </row>
    <row r="70" spans="2:89" x14ac:dyDescent="0.15">
      <c r="B70" s="7">
        <v>66</v>
      </c>
      <c r="C70" s="7">
        <f>[1]服务器生态!W87</f>
        <v>244.91192764500008</v>
      </c>
      <c r="D70" s="7">
        <f>[1]服务器生态!X87</f>
        <v>222.34606113096154</v>
      </c>
      <c r="E70" s="7">
        <f>[1]服务器生态!Y87</f>
        <v>18.692419944038399</v>
      </c>
      <c r="F70" s="7">
        <f>[1]服务器生态!Z87</f>
        <v>3.1774696800000006</v>
      </c>
      <c r="G70" s="7">
        <f>[1]服务器生态!AA87</f>
        <v>0.87212159999999983</v>
      </c>
      <c r="H70" s="7">
        <f>[1]服务器生态!AC87</f>
        <v>0.49982026050000017</v>
      </c>
      <c r="I70" s="7">
        <f>[1]服务器生态!AD87</f>
        <v>0.45376747169583986</v>
      </c>
      <c r="J70" s="7">
        <f>[1]服务器生态!AE87</f>
        <v>3.8147795804160001E-2</v>
      </c>
      <c r="K70" s="7">
        <f>[1]服务器生态!AF87</f>
        <v>6.4846320000000015E-3</v>
      </c>
      <c r="L70" s="7">
        <f>[1]服务器生态!AG87</f>
        <v>1.7798399999999998E-3</v>
      </c>
      <c r="M70" s="7">
        <f>[5]基础信息!M69</f>
        <v>96.995670995670991</v>
      </c>
      <c r="Q70" s="7">
        <v>66</v>
      </c>
      <c r="R70" s="7">
        <f>[6]带兵数!D69</f>
        <v>5985.3500482504596</v>
      </c>
      <c r="S70" s="7">
        <f>[6]带兵数!E69</f>
        <v>6039.9957868613874</v>
      </c>
      <c r="T70" s="7">
        <f>[6]带兵数!F69</f>
        <v>6102.3795989405535</v>
      </c>
      <c r="U70" s="7">
        <f>[6]带兵数!G69</f>
        <v>6164.2486428831089</v>
      </c>
      <c r="V70" s="7">
        <f>[6]带兵数!H69</f>
        <v>6235.0881200683125</v>
      </c>
      <c r="X70" s="7">
        <v>66</v>
      </c>
      <c r="Y70" s="7">
        <f>求节点(节奏总纲!D$4:D$163,R$5:R$164,$X70)*6</f>
        <v>33763.829973175983</v>
      </c>
      <c r="Z70" s="7">
        <f>求节点(节奏总纲!E$4:E$163,S$5:S$164,$X70)*6</f>
        <v>34903.929629843857</v>
      </c>
      <c r="AA70" s="7">
        <f>求节点(节奏总纲!F$4:F$163,T$5:T$164,$X70)*6</f>
        <v>36394.540362654305</v>
      </c>
      <c r="AB70" s="7">
        <f>求节点(节奏总纲!G$4:G$163,U$5:U$164,$X70)*6</f>
        <v>38575.405874868527</v>
      </c>
      <c r="AC70" s="7">
        <f>求节点(节奏总纲!H$4:H$163,V$5:V$164,$X70)*6</f>
        <v>42404.287344374796</v>
      </c>
      <c r="AG70" s="7">
        <v>66</v>
      </c>
      <c r="AH70" s="7">
        <v>1</v>
      </c>
      <c r="AI70" s="7">
        <f>[6]实力验证!$Z72</f>
        <v>1.4825351367387609</v>
      </c>
      <c r="AJ70" s="7">
        <f>[6]实力验证!$AE72</f>
        <v>2.6812864741297622</v>
      </c>
      <c r="AK70" s="7">
        <f>[6]实力验证!$AJ72</f>
        <v>6.8905130425505341</v>
      </c>
      <c r="AL70" s="7">
        <f>[6]实力验证!$AO72</f>
        <v>23.313733190081912</v>
      </c>
      <c r="AM70" s="7">
        <f t="shared" si="4"/>
        <v>83.422814667208286</v>
      </c>
      <c r="AR70" s="14">
        <v>66</v>
      </c>
      <c r="AS70" s="14">
        <f>[6]攻城值!AC70</f>
        <v>265.25090664411545</v>
      </c>
      <c r="AT70" s="14">
        <f>[6]攻城值!AD70</f>
        <v>272.79921241678437</v>
      </c>
      <c r="AU70" s="14">
        <f>[6]攻城值!AE70</f>
        <v>280.89590918710803</v>
      </c>
      <c r="AV70" s="14">
        <f>[6]攻城值!AF70</f>
        <v>295.82345625182438</v>
      </c>
      <c r="AW70" s="14">
        <f>[6]攻城值!AG70</f>
        <v>283.46049939907942</v>
      </c>
      <c r="AY70" s="14">
        <v>66</v>
      </c>
      <c r="AZ70" s="14">
        <f>[6]攻城值!AJ70</f>
        <v>1438.6297352531153</v>
      </c>
      <c r="BA70" s="14">
        <f>[6]攻城值!AK70</f>
        <v>1497.4884102159206</v>
      </c>
      <c r="BB70" s="14">
        <f>[6]攻城值!AL70</f>
        <v>1562.450630755887</v>
      </c>
      <c r="BC70" s="14">
        <f>[6]攻城值!AM70</f>
        <v>1668.398393507121</v>
      </c>
      <c r="BD70" s="14">
        <f>[6]攻城值!AN70</f>
        <v>1626.5980283980077</v>
      </c>
      <c r="BF70" s="14">
        <v>66</v>
      </c>
      <c r="BG70" s="14">
        <f>[6]攻城值!AQ70</f>
        <v>0.15567458196412445</v>
      </c>
      <c r="BH70" s="14">
        <f>[6]攻城值!AR70</f>
        <v>0.84432541803587546</v>
      </c>
      <c r="BL70" s="14">
        <v>66</v>
      </c>
      <c r="BM70" s="15">
        <f t="shared" ref="BM70:BQ133" si="6">$BN$2</f>
        <v>1</v>
      </c>
      <c r="BN70" s="15">
        <f t="shared" si="6"/>
        <v>1</v>
      </c>
      <c r="BO70" s="15">
        <f t="shared" si="6"/>
        <v>1</v>
      </c>
      <c r="BP70" s="15">
        <f t="shared" si="6"/>
        <v>1</v>
      </c>
      <c r="BQ70" s="15">
        <f t="shared" si="6"/>
        <v>1</v>
      </c>
      <c r="BR70" s="15">
        <f>'[1]功能-战损相关'!M76</f>
        <v>0.125</v>
      </c>
      <c r="BS70" s="15">
        <f>'[1]功能-战损相关'!N76</f>
        <v>0.125</v>
      </c>
      <c r="BT70" s="15">
        <f>'[1]功能-战损相关'!O76</f>
        <v>0.125</v>
      </c>
      <c r="BU70" s="15">
        <f>'[1]功能-战损相关'!P76</f>
        <v>0.125</v>
      </c>
      <c r="BV70" s="15">
        <f>'[1]功能-战损相关'!Q76</f>
        <v>0.125</v>
      </c>
      <c r="CJ70" s="2">
        <f>[4]兵营招募!S104</f>
        <v>67</v>
      </c>
      <c r="CK70" s="2">
        <f>[4]兵营招募!U104</f>
        <v>23000</v>
      </c>
    </row>
    <row r="71" spans="2:89" x14ac:dyDescent="0.15">
      <c r="B71" s="7">
        <v>67</v>
      </c>
      <c r="C71" s="7">
        <f>[1]服务器生态!W88</f>
        <v>243.66798664875006</v>
      </c>
      <c r="D71" s="7">
        <f>[1]服务器生态!X88</f>
        <v>221.97938381975766</v>
      </c>
      <c r="E71" s="7">
        <f>[1]服务器生态!Y88</f>
        <v>18.638126844825603</v>
      </c>
      <c r="F71" s="7">
        <f>[1]服务器生态!Z88</f>
        <v>3.1744616200000007</v>
      </c>
      <c r="G71" s="7">
        <f>[1]服务器生态!AA88</f>
        <v>0.87337439999999977</v>
      </c>
      <c r="H71" s="7">
        <f>[1]服务器生态!AC88</f>
        <v>0.49897881225000013</v>
      </c>
      <c r="I71" s="7">
        <f>[1]服务器生态!AD88</f>
        <v>0.45456529109847987</v>
      </c>
      <c r="J71" s="7">
        <f>[1]服务器生态!AE88</f>
        <v>3.8166812651520006E-2</v>
      </c>
      <c r="K71" s="7">
        <f>[1]服务器生态!AF88</f>
        <v>6.5006040000000018E-3</v>
      </c>
      <c r="L71" s="7">
        <f>[1]服务器生态!AG88</f>
        <v>1.7884799999999996E-3</v>
      </c>
      <c r="M71" s="7">
        <f>[5]基础信息!M70</f>
        <v>97.212121212121218</v>
      </c>
      <c r="Q71" s="7">
        <v>67</v>
      </c>
      <c r="R71" s="7">
        <f>[6]带兵数!D70</f>
        <v>6052.3420039247139</v>
      </c>
      <c r="S71" s="7">
        <f>[6]带兵数!E70</f>
        <v>6107.8836653495255</v>
      </c>
      <c r="T71" s="7">
        <f>[6]带兵数!F70</f>
        <v>6166.6722334610458</v>
      </c>
      <c r="U71" s="7">
        <f>[6]带兵数!G70</f>
        <v>6230.8845309680837</v>
      </c>
      <c r="V71" s="7">
        <f>[6]带兵数!H70</f>
        <v>6300.4888716037349</v>
      </c>
      <c r="X71" s="7">
        <v>67</v>
      </c>
      <c r="Y71" s="7">
        <f>求节点(节奏总纲!D$4:D$163,R$5:R$164,$X71)*6</f>
        <v>33849.090647866222</v>
      </c>
      <c r="Z71" s="7">
        <f>求节点(节奏总纲!E$4:E$163,S$5:S$164,$X71)*6</f>
        <v>34992.991782092751</v>
      </c>
      <c r="AA71" s="7">
        <f>求节点(节奏总纲!F$4:F$163,T$5:T$164,$X71)*6</f>
        <v>36482.767670591827</v>
      </c>
      <c r="AB71" s="7">
        <f>求节点(节奏总纲!G$4:G$163,U$5:U$164,$X71)*6</f>
        <v>38661.346501948676</v>
      </c>
      <c r="AC71" s="7">
        <f>求节点(节奏总纲!H$4:H$163,V$5:V$164,$X71)*6</f>
        <v>42492.038039140105</v>
      </c>
      <c r="AG71" s="7">
        <v>67</v>
      </c>
      <c r="AH71" s="7">
        <v>1</v>
      </c>
      <c r="AI71" s="7">
        <f>[6]实力验证!$Z73</f>
        <v>1.4860288786567055</v>
      </c>
      <c r="AJ71" s="7">
        <f>[6]实力验证!$AE73</f>
        <v>2.6878148141757152</v>
      </c>
      <c r="AK71" s="7">
        <f>[6]实力验证!$AJ73</f>
        <v>6.8752666100784507</v>
      </c>
      <c r="AL71" s="7">
        <f>[6]实力验证!$AO73</f>
        <v>23.33731184394972</v>
      </c>
      <c r="AM71" s="7">
        <f t="shared" si="4"/>
        <v>83.856248841269448</v>
      </c>
      <c r="AR71" s="14">
        <v>67</v>
      </c>
      <c r="AS71" s="14">
        <f>[6]攻城值!AC71</f>
        <v>281.36039111597393</v>
      </c>
      <c r="AT71" s="14">
        <f>[6]攻城值!AD71</f>
        <v>289.83876899398564</v>
      </c>
      <c r="AU71" s="14">
        <f>[6]攻城值!AE71</f>
        <v>298.70682742721146</v>
      </c>
      <c r="AV71" s="14">
        <f>[6]攻城值!AF71</f>
        <v>315.80776266811847</v>
      </c>
      <c r="AW71" s="14">
        <f>[6]攻城值!AG71</f>
        <v>304.32676763760719</v>
      </c>
      <c r="AY71" s="14">
        <v>67</v>
      </c>
      <c r="AZ71" s="14">
        <f>[6]攻城值!AJ71</f>
        <v>1520.5939437107706</v>
      </c>
      <c r="BA71" s="14">
        <f>[6]攻城值!AK71</f>
        <v>1585.1667917005539</v>
      </c>
      <c r="BB71" s="14">
        <f>[6]攻城值!AL71</f>
        <v>1655.160171009818</v>
      </c>
      <c r="BC71" s="14">
        <f>[6]攻城值!AM71</f>
        <v>1775.7609469463112</v>
      </c>
      <c r="BD71" s="14">
        <f>[6]攻城值!AN71</f>
        <v>1744.2106844414277</v>
      </c>
      <c r="BF71" s="14">
        <v>67</v>
      </c>
      <c r="BG71" s="14">
        <f>[6]攻城值!AQ71</f>
        <v>0.15614179875597478</v>
      </c>
      <c r="BH71" s="14">
        <f>[6]攻城值!AR71</f>
        <v>0.84385820124402522</v>
      </c>
      <c r="BL71" s="14">
        <v>67</v>
      </c>
      <c r="BM71" s="15">
        <f t="shared" si="6"/>
        <v>1</v>
      </c>
      <c r="BN71" s="15">
        <f t="shared" si="6"/>
        <v>1</v>
      </c>
      <c r="BO71" s="15">
        <f t="shared" si="6"/>
        <v>1</v>
      </c>
      <c r="BP71" s="15">
        <f t="shared" si="6"/>
        <v>1</v>
      </c>
      <c r="BQ71" s="15">
        <f t="shared" si="6"/>
        <v>1</v>
      </c>
      <c r="BR71" s="15">
        <f>'[1]功能-战损相关'!M77</f>
        <v>0.125</v>
      </c>
      <c r="BS71" s="15">
        <f>'[1]功能-战损相关'!N77</f>
        <v>0.125</v>
      </c>
      <c r="BT71" s="15">
        <f>'[1]功能-战损相关'!O77</f>
        <v>0.125</v>
      </c>
      <c r="BU71" s="15">
        <f>'[1]功能-战损相关'!P77</f>
        <v>0.125</v>
      </c>
      <c r="BV71" s="15">
        <f>'[1]功能-战损相关'!Q77</f>
        <v>0.125</v>
      </c>
      <c r="CJ71" s="2">
        <f>[4]兵营招募!S105</f>
        <v>68</v>
      </c>
      <c r="CK71" s="2">
        <f>[4]兵营招募!U105</f>
        <v>25000</v>
      </c>
    </row>
    <row r="72" spans="2:89" x14ac:dyDescent="0.15">
      <c r="B72" s="7">
        <v>68</v>
      </c>
      <c r="C72" s="7">
        <f>[1]服务器生态!W89</f>
        <v>242.42685048000007</v>
      </c>
      <c r="D72" s="7">
        <f>[1]服务器生态!X89</f>
        <v>221.610047110545</v>
      </c>
      <c r="E72" s="7">
        <f>[1]服务器生态!Y89</f>
        <v>18.583770356121605</v>
      </c>
      <c r="F72" s="7">
        <f>[1]服务器生态!Z89</f>
        <v>3.1714003200000014</v>
      </c>
      <c r="G72" s="7">
        <f>[1]服务器生态!AA89</f>
        <v>0.87459839999999989</v>
      </c>
      <c r="H72" s="7">
        <f>[1]服务器生态!AC89</f>
        <v>0.49813736400000014</v>
      </c>
      <c r="I72" s="7">
        <f>[1]服务器生态!AD89</f>
        <v>0.45536311050111983</v>
      </c>
      <c r="J72" s="7">
        <f>[1]服务器生态!AE89</f>
        <v>3.8185829498880004E-2</v>
      </c>
      <c r="K72" s="7">
        <f>[1]服务器生态!AF89</f>
        <v>6.5165760000000022E-3</v>
      </c>
      <c r="L72" s="7">
        <f>[1]服务器生态!AG89</f>
        <v>1.7971199999999997E-3</v>
      </c>
      <c r="M72" s="7">
        <f>[5]基础信息!M71</f>
        <v>97.428571428571431</v>
      </c>
      <c r="Q72" s="7">
        <v>68</v>
      </c>
      <c r="R72" s="7">
        <f>[6]带兵数!D71</f>
        <v>6119.0779383138506</v>
      </c>
      <c r="S72" s="7">
        <f>[6]带兵数!E71</f>
        <v>6173.8919857187802</v>
      </c>
      <c r="T72" s="7">
        <f>[6]带兵数!F71</f>
        <v>6231.3229873395803</v>
      </c>
      <c r="U72" s="7">
        <f>[6]带兵数!G71</f>
        <v>6295.0201830884398</v>
      </c>
      <c r="V72" s="7">
        <f>[6]带兵数!H71</f>
        <v>6365.9720729358742</v>
      </c>
      <c r="X72" s="7">
        <v>68</v>
      </c>
      <c r="Y72" s="7">
        <f>求节点(节奏总纲!D$4:D$163,R$5:R$164,$X72)*6</f>
        <v>33933.4034754229</v>
      </c>
      <c r="Z72" s="7">
        <f>求节点(节奏总纲!E$4:E$163,S$5:S$164,$X72)*6</f>
        <v>35077.574807010133</v>
      </c>
      <c r="AA72" s="7">
        <f>求节点(节奏总纲!F$4:F$163,T$5:T$164,$X72)*6</f>
        <v>36570.99497852935</v>
      </c>
      <c r="AB72" s="7">
        <f>求节点(节奏总纲!G$4:G$163,U$5:U$164,$X72)*6</f>
        <v>38747.287129028817</v>
      </c>
      <c r="AC72" s="7">
        <f>求节点(节奏总纲!H$4:H$163,V$5:V$164,$X72)*6</f>
        <v>42579.788733905407</v>
      </c>
      <c r="AG72" s="7">
        <v>68</v>
      </c>
      <c r="AH72" s="7">
        <v>1</v>
      </c>
      <c r="AI72" s="7">
        <f>[6]实力验证!$Z74</f>
        <v>1.4898557266481725</v>
      </c>
      <c r="AJ72" s="7">
        <f>[6]实力验证!$AE74</f>
        <v>2.692772764256226</v>
      </c>
      <c r="AK72" s="7">
        <f>[6]实力验证!$AJ74</f>
        <v>6.8576209851821144</v>
      </c>
      <c r="AL72" s="7">
        <f>[6]实力验证!$AO74</f>
        <v>23.348931839921761</v>
      </c>
      <c r="AM72" s="7">
        <f t="shared" si="4"/>
        <v>84.282254465444836</v>
      </c>
      <c r="AR72" s="14">
        <v>68</v>
      </c>
      <c r="AS72" s="14">
        <f>[6]攻城值!AC72</f>
        <v>285.91145331748351</v>
      </c>
      <c r="AT72" s="14">
        <f>[6]攻城值!AD72</f>
        <v>295.17771115730665</v>
      </c>
      <c r="AU72" s="14">
        <f>[6]攻城值!AE72</f>
        <v>304.12174429157187</v>
      </c>
      <c r="AV72" s="14">
        <f>[6]攻城值!AF72</f>
        <v>323.35420436841792</v>
      </c>
      <c r="AW72" s="14">
        <f>[6]攻城值!AG72</f>
        <v>312.03293715261475</v>
      </c>
      <c r="AY72" s="14">
        <v>68</v>
      </c>
      <c r="AZ72" s="14">
        <f>[6]攻城值!AJ72</f>
        <v>1539.845859950078</v>
      </c>
      <c r="BA72" s="14">
        <f>[6]攻城值!AK72</f>
        <v>1608.5651088688282</v>
      </c>
      <c r="BB72" s="14">
        <f>[6]攻城值!AL72</f>
        <v>1678.8661504310921</v>
      </c>
      <c r="BC72" s="14">
        <f>[6]攻城值!AM72</f>
        <v>1816.5169417159946</v>
      </c>
      <c r="BD72" s="14">
        <f>[6]攻城值!AN72</f>
        <v>1786.2582723620749</v>
      </c>
      <c r="BF72" s="14">
        <v>68</v>
      </c>
      <c r="BG72" s="14">
        <f>[6]攻城值!AQ72</f>
        <v>0.15659882682095749</v>
      </c>
      <c r="BH72" s="14">
        <f>[6]攻城值!AR72</f>
        <v>0.8434011731790424</v>
      </c>
      <c r="BL72" s="14">
        <v>68</v>
      </c>
      <c r="BM72" s="15">
        <f t="shared" si="6"/>
        <v>1</v>
      </c>
      <c r="BN72" s="15">
        <f t="shared" si="6"/>
        <v>1</v>
      </c>
      <c r="BO72" s="15">
        <f t="shared" si="6"/>
        <v>1</v>
      </c>
      <c r="BP72" s="15">
        <f t="shared" si="6"/>
        <v>1</v>
      </c>
      <c r="BQ72" s="15">
        <f t="shared" si="6"/>
        <v>1</v>
      </c>
      <c r="BR72" s="15">
        <f>'[1]功能-战损相关'!M78</f>
        <v>0.125</v>
      </c>
      <c r="BS72" s="15">
        <f>'[1]功能-战损相关'!N78</f>
        <v>0.125</v>
      </c>
      <c r="BT72" s="15">
        <f>'[1]功能-战损相关'!O78</f>
        <v>0.125</v>
      </c>
      <c r="BU72" s="15">
        <f>'[1]功能-战损相关'!P78</f>
        <v>0.125</v>
      </c>
      <c r="BV72" s="15">
        <f>'[1]功能-战损相关'!Q78</f>
        <v>0.125</v>
      </c>
      <c r="CJ72" s="2">
        <f>[4]兵营招募!S106</f>
        <v>69</v>
      </c>
      <c r="CK72" s="2">
        <f>[4]兵营招募!U106</f>
        <v>25000</v>
      </c>
    </row>
    <row r="73" spans="2:89" x14ac:dyDescent="0.15">
      <c r="B73" s="7">
        <v>69</v>
      </c>
      <c r="C73" s="7">
        <f>[1]服务器生态!W90</f>
        <v>241.18851913875008</v>
      </c>
      <c r="D73" s="7">
        <f>[1]服务器生态!X90</f>
        <v>221.23805100332353</v>
      </c>
      <c r="E73" s="7">
        <f>[1]服务器生态!Y90</f>
        <v>18.5293504779264</v>
      </c>
      <c r="F73" s="7">
        <f>[1]服务器生态!Z90</f>
        <v>3.1682857800000011</v>
      </c>
      <c r="G73" s="7">
        <f>[1]服务器生态!AA90</f>
        <v>0.87579359999999995</v>
      </c>
      <c r="H73" s="7">
        <f>[1]服务器生态!AC90</f>
        <v>0.49729591575000015</v>
      </c>
      <c r="I73" s="7">
        <f>[1]服务器生态!AD90</f>
        <v>0.45616092990375984</v>
      </c>
      <c r="J73" s="7">
        <f>[1]服务器生态!AE90</f>
        <v>3.8204846346240003E-2</v>
      </c>
      <c r="K73" s="7">
        <f>[1]服务器生态!AF90</f>
        <v>6.5325480000000017E-3</v>
      </c>
      <c r="L73" s="7">
        <f>[1]服务器生态!AG90</f>
        <v>1.8057599999999998E-3</v>
      </c>
      <c r="M73" s="7">
        <f>[5]基础信息!M72</f>
        <v>97.645021645021643</v>
      </c>
      <c r="Q73" s="7">
        <v>69</v>
      </c>
      <c r="R73" s="7">
        <f>[6]带兵数!D72</f>
        <v>6186.536882419874</v>
      </c>
      <c r="S73" s="7">
        <f>[6]带兵数!E72</f>
        <v>6239.0086613900839</v>
      </c>
      <c r="T73" s="7">
        <f>[6]带兵数!F72</f>
        <v>6297.7349475328356</v>
      </c>
      <c r="U73" s="7">
        <f>[6]带兵数!G72</f>
        <v>6363.0671141986095</v>
      </c>
      <c r="V73" s="7">
        <f>[6]带兵数!H72</f>
        <v>6430.2363103332473</v>
      </c>
      <c r="X73" s="7">
        <v>69</v>
      </c>
      <c r="Y73" s="7">
        <f>求节点(节奏总纲!D$4:D$163,R$5:R$164,$X73)*6</f>
        <v>34016.332413656186</v>
      </c>
      <c r="Z73" s="7">
        <f>求节点(节奏总纲!E$4:E$163,S$5:S$164,$X73)*6</f>
        <v>35158.184512844389</v>
      </c>
      <c r="AA73" s="7">
        <f>求节点(节奏总纲!F$4:F$163,T$5:T$164,$X73)*6</f>
        <v>36655.198212151285</v>
      </c>
      <c r="AB73" s="7">
        <f>求节点(节奏总纲!G$4:G$163,U$5:U$164,$X73)*6</f>
        <v>38833.227756108972</v>
      </c>
      <c r="AC73" s="7">
        <f>求节点(节奏总纲!H$4:H$163,V$5:V$164,$X73)*6</f>
        <v>42663.870312995299</v>
      </c>
      <c r="AG73" s="7">
        <v>69</v>
      </c>
      <c r="AH73" s="7">
        <v>1</v>
      </c>
      <c r="AI73" s="7">
        <f>[6]实力验证!$Z75</f>
        <v>1.4935451656468606</v>
      </c>
      <c r="AJ73" s="7">
        <f>[6]实力验证!$AE75</f>
        <v>2.6987106336549611</v>
      </c>
      <c r="AK73" s="7">
        <f>[6]实力验证!$AJ75</f>
        <v>6.8363653408402385</v>
      </c>
      <c r="AL73" s="7">
        <f>[6]实力验证!$AO75</f>
        <v>23.397430901211102</v>
      </c>
      <c r="AM73" s="7">
        <f t="shared" si="4"/>
        <v>84.720951007549601</v>
      </c>
      <c r="AR73" s="14">
        <v>69</v>
      </c>
      <c r="AS73" s="14">
        <f>[6]攻城值!AC73</f>
        <v>290.47783473056836</v>
      </c>
      <c r="AT73" s="14">
        <f>[6]攻城值!AD73</f>
        <v>300.5014057674191</v>
      </c>
      <c r="AU73" s="14">
        <f>[6]攻城值!AE73</f>
        <v>309.56618202948738</v>
      </c>
      <c r="AV73" s="14">
        <f>[6]攻城值!AF73</f>
        <v>330.75835448733113</v>
      </c>
      <c r="AW73" s="14">
        <f>[6]攻城值!AG73</f>
        <v>319.61343881468861</v>
      </c>
      <c r="AY73" s="14">
        <v>69</v>
      </c>
      <c r="AZ73" s="14">
        <f>[6]攻城值!AJ73</f>
        <v>1559.1575740815756</v>
      </c>
      <c r="BA73" s="14">
        <f>[6]攻城值!AK73</f>
        <v>1631.8021053808927</v>
      </c>
      <c r="BB73" s="14">
        <f>[6]攻城值!AL73</f>
        <v>1707.5156519158986</v>
      </c>
      <c r="BC73" s="14">
        <f>[6]攻城值!AM73</f>
        <v>1856.2858115822987</v>
      </c>
      <c r="BD73" s="14">
        <f>[6]攻城值!AN73</f>
        <v>1827.3335693885981</v>
      </c>
      <c r="BF73" s="14">
        <v>69</v>
      </c>
      <c r="BG73" s="14">
        <f>[6]攻城值!AQ73</f>
        <v>0.15704599584688769</v>
      </c>
      <c r="BH73" s="14">
        <f>[6]攻城值!AR73</f>
        <v>0.84295400415311239</v>
      </c>
      <c r="BL73" s="14">
        <v>69</v>
      </c>
      <c r="BM73" s="15">
        <f t="shared" si="6"/>
        <v>1</v>
      </c>
      <c r="BN73" s="15">
        <f t="shared" si="6"/>
        <v>1</v>
      </c>
      <c r="BO73" s="15">
        <f t="shared" si="6"/>
        <v>1</v>
      </c>
      <c r="BP73" s="15">
        <f t="shared" si="6"/>
        <v>1</v>
      </c>
      <c r="BQ73" s="15">
        <f t="shared" si="6"/>
        <v>1</v>
      </c>
      <c r="BR73" s="15">
        <f>'[1]功能-战损相关'!M79</f>
        <v>0.125</v>
      </c>
      <c r="BS73" s="15">
        <f>'[1]功能-战损相关'!N79</f>
        <v>0.125</v>
      </c>
      <c r="BT73" s="15">
        <f>'[1]功能-战损相关'!O79</f>
        <v>0.125</v>
      </c>
      <c r="BU73" s="15">
        <f>'[1]功能-战损相关'!P79</f>
        <v>0.125</v>
      </c>
      <c r="BV73" s="15">
        <f>'[1]功能-战损相关'!Q79</f>
        <v>0.125</v>
      </c>
      <c r="CJ73" s="2">
        <f>[4]兵营招募!S107</f>
        <v>70</v>
      </c>
      <c r="CK73" s="2">
        <f>[4]兵营招募!U107</f>
        <v>25000</v>
      </c>
    </row>
    <row r="74" spans="2:89" x14ac:dyDescent="0.15">
      <c r="B74" s="7">
        <v>70</v>
      </c>
      <c r="C74" s="7">
        <f>[1]服务器生态!W91</f>
        <v>239.95299262500004</v>
      </c>
      <c r="D74" s="7">
        <f>[1]服务器生态!X91</f>
        <v>220.86339549809324</v>
      </c>
      <c r="E74" s="7">
        <f>[1]服务器生态!Y91</f>
        <v>18.474867210239999</v>
      </c>
      <c r="F74" s="7">
        <f>[1]服务器生态!Z91</f>
        <v>3.165118000000001</v>
      </c>
      <c r="G74" s="7">
        <f>[1]服务器生态!AA91</f>
        <v>0.87695999999999985</v>
      </c>
      <c r="H74" s="7">
        <f>[1]服务器生态!AC91</f>
        <v>0.49645446750000011</v>
      </c>
      <c r="I74" s="7">
        <f>[1]服务器生态!AD91</f>
        <v>0.45695874930639985</v>
      </c>
      <c r="J74" s="7">
        <f>[1]服务器生态!AE91</f>
        <v>3.8223863193600001E-2</v>
      </c>
      <c r="K74" s="7">
        <f>[1]服务器生态!AF91</f>
        <v>6.5485200000000021E-3</v>
      </c>
      <c r="L74" s="7">
        <f>[1]服务器生态!AG91</f>
        <v>1.8143999999999997E-3</v>
      </c>
      <c r="M74" s="7">
        <f>[5]基础信息!M73</f>
        <v>97.861471861471856</v>
      </c>
      <c r="Q74" s="7">
        <v>70</v>
      </c>
      <c r="R74" s="7">
        <f>[6]带兵数!D73</f>
        <v>6252.8525141348637</v>
      </c>
      <c r="S74" s="7">
        <f>[6]带兵数!E73</f>
        <v>6306.7205562734362</v>
      </c>
      <c r="T74" s="7">
        <f>[6]带兵数!F73</f>
        <v>6366.000939224954</v>
      </c>
      <c r="U74" s="7">
        <f>[6]带兵数!G73</f>
        <v>6428.1700810460788</v>
      </c>
      <c r="V74" s="7">
        <f>[6]带兵数!H73</f>
        <v>6498.0332137364976</v>
      </c>
      <c r="X74" s="7">
        <v>70</v>
      </c>
      <c r="Y74" s="7">
        <f>求节点(节奏总纲!D$4:D$163,R$5:R$164,$X74)*6</f>
        <v>34099.261351889465</v>
      </c>
      <c r="Z74" s="7">
        <f>求节点(节奏总纲!E$4:E$163,S$5:S$164,$X74)*6</f>
        <v>35238.794218678653</v>
      </c>
      <c r="AA74" s="7">
        <f>求节点(节奏总纲!F$4:F$163,T$5:T$164,$X74)*6</f>
        <v>36735.52618378232</v>
      </c>
      <c r="AB74" s="7">
        <f>求节点(节奏总纲!G$4:G$163,U$5:U$164,$X74)*6</f>
        <v>38919.168383189113</v>
      </c>
      <c r="AC74" s="7">
        <f>求节点(节奏总纲!H$4:H$163,V$5:V$164,$X74)*6</f>
        <v>42747.441650741894</v>
      </c>
      <c r="AG74" s="7">
        <v>70</v>
      </c>
      <c r="AH74" s="7">
        <v>1</v>
      </c>
      <c r="AI74" s="7">
        <f>[6]实力验证!$Z76</f>
        <v>1.4970507384879739</v>
      </c>
      <c r="AJ74" s="7">
        <f>[6]实力验证!$AE76</f>
        <v>2.7071670135138173</v>
      </c>
      <c r="AK74" s="7">
        <f>[6]实力验证!$AJ76</f>
        <v>6.8161689886165755</v>
      </c>
      <c r="AL74" s="7">
        <f>[6]实力验证!$AO76</f>
        <v>23.450670956046856</v>
      </c>
      <c r="AM74" s="7">
        <f t="shared" si="4"/>
        <v>85.17624441661836</v>
      </c>
      <c r="AR74" s="14">
        <v>70</v>
      </c>
      <c r="AS74" s="14">
        <f>[6]攻城值!AC74</f>
        <v>294.92784702646219</v>
      </c>
      <c r="AT74" s="14">
        <f>[6]攻城值!AD74</f>
        <v>305.20445665628961</v>
      </c>
      <c r="AU74" s="14">
        <f>[6]攻城值!AE74</f>
        <v>314.62958087516444</v>
      </c>
      <c r="AV74" s="14">
        <f>[6]攻城值!AF74</f>
        <v>338.00039993292825</v>
      </c>
      <c r="AW74" s="14">
        <f>[6]攻城值!AG74</f>
        <v>327.2258614148738</v>
      </c>
      <c r="AY74" s="14">
        <v>70</v>
      </c>
      <c r="AZ74" s="14">
        <f>[6]攻城值!AJ74</f>
        <v>1577.5402806464315</v>
      </c>
      <c r="BA74" s="14">
        <f>[6]攻城值!AK74</f>
        <v>1654.6714436759235</v>
      </c>
      <c r="BB74" s="14">
        <f>[6]攻城值!AL74</f>
        <v>1733.981728815849</v>
      </c>
      <c r="BC74" s="14">
        <f>[6]攻城值!AM74</f>
        <v>1894.8482826448121</v>
      </c>
      <c r="BD74" s="14">
        <f>[6]攻城值!AN74</f>
        <v>1868.3194548323024</v>
      </c>
      <c r="BF74" s="14">
        <v>70</v>
      </c>
      <c r="BG74" s="14">
        <f>[6]攻城值!AQ74</f>
        <v>0.15750753920335028</v>
      </c>
      <c r="BH74" s="14">
        <f>[6]攻城值!AR74</f>
        <v>0.84249246079664974</v>
      </c>
      <c r="BL74" s="14">
        <v>70</v>
      </c>
      <c r="BM74" s="15">
        <f t="shared" si="6"/>
        <v>1</v>
      </c>
      <c r="BN74" s="15">
        <f t="shared" si="6"/>
        <v>1</v>
      </c>
      <c r="BO74" s="15">
        <f t="shared" si="6"/>
        <v>1</v>
      </c>
      <c r="BP74" s="15">
        <f t="shared" si="6"/>
        <v>1</v>
      </c>
      <c r="BQ74" s="15">
        <f t="shared" si="6"/>
        <v>1</v>
      </c>
      <c r="BR74" s="15">
        <f>'[1]功能-战损相关'!M80</f>
        <v>0.125</v>
      </c>
      <c r="BS74" s="15">
        <f>'[1]功能-战损相关'!N80</f>
        <v>0.125</v>
      </c>
      <c r="BT74" s="15">
        <f>'[1]功能-战损相关'!O80</f>
        <v>0.125</v>
      </c>
      <c r="BU74" s="15">
        <f>'[1]功能-战损相关'!P80</f>
        <v>0.125</v>
      </c>
      <c r="BV74" s="15">
        <f>'[1]功能-战损相关'!Q80</f>
        <v>0.125</v>
      </c>
      <c r="CJ74" s="2">
        <f>[4]兵营招募!S108</f>
        <v>71</v>
      </c>
      <c r="CK74" s="2">
        <f>[4]兵营招募!U108</f>
        <v>26000</v>
      </c>
    </row>
    <row r="75" spans="2:89" x14ac:dyDescent="0.15">
      <c r="B75" s="7">
        <v>71</v>
      </c>
      <c r="C75" s="7">
        <f>[1]服务器生态!W92</f>
        <v>238.72027093875008</v>
      </c>
      <c r="D75" s="7">
        <f>[1]服务器生态!X92</f>
        <v>220.4860805948542</v>
      </c>
      <c r="E75" s="7">
        <f>[1]服务器生态!Y92</f>
        <v>18.420320553062403</v>
      </c>
      <c r="F75" s="7">
        <f>[1]服务器生态!Z92</f>
        <v>3.1618969800000007</v>
      </c>
      <c r="G75" s="7">
        <f>[1]服务器生态!AA92</f>
        <v>0.87809759999999992</v>
      </c>
      <c r="H75" s="7">
        <f>[1]服务器生态!AC92</f>
        <v>0.49561301925000012</v>
      </c>
      <c r="I75" s="7">
        <f>[1]服务器生态!AD92</f>
        <v>0.45775656870903986</v>
      </c>
      <c r="J75" s="7">
        <f>[1]服务器生态!AE92</f>
        <v>3.8242880040960006E-2</v>
      </c>
      <c r="K75" s="7">
        <f>[1]服务器生态!AF92</f>
        <v>6.5644920000000016E-3</v>
      </c>
      <c r="L75" s="7">
        <f>[1]服务器生态!AG92</f>
        <v>1.8230399999999997E-3</v>
      </c>
      <c r="M75" s="7">
        <f>[5]基础信息!M74</f>
        <v>98.071146245059282</v>
      </c>
      <c r="Q75" s="7">
        <v>71</v>
      </c>
      <c r="R75" s="7">
        <f>[6]带兵数!D74</f>
        <v>6320.7783723382399</v>
      </c>
      <c r="S75" s="7">
        <f>[6]带兵数!E74</f>
        <v>6373.7125609793566</v>
      </c>
      <c r="T75" s="7">
        <f>[6]带兵数!F74</f>
        <v>6432.7183381803452</v>
      </c>
      <c r="U75" s="7">
        <f>[6]带兵数!G74</f>
        <v>6495.3077749655904</v>
      </c>
      <c r="V75" s="7">
        <f>[6]带兵数!H74</f>
        <v>6563.6236620449563</v>
      </c>
      <c r="X75" s="7">
        <v>71</v>
      </c>
      <c r="Y75" s="7">
        <f>求节点(节奏总纲!D$4:D$163,R$5:R$164,$X75)*6</f>
        <v>34182.190290122759</v>
      </c>
      <c r="Z75" s="7">
        <f>求节点(节奏总纲!E$4:E$163,S$5:S$164,$X75)*6</f>
        <v>35319.40392451291</v>
      </c>
      <c r="AA75" s="7">
        <f>求节点(节奏总纲!F$4:F$163,T$5:T$164,$X75)*6</f>
        <v>36815.854155413363</v>
      </c>
      <c r="AB75" s="7">
        <f>求节点(节奏总纲!G$4:G$163,U$5:U$164,$X75)*6</f>
        <v>39002.277238087074</v>
      </c>
      <c r="AC75" s="7">
        <f>求节点(节奏总纲!H$4:H$163,V$5:V$164,$X75)*6</f>
        <v>42831.012988488481</v>
      </c>
      <c r="AG75" s="7">
        <v>71</v>
      </c>
      <c r="AH75" s="7">
        <v>1</v>
      </c>
      <c r="AI75" s="7">
        <f>[6]实力验证!$Z77</f>
        <v>1.5003858556862173</v>
      </c>
      <c r="AJ75" s="7">
        <f>[6]实力验证!$AE77</f>
        <v>2.7152122087445041</v>
      </c>
      <c r="AK75" s="7">
        <f>[6]实力验证!$AJ77</f>
        <v>6.800355357547704</v>
      </c>
      <c r="AL75" s="7">
        <f>[6]实力验证!$AO77</f>
        <v>23.501322256295339</v>
      </c>
      <c r="AM75" s="7">
        <f t="shared" si="4"/>
        <v>85.624595083503237</v>
      </c>
      <c r="AR75" s="14">
        <v>71</v>
      </c>
      <c r="AS75" s="14">
        <f>[6]攻城值!AC75</f>
        <v>299.35499120684892</v>
      </c>
      <c r="AT75" s="14">
        <f>[6]攻城值!AD75</f>
        <v>309.92427224460795</v>
      </c>
      <c r="AU75" s="14">
        <f>[6]攻城值!AE75</f>
        <v>319.71151786799845</v>
      </c>
      <c r="AV75" s="14">
        <f>[6]攻城值!AF75</f>
        <v>345.07556962539422</v>
      </c>
      <c r="AW75" s="14">
        <f>[6]攻城值!AG75</f>
        <v>334.96477368551461</v>
      </c>
      <c r="AY75" s="14">
        <v>71</v>
      </c>
      <c r="AZ75" s="14">
        <f>[6]攻城值!AJ75</f>
        <v>1598.2358765179065</v>
      </c>
      <c r="BA75" s="14">
        <f>[6]攻城值!AK75</f>
        <v>1679.280666166532</v>
      </c>
      <c r="BB75" s="14">
        <f>[6]攻城值!AL75</f>
        <v>1760.5359746342072</v>
      </c>
      <c r="BC75" s="14">
        <f>[6]攻城值!AM75</f>
        <v>1932.4441490223664</v>
      </c>
      <c r="BD75" s="14">
        <f>[6]攻城值!AN75</f>
        <v>1909.9782818339581</v>
      </c>
      <c r="BF75" s="14">
        <v>71</v>
      </c>
      <c r="BG75" s="14">
        <f>[6]攻城值!AQ75</f>
        <v>0.15775528661021687</v>
      </c>
      <c r="BH75" s="14">
        <f>[6]攻城值!AR75</f>
        <v>0.84224471338978313</v>
      </c>
      <c r="BL75" s="14">
        <v>71</v>
      </c>
      <c r="BM75" s="15">
        <f t="shared" si="6"/>
        <v>1</v>
      </c>
      <c r="BN75" s="15">
        <f t="shared" si="6"/>
        <v>1</v>
      </c>
      <c r="BO75" s="15">
        <f t="shared" si="6"/>
        <v>1</v>
      </c>
      <c r="BP75" s="15">
        <f t="shared" si="6"/>
        <v>1</v>
      </c>
      <c r="BQ75" s="15">
        <f t="shared" si="6"/>
        <v>1</v>
      </c>
      <c r="BR75" s="15">
        <f>'[1]功能-战损相关'!M81</f>
        <v>0.125</v>
      </c>
      <c r="BS75" s="15">
        <f>'[1]功能-战损相关'!N81</f>
        <v>0.125</v>
      </c>
      <c r="BT75" s="15">
        <f>'[1]功能-战损相关'!O81</f>
        <v>0.125</v>
      </c>
      <c r="BU75" s="15">
        <f>'[1]功能-战损相关'!P81</f>
        <v>0.125</v>
      </c>
      <c r="BV75" s="15">
        <f>'[1]功能-战损相关'!Q81</f>
        <v>0.125</v>
      </c>
      <c r="CJ75" s="2">
        <f>[4]兵营招募!S109</f>
        <v>72</v>
      </c>
      <c r="CK75" s="2">
        <f>[4]兵营招募!U109</f>
        <v>27000</v>
      </c>
    </row>
    <row r="76" spans="2:89" x14ac:dyDescent="0.15">
      <c r="B76" s="7">
        <v>72</v>
      </c>
      <c r="C76" s="7">
        <f>[1]服务器生态!W93</f>
        <v>237.49035408000006</v>
      </c>
      <c r="D76" s="7">
        <f>[1]服务器生态!X93</f>
        <v>220.10610629360633</v>
      </c>
      <c r="E76" s="7">
        <f>[1]服务器生态!Y93</f>
        <v>18.365710506393601</v>
      </c>
      <c r="F76" s="7">
        <f>[1]服务器生态!Z93</f>
        <v>3.1586227200000008</v>
      </c>
      <c r="G76" s="7">
        <f>[1]服务器生态!AA93</f>
        <v>0.87920639999999994</v>
      </c>
      <c r="H76" s="7">
        <f>[1]服务器生态!AC93</f>
        <v>0.49477157100000013</v>
      </c>
      <c r="I76" s="7">
        <f>[1]服务器生态!AD93</f>
        <v>0.45855438811167987</v>
      </c>
      <c r="J76" s="7">
        <f>[1]服务器生态!AE93</f>
        <v>3.8261896888320004E-2</v>
      </c>
      <c r="K76" s="7">
        <f>[1]服务器生态!AF93</f>
        <v>6.580464000000002E-3</v>
      </c>
      <c r="L76" s="7">
        <f>[1]服务器生态!AG93</f>
        <v>1.8316799999999998E-3</v>
      </c>
      <c r="M76" s="7">
        <f>[5]基础信息!M75</f>
        <v>98.268774703557312</v>
      </c>
      <c r="Q76" s="7">
        <v>72</v>
      </c>
      <c r="R76" s="7">
        <f>[6]带兵数!D75</f>
        <v>6386.6814302636958</v>
      </c>
      <c r="S76" s="7">
        <f>[6]带兵数!E75</f>
        <v>6441.672781355448</v>
      </c>
      <c r="T76" s="7">
        <f>[6]带兵数!F75</f>
        <v>6497.8709261323856</v>
      </c>
      <c r="U76" s="7">
        <f>[6]带兵数!G75</f>
        <v>6560.486138479986</v>
      </c>
      <c r="V76" s="7">
        <f>[6]带兵数!H75</f>
        <v>6631.4746184152809</v>
      </c>
      <c r="X76" s="7">
        <v>72</v>
      </c>
      <c r="Y76" s="7">
        <f>求节点(节奏总纲!D$4:D$163,R$5:R$164,$X76)*6</f>
        <v>34265.119228356038</v>
      </c>
      <c r="Z76" s="7">
        <f>求节点(节奏总纲!E$4:E$163,S$5:S$164,$X76)*6</f>
        <v>35400.013630347166</v>
      </c>
      <c r="AA76" s="7">
        <f>求节点(节奏总纲!F$4:F$163,T$5:T$164,$X76)*6</f>
        <v>36896.182127044398</v>
      </c>
      <c r="AB76" s="7">
        <f>求节点(节奏总纲!G$4:G$163,U$5:U$164,$X76)*6</f>
        <v>39080.901358653413</v>
      </c>
      <c r="AC76" s="7">
        <f>求节点(节奏总纲!H$4:H$163,V$5:V$164,$X76)*6</f>
        <v>42914.584326235083</v>
      </c>
      <c r="AG76" s="7">
        <v>72</v>
      </c>
      <c r="AH76" s="7">
        <v>1</v>
      </c>
      <c r="AI76" s="7">
        <f>[6]实力验证!$Z78</f>
        <v>1.5035626545595246</v>
      </c>
      <c r="AJ76" s="7">
        <f>[6]实力验证!$AE78</f>
        <v>2.7228754978060832</v>
      </c>
      <c r="AK76" s="7">
        <f>[6]实力验证!$AJ78</f>
        <v>6.7905503108866103</v>
      </c>
      <c r="AL76" s="7">
        <f>[6]实力验证!$AO78</f>
        <v>23.54956913458966</v>
      </c>
      <c r="AM76" s="7">
        <f t="shared" si="4"/>
        <v>86.064013607119676</v>
      </c>
      <c r="AR76" s="14">
        <v>72</v>
      </c>
      <c r="AS76" s="14">
        <f>[6]攻城值!AC76</f>
        <v>303.79795702850953</v>
      </c>
      <c r="AT76" s="14">
        <f>[6]攻城值!AD76</f>
        <v>314.6566058479313</v>
      </c>
      <c r="AU76" s="14">
        <f>[6]攻城值!AE76</f>
        <v>324.81918467676593</v>
      </c>
      <c r="AV76" s="14">
        <f>[6]攻城值!AF76</f>
        <v>351.14060749914165</v>
      </c>
      <c r="AW76" s="14">
        <f>[6]攻城值!AG76</f>
        <v>343.14527894386759</v>
      </c>
      <c r="AY76" s="14">
        <v>72</v>
      </c>
      <c r="AZ76" s="14">
        <f>[6]攻城值!AJ76</f>
        <v>1621.4045819365954</v>
      </c>
      <c r="BA76" s="14">
        <f>[6]攻城值!AK76</f>
        <v>1703.9542489758032</v>
      </c>
      <c r="BB76" s="14">
        <f>[6]攻城值!AL76</f>
        <v>1787.2247673987363</v>
      </c>
      <c r="BC76" s="14">
        <f>[6]攻城值!AM76</f>
        <v>1964.4428226743394</v>
      </c>
      <c r="BD76" s="14">
        <f>[6]攻城值!AN76</f>
        <v>1954.2663098637479</v>
      </c>
      <c r="BF76" s="14">
        <v>72</v>
      </c>
      <c r="BG76" s="14">
        <f>[6]攻城值!AQ76</f>
        <v>0.15780051754545082</v>
      </c>
      <c r="BH76" s="14">
        <f>[6]攻城值!AR76</f>
        <v>0.84219948245454923</v>
      </c>
      <c r="BL76" s="14">
        <v>72</v>
      </c>
      <c r="BM76" s="15">
        <f t="shared" si="6"/>
        <v>1</v>
      </c>
      <c r="BN76" s="15">
        <f t="shared" si="6"/>
        <v>1</v>
      </c>
      <c r="BO76" s="15">
        <f t="shared" si="6"/>
        <v>1</v>
      </c>
      <c r="BP76" s="15">
        <f t="shared" si="6"/>
        <v>1</v>
      </c>
      <c r="BQ76" s="15">
        <f t="shared" si="6"/>
        <v>1</v>
      </c>
      <c r="BR76" s="15">
        <f>'[1]功能-战损相关'!M82</f>
        <v>0.125</v>
      </c>
      <c r="BS76" s="15">
        <f>'[1]功能-战损相关'!N82</f>
        <v>0.125</v>
      </c>
      <c r="BT76" s="15">
        <f>'[1]功能-战损相关'!O82</f>
        <v>0.125</v>
      </c>
      <c r="BU76" s="15">
        <f>'[1]功能-战损相关'!P82</f>
        <v>0.125</v>
      </c>
      <c r="BV76" s="15">
        <f>'[1]功能-战损相关'!Q82</f>
        <v>0.125</v>
      </c>
      <c r="CJ76" s="2">
        <f>[4]兵营招募!S110</f>
        <v>73</v>
      </c>
      <c r="CK76" s="2">
        <f>[4]兵营招募!U110</f>
        <v>28000</v>
      </c>
    </row>
    <row r="77" spans="2:89" x14ac:dyDescent="0.15">
      <c r="B77" s="7">
        <v>73</v>
      </c>
      <c r="C77" s="7">
        <f>[1]服务器生态!W94</f>
        <v>236.26324204875004</v>
      </c>
      <c r="D77" s="7">
        <f>[1]服务器生态!X94</f>
        <v>219.72347259434966</v>
      </c>
      <c r="E77" s="7">
        <f>[1]服务器生态!Y94</f>
        <v>18.311037070233599</v>
      </c>
      <c r="F77" s="7">
        <f>[1]服务器生态!Z94</f>
        <v>3.1552952200000006</v>
      </c>
      <c r="G77" s="7">
        <f>[1]服务器生态!AA94</f>
        <v>0.8802863999999998</v>
      </c>
      <c r="H77" s="7">
        <f>[1]服务器生态!AC94</f>
        <v>0.49393012275000009</v>
      </c>
      <c r="I77" s="7">
        <f>[1]服务器生态!AD94</f>
        <v>0.45935220751431988</v>
      </c>
      <c r="J77" s="7">
        <f>[1]服务器生态!AE94</f>
        <v>3.8280913735680003E-2</v>
      </c>
      <c r="K77" s="7">
        <f>[1]服务器生态!AF94</f>
        <v>6.5964360000000015E-3</v>
      </c>
      <c r="L77" s="7">
        <f>[1]服务器生态!AG94</f>
        <v>1.8403199999999997E-3</v>
      </c>
      <c r="M77" s="7">
        <f>[5]基础信息!M76</f>
        <v>98.466403162055329</v>
      </c>
      <c r="Q77" s="7">
        <v>73</v>
      </c>
      <c r="R77" s="7">
        <f>[6]带兵数!D76</f>
        <v>6455.0728962151661</v>
      </c>
      <c r="S77" s="7">
        <f>[6]带兵数!E76</f>
        <v>6506.0938373564059</v>
      </c>
      <c r="T77" s="7">
        <f>[6]带兵数!F76</f>
        <v>6564.2929396202453</v>
      </c>
      <c r="U77" s="7">
        <f>[6]带兵数!G76</f>
        <v>6627.0735222023523</v>
      </c>
      <c r="V77" s="7">
        <f>[6]带兵数!H76</f>
        <v>6696.121686962174</v>
      </c>
      <c r="X77" s="7">
        <v>73</v>
      </c>
      <c r="Y77" s="7">
        <f>求节点(节奏总纲!D$4:D$163,R$5:R$164,$X77)*6</f>
        <v>34344.274949661311</v>
      </c>
      <c r="Z77" s="7">
        <f>求节点(节奏总纲!E$4:E$163,S$5:S$164,$X77)*6</f>
        <v>35478.643590580235</v>
      </c>
      <c r="AA77" s="7">
        <f>求节点(节奏总纲!F$4:F$163,T$5:T$164,$X77)*6</f>
        <v>36976.510098675433</v>
      </c>
      <c r="AB77" s="7">
        <f>求节点(节奏总纲!G$4:G$163,U$5:U$164,$X77)*6</f>
        <v>39159.525479219745</v>
      </c>
      <c r="AC77" s="7">
        <f>求节点(节奏总纲!H$4:H$163,V$5:V$164,$X77)*6</f>
        <v>42996.875804291463</v>
      </c>
      <c r="AG77" s="7">
        <v>73</v>
      </c>
      <c r="AH77" s="7">
        <v>1</v>
      </c>
      <c r="AI77" s="7">
        <f>[6]实力验证!$Z79</f>
        <v>1.5076160687234854</v>
      </c>
      <c r="AJ77" s="7">
        <f>[6]实力验证!$AE79</f>
        <v>2.7290969476419153</v>
      </c>
      <c r="AK77" s="7">
        <f>[6]实力验证!$AJ79</f>
        <v>6.7785012918595688</v>
      </c>
      <c r="AL77" s="7">
        <f>[6]实力验证!$AO79</f>
        <v>23.614306939393359</v>
      </c>
      <c r="AM77" s="7">
        <f t="shared" si="4"/>
        <v>86.522028033274239</v>
      </c>
      <c r="AR77" s="14">
        <v>73</v>
      </c>
      <c r="AS77" s="14">
        <f>[6]攻城值!AC77</f>
        <v>309.16854313899933</v>
      </c>
      <c r="AT77" s="14">
        <f>[6]攻城值!AD77</f>
        <v>320.0731672027818</v>
      </c>
      <c r="AU77" s="14">
        <f>[6]攻城值!AE77</f>
        <v>330.64492742691397</v>
      </c>
      <c r="AV77" s="14">
        <f>[6]攻城值!AF77</f>
        <v>358.23138826431784</v>
      </c>
      <c r="AW77" s="14">
        <f>[6]攻城值!AG77</f>
        <v>352.43532418559067</v>
      </c>
      <c r="AY77" s="14">
        <v>73</v>
      </c>
      <c r="AZ77" s="14">
        <f>[6]攻城值!AJ77</f>
        <v>1649.9044283665723</v>
      </c>
      <c r="BA77" s="14">
        <f>[6]攻城值!AK77</f>
        <v>1732.9159371797732</v>
      </c>
      <c r="BB77" s="14">
        <f>[6]攻城值!AL77</f>
        <v>1818.361547938785</v>
      </c>
      <c r="BC77" s="14">
        <f>[6]攻城值!AM77</f>
        <v>2002.7797964185447</v>
      </c>
      <c r="BD77" s="14">
        <f>[6]攻城值!AN77</f>
        <v>2005.3571923603135</v>
      </c>
      <c r="BF77" s="14">
        <v>73</v>
      </c>
      <c r="BG77" s="14">
        <f>[6]攻城值!AQ77</f>
        <v>0.1578136943522831</v>
      </c>
      <c r="BH77" s="14">
        <f>[6]攻城值!AR77</f>
        <v>0.84218630564771679</v>
      </c>
      <c r="BL77" s="14">
        <v>73</v>
      </c>
      <c r="BM77" s="15">
        <f t="shared" si="6"/>
        <v>1</v>
      </c>
      <c r="BN77" s="15">
        <f t="shared" si="6"/>
        <v>1</v>
      </c>
      <c r="BO77" s="15">
        <f t="shared" si="6"/>
        <v>1</v>
      </c>
      <c r="BP77" s="15">
        <f t="shared" si="6"/>
        <v>1</v>
      </c>
      <c r="BQ77" s="15">
        <f t="shared" si="6"/>
        <v>1</v>
      </c>
      <c r="BR77" s="15">
        <f>'[1]功能-战损相关'!M83</f>
        <v>0.125</v>
      </c>
      <c r="BS77" s="15">
        <f>'[1]功能-战损相关'!N83</f>
        <v>0.125</v>
      </c>
      <c r="BT77" s="15">
        <f>'[1]功能-战损相关'!O83</f>
        <v>0.125</v>
      </c>
      <c r="BU77" s="15">
        <f>'[1]功能-战损相关'!P83</f>
        <v>0.125</v>
      </c>
      <c r="BV77" s="15">
        <f>'[1]功能-战损相关'!Q83</f>
        <v>0.125</v>
      </c>
      <c r="CJ77" s="2">
        <f>[4]兵营招募!S111</f>
        <v>74</v>
      </c>
      <c r="CK77" s="2">
        <f>[4]兵营招募!U111</f>
        <v>28000</v>
      </c>
    </row>
    <row r="78" spans="2:89" x14ac:dyDescent="0.15">
      <c r="B78" s="7">
        <v>74</v>
      </c>
      <c r="C78" s="7">
        <f>[1]服务器生态!W95</f>
        <v>235.03893484500006</v>
      </c>
      <c r="D78" s="7">
        <f>[1]服务器生态!X95</f>
        <v>219.33817949708421</v>
      </c>
      <c r="E78" s="7">
        <f>[1]服务器生态!Y95</f>
        <v>18.256300244582402</v>
      </c>
      <c r="F78" s="7">
        <f>[1]服务器生态!Z95</f>
        <v>3.1519144800000012</v>
      </c>
      <c r="G78" s="7">
        <f>[1]服务器生态!AA95</f>
        <v>0.88133759999999994</v>
      </c>
      <c r="H78" s="7">
        <f>[1]服务器生态!AC95</f>
        <v>0.4930886745000001</v>
      </c>
      <c r="I78" s="7">
        <f>[1]服务器生态!AD95</f>
        <v>0.46015002691695989</v>
      </c>
      <c r="J78" s="7">
        <f>[1]服务器生态!AE95</f>
        <v>3.8299930583040001E-2</v>
      </c>
      <c r="K78" s="7">
        <f>[1]服务器生态!AF95</f>
        <v>6.6124080000000019E-3</v>
      </c>
      <c r="L78" s="7">
        <f>[1]服务器生态!AG95</f>
        <v>1.8489599999999998E-3</v>
      </c>
      <c r="M78" s="7">
        <f>[5]基础信息!M77</f>
        <v>98.664031620553359</v>
      </c>
      <c r="Q78" s="7">
        <v>74</v>
      </c>
      <c r="R78" s="7">
        <f>[6]带兵数!D77</f>
        <v>6520.5708681037622</v>
      </c>
      <c r="S78" s="7">
        <f>[6]带兵数!E77</f>
        <v>6574.4081480508385</v>
      </c>
      <c r="T78" s="7">
        <f>[6]带兵数!F77</f>
        <v>6631.2813526599875</v>
      </c>
      <c r="U78" s="7">
        <f>[6]带兵数!G77</f>
        <v>6694.5114997782593</v>
      </c>
      <c r="V78" s="7">
        <f>[6]带兵数!H77</f>
        <v>6765.431008359853</v>
      </c>
      <c r="X78" s="7">
        <v>74</v>
      </c>
      <c r="Y78" s="7">
        <f>求节点(节奏总纲!D$4:D$163,R$5:R$164,$X78)*6</f>
        <v>34419.396779049166</v>
      </c>
      <c r="Z78" s="7">
        <f>求节点(节奏总纲!E$4:E$163,S$5:S$164,$X78)*6</f>
        <v>35555.954137993926</v>
      </c>
      <c r="AA78" s="7">
        <f>求节点(节奏总纲!F$4:F$163,T$5:T$164,$X78)*6</f>
        <v>37055.358061348939</v>
      </c>
      <c r="AB78" s="7">
        <f>求节点(节奏总纲!G$4:G$163,U$5:U$164,$X78)*6</f>
        <v>39238.149599786077</v>
      </c>
      <c r="AC78" s="7">
        <f>求节点(节奏总纲!H$4:H$163,V$5:V$164,$X78)*6</f>
        <v>43074.707860916067</v>
      </c>
      <c r="AG78" s="7">
        <v>74</v>
      </c>
      <c r="AH78" s="7">
        <v>1</v>
      </c>
      <c r="AI78" s="7">
        <f>[6]实力验证!$Z80</f>
        <v>1.5119114087309966</v>
      </c>
      <c r="AJ78" s="7">
        <f>[6]实力验证!$AE80</f>
        <v>2.7378285825894384</v>
      </c>
      <c r="AK78" s="7">
        <f>[6]实力验证!$AJ80</f>
        <v>6.7641957131096229</v>
      </c>
      <c r="AL78" s="7">
        <f>[6]实力验证!$AO80</f>
        <v>23.76190198986097</v>
      </c>
      <c r="AM78" s="7">
        <f t="shared" si="4"/>
        <v>87.032706216775779</v>
      </c>
      <c r="AR78" s="14">
        <v>74</v>
      </c>
      <c r="AS78" s="14">
        <f>[6]攻城值!AC78</f>
        <v>315.1456286675438</v>
      </c>
      <c r="AT78" s="14">
        <f>[6]攻城值!AD78</f>
        <v>325.59153563510409</v>
      </c>
      <c r="AU78" s="14">
        <f>[6]攻城值!AE78</f>
        <v>336.72404113991291</v>
      </c>
      <c r="AV78" s="14">
        <f>[6]攻城值!AF78</f>
        <v>365.38465406504855</v>
      </c>
      <c r="AW78" s="14">
        <f>[6]攻城值!AG78</f>
        <v>361.21604407871365</v>
      </c>
      <c r="AY78" s="14">
        <v>74</v>
      </c>
      <c r="AZ78" s="14">
        <f>[6]攻城值!AJ78</f>
        <v>1681.8715997733568</v>
      </c>
      <c r="BA78" s="14">
        <f>[6]攻城值!AK78</f>
        <v>1762.4942149181627</v>
      </c>
      <c r="BB78" s="14">
        <f>[6]攻城值!AL78</f>
        <v>1851.0359072211775</v>
      </c>
      <c r="BC78" s="14">
        <f>[6]攻城值!AM78</f>
        <v>2041.4473026844998</v>
      </c>
      <c r="BD78" s="14">
        <f>[6]攻城值!AN78</f>
        <v>2053.5036647650682</v>
      </c>
      <c r="BF78" s="14">
        <v>74</v>
      </c>
      <c r="BG78" s="14">
        <f>[6]攻城值!AQ78</f>
        <v>0.15780816719021618</v>
      </c>
      <c r="BH78" s="14">
        <f>[6]攻城值!AR78</f>
        <v>0.84219183280978382</v>
      </c>
      <c r="BL78" s="14">
        <v>74</v>
      </c>
      <c r="BM78" s="15">
        <f t="shared" si="6"/>
        <v>1</v>
      </c>
      <c r="BN78" s="15">
        <f t="shared" si="6"/>
        <v>1</v>
      </c>
      <c r="BO78" s="15">
        <f t="shared" si="6"/>
        <v>1</v>
      </c>
      <c r="BP78" s="15">
        <f t="shared" si="6"/>
        <v>1</v>
      </c>
      <c r="BQ78" s="15">
        <f t="shared" si="6"/>
        <v>1</v>
      </c>
      <c r="BR78" s="15">
        <f>'[1]功能-战损相关'!M84</f>
        <v>0.125</v>
      </c>
      <c r="BS78" s="15">
        <f>'[1]功能-战损相关'!N84</f>
        <v>0.125</v>
      </c>
      <c r="BT78" s="15">
        <f>'[1]功能-战损相关'!O84</f>
        <v>0.125</v>
      </c>
      <c r="BU78" s="15">
        <f>'[1]功能-战损相关'!P84</f>
        <v>0.125</v>
      </c>
      <c r="BV78" s="15">
        <f>'[1]功能-战损相关'!Q84</f>
        <v>0.125</v>
      </c>
      <c r="CJ78" s="2">
        <f>[4]兵营招募!S112</f>
        <v>75</v>
      </c>
      <c r="CK78" s="2">
        <f>[4]兵营招募!U112</f>
        <v>29000</v>
      </c>
    </row>
    <row r="79" spans="2:89" x14ac:dyDescent="0.15">
      <c r="B79" s="7">
        <v>75</v>
      </c>
      <c r="C79" s="7">
        <f>[1]服务器生态!W96</f>
        <v>233.81743246875004</v>
      </c>
      <c r="D79" s="7">
        <f>[1]服务器生态!X96</f>
        <v>218.95022700180996</v>
      </c>
      <c r="E79" s="7">
        <f>[1]服务器生态!Y96</f>
        <v>18.201500029439998</v>
      </c>
      <c r="F79" s="7">
        <f>[1]服务器生态!Z96</f>
        <v>3.1484805000000007</v>
      </c>
      <c r="G79" s="7">
        <f>[1]服务器生态!AA96</f>
        <v>0.88235999999999981</v>
      </c>
      <c r="H79" s="7">
        <f>[1]服务器生态!AC96</f>
        <v>0.49224722625000006</v>
      </c>
      <c r="I79" s="7">
        <f>[1]服务器生态!AD96</f>
        <v>0.4609478463195999</v>
      </c>
      <c r="J79" s="7">
        <f>[1]服务器生态!AE96</f>
        <v>3.8318947430399999E-2</v>
      </c>
      <c r="K79" s="7">
        <f>[1]服务器生态!AF96</f>
        <v>6.6283800000000014E-3</v>
      </c>
      <c r="L79" s="7">
        <f>[1]服务器生态!AG96</f>
        <v>1.8575999999999996E-3</v>
      </c>
      <c r="M79" s="7">
        <f>[5]基础信息!M78</f>
        <v>98.861660079051376</v>
      </c>
      <c r="Q79" s="7">
        <v>75</v>
      </c>
      <c r="R79" s="7">
        <f>[6]带兵数!D78</f>
        <v>6589.3343869731825</v>
      </c>
      <c r="S79" s="7">
        <f>[6]带兵数!E78</f>
        <v>6640.3546986076808</v>
      </c>
      <c r="T79" s="7">
        <f>[6]带兵数!F78</f>
        <v>6699.9163240208773</v>
      </c>
      <c r="U79" s="7">
        <f>[6]带兵数!G78</f>
        <v>6762.0246163774536</v>
      </c>
      <c r="V79" s="7">
        <f>[6]带兵数!H78</f>
        <v>6832.414221187697</v>
      </c>
      <c r="X79" s="7">
        <v>75</v>
      </c>
      <c r="Y79" s="7">
        <f>求节点(节奏总纲!D$4:D$163,R$5:R$164,$X79)*6</f>
        <v>34494.518608437022</v>
      </c>
      <c r="Z79" s="7">
        <f>求节点(节奏总纲!E$4:E$163,S$5:S$164,$X79)*6</f>
        <v>35633.264685407616</v>
      </c>
      <c r="AA79" s="7">
        <f>求节点(节奏总纲!F$4:F$163,T$5:T$164,$X79)*6</f>
        <v>37133.593139587283</v>
      </c>
      <c r="AB79" s="7">
        <f>求节点(节奏总纲!G$4:G$163,U$5:U$164,$X79)*6</f>
        <v>39316.773720352408</v>
      </c>
      <c r="AC79" s="7">
        <f>求节点(节奏总纲!H$4:H$163,V$5:V$164,$X79)*6</f>
        <v>43152.539917540671</v>
      </c>
      <c r="AG79" s="7">
        <v>75</v>
      </c>
      <c r="AH79" s="7">
        <v>1</v>
      </c>
      <c r="AI79" s="7">
        <f>[6]实力验证!$Z81</f>
        <v>1.5160100239268386</v>
      </c>
      <c r="AJ79" s="7">
        <f>[6]实力验证!$AE81</f>
        <v>2.7477517457119824</v>
      </c>
      <c r="AK79" s="7">
        <f>[6]实力验证!$AJ81</f>
        <v>6.7505453240025188</v>
      </c>
      <c r="AL79" s="7">
        <f>[6]实力验证!$AO81</f>
        <v>23.90273724751691</v>
      </c>
      <c r="AM79" s="7">
        <f t="shared" si="4"/>
        <v>87.54673603411365</v>
      </c>
      <c r="AR79" s="14">
        <v>75</v>
      </c>
      <c r="AS79" s="14">
        <f>[6]攻城值!AC79</f>
        <v>321.16425775412171</v>
      </c>
      <c r="AT79" s="14">
        <f>[6]攻城值!AD79</f>
        <v>331.27256238713687</v>
      </c>
      <c r="AU79" s="14">
        <f>[6]攻城值!AE79</f>
        <v>342.96353202782751</v>
      </c>
      <c r="AV79" s="14">
        <f>[6]攻城值!AF79</f>
        <v>372.8735159432776</v>
      </c>
      <c r="AW79" s="14">
        <f>[6]攻城值!AG79</f>
        <v>370.32441018668055</v>
      </c>
      <c r="AY79" s="14">
        <v>75</v>
      </c>
      <c r="AZ79" s="14">
        <f>[6]攻城值!AJ79</f>
        <v>1714.0615099199204</v>
      </c>
      <c r="BA79" s="14">
        <f>[6]攻城值!AK79</f>
        <v>1792.9715768597737</v>
      </c>
      <c r="BB79" s="14">
        <f>[6]攻城值!AL79</f>
        <v>1884.5981171814262</v>
      </c>
      <c r="BC79" s="14">
        <f>[6]攻城值!AM79</f>
        <v>2082.0183764515873</v>
      </c>
      <c r="BD79" s="14">
        <f>[6]攻城值!AN79</f>
        <v>2103.537088750456</v>
      </c>
      <c r="BF79" s="14">
        <v>75</v>
      </c>
      <c r="BG79" s="14">
        <f>[6]攻城值!AQ79</f>
        <v>0.15780276707147056</v>
      </c>
      <c r="BH79" s="14">
        <f>[6]攻城值!AR79</f>
        <v>0.84219723292852944</v>
      </c>
      <c r="BL79" s="14">
        <v>75</v>
      </c>
      <c r="BM79" s="15">
        <f t="shared" si="6"/>
        <v>1</v>
      </c>
      <c r="BN79" s="15">
        <f t="shared" si="6"/>
        <v>1</v>
      </c>
      <c r="BO79" s="15">
        <f t="shared" si="6"/>
        <v>1</v>
      </c>
      <c r="BP79" s="15">
        <f t="shared" si="6"/>
        <v>1</v>
      </c>
      <c r="BQ79" s="15">
        <f t="shared" si="6"/>
        <v>1</v>
      </c>
      <c r="BR79" s="15">
        <f>'[1]功能-战损相关'!M85</f>
        <v>0.125</v>
      </c>
      <c r="BS79" s="15">
        <f>'[1]功能-战损相关'!N85</f>
        <v>0.125</v>
      </c>
      <c r="BT79" s="15">
        <f>'[1]功能-战损相关'!O85</f>
        <v>0.125</v>
      </c>
      <c r="BU79" s="15">
        <f>'[1]功能-战损相关'!P85</f>
        <v>0.125</v>
      </c>
      <c r="BV79" s="15">
        <f>'[1]功能-战损相关'!Q85</f>
        <v>0.125</v>
      </c>
      <c r="CJ79" s="2">
        <f>[4]兵营招募!S113</f>
        <v>76</v>
      </c>
      <c r="CK79" s="2">
        <f>[4]兵营招募!U113</f>
        <v>30000</v>
      </c>
    </row>
    <row r="80" spans="2:89" x14ac:dyDescent="0.15">
      <c r="B80" s="7">
        <v>76</v>
      </c>
      <c r="C80" s="7">
        <f>[1]服务器生态!W97</f>
        <v>232.59873492000003</v>
      </c>
      <c r="D80" s="7">
        <f>[1]服务器生态!X97</f>
        <v>218.55961510852688</v>
      </c>
      <c r="E80" s="7">
        <f>[1]服务器生态!Y97</f>
        <v>18.146636424806402</v>
      </c>
      <c r="F80" s="7">
        <f>[1]服务器生态!Z97</f>
        <v>3.1449932800000009</v>
      </c>
      <c r="G80" s="7">
        <f>[1]服务器生态!AA97</f>
        <v>0.88335359999999985</v>
      </c>
      <c r="H80" s="7">
        <f>[1]服务器生态!AC97</f>
        <v>0.49140577800000007</v>
      </c>
      <c r="I80" s="7">
        <f>[1]服务器生态!AD97</f>
        <v>0.46174566572223991</v>
      </c>
      <c r="J80" s="7">
        <f>[1]服务器生态!AE97</f>
        <v>3.8337964277760005E-2</v>
      </c>
      <c r="K80" s="7">
        <f>[1]服务器生态!AF97</f>
        <v>6.6443520000000018E-3</v>
      </c>
      <c r="L80" s="7">
        <f>[1]服务器生态!AG97</f>
        <v>1.8662399999999997E-3</v>
      </c>
      <c r="M80" s="7">
        <f>[5]基础信息!M79</f>
        <v>99.059288537549406</v>
      </c>
      <c r="Q80" s="7">
        <v>76</v>
      </c>
      <c r="R80" s="7">
        <f>[6]带兵数!D79</f>
        <v>6654.5257628160962</v>
      </c>
      <c r="S80" s="7">
        <f>[6]带兵数!E79</f>
        <v>6709.0467569098701</v>
      </c>
      <c r="T80" s="7">
        <f>[6]带兵数!F79</f>
        <v>6765.5289501711122</v>
      </c>
      <c r="U80" s="7">
        <f>[6]带兵数!G79</f>
        <v>6829.9643027024376</v>
      </c>
      <c r="V80" s="7">
        <f>[6]带兵数!H79</f>
        <v>6902.948963772873</v>
      </c>
      <c r="X80" s="7">
        <v>76</v>
      </c>
      <c r="Y80" s="7">
        <f>求节点(节奏总纲!D$4:D$163,R$5:R$164,$X80)*6</f>
        <v>34569.640437824884</v>
      </c>
      <c r="Z80" s="7">
        <f>求节点(节奏总纲!E$4:E$163,S$5:S$164,$X80)*6</f>
        <v>35710.575232821306</v>
      </c>
      <c r="AA80" s="7">
        <f>求节点(节奏总纲!F$4:F$163,T$5:T$164,$X80)*6</f>
        <v>37211.828217825627</v>
      </c>
      <c r="AB80" s="7">
        <f>求节点(节奏总纲!G$4:G$163,U$5:U$164,$X80)*6</f>
        <v>39393.662057306472</v>
      </c>
      <c r="AC80" s="7">
        <f>求节点(节奏总纲!H$4:H$163,V$5:V$164,$X80)*6</f>
        <v>43230.371974165275</v>
      </c>
      <c r="AG80" s="7">
        <v>76</v>
      </c>
      <c r="AH80" s="7">
        <v>1</v>
      </c>
      <c r="AI80" s="7">
        <f>[6]实力验证!$Z82</f>
        <v>1.5199251266253264</v>
      </c>
      <c r="AJ80" s="7">
        <f>[6]实力验证!$AE82</f>
        <v>2.7572306064642711</v>
      </c>
      <c r="AK80" s="7">
        <f>[6]实力验证!$AJ82</f>
        <v>6.7487412363326023</v>
      </c>
      <c r="AL80" s="7">
        <f>[6]实力验证!$AO82</f>
        <v>24.037266709528936</v>
      </c>
      <c r="AM80" s="7">
        <f t="shared" si="4"/>
        <v>88.068164828013565</v>
      </c>
      <c r="AR80" s="14">
        <v>76</v>
      </c>
      <c r="AS80" s="14">
        <f>[6]攻城值!AC80</f>
        <v>326.29313412555655</v>
      </c>
      <c r="AT80" s="14">
        <f>[6]攻城值!AD80</f>
        <v>337.33177772848842</v>
      </c>
      <c r="AU80" s="14">
        <f>[6]攻城值!AE80</f>
        <v>349.89370638769918</v>
      </c>
      <c r="AV80" s="14">
        <f>[6]攻城值!AF80</f>
        <v>380.69981930718859</v>
      </c>
      <c r="AW80" s="14">
        <f>[6]攻城值!AG80</f>
        <v>380.06922197798843</v>
      </c>
      <c r="AY80" s="14">
        <v>76</v>
      </c>
      <c r="AZ80" s="14">
        <f>[6]攻城值!AJ80</f>
        <v>1741.5892542490744</v>
      </c>
      <c r="BA80" s="14">
        <f>[6]攻城值!AK80</f>
        <v>1825.5539668955025</v>
      </c>
      <c r="BB80" s="14">
        <f>[6]攻城值!AL80</f>
        <v>1922.0243896034292</v>
      </c>
      <c r="BC80" s="14">
        <f>[6]攻城值!AM80</f>
        <v>2124.5003906140591</v>
      </c>
      <c r="BD80" s="14">
        <f>[6]攻城值!AN80</f>
        <v>2157.1812255302398</v>
      </c>
      <c r="BF80" s="14">
        <v>76</v>
      </c>
      <c r="BG80" s="14">
        <f>[6]攻城值!AQ80</f>
        <v>0.15779095366348425</v>
      </c>
      <c r="BH80" s="14">
        <f>[6]攻城值!AR80</f>
        <v>0.84220904633651583</v>
      </c>
      <c r="BL80" s="14">
        <v>76</v>
      </c>
      <c r="BM80" s="15">
        <f t="shared" si="6"/>
        <v>1</v>
      </c>
      <c r="BN80" s="15">
        <f t="shared" si="6"/>
        <v>1</v>
      </c>
      <c r="BO80" s="15">
        <f t="shared" si="6"/>
        <v>1</v>
      </c>
      <c r="BP80" s="15">
        <f t="shared" si="6"/>
        <v>1</v>
      </c>
      <c r="BQ80" s="15">
        <f t="shared" si="6"/>
        <v>1</v>
      </c>
      <c r="BR80" s="15">
        <f>'[1]功能-战损相关'!M86</f>
        <v>0.125</v>
      </c>
      <c r="BS80" s="15">
        <f>'[1]功能-战损相关'!N86</f>
        <v>0.125</v>
      </c>
      <c r="BT80" s="15">
        <f>'[1]功能-战损相关'!O86</f>
        <v>0.125</v>
      </c>
      <c r="BU80" s="15">
        <f>'[1]功能-战损相关'!P86</f>
        <v>0.125</v>
      </c>
      <c r="BV80" s="15">
        <f>'[1]功能-战损相关'!Q86</f>
        <v>0.125</v>
      </c>
      <c r="CJ80" s="2">
        <f>[4]兵营招募!S114</f>
        <v>77</v>
      </c>
      <c r="CK80" s="2">
        <f>[4]兵营招募!U114</f>
        <v>30000</v>
      </c>
    </row>
    <row r="81" spans="2:89" x14ac:dyDescent="0.15">
      <c r="B81" s="7">
        <v>77</v>
      </c>
      <c r="C81" s="7">
        <f>[1]服务器生态!W98</f>
        <v>231.38284219875004</v>
      </c>
      <c r="D81" s="7">
        <f>[1]服务器生态!X98</f>
        <v>218.16634381723503</v>
      </c>
      <c r="E81" s="7">
        <f>[1]服务器生态!Y98</f>
        <v>18.0917094306816</v>
      </c>
      <c r="F81" s="7">
        <f>[1]服务器生态!Z98</f>
        <v>3.1414528200000014</v>
      </c>
      <c r="G81" s="7">
        <f>[1]服务器生态!AA98</f>
        <v>0.88431839999999995</v>
      </c>
      <c r="H81" s="7">
        <f>[1]服务器生态!AC98</f>
        <v>0.49056432975000008</v>
      </c>
      <c r="I81" s="7">
        <f>[1]服务器生态!AD98</f>
        <v>0.46254348512487992</v>
      </c>
      <c r="J81" s="7">
        <f>[1]服务器生态!AE98</f>
        <v>3.8356981125120003E-2</v>
      </c>
      <c r="K81" s="7">
        <f>[1]服务器生态!AF98</f>
        <v>6.6603240000000022E-3</v>
      </c>
      <c r="L81" s="7">
        <f>[1]服务器生态!AG98</f>
        <v>1.8748799999999998E-3</v>
      </c>
      <c r="M81" s="7">
        <f>[5]基础信息!M80</f>
        <v>99.256916996047437</v>
      </c>
      <c r="Q81" s="7">
        <v>77</v>
      </c>
      <c r="R81" s="7">
        <f>[6]带兵数!D80</f>
        <v>6722.8629024654092</v>
      </c>
      <c r="S81" s="7">
        <f>[6]带兵数!E80</f>
        <v>6774.6746949155558</v>
      </c>
      <c r="T81" s="7">
        <f>[6]带兵数!F80</f>
        <v>6834.7735983456605</v>
      </c>
      <c r="U81" s="7">
        <f>[6]带兵数!G80</f>
        <v>6897.6858376824393</v>
      </c>
      <c r="V81" s="7">
        <f>[6]带兵数!H80</f>
        <v>6967.1092241532115</v>
      </c>
      <c r="X81" s="7">
        <v>77</v>
      </c>
      <c r="Y81" s="7">
        <f>求节点(节奏总纲!D$4:D$163,R$5:R$164,$X81)*6</f>
        <v>34644.762267212733</v>
      </c>
      <c r="Z81" s="7">
        <f>求节点(节奏总纲!E$4:E$163,S$5:S$164,$X81)*6</f>
        <v>35787.885780234996</v>
      </c>
      <c r="AA81" s="7">
        <f>求节点(节奏总纲!F$4:F$163,T$5:T$164,$X81)*6</f>
        <v>37290.063296063978</v>
      </c>
      <c r="AB81" s="7">
        <f>求节点(节奏总纲!G$4:G$163,U$5:U$164,$X81)*6</f>
        <v>39468.084508656088</v>
      </c>
      <c r="AC81" s="7">
        <f>求节点(节奏总纲!H$4:H$163,V$5:V$164,$X81)*6</f>
        <v>43308.204030789871</v>
      </c>
      <c r="AG81" s="7">
        <v>77</v>
      </c>
      <c r="AH81" s="7">
        <v>1</v>
      </c>
      <c r="AI81" s="7">
        <f>[6]实力验证!$Z83</f>
        <v>1.523668771904559</v>
      </c>
      <c r="AJ81" s="7">
        <f>[6]实力验证!$AE83</f>
        <v>2.7662943514131619</v>
      </c>
      <c r="AK81" s="7">
        <f>[6]实力验证!$AJ83</f>
        <v>6.762627471990049</v>
      </c>
      <c r="AL81" s="7">
        <f>[6]实力验证!$AO83</f>
        <v>24.165904608497339</v>
      </c>
      <c r="AM81" s="7">
        <f t="shared" si="4"/>
        <v>88.602847000547968</v>
      </c>
      <c r="AR81" s="14">
        <v>77</v>
      </c>
      <c r="AS81" s="14">
        <f>[6]攻城值!AC81</f>
        <v>331.44212053418033</v>
      </c>
      <c r="AT81" s="14">
        <f>[6]攻城值!AD81</f>
        <v>343.44728604785519</v>
      </c>
      <c r="AU81" s="14">
        <f>[6]攻城值!AE81</f>
        <v>356.87872932815645</v>
      </c>
      <c r="AV81" s="14">
        <f>[6]攻城值!AF81</f>
        <v>388.60539689692365</v>
      </c>
      <c r="AW81" s="14">
        <f>[6]攻城值!AG81</f>
        <v>389.86527656044012</v>
      </c>
      <c r="AY81" s="14">
        <v>77</v>
      </c>
      <c r="AZ81" s="14">
        <f>[6]攻城值!AJ81</f>
        <v>1769.2254166346538</v>
      </c>
      <c r="BA81" s="14">
        <f>[6]攻城值!AK81</f>
        <v>1858.4385543385292</v>
      </c>
      <c r="BB81" s="14">
        <f>[6]攻城值!AL81</f>
        <v>1959.7420288724684</v>
      </c>
      <c r="BC81" s="14">
        <f>[6]攻城值!AM81</f>
        <v>2167.404483880588</v>
      </c>
      <c r="BD81" s="14">
        <f>[6]攻城值!AN81</f>
        <v>2211.0706482074324</v>
      </c>
      <c r="BF81" s="14">
        <v>77</v>
      </c>
      <c r="BG81" s="14">
        <f>[6]攻城值!AQ81</f>
        <v>0.15777942709624582</v>
      </c>
      <c r="BH81" s="14">
        <f>[6]攻城值!AR81</f>
        <v>0.84222057290375407</v>
      </c>
      <c r="BL81" s="14">
        <v>77</v>
      </c>
      <c r="BM81" s="15">
        <f t="shared" si="6"/>
        <v>1</v>
      </c>
      <c r="BN81" s="15">
        <f t="shared" si="6"/>
        <v>1</v>
      </c>
      <c r="BO81" s="15">
        <f t="shared" si="6"/>
        <v>1</v>
      </c>
      <c r="BP81" s="15">
        <f t="shared" si="6"/>
        <v>1</v>
      </c>
      <c r="BQ81" s="15">
        <f t="shared" si="6"/>
        <v>1</v>
      </c>
      <c r="BR81" s="15">
        <f>'[1]功能-战损相关'!M87</f>
        <v>0.125</v>
      </c>
      <c r="BS81" s="15">
        <f>'[1]功能-战损相关'!N87</f>
        <v>0.125</v>
      </c>
      <c r="BT81" s="15">
        <f>'[1]功能-战损相关'!O87</f>
        <v>0.125</v>
      </c>
      <c r="BU81" s="15">
        <f>'[1]功能-战损相关'!P87</f>
        <v>0.125</v>
      </c>
      <c r="BV81" s="15">
        <f>'[1]功能-战损相关'!Q87</f>
        <v>0.125</v>
      </c>
      <c r="CJ81" s="2">
        <f>[4]兵营招募!S115</f>
        <v>78</v>
      </c>
      <c r="CK81" s="2">
        <f>[4]兵营招募!U115</f>
        <v>31000</v>
      </c>
    </row>
    <row r="82" spans="2:89" x14ac:dyDescent="0.15">
      <c r="B82" s="7">
        <v>78</v>
      </c>
      <c r="C82" s="7">
        <f>[1]服务器生态!W99</f>
        <v>230.16975430500003</v>
      </c>
      <c r="D82" s="7">
        <f>[1]服务器生态!X99</f>
        <v>217.77041312793438</v>
      </c>
      <c r="E82" s="7">
        <f>[1]服务器生态!Y99</f>
        <v>18.036719047065599</v>
      </c>
      <c r="F82" s="7">
        <f>[1]服务器生态!Z99</f>
        <v>3.1378591200000008</v>
      </c>
      <c r="G82" s="7">
        <f>[1]服务器生态!AA99</f>
        <v>0.88525439999999977</v>
      </c>
      <c r="H82" s="7">
        <f>[1]服务器生态!AC99</f>
        <v>0.48972288150000004</v>
      </c>
      <c r="I82" s="7">
        <f>[1]服务器生态!AD99</f>
        <v>0.46334130452751993</v>
      </c>
      <c r="J82" s="7">
        <f>[1]服务器生态!AE99</f>
        <v>3.8375997972480001E-2</v>
      </c>
      <c r="K82" s="7">
        <f>[1]服务器生态!AF99</f>
        <v>6.6762960000000017E-3</v>
      </c>
      <c r="L82" s="7">
        <f>[1]服务器生态!AG99</f>
        <v>1.8835199999999996E-3</v>
      </c>
      <c r="M82" s="7">
        <f>[5]基础信息!M81</f>
        <v>99.454545454545453</v>
      </c>
      <c r="Q82" s="7">
        <v>78</v>
      </c>
      <c r="R82" s="7">
        <f>[6]带兵数!D81</f>
        <v>6788.5499964596729</v>
      </c>
      <c r="S82" s="7">
        <f>[6]带兵数!E81</f>
        <v>6843.0502277742426</v>
      </c>
      <c r="T82" s="7">
        <f>[6]带兵数!F81</f>
        <v>6900.8869383463989</v>
      </c>
      <c r="U82" s="7">
        <f>[6]带兵数!G81</f>
        <v>6965.3317888009888</v>
      </c>
      <c r="V82" s="7">
        <f>[6]带兵数!H81</f>
        <v>7033.0400612131916</v>
      </c>
      <c r="X82" s="7">
        <v>78</v>
      </c>
      <c r="Y82" s="7">
        <f>求节点(节奏总纲!D$4:D$163,R$5:R$164,$X82)*6</f>
        <v>34719.181074829103</v>
      </c>
      <c r="Z82" s="7">
        <f>求节点(节奏总纲!E$4:E$163,S$5:S$164,$X82)*6</f>
        <v>35862.799612380288</v>
      </c>
      <c r="AA82" s="7">
        <f>求节点(节奏总纲!F$4:F$163,T$5:T$164,$X82)*6</f>
        <v>37368.298374302321</v>
      </c>
      <c r="AB82" s="7">
        <f>求节点(节奏总纲!G$4:G$163,U$5:U$164,$X82)*6</f>
        <v>39542.506960005689</v>
      </c>
      <c r="AC82" s="7">
        <f>求节点(节奏总纲!H$4:H$163,V$5:V$164,$X82)*6</f>
        <v>43385.233044369277</v>
      </c>
      <c r="AG82" s="7">
        <v>78</v>
      </c>
      <c r="AH82" s="7">
        <v>1</v>
      </c>
      <c r="AI82" s="7">
        <f>[6]实力验证!$Z84</f>
        <v>1.5266141107482452</v>
      </c>
      <c r="AJ82" s="7">
        <f>[6]实力验证!$AE84</f>
        <v>2.7744674749660976</v>
      </c>
      <c r="AK82" s="7">
        <f>[6]实力验证!$AJ84</f>
        <v>6.7746923583369689</v>
      </c>
      <c r="AL82" s="7">
        <f>[6]实力验证!$AO84</f>
        <v>24.288557372977273</v>
      </c>
      <c r="AM82" s="7">
        <f t="shared" si="4"/>
        <v>89.107055392324284</v>
      </c>
      <c r="AR82" s="14">
        <v>78</v>
      </c>
      <c r="AS82" s="14">
        <f>[6]攻城值!AC82</f>
        <v>336.78080732241148</v>
      </c>
      <c r="AT82" s="14">
        <f>[6]攻城值!AD82</f>
        <v>350.09683617213176</v>
      </c>
      <c r="AU82" s="14">
        <f>[6]攻城值!AE82</f>
        <v>364.23692992488122</v>
      </c>
      <c r="AV82" s="14">
        <f>[6]攻城值!AF82</f>
        <v>397.65485480398547</v>
      </c>
      <c r="AW82" s="14">
        <f>[6]攻城值!AG82</f>
        <v>400.80583843325326</v>
      </c>
      <c r="AY82" s="14">
        <v>78</v>
      </c>
      <c r="AZ82" s="14">
        <f>[6]攻城值!AJ82</f>
        <v>1797.9866498549741</v>
      </c>
      <c r="BA82" s="14">
        <f>[6]攻城值!AK82</f>
        <v>1894.5783036267894</v>
      </c>
      <c r="BB82" s="14">
        <f>[6]攻城值!AL82</f>
        <v>1999.8006129354355</v>
      </c>
      <c r="BC82" s="14">
        <f>[6]攻城值!AM82</f>
        <v>2217.4090619478748</v>
      </c>
      <c r="BD82" s="14">
        <f>[6]攻城值!AN82</f>
        <v>2272.2697146525993</v>
      </c>
      <c r="BF82" s="14">
        <v>78</v>
      </c>
      <c r="BG82" s="14">
        <f>[6]攻城值!AQ82</f>
        <v>0.15775995000771981</v>
      </c>
      <c r="BH82" s="14">
        <f>[6]攻城值!AR82</f>
        <v>0.84224004999228019</v>
      </c>
      <c r="BL82" s="14">
        <v>78</v>
      </c>
      <c r="BM82" s="15">
        <f t="shared" si="6"/>
        <v>1</v>
      </c>
      <c r="BN82" s="15">
        <f t="shared" si="6"/>
        <v>1</v>
      </c>
      <c r="BO82" s="15">
        <f t="shared" si="6"/>
        <v>1</v>
      </c>
      <c r="BP82" s="15">
        <f t="shared" si="6"/>
        <v>1</v>
      </c>
      <c r="BQ82" s="15">
        <f t="shared" si="6"/>
        <v>1</v>
      </c>
      <c r="BR82" s="15">
        <f>'[1]功能-战损相关'!M88</f>
        <v>0.125</v>
      </c>
      <c r="BS82" s="15">
        <f>'[1]功能-战损相关'!N88</f>
        <v>0.125</v>
      </c>
      <c r="BT82" s="15">
        <f>'[1]功能-战损相关'!O88</f>
        <v>0.125</v>
      </c>
      <c r="BU82" s="15">
        <f>'[1]功能-战损相关'!P88</f>
        <v>0.125</v>
      </c>
      <c r="BV82" s="15">
        <f>'[1]功能-战损相关'!Q88</f>
        <v>0.125</v>
      </c>
      <c r="CJ82" s="2">
        <f>[4]兵营招募!S116</f>
        <v>79</v>
      </c>
      <c r="CK82" s="2">
        <f>[4]兵营招募!U116</f>
        <v>31000</v>
      </c>
    </row>
    <row r="83" spans="2:89" x14ac:dyDescent="0.15">
      <c r="B83" s="7">
        <v>79</v>
      </c>
      <c r="C83" s="7">
        <f>[1]服务器生态!W100</f>
        <v>228.95947123875001</v>
      </c>
      <c r="D83" s="7">
        <f>[1]服务器生态!X100</f>
        <v>217.37182304062489</v>
      </c>
      <c r="E83" s="7">
        <f>[1]服务器生态!Y100</f>
        <v>17.981665273958399</v>
      </c>
      <c r="F83" s="7">
        <f>[1]服务器生态!Z100</f>
        <v>3.1342121800000009</v>
      </c>
      <c r="G83" s="7">
        <f>[1]服务器生态!AA100</f>
        <v>0.88616159999999988</v>
      </c>
      <c r="H83" s="7">
        <f>[1]服务器生态!AC100</f>
        <v>0.48888143325000005</v>
      </c>
      <c r="I83" s="7">
        <f>[1]服务器生态!AD100</f>
        <v>0.46413912393015994</v>
      </c>
      <c r="J83" s="7">
        <f>[1]服务器生态!AE100</f>
        <v>3.839501481984E-2</v>
      </c>
      <c r="K83" s="7">
        <f>[1]服务器生态!AF100</f>
        <v>6.6922680000000021E-3</v>
      </c>
      <c r="L83" s="7">
        <f>[1]服务器生态!AG100</f>
        <v>1.8921599999999997E-3</v>
      </c>
      <c r="M83" s="7">
        <f>[5]基础信息!M82</f>
        <v>99.652173913043484</v>
      </c>
      <c r="Q83" s="7">
        <v>79</v>
      </c>
      <c r="R83" s="7">
        <f>[6]带兵数!D82</f>
        <v>6856.4683073228825</v>
      </c>
      <c r="S83" s="7">
        <f>[6]带兵数!E82</f>
        <v>6909.3651798323854</v>
      </c>
      <c r="T83" s="7">
        <f>[6]带兵数!F82</f>
        <v>6970.3918944161269</v>
      </c>
      <c r="U83" s="7">
        <f>[6]带兵数!G82</f>
        <v>7029.6669566151886</v>
      </c>
      <c r="V83" s="7">
        <f>[6]带兵数!H82</f>
        <v>7098.4169788056379</v>
      </c>
      <c r="X83" s="7">
        <v>79</v>
      </c>
      <c r="Y83" s="7">
        <f>求节点(节奏总纲!D$4:D$163,R$5:R$164,$X83)*6</f>
        <v>34790.90268117626</v>
      </c>
      <c r="Z83" s="7">
        <f>求节点(节奏总纲!E$4:E$163,S$5:S$164,$X83)*6</f>
        <v>35933.269496962035</v>
      </c>
      <c r="AA83" s="7">
        <f>求节点(节奏总纲!F$4:F$163,T$5:T$164,$X83)*6</f>
        <v>37440.820230725745</v>
      </c>
      <c r="AB83" s="7">
        <f>求节点(节奏总纲!G$4:G$163,U$5:U$164,$X83)*6</f>
        <v>39616.929411355304</v>
      </c>
      <c r="AC83" s="7">
        <f>求节点(节奏总纲!H$4:H$163,V$5:V$164,$X83)*6</f>
        <v>43457.452671931256</v>
      </c>
      <c r="AG83" s="7">
        <v>79</v>
      </c>
      <c r="AH83" s="7">
        <v>1</v>
      </c>
      <c r="AI83" s="7">
        <f>[6]实力验证!$Z85</f>
        <v>1.5277404985814032</v>
      </c>
      <c r="AJ83" s="7">
        <f>[6]实力验证!$AE85</f>
        <v>2.7813779174628248</v>
      </c>
      <c r="AK83" s="7">
        <f>[6]实力验证!$AJ85</f>
        <v>6.7816379518763128</v>
      </c>
      <c r="AL83" s="7">
        <f>[6]实力验证!$AO85</f>
        <v>24.412430728751975</v>
      </c>
      <c r="AM83" s="7">
        <f t="shared" si="4"/>
        <v>89.54785994689955</v>
      </c>
      <c r="AR83" s="14">
        <v>79</v>
      </c>
      <c r="AS83" s="14">
        <f>[6]攻城值!AC83</f>
        <v>343.24499247185082</v>
      </c>
      <c r="AT83" s="14">
        <f>[6]攻城值!AD83</f>
        <v>357.59223445065174</v>
      </c>
      <c r="AU83" s="14">
        <f>[6]攻城值!AE83</f>
        <v>372.35513651288426</v>
      </c>
      <c r="AV83" s="14">
        <f>[6]攻城值!AF83</f>
        <v>407.3573033074054</v>
      </c>
      <c r="AW83" s="14">
        <f>[6]攻城值!AG83</f>
        <v>412.33337797385866</v>
      </c>
      <c r="AY83" s="14">
        <v>79</v>
      </c>
      <c r="AZ83" s="14">
        <f>[6]攻城值!AJ83</f>
        <v>1833.5471729015987</v>
      </c>
      <c r="BA83" s="14">
        <f>[6]攻城值!AK83</f>
        <v>1935.8787958155026</v>
      </c>
      <c r="BB83" s="14">
        <f>[6]攻城值!AL83</f>
        <v>2044.7306285211462</v>
      </c>
      <c r="BC83" s="14">
        <f>[6]攻城值!AM83</f>
        <v>2271.4198672416605</v>
      </c>
      <c r="BD83" s="14">
        <f>[6]攻城值!AN83</f>
        <v>2337.0389049211381</v>
      </c>
      <c r="BF83" s="14">
        <v>79</v>
      </c>
      <c r="BG83" s="14">
        <f>[6]攻城值!AQ83</f>
        <v>0.15768386065142045</v>
      </c>
      <c r="BH83" s="14">
        <f>[6]攻城值!AR83</f>
        <v>0.84231613934857952</v>
      </c>
      <c r="BL83" s="14">
        <v>79</v>
      </c>
      <c r="BM83" s="15">
        <f t="shared" si="6"/>
        <v>1</v>
      </c>
      <c r="BN83" s="15">
        <f t="shared" si="6"/>
        <v>1</v>
      </c>
      <c r="BO83" s="15">
        <f t="shared" si="6"/>
        <v>1</v>
      </c>
      <c r="BP83" s="15">
        <f t="shared" si="6"/>
        <v>1</v>
      </c>
      <c r="BQ83" s="15">
        <f t="shared" si="6"/>
        <v>1</v>
      </c>
      <c r="BR83" s="15">
        <f>'[1]功能-战损相关'!M89</f>
        <v>0.125</v>
      </c>
      <c r="BS83" s="15">
        <f>'[1]功能-战损相关'!N89</f>
        <v>0.125</v>
      </c>
      <c r="BT83" s="15">
        <f>'[1]功能-战损相关'!O89</f>
        <v>0.125</v>
      </c>
      <c r="BU83" s="15">
        <f>'[1]功能-战损相关'!P89</f>
        <v>0.125</v>
      </c>
      <c r="BV83" s="15">
        <f>'[1]功能-战损相关'!Q89</f>
        <v>0.125</v>
      </c>
      <c r="CJ83" s="2">
        <f>[4]兵营招募!S117</f>
        <v>80</v>
      </c>
      <c r="CK83" s="2">
        <f>[4]兵营招募!U117</f>
        <v>32000</v>
      </c>
    </row>
    <row r="84" spans="2:89" x14ac:dyDescent="0.15">
      <c r="B84" s="7">
        <v>80</v>
      </c>
      <c r="C84" s="7">
        <f>[1]服务器生态!W101</f>
        <v>227.75199300000003</v>
      </c>
      <c r="D84" s="7">
        <f>[1]服务器生态!X101</f>
        <v>216.97057355530666</v>
      </c>
      <c r="E84" s="7">
        <f>[1]服务器生态!Y101</f>
        <v>17.926548111360002</v>
      </c>
      <c r="F84" s="7">
        <f>[1]服务器生态!Z101</f>
        <v>3.1305120000000008</v>
      </c>
      <c r="G84" s="7">
        <f>[1]服务器生态!AA101</f>
        <v>0.88703999999999994</v>
      </c>
      <c r="H84" s="7">
        <f>[1]服务器生态!AC101</f>
        <v>0.48803998500000006</v>
      </c>
      <c r="I84" s="7">
        <f>[1]服务器生态!AD101</f>
        <v>0.46493694333279995</v>
      </c>
      <c r="J84" s="7">
        <f>[1]服务器生态!AE101</f>
        <v>3.8414031667200005E-2</v>
      </c>
      <c r="K84" s="7">
        <f>[1]服务器生态!AF101</f>
        <v>6.7082400000000016E-3</v>
      </c>
      <c r="L84" s="7">
        <f>[1]服务器生态!AG101</f>
        <v>1.9007999999999998E-3</v>
      </c>
      <c r="M84" s="7">
        <f>[5]基础信息!M83</f>
        <v>99.8498023715415</v>
      </c>
      <c r="Q84" s="7">
        <v>80</v>
      </c>
      <c r="R84" s="7">
        <f>[6]带兵数!D83</f>
        <v>6922.6465623783333</v>
      </c>
      <c r="S84" s="7">
        <f>[6]带兵数!E83</f>
        <v>6977.864099891106</v>
      </c>
      <c r="T84" s="7">
        <f>[6]带兵数!F83</f>
        <v>7033.5402391663247</v>
      </c>
      <c r="U84" s="7">
        <f>[6]带兵数!G83</f>
        <v>7095.9542756901392</v>
      </c>
      <c r="V84" s="7">
        <f>[6]带兵数!H83</f>
        <v>7163.2532092773636</v>
      </c>
      <c r="X84" s="7">
        <v>80</v>
      </c>
      <c r="Y84" s="7">
        <f>求节点(节奏总纲!D$4:D$163,R$5:R$164,$X84)*6</f>
        <v>34862.624287523409</v>
      </c>
      <c r="Z84" s="7">
        <f>求节点(节奏总纲!E$4:E$163,S$5:S$164,$X84)*6</f>
        <v>36003.739381543783</v>
      </c>
      <c r="AA84" s="7">
        <f>求节点(节奏总纲!F$4:F$163,T$5:T$164,$X84)*6</f>
        <v>37511.427178164682</v>
      </c>
      <c r="AB84" s="7">
        <f>求节点(节奏总纲!G$4:G$163,U$5:U$164,$X84)*6</f>
        <v>39691.351862704905</v>
      </c>
      <c r="AC84" s="7">
        <f>求节点(节奏总纲!H$4:H$163,V$5:V$164,$X84)*6</f>
        <v>43529.672299493242</v>
      </c>
      <c r="AG84" s="7">
        <v>80</v>
      </c>
      <c r="AH84" s="7">
        <v>1</v>
      </c>
      <c r="AI84" s="7">
        <f>[6]实力验证!$Z86</f>
        <v>1.5288187962169404</v>
      </c>
      <c r="AJ84" s="7">
        <f>[6]实力验证!$AE86</f>
        <v>2.7883123703781769</v>
      </c>
      <c r="AK84" s="7">
        <f>[6]实力验证!$AJ86</f>
        <v>6.7882870090397596</v>
      </c>
      <c r="AL84" s="7">
        <f>[6]实力验证!$AO86</f>
        <v>24.53101541397843</v>
      </c>
      <c r="AM84" s="7">
        <f t="shared" si="4"/>
        <v>89.986758748118547</v>
      </c>
      <c r="AR84" s="14">
        <v>80</v>
      </c>
      <c r="AS84" s="14">
        <f>[6]攻城值!AC84</f>
        <v>349.77295162903647</v>
      </c>
      <c r="AT84" s="14">
        <f>[6]攻城值!AD84</f>
        <v>365.16361843265508</v>
      </c>
      <c r="AU84" s="14">
        <f>[6]攻城值!AE84</f>
        <v>380.58236053127297</v>
      </c>
      <c r="AV84" s="14">
        <f>[6]攻城值!AF84</f>
        <v>417.09859502096185</v>
      </c>
      <c r="AW84" s="14">
        <f>[6]攻城值!AG84</f>
        <v>422.89911838608487</v>
      </c>
      <c r="AY84" s="14">
        <v>80</v>
      </c>
      <c r="AZ84" s="14">
        <f>[6]攻城值!AJ84</f>
        <v>1869.4641960496244</v>
      </c>
      <c r="BA84" s="14">
        <f>[6]攻城值!AK84</f>
        <v>1977.6049119925797</v>
      </c>
      <c r="BB84" s="14">
        <f>[6]攻城值!AL84</f>
        <v>2090.266833798084</v>
      </c>
      <c r="BC84" s="14">
        <f>[6]攻城值!AM84</f>
        <v>2325.6449722109755</v>
      </c>
      <c r="BD84" s="14">
        <f>[6]攻城值!AN84</f>
        <v>2396.3388865696456</v>
      </c>
      <c r="BF84" s="14">
        <v>80</v>
      </c>
      <c r="BG84" s="14">
        <f>[6]攻城值!AQ84</f>
        <v>0.15760954253803008</v>
      </c>
      <c r="BH84" s="14">
        <f>[6]攻城值!AR84</f>
        <v>0.84239045746196983</v>
      </c>
      <c r="BL84" s="14">
        <v>80</v>
      </c>
      <c r="BM84" s="15">
        <f t="shared" si="6"/>
        <v>1</v>
      </c>
      <c r="BN84" s="15">
        <f t="shared" si="6"/>
        <v>1</v>
      </c>
      <c r="BO84" s="15">
        <f t="shared" si="6"/>
        <v>1</v>
      </c>
      <c r="BP84" s="15">
        <f t="shared" si="6"/>
        <v>1</v>
      </c>
      <c r="BQ84" s="15">
        <f t="shared" si="6"/>
        <v>1</v>
      </c>
      <c r="BR84" s="15">
        <f>'[1]功能-战损相关'!M90</f>
        <v>0.125</v>
      </c>
      <c r="BS84" s="15">
        <f>'[1]功能-战损相关'!N90</f>
        <v>0.125</v>
      </c>
      <c r="BT84" s="15">
        <f>'[1]功能-战损相关'!O90</f>
        <v>0.125</v>
      </c>
      <c r="BU84" s="15">
        <f>'[1]功能-战损相关'!P90</f>
        <v>0.125</v>
      </c>
      <c r="BV84" s="15">
        <f>'[1]功能-战损相关'!Q90</f>
        <v>0.125</v>
      </c>
      <c r="CJ84" s="2">
        <f>[4]兵营招募!S118</f>
        <v>81</v>
      </c>
      <c r="CK84" s="2">
        <f>[4]兵营招募!U118</f>
        <v>32000</v>
      </c>
    </row>
    <row r="85" spans="2:89" x14ac:dyDescent="0.15">
      <c r="B85" s="7">
        <v>81</v>
      </c>
      <c r="C85" s="7">
        <f>[1]服务器生态!W102</f>
        <v>226.54731958875001</v>
      </c>
      <c r="D85" s="7">
        <f>[1]服务器生态!X102</f>
        <v>216.56666467197957</v>
      </c>
      <c r="E85" s="7">
        <f>[1]服务器生态!Y102</f>
        <v>17.8713675592704</v>
      </c>
      <c r="F85" s="7">
        <f>[1]服务器生态!Z102</f>
        <v>3.1267585800000011</v>
      </c>
      <c r="G85" s="7">
        <f>[1]服务器生态!AA102</f>
        <v>0.88788959999999983</v>
      </c>
      <c r="H85" s="7">
        <f>[1]服务器生态!AC102</f>
        <v>0.48719853675000002</v>
      </c>
      <c r="I85" s="7">
        <f>[1]服务器生态!AD102</f>
        <v>0.46573476273543996</v>
      </c>
      <c r="J85" s="7">
        <f>[1]服务器生态!AE102</f>
        <v>3.8433048514560003E-2</v>
      </c>
      <c r="K85" s="7">
        <f>[1]服务器生态!AF102</f>
        <v>6.724212000000002E-3</v>
      </c>
      <c r="L85" s="7">
        <f>[1]服务器生态!AG102</f>
        <v>1.9094399999999997E-3</v>
      </c>
      <c r="M85" s="7">
        <f>[5]基础信息!M84</f>
        <v>100</v>
      </c>
      <c r="Q85" s="7">
        <v>81</v>
      </c>
      <c r="R85" s="7">
        <f>[6]带兵数!D84</f>
        <v>6990.1533759886324</v>
      </c>
      <c r="S85" s="7">
        <f>[6]带兵数!E84</f>
        <v>7042.1339851414859</v>
      </c>
      <c r="T85" s="7">
        <f>[6]带兵数!F84</f>
        <v>7099.4311889804285</v>
      </c>
      <c r="U85" s="7">
        <f>[6]带兵数!G84</f>
        <v>7160.1665826971657</v>
      </c>
      <c r="V85" s="7">
        <f>[6]带兵数!H84</f>
        <v>7229.1499408717918</v>
      </c>
      <c r="X85" s="7">
        <v>81</v>
      </c>
      <c r="Y85" s="7">
        <f>求节点(节奏总纲!D$4:D$163,R$5:R$164,$X85)*6</f>
        <v>34934.345893870566</v>
      </c>
      <c r="Z85" s="7">
        <f>求节点(节奏总纲!E$4:E$163,S$5:S$164,$X85)*6</f>
        <v>36074.20926612553</v>
      </c>
      <c r="AA85" s="7">
        <f>求节点(节奏总纲!F$4:F$163,T$5:T$164,$X85)*6</f>
        <v>37582.034125603612</v>
      </c>
      <c r="AB85" s="7">
        <f>求节点(节奏总纲!G$4:G$163,U$5:U$164,$X85)*6</f>
        <v>39765.505056265036</v>
      </c>
      <c r="AC85" s="7">
        <f>求节点(节奏总纲!H$4:H$163,V$5:V$164,$X85)*6</f>
        <v>43601.891927055229</v>
      </c>
      <c r="AG85" s="7">
        <v>81</v>
      </c>
      <c r="AH85" s="7">
        <v>1</v>
      </c>
      <c r="AI85" s="7">
        <f>[6]实力验证!$Z87</f>
        <v>1.5298520190419904</v>
      </c>
      <c r="AJ85" s="7">
        <f>[6]实力验证!$AE87</f>
        <v>2.7949569504971046</v>
      </c>
      <c r="AK85" s="7">
        <f>[6]实力验证!$AJ87</f>
        <v>6.7948631243099813</v>
      </c>
      <c r="AL85" s="7">
        <f>[6]实力验证!$AO87</f>
        <v>24.644643042788246</v>
      </c>
      <c r="AM85" s="7">
        <f t="shared" si="4"/>
        <v>90.379169129045309</v>
      </c>
      <c r="AR85" s="14">
        <v>81</v>
      </c>
      <c r="AS85" s="14">
        <f>[6]攻城值!AC85</f>
        <v>356.74679952106027</v>
      </c>
      <c r="AT85" s="14">
        <f>[6]攻城值!AD85</f>
        <v>373.38968038685874</v>
      </c>
      <c r="AU85" s="14">
        <f>[6]攻城值!AE85</f>
        <v>388.50263623896245</v>
      </c>
      <c r="AV85" s="14">
        <f>[6]攻城值!AF85</f>
        <v>426.6495898865727</v>
      </c>
      <c r="AW85" s="14">
        <f>[6]攻城值!AG85</f>
        <v>432.96238234451693</v>
      </c>
      <c r="AY85" s="14">
        <v>81</v>
      </c>
      <c r="AZ85" s="14">
        <f>[6]攻城值!AJ85</f>
        <v>1907.7812020055244</v>
      </c>
      <c r="BA85" s="14">
        <f>[6]攻城值!AK85</f>
        <v>2022.891782297876</v>
      </c>
      <c r="BB85" s="14">
        <f>[6]攻城值!AL85</f>
        <v>2134.1242981423811</v>
      </c>
      <c r="BC85" s="14">
        <f>[6]攻城值!AM85</f>
        <v>2378.8068450327828</v>
      </c>
      <c r="BD85" s="14">
        <f>[6]攻城值!AN85</f>
        <v>2452.7763093906865</v>
      </c>
      <c r="BF85" s="14">
        <v>81</v>
      </c>
      <c r="BG85" s="14">
        <f>[6]攻城值!AQ85</f>
        <v>0.1575369345314197</v>
      </c>
      <c r="BH85" s="14">
        <f>[6]攻城值!AR85</f>
        <v>0.84246306546858019</v>
      </c>
      <c r="BL85" s="14">
        <v>81</v>
      </c>
      <c r="BM85" s="15">
        <f t="shared" si="6"/>
        <v>1</v>
      </c>
      <c r="BN85" s="15">
        <f t="shared" si="6"/>
        <v>1</v>
      </c>
      <c r="BO85" s="15">
        <f t="shared" si="6"/>
        <v>1</v>
      </c>
      <c r="BP85" s="15">
        <f t="shared" si="6"/>
        <v>1</v>
      </c>
      <c r="BQ85" s="15">
        <f t="shared" si="6"/>
        <v>1</v>
      </c>
      <c r="BR85" s="15">
        <f>'[1]功能-战损相关'!M91</f>
        <v>0.125</v>
      </c>
      <c r="BS85" s="15">
        <f>'[1]功能-战损相关'!N91</f>
        <v>0.125</v>
      </c>
      <c r="BT85" s="15">
        <f>'[1]功能-战损相关'!O91</f>
        <v>0.125</v>
      </c>
      <c r="BU85" s="15">
        <f>'[1]功能-战损相关'!P91</f>
        <v>0.125</v>
      </c>
      <c r="BV85" s="15">
        <f>'[1]功能-战损相关'!Q91</f>
        <v>0.125</v>
      </c>
      <c r="CJ85" s="2">
        <f>[4]兵营招募!S119</f>
        <v>82</v>
      </c>
      <c r="CK85" s="2">
        <f>[4]兵营招募!U119</f>
        <v>32000</v>
      </c>
    </row>
    <row r="86" spans="2:89" x14ac:dyDescent="0.15">
      <c r="B86" s="7">
        <v>82</v>
      </c>
      <c r="C86" s="7">
        <f>[1]服务器生态!W103</f>
        <v>225.345451005</v>
      </c>
      <c r="D86" s="7">
        <f>[1]服务器生态!X103</f>
        <v>216.1600963906437</v>
      </c>
      <c r="E86" s="7">
        <f>[1]服务器生态!Y103</f>
        <v>17.816123617689598</v>
      </c>
      <c r="F86" s="7">
        <f>[1]服务器生态!Z103</f>
        <v>3.1229519200000007</v>
      </c>
      <c r="G86" s="7">
        <f>[1]服务器生态!AA103</f>
        <v>0.88871039999999979</v>
      </c>
      <c r="H86" s="7">
        <f>[1]服务器生态!AC103</f>
        <v>0.48635708850000003</v>
      </c>
      <c r="I86" s="7">
        <f>[1]服务器生态!AD103</f>
        <v>0.46653258213807997</v>
      </c>
      <c r="J86" s="7">
        <f>[1]服务器生态!AE103</f>
        <v>3.8452065361920001E-2</v>
      </c>
      <c r="K86" s="7">
        <f>[1]服务器生态!AF103</f>
        <v>6.7401840000000015E-3</v>
      </c>
      <c r="L86" s="7">
        <f>[1]服务器生态!AG103</f>
        <v>1.9180799999999997E-3</v>
      </c>
      <c r="M86" s="7">
        <f>[5]基础信息!M85</f>
        <v>100</v>
      </c>
      <c r="Q86" s="7">
        <v>82</v>
      </c>
      <c r="R86" s="7">
        <f>[6]带兵数!D85</f>
        <v>7056.8177050953855</v>
      </c>
      <c r="S86" s="7">
        <f>[6]带兵数!E85</f>
        <v>7108.9768933125815</v>
      </c>
      <c r="T86" s="7">
        <f>[6]带兵数!F85</f>
        <v>7164.874823510946</v>
      </c>
      <c r="U86" s="7">
        <f>[6]带兵数!G85</f>
        <v>7228.5765853689554</v>
      </c>
      <c r="V86" s="7">
        <f>[6]带兵数!H85</f>
        <v>7293.8352338376762</v>
      </c>
      <c r="X86" s="7">
        <v>82</v>
      </c>
      <c r="Y86" s="7">
        <f>求节点(节奏总纲!D$4:D$163,R$5:R$164,$X86)*6</f>
        <v>35006.067500217723</v>
      </c>
      <c r="Z86" s="7">
        <f>求节点(节奏总纲!E$4:E$163,S$5:S$164,$X86)*6</f>
        <v>36144.67915070727</v>
      </c>
      <c r="AA86" s="7">
        <f>求节点(节奏总纲!F$4:F$163,T$5:T$164,$X86)*6</f>
        <v>37652.641073042549</v>
      </c>
      <c r="AB86" s="7">
        <f>求节点(节奏总纲!G$4:G$163,U$5:U$164,$X86)*6</f>
        <v>39833.915585160503</v>
      </c>
      <c r="AC86" s="7">
        <f>求节点(节奏总纲!H$4:H$163,V$5:V$164,$X86)*6</f>
        <v>43674.111554617208</v>
      </c>
      <c r="AG86" s="7">
        <v>82</v>
      </c>
      <c r="AH86" s="7">
        <v>1</v>
      </c>
      <c r="AI86" s="7">
        <f>[6]实力验证!$Z88</f>
        <v>1.5308429355074995</v>
      </c>
      <c r="AJ86" s="7">
        <f>[6]实力验证!$AE88</f>
        <v>2.8013294615243569</v>
      </c>
      <c r="AK86" s="7">
        <f>[6]实力验证!$AJ88</f>
        <v>6.8054526696585818</v>
      </c>
      <c r="AL86" s="7">
        <f>[6]实力验证!$AO88</f>
        <v>24.753618072757188</v>
      </c>
      <c r="AM86" s="7">
        <f t="shared" si="4"/>
        <v>90.637355452831159</v>
      </c>
      <c r="AR86" s="14">
        <v>82</v>
      </c>
      <c r="AS86" s="14">
        <f>[6]攻城值!AC86</f>
        <v>363.93823758682458</v>
      </c>
      <c r="AT86" s="14">
        <f>[6]攻城值!AD86</f>
        <v>381.69995103082738</v>
      </c>
      <c r="AU86" s="14">
        <f>[6]攻城值!AE86</f>
        <v>396.44419542731515</v>
      </c>
      <c r="AV86" s="14">
        <f>[6]攻城值!AF86</f>
        <v>436.14053371681831</v>
      </c>
      <c r="AW86" s="14">
        <f>[6]攻城值!AG86</f>
        <v>442.50632637241767</v>
      </c>
      <c r="AY86" s="14">
        <v>82</v>
      </c>
      <c r="AZ86" s="14">
        <f>[6]攻城值!AJ86</f>
        <v>1947.2799796370359</v>
      </c>
      <c r="BA86" s="14">
        <f>[6]攻城值!AK86</f>
        <v>2068.6510424057669</v>
      </c>
      <c r="BB86" s="14">
        <f>[6]攻城值!AL86</f>
        <v>2178.1052908060587</v>
      </c>
      <c r="BC86" s="14">
        <f>[6]攻城值!AM86</f>
        <v>2431.6318440302844</v>
      </c>
      <c r="BD86" s="14">
        <f>[6]攻城值!AN86</f>
        <v>2506.2582938537389</v>
      </c>
      <c r="BF86" s="14">
        <v>82</v>
      </c>
      <c r="BG86" s="14">
        <f>[6]攻城值!AQ86</f>
        <v>0.15746597827701969</v>
      </c>
      <c r="BH86" s="14">
        <f>[6]攻城值!AR86</f>
        <v>0.84253402172298031</v>
      </c>
      <c r="BL86" s="14">
        <v>82</v>
      </c>
      <c r="BM86" s="15">
        <f t="shared" si="6"/>
        <v>1</v>
      </c>
      <c r="BN86" s="15">
        <f t="shared" si="6"/>
        <v>1</v>
      </c>
      <c r="BO86" s="15">
        <f t="shared" si="6"/>
        <v>1</v>
      </c>
      <c r="BP86" s="15">
        <f t="shared" si="6"/>
        <v>1</v>
      </c>
      <c r="BQ86" s="15">
        <f t="shared" si="6"/>
        <v>1</v>
      </c>
      <c r="BR86" s="15">
        <f>'[1]功能-战损相关'!M92</f>
        <v>0.125</v>
      </c>
      <c r="BS86" s="15">
        <f>'[1]功能-战损相关'!N92</f>
        <v>0.125</v>
      </c>
      <c r="BT86" s="15">
        <f>'[1]功能-战损相关'!O92</f>
        <v>0.125</v>
      </c>
      <c r="BU86" s="15">
        <f>'[1]功能-战损相关'!P92</f>
        <v>0.125</v>
      </c>
      <c r="BV86" s="15">
        <f>'[1]功能-战损相关'!Q92</f>
        <v>0.125</v>
      </c>
      <c r="CJ86" s="2">
        <f>[4]兵营招募!S120</f>
        <v>83</v>
      </c>
      <c r="CK86" s="2">
        <f>[4]兵营招募!U120</f>
        <v>32000</v>
      </c>
    </row>
    <row r="87" spans="2:89" x14ac:dyDescent="0.15">
      <c r="B87" s="7">
        <v>83</v>
      </c>
      <c r="C87" s="7">
        <f>[1]服务器生态!W104</f>
        <v>224.14638724875002</v>
      </c>
      <c r="D87" s="7">
        <f>[1]服务器生态!X104</f>
        <v>215.75086871129903</v>
      </c>
      <c r="E87" s="7">
        <f>[1]服务器生态!Y104</f>
        <v>17.760816286617601</v>
      </c>
      <c r="F87" s="7">
        <f>[1]服务器生态!Z104</f>
        <v>3.119092020000001</v>
      </c>
      <c r="G87" s="7">
        <f>[1]服务器生态!AA104</f>
        <v>0.88950239999999992</v>
      </c>
      <c r="H87" s="7">
        <f>[1]服务器生态!AC104</f>
        <v>0.48551564025000005</v>
      </c>
      <c r="I87" s="7">
        <f>[1]服务器生态!AD104</f>
        <v>0.46733040154071992</v>
      </c>
      <c r="J87" s="7">
        <f>[1]服务器生态!AE104</f>
        <v>3.847108220928E-2</v>
      </c>
      <c r="K87" s="7">
        <f>[1]服务器生态!AF104</f>
        <v>6.7561560000000019E-3</v>
      </c>
      <c r="L87" s="7">
        <f>[1]服务器生态!AG104</f>
        <v>1.9267199999999998E-3</v>
      </c>
      <c r="M87" s="7">
        <f>[5]基础信息!M86</f>
        <v>100</v>
      </c>
      <c r="Q87" s="7">
        <v>83</v>
      </c>
      <c r="R87" s="7">
        <f>[6]带兵数!D86</f>
        <v>7123.9201449359607</v>
      </c>
      <c r="S87" s="7">
        <f>[6]带兵数!E86</f>
        <v>7176.132632872982</v>
      </c>
      <c r="T87" s="7">
        <f>[6]带兵数!F86</f>
        <v>7233.6037098586512</v>
      </c>
      <c r="U87" s="7">
        <f>[6]带兵数!G86</f>
        <v>7293.5350717115061</v>
      </c>
      <c r="V87" s="7">
        <f>[6]带兵数!H86</f>
        <v>7361.582013904168</v>
      </c>
      <c r="X87" s="7">
        <v>83</v>
      </c>
      <c r="Y87" s="7">
        <f>求节点(节奏总纲!D$4:D$163,R$5:R$164,$X87)*6</f>
        <v>35077.78910656488</v>
      </c>
      <c r="Z87" s="7">
        <f>求节点(节奏总纲!E$4:E$163,S$5:S$164,$X87)*6</f>
        <v>36215.149035289018</v>
      </c>
      <c r="AA87" s="7">
        <f>求节点(节奏总纲!F$4:F$163,T$5:T$164,$X87)*6</f>
        <v>37723.248020481478</v>
      </c>
      <c r="AB87" s="7">
        <f>求节点(节奏总纲!G$4:G$163,U$5:U$164,$X87)*6</f>
        <v>39902.32611405597</v>
      </c>
      <c r="AC87" s="7">
        <f>求节点(节奏总纲!H$4:H$163,V$5:V$164,$X87)*6</f>
        <v>43746.331182179194</v>
      </c>
      <c r="AG87" s="7">
        <v>83</v>
      </c>
      <c r="AH87" s="7">
        <v>1</v>
      </c>
      <c r="AI87" s="7">
        <f>[6]实力验证!$Z89</f>
        <v>1.5317940918987345</v>
      </c>
      <c r="AJ87" s="7">
        <f>[6]实力验证!$AE89</f>
        <v>2.807446278433511</v>
      </c>
      <c r="AK87" s="7">
        <f>[6]实力验证!$AJ89</f>
        <v>6.8156173142973389</v>
      </c>
      <c r="AL87" s="7">
        <f>[6]实力验证!$AO89</f>
        <v>24.858220529016425</v>
      </c>
      <c r="AM87" s="7">
        <f t="shared" si="4"/>
        <v>90.89097996519186</v>
      </c>
      <c r="AR87" s="14">
        <v>83</v>
      </c>
      <c r="AS87" s="14">
        <f>[6]攻城值!AC87</f>
        <v>371.38750498127143</v>
      </c>
      <c r="AT87" s="14">
        <f>[6]攻城值!AD87</f>
        <v>389.43095932185867</v>
      </c>
      <c r="AU87" s="14">
        <f>[6]攻城值!AE87</f>
        <v>404.76849995297374</v>
      </c>
      <c r="AV87" s="14">
        <f>[6]攻城值!AF87</f>
        <v>443.98692460917727</v>
      </c>
      <c r="AW87" s="14">
        <f>[6]攻城值!AG87</f>
        <v>448.01723775227708</v>
      </c>
      <c r="AY87" s="14">
        <v>83</v>
      </c>
      <c r="AZ87" s="14">
        <f>[6]攻城值!AJ87</f>
        <v>1988.1772022739694</v>
      </c>
      <c r="BA87" s="14">
        <f>[6]攻城值!AK87</f>
        <v>2111.2856663468024</v>
      </c>
      <c r="BB87" s="14">
        <f>[6]攻城值!AL87</f>
        <v>2224.1958806928337</v>
      </c>
      <c r="BC87" s="14">
        <f>[6]攻城值!AM87</f>
        <v>2475.2862643470576</v>
      </c>
      <c r="BD87" s="14">
        <f>[6]攻城值!AN87</f>
        <v>2536.8909684943173</v>
      </c>
      <c r="BF87" s="14">
        <v>83</v>
      </c>
      <c r="BG87" s="14">
        <f>[6]攻城值!AQ87</f>
        <v>0.15739661804540517</v>
      </c>
      <c r="BH87" s="14">
        <f>[6]攻城值!AR87</f>
        <v>0.84260338195459472</v>
      </c>
      <c r="BL87" s="14">
        <v>83</v>
      </c>
      <c r="BM87" s="15">
        <f t="shared" si="6"/>
        <v>1</v>
      </c>
      <c r="BN87" s="15">
        <f t="shared" si="6"/>
        <v>1</v>
      </c>
      <c r="BO87" s="15">
        <f t="shared" si="6"/>
        <v>1</v>
      </c>
      <c r="BP87" s="15">
        <f t="shared" si="6"/>
        <v>1</v>
      </c>
      <c r="BQ87" s="15">
        <f t="shared" si="6"/>
        <v>1</v>
      </c>
      <c r="BR87" s="15">
        <f>'[1]功能-战损相关'!M93</f>
        <v>0.125</v>
      </c>
      <c r="BS87" s="15">
        <f>'[1]功能-战损相关'!N93</f>
        <v>0.125</v>
      </c>
      <c r="BT87" s="15">
        <f>'[1]功能-战损相关'!O93</f>
        <v>0.125</v>
      </c>
      <c r="BU87" s="15">
        <f>'[1]功能-战损相关'!P93</f>
        <v>0.125</v>
      </c>
      <c r="BV87" s="15">
        <f>'[1]功能-战损相关'!Q93</f>
        <v>0.125</v>
      </c>
      <c r="CJ87" s="2">
        <f>[4]兵营招募!S121</f>
        <v>84</v>
      </c>
      <c r="CK87" s="2">
        <f>[4]兵营招募!U121</f>
        <v>32000</v>
      </c>
    </row>
    <row r="88" spans="2:89" x14ac:dyDescent="0.15">
      <c r="B88" s="7">
        <v>84</v>
      </c>
      <c r="C88" s="7">
        <f>[1]服务器生态!W105</f>
        <v>222.95012832</v>
      </c>
      <c r="D88" s="7">
        <f>[1]服务器生态!X105</f>
        <v>215.33898163394556</v>
      </c>
      <c r="E88" s="7">
        <f>[1]服务器生态!Y105</f>
        <v>17.705445566054401</v>
      </c>
      <c r="F88" s="7">
        <f>[1]服务器生态!Z105</f>
        <v>3.1151788800000011</v>
      </c>
      <c r="G88" s="7">
        <f>[1]服务器生态!AA105</f>
        <v>0.89026559999999988</v>
      </c>
      <c r="H88" s="7">
        <f>[1]服务器生态!AC105</f>
        <v>0.484674192</v>
      </c>
      <c r="I88" s="7">
        <f>[1]服务器生态!AD105</f>
        <v>0.46812822094335993</v>
      </c>
      <c r="J88" s="7">
        <f>[1]服务器生态!AE105</f>
        <v>3.8490099056640005E-2</v>
      </c>
      <c r="K88" s="7">
        <f>[1]服务器生态!AF105</f>
        <v>6.7721280000000023E-3</v>
      </c>
      <c r="L88" s="7">
        <f>[1]服务器生态!AG105</f>
        <v>1.9353599999999997E-3</v>
      </c>
      <c r="M88" s="7">
        <f>[5]基础信息!M87</f>
        <v>100</v>
      </c>
      <c r="Q88" s="7">
        <v>84</v>
      </c>
      <c r="R88" s="7">
        <f>[6]带兵数!D87</f>
        <v>7191.0650393413598</v>
      </c>
      <c r="S88" s="7">
        <f>[6]带兵数!E87</f>
        <v>7243.6179569673941</v>
      </c>
      <c r="T88" s="7">
        <f>[6]带兵数!F87</f>
        <v>7299.4068993376604</v>
      </c>
      <c r="U88" s="7">
        <f>[6]带兵数!G87</f>
        <v>7360.9233956913004</v>
      </c>
      <c r="V88" s="7">
        <f>[6]带兵数!H87</f>
        <v>7427.9255981153665</v>
      </c>
      <c r="X88" s="7">
        <v>84</v>
      </c>
      <c r="Y88" s="7">
        <f>求节点(节奏总纲!D$4:D$163,R$5:R$164,$X88)*6</f>
        <v>35146.275357795632</v>
      </c>
      <c r="Z88" s="7">
        <f>求节点(节奏总纲!E$4:E$163,S$5:S$164,$X88)*6</f>
        <v>36283.106363071209</v>
      </c>
      <c r="AA88" s="7">
        <f>求节点(节奏总纲!F$4:F$163,T$5:T$164,$X88)*6</f>
        <v>37793.362516277928</v>
      </c>
      <c r="AB88" s="7">
        <f>求节点(节奏总纲!G$4:G$163,U$5:U$164,$X88)*6</f>
        <v>39970.736642951444</v>
      </c>
      <c r="AC88" s="7">
        <f>求节点(节奏总纲!H$4:H$163,V$5:V$164,$X88)*6</f>
        <v>43815.43658664151</v>
      </c>
      <c r="AG88" s="7">
        <v>84</v>
      </c>
      <c r="AH88" s="7">
        <v>1</v>
      </c>
      <c r="AI88" s="7">
        <f>[6]实力验证!$Z90</f>
        <v>1.5328429290291792</v>
      </c>
      <c r="AJ88" s="7">
        <f>[6]实力验证!$AE90</f>
        <v>2.8119773423251084</v>
      </c>
      <c r="AK88" s="7">
        <f>[6]实力验证!$AJ90</f>
        <v>6.8225728053052244</v>
      </c>
      <c r="AL88" s="7">
        <f>[6]实力验证!$AO90</f>
        <v>24.877059258757193</v>
      </c>
      <c r="AM88" s="7">
        <f t="shared" si="4"/>
        <v>91.09937774909892</v>
      </c>
      <c r="AR88" s="14">
        <v>84</v>
      </c>
      <c r="AS88" s="14">
        <f>[6]攻城值!AC88</f>
        <v>379.00468943664498</v>
      </c>
      <c r="AT88" s="14">
        <f>[6]攻城值!AD88</f>
        <v>397.16916546127555</v>
      </c>
      <c r="AU88" s="14">
        <f>[6]攻城值!AE88</f>
        <v>413.287882359734</v>
      </c>
      <c r="AV88" s="14">
        <f>[6]攻城值!AF88</f>
        <v>451.03502283761168</v>
      </c>
      <c r="AW88" s="14">
        <f>[6]攻城值!AG88</f>
        <v>453.26132243674368</v>
      </c>
      <c r="AY88" s="14">
        <v>84</v>
      </c>
      <c r="AZ88" s="14">
        <f>[6]攻城值!AJ88</f>
        <v>2029.9928242048727</v>
      </c>
      <c r="BA88" s="14">
        <f>[6]攻城值!AK88</f>
        <v>2153.9724902457338</v>
      </c>
      <c r="BB88" s="14">
        <f>[6]攻城值!AL88</f>
        <v>2271.3654592247003</v>
      </c>
      <c r="BC88" s="14">
        <f>[6]攻城值!AM88</f>
        <v>2514.4890109507905</v>
      </c>
      <c r="BD88" s="14">
        <f>[6]攻城值!AN88</f>
        <v>2566.0113694258189</v>
      </c>
      <c r="BF88" s="14">
        <v>84</v>
      </c>
      <c r="BG88" s="14">
        <f>[6]攻城值!AQ88</f>
        <v>0.15732880058631915</v>
      </c>
      <c r="BH88" s="14">
        <f>[6]攻城值!AR88</f>
        <v>0.84267119941368085</v>
      </c>
      <c r="BL88" s="14">
        <v>84</v>
      </c>
      <c r="BM88" s="15">
        <f t="shared" si="6"/>
        <v>1</v>
      </c>
      <c r="BN88" s="15">
        <f t="shared" si="6"/>
        <v>1</v>
      </c>
      <c r="BO88" s="15">
        <f t="shared" si="6"/>
        <v>1</v>
      </c>
      <c r="BP88" s="15">
        <f t="shared" si="6"/>
        <v>1</v>
      </c>
      <c r="BQ88" s="15">
        <f t="shared" si="6"/>
        <v>1</v>
      </c>
      <c r="BR88" s="15">
        <f>'[1]功能-战损相关'!M94</f>
        <v>0.125</v>
      </c>
      <c r="BS88" s="15">
        <f>'[1]功能-战损相关'!N94</f>
        <v>0.125</v>
      </c>
      <c r="BT88" s="15">
        <f>'[1]功能-战损相关'!O94</f>
        <v>0.125</v>
      </c>
      <c r="BU88" s="15">
        <f>'[1]功能-战损相关'!P94</f>
        <v>0.125</v>
      </c>
      <c r="BV88" s="15">
        <f>'[1]功能-战损相关'!Q94</f>
        <v>0.125</v>
      </c>
      <c r="CJ88" s="2">
        <f>[4]兵营招募!S122</f>
        <v>85</v>
      </c>
      <c r="CK88" s="2">
        <f>[4]兵营招募!U122</f>
        <v>32000</v>
      </c>
    </row>
    <row r="89" spans="2:89" x14ac:dyDescent="0.15">
      <c r="B89" s="7">
        <v>85</v>
      </c>
      <c r="C89" s="7">
        <f>[1]服务器生态!W106</f>
        <v>221.75667421874999</v>
      </c>
      <c r="D89" s="7">
        <f>[1]服务器生态!X106</f>
        <v>214.92443515858329</v>
      </c>
      <c r="E89" s="7">
        <f>[1]服务器生态!Y106</f>
        <v>17.650011456000001</v>
      </c>
      <c r="F89" s="7">
        <f>[1]服务器生态!Z106</f>
        <v>3.1112125000000006</v>
      </c>
      <c r="G89" s="7">
        <f>[1]服务器生态!AA106</f>
        <v>0.8909999999999999</v>
      </c>
      <c r="H89" s="7">
        <f>[1]服务器生态!AC106</f>
        <v>0.48383274375000002</v>
      </c>
      <c r="I89" s="7">
        <f>[1]服务器生态!AD106</f>
        <v>0.46892604034599994</v>
      </c>
      <c r="J89" s="7">
        <f>[1]服务器生态!AE106</f>
        <v>3.8509115904000003E-2</v>
      </c>
      <c r="K89" s="7">
        <f>[1]服务器生态!AF106</f>
        <v>6.7881000000000018E-3</v>
      </c>
      <c r="L89" s="7">
        <f>[1]服务器生态!AG106</f>
        <v>1.9439999999999998E-3</v>
      </c>
      <c r="M89" s="7">
        <f>[5]基础信息!M88</f>
        <v>100</v>
      </c>
      <c r="Q89" s="7">
        <v>85</v>
      </c>
      <c r="R89" s="7">
        <f>[6]带兵数!D88</f>
        <v>7257.7700307679652</v>
      </c>
      <c r="S89" s="7">
        <f>[6]带兵数!E88</f>
        <v>7309.7592678461178</v>
      </c>
      <c r="T89" s="7">
        <f>[6]带兵数!F88</f>
        <v>7365.5472167192656</v>
      </c>
      <c r="U89" s="7">
        <f>[6]带兵数!G88</f>
        <v>7427.3763930639598</v>
      </c>
      <c r="V89" s="7">
        <f>[6]带兵数!H88</f>
        <v>7496.3491154445537</v>
      </c>
      <c r="X89" s="7">
        <v>85</v>
      </c>
      <c r="Y89" s="7">
        <f>求节点(节奏总纲!D$4:D$163,R$5:R$164,$X89)*6</f>
        <v>35212.130432839527</v>
      </c>
      <c r="Z89" s="7">
        <f>求节点(节奏总纲!E$4:E$163,S$5:S$164,$X89)*6</f>
        <v>36349.697121877864</v>
      </c>
      <c r="AA89" s="7">
        <f>求节点(节奏总纲!F$4:F$163,T$5:T$164,$X89)*6</f>
        <v>37859.299324444932</v>
      </c>
      <c r="AB89" s="7">
        <f>求节点(节奏总纲!G$4:G$163,U$5:U$164,$X89)*6</f>
        <v>40039.147171846911</v>
      </c>
      <c r="AC89" s="7">
        <f>求节点(节奏总纲!H$4:H$163,V$5:V$164,$X89)*6</f>
        <v>43883.606692508809</v>
      </c>
      <c r="AG89" s="7">
        <v>85</v>
      </c>
      <c r="AH89" s="7">
        <v>1</v>
      </c>
      <c r="AI89" s="7">
        <f>[6]实力验证!$Z91</f>
        <v>1.5337555933857163</v>
      </c>
      <c r="AJ89" s="7">
        <f>[6]实力验证!$AE91</f>
        <v>2.8138500147470733</v>
      </c>
      <c r="AK89" s="7">
        <f>[6]实力验证!$AJ91</f>
        <v>6.8270142961177935</v>
      </c>
      <c r="AL89" s="7">
        <f>[6]实力验证!$AO91</f>
        <v>24.865982165171616</v>
      </c>
      <c r="AM89" s="7">
        <f t="shared" si="4"/>
        <v>91.27071386919387</v>
      </c>
      <c r="AR89" s="14">
        <v>85</v>
      </c>
      <c r="AS89" s="14">
        <f>[6]攻城值!AC89</f>
        <v>386.93356974706575</v>
      </c>
      <c r="AT89" s="14">
        <f>[6]攻城值!AD89</f>
        <v>405.04068198884966</v>
      </c>
      <c r="AU89" s="14">
        <f>[6]攻城值!AE89</f>
        <v>422.51263595134139</v>
      </c>
      <c r="AV89" s="14">
        <f>[6]攻城值!AF89</f>
        <v>455.68772430336281</v>
      </c>
      <c r="AW89" s="14">
        <f>[6]攻城值!AG89</f>
        <v>457.9443003092577</v>
      </c>
      <c r="AY89" s="14">
        <v>85</v>
      </c>
      <c r="AZ89" s="14">
        <f>[6]攻城值!AJ89</f>
        <v>2073.498073376571</v>
      </c>
      <c r="BA89" s="14">
        <f>[6]攻城值!AK89</f>
        <v>2197.395311264564</v>
      </c>
      <c r="BB89" s="14">
        <f>[6]攻城值!AL89</f>
        <v>2322.4192233007984</v>
      </c>
      <c r="BC89" s="14">
        <f>[6]攻城值!AM89</f>
        <v>2540.3371700320872</v>
      </c>
      <c r="BD89" s="14">
        <f>[6]攻城值!AN89</f>
        <v>2591.9549242823723</v>
      </c>
      <c r="BF89" s="14">
        <v>85</v>
      </c>
      <c r="BG89" s="14">
        <f>[6]攻城值!AQ89</f>
        <v>0.15726247499232895</v>
      </c>
      <c r="BH89" s="14">
        <f>[6]攻城值!AR89</f>
        <v>0.84273752500767107</v>
      </c>
      <c r="BL89" s="14">
        <v>85</v>
      </c>
      <c r="BM89" s="15">
        <f t="shared" si="6"/>
        <v>1</v>
      </c>
      <c r="BN89" s="15">
        <f t="shared" si="6"/>
        <v>1</v>
      </c>
      <c r="BO89" s="15">
        <f t="shared" si="6"/>
        <v>1</v>
      </c>
      <c r="BP89" s="15">
        <f t="shared" si="6"/>
        <v>1</v>
      </c>
      <c r="BQ89" s="15">
        <f t="shared" si="6"/>
        <v>1</v>
      </c>
      <c r="BR89" s="15">
        <f>'[1]功能-战损相关'!M95</f>
        <v>0.125</v>
      </c>
      <c r="BS89" s="15">
        <f>'[1]功能-战损相关'!N95</f>
        <v>0.125</v>
      </c>
      <c r="BT89" s="15">
        <f>'[1]功能-战损相关'!O95</f>
        <v>0.125</v>
      </c>
      <c r="BU89" s="15">
        <f>'[1]功能-战损相关'!P95</f>
        <v>0.125</v>
      </c>
      <c r="BV89" s="15">
        <f>'[1]功能-战损相关'!Q95</f>
        <v>0.125</v>
      </c>
      <c r="CJ89" s="2">
        <f>[4]兵营招募!S123</f>
        <v>86</v>
      </c>
      <c r="CK89" s="2">
        <f>[4]兵营招募!U123</f>
        <v>32000</v>
      </c>
    </row>
    <row r="90" spans="2:89" x14ac:dyDescent="0.15">
      <c r="B90" s="7">
        <v>86</v>
      </c>
      <c r="C90" s="7">
        <f>[1]服务器生态!W107</f>
        <v>220.56602494500001</v>
      </c>
      <c r="D90" s="7">
        <f>[1]服务器生态!X107</f>
        <v>214.50722928521225</v>
      </c>
      <c r="E90" s="7">
        <f>[1]服务器生态!Y107</f>
        <v>17.594513956454403</v>
      </c>
      <c r="F90" s="7">
        <f>[1]服务器生态!Z107</f>
        <v>3.1071928800000013</v>
      </c>
      <c r="G90" s="7">
        <f>[1]服务器生态!AA107</f>
        <v>0.89170559999999999</v>
      </c>
      <c r="H90" s="7">
        <f>[1]服务器生态!AC107</f>
        <v>0.48299129549999997</v>
      </c>
      <c r="I90" s="7">
        <f>[1]服务器生态!AD107</f>
        <v>0.46972385974863995</v>
      </c>
      <c r="J90" s="7">
        <f>[1]服务器生态!AE107</f>
        <v>3.8528132751360002E-2</v>
      </c>
      <c r="K90" s="7">
        <f>[1]服务器生态!AF107</f>
        <v>6.8040720000000022E-3</v>
      </c>
      <c r="L90" s="7">
        <f>[1]服务器生态!AG107</f>
        <v>1.9526399999999998E-3</v>
      </c>
      <c r="M90" s="7">
        <f>[5]基础信息!M89</f>
        <v>100</v>
      </c>
      <c r="Q90" s="7">
        <v>86</v>
      </c>
      <c r="R90" s="7">
        <f>[6]带兵数!D89</f>
        <v>7325.3896513009249</v>
      </c>
      <c r="S90" s="7">
        <f>[6]带兵数!E89</f>
        <v>7376.0748183577853</v>
      </c>
      <c r="T90" s="7">
        <f>[6]带兵数!F89</f>
        <v>7432.7116435634034</v>
      </c>
      <c r="U90" s="7">
        <f>[6]带兵数!G89</f>
        <v>7496.9826703325634</v>
      </c>
      <c r="V90" s="7">
        <f>[6]带兵数!H89</f>
        <v>7556.0909841064313</v>
      </c>
      <c r="X90" s="7">
        <v>86</v>
      </c>
      <c r="Y90" s="7">
        <f>求节点(节奏总纲!D$4:D$163,R$5:R$164,$X90)*6</f>
        <v>35277.985507883423</v>
      </c>
      <c r="Z90" s="7">
        <f>求节点(节奏总纲!E$4:E$163,S$5:S$164,$X90)*6</f>
        <v>36416.287880684518</v>
      </c>
      <c r="AA90" s="7">
        <f>求节点(节奏总纲!F$4:F$163,T$5:T$164,$X90)*6</f>
        <v>37925.236132611928</v>
      </c>
      <c r="AB90" s="7">
        <f>求节点(节奏总纲!G$4:G$163,U$5:U$164,$X90)*6</f>
        <v>40107.557700742378</v>
      </c>
      <c r="AC90" s="7">
        <f>求节点(节奏总纲!H$4:H$163,V$5:V$164,$X90)*6</f>
        <v>43951.776798376108</v>
      </c>
      <c r="AG90" s="7">
        <v>86</v>
      </c>
      <c r="AH90" s="7">
        <v>1</v>
      </c>
      <c r="AI90" s="7">
        <f>[6]实力验证!$Z92</f>
        <v>1.5346324707372936</v>
      </c>
      <c r="AJ90" s="7">
        <f>[6]实力验证!$AE92</f>
        <v>2.8156492567378248</v>
      </c>
      <c r="AK90" s="7">
        <f>[6]实力验证!$AJ92</f>
        <v>6.8312816290895331</v>
      </c>
      <c r="AL90" s="7">
        <f>[6]实力验证!$AO92</f>
        <v>24.855339421848811</v>
      </c>
      <c r="AM90" s="7">
        <f t="shared" si="4"/>
        <v>91.440555064150402</v>
      </c>
      <c r="AR90" s="14">
        <v>86</v>
      </c>
      <c r="AS90" s="14">
        <f>[6]攻城值!AC90</f>
        <v>394.97779019911729</v>
      </c>
      <c r="AT90" s="14">
        <f>[6]攻城值!AD90</f>
        <v>412.98836680378326</v>
      </c>
      <c r="AU90" s="14">
        <f>[6]攻城值!AE90</f>
        <v>431.86427772802915</v>
      </c>
      <c r="AV90" s="14">
        <f>[6]攻城值!AF90</f>
        <v>460.35260643547713</v>
      </c>
      <c r="AW90" s="14">
        <f>[6]攻城值!AG90</f>
        <v>462.65363919664213</v>
      </c>
      <c r="AY90" s="14">
        <v>86</v>
      </c>
      <c r="AZ90" s="14">
        <f>[6]攻城值!AJ90</f>
        <v>2117.6420517349043</v>
      </c>
      <c r="BA90" s="14">
        <f>[6]攻城值!AK90</f>
        <v>2241.2443327522724</v>
      </c>
      <c r="BB90" s="14">
        <f>[6]攻城值!AL90</f>
        <v>2374.1784825972768</v>
      </c>
      <c r="BC90" s="14">
        <f>[6]攻城值!AM90</f>
        <v>2566.2532971584269</v>
      </c>
      <c r="BD90" s="14">
        <f>[6]攻城值!AN90</f>
        <v>2618.048049877149</v>
      </c>
      <c r="BF90" s="14">
        <v>86</v>
      </c>
      <c r="BG90" s="14">
        <f>[6]攻城值!AQ90</f>
        <v>0.15719759257138308</v>
      </c>
      <c r="BH90" s="14">
        <f>[6]攻城值!AR90</f>
        <v>0.8428024074286169</v>
      </c>
      <c r="BL90" s="14">
        <v>86</v>
      </c>
      <c r="BM90" s="15">
        <f t="shared" si="6"/>
        <v>1</v>
      </c>
      <c r="BN90" s="15">
        <f t="shared" si="6"/>
        <v>1</v>
      </c>
      <c r="BO90" s="15">
        <f t="shared" si="6"/>
        <v>1</v>
      </c>
      <c r="BP90" s="15">
        <f t="shared" si="6"/>
        <v>1</v>
      </c>
      <c r="BQ90" s="15">
        <f t="shared" si="6"/>
        <v>1</v>
      </c>
      <c r="BR90" s="15">
        <f>'[1]功能-战损相关'!M96</f>
        <v>0.125</v>
      </c>
      <c r="BS90" s="15">
        <f>'[1]功能-战损相关'!N96</f>
        <v>0.125</v>
      </c>
      <c r="BT90" s="15">
        <f>'[1]功能-战损相关'!O96</f>
        <v>0.125</v>
      </c>
      <c r="BU90" s="15">
        <f>'[1]功能-战损相关'!P96</f>
        <v>0.125</v>
      </c>
      <c r="BV90" s="15">
        <f>'[1]功能-战损相关'!Q96</f>
        <v>0.125</v>
      </c>
      <c r="CJ90" s="2">
        <f>[4]兵营招募!S124</f>
        <v>87</v>
      </c>
      <c r="CK90" s="2">
        <f>[4]兵营招募!U124</f>
        <v>32000</v>
      </c>
    </row>
    <row r="91" spans="2:89" x14ac:dyDescent="0.15">
      <c r="B91" s="7">
        <v>87</v>
      </c>
      <c r="C91" s="7">
        <f>[1]服务器生态!W108</f>
        <v>219.37818049875</v>
      </c>
      <c r="D91" s="7">
        <f>[1]服务器生态!X108</f>
        <v>214.08736401383237</v>
      </c>
      <c r="E91" s="7">
        <f>[1]服务器生态!Y108</f>
        <v>17.538953067417602</v>
      </c>
      <c r="F91" s="7">
        <f>[1]服务器生态!Z108</f>
        <v>3.1031200200000009</v>
      </c>
      <c r="G91" s="7">
        <f>[1]服务器生态!AA108</f>
        <v>0.89238239999999991</v>
      </c>
      <c r="H91" s="7">
        <f>[1]服务器生态!AC108</f>
        <v>0.48214984724999999</v>
      </c>
      <c r="I91" s="7">
        <f>[1]服务器生态!AD108</f>
        <v>0.47052167915127996</v>
      </c>
      <c r="J91" s="7">
        <f>[1]服务器生态!AE108</f>
        <v>3.854714959872E-2</v>
      </c>
      <c r="K91" s="7">
        <f>[1]服务器生态!AF108</f>
        <v>6.8200440000000017E-3</v>
      </c>
      <c r="L91" s="7">
        <f>[1]服务器生态!AG108</f>
        <v>1.9612799999999997E-3</v>
      </c>
      <c r="M91" s="7">
        <f>[5]基础信息!M90</f>
        <v>100</v>
      </c>
      <c r="Q91" s="7">
        <v>87</v>
      </c>
      <c r="R91" s="7">
        <f>[6]带兵数!D90</f>
        <v>7391.703930648232</v>
      </c>
      <c r="S91" s="7">
        <f>[6]带兵数!E90</f>
        <v>7444.2913866891213</v>
      </c>
      <c r="T91" s="7">
        <f>[6]带兵数!F90</f>
        <v>7500.9766300257579</v>
      </c>
      <c r="U91" s="7">
        <f>[6]带兵数!G90</f>
        <v>7559.6256903639569</v>
      </c>
      <c r="V91" s="7">
        <f>[6]带兵数!H90</f>
        <v>7618.2526243554612</v>
      </c>
      <c r="X91" s="7">
        <v>87</v>
      </c>
      <c r="Y91" s="7">
        <f>求节点(节奏总纲!D$4:D$163,R$5:R$164,$X91)*6</f>
        <v>35343.840582927318</v>
      </c>
      <c r="Z91" s="7">
        <f>求节点(节奏总纲!E$4:E$163,S$5:S$164,$X91)*6</f>
        <v>36482.878639491173</v>
      </c>
      <c r="AA91" s="7">
        <f>求节点(节奏总纲!F$4:F$163,T$5:T$164,$X91)*6</f>
        <v>37991.172940778939</v>
      </c>
      <c r="AB91" s="7">
        <f>求节点(节奏总纲!G$4:G$163,U$5:U$164,$X91)*6</f>
        <v>40175.375135167342</v>
      </c>
      <c r="AC91" s="7">
        <f>求节点(节奏总纲!H$4:H$163,V$5:V$164,$X91)*6</f>
        <v>44019.946904243407</v>
      </c>
      <c r="AG91" s="7">
        <v>87</v>
      </c>
      <c r="AH91" s="7">
        <v>1</v>
      </c>
      <c r="AI91" s="7">
        <f>[6]实力验证!$Z93</f>
        <v>1.5354756255064159</v>
      </c>
      <c r="AJ91" s="7">
        <f>[6]实力验证!$AE93</f>
        <v>2.8173793042325843</v>
      </c>
      <c r="AK91" s="7">
        <f>[6]实力验证!$AJ93</f>
        <v>6.8360685032576054</v>
      </c>
      <c r="AL91" s="7">
        <f>[6]实力验证!$AO93</f>
        <v>24.845105972697663</v>
      </c>
      <c r="AM91" s="7">
        <f t="shared" si="4"/>
        <v>91.609920078807534</v>
      </c>
      <c r="AR91" s="14">
        <v>87</v>
      </c>
      <c r="AS91" s="14">
        <f>[6]攻城值!AC91</f>
        <v>402.70626875051721</v>
      </c>
      <c r="AT91" s="14">
        <f>[6]攻城值!AD91</f>
        <v>421.26155055762507</v>
      </c>
      <c r="AU91" s="14">
        <f>[6]攻城值!AE91</f>
        <v>441.01400397511759</v>
      </c>
      <c r="AV91" s="14">
        <f>[6]攻城值!AF91</f>
        <v>465.04466297145223</v>
      </c>
      <c r="AW91" s="14">
        <f>[6]攻城值!AG91</f>
        <v>467.35171038298915</v>
      </c>
      <c r="AY91" s="14">
        <v>87</v>
      </c>
      <c r="AZ91" s="14">
        <f>[6]攻城值!AJ91</f>
        <v>2160.1126961266345</v>
      </c>
      <c r="BA91" s="14">
        <f>[6]攻城值!AK91</f>
        <v>2286.8730758258503</v>
      </c>
      <c r="BB91" s="14">
        <f>[6]攻城值!AL91</f>
        <v>2424.8354306629235</v>
      </c>
      <c r="BC91" s="14">
        <f>[6]攻城值!AM91</f>
        <v>2592.3209636353567</v>
      </c>
      <c r="BD91" s="14">
        <f>[6]攻城值!AN91</f>
        <v>2644.0777524495702</v>
      </c>
      <c r="BF91" s="14">
        <v>87</v>
      </c>
      <c r="BG91" s="14">
        <f>[6]攻城值!AQ91</f>
        <v>0.15713410672759745</v>
      </c>
      <c r="BH91" s="14">
        <f>[6]攻城值!AR91</f>
        <v>0.84286589327240258</v>
      </c>
      <c r="BL91" s="14">
        <v>87</v>
      </c>
      <c r="BM91" s="15">
        <f t="shared" si="6"/>
        <v>1</v>
      </c>
      <c r="BN91" s="15">
        <f t="shared" si="6"/>
        <v>1</v>
      </c>
      <c r="BO91" s="15">
        <f t="shared" si="6"/>
        <v>1</v>
      </c>
      <c r="BP91" s="15">
        <f t="shared" si="6"/>
        <v>1</v>
      </c>
      <c r="BQ91" s="15">
        <f t="shared" si="6"/>
        <v>1</v>
      </c>
      <c r="BR91" s="15">
        <f>'[1]功能-战损相关'!M97</f>
        <v>0.125</v>
      </c>
      <c r="BS91" s="15">
        <f>'[1]功能-战损相关'!N97</f>
        <v>0.125</v>
      </c>
      <c r="BT91" s="15">
        <f>'[1]功能-战损相关'!O97</f>
        <v>0.125</v>
      </c>
      <c r="BU91" s="15">
        <f>'[1]功能-战损相关'!P97</f>
        <v>0.125</v>
      </c>
      <c r="BV91" s="15">
        <f>'[1]功能-战损相关'!Q97</f>
        <v>0.125</v>
      </c>
      <c r="CJ91" s="2">
        <f>[4]兵营招募!S125</f>
        <v>88</v>
      </c>
      <c r="CK91" s="2">
        <f>[4]兵营招募!U125</f>
        <v>32000</v>
      </c>
    </row>
    <row r="92" spans="2:89" x14ac:dyDescent="0.15">
      <c r="B92" s="7">
        <v>88</v>
      </c>
      <c r="C92" s="7">
        <f>[1]服务器生态!W109</f>
        <v>218.19314087999999</v>
      </c>
      <c r="D92" s="7">
        <f>[1]服务器生态!X109</f>
        <v>213.66483934444372</v>
      </c>
      <c r="E92" s="7">
        <f>[1]服务器生态!Y109</f>
        <v>17.483328788889601</v>
      </c>
      <c r="F92" s="7">
        <f>[1]服务器生态!Z109</f>
        <v>3.0989939200000007</v>
      </c>
      <c r="G92" s="7">
        <f>[1]服务器生态!AA109</f>
        <v>0.89303039999999978</v>
      </c>
      <c r="H92" s="7">
        <f>[1]服务器生态!AC109</f>
        <v>0.481308399</v>
      </c>
      <c r="I92" s="7">
        <f>[1]服务器生态!AD109</f>
        <v>0.47131949855391997</v>
      </c>
      <c r="J92" s="7">
        <f>[1]服务器生态!AE109</f>
        <v>3.8566166446080005E-2</v>
      </c>
      <c r="K92" s="7">
        <f>[1]服务器生态!AF109</f>
        <v>6.836016000000002E-3</v>
      </c>
      <c r="L92" s="7">
        <f>[1]服务器生态!AG109</f>
        <v>1.9699199999999996E-3</v>
      </c>
      <c r="M92" s="7">
        <f>[5]基础信息!M91</f>
        <v>100</v>
      </c>
      <c r="Q92" s="7">
        <v>88</v>
      </c>
      <c r="R92" s="7">
        <f>[6]带兵数!D91</f>
        <v>7459.7921847068637</v>
      </c>
      <c r="S92" s="7">
        <f>[6]带兵数!E91</f>
        <v>7511.829617379196</v>
      </c>
      <c r="T92" s="7">
        <f>[6]带兵数!F91</f>
        <v>7567.301633179989</v>
      </c>
      <c r="U92" s="7">
        <f>[6]带兵数!G91</f>
        <v>7621.234347485708</v>
      </c>
      <c r="V92" s="7">
        <f>[6]带兵数!H91</f>
        <v>7679.6637451558699</v>
      </c>
      <c r="X92" s="7">
        <v>88</v>
      </c>
      <c r="Y92" s="7">
        <f>求节点(节奏总纲!D$4:D$163,R$5:R$164,$X92)*6</f>
        <v>35409.695657971213</v>
      </c>
      <c r="Z92" s="7">
        <f>求节点(节奏总纲!E$4:E$163,S$5:S$164,$X92)*6</f>
        <v>36549.469398297835</v>
      </c>
      <c r="AA92" s="7">
        <f>求节点(节奏总纲!F$4:F$163,T$5:T$164,$X92)*6</f>
        <v>38057.109748945935</v>
      </c>
      <c r="AB92" s="7">
        <f>求节点(节奏总纲!G$4:G$163,U$5:U$164,$X92)*6</f>
        <v>40239.226404217057</v>
      </c>
      <c r="AC92" s="7">
        <f>求节点(节奏总纲!H$4:H$163,V$5:V$164,$X92)*6</f>
        <v>44088.117010110705</v>
      </c>
      <c r="AG92" s="7">
        <v>88</v>
      </c>
      <c r="AH92" s="7">
        <v>1</v>
      </c>
      <c r="AI92" s="7">
        <f>[6]实力验证!$Z94</f>
        <v>1.5362869663258409</v>
      </c>
      <c r="AJ92" s="7">
        <f>[6]实力验证!$AE94</f>
        <v>2.8190440735056135</v>
      </c>
      <c r="AK92" s="7">
        <f>[6]实力验证!$AJ94</f>
        <v>6.8451602569134105</v>
      </c>
      <c r="AL92" s="7">
        <f>[6]实力验证!$AO94</f>
        <v>24.835258652461913</v>
      </c>
      <c r="AM92" s="7">
        <f t="shared" si="4"/>
        <v>91.784057821291</v>
      </c>
      <c r="AR92" s="14">
        <v>88</v>
      </c>
      <c r="AS92" s="14">
        <f>[6]攻城值!AC92</f>
        <v>424.22863943417627</v>
      </c>
      <c r="AT92" s="14">
        <f>[6]攻城值!AD92</f>
        <v>443.95512710239245</v>
      </c>
      <c r="AU92" s="14">
        <f>[6]攻城值!AE92</f>
        <v>464.70738117600814</v>
      </c>
      <c r="AV92" s="14">
        <f>[6]攻城值!AF92</f>
        <v>484.94127348659799</v>
      </c>
      <c r="AW92" s="14">
        <f>[6]攻城值!AG92</f>
        <v>488.0241736726706</v>
      </c>
      <c r="AY92" s="14">
        <v>88</v>
      </c>
      <c r="AZ92" s="14">
        <f>[6]攻城值!AJ92</f>
        <v>2276.6264637243548</v>
      </c>
      <c r="BA92" s="14">
        <f>[6]攻城值!AK92</f>
        <v>2410.822730575936</v>
      </c>
      <c r="BB92" s="14">
        <f>[6]攻城值!AL92</f>
        <v>2555.4768321976503</v>
      </c>
      <c r="BC92" s="14">
        <f>[6]攻城值!AM92</f>
        <v>2703.1413283624629</v>
      </c>
      <c r="BD92" s="14">
        <f>[6]攻城值!AN92</f>
        <v>2764.9147929126293</v>
      </c>
      <c r="BF92" s="14">
        <v>88</v>
      </c>
      <c r="BG92" s="14">
        <f>[6]攻城值!AQ92</f>
        <v>0.15707197284965771</v>
      </c>
      <c r="BH92" s="14">
        <f>[6]攻城值!AR92</f>
        <v>0.84292802715034232</v>
      </c>
      <c r="BL92" s="14">
        <v>88</v>
      </c>
      <c r="BM92" s="15">
        <f t="shared" si="6"/>
        <v>1</v>
      </c>
      <c r="BN92" s="15">
        <f t="shared" si="6"/>
        <v>1</v>
      </c>
      <c r="BO92" s="15">
        <f t="shared" si="6"/>
        <v>1</v>
      </c>
      <c r="BP92" s="15">
        <f t="shared" si="6"/>
        <v>1</v>
      </c>
      <c r="BQ92" s="15">
        <f t="shared" si="6"/>
        <v>1</v>
      </c>
      <c r="BR92" s="15">
        <f>'[1]功能-战损相关'!M98</f>
        <v>0.125</v>
      </c>
      <c r="BS92" s="15">
        <f>'[1]功能-战损相关'!N98</f>
        <v>0.125</v>
      </c>
      <c r="BT92" s="15">
        <f>'[1]功能-战损相关'!O98</f>
        <v>0.125</v>
      </c>
      <c r="BU92" s="15">
        <f>'[1]功能-战损相关'!P98</f>
        <v>0.125</v>
      </c>
      <c r="BV92" s="15">
        <f>'[1]功能-战损相关'!Q98</f>
        <v>0.125</v>
      </c>
      <c r="CJ92" s="2">
        <f>[4]兵营招募!S126</f>
        <v>89</v>
      </c>
      <c r="CK92" s="2">
        <f>[4]兵营招募!U126</f>
        <v>32000</v>
      </c>
    </row>
    <row r="93" spans="2:89" x14ac:dyDescent="0.15">
      <c r="B93" s="7">
        <v>89</v>
      </c>
      <c r="C93" s="7">
        <f>[1]服务器生态!W110</f>
        <v>217.01090608874998</v>
      </c>
      <c r="D93" s="7">
        <f>[1]服务器生态!X110</f>
        <v>213.23965527704627</v>
      </c>
      <c r="E93" s="7">
        <f>[1]服务器生态!Y110</f>
        <v>17.427641120870401</v>
      </c>
      <c r="F93" s="7">
        <f>[1]服务器生态!Z110</f>
        <v>3.0948145800000009</v>
      </c>
      <c r="G93" s="7">
        <f>[1]服务器生态!AA110</f>
        <v>0.89364959999999993</v>
      </c>
      <c r="H93" s="7">
        <f>[1]服务器生态!AC110</f>
        <v>0.48046695074999995</v>
      </c>
      <c r="I93" s="7">
        <f>[1]服务器生态!AD110</f>
        <v>0.47211731795655998</v>
      </c>
      <c r="J93" s="7">
        <f>[1]服务器生态!AE110</f>
        <v>3.8585183293440004E-2</v>
      </c>
      <c r="K93" s="7">
        <f>[1]服务器生态!AF110</f>
        <v>6.8519880000000016E-3</v>
      </c>
      <c r="L93" s="7">
        <f>[1]服务器生态!AG110</f>
        <v>1.9785599999999999E-3</v>
      </c>
      <c r="M93" s="7">
        <f>[5]基础信息!M92</f>
        <v>100</v>
      </c>
      <c r="Q93" s="7">
        <v>89</v>
      </c>
      <c r="R93" s="7">
        <f>[6]带兵数!D92</f>
        <v>7525.7223076748915</v>
      </c>
      <c r="S93" s="7">
        <f>[6]带兵数!E92</f>
        <v>7578.897495775007</v>
      </c>
      <c r="T93" s="7">
        <f>[6]带兵数!F92</f>
        <v>7627.993678963393</v>
      </c>
      <c r="U93" s="7">
        <f>[6]带兵数!G92</f>
        <v>7683.4351188384899</v>
      </c>
      <c r="V93" s="7">
        <f>[6]带兵数!H92</f>
        <v>7739.4334927433802</v>
      </c>
      <c r="X93" s="7">
        <v>89</v>
      </c>
      <c r="Y93" s="7">
        <f>求节点(节奏总纲!D$4:D$163,R$5:R$164,$X93)*6</f>
        <v>35475.550733015101</v>
      </c>
      <c r="Z93" s="7">
        <f>求节点(节奏总纲!E$4:E$163,S$5:S$164,$X93)*6</f>
        <v>36616.060157104483</v>
      </c>
      <c r="AA93" s="7">
        <f>求节点(节奏总纲!F$4:F$163,T$5:T$164,$X93)*6</f>
        <v>38123.046557112939</v>
      </c>
      <c r="AB93" s="7">
        <f>求节点(节奏总纲!G$4:G$163,U$5:U$164,$X93)*6</f>
        <v>40303.077673266765</v>
      </c>
      <c r="AC93" s="7">
        <f>求节点(节奏总纲!H$4:H$163,V$5:V$164,$X93)*6</f>
        <v>44156.287115978004</v>
      </c>
      <c r="AG93" s="7">
        <v>89</v>
      </c>
      <c r="AH93" s="7">
        <v>1</v>
      </c>
      <c r="AI93" s="7">
        <f>[6]实力验证!$Z95</f>
        <v>1.53706826046213</v>
      </c>
      <c r="AJ93" s="7">
        <f>[6]实力验证!$AE95</f>
        <v>2.8206471907655248</v>
      </c>
      <c r="AK93" s="7">
        <f>[6]实力验证!$AJ95</f>
        <v>6.8539153123103418</v>
      </c>
      <c r="AL93" s="7">
        <f>[6]实力验证!$AO95</f>
        <v>24.825776011660238</v>
      </c>
      <c r="AM93" s="7">
        <f t="shared" si="4"/>
        <v>91.9567122605782</v>
      </c>
      <c r="AR93" s="14">
        <v>89</v>
      </c>
      <c r="AS93" s="14">
        <f>[6]攻城值!AC93</f>
        <v>431.84893272965206</v>
      </c>
      <c r="AT93" s="14">
        <f>[6]攻城值!AD93</f>
        <v>452.61813649846562</v>
      </c>
      <c r="AU93" s="14">
        <f>[6]攻城值!AE93</f>
        <v>473.99835823306893</v>
      </c>
      <c r="AV93" s="14">
        <f>[6]攻城值!AF93</f>
        <v>489.74210825704745</v>
      </c>
      <c r="AW93" s="14">
        <f>[6]攻城值!AG93</f>
        <v>492.84151844630935</v>
      </c>
      <c r="AY93" s="14">
        <v>89</v>
      </c>
      <c r="AZ93" s="14">
        <f>[6]攻城值!AJ93</f>
        <v>2318.5859100389821</v>
      </c>
      <c r="BA93" s="14">
        <f>[6]攻城值!AK93</f>
        <v>2458.6194571561045</v>
      </c>
      <c r="BB93" s="14">
        <f>[6]攻城值!AL93</f>
        <v>2606.9363385527031</v>
      </c>
      <c r="BC93" s="14">
        <f>[6]攻城值!AM93</f>
        <v>2729.8126437498286</v>
      </c>
      <c r="BD93" s="14">
        <f>[6]攻城值!AN93</f>
        <v>2808.0368247029328</v>
      </c>
      <c r="BF93" s="14">
        <v>89</v>
      </c>
      <c r="BG93" s="14">
        <f>[6]攻城值!AQ93</f>
        <v>0.15701114820627624</v>
      </c>
      <c r="BH93" s="14">
        <f>[6]攻城值!AR93</f>
        <v>0.84298885179372385</v>
      </c>
      <c r="BL93" s="14">
        <v>89</v>
      </c>
      <c r="BM93" s="15">
        <f t="shared" si="6"/>
        <v>1</v>
      </c>
      <c r="BN93" s="15">
        <f t="shared" si="6"/>
        <v>1</v>
      </c>
      <c r="BO93" s="15">
        <f t="shared" si="6"/>
        <v>1</v>
      </c>
      <c r="BP93" s="15">
        <f t="shared" si="6"/>
        <v>1</v>
      </c>
      <c r="BQ93" s="15">
        <f t="shared" si="6"/>
        <v>1</v>
      </c>
      <c r="BR93" s="15">
        <f>'[1]功能-战损相关'!M99</f>
        <v>0.125</v>
      </c>
      <c r="BS93" s="15">
        <f>'[1]功能-战损相关'!N99</f>
        <v>0.125</v>
      </c>
      <c r="BT93" s="15">
        <f>'[1]功能-战损相关'!O99</f>
        <v>0.125</v>
      </c>
      <c r="BU93" s="15">
        <f>'[1]功能-战损相关'!P99</f>
        <v>0.125</v>
      </c>
      <c r="BV93" s="15">
        <f>'[1]功能-战损相关'!Q99</f>
        <v>0.125</v>
      </c>
      <c r="CJ93" s="2">
        <f>[4]兵营招募!S127</f>
        <v>90</v>
      </c>
      <c r="CK93" s="2">
        <f>[4]兵营招募!U127</f>
        <v>32000</v>
      </c>
    </row>
    <row r="94" spans="2:89" x14ac:dyDescent="0.15">
      <c r="B94" s="7">
        <v>90</v>
      </c>
      <c r="C94" s="7">
        <f>[1]服务器生态!W111</f>
        <v>215.83147612499999</v>
      </c>
      <c r="D94" s="7">
        <f>[1]服务器生态!X111</f>
        <v>212.81181181163998</v>
      </c>
      <c r="E94" s="7">
        <f>[1]服务器生态!Y111</f>
        <v>17.371890063360002</v>
      </c>
      <c r="F94" s="7">
        <f>[1]服务器生态!Z111</f>
        <v>3.0905820000000008</v>
      </c>
      <c r="G94" s="7">
        <f>[1]服务器生态!AA111</f>
        <v>0.89423999999999992</v>
      </c>
      <c r="H94" s="7">
        <f>[1]服务器生态!AC111</f>
        <v>0.47962550249999997</v>
      </c>
      <c r="I94" s="7">
        <f>[1]服务器生态!AD111</f>
        <v>0.47291513735919999</v>
      </c>
      <c r="J94" s="7">
        <f>[1]服务器生态!AE111</f>
        <v>3.8604200140800002E-2</v>
      </c>
      <c r="K94" s="7">
        <f>[1]服务器生态!AF111</f>
        <v>6.8679600000000019E-3</v>
      </c>
      <c r="L94" s="7">
        <f>[1]服务器生态!AG111</f>
        <v>1.9871999999999997E-3</v>
      </c>
      <c r="M94" s="7">
        <f>[5]基础信息!M93</f>
        <v>100</v>
      </c>
      <c r="Q94" s="7">
        <v>90</v>
      </c>
      <c r="R94" s="7">
        <f>[6]带兵数!D93</f>
        <v>7594.2729140195461</v>
      </c>
      <c r="S94" s="7">
        <f>[6]带兵数!E93</f>
        <v>7639.7214321439733</v>
      </c>
      <c r="T94" s="7">
        <f>[6]带兵数!F93</f>
        <v>7692.1192353066954</v>
      </c>
      <c r="U94" s="7">
        <f>[6]带兵数!G93</f>
        <v>7742.4371596694982</v>
      </c>
      <c r="V94" s="7">
        <f>[6]带兵数!H93</f>
        <v>7799.9355476740957</v>
      </c>
      <c r="X94" s="7">
        <v>90</v>
      </c>
      <c r="Y94" s="7">
        <f>求节点(节奏总纲!D$4:D$163,R$5:R$164,$X94)*6</f>
        <v>35539.532253545593</v>
      </c>
      <c r="Z94" s="7">
        <f>求节点(节奏总纲!E$4:E$163,S$5:S$164,$X94)*6</f>
        <v>36680.345873982391</v>
      </c>
      <c r="AA94" s="7">
        <f>求节点(节奏总纲!F$4:F$163,T$5:T$164,$X94)*6</f>
        <v>38188.983365279943</v>
      </c>
      <c r="AB94" s="7">
        <f>求节点(节奏总纲!G$4:G$163,U$5:U$164,$X94)*6</f>
        <v>40366.928942316474</v>
      </c>
      <c r="AC94" s="7">
        <f>求节点(节奏总纲!H$4:H$163,V$5:V$164,$X94)*6</f>
        <v>44219.207796379953</v>
      </c>
      <c r="AG94" s="7">
        <v>90</v>
      </c>
      <c r="AH94" s="7">
        <v>1</v>
      </c>
      <c r="AI94" s="7">
        <f>[6]实力验证!$Z96</f>
        <v>1.5397779105985205</v>
      </c>
      <c r="AJ94" s="7">
        <f>[6]实力验证!$AE96</f>
        <v>2.8238866482921487</v>
      </c>
      <c r="AK94" s="7">
        <f>[6]实力验证!$AJ96</f>
        <v>6.8664726406805388</v>
      </c>
      <c r="AL94" s="7">
        <f>[6]实力验证!$AO96</f>
        <v>24.838857483346079</v>
      </c>
      <c r="AM94" s="7">
        <f t="shared" si="4"/>
        <v>92.209753743448942</v>
      </c>
      <c r="AR94" s="14">
        <v>90</v>
      </c>
      <c r="AS94" s="14">
        <f>[6]攻城值!AC94</f>
        <v>439.55926813823658</v>
      </c>
      <c r="AT94" s="14">
        <f>[6]攻城值!AD94</f>
        <v>461.38546477303703</v>
      </c>
      <c r="AU94" s="14">
        <f>[6]攻城值!AE94</f>
        <v>483.37097262263615</v>
      </c>
      <c r="AV94" s="14">
        <f>[6]攻城值!AF94</f>
        <v>494.55267210869602</v>
      </c>
      <c r="AW94" s="14">
        <f>[6]攻城值!AG94</f>
        <v>497.69900000000007</v>
      </c>
      <c r="AY94" s="14">
        <v>90</v>
      </c>
      <c r="AZ94" s="14">
        <f>[6]攻城值!AJ94</f>
        <v>2361.0448096044106</v>
      </c>
      <c r="BA94" s="14">
        <f>[6]攻城值!AK94</f>
        <v>2506.9964256918315</v>
      </c>
      <c r="BB94" s="14">
        <f>[6]攻城值!AL94</f>
        <v>2658.8517762733609</v>
      </c>
      <c r="BC94" s="14">
        <f>[6]攻城值!AM94</f>
        <v>2770.6209387912545</v>
      </c>
      <c r="BD94" s="14">
        <f>[6]攻城值!AN94</f>
        <v>2851.3769691869588</v>
      </c>
      <c r="BF94" s="14">
        <v>90</v>
      </c>
      <c r="BG94" s="14">
        <f>[6]攻城值!AQ94</f>
        <v>0.1569515918481886</v>
      </c>
      <c r="BH94" s="14">
        <f>[6]攻城值!AR94</f>
        <v>0.84304840815181148</v>
      </c>
      <c r="BL94" s="14">
        <v>90</v>
      </c>
      <c r="BM94" s="15">
        <f t="shared" si="6"/>
        <v>1</v>
      </c>
      <c r="BN94" s="15">
        <f t="shared" si="6"/>
        <v>1</v>
      </c>
      <c r="BO94" s="15">
        <f t="shared" si="6"/>
        <v>1</v>
      </c>
      <c r="BP94" s="15">
        <f t="shared" si="6"/>
        <v>1</v>
      </c>
      <c r="BQ94" s="15">
        <f t="shared" si="6"/>
        <v>1</v>
      </c>
      <c r="BR94" s="15">
        <f>'[1]功能-战损相关'!M100</f>
        <v>0.125</v>
      </c>
      <c r="BS94" s="15">
        <f>'[1]功能-战损相关'!N100</f>
        <v>0.125</v>
      </c>
      <c r="BT94" s="15">
        <f>'[1]功能-战损相关'!O100</f>
        <v>0.125</v>
      </c>
      <c r="BU94" s="15">
        <f>'[1]功能-战损相关'!P100</f>
        <v>0.125</v>
      </c>
      <c r="BV94" s="15">
        <f>'[1]功能-战损相关'!Q100</f>
        <v>0.125</v>
      </c>
      <c r="CJ94" s="2">
        <f>[4]兵营招募!S128</f>
        <v>91</v>
      </c>
      <c r="CK94" s="2">
        <f>[4]兵营招募!U128</f>
        <v>32000</v>
      </c>
    </row>
    <row r="95" spans="2:89" x14ac:dyDescent="0.15">
      <c r="B95" s="7">
        <v>91</v>
      </c>
      <c r="C95" s="7">
        <f>[1]服务器生态!W112</f>
        <v>214.23272445000001</v>
      </c>
      <c r="D95" s="7">
        <f>[1]服务器生态!X112</f>
        <v>211.23542802044267</v>
      </c>
      <c r="E95" s="7">
        <f>[1]服务器生态!Y112</f>
        <v>17.243209396224003</v>
      </c>
      <c r="F95" s="7">
        <f>[1]服务器生态!Z112</f>
        <v>3.0676888000000009</v>
      </c>
      <c r="G95" s="7">
        <f>[1]服务器生态!AA112</f>
        <v>0.88761599999999996</v>
      </c>
      <c r="H95" s="7">
        <f>[1]服务器生态!AC112</f>
        <v>0.47962550249999997</v>
      </c>
      <c r="I95" s="7">
        <f>[1]服务器生态!AD112</f>
        <v>0.47291513735919999</v>
      </c>
      <c r="J95" s="7">
        <f>[1]服务器生态!AE112</f>
        <v>3.8604200140800002E-2</v>
      </c>
      <c r="K95" s="7">
        <f>[1]服务器生态!AF112</f>
        <v>6.8679600000000019E-3</v>
      </c>
      <c r="L95" s="7">
        <f>[1]服务器生态!AG112</f>
        <v>1.9871999999999997E-3</v>
      </c>
      <c r="M95" s="7">
        <f>[5]基础信息!M94</f>
        <v>100</v>
      </c>
      <c r="Q95" s="7">
        <v>91</v>
      </c>
      <c r="R95" s="7">
        <f>[6]带兵数!D94</f>
        <v>7659.8252634231749</v>
      </c>
      <c r="S95" s="7">
        <f>[6]带兵数!E94</f>
        <v>7708.542162617312</v>
      </c>
      <c r="T95" s="7">
        <f>[6]带兵数!F94</f>
        <v>7755.4959541611015</v>
      </c>
      <c r="U95" s="7">
        <f>[6]带兵数!G94</f>
        <v>7809.8721372753316</v>
      </c>
      <c r="V95" s="7">
        <f>[6]带兵数!H94</f>
        <v>7863.425055198697</v>
      </c>
      <c r="X95" s="7">
        <v>91</v>
      </c>
      <c r="Y95" s="7">
        <f>求节点(节奏总纲!D$4:D$163,R$5:R$164,$X95)*6</f>
        <v>35601.566336930016</v>
      </c>
      <c r="Z95" s="7">
        <f>求节点(节奏总纲!E$4:E$163,S$5:S$164,$X95)*6</f>
        <v>36742.594365060482</v>
      </c>
      <c r="AA95" s="7">
        <f>求节点(节奏总纲!F$4:F$163,T$5:T$164,$X95)*6</f>
        <v>38251.224742667851</v>
      </c>
      <c r="AB95" s="7">
        <f>求节点(节奏总纲!G$4:G$163,U$5:U$164,$X95)*6</f>
        <v>40430.780211366182</v>
      </c>
      <c r="AC95" s="7">
        <f>求节点(节奏总纲!H$4:H$163,V$5:V$164,$X95)*6</f>
        <v>44280.867341189813</v>
      </c>
      <c r="AG95" s="7">
        <v>91</v>
      </c>
      <c r="AH95" s="7">
        <v>1</v>
      </c>
      <c r="AI95" s="7">
        <f>[6]实力验证!$Z97</f>
        <v>1.5442385526662545</v>
      </c>
      <c r="AJ95" s="7">
        <f>[6]实力验证!$AE97</f>
        <v>2.8228242604950657</v>
      </c>
      <c r="AK95" s="7">
        <f>[6]实力验证!$AJ97</f>
        <v>6.882817441164077</v>
      </c>
      <c r="AL95" s="7">
        <f>[6]实力验证!$AO97</f>
        <v>24.868467557744946</v>
      </c>
      <c r="AM95" s="7">
        <f t="shared" si="4"/>
        <v>92.363161094367953</v>
      </c>
      <c r="AR95" s="14">
        <v>91</v>
      </c>
      <c r="AS95" s="14">
        <f>[6]攻城值!AC95</f>
        <v>447.765225588715</v>
      </c>
      <c r="AT95" s="14">
        <f>[6]攻城值!AD95</f>
        <v>470.6073112089295</v>
      </c>
      <c r="AU95" s="14">
        <f>[6]攻城值!AE95</f>
        <v>491.35677152829203</v>
      </c>
      <c r="AV95" s="14">
        <f>[6]攻城值!AF95</f>
        <v>499.32473456847936</v>
      </c>
      <c r="AW95" s="14">
        <f>[6]攻城值!AG95</f>
        <v>502.70100000000008</v>
      </c>
      <c r="AY95" s="14">
        <v>91</v>
      </c>
      <c r="AZ95" s="14">
        <f>[6]攻城值!AJ95</f>
        <v>2406.182819723525</v>
      </c>
      <c r="BA95" s="14">
        <f>[6]攻城值!AK95</f>
        <v>2557.8571486273036</v>
      </c>
      <c r="BB95" s="14">
        <f>[6]攻城值!AL95</f>
        <v>2712.1193872535009</v>
      </c>
      <c r="BC95" s="14">
        <f>[6]攻城值!AM95</f>
        <v>2814.154833164197</v>
      </c>
      <c r="BD95" s="14">
        <f>[6]攻城值!AN95</f>
        <v>2895.5405287119188</v>
      </c>
      <c r="BF95" s="14">
        <v>91</v>
      </c>
      <c r="BG95" s="14">
        <f>[6]攻城值!AQ95</f>
        <v>0.15689326451621743</v>
      </c>
      <c r="BH95" s="14">
        <f>[6]攻城值!AR95</f>
        <v>0.84310673548378257</v>
      </c>
      <c r="BL95" s="14">
        <v>91</v>
      </c>
      <c r="BM95" s="15">
        <f t="shared" si="6"/>
        <v>1</v>
      </c>
      <c r="BN95" s="15">
        <f t="shared" si="6"/>
        <v>1</v>
      </c>
      <c r="BO95" s="15">
        <f t="shared" si="6"/>
        <v>1</v>
      </c>
      <c r="BP95" s="15">
        <f t="shared" si="6"/>
        <v>1</v>
      </c>
      <c r="BQ95" s="15">
        <f t="shared" si="6"/>
        <v>1</v>
      </c>
      <c r="BR95" s="15">
        <f>'[1]功能-战损相关'!M101</f>
        <v>0.125</v>
      </c>
      <c r="BS95" s="15">
        <f>'[1]功能-战损相关'!N101</f>
        <v>0.125</v>
      </c>
      <c r="BT95" s="15">
        <f>'[1]功能-战损相关'!O101</f>
        <v>0.125</v>
      </c>
      <c r="BU95" s="15">
        <f>'[1]功能-战损相关'!P101</f>
        <v>0.125</v>
      </c>
      <c r="BV95" s="15">
        <f>'[1]功能-战损相关'!Q101</f>
        <v>0.125</v>
      </c>
      <c r="CJ95" s="2">
        <f>[4]兵营招募!S129</f>
        <v>92</v>
      </c>
      <c r="CK95" s="2">
        <f>[4]兵营招募!U129</f>
        <v>32000</v>
      </c>
    </row>
    <row r="96" spans="2:89" x14ac:dyDescent="0.15">
      <c r="B96" s="7">
        <v>92</v>
      </c>
      <c r="C96" s="7">
        <f>[1]服务器生态!W113</f>
        <v>212.63397277499999</v>
      </c>
      <c r="D96" s="7">
        <f>[1]服务器生态!X113</f>
        <v>209.65904422924532</v>
      </c>
      <c r="E96" s="7">
        <f>[1]服务器生态!Y113</f>
        <v>17.114528729088001</v>
      </c>
      <c r="F96" s="7">
        <f>[1]服务器生态!Z113</f>
        <v>3.0447956000000009</v>
      </c>
      <c r="G96" s="7">
        <f>[1]服务器生态!AA113</f>
        <v>0.88099199999999989</v>
      </c>
      <c r="H96" s="7">
        <f>[1]服务器生态!AC113</f>
        <v>0.47962550249999997</v>
      </c>
      <c r="I96" s="7">
        <f>[1]服务器生态!AD113</f>
        <v>0.47291513735919999</v>
      </c>
      <c r="J96" s="7">
        <f>[1]服务器生态!AE113</f>
        <v>3.8604200140800002E-2</v>
      </c>
      <c r="K96" s="7">
        <f>[1]服务器生态!AF113</f>
        <v>6.8679600000000019E-3</v>
      </c>
      <c r="L96" s="7">
        <f>[1]服务器生态!AG113</f>
        <v>1.9871999999999997E-3</v>
      </c>
      <c r="M96" s="7">
        <f>[5]基础信息!M95</f>
        <v>100</v>
      </c>
      <c r="Q96" s="7">
        <v>92</v>
      </c>
      <c r="R96" s="7">
        <f>[6]带兵数!D95</f>
        <v>7728.6470626701648</v>
      </c>
      <c r="S96" s="7">
        <f>[6]带兵数!E95</f>
        <v>7772.4285339835969</v>
      </c>
      <c r="T96" s="7">
        <f>[6]带兵数!F95</f>
        <v>7823.0950009437602</v>
      </c>
      <c r="U96" s="7">
        <f>[6]带兵数!G95</f>
        <v>7873.689666001048</v>
      </c>
      <c r="V96" s="7">
        <f>[6]带兵数!H95</f>
        <v>7928.4969997617018</v>
      </c>
      <c r="X96" s="7">
        <v>92</v>
      </c>
      <c r="Y96" s="7">
        <f>求节点(节奏总纲!D$4:D$163,R$5:R$164,$X96)*6</f>
        <v>35663.60042031444</v>
      </c>
      <c r="Z96" s="7">
        <f>求节点(节奏总纲!E$4:E$163,S$5:S$164,$X96)*6</f>
        <v>36804.842856138574</v>
      </c>
      <c r="AA96" s="7">
        <f>求节点(节奏总纲!F$4:F$163,T$5:T$164,$X96)*6</f>
        <v>38313.025646213595</v>
      </c>
      <c r="AB96" s="7">
        <f>求节点(节奏总纲!G$4:G$163,U$5:U$164,$X96)*6</f>
        <v>40494.63148041589</v>
      </c>
      <c r="AC96" s="7">
        <f>求节点(节奏总纲!H$4:H$163,V$5:V$164,$X96)*6</f>
        <v>44342.526885999672</v>
      </c>
      <c r="AG96" s="7">
        <v>92</v>
      </c>
      <c r="AH96" s="7">
        <v>1</v>
      </c>
      <c r="AI96" s="7">
        <f>[6]实力验证!$Z98</f>
        <v>1.5485528006044691</v>
      </c>
      <c r="AJ96" s="7">
        <f>[6]实力验证!$AE98</f>
        <v>2.8211021169890569</v>
      </c>
      <c r="AK96" s="7">
        <f>[6]实力验证!$AJ98</f>
        <v>6.89862582047716</v>
      </c>
      <c r="AL96" s="7">
        <f>[6]实力验证!$AO98</f>
        <v>24.89710585700454</v>
      </c>
      <c r="AM96" s="7">
        <f t="shared" si="4"/>
        <v>92.506706997697336</v>
      </c>
      <c r="AR96" s="14">
        <v>92</v>
      </c>
      <c r="AS96" s="14">
        <f>[6]攻城值!AC96</f>
        <v>456.17324685754818</v>
      </c>
      <c r="AT96" s="14">
        <f>[6]攻城值!AD96</f>
        <v>479.9909613421861</v>
      </c>
      <c r="AU96" s="14">
        <f>[6]攻城值!AE96</f>
        <v>498.37136234118793</v>
      </c>
      <c r="AV96" s="14">
        <f>[6]攻城值!AF96</f>
        <v>504.29260000000011</v>
      </c>
      <c r="AW96" s="14">
        <f>[6]攻城值!AG96</f>
        <v>507.70300000000009</v>
      </c>
      <c r="AY96" s="14">
        <v>92</v>
      </c>
      <c r="AZ96" s="14">
        <f>[6]攻城值!AJ96</f>
        <v>2452.4247341086984</v>
      </c>
      <c r="BA96" s="14">
        <f>[6]攻城值!AK96</f>
        <v>2615.2437445062387</v>
      </c>
      <c r="BB96" s="14">
        <f>[6]攻城值!AL96</f>
        <v>2768.5026782824325</v>
      </c>
      <c r="BC96" s="14">
        <f>[6]攻城值!AM96</f>
        <v>2858.7856340036819</v>
      </c>
      <c r="BD96" s="14">
        <f>[6]攻城值!AN96</f>
        <v>2939.7040882368783</v>
      </c>
      <c r="BF96" s="14">
        <v>92</v>
      </c>
      <c r="BG96" s="14">
        <f>[6]攻城值!AQ96</f>
        <v>0.15683612855496989</v>
      </c>
      <c r="BH96" s="14">
        <f>[6]攻城值!AR96</f>
        <v>0.84316387144503002</v>
      </c>
      <c r="BL96" s="14">
        <v>92</v>
      </c>
      <c r="BM96" s="15">
        <f t="shared" si="6"/>
        <v>1</v>
      </c>
      <c r="BN96" s="15">
        <f t="shared" si="6"/>
        <v>1</v>
      </c>
      <c r="BO96" s="15">
        <f t="shared" si="6"/>
        <v>1</v>
      </c>
      <c r="BP96" s="15">
        <f t="shared" si="6"/>
        <v>1</v>
      </c>
      <c r="BQ96" s="15">
        <f t="shared" si="6"/>
        <v>1</v>
      </c>
      <c r="BR96" s="15">
        <f>'[1]功能-战损相关'!M102</f>
        <v>0.125</v>
      </c>
      <c r="BS96" s="15">
        <f>'[1]功能-战损相关'!N102</f>
        <v>0.125</v>
      </c>
      <c r="BT96" s="15">
        <f>'[1]功能-战损相关'!O102</f>
        <v>0.125</v>
      </c>
      <c r="BU96" s="15">
        <f>'[1]功能-战损相关'!P102</f>
        <v>0.125</v>
      </c>
      <c r="BV96" s="15">
        <f>'[1]功能-战损相关'!Q102</f>
        <v>0.125</v>
      </c>
      <c r="CJ96" s="2">
        <f>[4]兵营招募!S130</f>
        <v>93</v>
      </c>
      <c r="CK96" s="2">
        <f>[4]兵营招募!U130</f>
        <v>32000</v>
      </c>
    </row>
    <row r="97" spans="2:89" x14ac:dyDescent="0.15">
      <c r="B97" s="7">
        <v>93</v>
      </c>
      <c r="C97" s="7">
        <f>[1]服务器生态!W114</f>
        <v>211.03522109999997</v>
      </c>
      <c r="D97" s="7">
        <f>[1]服务器生态!X114</f>
        <v>208.08266043804798</v>
      </c>
      <c r="E97" s="7">
        <f>[1]服务器生态!Y114</f>
        <v>16.985848061952002</v>
      </c>
      <c r="F97" s="7">
        <f>[1]服务器生态!Z114</f>
        <v>3.021902400000001</v>
      </c>
      <c r="G97" s="7">
        <f>[1]服务器生态!AA114</f>
        <v>0.87436799999999992</v>
      </c>
      <c r="H97" s="7">
        <f>[1]服务器生态!AC114</f>
        <v>0.47962550249999997</v>
      </c>
      <c r="I97" s="7">
        <f>[1]服务器生态!AD114</f>
        <v>0.47291513735919999</v>
      </c>
      <c r="J97" s="7">
        <f>[1]服务器生态!AE114</f>
        <v>3.8604200140800002E-2</v>
      </c>
      <c r="K97" s="7">
        <f>[1]服务器生态!AF114</f>
        <v>6.8679600000000019E-3</v>
      </c>
      <c r="L97" s="7">
        <f>[1]服务器生态!AG114</f>
        <v>1.9871999999999997E-3</v>
      </c>
      <c r="M97" s="7">
        <f>[5]基础信息!M96</f>
        <v>100</v>
      </c>
      <c r="Q97" s="7">
        <v>93</v>
      </c>
      <c r="R97" s="7">
        <f>[6]带兵数!D96</f>
        <v>7794.0125995524631</v>
      </c>
      <c r="S97" s="7">
        <f>[6]带兵数!E96</f>
        <v>7840.659544186844</v>
      </c>
      <c r="T97" s="7">
        <f>[6]带兵数!F96</f>
        <v>7888.0310631705115</v>
      </c>
      <c r="U97" s="7">
        <f>[6]带兵数!G96</f>
        <v>7939.7988787201884</v>
      </c>
      <c r="V97" s="7">
        <f>[6]带兵数!H96</f>
        <v>7991.4208810757218</v>
      </c>
      <c r="X97" s="7">
        <v>93</v>
      </c>
      <c r="Y97" s="7">
        <f>求节点(节奏总纲!D$4:D$163,R$5:R$164,$X97)*6</f>
        <v>35725.634503698857</v>
      </c>
      <c r="Z97" s="7">
        <f>求节点(节奏总纲!E$4:E$163,S$5:S$164,$X97)*6</f>
        <v>36867.091347216665</v>
      </c>
      <c r="AA97" s="7">
        <f>求节点(节奏总纲!F$4:F$163,T$5:T$164,$X97)*6</f>
        <v>38374.826549759346</v>
      </c>
      <c r="AB97" s="7">
        <f>求节点(节奏总纲!G$4:G$163,U$5:U$164,$X97)*6</f>
        <v>40558.482749465606</v>
      </c>
      <c r="AC97" s="7">
        <f>求节点(节奏总纲!H$4:H$163,V$5:V$164,$X97)*6</f>
        <v>44404.186430809532</v>
      </c>
      <c r="AG97" s="7">
        <v>93</v>
      </c>
      <c r="AH97" s="7">
        <v>1</v>
      </c>
      <c r="AI97" s="7">
        <f>[6]实力验证!$Z99</f>
        <v>1.5527277448415628</v>
      </c>
      <c r="AJ97" s="7">
        <f>[6]实力验证!$AE99</f>
        <v>2.819435580153709</v>
      </c>
      <c r="AK97" s="7">
        <f>[6]实力验证!$AJ99</f>
        <v>6.9139237595516239</v>
      </c>
      <c r="AL97" s="7">
        <f>[6]实力验证!$AO99</f>
        <v>24.92481944791686</v>
      </c>
      <c r="AM97" s="7">
        <f t="shared" si="4"/>
        <v>92.645617915763779</v>
      </c>
      <c r="AR97" s="14">
        <v>93</v>
      </c>
      <c r="AS97" s="14">
        <f>[6]攻城值!AC97</f>
        <v>464.67048931501301</v>
      </c>
      <c r="AT97" s="14">
        <f>[6]攻城值!AD97</f>
        <v>489.45431805310386</v>
      </c>
      <c r="AU97" s="14">
        <f>[6]攻城值!AE97</f>
        <v>505.58133225891851</v>
      </c>
      <c r="AV97" s="14">
        <f>[6]攻城值!AF97</f>
        <v>509.26100000000008</v>
      </c>
      <c r="AW97" s="14">
        <f>[6]攻城值!AG97</f>
        <v>512.70500000000015</v>
      </c>
      <c r="AY97" s="14">
        <v>93</v>
      </c>
      <c r="AZ97" s="14">
        <f>[6]攻城值!AJ97</f>
        <v>2503.0067308860489</v>
      </c>
      <c r="BA97" s="14">
        <f>[6]攻城值!AK97</f>
        <v>2684.8427686223881</v>
      </c>
      <c r="BB97" s="14">
        <f>[6]攻城值!AL97</f>
        <v>2826.1258478502932</v>
      </c>
      <c r="BC97" s="14">
        <f>[6]攻城值!AM97</f>
        <v>2903.4194476289663</v>
      </c>
      <c r="BD97" s="14">
        <f>[6]攻城值!AN97</f>
        <v>2983.8676477618383</v>
      </c>
      <c r="BF97" s="14">
        <v>93</v>
      </c>
      <c r="BG97" s="14">
        <f>[6]攻城值!AQ97</f>
        <v>0.15657716619313852</v>
      </c>
      <c r="BH97" s="14">
        <f>[6]攻城值!AR97</f>
        <v>0.84342283380686145</v>
      </c>
      <c r="BL97" s="14">
        <v>93</v>
      </c>
      <c r="BM97" s="15">
        <f t="shared" si="6"/>
        <v>1</v>
      </c>
      <c r="BN97" s="15">
        <f t="shared" si="6"/>
        <v>1</v>
      </c>
      <c r="BO97" s="15">
        <f t="shared" si="6"/>
        <v>1</v>
      </c>
      <c r="BP97" s="15">
        <f t="shared" si="6"/>
        <v>1</v>
      </c>
      <c r="BQ97" s="15">
        <f t="shared" si="6"/>
        <v>1</v>
      </c>
      <c r="BR97" s="15">
        <f>'[1]功能-战损相关'!M103</f>
        <v>0.125</v>
      </c>
      <c r="BS97" s="15">
        <f>'[1]功能-战损相关'!N103</f>
        <v>0.125</v>
      </c>
      <c r="BT97" s="15">
        <f>'[1]功能-战损相关'!O103</f>
        <v>0.125</v>
      </c>
      <c r="BU97" s="15">
        <f>'[1]功能-战损相关'!P103</f>
        <v>0.125</v>
      </c>
      <c r="BV97" s="15">
        <f>'[1]功能-战损相关'!Q103</f>
        <v>0.125</v>
      </c>
      <c r="CJ97" s="2">
        <f>[4]兵营招募!S131</f>
        <v>94</v>
      </c>
      <c r="CK97" s="2">
        <f>[4]兵营招募!U131</f>
        <v>32000</v>
      </c>
    </row>
    <row r="98" spans="2:89" x14ac:dyDescent="0.15">
      <c r="B98" s="7">
        <v>94</v>
      </c>
      <c r="C98" s="7">
        <f>[1]服务器生态!W115</f>
        <v>209.43646942499998</v>
      </c>
      <c r="D98" s="7">
        <f>[1]服务器生态!X115</f>
        <v>206.50627664685067</v>
      </c>
      <c r="E98" s="7">
        <f>[1]服务器生态!Y115</f>
        <v>16.857167394816003</v>
      </c>
      <c r="F98" s="7">
        <f>[1]服务器生态!Z115</f>
        <v>2.999009200000001</v>
      </c>
      <c r="G98" s="7">
        <f>[1]服务器生态!AA115</f>
        <v>0.86774399999999996</v>
      </c>
      <c r="H98" s="7">
        <f>[1]服务器生态!AC115</f>
        <v>0.47962550249999997</v>
      </c>
      <c r="I98" s="7">
        <f>[1]服务器生态!AD115</f>
        <v>0.47291513735919999</v>
      </c>
      <c r="J98" s="7">
        <f>[1]服务器生态!AE115</f>
        <v>3.8604200140800002E-2</v>
      </c>
      <c r="K98" s="7">
        <f>[1]服务器生态!AF115</f>
        <v>6.8679600000000019E-3</v>
      </c>
      <c r="L98" s="7">
        <f>[1]服务器生态!AG115</f>
        <v>1.9871999999999997E-3</v>
      </c>
      <c r="M98" s="7">
        <f>[5]基础信息!M97</f>
        <v>100</v>
      </c>
      <c r="Q98" s="7">
        <v>94</v>
      </c>
      <c r="R98" s="7">
        <f>[6]带兵数!D97</f>
        <v>7862.436174456041</v>
      </c>
      <c r="S98" s="7">
        <f>[6]带兵数!E97</f>
        <v>7905.7869409358391</v>
      </c>
      <c r="T98" s="7">
        <f>[6]带兵数!F97</f>
        <v>7954.8076625951617</v>
      </c>
      <c r="U98" s="7">
        <f>[6]带兵数!G97</f>
        <v>8003.4530106928969</v>
      </c>
      <c r="V98" s="7">
        <f>[6]带兵数!H97</f>
        <v>8056.4865346365668</v>
      </c>
      <c r="X98" s="7">
        <v>94</v>
      </c>
      <c r="Y98" s="7">
        <f>求节点(节奏总纲!D$4:D$163,R$5:R$164,$X98)*6</f>
        <v>35787.668587083273</v>
      </c>
      <c r="Z98" s="7">
        <f>求节点(节奏总纲!E$4:E$163,S$5:S$164,$X98)*6</f>
        <v>36929.339838294756</v>
      </c>
      <c r="AA98" s="7">
        <f>求节点(节奏总纲!F$4:F$163,T$5:T$164,$X98)*6</f>
        <v>38436.627453305089</v>
      </c>
      <c r="AB98" s="7">
        <f>求节点(节奏总纲!G$4:G$163,U$5:U$164,$X98)*6</f>
        <v>40619.099684813264</v>
      </c>
      <c r="AC98" s="7">
        <f>求节点(节奏总纲!H$4:H$163,V$5:V$164,$X98)*6</f>
        <v>44465.845975619392</v>
      </c>
      <c r="AG98" s="7">
        <v>94</v>
      </c>
      <c r="AH98" s="7">
        <v>1</v>
      </c>
      <c r="AI98" s="7">
        <f>[6]实力验证!$Z100</f>
        <v>1.5567700251921115</v>
      </c>
      <c r="AJ98" s="7">
        <f>[6]实力验证!$AE100</f>
        <v>2.8178219995355209</v>
      </c>
      <c r="AK98" s="7">
        <f>[6]实力验证!$AJ100</f>
        <v>6.9340510601564809</v>
      </c>
      <c r="AL98" s="7">
        <f>[6]实力验证!$AO100</f>
        <v>24.951652406065786</v>
      </c>
      <c r="AM98" s="7">
        <f t="shared" si="4"/>
        <v>92.787416061733353</v>
      </c>
      <c r="AR98" s="14">
        <v>94</v>
      </c>
      <c r="AS98" s="14">
        <f>[6]攻城值!AC98</f>
        <v>473.66453440976716</v>
      </c>
      <c r="AT98" s="14">
        <f>[6]攻城值!AD98</f>
        <v>498.44615906007283</v>
      </c>
      <c r="AU98" s="14">
        <f>[6]攻城值!AE98</f>
        <v>511.62119999999999</v>
      </c>
      <c r="AV98" s="14">
        <f>[6]攻城值!AF98</f>
        <v>514.22940000000006</v>
      </c>
      <c r="AW98" s="14">
        <f>[6]攻城值!AG98</f>
        <v>517.70700000000011</v>
      </c>
      <c r="AY98" s="14">
        <v>94</v>
      </c>
      <c r="AZ98" s="14">
        <f>[6]攻城值!AJ98</f>
        <v>2569.4488782665503</v>
      </c>
      <c r="BA98" s="14">
        <f>[6]攻城值!AK98</f>
        <v>2752.1805149487404</v>
      </c>
      <c r="BB98" s="14">
        <f>[6]攻城值!AL98</f>
        <v>2877.3252105821575</v>
      </c>
      <c r="BC98" s="14">
        <f>[6]攻城值!AM98</f>
        <v>2948.0532612542511</v>
      </c>
      <c r="BD98" s="14">
        <f>[6]攻城值!AN98</f>
        <v>3028.0312072867982</v>
      </c>
      <c r="BF98" s="14">
        <v>94</v>
      </c>
      <c r="BG98" s="14">
        <f>[6]攻城值!AQ98</f>
        <v>0.15565129200794225</v>
      </c>
      <c r="BH98" s="14">
        <f>[6]攻城值!AR98</f>
        <v>0.84434870799205786</v>
      </c>
      <c r="BL98" s="14">
        <v>94</v>
      </c>
      <c r="BM98" s="15">
        <f t="shared" si="6"/>
        <v>1</v>
      </c>
      <c r="BN98" s="15">
        <f t="shared" si="6"/>
        <v>1</v>
      </c>
      <c r="BO98" s="15">
        <f t="shared" si="6"/>
        <v>1</v>
      </c>
      <c r="BP98" s="15">
        <f t="shared" si="6"/>
        <v>1</v>
      </c>
      <c r="BQ98" s="15">
        <f t="shared" si="6"/>
        <v>1</v>
      </c>
      <c r="BR98" s="15">
        <f>'[1]功能-战损相关'!M104</f>
        <v>0.125</v>
      </c>
      <c r="BS98" s="15">
        <f>'[1]功能-战损相关'!N104</f>
        <v>0.125</v>
      </c>
      <c r="BT98" s="15">
        <f>'[1]功能-战损相关'!O104</f>
        <v>0.125</v>
      </c>
      <c r="BU98" s="15">
        <f>'[1]功能-战损相关'!P104</f>
        <v>0.125</v>
      </c>
      <c r="BV98" s="15">
        <f>'[1]功能-战损相关'!Q104</f>
        <v>0.125</v>
      </c>
      <c r="CJ98" s="2">
        <f>[4]兵营招募!S132</f>
        <v>95</v>
      </c>
      <c r="CK98" s="2">
        <f>[4]兵营招募!U132</f>
        <v>32000</v>
      </c>
    </row>
    <row r="99" spans="2:89" x14ac:dyDescent="0.15">
      <c r="B99" s="7">
        <v>95</v>
      </c>
      <c r="C99" s="7">
        <f>[1]服务器生态!W116</f>
        <v>207.83771775</v>
      </c>
      <c r="D99" s="7">
        <f>[1]服务器生态!X116</f>
        <v>204.92989285565335</v>
      </c>
      <c r="E99" s="7">
        <f>[1]服务器生态!Y116</f>
        <v>16.728486727680004</v>
      </c>
      <c r="F99" s="7">
        <f>[1]服务器生态!Z116</f>
        <v>2.9761160000000011</v>
      </c>
      <c r="G99" s="7">
        <f>[1]服务器生态!AA116</f>
        <v>0.86112</v>
      </c>
      <c r="H99" s="7">
        <f>[1]服务器生态!AC116</f>
        <v>0.47962550249999997</v>
      </c>
      <c r="I99" s="7">
        <f>[1]服务器生态!AD116</f>
        <v>0.47291513735919999</v>
      </c>
      <c r="J99" s="7">
        <f>[1]服务器生态!AE116</f>
        <v>3.8604200140800002E-2</v>
      </c>
      <c r="K99" s="7">
        <f>[1]服务器生态!AF116</f>
        <v>6.8679600000000019E-3</v>
      </c>
      <c r="L99" s="7">
        <f>[1]服务器生态!AG116</f>
        <v>1.9871999999999997E-3</v>
      </c>
      <c r="M99" s="7">
        <f>[5]基础信息!M98</f>
        <v>100</v>
      </c>
      <c r="Q99" s="7">
        <v>95</v>
      </c>
      <c r="R99" s="7">
        <f>[6]带兵数!D98</f>
        <v>7928.2838700936845</v>
      </c>
      <c r="S99" s="7">
        <f>[6]带兵数!E98</f>
        <v>7974.1452913721341</v>
      </c>
      <c r="T99" s="7">
        <f>[6]带兵数!F98</f>
        <v>8019.3273390033364</v>
      </c>
      <c r="U99" s="7">
        <f>[6]带兵数!G98</f>
        <v>8068.7185373346801</v>
      </c>
      <c r="V99" s="7">
        <f>[6]带兵数!H98</f>
        <v>8123.8289705589768</v>
      </c>
      <c r="X99" s="7">
        <v>95</v>
      </c>
      <c r="Y99" s="7">
        <f>求节点(节奏总纲!D$4:D$163,R$5:R$164,$X99)*6</f>
        <v>35849.702670467697</v>
      </c>
      <c r="Z99" s="7">
        <f>求节点(节奏总纲!E$4:E$163,S$5:S$164,$X99)*6</f>
        <v>36991.588329372855</v>
      </c>
      <c r="AA99" s="7">
        <f>求节点(节奏总纲!F$4:F$163,T$5:T$164,$X99)*6</f>
        <v>38498.428356850833</v>
      </c>
      <c r="AB99" s="7">
        <f>求节点(节奏总纲!G$4:G$163,U$5:U$164,$X99)*6</f>
        <v>40678.83596176203</v>
      </c>
      <c r="AC99" s="7">
        <f>求节点(节奏总纲!H$4:H$163,V$5:V$164,$X99)*6</f>
        <v>44527.505520429251</v>
      </c>
      <c r="AG99" s="7">
        <v>95</v>
      </c>
      <c r="AH99" s="7">
        <v>1</v>
      </c>
      <c r="AI99" s="7">
        <f>[6]实力验证!$Z101</f>
        <v>1.5606858660940126</v>
      </c>
      <c r="AJ99" s="7">
        <f>[6]实力验证!$AE101</f>
        <v>2.8162588904893213</v>
      </c>
      <c r="AK99" s="7">
        <f>[6]实力验证!$AJ101</f>
        <v>6.9549734783601309</v>
      </c>
      <c r="AL99" s="7">
        <f>[6]实力验证!$AO101</f>
        <v>24.977646049733846</v>
      </c>
      <c r="AM99" s="7">
        <f t="shared" si="4"/>
        <v>92.926735804614864</v>
      </c>
      <c r="AR99" s="14">
        <v>95</v>
      </c>
      <c r="AS99" s="14">
        <f>[6]攻城值!AC99</f>
        <v>483.01477711224737</v>
      </c>
      <c r="AT99" s="14">
        <f>[6]攻城值!AD99</f>
        <v>507.42983729982217</v>
      </c>
      <c r="AU99" s="14">
        <f>[6]攻城值!AE99</f>
        <v>516.56439999999998</v>
      </c>
      <c r="AV99" s="14">
        <f>[6]攻城值!AF99</f>
        <v>519.19780000000003</v>
      </c>
      <c r="AW99" s="14">
        <f>[6]攻城值!AG99</f>
        <v>522.70900000000017</v>
      </c>
      <c r="AY99" s="14">
        <v>95</v>
      </c>
      <c r="AZ99" s="14">
        <f>[6]攻城值!AJ99</f>
        <v>2638.1689710648125</v>
      </c>
      <c r="BA99" s="14">
        <f>[6]攻城值!AK99</f>
        <v>2819.7718532891313</v>
      </c>
      <c r="BB99" s="14">
        <f>[6]攻城值!AL99</f>
        <v>2922.3943607214669</v>
      </c>
      <c r="BC99" s="14">
        <f>[6]攻城值!AM99</f>
        <v>2992.6870748795354</v>
      </c>
      <c r="BD99" s="14">
        <f>[6]攻城值!AN99</f>
        <v>3072.1947668117582</v>
      </c>
      <c r="BF99" s="14">
        <v>95</v>
      </c>
      <c r="BG99" s="14">
        <f>[6]攻城值!AQ99</f>
        <v>0.15475371400173224</v>
      </c>
      <c r="BH99" s="14">
        <f>[6]攻城值!AR99</f>
        <v>0.84524628599826779</v>
      </c>
      <c r="BL99" s="14">
        <v>95</v>
      </c>
      <c r="BM99" s="15">
        <f t="shared" si="6"/>
        <v>1</v>
      </c>
      <c r="BN99" s="15">
        <f t="shared" si="6"/>
        <v>1</v>
      </c>
      <c r="BO99" s="15">
        <f t="shared" si="6"/>
        <v>1</v>
      </c>
      <c r="BP99" s="15">
        <f t="shared" si="6"/>
        <v>1</v>
      </c>
      <c r="BQ99" s="15">
        <f t="shared" si="6"/>
        <v>1</v>
      </c>
      <c r="BR99" s="15">
        <f>'[1]功能-战损相关'!M105</f>
        <v>0.125</v>
      </c>
      <c r="BS99" s="15">
        <f>'[1]功能-战损相关'!N105</f>
        <v>0.125</v>
      </c>
      <c r="BT99" s="15">
        <f>'[1]功能-战损相关'!O105</f>
        <v>0.125</v>
      </c>
      <c r="BU99" s="15">
        <f>'[1]功能-战损相关'!P105</f>
        <v>0.125</v>
      </c>
      <c r="BV99" s="15">
        <f>'[1]功能-战损相关'!Q105</f>
        <v>0.125</v>
      </c>
      <c r="CJ99" s="2">
        <f>[4]兵营招募!S133</f>
        <v>96</v>
      </c>
      <c r="CK99" s="2">
        <f>[4]兵营招募!U133</f>
        <v>32000</v>
      </c>
    </row>
    <row r="100" spans="2:89" x14ac:dyDescent="0.15">
      <c r="B100" s="7">
        <v>96</v>
      </c>
      <c r="C100" s="7">
        <f>[1]服务器生态!W117</f>
        <v>206.23896607499995</v>
      </c>
      <c r="D100" s="7">
        <f>[1]服务器生态!X117</f>
        <v>203.35350906445598</v>
      </c>
      <c r="E100" s="7">
        <f>[1]服务器生态!Y117</f>
        <v>16.599806060543997</v>
      </c>
      <c r="F100" s="7">
        <f>[1]服务器生态!Z117</f>
        <v>2.9532228000000003</v>
      </c>
      <c r="G100" s="7">
        <f>[1]服务器生态!AA117</f>
        <v>0.85449599999999981</v>
      </c>
      <c r="H100" s="7">
        <f>[1]服务器生态!AC117</f>
        <v>0.47962550249999997</v>
      </c>
      <c r="I100" s="7">
        <f>[1]服务器生态!AD117</f>
        <v>0.47291513735919999</v>
      </c>
      <c r="J100" s="7">
        <f>[1]服务器生态!AE117</f>
        <v>3.8604200140800002E-2</v>
      </c>
      <c r="K100" s="7">
        <f>[1]服务器生态!AF117</f>
        <v>6.8679600000000019E-3</v>
      </c>
      <c r="L100" s="7">
        <f>[1]服务器生态!AG117</f>
        <v>1.9871999999999997E-3</v>
      </c>
      <c r="M100" s="7">
        <f>[5]基础信息!M99</f>
        <v>100</v>
      </c>
      <c r="Q100" s="7">
        <v>96</v>
      </c>
      <c r="R100" s="7">
        <f>[6]带兵数!D99</f>
        <v>7996.3157135581278</v>
      </c>
      <c r="S100" s="7">
        <f>[6]带兵数!E99</f>
        <v>8039.0870529884769</v>
      </c>
      <c r="T100" s="7">
        <f>[6]带兵数!F99</f>
        <v>8084.5792648501019</v>
      </c>
      <c r="U100" s="7">
        <f>[6]带兵数!G99</f>
        <v>8135.2362918407725</v>
      </c>
      <c r="V100" s="7">
        <f>[6]带兵数!H99</f>
        <v>8192.1316321108388</v>
      </c>
      <c r="X100" s="7">
        <v>96</v>
      </c>
      <c r="Y100" s="7">
        <f>求节点(节奏总纲!D$4:D$163,R$5:R$164,$X100)*6</f>
        <v>35911.736753852121</v>
      </c>
      <c r="Z100" s="7">
        <f>求节点(节奏总纲!E$4:E$163,S$5:S$164,$X100)*6</f>
        <v>37053.203561139424</v>
      </c>
      <c r="AA100" s="7">
        <f>求节点(节奏总纲!F$4:F$163,T$5:T$164,$X100)*6</f>
        <v>38560.229260396576</v>
      </c>
      <c r="AB100" s="7">
        <f>求节点(节奏总纲!G$4:G$163,U$5:U$164,$X100)*6</f>
        <v>40738.572238710811</v>
      </c>
      <c r="AC100" s="7">
        <f>求节点(节奏总纲!H$4:H$163,V$5:V$164,$X100)*6</f>
        <v>44588.451677461082</v>
      </c>
      <c r="AG100" s="7">
        <v>96</v>
      </c>
      <c r="AH100" s="7">
        <v>1</v>
      </c>
      <c r="AI100" s="7">
        <f>[6]实力验证!$Z102</f>
        <v>1.5647491538579836</v>
      </c>
      <c r="AJ100" s="7">
        <f>[6]实力验证!$AE102</f>
        <v>2.8147439214120351</v>
      </c>
      <c r="AK100" s="7">
        <f>[6]实力验证!$AJ102</f>
        <v>6.9752515368088677</v>
      </c>
      <c r="AL100" s="7">
        <f>[6]实力验证!$AO102</f>
        <v>25.004375604555921</v>
      </c>
      <c r="AM100" s="7">
        <f t="shared" si="4"/>
        <v>93.069981244701765</v>
      </c>
      <c r="AR100" s="14">
        <v>96</v>
      </c>
      <c r="AS100" s="14">
        <f>[6]攻城值!AC100</f>
        <v>492.4819193810747</v>
      </c>
      <c r="AT100" s="14">
        <f>[6]攻城值!AD100</f>
        <v>516.49328153615147</v>
      </c>
      <c r="AU100" s="14">
        <f>[6]攻城值!AE100</f>
        <v>521.50759999999991</v>
      </c>
      <c r="AV100" s="14">
        <f>[6]攻城值!AF100</f>
        <v>524.16620000000012</v>
      </c>
      <c r="AW100" s="14">
        <f>[6]攻城值!AG100</f>
        <v>527.71100000000013</v>
      </c>
      <c r="AY100" s="14">
        <v>96</v>
      </c>
      <c r="AZ100" s="14">
        <f>[6]攻城值!AJ100</f>
        <v>2707.8808550416297</v>
      </c>
      <c r="BA100" s="14">
        <f>[6]攻城值!AK100</f>
        <v>2888.0991062974504</v>
      </c>
      <c r="BB100" s="14">
        <f>[6]攻城值!AL100</f>
        <v>2967.4635108607763</v>
      </c>
      <c r="BC100" s="14">
        <f>[6]攻城值!AM100</f>
        <v>3037.3208885048198</v>
      </c>
      <c r="BD100" s="14">
        <f>[6]攻城值!AN100</f>
        <v>3116.3583263367177</v>
      </c>
      <c r="BF100" s="14">
        <v>96</v>
      </c>
      <c r="BG100" s="14">
        <f>[6]攻城值!AQ100</f>
        <v>0.15388315453391399</v>
      </c>
      <c r="BH100" s="14">
        <f>[6]攻城值!AR100</f>
        <v>0.84611684546608612</v>
      </c>
      <c r="BL100" s="14">
        <v>96</v>
      </c>
      <c r="BM100" s="15">
        <f t="shared" si="6"/>
        <v>1</v>
      </c>
      <c r="BN100" s="15">
        <f t="shared" si="6"/>
        <v>1</v>
      </c>
      <c r="BO100" s="15">
        <f t="shared" si="6"/>
        <v>1</v>
      </c>
      <c r="BP100" s="15">
        <f t="shared" si="6"/>
        <v>1</v>
      </c>
      <c r="BQ100" s="15">
        <f t="shared" si="6"/>
        <v>1</v>
      </c>
      <c r="BR100" s="15">
        <f>'[1]功能-战损相关'!M106</f>
        <v>0.125</v>
      </c>
      <c r="BS100" s="15">
        <f>'[1]功能-战损相关'!N106</f>
        <v>0.125</v>
      </c>
      <c r="BT100" s="15">
        <f>'[1]功能-战损相关'!O106</f>
        <v>0.125</v>
      </c>
      <c r="BU100" s="15">
        <f>'[1]功能-战损相关'!P106</f>
        <v>0.125</v>
      </c>
      <c r="BV100" s="15">
        <f>'[1]功能-战损相关'!Q106</f>
        <v>0.125</v>
      </c>
      <c r="CJ100" s="2">
        <f>[4]兵营招募!S134</f>
        <v>97</v>
      </c>
      <c r="CK100" s="2">
        <f>[4]兵营招募!U134</f>
        <v>32000</v>
      </c>
    </row>
    <row r="101" spans="2:89" x14ac:dyDescent="0.15">
      <c r="B101" s="7">
        <v>97</v>
      </c>
      <c r="C101" s="7">
        <f>[1]服务器生态!W118</f>
        <v>204.64021439999996</v>
      </c>
      <c r="D101" s="7">
        <f>[1]服务器生态!X118</f>
        <v>201.77712527325863</v>
      </c>
      <c r="E101" s="7">
        <f>[1]服务器生态!Y118</f>
        <v>16.471125393407998</v>
      </c>
      <c r="F101" s="7">
        <f>[1]服务器生态!Z118</f>
        <v>2.9303296000000008</v>
      </c>
      <c r="G101" s="7">
        <f>[1]服务器生态!AA118</f>
        <v>0.84787199999999985</v>
      </c>
      <c r="H101" s="7">
        <f>[1]服务器生态!AC118</f>
        <v>0.47962550249999997</v>
      </c>
      <c r="I101" s="7">
        <f>[1]服务器生态!AD118</f>
        <v>0.47291513735919999</v>
      </c>
      <c r="J101" s="7">
        <f>[1]服务器生态!AE118</f>
        <v>3.8604200140800002E-2</v>
      </c>
      <c r="K101" s="7">
        <f>[1]服务器生态!AF118</f>
        <v>6.8679600000000019E-3</v>
      </c>
      <c r="L101" s="7">
        <f>[1]服务器生态!AG118</f>
        <v>1.9871999999999997E-3</v>
      </c>
      <c r="M101" s="7">
        <f>[5]基础信息!M100</f>
        <v>100</v>
      </c>
      <c r="Q101" s="7">
        <v>97</v>
      </c>
      <c r="R101" s="7">
        <f>[6]带兵数!D100</f>
        <v>8062.6384257945538</v>
      </c>
      <c r="S101" s="7">
        <f>[6]带兵数!E100</f>
        <v>8105.6535794428028</v>
      </c>
      <c r="T101" s="7">
        <f>[6]带兵数!F100</f>
        <v>8153.232771226174</v>
      </c>
      <c r="U101" s="7">
        <f>[6]带兵数!G100</f>
        <v>8205.3890418266001</v>
      </c>
      <c r="V101" s="7">
        <f>[6]带兵数!H100</f>
        <v>8263.5165952675561</v>
      </c>
      <c r="X101" s="7">
        <v>97</v>
      </c>
      <c r="Y101" s="7">
        <f>求节点(节奏总纲!D$4:D$163,R$5:R$164,$X101)*6</f>
        <v>35969.493361756999</v>
      </c>
      <c r="Z101" s="7">
        <f>求节点(节奏总纲!E$4:E$163,S$5:S$164,$X101)*6</f>
        <v>37111.692415642494</v>
      </c>
      <c r="AA101" s="7">
        <f>求节点(节奏总纲!F$4:F$163,T$5:T$164,$X101)*6</f>
        <v>38620.466673810195</v>
      </c>
      <c r="AB101" s="7">
        <f>求节点(节奏总纲!G$4:G$163,U$5:U$164,$X101)*6</f>
        <v>40798.308515659584</v>
      </c>
      <c r="AC101" s="7">
        <f>求节点(节奏总纲!H$4:H$163,V$5:V$164,$X101)*6</f>
        <v>44648.075860847515</v>
      </c>
      <c r="AG101" s="7">
        <v>97</v>
      </c>
      <c r="AH101" s="7">
        <v>1</v>
      </c>
      <c r="AI101" s="7">
        <f>[6]实力验证!$Z103</f>
        <v>1.5696729145997887</v>
      </c>
      <c r="AJ101" s="7">
        <f>[6]实力验证!$AE103</f>
        <v>2.8136016884653694</v>
      </c>
      <c r="AK101" s="7">
        <f>[6]实力验证!$AJ103</f>
        <v>6.9934908515618277</v>
      </c>
      <c r="AL101" s="7">
        <f>[6]实力验证!$AO103</f>
        <v>25.028003373542138</v>
      </c>
      <c r="AM101" s="7">
        <f t="shared" si="4"/>
        <v>93.236199403219388</v>
      </c>
      <c r="AR101" s="14">
        <v>97</v>
      </c>
      <c r="AS101" s="14">
        <f>[6]攻城值!AC101</f>
        <v>501.96395634757414</v>
      </c>
      <c r="AT101" s="14">
        <f>[6]攻城值!AD101</f>
        <v>524.66160000000002</v>
      </c>
      <c r="AU101" s="14">
        <f>[6]攻城值!AE101</f>
        <v>526.45079999999996</v>
      </c>
      <c r="AV101" s="14">
        <f>[6]攻城值!AF101</f>
        <v>529.13460000000009</v>
      </c>
      <c r="AW101" s="14">
        <f>[6]攻城值!AG101</f>
        <v>532.71300000000008</v>
      </c>
      <c r="AY101" s="14">
        <v>97</v>
      </c>
      <c r="AZ101" s="14">
        <f>[6]攻城值!AJ101</f>
        <v>2778.022751797519</v>
      </c>
      <c r="BA101" s="14">
        <f>[6]攻城值!AK101</f>
        <v>2951.6776601658344</v>
      </c>
      <c r="BB101" s="14">
        <f>[6]攻城值!AL101</f>
        <v>3012.5326610000866</v>
      </c>
      <c r="BC101" s="14">
        <f>[6]攻城值!AM101</f>
        <v>3081.9547021301041</v>
      </c>
      <c r="BD101" s="14">
        <f>[6]攻城值!AN101</f>
        <v>3160.5218858616777</v>
      </c>
      <c r="BF101" s="14">
        <v>97</v>
      </c>
      <c r="BG101" s="14">
        <f>[6]攻城值!AQ101</f>
        <v>0.15303841174144459</v>
      </c>
      <c r="BH101" s="14">
        <f>[6]攻城值!AR101</f>
        <v>0.8469615882585555</v>
      </c>
      <c r="BL101" s="14">
        <v>97</v>
      </c>
      <c r="BM101" s="15">
        <f t="shared" si="6"/>
        <v>1</v>
      </c>
      <c r="BN101" s="15">
        <f t="shared" si="6"/>
        <v>1</v>
      </c>
      <c r="BO101" s="15">
        <f t="shared" si="6"/>
        <v>1</v>
      </c>
      <c r="BP101" s="15">
        <f t="shared" si="6"/>
        <v>1</v>
      </c>
      <c r="BQ101" s="15">
        <f t="shared" si="6"/>
        <v>1</v>
      </c>
      <c r="BR101" s="15">
        <f>'[1]功能-战损相关'!M107</f>
        <v>0.125</v>
      </c>
      <c r="BS101" s="15">
        <f>'[1]功能-战损相关'!N107</f>
        <v>0.125</v>
      </c>
      <c r="BT101" s="15">
        <f>'[1]功能-战损相关'!O107</f>
        <v>0.125</v>
      </c>
      <c r="BU101" s="15">
        <f>'[1]功能-战损相关'!P107</f>
        <v>0.125</v>
      </c>
      <c r="BV101" s="15">
        <f>'[1]功能-战损相关'!Q107</f>
        <v>0.125</v>
      </c>
      <c r="CJ101" s="2">
        <f>[4]兵营招募!S135</f>
        <v>98</v>
      </c>
      <c r="CK101" s="2">
        <f>[4]兵营招募!U135</f>
        <v>32000</v>
      </c>
    </row>
    <row r="102" spans="2:89" x14ac:dyDescent="0.15">
      <c r="B102" s="7">
        <v>98</v>
      </c>
      <c r="C102" s="7">
        <f>[1]服务器生态!W119</f>
        <v>203.04146272499997</v>
      </c>
      <c r="D102" s="7">
        <f>[1]服务器生态!X119</f>
        <v>200.20074148206132</v>
      </c>
      <c r="E102" s="7">
        <f>[1]服务器生态!Y119</f>
        <v>16.342444726271999</v>
      </c>
      <c r="F102" s="7">
        <f>[1]服务器生态!Z119</f>
        <v>2.9074364000000008</v>
      </c>
      <c r="G102" s="7">
        <f>[1]服务器生态!AA119</f>
        <v>0.84124799999999988</v>
      </c>
      <c r="H102" s="7">
        <f>[1]服务器生态!AC119</f>
        <v>0.47962550249999997</v>
      </c>
      <c r="I102" s="7">
        <f>[1]服务器生态!AD119</f>
        <v>0.47291513735919999</v>
      </c>
      <c r="J102" s="7">
        <f>[1]服务器生态!AE119</f>
        <v>3.8604200140800002E-2</v>
      </c>
      <c r="K102" s="7">
        <f>[1]服务器生态!AF119</f>
        <v>6.8679600000000019E-3</v>
      </c>
      <c r="L102" s="7">
        <f>[1]服务器生态!AG119</f>
        <v>1.9871999999999997E-3</v>
      </c>
      <c r="M102" s="7">
        <f>[5]基础信息!M101</f>
        <v>100</v>
      </c>
      <c r="Q102" s="7">
        <v>98</v>
      </c>
      <c r="R102" s="7">
        <f>[6]带兵数!D101</f>
        <v>8130.2848669690393</v>
      </c>
      <c r="S102" s="7">
        <f>[6]带兵数!E101</f>
        <v>8174.3263351667183</v>
      </c>
      <c r="T102" s="7">
        <f>[6]带兵数!F101</f>
        <v>8223.4023573310569</v>
      </c>
      <c r="U102" s="7">
        <f>[6]带兵数!G101</f>
        <v>8276.5483052665913</v>
      </c>
      <c r="V102" s="7">
        <f>[6]带兵数!H101</f>
        <v>8335.5218110725364</v>
      </c>
      <c r="X102" s="7">
        <v>98</v>
      </c>
      <c r="Y102" s="7">
        <f>求节点(节奏总纲!D$4:D$163,R$5:R$164,$X102)*6</f>
        <v>36027.224754792085</v>
      </c>
      <c r="Z102" s="7">
        <f>求节点(节奏总纲!E$4:E$163,S$5:S$164,$X102)*6</f>
        <v>37170.181270145564</v>
      </c>
      <c r="AA102" s="7">
        <f>求节点(节奏总纲!F$4:F$163,T$5:T$164,$X102)*6</f>
        <v>38678.510789011882</v>
      </c>
      <c r="AB102" s="7">
        <f>求节点(节奏总纲!G$4:G$163,U$5:U$164,$X102)*6</f>
        <v>40858.044792608358</v>
      </c>
      <c r="AC102" s="7">
        <f>求节点(节奏总纲!H$4:H$163,V$5:V$164,$X102)*6</f>
        <v>44707.700044233949</v>
      </c>
      <c r="AG102" s="7">
        <v>98</v>
      </c>
      <c r="AH102" s="7">
        <v>1</v>
      </c>
      <c r="AI102" s="7">
        <f>[6]实力验证!$Z104</f>
        <v>1.5744457906480662</v>
      </c>
      <c r="AJ102" s="7">
        <f>[6]实力验证!$AE104</f>
        <v>2.8137332817053569</v>
      </c>
      <c r="AK102" s="7">
        <f>[6]实力验证!$AJ104</f>
        <v>7.011169844162028</v>
      </c>
      <c r="AL102" s="7">
        <f>[6]实力验证!$AO104</f>
        <v>25.050886415195894</v>
      </c>
      <c r="AM102" s="7">
        <f t="shared" si="4"/>
        <v>93.405922091335384</v>
      </c>
      <c r="AR102" s="14">
        <v>98</v>
      </c>
      <c r="AS102" s="14">
        <f>[6]攻城值!AC102</f>
        <v>511.21147238274449</v>
      </c>
      <c r="AT102" s="14">
        <f>[6]攻城值!AD102</f>
        <v>529.58799999999997</v>
      </c>
      <c r="AU102" s="14">
        <f>[6]攻城值!AE102</f>
        <v>531.39399999999989</v>
      </c>
      <c r="AV102" s="14">
        <f>[6]攻城值!AF102</f>
        <v>534.10300000000007</v>
      </c>
      <c r="AW102" s="14">
        <f>[6]攻城值!AG102</f>
        <v>537.71500000000003</v>
      </c>
      <c r="AY102" s="14">
        <v>98</v>
      </c>
      <c r="AZ102" s="14">
        <f>[6]攻城值!AJ102</f>
        <v>2847.1974115615576</v>
      </c>
      <c r="BA102" s="14">
        <f>[6]攻城值!AK102</f>
        <v>2997.1282302775221</v>
      </c>
      <c r="BB102" s="14">
        <f>[6]攻城值!AL102</f>
        <v>3057.601811139396</v>
      </c>
      <c r="BC102" s="14">
        <f>[6]攻城值!AM102</f>
        <v>3126.5885157553885</v>
      </c>
      <c r="BD102" s="14">
        <f>[6]攻城值!AN102</f>
        <v>3204.6854453866376</v>
      </c>
      <c r="BF102" s="14">
        <v>98</v>
      </c>
      <c r="BG102" s="14">
        <f>[6]攻城值!AQ102</f>
        <v>0.15221835400290787</v>
      </c>
      <c r="BH102" s="14">
        <f>[6]攻城值!AR102</f>
        <v>0.84778164599709216</v>
      </c>
      <c r="BL102" s="14">
        <v>98</v>
      </c>
      <c r="BM102" s="15">
        <f t="shared" si="6"/>
        <v>1</v>
      </c>
      <c r="BN102" s="15">
        <f t="shared" si="6"/>
        <v>1</v>
      </c>
      <c r="BO102" s="15">
        <f t="shared" si="6"/>
        <v>1</v>
      </c>
      <c r="BP102" s="15">
        <f t="shared" si="6"/>
        <v>1</v>
      </c>
      <c r="BQ102" s="15">
        <f t="shared" si="6"/>
        <v>1</v>
      </c>
      <c r="BR102" s="15">
        <f>'[1]功能-战损相关'!M108</f>
        <v>0.125</v>
      </c>
      <c r="BS102" s="15">
        <f>'[1]功能-战损相关'!N108</f>
        <v>0.125</v>
      </c>
      <c r="BT102" s="15">
        <f>'[1]功能-战损相关'!O108</f>
        <v>0.125</v>
      </c>
      <c r="BU102" s="15">
        <f>'[1]功能-战损相关'!P108</f>
        <v>0.125</v>
      </c>
      <c r="BV102" s="15">
        <f>'[1]功能-战损相关'!Q108</f>
        <v>0.125</v>
      </c>
      <c r="CJ102" s="2">
        <f>[4]兵营招募!S136</f>
        <v>99</v>
      </c>
      <c r="CK102" s="2">
        <f>[4]兵营招募!U136</f>
        <v>32000</v>
      </c>
    </row>
    <row r="103" spans="2:89" x14ac:dyDescent="0.15">
      <c r="B103" s="7">
        <v>99</v>
      </c>
      <c r="C103" s="7">
        <f>[1]服务器生态!W120</f>
        <v>201.44271104999999</v>
      </c>
      <c r="D103" s="7">
        <f>[1]服务器生态!X120</f>
        <v>198.624357690864</v>
      </c>
      <c r="E103" s="7">
        <f>[1]服务器生态!Y120</f>
        <v>16.213764059136</v>
      </c>
      <c r="F103" s="7">
        <f>[1]服务器生态!Z120</f>
        <v>2.8845432000000009</v>
      </c>
      <c r="G103" s="7">
        <f>[1]服务器生态!AA120</f>
        <v>0.83462399999999992</v>
      </c>
      <c r="H103" s="7">
        <f>[1]服务器生态!AC120</f>
        <v>0.47962550249999997</v>
      </c>
      <c r="I103" s="7">
        <f>[1]服务器生态!AD120</f>
        <v>0.47291513735919999</v>
      </c>
      <c r="J103" s="7">
        <f>[1]服务器生态!AE120</f>
        <v>3.8604200140800002E-2</v>
      </c>
      <c r="K103" s="7">
        <f>[1]服务器生态!AF120</f>
        <v>6.8679600000000019E-3</v>
      </c>
      <c r="L103" s="7">
        <f>[1]服务器生态!AG120</f>
        <v>1.9871999999999997E-3</v>
      </c>
      <c r="M103" s="7">
        <f>[5]基础信息!M102</f>
        <v>100</v>
      </c>
      <c r="Q103" s="7">
        <v>99</v>
      </c>
      <c r="R103" s="7">
        <f>[6]带兵数!D102</f>
        <v>8197.0754516970574</v>
      </c>
      <c r="S103" s="7">
        <f>[6]带兵数!E102</f>
        <v>8242.7153089140375</v>
      </c>
      <c r="T103" s="7">
        <f>[6]带兵数!F102</f>
        <v>8292.339753941611</v>
      </c>
      <c r="U103" s="7">
        <f>[6]带兵数!G102</f>
        <v>8346.3650287732671</v>
      </c>
      <c r="V103" s="7">
        <f>[6]带兵数!H102</f>
        <v>8400.7477093078123</v>
      </c>
      <c r="X103" s="7">
        <v>99</v>
      </c>
      <c r="Y103" s="7">
        <f>求节点(节奏总纲!D$4:D$163,R$5:R$164,$X103)*6</f>
        <v>36084.956147827164</v>
      </c>
      <c r="Z103" s="7">
        <f>求节点(节奏总纲!E$4:E$163,S$5:S$164,$X103)*6</f>
        <v>37228.670124648634</v>
      </c>
      <c r="AA103" s="7">
        <f>求节点(节奏总纲!F$4:F$163,T$5:T$164,$X103)*6</f>
        <v>38736.554904213575</v>
      </c>
      <c r="AB103" s="7">
        <f>求节点(节奏总纲!G$4:G$163,U$5:U$164,$X103)*6</f>
        <v>40917.781069557132</v>
      </c>
      <c r="AC103" s="7">
        <f>求节点(节奏总纲!H$4:H$163,V$5:V$164,$X103)*6</f>
        <v>44767.324227620382</v>
      </c>
      <c r="AG103" s="7">
        <v>99</v>
      </c>
      <c r="AH103" s="7">
        <v>1</v>
      </c>
      <c r="AI103" s="7">
        <f>[6]实力验证!$Z105</f>
        <v>1.5790763518812743</v>
      </c>
      <c r="AJ103" s="7">
        <f>[6]实力验证!$AE105</f>
        <v>2.8138609511753945</v>
      </c>
      <c r="AK103" s="7">
        <f>[6]实力验证!$AJ105</f>
        <v>7.028321694943112</v>
      </c>
      <c r="AL103" s="7">
        <f>[6]实力验证!$AO105</f>
        <v>25.073087143752005</v>
      </c>
      <c r="AM103" s="7">
        <f t="shared" si="4"/>
        <v>93.570584088009156</v>
      </c>
      <c r="AR103" s="14">
        <v>99</v>
      </c>
      <c r="AS103" s="14">
        <f>[6]攻城值!AC103</f>
        <v>520.54334636116596</v>
      </c>
      <c r="AT103" s="14">
        <f>[6]攻城值!AD103</f>
        <v>534.51439999999991</v>
      </c>
      <c r="AU103" s="14">
        <f>[6]攻城值!AE103</f>
        <v>536.33720000000005</v>
      </c>
      <c r="AV103" s="14">
        <f>[6]攻城值!AF103</f>
        <v>539.07140000000004</v>
      </c>
      <c r="AW103" s="14">
        <f>[6]攻城值!AG103</f>
        <v>542.7170000000001</v>
      </c>
      <c r="AY103" s="14">
        <v>99</v>
      </c>
      <c r="AZ103" s="14">
        <f>[6]攻城值!AJ103</f>
        <v>2917.1581697671309</v>
      </c>
      <c r="BA103" s="14">
        <f>[6]攻城值!AK103</f>
        <v>3042.5788003892098</v>
      </c>
      <c r="BB103" s="14">
        <f>[6]攻城值!AL103</f>
        <v>3102.6709612787063</v>
      </c>
      <c r="BC103" s="14">
        <f>[6]攻城值!AM103</f>
        <v>3171.2223293806733</v>
      </c>
      <c r="BD103" s="14">
        <f>[6]攻城值!AN103</f>
        <v>3248.8490049115967</v>
      </c>
      <c r="BF103" s="14">
        <v>99</v>
      </c>
      <c r="BG103" s="14">
        <f>[6]攻城值!AQ103</f>
        <v>0.15142191488091342</v>
      </c>
      <c r="BH103" s="14">
        <f>[6]攻城值!AR103</f>
        <v>0.8485780851190865</v>
      </c>
      <c r="BL103" s="14">
        <v>99</v>
      </c>
      <c r="BM103" s="15">
        <f t="shared" si="6"/>
        <v>1</v>
      </c>
      <c r="BN103" s="15">
        <f t="shared" si="6"/>
        <v>1</v>
      </c>
      <c r="BO103" s="15">
        <f t="shared" si="6"/>
        <v>1</v>
      </c>
      <c r="BP103" s="15">
        <f t="shared" si="6"/>
        <v>1</v>
      </c>
      <c r="BQ103" s="15">
        <f t="shared" si="6"/>
        <v>1</v>
      </c>
      <c r="BR103" s="15">
        <f>'[1]功能-战损相关'!M109</f>
        <v>0.125</v>
      </c>
      <c r="BS103" s="15">
        <f>'[1]功能-战损相关'!N109</f>
        <v>0.125</v>
      </c>
      <c r="BT103" s="15">
        <f>'[1]功能-战损相关'!O109</f>
        <v>0.125</v>
      </c>
      <c r="BU103" s="15">
        <f>'[1]功能-战损相关'!P109</f>
        <v>0.125</v>
      </c>
      <c r="BV103" s="15">
        <f>'[1]功能-战损相关'!Q109</f>
        <v>0.125</v>
      </c>
      <c r="CJ103" s="2">
        <f>[4]兵营招募!S137</f>
        <v>100</v>
      </c>
      <c r="CK103" s="2">
        <f>[4]兵营招募!U137</f>
        <v>32000</v>
      </c>
    </row>
    <row r="104" spans="2:89" x14ac:dyDescent="0.15">
      <c r="B104" s="7">
        <v>100</v>
      </c>
      <c r="C104" s="7">
        <f>[1]服务器生态!W121</f>
        <v>199.84395937499997</v>
      </c>
      <c r="D104" s="7">
        <f>[1]服务器生态!X121</f>
        <v>197.04797389966663</v>
      </c>
      <c r="E104" s="7">
        <f>[1]服务器生态!Y121</f>
        <v>16.085083391999998</v>
      </c>
      <c r="F104" s="7">
        <f>[1]服务器生态!Z121</f>
        <v>2.8616500000000005</v>
      </c>
      <c r="G104" s="7">
        <f>[1]服务器生态!AA121</f>
        <v>0.82799999999999985</v>
      </c>
      <c r="H104" s="7">
        <f>[1]服务器生态!AC121</f>
        <v>0.47962550249999997</v>
      </c>
      <c r="I104" s="7">
        <f>[1]服务器生态!AD121</f>
        <v>0.47291513735919999</v>
      </c>
      <c r="J104" s="7">
        <f>[1]服务器生态!AE121</f>
        <v>3.8604200140800002E-2</v>
      </c>
      <c r="K104" s="7">
        <f>[1]服务器生态!AF121</f>
        <v>6.8679600000000019E-3</v>
      </c>
      <c r="L104" s="7">
        <f>[1]服务器生态!AG121</f>
        <v>1.9871999999999997E-3</v>
      </c>
      <c r="M104" s="7">
        <f>[5]基础信息!M103</f>
        <v>100</v>
      </c>
      <c r="Q104" s="7">
        <v>100</v>
      </c>
      <c r="R104" s="7">
        <f>[6]带兵数!D103</f>
        <v>8264.3426622219631</v>
      </c>
      <c r="S104" s="7">
        <f>[6]带兵数!E103</f>
        <v>8310.2428306858419</v>
      </c>
      <c r="T104" s="7">
        <f>[6]带兵数!F103</f>
        <v>8360.0042099102466</v>
      </c>
      <c r="U104" s="7">
        <f>[6]带兵数!G103</f>
        <v>8411.7844456964613</v>
      </c>
      <c r="V104" s="7">
        <f>[6]带兵数!H103</f>
        <v>8464.9127628067745</v>
      </c>
      <c r="X104" s="7">
        <v>100</v>
      </c>
      <c r="Y104" s="7">
        <f>求节点(节奏总纲!D$4:D$163,R$5:R$164,$X104)*6</f>
        <v>36142.687540862244</v>
      </c>
      <c r="Z104" s="7">
        <f>求节点(节奏总纲!E$4:E$163,S$5:S$164,$X104)*6</f>
        <v>37287.158979151704</v>
      </c>
      <c r="AA104" s="7">
        <f>求节点(节奏总纲!F$4:F$163,T$5:T$164,$X104)*6</f>
        <v>38794.599019415255</v>
      </c>
      <c r="AB104" s="7">
        <f>求节点(节奏总纲!G$4:G$163,U$5:U$164,$X104)*6</f>
        <v>40977.517346505905</v>
      </c>
      <c r="AC104" s="7">
        <f>求节点(节奏总纲!H$4:H$163,V$5:V$164,$X104)*6</f>
        <v>44826.948411006822</v>
      </c>
      <c r="AG104" s="7">
        <v>100</v>
      </c>
      <c r="AH104" s="7">
        <v>1</v>
      </c>
      <c r="AI104" s="7">
        <f>[6]实力验证!$Z106</f>
        <v>1.583570869986048</v>
      </c>
      <c r="AJ104" s="7">
        <f>[6]实力验证!$AE106</f>
        <v>2.8139848697925158</v>
      </c>
      <c r="AK104" s="7">
        <f>[6]实力验证!$AJ106</f>
        <v>7.0449696345736506</v>
      </c>
      <c r="AL104" s="7">
        <f>[6]实力验证!$AO106</f>
        <v>25.09463562813853</v>
      </c>
      <c r="AM104" s="7">
        <f t="shared" si="4"/>
        <v>93.730408413387053</v>
      </c>
      <c r="AR104" s="14">
        <v>100</v>
      </c>
      <c r="AS104" s="14">
        <f>[6]攻城值!AC104</f>
        <v>529.95957828283861</v>
      </c>
      <c r="AT104" s="14">
        <f>[6]攻城值!AD104</f>
        <v>539.44079999999997</v>
      </c>
      <c r="AU104" s="14">
        <f>[6]攻城值!AE104</f>
        <v>541.28039999999999</v>
      </c>
      <c r="AV104" s="14">
        <f>[6]攻城值!AF104</f>
        <v>544.03980000000013</v>
      </c>
      <c r="AW104" s="14">
        <f>[6]攻城值!AG104</f>
        <v>547.71900000000005</v>
      </c>
      <c r="AY104" s="14">
        <v>100</v>
      </c>
      <c r="AZ104" s="14">
        <f>[6]攻城值!AJ104</f>
        <v>2987.9050264142379</v>
      </c>
      <c r="BA104" s="14">
        <f>[6]攻城值!AK104</f>
        <v>3088.0293705008976</v>
      </c>
      <c r="BB104" s="14">
        <f>[6]攻城值!AL104</f>
        <v>3147.7401114180157</v>
      </c>
      <c r="BC104" s="14">
        <f>[6]攻城值!AM104</f>
        <v>3215.8561430059576</v>
      </c>
      <c r="BD104" s="14">
        <f>[6]攻城值!AN104</f>
        <v>3293.0125644365567</v>
      </c>
      <c r="BF104" s="14">
        <v>100</v>
      </c>
      <c r="BG104" s="14">
        <f>[6]攻城值!AQ104</f>
        <v>0.15064808849528574</v>
      </c>
      <c r="BH104" s="14">
        <f>[6]攻城值!AR104</f>
        <v>0.84935191150471423</v>
      </c>
      <c r="BL104" s="14">
        <v>100</v>
      </c>
      <c r="BM104" s="15">
        <f t="shared" si="6"/>
        <v>1</v>
      </c>
      <c r="BN104" s="15">
        <f t="shared" si="6"/>
        <v>1</v>
      </c>
      <c r="BO104" s="15">
        <f t="shared" si="6"/>
        <v>1</v>
      </c>
      <c r="BP104" s="15">
        <f t="shared" si="6"/>
        <v>1</v>
      </c>
      <c r="BQ104" s="15">
        <f t="shared" si="6"/>
        <v>1</v>
      </c>
      <c r="BR104" s="15">
        <f>'[1]功能-战损相关'!M110</f>
        <v>0.125</v>
      </c>
      <c r="BS104" s="15">
        <f>'[1]功能-战损相关'!N110</f>
        <v>0.125</v>
      </c>
      <c r="BT104" s="15">
        <f>'[1]功能-战损相关'!O110</f>
        <v>0.125</v>
      </c>
      <c r="BU104" s="15">
        <f>'[1]功能-战损相关'!P110</f>
        <v>0.125</v>
      </c>
      <c r="BV104" s="15">
        <f>'[1]功能-战损相关'!Q110</f>
        <v>0.125</v>
      </c>
      <c r="CJ104" s="2">
        <f>[4]兵营招募!S138</f>
        <v>101</v>
      </c>
      <c r="CK104" s="2">
        <f>[4]兵营招募!U138</f>
        <v>32000</v>
      </c>
    </row>
    <row r="105" spans="2:89" x14ac:dyDescent="0.15">
      <c r="B105" s="7">
        <v>101</v>
      </c>
      <c r="C105" s="7">
        <f>[1]服务器生态!W122</f>
        <v>198.24520769999998</v>
      </c>
      <c r="D105" s="7">
        <f>[1]服务器生态!X122</f>
        <v>195.47159010846931</v>
      </c>
      <c r="E105" s="7">
        <f>[1]服务器生态!Y122</f>
        <v>15.956402724864001</v>
      </c>
      <c r="F105" s="7">
        <f>[1]服务器生态!Z122</f>
        <v>2.8387568000000005</v>
      </c>
      <c r="G105" s="7">
        <f>[1]服务器生态!AA122</f>
        <v>0.82137599999999988</v>
      </c>
      <c r="H105" s="7">
        <f>[1]服务器生态!AC122</f>
        <v>0.47962550249999997</v>
      </c>
      <c r="I105" s="7">
        <f>[1]服务器生态!AD122</f>
        <v>0.47291513735919999</v>
      </c>
      <c r="J105" s="7">
        <f>[1]服务器生态!AE122</f>
        <v>3.8604200140800002E-2</v>
      </c>
      <c r="K105" s="7">
        <f>[1]服务器生态!AF122</f>
        <v>6.8679600000000019E-3</v>
      </c>
      <c r="L105" s="7">
        <f>[1]服务器生态!AG122</f>
        <v>1.9871999999999997E-3</v>
      </c>
      <c r="M105" s="7">
        <f>[5]基础信息!M104</f>
        <v>100</v>
      </c>
      <c r="Q105" s="7">
        <v>101</v>
      </c>
      <c r="R105" s="7">
        <f>[6]带兵数!D104</f>
        <v>8331.5939989486415</v>
      </c>
      <c r="S105" s="7">
        <f>[6]带兵数!E104</f>
        <v>8377.6955934140733</v>
      </c>
      <c r="T105" s="7">
        <f>[6]带兵数!F104</f>
        <v>8426.5685304832405</v>
      </c>
      <c r="U105" s="7">
        <f>[6]带兵数!G104</f>
        <v>8475.197516897897</v>
      </c>
      <c r="V105" s="7">
        <f>[6]带兵数!H104</f>
        <v>8529.7353484420164</v>
      </c>
      <c r="X105" s="7">
        <v>101</v>
      </c>
      <c r="Y105" s="7">
        <f>求节点(节奏总纲!D$4:D$163,R$5:R$164,$X105)*6</f>
        <v>36200.418933897337</v>
      </c>
      <c r="Z105" s="7">
        <f>求节点(节奏总纲!E$4:E$163,S$5:S$164,$X105)*6</f>
        <v>37345.647833654773</v>
      </c>
      <c r="AA105" s="7">
        <f>求节点(节奏总纲!F$4:F$163,T$5:T$164,$X105)*6</f>
        <v>38852.643134616948</v>
      </c>
      <c r="AB105" s="7">
        <f>求节点(节奏总纲!G$4:G$163,U$5:U$164,$X105)*6</f>
        <v>41032.732914159373</v>
      </c>
      <c r="AC105" s="7">
        <f>求节点(节奏总纲!H$4:H$163,V$5:V$164,$X105)*6</f>
        <v>44886.572594393256</v>
      </c>
      <c r="AG105" s="7">
        <v>101</v>
      </c>
      <c r="AH105" s="7">
        <v>1</v>
      </c>
      <c r="AI105" s="7">
        <f>[6]实力验证!$Z107</f>
        <v>1.5879352534672255</v>
      </c>
      <c r="AJ105" s="7">
        <f>[6]实力验证!$AE107</f>
        <v>2.814105200460447</v>
      </c>
      <c r="AK105" s="7">
        <f>[6]实力验证!$AJ107</f>
        <v>7.062565692412317</v>
      </c>
      <c r="AL105" s="7">
        <f>[6]实力验证!$AO107</f>
        <v>25.115560196047394</v>
      </c>
      <c r="AM105" s="7">
        <f t="shared" si="4"/>
        <v>93.887569607198657</v>
      </c>
      <c r="AR105" s="14">
        <v>101</v>
      </c>
      <c r="AS105" s="14">
        <f>[6]攻城值!AC105</f>
        <v>538.01434102292671</v>
      </c>
      <c r="AT105" s="14">
        <f>[6]攻城值!AD105</f>
        <v>544.36719999999991</v>
      </c>
      <c r="AU105" s="14">
        <f>[6]攻城值!AE105</f>
        <v>546.22360000000003</v>
      </c>
      <c r="AV105" s="14">
        <f>[6]攻城值!AF105</f>
        <v>549.0082000000001</v>
      </c>
      <c r="AW105" s="14">
        <f>[6]攻城值!AG105</f>
        <v>552.72100000000012</v>
      </c>
      <c r="AY105" s="14">
        <v>101</v>
      </c>
      <c r="AZ105" s="14">
        <f>[6]攻城值!AJ105</f>
        <v>3051.2382687500426</v>
      </c>
      <c r="BA105" s="14">
        <f>[6]攻城值!AK105</f>
        <v>3133.4799406125853</v>
      </c>
      <c r="BB105" s="14">
        <f>[6]攻城值!AL105</f>
        <v>3192.8092615573255</v>
      </c>
      <c r="BC105" s="14">
        <f>[6]攻城值!AM105</f>
        <v>3260.489956631242</v>
      </c>
      <c r="BD105" s="14">
        <f>[6]攻城值!AN105</f>
        <v>3337.1761239615166</v>
      </c>
      <c r="BF105" s="14">
        <v>101</v>
      </c>
      <c r="BG105" s="14">
        <f>BG104</f>
        <v>0.15064808849528574</v>
      </c>
      <c r="BH105" s="14">
        <f>BH104</f>
        <v>0.84935191150471423</v>
      </c>
      <c r="BL105" s="14">
        <v>101</v>
      </c>
      <c r="BM105" s="15">
        <f t="shared" si="6"/>
        <v>1</v>
      </c>
      <c r="BN105" s="15">
        <f t="shared" si="6"/>
        <v>1</v>
      </c>
      <c r="BO105" s="15">
        <f t="shared" si="6"/>
        <v>1</v>
      </c>
      <c r="BP105" s="15">
        <f t="shared" si="6"/>
        <v>1</v>
      </c>
      <c r="BQ105" s="15">
        <f t="shared" si="6"/>
        <v>1</v>
      </c>
      <c r="BR105" s="15">
        <f>'[1]功能-战损相关'!M111</f>
        <v>0.125</v>
      </c>
      <c r="BS105" s="15">
        <f>'[1]功能-战损相关'!N111</f>
        <v>0.125</v>
      </c>
      <c r="BT105" s="15">
        <f>'[1]功能-战损相关'!O111</f>
        <v>0.125</v>
      </c>
      <c r="BU105" s="15">
        <f>'[1]功能-战损相关'!P111</f>
        <v>0.125</v>
      </c>
      <c r="BV105" s="15">
        <f>'[1]功能-战损相关'!Q111</f>
        <v>0.125</v>
      </c>
      <c r="CJ105" s="2">
        <f>[4]兵营招募!S139</f>
        <v>102</v>
      </c>
      <c r="CK105" s="2">
        <f>[4]兵营招募!U139</f>
        <v>32000</v>
      </c>
    </row>
    <row r="106" spans="2:89" x14ac:dyDescent="0.15">
      <c r="B106" s="7">
        <v>102</v>
      </c>
      <c r="C106" s="7">
        <f>[1]服务器生态!W123</f>
        <v>196.64645602499999</v>
      </c>
      <c r="D106" s="7">
        <f>[1]服务器生态!X123</f>
        <v>193.895206317272</v>
      </c>
      <c r="E106" s="7">
        <f>[1]服务器生态!Y123</f>
        <v>15.827722057728002</v>
      </c>
      <c r="F106" s="7">
        <f>[1]服务器生态!Z123</f>
        <v>2.8158636000000006</v>
      </c>
      <c r="G106" s="7">
        <f>[1]服务器生态!AA123</f>
        <v>0.81475199999999992</v>
      </c>
      <c r="H106" s="7">
        <f>[1]服务器生态!AC123</f>
        <v>0.47962550249999997</v>
      </c>
      <c r="I106" s="7">
        <f>[1]服务器生态!AD123</f>
        <v>0.47291513735919999</v>
      </c>
      <c r="J106" s="7">
        <f>[1]服务器生态!AE123</f>
        <v>3.8604200140800002E-2</v>
      </c>
      <c r="K106" s="7">
        <f>[1]服务器生态!AF123</f>
        <v>6.8679600000000019E-3</v>
      </c>
      <c r="L106" s="7">
        <f>[1]服务器生态!AG123</f>
        <v>1.9871999999999997E-3</v>
      </c>
      <c r="M106" s="7">
        <f>[5]基础信息!M105</f>
        <v>100</v>
      </c>
      <c r="Q106" s="7">
        <v>102</v>
      </c>
      <c r="R106" s="7">
        <f>[6]带兵数!D105</f>
        <v>8398.4879988131961</v>
      </c>
      <c r="S106" s="7">
        <f>[6]带兵数!E105</f>
        <v>8443.9512739205456</v>
      </c>
      <c r="T106" s="7">
        <f>[6]带兵数!F105</f>
        <v>8489.4010346323121</v>
      </c>
      <c r="U106" s="7">
        <f>[6]带兵数!G105</f>
        <v>8539.9103008807124</v>
      </c>
      <c r="V106" s="7">
        <f>[6]带兵数!H105</f>
        <v>8594.4593793802942</v>
      </c>
      <c r="X106" s="7">
        <v>102</v>
      </c>
      <c r="Y106" s="7">
        <f>求节点(节奏总纲!D$4:D$163,R$5:R$164,$X106)*6</f>
        <v>36258.150326932417</v>
      </c>
      <c r="Z106" s="7">
        <f>求节点(节奏总纲!E$4:E$163,S$5:S$164,$X106)*6</f>
        <v>37404.136688157843</v>
      </c>
      <c r="AA106" s="7">
        <f>求节点(节奏总纲!F$4:F$163,T$5:T$164,$X106)*6</f>
        <v>38910.687249818635</v>
      </c>
      <c r="AB106" s="7">
        <f>求节点(节奏总纲!G$4:G$163,U$5:U$164,$X106)*6</f>
        <v>41087.770032475892</v>
      </c>
      <c r="AC106" s="7">
        <f>求节点(节奏总纲!H$4:H$163,V$5:V$164,$X106)*6</f>
        <v>44946.196777779696</v>
      </c>
      <c r="AG106" s="7">
        <v>102</v>
      </c>
      <c r="AH106" s="7">
        <v>1</v>
      </c>
      <c r="AI106" s="7">
        <f>[6]实力验证!$Z108</f>
        <v>1.5921750735616771</v>
      </c>
      <c r="AJ106" s="7">
        <f>[6]实力验证!$AE108</f>
        <v>2.8142220967840785</v>
      </c>
      <c r="AK106" s="7">
        <f>[6]实力验证!$AJ108</f>
        <v>7.0797151906374305</v>
      </c>
      <c r="AL106" s="7">
        <f>[6]实力验证!$AO108</f>
        <v>25.135887558175469</v>
      </c>
      <c r="AM106" s="7">
        <f t="shared" si="4"/>
        <v>94.040321717742799</v>
      </c>
      <c r="AR106" s="14">
        <v>102</v>
      </c>
      <c r="AS106" s="14">
        <f>[6]攻城值!AC106</f>
        <v>544.64823521718597</v>
      </c>
      <c r="AT106" s="14">
        <f>[6]攻城值!AD106</f>
        <v>549.29359999999997</v>
      </c>
      <c r="AU106" s="14">
        <f>[6]攻城值!AE106</f>
        <v>551.16679999999997</v>
      </c>
      <c r="AV106" s="14">
        <f>[6]攻城值!AF106</f>
        <v>553.97660000000008</v>
      </c>
      <c r="AW106" s="14">
        <f>[6]攻城值!AG106</f>
        <v>557.72300000000007</v>
      </c>
      <c r="AY106" s="14">
        <v>102</v>
      </c>
      <c r="AZ106" s="14">
        <f>[6]攻城值!AJ106</f>
        <v>3106.6771977198514</v>
      </c>
      <c r="BA106" s="14">
        <f>[6]攻城值!AK106</f>
        <v>3178.9305107242722</v>
      </c>
      <c r="BB106" s="14">
        <f>[6]攻城值!AL106</f>
        <v>3237.8784116966349</v>
      </c>
      <c r="BC106" s="14">
        <f>[6]攻城值!AM106</f>
        <v>3305.1237702565268</v>
      </c>
      <c r="BD106" s="14">
        <f>[6]攻城值!AN106</f>
        <v>3381.3396834864761</v>
      </c>
      <c r="BF106" s="14">
        <v>102</v>
      </c>
      <c r="BG106" s="14">
        <f t="shared" ref="BG106:BG164" si="7">BG105</f>
        <v>0.15064808849528574</v>
      </c>
      <c r="BH106" s="14">
        <f t="shared" ref="BH106:BH164" si="8">BH105</f>
        <v>0.84935191150471423</v>
      </c>
      <c r="BL106" s="14">
        <v>102</v>
      </c>
      <c r="BM106" s="15">
        <f t="shared" si="6"/>
        <v>1</v>
      </c>
      <c r="BN106" s="15">
        <f t="shared" si="6"/>
        <v>1</v>
      </c>
      <c r="BO106" s="15">
        <f t="shared" si="6"/>
        <v>1</v>
      </c>
      <c r="BP106" s="15">
        <f t="shared" si="6"/>
        <v>1</v>
      </c>
      <c r="BQ106" s="15">
        <f t="shared" si="6"/>
        <v>1</v>
      </c>
      <c r="BR106" s="15">
        <f>'[1]功能-战损相关'!M112</f>
        <v>0.125</v>
      </c>
      <c r="BS106" s="15">
        <f>'[1]功能-战损相关'!N112</f>
        <v>0.125</v>
      </c>
      <c r="BT106" s="15">
        <f>'[1]功能-战损相关'!O112</f>
        <v>0.125</v>
      </c>
      <c r="BU106" s="15">
        <f>'[1]功能-战损相关'!P112</f>
        <v>0.125</v>
      </c>
      <c r="BV106" s="15">
        <f>'[1]功能-战损相关'!Q112</f>
        <v>0.125</v>
      </c>
      <c r="CJ106" s="2">
        <f>[4]兵营招募!S140</f>
        <v>103</v>
      </c>
      <c r="CK106" s="2">
        <f>[4]兵营招募!U140</f>
        <v>32000</v>
      </c>
    </row>
    <row r="107" spans="2:89" x14ac:dyDescent="0.15">
      <c r="B107" s="7">
        <v>103</v>
      </c>
      <c r="C107" s="7">
        <f>[1]服务器生态!W124</f>
        <v>195.04770435</v>
      </c>
      <c r="D107" s="7">
        <f>[1]服务器生态!X124</f>
        <v>192.31882252607468</v>
      </c>
      <c r="E107" s="7">
        <f>[1]服务器生态!Y124</f>
        <v>15.699041390592001</v>
      </c>
      <c r="F107" s="7">
        <f>[1]服务器生态!Z124</f>
        <v>2.7929704000000011</v>
      </c>
      <c r="G107" s="7">
        <f>[1]服务器生态!AA124</f>
        <v>0.80812799999999996</v>
      </c>
      <c r="H107" s="7">
        <f>[1]服务器生态!AC124</f>
        <v>0.47962550249999997</v>
      </c>
      <c r="I107" s="7">
        <f>[1]服务器生态!AD124</f>
        <v>0.47291513735919999</v>
      </c>
      <c r="J107" s="7">
        <f>[1]服务器生态!AE124</f>
        <v>3.8604200140800002E-2</v>
      </c>
      <c r="K107" s="7">
        <f>[1]服务器生态!AF124</f>
        <v>6.8679600000000019E-3</v>
      </c>
      <c r="L107" s="7">
        <f>[1]服务器生态!AG124</f>
        <v>1.9871999999999997E-3</v>
      </c>
      <c r="M107" s="7">
        <f>[5]基础信息!M106</f>
        <v>100</v>
      </c>
      <c r="Q107" s="7">
        <v>103</v>
      </c>
      <c r="R107" s="7">
        <f>[6]带兵数!D106</f>
        <v>8466.1930117011798</v>
      </c>
      <c r="S107" s="7">
        <f>[6]带兵数!E106</f>
        <v>8508.3763667062649</v>
      </c>
      <c r="T107" s="7">
        <f>[6]带兵数!F106</f>
        <v>8555.8453389976094</v>
      </c>
      <c r="U107" s="7">
        <f>[6]带兵数!G106</f>
        <v>8605.4541998878703</v>
      </c>
      <c r="V107" s="7">
        <f>[6]带兵数!H106</f>
        <v>8662.0261567759662</v>
      </c>
      <c r="X107" s="7">
        <v>103</v>
      </c>
      <c r="Y107" s="7">
        <f>求节点(节奏总纲!D$4:D$163,R$5:R$164,$X107)*6</f>
        <v>36315.75266643901</v>
      </c>
      <c r="Z107" s="7">
        <f>求节点(节奏总纲!E$4:E$163,S$5:S$164,$X107)*6</f>
        <v>37460.665050753625</v>
      </c>
      <c r="AA107" s="7">
        <f>求节点(节奏总纲!F$4:F$163,T$5:T$164,$X107)*6</f>
        <v>38968.731365020321</v>
      </c>
      <c r="AB107" s="7">
        <f>求节点(节奏总纲!G$4:G$163,U$5:U$164,$X107)*6</f>
        <v>41142.807150792396</v>
      </c>
      <c r="AC107" s="7">
        <f>求节点(节奏总纲!H$4:H$163,V$5:V$164,$X107)*6</f>
        <v>45004.090162799519</v>
      </c>
      <c r="AG107" s="7">
        <v>103</v>
      </c>
      <c r="AH107" s="7">
        <v>1</v>
      </c>
      <c r="AI107" s="7">
        <f>[6]实力验证!$Z109</f>
        <v>1.5968076839887491</v>
      </c>
      <c r="AJ107" s="7">
        <f>[6]实力验证!$AE109</f>
        <v>2.8143235309814481</v>
      </c>
      <c r="AK107" s="7">
        <f>[6]实力验证!$AJ109</f>
        <v>7.0963514197744342</v>
      </c>
      <c r="AL107" s="7">
        <f>[6]实力验证!$AO109</f>
        <v>25.159156160023354</v>
      </c>
      <c r="AM107" s="7">
        <f t="shared" si="4"/>
        <v>94.204575719391158</v>
      </c>
      <c r="AR107" s="14">
        <v>103</v>
      </c>
      <c r="AS107" s="14">
        <f>[6]攻城值!AC107</f>
        <v>551.31378835549367</v>
      </c>
      <c r="AT107" s="14">
        <f>[6]攻城值!AD107</f>
        <v>554.22</v>
      </c>
      <c r="AU107" s="14">
        <f>[6]攻城值!AE107</f>
        <v>556.11</v>
      </c>
      <c r="AV107" s="14">
        <f>[6]攻城值!AF107</f>
        <v>558.94500000000005</v>
      </c>
      <c r="AW107" s="14">
        <f>[6]攻城值!AG107</f>
        <v>562.72500000000002</v>
      </c>
      <c r="AY107" s="14">
        <v>103</v>
      </c>
      <c r="AZ107" s="14">
        <f>[6]攻城值!AJ107</f>
        <v>3162.4111439176527</v>
      </c>
      <c r="BA107" s="14">
        <f>[6]攻城值!AK107</f>
        <v>3224.3810808359599</v>
      </c>
      <c r="BB107" s="14">
        <f>[6]攻城值!AL107</f>
        <v>3282.9475618359447</v>
      </c>
      <c r="BC107" s="14">
        <f>[6]攻城值!AM107</f>
        <v>3349.7575838818111</v>
      </c>
      <c r="BD107" s="14">
        <f>[6]攻城值!AN107</f>
        <v>3425.5032430114361</v>
      </c>
      <c r="BF107" s="14">
        <v>103</v>
      </c>
      <c r="BG107" s="14">
        <f t="shared" si="7"/>
        <v>0.15064808849528574</v>
      </c>
      <c r="BH107" s="14">
        <f t="shared" si="8"/>
        <v>0.84935191150471423</v>
      </c>
      <c r="BL107" s="14">
        <v>103</v>
      </c>
      <c r="BM107" s="15">
        <f t="shared" si="6"/>
        <v>1</v>
      </c>
      <c r="BN107" s="15">
        <f t="shared" si="6"/>
        <v>1</v>
      </c>
      <c r="BO107" s="15">
        <f t="shared" si="6"/>
        <v>1</v>
      </c>
      <c r="BP107" s="15">
        <f t="shared" si="6"/>
        <v>1</v>
      </c>
      <c r="BQ107" s="15">
        <f t="shared" si="6"/>
        <v>1</v>
      </c>
      <c r="BR107" s="15">
        <f>'[1]功能-战损相关'!M113</f>
        <v>0.125</v>
      </c>
      <c r="BS107" s="15">
        <f>'[1]功能-战损相关'!N113</f>
        <v>0.125</v>
      </c>
      <c r="BT107" s="15">
        <f>'[1]功能-战损相关'!O113</f>
        <v>0.125</v>
      </c>
      <c r="BU107" s="15">
        <f>'[1]功能-战损相关'!P113</f>
        <v>0.125</v>
      </c>
      <c r="BV107" s="15">
        <f>'[1]功能-战损相关'!Q113</f>
        <v>0.125</v>
      </c>
      <c r="CJ107" s="2">
        <f>[4]兵营招募!S141</f>
        <v>104</v>
      </c>
      <c r="CK107" s="2">
        <f>[4]兵营招募!U141</f>
        <v>32000</v>
      </c>
    </row>
    <row r="108" spans="2:89" x14ac:dyDescent="0.15">
      <c r="B108" s="7">
        <v>104</v>
      </c>
      <c r="C108" s="7">
        <f>[1]服务器生态!W125</f>
        <v>193.44895267499999</v>
      </c>
      <c r="D108" s="7">
        <f>[1]服务器生态!X125</f>
        <v>190.74243873487731</v>
      </c>
      <c r="E108" s="7">
        <f>[1]服务器生态!Y125</f>
        <v>15.570360723456</v>
      </c>
      <c r="F108" s="7">
        <f>[1]服务器生态!Z125</f>
        <v>2.7700772000000007</v>
      </c>
      <c r="G108" s="7">
        <f>[1]服务器生态!AA125</f>
        <v>0.80150399999999988</v>
      </c>
      <c r="H108" s="7">
        <f>[1]服务器生态!AC125</f>
        <v>0.47962550249999997</v>
      </c>
      <c r="I108" s="7">
        <f>[1]服务器生态!AD125</f>
        <v>0.47291513735919999</v>
      </c>
      <c r="J108" s="7">
        <f>[1]服务器生态!AE125</f>
        <v>3.8604200140800002E-2</v>
      </c>
      <c r="K108" s="7">
        <f>[1]服务器生态!AF125</f>
        <v>6.8679600000000019E-3</v>
      </c>
      <c r="L108" s="7">
        <f>[1]服务器生态!AG125</f>
        <v>1.9871999999999997E-3</v>
      </c>
      <c r="M108" s="7">
        <f>[5]基础信息!M107</f>
        <v>100</v>
      </c>
      <c r="Q108" s="7">
        <v>104</v>
      </c>
      <c r="R108" s="7">
        <f>[6]带兵数!D107</f>
        <v>8532.7196747503149</v>
      </c>
      <c r="S108" s="7">
        <f>[6]带兵数!E107</f>
        <v>8577.0023936067737</v>
      </c>
      <c r="T108" s="7">
        <f>[6]带兵数!F107</f>
        <v>8623.1533402271834</v>
      </c>
      <c r="U108" s="7">
        <f>[6]带兵数!G107</f>
        <v>8675.7233285169023</v>
      </c>
      <c r="V108" s="7">
        <f>[6]带兵数!H107</f>
        <v>8729.3396752318149</v>
      </c>
      <c r="X108" s="7">
        <v>104</v>
      </c>
      <c r="Y108" s="7">
        <f>求节点(节奏总纲!D$4:D$163,R$5:R$164,$X108)*6</f>
        <v>36369.412105297808</v>
      </c>
      <c r="Z108" s="7">
        <f>求节点(节奏总纲!E$4:E$163,S$5:S$164,$X108)*6</f>
        <v>37515.140864233741</v>
      </c>
      <c r="AA108" s="7">
        <f>求节点(节奏总纲!F$4:F$163,T$5:T$164,$X108)*6</f>
        <v>39024.61504212892</v>
      </c>
      <c r="AB108" s="7">
        <f>求节点(节奏总纲!G$4:G$163,U$5:U$164,$X108)*6</f>
        <v>41197.844269108915</v>
      </c>
      <c r="AC108" s="7">
        <f>求节点(节奏总纲!H$4:H$163,V$5:V$164,$X108)*6</f>
        <v>45059.992336524971</v>
      </c>
      <c r="AG108" s="7">
        <v>104</v>
      </c>
      <c r="AH108" s="7">
        <v>1</v>
      </c>
      <c r="AI108" s="7">
        <f>[6]实力验证!$Z110</f>
        <v>1.6016388206784229</v>
      </c>
      <c r="AJ108" s="7">
        <f>[6]实力验证!$AE110</f>
        <v>2.8157356971518395</v>
      </c>
      <c r="AK108" s="7">
        <f>[6]实力验证!$AJ110</f>
        <v>7.1115991374994634</v>
      </c>
      <c r="AL108" s="7">
        <f>[6]实力验证!$AO110</f>
        <v>25.182606437971067</v>
      </c>
      <c r="AM108" s="7">
        <f t="shared" si="4"/>
        <v>94.381735799401213</v>
      </c>
      <c r="AR108" s="14">
        <v>104</v>
      </c>
      <c r="AS108" s="14">
        <f>[6]攻城值!AC108</f>
        <v>558.01100043784982</v>
      </c>
      <c r="AT108" s="14">
        <f>[6]攻城值!AD108</f>
        <v>559.14639999999997</v>
      </c>
      <c r="AU108" s="14">
        <f>[6]攻城值!AE108</f>
        <v>561.05320000000006</v>
      </c>
      <c r="AV108" s="14">
        <f>[6]攻城值!AF108</f>
        <v>563.91340000000014</v>
      </c>
      <c r="AW108" s="14">
        <f>[6]攻城值!AG108</f>
        <v>567.72700000000009</v>
      </c>
      <c r="AY108" s="14">
        <v>104</v>
      </c>
      <c r="AZ108" s="14">
        <f>[6]攻城值!AJ108</f>
        <v>3218.4401073434474</v>
      </c>
      <c r="BA108" s="14">
        <f>[6]攻城值!AK108</f>
        <v>3269.8316509476476</v>
      </c>
      <c r="BB108" s="14">
        <f>[6]攻城值!AL108</f>
        <v>3328.0167119752546</v>
      </c>
      <c r="BC108" s="14">
        <f>[6]攻城值!AM108</f>
        <v>3394.3913975070955</v>
      </c>
      <c r="BD108" s="14">
        <f>[6]攻城值!AN108</f>
        <v>3469.6668025363961</v>
      </c>
      <c r="BF108" s="14">
        <v>104</v>
      </c>
      <c r="BG108" s="14">
        <f t="shared" si="7"/>
        <v>0.15064808849528574</v>
      </c>
      <c r="BH108" s="14">
        <f t="shared" si="8"/>
        <v>0.84935191150471423</v>
      </c>
      <c r="BL108" s="14">
        <v>104</v>
      </c>
      <c r="BM108" s="15">
        <f t="shared" si="6"/>
        <v>1</v>
      </c>
      <c r="BN108" s="15">
        <f t="shared" si="6"/>
        <v>1</v>
      </c>
      <c r="BO108" s="15">
        <f t="shared" si="6"/>
        <v>1</v>
      </c>
      <c r="BP108" s="15">
        <f t="shared" si="6"/>
        <v>1</v>
      </c>
      <c r="BQ108" s="15">
        <f t="shared" si="6"/>
        <v>1</v>
      </c>
      <c r="BR108" s="15">
        <f>'[1]功能-战损相关'!M114</f>
        <v>0.125</v>
      </c>
      <c r="BS108" s="15">
        <f>'[1]功能-战损相关'!N114</f>
        <v>0.125</v>
      </c>
      <c r="BT108" s="15">
        <f>'[1]功能-战损相关'!O114</f>
        <v>0.125</v>
      </c>
      <c r="BU108" s="15">
        <f>'[1]功能-战损相关'!P114</f>
        <v>0.125</v>
      </c>
      <c r="BV108" s="15">
        <f>'[1]功能-战损相关'!Q114</f>
        <v>0.125</v>
      </c>
      <c r="CJ108" s="2">
        <f>[4]兵营招募!S142</f>
        <v>105</v>
      </c>
      <c r="CK108" s="2">
        <f>[4]兵营招募!U142</f>
        <v>32000</v>
      </c>
    </row>
    <row r="109" spans="2:89" x14ac:dyDescent="0.15">
      <c r="B109" s="7">
        <v>105</v>
      </c>
      <c r="C109" s="7">
        <f>[1]服务器生态!W126</f>
        <v>191.850201</v>
      </c>
      <c r="D109" s="7">
        <f>[1]服务器生态!X126</f>
        <v>189.16605494368</v>
      </c>
      <c r="E109" s="7">
        <f>[1]服务器生态!Y126</f>
        <v>15.441680056320001</v>
      </c>
      <c r="F109" s="7">
        <f>[1]服务器生态!Z126</f>
        <v>2.7471840000000007</v>
      </c>
      <c r="G109" s="7">
        <f>[1]服务器生态!AA126</f>
        <v>0.79487999999999992</v>
      </c>
      <c r="H109" s="7">
        <f>[1]服务器生态!AC126</f>
        <v>0.47962550249999997</v>
      </c>
      <c r="I109" s="7">
        <f>[1]服务器生态!AD126</f>
        <v>0.47291513735919999</v>
      </c>
      <c r="J109" s="7">
        <f>[1]服务器生态!AE126</f>
        <v>3.8604200140800002E-2</v>
      </c>
      <c r="K109" s="7">
        <f>[1]服务器生态!AF126</f>
        <v>6.8679600000000019E-3</v>
      </c>
      <c r="L109" s="7">
        <f>[1]服务器生态!AG126</f>
        <v>1.9871999999999997E-3</v>
      </c>
      <c r="M109" s="7">
        <f>[5]基础信息!M108</f>
        <v>100</v>
      </c>
      <c r="Q109" s="7">
        <v>105</v>
      </c>
      <c r="R109" s="7">
        <f>[6]带兵数!D108</f>
        <v>8600.8713498260877</v>
      </c>
      <c r="S109" s="7">
        <f>[6]带兵数!E108</f>
        <v>8643.6952996213076</v>
      </c>
      <c r="T109" s="7">
        <f>[6]带兵数!F108</f>
        <v>8692.869497085283</v>
      </c>
      <c r="U109" s="7">
        <f>[6]带兵数!G108</f>
        <v>8742.2396624597877</v>
      </c>
      <c r="V109" s="7">
        <f>[6]带兵数!H108</f>
        <v>8797.7862645108053</v>
      </c>
      <c r="X109" s="7">
        <v>105</v>
      </c>
      <c r="Y109" s="7">
        <f>求节点(节奏总纲!D$4:D$163,R$5:R$164,$X109)*6</f>
        <v>36423.071544156599</v>
      </c>
      <c r="Z109" s="7">
        <f>求节点(节奏总纲!E$4:E$163,S$5:S$164,$X109)*6</f>
        <v>37569.616677713857</v>
      </c>
      <c r="AA109" s="7">
        <f>求节点(节奏总纲!F$4:F$163,T$5:T$164,$X109)*6</f>
        <v>39079.488463010792</v>
      </c>
      <c r="AB109" s="7">
        <f>求节点(节奏总纲!G$4:G$163,U$5:U$164,$X109)*6</f>
        <v>41252.881387425427</v>
      </c>
      <c r="AC109" s="7">
        <f>求节点(节奏总纲!H$4:H$163,V$5:V$164,$X109)*6</f>
        <v>45115.894510250415</v>
      </c>
      <c r="AG109" s="7">
        <v>105</v>
      </c>
      <c r="AH109" s="7">
        <v>1</v>
      </c>
      <c r="AI109" s="7">
        <f>[6]实力验证!$Z111</f>
        <v>1.6063364865693441</v>
      </c>
      <c r="AJ109" s="7">
        <f>[6]实力验证!$AE111</f>
        <v>2.8178837109871746</v>
      </c>
      <c r="AK109" s="7">
        <f>[6]实力验证!$AJ111</f>
        <v>7.126425603416763</v>
      </c>
      <c r="AL109" s="7">
        <f>[6]实力验证!$AO111</f>
        <v>25.205408850306672</v>
      </c>
      <c r="AM109" s="7">
        <f t="shared" si="4"/>
        <v>94.559385767817318</v>
      </c>
      <c r="AR109" s="14">
        <v>105</v>
      </c>
      <c r="AS109" s="14">
        <f>[6]攻城值!AC109</f>
        <v>563.11099999999999</v>
      </c>
      <c r="AT109" s="14">
        <f>[6]攻城值!AD109</f>
        <v>564.07280000000003</v>
      </c>
      <c r="AU109" s="14">
        <f>[6]攻城值!AE109</f>
        <v>565.99639999999999</v>
      </c>
      <c r="AV109" s="14">
        <f>[6]攻城值!AF109</f>
        <v>568.88180000000011</v>
      </c>
      <c r="AW109" s="14">
        <f>[6]攻城值!AG109</f>
        <v>572.72900000000004</v>
      </c>
      <c r="AY109" s="14">
        <v>105</v>
      </c>
      <c r="AZ109" s="14">
        <f>[6]攻城值!AJ109</f>
        <v>3265.3187308609067</v>
      </c>
      <c r="BA109" s="14">
        <f>[6]攻城值!AK109</f>
        <v>3315.2822210593354</v>
      </c>
      <c r="BB109" s="14">
        <f>[6]攻城值!AL109</f>
        <v>3373.085862114564</v>
      </c>
      <c r="BC109" s="14">
        <f>[6]攻城值!AM109</f>
        <v>3439.0252111323794</v>
      </c>
      <c r="BD109" s="14">
        <f>[6]攻城值!AN109</f>
        <v>3515.6951947870166</v>
      </c>
      <c r="BF109" s="14">
        <v>105</v>
      </c>
      <c r="BG109" s="14">
        <f t="shared" si="7"/>
        <v>0.15064808849528574</v>
      </c>
      <c r="BH109" s="14">
        <f t="shared" si="8"/>
        <v>0.84935191150471423</v>
      </c>
      <c r="BL109" s="14">
        <v>105</v>
      </c>
      <c r="BM109" s="15">
        <f t="shared" si="6"/>
        <v>1</v>
      </c>
      <c r="BN109" s="15">
        <f t="shared" si="6"/>
        <v>1</v>
      </c>
      <c r="BO109" s="15">
        <f t="shared" si="6"/>
        <v>1</v>
      </c>
      <c r="BP109" s="15">
        <f t="shared" si="6"/>
        <v>1</v>
      </c>
      <c r="BQ109" s="15">
        <f t="shared" si="6"/>
        <v>1</v>
      </c>
      <c r="BR109" s="15">
        <f>'[1]功能-战损相关'!M115</f>
        <v>0.125</v>
      </c>
      <c r="BS109" s="15">
        <f>'[1]功能-战损相关'!N115</f>
        <v>0.125</v>
      </c>
      <c r="BT109" s="15">
        <f>'[1]功能-战损相关'!O115</f>
        <v>0.125</v>
      </c>
      <c r="BU109" s="15">
        <f>'[1]功能-战损相关'!P115</f>
        <v>0.125</v>
      </c>
      <c r="BV109" s="15">
        <f>'[1]功能-战损相关'!Q115</f>
        <v>0.125</v>
      </c>
      <c r="CJ109" s="2">
        <f>[4]兵营招募!S143</f>
        <v>106</v>
      </c>
      <c r="CK109" s="2">
        <f>[4]兵营招募!U143</f>
        <v>32000</v>
      </c>
    </row>
    <row r="110" spans="2:89" x14ac:dyDescent="0.15">
      <c r="B110" s="7">
        <v>106</v>
      </c>
      <c r="C110" s="7">
        <f>[1]服务器生态!W127</f>
        <v>190.25144932500001</v>
      </c>
      <c r="D110" s="7">
        <f>[1]服务器生态!X127</f>
        <v>187.58967115248268</v>
      </c>
      <c r="E110" s="7">
        <f>[1]服务器生态!Y127</f>
        <v>15.312999389184002</v>
      </c>
      <c r="F110" s="7">
        <f>[1]服务器生态!Z127</f>
        <v>2.7242908000000008</v>
      </c>
      <c r="G110" s="7">
        <f>[1]服务器生态!AA127</f>
        <v>0.78825599999999996</v>
      </c>
      <c r="H110" s="7">
        <f>[1]服务器生态!AC127</f>
        <v>0.47962550249999997</v>
      </c>
      <c r="I110" s="7">
        <f>[1]服务器生态!AD127</f>
        <v>0.47291513735919999</v>
      </c>
      <c r="J110" s="7">
        <f>[1]服务器生态!AE127</f>
        <v>3.8604200140800002E-2</v>
      </c>
      <c r="K110" s="7">
        <f>[1]服务器生态!AF127</f>
        <v>6.8679600000000019E-3</v>
      </c>
      <c r="L110" s="7">
        <f>[1]服务器生态!AG127</f>
        <v>1.9871999999999997E-3</v>
      </c>
      <c r="M110" s="7">
        <f>[5]基础信息!M109</f>
        <v>100</v>
      </c>
      <c r="Q110" s="7">
        <v>106</v>
      </c>
      <c r="R110" s="7">
        <f>[6]带兵数!D109</f>
        <v>8667.0364089495706</v>
      </c>
      <c r="S110" s="7">
        <f>[6]带兵数!E109</f>
        <v>8712.9826574193867</v>
      </c>
      <c r="T110" s="7">
        <f>[6]带兵数!F109</f>
        <v>8758.5837231091937</v>
      </c>
      <c r="U110" s="7">
        <f>[6]带兵数!G109</f>
        <v>8810.8243903139846</v>
      </c>
      <c r="V110" s="7">
        <f>[6]带兵数!H109</f>
        <v>8861.2079069363099</v>
      </c>
      <c r="X110" s="7">
        <v>106</v>
      </c>
      <c r="Y110" s="7">
        <f>求节点(节奏总纲!D$4:D$163,R$5:R$164,$X110)*6</f>
        <v>36476.730983015397</v>
      </c>
      <c r="Z110" s="7">
        <f>求节点(节奏总纲!E$4:E$163,S$5:S$164,$X110)*6</f>
        <v>37624.09249119398</v>
      </c>
      <c r="AA110" s="7">
        <f>求节点(节奏总纲!F$4:F$163,T$5:T$164,$X110)*6</f>
        <v>39134.361883892656</v>
      </c>
      <c r="AB110" s="7">
        <f>求节点(节奏总纲!G$4:G$163,U$5:U$164,$X110)*6</f>
        <v>41307.918505741938</v>
      </c>
      <c r="AC110" s="7">
        <f>求节点(节奏总纲!H$4:H$163,V$5:V$164,$X110)*6</f>
        <v>45171.796683975866</v>
      </c>
      <c r="AG110" s="7">
        <v>106</v>
      </c>
      <c r="AH110" s="7">
        <v>1</v>
      </c>
      <c r="AI110" s="7">
        <f>[6]实力验证!$Z112</f>
        <v>1.6109061374351006</v>
      </c>
      <c r="AJ110" s="7">
        <f>[6]实力验证!$AE112</f>
        <v>2.8199731897858413</v>
      </c>
      <c r="AK110" s="7">
        <f>[6]实力验证!$AJ112</f>
        <v>7.1408480366821925</v>
      </c>
      <c r="AL110" s="7">
        <f>[6]实力验证!$AO112</f>
        <v>25.227589879287923</v>
      </c>
      <c r="AM110" s="7">
        <f t="shared" si="4"/>
        <v>94.732194637333393</v>
      </c>
      <c r="AR110" s="14">
        <v>106</v>
      </c>
      <c r="AS110" s="14">
        <f>[6]攻城值!AC110</f>
        <v>568.029</v>
      </c>
      <c r="AT110" s="14">
        <f>[6]攻城值!AD110</f>
        <v>568.99919999999997</v>
      </c>
      <c r="AU110" s="14">
        <f>[6]攻城值!AE110</f>
        <v>570.93960000000004</v>
      </c>
      <c r="AV110" s="14">
        <f>[6]攻城值!AF110</f>
        <v>573.85020000000009</v>
      </c>
      <c r="AW110" s="14">
        <f>[6]攻城值!AG110</f>
        <v>577.73100000000011</v>
      </c>
      <c r="AY110" s="14">
        <v>106</v>
      </c>
      <c r="AZ110" s="14">
        <f>[6]攻城值!AJ110</f>
        <v>3311.1476354841448</v>
      </c>
      <c r="BA110" s="14">
        <f>[6]攻城值!AK110</f>
        <v>3360.7327911710231</v>
      </c>
      <c r="BB110" s="14">
        <f>[6]攻城值!AL110</f>
        <v>3418.1550122538738</v>
      </c>
      <c r="BC110" s="14">
        <f>[6]攻城值!AM110</f>
        <v>3484.4325835729496</v>
      </c>
      <c r="BD110" s="14">
        <f>[6]攻城值!AN110</f>
        <v>3566.4842774204199</v>
      </c>
      <c r="BF110" s="14">
        <v>106</v>
      </c>
      <c r="BG110" s="14">
        <f t="shared" si="7"/>
        <v>0.15064808849528574</v>
      </c>
      <c r="BH110" s="14">
        <f t="shared" si="8"/>
        <v>0.84935191150471423</v>
      </c>
      <c r="BL110" s="14">
        <v>106</v>
      </c>
      <c r="BM110" s="15">
        <f t="shared" si="6"/>
        <v>1</v>
      </c>
      <c r="BN110" s="15">
        <f t="shared" si="6"/>
        <v>1</v>
      </c>
      <c r="BO110" s="15">
        <f t="shared" si="6"/>
        <v>1</v>
      </c>
      <c r="BP110" s="15">
        <f t="shared" si="6"/>
        <v>1</v>
      </c>
      <c r="BQ110" s="15">
        <f t="shared" si="6"/>
        <v>1</v>
      </c>
      <c r="BR110" s="15">
        <f>'[1]功能-战损相关'!M116</f>
        <v>0.125</v>
      </c>
      <c r="BS110" s="15">
        <f>'[1]功能-战损相关'!N116</f>
        <v>0.125</v>
      </c>
      <c r="BT110" s="15">
        <f>'[1]功能-战损相关'!O116</f>
        <v>0.125</v>
      </c>
      <c r="BU110" s="15">
        <f>'[1]功能-战损相关'!P116</f>
        <v>0.125</v>
      </c>
      <c r="BV110" s="15">
        <f>'[1]功能-战损相关'!Q116</f>
        <v>0.125</v>
      </c>
      <c r="CJ110" s="2">
        <f>[4]兵营招募!S144</f>
        <v>107</v>
      </c>
      <c r="CK110" s="2">
        <f>[4]兵营招募!U144</f>
        <v>32000</v>
      </c>
    </row>
    <row r="111" spans="2:89" x14ac:dyDescent="0.15">
      <c r="B111" s="7">
        <v>107</v>
      </c>
      <c r="C111" s="7">
        <f>[1]服务器生态!W128</f>
        <v>188.65269764999996</v>
      </c>
      <c r="D111" s="7">
        <f>[1]服务器生态!X128</f>
        <v>186.01328736128531</v>
      </c>
      <c r="E111" s="7">
        <f>[1]服务器生态!Y128</f>
        <v>15.184318722047999</v>
      </c>
      <c r="F111" s="7">
        <f>[1]服务器生态!Z128</f>
        <v>2.7013976000000008</v>
      </c>
      <c r="G111" s="7">
        <f>[1]服务器生态!AA128</f>
        <v>0.78163199999999988</v>
      </c>
      <c r="H111" s="7">
        <f>[1]服务器生态!AC128</f>
        <v>0.47962550249999997</v>
      </c>
      <c r="I111" s="7">
        <f>[1]服务器生态!AD128</f>
        <v>0.47291513735919999</v>
      </c>
      <c r="J111" s="7">
        <f>[1]服务器生态!AE128</f>
        <v>3.8604200140800002E-2</v>
      </c>
      <c r="K111" s="7">
        <f>[1]服务器生态!AF128</f>
        <v>6.8679600000000019E-3</v>
      </c>
      <c r="L111" s="7">
        <f>[1]服务器生态!AG128</f>
        <v>1.9871999999999997E-3</v>
      </c>
      <c r="M111" s="7">
        <f>[5]基础信息!M110</f>
        <v>100</v>
      </c>
      <c r="Q111" s="7">
        <v>107</v>
      </c>
      <c r="R111" s="7">
        <f>[6]带兵数!D110</f>
        <v>8735.6278080669254</v>
      </c>
      <c r="S111" s="7">
        <f>[6]带兵数!E110</f>
        <v>8778.2847825450335</v>
      </c>
      <c r="T111" s="7">
        <f>[6]带兵数!F110</f>
        <v>8827.7987660046656</v>
      </c>
      <c r="U111" s="7">
        <f>[6]带兵数!G110</f>
        <v>8873.6970459928525</v>
      </c>
      <c r="V111" s="7">
        <f>[6]带兵数!H110</f>
        <v>8927.0102918190023</v>
      </c>
      <c r="X111" s="7">
        <v>107</v>
      </c>
      <c r="Y111" s="7">
        <f>求节点(节奏总纲!D$4:D$163,R$5:R$164,$X111)*6</f>
        <v>36530.390421874195</v>
      </c>
      <c r="Z111" s="7">
        <f>求节点(节奏总纲!E$4:E$163,S$5:S$164,$X111)*6</f>
        <v>37678.568304674096</v>
      </c>
      <c r="AA111" s="7">
        <f>求节点(节奏总纲!F$4:F$163,T$5:T$164,$X111)*6</f>
        <v>39189.235304774527</v>
      </c>
      <c r="AB111" s="7">
        <f>求节点(节奏总纲!G$4:G$163,U$5:U$164,$X111)*6</f>
        <v>41362.95562405845</v>
      </c>
      <c r="AC111" s="7">
        <f>求节点(节奏总纲!H$4:H$163,V$5:V$164,$X111)*6</f>
        <v>45227.698857701311</v>
      </c>
      <c r="AG111" s="7">
        <v>107</v>
      </c>
      <c r="AH111" s="7">
        <v>1</v>
      </c>
      <c r="AI111" s="7">
        <f>[6]实力验证!$Z113</f>
        <v>1.6153529356982099</v>
      </c>
      <c r="AJ111" s="7">
        <f>[6]实力验证!$AE113</f>
        <v>2.8220064940722454</v>
      </c>
      <c r="AK111" s="7">
        <f>[6]实力验证!$AJ113</f>
        <v>7.1548827305961451</v>
      </c>
      <c r="AL111" s="7">
        <f>[6]实力验证!$AO113</f>
        <v>25.249174583250081</v>
      </c>
      <c r="AM111" s="7">
        <f t="shared" si="4"/>
        <v>94.900357633454703</v>
      </c>
      <c r="AR111" s="14">
        <v>107</v>
      </c>
      <c r="AS111" s="14">
        <f>[6]攻城值!AC111</f>
        <v>572.947</v>
      </c>
      <c r="AT111" s="14">
        <f>[6]攻城值!AD111</f>
        <v>573.92559999999992</v>
      </c>
      <c r="AU111" s="14">
        <f>[6]攻城值!AE111</f>
        <v>575.88279999999997</v>
      </c>
      <c r="AV111" s="14">
        <f>[6]攻城值!AF111</f>
        <v>578.81860000000006</v>
      </c>
      <c r="AW111" s="14">
        <f>[6]攻城值!AG111</f>
        <v>582.73300000000006</v>
      </c>
      <c r="AY111" s="14">
        <v>107</v>
      </c>
      <c r="AZ111" s="14">
        <f>[6]攻城值!AJ111</f>
        <v>3356.9765401073828</v>
      </c>
      <c r="BA111" s="14">
        <f>[6]攻城值!AK111</f>
        <v>3406.1833612827108</v>
      </c>
      <c r="BB111" s="14">
        <f>[6]攻城值!AL111</f>
        <v>3463.5872817357449</v>
      </c>
      <c r="BC111" s="14">
        <f>[6]攻城值!AM111</f>
        <v>3535.0409139095254</v>
      </c>
      <c r="BD111" s="14">
        <f>[6]攻城值!AN111</f>
        <v>3617.2733600538227</v>
      </c>
      <c r="BF111" s="14">
        <v>107</v>
      </c>
      <c r="BG111" s="14">
        <f t="shared" si="7"/>
        <v>0.15064808849528574</v>
      </c>
      <c r="BH111" s="14">
        <f t="shared" si="8"/>
        <v>0.84935191150471423</v>
      </c>
      <c r="BL111" s="14">
        <v>107</v>
      </c>
      <c r="BM111" s="15">
        <f t="shared" si="6"/>
        <v>1</v>
      </c>
      <c r="BN111" s="15">
        <f t="shared" si="6"/>
        <v>1</v>
      </c>
      <c r="BO111" s="15">
        <f t="shared" si="6"/>
        <v>1</v>
      </c>
      <c r="BP111" s="15">
        <f t="shared" si="6"/>
        <v>1</v>
      </c>
      <c r="BQ111" s="15">
        <f t="shared" si="6"/>
        <v>1</v>
      </c>
      <c r="BR111" s="15">
        <f>'[1]功能-战损相关'!M117</f>
        <v>0.125</v>
      </c>
      <c r="BS111" s="15">
        <f>'[1]功能-战损相关'!N117</f>
        <v>0.125</v>
      </c>
      <c r="BT111" s="15">
        <f>'[1]功能-战损相关'!O117</f>
        <v>0.125</v>
      </c>
      <c r="BU111" s="15">
        <f>'[1]功能-战损相关'!P117</f>
        <v>0.125</v>
      </c>
      <c r="BV111" s="15">
        <f>'[1]功能-战损相关'!Q117</f>
        <v>0.125</v>
      </c>
      <c r="CJ111" s="2">
        <f>[4]兵营招募!S145</f>
        <v>108</v>
      </c>
      <c r="CK111" s="2">
        <f>[4]兵营招募!U145</f>
        <v>32000</v>
      </c>
    </row>
    <row r="112" spans="2:89" x14ac:dyDescent="0.15">
      <c r="B112" s="7">
        <v>108</v>
      </c>
      <c r="C112" s="7">
        <f>[1]服务器生态!W129</f>
        <v>187.05394597499998</v>
      </c>
      <c r="D112" s="7">
        <f>[1]服务器生态!X129</f>
        <v>184.43690357008799</v>
      </c>
      <c r="E112" s="7">
        <f>[1]服务器生态!Y129</f>
        <v>15.055638054912</v>
      </c>
      <c r="F112" s="7">
        <f>[1]服务器生态!Z129</f>
        <v>2.6785044000000009</v>
      </c>
      <c r="G112" s="7">
        <f>[1]服务器生态!AA129</f>
        <v>0.77500799999999992</v>
      </c>
      <c r="H112" s="7">
        <f>[1]服务器生态!AC129</f>
        <v>0.47962550249999997</v>
      </c>
      <c r="I112" s="7">
        <f>[1]服务器生态!AD129</f>
        <v>0.47291513735919999</v>
      </c>
      <c r="J112" s="7">
        <f>[1]服务器生态!AE129</f>
        <v>3.8604200140800002E-2</v>
      </c>
      <c r="K112" s="7">
        <f>[1]服务器生态!AF129</f>
        <v>6.8679600000000019E-3</v>
      </c>
      <c r="L112" s="7">
        <f>[1]服务器生态!AG129</f>
        <v>1.9871999999999997E-3</v>
      </c>
      <c r="M112" s="7">
        <f>[5]基础信息!M111</f>
        <v>100</v>
      </c>
      <c r="Q112" s="7">
        <v>108</v>
      </c>
      <c r="R112" s="7">
        <f>[6]带兵数!D111</f>
        <v>8801.4368600997659</v>
      </c>
      <c r="S112" s="7">
        <f>[6]带兵数!E111</f>
        <v>8847.1573149325686</v>
      </c>
      <c r="T112" s="7">
        <f>[6]带兵数!F111</f>
        <v>8890.3392312856377</v>
      </c>
      <c r="U112" s="7">
        <f>[6]带兵数!G111</f>
        <v>8939.7540390571448</v>
      </c>
      <c r="V112" s="7">
        <f>[6]带兵数!H111</f>
        <v>8991.663449571719</v>
      </c>
      <c r="X112" s="7">
        <v>108</v>
      </c>
      <c r="Y112" s="7">
        <f>求节点(节奏总纲!D$4:D$163,R$5:R$164,$X112)*6</f>
        <v>36584.049860732986</v>
      </c>
      <c r="Z112" s="7">
        <f>求节点(节奏总纲!E$4:E$163,S$5:S$164,$X112)*6</f>
        <v>37733.044118154219</v>
      </c>
      <c r="AA112" s="7">
        <f>求节点(节奏总纲!F$4:F$163,T$5:T$164,$X112)*6</f>
        <v>39244.108725656391</v>
      </c>
      <c r="AB112" s="7">
        <f>求节点(节奏总纲!G$4:G$163,U$5:U$164,$X112)*6</f>
        <v>41416.459434748598</v>
      </c>
      <c r="AC112" s="7">
        <f>求节点(节奏总纲!H$4:H$163,V$5:V$164,$X112)*6</f>
        <v>45283.601031426755</v>
      </c>
      <c r="AG112" s="7">
        <v>108</v>
      </c>
      <c r="AH112" s="7">
        <v>1</v>
      </c>
      <c r="AI112" s="7">
        <f>[6]实力验证!$Z114</f>
        <v>1.6196817698850672</v>
      </c>
      <c r="AJ112" s="7">
        <f>[6]实力验证!$AE114</f>
        <v>2.8239858591314366</v>
      </c>
      <c r="AK112" s="7">
        <f>[6]实力验证!$AJ114</f>
        <v>7.1731731704965558</v>
      </c>
      <c r="AL112" s="7">
        <f>[6]实力验证!$AO114</f>
        <v>25.270186691040028</v>
      </c>
      <c r="AM112" s="7">
        <f t="shared" si="4"/>
        <v>95.070416685224799</v>
      </c>
      <c r="AR112" s="14">
        <v>108</v>
      </c>
      <c r="AS112" s="14">
        <f>[6]攻城值!AC112</f>
        <v>577.86500000000001</v>
      </c>
      <c r="AT112" s="14">
        <f>[6]攻城值!AD112</f>
        <v>578.85199999999998</v>
      </c>
      <c r="AU112" s="14">
        <f>[6]攻城值!AE112</f>
        <v>580.82600000000002</v>
      </c>
      <c r="AV112" s="14">
        <f>[6]攻城值!AF112</f>
        <v>583.78700000000015</v>
      </c>
      <c r="AW112" s="14">
        <f>[6]攻城值!AG112</f>
        <v>587.73500000000013</v>
      </c>
      <c r="AY112" s="14">
        <v>108</v>
      </c>
      <c r="AZ112" s="14">
        <f>[6]攻城值!AJ112</f>
        <v>3402.8054447306204</v>
      </c>
      <c r="BA112" s="14">
        <f>[6]攻城值!AK112</f>
        <v>3451.9967380401936</v>
      </c>
      <c r="BB112" s="14">
        <f>[6]攻城值!AL112</f>
        <v>3514.1405436666105</v>
      </c>
      <c r="BC112" s="14">
        <f>[6]攻城值!AM112</f>
        <v>3585.6492442461022</v>
      </c>
      <c r="BD112" s="14">
        <f>[6]攻城值!AN112</f>
        <v>3668.062442687225</v>
      </c>
      <c r="BF112" s="14">
        <v>108</v>
      </c>
      <c r="BG112" s="14">
        <f t="shared" si="7"/>
        <v>0.15064808849528574</v>
      </c>
      <c r="BH112" s="14">
        <f t="shared" si="8"/>
        <v>0.84935191150471423</v>
      </c>
      <c r="BL112" s="14">
        <v>108</v>
      </c>
      <c r="BM112" s="15">
        <f t="shared" si="6"/>
        <v>1</v>
      </c>
      <c r="BN112" s="15">
        <f t="shared" si="6"/>
        <v>1</v>
      </c>
      <c r="BO112" s="15">
        <f t="shared" si="6"/>
        <v>1</v>
      </c>
      <c r="BP112" s="15">
        <f t="shared" si="6"/>
        <v>1</v>
      </c>
      <c r="BQ112" s="15">
        <f t="shared" si="6"/>
        <v>1</v>
      </c>
      <c r="BR112" s="15">
        <f>'[1]功能-战损相关'!M118</f>
        <v>0.125</v>
      </c>
      <c r="BS112" s="15">
        <f>'[1]功能-战损相关'!N118</f>
        <v>0.125</v>
      </c>
      <c r="BT112" s="15">
        <f>'[1]功能-战损相关'!O118</f>
        <v>0.125</v>
      </c>
      <c r="BU112" s="15">
        <f>'[1]功能-战损相关'!P118</f>
        <v>0.125</v>
      </c>
      <c r="BV112" s="15">
        <f>'[1]功能-战损相关'!Q118</f>
        <v>0.125</v>
      </c>
      <c r="CJ112" s="2">
        <f>[4]兵营招募!S146</f>
        <v>109</v>
      </c>
      <c r="CK112" s="2">
        <f>[4]兵营招募!U146</f>
        <v>32000</v>
      </c>
    </row>
    <row r="113" spans="2:89" x14ac:dyDescent="0.15">
      <c r="B113" s="7">
        <v>109</v>
      </c>
      <c r="C113" s="7">
        <f>[1]服务器生态!W130</f>
        <v>185.45519429999999</v>
      </c>
      <c r="D113" s="7">
        <f>[1]服务器生态!X130</f>
        <v>182.86051977889068</v>
      </c>
      <c r="E113" s="7">
        <f>[1]服务器生态!Y130</f>
        <v>14.926957387776001</v>
      </c>
      <c r="F113" s="7">
        <f>[1]服务器生态!Z130</f>
        <v>2.6556112000000009</v>
      </c>
      <c r="G113" s="7">
        <f>[1]服务器生态!AA130</f>
        <v>0.76838399999999996</v>
      </c>
      <c r="H113" s="7">
        <f>[1]服务器生态!AC130</f>
        <v>0.47962550249999997</v>
      </c>
      <c r="I113" s="7">
        <f>[1]服务器生态!AD130</f>
        <v>0.47291513735919999</v>
      </c>
      <c r="J113" s="7">
        <f>[1]服务器生态!AE130</f>
        <v>3.8604200140800002E-2</v>
      </c>
      <c r="K113" s="7">
        <f>[1]服务器生态!AF130</f>
        <v>6.8679600000000019E-3</v>
      </c>
      <c r="L113" s="7">
        <f>[1]服务器生态!AG130</f>
        <v>1.9871999999999997E-3</v>
      </c>
      <c r="M113" s="7">
        <f>[5]基础信息!M112</f>
        <v>100</v>
      </c>
      <c r="Q113" s="7">
        <v>109</v>
      </c>
      <c r="R113" s="7">
        <f>[6]带兵数!D112</f>
        <v>8870.4611321594093</v>
      </c>
      <c r="S113" s="7">
        <f>[6]带兵数!E112</f>
        <v>8910.5793781313932</v>
      </c>
      <c r="T113" s="7">
        <f>[6]带兵数!F112</f>
        <v>8956.4476422637272</v>
      </c>
      <c r="U113" s="7">
        <f>[6]带兵数!G112</f>
        <v>9004.1855520531826</v>
      </c>
      <c r="V113" s="7">
        <f>[6]带兵数!H112</f>
        <v>9059.5591141330733</v>
      </c>
      <c r="X113" s="7">
        <v>109</v>
      </c>
      <c r="Y113" s="7">
        <f>求节点(节奏总纲!D$4:D$163,R$5:R$164,$X113)*6</f>
        <v>36637.709299591785</v>
      </c>
      <c r="Z113" s="7">
        <f>求节点(节奏总纲!E$4:E$163,S$5:S$164,$X113)*6</f>
        <v>37787.519931634335</v>
      </c>
      <c r="AA113" s="7">
        <f>求节点(节奏总纲!F$4:F$163,T$5:T$164,$X113)*6</f>
        <v>39298.982146538263</v>
      </c>
      <c r="AB113" s="7">
        <f>求节点(节奏总纲!G$4:G$163,U$5:U$164,$X113)*6</f>
        <v>41468.849285848541</v>
      </c>
      <c r="AC113" s="7">
        <f>求节点(节奏总纲!H$4:H$163,V$5:V$164,$X113)*6</f>
        <v>45339.44638485169</v>
      </c>
      <c r="AG113" s="7">
        <v>109</v>
      </c>
      <c r="AH113" s="7">
        <v>1</v>
      </c>
      <c r="AI113" s="7">
        <f>[6]实力验证!$Z115</f>
        <v>1.6238972725528613</v>
      </c>
      <c r="AJ113" s="7">
        <f>[6]实力验证!$AE115</f>
        <v>2.825913403206211</v>
      </c>
      <c r="AK113" s="7">
        <f>[6]实力验证!$AJ115</f>
        <v>7.1943030598090481</v>
      </c>
      <c r="AL113" s="7">
        <f>[6]实力验证!$AO115</f>
        <v>25.291611204433767</v>
      </c>
      <c r="AM113" s="7">
        <f t="shared" si="4"/>
        <v>95.24096402564291</v>
      </c>
      <c r="AR113" s="14">
        <v>109</v>
      </c>
      <c r="AS113" s="14">
        <f>[6]攻城值!AC113</f>
        <v>582.78300000000002</v>
      </c>
      <c r="AT113" s="14">
        <f>[6]攻城值!AD113</f>
        <v>583.77839999999992</v>
      </c>
      <c r="AU113" s="14">
        <f>[6]攻城值!AE113</f>
        <v>585.76919999999996</v>
      </c>
      <c r="AV113" s="14">
        <f>[6]攻城值!AF113</f>
        <v>588.75540000000012</v>
      </c>
      <c r="AW113" s="14">
        <f>[6]攻城值!AG113</f>
        <v>592.73700000000008</v>
      </c>
      <c r="AY113" s="14">
        <v>109</v>
      </c>
      <c r="AZ113" s="14">
        <f>[6]攻城值!AJ113</f>
        <v>3449.3007888002339</v>
      </c>
      <c r="BA113" s="14">
        <f>[6]攻城值!AK113</f>
        <v>3502.6756301505761</v>
      </c>
      <c r="BB113" s="14">
        <f>[6]攻城值!AL113</f>
        <v>3564.6938055974756</v>
      </c>
      <c r="BC113" s="14">
        <f>[6]攻城值!AM113</f>
        <v>3636.2575745826784</v>
      </c>
      <c r="BD113" s="14">
        <f>[6]攻城值!AN113</f>
        <v>3718.8515253206278</v>
      </c>
      <c r="BF113" s="14">
        <v>109</v>
      </c>
      <c r="BG113" s="14">
        <f t="shared" si="7"/>
        <v>0.15064808849528574</v>
      </c>
      <c r="BH113" s="14">
        <f t="shared" si="8"/>
        <v>0.84935191150471423</v>
      </c>
      <c r="BL113" s="14">
        <v>109</v>
      </c>
      <c r="BM113" s="15">
        <f t="shared" si="6"/>
        <v>1</v>
      </c>
      <c r="BN113" s="15">
        <f t="shared" si="6"/>
        <v>1</v>
      </c>
      <c r="BO113" s="15">
        <f t="shared" si="6"/>
        <v>1</v>
      </c>
      <c r="BP113" s="15">
        <f t="shared" si="6"/>
        <v>1</v>
      </c>
      <c r="BQ113" s="15">
        <f t="shared" si="6"/>
        <v>1</v>
      </c>
      <c r="BR113" s="15">
        <f>'[1]功能-战损相关'!M119</f>
        <v>0.125</v>
      </c>
      <c r="BS113" s="15">
        <f>'[1]功能-战损相关'!N119</f>
        <v>0.125</v>
      </c>
      <c r="BT113" s="15">
        <f>'[1]功能-战损相关'!O119</f>
        <v>0.125</v>
      </c>
      <c r="BU113" s="15">
        <f>'[1]功能-战损相关'!P119</f>
        <v>0.125</v>
      </c>
      <c r="BV113" s="15">
        <f>'[1]功能-战损相关'!Q119</f>
        <v>0.125</v>
      </c>
      <c r="CJ113" s="2">
        <f>[4]兵营招募!S147</f>
        <v>110</v>
      </c>
      <c r="CK113" s="2">
        <f>[4]兵营招募!U147</f>
        <v>32000</v>
      </c>
    </row>
    <row r="114" spans="2:89" x14ac:dyDescent="0.15">
      <c r="B114" s="7">
        <v>110</v>
      </c>
      <c r="C114" s="7">
        <f>[1]服务器生态!W131</f>
        <v>183.856442625</v>
      </c>
      <c r="D114" s="7">
        <f>[1]服务器生态!X131</f>
        <v>181.28413598769336</v>
      </c>
      <c r="E114" s="7">
        <f>[1]服务器生态!Y131</f>
        <v>14.798276720640002</v>
      </c>
      <c r="F114" s="7">
        <f>[1]服务器生态!Z131</f>
        <v>2.632718000000001</v>
      </c>
      <c r="G114" s="7">
        <f>[1]服务器生态!AA131</f>
        <v>0.76175999999999999</v>
      </c>
      <c r="H114" s="7">
        <f>[1]服务器生态!AC131</f>
        <v>0.47962550249999997</v>
      </c>
      <c r="I114" s="7">
        <f>[1]服务器生态!AD131</f>
        <v>0.47291513735919999</v>
      </c>
      <c r="J114" s="7">
        <f>[1]服务器生态!AE131</f>
        <v>3.8604200140800002E-2</v>
      </c>
      <c r="K114" s="7">
        <f>[1]服务器生态!AF131</f>
        <v>6.8679600000000019E-3</v>
      </c>
      <c r="L114" s="7">
        <f>[1]服务器生态!AG131</f>
        <v>1.9871999999999997E-3</v>
      </c>
      <c r="M114" s="7">
        <f>[5]基础信息!M113</f>
        <v>100</v>
      </c>
      <c r="Q114" s="7">
        <v>110</v>
      </c>
      <c r="R114" s="7">
        <f>[6]带兵数!D113</f>
        <v>8935.9196425189639</v>
      </c>
      <c r="S114" s="7">
        <f>[6]带兵数!E113</f>
        <v>8978.9188215849863</v>
      </c>
      <c r="T114" s="7">
        <f>[6]带兵数!F113</f>
        <v>9023.9742830719788</v>
      </c>
      <c r="U114" s="7">
        <f>[6]带兵数!G113</f>
        <v>9073.9943614471813</v>
      </c>
      <c r="V114" s="7">
        <f>[6]带兵数!H113</f>
        <v>9127.3224714907956</v>
      </c>
      <c r="X114" s="7">
        <v>110</v>
      </c>
      <c r="Y114" s="7">
        <f>求节点(节奏总纲!D$4:D$163,R$5:R$164,$X114)*6</f>
        <v>36691.368738450576</v>
      </c>
      <c r="Z114" s="7">
        <f>求节点(节奏总纲!E$4:E$163,S$5:S$164,$X114)*6</f>
        <v>37841.853591173167</v>
      </c>
      <c r="AA114" s="7">
        <f>求节点(节奏总纲!F$4:F$163,T$5:T$164,$X114)*6</f>
        <v>39353.855567420134</v>
      </c>
      <c r="AB114" s="7">
        <f>求节点(节奏总纲!G$4:G$163,U$5:U$164,$X114)*6</f>
        <v>41521.239136948483</v>
      </c>
      <c r="AC114" s="7">
        <f>求节点(节奏总纲!H$4:H$163,V$5:V$164,$X114)*6</f>
        <v>45394.274478247462</v>
      </c>
      <c r="AG114" s="7">
        <v>110</v>
      </c>
      <c r="AH114" s="7">
        <v>1</v>
      </c>
      <c r="AI114" s="7">
        <f>[6]实力验证!$Z116</f>
        <v>1.6279337832036591</v>
      </c>
      <c r="AJ114" s="7">
        <f>[6]实力验证!$AE116</f>
        <v>2.8277911350587241</v>
      </c>
      <c r="AK114" s="7">
        <f>[6]实力验证!$AJ116</f>
        <v>7.2148869036346674</v>
      </c>
      <c r="AL114" s="7">
        <f>[6]实力验证!$AO116</f>
        <v>25.3294914189105</v>
      </c>
      <c r="AM114" s="7">
        <f t="shared" si="4"/>
        <v>95.411876461149248</v>
      </c>
      <c r="AR114" s="14">
        <v>110</v>
      </c>
      <c r="AS114" s="14">
        <f>[6]攻城值!AC114</f>
        <v>587.70100000000014</v>
      </c>
      <c r="AT114" s="14">
        <f>[6]攻城值!AD114</f>
        <v>588.70479999999998</v>
      </c>
      <c r="AU114" s="14">
        <f>[6]攻城值!AE114</f>
        <v>590.7124</v>
      </c>
      <c r="AV114" s="14">
        <f>[6]攻城值!AF114</f>
        <v>593.72379999999998</v>
      </c>
      <c r="AW114" s="14">
        <f>[6]攻城值!AG114</f>
        <v>597.73900000000015</v>
      </c>
      <c r="AY114" s="14">
        <v>110</v>
      </c>
      <c r="AZ114" s="14">
        <f>[6]攻城值!AJ114</f>
        <v>3500.1910824869938</v>
      </c>
      <c r="BA114" s="14">
        <f>[6]攻城值!AK114</f>
        <v>3553.3545222609591</v>
      </c>
      <c r="BB114" s="14">
        <f>[6]攻城值!AL114</f>
        <v>3615.2470675283412</v>
      </c>
      <c r="BC114" s="14">
        <f>[6]攻城值!AM114</f>
        <v>3686.8659049192552</v>
      </c>
      <c r="BD114" s="14">
        <f>[6]攻城值!AN114</f>
        <v>3769.6406079540307</v>
      </c>
      <c r="BF114" s="14">
        <v>110</v>
      </c>
      <c r="BG114" s="14">
        <f t="shared" si="7"/>
        <v>0.15064808849528574</v>
      </c>
      <c r="BH114" s="14">
        <f t="shared" si="8"/>
        <v>0.84935191150471423</v>
      </c>
      <c r="BL114" s="14">
        <v>110</v>
      </c>
      <c r="BM114" s="15">
        <f t="shared" si="6"/>
        <v>1</v>
      </c>
      <c r="BN114" s="15">
        <f t="shared" si="6"/>
        <v>1</v>
      </c>
      <c r="BO114" s="15">
        <f t="shared" si="6"/>
        <v>1</v>
      </c>
      <c r="BP114" s="15">
        <f t="shared" si="6"/>
        <v>1</v>
      </c>
      <c r="BQ114" s="15">
        <f t="shared" si="6"/>
        <v>1</v>
      </c>
      <c r="BR114" s="15">
        <f>'[1]功能-战损相关'!M120</f>
        <v>0.125</v>
      </c>
      <c r="BS114" s="15">
        <f>'[1]功能-战损相关'!N120</f>
        <v>0.125</v>
      </c>
      <c r="BT114" s="15">
        <f>'[1]功能-战损相关'!O120</f>
        <v>0.125</v>
      </c>
      <c r="BU114" s="15">
        <f>'[1]功能-战损相关'!P120</f>
        <v>0.125</v>
      </c>
      <c r="BV114" s="15">
        <f>'[1]功能-战损相关'!Q120</f>
        <v>0.125</v>
      </c>
      <c r="CJ114" s="2">
        <f>[4]兵营招募!S148</f>
        <v>111</v>
      </c>
      <c r="CK114" s="2">
        <f>[4]兵营招募!U148</f>
        <v>32000</v>
      </c>
    </row>
    <row r="115" spans="2:89" x14ac:dyDescent="0.15">
      <c r="B115" s="7">
        <v>111</v>
      </c>
      <c r="C115" s="7">
        <f>[1]服务器生态!W132</f>
        <v>182.25769094999998</v>
      </c>
      <c r="D115" s="7">
        <f>[1]服务器生态!X132</f>
        <v>179.70775219649599</v>
      </c>
      <c r="E115" s="7">
        <f>[1]服务器生态!Y132</f>
        <v>14.669596053504002</v>
      </c>
      <c r="F115" s="7">
        <f>[1]服务器生态!Z132</f>
        <v>2.6098248000000006</v>
      </c>
      <c r="G115" s="7">
        <f>[1]服务器生态!AA132</f>
        <v>0.75513599999999992</v>
      </c>
      <c r="H115" s="7">
        <f>[1]服务器生态!AC132</f>
        <v>0.47962550249999997</v>
      </c>
      <c r="I115" s="7">
        <f>[1]服务器生态!AD132</f>
        <v>0.47291513735919999</v>
      </c>
      <c r="J115" s="7">
        <f>[1]服务器生态!AE132</f>
        <v>3.8604200140800002E-2</v>
      </c>
      <c r="K115" s="7">
        <f>[1]服务器生态!AF132</f>
        <v>6.8679600000000019E-3</v>
      </c>
      <c r="L115" s="7">
        <f>[1]服务器生态!AG132</f>
        <v>1.9871999999999997E-3</v>
      </c>
      <c r="M115" s="7">
        <f>[5]基础信息!M114</f>
        <v>100</v>
      </c>
      <c r="Q115" s="7">
        <v>111</v>
      </c>
      <c r="R115" s="7">
        <f>[6]带兵数!D114</f>
        <v>9004.6408675687671</v>
      </c>
      <c r="S115" s="7">
        <f>[6]带兵数!E114</f>
        <v>9046.1287240722304</v>
      </c>
      <c r="T115" s="7">
        <f>[6]带兵数!F114</f>
        <v>9093.2224211633438</v>
      </c>
      <c r="U115" s="7">
        <f>[6]带兵数!G114</f>
        <v>9142.6839752914966</v>
      </c>
      <c r="V115" s="7">
        <f>[6]带兵数!H114</f>
        <v>9198.1867647056097</v>
      </c>
      <c r="X115" s="7">
        <v>111</v>
      </c>
      <c r="Y115" s="7">
        <f>求节点(节奏总纲!D$4:D$163,R$5:R$164,$X115)*6</f>
        <v>36743.290546376091</v>
      </c>
      <c r="Z115" s="7">
        <f>求节点(节奏总纲!E$4:E$163,S$5:S$164,$X115)*6</f>
        <v>37891.698983112867</v>
      </c>
      <c r="AA115" s="7">
        <f>求节点(节奏总纲!F$4:F$163,T$5:T$164,$X115)*6</f>
        <v>39406.474428895111</v>
      </c>
      <c r="AB115" s="7">
        <f>求节点(节奏总纲!G$4:G$163,U$5:U$164,$X115)*6</f>
        <v>41573.628988048426</v>
      </c>
      <c r="AC115" s="7">
        <f>求节点(节奏总纲!H$4:H$163,V$5:V$164,$X115)*6</f>
        <v>45449.102571643241</v>
      </c>
      <c r="AG115" s="7">
        <v>111</v>
      </c>
      <c r="AH115" s="7">
        <v>1</v>
      </c>
      <c r="AI115" s="7">
        <f>[6]实力验证!$Z117</f>
        <v>1.629473729783496</v>
      </c>
      <c r="AJ115" s="7">
        <f>[6]实力验证!$AE117</f>
        <v>2.8294339666522457</v>
      </c>
      <c r="AK115" s="7">
        <f>[6]实力验证!$AJ117</f>
        <v>7.2340134266156904</v>
      </c>
      <c r="AL115" s="7">
        <f>[6]实力验证!$AO117</f>
        <v>25.363136924548424</v>
      </c>
      <c r="AM115" s="7">
        <f t="shared" si="4"/>
        <v>95.506632048698393</v>
      </c>
      <c r="AR115" s="14">
        <v>111</v>
      </c>
      <c r="AS115" s="14">
        <f>[6]攻城值!AC115</f>
        <v>592.61900000000014</v>
      </c>
      <c r="AT115" s="14">
        <f>[6]攻城值!AD115</f>
        <v>593.63120000000004</v>
      </c>
      <c r="AU115" s="14">
        <f>[6]攻城值!AE115</f>
        <v>595.65560000000005</v>
      </c>
      <c r="AV115" s="14">
        <f>[6]攻城值!AF115</f>
        <v>598.69220000000007</v>
      </c>
      <c r="AW115" s="14">
        <f>[6]攻城值!AG115</f>
        <v>602.7410000000001</v>
      </c>
      <c r="AY115" s="14">
        <v>111</v>
      </c>
      <c r="AZ115" s="14">
        <f>[6]攻城值!AJ115</f>
        <v>3551.0813761737545</v>
      </c>
      <c r="BA115" s="14">
        <f>[6]攻城值!AK115</f>
        <v>3604.0334143713417</v>
      </c>
      <c r="BB115" s="14">
        <f>[6]攻城值!AL115</f>
        <v>3665.8003294592068</v>
      </c>
      <c r="BC115" s="14">
        <f>[6]攻城值!AM115</f>
        <v>3737.474235255831</v>
      </c>
      <c r="BD115" s="14">
        <f>[6]攻城值!AN115</f>
        <v>3820.4296905874339</v>
      </c>
      <c r="BF115" s="14">
        <v>111</v>
      </c>
      <c r="BG115" s="14">
        <f t="shared" si="7"/>
        <v>0.15064808849528574</v>
      </c>
      <c r="BH115" s="14">
        <f t="shared" si="8"/>
        <v>0.84935191150471423</v>
      </c>
      <c r="BL115" s="14">
        <v>111</v>
      </c>
      <c r="BM115" s="15">
        <f t="shared" si="6"/>
        <v>1</v>
      </c>
      <c r="BN115" s="15">
        <f t="shared" si="6"/>
        <v>1</v>
      </c>
      <c r="BO115" s="15">
        <f t="shared" si="6"/>
        <v>1</v>
      </c>
      <c r="BP115" s="15">
        <f t="shared" si="6"/>
        <v>1</v>
      </c>
      <c r="BQ115" s="15">
        <f t="shared" si="6"/>
        <v>1</v>
      </c>
      <c r="BR115" s="15">
        <f>'[1]功能-战损相关'!M121</f>
        <v>0.125</v>
      </c>
      <c r="BS115" s="15">
        <f>'[1]功能-战损相关'!N121</f>
        <v>0.125</v>
      </c>
      <c r="BT115" s="15">
        <f>'[1]功能-战损相关'!O121</f>
        <v>0.125</v>
      </c>
      <c r="BU115" s="15">
        <f>'[1]功能-战损相关'!P121</f>
        <v>0.125</v>
      </c>
      <c r="BV115" s="15">
        <f>'[1]功能-战损相关'!Q121</f>
        <v>0.125</v>
      </c>
      <c r="CJ115" s="2">
        <f>[4]兵营招募!S149</f>
        <v>112</v>
      </c>
      <c r="CK115" s="2">
        <f>[4]兵营招募!U149</f>
        <v>32000</v>
      </c>
    </row>
    <row r="116" spans="2:89" x14ac:dyDescent="0.15">
      <c r="B116" s="7">
        <v>112</v>
      </c>
      <c r="C116" s="7">
        <f>[1]服务器生态!W133</f>
        <v>180.65893927499999</v>
      </c>
      <c r="D116" s="7">
        <f>[1]服务器生态!X133</f>
        <v>178.13136840529867</v>
      </c>
      <c r="E116" s="7">
        <f>[1]服务器生态!Y133</f>
        <v>14.540915386368001</v>
      </c>
      <c r="F116" s="7">
        <f>[1]服务器生态!Z133</f>
        <v>2.5869316000000007</v>
      </c>
      <c r="G116" s="7">
        <f>[1]服务器生态!AA133</f>
        <v>0.74851199999999996</v>
      </c>
      <c r="H116" s="7">
        <f>[1]服务器生态!AC133</f>
        <v>0.47962550249999997</v>
      </c>
      <c r="I116" s="7">
        <f>[1]服务器生态!AD133</f>
        <v>0.47291513735919999</v>
      </c>
      <c r="J116" s="7">
        <f>[1]服务器生态!AE133</f>
        <v>3.8604200140800002E-2</v>
      </c>
      <c r="K116" s="7">
        <f>[1]服务器生态!AF133</f>
        <v>6.8679600000000019E-3</v>
      </c>
      <c r="L116" s="7">
        <f>[1]服务器生态!AG133</f>
        <v>1.9871999999999997E-3</v>
      </c>
      <c r="M116" s="7">
        <f>[5]基础信息!M115</f>
        <v>100</v>
      </c>
      <c r="Q116" s="7">
        <v>112</v>
      </c>
      <c r="R116" s="7">
        <f>[6]带兵数!D115</f>
        <v>9070.4833394530542</v>
      </c>
      <c r="S116" s="7">
        <f>[6]带兵数!E115</f>
        <v>9114.6737906797462</v>
      </c>
      <c r="T116" s="7">
        <f>[6]带兵数!F115</f>
        <v>9160.4169527518316</v>
      </c>
      <c r="U116" s="7">
        <f>[6]带兵数!G115</f>
        <v>9211.3722358373288</v>
      </c>
      <c r="V116" s="7">
        <f>[6]带兵数!H115</f>
        <v>9262.5402417517616</v>
      </c>
      <c r="X116" s="7">
        <v>112</v>
      </c>
      <c r="Y116" s="7">
        <f>求节点(节奏总纲!D$4:D$163,R$5:R$164,$X116)*6</f>
        <v>36793.898982923871</v>
      </c>
      <c r="Z116" s="7">
        <f>求节点(节奏总纲!E$4:E$163,S$5:S$164,$X116)*6</f>
        <v>37941.544375052574</v>
      </c>
      <c r="AA116" s="7">
        <f>求节点(节奏总纲!F$4:F$163,T$5:T$164,$X116)*6</f>
        <v>39455.962211400867</v>
      </c>
      <c r="AB116" s="7">
        <f>求节点(节奏总纲!G$4:G$163,U$5:U$164,$X116)*6</f>
        <v>41626.018839148368</v>
      </c>
      <c r="AC116" s="7">
        <f>求节点(节奏总纲!H$4:H$163,V$5:V$164,$X116)*6</f>
        <v>45503.930665039014</v>
      </c>
      <c r="AG116" s="7">
        <v>112</v>
      </c>
      <c r="AH116" s="7">
        <v>1</v>
      </c>
      <c r="AI116" s="7">
        <f>[6]实力验证!$Z118</f>
        <v>1.6308177045482892</v>
      </c>
      <c r="AJ116" s="7">
        <f>[6]实力验证!$AE118</f>
        <v>2.8310063012055475</v>
      </c>
      <c r="AK116" s="7">
        <f>[6]实力验证!$AJ118</f>
        <v>7.2519561371482855</v>
      </c>
      <c r="AL116" s="7">
        <f>[6]实力验证!$AO118</f>
        <v>25.393485029016038</v>
      </c>
      <c r="AM116" s="7">
        <f t="shared" si="4"/>
        <v>95.592400492814974</v>
      </c>
      <c r="AR116" s="14">
        <v>112</v>
      </c>
      <c r="AS116" s="14">
        <f>[6]攻城值!AC116</f>
        <v>611.33940000000007</v>
      </c>
      <c r="AT116" s="14">
        <f>[6]攻城值!AD116</f>
        <v>612.56412</v>
      </c>
      <c r="AU116" s="14">
        <f>[6]攻城值!AE116</f>
        <v>615.01355999999998</v>
      </c>
      <c r="AV116" s="14">
        <f>[6]攻城值!AF116</f>
        <v>618.6877199999999</v>
      </c>
      <c r="AW116" s="14">
        <f>[6]攻城值!AG116</f>
        <v>623.58660000000009</v>
      </c>
      <c r="AY116" s="14">
        <v>112</v>
      </c>
      <c r="AZ116" s="14">
        <f>[6]攻城值!AJ116</f>
        <v>3685.172967480717</v>
      </c>
      <c r="BA116" s="14">
        <f>[6]攻城值!AK116</f>
        <v>3740.2342362258</v>
      </c>
      <c r="BB116" s="14">
        <f>[6]攻城值!AL116</f>
        <v>3805.5484833795763</v>
      </c>
      <c r="BC116" s="14">
        <f>[6]攻城值!AM116</f>
        <v>3882.3805391276437</v>
      </c>
      <c r="BD116" s="14">
        <f>[6]攻城值!AN116</f>
        <v>3972.139790419556</v>
      </c>
      <c r="BF116" s="14">
        <v>112</v>
      </c>
      <c r="BG116" s="14">
        <f t="shared" si="7"/>
        <v>0.15064808849528574</v>
      </c>
      <c r="BH116" s="14">
        <f t="shared" si="8"/>
        <v>0.84935191150471423</v>
      </c>
      <c r="BL116" s="14">
        <v>112</v>
      </c>
      <c r="BM116" s="15">
        <f t="shared" si="6"/>
        <v>1</v>
      </c>
      <c r="BN116" s="15">
        <f t="shared" si="6"/>
        <v>1</v>
      </c>
      <c r="BO116" s="15">
        <f t="shared" si="6"/>
        <v>1</v>
      </c>
      <c r="BP116" s="15">
        <f t="shared" si="6"/>
        <v>1</v>
      </c>
      <c r="BQ116" s="15">
        <f t="shared" si="6"/>
        <v>1</v>
      </c>
      <c r="BR116" s="15">
        <f>'[1]功能-战损相关'!M122</f>
        <v>0.125</v>
      </c>
      <c r="BS116" s="15">
        <f>'[1]功能-战损相关'!N122</f>
        <v>0.125</v>
      </c>
      <c r="BT116" s="15">
        <f>'[1]功能-战损相关'!O122</f>
        <v>0.125</v>
      </c>
      <c r="BU116" s="15">
        <f>'[1]功能-战损相关'!P122</f>
        <v>0.125</v>
      </c>
      <c r="BV116" s="15">
        <f>'[1]功能-战损相关'!Q122</f>
        <v>0.125</v>
      </c>
      <c r="CJ116" s="2">
        <f>[4]兵营招募!S150</f>
        <v>113</v>
      </c>
      <c r="CK116" s="2">
        <f>[4]兵营招募!U150</f>
        <v>32000</v>
      </c>
    </row>
    <row r="117" spans="2:89" x14ac:dyDescent="0.15">
      <c r="B117" s="7">
        <v>113</v>
      </c>
      <c r="C117" s="7">
        <f>[1]服务器生态!W134</f>
        <v>179.06018760000001</v>
      </c>
      <c r="D117" s="7">
        <f>[1]服务器生态!X134</f>
        <v>176.55498461410136</v>
      </c>
      <c r="E117" s="7">
        <f>[1]服务器生态!Y134</f>
        <v>14.412234719232002</v>
      </c>
      <c r="F117" s="7">
        <f>[1]服务器生态!Z134</f>
        <v>2.5640384000000012</v>
      </c>
      <c r="G117" s="7">
        <f>[1]服务器生态!AA134</f>
        <v>0.74188799999999999</v>
      </c>
      <c r="H117" s="7">
        <f>[1]服务器生态!AC134</f>
        <v>0.47962550249999997</v>
      </c>
      <c r="I117" s="7">
        <f>[1]服务器生态!AD134</f>
        <v>0.47291513735919999</v>
      </c>
      <c r="J117" s="7">
        <f>[1]服务器生态!AE134</f>
        <v>3.8604200140800002E-2</v>
      </c>
      <c r="K117" s="7">
        <f>[1]服务器生态!AF134</f>
        <v>6.8679600000000019E-3</v>
      </c>
      <c r="L117" s="7">
        <f>[1]服务器生态!AG134</f>
        <v>1.9871999999999997E-3</v>
      </c>
      <c r="M117" s="7">
        <f>[5]基础信息!M116</f>
        <v>100</v>
      </c>
      <c r="Q117" s="7">
        <v>113</v>
      </c>
      <c r="R117" s="7">
        <f>[6]带兵数!D116</f>
        <v>9138.8345847910641</v>
      </c>
      <c r="S117" s="7">
        <f>[6]带兵数!E116</f>
        <v>9181.586561984117</v>
      </c>
      <c r="T117" s="7">
        <f>[6]带兵数!F116</f>
        <v>9228.7957794339563</v>
      </c>
      <c r="U117" s="7">
        <f>[6]带兵数!G116</f>
        <v>9276.8918714801857</v>
      </c>
      <c r="V117" s="7">
        <f>[6]带兵数!H116</f>
        <v>9327.9418699074558</v>
      </c>
      <c r="X117" s="7">
        <v>113</v>
      </c>
      <c r="Y117" s="7">
        <f>求节点(节奏总纲!D$4:D$163,R$5:R$164,$X117)*6</f>
        <v>36844.507419471651</v>
      </c>
      <c r="Z117" s="7">
        <f>求节点(节奏总纲!E$4:E$163,S$5:S$164,$X117)*6</f>
        <v>37991.389766992274</v>
      </c>
      <c r="AA117" s="7">
        <f>求节点(节奏总纲!F$4:F$163,T$5:T$164,$X117)*6</f>
        <v>39505.449993906623</v>
      </c>
      <c r="AB117" s="7">
        <f>求节点(节奏总纲!G$4:G$163,U$5:U$164,$X117)*6</f>
        <v>41678.408690248318</v>
      </c>
      <c r="AC117" s="7">
        <f>求节点(节奏总纲!H$4:H$163,V$5:V$164,$X117)*6</f>
        <v>45558.758758434793</v>
      </c>
      <c r="AG117" s="7">
        <v>113</v>
      </c>
      <c r="AH117" s="7">
        <v>1</v>
      </c>
      <c r="AI117" s="7">
        <f>[6]实力验证!$Z119</f>
        <v>1.6321276701935339</v>
      </c>
      <c r="AJ117" s="7">
        <f>[6]实力验证!$AE119</f>
        <v>2.8325388480223572</v>
      </c>
      <c r="AK117" s="7">
        <f>[6]实力验证!$AJ119</f>
        <v>7.2694448095519562</v>
      </c>
      <c r="AL117" s="7">
        <f>[6]实力验证!$AO119</f>
        <v>25.423065178355358</v>
      </c>
      <c r="AM117" s="7">
        <f t="shared" si="4"/>
        <v>95.675998576783527</v>
      </c>
      <c r="AR117" s="14">
        <v>113</v>
      </c>
      <c r="AS117" s="14">
        <f>[6]攻城值!AC117</f>
        <v>616.37099999999998</v>
      </c>
      <c r="AT117" s="14">
        <f>[6]攻城值!AD117</f>
        <v>617.60580000000004</v>
      </c>
      <c r="AU117" s="14">
        <f>[6]攻城值!AE117</f>
        <v>620.07540000000006</v>
      </c>
      <c r="AV117" s="14">
        <f>[6]攻城值!AF117</f>
        <v>623.77979999999991</v>
      </c>
      <c r="AW117" s="14">
        <f>[6]攻城值!AG117</f>
        <v>628.71900000000016</v>
      </c>
      <c r="AY117" s="14">
        <v>113</v>
      </c>
      <c r="AZ117" s="14">
        <f>[6]攻城值!AJ117</f>
        <v>3737.2387669346213</v>
      </c>
      <c r="BA117" s="14">
        <f>[6]攻城值!AK117</f>
        <v>3792.0990374549078</v>
      </c>
      <c r="BB117" s="14">
        <f>[6]攻城值!AL117</f>
        <v>3857.3150563226359</v>
      </c>
      <c r="BC117" s="14">
        <f>[6]攻城值!AM117</f>
        <v>3934.2486791204533</v>
      </c>
      <c r="BD117" s="14">
        <f>[6]攻城值!AN117</f>
        <v>4024.2529227081759</v>
      </c>
      <c r="BF117" s="14">
        <v>113</v>
      </c>
      <c r="BG117" s="14">
        <f t="shared" si="7"/>
        <v>0.15064808849528574</v>
      </c>
      <c r="BH117" s="14">
        <f t="shared" si="8"/>
        <v>0.84935191150471423</v>
      </c>
      <c r="BL117" s="14">
        <v>113</v>
      </c>
      <c r="BM117" s="15">
        <f t="shared" si="6"/>
        <v>1</v>
      </c>
      <c r="BN117" s="15">
        <f t="shared" si="6"/>
        <v>1</v>
      </c>
      <c r="BO117" s="15">
        <f t="shared" si="6"/>
        <v>1</v>
      </c>
      <c r="BP117" s="15">
        <f t="shared" si="6"/>
        <v>1</v>
      </c>
      <c r="BQ117" s="15">
        <f t="shared" ref="BN117:BQ132" si="9">$BN$2</f>
        <v>1</v>
      </c>
      <c r="BR117" s="15">
        <f>'[1]功能-战损相关'!M123</f>
        <v>0.125</v>
      </c>
      <c r="BS117" s="15">
        <f>'[1]功能-战损相关'!N123</f>
        <v>0.125</v>
      </c>
      <c r="BT117" s="15">
        <f>'[1]功能-战损相关'!O123</f>
        <v>0.125</v>
      </c>
      <c r="BU117" s="15">
        <f>'[1]功能-战损相关'!P123</f>
        <v>0.125</v>
      </c>
      <c r="BV117" s="15">
        <f>'[1]功能-战损相关'!Q123</f>
        <v>0.125</v>
      </c>
      <c r="CJ117" s="2">
        <f>[4]兵营招募!S151</f>
        <v>114</v>
      </c>
      <c r="CK117" s="2">
        <f>[4]兵营招募!U151</f>
        <v>32000</v>
      </c>
    </row>
    <row r="118" spans="2:89" x14ac:dyDescent="0.15">
      <c r="B118" s="7">
        <v>114</v>
      </c>
      <c r="C118" s="7">
        <f>[1]服务器生态!W135</f>
        <v>177.46143592500002</v>
      </c>
      <c r="D118" s="7">
        <f>[1]服务器生态!X135</f>
        <v>174.97860082290401</v>
      </c>
      <c r="E118" s="7">
        <f>[1]服务器生态!Y135</f>
        <v>14.283554052096003</v>
      </c>
      <c r="F118" s="7">
        <f>[1]服务器生态!Z135</f>
        <v>2.5411452000000012</v>
      </c>
      <c r="G118" s="7">
        <f>[1]服务器生态!AA135</f>
        <v>0.73526400000000003</v>
      </c>
      <c r="H118" s="7">
        <f>[1]服务器生态!AC135</f>
        <v>0.47962550249999997</v>
      </c>
      <c r="I118" s="7">
        <f>[1]服务器生态!AD135</f>
        <v>0.47291513735919999</v>
      </c>
      <c r="J118" s="7">
        <f>[1]服务器生态!AE135</f>
        <v>3.8604200140800002E-2</v>
      </c>
      <c r="K118" s="7">
        <f>[1]服务器生态!AF135</f>
        <v>6.8679600000000019E-3</v>
      </c>
      <c r="L118" s="7">
        <f>[1]服务器生态!AG135</f>
        <v>1.9871999999999997E-3</v>
      </c>
      <c r="M118" s="7">
        <f>[5]基础信息!M117</f>
        <v>100</v>
      </c>
      <c r="Q118" s="7">
        <v>114</v>
      </c>
      <c r="R118" s="7">
        <f>[6]带兵数!D117</f>
        <v>9205.1265141991007</v>
      </c>
      <c r="S118" s="7">
        <f>[6]带兵数!E117</f>
        <v>9249.487602158224</v>
      </c>
      <c r="T118" s="7">
        <f>[6]带兵数!F117</f>
        <v>9294.3116472404508</v>
      </c>
      <c r="U118" s="7">
        <f>[6]带兵数!G117</f>
        <v>9341.5681191539097</v>
      </c>
      <c r="V118" s="7">
        <f>[6]带兵数!H117</f>
        <v>9392.8360857153821</v>
      </c>
      <c r="X118" s="7">
        <v>114</v>
      </c>
      <c r="Y118" s="7">
        <f>求节点(节奏总纲!D$4:D$163,R$5:R$164,$X118)*6</f>
        <v>36895.115856019431</v>
      </c>
      <c r="Z118" s="7">
        <f>求节点(节奏总纲!E$4:E$163,S$5:S$164,$X118)*6</f>
        <v>38041.235158931966</v>
      </c>
      <c r="AA118" s="7">
        <f>求节点(节奏总纲!F$4:F$163,T$5:T$164,$X118)*6</f>
        <v>39554.937776412386</v>
      </c>
      <c r="AB118" s="7">
        <f>求节点(节奏总纲!G$4:G$163,U$5:U$164,$X118)*6</f>
        <v>41730.79854134826</v>
      </c>
      <c r="AC118" s="7">
        <f>求节点(节奏总纲!H$4:H$163,V$5:V$164,$X118)*6</f>
        <v>45613.586851830565</v>
      </c>
      <c r="AG118" s="7">
        <v>114</v>
      </c>
      <c r="AH118" s="7">
        <v>1</v>
      </c>
      <c r="AI118" s="7">
        <f>[6]实力验证!$Z120</f>
        <v>1.6334049014853398</v>
      </c>
      <c r="AJ118" s="7">
        <f>[6]实力验证!$AE120</f>
        <v>2.8340330984690718</v>
      </c>
      <c r="AK118" s="7">
        <f>[6]实力验证!$AJ120</f>
        <v>7.2864964625683513</v>
      </c>
      <c r="AL118" s="7">
        <f>[6]实力验证!$AO120</f>
        <v>25.451906157879993</v>
      </c>
      <c r="AM118" s="7">
        <f t="shared" si="4"/>
        <v>95.757507652359095</v>
      </c>
      <c r="AR118" s="14">
        <v>114</v>
      </c>
      <c r="AS118" s="14">
        <f>[6]攻城值!AC118</f>
        <v>621.40260000000001</v>
      </c>
      <c r="AT118" s="14">
        <f>[6]攻城值!AD118</f>
        <v>622.64748000000009</v>
      </c>
      <c r="AU118" s="14">
        <f>[6]攻城值!AE118</f>
        <v>625.13723999999991</v>
      </c>
      <c r="AV118" s="14">
        <f>[6]攻城值!AF118</f>
        <v>628.87188000000003</v>
      </c>
      <c r="AW118" s="14">
        <f>[6]攻城值!AG118</f>
        <v>633.85140000000001</v>
      </c>
      <c r="AY118" s="14">
        <v>114</v>
      </c>
      <c r="AZ118" s="14">
        <f>[6]攻城值!AJ118</f>
        <v>3789.3045663885264</v>
      </c>
      <c r="BA118" s="14">
        <f>[6]攻城值!AK118</f>
        <v>3843.9638386840152</v>
      </c>
      <c r="BB118" s="14">
        <f>[6]攻城值!AL118</f>
        <v>3909.0816292656955</v>
      </c>
      <c r="BC118" s="14">
        <f>[6]攻城值!AM118</f>
        <v>3986.1168191132624</v>
      </c>
      <c r="BD118" s="14">
        <f>[6]攻城值!AN118</f>
        <v>4076.3660549967954</v>
      </c>
      <c r="BF118" s="14">
        <v>114</v>
      </c>
      <c r="BG118" s="14">
        <f t="shared" si="7"/>
        <v>0.15064808849528574</v>
      </c>
      <c r="BH118" s="14">
        <f t="shared" si="8"/>
        <v>0.84935191150471423</v>
      </c>
      <c r="BL118" s="14">
        <v>114</v>
      </c>
      <c r="BM118" s="15">
        <f t="shared" si="6"/>
        <v>1</v>
      </c>
      <c r="BN118" s="15">
        <f t="shared" si="9"/>
        <v>1</v>
      </c>
      <c r="BO118" s="15">
        <f t="shared" si="9"/>
        <v>1</v>
      </c>
      <c r="BP118" s="15">
        <f t="shared" si="9"/>
        <v>1</v>
      </c>
      <c r="BQ118" s="15">
        <f t="shared" si="9"/>
        <v>1</v>
      </c>
      <c r="BR118" s="15">
        <f>'[1]功能-战损相关'!M124</f>
        <v>0.125</v>
      </c>
      <c r="BS118" s="15">
        <f>'[1]功能-战损相关'!N124</f>
        <v>0.125</v>
      </c>
      <c r="BT118" s="15">
        <f>'[1]功能-战损相关'!O124</f>
        <v>0.125</v>
      </c>
      <c r="BU118" s="15">
        <f>'[1]功能-战损相关'!P124</f>
        <v>0.125</v>
      </c>
      <c r="BV118" s="15">
        <f>'[1]功能-战损相关'!Q124</f>
        <v>0.125</v>
      </c>
      <c r="CJ118" s="2">
        <f>[4]兵营招募!S152</f>
        <v>115</v>
      </c>
      <c r="CK118" s="2">
        <f>[4]兵营招募!U152</f>
        <v>32000</v>
      </c>
    </row>
    <row r="119" spans="2:89" x14ac:dyDescent="0.15">
      <c r="B119" s="7">
        <v>115</v>
      </c>
      <c r="C119" s="7">
        <f>[1]服务器生态!W136</f>
        <v>175.86268425</v>
      </c>
      <c r="D119" s="7">
        <f>[1]服务器生态!X136</f>
        <v>173.40221703170667</v>
      </c>
      <c r="E119" s="7">
        <f>[1]服务器生态!Y136</f>
        <v>14.154873384960002</v>
      </c>
      <c r="F119" s="7">
        <f>[1]服务器生态!Z136</f>
        <v>2.5182520000000008</v>
      </c>
      <c r="G119" s="7">
        <f>[1]服务器生态!AA136</f>
        <v>0.72863999999999995</v>
      </c>
      <c r="H119" s="7">
        <f>[1]服务器生态!AC136</f>
        <v>0.47962550249999997</v>
      </c>
      <c r="I119" s="7">
        <f>[1]服务器生态!AD136</f>
        <v>0.47291513735919999</v>
      </c>
      <c r="J119" s="7">
        <f>[1]服务器生态!AE136</f>
        <v>3.8604200140800002E-2</v>
      </c>
      <c r="K119" s="7">
        <f>[1]服务器生态!AF136</f>
        <v>6.8679600000000019E-3</v>
      </c>
      <c r="L119" s="7">
        <f>[1]服务器生态!AG136</f>
        <v>1.9871999999999997E-3</v>
      </c>
      <c r="M119" s="7">
        <f>[5]基础信息!M118</f>
        <v>100</v>
      </c>
      <c r="Q119" s="7">
        <v>115</v>
      </c>
      <c r="R119" s="7">
        <f>[6]带兵数!D118</f>
        <v>9273.11336971315</v>
      </c>
      <c r="S119" s="7">
        <f>[6]带兵数!E118</f>
        <v>9314.6342765223671</v>
      </c>
      <c r="T119" s="7">
        <f>[6]带兵数!F118</f>
        <v>9358.3465384084921</v>
      </c>
      <c r="U119" s="7">
        <f>[6]带兵数!G118</f>
        <v>9405.9685532497842</v>
      </c>
      <c r="V119" s="7">
        <f>[6]带兵数!H118</f>
        <v>9457.0432709865909</v>
      </c>
      <c r="X119" s="7">
        <v>115</v>
      </c>
      <c r="Y119" s="7">
        <f>求节点(节奏总纲!D$4:D$163,R$5:R$164,$X119)*6</f>
        <v>36945.724292567218</v>
      </c>
      <c r="Z119" s="7">
        <f>求节点(节奏总纲!E$4:E$163,S$5:S$164,$X119)*6</f>
        <v>38091.080550871673</v>
      </c>
      <c r="AA119" s="7">
        <f>求节点(节奏总纲!F$4:F$163,T$5:T$164,$X119)*6</f>
        <v>39604.425558918141</v>
      </c>
      <c r="AB119" s="7">
        <f>求节点(节奏总纲!G$4:G$163,U$5:U$164,$X119)*6</f>
        <v>41783.188392448203</v>
      </c>
      <c r="AC119" s="7">
        <f>求节点(节奏总纲!H$4:H$163,V$5:V$164,$X119)*6</f>
        <v>45668.414945226345</v>
      </c>
      <c r="AG119" s="7">
        <v>115</v>
      </c>
      <c r="AH119" s="7">
        <v>1</v>
      </c>
      <c r="AI119" s="7">
        <f>[6]实力验证!$Z121</f>
        <v>1.6346506102664782</v>
      </c>
      <c r="AJ119" s="7">
        <f>[6]实力验证!$AE121</f>
        <v>2.8354904702972075</v>
      </c>
      <c r="AK119" s="7">
        <f>[6]实力验证!$AJ121</f>
        <v>7.3031272748822378</v>
      </c>
      <c r="AL119" s="7">
        <f>[6]实力验证!$AO121</f>
        <v>25.480035332040508</v>
      </c>
      <c r="AM119" s="7">
        <f t="shared" si="4"/>
        <v>95.837005055717739</v>
      </c>
      <c r="AR119" s="14">
        <v>115</v>
      </c>
      <c r="AS119" s="14">
        <f>[6]攻城值!AC119</f>
        <v>626.43420000000003</v>
      </c>
      <c r="AT119" s="14">
        <f>[6]攻城值!AD119</f>
        <v>627.68916000000002</v>
      </c>
      <c r="AU119" s="14">
        <f>[6]攻城值!AE119</f>
        <v>630.19907999999998</v>
      </c>
      <c r="AV119" s="14">
        <f>[6]攻城值!AF119</f>
        <v>633.96396000000004</v>
      </c>
      <c r="AW119" s="14">
        <f>[6]攻城值!AG119</f>
        <v>638.98380000000009</v>
      </c>
      <c r="AY119" s="14">
        <v>115</v>
      </c>
      <c r="AZ119" s="14">
        <f>[6]攻城值!AJ119</f>
        <v>3841.3703658424311</v>
      </c>
      <c r="BA119" s="14">
        <f>[6]攻城值!AK119</f>
        <v>3895.8286399131225</v>
      </c>
      <c r="BB119" s="14">
        <f>[6]攻城值!AL119</f>
        <v>3960.8482022087551</v>
      </c>
      <c r="BC119" s="14">
        <f>[6]攻城值!AM119</f>
        <v>4037.984959106072</v>
      </c>
      <c r="BD119" s="14">
        <f>[6]攻城值!AN119</f>
        <v>4128.4791872854148</v>
      </c>
      <c r="BF119" s="14">
        <v>115</v>
      </c>
      <c r="BG119" s="14">
        <f t="shared" si="7"/>
        <v>0.15064808849528574</v>
      </c>
      <c r="BH119" s="14">
        <f t="shared" si="8"/>
        <v>0.84935191150471423</v>
      </c>
      <c r="BL119" s="14">
        <v>115</v>
      </c>
      <c r="BM119" s="15">
        <f t="shared" si="6"/>
        <v>1</v>
      </c>
      <c r="BN119" s="15">
        <f t="shared" si="9"/>
        <v>1</v>
      </c>
      <c r="BO119" s="15">
        <f t="shared" si="9"/>
        <v>1</v>
      </c>
      <c r="BP119" s="15">
        <f t="shared" si="9"/>
        <v>1</v>
      </c>
      <c r="BQ119" s="15">
        <f t="shared" si="9"/>
        <v>1</v>
      </c>
      <c r="BR119" s="15">
        <f>'[1]功能-战损相关'!M125</f>
        <v>0.125</v>
      </c>
      <c r="BS119" s="15">
        <f>'[1]功能-战损相关'!N125</f>
        <v>0.125</v>
      </c>
      <c r="BT119" s="15">
        <f>'[1]功能-战损相关'!O125</f>
        <v>0.125</v>
      </c>
      <c r="BU119" s="15">
        <f>'[1]功能-战损相关'!P125</f>
        <v>0.125</v>
      </c>
      <c r="BV119" s="15">
        <f>'[1]功能-战损相关'!Q125</f>
        <v>0.125</v>
      </c>
      <c r="CJ119" s="2">
        <f>[4]兵营招募!S153</f>
        <v>116</v>
      </c>
      <c r="CK119" s="2">
        <f>[4]兵营招募!U153</f>
        <v>32000</v>
      </c>
    </row>
    <row r="120" spans="2:89" x14ac:dyDescent="0.15">
      <c r="B120" s="7">
        <v>116</v>
      </c>
      <c r="C120" s="7">
        <f>[1]服务器生态!W137</f>
        <v>174.26393257500001</v>
      </c>
      <c r="D120" s="7">
        <f>[1]服务器生态!X137</f>
        <v>171.82583324050935</v>
      </c>
      <c r="E120" s="7">
        <f>[1]服务器生态!Y137</f>
        <v>14.026192717824003</v>
      </c>
      <c r="F120" s="7">
        <f>[1]服务器生态!Z137</f>
        <v>2.4953588000000009</v>
      </c>
      <c r="G120" s="7">
        <f>[1]服务器生态!AA137</f>
        <v>0.72201599999999999</v>
      </c>
      <c r="H120" s="7">
        <f>[1]服务器生态!AC137</f>
        <v>0.47962550249999997</v>
      </c>
      <c r="I120" s="7">
        <f>[1]服务器生态!AD137</f>
        <v>0.47291513735919999</v>
      </c>
      <c r="J120" s="7">
        <f>[1]服务器生态!AE137</f>
        <v>3.8604200140800002E-2</v>
      </c>
      <c r="K120" s="7">
        <f>[1]服务器生态!AF137</f>
        <v>6.8679600000000019E-3</v>
      </c>
      <c r="L120" s="7">
        <f>[1]服务器生态!AG137</f>
        <v>1.9871999999999997E-3</v>
      </c>
      <c r="M120" s="7">
        <f>[5]基础信息!M119</f>
        <v>100</v>
      </c>
      <c r="Q120" s="7">
        <v>116</v>
      </c>
      <c r="R120" s="7">
        <f>[6]带兵数!D119</f>
        <v>9339.8477193800427</v>
      </c>
      <c r="S120" s="7">
        <f>[6]带兵数!E119</f>
        <v>9381.0597738310807</v>
      </c>
      <c r="T120" s="7">
        <f>[6]带兵数!F119</f>
        <v>9425.4284734329576</v>
      </c>
      <c r="U120" s="7">
        <f>[6]带兵数!G119</f>
        <v>9473.0528781601242</v>
      </c>
      <c r="V120" s="7">
        <f>[6]带兵数!H119</f>
        <v>9525.0055056035817</v>
      </c>
      <c r="X120" s="7">
        <v>116</v>
      </c>
      <c r="Y120" s="7">
        <f>求节点(节奏总纲!D$4:D$163,R$5:R$164,$X120)*6</f>
        <v>36996.332729114991</v>
      </c>
      <c r="Z120" s="7">
        <f>求节点(节奏总纲!E$4:E$163,S$5:S$164,$X120)*6</f>
        <v>38140.925942811373</v>
      </c>
      <c r="AA120" s="7">
        <f>求节点(节奏总纲!F$4:F$163,T$5:T$164,$X120)*6</f>
        <v>39653.913341423904</v>
      </c>
      <c r="AB120" s="7">
        <f>求节点(节奏总纲!G$4:G$163,U$5:U$164,$X120)*6</f>
        <v>41832.405472388418</v>
      </c>
      <c r="AC120" s="7">
        <f>求节点(节奏总纲!H$4:H$163,V$5:V$164,$X120)*6</f>
        <v>45721.918108427417</v>
      </c>
      <c r="AG120" s="7">
        <v>116</v>
      </c>
      <c r="AH120" s="7">
        <v>1</v>
      </c>
      <c r="AI120" s="7">
        <f>[6]实力验证!$Z122</f>
        <v>1.6358659492914804</v>
      </c>
      <c r="AJ120" s="7">
        <f>[6]实力验证!$AE122</f>
        <v>2.8369123121301389</v>
      </c>
      <c r="AK120" s="7">
        <f>[6]实力验证!$AJ122</f>
        <v>7.3243631198765273</v>
      </c>
      <c r="AL120" s="7">
        <f>[6]实力验证!$AO122</f>
        <v>25.503765070891728</v>
      </c>
      <c r="AM120" s="7">
        <f t="shared" si="4"/>
        <v>95.919970755244634</v>
      </c>
      <c r="AR120" s="14">
        <v>116</v>
      </c>
      <c r="AS120" s="14">
        <f>[6]攻城值!AC120</f>
        <v>631.46580000000006</v>
      </c>
      <c r="AT120" s="14">
        <f>[6]攻城值!AD120</f>
        <v>632.73084000000006</v>
      </c>
      <c r="AU120" s="14">
        <f>[6]攻城值!AE120</f>
        <v>635.26091999999994</v>
      </c>
      <c r="AV120" s="14">
        <f>[6]攻城值!AF120</f>
        <v>639.05604000000005</v>
      </c>
      <c r="AW120" s="14">
        <f>[6]攻城值!AG120</f>
        <v>644.11620000000005</v>
      </c>
      <c r="AY120" s="14">
        <v>116</v>
      </c>
      <c r="AZ120" s="14">
        <f>[6]攻城值!AJ120</f>
        <v>3893.4361652963357</v>
      </c>
      <c r="BA120" s="14">
        <f>[6]攻城值!AK120</f>
        <v>3947.6934411422299</v>
      </c>
      <c r="BB120" s="14">
        <f>[6]攻城值!AL120</f>
        <v>4012.6147751518147</v>
      </c>
      <c r="BC120" s="14">
        <f>[6]攻城值!AM120</f>
        <v>4089.8530990988816</v>
      </c>
      <c r="BD120" s="14">
        <f>[6]攻城值!AN120</f>
        <v>4180.5923195740352</v>
      </c>
      <c r="BF120" s="14">
        <v>116</v>
      </c>
      <c r="BG120" s="14">
        <f t="shared" si="7"/>
        <v>0.15064808849528574</v>
      </c>
      <c r="BH120" s="14">
        <f t="shared" si="8"/>
        <v>0.84935191150471423</v>
      </c>
      <c r="BL120" s="14">
        <v>116</v>
      </c>
      <c r="BM120" s="15">
        <f t="shared" si="6"/>
        <v>1</v>
      </c>
      <c r="BN120" s="15">
        <f t="shared" si="9"/>
        <v>1</v>
      </c>
      <c r="BO120" s="15">
        <f t="shared" si="9"/>
        <v>1</v>
      </c>
      <c r="BP120" s="15">
        <f t="shared" si="9"/>
        <v>1</v>
      </c>
      <c r="BQ120" s="15">
        <f t="shared" si="9"/>
        <v>1</v>
      </c>
      <c r="BR120" s="15">
        <f>'[1]功能-战损相关'!M126</f>
        <v>0.125</v>
      </c>
      <c r="BS120" s="15">
        <f>'[1]功能-战损相关'!N126</f>
        <v>0.125</v>
      </c>
      <c r="BT120" s="15">
        <f>'[1]功能-战损相关'!O126</f>
        <v>0.125</v>
      </c>
      <c r="BU120" s="15">
        <f>'[1]功能-战损相关'!P126</f>
        <v>0.125</v>
      </c>
      <c r="BV120" s="15">
        <f>'[1]功能-战损相关'!Q126</f>
        <v>0.125</v>
      </c>
      <c r="CJ120" s="2">
        <f>[4]兵营招募!S154</f>
        <v>117</v>
      </c>
      <c r="CK120" s="2">
        <f>[4]兵营招募!U154</f>
        <v>32000</v>
      </c>
    </row>
    <row r="121" spans="2:89" x14ac:dyDescent="0.15">
      <c r="B121" s="7">
        <v>117</v>
      </c>
      <c r="C121" s="7">
        <f>[1]服务器生态!W138</f>
        <v>172.66518090000002</v>
      </c>
      <c r="D121" s="7">
        <f>[1]服务器生态!X138</f>
        <v>170.24944944931201</v>
      </c>
      <c r="E121" s="7">
        <f>[1]服务器生态!Y138</f>
        <v>13.897512050688002</v>
      </c>
      <c r="F121" s="7">
        <f>[1]服务器生态!Z138</f>
        <v>2.4724656000000009</v>
      </c>
      <c r="G121" s="7">
        <f>[1]服务器生态!AA138</f>
        <v>0.71539200000000003</v>
      </c>
      <c r="H121" s="7">
        <f>[1]服务器生态!AC138</f>
        <v>0.47962550249999997</v>
      </c>
      <c r="I121" s="7">
        <f>[1]服务器生态!AD138</f>
        <v>0.47291513735919999</v>
      </c>
      <c r="J121" s="7">
        <f>[1]服务器生态!AE138</f>
        <v>3.8604200140800002E-2</v>
      </c>
      <c r="K121" s="7">
        <f>[1]服务器生态!AF138</f>
        <v>6.8679600000000019E-3</v>
      </c>
      <c r="L121" s="7">
        <f>[1]服务器生态!AG138</f>
        <v>1.9871999999999997E-3</v>
      </c>
      <c r="M121" s="7">
        <f>[5]基础信息!M120</f>
        <v>100</v>
      </c>
      <c r="Q121" s="7">
        <v>117</v>
      </c>
      <c r="R121" s="7">
        <f>[6]带兵数!D120</f>
        <v>9407.4756475513695</v>
      </c>
      <c r="S121" s="7">
        <f>[6]带兵数!E120</f>
        <v>9448.858139758293</v>
      </c>
      <c r="T121" s="7">
        <f>[6]带兵数!F120</f>
        <v>9492.7597957455237</v>
      </c>
      <c r="U121" s="7">
        <f>[6]带兵数!G120</f>
        <v>9541.5741365011127</v>
      </c>
      <c r="V121" s="7">
        <f>[6]带兵数!H120</f>
        <v>9592.6729194306481</v>
      </c>
      <c r="X121" s="7">
        <v>117</v>
      </c>
      <c r="Y121" s="7">
        <f>求节点(节奏总纲!D$4:D$163,R$5:R$164,$X121)*6</f>
        <v>37046.941165662778</v>
      </c>
      <c r="Z121" s="7">
        <f>求节点(节奏总纲!E$4:E$163,S$5:S$164,$X121)*6</f>
        <v>38190.771334751073</v>
      </c>
      <c r="AA121" s="7">
        <f>求节点(节奏总纲!F$4:F$163,T$5:T$164,$X121)*6</f>
        <v>39703.401123929667</v>
      </c>
      <c r="AB121" s="7">
        <f>求节点(节奏总纲!G$4:G$163,U$5:U$164,$X121)*6</f>
        <v>41880.981822652873</v>
      </c>
      <c r="AC121" s="7">
        <f>求节点(节奏总纲!H$4:H$163,V$5:V$164,$X121)*6</f>
        <v>45771.45430638831</v>
      </c>
      <c r="AG121" s="7">
        <v>117</v>
      </c>
      <c r="AH121" s="7">
        <v>1</v>
      </c>
      <c r="AI121" s="7">
        <f>[6]实力验证!$Z123</f>
        <v>1.6370520157846222</v>
      </c>
      <c r="AJ121" s="7">
        <f>[6]实力验证!$AE123</f>
        <v>2.8382999076256299</v>
      </c>
      <c r="AK121" s="7">
        <f>[6]实力验证!$AJ123</f>
        <v>7.3460871438826798</v>
      </c>
      <c r="AL121" s="7">
        <f>[6]实力验证!$AO123</f>
        <v>25.515938117121564</v>
      </c>
      <c r="AM121" s="7">
        <f t="shared" si="4"/>
        <v>95.997945346792207</v>
      </c>
      <c r="AR121" s="14">
        <v>117</v>
      </c>
      <c r="AS121" s="14">
        <f>[6]攻城值!AC121</f>
        <v>636.49740000000008</v>
      </c>
      <c r="AT121" s="14">
        <f>[6]攻城值!AD121</f>
        <v>637.7725200000001</v>
      </c>
      <c r="AU121" s="14">
        <f>[6]攻城值!AE121</f>
        <v>640.32276000000002</v>
      </c>
      <c r="AV121" s="14">
        <f>[6]攻城值!AF121</f>
        <v>644.14812000000006</v>
      </c>
      <c r="AW121" s="14">
        <f>[6]攻城值!AG121</f>
        <v>649.24860000000001</v>
      </c>
      <c r="AY121" s="14">
        <v>117</v>
      </c>
      <c r="AZ121" s="14">
        <f>[6]攻城值!AJ121</f>
        <v>3945.5019647502404</v>
      </c>
      <c r="BA121" s="14">
        <f>[6]攻城值!AK121</f>
        <v>3999.5582423713377</v>
      </c>
      <c r="BB121" s="14">
        <f>[6]攻城值!AL121</f>
        <v>4064.3813480948743</v>
      </c>
      <c r="BC121" s="14">
        <f>[6]攻城值!AM121</f>
        <v>4141.7212390916902</v>
      </c>
      <c r="BD121" s="14">
        <f>[6]攻城值!AN121</f>
        <v>4232.7054518626555</v>
      </c>
      <c r="BF121" s="14">
        <v>117</v>
      </c>
      <c r="BG121" s="14">
        <f t="shared" si="7"/>
        <v>0.15064808849528574</v>
      </c>
      <c r="BH121" s="14">
        <f t="shared" si="8"/>
        <v>0.84935191150471423</v>
      </c>
      <c r="BL121" s="14">
        <v>117</v>
      </c>
      <c r="BM121" s="15">
        <f t="shared" si="6"/>
        <v>1</v>
      </c>
      <c r="BN121" s="15">
        <f t="shared" si="9"/>
        <v>1</v>
      </c>
      <c r="BO121" s="15">
        <f t="shared" si="9"/>
        <v>1</v>
      </c>
      <c r="BP121" s="15">
        <f t="shared" si="9"/>
        <v>1</v>
      </c>
      <c r="BQ121" s="15">
        <f t="shared" si="9"/>
        <v>1</v>
      </c>
      <c r="BR121" s="15">
        <f>'[1]功能-战损相关'!M127</f>
        <v>0.125</v>
      </c>
      <c r="BS121" s="15">
        <f>'[1]功能-战损相关'!N127</f>
        <v>0.125</v>
      </c>
      <c r="BT121" s="15">
        <f>'[1]功能-战损相关'!O127</f>
        <v>0.125</v>
      </c>
      <c r="BU121" s="15">
        <f>'[1]功能-战损相关'!P127</f>
        <v>0.125</v>
      </c>
      <c r="BV121" s="15">
        <f>'[1]功能-战损相关'!Q127</f>
        <v>0.125</v>
      </c>
      <c r="CJ121" s="2">
        <f>[4]兵营招募!S155</f>
        <v>118</v>
      </c>
      <c r="CK121" s="2">
        <f>[4]兵营招募!U155</f>
        <v>32000</v>
      </c>
    </row>
    <row r="122" spans="2:89" x14ac:dyDescent="0.15">
      <c r="B122" s="7">
        <v>118</v>
      </c>
      <c r="C122" s="7">
        <f>[1]服务器生态!W139</f>
        <v>171.06642922500001</v>
      </c>
      <c r="D122" s="7">
        <f>[1]服务器生态!X139</f>
        <v>168.67306565811467</v>
      </c>
      <c r="E122" s="7">
        <f>[1]服务器生态!Y139</f>
        <v>13.768831383552001</v>
      </c>
      <c r="F122" s="7">
        <f>[1]服务器生态!Z139</f>
        <v>2.449572400000001</v>
      </c>
      <c r="G122" s="7">
        <f>[1]服务器生态!AA139</f>
        <v>0.70876799999999995</v>
      </c>
      <c r="H122" s="7">
        <f>[1]服务器生态!AC139</f>
        <v>0.47962550249999997</v>
      </c>
      <c r="I122" s="7">
        <f>[1]服务器生态!AD139</f>
        <v>0.47291513735919999</v>
      </c>
      <c r="J122" s="7">
        <f>[1]服务器生态!AE139</f>
        <v>3.8604200140800002E-2</v>
      </c>
      <c r="K122" s="7">
        <f>[1]服务器生态!AF139</f>
        <v>6.8679600000000019E-3</v>
      </c>
      <c r="L122" s="7">
        <f>[1]服务器生态!AG139</f>
        <v>1.9871999999999997E-3</v>
      </c>
      <c r="M122" s="7">
        <f>[5]基础信息!M121</f>
        <v>100</v>
      </c>
      <c r="Q122" s="7">
        <v>118</v>
      </c>
      <c r="R122" s="7">
        <f>[6]带兵数!D121</f>
        <v>9474.645504649312</v>
      </c>
      <c r="S122" s="7">
        <f>[6]带兵数!E121</f>
        <v>9515.8825463840603</v>
      </c>
      <c r="T122" s="7">
        <f>[6]带兵数!F121</f>
        <v>9561.3208154410822</v>
      </c>
      <c r="U122" s="7">
        <f>[6]带兵数!G121</f>
        <v>9609.2126738180541</v>
      </c>
      <c r="V122" s="7">
        <f>[6]带兵数!H121</f>
        <v>9661.2208257096499</v>
      </c>
      <c r="X122" s="7">
        <v>118</v>
      </c>
      <c r="Y122" s="7">
        <f>求节点(节奏总纲!D$4:D$163,R$5:R$164,$X122)*6</f>
        <v>37097.549602210551</v>
      </c>
      <c r="Z122" s="7">
        <f>求节点(节奏总纲!E$4:E$163,S$5:S$164,$X122)*6</f>
        <v>38240.616726690772</v>
      </c>
      <c r="AA122" s="7">
        <f>求节点(节奏总纲!F$4:F$163,T$5:T$164,$X122)*6</f>
        <v>39752.888906435423</v>
      </c>
      <c r="AB122" s="7">
        <f>求节点(节奏总纲!G$4:G$163,U$5:U$164,$X122)*6</f>
        <v>41929.558172917328</v>
      </c>
      <c r="AC122" s="7">
        <f>求节点(节奏总纲!H$4:H$163,V$5:V$164,$X122)*6</f>
        <v>45820.990504349204</v>
      </c>
      <c r="AG122" s="7">
        <v>118</v>
      </c>
      <c r="AH122" s="7">
        <v>1</v>
      </c>
      <c r="AI122" s="7">
        <f>[6]实力验证!$Z124</f>
        <v>1.6382098547438737</v>
      </c>
      <c r="AJ122" s="7">
        <f>[6]实力验证!$AE124</f>
        <v>2.8396544793411711</v>
      </c>
      <c r="AK122" s="7">
        <f>[6]实力验证!$AJ124</f>
        <v>7.3672941516613148</v>
      </c>
      <c r="AL122" s="7">
        <f>[6]实力验证!$AO124</f>
        <v>25.527821453561099</v>
      </c>
      <c r="AM122" s="7">
        <f t="shared" si="4"/>
        <v>96.074064198852781</v>
      </c>
      <c r="AR122" s="14">
        <v>118</v>
      </c>
      <c r="AS122" s="14">
        <f>[6]攻城值!AC122</f>
        <v>641.52900000000011</v>
      </c>
      <c r="AT122" s="14">
        <f>[6]攻城值!AD122</f>
        <v>642.81420000000014</v>
      </c>
      <c r="AU122" s="14">
        <f>[6]攻城值!AE122</f>
        <v>645.38459999999998</v>
      </c>
      <c r="AV122" s="14">
        <f>[6]攻城值!AF122</f>
        <v>649.24020000000007</v>
      </c>
      <c r="AW122" s="14">
        <f>[6]攻城值!AG122</f>
        <v>654.38100000000009</v>
      </c>
      <c r="AY122" s="14">
        <v>118</v>
      </c>
      <c r="AZ122" s="14">
        <f>[6]攻城值!AJ122</f>
        <v>3997.5677642041455</v>
      </c>
      <c r="BA122" s="14">
        <f>[6]攻城值!AK122</f>
        <v>4051.423043600445</v>
      </c>
      <c r="BB122" s="14">
        <f>[6]攻城值!AL122</f>
        <v>4116.1479210379339</v>
      </c>
      <c r="BC122" s="14">
        <f>[6]攻城值!AM122</f>
        <v>4193.5893790845003</v>
      </c>
      <c r="BD122" s="14">
        <f>[6]攻城值!AN122</f>
        <v>4284.818584151275</v>
      </c>
      <c r="BF122" s="14">
        <v>118</v>
      </c>
      <c r="BG122" s="14">
        <f t="shared" si="7"/>
        <v>0.15064808849528574</v>
      </c>
      <c r="BH122" s="14">
        <f t="shared" si="8"/>
        <v>0.84935191150471423</v>
      </c>
      <c r="BL122" s="14">
        <v>118</v>
      </c>
      <c r="BM122" s="15">
        <f t="shared" si="6"/>
        <v>1</v>
      </c>
      <c r="BN122" s="15">
        <f t="shared" si="9"/>
        <v>1</v>
      </c>
      <c r="BO122" s="15">
        <f t="shared" si="9"/>
        <v>1</v>
      </c>
      <c r="BP122" s="15">
        <f t="shared" si="9"/>
        <v>1</v>
      </c>
      <c r="BQ122" s="15">
        <f t="shared" si="9"/>
        <v>1</v>
      </c>
      <c r="BR122" s="15">
        <f>'[1]功能-战损相关'!M128</f>
        <v>0.125</v>
      </c>
      <c r="BS122" s="15">
        <f>'[1]功能-战损相关'!N128</f>
        <v>0.125</v>
      </c>
      <c r="BT122" s="15">
        <f>'[1]功能-战损相关'!O128</f>
        <v>0.125</v>
      </c>
      <c r="BU122" s="15">
        <f>'[1]功能-战损相关'!P128</f>
        <v>0.125</v>
      </c>
      <c r="BV122" s="15">
        <f>'[1]功能-战损相关'!Q128</f>
        <v>0.125</v>
      </c>
      <c r="CJ122" s="2">
        <f>[4]兵营招募!S156</f>
        <v>119</v>
      </c>
      <c r="CK122" s="2">
        <f>[4]兵营招募!U156</f>
        <v>32000</v>
      </c>
    </row>
    <row r="123" spans="2:89" x14ac:dyDescent="0.15">
      <c r="B123" s="7">
        <v>119</v>
      </c>
      <c r="C123" s="7">
        <f>[1]服务器生态!W140</f>
        <v>169.46767755000002</v>
      </c>
      <c r="D123" s="7">
        <f>[1]服务器生态!X140</f>
        <v>167.09668186691735</v>
      </c>
      <c r="E123" s="7">
        <f>[1]服务器生态!Y140</f>
        <v>13.640150716416002</v>
      </c>
      <c r="F123" s="7">
        <f>[1]服务器生态!Z140</f>
        <v>2.426679200000001</v>
      </c>
      <c r="G123" s="7">
        <f>[1]服务器生态!AA140</f>
        <v>0.70214399999999999</v>
      </c>
      <c r="H123" s="7">
        <f>[1]服务器生态!AC140</f>
        <v>0.47962550249999997</v>
      </c>
      <c r="I123" s="7">
        <f>[1]服务器生态!AD140</f>
        <v>0.47291513735919999</v>
      </c>
      <c r="J123" s="7">
        <f>[1]服务器生态!AE140</f>
        <v>3.8604200140800002E-2</v>
      </c>
      <c r="K123" s="7">
        <f>[1]服务器生态!AF140</f>
        <v>6.8679600000000019E-3</v>
      </c>
      <c r="L123" s="7">
        <f>[1]服务器生态!AG140</f>
        <v>1.9871999999999997E-3</v>
      </c>
      <c r="M123" s="7">
        <f>[5]基础信息!M122</f>
        <v>100</v>
      </c>
      <c r="Q123" s="7">
        <v>119</v>
      </c>
      <c r="R123" s="7">
        <f>[6]带兵数!D122</f>
        <v>9541.9198446077917</v>
      </c>
      <c r="S123" s="7">
        <f>[6]带兵数!E122</f>
        <v>9584.3850498495958</v>
      </c>
      <c r="T123" s="7">
        <f>[6]带兵数!F122</f>
        <v>9628.7780384292182</v>
      </c>
      <c r="U123" s="7">
        <f>[6]带兵数!G122</f>
        <v>9678.1643983802387</v>
      </c>
      <c r="V123" s="7">
        <f>[6]带兵数!H122</f>
        <v>9725.4656492906943</v>
      </c>
      <c r="X123" s="7">
        <v>119</v>
      </c>
      <c r="Y123" s="7">
        <f>求节点(节奏总纲!D$4:D$163,R$5:R$164,$X123)*6</f>
        <v>37145.762646290299</v>
      </c>
      <c r="Z123" s="7">
        <f>求节点(节奏总纲!E$4:E$163,S$5:S$164,$X123)*6</f>
        <v>38288.388057287288</v>
      </c>
      <c r="AA123" s="7">
        <f>求节点(节奏总纲!F$4:F$163,T$5:T$164,$X123)*6</f>
        <v>39801.772372877283</v>
      </c>
      <c r="AB123" s="7">
        <f>求节点(节奏总纲!G$4:G$163,U$5:U$164,$X123)*6</f>
        <v>41978.134523181783</v>
      </c>
      <c r="AC123" s="7">
        <f>求节点(节奏总纲!H$4:H$163,V$5:V$164,$X123)*6</f>
        <v>45870.52670231009</v>
      </c>
      <c r="AG123" s="7">
        <v>119</v>
      </c>
      <c r="AH123" s="7">
        <v>1</v>
      </c>
      <c r="AI123" s="7">
        <f>[6]实力验证!$Z125</f>
        <v>1.6397093547036112</v>
      </c>
      <c r="AJ123" s="7">
        <f>[6]实力验证!$AE125</f>
        <v>2.8405033798806878</v>
      </c>
      <c r="AK123" s="7">
        <f>[6]实力验证!$AJ125</f>
        <v>7.3851725971029598</v>
      </c>
      <c r="AL123" s="7">
        <f>[6]实力验证!$AO125</f>
        <v>25.52964307507802</v>
      </c>
      <c r="AM123" s="7">
        <f t="shared" si="4"/>
        <v>96.147792850244201</v>
      </c>
      <c r="AR123" s="14">
        <v>119</v>
      </c>
      <c r="AS123" s="14">
        <f>[6]攻城值!AC123</f>
        <v>646.56060000000002</v>
      </c>
      <c r="AT123" s="14">
        <f>[6]攻城值!AD123</f>
        <v>647.85588000000007</v>
      </c>
      <c r="AU123" s="14">
        <f>[6]攻城值!AE123</f>
        <v>650.44644000000005</v>
      </c>
      <c r="AV123" s="14">
        <f>[6]攻城值!AF123</f>
        <v>654.33227999999997</v>
      </c>
      <c r="AW123" s="14">
        <f>[6]攻城值!AG123</f>
        <v>659.51340000000005</v>
      </c>
      <c r="AY123" s="14">
        <v>119</v>
      </c>
      <c r="AZ123" s="14">
        <f>[6]攻城值!AJ123</f>
        <v>4049.6335636580498</v>
      </c>
      <c r="BA123" s="14">
        <f>[6]攻城值!AK123</f>
        <v>4103.2878448295523</v>
      </c>
      <c r="BB123" s="14">
        <f>[6]攻城值!AL123</f>
        <v>4167.914493980993</v>
      </c>
      <c r="BC123" s="14">
        <f>[6]攻城值!AM123</f>
        <v>4245.4575190773094</v>
      </c>
      <c r="BD123" s="14">
        <f>[6]攻城值!AN123</f>
        <v>4336.9317164398944</v>
      </c>
      <c r="BF123" s="14">
        <v>119</v>
      </c>
      <c r="BG123" s="14">
        <f t="shared" si="7"/>
        <v>0.15064808849528574</v>
      </c>
      <c r="BH123" s="14">
        <f t="shared" si="8"/>
        <v>0.84935191150471423</v>
      </c>
      <c r="BL123" s="14">
        <v>119</v>
      </c>
      <c r="BM123" s="15">
        <f t="shared" si="6"/>
        <v>1</v>
      </c>
      <c r="BN123" s="15">
        <f t="shared" si="9"/>
        <v>1</v>
      </c>
      <c r="BO123" s="15">
        <f t="shared" si="9"/>
        <v>1</v>
      </c>
      <c r="BP123" s="15">
        <f t="shared" si="9"/>
        <v>1</v>
      </c>
      <c r="BQ123" s="15">
        <f t="shared" si="9"/>
        <v>1</v>
      </c>
      <c r="BR123" s="15">
        <f>'[1]功能-战损相关'!M129</f>
        <v>0.125</v>
      </c>
      <c r="BS123" s="15">
        <f>'[1]功能-战损相关'!N129</f>
        <v>0.125</v>
      </c>
      <c r="BT123" s="15">
        <f>'[1]功能-战损相关'!O129</f>
        <v>0.125</v>
      </c>
      <c r="BU123" s="15">
        <f>'[1]功能-战损相关'!P129</f>
        <v>0.125</v>
      </c>
      <c r="BV123" s="15">
        <f>'[1]功能-战损相关'!Q129</f>
        <v>0.125</v>
      </c>
      <c r="CJ123" s="2">
        <f>[4]兵营招募!S157</f>
        <v>120</v>
      </c>
      <c r="CK123" s="2">
        <f>[4]兵营招募!U157</f>
        <v>32000</v>
      </c>
    </row>
    <row r="124" spans="2:89" x14ac:dyDescent="0.15">
      <c r="B124" s="7">
        <v>120</v>
      </c>
      <c r="C124" s="7">
        <f>[1]服务器生态!W141</f>
        <v>167.868925875</v>
      </c>
      <c r="D124" s="7">
        <f>[1]服务器生态!X141</f>
        <v>165.52029807572004</v>
      </c>
      <c r="E124" s="7">
        <f>[1]服务器生态!Y141</f>
        <v>13.511470049280003</v>
      </c>
      <c r="F124" s="7">
        <f>[1]服务器生态!Z141</f>
        <v>2.4037860000000011</v>
      </c>
      <c r="G124" s="7">
        <f>[1]服务器生态!AA141</f>
        <v>0.69552000000000003</v>
      </c>
      <c r="H124" s="7">
        <f>[1]服务器生态!AC141</f>
        <v>0.47962550249999997</v>
      </c>
      <c r="I124" s="7">
        <f>[1]服务器生态!AD141</f>
        <v>0.47291513735919999</v>
      </c>
      <c r="J124" s="7">
        <f>[1]服务器生态!AE141</f>
        <v>3.8604200140800002E-2</v>
      </c>
      <c r="K124" s="7">
        <f>[1]服务器生态!AF141</f>
        <v>6.8679600000000019E-3</v>
      </c>
      <c r="L124" s="7">
        <f>[1]服务器生态!AG141</f>
        <v>1.9871999999999997E-3</v>
      </c>
      <c r="M124" s="7">
        <f>[5]基础信息!M123</f>
        <v>100</v>
      </c>
      <c r="Q124" s="7">
        <v>120</v>
      </c>
      <c r="R124" s="7">
        <f>[6]带兵数!D123</f>
        <v>9609.5184230627638</v>
      </c>
      <c r="S124" s="7">
        <f>[6]带兵数!E123</f>
        <v>9651.4335426471262</v>
      </c>
      <c r="T124" s="7">
        <f>[6]带兵数!F123</f>
        <v>9697.4598905166167</v>
      </c>
      <c r="U124" s="7">
        <f>[6]带兵数!G123</f>
        <v>9741.3314878136025</v>
      </c>
      <c r="V124" s="7">
        <f>[6]带兵数!H123</f>
        <v>9791.8752205023811</v>
      </c>
      <c r="X124" s="7">
        <v>120</v>
      </c>
      <c r="Y124" s="7">
        <f>求节点(节奏总纲!D$4:D$163,R$5:R$164,$X124)*6</f>
        <v>37192.181701105161</v>
      </c>
      <c r="Z124" s="7">
        <f>求节点(节奏总纲!E$4:E$163,S$5:S$164,$X124)*6</f>
        <v>38336.087996490533</v>
      </c>
      <c r="AA124" s="7">
        <f>求节点(节奏总纲!F$4:F$163,T$5:T$164,$X124)*6</f>
        <v>39849.224133097348</v>
      </c>
      <c r="AB124" s="7">
        <f>求节点(节奏总纲!G$4:G$163,U$5:U$164,$X124)*6</f>
        <v>42026.710873446238</v>
      </c>
      <c r="AC124" s="7">
        <f>求节点(节奏总纲!H$4:H$163,V$5:V$164,$X124)*6</f>
        <v>45920.06290027099</v>
      </c>
      <c r="AG124" s="7">
        <v>120</v>
      </c>
      <c r="AH124" s="7">
        <v>1</v>
      </c>
      <c r="AI124" s="7">
        <f>[6]实力验证!$Z126</f>
        <v>1.6407417697375042</v>
      </c>
      <c r="AJ124" s="7">
        <f>[6]实力验证!$AE126</f>
        <v>2.8419644771207997</v>
      </c>
      <c r="AK124" s="7">
        <f>[6]实力验证!$AJ126</f>
        <v>7.4005247685802482</v>
      </c>
      <c r="AL124" s="7">
        <f>[6]实力验证!$AO126</f>
        <v>25.524186949299636</v>
      </c>
      <c r="AM124" s="7">
        <f t="shared" si="4"/>
        <v>96.206159477643411</v>
      </c>
      <c r="AR124" s="14">
        <v>120</v>
      </c>
      <c r="AS124" s="14">
        <f>[6]攻城值!AC124</f>
        <v>651.59220000000005</v>
      </c>
      <c r="AT124" s="14">
        <f>[6]攻城值!AD124</f>
        <v>652.89756</v>
      </c>
      <c r="AU124" s="14">
        <f>[6]攻城值!AE124</f>
        <v>655.50828000000001</v>
      </c>
      <c r="AV124" s="14">
        <f>[6]攻城值!AF124</f>
        <v>659.42435999999998</v>
      </c>
      <c r="AW124" s="14">
        <f>[6]攻城值!AG124</f>
        <v>664.64580000000012</v>
      </c>
      <c r="AY124" s="14">
        <v>120</v>
      </c>
      <c r="AZ124" s="14">
        <f>[6]攻城值!AJ124</f>
        <v>4101.6993631119549</v>
      </c>
      <c r="BA124" s="14">
        <f>[6]攻城值!AK124</f>
        <v>4155.1526460586592</v>
      </c>
      <c r="BB124" s="14">
        <f>[6]攻城值!AL124</f>
        <v>4219.6810669240522</v>
      </c>
      <c r="BC124" s="14">
        <f>[6]攻城值!AM124</f>
        <v>4297.3256590701185</v>
      </c>
      <c r="BD124" s="14">
        <f>[6]攻城值!AN124</f>
        <v>4389.0448487285148</v>
      </c>
      <c r="BF124" s="14">
        <v>120</v>
      </c>
      <c r="BG124" s="14">
        <f t="shared" si="7"/>
        <v>0.15064808849528574</v>
      </c>
      <c r="BH124" s="14">
        <f t="shared" si="8"/>
        <v>0.84935191150471423</v>
      </c>
      <c r="BL124" s="14">
        <v>120</v>
      </c>
      <c r="BM124" s="15">
        <f t="shared" si="6"/>
        <v>1</v>
      </c>
      <c r="BN124" s="15">
        <f t="shared" si="9"/>
        <v>1</v>
      </c>
      <c r="BO124" s="15">
        <f t="shared" si="9"/>
        <v>1</v>
      </c>
      <c r="BP124" s="15">
        <f t="shared" si="9"/>
        <v>1</v>
      </c>
      <c r="BQ124" s="15">
        <f t="shared" si="9"/>
        <v>1</v>
      </c>
      <c r="BR124" s="15">
        <f>'[1]功能-战损相关'!M130</f>
        <v>0.125</v>
      </c>
      <c r="BS124" s="15">
        <f>'[1]功能-战损相关'!N130</f>
        <v>0.125</v>
      </c>
      <c r="BT124" s="15">
        <f>'[1]功能-战损相关'!O130</f>
        <v>0.125</v>
      </c>
      <c r="BU124" s="15">
        <f>'[1]功能-战损相关'!P130</f>
        <v>0.125</v>
      </c>
      <c r="BV124" s="15">
        <f>'[1]功能-战损相关'!Q130</f>
        <v>0.125</v>
      </c>
      <c r="CJ124" s="2"/>
    </row>
    <row r="125" spans="2:89" x14ac:dyDescent="0.15">
      <c r="B125" s="7">
        <v>121</v>
      </c>
      <c r="C125" s="7">
        <f>[1]服务器生态!W142</f>
        <v>167.06955003749997</v>
      </c>
      <c r="D125" s="7">
        <f>[1]服务器生态!X142</f>
        <v>164.73210618012132</v>
      </c>
      <c r="E125" s="7">
        <f>[1]服务器生态!Y142</f>
        <v>13.447129715712</v>
      </c>
      <c r="F125" s="7">
        <f>[1]服务器生态!Z142</f>
        <v>2.3923394000000004</v>
      </c>
      <c r="G125" s="7">
        <f>[1]服务器生态!AA142</f>
        <v>0.69220799999999982</v>
      </c>
      <c r="H125" s="7">
        <f>[1]服务器生态!AC142</f>
        <v>0.47962550249999997</v>
      </c>
      <c r="I125" s="7">
        <f>[1]服务器生态!AD142</f>
        <v>0.47291513735919999</v>
      </c>
      <c r="J125" s="7">
        <f>[1]服务器生态!AE142</f>
        <v>3.8604200140800002E-2</v>
      </c>
      <c r="K125" s="7">
        <f>[1]服务器生态!AF142</f>
        <v>6.8679600000000019E-3</v>
      </c>
      <c r="L125" s="7">
        <f>[1]服务器生态!AG142</f>
        <v>1.9871999999999997E-3</v>
      </c>
      <c r="M125" s="7">
        <f>[5]基础信息!M124</f>
        <v>100</v>
      </c>
      <c r="Q125" s="7">
        <v>121</v>
      </c>
      <c r="R125" s="7">
        <f>[6]带兵数!D124</f>
        <v>9676.4443944555514</v>
      </c>
      <c r="S125" s="7">
        <f>[6]带兵数!E124</f>
        <v>9718.9921244478937</v>
      </c>
      <c r="T125" s="7">
        <f>[6]带兵数!F124</f>
        <v>9760.4131448162898</v>
      </c>
      <c r="U125" s="7">
        <f>[6]带兵数!G124</f>
        <v>9807.383875587273</v>
      </c>
      <c r="V125" s="7">
        <f>[6]带兵数!H124</f>
        <v>9856.7913166257658</v>
      </c>
      <c r="X125" s="7">
        <v>121</v>
      </c>
      <c r="Y125" s="7">
        <f>求节点(节奏总纲!D$4:D$163,R$5:R$164,$X125)*6</f>
        <v>37238.600755920022</v>
      </c>
      <c r="Z125" s="7">
        <f>求节点(节奏总纲!E$4:E$163,S$5:S$164,$X125)*6</f>
        <v>38383.78793569377</v>
      </c>
      <c r="AA125" s="7">
        <f>求节点(节奏总纲!F$4:F$163,T$5:T$164,$X125)*6</f>
        <v>39896.675893317406</v>
      </c>
      <c r="AB125" s="7">
        <f>求节点(节奏总纲!G$4:G$163,U$5:U$164,$X125)*6</f>
        <v>42075.287223710693</v>
      </c>
      <c r="AC125" s="7">
        <f>求节点(节奏总纲!H$4:H$163,V$5:V$164,$X125)*6</f>
        <v>45969.599098231876</v>
      </c>
      <c r="AG125" s="7">
        <v>121</v>
      </c>
      <c r="AH125" s="7">
        <v>1</v>
      </c>
      <c r="AI125" s="7">
        <f>[6]实力验证!$Z127</f>
        <v>1.6417491511694919</v>
      </c>
      <c r="AJ125" s="7">
        <f>[6]实力验证!$AE127</f>
        <v>2.843390146238062</v>
      </c>
      <c r="AK125" s="7">
        <f>[6]实力验证!$AJ127</f>
        <v>7.4155046865194434</v>
      </c>
      <c r="AL125" s="7">
        <f>[6]实力验证!$AO127</f>
        <v>25.518863121556645</v>
      </c>
      <c r="AM125" s="7">
        <f t="shared" si="4"/>
        <v>96.263110853552789</v>
      </c>
      <c r="AR125" s="14">
        <v>121</v>
      </c>
      <c r="AS125" s="14">
        <f>[6]攻城值!AC125</f>
        <v>656.62379999999996</v>
      </c>
      <c r="AT125" s="14">
        <f>[6]攻城值!AD125</f>
        <v>657.93924000000004</v>
      </c>
      <c r="AU125" s="14">
        <f>[6]攻城值!AE125</f>
        <v>660.57011999999997</v>
      </c>
      <c r="AV125" s="14">
        <f>[6]攻城值!AF125</f>
        <v>664.51643999999999</v>
      </c>
      <c r="AW125" s="14">
        <f>[6]攻城值!AG125</f>
        <v>669.77820000000008</v>
      </c>
      <c r="AY125" s="14">
        <v>121</v>
      </c>
      <c r="AZ125" s="14">
        <f>[6]攻城值!AJ125</f>
        <v>4153.7651625658591</v>
      </c>
      <c r="BA125" s="14">
        <f>[6]攻城值!AK125</f>
        <v>4207.017447287767</v>
      </c>
      <c r="BB125" s="14">
        <f>[6]攻城值!AL125</f>
        <v>4271.4476398671122</v>
      </c>
      <c r="BC125" s="14">
        <f>[6]攻城值!AM125</f>
        <v>4349.1937990629276</v>
      </c>
      <c r="BD125" s="14">
        <f>[6]攻城值!AN125</f>
        <v>4441.1579810171343</v>
      </c>
      <c r="BF125" s="14">
        <v>121</v>
      </c>
      <c r="BG125" s="14">
        <f t="shared" si="7"/>
        <v>0.15064808849528574</v>
      </c>
      <c r="BH125" s="14">
        <f t="shared" si="8"/>
        <v>0.84935191150471423</v>
      </c>
      <c r="BL125" s="14">
        <v>121</v>
      </c>
      <c r="BM125" s="15">
        <f t="shared" si="6"/>
        <v>1</v>
      </c>
      <c r="BN125" s="15">
        <f t="shared" si="9"/>
        <v>1</v>
      </c>
      <c r="BO125" s="15">
        <f t="shared" si="9"/>
        <v>1</v>
      </c>
      <c r="BP125" s="15">
        <f t="shared" si="9"/>
        <v>1</v>
      </c>
      <c r="BQ125" s="15">
        <f t="shared" si="9"/>
        <v>1</v>
      </c>
      <c r="BR125" s="15">
        <f>'[1]功能-战损相关'!M131</f>
        <v>0.125</v>
      </c>
      <c r="BS125" s="15">
        <f>'[1]功能-战损相关'!N131</f>
        <v>0.125</v>
      </c>
      <c r="BT125" s="15">
        <f>'[1]功能-战损相关'!O131</f>
        <v>0.125</v>
      </c>
      <c r="BU125" s="15">
        <f>'[1]功能-战损相关'!P131</f>
        <v>0.125</v>
      </c>
      <c r="BV125" s="15">
        <f>'[1]功能-战损相关'!Q131</f>
        <v>0.125</v>
      </c>
      <c r="CJ125" s="2"/>
    </row>
    <row r="126" spans="2:89" x14ac:dyDescent="0.15">
      <c r="B126" s="7">
        <v>122</v>
      </c>
      <c r="C126" s="7">
        <f>[1]服务器生态!W143</f>
        <v>166.27017420000001</v>
      </c>
      <c r="D126" s="7">
        <f>[1]服务器生态!X143</f>
        <v>163.94391428452269</v>
      </c>
      <c r="E126" s="7">
        <f>[1]服务器生态!Y143</f>
        <v>13.382789382144004</v>
      </c>
      <c r="F126" s="7">
        <f>[1]服务器生态!Z143</f>
        <v>2.3808928000000011</v>
      </c>
      <c r="G126" s="7">
        <f>[1]服务器生态!AA143</f>
        <v>0.68889600000000006</v>
      </c>
      <c r="H126" s="7">
        <f>[1]服务器生态!AC143</f>
        <v>0.47962550249999997</v>
      </c>
      <c r="I126" s="7">
        <f>[1]服务器生态!AD143</f>
        <v>0.47291513735919999</v>
      </c>
      <c r="J126" s="7">
        <f>[1]服务器生态!AE143</f>
        <v>3.8604200140800002E-2</v>
      </c>
      <c r="K126" s="7">
        <f>[1]服务器生态!AF143</f>
        <v>6.8679600000000019E-3</v>
      </c>
      <c r="L126" s="7">
        <f>[1]服务器生态!AG143</f>
        <v>1.9871999999999997E-3</v>
      </c>
      <c r="M126" s="7">
        <f>[5]基础信息!M125</f>
        <v>100</v>
      </c>
      <c r="Q126" s="7">
        <v>122</v>
      </c>
      <c r="R126" s="7">
        <f>[6]带兵数!D125</f>
        <v>9744.4650363204728</v>
      </c>
      <c r="S126" s="7">
        <f>[6]带兵数!E125</f>
        <v>9783.4793164008734</v>
      </c>
      <c r="T126" s="7">
        <f>[6]带兵数!F125</f>
        <v>9827.522464183945</v>
      </c>
      <c r="U126" s="7">
        <f>[6]带兵数!G125</f>
        <v>9872.1609454055506</v>
      </c>
      <c r="V126" s="7">
        <f>[6]带兵数!H125</f>
        <v>9924.8748404290436</v>
      </c>
      <c r="X126" s="7">
        <v>122</v>
      </c>
      <c r="Y126" s="7">
        <f>求节点(节奏总纲!D$4:D$163,R$5:R$164,$X126)*6</f>
        <v>37285.019810734884</v>
      </c>
      <c r="Z126" s="7">
        <f>求节点(节奏总纲!E$4:E$163,S$5:S$164,$X126)*6</f>
        <v>38431.487874897008</v>
      </c>
      <c r="AA126" s="7">
        <f>求节点(节奏总纲!F$4:F$163,T$5:T$164,$X126)*6</f>
        <v>39944.127653537464</v>
      </c>
      <c r="AB126" s="7">
        <f>求节点(节奏总纲!G$4:G$163,U$5:U$164,$X126)*6</f>
        <v>42123.863573975148</v>
      </c>
      <c r="AC126" s="7">
        <f>求节点(节奏总纲!H$4:H$163,V$5:V$164,$X126)*6</f>
        <v>46019.13529619277</v>
      </c>
      <c r="AG126" s="7">
        <v>122</v>
      </c>
      <c r="AH126" s="7">
        <v>1</v>
      </c>
      <c r="AI126" s="7">
        <f>[6]实力验证!$Z128</f>
        <v>1.6427323986006823</v>
      </c>
      <c r="AJ126" s="7">
        <f>[6]实力验证!$AE128</f>
        <v>2.8447816603684233</v>
      </c>
      <c r="AK126" s="7">
        <f>[6]实力验证!$AJ128</f>
        <v>7.430125728128373</v>
      </c>
      <c r="AL126" s="7">
        <f>[6]实力验证!$AO128</f>
        <v>25.513666837620708</v>
      </c>
      <c r="AM126" s="7">
        <f t="shared" si="4"/>
        <v>96.318697836087452</v>
      </c>
      <c r="AR126" s="14">
        <v>122</v>
      </c>
      <c r="AS126" s="14">
        <f>[6]攻城值!AC126</f>
        <v>661.65539999999999</v>
      </c>
      <c r="AT126" s="14">
        <f>[6]攻城值!AD126</f>
        <v>662.98092000000008</v>
      </c>
      <c r="AU126" s="14">
        <f>[6]攻城值!AE126</f>
        <v>665.63196000000005</v>
      </c>
      <c r="AV126" s="14">
        <f>[6]攻城值!AF126</f>
        <v>669.60852</v>
      </c>
      <c r="AW126" s="14">
        <f>[6]攻城值!AG126</f>
        <v>674.91060000000004</v>
      </c>
      <c r="AY126" s="14">
        <v>122</v>
      </c>
      <c r="AZ126" s="14">
        <f>[6]攻城值!AJ126</f>
        <v>4205.8309620197642</v>
      </c>
      <c r="BA126" s="14">
        <f>[6]攻城值!AK126</f>
        <v>4258.8822485168748</v>
      </c>
      <c r="BB126" s="14">
        <f>[6]攻城值!AL126</f>
        <v>4323.2142128101714</v>
      </c>
      <c r="BC126" s="14">
        <f>[6]攻城值!AM126</f>
        <v>4401.0619390557376</v>
      </c>
      <c r="BD126" s="14">
        <f>[6]攻城值!AN126</f>
        <v>4493.6557708125501</v>
      </c>
      <c r="BF126" s="14">
        <v>122</v>
      </c>
      <c r="BG126" s="14">
        <f t="shared" si="7"/>
        <v>0.15064808849528574</v>
      </c>
      <c r="BH126" s="14">
        <f t="shared" si="8"/>
        <v>0.84935191150471423</v>
      </c>
      <c r="BL126" s="14">
        <v>122</v>
      </c>
      <c r="BM126" s="15">
        <f t="shared" si="6"/>
        <v>1</v>
      </c>
      <c r="BN126" s="15">
        <f t="shared" si="9"/>
        <v>1</v>
      </c>
      <c r="BO126" s="15">
        <f t="shared" si="9"/>
        <v>1</v>
      </c>
      <c r="BP126" s="15">
        <f t="shared" si="9"/>
        <v>1</v>
      </c>
      <c r="BQ126" s="15">
        <f t="shared" si="9"/>
        <v>1</v>
      </c>
      <c r="BR126" s="15">
        <f>'[1]功能-战损相关'!M132</f>
        <v>0.125</v>
      </c>
      <c r="BS126" s="15">
        <f>'[1]功能-战损相关'!N132</f>
        <v>0.125</v>
      </c>
      <c r="BT126" s="15">
        <f>'[1]功能-战损相关'!O132</f>
        <v>0.125</v>
      </c>
      <c r="BU126" s="15">
        <f>'[1]功能-战损相关'!P132</f>
        <v>0.125</v>
      </c>
      <c r="BV126" s="15">
        <f>'[1]功能-战损相关'!Q132</f>
        <v>0.125</v>
      </c>
    </row>
    <row r="127" spans="2:89" x14ac:dyDescent="0.15">
      <c r="B127" s="7">
        <v>123</v>
      </c>
      <c r="C127" s="7">
        <f>[1]服务器生态!W144</f>
        <v>165.47079836250001</v>
      </c>
      <c r="D127" s="7">
        <f>[1]服务器生态!X144</f>
        <v>163.15572238892403</v>
      </c>
      <c r="E127" s="7">
        <f>[1]服务器生态!Y144</f>
        <v>13.318449048576003</v>
      </c>
      <c r="F127" s="7">
        <f>[1]服务器生态!Z144</f>
        <v>2.3694462000000009</v>
      </c>
      <c r="G127" s="7">
        <f>[1]服务器生态!AA144</f>
        <v>0.68558399999999997</v>
      </c>
      <c r="H127" s="7">
        <f>[1]服务器生态!AC144</f>
        <v>0.47962550249999997</v>
      </c>
      <c r="I127" s="7">
        <f>[1]服务器生态!AD144</f>
        <v>0.47291513735919999</v>
      </c>
      <c r="J127" s="7">
        <f>[1]服务器生态!AE144</f>
        <v>3.8604200140800002E-2</v>
      </c>
      <c r="K127" s="7">
        <f>[1]服务器生态!AF144</f>
        <v>6.8679600000000019E-3</v>
      </c>
      <c r="L127" s="7">
        <f>[1]服务器生态!AG144</f>
        <v>1.9871999999999997E-3</v>
      </c>
      <c r="M127" s="7">
        <f>[5]基础信息!M126</f>
        <v>100</v>
      </c>
      <c r="Q127" s="7">
        <v>123</v>
      </c>
      <c r="R127" s="7">
        <f>[6]带兵数!D126</f>
        <v>9811.0477430073333</v>
      </c>
      <c r="S127" s="7">
        <f>[6]带兵数!E126</f>
        <v>9852.4741214672613</v>
      </c>
      <c r="T127" s="7">
        <f>[6]带兵数!F126</f>
        <v>9894.7726095039707</v>
      </c>
      <c r="U127" s="7">
        <f>[6]带兵数!G126</f>
        <v>9943.3069314785971</v>
      </c>
      <c r="V127" s="7">
        <f>[6]带兵数!H126</f>
        <v>9993.175135493495</v>
      </c>
      <c r="X127" s="7">
        <v>123</v>
      </c>
      <c r="Y127" s="7">
        <f>求节点(节奏总纲!D$4:D$163,R$5:R$164,$X127)*6</f>
        <v>37331.438865549746</v>
      </c>
      <c r="Z127" s="7">
        <f>求节点(节奏总纲!E$4:E$163,S$5:S$164,$X127)*6</f>
        <v>38479.187814100253</v>
      </c>
      <c r="AA127" s="7">
        <f>求节点(节奏总纲!F$4:F$163,T$5:T$164,$X127)*6</f>
        <v>39991.579413757529</v>
      </c>
      <c r="AB127" s="7">
        <f>求节点(节奏总纲!G$4:G$163,U$5:U$164,$X127)*6</f>
        <v>42172.439924239603</v>
      </c>
      <c r="AC127" s="7">
        <f>求节点(节奏总纲!H$4:H$163,V$5:V$164,$X127)*6</f>
        <v>46068.671494153656</v>
      </c>
      <c r="AG127" s="7">
        <v>123</v>
      </c>
      <c r="AH127" s="7">
        <v>1</v>
      </c>
      <c r="AI127" s="7">
        <f>[6]实力验证!$Z129</f>
        <v>1.643692369038614</v>
      </c>
      <c r="AJ127" s="7">
        <f>[6]实力验证!$AE129</f>
        <v>2.8461402323684486</v>
      </c>
      <c r="AK127" s="7">
        <f>[6]实力验证!$AJ129</f>
        <v>7.4444006372418885</v>
      </c>
      <c r="AL127" s="7">
        <f>[6]实力验证!$AO129</f>
        <v>25.508593568362784</v>
      </c>
      <c r="AM127" s="7">
        <f t="shared" si="4"/>
        <v>96.372968875374596</v>
      </c>
      <c r="AR127" s="14">
        <v>123</v>
      </c>
      <c r="AS127" s="14">
        <f>[6]攻城值!AC127</f>
        <v>666.68700000000001</v>
      </c>
      <c r="AT127" s="14">
        <f>[6]攻城值!AD127</f>
        <v>668.02260000000001</v>
      </c>
      <c r="AU127" s="14">
        <f>[6]攻城值!AE127</f>
        <v>670.69380000000001</v>
      </c>
      <c r="AV127" s="14">
        <f>[6]攻城值!AF127</f>
        <v>674.70060000000001</v>
      </c>
      <c r="AW127" s="14">
        <f>[6]攻城值!AG127</f>
        <v>680.04300000000012</v>
      </c>
      <c r="AY127" s="14">
        <v>123</v>
      </c>
      <c r="AZ127" s="14">
        <f>[6]攻城值!AJ127</f>
        <v>4257.8967614736684</v>
      </c>
      <c r="BA127" s="14">
        <f>[6]攻城值!AK127</f>
        <v>4310.7470497459817</v>
      </c>
      <c r="BB127" s="14">
        <f>[6]攻城值!AL127</f>
        <v>4374.9807857532314</v>
      </c>
      <c r="BC127" s="14">
        <f>[6]攻城值!AM127</f>
        <v>4452.9300790485468</v>
      </c>
      <c r="BD127" s="14">
        <f>[6]攻城值!AN127</f>
        <v>4554.0484443724736</v>
      </c>
      <c r="BF127" s="14">
        <v>123</v>
      </c>
      <c r="BG127" s="14">
        <f t="shared" si="7"/>
        <v>0.15064808849528574</v>
      </c>
      <c r="BH127" s="14">
        <f t="shared" si="8"/>
        <v>0.84935191150471423</v>
      </c>
      <c r="BL127" s="14">
        <v>123</v>
      </c>
      <c r="BM127" s="15">
        <f t="shared" si="6"/>
        <v>1</v>
      </c>
      <c r="BN127" s="15">
        <f t="shared" si="9"/>
        <v>1</v>
      </c>
      <c r="BO127" s="15">
        <f t="shared" si="9"/>
        <v>1</v>
      </c>
      <c r="BP127" s="15">
        <f t="shared" si="9"/>
        <v>1</v>
      </c>
      <c r="BQ127" s="15">
        <f t="shared" si="9"/>
        <v>1</v>
      </c>
      <c r="BR127" s="15">
        <f>'[1]功能-战损相关'!M133</f>
        <v>0.125</v>
      </c>
      <c r="BS127" s="15">
        <f>'[1]功能-战损相关'!N133</f>
        <v>0.125</v>
      </c>
      <c r="BT127" s="15">
        <f>'[1]功能-战损相关'!O133</f>
        <v>0.125</v>
      </c>
      <c r="BU127" s="15">
        <f>'[1]功能-战损相关'!P133</f>
        <v>0.125</v>
      </c>
      <c r="BV127" s="15">
        <f>'[1]功能-战损相关'!Q133</f>
        <v>0.125</v>
      </c>
    </row>
    <row r="128" spans="2:89" x14ac:dyDescent="0.15">
      <c r="B128" s="7">
        <v>124</v>
      </c>
      <c r="C128" s="7">
        <f>[1]服务器生态!W145</f>
        <v>164.67142252499997</v>
      </c>
      <c r="D128" s="7">
        <f>[1]服务器生态!X145</f>
        <v>162.36753049332532</v>
      </c>
      <c r="E128" s="7">
        <f>[1]服务器生态!Y145</f>
        <v>13.254108715008</v>
      </c>
      <c r="F128" s="7">
        <f>[1]服务器生态!Z145</f>
        <v>2.3579996000000008</v>
      </c>
      <c r="G128" s="7">
        <f>[1]服务器生态!AA145</f>
        <v>0.68227199999999988</v>
      </c>
      <c r="H128" s="7">
        <f>[1]服务器生态!AC145</f>
        <v>0.47962550249999997</v>
      </c>
      <c r="I128" s="7">
        <f>[1]服务器生态!AD145</f>
        <v>0.47291513735919999</v>
      </c>
      <c r="J128" s="7">
        <f>[1]服务器生态!AE145</f>
        <v>3.8604200140800002E-2</v>
      </c>
      <c r="K128" s="7">
        <f>[1]服务器生态!AF145</f>
        <v>6.8679600000000019E-3</v>
      </c>
      <c r="L128" s="7">
        <f>[1]服务器生态!AG145</f>
        <v>1.9871999999999997E-3</v>
      </c>
      <c r="M128" s="7">
        <f>[5]基础信息!M127</f>
        <v>100</v>
      </c>
      <c r="Q128" s="7">
        <v>124</v>
      </c>
      <c r="R128" s="7">
        <f>[6]带兵数!D127</f>
        <v>9879.4839190509247</v>
      </c>
      <c r="S128" s="7">
        <f>[6]带兵数!E127</f>
        <v>9919.5043356939605</v>
      </c>
      <c r="T128" s="7">
        <f>[6]带兵数!F127</f>
        <v>9964.7319695259612</v>
      </c>
      <c r="U128" s="7">
        <f>[6]带兵数!G127</f>
        <v>10010.915591206511</v>
      </c>
      <c r="V128" s="7">
        <f>[6]带兵数!H127</f>
        <v>10064.364412798423</v>
      </c>
      <c r="X128" s="7">
        <v>124</v>
      </c>
      <c r="Y128" s="7">
        <f>求节点(节奏总纲!D$4:D$163,R$5:R$164,$X128)*6</f>
        <v>37377.8579203646</v>
      </c>
      <c r="Z128" s="7">
        <f>求节点(节奏总纲!E$4:E$163,S$5:S$164,$X128)*6</f>
        <v>38526.88775330349</v>
      </c>
      <c r="AA128" s="7">
        <f>求节点(节奏总纲!F$4:F$163,T$5:T$164,$X128)*6</f>
        <v>40039.031173977593</v>
      </c>
      <c r="AB128" s="7">
        <f>求节点(节奏总纲!G$4:G$163,U$5:U$164,$X128)*6</f>
        <v>42219.604222866808</v>
      </c>
      <c r="AC128" s="7">
        <f>求节点(节奏总纲!H$4:H$163,V$5:V$164,$X128)*6</f>
        <v>46117.169253117449</v>
      </c>
      <c r="AG128" s="7">
        <v>124</v>
      </c>
      <c r="AH128" s="7">
        <v>1</v>
      </c>
      <c r="AI128" s="7">
        <f>[6]实力验证!$Z130</f>
        <v>1.6446298793886223</v>
      </c>
      <c r="AJ128" s="7">
        <f>[6]实力验证!$AE130</f>
        <v>2.8474670183411486</v>
      </c>
      <c r="AK128" s="7">
        <f>[6]实力验证!$AJ130</f>
        <v>7.4595935769718036</v>
      </c>
      <c r="AL128" s="7">
        <f>[6]实力验证!$AO130</f>
        <v>25.516507879966142</v>
      </c>
      <c r="AM128" s="7">
        <f t="shared" si="4"/>
        <v>96.432804522026856</v>
      </c>
      <c r="AR128" s="14">
        <v>124</v>
      </c>
      <c r="AS128" s="14">
        <f>[6]攻城值!AC128</f>
        <v>671.71860000000004</v>
      </c>
      <c r="AT128" s="14">
        <f>[6]攻城值!AD128</f>
        <v>673.06428000000005</v>
      </c>
      <c r="AU128" s="14">
        <f>[6]攻城值!AE128</f>
        <v>675.75563999999997</v>
      </c>
      <c r="AV128" s="14">
        <f>[6]攻城值!AF128</f>
        <v>679.79268000000002</v>
      </c>
      <c r="AW128" s="14">
        <f>[6]攻城值!AG128</f>
        <v>685.17540000000008</v>
      </c>
      <c r="AY128" s="14">
        <v>124</v>
      </c>
      <c r="AZ128" s="14">
        <f>[6]攻城值!AJ128</f>
        <v>4309.9625609275736</v>
      </c>
      <c r="BA128" s="14">
        <f>[6]攻城值!AK128</f>
        <v>4362.6118509750895</v>
      </c>
      <c r="BB128" s="14">
        <f>[6]攻城值!AL128</f>
        <v>4426.7473586962906</v>
      </c>
      <c r="BC128" s="14">
        <f>[6]攻城值!AM128</f>
        <v>4512.7271600050881</v>
      </c>
      <c r="BD128" s="14">
        <f>[6]攻城值!AN128</f>
        <v>4614.4411179323961</v>
      </c>
      <c r="BF128" s="14">
        <v>124</v>
      </c>
      <c r="BG128" s="14">
        <f t="shared" si="7"/>
        <v>0.15064808849528574</v>
      </c>
      <c r="BH128" s="14">
        <f t="shared" si="8"/>
        <v>0.84935191150471423</v>
      </c>
      <c r="BL128" s="14">
        <v>124</v>
      </c>
      <c r="BM128" s="15">
        <f t="shared" si="6"/>
        <v>1</v>
      </c>
      <c r="BN128" s="15">
        <f t="shared" si="9"/>
        <v>1</v>
      </c>
      <c r="BO128" s="15">
        <f t="shared" si="9"/>
        <v>1</v>
      </c>
      <c r="BP128" s="15">
        <f t="shared" si="9"/>
        <v>1</v>
      </c>
      <c r="BQ128" s="15">
        <f t="shared" si="9"/>
        <v>1</v>
      </c>
      <c r="BR128" s="15">
        <f>'[1]功能-战损相关'!M134</f>
        <v>0.125</v>
      </c>
      <c r="BS128" s="15">
        <f>'[1]功能-战损相关'!N134</f>
        <v>0.125</v>
      </c>
      <c r="BT128" s="15">
        <f>'[1]功能-战损相关'!O134</f>
        <v>0.125</v>
      </c>
      <c r="BU128" s="15">
        <f>'[1]功能-战损相关'!P134</f>
        <v>0.125</v>
      </c>
      <c r="BV128" s="15">
        <f>'[1]功能-战损相关'!Q134</f>
        <v>0.125</v>
      </c>
    </row>
    <row r="129" spans="2:74" x14ac:dyDescent="0.15">
      <c r="B129" s="7">
        <v>125</v>
      </c>
      <c r="C129" s="7">
        <f>[1]服务器生态!W146</f>
        <v>163.87204668750002</v>
      </c>
      <c r="D129" s="7">
        <f>[1]服务器生态!X146</f>
        <v>161.57933859772669</v>
      </c>
      <c r="E129" s="7">
        <f>[1]服务器生态!Y146</f>
        <v>13.189768381440004</v>
      </c>
      <c r="F129" s="7">
        <f>[1]服务器生态!Z146</f>
        <v>2.346553000000001</v>
      </c>
      <c r="G129" s="7">
        <f>[1]服务器生态!AA146</f>
        <v>0.67896000000000001</v>
      </c>
      <c r="H129" s="7">
        <f>[1]服务器生态!AC146</f>
        <v>0.47962550249999997</v>
      </c>
      <c r="I129" s="7">
        <f>[1]服务器生态!AD146</f>
        <v>0.47291513735919999</v>
      </c>
      <c r="J129" s="7">
        <f>[1]服务器生态!AE146</f>
        <v>3.8604200140800002E-2</v>
      </c>
      <c r="K129" s="7">
        <f>[1]服务器生态!AF146</f>
        <v>6.8679600000000019E-3</v>
      </c>
      <c r="L129" s="7">
        <f>[1]服务器生态!AG146</f>
        <v>1.9871999999999997E-3</v>
      </c>
      <c r="M129" s="7">
        <f>[5]基础信息!M128</f>
        <v>100</v>
      </c>
      <c r="Q129" s="7">
        <v>125</v>
      </c>
      <c r="R129" s="7">
        <f>[6]带兵数!D128</f>
        <v>9945.7283526381671</v>
      </c>
      <c r="S129" s="7">
        <f>[6]带兵数!E128</f>
        <v>9988.2764865924219</v>
      </c>
      <c r="T129" s="7">
        <f>[6]带兵数!F128</f>
        <v>10031.59903320772</v>
      </c>
      <c r="U129" s="7">
        <f>[6]带兵数!G128</f>
        <v>10080.480874312852</v>
      </c>
      <c r="V129" s="7">
        <f>[6]带兵数!H128</f>
        <v>10127.030576080153</v>
      </c>
      <c r="X129" s="7">
        <v>125</v>
      </c>
      <c r="Y129" s="7">
        <f>求节点(节奏总纲!D$4:D$163,R$5:R$164,$X129)*6</f>
        <v>37424.276975179462</v>
      </c>
      <c r="Z129" s="7">
        <f>求节点(节奏总纲!E$4:E$163,S$5:S$164,$X129)*6</f>
        <v>38574.587692506728</v>
      </c>
      <c r="AA129" s="7">
        <f>求节点(节奏总纲!F$4:F$163,T$5:T$164,$X129)*6</f>
        <v>40086.482934197658</v>
      </c>
      <c r="AB129" s="7">
        <f>求节点(节奏总纲!G$4:G$163,U$5:U$164,$X129)*6</f>
        <v>42266.585942032245</v>
      </c>
      <c r="AC129" s="7">
        <f>求节点(节奏总纲!H$4:H$163,V$5:V$164,$X129)*6</f>
        <v>46165.426643449122</v>
      </c>
      <c r="AG129" s="7">
        <v>125</v>
      </c>
      <c r="AH129" s="7">
        <v>1</v>
      </c>
      <c r="AI129" s="7">
        <f>[6]实力验证!$Z131</f>
        <v>1.6455457087723591</v>
      </c>
      <c r="AJ129" s="7">
        <f>[6]实力验证!$AE131</f>
        <v>2.8487631209172091</v>
      </c>
      <c r="AK129" s="7">
        <f>[6]实力验证!$AJ131</f>
        <v>7.4745951778897801</v>
      </c>
      <c r="AL129" s="7">
        <f>[6]实力验证!$AO131</f>
        <v>25.527183495383852</v>
      </c>
      <c r="AM129" s="7">
        <f t="shared" si="4"/>
        <v>96.492646392939903</v>
      </c>
      <c r="AR129" s="14">
        <v>125</v>
      </c>
      <c r="AS129" s="14">
        <f>[6]攻城值!AC129</f>
        <v>676.75020000000006</v>
      </c>
      <c r="AT129" s="14">
        <f>[6]攻城值!AD129</f>
        <v>678.1059600000001</v>
      </c>
      <c r="AU129" s="14">
        <f>[6]攻城值!AE129</f>
        <v>680.81748000000005</v>
      </c>
      <c r="AV129" s="14">
        <f>[6]攻城值!AF129</f>
        <v>684.88476000000003</v>
      </c>
      <c r="AW129" s="14">
        <f>[6]攻城值!AG129</f>
        <v>690.30780000000004</v>
      </c>
      <c r="AY129" s="14">
        <v>125</v>
      </c>
      <c r="AZ129" s="14">
        <f>[6]攻城值!AJ129</f>
        <v>4362.0283603814778</v>
      </c>
      <c r="BA129" s="14">
        <f>[6]攻城值!AK129</f>
        <v>4414.9350191646154</v>
      </c>
      <c r="BB129" s="14">
        <f>[6]攻城值!AL129</f>
        <v>4486.3966163200203</v>
      </c>
      <c r="BC129" s="14">
        <f>[6]攻城值!AM129</f>
        <v>4572.9494397151202</v>
      </c>
      <c r="BD129" s="14">
        <f>[6]攻城值!AN129</f>
        <v>4674.8337914923195</v>
      </c>
      <c r="BF129" s="14">
        <v>125</v>
      </c>
      <c r="BG129" s="14">
        <f t="shared" si="7"/>
        <v>0.15064808849528574</v>
      </c>
      <c r="BH129" s="14">
        <f t="shared" si="8"/>
        <v>0.84935191150471423</v>
      </c>
      <c r="BL129" s="14">
        <v>125</v>
      </c>
      <c r="BM129" s="15">
        <f t="shared" si="6"/>
        <v>1</v>
      </c>
      <c r="BN129" s="15">
        <f t="shared" si="9"/>
        <v>1</v>
      </c>
      <c r="BO129" s="15">
        <f t="shared" si="9"/>
        <v>1</v>
      </c>
      <c r="BP129" s="15">
        <f t="shared" si="9"/>
        <v>1</v>
      </c>
      <c r="BQ129" s="15">
        <f t="shared" si="9"/>
        <v>1</v>
      </c>
      <c r="BR129" s="15">
        <f>'[1]功能-战损相关'!M135</f>
        <v>0.125</v>
      </c>
      <c r="BS129" s="15">
        <f>'[1]功能-战损相关'!N135</f>
        <v>0.125</v>
      </c>
      <c r="BT129" s="15">
        <f>'[1]功能-战损相关'!O135</f>
        <v>0.125</v>
      </c>
      <c r="BU129" s="15">
        <f>'[1]功能-战损相关'!P135</f>
        <v>0.125</v>
      </c>
      <c r="BV129" s="15">
        <f>'[1]功能-战损相关'!Q135</f>
        <v>0.125</v>
      </c>
    </row>
    <row r="130" spans="2:74" x14ac:dyDescent="0.15">
      <c r="B130" s="7">
        <v>126</v>
      </c>
      <c r="C130" s="7">
        <f>[1]服务器生态!W147</f>
        <v>163.07267084999998</v>
      </c>
      <c r="D130" s="7">
        <f>[1]服务器生态!X147</f>
        <v>160.791146702128</v>
      </c>
      <c r="E130" s="7">
        <f>[1]服务器生态!Y147</f>
        <v>13.125428047872001</v>
      </c>
      <c r="F130" s="7">
        <f>[1]服务器生态!Z147</f>
        <v>2.3351064000000008</v>
      </c>
      <c r="G130" s="7">
        <f>[1]服务器生态!AA147</f>
        <v>0.67564799999999992</v>
      </c>
      <c r="H130" s="7">
        <f>[1]服务器生态!AC147</f>
        <v>0.47962550249999997</v>
      </c>
      <c r="I130" s="7">
        <f>[1]服务器生态!AD147</f>
        <v>0.47291513735919999</v>
      </c>
      <c r="J130" s="7">
        <f>[1]服务器生态!AE147</f>
        <v>3.8604200140800002E-2</v>
      </c>
      <c r="K130" s="7">
        <f>[1]服务器生态!AF147</f>
        <v>6.8679600000000019E-3</v>
      </c>
      <c r="L130" s="7">
        <f>[1]服务器生态!AG147</f>
        <v>1.9871999999999997E-3</v>
      </c>
      <c r="M130" s="7">
        <f>[5]基础信息!M129</f>
        <v>100</v>
      </c>
      <c r="Q130" s="7">
        <v>126</v>
      </c>
      <c r="R130" s="7">
        <f>[6]带兵数!D129</f>
        <v>10014.573662284723</v>
      </c>
      <c r="S130" s="7">
        <f>[6]带兵数!E129</f>
        <v>10054.946074184756</v>
      </c>
      <c r="T130" s="7">
        <f>[6]带兵数!F129</f>
        <v>10100.701474338126</v>
      </c>
      <c r="U130" s="7">
        <f>[6]带兵数!G129</f>
        <v>10144.15915745983</v>
      </c>
      <c r="V130" s="7">
        <f>[6]带兵数!H129</f>
        <v>10191.698817163728</v>
      </c>
      <c r="X130" s="7">
        <v>126</v>
      </c>
      <c r="Y130" s="7">
        <f>求节点(节奏总纲!D$4:D$163,R$5:R$164,$X130)*6</f>
        <v>37470.696029994324</v>
      </c>
      <c r="Z130" s="7">
        <f>求节点(节奏总纲!E$4:E$163,S$5:S$164,$X130)*6</f>
        <v>38622.287631709973</v>
      </c>
      <c r="AA130" s="7">
        <f>求节点(节奏总纲!F$4:F$163,T$5:T$164,$X130)*6</f>
        <v>40133.934694417716</v>
      </c>
      <c r="AB130" s="7">
        <f>求节点(节奏总纲!G$4:G$163,U$5:U$164,$X130)*6</f>
        <v>42313.567661197689</v>
      </c>
      <c r="AC130" s="7">
        <f>求节点(节奏总纲!H$4:H$163,V$5:V$164,$X130)*6</f>
        <v>46213.684033780795</v>
      </c>
      <c r="AG130" s="7">
        <v>126</v>
      </c>
      <c r="AH130" s="7">
        <v>1</v>
      </c>
      <c r="AI130" s="7">
        <f>[6]实力验证!$Z132</f>
        <v>1.6464406006872985</v>
      </c>
      <c r="AJ130" s="7">
        <f>[6]实力验证!$AE132</f>
        <v>2.8500295923111665</v>
      </c>
      <c r="AK130" s="7">
        <f>[6]实力验证!$AJ132</f>
        <v>7.4892538158533917</v>
      </c>
      <c r="AL130" s="7">
        <f>[6]实力验证!$AO132</f>
        <v>25.537615047476383</v>
      </c>
      <c r="AM130" s="7">
        <f t="shared" si="4"/>
        <v>96.551120173543481</v>
      </c>
      <c r="AR130" s="14">
        <v>126</v>
      </c>
      <c r="AS130" s="14">
        <f>[6]攻城值!AC130</f>
        <v>681.78179999999998</v>
      </c>
      <c r="AT130" s="14">
        <f>[6]攻城值!AD130</f>
        <v>683.14764000000002</v>
      </c>
      <c r="AU130" s="14">
        <f>[6]攻城值!AE130</f>
        <v>685.87932000000001</v>
      </c>
      <c r="AV130" s="14">
        <f>[6]攻城值!AF130</f>
        <v>689.97684000000004</v>
      </c>
      <c r="AW130" s="14">
        <f>[6]攻城值!AG130</f>
        <v>695.44020000000012</v>
      </c>
      <c r="AY130" s="14">
        <v>126</v>
      </c>
      <c r="AZ130" s="14">
        <f>[6]攻城值!AJ130</f>
        <v>4415.7702083536542</v>
      </c>
      <c r="BA130" s="14">
        <f>[6]攻城值!AK130</f>
        <v>4474.7066581912268</v>
      </c>
      <c r="BB130" s="14">
        <f>[6]攻城值!AL130</f>
        <v>4546.4228471074766</v>
      </c>
      <c r="BC130" s="14">
        <f>[6]攻城值!AM130</f>
        <v>4633.1717194251523</v>
      </c>
      <c r="BD130" s="14">
        <f>[6]攻城值!AN130</f>
        <v>4735.226465052242</v>
      </c>
      <c r="BF130" s="14">
        <v>126</v>
      </c>
      <c r="BG130" s="14">
        <f t="shared" si="7"/>
        <v>0.15064808849528574</v>
      </c>
      <c r="BH130" s="14">
        <f t="shared" si="8"/>
        <v>0.84935191150471423</v>
      </c>
      <c r="BL130" s="14">
        <v>126</v>
      </c>
      <c r="BM130" s="15">
        <f t="shared" si="6"/>
        <v>1</v>
      </c>
      <c r="BN130" s="15">
        <f t="shared" si="9"/>
        <v>1</v>
      </c>
      <c r="BO130" s="15">
        <f t="shared" si="9"/>
        <v>1</v>
      </c>
      <c r="BP130" s="15">
        <f t="shared" si="9"/>
        <v>1</v>
      </c>
      <c r="BQ130" s="15">
        <f t="shared" si="9"/>
        <v>1</v>
      </c>
      <c r="BR130" s="15">
        <f>'[1]功能-战损相关'!M136</f>
        <v>0.125</v>
      </c>
      <c r="BS130" s="15">
        <f>'[1]功能-战损相关'!N136</f>
        <v>0.125</v>
      </c>
      <c r="BT130" s="15">
        <f>'[1]功能-战损相关'!O136</f>
        <v>0.125</v>
      </c>
      <c r="BU130" s="15">
        <f>'[1]功能-战损相关'!P136</f>
        <v>0.125</v>
      </c>
      <c r="BV130" s="15">
        <f>'[1]功能-战损相关'!Q136</f>
        <v>0.125</v>
      </c>
    </row>
    <row r="131" spans="2:74" x14ac:dyDescent="0.15">
      <c r="B131" s="7">
        <v>127</v>
      </c>
      <c r="C131" s="7">
        <f>[1]服务器生态!W148</f>
        <v>162.27329501249997</v>
      </c>
      <c r="D131" s="7">
        <f>[1]服务器生态!X148</f>
        <v>160.00295480652932</v>
      </c>
      <c r="E131" s="7">
        <f>[1]服务器生态!Y148</f>
        <v>13.061087714304</v>
      </c>
      <c r="F131" s="7">
        <f>[1]服务器生态!Z148</f>
        <v>2.3236598000000006</v>
      </c>
      <c r="G131" s="7">
        <f>[1]服务器生态!AA148</f>
        <v>0.67233599999999982</v>
      </c>
      <c r="H131" s="7">
        <f>[1]服务器生态!AC148</f>
        <v>0.47962550249999997</v>
      </c>
      <c r="I131" s="7">
        <f>[1]服务器生态!AD148</f>
        <v>0.47291513735919999</v>
      </c>
      <c r="J131" s="7">
        <f>[1]服务器生态!AE148</f>
        <v>3.8604200140800002E-2</v>
      </c>
      <c r="K131" s="7">
        <f>[1]服务器生态!AF148</f>
        <v>6.8679600000000019E-3</v>
      </c>
      <c r="L131" s="7">
        <f>[1]服务器生态!AG148</f>
        <v>1.9871999999999997E-3</v>
      </c>
      <c r="M131" s="7">
        <f>[5]基础信息!M130</f>
        <v>100</v>
      </c>
      <c r="Q131" s="7">
        <v>127</v>
      </c>
      <c r="R131" s="7">
        <f>[6]带兵数!D130</f>
        <v>10080.484705508437</v>
      </c>
      <c r="S131" s="7">
        <f>[6]带兵数!E130</f>
        <v>10123.755252011966</v>
      </c>
      <c r="T131" s="7">
        <f>[6]带兵数!F130</f>
        <v>10163.927642580593</v>
      </c>
      <c r="U131" s="7">
        <f>[6]带兵数!G130</f>
        <v>10207.918432479593</v>
      </c>
      <c r="V131" s="7">
        <f>[6]带兵数!H130</f>
        <v>10256.363111863811</v>
      </c>
      <c r="X131" s="7">
        <v>127</v>
      </c>
      <c r="Y131" s="7">
        <f>求节点(节奏总纲!D$4:D$163,R$5:R$164,$X131)*6</f>
        <v>37517.115084809178</v>
      </c>
      <c r="Z131" s="7">
        <f>求节点(节奏总纲!E$4:E$163,S$5:S$164,$X131)*6</f>
        <v>38668.336797587268</v>
      </c>
      <c r="AA131" s="7">
        <f>求节点(节奏总纲!F$4:F$163,T$5:T$164,$X131)*6</f>
        <v>40181.386454637781</v>
      </c>
      <c r="AB131" s="7">
        <f>求节点(节奏总纲!G$4:G$163,U$5:U$164,$X131)*6</f>
        <v>42360.549380363125</v>
      </c>
      <c r="AC131" s="7">
        <f>求节点(节奏总纲!H$4:H$163,V$5:V$164,$X131)*6</f>
        <v>46261.941424112476</v>
      </c>
      <c r="AG131" s="7">
        <v>127</v>
      </c>
      <c r="AH131" s="7">
        <v>1</v>
      </c>
      <c r="AI131" s="7">
        <f>[6]实力验证!$Z133</f>
        <v>1.6477619261240501</v>
      </c>
      <c r="AJ131" s="7">
        <f>[6]实力验证!$AE133</f>
        <v>2.8512674371703448</v>
      </c>
      <c r="AK131" s="7">
        <f>[6]实力验证!$AJ133</f>
        <v>7.5035811190458563</v>
      </c>
      <c r="AL131" s="7">
        <f>[6]实力验证!$AO133</f>
        <v>25.547810811228008</v>
      </c>
      <c r="AM131" s="7">
        <f t="shared" si="4"/>
        <v>96.620946216884391</v>
      </c>
      <c r="AR131" s="14">
        <v>127</v>
      </c>
      <c r="AS131" s="14">
        <f>[6]攻城值!AC131</f>
        <v>686.8134</v>
      </c>
      <c r="AT131" s="14">
        <f>[6]攻城值!AD131</f>
        <v>688.18932000000007</v>
      </c>
      <c r="AU131" s="14">
        <f>[6]攻城值!AE131</f>
        <v>690.94115999999997</v>
      </c>
      <c r="AV131" s="14">
        <f>[6]攻城值!AF131</f>
        <v>695.06892000000005</v>
      </c>
      <c r="AW131" s="14">
        <f>[6]攻城值!AG131</f>
        <v>700.57260000000008</v>
      </c>
      <c r="AY131" s="14">
        <v>127</v>
      </c>
      <c r="AZ131" s="14">
        <f>[6]攻城值!AJ131</f>
        <v>4475.461277576821</v>
      </c>
      <c r="BA131" s="14">
        <f>[6]攻城值!AK131</f>
        <v>4534.4782972178382</v>
      </c>
      <c r="BB131" s="14">
        <f>[6]攻城值!AL131</f>
        <v>4606.4490778949339</v>
      </c>
      <c r="BC131" s="14">
        <f>[6]攻城值!AM131</f>
        <v>4693.3939991351854</v>
      </c>
      <c r="BD131" s="14">
        <f>[6]攻城值!AN131</f>
        <v>4795.6191386121654</v>
      </c>
      <c r="BF131" s="14">
        <v>127</v>
      </c>
      <c r="BG131" s="14">
        <f t="shared" si="7"/>
        <v>0.15064808849528574</v>
      </c>
      <c r="BH131" s="14">
        <f t="shared" si="8"/>
        <v>0.84935191150471423</v>
      </c>
      <c r="BL131" s="14">
        <v>127</v>
      </c>
      <c r="BM131" s="15">
        <f t="shared" si="6"/>
        <v>1</v>
      </c>
      <c r="BN131" s="15">
        <f t="shared" si="9"/>
        <v>1</v>
      </c>
      <c r="BO131" s="15">
        <f t="shared" si="9"/>
        <v>1</v>
      </c>
      <c r="BP131" s="15">
        <f t="shared" si="9"/>
        <v>1</v>
      </c>
      <c r="BQ131" s="15">
        <f t="shared" si="9"/>
        <v>1</v>
      </c>
      <c r="BR131" s="15">
        <f>'[1]功能-战损相关'!M137</f>
        <v>0.125</v>
      </c>
      <c r="BS131" s="15">
        <f>'[1]功能-战损相关'!N137</f>
        <v>0.125</v>
      </c>
      <c r="BT131" s="15">
        <f>'[1]功能-战损相关'!O137</f>
        <v>0.125</v>
      </c>
      <c r="BU131" s="15">
        <f>'[1]功能-战损相关'!P137</f>
        <v>0.125</v>
      </c>
      <c r="BV131" s="15">
        <f>'[1]功能-战损相关'!Q137</f>
        <v>0.125</v>
      </c>
    </row>
    <row r="132" spans="2:74" x14ac:dyDescent="0.15">
      <c r="B132" s="7">
        <v>128</v>
      </c>
      <c r="C132" s="7">
        <f>[1]服务器生态!W149</f>
        <v>161.47391917499999</v>
      </c>
      <c r="D132" s="7">
        <f>[1]服务器生态!X149</f>
        <v>159.21476291093066</v>
      </c>
      <c r="E132" s="7">
        <f>[1]服务器生态!Y149</f>
        <v>12.996747380736002</v>
      </c>
      <c r="F132" s="7">
        <f>[1]服务器生态!Z149</f>
        <v>2.3122132000000009</v>
      </c>
      <c r="G132" s="7">
        <f>[1]服务器生态!AA149</f>
        <v>0.66902399999999995</v>
      </c>
      <c r="H132" s="7">
        <f>[1]服务器生态!AC149</f>
        <v>0.47962550249999997</v>
      </c>
      <c r="I132" s="7">
        <f>[1]服务器生态!AD149</f>
        <v>0.47291513735919999</v>
      </c>
      <c r="J132" s="7">
        <f>[1]服务器生态!AE149</f>
        <v>3.8604200140800002E-2</v>
      </c>
      <c r="K132" s="7">
        <f>[1]服务器生态!AF149</f>
        <v>6.8679600000000019E-3</v>
      </c>
      <c r="L132" s="7">
        <f>[1]服务器生态!AG149</f>
        <v>1.9871999999999997E-3</v>
      </c>
      <c r="M132" s="7">
        <f>[5]基础信息!M131</f>
        <v>100</v>
      </c>
      <c r="Q132" s="7">
        <v>128</v>
      </c>
      <c r="R132" s="7">
        <f>[6]带兵数!D131</f>
        <v>10149.690943272972</v>
      </c>
      <c r="S132" s="7">
        <f>[6]带兵数!E131</f>
        <v>10186.642161836602</v>
      </c>
      <c r="T132" s="7">
        <f>[6]带兵数!F131</f>
        <v>10228.049353201317</v>
      </c>
      <c r="U132" s="7">
        <f>[6]带兵数!G131</f>
        <v>10272.420579027341</v>
      </c>
      <c r="V132" s="7">
        <f>[6]带兵数!H131</f>
        <v>10322.230506235781</v>
      </c>
      <c r="X132" s="7">
        <v>128</v>
      </c>
      <c r="Y132" s="7">
        <f>求节点(节奏总纲!D$4:D$163,R$5:R$164,$X132)*6</f>
        <v>37561.477227734547</v>
      </c>
      <c r="Z132" s="7">
        <f>求节点(节奏总纲!E$4:E$163,S$5:S$164,$X132)*6</f>
        <v>38712.089954678064</v>
      </c>
      <c r="AA132" s="7">
        <f>求节点(节奏总纲!F$4:F$163,T$5:T$164,$X132)*6</f>
        <v>40226.143069569269</v>
      </c>
      <c r="AB132" s="7">
        <f>求节点(节奏总纲!G$4:G$163,U$5:U$164,$X132)*6</f>
        <v>42407.531099528569</v>
      </c>
      <c r="AC132" s="7">
        <f>求节点(节奏总纲!H$4:H$163,V$5:V$164,$X132)*6</f>
        <v>46310.198814444157</v>
      </c>
      <c r="AG132" s="7">
        <v>128</v>
      </c>
      <c r="AH132" s="7">
        <v>1</v>
      </c>
      <c r="AI132" s="7">
        <f>[6]实力验证!$Z134</f>
        <v>1.6480764204287235</v>
      </c>
      <c r="AJ132" s="7">
        <f>[6]实力验证!$AE134</f>
        <v>2.8525721243251367</v>
      </c>
      <c r="AK132" s="7">
        <f>[6]实力验证!$AJ134</f>
        <v>7.5103352130910661</v>
      </c>
      <c r="AL132" s="7">
        <f>[6]实力验证!$AO134</f>
        <v>25.533120500362028</v>
      </c>
      <c r="AM132" s="7">
        <f t="shared" si="4"/>
        <v>96.642374769047208</v>
      </c>
      <c r="AR132" s="14">
        <v>128</v>
      </c>
      <c r="AS132" s="14">
        <f>[6]攻城值!AC132</f>
        <v>691.84500000000003</v>
      </c>
      <c r="AT132" s="14">
        <f>[6]攻城值!AD132</f>
        <v>693.23100000000011</v>
      </c>
      <c r="AU132" s="14">
        <f>[6]攻城值!AE132</f>
        <v>696.00300000000004</v>
      </c>
      <c r="AV132" s="14">
        <f>[6]攻城值!AF132</f>
        <v>700.16100000000006</v>
      </c>
      <c r="AW132" s="14">
        <f>[6]攻城值!AG132</f>
        <v>705.70500000000004</v>
      </c>
      <c r="AY132" s="14">
        <v>128</v>
      </c>
      <c r="AZ132" s="14">
        <f>[6]攻城值!AJ132</f>
        <v>4535.1523467999868</v>
      </c>
      <c r="BA132" s="14">
        <f>[6]攻城值!AK132</f>
        <v>4594.2499362444496</v>
      </c>
      <c r="BB132" s="14">
        <f>[6]攻城值!AL132</f>
        <v>4666.4753086823912</v>
      </c>
      <c r="BC132" s="14">
        <f>[6]攻城值!AM132</f>
        <v>4753.6162788452175</v>
      </c>
      <c r="BD132" s="14">
        <f>[6]攻城值!AN132</f>
        <v>4856.011812172088</v>
      </c>
      <c r="BF132" s="14">
        <v>128</v>
      </c>
      <c r="BG132" s="14">
        <f t="shared" si="7"/>
        <v>0.15064808849528574</v>
      </c>
      <c r="BH132" s="14">
        <f t="shared" si="8"/>
        <v>0.84935191150471423</v>
      </c>
      <c r="BL132" s="14">
        <v>128</v>
      </c>
      <c r="BM132" s="15">
        <f t="shared" si="6"/>
        <v>1</v>
      </c>
      <c r="BN132" s="15">
        <f t="shared" si="9"/>
        <v>1</v>
      </c>
      <c r="BO132" s="15">
        <f t="shared" si="9"/>
        <v>1</v>
      </c>
      <c r="BP132" s="15">
        <f t="shared" si="9"/>
        <v>1</v>
      </c>
      <c r="BQ132" s="15">
        <f t="shared" si="9"/>
        <v>1</v>
      </c>
      <c r="BR132" s="15">
        <f>'[1]功能-战损相关'!M138</f>
        <v>0.125</v>
      </c>
      <c r="BS132" s="15">
        <f>'[1]功能-战损相关'!N138</f>
        <v>0.125</v>
      </c>
      <c r="BT132" s="15">
        <f>'[1]功能-战损相关'!O138</f>
        <v>0.125</v>
      </c>
      <c r="BU132" s="15">
        <f>'[1]功能-战损相关'!P138</f>
        <v>0.125</v>
      </c>
      <c r="BV132" s="15">
        <f>'[1]功能-战损相关'!Q138</f>
        <v>0.125</v>
      </c>
    </row>
    <row r="133" spans="2:74" x14ac:dyDescent="0.15">
      <c r="B133" s="7">
        <v>129</v>
      </c>
      <c r="C133" s="7">
        <f>[1]服务器生态!W150</f>
        <v>160.67454333749998</v>
      </c>
      <c r="D133" s="7">
        <f>[1]服务器生态!X150</f>
        <v>158.426571015332</v>
      </c>
      <c r="E133" s="7">
        <f>[1]服务器生态!Y150</f>
        <v>12.932407047168001</v>
      </c>
      <c r="F133" s="7">
        <f>[1]服务器生态!Z150</f>
        <v>2.3007666000000007</v>
      </c>
      <c r="G133" s="7">
        <f>[1]服务器生态!AA150</f>
        <v>0.66571199999999986</v>
      </c>
      <c r="H133" s="7">
        <f>[1]服务器生态!AC150</f>
        <v>0.47962550249999997</v>
      </c>
      <c r="I133" s="7">
        <f>[1]服务器生态!AD150</f>
        <v>0.47291513735919999</v>
      </c>
      <c r="J133" s="7">
        <f>[1]服务器生态!AE150</f>
        <v>3.8604200140800002E-2</v>
      </c>
      <c r="K133" s="7">
        <f>[1]服务器生态!AF150</f>
        <v>6.8679600000000019E-3</v>
      </c>
      <c r="L133" s="7">
        <f>[1]服务器生态!AG150</f>
        <v>1.9871999999999997E-3</v>
      </c>
      <c r="M133" s="7">
        <f>[5]基础信息!M132</f>
        <v>100</v>
      </c>
      <c r="Q133" s="7">
        <v>129</v>
      </c>
      <c r="R133" s="7">
        <f>[6]带兵数!D132</f>
        <v>10215.315306211396</v>
      </c>
      <c r="S133" s="7">
        <f>[6]带兵数!E132</f>
        <v>10254.874070546768</v>
      </c>
      <c r="T133" s="7">
        <f>[6]带兵数!F132</f>
        <v>10296.36426273693</v>
      </c>
      <c r="U133" s="7">
        <f>[6]带兵数!G132</f>
        <v>10342.004173493671</v>
      </c>
      <c r="V133" s="7">
        <f>[6]带兵数!H132</f>
        <v>10391.438486586627</v>
      </c>
      <c r="X133" s="7">
        <v>129</v>
      </c>
      <c r="Y133" s="7">
        <f>求节点(节奏总纲!D$4:D$163,R$5:R$164,$X133)*6</f>
        <v>37605.839370659909</v>
      </c>
      <c r="Z133" s="7">
        <f>求节点(节奏总纲!E$4:E$163,S$5:S$164,$X133)*6</f>
        <v>38755.84311176886</v>
      </c>
      <c r="AA133" s="7">
        <f>求节点(节奏总纲!F$4:F$163,T$5:T$164,$X133)*6</f>
        <v>40269.235995163806</v>
      </c>
      <c r="AB133" s="7">
        <f>求节点(节奏总纲!G$4:G$163,U$5:U$164,$X133)*6</f>
        <v>42454.512818693998</v>
      </c>
      <c r="AC133" s="7">
        <f>求节点(节奏总纲!H$4:H$163,V$5:V$164,$X133)*6</f>
        <v>46358.456204775837</v>
      </c>
      <c r="AG133" s="7">
        <v>129</v>
      </c>
      <c r="AH133" s="7">
        <v>1</v>
      </c>
      <c r="AI133" s="7">
        <f>[6]实力验证!$Z135</f>
        <v>1.6483833769025871</v>
      </c>
      <c r="AJ133" s="7">
        <f>[6]实力验证!$AE135</f>
        <v>2.855581654111873</v>
      </c>
      <c r="AK133" s="7">
        <f>[6]实力验证!$AJ135</f>
        <v>7.5169274243376787</v>
      </c>
      <c r="AL133" s="7">
        <f>[6]实力验证!$AO135</f>
        <v>25.518782288329632</v>
      </c>
      <c r="AM133" s="7">
        <f t="shared" ref="AM133:AM196" si="10">AH133*H133*$M133*AH$2+AI133*I133*$M133*AI$2+AJ133*J133*$M133*AJ$2+AK133*K133*$M133*AK$2+AL133*L133*$M133*AL$2</f>
        <v>96.675353548706767</v>
      </c>
      <c r="AR133" s="14">
        <v>129</v>
      </c>
      <c r="AS133" s="14">
        <f>[6]攻城值!AC133</f>
        <v>696.87660000000005</v>
      </c>
      <c r="AT133" s="14">
        <f>[6]攻城值!AD133</f>
        <v>698.27268000000004</v>
      </c>
      <c r="AU133" s="14">
        <f>[6]攻城值!AE133</f>
        <v>701.06484</v>
      </c>
      <c r="AV133" s="14">
        <f>[6]攻城值!AF133</f>
        <v>705.25308000000007</v>
      </c>
      <c r="AW133" s="14">
        <f>[6]攻城值!AG133</f>
        <v>710.83740000000012</v>
      </c>
      <c r="AY133" s="14">
        <v>129</v>
      </c>
      <c r="AZ133" s="14">
        <f>[6]攻城值!AJ133</f>
        <v>4594.8434160231536</v>
      </c>
      <c r="BA133" s="14">
        <f>[6]攻城值!AK133</f>
        <v>4654.0215752710619</v>
      </c>
      <c r="BB133" s="14">
        <f>[6]攻城值!AL133</f>
        <v>4726.5015394698485</v>
      </c>
      <c r="BC133" s="14">
        <f>[6]攻城值!AM133</f>
        <v>4813.8385585552505</v>
      </c>
      <c r="BD133" s="14">
        <f>[6]攻城值!AN133</f>
        <v>4916.4044857320114</v>
      </c>
      <c r="BF133" s="14">
        <v>129</v>
      </c>
      <c r="BG133" s="14">
        <f t="shared" si="7"/>
        <v>0.15064808849528574</v>
      </c>
      <c r="BH133" s="14">
        <f t="shared" si="8"/>
        <v>0.84935191150471423</v>
      </c>
      <c r="BL133" s="14">
        <v>129</v>
      </c>
      <c r="BM133" s="15">
        <f t="shared" si="6"/>
        <v>1</v>
      </c>
      <c r="BN133" s="15">
        <f t="shared" ref="BN133:BQ133" si="11">$BN$2</f>
        <v>1</v>
      </c>
      <c r="BO133" s="15">
        <f t="shared" si="11"/>
        <v>1</v>
      </c>
      <c r="BP133" s="15">
        <f t="shared" si="11"/>
        <v>1</v>
      </c>
      <c r="BQ133" s="15">
        <f t="shared" si="11"/>
        <v>1</v>
      </c>
      <c r="BR133" s="15">
        <f>'[1]功能-战损相关'!M139</f>
        <v>0.125</v>
      </c>
      <c r="BS133" s="15">
        <f>'[1]功能-战损相关'!N139</f>
        <v>0.125</v>
      </c>
      <c r="BT133" s="15">
        <f>'[1]功能-战损相关'!O139</f>
        <v>0.125</v>
      </c>
      <c r="BU133" s="15">
        <f>'[1]功能-战损相关'!P139</f>
        <v>0.125</v>
      </c>
      <c r="BV133" s="15">
        <f>'[1]功能-战损相关'!Q139</f>
        <v>0.125</v>
      </c>
    </row>
    <row r="134" spans="2:74" x14ac:dyDescent="0.15">
      <c r="B134" s="7">
        <v>130</v>
      </c>
      <c r="C134" s="7">
        <f>[1]服务器生态!W151</f>
        <v>159.87516749999998</v>
      </c>
      <c r="D134" s="7">
        <f>[1]服务器生态!X151</f>
        <v>157.63837911973332</v>
      </c>
      <c r="E134" s="7">
        <f>[1]服务器生态!Y151</f>
        <v>12.868066713599999</v>
      </c>
      <c r="F134" s="7">
        <f>[1]服务器生态!Z151</f>
        <v>2.2893200000000005</v>
      </c>
      <c r="G134" s="7">
        <f>[1]服务器生态!AA151</f>
        <v>0.66239999999999988</v>
      </c>
      <c r="H134" s="7">
        <f>[1]服务器生态!AC151</f>
        <v>0.47962550249999997</v>
      </c>
      <c r="I134" s="7">
        <f>[1]服务器生态!AD151</f>
        <v>0.47291513735919999</v>
      </c>
      <c r="J134" s="7">
        <f>[1]服务器生态!AE151</f>
        <v>3.8604200140800002E-2</v>
      </c>
      <c r="K134" s="7">
        <f>[1]服务器生态!AF151</f>
        <v>6.8679600000000019E-3</v>
      </c>
      <c r="L134" s="7">
        <f>[1]服务器生态!AG151</f>
        <v>1.9871999999999997E-3</v>
      </c>
      <c r="M134" s="7">
        <f>[5]基础信息!M133</f>
        <v>100</v>
      </c>
      <c r="Q134" s="7">
        <v>130</v>
      </c>
      <c r="R134" s="7">
        <f>[6]带兵数!D133</f>
        <v>10284.169345009299</v>
      </c>
      <c r="S134" s="7">
        <f>[6]带兵数!E133</f>
        <v>10322.39596331937</v>
      </c>
      <c r="T134" s="7">
        <f>[6]带兵数!F133</f>
        <v>10365.453667385293</v>
      </c>
      <c r="U134" s="7">
        <f>[6]带兵数!G133</f>
        <v>10411.47414391671</v>
      </c>
      <c r="V134" s="7">
        <f>[6]带兵数!H133</f>
        <v>10461.069740121369</v>
      </c>
      <c r="X134" s="7">
        <v>130</v>
      </c>
      <c r="Y134" s="7">
        <f>求节点(节奏总纲!D$4:D$163,R$5:R$164,$X134)*6</f>
        <v>37650.201513585271</v>
      </c>
      <c r="Z134" s="7">
        <f>求节点(节奏总纲!E$4:E$163,S$5:S$164,$X134)*6</f>
        <v>38799.596268859648</v>
      </c>
      <c r="AA134" s="7">
        <f>求节点(节奏总纲!F$4:F$163,T$5:T$164,$X134)*6</f>
        <v>40312.328920758344</v>
      </c>
      <c r="AB134" s="7">
        <f>求节点(节奏总纲!G$4:G$163,U$5:U$164,$X134)*6</f>
        <v>42501.494537859442</v>
      </c>
      <c r="AC134" s="7">
        <f>求节点(节奏总纲!H$4:H$163,V$5:V$164,$X134)*6</f>
        <v>46406.713595107518</v>
      </c>
      <c r="AG134" s="7">
        <v>130</v>
      </c>
      <c r="AH134" s="7">
        <v>1</v>
      </c>
      <c r="AI134" s="7">
        <f>[6]实力验证!$Z136</f>
        <v>1.6486830633376284</v>
      </c>
      <c r="AJ134" s="7">
        <f>[6]实力验证!$AE136</f>
        <v>2.8585199053941603</v>
      </c>
      <c r="AK134" s="7">
        <f>[6]实力验证!$AJ136</f>
        <v>7.523363503898624</v>
      </c>
      <c r="AL134" s="7">
        <f>[6]实力验证!$AO136</f>
        <v>25.504783666327111</v>
      </c>
      <c r="AM134" s="7">
        <f t="shared" si="10"/>
        <v>96.707551250171676</v>
      </c>
      <c r="AR134" s="14">
        <v>130</v>
      </c>
      <c r="AS134" s="14">
        <f>[6]攻城值!AC134</f>
        <v>701.90819999999997</v>
      </c>
      <c r="AT134" s="14">
        <f>[6]攻城值!AD134</f>
        <v>703.31436000000008</v>
      </c>
      <c r="AU134" s="14">
        <f>[6]攻城值!AE134</f>
        <v>706.12667999999996</v>
      </c>
      <c r="AV134" s="14">
        <f>[6]攻城值!AF134</f>
        <v>710.34516000000008</v>
      </c>
      <c r="AW134" s="14">
        <f>[6]攻城值!AG134</f>
        <v>715.96980000000008</v>
      </c>
      <c r="AY134" s="14">
        <v>130</v>
      </c>
      <c r="AZ134" s="14">
        <f>[6]攻城值!AJ134</f>
        <v>4654.5344852463195</v>
      </c>
      <c r="BA134" s="14">
        <f>[6]攻城值!AK134</f>
        <v>4713.7932142976733</v>
      </c>
      <c r="BB134" s="14">
        <f>[6]攻城值!AL134</f>
        <v>4786.5277702573057</v>
      </c>
      <c r="BC134" s="14">
        <f>[6]攻城值!AM134</f>
        <v>4874.0608382652827</v>
      </c>
      <c r="BD134" s="14">
        <f>[6]攻城值!AN134</f>
        <v>4976.7971592919339</v>
      </c>
      <c r="BF134" s="14">
        <v>130</v>
      </c>
      <c r="BG134" s="14">
        <f t="shared" si="7"/>
        <v>0.15064808849528574</v>
      </c>
      <c r="BH134" s="14">
        <f t="shared" si="8"/>
        <v>0.84935191150471423</v>
      </c>
      <c r="BL134" s="14">
        <v>130</v>
      </c>
      <c r="BM134" s="15">
        <f t="shared" ref="BM134:BQ164" si="12">$BN$2</f>
        <v>1</v>
      </c>
      <c r="BN134" s="15">
        <f t="shared" si="12"/>
        <v>1</v>
      </c>
      <c r="BO134" s="15">
        <f t="shared" si="12"/>
        <v>1</v>
      </c>
      <c r="BP134" s="15">
        <f t="shared" si="12"/>
        <v>1</v>
      </c>
      <c r="BQ134" s="15">
        <f t="shared" si="12"/>
        <v>1</v>
      </c>
      <c r="BR134" s="15">
        <f>'[1]功能-战损相关'!M140</f>
        <v>0.125</v>
      </c>
      <c r="BS134" s="15">
        <f>'[1]功能-战损相关'!N140</f>
        <v>0.125</v>
      </c>
      <c r="BT134" s="15">
        <f>'[1]功能-战损相关'!O140</f>
        <v>0.125</v>
      </c>
      <c r="BU134" s="15">
        <f>'[1]功能-战损相关'!P140</f>
        <v>0.125</v>
      </c>
      <c r="BV134" s="15">
        <f>'[1]功能-战损相关'!Q140</f>
        <v>0.125</v>
      </c>
    </row>
    <row r="135" spans="2:74" x14ac:dyDescent="0.15">
      <c r="B135" s="7">
        <v>131</v>
      </c>
      <c r="C135" s="7">
        <f>[1]服务器生态!W152</f>
        <v>159.0757916625</v>
      </c>
      <c r="D135" s="7">
        <f>[1]服务器生态!X152</f>
        <v>156.85018722413469</v>
      </c>
      <c r="E135" s="7">
        <f>[1]服务器生态!Y152</f>
        <v>12.803726380032002</v>
      </c>
      <c r="F135" s="7">
        <f>[1]服务器生态!Z152</f>
        <v>2.2778734000000007</v>
      </c>
      <c r="G135" s="7">
        <f>[1]服务器生态!AA152</f>
        <v>0.6590879999999999</v>
      </c>
      <c r="H135" s="7">
        <f>[1]服务器生态!AC152</f>
        <v>0.47962550249999997</v>
      </c>
      <c r="I135" s="7">
        <f>[1]服务器生态!AD152</f>
        <v>0.47291513735919999</v>
      </c>
      <c r="J135" s="7">
        <f>[1]服务器生态!AE152</f>
        <v>3.8604200140800002E-2</v>
      </c>
      <c r="K135" s="7">
        <f>[1]服务器生态!AF152</f>
        <v>6.8679600000000019E-3</v>
      </c>
      <c r="L135" s="7">
        <f>[1]服务器生态!AG152</f>
        <v>1.9871999999999997E-3</v>
      </c>
      <c r="M135" s="7">
        <f>[5]基础信息!M134</f>
        <v>100</v>
      </c>
      <c r="Q135" s="7">
        <v>131</v>
      </c>
      <c r="R135" s="7">
        <f>[6]带兵数!D134</f>
        <v>10350.218683850997</v>
      </c>
      <c r="S135" s="7">
        <f>[6]带兵数!E134</f>
        <v>10390.679555384882</v>
      </c>
      <c r="T135" s="7">
        <f>[6]带兵数!F134</f>
        <v>10433.482422917481</v>
      </c>
      <c r="U135" s="7">
        <f>[6]带兵数!G134</f>
        <v>10480.261367048963</v>
      </c>
      <c r="V135" s="7">
        <f>[6]带兵数!H134</f>
        <v>10528.349317864413</v>
      </c>
      <c r="X135" s="7">
        <v>131</v>
      </c>
      <c r="Y135" s="7">
        <f>求节点(节奏总纲!D$4:D$163,R$5:R$164,$X135)*6</f>
        <v>37694.56365651064</v>
      </c>
      <c r="Z135" s="7">
        <f>求节点(节奏总纲!E$4:E$163,S$5:S$164,$X135)*6</f>
        <v>38843.349425950444</v>
      </c>
      <c r="AA135" s="7">
        <f>求节点(节奏总纲!F$4:F$163,T$5:T$164,$X135)*6</f>
        <v>40355.421846352881</v>
      </c>
      <c r="AB135" s="7">
        <f>求节点(节奏总纲!G$4:G$163,U$5:U$164,$X135)*6</f>
        <v>42548.476257024879</v>
      </c>
      <c r="AC135" s="7">
        <f>求节点(节奏总纲!H$4:H$163,V$5:V$164,$X135)*6</f>
        <v>46454.178278228836</v>
      </c>
      <c r="AG135" s="7">
        <v>131</v>
      </c>
      <c r="AH135" s="7">
        <v>1</v>
      </c>
      <c r="AI135" s="7">
        <f>[6]实力验证!$Z137</f>
        <v>1.6489757349893781</v>
      </c>
      <c r="AJ135" s="7">
        <f>[6]实力验证!$AE137</f>
        <v>2.8613893808041011</v>
      </c>
      <c r="AK135" s="7">
        <f>[6]实力验证!$AJ137</f>
        <v>7.5296489336533519</v>
      </c>
      <c r="AL135" s="7">
        <f>[6]实力验证!$AO137</f>
        <v>25.495885442348648</v>
      </c>
      <c r="AM135" s="7">
        <f t="shared" si="10"/>
        <v>96.740892171869035</v>
      </c>
      <c r="AR135" s="14">
        <v>131</v>
      </c>
      <c r="AS135" s="14">
        <f>[6]攻城值!AC135</f>
        <v>706.93979999999999</v>
      </c>
      <c r="AT135" s="14">
        <f>[6]攻城值!AD135</f>
        <v>708.35604000000001</v>
      </c>
      <c r="AU135" s="14">
        <f>[6]攻城值!AE135</f>
        <v>711.18852000000004</v>
      </c>
      <c r="AV135" s="14">
        <f>[6]攻城值!AF135</f>
        <v>715.43723999999997</v>
      </c>
      <c r="AW135" s="14">
        <f>[6]攻城值!AG135</f>
        <v>721.10220000000004</v>
      </c>
      <c r="AY135" s="14">
        <v>131</v>
      </c>
      <c r="AZ135" s="14">
        <f>[6]攻城值!AJ135</f>
        <v>4714.2255544694863</v>
      </c>
      <c r="BA135" s="14">
        <f>[6]攻城值!AK135</f>
        <v>4773.5648533242847</v>
      </c>
      <c r="BB135" s="14">
        <f>[6]攻城值!AL135</f>
        <v>4846.554001044763</v>
      </c>
      <c r="BC135" s="14">
        <f>[6]攻城值!AM135</f>
        <v>4934.2831179753157</v>
      </c>
      <c r="BD135" s="14">
        <f>[6]攻城值!AN135</f>
        <v>5037.1898328518573</v>
      </c>
      <c r="BF135" s="14">
        <v>131</v>
      </c>
      <c r="BG135" s="14">
        <f t="shared" si="7"/>
        <v>0.15064808849528574</v>
      </c>
      <c r="BH135" s="14">
        <f t="shared" si="8"/>
        <v>0.84935191150471423</v>
      </c>
      <c r="BL135" s="14">
        <v>131</v>
      </c>
      <c r="BM135" s="15">
        <f t="shared" si="12"/>
        <v>1</v>
      </c>
      <c r="BN135" s="15">
        <f t="shared" si="12"/>
        <v>1</v>
      </c>
      <c r="BO135" s="15">
        <f t="shared" si="12"/>
        <v>1</v>
      </c>
      <c r="BP135" s="15">
        <f t="shared" si="12"/>
        <v>1</v>
      </c>
      <c r="BQ135" s="15">
        <f t="shared" si="12"/>
        <v>1</v>
      </c>
      <c r="BR135" s="15">
        <f>'[1]功能-战损相关'!M141</f>
        <v>0.125</v>
      </c>
      <c r="BS135" s="15">
        <f>'[1]功能-战损相关'!N141</f>
        <v>0.125</v>
      </c>
      <c r="BT135" s="15">
        <f>'[1]功能-战损相关'!O141</f>
        <v>0.125</v>
      </c>
      <c r="BU135" s="15">
        <f>'[1]功能-战损相关'!P141</f>
        <v>0.125</v>
      </c>
      <c r="BV135" s="15">
        <f>'[1]功能-战损相关'!Q141</f>
        <v>0.125</v>
      </c>
    </row>
    <row r="136" spans="2:74" x14ac:dyDescent="0.15">
      <c r="B136" s="7">
        <v>132</v>
      </c>
      <c r="C136" s="7">
        <f>[1]服务器生态!W153</f>
        <v>158.27641582499999</v>
      </c>
      <c r="D136" s="7">
        <f>[1]服务器生态!X153</f>
        <v>156.061995328536</v>
      </c>
      <c r="E136" s="7">
        <f>[1]服务器生态!Y153</f>
        <v>12.739386046464</v>
      </c>
      <c r="F136" s="7">
        <f>[1]服务器生态!Z153</f>
        <v>2.2664268000000005</v>
      </c>
      <c r="G136" s="7">
        <f>[1]服务器生态!AA153</f>
        <v>0.65577599999999991</v>
      </c>
      <c r="H136" s="7">
        <f>[1]服务器生态!AC153</f>
        <v>0.47962550249999997</v>
      </c>
      <c r="I136" s="7">
        <f>[1]服务器生态!AD153</f>
        <v>0.47291513735919999</v>
      </c>
      <c r="J136" s="7">
        <f>[1]服务器生态!AE153</f>
        <v>3.8604200140800002E-2</v>
      </c>
      <c r="K136" s="7">
        <f>[1]服务器生态!AF153</f>
        <v>6.8679600000000019E-3</v>
      </c>
      <c r="L136" s="7">
        <f>[1]服务器生态!AG153</f>
        <v>1.9871999999999997E-3</v>
      </c>
      <c r="M136" s="7">
        <f>[5]基础信息!M135</f>
        <v>100</v>
      </c>
      <c r="Q136" s="7">
        <v>132</v>
      </c>
      <c r="R136" s="7">
        <f>[6]带兵数!D135</f>
        <v>10418.725533783756</v>
      </c>
      <c r="S136" s="7">
        <f>[6]带兵数!E135</f>
        <v>10458.209033612722</v>
      </c>
      <c r="T136" s="7">
        <f>[6]带兵数!F135</f>
        <v>10502.372210011868</v>
      </c>
      <c r="U136" s="7">
        <f>[6]带兵数!G135</f>
        <v>10547.428454475499</v>
      </c>
      <c r="V136" s="7">
        <f>[6]带兵数!H135</f>
        <v>10593.159540397482</v>
      </c>
      <c r="X136" s="7">
        <v>132</v>
      </c>
      <c r="Y136" s="7">
        <f>求节点(节奏总纲!D$4:D$163,R$5:R$164,$X136)*6</f>
        <v>37738.925799435994</v>
      </c>
      <c r="Z136" s="7">
        <f>求节点(节奏总纲!E$4:E$163,S$5:S$164,$X136)*6</f>
        <v>38887.10258304124</v>
      </c>
      <c r="AA136" s="7">
        <f>求节点(节奏总纲!F$4:F$163,T$5:T$164,$X136)*6</f>
        <v>40398.514771947419</v>
      </c>
      <c r="AB136" s="7">
        <f>求节点(节奏总纲!G$4:G$163,U$5:U$164,$X136)*6</f>
        <v>42593.352032195027</v>
      </c>
      <c r="AC136" s="7">
        <f>求节点(节奏总纲!H$4:H$163,V$5:V$164,$X136)*6</f>
        <v>46500.353255880982</v>
      </c>
      <c r="AG136" s="7">
        <v>132</v>
      </c>
      <c r="AH136" s="7">
        <v>1</v>
      </c>
      <c r="AI136" s="7">
        <f>[6]实力验证!$Z138</f>
        <v>1.6492616353020313</v>
      </c>
      <c r="AJ136" s="7">
        <f>[6]实力验证!$AE138</f>
        <v>2.864192467170505</v>
      </c>
      <c r="AK136" s="7">
        <f>[6]实力验证!$AJ138</f>
        <v>7.548063437708457</v>
      </c>
      <c r="AL136" s="7">
        <f>[6]实力验证!$AO138</f>
        <v>25.494868321089918</v>
      </c>
      <c r="AM136" s="7">
        <f t="shared" si="10"/>
        <v>96.793372301065887</v>
      </c>
      <c r="AR136" s="14">
        <v>132</v>
      </c>
      <c r="AS136" s="14">
        <f>[6]攻城值!AC136</f>
        <v>711.97140000000002</v>
      </c>
      <c r="AT136" s="14">
        <f>[6]攻城值!AD136</f>
        <v>713.39772000000005</v>
      </c>
      <c r="AU136" s="14">
        <f>[6]攻城值!AE136</f>
        <v>716.25036</v>
      </c>
      <c r="AV136" s="14">
        <f>[6]攻城值!AF136</f>
        <v>720.52931999999998</v>
      </c>
      <c r="AW136" s="14">
        <f>[6]攻城值!AG136</f>
        <v>726.23460000000011</v>
      </c>
      <c r="AY136" s="14">
        <v>132</v>
      </c>
      <c r="AZ136" s="14">
        <f>[6]攻城值!AJ136</f>
        <v>4773.9166236926521</v>
      </c>
      <c r="BA136" s="14">
        <f>[6]攻城值!AK136</f>
        <v>4833.3364923508971</v>
      </c>
      <c r="BB136" s="14">
        <f>[6]攻城值!AL136</f>
        <v>4906.5802318322203</v>
      </c>
      <c r="BC136" s="14">
        <f>[6]攻城值!AM136</f>
        <v>4994.5053976853478</v>
      </c>
      <c r="BD136" s="14">
        <f>[6]攻城值!AN136</f>
        <v>5097.5825064117798</v>
      </c>
      <c r="BF136" s="14">
        <v>132</v>
      </c>
      <c r="BG136" s="14">
        <f t="shared" si="7"/>
        <v>0.15064808849528574</v>
      </c>
      <c r="BH136" s="14">
        <f t="shared" si="8"/>
        <v>0.84935191150471423</v>
      </c>
      <c r="BL136" s="14">
        <v>132</v>
      </c>
      <c r="BM136" s="15">
        <f t="shared" si="12"/>
        <v>1</v>
      </c>
      <c r="BN136" s="15">
        <f t="shared" si="12"/>
        <v>1</v>
      </c>
      <c r="BO136" s="15">
        <f t="shared" si="12"/>
        <v>1</v>
      </c>
      <c r="BP136" s="15">
        <f t="shared" si="12"/>
        <v>1</v>
      </c>
      <c r="BQ136" s="15">
        <f t="shared" si="12"/>
        <v>1</v>
      </c>
      <c r="BR136" s="15">
        <f>'[1]功能-战损相关'!M142</f>
        <v>0.125</v>
      </c>
      <c r="BS136" s="15">
        <f>'[1]功能-战损相关'!N142</f>
        <v>0.125</v>
      </c>
      <c r="BT136" s="15">
        <f>'[1]功能-战损相关'!O142</f>
        <v>0.125</v>
      </c>
      <c r="BU136" s="15">
        <f>'[1]功能-战损相关'!P142</f>
        <v>0.125</v>
      </c>
      <c r="BV136" s="15">
        <f>'[1]功能-战损相关'!Q142</f>
        <v>0.125</v>
      </c>
    </row>
    <row r="137" spans="2:74" x14ac:dyDescent="0.15">
      <c r="B137" s="7">
        <v>133</v>
      </c>
      <c r="C137" s="7">
        <f>[1]服务器生态!W154</f>
        <v>157.47703998749998</v>
      </c>
      <c r="D137" s="7">
        <f>[1]服务器生态!X154</f>
        <v>155.27380343293731</v>
      </c>
      <c r="E137" s="7">
        <f>[1]服务器生态!Y154</f>
        <v>12.675045712895999</v>
      </c>
      <c r="F137" s="7">
        <f>[1]服务器生态!Z154</f>
        <v>2.2549802000000003</v>
      </c>
      <c r="G137" s="7">
        <f>[1]服务器生态!AA154</f>
        <v>0.65246399999999982</v>
      </c>
      <c r="H137" s="7">
        <f>[1]服务器生态!AC154</f>
        <v>0.47962550249999997</v>
      </c>
      <c r="I137" s="7">
        <f>[1]服务器生态!AD154</f>
        <v>0.47291513735919999</v>
      </c>
      <c r="J137" s="7">
        <f>[1]服务器生态!AE154</f>
        <v>3.8604200140800002E-2</v>
      </c>
      <c r="K137" s="7">
        <f>[1]服务器生态!AF154</f>
        <v>6.8679600000000019E-3</v>
      </c>
      <c r="L137" s="7">
        <f>[1]服务器生态!AG154</f>
        <v>1.9871999999999997E-3</v>
      </c>
      <c r="M137" s="7">
        <f>[5]基础信息!M136</f>
        <v>100</v>
      </c>
      <c r="Q137" s="7">
        <v>133</v>
      </c>
      <c r="R137" s="7">
        <f>[6]带兵数!D136</f>
        <v>10485.193393640169</v>
      </c>
      <c r="S137" s="7">
        <f>[6]带兵数!E136</f>
        <v>10526.375843787282</v>
      </c>
      <c r="T137" s="7">
        <f>[6]带兵数!F136</f>
        <v>10568.416857784301</v>
      </c>
      <c r="U137" s="7">
        <f>[6]带兵数!G136</f>
        <v>10611.001750564903</v>
      </c>
      <c r="V137" s="7">
        <f>[6]带兵数!H136</f>
        <v>10659.034382991296</v>
      </c>
      <c r="X137" s="7">
        <v>133</v>
      </c>
      <c r="Y137" s="7">
        <f>求节点(节奏总纲!D$4:D$163,R$5:R$164,$X137)*6</f>
        <v>37783.287942361363</v>
      </c>
      <c r="Z137" s="7">
        <f>求节点(节奏总纲!E$4:E$163,S$5:S$164,$X137)*6</f>
        <v>38930.855740132036</v>
      </c>
      <c r="AA137" s="7">
        <f>求节点(节奏总纲!F$4:F$163,T$5:T$164,$X137)*6</f>
        <v>40441.607697541949</v>
      </c>
      <c r="AB137" s="7">
        <f>求节点(节奏总纲!G$4:G$163,U$5:U$164,$X137)*6</f>
        <v>42635.319598990718</v>
      </c>
      <c r="AC137" s="7">
        <f>求节点(节奏总纲!H$4:H$163,V$5:V$164,$X137)*6</f>
        <v>46546.528233533129</v>
      </c>
      <c r="AG137" s="7">
        <v>133</v>
      </c>
      <c r="AH137" s="7">
        <v>1</v>
      </c>
      <c r="AI137" s="7">
        <f>[6]实力验证!$Z139</f>
        <v>1.6495409965838093</v>
      </c>
      <c r="AJ137" s="7">
        <f>[6]实力验证!$AE139</f>
        <v>2.8669314421404368</v>
      </c>
      <c r="AK137" s="7">
        <f>[6]实力验证!$AJ139</f>
        <v>7.5828134213206289</v>
      </c>
      <c r="AL137" s="7">
        <f>[6]实力验证!$AO139</f>
        <v>25.493874463140177</v>
      </c>
      <c r="AM137" s="7">
        <f t="shared" si="10"/>
        <v>96.867668921214431</v>
      </c>
      <c r="AR137" s="14">
        <v>133</v>
      </c>
      <c r="AS137" s="14">
        <f>[6]攻城值!AC137</f>
        <v>717.00300000000004</v>
      </c>
      <c r="AT137" s="14">
        <f>[6]攻城值!AD137</f>
        <v>718.43940000000009</v>
      </c>
      <c r="AU137" s="14">
        <f>[6]攻城值!AE137</f>
        <v>721.31219999999996</v>
      </c>
      <c r="AV137" s="14">
        <f>[6]攻城值!AF137</f>
        <v>725.62139999999999</v>
      </c>
      <c r="AW137" s="14">
        <f>[6]攻城值!AG137</f>
        <v>731.36700000000008</v>
      </c>
      <c r="AY137" s="14">
        <v>133</v>
      </c>
      <c r="AZ137" s="14">
        <f>[6]攻城值!AJ137</f>
        <v>4833.607692915818</v>
      </c>
      <c r="BA137" s="14">
        <f>[6]攻城值!AK137</f>
        <v>4893.1081313775085</v>
      </c>
      <c r="BB137" s="14">
        <f>[6]攻城值!AL137</f>
        <v>4966.6064626196776</v>
      </c>
      <c r="BC137" s="14">
        <f>[6]攻城值!AM137</f>
        <v>5054.7276773953809</v>
      </c>
      <c r="BD137" s="14">
        <f>[6]攻城值!AN137</f>
        <v>5157.9751799717033</v>
      </c>
      <c r="BF137" s="14">
        <v>133</v>
      </c>
      <c r="BG137" s="14">
        <f t="shared" si="7"/>
        <v>0.15064808849528574</v>
      </c>
      <c r="BH137" s="14">
        <f t="shared" si="8"/>
        <v>0.84935191150471423</v>
      </c>
      <c r="BL137" s="14">
        <v>133</v>
      </c>
      <c r="BM137" s="15">
        <f t="shared" si="12"/>
        <v>1</v>
      </c>
      <c r="BN137" s="15">
        <f t="shared" si="12"/>
        <v>1</v>
      </c>
      <c r="BO137" s="15">
        <f t="shared" si="12"/>
        <v>1</v>
      </c>
      <c r="BP137" s="15">
        <f t="shared" si="12"/>
        <v>1</v>
      </c>
      <c r="BQ137" s="15">
        <f t="shared" si="12"/>
        <v>1</v>
      </c>
      <c r="BR137" s="15">
        <f>'[1]功能-战损相关'!M143</f>
        <v>0.125</v>
      </c>
      <c r="BS137" s="15">
        <f>'[1]功能-战损相关'!N143</f>
        <v>0.125</v>
      </c>
      <c r="BT137" s="15">
        <f>'[1]功能-战损相关'!O143</f>
        <v>0.125</v>
      </c>
      <c r="BU137" s="15">
        <f>'[1]功能-战损相关'!P143</f>
        <v>0.125</v>
      </c>
      <c r="BV137" s="15">
        <f>'[1]功能-战损相关'!Q143</f>
        <v>0.125</v>
      </c>
    </row>
    <row r="138" spans="2:74" x14ac:dyDescent="0.15">
      <c r="B138" s="7">
        <v>134</v>
      </c>
      <c r="C138" s="7">
        <f>[1]服务器生态!W155</f>
        <v>156.67766415</v>
      </c>
      <c r="D138" s="7">
        <f>[1]服务器生态!X155</f>
        <v>154.48561153733868</v>
      </c>
      <c r="E138" s="7">
        <f>[1]服务器生态!Y155</f>
        <v>12.610705379328001</v>
      </c>
      <c r="F138" s="7">
        <f>[1]服务器生态!Z155</f>
        <v>2.2435336000000006</v>
      </c>
      <c r="G138" s="7">
        <f>[1]服务器生态!AA155</f>
        <v>0.64915199999999995</v>
      </c>
      <c r="H138" s="7">
        <f>[1]服务器生态!AC155</f>
        <v>0.47962550249999997</v>
      </c>
      <c r="I138" s="7">
        <f>[1]服务器生态!AD155</f>
        <v>0.47291513735919999</v>
      </c>
      <c r="J138" s="7">
        <f>[1]服务器生态!AE155</f>
        <v>3.8604200140800002E-2</v>
      </c>
      <c r="K138" s="7">
        <f>[1]服务器生态!AF155</f>
        <v>6.8679600000000019E-3</v>
      </c>
      <c r="L138" s="7">
        <f>[1]服务器生态!AG155</f>
        <v>1.9871999999999997E-3</v>
      </c>
      <c r="M138" s="7">
        <f>[5]基础信息!M137</f>
        <v>100</v>
      </c>
      <c r="Q138" s="7">
        <v>134</v>
      </c>
      <c r="R138" s="7">
        <f>[6]带兵数!D137</f>
        <v>10553.357958132943</v>
      </c>
      <c r="S138" s="7">
        <f>[6]带兵数!E137</f>
        <v>10591.904335866573</v>
      </c>
      <c r="T138" s="7">
        <f>[6]带兵数!F137</f>
        <v>10632.184008378683</v>
      </c>
      <c r="U138" s="7">
        <f>[6]带兵数!G137</f>
        <v>10676.989170278477</v>
      </c>
      <c r="V138" s="7">
        <f>[6]带兵数!H137</f>
        <v>10723.746273633435</v>
      </c>
      <c r="X138" s="7">
        <v>134</v>
      </c>
      <c r="Y138" s="7">
        <f>求节点(节奏总纲!D$4:D$163,R$5:R$164,$X138)*6</f>
        <v>37827.650085286732</v>
      </c>
      <c r="Z138" s="7">
        <f>求节点(节奏总纲!E$4:E$163,S$5:S$164,$X138)*6</f>
        <v>38974.608897222832</v>
      </c>
      <c r="AA138" s="7">
        <f>求节点(节奏总纲!F$4:F$163,T$5:T$164,$X138)*6</f>
        <v>40484.700623136487</v>
      </c>
      <c r="AB138" s="7">
        <f>求节点(节奏总纲!G$4:G$163,U$5:U$164,$X138)*6</f>
        <v>42677.287165786409</v>
      </c>
      <c r="AC138" s="7">
        <f>求节点(节奏总纲!H$4:H$163,V$5:V$164,$X138)*6</f>
        <v>46592.70321118529</v>
      </c>
      <c r="AG138" s="7">
        <v>134</v>
      </c>
      <c r="AH138" s="7">
        <v>1</v>
      </c>
      <c r="AI138" s="7">
        <f>[6]实力验证!$Z140</f>
        <v>1.6498140406365081</v>
      </c>
      <c r="AJ138" s="7">
        <f>[6]实力验证!$AE140</f>
        <v>2.8696084803515678</v>
      </c>
      <c r="AK138" s="7">
        <f>[6]实力验证!$AJ140</f>
        <v>7.6167775995213116</v>
      </c>
      <c r="AL138" s="7">
        <f>[6]实力验证!$AO140</f>
        <v>25.492903079415573</v>
      </c>
      <c r="AM138" s="7">
        <f t="shared" si="10"/>
        <v>96.940285463270868</v>
      </c>
      <c r="AR138" s="14">
        <v>134</v>
      </c>
      <c r="AS138" s="14">
        <f>[6]攻城值!AC138</f>
        <v>722.03459999999995</v>
      </c>
      <c r="AT138" s="14">
        <f>[6]攻城值!AD138</f>
        <v>723.48108000000002</v>
      </c>
      <c r="AU138" s="14">
        <f>[6]攻城值!AE138</f>
        <v>726.37404000000004</v>
      </c>
      <c r="AV138" s="14">
        <f>[6]攻城值!AF138</f>
        <v>730.71348</v>
      </c>
      <c r="AW138" s="14">
        <f>[6]攻城值!AG138</f>
        <v>736.49940000000004</v>
      </c>
      <c r="AY138" s="14">
        <v>134</v>
      </c>
      <c r="AZ138" s="14">
        <f>[6]攻城值!AJ138</f>
        <v>4893.2987621389848</v>
      </c>
      <c r="BA138" s="14">
        <f>[6]攻城值!AK138</f>
        <v>4952.8797704041199</v>
      </c>
      <c r="BB138" s="14">
        <f>[6]攻城值!AL138</f>
        <v>5026.632693407134</v>
      </c>
      <c r="BC138" s="14">
        <f>[6]攻城值!AM138</f>
        <v>5114.949957105413</v>
      </c>
      <c r="BD138" s="14">
        <f>[6]攻城值!AN138</f>
        <v>5218.3678535316258</v>
      </c>
      <c r="BF138" s="14">
        <v>134</v>
      </c>
      <c r="BG138" s="14">
        <f t="shared" si="7"/>
        <v>0.15064808849528574</v>
      </c>
      <c r="BH138" s="14">
        <f t="shared" si="8"/>
        <v>0.84935191150471423</v>
      </c>
      <c r="BL138" s="14">
        <v>134</v>
      </c>
      <c r="BM138" s="15">
        <f t="shared" si="12"/>
        <v>1</v>
      </c>
      <c r="BN138" s="15">
        <f t="shared" si="12"/>
        <v>1</v>
      </c>
      <c r="BO138" s="15">
        <f t="shared" si="12"/>
        <v>1</v>
      </c>
      <c r="BP138" s="15">
        <f t="shared" si="12"/>
        <v>1</v>
      </c>
      <c r="BQ138" s="15">
        <f t="shared" si="12"/>
        <v>1</v>
      </c>
      <c r="BR138" s="15">
        <f>'[1]功能-战损相关'!M144</f>
        <v>0.125</v>
      </c>
      <c r="BS138" s="15">
        <f>'[1]功能-战损相关'!N144</f>
        <v>0.125</v>
      </c>
      <c r="BT138" s="15">
        <f>'[1]功能-战损相关'!O144</f>
        <v>0.125</v>
      </c>
      <c r="BU138" s="15">
        <f>'[1]功能-战损相关'!P144</f>
        <v>0.125</v>
      </c>
      <c r="BV138" s="15">
        <f>'[1]功能-战损相关'!Q144</f>
        <v>0.125</v>
      </c>
    </row>
    <row r="139" spans="2:74" x14ac:dyDescent="0.15">
      <c r="B139" s="7">
        <v>135</v>
      </c>
      <c r="C139" s="7">
        <f>[1]服务器生态!W156</f>
        <v>155.87828831249999</v>
      </c>
      <c r="D139" s="7">
        <f>[1]服务器生态!X156</f>
        <v>153.69741964174</v>
      </c>
      <c r="E139" s="7">
        <f>[1]服务器生态!Y156</f>
        <v>12.54636504576</v>
      </c>
      <c r="F139" s="7">
        <f>[1]服务器生态!Z156</f>
        <v>2.2320870000000008</v>
      </c>
      <c r="G139" s="7">
        <f>[1]服务器生态!AA156</f>
        <v>0.64583999999999986</v>
      </c>
      <c r="H139" s="7">
        <f>[1]服务器生态!AC156</f>
        <v>0.47962550249999997</v>
      </c>
      <c r="I139" s="7">
        <f>[1]服务器生态!AD156</f>
        <v>0.47291513735919999</v>
      </c>
      <c r="J139" s="7">
        <f>[1]服务器生态!AE156</f>
        <v>3.8604200140800002E-2</v>
      </c>
      <c r="K139" s="7">
        <f>[1]服务器生态!AF156</f>
        <v>6.8679600000000019E-3</v>
      </c>
      <c r="L139" s="7">
        <f>[1]服务器生态!AG156</f>
        <v>1.9871999999999997E-3</v>
      </c>
      <c r="M139" s="7">
        <f>[5]基础信息!M138</f>
        <v>100</v>
      </c>
      <c r="Q139" s="7">
        <v>135</v>
      </c>
      <c r="R139" s="7">
        <f>[6]带兵数!D138</f>
        <v>10620.238018096192</v>
      </c>
      <c r="S139" s="7">
        <f>[6]带兵数!E138</f>
        <v>10658.300638407094</v>
      </c>
      <c r="T139" s="7">
        <f>[6]带兵数!F138</f>
        <v>10699.773107342662</v>
      </c>
      <c r="U139" s="7">
        <f>[6]带兵数!G138</f>
        <v>10743.454269294487</v>
      </c>
      <c r="V139" s="7">
        <f>[6]带兵数!H138</f>
        <v>10793.831295506459</v>
      </c>
      <c r="X139" s="7">
        <v>135</v>
      </c>
      <c r="Y139" s="7">
        <f>求节点(节奏总纲!D$4:D$163,R$5:R$164,$X139)*6</f>
        <v>37872.012228212094</v>
      </c>
      <c r="Z139" s="7">
        <f>求节点(节奏总纲!E$4:E$163,S$5:S$164,$X139)*6</f>
        <v>39018.362054313628</v>
      </c>
      <c r="AA139" s="7">
        <f>求节点(节奏总纲!F$4:F$163,T$5:T$164,$X139)*6</f>
        <v>40527.793548731024</v>
      </c>
      <c r="AB139" s="7">
        <f>求节点(节奏总纲!G$4:G$163,U$5:U$164,$X139)*6</f>
        <v>42719.2547325821</v>
      </c>
      <c r="AC139" s="7">
        <f>求节点(节奏总纲!H$4:H$163,V$5:V$164,$X139)*6</f>
        <v>46638.878188837436</v>
      </c>
      <c r="AG139" s="7">
        <v>135</v>
      </c>
      <c r="AH139" s="7">
        <v>1</v>
      </c>
      <c r="AI139" s="7">
        <f>[6]实力验证!$Z141</f>
        <v>1.6500809793428139</v>
      </c>
      <c r="AJ139" s="7">
        <f>[6]实力验证!$AE141</f>
        <v>2.8722256591904762</v>
      </c>
      <c r="AK139" s="7">
        <f>[6]实力验证!$AJ141</f>
        <v>7.6499823285752839</v>
      </c>
      <c r="AL139" s="7">
        <f>[6]实力验证!$AO141</f>
        <v>25.491953416120552</v>
      </c>
      <c r="AM139" s="7">
        <f t="shared" si="10"/>
        <v>97.011278277805417</v>
      </c>
      <c r="AR139" s="14">
        <v>135</v>
      </c>
      <c r="AS139" s="14">
        <f>[6]攻城值!AC139</f>
        <v>727.06619999999998</v>
      </c>
      <c r="AT139" s="14">
        <f>[6]攻城值!AD139</f>
        <v>728.52276000000006</v>
      </c>
      <c r="AU139" s="14">
        <f>[6]攻城值!AE139</f>
        <v>731.43588</v>
      </c>
      <c r="AV139" s="14">
        <f>[6]攻城值!AF139</f>
        <v>735.80556000000001</v>
      </c>
      <c r="AW139" s="14">
        <f>[6]攻城值!AG139</f>
        <v>741.63180000000011</v>
      </c>
      <c r="AY139" s="14">
        <v>135</v>
      </c>
      <c r="AZ139" s="14">
        <f>[6]攻城值!AJ139</f>
        <v>4952.9898313621516</v>
      </c>
      <c r="BA139" s="14">
        <f>[6]攻城值!AK139</f>
        <v>5012.6514094307322</v>
      </c>
      <c r="BB139" s="14">
        <f>[6]攻城值!AL139</f>
        <v>5086.6589241945912</v>
      </c>
      <c r="BC139" s="14">
        <f>[6]攻城值!AM139</f>
        <v>5175.1722368154451</v>
      </c>
      <c r="BD139" s="14">
        <f>[6]攻城值!AN139</f>
        <v>5278.7605270915492</v>
      </c>
      <c r="BF139" s="14">
        <v>135</v>
      </c>
      <c r="BG139" s="14">
        <f t="shared" si="7"/>
        <v>0.15064808849528574</v>
      </c>
      <c r="BH139" s="14">
        <f t="shared" si="8"/>
        <v>0.84935191150471423</v>
      </c>
      <c r="BL139" s="14">
        <v>135</v>
      </c>
      <c r="BM139" s="15">
        <f t="shared" si="12"/>
        <v>1</v>
      </c>
      <c r="BN139" s="15">
        <f t="shared" si="12"/>
        <v>1</v>
      </c>
      <c r="BO139" s="15">
        <f t="shared" si="12"/>
        <v>1</v>
      </c>
      <c r="BP139" s="15">
        <f t="shared" si="12"/>
        <v>1</v>
      </c>
      <c r="BQ139" s="15">
        <f t="shared" si="12"/>
        <v>1</v>
      </c>
      <c r="BR139" s="15">
        <f>'[1]功能-战损相关'!M145</f>
        <v>0.125</v>
      </c>
      <c r="BS139" s="15">
        <f>'[1]功能-战损相关'!N145</f>
        <v>0.125</v>
      </c>
      <c r="BT139" s="15">
        <f>'[1]功能-战损相关'!O145</f>
        <v>0.125</v>
      </c>
      <c r="BU139" s="15">
        <f>'[1]功能-战损相关'!P145</f>
        <v>0.125</v>
      </c>
      <c r="BV139" s="15">
        <f>'[1]功能-战损相关'!Q145</f>
        <v>0.125</v>
      </c>
    </row>
    <row r="140" spans="2:74" x14ac:dyDescent="0.15">
      <c r="B140" s="7">
        <v>136</v>
      </c>
      <c r="C140" s="7">
        <f>[1]服务器生态!W157</f>
        <v>155.07891247499998</v>
      </c>
      <c r="D140" s="7">
        <f>[1]服务器生态!X157</f>
        <v>152.90922774614131</v>
      </c>
      <c r="E140" s="7">
        <f>[1]服务器生态!Y157</f>
        <v>12.482024712192</v>
      </c>
      <c r="F140" s="7">
        <f>[1]服务器生态!Z157</f>
        <v>2.2206404000000006</v>
      </c>
      <c r="G140" s="7">
        <f>[1]服务器生态!AA157</f>
        <v>0.64252799999999988</v>
      </c>
      <c r="H140" s="7">
        <f>[1]服务器生态!AC157</f>
        <v>0.47962550249999997</v>
      </c>
      <c r="I140" s="7">
        <f>[1]服务器生态!AD157</f>
        <v>0.47291513735919999</v>
      </c>
      <c r="J140" s="7">
        <f>[1]服务器生态!AE157</f>
        <v>3.8604200140800002E-2</v>
      </c>
      <c r="K140" s="7">
        <f>[1]服务器生态!AF157</f>
        <v>6.8679600000000019E-3</v>
      </c>
      <c r="L140" s="7">
        <f>[1]服务器生态!AG157</f>
        <v>1.9871999999999997E-3</v>
      </c>
      <c r="M140" s="7">
        <f>[5]基础信息!M139</f>
        <v>100</v>
      </c>
      <c r="Q140" s="7">
        <v>136</v>
      </c>
      <c r="R140" s="7">
        <f>[6]带兵数!D139</f>
        <v>10688.065096972121</v>
      </c>
      <c r="S140" s="7">
        <f>[6]带兵数!E139</f>
        <v>10726.767223275205</v>
      </c>
      <c r="T140" s="7">
        <f>[6]带兵数!F139</f>
        <v>10768.516295082965</v>
      </c>
      <c r="U140" s="7">
        <f>[6]带兵数!G139</f>
        <v>10814.69941335345</v>
      </c>
      <c r="V140" s="7">
        <f>[6]带兵数!H139</f>
        <v>10862.201443082113</v>
      </c>
      <c r="X140" s="7">
        <v>136</v>
      </c>
      <c r="Y140" s="7">
        <f>求节点(节奏总纲!D$4:D$163,R$5:R$164,$X140)*6</f>
        <v>37916.374371137455</v>
      </c>
      <c r="Z140" s="7">
        <f>求节点(节奏总纲!E$4:E$163,S$5:S$164,$X140)*6</f>
        <v>39061.120095903381</v>
      </c>
      <c r="AA140" s="7">
        <f>求节点(节奏总纲!F$4:F$163,T$5:T$164,$X140)*6</f>
        <v>40570.886474325562</v>
      </c>
      <c r="AB140" s="7">
        <f>求节点(节奏总纲!G$4:G$163,U$5:U$164,$X140)*6</f>
        <v>42761.22229937779</v>
      </c>
      <c r="AC140" s="7">
        <f>求节点(节奏总纲!H$4:H$163,V$5:V$164,$X140)*6</f>
        <v>46685.05316648959</v>
      </c>
      <c r="AG140" s="7">
        <v>136</v>
      </c>
      <c r="AH140" s="7">
        <v>1</v>
      </c>
      <c r="AI140" s="7">
        <f>[6]实力验证!$Z142</f>
        <v>1.6504395726723513</v>
      </c>
      <c r="AJ140" s="7">
        <f>[6]实力验证!$AE142</f>
        <v>2.8747849641689482</v>
      </c>
      <c r="AK140" s="7">
        <f>[6]实力验证!$AJ142</f>
        <v>7.6824527991114451</v>
      </c>
      <c r="AL140" s="7">
        <f>[6]实力验证!$AO142</f>
        <v>25.49102475279701</v>
      </c>
      <c r="AM140" s="7">
        <f t="shared" si="10"/>
        <v>97.083469407130309</v>
      </c>
      <c r="AR140" s="14">
        <v>136</v>
      </c>
      <c r="AS140" s="14">
        <f>[6]攻城值!AC140</f>
        <v>732.09780000000001</v>
      </c>
      <c r="AT140" s="14">
        <f>[6]攻城值!AD140</f>
        <v>733.5644400000001</v>
      </c>
      <c r="AU140" s="14">
        <f>[6]攻城值!AE140</f>
        <v>736.49772000000007</v>
      </c>
      <c r="AV140" s="14">
        <f>[6]攻城值!AF140</f>
        <v>740.89764000000002</v>
      </c>
      <c r="AW140" s="14">
        <f>[6]攻城值!AG140</f>
        <v>746.76420000000007</v>
      </c>
      <c r="AY140" s="14">
        <v>136</v>
      </c>
      <c r="AZ140" s="14">
        <f>[6]攻城值!AJ140</f>
        <v>5012.6809005853174</v>
      </c>
      <c r="BA140" s="14">
        <f>[6]攻城值!AK140</f>
        <v>5072.4230484573436</v>
      </c>
      <c r="BB140" s="14">
        <f>[6]攻城值!AL140</f>
        <v>5146.6851549820485</v>
      </c>
      <c r="BC140" s="14">
        <f>[6]攻城值!AM140</f>
        <v>5235.3945165254772</v>
      </c>
      <c r="BD140" s="14">
        <f>[6]攻城值!AN140</f>
        <v>5339.1532006514717</v>
      </c>
      <c r="BF140" s="14">
        <v>136</v>
      </c>
      <c r="BG140" s="14">
        <f t="shared" si="7"/>
        <v>0.15064808849528574</v>
      </c>
      <c r="BH140" s="14">
        <f t="shared" si="8"/>
        <v>0.84935191150471423</v>
      </c>
      <c r="BL140" s="14">
        <v>136</v>
      </c>
      <c r="BM140" s="15">
        <f t="shared" si="12"/>
        <v>1</v>
      </c>
      <c r="BN140" s="15">
        <f t="shared" si="12"/>
        <v>1</v>
      </c>
      <c r="BO140" s="15">
        <f t="shared" si="12"/>
        <v>1</v>
      </c>
      <c r="BP140" s="15">
        <f t="shared" si="12"/>
        <v>1</v>
      </c>
      <c r="BQ140" s="15">
        <f t="shared" si="12"/>
        <v>1</v>
      </c>
      <c r="BR140" s="15">
        <f>'[1]功能-战损相关'!M146</f>
        <v>0.125</v>
      </c>
      <c r="BS140" s="15">
        <f>'[1]功能-战损相关'!N146</f>
        <v>0.125</v>
      </c>
      <c r="BT140" s="15">
        <f>'[1]功能-战损相关'!O146</f>
        <v>0.125</v>
      </c>
      <c r="BU140" s="15">
        <f>'[1]功能-战损相关'!P146</f>
        <v>0.125</v>
      </c>
      <c r="BV140" s="15">
        <f>'[1]功能-战损相关'!Q146</f>
        <v>0.125</v>
      </c>
    </row>
    <row r="141" spans="2:74" x14ac:dyDescent="0.15">
      <c r="B141" s="7">
        <v>137</v>
      </c>
      <c r="C141" s="7">
        <f>[1]服务器生态!W158</f>
        <v>154.2795366375</v>
      </c>
      <c r="D141" s="7">
        <f>[1]服务器生态!X158</f>
        <v>152.12103585054268</v>
      </c>
      <c r="E141" s="7">
        <f>[1]服务器生态!Y158</f>
        <v>12.417684378624001</v>
      </c>
      <c r="F141" s="7">
        <f>[1]服务器生态!Z158</f>
        <v>2.2091938000000009</v>
      </c>
      <c r="G141" s="7">
        <f>[1]服务器生态!AA158</f>
        <v>0.63921600000000001</v>
      </c>
      <c r="H141" s="7">
        <f>[1]服务器生态!AC158</f>
        <v>0.47962550249999997</v>
      </c>
      <c r="I141" s="7">
        <f>[1]服务器生态!AD158</f>
        <v>0.47291513735919999</v>
      </c>
      <c r="J141" s="7">
        <f>[1]服务器生态!AE158</f>
        <v>3.8604200140800002E-2</v>
      </c>
      <c r="K141" s="7">
        <f>[1]服务器生态!AF158</f>
        <v>6.8679600000000019E-3</v>
      </c>
      <c r="L141" s="7">
        <f>[1]服务器生态!AG158</f>
        <v>1.9871999999999997E-3</v>
      </c>
      <c r="M141" s="7">
        <f>[5]基础信息!M140</f>
        <v>100</v>
      </c>
      <c r="Q141" s="7">
        <v>137</v>
      </c>
      <c r="R141" s="7">
        <f>[6]带兵数!D140</f>
        <v>10755.35116789837</v>
      </c>
      <c r="S141" s="7">
        <f>[6]带兵数!E140</f>
        <v>10794.47271689071</v>
      </c>
      <c r="T141" s="7">
        <f>[6]带兵数!F140</f>
        <v>10837.922051144531</v>
      </c>
      <c r="U141" s="7">
        <f>[6]带兵数!G140</f>
        <v>10882.016913289015</v>
      </c>
      <c r="V141" s="7">
        <f>[6]带兵数!H140</f>
        <v>10932.161070647198</v>
      </c>
      <c r="X141" s="7">
        <v>137</v>
      </c>
      <c r="Y141" s="7">
        <f>求节点(节奏总纲!D$4:D$163,R$5:R$164,$X141)*6</f>
        <v>37957.31915127817</v>
      </c>
      <c r="Z141" s="7">
        <f>求节点(节奏总纲!E$4:E$163,S$5:S$164,$X141)*6</f>
        <v>39103.169311003337</v>
      </c>
      <c r="AA141" s="7">
        <f>求节点(节奏总纲!F$4:F$163,T$5:T$164,$X141)*6</f>
        <v>40613.203613635284</v>
      </c>
      <c r="AB141" s="7">
        <f>求节点(节奏总纲!G$4:G$163,U$5:U$164,$X141)*6</f>
        <v>42803.189866173481</v>
      </c>
      <c r="AC141" s="7">
        <f>求节点(节奏总纲!H$4:H$163,V$5:V$164,$X141)*6</f>
        <v>46731.228144141736</v>
      </c>
      <c r="AG141" s="7">
        <v>137</v>
      </c>
      <c r="AH141" s="7">
        <v>1</v>
      </c>
      <c r="AI141" s="7">
        <f>[6]实力验证!$Z143</f>
        <v>1.6499000160475639</v>
      </c>
      <c r="AJ141" s="7">
        <f>[6]实力验证!$AE143</f>
        <v>2.8761807106458388</v>
      </c>
      <c r="AK141" s="7">
        <f>[6]实力验证!$AJ143</f>
        <v>7.7097316617954199</v>
      </c>
      <c r="AL141" s="7">
        <f>[6]实力验证!$AO143</f>
        <v>25.475308360281765</v>
      </c>
      <c r="AM141" s="7">
        <f t="shared" si="10"/>
        <v>97.109081943662531</v>
      </c>
      <c r="AR141" s="14">
        <v>137</v>
      </c>
      <c r="AS141" s="14">
        <f>[6]攻城值!AC141</f>
        <v>753.77179999999998</v>
      </c>
      <c r="AT141" s="14">
        <f>[6]攻城值!AD141</f>
        <v>755.49464</v>
      </c>
      <c r="AU141" s="14">
        <f>[6]攻城值!AE141</f>
        <v>758.94032000000004</v>
      </c>
      <c r="AV141" s="14">
        <f>[6]攻城值!AF141</f>
        <v>764.1088400000001</v>
      </c>
      <c r="AW141" s="14">
        <f>[6]攻城值!AG141</f>
        <v>771.00020000000006</v>
      </c>
      <c r="AY141" s="14">
        <v>137</v>
      </c>
      <c r="AZ141" s="14">
        <f>[6]攻城值!AJ141</f>
        <v>5186.8924912669154</v>
      </c>
      <c r="BA141" s="14">
        <f>[6]攻城值!AK141</f>
        <v>5249.5443414828496</v>
      </c>
      <c r="BB141" s="14">
        <f>[6]攻城值!AL141</f>
        <v>5328.7468983119197</v>
      </c>
      <c r="BC141" s="14">
        <f>[6]攻城值!AM141</f>
        <v>5424.240440278496</v>
      </c>
      <c r="BD141" s="14">
        <f>[6]攻城值!AN141</f>
        <v>5536.7333073805094</v>
      </c>
      <c r="BF141" s="14">
        <v>137</v>
      </c>
      <c r="BG141" s="14">
        <f t="shared" si="7"/>
        <v>0.15064808849528574</v>
      </c>
      <c r="BH141" s="14">
        <f t="shared" si="8"/>
        <v>0.84935191150471423</v>
      </c>
      <c r="BL141" s="14">
        <v>137</v>
      </c>
      <c r="BM141" s="15">
        <f t="shared" si="12"/>
        <v>1</v>
      </c>
      <c r="BN141" s="15">
        <f t="shared" si="12"/>
        <v>1</v>
      </c>
      <c r="BO141" s="15">
        <f t="shared" si="12"/>
        <v>1</v>
      </c>
      <c r="BP141" s="15">
        <f t="shared" si="12"/>
        <v>1</v>
      </c>
      <c r="BQ141" s="15">
        <f t="shared" si="12"/>
        <v>1</v>
      </c>
      <c r="BR141" s="15">
        <f>'[1]功能-战损相关'!M147</f>
        <v>0.125</v>
      </c>
      <c r="BS141" s="15">
        <f>'[1]功能-战损相关'!N147</f>
        <v>0.125</v>
      </c>
      <c r="BT141" s="15">
        <f>'[1]功能-战损相关'!O147</f>
        <v>0.125</v>
      </c>
      <c r="BU141" s="15">
        <f>'[1]功能-战损相关'!P147</f>
        <v>0.125</v>
      </c>
      <c r="BV141" s="15">
        <f>'[1]功能-战损相关'!Q147</f>
        <v>0.125</v>
      </c>
    </row>
    <row r="142" spans="2:74" x14ac:dyDescent="0.15">
      <c r="B142" s="7">
        <v>138</v>
      </c>
      <c r="C142" s="7">
        <f>[1]服务器生态!W159</f>
        <v>153.48016079999999</v>
      </c>
      <c r="D142" s="7">
        <f>[1]服务器生态!X159</f>
        <v>151.332843954944</v>
      </c>
      <c r="E142" s="7">
        <f>[1]服务器生态!Y159</f>
        <v>12.353344045056001</v>
      </c>
      <c r="F142" s="7">
        <f>[1]服务器生态!Z159</f>
        <v>2.1977472000000007</v>
      </c>
      <c r="G142" s="7">
        <f>[1]服务器生态!AA159</f>
        <v>0.63590399999999991</v>
      </c>
      <c r="H142" s="7">
        <f>[1]服务器生态!AC159</f>
        <v>0.47962550249999997</v>
      </c>
      <c r="I142" s="7">
        <f>[1]服务器生态!AD159</f>
        <v>0.47291513735919999</v>
      </c>
      <c r="J142" s="7">
        <f>[1]服务器生态!AE159</f>
        <v>3.8604200140800002E-2</v>
      </c>
      <c r="K142" s="7">
        <f>[1]服务器生态!AF159</f>
        <v>6.8679600000000019E-3</v>
      </c>
      <c r="L142" s="7">
        <f>[1]服务器生态!AG159</f>
        <v>1.9871999999999997E-3</v>
      </c>
      <c r="M142" s="7">
        <f>[5]基础信息!M141</f>
        <v>100</v>
      </c>
      <c r="Q142" s="7">
        <v>138</v>
      </c>
      <c r="R142" s="7">
        <f>[6]带兵数!D141</f>
        <v>10822.845460334433</v>
      </c>
      <c r="S142" s="7">
        <f>[6]带兵数!E141</f>
        <v>10862.773600181163</v>
      </c>
      <c r="T142" s="7">
        <f>[6]带兵数!F141</f>
        <v>10904.694445067988</v>
      </c>
      <c r="U142" s="7">
        <f>[6]带兵数!G141</f>
        <v>10951.645543180133</v>
      </c>
      <c r="V142" s="7">
        <f>[6]带兵数!H141</f>
        <v>10995.376603282679</v>
      </c>
      <c r="X142" s="7">
        <v>138</v>
      </c>
      <c r="Y142" s="7">
        <f>求节点(节奏总纲!D$4:D$163,R$5:R$164,$X142)*6</f>
        <v>37997.477879375612</v>
      </c>
      <c r="Z142" s="7">
        <f>求节点(节奏总纲!E$4:E$163,S$5:S$164,$X142)*6</f>
        <v>39145.218526103286</v>
      </c>
      <c r="AA142" s="7">
        <f>求节点(节奏总纲!F$4:F$163,T$5:T$164,$X142)*6</f>
        <v>40654.689724634438</v>
      </c>
      <c r="AB142" s="7">
        <f>求节点(节奏总纲!G$4:G$163,U$5:U$164,$X142)*6</f>
        <v>42845.157432969172</v>
      </c>
      <c r="AC142" s="7">
        <f>求节点(节奏总纲!H$4:H$163,V$5:V$164,$X142)*6</f>
        <v>46777.40312179389</v>
      </c>
      <c r="AG142" s="7">
        <v>138</v>
      </c>
      <c r="AH142" s="7">
        <v>1</v>
      </c>
      <c r="AI142" s="7">
        <f>[6]实力验证!$Z144</f>
        <v>1.649154879069705</v>
      </c>
      <c r="AJ142" s="7">
        <f>[6]实力验证!$AE144</f>
        <v>2.877761737830042</v>
      </c>
      <c r="AK142" s="7">
        <f>[6]实力验证!$AJ144</f>
        <v>7.7353678272674653</v>
      </c>
      <c r="AL142" s="7">
        <f>[6]实力验证!$AO144</f>
        <v>25.456586733621762</v>
      </c>
      <c r="AM142" s="7">
        <f t="shared" si="10"/>
        <v>97.126697830964204</v>
      </c>
      <c r="AR142" s="14">
        <v>138</v>
      </c>
      <c r="AS142" s="14">
        <f>[6]攻城值!AC142</f>
        <v>758.91700000000003</v>
      </c>
      <c r="AT142" s="14">
        <f>[6]攻城值!AD142</f>
        <v>760.65159999999992</v>
      </c>
      <c r="AU142" s="14">
        <f>[6]攻城值!AE142</f>
        <v>764.12080000000003</v>
      </c>
      <c r="AV142" s="14">
        <f>[6]攻城值!AF142</f>
        <v>769.32460000000003</v>
      </c>
      <c r="AW142" s="14">
        <f>[6]攻城值!AG142</f>
        <v>776.26300000000003</v>
      </c>
      <c r="AY142" s="14">
        <v>138</v>
      </c>
      <c r="AZ142" s="14">
        <f>[6]攻城值!AJ142</f>
        <v>5247.931224347255</v>
      </c>
      <c r="BA142" s="14">
        <f>[6]攻城值!AK142</f>
        <v>5310.6826825903136</v>
      </c>
      <c r="BB142" s="14">
        <f>[6]攻城值!AL142</f>
        <v>5390.1800309415194</v>
      </c>
      <c r="BC142" s="14">
        <f>[6]攻城值!AM142</f>
        <v>5485.9254408323759</v>
      </c>
      <c r="BD142" s="14">
        <f>[6]攻城值!AN142</f>
        <v>5598.6603906965338</v>
      </c>
      <c r="BF142" s="14">
        <v>138</v>
      </c>
      <c r="BG142" s="14">
        <f t="shared" si="7"/>
        <v>0.15064808849528574</v>
      </c>
      <c r="BH142" s="14">
        <f t="shared" si="8"/>
        <v>0.84935191150471423</v>
      </c>
      <c r="BL142" s="14">
        <v>138</v>
      </c>
      <c r="BM142" s="15">
        <f t="shared" si="12"/>
        <v>1</v>
      </c>
      <c r="BN142" s="15">
        <f t="shared" si="12"/>
        <v>1</v>
      </c>
      <c r="BO142" s="15">
        <f t="shared" si="12"/>
        <v>1</v>
      </c>
      <c r="BP142" s="15">
        <f t="shared" si="12"/>
        <v>1</v>
      </c>
      <c r="BQ142" s="15">
        <f t="shared" si="12"/>
        <v>1</v>
      </c>
      <c r="BR142" s="15">
        <f>'[1]功能-战损相关'!M148</f>
        <v>0.125</v>
      </c>
      <c r="BS142" s="15">
        <f>'[1]功能-战损相关'!N148</f>
        <v>0.125</v>
      </c>
      <c r="BT142" s="15">
        <f>'[1]功能-战损相关'!O148</f>
        <v>0.125</v>
      </c>
      <c r="BU142" s="15">
        <f>'[1]功能-战损相关'!P148</f>
        <v>0.125</v>
      </c>
      <c r="BV142" s="15">
        <f>'[1]功能-战损相关'!Q148</f>
        <v>0.125</v>
      </c>
    </row>
    <row r="143" spans="2:74" x14ac:dyDescent="0.15">
      <c r="B143" s="7">
        <v>139</v>
      </c>
      <c r="C143" s="7">
        <f>[1]服务器生态!W160</f>
        <v>152.68078496249998</v>
      </c>
      <c r="D143" s="7">
        <f>[1]服务器生态!X160</f>
        <v>150.54465205934531</v>
      </c>
      <c r="E143" s="7">
        <f>[1]服务器生态!Y160</f>
        <v>12.289003711488</v>
      </c>
      <c r="F143" s="7">
        <f>[1]服务器生态!Z160</f>
        <v>2.1863006000000005</v>
      </c>
      <c r="G143" s="7">
        <f>[1]服务器生态!AA160</f>
        <v>0.63259199999999982</v>
      </c>
      <c r="H143" s="7">
        <f>[1]服务器生态!AC160</f>
        <v>0.47962550249999997</v>
      </c>
      <c r="I143" s="7">
        <f>[1]服务器生态!AD160</f>
        <v>0.47291513735919999</v>
      </c>
      <c r="J143" s="7">
        <f>[1]服务器生态!AE160</f>
        <v>3.8604200140800002E-2</v>
      </c>
      <c r="K143" s="7">
        <f>[1]服务器生态!AF160</f>
        <v>6.8679600000000019E-3</v>
      </c>
      <c r="L143" s="7">
        <f>[1]服务器生态!AG160</f>
        <v>1.9871999999999997E-3</v>
      </c>
      <c r="M143" s="7">
        <f>[5]基础信息!M142</f>
        <v>100</v>
      </c>
      <c r="Q143" s="7">
        <v>139</v>
      </c>
      <c r="R143" s="7">
        <f>[6]带兵数!D142</f>
        <v>10890.531482463473</v>
      </c>
      <c r="S143" s="7">
        <f>[6]带兵数!E142</f>
        <v>10929.711634638872</v>
      </c>
      <c r="T143" s="7">
        <f>[6]带兵数!F142</f>
        <v>10973.823552916361</v>
      </c>
      <c r="U143" s="7">
        <f>[6]带兵数!G142</f>
        <v>11014.775632169751</v>
      </c>
      <c r="V143" s="7">
        <f>[6]带兵数!H142</f>
        <v>11061.787672283759</v>
      </c>
      <c r="X143" s="7">
        <v>139</v>
      </c>
      <c r="Y143" s="7">
        <f>求节点(节奏总纲!D$4:D$163,R$5:R$164,$X143)*6</f>
        <v>38037.636607473047</v>
      </c>
      <c r="Z143" s="7">
        <f>求节点(节奏总纲!E$4:E$163,S$5:S$164,$X143)*6</f>
        <v>39187.267741203243</v>
      </c>
      <c r="AA143" s="7">
        <f>求节点(节奏总纲!F$4:F$163,T$5:T$164,$X143)*6</f>
        <v>40696.175835633599</v>
      </c>
      <c r="AB143" s="7">
        <f>求节点(节奏总纲!G$4:G$163,U$5:U$164,$X143)*6</f>
        <v>42887.124999764863</v>
      </c>
      <c r="AC143" s="7">
        <f>求节点(节奏总纲!H$4:H$163,V$5:V$164,$X143)*6</f>
        <v>46820.621371693887</v>
      </c>
      <c r="AG143" s="7">
        <v>139</v>
      </c>
      <c r="AH143" s="7">
        <v>1</v>
      </c>
      <c r="AI143" s="7">
        <f>[6]实力验证!$Z145</f>
        <v>1.6484266996849091</v>
      </c>
      <c r="AJ143" s="7">
        <f>[6]实力验证!$AE145</f>
        <v>2.87930678449468</v>
      </c>
      <c r="AK143" s="7">
        <f>[6]实力验证!$AJ145</f>
        <v>7.7604205729460007</v>
      </c>
      <c r="AL143" s="7">
        <f>[6]实力验证!$AO145</f>
        <v>25.394906874653849</v>
      </c>
      <c r="AM143" s="7">
        <f t="shared" si="10"/>
        <v>97.126670167951431</v>
      </c>
      <c r="AR143" s="14">
        <v>139</v>
      </c>
      <c r="AS143" s="14">
        <f>[6]攻城值!AC143</f>
        <v>764.06219999999996</v>
      </c>
      <c r="AT143" s="14">
        <f>[6]攻城值!AD143</f>
        <v>765.80855999999994</v>
      </c>
      <c r="AU143" s="14">
        <f>[6]攻城值!AE143</f>
        <v>769.30128000000002</v>
      </c>
      <c r="AV143" s="14">
        <f>[6]攻城值!AF143</f>
        <v>774.54036000000008</v>
      </c>
      <c r="AW143" s="14">
        <f>[6]攻城值!AG143</f>
        <v>781.5258</v>
      </c>
      <c r="AY143" s="14">
        <v>139</v>
      </c>
      <c r="AZ143" s="14">
        <f>[6]攻城值!AJ143</f>
        <v>5308.9699574275937</v>
      </c>
      <c r="BA143" s="14">
        <f>[6]攻城值!AK143</f>
        <v>5371.8210236977766</v>
      </c>
      <c r="BB143" s="14">
        <f>[6]攻城值!AL143</f>
        <v>5451.6131635711163</v>
      </c>
      <c r="BC143" s="14">
        <f>[6]攻城值!AM143</f>
        <v>5547.6104413862558</v>
      </c>
      <c r="BD143" s="14">
        <f>[6]攻城值!AN143</f>
        <v>5661.6743586832818</v>
      </c>
      <c r="BF143" s="14">
        <v>139</v>
      </c>
      <c r="BG143" s="14">
        <f t="shared" si="7"/>
        <v>0.15064808849528574</v>
      </c>
      <c r="BH143" s="14">
        <f t="shared" si="8"/>
        <v>0.84935191150471423</v>
      </c>
      <c r="BL143" s="14">
        <v>139</v>
      </c>
      <c r="BM143" s="15">
        <f t="shared" si="12"/>
        <v>1</v>
      </c>
      <c r="BN143" s="15">
        <f t="shared" si="12"/>
        <v>1</v>
      </c>
      <c r="BO143" s="15">
        <f t="shared" si="12"/>
        <v>1</v>
      </c>
      <c r="BP143" s="15">
        <f t="shared" si="12"/>
        <v>1</v>
      </c>
      <c r="BQ143" s="15">
        <f t="shared" si="12"/>
        <v>1</v>
      </c>
      <c r="BR143" s="15">
        <f>'[1]功能-战损相关'!M149</f>
        <v>0.125</v>
      </c>
      <c r="BS143" s="15">
        <f>'[1]功能-战损相关'!N149</f>
        <v>0.125</v>
      </c>
      <c r="BT143" s="15">
        <f>'[1]功能-战损相关'!O149</f>
        <v>0.125</v>
      </c>
      <c r="BU143" s="15">
        <f>'[1]功能-战损相关'!P149</f>
        <v>0.125</v>
      </c>
      <c r="BV143" s="15">
        <f>'[1]功能-战损相关'!Q149</f>
        <v>0.125</v>
      </c>
    </row>
    <row r="144" spans="2:74" x14ac:dyDescent="0.15">
      <c r="B144" s="7">
        <v>140</v>
      </c>
      <c r="C144" s="7">
        <f>[1]服务器生态!W161</f>
        <v>151.881409125</v>
      </c>
      <c r="D144" s="7">
        <f>[1]服务器生态!X161</f>
        <v>149.75646016374668</v>
      </c>
      <c r="E144" s="7">
        <f>[1]服务器生态!Y161</f>
        <v>12.224663377920001</v>
      </c>
      <c r="F144" s="7">
        <f>[1]服务器生态!Z161</f>
        <v>2.1748540000000007</v>
      </c>
      <c r="G144" s="7">
        <f>[1]服务器生态!AA161</f>
        <v>0.62927999999999995</v>
      </c>
      <c r="H144" s="7">
        <f>[1]服务器生态!AC161</f>
        <v>0.47962550249999997</v>
      </c>
      <c r="I144" s="7">
        <f>[1]服务器生态!AD161</f>
        <v>0.47291513735919999</v>
      </c>
      <c r="J144" s="7">
        <f>[1]服务器生态!AE161</f>
        <v>3.8604200140800002E-2</v>
      </c>
      <c r="K144" s="7">
        <f>[1]服务器生态!AF161</f>
        <v>6.8679600000000019E-3</v>
      </c>
      <c r="L144" s="7">
        <f>[1]服务器生态!AG161</f>
        <v>1.9871999999999997E-3</v>
      </c>
      <c r="M144" s="7">
        <f>[5]基础信息!M143</f>
        <v>100</v>
      </c>
      <c r="Q144" s="7">
        <v>140</v>
      </c>
      <c r="R144" s="7">
        <f>[6]带兵数!D143</f>
        <v>10957.697589834352</v>
      </c>
      <c r="S144" s="7">
        <f>[6]带兵数!E143</f>
        <v>10998.073313452514</v>
      </c>
      <c r="T144" s="7">
        <f>[6]带兵数!F143</f>
        <v>11036.865319740711</v>
      </c>
      <c r="U144" s="7">
        <f>[6]带兵数!G143</f>
        <v>11080.503155460588</v>
      </c>
      <c r="V144" s="7">
        <f>[6]带兵数!H143</f>
        <v>11126.538424657385</v>
      </c>
      <c r="X144" s="7">
        <v>140</v>
      </c>
      <c r="Y144" s="7">
        <f>求节点(节奏总纲!D$4:D$163,R$5:R$164,$X144)*6</f>
        <v>38077.795335570496</v>
      </c>
      <c r="Z144" s="7">
        <f>求节点(节奏总纲!E$4:E$163,S$5:S$164,$X144)*6</f>
        <v>39229.316956303199</v>
      </c>
      <c r="AA144" s="7">
        <f>求节点(节奏总纲!F$4:F$163,T$5:T$164,$X144)*6</f>
        <v>40737.661946632768</v>
      </c>
      <c r="AB144" s="7">
        <f>求节点(节奏总纲!G$4:G$163,U$5:U$164,$X144)*6</f>
        <v>42929.092566560554</v>
      </c>
      <c r="AC144" s="7">
        <f>求节点(节奏总纲!H$4:H$163,V$5:V$164,$X144)*6</f>
        <v>46861.099378725325</v>
      </c>
      <c r="AG144" s="7">
        <v>140</v>
      </c>
      <c r="AH144" s="7">
        <v>1</v>
      </c>
      <c r="AI144" s="7">
        <f>[6]实力验证!$Z146</f>
        <v>1.6477149055326195</v>
      </c>
      <c r="AJ144" s="7">
        <f>[6]实力验证!$AE146</f>
        <v>2.8808170650709588</v>
      </c>
      <c r="AK144" s="7">
        <f>[6]实力验证!$AJ146</f>
        <v>7.7849095906868335</v>
      </c>
      <c r="AL144" s="7">
        <f>[6]实力验证!$AO146</f>
        <v>25.294859490667434</v>
      </c>
      <c r="AM144" s="7">
        <f t="shared" si="10"/>
        <v>97.110842732012827</v>
      </c>
      <c r="AR144" s="14">
        <v>140</v>
      </c>
      <c r="AS144" s="14">
        <f>[6]攻城值!AC144</f>
        <v>769.20740000000001</v>
      </c>
      <c r="AT144" s="14">
        <f>[6]攻城值!AD144</f>
        <v>770.96551999999997</v>
      </c>
      <c r="AU144" s="14">
        <f>[6]攻城值!AE144</f>
        <v>774.48176000000001</v>
      </c>
      <c r="AV144" s="14">
        <f>[6]攻城值!AF144</f>
        <v>779.75612000000001</v>
      </c>
      <c r="AW144" s="14">
        <f>[6]攻城值!AG144</f>
        <v>786.78860000000009</v>
      </c>
      <c r="AY144" s="14">
        <v>140</v>
      </c>
      <c r="AZ144" s="14">
        <f>[6]攻城值!AJ144</f>
        <v>5370.0086905079334</v>
      </c>
      <c r="BA144" s="14">
        <f>[6]攻城值!AK144</f>
        <v>5432.9593648052387</v>
      </c>
      <c r="BB144" s="14">
        <f>[6]攻城值!AL144</f>
        <v>5513.046296200715</v>
      </c>
      <c r="BC144" s="14">
        <f>[6]攻城值!AM144</f>
        <v>5610.1030526254399</v>
      </c>
      <c r="BD144" s="14">
        <f>[6]攻城值!AN144</f>
        <v>5745.4724951046137</v>
      </c>
      <c r="BF144" s="14">
        <v>140</v>
      </c>
      <c r="BG144" s="14">
        <f t="shared" si="7"/>
        <v>0.15064808849528574</v>
      </c>
      <c r="BH144" s="14">
        <f t="shared" si="8"/>
        <v>0.84935191150471423</v>
      </c>
      <c r="BL144" s="14">
        <v>140</v>
      </c>
      <c r="BM144" s="15">
        <f t="shared" si="12"/>
        <v>1</v>
      </c>
      <c r="BN144" s="15">
        <f t="shared" si="12"/>
        <v>1</v>
      </c>
      <c r="BO144" s="15">
        <f t="shared" si="12"/>
        <v>1</v>
      </c>
      <c r="BP144" s="15">
        <f t="shared" si="12"/>
        <v>1</v>
      </c>
      <c r="BQ144" s="15">
        <f t="shared" si="12"/>
        <v>1</v>
      </c>
      <c r="BR144" s="15">
        <f>'[1]功能-战损相关'!M150</f>
        <v>0.125</v>
      </c>
      <c r="BS144" s="15">
        <f>'[1]功能-战损相关'!N150</f>
        <v>0.125</v>
      </c>
      <c r="BT144" s="15">
        <f>'[1]功能-战损相关'!O150</f>
        <v>0.125</v>
      </c>
      <c r="BU144" s="15">
        <f>'[1]功能-战损相关'!P150</f>
        <v>0.125</v>
      </c>
      <c r="BV144" s="15">
        <f>'[1]功能-战损相关'!Q150</f>
        <v>0.125</v>
      </c>
    </row>
    <row r="145" spans="2:74" x14ac:dyDescent="0.15">
      <c r="B145" s="7">
        <v>141</v>
      </c>
      <c r="C145" s="7">
        <f>[1]服务器生态!W162</f>
        <v>151.0820332875</v>
      </c>
      <c r="D145" s="7">
        <f>[1]服务器生态!X162</f>
        <v>148.96826826814799</v>
      </c>
      <c r="E145" s="7">
        <f>[1]服务器生态!Y162</f>
        <v>12.160323044352001</v>
      </c>
      <c r="F145" s="7">
        <f>[1]服务器生态!Z162</f>
        <v>2.1634074000000005</v>
      </c>
      <c r="G145" s="7">
        <f>[1]服务器生态!AA162</f>
        <v>0.62596799999999997</v>
      </c>
      <c r="H145" s="7">
        <f>[1]服务器生态!AC162</f>
        <v>0.47962550249999997</v>
      </c>
      <c r="I145" s="7">
        <f>[1]服务器生态!AD162</f>
        <v>0.47291513735919999</v>
      </c>
      <c r="J145" s="7">
        <f>[1]服务器生态!AE162</f>
        <v>3.8604200140800002E-2</v>
      </c>
      <c r="K145" s="7">
        <f>[1]服务器生态!AF162</f>
        <v>6.8679600000000019E-3</v>
      </c>
      <c r="L145" s="7">
        <f>[1]服务器生态!AG162</f>
        <v>1.9871999999999997E-3</v>
      </c>
      <c r="M145" s="7">
        <f>[5]基础信息!M144</f>
        <v>100</v>
      </c>
      <c r="Q145" s="7">
        <v>141</v>
      </c>
      <c r="R145" s="7">
        <f>[6]带兵数!D144</f>
        <v>11025.777630285997</v>
      </c>
      <c r="S145" s="7">
        <f>[6]带兵数!E144</f>
        <v>11062.568268990493</v>
      </c>
      <c r="T145" s="7">
        <f>[6]带兵数!F144</f>
        <v>11103.437692473757</v>
      </c>
      <c r="U145" s="7">
        <f>[6]带兵数!G144</f>
        <v>11146.22197249871</v>
      </c>
      <c r="V145" s="7">
        <f>[6]带兵数!H144</f>
        <v>11194.324622012195</v>
      </c>
      <c r="X145" s="7">
        <v>141</v>
      </c>
      <c r="Y145" s="7">
        <f>求节点(节奏总纲!D$4:D$163,R$5:R$164,$X145)*6</f>
        <v>38117.95406366793</v>
      </c>
      <c r="Z145" s="7">
        <f>求节点(节奏总纲!E$4:E$163,S$5:S$164,$X145)*6</f>
        <v>39271.366171403148</v>
      </c>
      <c r="AA145" s="7">
        <f>求节点(节奏总纲!F$4:F$163,T$5:T$164,$X145)*6</f>
        <v>40779.148057631923</v>
      </c>
      <c r="AB145" s="7">
        <f>求节点(节奏总纲!G$4:G$163,U$5:U$164,$X145)*6</f>
        <v>42970.788418708456</v>
      </c>
      <c r="AC145" s="7">
        <f>求节点(节奏总纲!H$4:H$163,V$5:V$164,$X145)*6</f>
        <v>46901.577385756755</v>
      </c>
      <c r="AG145" s="7">
        <v>141</v>
      </c>
      <c r="AH145" s="7">
        <v>1</v>
      </c>
      <c r="AI145" s="7">
        <f>[6]实力验证!$Z147</f>
        <v>1.6470189497238101</v>
      </c>
      <c r="AJ145" s="7">
        <f>[6]实力验证!$AE147</f>
        <v>2.882293739944743</v>
      </c>
      <c r="AK145" s="7">
        <f>[6]实力验证!$AJ147</f>
        <v>7.8096653839328436</v>
      </c>
      <c r="AL145" s="7">
        <f>[6]实力验证!$AO147</f>
        <v>25.197038290791696</v>
      </c>
      <c r="AM145" s="7">
        <f t="shared" si="10"/>
        <v>97.096482405102108</v>
      </c>
      <c r="AR145" s="14">
        <v>141</v>
      </c>
      <c r="AS145" s="14">
        <f>[6]攻城值!AC145</f>
        <v>774.35260000000005</v>
      </c>
      <c r="AT145" s="14">
        <f>[6]攻城值!AD145</f>
        <v>776.12248</v>
      </c>
      <c r="AU145" s="14">
        <f>[6]攻城值!AE145</f>
        <v>779.66224</v>
      </c>
      <c r="AV145" s="14">
        <f>[6]攻城值!AF145</f>
        <v>784.97188000000006</v>
      </c>
      <c r="AW145" s="14">
        <f>[6]攻城值!AG145</f>
        <v>792.05140000000006</v>
      </c>
      <c r="AY145" s="14">
        <v>141</v>
      </c>
      <c r="AZ145" s="14">
        <f>[6]攻城值!AJ145</f>
        <v>5431.047423588273</v>
      </c>
      <c r="BA145" s="14">
        <f>[6]攻城值!AK145</f>
        <v>5494.0977059127026</v>
      </c>
      <c r="BB145" s="14">
        <f>[6]攻城值!AL145</f>
        <v>5576.2963811774262</v>
      </c>
      <c r="BC145" s="14">
        <f>[6]攻城值!AM145</f>
        <v>5692.9559709939676</v>
      </c>
      <c r="BD145" s="14">
        <f>[6]攻城值!AN145</f>
        <v>5829.2706315259456</v>
      </c>
      <c r="BF145" s="14">
        <v>141</v>
      </c>
      <c r="BG145" s="14">
        <f t="shared" si="7"/>
        <v>0.15064808849528574</v>
      </c>
      <c r="BH145" s="14">
        <f t="shared" si="8"/>
        <v>0.84935191150471423</v>
      </c>
      <c r="BL145" s="14">
        <v>141</v>
      </c>
      <c r="BM145" s="15">
        <f t="shared" si="12"/>
        <v>1</v>
      </c>
      <c r="BN145" s="15">
        <f t="shared" si="12"/>
        <v>1</v>
      </c>
      <c r="BO145" s="15">
        <f t="shared" si="12"/>
        <v>1</v>
      </c>
      <c r="BP145" s="15">
        <f t="shared" si="12"/>
        <v>1</v>
      </c>
      <c r="BQ145" s="15">
        <f t="shared" si="12"/>
        <v>1</v>
      </c>
      <c r="BR145" s="15">
        <f>'[1]功能-战损相关'!M151</f>
        <v>0.125</v>
      </c>
      <c r="BS145" s="15">
        <f>'[1]功能-战损相关'!N151</f>
        <v>0.125</v>
      </c>
      <c r="BT145" s="15">
        <f>'[1]功能-战损相关'!O151</f>
        <v>0.125</v>
      </c>
      <c r="BU145" s="15">
        <f>'[1]功能-战损相关'!P151</f>
        <v>0.125</v>
      </c>
      <c r="BV145" s="15">
        <f>'[1]功能-战损相关'!Q151</f>
        <v>0.125</v>
      </c>
    </row>
    <row r="146" spans="2:74" x14ac:dyDescent="0.15">
      <c r="B146" s="7">
        <v>142</v>
      </c>
      <c r="C146" s="7">
        <f>[1]服务器生态!W163</f>
        <v>150.28265744999999</v>
      </c>
      <c r="D146" s="7">
        <f>[1]服务器生态!X163</f>
        <v>148.18007637254931</v>
      </c>
      <c r="E146" s="7">
        <f>[1]服务器生态!Y163</f>
        <v>12.095982710784</v>
      </c>
      <c r="F146" s="7">
        <f>[1]服务器生态!Z163</f>
        <v>2.1519608000000003</v>
      </c>
      <c r="G146" s="7">
        <f>[1]服务器生态!AA163</f>
        <v>0.62265599999999988</v>
      </c>
      <c r="H146" s="7">
        <f>[1]服务器生态!AC163</f>
        <v>0.47962550249999997</v>
      </c>
      <c r="I146" s="7">
        <f>[1]服务器生态!AD163</f>
        <v>0.47291513735919999</v>
      </c>
      <c r="J146" s="7">
        <f>[1]服务器生态!AE163</f>
        <v>3.8604200140800002E-2</v>
      </c>
      <c r="K146" s="7">
        <f>[1]服务器生态!AF163</f>
        <v>6.8679600000000019E-3</v>
      </c>
      <c r="L146" s="7">
        <f>[1]服务器生态!AG163</f>
        <v>1.9871999999999997E-3</v>
      </c>
      <c r="M146" s="7">
        <f>[5]基础信息!M145</f>
        <v>100</v>
      </c>
      <c r="Q146" s="7">
        <v>142</v>
      </c>
      <c r="R146" s="7">
        <f>[6]带兵数!D145</f>
        <v>11092.620058901943</v>
      </c>
      <c r="S146" s="7">
        <f>[6]带兵数!E145</f>
        <v>11131.773709759127</v>
      </c>
      <c r="T146" s="7">
        <f>[6]带兵数!F145</f>
        <v>11171.3599457823</v>
      </c>
      <c r="U146" s="7">
        <f>[6]带兵数!G145</f>
        <v>11216.212587489019</v>
      </c>
      <c r="V146" s="7">
        <f>[6]带兵数!H145</f>
        <v>11262.7870415328</v>
      </c>
      <c r="X146" s="7">
        <v>142</v>
      </c>
      <c r="Y146" s="7">
        <f>求节点(节奏总纲!D$4:D$163,R$5:R$164,$X146)*6</f>
        <v>38158.112791765372</v>
      </c>
      <c r="Z146" s="7">
        <f>求节点(节奏总纲!E$4:E$163,S$5:S$164,$X146)*6</f>
        <v>39313.415386503104</v>
      </c>
      <c r="AA146" s="7">
        <f>求节点(节奏总纲!F$4:F$163,T$5:T$164,$X146)*6</f>
        <v>40820.634168631084</v>
      </c>
      <c r="AB146" s="7">
        <f>求节点(节奏总纲!G$4:G$163,U$5:U$164,$X146)*6</f>
        <v>43011.622538145508</v>
      </c>
      <c r="AC146" s="7">
        <f>求节点(节奏总纲!H$4:H$163,V$5:V$164,$X146)*6</f>
        <v>46942.055392788185</v>
      </c>
      <c r="AG146" s="7">
        <v>142</v>
      </c>
      <c r="AH146" s="7">
        <v>1</v>
      </c>
      <c r="AI146" s="7">
        <f>[6]实力验证!$Z148</f>
        <v>1.64633830943964</v>
      </c>
      <c r="AJ146" s="7">
        <f>[6]实力验证!$AE148</f>
        <v>2.8837379184299246</v>
      </c>
      <c r="AK146" s="7">
        <f>[6]实力验证!$AJ148</f>
        <v>7.8364223023450696</v>
      </c>
      <c r="AL146" s="7">
        <f>[6]实力验证!$AO148</f>
        <v>25.101369789374601</v>
      </c>
      <c r="AM146" s="7">
        <f t="shared" si="10"/>
        <v>97.085935143316334</v>
      </c>
      <c r="AR146" s="14">
        <v>142</v>
      </c>
      <c r="AS146" s="14">
        <f>[6]攻城值!AC146</f>
        <v>779.49779999999998</v>
      </c>
      <c r="AT146" s="14">
        <f>[6]攻城值!AD146</f>
        <v>781.27943999999991</v>
      </c>
      <c r="AU146" s="14">
        <f>[6]攻城值!AE146</f>
        <v>784.84271999999999</v>
      </c>
      <c r="AV146" s="14">
        <f>[6]攻城值!AF146</f>
        <v>790.1876400000001</v>
      </c>
      <c r="AW146" s="14">
        <f>[6]攻城值!AG146</f>
        <v>797.31420000000003</v>
      </c>
      <c r="AY146" s="14">
        <v>142</v>
      </c>
      <c r="AZ146" s="14">
        <f>[6]攻城值!AJ146</f>
        <v>5492.0861566686117</v>
      </c>
      <c r="BA146" s="14">
        <f>[6]攻城值!AK146</f>
        <v>5558.9627301917144</v>
      </c>
      <c r="BB146" s="14">
        <f>[6]攻城值!AL146</f>
        <v>5658.1601038245062</v>
      </c>
      <c r="BC146" s="14">
        <f>[6]攻城值!AM146</f>
        <v>5775.8088893624945</v>
      </c>
      <c r="BD146" s="14">
        <f>[6]攻城值!AN146</f>
        <v>5913.0687679472776</v>
      </c>
      <c r="BF146" s="14">
        <v>142</v>
      </c>
      <c r="BG146" s="14">
        <f t="shared" si="7"/>
        <v>0.15064808849528574</v>
      </c>
      <c r="BH146" s="14">
        <f t="shared" si="8"/>
        <v>0.84935191150471423</v>
      </c>
      <c r="BL146" s="14">
        <v>142</v>
      </c>
      <c r="BM146" s="15">
        <f t="shared" si="12"/>
        <v>1</v>
      </c>
      <c r="BN146" s="15">
        <f t="shared" si="12"/>
        <v>1</v>
      </c>
      <c r="BO146" s="15">
        <f t="shared" si="12"/>
        <v>1</v>
      </c>
      <c r="BP146" s="15">
        <f t="shared" si="12"/>
        <v>1</v>
      </c>
      <c r="BQ146" s="15">
        <f t="shared" si="12"/>
        <v>1</v>
      </c>
      <c r="BR146" s="15">
        <f>'[1]功能-战损相关'!M152</f>
        <v>0.125</v>
      </c>
      <c r="BS146" s="15">
        <f>'[1]功能-战损相关'!N152</f>
        <v>0.125</v>
      </c>
      <c r="BT146" s="15">
        <f>'[1]功能-战损相关'!O152</f>
        <v>0.125</v>
      </c>
      <c r="BU146" s="15">
        <f>'[1]功能-战损相关'!P152</f>
        <v>0.125</v>
      </c>
      <c r="BV146" s="15">
        <f>'[1]功能-战损相关'!Q152</f>
        <v>0.125</v>
      </c>
    </row>
    <row r="147" spans="2:74" x14ac:dyDescent="0.15">
      <c r="B147" s="7">
        <v>143</v>
      </c>
      <c r="C147" s="7">
        <f>[1]服务器生态!W164</f>
        <v>149.48328161249998</v>
      </c>
      <c r="D147" s="7">
        <f>[1]服务器生态!X164</f>
        <v>147.39188447695065</v>
      </c>
      <c r="E147" s="7">
        <f>[1]服务器生态!Y164</f>
        <v>12.031642377215999</v>
      </c>
      <c r="F147" s="7">
        <f>[1]服务器生态!Z164</f>
        <v>2.1405142000000001</v>
      </c>
      <c r="G147" s="7">
        <f>[1]服务器生态!AA164</f>
        <v>0.61934399999999989</v>
      </c>
      <c r="H147" s="7">
        <f>[1]服务器生态!AC164</f>
        <v>0.47962550249999997</v>
      </c>
      <c r="I147" s="7">
        <f>[1]服务器生态!AD164</f>
        <v>0.47291513735919999</v>
      </c>
      <c r="J147" s="7">
        <f>[1]服务器生态!AE164</f>
        <v>3.8604200140800002E-2</v>
      </c>
      <c r="K147" s="7">
        <f>[1]服务器生态!AF164</f>
        <v>6.8679600000000019E-3</v>
      </c>
      <c r="L147" s="7">
        <f>[1]服务器生态!AG164</f>
        <v>1.9871999999999997E-3</v>
      </c>
      <c r="M147" s="7">
        <f>[5]基础信息!M146</f>
        <v>100</v>
      </c>
      <c r="Q147" s="7">
        <v>143</v>
      </c>
      <c r="R147" s="7">
        <f>[6]带兵数!D146</f>
        <v>11161.088309083296</v>
      </c>
      <c r="S147" s="7">
        <f>[6]带兵数!E146</f>
        <v>11198.438665440473</v>
      </c>
      <c r="T147" s="7">
        <f>[6]带兵数!F146</f>
        <v>11241.028334258455</v>
      </c>
      <c r="U147" s="7">
        <f>[6]带兵数!G146</f>
        <v>11284.368865338911</v>
      </c>
      <c r="V147" s="7">
        <f>[6]带兵数!H146</f>
        <v>11333.127000890931</v>
      </c>
      <c r="X147" s="7">
        <v>143</v>
      </c>
      <c r="Y147" s="7">
        <f>求节点(节奏总纲!D$4:D$163,R$5:R$164,$X147)*6</f>
        <v>38198.271519862814</v>
      </c>
      <c r="Z147" s="7">
        <f>求节点(节奏总纲!E$4:E$163,S$5:S$164,$X147)*6</f>
        <v>39355.464601603053</v>
      </c>
      <c r="AA147" s="7">
        <f>求节点(节奏总纲!F$4:F$163,T$5:T$164,$X147)*6</f>
        <v>40862.120279630246</v>
      </c>
      <c r="AB147" s="7">
        <f>求节点(节奏总纲!G$4:G$163,U$5:U$164,$X147)*6</f>
        <v>43052.456657582559</v>
      </c>
      <c r="AC147" s="7">
        <f>求节点(节奏总纲!H$4:H$163,V$5:V$164,$X147)*6</f>
        <v>46982.533399819615</v>
      </c>
      <c r="AG147" s="7">
        <v>143</v>
      </c>
      <c r="AH147" s="7">
        <v>1</v>
      </c>
      <c r="AI147" s="7">
        <f>[6]实力验证!$Z149</f>
        <v>1.6456724846216151</v>
      </c>
      <c r="AJ147" s="7">
        <f>[6]实力验证!$AE149</f>
        <v>2.8851506615476259</v>
      </c>
      <c r="AK147" s="7">
        <f>[6]实力验证!$AJ149</f>
        <v>7.8625968041297343</v>
      </c>
      <c r="AL147" s="7">
        <f>[6]实力验证!$AO149</f>
        <v>25.007783699881806</v>
      </c>
      <c r="AM147" s="7">
        <f t="shared" si="10"/>
        <v>97.075617463298713</v>
      </c>
      <c r="AR147" s="14">
        <v>143</v>
      </c>
      <c r="AS147" s="14">
        <f>[6]攻城值!AC147</f>
        <v>784.64300000000003</v>
      </c>
      <c r="AT147" s="14">
        <f>[6]攻城值!AD147</f>
        <v>786.43639999999994</v>
      </c>
      <c r="AU147" s="14">
        <f>[6]攻城值!AE147</f>
        <v>790.02319999999997</v>
      </c>
      <c r="AV147" s="14">
        <f>[6]攻城值!AF147</f>
        <v>795.40340000000003</v>
      </c>
      <c r="AW147" s="14">
        <f>[6]攻城值!AG147</f>
        <v>802.57700000000011</v>
      </c>
      <c r="AY147" s="14">
        <v>143</v>
      </c>
      <c r="AZ147" s="14">
        <f>[6]攻城值!AJ147</f>
        <v>5559.4933675269313</v>
      </c>
      <c r="BA147" s="14">
        <f>[6]攻城值!AK147</f>
        <v>5639.9065559727132</v>
      </c>
      <c r="BB147" s="14">
        <f>[6]攻城值!AL147</f>
        <v>5740.0238264715863</v>
      </c>
      <c r="BC147" s="14">
        <f>[6]攻城值!AM147</f>
        <v>5858.6618077310213</v>
      </c>
      <c r="BD147" s="14">
        <f>[6]攻城值!AN147</f>
        <v>5996.8669043686095</v>
      </c>
      <c r="BF147" s="14">
        <v>143</v>
      </c>
      <c r="BG147" s="14">
        <f t="shared" si="7"/>
        <v>0.15064808849528574</v>
      </c>
      <c r="BH147" s="14">
        <f t="shared" si="8"/>
        <v>0.84935191150471423</v>
      </c>
      <c r="BL147" s="14">
        <v>143</v>
      </c>
      <c r="BM147" s="15">
        <f t="shared" si="12"/>
        <v>1</v>
      </c>
      <c r="BN147" s="15">
        <f t="shared" si="12"/>
        <v>1</v>
      </c>
      <c r="BO147" s="15">
        <f t="shared" si="12"/>
        <v>1</v>
      </c>
      <c r="BP147" s="15">
        <f t="shared" si="12"/>
        <v>1</v>
      </c>
      <c r="BQ147" s="15">
        <f t="shared" si="12"/>
        <v>1</v>
      </c>
      <c r="BR147" s="15">
        <f>'[1]功能-战损相关'!M153</f>
        <v>0.125</v>
      </c>
      <c r="BS147" s="15">
        <f>'[1]功能-战损相关'!N153</f>
        <v>0.125</v>
      </c>
      <c r="BT147" s="15">
        <f>'[1]功能-战损相关'!O153</f>
        <v>0.125</v>
      </c>
      <c r="BU147" s="15">
        <f>'[1]功能-战损相关'!P153</f>
        <v>0.125</v>
      </c>
      <c r="BV147" s="15">
        <f>'[1]功能-战损相关'!Q153</f>
        <v>0.125</v>
      </c>
    </row>
    <row r="148" spans="2:74" x14ac:dyDescent="0.15">
      <c r="B148" s="7">
        <v>144</v>
      </c>
      <c r="C148" s="7">
        <f>[1]服务器生态!W165</f>
        <v>148.683905775</v>
      </c>
      <c r="D148" s="7">
        <f>[1]服务器生态!X165</f>
        <v>146.60369258135199</v>
      </c>
      <c r="E148" s="7">
        <f>[1]服务器生态!Y165</f>
        <v>11.967302043648001</v>
      </c>
      <c r="F148" s="7">
        <f>[1]服务器生态!Z165</f>
        <v>2.1290676000000004</v>
      </c>
      <c r="G148" s="7">
        <f>[1]服务器生态!AA165</f>
        <v>0.61603199999999991</v>
      </c>
      <c r="H148" s="7">
        <f>[1]服务器生态!AC165</f>
        <v>0.47962550249999997</v>
      </c>
      <c r="I148" s="7">
        <f>[1]服务器生态!AD165</f>
        <v>0.47291513735919999</v>
      </c>
      <c r="J148" s="7">
        <f>[1]服务器生态!AE165</f>
        <v>3.8604200140800002E-2</v>
      </c>
      <c r="K148" s="7">
        <f>[1]服务器生态!AF165</f>
        <v>6.8679600000000019E-3</v>
      </c>
      <c r="L148" s="7">
        <f>[1]服务器生态!AG165</f>
        <v>1.9871999999999997E-3</v>
      </c>
      <c r="M148" s="7">
        <f>[5]基础信息!M147</f>
        <v>100</v>
      </c>
      <c r="Q148" s="7">
        <v>144</v>
      </c>
      <c r="R148" s="7">
        <f>[6]带兵数!D147</f>
        <v>11227.611472827422</v>
      </c>
      <c r="S148" s="7">
        <f>[6]带兵数!E147</f>
        <v>11267.642726495353</v>
      </c>
      <c r="T148" s="7">
        <f>[6]带兵数!F147</f>
        <v>11308.131233660075</v>
      </c>
      <c r="U148" s="7">
        <f>[6]带兵数!G147</f>
        <v>11353.781768653716</v>
      </c>
      <c r="V148" s="7">
        <f>[6]带兵数!H147</f>
        <v>11398.826079488364</v>
      </c>
      <c r="X148" s="7">
        <v>144</v>
      </c>
      <c r="Y148" s="7">
        <f>求节点(节奏总纲!D$4:D$163,R$5:R$164,$X148)*6</f>
        <v>38238.430247960256</v>
      </c>
      <c r="Z148" s="7">
        <f>求节点(节奏总纲!E$4:E$163,S$5:S$164,$X148)*6</f>
        <v>39397.513816703009</v>
      </c>
      <c r="AA148" s="7">
        <f>求节点(节奏总纲!F$4:F$163,T$5:T$164,$X148)*6</f>
        <v>40903.606390629408</v>
      </c>
      <c r="AB148" s="7">
        <f>求节点(节奏总纲!G$4:G$163,U$5:U$164,$X148)*6</f>
        <v>43093.290777019618</v>
      </c>
      <c r="AC148" s="7">
        <f>求节点(节奏总纲!H$4:H$163,V$5:V$164,$X148)*6</f>
        <v>47023.011406851052</v>
      </c>
      <c r="AG148" s="7">
        <v>144</v>
      </c>
      <c r="AH148" s="7">
        <v>1</v>
      </c>
      <c r="AI148" s="7">
        <f>[6]实力验证!$Z150</f>
        <v>1.6450209967463654</v>
      </c>
      <c r="AJ148" s="7">
        <f>[6]实力验证!$AE150</f>
        <v>2.8865329846258705</v>
      </c>
      <c r="AK148" s="7">
        <f>[6]实力验证!$AJ150</f>
        <v>7.8882077007075759</v>
      </c>
      <c r="AL148" s="7">
        <f>[6]实力验证!$AO150</f>
        <v>24.916212762683337</v>
      </c>
      <c r="AM148" s="7">
        <f t="shared" si="10"/>
        <v>97.065521949808939</v>
      </c>
      <c r="AR148" s="14">
        <v>144</v>
      </c>
      <c r="AS148" s="14">
        <f>[6]攻城值!AC148</f>
        <v>789.78819999999996</v>
      </c>
      <c r="AT148" s="14">
        <f>[6]攻城值!AD148</f>
        <v>791.59335999999996</v>
      </c>
      <c r="AU148" s="14">
        <f>[6]攻城值!AE148</f>
        <v>795.20368000000008</v>
      </c>
      <c r="AV148" s="14">
        <f>[6]攻城值!AF148</f>
        <v>800.61916000000008</v>
      </c>
      <c r="AW148" s="14">
        <f>[6]攻城值!AG148</f>
        <v>807.83980000000008</v>
      </c>
      <c r="AY148" s="14">
        <v>144</v>
      </c>
      <c r="AZ148" s="14">
        <f>[6]攻城值!AJ148</f>
        <v>5638.1733876591697</v>
      </c>
      <c r="BA148" s="14">
        <f>[6]攻城值!AK148</f>
        <v>5720.850381753713</v>
      </c>
      <c r="BB148" s="14">
        <f>[6]攻城值!AL148</f>
        <v>5821.8875491186664</v>
      </c>
      <c r="BC148" s="14">
        <f>[6]攻城值!AM148</f>
        <v>5941.5147260995491</v>
      </c>
      <c r="BD148" s="14">
        <f>[6]攻城值!AN148</f>
        <v>6080.6650407899415</v>
      </c>
      <c r="BF148" s="14">
        <v>144</v>
      </c>
      <c r="BG148" s="14">
        <f t="shared" si="7"/>
        <v>0.15064808849528574</v>
      </c>
      <c r="BH148" s="14">
        <f t="shared" si="8"/>
        <v>0.84935191150471423</v>
      </c>
      <c r="BL148" s="14">
        <v>144</v>
      </c>
      <c r="BM148" s="15">
        <f t="shared" si="12"/>
        <v>1</v>
      </c>
      <c r="BN148" s="15">
        <f t="shared" si="12"/>
        <v>1</v>
      </c>
      <c r="BO148" s="15">
        <f t="shared" si="12"/>
        <v>1</v>
      </c>
      <c r="BP148" s="15">
        <f t="shared" si="12"/>
        <v>1</v>
      </c>
      <c r="BQ148" s="15">
        <f t="shared" si="12"/>
        <v>1</v>
      </c>
      <c r="BR148" s="15">
        <f>'[1]功能-战损相关'!M154</f>
        <v>0.125</v>
      </c>
      <c r="BS148" s="15">
        <f>'[1]功能-战损相关'!N154</f>
        <v>0.125</v>
      </c>
      <c r="BT148" s="15">
        <f>'[1]功能-战损相关'!O154</f>
        <v>0.125</v>
      </c>
      <c r="BU148" s="15">
        <f>'[1]功能-战损相关'!P154</f>
        <v>0.125</v>
      </c>
      <c r="BV148" s="15">
        <f>'[1]功能-战损相关'!Q154</f>
        <v>0.125</v>
      </c>
    </row>
    <row r="149" spans="2:74" x14ac:dyDescent="0.15">
      <c r="B149" s="7">
        <v>145</v>
      </c>
      <c r="C149" s="7">
        <f>[1]服务器生态!W166</f>
        <v>147.88452993749999</v>
      </c>
      <c r="D149" s="7">
        <f>[1]服务器生态!X166</f>
        <v>145.81550068575331</v>
      </c>
      <c r="E149" s="7">
        <f>[1]服务器生态!Y166</f>
        <v>11.90296171008</v>
      </c>
      <c r="F149" s="7">
        <f>[1]服务器生态!Z166</f>
        <v>2.1176210000000006</v>
      </c>
      <c r="G149" s="7">
        <f>[1]服务器生态!AA166</f>
        <v>0.61271999999999993</v>
      </c>
      <c r="H149" s="7">
        <f>[1]服务器生态!AC166</f>
        <v>0.47962550249999997</v>
      </c>
      <c r="I149" s="7">
        <f>[1]服务器生态!AD166</f>
        <v>0.47291513735919999</v>
      </c>
      <c r="J149" s="7">
        <f>[1]服务器生态!AE166</f>
        <v>3.8604200140800002E-2</v>
      </c>
      <c r="K149" s="7">
        <f>[1]服务器生态!AF166</f>
        <v>6.8679600000000019E-3</v>
      </c>
      <c r="L149" s="7">
        <f>[1]服务器生态!AG166</f>
        <v>1.9871999999999997E-3</v>
      </c>
      <c r="M149" s="7">
        <f>[5]基础信息!M148</f>
        <v>100</v>
      </c>
      <c r="Q149" s="7">
        <v>145</v>
      </c>
      <c r="R149" s="7">
        <f>[6]带兵数!D148</f>
        <v>11296.46224577941</v>
      </c>
      <c r="S149" s="7">
        <f>[6]带兵数!E148</f>
        <v>11334.525663222885</v>
      </c>
      <c r="T149" s="7">
        <f>[6]带兵数!F148</f>
        <v>11377.47106937299</v>
      </c>
      <c r="U149" s="7">
        <f>[6]带兵数!G148</f>
        <v>11419.478712463875</v>
      </c>
      <c r="V149" s="7">
        <f>[6]带兵数!H148</f>
        <v>11464.430099386973</v>
      </c>
      <c r="X149" s="7">
        <v>145</v>
      </c>
      <c r="Y149" s="7">
        <f>求节点(节奏总纲!D$4:D$163,R$5:R$164,$X149)*6</f>
        <v>38278.58897605769</v>
      </c>
      <c r="Z149" s="7">
        <f>求节点(节奏总纲!E$4:E$163,S$5:S$164,$X149)*6</f>
        <v>39439.563031802958</v>
      </c>
      <c r="AA149" s="7">
        <f>求节点(节奏总纲!F$4:F$163,T$5:T$164,$X149)*6</f>
        <v>40945.092501628569</v>
      </c>
      <c r="AB149" s="7">
        <f>求节点(节奏总纲!G$4:G$163,U$5:U$164,$X149)*6</f>
        <v>43134.124896456669</v>
      </c>
      <c r="AC149" s="7">
        <f>求节点(节奏总纲!H$4:H$163,V$5:V$164,$X149)*6</f>
        <v>47063.489413882482</v>
      </c>
      <c r="AG149" s="7">
        <v>145</v>
      </c>
      <c r="AH149" s="7">
        <v>1</v>
      </c>
      <c r="AI149" s="7">
        <f>[6]实力验证!$Z151</f>
        <v>1.6443833876787264</v>
      </c>
      <c r="AJ149" s="7">
        <f>[6]实力验证!$AE151</f>
        <v>2.8878858597331147</v>
      </c>
      <c r="AK149" s="7">
        <f>[6]实力验证!$AJ151</f>
        <v>7.9132730020106257</v>
      </c>
      <c r="AL149" s="7">
        <f>[6]实力验证!$AO151</f>
        <v>24.826592583846342</v>
      </c>
      <c r="AM149" s="7">
        <f t="shared" si="10"/>
        <v>97.055641503544194</v>
      </c>
      <c r="AR149" s="14">
        <v>145</v>
      </c>
      <c r="AS149" s="14">
        <f>[6]攻城值!AC149</f>
        <v>794.93340000000001</v>
      </c>
      <c r="AT149" s="14">
        <f>[6]攻城值!AD149</f>
        <v>796.75031999999999</v>
      </c>
      <c r="AU149" s="14">
        <f>[6]攻城值!AE149</f>
        <v>800.38416000000007</v>
      </c>
      <c r="AV149" s="14">
        <f>[6]攻城值!AF149</f>
        <v>805.83492000000001</v>
      </c>
      <c r="AW149" s="14">
        <f>[6]攻城值!AG149</f>
        <v>813.10260000000005</v>
      </c>
      <c r="AY149" s="14">
        <v>145</v>
      </c>
      <c r="AZ149" s="14">
        <f>[6]攻城值!AJ149</f>
        <v>5716.8534077914073</v>
      </c>
      <c r="BA149" s="14">
        <f>[6]攻城值!AK149</f>
        <v>5801.7942075347128</v>
      </c>
      <c r="BB149" s="14">
        <f>[6]攻城值!AL149</f>
        <v>5903.7512717657464</v>
      </c>
      <c r="BC149" s="14">
        <f>[6]攻城值!AM149</f>
        <v>6024.3676444680759</v>
      </c>
      <c r="BD149" s="14">
        <f>[6]攻城值!AN149</f>
        <v>6164.4631772112734</v>
      </c>
      <c r="BF149" s="14">
        <v>145</v>
      </c>
      <c r="BG149" s="14">
        <f t="shared" si="7"/>
        <v>0.15064808849528574</v>
      </c>
      <c r="BH149" s="14">
        <f t="shared" si="8"/>
        <v>0.84935191150471423</v>
      </c>
      <c r="BL149" s="14">
        <v>145</v>
      </c>
      <c r="BM149" s="15">
        <f t="shared" si="12"/>
        <v>1</v>
      </c>
      <c r="BN149" s="15">
        <f t="shared" si="12"/>
        <v>1</v>
      </c>
      <c r="BO149" s="15">
        <f t="shared" si="12"/>
        <v>1</v>
      </c>
      <c r="BP149" s="15">
        <f t="shared" si="12"/>
        <v>1</v>
      </c>
      <c r="BQ149" s="15">
        <f t="shared" si="12"/>
        <v>1</v>
      </c>
      <c r="BR149" s="15">
        <f>'[1]功能-战损相关'!M155</f>
        <v>0.125</v>
      </c>
      <c r="BS149" s="15">
        <f>'[1]功能-战损相关'!N155</f>
        <v>0.125</v>
      </c>
      <c r="BT149" s="15">
        <f>'[1]功能-战损相关'!O155</f>
        <v>0.125</v>
      </c>
      <c r="BU149" s="15">
        <f>'[1]功能-战损相关'!P155</f>
        <v>0.125</v>
      </c>
      <c r="BV149" s="15">
        <f>'[1]功能-战损相关'!Q155</f>
        <v>0.125</v>
      </c>
    </row>
    <row r="150" spans="2:74" x14ac:dyDescent="0.15">
      <c r="B150" s="7">
        <v>146</v>
      </c>
      <c r="C150" s="7">
        <f>[1]服务器生态!W167</f>
        <v>147.08515409999998</v>
      </c>
      <c r="D150" s="7">
        <f>[1]服务器生态!X167</f>
        <v>145.02730879015465</v>
      </c>
      <c r="E150" s="7">
        <f>[1]服务器生态!Y167</f>
        <v>11.838621376511998</v>
      </c>
      <c r="F150" s="7">
        <f>[1]服务器生态!Z167</f>
        <v>2.1061744000000004</v>
      </c>
      <c r="G150" s="7">
        <f>[1]服务器生态!AA167</f>
        <v>0.60940799999999984</v>
      </c>
      <c r="H150" s="7">
        <f>[1]服务器生态!AC167</f>
        <v>0.47962550249999997</v>
      </c>
      <c r="I150" s="7">
        <f>[1]服务器生态!AD167</f>
        <v>0.47291513735919999</v>
      </c>
      <c r="J150" s="7">
        <f>[1]服务器生态!AE167</f>
        <v>3.8604200140800002E-2</v>
      </c>
      <c r="K150" s="7">
        <f>[1]服务器生态!AF167</f>
        <v>6.8679600000000019E-3</v>
      </c>
      <c r="L150" s="7">
        <f>[1]服务器生态!AG167</f>
        <v>1.9871999999999997E-3</v>
      </c>
      <c r="M150" s="7">
        <f>[5]基础信息!M149</f>
        <v>100</v>
      </c>
      <c r="Q150" s="7">
        <v>146</v>
      </c>
      <c r="R150" s="7">
        <f>[6]带兵数!D149</f>
        <v>11362.670468649558</v>
      </c>
      <c r="S150" s="7">
        <f>[6]带兵数!E149</f>
        <v>11403.293450531875</v>
      </c>
      <c r="T150" s="7">
        <f>[6]带兵数!F149</f>
        <v>11441.962550796872</v>
      </c>
      <c r="U150" s="7">
        <f>[6]带兵数!G149</f>
        <v>11484.074659052649</v>
      </c>
      <c r="V150" s="7">
        <f>[6]带兵数!H149</f>
        <v>11529.242541576048</v>
      </c>
      <c r="X150" s="7">
        <v>146</v>
      </c>
      <c r="Y150" s="7">
        <f>求节点(节奏总纲!D$4:D$163,R$5:R$164,$X150)*6</f>
        <v>38318.747704155132</v>
      </c>
      <c r="Z150" s="7">
        <f>求节点(节奏总纲!E$4:E$163,S$5:S$164,$X150)*6</f>
        <v>39477.696870134692</v>
      </c>
      <c r="AA150" s="7">
        <f>求节点(节奏总纲!F$4:F$163,T$5:T$164,$X150)*6</f>
        <v>40986.578612627731</v>
      </c>
      <c r="AB150" s="7">
        <f>求节点(节奏总纲!G$4:G$163,U$5:U$164,$X150)*6</f>
        <v>43174.959015893721</v>
      </c>
      <c r="AC150" s="7">
        <f>求节点(节奏总纲!H$4:H$163,V$5:V$164,$X150)*6</f>
        <v>47103.967420913919</v>
      </c>
      <c r="AG150" s="7">
        <v>146</v>
      </c>
      <c r="AH150" s="7">
        <v>1</v>
      </c>
      <c r="AI150" s="7">
        <f>[6]实力验证!$Z152</f>
        <v>1.6448915190299311</v>
      </c>
      <c r="AJ150" s="7">
        <f>[6]实力验证!$AE152</f>
        <v>2.8892102179578858</v>
      </c>
      <c r="AK150" s="7">
        <f>[6]实力验证!$AJ152</f>
        <v>7.9378099587180948</v>
      </c>
      <c r="AL150" s="7">
        <f>[6]实力验证!$AO152</f>
        <v>24.738861484121969</v>
      </c>
      <c r="AM150" s="7">
        <f t="shared" si="10"/>
        <v>97.078098245366647</v>
      </c>
      <c r="AR150" s="14">
        <v>146</v>
      </c>
      <c r="AS150" s="14">
        <f>[6]攻城值!AC150</f>
        <v>800.07860000000005</v>
      </c>
      <c r="AT150" s="14">
        <f>[6]攻城值!AD150</f>
        <v>801.90728000000001</v>
      </c>
      <c r="AU150" s="14">
        <f>[6]攻城值!AE150</f>
        <v>805.56464000000005</v>
      </c>
      <c r="AV150" s="14">
        <f>[6]攻城值!AF150</f>
        <v>811.05068000000006</v>
      </c>
      <c r="AW150" s="14">
        <f>[6]攻城值!AG150</f>
        <v>818.36540000000002</v>
      </c>
      <c r="AY150" s="14">
        <v>146</v>
      </c>
      <c r="AZ150" s="14">
        <f>[6]攻城值!AJ150</f>
        <v>5795.5334279236458</v>
      </c>
      <c r="BA150" s="14">
        <f>[6]攻城值!AK150</f>
        <v>5882.7380333157116</v>
      </c>
      <c r="BB150" s="14">
        <f>[6]攻城值!AL150</f>
        <v>5985.6149944128265</v>
      </c>
      <c r="BC150" s="14">
        <f>[6]攻城值!AM150</f>
        <v>6107.2205628366037</v>
      </c>
      <c r="BD150" s="14">
        <f>[6]攻城值!AN150</f>
        <v>6248.2613136326054</v>
      </c>
      <c r="BF150" s="14">
        <v>146</v>
      </c>
      <c r="BG150" s="14">
        <f t="shared" si="7"/>
        <v>0.15064808849528574</v>
      </c>
      <c r="BH150" s="14">
        <f t="shared" si="8"/>
        <v>0.84935191150471423</v>
      </c>
      <c r="BL150" s="14">
        <v>146</v>
      </c>
      <c r="BM150" s="15">
        <f t="shared" si="12"/>
        <v>1</v>
      </c>
      <c r="BN150" s="15">
        <f t="shared" si="12"/>
        <v>1</v>
      </c>
      <c r="BO150" s="15">
        <f t="shared" si="12"/>
        <v>1</v>
      </c>
      <c r="BP150" s="15">
        <f t="shared" si="12"/>
        <v>1</v>
      </c>
      <c r="BQ150" s="15">
        <f t="shared" si="12"/>
        <v>1</v>
      </c>
      <c r="BR150" s="15">
        <f>'[1]功能-战损相关'!M156</f>
        <v>0.125</v>
      </c>
      <c r="BS150" s="15">
        <f>'[1]功能-战损相关'!N156</f>
        <v>0.125</v>
      </c>
      <c r="BT150" s="15">
        <f>'[1]功能-战损相关'!O156</f>
        <v>0.125</v>
      </c>
      <c r="BU150" s="15">
        <f>'[1]功能-战损相关'!P156</f>
        <v>0.125</v>
      </c>
      <c r="BV150" s="15">
        <f>'[1]功能-战损相关'!Q156</f>
        <v>0.125</v>
      </c>
    </row>
    <row r="151" spans="2:74" x14ac:dyDescent="0.15">
      <c r="B151" s="7">
        <v>147</v>
      </c>
      <c r="C151" s="7">
        <f>[1]服务器生态!W168</f>
        <v>146.2857782625</v>
      </c>
      <c r="D151" s="7">
        <f>[1]服务器生态!X168</f>
        <v>144.23911689455599</v>
      </c>
      <c r="E151" s="7">
        <f>[1]服务器生态!Y168</f>
        <v>11.774281042944001</v>
      </c>
      <c r="F151" s="7">
        <f>[1]服务器生态!Z168</f>
        <v>2.0947278000000007</v>
      </c>
      <c r="G151" s="7">
        <f>[1]服务器生态!AA168</f>
        <v>0.60609599999999997</v>
      </c>
      <c r="H151" s="7">
        <f>[1]服务器生态!AC168</f>
        <v>0.47962550249999997</v>
      </c>
      <c r="I151" s="7">
        <f>[1]服务器生态!AD168</f>
        <v>0.47291513735919999</v>
      </c>
      <c r="J151" s="7">
        <f>[1]服务器生态!AE168</f>
        <v>3.8604200140800002E-2</v>
      </c>
      <c r="K151" s="7">
        <f>[1]服务器生态!AF168</f>
        <v>6.8679600000000019E-3</v>
      </c>
      <c r="L151" s="7">
        <f>[1]服务器生态!AG168</f>
        <v>1.9871999999999997E-3</v>
      </c>
      <c r="M151" s="7">
        <f>[5]基础信息!M150</f>
        <v>100</v>
      </c>
      <c r="Q151" s="7">
        <v>147</v>
      </c>
      <c r="R151" s="7">
        <f>[6]带兵数!D150</f>
        <v>11431.898196356453</v>
      </c>
      <c r="S151" s="7">
        <f>[6]带兵数!E150</f>
        <v>11467.307935688159</v>
      </c>
      <c r="T151" s="7">
        <f>[6]带兵数!F150</f>
        <v>11506.434798405422</v>
      </c>
      <c r="U151" s="7">
        <f>[6]带兵数!G150</f>
        <v>11547.993015957931</v>
      </c>
      <c r="V151" s="7">
        <f>[6]带兵数!H150</f>
        <v>11593.913679298559</v>
      </c>
      <c r="X151" s="7">
        <v>147</v>
      </c>
      <c r="Y151" s="7">
        <f>求节点(节奏总纲!D$4:D$163,R$5:R$164,$X151)*6</f>
        <v>38357.674471007136</v>
      </c>
      <c r="Z151" s="7">
        <f>求节点(节奏总纲!E$4:E$163,S$5:S$164,$X151)*6</f>
        <v>39515.063980723324</v>
      </c>
      <c r="AA151" s="7">
        <f>求节点(节奏总纲!F$4:F$163,T$5:T$164,$X151)*6</f>
        <v>41025.996850251286</v>
      </c>
      <c r="AB151" s="7">
        <f>求节点(节奏总纲!G$4:G$163,U$5:U$164,$X151)*6</f>
        <v>43215.793135330772</v>
      </c>
      <c r="AC151" s="7">
        <f>求节点(节奏总纲!H$4:H$163,V$5:V$164,$X151)*6</f>
        <v>47144.445427945349</v>
      </c>
      <c r="AG151" s="7">
        <v>147</v>
      </c>
      <c r="AH151" s="7">
        <v>1</v>
      </c>
      <c r="AI151" s="7">
        <f>[6]实力验证!$Z153</f>
        <v>1.6445650144080308</v>
      </c>
      <c r="AJ151" s="7">
        <f>[6]实力验证!$AE153</f>
        <v>2.8885560937742722</v>
      </c>
      <c r="AK151" s="7">
        <f>[6]实力验证!$AJ153</f>
        <v>7.9567866158618035</v>
      </c>
      <c r="AL151" s="7">
        <f>[6]实力验证!$AO153</f>
        <v>24.637328267126286</v>
      </c>
      <c r="AM151" s="7">
        <f t="shared" si="10"/>
        <v>97.05000117999414</v>
      </c>
      <c r="AR151" s="14">
        <v>147</v>
      </c>
      <c r="AS151" s="14">
        <f>[6]攻城值!AC151</f>
        <v>805.22379999999998</v>
      </c>
      <c r="AT151" s="14">
        <f>[6]攻城值!AD151</f>
        <v>807.06423999999993</v>
      </c>
      <c r="AU151" s="14">
        <f>[6]攻城值!AE151</f>
        <v>810.67273284494786</v>
      </c>
      <c r="AV151" s="14">
        <f>[6]攻城值!AF151</f>
        <v>816.18779076674639</v>
      </c>
      <c r="AW151" s="14">
        <f>[6]攻城值!AG151</f>
        <v>823.62820000000011</v>
      </c>
      <c r="AY151" s="14">
        <v>147</v>
      </c>
      <c r="AZ151" s="14">
        <f>[6]攻城值!AJ151</f>
        <v>5874.2134480558843</v>
      </c>
      <c r="BA151" s="14">
        <f>[6]攻城值!AK151</f>
        <v>5963.6818590967123</v>
      </c>
      <c r="BB151" s="14">
        <f>[6]攻城值!AL151</f>
        <v>6067.4787170599066</v>
      </c>
      <c r="BC151" s="14">
        <f>[6]攻城值!AM151</f>
        <v>6190.0734812051305</v>
      </c>
      <c r="BD151" s="14">
        <f>[6]攻城值!AN151</f>
        <v>6332.0594500539373</v>
      </c>
      <c r="BF151" s="14">
        <v>147</v>
      </c>
      <c r="BG151" s="14">
        <f t="shared" si="7"/>
        <v>0.15064808849528574</v>
      </c>
      <c r="BH151" s="14">
        <f t="shared" si="8"/>
        <v>0.84935191150471423</v>
      </c>
      <c r="BL151" s="14">
        <v>147</v>
      </c>
      <c r="BM151" s="15">
        <f t="shared" si="12"/>
        <v>1</v>
      </c>
      <c r="BN151" s="15">
        <f t="shared" si="12"/>
        <v>1</v>
      </c>
      <c r="BO151" s="15">
        <f t="shared" si="12"/>
        <v>1</v>
      </c>
      <c r="BP151" s="15">
        <f t="shared" si="12"/>
        <v>1</v>
      </c>
      <c r="BQ151" s="15">
        <f t="shared" si="12"/>
        <v>1</v>
      </c>
      <c r="BR151" s="15">
        <f>'[1]功能-战损相关'!M157</f>
        <v>0.125</v>
      </c>
      <c r="BS151" s="15">
        <f>'[1]功能-战损相关'!N157</f>
        <v>0.125</v>
      </c>
      <c r="BT151" s="15">
        <f>'[1]功能-战损相关'!O157</f>
        <v>0.125</v>
      </c>
      <c r="BU151" s="15">
        <f>'[1]功能-战损相关'!P157</f>
        <v>0.125</v>
      </c>
      <c r="BV151" s="15">
        <f>'[1]功能-战损相关'!Q157</f>
        <v>0.125</v>
      </c>
    </row>
    <row r="152" spans="2:74" x14ac:dyDescent="0.15">
      <c r="B152" s="7">
        <v>148</v>
      </c>
      <c r="C152" s="7">
        <f>[1]服务器生态!W169</f>
        <v>145.48640242499999</v>
      </c>
      <c r="D152" s="7">
        <f>[1]服务器生态!X169</f>
        <v>143.45092499895733</v>
      </c>
      <c r="E152" s="7">
        <f>[1]服务器生态!Y169</f>
        <v>11.709940709375999</v>
      </c>
      <c r="F152" s="7">
        <f>[1]服务器生态!Z169</f>
        <v>2.0832812000000005</v>
      </c>
      <c r="G152" s="7">
        <f>[1]服务器生态!AA169</f>
        <v>0.60278399999999988</v>
      </c>
      <c r="H152" s="7">
        <f>[1]服务器生态!AC169</f>
        <v>0.47962550249999997</v>
      </c>
      <c r="I152" s="7">
        <f>[1]服务器生态!AD169</f>
        <v>0.47291513735919999</v>
      </c>
      <c r="J152" s="7">
        <f>[1]服务器生态!AE169</f>
        <v>3.8604200140800002E-2</v>
      </c>
      <c r="K152" s="7">
        <f>[1]服务器生态!AF169</f>
        <v>6.8679600000000019E-3</v>
      </c>
      <c r="L152" s="7">
        <f>[1]服务器生态!AG169</f>
        <v>1.9871999999999997E-3</v>
      </c>
      <c r="M152" s="7">
        <f>[5]基础信息!M151</f>
        <v>100</v>
      </c>
      <c r="Q152" s="7">
        <v>148</v>
      </c>
      <c r="R152" s="7">
        <f>[6]带兵数!D151</f>
        <v>11497.795714916256</v>
      </c>
      <c r="S152" s="7">
        <f>[6]带兵数!E151</f>
        <v>11535.74702933821</v>
      </c>
      <c r="T152" s="7">
        <f>[6]带兵数!F151</f>
        <v>11573.571172452823</v>
      </c>
      <c r="U152" s="7">
        <f>[6]带兵数!G151</f>
        <v>11615.331010836411</v>
      </c>
      <c r="V152" s="7">
        <f>[6]带兵数!H151</f>
        <v>11660.147051593451</v>
      </c>
      <c r="X152" s="7">
        <v>148</v>
      </c>
      <c r="Y152" s="7">
        <f>求节点(节奏总纲!D$4:D$163,R$5:R$164,$X152)*6</f>
        <v>38396.558682462681</v>
      </c>
      <c r="Z152" s="7">
        <f>求节点(节奏总纲!E$4:E$163,S$5:S$164,$X152)*6</f>
        <v>39552.431091311955</v>
      </c>
      <c r="AA152" s="7">
        <f>求节点(节奏总纲!F$4:F$163,T$5:T$164,$X152)*6</f>
        <v>41063.0661649514</v>
      </c>
      <c r="AB152" s="7">
        <f>求节点(节奏总纲!G$4:G$163,U$5:U$164,$X152)*6</f>
        <v>43256.627254767824</v>
      </c>
      <c r="AC152" s="7">
        <f>求节点(节奏总纲!H$4:H$163,V$5:V$164,$X152)*6</f>
        <v>47184.875069222442</v>
      </c>
      <c r="AG152" s="7">
        <v>148</v>
      </c>
      <c r="AH152" s="7">
        <v>1</v>
      </c>
      <c r="AI152" s="7">
        <f>[6]实力验证!$Z154</f>
        <v>1.6442100316390555</v>
      </c>
      <c r="AJ152" s="7">
        <f>[6]实力验证!$AE154</f>
        <v>2.8877211143257</v>
      </c>
      <c r="AK152" s="7">
        <f>[6]实力验证!$AJ154</f>
        <v>7.975175444925056</v>
      </c>
      <c r="AL152" s="7">
        <f>[6]实力验证!$AO154</f>
        <v>24.538027693871619</v>
      </c>
      <c r="AM152" s="7">
        <f t="shared" si="10"/>
        <v>97.019919236679129</v>
      </c>
      <c r="AR152" s="14">
        <v>148</v>
      </c>
      <c r="AS152" s="14">
        <f>[6]攻城值!AC152</f>
        <v>810.36900000000003</v>
      </c>
      <c r="AT152" s="14">
        <f>[6]攻城值!AD152</f>
        <v>812.22119999999995</v>
      </c>
      <c r="AU152" s="14">
        <f>[6]攻城值!AE152</f>
        <v>815.66119141611966</v>
      </c>
      <c r="AV152" s="14">
        <f>[6]攻城值!AF152</f>
        <v>821.08150133516745</v>
      </c>
      <c r="AW152" s="14">
        <f>[6]攻城值!AG152</f>
        <v>828.24430673749396</v>
      </c>
      <c r="AY152" s="14">
        <v>148</v>
      </c>
      <c r="AZ152" s="14">
        <f>[6]攻城值!AJ152</f>
        <v>5952.8934681881228</v>
      </c>
      <c r="BA152" s="14">
        <f>[6]攻城值!AK152</f>
        <v>6044.6256848777111</v>
      </c>
      <c r="BB152" s="14">
        <f>[6]攻城值!AL152</f>
        <v>6149.3424397069866</v>
      </c>
      <c r="BC152" s="14">
        <f>[6]攻城值!AM152</f>
        <v>6272.9263995736565</v>
      </c>
      <c r="BD152" s="14">
        <f>[6]攻城值!AN152</f>
        <v>6415.8575864752693</v>
      </c>
      <c r="BF152" s="14">
        <v>148</v>
      </c>
      <c r="BG152" s="14">
        <f t="shared" si="7"/>
        <v>0.15064808849528574</v>
      </c>
      <c r="BH152" s="14">
        <f t="shared" si="8"/>
        <v>0.84935191150471423</v>
      </c>
      <c r="BL152" s="14">
        <v>148</v>
      </c>
      <c r="BM152" s="15">
        <f t="shared" si="12"/>
        <v>1</v>
      </c>
      <c r="BN152" s="15">
        <f t="shared" si="12"/>
        <v>1</v>
      </c>
      <c r="BO152" s="15">
        <f t="shared" si="12"/>
        <v>1</v>
      </c>
      <c r="BP152" s="15">
        <f t="shared" si="12"/>
        <v>1</v>
      </c>
      <c r="BQ152" s="15">
        <f t="shared" si="12"/>
        <v>1</v>
      </c>
      <c r="BR152" s="15">
        <f>'[1]功能-战损相关'!M158</f>
        <v>0.125</v>
      </c>
      <c r="BS152" s="15">
        <f>'[1]功能-战损相关'!N158</f>
        <v>0.125</v>
      </c>
      <c r="BT152" s="15">
        <f>'[1]功能-战损相关'!O158</f>
        <v>0.125</v>
      </c>
      <c r="BU152" s="15">
        <f>'[1]功能-战损相关'!P158</f>
        <v>0.125</v>
      </c>
      <c r="BV152" s="15">
        <f>'[1]功能-战损相关'!Q158</f>
        <v>0.125</v>
      </c>
    </row>
    <row r="153" spans="2:74" x14ac:dyDescent="0.15">
      <c r="B153" s="7">
        <v>149</v>
      </c>
      <c r="C153" s="7">
        <f>[1]服务器生态!W170</f>
        <v>144.68702658749999</v>
      </c>
      <c r="D153" s="7">
        <f>[1]服务器生态!X170</f>
        <v>142.66273310335865</v>
      </c>
      <c r="E153" s="7">
        <f>[1]服务器生态!Y170</f>
        <v>11.645600375808</v>
      </c>
      <c r="F153" s="7">
        <f>[1]服务器生态!Z170</f>
        <v>2.0718346000000003</v>
      </c>
      <c r="G153" s="7">
        <f>[1]服务器生态!AA170</f>
        <v>0.59947199999999989</v>
      </c>
      <c r="H153" s="7">
        <f>[1]服务器生态!AC170</f>
        <v>0.47962550249999997</v>
      </c>
      <c r="I153" s="7">
        <f>[1]服务器生态!AD170</f>
        <v>0.47291513735919999</v>
      </c>
      <c r="J153" s="7">
        <f>[1]服务器生态!AE170</f>
        <v>3.8604200140800002E-2</v>
      </c>
      <c r="K153" s="7">
        <f>[1]服务器生态!AF170</f>
        <v>6.8679600000000019E-3</v>
      </c>
      <c r="L153" s="7">
        <f>[1]服务器生态!AG170</f>
        <v>1.9871999999999997E-3</v>
      </c>
      <c r="M153" s="7">
        <f>[5]基础信息!M152</f>
        <v>100</v>
      </c>
      <c r="Q153" s="7">
        <v>149</v>
      </c>
      <c r="R153" s="7">
        <f>[6]带兵数!D152</f>
        <v>11566.98745730492</v>
      </c>
      <c r="S153" s="7">
        <f>[6]带兵数!E152</f>
        <v>11602.727148234306</v>
      </c>
      <c r="T153" s="7">
        <f>[6]带兵数!F152</f>
        <v>11641.008196465773</v>
      </c>
      <c r="U153" s="7">
        <f>[6]带兵数!G152</f>
        <v>11682.726594348153</v>
      </c>
      <c r="V153" s="7">
        <f>[6]带兵数!H152</f>
        <v>11724.403494056831</v>
      </c>
      <c r="X153" s="7">
        <v>149</v>
      </c>
      <c r="Y153" s="7">
        <f>求节点(节奏总纲!D$4:D$163,R$5:R$164,$X153)*6</f>
        <v>38435.442893918225</v>
      </c>
      <c r="Z153" s="7">
        <f>求节点(节奏总纲!E$4:E$163,S$5:S$164,$X153)*6</f>
        <v>39589.798201900587</v>
      </c>
      <c r="AA153" s="7">
        <f>求节点(节奏总纲!F$4:F$163,T$5:T$164,$X153)*6</f>
        <v>41100.135479651515</v>
      </c>
      <c r="AB153" s="7">
        <f>求节点(节奏总纲!G$4:G$163,U$5:U$164,$X153)*6</f>
        <v>43297.461374204882</v>
      </c>
      <c r="AC153" s="7">
        <f>求节点(节奏总纲!H$4:H$163,V$5:V$164,$X153)*6</f>
        <v>47224.90539665593</v>
      </c>
      <c r="AG153" s="7">
        <v>149</v>
      </c>
      <c r="AH153" s="7">
        <v>1</v>
      </c>
      <c r="AI153" s="7">
        <f>[6]实力验证!$Z155</f>
        <v>1.6438627439447662</v>
      </c>
      <c r="AJ153" s="7">
        <f>[6]实力验证!$AE155</f>
        <v>2.8869042349929077</v>
      </c>
      <c r="AK153" s="7">
        <f>[6]实力验证!$AJ155</f>
        <v>7.9931656534765292</v>
      </c>
      <c r="AL153" s="7">
        <f>[6]实力验证!$AO155</f>
        <v>24.445318091496571</v>
      </c>
      <c r="AM153" s="7">
        <f t="shared" si="10"/>
        <v>96.99225338721125</v>
      </c>
      <c r="AR153" s="14">
        <v>149</v>
      </c>
      <c r="AS153" s="14">
        <f>[6]攻城值!AC153</f>
        <v>815.51419999999996</v>
      </c>
      <c r="AT153" s="14">
        <f>[6]攻城值!AD153</f>
        <v>817.37815999999998</v>
      </c>
      <c r="AU153" s="14">
        <f>[6]攻城值!AE153</f>
        <v>820.64964998729147</v>
      </c>
      <c r="AV153" s="14">
        <f>[6]攻城值!AF153</f>
        <v>825.97521190358862</v>
      </c>
      <c r="AW153" s="14">
        <f>[6]攻城值!AG153</f>
        <v>832.71972136052455</v>
      </c>
      <c r="AY153" s="14">
        <v>149</v>
      </c>
      <c r="AZ153" s="14">
        <f>[6]攻城值!AJ153</f>
        <v>6031.5734883203613</v>
      </c>
      <c r="BA153" s="14">
        <f>[6]攻城值!AK153</f>
        <v>6125.5695106587109</v>
      </c>
      <c r="BB153" s="14">
        <f>[6]攻城值!AL153</f>
        <v>6231.2061623540667</v>
      </c>
      <c r="BC153" s="14">
        <f>[6]攻城值!AM153</f>
        <v>6355.7793179421851</v>
      </c>
      <c r="BD153" s="14">
        <f>[6]攻城值!AN153</f>
        <v>6499.6557228966012</v>
      </c>
      <c r="BF153" s="14">
        <v>149</v>
      </c>
      <c r="BG153" s="14">
        <f t="shared" si="7"/>
        <v>0.15064808849528574</v>
      </c>
      <c r="BH153" s="14">
        <f t="shared" si="8"/>
        <v>0.84935191150471423</v>
      </c>
      <c r="BL153" s="14">
        <v>149</v>
      </c>
      <c r="BM153" s="15">
        <f t="shared" si="12"/>
        <v>1</v>
      </c>
      <c r="BN153" s="15">
        <f t="shared" si="12"/>
        <v>1</v>
      </c>
      <c r="BO153" s="15">
        <f t="shared" si="12"/>
        <v>1</v>
      </c>
      <c r="BP153" s="15">
        <f t="shared" si="12"/>
        <v>1</v>
      </c>
      <c r="BQ153" s="15">
        <f t="shared" si="12"/>
        <v>1</v>
      </c>
      <c r="BR153" s="15">
        <f>'[1]功能-战损相关'!M159</f>
        <v>0.125</v>
      </c>
      <c r="BS153" s="15">
        <f>'[1]功能-战损相关'!N159</f>
        <v>0.125</v>
      </c>
      <c r="BT153" s="15">
        <f>'[1]功能-战损相关'!O159</f>
        <v>0.125</v>
      </c>
      <c r="BU153" s="15">
        <f>'[1]功能-战损相关'!P159</f>
        <v>0.125</v>
      </c>
      <c r="BV153" s="15">
        <f>'[1]功能-战损相关'!Q159</f>
        <v>0.125</v>
      </c>
    </row>
    <row r="154" spans="2:74" x14ac:dyDescent="0.15">
      <c r="B154" s="7">
        <v>150</v>
      </c>
      <c r="C154" s="7">
        <f>[1]服务器生态!W171</f>
        <v>143.88765074999998</v>
      </c>
      <c r="D154" s="7">
        <f>[1]服务器生态!X171</f>
        <v>141.87454120775999</v>
      </c>
      <c r="E154" s="7">
        <f>[1]服务器生态!Y171</f>
        <v>11.58126004224</v>
      </c>
      <c r="F154" s="7">
        <f>[1]服务器生态!Z171</f>
        <v>2.0603880000000006</v>
      </c>
      <c r="G154" s="7">
        <f>[1]服务器生态!AA171</f>
        <v>0.59615999999999991</v>
      </c>
      <c r="H154" s="7">
        <f>[1]服务器生态!AC171</f>
        <v>0.47962550249999997</v>
      </c>
      <c r="I154" s="7">
        <f>[1]服务器生态!AD171</f>
        <v>0.47291513735919999</v>
      </c>
      <c r="J154" s="7">
        <f>[1]服务器生态!AE171</f>
        <v>3.8604200140800002E-2</v>
      </c>
      <c r="K154" s="7">
        <f>[1]服务器生态!AF171</f>
        <v>6.8679600000000019E-3</v>
      </c>
      <c r="L154" s="7">
        <f>[1]服务器生态!AG171</f>
        <v>1.9871999999999997E-3</v>
      </c>
      <c r="M154" s="7">
        <f>[5]基础信息!M153</f>
        <v>100</v>
      </c>
      <c r="Q154" s="7">
        <v>150</v>
      </c>
      <c r="R154" s="7">
        <f>[6]带兵数!D153</f>
        <v>11624.742579711263</v>
      </c>
      <c r="S154" s="7">
        <f>[6]带兵数!E153</f>
        <v>11664.058947922429</v>
      </c>
      <c r="T154" s="7">
        <f>[6]带兵数!F153</f>
        <v>11708.151587460217</v>
      </c>
      <c r="U154" s="7">
        <f>[6]带兵数!G153</f>
        <v>11748.840204438227</v>
      </c>
      <c r="V154" s="7">
        <f>[6]带兵数!H153</f>
        <v>11792.448639298313</v>
      </c>
      <c r="X154" s="7">
        <v>150</v>
      </c>
      <c r="Y154" s="7">
        <f>求节点(节奏总纲!D$4:D$163,R$5:R$164,$X154)*6</f>
        <v>38474.32710537377</v>
      </c>
      <c r="Z154" s="7">
        <f>求节点(节奏总纲!E$4:E$163,S$5:S$164,$X154)*6</f>
        <v>39627.165312489218</v>
      </c>
      <c r="AA154" s="7">
        <f>求节点(节奏总纲!F$4:F$163,T$5:T$164,$X154)*6</f>
        <v>41137.20479435163</v>
      </c>
      <c r="AB154" s="7">
        <f>求节点(节奏总纲!G$4:G$163,U$5:U$164,$X154)*6</f>
        <v>43338.295493641934</v>
      </c>
      <c r="AC154" s="7">
        <f>求节点(节奏总纲!H$4:H$163,V$5:V$164,$X154)*6</f>
        <v>47264.935724089417</v>
      </c>
      <c r="AG154" s="7">
        <v>150</v>
      </c>
      <c r="AH154" s="7">
        <v>1</v>
      </c>
      <c r="AI154" s="7">
        <f>[6]实力验证!$Z156</f>
        <v>1.6435229037951751</v>
      </c>
      <c r="AJ154" s="7">
        <f>[6]实力验证!$AE156</f>
        <v>2.8861048735435419</v>
      </c>
      <c r="AK154" s="7">
        <f>[6]实力验证!$AJ156</f>
        <v>8.0107700640728279</v>
      </c>
      <c r="AL154" s="7">
        <f>[6]实力验证!$AO156</f>
        <v>24.354596635891408</v>
      </c>
      <c r="AM154" s="7">
        <f t="shared" si="10"/>
        <v>96.965180828706167</v>
      </c>
      <c r="AR154" s="14">
        <v>150</v>
      </c>
      <c r="AS154" s="14">
        <f>[6]攻城值!AC154</f>
        <v>818.53872050484449</v>
      </c>
      <c r="AT154" s="14">
        <f>[6]攻城值!AD154</f>
        <v>820.78300067542807</v>
      </c>
      <c r="AU154" s="14">
        <f>[6]攻城值!AE154</f>
        <v>825.63810855846327</v>
      </c>
      <c r="AV154" s="14">
        <f>[6]攻城值!AF154</f>
        <v>830.86892247200956</v>
      </c>
      <c r="AW154" s="14">
        <f>[6]攻城值!AG154</f>
        <v>837.19513598355491</v>
      </c>
      <c r="AY154" s="14">
        <v>150</v>
      </c>
      <c r="AZ154" s="14">
        <f>[6]攻城值!AJ154</f>
        <v>6110.2535084525989</v>
      </c>
      <c r="BA154" s="14">
        <f>[6]攻城值!AK154</f>
        <v>6206.5133364397107</v>
      </c>
      <c r="BB154" s="14">
        <f>[6]攻城值!AL154</f>
        <v>6313.0698850011468</v>
      </c>
      <c r="BC154" s="14">
        <f>[6]攻城值!AM154</f>
        <v>6438.6322363107111</v>
      </c>
      <c r="BD154" s="14">
        <f>[6]攻城值!AN154</f>
        <v>6583.4538593179332</v>
      </c>
      <c r="BF154" s="14">
        <v>150</v>
      </c>
      <c r="BG154" s="14">
        <f t="shared" si="7"/>
        <v>0.15064808849528574</v>
      </c>
      <c r="BH154" s="14">
        <f t="shared" si="8"/>
        <v>0.84935191150471423</v>
      </c>
      <c r="BL154" s="14">
        <v>150</v>
      </c>
      <c r="BM154" s="15">
        <f t="shared" si="12"/>
        <v>1</v>
      </c>
      <c r="BN154" s="15">
        <f t="shared" si="12"/>
        <v>1</v>
      </c>
      <c r="BO154" s="15">
        <f t="shared" si="12"/>
        <v>1</v>
      </c>
      <c r="BP154" s="15">
        <f t="shared" si="12"/>
        <v>1</v>
      </c>
      <c r="BQ154" s="15">
        <f t="shared" si="12"/>
        <v>1</v>
      </c>
      <c r="BR154" s="15">
        <f>'[1]功能-战损相关'!M160</f>
        <v>0.125</v>
      </c>
      <c r="BS154" s="15">
        <f>'[1]功能-战损相关'!N160</f>
        <v>0.125</v>
      </c>
      <c r="BT154" s="15">
        <f>'[1]功能-战损相关'!O160</f>
        <v>0.125</v>
      </c>
      <c r="BU154" s="15">
        <f>'[1]功能-战损相关'!P160</f>
        <v>0.125</v>
      </c>
      <c r="BV154" s="15">
        <f>'[1]功能-战损相关'!Q160</f>
        <v>0.125</v>
      </c>
    </row>
    <row r="155" spans="2:74" x14ac:dyDescent="0.15">
      <c r="B155" s="7">
        <v>151</v>
      </c>
      <c r="C155" s="7">
        <f>[1]服务器生态!W172</f>
        <v>143.048306120625</v>
      </c>
      <c r="D155" s="7">
        <f>[1]服务器生态!X172</f>
        <v>141.04693971738141</v>
      </c>
      <c r="E155" s="7">
        <f>[1]服务器生态!Y172</f>
        <v>11.513702691993601</v>
      </c>
      <c r="F155" s="7">
        <f>[1]服务器生态!Z172</f>
        <v>2.0483690700000006</v>
      </c>
      <c r="G155" s="7">
        <f>[1]服务器生态!AA172</f>
        <v>0.59268239999999994</v>
      </c>
      <c r="H155" s="7">
        <f>[1]服务器生态!AC172</f>
        <v>0.47962550249999997</v>
      </c>
      <c r="I155" s="7">
        <f>[1]服务器生态!AD172</f>
        <v>0.47291513735919999</v>
      </c>
      <c r="J155" s="7">
        <f>[1]服务器生态!AE172</f>
        <v>3.8604200140800002E-2</v>
      </c>
      <c r="K155" s="7">
        <f>[1]服务器生态!AF172</f>
        <v>6.8679600000000019E-3</v>
      </c>
      <c r="L155" s="7">
        <f>[1]服务器生态!AG172</f>
        <v>1.9871999999999997E-3</v>
      </c>
      <c r="M155" s="7">
        <f>[5]基础信息!M154</f>
        <v>100</v>
      </c>
      <c r="Q155" s="7">
        <v>151</v>
      </c>
      <c r="R155" s="7">
        <f>[6]带兵数!D154</f>
        <v>11676.328822995258</v>
      </c>
      <c r="S155" s="7">
        <f>[6]带兵数!E154</f>
        <v>11713.827000093619</v>
      </c>
      <c r="T155" s="7">
        <f>[6]带兵数!F154</f>
        <v>11758.457867652043</v>
      </c>
      <c r="U155" s="7">
        <f>[6]带兵数!G154</f>
        <v>11804.511526652987</v>
      </c>
      <c r="V155" s="7">
        <f>[6]带兵数!H154</f>
        <v>11858.396875073729</v>
      </c>
      <c r="X155" s="7">
        <v>151</v>
      </c>
      <c r="Y155" s="7">
        <f>求节点(节奏总纲!D$4:D$163,R$5:R$164,$X155)*6</f>
        <v>38513.211316829314</v>
      </c>
      <c r="Z155" s="7">
        <f>求节点(节奏总纲!E$4:E$163,S$5:S$164,$X155)*6</f>
        <v>39664.53242307785</v>
      </c>
      <c r="AA155" s="7">
        <f>求节点(节奏总纲!F$4:F$163,T$5:T$164,$X155)*6</f>
        <v>41174.274109051745</v>
      </c>
      <c r="AB155" s="7">
        <f>求节点(节奏总纲!G$4:G$163,U$5:U$164,$X155)*6</f>
        <v>43378.258911692559</v>
      </c>
      <c r="AC155" s="7">
        <f>求节点(节奏总纲!H$4:H$163,V$5:V$164,$X155)*6</f>
        <v>47304.966051522904</v>
      </c>
      <c r="AG155" s="7">
        <v>151</v>
      </c>
      <c r="AH155" s="7">
        <v>1</v>
      </c>
      <c r="AI155" s="7">
        <f>[6]实力验证!$Z157</f>
        <v>1.6431902741641704</v>
      </c>
      <c r="AJ155" s="7">
        <f>[6]实力验证!$AE157</f>
        <v>2.8853224724521409</v>
      </c>
      <c r="AK155" s="7">
        <f>[6]实力验证!$AJ157</f>
        <v>8.027554791933726</v>
      </c>
      <c r="AL155" s="7">
        <f>[6]实力验证!$AO157</f>
        <v>24.265800052149146</v>
      </c>
      <c r="AM155" s="7">
        <f t="shared" si="10"/>
        <v>96.938069832819252</v>
      </c>
      <c r="AR155" s="14">
        <v>151</v>
      </c>
      <c r="AS155" s="14">
        <f>[6]攻城值!AC155</f>
        <v>819.23925390906709</v>
      </c>
      <c r="AT155" s="14">
        <f>[6]攻城值!AD155</f>
        <v>821.36507668037916</v>
      </c>
      <c r="AU155" s="14">
        <f>[6]攻城值!AE155</f>
        <v>826.28656000000001</v>
      </c>
      <c r="AV155" s="14">
        <f>[6]攻城值!AF155</f>
        <v>831.91372000000001</v>
      </c>
      <c r="AW155" s="14">
        <f>[6]攻城值!AG155</f>
        <v>839.41660000000002</v>
      </c>
      <c r="AY155" s="14">
        <v>151</v>
      </c>
      <c r="AZ155" s="14">
        <f>[6]攻城值!AJ155</f>
        <v>6188.9335285848374</v>
      </c>
      <c r="BA155" s="14">
        <f>[6]攻城值!AK155</f>
        <v>6287.4571622207095</v>
      </c>
      <c r="BB155" s="14">
        <f>[6]攻城值!AL155</f>
        <v>6394.9336076482268</v>
      </c>
      <c r="BC155" s="14">
        <f>[6]攻城值!AM155</f>
        <v>6521.4851546792397</v>
      </c>
      <c r="BD155" s="14">
        <f>[6]攻城值!AN155</f>
        <v>6667.2519957392651</v>
      </c>
      <c r="BF155" s="14">
        <v>151</v>
      </c>
      <c r="BG155" s="14">
        <f t="shared" si="7"/>
        <v>0.15064808849528574</v>
      </c>
      <c r="BH155" s="14">
        <f t="shared" si="8"/>
        <v>0.84935191150471423</v>
      </c>
      <c r="BL155" s="14">
        <v>151</v>
      </c>
      <c r="BM155" s="15">
        <f t="shared" si="12"/>
        <v>1</v>
      </c>
      <c r="BN155" s="15">
        <f t="shared" si="12"/>
        <v>1</v>
      </c>
      <c r="BO155" s="15">
        <f t="shared" si="12"/>
        <v>1</v>
      </c>
      <c r="BP155" s="15">
        <f t="shared" si="12"/>
        <v>1</v>
      </c>
      <c r="BQ155" s="15">
        <f t="shared" si="12"/>
        <v>1</v>
      </c>
      <c r="BR155" s="15">
        <f>'[1]功能-战损相关'!M161</f>
        <v>0.125</v>
      </c>
      <c r="BS155" s="15">
        <f>'[1]功能-战损相关'!N161</f>
        <v>0.125</v>
      </c>
      <c r="BT155" s="15">
        <f>'[1]功能-战损相关'!O161</f>
        <v>0.125</v>
      </c>
      <c r="BU155" s="15">
        <f>'[1]功能-战损相关'!P161</f>
        <v>0.125</v>
      </c>
      <c r="BV155" s="15">
        <f>'[1]功能-战损相关'!Q161</f>
        <v>0.125</v>
      </c>
    </row>
    <row r="156" spans="2:74" x14ac:dyDescent="0.15">
      <c r="B156" s="7">
        <v>152</v>
      </c>
      <c r="C156" s="7">
        <f>[1]服务器生态!W173</f>
        <v>142.20896149124999</v>
      </c>
      <c r="D156" s="7">
        <f>[1]服务器生态!X173</f>
        <v>140.21933822700279</v>
      </c>
      <c r="E156" s="7">
        <f>[1]服务器生态!Y173</f>
        <v>11.446145341747201</v>
      </c>
      <c r="F156" s="7">
        <f>[1]服务器生态!Z173</f>
        <v>2.0363501400000006</v>
      </c>
      <c r="G156" s="7">
        <f>[1]服务器生态!AA173</f>
        <v>0.58920479999999997</v>
      </c>
      <c r="H156" s="7">
        <f>[1]服务器生态!AC173</f>
        <v>0.47962550249999997</v>
      </c>
      <c r="I156" s="7">
        <f>[1]服务器生态!AD173</f>
        <v>0.47291513735919999</v>
      </c>
      <c r="J156" s="7">
        <f>[1]服务器生态!AE173</f>
        <v>3.8604200140800002E-2</v>
      </c>
      <c r="K156" s="7">
        <f>[1]服务器生态!AF173</f>
        <v>6.8679600000000019E-3</v>
      </c>
      <c r="L156" s="7">
        <f>[1]服务器生态!AG173</f>
        <v>1.9871999999999997E-3</v>
      </c>
      <c r="M156" s="7">
        <f>[5]基础信息!M155</f>
        <v>100</v>
      </c>
      <c r="Q156" s="7">
        <v>152</v>
      </c>
      <c r="R156" s="7">
        <f>[6]带兵数!D155</f>
        <v>11725.442568885095</v>
      </c>
      <c r="S156" s="7">
        <f>[6]带兵数!E155</f>
        <v>11763.745670637551</v>
      </c>
      <c r="T156" s="7">
        <f>[6]带兵数!F155</f>
        <v>11810.181406204985</v>
      </c>
      <c r="U156" s="7">
        <f>[6]带兵数!G155</f>
        <v>11860.867580422104</v>
      </c>
      <c r="V156" s="7">
        <f>[6]带兵数!H155</f>
        <v>11890</v>
      </c>
      <c r="X156" s="7">
        <v>152</v>
      </c>
      <c r="Y156" s="7">
        <f>求节点(节奏总纲!D$4:D$163,R$5:R$164,$X156)*6</f>
        <v>38552.095528284859</v>
      </c>
      <c r="Z156" s="7">
        <f>求节点(节奏总纲!E$4:E$163,S$5:S$164,$X156)*6</f>
        <v>39701.899533666481</v>
      </c>
      <c r="AA156" s="7">
        <f>求节点(节奏总纲!F$4:F$163,T$5:T$164,$X156)*6</f>
        <v>41211.34342375186</v>
      </c>
      <c r="AB156" s="7">
        <f>求节点(节奏总纲!G$4:G$163,U$5:U$164,$X156)*6</f>
        <v>43414.457586950724</v>
      </c>
      <c r="AC156" s="7">
        <f>求节点(节奏总纲!H$4:H$163,V$5:V$164,$X156)*6</f>
        <v>47344.996378956392</v>
      </c>
      <c r="AG156" s="7">
        <v>152</v>
      </c>
      <c r="AH156" s="7">
        <v>1</v>
      </c>
      <c r="AI156" s="7">
        <f>[6]实力验证!$Z158</f>
        <v>1.6428646279782047</v>
      </c>
      <c r="AJ156" s="7">
        <f>[6]实力验证!$AE158</f>
        <v>2.8845564976033553</v>
      </c>
      <c r="AK156" s="7">
        <f>[6]实力验证!$AJ158</f>
        <v>8.0420782581951666</v>
      </c>
      <c r="AL156" s="7">
        <f>[6]实力验证!$AO158</f>
        <v>24.178867722232749</v>
      </c>
      <c r="AM156" s="7">
        <f t="shared" si="10"/>
        <v>96.90890601169454</v>
      </c>
      <c r="AR156" s="14">
        <v>152</v>
      </c>
      <c r="AS156" s="14">
        <f>[6]攻城值!AC156</f>
        <v>819.9397873132898</v>
      </c>
      <c r="AT156" s="14">
        <f>[6]攻城值!AD156</f>
        <v>821.94715268533014</v>
      </c>
      <c r="AU156" s="14">
        <f>[6]攻城值!AE156</f>
        <v>826.28656000000001</v>
      </c>
      <c r="AV156" s="14">
        <f>[6]攻城值!AF156</f>
        <v>831.91372000000001</v>
      </c>
      <c r="AW156" s="14">
        <f>[6]攻城值!AG156</f>
        <v>839.41660000000002</v>
      </c>
      <c r="AY156" s="14">
        <v>152</v>
      </c>
      <c r="AZ156" s="14">
        <f>[6]攻城值!AJ156</f>
        <v>6267.6135487170759</v>
      </c>
      <c r="BA156" s="14">
        <f>[6]攻城值!AK156</f>
        <v>6368.4009880017102</v>
      </c>
      <c r="BB156" s="14">
        <f>[6]攻城值!AL156</f>
        <v>6476.7973302953069</v>
      </c>
      <c r="BC156" s="14">
        <f>[6]攻城值!AM156</f>
        <v>6604.3380730477656</v>
      </c>
      <c r="BD156" s="14">
        <f>[6]攻城值!AN156</f>
        <v>6751.0501321605971</v>
      </c>
      <c r="BF156" s="14">
        <v>152</v>
      </c>
      <c r="BG156" s="14">
        <f t="shared" si="7"/>
        <v>0.15064808849528574</v>
      </c>
      <c r="BH156" s="14">
        <f t="shared" si="8"/>
        <v>0.84935191150471423</v>
      </c>
      <c r="BL156" s="14">
        <v>152</v>
      </c>
      <c r="BM156" s="15">
        <f t="shared" si="12"/>
        <v>1</v>
      </c>
      <c r="BN156" s="15">
        <f t="shared" si="12"/>
        <v>1</v>
      </c>
      <c r="BO156" s="15">
        <f t="shared" si="12"/>
        <v>1</v>
      </c>
      <c r="BP156" s="15">
        <f t="shared" si="12"/>
        <v>1</v>
      </c>
      <c r="BQ156" s="15">
        <f t="shared" si="12"/>
        <v>1</v>
      </c>
      <c r="BR156" s="15">
        <f>'[1]功能-战损相关'!M162</f>
        <v>0.125</v>
      </c>
      <c r="BS156" s="15">
        <f>'[1]功能-战损相关'!N162</f>
        <v>0.125</v>
      </c>
      <c r="BT156" s="15">
        <f>'[1]功能-战损相关'!O162</f>
        <v>0.125</v>
      </c>
      <c r="BU156" s="15">
        <f>'[1]功能-战损相关'!P162</f>
        <v>0.125</v>
      </c>
      <c r="BV156" s="15">
        <f>'[1]功能-战损相关'!Q162</f>
        <v>0.125</v>
      </c>
    </row>
    <row r="157" spans="2:74" x14ac:dyDescent="0.15">
      <c r="B157" s="7">
        <v>153</v>
      </c>
      <c r="C157" s="7">
        <f>[1]服务器生态!W174</f>
        <v>141.36961686187499</v>
      </c>
      <c r="D157" s="7">
        <f>[1]服务器生态!X174</f>
        <v>139.39173673662421</v>
      </c>
      <c r="E157" s="7">
        <f>[1]服务器生态!Y174</f>
        <v>11.378587991500801</v>
      </c>
      <c r="F157" s="7">
        <f>[1]服务器生态!Z174</f>
        <v>2.0243312100000006</v>
      </c>
      <c r="G157" s="7">
        <f>[1]服务器生态!AA174</f>
        <v>0.58572719999999989</v>
      </c>
      <c r="H157" s="7">
        <f>[1]服务器生态!AC174</f>
        <v>0.47962550249999997</v>
      </c>
      <c r="I157" s="7">
        <f>[1]服务器生态!AD174</f>
        <v>0.47291513735919999</v>
      </c>
      <c r="J157" s="7">
        <f>[1]服务器生态!AE174</f>
        <v>3.8604200140800002E-2</v>
      </c>
      <c r="K157" s="7">
        <f>[1]服务器生态!AF174</f>
        <v>6.8679600000000019E-3</v>
      </c>
      <c r="L157" s="7">
        <f>[1]服务器生态!AG174</f>
        <v>1.9871999999999997E-3</v>
      </c>
      <c r="M157" s="7">
        <f>[5]基础信息!M156</f>
        <v>100</v>
      </c>
      <c r="Q157" s="7">
        <v>153</v>
      </c>
      <c r="R157" s="7">
        <f>[6]带兵数!D156</f>
        <v>11776.704617727821</v>
      </c>
      <c r="S157" s="7">
        <f>[6]带兵数!E156</f>
        <v>11818.502895887566</v>
      </c>
      <c r="T157" s="7">
        <f>[6]带兵数!F156</f>
        <v>11865.275890824516</v>
      </c>
      <c r="U157" s="7">
        <f>[6]带兵数!G156</f>
        <v>11890</v>
      </c>
      <c r="V157" s="7">
        <f>[6]带兵数!H156</f>
        <v>11890</v>
      </c>
      <c r="X157" s="7">
        <v>153</v>
      </c>
      <c r="Y157" s="7">
        <f>求节点(节奏总纲!D$4:D$163,R$5:R$164,$X157)*6</f>
        <v>38590.979739740404</v>
      </c>
      <c r="Z157" s="7">
        <f>求节点(节奏总纲!E$4:E$163,S$5:S$164,$X157)*6</f>
        <v>39739.26664425512</v>
      </c>
      <c r="AA157" s="7">
        <f>求节点(节奏总纲!F$4:F$163,T$5:T$164,$X157)*6</f>
        <v>41248.412738451974</v>
      </c>
      <c r="AB157" s="7">
        <f>求节点(节奏总纲!G$4:G$163,U$5:U$164,$X157)*6</f>
        <v>43450.656262208897</v>
      </c>
      <c r="AC157" s="7">
        <f>求节点(节奏总纲!H$4:H$163,V$5:V$164,$X157)*6</f>
        <v>47385.026706389872</v>
      </c>
      <c r="AG157" s="7">
        <v>153</v>
      </c>
      <c r="AH157" s="7">
        <v>1</v>
      </c>
      <c r="AI157" s="7">
        <f>[6]实力验证!$Z159</f>
        <v>1.6425457475993437</v>
      </c>
      <c r="AJ157" s="7">
        <f>[6]实力验证!$AE159</f>
        <v>2.8838064370759939</v>
      </c>
      <c r="AK157" s="7">
        <f>[6]实力验证!$AJ159</f>
        <v>8.0562999768069989</v>
      </c>
      <c r="AL157" s="7">
        <f>[6]实力验证!$AO159</f>
        <v>24.093741546973586</v>
      </c>
      <c r="AM157" s="7">
        <f t="shared" si="10"/>
        <v>96.880348114411888</v>
      </c>
      <c r="AR157" s="14">
        <v>153</v>
      </c>
      <c r="AS157" s="14">
        <f>[6]攻城值!AC157</f>
        <v>820.6403207175124</v>
      </c>
      <c r="AT157" s="14">
        <f>[6]攻城值!AD157</f>
        <v>822.52922869028123</v>
      </c>
      <c r="AU157" s="14">
        <f>[6]攻城值!AE157</f>
        <v>826.28656000000001</v>
      </c>
      <c r="AV157" s="14">
        <f>[6]攻城值!AF157</f>
        <v>831.91372000000001</v>
      </c>
      <c r="AW157" s="14">
        <f>[6]攻城值!AG157</f>
        <v>839.41660000000002</v>
      </c>
      <c r="AY157" s="14">
        <v>153</v>
      </c>
      <c r="AZ157" s="14">
        <f>[6]攻城值!AJ157</f>
        <v>6346.2935688493144</v>
      </c>
      <c r="BA157" s="14">
        <f>[6]攻城值!AK157</f>
        <v>6449.344813782709</v>
      </c>
      <c r="BB157" s="14">
        <f>[6]攻城值!AL157</f>
        <v>6558.661052942387</v>
      </c>
      <c r="BC157" s="14">
        <f>[6]攻城值!AM157</f>
        <v>6687.1909914162925</v>
      </c>
      <c r="BD157" s="14">
        <f>[6]攻城值!AN157</f>
        <v>6834.848268581929</v>
      </c>
      <c r="BF157" s="14">
        <v>153</v>
      </c>
      <c r="BG157" s="14">
        <f t="shared" si="7"/>
        <v>0.15064808849528574</v>
      </c>
      <c r="BH157" s="14">
        <f t="shared" si="8"/>
        <v>0.84935191150471423</v>
      </c>
      <c r="BL157" s="14">
        <v>153</v>
      </c>
      <c r="BM157" s="15">
        <f t="shared" si="12"/>
        <v>1</v>
      </c>
      <c r="BN157" s="15">
        <f t="shared" si="12"/>
        <v>1</v>
      </c>
      <c r="BO157" s="15">
        <f t="shared" si="12"/>
        <v>1</v>
      </c>
      <c r="BP157" s="15">
        <f t="shared" si="12"/>
        <v>1</v>
      </c>
      <c r="BQ157" s="15">
        <f t="shared" si="12"/>
        <v>1</v>
      </c>
      <c r="BR157" s="15">
        <f>'[1]功能-战损相关'!M163</f>
        <v>0.125</v>
      </c>
      <c r="BS157" s="15">
        <f>'[1]功能-战损相关'!N163</f>
        <v>0.125</v>
      </c>
      <c r="BT157" s="15">
        <f>'[1]功能-战损相关'!O163</f>
        <v>0.125</v>
      </c>
      <c r="BU157" s="15">
        <f>'[1]功能-战损相关'!P163</f>
        <v>0.125</v>
      </c>
      <c r="BV157" s="15">
        <f>'[1]功能-战损相关'!Q163</f>
        <v>0.125</v>
      </c>
    </row>
    <row r="158" spans="2:74" x14ac:dyDescent="0.15">
      <c r="B158" s="7">
        <v>154</v>
      </c>
      <c r="C158" s="7">
        <f>[1]服务器生态!W175</f>
        <v>140.53027223249998</v>
      </c>
      <c r="D158" s="7">
        <f>[1]服务器生态!X175</f>
        <v>138.5641352462456</v>
      </c>
      <c r="E158" s="7">
        <f>[1]服务器生态!Y175</f>
        <v>11.311030641254401</v>
      </c>
      <c r="F158" s="7">
        <f>[1]服务器生态!Z175</f>
        <v>2.0123122800000006</v>
      </c>
      <c r="G158" s="7">
        <f>[1]服务器生态!AA175</f>
        <v>0.58224959999999992</v>
      </c>
      <c r="H158" s="7">
        <f>[1]服务器生态!AC175</f>
        <v>0.47962550249999997</v>
      </c>
      <c r="I158" s="7">
        <f>[1]服务器生态!AD175</f>
        <v>0.47291513735919999</v>
      </c>
      <c r="J158" s="7">
        <f>[1]服务器生态!AE175</f>
        <v>3.8604200140800002E-2</v>
      </c>
      <c r="K158" s="7">
        <f>[1]服务器生态!AF175</f>
        <v>6.8679600000000019E-3</v>
      </c>
      <c r="L158" s="7">
        <f>[1]服务器生态!AG175</f>
        <v>1.9871999999999997E-3</v>
      </c>
      <c r="M158" s="7">
        <f>[5]基础信息!M157</f>
        <v>100</v>
      </c>
      <c r="Q158" s="7">
        <v>154</v>
      </c>
      <c r="R158" s="7">
        <f>[6]带兵数!D157</f>
        <v>11823.556106724936</v>
      </c>
      <c r="S158" s="7">
        <f>[6]带兵数!E157</f>
        <v>11869.742879106872</v>
      </c>
      <c r="T158" s="7">
        <f>[6]带兵数!F157</f>
        <v>11890</v>
      </c>
      <c r="U158" s="7">
        <f>[6]带兵数!G157</f>
        <v>11890</v>
      </c>
      <c r="V158" s="7">
        <f>[6]带兵数!H157</f>
        <v>11890</v>
      </c>
      <c r="X158" s="7">
        <v>154</v>
      </c>
      <c r="Y158" s="7">
        <f>求节点(节奏总纲!D$4:D$163,R$5:R$164,$X158)*6</f>
        <v>38629.863951195948</v>
      </c>
      <c r="Z158" s="7">
        <f>求节点(节奏总纲!E$4:E$163,S$5:S$164,$X158)*6</f>
        <v>39776.633754843751</v>
      </c>
      <c r="AA158" s="7">
        <f>求节点(节奏总纲!F$4:F$163,T$5:T$164,$X158)*6</f>
        <v>41285.482053152089</v>
      </c>
      <c r="AB158" s="7">
        <f>求节点(节奏总纲!G$4:G$163,U$5:U$164,$X158)*6</f>
        <v>43486.854937467069</v>
      </c>
      <c r="AC158" s="7">
        <f>求节点(节奏总纲!H$4:H$163,V$5:V$164,$X158)*6</f>
        <v>47425.057033823359</v>
      </c>
      <c r="AG158" s="7">
        <v>154</v>
      </c>
      <c r="AH158" s="7">
        <v>1</v>
      </c>
      <c r="AI158" s="7">
        <f>[6]实力验证!$Z160</f>
        <v>1.6422334243402075</v>
      </c>
      <c r="AJ158" s="7">
        <f>[6]实力验证!$AE160</f>
        <v>2.8830718000020816</v>
      </c>
      <c r="AK158" s="7">
        <f>[6]实力验证!$AJ160</f>
        <v>8.0702292549997541</v>
      </c>
      <c r="AL158" s="7">
        <f>[6]实力验证!$AO160</f>
        <v>24.010365816583064</v>
      </c>
      <c r="AM158" s="7">
        <f t="shared" si="10"/>
        <v>96.852377451603346</v>
      </c>
      <c r="AR158" s="14">
        <v>154</v>
      </c>
      <c r="AS158" s="14">
        <f>[6]攻城值!AC158</f>
        <v>820.65940000000001</v>
      </c>
      <c r="AT158" s="14">
        <f>[6]攻城值!AD158</f>
        <v>822.53512000000001</v>
      </c>
      <c r="AU158" s="14">
        <f>[6]攻城值!AE158</f>
        <v>826.28656000000001</v>
      </c>
      <c r="AV158" s="14">
        <f>[6]攻城值!AF158</f>
        <v>831.91372000000001</v>
      </c>
      <c r="AW158" s="14">
        <f>[6]攻城值!AG158</f>
        <v>839.41660000000002</v>
      </c>
      <c r="AY158" s="14">
        <v>154</v>
      </c>
      <c r="AZ158" s="14">
        <f>[6]攻城值!AJ158</f>
        <v>6424.9735889815529</v>
      </c>
      <c r="BA158" s="14">
        <f>[6]攻城值!AK158</f>
        <v>6530.2886395637088</v>
      </c>
      <c r="BB158" s="14">
        <f>[6]攻城值!AL158</f>
        <v>6640.524775589467</v>
      </c>
      <c r="BC158" s="14">
        <f>[6]攻城值!AM158</f>
        <v>6770.0439097848202</v>
      </c>
      <c r="BD158" s="14">
        <f>[6]攻城值!AN158</f>
        <v>6841.64</v>
      </c>
      <c r="BF158" s="14">
        <v>154</v>
      </c>
      <c r="BG158" s="14">
        <f t="shared" si="7"/>
        <v>0.15064808849528574</v>
      </c>
      <c r="BH158" s="14">
        <f t="shared" si="8"/>
        <v>0.84935191150471423</v>
      </c>
      <c r="BL158" s="14">
        <v>154</v>
      </c>
      <c r="BM158" s="15">
        <f t="shared" si="12"/>
        <v>1</v>
      </c>
      <c r="BN158" s="15">
        <f t="shared" si="12"/>
        <v>1</v>
      </c>
      <c r="BO158" s="15">
        <f t="shared" si="12"/>
        <v>1</v>
      </c>
      <c r="BP158" s="15">
        <f t="shared" si="12"/>
        <v>1</v>
      </c>
      <c r="BQ158" s="15">
        <f t="shared" si="12"/>
        <v>1</v>
      </c>
      <c r="BR158" s="15">
        <f>'[1]功能-战损相关'!M164</f>
        <v>0.125</v>
      </c>
      <c r="BS158" s="15">
        <f>'[1]功能-战损相关'!N164</f>
        <v>0.125</v>
      </c>
      <c r="BT158" s="15">
        <f>'[1]功能-战损相关'!O164</f>
        <v>0.125</v>
      </c>
      <c r="BU158" s="15">
        <f>'[1]功能-战损相关'!P164</f>
        <v>0.125</v>
      </c>
      <c r="BV158" s="15">
        <f>'[1]功能-战损相关'!Q164</f>
        <v>0.125</v>
      </c>
    </row>
    <row r="159" spans="2:74" x14ac:dyDescent="0.15">
      <c r="B159" s="7">
        <v>155</v>
      </c>
      <c r="C159" s="7">
        <f>[1]服务器生态!W176</f>
        <v>139.690927603125</v>
      </c>
      <c r="D159" s="7">
        <f>[1]服务器生态!X176</f>
        <v>137.73653375586699</v>
      </c>
      <c r="E159" s="7">
        <f>[1]服务器生态!Y176</f>
        <v>11.243473291008</v>
      </c>
      <c r="F159" s="7">
        <f>[1]服务器生态!Z176</f>
        <v>2.0002933500000006</v>
      </c>
      <c r="G159" s="7">
        <f>[1]服务器生态!AA176</f>
        <v>0.57877199999999995</v>
      </c>
      <c r="H159" s="7">
        <f>[1]服务器生态!AC176</f>
        <v>0.47962550249999997</v>
      </c>
      <c r="I159" s="7">
        <f>[1]服务器生态!AD176</f>
        <v>0.47291513735919999</v>
      </c>
      <c r="J159" s="7">
        <f>[1]服务器生态!AE176</f>
        <v>3.8604200140800002E-2</v>
      </c>
      <c r="K159" s="7">
        <f>[1]服务器生态!AF176</f>
        <v>6.8679600000000019E-3</v>
      </c>
      <c r="L159" s="7">
        <f>[1]服务器生态!AG176</f>
        <v>1.9871999999999997E-3</v>
      </c>
      <c r="M159" s="7">
        <f>[5]基础信息!M158</f>
        <v>100</v>
      </c>
      <c r="Q159" s="7">
        <v>155</v>
      </c>
      <c r="R159" s="7">
        <f>[6]带兵数!D158</f>
        <v>11871.775179422561</v>
      </c>
      <c r="S159" s="7">
        <f>[6]带兵数!E158</f>
        <v>11890</v>
      </c>
      <c r="T159" s="7">
        <f>[6]带兵数!F158</f>
        <v>11890</v>
      </c>
      <c r="U159" s="7">
        <f>[6]带兵数!G158</f>
        <v>11890</v>
      </c>
      <c r="V159" s="7">
        <f>[6]带兵数!H158</f>
        <v>11890</v>
      </c>
      <c r="X159" s="7">
        <v>155</v>
      </c>
      <c r="Y159" s="7">
        <f>求节点(节奏总纲!D$4:D$163,R$5:R$164,$X159)*6</f>
        <v>38668.748162651493</v>
      </c>
      <c r="Z159" s="7">
        <f>求节点(节奏总纲!E$4:E$163,S$5:S$164,$X159)*6</f>
        <v>39814.000865432383</v>
      </c>
      <c r="AA159" s="7">
        <f>求节点(节奏总纲!F$4:F$163,T$5:T$164,$X159)*6</f>
        <v>41322.551367852204</v>
      </c>
      <c r="AB159" s="7">
        <f>求节点(节奏总纲!G$4:G$163,U$5:U$164,$X159)*6</f>
        <v>43523.053612725234</v>
      </c>
      <c r="AC159" s="7">
        <f>求节点(节奏总纲!H$4:H$163,V$5:V$164,$X159)*6</f>
        <v>47465.087361256847</v>
      </c>
      <c r="AG159" s="7">
        <v>155</v>
      </c>
      <c r="AH159" s="7">
        <v>1</v>
      </c>
      <c r="AI159" s="7">
        <f>[6]实力验证!$Z161</f>
        <v>1.6419274580085281</v>
      </c>
      <c r="AJ159" s="7">
        <f>[6]实力验证!$AE161</f>
        <v>2.8823521154955776</v>
      </c>
      <c r="AK159" s="7">
        <f>[6]实力验证!$AJ161</f>
        <v>8.0838750211311883</v>
      </c>
      <c r="AL159" s="7">
        <f>[6]实力验证!$AO161</f>
        <v>23.928687089070937</v>
      </c>
      <c r="AM159" s="7">
        <f t="shared" si="10"/>
        <v>96.8249760946956</v>
      </c>
      <c r="AR159" s="14">
        <v>155</v>
      </c>
      <c r="AS159" s="14">
        <f>[6]攻城值!AC159</f>
        <v>820.65940000000001</v>
      </c>
      <c r="AT159" s="14">
        <f>[6]攻城值!AD159</f>
        <v>822.53512000000001</v>
      </c>
      <c r="AU159" s="14">
        <f>[6]攻城值!AE159</f>
        <v>826.28656000000001</v>
      </c>
      <c r="AV159" s="14">
        <f>[6]攻城值!AF159</f>
        <v>831.91372000000001</v>
      </c>
      <c r="AW159" s="14">
        <f>[6]攻城值!AG159</f>
        <v>839.41660000000002</v>
      </c>
      <c r="AY159" s="14">
        <v>155</v>
      </c>
      <c r="AZ159" s="14">
        <f>[6]攻城值!AJ159</f>
        <v>6503.6536091137914</v>
      </c>
      <c r="BA159" s="14">
        <f>[6]攻城值!AK159</f>
        <v>6611.2324653447085</v>
      </c>
      <c r="BB159" s="14">
        <f>[6]攻城值!AL159</f>
        <v>6722.3884982365471</v>
      </c>
      <c r="BC159" s="14">
        <f>[6]攻城值!AM159</f>
        <v>6780.4880000000003</v>
      </c>
      <c r="BD159" s="14">
        <f>[6]攻城值!AN159</f>
        <v>6841.64</v>
      </c>
      <c r="BF159" s="14">
        <v>155</v>
      </c>
      <c r="BG159" s="14">
        <f t="shared" si="7"/>
        <v>0.15064808849528574</v>
      </c>
      <c r="BH159" s="14">
        <f t="shared" si="8"/>
        <v>0.84935191150471423</v>
      </c>
      <c r="BL159" s="14">
        <v>155</v>
      </c>
      <c r="BM159" s="15">
        <f t="shared" si="12"/>
        <v>1</v>
      </c>
      <c r="BN159" s="15">
        <f t="shared" si="12"/>
        <v>1</v>
      </c>
      <c r="BO159" s="15">
        <f t="shared" si="12"/>
        <v>1</v>
      </c>
      <c r="BP159" s="15">
        <f t="shared" si="12"/>
        <v>1</v>
      </c>
      <c r="BQ159" s="15">
        <f t="shared" si="12"/>
        <v>1</v>
      </c>
      <c r="BR159" s="15">
        <f>'[1]功能-战损相关'!M165</f>
        <v>0.125</v>
      </c>
      <c r="BS159" s="15">
        <f>'[1]功能-战损相关'!N165</f>
        <v>0.125</v>
      </c>
      <c r="BT159" s="15">
        <f>'[1]功能-战损相关'!O165</f>
        <v>0.125</v>
      </c>
      <c r="BU159" s="15">
        <f>'[1]功能-战损相关'!P165</f>
        <v>0.125</v>
      </c>
      <c r="BV159" s="15">
        <f>'[1]功能-战损相关'!Q165</f>
        <v>0.125</v>
      </c>
    </row>
    <row r="160" spans="2:74" x14ac:dyDescent="0.15">
      <c r="B160" s="7">
        <v>156</v>
      </c>
      <c r="C160" s="7">
        <f>[1]服务器生态!W177</f>
        <v>138.85158297375</v>
      </c>
      <c r="D160" s="7">
        <f>[1]服务器生态!X177</f>
        <v>136.9089322654884</v>
      </c>
      <c r="E160" s="7">
        <f>[1]服务器生态!Y177</f>
        <v>11.1759159407616</v>
      </c>
      <c r="F160" s="7">
        <f>[1]服务器生态!Z177</f>
        <v>1.9882744200000007</v>
      </c>
      <c r="G160" s="7">
        <f>[1]服务器生态!AA177</f>
        <v>0.57529439999999987</v>
      </c>
      <c r="H160" s="7">
        <f>[1]服务器生态!AC177</f>
        <v>0.47962550249999997</v>
      </c>
      <c r="I160" s="7">
        <f>[1]服务器生态!AD177</f>
        <v>0.47291513735919999</v>
      </c>
      <c r="J160" s="7">
        <f>[1]服务器生态!AE177</f>
        <v>3.8604200140800002E-2</v>
      </c>
      <c r="K160" s="7">
        <f>[1]服务器生态!AF177</f>
        <v>6.8679600000000019E-3</v>
      </c>
      <c r="L160" s="7">
        <f>[1]服务器生态!AG177</f>
        <v>1.9871999999999997E-3</v>
      </c>
      <c r="M160" s="7">
        <f>[5]基础信息!M159</f>
        <v>100</v>
      </c>
      <c r="Q160" s="7">
        <v>156</v>
      </c>
      <c r="R160" s="7">
        <f>[6]带兵数!D159</f>
        <v>11890</v>
      </c>
      <c r="S160" s="7">
        <f>[6]带兵数!E159</f>
        <v>11890</v>
      </c>
      <c r="T160" s="7">
        <f>[6]带兵数!F159</f>
        <v>11890</v>
      </c>
      <c r="U160" s="7">
        <f>[6]带兵数!G159</f>
        <v>11890</v>
      </c>
      <c r="V160" s="7">
        <f>[6]带兵数!H159</f>
        <v>11890</v>
      </c>
      <c r="X160" s="7">
        <v>156</v>
      </c>
      <c r="Y160" s="7">
        <f>求节点(节奏总纲!D$4:D$163,R$5:R$164,$X160)*6</f>
        <v>38707.632374107037</v>
      </c>
      <c r="Z160" s="7">
        <f>求节点(节奏总纲!E$4:E$163,S$5:S$164,$X160)*6</f>
        <v>39851.209973401215</v>
      </c>
      <c r="AA160" s="7">
        <f>求节点(节奏总纲!F$4:F$163,T$5:T$164,$X160)*6</f>
        <v>41359.620682552311</v>
      </c>
      <c r="AB160" s="7">
        <f>求节点(节奏总纲!G$4:G$163,U$5:U$164,$X160)*6</f>
        <v>43559.252287983407</v>
      </c>
      <c r="AC160" s="7">
        <f>求节点(节奏总纲!H$4:H$163,V$5:V$164,$X160)*6</f>
        <v>47505.117688690327</v>
      </c>
      <c r="AG160" s="7">
        <v>156</v>
      </c>
      <c r="AH160" s="7">
        <v>1</v>
      </c>
      <c r="AI160" s="7">
        <f>[6]实力验证!$Z162</f>
        <v>1.6419289603965255</v>
      </c>
      <c r="AJ160" s="7">
        <f>[6]实力验证!$AE162</f>
        <v>2.8816469316458631</v>
      </c>
      <c r="AK160" s="7">
        <f>[6]实力验证!$AJ162</f>
        <v>8.0972458437707093</v>
      </c>
      <c r="AL160" s="7">
        <f>[6]实力验证!$AO162</f>
        <v>23.848654076012711</v>
      </c>
      <c r="AM160" s="7">
        <f t="shared" si="10"/>
        <v>96.806676308593708</v>
      </c>
      <c r="AR160" s="14">
        <v>156</v>
      </c>
      <c r="AS160" s="14">
        <f>[6]攻城值!AC160</f>
        <v>829.71899999999994</v>
      </c>
      <c r="AT160" s="14">
        <f>[6]攻城值!AD160</f>
        <v>831.72870000000012</v>
      </c>
      <c r="AU160" s="14">
        <f>[6]攻城值!AE160</f>
        <v>835.74810000000014</v>
      </c>
      <c r="AV160" s="14">
        <f>[6]攻城值!AF160</f>
        <v>841.77720000000011</v>
      </c>
      <c r="AW160" s="14">
        <f>[6]攻城值!AG160</f>
        <v>849.81600000000003</v>
      </c>
      <c r="AY160" s="14">
        <v>156</v>
      </c>
      <c r="AZ160" s="14">
        <f>[6]攻城值!AJ160</f>
        <v>6654.9987443321625</v>
      </c>
      <c r="BA160" s="14">
        <f>[6]攻城值!AK160</f>
        <v>6766.9755995206715</v>
      </c>
      <c r="BB160" s="14">
        <f>[6]攻城值!AL160</f>
        <v>6811.7400000000007</v>
      </c>
      <c r="BC160" s="14">
        <f>[6]攻城值!AM160</f>
        <v>6860.880000000001</v>
      </c>
      <c r="BD160" s="14">
        <f>[6]攻城值!AN160</f>
        <v>6926.4000000000005</v>
      </c>
      <c r="BF160" s="14">
        <v>156</v>
      </c>
      <c r="BG160" s="14">
        <f t="shared" si="7"/>
        <v>0.15064808849528574</v>
      </c>
      <c r="BH160" s="14">
        <f t="shared" si="8"/>
        <v>0.84935191150471423</v>
      </c>
      <c r="BL160" s="14">
        <v>156</v>
      </c>
      <c r="BM160" s="15">
        <f t="shared" si="12"/>
        <v>1</v>
      </c>
      <c r="BN160" s="15">
        <f t="shared" si="12"/>
        <v>1</v>
      </c>
      <c r="BO160" s="15">
        <f t="shared" si="12"/>
        <v>1</v>
      </c>
      <c r="BP160" s="15">
        <f t="shared" si="12"/>
        <v>1</v>
      </c>
      <c r="BQ160" s="15">
        <f t="shared" si="12"/>
        <v>1</v>
      </c>
      <c r="BR160" s="15">
        <f>'[1]功能-战损相关'!M166</f>
        <v>0.125</v>
      </c>
      <c r="BS160" s="15">
        <f>'[1]功能-战损相关'!N166</f>
        <v>0.125</v>
      </c>
      <c r="BT160" s="15">
        <f>'[1]功能-战损相关'!O166</f>
        <v>0.125</v>
      </c>
      <c r="BU160" s="15">
        <f>'[1]功能-战损相关'!P166</f>
        <v>0.125</v>
      </c>
      <c r="BV160" s="15">
        <f>'[1]功能-战损相关'!Q166</f>
        <v>0.125</v>
      </c>
    </row>
    <row r="161" spans="2:74" x14ac:dyDescent="0.15">
      <c r="B161" s="7">
        <v>157</v>
      </c>
      <c r="C161" s="7">
        <f>[1]服务器生态!W178</f>
        <v>138.01223834437499</v>
      </c>
      <c r="D161" s="7">
        <f>[1]服务器生态!X178</f>
        <v>136.08133077510979</v>
      </c>
      <c r="E161" s="7">
        <f>[1]服务器生态!Y178</f>
        <v>11.1083585905152</v>
      </c>
      <c r="F161" s="7">
        <f>[1]服务器生态!Z178</f>
        <v>1.9762554900000007</v>
      </c>
      <c r="G161" s="7">
        <f>[1]服务器生态!AA178</f>
        <v>0.5718167999999999</v>
      </c>
      <c r="H161" s="7">
        <f>[1]服务器生态!AC178</f>
        <v>0.47962550249999997</v>
      </c>
      <c r="I161" s="7">
        <f>[1]服务器生态!AD178</f>
        <v>0.47291513735919999</v>
      </c>
      <c r="J161" s="7">
        <f>[1]服务器生态!AE178</f>
        <v>3.8604200140800002E-2</v>
      </c>
      <c r="K161" s="7">
        <f>[1]服务器生态!AF178</f>
        <v>6.8679600000000019E-3</v>
      </c>
      <c r="L161" s="7">
        <f>[1]服务器生态!AG178</f>
        <v>1.9871999999999997E-3</v>
      </c>
      <c r="M161" s="7">
        <f>[5]基础信息!M160</f>
        <v>100</v>
      </c>
      <c r="Q161" s="7">
        <v>157</v>
      </c>
      <c r="R161" s="7">
        <f>[6]带兵数!D160</f>
        <v>11890</v>
      </c>
      <c r="S161" s="7">
        <f>[6]带兵数!E160</f>
        <v>11890</v>
      </c>
      <c r="T161" s="7">
        <f>[6]带兵数!F160</f>
        <v>11890</v>
      </c>
      <c r="U161" s="7">
        <f>[6]带兵数!G160</f>
        <v>11890</v>
      </c>
      <c r="V161" s="7">
        <f>[6]带兵数!H160</f>
        <v>11890</v>
      </c>
      <c r="X161" s="7">
        <v>157</v>
      </c>
      <c r="Y161" s="7">
        <f>求节点(节奏总纲!D$4:D$163,R$5:R$164,$X161)*6</f>
        <v>38744.805088851361</v>
      </c>
      <c r="Z161" s="7">
        <f>求节点(节奏总纲!E$4:E$163,S$5:S$164,$X161)*6</f>
        <v>39887.938097068953</v>
      </c>
      <c r="AA161" s="7">
        <f>求节点(节奏总纲!F$4:F$163,T$5:T$164,$X161)*6</f>
        <v>41396.689997252426</v>
      </c>
      <c r="AB161" s="7">
        <f>求节点(节奏总纲!G$4:G$163,U$5:U$164,$X161)*6</f>
        <v>43595.450963241572</v>
      </c>
      <c r="AC161" s="7">
        <f>求节点(节奏总纲!H$4:H$163,V$5:V$164,$X161)*6</f>
        <v>47545.148016123814</v>
      </c>
      <c r="AG161" s="7">
        <v>157</v>
      </c>
      <c r="AH161" s="7">
        <v>1</v>
      </c>
      <c r="AI161" s="7">
        <f>[6]实力验证!$Z163</f>
        <v>1.6425058324185218</v>
      </c>
      <c r="AJ161" s="7">
        <f>[6]实力验证!$AE163</f>
        <v>2.8803724333688412</v>
      </c>
      <c r="AK161" s="7">
        <f>[6]实力验证!$AJ163</f>
        <v>8.1087076385437076</v>
      </c>
      <c r="AL161" s="7">
        <f>[6]实力验证!$AO163</f>
        <v>23.765404167998494</v>
      </c>
      <c r="AM161" s="7">
        <f t="shared" si="10"/>
        <v>96.796845807867896</v>
      </c>
      <c r="AR161" s="14">
        <v>157</v>
      </c>
      <c r="AS161" s="14">
        <f>[6]攻城值!AC161</f>
        <v>829.71899999999994</v>
      </c>
      <c r="AT161" s="14">
        <f>[6]攻城值!AD161</f>
        <v>831.72870000000012</v>
      </c>
      <c r="AU161" s="14">
        <f>[6]攻城值!AE161</f>
        <v>835.74810000000014</v>
      </c>
      <c r="AV161" s="14">
        <f>[6]攻城值!AF161</f>
        <v>841.77720000000011</v>
      </c>
      <c r="AW161" s="14">
        <f>[6]攻城值!AG161</f>
        <v>849.81600000000003</v>
      </c>
      <c r="AY161" s="14">
        <v>157</v>
      </c>
      <c r="AZ161" s="14">
        <f>[6]攻城值!AJ161</f>
        <v>6734.5473458885463</v>
      </c>
      <c r="BA161" s="14">
        <f>[6]攻城值!AK161</f>
        <v>6778.9800000000014</v>
      </c>
      <c r="BB161" s="14">
        <f>[6]攻城值!AL161</f>
        <v>6811.7400000000007</v>
      </c>
      <c r="BC161" s="14">
        <f>[6]攻城值!AM161</f>
        <v>6860.880000000001</v>
      </c>
      <c r="BD161" s="14">
        <f>[6]攻城值!AN161</f>
        <v>6926.4000000000005</v>
      </c>
      <c r="BF161" s="14">
        <v>157</v>
      </c>
      <c r="BG161" s="14">
        <f t="shared" si="7"/>
        <v>0.15064808849528574</v>
      </c>
      <c r="BH161" s="14">
        <f t="shared" si="8"/>
        <v>0.84935191150471423</v>
      </c>
      <c r="BL161" s="14">
        <v>157</v>
      </c>
      <c r="BM161" s="15">
        <f t="shared" si="12"/>
        <v>1</v>
      </c>
      <c r="BN161" s="15">
        <f t="shared" si="12"/>
        <v>1</v>
      </c>
      <c r="BO161" s="15">
        <f t="shared" si="12"/>
        <v>1</v>
      </c>
      <c r="BP161" s="15">
        <f t="shared" si="12"/>
        <v>1</v>
      </c>
      <c r="BQ161" s="15">
        <f t="shared" si="12"/>
        <v>1</v>
      </c>
      <c r="BR161" s="15">
        <f>'[1]功能-战损相关'!M167</f>
        <v>0.125</v>
      </c>
      <c r="BS161" s="15">
        <f>'[1]功能-战损相关'!N167</f>
        <v>0.125</v>
      </c>
      <c r="BT161" s="15">
        <f>'[1]功能-战损相关'!O167</f>
        <v>0.125</v>
      </c>
      <c r="BU161" s="15">
        <f>'[1]功能-战损相关'!P167</f>
        <v>0.125</v>
      </c>
      <c r="BV161" s="15">
        <f>'[1]功能-战损相关'!Q167</f>
        <v>0.125</v>
      </c>
    </row>
    <row r="162" spans="2:74" x14ac:dyDescent="0.15">
      <c r="B162" s="7">
        <v>158</v>
      </c>
      <c r="C162" s="7">
        <f>[1]服务器生态!W179</f>
        <v>137.17289371499996</v>
      </c>
      <c r="D162" s="7">
        <f>[1]服务器生态!X179</f>
        <v>135.25372928473118</v>
      </c>
      <c r="E162" s="7">
        <f>[1]服务器生态!Y179</f>
        <v>11.040801240268799</v>
      </c>
      <c r="F162" s="7">
        <f>[1]服务器生态!Z179</f>
        <v>1.9642365600000002</v>
      </c>
      <c r="G162" s="7">
        <f>[1]服务器生态!AA179</f>
        <v>0.56833919999999982</v>
      </c>
      <c r="H162" s="7">
        <f>[1]服务器生态!AC179</f>
        <v>0.47962550249999997</v>
      </c>
      <c r="I162" s="7">
        <f>[1]服务器生态!AD179</f>
        <v>0.47291513735919999</v>
      </c>
      <c r="J162" s="7">
        <f>[1]服务器生态!AE179</f>
        <v>3.8604200140800002E-2</v>
      </c>
      <c r="K162" s="7">
        <f>[1]服务器生态!AF179</f>
        <v>6.8679600000000019E-3</v>
      </c>
      <c r="L162" s="7">
        <f>[1]服务器生态!AG179</f>
        <v>1.9871999999999997E-3</v>
      </c>
      <c r="M162" s="7">
        <f>[5]基础信息!M161</f>
        <v>100</v>
      </c>
      <c r="Q162" s="7">
        <v>158</v>
      </c>
      <c r="R162" s="7">
        <f>[6]带兵数!D161</f>
        <v>11890</v>
      </c>
      <c r="S162" s="7">
        <f>[6]带兵数!E161</f>
        <v>11890</v>
      </c>
      <c r="T162" s="7">
        <f>[6]带兵数!F161</f>
        <v>11890</v>
      </c>
      <c r="U162" s="7">
        <f>[6]带兵数!G161</f>
        <v>11890</v>
      </c>
      <c r="V162" s="7">
        <f>[6]带兵数!H161</f>
        <v>11890</v>
      </c>
      <c r="X162" s="7">
        <v>158</v>
      </c>
      <c r="Y162" s="7">
        <f>求节点(节奏总纲!D$4:D$163,R$5:R$164,$X162)*6</f>
        <v>38779.550402489273</v>
      </c>
      <c r="Z162" s="7">
        <f>求节点(节奏总纲!E$4:E$163,S$5:S$164,$X162)*6</f>
        <v>39924.66622073669</v>
      </c>
      <c r="AA162" s="7">
        <f>求节点(节奏总纲!F$4:F$163,T$5:T$164,$X162)*6</f>
        <v>41433.135023633178</v>
      </c>
      <c r="AB162" s="7">
        <f>求节点(节奏总纲!G$4:G$163,U$5:U$164,$X162)*6</f>
        <v>43631.649638499744</v>
      </c>
      <c r="AC162" s="7">
        <f>求节点(节奏总纲!H$4:H$163,V$5:V$164,$X162)*6</f>
        <v>47583.489786915394</v>
      </c>
      <c r="AG162" s="7">
        <v>158</v>
      </c>
      <c r="AH162" s="7">
        <v>1</v>
      </c>
      <c r="AI162" s="7">
        <f>[6]实力验证!$Z164</f>
        <v>1.6426040830345019</v>
      </c>
      <c r="AJ162" s="7">
        <f>[6]实力验证!$AE164</f>
        <v>2.8784740621093015</v>
      </c>
      <c r="AK162" s="7">
        <f>[6]实力验证!$AJ164</f>
        <v>8.1176306650449792</v>
      </c>
      <c r="AL162" s="7">
        <f>[6]实力验证!$AO164</f>
        <v>23.675005680256216</v>
      </c>
      <c r="AM162" s="7">
        <f t="shared" si="10"/>
        <v>96.762770964202574</v>
      </c>
      <c r="AR162" s="14">
        <v>158</v>
      </c>
      <c r="AS162" s="14">
        <f>[6]攻城值!AC162</f>
        <v>829.71899999999994</v>
      </c>
      <c r="AT162" s="14">
        <f>[6]攻城值!AD162</f>
        <v>831.72870000000012</v>
      </c>
      <c r="AU162" s="14">
        <f>[6]攻城值!AE162</f>
        <v>835.74810000000014</v>
      </c>
      <c r="AV162" s="14">
        <f>[6]攻城值!AF162</f>
        <v>841.77720000000011</v>
      </c>
      <c r="AW162" s="14">
        <f>[6]攻城值!AG162</f>
        <v>849.81600000000003</v>
      </c>
      <c r="AY162" s="14">
        <v>158</v>
      </c>
      <c r="AZ162" s="14">
        <f>[6]攻城值!AJ162</f>
        <v>6762.6</v>
      </c>
      <c r="BA162" s="14">
        <f>[6]攻城值!AK162</f>
        <v>6778.9800000000014</v>
      </c>
      <c r="BB162" s="14">
        <f>[6]攻城值!AL162</f>
        <v>6811.7400000000007</v>
      </c>
      <c r="BC162" s="14">
        <f>[6]攻城值!AM162</f>
        <v>6860.880000000001</v>
      </c>
      <c r="BD162" s="14">
        <f>[6]攻城值!AN162</f>
        <v>6926.4000000000005</v>
      </c>
      <c r="BF162" s="14">
        <v>158</v>
      </c>
      <c r="BG162" s="14">
        <f t="shared" si="7"/>
        <v>0.15064808849528574</v>
      </c>
      <c r="BH162" s="14">
        <f t="shared" si="8"/>
        <v>0.84935191150471423</v>
      </c>
      <c r="BL162" s="14">
        <v>158</v>
      </c>
      <c r="BM162" s="15">
        <f t="shared" si="12"/>
        <v>1</v>
      </c>
      <c r="BN162" s="15">
        <f t="shared" si="12"/>
        <v>1</v>
      </c>
      <c r="BO162" s="15">
        <f t="shared" si="12"/>
        <v>1</v>
      </c>
      <c r="BP162" s="15">
        <f t="shared" si="12"/>
        <v>1</v>
      </c>
      <c r="BQ162" s="15">
        <f t="shared" si="12"/>
        <v>1</v>
      </c>
      <c r="BR162" s="15">
        <f>'[1]功能-战损相关'!M168</f>
        <v>0.125</v>
      </c>
      <c r="BS162" s="15">
        <f>'[1]功能-战损相关'!N168</f>
        <v>0.125</v>
      </c>
      <c r="BT162" s="15">
        <f>'[1]功能-战损相关'!O168</f>
        <v>0.125</v>
      </c>
      <c r="BU162" s="15">
        <f>'[1]功能-战损相关'!P168</f>
        <v>0.125</v>
      </c>
      <c r="BV162" s="15">
        <f>'[1]功能-战损相关'!Q168</f>
        <v>0.125</v>
      </c>
    </row>
    <row r="163" spans="2:74" x14ac:dyDescent="0.15">
      <c r="B163" s="7">
        <v>159</v>
      </c>
      <c r="C163" s="7">
        <f>[1]服务器生态!W180</f>
        <v>136.33354908562498</v>
      </c>
      <c r="D163" s="7">
        <f>[1]服务器生态!X180</f>
        <v>134.4261277943526</v>
      </c>
      <c r="E163" s="7">
        <f>[1]服务器生态!Y180</f>
        <v>10.973243890022401</v>
      </c>
      <c r="F163" s="7">
        <f>[1]服务器生态!Z180</f>
        <v>1.9522176300000005</v>
      </c>
      <c r="G163" s="7">
        <f>[1]服务器生态!AA180</f>
        <v>0.56486159999999996</v>
      </c>
      <c r="H163" s="7">
        <f>[1]服务器生态!AC180</f>
        <v>0.47962550249999997</v>
      </c>
      <c r="I163" s="7">
        <f>[1]服务器生态!AD180</f>
        <v>0.47291513735919999</v>
      </c>
      <c r="J163" s="7">
        <f>[1]服务器生态!AE180</f>
        <v>3.8604200140800002E-2</v>
      </c>
      <c r="K163" s="7">
        <f>[1]服务器生态!AF180</f>
        <v>6.8679600000000019E-3</v>
      </c>
      <c r="L163" s="7">
        <f>[1]服务器生态!AG180</f>
        <v>1.9871999999999997E-3</v>
      </c>
      <c r="M163" s="7">
        <f>[5]基础信息!M162</f>
        <v>100</v>
      </c>
      <c r="Q163" s="7">
        <v>159</v>
      </c>
      <c r="R163" s="7">
        <f>[6]带兵数!D162</f>
        <v>11890</v>
      </c>
      <c r="S163" s="7">
        <f>[6]带兵数!E162</f>
        <v>11890</v>
      </c>
      <c r="T163" s="7">
        <f>[6]带兵数!F162</f>
        <v>11890</v>
      </c>
      <c r="U163" s="7">
        <f>[6]带兵数!G162</f>
        <v>11890</v>
      </c>
      <c r="V163" s="7">
        <f>[6]带兵数!H162</f>
        <v>11890</v>
      </c>
      <c r="X163" s="7">
        <v>159</v>
      </c>
      <c r="Y163" s="7">
        <f>求节点(节奏总纲!D$4:D$163,R$5:R$164,$X163)*6</f>
        <v>38814.295716127192</v>
      </c>
      <c r="Z163" s="7">
        <f>求节点(节奏总纲!E$4:E$163,S$5:S$164,$X163)*6</f>
        <v>39961.394344404434</v>
      </c>
      <c r="AA163" s="7">
        <f>求节点(节奏总纲!F$4:F$163,T$5:T$164,$X163)*6</f>
        <v>41469.39056102623</v>
      </c>
      <c r="AB163" s="7">
        <f>求节点(节奏总纲!G$4:G$163,U$5:U$164,$X163)*6</f>
        <v>43667.84831375791</v>
      </c>
      <c r="AC163" s="7">
        <f>求节点(节奏总纲!H$4:H$163,V$5:V$164,$X163)*6</f>
        <v>47618.75878491324</v>
      </c>
      <c r="AG163" s="7">
        <v>159</v>
      </c>
      <c r="AH163" s="7">
        <v>1</v>
      </c>
      <c r="AI163" s="7">
        <f>[6]实力验证!$Z165</f>
        <v>1.6427003200809511</v>
      </c>
      <c r="AJ163" s="7">
        <f>[6]实力验证!$AE165</f>
        <v>2.8766652984188696</v>
      </c>
      <c r="AK163" s="7">
        <f>[6]实力验证!$AJ165</f>
        <v>8.1263708210969607</v>
      </c>
      <c r="AL163" s="7">
        <f>[6]实力验证!$AO165</f>
        <v>23.582688278654739</v>
      </c>
      <c r="AM163" s="7">
        <f t="shared" si="10"/>
        <v>96.728247804311962</v>
      </c>
      <c r="AR163" s="14">
        <v>159</v>
      </c>
      <c r="AS163" s="14">
        <f>[6]攻城值!AC163</f>
        <v>829.71899999999994</v>
      </c>
      <c r="AT163" s="14">
        <f>[6]攻城值!AD163</f>
        <v>831.72870000000012</v>
      </c>
      <c r="AU163" s="14">
        <f>[6]攻城值!AE163</f>
        <v>835.74810000000014</v>
      </c>
      <c r="AV163" s="14">
        <f>[6]攻城值!AF163</f>
        <v>841.77720000000011</v>
      </c>
      <c r="AW163" s="14">
        <f>[6]攻城值!AG163</f>
        <v>849.81600000000003</v>
      </c>
      <c r="AY163" s="14">
        <v>159</v>
      </c>
      <c r="AZ163" s="14">
        <f>[6]攻城值!AJ163</f>
        <v>6762.6</v>
      </c>
      <c r="BA163" s="14">
        <f>[6]攻城值!AK163</f>
        <v>6778.9800000000014</v>
      </c>
      <c r="BB163" s="14">
        <f>[6]攻城值!AL163</f>
        <v>6811.7400000000007</v>
      </c>
      <c r="BC163" s="14">
        <f>[6]攻城值!AM163</f>
        <v>6860.880000000001</v>
      </c>
      <c r="BD163" s="14">
        <f>[6]攻城值!AN163</f>
        <v>6926.4000000000005</v>
      </c>
      <c r="BF163" s="14">
        <v>159</v>
      </c>
      <c r="BG163" s="14">
        <f t="shared" si="7"/>
        <v>0.15064808849528574</v>
      </c>
      <c r="BH163" s="14">
        <f t="shared" si="8"/>
        <v>0.84935191150471423</v>
      </c>
      <c r="BL163" s="14">
        <v>159</v>
      </c>
      <c r="BM163" s="15">
        <f t="shared" si="12"/>
        <v>1</v>
      </c>
      <c r="BN163" s="15">
        <f t="shared" si="12"/>
        <v>1</v>
      </c>
      <c r="BO163" s="15">
        <f t="shared" si="12"/>
        <v>1</v>
      </c>
      <c r="BP163" s="15">
        <f t="shared" si="12"/>
        <v>1</v>
      </c>
      <c r="BQ163" s="15">
        <f t="shared" si="12"/>
        <v>1</v>
      </c>
      <c r="BR163" s="15">
        <f>'[1]功能-战损相关'!M169</f>
        <v>0.125</v>
      </c>
      <c r="BS163" s="15">
        <f>'[1]功能-战损相关'!N169</f>
        <v>0.125</v>
      </c>
      <c r="BT163" s="15">
        <f>'[1]功能-战损相关'!O169</f>
        <v>0.125</v>
      </c>
      <c r="BU163" s="15">
        <f>'[1]功能-战损相关'!P169</f>
        <v>0.125</v>
      </c>
      <c r="BV163" s="15">
        <f>'[1]功能-战损相关'!Q169</f>
        <v>0.125</v>
      </c>
    </row>
    <row r="164" spans="2:74" x14ac:dyDescent="0.15">
      <c r="B164" s="7">
        <v>160</v>
      </c>
      <c r="C164" s="7">
        <f>[1]服务器生态!W181</f>
        <v>135.49420445625</v>
      </c>
      <c r="D164" s="7">
        <f>[1]服务器生态!X181</f>
        <v>133.59852630397398</v>
      </c>
      <c r="E164" s="7">
        <f>[1]服务器生态!Y181</f>
        <v>10.905686539776001</v>
      </c>
      <c r="F164" s="7">
        <f>[1]服务器生态!Z181</f>
        <v>1.9401987000000005</v>
      </c>
      <c r="G164" s="7">
        <f>[1]服务器生态!AA181</f>
        <v>0.56138399999999988</v>
      </c>
      <c r="H164" s="7">
        <f>[1]服务器生态!AC181</f>
        <v>0.47962550249999997</v>
      </c>
      <c r="I164" s="7">
        <f>[1]服务器生态!AD181</f>
        <v>0.47291513735919999</v>
      </c>
      <c r="J164" s="7">
        <f>[1]服务器生态!AE181</f>
        <v>3.8604200140800002E-2</v>
      </c>
      <c r="K164" s="7">
        <f>[1]服务器生态!AF181</f>
        <v>6.8679600000000019E-3</v>
      </c>
      <c r="L164" s="7">
        <f>[1]服务器生态!AG181</f>
        <v>1.9871999999999997E-3</v>
      </c>
      <c r="M164" s="7">
        <f>[5]基础信息!M163</f>
        <v>100</v>
      </c>
      <c r="Q164" s="7">
        <v>160</v>
      </c>
      <c r="R164" s="7">
        <f>[6]带兵数!D163</f>
        <v>11890</v>
      </c>
      <c r="S164" s="7">
        <f>[6]带兵数!E163</f>
        <v>11890</v>
      </c>
      <c r="T164" s="7">
        <f>[6]带兵数!F163</f>
        <v>11890</v>
      </c>
      <c r="U164" s="7">
        <f>[6]带兵数!G163</f>
        <v>11890</v>
      </c>
      <c r="V164" s="7">
        <f>[6]带兵数!H163</f>
        <v>11890</v>
      </c>
      <c r="X164" s="7">
        <v>160</v>
      </c>
      <c r="Y164" s="7">
        <f>求节点(节奏总纲!D$4:D$163,R$5:R$164,$X164)*6</f>
        <v>38849.041029765096</v>
      </c>
      <c r="Z164" s="7">
        <f>求节点(节奏总纲!E$4:E$163,S$5:S$164,$X164)*6</f>
        <v>39998.122468072179</v>
      </c>
      <c r="AA164" s="7">
        <f>求节点(节奏总纲!F$4:F$163,T$5:T$164,$X164)*6</f>
        <v>41505.646098419289</v>
      </c>
      <c r="AB164" s="7">
        <f>求节点(节奏总纲!G$4:G$163,U$5:U$164,$X164)*6</f>
        <v>43704.046989016082</v>
      </c>
      <c r="AC164" s="7">
        <f>求节点(节奏总纲!H$4:H$163,V$5:V$164,$X164)*6</f>
        <v>47654.027782911086</v>
      </c>
      <c r="AG164" s="7">
        <v>160</v>
      </c>
      <c r="AH164" s="7">
        <v>1</v>
      </c>
      <c r="AI164" s="7">
        <f>[6]实力验证!$Z166</f>
        <v>1.6427946048298079</v>
      </c>
      <c r="AJ164" s="7">
        <f>[6]实力验证!$AE166</f>
        <v>2.8748932279264103</v>
      </c>
      <c r="AK164" s="7">
        <f>[6]实力验证!$AJ166</f>
        <v>8.1349336713582385</v>
      </c>
      <c r="AL164" s="7">
        <f>[6]实力验证!$AO166</f>
        <v>23.492243659391384</v>
      </c>
      <c r="AM164" s="7">
        <f t="shared" si="10"/>
        <v>96.694424993033593</v>
      </c>
      <c r="AR164" s="14">
        <v>160</v>
      </c>
      <c r="AS164" s="14">
        <f>[6]攻城值!AC164</f>
        <v>829.71899999999994</v>
      </c>
      <c r="AT164" s="14">
        <f>[6]攻城值!AD164</f>
        <v>831.72870000000012</v>
      </c>
      <c r="AU164" s="14">
        <f>[6]攻城值!AE164</f>
        <v>835.74810000000014</v>
      </c>
      <c r="AV164" s="14">
        <f>[6]攻城值!AF164</f>
        <v>841.77720000000011</v>
      </c>
      <c r="AW164" s="14">
        <f>[6]攻城值!AG164</f>
        <v>849.81600000000003</v>
      </c>
      <c r="AY164" s="14">
        <v>160</v>
      </c>
      <c r="AZ164" s="14">
        <f>[6]攻城值!AJ164</f>
        <v>6762.6</v>
      </c>
      <c r="BA164" s="14">
        <f>[6]攻城值!AK164</f>
        <v>6778.9800000000014</v>
      </c>
      <c r="BB164" s="14">
        <f>[6]攻城值!AL164</f>
        <v>6811.7400000000007</v>
      </c>
      <c r="BC164" s="14">
        <f>[6]攻城值!AM164</f>
        <v>6860.880000000001</v>
      </c>
      <c r="BD164" s="14">
        <f>[6]攻城值!AN164</f>
        <v>6926.4000000000005</v>
      </c>
      <c r="BF164" s="14">
        <v>160</v>
      </c>
      <c r="BG164" s="14">
        <f t="shared" si="7"/>
        <v>0.15064808849528574</v>
      </c>
      <c r="BH164" s="14">
        <f t="shared" si="8"/>
        <v>0.84935191150471423</v>
      </c>
      <c r="BL164" s="14">
        <v>160</v>
      </c>
      <c r="BM164" s="15">
        <f t="shared" si="12"/>
        <v>1</v>
      </c>
      <c r="BN164" s="15">
        <f t="shared" si="12"/>
        <v>1</v>
      </c>
      <c r="BO164" s="15">
        <f t="shared" si="12"/>
        <v>1</v>
      </c>
      <c r="BP164" s="15">
        <f t="shared" si="12"/>
        <v>1</v>
      </c>
      <c r="BQ164" s="15">
        <f t="shared" si="12"/>
        <v>1</v>
      </c>
      <c r="BR164" s="15">
        <f>'[1]功能-战损相关'!M170</f>
        <v>0.125</v>
      </c>
      <c r="BS164" s="15">
        <f>'[1]功能-战损相关'!N170</f>
        <v>0.125</v>
      </c>
      <c r="BT164" s="15">
        <f>'[1]功能-战损相关'!O170</f>
        <v>0.125</v>
      </c>
      <c r="BU164" s="15">
        <f>'[1]功能-战损相关'!P170</f>
        <v>0.125</v>
      </c>
      <c r="BV164" s="15">
        <f>'[1]功能-战损相关'!Q170</f>
        <v>0.125</v>
      </c>
    </row>
    <row r="165" spans="2:74" x14ac:dyDescent="0.15">
      <c r="B165" s="7">
        <v>161</v>
      </c>
      <c r="C165" s="7">
        <f>[1]服务器生态!W182</f>
        <v>134.654859826875</v>
      </c>
      <c r="D165" s="7">
        <f>[1]服务器生态!X182</f>
        <v>132.7709248135954</v>
      </c>
      <c r="E165" s="7">
        <f>[1]服务器生态!Y182</f>
        <v>10.838129189529601</v>
      </c>
      <c r="F165" s="7">
        <f>[1]服务器生态!Z182</f>
        <v>1.9281797700000005</v>
      </c>
      <c r="G165" s="7">
        <f>[1]服务器生态!AA182</f>
        <v>0.55790639999999991</v>
      </c>
      <c r="H165" s="7">
        <f>[1]服务器生态!AC182</f>
        <v>0.47962550249999997</v>
      </c>
      <c r="I165" s="7">
        <f>[1]服务器生态!AD182</f>
        <v>0.47291513735919999</v>
      </c>
      <c r="J165" s="7">
        <f>[1]服务器生态!AE182</f>
        <v>3.8604200140800002E-2</v>
      </c>
      <c r="K165" s="7">
        <f>[1]服务器生态!AF182</f>
        <v>6.8679600000000019E-3</v>
      </c>
      <c r="L165" s="7">
        <f>[1]服务器生态!AG182</f>
        <v>1.9871999999999997E-3</v>
      </c>
      <c r="M165" s="7">
        <f>[5]基础信息!M164</f>
        <v>100</v>
      </c>
      <c r="X165" s="7">
        <v>161</v>
      </c>
      <c r="Y165" s="7">
        <f>求节点(节奏总纲!D$4:D$163,R$5:R$164,$X165)*6</f>
        <v>38883.786343403015</v>
      </c>
      <c r="Z165" s="7">
        <f>求节点(节奏总纲!E$4:E$163,S$5:S$164,$X165)*6</f>
        <v>40034.850591739916</v>
      </c>
      <c r="AA165" s="7">
        <f>求节点(节奏总纲!F$4:F$163,T$5:T$164,$X165)*6</f>
        <v>41541.901635812348</v>
      </c>
      <c r="AB165" s="7">
        <f>求节点(节奏总纲!G$4:G$163,U$5:U$164,$X165)*6</f>
        <v>43740.245664274255</v>
      </c>
      <c r="AC165" s="7">
        <f>求节点(节奏总纲!H$4:H$163,V$5:V$164,$X165)*6</f>
        <v>47689.296780908931</v>
      </c>
      <c r="AG165" s="7">
        <v>161</v>
      </c>
      <c r="AH165" s="7">
        <v>1</v>
      </c>
      <c r="AI165" s="7">
        <f>[6]实力验证!$Z167</f>
        <v>1.6428869960920072</v>
      </c>
      <c r="AJ165" s="7">
        <f>[6]实力验证!$AE167</f>
        <v>2.8731567452875031</v>
      </c>
      <c r="AK165" s="7">
        <f>[6]实力验证!$AJ167</f>
        <v>8.143324556981332</v>
      </c>
      <c r="AL165" s="7">
        <f>[6]实力验证!$AO167</f>
        <v>23.403615406846235</v>
      </c>
      <c r="AM165" s="7">
        <f t="shared" si="10"/>
        <v>96.661281433094075</v>
      </c>
    </row>
    <row r="166" spans="2:74" x14ac:dyDescent="0.15">
      <c r="B166" s="7">
        <v>162</v>
      </c>
      <c r="C166" s="7">
        <f>[1]服务器生态!W183</f>
        <v>133.81551519749999</v>
      </c>
      <c r="D166" s="7">
        <f>[1]服务器生态!X183</f>
        <v>131.94332332321679</v>
      </c>
      <c r="E166" s="7">
        <f>[1]服务器生态!Y183</f>
        <v>10.7705718392832</v>
      </c>
      <c r="F166" s="7">
        <f>[1]服务器生态!Z183</f>
        <v>1.9161608400000005</v>
      </c>
      <c r="G166" s="7">
        <f>[1]服务器生态!AA183</f>
        <v>0.55442879999999994</v>
      </c>
      <c r="H166" s="7">
        <f>[1]服务器生态!AC183</f>
        <v>0.47962550249999997</v>
      </c>
      <c r="I166" s="7">
        <f>[1]服务器生态!AD183</f>
        <v>0.47291513735919999</v>
      </c>
      <c r="J166" s="7">
        <f>[1]服务器生态!AE183</f>
        <v>3.8604200140800002E-2</v>
      </c>
      <c r="K166" s="7">
        <f>[1]服务器生态!AF183</f>
        <v>6.8679600000000019E-3</v>
      </c>
      <c r="L166" s="7">
        <f>[1]服务器生态!AG183</f>
        <v>1.9871999999999997E-3</v>
      </c>
      <c r="M166" s="7">
        <f>[5]基础信息!M165</f>
        <v>100</v>
      </c>
      <c r="X166" s="7">
        <v>162</v>
      </c>
      <c r="Y166" s="7">
        <f>求节点(节奏总纲!D$4:D$163,R$5:R$164,$X166)*6</f>
        <v>38918.53165704092</v>
      </c>
      <c r="Z166" s="7">
        <f>求节点(节奏总纲!E$4:E$163,S$5:S$164,$X166)*6</f>
        <v>40071.578715407653</v>
      </c>
      <c r="AA166" s="7">
        <f>求节点(节奏总纲!F$4:F$163,T$5:T$164,$X166)*6</f>
        <v>41578.157173205407</v>
      </c>
      <c r="AB166" s="7">
        <f>求节点(节奏总纲!G$4:G$163,U$5:U$164,$X166)*6</f>
        <v>43776.138934736366</v>
      </c>
      <c r="AC166" s="7">
        <f>求节点(节奏总纲!H$4:H$163,V$5:V$164,$X166)*6</f>
        <v>47724.565778906777</v>
      </c>
      <c r="AG166" s="7">
        <v>162</v>
      </c>
      <c r="AH166" s="7">
        <v>1</v>
      </c>
      <c r="AI166" s="7">
        <f>[6]实力验证!$Z168</f>
        <v>1.6429775503398085</v>
      </c>
      <c r="AJ166" s="7">
        <f>[6]实力验证!$AE168</f>
        <v>2.8714547891128257</v>
      </c>
      <c r="AK166" s="7">
        <f>[6]实力验证!$AJ168</f>
        <v>8.1524509883309655</v>
      </c>
      <c r="AL166" s="7">
        <f>[6]实力验证!$AO168</f>
        <v>23.316749348821606</v>
      </c>
      <c r="AM166" s="7">
        <f t="shared" si="10"/>
        <v>96.630036370331766</v>
      </c>
    </row>
    <row r="167" spans="2:74" x14ac:dyDescent="0.15">
      <c r="B167" s="7">
        <v>163</v>
      </c>
      <c r="C167" s="7">
        <f>[1]服务器生态!W184</f>
        <v>132.97617056812499</v>
      </c>
      <c r="D167" s="7">
        <f>[1]服务器生态!X184</f>
        <v>131.1157218328382</v>
      </c>
      <c r="E167" s="7">
        <f>[1]服务器生态!Y184</f>
        <v>10.7030144890368</v>
      </c>
      <c r="F167" s="7">
        <f>[1]服务器生态!Z184</f>
        <v>1.9041419100000005</v>
      </c>
      <c r="G167" s="7">
        <f>[1]服务器生态!AA184</f>
        <v>0.55095119999999997</v>
      </c>
      <c r="H167" s="7">
        <f>[1]服务器生态!AC184</f>
        <v>0.47962550249999997</v>
      </c>
      <c r="I167" s="7">
        <f>[1]服务器生态!AD184</f>
        <v>0.47291513735919999</v>
      </c>
      <c r="J167" s="7">
        <f>[1]服务器生态!AE184</f>
        <v>3.8604200140800002E-2</v>
      </c>
      <c r="K167" s="7">
        <f>[1]服务器生态!AF184</f>
        <v>6.8679600000000019E-3</v>
      </c>
      <c r="L167" s="7">
        <f>[1]服务器生态!AG184</f>
        <v>1.9871999999999997E-3</v>
      </c>
      <c r="M167" s="7">
        <f>[5]基础信息!M166</f>
        <v>100</v>
      </c>
      <c r="X167" s="7">
        <v>163</v>
      </c>
      <c r="Y167" s="7">
        <f>求节点(节奏总纲!D$4:D$163,R$5:R$164,$X167)*6</f>
        <v>38953.276970678839</v>
      </c>
      <c r="Z167" s="7">
        <f>求节点(节奏总纲!E$4:E$163,S$5:S$164,$X167)*6</f>
        <v>40108.306839075398</v>
      </c>
      <c r="AA167" s="7">
        <f>求节点(节奏总纲!F$4:F$163,T$5:T$164,$X167)*6</f>
        <v>41614.412710598466</v>
      </c>
      <c r="AB167" s="7">
        <f>求节点(节奏总纲!G$4:G$163,U$5:U$164,$X167)*6</f>
        <v>43811.611909923486</v>
      </c>
      <c r="AC167" s="7">
        <f>求节点(节奏总纲!H$4:H$163,V$5:V$164,$X167)*6</f>
        <v>47759.83477690463</v>
      </c>
      <c r="AG167" s="7">
        <v>163</v>
      </c>
      <c r="AH167" s="7">
        <v>1</v>
      </c>
      <c r="AI167" s="7">
        <f>[6]实力验证!$Z169</f>
        <v>1.6430663218219024</v>
      </c>
      <c r="AJ167" s="7">
        <f>[6]实力验证!$AE169</f>
        <v>2.8697863398047674</v>
      </c>
      <c r="AK167" s="7">
        <f>[6]实力验证!$AJ169</f>
        <v>8.1626273701554855</v>
      </c>
      <c r="AL167" s="7">
        <f>[6]实力验证!$AO169</f>
        <v>23.231593446124911</v>
      </c>
      <c r="AM167" s="7">
        <f t="shared" si="10"/>
        <v>96.601095440503613</v>
      </c>
    </row>
    <row r="168" spans="2:74" x14ac:dyDescent="0.15">
      <c r="B168" s="7">
        <v>164</v>
      </c>
      <c r="C168" s="7">
        <f>[1]服务器生态!W185</f>
        <v>132.13682593874998</v>
      </c>
      <c r="D168" s="7">
        <f>[1]服务器生态!X185</f>
        <v>130.28812034245959</v>
      </c>
      <c r="E168" s="7">
        <f>[1]服务器生态!Y185</f>
        <v>10.6354571387904</v>
      </c>
      <c r="F168" s="7">
        <f>[1]服务器生态!Z185</f>
        <v>1.8921229800000006</v>
      </c>
      <c r="G168" s="7">
        <f>[1]服务器生态!AA185</f>
        <v>0.54747359999999989</v>
      </c>
      <c r="H168" s="7">
        <f>[1]服务器生态!AC185</f>
        <v>0.47962550249999997</v>
      </c>
      <c r="I168" s="7">
        <f>[1]服务器生态!AD185</f>
        <v>0.47291513735919999</v>
      </c>
      <c r="J168" s="7">
        <f>[1]服务器生态!AE185</f>
        <v>3.8604200140800002E-2</v>
      </c>
      <c r="K168" s="7">
        <f>[1]服务器生态!AF185</f>
        <v>6.8679600000000019E-3</v>
      </c>
      <c r="L168" s="7">
        <f>[1]服务器生态!AG185</f>
        <v>1.9871999999999997E-3</v>
      </c>
      <c r="M168" s="7">
        <f>[5]基础信息!M167</f>
        <v>100</v>
      </c>
      <c r="X168" s="7">
        <v>164</v>
      </c>
      <c r="Y168" s="7">
        <f>求节点(节奏总纲!D$4:D$163,R$5:R$164,$X168)*6</f>
        <v>38988.022284316743</v>
      </c>
      <c r="Z168" s="7">
        <f>求节点(节奏总纲!E$4:E$163,S$5:S$164,$X168)*6</f>
        <v>40145.034962743142</v>
      </c>
      <c r="AA168" s="7">
        <f>求节点(节奏总纲!F$4:F$163,T$5:T$164,$X168)*6</f>
        <v>41650.668247991525</v>
      </c>
      <c r="AB168" s="7">
        <f>求节点(节奏总纲!G$4:G$163,U$5:U$164,$X168)*6</f>
        <v>43847.084885110613</v>
      </c>
      <c r="AC168" s="7">
        <f>求节点(节奏总纲!H$4:H$163,V$5:V$164,$X168)*6</f>
        <v>47795.103774902476</v>
      </c>
      <c r="AG168" s="7">
        <v>164</v>
      </c>
      <c r="AH168" s="7">
        <v>1</v>
      </c>
      <c r="AI168" s="7">
        <f>[6]实力验证!$Z170</f>
        <v>1.6431533626717847</v>
      </c>
      <c r="AJ168" s="7">
        <f>[6]实力验证!$AE170</f>
        <v>2.8681504175205692</v>
      </c>
      <c r="AK168" s="7">
        <f>[6]实力验证!$AJ170</f>
        <v>8.1726053597286956</v>
      </c>
      <c r="AL168" s="7">
        <f>[6]实力验证!$AO170</f>
        <v>23.148097688609418</v>
      </c>
      <c r="AM168" s="7">
        <f t="shared" si="10"/>
        <v>96.572718724589862</v>
      </c>
    </row>
    <row r="169" spans="2:74" x14ac:dyDescent="0.15">
      <c r="B169" s="7">
        <v>165</v>
      </c>
      <c r="C169" s="7">
        <f>[1]服务器生态!W186</f>
        <v>131.29748130937497</v>
      </c>
      <c r="D169" s="7">
        <f>[1]服务器生态!X186</f>
        <v>129.46051885208098</v>
      </c>
      <c r="E169" s="7">
        <f>[1]服务器生态!Y186</f>
        <v>10.567899788543999</v>
      </c>
      <c r="F169" s="7">
        <f>[1]服务器生态!Z186</f>
        <v>1.8801040500000001</v>
      </c>
      <c r="G169" s="7">
        <f>[1]服务器生态!AA186</f>
        <v>0.54399599999999981</v>
      </c>
      <c r="H169" s="7">
        <f>[1]服务器生态!AC186</f>
        <v>0.47962550249999997</v>
      </c>
      <c r="I169" s="7">
        <f>[1]服务器生态!AD186</f>
        <v>0.47291513735919999</v>
      </c>
      <c r="J169" s="7">
        <f>[1]服务器生态!AE186</f>
        <v>3.8604200140800002E-2</v>
      </c>
      <c r="K169" s="7">
        <f>[1]服务器生态!AF186</f>
        <v>6.8679600000000019E-3</v>
      </c>
      <c r="L169" s="7">
        <f>[1]服务器生态!AG186</f>
        <v>1.9871999999999997E-3</v>
      </c>
      <c r="M169" s="7">
        <f>[5]基础信息!M168</f>
        <v>100</v>
      </c>
      <c r="X169" s="7">
        <v>165</v>
      </c>
      <c r="Y169" s="7">
        <f>求节点(节奏总纲!D$4:D$163,R$5:R$164,$X169)*6</f>
        <v>39022.767597954662</v>
      </c>
      <c r="Z169" s="7">
        <f>求节点(节奏总纲!E$4:E$163,S$5:S$164,$X169)*6</f>
        <v>40181.76308641088</v>
      </c>
      <c r="AA169" s="7">
        <f>求节点(节奏总纲!F$4:F$163,T$5:T$164,$X169)*6</f>
        <v>41686.923785384584</v>
      </c>
      <c r="AB169" s="7">
        <f>求节点(节奏总纲!G$4:G$163,U$5:U$164,$X169)*6</f>
        <v>43882.55786029774</v>
      </c>
      <c r="AC169" s="7">
        <f>求节点(节奏总纲!H$4:H$163,V$5:V$164,$X169)*6</f>
        <v>47830.372772900315</v>
      </c>
      <c r="AG169" s="7">
        <v>165</v>
      </c>
      <c r="AH169" s="7">
        <v>1</v>
      </c>
      <c r="AI169" s="7">
        <f>[6]实力验证!$Z171</f>
        <v>1.6432387230098513</v>
      </c>
      <c r="AJ169" s="7">
        <f>[6]实力验证!$AE171</f>
        <v>2.8665460802534382</v>
      </c>
      <c r="AK169" s="7">
        <f>[6]实力验证!$AJ171</f>
        <v>8.182390702637699</v>
      </c>
      <c r="AL169" s="7">
        <f>[6]实力验证!$AO171</f>
        <v>23.06621399723641</v>
      </c>
      <c r="AM169" s="7">
        <f t="shared" si="10"/>
        <v>96.544889882536069</v>
      </c>
    </row>
    <row r="170" spans="2:74" x14ac:dyDescent="0.15">
      <c r="B170" s="7">
        <v>166</v>
      </c>
      <c r="C170" s="7">
        <f>[1]服务器生态!W187</f>
        <v>130.45813668</v>
      </c>
      <c r="D170" s="7">
        <f>[1]服务器生态!X187</f>
        <v>128.6329173617024</v>
      </c>
      <c r="E170" s="7">
        <f>[1]服务器生态!Y187</f>
        <v>10.500342438297601</v>
      </c>
      <c r="F170" s="7">
        <f>[1]服务器生态!Z187</f>
        <v>1.8680851200000006</v>
      </c>
      <c r="G170" s="7">
        <f>[1]服务器生态!AA187</f>
        <v>0.54051839999999995</v>
      </c>
      <c r="H170" s="7">
        <f>[1]服务器生态!AC187</f>
        <v>0.47962550249999997</v>
      </c>
      <c r="I170" s="7">
        <f>[1]服务器生态!AD187</f>
        <v>0.47291513735919999</v>
      </c>
      <c r="J170" s="7">
        <f>[1]服务器生态!AE187</f>
        <v>3.8604200140800002E-2</v>
      </c>
      <c r="K170" s="7">
        <f>[1]服务器生态!AF187</f>
        <v>6.8679600000000019E-3</v>
      </c>
      <c r="L170" s="7">
        <f>[1]服务器生态!AG187</f>
        <v>1.9871999999999997E-3</v>
      </c>
      <c r="M170" s="7">
        <f>[5]基础信息!M169</f>
        <v>100</v>
      </c>
      <c r="X170" s="7">
        <v>166</v>
      </c>
      <c r="Y170" s="7">
        <f>求节点(节奏总纲!D$4:D$163,R$5:R$164,$X170)*6</f>
        <v>39057.512911592567</v>
      </c>
      <c r="Z170" s="7">
        <f>求节点(节奏总纲!E$4:E$163,S$5:S$164,$X170)*6</f>
        <v>40218.491210078617</v>
      </c>
      <c r="AA170" s="7">
        <f>求节点(节奏总纲!F$4:F$163,T$5:T$164,$X170)*6</f>
        <v>41723.179322777636</v>
      </c>
      <c r="AB170" s="7">
        <f>求节点(节奏总纲!G$4:G$163,U$5:U$164,$X170)*6</f>
        <v>43918.030835484868</v>
      </c>
      <c r="AC170" s="7">
        <f>求节点(节奏总纲!H$4:H$163,V$5:V$164,$X170)*6</f>
        <v>47865.641770898168</v>
      </c>
      <c r="AG170" s="7">
        <v>166</v>
      </c>
      <c r="AH170" s="7">
        <v>1</v>
      </c>
      <c r="AI170" s="7">
        <f>[6]实力验证!$Z172</f>
        <v>1.643322451039636</v>
      </c>
      <c r="AJ170" s="7">
        <f>[6]实力验证!$AE172</f>
        <v>2.8649724220237442</v>
      </c>
      <c r="AK170" s="7">
        <f>[6]实力验证!$AJ172</f>
        <v>8.1919889247289071</v>
      </c>
      <c r="AL170" s="7">
        <f>[6]实力验证!$AO172</f>
        <v>22.985896131755901</v>
      </c>
      <c r="AM170" s="7">
        <f t="shared" si="10"/>
        <v>96.517593199215199</v>
      </c>
    </row>
    <row r="171" spans="2:74" x14ac:dyDescent="0.15">
      <c r="B171" s="7">
        <v>167</v>
      </c>
      <c r="C171" s="7">
        <f>[1]服务器生态!W188</f>
        <v>129.61879205062496</v>
      </c>
      <c r="D171" s="7">
        <f>[1]服务器生态!X188</f>
        <v>127.80531587132377</v>
      </c>
      <c r="E171" s="7">
        <f>[1]服务器生态!Y188</f>
        <v>10.432785088051197</v>
      </c>
      <c r="F171" s="7">
        <f>[1]服务器生态!Z188</f>
        <v>1.8560661900000002</v>
      </c>
      <c r="G171" s="7">
        <f>[1]服务器生态!AA188</f>
        <v>0.53704079999999976</v>
      </c>
      <c r="H171" s="7">
        <f>[1]服务器生态!AC188</f>
        <v>0.47962550249999997</v>
      </c>
      <c r="I171" s="7">
        <f>[1]服务器生态!AD188</f>
        <v>0.47291513735919999</v>
      </c>
      <c r="J171" s="7">
        <f>[1]服务器生态!AE188</f>
        <v>3.8604200140800002E-2</v>
      </c>
      <c r="K171" s="7">
        <f>[1]服务器生态!AF188</f>
        <v>6.8679600000000019E-3</v>
      </c>
      <c r="L171" s="7">
        <f>[1]服务器生态!AG188</f>
        <v>1.9871999999999997E-3</v>
      </c>
      <c r="M171" s="7">
        <f>[5]基础信息!M170</f>
        <v>100</v>
      </c>
      <c r="X171" s="7">
        <v>167</v>
      </c>
      <c r="Y171" s="7">
        <f>求节点(节奏总纲!D$4:D$163,R$5:R$164,$X171)*6</f>
        <v>39092.258225230486</v>
      </c>
      <c r="Z171" s="7">
        <f>求节点(节奏总纲!E$4:E$163,S$5:S$164,$X171)*6</f>
        <v>40255.108938082441</v>
      </c>
      <c r="AA171" s="7">
        <f>求节点(节奏总纲!F$4:F$163,T$5:T$164,$X171)*6</f>
        <v>41759.434860170695</v>
      </c>
      <c r="AB171" s="7">
        <f>求节点(节奏总纲!G$4:G$163,U$5:U$164,$X171)*6</f>
        <v>43953.503810671988</v>
      </c>
      <c r="AC171" s="7">
        <f>求节点(节奏总纲!H$4:H$163,V$5:V$164,$X171)*6</f>
        <v>47900.910768896014</v>
      </c>
      <c r="AG171" s="7">
        <v>167</v>
      </c>
      <c r="AH171" s="7">
        <v>1</v>
      </c>
      <c r="AI171" s="7">
        <f>[6]实力验证!$Z173</f>
        <v>1.6434157862329688</v>
      </c>
      <c r="AJ171" s="7">
        <f>[6]实力验证!$AE173</f>
        <v>2.863428571173007</v>
      </c>
      <c r="AK171" s="7">
        <f>[6]实力验证!$AJ173</f>
        <v>8.2014053425135724</v>
      </c>
      <c r="AL171" s="7">
        <f>[6]实力验证!$AO173</f>
        <v>22.907099603633259</v>
      </c>
      <c r="AM171" s="7">
        <f t="shared" si="10"/>
        <v>96.49113115786102</v>
      </c>
    </row>
    <row r="172" spans="2:74" x14ac:dyDescent="0.15">
      <c r="B172" s="7">
        <v>168</v>
      </c>
      <c r="C172" s="7">
        <f>[1]服务器生态!W189</f>
        <v>128.77944742124998</v>
      </c>
      <c r="D172" s="7">
        <f>[1]服务器生态!X189</f>
        <v>126.9777143809452</v>
      </c>
      <c r="E172" s="7">
        <f>[1]服务器生态!Y189</f>
        <v>10.365227737804801</v>
      </c>
      <c r="F172" s="7">
        <f>[1]服务器生态!Z189</f>
        <v>1.8440472600000006</v>
      </c>
      <c r="G172" s="7">
        <f>[1]服务器生态!AA189</f>
        <v>0.5335631999999999</v>
      </c>
      <c r="H172" s="7">
        <f>[1]服务器生态!AC189</f>
        <v>0.47962550249999997</v>
      </c>
      <c r="I172" s="7">
        <f>[1]服务器生态!AD189</f>
        <v>0.47291513735919999</v>
      </c>
      <c r="J172" s="7">
        <f>[1]服务器生态!AE189</f>
        <v>3.8604200140800002E-2</v>
      </c>
      <c r="K172" s="7">
        <f>[1]服务器生态!AF189</f>
        <v>6.8679600000000019E-3</v>
      </c>
      <c r="L172" s="7">
        <f>[1]服务器生态!AG189</f>
        <v>1.9871999999999997E-3</v>
      </c>
      <c r="M172" s="7">
        <f>[5]基础信息!M171</f>
        <v>100</v>
      </c>
      <c r="X172" s="7">
        <v>168</v>
      </c>
      <c r="Y172" s="7">
        <f>求节点(节奏总纲!D$4:D$163,R$5:R$164,$X172)*6</f>
        <v>39126.93036711515</v>
      </c>
      <c r="Z172" s="7">
        <f>求节点(节奏总纲!E$4:E$163,S$5:S$164,$X172)*6</f>
        <v>40287.51808123423</v>
      </c>
      <c r="AA172" s="7">
        <f>求节点(节奏总纲!F$4:F$163,T$5:T$164,$X172)*6</f>
        <v>41795.690397563754</v>
      </c>
      <c r="AB172" s="7">
        <f>求节点(节奏总纲!G$4:G$163,U$5:U$164,$X172)*6</f>
        <v>43988.976785859108</v>
      </c>
      <c r="AC172" s="7">
        <f>求节点(节奏总纲!H$4:H$163,V$5:V$164,$X172)*6</f>
        <v>47936.17976689386</v>
      </c>
      <c r="AG172" s="7">
        <v>168</v>
      </c>
      <c r="AH172" s="7">
        <v>1</v>
      </c>
      <c r="AI172" s="7">
        <f>[6]实力验证!$Z174</f>
        <v>1.6438551931592942</v>
      </c>
      <c r="AJ172" s="7">
        <f>[6]实力验证!$AE174</f>
        <v>2.8617833216684132</v>
      </c>
      <c r="AK172" s="7">
        <f>[6]实力验证!$AJ174</f>
        <v>8.2102710582601528</v>
      </c>
      <c r="AL172" s="7">
        <f>[6]实力验证!$AO174</f>
        <v>22.828741642148355</v>
      </c>
      <c r="AM172" s="7">
        <f t="shared" si="10"/>
        <v>96.473202139679188</v>
      </c>
    </row>
    <row r="173" spans="2:74" x14ac:dyDescent="0.15">
      <c r="B173" s="7">
        <v>169</v>
      </c>
      <c r="C173" s="7">
        <f>[1]服务器生态!W190</f>
        <v>127.94010279187499</v>
      </c>
      <c r="D173" s="7">
        <f>[1]服务器生态!X190</f>
        <v>126.1501128905666</v>
      </c>
      <c r="E173" s="7">
        <f>[1]服务器生态!Y190</f>
        <v>10.2976703875584</v>
      </c>
      <c r="F173" s="7">
        <f>[1]服务器生态!Z190</f>
        <v>1.8320283300000004</v>
      </c>
      <c r="G173" s="7">
        <f>[1]服务器生态!AA190</f>
        <v>0.53008559999999993</v>
      </c>
      <c r="H173" s="7">
        <f>[1]服务器生态!AC190</f>
        <v>0.47962550249999997</v>
      </c>
      <c r="I173" s="7">
        <f>[1]服务器生态!AD190</f>
        <v>0.47291513735919999</v>
      </c>
      <c r="J173" s="7">
        <f>[1]服务器生态!AE190</f>
        <v>3.8604200140800002E-2</v>
      </c>
      <c r="K173" s="7">
        <f>[1]服务器生态!AF190</f>
        <v>6.8679600000000019E-3</v>
      </c>
      <c r="L173" s="7">
        <f>[1]服务器生态!AG190</f>
        <v>1.9871999999999997E-3</v>
      </c>
      <c r="M173" s="7">
        <f>[5]基础信息!M172</f>
        <v>100</v>
      </c>
      <c r="X173" s="7">
        <v>169</v>
      </c>
      <c r="Y173" s="7">
        <f>求节点(节奏总纲!D$4:D$163,R$5:R$164,$X173)*6</f>
        <v>39160.965188612514</v>
      </c>
      <c r="Z173" s="7">
        <f>求节点(节奏总纲!E$4:E$163,S$5:S$164,$X173)*6</f>
        <v>40319.927224386018</v>
      </c>
      <c r="AA173" s="7">
        <f>求节点(节奏总纲!F$4:F$163,T$5:T$164,$X173)*6</f>
        <v>41830.994723898017</v>
      </c>
      <c r="AB173" s="7">
        <f>求节点(节奏总纲!G$4:G$163,U$5:U$164,$X173)*6</f>
        <v>44024.449761046242</v>
      </c>
      <c r="AC173" s="7">
        <f>求节点(节奏总纲!H$4:H$163,V$5:V$164,$X173)*6</f>
        <v>47970.99463009258</v>
      </c>
      <c r="AG173" s="7">
        <v>169</v>
      </c>
      <c r="AH173" s="7">
        <v>1</v>
      </c>
      <c r="AI173" s="7">
        <f>[6]实力验证!$Z175</f>
        <v>1.6436403554872867</v>
      </c>
      <c r="AJ173" s="7">
        <f>[6]实力验证!$AE175</f>
        <v>2.8595281402011805</v>
      </c>
      <c r="AK173" s="7">
        <f>[6]实力验证!$AJ175</f>
        <v>8.2157419607373345</v>
      </c>
      <c r="AL173" s="7">
        <f>[6]实力验证!$AO175</f>
        <v>22.74313814750758</v>
      </c>
      <c r="AM173" s="7">
        <f t="shared" si="10"/>
        <v>96.424927969605889</v>
      </c>
    </row>
    <row r="174" spans="2:74" x14ac:dyDescent="0.15">
      <c r="B174" s="7">
        <v>170</v>
      </c>
      <c r="C174" s="7">
        <f>[1]服务器生态!W191</f>
        <v>127.10075816249999</v>
      </c>
      <c r="D174" s="7">
        <f>[1]服务器生态!X191</f>
        <v>125.32251140018799</v>
      </c>
      <c r="E174" s="7">
        <f>[1]服务器生态!Y191</f>
        <v>10.230113037312</v>
      </c>
      <c r="F174" s="7">
        <f>[1]服务器生态!Z191</f>
        <v>1.8200094000000004</v>
      </c>
      <c r="G174" s="7">
        <f>[1]服务器生态!AA191</f>
        <v>0.52660799999999997</v>
      </c>
      <c r="H174" s="7">
        <f>[1]服务器生态!AC191</f>
        <v>0.47962550249999997</v>
      </c>
      <c r="I174" s="7">
        <f>[1]服务器生态!AD191</f>
        <v>0.47291513735919999</v>
      </c>
      <c r="J174" s="7">
        <f>[1]服务器生态!AE191</f>
        <v>3.8604200140800002E-2</v>
      </c>
      <c r="K174" s="7">
        <f>[1]服务器生态!AF191</f>
        <v>6.8679600000000019E-3</v>
      </c>
      <c r="L174" s="7">
        <f>[1]服务器生态!AG191</f>
        <v>1.9871999999999997E-3</v>
      </c>
      <c r="M174" s="7">
        <f>[5]基础信息!M173</f>
        <v>100</v>
      </c>
      <c r="X174" s="7">
        <v>170</v>
      </c>
      <c r="Y174" s="7">
        <f>求节点(节奏总纲!D$4:D$163,R$5:R$164,$X174)*6</f>
        <v>39195.00001010987</v>
      </c>
      <c r="Z174" s="7">
        <f>求节点(节奏总纲!E$4:E$163,S$5:S$164,$X174)*6</f>
        <v>40352.336367537806</v>
      </c>
      <c r="AA174" s="7">
        <f>求节点(节奏总纲!F$4:F$163,T$5:T$164,$X174)*6</f>
        <v>41863.655866373309</v>
      </c>
      <c r="AB174" s="7">
        <f>求节点(节奏总纲!G$4:G$163,U$5:U$164,$X174)*6</f>
        <v>44059.922736233362</v>
      </c>
      <c r="AC174" s="7">
        <f>求节点(节奏总纲!H$4:H$163,V$5:V$164,$X174)*6</f>
        <v>48005.564917405442</v>
      </c>
      <c r="AG174" s="7">
        <v>170</v>
      </c>
      <c r="AH174" s="7">
        <v>1</v>
      </c>
      <c r="AI174" s="7">
        <f>[6]实力验证!$Z176</f>
        <v>1.6434296575072977</v>
      </c>
      <c r="AJ174" s="7">
        <f>[6]实力验证!$AE176</f>
        <v>2.8586458802584125</v>
      </c>
      <c r="AK174" s="7">
        <f>[6]实力验证!$AJ176</f>
        <v>8.2211074447787915</v>
      </c>
      <c r="AL174" s="7">
        <f>[6]实力验证!$AO176</f>
        <v>22.659306849591523</v>
      </c>
      <c r="AM174" s="7">
        <f t="shared" si="10"/>
        <v>96.386870899575484</v>
      </c>
    </row>
    <row r="175" spans="2:74" x14ac:dyDescent="0.15">
      <c r="B175" s="7">
        <v>171</v>
      </c>
      <c r="C175" s="7">
        <f>[1]服务器生态!W192</f>
        <v>126.26141353312499</v>
      </c>
      <c r="D175" s="7">
        <f>[1]服务器生态!X192</f>
        <v>124.49490990980939</v>
      </c>
      <c r="E175" s="7">
        <f>[1]服务器生态!Y192</f>
        <v>10.1625556870656</v>
      </c>
      <c r="F175" s="7">
        <f>[1]服务器生态!Z192</f>
        <v>1.8079904700000005</v>
      </c>
      <c r="G175" s="7">
        <f>[1]服务器生态!AA192</f>
        <v>0.52313039999999988</v>
      </c>
      <c r="H175" s="7">
        <f>[1]服务器生态!AC192</f>
        <v>0.47962550249999997</v>
      </c>
      <c r="I175" s="7">
        <f>[1]服务器生态!AD192</f>
        <v>0.47291513735919999</v>
      </c>
      <c r="J175" s="7">
        <f>[1]服务器生态!AE192</f>
        <v>3.8604200140800002E-2</v>
      </c>
      <c r="K175" s="7">
        <f>[1]服务器生态!AF192</f>
        <v>6.8679600000000019E-3</v>
      </c>
      <c r="L175" s="7">
        <f>[1]服务器生态!AG192</f>
        <v>1.9871999999999997E-3</v>
      </c>
      <c r="M175" s="7">
        <f>[5]基础信息!M174</f>
        <v>100</v>
      </c>
      <c r="X175" s="7">
        <v>171</v>
      </c>
      <c r="Y175" s="7">
        <f>求节点(节奏总纲!D$4:D$163,R$5:R$164,$X175)*6</f>
        <v>39229.034831607234</v>
      </c>
      <c r="Z175" s="7">
        <f>求节点(节奏总纲!E$4:E$163,S$5:S$164,$X175)*6</f>
        <v>40384.745510689594</v>
      </c>
      <c r="AA175" s="7">
        <f>求节点(节奏总纲!F$4:F$163,T$5:T$164,$X175)*6</f>
        <v>41896.3170088486</v>
      </c>
      <c r="AB175" s="7">
        <f>求节点(节奏总纲!G$4:G$163,U$5:U$164,$X175)*6</f>
        <v>44095.39571142049</v>
      </c>
      <c r="AC175" s="7">
        <f>求节点(节奏总纲!H$4:H$163,V$5:V$164,$X175)*6</f>
        <v>48040.13520471831</v>
      </c>
      <c r="AG175" s="7">
        <v>171</v>
      </c>
      <c r="AH175" s="7">
        <v>1</v>
      </c>
      <c r="AI175" s="7">
        <f>[6]实力验证!$Z177</f>
        <v>1.6432229807099497</v>
      </c>
      <c r="AJ175" s="7">
        <f>[6]实力验证!$AE177</f>
        <v>2.857780458295613</v>
      </c>
      <c r="AK175" s="7">
        <f>[6]实力验证!$AJ177</f>
        <v>8.2263705282595705</v>
      </c>
      <c r="AL175" s="7">
        <f>[6]实力验证!$AO177</f>
        <v>22.577075476648297</v>
      </c>
      <c r="AM175" s="7">
        <f t="shared" si="10"/>
        <v>96.349540150838592</v>
      </c>
    </row>
    <row r="176" spans="2:74" x14ac:dyDescent="0.15">
      <c r="B176" s="7">
        <v>172</v>
      </c>
      <c r="C176" s="7">
        <f>[1]服务器生态!W193</f>
        <v>125.42206890374999</v>
      </c>
      <c r="D176" s="7">
        <f>[1]服务器生态!X193</f>
        <v>123.6673084194308</v>
      </c>
      <c r="E176" s="7">
        <f>[1]服务器生态!Y193</f>
        <v>10.0949983368192</v>
      </c>
      <c r="F176" s="7">
        <f>[1]服务器生态!Z193</f>
        <v>1.7959715400000005</v>
      </c>
      <c r="G176" s="7">
        <f>[1]服务器生态!AA193</f>
        <v>0.51965279999999991</v>
      </c>
      <c r="H176" s="7">
        <f>[1]服务器生态!AC193</f>
        <v>0.47962550249999997</v>
      </c>
      <c r="I176" s="7">
        <f>[1]服务器生态!AD193</f>
        <v>0.47291513735919999</v>
      </c>
      <c r="J176" s="7">
        <f>[1]服务器生态!AE193</f>
        <v>3.8604200140800002E-2</v>
      </c>
      <c r="K176" s="7">
        <f>[1]服务器生态!AF193</f>
        <v>6.8679600000000019E-3</v>
      </c>
      <c r="L176" s="7">
        <f>[1]服务器生态!AG193</f>
        <v>1.9871999999999997E-3</v>
      </c>
      <c r="M176" s="7">
        <f>[5]基础信息!M175</f>
        <v>100</v>
      </c>
      <c r="X176" s="7">
        <v>172</v>
      </c>
      <c r="Y176" s="7">
        <f>求节点(节奏总纲!D$4:D$163,R$5:R$164,$X176)*6</f>
        <v>39263.069653104591</v>
      </c>
      <c r="Z176" s="7">
        <f>求节点(节奏总纲!E$4:E$163,S$5:S$164,$X176)*6</f>
        <v>40417.154653841382</v>
      </c>
      <c r="AA176" s="7">
        <f>求节点(节奏总纲!F$4:F$163,T$5:T$164,$X176)*6</f>
        <v>41928.9781513239</v>
      </c>
      <c r="AB176" s="7">
        <f>求节点(节奏总纲!G$4:G$163,U$5:U$164,$X176)*6</f>
        <v>44130.86868660761</v>
      </c>
      <c r="AC176" s="7">
        <f>求节点(节奏总纲!H$4:H$163,V$5:V$164,$X176)*6</f>
        <v>48074.705492031178</v>
      </c>
      <c r="AG176" s="7">
        <v>172</v>
      </c>
      <c r="AH176" s="7">
        <v>1</v>
      </c>
      <c r="AI176" s="7">
        <f>[6]实力验证!$Z178</f>
        <v>1.6430202110666221</v>
      </c>
      <c r="AJ176" s="7">
        <f>[6]实力验证!$AE178</f>
        <v>2.8569313968384202</v>
      </c>
      <c r="AK176" s="7">
        <f>[6]实力验证!$AJ178</f>
        <v>8.2315341149509251</v>
      </c>
      <c r="AL176" s="7">
        <f>[6]实力验证!$AO178</f>
        <v>22.496398659627975</v>
      </c>
      <c r="AM176" s="7">
        <f t="shared" si="10"/>
        <v>96.312915127112433</v>
      </c>
    </row>
    <row r="177" spans="2:39" x14ac:dyDescent="0.15">
      <c r="B177" s="7">
        <v>173</v>
      </c>
      <c r="C177" s="7">
        <f>[1]服务器生态!W194</f>
        <v>124.582724274375</v>
      </c>
      <c r="D177" s="7">
        <f>[1]服务器生态!X194</f>
        <v>122.8397069290522</v>
      </c>
      <c r="E177" s="7">
        <f>[1]服务器生态!Y194</f>
        <v>10.027440986572801</v>
      </c>
      <c r="F177" s="7">
        <f>[1]服务器生态!Z194</f>
        <v>1.7839526100000005</v>
      </c>
      <c r="G177" s="7">
        <f>[1]服务器生态!AA194</f>
        <v>0.51617519999999995</v>
      </c>
      <c r="H177" s="7">
        <f>[1]服务器生态!AC194</f>
        <v>0.47962550249999997</v>
      </c>
      <c r="I177" s="7">
        <f>[1]服务器生态!AD194</f>
        <v>0.47291513735919999</v>
      </c>
      <c r="J177" s="7">
        <f>[1]服务器生态!AE194</f>
        <v>3.8604200140800002E-2</v>
      </c>
      <c r="K177" s="7">
        <f>[1]服务器生态!AF194</f>
        <v>6.8679600000000019E-3</v>
      </c>
      <c r="L177" s="7">
        <f>[1]服务器生态!AG194</f>
        <v>1.9871999999999997E-3</v>
      </c>
      <c r="M177" s="7">
        <f>[5]基础信息!M176</f>
        <v>100</v>
      </c>
      <c r="X177" s="7">
        <v>173</v>
      </c>
      <c r="Y177" s="7">
        <f>求节点(节奏总纲!D$4:D$163,R$5:R$164,$X177)*6</f>
        <v>39297.104474601954</v>
      </c>
      <c r="Z177" s="7">
        <f>求节点(节奏总纲!E$4:E$163,S$5:S$164,$X177)*6</f>
        <v>40449.56379699317</v>
      </c>
      <c r="AA177" s="7">
        <f>求节点(节奏总纲!F$4:F$163,T$5:T$164,$X177)*6</f>
        <v>41961.639293799191</v>
      </c>
      <c r="AB177" s="7">
        <f>求节点(节奏总纲!G$4:G$163,U$5:U$164,$X177)*6</f>
        <v>44166.255377266643</v>
      </c>
      <c r="AC177" s="7">
        <f>求节点(节奏总纲!H$4:H$163,V$5:V$164,$X177)*6</f>
        <v>48109.275779344047</v>
      </c>
      <c r="AG177" s="7">
        <v>173</v>
      </c>
      <c r="AH177" s="7">
        <v>1</v>
      </c>
      <c r="AI177" s="7">
        <f>[6]实力验证!$Z179</f>
        <v>1.6428212388196695</v>
      </c>
      <c r="AJ177" s="7">
        <f>[6]实力验证!$AE179</f>
        <v>2.8560982362964058</v>
      </c>
      <c r="AK177" s="7">
        <f>[6]实力验证!$AJ179</f>
        <v>8.2364151586459808</v>
      </c>
      <c r="AL177" s="7">
        <f>[6]实力验证!$AO179</f>
        <v>22.417232728790868</v>
      </c>
      <c r="AM177" s="7">
        <f t="shared" si="10"/>
        <v>96.276720733545417</v>
      </c>
    </row>
    <row r="178" spans="2:39" x14ac:dyDescent="0.15">
      <c r="B178" s="7">
        <v>174</v>
      </c>
      <c r="C178" s="7">
        <f>[1]服务器生态!W195</f>
        <v>123.74337964499996</v>
      </c>
      <c r="D178" s="7">
        <f>[1]服务器生态!X195</f>
        <v>122.01210543867357</v>
      </c>
      <c r="E178" s="7">
        <f>[1]服务器生态!Y195</f>
        <v>9.9598836363263974</v>
      </c>
      <c r="F178" s="7">
        <f>[1]服务器生态!Z195</f>
        <v>1.7719336800000001</v>
      </c>
      <c r="G178" s="7">
        <f>[1]服务器生态!AA195</f>
        <v>0.51269759999999986</v>
      </c>
      <c r="H178" s="7">
        <f>[1]服务器生态!AC195</f>
        <v>0.47962550249999997</v>
      </c>
      <c r="I178" s="7">
        <f>[1]服务器生态!AD195</f>
        <v>0.47291513735919999</v>
      </c>
      <c r="J178" s="7">
        <f>[1]服务器生态!AE195</f>
        <v>3.8604200140800002E-2</v>
      </c>
      <c r="K178" s="7">
        <f>[1]服务器生态!AF195</f>
        <v>6.8679600000000019E-3</v>
      </c>
      <c r="L178" s="7">
        <f>[1]服务器生态!AG195</f>
        <v>1.9871999999999997E-3</v>
      </c>
      <c r="M178" s="7">
        <f>[5]基础信息!M177</f>
        <v>100</v>
      </c>
      <c r="X178" s="7">
        <v>174</v>
      </c>
      <c r="Y178" s="7">
        <f>求节点(节奏总纲!D$4:D$163,R$5:R$164,$X178)*6</f>
        <v>39331.139296099318</v>
      </c>
      <c r="Z178" s="7">
        <f>求节点(节奏总纲!E$4:E$163,S$5:S$164,$X178)*6</f>
        <v>40481.972940144959</v>
      </c>
      <c r="AA178" s="7">
        <f>求节点(节奏总纲!F$4:F$163,T$5:T$164,$X178)*6</f>
        <v>41994.300436274483</v>
      </c>
      <c r="AB178" s="7">
        <f>求节点(节奏总纲!G$4:G$163,U$5:U$164,$X178)*6</f>
        <v>44197.908539511765</v>
      </c>
      <c r="AC178" s="7">
        <f>求节点(节奏总纲!H$4:H$163,V$5:V$164,$X178)*6</f>
        <v>48143.846066656915</v>
      </c>
      <c r="AG178" s="7">
        <v>174</v>
      </c>
      <c r="AH178" s="7">
        <v>1</v>
      </c>
      <c r="AI178" s="7">
        <f>[6]实力验证!$Z180</f>
        <v>1.6426259582843101</v>
      </c>
      <c r="AJ178" s="7">
        <f>[6]实力验证!$AE180</f>
        <v>2.8552805341335357</v>
      </c>
      <c r="AK178" s="7">
        <f>[6]实力验证!$AJ180</f>
        <v>8.2332388963483254</v>
      </c>
      <c r="AL178" s="7">
        <f>[6]实力验证!$AO180</f>
        <v>22.339535634885458</v>
      </c>
      <c r="AM178" s="7">
        <f t="shared" si="10"/>
        <v>96.230254831958334</v>
      </c>
    </row>
    <row r="179" spans="2:39" x14ac:dyDescent="0.15">
      <c r="B179" s="7">
        <v>175</v>
      </c>
      <c r="C179" s="7">
        <f>[1]服务器生态!W196</f>
        <v>122.904035015625</v>
      </c>
      <c r="D179" s="7">
        <f>[1]服务器生态!X196</f>
        <v>121.184503948295</v>
      </c>
      <c r="E179" s="7">
        <f>[1]服务器生态!Y196</f>
        <v>9.8923262860800012</v>
      </c>
      <c r="F179" s="7">
        <f>[1]服务器生态!Z196</f>
        <v>1.7599147500000005</v>
      </c>
      <c r="G179" s="7">
        <f>[1]服务器生态!AA196</f>
        <v>0.50921999999999989</v>
      </c>
      <c r="H179" s="7">
        <f>[1]服务器生态!AC196</f>
        <v>0.47962550249999997</v>
      </c>
      <c r="I179" s="7">
        <f>[1]服务器生态!AD196</f>
        <v>0.47291513735919999</v>
      </c>
      <c r="J179" s="7">
        <f>[1]服务器生态!AE196</f>
        <v>3.8604200140800002E-2</v>
      </c>
      <c r="K179" s="7">
        <f>[1]服务器生态!AF196</f>
        <v>6.8679600000000019E-3</v>
      </c>
      <c r="L179" s="7">
        <f>[1]服务器生态!AG196</f>
        <v>1.9871999999999997E-3</v>
      </c>
      <c r="M179" s="7">
        <f>[5]基础信息!M178</f>
        <v>100</v>
      </c>
      <c r="X179" s="7">
        <v>175</v>
      </c>
      <c r="Y179" s="7">
        <f>求节点(节奏总纲!D$4:D$163,R$5:R$164,$X179)*6</f>
        <v>39365.174117596674</v>
      </c>
      <c r="Z179" s="7">
        <f>求节点(节奏总纲!E$4:E$163,S$5:S$164,$X179)*6</f>
        <v>40514.382083296747</v>
      </c>
      <c r="AA179" s="7">
        <f>求节点(节奏总纲!F$4:F$163,T$5:T$164,$X179)*6</f>
        <v>42026.961578749775</v>
      </c>
      <c r="AB179" s="7">
        <f>求节点(节奏总纲!G$4:G$163,U$5:U$164,$X179)*6</f>
        <v>44229.561701756887</v>
      </c>
      <c r="AC179" s="7">
        <f>求节点(节奏总纲!H$4:H$163,V$5:V$164,$X179)*6</f>
        <v>48178.416353969777</v>
      </c>
      <c r="AG179" s="7">
        <v>175</v>
      </c>
      <c r="AH179" s="7">
        <v>1</v>
      </c>
      <c r="AI179" s="7">
        <f>[6]实力验证!$Z181</f>
        <v>1.642434267661447</v>
      </c>
      <c r="AJ179" s="7">
        <f>[6]实力验证!$AE181</f>
        <v>2.8544778640843718</v>
      </c>
      <c r="AK179" s="7">
        <f>[6]实力验证!$AJ181</f>
        <v>8.230121024425781</v>
      </c>
      <c r="AL179" s="7">
        <f>[6]实力验证!$AO181</f>
        <v>22.263266874673324</v>
      </c>
      <c r="AM179" s="7">
        <f t="shared" si="10"/>
        <v>96.184643129794793</v>
      </c>
    </row>
    <row r="180" spans="2:39" x14ac:dyDescent="0.15">
      <c r="B180" s="7">
        <v>176</v>
      </c>
      <c r="C180" s="7">
        <f>[1]服务器生态!W197</f>
        <v>122.06469038624998</v>
      </c>
      <c r="D180" s="7">
        <f>[1]服务器生态!X197</f>
        <v>120.35690245791638</v>
      </c>
      <c r="E180" s="7">
        <f>[1]服务器生态!Y197</f>
        <v>9.8247689358335997</v>
      </c>
      <c r="F180" s="7">
        <f>[1]服务器生态!Z197</f>
        <v>1.7478958200000003</v>
      </c>
      <c r="G180" s="7">
        <f>[1]服务器生态!AA197</f>
        <v>0.50574239999999993</v>
      </c>
      <c r="H180" s="7">
        <f>[1]服务器生态!AC197</f>
        <v>0.47962550249999997</v>
      </c>
      <c r="I180" s="7">
        <f>[1]服务器生态!AD197</f>
        <v>0.47291513735919999</v>
      </c>
      <c r="J180" s="7">
        <f>[1]服务器生态!AE197</f>
        <v>3.8604200140800002E-2</v>
      </c>
      <c r="K180" s="7">
        <f>[1]服务器生态!AF197</f>
        <v>6.8679600000000019E-3</v>
      </c>
      <c r="L180" s="7">
        <f>[1]服务器生态!AG197</f>
        <v>1.9871999999999997E-3</v>
      </c>
      <c r="M180" s="7">
        <f>[5]基础信息!M179</f>
        <v>100</v>
      </c>
      <c r="X180" s="7">
        <v>176</v>
      </c>
      <c r="Y180" s="7">
        <f>求节点(节奏总纲!D$4:D$163,R$5:R$164,$X180)*6</f>
        <v>39399.208939094038</v>
      </c>
      <c r="Z180" s="7">
        <f>求节点(节奏总纲!E$4:E$163,S$5:S$164,$X180)*6</f>
        <v>40546.791226448535</v>
      </c>
      <c r="AA180" s="7">
        <f>求节点(节奏总纲!F$4:F$163,T$5:T$164,$X180)*6</f>
        <v>42059.622721225067</v>
      </c>
      <c r="AB180" s="7">
        <f>求节点(节奏总纲!G$4:G$163,U$5:U$164,$X180)*6</f>
        <v>44261.214864002002</v>
      </c>
      <c r="AC180" s="7">
        <f>求节点(节奏总纲!H$4:H$163,V$5:V$164,$X180)*6</f>
        <v>48212.986641282645</v>
      </c>
      <c r="AG180" s="7">
        <v>176</v>
      </c>
      <c r="AH180" s="7">
        <v>1</v>
      </c>
      <c r="AI180" s="7">
        <f>[6]实力验证!$Z182</f>
        <v>1.6422460688607114</v>
      </c>
      <c r="AJ180" s="7">
        <f>[6]实力验证!$AE182</f>
        <v>2.8536898154131189</v>
      </c>
      <c r="AK180" s="7">
        <f>[6]实力验证!$AJ182</f>
        <v>8.2270599474262625</v>
      </c>
      <c r="AL180" s="7">
        <f>[6]实力验证!$AO182</f>
        <v>22.188387420524009</v>
      </c>
      <c r="AM180" s="7">
        <f t="shared" si="10"/>
        <v>96.139862287005087</v>
      </c>
    </row>
    <row r="181" spans="2:39" x14ac:dyDescent="0.15">
      <c r="B181" s="7">
        <v>177</v>
      </c>
      <c r="C181" s="7">
        <f>[1]服务器生态!W198</f>
        <v>121.22534575687499</v>
      </c>
      <c r="D181" s="7">
        <f>[1]服务器生态!X198</f>
        <v>119.52930096753779</v>
      </c>
      <c r="E181" s="7">
        <f>[1]服务器生态!Y198</f>
        <v>9.7572115855871999</v>
      </c>
      <c r="F181" s="7">
        <f>[1]服务器生态!Z198</f>
        <v>1.7358768900000006</v>
      </c>
      <c r="G181" s="7">
        <f>[1]服务器生态!AA198</f>
        <v>0.50226479999999996</v>
      </c>
      <c r="H181" s="7">
        <f>[1]服务器生态!AC198</f>
        <v>0.47962550249999997</v>
      </c>
      <c r="I181" s="7">
        <f>[1]服务器生态!AD198</f>
        <v>0.47291513735919999</v>
      </c>
      <c r="J181" s="7">
        <f>[1]服务器生态!AE198</f>
        <v>3.8604200140800002E-2</v>
      </c>
      <c r="K181" s="7">
        <f>[1]服务器生态!AF198</f>
        <v>6.8679600000000019E-3</v>
      </c>
      <c r="L181" s="7">
        <f>[1]服务器生态!AG198</f>
        <v>1.9871999999999997E-3</v>
      </c>
      <c r="M181" s="7">
        <f>[5]基础信息!M180</f>
        <v>100</v>
      </c>
      <c r="X181" s="7">
        <v>177</v>
      </c>
      <c r="Y181" s="7">
        <f>求节点(节奏总纲!D$4:D$163,R$5:R$164,$X181)*6</f>
        <v>39433.243760591395</v>
      </c>
      <c r="Z181" s="7">
        <f>求节点(节奏总纲!E$4:E$163,S$5:S$164,$X181)*6</f>
        <v>40579.200369600323</v>
      </c>
      <c r="AA181" s="7">
        <f>求节点(节奏总纲!F$4:F$163,T$5:T$164,$X181)*6</f>
        <v>42092.283863700366</v>
      </c>
      <c r="AB181" s="7">
        <f>求节点(节奏总纲!G$4:G$163,U$5:U$164,$X181)*6</f>
        <v>44292.868026247124</v>
      </c>
      <c r="AC181" s="7">
        <f>求节点(节奏总纲!H$4:H$163,V$5:V$164,$X181)*6</f>
        <v>48247.556928595513</v>
      </c>
      <c r="AG181" s="7">
        <v>177</v>
      </c>
      <c r="AH181" s="7">
        <v>1</v>
      </c>
      <c r="AI181" s="7">
        <f>[6]实力验证!$Z183</f>
        <v>1.6420612673330934</v>
      </c>
      <c r="AJ181" s="7">
        <f>[6]实力验证!$AE183</f>
        <v>2.852915992212782</v>
      </c>
      <c r="AK181" s="7">
        <f>[6]实力验证!$AJ183</f>
        <v>8.2240541274983112</v>
      </c>
      <c r="AL181" s="7">
        <f>[6]实力验证!$AO183</f>
        <v>22.114859653822592</v>
      </c>
      <c r="AM181" s="7">
        <f t="shared" si="10"/>
        <v>96.095889806185852</v>
      </c>
    </row>
    <row r="182" spans="2:39" x14ac:dyDescent="0.15">
      <c r="B182" s="7">
        <v>178</v>
      </c>
      <c r="C182" s="7">
        <f>[1]服务器生态!W199</f>
        <v>120.38600112749998</v>
      </c>
      <c r="D182" s="7">
        <f>[1]服务器生态!X199</f>
        <v>118.70169947715918</v>
      </c>
      <c r="E182" s="7">
        <f>[1]服务器生态!Y199</f>
        <v>9.6896542353408002</v>
      </c>
      <c r="F182" s="7">
        <f>[1]服务器生态!Z199</f>
        <v>1.7238579600000004</v>
      </c>
      <c r="G182" s="7">
        <f>[1]服务器生态!AA199</f>
        <v>0.49878719999999988</v>
      </c>
      <c r="H182" s="7">
        <f>[1]服务器生态!AC199</f>
        <v>0.47962550249999997</v>
      </c>
      <c r="I182" s="7">
        <f>[1]服务器生态!AD199</f>
        <v>0.47291513735919999</v>
      </c>
      <c r="J182" s="7">
        <f>[1]服务器生态!AE199</f>
        <v>3.8604200140800002E-2</v>
      </c>
      <c r="K182" s="7">
        <f>[1]服务器生态!AF199</f>
        <v>6.8679600000000019E-3</v>
      </c>
      <c r="L182" s="7">
        <f>[1]服务器生态!AG199</f>
        <v>1.9871999999999997E-3</v>
      </c>
      <c r="M182" s="7">
        <f>[5]基础信息!M181</f>
        <v>100</v>
      </c>
      <c r="X182" s="7">
        <v>178</v>
      </c>
      <c r="Y182" s="7">
        <f>求节点(节奏总纲!D$4:D$163,R$5:R$164,$X182)*6</f>
        <v>39467.278582088758</v>
      </c>
      <c r="Z182" s="7">
        <f>求节点(节奏总纲!E$4:E$163,S$5:S$164,$X182)*6</f>
        <v>40611.609512752111</v>
      </c>
      <c r="AA182" s="7">
        <f>求节点(节奏总纲!F$4:F$163,T$5:T$164,$X182)*6</f>
        <v>42124.945006175658</v>
      </c>
      <c r="AB182" s="7">
        <f>求节点(节奏总纲!G$4:G$163,U$5:U$164,$X182)*6</f>
        <v>44324.521188492246</v>
      </c>
      <c r="AC182" s="7">
        <f>求节点(节奏总纲!H$4:H$163,V$5:V$164,$X182)*6</f>
        <v>48282.127215908375</v>
      </c>
      <c r="AG182" s="7">
        <v>178</v>
      </c>
      <c r="AH182" s="7">
        <v>1</v>
      </c>
      <c r="AI182" s="7">
        <f>[6]实力验证!$Z184</f>
        <v>1.6418797719125555</v>
      </c>
      <c r="AJ182" s="7">
        <f>[6]实力验证!$AE184</f>
        <v>2.8521560127419541</v>
      </c>
      <c r="AK182" s="7">
        <f>[6]实力验证!$AJ184</f>
        <v>8.2211020818149443</v>
      </c>
      <c r="AL182" s="7">
        <f>[6]实力验证!$AO184</f>
        <v>22.042647301951376</v>
      </c>
      <c r="AM182" s="7">
        <f t="shared" si="10"/>
        <v>96.052703994892767</v>
      </c>
    </row>
    <row r="183" spans="2:39" x14ac:dyDescent="0.15">
      <c r="B183" s="7">
        <v>179</v>
      </c>
      <c r="C183" s="7">
        <f>[1]服务器生态!W200</f>
        <v>119.54665649812497</v>
      </c>
      <c r="D183" s="7">
        <f>[1]服务器生态!X200</f>
        <v>117.87409798678058</v>
      </c>
      <c r="E183" s="7">
        <f>[1]服务器生态!Y200</f>
        <v>9.6220968850943986</v>
      </c>
      <c r="F183" s="7">
        <f>[1]服务器生态!Z200</f>
        <v>1.7118390300000004</v>
      </c>
      <c r="G183" s="7">
        <f>[1]服务器生态!AA200</f>
        <v>0.49530959999999985</v>
      </c>
      <c r="H183" s="7">
        <f>[1]服务器生态!AC200</f>
        <v>0.47962550249999997</v>
      </c>
      <c r="I183" s="7">
        <f>[1]服务器生态!AD200</f>
        <v>0.47291513735919999</v>
      </c>
      <c r="J183" s="7">
        <f>[1]服务器生态!AE200</f>
        <v>3.8604200140800002E-2</v>
      </c>
      <c r="K183" s="7">
        <f>[1]服务器生态!AF200</f>
        <v>6.8679600000000019E-3</v>
      </c>
      <c r="L183" s="7">
        <f>[1]服务器生态!AG200</f>
        <v>1.9871999999999997E-3</v>
      </c>
      <c r="M183" s="7">
        <f>[5]基础信息!M182</f>
        <v>100</v>
      </c>
      <c r="X183" s="7">
        <v>179</v>
      </c>
      <c r="Y183" s="7">
        <f>求节点(节奏总纲!D$4:D$163,R$5:R$164,$X183)*6</f>
        <v>39501.313403586122</v>
      </c>
      <c r="Z183" s="7">
        <f>求节点(节奏总纲!E$4:E$163,S$5:S$164,$X183)*6</f>
        <v>40644.018655903899</v>
      </c>
      <c r="AA183" s="7">
        <f>求节点(节奏总纲!F$4:F$163,T$5:T$164,$X183)*6</f>
        <v>42157.606148650957</v>
      </c>
      <c r="AB183" s="7">
        <f>求节点(节奏总纲!G$4:G$163,U$5:U$164,$X183)*6</f>
        <v>44356.174350737369</v>
      </c>
      <c r="AC183" s="7">
        <f>求节点(节奏总纲!H$4:H$163,V$5:V$164,$X183)*6</f>
        <v>48316.697503221236</v>
      </c>
      <c r="AG183" s="7">
        <v>179</v>
      </c>
      <c r="AH183" s="7">
        <v>1</v>
      </c>
      <c r="AI183" s="7">
        <f>[6]实力验证!$Z185</f>
        <v>1.6417014946660689</v>
      </c>
      <c r="AJ183" s="7">
        <f>[6]实力验证!$AE185</f>
        <v>2.8514095087968756</v>
      </c>
      <c r="AK183" s="7">
        <f>[6]实力验证!$AJ185</f>
        <v>8.2182023801344659</v>
      </c>
      <c r="AL183" s="7">
        <f>[6]实力验证!$AO185</f>
        <v>21.97171537862371</v>
      </c>
      <c r="AM183" s="7">
        <f t="shared" si="10"/>
        <v>96.010283929957822</v>
      </c>
    </row>
    <row r="184" spans="2:39" x14ac:dyDescent="0.15">
      <c r="B184" s="7">
        <v>180</v>
      </c>
      <c r="C184" s="7">
        <f>[1]服务器生态!W201</f>
        <v>118.70731186874998</v>
      </c>
      <c r="D184" s="7">
        <f>[1]服务器生态!X201</f>
        <v>117.04649649640199</v>
      </c>
      <c r="E184" s="7">
        <f>[1]服务器生态!Y201</f>
        <v>9.5545395348479989</v>
      </c>
      <c r="F184" s="7">
        <f>[1]服务器生态!Z201</f>
        <v>1.6998201000000004</v>
      </c>
      <c r="G184" s="7">
        <f>[1]服务器生态!AA201</f>
        <v>0.49183199999999988</v>
      </c>
      <c r="H184" s="7">
        <f>[1]服务器生态!AC201</f>
        <v>0.47962550249999997</v>
      </c>
      <c r="I184" s="7">
        <f>[1]服务器生态!AD201</f>
        <v>0.47291513735919999</v>
      </c>
      <c r="J184" s="7">
        <f>[1]服务器生态!AE201</f>
        <v>3.8604200140800002E-2</v>
      </c>
      <c r="K184" s="7">
        <f>[1]服务器生态!AF201</f>
        <v>6.8679600000000019E-3</v>
      </c>
      <c r="L184" s="7">
        <f>[1]服务器生态!AG201</f>
        <v>1.9871999999999997E-3</v>
      </c>
      <c r="M184" s="7">
        <f>[5]基础信息!M183</f>
        <v>100</v>
      </c>
      <c r="X184" s="7">
        <v>180</v>
      </c>
      <c r="Y184" s="7">
        <f>求节点(节奏总纲!D$4:D$163,R$5:R$164,$X184)*6</f>
        <v>39535.348225083479</v>
      </c>
      <c r="Z184" s="7">
        <f>求节点(节奏总纲!E$4:E$163,S$5:S$164,$X184)*6</f>
        <v>40675.85676370842</v>
      </c>
      <c r="AA184" s="7">
        <f>求节点(节奏总纲!F$4:F$163,T$5:T$164,$X184)*6</f>
        <v>42190.267291126249</v>
      </c>
      <c r="AB184" s="7">
        <f>求节点(节奏总纲!G$4:G$163,U$5:U$164,$X184)*6</f>
        <v>44387.827512982491</v>
      </c>
      <c r="AC184" s="7">
        <f>求节点(节奏总纲!H$4:H$163,V$5:V$164,$X184)*6</f>
        <v>48349.851639656124</v>
      </c>
      <c r="AG184" s="7">
        <v>180</v>
      </c>
      <c r="AH184" s="7">
        <v>1</v>
      </c>
      <c r="AI184" s="7">
        <f>[6]实力验证!$Z186</f>
        <v>1.6404986951662917</v>
      </c>
      <c r="AJ184" s="7">
        <f>[6]实力验证!$AE186</f>
        <v>2.8506761251165966</v>
      </c>
      <c r="AK184" s="7">
        <f>[6]实力验证!$AJ186</f>
        <v>8.2153536424899283</v>
      </c>
      <c r="AL184" s="7">
        <f>[6]实力验证!$AO186</f>
        <v>21.888688210370006</v>
      </c>
      <c r="AM184" s="7">
        <f t="shared" si="10"/>
        <v>95.934147179262041</v>
      </c>
    </row>
    <row r="185" spans="2:39" x14ac:dyDescent="0.15">
      <c r="B185" s="7">
        <v>181</v>
      </c>
      <c r="C185" s="7">
        <f>[1]服务器生态!W202</f>
        <v>118.01485254951561</v>
      </c>
      <c r="D185" s="7">
        <f>[1]服务器生态!X202</f>
        <v>116.36372526683964</v>
      </c>
      <c r="E185" s="7">
        <f>[1]服务器生态!Y202</f>
        <v>9.4988047208947197</v>
      </c>
      <c r="F185" s="7">
        <f>[1]服务器生态!Z202</f>
        <v>1.6899044827500003</v>
      </c>
      <c r="G185" s="7">
        <f>[1]服务器生态!AA202</f>
        <v>0.48896297999999988</v>
      </c>
      <c r="H185" s="7">
        <f>[1]服务器生态!AC202</f>
        <v>0.47962550249999997</v>
      </c>
      <c r="I185" s="7">
        <f>[1]服务器生态!AD202</f>
        <v>0.47291513735919999</v>
      </c>
      <c r="J185" s="7">
        <f>[1]服务器生态!AE202</f>
        <v>3.8604200140800002E-2</v>
      </c>
      <c r="K185" s="7">
        <f>[1]服务器生态!AF202</f>
        <v>6.8679600000000019E-3</v>
      </c>
      <c r="L185" s="7">
        <f>[1]服务器生态!AG202</f>
        <v>1.9871999999999997E-3</v>
      </c>
      <c r="M185" s="7">
        <f>[5]基础信息!M184</f>
        <v>100</v>
      </c>
      <c r="X185" s="7">
        <v>181</v>
      </c>
      <c r="Y185" s="7">
        <f>求节点(节奏总纲!D$4:D$163,R$5:R$164,$X185)*6</f>
        <v>39565.530156965608</v>
      </c>
      <c r="Z185" s="7">
        <f>求节点(节奏总纲!E$4:E$163,S$5:S$164,$X185)*6</f>
        <v>40707.613792417571</v>
      </c>
      <c r="AA185" s="7">
        <f>求节点(节奏总纲!F$4:F$163,T$5:T$164,$X185)*6</f>
        <v>42222.517942541715</v>
      </c>
      <c r="AB185" s="7">
        <f>求节点(节奏总纲!G$4:G$163,U$5:U$164,$X185)*6</f>
        <v>44419.480675227613</v>
      </c>
      <c r="AC185" s="7">
        <f>求节点(节奏总纲!H$4:H$163,V$5:V$164,$X185)*6</f>
        <v>48380.457363272792</v>
      </c>
      <c r="AG185" s="7">
        <v>181</v>
      </c>
      <c r="AH185" s="7">
        <v>1</v>
      </c>
      <c r="AI185" s="7">
        <f>[6]实力验证!$Z187</f>
        <v>1.6381386457519498</v>
      </c>
      <c r="AJ185" s="7">
        <f>[6]实力验证!$AE187</f>
        <v>2.848200859426921</v>
      </c>
      <c r="AK185" s="7">
        <f>[6]实力验证!$AJ187</f>
        <v>8.207376191338394</v>
      </c>
      <c r="AL185" s="7">
        <f>[6]实力验证!$AO187</f>
        <v>21.769572239261407</v>
      </c>
      <c r="AM185" s="7">
        <f t="shared" si="10"/>
        <v>95.791681761669551</v>
      </c>
    </row>
    <row r="186" spans="2:39" x14ac:dyDescent="0.15">
      <c r="B186" s="7">
        <v>182</v>
      </c>
      <c r="C186" s="7">
        <f>[1]服务器生态!W203</f>
        <v>117.32239323028124</v>
      </c>
      <c r="D186" s="7">
        <f>[1]服务器生态!X203</f>
        <v>115.6809540372773</v>
      </c>
      <c r="E186" s="7">
        <f>[1]服务器生态!Y203</f>
        <v>9.4430699069414405</v>
      </c>
      <c r="F186" s="7">
        <f>[1]服务器生态!Z203</f>
        <v>1.6799888655000004</v>
      </c>
      <c r="G186" s="7">
        <f>[1]服务器生态!AA203</f>
        <v>0.48609395999999988</v>
      </c>
      <c r="H186" s="7">
        <f>[1]服务器生态!AC203</f>
        <v>0.47962550249999997</v>
      </c>
      <c r="I186" s="7">
        <f>[1]服务器生态!AD203</f>
        <v>0.47291513735919999</v>
      </c>
      <c r="J186" s="7">
        <f>[1]服务器生态!AE203</f>
        <v>3.8604200140800002E-2</v>
      </c>
      <c r="K186" s="7">
        <f>[1]服务器生态!AF203</f>
        <v>6.8679600000000019E-3</v>
      </c>
      <c r="L186" s="7">
        <f>[1]服务器生态!AG203</f>
        <v>1.9871999999999997E-3</v>
      </c>
      <c r="M186" s="7">
        <f>[5]基础信息!M185</f>
        <v>100</v>
      </c>
      <c r="X186" s="7">
        <v>182</v>
      </c>
      <c r="Y186" s="7">
        <f>求节点(节奏总纲!D$4:D$163,R$5:R$164,$X186)*6</f>
        <v>39595.636120514268</v>
      </c>
      <c r="Z186" s="7">
        <f>求节点(节奏总纲!E$4:E$163,S$5:S$164,$X186)*6</f>
        <v>40739.370821126722</v>
      </c>
      <c r="AA186" s="7">
        <f>求节点(节奏总纲!F$4:F$163,T$5:T$164,$X186)*6</f>
        <v>42254.560875589545</v>
      </c>
      <c r="AB186" s="7">
        <f>求节点(节奏总纲!G$4:G$163,U$5:U$164,$X186)*6</f>
        <v>44451.133837472735</v>
      </c>
      <c r="AC186" s="7">
        <f>求节点(节奏总纲!H$4:H$163,V$5:V$164,$X186)*6</f>
        <v>48411.063086889459</v>
      </c>
      <c r="AG186" s="7">
        <v>182</v>
      </c>
      <c r="AH186" s="7">
        <v>1</v>
      </c>
      <c r="AI186" s="7">
        <f>[6]实力验证!$Z188</f>
        <v>1.635802107965471</v>
      </c>
      <c r="AJ186" s="7">
        <f>[6]实力验证!$AE188</f>
        <v>2.845757566155136</v>
      </c>
      <c r="AK186" s="7">
        <f>[6]实力验证!$AJ188</f>
        <v>8.1994453253464865</v>
      </c>
      <c r="AL186" s="7">
        <f>[6]实力验证!$AO188</f>
        <v>21.652393196019734</v>
      </c>
      <c r="AM186" s="7">
        <f t="shared" si="10"/>
        <v>95.650939454505775</v>
      </c>
    </row>
    <row r="187" spans="2:39" x14ac:dyDescent="0.15">
      <c r="B187" s="7">
        <v>183</v>
      </c>
      <c r="C187" s="7">
        <f>[1]服务器生态!W204</f>
        <v>116.62993391104686</v>
      </c>
      <c r="D187" s="7">
        <f>[1]服务器生态!X204</f>
        <v>114.99818280771495</v>
      </c>
      <c r="E187" s="7">
        <f>[1]服务器生态!Y204</f>
        <v>9.3873350929881596</v>
      </c>
      <c r="F187" s="7">
        <f>[1]服务器生态!Z204</f>
        <v>1.6700732482500005</v>
      </c>
      <c r="G187" s="7">
        <f>[1]服务器生态!AA204</f>
        <v>0.48322493999999994</v>
      </c>
      <c r="H187" s="7">
        <f>[1]服务器生态!AC204</f>
        <v>0.47962550249999997</v>
      </c>
      <c r="I187" s="7">
        <f>[1]服务器生态!AD204</f>
        <v>0.47291513735919999</v>
      </c>
      <c r="J187" s="7">
        <f>[1]服务器生态!AE204</f>
        <v>3.8604200140800002E-2</v>
      </c>
      <c r="K187" s="7">
        <f>[1]服务器生态!AF204</f>
        <v>6.8679600000000019E-3</v>
      </c>
      <c r="L187" s="7">
        <f>[1]服务器生态!AG204</f>
        <v>1.9871999999999997E-3</v>
      </c>
      <c r="M187" s="7">
        <f>[5]基础信息!M186</f>
        <v>100</v>
      </c>
      <c r="X187" s="7">
        <v>183</v>
      </c>
      <c r="Y187" s="7">
        <f>求节点(节奏总纲!D$4:D$163,R$5:R$164,$X187)*6</f>
        <v>39625.74208406292</v>
      </c>
      <c r="Z187" s="7">
        <f>求节点(节奏总纲!E$4:E$163,S$5:S$164,$X187)*6</f>
        <v>40771.127849835873</v>
      </c>
      <c r="AA187" s="7">
        <f>求节点(节奏总纲!F$4:F$163,T$5:T$164,$X187)*6</f>
        <v>42286.603808637381</v>
      </c>
      <c r="AB187" s="7">
        <f>求节点(节奏总纲!G$4:G$163,U$5:U$164,$X187)*6</f>
        <v>44482.78699971785</v>
      </c>
      <c r="AC187" s="7">
        <f>求节点(节奏总纲!H$4:H$163,V$5:V$164,$X187)*6</f>
        <v>48441.668810506126</v>
      </c>
      <c r="AG187" s="7">
        <v>183</v>
      </c>
      <c r="AH187" s="7">
        <v>1</v>
      </c>
      <c r="AI187" s="7">
        <f>[6]实力验证!$Z189</f>
        <v>1.6335084556686059</v>
      </c>
      <c r="AJ187" s="7">
        <f>[6]实力验证!$AE189</f>
        <v>2.8433591177939856</v>
      </c>
      <c r="AK187" s="7">
        <f>[6]实力验证!$AJ189</f>
        <v>8.1916600247604112</v>
      </c>
      <c r="AL187" s="7">
        <f>[6]实力验证!$AO189</f>
        <v>21.537364890793491</v>
      </c>
      <c r="AM187" s="7">
        <f t="shared" si="10"/>
        <v>95.51278037231144</v>
      </c>
    </row>
    <row r="188" spans="2:39" x14ac:dyDescent="0.15">
      <c r="B188" s="7">
        <v>184</v>
      </c>
      <c r="C188" s="7">
        <f>[1]服务器生态!W205</f>
        <v>115.93747459181247</v>
      </c>
      <c r="D188" s="7">
        <f>[1]服务器生态!X205</f>
        <v>114.31541157815261</v>
      </c>
      <c r="E188" s="7">
        <f>[1]服务器生态!Y205</f>
        <v>9.3316002790348787</v>
      </c>
      <c r="F188" s="7">
        <f>[1]服务器生态!Z205</f>
        <v>1.6601576310000001</v>
      </c>
      <c r="G188" s="7">
        <f>[1]服务器生态!AA205</f>
        <v>0.48035591999999988</v>
      </c>
      <c r="H188" s="7">
        <f>[1]服务器生态!AC205</f>
        <v>0.47962550249999997</v>
      </c>
      <c r="I188" s="7">
        <f>[1]服务器生态!AD205</f>
        <v>0.47291513735919999</v>
      </c>
      <c r="J188" s="7">
        <f>[1]服务器生态!AE205</f>
        <v>3.8604200140800002E-2</v>
      </c>
      <c r="K188" s="7">
        <f>[1]服务器生态!AF205</f>
        <v>6.8679600000000019E-3</v>
      </c>
      <c r="L188" s="7">
        <f>[1]服务器生态!AG205</f>
        <v>1.9871999999999997E-3</v>
      </c>
      <c r="M188" s="7">
        <f>[5]基础信息!M187</f>
        <v>100</v>
      </c>
      <c r="X188" s="7">
        <v>184</v>
      </c>
      <c r="Y188" s="7">
        <f>求节点(节奏总纲!D$4:D$163,R$5:R$164,$X188)*6</f>
        <v>39655.848047611573</v>
      </c>
      <c r="Z188" s="7">
        <f>求节点(节奏总纲!E$4:E$163,S$5:S$164,$X188)*6</f>
        <v>40802.884878545025</v>
      </c>
      <c r="AA188" s="7">
        <f>求节点(节奏总纲!F$4:F$163,T$5:T$164,$X188)*6</f>
        <v>42318.64674168521</v>
      </c>
      <c r="AB188" s="7">
        <f>求节点(节奏总纲!G$4:G$163,U$5:U$164,$X188)*6</f>
        <v>44514.440161962972</v>
      </c>
      <c r="AC188" s="7">
        <f>求节点(节奏总纲!H$4:H$163,V$5:V$164,$X188)*6</f>
        <v>48472.274534122793</v>
      </c>
      <c r="AG188" s="7">
        <v>184</v>
      </c>
      <c r="AH188" s="7">
        <v>1</v>
      </c>
      <c r="AI188" s="7">
        <f>[6]实力验证!$Z190</f>
        <v>1.6312565188992649</v>
      </c>
      <c r="AJ188" s="7">
        <f>[6]实力验证!$AE190</f>
        <v>2.8410042909262763</v>
      </c>
      <c r="AK188" s="7">
        <f>[6]实力验证!$AJ190</f>
        <v>8.1840163183999799</v>
      </c>
      <c r="AL188" s="7">
        <f>[6]实力验证!$AO190</f>
        <v>21.424428649146055</v>
      </c>
      <c r="AM188" s="7">
        <f t="shared" si="10"/>
        <v>95.377134041942583</v>
      </c>
    </row>
    <row r="189" spans="2:39" x14ac:dyDescent="0.15">
      <c r="B189" s="7">
        <v>185</v>
      </c>
      <c r="C189" s="7">
        <f>[1]服务器生态!W206</f>
        <v>115.2450152725781</v>
      </c>
      <c r="D189" s="7">
        <f>[1]服务器生态!X206</f>
        <v>113.63264034859026</v>
      </c>
      <c r="E189" s="7">
        <f>[1]服务器生态!Y206</f>
        <v>9.2758654650815995</v>
      </c>
      <c r="F189" s="7">
        <f>[1]服务器生态!Z206</f>
        <v>1.6502420137500002</v>
      </c>
      <c r="G189" s="7">
        <f>[1]服务器生态!AA206</f>
        <v>0.47748689999999988</v>
      </c>
      <c r="H189" s="7">
        <f>[1]服务器生态!AC206</f>
        <v>0.47962550249999997</v>
      </c>
      <c r="I189" s="7">
        <f>[1]服务器生态!AD206</f>
        <v>0.47291513735919999</v>
      </c>
      <c r="J189" s="7">
        <f>[1]服务器生态!AE206</f>
        <v>3.8604200140800002E-2</v>
      </c>
      <c r="K189" s="7">
        <f>[1]服务器生态!AF206</f>
        <v>6.8679600000000019E-3</v>
      </c>
      <c r="L189" s="7">
        <f>[1]服务器生态!AG206</f>
        <v>1.9871999999999997E-3</v>
      </c>
      <c r="M189" s="7">
        <f>[5]基础信息!M188</f>
        <v>100</v>
      </c>
      <c r="X189" s="7">
        <v>185</v>
      </c>
      <c r="Y189" s="7">
        <f>求节点(节奏总纲!D$4:D$163,R$5:R$164,$X189)*6</f>
        <v>39685.954011160233</v>
      </c>
      <c r="Z189" s="7">
        <f>求节点(节奏总纲!E$4:E$163,S$5:S$164,$X189)*6</f>
        <v>40834.641907254176</v>
      </c>
      <c r="AA189" s="7">
        <f>求节点(节奏总纲!F$4:F$163,T$5:T$164,$X189)*6</f>
        <v>42350.689674733047</v>
      </c>
      <c r="AB189" s="7">
        <f>求节点(节奏总纲!G$4:G$163,U$5:U$164,$X189)*6</f>
        <v>44546.093324208094</v>
      </c>
      <c r="AC189" s="7">
        <f>求节点(节奏总纲!H$4:H$163,V$5:V$164,$X189)*6</f>
        <v>48502.88025773946</v>
      </c>
      <c r="AG189" s="7">
        <v>185</v>
      </c>
      <c r="AH189" s="7">
        <v>1</v>
      </c>
      <c r="AI189" s="7">
        <f>[6]实力验证!$Z191</f>
        <v>1.6290451698689368</v>
      </c>
      <c r="AJ189" s="7">
        <f>[6]实力验证!$AE191</f>
        <v>2.8386919062352876</v>
      </c>
      <c r="AK189" s="7">
        <f>[6]实力验证!$AJ191</f>
        <v>8.1765103782339992</v>
      </c>
      <c r="AL189" s="7">
        <f>[6]实力验证!$AO191</f>
        <v>21.313527911675969</v>
      </c>
      <c r="AM189" s="7">
        <f t="shared" si="10"/>
        <v>95.243932530597974</v>
      </c>
    </row>
    <row r="190" spans="2:39" x14ac:dyDescent="0.15">
      <c r="B190" s="7">
        <v>186</v>
      </c>
      <c r="C190" s="7">
        <f>[1]服务器生态!W207</f>
        <v>114.55255595334373</v>
      </c>
      <c r="D190" s="7">
        <f>[1]服务器生态!X207</f>
        <v>112.94986911902792</v>
      </c>
      <c r="E190" s="7">
        <f>[1]服务器生态!Y207</f>
        <v>9.2201306511283203</v>
      </c>
      <c r="F190" s="7">
        <f>[1]服务器生态!Z207</f>
        <v>1.6403263965000003</v>
      </c>
      <c r="G190" s="7">
        <f>[1]服务器生态!AA207</f>
        <v>0.47461787999999988</v>
      </c>
      <c r="H190" s="7">
        <f>[1]服务器生态!AC207</f>
        <v>0.47962550249999997</v>
      </c>
      <c r="I190" s="7">
        <f>[1]服务器生态!AD207</f>
        <v>0.47291513735919999</v>
      </c>
      <c r="J190" s="7">
        <f>[1]服务器生态!AE207</f>
        <v>3.8604200140800002E-2</v>
      </c>
      <c r="K190" s="7">
        <f>[1]服务器生态!AF207</f>
        <v>6.8679600000000019E-3</v>
      </c>
      <c r="L190" s="7">
        <f>[1]服务器生态!AG207</f>
        <v>1.9871999999999997E-3</v>
      </c>
      <c r="M190" s="7">
        <f>[5]基础信息!M189</f>
        <v>100</v>
      </c>
      <c r="X190" s="7">
        <v>186</v>
      </c>
      <c r="Y190" s="7">
        <f>求节点(节奏总纲!D$4:D$163,R$5:R$164,$X190)*6</f>
        <v>39716.059974708885</v>
      </c>
      <c r="Z190" s="7">
        <f>求节点(节奏总纲!E$4:E$163,S$5:S$164,$X190)*6</f>
        <v>40866.39893596332</v>
      </c>
      <c r="AA190" s="7">
        <f>求节点(节奏总纲!F$4:F$163,T$5:T$164,$X190)*6</f>
        <v>42382.732607780876</v>
      </c>
      <c r="AB190" s="7">
        <f>求节点(节奏总纲!G$4:G$163,U$5:U$164,$X190)*6</f>
        <v>44577.135140730767</v>
      </c>
      <c r="AC190" s="7">
        <f>求节点(节奏总纲!H$4:H$163,V$5:V$164,$X190)*6</f>
        <v>48533.48598135612</v>
      </c>
      <c r="AG190" s="7">
        <v>186</v>
      </c>
      <c r="AH190" s="7">
        <v>1</v>
      </c>
      <c r="AI190" s="7">
        <f>[6]实力验证!$Z192</f>
        <v>1.6268733210793749</v>
      </c>
      <c r="AJ190" s="7">
        <f>[6]实力验证!$AE192</f>
        <v>2.8364208265354089</v>
      </c>
      <c r="AK190" s="7">
        <f>[6]实力验证!$AJ192</f>
        <v>8.169294337673259</v>
      </c>
      <c r="AL190" s="7">
        <f>[6]实力验证!$AO192</f>
        <v>21.204608139567345</v>
      </c>
      <c r="AM190" s="7">
        <f t="shared" si="10"/>
        <v>95.113324371918296</v>
      </c>
    </row>
    <row r="191" spans="2:39" x14ac:dyDescent="0.15">
      <c r="B191" s="7">
        <v>187</v>
      </c>
      <c r="C191" s="7">
        <f>[1]服务器生态!W208</f>
        <v>113.86009663410934</v>
      </c>
      <c r="D191" s="7">
        <f>[1]服务器生态!X208</f>
        <v>112.26709788946556</v>
      </c>
      <c r="E191" s="7">
        <f>[1]服务器生态!Y208</f>
        <v>9.1643958371750394</v>
      </c>
      <c r="F191" s="7">
        <f>[1]服务器生态!Z208</f>
        <v>1.6304107792500002</v>
      </c>
      <c r="G191" s="7">
        <f>[1]服务器生态!AA208</f>
        <v>0.47174885999999983</v>
      </c>
      <c r="H191" s="7">
        <f>[1]服务器生态!AC208</f>
        <v>0.47962550249999997</v>
      </c>
      <c r="I191" s="7">
        <f>[1]服务器生态!AD208</f>
        <v>0.47291513735919999</v>
      </c>
      <c r="J191" s="7">
        <f>[1]服务器生态!AE208</f>
        <v>3.8604200140800002E-2</v>
      </c>
      <c r="K191" s="7">
        <f>[1]服务器生态!AF208</f>
        <v>6.8679600000000019E-3</v>
      </c>
      <c r="L191" s="7">
        <f>[1]服务器生态!AG208</f>
        <v>1.9871999999999997E-3</v>
      </c>
      <c r="M191" s="7">
        <f>[5]基础信息!M190</f>
        <v>100</v>
      </c>
      <c r="X191" s="7">
        <v>187</v>
      </c>
      <c r="Y191" s="7">
        <f>求节点(节奏总纲!D$4:D$163,R$5:R$164,$X191)*6</f>
        <v>39746.165938257538</v>
      </c>
      <c r="Z191" s="7">
        <f>求节点(节奏总纲!E$4:E$163,S$5:S$164,$X191)*6</f>
        <v>40898.155964672471</v>
      </c>
      <c r="AA191" s="7">
        <f>求节点(节奏总纲!F$4:F$163,T$5:T$164,$X191)*6</f>
        <v>42414.775540828712</v>
      </c>
      <c r="AB191" s="7">
        <f>求节点(节奏总纲!G$4:G$163,U$5:U$164,$X191)*6</f>
        <v>44607.353632038525</v>
      </c>
      <c r="AC191" s="7">
        <f>求节点(节奏总纲!H$4:H$163,V$5:V$164,$X191)*6</f>
        <v>48564.091704972787</v>
      </c>
      <c r="AG191" s="7">
        <v>187</v>
      </c>
      <c r="AH191" s="7">
        <v>1</v>
      </c>
      <c r="AI191" s="7">
        <f>[6]实力验证!$Z193</f>
        <v>1.6247399235393094</v>
      </c>
      <c r="AJ191" s="7">
        <f>[6]实力验证!$AE193</f>
        <v>2.8341899549073744</v>
      </c>
      <c r="AK191" s="7">
        <f>[6]实力验证!$AJ193</f>
        <v>8.1624140507107015</v>
      </c>
      <c r="AL191" s="7">
        <f>[6]实力验证!$AO193</f>
        <v>21.097616725156801</v>
      </c>
      <c r="AM191" s="7">
        <f t="shared" si="10"/>
        <v>94.985314254936327</v>
      </c>
    </row>
    <row r="192" spans="2:39" x14ac:dyDescent="0.15">
      <c r="B192" s="7">
        <v>188</v>
      </c>
      <c r="C192" s="7">
        <f>[1]服务器生态!W209</f>
        <v>113.16763731487498</v>
      </c>
      <c r="D192" s="7">
        <f>[1]服务器生态!X209</f>
        <v>111.58432665990323</v>
      </c>
      <c r="E192" s="7">
        <f>[1]服务器生态!Y209</f>
        <v>9.1086610232217602</v>
      </c>
      <c r="F192" s="7">
        <f>[1]服务器生态!Z209</f>
        <v>1.6204951620000003</v>
      </c>
      <c r="G192" s="7">
        <f>[1]服务器生态!AA209</f>
        <v>0.46887983999999994</v>
      </c>
      <c r="H192" s="7">
        <f>[1]服务器生态!AC209</f>
        <v>0.47962550249999997</v>
      </c>
      <c r="I192" s="7">
        <f>[1]服务器生态!AD209</f>
        <v>0.47291513735919999</v>
      </c>
      <c r="J192" s="7">
        <f>[1]服务器生态!AE209</f>
        <v>3.8604200140800002E-2</v>
      </c>
      <c r="K192" s="7">
        <f>[1]服务器生态!AF209</f>
        <v>6.8679600000000019E-3</v>
      </c>
      <c r="L192" s="7">
        <f>[1]服务器生态!AG209</f>
        <v>1.9871999999999997E-3</v>
      </c>
      <c r="M192" s="7">
        <f>[5]基础信息!M191</f>
        <v>100</v>
      </c>
      <c r="X192" s="7">
        <v>188</v>
      </c>
      <c r="Y192" s="7">
        <f>求节点(节奏总纲!D$4:D$163,R$5:R$164,$X192)*6</f>
        <v>39776.271901806191</v>
      </c>
      <c r="Z192" s="7">
        <f>求节点(节奏总纲!E$4:E$163,S$5:S$164,$X192)*6</f>
        <v>40929.912993381622</v>
      </c>
      <c r="AA192" s="7">
        <f>求节点(节奏总纲!F$4:F$163,T$5:T$164,$X192)*6</f>
        <v>42446.818473876549</v>
      </c>
      <c r="AB192" s="7">
        <f>求节点(节奏总纲!G$4:G$163,U$5:U$164,$X192)*6</f>
        <v>44637.57212334629</v>
      </c>
      <c r="AC192" s="7">
        <f>求节点(节奏总纲!H$4:H$163,V$5:V$164,$X192)*6</f>
        <v>48594.697428589454</v>
      </c>
      <c r="AG192" s="7">
        <v>188</v>
      </c>
      <c r="AH192" s="7">
        <v>1</v>
      </c>
      <c r="AI192" s="7">
        <f>[6]实力验证!$Z194</f>
        <v>1.6226439650750466</v>
      </c>
      <c r="AJ192" s="7">
        <f>[6]实力验证!$AE194</f>
        <v>2.8319982329316757</v>
      </c>
      <c r="AK192" s="7">
        <f>[6]实力验证!$AJ194</f>
        <v>8.1556545061697019</v>
      </c>
      <c r="AL192" s="7">
        <f>[6]实力验证!$AO194</f>
        <v>20.992502907208788</v>
      </c>
      <c r="AM192" s="7">
        <f t="shared" si="10"/>
        <v>94.859550592439803</v>
      </c>
    </row>
    <row r="193" spans="2:39" x14ac:dyDescent="0.15">
      <c r="B193" s="7">
        <v>189</v>
      </c>
      <c r="C193" s="7">
        <f>[1]服务器生态!W210</f>
        <v>112.47517799564061</v>
      </c>
      <c r="D193" s="7">
        <f>[1]服务器生态!X210</f>
        <v>110.90155543034088</v>
      </c>
      <c r="E193" s="7">
        <f>[1]服务器生态!Y210</f>
        <v>9.0529262092684792</v>
      </c>
      <c r="F193" s="7">
        <f>[1]服务器生态!Z210</f>
        <v>1.6105795447500002</v>
      </c>
      <c r="G193" s="7">
        <f>[1]服务器生态!AA210</f>
        <v>0.46601081999999988</v>
      </c>
      <c r="H193" s="7">
        <f>[1]服务器生态!AC210</f>
        <v>0.47962550249999997</v>
      </c>
      <c r="I193" s="7">
        <f>[1]服务器生态!AD210</f>
        <v>0.47291513735919999</v>
      </c>
      <c r="J193" s="7">
        <f>[1]服务器生态!AE210</f>
        <v>3.8604200140800002E-2</v>
      </c>
      <c r="K193" s="7">
        <f>[1]服务器生态!AF210</f>
        <v>6.8679600000000019E-3</v>
      </c>
      <c r="L193" s="7">
        <f>[1]服务器生态!AG210</f>
        <v>1.9871999999999997E-3</v>
      </c>
      <c r="M193" s="7">
        <f>[5]基础信息!M192</f>
        <v>100</v>
      </c>
      <c r="X193" s="7">
        <v>189</v>
      </c>
      <c r="Y193" s="7">
        <f>求节点(节奏总纲!D$4:D$163,R$5:R$164,$X193)*6</f>
        <v>39806.377865354851</v>
      </c>
      <c r="Z193" s="7">
        <f>求节点(节奏总纲!E$4:E$163,S$5:S$164,$X193)*6</f>
        <v>40961.670022090773</v>
      </c>
      <c r="AA193" s="7">
        <f>求节点(节奏总纲!F$4:F$163,T$5:T$164,$X193)*6</f>
        <v>42478.861406924378</v>
      </c>
      <c r="AB193" s="7">
        <f>求节点(节奏总纲!G$4:G$163,U$5:U$164,$X193)*6</f>
        <v>44667.790614654048</v>
      </c>
      <c r="AC193" s="7">
        <f>求节点(节奏总纲!H$4:H$163,V$5:V$164,$X193)*6</f>
        <v>48625.303152206121</v>
      </c>
      <c r="AG193" s="7">
        <v>189</v>
      </c>
      <c r="AH193" s="7">
        <v>1</v>
      </c>
      <c r="AI193" s="7">
        <f>[6]实力验证!$Z195</f>
        <v>1.6205844687292381</v>
      </c>
      <c r="AJ193" s="7">
        <f>[6]实力验证!$AE195</f>
        <v>2.8298446390141709</v>
      </c>
      <c r="AK193" s="7">
        <f>[6]实力验证!$AJ195</f>
        <v>8.1490125533262265</v>
      </c>
      <c r="AL193" s="7">
        <f>[6]实力验证!$AO195</f>
        <v>20.889217690612629</v>
      </c>
      <c r="AM193" s="7">
        <f t="shared" si="10"/>
        <v>94.735974764119121</v>
      </c>
    </row>
    <row r="194" spans="2:39" x14ac:dyDescent="0.15">
      <c r="B194" s="7">
        <v>190</v>
      </c>
      <c r="C194" s="7">
        <f>[1]服务器生态!W211</f>
        <v>111.78271867640623</v>
      </c>
      <c r="D194" s="7">
        <f>[1]服务器生态!X211</f>
        <v>110.21878420077853</v>
      </c>
      <c r="E194" s="7">
        <f>[1]服务器生态!Y211</f>
        <v>8.9971913953152001</v>
      </c>
      <c r="F194" s="7">
        <f>[1]服务器生态!Z211</f>
        <v>1.6006639275000003</v>
      </c>
      <c r="G194" s="7">
        <f>[1]服务器生态!AA211</f>
        <v>0.46314179999999988</v>
      </c>
      <c r="H194" s="7">
        <f>[1]服务器生态!AC211</f>
        <v>0.47962550249999997</v>
      </c>
      <c r="I194" s="7">
        <f>[1]服务器生态!AD211</f>
        <v>0.47291513735919999</v>
      </c>
      <c r="J194" s="7">
        <f>[1]服务器生态!AE211</f>
        <v>3.8604200140800002E-2</v>
      </c>
      <c r="K194" s="7">
        <f>[1]服务器生态!AF211</f>
        <v>6.8679600000000019E-3</v>
      </c>
      <c r="L194" s="7">
        <f>[1]服务器生态!AG211</f>
        <v>1.9871999999999997E-3</v>
      </c>
      <c r="M194" s="7">
        <f>[5]基础信息!M193</f>
        <v>100</v>
      </c>
      <c r="X194" s="7">
        <v>190</v>
      </c>
      <c r="Y194" s="7">
        <f>求节点(节奏总纲!D$4:D$163,R$5:R$164,$X194)*6</f>
        <v>39836.483828903496</v>
      </c>
      <c r="Z194" s="7">
        <f>求节点(节奏总纲!E$4:E$163,S$5:S$164,$X194)*6</f>
        <v>40993.427050799917</v>
      </c>
      <c r="AA194" s="7">
        <f>求节点(节奏总纲!F$4:F$163,T$5:T$164,$X194)*6</f>
        <v>42510.904339972214</v>
      </c>
      <c r="AB194" s="7">
        <f>求节点(节奏总纲!G$4:G$163,U$5:U$164,$X194)*6</f>
        <v>44698.009105961813</v>
      </c>
      <c r="AC194" s="7">
        <f>求节点(节奏总纲!H$4:H$163,V$5:V$164,$X194)*6</f>
        <v>48655.908875822788</v>
      </c>
      <c r="AG194" s="7">
        <v>190</v>
      </c>
      <c r="AH194" s="7">
        <v>1</v>
      </c>
      <c r="AI194" s="7">
        <f>[6]实力验证!$Z196</f>
        <v>1.618560491242492</v>
      </c>
      <c r="AJ194" s="7">
        <f>[6]实力验证!$AE196</f>
        <v>2.8277281867983195</v>
      </c>
      <c r="AK194" s="7">
        <f>[6]实力验证!$AJ196</f>
        <v>8.1424851501334121</v>
      </c>
      <c r="AL194" s="7">
        <f>[6]实力验证!$AO196</f>
        <v>20.787713770234348</v>
      </c>
      <c r="AM194" s="7">
        <f t="shared" si="10"/>
        <v>94.614530171640908</v>
      </c>
    </row>
    <row r="195" spans="2:39" x14ac:dyDescent="0.15">
      <c r="B195" s="7">
        <v>191</v>
      </c>
      <c r="C195" s="7">
        <f>[1]服务器生态!W212</f>
        <v>111.09025935717186</v>
      </c>
      <c r="D195" s="7">
        <f>[1]服务器生态!X212</f>
        <v>109.53601297121619</v>
      </c>
      <c r="E195" s="7">
        <f>[1]服务器生态!Y212</f>
        <v>8.9414565813619191</v>
      </c>
      <c r="F195" s="7">
        <f>[1]服务器生态!Z212</f>
        <v>1.5907483102500002</v>
      </c>
      <c r="G195" s="7">
        <f>[1]服务器生态!AA212</f>
        <v>0.46027277999999988</v>
      </c>
      <c r="H195" s="7">
        <f>[1]服务器生态!AC212</f>
        <v>0.47962550249999997</v>
      </c>
      <c r="I195" s="7">
        <f>[1]服务器生态!AD212</f>
        <v>0.47291513735919999</v>
      </c>
      <c r="J195" s="7">
        <f>[1]服务器生态!AE212</f>
        <v>3.8604200140800002E-2</v>
      </c>
      <c r="K195" s="7">
        <f>[1]服务器生态!AF212</f>
        <v>6.8679600000000019E-3</v>
      </c>
      <c r="L195" s="7">
        <f>[1]服务器生态!AG212</f>
        <v>1.9871999999999997E-3</v>
      </c>
      <c r="M195" s="7">
        <f>[5]基础信息!M194</f>
        <v>100</v>
      </c>
      <c r="X195" s="7">
        <v>191</v>
      </c>
      <c r="Y195" s="7">
        <f>求节点(节奏总纲!D$4:D$163,R$5:R$164,$X195)*6</f>
        <v>39866.589792452156</v>
      </c>
      <c r="Z195" s="7">
        <f>求节点(节奏总纲!E$4:E$163,S$5:S$164,$X195)*6</f>
        <v>41025.184079509068</v>
      </c>
      <c r="AA195" s="7">
        <f>求节点(节奏总纲!F$4:F$163,T$5:T$164,$X195)*6</f>
        <v>42542.94727302005</v>
      </c>
      <c r="AB195" s="7">
        <f>求节点(节奏总纲!G$4:G$163,U$5:U$164,$X195)*6</f>
        <v>44728.227597269572</v>
      </c>
      <c r="AC195" s="7">
        <f>求节点(节奏总纲!H$4:H$163,V$5:V$164,$X195)*6</f>
        <v>48686.514599439455</v>
      </c>
      <c r="AG195" s="7">
        <v>191</v>
      </c>
      <c r="AH195" s="7">
        <v>1</v>
      </c>
      <c r="AI195" s="7">
        <f>[6]实力验证!$Z197</f>
        <v>1.6165711216128771</v>
      </c>
      <c r="AJ195" s="7">
        <f>[6]实力验证!$AE197</f>
        <v>2.8256479236588752</v>
      </c>
      <c r="AK195" s="7">
        <f>[6]实力验证!$AJ197</f>
        <v>8.1360693585759094</v>
      </c>
      <c r="AL195" s="7">
        <f>[6]实力验证!$AO197</f>
        <v>20.68794545867469</v>
      </c>
      <c r="AM195" s="7">
        <f t="shared" si="10"/>
        <v>94.495162152214235</v>
      </c>
    </row>
    <row r="196" spans="2:39" x14ac:dyDescent="0.15">
      <c r="B196" s="7">
        <v>192</v>
      </c>
      <c r="C196" s="7">
        <f>[1]服务器生态!W213</f>
        <v>110.39780003793747</v>
      </c>
      <c r="D196" s="7">
        <f>[1]服务器生态!X213</f>
        <v>108.85324174165383</v>
      </c>
      <c r="E196" s="7">
        <f>[1]服务器生态!Y213</f>
        <v>8.8857217674086382</v>
      </c>
      <c r="F196" s="7">
        <f>[1]服务器生态!Z213</f>
        <v>1.5808326930000001</v>
      </c>
      <c r="G196" s="7">
        <f>[1]服务器生态!AA213</f>
        <v>0.45740375999999983</v>
      </c>
      <c r="H196" s="7">
        <f>[1]服务器生态!AC213</f>
        <v>0.47962550249999997</v>
      </c>
      <c r="I196" s="7">
        <f>[1]服务器生态!AD213</f>
        <v>0.47291513735919999</v>
      </c>
      <c r="J196" s="7">
        <f>[1]服务器生态!AE213</f>
        <v>3.8604200140800002E-2</v>
      </c>
      <c r="K196" s="7">
        <f>[1]服务器生态!AF213</f>
        <v>6.8679600000000019E-3</v>
      </c>
      <c r="L196" s="7">
        <f>[1]服务器生态!AG213</f>
        <v>1.9871999999999997E-3</v>
      </c>
      <c r="M196" s="7">
        <f>[5]基础信息!M195</f>
        <v>100</v>
      </c>
      <c r="X196" s="7">
        <v>192</v>
      </c>
      <c r="Y196" s="7">
        <f>求节点(节奏总纲!D$4:D$163,R$5:R$164,$X196)*6</f>
        <v>39896.695756000809</v>
      </c>
      <c r="Z196" s="7">
        <f>求节点(节奏总纲!E$4:E$163,S$5:S$164,$X196)*6</f>
        <v>41056.94110821822</v>
      </c>
      <c r="AA196" s="7">
        <f>求节点(节奏总纲!F$4:F$163,T$5:T$164,$X196)*6</f>
        <v>42574.990206067887</v>
      </c>
      <c r="AB196" s="7">
        <f>求节点(节奏总纲!G$4:G$163,U$5:U$164,$X196)*6</f>
        <v>44758.446088577337</v>
      </c>
      <c r="AC196" s="7">
        <f>求节点(节奏总纲!H$4:H$163,V$5:V$164,$X196)*6</f>
        <v>48717.120323056122</v>
      </c>
      <c r="AG196" s="7">
        <v>192</v>
      </c>
      <c r="AH196" s="7">
        <v>1</v>
      </c>
      <c r="AI196" s="7">
        <f>[6]实力验证!$Z198</f>
        <v>1.6146154797286902</v>
      </c>
      <c r="AJ196" s="7">
        <f>[6]实力验证!$AE198</f>
        <v>2.8236029292721767</v>
      </c>
      <c r="AK196" s="7">
        <f>[6]实力验证!$AJ198</f>
        <v>8.1297623402605179</v>
      </c>
      <c r="AL196" s="7">
        <f>[6]实力验证!$AO198</f>
        <v>20.589868617701487</v>
      </c>
      <c r="AM196" s="7">
        <f t="shared" si="10"/>
        <v>94.377817896552472</v>
      </c>
    </row>
    <row r="197" spans="2:39" x14ac:dyDescent="0.15">
      <c r="B197" s="7">
        <v>193</v>
      </c>
      <c r="C197" s="7">
        <f>[1]服务器生态!W214</f>
        <v>109.70534071870311</v>
      </c>
      <c r="D197" s="7">
        <f>[1]服务器生态!X214</f>
        <v>108.17047051209151</v>
      </c>
      <c r="E197" s="7">
        <f>[1]服务器生态!Y214</f>
        <v>8.8299869534553608</v>
      </c>
      <c r="F197" s="7">
        <f>[1]服务器生态!Z214</f>
        <v>1.5709170757500004</v>
      </c>
      <c r="G197" s="7">
        <f>[1]服务器生态!AA214</f>
        <v>0.45453473999999994</v>
      </c>
      <c r="H197" s="7">
        <f>[1]服务器生态!AC214</f>
        <v>0.47962550249999997</v>
      </c>
      <c r="I197" s="7">
        <f>[1]服务器生态!AD214</f>
        <v>0.47291513735919999</v>
      </c>
      <c r="J197" s="7">
        <f>[1]服务器生态!AE214</f>
        <v>3.8604200140800002E-2</v>
      </c>
      <c r="K197" s="7">
        <f>[1]服务器生态!AF214</f>
        <v>6.8679600000000019E-3</v>
      </c>
      <c r="L197" s="7">
        <f>[1]服务器生态!AG214</f>
        <v>1.9871999999999997E-3</v>
      </c>
      <c r="M197" s="7">
        <f>[5]基础信息!M196</f>
        <v>100</v>
      </c>
      <c r="X197" s="7">
        <v>193</v>
      </c>
      <c r="Y197" s="7">
        <f>求节点(节奏总纲!D$4:D$163,R$5:R$164,$X197)*6</f>
        <v>39926.801719549461</v>
      </c>
      <c r="Z197" s="7">
        <f>求节点(节奏总纲!E$4:E$163,S$5:S$164,$X197)*6</f>
        <v>41085.434952855881</v>
      </c>
      <c r="AA197" s="7">
        <f>求节点(节奏总纲!F$4:F$163,T$5:T$164,$X197)*6</f>
        <v>42605.928300990068</v>
      </c>
      <c r="AB197" s="7">
        <f>求节点(节奏总纲!G$4:G$163,U$5:U$164,$X197)*6</f>
        <v>44788.664579885102</v>
      </c>
      <c r="AC197" s="7">
        <f>求节点(节奏总纲!H$4:H$163,V$5:V$164,$X197)*6</f>
        <v>48747.514087571173</v>
      </c>
      <c r="AG197" s="7">
        <v>193</v>
      </c>
      <c r="AH197" s="7">
        <v>1</v>
      </c>
      <c r="AI197" s="7">
        <f>[6]实力验证!$Z199</f>
        <v>1.6134601253230683</v>
      </c>
      <c r="AJ197" s="7">
        <f>[6]实力验证!$AE199</f>
        <v>2.8214892934555702</v>
      </c>
      <c r="AK197" s="7">
        <f>[6]实力验证!$AJ199</f>
        <v>8.1235613522291921</v>
      </c>
      <c r="AL197" s="7">
        <f>[6]实力验证!$AO199</f>
        <v>20.493110020946734</v>
      </c>
      <c r="AM197" s="7">
        <f t="shared" ref="AM197:AM260" si="13">AH197*H197*$M197*AH$2+AI197*I197*$M197*AI$2+AJ197*J197*$M197*AJ$2+AK197*K197*$M197*AK$2+AL197*L197*$M197*AL$2</f>
        <v>94.283374317444299</v>
      </c>
    </row>
    <row r="198" spans="2:39" x14ac:dyDescent="0.15">
      <c r="B198" s="7">
        <v>194</v>
      </c>
      <c r="C198" s="7">
        <f>[1]服务器生态!W215</f>
        <v>109.01288139946872</v>
      </c>
      <c r="D198" s="7">
        <f>[1]服务器生态!X215</f>
        <v>107.48769928252915</v>
      </c>
      <c r="E198" s="7">
        <f>[1]服务器生态!Y215</f>
        <v>8.7742521395020798</v>
      </c>
      <c r="F198" s="7">
        <f>[1]服务器生态!Z215</f>
        <v>1.5610014585000003</v>
      </c>
      <c r="G198" s="7">
        <f>[1]服务器生态!AA215</f>
        <v>0.45166571999999988</v>
      </c>
      <c r="H198" s="7">
        <f>[1]服务器生态!AC215</f>
        <v>0.47962550249999997</v>
      </c>
      <c r="I198" s="7">
        <f>[1]服务器生态!AD215</f>
        <v>0.47291513735919999</v>
      </c>
      <c r="J198" s="7">
        <f>[1]服务器生态!AE215</f>
        <v>3.8604200140800002E-2</v>
      </c>
      <c r="K198" s="7">
        <f>[1]服务器生态!AF215</f>
        <v>6.8679600000000019E-3</v>
      </c>
      <c r="L198" s="7">
        <f>[1]服务器生态!AG215</f>
        <v>1.9871999999999997E-3</v>
      </c>
      <c r="M198" s="7">
        <f>[5]基础信息!M197</f>
        <v>100</v>
      </c>
      <c r="X198" s="7">
        <v>194</v>
      </c>
      <c r="Y198" s="7">
        <f>求节点(节奏总纲!D$4:D$163,R$5:R$164,$X198)*6</f>
        <v>39956.254776165675</v>
      </c>
      <c r="Z198" s="7">
        <f>求节点(节奏总纲!E$4:E$163,S$5:S$164,$X198)*6</f>
        <v>41113.7827696889</v>
      </c>
      <c r="AA198" s="7">
        <f>求节点(节奏总纲!F$4:F$163,T$5:T$164,$X198)*6</f>
        <v>42634.582162972089</v>
      </c>
      <c r="AB198" s="7">
        <f>求节点(节奏总纲!G$4:G$163,U$5:U$164,$X198)*6</f>
        <v>44818.88307119286</v>
      </c>
      <c r="AC198" s="7">
        <f>求节点(节奏总纲!H$4:H$163,V$5:V$164,$X198)*6</f>
        <v>48776.754731887755</v>
      </c>
      <c r="AG198" s="7">
        <v>194</v>
      </c>
      <c r="AH198" s="7">
        <v>1</v>
      </c>
      <c r="AI198" s="7">
        <f>[6]实力验证!$Z200</f>
        <v>1.6117069295701876</v>
      </c>
      <c r="AJ198" s="7">
        <f>[6]实力验证!$AE200</f>
        <v>2.8180611300818956</v>
      </c>
      <c r="AK198" s="7">
        <f>[6]实力验证!$AJ200</f>
        <v>8.1141854686835391</v>
      </c>
      <c r="AL198" s="7">
        <f>[6]实力验证!$AO200</f>
        <v>20.387944010562929</v>
      </c>
      <c r="AM198" s="7">
        <f t="shared" si="13"/>
        <v>94.155130260129965</v>
      </c>
    </row>
    <row r="199" spans="2:39" x14ac:dyDescent="0.15">
      <c r="B199" s="7">
        <v>195</v>
      </c>
      <c r="C199" s="7">
        <f>[1]服务器生态!W216</f>
        <v>108.32042208023435</v>
      </c>
      <c r="D199" s="7">
        <f>[1]服务器生态!X216</f>
        <v>106.80492805296682</v>
      </c>
      <c r="E199" s="7">
        <f>[1]服务器生态!Y216</f>
        <v>8.7185173255487989</v>
      </c>
      <c r="F199" s="7">
        <f>[1]服务器生态!Z216</f>
        <v>1.5510858412500002</v>
      </c>
      <c r="G199" s="7">
        <f>[1]服务器生态!AA216</f>
        <v>0.44879669999999988</v>
      </c>
      <c r="H199" s="7">
        <f>[1]服务器生态!AC216</f>
        <v>0.47962550249999997</v>
      </c>
      <c r="I199" s="7">
        <f>[1]服务器生态!AD216</f>
        <v>0.47291513735919999</v>
      </c>
      <c r="J199" s="7">
        <f>[1]服务器生态!AE216</f>
        <v>3.8604200140800002E-2</v>
      </c>
      <c r="K199" s="7">
        <f>[1]服务器生态!AF216</f>
        <v>6.8679600000000019E-3</v>
      </c>
      <c r="L199" s="7">
        <f>[1]服务器生态!AG216</f>
        <v>1.9871999999999997E-3</v>
      </c>
      <c r="M199" s="7">
        <f>[5]基础信息!M198</f>
        <v>100</v>
      </c>
      <c r="X199" s="7">
        <v>195</v>
      </c>
      <c r="Y199" s="7">
        <f>求节点(节奏总纲!D$4:D$163,R$5:R$164,$X199)*6</f>
        <v>39985.700089623693</v>
      </c>
      <c r="Z199" s="7">
        <f>求节点(节奏总纲!E$4:E$163,S$5:S$164,$X199)*6</f>
        <v>41142.130586521911</v>
      </c>
      <c r="AA199" s="7">
        <f>求节点(节奏总纲!F$4:F$163,T$5:T$164,$X199)*6</f>
        <v>42663.236024954109</v>
      </c>
      <c r="AB199" s="7">
        <f>求节点(节奏总纲!G$4:G$163,U$5:U$164,$X199)*6</f>
        <v>44849.101562500626</v>
      </c>
      <c r="AC199" s="7">
        <f>求节点(节奏总纲!H$4:H$163,V$5:V$164,$X199)*6</f>
        <v>48805.995376204344</v>
      </c>
      <c r="AG199" s="7">
        <v>195</v>
      </c>
      <c r="AH199" s="7">
        <v>1</v>
      </c>
      <c r="AI199" s="7">
        <f>[6]实力验证!$Z201</f>
        <v>1.609976456687608</v>
      </c>
      <c r="AJ199" s="7">
        <f>[6]实力验证!$AE201</f>
        <v>2.8146789817155833</v>
      </c>
      <c r="AK199" s="7">
        <f>[6]实力验证!$AJ201</f>
        <v>8.1049335022635063</v>
      </c>
      <c r="AL199" s="7">
        <f>[6]实力验证!$AO201</f>
        <v>20.284503268823808</v>
      </c>
      <c r="AM199" s="7">
        <f t="shared" si="13"/>
        <v>94.028706611577633</v>
      </c>
    </row>
    <row r="200" spans="2:39" x14ac:dyDescent="0.15">
      <c r="B200" s="7">
        <v>196</v>
      </c>
      <c r="C200" s="7">
        <f>[1]服务器生态!W217</f>
        <v>107.62796276099998</v>
      </c>
      <c r="D200" s="7">
        <f>[1]服务器生态!X217</f>
        <v>106.12215682340447</v>
      </c>
      <c r="E200" s="7">
        <f>[1]服务器生态!Y217</f>
        <v>8.6627825115955197</v>
      </c>
      <c r="F200" s="7">
        <f>[1]服务器生态!Z217</f>
        <v>1.5411702240000003</v>
      </c>
      <c r="G200" s="7">
        <f>[1]服务器生态!AA217</f>
        <v>0.44592767999999988</v>
      </c>
      <c r="H200" s="7">
        <f>[1]服务器生态!AC217</f>
        <v>0.47962550249999997</v>
      </c>
      <c r="I200" s="7">
        <f>[1]服务器生态!AD217</f>
        <v>0.47291513735919999</v>
      </c>
      <c r="J200" s="7">
        <f>[1]服务器生态!AE217</f>
        <v>3.8604200140800002E-2</v>
      </c>
      <c r="K200" s="7">
        <f>[1]服务器生态!AF217</f>
        <v>6.8679600000000019E-3</v>
      </c>
      <c r="L200" s="7">
        <f>[1]服务器生态!AG217</f>
        <v>1.9871999999999997E-3</v>
      </c>
      <c r="M200" s="7">
        <f>[5]基础信息!M199</f>
        <v>100</v>
      </c>
      <c r="X200" s="7">
        <v>196</v>
      </c>
      <c r="Y200" s="7">
        <f>求节点(节奏总纲!D$4:D$163,R$5:R$164,$X200)*6</f>
        <v>40015.145403081704</v>
      </c>
      <c r="Z200" s="7">
        <f>求节点(节奏总纲!E$4:E$163,S$5:S$164,$X200)*6</f>
        <v>41170.478403354922</v>
      </c>
      <c r="AA200" s="7">
        <f>求节点(节奏总纲!F$4:F$163,T$5:T$164,$X200)*6</f>
        <v>42691.889886936129</v>
      </c>
      <c r="AB200" s="7">
        <f>求节点(节奏总纲!G$4:G$163,U$5:U$164,$X200)*6</f>
        <v>44879.320053808391</v>
      </c>
      <c r="AC200" s="7">
        <f>求节点(节奏总纲!H$4:H$163,V$5:V$164,$X200)*6</f>
        <v>48835.236020520926</v>
      </c>
      <c r="AG200" s="7">
        <v>196</v>
      </c>
      <c r="AH200" s="7">
        <v>1</v>
      </c>
      <c r="AI200" s="7">
        <f>[6]实力验证!$Z202</f>
        <v>1.6082757159770147</v>
      </c>
      <c r="AJ200" s="7">
        <f>[6]实力验证!$AE202</f>
        <v>2.81135494383336</v>
      </c>
      <c r="AK200" s="7">
        <f>[6]实力验证!$AJ202</f>
        <v>8.0958404987833639</v>
      </c>
      <c r="AL200" s="7">
        <f>[6]实力验证!$AO202</f>
        <v>20.182839797306439</v>
      </c>
      <c r="AM200" s="7">
        <f t="shared" si="13"/>
        <v>93.904455114753162</v>
      </c>
    </row>
    <row r="201" spans="2:39" x14ac:dyDescent="0.15">
      <c r="B201" s="7">
        <v>197</v>
      </c>
      <c r="C201" s="7">
        <f>[1]服务器生态!W218</f>
        <v>106.93550344176559</v>
      </c>
      <c r="D201" s="7">
        <f>[1]服务器生态!X218</f>
        <v>105.4393855938421</v>
      </c>
      <c r="E201" s="7">
        <f>[1]服务器生态!Y218</f>
        <v>8.6070476976422388</v>
      </c>
      <c r="F201" s="7">
        <f>[1]服务器生态!Z218</f>
        <v>1.5312546067500001</v>
      </c>
      <c r="G201" s="7">
        <f>[1]服务器生态!AA218</f>
        <v>0.44305865999999983</v>
      </c>
      <c r="H201" s="7">
        <f>[1]服务器生态!AC218</f>
        <v>0.47962550249999997</v>
      </c>
      <c r="I201" s="7">
        <f>[1]服务器生态!AD218</f>
        <v>0.47291513735919999</v>
      </c>
      <c r="J201" s="7">
        <f>[1]服务器生态!AE218</f>
        <v>3.8604200140800002E-2</v>
      </c>
      <c r="K201" s="7">
        <f>[1]服务器生态!AF218</f>
        <v>6.8679600000000019E-3</v>
      </c>
      <c r="L201" s="7">
        <f>[1]服务器生态!AG218</f>
        <v>1.9871999999999997E-3</v>
      </c>
      <c r="M201" s="7">
        <f>[5]基础信息!M200</f>
        <v>100</v>
      </c>
      <c r="X201" s="7">
        <v>197</v>
      </c>
      <c r="Y201" s="7">
        <f>求节点(节奏总纲!D$4:D$163,R$5:R$164,$X201)*6</f>
        <v>40044.590716539722</v>
      </c>
      <c r="Z201" s="7">
        <f>求节点(节奏总纲!E$4:E$163,S$5:S$164,$X201)*6</f>
        <v>41198.826220187933</v>
      </c>
      <c r="AA201" s="7">
        <f>求节点(节奏总纲!F$4:F$163,T$5:T$164,$X201)*6</f>
        <v>42720.543748918157</v>
      </c>
      <c r="AB201" s="7">
        <f>求节点(节奏总纲!G$4:G$163,U$5:U$164,$X201)*6</f>
        <v>44909.538545116156</v>
      </c>
      <c r="AC201" s="7">
        <f>求节点(节奏总纲!H$4:H$163,V$5:V$164,$X201)*6</f>
        <v>48864.476664837508</v>
      </c>
      <c r="AG201" s="7">
        <v>197</v>
      </c>
      <c r="AH201" s="7">
        <v>1</v>
      </c>
      <c r="AI201" s="7">
        <f>[6]实力验证!$Z203</f>
        <v>1.6066039476988383</v>
      </c>
      <c r="AJ201" s="7">
        <f>[6]实力验证!$AE203</f>
        <v>2.8080875315509681</v>
      </c>
      <c r="AK201" s="7">
        <f>[6]实力验证!$AJ203</f>
        <v>8.0869023962985054</v>
      </c>
      <c r="AL201" s="7">
        <f>[6]实力验证!$AO203</f>
        <v>20.082908181820638</v>
      </c>
      <c r="AM201" s="7">
        <f t="shared" si="13"/>
        <v>93.782320265147149</v>
      </c>
    </row>
    <row r="202" spans="2:39" x14ac:dyDescent="0.15">
      <c r="B202" s="7">
        <v>198</v>
      </c>
      <c r="C202" s="7">
        <f>[1]服务器生态!W219</f>
        <v>106.24304412253122</v>
      </c>
      <c r="D202" s="7">
        <f>[1]服务器生态!X219</f>
        <v>104.75661436427977</v>
      </c>
      <c r="E202" s="7">
        <f>[1]服务器生态!Y219</f>
        <v>8.5513128836889596</v>
      </c>
      <c r="F202" s="7">
        <f>[1]服务器生态!Z219</f>
        <v>1.5213389895000002</v>
      </c>
      <c r="G202" s="7">
        <f>[1]服务器生态!AA219</f>
        <v>0.44018963999999988</v>
      </c>
      <c r="H202" s="7">
        <f>[1]服务器生态!AC219</f>
        <v>0.47962550249999997</v>
      </c>
      <c r="I202" s="7">
        <f>[1]服务器生态!AD219</f>
        <v>0.47291513735919999</v>
      </c>
      <c r="J202" s="7">
        <f>[1]服务器生态!AE219</f>
        <v>3.8604200140800002E-2</v>
      </c>
      <c r="K202" s="7">
        <f>[1]服务器生态!AF219</f>
        <v>6.8679600000000019E-3</v>
      </c>
      <c r="L202" s="7">
        <f>[1]服务器生态!AG219</f>
        <v>1.9871999999999997E-3</v>
      </c>
      <c r="M202" s="7">
        <f>[5]基础信息!M201</f>
        <v>100</v>
      </c>
      <c r="X202" s="7">
        <v>198</v>
      </c>
      <c r="Y202" s="7">
        <f>求节点(节奏总纲!D$4:D$163,R$5:R$164,$X202)*6</f>
        <v>40074.036029997733</v>
      </c>
      <c r="Z202" s="7">
        <f>求节点(节奏总纲!E$4:E$163,S$5:S$164,$X202)*6</f>
        <v>41227.174037020945</v>
      </c>
      <c r="AA202" s="7">
        <f>求节点(节奏总纲!F$4:F$163,T$5:T$164,$X202)*6</f>
        <v>42749.197610900177</v>
      </c>
      <c r="AB202" s="7">
        <f>求节点(节奏总纲!G$4:G$163,U$5:U$164,$X202)*6</f>
        <v>44939.757036423915</v>
      </c>
      <c r="AC202" s="7">
        <f>求节点(节奏总纲!H$4:H$163,V$5:V$164,$X202)*6</f>
        <v>48893.717309154097</v>
      </c>
      <c r="AG202" s="7">
        <v>198</v>
      </c>
      <c r="AH202" s="7">
        <v>1</v>
      </c>
      <c r="AI202" s="7">
        <f>[6]实力验证!$Z204</f>
        <v>1.604960417779504</v>
      </c>
      <c r="AJ202" s="7">
        <f>[6]实力验证!$AE204</f>
        <v>2.8048753101474317</v>
      </c>
      <c r="AK202" s="7">
        <f>[6]实力验证!$AJ204</f>
        <v>8.0781152700874728</v>
      </c>
      <c r="AL202" s="7">
        <f>[6]实力验证!$AO204</f>
        <v>19.984664542386703</v>
      </c>
      <c r="AM202" s="7">
        <f t="shared" si="13"/>
        <v>93.662248433338149</v>
      </c>
    </row>
    <row r="203" spans="2:39" x14ac:dyDescent="0.15">
      <c r="B203" s="7">
        <v>199</v>
      </c>
      <c r="C203" s="7">
        <f>[1]服务器生态!W220</f>
        <v>105.55058480329686</v>
      </c>
      <c r="D203" s="7">
        <f>[1]服务器生态!X220</f>
        <v>104.07384313471742</v>
      </c>
      <c r="E203" s="7">
        <f>[1]服务器生态!Y220</f>
        <v>8.4955780697356786</v>
      </c>
      <c r="F203" s="7">
        <f>[1]服务器生态!Z220</f>
        <v>1.5114233722500001</v>
      </c>
      <c r="G203" s="7">
        <f>[1]服务器生态!AA220</f>
        <v>0.43732061999999988</v>
      </c>
      <c r="H203" s="7">
        <f>[1]服务器生态!AC220</f>
        <v>0.47962550249999997</v>
      </c>
      <c r="I203" s="7">
        <f>[1]服务器生态!AD220</f>
        <v>0.47291513735919999</v>
      </c>
      <c r="J203" s="7">
        <f>[1]服务器生态!AE220</f>
        <v>3.8604200140800002E-2</v>
      </c>
      <c r="K203" s="7">
        <f>[1]服务器生态!AF220</f>
        <v>6.8679600000000019E-3</v>
      </c>
      <c r="L203" s="7">
        <f>[1]服务器生态!AG220</f>
        <v>1.9871999999999997E-3</v>
      </c>
      <c r="M203" s="7">
        <f>[5]基础信息!M202</f>
        <v>100</v>
      </c>
      <c r="X203" s="7">
        <v>199</v>
      </c>
      <c r="Y203" s="7">
        <f>求节点(节奏总纲!D$4:D$163,R$5:R$164,$X203)*6</f>
        <v>40103.481343455758</v>
      </c>
      <c r="Z203" s="7">
        <f>求节点(节奏总纲!E$4:E$163,S$5:S$164,$X203)*6</f>
        <v>41255.521853853956</v>
      </c>
      <c r="AA203" s="7">
        <f>求节点(节奏总纲!F$4:F$163,T$5:T$164,$X203)*6</f>
        <v>42777.851472882197</v>
      </c>
      <c r="AB203" s="7">
        <f>求节点(节奏总纲!G$4:G$163,U$5:U$164,$X203)*6</f>
        <v>44969.97552773168</v>
      </c>
      <c r="AC203" s="7">
        <f>求节点(节奏总纲!H$4:H$163,V$5:V$164,$X203)*6</f>
        <v>48922.957953470679</v>
      </c>
      <c r="AG203" s="7">
        <v>199</v>
      </c>
      <c r="AH203" s="7">
        <v>1</v>
      </c>
      <c r="AI203" s="7">
        <f>[6]实力验证!$Z205</f>
        <v>1.6033444167366813</v>
      </c>
      <c r="AJ203" s="7">
        <f>[6]实力验证!$AE205</f>
        <v>2.8017168929644964</v>
      </c>
      <c r="AK203" s="7">
        <f>[6]实力验证!$AJ205</f>
        <v>8.0694753269057884</v>
      </c>
      <c r="AL203" s="7">
        <f>[6]实力验证!$AO205</f>
        <v>19.888066468990914</v>
      </c>
      <c r="AM203" s="7">
        <f t="shared" si="13"/>
        <v>93.544187786474083</v>
      </c>
    </row>
    <row r="204" spans="2:39" x14ac:dyDescent="0.15">
      <c r="B204" s="7">
        <v>200</v>
      </c>
      <c r="C204" s="7">
        <f>[1]服务器生态!W221</f>
        <v>104.85812548406248</v>
      </c>
      <c r="D204" s="7">
        <f>[1]服务器生态!X221</f>
        <v>103.39107190515509</v>
      </c>
      <c r="E204" s="7">
        <f>[1]服务器生态!Y221</f>
        <v>8.4398432557823995</v>
      </c>
      <c r="F204" s="7">
        <f>[1]服务器生态!Z221</f>
        <v>1.5015077550000002</v>
      </c>
      <c r="G204" s="7">
        <f>[1]服务器生态!AA221</f>
        <v>0.43445159999999988</v>
      </c>
      <c r="H204" s="7">
        <f>[1]服务器生态!AC221</f>
        <v>0.47962550249999997</v>
      </c>
      <c r="I204" s="7">
        <f>[1]服务器生态!AD221</f>
        <v>0.47291513735919999</v>
      </c>
      <c r="J204" s="7">
        <f>[1]服务器生态!AE221</f>
        <v>3.8604200140800002E-2</v>
      </c>
      <c r="K204" s="7">
        <f>[1]服务器生态!AF221</f>
        <v>6.8679600000000019E-3</v>
      </c>
      <c r="L204" s="7">
        <f>[1]服务器生态!AG221</f>
        <v>1.9871999999999997E-3</v>
      </c>
      <c r="M204" s="7">
        <f>[5]基础信息!M203</f>
        <v>100</v>
      </c>
      <c r="X204" s="7">
        <v>200</v>
      </c>
      <c r="Y204" s="7">
        <f>求节点(节奏总纲!D$4:D$163,R$5:R$164,$X204)*6</f>
        <v>40132.926656913769</v>
      </c>
      <c r="Z204" s="7">
        <f>求节点(节奏总纲!E$4:E$163,S$5:S$164,$X204)*6</f>
        <v>41283.869670686967</v>
      </c>
      <c r="AA204" s="7">
        <f>求节点(节奏总纲!F$4:F$163,T$5:T$164,$X204)*6</f>
        <v>42806.505334864225</v>
      </c>
      <c r="AB204" s="7">
        <f>求节点(节奏总纲!G$4:G$163,U$5:U$164,$X204)*6</f>
        <v>44999.155316672324</v>
      </c>
      <c r="AC204" s="7">
        <f>求节点(节奏总纲!H$4:H$163,V$5:V$164,$X204)*6</f>
        <v>48952.198597787268</v>
      </c>
      <c r="AG204" s="7">
        <v>200</v>
      </c>
      <c r="AH204" s="7">
        <v>1</v>
      </c>
      <c r="AI204" s="7">
        <f>[6]实力验证!$Z206</f>
        <v>1.6017552586580812</v>
      </c>
      <c r="AJ204" s="7">
        <f>[6]实力验证!$AE206</f>
        <v>2.7986109394107279</v>
      </c>
      <c r="AK204" s="7">
        <f>[6]实力验证!$AJ206</f>
        <v>8.065321290143098</v>
      </c>
      <c r="AL204" s="7">
        <f>[6]实力验证!$AO206</f>
        <v>19.793072960542496</v>
      </c>
      <c r="AM204" s="7">
        <f t="shared" si="13"/>
        <v>93.434052886678629</v>
      </c>
    </row>
    <row r="205" spans="2:39" x14ac:dyDescent="0.15">
      <c r="B205" s="7">
        <v>201</v>
      </c>
      <c r="C205" s="7">
        <f>[1]服务器生态!W222</f>
        <v>104.16566616482811</v>
      </c>
      <c r="D205" s="7">
        <f>[1]服务器生态!X222</f>
        <v>102.70830067559274</v>
      </c>
      <c r="E205" s="7">
        <f>[1]服务器生态!Y222</f>
        <v>8.3841084418291203</v>
      </c>
      <c r="F205" s="7">
        <f>[1]服务器生态!Z222</f>
        <v>1.4915921377500003</v>
      </c>
      <c r="G205" s="7">
        <f>[1]服务器生态!AA222</f>
        <v>0.43158257999999988</v>
      </c>
      <c r="H205" s="7">
        <f>[1]服务器生态!AC222</f>
        <v>0.47962550249999997</v>
      </c>
      <c r="I205" s="7">
        <f>[1]服务器生态!AD222</f>
        <v>0.47291513735919999</v>
      </c>
      <c r="J205" s="7">
        <f>[1]服务器生态!AE222</f>
        <v>3.8604200140800002E-2</v>
      </c>
      <c r="K205" s="7">
        <f>[1]服务器生态!AF222</f>
        <v>6.8679600000000019E-3</v>
      </c>
      <c r="L205" s="7">
        <f>[1]服务器生态!AG222</f>
        <v>1.9871999999999997E-3</v>
      </c>
      <c r="M205" s="7">
        <f>[5]基础信息!M204</f>
        <v>100</v>
      </c>
      <c r="X205" s="7">
        <v>201</v>
      </c>
      <c r="Y205" s="7">
        <f>求节点(节奏总纲!D$4:D$163,R$5:R$164,$X205)*6</f>
        <v>40162.371970371787</v>
      </c>
      <c r="Z205" s="7">
        <f>求节点(节奏总纲!E$4:E$163,S$5:S$164,$X205)*6</f>
        <v>41312.217487519978</v>
      </c>
      <c r="AA205" s="7">
        <f>求节点(节奏总纲!F$4:F$163,T$5:T$164,$X205)*6</f>
        <v>42835.159196846245</v>
      </c>
      <c r="AB205" s="7">
        <f>求节点(节奏总纲!G$4:G$163,U$5:U$164,$X205)*6</f>
        <v>45027.658427964649</v>
      </c>
      <c r="AC205" s="7">
        <f>求节点(节奏总纲!H$4:H$163,V$5:V$164,$X205)*6</f>
        <v>48981.43924210385</v>
      </c>
      <c r="AG205" s="7">
        <v>201</v>
      </c>
      <c r="AH205" s="7">
        <v>1</v>
      </c>
      <c r="AI205" s="7">
        <f>[6]实力验证!$Z207</f>
        <v>1.6001922802307365</v>
      </c>
      <c r="AJ205" s="7">
        <f>[6]实力验证!$AE207</f>
        <v>2.795556153064267</v>
      </c>
      <c r="AK205" s="7">
        <f>[6]实力验证!$AJ207</f>
        <v>8.0640412980256393</v>
      </c>
      <c r="AL205" s="7">
        <f>[6]实力验证!$AO207</f>
        <v>19.699644366847458</v>
      </c>
      <c r="AM205" s="7">
        <f t="shared" si="13"/>
        <v>93.329586104977324</v>
      </c>
    </row>
    <row r="206" spans="2:39" x14ac:dyDescent="0.15">
      <c r="B206" s="7">
        <v>202</v>
      </c>
      <c r="C206" s="7">
        <f>[1]服务器生态!W223</f>
        <v>103.47320684559372</v>
      </c>
      <c r="D206" s="7">
        <f>[1]服务器生态!X223</f>
        <v>102.02552944603039</v>
      </c>
      <c r="E206" s="7">
        <f>[1]服务器生态!Y223</f>
        <v>8.3283736278758393</v>
      </c>
      <c r="F206" s="7">
        <f>[1]服务器生态!Z223</f>
        <v>1.4816765205000002</v>
      </c>
      <c r="G206" s="7">
        <f>[1]服务器生态!AA223</f>
        <v>0.42871355999999983</v>
      </c>
      <c r="H206" s="7">
        <f>[1]服务器生态!AC223</f>
        <v>0.47962550249999997</v>
      </c>
      <c r="I206" s="7">
        <f>[1]服务器生态!AD223</f>
        <v>0.47291513735919999</v>
      </c>
      <c r="J206" s="7">
        <f>[1]服务器生态!AE223</f>
        <v>3.8604200140800002E-2</v>
      </c>
      <c r="K206" s="7">
        <f>[1]服务器生态!AF223</f>
        <v>6.8679600000000019E-3</v>
      </c>
      <c r="L206" s="7">
        <f>[1]服务器生态!AG223</f>
        <v>1.9871999999999997E-3</v>
      </c>
      <c r="M206" s="7">
        <f>[5]基础信息!M205</f>
        <v>100</v>
      </c>
      <c r="X206" s="7">
        <v>202</v>
      </c>
      <c r="Y206" s="7">
        <f>求节点(节奏总纲!D$4:D$163,R$5:R$164,$X206)*6</f>
        <v>40191.817283829798</v>
      </c>
      <c r="Z206" s="7">
        <f>求节点(节奏总纲!E$4:E$163,S$5:S$164,$X206)*6</f>
        <v>41340.565304352989</v>
      </c>
      <c r="AA206" s="7">
        <f>求节点(节奏总纲!F$4:F$163,T$5:T$164,$X206)*6</f>
        <v>42863.813058828266</v>
      </c>
      <c r="AB206" s="7">
        <f>求节点(节奏总纲!G$4:G$163,U$5:U$164,$X206)*6</f>
        <v>45056.161539256966</v>
      </c>
      <c r="AC206" s="7">
        <f>求节点(节奏总纲!H$4:H$163,V$5:V$164,$X206)*6</f>
        <v>49010.679886420432</v>
      </c>
      <c r="AG206" s="7">
        <v>202</v>
      </c>
      <c r="AH206" s="7">
        <v>1</v>
      </c>
      <c r="AI206" s="7">
        <f>[6]实力验证!$Z208</f>
        <v>1.5986548398178519</v>
      </c>
      <c r="AJ206" s="7">
        <f>[6]实力验证!$AE208</f>
        <v>2.7925512798685719</v>
      </c>
      <c r="AK206" s="7">
        <f>[6]实力验证!$AJ208</f>
        <v>8.062782220116997</v>
      </c>
      <c r="AL206" s="7">
        <f>[6]实力验证!$AO208</f>
        <v>19.607742333426721</v>
      </c>
      <c r="AM206" s="7">
        <f t="shared" si="13"/>
        <v>93.226826240105467</v>
      </c>
    </row>
    <row r="207" spans="2:39" x14ac:dyDescent="0.15">
      <c r="B207" s="7">
        <v>203</v>
      </c>
      <c r="C207" s="7">
        <f>[1]服务器生态!W224</f>
        <v>102.78074752635935</v>
      </c>
      <c r="D207" s="7">
        <f>[1]服务器生态!X224</f>
        <v>101.34275821646804</v>
      </c>
      <c r="E207" s="7">
        <f>[1]服务器生态!Y224</f>
        <v>8.2726388139225584</v>
      </c>
      <c r="F207" s="7">
        <f>[1]服务器生态!Z224</f>
        <v>1.4717609032500001</v>
      </c>
      <c r="G207" s="7">
        <f>[1]服务器生态!AA224</f>
        <v>0.42584453999999988</v>
      </c>
      <c r="H207" s="7">
        <f>[1]服务器生态!AC224</f>
        <v>0.47962550249999997</v>
      </c>
      <c r="I207" s="7">
        <f>[1]服务器生态!AD224</f>
        <v>0.47291513735919999</v>
      </c>
      <c r="J207" s="7">
        <f>[1]服务器生态!AE224</f>
        <v>3.8604200140800002E-2</v>
      </c>
      <c r="K207" s="7">
        <f>[1]服务器生态!AF224</f>
        <v>6.8679600000000019E-3</v>
      </c>
      <c r="L207" s="7">
        <f>[1]服务器生态!AG224</f>
        <v>1.9871999999999997E-3</v>
      </c>
      <c r="M207" s="7">
        <f>[5]基础信息!M206</f>
        <v>100</v>
      </c>
      <c r="X207" s="7">
        <v>203</v>
      </c>
      <c r="Y207" s="7">
        <f>求节点(节奏总纲!D$4:D$163,R$5:R$164,$X207)*6</f>
        <v>40221.262597287816</v>
      </c>
      <c r="Z207" s="7">
        <f>求节点(节奏总纲!E$4:E$163,S$5:S$164,$X207)*6</f>
        <v>41368.913121186</v>
      </c>
      <c r="AA207" s="7">
        <f>求节点(节奏总纲!F$4:F$163,T$5:T$164,$X207)*6</f>
        <v>42892.466920810286</v>
      </c>
      <c r="AB207" s="7">
        <f>求节点(节奏总纲!G$4:G$163,U$5:U$164,$X207)*6</f>
        <v>45084.664650549283</v>
      </c>
      <c r="AC207" s="7">
        <f>求节点(节奏总纲!H$4:H$163,V$5:V$164,$X207)*6</f>
        <v>49039.920530737014</v>
      </c>
      <c r="AG207" s="7">
        <v>203</v>
      </c>
      <c r="AH207" s="7">
        <v>1</v>
      </c>
      <c r="AI207" s="7">
        <f>[6]实力验证!$Z209</f>
        <v>1.5971423165805463</v>
      </c>
      <c r="AJ207" s="7">
        <f>[6]实力验证!$AE209</f>
        <v>2.7895951064158928</v>
      </c>
      <c r="AK207" s="7">
        <f>[6]实力验证!$AJ209</f>
        <v>8.061543547984769</v>
      </c>
      <c r="AL207" s="7">
        <f>[6]实力验证!$AO209</f>
        <v>19.517329749017229</v>
      </c>
      <c r="AM207" s="7">
        <f t="shared" si="13"/>
        <v>93.125731796263267</v>
      </c>
    </row>
    <row r="208" spans="2:39" x14ac:dyDescent="0.15">
      <c r="B208" s="7">
        <v>204</v>
      </c>
      <c r="C208" s="7">
        <f>[1]服务器生态!W225</f>
        <v>102.08828820712499</v>
      </c>
      <c r="D208" s="7">
        <f>[1]服务器生态!X225</f>
        <v>100.65998698690572</v>
      </c>
      <c r="E208" s="7">
        <f>[1]服务器生态!Y225</f>
        <v>8.216903999969281</v>
      </c>
      <c r="F208" s="7">
        <f>[1]服务器生态!Z225</f>
        <v>1.4618452860000004</v>
      </c>
      <c r="G208" s="7">
        <f>[1]服务器生态!AA225</f>
        <v>0.42297551999999994</v>
      </c>
      <c r="H208" s="7">
        <f>[1]服务器生态!AC225</f>
        <v>0.47962550249999997</v>
      </c>
      <c r="I208" s="7">
        <f>[1]服务器生态!AD225</f>
        <v>0.47291513735919999</v>
      </c>
      <c r="J208" s="7">
        <f>[1]服务器生态!AE225</f>
        <v>3.8604200140800002E-2</v>
      </c>
      <c r="K208" s="7">
        <f>[1]服务器生态!AF225</f>
        <v>6.8679600000000019E-3</v>
      </c>
      <c r="L208" s="7">
        <f>[1]服务器生态!AG225</f>
        <v>1.9871999999999997E-3</v>
      </c>
      <c r="M208" s="7">
        <f>[5]基础信息!M207</f>
        <v>100</v>
      </c>
      <c r="X208" s="7">
        <v>204</v>
      </c>
      <c r="Y208" s="7">
        <f>求节点(节奏总纲!D$4:D$163,R$5:R$164,$X208)*6</f>
        <v>40250.707910745834</v>
      </c>
      <c r="Z208" s="7">
        <f>求节点(节奏总纲!E$4:E$163,S$5:S$164,$X208)*6</f>
        <v>41397.260938019012</v>
      </c>
      <c r="AA208" s="7">
        <f>求节点(节奏总纲!F$4:F$163,T$5:T$164,$X208)*6</f>
        <v>42921.120782792306</v>
      </c>
      <c r="AB208" s="7">
        <f>求节点(节奏总纲!G$4:G$163,U$5:U$164,$X208)*6</f>
        <v>45113.1677618416</v>
      </c>
      <c r="AC208" s="7">
        <f>求节点(节奏总纲!H$4:H$163,V$5:V$164,$X208)*6</f>
        <v>49069.161175053596</v>
      </c>
      <c r="AG208" s="7">
        <v>204</v>
      </c>
      <c r="AH208" s="7">
        <v>1</v>
      </c>
      <c r="AI208" s="7">
        <f>[6]实力验证!$Z210</f>
        <v>1.5956541096419514</v>
      </c>
      <c r="AJ208" s="7">
        <f>[6]实力验证!$AE210</f>
        <v>2.7866864583135311</v>
      </c>
      <c r="AK208" s="7">
        <f>[6]实力验证!$AJ210</f>
        <v>8.06032478954433</v>
      </c>
      <c r="AL208" s="7">
        <f>[6]实力验证!$AO210</f>
        <v>19.428370695605125</v>
      </c>
      <c r="AM208" s="7">
        <f t="shared" si="13"/>
        <v>93.026262611877485</v>
      </c>
    </row>
    <row r="209" spans="2:39" x14ac:dyDescent="0.15">
      <c r="B209" s="7">
        <v>205</v>
      </c>
      <c r="C209" s="7">
        <f>[1]服务器生态!W226</f>
        <v>101.3958288878906</v>
      </c>
      <c r="D209" s="7">
        <f>[1]服务器生态!X226</f>
        <v>99.977215757343359</v>
      </c>
      <c r="E209" s="7">
        <f>[1]服务器生态!Y226</f>
        <v>8.1611691860160001</v>
      </c>
      <c r="F209" s="7">
        <f>[1]服务器生态!Z226</f>
        <v>1.4519296687500003</v>
      </c>
      <c r="G209" s="7">
        <f>[1]服务器生态!AA226</f>
        <v>0.42010649999999988</v>
      </c>
      <c r="H209" s="7">
        <f>[1]服务器生态!AC226</f>
        <v>0.47962550249999997</v>
      </c>
      <c r="I209" s="7">
        <f>[1]服务器生态!AD226</f>
        <v>0.47291513735919999</v>
      </c>
      <c r="J209" s="7">
        <f>[1]服务器生态!AE226</f>
        <v>3.8604200140800002E-2</v>
      </c>
      <c r="K209" s="7">
        <f>[1]服务器生态!AF226</f>
        <v>6.8679600000000019E-3</v>
      </c>
      <c r="L209" s="7">
        <f>[1]服务器生态!AG226</f>
        <v>1.9871999999999997E-3</v>
      </c>
      <c r="M209" s="7">
        <f>[5]基础信息!M208</f>
        <v>100</v>
      </c>
      <c r="X209" s="7">
        <v>205</v>
      </c>
      <c r="Y209" s="7">
        <f>求节点(节奏总纲!D$4:D$163,R$5:R$164,$X209)*6</f>
        <v>40280.153224203845</v>
      </c>
      <c r="Z209" s="7">
        <f>求节点(节奏总纲!E$4:E$163,S$5:S$164,$X209)*6</f>
        <v>41425.608754852023</v>
      </c>
      <c r="AA209" s="7">
        <f>求节点(节奏总纲!F$4:F$163,T$5:T$164,$X209)*6</f>
        <v>42949.774644774327</v>
      </c>
      <c r="AB209" s="7">
        <f>求节点(节奏总纲!G$4:G$163,U$5:U$164,$X209)*6</f>
        <v>45141.670873133917</v>
      </c>
      <c r="AC209" s="7">
        <f>求节点(节奏总纲!H$4:H$163,V$5:V$164,$X209)*6</f>
        <v>49098.401819370192</v>
      </c>
      <c r="AG209" s="7">
        <v>205</v>
      </c>
      <c r="AH209" s="7">
        <v>1</v>
      </c>
      <c r="AI209" s="7">
        <f>[6]实力验证!$Z211</f>
        <v>1.5941896372913027</v>
      </c>
      <c r="AJ209" s="7">
        <f>[6]实力验证!$AE211</f>
        <v>2.7838241986282632</v>
      </c>
      <c r="AK209" s="7">
        <f>[6]实力验证!$AJ211</f>
        <v>8.059125468407025</v>
      </c>
      <c r="AL209" s="7">
        <f>[6]实力验证!$AO211</f>
        <v>19.340830400849548</v>
      </c>
      <c r="AM209" s="7">
        <f t="shared" si="13"/>
        <v>92.928379806404138</v>
      </c>
    </row>
    <row r="210" spans="2:39" x14ac:dyDescent="0.15">
      <c r="B210" s="7">
        <v>206</v>
      </c>
      <c r="C210" s="7">
        <f>[1]服务器生态!W227</f>
        <v>100.70336956865623</v>
      </c>
      <c r="D210" s="7">
        <f>[1]服务器生态!X227</f>
        <v>99.29444452778101</v>
      </c>
      <c r="E210" s="7">
        <f>[1]服务器生态!Y227</f>
        <v>8.1054343720627191</v>
      </c>
      <c r="F210" s="7">
        <f>[1]服务器生态!Z227</f>
        <v>1.4420140515000002</v>
      </c>
      <c r="G210" s="7">
        <f>[1]服务器生态!AA227</f>
        <v>0.41723747999999988</v>
      </c>
      <c r="H210" s="7">
        <f>[1]服务器生态!AC227</f>
        <v>0.47962550249999997</v>
      </c>
      <c r="I210" s="7">
        <f>[1]服务器生态!AD227</f>
        <v>0.47291513735919999</v>
      </c>
      <c r="J210" s="7">
        <f>[1]服务器生态!AE227</f>
        <v>3.8604200140800002E-2</v>
      </c>
      <c r="K210" s="7">
        <f>[1]服务器生态!AF227</f>
        <v>6.8679600000000019E-3</v>
      </c>
      <c r="L210" s="7">
        <f>[1]服务器生态!AG227</f>
        <v>1.9871999999999997E-3</v>
      </c>
      <c r="M210" s="7">
        <f>[5]基础信息!M209</f>
        <v>100</v>
      </c>
      <c r="X210" s="7">
        <v>206</v>
      </c>
      <c r="Y210" s="7">
        <f>求节点(节奏总纲!D$4:D$163,R$5:R$164,$X210)*6</f>
        <v>40309.598537661863</v>
      </c>
      <c r="Z210" s="7">
        <f>求节点(节奏总纲!E$4:E$163,S$5:S$164,$X210)*6</f>
        <v>41453.956571685041</v>
      </c>
      <c r="AA210" s="7">
        <f>求节点(节奏总纲!F$4:F$163,T$5:T$164,$X210)*6</f>
        <v>42978.428506756354</v>
      </c>
      <c r="AB210" s="7">
        <f>求节点(节奏总纲!G$4:G$163,U$5:U$164,$X210)*6</f>
        <v>45170.173984426234</v>
      </c>
      <c r="AC210" s="7">
        <f>求节点(节奏总纲!H$4:H$163,V$5:V$164,$X210)*6</f>
        <v>49127.642463686774</v>
      </c>
      <c r="AG210" s="7">
        <v>206</v>
      </c>
      <c r="AH210" s="7">
        <v>1</v>
      </c>
      <c r="AI210" s="7">
        <f>[6]实力验证!$Z212</f>
        <v>1.5927483362258126</v>
      </c>
      <c r="AJ210" s="7">
        <f>[6]实力验证!$AE212</f>
        <v>2.7810072264046104</v>
      </c>
      <c r="AK210" s="7">
        <f>[6]实力验证!$AJ212</f>
        <v>8.0579451232593016</v>
      </c>
      <c r="AL210" s="7">
        <f>[6]实力验证!$AO212</f>
        <v>19.254675192764765</v>
      </c>
      <c r="AM210" s="7">
        <f t="shared" si="13"/>
        <v>92.832045729656713</v>
      </c>
    </row>
    <row r="211" spans="2:39" x14ac:dyDescent="0.15">
      <c r="B211" s="7">
        <v>207</v>
      </c>
      <c r="C211" s="7">
        <f>[1]服务器生态!W228</f>
        <v>100.01091024942184</v>
      </c>
      <c r="D211" s="7">
        <f>[1]服务器生态!X228</f>
        <v>98.611673298218662</v>
      </c>
      <c r="E211" s="7">
        <f>[1]服务器生态!Y228</f>
        <v>8.0496995581094382</v>
      </c>
      <c r="F211" s="7">
        <f>[1]服务器生态!Z228</f>
        <v>1.4320984342500001</v>
      </c>
      <c r="G211" s="7">
        <f>[1]服务器生态!AA228</f>
        <v>0.41436845999999983</v>
      </c>
      <c r="H211" s="7">
        <f>[1]服务器生态!AC228</f>
        <v>0.47962550249999997</v>
      </c>
      <c r="I211" s="7">
        <f>[1]服务器生态!AD228</f>
        <v>0.47291513735919999</v>
      </c>
      <c r="J211" s="7">
        <f>[1]服务器生态!AE228</f>
        <v>3.8604200140800002E-2</v>
      </c>
      <c r="K211" s="7">
        <f>[1]服务器生态!AF228</f>
        <v>6.8679600000000019E-3</v>
      </c>
      <c r="L211" s="7">
        <f>[1]服务器生态!AG228</f>
        <v>1.9871999999999997E-3</v>
      </c>
      <c r="M211" s="7">
        <f>[5]基础信息!M210</f>
        <v>100</v>
      </c>
      <c r="X211" s="7">
        <v>207</v>
      </c>
      <c r="Y211" s="7">
        <f>求节点(节奏总纲!D$4:D$163,R$5:R$164,$X211)*6</f>
        <v>40338.851329909347</v>
      </c>
      <c r="Z211" s="7">
        <f>求节点(节奏总纲!E$4:E$163,S$5:S$164,$X211)*6</f>
        <v>41481.420498442167</v>
      </c>
      <c r="AA211" s="7">
        <f>求节点(节奏总纲!F$4:F$163,T$5:T$164,$X211)*6</f>
        <v>43006.159264559006</v>
      </c>
      <c r="AB211" s="7">
        <f>求节点(节奏总纲!G$4:G$163,U$5:U$164,$X211)*6</f>
        <v>45198.677095718551</v>
      </c>
      <c r="AC211" s="7">
        <f>求节点(节奏总纲!H$4:H$163,V$5:V$164,$X211)*6</f>
        <v>49156.435837823585</v>
      </c>
      <c r="AG211" s="7">
        <v>207</v>
      </c>
      <c r="AH211" s="7">
        <v>1</v>
      </c>
      <c r="AI211" s="7">
        <f>[6]实力验证!$Z213</f>
        <v>1.592216803083176</v>
      </c>
      <c r="AJ211" s="7">
        <f>[6]实力验证!$AE213</f>
        <v>2.7789173038263972</v>
      </c>
      <c r="AK211" s="7">
        <f>[6]实力验证!$AJ213</f>
        <v>8.0572788352952518</v>
      </c>
      <c r="AL211" s="7">
        <f>[6]实力验证!$AO213</f>
        <v>19.170398519412004</v>
      </c>
      <c r="AM211" s="7">
        <f t="shared" si="13"/>
        <v>92.768031034524753</v>
      </c>
    </row>
    <row r="212" spans="2:39" x14ac:dyDescent="0.15">
      <c r="B212" s="7">
        <v>208</v>
      </c>
      <c r="C212" s="7">
        <f>[1]服务器生态!W229</f>
        <v>99.318450930187481</v>
      </c>
      <c r="D212" s="7">
        <f>[1]服务器生态!X229</f>
        <v>97.928902068656313</v>
      </c>
      <c r="E212" s="7">
        <f>[1]服务器生态!Y229</f>
        <v>7.993964744156159</v>
      </c>
      <c r="F212" s="7">
        <f>[1]服务器生态!Z229</f>
        <v>1.4221828170000002</v>
      </c>
      <c r="G212" s="7">
        <f>[1]服务器生态!AA229</f>
        <v>0.41149943999999988</v>
      </c>
      <c r="H212" s="7">
        <f>[1]服务器生态!AC229</f>
        <v>0.47962550249999997</v>
      </c>
      <c r="I212" s="7">
        <f>[1]服务器生态!AD229</f>
        <v>0.47291513735919999</v>
      </c>
      <c r="J212" s="7">
        <f>[1]服务器生态!AE229</f>
        <v>3.8604200140800002E-2</v>
      </c>
      <c r="K212" s="7">
        <f>[1]服务器生态!AF229</f>
        <v>6.8679600000000019E-3</v>
      </c>
      <c r="L212" s="7">
        <f>[1]服务器生态!AG229</f>
        <v>1.9871999999999997E-3</v>
      </c>
      <c r="M212" s="7">
        <f>[5]基础信息!M211</f>
        <v>100</v>
      </c>
      <c r="X212" s="7">
        <v>208</v>
      </c>
      <c r="Y212" s="7">
        <f>求节点(节奏总纲!D$4:D$163,R$5:R$164,$X212)*6</f>
        <v>40365.25938605077</v>
      </c>
      <c r="Z212" s="7">
        <f>求节点(节奏总纲!E$4:E$163,S$5:S$164,$X212)*6</f>
        <v>41508.808791016141</v>
      </c>
      <c r="AA212" s="7">
        <f>求节点(节奏总纲!F$4:F$163,T$5:T$164,$X212)*6</f>
        <v>43033.329928793726</v>
      </c>
      <c r="AB212" s="7">
        <f>求节点(节奏总纲!G$4:G$163,U$5:U$164,$X212)*6</f>
        <v>45227.180207010868</v>
      </c>
      <c r="AC212" s="7">
        <f>求节点(节奏总纲!H$4:H$163,V$5:V$164,$X212)*6</f>
        <v>49182.481402563055</v>
      </c>
      <c r="AG212" s="7">
        <v>208</v>
      </c>
      <c r="AH212" s="7">
        <v>1</v>
      </c>
      <c r="AI212" s="7">
        <f>[6]实力验证!$Z214</f>
        <v>1.5931972145348585</v>
      </c>
      <c r="AJ212" s="7">
        <f>[6]实力验证!$AE214</f>
        <v>2.7796745663328988</v>
      </c>
      <c r="AK212" s="7">
        <f>[6]实力验证!$AJ214</f>
        <v>8.0638947067009834</v>
      </c>
      <c r="AL212" s="7">
        <f>[6]实力验证!$AO214</f>
        <v>19.100668479895251</v>
      </c>
      <c r="AM212" s="7">
        <f t="shared" si="13"/>
        <v>92.782486153040452</v>
      </c>
    </row>
    <row r="213" spans="2:39" x14ac:dyDescent="0.15">
      <c r="B213" s="7">
        <v>209</v>
      </c>
      <c r="C213" s="7">
        <f>[1]服务器生态!W230</f>
        <v>98.625991610953093</v>
      </c>
      <c r="D213" s="7">
        <f>[1]服务器生态!X230</f>
        <v>97.246130839093965</v>
      </c>
      <c r="E213" s="7">
        <f>[1]服务器生态!Y230</f>
        <v>7.938229930202878</v>
      </c>
      <c r="F213" s="7">
        <f>[1]服务器生态!Z230</f>
        <v>1.41226719975</v>
      </c>
      <c r="G213" s="7">
        <f>[1]服务器生态!AA230</f>
        <v>0.40863041999999983</v>
      </c>
      <c r="H213" s="7">
        <f>[1]服务器生态!AC230</f>
        <v>0.47962550249999997</v>
      </c>
      <c r="I213" s="7">
        <f>[1]服务器生态!AD230</f>
        <v>0.47291513735919999</v>
      </c>
      <c r="J213" s="7">
        <f>[1]服务器生态!AE230</f>
        <v>3.8604200140800002E-2</v>
      </c>
      <c r="K213" s="7">
        <f>[1]服务器生态!AF230</f>
        <v>6.8679600000000019E-3</v>
      </c>
      <c r="L213" s="7">
        <f>[1]服务器生态!AG230</f>
        <v>1.9871999999999997E-3</v>
      </c>
      <c r="M213" s="7">
        <f>[5]基础信息!M212</f>
        <v>100</v>
      </c>
      <c r="X213" s="7">
        <v>209</v>
      </c>
      <c r="Y213" s="7">
        <f>求节点(节奏总纲!D$4:D$163,R$5:R$164,$X213)*6</f>
        <v>40391.667442192193</v>
      </c>
      <c r="Z213" s="7">
        <f>求节点(节奏总纲!E$4:E$163,S$5:S$164,$X213)*6</f>
        <v>41536.197083590123</v>
      </c>
      <c r="AA213" s="7">
        <f>求节点(节奏总纲!F$4:F$163,T$5:T$164,$X213)*6</f>
        <v>43060.500593028453</v>
      </c>
      <c r="AB213" s="7">
        <f>求节点(节奏总纲!G$4:G$163,U$5:U$164,$X213)*6</f>
        <v>45255.683318303192</v>
      </c>
      <c r="AC213" s="7">
        <f>求节点(节奏总纲!H$4:H$163,V$5:V$164,$X213)*6</f>
        <v>49208.526967302525</v>
      </c>
      <c r="AG213" s="7">
        <v>209</v>
      </c>
      <c r="AH213" s="7">
        <v>1</v>
      </c>
      <c r="AI213" s="7">
        <f>[6]实力验证!$Z215</f>
        <v>1.5941643201264315</v>
      </c>
      <c r="AJ213" s="7">
        <f>[6]实力验证!$AE215</f>
        <v>2.7804215514921085</v>
      </c>
      <c r="AK213" s="7">
        <f>[6]实力验证!$AJ215</f>
        <v>8.0704207894172075</v>
      </c>
      <c r="AL213" s="7">
        <f>[6]实力验证!$AO215</f>
        <v>19.03188479626775</v>
      </c>
      <c r="AM213" s="7">
        <f t="shared" si="13"/>
        <v>92.796745090876527</v>
      </c>
    </row>
    <row r="214" spans="2:39" x14ac:dyDescent="0.15">
      <c r="B214" s="7">
        <v>210</v>
      </c>
      <c r="C214" s="7">
        <f>[1]服务器生态!W231</f>
        <v>97.933532291718734</v>
      </c>
      <c r="D214" s="7">
        <f>[1]服务器生态!X231</f>
        <v>96.563359609531631</v>
      </c>
      <c r="E214" s="7">
        <f>[1]服务器生态!Y231</f>
        <v>7.8824951162495989</v>
      </c>
      <c r="F214" s="7">
        <f>[1]服务器生态!Z231</f>
        <v>1.4023515825000001</v>
      </c>
      <c r="G214" s="7">
        <f>[1]服务器生态!AA231</f>
        <v>0.40576139999999988</v>
      </c>
      <c r="H214" s="7">
        <f>[1]服务器生态!AC231</f>
        <v>0.47962550249999997</v>
      </c>
      <c r="I214" s="7">
        <f>[1]服务器生态!AD231</f>
        <v>0.47291513735919999</v>
      </c>
      <c r="J214" s="7">
        <f>[1]服务器生态!AE231</f>
        <v>3.8604200140800002E-2</v>
      </c>
      <c r="K214" s="7">
        <f>[1]服务器生态!AF231</f>
        <v>6.8679600000000019E-3</v>
      </c>
      <c r="L214" s="7">
        <f>[1]服务器生态!AG231</f>
        <v>1.9871999999999997E-3</v>
      </c>
      <c r="M214" s="7">
        <f>[5]基础信息!M213</f>
        <v>100</v>
      </c>
      <c r="X214" s="7">
        <v>210</v>
      </c>
      <c r="Y214" s="7">
        <f>求节点(节奏总纲!D$4:D$163,R$5:R$164,$X214)*6</f>
        <v>40418.075498333616</v>
      </c>
      <c r="Z214" s="7">
        <f>求节点(节奏总纲!E$4:E$163,S$5:S$164,$X214)*6</f>
        <v>41563.58537616409</v>
      </c>
      <c r="AA214" s="7">
        <f>求节点(节奏总纲!F$4:F$163,T$5:T$164,$X214)*6</f>
        <v>43087.67125726318</v>
      </c>
      <c r="AB214" s="7">
        <f>求节点(节奏总纲!G$4:G$163,U$5:U$164,$X214)*6</f>
        <v>45284.186429595509</v>
      </c>
      <c r="AC214" s="7">
        <f>求节点(节奏总纲!H$4:H$163,V$5:V$164,$X214)*6</f>
        <v>49234.572532041995</v>
      </c>
      <c r="AG214" s="7">
        <v>210</v>
      </c>
      <c r="AH214" s="7">
        <v>1</v>
      </c>
      <c r="AI214" s="7">
        <f>[6]实力验证!$Z216</f>
        <v>1.5951183889070835</v>
      </c>
      <c r="AJ214" s="7">
        <f>[6]实力验证!$AE216</f>
        <v>2.7811584671156169</v>
      </c>
      <c r="AK214" s="7">
        <f>[6]实力验证!$AJ216</f>
        <v>8.076858899002918</v>
      </c>
      <c r="AL214" s="7">
        <f>[6]实力验证!$AO216</f>
        <v>18.964028332879433</v>
      </c>
      <c r="AM214" s="7">
        <f t="shared" si="13"/>
        <v>92.81081181487572</v>
      </c>
    </row>
    <row r="215" spans="2:39" x14ac:dyDescent="0.15">
      <c r="B215" s="7">
        <v>211</v>
      </c>
      <c r="C215" s="7">
        <f>[1]服务器生态!W232</f>
        <v>97.362253353350368</v>
      </c>
      <c r="D215" s="7">
        <f>[1]服务器生态!X232</f>
        <v>96.00007334514271</v>
      </c>
      <c r="E215" s="7">
        <f>[1]服务器生态!Y232</f>
        <v>7.8365138947381432</v>
      </c>
      <c r="F215" s="7">
        <f>[1]服务器生态!Z232</f>
        <v>1.3941711982687504</v>
      </c>
      <c r="G215" s="7">
        <f>[1]服务器生态!AA232</f>
        <v>0.40339445849999989</v>
      </c>
      <c r="H215" s="7">
        <f>[1]服务器生态!AC232</f>
        <v>0.47962550249999997</v>
      </c>
      <c r="I215" s="7">
        <f>[1]服务器生态!AD232</f>
        <v>0.47291513735919999</v>
      </c>
      <c r="J215" s="7">
        <f>[1]服务器生态!AE232</f>
        <v>3.8604200140800002E-2</v>
      </c>
      <c r="K215" s="7">
        <f>[1]服务器生态!AF232</f>
        <v>6.8679600000000019E-3</v>
      </c>
      <c r="L215" s="7">
        <f>[1]服务器生态!AG232</f>
        <v>1.9871999999999997E-3</v>
      </c>
      <c r="M215" s="7">
        <f>[5]基础信息!M214</f>
        <v>100</v>
      </c>
      <c r="X215" s="7">
        <v>211</v>
      </c>
      <c r="Y215" s="7">
        <f>求节点(节奏总纲!D$4:D$163,R$5:R$164,$X215)*6</f>
        <v>40444.483554475031</v>
      </c>
      <c r="Z215" s="7">
        <f>求节点(节奏总纲!E$4:E$163,S$5:S$164,$X215)*6</f>
        <v>41590.973668738072</v>
      </c>
      <c r="AA215" s="7">
        <f>求节点(节奏总纲!F$4:F$163,T$5:T$164,$X215)*6</f>
        <v>43114.841921497908</v>
      </c>
      <c r="AB215" s="7">
        <f>求节点(节奏总纲!G$4:G$163,U$5:U$164,$X215)*6</f>
        <v>45312.689540887819</v>
      </c>
      <c r="AC215" s="7">
        <f>求节点(节奏总纲!H$4:H$163,V$5:V$164,$X215)*6</f>
        <v>49260.618096781465</v>
      </c>
      <c r="AG215" s="7">
        <v>211</v>
      </c>
      <c r="AH215" s="7">
        <v>1</v>
      </c>
      <c r="AI215" s="7">
        <f>[6]实力验证!$Z217</f>
        <v>1.5960596827208722</v>
      </c>
      <c r="AJ215" s="7">
        <f>[6]实力验证!$AE217</f>
        <v>2.7818855154498245</v>
      </c>
      <c r="AK215" s="7">
        <f>[6]实力验证!$AJ217</f>
        <v>8.0832108023964881</v>
      </c>
      <c r="AL215" s="7">
        <f>[6]实力验证!$AO217</f>
        <v>18.897080466532358</v>
      </c>
      <c r="AM215" s="7">
        <f t="shared" si="13"/>
        <v>92.824690185648521</v>
      </c>
    </row>
    <row r="216" spans="2:39" x14ac:dyDescent="0.15">
      <c r="B216" s="7">
        <v>212</v>
      </c>
      <c r="C216" s="7">
        <f>[1]服务器生态!W233</f>
        <v>96.790974414982003</v>
      </c>
      <c r="D216" s="7">
        <f>[1]服务器生态!X233</f>
        <v>95.43678708075376</v>
      </c>
      <c r="E216" s="7">
        <f>[1]服务器生态!Y233</f>
        <v>7.7905326732266866</v>
      </c>
      <c r="F216" s="7">
        <f>[1]服务器生态!Z233</f>
        <v>1.3859908140375001</v>
      </c>
      <c r="G216" s="7">
        <f>[1]服务器生态!AA233</f>
        <v>0.40102751699999983</v>
      </c>
      <c r="H216" s="7">
        <f>[1]服务器生态!AC233</f>
        <v>0.47962550249999997</v>
      </c>
      <c r="I216" s="7">
        <f>[1]服务器生态!AD233</f>
        <v>0.47291513735919999</v>
      </c>
      <c r="J216" s="7">
        <f>[1]服务器生态!AE233</f>
        <v>3.8604200140800002E-2</v>
      </c>
      <c r="K216" s="7">
        <f>[1]服务器生态!AF233</f>
        <v>6.8679600000000019E-3</v>
      </c>
      <c r="L216" s="7">
        <f>[1]服务器生态!AG233</f>
        <v>1.9871999999999997E-3</v>
      </c>
      <c r="M216" s="7">
        <f>[5]基础信息!M215</f>
        <v>100</v>
      </c>
      <c r="X216" s="7">
        <v>212</v>
      </c>
      <c r="Y216" s="7">
        <f>求节点(节奏总纲!D$4:D$163,R$5:R$164,$X216)*6</f>
        <v>40470.891610616454</v>
      </c>
      <c r="Z216" s="7">
        <f>求节点(节奏总纲!E$4:E$163,S$5:S$164,$X216)*6</f>
        <v>41618.361961312054</v>
      </c>
      <c r="AA216" s="7">
        <f>求节点(节奏总纲!F$4:F$163,T$5:T$164,$X216)*6</f>
        <v>43142.012585732635</v>
      </c>
      <c r="AB216" s="7">
        <f>求节点(节奏总纲!G$4:G$163,U$5:U$164,$X216)*6</f>
        <v>45341.192652180143</v>
      </c>
      <c r="AC216" s="7">
        <f>求节点(节奏总纲!H$4:H$163,V$5:V$164,$X216)*6</f>
        <v>49286.663661520935</v>
      </c>
      <c r="AG216" s="7">
        <v>212</v>
      </c>
      <c r="AH216" s="7">
        <v>1</v>
      </c>
      <c r="AI216" s="7">
        <f>[6]实力验证!$Z218</f>
        <v>1.5969884564463139</v>
      </c>
      <c r="AJ216" s="7">
        <f>[6]实力验证!$AE218</f>
        <v>2.7826028933610001</v>
      </c>
      <c r="AK216" s="7">
        <f>[6]实力验证!$AJ218</f>
        <v>8.0894782195324275</v>
      </c>
      <c r="AL216" s="7">
        <f>[6]实力验证!$AO218</f>
        <v>18.831023069440505</v>
      </c>
      <c r="AM216" s="7">
        <f t="shared" si="13"/>
        <v>92.838383961106246</v>
      </c>
    </row>
    <row r="217" spans="2:39" x14ac:dyDescent="0.15">
      <c r="B217" s="7">
        <v>213</v>
      </c>
      <c r="C217" s="7">
        <f>[1]服务器生态!W234</f>
        <v>96.219695476613651</v>
      </c>
      <c r="D217" s="7">
        <f>[1]服务器生态!X234</f>
        <v>94.873500816364825</v>
      </c>
      <c r="E217" s="7">
        <f>[1]服务器生态!Y234</f>
        <v>7.744551451715231</v>
      </c>
      <c r="F217" s="7">
        <f>[1]服务器生态!Z234</f>
        <v>1.3778104298062501</v>
      </c>
      <c r="G217" s="7">
        <f>[1]服务器生态!AA234</f>
        <v>0.39866057549999989</v>
      </c>
      <c r="H217" s="7">
        <f>[1]服务器生态!AC234</f>
        <v>0.47962550249999997</v>
      </c>
      <c r="I217" s="7">
        <f>[1]服务器生态!AD234</f>
        <v>0.47291513735919999</v>
      </c>
      <c r="J217" s="7">
        <f>[1]服务器生态!AE234</f>
        <v>3.8604200140800002E-2</v>
      </c>
      <c r="K217" s="7">
        <f>[1]服务器生态!AF234</f>
        <v>6.8679600000000019E-3</v>
      </c>
      <c r="L217" s="7">
        <f>[1]服务器生态!AG234</f>
        <v>1.9871999999999997E-3</v>
      </c>
      <c r="M217" s="7">
        <f>[5]基础信息!M216</f>
        <v>100</v>
      </c>
      <c r="X217" s="7">
        <v>213</v>
      </c>
      <c r="Y217" s="7">
        <f>求节点(节奏总纲!D$4:D$163,R$5:R$164,$X217)*6</f>
        <v>40497.299666757877</v>
      </c>
      <c r="Z217" s="7">
        <f>求节点(节奏总纲!E$4:E$163,S$5:S$164,$X217)*6</f>
        <v>41645.750253886028</v>
      </c>
      <c r="AA217" s="7">
        <f>求节点(节奏总纲!F$4:F$163,T$5:T$164,$X217)*6</f>
        <v>43169.183249967362</v>
      </c>
      <c r="AB217" s="7">
        <f>求节点(节奏总纲!G$4:G$163,U$5:U$164,$X217)*6</f>
        <v>45369.288601708271</v>
      </c>
      <c r="AC217" s="7">
        <f>求节点(节奏总纲!H$4:H$163,V$5:V$164,$X217)*6</f>
        <v>49312.709226260406</v>
      </c>
      <c r="AG217" s="7">
        <v>213</v>
      </c>
      <c r="AH217" s="7">
        <v>1</v>
      </c>
      <c r="AI217" s="7">
        <f>[6]实力验证!$Z219</f>
        <v>1.5979049582264735</v>
      </c>
      <c r="AJ217" s="7">
        <f>[6]实力验证!$AE219</f>
        <v>2.7833107925129994</v>
      </c>
      <c r="AK217" s="7">
        <f>[6]实力验证!$AJ219</f>
        <v>8.0974102202202474</v>
      </c>
      <c r="AL217" s="7">
        <f>[6]实力验证!$AO219</f>
        <v>18.76583849286499</v>
      </c>
      <c r="AM217" s="7">
        <f t="shared" si="13"/>
        <v>92.854297008093894</v>
      </c>
    </row>
    <row r="218" spans="2:39" x14ac:dyDescent="0.15">
      <c r="B218" s="7">
        <v>214</v>
      </c>
      <c r="C218" s="7">
        <f>[1]服务器生态!W235</f>
        <v>95.648416538245286</v>
      </c>
      <c r="D218" s="7">
        <f>[1]服务器生态!X235</f>
        <v>94.310214551975889</v>
      </c>
      <c r="E218" s="7">
        <f>[1]服务器生态!Y235</f>
        <v>7.6985702302037753</v>
      </c>
      <c r="F218" s="7">
        <f>[1]服务器生态!Z235</f>
        <v>1.3696300455750001</v>
      </c>
      <c r="G218" s="7">
        <f>[1]服务器生态!AA235</f>
        <v>0.39629363399999989</v>
      </c>
      <c r="H218" s="7">
        <f>[1]服务器生态!AC235</f>
        <v>0.47962550249999997</v>
      </c>
      <c r="I218" s="7">
        <f>[1]服务器生态!AD235</f>
        <v>0.47291513735919999</v>
      </c>
      <c r="J218" s="7">
        <f>[1]服务器生态!AE235</f>
        <v>3.8604200140800002E-2</v>
      </c>
      <c r="K218" s="7">
        <f>[1]服务器生态!AF235</f>
        <v>6.8679600000000019E-3</v>
      </c>
      <c r="L218" s="7">
        <f>[1]服务器生态!AG235</f>
        <v>1.9871999999999997E-3</v>
      </c>
      <c r="M218" s="7">
        <f>[5]基础信息!M217</f>
        <v>100</v>
      </c>
      <c r="X218" s="7">
        <v>214</v>
      </c>
      <c r="Y218" s="7">
        <f>求节点(节奏总纲!D$4:D$163,R$5:R$164,$X218)*6</f>
        <v>40523.7077228993</v>
      </c>
      <c r="Z218" s="7">
        <f>求节点(节奏总纲!E$4:E$163,S$5:S$164,$X218)*6</f>
        <v>41673.138546460003</v>
      </c>
      <c r="AA218" s="7">
        <f>求节点(节奏总纲!F$4:F$163,T$5:T$164,$X218)*6</f>
        <v>43196.353914202089</v>
      </c>
      <c r="AB218" s="7">
        <f>求节点(节奏总纲!G$4:G$163,U$5:U$164,$X218)*6</f>
        <v>45396.819870333842</v>
      </c>
      <c r="AC218" s="7">
        <f>求节点(节奏总纲!H$4:H$163,V$5:V$164,$X218)*6</f>
        <v>49338.754790999876</v>
      </c>
      <c r="AG218" s="7">
        <v>214</v>
      </c>
      <c r="AH218" s="7">
        <v>1</v>
      </c>
      <c r="AI218" s="7">
        <f>[6]实力验证!$Z220</f>
        <v>1.5988094296899933</v>
      </c>
      <c r="AJ218" s="7">
        <f>[6]实力验证!$AE220</f>
        <v>2.7840093995379873</v>
      </c>
      <c r="AK218" s="7">
        <f>[6]实力验证!$AJ220</f>
        <v>8.1076456096364549</v>
      </c>
      <c r="AL218" s="7">
        <f>[6]实力验证!$AO220</f>
        <v>18.701509551393727</v>
      </c>
      <c r="AM218" s="7">
        <f t="shared" si="13"/>
        <v>92.873308107173244</v>
      </c>
    </row>
    <row r="219" spans="2:39" x14ac:dyDescent="0.15">
      <c r="B219" s="7">
        <v>215</v>
      </c>
      <c r="C219" s="7">
        <f>[1]服务器生态!W236</f>
        <v>95.07713759987692</v>
      </c>
      <c r="D219" s="7">
        <f>[1]服务器生态!X236</f>
        <v>93.746928287586954</v>
      </c>
      <c r="E219" s="7">
        <f>[1]服务器生态!Y236</f>
        <v>7.6525890086923187</v>
      </c>
      <c r="F219" s="7">
        <f>[1]服务器生态!Z236</f>
        <v>1.3614496613437501</v>
      </c>
      <c r="G219" s="7">
        <f>[1]服务器生态!AA236</f>
        <v>0.39392669249999984</v>
      </c>
      <c r="H219" s="7">
        <f>[1]服务器生态!AC236</f>
        <v>0.47962550249999997</v>
      </c>
      <c r="I219" s="7">
        <f>[1]服务器生态!AD236</f>
        <v>0.47291513735919999</v>
      </c>
      <c r="J219" s="7">
        <f>[1]服务器生态!AE236</f>
        <v>3.8604200140800002E-2</v>
      </c>
      <c r="K219" s="7">
        <f>[1]服务器生态!AF236</f>
        <v>6.8679600000000019E-3</v>
      </c>
      <c r="L219" s="7">
        <f>[1]服务器生态!AG236</f>
        <v>1.9871999999999997E-3</v>
      </c>
      <c r="M219" s="7">
        <f>[5]基础信息!M218</f>
        <v>100</v>
      </c>
      <c r="X219" s="7">
        <v>215</v>
      </c>
      <c r="Y219" s="7">
        <f>求节点(节奏总纲!D$4:D$163,R$5:R$164,$X219)*6</f>
        <v>40550.115779040723</v>
      </c>
      <c r="Z219" s="7">
        <f>求节点(节奏总纲!E$4:E$163,S$5:S$164,$X219)*6</f>
        <v>41700.526839033984</v>
      </c>
      <c r="AA219" s="7">
        <f>求节点(节奏总纲!F$4:F$163,T$5:T$164,$X219)*6</f>
        <v>43223.524578436816</v>
      </c>
      <c r="AB219" s="7">
        <f>求节点(节奏总纲!G$4:G$163,U$5:U$164,$X219)*6</f>
        <v>45424.351138959399</v>
      </c>
      <c r="AC219" s="7">
        <f>求节点(节奏总纲!H$4:H$163,V$5:V$164,$X219)*6</f>
        <v>49364.800355739346</v>
      </c>
      <c r="AG219" s="7">
        <v>215</v>
      </c>
      <c r="AH219" s="7">
        <v>1</v>
      </c>
      <c r="AI219" s="7">
        <f>[6]实力验证!$Z221</f>
        <v>1.5997021061634769</v>
      </c>
      <c r="AJ219" s="7">
        <f>[6]实力验证!$AE221</f>
        <v>2.7846988962004806</v>
      </c>
      <c r="AK219" s="7">
        <f>[6]实力验证!$AJ221</f>
        <v>8.1177475218551507</v>
      </c>
      <c r="AL219" s="7">
        <f>[6]实力验证!$AO221</f>
        <v>18.638019507836084</v>
      </c>
      <c r="AM219" s="7">
        <f t="shared" si="13"/>
        <v>92.892071287182446</v>
      </c>
    </row>
    <row r="220" spans="2:39" x14ac:dyDescent="0.15">
      <c r="B220" s="7">
        <v>216</v>
      </c>
      <c r="C220" s="7">
        <f>[1]服务器生态!W237</f>
        <v>94.505858661508569</v>
      </c>
      <c r="D220" s="7">
        <f>[1]服务器生态!X237</f>
        <v>93.183642023198018</v>
      </c>
      <c r="E220" s="7">
        <f>[1]服务器生态!Y237</f>
        <v>7.6066077871808631</v>
      </c>
      <c r="F220" s="7">
        <f>[1]服务器生态!Z237</f>
        <v>1.3532692771125001</v>
      </c>
      <c r="G220" s="7">
        <f>[1]服务器生态!AA237</f>
        <v>0.39155975099999984</v>
      </c>
      <c r="H220" s="7">
        <f>[1]服务器生态!AC237</f>
        <v>0.47962550249999997</v>
      </c>
      <c r="I220" s="7">
        <f>[1]服务器生态!AD237</f>
        <v>0.47291513735919999</v>
      </c>
      <c r="J220" s="7">
        <f>[1]服务器生态!AE237</f>
        <v>3.8604200140800002E-2</v>
      </c>
      <c r="K220" s="7">
        <f>[1]服务器生态!AF237</f>
        <v>6.8679600000000019E-3</v>
      </c>
      <c r="L220" s="7">
        <f>[1]服务器生态!AG237</f>
        <v>1.9871999999999997E-3</v>
      </c>
      <c r="M220" s="7">
        <f>[5]基础信息!M219</f>
        <v>100</v>
      </c>
      <c r="X220" s="7">
        <v>216</v>
      </c>
      <c r="Y220" s="7">
        <f>求节点(节奏总纲!D$4:D$163,R$5:R$164,$X220)*6</f>
        <v>40576.523835182139</v>
      </c>
      <c r="Z220" s="7">
        <f>求节点(节奏总纲!E$4:E$163,S$5:S$164,$X220)*6</f>
        <v>41727.915131607966</v>
      </c>
      <c r="AA220" s="7">
        <f>求节点(节奏总纲!F$4:F$163,T$5:T$164,$X220)*6</f>
        <v>43250.695242671543</v>
      </c>
      <c r="AB220" s="7">
        <f>求节点(节奏总纲!G$4:G$163,U$5:U$164,$X220)*6</f>
        <v>45451.882407584962</v>
      </c>
      <c r="AC220" s="7">
        <f>求节点(节奏总纲!H$4:H$163,V$5:V$164,$X220)*6</f>
        <v>49390.845920478816</v>
      </c>
      <c r="AG220" s="7">
        <v>216</v>
      </c>
      <c r="AH220" s="7">
        <v>1</v>
      </c>
      <c r="AI220" s="7">
        <f>[6]实力验证!$Z222</f>
        <v>1.6005832168756158</v>
      </c>
      <c r="AJ220" s="7">
        <f>[6]实力验证!$AE222</f>
        <v>2.7853794595550134</v>
      </c>
      <c r="AK220" s="7">
        <f>[6]实力验证!$AJ222</f>
        <v>8.127718550927133</v>
      </c>
      <c r="AL220" s="7">
        <f>[6]实力验证!$AO222</f>
        <v>18.575352058704727</v>
      </c>
      <c r="AM220" s="7">
        <f t="shared" si="13"/>
        <v>92.910591366282745</v>
      </c>
    </row>
    <row r="221" spans="2:39" x14ac:dyDescent="0.15">
      <c r="B221" s="7">
        <v>217</v>
      </c>
      <c r="C221" s="7">
        <f>[1]服务器生态!W238</f>
        <v>93.934579723140203</v>
      </c>
      <c r="D221" s="7">
        <f>[1]服务器生态!X238</f>
        <v>92.620355758809083</v>
      </c>
      <c r="E221" s="7">
        <f>[1]服务器生态!Y238</f>
        <v>7.5606265656694065</v>
      </c>
      <c r="F221" s="7">
        <f>[1]服务器生态!Z238</f>
        <v>1.3450888928812501</v>
      </c>
      <c r="G221" s="7">
        <f>[1]服务器生态!AA238</f>
        <v>0.38919280949999985</v>
      </c>
      <c r="H221" s="7">
        <f>[1]服务器生态!AC238</f>
        <v>0.47962550249999997</v>
      </c>
      <c r="I221" s="7">
        <f>[1]服务器生态!AD238</f>
        <v>0.47291513735919999</v>
      </c>
      <c r="J221" s="7">
        <f>[1]服务器生态!AE238</f>
        <v>3.8604200140800002E-2</v>
      </c>
      <c r="K221" s="7">
        <f>[1]服务器生态!AF238</f>
        <v>6.8679600000000019E-3</v>
      </c>
      <c r="L221" s="7">
        <f>[1]服务器生态!AG238</f>
        <v>1.9871999999999997E-3</v>
      </c>
      <c r="M221" s="7">
        <f>[5]基础信息!M220</f>
        <v>100</v>
      </c>
      <c r="X221" s="7">
        <v>217</v>
      </c>
      <c r="Y221" s="7">
        <f>求节点(节奏总纲!D$4:D$163,R$5:R$164,$X221)*6</f>
        <v>40602.931891323562</v>
      </c>
      <c r="Z221" s="7">
        <f>求节点(节奏总纲!E$4:E$163,S$5:S$164,$X221)*6</f>
        <v>41755.30342418194</v>
      </c>
      <c r="AA221" s="7">
        <f>求节点(节奏总纲!F$4:F$163,T$5:T$164,$X221)*6</f>
        <v>43277.865906906271</v>
      </c>
      <c r="AB221" s="7">
        <f>求节点(节奏总纲!G$4:G$163,U$5:U$164,$X221)*6</f>
        <v>45479.413676210534</v>
      </c>
      <c r="AC221" s="7">
        <f>求节点(节奏总纲!H$4:H$163,V$5:V$164,$X221)*6</f>
        <v>49416.891485218286</v>
      </c>
      <c r="AG221" s="7">
        <v>217</v>
      </c>
      <c r="AH221" s="7">
        <v>1</v>
      </c>
      <c r="AI221" s="7">
        <f>[6]实力验证!$Z223</f>
        <v>1.6014529851534338</v>
      </c>
      <c r="AJ221" s="7">
        <f>[6]实力验证!$AE223</f>
        <v>2.7860512620977169</v>
      </c>
      <c r="AK221" s="7">
        <f>[6]实力验证!$AJ223</f>
        <v>8.1375612241173787</v>
      </c>
      <c r="AL221" s="7">
        <f>[6]实力验证!$AO223</f>
        <v>18.513491320258041</v>
      </c>
      <c r="AM221" s="7">
        <f t="shared" si="13"/>
        <v>92.928873038588193</v>
      </c>
    </row>
    <row r="222" spans="2:39" x14ac:dyDescent="0.15">
      <c r="B222" s="7">
        <v>218</v>
      </c>
      <c r="C222" s="7">
        <f>[1]服务器生态!W239</f>
        <v>93.363300784771852</v>
      </c>
      <c r="D222" s="7">
        <f>[1]服务器生态!X239</f>
        <v>92.057069494420162</v>
      </c>
      <c r="E222" s="7">
        <f>[1]服务器生态!Y239</f>
        <v>7.5146453441579508</v>
      </c>
      <c r="F222" s="7">
        <f>[1]服务器生态!Z239</f>
        <v>1.3369085086500001</v>
      </c>
      <c r="G222" s="7">
        <f>[1]服务器生态!AA239</f>
        <v>0.38682586799999991</v>
      </c>
      <c r="H222" s="7">
        <f>[1]服务器生态!AC239</f>
        <v>0.47962550249999997</v>
      </c>
      <c r="I222" s="7">
        <f>[1]服务器生态!AD239</f>
        <v>0.47291513735919999</v>
      </c>
      <c r="J222" s="7">
        <f>[1]服务器生态!AE239</f>
        <v>3.8604200140800002E-2</v>
      </c>
      <c r="K222" s="7">
        <f>[1]服务器生态!AF239</f>
        <v>6.8679600000000019E-3</v>
      </c>
      <c r="L222" s="7">
        <f>[1]服务器生态!AG239</f>
        <v>1.9871999999999997E-3</v>
      </c>
      <c r="M222" s="7">
        <f>[5]基础信息!M221</f>
        <v>100</v>
      </c>
      <c r="X222" s="7">
        <v>218</v>
      </c>
      <c r="Y222" s="7">
        <f>求节点(节奏总纲!D$4:D$163,R$5:R$164,$X222)*6</f>
        <v>40629.339947464985</v>
      </c>
      <c r="Z222" s="7">
        <f>求节点(节奏总纲!E$4:E$163,S$5:S$164,$X222)*6</f>
        <v>41782.691716755915</v>
      </c>
      <c r="AA222" s="7">
        <f>求节点(节奏总纲!F$4:F$163,T$5:T$164,$X222)*6</f>
        <v>43305.036571140998</v>
      </c>
      <c r="AB222" s="7">
        <f>求节点(节奏总纲!G$4:G$163,U$5:U$164,$X222)*6</f>
        <v>45506.94494483609</v>
      </c>
      <c r="AC222" s="7">
        <f>求节点(节奏总纲!H$4:H$163,V$5:V$164,$X222)*6</f>
        <v>49442.937049957756</v>
      </c>
      <c r="AG222" s="7">
        <v>218</v>
      </c>
      <c r="AH222" s="7">
        <v>1</v>
      </c>
      <c r="AI222" s="7">
        <f>[6]实力验证!$Z224</f>
        <v>1.6023116286109997</v>
      </c>
      <c r="AJ222" s="7">
        <f>[6]实力验证!$AE224</f>
        <v>2.7867144719120773</v>
      </c>
      <c r="AK222" s="7">
        <f>[6]实力验证!$AJ224</f>
        <v>8.1472780040406096</v>
      </c>
      <c r="AL222" s="7">
        <f>[6]实力验证!$AO224</f>
        <v>18.452421815078207</v>
      </c>
      <c r="AM222" s="7">
        <f t="shared" si="13"/>
        <v>92.946920878132062</v>
      </c>
    </row>
    <row r="223" spans="2:39" x14ac:dyDescent="0.15">
      <c r="B223" s="7">
        <v>219</v>
      </c>
      <c r="C223" s="7">
        <f>[1]服务器生态!W240</f>
        <v>92.792021846403486</v>
      </c>
      <c r="D223" s="7">
        <f>[1]服务器生态!X240</f>
        <v>91.493783230031212</v>
      </c>
      <c r="E223" s="7">
        <f>[1]服务器生态!Y240</f>
        <v>7.4686641226464943</v>
      </c>
      <c r="F223" s="7">
        <f>[1]服务器生态!Z240</f>
        <v>1.3287281244187501</v>
      </c>
      <c r="G223" s="7">
        <f>[1]服务器生态!AA240</f>
        <v>0.38445892649999985</v>
      </c>
      <c r="H223" s="7">
        <f>[1]服务器生态!AC240</f>
        <v>0.47962550249999997</v>
      </c>
      <c r="I223" s="7">
        <f>[1]服务器生态!AD240</f>
        <v>0.47291513735919999</v>
      </c>
      <c r="J223" s="7">
        <f>[1]服务器生态!AE240</f>
        <v>3.8604200140800002E-2</v>
      </c>
      <c r="K223" s="7">
        <f>[1]服务器生态!AF240</f>
        <v>6.8679600000000019E-3</v>
      </c>
      <c r="L223" s="7">
        <f>[1]服务器生态!AG240</f>
        <v>1.9871999999999997E-3</v>
      </c>
      <c r="M223" s="7">
        <f>[5]基础信息!M222</f>
        <v>100</v>
      </c>
      <c r="X223" s="7">
        <v>219</v>
      </c>
      <c r="Y223" s="7">
        <f>求节点(节奏总纲!D$4:D$163,R$5:R$164,$X223)*6</f>
        <v>40655.748003606408</v>
      </c>
      <c r="Z223" s="7">
        <f>求节点(节奏总纲!E$4:E$163,S$5:S$164,$X223)*6</f>
        <v>41810.080009329889</v>
      </c>
      <c r="AA223" s="7">
        <f>求节点(节奏总纲!F$4:F$163,T$5:T$164,$X223)*6</f>
        <v>43332.207235375718</v>
      </c>
      <c r="AB223" s="7">
        <f>求节点(节奏总纲!G$4:G$163,U$5:U$164,$X223)*6</f>
        <v>45534.476213461654</v>
      </c>
      <c r="AC223" s="7">
        <f>求节点(节奏总纲!H$4:H$163,V$5:V$164,$X223)*6</f>
        <v>49468.982614697226</v>
      </c>
      <c r="AG223" s="7">
        <v>219</v>
      </c>
      <c r="AH223" s="7">
        <v>1</v>
      </c>
      <c r="AI223" s="7">
        <f>[6]实力验证!$Z225</f>
        <v>1.6031593593309488</v>
      </c>
      <c r="AJ223" s="7">
        <f>[6]实力验证!$AE225</f>
        <v>2.7873692528091434</v>
      </c>
      <c r="AK223" s="7">
        <f>[6]实力验证!$AJ225</f>
        <v>8.1568712907154488</v>
      </c>
      <c r="AL223" s="7">
        <f>[6]实力验证!$AO225</f>
        <v>18.39212845916099</v>
      </c>
      <c r="AM223" s="7">
        <f t="shared" si="13"/>
        <v>92.964739342682464</v>
      </c>
    </row>
    <row r="224" spans="2:39" x14ac:dyDescent="0.15">
      <c r="B224" s="7">
        <v>220</v>
      </c>
      <c r="C224" s="7">
        <f>[1]服务器生态!W241</f>
        <v>92.220742908035135</v>
      </c>
      <c r="D224" s="7">
        <f>[1]服务器生态!X241</f>
        <v>90.930496965642277</v>
      </c>
      <c r="E224" s="7">
        <f>[1]服务器生态!Y241</f>
        <v>7.4226829011350386</v>
      </c>
      <c r="F224" s="7">
        <f>[1]服务器生态!Z241</f>
        <v>1.3205477401875001</v>
      </c>
      <c r="G224" s="7">
        <f>[1]服务器生态!AA241</f>
        <v>0.38209198499999986</v>
      </c>
      <c r="H224" s="7">
        <f>[1]服务器生态!AC241</f>
        <v>0.47962550249999997</v>
      </c>
      <c r="I224" s="7">
        <f>[1]服务器生态!AD241</f>
        <v>0.47291513735919999</v>
      </c>
      <c r="J224" s="7">
        <f>[1]服务器生态!AE241</f>
        <v>3.8604200140800002E-2</v>
      </c>
      <c r="K224" s="7">
        <f>[1]服务器生态!AF241</f>
        <v>6.8679600000000019E-3</v>
      </c>
      <c r="L224" s="7">
        <f>[1]服务器生态!AG241</f>
        <v>1.9871999999999997E-3</v>
      </c>
      <c r="M224" s="7">
        <f>[5]基础信息!M223</f>
        <v>100</v>
      </c>
      <c r="X224" s="7">
        <v>220</v>
      </c>
      <c r="Y224" s="7">
        <f>求节点(节奏总纲!D$4:D$163,R$5:R$164,$X224)*6</f>
        <v>40682.156059747831</v>
      </c>
      <c r="Z224" s="7">
        <f>求节点(节奏总纲!E$4:E$163,S$5:S$164,$X224)*6</f>
        <v>41837.468301903871</v>
      </c>
      <c r="AA224" s="7">
        <f>求节点(节奏总纲!F$4:F$163,T$5:T$164,$X224)*6</f>
        <v>43359.377899610452</v>
      </c>
      <c r="AB224" s="7">
        <f>求节点(节奏总纲!G$4:G$163,U$5:U$164,$X224)*6</f>
        <v>45562.007482087225</v>
      </c>
      <c r="AC224" s="7">
        <f>求节点(节奏总纲!H$4:H$163,V$5:V$164,$X224)*6</f>
        <v>49495.028179436697</v>
      </c>
      <c r="AG224" s="7">
        <v>220</v>
      </c>
      <c r="AH224" s="7">
        <v>1</v>
      </c>
      <c r="AI224" s="7">
        <f>[6]实力验证!$Z226</f>
        <v>1.6039963840391211</v>
      </c>
      <c r="AJ224" s="7">
        <f>[6]实力验证!$AE226</f>
        <v>2.7880157644624157</v>
      </c>
      <c r="AK224" s="7">
        <f>[6]实力验证!$AJ226</f>
        <v>8.1663434235407291</v>
      </c>
      <c r="AL224" s="7">
        <f>[6]实力验证!$AO226</f>
        <v>18.332596549494649</v>
      </c>
      <c r="AM224" s="7">
        <f t="shared" si="13"/>
        <v>92.982332777412836</v>
      </c>
    </row>
    <row r="225" spans="2:39" x14ac:dyDescent="0.15">
      <c r="B225" s="7">
        <v>221</v>
      </c>
      <c r="C225" s="7">
        <f>[1]服务器生态!W242</f>
        <v>91.649463969666769</v>
      </c>
      <c r="D225" s="7">
        <f>[1]服务器生态!X242</f>
        <v>90.367210701253342</v>
      </c>
      <c r="E225" s="7">
        <f>[1]服务器生态!Y242</f>
        <v>7.3767016796235829</v>
      </c>
      <c r="F225" s="7">
        <f>[1]服务器生态!Z242</f>
        <v>1.3123673559562501</v>
      </c>
      <c r="G225" s="7">
        <f>[1]服务器生态!AA242</f>
        <v>0.37972504349999986</v>
      </c>
      <c r="H225" s="7">
        <f>[1]服务器生态!AC242</f>
        <v>0.47962550249999997</v>
      </c>
      <c r="I225" s="7">
        <f>[1]服务器生态!AD242</f>
        <v>0.47291513735919999</v>
      </c>
      <c r="J225" s="7">
        <f>[1]服务器生态!AE242</f>
        <v>3.8604200140800002E-2</v>
      </c>
      <c r="K225" s="7">
        <f>[1]服务器生态!AF242</f>
        <v>6.8679600000000019E-3</v>
      </c>
      <c r="L225" s="7">
        <f>[1]服务器生态!AG242</f>
        <v>1.9871999999999997E-3</v>
      </c>
      <c r="M225" s="7">
        <f>[5]基础信息!M224</f>
        <v>100</v>
      </c>
      <c r="X225" s="7">
        <v>221</v>
      </c>
      <c r="Y225" s="7">
        <f>求节点(节奏总纲!D$4:D$163,R$5:R$164,$X225)*6</f>
        <v>40708.564115889247</v>
      </c>
      <c r="Z225" s="7">
        <f>求节点(节奏总纲!E$4:E$163,S$5:S$164,$X225)*6</f>
        <v>41864.856594477846</v>
      </c>
      <c r="AA225" s="7">
        <f>求节点(节奏总纲!F$4:F$163,T$5:T$164,$X225)*6</f>
        <v>43386.548563845172</v>
      </c>
      <c r="AB225" s="7">
        <f>求节点(节奏总纲!G$4:G$163,U$5:U$164,$X225)*6</f>
        <v>45589.538750712782</v>
      </c>
      <c r="AC225" s="7">
        <f>求节点(节奏总纲!H$4:H$163,V$5:V$164,$X225)*6</f>
        <v>49521.073744176167</v>
      </c>
      <c r="AG225" s="7">
        <v>221</v>
      </c>
      <c r="AH225" s="7">
        <v>1</v>
      </c>
      <c r="AI225" s="7">
        <f>[6]实力验证!$Z227</f>
        <v>1.6048229042726319</v>
      </c>
      <c r="AJ225" s="7">
        <f>[6]实力验证!$AE227</f>
        <v>2.7886541625376604</v>
      </c>
      <c r="AK225" s="7">
        <f>[6]实力验证!$AJ227</f>
        <v>8.1756966831974083</v>
      </c>
      <c r="AL225" s="7">
        <f>[6]实力验证!$AO227</f>
        <v>18.27381175210655</v>
      </c>
      <c r="AM225" s="7">
        <f t="shared" si="13"/>
        <v>92.999705418434829</v>
      </c>
    </row>
    <row r="226" spans="2:39" x14ac:dyDescent="0.15">
      <c r="B226" s="7">
        <v>222</v>
      </c>
      <c r="C226" s="7">
        <f>[1]服务器生态!W243</f>
        <v>91.078185031298403</v>
      </c>
      <c r="D226" s="7">
        <f>[1]服务器生态!X243</f>
        <v>89.803924436864406</v>
      </c>
      <c r="E226" s="7">
        <f>[1]服务器生态!Y243</f>
        <v>7.3307204581121264</v>
      </c>
      <c r="F226" s="7">
        <f>[1]服务器生态!Z243</f>
        <v>1.3041869717249999</v>
      </c>
      <c r="G226" s="7">
        <f>[1]服务器生态!AA243</f>
        <v>0.37735810199999981</v>
      </c>
      <c r="H226" s="7">
        <f>[1]服务器生态!AC243</f>
        <v>0.47962550249999997</v>
      </c>
      <c r="I226" s="7">
        <f>[1]服务器生态!AD243</f>
        <v>0.47291513735919999</v>
      </c>
      <c r="J226" s="7">
        <f>[1]服务器生态!AE243</f>
        <v>3.8604200140800002E-2</v>
      </c>
      <c r="K226" s="7">
        <f>[1]服务器生态!AF243</f>
        <v>6.8679600000000019E-3</v>
      </c>
      <c r="L226" s="7">
        <f>[1]服务器生态!AG243</f>
        <v>1.9871999999999997E-3</v>
      </c>
      <c r="M226" s="7">
        <f>[5]基础信息!M225</f>
        <v>100</v>
      </c>
      <c r="X226" s="7">
        <v>222</v>
      </c>
      <c r="Y226" s="7">
        <f>求节点(节奏总纲!D$4:D$163,R$5:R$164,$X226)*6</f>
        <v>40734.842637817492</v>
      </c>
      <c r="Z226" s="7">
        <f>求节点(节奏总纲!E$4:E$163,S$5:S$164,$X226)*6</f>
        <v>41890.285151702592</v>
      </c>
      <c r="AA226" s="7">
        <f>求节点(节奏总纲!F$4:F$163,T$5:T$164,$X226)*6</f>
        <v>43412.806733072088</v>
      </c>
      <c r="AB226" s="7">
        <f>求节点(节奏总纲!G$4:G$163,U$5:U$164,$X226)*6</f>
        <v>45617.070019338345</v>
      </c>
      <c r="AC226" s="7">
        <f>求节点(节奏总纲!H$4:H$163,V$5:V$164,$X226)*6</f>
        <v>49547.119308915637</v>
      </c>
      <c r="AG226" s="7">
        <v>222</v>
      </c>
      <c r="AH226" s="7">
        <v>1</v>
      </c>
      <c r="AI226" s="7">
        <f>[6]实力验证!$Z228</f>
        <v>1.6079044078779237</v>
      </c>
      <c r="AJ226" s="7">
        <f>[6]实力验证!$AE228</f>
        <v>2.7898882972931487</v>
      </c>
      <c r="AK226" s="7">
        <f>[6]实力验证!$AJ228</f>
        <v>8.185035855991929</v>
      </c>
      <c r="AL226" s="7">
        <f>[6]实力验证!$AO228</f>
        <v>18.215988345822652</v>
      </c>
      <c r="AM226" s="7">
        <f t="shared" si="13"/>
        <v>93.085565380242983</v>
      </c>
    </row>
    <row r="227" spans="2:39" x14ac:dyDescent="0.15">
      <c r="B227" s="7">
        <v>223</v>
      </c>
      <c r="C227" s="7">
        <f>[1]服务器生态!W244</f>
        <v>90.506906092930052</v>
      </c>
      <c r="D227" s="7">
        <f>[1]服务器生态!X244</f>
        <v>89.240638172475471</v>
      </c>
      <c r="E227" s="7">
        <f>[1]服务器生态!Y244</f>
        <v>7.2847392366006707</v>
      </c>
      <c r="F227" s="7">
        <f>[1]服务器生态!Z244</f>
        <v>1.2960065874937501</v>
      </c>
      <c r="G227" s="7">
        <f>[1]服务器生态!AA244</f>
        <v>0.37499116049999986</v>
      </c>
      <c r="H227" s="7">
        <f>[1]服务器生态!AC244</f>
        <v>0.47962550249999997</v>
      </c>
      <c r="I227" s="7">
        <f>[1]服务器生态!AD244</f>
        <v>0.47291513735919999</v>
      </c>
      <c r="J227" s="7">
        <f>[1]服务器生态!AE244</f>
        <v>3.8604200140800002E-2</v>
      </c>
      <c r="K227" s="7">
        <f>[1]服务器生态!AF244</f>
        <v>6.8679600000000019E-3</v>
      </c>
      <c r="L227" s="7">
        <f>[1]服务器生态!AG244</f>
        <v>1.9871999999999997E-3</v>
      </c>
      <c r="M227" s="7">
        <f>[5]基础信息!M226</f>
        <v>100</v>
      </c>
      <c r="X227" s="7">
        <v>223</v>
      </c>
      <c r="Y227" s="7">
        <f>求节点(节奏总纲!D$4:D$163,R$5:R$164,$X227)*6</f>
        <v>40760.319167070244</v>
      </c>
      <c r="Z227" s="7">
        <f>求节点(节奏总纲!E$4:E$163,S$5:S$164,$X227)*6</f>
        <v>41915.531657009647</v>
      </c>
      <c r="AA227" s="7">
        <f>求节点(节奏总纲!F$4:F$163,T$5:T$164,$X227)*6</f>
        <v>43437.92786774112</v>
      </c>
      <c r="AB227" s="7">
        <f>求节点(节奏总纲!G$4:G$163,U$5:U$164,$X227)*6</f>
        <v>45644.601287963917</v>
      </c>
      <c r="AC227" s="7">
        <f>求节点(节奏总纲!H$4:H$163,V$5:V$164,$X227)*6</f>
        <v>49573.164873655107</v>
      </c>
      <c r="AG227" s="7">
        <v>223</v>
      </c>
      <c r="AH227" s="7">
        <v>1</v>
      </c>
      <c r="AI227" s="7">
        <f>[6]实力验证!$Z229</f>
        <v>1.6112793049939531</v>
      </c>
      <c r="AJ227" s="7">
        <f>[6]实力验证!$AE229</f>
        <v>2.7920267533004148</v>
      </c>
      <c r="AK227" s="7">
        <f>[6]实力验证!$AJ229</f>
        <v>8.1948913482602439</v>
      </c>
      <c r="AL227" s="7">
        <f>[6]实力验证!$AO229</f>
        <v>18.160280386033801</v>
      </c>
      <c r="AM227" s="7">
        <f t="shared" si="13"/>
        <v>93.187584239097745</v>
      </c>
    </row>
    <row r="228" spans="2:39" x14ac:dyDescent="0.15">
      <c r="B228" s="7">
        <v>224</v>
      </c>
      <c r="C228" s="7">
        <f>[1]服务器生态!W245</f>
        <v>89.935627154561686</v>
      </c>
      <c r="D228" s="7">
        <f>[1]服务器生态!X245</f>
        <v>88.677351908086536</v>
      </c>
      <c r="E228" s="7">
        <f>[1]服务器生态!Y245</f>
        <v>7.2387580150892141</v>
      </c>
      <c r="F228" s="7">
        <f>[1]服务器生态!Z245</f>
        <v>1.2878262032625001</v>
      </c>
      <c r="G228" s="7">
        <f>[1]服务器生态!AA245</f>
        <v>0.37262421899999987</v>
      </c>
      <c r="H228" s="7">
        <f>[1]服务器生态!AC245</f>
        <v>0.47962550249999997</v>
      </c>
      <c r="I228" s="7">
        <f>[1]服务器生态!AD245</f>
        <v>0.47291513735919999</v>
      </c>
      <c r="J228" s="7">
        <f>[1]服务器生态!AE245</f>
        <v>3.8604200140800002E-2</v>
      </c>
      <c r="K228" s="7">
        <f>[1]服务器生态!AF245</f>
        <v>6.8679600000000019E-3</v>
      </c>
      <c r="L228" s="7">
        <f>[1]服务器生态!AG245</f>
        <v>1.9871999999999997E-3</v>
      </c>
      <c r="M228" s="7">
        <f>[5]基础信息!M227</f>
        <v>100</v>
      </c>
      <c r="X228" s="7">
        <v>224</v>
      </c>
      <c r="Y228" s="7">
        <f>求节点(节奏总纲!D$4:D$163,R$5:R$164,$X228)*6</f>
        <v>40785.795696322988</v>
      </c>
      <c r="Z228" s="7">
        <f>求节点(节奏总纲!E$4:E$163,S$5:S$164,$X228)*6</f>
        <v>41940.77816231671</v>
      </c>
      <c r="AA228" s="7">
        <f>求节点(节奏总纲!F$4:F$163,T$5:T$164,$X228)*6</f>
        <v>43463.04900241016</v>
      </c>
      <c r="AB228" s="7">
        <f>求节点(节奏总纲!G$4:G$163,U$5:U$164,$X228)*6</f>
        <v>45672.132556589473</v>
      </c>
      <c r="AC228" s="7">
        <f>求节点(节奏总纲!H$4:H$163,V$5:V$164,$X228)*6</f>
        <v>49598.294255223795</v>
      </c>
      <c r="AG228" s="7">
        <v>224</v>
      </c>
      <c r="AH228" s="7">
        <v>1</v>
      </c>
      <c r="AI228" s="7">
        <f>[6]实力验证!$Z230</f>
        <v>1.6146132234098227</v>
      </c>
      <c r="AJ228" s="7">
        <f>[6]实力验证!$AE230</f>
        <v>2.7941392437316912</v>
      </c>
      <c r="AK228" s="7">
        <f>[6]实力验证!$AJ230</f>
        <v>8.2046271730990927</v>
      </c>
      <c r="AL228" s="7">
        <f>[6]实力验证!$AO230</f>
        <v>18.104993265974475</v>
      </c>
      <c r="AM228" s="7">
        <f t="shared" si="13"/>
        <v>93.288262786961369</v>
      </c>
    </row>
    <row r="229" spans="2:39" x14ac:dyDescent="0.15">
      <c r="B229" s="7">
        <v>225</v>
      </c>
      <c r="C229" s="7">
        <f>[1]服务器生态!W246</f>
        <v>89.364348216193335</v>
      </c>
      <c r="D229" s="7">
        <f>[1]服务器生态!X246</f>
        <v>88.114065643697614</v>
      </c>
      <c r="E229" s="7">
        <f>[1]服务器生态!Y246</f>
        <v>7.1927767935777585</v>
      </c>
      <c r="F229" s="7">
        <f>[1]服务器生态!Z246</f>
        <v>1.2796458190312501</v>
      </c>
      <c r="G229" s="7">
        <f>[1]服务器生态!AA246</f>
        <v>0.37025727749999987</v>
      </c>
      <c r="H229" s="7">
        <f>[1]服务器生态!AC246</f>
        <v>0.47962550249999997</v>
      </c>
      <c r="I229" s="7">
        <f>[1]服务器生态!AD246</f>
        <v>0.47291513735919999</v>
      </c>
      <c r="J229" s="7">
        <f>[1]服务器生态!AE246</f>
        <v>3.8604200140800002E-2</v>
      </c>
      <c r="K229" s="7">
        <f>[1]服务器生态!AF246</f>
        <v>6.8679600000000019E-3</v>
      </c>
      <c r="L229" s="7">
        <f>[1]服务器生态!AG246</f>
        <v>1.9871999999999997E-3</v>
      </c>
      <c r="M229" s="7">
        <f>[5]基础信息!M228</f>
        <v>100</v>
      </c>
      <c r="X229" s="7">
        <v>225</v>
      </c>
      <c r="Y229" s="7">
        <f>求节点(节奏总纲!D$4:D$163,R$5:R$164,$X229)*6</f>
        <v>40811.27222557574</v>
      </c>
      <c r="Z229" s="7">
        <f>求节点(节奏总纲!E$4:E$163,S$5:S$164,$X229)*6</f>
        <v>41966.024667623773</v>
      </c>
      <c r="AA229" s="7">
        <f>求节点(节奏总纲!F$4:F$163,T$5:T$164,$X229)*6</f>
        <v>43488.1701370792</v>
      </c>
      <c r="AB229" s="7">
        <f>求节点(节奏总纲!G$4:G$163,U$5:U$164,$X229)*6</f>
        <v>45699.663825215037</v>
      </c>
      <c r="AC229" s="7">
        <f>求节点(节奏总纲!H$4:H$163,V$5:V$164,$X229)*6</f>
        <v>49623.022240392645</v>
      </c>
      <c r="AG229" s="7">
        <v>225</v>
      </c>
      <c r="AH229" s="7">
        <v>1</v>
      </c>
      <c r="AI229" s="7">
        <f>[6]实力验证!$Z231</f>
        <v>1.6179069049794643</v>
      </c>
      <c r="AJ229" s="7">
        <f>[6]实力验证!$AE231</f>
        <v>2.7962262386522676</v>
      </c>
      <c r="AK229" s="7">
        <f>[6]实力验证!$AJ231</f>
        <v>8.2142454968961989</v>
      </c>
      <c r="AL229" s="7">
        <f>[6]实力验证!$AO231</f>
        <v>18.050262105019556</v>
      </c>
      <c r="AM229" s="7">
        <f t="shared" si="13"/>
        <v>93.387682017817241</v>
      </c>
    </row>
    <row r="230" spans="2:39" x14ac:dyDescent="0.15">
      <c r="B230" s="7">
        <v>226</v>
      </c>
      <c r="C230" s="7">
        <f>[1]服务器生态!W247</f>
        <v>88.793069277824969</v>
      </c>
      <c r="D230" s="7">
        <f>[1]服务器生态!X247</f>
        <v>87.550779379308665</v>
      </c>
      <c r="E230" s="7">
        <f>[1]服务器生态!Y247</f>
        <v>7.1467955720663019</v>
      </c>
      <c r="F230" s="7">
        <f>[1]服务器生态!Z247</f>
        <v>1.2714654347999998</v>
      </c>
      <c r="G230" s="7">
        <f>[1]服务器生态!AA247</f>
        <v>0.36789033599999982</v>
      </c>
      <c r="H230" s="7">
        <f>[1]服务器生态!AC247</f>
        <v>0.47962550249999997</v>
      </c>
      <c r="I230" s="7">
        <f>[1]服务器生态!AD247</f>
        <v>0.47291513735919999</v>
      </c>
      <c r="J230" s="7">
        <f>[1]服务器生态!AE247</f>
        <v>3.8604200140800002E-2</v>
      </c>
      <c r="K230" s="7">
        <f>[1]服务器生态!AF247</f>
        <v>6.8679600000000019E-3</v>
      </c>
      <c r="L230" s="7">
        <f>[1]服务器生态!AG247</f>
        <v>1.9871999999999997E-3</v>
      </c>
      <c r="M230" s="7">
        <f>[5]基础信息!M229</f>
        <v>100</v>
      </c>
      <c r="X230" s="7">
        <v>226</v>
      </c>
      <c r="Y230" s="7">
        <f>求节点(节奏总纲!D$4:D$163,R$5:R$164,$X230)*6</f>
        <v>40836.748754828484</v>
      </c>
      <c r="Z230" s="7">
        <f>求节点(节奏总纲!E$4:E$163,S$5:S$164,$X230)*6</f>
        <v>41991.271172930828</v>
      </c>
      <c r="AA230" s="7">
        <f>求节点(节奏总纲!F$4:F$163,T$5:T$164,$X230)*6</f>
        <v>43513.291271748232</v>
      </c>
      <c r="AB230" s="7">
        <f>求节点(节奏总纲!G$4:G$163,U$5:U$164,$X230)*6</f>
        <v>45727.195093840608</v>
      </c>
      <c r="AC230" s="7">
        <f>求节点(节奏总纲!H$4:H$163,V$5:V$164,$X230)*6</f>
        <v>49647.750225561496</v>
      </c>
      <c r="AG230" s="7">
        <v>226</v>
      </c>
      <c r="AH230" s="7">
        <v>1</v>
      </c>
      <c r="AI230" s="7">
        <f>[6]实力验证!$Z232</f>
        <v>1.6211610737574449</v>
      </c>
      <c r="AJ230" s="7">
        <f>[6]实力验证!$AE232</f>
        <v>2.7982881968491209</v>
      </c>
      <c r="AK230" s="7">
        <f>[6]实力验证!$AJ232</f>
        <v>8.2237484340609672</v>
      </c>
      <c r="AL230" s="7">
        <f>[6]实力验证!$AO232</f>
        <v>17.996187528775231</v>
      </c>
      <c r="AM230" s="7">
        <f t="shared" si="13"/>
        <v>93.485908561622836</v>
      </c>
    </row>
    <row r="231" spans="2:39" x14ac:dyDescent="0.15">
      <c r="B231" s="7">
        <v>227</v>
      </c>
      <c r="C231" s="7">
        <f>[1]服务器生态!W248</f>
        <v>88.221790339456604</v>
      </c>
      <c r="D231" s="7">
        <f>[1]服务器生态!X248</f>
        <v>86.987493114919729</v>
      </c>
      <c r="E231" s="7">
        <f>[1]服务器生态!Y248</f>
        <v>7.1008143505548462</v>
      </c>
      <c r="F231" s="7">
        <f>[1]服务器生态!Z248</f>
        <v>1.2632850505687501</v>
      </c>
      <c r="G231" s="7">
        <f>[1]服务器生态!AA248</f>
        <v>0.36552339449999982</v>
      </c>
      <c r="H231" s="7">
        <f>[1]服务器生态!AC248</f>
        <v>0.47962550249999997</v>
      </c>
      <c r="I231" s="7">
        <f>[1]服务器生态!AD248</f>
        <v>0.47291513735919999</v>
      </c>
      <c r="J231" s="7">
        <f>[1]服务器生态!AE248</f>
        <v>3.8604200140800002E-2</v>
      </c>
      <c r="K231" s="7">
        <f>[1]服务器生态!AF248</f>
        <v>6.8679600000000019E-3</v>
      </c>
      <c r="L231" s="7">
        <f>[1]服务器生态!AG248</f>
        <v>1.9871999999999997E-3</v>
      </c>
      <c r="M231" s="7">
        <f>[5]基础信息!M230</f>
        <v>100</v>
      </c>
      <c r="X231" s="7">
        <v>227</v>
      </c>
      <c r="Y231" s="7">
        <f>求节点(节奏总纲!D$4:D$163,R$5:R$164,$X231)*6</f>
        <v>40862.225284081229</v>
      </c>
      <c r="Z231" s="7">
        <f>求节点(节奏总纲!E$4:E$163,S$5:S$164,$X231)*6</f>
        <v>42016.517678237884</v>
      </c>
      <c r="AA231" s="7">
        <f>求节点(节奏总纲!F$4:F$163,T$5:T$164,$X231)*6</f>
        <v>43538.412406417265</v>
      </c>
      <c r="AB231" s="7">
        <f>求节点(节奏总纲!G$4:G$163,U$5:U$164,$X231)*6</f>
        <v>45753.29831779284</v>
      </c>
      <c r="AC231" s="7">
        <f>求节点(节奏总纲!H$4:H$163,V$5:V$164,$X231)*6</f>
        <v>49672.478210730347</v>
      </c>
      <c r="AG231" s="7">
        <v>227</v>
      </c>
      <c r="AH231" s="7">
        <v>1</v>
      </c>
      <c r="AI231" s="7">
        <f>[6]实力验证!$Z233</f>
        <v>1.6243764365296107</v>
      </c>
      <c r="AJ231" s="7">
        <f>[6]实力验证!$AE233</f>
        <v>2.8003255661671425</v>
      </c>
      <c r="AK231" s="7">
        <f>[6]实力验证!$AJ233</f>
        <v>8.2345584004535848</v>
      </c>
      <c r="AL231" s="7">
        <f>[6]实力验证!$AO233</f>
        <v>17.942757792569424</v>
      </c>
      <c r="AM231" s="7">
        <f t="shared" si="13"/>
        <v>93.584914736570326</v>
      </c>
    </row>
    <row r="232" spans="2:39" x14ac:dyDescent="0.15">
      <c r="B232" s="7">
        <v>228</v>
      </c>
      <c r="C232" s="7">
        <f>[1]服务器生态!W249</f>
        <v>87.650511401088266</v>
      </c>
      <c r="D232" s="7">
        <f>[1]服务器生态!X249</f>
        <v>86.424206850530823</v>
      </c>
      <c r="E232" s="7">
        <f>[1]服务器生态!Y249</f>
        <v>7.0548331290433914</v>
      </c>
      <c r="F232" s="7">
        <f>[1]服务器生态!Z249</f>
        <v>1.2551046663375003</v>
      </c>
      <c r="G232" s="7">
        <f>[1]服务器生态!AA249</f>
        <v>0.36315645299999993</v>
      </c>
      <c r="H232" s="7">
        <f>[1]服务器生态!AC249</f>
        <v>0.47962550249999997</v>
      </c>
      <c r="I232" s="7">
        <f>[1]服务器生态!AD249</f>
        <v>0.47291513735919999</v>
      </c>
      <c r="J232" s="7">
        <f>[1]服务器生态!AE249</f>
        <v>3.8604200140800002E-2</v>
      </c>
      <c r="K232" s="7">
        <f>[1]服务器生态!AF249</f>
        <v>6.8679600000000019E-3</v>
      </c>
      <c r="L232" s="7">
        <f>[1]服务器生态!AG249</f>
        <v>1.9871999999999997E-3</v>
      </c>
      <c r="M232" s="7">
        <f>[5]基础信息!M231</f>
        <v>100</v>
      </c>
      <c r="X232" s="7">
        <v>228</v>
      </c>
      <c r="Y232" s="7">
        <f>求节点(节奏总纲!D$4:D$163,R$5:R$164,$X232)*6</f>
        <v>40887.701813333981</v>
      </c>
      <c r="Z232" s="7">
        <f>求节点(节奏总纲!E$4:E$163,S$5:S$164,$X232)*6</f>
        <v>42041.764183544939</v>
      </c>
      <c r="AA232" s="7">
        <f>求节点(节奏总纲!F$4:F$163,T$5:T$164,$X232)*6</f>
        <v>43563.533541086312</v>
      </c>
      <c r="AB232" s="7">
        <f>求节点(节奏总纲!G$4:G$163,U$5:U$164,$X232)*6</f>
        <v>45779.390513135353</v>
      </c>
      <c r="AC232" s="7">
        <f>求节点(节奏总纲!H$4:H$163,V$5:V$164,$X232)*6</f>
        <v>49697.206195899198</v>
      </c>
      <c r="AG232" s="7">
        <v>228</v>
      </c>
      <c r="AH232" s="7">
        <v>1</v>
      </c>
      <c r="AI232" s="7">
        <f>[6]实力验证!$Z234</f>
        <v>1.6275536833248612</v>
      </c>
      <c r="AJ232" s="7">
        <f>[6]实力验证!$AE234</f>
        <v>2.8023387838334237</v>
      </c>
      <c r="AK232" s="7">
        <f>[6]实力验证!$AJ234</f>
        <v>8.2452511261016408</v>
      </c>
      <c r="AL232" s="7">
        <f>[6]实力验证!$AO234</f>
        <v>17.889961430180549</v>
      </c>
      <c r="AM232" s="7">
        <f t="shared" si="13"/>
        <v>93.682762237375755</v>
      </c>
    </row>
    <row r="233" spans="2:39" x14ac:dyDescent="0.15">
      <c r="B233" s="7">
        <v>229</v>
      </c>
      <c r="C233" s="7">
        <f>[1]服务器生态!W250</f>
        <v>87.079232462719887</v>
      </c>
      <c r="D233" s="7">
        <f>[1]服务器生态!X250</f>
        <v>85.860920586141859</v>
      </c>
      <c r="E233" s="7">
        <f>[1]服务器生态!Y250</f>
        <v>7.008851907531934</v>
      </c>
      <c r="F233" s="7">
        <f>[1]服务器生态!Z250</f>
        <v>1.2469242821062498</v>
      </c>
      <c r="G233" s="7">
        <f>[1]服务器生态!AA250</f>
        <v>0.36078951149999983</v>
      </c>
      <c r="H233" s="7">
        <f>[1]服务器生态!AC250</f>
        <v>0.47962550249999997</v>
      </c>
      <c r="I233" s="7">
        <f>[1]服务器生态!AD250</f>
        <v>0.47291513735919999</v>
      </c>
      <c r="J233" s="7">
        <f>[1]服务器生态!AE250</f>
        <v>3.8604200140800002E-2</v>
      </c>
      <c r="K233" s="7">
        <f>[1]服务器生态!AF250</f>
        <v>6.8679600000000019E-3</v>
      </c>
      <c r="L233" s="7">
        <f>[1]服务器生态!AG250</f>
        <v>1.9871999999999997E-3</v>
      </c>
      <c r="M233" s="7">
        <f>[5]基础信息!M232</f>
        <v>100</v>
      </c>
      <c r="X233" s="7">
        <v>229</v>
      </c>
      <c r="Y233" s="7">
        <f>求节点(节奏总纲!D$4:D$163,R$5:R$164,$X233)*6</f>
        <v>40913.178342586725</v>
      </c>
      <c r="Z233" s="7">
        <f>求节点(节奏总纲!E$4:E$163,S$5:S$164,$X233)*6</f>
        <v>42067.010688851995</v>
      </c>
      <c r="AA233" s="7">
        <f>求节点(节奏总纲!F$4:F$163,T$5:T$164,$X233)*6</f>
        <v>43588.654675755344</v>
      </c>
      <c r="AB233" s="7">
        <f>求节点(节奏总纲!G$4:G$163,U$5:U$164,$X233)*6</f>
        <v>45805.482708477859</v>
      </c>
      <c r="AC233" s="7">
        <f>求节点(节奏总纲!H$4:H$163,V$5:V$164,$X233)*6</f>
        <v>49721.934181068049</v>
      </c>
      <c r="AG233" s="7">
        <v>229</v>
      </c>
      <c r="AH233" s="7">
        <v>1</v>
      </c>
      <c r="AI233" s="7">
        <f>[6]实力验证!$Z235</f>
        <v>1.6306934879088271</v>
      </c>
      <c r="AJ233" s="7">
        <f>[6]实力验证!$AE235</f>
        <v>2.8043282767700628</v>
      </c>
      <c r="AK233" s="7">
        <f>[6]实力验证!$AJ235</f>
        <v>8.2558178435045946</v>
      </c>
      <c r="AL233" s="7">
        <f>[6]实力验证!$AO235</f>
        <v>17.837787245634015</v>
      </c>
      <c r="AM233" s="7">
        <f t="shared" si="13"/>
        <v>93.77945665595783</v>
      </c>
    </row>
    <row r="234" spans="2:39" x14ac:dyDescent="0.15">
      <c r="B234" s="7">
        <v>230</v>
      </c>
      <c r="C234" s="7">
        <f>[1]服务器生态!W251</f>
        <v>86.507953524351535</v>
      </c>
      <c r="D234" s="7">
        <f>[1]服务器生态!X251</f>
        <v>85.297634321752938</v>
      </c>
      <c r="E234" s="7">
        <f>[1]服务器生态!Y251</f>
        <v>6.9628706860204792</v>
      </c>
      <c r="F234" s="7">
        <f>[1]服务器生态!Z251</f>
        <v>1.2387438978750001</v>
      </c>
      <c r="G234" s="7">
        <f>[1]服务器生态!AA251</f>
        <v>0.35842256999999988</v>
      </c>
      <c r="H234" s="7">
        <f>[1]服务器生态!AC251</f>
        <v>0.47962550249999997</v>
      </c>
      <c r="I234" s="7">
        <f>[1]服务器生态!AD251</f>
        <v>0.47291513735919999</v>
      </c>
      <c r="J234" s="7">
        <f>[1]服务器生态!AE251</f>
        <v>3.8604200140800002E-2</v>
      </c>
      <c r="K234" s="7">
        <f>[1]服务器生态!AF251</f>
        <v>6.8679600000000019E-3</v>
      </c>
      <c r="L234" s="7">
        <f>[1]服务器生态!AG251</f>
        <v>1.9871999999999997E-3</v>
      </c>
      <c r="M234" s="7">
        <f>[5]基础信息!M233</f>
        <v>100</v>
      </c>
      <c r="X234" s="7">
        <v>230</v>
      </c>
      <c r="Y234" s="7">
        <f>求节点(节奏总纲!D$4:D$163,R$5:R$164,$X234)*6</f>
        <v>40938.654871839477</v>
      </c>
      <c r="Z234" s="7">
        <f>求节点(节奏总纲!E$4:E$163,S$5:S$164,$X234)*6</f>
        <v>42092.257194159058</v>
      </c>
      <c r="AA234" s="7">
        <f>求节点(节奏总纲!F$4:F$163,T$5:T$164,$X234)*6</f>
        <v>43613.775810424384</v>
      </c>
      <c r="AB234" s="7">
        <f>求节点(节奏总纲!G$4:G$163,U$5:U$164,$X234)*6</f>
        <v>45831.574903820365</v>
      </c>
      <c r="AC234" s="7">
        <f>求节点(节奏总纲!H$4:H$163,V$5:V$164,$X234)*6</f>
        <v>49746.6621662369</v>
      </c>
      <c r="AG234" s="7">
        <v>230</v>
      </c>
      <c r="AH234" s="7">
        <v>1</v>
      </c>
      <c r="AI234" s="7">
        <f>[6]实力验证!$Z236</f>
        <v>1.6337965082602</v>
      </c>
      <c r="AJ234" s="7">
        <f>[6]实力验证!$AE236</f>
        <v>2.806294461895988</v>
      </c>
      <c r="AK234" s="7">
        <f>[6]实力验证!$AJ236</f>
        <v>8.2662607670279318</v>
      </c>
      <c r="AL234" s="7">
        <f>[6]实力验证!$AO236</f>
        <v>17.786224305287035</v>
      </c>
      <c r="AM234" s="7">
        <f t="shared" si="13"/>
        <v>93.875018255637187</v>
      </c>
    </row>
    <row r="235" spans="2:39" x14ac:dyDescent="0.15">
      <c r="B235" s="7">
        <v>231</v>
      </c>
      <c r="C235" s="7">
        <f>[1]服务器生态!W252</f>
        <v>85.936674585983184</v>
      </c>
      <c r="D235" s="7">
        <f>[1]服务器生态!X252</f>
        <v>84.734348057364002</v>
      </c>
      <c r="E235" s="7">
        <f>[1]服务器生态!Y252</f>
        <v>6.9168894645090235</v>
      </c>
      <c r="F235" s="7">
        <f>[1]服务器生态!Z252</f>
        <v>1.2305635136437501</v>
      </c>
      <c r="G235" s="7">
        <f>[1]服务器生态!AA252</f>
        <v>0.35605562849999989</v>
      </c>
      <c r="H235" s="7">
        <f>[1]服务器生态!AC252</f>
        <v>0.47962550249999997</v>
      </c>
      <c r="I235" s="7">
        <f>[1]服务器生态!AD252</f>
        <v>0.47291513735919999</v>
      </c>
      <c r="J235" s="7">
        <f>[1]服务器生态!AE252</f>
        <v>3.8604200140800002E-2</v>
      </c>
      <c r="K235" s="7">
        <f>[1]服务器生态!AF252</f>
        <v>6.8679600000000019E-3</v>
      </c>
      <c r="L235" s="7">
        <f>[1]服务器生态!AG252</f>
        <v>1.9871999999999997E-3</v>
      </c>
      <c r="M235" s="7">
        <f>[5]基础信息!M234</f>
        <v>100</v>
      </c>
      <c r="X235" s="7">
        <v>231</v>
      </c>
      <c r="Y235" s="7">
        <f>求节点(节奏总纲!D$4:D$163,R$5:R$164,$X235)*6</f>
        <v>40964.131401092221</v>
      </c>
      <c r="Z235" s="7">
        <f>求节点(节奏总纲!E$4:E$163,S$5:S$164,$X235)*6</f>
        <v>42117.503699466113</v>
      </c>
      <c r="AA235" s="7">
        <f>求节点(节奏总纲!F$4:F$163,T$5:T$164,$X235)*6</f>
        <v>43638.896945093416</v>
      </c>
      <c r="AB235" s="7">
        <f>求节点(节奏总纲!G$4:G$163,U$5:U$164,$X235)*6</f>
        <v>45857.667099162871</v>
      </c>
      <c r="AC235" s="7">
        <f>求节点(节奏总纲!H$4:H$163,V$5:V$164,$X235)*6</f>
        <v>49771.390151405751</v>
      </c>
      <c r="AG235" s="7">
        <v>231</v>
      </c>
      <c r="AH235" s="7">
        <v>1</v>
      </c>
      <c r="AI235" s="7">
        <f>[6]实力验证!$Z237</f>
        <v>1.6368633870304174</v>
      </c>
      <c r="AJ235" s="7">
        <f>[6]实力验证!$AE237</f>
        <v>2.8082377464182273</v>
      </c>
      <c r="AK235" s="7">
        <f>[6]实力验证!$AJ237</f>
        <v>8.2765820594546984</v>
      </c>
      <c r="AL235" s="7">
        <f>[6]实力验证!$AO237</f>
        <v>17.735261930190074</v>
      </c>
      <c r="AM235" s="7">
        <f t="shared" si="13"/>
        <v>93.969466827711486</v>
      </c>
    </row>
    <row r="236" spans="2:39" x14ac:dyDescent="0.15">
      <c r="B236" s="7">
        <v>232</v>
      </c>
      <c r="C236" s="7">
        <f>[1]服务器生态!W253</f>
        <v>85.365395647614818</v>
      </c>
      <c r="D236" s="7">
        <f>[1]服务器生态!X253</f>
        <v>84.171061792975067</v>
      </c>
      <c r="E236" s="7">
        <f>[1]服务器生态!Y253</f>
        <v>6.8709082429975661</v>
      </c>
      <c r="F236" s="7">
        <f>[1]服务器生态!Z253</f>
        <v>1.2223831294125</v>
      </c>
      <c r="G236" s="7">
        <f>[1]服务器生态!AA253</f>
        <v>0.35368868699999984</v>
      </c>
      <c r="H236" s="7">
        <f>[1]服务器生态!AC253</f>
        <v>0.47962550249999997</v>
      </c>
      <c r="I236" s="7">
        <f>[1]服务器生态!AD253</f>
        <v>0.47291513735919999</v>
      </c>
      <c r="J236" s="7">
        <f>[1]服务器生态!AE253</f>
        <v>3.8604200140800002E-2</v>
      </c>
      <c r="K236" s="7">
        <f>[1]服务器生态!AF253</f>
        <v>6.8679600000000019E-3</v>
      </c>
      <c r="L236" s="7">
        <f>[1]服务器生态!AG253</f>
        <v>1.9871999999999997E-3</v>
      </c>
      <c r="M236" s="7">
        <f>[5]基础信息!M235</f>
        <v>100</v>
      </c>
      <c r="X236" s="7">
        <v>232</v>
      </c>
      <c r="Y236" s="7">
        <f>求节点(节奏总纲!D$4:D$163,R$5:R$164,$X236)*6</f>
        <v>40989.607930344966</v>
      </c>
      <c r="Z236" s="7">
        <f>求节点(节奏总纲!E$4:E$163,S$5:S$164,$X236)*6</f>
        <v>42142.750204773169</v>
      </c>
      <c r="AA236" s="7">
        <f>求节点(节奏总纲!F$4:F$163,T$5:T$164,$X236)*6</f>
        <v>43664.018079762456</v>
      </c>
      <c r="AB236" s="7">
        <f>求节点(节奏总纲!G$4:G$163,U$5:U$164,$X236)*6</f>
        <v>45883.759294505384</v>
      </c>
      <c r="AC236" s="7">
        <f>求节点(节奏总纲!H$4:H$163,V$5:V$164,$X236)*6</f>
        <v>49796.118136574602</v>
      </c>
      <c r="AG236" s="7">
        <v>232</v>
      </c>
      <c r="AH236" s="7">
        <v>1</v>
      </c>
      <c r="AI236" s="7">
        <f>[6]实力验证!$Z238</f>
        <v>1.639894751987381</v>
      </c>
      <c r="AJ236" s="7">
        <f>[6]实力验证!$AE238</f>
        <v>2.8101585281130665</v>
      </c>
      <c r="AK236" s="7">
        <f>[6]实力验证!$AJ238</f>
        <v>8.2867838334787987</v>
      </c>
      <c r="AL236" s="7">
        <f>[6]实力验证!$AO238</f>
        <v>17.684889688713582</v>
      </c>
      <c r="AM236" s="7">
        <f t="shared" si="13"/>
        <v>94.062821705120243</v>
      </c>
    </row>
    <row r="237" spans="2:39" x14ac:dyDescent="0.15">
      <c r="B237" s="7">
        <v>233</v>
      </c>
      <c r="C237" s="7">
        <f>[1]服务器生态!W254</f>
        <v>84.794116709246453</v>
      </c>
      <c r="D237" s="7">
        <f>[1]服务器生态!X254</f>
        <v>83.607775528586131</v>
      </c>
      <c r="E237" s="7">
        <f>[1]服务器生态!Y254</f>
        <v>6.8249270214861104</v>
      </c>
      <c r="F237" s="7">
        <f>[1]服务器生态!Z254</f>
        <v>1.21420274518125</v>
      </c>
      <c r="G237" s="7">
        <f>[1]服务器生态!AA254</f>
        <v>0.35132174549999989</v>
      </c>
      <c r="H237" s="7">
        <f>[1]服务器生态!AC254</f>
        <v>0.47962550249999997</v>
      </c>
      <c r="I237" s="7">
        <f>[1]服务器生态!AD254</f>
        <v>0.47291513735919999</v>
      </c>
      <c r="J237" s="7">
        <f>[1]服务器生态!AE254</f>
        <v>3.8604200140800002E-2</v>
      </c>
      <c r="K237" s="7">
        <f>[1]服务器生态!AF254</f>
        <v>6.8679600000000019E-3</v>
      </c>
      <c r="L237" s="7">
        <f>[1]服务器生态!AG254</f>
        <v>1.9871999999999997E-3</v>
      </c>
      <c r="M237" s="7">
        <f>[5]基础信息!M236</f>
        <v>100</v>
      </c>
      <c r="X237" s="7">
        <v>233</v>
      </c>
      <c r="Y237" s="7">
        <f>求节点(节奏总纲!D$4:D$163,R$5:R$164,$X237)*6</f>
        <v>41015.084459597718</v>
      </c>
      <c r="Z237" s="7">
        <f>求节点(节奏总纲!E$4:E$163,S$5:S$164,$X237)*6</f>
        <v>42167.996710080231</v>
      </c>
      <c r="AA237" s="7">
        <f>求节点(节奏总纲!F$4:F$163,T$5:T$164,$X237)*6</f>
        <v>43689.139214431489</v>
      </c>
      <c r="AB237" s="7">
        <f>求节点(节奏总纲!G$4:G$163,U$5:U$164,$X237)*6</f>
        <v>45909.85148984789</v>
      </c>
      <c r="AC237" s="7">
        <f>求节点(节奏总纲!H$4:H$163,V$5:V$164,$X237)*6</f>
        <v>49820.846121743452</v>
      </c>
      <c r="AG237" s="7">
        <v>233</v>
      </c>
      <c r="AH237" s="7">
        <v>1</v>
      </c>
      <c r="AI237" s="7">
        <f>[6]实力验证!$Z239</f>
        <v>1.6428912164438425</v>
      </c>
      <c r="AJ237" s="7">
        <f>[6]实力验证!$AE239</f>
        <v>2.8120571955974905</v>
      </c>
      <c r="AK237" s="7">
        <f>[6]实力验证!$AJ239</f>
        <v>8.2968681531466899</v>
      </c>
      <c r="AL237" s="7">
        <f>[6]实力验证!$AO239</f>
        <v>17.635097389429433</v>
      </c>
      <c r="AM237" s="7">
        <f t="shared" si="13"/>
        <v>94.155101775637718</v>
      </c>
    </row>
    <row r="238" spans="2:39" x14ac:dyDescent="0.15">
      <c r="B238" s="7">
        <v>234</v>
      </c>
      <c r="C238" s="7">
        <f>[1]服务器生态!W255</f>
        <v>84.222837770878101</v>
      </c>
      <c r="D238" s="7">
        <f>[1]服务器生态!X255</f>
        <v>83.044489264197196</v>
      </c>
      <c r="E238" s="7">
        <f>[1]服务器生态!Y255</f>
        <v>6.7789457999746547</v>
      </c>
      <c r="F238" s="7">
        <f>[1]服务器生态!Z255</f>
        <v>1.20602236095</v>
      </c>
      <c r="G238" s="7">
        <f>[1]服务器生态!AA255</f>
        <v>0.3489548039999999</v>
      </c>
      <c r="H238" s="7">
        <f>[1]服务器生态!AC255</f>
        <v>0.47962550249999997</v>
      </c>
      <c r="I238" s="7">
        <f>[1]服务器生态!AD255</f>
        <v>0.47291513735919999</v>
      </c>
      <c r="J238" s="7">
        <f>[1]服务器生态!AE255</f>
        <v>3.8604200140800002E-2</v>
      </c>
      <c r="K238" s="7">
        <f>[1]服务器生态!AF255</f>
        <v>6.8679600000000019E-3</v>
      </c>
      <c r="L238" s="7">
        <f>[1]服务器生态!AG255</f>
        <v>1.9871999999999997E-3</v>
      </c>
      <c r="M238" s="7">
        <f>[5]基础信息!M237</f>
        <v>100</v>
      </c>
      <c r="X238" s="7">
        <v>234</v>
      </c>
      <c r="Y238" s="7">
        <f>求节点(节奏总纲!D$4:D$163,R$5:R$164,$X238)*6</f>
        <v>41040.560988850462</v>
      </c>
      <c r="Z238" s="7">
        <f>求节点(节奏总纲!E$4:E$163,S$5:S$164,$X238)*6</f>
        <v>42193.243215387287</v>
      </c>
      <c r="AA238" s="7">
        <f>求节点(节奏总纲!F$4:F$163,T$5:T$164,$X238)*6</f>
        <v>43714.260349100528</v>
      </c>
      <c r="AB238" s="7">
        <f>求节点(节奏总纲!G$4:G$163,U$5:U$164,$X238)*6</f>
        <v>45935.943685190403</v>
      </c>
      <c r="AC238" s="7">
        <f>求节点(节奏总纲!H$4:H$163,V$5:V$164,$X238)*6</f>
        <v>49845.574106912303</v>
      </c>
      <c r="AG238" s="7">
        <v>234</v>
      </c>
      <c r="AH238" s="7">
        <v>1</v>
      </c>
      <c r="AI238" s="7">
        <f>[6]实力验证!$Z240</f>
        <v>1.6458533796710855</v>
      </c>
      <c r="AJ238" s="7">
        <f>[6]实力验证!$AE240</f>
        <v>2.8139341285913044</v>
      </c>
      <c r="AK238" s="7">
        <f>[6]实力验证!$AJ240</f>
        <v>8.3068370352495915</v>
      </c>
      <c r="AL238" s="7">
        <f>[6]实力验证!$AO240</f>
        <v>17.585875074236824</v>
      </c>
      <c r="AM238" s="7">
        <f t="shared" si="13"/>
        <v>94.246325494612492</v>
      </c>
    </row>
    <row r="239" spans="2:39" x14ac:dyDescent="0.15">
      <c r="B239" s="7">
        <v>235</v>
      </c>
      <c r="C239" s="7">
        <f>[1]服务器生态!W256</f>
        <v>83.651558832509735</v>
      </c>
      <c r="D239" s="7">
        <f>[1]服务器生态!X256</f>
        <v>82.481202999808261</v>
      </c>
      <c r="E239" s="7">
        <f>[1]服务器生态!Y256</f>
        <v>6.7329645784631982</v>
      </c>
      <c r="F239" s="7">
        <f>[1]服务器生态!Z256</f>
        <v>1.19784197671875</v>
      </c>
      <c r="G239" s="7">
        <f>[1]服务器生态!AA256</f>
        <v>0.34658786249999984</v>
      </c>
      <c r="H239" s="7">
        <f>[1]服务器生态!AC256</f>
        <v>0.47962550249999997</v>
      </c>
      <c r="I239" s="7">
        <f>[1]服务器生态!AD256</f>
        <v>0.47291513735919999</v>
      </c>
      <c r="J239" s="7">
        <f>[1]服务器生态!AE256</f>
        <v>3.8604200140800002E-2</v>
      </c>
      <c r="K239" s="7">
        <f>[1]服务器生态!AF256</f>
        <v>6.8679600000000019E-3</v>
      </c>
      <c r="L239" s="7">
        <f>[1]服务器生态!AG256</f>
        <v>1.9871999999999997E-3</v>
      </c>
      <c r="M239" s="7">
        <f>[5]基础信息!M238</f>
        <v>100</v>
      </c>
      <c r="X239" s="7">
        <v>235</v>
      </c>
      <c r="Y239" s="7">
        <f>求节点(节奏总纲!D$4:D$163,R$5:R$164,$X239)*6</f>
        <v>41066.037518103214</v>
      </c>
      <c r="Z239" s="7">
        <f>求节点(节奏总纲!E$4:E$163,S$5:S$164,$X239)*6</f>
        <v>42218.489720694342</v>
      </c>
      <c r="AA239" s="7">
        <f>求节点(节奏总纲!F$4:F$163,T$5:T$164,$X239)*6</f>
        <v>43739.381483769568</v>
      </c>
      <c r="AB239" s="7">
        <f>求节点(节奏总纲!G$4:G$163,U$5:U$164,$X239)*6</f>
        <v>45962.035880532909</v>
      </c>
      <c r="AC239" s="7">
        <f>求节点(节奏总纲!H$4:H$163,V$5:V$164,$X239)*6</f>
        <v>49870.302092081154</v>
      </c>
      <c r="AG239" s="7">
        <v>235</v>
      </c>
      <c r="AH239" s="7">
        <v>1</v>
      </c>
      <c r="AI239" s="7">
        <f>[6]实力验证!$Z241</f>
        <v>1.6487818272984784</v>
      </c>
      <c r="AJ239" s="7">
        <f>[6]实力验证!$AE241</f>
        <v>2.8157896981703052</v>
      </c>
      <c r="AK239" s="7">
        <f>[6]实力验证!$AJ241</f>
        <v>8.3166924506681283</v>
      </c>
      <c r="AL239" s="7">
        <f>[6]实力验证!$AO241</f>
        <v>17.537213011722894</v>
      </c>
      <c r="AM239" s="7">
        <f t="shared" si="13"/>
        <v>94.336510897272532</v>
      </c>
    </row>
    <row r="240" spans="2:39" x14ac:dyDescent="0.15">
      <c r="B240" s="7">
        <v>236</v>
      </c>
      <c r="C240" s="7">
        <f>[1]服务器生态!W257</f>
        <v>83.08027989414137</v>
      </c>
      <c r="D240" s="7">
        <f>[1]服务器生态!X257</f>
        <v>81.917916735419325</v>
      </c>
      <c r="E240" s="7">
        <f>[1]服务器生态!Y257</f>
        <v>6.6869833569517425</v>
      </c>
      <c r="F240" s="7">
        <f>[1]服务器生态!Z257</f>
        <v>1.1896615924875</v>
      </c>
      <c r="G240" s="7">
        <f>[1]服务器生态!AA257</f>
        <v>0.34422092099999985</v>
      </c>
      <c r="H240" s="7">
        <f>[1]服务器生态!AC257</f>
        <v>0.47962550249999997</v>
      </c>
      <c r="I240" s="7">
        <f>[1]服务器生态!AD257</f>
        <v>0.47291513735919999</v>
      </c>
      <c r="J240" s="7">
        <f>[1]服务器生态!AE257</f>
        <v>3.8604200140800002E-2</v>
      </c>
      <c r="K240" s="7">
        <f>[1]服务器生态!AF257</f>
        <v>6.8679600000000019E-3</v>
      </c>
      <c r="L240" s="7">
        <f>[1]服务器生态!AG257</f>
        <v>1.9871999999999997E-3</v>
      </c>
      <c r="M240" s="7">
        <f>[5]基础信息!M239</f>
        <v>100</v>
      </c>
      <c r="X240" s="7">
        <v>236</v>
      </c>
      <c r="Y240" s="7">
        <f>求节点(节奏总纲!D$4:D$163,R$5:R$164,$X240)*6</f>
        <v>41091.514047355966</v>
      </c>
      <c r="Z240" s="7">
        <f>求节点(节奏总纲!E$4:E$163,S$5:S$164,$X240)*6</f>
        <v>42243.736226001405</v>
      </c>
      <c r="AA240" s="7">
        <f>求节点(节奏总纲!F$4:F$163,T$5:T$164,$X240)*6</f>
        <v>43764.502618438608</v>
      </c>
      <c r="AB240" s="7">
        <f>求节点(节奏总纲!G$4:G$163,U$5:U$164,$X240)*6</f>
        <v>45988.128075875415</v>
      </c>
      <c r="AC240" s="7">
        <f>求节点(节奏总纲!H$4:H$163,V$5:V$164,$X240)*6</f>
        <v>49895.030077250005</v>
      </c>
      <c r="AG240" s="7">
        <v>236</v>
      </c>
      <c r="AH240" s="7">
        <v>1</v>
      </c>
      <c r="AI240" s="7">
        <f>[6]实力验证!$Z242</f>
        <v>1.6516771316994592</v>
      </c>
      <c r="AJ240" s="7">
        <f>[6]实力验证!$AE242</f>
        <v>2.8176242670108591</v>
      </c>
      <c r="AK240" s="7">
        <f>[6]实力验证!$AJ242</f>
        <v>8.3264363256713487</v>
      </c>
      <c r="AL240" s="7">
        <f>[6]实力验证!$AO242</f>
        <v>17.489101690748775</v>
      </c>
      <c r="AM240" s="7">
        <f t="shared" si="13"/>
        <v>94.425675610611904</v>
      </c>
    </row>
    <row r="241" spans="2:39" x14ac:dyDescent="0.15">
      <c r="B241" s="7">
        <v>237</v>
      </c>
      <c r="C241" s="7">
        <f>[1]服务器生态!W258</f>
        <v>82.509000955773018</v>
      </c>
      <c r="D241" s="7">
        <f>[1]服务器生态!X258</f>
        <v>81.35463047103039</v>
      </c>
      <c r="E241" s="7">
        <f>[1]服务器生态!Y258</f>
        <v>6.6410021354402868</v>
      </c>
      <c r="F241" s="7">
        <f>[1]服务器生态!Z258</f>
        <v>1.18148120825625</v>
      </c>
      <c r="G241" s="7">
        <f>[1]服务器生态!AA258</f>
        <v>0.34185397949999985</v>
      </c>
      <c r="H241" s="7">
        <f>[1]服务器生态!AC258</f>
        <v>0.47962550249999997</v>
      </c>
      <c r="I241" s="7">
        <f>[1]服务器生态!AD258</f>
        <v>0.47291513735919999</v>
      </c>
      <c r="J241" s="7">
        <f>[1]服务器生态!AE258</f>
        <v>3.8604200140800002E-2</v>
      </c>
      <c r="K241" s="7">
        <f>[1]服务器生态!AF258</f>
        <v>6.8679600000000019E-3</v>
      </c>
      <c r="L241" s="7">
        <f>[1]服务器生态!AG258</f>
        <v>1.9871999999999997E-3</v>
      </c>
      <c r="M241" s="7">
        <f>[5]基础信息!M240</f>
        <v>100</v>
      </c>
      <c r="X241" s="7">
        <v>237</v>
      </c>
      <c r="Y241" s="7">
        <f>求节点(节奏总纲!D$4:D$163,R$5:R$164,$X241)*6</f>
        <v>41116.99057660871</v>
      </c>
      <c r="Z241" s="7">
        <f>求节点(节奏总纲!E$4:E$163,S$5:S$164,$X241)*6</f>
        <v>42268.109564321712</v>
      </c>
      <c r="AA241" s="7">
        <f>求节点(节奏总纲!F$4:F$163,T$5:T$164,$X241)*6</f>
        <v>43789.62375310764</v>
      </c>
      <c r="AB241" s="7">
        <f>求节点(节奏总纲!G$4:G$163,U$5:U$164,$X241)*6</f>
        <v>46014.220271217928</v>
      </c>
      <c r="AC241" s="7">
        <f>求节点(节奏总纲!H$4:H$163,V$5:V$164,$X241)*6</f>
        <v>49919.758062418856</v>
      </c>
      <c r="AG241" s="7">
        <v>237</v>
      </c>
      <c r="AH241" s="7">
        <v>1</v>
      </c>
      <c r="AI241" s="7">
        <f>[6]实力验证!$Z243</f>
        <v>1.6539193242565395</v>
      </c>
      <c r="AJ241" s="7">
        <f>[6]实力验证!$AE243</f>
        <v>2.8194381896262168</v>
      </c>
      <c r="AK241" s="7">
        <f>[6]实力验证!$AJ243</f>
        <v>8.3360705431718571</v>
      </c>
      <c r="AL241" s="7">
        <f>[6]实力验证!$AO243</f>
        <v>17.441531814252169</v>
      </c>
      <c r="AM241" s="7">
        <f t="shared" si="13"/>
        <v>94.49622943675206</v>
      </c>
    </row>
    <row r="242" spans="2:39" x14ac:dyDescent="0.15">
      <c r="B242" s="7">
        <v>238</v>
      </c>
      <c r="C242" s="7">
        <f>[1]服务器生态!W259</f>
        <v>81.937722017404667</v>
      </c>
      <c r="D242" s="7">
        <f>[1]服务器生态!X259</f>
        <v>80.791344206641455</v>
      </c>
      <c r="E242" s="7">
        <f>[1]服务器生态!Y259</f>
        <v>6.5950209139288312</v>
      </c>
      <c r="F242" s="7">
        <f>[1]服务器生态!Z259</f>
        <v>1.173300824025</v>
      </c>
      <c r="G242" s="7">
        <f>[1]服务器生态!AA259</f>
        <v>0.33948703799999991</v>
      </c>
      <c r="H242" s="7">
        <f>[1]服务器生态!AC259</f>
        <v>0.47962550249999997</v>
      </c>
      <c r="I242" s="7">
        <f>[1]服务器生态!AD259</f>
        <v>0.47291513735919999</v>
      </c>
      <c r="J242" s="7">
        <f>[1]服务器生态!AE259</f>
        <v>3.8604200140800002E-2</v>
      </c>
      <c r="K242" s="7">
        <f>[1]服务器生态!AF259</f>
        <v>6.8679600000000019E-3</v>
      </c>
      <c r="L242" s="7">
        <f>[1]服务器生态!AG259</f>
        <v>1.9871999999999997E-3</v>
      </c>
      <c r="M242" s="7">
        <f>[5]基础信息!M241</f>
        <v>100</v>
      </c>
      <c r="X242" s="7">
        <v>238</v>
      </c>
      <c r="Y242" s="7">
        <f>求节点(节奏总纲!D$4:D$163,R$5:R$164,$X242)*6</f>
        <v>41142.134766234405</v>
      </c>
      <c r="Z242" s="7">
        <f>求节点(节奏总纲!E$4:E$163,S$5:S$164,$X242)*6</f>
        <v>42291.993521906574</v>
      </c>
      <c r="AA242" s="7">
        <f>求节点(节奏总纲!F$4:F$163,T$5:T$164,$X242)*6</f>
        <v>43813.810341151213</v>
      </c>
      <c r="AB242" s="7">
        <f>求节点(节奏总纲!G$4:G$163,U$5:U$164,$X242)*6</f>
        <v>46040.312466560434</v>
      </c>
      <c r="AC242" s="7">
        <f>求节点(节奏总纲!H$4:H$163,V$5:V$164,$X242)*6</f>
        <v>49944.486047587707</v>
      </c>
      <c r="AG242" s="7">
        <v>238</v>
      </c>
      <c r="AH242" s="7">
        <v>1</v>
      </c>
      <c r="AI242" s="7">
        <f>[6]实力验证!$Z244</f>
        <v>1.6557692674241307</v>
      </c>
      <c r="AJ242" s="7">
        <f>[6]实力验证!$AE244</f>
        <v>2.8218568084567752</v>
      </c>
      <c r="AK242" s="7">
        <f>[6]实力验证!$AJ244</f>
        <v>8.345489496608721</v>
      </c>
      <c r="AL242" s="7">
        <f>[6]实力验证!$AO244</f>
        <v>17.39427034379306</v>
      </c>
      <c r="AM242" s="7">
        <f t="shared" si="13"/>
        <v>94.55968199682637</v>
      </c>
    </row>
    <row r="243" spans="2:39" x14ac:dyDescent="0.15">
      <c r="B243" s="7">
        <v>239</v>
      </c>
      <c r="C243" s="7">
        <f>[1]服务器生态!W260</f>
        <v>81.366443079036301</v>
      </c>
      <c r="D243" s="7">
        <f>[1]服务器生态!X260</f>
        <v>80.228057942252519</v>
      </c>
      <c r="E243" s="7">
        <f>[1]服务器生态!Y260</f>
        <v>6.5490396924173737</v>
      </c>
      <c r="F243" s="7">
        <f>[1]服务器生态!Z260</f>
        <v>1.16512043979375</v>
      </c>
      <c r="G243" s="7">
        <f>[1]服务器生态!AA260</f>
        <v>0.33712009649999986</v>
      </c>
      <c r="H243" s="7">
        <f>[1]服务器生态!AC260</f>
        <v>0.47962550249999997</v>
      </c>
      <c r="I243" s="7">
        <f>[1]服务器生态!AD260</f>
        <v>0.47291513735919999</v>
      </c>
      <c r="J243" s="7">
        <f>[1]服务器生态!AE260</f>
        <v>3.8604200140800002E-2</v>
      </c>
      <c r="K243" s="7">
        <f>[1]服务器生态!AF260</f>
        <v>6.8679600000000019E-3</v>
      </c>
      <c r="L243" s="7">
        <f>[1]服务器生态!AG260</f>
        <v>1.9871999999999997E-3</v>
      </c>
      <c r="M243" s="7">
        <f>[5]基础信息!M242</f>
        <v>100</v>
      </c>
      <c r="X243" s="7">
        <v>239</v>
      </c>
      <c r="Y243" s="7">
        <f>求节点(节奏总纲!D$4:D$163,R$5:R$164,$X243)*6</f>
        <v>41165.296213765912</v>
      </c>
      <c r="Z243" s="7">
        <f>求节点(节奏总纲!E$4:E$163,S$5:S$164,$X243)*6</f>
        <v>42315.877479491435</v>
      </c>
      <c r="AA243" s="7">
        <f>求节点(节奏总纲!F$4:F$163,T$5:T$164,$X243)*6</f>
        <v>43837.648831396305</v>
      </c>
      <c r="AB243" s="7">
        <f>求节点(节奏总纲!G$4:G$163,U$5:U$164,$X243)*6</f>
        <v>46066.40466190294</v>
      </c>
      <c r="AC243" s="7">
        <f>求节点(节奏总纲!H$4:H$163,V$5:V$164,$X243)*6</f>
        <v>49969.214032756558</v>
      </c>
      <c r="AG243" s="7">
        <v>239</v>
      </c>
      <c r="AH243" s="7">
        <v>1</v>
      </c>
      <c r="AI243" s="7">
        <f>[6]实力验证!$Z245</f>
        <v>1.6574719744583</v>
      </c>
      <c r="AJ243" s="7">
        <f>[6]实力验证!$AE245</f>
        <v>2.824277677276585</v>
      </c>
      <c r="AK243" s="7">
        <f>[6]实力验证!$AJ245</f>
        <v>8.3541652789310099</v>
      </c>
      <c r="AL243" s="7">
        <f>[6]实力验证!$AO245</f>
        <v>17.346211085400753</v>
      </c>
      <c r="AM243" s="7">
        <f t="shared" si="13"/>
        <v>94.61763449301759</v>
      </c>
    </row>
    <row r="244" spans="2:39" x14ac:dyDescent="0.15">
      <c r="B244" s="7">
        <v>240</v>
      </c>
      <c r="C244" s="7">
        <f>[1]服务器生态!W261</f>
        <v>80.795164140667936</v>
      </c>
      <c r="D244" s="7">
        <f>[1]服务器生态!X261</f>
        <v>79.664771677863584</v>
      </c>
      <c r="E244" s="7">
        <f>[1]服务器生态!Y261</f>
        <v>6.503058470905918</v>
      </c>
      <c r="F244" s="7">
        <f>[1]服务器生态!Z261</f>
        <v>1.1569400555625</v>
      </c>
      <c r="G244" s="7">
        <f>[1]服务器生态!AA261</f>
        <v>0.33475315499999986</v>
      </c>
      <c r="H244" s="7">
        <f>[1]服务器生态!AC261</f>
        <v>0.47962550249999997</v>
      </c>
      <c r="I244" s="7">
        <f>[1]服务器生态!AD261</f>
        <v>0.47291513735919999</v>
      </c>
      <c r="J244" s="7">
        <f>[1]服务器生态!AE261</f>
        <v>3.8604200140800002E-2</v>
      </c>
      <c r="K244" s="7">
        <f>[1]服务器生态!AF261</f>
        <v>6.8679600000000019E-3</v>
      </c>
      <c r="L244" s="7">
        <f>[1]服务器生态!AG261</f>
        <v>1.9871999999999997E-3</v>
      </c>
      <c r="M244" s="7">
        <f>[5]基础信息!M243</f>
        <v>100</v>
      </c>
      <c r="X244" s="7">
        <v>240</v>
      </c>
      <c r="Y244" s="7">
        <f>求节点(节奏总纲!D$4:D$163,R$5:R$164,$X244)*6</f>
        <v>41188.45766129742</v>
      </c>
      <c r="Z244" s="7">
        <f>求节点(节奏总纲!E$4:E$163,S$5:S$164,$X244)*6</f>
        <v>42339.761437076304</v>
      </c>
      <c r="AA244" s="7">
        <f>求节点(节奏总纲!F$4:F$163,T$5:T$164,$X244)*6</f>
        <v>43861.487321641391</v>
      </c>
      <c r="AB244" s="7">
        <f>求节点(节奏总纲!G$4:G$163,U$5:U$164,$X244)*6</f>
        <v>46092.496857245445</v>
      </c>
      <c r="AC244" s="7">
        <f>求节点(节奏总纲!H$4:H$163,V$5:V$164,$X244)*6</f>
        <v>49993.942017925408</v>
      </c>
      <c r="AG244" s="7">
        <v>240</v>
      </c>
      <c r="AH244" s="7">
        <v>1</v>
      </c>
      <c r="AI244" s="7">
        <f>[6]实力验证!$Z246</f>
        <v>1.6591555389461721</v>
      </c>
      <c r="AJ244" s="7">
        <f>[6]实力验证!$AE246</f>
        <v>2.8266713296742312</v>
      </c>
      <c r="AK244" s="7">
        <f>[6]实力验证!$AJ246</f>
        <v>8.3627435244713197</v>
      </c>
      <c r="AL244" s="7">
        <f>[6]实力验证!$AO246</f>
        <v>17.298692129338967</v>
      </c>
      <c r="AM244" s="7">
        <f t="shared" si="13"/>
        <v>94.674935462951439</v>
      </c>
    </row>
    <row r="245" spans="2:39" x14ac:dyDescent="0.15">
      <c r="B245" s="7">
        <v>241</v>
      </c>
      <c r="C245" s="7">
        <f>[1]服务器生态!W262</f>
        <v>80.323859016514049</v>
      </c>
      <c r="D245" s="7">
        <f>[1]服务器生态!X262</f>
        <v>79.200060509742727</v>
      </c>
      <c r="E245" s="7">
        <f>[1]服务器生态!Y262</f>
        <v>6.4651239631589679</v>
      </c>
      <c r="F245" s="7">
        <f>[1]服务器生态!Z262</f>
        <v>1.1501912385717188</v>
      </c>
      <c r="G245" s="7">
        <f>[1]服务器生态!AA262</f>
        <v>0.33280042826249989</v>
      </c>
      <c r="H245" s="7">
        <f>[1]服务器生态!AC262</f>
        <v>0.47962550249999997</v>
      </c>
      <c r="I245" s="7">
        <f>[1]服务器生态!AD262</f>
        <v>0.47291513735919999</v>
      </c>
      <c r="J245" s="7">
        <f>[1]服务器生态!AE262</f>
        <v>3.8604200140800002E-2</v>
      </c>
      <c r="K245" s="7">
        <f>[1]服务器生态!AF262</f>
        <v>6.8679600000000019E-3</v>
      </c>
      <c r="L245" s="7">
        <f>[1]服务器生态!AG262</f>
        <v>1.9871999999999997E-3</v>
      </c>
      <c r="M245" s="7">
        <f>[5]基础信息!M244</f>
        <v>100</v>
      </c>
      <c r="X245" s="7">
        <v>241</v>
      </c>
      <c r="Y245" s="7">
        <f>求节点(节奏总纲!D$4:D$163,R$5:R$164,$X245)*6</f>
        <v>41211.61910882892</v>
      </c>
      <c r="Z245" s="7">
        <f>求节点(节奏总纲!E$4:E$163,S$5:S$164,$X245)*6</f>
        <v>42363.645394661165</v>
      </c>
      <c r="AA245" s="7">
        <f>求节点(节奏总纲!F$4:F$163,T$5:T$164,$X245)*6</f>
        <v>43885.325811886491</v>
      </c>
      <c r="AB245" s="7">
        <f>求节点(节奏总纲!G$4:G$163,U$5:U$164,$X245)*6</f>
        <v>46117.345643339999</v>
      </c>
      <c r="AC245" s="7">
        <f>求节点(节奏总纲!H$4:H$163,V$5:V$164,$X245)*6</f>
        <v>50018.341706641106</v>
      </c>
      <c r="AG245" s="7">
        <v>241</v>
      </c>
      <c r="AH245" s="7">
        <v>1</v>
      </c>
      <c r="AI245" s="7">
        <f>[6]实力验证!$Z247</f>
        <v>1.6608202818960882</v>
      </c>
      <c r="AJ245" s="7">
        <f>[6]实力验证!$AE247</f>
        <v>2.8290382220518246</v>
      </c>
      <c r="AK245" s="7">
        <f>[6]实力验证!$AJ247</f>
        <v>8.3720539580375153</v>
      </c>
      <c r="AL245" s="7">
        <f>[6]实力验证!$AO247</f>
        <v>17.252296182542807</v>
      </c>
      <c r="AM245" s="7">
        <f t="shared" si="13"/>
        <v>94.732968481039606</v>
      </c>
    </row>
    <row r="246" spans="2:39" x14ac:dyDescent="0.15">
      <c r="B246" s="7">
        <v>242</v>
      </c>
      <c r="C246" s="7">
        <f>[1]服务器生态!W263</f>
        <v>79.852553892360135</v>
      </c>
      <c r="D246" s="7">
        <f>[1]服务器生态!X263</f>
        <v>78.735349341621841</v>
      </c>
      <c r="E246" s="7">
        <f>[1]服务器生态!Y263</f>
        <v>6.4271894554120159</v>
      </c>
      <c r="F246" s="7">
        <f>[1]服务器生态!Z263</f>
        <v>1.1434424215809373</v>
      </c>
      <c r="G246" s="7">
        <f>[1]服务器生态!AA263</f>
        <v>0.33084770152499982</v>
      </c>
      <c r="H246" s="7">
        <f>[1]服务器生态!AC263</f>
        <v>0.47962550249999997</v>
      </c>
      <c r="I246" s="7">
        <f>[1]服务器生态!AD263</f>
        <v>0.47291513735919999</v>
      </c>
      <c r="J246" s="7">
        <f>[1]服务器生态!AE263</f>
        <v>3.8604200140800002E-2</v>
      </c>
      <c r="K246" s="7">
        <f>[1]服务器生态!AF263</f>
        <v>6.8679600000000019E-3</v>
      </c>
      <c r="L246" s="7">
        <f>[1]服务器生态!AG263</f>
        <v>1.9871999999999997E-3</v>
      </c>
      <c r="M246" s="7">
        <f>[5]基础信息!M245</f>
        <v>100</v>
      </c>
      <c r="X246" s="7">
        <v>242</v>
      </c>
      <c r="Y246" s="7">
        <f>求节点(节奏总纲!D$4:D$163,R$5:R$164,$X246)*6</f>
        <v>41234.780556360427</v>
      </c>
      <c r="Z246" s="7">
        <f>求节点(节奏总纲!E$4:E$163,S$5:S$164,$X246)*6</f>
        <v>42387.529352246027</v>
      </c>
      <c r="AA246" s="7">
        <f>求节点(节奏总纲!F$4:F$163,T$5:T$164,$X246)*6</f>
        <v>43909.164302131583</v>
      </c>
      <c r="AB246" s="7">
        <f>求节点(节奏总纲!G$4:G$163,U$5:U$164,$X246)*6</f>
        <v>46141.633262854717</v>
      </c>
      <c r="AC246" s="7">
        <f>求节点(节奏总纲!H$4:H$163,V$5:V$164,$X246)*6</f>
        <v>50041.604100631295</v>
      </c>
      <c r="AG246" s="7">
        <v>242</v>
      </c>
      <c r="AH246" s="7">
        <v>1</v>
      </c>
      <c r="AI246" s="7">
        <f>[6]实力验证!$Z248</f>
        <v>1.6624665171788118</v>
      </c>
      <c r="AJ246" s="7">
        <f>[6]实力验证!$AE248</f>
        <v>2.8313788006634355</v>
      </c>
      <c r="AK246" s="7">
        <f>[6]实力验证!$AJ248</f>
        <v>8.3816325333366475</v>
      </c>
      <c r="AL246" s="7">
        <f>[6]实力验证!$AO248</f>
        <v>17.208454663215527</v>
      </c>
      <c r="AM246" s="7">
        <f t="shared" si="13"/>
        <v>94.791677046821974</v>
      </c>
    </row>
    <row r="247" spans="2:39" x14ac:dyDescent="0.15">
      <c r="B247" s="7">
        <v>243</v>
      </c>
      <c r="C247" s="7">
        <f>[1]服务器生态!W264</f>
        <v>79.381248768206262</v>
      </c>
      <c r="D247" s="7">
        <f>[1]服务器生态!X264</f>
        <v>78.270638173500984</v>
      </c>
      <c r="E247" s="7">
        <f>[1]服务器生态!Y264</f>
        <v>6.3892549476650657</v>
      </c>
      <c r="F247" s="7">
        <f>[1]服务器生态!Z264</f>
        <v>1.1366936045901563</v>
      </c>
      <c r="G247" s="7">
        <f>[1]服务器生态!AA264</f>
        <v>0.32889497478749991</v>
      </c>
      <c r="H247" s="7">
        <f>[1]服务器生态!AC264</f>
        <v>0.47962550249999997</v>
      </c>
      <c r="I247" s="7">
        <f>[1]服务器生态!AD264</f>
        <v>0.47291513735919999</v>
      </c>
      <c r="J247" s="7">
        <f>[1]服务器生态!AE264</f>
        <v>3.8604200140800002E-2</v>
      </c>
      <c r="K247" s="7">
        <f>[1]服务器生态!AF264</f>
        <v>6.8679600000000019E-3</v>
      </c>
      <c r="L247" s="7">
        <f>[1]服务器生态!AG264</f>
        <v>1.9871999999999997E-3</v>
      </c>
      <c r="M247" s="7">
        <f>[5]基础信息!M246</f>
        <v>100</v>
      </c>
      <c r="X247" s="7">
        <v>243</v>
      </c>
      <c r="Y247" s="7">
        <f>求节点(节奏总纲!D$4:D$163,R$5:R$164,$X247)*6</f>
        <v>41257.942003891934</v>
      </c>
      <c r="Z247" s="7">
        <f>求节点(节奏总纲!E$4:E$163,S$5:S$164,$X247)*6</f>
        <v>42411.413309830896</v>
      </c>
      <c r="AA247" s="7">
        <f>求节点(节奏总纲!F$4:F$163,T$5:T$164,$X247)*6</f>
        <v>43933.002792376668</v>
      </c>
      <c r="AB247" s="7">
        <f>求节点(节奏总纲!G$4:G$163,U$5:U$164,$X247)*6</f>
        <v>46165.920882369435</v>
      </c>
      <c r="AC247" s="7">
        <f>求节点(节奏总纲!H$4:H$163,V$5:V$164,$X247)*6</f>
        <v>50064.866494621485</v>
      </c>
      <c r="AG247" s="7">
        <v>243</v>
      </c>
      <c r="AH247" s="7">
        <v>1</v>
      </c>
      <c r="AI247" s="7">
        <f>[6]实力验证!$Z249</f>
        <v>1.6640945517248111</v>
      </c>
      <c r="AJ247" s="7">
        <f>[6]实力验证!$AE249</f>
        <v>2.8336935018955858</v>
      </c>
      <c r="AK247" s="7">
        <f>[6]实力验证!$AJ249</f>
        <v>8.3911052081432782</v>
      </c>
      <c r="AL247" s="7">
        <f>[6]实力验证!$AO249</f>
        <v>17.165097854645715</v>
      </c>
      <c r="AM247" s="7">
        <f t="shared" si="13"/>
        <v>94.84973653214756</v>
      </c>
    </row>
    <row r="248" spans="2:39" x14ac:dyDescent="0.15">
      <c r="B248" s="7">
        <v>244</v>
      </c>
      <c r="C248" s="7">
        <f>[1]服务器生态!W265</f>
        <v>78.909943644052362</v>
      </c>
      <c r="D248" s="7">
        <f>[1]服务器生态!X265</f>
        <v>77.805927005380113</v>
      </c>
      <c r="E248" s="7">
        <f>[1]服务器生态!Y265</f>
        <v>6.3513204399181138</v>
      </c>
      <c r="F248" s="7">
        <f>[1]服务器生态!Z265</f>
        <v>1.1299447875993751</v>
      </c>
      <c r="G248" s="7">
        <f>[1]服务器生态!AA265</f>
        <v>0.32694224804999988</v>
      </c>
      <c r="H248" s="7">
        <f>[1]服务器生态!AC265</f>
        <v>0.47962550249999997</v>
      </c>
      <c r="I248" s="7">
        <f>[1]服务器生态!AD265</f>
        <v>0.47291513735919999</v>
      </c>
      <c r="J248" s="7">
        <f>[1]服务器生态!AE265</f>
        <v>3.8604200140800002E-2</v>
      </c>
      <c r="K248" s="7">
        <f>[1]服务器生态!AF265</f>
        <v>6.8679600000000019E-3</v>
      </c>
      <c r="L248" s="7">
        <f>[1]服务器生态!AG265</f>
        <v>1.9871999999999997E-3</v>
      </c>
      <c r="M248" s="7">
        <f>[5]基础信息!M247</f>
        <v>100</v>
      </c>
      <c r="X248" s="7">
        <v>244</v>
      </c>
      <c r="Y248" s="7">
        <f>求节点(节奏总纲!D$4:D$163,R$5:R$164,$X248)*6</f>
        <v>41281.103451423442</v>
      </c>
      <c r="Z248" s="7">
        <f>求节点(节奏总纲!E$4:E$163,S$5:S$164,$X248)*6</f>
        <v>42435.29726741575</v>
      </c>
      <c r="AA248" s="7">
        <f>求节点(节奏总纲!F$4:F$163,T$5:T$164,$X248)*6</f>
        <v>43956.841282621761</v>
      </c>
      <c r="AB248" s="7">
        <f>求节点(节奏总纲!G$4:G$163,U$5:U$164,$X248)*6</f>
        <v>46190.208501884154</v>
      </c>
      <c r="AC248" s="7">
        <f>求节点(节奏总纲!H$4:H$163,V$5:V$164,$X248)*6</f>
        <v>50088.128888611696</v>
      </c>
      <c r="AG248" s="7">
        <v>244</v>
      </c>
      <c r="AH248" s="7">
        <v>1</v>
      </c>
      <c r="AI248" s="7">
        <f>[6]实力验证!$Z250</f>
        <v>1.6657046857150353</v>
      </c>
      <c r="AJ248" s="7">
        <f>[6]实力验证!$AE250</f>
        <v>2.8359827525384897</v>
      </c>
      <c r="AK248" s="7">
        <f>[6]实力验证!$AJ250</f>
        <v>8.400473729052111</v>
      </c>
      <c r="AL248" s="7">
        <f>[6]实力验证!$AO250</f>
        <v>17.122217762600101</v>
      </c>
      <c r="AM248" s="7">
        <f t="shared" si="13"/>
        <v>94.907157642164748</v>
      </c>
    </row>
    <row r="249" spans="2:39" x14ac:dyDescent="0.15">
      <c r="B249" s="7">
        <v>245</v>
      </c>
      <c r="C249" s="7">
        <f>[1]服务器生态!W266</f>
        <v>78.438638519898461</v>
      </c>
      <c r="D249" s="7">
        <f>[1]服务器生态!X266</f>
        <v>77.341215837259227</v>
      </c>
      <c r="E249" s="7">
        <f>[1]服务器生态!Y266</f>
        <v>6.3133859321711627</v>
      </c>
      <c r="F249" s="7">
        <f>[1]服务器生态!Z266</f>
        <v>1.1231959706085937</v>
      </c>
      <c r="G249" s="7">
        <f>[1]服务器生态!AA266</f>
        <v>0.32498952131249986</v>
      </c>
      <c r="H249" s="7">
        <f>[1]服务器生态!AC266</f>
        <v>0.47962550249999997</v>
      </c>
      <c r="I249" s="7">
        <f>[1]服务器生态!AD266</f>
        <v>0.47291513735919999</v>
      </c>
      <c r="J249" s="7">
        <f>[1]服务器生态!AE266</f>
        <v>3.8604200140800002E-2</v>
      </c>
      <c r="K249" s="7">
        <f>[1]服务器生态!AF266</f>
        <v>6.8679600000000019E-3</v>
      </c>
      <c r="L249" s="7">
        <f>[1]服务器生态!AG266</f>
        <v>1.9871999999999997E-3</v>
      </c>
      <c r="M249" s="7">
        <f>[5]基础信息!M248</f>
        <v>100</v>
      </c>
      <c r="X249" s="7">
        <v>245</v>
      </c>
      <c r="Y249" s="7">
        <f>求节点(节奏总纲!D$4:D$163,R$5:R$164,$X249)*6</f>
        <v>41304.264898954949</v>
      </c>
      <c r="Z249" s="7">
        <f>求节点(节奏总纲!E$4:E$163,S$5:S$164,$X249)*6</f>
        <v>42459.181225000619</v>
      </c>
      <c r="AA249" s="7">
        <f>求节点(节奏总纲!F$4:F$163,T$5:T$164,$X249)*6</f>
        <v>43980.679772866853</v>
      </c>
      <c r="AB249" s="7">
        <f>求节点(节奏总纲!G$4:G$163,U$5:U$164,$X249)*6</f>
        <v>46214.496121398872</v>
      </c>
      <c r="AC249" s="7">
        <f>求节点(节奏总纲!H$4:H$163,V$5:V$164,$X249)*6</f>
        <v>50111.391282601886</v>
      </c>
      <c r="AG249" s="7">
        <v>245</v>
      </c>
      <c r="AH249" s="7">
        <v>1</v>
      </c>
      <c r="AI249" s="7">
        <f>[6]实力验证!$Z251</f>
        <v>1.6672972127654289</v>
      </c>
      <c r="AJ249" s="7">
        <f>[6]实力验证!$AE251</f>
        <v>2.8382469700483925</v>
      </c>
      <c r="AK249" s="7">
        <f>[6]实力验证!$AJ251</f>
        <v>8.4097398044595479</v>
      </c>
      <c r="AL249" s="7">
        <f>[6]实力验证!$AO251</f>
        <v>17.079806567680542</v>
      </c>
      <c r="AM249" s="7">
        <f t="shared" si="13"/>
        <v>94.96395084789873</v>
      </c>
    </row>
    <row r="250" spans="2:39" x14ac:dyDescent="0.15">
      <c r="B250" s="7">
        <v>246</v>
      </c>
      <c r="C250" s="7">
        <f>[1]服务器生态!W267</f>
        <v>77.967333395744561</v>
      </c>
      <c r="D250" s="7">
        <f>[1]服务器生态!X267</f>
        <v>76.876504669138356</v>
      </c>
      <c r="E250" s="7">
        <f>[1]服务器生态!Y267</f>
        <v>6.2754514244242108</v>
      </c>
      <c r="F250" s="7">
        <f>[1]服务器生态!Z267</f>
        <v>1.1164471536178124</v>
      </c>
      <c r="G250" s="7">
        <f>[1]服务器生态!AA267</f>
        <v>0.32303679457499984</v>
      </c>
      <c r="H250" s="7">
        <f>[1]服务器生态!AC267</f>
        <v>0.47962550249999997</v>
      </c>
      <c r="I250" s="7">
        <f>[1]服务器生态!AD267</f>
        <v>0.47291513735919999</v>
      </c>
      <c r="J250" s="7">
        <f>[1]服务器生态!AE267</f>
        <v>3.8604200140800002E-2</v>
      </c>
      <c r="K250" s="7">
        <f>[1]服务器生态!AF267</f>
        <v>6.8679600000000019E-3</v>
      </c>
      <c r="L250" s="7">
        <f>[1]服务器生态!AG267</f>
        <v>1.9871999999999997E-3</v>
      </c>
      <c r="M250" s="7">
        <f>[5]基础信息!M249</f>
        <v>100</v>
      </c>
      <c r="X250" s="7">
        <v>246</v>
      </c>
      <c r="Y250" s="7">
        <f>求节点(节奏总纲!D$4:D$163,R$5:R$164,$X250)*6</f>
        <v>41327.426346486449</v>
      </c>
      <c r="Z250" s="7">
        <f>求节点(节奏总纲!E$4:E$163,S$5:S$164,$X250)*6</f>
        <v>42483.06518258548</v>
      </c>
      <c r="AA250" s="7">
        <f>求节点(节奏总纲!F$4:F$163,T$5:T$164,$X250)*6</f>
        <v>44004.518263111939</v>
      </c>
      <c r="AB250" s="7">
        <f>求节点(节奏总纲!G$4:G$163,U$5:U$164,$X250)*6</f>
        <v>46238.78374091359</v>
      </c>
      <c r="AC250" s="7">
        <f>求节点(节奏总纲!H$4:H$163,V$5:V$164,$X250)*6</f>
        <v>50134.653676592075</v>
      </c>
      <c r="AG250" s="7">
        <v>246</v>
      </c>
      <c r="AH250" s="7">
        <v>1</v>
      </c>
      <c r="AI250" s="7">
        <f>[6]实力验证!$Z252</f>
        <v>1.6688724201054286</v>
      </c>
      <c r="AJ250" s="7">
        <f>[6]实力验证!$AE252</f>
        <v>2.8404865628013538</v>
      </c>
      <c r="AK250" s="7">
        <f>[6]实力验证!$AJ252</f>
        <v>8.4189051056022688</v>
      </c>
      <c r="AL250" s="7">
        <f>[6]实力验证!$AO252</f>
        <v>17.037856620570416</v>
      </c>
      <c r="AM250" s="7">
        <f t="shared" si="13"/>
        <v>95.020126392616874</v>
      </c>
    </row>
    <row r="251" spans="2:39" x14ac:dyDescent="0.15">
      <c r="B251" s="7">
        <v>247</v>
      </c>
      <c r="C251" s="7">
        <f>[1]服务器生态!W268</f>
        <v>77.49602827159066</v>
      </c>
      <c r="D251" s="7">
        <f>[1]服务器生态!X268</f>
        <v>76.411793501017485</v>
      </c>
      <c r="E251" s="7">
        <f>[1]服务器生态!Y268</f>
        <v>6.2375169166772597</v>
      </c>
      <c r="F251" s="7">
        <f>[1]服务器生态!Z268</f>
        <v>1.1096983366270312</v>
      </c>
      <c r="G251" s="7">
        <f>[1]服务器生态!AA268</f>
        <v>0.32108406783749988</v>
      </c>
      <c r="H251" s="7">
        <f>[1]服务器生态!AC268</f>
        <v>0.47962550249999997</v>
      </c>
      <c r="I251" s="7">
        <f>[1]服务器生态!AD268</f>
        <v>0.47291513735919999</v>
      </c>
      <c r="J251" s="7">
        <f>[1]服务器生态!AE268</f>
        <v>3.8604200140800002E-2</v>
      </c>
      <c r="K251" s="7">
        <f>[1]服务器生态!AF268</f>
        <v>6.8679600000000019E-3</v>
      </c>
      <c r="L251" s="7">
        <f>[1]服务器生态!AG268</f>
        <v>1.9871999999999997E-3</v>
      </c>
      <c r="M251" s="7">
        <f>[5]基础信息!M250</f>
        <v>100</v>
      </c>
      <c r="X251" s="7">
        <v>247</v>
      </c>
      <c r="Y251" s="7">
        <f>求节点(节奏总纲!D$4:D$163,R$5:R$164,$X251)*6</f>
        <v>41350.587794017956</v>
      </c>
      <c r="Z251" s="7">
        <f>求节点(节奏总纲!E$4:E$163,S$5:S$164,$X251)*6</f>
        <v>42506.949140170349</v>
      </c>
      <c r="AA251" s="7">
        <f>求节点(节奏总纲!F$4:F$163,T$5:T$164,$X251)*6</f>
        <v>44028.356753357031</v>
      </c>
      <c r="AB251" s="7">
        <f>求节点(节奏总纲!G$4:G$163,U$5:U$164,$X251)*6</f>
        <v>46263.071360428308</v>
      </c>
      <c r="AC251" s="7">
        <f>求节点(节奏总纲!H$4:H$163,V$5:V$164,$X251)*6</f>
        <v>50157.916070582287</v>
      </c>
      <c r="AG251" s="7">
        <v>247</v>
      </c>
      <c r="AH251" s="7">
        <v>1</v>
      </c>
      <c r="AI251" s="7">
        <f>[6]实力验证!$Z253</f>
        <v>1.6704305887506681</v>
      </c>
      <c r="AJ251" s="7">
        <f>[6]实力验证!$AE253</f>
        <v>2.8427019303387913</v>
      </c>
      <c r="AK251" s="7">
        <f>[6]实力验证!$AJ253</f>
        <v>8.4279712675621088</v>
      </c>
      <c r="AL251" s="7">
        <f>[6]实力验证!$AO253</f>
        <v>16.996360437435275</v>
      </c>
      <c r="AM251" s="7">
        <f t="shared" si="13"/>
        <v>95.075694297988036</v>
      </c>
    </row>
    <row r="252" spans="2:39" x14ac:dyDescent="0.15">
      <c r="B252" s="7">
        <v>248</v>
      </c>
      <c r="C252" s="7">
        <f>[1]服务器生态!W269</f>
        <v>77.02472314743676</v>
      </c>
      <c r="D252" s="7">
        <f>[1]服务器生态!X269</f>
        <v>75.947082332896613</v>
      </c>
      <c r="E252" s="7">
        <f>[1]服务器生态!Y269</f>
        <v>6.1995824089303087</v>
      </c>
      <c r="F252" s="7">
        <f>[1]服务器生态!Z269</f>
        <v>1.10294951963625</v>
      </c>
      <c r="G252" s="7">
        <f>[1]服务器生态!AA269</f>
        <v>0.31913134109999985</v>
      </c>
      <c r="H252" s="7">
        <f>[1]服务器生态!AC269</f>
        <v>0.47962550249999997</v>
      </c>
      <c r="I252" s="7">
        <f>[1]服务器生态!AD269</f>
        <v>0.47291513735919999</v>
      </c>
      <c r="J252" s="7">
        <f>[1]服务器生态!AE269</f>
        <v>3.8604200140800002E-2</v>
      </c>
      <c r="K252" s="7">
        <f>[1]服务器生态!AF269</f>
        <v>6.8679600000000019E-3</v>
      </c>
      <c r="L252" s="7">
        <f>[1]服务器生态!AG269</f>
        <v>1.9871999999999997E-3</v>
      </c>
      <c r="M252" s="7">
        <f>[5]基础信息!M251</f>
        <v>100</v>
      </c>
      <c r="X252" s="7">
        <v>248</v>
      </c>
      <c r="Y252" s="7">
        <f>求节点(节奏总纲!D$4:D$163,R$5:R$164,$X252)*6</f>
        <v>41373.749241549463</v>
      </c>
      <c r="Z252" s="7">
        <f>求节点(节奏总纲!E$4:E$163,S$5:S$164,$X252)*6</f>
        <v>42530.83309775521</v>
      </c>
      <c r="AA252" s="7">
        <f>求节点(节奏总纲!F$4:F$163,T$5:T$164,$X252)*6</f>
        <v>44052.195243602124</v>
      </c>
      <c r="AB252" s="7">
        <f>求节点(节奏总纲!G$4:G$163,U$5:U$164,$X252)*6</f>
        <v>46287.358979943026</v>
      </c>
      <c r="AC252" s="7">
        <f>求节点(节奏总纲!H$4:H$163,V$5:V$164,$X252)*6</f>
        <v>50181.178464572477</v>
      </c>
      <c r="AG252" s="7">
        <v>248</v>
      </c>
      <c r="AH252" s="7">
        <v>1</v>
      </c>
      <c r="AI252" s="7">
        <f>[6]实力验证!$Z254</f>
        <v>1.6719719936701067</v>
      </c>
      <c r="AJ252" s="7">
        <f>[6]实力验证!$AE254</f>
        <v>2.8448934636051053</v>
      </c>
      <c r="AK252" s="7">
        <f>[6]实力验证!$AJ254</f>
        <v>8.436939890238488</v>
      </c>
      <c r="AL252" s="7">
        <f>[6]实力验证!$AO254</f>
        <v>16.955310695471955</v>
      </c>
      <c r="AM252" s="7">
        <f t="shared" si="13"/>
        <v>95.130664370042624</v>
      </c>
    </row>
    <row r="253" spans="2:39" x14ac:dyDescent="0.15">
      <c r="B253" s="7">
        <v>249</v>
      </c>
      <c r="C253" s="7">
        <f>[1]服务器生态!W270</f>
        <v>76.553418023282873</v>
      </c>
      <c r="D253" s="7">
        <f>[1]服务器生态!X270</f>
        <v>75.482371164775756</v>
      </c>
      <c r="E253" s="7">
        <f>[1]服务器生态!Y270</f>
        <v>6.1616479011833585</v>
      </c>
      <c r="F253" s="7">
        <f>[1]服务器生态!Z270</f>
        <v>1.0962007026454688</v>
      </c>
      <c r="G253" s="7">
        <f>[1]服务器生态!AA270</f>
        <v>0.31717861436249989</v>
      </c>
      <c r="H253" s="7">
        <f>[1]服务器生态!AC270</f>
        <v>0.47962550249999997</v>
      </c>
      <c r="I253" s="7">
        <f>[1]服务器生态!AD270</f>
        <v>0.47291513735919999</v>
      </c>
      <c r="J253" s="7">
        <f>[1]服务器生态!AE270</f>
        <v>3.8604200140800002E-2</v>
      </c>
      <c r="K253" s="7">
        <f>[1]服务器生态!AF270</f>
        <v>6.8679600000000019E-3</v>
      </c>
      <c r="L253" s="7">
        <f>[1]服务器生态!AG270</f>
        <v>1.9871999999999997E-3</v>
      </c>
      <c r="M253" s="7">
        <f>[5]基础信息!M252</f>
        <v>100</v>
      </c>
      <c r="X253" s="7">
        <v>249</v>
      </c>
      <c r="Y253" s="7">
        <f>求节点(节奏总纲!D$4:D$163,R$5:R$164,$X253)*6</f>
        <v>41396.910689080963</v>
      </c>
      <c r="Z253" s="7">
        <f>求节点(节奏总纲!E$4:E$163,S$5:S$164,$X253)*6</f>
        <v>42554.717055340072</v>
      </c>
      <c r="AA253" s="7">
        <f>求节点(节奏总纲!F$4:F$163,T$5:T$164,$X253)*6</f>
        <v>44076.033733847216</v>
      </c>
      <c r="AB253" s="7">
        <f>求节点(节奏总纲!G$4:G$163,U$5:U$164,$X253)*6</f>
        <v>46311.646599457745</v>
      </c>
      <c r="AC253" s="7">
        <f>求节点(节奏总纲!H$4:H$163,V$5:V$164,$X253)*6</f>
        <v>50204.440858562666</v>
      </c>
      <c r="AG253" s="7">
        <v>249</v>
      </c>
      <c r="AH253" s="7">
        <v>1</v>
      </c>
      <c r="AI253" s="7">
        <f>[6]实力验证!$Z255</f>
        <v>1.6734969039477929</v>
      </c>
      <c r="AJ253" s="7">
        <f>[6]实力验证!$AE255</f>
        <v>2.8470615451776697</v>
      </c>
      <c r="AK253" s="7">
        <f>[6]实力验证!$AJ255</f>
        <v>8.4458125392896459</v>
      </c>
      <c r="AL253" s="7">
        <f>[6]实力验证!$AO255</f>
        <v>16.914700228600569</v>
      </c>
      <c r="AM253" s="7">
        <f t="shared" si="13"/>
        <v>95.185046204941457</v>
      </c>
    </row>
    <row r="254" spans="2:39" x14ac:dyDescent="0.15">
      <c r="B254" s="7">
        <v>250</v>
      </c>
      <c r="C254" s="7">
        <f>[1]服务器生态!W271</f>
        <v>76.082112899128973</v>
      </c>
      <c r="D254" s="7">
        <f>[1]服务器生态!X271</f>
        <v>75.017659996654871</v>
      </c>
      <c r="E254" s="7">
        <f>[1]服务器生态!Y271</f>
        <v>6.1237133934364056</v>
      </c>
      <c r="F254" s="7">
        <f>[1]服务器生态!Z271</f>
        <v>1.0894518856546873</v>
      </c>
      <c r="G254" s="7">
        <f>[1]服务器生态!AA271</f>
        <v>0.31522588762499981</v>
      </c>
      <c r="H254" s="7">
        <f>[1]服务器生态!AC271</f>
        <v>0.47962550249999997</v>
      </c>
      <c r="I254" s="7">
        <f>[1]服务器生态!AD271</f>
        <v>0.47291513735919999</v>
      </c>
      <c r="J254" s="7">
        <f>[1]服务器生态!AE271</f>
        <v>3.8604200140800002E-2</v>
      </c>
      <c r="K254" s="7">
        <f>[1]服务器生态!AF271</f>
        <v>6.8679600000000019E-3</v>
      </c>
      <c r="L254" s="7">
        <f>[1]服务器生态!AG271</f>
        <v>1.9871999999999997E-3</v>
      </c>
      <c r="M254" s="7">
        <f>[5]基础信息!M253</f>
        <v>100</v>
      </c>
      <c r="X254" s="7">
        <v>250</v>
      </c>
      <c r="Y254" s="7">
        <f>求节点(节奏总纲!D$4:D$163,R$5:R$164,$X254)*6</f>
        <v>41420.072136612471</v>
      </c>
      <c r="Z254" s="7">
        <f>求节点(节奏总纲!E$4:E$163,S$5:S$164,$X254)*6</f>
        <v>42578.601012924941</v>
      </c>
      <c r="AA254" s="7">
        <f>求节点(节奏总纲!F$4:F$163,T$5:T$164,$X254)*6</f>
        <v>44099.872224092309</v>
      </c>
      <c r="AB254" s="7">
        <f>求节点(节奏总纲!G$4:G$163,U$5:U$164,$X254)*6</f>
        <v>46335.934218972463</v>
      </c>
      <c r="AC254" s="7">
        <f>求节点(节奏总纲!H$4:H$163,V$5:V$164,$X254)*6</f>
        <v>50227.703252552878</v>
      </c>
      <c r="AG254" s="7">
        <v>250</v>
      </c>
      <c r="AH254" s="7">
        <v>1</v>
      </c>
      <c r="AI254" s="7">
        <f>[6]实力验证!$Z256</f>
        <v>1.6750055829394652</v>
      </c>
      <c r="AJ254" s="7">
        <f>[6]实力验证!$AE256</f>
        <v>2.8492065494894789</v>
      </c>
      <c r="AK254" s="7">
        <f>[6]实力验证!$AJ256</f>
        <v>8.45459074704379</v>
      </c>
      <c r="AL254" s="7">
        <f>[6]实力验证!$AO256</f>
        <v>16.874522023294066</v>
      </c>
      <c r="AM254" s="7">
        <f t="shared" si="13"/>
        <v>95.238849194560601</v>
      </c>
    </row>
    <row r="255" spans="2:39" x14ac:dyDescent="0.15">
      <c r="B255" s="7">
        <v>251</v>
      </c>
      <c r="C255" s="7">
        <f>[1]服务器生态!W272</f>
        <v>75.610807774975086</v>
      </c>
      <c r="D255" s="7">
        <f>[1]服务器生态!X272</f>
        <v>74.552948828534014</v>
      </c>
      <c r="E255" s="7">
        <f>[1]服务器生态!Y272</f>
        <v>6.0857788856894555</v>
      </c>
      <c r="F255" s="7">
        <f>[1]服务器生态!Z272</f>
        <v>1.0827030686639063</v>
      </c>
      <c r="G255" s="7">
        <f>[1]服务器生态!AA272</f>
        <v>0.3132731608874999</v>
      </c>
      <c r="H255" s="7">
        <f>[1]服务器生态!AC272</f>
        <v>0.47962550249999997</v>
      </c>
      <c r="I255" s="7">
        <f>[1]服务器生态!AD272</f>
        <v>0.47291513735919999</v>
      </c>
      <c r="J255" s="7">
        <f>[1]服务器生态!AE272</f>
        <v>3.8604200140800002E-2</v>
      </c>
      <c r="K255" s="7">
        <f>[1]服务器生态!AF272</f>
        <v>6.8679600000000019E-3</v>
      </c>
      <c r="L255" s="7">
        <f>[1]服务器生态!AG272</f>
        <v>1.9871999999999997E-3</v>
      </c>
      <c r="M255" s="7">
        <f>[5]基础信息!M254</f>
        <v>100</v>
      </c>
      <c r="X255" s="7">
        <v>251</v>
      </c>
      <c r="Y255" s="7">
        <f>求节点(节奏总纲!D$4:D$163,R$5:R$164,$X255)*6</f>
        <v>41443.233584143978</v>
      </c>
      <c r="Z255" s="7">
        <f>求节点(节奏总纲!E$4:E$163,S$5:S$164,$X255)*6</f>
        <v>42602.484970509802</v>
      </c>
      <c r="AA255" s="7">
        <f>求节点(节奏总纲!F$4:F$163,T$5:T$164,$X255)*6</f>
        <v>44123.710714337394</v>
      </c>
      <c r="AB255" s="7">
        <f>求节点(节奏总纲!G$4:G$163,U$5:U$164,$X255)*6</f>
        <v>46360.221838487181</v>
      </c>
      <c r="AC255" s="7">
        <f>求节点(节奏总纲!H$4:H$163,V$5:V$164,$X255)*6</f>
        <v>50250.965646543067</v>
      </c>
      <c r="AG255" s="7">
        <v>251</v>
      </c>
      <c r="AH255" s="7">
        <v>1</v>
      </c>
      <c r="AI255" s="7">
        <f>[6]实力验证!$Z257</f>
        <v>1.6764982884241759</v>
      </c>
      <c r="AJ255" s="7">
        <f>[6]实力验证!$AE257</f>
        <v>2.8513288430447279</v>
      </c>
      <c r="AK255" s="7">
        <f>[6]实力验证!$AJ257</f>
        <v>8.4632760133813445</v>
      </c>
      <c r="AL255" s="7">
        <f>[6]实力验证!$AO257</f>
        <v>16.834769214540259</v>
      </c>
      <c r="AM255" s="7">
        <f t="shared" si="13"/>
        <v>95.292082531898558</v>
      </c>
    </row>
    <row r="256" spans="2:39" x14ac:dyDescent="0.15">
      <c r="B256" s="7">
        <v>252</v>
      </c>
      <c r="C256" s="7">
        <f>[1]服务器生态!W273</f>
        <v>75.139502650821186</v>
      </c>
      <c r="D256" s="7">
        <f>[1]服务器生态!X273</f>
        <v>74.088237660413128</v>
      </c>
      <c r="E256" s="7">
        <f>[1]服务器生态!Y273</f>
        <v>6.0478443779425044</v>
      </c>
      <c r="F256" s="7">
        <f>[1]服务器生态!Z273</f>
        <v>1.0759542516731251</v>
      </c>
      <c r="G256" s="7">
        <f>[1]服务器生态!AA273</f>
        <v>0.31132043414999988</v>
      </c>
      <c r="H256" s="7">
        <f>[1]服务器生态!AC273</f>
        <v>0.47962550249999997</v>
      </c>
      <c r="I256" s="7">
        <f>[1]服务器生态!AD273</f>
        <v>0.47291513735919999</v>
      </c>
      <c r="J256" s="7">
        <f>[1]服务器生态!AE273</f>
        <v>3.8604200140800002E-2</v>
      </c>
      <c r="K256" s="7">
        <f>[1]服务器生态!AF273</f>
        <v>6.8679600000000019E-3</v>
      </c>
      <c r="L256" s="7">
        <f>[1]服务器生态!AG273</f>
        <v>1.9871999999999997E-3</v>
      </c>
      <c r="M256" s="7">
        <f>[5]基础信息!M255</f>
        <v>100</v>
      </c>
      <c r="X256" s="7">
        <v>252</v>
      </c>
      <c r="Y256" s="7">
        <f>求节点(节奏总纲!D$4:D$163,R$5:R$164,$X256)*6</f>
        <v>41466.395031675485</v>
      </c>
      <c r="Z256" s="7">
        <f>求节点(节奏总纲!E$4:E$163,S$5:S$164,$X256)*6</f>
        <v>42626.368928094671</v>
      </c>
      <c r="AA256" s="7">
        <f>求节点(节奏总纲!F$4:F$163,T$5:T$164,$X256)*6</f>
        <v>44147.549204582487</v>
      </c>
      <c r="AB256" s="7">
        <f>求节点(节奏总纲!G$4:G$163,U$5:U$164,$X256)*6</f>
        <v>46384.509458001899</v>
      </c>
      <c r="AC256" s="7">
        <f>求节点(节奏总纲!H$4:H$163,V$5:V$164,$X256)*6</f>
        <v>50274.228040533257</v>
      </c>
      <c r="AG256" s="7">
        <v>252</v>
      </c>
      <c r="AH256" s="7">
        <v>1</v>
      </c>
      <c r="AI256" s="7">
        <f>[6]实力验证!$Z258</f>
        <v>1.6779752727511246</v>
      </c>
      <c r="AJ256" s="7">
        <f>[6]实力验证!$AE258</f>
        <v>2.853428784627575</v>
      </c>
      <c r="AK256" s="7">
        <f>[6]实力验证!$AJ258</f>
        <v>8.4718698065892681</v>
      </c>
      <c r="AL256" s="7">
        <f>[6]实力验证!$AO258</f>
        <v>16.795435081931412</v>
      </c>
      <c r="AM256" s="7">
        <f t="shared" si="13"/>
        <v>95.344755216312606</v>
      </c>
    </row>
    <row r="257" spans="2:39" x14ac:dyDescent="0.15">
      <c r="B257" s="7">
        <v>253</v>
      </c>
      <c r="C257" s="7">
        <f>[1]服务器生态!W274</f>
        <v>74.668197526667285</v>
      </c>
      <c r="D257" s="7">
        <f>[1]服务器生态!X274</f>
        <v>73.623526492292257</v>
      </c>
      <c r="E257" s="7">
        <f>[1]服务器生态!Y274</f>
        <v>6.0099098701955525</v>
      </c>
      <c r="F257" s="7">
        <f>[1]服务器生态!Z274</f>
        <v>1.0692054346823436</v>
      </c>
      <c r="G257" s="7">
        <f>[1]服务器生态!AA274</f>
        <v>0.30936770741249986</v>
      </c>
      <c r="H257" s="7">
        <f>[1]服务器生态!AC274</f>
        <v>0.47962550249999997</v>
      </c>
      <c r="I257" s="7">
        <f>[1]服务器生态!AD274</f>
        <v>0.47291513735919999</v>
      </c>
      <c r="J257" s="7">
        <f>[1]服务器生态!AE274</f>
        <v>3.8604200140800002E-2</v>
      </c>
      <c r="K257" s="7">
        <f>[1]服务器生态!AF274</f>
        <v>6.8679600000000019E-3</v>
      </c>
      <c r="L257" s="7">
        <f>[1]服务器生态!AG274</f>
        <v>1.9871999999999997E-3</v>
      </c>
      <c r="M257" s="7">
        <f>[5]基础信息!M256</f>
        <v>100</v>
      </c>
      <c r="X257" s="7">
        <v>253</v>
      </c>
      <c r="Y257" s="7">
        <f>求节点(节奏总纲!D$4:D$163,R$5:R$164,$X257)*6</f>
        <v>41489.556479206993</v>
      </c>
      <c r="Z257" s="7">
        <f>求节点(节奏总纲!E$4:E$163,S$5:S$164,$X257)*6</f>
        <v>42650.252885679525</v>
      </c>
      <c r="AA257" s="7">
        <f>求节点(节奏总纲!F$4:F$163,T$5:T$164,$X257)*6</f>
        <v>44171.387694827579</v>
      </c>
      <c r="AB257" s="7">
        <f>求节点(节奏总纲!G$4:G$163,U$5:U$164,$X257)*6</f>
        <v>46408.797077516618</v>
      </c>
      <c r="AC257" s="7">
        <f>求节点(节奏总纲!H$4:H$163,V$5:V$164,$X257)*6</f>
        <v>50297.490434523454</v>
      </c>
      <c r="AG257" s="7">
        <v>253</v>
      </c>
      <c r="AH257" s="7">
        <v>1</v>
      </c>
      <c r="AI257" s="7">
        <f>[6]实力验证!$Z259</f>
        <v>1.6794367829818775</v>
      </c>
      <c r="AJ257" s="7">
        <f>[6]实力验证!$AE259</f>
        <v>2.8555067255043438</v>
      </c>
      <c r="AK257" s="7">
        <f>[6]实力验证!$AJ259</f>
        <v>8.4803735641885805</v>
      </c>
      <c r="AL257" s="7">
        <f>[6]实力验证!$AO259</f>
        <v>16.756513045876783</v>
      </c>
      <c r="AM257" s="7">
        <f t="shared" si="13"/>
        <v>95.396876058590863</v>
      </c>
    </row>
    <row r="258" spans="2:39" x14ac:dyDescent="0.15">
      <c r="B258" s="7">
        <v>254</v>
      </c>
      <c r="C258" s="7">
        <f>[1]服务器生态!W275</f>
        <v>74.196892402513384</v>
      </c>
      <c r="D258" s="7">
        <f>[1]服务器生态!X275</f>
        <v>73.158815324171385</v>
      </c>
      <c r="E258" s="7">
        <f>[1]服务器生态!Y275</f>
        <v>5.9719753624486014</v>
      </c>
      <c r="F258" s="7">
        <f>[1]服务器生态!Z275</f>
        <v>1.0624566176915624</v>
      </c>
      <c r="G258" s="7">
        <f>[1]服务器生态!AA275</f>
        <v>0.30741498067499984</v>
      </c>
      <c r="H258" s="7">
        <f>[1]服务器生态!AC275</f>
        <v>0.47962550249999997</v>
      </c>
      <c r="I258" s="7">
        <f>[1]服务器生态!AD275</f>
        <v>0.47291513735919999</v>
      </c>
      <c r="J258" s="7">
        <f>[1]服务器生态!AE275</f>
        <v>3.8604200140800002E-2</v>
      </c>
      <c r="K258" s="7">
        <f>[1]服务器生态!AF275</f>
        <v>6.8679600000000019E-3</v>
      </c>
      <c r="L258" s="7">
        <f>[1]服务器生态!AG275</f>
        <v>1.9871999999999997E-3</v>
      </c>
      <c r="M258" s="7">
        <f>[5]基础信息!M257</f>
        <v>100</v>
      </c>
      <c r="X258" s="7">
        <v>254</v>
      </c>
      <c r="Y258" s="7">
        <f>求节点(节奏总纲!D$4:D$163,R$5:R$164,$X258)*6</f>
        <v>41512.717926738493</v>
      </c>
      <c r="Z258" s="7">
        <f>求节点(节奏总纲!E$4:E$163,S$5:S$164,$X258)*6</f>
        <v>42672.462960280733</v>
      </c>
      <c r="AA258" s="7">
        <f>求节点(节奏总纲!F$4:F$163,T$5:T$164,$X258)*6</f>
        <v>44195.076714570954</v>
      </c>
      <c r="AB258" s="7">
        <f>求节点(节奏总纲!G$4:G$163,U$5:U$164,$X258)*6</f>
        <v>46433.084697031336</v>
      </c>
      <c r="AC258" s="7">
        <f>求节点(节奏总纲!H$4:H$163,V$5:V$164,$X258)*6</f>
        <v>50320.752828513658</v>
      </c>
      <c r="AG258" s="7">
        <v>254</v>
      </c>
      <c r="AH258" s="7">
        <v>1</v>
      </c>
      <c r="AI258" s="7">
        <f>[6]实力验证!$Z260</f>
        <v>1.6802886415108023</v>
      </c>
      <c r="AJ258" s="7">
        <f>[6]实力验证!$AE260</f>
        <v>2.8575769920762677</v>
      </c>
      <c r="AK258" s="7">
        <f>[6]实力验证!$AJ260</f>
        <v>8.4887886937359713</v>
      </c>
      <c r="AL258" s="7">
        <f>[6]实力验证!$AO260</f>
        <v>16.717996663933537</v>
      </c>
      <c r="AM258" s="7">
        <f t="shared" si="13"/>
        <v>95.431684247285347</v>
      </c>
    </row>
    <row r="259" spans="2:39" x14ac:dyDescent="0.15">
      <c r="B259" s="7">
        <v>255</v>
      </c>
      <c r="C259" s="7">
        <f>[1]服务器生态!W276</f>
        <v>73.725587278359484</v>
      </c>
      <c r="D259" s="7">
        <f>[1]服务器生态!X276</f>
        <v>72.694104156050514</v>
      </c>
      <c r="E259" s="7">
        <f>[1]服务器生态!Y276</f>
        <v>5.9340408547016503</v>
      </c>
      <c r="F259" s="7">
        <f>[1]服务器生态!Z276</f>
        <v>1.0557078007007812</v>
      </c>
      <c r="G259" s="7">
        <f>[1]服务器生态!AA276</f>
        <v>0.30546225393749982</v>
      </c>
      <c r="H259" s="7">
        <f>[1]服务器生态!AC276</f>
        <v>0.47962550249999997</v>
      </c>
      <c r="I259" s="7">
        <f>[1]服务器生态!AD276</f>
        <v>0.47291513735919999</v>
      </c>
      <c r="J259" s="7">
        <f>[1]服务器生态!AE276</f>
        <v>3.8604200140800002E-2</v>
      </c>
      <c r="K259" s="7">
        <f>[1]服务器生态!AF276</f>
        <v>6.8679600000000019E-3</v>
      </c>
      <c r="L259" s="7">
        <f>[1]服务器生态!AG276</f>
        <v>1.9871999999999997E-3</v>
      </c>
      <c r="M259" s="7">
        <f>[5]基础信息!M258</f>
        <v>100</v>
      </c>
      <c r="X259" s="7">
        <v>255</v>
      </c>
      <c r="Y259" s="7">
        <f>求节点(节奏总纲!D$4:D$163,R$5:R$164,$X259)*6</f>
        <v>41535.87937427</v>
      </c>
      <c r="Z259" s="7">
        <f>求节点(节奏总纲!E$4:E$163,S$5:S$164,$X259)*6</f>
        <v>42694.375130095272</v>
      </c>
      <c r="AA259" s="7">
        <f>求节点(节奏总纲!F$4:F$163,T$5:T$164,$X259)*6</f>
        <v>44217.081256052974</v>
      </c>
      <c r="AB259" s="7">
        <f>求节点(节奏总纲!G$4:G$163,U$5:U$164,$X259)*6</f>
        <v>46457.206634868278</v>
      </c>
      <c r="AC259" s="7">
        <f>求节点(节奏总纲!H$4:H$163,V$5:V$164,$X259)*6</f>
        <v>50344.015222503847</v>
      </c>
      <c r="AG259" s="7">
        <v>255</v>
      </c>
      <c r="AH259" s="7">
        <v>1</v>
      </c>
      <c r="AI259" s="7">
        <f>[6]实力验证!$Z261</f>
        <v>1.6810264260308039</v>
      </c>
      <c r="AJ259" s="7">
        <f>[6]实力验证!$AE261</f>
        <v>2.8597825540403621</v>
      </c>
      <c r="AK259" s="7">
        <f>[6]实力验证!$AJ261</f>
        <v>8.4953537941367969</v>
      </c>
      <c r="AL259" s="7">
        <f>[6]实力验证!$AO261</f>
        <v>16.679879627251808</v>
      </c>
      <c r="AM259" s="7">
        <f t="shared" si="13"/>
        <v>95.461813261660694</v>
      </c>
    </row>
    <row r="260" spans="2:39" x14ac:dyDescent="0.15">
      <c r="B260" s="7">
        <v>256</v>
      </c>
      <c r="C260" s="7">
        <f>[1]服务器生态!W277</f>
        <v>73.254282154205583</v>
      </c>
      <c r="D260" s="7">
        <f>[1]服务器生态!X277</f>
        <v>72.229392987929643</v>
      </c>
      <c r="E260" s="7">
        <f>[1]服务器生态!Y277</f>
        <v>5.8961063469546984</v>
      </c>
      <c r="F260" s="7">
        <f>[1]服务器生态!Z277</f>
        <v>1.04895898371</v>
      </c>
      <c r="G260" s="7">
        <f>[1]服务器生态!AA277</f>
        <v>0.30350952719999985</v>
      </c>
      <c r="H260" s="7">
        <f>[1]服务器生态!AC277</f>
        <v>0.47962550249999997</v>
      </c>
      <c r="I260" s="7">
        <f>[1]服务器生态!AD277</f>
        <v>0.47291513735919999</v>
      </c>
      <c r="J260" s="7">
        <f>[1]服务器生态!AE277</f>
        <v>3.8604200140800002E-2</v>
      </c>
      <c r="K260" s="7">
        <f>[1]服务器生态!AF277</f>
        <v>6.8679600000000019E-3</v>
      </c>
      <c r="L260" s="7">
        <f>[1]服务器生态!AG277</f>
        <v>1.9871999999999997E-3</v>
      </c>
      <c r="M260" s="7">
        <f>[5]基础信息!M259</f>
        <v>100</v>
      </c>
      <c r="X260" s="7">
        <v>256</v>
      </c>
      <c r="Y260" s="7">
        <f>求节点(节奏总纲!D$4:D$163,R$5:R$164,$X260)*6</f>
        <v>41557.923607445897</v>
      </c>
      <c r="Z260" s="7">
        <f>求节点(节奏总纲!E$4:E$163,S$5:S$164,$X260)*6</f>
        <v>42716.287299909804</v>
      </c>
      <c r="AA260" s="7">
        <f>求节点(节奏总纲!F$4:F$163,T$5:T$164,$X260)*6</f>
        <v>44239.085797535001</v>
      </c>
      <c r="AB260" s="7">
        <f>求节点(节奏总纲!G$4:G$163,U$5:U$164,$X260)*6</f>
        <v>46480.030635321353</v>
      </c>
      <c r="AC260" s="7">
        <f>求节点(节奏总纲!H$4:H$163,V$5:V$164,$X260)*6</f>
        <v>50367.277616494044</v>
      </c>
      <c r="AG260" s="7">
        <v>256</v>
      </c>
      <c r="AH260" s="7">
        <v>1</v>
      </c>
      <c r="AI260" s="7">
        <f>[6]实力验证!$Z262</f>
        <v>1.6820757424777444</v>
      </c>
      <c r="AJ260" s="7">
        <f>[6]实力验证!$AE262</f>
        <v>2.8625084729390311</v>
      </c>
      <c r="AK260" s="7">
        <f>[6]实力验证!$AJ262</f>
        <v>8.4897236845700643</v>
      </c>
      <c r="AL260" s="7">
        <f>[6]实力验证!$AO262</f>
        <v>16.645313889723358</v>
      </c>
      <c r="AM260" s="7">
        <f t="shared" si="13"/>
        <v>95.489057984747419</v>
      </c>
    </row>
    <row r="261" spans="2:39" x14ac:dyDescent="0.15">
      <c r="B261" s="7">
        <v>257</v>
      </c>
      <c r="C261" s="7">
        <f>[1]服务器生态!W278</f>
        <v>72.782977030051711</v>
      </c>
      <c r="D261" s="7">
        <f>[1]服务器生态!X278</f>
        <v>71.764681819808786</v>
      </c>
      <c r="E261" s="7">
        <f>[1]服务器生态!Y278</f>
        <v>5.8581718392077482</v>
      </c>
      <c r="F261" s="7">
        <f>[1]服务器生态!Z278</f>
        <v>1.0422101667192187</v>
      </c>
      <c r="G261" s="7">
        <f>[1]服务器生态!AA278</f>
        <v>0.30155680046249989</v>
      </c>
      <c r="H261" s="7">
        <f>[1]服务器生态!AC278</f>
        <v>0.47962550249999997</v>
      </c>
      <c r="I261" s="7">
        <f>[1]服务器生态!AD278</f>
        <v>0.47291513735919999</v>
      </c>
      <c r="J261" s="7">
        <f>[1]服务器生态!AE278</f>
        <v>3.8604200140800002E-2</v>
      </c>
      <c r="K261" s="7">
        <f>[1]服务器生态!AF278</f>
        <v>6.8679600000000019E-3</v>
      </c>
      <c r="L261" s="7">
        <f>[1]服务器生态!AG278</f>
        <v>1.9871999999999997E-3</v>
      </c>
      <c r="M261" s="7">
        <f>[5]基础信息!M260</f>
        <v>100</v>
      </c>
      <c r="X261" s="7">
        <v>257</v>
      </c>
      <c r="Y261" s="7">
        <f>求节点(节奏总纲!D$4:D$163,R$5:R$164,$X261)*6</f>
        <v>41579.967840621786</v>
      </c>
      <c r="Z261" s="7">
        <f>求节点(节奏总纲!E$4:E$163,S$5:S$164,$X261)*6</f>
        <v>42738.199469724335</v>
      </c>
      <c r="AA261" s="7">
        <f>求节点(节奏总纲!F$4:F$163,T$5:T$164,$X261)*6</f>
        <v>44261.090339017021</v>
      </c>
      <c r="AB261" s="7">
        <f>求节点(节奏总纲!G$4:G$163,U$5:U$164,$X261)*6</f>
        <v>46502.854635774434</v>
      </c>
      <c r="AC261" s="7">
        <f>求节点(节奏总纲!H$4:H$163,V$5:V$164,$X261)*6</f>
        <v>50390.540010484248</v>
      </c>
      <c r="AG261" s="7">
        <v>257</v>
      </c>
      <c r="AH261" s="7">
        <v>1</v>
      </c>
      <c r="AI261" s="7">
        <f>[6]实力验证!$Z263</f>
        <v>1.6831146832689778</v>
      </c>
      <c r="AJ261" s="7">
        <f>[6]实力验证!$AE263</f>
        <v>2.8652074379134951</v>
      </c>
      <c r="AK261" s="7">
        <f>[6]实力验证!$AJ263</f>
        <v>8.4841492456054848</v>
      </c>
      <c r="AL261" s="7">
        <f>[6]实力验证!$AO263</f>
        <v>16.611089938691148</v>
      </c>
      <c r="AM261" s="7">
        <f t="shared" ref="AM261:AM324" si="14">AH261*H261*$M261*AH$2+AI261*I261*$M261*AI$2+AJ261*J261*$M261*AJ$2+AK261*K261*$M261*AK$2+AL261*L261*$M261*AL$2</f>
        <v>95.516033311631077</v>
      </c>
    </row>
    <row r="262" spans="2:39" x14ac:dyDescent="0.15">
      <c r="B262" s="7">
        <v>258</v>
      </c>
      <c r="C262" s="7">
        <f>[1]服务器生态!W279</f>
        <v>72.311671905897811</v>
      </c>
      <c r="D262" s="7">
        <f>[1]服务器生态!X279</f>
        <v>71.299970651687914</v>
      </c>
      <c r="E262" s="7">
        <f>[1]服务器生态!Y279</f>
        <v>5.8202373314607971</v>
      </c>
      <c r="F262" s="7">
        <f>[1]服务器生态!Z279</f>
        <v>1.0354613497284375</v>
      </c>
      <c r="G262" s="7">
        <f>[1]服务器生态!AA279</f>
        <v>0.29960407372499986</v>
      </c>
      <c r="H262" s="7">
        <f>[1]服务器生态!AC279</f>
        <v>0.47962550249999997</v>
      </c>
      <c r="I262" s="7">
        <f>[1]服务器生态!AD279</f>
        <v>0.47291513735919999</v>
      </c>
      <c r="J262" s="7">
        <f>[1]服务器生态!AE279</f>
        <v>3.8604200140800002E-2</v>
      </c>
      <c r="K262" s="7">
        <f>[1]服务器生态!AF279</f>
        <v>6.8679600000000019E-3</v>
      </c>
      <c r="L262" s="7">
        <f>[1]服务器生态!AG279</f>
        <v>1.9871999999999997E-3</v>
      </c>
      <c r="M262" s="7">
        <f>[5]基础信息!M261</f>
        <v>100</v>
      </c>
      <c r="X262" s="7">
        <v>258</v>
      </c>
      <c r="Y262" s="7">
        <f>求节点(节奏总纲!D$4:D$163,R$5:R$164,$X262)*6</f>
        <v>41602.012073797683</v>
      </c>
      <c r="Z262" s="7">
        <f>求节点(节奏总纲!E$4:E$163,S$5:S$164,$X262)*6</f>
        <v>42760.111639538874</v>
      </c>
      <c r="AA262" s="7">
        <f>求节点(节奏总纲!F$4:F$163,T$5:T$164,$X262)*6</f>
        <v>44283.094880499048</v>
      </c>
      <c r="AB262" s="7">
        <f>求节点(节奏总纲!G$4:G$163,U$5:U$164,$X262)*6</f>
        <v>46525.678636227509</v>
      </c>
      <c r="AC262" s="7">
        <f>求节点(节奏总纲!H$4:H$163,V$5:V$164,$X262)*6</f>
        <v>50413.461620620568</v>
      </c>
      <c r="AG262" s="7">
        <v>258</v>
      </c>
      <c r="AH262" s="7">
        <v>1</v>
      </c>
      <c r="AI262" s="7">
        <f>[6]实力验证!$Z264</f>
        <v>1.6841434015393479</v>
      </c>
      <c r="AJ262" s="7">
        <f>[6]实力验证!$AE264</f>
        <v>2.8678798467781266</v>
      </c>
      <c r="AK262" s="7">
        <f>[6]实力验证!$AJ264</f>
        <v>8.4786296555977483</v>
      </c>
      <c r="AL262" s="7">
        <f>[6]实力验证!$AO264</f>
        <v>16.577685692369133</v>
      </c>
      <c r="AM262" s="7">
        <f t="shared" si="14"/>
        <v>95.542935167023415</v>
      </c>
    </row>
    <row r="263" spans="2:39" x14ac:dyDescent="0.15">
      <c r="B263" s="7">
        <v>259</v>
      </c>
      <c r="C263" s="7">
        <f>[1]服务器生态!W280</f>
        <v>71.84036678174391</v>
      </c>
      <c r="D263" s="7">
        <f>[1]服务器生态!X280</f>
        <v>70.835259483567043</v>
      </c>
      <c r="E263" s="7">
        <f>[1]服务器生态!Y280</f>
        <v>5.7823028237138452</v>
      </c>
      <c r="F263" s="7">
        <f>[1]服务器生态!Z280</f>
        <v>1.0287125327376563</v>
      </c>
      <c r="G263" s="7">
        <f>[1]服务器生态!AA280</f>
        <v>0.29765134698749984</v>
      </c>
      <c r="H263" s="7">
        <f>[1]服务器生态!AC280</f>
        <v>0.47962550249999997</v>
      </c>
      <c r="I263" s="7">
        <f>[1]服务器生态!AD280</f>
        <v>0.47291513735919999</v>
      </c>
      <c r="J263" s="7">
        <f>[1]服务器生态!AE280</f>
        <v>3.8604200140800002E-2</v>
      </c>
      <c r="K263" s="7">
        <f>[1]服务器生态!AF280</f>
        <v>6.8679600000000019E-3</v>
      </c>
      <c r="L263" s="7">
        <f>[1]服务器生态!AG280</f>
        <v>1.9871999999999997E-3</v>
      </c>
      <c r="M263" s="7">
        <f>[5]基础信息!M262</f>
        <v>100</v>
      </c>
      <c r="X263" s="7">
        <v>259</v>
      </c>
      <c r="Y263" s="7">
        <f>求节点(节奏总纲!D$4:D$163,R$5:R$164,$X263)*6</f>
        <v>41624.05630697358</v>
      </c>
      <c r="Z263" s="7">
        <f>求节点(节奏总纲!E$4:E$163,S$5:S$164,$X263)*6</f>
        <v>42782.023809353414</v>
      </c>
      <c r="AA263" s="7">
        <f>求节点(节奏总纲!F$4:F$163,T$5:T$164,$X263)*6</f>
        <v>44305.099421981067</v>
      </c>
      <c r="AB263" s="7">
        <f>求节点(节奏总纲!G$4:G$163,U$5:U$164,$X263)*6</f>
        <v>46548.502636680583</v>
      </c>
      <c r="AC263" s="7">
        <f>求节点(节奏总纲!H$4:H$163,V$5:V$164,$X263)*6</f>
        <v>50435.87307839335</v>
      </c>
      <c r="AG263" s="7">
        <v>259</v>
      </c>
      <c r="AH263" s="7">
        <v>1</v>
      </c>
      <c r="AI263" s="7">
        <f>[6]实力验证!$Z265</f>
        <v>1.6851620474249511</v>
      </c>
      <c r="AJ263" s="7">
        <f>[6]实力验证!$AE265</f>
        <v>2.8705260895571403</v>
      </c>
      <c r="AK263" s="7">
        <f>[6]实力验证!$AJ265</f>
        <v>8.4731641089913197</v>
      </c>
      <c r="AL263" s="7">
        <f>[6]实力验证!$AO265</f>
        <v>16.54532796775587</v>
      </c>
      <c r="AM263" s="7">
        <f t="shared" si="14"/>
        <v>95.569859560848698</v>
      </c>
    </row>
    <row r="264" spans="2:39" x14ac:dyDescent="0.15">
      <c r="B264" s="7">
        <v>260</v>
      </c>
      <c r="C264" s="7">
        <f>[1]服务器生态!W281</f>
        <v>71.369061657590009</v>
      </c>
      <c r="D264" s="7">
        <f>[1]服务器生态!X281</f>
        <v>70.370548315446158</v>
      </c>
      <c r="E264" s="7">
        <f>[1]服务器生态!Y281</f>
        <v>5.7443683159668941</v>
      </c>
      <c r="F264" s="7">
        <f>[1]服务器生态!Z281</f>
        <v>1.0219637157468748</v>
      </c>
      <c r="G264" s="7">
        <f>[1]服务器生态!AA281</f>
        <v>0.29569862024999988</v>
      </c>
      <c r="H264" s="7">
        <f>[1]服务器生态!AC281</f>
        <v>0.47962550249999997</v>
      </c>
      <c r="I264" s="7">
        <f>[1]服务器生态!AD281</f>
        <v>0.47291513735919999</v>
      </c>
      <c r="J264" s="7">
        <f>[1]服务器生态!AE281</f>
        <v>3.8604200140800002E-2</v>
      </c>
      <c r="K264" s="7">
        <f>[1]服务器生态!AF281</f>
        <v>6.8679600000000019E-3</v>
      </c>
      <c r="L264" s="7">
        <f>[1]服务器生态!AG281</f>
        <v>1.9871999999999997E-3</v>
      </c>
      <c r="M264" s="7">
        <f>[5]基础信息!M263</f>
        <v>100</v>
      </c>
      <c r="X264" s="7">
        <v>260</v>
      </c>
      <c r="Y264" s="7">
        <f>求节点(节奏总纲!D$4:D$163,R$5:R$164,$X264)*6</f>
        <v>41646.100540149477</v>
      </c>
      <c r="Z264" s="7">
        <f>求节点(节奏总纲!E$4:E$163,S$5:S$164,$X264)*6</f>
        <v>42803.935979167953</v>
      </c>
      <c r="AA264" s="7">
        <f>求节点(节奏总纲!F$4:F$163,T$5:T$164,$X264)*6</f>
        <v>44327.103963463087</v>
      </c>
      <c r="AB264" s="7">
        <f>求节点(节奏总纲!G$4:G$163,U$5:U$164,$X264)*6</f>
        <v>46571.326637133658</v>
      </c>
      <c r="AC264" s="7">
        <f>求节点(节奏总纲!H$4:H$163,V$5:V$164,$X264)*6</f>
        <v>50458.284536166131</v>
      </c>
      <c r="AG264" s="7">
        <v>260</v>
      </c>
      <c r="AH264" s="7">
        <v>1</v>
      </c>
      <c r="AI264" s="7">
        <f>[6]实力验证!$Z266</f>
        <v>1.6861707681361813</v>
      </c>
      <c r="AJ264" s="7">
        <f>[6]实力验证!$AE266</f>
        <v>2.8731465486743479</v>
      </c>
      <c r="AK264" s="7">
        <f>[6]实力验证!$AJ266</f>
        <v>8.4677518159285139</v>
      </c>
      <c r="AL264" s="7">
        <f>[6]实力验证!$AO266</f>
        <v>16.513285520574765</v>
      </c>
      <c r="AM264" s="7">
        <f t="shared" si="14"/>
        <v>95.596521616890726</v>
      </c>
    </row>
    <row r="265" spans="2:39" x14ac:dyDescent="0.15">
      <c r="B265" s="7">
        <v>261</v>
      </c>
      <c r="C265" s="7">
        <f>[1]服务器生态!W282</f>
        <v>70.897756533436109</v>
      </c>
      <c r="D265" s="7">
        <f>[1]服务器生态!X282</f>
        <v>69.905837147325286</v>
      </c>
      <c r="E265" s="7">
        <f>[1]服务器生态!Y282</f>
        <v>5.7064338082199431</v>
      </c>
      <c r="F265" s="7">
        <f>[1]服务器生态!Z282</f>
        <v>1.0152148987560936</v>
      </c>
      <c r="G265" s="7">
        <f>[1]服务器生态!AA282</f>
        <v>0.29374589351249986</v>
      </c>
      <c r="H265" s="7">
        <f>[1]服务器生态!AC282</f>
        <v>0.47962550249999997</v>
      </c>
      <c r="I265" s="7">
        <f>[1]服务器生态!AD282</f>
        <v>0.47291513735919999</v>
      </c>
      <c r="J265" s="7">
        <f>[1]服务器生态!AE282</f>
        <v>3.8604200140800002E-2</v>
      </c>
      <c r="K265" s="7">
        <f>[1]服务器生态!AF282</f>
        <v>6.8679600000000019E-3</v>
      </c>
      <c r="L265" s="7">
        <f>[1]服务器生态!AG282</f>
        <v>1.9871999999999997E-3</v>
      </c>
      <c r="M265" s="7">
        <f>[5]基础信息!M264</f>
        <v>100</v>
      </c>
      <c r="X265" s="7">
        <v>261</v>
      </c>
      <c r="Y265" s="7">
        <f>求节点(节奏总纲!D$4:D$163,R$5:R$164,$X265)*6</f>
        <v>41668.144773325374</v>
      </c>
      <c r="Z265" s="7">
        <f>求节点(节奏总纲!E$4:E$163,S$5:S$164,$X265)*6</f>
        <v>42825.848148982484</v>
      </c>
      <c r="AA265" s="7">
        <f>求节点(节奏总纲!F$4:F$163,T$5:T$164,$X265)*6</f>
        <v>44349.108504945107</v>
      </c>
      <c r="AB265" s="7">
        <f>求节点(节奏总纲!G$4:G$163,U$5:U$164,$X265)*6</f>
        <v>46594.150637586732</v>
      </c>
      <c r="AC265" s="7">
        <f>求节点(节奏总纲!H$4:H$163,V$5:V$164,$X265)*6</f>
        <v>50480.695993938905</v>
      </c>
      <c r="AG265" s="7">
        <v>261</v>
      </c>
      <c r="AH265" s="7">
        <v>1</v>
      </c>
      <c r="AI265" s="7">
        <f>[6]实力验证!$Z267</f>
        <v>1.6871697080286525</v>
      </c>
      <c r="AJ265" s="7">
        <f>[6]实力验证!$AE267</f>
        <v>2.8757415991374011</v>
      </c>
      <c r="AK265" s="7">
        <f>[6]实力验证!$AJ267</f>
        <v>8.4623920018689933</v>
      </c>
      <c r="AL265" s="7">
        <f>[6]实力验证!$AO267</f>
        <v>16.481553765307659</v>
      </c>
      <c r="AM265" s="7">
        <f t="shared" si="14"/>
        <v>95.622925150692623</v>
      </c>
    </row>
    <row r="266" spans="2:39" x14ac:dyDescent="0.15">
      <c r="B266" s="7">
        <v>262</v>
      </c>
      <c r="C266" s="7">
        <f>[1]服务器生态!W283</f>
        <v>70.426451409282208</v>
      </c>
      <c r="D266" s="7">
        <f>[1]服务器生态!X283</f>
        <v>69.441125979204415</v>
      </c>
      <c r="E266" s="7">
        <f>[1]服务器生态!Y283</f>
        <v>5.6684993004729911</v>
      </c>
      <c r="F266" s="7">
        <f>[1]服务器生态!Z283</f>
        <v>1.0084660817653124</v>
      </c>
      <c r="G266" s="7">
        <f>[1]服务器生态!AA283</f>
        <v>0.29179316677499983</v>
      </c>
      <c r="H266" s="7">
        <f>[1]服务器生态!AC283</f>
        <v>0.47962550249999997</v>
      </c>
      <c r="I266" s="7">
        <f>[1]服务器生态!AD283</f>
        <v>0.47291513735919999</v>
      </c>
      <c r="J266" s="7">
        <f>[1]服务器生态!AE283</f>
        <v>3.8604200140800002E-2</v>
      </c>
      <c r="K266" s="7">
        <f>[1]服务器生态!AF283</f>
        <v>6.8679600000000019E-3</v>
      </c>
      <c r="L266" s="7">
        <f>[1]服务器生态!AG283</f>
        <v>1.9871999999999997E-3</v>
      </c>
      <c r="M266" s="7">
        <f>[5]基础信息!M265</f>
        <v>100</v>
      </c>
      <c r="X266" s="7">
        <v>262</v>
      </c>
      <c r="Y266" s="7">
        <f>求节点(节奏总纲!D$4:D$163,R$5:R$164,$X266)*6</f>
        <v>41690.189006501263</v>
      </c>
      <c r="Z266" s="7">
        <f>求节点(节奏总纲!E$4:E$163,S$5:S$164,$X266)*6</f>
        <v>42847.760318797024</v>
      </c>
      <c r="AA266" s="7">
        <f>求节点(节奏总纲!F$4:F$163,T$5:T$164,$X266)*6</f>
        <v>44371.113046427134</v>
      </c>
      <c r="AB266" s="7">
        <f>求节点(节奏总纲!G$4:G$163,U$5:U$164,$X266)*6</f>
        <v>46616.974638039814</v>
      </c>
      <c r="AC266" s="7">
        <f>求节点(节奏总纲!H$4:H$163,V$5:V$164,$X266)*6</f>
        <v>50503.107451711672</v>
      </c>
      <c r="AG266" s="7">
        <v>262</v>
      </c>
      <c r="AH266" s="7">
        <v>1</v>
      </c>
      <c r="AI266" s="7">
        <f>[6]实力验证!$Z268</f>
        <v>1.6881590086720668</v>
      </c>
      <c r="AJ266" s="7">
        <f>[6]实力验证!$AE268</f>
        <v>2.8783116087166944</v>
      </c>
      <c r="AK266" s="7">
        <f>[6]实力验证!$AJ268</f>
        <v>8.457083907220234</v>
      </c>
      <c r="AL266" s="7">
        <f>[6]实力验证!$AO268</f>
        <v>16.450128204932124</v>
      </c>
      <c r="AM266" s="7">
        <f t="shared" si="14"/>
        <v>95.649073904161668</v>
      </c>
    </row>
    <row r="267" spans="2:39" x14ac:dyDescent="0.15">
      <c r="B267" s="7">
        <v>263</v>
      </c>
      <c r="C267" s="7">
        <f>[1]服务器生态!W284</f>
        <v>69.955146285128308</v>
      </c>
      <c r="D267" s="7">
        <f>[1]服务器生态!X284</f>
        <v>68.976414811083544</v>
      </c>
      <c r="E267" s="7">
        <f>[1]服务器生态!Y284</f>
        <v>5.63056479272604</v>
      </c>
      <c r="F267" s="7">
        <f>[1]服务器生态!Z284</f>
        <v>1.0017172647745312</v>
      </c>
      <c r="G267" s="7">
        <f>[1]服务器生态!AA284</f>
        <v>0.28984044003749981</v>
      </c>
      <c r="H267" s="7">
        <f>[1]服务器生态!AC284</f>
        <v>0.47962550249999997</v>
      </c>
      <c r="I267" s="7">
        <f>[1]服务器生态!AD284</f>
        <v>0.47291513735919999</v>
      </c>
      <c r="J267" s="7">
        <f>[1]服务器生态!AE284</f>
        <v>3.8604200140800002E-2</v>
      </c>
      <c r="K267" s="7">
        <f>[1]服务器生态!AF284</f>
        <v>6.8679600000000019E-3</v>
      </c>
      <c r="L267" s="7">
        <f>[1]服务器生态!AG284</f>
        <v>1.9871999999999997E-3</v>
      </c>
      <c r="M267" s="7">
        <f>[5]基础信息!M266</f>
        <v>100</v>
      </c>
      <c r="X267" s="7">
        <v>263</v>
      </c>
      <c r="Y267" s="7">
        <f>求节点(节奏总纲!D$4:D$163,R$5:R$164,$X267)*6</f>
        <v>41712.23323967716</v>
      </c>
      <c r="Z267" s="7">
        <f>求节点(节奏总纲!E$4:E$163,S$5:S$164,$X267)*6</f>
        <v>42869.672488611555</v>
      </c>
      <c r="AA267" s="7">
        <f>求节点(节奏总纲!F$4:F$163,T$5:T$164,$X267)*6</f>
        <v>44393.117587909153</v>
      </c>
      <c r="AB267" s="7">
        <f>求节点(节奏总纲!G$4:G$163,U$5:U$164,$X267)*6</f>
        <v>46639.798638492888</v>
      </c>
      <c r="AC267" s="7">
        <f>求节点(节奏总纲!H$4:H$163,V$5:V$164,$X267)*6</f>
        <v>50525.518909484454</v>
      </c>
      <c r="AG267" s="7">
        <v>263</v>
      </c>
      <c r="AH267" s="7">
        <v>1</v>
      </c>
      <c r="AI267" s="7">
        <f>[6]实力验证!$Z269</f>
        <v>1.6891388089170942</v>
      </c>
      <c r="AJ267" s="7">
        <f>[6]实力验证!$AE269</f>
        <v>2.8808569381191163</v>
      </c>
      <c r="AK267" s="7">
        <f>[6]实力验证!$AJ269</f>
        <v>8.4518267869786605</v>
      </c>
      <c r="AL267" s="7">
        <f>[6]实力验证!$AO269</f>
        <v>16.419004428796836</v>
      </c>
      <c r="AM267" s="7">
        <f t="shared" si="14"/>
        <v>95.674971547336881</v>
      </c>
    </row>
    <row r="268" spans="2:39" x14ac:dyDescent="0.15">
      <c r="B268" s="7">
        <v>264</v>
      </c>
      <c r="C268" s="7">
        <f>[1]服务器生态!W285</f>
        <v>69.483841160974421</v>
      </c>
      <c r="D268" s="7">
        <f>[1]服务器生态!X285</f>
        <v>68.511703642962672</v>
      </c>
      <c r="E268" s="7">
        <f>[1]服务器生态!Y285</f>
        <v>5.592630284979089</v>
      </c>
      <c r="F268" s="7">
        <f>[1]服务器生态!Z285</f>
        <v>0.99496844778374982</v>
      </c>
      <c r="G268" s="7">
        <f>[1]服务器生态!AA285</f>
        <v>0.28788771329999985</v>
      </c>
      <c r="H268" s="7">
        <f>[1]服务器生态!AC285</f>
        <v>0.47962550249999997</v>
      </c>
      <c r="I268" s="7">
        <f>[1]服务器生态!AD285</f>
        <v>0.47291513735919999</v>
      </c>
      <c r="J268" s="7">
        <f>[1]服务器生态!AE285</f>
        <v>3.8604200140800002E-2</v>
      </c>
      <c r="K268" s="7">
        <f>[1]服务器生态!AF285</f>
        <v>6.8679600000000019E-3</v>
      </c>
      <c r="L268" s="7">
        <f>[1]服务器生态!AG285</f>
        <v>1.9871999999999997E-3</v>
      </c>
      <c r="M268" s="7">
        <f>[5]基础信息!M267</f>
        <v>100</v>
      </c>
      <c r="X268" s="7">
        <v>264</v>
      </c>
      <c r="Y268" s="7">
        <f>求节点(节奏总纲!D$4:D$163,R$5:R$164,$X268)*6</f>
        <v>41734.277472853057</v>
      </c>
      <c r="Z268" s="7">
        <f>求节点(节奏总纲!E$4:E$163,S$5:S$164,$X268)*6</f>
        <v>42891.584658426087</v>
      </c>
      <c r="AA268" s="7">
        <f>求节点(节奏总纲!F$4:F$163,T$5:T$164,$X268)*6</f>
        <v>44415.12212939118</v>
      </c>
      <c r="AB268" s="7">
        <f>求节点(节奏总纲!G$4:G$163,U$5:U$164,$X268)*6</f>
        <v>46662.622638945963</v>
      </c>
      <c r="AC268" s="7">
        <f>求节点(节奏总纲!H$4:H$163,V$5:V$164,$X268)*6</f>
        <v>50547.930367257228</v>
      </c>
      <c r="AG268" s="7">
        <v>264</v>
      </c>
      <c r="AH268" s="7">
        <v>1</v>
      </c>
      <c r="AI268" s="7">
        <f>[6]实力验证!$Z270</f>
        <v>1.6901092449603468</v>
      </c>
      <c r="AJ268" s="7">
        <f>[6]实力验证!$AE270</f>
        <v>2.8833779411568212</v>
      </c>
      <c r="AK268" s="7">
        <f>[6]实力验证!$AJ270</f>
        <v>8.4466199103810933</v>
      </c>
      <c r="AL268" s="7">
        <f>[6]实力验证!$AO270</f>
        <v>16.388178110557945</v>
      </c>
      <c r="AM268" s="7">
        <f t="shared" si="14"/>
        <v>95.700621680106337</v>
      </c>
    </row>
    <row r="269" spans="2:39" x14ac:dyDescent="0.15">
      <c r="B269" s="7">
        <v>265</v>
      </c>
      <c r="C269" s="7">
        <f>[1]服务器生态!W286</f>
        <v>69.012536036820535</v>
      </c>
      <c r="D269" s="7">
        <f>[1]服务器生态!X286</f>
        <v>68.046992474841815</v>
      </c>
      <c r="E269" s="7">
        <f>[1]服务器生态!Y286</f>
        <v>5.5546957772321388</v>
      </c>
      <c r="F269" s="7">
        <f>[1]服务器生态!Z286</f>
        <v>0.98821963079296871</v>
      </c>
      <c r="G269" s="7">
        <f>[1]服务器生态!AA286</f>
        <v>0.28593498656249988</v>
      </c>
      <c r="H269" s="7">
        <f>[1]服务器生态!AC286</f>
        <v>0.47962550249999997</v>
      </c>
      <c r="I269" s="7">
        <f>[1]服务器生态!AD286</f>
        <v>0.47291513735919999</v>
      </c>
      <c r="J269" s="7">
        <f>[1]服务器生态!AE286</f>
        <v>3.8604200140800002E-2</v>
      </c>
      <c r="K269" s="7">
        <f>[1]服务器生态!AF286</f>
        <v>6.8679600000000019E-3</v>
      </c>
      <c r="L269" s="7">
        <f>[1]服务器生态!AG286</f>
        <v>1.9871999999999997E-3</v>
      </c>
      <c r="M269" s="7">
        <f>[5]基础信息!M268</f>
        <v>100</v>
      </c>
      <c r="X269" s="7">
        <v>265</v>
      </c>
      <c r="Y269" s="7">
        <f>求节点(节奏总纲!D$4:D$163,R$5:R$164,$X269)*6</f>
        <v>41756.321706028946</v>
      </c>
      <c r="Z269" s="7">
        <f>求节点(节奏总纲!E$4:E$163,S$5:S$164,$X269)*6</f>
        <v>42913.496828240626</v>
      </c>
      <c r="AA269" s="7">
        <f>求节点(节奏总纲!F$4:F$163,T$5:T$164,$X269)*6</f>
        <v>44437.1266708732</v>
      </c>
      <c r="AB269" s="7">
        <f>求节点(节奏总纲!G$4:G$163,U$5:U$164,$X269)*6</f>
        <v>46685.446639399044</v>
      </c>
      <c r="AC269" s="7">
        <f>求节点(节奏总纲!H$4:H$163,V$5:V$164,$X269)*6</f>
        <v>50570.341825030002</v>
      </c>
      <c r="AG269" s="7">
        <v>265</v>
      </c>
      <c r="AH269" s="7">
        <v>1</v>
      </c>
      <c r="AI269" s="7">
        <f>[6]实力验证!$Z271</f>
        <v>1.6910704504074809</v>
      </c>
      <c r="AJ269" s="7">
        <f>[6]实力验证!$AE271</f>
        <v>2.8858749649111775</v>
      </c>
      <c r="AK269" s="7">
        <f>[6]实力验证!$AJ271</f>
        <v>8.4414625605660873</v>
      </c>
      <c r="AL269" s="7">
        <f>[6]实力验证!$AO271</f>
        <v>16.357645006174234</v>
      </c>
      <c r="AM269" s="7">
        <f t="shared" si="14"/>
        <v>95.726027833875207</v>
      </c>
    </row>
    <row r="270" spans="2:39" x14ac:dyDescent="0.15">
      <c r="B270" s="7">
        <v>266</v>
      </c>
      <c r="C270" s="7">
        <f>[1]服务器生态!W287</f>
        <v>68.541230912666634</v>
      </c>
      <c r="D270" s="7">
        <f>[1]服务器生态!X287</f>
        <v>67.582281306720944</v>
      </c>
      <c r="E270" s="7">
        <f>[1]服务器生态!Y287</f>
        <v>5.5167612694851869</v>
      </c>
      <c r="F270" s="7">
        <f>[1]服务器生态!Z287</f>
        <v>0.98147081380218748</v>
      </c>
      <c r="G270" s="7">
        <f>[1]服务器生态!AA287</f>
        <v>0.28398225982499986</v>
      </c>
      <c r="H270" s="7">
        <f>[1]服务器生态!AC287</f>
        <v>0.47962550249999997</v>
      </c>
      <c r="I270" s="7">
        <f>[1]服务器生态!AD287</f>
        <v>0.47291513735919999</v>
      </c>
      <c r="J270" s="7">
        <f>[1]服务器生态!AE287</f>
        <v>3.8604200140800002E-2</v>
      </c>
      <c r="K270" s="7">
        <f>[1]服务器生态!AF287</f>
        <v>6.8679600000000019E-3</v>
      </c>
      <c r="L270" s="7">
        <f>[1]服务器生态!AG287</f>
        <v>1.9871999999999997E-3</v>
      </c>
      <c r="M270" s="7">
        <f>[5]基础信息!M269</f>
        <v>100</v>
      </c>
      <c r="X270" s="7">
        <v>266</v>
      </c>
      <c r="Y270" s="7">
        <f>求节点(节奏总纲!D$4:D$163,R$5:R$164,$X270)*6</f>
        <v>41778.365939204843</v>
      </c>
      <c r="Z270" s="7">
        <f>求节点(节奏总纲!E$4:E$163,S$5:S$164,$X270)*6</f>
        <v>42935.408998055165</v>
      </c>
      <c r="AA270" s="7">
        <f>求节点(节奏总纲!F$4:F$163,T$5:T$164,$X270)*6</f>
        <v>44459.131212355227</v>
      </c>
      <c r="AB270" s="7">
        <f>求节点(节奏总纲!G$4:G$163,U$5:U$164,$X270)*6</f>
        <v>46708.270639852119</v>
      </c>
      <c r="AC270" s="7">
        <f>求节点(节奏总纲!H$4:H$163,V$5:V$164,$X270)*6</f>
        <v>50592.753282802783</v>
      </c>
      <c r="AG270" s="7">
        <v>266</v>
      </c>
      <c r="AH270" s="7">
        <v>1</v>
      </c>
      <c r="AI270" s="7">
        <f>[6]实力验证!$Z272</f>
        <v>1.6920225563345261</v>
      </c>
      <c r="AJ270" s="7">
        <f>[6]实力验证!$AE272</f>
        <v>2.888348349892071</v>
      </c>
      <c r="AK270" s="7">
        <f>[6]实力验证!$AJ272</f>
        <v>8.4363540342449443</v>
      </c>
      <c r="AL270" s="7">
        <f>[6]实力验证!$AO272</f>
        <v>16.327400951959309</v>
      </c>
      <c r="AM270" s="7">
        <f t="shared" si="14"/>
        <v>95.751193473186646</v>
      </c>
    </row>
    <row r="271" spans="2:39" x14ac:dyDescent="0.15">
      <c r="B271" s="7">
        <v>267</v>
      </c>
      <c r="C271" s="7">
        <f>[1]服务器生态!W288</f>
        <v>68.069925788512734</v>
      </c>
      <c r="D271" s="7">
        <f>[1]服务器生态!X288</f>
        <v>67.117570138600058</v>
      </c>
      <c r="E271" s="7">
        <f>[1]服务器生态!Y288</f>
        <v>5.4788267617382358</v>
      </c>
      <c r="F271" s="7">
        <f>[1]服务器生态!Z288</f>
        <v>0.97472199681140614</v>
      </c>
      <c r="G271" s="7">
        <f>[1]服务器生态!AA288</f>
        <v>0.28202953308749984</v>
      </c>
      <c r="H271" s="7">
        <f>[1]服务器生态!AC288</f>
        <v>0.47962550249999997</v>
      </c>
      <c r="I271" s="7">
        <f>[1]服务器生态!AD288</f>
        <v>0.47291513735919999</v>
      </c>
      <c r="J271" s="7">
        <f>[1]服务器生态!AE288</f>
        <v>3.8604200140800002E-2</v>
      </c>
      <c r="K271" s="7">
        <f>[1]服务器生态!AF288</f>
        <v>6.8679600000000019E-3</v>
      </c>
      <c r="L271" s="7">
        <f>[1]服务器生态!AG288</f>
        <v>1.9871999999999997E-3</v>
      </c>
      <c r="M271" s="7">
        <f>[5]基础信息!M270</f>
        <v>100</v>
      </c>
      <c r="X271" s="7">
        <v>267</v>
      </c>
      <c r="Y271" s="7">
        <f>求节点(节奏总纲!D$4:D$163,R$5:R$164,$X271)*6</f>
        <v>41800.410172380733</v>
      </c>
      <c r="Z271" s="7">
        <f>求节点(节奏总纲!E$4:E$163,S$5:S$164,$X271)*6</f>
        <v>42957.321167869697</v>
      </c>
      <c r="AA271" s="7">
        <f>求节点(节奏总纲!F$4:F$163,T$5:T$164,$X271)*6</f>
        <v>44481.135753837247</v>
      </c>
      <c r="AB271" s="7">
        <f>求节点(节奏总纲!G$4:G$163,U$5:U$164,$X271)*6</f>
        <v>46731.094640305193</v>
      </c>
      <c r="AC271" s="7">
        <f>求节点(节奏总纲!H$4:H$163,V$5:V$164,$X271)*6</f>
        <v>50615.16474057555</v>
      </c>
      <c r="AG271" s="7">
        <v>267</v>
      </c>
      <c r="AH271" s="7">
        <v>1</v>
      </c>
      <c r="AI271" s="7">
        <f>[6]实力验证!$Z273</f>
        <v>1.6929656913474664</v>
      </c>
      <c r="AJ271" s="7">
        <f>[6]实力验证!$AE273</f>
        <v>2.890798430192695</v>
      </c>
      <c r="AK271" s="7">
        <f>[6]实力验证!$AJ273</f>
        <v>8.431293641381993</v>
      </c>
      <c r="AL271" s="7">
        <f>[6]实力验证!$AO273</f>
        <v>16.297441862688778</v>
      </c>
      <c r="AM271" s="7">
        <f t="shared" si="14"/>
        <v>95.776121997296684</v>
      </c>
    </row>
    <row r="272" spans="2:39" x14ac:dyDescent="0.15">
      <c r="B272" s="7">
        <v>268</v>
      </c>
      <c r="C272" s="7">
        <f>[1]服务器生态!W289</f>
        <v>67.598620664358847</v>
      </c>
      <c r="D272" s="7">
        <f>[1]服务器生态!X289</f>
        <v>66.652858970479201</v>
      </c>
      <c r="E272" s="7">
        <f>[1]服务器生态!Y289</f>
        <v>5.4408922539912856</v>
      </c>
      <c r="F272" s="7">
        <f>[1]服务器生态!Z289</f>
        <v>0.96797317982062503</v>
      </c>
      <c r="G272" s="7">
        <f>[1]服务器生态!AA289</f>
        <v>0.28007680634999993</v>
      </c>
      <c r="H272" s="7">
        <f>[1]服务器生态!AC289</f>
        <v>0.47962550249999997</v>
      </c>
      <c r="I272" s="7">
        <f>[1]服务器生态!AD289</f>
        <v>0.47291513735919999</v>
      </c>
      <c r="J272" s="7">
        <f>[1]服务器生态!AE289</f>
        <v>3.8604200140800002E-2</v>
      </c>
      <c r="K272" s="7">
        <f>[1]服务器生态!AF289</f>
        <v>6.8679600000000019E-3</v>
      </c>
      <c r="L272" s="7">
        <f>[1]服务器生态!AG289</f>
        <v>1.9871999999999997E-3</v>
      </c>
      <c r="M272" s="7">
        <f>[5]基础信息!M271</f>
        <v>100</v>
      </c>
      <c r="X272" s="7">
        <v>268</v>
      </c>
      <c r="Y272" s="7">
        <f>求节点(节奏总纲!D$4:D$163,R$5:R$164,$X272)*6</f>
        <v>41822.454405556629</v>
      </c>
      <c r="Z272" s="7">
        <f>求节点(节奏总纲!E$4:E$163,S$5:S$164,$X272)*6</f>
        <v>42979.233337684229</v>
      </c>
      <c r="AA272" s="7">
        <f>求节点(节奏总纲!F$4:F$163,T$5:T$164,$X272)*6</f>
        <v>44503.140295319274</v>
      </c>
      <c r="AB272" s="7">
        <f>求节点(节奏总纲!G$4:G$163,U$5:U$164,$X272)*6</f>
        <v>46753.918640758267</v>
      </c>
      <c r="AC272" s="7">
        <f>求节点(节奏总纲!H$4:H$163,V$5:V$164,$X272)*6</f>
        <v>50637.576198348324</v>
      </c>
      <c r="AG272" s="7">
        <v>268</v>
      </c>
      <c r="AH272" s="7">
        <v>1</v>
      </c>
      <c r="AI272" s="7">
        <f>[6]实力验证!$Z274</f>
        <v>1.6938999816401512</v>
      </c>
      <c r="AJ272" s="7">
        <f>[6]实力验证!$AE274</f>
        <v>2.8932255336399897</v>
      </c>
      <c r="AK272" s="7">
        <f>[6]实力验证!$AJ274</f>
        <v>8.4262807048838635</v>
      </c>
      <c r="AL272" s="7">
        <f>[6]实力验证!$AO274</f>
        <v>16.26776372976072</v>
      </c>
      <c r="AM272" s="7">
        <f t="shared" si="14"/>
        <v>95.800816741704836</v>
      </c>
    </row>
    <row r="273" spans="2:39" x14ac:dyDescent="0.15">
      <c r="B273" s="7">
        <v>269</v>
      </c>
      <c r="C273" s="7">
        <f>[1]服务器生态!W290</f>
        <v>67.127315540204947</v>
      </c>
      <c r="D273" s="7">
        <f>[1]服务器生态!X290</f>
        <v>66.18814780235833</v>
      </c>
      <c r="E273" s="7">
        <f>[1]服务器生态!Y290</f>
        <v>5.4029577462443346</v>
      </c>
      <c r="F273" s="7">
        <f>[1]服务器生态!Z290</f>
        <v>0.9612243628298438</v>
      </c>
      <c r="G273" s="7">
        <f>[1]服务器生态!AA290</f>
        <v>0.27812407961249991</v>
      </c>
      <c r="H273" s="7">
        <f>[1]服务器生态!AC290</f>
        <v>0.47962550249999997</v>
      </c>
      <c r="I273" s="7">
        <f>[1]服务器生态!AD290</f>
        <v>0.47291513735919999</v>
      </c>
      <c r="J273" s="7">
        <f>[1]服务器生态!AE290</f>
        <v>3.8604200140800002E-2</v>
      </c>
      <c r="K273" s="7">
        <f>[1]服务器生态!AF290</f>
        <v>6.8679600000000019E-3</v>
      </c>
      <c r="L273" s="7">
        <f>[1]服务器生态!AG290</f>
        <v>1.9871999999999997E-3</v>
      </c>
      <c r="M273" s="7">
        <f>[5]基础信息!M272</f>
        <v>100</v>
      </c>
      <c r="X273" s="7">
        <v>269</v>
      </c>
      <c r="Y273" s="7">
        <f>求节点(节奏总纲!D$4:D$163,R$5:R$164,$X273)*6</f>
        <v>41844.498638732526</v>
      </c>
      <c r="Z273" s="7">
        <f>求节点(节奏总纲!E$4:E$163,S$5:S$164,$X273)*6</f>
        <v>43001.145507498768</v>
      </c>
      <c r="AA273" s="7">
        <f>求节点(节奏总纲!F$4:F$163,T$5:T$164,$X273)*6</f>
        <v>44525.144836801293</v>
      </c>
      <c r="AB273" s="7">
        <f>求节点(节奏总纲!G$4:G$163,U$5:U$164,$X273)*6</f>
        <v>46776.742641211342</v>
      </c>
      <c r="AC273" s="7">
        <f>求节点(节奏总纲!H$4:H$163,V$5:V$164,$X273)*6</f>
        <v>50659.987656121106</v>
      </c>
      <c r="AG273" s="7">
        <v>269</v>
      </c>
      <c r="AH273" s="7">
        <v>1</v>
      </c>
      <c r="AI273" s="7">
        <f>[6]实力验证!$Z275</f>
        <v>1.6948255510505856</v>
      </c>
      <c r="AJ273" s="7">
        <f>[6]实力验证!$AE275</f>
        <v>2.8956299819408713</v>
      </c>
      <c r="AK273" s="7">
        <f>[6]实力验证!$AJ275</f>
        <v>8.4213145602974908</v>
      </c>
      <c r="AL273" s="7">
        <f>[6]实力验证!$AO275</f>
        <v>16.238362619407656</v>
      </c>
      <c r="AM273" s="7">
        <f t="shared" si="14"/>
        <v>95.825280979642073</v>
      </c>
    </row>
    <row r="274" spans="2:39" x14ac:dyDescent="0.15">
      <c r="B274" s="7">
        <v>270</v>
      </c>
      <c r="C274" s="7">
        <f>[1]服务器生态!W291</f>
        <v>66.656010416051046</v>
      </c>
      <c r="D274" s="7">
        <f>[1]服务器生态!X291</f>
        <v>65.723436634237459</v>
      </c>
      <c r="E274" s="7">
        <f>[1]服务器生态!Y291</f>
        <v>5.3650232384973826</v>
      </c>
      <c r="F274" s="7">
        <f>[1]服务器生态!Z291</f>
        <v>0.95447554583906247</v>
      </c>
      <c r="G274" s="7">
        <f>[1]服务器生态!AA291</f>
        <v>0.27617135287499989</v>
      </c>
      <c r="H274" s="7">
        <f>[1]服务器生态!AC291</f>
        <v>0.47962550249999997</v>
      </c>
      <c r="I274" s="7">
        <f>[1]服务器生态!AD291</f>
        <v>0.47291513735919999</v>
      </c>
      <c r="J274" s="7">
        <f>[1]服务器生态!AE291</f>
        <v>3.8604200140800002E-2</v>
      </c>
      <c r="K274" s="7">
        <f>[1]服务器生态!AF291</f>
        <v>6.8679600000000019E-3</v>
      </c>
      <c r="L274" s="7">
        <f>[1]服务器生态!AG291</f>
        <v>1.9871999999999997E-3</v>
      </c>
      <c r="M274" s="7">
        <f>[5]基础信息!M273</f>
        <v>100</v>
      </c>
      <c r="X274" s="7">
        <v>270</v>
      </c>
      <c r="Y274" s="7">
        <f>求节点(节奏总纲!D$4:D$163,R$5:R$164,$X274)*6</f>
        <v>41866.542871908416</v>
      </c>
      <c r="Z274" s="7">
        <f>求节点(节奏总纲!E$4:E$163,S$5:S$164,$X274)*6</f>
        <v>43023.057677313307</v>
      </c>
      <c r="AA274" s="7">
        <f>求节点(节奏总纲!F$4:F$163,T$5:T$164,$X274)*6</f>
        <v>44547.149378283313</v>
      </c>
      <c r="AB274" s="7">
        <f>求节点(节奏总纲!G$4:G$163,U$5:U$164,$X274)*6</f>
        <v>46799.566641664424</v>
      </c>
      <c r="AC274" s="7">
        <f>求节点(节奏总纲!H$4:H$163,V$5:V$164,$X274)*6</f>
        <v>50682.399113893887</v>
      </c>
      <c r="AG274" s="7">
        <v>270</v>
      </c>
      <c r="AH274" s="7">
        <v>1</v>
      </c>
      <c r="AI274" s="7">
        <f>[6]实力验证!$Z276</f>
        <v>1.6957425211156496</v>
      </c>
      <c r="AJ274" s="7">
        <f>[6]实力验证!$AE276</f>
        <v>2.8980120908243823</v>
      </c>
      <c r="AK274" s="7">
        <f>[6]实力验证!$AJ276</f>
        <v>8.4163945555164972</v>
      </c>
      <c r="AL274" s="7">
        <f>[6]实力验证!$AO276</f>
        <v>16.209234670958363</v>
      </c>
      <c r="AM274" s="7">
        <f t="shared" si="14"/>
        <v>95.849517923517013</v>
      </c>
    </row>
    <row r="275" spans="2:39" x14ac:dyDescent="0.15">
      <c r="B275" s="7">
        <v>271</v>
      </c>
      <c r="C275" s="7">
        <f>[1]服务器生态!W292</f>
        <v>66.267183688624087</v>
      </c>
      <c r="D275" s="7">
        <f>[1]服务器生态!X292</f>
        <v>65.340049920537737</v>
      </c>
      <c r="E275" s="7">
        <f>[1]服务器生态!Y292</f>
        <v>5.3337272696061477</v>
      </c>
      <c r="F275" s="7">
        <f>[1]服务器生态!Z292</f>
        <v>0.94890777182166797</v>
      </c>
      <c r="G275" s="7">
        <f>[1]服务器生态!AA292</f>
        <v>0.27456035331656237</v>
      </c>
      <c r="H275" s="7">
        <f>[1]服务器生态!AC292</f>
        <v>0.47962550249999997</v>
      </c>
      <c r="I275" s="7">
        <f>[1]服务器生态!AD292</f>
        <v>0.47291513735919999</v>
      </c>
      <c r="J275" s="7">
        <f>[1]服务器生态!AE292</f>
        <v>3.8604200140800002E-2</v>
      </c>
      <c r="K275" s="7">
        <f>[1]服务器生态!AF292</f>
        <v>6.8679600000000019E-3</v>
      </c>
      <c r="L275" s="7">
        <f>[1]服务器生态!AG292</f>
        <v>1.9871999999999997E-3</v>
      </c>
      <c r="M275" s="7">
        <f>[5]基础信息!M274</f>
        <v>100</v>
      </c>
      <c r="X275" s="7">
        <v>271</v>
      </c>
      <c r="Y275" s="7">
        <f>求节点(节奏总纲!D$4:D$163,R$5:R$164,$X275)*6</f>
        <v>41888.587105084312</v>
      </c>
      <c r="Z275" s="7">
        <f>求节点(节奏总纲!E$4:E$163,S$5:S$164,$X275)*6</f>
        <v>43044.969847127839</v>
      </c>
      <c r="AA275" s="7">
        <f>求节点(节奏总纲!F$4:F$163,T$5:T$164,$X275)*6</f>
        <v>44569.153919765333</v>
      </c>
      <c r="AB275" s="7">
        <f>求节点(节奏总纲!G$4:G$163,U$5:U$164,$X275)*6</f>
        <v>46822.390642117498</v>
      </c>
      <c r="AC275" s="7">
        <f>求节点(节奏总纲!H$4:H$163,V$5:V$164,$X275)*6</f>
        <v>50704.810571666647</v>
      </c>
      <c r="AG275" s="7">
        <v>271</v>
      </c>
      <c r="AH275" s="7">
        <v>1</v>
      </c>
      <c r="AI275" s="7">
        <f>[6]实力验证!$Z277</f>
        <v>1.6966510111242967</v>
      </c>
      <c r="AJ275" s="7">
        <f>[6]实力验证!$AE277</f>
        <v>2.9003721701798946</v>
      </c>
      <c r="AK275" s="7">
        <f>[6]实力验证!$AJ277</f>
        <v>8.4115200504957439</v>
      </c>
      <c r="AL275" s="7">
        <f>[6]实力验证!$AO277</f>
        <v>16.180376095147864</v>
      </c>
      <c r="AM275" s="7">
        <f t="shared" si="14"/>
        <v>95.873530726322059</v>
      </c>
    </row>
    <row r="276" spans="2:39" x14ac:dyDescent="0.15">
      <c r="B276" s="7">
        <v>272</v>
      </c>
      <c r="C276" s="7">
        <f>[1]服务器生态!W293</f>
        <v>65.878356961197113</v>
      </c>
      <c r="D276" s="7">
        <f>[1]服务器生态!X293</f>
        <v>64.956663206838016</v>
      </c>
      <c r="E276" s="7">
        <f>[1]服务器生态!Y293</f>
        <v>5.3024313007149129</v>
      </c>
      <c r="F276" s="7">
        <f>[1]服务器生态!Z293</f>
        <v>0.94333999780427336</v>
      </c>
      <c r="G276" s="7">
        <f>[1]服务器生态!AA293</f>
        <v>0.27294935375812485</v>
      </c>
      <c r="H276" s="7">
        <f>[1]服务器生态!AC293</f>
        <v>0.47962550249999997</v>
      </c>
      <c r="I276" s="7">
        <f>[1]服务器生态!AD293</f>
        <v>0.47291513735919999</v>
      </c>
      <c r="J276" s="7">
        <f>[1]服务器生态!AE293</f>
        <v>3.8604200140800002E-2</v>
      </c>
      <c r="K276" s="7">
        <f>[1]服务器生态!AF293</f>
        <v>6.8679600000000019E-3</v>
      </c>
      <c r="L276" s="7">
        <f>[1]服务器生态!AG293</f>
        <v>1.9871999999999997E-3</v>
      </c>
      <c r="M276" s="7">
        <f>[5]基础信息!M275</f>
        <v>100</v>
      </c>
      <c r="X276" s="7">
        <v>272</v>
      </c>
      <c r="Y276" s="7">
        <f>求节点(节奏总纲!D$4:D$163,R$5:R$164,$X276)*6</f>
        <v>41910.631338260209</v>
      </c>
      <c r="Z276" s="7">
        <f>求节点(节奏总纲!E$4:E$163,S$5:S$164,$X276)*6</f>
        <v>43066.247317479661</v>
      </c>
      <c r="AA276" s="7">
        <f>求节点(节奏总纲!F$4:F$163,T$5:T$164,$X276)*6</f>
        <v>44591.15846124736</v>
      </c>
      <c r="AB276" s="7">
        <f>求节点(节奏总纲!G$4:G$163,U$5:U$164,$X276)*6</f>
        <v>46845.214642570572</v>
      </c>
      <c r="AC276" s="7">
        <f>求节点(节奏总纲!H$4:H$163,V$5:V$164,$X276)*6</f>
        <v>50727.222029439428</v>
      </c>
      <c r="AG276" s="7">
        <v>272</v>
      </c>
      <c r="AH276" s="7">
        <v>1</v>
      </c>
      <c r="AI276" s="7">
        <f>[6]实力验证!$Z278</f>
        <v>1.6976286614075182</v>
      </c>
      <c r="AJ276" s="7">
        <f>[6]实力验证!$AE278</f>
        <v>2.9027105241915065</v>
      </c>
      <c r="AK276" s="7">
        <f>[6]实力验证!$AJ278</f>
        <v>8.4066904169737686</v>
      </c>
      <c r="AL276" s="7">
        <f>[6]实力验证!$AO278</f>
        <v>16.151783172474207</v>
      </c>
      <c r="AM276" s="7">
        <f t="shared" si="14"/>
        <v>95.899522197772242</v>
      </c>
    </row>
    <row r="277" spans="2:39" x14ac:dyDescent="0.15">
      <c r="B277" s="7">
        <v>273</v>
      </c>
      <c r="C277" s="7">
        <f>[1]服务器生态!W294</f>
        <v>65.489530233770154</v>
      </c>
      <c r="D277" s="7">
        <f>[1]服务器生态!X294</f>
        <v>64.573276493138295</v>
      </c>
      <c r="E277" s="7">
        <f>[1]服务器生态!Y294</f>
        <v>5.271135331823678</v>
      </c>
      <c r="F277" s="7">
        <f>[1]服务器生态!Z294</f>
        <v>0.93777222378687886</v>
      </c>
      <c r="G277" s="7">
        <f>[1]服务器生态!AA294</f>
        <v>0.27133835419968738</v>
      </c>
      <c r="H277" s="7">
        <f>[1]服务器生态!AC294</f>
        <v>0.47962550249999997</v>
      </c>
      <c r="I277" s="7">
        <f>[1]服务器生态!AD294</f>
        <v>0.47291513735919999</v>
      </c>
      <c r="J277" s="7">
        <f>[1]服务器生态!AE294</f>
        <v>3.8604200140800002E-2</v>
      </c>
      <c r="K277" s="7">
        <f>[1]服务器生态!AF294</f>
        <v>6.8679600000000019E-3</v>
      </c>
      <c r="L277" s="7">
        <f>[1]服务器生态!AG294</f>
        <v>1.9871999999999997E-3</v>
      </c>
      <c r="M277" s="7">
        <f>[5]基础信息!M276</f>
        <v>100</v>
      </c>
      <c r="X277" s="7">
        <v>273</v>
      </c>
      <c r="Y277" s="7">
        <f>求节点(节奏总纲!D$4:D$163,R$5:R$164,$X277)*6</f>
        <v>41932.675571436106</v>
      </c>
      <c r="Z277" s="7">
        <f>求节点(节奏总纲!E$4:E$163,S$5:S$164,$X277)*6</f>
        <v>43086.780611678179</v>
      </c>
      <c r="AA277" s="7">
        <f>求节点(节奏总纲!F$4:F$163,T$5:T$164,$X277)*6</f>
        <v>44611.859414290593</v>
      </c>
      <c r="AB277" s="7">
        <f>求节点(节奏总纲!G$4:G$163,U$5:U$164,$X277)*6</f>
        <v>46867.026004889834</v>
      </c>
      <c r="AC277" s="7">
        <f>求节点(节奏总纲!H$4:H$163,V$5:V$164,$X277)*6</f>
        <v>50749.63348721221</v>
      </c>
      <c r="AG277" s="7">
        <v>273</v>
      </c>
      <c r="AH277" s="7">
        <v>1</v>
      </c>
      <c r="AI277" s="7">
        <f>[6]实力验证!$Z279</f>
        <v>1.6986878317742977</v>
      </c>
      <c r="AJ277" s="7">
        <f>[6]实力验证!$AE279</f>
        <v>2.9059456976034301</v>
      </c>
      <c r="AK277" s="7">
        <f>[6]实力验证!$AJ279</f>
        <v>8.4026003055478906</v>
      </c>
      <c r="AL277" s="7">
        <f>[6]实力验证!$AO279</f>
        <v>16.123452251600259</v>
      </c>
      <c r="AM277" s="7">
        <f t="shared" si="14"/>
        <v>95.935178504955076</v>
      </c>
    </row>
    <row r="278" spans="2:39" x14ac:dyDescent="0.15">
      <c r="B278" s="7">
        <v>274</v>
      </c>
      <c r="C278" s="7">
        <f>[1]服务器生态!W295</f>
        <v>65.10070350634318</v>
      </c>
      <c r="D278" s="7">
        <f>[1]服务器生态!X295</f>
        <v>64.189889779438573</v>
      </c>
      <c r="E278" s="7">
        <f>[1]服务器生态!Y295</f>
        <v>5.2398393629324431</v>
      </c>
      <c r="F278" s="7">
        <f>[1]服务器生态!Z295</f>
        <v>0.93220444976948424</v>
      </c>
      <c r="G278" s="7">
        <f>[1]服务器生态!AA295</f>
        <v>0.26972735464124986</v>
      </c>
      <c r="H278" s="7">
        <f>[1]服务器生态!AC295</f>
        <v>0.47962550249999997</v>
      </c>
      <c r="I278" s="7">
        <f>[1]服务器生态!AD295</f>
        <v>0.47291513735919999</v>
      </c>
      <c r="J278" s="7">
        <f>[1]服务器生态!AE295</f>
        <v>3.8604200140800002E-2</v>
      </c>
      <c r="K278" s="7">
        <f>[1]服务器生态!AF295</f>
        <v>6.8679600000000019E-3</v>
      </c>
      <c r="L278" s="7">
        <f>[1]服务器生态!AG295</f>
        <v>1.9871999999999997E-3</v>
      </c>
      <c r="M278" s="7">
        <f>[5]基础信息!M277</f>
        <v>100</v>
      </c>
      <c r="X278" s="7">
        <v>274</v>
      </c>
      <c r="Y278" s="7">
        <f>求节点(节奏总纲!D$4:D$163,R$5:R$164,$X278)*6</f>
        <v>41953.635004801239</v>
      </c>
      <c r="Z278" s="7">
        <f>求节点(节奏总纲!E$4:E$163,S$5:S$164,$X278)*6</f>
        <v>43107.313905876705</v>
      </c>
      <c r="AA278" s="7">
        <f>求节点(节奏总纲!F$4:F$163,T$5:T$164,$X278)*6</f>
        <v>44632.165937311496</v>
      </c>
      <c r="AB278" s="7">
        <f>求节点(节奏总纲!G$4:G$163,U$5:U$164,$X278)*6</f>
        <v>46887.225325883861</v>
      </c>
      <c r="AC278" s="7">
        <f>求节点(节奏总纲!H$4:H$163,V$5:V$164,$X278)*6</f>
        <v>50772.044944984984</v>
      </c>
      <c r="AG278" s="7">
        <v>274</v>
      </c>
      <c r="AH278" s="7">
        <v>1</v>
      </c>
      <c r="AI278" s="7">
        <f>[6]实力验证!$Z280</f>
        <v>1.699125863547897</v>
      </c>
      <c r="AJ278" s="7">
        <f>[6]实力验证!$AE280</f>
        <v>2.9083812691369815</v>
      </c>
      <c r="AK278" s="7">
        <f>[6]实力验证!$AJ280</f>
        <v>8.3966275064640143</v>
      </c>
      <c r="AL278" s="7">
        <f>[6]实力验证!$AO280</f>
        <v>16.089589463436269</v>
      </c>
      <c r="AM278" s="7">
        <f t="shared" si="14"/>
        <v>95.942869193139643</v>
      </c>
    </row>
    <row r="279" spans="2:39" x14ac:dyDescent="0.15">
      <c r="B279" s="7">
        <v>275</v>
      </c>
      <c r="C279" s="7">
        <f>[1]服务器生态!W296</f>
        <v>64.711876778916235</v>
      </c>
      <c r="D279" s="7">
        <f>[1]服务器生态!X296</f>
        <v>63.806503065738866</v>
      </c>
      <c r="E279" s="7">
        <f>[1]服务器生态!Y296</f>
        <v>5.2085433940412091</v>
      </c>
      <c r="F279" s="7">
        <f>[1]服务器生态!Z296</f>
        <v>0.92663667575208986</v>
      </c>
      <c r="G279" s="7">
        <f>[1]服务器生态!AA296</f>
        <v>0.2681163550828124</v>
      </c>
      <c r="H279" s="7">
        <f>[1]服务器生态!AC296</f>
        <v>0.47962550249999997</v>
      </c>
      <c r="I279" s="7">
        <f>[1]服务器生态!AD296</f>
        <v>0.47291513735919999</v>
      </c>
      <c r="J279" s="7">
        <f>[1]服务器生态!AE296</f>
        <v>3.8604200140800002E-2</v>
      </c>
      <c r="K279" s="7">
        <f>[1]服务器生态!AF296</f>
        <v>6.8679600000000019E-3</v>
      </c>
      <c r="L279" s="7">
        <f>[1]服务器生态!AG296</f>
        <v>1.9871999999999997E-3</v>
      </c>
      <c r="M279" s="7">
        <f>[5]基础信息!M278</f>
        <v>100</v>
      </c>
      <c r="X279" s="7">
        <v>275</v>
      </c>
      <c r="Y279" s="7">
        <f>求节点(节奏总纲!D$4:D$163,R$5:R$164,$X279)*6</f>
        <v>41973.946313188659</v>
      </c>
      <c r="Z279" s="7">
        <f>求节点(节奏总纲!E$4:E$163,S$5:S$164,$X279)*6</f>
        <v>43127.847200075237</v>
      </c>
      <c r="AA279" s="7">
        <f>求节点(节奏总纲!F$4:F$163,T$5:T$164,$X279)*6</f>
        <v>44652.472460332399</v>
      </c>
      <c r="AB279" s="7">
        <f>求节点(节奏总纲!G$4:G$163,U$5:U$164,$X279)*6</f>
        <v>46907.424646877873</v>
      </c>
      <c r="AC279" s="7">
        <f>求节点(节奏总纲!H$4:H$163,V$5:V$164,$X279)*6</f>
        <v>50794.111793776829</v>
      </c>
      <c r="AG279" s="7">
        <v>275</v>
      </c>
      <c r="AH279" s="7">
        <v>1</v>
      </c>
      <c r="AI279" s="7">
        <f>[6]实力验证!$Z281</f>
        <v>1.6991961775683722</v>
      </c>
      <c r="AJ279" s="7">
        <f>[6]实力验证!$AE281</f>
        <v>2.9101705609342221</v>
      </c>
      <c r="AK279" s="7">
        <f>[6]实力验证!$AJ281</f>
        <v>8.3889189281819778</v>
      </c>
      <c r="AL279" s="7">
        <f>[6]实力验证!$AO281</f>
        <v>16.051741837497541</v>
      </c>
      <c r="AM279" s="7">
        <f t="shared" si="14"/>
        <v>95.931667097263229</v>
      </c>
    </row>
    <row r="280" spans="2:39" x14ac:dyDescent="0.15">
      <c r="B280" s="7">
        <v>276</v>
      </c>
      <c r="C280" s="7">
        <f>[1]服务器生态!W297</f>
        <v>64.323050051489261</v>
      </c>
      <c r="D280" s="7">
        <f>[1]服务器生态!X297</f>
        <v>63.423116352039152</v>
      </c>
      <c r="E280" s="7">
        <f>[1]服务器生态!Y297</f>
        <v>5.1772474251499743</v>
      </c>
      <c r="F280" s="7">
        <f>[1]服务器生态!Z297</f>
        <v>0.92106890173469536</v>
      </c>
      <c r="G280" s="7">
        <f>[1]服务器生态!AA297</f>
        <v>0.26650535552437488</v>
      </c>
      <c r="H280" s="7">
        <f>[1]服务器生态!AC297</f>
        <v>0.47962550249999997</v>
      </c>
      <c r="I280" s="7">
        <f>[1]服务器生态!AD297</f>
        <v>0.47291513735919999</v>
      </c>
      <c r="J280" s="7">
        <f>[1]服务器生态!AE297</f>
        <v>3.8604200140800002E-2</v>
      </c>
      <c r="K280" s="7">
        <f>[1]服务器生态!AF297</f>
        <v>6.8679600000000019E-3</v>
      </c>
      <c r="L280" s="7">
        <f>[1]服务器生态!AG297</f>
        <v>1.9871999999999997E-3</v>
      </c>
      <c r="M280" s="7">
        <f>[5]基础信息!M279</f>
        <v>100</v>
      </c>
      <c r="X280" s="7">
        <v>276</v>
      </c>
      <c r="Y280" s="7">
        <f>求节点(节奏总纲!D$4:D$163,R$5:R$164,$X280)*6</f>
        <v>41994.257621576078</v>
      </c>
      <c r="Z280" s="7">
        <f>求节点(节奏总纲!E$4:E$163,S$5:S$164,$X280)*6</f>
        <v>43148.380494273755</v>
      </c>
      <c r="AA280" s="7">
        <f>求节点(节奏总纲!F$4:F$163,T$5:T$164,$X280)*6</f>
        <v>44672.778983353302</v>
      </c>
      <c r="AB280" s="7">
        <f>求节点(节奏总纲!G$4:G$163,U$5:U$164,$X280)*6</f>
        <v>46927.623967871899</v>
      </c>
      <c r="AC280" s="7">
        <f>求节点(节奏总纲!H$4:H$163,V$5:V$164,$X280)*6</f>
        <v>50814.972356045851</v>
      </c>
      <c r="AG280" s="7">
        <v>276</v>
      </c>
      <c r="AH280" s="7">
        <v>1</v>
      </c>
      <c r="AI280" s="7">
        <f>[6]实力验证!$Z282</f>
        <v>1.699265776979334</v>
      </c>
      <c r="AJ280" s="7">
        <f>[6]实力验证!$AE282</f>
        <v>2.9119416679522208</v>
      </c>
      <c r="AK280" s="7">
        <f>[6]实力验证!$AJ282</f>
        <v>8.3812886930715482</v>
      </c>
      <c r="AL280" s="7">
        <f>[6]实力验证!$AO282</f>
        <v>16.01120385374135</v>
      </c>
      <c r="AM280" s="7">
        <f t="shared" si="14"/>
        <v>95.919356718555932</v>
      </c>
    </row>
    <row r="281" spans="2:39" x14ac:dyDescent="0.15">
      <c r="B281" s="7">
        <v>277</v>
      </c>
      <c r="C281" s="7">
        <f>[1]服务器生态!W298</f>
        <v>63.934223324062302</v>
      </c>
      <c r="D281" s="7">
        <f>[1]服务器生态!X298</f>
        <v>63.039729638339431</v>
      </c>
      <c r="E281" s="7">
        <f>[1]服务器生态!Y298</f>
        <v>5.1459514562587394</v>
      </c>
      <c r="F281" s="7">
        <f>[1]服务器生态!Z298</f>
        <v>0.91550112771730074</v>
      </c>
      <c r="G281" s="7">
        <f>[1]服务器生态!AA298</f>
        <v>0.26489435596593741</v>
      </c>
      <c r="H281" s="7">
        <f>[1]服务器生态!AC298</f>
        <v>0.47962550249999997</v>
      </c>
      <c r="I281" s="7">
        <f>[1]服务器生态!AD298</f>
        <v>0.47291513735919999</v>
      </c>
      <c r="J281" s="7">
        <f>[1]服务器生态!AE298</f>
        <v>3.8604200140800002E-2</v>
      </c>
      <c r="K281" s="7">
        <f>[1]服务器生态!AF298</f>
        <v>6.8679600000000019E-3</v>
      </c>
      <c r="L281" s="7">
        <f>[1]服务器生态!AG298</f>
        <v>1.9871999999999997E-3</v>
      </c>
      <c r="M281" s="7">
        <f>[5]基础信息!M280</f>
        <v>100</v>
      </c>
      <c r="X281" s="7">
        <v>277</v>
      </c>
      <c r="Y281" s="7">
        <f>求节点(节奏总纲!D$4:D$163,R$5:R$164,$X281)*6</f>
        <v>42014.568929963505</v>
      </c>
      <c r="Z281" s="7">
        <f>求节点(节奏总纲!E$4:E$163,S$5:S$164,$X281)*6</f>
        <v>43168.91378847228</v>
      </c>
      <c r="AA281" s="7">
        <f>求节点(节奏总纲!F$4:F$163,T$5:T$164,$X281)*6</f>
        <v>44693.085506374206</v>
      </c>
      <c r="AB281" s="7">
        <f>求节点(节奏总纲!G$4:G$163,U$5:U$164,$X281)*6</f>
        <v>46947.823288865919</v>
      </c>
      <c r="AC281" s="7">
        <f>求节点(节奏总纲!H$4:H$163,V$5:V$164,$X281)*6</f>
        <v>50835.832918314867</v>
      </c>
      <c r="AG281" s="7">
        <v>277</v>
      </c>
      <c r="AH281" s="7">
        <v>1</v>
      </c>
      <c r="AI281" s="7">
        <f>[6]实力验证!$Z283</f>
        <v>1.6993346726196932</v>
      </c>
      <c r="AJ281" s="7">
        <f>[6]实力验证!$AE283</f>
        <v>2.9136948660104043</v>
      </c>
      <c r="AK281" s="7">
        <f>[6]实力验证!$AJ283</f>
        <v>8.3737356128549738</v>
      </c>
      <c r="AL281" s="7">
        <f>[6]实力验证!$AO283</f>
        <v>15.97107577921973</v>
      </c>
      <c r="AM281" s="7">
        <f t="shared" si="14"/>
        <v>95.907170819101054</v>
      </c>
    </row>
    <row r="282" spans="2:39" x14ac:dyDescent="0.15">
      <c r="B282" s="7">
        <v>278</v>
      </c>
      <c r="C282" s="7">
        <f>[1]服务器生态!W299</f>
        <v>63.545396596635335</v>
      </c>
      <c r="D282" s="7">
        <f>[1]服务器生态!X299</f>
        <v>62.656342924639709</v>
      </c>
      <c r="E282" s="7">
        <f>[1]服务器生态!Y299</f>
        <v>5.1146554873675045</v>
      </c>
      <c r="F282" s="7">
        <f>[1]服务器生态!Z299</f>
        <v>0.90993335369990624</v>
      </c>
      <c r="G282" s="7">
        <f>[1]服务器生态!AA299</f>
        <v>0.26328335640749989</v>
      </c>
      <c r="H282" s="7">
        <f>[1]服务器生态!AC299</f>
        <v>0.47962550249999997</v>
      </c>
      <c r="I282" s="7">
        <f>[1]服务器生态!AD299</f>
        <v>0.47291513735919999</v>
      </c>
      <c r="J282" s="7">
        <f>[1]服务器生态!AE299</f>
        <v>3.8604200140800002E-2</v>
      </c>
      <c r="K282" s="7">
        <f>[1]服务器生态!AF299</f>
        <v>6.8679600000000019E-3</v>
      </c>
      <c r="L282" s="7">
        <f>[1]服务器生态!AG299</f>
        <v>1.9871999999999997E-3</v>
      </c>
      <c r="M282" s="7">
        <f>[5]基础信息!M281</f>
        <v>100</v>
      </c>
      <c r="X282" s="7">
        <v>278</v>
      </c>
      <c r="Y282" s="7">
        <f>求节点(节奏总纲!D$4:D$163,R$5:R$164,$X282)*6</f>
        <v>42034.880238350932</v>
      </c>
      <c r="Z282" s="7">
        <f>求节点(节奏总纲!E$4:E$163,S$5:S$164,$X282)*6</f>
        <v>43189.447082670806</v>
      </c>
      <c r="AA282" s="7">
        <f>求节点(节奏总纲!F$4:F$163,T$5:T$164,$X282)*6</f>
        <v>44713.392029395109</v>
      </c>
      <c r="AB282" s="7">
        <f>求节点(节奏总纲!G$4:G$163,U$5:U$164,$X282)*6</f>
        <v>46968.022609859938</v>
      </c>
      <c r="AC282" s="7">
        <f>求节点(节奏总纲!H$4:H$163,V$5:V$164,$X282)*6</f>
        <v>50856.693480583897</v>
      </c>
      <c r="AG282" s="7">
        <v>278</v>
      </c>
      <c r="AH282" s="7">
        <v>1</v>
      </c>
      <c r="AI282" s="7">
        <f>[6]实力验证!$Z284</f>
        <v>1.699402875110261</v>
      </c>
      <c r="AJ282" s="7">
        <f>[6]实力验证!$AE284</f>
        <v>2.9154304253782328</v>
      </c>
      <c r="AK282" s="7">
        <f>[6]实力验证!$AJ284</f>
        <v>8.3662585231647046</v>
      </c>
      <c r="AL282" s="7">
        <f>[6]实力验证!$AO284</f>
        <v>15.931351427870002</v>
      </c>
      <c r="AM282" s="7">
        <f t="shared" si="14"/>
        <v>95.895107520345036</v>
      </c>
    </row>
    <row r="283" spans="2:39" x14ac:dyDescent="0.15">
      <c r="B283" s="7">
        <v>279</v>
      </c>
      <c r="C283" s="7">
        <f>[1]服务器生态!W300</f>
        <v>63.156569869208369</v>
      </c>
      <c r="D283" s="7">
        <f>[1]服务器生态!X300</f>
        <v>62.272956210939988</v>
      </c>
      <c r="E283" s="7">
        <f>[1]服务器生态!Y300</f>
        <v>5.0833595184762697</v>
      </c>
      <c r="F283" s="7">
        <f>[1]服务器生态!Z300</f>
        <v>0.90436557968251163</v>
      </c>
      <c r="G283" s="7">
        <f>[1]服务器生态!AA300</f>
        <v>0.26167235684906237</v>
      </c>
      <c r="H283" s="7">
        <f>[1]服务器生态!AC300</f>
        <v>0.47962550249999997</v>
      </c>
      <c r="I283" s="7">
        <f>[1]服务器生态!AD300</f>
        <v>0.47291513735919999</v>
      </c>
      <c r="J283" s="7">
        <f>[1]服务器生态!AE300</f>
        <v>3.8604200140800002E-2</v>
      </c>
      <c r="K283" s="7">
        <f>[1]服务器生态!AF300</f>
        <v>6.8679600000000019E-3</v>
      </c>
      <c r="L283" s="7">
        <f>[1]服务器生态!AG300</f>
        <v>1.9871999999999997E-3</v>
      </c>
      <c r="M283" s="7">
        <f>[5]基础信息!M282</f>
        <v>100</v>
      </c>
      <c r="X283" s="7">
        <v>279</v>
      </c>
      <c r="Y283" s="7">
        <f>求节点(节奏总纲!D$4:D$163,R$5:R$164,$X283)*6</f>
        <v>42055.191546738359</v>
      </c>
      <c r="Z283" s="7">
        <f>求节点(节奏总纲!E$4:E$163,S$5:S$164,$X283)*6</f>
        <v>43209.980376869324</v>
      </c>
      <c r="AA283" s="7">
        <f>求节点(节奏总纲!F$4:F$163,T$5:T$164,$X283)*6</f>
        <v>44733.698552416012</v>
      </c>
      <c r="AB283" s="7">
        <f>求节点(节奏总纲!G$4:G$163,U$5:U$164,$X283)*6</f>
        <v>46988.221930853964</v>
      </c>
      <c r="AC283" s="7">
        <f>求节点(节奏总纲!H$4:H$163,V$5:V$164,$X283)*6</f>
        <v>50877.55404285292</v>
      </c>
      <c r="AG283" s="7">
        <v>279</v>
      </c>
      <c r="AH283" s="7">
        <v>1</v>
      </c>
      <c r="AI283" s="7">
        <f>[6]实力验证!$Z285</f>
        <v>1.6994703948592116</v>
      </c>
      <c r="AJ283" s="7">
        <f>[6]实力验证!$AE285</f>
        <v>2.9171486109140994</v>
      </c>
      <c r="AK283" s="7">
        <f>[6]实力验证!$AJ285</f>
        <v>8.3588562829450179</v>
      </c>
      <c r="AL283" s="7">
        <f>[6]实力验证!$AO285</f>
        <v>15.892024737480739</v>
      </c>
      <c r="AM283" s="7">
        <f t="shared" si="14"/>
        <v>95.883164981344876</v>
      </c>
    </row>
    <row r="284" spans="2:39" x14ac:dyDescent="0.15">
      <c r="B284" s="7">
        <v>280</v>
      </c>
      <c r="C284" s="7">
        <f>[1]服务器生态!W301</f>
        <v>62.767743141781402</v>
      </c>
      <c r="D284" s="7">
        <f>[1]服务器生态!X301</f>
        <v>61.889569497240267</v>
      </c>
      <c r="E284" s="7">
        <f>[1]服务器生态!Y301</f>
        <v>5.0520635495850348</v>
      </c>
      <c r="F284" s="7">
        <f>[1]服务器生态!Z301</f>
        <v>0.89879780566511713</v>
      </c>
      <c r="G284" s="7">
        <f>[1]服务器生态!AA301</f>
        <v>0.26006135729062485</v>
      </c>
      <c r="H284" s="7">
        <f>[1]服务器生态!AC301</f>
        <v>0.47962550249999997</v>
      </c>
      <c r="I284" s="7">
        <f>[1]服务器生态!AD301</f>
        <v>0.47291513735919999</v>
      </c>
      <c r="J284" s="7">
        <f>[1]服务器生态!AE301</f>
        <v>3.8604200140800002E-2</v>
      </c>
      <c r="K284" s="7">
        <f>[1]服务器生态!AF301</f>
        <v>6.8679600000000019E-3</v>
      </c>
      <c r="L284" s="7">
        <f>[1]服务器生态!AG301</f>
        <v>1.9871999999999997E-3</v>
      </c>
      <c r="M284" s="7">
        <f>[5]基础信息!M283</f>
        <v>100</v>
      </c>
      <c r="X284" s="7">
        <v>280</v>
      </c>
      <c r="Y284" s="7">
        <f>求节点(节奏总纲!D$4:D$163,R$5:R$164,$X284)*6</f>
        <v>42075.502855125786</v>
      </c>
      <c r="Z284" s="7">
        <f>求节点(节奏总纲!E$4:E$163,S$5:S$164,$X284)*6</f>
        <v>43230.513671067849</v>
      </c>
      <c r="AA284" s="7">
        <f>求节点(节奏总纲!F$4:F$163,T$5:T$164,$X284)*6</f>
        <v>44754.005075436915</v>
      </c>
      <c r="AB284" s="7">
        <f>求节点(节奏总纲!G$4:G$163,U$5:U$164,$X284)*6</f>
        <v>47008.421251847984</v>
      </c>
      <c r="AC284" s="7">
        <f>求节点(节奏总纲!H$4:H$163,V$5:V$164,$X284)*6</f>
        <v>50898.414605121943</v>
      </c>
      <c r="AG284" s="7">
        <v>280</v>
      </c>
      <c r="AH284" s="7">
        <v>1</v>
      </c>
      <c r="AI284" s="7">
        <f>[6]实力验证!$Z286</f>
        <v>1.6995372420673724</v>
      </c>
      <c r="AJ284" s="7">
        <f>[6]实力验证!$AE286</f>
        <v>2.91884968220007</v>
      </c>
      <c r="AK284" s="7">
        <f>[6]实力验证!$AJ286</f>
        <v>8.3515277738715064</v>
      </c>
      <c r="AL284" s="7">
        <f>[6]实力验证!$AO286</f>
        <v>15.853089766607688</v>
      </c>
      <c r="AM284" s="7">
        <f t="shared" si="14"/>
        <v>95.871341397831472</v>
      </c>
    </row>
    <row r="285" spans="2:39" x14ac:dyDescent="0.15">
      <c r="B285" s="7">
        <v>281</v>
      </c>
      <c r="C285" s="7">
        <f>[1]服务器生态!W302</f>
        <v>62.378916414354428</v>
      </c>
      <c r="D285" s="7">
        <f>[1]服务器生态!X302</f>
        <v>61.506182783540545</v>
      </c>
      <c r="E285" s="7">
        <f>[1]服务器生态!Y302</f>
        <v>5.0207675806937999</v>
      </c>
      <c r="F285" s="7">
        <f>[1]服务器生态!Z302</f>
        <v>0.89323003164772252</v>
      </c>
      <c r="G285" s="7">
        <f>[1]服务器生态!AA302</f>
        <v>0.25845035773218733</v>
      </c>
      <c r="H285" s="7">
        <f>[1]服务器生态!AC302</f>
        <v>0.47962550249999997</v>
      </c>
      <c r="I285" s="7">
        <f>[1]服务器生态!AD302</f>
        <v>0.47291513735919999</v>
      </c>
      <c r="J285" s="7">
        <f>[1]服务器生态!AE302</f>
        <v>3.8604200140800002E-2</v>
      </c>
      <c r="K285" s="7">
        <f>[1]服务器生态!AF302</f>
        <v>6.8679600000000019E-3</v>
      </c>
      <c r="L285" s="7">
        <f>[1]服务器生态!AG302</f>
        <v>1.9871999999999997E-3</v>
      </c>
      <c r="M285" s="7">
        <f>[5]基础信息!M284</f>
        <v>100</v>
      </c>
      <c r="X285" s="7">
        <v>281</v>
      </c>
      <c r="Y285" s="7">
        <f>求节点(节奏总纲!D$4:D$163,R$5:R$164,$X285)*6</f>
        <v>42095.814163513205</v>
      </c>
      <c r="Z285" s="7">
        <f>求节点(节奏总纲!E$4:E$163,S$5:S$164,$X285)*6</f>
        <v>43251.046965266374</v>
      </c>
      <c r="AA285" s="7">
        <f>求节点(节奏总纲!F$4:F$163,T$5:T$164,$X285)*6</f>
        <v>44774.311598457818</v>
      </c>
      <c r="AB285" s="7">
        <f>求节点(节奏总纲!G$4:G$163,U$5:U$164,$X285)*6</f>
        <v>47028.620572842003</v>
      </c>
      <c r="AC285" s="7">
        <f>求节点(节奏总纲!H$4:H$163,V$5:V$164,$X285)*6</f>
        <v>50919.275167390973</v>
      </c>
      <c r="AG285" s="7">
        <v>281</v>
      </c>
      <c r="AH285" s="7">
        <v>1</v>
      </c>
      <c r="AI285" s="7">
        <f>[6]实力验证!$Z287</f>
        <v>1.6996034267333662</v>
      </c>
      <c r="AJ285" s="7">
        <f>[6]实力验证!$AE287</f>
        <v>2.9205338936726264</v>
      </c>
      <c r="AK285" s="7">
        <f>[6]实力验证!$AJ287</f>
        <v>8.3442718997878487</v>
      </c>
      <c r="AL285" s="7">
        <f>[6]实力验证!$AO287</f>
        <v>15.814540691581378</v>
      </c>
      <c r="AM285" s="7">
        <f t="shared" si="14"/>
        <v>95.859635001301143</v>
      </c>
    </row>
    <row r="286" spans="2:39" x14ac:dyDescent="0.15">
      <c r="B286" s="7">
        <v>282</v>
      </c>
      <c r="C286" s="7">
        <f>[1]服务器生态!W303</f>
        <v>61.990089686927462</v>
      </c>
      <c r="D286" s="7">
        <f>[1]服务器生态!X303</f>
        <v>61.122796069840824</v>
      </c>
      <c r="E286" s="7">
        <f>[1]服务器生态!Y303</f>
        <v>4.989471611802565</v>
      </c>
      <c r="F286" s="7">
        <f>[1]服务器生态!Z303</f>
        <v>0.88766225763032791</v>
      </c>
      <c r="G286" s="7">
        <f>[1]服务器生态!AA303</f>
        <v>0.25683935817374987</v>
      </c>
      <c r="H286" s="7">
        <f>[1]服务器生态!AC303</f>
        <v>0.47962550249999997</v>
      </c>
      <c r="I286" s="7">
        <f>[1]服务器生态!AD303</f>
        <v>0.47291513735919999</v>
      </c>
      <c r="J286" s="7">
        <f>[1]服务器生态!AE303</f>
        <v>3.8604200140800002E-2</v>
      </c>
      <c r="K286" s="7">
        <f>[1]服务器生态!AF303</f>
        <v>6.8679600000000019E-3</v>
      </c>
      <c r="L286" s="7">
        <f>[1]服务器生态!AG303</f>
        <v>1.9871999999999997E-3</v>
      </c>
      <c r="M286" s="7">
        <f>[5]基础信息!M285</f>
        <v>100</v>
      </c>
      <c r="X286" s="7">
        <v>282</v>
      </c>
      <c r="Y286" s="7">
        <f>求节点(节奏总纲!D$4:D$163,R$5:R$164,$X286)*6</f>
        <v>42116.125471900625</v>
      </c>
      <c r="Z286" s="7">
        <f>求节点(节奏总纲!E$4:E$163,S$5:S$164,$X286)*6</f>
        <v>43271.580259464899</v>
      </c>
      <c r="AA286" s="7">
        <f>求节点(节奏总纲!F$4:F$163,T$5:T$164,$X286)*6</f>
        <v>44794.618121478714</v>
      </c>
      <c r="AB286" s="7">
        <f>求节点(节奏总纲!G$4:G$163,U$5:U$164,$X286)*6</f>
        <v>47048.819893836029</v>
      </c>
      <c r="AC286" s="7">
        <f>求节点(节奏总纲!H$4:H$163,V$5:V$164,$X286)*6</f>
        <v>50940.135729659989</v>
      </c>
      <c r="AG286" s="7">
        <v>282</v>
      </c>
      <c r="AH286" s="7">
        <v>1</v>
      </c>
      <c r="AI286" s="7">
        <f>[6]实力验证!$Z288</f>
        <v>1.6996689586585927</v>
      </c>
      <c r="AJ286" s="7">
        <f>[6]实力验证!$AE288</f>
        <v>2.9222014947495292</v>
      </c>
      <c r="AK286" s="7">
        <f>[6]实力验证!$AJ288</f>
        <v>8.337087586159214</v>
      </c>
      <c r="AL286" s="7">
        <f>[6]实力验证!$AO288</f>
        <v>15.776371803603231</v>
      </c>
      <c r="AM286" s="7">
        <f t="shared" si="14"/>
        <v>95.848044058133524</v>
      </c>
    </row>
    <row r="287" spans="2:39" x14ac:dyDescent="0.15">
      <c r="B287" s="7">
        <v>283</v>
      </c>
      <c r="C287" s="7">
        <f>[1]服务器生态!W304</f>
        <v>61.601262959500495</v>
      </c>
      <c r="D287" s="7">
        <f>[1]服务器生态!X304</f>
        <v>60.739409356141103</v>
      </c>
      <c r="E287" s="7">
        <f>[1]服务器生态!Y304</f>
        <v>4.9581756429113302</v>
      </c>
      <c r="F287" s="7">
        <f>[1]服务器生态!Z304</f>
        <v>0.88209448361293341</v>
      </c>
      <c r="G287" s="7">
        <f>[1]服务器生态!AA304</f>
        <v>0.25522835861531235</v>
      </c>
      <c r="H287" s="7">
        <f>[1]服务器生态!AC304</f>
        <v>0.47962550249999997</v>
      </c>
      <c r="I287" s="7">
        <f>[1]服务器生态!AD304</f>
        <v>0.47291513735919999</v>
      </c>
      <c r="J287" s="7">
        <f>[1]服务器生态!AE304</f>
        <v>3.8604200140800002E-2</v>
      </c>
      <c r="K287" s="7">
        <f>[1]服务器生态!AF304</f>
        <v>6.8679600000000019E-3</v>
      </c>
      <c r="L287" s="7">
        <f>[1]服务器生态!AG304</f>
        <v>1.9871999999999997E-3</v>
      </c>
      <c r="M287" s="7">
        <f>[5]基础信息!M286</f>
        <v>100</v>
      </c>
      <c r="X287" s="7">
        <v>283</v>
      </c>
      <c r="Y287" s="7">
        <f>求节点(节奏总纲!D$4:D$163,R$5:R$164,$X287)*6</f>
        <v>42136.436780288052</v>
      </c>
      <c r="Z287" s="7">
        <f>求节点(节奏总纲!E$4:E$163,S$5:S$164,$X287)*6</f>
        <v>43292.113553663425</v>
      </c>
      <c r="AA287" s="7">
        <f>求节点(节奏总纲!F$4:F$163,T$5:T$164,$X287)*6</f>
        <v>44814.924644499617</v>
      </c>
      <c r="AB287" s="7">
        <f>求节点(节奏总纲!G$4:G$163,U$5:U$164,$X287)*6</f>
        <v>47069.019214830048</v>
      </c>
      <c r="AC287" s="7">
        <f>求节点(节奏总纲!H$4:H$163,V$5:V$164,$X287)*6</f>
        <v>50960.996291929012</v>
      </c>
      <c r="AG287" s="7">
        <v>283</v>
      </c>
      <c r="AH287" s="7">
        <v>1</v>
      </c>
      <c r="AI287" s="7">
        <f>[6]实力验证!$Z289</f>
        <v>1.6997338474520709</v>
      </c>
      <c r="AJ287" s="7">
        <f>[6]实力验证!$AE289</f>
        <v>2.9238527299529591</v>
      </c>
      <c r="AK287" s="7">
        <f>[6]实力验证!$AJ289</f>
        <v>8.3299737795418025</v>
      </c>
      <c r="AL287" s="7">
        <f>[6]实力验证!$AO289</f>
        <v>15.738577505927234</v>
      </c>
      <c r="AM287" s="7">
        <f t="shared" si="14"/>
        <v>95.836566868735886</v>
      </c>
    </row>
    <row r="288" spans="2:39" x14ac:dyDescent="0.15">
      <c r="B288" s="7">
        <v>284</v>
      </c>
      <c r="C288" s="7">
        <f>[1]服务器生态!W305</f>
        <v>61.212436232073536</v>
      </c>
      <c r="D288" s="7">
        <f>[1]服务器生态!X305</f>
        <v>60.356022642441388</v>
      </c>
      <c r="E288" s="7">
        <f>[1]服务器生态!Y305</f>
        <v>4.9268796740200953</v>
      </c>
      <c r="F288" s="7">
        <f>[1]服务器生态!Z305</f>
        <v>0.87652670959553891</v>
      </c>
      <c r="G288" s="7">
        <f>[1]服务器生态!AA305</f>
        <v>0.25361735905687488</v>
      </c>
      <c r="H288" s="7">
        <f>[1]服务器生态!AC305</f>
        <v>0.47962550249999997</v>
      </c>
      <c r="I288" s="7">
        <f>[1]服务器生态!AD305</f>
        <v>0.47291513735919999</v>
      </c>
      <c r="J288" s="7">
        <f>[1]服务器生态!AE305</f>
        <v>3.8604200140800002E-2</v>
      </c>
      <c r="K288" s="7">
        <f>[1]服务器生态!AF305</f>
        <v>6.8679600000000019E-3</v>
      </c>
      <c r="L288" s="7">
        <f>[1]服务器生态!AG305</f>
        <v>1.9871999999999997E-3</v>
      </c>
      <c r="M288" s="7">
        <f>[5]基础信息!M287</f>
        <v>100</v>
      </c>
      <c r="X288" s="7">
        <v>284</v>
      </c>
      <c r="Y288" s="7">
        <f>求节点(节奏总纲!D$4:D$163,R$5:R$164,$X288)*6</f>
        <v>42156.748088675478</v>
      </c>
      <c r="Z288" s="7">
        <f>求节点(节奏总纲!E$4:E$163,S$5:S$164,$X288)*6</f>
        <v>43312.64684786195</v>
      </c>
      <c r="AA288" s="7">
        <f>求节点(节奏总纲!F$4:F$163,T$5:T$164,$X288)*6</f>
        <v>44835.23116752052</v>
      </c>
      <c r="AB288" s="7">
        <f>求节点(节奏总纲!G$4:G$163,U$5:U$164,$X288)*6</f>
        <v>47089.218535824068</v>
      </c>
      <c r="AC288" s="7">
        <f>求节点(节奏总纲!H$4:H$163,V$5:V$164,$X288)*6</f>
        <v>50981.856854198042</v>
      </c>
      <c r="AG288" s="7">
        <v>284</v>
      </c>
      <c r="AH288" s="7">
        <v>1</v>
      </c>
      <c r="AI288" s="7">
        <f>[6]实力验证!$Z290</f>
        <v>1.6997981025351332</v>
      </c>
      <c r="AJ288" s="7">
        <f>[6]实力验证!$AE290</f>
        <v>2.92548783902904</v>
      </c>
      <c r="AK288" s="7">
        <f>[6]实力验证!$AJ290</f>
        <v>8.322929447067871</v>
      </c>
      <c r="AL288" s="7">
        <f>[6]实力验证!$AO290</f>
        <v>15.701152311124119</v>
      </c>
      <c r="AM288" s="7">
        <f t="shared" si="14"/>
        <v>95.825201766712269</v>
      </c>
    </row>
    <row r="289" spans="2:39" x14ac:dyDescent="0.15">
      <c r="B289" s="7">
        <v>285</v>
      </c>
      <c r="C289" s="7">
        <f>[1]服务器生态!W306</f>
        <v>60.823609504646569</v>
      </c>
      <c r="D289" s="7">
        <f>[1]服务器生态!X306</f>
        <v>59.972635928741667</v>
      </c>
      <c r="E289" s="7">
        <f>[1]服务器生态!Y306</f>
        <v>4.8955837051288604</v>
      </c>
      <c r="F289" s="7">
        <f>[1]服务器生态!Z306</f>
        <v>0.87095893557814441</v>
      </c>
      <c r="G289" s="7">
        <f>[1]服务器生态!AA306</f>
        <v>0.25200635949843736</v>
      </c>
      <c r="H289" s="7">
        <f>[1]服务器生态!AC306</f>
        <v>0.47962550249999997</v>
      </c>
      <c r="I289" s="7">
        <f>[1]服务器生态!AD306</f>
        <v>0.47291513735919999</v>
      </c>
      <c r="J289" s="7">
        <f>[1]服务器生态!AE306</f>
        <v>3.8604200140800002E-2</v>
      </c>
      <c r="K289" s="7">
        <f>[1]服务器生态!AF306</f>
        <v>6.8679600000000019E-3</v>
      </c>
      <c r="L289" s="7">
        <f>[1]服务器生态!AG306</f>
        <v>1.9871999999999997E-3</v>
      </c>
      <c r="M289" s="7">
        <f>[5]基础信息!M288</f>
        <v>100</v>
      </c>
      <c r="X289" s="7">
        <v>285</v>
      </c>
      <c r="Y289" s="7">
        <f>求节点(节奏总纲!D$4:D$163,R$5:R$164,$X289)*6</f>
        <v>42177.059397062898</v>
      </c>
      <c r="Z289" s="7">
        <f>求节点(节奏总纲!E$4:E$163,S$5:S$164,$X289)*6</f>
        <v>43333.180142060475</v>
      </c>
      <c r="AA289" s="7">
        <f>求节点(节奏总纲!F$4:F$163,T$5:T$164,$X289)*6</f>
        <v>44855.537690541423</v>
      </c>
      <c r="AB289" s="7">
        <f>求节点(节奏总纲!G$4:G$163,U$5:U$164,$X289)*6</f>
        <v>47109.417856818094</v>
      </c>
      <c r="AC289" s="7">
        <f>求节点(节奏总纲!H$4:H$163,V$5:V$164,$X289)*6</f>
        <v>51002.717416467072</v>
      </c>
      <c r="AG289" s="7">
        <v>285</v>
      </c>
      <c r="AH289" s="7">
        <v>1</v>
      </c>
      <c r="AI289" s="7">
        <f>[6]实力验证!$Z291</f>
        <v>1.6998617331459878</v>
      </c>
      <c r="AJ289" s="7">
        <f>[6]实力验证!$AE291</f>
        <v>2.9271070570638815</v>
      </c>
      <c r="AK289" s="7">
        <f>[6]实力验证!$AJ291</f>
        <v>8.3159535759458389</v>
      </c>
      <c r="AL289" s="7">
        <f>[6]实力验证!$AO291</f>
        <v>15.664090838425357</v>
      </c>
      <c r="AM289" s="7">
        <f t="shared" si="14"/>
        <v>95.813947118056944</v>
      </c>
    </row>
    <row r="290" spans="2:39" x14ac:dyDescent="0.15">
      <c r="B290" s="7">
        <v>286</v>
      </c>
      <c r="C290" s="7">
        <f>[1]服务器生态!W307</f>
        <v>60.43478277721961</v>
      </c>
      <c r="D290" s="7">
        <f>[1]服务器生态!X307</f>
        <v>59.589249215041953</v>
      </c>
      <c r="E290" s="7">
        <f>[1]服务器生态!Y307</f>
        <v>4.8642877362376264</v>
      </c>
      <c r="F290" s="7">
        <f>[1]服务器生态!Z307</f>
        <v>0.86539116156074991</v>
      </c>
      <c r="G290" s="7">
        <f>[1]服务器生态!AA307</f>
        <v>0.25039535993999984</v>
      </c>
      <c r="H290" s="7">
        <f>[1]服务器生态!AC307</f>
        <v>0.47962550249999997</v>
      </c>
      <c r="I290" s="7">
        <f>[1]服务器生态!AD307</f>
        <v>0.47291513735919999</v>
      </c>
      <c r="J290" s="7">
        <f>[1]服务器生态!AE307</f>
        <v>3.8604200140800002E-2</v>
      </c>
      <c r="K290" s="7">
        <f>[1]服务器生态!AF307</f>
        <v>6.8679600000000019E-3</v>
      </c>
      <c r="L290" s="7">
        <f>[1]服务器生态!AG307</f>
        <v>1.9871999999999997E-3</v>
      </c>
      <c r="M290" s="7">
        <f>[5]基础信息!M289</f>
        <v>100</v>
      </c>
      <c r="X290" s="7">
        <v>286</v>
      </c>
      <c r="Y290" s="7">
        <f>求节点(节奏总纲!D$4:D$163,R$5:R$164,$X290)*6</f>
        <v>42197.370705450317</v>
      </c>
      <c r="Z290" s="7">
        <f>求节点(节奏总纲!E$4:E$163,S$5:S$164,$X290)*6</f>
        <v>43353.713436259</v>
      </c>
      <c r="AA290" s="7">
        <f>求节点(节奏总纲!F$4:F$163,T$5:T$164,$X290)*6</f>
        <v>44875.844213562326</v>
      </c>
      <c r="AB290" s="7">
        <f>求节点(节奏总纲!G$4:G$163,U$5:U$164,$X290)*6</f>
        <v>47129.617177812106</v>
      </c>
      <c r="AC290" s="7">
        <f>求节点(节奏总纲!H$4:H$163,V$5:V$164,$X290)*6</f>
        <v>51023.577978736081</v>
      </c>
      <c r="AG290" s="7">
        <v>286</v>
      </c>
      <c r="AH290" s="7">
        <v>1</v>
      </c>
      <c r="AI290" s="7">
        <f>[6]实力验证!$Z292</f>
        <v>1.6999247483441442</v>
      </c>
      <c r="AJ290" s="7">
        <f>[6]实力验证!$AE292</f>
        <v>2.9287106145962545</v>
      </c>
      <c r="AK290" s="7">
        <f>[6]实力验证!$AJ292</f>
        <v>8.309045172974832</v>
      </c>
      <c r="AL290" s="7">
        <f>[6]实力验证!$AO292</f>
        <v>15.627387811144185</v>
      </c>
      <c r="AM290" s="7">
        <f t="shared" si="14"/>
        <v>95.802801320371103</v>
      </c>
    </row>
    <row r="291" spans="2:39" x14ac:dyDescent="0.15">
      <c r="B291" s="7">
        <v>287</v>
      </c>
      <c r="C291" s="7">
        <f>[1]服务器生态!W308</f>
        <v>60.04595604979265</v>
      </c>
      <c r="D291" s="7">
        <f>[1]服务器生态!X308</f>
        <v>59.205862501342239</v>
      </c>
      <c r="E291" s="7">
        <f>[1]服务器生态!Y308</f>
        <v>4.8329917673463925</v>
      </c>
      <c r="F291" s="7">
        <f>[1]服务器生态!Z308</f>
        <v>0.85982338754335541</v>
      </c>
      <c r="G291" s="7">
        <f>[1]服务器生态!AA308</f>
        <v>0.24878436038156237</v>
      </c>
      <c r="H291" s="7">
        <f>[1]服务器生态!AC308</f>
        <v>0.47962550249999997</v>
      </c>
      <c r="I291" s="7">
        <f>[1]服务器生态!AD308</f>
        <v>0.47291513735919999</v>
      </c>
      <c r="J291" s="7">
        <f>[1]服务器生态!AE308</f>
        <v>3.8604200140800002E-2</v>
      </c>
      <c r="K291" s="7">
        <f>[1]服务器生态!AF308</f>
        <v>6.8679600000000019E-3</v>
      </c>
      <c r="L291" s="7">
        <f>[1]服务器生态!AG308</f>
        <v>1.9871999999999997E-3</v>
      </c>
      <c r="M291" s="7">
        <f>[5]基础信息!M290</f>
        <v>100</v>
      </c>
      <c r="X291" s="7">
        <v>287</v>
      </c>
      <c r="Y291" s="7">
        <f>求节点(节奏总纲!D$4:D$163,R$5:R$164,$X291)*6</f>
        <v>42217.682013837744</v>
      </c>
      <c r="Z291" s="7">
        <f>求节点(节奏总纲!E$4:E$163,S$5:S$164,$X291)*6</f>
        <v>43374.246730457518</v>
      </c>
      <c r="AA291" s="7">
        <f>求节点(节奏总纲!F$4:F$163,T$5:T$164,$X291)*6</f>
        <v>44896.150736583229</v>
      </c>
      <c r="AB291" s="7">
        <f>求节点(节奏总纲!G$4:G$163,U$5:U$164,$X291)*6</f>
        <v>47149.816498806133</v>
      </c>
      <c r="AC291" s="7">
        <f>求节点(节奏总纲!H$4:H$163,V$5:V$164,$X291)*6</f>
        <v>51044.438541005111</v>
      </c>
      <c r="AG291" s="7">
        <v>287</v>
      </c>
      <c r="AH291" s="7">
        <v>1</v>
      </c>
      <c r="AI291" s="7">
        <f>[6]实力验证!$Z293</f>
        <v>1.6999871570147178</v>
      </c>
      <c r="AJ291" s="7">
        <f>[6]实力验证!$AE293</f>
        <v>2.9302987377270133</v>
      </c>
      <c r="AK291" s="7">
        <f>[6]实力验证!$AJ293</f>
        <v>8.3022032640733059</v>
      </c>
      <c r="AL291" s="7">
        <f>[6]实力验证!$AO293</f>
        <v>15.591038054171122</v>
      </c>
      <c r="AM291" s="7">
        <f t="shared" si="14"/>
        <v>95.79176280210271</v>
      </c>
    </row>
    <row r="292" spans="2:39" x14ac:dyDescent="0.15">
      <c r="B292" s="7">
        <v>288</v>
      </c>
      <c r="C292" s="7">
        <f>[1]服务器生态!W309</f>
        <v>59.657129322365684</v>
      </c>
      <c r="D292" s="7">
        <f>[1]服务器生态!X309</f>
        <v>58.822475787642524</v>
      </c>
      <c r="E292" s="7">
        <f>[1]服务器生态!Y309</f>
        <v>4.8016957984551576</v>
      </c>
      <c r="F292" s="7">
        <f>[1]服务器生态!Z309</f>
        <v>0.85425561352596091</v>
      </c>
      <c r="G292" s="7">
        <f>[1]服务器生态!AA309</f>
        <v>0.24717336082312488</v>
      </c>
      <c r="H292" s="7">
        <f>[1]服务器生态!AC309</f>
        <v>0.47962550249999997</v>
      </c>
      <c r="I292" s="7">
        <f>[1]服务器生态!AD309</f>
        <v>0.47291513735919999</v>
      </c>
      <c r="J292" s="7">
        <f>[1]服务器生态!AE309</f>
        <v>3.8604200140800002E-2</v>
      </c>
      <c r="K292" s="7">
        <f>[1]服务器生态!AF309</f>
        <v>6.8679600000000019E-3</v>
      </c>
      <c r="L292" s="7">
        <f>[1]服务器生态!AG309</f>
        <v>1.9871999999999997E-3</v>
      </c>
      <c r="M292" s="7">
        <f>[5]基础信息!M291</f>
        <v>100</v>
      </c>
      <c r="X292" s="7">
        <v>288</v>
      </c>
      <c r="Y292" s="7">
        <f>求节点(节奏总纲!D$4:D$163,R$5:R$164,$X292)*6</f>
        <v>42237.993322225171</v>
      </c>
      <c r="Z292" s="7">
        <f>求节点(节奏总纲!E$4:E$163,S$5:S$164,$X292)*6</f>
        <v>43394.780024656044</v>
      </c>
      <c r="AA292" s="7">
        <f>求节点(节奏总纲!F$4:F$163,T$5:T$164,$X292)*6</f>
        <v>44916.457259604133</v>
      </c>
      <c r="AB292" s="7">
        <f>求节点(节奏总纲!G$4:G$163,U$5:U$164,$X292)*6</f>
        <v>47170.015819800152</v>
      </c>
      <c r="AC292" s="7">
        <f>求节点(节奏总纲!H$4:H$163,V$5:V$164,$X292)*6</f>
        <v>51065.299103274141</v>
      </c>
      <c r="AG292" s="7">
        <v>288</v>
      </c>
      <c r="AH292" s="7">
        <v>1</v>
      </c>
      <c r="AI292" s="7">
        <f>[6]实力验证!$Z294</f>
        <v>1.7000489678725985</v>
      </c>
      <c r="AJ292" s="7">
        <f>[6]实力验证!$AE294</f>
        <v>2.9318716482253713</v>
      </c>
      <c r="AK292" s="7">
        <f>[6]实力验证!$AJ294</f>
        <v>8.2954268938211619</v>
      </c>
      <c r="AL292" s="7">
        <f>[6]实力验证!$AO294</f>
        <v>15.555036491541429</v>
      </c>
      <c r="AM292" s="7">
        <f t="shared" si="14"/>
        <v>95.78083002180729</v>
      </c>
    </row>
    <row r="293" spans="2:39" x14ac:dyDescent="0.15">
      <c r="B293" s="7">
        <v>289</v>
      </c>
      <c r="C293" s="7">
        <f>[1]服务器生态!W310</f>
        <v>59.268302594938717</v>
      </c>
      <c r="D293" s="7">
        <f>[1]服务器生态!X310</f>
        <v>58.439089073942803</v>
      </c>
      <c r="E293" s="7">
        <f>[1]服务器生态!Y310</f>
        <v>4.7703998295639227</v>
      </c>
      <c r="F293" s="7">
        <f>[1]服务器生态!Z310</f>
        <v>0.8486878395085663</v>
      </c>
      <c r="G293" s="7">
        <f>[1]服务器生态!AA310</f>
        <v>0.24556236126468736</v>
      </c>
      <c r="H293" s="7">
        <f>[1]服务器生态!AC310</f>
        <v>0.47962550249999997</v>
      </c>
      <c r="I293" s="7">
        <f>[1]服务器生态!AD310</f>
        <v>0.47291513735919999</v>
      </c>
      <c r="J293" s="7">
        <f>[1]服务器生态!AE310</f>
        <v>3.8604200140800002E-2</v>
      </c>
      <c r="K293" s="7">
        <f>[1]服务器生态!AF310</f>
        <v>6.8679600000000019E-3</v>
      </c>
      <c r="L293" s="7">
        <f>[1]服务器生态!AG310</f>
        <v>1.9871999999999997E-3</v>
      </c>
      <c r="M293" s="7">
        <f>[5]基础信息!M292</f>
        <v>100</v>
      </c>
      <c r="X293" s="7">
        <v>289</v>
      </c>
      <c r="Y293" s="7">
        <f>求节点(节奏总纲!D$4:D$163,R$5:R$164,$X293)*6</f>
        <v>42258.304630612598</v>
      </c>
      <c r="Z293" s="7">
        <f>求节点(节奏总纲!E$4:E$163,S$5:S$164,$X293)*6</f>
        <v>43415.313318854569</v>
      </c>
      <c r="AA293" s="7">
        <f>求节点(节奏总纲!F$4:F$163,T$5:T$164,$X293)*6</f>
        <v>44936.763782625036</v>
      </c>
      <c r="AB293" s="7">
        <f>求节点(节奏总纲!G$4:G$163,U$5:U$164,$X293)*6</f>
        <v>47190.215140794171</v>
      </c>
      <c r="AC293" s="7">
        <f>求节点(节奏总纲!H$4:H$163,V$5:V$164,$X293)*6</f>
        <v>51086.159665543164</v>
      </c>
      <c r="AG293" s="7">
        <v>289</v>
      </c>
      <c r="AH293" s="7">
        <v>1</v>
      </c>
      <c r="AI293" s="7">
        <f>[6]实力验证!$Z295</f>
        <v>1.7001101894665156</v>
      </c>
      <c r="AJ293" s="7">
        <f>[6]实力验证!$AE295</f>
        <v>2.9334295636321381</v>
      </c>
      <c r="AK293" s="7">
        <f>[6]实力验证!$AJ295</f>
        <v>8.2887151250149937</v>
      </c>
      <c r="AL293" s="7">
        <f>[6]实力验证!$AO295</f>
        <v>15.51937814407218</v>
      </c>
      <c r="AM293" s="7">
        <f t="shared" si="14"/>
        <v>95.770001467430646</v>
      </c>
    </row>
    <row r="294" spans="2:39" x14ac:dyDescent="0.15">
      <c r="B294" s="7">
        <v>290</v>
      </c>
      <c r="C294" s="7">
        <f>[1]服务器生态!W311</f>
        <v>58.879475867511751</v>
      </c>
      <c r="D294" s="7">
        <f>[1]服务器生态!X311</f>
        <v>58.055702360243082</v>
      </c>
      <c r="E294" s="7">
        <f>[1]服务器生态!Y311</f>
        <v>4.739103860672687</v>
      </c>
      <c r="F294" s="7">
        <f>[1]服务器生态!Z311</f>
        <v>0.8431200654911718</v>
      </c>
      <c r="G294" s="7">
        <f>[1]服务器生态!AA311</f>
        <v>0.24395136170624987</v>
      </c>
      <c r="H294" s="7">
        <f>[1]服务器生态!AC311</f>
        <v>0.47962550249999997</v>
      </c>
      <c r="I294" s="7">
        <f>[1]服务器生态!AD311</f>
        <v>0.47291513735919999</v>
      </c>
      <c r="J294" s="7">
        <f>[1]服务器生态!AE311</f>
        <v>3.8604200140800002E-2</v>
      </c>
      <c r="K294" s="7">
        <f>[1]服务器生态!AF311</f>
        <v>6.8679600000000019E-3</v>
      </c>
      <c r="L294" s="7">
        <f>[1]服务器生态!AG311</f>
        <v>1.9871999999999997E-3</v>
      </c>
      <c r="M294" s="7">
        <f>[5]基础信息!M293</f>
        <v>100</v>
      </c>
      <c r="X294" s="7">
        <v>290</v>
      </c>
      <c r="Y294" s="7">
        <f>求节点(节奏总纲!D$4:D$163,R$5:R$164,$X294)*6</f>
        <v>42278.615939000018</v>
      </c>
      <c r="Z294" s="7">
        <f>求节点(节奏总纲!E$4:E$163,S$5:S$164,$X294)*6</f>
        <v>43435.846613053094</v>
      </c>
      <c r="AA294" s="7">
        <f>求节点(节奏总纲!F$4:F$163,T$5:T$164,$X294)*6</f>
        <v>44957.070305645939</v>
      </c>
      <c r="AB294" s="7">
        <f>求节点(节奏总纲!G$4:G$163,U$5:U$164,$X294)*6</f>
        <v>47210.414461788198</v>
      </c>
      <c r="AC294" s="7">
        <f>求节点(节奏总纲!H$4:H$163,V$5:V$164,$X294)*6</f>
        <v>51107.02022781218</v>
      </c>
      <c r="AG294" s="7">
        <v>290</v>
      </c>
      <c r="AH294" s="7">
        <v>1</v>
      </c>
      <c r="AI294" s="7">
        <f>[6]实力验证!$Z296</f>
        <v>1.7001708301829741</v>
      </c>
      <c r="AJ294" s="7">
        <f>[6]实力验证!$AE296</f>
        <v>2.9349726973600201</v>
      </c>
      <c r="AK294" s="7">
        <f>[6]实力验证!$AJ296</f>
        <v>8.2820670382359829</v>
      </c>
      <c r="AL294" s="7">
        <f>[6]实力验证!$AO296</f>
        <v>15.484058127066547</v>
      </c>
      <c r="AM294" s="7">
        <f t="shared" si="14"/>
        <v>95.759275655611717</v>
      </c>
    </row>
    <row r="295" spans="2:39" x14ac:dyDescent="0.15">
      <c r="B295" s="7">
        <v>291</v>
      </c>
      <c r="C295" s="7">
        <f>[1]服务器生态!W312</f>
        <v>58.490649140084784</v>
      </c>
      <c r="D295" s="7">
        <f>[1]服务器生态!X312</f>
        <v>57.67231564654336</v>
      </c>
      <c r="E295" s="7">
        <f>[1]服务器生态!Y312</f>
        <v>4.7078078917814521</v>
      </c>
      <c r="F295" s="7">
        <f>[1]服务器生态!Z312</f>
        <v>0.83755229147377719</v>
      </c>
      <c r="G295" s="7">
        <f>[1]服务器生态!AA312</f>
        <v>0.24234036214781235</v>
      </c>
      <c r="H295" s="7">
        <f>[1]服务器生态!AC312</f>
        <v>0.47962550249999997</v>
      </c>
      <c r="I295" s="7">
        <f>[1]服务器生态!AD312</f>
        <v>0.47291513735919999</v>
      </c>
      <c r="J295" s="7">
        <f>[1]服务器生态!AE312</f>
        <v>3.8604200140800002E-2</v>
      </c>
      <c r="K295" s="7">
        <f>[1]服务器生态!AF312</f>
        <v>6.8679600000000019E-3</v>
      </c>
      <c r="L295" s="7">
        <f>[1]服务器生态!AG312</f>
        <v>1.9871999999999997E-3</v>
      </c>
      <c r="M295" s="7">
        <f>[5]基础信息!M294</f>
        <v>100</v>
      </c>
      <c r="X295" s="7">
        <v>291</v>
      </c>
      <c r="Y295" s="7">
        <f>求节点(节奏总纲!D$4:D$163,R$5:R$164,$X295)*6</f>
        <v>42298.927247387444</v>
      </c>
      <c r="Z295" s="7">
        <f>求节点(节奏总纲!E$4:E$163,S$5:S$164,$X295)*6</f>
        <v>43456.379907251619</v>
      </c>
      <c r="AA295" s="7">
        <f>求节点(节奏总纲!F$4:F$163,T$5:T$164,$X295)*6</f>
        <v>44977.376828666842</v>
      </c>
      <c r="AB295" s="7">
        <f>求节点(节奏总纲!G$4:G$163,U$5:U$164,$X295)*6</f>
        <v>47230.613782782217</v>
      </c>
      <c r="AC295" s="7">
        <f>求节点(节奏总纲!H$4:H$163,V$5:V$164,$X295)*6</f>
        <v>51127.88079008121</v>
      </c>
      <c r="AG295" s="7">
        <v>291</v>
      </c>
      <c r="AH295" s="7">
        <v>1</v>
      </c>
      <c r="AI295" s="7">
        <f>[6]实力验证!$Z297</f>
        <v>1.7002308982500869</v>
      </c>
      <c r="AJ295" s="7">
        <f>[6]实力验证!$AE297</f>
        <v>2.9365012587910768</v>
      </c>
      <c r="AK295" s="7">
        <f>[6]实力验证!$AJ297</f>
        <v>8.2754817314300304</v>
      </c>
      <c r="AL295" s="7">
        <f>[6]实力验证!$AO297</f>
        <v>15.449071648083171</v>
      </c>
      <c r="AM295" s="7">
        <f t="shared" si="14"/>
        <v>95.74865113100509</v>
      </c>
    </row>
    <row r="296" spans="2:39" x14ac:dyDescent="0.15">
      <c r="B296" s="7">
        <v>292</v>
      </c>
      <c r="C296" s="7">
        <f>[1]服务器生态!W313</f>
        <v>58.101822412657825</v>
      </c>
      <c r="D296" s="7">
        <f>[1]服务器生态!X313</f>
        <v>57.288928932843646</v>
      </c>
      <c r="E296" s="7">
        <f>[1]服务器生态!Y313</f>
        <v>4.6765119228902181</v>
      </c>
      <c r="F296" s="7">
        <f>[1]服务器生态!Z313</f>
        <v>0.83198451745638269</v>
      </c>
      <c r="G296" s="7">
        <f>[1]服务器生态!AA313</f>
        <v>0.24072936258937488</v>
      </c>
      <c r="H296" s="7">
        <f>[1]服务器生态!AC313</f>
        <v>0.47962550249999997</v>
      </c>
      <c r="I296" s="7">
        <f>[1]服务器生态!AD313</f>
        <v>0.47291513735919999</v>
      </c>
      <c r="J296" s="7">
        <f>[1]服务器生态!AE313</f>
        <v>3.8604200140800002E-2</v>
      </c>
      <c r="K296" s="7">
        <f>[1]服务器生态!AF313</f>
        <v>6.8679600000000019E-3</v>
      </c>
      <c r="L296" s="7">
        <f>[1]服务器生态!AG313</f>
        <v>1.9871999999999997E-3</v>
      </c>
      <c r="M296" s="7">
        <f>[5]基础信息!M295</f>
        <v>100</v>
      </c>
      <c r="X296" s="7">
        <v>292</v>
      </c>
      <c r="Y296" s="7">
        <f>求节点(节奏总纲!D$4:D$163,R$5:R$164,$X296)*6</f>
        <v>42319.238555774864</v>
      </c>
      <c r="Z296" s="7">
        <f>求节点(节奏总纲!E$4:E$163,S$5:S$164,$X296)*6</f>
        <v>43476.07028673288</v>
      </c>
      <c r="AA296" s="7">
        <f>求节点(节奏总纲!F$4:F$163,T$5:T$164,$X296)*6</f>
        <v>44997.683351687745</v>
      </c>
      <c r="AB296" s="7">
        <f>求节点(节奏总纲!G$4:G$163,U$5:U$164,$X296)*6</f>
        <v>47250.674578537262</v>
      </c>
      <c r="AC296" s="7">
        <f>求节点(节奏总纲!H$4:H$163,V$5:V$164,$X296)*6</f>
        <v>51148.741352350233</v>
      </c>
      <c r="AG296" s="7">
        <v>292</v>
      </c>
      <c r="AH296" s="7">
        <v>1</v>
      </c>
      <c r="AI296" s="7">
        <f>[6]实力验证!$Z298</f>
        <v>1.7007548920636293</v>
      </c>
      <c r="AJ296" s="7">
        <f>[6]实力验证!$AE298</f>
        <v>2.9380154533714316</v>
      </c>
      <c r="AK296" s="7">
        <f>[6]实力验证!$AJ298</f>
        <v>8.27010284652766</v>
      </c>
      <c r="AL296" s="7">
        <f>[6]实力验证!$AO298</f>
        <v>15.414414004768375</v>
      </c>
      <c r="AM296" s="7">
        <f t="shared" si="14"/>
        <v>95.752878449067438</v>
      </c>
    </row>
    <row r="297" spans="2:39" x14ac:dyDescent="0.15">
      <c r="B297" s="7">
        <v>293</v>
      </c>
      <c r="C297" s="7">
        <f>[1]服务器生态!W314</f>
        <v>57.712995685230858</v>
      </c>
      <c r="D297" s="7">
        <f>[1]服务器生态!X314</f>
        <v>56.905542219143925</v>
      </c>
      <c r="E297" s="7">
        <f>[1]服务器生态!Y314</f>
        <v>4.6452159539989832</v>
      </c>
      <c r="F297" s="7">
        <f>[1]服务器生态!Z314</f>
        <v>0.82641674343898819</v>
      </c>
      <c r="G297" s="7">
        <f>[1]服务器生态!AA314</f>
        <v>0.23911836303093736</v>
      </c>
      <c r="H297" s="7">
        <f>[1]服务器生态!AC314</f>
        <v>0.47962550249999997</v>
      </c>
      <c r="I297" s="7">
        <f>[1]服务器生态!AD314</f>
        <v>0.47291513735919999</v>
      </c>
      <c r="J297" s="7">
        <f>[1]服务器生态!AE314</f>
        <v>3.8604200140800002E-2</v>
      </c>
      <c r="K297" s="7">
        <f>[1]服务器生态!AF314</f>
        <v>6.8679600000000019E-3</v>
      </c>
      <c r="L297" s="7">
        <f>[1]服务器生态!AG314</f>
        <v>1.9871999999999997E-3</v>
      </c>
      <c r="M297" s="7">
        <f>[5]基础信息!M296</f>
        <v>100</v>
      </c>
      <c r="X297" s="7">
        <v>293</v>
      </c>
      <c r="Y297" s="7">
        <f>求节点(节奏总纲!D$4:D$163,R$5:R$164,$X297)*6</f>
        <v>42339.549864162291</v>
      </c>
      <c r="Z297" s="7">
        <f>求节点(节奏总纲!E$4:E$163,S$5:S$164,$X297)*6</f>
        <v>43495.465317684066</v>
      </c>
      <c r="AA297" s="7">
        <f>求节点(节奏总纲!F$4:F$163,T$5:T$164,$X297)*6</f>
        <v>45017.453573032632</v>
      </c>
      <c r="AB297" s="7">
        <f>求节点(节奏总纲!G$4:G$163,U$5:U$164,$X297)*6</f>
        <v>47270.551354170246</v>
      </c>
      <c r="AC297" s="7">
        <f>求节点(节奏总纲!H$4:H$163,V$5:V$164,$X297)*6</f>
        <v>51169.601914619256</v>
      </c>
      <c r="AG297" s="7">
        <v>293</v>
      </c>
      <c r="AH297" s="7">
        <v>1</v>
      </c>
      <c r="AI297" s="7">
        <f>[6]实力验证!$Z299</f>
        <v>1.701435975223573</v>
      </c>
      <c r="AJ297" s="7">
        <f>[6]实力验证!$AE299</f>
        <v>2.9405797789813644</v>
      </c>
      <c r="AK297" s="7">
        <f>[6]实力验证!$AJ299</f>
        <v>8.2662875853182491</v>
      </c>
      <c r="AL297" s="7">
        <f>[6]实力验证!$AO299</f>
        <v>15.380080582749272</v>
      </c>
      <c r="AM297" s="7">
        <f t="shared" si="14"/>
        <v>95.77113690674625</v>
      </c>
    </row>
    <row r="298" spans="2:39" x14ac:dyDescent="0.15">
      <c r="B298" s="7">
        <v>294</v>
      </c>
      <c r="C298" s="7">
        <f>[1]服务器生态!W315</f>
        <v>57.324168957803892</v>
      </c>
      <c r="D298" s="7">
        <f>[1]服务器生态!X315</f>
        <v>56.522155505444204</v>
      </c>
      <c r="E298" s="7">
        <f>[1]服务器生态!Y315</f>
        <v>4.6139199851077484</v>
      </c>
      <c r="F298" s="7">
        <f>[1]服务器生态!Z315</f>
        <v>0.82084896942159358</v>
      </c>
      <c r="G298" s="7">
        <f>[1]服务器生态!AA315</f>
        <v>0.23750736347249984</v>
      </c>
      <c r="H298" s="7">
        <f>[1]服务器生态!AC315</f>
        <v>0.47962550249999997</v>
      </c>
      <c r="I298" s="7">
        <f>[1]服务器生态!AD315</f>
        <v>0.47291513735919999</v>
      </c>
      <c r="J298" s="7">
        <f>[1]服务器生态!AE315</f>
        <v>3.8604200140800002E-2</v>
      </c>
      <c r="K298" s="7">
        <f>[1]服务器生态!AF315</f>
        <v>6.8679600000000019E-3</v>
      </c>
      <c r="L298" s="7">
        <f>[1]服务器生态!AG315</f>
        <v>1.9871999999999997E-3</v>
      </c>
      <c r="M298" s="7">
        <f>[5]基础信息!M297</f>
        <v>100</v>
      </c>
      <c r="X298" s="7">
        <v>294</v>
      </c>
      <c r="Y298" s="7">
        <f>求节点(节奏总纲!D$4:D$163,R$5:R$164,$X298)*6</f>
        <v>42358.708044542574</v>
      </c>
      <c r="Z298" s="7">
        <f>求节点(节奏总纲!E$4:E$163,S$5:S$164,$X298)*6</f>
        <v>43514.860348635251</v>
      </c>
      <c r="AA298" s="7">
        <f>求节点(节奏总纲!F$4:F$163,T$5:T$164,$X298)*6</f>
        <v>45036.86229412118</v>
      </c>
      <c r="AB298" s="7">
        <f>求节点(节奏总纲!G$4:G$163,U$5:U$164,$X298)*6</f>
        <v>47290.428129803229</v>
      </c>
      <c r="AC298" s="7">
        <f>求节点(节奏总纲!H$4:H$163,V$5:V$164,$X298)*6</f>
        <v>51189.551325818276</v>
      </c>
      <c r="AG298" s="7">
        <v>294</v>
      </c>
      <c r="AH298" s="7">
        <v>1</v>
      </c>
      <c r="AI298" s="7">
        <f>[6]实力验证!$Z300</f>
        <v>1.7021935819240033</v>
      </c>
      <c r="AJ298" s="7">
        <f>[6]实力验证!$AE300</f>
        <v>2.9439776054459141</v>
      </c>
      <c r="AK298" s="7">
        <f>[6]实力验证!$AJ300</f>
        <v>8.2629101007215411</v>
      </c>
      <c r="AL298" s="7">
        <f>[6]实力验证!$AO300</f>
        <v>15.346250214789952</v>
      </c>
      <c r="AM298" s="7">
        <f t="shared" si="14"/>
        <v>95.798159767208844</v>
      </c>
    </row>
    <row r="299" spans="2:39" x14ac:dyDescent="0.15">
      <c r="B299" s="7">
        <v>295</v>
      </c>
      <c r="C299" s="7">
        <f>[1]服务器生态!W316</f>
        <v>56.935342230376932</v>
      </c>
      <c r="D299" s="7">
        <f>[1]服务器生态!X316</f>
        <v>56.138768791744489</v>
      </c>
      <c r="E299" s="7">
        <f>[1]服务器生态!Y316</f>
        <v>4.5826240162165144</v>
      </c>
      <c r="F299" s="7">
        <f>[1]服务器生态!Z316</f>
        <v>0.81528119540419919</v>
      </c>
      <c r="G299" s="7">
        <f>[1]服务器生态!AA316</f>
        <v>0.23589636391406238</v>
      </c>
      <c r="H299" s="7">
        <f>[1]服务器生态!AC316</f>
        <v>0.47962550249999997</v>
      </c>
      <c r="I299" s="7">
        <f>[1]服务器生态!AD316</f>
        <v>0.47291513735919999</v>
      </c>
      <c r="J299" s="7">
        <f>[1]服务器生态!AE316</f>
        <v>3.8604200140800002E-2</v>
      </c>
      <c r="K299" s="7">
        <f>[1]服务器生态!AF316</f>
        <v>6.8679600000000019E-3</v>
      </c>
      <c r="L299" s="7">
        <f>[1]服务器生态!AG316</f>
        <v>1.9871999999999997E-3</v>
      </c>
      <c r="M299" s="7">
        <f>[5]基础信息!M298</f>
        <v>100</v>
      </c>
      <c r="X299" s="7">
        <v>295</v>
      </c>
      <c r="Y299" s="7">
        <f>求节点(节奏总纲!D$4:D$163,R$5:R$164,$X299)*6</f>
        <v>42377.78371007806</v>
      </c>
      <c r="Z299" s="7">
        <f>求节点(节奏总纲!E$4:E$163,S$5:S$164,$X299)*6</f>
        <v>43534.25537958643</v>
      </c>
      <c r="AA299" s="7">
        <f>求节点(节奏总纲!F$4:F$163,T$5:T$164,$X299)*6</f>
        <v>45056.271015209735</v>
      </c>
      <c r="AB299" s="7">
        <f>求节点(节奏总纲!G$4:G$163,U$5:U$164,$X299)*6</f>
        <v>47310.304905436205</v>
      </c>
      <c r="AC299" s="7">
        <f>求节点(节奏总纲!H$4:H$163,V$5:V$164,$X299)*6</f>
        <v>51208.834583986027</v>
      </c>
      <c r="AG299" s="7">
        <v>295</v>
      </c>
      <c r="AH299" s="7">
        <v>1</v>
      </c>
      <c r="AI299" s="7">
        <f>[6]实力验证!$Z301</f>
        <v>1.7029501450191427</v>
      </c>
      <c r="AJ299" s="7">
        <f>[6]实力验证!$AE301</f>
        <v>2.947354486804572</v>
      </c>
      <c r="AK299" s="7">
        <f>[6]实力验证!$AJ301</f>
        <v>8.2595922371686132</v>
      </c>
      <c r="AL299" s="7">
        <f>[6]实力验证!$AO301</f>
        <v>15.312372975841781</v>
      </c>
      <c r="AM299" s="7">
        <f t="shared" si="14"/>
        <v>95.825070739619264</v>
      </c>
    </row>
    <row r="300" spans="2:39" x14ac:dyDescent="0.15">
      <c r="B300" s="7">
        <v>296</v>
      </c>
      <c r="C300" s="7">
        <f>[1]服务器生态!W317</f>
        <v>56.546515502949966</v>
      </c>
      <c r="D300" s="7">
        <f>[1]服务器生态!X317</f>
        <v>55.755382078044768</v>
      </c>
      <c r="E300" s="7">
        <f>[1]服务器生态!Y317</f>
        <v>4.5513280473252786</v>
      </c>
      <c r="F300" s="7">
        <f>[1]服务器生态!Z317</f>
        <v>0.80971342138680458</v>
      </c>
      <c r="G300" s="7">
        <f>[1]服务器生态!AA317</f>
        <v>0.23428536435562486</v>
      </c>
      <c r="H300" s="7">
        <f>[1]服务器生态!AC317</f>
        <v>0.47962550249999997</v>
      </c>
      <c r="I300" s="7">
        <f>[1]服务器生态!AD317</f>
        <v>0.47291513735919999</v>
      </c>
      <c r="J300" s="7">
        <f>[1]服务器生态!AE317</f>
        <v>3.8604200140800002E-2</v>
      </c>
      <c r="K300" s="7">
        <f>[1]服务器生态!AF317</f>
        <v>6.8679600000000019E-3</v>
      </c>
      <c r="L300" s="7">
        <f>[1]服务器生态!AG317</f>
        <v>1.9871999999999997E-3</v>
      </c>
      <c r="M300" s="7">
        <f>[5]基础信息!M299</f>
        <v>100</v>
      </c>
      <c r="X300" s="7">
        <v>296</v>
      </c>
      <c r="Y300" s="7">
        <f>求节点(节奏总纲!D$4:D$163,R$5:R$164,$X300)*6</f>
        <v>42396.859375613545</v>
      </c>
      <c r="Z300" s="7">
        <f>求节点(节奏总纲!E$4:E$163,S$5:S$164,$X300)*6</f>
        <v>43553.650410537615</v>
      </c>
      <c r="AA300" s="7">
        <f>求节点(节奏总纲!F$4:F$163,T$5:T$164,$X300)*6</f>
        <v>45075.679736298291</v>
      </c>
      <c r="AB300" s="7">
        <f>求节点(节奏总纲!G$4:G$163,U$5:U$164,$X300)*6</f>
        <v>47330.181681069189</v>
      </c>
      <c r="AC300" s="7">
        <f>求节点(节奏总纲!H$4:H$163,V$5:V$164,$X300)*6</f>
        <v>51228.11784215377</v>
      </c>
      <c r="AG300" s="7">
        <v>296</v>
      </c>
      <c r="AH300" s="7">
        <v>1</v>
      </c>
      <c r="AI300" s="7">
        <f>[6]实力验证!$Z302</f>
        <v>1.703699805587263</v>
      </c>
      <c r="AJ300" s="7">
        <f>[6]实力验证!$AE302</f>
        <v>2.9507005590807251</v>
      </c>
      <c r="AK300" s="7">
        <f>[6]实力验证!$AJ302</f>
        <v>8.2563046442473951</v>
      </c>
      <c r="AL300" s="7">
        <f>[6]实力验证!$AO302</f>
        <v>15.278804816940831</v>
      </c>
      <c r="AM300" s="7">
        <f t="shared" si="14"/>
        <v>95.851736188932691</v>
      </c>
    </row>
    <row r="301" spans="2:39" x14ac:dyDescent="0.15">
      <c r="B301" s="7">
        <v>297</v>
      </c>
      <c r="C301" s="7">
        <f>[1]服务器生态!W318</f>
        <v>56.157688775523006</v>
      </c>
      <c r="D301" s="7">
        <f>[1]服务器生态!X318</f>
        <v>55.371995364345054</v>
      </c>
      <c r="E301" s="7">
        <f>[1]服务器生态!Y318</f>
        <v>4.5200320784340446</v>
      </c>
      <c r="F301" s="7">
        <f>[1]服务器生态!Z318</f>
        <v>0.80414564736941008</v>
      </c>
      <c r="G301" s="7">
        <f>[1]服务器生态!AA318</f>
        <v>0.23267436479718739</v>
      </c>
      <c r="H301" s="7">
        <f>[1]服务器生态!AC318</f>
        <v>0.47962550249999997</v>
      </c>
      <c r="I301" s="7">
        <f>[1]服务器生态!AD318</f>
        <v>0.47291513735919999</v>
      </c>
      <c r="J301" s="7">
        <f>[1]服务器生态!AE318</f>
        <v>3.8604200140800002E-2</v>
      </c>
      <c r="K301" s="7">
        <f>[1]服务器生态!AF318</f>
        <v>6.8679600000000019E-3</v>
      </c>
      <c r="L301" s="7">
        <f>[1]服务器生态!AG318</f>
        <v>1.9871999999999997E-3</v>
      </c>
      <c r="M301" s="7">
        <f>[5]基础信息!M300</f>
        <v>100</v>
      </c>
      <c r="X301" s="7">
        <v>297</v>
      </c>
      <c r="Y301" s="7">
        <f>求节点(节奏总纲!D$4:D$163,R$5:R$164,$X301)*6</f>
        <v>42415.93504114903</v>
      </c>
      <c r="Z301" s="7">
        <f>求节点(节奏总纲!E$4:E$163,S$5:S$164,$X301)*6</f>
        <v>43573.045441488801</v>
      </c>
      <c r="AA301" s="7">
        <f>求节点(节奏总纲!F$4:F$163,T$5:T$164,$X301)*6</f>
        <v>45095.088457386853</v>
      </c>
      <c r="AB301" s="7">
        <f>求节点(节奏总纲!G$4:G$163,U$5:U$164,$X301)*6</f>
        <v>47350.058456702165</v>
      </c>
      <c r="AC301" s="7">
        <f>求节点(节奏总纲!H$4:H$163,V$5:V$164,$X301)*6</f>
        <v>51247.401100321513</v>
      </c>
      <c r="AG301" s="7">
        <v>297</v>
      </c>
      <c r="AH301" s="7">
        <v>1</v>
      </c>
      <c r="AI301" s="7">
        <f>[6]实力验证!$Z303</f>
        <v>1.704442657662534</v>
      </c>
      <c r="AJ301" s="7">
        <f>[6]实力验证!$AE303</f>
        <v>2.9540162419911637</v>
      </c>
      <c r="AK301" s="7">
        <f>[6]实力验证!$AJ303</f>
        <v>8.2530469095764971</v>
      </c>
      <c r="AL301" s="7">
        <f>[6]实力验证!$AO303</f>
        <v>15.245541527442878</v>
      </c>
      <c r="AM301" s="7">
        <f t="shared" si="14"/>
        <v>95.878159459947454</v>
      </c>
    </row>
    <row r="302" spans="2:39" x14ac:dyDescent="0.15">
      <c r="B302" s="7">
        <v>298</v>
      </c>
      <c r="C302" s="7">
        <f>[1]服务器生态!W319</f>
        <v>55.76886204809604</v>
      </c>
      <c r="D302" s="7">
        <f>[1]服务器生态!X319</f>
        <v>54.988608650645332</v>
      </c>
      <c r="E302" s="7">
        <f>[1]服务器生态!Y319</f>
        <v>4.4887361095428098</v>
      </c>
      <c r="F302" s="7">
        <f>[1]服务器生态!Z319</f>
        <v>0.79857787335201558</v>
      </c>
      <c r="G302" s="7">
        <f>[1]服务器生态!AA319</f>
        <v>0.23106336523874987</v>
      </c>
      <c r="H302" s="7">
        <f>[1]服务器生态!AC319</f>
        <v>0.47962550249999997</v>
      </c>
      <c r="I302" s="7">
        <f>[1]服务器生态!AD319</f>
        <v>0.47291513735919999</v>
      </c>
      <c r="J302" s="7">
        <f>[1]服务器生态!AE319</f>
        <v>3.8604200140800002E-2</v>
      </c>
      <c r="K302" s="7">
        <f>[1]服务器生态!AF319</f>
        <v>6.8679600000000019E-3</v>
      </c>
      <c r="L302" s="7">
        <f>[1]服务器生态!AG319</f>
        <v>1.9871999999999997E-3</v>
      </c>
      <c r="M302" s="7">
        <f>[5]基础信息!M301</f>
        <v>100</v>
      </c>
      <c r="X302" s="7">
        <v>298</v>
      </c>
      <c r="Y302" s="7">
        <f>求节点(节奏总纲!D$4:D$163,R$5:R$164,$X302)*6</f>
        <v>42435.010706684516</v>
      </c>
      <c r="Z302" s="7">
        <f>求节点(节奏总纲!E$4:E$163,S$5:S$164,$X302)*6</f>
        <v>43592.440472439979</v>
      </c>
      <c r="AA302" s="7">
        <f>求节点(节奏总纲!F$4:F$163,T$5:T$164,$X302)*6</f>
        <v>45114.497178475402</v>
      </c>
      <c r="AB302" s="7">
        <f>求节点(节奏总纲!G$4:G$163,U$5:U$164,$X302)*6</f>
        <v>47369.935232335149</v>
      </c>
      <c r="AC302" s="7">
        <f>求节点(节奏总纲!H$4:H$163,V$5:V$164,$X302)*6</f>
        <v>51266.684358489263</v>
      </c>
      <c r="AG302" s="7">
        <v>298</v>
      </c>
      <c r="AH302" s="7">
        <v>1</v>
      </c>
      <c r="AI302" s="7">
        <f>[6]实力验证!$Z304</f>
        <v>1.7051787935787892</v>
      </c>
      <c r="AJ302" s="7">
        <f>[6]实力验证!$AE304</f>
        <v>2.9573019476633182</v>
      </c>
      <c r="AK302" s="7">
        <f>[6]实力验证!$AJ304</f>
        <v>8.2498186282312389</v>
      </c>
      <c r="AL302" s="7">
        <f>[6]实力验证!$AO304</f>
        <v>15.212578972840946</v>
      </c>
      <c r="AM302" s="7">
        <f t="shared" si="14"/>
        <v>95.904343836980829</v>
      </c>
    </row>
    <row r="303" spans="2:39" x14ac:dyDescent="0.15">
      <c r="B303" s="7">
        <v>299</v>
      </c>
      <c r="C303" s="7">
        <f>[1]服务器生态!W320</f>
        <v>55.380035320669073</v>
      </c>
      <c r="D303" s="7">
        <f>[1]服务器生态!X320</f>
        <v>54.605221936945611</v>
      </c>
      <c r="E303" s="7">
        <f>[1]服务器生态!Y320</f>
        <v>4.4574401406515749</v>
      </c>
      <c r="F303" s="7">
        <f>[1]服务器生态!Z320</f>
        <v>0.79301009933462097</v>
      </c>
      <c r="G303" s="7">
        <f>[1]服务器生态!AA320</f>
        <v>0.22945236568031238</v>
      </c>
      <c r="H303" s="7">
        <f>[1]服务器生态!AC320</f>
        <v>0.47962550249999997</v>
      </c>
      <c r="I303" s="7">
        <f>[1]服务器生态!AD320</f>
        <v>0.47291513735919999</v>
      </c>
      <c r="J303" s="7">
        <f>[1]服务器生态!AE320</f>
        <v>3.8604200140800002E-2</v>
      </c>
      <c r="K303" s="7">
        <f>[1]服务器生态!AF320</f>
        <v>6.8679600000000019E-3</v>
      </c>
      <c r="L303" s="7">
        <f>[1]服务器生态!AG320</f>
        <v>1.9871999999999997E-3</v>
      </c>
      <c r="M303" s="7">
        <f>[5]基础信息!M302</f>
        <v>100</v>
      </c>
      <c r="X303" s="7">
        <v>299</v>
      </c>
      <c r="Y303" s="7">
        <f>求节点(节奏总纲!D$4:D$163,R$5:R$164,$X303)*6</f>
        <v>42454.086372220008</v>
      </c>
      <c r="Z303" s="7">
        <f>求节点(节奏总纲!E$4:E$163,S$5:S$164,$X303)*6</f>
        <v>43611.835503391165</v>
      </c>
      <c r="AA303" s="7">
        <f>求节点(节奏总纲!F$4:F$163,T$5:T$164,$X303)*6</f>
        <v>45133.905899563964</v>
      </c>
      <c r="AB303" s="7">
        <f>求节点(节奏总纲!G$4:G$163,U$5:U$164,$X303)*6</f>
        <v>47389.812007968125</v>
      </c>
      <c r="AC303" s="7">
        <f>求节点(节奏总纲!H$4:H$163,V$5:V$164,$X303)*6</f>
        <v>51285.967616657013</v>
      </c>
      <c r="AG303" s="7">
        <v>299</v>
      </c>
      <c r="AH303" s="7">
        <v>1</v>
      </c>
      <c r="AI303" s="7">
        <f>[6]实力验证!$Z305</f>
        <v>1.7059083040077903</v>
      </c>
      <c r="AJ303" s="7">
        <f>[6]实力验证!$AE305</f>
        <v>2.960558080806035</v>
      </c>
      <c r="AK303" s="7">
        <f>[6]实力验证!$AJ305</f>
        <v>8.2466194025758828</v>
      </c>
      <c r="AL303" s="7">
        <f>[6]实力验证!$AO305</f>
        <v>15.179913093052171</v>
      </c>
      <c r="AM303" s="7">
        <f t="shared" si="14"/>
        <v>95.930292545230131</v>
      </c>
    </row>
    <row r="304" spans="2:39" x14ac:dyDescent="0.15">
      <c r="B304" s="7">
        <v>300</v>
      </c>
      <c r="C304" s="7">
        <f>[1]服务器生态!W321</f>
        <v>54.991208593242106</v>
      </c>
      <c r="D304" s="7">
        <f>[1]服务器生态!X321</f>
        <v>54.221835223245897</v>
      </c>
      <c r="E304" s="7">
        <f>[1]服务器生态!Y321</f>
        <v>4.42614417176034</v>
      </c>
      <c r="F304" s="7">
        <f>[1]服务器生态!Z321</f>
        <v>0.78744232531722647</v>
      </c>
      <c r="G304" s="7">
        <f>[1]服务器生态!AA321</f>
        <v>0.22784136612187486</v>
      </c>
      <c r="H304" s="7">
        <f>[1]服务器生态!AC321</f>
        <v>0.47962550249999997</v>
      </c>
      <c r="I304" s="7">
        <f>[1]服务器生态!AD321</f>
        <v>0.47291513735919999</v>
      </c>
      <c r="J304" s="7">
        <f>[1]服务器生态!AE321</f>
        <v>3.8604200140800002E-2</v>
      </c>
      <c r="K304" s="7">
        <f>[1]服务器生态!AF321</f>
        <v>6.8679600000000019E-3</v>
      </c>
      <c r="L304" s="7">
        <f>[1]服务器生态!AG321</f>
        <v>1.9871999999999997E-3</v>
      </c>
      <c r="M304" s="7">
        <f>[5]基础信息!M303</f>
        <v>100</v>
      </c>
      <c r="X304" s="7">
        <v>300</v>
      </c>
      <c r="Y304" s="7">
        <f>求节点(节奏总纲!D$4:D$163,R$5:R$164,$X304)*6</f>
        <v>42473.162037755494</v>
      </c>
      <c r="Z304" s="7">
        <f>求节点(节奏总纲!E$4:E$163,S$5:S$164,$X304)*6</f>
        <v>43631.230534342343</v>
      </c>
      <c r="AA304" s="7">
        <f>求节点(节奏总纲!F$4:F$163,T$5:T$164,$X304)*6</f>
        <v>45153.31462065252</v>
      </c>
      <c r="AB304" s="7">
        <f>求节点(节奏总纲!G$4:G$163,U$5:U$164,$X304)*6</f>
        <v>47409.688783601101</v>
      </c>
      <c r="AC304" s="7">
        <f>求节点(节奏总纲!H$4:H$163,V$5:V$164,$X304)*6</f>
        <v>51305.250874824756</v>
      </c>
      <c r="AG304" s="7">
        <v>300</v>
      </c>
      <c r="AH304" s="7">
        <v>1</v>
      </c>
      <c r="AI304" s="7">
        <f>[6]实力验证!$Z306</f>
        <v>1.7066312779964512</v>
      </c>
      <c r="AJ304" s="7">
        <f>[6]实力验证!$AE306</f>
        <v>2.9637850388757445</v>
      </c>
      <c r="AK304" s="7">
        <f>[6]实力验证!$AJ306</f>
        <v>8.2434488421003547</v>
      </c>
      <c r="AL304" s="7">
        <f>[6]实力验证!$AO306</f>
        <v>15.147539900750651</v>
      </c>
      <c r="AM304" s="7">
        <f t="shared" si="14"/>
        <v>95.956008752096807</v>
      </c>
    </row>
    <row r="305" spans="2:39" x14ac:dyDescent="0.15">
      <c r="B305" s="7">
        <v>301</v>
      </c>
      <c r="C305" s="7">
        <f>[1]服务器生态!W322</f>
        <v>54.670426543114864</v>
      </c>
      <c r="D305" s="7">
        <f>[1]服务器生态!X322</f>
        <v>53.905541184443628</v>
      </c>
      <c r="E305" s="7">
        <f>[1]服务器生态!Y322</f>
        <v>4.4003249974250709</v>
      </c>
      <c r="F305" s="7">
        <f>[1]服务器生态!Z322</f>
        <v>0.78284891175287596</v>
      </c>
      <c r="G305" s="7">
        <f>[1]服务器生态!AA322</f>
        <v>0.22651229148616392</v>
      </c>
      <c r="H305" s="7">
        <f>[1]服务器生态!AC322</f>
        <v>0.47962550249999997</v>
      </c>
      <c r="I305" s="7">
        <f>[1]服务器生态!AD322</f>
        <v>0.47291513735919999</v>
      </c>
      <c r="J305" s="7">
        <f>[1]服务器生态!AE322</f>
        <v>3.8604200140800002E-2</v>
      </c>
      <c r="K305" s="7">
        <f>[1]服务器生态!AF322</f>
        <v>6.8679600000000019E-3</v>
      </c>
      <c r="L305" s="7">
        <f>[1]服务器生态!AG322</f>
        <v>1.9871999999999997E-3</v>
      </c>
      <c r="M305" s="7">
        <f>[5]基础信息!M304</f>
        <v>100</v>
      </c>
      <c r="X305" s="7">
        <v>301</v>
      </c>
      <c r="Y305" s="7">
        <f>求节点(节奏总纲!D$4:D$163,R$5:R$164,$X305)*6</f>
        <v>42492.237703290979</v>
      </c>
      <c r="Z305" s="7">
        <f>求节点(节奏总纲!E$4:E$163,S$5:S$164,$X305)*6</f>
        <v>43650.625565293529</v>
      </c>
      <c r="AA305" s="7">
        <f>求节点(节奏总纲!F$4:F$163,T$5:T$164,$X305)*6</f>
        <v>45172.723341741068</v>
      </c>
      <c r="AB305" s="7">
        <f>求节点(节奏总纲!G$4:G$163,U$5:U$164,$X305)*6</f>
        <v>47429.565559234085</v>
      </c>
      <c r="AC305" s="7">
        <f>求节点(节奏总纲!H$4:H$163,V$5:V$164,$X305)*6</f>
        <v>51324.5341329925</v>
      </c>
      <c r="AG305" s="7">
        <v>301</v>
      </c>
      <c r="AH305" s="7">
        <v>1</v>
      </c>
      <c r="AI305" s="7">
        <f>[6]实力验证!$Z307</f>
        <v>1.7073478030030775</v>
      </c>
      <c r="AJ305" s="7">
        <f>[6]实力验证!$AE307</f>
        <v>2.9669832122381945</v>
      </c>
      <c r="AK305" s="7">
        <f>[6]实力验证!$AJ307</f>
        <v>8.2403065632613242</v>
      </c>
      <c r="AL305" s="7">
        <f>[6]实力验证!$AO307</f>
        <v>15.115455479744973</v>
      </c>
      <c r="AM305" s="7">
        <f t="shared" si="14"/>
        <v>95.981495568475466</v>
      </c>
    </row>
    <row r="306" spans="2:39" x14ac:dyDescent="0.15">
      <c r="B306" s="7">
        <v>302</v>
      </c>
      <c r="C306" s="7">
        <f>[1]服务器生态!W323</f>
        <v>54.349644492987615</v>
      </c>
      <c r="D306" s="7">
        <f>[1]服务器生态!X323</f>
        <v>53.589247145641359</v>
      </c>
      <c r="E306" s="7">
        <f>[1]服务器生态!Y323</f>
        <v>4.3745058230898026</v>
      </c>
      <c r="F306" s="7">
        <f>[1]服务器生态!Z323</f>
        <v>0.77825549818852546</v>
      </c>
      <c r="G306" s="7">
        <f>[1]服务器生态!AA323</f>
        <v>0.22518321685045301</v>
      </c>
      <c r="H306" s="7">
        <f>[1]服务器生态!AC323</f>
        <v>0.47962550249999997</v>
      </c>
      <c r="I306" s="7">
        <f>[1]服务器生态!AD323</f>
        <v>0.47291513735919999</v>
      </c>
      <c r="J306" s="7">
        <f>[1]服务器生态!AE323</f>
        <v>3.8604200140800002E-2</v>
      </c>
      <c r="K306" s="7">
        <f>[1]服务器生态!AF323</f>
        <v>6.8679600000000019E-3</v>
      </c>
      <c r="L306" s="7">
        <f>[1]服务器生态!AG323</f>
        <v>1.9871999999999997E-3</v>
      </c>
      <c r="M306" s="7">
        <f>[5]基础信息!M305</f>
        <v>100</v>
      </c>
      <c r="X306" s="7">
        <v>302</v>
      </c>
      <c r="Y306" s="7">
        <f>求节点(节奏总纲!D$4:D$163,R$5:R$164,$X306)*6</f>
        <v>42511.313368826464</v>
      </c>
      <c r="Z306" s="7">
        <f>求节点(节奏总纲!E$4:E$163,S$5:S$164,$X306)*6</f>
        <v>43670.020596244707</v>
      </c>
      <c r="AA306" s="7">
        <f>求节点(节奏总纲!F$4:F$163,T$5:T$164,$X306)*6</f>
        <v>45192.132062829623</v>
      </c>
      <c r="AB306" s="7">
        <f>求节点(节奏总纲!G$4:G$163,U$5:U$164,$X306)*6</f>
        <v>47449.442334867061</v>
      </c>
      <c r="AC306" s="7">
        <f>求节点(节奏总纲!H$4:H$163,V$5:V$164,$X306)*6</f>
        <v>51343.81739116025</v>
      </c>
      <c r="AG306" s="7">
        <v>302</v>
      </c>
      <c r="AH306" s="7">
        <v>1</v>
      </c>
      <c r="AI306" s="7">
        <f>[6]实力验证!$Z308</f>
        <v>1.708057964932632</v>
      </c>
      <c r="AJ306" s="7">
        <f>[6]实力验证!$AE308</f>
        <v>2.9701529843258747</v>
      </c>
      <c r="AK306" s="7">
        <f>[6]实力验证!$AJ308</f>
        <v>8.2371921893275655</v>
      </c>
      <c r="AL306" s="7">
        <f>[6]实力验证!$AO308</f>
        <v>15.083655983398961</v>
      </c>
      <c r="AM306" s="7">
        <f t="shared" si="14"/>
        <v>96.006756050008278</v>
      </c>
    </row>
    <row r="307" spans="2:39" x14ac:dyDescent="0.15">
      <c r="B307" s="7">
        <v>303</v>
      </c>
      <c r="C307" s="7">
        <f>[1]服务器生态!W324</f>
        <v>54.02886244286038</v>
      </c>
      <c r="D307" s="7">
        <f>[1]服务器生态!X324</f>
        <v>53.272953106839097</v>
      </c>
      <c r="E307" s="7">
        <f>[1]服务器生态!Y324</f>
        <v>4.3486866487545344</v>
      </c>
      <c r="F307" s="7">
        <f>[1]服务器生态!Z324</f>
        <v>0.77366208462417507</v>
      </c>
      <c r="G307" s="7">
        <f>[1]服务器生态!AA324</f>
        <v>0.22385414221474209</v>
      </c>
      <c r="H307" s="7">
        <f>[1]服务器生态!AC324</f>
        <v>0.47962550249999997</v>
      </c>
      <c r="I307" s="7">
        <f>[1]服务器生态!AD324</f>
        <v>0.47291513735919999</v>
      </c>
      <c r="J307" s="7">
        <f>[1]服务器生态!AE324</f>
        <v>3.8604200140800002E-2</v>
      </c>
      <c r="K307" s="7">
        <f>[1]服务器生态!AF324</f>
        <v>6.8679600000000019E-3</v>
      </c>
      <c r="L307" s="7">
        <f>[1]服务器生态!AG324</f>
        <v>1.9871999999999997E-3</v>
      </c>
      <c r="M307" s="7">
        <f>[5]基础信息!M306</f>
        <v>100</v>
      </c>
      <c r="X307" s="7">
        <v>303</v>
      </c>
      <c r="Y307" s="7">
        <f>求节点(节奏总纲!D$4:D$163,R$5:R$164,$X307)*6</f>
        <v>42530.389034361957</v>
      </c>
      <c r="Z307" s="7">
        <f>求节点(节奏总纲!E$4:E$163,S$5:S$164,$X307)*6</f>
        <v>43689.415627195893</v>
      </c>
      <c r="AA307" s="7">
        <f>求节点(节奏总纲!F$4:F$163,T$5:T$164,$X307)*6</f>
        <v>45211.540783918186</v>
      </c>
      <c r="AB307" s="7">
        <f>求节点(节奏总纲!G$4:G$163,U$5:U$164,$X307)*6</f>
        <v>47469.319110500044</v>
      </c>
      <c r="AC307" s="7">
        <f>求节点(节奏总纲!H$4:H$163,V$5:V$164,$X307)*6</f>
        <v>51363.100649328</v>
      </c>
      <c r="AG307" s="7">
        <v>303</v>
      </c>
      <c r="AH307" s="7">
        <v>1</v>
      </c>
      <c r="AI307" s="7">
        <f>[6]实力验证!$Z309</f>
        <v>1.7087618481710709</v>
      </c>
      <c r="AJ307" s="7">
        <f>[6]实力验证!$AE309</f>
        <v>2.9732947317912566</v>
      </c>
      <c r="AK307" s="7">
        <f>[6]实力验证!$AJ309</f>
        <v>8.2341053502293615</v>
      </c>
      <c r="AL307" s="7">
        <f>[6]实力验证!$AO309</f>
        <v>15.052137633094269</v>
      </c>
      <c r="AM307" s="7">
        <f t="shared" si="14"/>
        <v>96.031793198306246</v>
      </c>
    </row>
    <row r="308" spans="2:39" x14ac:dyDescent="0.15">
      <c r="B308" s="7">
        <v>304</v>
      </c>
      <c r="C308" s="7">
        <f>[1]服务器生态!W325</f>
        <v>53.708080392733123</v>
      </c>
      <c r="D308" s="7">
        <f>[1]服务器生态!X325</f>
        <v>52.956659068036821</v>
      </c>
      <c r="E308" s="7">
        <f>[1]服务器生态!Y325</f>
        <v>4.3228674744192652</v>
      </c>
      <c r="F308" s="7">
        <f>[1]服务器生态!Z325</f>
        <v>0.76906867105982446</v>
      </c>
      <c r="G308" s="7">
        <f>[1]服务器生态!AA325</f>
        <v>0.22252506757903112</v>
      </c>
      <c r="H308" s="7">
        <f>[1]服务器生态!AC325</f>
        <v>0.47962550249999997</v>
      </c>
      <c r="I308" s="7">
        <f>[1]服务器生态!AD325</f>
        <v>0.47291513735919999</v>
      </c>
      <c r="J308" s="7">
        <f>[1]服务器生态!AE325</f>
        <v>3.8604200140800002E-2</v>
      </c>
      <c r="K308" s="7">
        <f>[1]服务器生态!AF325</f>
        <v>6.8679600000000019E-3</v>
      </c>
      <c r="L308" s="7">
        <f>[1]服务器生态!AG325</f>
        <v>1.9871999999999997E-3</v>
      </c>
      <c r="M308" s="7">
        <f>[5]基础信息!M307</f>
        <v>100</v>
      </c>
      <c r="X308" s="7">
        <v>304</v>
      </c>
      <c r="Y308" s="7">
        <f>求节点(节奏总纲!D$4:D$163,R$5:R$164,$X308)*6</f>
        <v>42549.464699897442</v>
      </c>
      <c r="Z308" s="7">
        <f>求节点(节奏总纲!E$4:E$163,S$5:S$164,$X308)*6</f>
        <v>43708.810658147078</v>
      </c>
      <c r="AA308" s="7">
        <f>求节点(节奏总纲!F$4:F$163,T$5:T$164,$X308)*6</f>
        <v>45230.949505006742</v>
      </c>
      <c r="AB308" s="7">
        <f>求节点(节奏总纲!G$4:G$163,U$5:U$164,$X308)*6</f>
        <v>47489.19588613302</v>
      </c>
      <c r="AC308" s="7">
        <f>求节点(节奏总纲!H$4:H$163,V$5:V$164,$X308)*6</f>
        <v>51382.383907495743</v>
      </c>
      <c r="AG308" s="7">
        <v>304</v>
      </c>
      <c r="AH308" s="7">
        <v>1</v>
      </c>
      <c r="AI308" s="7">
        <f>[6]实力验证!$Z310</f>
        <v>1.7094595356187687</v>
      </c>
      <c r="AJ308" s="7">
        <f>[6]实力验证!$AE310</f>
        <v>2.9764088246559988</v>
      </c>
      <c r="AK308" s="7">
        <f>[6]实力验证!$AJ310</f>
        <v>8.2310456824119296</v>
      </c>
      <c r="AL308" s="7">
        <f>[6]实力验证!$AO310</f>
        <v>15.020896716733604</v>
      </c>
      <c r="AM308" s="7">
        <f t="shared" si="14"/>
        <v>96.056609962138253</v>
      </c>
    </row>
    <row r="309" spans="2:39" x14ac:dyDescent="0.15">
      <c r="B309" s="7">
        <v>305</v>
      </c>
      <c r="C309" s="7">
        <f>[1]服务器生态!W326</f>
        <v>53.387298342605881</v>
      </c>
      <c r="D309" s="7">
        <f>[1]服务器生态!X326</f>
        <v>52.640365029234559</v>
      </c>
      <c r="E309" s="7">
        <f>[1]服务器生态!Y326</f>
        <v>4.297048300083997</v>
      </c>
      <c r="F309" s="7">
        <f>[1]服务器生态!Z326</f>
        <v>0.76447525749547396</v>
      </c>
      <c r="G309" s="7">
        <f>[1]服务器生态!AA326</f>
        <v>0.22119599294332018</v>
      </c>
      <c r="H309" s="7">
        <f>[1]服务器生态!AC326</f>
        <v>0.47962550249999997</v>
      </c>
      <c r="I309" s="7">
        <f>[1]服务器生态!AD326</f>
        <v>0.47291513735919999</v>
      </c>
      <c r="J309" s="7">
        <f>[1]服务器生态!AE326</f>
        <v>3.8604200140800002E-2</v>
      </c>
      <c r="K309" s="7">
        <f>[1]服务器生态!AF326</f>
        <v>6.8679600000000019E-3</v>
      </c>
      <c r="L309" s="7">
        <f>[1]服务器生态!AG326</f>
        <v>1.9871999999999997E-3</v>
      </c>
      <c r="M309" s="7">
        <f>[5]基础信息!M308</f>
        <v>100</v>
      </c>
      <c r="X309" s="7">
        <v>305</v>
      </c>
      <c r="Y309" s="7">
        <f>求节点(节奏总纲!D$4:D$163,R$5:R$164,$X309)*6</f>
        <v>42568.540365432928</v>
      </c>
      <c r="Z309" s="7">
        <f>求节点(节奏总纲!E$4:E$163,S$5:S$164,$X309)*6</f>
        <v>43728.205689098264</v>
      </c>
      <c r="AA309" s="7">
        <f>求节点(节奏总纲!F$4:F$163,T$5:T$164,$X309)*6</f>
        <v>45250.358226095297</v>
      </c>
      <c r="AB309" s="7">
        <f>求节点(节奏总纲!G$4:G$163,U$5:U$164,$X309)*6</f>
        <v>47509.072661765997</v>
      </c>
      <c r="AC309" s="7">
        <f>求节点(节奏总纲!H$4:H$163,V$5:V$164,$X309)*6</f>
        <v>51401.667165663479</v>
      </c>
      <c r="AG309" s="7">
        <v>305</v>
      </c>
      <c r="AH309" s="7">
        <v>1</v>
      </c>
      <c r="AI309" s="7">
        <f>[6]实力验证!$Z311</f>
        <v>1.7101511087230685</v>
      </c>
      <c r="AJ309" s="7">
        <f>[6]实力验证!$AE311</f>
        <v>2.9794956264562229</v>
      </c>
      <c r="AK309" s="7">
        <f>[6]实力验证!$AJ311</f>
        <v>8.2280128286926768</v>
      </c>
      <c r="AL309" s="7">
        <f>[6]实力验证!$AO311</f>
        <v>14.989929587283319</v>
      </c>
      <c r="AM309" s="7">
        <f t="shared" si="14"/>
        <v>96.081209238588784</v>
      </c>
    </row>
    <row r="310" spans="2:39" x14ac:dyDescent="0.15">
      <c r="B310" s="7">
        <v>306</v>
      </c>
      <c r="C310" s="7">
        <f>[1]服务器生态!W327</f>
        <v>53.066516292478632</v>
      </c>
      <c r="D310" s="7">
        <f>[1]服务器生态!X327</f>
        <v>52.32407099043229</v>
      </c>
      <c r="E310" s="7">
        <f>[1]服务器生态!Y327</f>
        <v>4.2712291257487278</v>
      </c>
      <c r="F310" s="7">
        <f>[1]服务器生态!Z327</f>
        <v>0.75988184393112357</v>
      </c>
      <c r="G310" s="7">
        <f>[1]服务器生态!AA327</f>
        <v>0.21986691830760924</v>
      </c>
      <c r="H310" s="7">
        <f>[1]服务器生态!AC327</f>
        <v>0.47962550249999997</v>
      </c>
      <c r="I310" s="7">
        <f>[1]服务器生态!AD327</f>
        <v>0.47291513735919999</v>
      </c>
      <c r="J310" s="7">
        <f>[1]服务器生态!AE327</f>
        <v>3.8604200140800002E-2</v>
      </c>
      <c r="K310" s="7">
        <f>[1]服务器生态!AF327</f>
        <v>6.8679600000000019E-3</v>
      </c>
      <c r="L310" s="7">
        <f>[1]服务器生态!AG327</f>
        <v>1.9871999999999997E-3</v>
      </c>
      <c r="M310" s="7">
        <f>[5]基础信息!M309</f>
        <v>100</v>
      </c>
      <c r="X310" s="7">
        <v>306</v>
      </c>
      <c r="Y310" s="7">
        <f>求节点(节奏总纲!D$4:D$163,R$5:R$164,$X310)*6</f>
        <v>42587.61603096842</v>
      </c>
      <c r="Z310" s="7">
        <f>求节点(节奏总纲!E$4:E$163,S$5:S$164,$X310)*6</f>
        <v>43747.600720049442</v>
      </c>
      <c r="AA310" s="7">
        <f>求节点(节奏总纲!F$4:F$163,T$5:T$164,$X310)*6</f>
        <v>45269.766947183853</v>
      </c>
      <c r="AB310" s="7">
        <f>求节点(节奏总纲!G$4:G$163,U$5:U$164,$X310)*6</f>
        <v>47528.94943739898</v>
      </c>
      <c r="AC310" s="7">
        <f>求节点(节奏总纲!H$4:H$163,V$5:V$164,$X310)*6</f>
        <v>51420.950423831222</v>
      </c>
      <c r="AG310" s="7">
        <v>306</v>
      </c>
      <c r="AH310" s="7">
        <v>1</v>
      </c>
      <c r="AI310" s="7">
        <f>[6]实力验证!$Z312</f>
        <v>1.7108366475099752</v>
      </c>
      <c r="AJ310" s="7">
        <f>[6]实力验证!$AE312</f>
        <v>2.9825554943839809</v>
      </c>
      <c r="AK310" s="7">
        <f>[6]实力验证!$AJ312</f>
        <v>8.2250064381222003</v>
      </c>
      <c r="AL310" s="7">
        <f>[6]实力验证!$AO312</f>
        <v>14.95923266135409</v>
      </c>
      <c r="AM310" s="7">
        <f t="shared" si="14"/>
        <v>96.10559387418526</v>
      </c>
    </row>
    <row r="311" spans="2:39" x14ac:dyDescent="0.15">
      <c r="B311" s="7">
        <v>307</v>
      </c>
      <c r="C311" s="7">
        <f>[1]服务器生态!W328</f>
        <v>52.745734242351382</v>
      </c>
      <c r="D311" s="7">
        <f>[1]服务器生态!X328</f>
        <v>52.007776951630014</v>
      </c>
      <c r="E311" s="7">
        <f>[1]服务器生态!Y328</f>
        <v>4.2454099514134587</v>
      </c>
      <c r="F311" s="7">
        <f>[1]服务器生态!Z328</f>
        <v>0.75528843036677296</v>
      </c>
      <c r="G311" s="7">
        <f>[1]服务器生态!AA328</f>
        <v>0.2185378436718983</v>
      </c>
      <c r="H311" s="7">
        <f>[1]服务器生态!AC328</f>
        <v>0.47962550249999997</v>
      </c>
      <c r="I311" s="7">
        <f>[1]服务器生态!AD328</f>
        <v>0.47291513735919999</v>
      </c>
      <c r="J311" s="7">
        <f>[1]服务器生态!AE328</f>
        <v>3.8604200140800002E-2</v>
      </c>
      <c r="K311" s="7">
        <f>[1]服务器生态!AF328</f>
        <v>6.8679600000000019E-3</v>
      </c>
      <c r="L311" s="7">
        <f>[1]服务器生态!AG328</f>
        <v>1.9871999999999997E-3</v>
      </c>
      <c r="M311" s="7">
        <f>[5]基础信息!M310</f>
        <v>100</v>
      </c>
      <c r="X311" s="7">
        <v>307</v>
      </c>
      <c r="Y311" s="7">
        <f>求节点(节奏总纲!D$4:D$163,R$5:R$164,$X311)*6</f>
        <v>42606.691696503898</v>
      </c>
      <c r="Z311" s="7">
        <f>求节点(节奏总纲!E$4:E$163,S$5:S$164,$X311)*6</f>
        <v>43766.995751000621</v>
      </c>
      <c r="AA311" s="7">
        <f>求节点(节奏总纲!F$4:F$163,T$5:T$164,$X311)*6</f>
        <v>45289.175668272408</v>
      </c>
      <c r="AB311" s="7">
        <f>求节点(节奏总纲!G$4:G$163,U$5:U$164,$X311)*6</f>
        <v>47548.826213031956</v>
      </c>
      <c r="AC311" s="7">
        <f>求节点(节奏总纲!H$4:H$163,V$5:V$164,$X311)*6</f>
        <v>51440.233681998972</v>
      </c>
      <c r="AG311" s="7">
        <v>307</v>
      </c>
      <c r="AH311" s="7">
        <v>1</v>
      </c>
      <c r="AI311" s="7">
        <f>[6]实力验证!$Z313</f>
        <v>1.711516230615028</v>
      </c>
      <c r="AJ311" s="7">
        <f>[6]实力验证!$AE313</f>
        <v>2.9855887794250506</v>
      </c>
      <c r="AK311" s="7">
        <f>[6]实力验证!$AJ313</f>
        <v>8.2220261658489076</v>
      </c>
      <c r="AL311" s="7">
        <f>[6]实力验证!$AO313</f>
        <v>14.928802417818655</v>
      </c>
      <c r="AM311" s="7">
        <f t="shared" si="14"/>
        <v>96.129766665996215</v>
      </c>
    </row>
    <row r="312" spans="2:39" x14ac:dyDescent="0.15">
      <c r="B312" s="7">
        <v>308</v>
      </c>
      <c r="C312" s="7">
        <f>[1]服务器生态!W329</f>
        <v>52.424952192224147</v>
      </c>
      <c r="D312" s="7">
        <f>[1]服务器生态!X329</f>
        <v>51.691482912827752</v>
      </c>
      <c r="E312" s="7">
        <f>[1]服务器生态!Y329</f>
        <v>4.2195907770781913</v>
      </c>
      <c r="F312" s="7">
        <f>[1]服务器生态!Z329</f>
        <v>0.75069501680242257</v>
      </c>
      <c r="G312" s="7">
        <f>[1]服务器生态!AA329</f>
        <v>0.21720876903618738</v>
      </c>
      <c r="H312" s="7">
        <f>[1]服务器生态!AC329</f>
        <v>0.47962550249999997</v>
      </c>
      <c r="I312" s="7">
        <f>[1]服务器生态!AD329</f>
        <v>0.47291513735919999</v>
      </c>
      <c r="J312" s="7">
        <f>[1]服务器生态!AE329</f>
        <v>3.8604200140800002E-2</v>
      </c>
      <c r="K312" s="7">
        <f>[1]服务器生态!AF329</f>
        <v>6.8679600000000019E-3</v>
      </c>
      <c r="L312" s="7">
        <f>[1]服务器生态!AG329</f>
        <v>1.9871999999999997E-3</v>
      </c>
      <c r="M312" s="7">
        <f>[5]基础信息!M311</f>
        <v>100</v>
      </c>
      <c r="X312" s="7">
        <v>308</v>
      </c>
      <c r="Y312" s="7">
        <f>求节点(节奏总纲!D$4:D$163,R$5:R$164,$X312)*6</f>
        <v>42625.767362039391</v>
      </c>
      <c r="Z312" s="7">
        <f>求节点(节奏总纲!E$4:E$163,S$5:S$164,$X312)*6</f>
        <v>43786.390781951806</v>
      </c>
      <c r="AA312" s="7">
        <f>求节点(节奏总纲!F$4:F$163,T$5:T$164,$X312)*6</f>
        <v>45308.584389360964</v>
      </c>
      <c r="AB312" s="7">
        <f>求节点(节奏总纲!G$4:G$163,U$5:U$164,$X312)*6</f>
        <v>47568.70298866494</v>
      </c>
      <c r="AC312" s="7">
        <f>求节点(节奏总纲!H$4:H$163,V$5:V$164,$X312)*6</f>
        <v>51459.516940166723</v>
      </c>
      <c r="AG312" s="7">
        <v>308</v>
      </c>
      <c r="AH312" s="7">
        <v>1</v>
      </c>
      <c r="AI312" s="7">
        <f>[6]实力验证!$Z314</f>
        <v>1.712189935313368</v>
      </c>
      <c r="AJ312" s="7">
        <f>[6]实力验证!$AE314</f>
        <v>2.9885958264931403</v>
      </c>
      <c r="AK312" s="7">
        <f>[6]实力验证!$AJ314</f>
        <v>8.21907167298715</v>
      </c>
      <c r="AL312" s="7">
        <f>[6]实力验证!$AO314</f>
        <v>14.898635396465396</v>
      </c>
      <c r="AM312" s="7">
        <f t="shared" si="14"/>
        <v>96.153730362700784</v>
      </c>
    </row>
    <row r="313" spans="2:39" x14ac:dyDescent="0.15">
      <c r="B313" s="7">
        <v>309</v>
      </c>
      <c r="C313" s="7">
        <f>[1]服务器生态!W330</f>
        <v>52.104170142096898</v>
      </c>
      <c r="D313" s="7">
        <f>[1]服务器生态!X330</f>
        <v>51.37518887402549</v>
      </c>
      <c r="E313" s="7">
        <f>[1]服务器生态!Y330</f>
        <v>4.1937716027429222</v>
      </c>
      <c r="F313" s="7">
        <f>[1]服务器生态!Z330</f>
        <v>0.74610160323807206</v>
      </c>
      <c r="G313" s="7">
        <f>[1]服务器生态!AA330</f>
        <v>0.21587969440047644</v>
      </c>
      <c r="H313" s="7">
        <f>[1]服务器生态!AC330</f>
        <v>0.47962550249999997</v>
      </c>
      <c r="I313" s="7">
        <f>[1]服务器生态!AD330</f>
        <v>0.47291513735919999</v>
      </c>
      <c r="J313" s="7">
        <f>[1]服务器生态!AE330</f>
        <v>3.8604200140800002E-2</v>
      </c>
      <c r="K313" s="7">
        <f>[1]服务器生态!AF330</f>
        <v>6.8679600000000019E-3</v>
      </c>
      <c r="L313" s="7">
        <f>[1]服务器生态!AG330</f>
        <v>1.9871999999999997E-3</v>
      </c>
      <c r="M313" s="7">
        <f>[5]基础信息!M312</f>
        <v>100</v>
      </c>
      <c r="X313" s="7">
        <v>309</v>
      </c>
      <c r="Y313" s="7">
        <f>求节点(节奏总纲!D$4:D$163,R$5:R$164,$X313)*6</f>
        <v>42644.843027574883</v>
      </c>
      <c r="Z313" s="7">
        <f>求节点(节奏总纲!E$4:E$163,S$5:S$164,$X313)*6</f>
        <v>43805.785812902992</v>
      </c>
      <c r="AA313" s="7">
        <f>求节点(节奏总纲!F$4:F$163,T$5:T$164,$X313)*6</f>
        <v>45327.993110449519</v>
      </c>
      <c r="AB313" s="7">
        <f>求节点(节奏总纲!G$4:G$163,U$5:U$164,$X313)*6</f>
        <v>47588.579764297923</v>
      </c>
      <c r="AC313" s="7">
        <f>求节点(节奏总纲!H$4:H$163,V$5:V$164,$X313)*6</f>
        <v>51478.800198334466</v>
      </c>
      <c r="AG313" s="7">
        <v>309</v>
      </c>
      <c r="AH313" s="7">
        <v>1</v>
      </c>
      <c r="AI313" s="7">
        <f>[6]实力验证!$Z315</f>
        <v>1.71285783754903</v>
      </c>
      <c r="AJ313" s="7">
        <f>[6]实力验证!$AE315</f>
        <v>2.9915769745606346</v>
      </c>
      <c r="AK313" s="7">
        <f>[6]实力验证!$AJ315</f>
        <v>8.2161426264887698</v>
      </c>
      <c r="AL313" s="7">
        <f>[6]实力验证!$AO315</f>
        <v>14.868728196686684</v>
      </c>
      <c r="AM313" s="7">
        <f t="shared" si="14"/>
        <v>96.177487665630622</v>
      </c>
    </row>
    <row r="314" spans="2:39" x14ac:dyDescent="0.15">
      <c r="B314" s="7">
        <v>310</v>
      </c>
      <c r="C314" s="7">
        <f>[1]服务器生态!W331</f>
        <v>51.783388091969655</v>
      </c>
      <c r="D314" s="7">
        <f>[1]服务器生态!X331</f>
        <v>51.058894835223221</v>
      </c>
      <c r="E314" s="7">
        <f>[1]服务器生态!Y331</f>
        <v>4.1679524284076539</v>
      </c>
      <c r="F314" s="7">
        <f>[1]服务器生态!Z331</f>
        <v>0.74150818967372156</v>
      </c>
      <c r="G314" s="7">
        <f>[1]服务器生态!AA331</f>
        <v>0.2145506197647655</v>
      </c>
      <c r="H314" s="7">
        <f>[1]服务器生态!AC331</f>
        <v>0.47962550249999997</v>
      </c>
      <c r="I314" s="7">
        <f>[1]服务器生态!AD331</f>
        <v>0.47291513735919999</v>
      </c>
      <c r="J314" s="7">
        <f>[1]服务器生态!AE331</f>
        <v>3.8604200140800002E-2</v>
      </c>
      <c r="K314" s="7">
        <f>[1]服务器生态!AF331</f>
        <v>6.8679600000000019E-3</v>
      </c>
      <c r="L314" s="7">
        <f>[1]服务器生态!AG331</f>
        <v>1.9871999999999997E-3</v>
      </c>
      <c r="M314" s="7">
        <f>[5]基础信息!M313</f>
        <v>100</v>
      </c>
      <c r="X314" s="7">
        <v>310</v>
      </c>
      <c r="Y314" s="7">
        <f>求节点(节奏总纲!D$4:D$163,R$5:R$164,$X314)*6</f>
        <v>42663.918693110361</v>
      </c>
      <c r="Z314" s="7">
        <f>求节点(节奏总纲!E$4:E$163,S$5:S$164,$X314)*6</f>
        <v>43825.18084385417</v>
      </c>
      <c r="AA314" s="7">
        <f>求节点(节奏总纲!F$4:F$163,T$5:T$164,$X314)*6</f>
        <v>45347.401831538074</v>
      </c>
      <c r="AB314" s="7">
        <f>求节点(节奏总纲!G$4:G$163,U$5:U$164,$X314)*6</f>
        <v>47608.456539930899</v>
      </c>
      <c r="AC314" s="7">
        <f>求节点(节奏总纲!H$4:H$163,V$5:V$164,$X314)*6</f>
        <v>51498.083456502209</v>
      </c>
      <c r="AG314" s="7">
        <v>310</v>
      </c>
      <c r="AH314" s="7">
        <v>1</v>
      </c>
      <c r="AI314" s="7">
        <f>[6]实力验证!$Z316</f>
        <v>1.7135200119634815</v>
      </c>
      <c r="AJ314" s="7">
        <f>[6]实力验证!$AE316</f>
        <v>2.9945325567859755</v>
      </c>
      <c r="AK314" s="7">
        <f>[6]实力验证!$AJ316</f>
        <v>8.2132386990179391</v>
      </c>
      <c r="AL314" s="7">
        <f>[6]实力验证!$AO316</f>
        <v>14.839077476201014</v>
      </c>
      <c r="AM314" s="7">
        <f t="shared" si="14"/>
        <v>96.201041229784977</v>
      </c>
    </row>
    <row r="315" spans="2:39" x14ac:dyDescent="0.15">
      <c r="B315" s="7">
        <v>311</v>
      </c>
      <c r="C315" s="7">
        <f>[1]服务器生态!W332</f>
        <v>51.462606041842399</v>
      </c>
      <c r="D315" s="7">
        <f>[1]服务器生态!X332</f>
        <v>50.742600796420945</v>
      </c>
      <c r="E315" s="7">
        <f>[1]服务器生态!Y332</f>
        <v>4.1421332540723848</v>
      </c>
      <c r="F315" s="7">
        <f>[1]服务器生态!Z332</f>
        <v>0.73691477610937095</v>
      </c>
      <c r="G315" s="7">
        <f>[1]服务器生态!AA332</f>
        <v>0.21322154512905453</v>
      </c>
      <c r="H315" s="7">
        <f>[1]服务器生态!AC332</f>
        <v>0.47962550249999997</v>
      </c>
      <c r="I315" s="7">
        <f>[1]服务器生态!AD332</f>
        <v>0.47291513735919999</v>
      </c>
      <c r="J315" s="7">
        <f>[1]服务器生态!AE332</f>
        <v>3.8604200140800002E-2</v>
      </c>
      <c r="K315" s="7">
        <f>[1]服务器生态!AF332</f>
        <v>6.8679600000000019E-3</v>
      </c>
      <c r="L315" s="7">
        <f>[1]服务器生态!AG332</f>
        <v>1.9871999999999997E-3</v>
      </c>
      <c r="M315" s="7">
        <f>[5]基础信息!M314</f>
        <v>100</v>
      </c>
      <c r="X315" s="7">
        <v>311</v>
      </c>
      <c r="Y315" s="7">
        <f>求节点(节奏总纲!D$4:D$163,R$5:R$164,$X315)*6</f>
        <v>42682.994358645854</v>
      </c>
      <c r="Z315" s="7">
        <f>求节点(节奏总纲!E$4:E$163,S$5:S$164,$X315)*6</f>
        <v>43844.575874805356</v>
      </c>
      <c r="AA315" s="7">
        <f>求节点(节奏总纲!F$4:F$163,T$5:T$164,$X315)*6</f>
        <v>45366.81055262663</v>
      </c>
      <c r="AB315" s="7">
        <f>求节点(节奏总纲!G$4:G$163,U$5:U$164,$X315)*6</f>
        <v>47628.333315563883</v>
      </c>
      <c r="AC315" s="7">
        <f>求节点(节奏总纲!H$4:H$163,V$5:V$164,$X315)*6</f>
        <v>51517.366714669959</v>
      </c>
      <c r="AG315" s="7">
        <v>311</v>
      </c>
      <c r="AH315" s="7">
        <v>1</v>
      </c>
      <c r="AI315" s="7">
        <f>[6]实力验证!$Z317</f>
        <v>1.7141765319234308</v>
      </c>
      <c r="AJ315" s="7">
        <f>[6]实力验证!$AE317</f>
        <v>2.9974629006377742</v>
      </c>
      <c r="AK315" s="7">
        <f>[6]实力验证!$AJ317</f>
        <v>8.2103595688292188</v>
      </c>
      <c r="AL315" s="7">
        <f>[6]实力验证!$AO317</f>
        <v>14.809679949807853</v>
      </c>
      <c r="AM315" s="7">
        <f t="shared" si="14"/>
        <v>96.224393664819914</v>
      </c>
    </row>
    <row r="316" spans="2:39" x14ac:dyDescent="0.15">
      <c r="B316" s="7">
        <v>312</v>
      </c>
      <c r="C316" s="7">
        <f>[1]服务器生态!W333</f>
        <v>51.141823991715157</v>
      </c>
      <c r="D316" s="7">
        <f>[1]服务器生态!X333</f>
        <v>50.426306757618676</v>
      </c>
      <c r="E316" s="7">
        <f>[1]服务器生态!Y333</f>
        <v>4.1163140797371156</v>
      </c>
      <c r="F316" s="7">
        <f>[1]服务器生态!Z333</f>
        <v>0.73232136254502056</v>
      </c>
      <c r="G316" s="7">
        <f>[1]服务器生态!AA333</f>
        <v>0.21189247049334362</v>
      </c>
      <c r="H316" s="7">
        <f>[1]服务器生态!AC333</f>
        <v>0.47962550249999997</v>
      </c>
      <c r="I316" s="7">
        <f>[1]服务器生态!AD333</f>
        <v>0.47291513735919999</v>
      </c>
      <c r="J316" s="7">
        <f>[1]服务器生态!AE333</f>
        <v>3.8604200140800002E-2</v>
      </c>
      <c r="K316" s="7">
        <f>[1]服务器生态!AF333</f>
        <v>6.8679600000000019E-3</v>
      </c>
      <c r="L316" s="7">
        <f>[1]服务器生态!AG333</f>
        <v>1.9871999999999997E-3</v>
      </c>
      <c r="M316" s="7">
        <f>[5]基础信息!M315</f>
        <v>100</v>
      </c>
      <c r="X316" s="7">
        <v>312</v>
      </c>
      <c r="Y316" s="7">
        <f>求节点(节奏总纲!D$4:D$163,R$5:R$164,$X316)*6</f>
        <v>42702.070024181339</v>
      </c>
      <c r="Z316" s="7">
        <f>求节点(节奏总纲!E$4:E$163,S$5:S$164,$X316)*6</f>
        <v>43863.541865696105</v>
      </c>
      <c r="AA316" s="7">
        <f>求节点(节奏总纲!F$4:F$163,T$5:T$164,$X316)*6</f>
        <v>45386.219273715185</v>
      </c>
      <c r="AB316" s="7">
        <f>求节点(节奏总纲!G$4:G$163,U$5:U$164,$X316)*6</f>
        <v>47647.336031323139</v>
      </c>
      <c r="AC316" s="7">
        <f>求节点(节奏总纲!H$4:H$163,V$5:V$164,$X316)*6</f>
        <v>51536.649972837709</v>
      </c>
      <c r="AG316" s="7">
        <v>312</v>
      </c>
      <c r="AH316" s="7">
        <v>1</v>
      </c>
      <c r="AI316" s="7">
        <f>[6]实力验证!$Z318</f>
        <v>1.7149851880627769</v>
      </c>
      <c r="AJ316" s="7">
        <f>[6]实力验证!$AE318</f>
        <v>3.0003683280157674</v>
      </c>
      <c r="AK316" s="7">
        <f>[6]实力验证!$AJ318</f>
        <v>8.2078159397958181</v>
      </c>
      <c r="AL316" s="7">
        <f>[6]实力验证!$AO318</f>
        <v>14.780532388174258</v>
      </c>
      <c r="AM316" s="7">
        <f t="shared" si="14"/>
        <v>96.252449999184961</v>
      </c>
    </row>
    <row r="317" spans="2:39" x14ac:dyDescent="0.15">
      <c r="B317" s="7">
        <v>313</v>
      </c>
      <c r="C317" s="7">
        <f>[1]服务器生态!W334</f>
        <v>50.821041941587914</v>
      </c>
      <c r="D317" s="7">
        <f>[1]服务器生态!X334</f>
        <v>50.110012718816414</v>
      </c>
      <c r="E317" s="7">
        <f>[1]服务器生态!Y334</f>
        <v>4.0904949054018473</v>
      </c>
      <c r="F317" s="7">
        <f>[1]服务器生态!Z334</f>
        <v>0.72772794898067017</v>
      </c>
      <c r="G317" s="7">
        <f>[1]服务器生态!AA334</f>
        <v>0.2105633958576327</v>
      </c>
      <c r="H317" s="7">
        <f>[1]服务器生态!AC334</f>
        <v>0.47962550249999997</v>
      </c>
      <c r="I317" s="7">
        <f>[1]服务器生态!AD334</f>
        <v>0.47291513735919999</v>
      </c>
      <c r="J317" s="7">
        <f>[1]服务器生态!AE334</f>
        <v>3.8604200140800002E-2</v>
      </c>
      <c r="K317" s="7">
        <f>[1]服务器生态!AF334</f>
        <v>6.8679600000000019E-3</v>
      </c>
      <c r="L317" s="7">
        <f>[1]服务器生态!AG334</f>
        <v>1.9871999999999997E-3</v>
      </c>
      <c r="M317" s="7">
        <f>[5]基础信息!M316</f>
        <v>100</v>
      </c>
      <c r="X317" s="7">
        <v>313</v>
      </c>
      <c r="Y317" s="7">
        <f>求节点(节奏总纲!D$4:D$163,R$5:R$164,$X317)*6</f>
        <v>42721.145689716825</v>
      </c>
      <c r="Z317" s="7">
        <f>求节点(节奏总纲!E$4:E$163,S$5:S$164,$X317)*6</f>
        <v>43881.400278679685</v>
      </c>
      <c r="AA317" s="7">
        <f>求节点(节奏总纲!F$4:F$163,T$5:T$164,$X317)*6</f>
        <v>45405.541779137187</v>
      </c>
      <c r="AB317" s="7">
        <f>求节点(节奏总纲!G$4:G$163,U$5:U$164,$X317)*6</f>
        <v>47665.367864175656</v>
      </c>
      <c r="AC317" s="7">
        <f>求节点(节奏总纲!H$4:H$163,V$5:V$164,$X317)*6</f>
        <v>51555.933231005452</v>
      </c>
      <c r="AG317" s="7">
        <v>313</v>
      </c>
      <c r="AH317" s="7">
        <v>1</v>
      </c>
      <c r="AI317" s="7">
        <f>[6]实力验证!$Z319</f>
        <v>1.7161924280886534</v>
      </c>
      <c r="AJ317" s="7">
        <f>[6]实力验证!$AE319</f>
        <v>3.0034528057089416</v>
      </c>
      <c r="AK317" s="7">
        <f>[6]实力验证!$AJ319</f>
        <v>8.2056378579887586</v>
      </c>
      <c r="AL317" s="7">
        <f>[6]实力验证!$AO319</f>
        <v>14.751631616652286</v>
      </c>
      <c r="AM317" s="7">
        <f t="shared" si="14"/>
        <v>96.293660488720988</v>
      </c>
    </row>
    <row r="318" spans="2:39" x14ac:dyDescent="0.15">
      <c r="B318" s="7">
        <v>314</v>
      </c>
      <c r="C318" s="7">
        <f>[1]服务器生态!W335</f>
        <v>50.500259891460672</v>
      </c>
      <c r="D318" s="7">
        <f>[1]服务器生态!X335</f>
        <v>49.793718680014152</v>
      </c>
      <c r="E318" s="7">
        <f>[1]服务器生态!Y335</f>
        <v>4.0646757310665791</v>
      </c>
      <c r="F318" s="7">
        <f>[1]服务器生态!Z335</f>
        <v>0.72313453541631967</v>
      </c>
      <c r="G318" s="7">
        <f>[1]服务器生态!AA335</f>
        <v>0.20923432122192176</v>
      </c>
      <c r="H318" s="7">
        <f>[1]服务器生态!AC335</f>
        <v>0.47962550249999997</v>
      </c>
      <c r="I318" s="7">
        <f>[1]服务器生态!AD335</f>
        <v>0.47291513735919999</v>
      </c>
      <c r="J318" s="7">
        <f>[1]服务器生态!AE335</f>
        <v>3.8604200140800002E-2</v>
      </c>
      <c r="K318" s="7">
        <f>[1]服务器生态!AF335</f>
        <v>6.8679600000000019E-3</v>
      </c>
      <c r="L318" s="7">
        <f>[1]服务器生态!AG335</f>
        <v>1.9871999999999997E-3</v>
      </c>
      <c r="M318" s="7">
        <f>[5]基础信息!M317</f>
        <v>100</v>
      </c>
      <c r="X318" s="7">
        <v>314</v>
      </c>
      <c r="Y318" s="7">
        <f>求节点(节奏总纲!D$4:D$163,R$5:R$164,$X318)*6</f>
        <v>42740.221355252317</v>
      </c>
      <c r="Z318" s="7">
        <f>求节点(节奏总纲!E$4:E$163,S$5:S$164,$X318)*6</f>
        <v>43899.258691663257</v>
      </c>
      <c r="AA318" s="7">
        <f>求节点(节奏总纲!F$4:F$163,T$5:T$164,$X318)*6</f>
        <v>45424.030172560422</v>
      </c>
      <c r="AB318" s="7">
        <f>求节点(节奏总纲!G$4:G$163,U$5:U$164,$X318)*6</f>
        <v>47683.399697028173</v>
      </c>
      <c r="AC318" s="7">
        <f>求节点(节奏总纲!H$4:H$163,V$5:V$164,$X318)*6</f>
        <v>51574.742006548782</v>
      </c>
      <c r="AG318" s="7">
        <v>314</v>
      </c>
      <c r="AH318" s="7">
        <v>1</v>
      </c>
      <c r="AI318" s="7">
        <f>[6]实力验证!$Z320</f>
        <v>1.7173894895985387</v>
      </c>
      <c r="AJ318" s="7">
        <f>[6]实力验证!$AE320</f>
        <v>3.0084732306086877</v>
      </c>
      <c r="AK318" s="7">
        <f>[6]实力验证!$AJ320</f>
        <v>8.2034781400861672</v>
      </c>
      <c r="AL318" s="7">
        <f>[6]实力验证!$AO320</f>
        <v>14.722867880339214</v>
      </c>
      <c r="AM318" s="7">
        <f t="shared" si="14"/>
        <v>96.348114276401873</v>
      </c>
    </row>
    <row r="319" spans="2:39" x14ac:dyDescent="0.15">
      <c r="B319" s="7">
        <v>315</v>
      </c>
      <c r="C319" s="7">
        <f>[1]服务器生态!W336</f>
        <v>50.179477841333416</v>
      </c>
      <c r="D319" s="7">
        <f>[1]服务器生态!X336</f>
        <v>49.477424641211876</v>
      </c>
      <c r="E319" s="7">
        <f>[1]服务器生态!Y336</f>
        <v>4.0388565567313099</v>
      </c>
      <c r="F319" s="7">
        <f>[1]服务器生态!Z336</f>
        <v>0.71854112185196906</v>
      </c>
      <c r="G319" s="7">
        <f>[1]服务器生态!AA336</f>
        <v>0.20790524658621079</v>
      </c>
      <c r="H319" s="7">
        <f>[1]服务器生态!AC336</f>
        <v>0.47962550249999997</v>
      </c>
      <c r="I319" s="7">
        <f>[1]服务器生态!AD336</f>
        <v>0.47291513735919999</v>
      </c>
      <c r="J319" s="7">
        <f>[1]服务器生态!AE336</f>
        <v>3.8604200140800002E-2</v>
      </c>
      <c r="K319" s="7">
        <f>[1]服务器生态!AF336</f>
        <v>6.8679600000000019E-3</v>
      </c>
      <c r="L319" s="7">
        <f>[1]服务器生态!AG336</f>
        <v>1.9871999999999997E-3</v>
      </c>
      <c r="M319" s="7">
        <f>[5]基础信息!M318</f>
        <v>100</v>
      </c>
      <c r="X319" s="7">
        <v>315</v>
      </c>
      <c r="Y319" s="7">
        <f>求节点(节奏总纲!D$4:D$163,R$5:R$164,$X319)*6</f>
        <v>42758.249852021632</v>
      </c>
      <c r="Z319" s="7">
        <f>求节点(节奏总纲!E$4:E$163,S$5:S$164,$X319)*6</f>
        <v>43917.117104646837</v>
      </c>
      <c r="AA319" s="7">
        <f>求节点(节奏总纲!F$4:F$163,T$5:T$164,$X319)*6</f>
        <v>45442.51856598365</v>
      </c>
      <c r="AB319" s="7">
        <f>求节点(节奏总纲!G$4:G$163,U$5:U$164,$X319)*6</f>
        <v>47701.431529880691</v>
      </c>
      <c r="AC319" s="7">
        <f>求节点(节奏总纲!H$4:H$163,V$5:V$164,$X319)*6</f>
        <v>51592.943782363756</v>
      </c>
      <c r="AG319" s="7">
        <v>315</v>
      </c>
      <c r="AH319" s="7">
        <v>1</v>
      </c>
      <c r="AI319" s="7">
        <f>[6]实力验证!$Z321</f>
        <v>1.7186024719596902</v>
      </c>
      <c r="AJ319" s="7">
        <f>[6]实力验证!$AE321</f>
        <v>3.0134970442249096</v>
      </c>
      <c r="AK319" s="7">
        <f>[6]实力验证!$AJ321</f>
        <v>8.201460493670794</v>
      </c>
      <c r="AL319" s="7">
        <f>[6]实力验证!$AO321</f>
        <v>14.694431856331203</v>
      </c>
      <c r="AM319" s="7">
        <f t="shared" si="14"/>
        <v>96.403368758377354</v>
      </c>
    </row>
    <row r="320" spans="2:39" x14ac:dyDescent="0.15">
      <c r="B320" s="7">
        <v>316</v>
      </c>
      <c r="C320" s="7">
        <f>[1]服务器生态!W337</f>
        <v>49.858695791206173</v>
      </c>
      <c r="D320" s="7">
        <f>[1]服务器生态!X337</f>
        <v>49.161130602409607</v>
      </c>
      <c r="E320" s="7">
        <f>[1]服务器生态!Y337</f>
        <v>4.0130373823960417</v>
      </c>
      <c r="F320" s="7">
        <f>[1]服务器生态!Z337</f>
        <v>0.71394770828761855</v>
      </c>
      <c r="G320" s="7">
        <f>[1]服务器生态!AA337</f>
        <v>0.20657617195049985</v>
      </c>
      <c r="H320" s="7">
        <f>[1]服务器生态!AC337</f>
        <v>0.47962550249999997</v>
      </c>
      <c r="I320" s="7">
        <f>[1]服务器生态!AD337</f>
        <v>0.47291513735919999</v>
      </c>
      <c r="J320" s="7">
        <f>[1]服务器生态!AE337</f>
        <v>3.8604200140800002E-2</v>
      </c>
      <c r="K320" s="7">
        <f>[1]服务器生态!AF337</f>
        <v>6.8679600000000019E-3</v>
      </c>
      <c r="L320" s="7">
        <f>[1]服务器生态!AG337</f>
        <v>1.9871999999999997E-3</v>
      </c>
      <c r="M320" s="7">
        <f>[5]基础信息!M319</f>
        <v>100</v>
      </c>
      <c r="X320" s="7">
        <v>316</v>
      </c>
      <c r="Y320" s="7">
        <f>求节点(节奏总纲!D$4:D$163,R$5:R$164,$X320)*6</f>
        <v>42776.059337934181</v>
      </c>
      <c r="Z320" s="7">
        <f>求节点(节奏总纲!E$4:E$163,S$5:S$164,$X320)*6</f>
        <v>43934.97551763041</v>
      </c>
      <c r="AA320" s="7">
        <f>求节点(节奏总纲!F$4:F$163,T$5:T$164,$X320)*6</f>
        <v>45461.006959406885</v>
      </c>
      <c r="AB320" s="7">
        <f>求节点(节奏总纲!G$4:G$163,U$5:U$164,$X320)*6</f>
        <v>47719.463362733208</v>
      </c>
      <c r="AC320" s="7">
        <f>求节点(节奏总纲!H$4:H$163,V$5:V$164,$X320)*6</f>
        <v>51611.145558178745</v>
      </c>
      <c r="AG320" s="7">
        <v>316</v>
      </c>
      <c r="AH320" s="7">
        <v>1</v>
      </c>
      <c r="AI320" s="7">
        <f>[6]实力验证!$Z322</f>
        <v>1.7198107621182166</v>
      </c>
      <c r="AJ320" s="7">
        <f>[6]实力验证!$AE322</f>
        <v>3.0184885055462218</v>
      </c>
      <c r="AK320" s="7">
        <f>[6]实力验证!$AJ322</f>
        <v>8.1994854635260666</v>
      </c>
      <c r="AL320" s="7">
        <f>[6]实力验证!$AO322</f>
        <v>14.666278891114851</v>
      </c>
      <c r="AM320" s="7">
        <f t="shared" si="14"/>
        <v>96.458436327584309</v>
      </c>
    </row>
    <row r="321" spans="2:39" x14ac:dyDescent="0.15">
      <c r="B321" s="7">
        <v>317</v>
      </c>
      <c r="C321" s="7">
        <f>[1]服务器生态!W338</f>
        <v>49.537913741078938</v>
      </c>
      <c r="D321" s="7">
        <f>[1]服务器生态!X338</f>
        <v>48.844836563607345</v>
      </c>
      <c r="E321" s="7">
        <f>[1]服务器生态!Y338</f>
        <v>3.987218208060773</v>
      </c>
      <c r="F321" s="7">
        <f>[1]服务器生态!Z338</f>
        <v>0.70935429472326816</v>
      </c>
      <c r="G321" s="7">
        <f>[1]服务器生态!AA338</f>
        <v>0.20524709731478896</v>
      </c>
      <c r="H321" s="7">
        <f>[1]服务器生态!AC338</f>
        <v>0.47962550249999997</v>
      </c>
      <c r="I321" s="7">
        <f>[1]服务器生态!AD338</f>
        <v>0.47291513735919999</v>
      </c>
      <c r="J321" s="7">
        <f>[1]服务器生态!AE338</f>
        <v>3.8604200140800002E-2</v>
      </c>
      <c r="K321" s="7">
        <f>[1]服务器生态!AF338</f>
        <v>6.8679600000000019E-3</v>
      </c>
      <c r="L321" s="7">
        <f>[1]服务器生态!AG338</f>
        <v>1.9871999999999997E-3</v>
      </c>
      <c r="M321" s="7">
        <f>[5]基础信息!M320</f>
        <v>100</v>
      </c>
      <c r="X321" s="7">
        <v>317</v>
      </c>
      <c r="Y321" s="7">
        <f>求节点(节奏总纲!D$4:D$163,R$5:R$164,$X321)*6</f>
        <v>42793.868823846722</v>
      </c>
      <c r="Z321" s="7">
        <f>求节点(节奏总纲!E$4:E$163,S$5:S$164,$X321)*6</f>
        <v>43952.83393061399</v>
      </c>
      <c r="AA321" s="7">
        <f>求节点(节奏总纲!F$4:F$163,T$5:T$164,$X321)*6</f>
        <v>45479.495352830112</v>
      </c>
      <c r="AB321" s="7">
        <f>求节点(节奏总纲!G$4:G$163,U$5:U$164,$X321)*6</f>
        <v>47737.495195585725</v>
      </c>
      <c r="AC321" s="7">
        <f>求节点(节奏总纲!H$4:H$163,V$5:V$164,$X321)*6</f>
        <v>51629.347333993719</v>
      </c>
      <c r="AG321" s="7">
        <v>317</v>
      </c>
      <c r="AH321" s="7">
        <v>1</v>
      </c>
      <c r="AI321" s="7">
        <f>[6]实力验证!$Z323</f>
        <v>1.7210090354117367</v>
      </c>
      <c r="AJ321" s="7">
        <f>[6]实力验证!$AE323</f>
        <v>3.0234385870765239</v>
      </c>
      <c r="AK321" s="7">
        <f>[6]实力验证!$AJ323</f>
        <v>8.1975268066094102</v>
      </c>
      <c r="AL321" s="7">
        <f>[6]实力验证!$AO323</f>
        <v>14.638359317232617</v>
      </c>
      <c r="AM321" s="7">
        <f t="shared" si="14"/>
        <v>96.513047380280653</v>
      </c>
    </row>
    <row r="322" spans="2:39" x14ac:dyDescent="0.15">
      <c r="B322" s="7">
        <v>318</v>
      </c>
      <c r="C322" s="7">
        <f>[1]服务器生态!W339</f>
        <v>49.217131690951689</v>
      </c>
      <c r="D322" s="7">
        <f>[1]服务器生态!X339</f>
        <v>48.528542524805076</v>
      </c>
      <c r="E322" s="7">
        <f>[1]服务器生态!Y339</f>
        <v>3.9613990337255047</v>
      </c>
      <c r="F322" s="7">
        <f>[1]服务器生态!Z339</f>
        <v>0.70476088115891766</v>
      </c>
      <c r="G322" s="7">
        <f>[1]服务器生态!AA339</f>
        <v>0.20391802267907802</v>
      </c>
      <c r="H322" s="7">
        <f>[1]服务器生态!AC339</f>
        <v>0.47962550249999997</v>
      </c>
      <c r="I322" s="7">
        <f>[1]服务器生态!AD339</f>
        <v>0.47291513735919999</v>
      </c>
      <c r="J322" s="7">
        <f>[1]服务器生态!AE339</f>
        <v>3.8604200140800002E-2</v>
      </c>
      <c r="K322" s="7">
        <f>[1]服务器生态!AF339</f>
        <v>6.8679600000000019E-3</v>
      </c>
      <c r="L322" s="7">
        <f>[1]服务器生态!AG339</f>
        <v>1.9871999999999997E-3</v>
      </c>
      <c r="M322" s="7">
        <f>[5]基础信息!M321</f>
        <v>100</v>
      </c>
      <c r="X322" s="7">
        <v>318</v>
      </c>
      <c r="Y322" s="7">
        <f>求节点(节奏总纲!D$4:D$163,R$5:R$164,$X322)*6</f>
        <v>42811.678309759263</v>
      </c>
      <c r="Z322" s="7">
        <f>求节点(节奏总纲!E$4:E$163,S$5:S$164,$X322)*6</f>
        <v>43970.692343597562</v>
      </c>
      <c r="AA322" s="7">
        <f>求节点(节奏总纲!F$4:F$163,T$5:T$164,$X322)*6</f>
        <v>45497.983746253347</v>
      </c>
      <c r="AB322" s="7">
        <f>求节点(节奏总纲!G$4:G$163,U$5:U$164,$X322)*6</f>
        <v>47755.527028438242</v>
      </c>
      <c r="AC322" s="7">
        <f>求节点(节奏总纲!H$4:H$163,V$5:V$164,$X322)*6</f>
        <v>51647.5491098087</v>
      </c>
      <c r="AG322" s="7">
        <v>318</v>
      </c>
      <c r="AH322" s="7">
        <v>1</v>
      </c>
      <c r="AI322" s="7">
        <f>[6]实力验证!$Z324</f>
        <v>1.72219741588752</v>
      </c>
      <c r="AJ322" s="7">
        <f>[6]实力验证!$AE324</f>
        <v>3.0283478012565905</v>
      </c>
      <c r="AK322" s="7">
        <f>[6]实力验证!$AJ324</f>
        <v>8.1955843201573657</v>
      </c>
      <c r="AL322" s="7">
        <f>[6]实力验证!$AO324</f>
        <v>14.610670244403195</v>
      </c>
      <c r="AM322" s="7">
        <f t="shared" si="14"/>
        <v>96.567207569894535</v>
      </c>
    </row>
    <row r="323" spans="2:39" x14ac:dyDescent="0.15">
      <c r="B323" s="7">
        <v>319</v>
      </c>
      <c r="C323" s="7">
        <f>[1]服务器生态!W340</f>
        <v>48.89634964082444</v>
      </c>
      <c r="D323" s="7">
        <f>[1]服务器生态!X340</f>
        <v>48.212248486002807</v>
      </c>
      <c r="E323" s="7">
        <f>[1]服务器生态!Y340</f>
        <v>3.9355798593902356</v>
      </c>
      <c r="F323" s="7">
        <f>[1]服务器生态!Z340</f>
        <v>0.70016746759456716</v>
      </c>
      <c r="G323" s="7">
        <f>[1]服务器生态!AA340</f>
        <v>0.20258894804336705</v>
      </c>
      <c r="H323" s="7">
        <f>[1]服务器生态!AC340</f>
        <v>0.47962550249999997</v>
      </c>
      <c r="I323" s="7">
        <f>[1]服务器生态!AD340</f>
        <v>0.47291513735919999</v>
      </c>
      <c r="J323" s="7">
        <f>[1]服务器生态!AE340</f>
        <v>3.8604200140800002E-2</v>
      </c>
      <c r="K323" s="7">
        <f>[1]服务器生态!AF340</f>
        <v>6.8679600000000019E-3</v>
      </c>
      <c r="L323" s="7">
        <f>[1]服务器生态!AG340</f>
        <v>1.9871999999999997E-3</v>
      </c>
      <c r="M323" s="7">
        <f>[5]基础信息!M322</f>
        <v>100</v>
      </c>
      <c r="X323" s="7">
        <v>319</v>
      </c>
      <c r="Y323" s="7">
        <f>求节点(节奏总纲!D$4:D$163,R$5:R$164,$X323)*6</f>
        <v>42829.487795671805</v>
      </c>
      <c r="Z323" s="7">
        <f>求节点(节奏总纲!E$4:E$163,S$5:S$164,$X323)*6</f>
        <v>43988.550756581142</v>
      </c>
      <c r="AA323" s="7">
        <f>求节点(节奏总纲!F$4:F$163,T$5:T$164,$X323)*6</f>
        <v>45516.472139676582</v>
      </c>
      <c r="AB323" s="7">
        <f>求节点(节奏总纲!G$4:G$163,U$5:U$164,$X323)*6</f>
        <v>47773.55886129076</v>
      </c>
      <c r="AC323" s="7">
        <f>求节点(节奏总纲!H$4:H$163,V$5:V$164,$X323)*6</f>
        <v>51665.750885623675</v>
      </c>
      <c r="AG323" s="7">
        <v>319</v>
      </c>
      <c r="AH323" s="7">
        <v>1</v>
      </c>
      <c r="AI323" s="7">
        <f>[6]实力验证!$Z325</f>
        <v>1.7233760255530124</v>
      </c>
      <c r="AJ323" s="7">
        <f>[6]实力验证!$AE325</f>
        <v>3.033216652100668</v>
      </c>
      <c r="AK323" s="7">
        <f>[6]实力验证!$AJ325</f>
        <v>8.1936578047406936</v>
      </c>
      <c r="AL323" s="7">
        <f>[6]实力验证!$AO325</f>
        <v>14.583208829872815</v>
      </c>
      <c r="AM323" s="7">
        <f t="shared" si="14"/>
        <v>96.620922456889602</v>
      </c>
    </row>
    <row r="324" spans="2:39" x14ac:dyDescent="0.15">
      <c r="B324" s="7">
        <v>320</v>
      </c>
      <c r="C324" s="7">
        <f>[1]服务器生态!W341</f>
        <v>48.57556759069719</v>
      </c>
      <c r="D324" s="7">
        <f>[1]服务器生态!X341</f>
        <v>47.895954447200538</v>
      </c>
      <c r="E324" s="7">
        <f>[1]服务器生态!Y341</f>
        <v>3.9097606850549669</v>
      </c>
      <c r="F324" s="7">
        <f>[1]服务器生态!Z341</f>
        <v>0.69557405403021666</v>
      </c>
      <c r="G324" s="7">
        <f>[1]服务器生态!AA341</f>
        <v>0.20125987340765611</v>
      </c>
      <c r="H324" s="7">
        <f>[1]服务器生态!AC341</f>
        <v>0.47962550249999997</v>
      </c>
      <c r="I324" s="7">
        <f>[1]服务器生态!AD341</f>
        <v>0.47291513735919999</v>
      </c>
      <c r="J324" s="7">
        <f>[1]服务器生态!AE341</f>
        <v>3.8604200140800002E-2</v>
      </c>
      <c r="K324" s="7">
        <f>[1]服务器生态!AF341</f>
        <v>6.8679600000000019E-3</v>
      </c>
      <c r="L324" s="7">
        <f>[1]服务器生态!AG341</f>
        <v>1.9871999999999997E-3</v>
      </c>
      <c r="M324" s="7">
        <f>[5]基础信息!M323</f>
        <v>100</v>
      </c>
      <c r="X324" s="7">
        <v>320</v>
      </c>
      <c r="Y324" s="7">
        <f>求节点(节奏总纲!D$4:D$163,R$5:R$164,$X324)*6</f>
        <v>42847.297281584353</v>
      </c>
      <c r="Z324" s="7">
        <f>求节点(节奏总纲!E$4:E$163,S$5:S$164,$X324)*6</f>
        <v>44006.409169564715</v>
      </c>
      <c r="AA324" s="7">
        <f>求节点(节奏总纲!F$4:F$163,T$5:T$164,$X324)*6</f>
        <v>45534.960533099809</v>
      </c>
      <c r="AB324" s="7">
        <f>求节点(节奏总纲!G$4:G$163,U$5:U$164,$X324)*6</f>
        <v>47791.590694143277</v>
      </c>
      <c r="AC324" s="7">
        <f>求节点(节奏总纲!H$4:H$163,V$5:V$164,$X324)*6</f>
        <v>51683.952661438656</v>
      </c>
      <c r="AG324" s="7">
        <v>320</v>
      </c>
      <c r="AH324" s="7">
        <v>1</v>
      </c>
      <c r="AI324" s="7">
        <f>[6]实力验证!$Z326</f>
        <v>1.7245449844175971</v>
      </c>
      <c r="AJ324" s="7">
        <f>[6]实力验证!$AE326</f>
        <v>3.0380456353689707</v>
      </c>
      <c r="AK324" s="7">
        <f>[6]实力验证!$AJ326</f>
        <v>8.1917470641961252</v>
      </c>
      <c r="AL324" s="7">
        <f>[6]实力验证!$AO326</f>
        <v>14.55597227744229</v>
      </c>
      <c r="AM324" s="7">
        <f t="shared" si="14"/>
        <v>96.674197510668165</v>
      </c>
    </row>
    <row r="325" spans="2:39" x14ac:dyDescent="0.15">
      <c r="B325" s="7">
        <v>321</v>
      </c>
      <c r="C325" s="7">
        <f>[1]服务器生态!W342</f>
        <v>48.254785540569948</v>
      </c>
      <c r="D325" s="7">
        <f>[1]服务器生态!X342</f>
        <v>47.579660408398269</v>
      </c>
      <c r="E325" s="7">
        <f>[1]服务器生态!Y342</f>
        <v>3.8839415107196982</v>
      </c>
      <c r="F325" s="7">
        <f>[1]服务器生态!Z342</f>
        <v>0.69098064046586616</v>
      </c>
      <c r="G325" s="7">
        <f>[1]服务器生态!AA342</f>
        <v>0.1999307987719452</v>
      </c>
      <c r="H325" s="7">
        <f>[1]服务器生态!AC342</f>
        <v>0.47962550249999997</v>
      </c>
      <c r="I325" s="7">
        <f>[1]服务器生态!AD342</f>
        <v>0.47291513735919999</v>
      </c>
      <c r="J325" s="7">
        <f>[1]服务器生态!AE342</f>
        <v>3.8604200140800002E-2</v>
      </c>
      <c r="K325" s="7">
        <f>[1]服务器生态!AF342</f>
        <v>6.8679600000000019E-3</v>
      </c>
      <c r="L325" s="7">
        <f>[1]服务器生态!AG342</f>
        <v>1.9871999999999997E-3</v>
      </c>
      <c r="M325" s="7">
        <f>[5]基础信息!M324</f>
        <v>100</v>
      </c>
      <c r="X325" s="7">
        <v>321</v>
      </c>
      <c r="Y325" s="7">
        <f>求节点(节奏总纲!D$4:D$163,R$5:R$164,$X325)*6</f>
        <v>42865.106767496894</v>
      </c>
      <c r="Z325" s="7">
        <f>求节点(节奏总纲!E$4:E$163,S$5:S$164,$X325)*6</f>
        <v>44024.267582548302</v>
      </c>
      <c r="AA325" s="7">
        <f>求节点(节奏总纲!F$4:F$163,T$5:T$164,$X325)*6</f>
        <v>45553.448926523037</v>
      </c>
      <c r="AB325" s="7">
        <f>求节点(节奏总纲!G$4:G$163,U$5:U$164,$X325)*6</f>
        <v>47809.622526995794</v>
      </c>
      <c r="AC325" s="7">
        <f>求节点(节奏总纲!H$4:H$163,V$5:V$164,$X325)*6</f>
        <v>51702.15443725363</v>
      </c>
      <c r="AG325" s="7">
        <v>321</v>
      </c>
      <c r="AH325" s="7">
        <v>1</v>
      </c>
      <c r="AI325" s="7">
        <f>[6]实力验证!$Z327</f>
        <v>1.7257044105333244</v>
      </c>
      <c r="AJ325" s="7">
        <f>[6]实力验证!$AE327</f>
        <v>3.0428352387359561</v>
      </c>
      <c r="AK325" s="7">
        <f>[6]实力验证!$AJ327</f>
        <v>8.1898519055597774</v>
      </c>
      <c r="AL325" s="7">
        <f>[6]实力验证!$AO327</f>
        <v>14.528957836517927</v>
      </c>
      <c r="AM325" s="7">
        <f t="shared" ref="AM325:AM364" si="15">AH325*H325*$M325*AH$2+AI325*I325*$M325*AI$2+AJ325*J325*$M325*AJ$2+AK325*K325*$M325*AK$2+AL325*L325*$M325*AL$2</f>
        <v>96.727038111427547</v>
      </c>
    </row>
    <row r="326" spans="2:39" x14ac:dyDescent="0.15">
      <c r="B326" s="7">
        <v>322</v>
      </c>
      <c r="C326" s="7">
        <f>[1]服务器生态!W343</f>
        <v>47.934003490442706</v>
      </c>
      <c r="D326" s="7">
        <f>[1]服务器生态!X343</f>
        <v>47.263366369596007</v>
      </c>
      <c r="E326" s="7">
        <f>[1]服务器生态!Y343</f>
        <v>3.8581223363844299</v>
      </c>
      <c r="F326" s="7">
        <f>[1]服务器生态!Z343</f>
        <v>0.68638722690151577</v>
      </c>
      <c r="G326" s="7">
        <f>[1]服务器生态!AA343</f>
        <v>0.19860172413623428</v>
      </c>
      <c r="H326" s="7">
        <f>[1]服务器生态!AC343</f>
        <v>0.47962550249999997</v>
      </c>
      <c r="I326" s="7">
        <f>[1]服务器生态!AD343</f>
        <v>0.47291513735919999</v>
      </c>
      <c r="J326" s="7">
        <f>[1]服务器生态!AE343</f>
        <v>3.8604200140800002E-2</v>
      </c>
      <c r="K326" s="7">
        <f>[1]服务器生态!AF343</f>
        <v>6.8679600000000019E-3</v>
      </c>
      <c r="L326" s="7">
        <f>[1]服务器生态!AG343</f>
        <v>1.9871999999999997E-3</v>
      </c>
      <c r="M326" s="7">
        <f>[5]基础信息!M325</f>
        <v>100</v>
      </c>
      <c r="X326" s="7">
        <v>322</v>
      </c>
      <c r="Y326" s="7">
        <f>求节点(节奏总纲!D$4:D$163,R$5:R$164,$X326)*6</f>
        <v>42882.916253409436</v>
      </c>
      <c r="Z326" s="7">
        <f>求节点(节奏总纲!E$4:E$163,S$5:S$164,$X326)*6</f>
        <v>44042.125995531875</v>
      </c>
      <c r="AA326" s="7">
        <f>求节点(节奏总纲!F$4:F$163,T$5:T$164,$X326)*6</f>
        <v>45571.937319946264</v>
      </c>
      <c r="AB326" s="7">
        <f>求节点(节奏总纲!G$4:G$163,U$5:U$164,$X326)*6</f>
        <v>47827.654359848311</v>
      </c>
      <c r="AC326" s="7">
        <f>求节点(节奏总纲!H$4:H$163,V$5:V$164,$X326)*6</f>
        <v>51720.356213068619</v>
      </c>
      <c r="AG326" s="7">
        <v>322</v>
      </c>
      <c r="AH326" s="7">
        <v>1</v>
      </c>
      <c r="AI326" s="7">
        <f>[6]实力验证!$Z328</f>
        <v>1.7268544200346587</v>
      </c>
      <c r="AJ326" s="7">
        <f>[6]实力验证!$AE328</f>
        <v>3.0475859419545035</v>
      </c>
      <c r="AK326" s="7">
        <f>[6]实力验证!$AJ328</f>
        <v>8.1879721390021913</v>
      </c>
      <c r="AL326" s="7">
        <f>[6]实力验证!$AO328</f>
        <v>14.502162801185506</v>
      </c>
      <c r="AM326" s="7">
        <f t="shared" si="15"/>
        <v>96.779449551971439</v>
      </c>
    </row>
    <row r="327" spans="2:39" x14ac:dyDescent="0.15">
      <c r="B327" s="7">
        <v>323</v>
      </c>
      <c r="C327" s="7">
        <f>[1]服务器生态!W344</f>
        <v>47.613221440315456</v>
      </c>
      <c r="D327" s="7">
        <f>[1]服务器生态!X344</f>
        <v>46.947072330793738</v>
      </c>
      <c r="E327" s="7">
        <f>[1]服务器生态!Y344</f>
        <v>3.8323031620491608</v>
      </c>
      <c r="F327" s="7">
        <f>[1]服务器生态!Z344</f>
        <v>0.68179381333716516</v>
      </c>
      <c r="G327" s="7">
        <f>[1]服务器生态!AA344</f>
        <v>0.19727264950052331</v>
      </c>
      <c r="H327" s="7">
        <f>[1]服务器生态!AC344</f>
        <v>0.47962550249999997</v>
      </c>
      <c r="I327" s="7">
        <f>[1]服务器生态!AD344</f>
        <v>0.47291513735919999</v>
      </c>
      <c r="J327" s="7">
        <f>[1]服务器生态!AE344</f>
        <v>3.8604200140800002E-2</v>
      </c>
      <c r="K327" s="7">
        <f>[1]服务器生态!AF344</f>
        <v>6.8679600000000019E-3</v>
      </c>
      <c r="L327" s="7">
        <f>[1]服务器生态!AG344</f>
        <v>1.9871999999999997E-3</v>
      </c>
      <c r="M327" s="7">
        <f>[5]基础信息!M326</f>
        <v>100</v>
      </c>
      <c r="X327" s="7">
        <v>323</v>
      </c>
      <c r="Y327" s="7">
        <f>求节点(节奏总纲!D$4:D$163,R$5:R$164,$X327)*6</f>
        <v>42900.725739321977</v>
      </c>
      <c r="Z327" s="7">
        <f>求节点(节奏总纲!E$4:E$163,S$5:S$164,$X327)*6</f>
        <v>44059.984408515447</v>
      </c>
      <c r="AA327" s="7">
        <f>求节点(节奏总纲!F$4:F$163,T$5:T$164,$X327)*6</f>
        <v>45590.425713369499</v>
      </c>
      <c r="AB327" s="7">
        <f>求节点(节奏总纲!G$4:G$163,U$5:U$164,$X327)*6</f>
        <v>47845.686192700829</v>
      </c>
      <c r="AC327" s="7">
        <f>求节点(节奏总纲!H$4:H$163,V$5:V$164,$X327)*6</f>
        <v>51738.557988883593</v>
      </c>
      <c r="AG327" s="7">
        <v>323</v>
      </c>
      <c r="AH327" s="7">
        <v>1</v>
      </c>
      <c r="AI327" s="7">
        <f>[6]实力验证!$Z329</f>
        <v>1.7279951271772536</v>
      </c>
      <c r="AJ327" s="7">
        <f>[6]实力验证!$AE329</f>
        <v>3.0522982170161086</v>
      </c>
      <c r="AK327" s="7">
        <f>[6]实力验证!$AJ329</f>
        <v>8.1861075777649503</v>
      </c>
      <c r="AL327" s="7">
        <f>[6]实力验证!$AO329</f>
        <v>14.475584509306769</v>
      </c>
      <c r="AM327" s="7">
        <f t="shared" si="15"/>
        <v>96.83143703947718</v>
      </c>
    </row>
    <row r="328" spans="2:39" x14ac:dyDescent="0.15">
      <c r="B328" s="7">
        <v>324</v>
      </c>
      <c r="C328" s="7">
        <f>[1]服务器生态!W345</f>
        <v>47.292439390188207</v>
      </c>
      <c r="D328" s="7">
        <f>[1]服务器生态!X345</f>
        <v>46.630778291991469</v>
      </c>
      <c r="E328" s="7">
        <f>[1]服务器生态!Y345</f>
        <v>3.8064839877138921</v>
      </c>
      <c r="F328" s="7">
        <f>[1]服务器生态!Z345</f>
        <v>0.67720039977281465</v>
      </c>
      <c r="G328" s="7">
        <f>[1]服务器生态!AA345</f>
        <v>0.19594357486481237</v>
      </c>
      <c r="H328" s="7">
        <f>[1]服务器生态!AC345</f>
        <v>0.47962550249999997</v>
      </c>
      <c r="I328" s="7">
        <f>[1]服务器生态!AD345</f>
        <v>0.47291513735919999</v>
      </c>
      <c r="J328" s="7">
        <f>[1]服务器生态!AE345</f>
        <v>3.8604200140800002E-2</v>
      </c>
      <c r="K328" s="7">
        <f>[1]服务器生态!AF345</f>
        <v>6.8679600000000019E-3</v>
      </c>
      <c r="L328" s="7">
        <f>[1]服务器生态!AG345</f>
        <v>1.9871999999999997E-3</v>
      </c>
      <c r="M328" s="7">
        <f>[5]基础信息!M327</f>
        <v>100</v>
      </c>
      <c r="X328" s="7">
        <v>324</v>
      </c>
      <c r="Y328" s="7">
        <f>求节点(节奏总纲!D$4:D$163,R$5:R$164,$X328)*6</f>
        <v>42918.535225234526</v>
      </c>
      <c r="Z328" s="7">
        <f>求节点(节奏总纲!E$4:E$163,S$5:S$164,$X328)*6</f>
        <v>44077.842821499027</v>
      </c>
      <c r="AA328" s="7">
        <f>求节点(节奏总纲!F$4:F$163,T$5:T$164,$X328)*6</f>
        <v>45608.914106792727</v>
      </c>
      <c r="AB328" s="7">
        <f>求节点(节奏总纲!G$4:G$163,U$5:U$164,$X328)*6</f>
        <v>47863.718025553346</v>
      </c>
      <c r="AC328" s="7">
        <f>求节点(节奏总纲!H$4:H$163,V$5:V$164,$X328)*6</f>
        <v>51756.759764698581</v>
      </c>
      <c r="AG328" s="7">
        <v>324</v>
      </c>
      <c r="AH328" s="7">
        <v>1</v>
      </c>
      <c r="AI328" s="7">
        <f>[6]实力验证!$Z330</f>
        <v>1.7291266443757949</v>
      </c>
      <c r="AJ328" s="7">
        <f>[6]实力验证!$AE330</f>
        <v>3.0569725283072033</v>
      </c>
      <c r="AK328" s="7">
        <f>[6]实力验证!$AJ330</f>
        <v>8.1842580380988146</v>
      </c>
      <c r="AL328" s="7">
        <f>[6]实力验证!$AO330</f>
        <v>14.449220341637739</v>
      </c>
      <c r="AM328" s="7">
        <f t="shared" si="15"/>
        <v>96.883005697220383</v>
      </c>
    </row>
    <row r="329" spans="2:39" x14ac:dyDescent="0.15">
      <c r="B329" s="7">
        <v>325</v>
      </c>
      <c r="C329" s="7">
        <f>[1]服务器生态!W346</f>
        <v>46.971657340060965</v>
      </c>
      <c r="D329" s="7">
        <f>[1]服务器生态!X346</f>
        <v>46.3144842531892</v>
      </c>
      <c r="E329" s="7">
        <f>[1]服务器生态!Y346</f>
        <v>3.7806648133786234</v>
      </c>
      <c r="F329" s="7">
        <f>[1]服务器生态!Z346</f>
        <v>0.67260698620846426</v>
      </c>
      <c r="G329" s="7">
        <f>[1]服务器生态!AA346</f>
        <v>0.19461450022910143</v>
      </c>
      <c r="H329" s="7">
        <f>[1]服务器生态!AC346</f>
        <v>0.47962550249999997</v>
      </c>
      <c r="I329" s="7">
        <f>[1]服务器生态!AD346</f>
        <v>0.47291513735919999</v>
      </c>
      <c r="J329" s="7">
        <f>[1]服务器生态!AE346</f>
        <v>3.8604200140800002E-2</v>
      </c>
      <c r="K329" s="7">
        <f>[1]服务器生态!AF346</f>
        <v>6.8679600000000019E-3</v>
      </c>
      <c r="L329" s="7">
        <f>[1]服务器生态!AG346</f>
        <v>1.9871999999999997E-3</v>
      </c>
      <c r="M329" s="7">
        <f>[5]基础信息!M328</f>
        <v>100</v>
      </c>
      <c r="X329" s="7">
        <v>325</v>
      </c>
      <c r="Y329" s="7">
        <f>求节点(节奏总纲!D$4:D$163,R$5:R$164,$X329)*6</f>
        <v>42936.344711147067</v>
      </c>
      <c r="Z329" s="7">
        <f>求节点(节奏总纲!E$4:E$163,S$5:S$164,$X329)*6</f>
        <v>44095.701234482607</v>
      </c>
      <c r="AA329" s="7">
        <f>求节点(节奏总纲!F$4:F$163,T$5:T$164,$X329)*6</f>
        <v>45627.402500215961</v>
      </c>
      <c r="AB329" s="7">
        <f>求节点(节奏总纲!G$4:G$163,U$5:U$164,$X329)*6</f>
        <v>47881.749858405863</v>
      </c>
      <c r="AC329" s="7">
        <f>求节点(节奏总纲!H$4:H$163,V$5:V$164,$X329)*6</f>
        <v>51774.961540513556</v>
      </c>
      <c r="AG329" s="7">
        <v>325</v>
      </c>
      <c r="AH329" s="7">
        <v>1</v>
      </c>
      <c r="AI329" s="7">
        <f>[6]实力验证!$Z331</f>
        <v>1.7302490822409289</v>
      </c>
      <c r="AJ329" s="7">
        <f>[6]实力验证!$AE331</f>
        <v>3.0616093327617113</v>
      </c>
      <c r="AK329" s="7">
        <f>[6]实力验证!$AJ331</f>
        <v>8.1824233392033729</v>
      </c>
      <c r="AL329" s="7">
        <f>[6]实力验证!$AO331</f>
        <v>14.423067720968236</v>
      </c>
      <c r="AM329" s="7">
        <f t="shared" si="15"/>
        <v>96.93416056625793</v>
      </c>
    </row>
    <row r="330" spans="2:39" x14ac:dyDescent="0.15">
      <c r="B330" s="7">
        <v>326</v>
      </c>
      <c r="C330" s="7">
        <f>[1]服务器生态!W347</f>
        <v>46.650875289933715</v>
      </c>
      <c r="D330" s="7">
        <f>[1]服务器生态!X347</f>
        <v>45.998190214386923</v>
      </c>
      <c r="E330" s="7">
        <f>[1]服务器生态!Y347</f>
        <v>3.7548456390433542</v>
      </c>
      <c r="F330" s="7">
        <f>[1]服务器生态!Z347</f>
        <v>0.66801357264411365</v>
      </c>
      <c r="G330" s="7">
        <f>[1]服务器生态!AA347</f>
        <v>0.19328542559339049</v>
      </c>
      <c r="H330" s="7">
        <f>[1]服务器生态!AC347</f>
        <v>0.47962550249999997</v>
      </c>
      <c r="I330" s="7">
        <f>[1]服务器生态!AD347</f>
        <v>0.47291513735919999</v>
      </c>
      <c r="J330" s="7">
        <f>[1]服务器生态!AE347</f>
        <v>3.8604200140800002E-2</v>
      </c>
      <c r="K330" s="7">
        <f>[1]服务器生态!AF347</f>
        <v>6.8679600000000019E-3</v>
      </c>
      <c r="L330" s="7">
        <f>[1]服务器生态!AG347</f>
        <v>1.9871999999999997E-3</v>
      </c>
      <c r="M330" s="7">
        <f>[5]基础信息!M329</f>
        <v>100</v>
      </c>
      <c r="X330" s="7">
        <v>326</v>
      </c>
      <c r="Y330" s="7">
        <f>求节点(节奏总纲!D$4:D$163,R$5:R$164,$X330)*6</f>
        <v>42954.154197059608</v>
      </c>
      <c r="Z330" s="7">
        <f>求节点(节奏总纲!E$4:E$163,S$5:S$164,$X330)*6</f>
        <v>44113.55964746618</v>
      </c>
      <c r="AA330" s="7">
        <f>求节点(节奏总纲!F$4:F$163,T$5:T$164,$X330)*6</f>
        <v>45645.890893639196</v>
      </c>
      <c r="AB330" s="7">
        <f>求节点(节奏总纲!G$4:G$163,U$5:U$164,$X330)*6</f>
        <v>47899.78169125838</v>
      </c>
      <c r="AC330" s="7">
        <f>求节点(节奏总纲!H$4:H$163,V$5:V$164,$X330)*6</f>
        <v>51793.16331632853</v>
      </c>
      <c r="AG330" s="7">
        <v>326</v>
      </c>
      <c r="AH330" s="7">
        <v>1</v>
      </c>
      <c r="AI330" s="7">
        <f>[6]实力验证!$Z332</f>
        <v>1.7313625496153084</v>
      </c>
      <c r="AJ330" s="7">
        <f>[6]实力验证!$AE332</f>
        <v>3.0662090800099522</v>
      </c>
      <c r="AK330" s="7">
        <f>[6]实力验证!$AJ332</f>
        <v>8.1806033031681125</v>
      </c>
      <c r="AL330" s="7">
        <f>[6]实力验证!$AO332</f>
        <v>14.39712411128207</v>
      </c>
      <c r="AM330" s="7">
        <f t="shared" si="15"/>
        <v>96.984906607070783</v>
      </c>
    </row>
    <row r="331" spans="2:39" x14ac:dyDescent="0.15">
      <c r="B331" s="7">
        <v>327</v>
      </c>
      <c r="C331" s="7">
        <f>[1]服务器生态!W348</f>
        <v>46.330093239806473</v>
      </c>
      <c r="D331" s="7">
        <f>[1]服务器生态!X348</f>
        <v>45.681896175584662</v>
      </c>
      <c r="E331" s="7">
        <f>[1]服务器生态!Y348</f>
        <v>3.7290264647080864</v>
      </c>
      <c r="F331" s="7">
        <f>[1]服务器生态!Z348</f>
        <v>0.66342015907976326</v>
      </c>
      <c r="G331" s="7">
        <f>[1]服务器生态!AA348</f>
        <v>0.19195635095767957</v>
      </c>
      <c r="H331" s="7">
        <f>[1]服务器生态!AC348</f>
        <v>0.47962550249999997</v>
      </c>
      <c r="I331" s="7">
        <f>[1]服务器生态!AD348</f>
        <v>0.47291513735919999</v>
      </c>
      <c r="J331" s="7">
        <f>[1]服务器生态!AE348</f>
        <v>3.8604200140800002E-2</v>
      </c>
      <c r="K331" s="7">
        <f>[1]服务器生态!AF348</f>
        <v>6.8679600000000019E-3</v>
      </c>
      <c r="L331" s="7">
        <f>[1]服务器生态!AG348</f>
        <v>1.9871999999999997E-3</v>
      </c>
      <c r="M331" s="7">
        <f>[5]基础信息!M330</f>
        <v>100</v>
      </c>
      <c r="X331" s="7">
        <v>327</v>
      </c>
      <c r="Y331" s="7">
        <f>求节点(节奏总纲!D$4:D$163,R$5:R$164,$X331)*6</f>
        <v>42971.963682972149</v>
      </c>
      <c r="Z331" s="7">
        <f>求节点(节奏总纲!E$4:E$163,S$5:S$164,$X331)*6</f>
        <v>44131.418060449752</v>
      </c>
      <c r="AA331" s="7">
        <f>求节点(节奏总纲!F$4:F$163,T$5:T$164,$X331)*6</f>
        <v>45664.379287062424</v>
      </c>
      <c r="AB331" s="7">
        <f>求节点(节奏总纲!G$4:G$163,U$5:U$164,$X331)*6</f>
        <v>47917.813524110898</v>
      </c>
      <c r="AC331" s="7">
        <f>求节点(节奏总纲!H$4:H$163,V$5:V$164,$X331)*6</f>
        <v>51811.365092143511</v>
      </c>
      <c r="AG331" s="7">
        <v>327</v>
      </c>
      <c r="AH331" s="7">
        <v>1</v>
      </c>
      <c r="AI331" s="7">
        <f>[6]实力验证!$Z333</f>
        <v>1.7324671536087759</v>
      </c>
      <c r="AJ331" s="7">
        <f>[6]实力验证!$AE333</f>
        <v>3.0707722125239858</v>
      </c>
      <c r="AK331" s="7">
        <f>[6]实力验证!$AJ333</f>
        <v>8.178797754914914</v>
      </c>
      <c r="AL331" s="7">
        <f>[6]实力验证!$AO333</f>
        <v>14.371387016937238</v>
      </c>
      <c r="AM331" s="7">
        <f t="shared" si="15"/>
        <v>97.03524870116739</v>
      </c>
    </row>
    <row r="332" spans="2:39" x14ac:dyDescent="0.15">
      <c r="B332" s="7">
        <v>328</v>
      </c>
      <c r="C332" s="7">
        <f>[1]服务器生态!W349</f>
        <v>46.009311189679231</v>
      </c>
      <c r="D332" s="7">
        <f>[1]服务器生态!X349</f>
        <v>45.3656021367824</v>
      </c>
      <c r="E332" s="7">
        <f>[1]服务器生态!Y349</f>
        <v>3.7032072903728177</v>
      </c>
      <c r="F332" s="7">
        <f>[1]服务器生态!Z349</f>
        <v>0.65882674551541276</v>
      </c>
      <c r="G332" s="7">
        <f>[1]服务器生态!AA349</f>
        <v>0.19062727632196863</v>
      </c>
      <c r="H332" s="7">
        <f>[1]服务器生态!AC349</f>
        <v>0.47962550249999997</v>
      </c>
      <c r="I332" s="7">
        <f>[1]服务器生态!AD349</f>
        <v>0.47291513735919999</v>
      </c>
      <c r="J332" s="7">
        <f>[1]服务器生态!AE349</f>
        <v>3.8604200140800002E-2</v>
      </c>
      <c r="K332" s="7">
        <f>[1]服务器生态!AF349</f>
        <v>6.8679600000000019E-3</v>
      </c>
      <c r="L332" s="7">
        <f>[1]服务器生态!AG349</f>
        <v>1.9871999999999997E-3</v>
      </c>
      <c r="M332" s="7">
        <f>[5]基础信息!M331</f>
        <v>100</v>
      </c>
      <c r="X332" s="7">
        <v>328</v>
      </c>
      <c r="Y332" s="7">
        <f>求节点(节奏总纲!D$4:D$163,R$5:R$164,$X332)*6</f>
        <v>42989.773168884691</v>
      </c>
      <c r="Z332" s="7">
        <f>求节点(节奏总纲!E$4:E$163,S$5:S$164,$X332)*6</f>
        <v>44149.276473433332</v>
      </c>
      <c r="AA332" s="7">
        <f>求节点(节奏总纲!F$4:F$163,T$5:T$164,$X332)*6</f>
        <v>45682.867680485651</v>
      </c>
      <c r="AB332" s="7">
        <f>求节点(节奏总纲!G$4:G$163,U$5:U$164,$X332)*6</f>
        <v>47935.845356963415</v>
      </c>
      <c r="AC332" s="7">
        <f>求节点(节奏总纲!H$4:H$163,V$5:V$164,$X332)*6</f>
        <v>51829.566867958485</v>
      </c>
      <c r="AG332" s="7">
        <v>328</v>
      </c>
      <c r="AH332" s="7">
        <v>1</v>
      </c>
      <c r="AI332" s="7">
        <f>[6]实力验证!$Z334</f>
        <v>1.7335629996327095</v>
      </c>
      <c r="AJ332" s="7">
        <f>[6]实力验证!$AE334</f>
        <v>3.0752991657594988</v>
      </c>
      <c r="AK332" s="7">
        <f>[6]实力验证!$AJ334</f>
        <v>8.1770065221419124</v>
      </c>
      <c r="AL332" s="7">
        <f>[6]实力验证!$AO334</f>
        <v>14.345853981865671</v>
      </c>
      <c r="AM332" s="7">
        <f t="shared" si="15"/>
        <v>97.085191652649115</v>
      </c>
    </row>
    <row r="333" spans="2:39" x14ac:dyDescent="0.15">
      <c r="B333" s="7">
        <v>329</v>
      </c>
      <c r="C333" s="7">
        <f>[1]服务器生态!W350</f>
        <v>45.688529139551981</v>
      </c>
      <c r="D333" s="7">
        <f>[1]服务器生态!X350</f>
        <v>45.049308097980131</v>
      </c>
      <c r="E333" s="7">
        <f>[1]服务器生态!Y350</f>
        <v>3.677388116037549</v>
      </c>
      <c r="F333" s="7">
        <f>[1]服务器生态!Z350</f>
        <v>0.65423333195106226</v>
      </c>
      <c r="G333" s="7">
        <f>[1]服务器生态!AA350</f>
        <v>0.18929820168625769</v>
      </c>
      <c r="H333" s="7">
        <f>[1]服务器生态!AC350</f>
        <v>0.47962550249999997</v>
      </c>
      <c r="I333" s="7">
        <f>[1]服务器生态!AD350</f>
        <v>0.47291513735919999</v>
      </c>
      <c r="J333" s="7">
        <f>[1]服务器生态!AE350</f>
        <v>3.8604200140800002E-2</v>
      </c>
      <c r="K333" s="7">
        <f>[1]服务器生态!AF350</f>
        <v>6.8679600000000019E-3</v>
      </c>
      <c r="L333" s="7">
        <f>[1]服务器生态!AG350</f>
        <v>1.9871999999999997E-3</v>
      </c>
      <c r="M333" s="7">
        <f>[5]基础信息!M332</f>
        <v>100</v>
      </c>
      <c r="X333" s="7">
        <v>329</v>
      </c>
      <c r="Y333" s="7">
        <f>求节点(节奏总纲!D$4:D$163,R$5:R$164,$X333)*6</f>
        <v>43007.582654797239</v>
      </c>
      <c r="Z333" s="7">
        <f>求节点(节奏总纲!E$4:E$163,S$5:S$164,$X333)*6</f>
        <v>44167.134886416912</v>
      </c>
      <c r="AA333" s="7">
        <f>求节点(节奏总纲!F$4:F$163,T$5:T$164,$X333)*6</f>
        <v>45701.356073908886</v>
      </c>
      <c r="AB333" s="7">
        <f>求节点(节奏总纲!G$4:G$163,U$5:U$164,$X333)*6</f>
        <v>47953.877189815932</v>
      </c>
      <c r="AC333" s="7">
        <f>求节点(节奏总纲!H$4:H$163,V$5:V$164,$X333)*6</f>
        <v>51847.768643773466</v>
      </c>
      <c r="AG333" s="7">
        <v>329</v>
      </c>
      <c r="AH333" s="7">
        <v>1</v>
      </c>
      <c r="AI333" s="7">
        <f>[6]实力验证!$Z335</f>
        <v>1.7346501914335586</v>
      </c>
      <c r="AJ333" s="7">
        <f>[6]实力验证!$AE335</f>
        <v>3.0797903682943302</v>
      </c>
      <c r="AK333" s="7">
        <f>[6]实力验证!$AJ335</f>
        <v>8.1752294352686778</v>
      </c>
      <c r="AL333" s="7">
        <f>[6]实力验证!$AO335</f>
        <v>14.320522588791905</v>
      </c>
      <c r="AM333" s="7">
        <f t="shared" si="15"/>
        <v>97.134740189738508</v>
      </c>
    </row>
    <row r="334" spans="2:39" x14ac:dyDescent="0.15">
      <c r="B334" s="7">
        <v>330</v>
      </c>
      <c r="C334" s="7">
        <f>[1]服务器生态!W351</f>
        <v>45.367747089424732</v>
      </c>
      <c r="D334" s="7">
        <f>[1]服务器生态!X351</f>
        <v>44.733014059177854</v>
      </c>
      <c r="E334" s="7">
        <f>[1]服务器生态!Y351</f>
        <v>3.6515689417022799</v>
      </c>
      <c r="F334" s="7">
        <f>[1]服务器生态!Z351</f>
        <v>0.64963991838671165</v>
      </c>
      <c r="G334" s="7">
        <f>[1]服务器生态!AA351</f>
        <v>0.18796912705054672</v>
      </c>
      <c r="H334" s="7">
        <f>[1]服务器生态!AC351</f>
        <v>0.47962550249999997</v>
      </c>
      <c r="I334" s="7">
        <f>[1]服务器生态!AD351</f>
        <v>0.47291513735919999</v>
      </c>
      <c r="J334" s="7">
        <f>[1]服务器生态!AE351</f>
        <v>3.8604200140800002E-2</v>
      </c>
      <c r="K334" s="7">
        <f>[1]服务器生态!AF351</f>
        <v>6.8679600000000019E-3</v>
      </c>
      <c r="L334" s="7">
        <f>[1]服务器生态!AG351</f>
        <v>1.9871999999999997E-3</v>
      </c>
      <c r="M334" s="7">
        <f>[5]基础信息!M333</f>
        <v>100</v>
      </c>
      <c r="X334" s="7">
        <v>330</v>
      </c>
      <c r="Y334" s="7">
        <f>求节点(节奏总纲!D$4:D$163,R$5:R$164,$X334)*6</f>
        <v>43025.392140709781</v>
      </c>
      <c r="Z334" s="7">
        <f>求节点(节奏总纲!E$4:E$163,S$5:S$164,$X334)*6</f>
        <v>44184.993299400485</v>
      </c>
      <c r="AA334" s="7">
        <f>求节点(节奏总纲!F$4:F$163,T$5:T$164,$X334)*6</f>
        <v>45719.844467332121</v>
      </c>
      <c r="AB334" s="7">
        <f>求节点(节奏总纲!G$4:G$163,U$5:U$164,$X334)*6</f>
        <v>47971.909022668449</v>
      </c>
      <c r="AC334" s="7">
        <f>求节点(节奏总纲!H$4:H$163,V$5:V$164,$X334)*6</f>
        <v>51865.970419588441</v>
      </c>
      <c r="AG334" s="7">
        <v>330</v>
      </c>
      <c r="AH334" s="7">
        <v>1</v>
      </c>
      <c r="AI334" s="7">
        <f>[6]实力验证!$Z336</f>
        <v>1.7357288311255823</v>
      </c>
      <c r="AJ334" s="7">
        <f>[6]实力验证!$AE336</f>
        <v>3.0842462419637271</v>
      </c>
      <c r="AK334" s="7">
        <f>[6]实力验证!$AJ336</f>
        <v>8.1734663273827</v>
      </c>
      <c r="AL334" s="7">
        <f>[6]实力验证!$AO336</f>
        <v>14.295390458470187</v>
      </c>
      <c r="AM334" s="7">
        <f t="shared" si="15"/>
        <v>97.1838989662714</v>
      </c>
    </row>
    <row r="335" spans="2:39" x14ac:dyDescent="0.15">
      <c r="B335" s="7">
        <v>331</v>
      </c>
      <c r="C335" s="7">
        <f>[1]服务器生态!W352</f>
        <v>45.10310189806976</v>
      </c>
      <c r="D335" s="7">
        <f>[1]服务器生态!X352</f>
        <v>44.47207147716599</v>
      </c>
      <c r="E335" s="7">
        <f>[1]服务器生态!Y352</f>
        <v>3.6302681228756835</v>
      </c>
      <c r="F335" s="7">
        <f>[1]服务器生态!Z352</f>
        <v>0.64585035219612263</v>
      </c>
      <c r="G335" s="7">
        <f>[1]服务器生态!AA352</f>
        <v>0.18687264047608523</v>
      </c>
      <c r="H335" s="7">
        <f>[1]服务器生态!AC352</f>
        <v>0.47962550249999997</v>
      </c>
      <c r="I335" s="7">
        <f>[1]服务器生态!AD352</f>
        <v>0.47291513735919999</v>
      </c>
      <c r="J335" s="7">
        <f>[1]服务器生态!AE352</f>
        <v>3.8604200140800002E-2</v>
      </c>
      <c r="K335" s="7">
        <f>[1]服务器生态!AF352</f>
        <v>6.8679600000000019E-3</v>
      </c>
      <c r="L335" s="7">
        <f>[1]服务器生态!AG352</f>
        <v>1.9871999999999997E-3</v>
      </c>
      <c r="M335" s="7">
        <f>[5]基础信息!M334</f>
        <v>100</v>
      </c>
      <c r="X335" s="7">
        <v>331</v>
      </c>
      <c r="Y335" s="7">
        <f>求节点(节奏总纲!D$4:D$163,R$5:R$164,$X335)*6</f>
        <v>43043.201626622322</v>
      </c>
      <c r="Z335" s="7">
        <f>求节点(节奏总纲!E$4:E$163,S$5:S$164,$X335)*6</f>
        <v>44202.851712384057</v>
      </c>
      <c r="AA335" s="7">
        <f>求节点(节奏总纲!F$4:F$163,T$5:T$164,$X335)*6</f>
        <v>45738.332860755349</v>
      </c>
      <c r="AB335" s="7">
        <f>求节点(节奏总纲!G$4:G$163,U$5:U$164,$X335)*6</f>
        <v>47989.940855520967</v>
      </c>
      <c r="AC335" s="7">
        <f>求节点(节奏总纲!H$4:H$163,V$5:V$164,$X335)*6</f>
        <v>51884.172195403429</v>
      </c>
      <c r="AG335" s="7">
        <v>331</v>
      </c>
      <c r="AH335" s="7">
        <v>1</v>
      </c>
      <c r="AI335" s="7">
        <f>[6]实力验证!$Z337</f>
        <v>1.7367990192228258</v>
      </c>
      <c r="AJ335" s="7">
        <f>[6]实力验证!$AE337</f>
        <v>3.0886672019924295</v>
      </c>
      <c r="AK335" s="7">
        <f>[6]实力验证!$AJ337</f>
        <v>8.1717170341871306</v>
      </c>
      <c r="AL335" s="7">
        <f>[6]实力验证!$AO337</f>
        <v>14.270455248939568</v>
      </c>
      <c r="AM335" s="7">
        <f t="shared" si="15"/>
        <v>97.232672563154196</v>
      </c>
    </row>
    <row r="336" spans="2:39" x14ac:dyDescent="0.15">
      <c r="B336" s="7">
        <v>332</v>
      </c>
      <c r="C336" s="7">
        <f>[1]服务器生态!W353</f>
        <v>44.83845670671478</v>
      </c>
      <c r="D336" s="7">
        <f>[1]服务器生态!X353</f>
        <v>44.211128895154118</v>
      </c>
      <c r="E336" s="7">
        <f>[1]服务器生态!Y353</f>
        <v>3.6089673040490871</v>
      </c>
      <c r="F336" s="7">
        <f>[1]服务器生态!Z353</f>
        <v>0.6420607860055334</v>
      </c>
      <c r="G336" s="7">
        <f>[1]服务器生态!AA353</f>
        <v>0.18577615390162369</v>
      </c>
      <c r="H336" s="7">
        <f>[1]服务器生态!AC353</f>
        <v>0.47962550249999997</v>
      </c>
      <c r="I336" s="7">
        <f>[1]服务器生态!AD353</f>
        <v>0.47291513735919999</v>
      </c>
      <c r="J336" s="7">
        <f>[1]服务器生态!AE353</f>
        <v>3.8604200140800002E-2</v>
      </c>
      <c r="K336" s="7">
        <f>[1]服务器生态!AF353</f>
        <v>6.8679600000000019E-3</v>
      </c>
      <c r="L336" s="7">
        <f>[1]服务器生态!AG353</f>
        <v>1.9871999999999997E-3</v>
      </c>
      <c r="M336" s="7">
        <f>[5]基础信息!M335</f>
        <v>100</v>
      </c>
      <c r="X336" s="7">
        <v>332</v>
      </c>
      <c r="Y336" s="7">
        <f>求节点(节奏总纲!D$4:D$163,R$5:R$164,$X336)*6</f>
        <v>43061.011112534863</v>
      </c>
      <c r="Z336" s="7">
        <f>求节点(节奏总纲!E$4:E$163,S$5:S$164,$X336)*6</f>
        <v>44220.710125367637</v>
      </c>
      <c r="AA336" s="7">
        <f>求节点(节奏总纲!F$4:F$163,T$5:T$164,$X336)*6</f>
        <v>45756.821254178583</v>
      </c>
      <c r="AB336" s="7">
        <f>求节点(节奏总纲!G$4:G$163,U$5:U$164,$X336)*6</f>
        <v>48007.972688373484</v>
      </c>
      <c r="AC336" s="7">
        <f>求节点(节奏总纲!H$4:H$163,V$5:V$164,$X336)*6</f>
        <v>51902.373971218403</v>
      </c>
      <c r="AG336" s="7">
        <v>332</v>
      </c>
      <c r="AH336" s="7">
        <v>1</v>
      </c>
      <c r="AI336" s="7">
        <f>[6]实力验证!$Z338</f>
        <v>1.7378608546703398</v>
      </c>
      <c r="AJ336" s="7">
        <f>[6]实力验证!$AE338</f>
        <v>3.0930536571236438</v>
      </c>
      <c r="AK336" s="7">
        <f>[6]实力验证!$AJ338</f>
        <v>8.1699813939497421</v>
      </c>
      <c r="AL336" s="7">
        <f>[6]实力验证!$AO338</f>
        <v>14.245714654796345</v>
      </c>
      <c r="AM336" s="7">
        <f t="shared" si="15"/>
        <v>97.281065489786712</v>
      </c>
    </row>
    <row r="337" spans="2:39" x14ac:dyDescent="0.15">
      <c r="B337" s="7">
        <v>333</v>
      </c>
      <c r="C337" s="7">
        <f>[1]服务器生态!W354</f>
        <v>44.5738115153598</v>
      </c>
      <c r="D337" s="7">
        <f>[1]服务器生态!X354</f>
        <v>43.950186313142247</v>
      </c>
      <c r="E337" s="7">
        <f>[1]服务器生态!Y354</f>
        <v>3.5876664852224902</v>
      </c>
      <c r="F337" s="7">
        <f>[1]服务器生态!Z354</f>
        <v>0.63827121981494428</v>
      </c>
      <c r="G337" s="7">
        <f>[1]服务器生态!AA354</f>
        <v>0.18467966732716218</v>
      </c>
      <c r="H337" s="7">
        <f>[1]服务器生态!AC354</f>
        <v>0.47962550249999997</v>
      </c>
      <c r="I337" s="7">
        <f>[1]服务器生态!AD354</f>
        <v>0.47291513735919999</v>
      </c>
      <c r="J337" s="7">
        <f>[1]服务器生态!AE354</f>
        <v>3.8604200140800002E-2</v>
      </c>
      <c r="K337" s="7">
        <f>[1]服务器生态!AF354</f>
        <v>6.8679600000000019E-3</v>
      </c>
      <c r="L337" s="7">
        <f>[1]服务器生态!AG354</f>
        <v>1.9871999999999997E-3</v>
      </c>
      <c r="M337" s="7">
        <f>[5]基础信息!M336</f>
        <v>100</v>
      </c>
      <c r="X337" s="7">
        <v>333</v>
      </c>
      <c r="Y337" s="7">
        <f>求节点(节奏总纲!D$4:D$163,R$5:R$164,$X337)*6</f>
        <v>43078.820598447404</v>
      </c>
      <c r="Z337" s="7">
        <f>求节点(节奏总纲!E$4:E$163,S$5:S$164,$X337)*6</f>
        <v>44238.568538351217</v>
      </c>
      <c r="AA337" s="7">
        <f>求节点(节奏总纲!F$4:F$163,T$5:T$164,$X337)*6</f>
        <v>45775.067277404109</v>
      </c>
      <c r="AB337" s="7">
        <f>求节点(节奏总纲!G$4:G$163,U$5:U$164,$X337)*6</f>
        <v>48025.77873366874</v>
      </c>
      <c r="AC337" s="7">
        <f>求节点(节奏总纲!H$4:H$163,V$5:V$164,$X337)*6</f>
        <v>51920.575747033392</v>
      </c>
      <c r="AG337" s="7">
        <v>333</v>
      </c>
      <c r="AH337" s="7">
        <v>1</v>
      </c>
      <c r="AI337" s="7">
        <f>[6]实力验证!$Z339</f>
        <v>1.7389144348746786</v>
      </c>
      <c r="AJ337" s="7">
        <f>[6]实力验证!$AE339</f>
        <v>3.098059000700113</v>
      </c>
      <c r="AK337" s="7">
        <f>[6]实力验证!$AJ339</f>
        <v>8.1669067085558158</v>
      </c>
      <c r="AL337" s="7">
        <f>[6]实力验证!$AO339</f>
        <v>14.221166406483572</v>
      </c>
      <c r="AM337" s="7">
        <f t="shared" si="15"/>
        <v>97.331761823676814</v>
      </c>
    </row>
    <row r="338" spans="2:39" x14ac:dyDescent="0.15">
      <c r="B338" s="7">
        <v>334</v>
      </c>
      <c r="C338" s="7">
        <f>[1]服务器生态!W355</f>
        <v>44.309166324004821</v>
      </c>
      <c r="D338" s="7">
        <f>[1]服务器生态!X355</f>
        <v>43.689243731130375</v>
      </c>
      <c r="E338" s="7">
        <f>[1]服务器生态!Y355</f>
        <v>3.5663656663958934</v>
      </c>
      <c r="F338" s="7">
        <f>[1]服务器生态!Z355</f>
        <v>0.63448165362435505</v>
      </c>
      <c r="G338" s="7">
        <f>[1]服务器生态!AA355</f>
        <v>0.18358318075270064</v>
      </c>
      <c r="H338" s="7">
        <f>[1]服务器生态!AC355</f>
        <v>0.47962550249999997</v>
      </c>
      <c r="I338" s="7">
        <f>[1]服务器生态!AD355</f>
        <v>0.47291513735919999</v>
      </c>
      <c r="J338" s="7">
        <f>[1]服务器生态!AE355</f>
        <v>3.8604200140800002E-2</v>
      </c>
      <c r="K338" s="7">
        <f>[1]服务器生态!AF355</f>
        <v>6.8679600000000019E-3</v>
      </c>
      <c r="L338" s="7">
        <f>[1]服务器生态!AG355</f>
        <v>1.9871999999999997E-3</v>
      </c>
      <c r="M338" s="7">
        <f>[5]基础信息!M337</f>
        <v>100</v>
      </c>
      <c r="X338" s="7">
        <v>334</v>
      </c>
      <c r="Y338" s="7">
        <f>求节点(节奏总纲!D$4:D$163,R$5:R$164,$X338)*6</f>
        <v>43096.630084359946</v>
      </c>
      <c r="Z338" s="7">
        <f>求节点(节奏总纲!E$4:E$163,S$5:S$164,$X338)*6</f>
        <v>44256.42695133479</v>
      </c>
      <c r="AA338" s="7">
        <f>求节点(节奏总纲!F$4:F$163,T$5:T$164,$X338)*6</f>
        <v>45792.945804811956</v>
      </c>
      <c r="AB338" s="7">
        <f>求节点(节奏总纲!G$4:G$163,U$5:U$164,$X338)*6</f>
        <v>48043.040416789619</v>
      </c>
      <c r="AC338" s="7">
        <f>求节点(节奏总纲!H$4:H$163,V$5:V$164,$X338)*6</f>
        <v>51938.777522848366</v>
      </c>
      <c r="AG338" s="7">
        <v>334</v>
      </c>
      <c r="AH338" s="7">
        <v>1</v>
      </c>
      <c r="AI338" s="7">
        <f>[6]实力验证!$Z340</f>
        <v>1.7399598557336862</v>
      </c>
      <c r="AJ338" s="7">
        <f>[6]实力验证!$AE340</f>
        <v>3.1040118499620668</v>
      </c>
      <c r="AK338" s="7">
        <f>[6]实力验证!$AJ340</f>
        <v>8.1606075599765937</v>
      </c>
      <c r="AL338" s="7">
        <f>[6]实力验证!$AO340</f>
        <v>14.196808269597003</v>
      </c>
      <c r="AM338" s="7">
        <f t="shared" si="15"/>
        <v>97.384457083782493</v>
      </c>
    </row>
    <row r="339" spans="2:39" x14ac:dyDescent="0.15">
      <c r="B339" s="7">
        <v>335</v>
      </c>
      <c r="C339" s="7">
        <f>[1]服务器生态!W356</f>
        <v>44.044521132649841</v>
      </c>
      <c r="D339" s="7">
        <f>[1]服务器生态!X356</f>
        <v>43.428301149118496</v>
      </c>
      <c r="E339" s="7">
        <f>[1]服务器生态!Y356</f>
        <v>3.5450648475692965</v>
      </c>
      <c r="F339" s="7">
        <f>[1]服务器生态!Z356</f>
        <v>0.63069208743376592</v>
      </c>
      <c r="G339" s="7">
        <f>[1]服务器生态!AA356</f>
        <v>0.18248669417823912</v>
      </c>
      <c r="H339" s="7">
        <f>[1]服务器生态!AC356</f>
        <v>0.47962550249999997</v>
      </c>
      <c r="I339" s="7">
        <f>[1]服务器生态!AD356</f>
        <v>0.47291513735919999</v>
      </c>
      <c r="J339" s="7">
        <f>[1]服务器生态!AE356</f>
        <v>3.8604200140800002E-2</v>
      </c>
      <c r="K339" s="7">
        <f>[1]服务器生态!AF356</f>
        <v>6.8679600000000019E-3</v>
      </c>
      <c r="L339" s="7">
        <f>[1]服务器生态!AG356</f>
        <v>1.9871999999999997E-3</v>
      </c>
      <c r="M339" s="7">
        <f>[5]基础信息!M338</f>
        <v>100</v>
      </c>
      <c r="X339" s="7">
        <v>335</v>
      </c>
      <c r="Y339" s="7">
        <f>求节点(节奏总纲!D$4:D$163,R$5:R$164,$X339)*6</f>
        <v>43114.439570272487</v>
      </c>
      <c r="Z339" s="7">
        <f>求节点(节奏总纲!E$4:E$163,S$5:S$164,$X339)*6</f>
        <v>44273.28337314041</v>
      </c>
      <c r="AA339" s="7">
        <f>求节点(节奏总纲!F$4:F$163,T$5:T$164,$X339)*6</f>
        <v>45810.82433221981</v>
      </c>
      <c r="AB339" s="7">
        <f>求节点(节奏总纲!G$4:G$163,U$5:U$164,$X339)*6</f>
        <v>48060.302099910499</v>
      </c>
      <c r="AC339" s="7">
        <f>求节点(节奏总纲!H$4:H$163,V$5:V$164,$X339)*6</f>
        <v>51956.979298663347</v>
      </c>
      <c r="AG339" s="7">
        <v>335</v>
      </c>
      <c r="AH339" s="7">
        <v>1</v>
      </c>
      <c r="AI339" s="7">
        <f>[6]实力验证!$Z341</f>
        <v>1.7405777778407019</v>
      </c>
      <c r="AJ339" s="7">
        <f>[6]实力验证!$AE341</f>
        <v>3.1099187758096116</v>
      </c>
      <c r="AK339" s="7">
        <f>[6]实力验证!$AJ341</f>
        <v>8.154357006347098</v>
      </c>
      <c r="AL339" s="7">
        <f>[6]实力验证!$AO341</f>
        <v>14.172638044207131</v>
      </c>
      <c r="AM339" s="7">
        <f t="shared" si="15"/>
        <v>97.424844428603876</v>
      </c>
    </row>
    <row r="340" spans="2:39" x14ac:dyDescent="0.15">
      <c r="B340" s="7">
        <v>336</v>
      </c>
      <c r="C340" s="7">
        <f>[1]服务器生态!W357</f>
        <v>43.779875941294868</v>
      </c>
      <c r="D340" s="7">
        <f>[1]服务器生态!X357</f>
        <v>43.167358567106632</v>
      </c>
      <c r="E340" s="7">
        <f>[1]服务器生态!Y357</f>
        <v>3.5237640287427006</v>
      </c>
      <c r="F340" s="7">
        <f>[1]服务器生态!Z357</f>
        <v>0.6269025212431768</v>
      </c>
      <c r="G340" s="7">
        <f>[1]服务器生态!AA357</f>
        <v>0.18139020760377761</v>
      </c>
      <c r="H340" s="7">
        <f>[1]服务器生态!AC357</f>
        <v>0.47962550249999997</v>
      </c>
      <c r="I340" s="7">
        <f>[1]服务器生态!AD357</f>
        <v>0.47291513735919999</v>
      </c>
      <c r="J340" s="7">
        <f>[1]服务器生态!AE357</f>
        <v>3.8604200140800002E-2</v>
      </c>
      <c r="K340" s="7">
        <f>[1]服务器生态!AF357</f>
        <v>6.8679600000000019E-3</v>
      </c>
      <c r="L340" s="7">
        <f>[1]服务器生态!AG357</f>
        <v>1.9871999999999997E-3</v>
      </c>
      <c r="M340" s="7">
        <f>[5]基础信息!M339</f>
        <v>100</v>
      </c>
      <c r="X340" s="7">
        <v>336</v>
      </c>
      <c r="Y340" s="7">
        <f>求节点(节奏总纲!D$4:D$163,R$5:R$164,$X340)*6</f>
        <v>43132.249056185028</v>
      </c>
      <c r="Z340" s="7">
        <f>求节点(节奏总纲!E$4:E$163,S$5:S$164,$X340)*6</f>
        <v>44290.138561374843</v>
      </c>
      <c r="AA340" s="7">
        <f>求节点(节奏总纲!F$4:F$163,T$5:T$164,$X340)*6</f>
        <v>45828.702859627665</v>
      </c>
      <c r="AB340" s="7">
        <f>求节点(节奏总纲!G$4:G$163,U$5:U$164,$X340)*6</f>
        <v>48077.563783031379</v>
      </c>
      <c r="AC340" s="7">
        <f>求节点(节奏总纲!H$4:H$163,V$5:V$164,$X340)*6</f>
        <v>51974.877711707166</v>
      </c>
      <c r="AG340" s="7">
        <v>336</v>
      </c>
      <c r="AH340" s="7">
        <v>1</v>
      </c>
      <c r="AI340" s="7">
        <f>[6]实力验证!$Z342</f>
        <v>1.7411904368988202</v>
      </c>
      <c r="AJ340" s="7">
        <f>[6]实力验证!$AE342</f>
        <v>3.1157803076169217</v>
      </c>
      <c r="AK340" s="7">
        <f>[6]实力验证!$AJ342</f>
        <v>8.1481544874974983</v>
      </c>
      <c r="AL340" s="7">
        <f>[6]实力验证!$AO342</f>
        <v>14.148681003098787</v>
      </c>
      <c r="AM340" s="7">
        <f t="shared" si="15"/>
        <v>97.464917710935381</v>
      </c>
    </row>
    <row r="341" spans="2:39" x14ac:dyDescent="0.15">
      <c r="B341" s="7">
        <v>337</v>
      </c>
      <c r="C341" s="7">
        <f>[1]服务器生态!W358</f>
        <v>43.515230749939889</v>
      </c>
      <c r="D341" s="7">
        <f>[1]服务器生态!X358</f>
        <v>42.90641598509476</v>
      </c>
      <c r="E341" s="7">
        <f>[1]服务器生态!Y358</f>
        <v>3.5024632099161037</v>
      </c>
      <c r="F341" s="7">
        <f>[1]服务器生态!Z358</f>
        <v>0.62311295505258768</v>
      </c>
      <c r="G341" s="7">
        <f>[1]服务器生态!AA358</f>
        <v>0.1802937210293161</v>
      </c>
      <c r="H341" s="7">
        <f>[1]服务器生态!AC358</f>
        <v>0.47962550249999997</v>
      </c>
      <c r="I341" s="7">
        <f>[1]服务器生态!AD358</f>
        <v>0.47291513735919999</v>
      </c>
      <c r="J341" s="7">
        <f>[1]服务器生态!AE358</f>
        <v>3.8604200140800002E-2</v>
      </c>
      <c r="K341" s="7">
        <f>[1]服务器生态!AF358</f>
        <v>6.8679600000000019E-3</v>
      </c>
      <c r="L341" s="7">
        <f>[1]服务器生态!AG358</f>
        <v>1.9871999999999997E-3</v>
      </c>
      <c r="M341" s="7">
        <f>[5]基础信息!M340</f>
        <v>100</v>
      </c>
      <c r="X341" s="7">
        <v>337</v>
      </c>
      <c r="Y341" s="7">
        <f>求节点(节奏总纲!D$4:D$163,R$5:R$164,$X341)*6</f>
        <v>43149.790462956851</v>
      </c>
      <c r="Z341" s="7">
        <f>求节点(节奏总纲!E$4:E$163,S$5:S$164,$X341)*6</f>
        <v>44306.99374960929</v>
      </c>
      <c r="AA341" s="7">
        <f>求节点(节奏总纲!F$4:F$163,T$5:T$164,$X341)*6</f>
        <v>45846.58138703552</v>
      </c>
      <c r="AB341" s="7">
        <f>求节点(节奏总纲!G$4:G$163,U$5:U$164,$X341)*6</f>
        <v>48094.825466152259</v>
      </c>
      <c r="AC341" s="7">
        <f>求节点(节奏总纲!H$4:H$163,V$5:V$164,$X341)*6</f>
        <v>51991.253595721282</v>
      </c>
      <c r="AG341" s="7">
        <v>337</v>
      </c>
      <c r="AH341" s="7">
        <v>1</v>
      </c>
      <c r="AI341" s="7">
        <f>[6]实力验证!$Z343</f>
        <v>1.7417531097677164</v>
      </c>
      <c r="AJ341" s="7">
        <f>[6]实力验证!$AE343</f>
        <v>3.1215157885746194</v>
      </c>
      <c r="AK341" s="7">
        <f>[6]实力验证!$AJ343</f>
        <v>8.1417877166631207</v>
      </c>
      <c r="AL341" s="7">
        <f>[6]实力验证!$AO343</f>
        <v>14.124677222601306</v>
      </c>
      <c r="AM341" s="7">
        <f t="shared" si="15"/>
        <v>97.502452551818507</v>
      </c>
    </row>
    <row r="342" spans="2:39" x14ac:dyDescent="0.15">
      <c r="B342" s="7">
        <v>338</v>
      </c>
      <c r="C342" s="7">
        <f>[1]服务器生态!W359</f>
        <v>43.250585558584909</v>
      </c>
      <c r="D342" s="7">
        <f>[1]服务器生态!X359</f>
        <v>42.645473403082889</v>
      </c>
      <c r="E342" s="7">
        <f>[1]服务器生态!Y359</f>
        <v>3.4811623910895069</v>
      </c>
      <c r="F342" s="7">
        <f>[1]服务器生态!Z359</f>
        <v>0.61932338886199845</v>
      </c>
      <c r="G342" s="7">
        <f>[1]服务器生态!AA359</f>
        <v>0.17919723445485455</v>
      </c>
      <c r="H342" s="7">
        <f>[1]服务器生态!AC359</f>
        <v>0.47962550249999997</v>
      </c>
      <c r="I342" s="7">
        <f>[1]服务器生态!AD359</f>
        <v>0.47291513735919999</v>
      </c>
      <c r="J342" s="7">
        <f>[1]服务器生态!AE359</f>
        <v>3.8604200140800002E-2</v>
      </c>
      <c r="K342" s="7">
        <f>[1]服务器生态!AF359</f>
        <v>6.8679600000000019E-3</v>
      </c>
      <c r="L342" s="7">
        <f>[1]服务器生态!AG359</f>
        <v>1.9871999999999997E-3</v>
      </c>
      <c r="M342" s="7">
        <f>[5]基础信息!M341</f>
        <v>100</v>
      </c>
      <c r="X342" s="7">
        <v>338</v>
      </c>
      <c r="Y342" s="7">
        <f>求节点(节奏总纲!D$4:D$163,R$5:R$164,$X342)*6</f>
        <v>43166.298434869241</v>
      </c>
      <c r="Z342" s="7">
        <f>求节点(节奏总纲!E$4:E$163,S$5:S$164,$X342)*6</f>
        <v>44323.848937843723</v>
      </c>
      <c r="AA342" s="7">
        <f>求节点(节奏总纲!F$4:F$163,T$5:T$164,$X342)*6</f>
        <v>45864.459914443374</v>
      </c>
      <c r="AB342" s="7">
        <f>求节点(节奏总纲!G$4:G$163,U$5:U$164,$X342)*6</f>
        <v>48112.087149273138</v>
      </c>
      <c r="AC342" s="7">
        <f>求节点(节奏总纲!H$4:H$163,V$5:V$164,$X342)*6</f>
        <v>52007.629479735391</v>
      </c>
      <c r="AG342" s="7">
        <v>338</v>
      </c>
      <c r="AH342" s="7">
        <v>1</v>
      </c>
      <c r="AI342" s="7">
        <f>[6]实力验证!$Z344</f>
        <v>1.7421374847218356</v>
      </c>
      <c r="AJ342" s="7">
        <f>[6]实力验证!$AE344</f>
        <v>3.1268949681161402</v>
      </c>
      <c r="AK342" s="7">
        <f>[6]实力验证!$AJ344</f>
        <v>8.1346574635217213</v>
      </c>
      <c r="AL342" s="7">
        <f>[6]实力验证!$AO344</f>
        <v>14.099449699672236</v>
      </c>
      <c r="AM342" s="7">
        <f t="shared" si="15"/>
        <v>97.530917276736616</v>
      </c>
    </row>
    <row r="343" spans="2:39" x14ac:dyDescent="0.15">
      <c r="B343" s="7">
        <v>339</v>
      </c>
      <c r="C343" s="7">
        <f>[1]服务器生态!W360</f>
        <v>42.985940367229929</v>
      </c>
      <c r="D343" s="7">
        <f>[1]服务器生态!X360</f>
        <v>42.384530821071017</v>
      </c>
      <c r="E343" s="7">
        <f>[1]服务器生态!Y360</f>
        <v>3.45986157226291</v>
      </c>
      <c r="F343" s="7">
        <f>[1]服务器生态!Z360</f>
        <v>0.61553382267140933</v>
      </c>
      <c r="G343" s="7">
        <f>[1]服务器生态!AA360</f>
        <v>0.17810074788039301</v>
      </c>
      <c r="H343" s="7">
        <f>[1]服务器生态!AC360</f>
        <v>0.47962550249999997</v>
      </c>
      <c r="I343" s="7">
        <f>[1]服务器生态!AD360</f>
        <v>0.47291513735919999</v>
      </c>
      <c r="J343" s="7">
        <f>[1]服务器生态!AE360</f>
        <v>3.8604200140800002E-2</v>
      </c>
      <c r="K343" s="7">
        <f>[1]服务器生态!AF360</f>
        <v>6.8679600000000019E-3</v>
      </c>
      <c r="L343" s="7">
        <f>[1]服务器生态!AG360</f>
        <v>1.9871999999999997E-3</v>
      </c>
      <c r="M343" s="7">
        <f>[5]基础信息!M342</f>
        <v>100</v>
      </c>
      <c r="X343" s="7">
        <v>339</v>
      </c>
      <c r="Y343" s="7">
        <f>求节点(节奏总纲!D$4:D$163,R$5:R$164,$X343)*6</f>
        <v>43182.806406781645</v>
      </c>
      <c r="Z343" s="7">
        <f>求节点(节奏总纲!E$4:E$163,S$5:S$164,$X343)*6</f>
        <v>44340.704126078163</v>
      </c>
      <c r="AA343" s="7">
        <f>求节点(节奏总纲!F$4:F$163,T$5:T$164,$X343)*6</f>
        <v>45882.338441851221</v>
      </c>
      <c r="AB343" s="7">
        <f>求节点(节奏总纲!G$4:G$163,U$5:U$164,$X343)*6</f>
        <v>48129.348832394018</v>
      </c>
      <c r="AC343" s="7">
        <f>求节点(节奏总纲!H$4:H$163,V$5:V$164,$X343)*6</f>
        <v>52024.0053637495</v>
      </c>
      <c r="AG343" s="7">
        <v>339</v>
      </c>
      <c r="AH343" s="7">
        <v>1</v>
      </c>
      <c r="AI343" s="7">
        <f>[6]实力验证!$Z345</f>
        <v>1.7425188439713695</v>
      </c>
      <c r="AJ343" s="7">
        <f>[6]实力验证!$AE345</f>
        <v>3.1322319440326893</v>
      </c>
      <c r="AK343" s="7">
        <f>[6]实力验证!$AJ345</f>
        <v>8.1275831524672526</v>
      </c>
      <c r="AL343" s="7">
        <f>[6]实力验证!$AO345</f>
        <v>14.07442010523922</v>
      </c>
      <c r="AM343" s="7">
        <f t="shared" si="15"/>
        <v>97.55915867492503</v>
      </c>
    </row>
    <row r="344" spans="2:39" x14ac:dyDescent="0.15">
      <c r="B344" s="7">
        <v>340</v>
      </c>
      <c r="C344" s="7">
        <f>[1]服务器生态!W361</f>
        <v>42.721295175874957</v>
      </c>
      <c r="D344" s="7">
        <f>[1]服务器生态!X361</f>
        <v>42.123588239059153</v>
      </c>
      <c r="E344" s="7">
        <f>[1]服务器生态!Y361</f>
        <v>3.4385607534363141</v>
      </c>
      <c r="F344" s="7">
        <f>[1]服务器生态!Z361</f>
        <v>0.6117442564808202</v>
      </c>
      <c r="G344" s="7">
        <f>[1]服务器生态!AA361</f>
        <v>0.17700426130593153</v>
      </c>
      <c r="H344" s="7">
        <f>[1]服务器生态!AC361</f>
        <v>0.47962550249999997</v>
      </c>
      <c r="I344" s="7">
        <f>[1]服务器生态!AD361</f>
        <v>0.47291513735919999</v>
      </c>
      <c r="J344" s="7">
        <f>[1]服务器生态!AE361</f>
        <v>3.8604200140800002E-2</v>
      </c>
      <c r="K344" s="7">
        <f>[1]服务器生态!AF361</f>
        <v>6.8679600000000019E-3</v>
      </c>
      <c r="L344" s="7">
        <f>[1]服务器生态!AG361</f>
        <v>1.9871999999999997E-3</v>
      </c>
      <c r="M344" s="7">
        <f>[5]基础信息!M343</f>
        <v>100</v>
      </c>
      <c r="X344" s="7">
        <v>340</v>
      </c>
      <c r="Y344" s="7">
        <f>求节点(节奏总纲!D$4:D$163,R$5:R$164,$X344)*6</f>
        <v>43199.314378694035</v>
      </c>
      <c r="Z344" s="7">
        <f>求节点(节奏总纲!E$4:E$163,S$5:S$164,$X344)*6</f>
        <v>44357.559314312595</v>
      </c>
      <c r="AA344" s="7">
        <f>求节点(节奏总纲!F$4:F$163,T$5:T$164,$X344)*6</f>
        <v>45900.216969259076</v>
      </c>
      <c r="AB344" s="7">
        <f>求节点(节奏总纲!G$4:G$163,U$5:U$164,$X344)*6</f>
        <v>48146.610515514898</v>
      </c>
      <c r="AC344" s="7">
        <f>求节点(节奏总纲!H$4:H$163,V$5:V$164,$X344)*6</f>
        <v>52040.381247763624</v>
      </c>
      <c r="AG344" s="7">
        <v>340</v>
      </c>
      <c r="AH344" s="7">
        <v>1</v>
      </c>
      <c r="AI344" s="7">
        <f>[6]实力验证!$Z346</f>
        <v>1.7428972228682709</v>
      </c>
      <c r="AJ344" s="7">
        <f>[6]实力验证!$AE346</f>
        <v>3.137527211061256</v>
      </c>
      <c r="AK344" s="7">
        <f>[6]实力验证!$AJ346</f>
        <v>8.1205641277119778</v>
      </c>
      <c r="AL344" s="7">
        <f>[6]实力验证!$AO346</f>
        <v>14.049586119062035</v>
      </c>
      <c r="AM344" s="7">
        <f t="shared" si="15"/>
        <v>97.587179364357809</v>
      </c>
    </row>
    <row r="345" spans="2:39" x14ac:dyDescent="0.15">
      <c r="B345" s="7">
        <v>341</v>
      </c>
      <c r="C345" s="7">
        <f>[1]服务器生态!W362</f>
        <v>42.456649984519977</v>
      </c>
      <c r="D345" s="7">
        <f>[1]服务器生态!X362</f>
        <v>41.862645657047281</v>
      </c>
      <c r="E345" s="7">
        <f>[1]服务器生态!Y362</f>
        <v>3.4172599346097172</v>
      </c>
      <c r="F345" s="7">
        <f>[1]服务器生态!Z362</f>
        <v>0.60795469029023108</v>
      </c>
      <c r="G345" s="7">
        <f>[1]服务器生态!AA362</f>
        <v>0.17590777473146998</v>
      </c>
      <c r="H345" s="7">
        <f>[1]服务器生态!AC362</f>
        <v>0.47962550249999997</v>
      </c>
      <c r="I345" s="7">
        <f>[1]服务器生态!AD362</f>
        <v>0.47291513735919999</v>
      </c>
      <c r="J345" s="7">
        <f>[1]服务器生态!AE362</f>
        <v>3.8604200140800002E-2</v>
      </c>
      <c r="K345" s="7">
        <f>[1]服务器生态!AF362</f>
        <v>6.8679600000000019E-3</v>
      </c>
      <c r="L345" s="7">
        <f>[1]服务器生态!AG362</f>
        <v>1.9871999999999997E-3</v>
      </c>
      <c r="M345" s="7">
        <f>[5]基础信息!M344</f>
        <v>100</v>
      </c>
      <c r="X345" s="7">
        <v>341</v>
      </c>
      <c r="Y345" s="7">
        <f>求节点(节奏总纲!D$4:D$163,R$5:R$164,$X345)*6</f>
        <v>43215.822350606424</v>
      </c>
      <c r="Z345" s="7">
        <f>求节点(节奏总纲!E$4:E$163,S$5:S$164,$X345)*6</f>
        <v>44374.414502547035</v>
      </c>
      <c r="AA345" s="7">
        <f>求节点(节奏总纲!F$4:F$163,T$5:T$164,$X345)*6</f>
        <v>45918.095496666923</v>
      </c>
      <c r="AB345" s="7">
        <f>求节点(节奏总纲!G$4:G$163,U$5:U$164,$X345)*6</f>
        <v>48163.872198635785</v>
      </c>
      <c r="AC345" s="7">
        <f>求节点(节奏总纲!H$4:H$163,V$5:V$164,$X345)*6</f>
        <v>52056.75713177774</v>
      </c>
      <c r="AG345" s="7">
        <v>341</v>
      </c>
      <c r="AH345" s="7">
        <v>1</v>
      </c>
      <c r="AI345" s="7">
        <f>[6]实力验证!$Z347</f>
        <v>1.7432726562140881</v>
      </c>
      <c r="AJ345" s="7">
        <f>[6]实力验证!$AE347</f>
        <v>3.1427812562361117</v>
      </c>
      <c r="AK345" s="7">
        <f>[6]实力验证!$AJ347</f>
        <v>8.113599743678332</v>
      </c>
      <c r="AL345" s="7">
        <f>[6]实力验证!$AO347</f>
        <v>14.024945457025009</v>
      </c>
      <c r="AM345" s="7">
        <f t="shared" si="15"/>
        <v>97.614981922248859</v>
      </c>
    </row>
    <row r="346" spans="2:39" x14ac:dyDescent="0.15">
      <c r="B346" s="7">
        <v>342</v>
      </c>
      <c r="C346" s="7">
        <f>[1]服务器生态!W363</f>
        <v>42.192004793165005</v>
      </c>
      <c r="D346" s="7">
        <f>[1]服务器生态!X363</f>
        <v>41.60170307503541</v>
      </c>
      <c r="E346" s="7">
        <f>[1]服务器生态!Y363</f>
        <v>3.3959591157831204</v>
      </c>
      <c r="F346" s="7">
        <f>[1]服务器生态!Z363</f>
        <v>0.60416512409964185</v>
      </c>
      <c r="G346" s="7">
        <f>[1]服务器生态!AA363</f>
        <v>0.17481128815700847</v>
      </c>
      <c r="H346" s="7">
        <f>[1]服务器生态!AC363</f>
        <v>0.47962550249999997</v>
      </c>
      <c r="I346" s="7">
        <f>[1]服务器生态!AD363</f>
        <v>0.47291513735919999</v>
      </c>
      <c r="J346" s="7">
        <f>[1]服务器生态!AE363</f>
        <v>3.8604200140800002E-2</v>
      </c>
      <c r="K346" s="7">
        <f>[1]服务器生态!AF363</f>
        <v>6.8679600000000019E-3</v>
      </c>
      <c r="L346" s="7">
        <f>[1]服务器生态!AG363</f>
        <v>1.9871999999999997E-3</v>
      </c>
      <c r="M346" s="7">
        <f>[5]基础信息!M345</f>
        <v>100</v>
      </c>
      <c r="X346" s="7">
        <v>342</v>
      </c>
      <c r="Y346" s="7">
        <f>求节点(节奏总纲!D$4:D$163,R$5:R$164,$X346)*6</f>
        <v>43232.330322518821</v>
      </c>
      <c r="Z346" s="7">
        <f>求节点(节奏总纲!E$4:E$163,S$5:S$164,$X346)*6</f>
        <v>44391.269690781475</v>
      </c>
      <c r="AA346" s="7">
        <f>求节点(节奏总纲!F$4:F$163,T$5:T$164,$X346)*6</f>
        <v>45935.974024074778</v>
      </c>
      <c r="AB346" s="7">
        <f>求节点(节奏总纲!G$4:G$163,U$5:U$164,$X346)*6</f>
        <v>48181.133881756658</v>
      </c>
      <c r="AC346" s="7">
        <f>求节点(节奏总纲!H$4:H$163,V$5:V$164,$X346)*6</f>
        <v>52073.133015791856</v>
      </c>
      <c r="AG346" s="7">
        <v>342</v>
      </c>
      <c r="AH346" s="7">
        <v>1</v>
      </c>
      <c r="AI346" s="7">
        <f>[6]实力验证!$Z348</f>
        <v>1.7436451782706341</v>
      </c>
      <c r="AJ346" s="7">
        <f>[6]实力验证!$AE348</f>
        <v>3.1479945590381369</v>
      </c>
      <c r="AK346" s="7">
        <f>[6]实力验证!$AJ348</f>
        <v>8.1066893648009799</v>
      </c>
      <c r="AL346" s="7">
        <f>[6]实力验证!$AO348</f>
        <v>14.000495870436739</v>
      </c>
      <c r="AM346" s="7">
        <f t="shared" si="15"/>
        <v>97.64256888584228</v>
      </c>
    </row>
    <row r="347" spans="2:39" x14ac:dyDescent="0.15">
      <c r="B347" s="7">
        <v>343</v>
      </c>
      <c r="C347" s="7">
        <f>[1]服务器生态!W364</f>
        <v>41.927359601810025</v>
      </c>
      <c r="D347" s="7">
        <f>[1]服务器生态!X364</f>
        <v>41.340760493023531</v>
      </c>
      <c r="E347" s="7">
        <f>[1]服务器生态!Y364</f>
        <v>3.3746582969565235</v>
      </c>
      <c r="F347" s="7">
        <f>[1]服务器生态!Z364</f>
        <v>0.60037555790905273</v>
      </c>
      <c r="G347" s="7">
        <f>[1]服务器生态!AA364</f>
        <v>0.17371480158254693</v>
      </c>
      <c r="H347" s="7">
        <f>[1]服务器生态!AC364</f>
        <v>0.47962550249999997</v>
      </c>
      <c r="I347" s="7">
        <f>[1]服务器生态!AD364</f>
        <v>0.47291513735919999</v>
      </c>
      <c r="J347" s="7">
        <f>[1]服务器生态!AE364</f>
        <v>3.8604200140800002E-2</v>
      </c>
      <c r="K347" s="7">
        <f>[1]服务器生态!AF364</f>
        <v>6.8679600000000019E-3</v>
      </c>
      <c r="L347" s="7">
        <f>[1]服务器生态!AG364</f>
        <v>1.9871999999999997E-3</v>
      </c>
      <c r="M347" s="7">
        <f>[5]基础信息!M346</f>
        <v>100</v>
      </c>
      <c r="X347" s="7">
        <v>343</v>
      </c>
      <c r="Y347" s="7">
        <f>求节点(节奏总纲!D$4:D$163,R$5:R$164,$X347)*6</f>
        <v>43248.838294431211</v>
      </c>
      <c r="Z347" s="7">
        <f>求节点(节奏总纲!E$4:E$163,S$5:S$164,$X347)*6</f>
        <v>44408.124879015915</v>
      </c>
      <c r="AA347" s="7">
        <f>求节点(节奏总纲!F$4:F$163,T$5:T$164,$X347)*6</f>
        <v>45953.852551482632</v>
      </c>
      <c r="AB347" s="7">
        <f>求节点(节奏总纲!G$4:G$163,U$5:U$164,$X347)*6</f>
        <v>48198.395564877537</v>
      </c>
      <c r="AC347" s="7">
        <f>求节点(节奏总纲!H$4:H$163,V$5:V$164,$X347)*6</f>
        <v>52089.50889980598</v>
      </c>
      <c r="AG347" s="7">
        <v>343</v>
      </c>
      <c r="AH347" s="7">
        <v>1</v>
      </c>
      <c r="AI347" s="7">
        <f>[6]实力验证!$Z349</f>
        <v>1.7440148227704093</v>
      </c>
      <c r="AJ347" s="7">
        <f>[6]实力验证!$AE349</f>
        <v>3.1531675915406829</v>
      </c>
      <c r="AK347" s="7">
        <f>[6]实力验证!$AJ349</f>
        <v>8.0998323653334712</v>
      </c>
      <c r="AL347" s="7">
        <f>[6]实力验证!$AO349</f>
        <v>13.976235145345957</v>
      </c>
      <c r="AM347" s="7">
        <f t="shared" si="15"/>
        <v>97.669942753184117</v>
      </c>
    </row>
    <row r="348" spans="2:39" x14ac:dyDescent="0.15">
      <c r="B348" s="7">
        <v>344</v>
      </c>
      <c r="C348" s="7">
        <f>[1]服务器生态!W365</f>
        <v>41.662714410455045</v>
      </c>
      <c r="D348" s="7">
        <f>[1]服务器生态!X365</f>
        <v>41.079817911011659</v>
      </c>
      <c r="E348" s="7">
        <f>[1]服务器生态!Y365</f>
        <v>3.3533574781299267</v>
      </c>
      <c r="F348" s="7">
        <f>[1]服务器生态!Z365</f>
        <v>0.59658599171846349</v>
      </c>
      <c r="G348" s="7">
        <f>[1]服务器生态!AA365</f>
        <v>0.17261831500808542</v>
      </c>
      <c r="H348" s="7">
        <f>[1]服务器生态!AC365</f>
        <v>0.47962550249999997</v>
      </c>
      <c r="I348" s="7">
        <f>[1]服务器生态!AD365</f>
        <v>0.47291513735919999</v>
      </c>
      <c r="J348" s="7">
        <f>[1]服务器生态!AE365</f>
        <v>3.8604200140800002E-2</v>
      </c>
      <c r="K348" s="7">
        <f>[1]服务器生态!AF365</f>
        <v>6.8679600000000019E-3</v>
      </c>
      <c r="L348" s="7">
        <f>[1]服务器生态!AG365</f>
        <v>1.9871999999999997E-3</v>
      </c>
      <c r="M348" s="7">
        <f>[5]基础信息!M347</f>
        <v>100</v>
      </c>
      <c r="X348" s="7">
        <v>344</v>
      </c>
      <c r="Y348" s="7">
        <f>求节点(节奏总纲!D$4:D$163,R$5:R$164,$X348)*6</f>
        <v>43265.346266343608</v>
      </c>
      <c r="Z348" s="7">
        <f>求节点(节奏总纲!E$4:E$163,S$5:S$164,$X348)*6</f>
        <v>44424.980067250348</v>
      </c>
      <c r="AA348" s="7">
        <f>求节点(节奏总纲!F$4:F$163,T$5:T$164,$X348)*6</f>
        <v>45971.731078890487</v>
      </c>
      <c r="AB348" s="7">
        <f>求节点(节奏总纲!G$4:G$163,U$5:U$164,$X348)*6</f>
        <v>48215.657247998417</v>
      </c>
      <c r="AC348" s="7">
        <f>求节点(节奏总纲!H$4:H$163,V$5:V$164,$X348)*6</f>
        <v>52105.884783820089</v>
      </c>
      <c r="AG348" s="7">
        <v>344</v>
      </c>
      <c r="AH348" s="7">
        <v>1</v>
      </c>
      <c r="AI348" s="7">
        <f>[6]实力验证!$Z350</f>
        <v>1.7443816229267823</v>
      </c>
      <c r="AJ348" s="7">
        <f>[6]实力验证!$AE350</f>
        <v>3.1583008185520747</v>
      </c>
      <c r="AK348" s="7">
        <f>[6]实力验证!$AJ350</f>
        <v>8.0930281291593484</v>
      </c>
      <c r="AL348" s="7">
        <f>[6]实力验证!$AO350</f>
        <v>13.952161101873255</v>
      </c>
      <c r="AM348" s="7">
        <f t="shared" si="15"/>
        <v>97.697105983876384</v>
      </c>
    </row>
    <row r="349" spans="2:39" x14ac:dyDescent="0.15">
      <c r="B349" s="7">
        <v>345</v>
      </c>
      <c r="C349" s="7">
        <f>[1]服务器生态!W366</f>
        <v>41.398069219100073</v>
      </c>
      <c r="D349" s="7">
        <f>[1]服务器生态!X366</f>
        <v>40.818875328999795</v>
      </c>
      <c r="E349" s="7">
        <f>[1]服务器生态!Y366</f>
        <v>3.3320566593033307</v>
      </c>
      <c r="F349" s="7">
        <f>[1]服务器生态!Z366</f>
        <v>0.59279642552787448</v>
      </c>
      <c r="G349" s="7">
        <f>[1]服务器生态!AA366</f>
        <v>0.1715218284336239</v>
      </c>
      <c r="H349" s="7">
        <f>[1]服务器生态!AC366</f>
        <v>0.47962550249999997</v>
      </c>
      <c r="I349" s="7">
        <f>[1]服务器生态!AD366</f>
        <v>0.47291513735919999</v>
      </c>
      <c r="J349" s="7">
        <f>[1]服务器生态!AE366</f>
        <v>3.8604200140800002E-2</v>
      </c>
      <c r="K349" s="7">
        <f>[1]服务器生态!AF366</f>
        <v>6.8679600000000019E-3</v>
      </c>
      <c r="L349" s="7">
        <f>[1]服务器生态!AG366</f>
        <v>1.9871999999999997E-3</v>
      </c>
      <c r="M349" s="7">
        <f>[5]基础信息!M348</f>
        <v>100</v>
      </c>
      <c r="X349" s="7">
        <v>345</v>
      </c>
      <c r="Y349" s="7">
        <f>求节点(节奏总纲!D$4:D$163,R$5:R$164,$X349)*6</f>
        <v>43281.854238255997</v>
      </c>
      <c r="Z349" s="7">
        <f>求节点(节奏总纲!E$4:E$163,S$5:S$164,$X349)*6</f>
        <v>44441.835255484781</v>
      </c>
      <c r="AA349" s="7">
        <f>求节点(节奏总纲!F$4:F$163,T$5:T$164,$X349)*6</f>
        <v>45989.609606298342</v>
      </c>
      <c r="AB349" s="7">
        <f>求节点(节奏总纲!G$4:G$163,U$5:U$164,$X349)*6</f>
        <v>48232.918931119304</v>
      </c>
      <c r="AC349" s="7">
        <f>求节点(节奏总纲!H$4:H$163,V$5:V$164,$X349)*6</f>
        <v>52122.260667834198</v>
      </c>
      <c r="AG349" s="7">
        <v>345</v>
      </c>
      <c r="AH349" s="7">
        <v>1</v>
      </c>
      <c r="AI349" s="7">
        <f>[6]实力验证!$Z351</f>
        <v>1.744745611443941</v>
      </c>
      <c r="AJ349" s="7">
        <f>[6]实力验证!$AE351</f>
        <v>3.1633946977548328</v>
      </c>
      <c r="AK349" s="7">
        <f>[6]实力验证!$AJ351</f>
        <v>8.0862760496076209</v>
      </c>
      <c r="AL349" s="7">
        <f>[6]实力验证!$AO351</f>
        <v>13.928271593558165</v>
      </c>
      <c r="AM349" s="7">
        <f t="shared" si="15"/>
        <v>97.724060999813915</v>
      </c>
    </row>
    <row r="350" spans="2:39" x14ac:dyDescent="0.15">
      <c r="B350" s="7">
        <v>346</v>
      </c>
      <c r="C350" s="7">
        <f>[1]服务器生态!W367</f>
        <v>41.133424027745093</v>
      </c>
      <c r="D350" s="7">
        <f>[1]服务器生态!X367</f>
        <v>40.557932746987923</v>
      </c>
      <c r="E350" s="7">
        <f>[1]服务器生态!Y367</f>
        <v>3.3107558404767339</v>
      </c>
      <c r="F350" s="7">
        <f>[1]服务器生态!Z367</f>
        <v>0.58900685933728525</v>
      </c>
      <c r="G350" s="7">
        <f>[1]服务器生态!AA367</f>
        <v>0.17042534185916239</v>
      </c>
      <c r="H350" s="7">
        <f>[1]服务器生态!AC367</f>
        <v>0.47962550249999997</v>
      </c>
      <c r="I350" s="7">
        <f>[1]服务器生态!AD367</f>
        <v>0.47291513735919999</v>
      </c>
      <c r="J350" s="7">
        <f>[1]服务器生态!AE367</f>
        <v>3.8604200140800002E-2</v>
      </c>
      <c r="K350" s="7">
        <f>[1]服务器生态!AF367</f>
        <v>6.8679600000000019E-3</v>
      </c>
      <c r="L350" s="7">
        <f>[1]服务器生态!AG367</f>
        <v>1.9871999999999997E-3</v>
      </c>
      <c r="M350" s="7">
        <f>[5]基础信息!M349</f>
        <v>100</v>
      </c>
      <c r="X350" s="7">
        <v>346</v>
      </c>
      <c r="Y350" s="7">
        <f>求节点(节奏总纲!D$4:D$163,R$5:R$164,$X350)*6</f>
        <v>43298.362210168401</v>
      </c>
      <c r="Z350" s="7">
        <f>求节点(节奏总纲!E$4:E$163,S$5:S$164,$X350)*6</f>
        <v>44458.690443719228</v>
      </c>
      <c r="AA350" s="7">
        <f>求节点(节奏总纲!F$4:F$163,T$5:T$164,$X350)*6</f>
        <v>46007.488133706189</v>
      </c>
      <c r="AB350" s="7">
        <f>求节点(节奏总纲!G$4:G$163,U$5:U$164,$X350)*6</f>
        <v>48250.180614240177</v>
      </c>
      <c r="AC350" s="7">
        <f>求节点(节奏总纲!H$4:H$163,V$5:V$164,$X350)*6</f>
        <v>52138.636551848322</v>
      </c>
      <c r="AG350" s="7">
        <v>346</v>
      </c>
      <c r="AH350" s="7">
        <v>1</v>
      </c>
      <c r="AI350" s="7">
        <f>[6]实力验证!$Z352</f>
        <v>1.745106820526612</v>
      </c>
      <c r="AJ350" s="7">
        <f>[6]实力验证!$AE352</f>
        <v>3.1684496798417046</v>
      </c>
      <c r="AK350" s="7">
        <f>[6]实力验证!$AJ352</f>
        <v>8.0795755292724216</v>
      </c>
      <c r="AL350" s="7">
        <f>[6]实力验证!$AO352</f>
        <v>13.904564506721176</v>
      </c>
      <c r="AM350" s="7">
        <f t="shared" si="15"/>
        <v>97.750810185904129</v>
      </c>
    </row>
    <row r="351" spans="2:39" x14ac:dyDescent="0.15">
      <c r="B351" s="7">
        <v>347</v>
      </c>
      <c r="C351" s="7">
        <f>[1]服务器生态!W368</f>
        <v>40.868778836390113</v>
      </c>
      <c r="D351" s="7">
        <f>[1]服务器生态!X368</f>
        <v>40.296990164976052</v>
      </c>
      <c r="E351" s="7">
        <f>[1]服务器生态!Y368</f>
        <v>3.289455021650137</v>
      </c>
      <c r="F351" s="7">
        <f>[1]服务器生态!Z368</f>
        <v>0.58521729314669613</v>
      </c>
      <c r="G351" s="7">
        <f>[1]服务器生态!AA368</f>
        <v>0.16932885528470085</v>
      </c>
      <c r="H351" s="7">
        <f>[1]服务器生态!AC368</f>
        <v>0.47962550249999997</v>
      </c>
      <c r="I351" s="7">
        <f>[1]服务器生态!AD368</f>
        <v>0.47291513735919999</v>
      </c>
      <c r="J351" s="7">
        <f>[1]服务器生态!AE368</f>
        <v>3.8604200140800002E-2</v>
      </c>
      <c r="K351" s="7">
        <f>[1]服务器生态!AF368</f>
        <v>6.8679600000000019E-3</v>
      </c>
      <c r="L351" s="7">
        <f>[1]服务器生态!AG368</f>
        <v>1.9871999999999997E-3</v>
      </c>
      <c r="M351" s="7">
        <f>[5]基础信息!M350</f>
        <v>100</v>
      </c>
      <c r="X351" s="7">
        <v>347</v>
      </c>
      <c r="Y351" s="7">
        <f>求节点(节奏总纲!D$4:D$163,R$5:R$164,$X351)*6</f>
        <v>43314.870182080791</v>
      </c>
      <c r="Z351" s="7">
        <f>求节点(节奏总纲!E$4:E$163,S$5:S$164,$X351)*6</f>
        <v>44475.545631953661</v>
      </c>
      <c r="AA351" s="7">
        <f>求节点(节奏总纲!F$4:F$163,T$5:T$164,$X351)*6</f>
        <v>46025.366661114043</v>
      </c>
      <c r="AB351" s="7">
        <f>求节点(节奏总纲!G$4:G$163,U$5:U$164,$X351)*6</f>
        <v>48267.442297361064</v>
      </c>
      <c r="AC351" s="7">
        <f>求节点(节奏总纲!H$4:H$163,V$5:V$164,$X351)*6</f>
        <v>52155.012435862438</v>
      </c>
      <c r="AG351" s="7">
        <v>347</v>
      </c>
      <c r="AH351" s="7">
        <v>1</v>
      </c>
      <c r="AI351" s="7">
        <f>[6]实力验证!$Z353</f>
        <v>1.7454652818895582</v>
      </c>
      <c r="AJ351" s="7">
        <f>[6]实力验证!$AE353</f>
        <v>3.1734662086485903</v>
      </c>
      <c r="AK351" s="7">
        <f>[6]实力验证!$AJ353</f>
        <v>8.0729259798368389</v>
      </c>
      <c r="AL351" s="7">
        <f>[6]实力验证!$AO353</f>
        <v>13.881037759840318</v>
      </c>
      <c r="AM351" s="7">
        <f t="shared" si="15"/>
        <v>97.77735589077038</v>
      </c>
    </row>
    <row r="352" spans="2:39" x14ac:dyDescent="0.15">
      <c r="B352" s="7">
        <v>348</v>
      </c>
      <c r="C352" s="7">
        <f>[1]服务器生态!W369</f>
        <v>40.604133645035141</v>
      </c>
      <c r="D352" s="7">
        <f>[1]服务器生态!X369</f>
        <v>40.036047582964187</v>
      </c>
      <c r="E352" s="7">
        <f>[1]服务器生态!Y369</f>
        <v>3.2681542028235411</v>
      </c>
      <c r="F352" s="7">
        <f>[1]服务器生态!Z369</f>
        <v>0.581427726956107</v>
      </c>
      <c r="G352" s="7">
        <f>[1]服务器生态!AA369</f>
        <v>0.16823236871023936</v>
      </c>
      <c r="H352" s="7">
        <f>[1]服务器生态!AC369</f>
        <v>0.47962550249999997</v>
      </c>
      <c r="I352" s="7">
        <f>[1]服务器生态!AD369</f>
        <v>0.47291513735919999</v>
      </c>
      <c r="J352" s="7">
        <f>[1]服务器生态!AE369</f>
        <v>3.8604200140800002E-2</v>
      </c>
      <c r="K352" s="7">
        <f>[1]服务器生态!AF369</f>
        <v>6.8679600000000019E-3</v>
      </c>
      <c r="L352" s="7">
        <f>[1]服务器生态!AG369</f>
        <v>1.9871999999999997E-3</v>
      </c>
      <c r="M352" s="7">
        <f>[5]基础信息!M351</f>
        <v>100</v>
      </c>
      <c r="X352" s="7">
        <v>348</v>
      </c>
      <c r="Y352" s="7">
        <f>求节点(节奏总纲!D$4:D$163,R$5:R$164,$X352)*6</f>
        <v>43331.378153993181</v>
      </c>
      <c r="Z352" s="7">
        <f>求节点(节奏总纲!E$4:E$163,S$5:S$164,$X352)*6</f>
        <v>44492.400820188101</v>
      </c>
      <c r="AA352" s="7">
        <f>求节点(节奏总纲!F$4:F$163,T$5:T$164,$X352)*6</f>
        <v>46043.245188521891</v>
      </c>
      <c r="AB352" s="7">
        <f>求节点(节奏总纲!G$4:G$163,U$5:U$164,$X352)*6</f>
        <v>48284.703980481943</v>
      </c>
      <c r="AC352" s="7">
        <f>求节点(节奏总纲!H$4:H$163,V$5:V$164,$X352)*6</f>
        <v>52171.388319876554</v>
      </c>
      <c r="AG352" s="7">
        <v>348</v>
      </c>
      <c r="AH352" s="7">
        <v>1</v>
      </c>
      <c r="AI352" s="7">
        <f>[6]实力验证!$Z354</f>
        <v>1.7458210267668619</v>
      </c>
      <c r="AJ352" s="7">
        <f>[6]实力验证!$AE354</f>
        <v>3.1784447212844524</v>
      </c>
      <c r="AK352" s="7">
        <f>[6]实力验证!$AJ354</f>
        <v>8.0663268219006952</v>
      </c>
      <c r="AL352" s="7">
        <f>[6]实力验证!$AO354</f>
        <v>13.857689302941928</v>
      </c>
      <c r="AM352" s="7">
        <f t="shared" si="15"/>
        <v>97.803700427439438</v>
      </c>
    </row>
    <row r="353" spans="2:39" x14ac:dyDescent="0.15">
      <c r="B353" s="7">
        <v>349</v>
      </c>
      <c r="C353" s="7">
        <f>[1]服务器生态!W370</f>
        <v>40.339488453680161</v>
      </c>
      <c r="D353" s="7">
        <f>[1]服务器生态!X370</f>
        <v>39.775105000952315</v>
      </c>
      <c r="E353" s="7">
        <f>[1]服务器生态!Y370</f>
        <v>3.2468533839969442</v>
      </c>
      <c r="F353" s="7">
        <f>[1]服务器生态!Z370</f>
        <v>0.57763816076551788</v>
      </c>
      <c r="G353" s="7">
        <f>[1]服务器生态!AA370</f>
        <v>0.16713588213577782</v>
      </c>
      <c r="H353" s="7">
        <f>[1]服务器生态!AC370</f>
        <v>0.47962550249999997</v>
      </c>
      <c r="I353" s="7">
        <f>[1]服务器生态!AD370</f>
        <v>0.47291513735919999</v>
      </c>
      <c r="J353" s="7">
        <f>[1]服务器生态!AE370</f>
        <v>3.8604200140800002E-2</v>
      </c>
      <c r="K353" s="7">
        <f>[1]服务器生态!AF370</f>
        <v>6.8679600000000019E-3</v>
      </c>
      <c r="L353" s="7">
        <f>[1]服务器生态!AG370</f>
        <v>1.9871999999999997E-3</v>
      </c>
      <c r="M353" s="7">
        <f>[5]基础信息!M352</f>
        <v>100</v>
      </c>
      <c r="X353" s="7">
        <v>349</v>
      </c>
      <c r="Y353" s="7">
        <f>求节点(节奏总纲!D$4:D$163,R$5:R$164,$X353)*6</f>
        <v>43347.886125905578</v>
      </c>
      <c r="Z353" s="7">
        <f>求节点(节奏总纲!E$4:E$163,S$5:S$164,$X353)*6</f>
        <v>44509.256008422533</v>
      </c>
      <c r="AA353" s="7">
        <f>求节点(节奏总纲!F$4:F$163,T$5:T$164,$X353)*6</f>
        <v>46061.123715929745</v>
      </c>
      <c r="AB353" s="7">
        <f>求节点(节奏总纲!G$4:G$163,U$5:U$164,$X353)*6</f>
        <v>48301.965663602823</v>
      </c>
      <c r="AC353" s="7">
        <f>求节点(节奏总纲!H$4:H$163,V$5:V$164,$X353)*6</f>
        <v>52187.764203890663</v>
      </c>
      <c r="AG353" s="7">
        <v>349</v>
      </c>
      <c r="AH353" s="7">
        <v>1</v>
      </c>
      <c r="AI353" s="7">
        <f>[6]实力验证!$Z355</f>
        <v>1.7461740859209973</v>
      </c>
      <c r="AJ353" s="7">
        <f>[6]实力验证!$AE355</f>
        <v>3.183385648258279</v>
      </c>
      <c r="AK353" s="7">
        <f>[6]实力验证!$AJ355</f>
        <v>8.0597774848122725</v>
      </c>
      <c r="AL353" s="7">
        <f>[6]实力验证!$AO355</f>
        <v>13.834517117005216</v>
      </c>
      <c r="AM353" s="7">
        <f t="shared" si="15"/>
        <v>97.829846074013375</v>
      </c>
    </row>
    <row r="354" spans="2:39" x14ac:dyDescent="0.15">
      <c r="B354" s="7">
        <v>350</v>
      </c>
      <c r="C354" s="7">
        <f>[1]服务器生态!W371</f>
        <v>40.074843262325182</v>
      </c>
      <c r="D354" s="7">
        <f>[1]服务器生态!X371</f>
        <v>39.514162418940444</v>
      </c>
      <c r="E354" s="7">
        <f>[1]服务器生态!Y371</f>
        <v>3.2255525651703474</v>
      </c>
      <c r="F354" s="7">
        <f>[1]服务器生态!Z371</f>
        <v>0.57384859457492865</v>
      </c>
      <c r="G354" s="7">
        <f>[1]服务器生态!AA371</f>
        <v>0.16603939556131628</v>
      </c>
      <c r="H354" s="7">
        <f>[1]服务器生态!AC371</f>
        <v>0.47962550249999997</v>
      </c>
      <c r="I354" s="7">
        <f>[1]服务器生态!AD371</f>
        <v>0.47291513735919999</v>
      </c>
      <c r="J354" s="7">
        <f>[1]服务器生态!AE371</f>
        <v>3.8604200140800002E-2</v>
      </c>
      <c r="K354" s="7">
        <f>[1]服务器生态!AF371</f>
        <v>6.8679600000000019E-3</v>
      </c>
      <c r="L354" s="7">
        <f>[1]服务器生态!AG371</f>
        <v>1.9871999999999997E-3</v>
      </c>
      <c r="M354" s="7">
        <f>[5]基础信息!M353</f>
        <v>100</v>
      </c>
      <c r="X354" s="7">
        <v>350</v>
      </c>
      <c r="Y354" s="7">
        <f>求节点(节奏总纲!D$4:D$163,R$5:R$164,$X354)*6</f>
        <v>43364.394097817967</v>
      </c>
      <c r="Z354" s="7">
        <f>求节点(节奏总纲!E$4:E$163,S$5:S$164,$X354)*6</f>
        <v>44526.111196656973</v>
      </c>
      <c r="AA354" s="7">
        <f>求节点(节奏总纲!F$4:F$163,T$5:T$164,$X354)*6</f>
        <v>46079.0022433376</v>
      </c>
      <c r="AB354" s="7">
        <f>求节点(节奏总纲!G$4:G$163,U$5:U$164,$X354)*6</f>
        <v>48319.227346723696</v>
      </c>
      <c r="AC354" s="7">
        <f>求节点(节奏总纲!H$4:H$163,V$5:V$164,$X354)*6</f>
        <v>52204.140087904787</v>
      </c>
      <c r="AG354" s="7">
        <v>350</v>
      </c>
      <c r="AH354" s="7">
        <v>1</v>
      </c>
      <c r="AI354" s="7">
        <f>[6]实力验证!$Z356</f>
        <v>1.7465244896516983</v>
      </c>
      <c r="AJ354" s="7">
        <f>[6]实力验证!$AE356</f>
        <v>3.1882894136031812</v>
      </c>
      <c r="AK354" s="7">
        <f>[6]实力验证!$AJ356</f>
        <v>8.0532774065038062</v>
      </c>
      <c r="AL354" s="7">
        <f>[6]实力验证!$AO356</f>
        <v>13.81151921338024</v>
      </c>
      <c r="AM354" s="7">
        <f t="shared" si="15"/>
        <v>97.855795074326181</v>
      </c>
    </row>
    <row r="355" spans="2:39" x14ac:dyDescent="0.15">
      <c r="B355" s="7">
        <v>351</v>
      </c>
      <c r="C355" s="7">
        <f>[1]服务器生态!W372</f>
        <v>39.810198070970202</v>
      </c>
      <c r="D355" s="7">
        <f>[1]服务器生态!X372</f>
        <v>39.253219836928572</v>
      </c>
      <c r="E355" s="7">
        <f>[1]服务器生态!Y372</f>
        <v>3.2042517463437505</v>
      </c>
      <c r="F355" s="7">
        <f>[1]服务器生态!Z372</f>
        <v>0.57005902838433953</v>
      </c>
      <c r="G355" s="7">
        <f>[1]服务器生态!AA372</f>
        <v>0.16494290898685476</v>
      </c>
      <c r="H355" s="7">
        <f>[1]服务器生态!AC372</f>
        <v>0.47962550249999997</v>
      </c>
      <c r="I355" s="7">
        <f>[1]服务器生态!AD372</f>
        <v>0.47291513735919999</v>
      </c>
      <c r="J355" s="7">
        <f>[1]服务器生态!AE372</f>
        <v>3.8604200140800002E-2</v>
      </c>
      <c r="K355" s="7">
        <f>[1]服务器生态!AF372</f>
        <v>6.8679600000000019E-3</v>
      </c>
      <c r="L355" s="7">
        <f>[1]服务器生态!AG372</f>
        <v>1.9871999999999997E-3</v>
      </c>
      <c r="M355" s="7">
        <f>[5]基础信息!M354</f>
        <v>100</v>
      </c>
      <c r="X355" s="7">
        <v>351</v>
      </c>
      <c r="Y355" s="7">
        <f>求节点(节奏总纲!D$4:D$163,R$5:R$164,$X355)*6</f>
        <v>43380.902069730364</v>
      </c>
      <c r="Z355" s="7">
        <f>求节点(节奏总纲!E$4:E$163,S$5:S$164,$X355)*6</f>
        <v>44542.966384891413</v>
      </c>
      <c r="AA355" s="7">
        <f>求节点(节奏总纲!F$4:F$163,T$5:T$164,$X355)*6</f>
        <v>46096.880770745447</v>
      </c>
      <c r="AB355" s="7">
        <f>求节点(节奏总纲!G$4:G$163,U$5:U$164,$X355)*6</f>
        <v>48336.489029844583</v>
      </c>
      <c r="AC355" s="7">
        <f>求节点(节奏总纲!H$4:H$163,V$5:V$164,$X355)*6</f>
        <v>52220.515971918896</v>
      </c>
      <c r="AG355" s="7">
        <v>351</v>
      </c>
      <c r="AH355" s="7">
        <v>1</v>
      </c>
      <c r="AI355" s="7">
        <f>[6]实力验证!$Z357</f>
        <v>1.7468722678046262</v>
      </c>
      <c r="AJ355" s="7">
        <f>[6]实力验证!$AE357</f>
        <v>3.1931564349977046</v>
      </c>
      <c r="AK355" s="7">
        <f>[6]实力验证!$AJ357</f>
        <v>8.0468260333306869</v>
      </c>
      <c r="AL355" s="7">
        <f>[6]实力验证!$AO357</f>
        <v>13.788693633219012</v>
      </c>
      <c r="AM355" s="7">
        <f t="shared" si="15"/>
        <v>97.88154963858571</v>
      </c>
    </row>
    <row r="356" spans="2:39" x14ac:dyDescent="0.15">
      <c r="B356" s="7">
        <v>352</v>
      </c>
      <c r="C356" s="7">
        <f>[1]服务器生态!W373</f>
        <v>39.545552879615222</v>
      </c>
      <c r="D356" s="7">
        <f>[1]服务器生态!X373</f>
        <v>38.992277254916694</v>
      </c>
      <c r="E356" s="7">
        <f>[1]服务器生态!Y373</f>
        <v>3.1829509275171537</v>
      </c>
      <c r="F356" s="7">
        <f>[1]服务器生态!Z373</f>
        <v>0.56626946219375029</v>
      </c>
      <c r="G356" s="7">
        <f>[1]服务器生态!AA373</f>
        <v>0.16384642241239322</v>
      </c>
      <c r="H356" s="7">
        <f>[1]服务器生态!AC373</f>
        <v>0.47962550249999997</v>
      </c>
      <c r="I356" s="7">
        <f>[1]服务器生态!AD373</f>
        <v>0.47291513735919999</v>
      </c>
      <c r="J356" s="7">
        <f>[1]服务器生态!AE373</f>
        <v>3.8604200140800002E-2</v>
      </c>
      <c r="K356" s="7">
        <f>[1]服务器生态!AF373</f>
        <v>6.8679600000000019E-3</v>
      </c>
      <c r="L356" s="7">
        <f>[1]服务器生态!AG373</f>
        <v>1.9871999999999997E-3</v>
      </c>
      <c r="M356" s="7">
        <f>[5]基础信息!M355</f>
        <v>100</v>
      </c>
      <c r="X356" s="7">
        <v>352</v>
      </c>
      <c r="Y356" s="7">
        <f>求节点(节奏总纲!D$4:D$163,R$5:R$164,$X356)*6</f>
        <v>43397.410041642754</v>
      </c>
      <c r="Z356" s="7">
        <f>求节点(节奏总纲!E$4:E$163,S$5:S$164,$X356)*6</f>
        <v>44559.821573125853</v>
      </c>
      <c r="AA356" s="7">
        <f>求节点(节奏总纲!F$4:F$163,T$5:T$164,$X356)*6</f>
        <v>46114.759298153302</v>
      </c>
      <c r="AB356" s="7">
        <f>求节点(节奏总纲!G$4:G$163,U$5:U$164,$X356)*6</f>
        <v>48353.750712965462</v>
      </c>
      <c r="AC356" s="7">
        <f>求节点(节奏总纲!H$4:H$163,V$5:V$164,$X356)*6</f>
        <v>52236.891855933012</v>
      </c>
      <c r="AG356" s="7">
        <v>352</v>
      </c>
      <c r="AH356" s="7">
        <v>1</v>
      </c>
      <c r="AI356" s="7">
        <f>[6]实力验证!$Z358</f>
        <v>1.7472174497798445</v>
      </c>
      <c r="AJ356" s="7">
        <f>[6]实力验证!$AE358</f>
        <v>3.1979871238844195</v>
      </c>
      <c r="AK356" s="7">
        <f>[6]实力验证!$AJ358</f>
        <v>8.0404228199142604</v>
      </c>
      <c r="AL356" s="7">
        <f>[6]实力验证!$AO358</f>
        <v>13.766038446919291</v>
      </c>
      <c r="AM356" s="7">
        <f t="shared" si="15"/>
        <v>97.907111944001244</v>
      </c>
    </row>
    <row r="357" spans="2:39" x14ac:dyDescent="0.15">
      <c r="B357" s="7">
        <v>353</v>
      </c>
      <c r="C357" s="7">
        <f>[1]服务器生态!W374</f>
        <v>39.280907688260243</v>
      </c>
      <c r="D357" s="7">
        <f>[1]服务器生态!X374</f>
        <v>38.731334672904822</v>
      </c>
      <c r="E357" s="7">
        <f>[1]服务器生态!Y374</f>
        <v>3.1616501086905573</v>
      </c>
      <c r="F357" s="7">
        <f>[1]服务器生态!Z374</f>
        <v>0.56247989600316117</v>
      </c>
      <c r="G357" s="7">
        <f>[1]服务器生态!AA374</f>
        <v>0.16274993583793171</v>
      </c>
      <c r="H357" s="7">
        <f>[1]服务器生态!AC374</f>
        <v>0.47962550249999997</v>
      </c>
      <c r="I357" s="7">
        <f>[1]服务器生态!AD374</f>
        <v>0.47291513735919999</v>
      </c>
      <c r="J357" s="7">
        <f>[1]服务器生态!AE374</f>
        <v>3.8604200140800002E-2</v>
      </c>
      <c r="K357" s="7">
        <f>[1]服务器生态!AF374</f>
        <v>6.8679600000000019E-3</v>
      </c>
      <c r="L357" s="7">
        <f>[1]服务器生态!AG374</f>
        <v>1.9871999999999997E-3</v>
      </c>
      <c r="M357" s="7">
        <f>[5]基础信息!M356</f>
        <v>100</v>
      </c>
      <c r="X357" s="7">
        <v>353</v>
      </c>
      <c r="Y357" s="7">
        <f>求节点(节奏总纲!D$4:D$163,R$5:R$164,$X357)*6</f>
        <v>43413.918013555151</v>
      </c>
      <c r="Z357" s="7">
        <f>求节点(节奏总纲!E$4:E$163,S$5:S$164,$X357)*6</f>
        <v>44576.676761360286</v>
      </c>
      <c r="AA357" s="7">
        <f>求节点(节奏总纲!F$4:F$163,T$5:T$164,$X357)*6</f>
        <v>46132.637825561149</v>
      </c>
      <c r="AB357" s="7">
        <f>求节点(节奏总纲!G$4:G$163,U$5:U$164,$X357)*6</f>
        <v>48371.012396086342</v>
      </c>
      <c r="AC357" s="7">
        <f>求节点(节奏总纲!H$4:H$163,V$5:V$164,$X357)*6</f>
        <v>52253.267739947136</v>
      </c>
      <c r="AG357" s="7">
        <v>353</v>
      </c>
      <c r="AH357" s="7">
        <v>1</v>
      </c>
      <c r="AI357" s="7">
        <f>[6]实力验证!$Z359</f>
        <v>1.7475600645401035</v>
      </c>
      <c r="AJ357" s="7">
        <f>[6]实力验证!$AE359</f>
        <v>3.2027818855858707</v>
      </c>
      <c r="AK357" s="7">
        <f>[6]实力验证!$AJ359</f>
        <v>8.0340672289881443</v>
      </c>
      <c r="AL357" s="7">
        <f>[6]实力验证!$AO359</f>
        <v>13.743551753580812</v>
      </c>
      <c r="AM357" s="7">
        <f t="shared" si="15"/>
        <v>97.932484135397004</v>
      </c>
    </row>
    <row r="358" spans="2:39" x14ac:dyDescent="0.15">
      <c r="B358" s="7">
        <v>354</v>
      </c>
      <c r="C358" s="7">
        <f>[1]服务器生态!W375</f>
        <v>39.01626249690527</v>
      </c>
      <c r="D358" s="7">
        <f>[1]服务器生态!X375</f>
        <v>38.470392090892958</v>
      </c>
      <c r="E358" s="7">
        <f>[1]服务器生态!Y375</f>
        <v>3.1403492898639609</v>
      </c>
      <c r="F358" s="7">
        <f>[1]服务器生态!Z375</f>
        <v>0.55869032981257205</v>
      </c>
      <c r="G358" s="7">
        <f>[1]服务器生态!AA375</f>
        <v>0.16165344926347019</v>
      </c>
      <c r="H358" s="7">
        <f>[1]服务器生态!AC375</f>
        <v>0.47962550249999997</v>
      </c>
      <c r="I358" s="7">
        <f>[1]服务器生态!AD375</f>
        <v>0.47291513735919999</v>
      </c>
      <c r="J358" s="7">
        <f>[1]服务器生态!AE375</f>
        <v>3.8604200140800002E-2</v>
      </c>
      <c r="K358" s="7">
        <f>[1]服务器生态!AF375</f>
        <v>6.8679600000000019E-3</v>
      </c>
      <c r="L358" s="7">
        <f>[1]服务器生态!AG375</f>
        <v>1.9871999999999997E-3</v>
      </c>
      <c r="M358" s="7">
        <f>[5]基础信息!M357</f>
        <v>100</v>
      </c>
      <c r="X358" s="7">
        <v>354</v>
      </c>
      <c r="Y358" s="7">
        <f>求节点(节奏总纲!D$4:D$163,R$5:R$164,$X358)*6</f>
        <v>43430.425985467547</v>
      </c>
      <c r="Z358" s="7">
        <f>求节点(节奏总纲!E$4:E$163,S$5:S$164,$X358)*6</f>
        <v>44593.531949594719</v>
      </c>
      <c r="AA358" s="7">
        <f>求节点(节奏总纲!F$4:F$163,T$5:T$164,$X358)*6</f>
        <v>46150.516352969003</v>
      </c>
      <c r="AB358" s="7">
        <f>求节点(节奏总纲!G$4:G$163,U$5:U$164,$X358)*6</f>
        <v>48388.274079207222</v>
      </c>
      <c r="AC358" s="7">
        <f>求节点(节奏总纲!H$4:H$163,V$5:V$164,$X358)*6</f>
        <v>52269.643623961252</v>
      </c>
      <c r="AG358" s="7">
        <v>354</v>
      </c>
      <c r="AH358" s="7">
        <v>1</v>
      </c>
      <c r="AI358" s="7">
        <f>[6]实力验证!$Z360</f>
        <v>1.7479001406189416</v>
      </c>
      <c r="AJ358" s="7">
        <f>[6]实力验证!$AE360</f>
        <v>3.2075411194179431</v>
      </c>
      <c r="AK358" s="7">
        <f>[6]实力验证!$AJ360</f>
        <v>8.0277587312479479</v>
      </c>
      <c r="AL358" s="7">
        <f>[6]实力验证!$AO360</f>
        <v>13.721231680473624</v>
      </c>
      <c r="AM358" s="7">
        <f t="shared" si="15"/>
        <v>97.957668325812151</v>
      </c>
    </row>
    <row r="359" spans="2:39" x14ac:dyDescent="0.15">
      <c r="B359" s="7">
        <v>355</v>
      </c>
      <c r="C359" s="7">
        <f>[1]服务器生态!W376</f>
        <v>38.751617305550283</v>
      </c>
      <c r="D359" s="7">
        <f>[1]服务器生态!X376</f>
        <v>38.209449508881079</v>
      </c>
      <c r="E359" s="7">
        <f>[1]服务器生态!Y376</f>
        <v>3.1190484710373636</v>
      </c>
      <c r="F359" s="7">
        <f>[1]服务器生态!Z376</f>
        <v>0.55490076362198282</v>
      </c>
      <c r="G359" s="7">
        <f>[1]服务器生态!AA376</f>
        <v>0.16055696268900865</v>
      </c>
      <c r="H359" s="7">
        <f>[1]服务器生态!AC376</f>
        <v>0.47962550249999997</v>
      </c>
      <c r="I359" s="7">
        <f>[1]服务器生态!AD376</f>
        <v>0.47291513735919999</v>
      </c>
      <c r="J359" s="7">
        <f>[1]服务器生态!AE376</f>
        <v>3.8604200140800002E-2</v>
      </c>
      <c r="K359" s="7">
        <f>[1]服务器生态!AF376</f>
        <v>6.8679600000000019E-3</v>
      </c>
      <c r="L359" s="7">
        <f>[1]服务器生态!AG376</f>
        <v>1.9871999999999997E-3</v>
      </c>
      <c r="M359" s="7">
        <f>[5]基础信息!M358</f>
        <v>100</v>
      </c>
      <c r="X359" s="7">
        <v>355</v>
      </c>
      <c r="Y359" s="7">
        <f>求节点(节奏总纲!D$4:D$163,R$5:R$164,$X359)*6</f>
        <v>43446.933957379937</v>
      </c>
      <c r="Z359" s="7">
        <f>求节点(节奏总纲!E$4:E$163,S$5:S$164,$X359)*6</f>
        <v>44610.387137829166</v>
      </c>
      <c r="AA359" s="7">
        <f>求节点(节奏总纲!F$4:F$163,T$5:T$164,$X359)*6</f>
        <v>46166.430122110716</v>
      </c>
      <c r="AB359" s="7">
        <f>求节点(节奏总纲!G$4:G$163,U$5:U$164,$X359)*6</f>
        <v>48405.535762328102</v>
      </c>
      <c r="AC359" s="7">
        <f>求节点(节奏总纲!H$4:H$163,V$5:V$164,$X359)*6</f>
        <v>52286.019507975361</v>
      </c>
      <c r="AG359" s="7">
        <v>355</v>
      </c>
      <c r="AH359" s="7">
        <v>1</v>
      </c>
      <c r="AI359" s="7">
        <f>[6]实力验证!$Z361</f>
        <v>1.7482377061286063</v>
      </c>
      <c r="AJ359" s="7">
        <f>[6]实力验证!$AE361</f>
        <v>3.2121940570197536</v>
      </c>
      <c r="AK359" s="7">
        <f>[6]实力验证!$AJ361</f>
        <v>8.0214968052043254</v>
      </c>
      <c r="AL359" s="7">
        <f>[6]实力验证!$AO361</f>
        <v>13.699076382518161</v>
      </c>
      <c r="AM359" s="7">
        <f t="shared" si="15"/>
        <v>97.982172111232984</v>
      </c>
    </row>
    <row r="360" spans="2:39" x14ac:dyDescent="0.15">
      <c r="B360" s="7">
        <v>356</v>
      </c>
      <c r="C360" s="7">
        <f>[1]服务器生态!W377</f>
        <v>38.486972114195311</v>
      </c>
      <c r="D360" s="7">
        <f>[1]服务器生态!X377</f>
        <v>37.948506926869214</v>
      </c>
      <c r="E360" s="7">
        <f>[1]服务器生态!Y377</f>
        <v>3.0977476522107672</v>
      </c>
      <c r="F360" s="7">
        <f>[1]服务器生态!Z377</f>
        <v>0.5511111974313937</v>
      </c>
      <c r="G360" s="7">
        <f>[1]服务器生态!AA377</f>
        <v>0.15946047611454714</v>
      </c>
      <c r="H360" s="7">
        <f>[1]服务器生态!AC377</f>
        <v>0.47962550249999997</v>
      </c>
      <c r="I360" s="7">
        <f>[1]服务器生态!AD377</f>
        <v>0.47291513735919999</v>
      </c>
      <c r="J360" s="7">
        <f>[1]服务器生态!AE377</f>
        <v>3.8604200140800002E-2</v>
      </c>
      <c r="K360" s="7">
        <f>[1]服务器生态!AF377</f>
        <v>6.8679600000000019E-3</v>
      </c>
      <c r="L360" s="7">
        <f>[1]服务器生态!AG377</f>
        <v>1.9871999999999997E-3</v>
      </c>
      <c r="M360" s="7">
        <f>[5]基础信息!M359</f>
        <v>100</v>
      </c>
      <c r="X360" s="7">
        <v>356</v>
      </c>
      <c r="Y360" s="7">
        <f>求节点(节奏总纲!D$4:D$163,R$5:R$164,$X360)*6</f>
        <v>43463.441929292334</v>
      </c>
      <c r="Z360" s="7">
        <f>求节点(节奏总纲!E$4:E$163,S$5:S$164,$X360)*6</f>
        <v>44627.242326063599</v>
      </c>
      <c r="AA360" s="7">
        <f>求节点(节奏总纲!F$4:F$163,T$5:T$164,$X360)*6</f>
        <v>46182.068332225361</v>
      </c>
      <c r="AB360" s="7">
        <f>求节点(节奏总纲!G$4:G$163,U$5:U$164,$X360)*6</f>
        <v>48421.89030293571</v>
      </c>
      <c r="AC360" s="7">
        <f>求节点(节奏总纲!H$4:H$163,V$5:V$164,$X360)*6</f>
        <v>52302.39539198947</v>
      </c>
      <c r="AG360" s="7">
        <v>356</v>
      </c>
      <c r="AH360" s="7">
        <v>1</v>
      </c>
      <c r="AI360" s="7">
        <f>[6]实力验证!$Z362</f>
        <v>1.748572788767802</v>
      </c>
      <c r="AJ360" s="7">
        <f>[6]实力验证!$AE362</f>
        <v>3.2168028274197025</v>
      </c>
      <c r="AK360" s="7">
        <f>[6]实力验证!$AJ362</f>
        <v>8.0133933363124275</v>
      </c>
      <c r="AL360" s="7">
        <f>[6]实力验证!$AO362</f>
        <v>13.677084041776805</v>
      </c>
      <c r="AM360" s="7">
        <f t="shared" si="15"/>
        <v>98.003833775513186</v>
      </c>
    </row>
    <row r="361" spans="2:39" x14ac:dyDescent="0.15">
      <c r="B361" s="7">
        <v>357</v>
      </c>
      <c r="C361" s="7">
        <f>[1]服务器生态!W378</f>
        <v>38.222326922840338</v>
      </c>
      <c r="D361" s="7">
        <f>[1]服务器生态!X378</f>
        <v>37.68756434485735</v>
      </c>
      <c r="E361" s="7">
        <f>[1]服务器生态!Y378</f>
        <v>3.0764468333841712</v>
      </c>
      <c r="F361" s="7">
        <f>[1]服务器生态!Z378</f>
        <v>0.54732163124080468</v>
      </c>
      <c r="G361" s="7">
        <f>[1]服务器生态!AA378</f>
        <v>0.15836398954008565</v>
      </c>
      <c r="H361" s="7">
        <f>[1]服务器生态!AC378</f>
        <v>0.47962550249999997</v>
      </c>
      <c r="I361" s="7">
        <f>[1]服务器生态!AD378</f>
        <v>0.47291513735919999</v>
      </c>
      <c r="J361" s="7">
        <f>[1]服务器生态!AE378</f>
        <v>3.8604200140800002E-2</v>
      </c>
      <c r="K361" s="7">
        <f>[1]服务器生态!AF378</f>
        <v>6.8679600000000019E-3</v>
      </c>
      <c r="L361" s="7">
        <f>[1]服务器生态!AG378</f>
        <v>1.9871999999999997E-3</v>
      </c>
      <c r="M361" s="7">
        <f>[5]基础信息!M360</f>
        <v>100</v>
      </c>
      <c r="X361" s="7">
        <v>357</v>
      </c>
      <c r="Y361" s="7">
        <f>求节点(节奏总纲!D$4:D$163,R$5:R$164,$X361)*6</f>
        <v>43479.949901204724</v>
      </c>
      <c r="Z361" s="7">
        <f>求节点(节奏总纲!E$4:E$163,S$5:S$164,$X361)*6</f>
        <v>44644.097514298039</v>
      </c>
      <c r="AA361" s="7">
        <f>求节点(节奏总纲!F$4:F$163,T$5:T$164,$X361)*6</f>
        <v>46197.706542340005</v>
      </c>
      <c r="AB361" s="7">
        <f>求节点(节奏总纲!G$4:G$163,U$5:U$164,$X361)*6</f>
        <v>48437.658711601362</v>
      </c>
      <c r="AC361" s="7">
        <f>求节点(节奏总纲!H$4:H$163,V$5:V$164,$X361)*6</f>
        <v>52318.771276003594</v>
      </c>
      <c r="AG361" s="7">
        <v>357</v>
      </c>
      <c r="AH361" s="7">
        <v>1</v>
      </c>
      <c r="AI361" s="7">
        <f>[6]实力验证!$Z363</f>
        <v>1.7489054158292645</v>
      </c>
      <c r="AJ361" s="7">
        <f>[6]实力验证!$AE363</f>
        <v>3.2213778234826771</v>
      </c>
      <c r="AK361" s="7">
        <f>[6]实力验证!$AJ363</f>
        <v>8.0041340854274914</v>
      </c>
      <c r="AL361" s="7">
        <f>[6]实力验证!$AO363</f>
        <v>13.655252866956632</v>
      </c>
      <c r="AM361" s="7">
        <f t="shared" si="15"/>
        <v>98.023667554257301</v>
      </c>
    </row>
    <row r="362" spans="2:39" x14ac:dyDescent="0.15">
      <c r="B362" s="7">
        <v>358</v>
      </c>
      <c r="C362" s="7">
        <f>[1]服务器生态!W379</f>
        <v>37.957681731485359</v>
      </c>
      <c r="D362" s="7">
        <f>[1]服务器生态!X379</f>
        <v>37.426621762845478</v>
      </c>
      <c r="E362" s="7">
        <f>[1]服务器生态!Y379</f>
        <v>3.0551460145575744</v>
      </c>
      <c r="F362" s="7">
        <f>[1]服务器生态!Z379</f>
        <v>0.54353206505021545</v>
      </c>
      <c r="G362" s="7">
        <f>[1]服务器生态!AA379</f>
        <v>0.15726750296562411</v>
      </c>
      <c r="H362" s="7">
        <f>[1]服务器生态!AC379</f>
        <v>0.47962550249999997</v>
      </c>
      <c r="I362" s="7">
        <f>[1]服务器生态!AD379</f>
        <v>0.47291513735919999</v>
      </c>
      <c r="J362" s="7">
        <f>[1]服务器生态!AE379</f>
        <v>3.8604200140800002E-2</v>
      </c>
      <c r="K362" s="7">
        <f>[1]服务器生态!AF379</f>
        <v>6.8679600000000019E-3</v>
      </c>
      <c r="L362" s="7">
        <f>[1]服务器生态!AG379</f>
        <v>1.9871999999999997E-3</v>
      </c>
      <c r="M362" s="7">
        <f>[5]基础信息!M361</f>
        <v>100</v>
      </c>
      <c r="X362" s="7">
        <v>358</v>
      </c>
      <c r="Y362" s="7">
        <f>求节点(节奏总纲!D$4:D$163,R$5:R$164,$X362)*6</f>
        <v>43496.45787311712</v>
      </c>
      <c r="Z362" s="7">
        <f>求节点(节奏总纲!E$4:E$163,S$5:S$164,$X362)*6</f>
        <v>44660.952702532471</v>
      </c>
      <c r="AA362" s="7">
        <f>求节点(节奏总纲!F$4:F$163,T$5:T$164,$X362)*6</f>
        <v>46213.344752454643</v>
      </c>
      <c r="AB362" s="7">
        <f>求节点(节奏总纲!G$4:G$163,U$5:U$164,$X362)*6</f>
        <v>48453.427120267013</v>
      </c>
      <c r="AC362" s="7">
        <f>求节点(节奏总纲!H$4:H$163,V$5:V$164,$X362)*6</f>
        <v>52335.14716001771</v>
      </c>
      <c r="AG362" s="7">
        <v>358</v>
      </c>
      <c r="AH362" s="7">
        <v>1</v>
      </c>
      <c r="AI362" s="7">
        <f>[6]实力验证!$Z364</f>
        <v>1.7492356142071732</v>
      </c>
      <c r="AJ362" s="7">
        <f>[6]实力验证!$AE364</f>
        <v>3.2259194151147361</v>
      </c>
      <c r="AK362" s="7">
        <f>[6]实力验证!$AJ364</f>
        <v>7.9949424411595338</v>
      </c>
      <c r="AL362" s="7">
        <f>[6]实力验证!$AO364</f>
        <v>13.633581092923052</v>
      </c>
      <c r="AM362" s="7">
        <f t="shared" si="15"/>
        <v>98.043356516244657</v>
      </c>
    </row>
    <row r="363" spans="2:39" x14ac:dyDescent="0.15">
      <c r="B363" s="7">
        <v>359</v>
      </c>
      <c r="C363" s="7">
        <f>[1]服务器生态!W380</f>
        <v>37.693036540130379</v>
      </c>
      <c r="D363" s="7">
        <f>[1]服务器生态!X380</f>
        <v>37.165679180833607</v>
      </c>
      <c r="E363" s="7">
        <f>[1]服务器生态!Y380</f>
        <v>3.0338451957309776</v>
      </c>
      <c r="F363" s="7">
        <f>[1]服务器生态!Z380</f>
        <v>0.53974249885962633</v>
      </c>
      <c r="G363" s="7">
        <f>[1]服务器生态!AA380</f>
        <v>0.15617101639116257</v>
      </c>
      <c r="H363" s="7">
        <f>[1]服务器生态!AC380</f>
        <v>0.47962550249999997</v>
      </c>
      <c r="I363" s="7">
        <f>[1]服务器生态!AD380</f>
        <v>0.47291513735919999</v>
      </c>
      <c r="J363" s="7">
        <f>[1]服务器生态!AE380</f>
        <v>3.8604200140800002E-2</v>
      </c>
      <c r="K363" s="7">
        <f>[1]服务器生态!AF380</f>
        <v>6.8679600000000019E-3</v>
      </c>
      <c r="L363" s="7">
        <f>[1]服务器生态!AG380</f>
        <v>1.9871999999999997E-3</v>
      </c>
      <c r="M363" s="7">
        <f>[5]基础信息!M362</f>
        <v>100</v>
      </c>
      <c r="X363" s="7">
        <v>359</v>
      </c>
      <c r="Y363" s="7">
        <f>求节点(节奏总纲!D$4:D$163,R$5:R$164,$X363)*6</f>
        <v>43512.96584502951</v>
      </c>
      <c r="Z363" s="7">
        <f>求节点(节奏总纲!E$4:E$163,S$5:S$164,$X363)*6</f>
        <v>44676.693827948489</v>
      </c>
      <c r="AA363" s="7">
        <f>求节点(节奏总纲!F$4:F$163,T$5:T$164,$X363)*6</f>
        <v>46228.982962569287</v>
      </c>
      <c r="AB363" s="7">
        <f>求节点(节奏总纲!G$4:G$163,U$5:U$164,$X363)*6</f>
        <v>48469.195528932665</v>
      </c>
      <c r="AC363" s="7">
        <f>求节点(节奏总纲!H$4:H$163,V$5:V$164,$X363)*6</f>
        <v>52351.523044031826</v>
      </c>
      <c r="AG363" s="7">
        <v>359</v>
      </c>
      <c r="AH363" s="7">
        <v>1</v>
      </c>
      <c r="AI363" s="7">
        <f>[6]实力验证!$Z365</f>
        <v>1.7492774602229981</v>
      </c>
      <c r="AJ363" s="7">
        <f>[6]实力验证!$AE365</f>
        <v>3.2304279668398328</v>
      </c>
      <c r="AK363" s="7">
        <f>[6]实力验证!$AJ365</f>
        <v>7.9858176657551958</v>
      </c>
      <c r="AL363" s="7">
        <f>[6]实力验证!$AO365</f>
        <v>13.612066980224043</v>
      </c>
      <c r="AM363" s="7">
        <f t="shared" si="15"/>
        <v>98.05478843162102</v>
      </c>
    </row>
    <row r="364" spans="2:39" x14ac:dyDescent="0.15">
      <c r="B364" s="7">
        <v>360</v>
      </c>
      <c r="C364" s="7">
        <f>[1]服务器生态!W381</f>
        <v>37.428391348775406</v>
      </c>
      <c r="D364" s="7">
        <f>[1]服务器生态!X381</f>
        <v>36.904736598821728</v>
      </c>
      <c r="E364" s="7">
        <f>[1]服务器生态!Y381</f>
        <v>3.0125443769043807</v>
      </c>
      <c r="F364" s="7">
        <f>[1]服务器生态!Z381</f>
        <v>0.5359529326690371</v>
      </c>
      <c r="G364" s="7">
        <f>[1]服务器生态!AA381</f>
        <v>0.15507452981670106</v>
      </c>
      <c r="H364" s="7">
        <f>[1]服务器生态!AC381</f>
        <v>0.47962550249999997</v>
      </c>
      <c r="I364" s="7">
        <f>[1]服务器生态!AD381</f>
        <v>0.47291513735919999</v>
      </c>
      <c r="J364" s="7">
        <f>[1]服务器生态!AE381</f>
        <v>3.8604200140800002E-2</v>
      </c>
      <c r="K364" s="7">
        <f>[1]服务器生态!AF381</f>
        <v>6.8679600000000019E-3</v>
      </c>
      <c r="L364" s="7">
        <f>[1]服务器生态!AG381</f>
        <v>1.9871999999999997E-3</v>
      </c>
      <c r="M364" s="7">
        <f>[5]基础信息!M363</f>
        <v>100</v>
      </c>
      <c r="X364" s="7">
        <v>360</v>
      </c>
      <c r="Y364" s="7">
        <f>求节点(节奏总纲!D$4:D$163,R$5:R$164,$X364)*6</f>
        <v>43529.473816941907</v>
      </c>
      <c r="Z364" s="7">
        <f>求节点(节奏总纲!E$4:E$163,S$5:S$164,$X364)*6</f>
        <v>44691.9919343363</v>
      </c>
      <c r="AA364" s="7">
        <f>求节点(节奏总纲!F$4:F$163,T$5:T$164,$X364)*6</f>
        <v>46244.621172683932</v>
      </c>
      <c r="AB364" s="7">
        <f>求节点(节奏总纲!G$4:G$163,U$5:U$164,$X364)*6</f>
        <v>48484.963937598317</v>
      </c>
      <c r="AC364" s="7">
        <f>求节点(节奏总纲!H$4:H$163,V$5:V$164,$X364)*6</f>
        <v>52367.89892804595</v>
      </c>
      <c r="AG364" s="7">
        <v>360</v>
      </c>
      <c r="AH364" s="7">
        <v>1</v>
      </c>
      <c r="AI364" s="7">
        <f>[6]实力验证!$Z366</f>
        <v>1.7492057038805837</v>
      </c>
      <c r="AJ364" s="7">
        <f>[6]实力验证!$AE366</f>
        <v>3.2349038378973454</v>
      </c>
      <c r="AK364" s="7">
        <f>[6]实力验证!$AJ366</f>
        <v>7.976759032156461</v>
      </c>
      <c r="AL364" s="7">
        <f>[6]实力验证!$AO366</f>
        <v>13.590708814624755</v>
      </c>
      <c r="AM364" s="7">
        <f t="shared" si="15"/>
        <v>98.062922631990872</v>
      </c>
    </row>
    <row r="365" spans="2:39" x14ac:dyDescent="0.15">
      <c r="B365" s="7">
        <v>361</v>
      </c>
      <c r="C365" s="7">
        <f>[1]服务器生态!W382</f>
        <v>37.210059065907544</v>
      </c>
      <c r="D365" s="7">
        <f>[1]服务器生态!X382</f>
        <v>36.689458968661938</v>
      </c>
      <c r="E365" s="7">
        <f>[1]服务器生态!Y382</f>
        <v>2.9949712013724388</v>
      </c>
      <c r="F365" s="7">
        <f>[1]服务器生态!Z382</f>
        <v>0.53282654056180112</v>
      </c>
      <c r="G365" s="7">
        <f>[1]服务器生态!AA382</f>
        <v>0.1541699283927703</v>
      </c>
      <c r="H365" s="7">
        <f>[1]服务器生态!AC382</f>
        <v>0.47962550249999997</v>
      </c>
      <c r="I365" s="7">
        <f>[1]服务器生态!AD382</f>
        <v>0.47291513735919999</v>
      </c>
      <c r="J365" s="7">
        <f>[1]服务器生态!AE382</f>
        <v>3.8604200140800002E-2</v>
      </c>
      <c r="K365" s="7">
        <f>[1]服务器生态!AF382</f>
        <v>6.8679600000000019E-3</v>
      </c>
      <c r="L365" s="7">
        <f>[1]服务器生态!AG382</f>
        <v>1.9871999999999997E-3</v>
      </c>
      <c r="M365" s="7">
        <f>[5]基础信息!M364</f>
        <v>100</v>
      </c>
      <c r="X365" s="7">
        <v>361</v>
      </c>
      <c r="Y365" s="7">
        <f>求节点(节奏总纲!D$4:D$163,R$5:R$164,$X365)*6</f>
        <v>43545.981788854304</v>
      </c>
      <c r="Z365" s="7">
        <f>求节点(节奏总纲!E$4:E$163,S$5:S$164,$X365)*6</f>
        <v>44707.290040724118</v>
      </c>
      <c r="AA365" s="7">
        <f>求节点(节奏总纲!F$4:F$163,T$5:T$164,$X365)*6</f>
        <v>46260.259382798577</v>
      </c>
      <c r="AB365" s="7">
        <f>求节点(节奏总纲!G$4:G$163,U$5:U$164,$X365)*6</f>
        <v>48500.732346263969</v>
      </c>
      <c r="AC365" s="7">
        <f>求节点(节奏总纲!H$4:H$163,V$5:V$164,$X365)*6</f>
        <v>52384.015566607937</v>
      </c>
    </row>
    <row r="366" spans="2:39" x14ac:dyDescent="0.15">
      <c r="B366" s="7">
        <v>362</v>
      </c>
      <c r="C366" s="7">
        <f>[1]服务器生态!W383</f>
        <v>36.991726783039688</v>
      </c>
      <c r="D366" s="7">
        <f>[1]服务器生态!X383</f>
        <v>36.474181338502142</v>
      </c>
      <c r="E366" s="7">
        <f>[1]服务器生态!Y383</f>
        <v>2.9773980258404964</v>
      </c>
      <c r="F366" s="7">
        <f>[1]服务器生态!Z383</f>
        <v>0.52970014845456503</v>
      </c>
      <c r="G366" s="7">
        <f>[1]服务器生态!AA383</f>
        <v>0.15326532696883952</v>
      </c>
      <c r="H366" s="7">
        <f>[1]服务器生态!AC383</f>
        <v>0.47962550249999997</v>
      </c>
      <c r="I366" s="7">
        <f>[1]服务器生态!AD383</f>
        <v>0.47291513735919999</v>
      </c>
      <c r="J366" s="7">
        <f>[1]服务器生态!AE383</f>
        <v>3.8604200140800002E-2</v>
      </c>
      <c r="K366" s="7">
        <f>[1]服务器生态!AF383</f>
        <v>6.8679600000000019E-3</v>
      </c>
      <c r="L366" s="7">
        <f>[1]服务器生态!AG383</f>
        <v>1.9871999999999997E-3</v>
      </c>
      <c r="M366" s="7">
        <f>[5]基础信息!M365</f>
        <v>100</v>
      </c>
      <c r="X366" s="7">
        <v>362</v>
      </c>
      <c r="Y366" s="7">
        <f>求节点(节奏总纲!D$4:D$163,R$5:R$164,$X366)*6</f>
        <v>43561.630047489365</v>
      </c>
      <c r="Z366" s="7">
        <f>求节点(节奏总纲!E$4:E$163,S$5:S$164,$X366)*6</f>
        <v>44722.588147111921</v>
      </c>
      <c r="AA366" s="7">
        <f>求节点(节奏总纲!F$4:F$163,T$5:T$164,$X366)*6</f>
        <v>46275.897592913214</v>
      </c>
      <c r="AB366" s="7">
        <f>求节点(节奏总纲!G$4:G$163,U$5:U$164,$X366)*6</f>
        <v>48516.500754929621</v>
      </c>
      <c r="AC366" s="7">
        <f>求节点(节奏总纲!H$4:H$163,V$5:V$164,$X366)*6</f>
        <v>52399.876032774453</v>
      </c>
    </row>
    <row r="367" spans="2:39" x14ac:dyDescent="0.15">
      <c r="B367" s="7">
        <v>363</v>
      </c>
      <c r="C367" s="7">
        <f>[1]服务器生态!W384</f>
        <v>36.773394500171825</v>
      </c>
      <c r="D367" s="7">
        <f>[1]服务器生态!X384</f>
        <v>36.258903708342345</v>
      </c>
      <c r="E367" s="7">
        <f>[1]服务器生态!Y384</f>
        <v>2.959824850308554</v>
      </c>
      <c r="F367" s="7">
        <f>[1]服务器生态!Z384</f>
        <v>0.52657375634732895</v>
      </c>
      <c r="G367" s="7">
        <f>[1]服务器生态!AA384</f>
        <v>0.15236072554490876</v>
      </c>
      <c r="H367" s="7">
        <f>[1]服务器生态!AC384</f>
        <v>0.47962550249999997</v>
      </c>
      <c r="I367" s="7">
        <f>[1]服务器生态!AD384</f>
        <v>0.47291513735919999</v>
      </c>
      <c r="J367" s="7">
        <f>[1]服务器生态!AE384</f>
        <v>3.8604200140800002E-2</v>
      </c>
      <c r="K367" s="7">
        <f>[1]服务器生态!AF384</f>
        <v>6.8679600000000019E-3</v>
      </c>
      <c r="L367" s="7">
        <f>[1]服务器生态!AG384</f>
        <v>1.9871999999999997E-3</v>
      </c>
      <c r="M367" s="7">
        <f>[5]基础信息!M366</f>
        <v>100</v>
      </c>
      <c r="X367" s="7">
        <v>363</v>
      </c>
      <c r="Y367" s="7">
        <f>求节点(节奏总纲!D$4:D$163,R$5:R$164,$X367)*6</f>
        <v>43577.243721879706</v>
      </c>
      <c r="Z367" s="7">
        <f>求节点(节奏总纲!E$4:E$163,S$5:S$164,$X367)*6</f>
        <v>44737.886253499739</v>
      </c>
      <c r="AA367" s="7">
        <f>求节点(节奏总纲!F$4:F$163,T$5:T$164,$X367)*6</f>
        <v>46291.535803027858</v>
      </c>
      <c r="AB367" s="7">
        <f>求节点(节奏总纲!G$4:G$163,U$5:U$164,$X367)*6</f>
        <v>48532.269163595272</v>
      </c>
      <c r="AC367" s="7">
        <f>求节点(节奏总纲!H$4:H$163,V$5:V$164,$X367)*6</f>
        <v>52415.736498940969</v>
      </c>
    </row>
    <row r="368" spans="2:39" x14ac:dyDescent="0.15">
      <c r="B368" s="7">
        <v>364</v>
      </c>
      <c r="C368" s="7">
        <f>[1]服务器生态!W385</f>
        <v>36.555062217303977</v>
      </c>
      <c r="D368" s="7">
        <f>[1]服务器生态!X385</f>
        <v>36.043626078182555</v>
      </c>
      <c r="E368" s="7">
        <f>[1]服务器生态!Y385</f>
        <v>2.9422516747766121</v>
      </c>
      <c r="F368" s="7">
        <f>[1]服务器生态!Z385</f>
        <v>0.52344736424009297</v>
      </c>
      <c r="G368" s="7">
        <f>[1]服务器生态!AA385</f>
        <v>0.15145612412097803</v>
      </c>
      <c r="H368" s="7">
        <f>[1]服务器生态!AC385</f>
        <v>0.47962550249999997</v>
      </c>
      <c r="I368" s="7">
        <f>[1]服务器生态!AD385</f>
        <v>0.47291513735919999</v>
      </c>
      <c r="J368" s="7">
        <f>[1]服务器生态!AE385</f>
        <v>3.8604200140800002E-2</v>
      </c>
      <c r="K368" s="7">
        <f>[1]服务器生态!AF385</f>
        <v>6.8679600000000019E-3</v>
      </c>
      <c r="L368" s="7">
        <f>[1]服务器生态!AG385</f>
        <v>1.9871999999999997E-3</v>
      </c>
      <c r="M368" s="7">
        <f>[5]基础信息!M367</f>
        <v>100</v>
      </c>
      <c r="X368" s="7">
        <v>364</v>
      </c>
      <c r="Y368" s="7">
        <f>求节点(节奏总纲!D$4:D$163,R$5:R$164,$X368)*6</f>
        <v>43592.857396270039</v>
      </c>
      <c r="Z368" s="7">
        <f>求节点(节奏总纲!E$4:E$163,S$5:S$164,$X368)*6</f>
        <v>44753.184359887549</v>
      </c>
      <c r="AA368" s="7">
        <f>求节点(节奏总纲!F$4:F$163,T$5:T$164,$X368)*6</f>
        <v>46307.174013142503</v>
      </c>
      <c r="AB368" s="7">
        <f>求节点(节奏总纲!G$4:G$163,U$5:U$164,$X368)*6</f>
        <v>48548.037572260924</v>
      </c>
      <c r="AC368" s="7">
        <f>求节点(节奏总纲!H$4:H$163,V$5:V$164,$X368)*6</f>
        <v>52431.596965107499</v>
      </c>
    </row>
    <row r="369" spans="2:29" x14ac:dyDescent="0.15">
      <c r="B369" s="7">
        <v>365</v>
      </c>
      <c r="C369" s="7">
        <f>[1]服务器生态!W386</f>
        <v>36.336729934436121</v>
      </c>
      <c r="D369" s="7">
        <f>[1]服务器生态!X386</f>
        <v>35.828348448022766</v>
      </c>
      <c r="E369" s="7">
        <f>[1]服务器生态!Y386</f>
        <v>2.9246784992446697</v>
      </c>
      <c r="F369" s="7">
        <f>[1]服务器生态!Z386</f>
        <v>0.52032097213285688</v>
      </c>
      <c r="G369" s="7">
        <f>[1]服务器生态!AA386</f>
        <v>0.15055152269704727</v>
      </c>
      <c r="H369" s="7">
        <f>[1]服务器生态!AC386</f>
        <v>0.47962550249999997</v>
      </c>
      <c r="I369" s="7">
        <f>[1]服务器生态!AD386</f>
        <v>0.47291513735919999</v>
      </c>
      <c r="J369" s="7">
        <f>[1]服务器生态!AE386</f>
        <v>3.8604200140800002E-2</v>
      </c>
      <c r="K369" s="7">
        <f>[1]服务器生态!AF386</f>
        <v>6.8679600000000019E-3</v>
      </c>
      <c r="L369" s="7">
        <f>[1]服务器生态!AG386</f>
        <v>1.9871999999999997E-3</v>
      </c>
      <c r="M369" s="7">
        <f>[5]基础信息!M368</f>
        <v>100</v>
      </c>
      <c r="X369" s="7">
        <v>365</v>
      </c>
      <c r="Y369" s="7">
        <f>求节点(节奏总纲!D$4:D$163,R$5:R$164,$X369)*6</f>
        <v>43608.47107066038</v>
      </c>
      <c r="Z369" s="7">
        <f>求节点(节奏总纲!E$4:E$163,S$5:S$164,$X369)*6</f>
        <v>44768.48246627536</v>
      </c>
      <c r="AA369" s="7">
        <f>求节点(节奏总纲!F$4:F$163,T$5:T$164,$X369)*6</f>
        <v>46322.812223257148</v>
      </c>
      <c r="AB369" s="7">
        <f>求节点(节奏总纲!G$4:G$163,U$5:U$164,$X369)*6</f>
        <v>48563.805980926576</v>
      </c>
      <c r="AC369" s="7">
        <f>求节点(节奏总纲!H$4:H$163,V$5:V$164,$X369)*6</f>
        <v>52447.457431274022</v>
      </c>
    </row>
    <row r="370" spans="2:29" x14ac:dyDescent="0.15">
      <c r="B370" s="7">
        <v>366</v>
      </c>
      <c r="C370" s="7">
        <f>[1]服务器生态!W387</f>
        <v>36.118397651568259</v>
      </c>
      <c r="D370" s="7">
        <f>[1]服务器生态!X387</f>
        <v>35.613070817862969</v>
      </c>
      <c r="E370" s="7">
        <f>[1]服务器生态!Y387</f>
        <v>2.9071053237127273</v>
      </c>
      <c r="F370" s="7">
        <f>[1]服务器生态!Z387</f>
        <v>0.5171945800256208</v>
      </c>
      <c r="G370" s="7">
        <f>[1]服务器生态!AA387</f>
        <v>0.14964692127311652</v>
      </c>
      <c r="H370" s="7">
        <f>[1]服务器生态!AC387</f>
        <v>0.47962550249999997</v>
      </c>
      <c r="I370" s="7">
        <f>[1]服务器生态!AD387</f>
        <v>0.47291513735919999</v>
      </c>
      <c r="J370" s="7">
        <f>[1]服务器生态!AE387</f>
        <v>3.8604200140800002E-2</v>
      </c>
      <c r="K370" s="7">
        <f>[1]服务器生态!AF387</f>
        <v>6.8679600000000019E-3</v>
      </c>
      <c r="L370" s="7">
        <f>[1]服务器生态!AG387</f>
        <v>1.9871999999999997E-3</v>
      </c>
      <c r="M370" s="7">
        <f>[5]基础信息!M369</f>
        <v>100</v>
      </c>
      <c r="X370" s="7">
        <v>366</v>
      </c>
      <c r="Y370" s="7">
        <f>求节点(节奏总纲!D$4:D$163,R$5:R$164,$X370)*6</f>
        <v>43624.084745050721</v>
      </c>
      <c r="Z370" s="7">
        <f>求节点(节奏总纲!E$4:E$163,S$5:S$164,$X370)*6</f>
        <v>44783.780572663178</v>
      </c>
      <c r="AA370" s="7">
        <f>求节点(节奏总纲!F$4:F$163,T$5:T$164,$X370)*6</f>
        <v>46338.450433371785</v>
      </c>
      <c r="AB370" s="7">
        <f>求节点(节奏总纲!G$4:G$163,U$5:U$164,$X370)*6</f>
        <v>48579.574389592228</v>
      </c>
      <c r="AC370" s="7">
        <f>求节点(节奏总纲!H$4:H$163,V$5:V$164,$X370)*6</f>
        <v>52463.317897440545</v>
      </c>
    </row>
    <row r="371" spans="2:29" x14ac:dyDescent="0.15">
      <c r="B371" s="7">
        <v>367</v>
      </c>
      <c r="C371" s="7">
        <f>[1]服务器生态!W388</f>
        <v>35.900065368700403</v>
      </c>
      <c r="D371" s="7">
        <f>[1]服务器生态!X388</f>
        <v>35.397793187703172</v>
      </c>
      <c r="E371" s="7">
        <f>[1]服务器生态!Y388</f>
        <v>2.889532148180785</v>
      </c>
      <c r="F371" s="7">
        <f>[1]服务器生态!Z388</f>
        <v>0.51406818791838471</v>
      </c>
      <c r="G371" s="7">
        <f>[1]服务器生态!AA388</f>
        <v>0.14874231984918573</v>
      </c>
      <c r="H371" s="7">
        <f>[1]服务器生态!AC388</f>
        <v>0.47962550249999997</v>
      </c>
      <c r="I371" s="7">
        <f>[1]服务器生态!AD388</f>
        <v>0.47291513735919999</v>
      </c>
      <c r="J371" s="7">
        <f>[1]服务器生态!AE388</f>
        <v>3.8604200140800002E-2</v>
      </c>
      <c r="K371" s="7">
        <f>[1]服务器生态!AF388</f>
        <v>6.8679600000000019E-3</v>
      </c>
      <c r="L371" s="7">
        <f>[1]服务器生态!AG388</f>
        <v>1.9871999999999997E-3</v>
      </c>
      <c r="M371" s="7">
        <f>[5]基础信息!M370</f>
        <v>100</v>
      </c>
      <c r="X371" s="7">
        <v>367</v>
      </c>
      <c r="Y371" s="7">
        <f>求节点(节奏总纲!D$4:D$163,R$5:R$164,$X371)*6</f>
        <v>43639.698419441062</v>
      </c>
      <c r="Z371" s="7">
        <f>求节点(节奏总纲!E$4:E$163,S$5:S$164,$X371)*6</f>
        <v>44799.078679050988</v>
      </c>
      <c r="AA371" s="7">
        <f>求节点(节奏总纲!F$4:F$163,T$5:T$164,$X371)*6</f>
        <v>46354.08864348643</v>
      </c>
      <c r="AB371" s="7">
        <f>求节点(节奏总纲!G$4:G$163,U$5:U$164,$X371)*6</f>
        <v>48595.34279825788</v>
      </c>
      <c r="AC371" s="7">
        <f>求节点(节奏总纲!H$4:H$163,V$5:V$164,$X371)*6</f>
        <v>52479.178363607061</v>
      </c>
    </row>
    <row r="372" spans="2:29" x14ac:dyDescent="0.15">
      <c r="B372" s="7">
        <v>368</v>
      </c>
      <c r="C372" s="7">
        <f>[1]服务器生态!W389</f>
        <v>35.681733085832555</v>
      </c>
      <c r="D372" s="7">
        <f>[1]服务器生态!X389</f>
        <v>35.182515557543383</v>
      </c>
      <c r="E372" s="7">
        <f>[1]服务器生态!Y389</f>
        <v>2.871958972648843</v>
      </c>
      <c r="F372" s="7">
        <f>[1]服务器生态!Z389</f>
        <v>0.51094179581114874</v>
      </c>
      <c r="G372" s="7">
        <f>[1]服务器生态!AA389</f>
        <v>0.147837718425255</v>
      </c>
      <c r="H372" s="7">
        <f>[1]服务器生态!AC389</f>
        <v>0.47962550249999997</v>
      </c>
      <c r="I372" s="7">
        <f>[1]服务器生态!AD389</f>
        <v>0.47291513735919999</v>
      </c>
      <c r="J372" s="7">
        <f>[1]服务器生态!AE389</f>
        <v>3.8604200140800002E-2</v>
      </c>
      <c r="K372" s="7">
        <f>[1]服务器生态!AF389</f>
        <v>6.8679600000000019E-3</v>
      </c>
      <c r="L372" s="7">
        <f>[1]服务器生态!AG389</f>
        <v>1.9871999999999997E-3</v>
      </c>
      <c r="M372" s="7">
        <f>[5]基础信息!M371</f>
        <v>100</v>
      </c>
      <c r="X372" s="7">
        <v>368</v>
      </c>
      <c r="Y372" s="7">
        <f>求节点(节奏总纲!D$4:D$163,R$5:R$164,$X372)*6</f>
        <v>43655.312093831402</v>
      </c>
      <c r="Z372" s="7">
        <f>求节点(节奏总纲!E$4:E$163,S$5:S$164,$X372)*6</f>
        <v>44814.376785438799</v>
      </c>
      <c r="AA372" s="7">
        <f>求节点(节奏总纲!F$4:F$163,T$5:T$164,$X372)*6</f>
        <v>46369.726853601074</v>
      </c>
      <c r="AB372" s="7">
        <f>求节点(节奏总纲!G$4:G$163,U$5:U$164,$X372)*6</f>
        <v>48611.111206923531</v>
      </c>
      <c r="AC372" s="7">
        <f>求节点(节奏总纲!H$4:H$163,V$5:V$164,$X372)*6</f>
        <v>52495.038829773592</v>
      </c>
    </row>
    <row r="373" spans="2:29" x14ac:dyDescent="0.15">
      <c r="B373" s="7">
        <v>369</v>
      </c>
      <c r="C373" s="7">
        <f>[1]服务器生态!W390</f>
        <v>35.463400802964692</v>
      </c>
      <c r="D373" s="7">
        <f>[1]服务器生态!X390</f>
        <v>34.967237927383586</v>
      </c>
      <c r="E373" s="7">
        <f>[1]服务器生态!Y390</f>
        <v>2.8543857971169007</v>
      </c>
      <c r="F373" s="7">
        <f>[1]服务器生态!Z390</f>
        <v>0.50781540370391265</v>
      </c>
      <c r="G373" s="7">
        <f>[1]服务器生态!AA390</f>
        <v>0.14693311700132425</v>
      </c>
      <c r="H373" s="7">
        <f>[1]服务器生态!AC390</f>
        <v>0.47962550249999997</v>
      </c>
      <c r="I373" s="7">
        <f>[1]服务器生态!AD390</f>
        <v>0.47291513735919999</v>
      </c>
      <c r="J373" s="7">
        <f>[1]服务器生态!AE390</f>
        <v>3.8604200140800002E-2</v>
      </c>
      <c r="K373" s="7">
        <f>[1]服务器生态!AF390</f>
        <v>6.8679600000000019E-3</v>
      </c>
      <c r="L373" s="7">
        <f>[1]服务器生态!AG390</f>
        <v>1.9871999999999997E-3</v>
      </c>
      <c r="M373" s="7">
        <f>[5]基础信息!M372</f>
        <v>100</v>
      </c>
      <c r="X373" s="7">
        <v>369</v>
      </c>
      <c r="Y373" s="7">
        <f>求节点(节奏总纲!D$4:D$163,R$5:R$164,$X373)*6</f>
        <v>43670.925768221743</v>
      </c>
      <c r="Z373" s="7">
        <f>求节点(节奏总纲!E$4:E$163,S$5:S$164,$X373)*6</f>
        <v>44829.674891826609</v>
      </c>
      <c r="AA373" s="7">
        <f>求节点(节奏总纲!F$4:F$163,T$5:T$164,$X373)*6</f>
        <v>46385.365063715712</v>
      </c>
      <c r="AB373" s="7">
        <f>求节点(节奏总纲!G$4:G$163,U$5:U$164,$X373)*6</f>
        <v>48626.879615589183</v>
      </c>
      <c r="AC373" s="7">
        <f>求节点(节奏总纲!H$4:H$163,V$5:V$164,$X373)*6</f>
        <v>52510.899295940108</v>
      </c>
    </row>
    <row r="374" spans="2:29" x14ac:dyDescent="0.15">
      <c r="B374" s="7">
        <v>370</v>
      </c>
      <c r="C374" s="7">
        <f>[1]服务器生态!W391</f>
        <v>35.245068520096837</v>
      </c>
      <c r="D374" s="7">
        <f>[1]服务器生态!X391</f>
        <v>34.751960297223796</v>
      </c>
      <c r="E374" s="7">
        <f>[1]服务器生态!Y391</f>
        <v>2.8368126215849583</v>
      </c>
      <c r="F374" s="7">
        <f>[1]服务器生态!Z391</f>
        <v>0.50468901159667656</v>
      </c>
      <c r="G374" s="7">
        <f>[1]服务器生态!AA391</f>
        <v>0.14602851557739349</v>
      </c>
      <c r="H374" s="7">
        <f>[1]服务器生态!AC391</f>
        <v>0.47962550249999997</v>
      </c>
      <c r="I374" s="7">
        <f>[1]服务器生态!AD391</f>
        <v>0.47291513735919999</v>
      </c>
      <c r="J374" s="7">
        <f>[1]服务器生态!AE391</f>
        <v>3.8604200140800002E-2</v>
      </c>
      <c r="K374" s="7">
        <f>[1]服务器生态!AF391</f>
        <v>6.8679600000000019E-3</v>
      </c>
      <c r="L374" s="7">
        <f>[1]服务器生态!AG391</f>
        <v>1.9871999999999997E-3</v>
      </c>
      <c r="M374" s="7">
        <f>[5]基础信息!M373</f>
        <v>100</v>
      </c>
      <c r="X374" s="7">
        <v>370</v>
      </c>
      <c r="Y374" s="7">
        <f>求节点(节奏总纲!D$4:D$163,R$5:R$164,$X374)*6</f>
        <v>43686.539442612084</v>
      </c>
      <c r="Z374" s="7">
        <f>求节点(节奏总纲!E$4:E$163,S$5:S$164,$X374)*6</f>
        <v>44844.97299821442</v>
      </c>
      <c r="AA374" s="7">
        <f>求节点(节奏总纲!F$4:F$163,T$5:T$164,$X374)*6</f>
        <v>46401.003273830356</v>
      </c>
      <c r="AB374" s="7">
        <f>求节点(节奏总纲!G$4:G$163,U$5:U$164,$X374)*6</f>
        <v>48642.648024254835</v>
      </c>
      <c r="AC374" s="7">
        <f>求节点(节奏总纲!H$4:H$163,V$5:V$164,$X374)*6</f>
        <v>52526.759762106631</v>
      </c>
    </row>
    <row r="375" spans="2:29" x14ac:dyDescent="0.15">
      <c r="B375" s="7">
        <v>371</v>
      </c>
      <c r="C375" s="7">
        <f>[1]服务器生态!W392</f>
        <v>35.026736237228974</v>
      </c>
      <c r="D375" s="7">
        <f>[1]服务器生态!X392</f>
        <v>34.536682667063999</v>
      </c>
      <c r="E375" s="7">
        <f>[1]服务器生态!Y392</f>
        <v>2.8192394460530159</v>
      </c>
      <c r="F375" s="7">
        <f>[1]服务器生态!Z392</f>
        <v>0.50156261948944059</v>
      </c>
      <c r="G375" s="7">
        <f>[1]服务器生态!AA392</f>
        <v>0.14512391415346271</v>
      </c>
      <c r="H375" s="7">
        <f>[1]服务器生态!AC392</f>
        <v>0.47962550249999997</v>
      </c>
      <c r="I375" s="7">
        <f>[1]服务器生态!AD392</f>
        <v>0.47291513735919999</v>
      </c>
      <c r="J375" s="7">
        <f>[1]服务器生态!AE392</f>
        <v>3.8604200140800002E-2</v>
      </c>
      <c r="K375" s="7">
        <f>[1]服务器生态!AF392</f>
        <v>6.8679600000000019E-3</v>
      </c>
      <c r="L375" s="7">
        <f>[1]服务器生态!AG392</f>
        <v>1.9871999999999997E-3</v>
      </c>
      <c r="M375" s="7">
        <f>[5]基础信息!M374</f>
        <v>100</v>
      </c>
      <c r="X375" s="7">
        <v>371</v>
      </c>
      <c r="Y375" s="7">
        <f>求节点(节奏总纲!D$4:D$163,R$5:R$164,$X375)*6</f>
        <v>43702.153117002425</v>
      </c>
      <c r="Z375" s="7">
        <f>求节点(节奏总纲!E$4:E$163,S$5:S$164,$X375)*6</f>
        <v>44860.27110460223</v>
      </c>
      <c r="AA375" s="7">
        <f>求节点(节奏总纲!F$4:F$163,T$5:T$164,$X375)*6</f>
        <v>46416.641483945001</v>
      </c>
      <c r="AB375" s="7">
        <f>求节点(节奏总纲!G$4:G$163,U$5:U$164,$X375)*6</f>
        <v>48658.416432920487</v>
      </c>
      <c r="AC375" s="7">
        <f>求节点(节奏总纲!H$4:H$163,V$5:V$164,$X375)*6</f>
        <v>52542.620228273161</v>
      </c>
    </row>
    <row r="376" spans="2:29" x14ac:dyDescent="0.15">
      <c r="B376" s="7">
        <v>372</v>
      </c>
      <c r="C376" s="7">
        <f>[1]服务器生态!W393</f>
        <v>34.808403954361125</v>
      </c>
      <c r="D376" s="7">
        <f>[1]服务器生态!X393</f>
        <v>34.32140503690421</v>
      </c>
      <c r="E376" s="7">
        <f>[1]服务器生态!Y393</f>
        <v>2.8016662705210744</v>
      </c>
      <c r="F376" s="7">
        <f>[1]服务器生态!Z393</f>
        <v>0.49843622738220456</v>
      </c>
      <c r="G376" s="7">
        <f>[1]服务器生态!AA393</f>
        <v>0.14421931272953198</v>
      </c>
      <c r="H376" s="7">
        <f>[1]服务器生态!AC393</f>
        <v>0.47962550249999997</v>
      </c>
      <c r="I376" s="7">
        <f>[1]服务器生态!AD393</f>
        <v>0.47291513735919999</v>
      </c>
      <c r="J376" s="7">
        <f>[1]服务器生态!AE393</f>
        <v>3.8604200140800002E-2</v>
      </c>
      <c r="K376" s="7">
        <f>[1]服务器生态!AF393</f>
        <v>6.8679600000000019E-3</v>
      </c>
      <c r="L376" s="7">
        <f>[1]服务器生态!AG393</f>
        <v>1.9871999999999997E-3</v>
      </c>
      <c r="M376" s="7">
        <f>[5]基础信息!M375</f>
        <v>100</v>
      </c>
      <c r="X376" s="7">
        <v>372</v>
      </c>
      <c r="Y376" s="7">
        <f>求节点(节奏总纲!D$4:D$163,R$5:R$164,$X376)*6</f>
        <v>43717.766791392765</v>
      </c>
      <c r="Z376" s="7">
        <f>求节点(节奏总纲!E$4:E$163,S$5:S$164,$X376)*6</f>
        <v>44875.569210990041</v>
      </c>
      <c r="AA376" s="7">
        <f>求节点(节奏总纲!F$4:F$163,T$5:T$164,$X376)*6</f>
        <v>46432.279694059645</v>
      </c>
      <c r="AB376" s="7">
        <f>求节点(节奏总纲!G$4:G$163,U$5:U$164,$X376)*6</f>
        <v>48674.184841586139</v>
      </c>
      <c r="AC376" s="7">
        <f>求节点(节奏总纲!H$4:H$163,V$5:V$164,$X376)*6</f>
        <v>52558.480694439684</v>
      </c>
    </row>
    <row r="377" spans="2:29" x14ac:dyDescent="0.15">
      <c r="B377" s="7">
        <v>373</v>
      </c>
      <c r="C377" s="7">
        <f>[1]服务器生态!W394</f>
        <v>34.59007167149327</v>
      </c>
      <c r="D377" s="7">
        <f>[1]服务器生态!X394</f>
        <v>34.106127406744413</v>
      </c>
      <c r="E377" s="7">
        <f>[1]服务器生态!Y394</f>
        <v>2.784093094989132</v>
      </c>
      <c r="F377" s="7">
        <f>[1]服务器生态!Z394</f>
        <v>0.49530983527496847</v>
      </c>
      <c r="G377" s="7">
        <f>[1]服务器生态!AA394</f>
        <v>0.14331471130560122</v>
      </c>
      <c r="H377" s="7">
        <f>[1]服务器生态!AC394</f>
        <v>0.47962550249999997</v>
      </c>
      <c r="I377" s="7">
        <f>[1]服务器生态!AD394</f>
        <v>0.47291513735919999</v>
      </c>
      <c r="J377" s="7">
        <f>[1]服务器生态!AE394</f>
        <v>3.8604200140800002E-2</v>
      </c>
      <c r="K377" s="7">
        <f>[1]服务器生态!AF394</f>
        <v>6.8679600000000019E-3</v>
      </c>
      <c r="L377" s="7">
        <f>[1]服务器生态!AG394</f>
        <v>1.9871999999999997E-3</v>
      </c>
      <c r="M377" s="7">
        <f>[5]基础信息!M376</f>
        <v>100</v>
      </c>
      <c r="X377" s="7">
        <v>373</v>
      </c>
      <c r="Y377" s="7">
        <f>求节点(节奏总纲!D$4:D$163,R$5:R$164,$X377)*6</f>
        <v>43733.380465783106</v>
      </c>
      <c r="Z377" s="7">
        <f>求节点(节奏总纲!E$4:E$163,S$5:S$164,$X377)*6</f>
        <v>44890.867317377852</v>
      </c>
      <c r="AA377" s="7">
        <f>求节点(节奏总纲!F$4:F$163,T$5:T$164,$X377)*6</f>
        <v>46447.91790417429</v>
      </c>
      <c r="AB377" s="7">
        <f>求节点(节奏总纲!G$4:G$163,U$5:U$164,$X377)*6</f>
        <v>48689.95325025179</v>
      </c>
      <c r="AC377" s="7">
        <f>求节点(节奏总纲!H$4:H$163,V$5:V$164,$X377)*6</f>
        <v>52574.3411606062</v>
      </c>
    </row>
    <row r="378" spans="2:29" x14ac:dyDescent="0.15">
      <c r="B378" s="7">
        <v>374</v>
      </c>
      <c r="C378" s="7">
        <f>[1]服务器生态!W395</f>
        <v>34.371739388625407</v>
      </c>
      <c r="D378" s="7">
        <f>[1]服务器生态!X395</f>
        <v>33.890849776584623</v>
      </c>
      <c r="E378" s="7">
        <f>[1]服务器生态!Y395</f>
        <v>2.7665199194571897</v>
      </c>
      <c r="F378" s="7">
        <f>[1]服务器生态!Z395</f>
        <v>0.49218344316773244</v>
      </c>
      <c r="G378" s="7">
        <f>[1]服务器生态!AA395</f>
        <v>0.14241010988167047</v>
      </c>
      <c r="H378" s="7">
        <f>[1]服务器生态!AC395</f>
        <v>0.47962550249999997</v>
      </c>
      <c r="I378" s="7">
        <f>[1]服务器生态!AD395</f>
        <v>0.47291513735919999</v>
      </c>
      <c r="J378" s="7">
        <f>[1]服务器生态!AE395</f>
        <v>3.8604200140800002E-2</v>
      </c>
      <c r="K378" s="7">
        <f>[1]服务器生态!AF395</f>
        <v>6.8679600000000019E-3</v>
      </c>
      <c r="L378" s="7">
        <f>[1]服务器生态!AG395</f>
        <v>1.9871999999999997E-3</v>
      </c>
      <c r="M378" s="7">
        <f>[5]基础信息!M377</f>
        <v>100</v>
      </c>
      <c r="X378" s="7">
        <v>374</v>
      </c>
      <c r="Y378" s="7">
        <f>求节点(节奏总纲!D$4:D$163,R$5:R$164,$X378)*6</f>
        <v>43748.994140173447</v>
      </c>
      <c r="Z378" s="7">
        <f>求节点(节奏总纲!E$4:E$163,S$5:S$164,$X378)*6</f>
        <v>44906.165423765669</v>
      </c>
      <c r="AA378" s="7">
        <f>求节点(节奏总纲!F$4:F$163,T$5:T$164,$X378)*6</f>
        <v>46463.556114288935</v>
      </c>
      <c r="AB378" s="7">
        <f>求节点(节奏总纲!G$4:G$163,U$5:U$164,$X378)*6</f>
        <v>48705.721658917442</v>
      </c>
      <c r="AC378" s="7">
        <f>求节点(节奏总纲!H$4:H$163,V$5:V$164,$X378)*6</f>
        <v>52590.201626772716</v>
      </c>
    </row>
    <row r="379" spans="2:29" x14ac:dyDescent="0.15">
      <c r="B379" s="7">
        <v>375</v>
      </c>
      <c r="C379" s="7">
        <f>[1]服务器生态!W396</f>
        <v>34.153407105757552</v>
      </c>
      <c r="D379" s="7">
        <f>[1]服务器生态!X396</f>
        <v>33.675572146424827</v>
      </c>
      <c r="E379" s="7">
        <f>[1]服务器生态!Y396</f>
        <v>2.7489467439252473</v>
      </c>
      <c r="F379" s="7">
        <f>[1]服务器生态!Z396</f>
        <v>0.48905705106049635</v>
      </c>
      <c r="G379" s="7">
        <f>[1]服务器生态!AA396</f>
        <v>0.14150550845773968</v>
      </c>
      <c r="H379" s="7">
        <f>[1]服务器生态!AC396</f>
        <v>0.47962550249999997</v>
      </c>
      <c r="I379" s="7">
        <f>[1]服务器生态!AD396</f>
        <v>0.47291513735919999</v>
      </c>
      <c r="J379" s="7">
        <f>[1]服务器生态!AE396</f>
        <v>3.8604200140800002E-2</v>
      </c>
      <c r="K379" s="7">
        <f>[1]服务器生态!AF396</f>
        <v>6.8679600000000019E-3</v>
      </c>
      <c r="L379" s="7">
        <f>[1]服务器生态!AG396</f>
        <v>1.9871999999999997E-3</v>
      </c>
      <c r="M379" s="7">
        <f>[5]基础信息!M378</f>
        <v>100</v>
      </c>
      <c r="X379" s="7">
        <v>375</v>
      </c>
      <c r="Y379" s="7">
        <f>求节点(节奏总纲!D$4:D$163,R$5:R$164,$X379)*6</f>
        <v>43764.607814563788</v>
      </c>
      <c r="Z379" s="7">
        <f>求节点(节奏总纲!E$4:E$163,S$5:S$164,$X379)*6</f>
        <v>44921.46353015348</v>
      </c>
      <c r="AA379" s="7">
        <f>求节点(节奏总纲!F$4:F$163,T$5:T$164,$X379)*6</f>
        <v>46479.194324403579</v>
      </c>
      <c r="AB379" s="7">
        <f>求节点(节奏总纲!G$4:G$163,U$5:U$164,$X379)*6</f>
        <v>48721.490067583094</v>
      </c>
      <c r="AC379" s="7">
        <f>求节点(节奏总纲!H$4:H$163,V$5:V$164,$X379)*6</f>
        <v>52606.062092939246</v>
      </c>
    </row>
    <row r="380" spans="2:29" x14ac:dyDescent="0.15">
      <c r="B380" s="7">
        <v>376</v>
      </c>
      <c r="C380" s="7">
        <f>[1]服务器生态!W397</f>
        <v>33.935074822889703</v>
      </c>
      <c r="D380" s="7">
        <f>[1]服务器生态!X397</f>
        <v>33.460294516265037</v>
      </c>
      <c r="E380" s="7">
        <f>[1]服务器生态!Y397</f>
        <v>2.7313735683933054</v>
      </c>
      <c r="F380" s="7">
        <f>[1]服务器生态!Z397</f>
        <v>0.48593065895326037</v>
      </c>
      <c r="G380" s="7">
        <f>[1]服务器生态!AA397</f>
        <v>0.14060090703380895</v>
      </c>
      <c r="H380" s="7">
        <f>[1]服务器生态!AC397</f>
        <v>0.47962550249999997</v>
      </c>
      <c r="I380" s="7">
        <f>[1]服务器生态!AD397</f>
        <v>0.47291513735919999</v>
      </c>
      <c r="J380" s="7">
        <f>[1]服务器生态!AE397</f>
        <v>3.8604200140800002E-2</v>
      </c>
      <c r="K380" s="7">
        <f>[1]服务器生态!AF397</f>
        <v>6.8679600000000019E-3</v>
      </c>
      <c r="L380" s="7">
        <f>[1]服务器生态!AG397</f>
        <v>1.9871999999999997E-3</v>
      </c>
      <c r="M380" s="7">
        <f>[5]基础信息!M379</f>
        <v>100</v>
      </c>
      <c r="X380" s="7">
        <v>376</v>
      </c>
      <c r="Y380" s="7">
        <f>求节点(节奏总纲!D$4:D$163,R$5:R$164,$X380)*6</f>
        <v>43780.221488954128</v>
      </c>
      <c r="Z380" s="7">
        <f>求节点(节奏总纲!E$4:E$163,S$5:S$164,$X380)*6</f>
        <v>44936.76163654129</v>
      </c>
      <c r="AA380" s="7">
        <f>求节点(节奏总纲!F$4:F$163,T$5:T$164,$X380)*6</f>
        <v>46494.832534518217</v>
      </c>
      <c r="AB380" s="7">
        <f>求节点(节奏总纲!G$4:G$163,U$5:U$164,$X380)*6</f>
        <v>48737.258476248746</v>
      </c>
      <c r="AC380" s="7">
        <f>求节点(节奏总纲!H$4:H$163,V$5:V$164,$X380)*6</f>
        <v>52621.922559105769</v>
      </c>
    </row>
    <row r="381" spans="2:29" x14ac:dyDescent="0.15">
      <c r="B381" s="7">
        <v>377</v>
      </c>
      <c r="C381" s="7">
        <f>[1]服务器生态!W398</f>
        <v>33.716742540021841</v>
      </c>
      <c r="D381" s="7">
        <f>[1]服务器生态!X398</f>
        <v>33.24501688610524</v>
      </c>
      <c r="E381" s="7">
        <f>[1]服务器生态!Y398</f>
        <v>2.713800392861363</v>
      </c>
      <c r="F381" s="7">
        <f>[1]服务器生态!Z398</f>
        <v>0.48280426684602429</v>
      </c>
      <c r="G381" s="7">
        <f>[1]服务器生态!AA398</f>
        <v>0.1396963056098782</v>
      </c>
      <c r="H381" s="7">
        <f>[1]服务器生态!AC398</f>
        <v>0.47962550249999997</v>
      </c>
      <c r="I381" s="7">
        <f>[1]服务器生态!AD398</f>
        <v>0.47291513735919999</v>
      </c>
      <c r="J381" s="7">
        <f>[1]服务器生态!AE398</f>
        <v>3.8604200140800002E-2</v>
      </c>
      <c r="K381" s="7">
        <f>[1]服务器生态!AF398</f>
        <v>6.8679600000000019E-3</v>
      </c>
      <c r="L381" s="7">
        <f>[1]服务器生态!AG398</f>
        <v>1.9871999999999997E-3</v>
      </c>
      <c r="M381" s="7">
        <f>[5]基础信息!M380</f>
        <v>100</v>
      </c>
      <c r="X381" s="7">
        <v>377</v>
      </c>
      <c r="Y381" s="7">
        <f>求节点(节奏总纲!D$4:D$163,R$5:R$164,$X381)*6</f>
        <v>43795.835163344469</v>
      </c>
      <c r="Z381" s="7">
        <f>求节点(节奏总纲!E$4:E$163,S$5:S$164,$X381)*6</f>
        <v>44952.059742929108</v>
      </c>
      <c r="AA381" s="7">
        <f>求节点(节奏总纲!F$4:F$163,T$5:T$164,$X381)*6</f>
        <v>46510.470744632861</v>
      </c>
      <c r="AB381" s="7">
        <f>求节点(节奏总纲!G$4:G$163,U$5:U$164,$X381)*6</f>
        <v>48753.026884914398</v>
      </c>
      <c r="AC381" s="7">
        <f>求节点(节奏总纲!H$4:H$163,V$5:V$164,$X381)*6</f>
        <v>52637.783025272292</v>
      </c>
    </row>
    <row r="382" spans="2:29" x14ac:dyDescent="0.15">
      <c r="B382" s="7">
        <v>378</v>
      </c>
      <c r="C382" s="7">
        <f>[1]服务器生态!W399</f>
        <v>33.498410257153985</v>
      </c>
      <c r="D382" s="7">
        <f>[1]服务器生态!X399</f>
        <v>33.029739255945444</v>
      </c>
      <c r="E382" s="7">
        <f>[1]服务器生态!Y399</f>
        <v>2.6962272173294206</v>
      </c>
      <c r="F382" s="7">
        <f>[1]服务器生态!Z399</f>
        <v>0.4796778747387882</v>
      </c>
      <c r="G382" s="7">
        <f>[1]服务器生态!AA399</f>
        <v>0.13879170418594744</v>
      </c>
      <c r="H382" s="7">
        <f>[1]服务器生态!AC399</f>
        <v>0.47962550249999997</v>
      </c>
      <c r="I382" s="7">
        <f>[1]服务器生态!AD399</f>
        <v>0.47291513735919999</v>
      </c>
      <c r="J382" s="7">
        <f>[1]服务器生态!AE399</f>
        <v>3.8604200140800002E-2</v>
      </c>
      <c r="K382" s="7">
        <f>[1]服务器生态!AF399</f>
        <v>6.8679600000000019E-3</v>
      </c>
      <c r="L382" s="7">
        <f>[1]服务器生态!AG399</f>
        <v>1.9871999999999997E-3</v>
      </c>
      <c r="M382" s="7">
        <f>[5]基础信息!M381</f>
        <v>100</v>
      </c>
      <c r="X382" s="7">
        <v>378</v>
      </c>
      <c r="Y382" s="7">
        <f>求节点(节奏总纲!D$4:D$163,R$5:R$164,$X382)*6</f>
        <v>43811.44883773481</v>
      </c>
      <c r="Z382" s="7">
        <f>求节点(节奏总纲!E$4:E$163,S$5:S$164,$X382)*6</f>
        <v>44967.357849316912</v>
      </c>
      <c r="AA382" s="7">
        <f>求节点(节奏总纲!F$4:F$163,T$5:T$164,$X382)*6</f>
        <v>46526.108954747506</v>
      </c>
      <c r="AB382" s="7">
        <f>求节点(节奏总纲!G$4:G$163,U$5:U$164,$X382)*6</f>
        <v>48768.795293580049</v>
      </c>
      <c r="AC382" s="7">
        <f>求节点(节奏总纲!H$4:H$163,V$5:V$164,$X382)*6</f>
        <v>52653.643491438808</v>
      </c>
    </row>
    <row r="383" spans="2:29" x14ac:dyDescent="0.15">
      <c r="B383" s="7">
        <v>379</v>
      </c>
      <c r="C383" s="7">
        <f>[1]服务器生态!W400</f>
        <v>33.280077974286122</v>
      </c>
      <c r="D383" s="7">
        <f>[1]服务器生态!X400</f>
        <v>32.814461625785654</v>
      </c>
      <c r="E383" s="7">
        <f>[1]服务器生态!Y400</f>
        <v>2.6786540417974782</v>
      </c>
      <c r="F383" s="7">
        <f>[1]服务器生态!Z400</f>
        <v>0.47655148263155211</v>
      </c>
      <c r="G383" s="7">
        <f>[1]服务器生态!AA400</f>
        <v>0.13788710276201668</v>
      </c>
      <c r="H383" s="7">
        <f>[1]服务器生态!AC400</f>
        <v>0.47962550249999997</v>
      </c>
      <c r="I383" s="7">
        <f>[1]服务器生态!AD400</f>
        <v>0.47291513735919999</v>
      </c>
      <c r="J383" s="7">
        <f>[1]服务器生态!AE400</f>
        <v>3.8604200140800002E-2</v>
      </c>
      <c r="K383" s="7">
        <f>[1]服务器生态!AF400</f>
        <v>6.8679600000000019E-3</v>
      </c>
      <c r="L383" s="7">
        <f>[1]服务器生态!AG400</f>
        <v>1.9871999999999997E-3</v>
      </c>
      <c r="M383" s="7">
        <f>[5]基础信息!M382</f>
        <v>100</v>
      </c>
      <c r="X383" s="7">
        <v>379</v>
      </c>
      <c r="Y383" s="7">
        <f>求节点(节奏总纲!D$4:D$163,R$5:R$164,$X383)*6</f>
        <v>43827.062512125151</v>
      </c>
      <c r="Z383" s="7">
        <f>求节点(节奏总纲!E$4:E$163,S$5:S$164,$X383)*6</f>
        <v>44982.655955704729</v>
      </c>
      <c r="AA383" s="7">
        <f>求节点(节奏总纲!F$4:F$163,T$5:T$164,$X383)*6</f>
        <v>46541.501623398319</v>
      </c>
      <c r="AB383" s="7">
        <f>求节点(节奏总纲!G$4:G$163,U$5:U$164,$X383)*6</f>
        <v>48784.563702245701</v>
      </c>
      <c r="AC383" s="7">
        <f>求节点(节奏总纲!H$4:H$163,V$5:V$164,$X383)*6</f>
        <v>52669.503957605339</v>
      </c>
    </row>
    <row r="384" spans="2:29" x14ac:dyDescent="0.15">
      <c r="B384" s="7">
        <v>380</v>
      </c>
      <c r="C384" s="7">
        <f>[1]服务器生态!W401</f>
        <v>33.061745691418274</v>
      </c>
      <c r="D384" s="7">
        <f>[1]服务器生态!X401</f>
        <v>32.599183995625864</v>
      </c>
      <c r="E384" s="7">
        <f>[1]服务器生态!Y401</f>
        <v>2.6610808662655367</v>
      </c>
      <c r="F384" s="7">
        <f>[1]服务器生态!Z401</f>
        <v>0.47342509052431614</v>
      </c>
      <c r="G384" s="7">
        <f>[1]服务器生态!AA401</f>
        <v>0.13698250133808593</v>
      </c>
      <c r="H384" s="7">
        <f>[1]服务器生态!AC401</f>
        <v>0.47962550249999997</v>
      </c>
      <c r="I384" s="7">
        <f>[1]服务器生态!AD401</f>
        <v>0.47291513735919999</v>
      </c>
      <c r="J384" s="7">
        <f>[1]服务器生态!AE401</f>
        <v>3.8604200140800002E-2</v>
      </c>
      <c r="K384" s="7">
        <f>[1]服务器生态!AF401</f>
        <v>6.8679600000000019E-3</v>
      </c>
      <c r="L384" s="7">
        <f>[1]服务器生态!AG401</f>
        <v>1.9871999999999997E-3</v>
      </c>
      <c r="M384" s="7">
        <f>[5]基础信息!M383</f>
        <v>100</v>
      </c>
      <c r="X384" s="7">
        <v>380</v>
      </c>
      <c r="Y384" s="7">
        <f>求节点(节奏总纲!D$4:D$163,R$5:R$164,$X384)*6</f>
        <v>43842.676186515491</v>
      </c>
      <c r="Z384" s="7">
        <f>求节点(节奏总纲!E$4:E$163,S$5:S$164,$X384)*6</f>
        <v>44997.95406209254</v>
      </c>
      <c r="AA384" s="7">
        <f>求节点(节奏总纲!F$4:F$163,T$5:T$164,$X384)*6</f>
        <v>46556.702068556588</v>
      </c>
      <c r="AB384" s="7">
        <f>求节点(节奏总纲!G$4:G$163,U$5:U$164,$X384)*6</f>
        <v>48800.332110911353</v>
      </c>
      <c r="AC384" s="7">
        <f>求节点(节奏总纲!H$4:H$163,V$5:V$164,$X384)*6</f>
        <v>52685.364423771854</v>
      </c>
    </row>
    <row r="385" spans="2:29" x14ac:dyDescent="0.15">
      <c r="B385" s="7">
        <v>381</v>
      </c>
      <c r="C385" s="7">
        <f>[1]服务器生态!W402</f>
        <v>32.843413408550418</v>
      </c>
      <c r="D385" s="7">
        <f>[1]服务器生态!X402</f>
        <v>32.383906365466068</v>
      </c>
      <c r="E385" s="7">
        <f>[1]服务器生态!Y402</f>
        <v>2.6435076907335944</v>
      </c>
      <c r="F385" s="7">
        <f>[1]服务器生态!Z402</f>
        <v>0.47029869841708011</v>
      </c>
      <c r="G385" s="7">
        <f>[1]服务器生态!AA402</f>
        <v>0.13607789991415517</v>
      </c>
      <c r="H385" s="7">
        <f>[1]服务器生态!AC402</f>
        <v>0.47962550249999997</v>
      </c>
      <c r="I385" s="7">
        <f>[1]服务器生态!AD402</f>
        <v>0.47291513735919999</v>
      </c>
      <c r="J385" s="7">
        <f>[1]服务器生态!AE402</f>
        <v>3.8604200140800002E-2</v>
      </c>
      <c r="K385" s="7">
        <f>[1]服务器生态!AF402</f>
        <v>6.8679600000000019E-3</v>
      </c>
      <c r="L385" s="7">
        <f>[1]服务器生态!AG402</f>
        <v>1.9871999999999997E-3</v>
      </c>
      <c r="M385" s="7">
        <f>[5]基础信息!M384</f>
        <v>100</v>
      </c>
      <c r="X385" s="7">
        <v>381</v>
      </c>
      <c r="Y385" s="7">
        <f>求节点(节奏总纲!D$4:D$163,R$5:R$164,$X385)*6</f>
        <v>43858.289860905832</v>
      </c>
      <c r="Z385" s="7">
        <f>求节点(节奏总纲!E$4:E$163,S$5:S$164,$X385)*6</f>
        <v>45013.252168480351</v>
      </c>
      <c r="AA385" s="7">
        <f>求节点(节奏总纲!F$4:F$163,T$5:T$164,$X385)*6</f>
        <v>46571.902513714864</v>
      </c>
      <c r="AB385" s="7">
        <f>求节点(节奏总纲!G$4:G$163,U$5:U$164,$X385)*6</f>
        <v>48815.712671748857</v>
      </c>
      <c r="AC385" s="7">
        <f>求节点(节奏总纲!H$4:H$163,V$5:V$164,$X385)*6</f>
        <v>52701.224889938378</v>
      </c>
    </row>
    <row r="386" spans="2:29" x14ac:dyDescent="0.15">
      <c r="B386" s="7">
        <v>382</v>
      </c>
      <c r="C386" s="7">
        <f>[1]服务器生态!W403</f>
        <v>32.625081125682556</v>
      </c>
      <c r="D386" s="7">
        <f>[1]服务器生态!X403</f>
        <v>32.168628735306271</v>
      </c>
      <c r="E386" s="7">
        <f>[1]服务器生态!Y403</f>
        <v>2.625934515201652</v>
      </c>
      <c r="F386" s="7">
        <f>[1]服务器生态!Z403</f>
        <v>0.46717230630984402</v>
      </c>
      <c r="G386" s="7">
        <f>[1]服务器生态!AA403</f>
        <v>0.13517329849022441</v>
      </c>
      <c r="H386" s="7">
        <f>[1]服务器生态!AC403</f>
        <v>0.47962550249999997</v>
      </c>
      <c r="I386" s="7">
        <f>[1]服务器生态!AD403</f>
        <v>0.47291513735919999</v>
      </c>
      <c r="J386" s="7">
        <f>[1]服务器生态!AE403</f>
        <v>3.8604200140800002E-2</v>
      </c>
      <c r="K386" s="7">
        <f>[1]服务器生态!AF403</f>
        <v>6.8679600000000019E-3</v>
      </c>
      <c r="L386" s="7">
        <f>[1]服务器生态!AG403</f>
        <v>1.9871999999999997E-3</v>
      </c>
      <c r="M386" s="7">
        <f>[5]基础信息!M385</f>
        <v>100</v>
      </c>
      <c r="X386" s="7">
        <v>382</v>
      </c>
      <c r="Y386" s="7">
        <f>求节点(节奏总纲!D$4:D$163,R$5:R$164,$X386)*6</f>
        <v>43873.903535296173</v>
      </c>
      <c r="Z386" s="7">
        <f>求节点(节奏总纲!E$4:E$163,S$5:S$164,$X386)*6</f>
        <v>45028.550274868161</v>
      </c>
      <c r="AA386" s="7">
        <f>求节点(节奏总纲!F$4:F$163,T$5:T$164,$X386)*6</f>
        <v>46587.102958873133</v>
      </c>
      <c r="AB386" s="7">
        <f>求节点(节奏总纲!G$4:G$163,U$5:U$164,$X386)*6</f>
        <v>48830.175070302743</v>
      </c>
      <c r="AC386" s="7">
        <f>求节点(节奏总纲!H$4:H$163,V$5:V$164,$X386)*6</f>
        <v>52717.085356104908</v>
      </c>
    </row>
    <row r="387" spans="2:29" x14ac:dyDescent="0.15">
      <c r="B387" s="7">
        <v>383</v>
      </c>
      <c r="C387" s="7">
        <f>[1]服务器生态!W404</f>
        <v>32.4067488428147</v>
      </c>
      <c r="D387" s="7">
        <f>[1]服务器生态!X404</f>
        <v>31.953351105146478</v>
      </c>
      <c r="E387" s="7">
        <f>[1]服务器生态!Y404</f>
        <v>2.6083613396697096</v>
      </c>
      <c r="F387" s="7">
        <f>[1]服务器生态!Z404</f>
        <v>0.46404591420260793</v>
      </c>
      <c r="G387" s="7">
        <f>[1]服务器生态!AA404</f>
        <v>0.13426869706629366</v>
      </c>
      <c r="H387" s="7">
        <f>[1]服务器生态!AC404</f>
        <v>0.47962550249999997</v>
      </c>
      <c r="I387" s="7">
        <f>[1]服务器生态!AD404</f>
        <v>0.47291513735919999</v>
      </c>
      <c r="J387" s="7">
        <f>[1]服务器生态!AE404</f>
        <v>3.8604200140800002E-2</v>
      </c>
      <c r="K387" s="7">
        <f>[1]服务器生态!AF404</f>
        <v>6.8679600000000019E-3</v>
      </c>
      <c r="L387" s="7">
        <f>[1]服务器生态!AG404</f>
        <v>1.9871999999999997E-3</v>
      </c>
      <c r="M387" s="7">
        <f>[5]基础信息!M386</f>
        <v>100</v>
      </c>
      <c r="X387" s="7">
        <v>383</v>
      </c>
      <c r="Y387" s="7">
        <f>求节点(节奏总纲!D$4:D$163,R$5:R$164,$X387)*6</f>
        <v>43889.517209686514</v>
      </c>
      <c r="Z387" s="7">
        <f>求节点(节奏总纲!E$4:E$163,S$5:S$164,$X387)*6</f>
        <v>45043.848381255972</v>
      </c>
      <c r="AA387" s="7">
        <f>求节点(节奏总纲!F$4:F$163,T$5:T$164,$X387)*6</f>
        <v>46602.303404031409</v>
      </c>
      <c r="AB387" s="7">
        <f>求节点(节奏总纲!G$4:G$163,U$5:U$164,$X387)*6</f>
        <v>48844.637468856628</v>
      </c>
      <c r="AC387" s="7">
        <f>求节点(节奏总纲!H$4:H$163,V$5:V$164,$X387)*6</f>
        <v>52732.945822271431</v>
      </c>
    </row>
    <row r="388" spans="2:29" x14ac:dyDescent="0.15">
      <c r="B388" s="7">
        <v>384</v>
      </c>
      <c r="C388" s="7">
        <f>[1]服务器生态!W405</f>
        <v>32.188416559946852</v>
      </c>
      <c r="D388" s="7">
        <f>[1]服务器生态!X405</f>
        <v>31.738073474986692</v>
      </c>
      <c r="E388" s="7">
        <f>[1]服务器生态!Y405</f>
        <v>2.5907881641377677</v>
      </c>
      <c r="F388" s="7">
        <f>[1]服务器生态!Z405</f>
        <v>0.46091952209537196</v>
      </c>
      <c r="G388" s="7">
        <f>[1]服务器生态!AA405</f>
        <v>0.1333640956423629</v>
      </c>
      <c r="H388" s="7">
        <f>[1]服务器生态!AC405</f>
        <v>0.47962550249999997</v>
      </c>
      <c r="I388" s="7">
        <f>[1]服务器生态!AD405</f>
        <v>0.47291513735919999</v>
      </c>
      <c r="J388" s="7">
        <f>[1]服务器生态!AE405</f>
        <v>3.8604200140800002E-2</v>
      </c>
      <c r="K388" s="7">
        <f>[1]服务器生态!AF405</f>
        <v>6.8679600000000019E-3</v>
      </c>
      <c r="L388" s="7">
        <f>[1]服务器生态!AG405</f>
        <v>1.9871999999999997E-3</v>
      </c>
      <c r="M388" s="7">
        <f>[5]基础信息!M387</f>
        <v>100</v>
      </c>
      <c r="X388" s="7">
        <v>384</v>
      </c>
      <c r="Y388" s="7">
        <f>求节点(节奏总纲!D$4:D$163,R$5:R$164,$X388)*6</f>
        <v>43905.130884076854</v>
      </c>
      <c r="Z388" s="7">
        <f>求节点(节奏总纲!E$4:E$163,S$5:S$164,$X388)*6</f>
        <v>45059.146487643789</v>
      </c>
      <c r="AA388" s="7">
        <f>求节点(节奏总纲!F$4:F$163,T$5:T$164,$X388)*6</f>
        <v>46617.503849189678</v>
      </c>
      <c r="AB388" s="7">
        <f>求节点(节奏总纲!G$4:G$163,U$5:U$164,$X388)*6</f>
        <v>48859.099867410514</v>
      </c>
      <c r="AC388" s="7">
        <f>求节点(节奏总纲!H$4:H$163,V$5:V$164,$X388)*6</f>
        <v>52748.806288437947</v>
      </c>
    </row>
    <row r="389" spans="2:29" x14ac:dyDescent="0.15">
      <c r="B389" s="7">
        <v>385</v>
      </c>
      <c r="C389" s="7">
        <f>[1]服务器生态!W406</f>
        <v>31.970084277078989</v>
      </c>
      <c r="D389" s="7">
        <f>[1]服务器生态!X406</f>
        <v>31.522795844826895</v>
      </c>
      <c r="E389" s="7">
        <f>[1]服务器生态!Y406</f>
        <v>2.5732149886058253</v>
      </c>
      <c r="F389" s="7">
        <f>[1]服务器生态!Z406</f>
        <v>0.45779312998813587</v>
      </c>
      <c r="G389" s="7">
        <f>[1]服务器生态!AA406</f>
        <v>0.13245949421843214</v>
      </c>
      <c r="H389" s="7">
        <f>[1]服务器生态!AC406</f>
        <v>0.47962550249999997</v>
      </c>
      <c r="I389" s="7">
        <f>[1]服务器生态!AD406</f>
        <v>0.47291513735919999</v>
      </c>
      <c r="J389" s="7">
        <f>[1]服务器生态!AE406</f>
        <v>3.8604200140800002E-2</v>
      </c>
      <c r="K389" s="7">
        <f>[1]服务器生态!AF406</f>
        <v>6.8679600000000019E-3</v>
      </c>
      <c r="L389" s="7">
        <f>[1]服务器生态!AG406</f>
        <v>1.9871999999999997E-3</v>
      </c>
      <c r="M389" s="7">
        <f>[5]基础信息!M388</f>
        <v>100</v>
      </c>
      <c r="X389" s="7">
        <v>385</v>
      </c>
      <c r="Y389" s="7">
        <f>求节点(节奏总纲!D$4:D$163,R$5:R$164,$X389)*6</f>
        <v>43920.744558467195</v>
      </c>
      <c r="Z389" s="7">
        <f>求节点(节奏总纲!E$4:E$163,S$5:S$164,$X389)*6</f>
        <v>45074.353871939136</v>
      </c>
      <c r="AA389" s="7">
        <f>求节点(节奏总纲!F$4:F$163,T$5:T$164,$X389)*6</f>
        <v>46632.704294347946</v>
      </c>
      <c r="AB389" s="7">
        <f>求节点(节奏总纲!G$4:G$163,U$5:U$164,$X389)*6</f>
        <v>48873.5622659644</v>
      </c>
      <c r="AC389" s="7">
        <f>求节点(节奏总纲!H$4:H$163,V$5:V$164,$X389)*6</f>
        <v>52764.666754604463</v>
      </c>
    </row>
    <row r="390" spans="2:29" x14ac:dyDescent="0.15">
      <c r="B390" s="7">
        <v>386</v>
      </c>
      <c r="C390" s="7">
        <f>[1]服务器生态!W407</f>
        <v>31.751751994211133</v>
      </c>
      <c r="D390" s="7">
        <f>[1]服务器生态!X407</f>
        <v>31.307518214667098</v>
      </c>
      <c r="E390" s="7">
        <f>[1]服务器生态!Y407</f>
        <v>2.5556418130738829</v>
      </c>
      <c r="F390" s="7">
        <f>[1]服务器生态!Z407</f>
        <v>0.45466673788089984</v>
      </c>
      <c r="G390" s="7">
        <f>[1]服务器生态!AA407</f>
        <v>0.13155489279450139</v>
      </c>
      <c r="H390" s="7">
        <f>[1]服务器生态!AC407</f>
        <v>0.47962550249999997</v>
      </c>
      <c r="I390" s="7">
        <f>[1]服务器生态!AD407</f>
        <v>0.47291513735919999</v>
      </c>
      <c r="J390" s="7">
        <f>[1]服务器生态!AE407</f>
        <v>3.8604200140800002E-2</v>
      </c>
      <c r="K390" s="7">
        <f>[1]服务器生态!AF407</f>
        <v>6.8679600000000019E-3</v>
      </c>
      <c r="L390" s="7">
        <f>[1]服务器生态!AG407</f>
        <v>1.9871999999999997E-3</v>
      </c>
      <c r="M390" s="7">
        <f>[5]基础信息!M389</f>
        <v>100</v>
      </c>
      <c r="X390" s="7">
        <v>386</v>
      </c>
      <c r="Y390" s="7">
        <f>求节点(节奏总纲!D$4:D$163,R$5:R$164,$X390)*6</f>
        <v>43936.358232857536</v>
      </c>
      <c r="Z390" s="7">
        <f>求节点(节奏总纲!E$4:E$163,S$5:S$164,$X390)*6</f>
        <v>45089.251655178632</v>
      </c>
      <c r="AA390" s="7">
        <f>求节点(节奏总纲!F$4:F$163,T$5:T$164,$X390)*6</f>
        <v>46647.904739506223</v>
      </c>
      <c r="AB390" s="7">
        <f>求节点(节奏总纲!G$4:G$163,U$5:U$164,$X390)*6</f>
        <v>48888.024664518285</v>
      </c>
      <c r="AC390" s="7">
        <f>求节点(节奏总纲!H$4:H$163,V$5:V$164,$X390)*6</f>
        <v>52780.527220770993</v>
      </c>
    </row>
    <row r="391" spans="2:29" x14ac:dyDescent="0.15">
      <c r="B391" s="7">
        <v>387</v>
      </c>
      <c r="C391" s="7">
        <f>[1]服务器生态!W408</f>
        <v>31.533419711343274</v>
      </c>
      <c r="D391" s="7">
        <f>[1]服务器生态!X408</f>
        <v>31.092240584507305</v>
      </c>
      <c r="E391" s="7">
        <f>[1]服务器生态!Y408</f>
        <v>2.5380686375419406</v>
      </c>
      <c r="F391" s="7">
        <f>[1]服务器生态!Z408</f>
        <v>0.45154034577366375</v>
      </c>
      <c r="G391" s="7">
        <f>[1]服务器生态!AA408</f>
        <v>0.13065029137057063</v>
      </c>
      <c r="H391" s="7">
        <f>[1]服务器生态!AC408</f>
        <v>0.47962550249999997</v>
      </c>
      <c r="I391" s="7">
        <f>[1]服务器生态!AD408</f>
        <v>0.47291513735919999</v>
      </c>
      <c r="J391" s="7">
        <f>[1]服务器生态!AE408</f>
        <v>3.8604200140800002E-2</v>
      </c>
      <c r="K391" s="7">
        <f>[1]服务器生态!AF408</f>
        <v>6.8679600000000019E-3</v>
      </c>
      <c r="L391" s="7">
        <f>[1]服务器生态!AG408</f>
        <v>1.9871999999999997E-3</v>
      </c>
      <c r="M391" s="7">
        <f>[5]基础信息!M390</f>
        <v>100</v>
      </c>
      <c r="X391" s="7">
        <v>387</v>
      </c>
      <c r="Y391" s="7">
        <f>求节点(节奏总纲!D$4:D$163,R$5:R$164,$X391)*6</f>
        <v>43951.971907247877</v>
      </c>
      <c r="Z391" s="7">
        <f>求节点(节奏总纲!E$4:E$163,S$5:S$164,$X391)*6</f>
        <v>45104.149438418121</v>
      </c>
      <c r="AA391" s="7">
        <f>求节点(节奏总纲!F$4:F$163,T$5:T$164,$X391)*6</f>
        <v>46663.105184664484</v>
      </c>
      <c r="AB391" s="7">
        <f>求节点(节奏总纲!G$4:G$163,U$5:U$164,$X391)*6</f>
        <v>48902.487063072178</v>
      </c>
      <c r="AC391" s="7">
        <f>求节点(节奏总纲!H$4:H$163,V$5:V$164,$X391)*6</f>
        <v>52795.572654107731</v>
      </c>
    </row>
    <row r="392" spans="2:29" x14ac:dyDescent="0.15">
      <c r="B392" s="7">
        <v>388</v>
      </c>
      <c r="C392" s="7">
        <f>[1]服务器生态!W409</f>
        <v>31.315087428475415</v>
      </c>
      <c r="D392" s="7">
        <f>[1]服务器生态!X409</f>
        <v>30.876962954347508</v>
      </c>
      <c r="E392" s="7">
        <f>[1]服务器生态!Y409</f>
        <v>2.5204954620099982</v>
      </c>
      <c r="F392" s="7">
        <f>[1]服务器生态!Z409</f>
        <v>0.44841395366642767</v>
      </c>
      <c r="G392" s="7">
        <f>[1]服务器生态!AA409</f>
        <v>0.12974568994663987</v>
      </c>
      <c r="H392" s="7">
        <f>[1]服务器生态!AC409</f>
        <v>0.47962550249999997</v>
      </c>
      <c r="I392" s="7">
        <f>[1]服务器生态!AD409</f>
        <v>0.47291513735919999</v>
      </c>
      <c r="J392" s="7">
        <f>[1]服务器生态!AE409</f>
        <v>3.8604200140800002E-2</v>
      </c>
      <c r="K392" s="7">
        <f>[1]服务器生态!AF409</f>
        <v>6.8679600000000019E-3</v>
      </c>
      <c r="L392" s="7">
        <f>[1]服务器生态!AG409</f>
        <v>1.9871999999999997E-3</v>
      </c>
      <c r="M392" s="7">
        <f>[5]基础信息!M391</f>
        <v>100</v>
      </c>
      <c r="X392" s="7">
        <v>388</v>
      </c>
      <c r="Y392" s="7">
        <f>求节点(节奏总纲!D$4:D$163,R$5:R$164,$X392)*6</f>
        <v>43966.289858051408</v>
      </c>
      <c r="Z392" s="7">
        <f>求节点(节奏总纲!E$4:E$163,S$5:S$164,$X392)*6</f>
        <v>45119.047221657616</v>
      </c>
      <c r="AA392" s="7">
        <f>求节点(节奏总纲!F$4:F$163,T$5:T$164,$X392)*6</f>
        <v>46678.30562982276</v>
      </c>
      <c r="AB392" s="7">
        <f>求节点(节奏总纲!G$4:G$163,U$5:U$164,$X392)*6</f>
        <v>48916.949461626064</v>
      </c>
      <c r="AC392" s="7">
        <f>求节点(节奏总纲!H$4:H$163,V$5:V$164,$X392)*6</f>
        <v>52810.096339807467</v>
      </c>
    </row>
    <row r="393" spans="2:29" x14ac:dyDescent="0.15">
      <c r="B393" s="7">
        <v>389</v>
      </c>
      <c r="C393" s="7">
        <f>[1]服务器生态!W410</f>
        <v>31.096755145607563</v>
      </c>
      <c r="D393" s="7">
        <f>[1]服务器生态!X410</f>
        <v>30.661685324187722</v>
      </c>
      <c r="E393" s="7">
        <f>[1]服务器生态!Y410</f>
        <v>2.5029222864780567</v>
      </c>
      <c r="F393" s="7">
        <f>[1]服务器生态!Z410</f>
        <v>0.44528756155919169</v>
      </c>
      <c r="G393" s="7">
        <f>[1]服务器生态!AA410</f>
        <v>0.12884108852270912</v>
      </c>
      <c r="H393" s="7">
        <f>[1]服务器生态!AC410</f>
        <v>0.47962550249999997</v>
      </c>
      <c r="I393" s="7">
        <f>[1]服务器生态!AD410</f>
        <v>0.47291513735919999</v>
      </c>
      <c r="J393" s="7">
        <f>[1]服务器生态!AE410</f>
        <v>3.8604200140800002E-2</v>
      </c>
      <c r="K393" s="7">
        <f>[1]服务器生态!AF410</f>
        <v>6.8679600000000019E-3</v>
      </c>
      <c r="L393" s="7">
        <f>[1]服务器生态!AG410</f>
        <v>1.9871999999999997E-3</v>
      </c>
      <c r="M393" s="7">
        <f>[5]基础信息!M392</f>
        <v>100</v>
      </c>
      <c r="X393" s="7">
        <v>389</v>
      </c>
      <c r="Y393" s="7">
        <f>求节点(节奏总纲!D$4:D$163,R$5:R$164,$X393)*6</f>
        <v>43980.576706697284</v>
      </c>
      <c r="Z393" s="7">
        <f>求节点(节奏总纲!E$4:E$163,S$5:S$164,$X393)*6</f>
        <v>45133.945004897105</v>
      </c>
      <c r="AA393" s="7">
        <f>求节点(节奏总纲!F$4:F$163,T$5:T$164,$X393)*6</f>
        <v>46693.506074981029</v>
      </c>
      <c r="AB393" s="7">
        <f>求节点(节奏总纲!G$4:G$163,U$5:U$164,$X393)*6</f>
        <v>48931.411860179949</v>
      </c>
      <c r="AC393" s="7">
        <f>求节点(节奏总纲!H$4:H$163,V$5:V$164,$X393)*6</f>
        <v>52824.620025507218</v>
      </c>
    </row>
    <row r="394" spans="2:29" x14ac:dyDescent="0.15">
      <c r="B394" s="7">
        <v>390</v>
      </c>
      <c r="C394" s="7">
        <f>[1]服务器生态!W411</f>
        <v>30.878422862739708</v>
      </c>
      <c r="D394" s="7">
        <f>[1]服务器生态!X411</f>
        <v>30.446407694027926</v>
      </c>
      <c r="E394" s="7">
        <f>[1]服务器生态!Y411</f>
        <v>2.4853491109461143</v>
      </c>
      <c r="F394" s="7">
        <f>[1]服务器生态!Z411</f>
        <v>0.4421611694519556</v>
      </c>
      <c r="G394" s="7">
        <f>[1]服务器生态!AA411</f>
        <v>0.12793648709877836</v>
      </c>
      <c r="H394" s="7">
        <f>[1]服务器生态!AC411</f>
        <v>0.47962550249999997</v>
      </c>
      <c r="I394" s="7">
        <f>[1]服务器生态!AD411</f>
        <v>0.47291513735919999</v>
      </c>
      <c r="J394" s="7">
        <f>[1]服务器生态!AE411</f>
        <v>3.8604200140800002E-2</v>
      </c>
      <c r="K394" s="7">
        <f>[1]服务器生态!AF411</f>
        <v>6.8679600000000019E-3</v>
      </c>
      <c r="L394" s="7">
        <f>[1]服务器生态!AG411</f>
        <v>1.9871999999999997E-3</v>
      </c>
      <c r="M394" s="7">
        <f>[5]基础信息!M393</f>
        <v>100</v>
      </c>
      <c r="X394" s="7">
        <v>390</v>
      </c>
      <c r="Y394" s="7">
        <f>求节点(节奏总纲!D$4:D$163,R$5:R$164,$X394)*6</f>
        <v>43994.863555343167</v>
      </c>
      <c r="Z394" s="7">
        <f>求节点(节奏总纲!E$4:E$163,S$5:S$164,$X394)*6</f>
        <v>45148.842788136593</v>
      </c>
      <c r="AA394" s="7">
        <f>求节点(节奏总纲!F$4:F$163,T$5:T$164,$X394)*6</f>
        <v>46708.706520139298</v>
      </c>
      <c r="AB394" s="7">
        <f>求节点(节奏总纲!G$4:G$163,U$5:U$164,$X394)*6</f>
        <v>48945.874258733835</v>
      </c>
      <c r="AC394" s="7">
        <f>求节点(节奏总纲!H$4:H$163,V$5:V$164,$X394)*6</f>
        <v>52839.143711206969</v>
      </c>
    </row>
    <row r="395" spans="2:29" x14ac:dyDescent="0.15">
      <c r="B395" s="7">
        <v>391</v>
      </c>
      <c r="C395" s="7">
        <f>[1]服务器生态!W412</f>
        <v>30.698298729373722</v>
      </c>
      <c r="D395" s="7">
        <f>[1]服务器生态!X412</f>
        <v>30.268803649146093</v>
      </c>
      <c r="E395" s="7">
        <f>[1]服务器生态!Y412</f>
        <v>2.4708512411322614</v>
      </c>
      <c r="F395" s="7">
        <f>[1]服务器生态!Z412</f>
        <v>0.43958189596348585</v>
      </c>
      <c r="G395" s="7">
        <f>[1]服务器生态!AA412</f>
        <v>0.12719019092403547</v>
      </c>
      <c r="H395" s="7">
        <f>[1]服务器生态!AC412</f>
        <v>0.47962550249999997</v>
      </c>
      <c r="I395" s="7">
        <f>[1]服务器生态!AD412</f>
        <v>0.47291513735919999</v>
      </c>
      <c r="J395" s="7">
        <f>[1]服务器生态!AE412</f>
        <v>3.8604200140800002E-2</v>
      </c>
      <c r="K395" s="7">
        <f>[1]服务器生态!AF412</f>
        <v>6.8679600000000019E-3</v>
      </c>
      <c r="L395" s="7">
        <f>[1]服务器生态!AG412</f>
        <v>1.9871999999999997E-3</v>
      </c>
      <c r="M395" s="7">
        <f>[5]基础信息!M394</f>
        <v>100</v>
      </c>
      <c r="X395" s="7">
        <v>391</v>
      </c>
      <c r="Y395" s="7">
        <f>求节点(节奏总纲!D$4:D$163,R$5:R$164,$X395)*6</f>
        <v>44009.150403989042</v>
      </c>
      <c r="Z395" s="7">
        <f>求节点(节奏总纲!E$4:E$163,S$5:S$164,$X395)*6</f>
        <v>45163.740571376089</v>
      </c>
      <c r="AA395" s="7">
        <f>求节点(节奏总纲!F$4:F$163,T$5:T$164,$X395)*6</f>
        <v>46723.906965297574</v>
      </c>
      <c r="AB395" s="7">
        <f>求节点(节奏总纲!G$4:G$163,U$5:U$164,$X395)*6</f>
        <v>48960.33665728772</v>
      </c>
      <c r="AC395" s="7">
        <f>求节点(节奏总纲!H$4:H$163,V$5:V$164,$X395)*6</f>
        <v>52853.66739690672</v>
      </c>
    </row>
    <row r="396" spans="2:29" x14ac:dyDescent="0.15">
      <c r="B396" s="7">
        <v>392</v>
      </c>
      <c r="C396" s="7">
        <f>[1]服务器生态!W413</f>
        <v>30.518174596007743</v>
      </c>
      <c r="D396" s="7">
        <f>[1]服务器生态!X413</f>
        <v>30.091199604264265</v>
      </c>
      <c r="E396" s="7">
        <f>[1]服务器生态!Y413</f>
        <v>2.4563533713184094</v>
      </c>
      <c r="F396" s="7">
        <f>[1]服务器生态!Z413</f>
        <v>0.43700262247501614</v>
      </c>
      <c r="G396" s="7">
        <f>[1]服务器生态!AA413</f>
        <v>0.1264438947492926</v>
      </c>
      <c r="H396" s="7">
        <f>[1]服务器生态!AC413</f>
        <v>0.47962550249999997</v>
      </c>
      <c r="I396" s="7">
        <f>[1]服务器生态!AD413</f>
        <v>0.47291513735919999</v>
      </c>
      <c r="J396" s="7">
        <f>[1]服务器生态!AE413</f>
        <v>3.8604200140800002E-2</v>
      </c>
      <c r="K396" s="7">
        <f>[1]服务器生态!AF413</f>
        <v>6.8679600000000019E-3</v>
      </c>
      <c r="L396" s="7">
        <f>[1]服务器生态!AG413</f>
        <v>1.9871999999999997E-3</v>
      </c>
      <c r="M396" s="7">
        <f>[5]基础信息!M395</f>
        <v>100</v>
      </c>
      <c r="X396" s="7">
        <v>392</v>
      </c>
      <c r="Y396" s="7">
        <f>求节点(节奏总纲!D$4:D$163,R$5:R$164,$X396)*6</f>
        <v>44023.437252634918</v>
      </c>
      <c r="Z396" s="7">
        <f>求节点(节奏总纲!E$4:E$163,S$5:S$164,$X396)*6</f>
        <v>45178.638354615585</v>
      </c>
      <c r="AA396" s="7">
        <f>求节点(节奏总纲!F$4:F$163,T$5:T$164,$X396)*6</f>
        <v>46739.107410455843</v>
      </c>
      <c r="AB396" s="7">
        <f>求节点(节奏总纲!G$4:G$163,U$5:U$164,$X396)*6</f>
        <v>48974.799055841606</v>
      </c>
      <c r="AC396" s="7">
        <f>求节点(节奏总纲!H$4:H$163,V$5:V$164,$X396)*6</f>
        <v>52868.19108260647</v>
      </c>
    </row>
    <row r="397" spans="2:29" x14ac:dyDescent="0.15">
      <c r="B397" s="7">
        <v>393</v>
      </c>
      <c r="C397" s="7">
        <f>[1]服务器生态!W414</f>
        <v>30.33805046264176</v>
      </c>
      <c r="D397" s="7">
        <f>[1]服务器生态!X414</f>
        <v>29.913595559382436</v>
      </c>
      <c r="E397" s="7">
        <f>[1]服务器生态!Y414</f>
        <v>2.4418555015045573</v>
      </c>
      <c r="F397" s="7">
        <f>[1]服务器生态!Z414</f>
        <v>0.43442334898654639</v>
      </c>
      <c r="G397" s="7">
        <f>[1]服务器生态!AA414</f>
        <v>0.12569759857454973</v>
      </c>
      <c r="H397" s="7">
        <f>[1]服务器生态!AC414</f>
        <v>0.47962550249999997</v>
      </c>
      <c r="I397" s="7">
        <f>[1]服务器生态!AD414</f>
        <v>0.47291513735919999</v>
      </c>
      <c r="J397" s="7">
        <f>[1]服务器生态!AE414</f>
        <v>3.8604200140800002E-2</v>
      </c>
      <c r="K397" s="7">
        <f>[1]服务器生态!AF414</f>
        <v>6.8679600000000019E-3</v>
      </c>
      <c r="L397" s="7">
        <f>[1]服务器生态!AG414</f>
        <v>1.9871999999999997E-3</v>
      </c>
      <c r="M397" s="7">
        <f>[5]基础信息!M396</f>
        <v>100</v>
      </c>
      <c r="X397" s="7">
        <v>393</v>
      </c>
      <c r="Y397" s="7">
        <f>求节点(节奏总纲!D$4:D$163,R$5:R$164,$X397)*6</f>
        <v>44037.724101280794</v>
      </c>
      <c r="Z397" s="7">
        <f>求节点(节奏总纲!E$4:E$163,S$5:S$164,$X397)*6</f>
        <v>45193.536137855081</v>
      </c>
      <c r="AA397" s="7">
        <f>求节点(节奏总纲!F$4:F$163,T$5:T$164,$X397)*6</f>
        <v>46754.307855614112</v>
      </c>
      <c r="AB397" s="7">
        <f>求节点(节奏总纲!G$4:G$163,U$5:U$164,$X397)*6</f>
        <v>48989.261454395499</v>
      </c>
      <c r="AC397" s="7">
        <f>求节点(节奏总纲!H$4:H$163,V$5:V$164,$X397)*6</f>
        <v>52882.714768306221</v>
      </c>
    </row>
    <row r="398" spans="2:29" x14ac:dyDescent="0.15">
      <c r="B398" s="7">
        <v>394</v>
      </c>
      <c r="C398" s="7">
        <f>[1]服务器生态!W415</f>
        <v>30.157926329275778</v>
      </c>
      <c r="D398" s="7">
        <f>[1]服务器生态!X415</f>
        <v>29.735991514500608</v>
      </c>
      <c r="E398" s="7">
        <f>[1]服务器生态!Y415</f>
        <v>2.4273576316907048</v>
      </c>
      <c r="F398" s="7">
        <f>[1]服务器生态!Z415</f>
        <v>0.43184407549807663</v>
      </c>
      <c r="G398" s="7">
        <f>[1]服务器生态!AA415</f>
        <v>0.12495130239980685</v>
      </c>
      <c r="H398" s="7">
        <f>[1]服务器生态!AC415</f>
        <v>0.47962550249999997</v>
      </c>
      <c r="I398" s="7">
        <f>[1]服务器生态!AD415</f>
        <v>0.47291513735919999</v>
      </c>
      <c r="J398" s="7">
        <f>[1]服务器生态!AE415</f>
        <v>3.8604200140800002E-2</v>
      </c>
      <c r="K398" s="7">
        <f>[1]服务器生态!AF415</f>
        <v>6.8679600000000019E-3</v>
      </c>
      <c r="L398" s="7">
        <f>[1]服务器生态!AG415</f>
        <v>1.9871999999999997E-3</v>
      </c>
      <c r="M398" s="7">
        <f>[5]基础信息!M397</f>
        <v>100</v>
      </c>
      <c r="X398" s="7">
        <v>394</v>
      </c>
      <c r="Y398" s="7">
        <f>求节点(节奏总纲!D$4:D$163,R$5:R$164,$X398)*6</f>
        <v>44052.010949926669</v>
      </c>
      <c r="Z398" s="7">
        <f>求节点(节奏总纲!E$4:E$163,S$5:S$164,$X398)*6</f>
        <v>45208.433921094569</v>
      </c>
      <c r="AA398" s="7">
        <f>求节点(节奏总纲!F$4:F$163,T$5:T$164,$X398)*6</f>
        <v>46769.508300772388</v>
      </c>
      <c r="AB398" s="7">
        <f>求节点(节奏总纲!G$4:G$163,U$5:U$164,$X398)*6</f>
        <v>49003.723852949384</v>
      </c>
      <c r="AC398" s="7">
        <f>求节点(节奏总纲!H$4:H$163,V$5:V$164,$X398)*6</f>
        <v>52897.238454005972</v>
      </c>
    </row>
    <row r="399" spans="2:29" x14ac:dyDescent="0.15">
      <c r="B399" s="7">
        <v>395</v>
      </c>
      <c r="C399" s="7">
        <f>[1]服务器生态!W416</f>
        <v>29.977802195909796</v>
      </c>
      <c r="D399" s="7">
        <f>[1]服务器生态!X416</f>
        <v>29.558387469618779</v>
      </c>
      <c r="E399" s="7">
        <f>[1]服务器生态!Y416</f>
        <v>2.4128597618768524</v>
      </c>
      <c r="F399" s="7">
        <f>[1]服务器生态!Z416</f>
        <v>0.42926480200960693</v>
      </c>
      <c r="G399" s="7">
        <f>[1]服务器生态!AA416</f>
        <v>0.12420500622506399</v>
      </c>
      <c r="H399" s="7">
        <f>[1]服务器生态!AC416</f>
        <v>0.47962550249999997</v>
      </c>
      <c r="I399" s="7">
        <f>[1]服务器生态!AD416</f>
        <v>0.47291513735919999</v>
      </c>
      <c r="J399" s="7">
        <f>[1]服务器生态!AE416</f>
        <v>3.8604200140800002E-2</v>
      </c>
      <c r="K399" s="7">
        <f>[1]服务器生态!AF416</f>
        <v>6.8679600000000019E-3</v>
      </c>
      <c r="L399" s="7">
        <f>[1]服务器生态!AG416</f>
        <v>1.9871999999999997E-3</v>
      </c>
      <c r="M399" s="7">
        <f>[5]基础信息!M398</f>
        <v>100</v>
      </c>
      <c r="X399" s="7">
        <v>395</v>
      </c>
      <c r="Y399" s="7">
        <f>求节点(节奏总纲!D$4:D$163,R$5:R$164,$X399)*6</f>
        <v>44066.297798572552</v>
      </c>
      <c r="Z399" s="7">
        <f>求节点(节奏总纲!E$4:E$163,S$5:S$164,$X399)*6</f>
        <v>45223.331704334065</v>
      </c>
      <c r="AA399" s="7">
        <f>求节点(节奏总纲!F$4:F$163,T$5:T$164,$X399)*6</f>
        <v>46784.708745930657</v>
      </c>
      <c r="AB399" s="7">
        <f>求节点(节奏总纲!G$4:G$163,U$5:U$164,$X399)*6</f>
        <v>49018.18625150327</v>
      </c>
      <c r="AC399" s="7">
        <f>求节点(节奏总纲!H$4:H$163,V$5:V$164,$X399)*6</f>
        <v>52911.762139705708</v>
      </c>
    </row>
    <row r="400" spans="2:29" x14ac:dyDescent="0.15">
      <c r="B400" s="7">
        <v>396</v>
      </c>
      <c r="C400" s="7">
        <f>[1]服务器生态!W417</f>
        <v>29.797678062543817</v>
      </c>
      <c r="D400" s="7">
        <f>[1]服务器生态!X417</f>
        <v>29.380783424736951</v>
      </c>
      <c r="E400" s="7">
        <f>[1]服务器生态!Y417</f>
        <v>2.3983618920630003</v>
      </c>
      <c r="F400" s="7">
        <f>[1]服务器生态!Z417</f>
        <v>0.42668552852113717</v>
      </c>
      <c r="G400" s="7">
        <f>[1]服务器生态!AA417</f>
        <v>0.12345871005032112</v>
      </c>
      <c r="H400" s="7">
        <f>[1]服务器生态!AC417</f>
        <v>0.47962550249999997</v>
      </c>
      <c r="I400" s="7">
        <f>[1]服务器生态!AD417</f>
        <v>0.47291513735919999</v>
      </c>
      <c r="J400" s="7">
        <f>[1]服务器生态!AE417</f>
        <v>3.8604200140800002E-2</v>
      </c>
      <c r="K400" s="7">
        <f>[1]服务器生态!AF417</f>
        <v>6.8679600000000019E-3</v>
      </c>
      <c r="L400" s="7">
        <f>[1]服务器生态!AG417</f>
        <v>1.9871999999999997E-3</v>
      </c>
      <c r="M400" s="7">
        <f>[5]基础信息!M399</f>
        <v>100</v>
      </c>
      <c r="X400" s="7">
        <v>396</v>
      </c>
      <c r="Y400" s="7">
        <f>求节点(节奏总纲!D$4:D$163,R$5:R$164,$X400)*6</f>
        <v>44080.584647218428</v>
      </c>
      <c r="Z400" s="7">
        <f>求节点(节奏总纲!E$4:E$163,S$5:S$164,$X400)*6</f>
        <v>45238.229487573553</v>
      </c>
      <c r="AA400" s="7">
        <f>求节点(节奏总纲!F$4:F$163,T$5:T$164,$X400)*6</f>
        <v>46799.909191088926</v>
      </c>
      <c r="AB400" s="7">
        <f>求节点(节奏总纲!G$4:G$163,U$5:U$164,$X400)*6</f>
        <v>49032.648650057155</v>
      </c>
      <c r="AC400" s="7">
        <f>求节点(节奏总纲!H$4:H$163,V$5:V$164,$X400)*6</f>
        <v>52926.285825405459</v>
      </c>
    </row>
    <row r="401" spans="2:29" x14ac:dyDescent="0.15">
      <c r="B401" s="7">
        <v>397</v>
      </c>
      <c r="C401" s="7">
        <f>[1]服务器生态!W418</f>
        <v>29.617553929177834</v>
      </c>
      <c r="D401" s="7">
        <f>[1]服务器生态!X418</f>
        <v>29.203179379855118</v>
      </c>
      <c r="E401" s="7">
        <f>[1]服务器生态!Y418</f>
        <v>2.3838640222491478</v>
      </c>
      <c r="F401" s="7">
        <f>[1]服务器生态!Z418</f>
        <v>0.42410625503266741</v>
      </c>
      <c r="G401" s="7">
        <f>[1]服务器生态!AA418</f>
        <v>0.12271241387557824</v>
      </c>
      <c r="H401" s="7">
        <f>[1]服务器生态!AC418</f>
        <v>0.47962550249999997</v>
      </c>
      <c r="I401" s="7">
        <f>[1]服务器生态!AD418</f>
        <v>0.47291513735919999</v>
      </c>
      <c r="J401" s="7">
        <f>[1]服务器生态!AE418</f>
        <v>3.8604200140800002E-2</v>
      </c>
      <c r="K401" s="7">
        <f>[1]服务器生态!AF418</f>
        <v>6.8679600000000019E-3</v>
      </c>
      <c r="L401" s="7">
        <f>[1]服务器生态!AG418</f>
        <v>1.9871999999999997E-3</v>
      </c>
      <c r="M401" s="7">
        <f>[5]基础信息!M400</f>
        <v>100</v>
      </c>
      <c r="X401" s="7">
        <v>397</v>
      </c>
      <c r="Y401" s="7">
        <f>求节点(节奏总纲!D$4:D$163,R$5:R$164,$X401)*6</f>
        <v>44094.871495864303</v>
      </c>
      <c r="Z401" s="7">
        <f>求节点(节奏总纲!E$4:E$163,S$5:S$164,$X401)*6</f>
        <v>45253.127270813049</v>
      </c>
      <c r="AA401" s="7">
        <f>求节点(节奏总纲!F$4:F$163,T$5:T$164,$X401)*6</f>
        <v>46815.109636247202</v>
      </c>
      <c r="AB401" s="7">
        <f>求节点(节奏总纲!G$4:G$163,U$5:U$164,$X401)*6</f>
        <v>49047.111048611041</v>
      </c>
      <c r="AC401" s="7">
        <f>求节点(节奏总纲!H$4:H$163,V$5:V$164,$X401)*6</f>
        <v>52940.80951110521</v>
      </c>
    </row>
    <row r="402" spans="2:29" x14ac:dyDescent="0.15">
      <c r="B402" s="7">
        <v>398</v>
      </c>
      <c r="C402" s="7">
        <f>[1]服务器生态!W419</f>
        <v>29.437429795811852</v>
      </c>
      <c r="D402" s="7">
        <f>[1]服务器生态!X419</f>
        <v>29.02557533497329</v>
      </c>
      <c r="E402" s="7">
        <f>[1]服务器生态!Y419</f>
        <v>2.3693661524352954</v>
      </c>
      <c r="F402" s="7">
        <f>[1]服务器生态!Z419</f>
        <v>0.42152698154419771</v>
      </c>
      <c r="G402" s="7">
        <f>[1]服务器生态!AA419</f>
        <v>0.12196611770083537</v>
      </c>
      <c r="H402" s="7">
        <f>[1]服务器生态!AC419</f>
        <v>0.47962550249999997</v>
      </c>
      <c r="I402" s="7">
        <f>[1]服务器生态!AD419</f>
        <v>0.47291513735919999</v>
      </c>
      <c r="J402" s="7">
        <f>[1]服务器生态!AE419</f>
        <v>3.8604200140800002E-2</v>
      </c>
      <c r="K402" s="7">
        <f>[1]服务器生态!AF419</f>
        <v>6.8679600000000019E-3</v>
      </c>
      <c r="L402" s="7">
        <f>[1]服务器生态!AG419</f>
        <v>1.9871999999999997E-3</v>
      </c>
      <c r="M402" s="7">
        <f>[5]基础信息!M401</f>
        <v>100</v>
      </c>
      <c r="X402" s="7">
        <v>398</v>
      </c>
      <c r="Y402" s="7">
        <f>求节点(节奏总纲!D$4:D$163,R$5:R$164,$X402)*6</f>
        <v>44109.158344510186</v>
      </c>
      <c r="Z402" s="7">
        <f>求节点(节奏总纲!E$4:E$163,S$5:S$164,$X402)*6</f>
        <v>45268.025054052538</v>
      </c>
      <c r="AA402" s="7">
        <f>求节点(节奏总纲!F$4:F$163,T$5:T$164,$X402)*6</f>
        <v>46830.310081405463</v>
      </c>
      <c r="AB402" s="7">
        <f>求节点(节奏总纲!G$4:G$163,U$5:U$164,$X402)*6</f>
        <v>49061.573447164934</v>
      </c>
      <c r="AC402" s="7">
        <f>求节点(节奏总纲!H$4:H$163,V$5:V$164,$X402)*6</f>
        <v>52955.333196804961</v>
      </c>
    </row>
    <row r="403" spans="2:29" x14ac:dyDescent="0.15">
      <c r="B403" s="7">
        <v>399</v>
      </c>
      <c r="C403" s="7">
        <f>[1]服务器生态!W420</f>
        <v>29.257305662445869</v>
      </c>
      <c r="D403" s="7">
        <f>[1]服务器生态!X420</f>
        <v>28.847971290091458</v>
      </c>
      <c r="E403" s="7">
        <f>[1]服务器生态!Y420</f>
        <v>2.3548682826214429</v>
      </c>
      <c r="F403" s="7">
        <f>[1]服务器生态!Z420</f>
        <v>0.4189477080557279</v>
      </c>
      <c r="G403" s="7">
        <f>[1]服务器生态!AA420</f>
        <v>0.12121982152609249</v>
      </c>
      <c r="H403" s="7">
        <f>[1]服务器生态!AC420</f>
        <v>0.47962550249999997</v>
      </c>
      <c r="I403" s="7">
        <f>[1]服务器生态!AD420</f>
        <v>0.47291513735919999</v>
      </c>
      <c r="J403" s="7">
        <f>[1]服务器生态!AE420</f>
        <v>3.8604200140800002E-2</v>
      </c>
      <c r="K403" s="7">
        <f>[1]服务器生态!AF420</f>
        <v>6.8679600000000019E-3</v>
      </c>
      <c r="L403" s="7">
        <f>[1]服务器生态!AG420</f>
        <v>1.9871999999999997E-3</v>
      </c>
      <c r="M403" s="7">
        <f>[5]基础信息!M402</f>
        <v>100</v>
      </c>
      <c r="X403" s="7">
        <v>399</v>
      </c>
      <c r="Y403" s="7">
        <f>求节点(节奏总纲!D$4:D$163,R$5:R$164,$X403)*6</f>
        <v>44123.445193156062</v>
      </c>
      <c r="Z403" s="7">
        <f>求节点(节奏总纲!E$4:E$163,S$5:S$164,$X403)*6</f>
        <v>45282.922837292033</v>
      </c>
      <c r="AA403" s="7">
        <f>求节点(节奏总纲!F$4:F$163,T$5:T$164,$X403)*6</f>
        <v>46845.510526563739</v>
      </c>
      <c r="AB403" s="7">
        <f>求节点(节奏总纲!G$4:G$163,U$5:U$164,$X403)*6</f>
        <v>49076.035845718812</v>
      </c>
      <c r="AC403" s="7">
        <f>求节点(节奏总纲!H$4:H$163,V$5:V$164,$X403)*6</f>
        <v>52969.856882504711</v>
      </c>
    </row>
    <row r="404" spans="2:29" x14ac:dyDescent="0.15">
      <c r="B404" s="7">
        <v>400</v>
      </c>
      <c r="C404" s="7">
        <f>[1]服务器生态!W421</f>
        <v>29.077181529079887</v>
      </c>
      <c r="D404" s="7">
        <f>[1]服务器生态!X421</f>
        <v>28.670367245209629</v>
      </c>
      <c r="E404" s="7">
        <f>[1]服务器生态!Y421</f>
        <v>2.3403704128075908</v>
      </c>
      <c r="F404" s="7">
        <f>[1]服务器生态!Z421</f>
        <v>0.41636843456725819</v>
      </c>
      <c r="G404" s="7">
        <f>[1]服务器生态!AA421</f>
        <v>0.12047352535134961</v>
      </c>
      <c r="H404" s="7">
        <f>[1]服务器生态!AC421</f>
        <v>0.47962550249999997</v>
      </c>
      <c r="I404" s="7">
        <f>[1]服务器生态!AD421</f>
        <v>0.47291513735919999</v>
      </c>
      <c r="J404" s="7">
        <f>[1]服务器生态!AE421</f>
        <v>3.8604200140800002E-2</v>
      </c>
      <c r="K404" s="7">
        <f>[1]服务器生态!AF421</f>
        <v>6.8679600000000019E-3</v>
      </c>
      <c r="L404" s="7">
        <f>[1]服务器生态!AG421</f>
        <v>1.9871999999999997E-3</v>
      </c>
      <c r="M404" s="7">
        <f>[5]基础信息!M403</f>
        <v>100</v>
      </c>
      <c r="X404" s="7">
        <v>400</v>
      </c>
      <c r="Y404" s="7">
        <f>求节点(节奏总纲!D$4:D$163,R$5:R$164,$X404)*6</f>
        <v>44137.732041801937</v>
      </c>
      <c r="Z404" s="7">
        <f>求节点(节奏总纲!E$4:E$163,S$5:S$164,$X404)*6</f>
        <v>45297.820620531522</v>
      </c>
      <c r="AA404" s="7">
        <f>求节点(节奏总纲!F$4:F$163,T$5:T$164,$X404)*6</f>
        <v>46860.710971722008</v>
      </c>
      <c r="AB404" s="7">
        <f>求节点(节奏总纲!G$4:G$163,U$5:U$164,$X404)*6</f>
        <v>49090.498244272705</v>
      </c>
      <c r="AC404" s="7">
        <f>求节点(节奏总纲!H$4:H$163,V$5:V$164,$X404)*6</f>
        <v>52984.380568204462</v>
      </c>
    </row>
  </sheetData>
  <mergeCells count="10">
    <mergeCell ref="C3:G3"/>
    <mergeCell ref="H3:L3"/>
    <mergeCell ref="R3:V3"/>
    <mergeCell ref="Y3:AC3"/>
    <mergeCell ref="AH3:AL3"/>
    <mergeCell ref="AR3:AW3"/>
    <mergeCell ref="AY3:BD3"/>
    <mergeCell ref="BF3:BH3"/>
    <mergeCell ref="BM3:BQ3"/>
    <mergeCell ref="BR3:BV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C5EDF-76A4-489E-AE8E-F6ED4754E01E}">
  <sheetPr codeName="Sheet3">
    <tabColor theme="0" tint="-0.499984740745262"/>
  </sheetPr>
  <dimension ref="A1:CK117"/>
  <sheetViews>
    <sheetView topLeftCell="BF1" workbookViewId="0">
      <selection activeCell="BI12" sqref="BI12"/>
    </sheetView>
  </sheetViews>
  <sheetFormatPr defaultColWidth="6.625" defaultRowHeight="11.25" x14ac:dyDescent="0.2"/>
  <cols>
    <col min="1" max="1" width="40.375" style="1" customWidth="1"/>
    <col min="2" max="2" width="5.125" style="2" customWidth="1"/>
    <col min="3" max="3" width="5.5" style="2" customWidth="1"/>
    <col min="4" max="4" width="9.5" style="2" customWidth="1"/>
    <col min="5" max="5" width="10.5" style="2" bestFit="1" customWidth="1"/>
    <col min="6" max="6" width="5.125" style="2" customWidth="1"/>
    <col min="7" max="7" width="3" style="2" bestFit="1" customWidth="1"/>
    <col min="8" max="9" width="6.625" style="2"/>
    <col min="10" max="10" width="6.625" style="3"/>
    <col min="11" max="11" width="12.25" style="2" bestFit="1" customWidth="1"/>
    <col min="12" max="12" width="6.625" style="2"/>
    <col min="13" max="13" width="15.5" style="2" bestFit="1" customWidth="1"/>
    <col min="14" max="14" width="4.5" style="2" bestFit="1" customWidth="1"/>
    <col min="15" max="15" width="9" style="2" bestFit="1" customWidth="1"/>
    <col min="16" max="16" width="13.875" style="2" bestFit="1" customWidth="1"/>
    <col min="17" max="17" width="12.25" style="2" bestFit="1" customWidth="1"/>
    <col min="18" max="18" width="17.25" style="2" bestFit="1" customWidth="1"/>
    <col min="19" max="21" width="6.625" style="2"/>
    <col min="22" max="22" width="17.25" style="2" bestFit="1" customWidth="1"/>
    <col min="23" max="23" width="23" style="2" bestFit="1" customWidth="1"/>
    <col min="24" max="24" width="15.5" style="2" bestFit="1" customWidth="1"/>
    <col min="25" max="25" width="13.875" style="2" bestFit="1" customWidth="1"/>
    <col min="26" max="26" width="6" style="2" bestFit="1" customWidth="1"/>
    <col min="27" max="27" width="15.5" style="2" bestFit="1" customWidth="1"/>
    <col min="28" max="28" width="21.375" style="2" bestFit="1" customWidth="1"/>
    <col min="29" max="29" width="12.25" style="2" bestFit="1" customWidth="1"/>
    <col min="30" max="30" width="13.875" style="2" bestFit="1" customWidth="1"/>
    <col min="31" max="31" width="6" style="2" bestFit="1" customWidth="1"/>
    <col min="32" max="32" width="18.875" style="2" bestFit="1" customWidth="1"/>
    <col min="33" max="33" width="7.5" style="2" bestFit="1" customWidth="1"/>
    <col min="34" max="34" width="9.75" style="2" bestFit="1" customWidth="1"/>
    <col min="35" max="37" width="13" style="2" bestFit="1" customWidth="1"/>
    <col min="38" max="41" width="9.75" style="2" bestFit="1" customWidth="1"/>
    <col min="42" max="42" width="9" style="2" bestFit="1" customWidth="1"/>
    <col min="43" max="43" width="8.25" style="2" bestFit="1" customWidth="1"/>
    <col min="44" max="44" width="21.375" style="2" bestFit="1" customWidth="1"/>
    <col min="45" max="45" width="12.25" style="2" bestFit="1" customWidth="1"/>
    <col min="46" max="46" width="6" style="2" bestFit="1" customWidth="1"/>
    <col min="47" max="47" width="6.625" style="3"/>
    <col min="48" max="48" width="4.5" style="2" bestFit="1" customWidth="1"/>
    <col min="49" max="49" width="9" style="2" bestFit="1" customWidth="1"/>
    <col min="50" max="50" width="10.5" style="2" bestFit="1" customWidth="1"/>
    <col min="51" max="52" width="18.875" style="2" bestFit="1" customWidth="1"/>
    <col min="53" max="53" width="15.5" style="2" bestFit="1" customWidth="1"/>
    <col min="54" max="54" width="13.875" style="2" bestFit="1" customWidth="1"/>
    <col min="55" max="55" width="10.5" style="2" bestFit="1" customWidth="1"/>
    <col min="56" max="56" width="4.5" style="2" bestFit="1" customWidth="1"/>
    <col min="57" max="57" width="6.625" style="3"/>
    <col min="58" max="58" width="34.625" style="2" bestFit="1" customWidth="1"/>
    <col min="59" max="59" width="9" style="2" bestFit="1" customWidth="1"/>
    <col min="60" max="60" width="21.375" style="2" bestFit="1" customWidth="1"/>
    <col min="61" max="62" width="19.75" style="2" bestFit="1" customWidth="1"/>
    <col min="63" max="63" width="6.625" style="2"/>
    <col min="64" max="64" width="9" style="2" bestFit="1" customWidth="1"/>
    <col min="65" max="65" width="23.875" style="2" bestFit="1" customWidth="1"/>
    <col min="66" max="66" width="7.5" style="2" bestFit="1" customWidth="1"/>
    <col min="67" max="67" width="10.5" style="2" bestFit="1" customWidth="1"/>
    <col min="68" max="68" width="13.875" style="2" bestFit="1" customWidth="1"/>
    <col min="69" max="69" width="16.375" style="2" bestFit="1" customWidth="1"/>
    <col min="70" max="70" width="10.5" style="2" bestFit="1" customWidth="1"/>
    <col min="71" max="71" width="15.5" style="2" bestFit="1" customWidth="1"/>
    <col min="72" max="72" width="22.25" style="2" bestFit="1" customWidth="1"/>
    <col min="73" max="74" width="20.5" style="2" bestFit="1" customWidth="1"/>
    <col min="75" max="75" width="12.25" style="2" bestFit="1" customWidth="1"/>
    <col min="76" max="79" width="6.625" style="2"/>
    <col min="80" max="80" width="6.625" style="3"/>
    <col min="81" max="81" width="4.5" style="2" bestFit="1" customWidth="1"/>
    <col min="82" max="82" width="13.875" style="2" bestFit="1" customWidth="1"/>
    <col min="83" max="85" width="9.75" style="2" bestFit="1" customWidth="1"/>
    <col min="86" max="89" width="6" style="2" bestFit="1" customWidth="1"/>
    <col min="90" max="16384" width="6.625" style="2"/>
  </cols>
  <sheetData>
    <row r="1" spans="1:89" x14ac:dyDescent="0.2">
      <c r="A1" s="1" t="s">
        <v>118</v>
      </c>
      <c r="K1" s="1" t="s">
        <v>215</v>
      </c>
      <c r="AV1" s="2" t="s">
        <v>339</v>
      </c>
      <c r="AW1" s="6"/>
      <c r="AX1" s="6"/>
      <c r="AY1" s="6"/>
      <c r="AZ1" s="6"/>
      <c r="BA1" s="6"/>
      <c r="BB1" s="6"/>
      <c r="BC1" s="6"/>
      <c r="BF1" s="6" t="s">
        <v>358</v>
      </c>
      <c r="CC1" s="2" t="s">
        <v>339</v>
      </c>
    </row>
    <row r="2" spans="1:89" x14ac:dyDescent="0.2">
      <c r="A2" s="1" t="s">
        <v>310</v>
      </c>
      <c r="BT2" s="2">
        <v>10000</v>
      </c>
      <c r="BV2" s="2">
        <f>7500+12000</f>
        <v>19500</v>
      </c>
    </row>
    <row r="3" spans="1:89" x14ac:dyDescent="0.2">
      <c r="M3" s="6" t="s">
        <v>321</v>
      </c>
      <c r="V3" s="6" t="s">
        <v>322</v>
      </c>
      <c r="AA3" s="6" t="s">
        <v>319</v>
      </c>
      <c r="AF3" s="6" t="s">
        <v>331</v>
      </c>
      <c r="AU3" s="45"/>
      <c r="BE3" s="45"/>
      <c r="BL3" s="2" t="s">
        <v>172</v>
      </c>
      <c r="BM3" s="2">
        <f>BG5</f>
        <v>15</v>
      </c>
      <c r="BT3" s="2">
        <v>200</v>
      </c>
      <c r="BV3" s="2">
        <v>150</v>
      </c>
      <c r="CB3" s="45"/>
      <c r="CE3" s="66" t="s">
        <v>359</v>
      </c>
      <c r="CF3" s="66"/>
      <c r="CG3" s="66"/>
      <c r="CH3" s="66"/>
      <c r="CI3" s="66"/>
      <c r="CJ3" s="66"/>
      <c r="CK3" s="66"/>
    </row>
    <row r="4" spans="1:89" x14ac:dyDescent="0.2">
      <c r="A4" s="1" t="s">
        <v>206</v>
      </c>
      <c r="D4" s="2">
        <v>1000000</v>
      </c>
      <c r="N4" s="2" t="s">
        <v>210</v>
      </c>
      <c r="O4" s="2" t="s">
        <v>211</v>
      </c>
      <c r="P4" s="2" t="s">
        <v>214</v>
      </c>
      <c r="Q4" s="2" t="s">
        <v>212</v>
      </c>
      <c r="R4" s="2" t="s">
        <v>213</v>
      </c>
      <c r="V4" s="2" t="s">
        <v>324</v>
      </c>
      <c r="W4" s="2" t="s">
        <v>325</v>
      </c>
      <c r="X4" s="2" t="s">
        <v>326</v>
      </c>
      <c r="Y4" s="2" t="s">
        <v>327</v>
      </c>
      <c r="AA4" s="2" t="s">
        <v>324</v>
      </c>
      <c r="AB4" s="2" t="s">
        <v>345</v>
      </c>
      <c r="AC4" s="2" t="s">
        <v>328</v>
      </c>
      <c r="AD4" s="2" t="s">
        <v>327</v>
      </c>
      <c r="AF4" s="2" t="s">
        <v>324</v>
      </c>
      <c r="AG4" s="2" t="s">
        <v>258</v>
      </c>
      <c r="AH4" s="2" t="s">
        <v>83</v>
      </c>
      <c r="AI4" s="2" t="s">
        <v>320</v>
      </c>
      <c r="AJ4" s="2" t="s">
        <v>362</v>
      </c>
      <c r="AK4" s="2" t="s">
        <v>363</v>
      </c>
      <c r="AL4" s="2" t="s">
        <v>366</v>
      </c>
      <c r="AM4" s="2" t="s">
        <v>367</v>
      </c>
      <c r="AN4" s="2" t="s">
        <v>368</v>
      </c>
      <c r="AO4" s="2" t="s">
        <v>364</v>
      </c>
      <c r="AP4" s="2" t="s">
        <v>365</v>
      </c>
      <c r="AQ4" s="2" t="s">
        <v>365</v>
      </c>
      <c r="AR4" s="2" t="s">
        <v>346</v>
      </c>
      <c r="AS4" s="2" t="s">
        <v>340</v>
      </c>
      <c r="AW4" s="2" t="s">
        <v>324</v>
      </c>
      <c r="AX4" s="2" t="s">
        <v>335</v>
      </c>
      <c r="AY4" s="6" t="s">
        <v>332</v>
      </c>
      <c r="AZ4" s="6" t="s">
        <v>333</v>
      </c>
      <c r="BA4" s="6" t="s">
        <v>337</v>
      </c>
      <c r="BB4" s="2" t="s">
        <v>336</v>
      </c>
      <c r="BC4" s="6" t="s">
        <v>334</v>
      </c>
      <c r="BD4" s="6" t="s">
        <v>338</v>
      </c>
      <c r="BF4" s="6"/>
      <c r="BG4" s="2" t="s">
        <v>324</v>
      </c>
      <c r="BH4" s="2" t="s">
        <v>347</v>
      </c>
      <c r="BI4" s="2" t="s">
        <v>348</v>
      </c>
      <c r="BJ4" s="2" t="s">
        <v>349</v>
      </c>
      <c r="BL4" s="2" t="s">
        <v>341</v>
      </c>
      <c r="BM4" s="2" t="s">
        <v>344</v>
      </c>
      <c r="BN4" s="2" t="s">
        <v>128</v>
      </c>
      <c r="BO4" s="2" t="s">
        <v>356</v>
      </c>
      <c r="BP4" s="2" t="s">
        <v>357</v>
      </c>
      <c r="BQ4" s="2" t="s">
        <v>352</v>
      </c>
      <c r="BR4" s="2" t="s">
        <v>350</v>
      </c>
      <c r="BS4" s="2" t="s">
        <v>351</v>
      </c>
      <c r="BT4" s="6" t="s">
        <v>355</v>
      </c>
      <c r="BU4" s="6" t="s">
        <v>354</v>
      </c>
      <c r="BV4" s="2" t="s">
        <v>353</v>
      </c>
      <c r="BW4" s="2" t="s">
        <v>369</v>
      </c>
      <c r="CD4" s="2" t="s">
        <v>341</v>
      </c>
      <c r="CE4" s="2">
        <v>15</v>
      </c>
      <c r="CF4" s="2">
        <v>30</v>
      </c>
      <c r="CG4" s="2">
        <v>60</v>
      </c>
      <c r="CH4" s="2">
        <v>90</v>
      </c>
      <c r="CI4" s="2">
        <v>150</v>
      </c>
      <c r="CJ4" s="2">
        <v>210</v>
      </c>
      <c r="CK4" s="2">
        <v>360</v>
      </c>
    </row>
    <row r="5" spans="1:89" x14ac:dyDescent="0.2">
      <c r="A5" s="1" t="s">
        <v>209</v>
      </c>
      <c r="C5" s="2">
        <f>1*3600</f>
        <v>3600</v>
      </c>
      <c r="D5" s="2" t="s">
        <v>208</v>
      </c>
      <c r="M5" s="2" t="s">
        <v>279</v>
      </c>
      <c r="N5" s="2">
        <v>1</v>
      </c>
      <c r="O5" s="2">
        <v>5000</v>
      </c>
      <c r="P5" s="2">
        <v>5000</v>
      </c>
      <c r="Q5" s="2">
        <v>120</v>
      </c>
      <c r="R5" s="2">
        <v>120</v>
      </c>
      <c r="T5" s="4"/>
      <c r="V5" s="2">
        <v>15</v>
      </c>
      <c r="W5" s="2">
        <v>20</v>
      </c>
      <c r="X5" s="2">
        <v>107619522.5</v>
      </c>
      <c r="Y5" s="2">
        <f>INT(X5/10000)*W5</f>
        <v>215220</v>
      </c>
      <c r="Z5" s="2">
        <v>215220</v>
      </c>
      <c r="AA5" s="2">
        <v>15</v>
      </c>
      <c r="AB5" s="2">
        <v>50</v>
      </c>
      <c r="AC5" s="2">
        <f>(SUM(标准城池设计!$E$28:$E$46)-标准城池设计!$E$28)*标准城池设计!U35*其他调用!CP4</f>
        <v>23882400</v>
      </c>
      <c r="AD5" s="2">
        <f>INT(AC5/10000)*AB5</f>
        <v>119400</v>
      </c>
      <c r="AE5" s="2">
        <v>155220</v>
      </c>
      <c r="AF5" s="2">
        <v>15</v>
      </c>
      <c r="AG5" s="2">
        <f>INT(INDEX(节奏总纲!$T$4:$T$363,MATCH(AF5,节奏总纲!$Q$4:$Q$363,0)))</f>
        <v>44</v>
      </c>
      <c r="AH5" s="2">
        <f>INDEX(其他调用!$M$5:$M$404,MATCH(AF5,其他调用!$B$5:$B$404))</f>
        <v>80.35164835164835</v>
      </c>
      <c r="AI5" s="2">
        <f>INDEX(其他调用!$AA$5:$AA$404,MATCH(AG5,其他调用!$X$5:$X$404,0))*0.75</f>
        <v>25561.650552487394</v>
      </c>
      <c r="AJ5" s="2">
        <f>INDEX(其他调用!$AB$5:$AB$404,MATCH(AG5,其他调用!$X$5:$X$404,0))*0.75</f>
        <v>27170.939669704327</v>
      </c>
      <c r="AK5" s="2">
        <f>INDEX(其他调用!$AC$5:$AC$404,MATCH(AG5,其他调用!$X$5:$X$404,0))*0.75</f>
        <v>30046.886915413881</v>
      </c>
      <c r="AL5" s="2">
        <f>INDEX(攻城基础信息!$AE$5:$AE$164,MATCH('征服点（旧）'!AG5,攻城基础信息!$W$5:$W$164,0))-1</f>
        <v>1.300000000000002</v>
      </c>
      <c r="AM5" s="2">
        <f>INDEX(攻城基础信息!$AF$5:$AF$164,MATCH('征服点（旧）'!AG5,攻城基础信息!$W$5:$W$164,0))-1</f>
        <v>1.300000000000002</v>
      </c>
      <c r="AN5" s="2">
        <f>INDEX(攻城基础信息!$AG$5:$AG$164,MATCH('征服点（旧）'!AG5,攻城基础信息!$W$5:$W$164,0))-1</f>
        <v>1.300000000000002</v>
      </c>
      <c r="AO5" s="2">
        <f>INDEX(其他调用!$J$5:$J$404,MATCH(AF5,其他调用!$B$5:$B$404))</f>
        <v>3.6602495999999998E-2</v>
      </c>
      <c r="AP5" s="2">
        <f>INDEX(其他调用!$K$5:$K$404,MATCH(AF5,其他调用!$B$5:$B$404))</f>
        <v>5.3130000000000009E-3</v>
      </c>
      <c r="AQ5" s="2">
        <f>INDEX(其他调用!$L$5:$L$404,MATCH(AF5,其他调用!$B$5:$B$404))</f>
        <v>1.2149999999999999E-3</v>
      </c>
      <c r="AR5" s="2">
        <v>200</v>
      </c>
      <c r="AS5" s="2">
        <f>(AH5*AO5*AI5*AL5+AH5*AJ5*AP5*AM5+AH5*AK5*AQ5*AN5)*0.5*2400*0.6/('疲劳值&amp;地图信息'!$R$10*0.7)/10000*AR5</f>
        <v>108193.16248050146</v>
      </c>
      <c r="AT5" s="2">
        <v>219120</v>
      </c>
      <c r="AW5" s="2">
        <v>15</v>
      </c>
      <c r="AX5" s="2">
        <f t="shared" ref="AX5:AX11" si="0">AD5+Y5+AS5+SUM($P$5:$P$21)+SUM($R$5:$R$21)*60</f>
        <v>975613.16248050146</v>
      </c>
      <c r="AY5" s="41">
        <f>SUM($P$5:$P$21)/AX5</f>
        <v>0.20909926992100941</v>
      </c>
      <c r="AZ5" s="41">
        <f>SUM($R$5:$R$21)*60/AX5</f>
        <v>0.33701882328445049</v>
      </c>
      <c r="BA5" s="41">
        <f t="shared" ref="BA5:BA11" si="1">Y5/AX5</f>
        <v>0.22059972976666495</v>
      </c>
      <c r="BB5" s="41">
        <f t="shared" ref="BB5:BB11" si="2">AD5/AX5</f>
        <v>0.1223845726890614</v>
      </c>
      <c r="BC5" s="4">
        <f>AS5/AX5</f>
        <v>0.11089760433881375</v>
      </c>
      <c r="BD5" s="46">
        <f>SUM(AY5:BC5)</f>
        <v>1</v>
      </c>
      <c r="BF5" s="6">
        <v>30</v>
      </c>
      <c r="BG5" s="2">
        <v>15</v>
      </c>
      <c r="BH5" s="2">
        <f t="shared" ref="BH5:BH11" si="3">W5</f>
        <v>20</v>
      </c>
      <c r="BI5" s="2">
        <f t="shared" ref="BI5:BI11" si="4">AB5</f>
        <v>50</v>
      </c>
      <c r="BJ5" s="2">
        <f t="shared" ref="BJ5:BJ11" si="5">AR5</f>
        <v>200</v>
      </c>
      <c r="BL5" s="2" t="s">
        <v>14</v>
      </c>
      <c r="BM5" s="2" t="s">
        <v>343</v>
      </c>
      <c r="BN5" s="2">
        <f>INT(INDEX(节奏总纲!$R$4:$R$363,MATCH(BM3,节奏总纲!$Q$4:$Q$363,0)))</f>
        <v>40</v>
      </c>
      <c r="BO5" s="2">
        <f>INDEX(其他调用!$AH$5:$AL$364,MATCH(BM$3,其他调用!$AG$5:$AG$364,0),MATCH(BL5,其他调用!$AH$4:$AL$4,0))</f>
        <v>1</v>
      </c>
      <c r="BP5" s="2">
        <f>INDEX(其他调用!$H$5:$L$404,MATCH(BM3,其他调用!$B$5:$B$404,0),MATCH(BL5,其他调用!$H$4:$L$4,0))</f>
        <v>0.59774000783699077</v>
      </c>
      <c r="BQ5" s="2">
        <f>INDEX(标准城池设计!$AH$4:$AL$163,MATCH(BN5,标准城池设计!$AA$4:$AA$163,0),MATCH(BL5,标准城池设计!$AH$3:$AL$3,0))</f>
        <v>1086766.2277818704</v>
      </c>
      <c r="BR5" s="2">
        <f>BP5*BQ5/($BP$5*$BQ$5+$BP$6*$BQ$6+$BP$7*$BQ$7+$BP$8*$BQ$8+$BP$9*$BQ$9)*INDEX($X$5:$X$11,MATCH(BM$3,$V$5:$V$11,0))</f>
        <v>61532147.104056567</v>
      </c>
      <c r="BS5" s="2">
        <f>BR5/(BP5*INDEX(其他调用!$M$5:$M$404,MATCH(BM$3,其他调用!$B$5:$B$404,0))*0.5)</f>
        <v>2562270.3435012214</v>
      </c>
      <c r="BT5" s="2">
        <f>INT(BS5/10000)*INDEX($BH$5:$BH$11,MATCH(BM$3,$BG$5:$BG$11,0))</f>
        <v>5120</v>
      </c>
      <c r="BU5" s="2">
        <v>0</v>
      </c>
      <c r="BV5" s="2">
        <v>0</v>
      </c>
      <c r="BW5" s="2">
        <f>SUM(BT5:BV5)</f>
        <v>5120</v>
      </c>
      <c r="CD5" s="2" t="s">
        <v>14</v>
      </c>
      <c r="CE5" s="2">
        <f>BW5</f>
        <v>5120</v>
      </c>
      <c r="CF5" s="2">
        <f>BW14</f>
        <v>4680</v>
      </c>
      <c r="CG5" s="2">
        <f>BW23</f>
        <v>3935</v>
      </c>
      <c r="CH5" s="2">
        <f>BW32</f>
        <v>3456</v>
      </c>
      <c r="CI5" s="2">
        <f>BW41</f>
        <v>3344</v>
      </c>
      <c r="CJ5" s="2">
        <f>BW50</f>
        <v>4404</v>
      </c>
      <c r="CK5" s="2">
        <f>BW59</f>
        <v>4526</v>
      </c>
    </row>
    <row r="6" spans="1:89" x14ac:dyDescent="0.2">
      <c r="M6" s="2" t="s">
        <v>280</v>
      </c>
      <c r="N6" s="2">
        <v>1</v>
      </c>
      <c r="O6" s="2">
        <v>5000</v>
      </c>
      <c r="P6" s="2">
        <v>5000</v>
      </c>
      <c r="Q6" s="2">
        <v>120</v>
      </c>
      <c r="R6" s="2">
        <v>120</v>
      </c>
      <c r="V6" s="2">
        <v>30</v>
      </c>
      <c r="W6" s="2">
        <v>10</v>
      </c>
      <c r="X6" s="2">
        <v>218978079</v>
      </c>
      <c r="Y6" s="2">
        <f t="shared" ref="Y6:Y11" si="6">INT(X6/10000)*W6</f>
        <v>218970</v>
      </c>
      <c r="Z6" s="2">
        <v>218970</v>
      </c>
      <c r="AA6" s="2">
        <v>30</v>
      </c>
      <c r="AB6" s="2">
        <v>30</v>
      </c>
      <c r="AC6" s="2">
        <f>(SUM(标准城池设计!$E$28:$E$46)-标准城池设计!$E$28)*标准城池设计!U36*其他调用!CP5</f>
        <v>42268500</v>
      </c>
      <c r="AD6" s="2">
        <f t="shared" ref="AD6:AD11" si="7">INT(AC6/10000)*AB6</f>
        <v>126780</v>
      </c>
      <c r="AE6" s="2">
        <v>190170</v>
      </c>
      <c r="AF6" s="2">
        <v>30</v>
      </c>
      <c r="AG6" s="2">
        <f>INT(INDEX(节奏总纲!$T$4:$T$363,MATCH(AF6,节奏总纲!$Q$4:$Q$363,0)))</f>
        <v>54</v>
      </c>
      <c r="AH6" s="2">
        <f>INDEX(其他调用!$M$5:$M$404,MATCH(AF6,其他调用!$B$5:$B$404))</f>
        <v>87.10294117647058</v>
      </c>
      <c r="AI6" s="2">
        <f>INDEX(其他调用!$AA$5:$AA$404,MATCH(AG6,其他调用!$X$5:$X$404,0))*0.75</f>
        <v>26437.312167352691</v>
      </c>
      <c r="AJ6" s="2">
        <f>INDEX(其他调用!$AB$5:$AB$404,MATCH(AG6,其他调用!$X$5:$X$404,0))*0.75</f>
        <v>28067.49199943963</v>
      </c>
      <c r="AK6" s="2">
        <f>INDEX(其他调用!$AC$5:$AC$404,MATCH(AG6,其他调用!$X$5:$X$404,0))*0.75</f>
        <v>30928.109053175918</v>
      </c>
      <c r="AL6" s="2">
        <f>INDEX(攻城基础信息!$AE$5:$AE$164,MATCH('征服点（旧）'!AG6,攻城基础信息!$W$5:$W$164,0))-1</f>
        <v>1.6333333333333342</v>
      </c>
      <c r="AM6" s="2">
        <f>INDEX(攻城基础信息!$AF$5:$AF$164,MATCH('征服点（旧）'!AG6,攻城基础信息!$W$5:$W$164,0))-1</f>
        <v>1.6333333333333342</v>
      </c>
      <c r="AN6" s="2">
        <f>INDEX(攻城基础信息!$AG$5:$AG$164,MATCH('征服点（旧）'!AG6,攻城基础信息!$W$5:$W$164,0))-1</f>
        <v>1.6333333333333342</v>
      </c>
      <c r="AO6" s="2">
        <f>INDEX(其他调用!$J$5:$J$404,MATCH(AF6,其他调用!$B$5:$B$404))</f>
        <v>3.7287936000000001E-2</v>
      </c>
      <c r="AP6" s="2">
        <f>INDEX(其他调用!$K$5:$K$404,MATCH(AF6,其他调用!$B$5:$B$404))</f>
        <v>5.8080000000000015E-3</v>
      </c>
      <c r="AQ6" s="2">
        <f>INDEX(其他调用!$L$5:$L$404,MATCH(AF6,其他调用!$B$5:$B$404))</f>
        <v>1.4399999999999999E-3</v>
      </c>
      <c r="AR6" s="2">
        <v>150</v>
      </c>
      <c r="AS6" s="2">
        <f>(AH6*AO6*AI6*AL6+AH6*AJ6*AP6*AM6+AH6*AK6*AQ6*AN6)*0.5*2400*0.6/('疲劳值&amp;地图信息'!$R$10*0.7)/10000*AR6</f>
        <v>118125.39363462849</v>
      </c>
      <c r="AT6" s="2">
        <v>210957</v>
      </c>
      <c r="AW6" s="2">
        <v>30</v>
      </c>
      <c r="AX6" s="2">
        <f t="shared" si="0"/>
        <v>996675.3936346285</v>
      </c>
      <c r="AY6" s="41">
        <f t="shared" ref="AY6:AY11" si="8">SUM($P$5:$P$21)/AX6</f>
        <v>0.20468048203343567</v>
      </c>
      <c r="AZ6" s="41">
        <f t="shared" ref="AZ6:AZ11" si="9">SUM($R$5:$R$21)*60/AX6</f>
        <v>0.32989677692447866</v>
      </c>
      <c r="BA6" s="41">
        <f t="shared" si="1"/>
        <v>0.21970041740618337</v>
      </c>
      <c r="BB6" s="41">
        <f t="shared" si="2"/>
        <v>0.12720289956960282</v>
      </c>
      <c r="BC6" s="4">
        <f t="shared" ref="BC6:BC11" si="10">AS6/AX6</f>
        <v>0.11851942406629948</v>
      </c>
      <c r="BD6" s="46">
        <f t="shared" ref="BD6:BD11" si="11">SUM(AY6:BC6)</f>
        <v>1</v>
      </c>
      <c r="BF6" s="6">
        <v>90</v>
      </c>
      <c r="BG6" s="2">
        <v>30</v>
      </c>
      <c r="BH6" s="2">
        <f t="shared" si="3"/>
        <v>10</v>
      </c>
      <c r="BI6" s="2">
        <f t="shared" si="4"/>
        <v>30</v>
      </c>
      <c r="BJ6" s="2">
        <f t="shared" si="5"/>
        <v>150</v>
      </c>
      <c r="BL6" s="2" t="s">
        <v>15</v>
      </c>
      <c r="BM6" s="2" t="s">
        <v>343</v>
      </c>
      <c r="BN6" s="2">
        <f>INT(INDEX(节奏总纲!$S$4:$S$363,MATCH(BM3,节奏总纲!$Q$4:$Q$363,0)))</f>
        <v>41</v>
      </c>
      <c r="BO6" s="2">
        <f>INDEX(其他调用!$AH$5:$AL$364,MATCH(BM$3,其他调用!$AG$5:$AG$364,0),MATCH(BL6,其他调用!$AH$4:$AL$4,0))</f>
        <v>1.2500433011194123</v>
      </c>
      <c r="BP6" s="2">
        <f>INDEX(其他调用!$H$5:$L$404,MATCH(BM3,其他调用!$B$5:$B$404,0),MATCH(BL6,其他调用!$H$4:$L$4,0))</f>
        <v>0.35912949616300921</v>
      </c>
      <c r="BQ6" s="2">
        <f>INDEX(标准城池设计!$AH$4:$AL$163,MATCH(BN6,标准城池设计!$AA$4:$AA$163,0),MATCH(BL6,标准城池设计!$AH$3:$AL$3,0))</f>
        <v>1172323.7200102427</v>
      </c>
      <c r="BR6" s="2">
        <f>BP6*BQ6/($BP$5*$BQ$5+$BP$6*$BQ$6+$BP$7*$BQ$7+$BP$8*$BQ$8+$BP$9*$BQ$9)*INDEX($X$5:$X$11,MATCH(BM$3,$V$5:$V$11,0))</f>
        <v>39879732.758260369</v>
      </c>
      <c r="BS6" s="2">
        <f>BR6/(BP6*INDEX(其他调用!$M$5:$M$404,MATCH(BM$3,其他调用!$B$5:$B$404,0))*0.5)</f>
        <v>2763989.3695410108</v>
      </c>
      <c r="BT6" s="2">
        <f>INT(BS6/10000)*INDEX($BH$5:$BH$11,MATCH(BM$3,$BG$5:$BG$11,0))</f>
        <v>5520</v>
      </c>
      <c r="BU6" s="2">
        <v>0</v>
      </c>
      <c r="BV6" s="2">
        <v>0</v>
      </c>
      <c r="BW6" s="2">
        <f t="shared" ref="BW6:BW9" si="12">SUM(BT6:BV6)</f>
        <v>5520</v>
      </c>
      <c r="CD6" s="2" t="s">
        <v>15</v>
      </c>
      <c r="CE6" s="2">
        <f t="shared" ref="CE6:CE9" si="13">BW6</f>
        <v>5520</v>
      </c>
      <c r="CF6" s="2">
        <f t="shared" ref="CF6:CF9" si="14">BW15</f>
        <v>5270</v>
      </c>
      <c r="CG6" s="2">
        <f t="shared" ref="CG6:CG9" si="15">BW24</f>
        <v>4485</v>
      </c>
      <c r="CH6" s="2">
        <f t="shared" ref="CH6:CH9" si="16">BW33</f>
        <v>4080</v>
      </c>
      <c r="CI6" s="2">
        <f t="shared" ref="CI6:CI9" si="17">BW42</f>
        <v>3830</v>
      </c>
      <c r="CJ6" s="2">
        <f t="shared" ref="CJ6:CJ9" si="18">BW51</f>
        <v>5052</v>
      </c>
      <c r="CK6" s="2">
        <f t="shared" ref="CK6:CK9" si="19">BW60</f>
        <v>5410</v>
      </c>
    </row>
    <row r="7" spans="1:89" x14ac:dyDescent="0.2">
      <c r="D7" s="4"/>
      <c r="M7" s="2" t="s">
        <v>264</v>
      </c>
      <c r="N7" s="2">
        <v>1</v>
      </c>
      <c r="O7" s="2">
        <v>18000</v>
      </c>
      <c r="P7" s="2">
        <v>18000</v>
      </c>
      <c r="Q7" s="2">
        <v>500</v>
      </c>
      <c r="R7" s="2">
        <v>500</v>
      </c>
      <c r="V7" s="2">
        <v>60</v>
      </c>
      <c r="W7" s="2">
        <v>5</v>
      </c>
      <c r="X7" s="2">
        <v>409169976.5</v>
      </c>
      <c r="Y7" s="2">
        <f t="shared" si="6"/>
        <v>204580</v>
      </c>
      <c r="Z7" s="2">
        <v>204580</v>
      </c>
      <c r="AA7" s="2">
        <v>60</v>
      </c>
      <c r="AB7" s="2">
        <v>20</v>
      </c>
      <c r="AC7" s="2">
        <f>(SUM(标准城池设计!$E$28:$E$46)-标准城池设计!$E$28)*标准城池设计!U37*其他调用!CP6</f>
        <v>53010000</v>
      </c>
      <c r="AD7" s="2">
        <f t="shared" si="7"/>
        <v>106020</v>
      </c>
      <c r="AE7" s="2">
        <v>159030</v>
      </c>
      <c r="AF7" s="2">
        <v>60</v>
      </c>
      <c r="AG7" s="2">
        <f>INT(INDEX(节奏总纲!$T$4:$T$363,MATCH(AF7,节奏总纲!$Q$4:$Q$363,0)))</f>
        <v>64</v>
      </c>
      <c r="AH7" s="2">
        <f>INDEX(其他调用!$M$5:$M$404,MATCH(AF7,其他调用!$B$5:$B$404))</f>
        <v>95.666666666666671</v>
      </c>
      <c r="AI7" s="2">
        <f>INDEX(其他调用!$AA$5:$AA$404,MATCH(AG7,其他调用!$X$5:$X$404,0))*0.75</f>
        <v>27163.564310084446</v>
      </c>
      <c r="AJ7" s="2">
        <f>INDEX(其他调用!$AB$5:$AB$404,MATCH(AG7,其他调用!$X$5:$X$404,0))*0.75</f>
        <v>28798.266795262229</v>
      </c>
      <c r="AK7" s="2">
        <f>INDEX(其他调用!$AC$5:$AC$404,MATCH(AG7,其他调用!$X$5:$X$404,0))*0.75</f>
        <v>31671.589466133144</v>
      </c>
      <c r="AL7" s="2">
        <f>INDEX(攻城基础信息!$AE$5:$AE$164,MATCH('征服点（旧）'!AG7,攻城基础信息!$W$5:$W$164,0))-1</f>
        <v>1.9666666666666663</v>
      </c>
      <c r="AM7" s="2">
        <f>INDEX(攻城基础信息!$AF$5:$AF$164,MATCH('征服点（旧）'!AG7,攻城基础信息!$W$5:$W$164,0))-1</f>
        <v>1.9666666666666663</v>
      </c>
      <c r="AN7" s="2">
        <f>INDEX(攻城基础信息!$AG$5:$AG$164,MATCH('征服点（旧）'!AG7,攻城基础信息!$W$5:$W$164,0))-1</f>
        <v>1.9666666666666663</v>
      </c>
      <c r="AO7" s="2">
        <f>INDEX(其他调用!$J$5:$J$404,MATCH(AF7,其他调用!$B$5:$B$404))</f>
        <v>3.8033694720000004E-2</v>
      </c>
      <c r="AP7" s="2">
        <f>INDEX(其他调用!$K$5:$K$404,MATCH(AF7,其他调用!$B$5:$B$404))</f>
        <v>6.3888000000000018E-3</v>
      </c>
      <c r="AQ7" s="2">
        <f>INDEX(其他调用!$L$5:$L$404,MATCH(AF7,其他调用!$B$5:$B$404))</f>
        <v>1.7279999999999997E-3</v>
      </c>
      <c r="AR7" s="2">
        <v>100</v>
      </c>
      <c r="AS7" s="2">
        <f>(AH7*AO7*AI7*AL7+AH7*AJ7*AP7*AM7+AH7*AK7*AQ7*AN7)*0.5*2400*0.6/('疲劳值&amp;地图信息'!$R$10*0.7)/10000*AR7</f>
        <v>110995.1577304793</v>
      </c>
      <c r="AT7" s="2">
        <v>268197</v>
      </c>
      <c r="AW7" s="2">
        <v>60</v>
      </c>
      <c r="AX7" s="2">
        <f t="shared" si="0"/>
        <v>954395.15773047926</v>
      </c>
      <c r="AY7" s="41">
        <f t="shared" si="8"/>
        <v>0.21374794114117823</v>
      </c>
      <c r="AZ7" s="41">
        <f t="shared" si="9"/>
        <v>0.34451138748636961</v>
      </c>
      <c r="BA7" s="41">
        <f t="shared" si="1"/>
        <v>0.2143556558757953</v>
      </c>
      <c r="BB7" s="41">
        <f t="shared" si="2"/>
        <v>0.11108606235190058</v>
      </c>
      <c r="BC7" s="4">
        <f t="shared" si="10"/>
        <v>0.1162989531447563</v>
      </c>
      <c r="BD7" s="46">
        <f t="shared" si="11"/>
        <v>1</v>
      </c>
      <c r="BF7" s="6">
        <v>180</v>
      </c>
      <c r="BG7" s="2">
        <v>60</v>
      </c>
      <c r="BH7" s="2">
        <f t="shared" si="3"/>
        <v>5</v>
      </c>
      <c r="BI7" s="2">
        <f t="shared" si="4"/>
        <v>20</v>
      </c>
      <c r="BJ7" s="2">
        <f t="shared" si="5"/>
        <v>100</v>
      </c>
      <c r="BL7" s="2" t="s">
        <v>16</v>
      </c>
      <c r="BM7" s="2" t="s">
        <v>342</v>
      </c>
      <c r="BN7" s="2">
        <f>INT(INDEX(节奏总纲!$T$4:$T$363,MATCH(BM3,节奏总纲!$Q$4:$Q$363,0)))</f>
        <v>44</v>
      </c>
      <c r="BO7" s="2">
        <f>INDEX(其他调用!$AH$5:$AL$364,MATCH(BM$3,其他调用!$AG$5:$AG$364,0),MATCH(BL7,其他调用!$AH$4:$AL$4,0))</f>
        <v>1.7760352847929504</v>
      </c>
      <c r="BP7" s="2">
        <f>INDEX(其他调用!$H$5:$L$404,MATCH(BM3,其他调用!$B$5:$B$404,0),MATCH(BL7,其他调用!$H$4:$L$4,0))</f>
        <v>3.6602495999999998E-2</v>
      </c>
      <c r="BQ7" s="2">
        <f>INDEX(标准城池设计!$AH$4:$AL$163,MATCH(BN7,标准城池设计!$AA$4:$AA$163,0),MATCH(BL7,标准城池设计!$AH$3:$AL$3,0))</f>
        <v>1405671.4095609535</v>
      </c>
      <c r="BR7" s="2">
        <f>BP7*BQ7/($BP$5*$BQ$5+$BP$6*$BQ$6+$BP$7*$BQ$7+$BP$8*$BQ$8+$BP$9*$BQ$9)*INDEX($X$5:$X$11,MATCH(BM$3,$V$5:$V$11,0))</f>
        <v>4873580.279519219</v>
      </c>
      <c r="BS7" s="2">
        <f>BR7/(BP7*INDEX(其他调用!$M$5:$M$404,MATCH(BM$3,其他调用!$B$5:$B$404,0))*0.5)</f>
        <v>3314153.5625162111</v>
      </c>
      <c r="BT7" s="2">
        <f>INT(BS7/10000)*INDEX($BH$5:$BH$11,MATCH(BM$3,$BG$5:$BG$11,0))</f>
        <v>6620</v>
      </c>
      <c r="BU7" s="2">
        <f>INT(INDEX($AD$5:$AD$11,MATCH(BM3,$AA$5:$AA$11,0))/(SUM(BP7:BP9)*INDEX(其他调用!$M$5:$M$404,MATCH(BM3,其他调用!$B$5:$B$404,0))*0.5))</f>
        <v>68905</v>
      </c>
      <c r="BV7" s="2">
        <f>INT(INDEX($AS$5:$AS$11,MATCH(BM3,$AF$5:$AF$11,0))/((BO7*BP7+BO8*BP8*BO9*BP9)*INDEX($AH$5:$AH$11,MATCH(BM3,$AF$5:$AF$11,0)))*BO7)</f>
        <v>36655</v>
      </c>
      <c r="BW7" s="2">
        <f t="shared" si="12"/>
        <v>112180</v>
      </c>
      <c r="CD7" s="2" t="s">
        <v>16</v>
      </c>
      <c r="CE7" s="2">
        <f t="shared" si="13"/>
        <v>112180</v>
      </c>
      <c r="CF7" s="2">
        <f t="shared" si="14"/>
        <v>107809</v>
      </c>
      <c r="CG7" s="2">
        <f t="shared" si="15"/>
        <v>83465</v>
      </c>
      <c r="CH7" s="2">
        <f t="shared" si="16"/>
        <v>79654</v>
      </c>
      <c r="CI7" s="2">
        <f t="shared" si="17"/>
        <v>77880</v>
      </c>
      <c r="CJ7" s="2">
        <f t="shared" si="18"/>
        <v>90120</v>
      </c>
      <c r="CK7" s="2">
        <f t="shared" si="19"/>
        <v>89976</v>
      </c>
    </row>
    <row r="8" spans="1:89" x14ac:dyDescent="0.2">
      <c r="A8" s="1" t="s">
        <v>308</v>
      </c>
      <c r="D8" s="4">
        <v>0.15</v>
      </c>
      <c r="M8" s="2" t="s">
        <v>265</v>
      </c>
      <c r="N8" s="2">
        <v>1</v>
      </c>
      <c r="O8" s="2">
        <v>18000</v>
      </c>
      <c r="P8" s="2">
        <v>18000</v>
      </c>
      <c r="Q8" s="2">
        <v>500</v>
      </c>
      <c r="R8" s="2">
        <v>500</v>
      </c>
      <c r="V8" s="2">
        <v>90</v>
      </c>
      <c r="W8" s="2">
        <v>3</v>
      </c>
      <c r="X8" s="2">
        <v>638607099</v>
      </c>
      <c r="Y8" s="2">
        <f t="shared" si="6"/>
        <v>191580</v>
      </c>
      <c r="Z8" s="2">
        <v>191580</v>
      </c>
      <c r="AA8" s="2">
        <v>90</v>
      </c>
      <c r="AB8" s="2">
        <v>20</v>
      </c>
      <c r="AC8" s="2">
        <f>(SUM(标准城池设计!$E$28:$E$46)-标准城池设计!$E$28)*标准城池设计!U38*其他调用!CP7</f>
        <v>57381000</v>
      </c>
      <c r="AD8" s="2">
        <f t="shared" si="7"/>
        <v>114760</v>
      </c>
      <c r="AE8" s="2">
        <v>94665</v>
      </c>
      <c r="AF8" s="2">
        <v>90</v>
      </c>
      <c r="AG8" s="2">
        <f>INT(INDEX(节奏总纲!$T$4:$T$363,MATCH(AF8,节奏总纲!$Q$4:$Q$363,0)))</f>
        <v>69</v>
      </c>
      <c r="AH8" s="2">
        <f>INDEX(其他调用!$M$5:$M$404,MATCH(AF8,其他调用!$B$5:$B$404))</f>
        <v>100</v>
      </c>
      <c r="AI8" s="2">
        <f>INDEX(其他调用!$AA$5:$AA$404,MATCH(AG8,其他调用!$X$5:$X$404,0))*0.75</f>
        <v>27491.398659113464</v>
      </c>
      <c r="AJ8" s="2">
        <f>INDEX(其他调用!$AB$5:$AB$404,MATCH(AG8,其他调用!$X$5:$X$404,0))*0.75</f>
        <v>29124.920817081729</v>
      </c>
      <c r="AK8" s="2">
        <f>INDEX(其他调用!$AC$5:$AC$404,MATCH(AG8,其他调用!$X$5:$X$404,0))*0.75</f>
        <v>31997.902734746473</v>
      </c>
      <c r="AL8" s="2">
        <f>INDEX(攻城基础信息!$AE$5:$AE$164,MATCH('征服点（旧）'!AG8,攻城基础信息!$W$5:$W$164,0))-1</f>
        <v>2.1333333333333324</v>
      </c>
      <c r="AM8" s="2">
        <f>INDEX(攻城基础信息!$AF$5:$AF$164,MATCH('征服点（旧）'!AG8,攻城基础信息!$W$5:$W$164,0))-1</f>
        <v>2.1333333333333324</v>
      </c>
      <c r="AN8" s="2">
        <f>INDEX(攻城基础信息!$AG$5:$AG$164,MATCH('征服点（旧）'!AG8,攻城基础信息!$W$5:$W$164,0))-1</f>
        <v>2.1333333333333324</v>
      </c>
      <c r="AO8" s="2">
        <f>INDEX(其他调用!$J$5:$J$404,MATCH(AF8,其他调用!$B$5:$B$404))</f>
        <v>3.8604200140800002E-2</v>
      </c>
      <c r="AP8" s="2">
        <f>INDEX(其他调用!$K$5:$K$404,MATCH(AF8,其他调用!$B$5:$B$404))</f>
        <v>6.8679600000000019E-3</v>
      </c>
      <c r="AQ8" s="2">
        <f>INDEX(其他调用!$L$5:$L$404,MATCH(AF8,其他调用!$B$5:$B$404))</f>
        <v>1.9871999999999997E-3</v>
      </c>
      <c r="AR8" s="2">
        <v>80</v>
      </c>
      <c r="AS8" s="2">
        <f>(AH8*AO8*AI8*AL8+AH8*AJ8*AP8*AM8+AH8*AK8*AQ8*AN8)*0.5*2400*0.6/('疲劳值&amp;地图信息'!$R$10*0.7)/10000*AR8</f>
        <v>104884.07553302875</v>
      </c>
      <c r="AT8" s="2">
        <v>199778</v>
      </c>
      <c r="AW8" s="2">
        <v>90</v>
      </c>
      <c r="AX8" s="2">
        <f t="shared" si="0"/>
        <v>944024.07553302869</v>
      </c>
      <c r="AY8" s="41">
        <f t="shared" si="8"/>
        <v>0.21609618365380623</v>
      </c>
      <c r="AZ8" s="41">
        <f t="shared" si="9"/>
        <v>0.3482962018890759</v>
      </c>
      <c r="BA8" s="41">
        <f t="shared" si="1"/>
        <v>0.20293973953135389</v>
      </c>
      <c r="BB8" s="41">
        <f t="shared" si="2"/>
        <v>0.12156469625544511</v>
      </c>
      <c r="BC8" s="4">
        <f t="shared" si="10"/>
        <v>0.11110317867031894</v>
      </c>
      <c r="BD8" s="46">
        <f t="shared" si="11"/>
        <v>1</v>
      </c>
      <c r="BF8" s="6">
        <v>360</v>
      </c>
      <c r="BG8" s="2">
        <v>90</v>
      </c>
      <c r="BH8" s="2">
        <f t="shared" si="3"/>
        <v>3</v>
      </c>
      <c r="BI8" s="2">
        <f t="shared" si="4"/>
        <v>20</v>
      </c>
      <c r="BJ8" s="2">
        <f t="shared" si="5"/>
        <v>80</v>
      </c>
      <c r="BL8" s="2" t="s">
        <v>17</v>
      </c>
      <c r="BM8" s="2" t="s">
        <v>342</v>
      </c>
      <c r="BN8" s="2">
        <f>INT(INDEX(节奏总纲!$U$4:$U$363,MATCH(BM3,节奏总纲!$Q$4:$Q$363,0)))</f>
        <v>48</v>
      </c>
      <c r="BO8" s="2">
        <f>INDEX(其他调用!$AH$5:$AL$364,MATCH(BM$3,其他调用!$AG$5:$AG$364,0),MATCH(BL8,其他调用!$AH$4:$AL$4,0))</f>
        <v>3.6040213365407632</v>
      </c>
      <c r="BP8" s="2">
        <f>INDEX(其他调用!$H$5:$L$404,MATCH(BM3,其他调用!$B$5:$B$404,0),MATCH(BL8,其他调用!$H$4:$L$4,0))</f>
        <v>5.3130000000000009E-3</v>
      </c>
      <c r="BQ8" s="2">
        <f>INDEX(标准城池设计!$AH$4:$AL$163,MATCH(BN8,标准城池设计!$AA$4:$AA$163,0),MATCH(BL8,标准城池设计!$AH$3:$AL$3,0))</f>
        <v>1994588.7110354649</v>
      </c>
      <c r="BR8" s="2">
        <f>BP8*BQ8/($BP$5*$BQ$5+$BP$6*$BQ$6+$BP$7*$BQ$7+$BP$8*$BQ$8+$BP$9*$BQ$9)*INDEX($X$5:$X$11,MATCH(BM$3,$V$5:$V$11,0))</f>
        <v>1003799.0571705741</v>
      </c>
      <c r="BS8" s="2">
        <f>BR8/(BP8*INDEX(其他调用!$M$5:$M$404,MATCH(BM$3,其他调用!$B$5:$B$404,0))*0.5)</f>
        <v>4702644.7557167606</v>
      </c>
      <c r="BT8" s="2">
        <f>INT(BS8/10000)*INDEX($BH$5:$BH$11,MATCH(BM$3,$BG$5:$BG$11,0))</f>
        <v>9400</v>
      </c>
      <c r="BU8" s="2">
        <f>INT(INDEX($AD$5:$AD$11,MATCH(BM3,$AA$5:$AA$11,0))/(SUM(BP7:BP9)*INDEX(其他调用!$M$5:$M$404,MATCH(BM3,其他调用!$B$5:$B$404,0))*0.5))</f>
        <v>68905</v>
      </c>
      <c r="BV8" s="2">
        <f>INT(INDEX($AS$5:$AS$11,MATCH(BM3,$AF$5:$AF$11,0))/((BO7*BP7+BO8*BP8*BO9*BP9)*INDEX($AH$5:$AH$11,MATCH(BM3,$AF$5:$AF$11,0)))*BO8)</f>
        <v>74382</v>
      </c>
      <c r="BW8" s="2">
        <f t="shared" si="12"/>
        <v>152687</v>
      </c>
      <c r="CD8" s="2" t="s">
        <v>17</v>
      </c>
      <c r="CE8" s="2">
        <f t="shared" si="13"/>
        <v>152687</v>
      </c>
      <c r="CF8" s="2">
        <f t="shared" si="14"/>
        <v>145333</v>
      </c>
      <c r="CG8" s="2">
        <f t="shared" si="15"/>
        <v>134071</v>
      </c>
      <c r="CH8" s="2">
        <f t="shared" si="16"/>
        <v>119424</v>
      </c>
      <c r="CI8" s="2">
        <f t="shared" si="17"/>
        <v>126941</v>
      </c>
      <c r="CJ8" s="2">
        <f t="shared" si="18"/>
        <v>148890</v>
      </c>
      <c r="CK8" s="2">
        <f t="shared" si="19"/>
        <v>135788</v>
      </c>
    </row>
    <row r="9" spans="1:89" x14ac:dyDescent="0.2">
      <c r="A9" s="1" t="s">
        <v>309</v>
      </c>
      <c r="D9" s="4">
        <f>20%</f>
        <v>0.2</v>
      </c>
      <c r="E9" s="2" t="s">
        <v>207</v>
      </c>
      <c r="F9" s="2">
        <v>60</v>
      </c>
      <c r="G9" s="2" t="s">
        <v>208</v>
      </c>
      <c r="M9" s="2" t="s">
        <v>266</v>
      </c>
      <c r="N9" s="2">
        <v>1</v>
      </c>
      <c r="O9" s="2">
        <v>18000</v>
      </c>
      <c r="P9" s="2">
        <v>18000</v>
      </c>
      <c r="Q9" s="2">
        <v>500</v>
      </c>
      <c r="R9" s="2">
        <v>500</v>
      </c>
      <c r="V9" s="2">
        <v>150</v>
      </c>
      <c r="W9" s="2">
        <v>2</v>
      </c>
      <c r="X9" s="2">
        <v>913084137</v>
      </c>
      <c r="Y9" s="2">
        <f t="shared" si="6"/>
        <v>182616</v>
      </c>
      <c r="Z9" s="2">
        <v>182616</v>
      </c>
      <c r="AA9" s="2">
        <v>150</v>
      </c>
      <c r="AB9" s="2">
        <v>15</v>
      </c>
      <c r="AC9" s="2">
        <f>(SUM(标准城池设计!$E$28:$E$46)-标准城池设计!$E$28)*标准城池设计!U39*其他调用!CP8</f>
        <v>73990800</v>
      </c>
      <c r="AD9" s="2">
        <f t="shared" si="7"/>
        <v>110985</v>
      </c>
      <c r="AE9" s="2">
        <v>110985</v>
      </c>
      <c r="AF9" s="2">
        <v>150</v>
      </c>
      <c r="AG9" s="2">
        <f>INT(INDEX(节奏总纲!$T$4:$T$363,MATCH(AF9,节奏总纲!$Q$4:$Q$363,0)))</f>
        <v>77</v>
      </c>
      <c r="AH9" s="2">
        <f>INDEX(其他调用!$M$5:$M$404,MATCH(AF9,其他调用!$B$5:$B$404))</f>
        <v>100</v>
      </c>
      <c r="AI9" s="2">
        <f>INDEX(其他调用!$AA$5:$AA$404,MATCH(AG9,其他调用!$X$5:$X$404,0))*0.75</f>
        <v>27967.547472047983</v>
      </c>
      <c r="AJ9" s="2">
        <f>INDEX(其他调用!$AB$5:$AB$404,MATCH(AG9,其他调用!$X$5:$X$404,0))*0.75</f>
        <v>29601.063381492066</v>
      </c>
      <c r="AK9" s="2">
        <f>INDEX(其他调用!$AC$5:$AC$404,MATCH(AG9,其他调用!$X$5:$X$404,0))*0.75</f>
        <v>32481.153023092404</v>
      </c>
      <c r="AL9" s="2">
        <f>INDEX(攻城基础信息!$AE$5:$AE$164,MATCH('征服点（旧）'!AG9,攻城基础信息!$W$5:$W$164,0))-1</f>
        <v>2.3999999999999981</v>
      </c>
      <c r="AM9" s="2">
        <f>INDEX(攻城基础信息!$AF$5:$AF$164,MATCH('征服点（旧）'!AG9,攻城基础信息!$W$5:$W$164,0))-1</f>
        <v>2.3999999999999981</v>
      </c>
      <c r="AN9" s="2">
        <f>INDEX(攻城基础信息!$AG$5:$AG$164,MATCH('征服点（旧）'!AG9,攻城基础信息!$W$5:$W$164,0))-1</f>
        <v>2.3999999999999981</v>
      </c>
      <c r="AO9" s="2">
        <f>INDEX(其他调用!$J$5:$J$404,MATCH(AF9,其他调用!$B$5:$B$404))</f>
        <v>3.8604200140800002E-2</v>
      </c>
      <c r="AP9" s="2">
        <f>INDEX(其他调用!$K$5:$K$404,MATCH(AF9,其他调用!$B$5:$B$404))</f>
        <v>6.8679600000000019E-3</v>
      </c>
      <c r="AQ9" s="2">
        <f>INDEX(其他调用!$L$5:$L$404,MATCH(AF9,其他调用!$B$5:$B$404))</f>
        <v>1.9871999999999997E-3</v>
      </c>
      <c r="AR9" s="2">
        <v>70</v>
      </c>
      <c r="AS9" s="2">
        <f>(AH9*AO9*AI9*AL9+AH9*AJ9*AP9*AM9+AH9*AK9*AQ9*AN9)*0.5*2400*0.6/('疲劳值&amp;地图信息'!$R$10*0.7)/10000*AR9</f>
        <v>105007.32884849631</v>
      </c>
      <c r="AT9" s="2">
        <v>220536</v>
      </c>
      <c r="AW9" s="2">
        <v>150</v>
      </c>
      <c r="AX9" s="2">
        <f t="shared" si="0"/>
        <v>931408.32884849631</v>
      </c>
      <c r="AY9" s="41">
        <f t="shared" si="8"/>
        <v>0.21902316490148416</v>
      </c>
      <c r="AZ9" s="41">
        <f t="shared" si="9"/>
        <v>0.3530138069588627</v>
      </c>
      <c r="BA9" s="41">
        <f t="shared" si="1"/>
        <v>0.19606438373357565</v>
      </c>
      <c r="BB9" s="41">
        <f t="shared" si="2"/>
        <v>0.11915826449309422</v>
      </c>
      <c r="BC9" s="4">
        <f t="shared" si="10"/>
        <v>0.11274037991298325</v>
      </c>
      <c r="BD9" s="46">
        <f t="shared" si="11"/>
        <v>0.99999999999999989</v>
      </c>
      <c r="BF9" s="6">
        <v>720</v>
      </c>
      <c r="BG9" s="2">
        <v>150</v>
      </c>
      <c r="BH9" s="2">
        <f t="shared" si="3"/>
        <v>2</v>
      </c>
      <c r="BI9" s="2">
        <f t="shared" si="4"/>
        <v>15</v>
      </c>
      <c r="BJ9" s="2">
        <f t="shared" si="5"/>
        <v>70</v>
      </c>
      <c r="BL9" s="2" t="s">
        <v>18</v>
      </c>
      <c r="BM9" s="2" t="s">
        <v>342</v>
      </c>
      <c r="BN9" s="2">
        <f>INT(INDEX(节奏总纲!$V$4:$V$363,MATCH(BM3,节奏总纲!$Q$4:$Q$363,0)))</f>
        <v>57</v>
      </c>
      <c r="BO9" s="2">
        <f>INDEX(其他调用!$AH$5:$AL$364,MATCH(BM$3,其他调用!$AG$5:$AG$364,0),MATCH(BL9,其他调用!$AH$4:$AL$4,0))</f>
        <v>10.049305876239343</v>
      </c>
      <c r="BP9" s="2">
        <f>INDEX(其他调用!$H$5:$L$404,MATCH(BM3,其他调用!$B$5:$B$404,0),MATCH(BL9,其他调用!$H$4:$L$4,0))</f>
        <v>1.2149999999999999E-3</v>
      </c>
      <c r="BQ9" s="2">
        <f>INDEX(标准城池设计!$AH$4:$AL$163,MATCH(BN9,标准城池设计!$AA$4:$AA$163,0),MATCH(BL9,标准城池设计!$AH$3:$AL$3,0))</f>
        <v>2869659.8972293735</v>
      </c>
      <c r="BR9" s="2">
        <f>BP9*BQ9/($BP$5*$BQ$5+$BP$6*$BQ$6+$BP$7*$BQ$7+$BP$8*$BQ$8+$BP$9*$BQ$9)*INDEX($X$5:$X$11,MATCH(BM$3,$V$5:$V$11,0))</f>
        <v>330263.30099327798</v>
      </c>
      <c r="BS9" s="2">
        <f>BR9/(BP9*INDEX(其他调用!$M$5:$M$404,MATCH(BM$3,其他调用!$B$5:$B$404,0))*0.5)</f>
        <v>6765801.3863874022</v>
      </c>
      <c r="BT9" s="2">
        <f>INT(BS9/10000)*INDEX($BH$5:$BH$11,MATCH(BM$3,$BG$5:$BG$11,0))</f>
        <v>13520</v>
      </c>
      <c r="BU9" s="2">
        <f>INT(INDEX($AD$5:$AD$11,MATCH(BM3,$AA$5:$AA$11,0))/(SUM(BP7:BP9)*INDEX(其他调用!$M$5:$M$404,MATCH(BM3,其他调用!$B$5:$B$404,0))*0.5))</f>
        <v>68905</v>
      </c>
      <c r="BV9" s="2">
        <f>INT(INDEX($AS$5:$AS$11,MATCH(BM3,$AF$5:$AF$11,0))/((BO7*BP7+BO8*BP8*BO9*BP9)*INDEX($AH$5:$AH$11,MATCH(BM3,$AF$5:$AF$11,0)))*BO9)</f>
        <v>207405</v>
      </c>
      <c r="BW9" s="2">
        <f t="shared" si="12"/>
        <v>289830</v>
      </c>
      <c r="CD9" s="2" t="s">
        <v>18</v>
      </c>
      <c r="CE9" s="2">
        <f t="shared" si="13"/>
        <v>289830</v>
      </c>
      <c r="CF9" s="2">
        <f t="shared" si="14"/>
        <v>328998</v>
      </c>
      <c r="CG9" s="2">
        <f t="shared" si="15"/>
        <v>322020</v>
      </c>
      <c r="CH9" s="2">
        <f t="shared" si="16"/>
        <v>291736</v>
      </c>
      <c r="CI9" s="2">
        <f t="shared" si="17"/>
        <v>279215</v>
      </c>
      <c r="CJ9" s="2">
        <f t="shared" si="18"/>
        <v>267840</v>
      </c>
      <c r="CK9" s="2">
        <f t="shared" si="19"/>
        <v>189696</v>
      </c>
    </row>
    <row r="10" spans="1:89" x14ac:dyDescent="0.2">
      <c r="M10" s="2" t="s">
        <v>267</v>
      </c>
      <c r="N10" s="2">
        <v>1</v>
      </c>
      <c r="O10" s="2">
        <v>18000</v>
      </c>
      <c r="P10" s="2">
        <v>18000</v>
      </c>
      <c r="Q10" s="2">
        <v>500</v>
      </c>
      <c r="R10" s="2">
        <v>500</v>
      </c>
      <c r="V10" s="2">
        <v>210</v>
      </c>
      <c r="W10" s="2">
        <v>2</v>
      </c>
      <c r="X10" s="2">
        <v>1181639214</v>
      </c>
      <c r="Y10" s="2">
        <f t="shared" si="6"/>
        <v>236326</v>
      </c>
      <c r="Z10" s="2">
        <v>236326</v>
      </c>
      <c r="AA10" s="2">
        <v>210</v>
      </c>
      <c r="AB10" s="2">
        <v>15</v>
      </c>
      <c r="AC10" s="2">
        <f>(SUM(标准城池设计!$E$28:$E$46)-标准城池设计!$E$28)*标准城池设计!U40*其他调用!CP9</f>
        <v>77785200</v>
      </c>
      <c r="AD10" s="2">
        <f t="shared" si="7"/>
        <v>116670</v>
      </c>
      <c r="AE10" s="2">
        <v>116670</v>
      </c>
      <c r="AF10" s="2">
        <v>210</v>
      </c>
      <c r="AG10" s="2">
        <f>INT(INDEX(节奏总纲!$T$4:$T$363,MATCH(AF10,节奏总纲!$Q$4:$Q$363,0)))</f>
        <v>82</v>
      </c>
      <c r="AH10" s="2">
        <f>INDEX(其他调用!$M$5:$M$404,MATCH(AF10,其他调用!$B$5:$B$404))</f>
        <v>100</v>
      </c>
      <c r="AI10" s="2">
        <f>INDEX(其他调用!$AA$5:$AA$404,MATCH(AG10,其他调用!$X$5:$X$404,0))*0.75</f>
        <v>28239.48080478191</v>
      </c>
      <c r="AJ10" s="2">
        <f>INDEX(其他调用!$AB$5:$AB$404,MATCH(AG10,其他调用!$X$5:$X$404,0))*0.75</f>
        <v>29875.436688870377</v>
      </c>
      <c r="AK10" s="2">
        <f>INDEX(其他调用!$AC$5:$AC$404,MATCH(AG10,其他调用!$X$5:$X$404,0))*0.75</f>
        <v>32755.583665962906</v>
      </c>
      <c r="AL10" s="2">
        <f>INDEX(攻城基础信息!$AE$5:$AE$164,MATCH('征服点（旧）'!AG10,攻城基础信息!$W$5:$W$164,0))-1</f>
        <v>2.4999999999999978</v>
      </c>
      <c r="AM10" s="2">
        <f>INDEX(攻城基础信息!$AF$5:$AF$164,MATCH('征服点（旧）'!AG10,攻城基础信息!$W$5:$W$164,0))-1</f>
        <v>2.4999999999999978</v>
      </c>
      <c r="AN10" s="2">
        <f>INDEX(攻城基础信息!$AG$5:$AG$164,MATCH('征服点（旧）'!AG10,攻城基础信息!$W$5:$W$164,0))-1</f>
        <v>2.4999999999999978</v>
      </c>
      <c r="AO10" s="2">
        <f>INDEX(其他调用!$J$5:$J$404,MATCH(AF10,其他调用!$B$5:$B$404))</f>
        <v>3.8604200140800002E-2</v>
      </c>
      <c r="AP10" s="2">
        <f>INDEX(其他调用!$K$5:$K$404,MATCH(AF10,其他调用!$B$5:$B$404))</f>
        <v>6.8679600000000019E-3</v>
      </c>
      <c r="AQ10" s="2">
        <f>INDEX(其他调用!$L$5:$L$404,MATCH(AF10,其他调用!$B$5:$B$404))</f>
        <v>1.9871999999999997E-3</v>
      </c>
      <c r="AR10" s="2">
        <v>70</v>
      </c>
      <c r="AS10" s="2">
        <f>(AH10*AO10*AI10*AL10+AH10*AJ10*AP10*AM10+AH10*AK10*AQ10*AN10)*0.5*2400*0.6/('疲劳值&amp;地图信息'!$R$10*0.7)/10000*AR10</f>
        <v>110432.00971196168</v>
      </c>
      <c r="AT10" s="2">
        <v>229230</v>
      </c>
      <c r="AW10" s="2">
        <v>210</v>
      </c>
      <c r="AX10" s="2">
        <f t="shared" si="0"/>
        <v>996228.00971196173</v>
      </c>
      <c r="AY10" s="41">
        <f t="shared" si="8"/>
        <v>0.20477239950218051</v>
      </c>
      <c r="AZ10" s="41">
        <f t="shared" si="9"/>
        <v>0.33004492625645565</v>
      </c>
      <c r="BA10" s="41">
        <f t="shared" si="1"/>
        <v>0.23722079453309958</v>
      </c>
      <c r="BB10" s="41">
        <f t="shared" si="2"/>
        <v>0.11711174436235</v>
      </c>
      <c r="BC10" s="4">
        <f t="shared" si="10"/>
        <v>0.1108501353459142</v>
      </c>
      <c r="BD10" s="46">
        <f t="shared" si="11"/>
        <v>0.99999999999999978</v>
      </c>
      <c r="BF10" s="6">
        <v>1080</v>
      </c>
      <c r="BG10" s="2">
        <v>210</v>
      </c>
      <c r="BH10" s="2">
        <f t="shared" si="3"/>
        <v>2</v>
      </c>
      <c r="BI10" s="2">
        <f t="shared" si="4"/>
        <v>15</v>
      </c>
      <c r="BJ10" s="2">
        <f t="shared" si="5"/>
        <v>70</v>
      </c>
      <c r="BL10" s="6"/>
      <c r="BT10" s="2">
        <v>10000</v>
      </c>
      <c r="BU10" s="2">
        <v>3000</v>
      </c>
      <c r="BV10" s="2">
        <v>9000</v>
      </c>
    </row>
    <row r="11" spans="1:89" x14ac:dyDescent="0.2">
      <c r="M11" s="2" t="s">
        <v>268</v>
      </c>
      <c r="N11" s="2">
        <v>1</v>
      </c>
      <c r="O11" s="2">
        <v>9000</v>
      </c>
      <c r="P11" s="2">
        <v>9000</v>
      </c>
      <c r="Q11" s="2">
        <v>250</v>
      </c>
      <c r="R11" s="2">
        <v>250</v>
      </c>
      <c r="V11" s="2">
        <v>360</v>
      </c>
      <c r="W11" s="2">
        <v>2</v>
      </c>
      <c r="X11" s="2">
        <v>1236845161</v>
      </c>
      <c r="Y11" s="2">
        <f t="shared" si="6"/>
        <v>247368</v>
      </c>
      <c r="Z11" s="2">
        <v>247368</v>
      </c>
      <c r="AA11" s="2">
        <v>360</v>
      </c>
      <c r="AB11" s="2">
        <v>15</v>
      </c>
      <c r="AC11" s="2">
        <f>(SUM(标准城池设计!$E$28:$E$46)-标准城池设计!$E$28)*标准城池设计!U41*其他调用!CP10</f>
        <v>76008900</v>
      </c>
      <c r="AD11" s="2">
        <f t="shared" si="7"/>
        <v>114000</v>
      </c>
      <c r="AE11" s="2">
        <v>82910</v>
      </c>
      <c r="AF11" s="2">
        <v>360</v>
      </c>
      <c r="AG11" s="2">
        <f>INT(INDEX(节奏总纲!$T$4:$T$363,MATCH(AF11,节奏总纲!$Q$4:$Q$363,0)))</f>
        <v>90</v>
      </c>
      <c r="AH11" s="2">
        <f>INDEX(其他调用!$M$5:$M$404,MATCH(AF11,其他调用!$B$5:$B$404))</f>
        <v>100</v>
      </c>
      <c r="AI11" s="2">
        <f>INDEX(其他调用!$AA$5:$AA$404,MATCH(AG11,其他调用!$X$5:$X$404,0))*0.75</f>
        <v>28641.737523959957</v>
      </c>
      <c r="AJ11" s="2">
        <f>INDEX(其他调用!$AB$5:$AB$404,MATCH(AG11,其他调用!$X$5:$X$404,0))*0.75</f>
        <v>30275.196706737355</v>
      </c>
      <c r="AK11" s="2">
        <f>INDEX(其他调用!$AC$5:$AC$404,MATCH(AG11,其他调用!$X$5:$X$404,0))*0.75</f>
        <v>33164.405847284965</v>
      </c>
      <c r="AL11" s="2">
        <f>INDEX(攻城基础信息!$AE$5:$AE$164,MATCH('征服点（旧）'!AG11,攻城基础信息!$W$5:$W$164,0))-1</f>
        <v>2.4999999999999978</v>
      </c>
      <c r="AM11" s="2">
        <f>INDEX(攻城基础信息!$AF$5:$AF$164,MATCH('征服点（旧）'!AG11,攻城基础信息!$W$5:$W$164,0))-1</f>
        <v>2.4999999999999978</v>
      </c>
      <c r="AN11" s="2">
        <f>INDEX(攻城基础信息!$AG$5:$AG$164,MATCH('征服点（旧）'!AG11,攻城基础信息!$W$5:$W$164,0))-1</f>
        <v>2.4999999999999978</v>
      </c>
      <c r="AO11" s="2">
        <f>INDEX(其他调用!$J$5:$J$404,MATCH(AF11,其他调用!$B$5:$B$404))</f>
        <v>3.8604200140800002E-2</v>
      </c>
      <c r="AP11" s="2">
        <f>INDEX(其他调用!$K$5:$K$404,MATCH(AF11,其他调用!$B$5:$B$404))</f>
        <v>6.8679600000000019E-3</v>
      </c>
      <c r="AQ11" s="2">
        <f>INDEX(其他调用!$L$5:$L$404,MATCH(AF11,其他调用!$B$5:$B$404))</f>
        <v>1.9871999999999997E-3</v>
      </c>
      <c r="AR11" s="2">
        <v>70</v>
      </c>
      <c r="AS11" s="2">
        <f>(AH11*AO11*AI11*AL11+AH11*AJ11*AP11*AM11+AH11*AK11*AQ11*AN11)*0.5*2400*0.6/('疲劳值&amp;地图信息'!$R$10*0.7)/10000*AR11</f>
        <v>111981.35491833143</v>
      </c>
      <c r="AT11" s="2">
        <v>232496</v>
      </c>
      <c r="AW11" s="2">
        <v>360</v>
      </c>
      <c r="AX11" s="2">
        <f t="shared" si="0"/>
        <v>1006149.3549183314</v>
      </c>
      <c r="AY11" s="41">
        <f t="shared" si="8"/>
        <v>0.20275319862085345</v>
      </c>
      <c r="AZ11" s="41">
        <f t="shared" si="9"/>
        <v>0.32679044954184611</v>
      </c>
      <c r="BA11" s="41">
        <f t="shared" si="1"/>
        <v>0.24585614331589839</v>
      </c>
      <c r="BB11" s="41">
        <f t="shared" si="2"/>
        <v>0.11330325805282986</v>
      </c>
      <c r="BC11" s="4">
        <f t="shared" si="10"/>
        <v>0.11129695046857223</v>
      </c>
      <c r="BD11" s="46">
        <f t="shared" si="11"/>
        <v>1</v>
      </c>
      <c r="BF11" s="6"/>
      <c r="BG11" s="2">
        <v>360</v>
      </c>
      <c r="BH11" s="2">
        <f t="shared" si="3"/>
        <v>2</v>
      </c>
      <c r="BI11" s="2">
        <f t="shared" si="4"/>
        <v>15</v>
      </c>
      <c r="BJ11" s="2">
        <f t="shared" si="5"/>
        <v>70</v>
      </c>
      <c r="BK11" s="6"/>
      <c r="BL11" s="6"/>
      <c r="BT11" s="2">
        <v>3600</v>
      </c>
      <c r="BU11" s="2">
        <v>900</v>
      </c>
      <c r="BV11" s="2">
        <v>2700</v>
      </c>
      <c r="CD11" s="2" t="s">
        <v>172</v>
      </c>
      <c r="CE11" s="2">
        <v>15</v>
      </c>
      <c r="CF11" s="2">
        <v>30</v>
      </c>
      <c r="CG11" s="2">
        <v>60</v>
      </c>
      <c r="CH11" s="2">
        <v>90</v>
      </c>
      <c r="CI11" s="2">
        <v>150</v>
      </c>
      <c r="CJ11" s="2">
        <v>210</v>
      </c>
      <c r="CK11" s="2">
        <v>360</v>
      </c>
    </row>
    <row r="12" spans="1:89" x14ac:dyDescent="0.2">
      <c r="A12" s="1" t="s">
        <v>337</v>
      </c>
      <c r="D12" s="4">
        <v>0.3</v>
      </c>
      <c r="M12" s="2" t="s">
        <v>269</v>
      </c>
      <c r="N12" s="2">
        <v>1</v>
      </c>
      <c r="O12" s="2">
        <v>9000</v>
      </c>
      <c r="P12" s="2">
        <v>9000</v>
      </c>
      <c r="Q12" s="2">
        <v>250</v>
      </c>
      <c r="R12" s="2">
        <v>250</v>
      </c>
      <c r="BD12" s="6"/>
      <c r="BF12" s="6"/>
      <c r="BK12" s="6"/>
      <c r="BL12" s="2" t="s">
        <v>172</v>
      </c>
      <c r="BM12" s="2">
        <f>BG6</f>
        <v>30</v>
      </c>
      <c r="BT12" s="2">
        <v>100</v>
      </c>
      <c r="BU12" s="2">
        <v>50</v>
      </c>
      <c r="CD12" s="2" t="s">
        <v>375</v>
      </c>
      <c r="CE12" s="2">
        <f t="shared" ref="CE12:CK12" si="20">INDEX($AH$5:$AH$11,MATCH(CE11,$AF$5:$AF$11,0))</f>
        <v>80.35164835164835</v>
      </c>
      <c r="CF12" s="2">
        <f t="shared" si="20"/>
        <v>87.10294117647058</v>
      </c>
      <c r="CG12" s="2">
        <f t="shared" si="20"/>
        <v>95.666666666666671</v>
      </c>
      <c r="CH12" s="2">
        <f t="shared" si="20"/>
        <v>100</v>
      </c>
      <c r="CI12" s="2">
        <f t="shared" si="20"/>
        <v>100</v>
      </c>
      <c r="CJ12" s="2">
        <f t="shared" si="20"/>
        <v>100</v>
      </c>
      <c r="CK12" s="2">
        <f t="shared" si="20"/>
        <v>100</v>
      </c>
    </row>
    <row r="13" spans="1:89" x14ac:dyDescent="0.2">
      <c r="A13" s="1" t="s">
        <v>336</v>
      </c>
      <c r="D13" s="4">
        <v>0.2</v>
      </c>
      <c r="M13" s="2" t="s">
        <v>270</v>
      </c>
      <c r="N13" s="2">
        <v>1</v>
      </c>
      <c r="O13" s="2">
        <v>9000</v>
      </c>
      <c r="P13" s="2">
        <v>9000</v>
      </c>
      <c r="Q13" s="2">
        <v>250</v>
      </c>
      <c r="R13" s="2">
        <v>250</v>
      </c>
      <c r="BF13" s="6"/>
      <c r="BK13" s="6"/>
      <c r="BL13" s="2" t="s">
        <v>341</v>
      </c>
      <c r="BM13" s="2" t="s">
        <v>344</v>
      </c>
      <c r="BN13" s="2" t="s">
        <v>128</v>
      </c>
      <c r="BO13" s="2" t="s">
        <v>356</v>
      </c>
      <c r="BP13" s="2" t="s">
        <v>357</v>
      </c>
      <c r="BQ13" s="2" t="s">
        <v>352</v>
      </c>
      <c r="BR13" s="2" t="s">
        <v>350</v>
      </c>
      <c r="BS13" s="2" t="s">
        <v>351</v>
      </c>
      <c r="BT13" s="6" t="s">
        <v>355</v>
      </c>
      <c r="BU13" s="6" t="s">
        <v>354</v>
      </c>
      <c r="BV13" s="2" t="s">
        <v>353</v>
      </c>
      <c r="BW13" s="2" t="s">
        <v>369</v>
      </c>
      <c r="CD13" s="2" t="s">
        <v>370</v>
      </c>
      <c r="CE13" s="2">
        <f>SUM($O$5:$O$21)</f>
        <v>204000</v>
      </c>
      <c r="CF13" s="2">
        <f t="shared" ref="CF13:CK13" si="21">SUM($O$5:$O$21)</f>
        <v>204000</v>
      </c>
      <c r="CG13" s="2">
        <f t="shared" si="21"/>
        <v>204000</v>
      </c>
      <c r="CH13" s="2">
        <f t="shared" si="21"/>
        <v>204000</v>
      </c>
      <c r="CI13" s="2">
        <f t="shared" si="21"/>
        <v>204000</v>
      </c>
      <c r="CJ13" s="2">
        <f t="shared" si="21"/>
        <v>204000</v>
      </c>
      <c r="CK13" s="2">
        <f t="shared" si="21"/>
        <v>204000</v>
      </c>
    </row>
    <row r="14" spans="1:89" x14ac:dyDescent="0.2">
      <c r="A14" s="1" t="s">
        <v>318</v>
      </c>
      <c r="D14" s="4">
        <v>0.15</v>
      </c>
      <c r="M14" s="2" t="s">
        <v>271</v>
      </c>
      <c r="N14" s="2">
        <v>1</v>
      </c>
      <c r="O14" s="2">
        <v>9000</v>
      </c>
      <c r="P14" s="2">
        <v>9000</v>
      </c>
      <c r="Q14" s="2">
        <v>250</v>
      </c>
      <c r="R14" s="2">
        <v>250</v>
      </c>
      <c r="BF14" s="6"/>
      <c r="BK14" s="6"/>
      <c r="BL14" s="2" t="s">
        <v>14</v>
      </c>
      <c r="BM14" s="2" t="s">
        <v>343</v>
      </c>
      <c r="BN14" s="2">
        <f>INT(INDEX(节奏总纲!$R$4:$R$363,MATCH(BM12,节奏总纲!$Q$4:$Q$363,0)))</f>
        <v>49</v>
      </c>
      <c r="BO14" s="2">
        <f>INDEX(其他调用!$AH$5:$AL$364,MATCH(BM12,其他调用!$AG$5:$AG$364,0),MATCH(BL14,其他调用!$AH$4:$AL$4,0))</f>
        <v>1</v>
      </c>
      <c r="BP14" s="2">
        <f>INDEX(其他调用!$H$5:$L$404,MATCH(BM12,其他调用!$B$5:$B$404,0),MATCH(BL14,其他调用!$H$4:$L$4,0))</f>
        <v>0.53680909090909112</v>
      </c>
      <c r="BQ14" s="2">
        <f>INDEX(标准城池设计!$AH$4:$AL$163,MATCH(BN14,标准城池设计!$AA$4:$AA$163,0),MATCH(BL14,标准城池设计!$AH$3:$AL$3,0))</f>
        <v>1587652.8327309033</v>
      </c>
      <c r="BR14" s="2">
        <f>BP14*BQ14/(BP14*BQ14+BP15*BQ15+BP16*BQ16+BP17*BQ17+BP18*BQ18)*INDEX(X$5:X$11,MATCH(BM12,V$5:V$11,0))</f>
        <v>109440755.78927264</v>
      </c>
      <c r="BS14" s="2">
        <f>BR14/(BP14*INDEX(其他调用!$M$5:$M$404,MATCH(BM12,其他调用!$B$5:$B$404,0))*0.5)</f>
        <v>4681191.3868512763</v>
      </c>
      <c r="BT14" s="2">
        <f>INT(BS14/10000)*INDEX($BH$5:$BH$11,MATCH(BM12,$BG$5:$BG$11,0))</f>
        <v>4680</v>
      </c>
      <c r="BU14" s="2">
        <v>0</v>
      </c>
      <c r="BV14" s="2">
        <v>0</v>
      </c>
      <c r="BW14" s="2">
        <f>SUM(BT14:BV14)</f>
        <v>4680</v>
      </c>
      <c r="CD14" s="2" t="s">
        <v>371</v>
      </c>
      <c r="CE14" s="2">
        <f>SUM($R$5:$R$21)*50</f>
        <v>274000</v>
      </c>
      <c r="CF14" s="2">
        <f t="shared" ref="CF14:CK14" si="22">SUM($R$5:$R$21)*50</f>
        <v>274000</v>
      </c>
      <c r="CG14" s="2">
        <f t="shared" si="22"/>
        <v>274000</v>
      </c>
      <c r="CH14" s="2">
        <f t="shared" si="22"/>
        <v>274000</v>
      </c>
      <c r="CI14" s="2">
        <f t="shared" si="22"/>
        <v>274000</v>
      </c>
      <c r="CJ14" s="2">
        <f t="shared" si="22"/>
        <v>274000</v>
      </c>
      <c r="CK14" s="2">
        <f t="shared" si="22"/>
        <v>274000</v>
      </c>
    </row>
    <row r="15" spans="1:89" x14ac:dyDescent="0.2">
      <c r="M15" s="2" t="s">
        <v>272</v>
      </c>
      <c r="N15" s="2">
        <v>1</v>
      </c>
      <c r="O15" s="2">
        <v>5000</v>
      </c>
      <c r="P15" s="2">
        <v>5000</v>
      </c>
      <c r="Q15" s="2">
        <v>120</v>
      </c>
      <c r="R15" s="2">
        <v>120</v>
      </c>
      <c r="BD15" s="6"/>
      <c r="BF15" s="6"/>
      <c r="BK15" s="6"/>
      <c r="BL15" s="2" t="s">
        <v>15</v>
      </c>
      <c r="BM15" s="2" t="s">
        <v>343</v>
      </c>
      <c r="BN15" s="2">
        <f>INT(INDEX(节奏总纲!$S$4:$S$363,MATCH(BM12,节奏总纲!$Q$4:$Q$363,0)))</f>
        <v>51</v>
      </c>
      <c r="BO15" s="2">
        <f>INDEX(其他调用!$AH$5:$AL$364,MATCH(BM12,其他调用!$AG$5:$AG$364,0),MATCH(BL15,其他调用!$AH$4:$AL$4,0))</f>
        <v>1.3143605850390845</v>
      </c>
      <c r="BP15" s="2">
        <f>INDEX(其他调用!$H$5:$L$404,MATCH(BM12,其他调用!$B$5:$B$404,0),MATCH(BL15,其他调用!$H$4:$L$4,0))</f>
        <v>0.41865497309090888</v>
      </c>
      <c r="BQ15" s="2">
        <f>INDEX(标准城池设计!$AH$4:$AL$163,MATCH(BN15,标准城池设计!$AA$4:$AA$163,0),MATCH(BL15,标准城池设计!$AH$3:$AL$3,0))</f>
        <v>1790488.0093730476</v>
      </c>
      <c r="BR15" s="2">
        <f>BP15*BQ15/(BP14*BQ14+BP15*BQ15+BP16*BQ16+BP17*BQ17+BP18*BQ18)*INDEX(X$5:X$11,MATCH(BM12,V$5:V$11,0))</f>
        <v>96256784.623520687</v>
      </c>
      <c r="BS15" s="2">
        <f>BR15/(BP15*INDEX(其他调用!$M$5:$M$404,MATCH(BM12,其他调用!$B$5:$B$404,0))*0.5)</f>
        <v>5279250.5231263153</v>
      </c>
      <c r="BT15" s="2">
        <f>INT(BS15/10000)*INDEX($BH$5:$BH$11,MATCH(BM12,$BG$5:$BG$11,0))</f>
        <v>5270</v>
      </c>
      <c r="BU15" s="2">
        <v>0</v>
      </c>
      <c r="BV15" s="2">
        <v>0</v>
      </c>
      <c r="BW15" s="2">
        <f t="shared" ref="BW15:BW18" si="23">SUM(BT15:BV15)</f>
        <v>5270</v>
      </c>
      <c r="CD15" s="2" t="s">
        <v>372</v>
      </c>
      <c r="CE15" s="2">
        <f>INT(CE$12*(BP5*BT5+BP6*BT6+BP7*BT7+BP8*BT8+BP9*BT9))</f>
        <v>430001</v>
      </c>
      <c r="CF15" s="2">
        <f>INT(CF$12*(BP14*BT14+BP15*BT15+BP16*BT16+BP17*BT17+BP18*BT18))</f>
        <v>437548</v>
      </c>
      <c r="CG15" s="2">
        <f>INT(CG$12*(BP23*BT23+BP24*BT24+BP25*BT25+BP26*BT26+BP27*BT27))</f>
        <v>408959</v>
      </c>
      <c r="CH15" s="2">
        <f>INT(CH$12*(BP32*BT32+BP33*BT33+BP34*BT34+BP35*BT35+BP36*BT36))</f>
        <v>383070</v>
      </c>
      <c r="CI15" s="2">
        <f>INT(CI$12*(BP41*BT41+BP42*BT42+BP43*BT43+BP44*BT44+BP45*BT45))</f>
        <v>365116</v>
      </c>
      <c r="CJ15" s="2">
        <f>INT(CJ$12*(BP50*BT50+BP51*BT51+BP52*BT52+BP53*BT53+BP54*BT54))</f>
        <v>472622</v>
      </c>
      <c r="CK15" s="2">
        <f>INT(CK$12*(BP59*BT59+BP60*BT60+BP61*BT61+BP62*BT62+BP63*BT63))</f>
        <v>494663</v>
      </c>
    </row>
    <row r="16" spans="1:89" x14ac:dyDescent="0.2">
      <c r="A16" s="1" t="s">
        <v>323</v>
      </c>
      <c r="E16" s="1"/>
      <c r="F16" s="1"/>
      <c r="G16" s="1"/>
      <c r="H16" s="1"/>
      <c r="M16" s="2" t="s">
        <v>273</v>
      </c>
      <c r="N16" s="2">
        <v>1</v>
      </c>
      <c r="O16" s="2">
        <v>5000</v>
      </c>
      <c r="P16" s="2">
        <v>5000</v>
      </c>
      <c r="Q16" s="2">
        <v>120</v>
      </c>
      <c r="R16" s="2">
        <v>120</v>
      </c>
      <c r="BD16" s="6"/>
      <c r="BF16" s="6"/>
      <c r="BK16" s="6"/>
      <c r="BL16" s="2" t="s">
        <v>16</v>
      </c>
      <c r="BM16" s="2" t="s">
        <v>342</v>
      </c>
      <c r="BN16" s="2">
        <f>INT(INDEX(节奏总纲!$T$4:$T$363,MATCH(BM12,节奏总纲!$Q$4:$Q$363,0)))</f>
        <v>54</v>
      </c>
      <c r="BO16" s="2">
        <f>INDEX(其他调用!$AH$5:$AL$364,MATCH(BM12,其他调用!$AG$5:$AG$364,0),MATCH(BL16,其他调用!$AH$4:$AL$4,0))</f>
        <v>2.4532796490578885</v>
      </c>
      <c r="BP16" s="2">
        <f>INDEX(其他调用!$H$5:$L$404,MATCH(BM12,其他调用!$B$5:$B$404,0),MATCH(BL16,其他调用!$H$4:$L$4,0))</f>
        <v>3.7287936000000001E-2</v>
      </c>
      <c r="BQ16" s="2">
        <f>INDEX(标准城池设计!$AH$4:$AL$163,MATCH(BN16,标准城池设计!$AA$4:$AA$163,0),MATCH(BL16,标准城池设计!$AH$3:$AL$3,0))</f>
        <v>2155029.1694613732</v>
      </c>
      <c r="BR16" s="2">
        <f>BP16*BQ16/(BP14*BQ14+BP15*BQ15+BP16*BQ16+BP17*BQ17+BP18*BQ18)*INDEX(X$5:X$11,MATCH(BM12,V$5:V$11,0))</f>
        <v>10318704.519008227</v>
      </c>
      <c r="BS16" s="2">
        <f>BR16/(BP16*INDEX(其他调用!$M$5:$M$404,MATCH(BM12,其他调用!$B$5:$B$404,0))*0.5)</f>
        <v>6354099.4470078256</v>
      </c>
      <c r="BT16" s="2">
        <f>INT(BS16/10000)*INDEX($BH$5:$BH$11,MATCH(BM12,$BG$5:$BG$11,0))</f>
        <v>6350</v>
      </c>
      <c r="BU16" s="2">
        <f>INT(INDEX($AD$5:$AD$11,MATCH(BM12,$AA$5:$AA$11,0))/(SUM(BP16:BP18)*INDEX(其他调用!$M$5:$M$404,MATCH(BM12,其他调用!$B$5:$B$404,0))*0.5))</f>
        <v>65363</v>
      </c>
      <c r="BV16" s="2">
        <f>INT(INDEX($AS$5:$AS$11,MATCH(BM12,$AF$5:$AF$11,0))/((BO16*BP16+BO17*BP17*BO18*BP18)*INDEX($AH$5:$AH$11,MATCH(BM12,$AF$5:$AF$11,0)))*BO16)</f>
        <v>36096</v>
      </c>
      <c r="BW16" s="2">
        <f t="shared" si="23"/>
        <v>107809</v>
      </c>
      <c r="CD16" s="2" t="s">
        <v>373</v>
      </c>
      <c r="CE16" s="2">
        <f>INT(CE$12*(BP5*BU5+BP6*BU6+BP7*BU7+BP8*BU8+BP9*BU9))</f>
        <v>238797</v>
      </c>
      <c r="CF16" s="2">
        <f>INT(CF$12*(BP14*BU14+BP15*BU15+BP16*BU16+BP17*BU17+BP18*BU18))</f>
        <v>253556</v>
      </c>
      <c r="CG16" s="2">
        <f>INT(CG$12*(BP23*BU23+BP24*BU24+BP25*BU25+BP26*BU26+BP27*BU27))</f>
        <v>212037</v>
      </c>
      <c r="CH16" s="2">
        <f>INT(CH$12*(BP32*BU32+BP33*BU33+BP34*BU34+BP35*BU35+BP36*BU36))</f>
        <v>229518</v>
      </c>
      <c r="CI16" s="2">
        <f>INT(CI$12*(BP41*BU41+BP42*BU42+BP43*BU43+BP44*BU44+BP45*BU45))</f>
        <v>221967</v>
      </c>
      <c r="CJ16" s="2">
        <f>INT(CJ$12*(BP50*BU50+BP51*BU51+BP52*BU52+BP53*BU53+BP54*BU54))</f>
        <v>233335</v>
      </c>
      <c r="CK16" s="2">
        <f>INT(CK$12*(BP59*BU59+BP60*BU60+BP61*BU61+BP62*BU62+BP63*BU63))</f>
        <v>227996</v>
      </c>
    </row>
    <row r="17" spans="1:89" x14ac:dyDescent="0.2">
      <c r="E17" s="1"/>
      <c r="F17" s="1"/>
      <c r="G17" s="1"/>
      <c r="H17" s="1"/>
      <c r="M17" s="2" t="s">
        <v>274</v>
      </c>
      <c r="N17" s="2">
        <v>1</v>
      </c>
      <c r="O17" s="2">
        <v>9000</v>
      </c>
      <c r="P17" s="2">
        <v>9000</v>
      </c>
      <c r="Q17" s="2">
        <v>250</v>
      </c>
      <c r="R17" s="2">
        <v>250</v>
      </c>
      <c r="BD17" s="6"/>
      <c r="BF17" s="6"/>
      <c r="BK17" s="6"/>
      <c r="BL17" s="2" t="s">
        <v>17</v>
      </c>
      <c r="BM17" s="2" t="s">
        <v>342</v>
      </c>
      <c r="BN17" s="2">
        <f>INT(INDEX(节奏总纲!$U$4:$U$363,MATCH(BM12,节奏总纲!$Q$4:$Q$363,0)))</f>
        <v>58</v>
      </c>
      <c r="BO17" s="2">
        <f>INDEX(其他调用!$AH$5:$AL$364,MATCH(BM12,其他调用!$AG$5:$AG$364,0),MATCH(BL17,其他调用!$AH$4:$AL$4,0))</f>
        <v>4.8567498018335549</v>
      </c>
      <c r="BP17" s="2">
        <f>INDEX(其他调用!$H$5:$L$404,MATCH(BM12,其他调用!$B$5:$B$404,0),MATCH(BL17,其他调用!$H$4:$L$4,0))</f>
        <v>5.8080000000000015E-3</v>
      </c>
      <c r="BQ17" s="2">
        <f>INDEX(标准城池设计!$AH$4:$AL$163,MATCH(BN17,标准城池设计!$AA$4:$AA$163,0),MATCH(BL17,标准城池设计!$AH$3:$AL$3,0))</f>
        <v>2886603.2545774789</v>
      </c>
      <c r="BR17" s="2">
        <f>BP17*BQ17/(BP14*BQ14+BP15*BQ15+BP16*BQ16+BP17*BQ17+BP18*BQ18)*INDEX(X$5:X$11,MATCH(BM12,V$5:V$11,0))</f>
        <v>2152867.906226086</v>
      </c>
      <c r="BS17" s="2">
        <f>BR17/(BP17*INDEX(其他调用!$M$5:$M$404,MATCH(BM12,其他调用!$B$5:$B$404,0))*0.5)</f>
        <v>8511144.2590014115</v>
      </c>
      <c r="BT17" s="2">
        <f>INT(BS17/10000)*INDEX($BH$5:$BH$11,MATCH(BM12,$BG$5:$BG$11,0))</f>
        <v>8510</v>
      </c>
      <c r="BU17" s="2">
        <f>INT(INDEX($AD$5:$AD$11,MATCH(BM12,$AA$5:$AA$11,0))/(SUM(BP16:BP18)*INDEX(其他调用!$M$5:$M$404,MATCH(BM12,其他调用!$B$5:$B$404,0))*0.5))</f>
        <v>65363</v>
      </c>
      <c r="BV17" s="2">
        <f>INT(INDEX($AS$5:$AS$11,MATCH(BM12,$AF$5:$AF$11,0))/((BO16*BP16+BO17*BP17*BO18*BP18)*INDEX($AH$5:$AH$11,MATCH(BM12,$AF$5:$AF$11,0)))*BO17)</f>
        <v>71460</v>
      </c>
      <c r="BW17" s="2">
        <f t="shared" si="23"/>
        <v>145333</v>
      </c>
      <c r="CD17" s="2" t="s">
        <v>374</v>
      </c>
      <c r="CE17" s="2">
        <f>INT(CE$12*(BP5*BV5+BP6*BV6+BP7*BV7+BP8*BV8+BP9*BV9))</f>
        <v>159807</v>
      </c>
      <c r="CF17" s="2">
        <f>INT(CF$12*(BP14*BV14+BP15*BV15+BP16*BV16+BP17*BV17+BP18*BV18))</f>
        <v>184837</v>
      </c>
      <c r="CG17" s="2">
        <f>INT(CG$12*(BP23*BV23+BP24*BV24+BP25*BV25+BP26*BV26+BP27*BV27))</f>
        <v>200571</v>
      </c>
      <c r="CH17" s="2">
        <f>INT(CH$12*(BP32*BV32+BP33*BV33+BP34*BV34+BP35*BV35+BP36*BV36))</f>
        <v>193611</v>
      </c>
      <c r="CI17" s="2">
        <f>INT(CI$12*(BP41*BV41+BP42*BV42+BP43*BV43+BP44*BV44+BP45*BV45))</f>
        <v>197747</v>
      </c>
      <c r="CJ17" s="2">
        <f>INT(CJ$12*(BP50*BV50+BP51*BV51+BP52*BV52+BP53*BV53+BP54*BV54))</f>
        <v>180227</v>
      </c>
      <c r="CK17" s="2">
        <f>INT(CK$12*(BP59*BV59+BP60*BV60+BP61*BV61+BP62*BV62+BP63*BV63))</f>
        <v>166693</v>
      </c>
    </row>
    <row r="18" spans="1:89" x14ac:dyDescent="0.2">
      <c r="E18" s="1"/>
      <c r="F18" s="1"/>
      <c r="G18" s="1"/>
      <c r="H18" s="1"/>
      <c r="M18" s="2" t="s">
        <v>275</v>
      </c>
      <c r="N18" s="2">
        <v>1</v>
      </c>
      <c r="O18" s="2">
        <v>9000</v>
      </c>
      <c r="P18" s="2">
        <v>9000</v>
      </c>
      <c r="Q18" s="2">
        <v>250</v>
      </c>
      <c r="R18" s="2">
        <v>250</v>
      </c>
      <c r="AV18" s="6"/>
      <c r="BD18" s="6"/>
      <c r="BF18" s="6"/>
      <c r="BK18" s="6"/>
      <c r="BL18" s="2" t="s">
        <v>18</v>
      </c>
      <c r="BM18" s="2" t="s">
        <v>342</v>
      </c>
      <c r="BN18" s="2">
        <f>INT(INDEX(节奏总纲!$V$4:$V$363,MATCH(BM12,节奏总纲!$Q$4:$Q$363,0)))</f>
        <v>67</v>
      </c>
      <c r="BO18" s="2">
        <f>INDEX(其他调用!$AH$5:$AL$364,MATCH(BM12,其他调用!$AG$5:$AG$364,0),MATCH(BL18,其他调用!$AH$4:$AL$4,0))</f>
        <v>17.041651872592858</v>
      </c>
      <c r="BP18" s="2">
        <f>INDEX(其他调用!$H$5:$L$404,MATCH(BM12,其他调用!$B$5:$B$404,0),MATCH(BL18,其他调用!$H$4:$L$4,0))</f>
        <v>1.4399999999999999E-3</v>
      </c>
      <c r="BQ18" s="2">
        <f>INDEX(标准城池设计!$AH$4:$AL$163,MATCH(BN18,标准城池设计!$AA$4:$AA$163,0),MATCH(BL18,标准城池设计!$AH$3:$AL$3,0))</f>
        <v>4374860.2543602102</v>
      </c>
      <c r="BR18" s="2">
        <f>BP18*BQ18/(BP14*BQ14+BP15*BQ15+BP16*BQ16+BP17*BQ17+BP18*BQ18)*INDEX(X$5:X$11,MATCH(BM12,V$5:V$11,0))</f>
        <v>808966.16197235161</v>
      </c>
      <c r="BS18" s="2">
        <f>BR18/(BP18*INDEX(其他调用!$M$5:$M$404,MATCH(BM12,其他调用!$B$5:$B$404,0))*0.5)</f>
        <v>12899267.219624046</v>
      </c>
      <c r="BT18" s="2">
        <f>INT(BS18/10000)*INDEX($BH$5:$BH$11,MATCH(BM12,$BG$5:$BG$11,0))</f>
        <v>12890</v>
      </c>
      <c r="BU18" s="2">
        <f>INT(INDEX($AD$5:$AD$11,MATCH(BM12,$AA$5:$AA$11,0))/(SUM(BP16:BP18)*INDEX(其他调用!$M$5:$M$404,MATCH(BM12,其他调用!$B$5:$B$404,0))*0.5))</f>
        <v>65363</v>
      </c>
      <c r="BV18" s="2">
        <f>INT(INDEX($AS$5:$AS$11,MATCH(BM12,$AF$5:$AF$11,0))/((BO16*BP16+BO17*BP17*BO18*BP18)*INDEX($AH$5:$AH$11,MATCH(BM12,$AF$5:$AF$11,0)))*BO18)</f>
        <v>250745</v>
      </c>
      <c r="BW18" s="2">
        <f t="shared" si="23"/>
        <v>328998</v>
      </c>
    </row>
    <row r="19" spans="1:89" x14ac:dyDescent="0.2">
      <c r="G19" s="1"/>
      <c r="H19" s="1"/>
      <c r="M19" s="2" t="s">
        <v>276</v>
      </c>
      <c r="N19" s="2">
        <v>1</v>
      </c>
      <c r="O19" s="2">
        <v>18000</v>
      </c>
      <c r="P19" s="2">
        <v>18000</v>
      </c>
      <c r="Q19" s="2">
        <v>500</v>
      </c>
      <c r="R19" s="2">
        <v>500</v>
      </c>
      <c r="AV19" s="6"/>
      <c r="BD19" s="6"/>
      <c r="BF19" s="6"/>
      <c r="BK19" s="6"/>
      <c r="BL19" s="6"/>
    </row>
    <row r="20" spans="1:89" x14ac:dyDescent="0.2">
      <c r="E20" s="1"/>
      <c r="F20" s="1"/>
      <c r="G20" s="1"/>
      <c r="H20" s="1"/>
      <c r="M20" s="2" t="s">
        <v>277</v>
      </c>
      <c r="N20" s="2">
        <v>1</v>
      </c>
      <c r="O20" s="2">
        <v>15000</v>
      </c>
      <c r="P20" s="2">
        <v>15000</v>
      </c>
      <c r="Q20" s="2">
        <v>350</v>
      </c>
      <c r="R20" s="2">
        <v>350</v>
      </c>
      <c r="BD20" s="6"/>
      <c r="BF20" s="6"/>
      <c r="BH20" s="2" t="s">
        <v>377</v>
      </c>
      <c r="BI20" s="2" t="s">
        <v>380</v>
      </c>
      <c r="BJ20" s="2" t="s">
        <v>383</v>
      </c>
      <c r="BK20" s="6"/>
      <c r="BL20" s="6"/>
      <c r="CD20" s="2" t="s">
        <v>172</v>
      </c>
      <c r="CE20" s="2">
        <v>15</v>
      </c>
      <c r="CF20" s="2">
        <v>30</v>
      </c>
      <c r="CG20" s="2">
        <v>60</v>
      </c>
      <c r="CH20" s="2">
        <v>90</v>
      </c>
      <c r="CI20" s="2">
        <v>150</v>
      </c>
      <c r="CJ20" s="2">
        <v>210</v>
      </c>
      <c r="CK20" s="2">
        <v>360</v>
      </c>
    </row>
    <row r="21" spans="1:89" x14ac:dyDescent="0.2">
      <c r="D21" s="1"/>
      <c r="G21" s="1"/>
      <c r="H21" s="1"/>
      <c r="M21" s="2" t="s">
        <v>278</v>
      </c>
      <c r="N21" s="2">
        <v>1</v>
      </c>
      <c r="O21" s="2">
        <v>25000</v>
      </c>
      <c r="P21" s="2">
        <v>25000</v>
      </c>
      <c r="Q21" s="2">
        <v>650</v>
      </c>
      <c r="R21" s="2">
        <v>650</v>
      </c>
      <c r="BD21" s="6"/>
      <c r="BF21" s="6"/>
      <c r="BH21" s="2" t="s">
        <v>378</v>
      </c>
      <c r="BI21" s="2" t="s">
        <v>381</v>
      </c>
      <c r="BJ21" s="2" t="s">
        <v>384</v>
      </c>
      <c r="BK21" s="6"/>
      <c r="BL21" s="2" t="s">
        <v>172</v>
      </c>
      <c r="BM21" s="2">
        <f>BG7</f>
        <v>60</v>
      </c>
      <c r="CD21" s="2" t="s">
        <v>370</v>
      </c>
      <c r="CE21" s="41">
        <f>CE13/SUM(CE$13:CE$17)</f>
        <v>0.15612981735107398</v>
      </c>
      <c r="CF21" s="41">
        <f t="shared" ref="CF21:CK21" si="24">CF13/SUM(CF$13:CF$17)</f>
        <v>0.15067126263256669</v>
      </c>
      <c r="CG21" s="41">
        <f t="shared" si="24"/>
        <v>0.15697536179358201</v>
      </c>
      <c r="CH21" s="41">
        <f t="shared" si="24"/>
        <v>0.15885388479511353</v>
      </c>
      <c r="CI21" s="41">
        <f t="shared" si="24"/>
        <v>0.16154193359359534</v>
      </c>
      <c r="CJ21" s="41">
        <f t="shared" si="24"/>
        <v>0.14953994475818511</v>
      </c>
      <c r="CK21" s="41">
        <f t="shared" si="24"/>
        <v>0.14919347761220228</v>
      </c>
    </row>
    <row r="22" spans="1:89" x14ac:dyDescent="0.2">
      <c r="C22" s="1"/>
      <c r="D22" s="1"/>
      <c r="E22" s="1"/>
      <c r="F22" s="1"/>
      <c r="G22" s="1"/>
      <c r="H22" s="1"/>
      <c r="BH22" s="2" t="s">
        <v>379</v>
      </c>
      <c r="BI22" s="2" t="s">
        <v>382</v>
      </c>
      <c r="BL22" s="2" t="s">
        <v>341</v>
      </c>
      <c r="BM22" s="2" t="s">
        <v>344</v>
      </c>
      <c r="BN22" s="2" t="s">
        <v>128</v>
      </c>
      <c r="BO22" s="2" t="s">
        <v>356</v>
      </c>
      <c r="BP22" s="2" t="s">
        <v>357</v>
      </c>
      <c r="BQ22" s="2" t="s">
        <v>352</v>
      </c>
      <c r="BR22" s="2" t="s">
        <v>350</v>
      </c>
      <c r="BS22" s="2" t="s">
        <v>351</v>
      </c>
      <c r="BT22" s="6" t="s">
        <v>355</v>
      </c>
      <c r="BU22" s="6" t="s">
        <v>354</v>
      </c>
      <c r="BV22" s="2" t="s">
        <v>353</v>
      </c>
      <c r="BW22" s="2" t="s">
        <v>369</v>
      </c>
      <c r="CD22" s="2" t="s">
        <v>371</v>
      </c>
      <c r="CE22" s="41">
        <f t="shared" ref="CE22:CK25" si="25">CE14/SUM(CE$13:CE$17)</f>
        <v>0.20970377428526601</v>
      </c>
      <c r="CF22" s="41">
        <f t="shared" si="25"/>
        <v>0.20237218608491803</v>
      </c>
      <c r="CG22" s="41">
        <f t="shared" si="25"/>
        <v>0.21083945652667388</v>
      </c>
      <c r="CH22" s="41">
        <f t="shared" si="25"/>
        <v>0.2133625707542211</v>
      </c>
      <c r="CI22" s="41">
        <f t="shared" si="25"/>
        <v>0.21697298923845648</v>
      </c>
      <c r="CJ22" s="41">
        <f t="shared" si="25"/>
        <v>0.20085267090069961</v>
      </c>
      <c r="CK22" s="41">
        <f t="shared" si="25"/>
        <v>0.20038731796933051</v>
      </c>
    </row>
    <row r="23" spans="1:89" x14ac:dyDescent="0.2">
      <c r="B23" s="1"/>
      <c r="C23" s="1"/>
      <c r="D23" s="1"/>
      <c r="E23" s="1"/>
      <c r="F23" s="1"/>
      <c r="G23" s="1"/>
      <c r="H23" s="1"/>
      <c r="BL23" s="2" t="s">
        <v>14</v>
      </c>
      <c r="BM23" s="2" t="s">
        <v>343</v>
      </c>
      <c r="BN23" s="2">
        <f>INT(INDEX(节奏总纲!$R$4:$R$363,MATCH(BM21,节奏总纲!$Q$4:$Q$363,0)))</f>
        <v>59</v>
      </c>
      <c r="BO23" s="2">
        <f>INDEX(其他调用!$AH$5:$AL$364,MATCH(BM21,其他调用!$AG$5:$AG$364,0),MATCH(BL23,其他调用!$AH$4:$AL$4,0))</f>
        <v>1</v>
      </c>
      <c r="BP23" s="2">
        <f>INDEX(其他调用!$H$5:$L$404,MATCH(BM21,其他调用!$B$5:$B$404,0),MATCH(BL23,其他调用!$H$4:$L$4,0))</f>
        <v>0.50486895000000021</v>
      </c>
      <c r="BQ23" s="2">
        <f>INDEX(标准城池设计!$AH$4:$AL$163,MATCH(BN23,标准城池设计!$AA$4:$AA$163,0),MATCH(BL23,标准城池设计!$AH$3:$AL$3,0))</f>
        <v>2403199.1377156666</v>
      </c>
      <c r="BR23" s="2">
        <f>BP23*BQ23/(BP23*BQ23+BP24*BQ24+BP25*BQ25+BP26*BQ26+BP27*BQ27)*INDEX(X$5:X$11,MATCH(BM21,V$5:V$11,0))</f>
        <v>190077025.79705262</v>
      </c>
      <c r="BS23" s="2">
        <f>BR23/(BP23*INDEX(其他调用!$M$5:$M$404,MATCH(BM21,其他调用!$B$5:$B$404,0))*0.5)</f>
        <v>7870826.143990105</v>
      </c>
      <c r="BT23" s="2">
        <f>INT(BS23/10000)*INDEX($BH$5:$BH$11,MATCH(BM21,$BG$5:$BG$11,0))</f>
        <v>3935</v>
      </c>
      <c r="BU23" s="2">
        <v>0</v>
      </c>
      <c r="BV23" s="2">
        <v>0</v>
      </c>
      <c r="BW23" s="2">
        <f>SUM(BT23:BV23)</f>
        <v>3935</v>
      </c>
      <c r="CD23" s="2" t="s">
        <v>372</v>
      </c>
      <c r="CE23" s="41">
        <f t="shared" si="25"/>
        <v>0.32909792936656451</v>
      </c>
      <c r="CF23" s="41">
        <f t="shared" si="25"/>
        <v>0.32316622363899167</v>
      </c>
      <c r="CG23" s="41">
        <f t="shared" si="25"/>
        <v>0.31468866168500736</v>
      </c>
      <c r="CH23" s="41">
        <f t="shared" si="25"/>
        <v>0.29829489043364776</v>
      </c>
      <c r="CI23" s="41">
        <f t="shared" si="25"/>
        <v>0.28912521875470176</v>
      </c>
      <c r="CJ23" s="41">
        <f t="shared" si="25"/>
        <v>0.34645033221324983</v>
      </c>
      <c r="CK23" s="41">
        <f t="shared" si="25"/>
        <v>0.36176712360825886</v>
      </c>
    </row>
    <row r="24" spans="1:89" x14ac:dyDescent="0.2">
      <c r="B24" s="1"/>
      <c r="C24" s="1"/>
      <c r="D24" s="1"/>
      <c r="E24" s="1"/>
      <c r="F24" s="1"/>
      <c r="G24" s="1"/>
      <c r="H24" s="1"/>
      <c r="BL24" s="2" t="s">
        <v>15</v>
      </c>
      <c r="BM24" s="2" t="s">
        <v>343</v>
      </c>
      <c r="BN24" s="2">
        <f>INT(INDEX(节奏总纲!$S$4:$S$363,MATCH(BM21,节奏总纲!$Q$4:$Q$363,0)))</f>
        <v>61</v>
      </c>
      <c r="BO24" s="2">
        <f>INDEX(其他调用!$AH$5:$AL$364,MATCH(BM21,其他调用!$AG$5:$AG$364,0),MATCH(BL24,其他调用!$AH$4:$AL$4,0))</f>
        <v>1.4394602590467995</v>
      </c>
      <c r="BP24" s="2">
        <f>INDEX(其他调用!$H$5:$L$404,MATCH(BM21,其他调用!$B$5:$B$404,0),MATCH(BL24,其他调用!$H$4:$L$4,0))</f>
        <v>0.4489805552799998</v>
      </c>
      <c r="BQ24" s="2">
        <f>INDEX(标准城池设计!$AH$4:$AL$163,MATCH(BN24,标准城池设计!$AA$4:$AA$163,0),MATCH(BL24,标准城池设计!$AH$3:$AL$3,0))</f>
        <v>2741334.4620838393</v>
      </c>
      <c r="BR24" s="2">
        <f>BP24*BQ24/(BP23*BQ23+BP24*BQ24+BP25*BQ25+BP26*BQ26+BP27*BQ27)*INDEX(X$5:X$11,MATCH(BM21,V$5:V$11,0))</f>
        <v>192819416.74951151</v>
      </c>
      <c r="BS24" s="2">
        <f>BR24/(BP24*INDEX(其他调用!$M$5:$M$404,MATCH(BM21,其他调用!$B$5:$B$404,0))*0.5)</f>
        <v>8978268.4318453502</v>
      </c>
      <c r="BT24" s="2">
        <f>INT(BS24/10000)*INDEX($BH$5:$BH$11,MATCH(BM21,$BG$5:$BG$11,0))</f>
        <v>4485</v>
      </c>
      <c r="BU24" s="2">
        <v>0</v>
      </c>
      <c r="BV24" s="2">
        <v>0</v>
      </c>
      <c r="BW24" s="2">
        <f t="shared" ref="BW24:BW27" si="26">SUM(BT24:BV24)</f>
        <v>4485</v>
      </c>
      <c r="CD24" s="2" t="s">
        <v>373</v>
      </c>
      <c r="CE24" s="41">
        <f t="shared" si="25"/>
        <v>0.18276143134306083</v>
      </c>
      <c r="CF24" s="41">
        <f t="shared" si="25"/>
        <v>0.18727256209834844</v>
      </c>
      <c r="CG24" s="41">
        <f t="shared" si="25"/>
        <v>0.16315972935600859</v>
      </c>
      <c r="CH24" s="41">
        <f t="shared" si="25"/>
        <v>0.17872463691374935</v>
      </c>
      <c r="CI24" s="41">
        <f t="shared" si="25"/>
        <v>0.17576950183318421</v>
      </c>
      <c r="CJ24" s="41">
        <f t="shared" si="25"/>
        <v>0.17104364220662316</v>
      </c>
      <c r="CK24" s="41">
        <f t="shared" si="25"/>
        <v>0.16674272608662583</v>
      </c>
    </row>
    <row r="25" spans="1:89" x14ac:dyDescent="0.2">
      <c r="A25" s="2"/>
      <c r="D25" s="1"/>
      <c r="E25" s="1"/>
      <c r="F25" s="1"/>
      <c r="G25" s="1"/>
      <c r="H25" s="1"/>
      <c r="BH25" s="2" t="s">
        <v>385</v>
      </c>
      <c r="BI25" s="2" t="s">
        <v>386</v>
      </c>
      <c r="BJ25" s="2" t="s">
        <v>387</v>
      </c>
      <c r="BL25" s="2" t="s">
        <v>16</v>
      </c>
      <c r="BM25" s="2" t="s">
        <v>342</v>
      </c>
      <c r="BN25" s="2">
        <f>INT(INDEX(节奏总纲!$T$4:$T$363,MATCH(BM21,节奏总纲!$Q$4:$Q$363,0)))</f>
        <v>64</v>
      </c>
      <c r="BO25" s="2">
        <f>INDEX(其他调用!$AH$5:$AL$364,MATCH(BM21,其他调用!$AG$5:$AG$364,0),MATCH(BL25,其他调用!$AH$4:$AL$4,0))</f>
        <v>2.6070496584135214</v>
      </c>
      <c r="BP25" s="2">
        <f>INDEX(其他调用!$H$5:$L$404,MATCH(BM21,其他调用!$B$5:$B$404,0),MATCH(BL25,其他调用!$H$4:$L$4,0))</f>
        <v>3.8033694720000004E-2</v>
      </c>
      <c r="BQ25" s="2">
        <f>INDEX(标准城池设计!$AH$4:$AL$163,MATCH(BN25,标准城池设计!$AA$4:$AA$163,0),MATCH(BL25,标准城池设计!$AH$3:$AL$3,0))</f>
        <v>3332964.9158304399</v>
      </c>
      <c r="BR25" s="2">
        <f>BP25*BQ25/(BP23*BQ23+BP24*BQ24+BP25*BQ25+BP26*BQ26+BP27*BQ27)*INDEX(X$5:X$11,MATCH(BM21,V$5:V$11,0))</f>
        <v>19859141.249463428</v>
      </c>
      <c r="BS25" s="2">
        <f>BR25/(BP25*INDEX(其他调用!$M$5:$M$404,MATCH(BM21,其他调用!$B$5:$B$404,0))*0.5)</f>
        <v>10915944.07838198</v>
      </c>
      <c r="BT25" s="2">
        <f>INT(BS25/10000)*INDEX($BH$5:$BH$11,MATCH(BM21,$BG$5:$BG$11,0))</f>
        <v>5455</v>
      </c>
      <c r="BU25" s="2">
        <f>INT(INDEX($AD$5:$AD$11,MATCH(BM21,$AA$5:$AA$11,0))/(SUM(BP25:BP27)*INDEX(其他调用!$M$5:$M$404,MATCH(BM21,其他调用!$B$5:$B$404,0))*0.5))</f>
        <v>48026</v>
      </c>
      <c r="BV25" s="2">
        <f>INT(INDEX($AS$5:$AS$11,MATCH(BM21,$AF$5:$AF$11,0))/((BO25*BP25+BO26*BP26*BO27*BP27)*INDEX($AH$5:$AH$11,MATCH(BM21,$AF$5:$AF$11,0)))*BO25)</f>
        <v>29984</v>
      </c>
      <c r="BW25" s="2">
        <f t="shared" si="26"/>
        <v>83465</v>
      </c>
      <c r="CD25" s="2" t="s">
        <v>374</v>
      </c>
      <c r="CE25" s="41">
        <f t="shared" si="25"/>
        <v>0.12230704765403469</v>
      </c>
      <c r="CF25" s="41">
        <f t="shared" si="25"/>
        <v>0.13651776554517517</v>
      </c>
      <c r="CG25" s="41">
        <f t="shared" si="25"/>
        <v>0.15433679063872813</v>
      </c>
      <c r="CH25" s="41">
        <f t="shared" si="25"/>
        <v>0.15076401710326826</v>
      </c>
      <c r="CI25" s="41">
        <f t="shared" si="25"/>
        <v>0.15659035658006223</v>
      </c>
      <c r="CJ25" s="41">
        <f t="shared" si="25"/>
        <v>0.13211340992124229</v>
      </c>
      <c r="CK25" s="41">
        <f t="shared" si="25"/>
        <v>0.12190935472358251</v>
      </c>
    </row>
    <row r="26" spans="1:89" x14ac:dyDescent="0.2">
      <c r="A26" s="2" t="s">
        <v>404</v>
      </c>
      <c r="B26" s="2" t="s">
        <v>407</v>
      </c>
      <c r="D26" s="1"/>
      <c r="E26" s="1"/>
      <c r="F26" s="1"/>
      <c r="G26" s="1"/>
      <c r="H26" s="1"/>
      <c r="BG26" s="2" t="s">
        <v>377</v>
      </c>
      <c r="BH26" s="4">
        <v>0.95</v>
      </c>
      <c r="BI26" s="4">
        <v>0.5</v>
      </c>
      <c r="BJ26" s="4">
        <v>0.1</v>
      </c>
      <c r="BL26" s="2" t="s">
        <v>17</v>
      </c>
      <c r="BM26" s="2" t="s">
        <v>342</v>
      </c>
      <c r="BN26" s="2">
        <f>INT(INDEX(节奏总纲!$U$4:$U$363,MATCH(BM21,节奏总纲!$Q$4:$Q$363,0)))</f>
        <v>68</v>
      </c>
      <c r="BO26" s="2">
        <f>INDEX(其他调用!$AH$5:$AL$364,MATCH(BM21,其他调用!$AG$5:$AG$364,0),MATCH(BL26,其他调用!$AH$4:$AL$4,0))</f>
        <v>6.8272067816294966</v>
      </c>
      <c r="BP26" s="2">
        <f>INDEX(其他调用!$H$5:$L$404,MATCH(BM21,其他调用!$B$5:$B$404,0),MATCH(BL26,其他调用!$H$4:$L$4,0))</f>
        <v>6.3888000000000018E-3</v>
      </c>
      <c r="BQ26" s="2">
        <f>INDEX(标准城池设计!$AH$4:$AL$163,MATCH(BN26,标准城池设计!$AA$4:$AA$163,0),MATCH(BL26,标准城池设计!$AH$3:$AL$3,0))</f>
        <v>4597159.1357301585</v>
      </c>
      <c r="BR26" s="2">
        <f>BP26*BQ26/(BP23*BQ23+BP24*BQ24+BP25*BQ25+BP26*BQ26+BP27*BQ27)*INDEX(X$5:X$11,MATCH(BM21,V$5:V$11,0))</f>
        <v>4601188.618137721</v>
      </c>
      <c r="BS26" s="2">
        <f>BR26/(BP26*INDEX(其他调用!$M$5:$M$404,MATCH(BM21,其他调用!$B$5:$B$404,0))*0.5)</f>
        <v>15056363.721893495</v>
      </c>
      <c r="BT26" s="2">
        <f>INT(BS26/10000)*INDEX($BH$5:$BH$11,MATCH(BM21,$BG$5:$BG$11,0))</f>
        <v>7525</v>
      </c>
      <c r="BU26" s="2">
        <f>INT(INDEX($AD$5:$AD$11,MATCH(BM21,$AA$5:$AA$11,0))/(SUM(BP25:BP27)*INDEX(其他调用!$M$5:$M$404,MATCH(BM21,其他调用!$B$5:$B$404,0))*0.5))</f>
        <v>48026</v>
      </c>
      <c r="BV26" s="2">
        <f>INT(INDEX($AS$5:$AS$11,MATCH(BM21,$AF$5:$AF$11,0))/((BO25*BP25+BO26*BP26*BO27*BP27)*INDEX($AH$5:$AH$11,MATCH(BM21,$AF$5:$AF$11,0)))*BO26)</f>
        <v>78520</v>
      </c>
      <c r="BW26" s="2">
        <f t="shared" si="26"/>
        <v>134071</v>
      </c>
    </row>
    <row r="27" spans="1:89" x14ac:dyDescent="0.2">
      <c r="A27" s="2" t="s">
        <v>405</v>
      </c>
      <c r="B27" s="2" t="s">
        <v>408</v>
      </c>
      <c r="D27" s="1"/>
      <c r="E27" s="1"/>
      <c r="F27" s="1"/>
      <c r="G27" s="1"/>
      <c r="H27" s="1"/>
      <c r="M27" s="2" t="s">
        <v>279</v>
      </c>
      <c r="N27" s="2">
        <v>1</v>
      </c>
      <c r="O27" s="4">
        <f t="shared" ref="O27:O43" si="27">N27/SUM($N$27:$N$43)</f>
        <v>2.247191011235955E-2</v>
      </c>
      <c r="BG27" s="2" t="s">
        <v>378</v>
      </c>
      <c r="BH27" s="4">
        <v>0.05</v>
      </c>
      <c r="BI27" s="4">
        <v>0.45</v>
      </c>
      <c r="BJ27" s="4">
        <v>0.5</v>
      </c>
      <c r="BL27" s="2" t="s">
        <v>18</v>
      </c>
      <c r="BM27" s="2" t="s">
        <v>342</v>
      </c>
      <c r="BN27" s="2">
        <f>INT(INDEX(节奏总纲!$V$4:$V$363,MATCH(BM21,节奏总纲!$Q$4:$Q$363,0)))</f>
        <v>77</v>
      </c>
      <c r="BO27" s="2">
        <f>INDEX(其他调用!$AH$5:$AL$364,MATCH(BM21,其他调用!$AG$5:$AG$364,0),MATCH(BL27,其他调用!$AH$4:$AL$4,0))</f>
        <v>22.869868802015649</v>
      </c>
      <c r="BP27" s="2">
        <f>INDEX(其他调用!$H$5:$L$404,MATCH(BM21,其他调用!$B$5:$B$404,0),MATCH(BL27,其他调用!$H$4:$L$4,0))</f>
        <v>1.7279999999999997E-3</v>
      </c>
      <c r="BQ27" s="2">
        <f>INDEX(标准城池设计!$AH$4:$AL$163,MATCH(BN27,标准城池设计!$AA$4:$AA$163,0),MATCH(BL27,标准城池设计!$AH$3:$AL$3,0))</f>
        <v>6697947.5829942077</v>
      </c>
      <c r="BR27" s="2">
        <f>BP27*BQ27/(BP23*BQ23+BP24*BQ24+BP25*BQ25+BP26*BQ26+BP27*BQ27)*INDEX(X$5:X$11,MATCH(BM21,V$5:V$11,0))</f>
        <v>1813204.085834726</v>
      </c>
      <c r="BS27" s="2">
        <f>BR27/(BP27*INDEX(其他调用!$M$5:$M$404,MATCH(BM21,其他调用!$B$5:$B$404,0))*0.5)</f>
        <v>21936750.941670612</v>
      </c>
      <c r="BT27" s="2">
        <f>INT(BS27/10000)*INDEX($BH$5:$BH$11,MATCH(BM21,$BG$5:$BG$11,0))</f>
        <v>10965</v>
      </c>
      <c r="BU27" s="2">
        <f>INT(INDEX($AD$5:$AD$11,MATCH(BM21,$AA$5:$AA$11,0))/(SUM(BP25:BP27)*INDEX(其他调用!$M$5:$M$404,MATCH(BM21,其他调用!$B$5:$B$404,0))*0.5))</f>
        <v>48026</v>
      </c>
      <c r="BV27" s="2">
        <f>INT(INDEX($AS$5:$AS$11,MATCH(BM21,$AF$5:$AF$11,0))/((BO25*BP25+BO26*BP26*BO27*BP27)*INDEX($AH$5:$AH$11,MATCH(BM21,$AF$5:$AF$11,0)))*BO27)</f>
        <v>263029</v>
      </c>
      <c r="BW27" s="2">
        <f t="shared" si="26"/>
        <v>322020</v>
      </c>
    </row>
    <row r="28" spans="1:89" x14ac:dyDescent="0.2">
      <c r="D28" s="1"/>
      <c r="E28" s="1"/>
      <c r="F28" s="1"/>
      <c r="G28" s="1"/>
      <c r="H28" s="1"/>
      <c r="M28" s="2" t="s">
        <v>280</v>
      </c>
      <c r="N28" s="2">
        <v>1</v>
      </c>
      <c r="O28" s="4">
        <f t="shared" si="27"/>
        <v>2.247191011235955E-2</v>
      </c>
      <c r="BG28" s="2" t="s">
        <v>379</v>
      </c>
      <c r="BI28" s="4">
        <v>0.05</v>
      </c>
      <c r="BJ28" s="4">
        <v>0.4</v>
      </c>
    </row>
    <row r="29" spans="1:89" x14ac:dyDescent="0.2">
      <c r="A29" s="2" t="s">
        <v>412</v>
      </c>
      <c r="M29" s="2" t="s">
        <v>264</v>
      </c>
      <c r="N29" s="2">
        <v>4</v>
      </c>
      <c r="O29" s="4">
        <f t="shared" si="27"/>
        <v>8.98876404494382E-2</v>
      </c>
    </row>
    <row r="30" spans="1:89" x14ac:dyDescent="0.2">
      <c r="A30" s="2" t="s">
        <v>406</v>
      </c>
      <c r="M30" s="2" t="s">
        <v>265</v>
      </c>
      <c r="N30" s="2">
        <v>4</v>
      </c>
      <c r="O30" s="4">
        <f t="shared" si="27"/>
        <v>8.98876404494382E-2</v>
      </c>
      <c r="BH30" s="2" t="s">
        <v>389</v>
      </c>
      <c r="BJ30" s="2" t="s">
        <v>388</v>
      </c>
      <c r="BL30" s="2" t="s">
        <v>172</v>
      </c>
      <c r="BM30" s="2">
        <f>BG8</f>
        <v>90</v>
      </c>
    </row>
    <row r="31" spans="1:89" x14ac:dyDescent="0.2">
      <c r="M31" s="2" t="s">
        <v>266</v>
      </c>
      <c r="N31" s="2">
        <v>4</v>
      </c>
      <c r="O31" s="4">
        <f t="shared" si="27"/>
        <v>8.98876404494382E-2</v>
      </c>
      <c r="BH31" s="2" t="s">
        <v>390</v>
      </c>
      <c r="BJ31" s="2" t="s">
        <v>391</v>
      </c>
      <c r="BL31" s="2" t="s">
        <v>341</v>
      </c>
      <c r="BM31" s="2" t="s">
        <v>344</v>
      </c>
      <c r="BN31" s="2" t="s">
        <v>128</v>
      </c>
      <c r="BO31" s="2" t="s">
        <v>356</v>
      </c>
      <c r="BP31" s="2" t="s">
        <v>357</v>
      </c>
      <c r="BQ31" s="2" t="s">
        <v>352</v>
      </c>
      <c r="BR31" s="2" t="s">
        <v>350</v>
      </c>
      <c r="BS31" s="2" t="s">
        <v>351</v>
      </c>
      <c r="BT31" s="6" t="s">
        <v>355</v>
      </c>
      <c r="BU31" s="6" t="s">
        <v>354</v>
      </c>
      <c r="BV31" s="2" t="s">
        <v>353</v>
      </c>
      <c r="BW31" s="2" t="s">
        <v>369</v>
      </c>
    </row>
    <row r="32" spans="1:89" x14ac:dyDescent="0.2">
      <c r="M32" s="2" t="s">
        <v>267</v>
      </c>
      <c r="N32" s="2">
        <v>4</v>
      </c>
      <c r="O32" s="4">
        <f t="shared" si="27"/>
        <v>8.98876404494382E-2</v>
      </c>
      <c r="BL32" s="2" t="s">
        <v>14</v>
      </c>
      <c r="BM32" s="2" t="s">
        <v>343</v>
      </c>
      <c r="BN32" s="2">
        <f>INT(INDEX(节奏总纲!$R$4:$R$363,MATCH(BM30,节奏总纲!$Q$4:$Q$363,0)))</f>
        <v>65</v>
      </c>
      <c r="BO32" s="2">
        <f>INDEX(其他调用!$AH$5:$AL$364,MATCH(BM30,其他调用!$AG$5:$AG$364,0),MATCH(BL32,其他调用!$AH$4:$AL$4,0))</f>
        <v>1</v>
      </c>
      <c r="BP32" s="2">
        <f>INDEX(其他调用!$H$5:$L$404,MATCH(BM30,其他调用!$B$5:$B$404,0),MATCH(BL32,其他调用!$H$4:$L$4,0))</f>
        <v>0.47962550249999997</v>
      </c>
      <c r="BQ32" s="2">
        <f>INDEX(标准城池设计!$AH$4:$AL$163,MATCH(BN32,标准城池设计!$AA$4:$AA$163,0),MATCH(BL32,标准城池设计!$AH$3:$AL$3,0))</f>
        <v>3075894.4129680679</v>
      </c>
      <c r="BR32" s="2">
        <f>BP32*BQ32/(BP32*BQ32+BP33*BQ33+BP34*BQ34+BP35*BQ35+BP36*BQ36)*INDEX(X$5:X$11,MATCH(BM30,V$5:V$11,0))</f>
        <v>276271800.07761794</v>
      </c>
      <c r="BS32" s="2">
        <f>BR32/(BP32*INDEX(其他调用!$M$5:$M$404,MATCH(BM30,其他调用!$B$5:$B$404,0))*0.5)</f>
        <v>11520313.187584013</v>
      </c>
      <c r="BT32" s="2">
        <f>INT(BS32/10000)*INDEX($BH$5:$BH$11,MATCH(BM30,$BG$5:$BG$11,0))</f>
        <v>3456</v>
      </c>
      <c r="BU32" s="2">
        <v>0</v>
      </c>
      <c r="BV32" s="2">
        <v>0</v>
      </c>
      <c r="BW32" s="2">
        <f>SUM(BT32:BV32)</f>
        <v>3456</v>
      </c>
    </row>
    <row r="33" spans="13:83" x14ac:dyDescent="0.2">
      <c r="M33" s="2" t="s">
        <v>268</v>
      </c>
      <c r="N33" s="2">
        <v>2</v>
      </c>
      <c r="O33" s="4">
        <f t="shared" si="27"/>
        <v>4.49438202247191E-2</v>
      </c>
      <c r="BL33" s="2" t="s">
        <v>15</v>
      </c>
      <c r="BM33" s="2" t="s">
        <v>343</v>
      </c>
      <c r="BN33" s="2">
        <f>INT(INDEX(节奏总纲!$S$4:$S$363,MATCH(BM30,节奏总纲!$Q$4:$Q$363,0)))</f>
        <v>67</v>
      </c>
      <c r="BO33" s="2">
        <f>INDEX(其他调用!$AH$5:$AL$364,MATCH(BM30,其他调用!$AG$5:$AG$364,0),MATCH(BL33,其他调用!$AH$4:$AL$4,0))</f>
        <v>1.5397779105985205</v>
      </c>
      <c r="BP33" s="2">
        <f>INDEX(其他调用!$H$5:$L$404,MATCH(BM30,其他调用!$B$5:$B$404,0),MATCH(BL33,其他调用!$H$4:$L$4,0))</f>
        <v>0.47291513735919999</v>
      </c>
      <c r="BQ33" s="2">
        <f>INDEX(标准城池设计!$AH$4:$AL$163,MATCH(BN33,标准城池设计!$AA$4:$AA$163,0),MATCH(BL33,标准城池设计!$AH$3:$AL$3,0))</f>
        <v>3632733.6813022681</v>
      </c>
      <c r="BR33" s="2">
        <f>BP33*BQ33/(BP32*BQ32+BP33*BQ33+BP34*BQ34+BP35*BQ35+BP36*BQ36)*INDEX(X$5:X$11,MATCH(BM30,V$5:V$11,0))</f>
        <v>321721172.55593234</v>
      </c>
      <c r="BS33" s="2">
        <f>BR33/(BP33*INDEX(其他调用!$M$5:$M$404,MATCH(BM30,其他调用!$B$5:$B$404,0))*0.5)</f>
        <v>13605873.322323825</v>
      </c>
      <c r="BT33" s="2">
        <f>INT(BS33/10000)*INDEX($BH$5:$BH$11,MATCH(BM30,$BG$5:$BG$11,0))</f>
        <v>4080</v>
      </c>
      <c r="BU33" s="2">
        <v>0</v>
      </c>
      <c r="BV33" s="2">
        <v>0</v>
      </c>
      <c r="BW33" s="2">
        <f t="shared" ref="BW33:BW36" si="28">SUM(BT33:BV33)</f>
        <v>4080</v>
      </c>
    </row>
    <row r="34" spans="13:83" x14ac:dyDescent="0.2">
      <c r="M34" s="2" t="s">
        <v>269</v>
      </c>
      <c r="N34" s="2">
        <v>2</v>
      </c>
      <c r="O34" s="4">
        <f t="shared" si="27"/>
        <v>4.49438202247191E-2</v>
      </c>
      <c r="BH34" s="2" t="s">
        <v>377</v>
      </c>
      <c r="BI34" s="2" t="s">
        <v>377</v>
      </c>
      <c r="BJ34" s="2" t="s">
        <v>377</v>
      </c>
      <c r="BL34" s="2" t="s">
        <v>16</v>
      </c>
      <c r="BM34" s="2" t="s">
        <v>342</v>
      </c>
      <c r="BN34" s="2">
        <f>INT(INDEX(节奏总纲!$T$4:$T$363,MATCH(BM30,节奏总纲!$Q$4:$Q$363,0)))</f>
        <v>69</v>
      </c>
      <c r="BO34" s="2">
        <f>INDEX(其他调用!$AH$5:$AL$364,MATCH(BM30,其他调用!$AG$5:$AG$364,0),MATCH(BL34,其他调用!$AH$4:$AL$4,0))</f>
        <v>2.8238866482921487</v>
      </c>
      <c r="BP34" s="2">
        <f>INDEX(其他调用!$H$5:$L$404,MATCH(BM30,其他调用!$B$5:$B$404,0),MATCH(BL34,其他调用!$H$4:$L$4,0))</f>
        <v>3.8604200140800002E-2</v>
      </c>
      <c r="BQ34" s="2">
        <f>INDEX(标准城池设计!$AH$4:$AL$163,MATCH(BN34,标准城池设计!$AA$4:$AA$163,0),MATCH(BL34,标准城池设计!$AH$3:$AL$3,0))</f>
        <v>4176816.2369873957</v>
      </c>
      <c r="BR34" s="2">
        <f>BP34*BQ34/(BP32*BQ32+BP33*BQ33+BP34*BQ34+BP35*BQ35+BP36*BQ36)*INDEX(X$5:X$11,MATCH(BM30,V$5:V$11,0))</f>
        <v>30195539.530709486</v>
      </c>
      <c r="BS34" s="2">
        <f>BR34/(BP34*INDEX(其他调用!$M$5:$M$404,MATCH(BM30,其他调用!$B$5:$B$404,0))*0.5)</f>
        <v>15643655.053376654</v>
      </c>
      <c r="BT34" s="2">
        <f>INT(BS34/10000)*INDEX($BH$5:$BH$11,MATCH(BM30,$BG$5:$BG$11,0))</f>
        <v>4692</v>
      </c>
      <c r="BU34" s="2">
        <f>INT(INDEX($AD$5:$AD$11,MATCH(BM30,$AA$5:$AA$11,0))/(SUM(BP34:BP36)*INDEX(其他调用!$M$5:$M$404,MATCH(BM30,其他调用!$B$5:$B$404,0))*0.5))</f>
        <v>48361</v>
      </c>
      <c r="BV34" s="2">
        <f>INT(INDEX($AS$5:$AS$11,MATCH(BM30,$AF$5:$AF$11,0))/((BO34*BP34+BO35*BP35*BO36*BP36)*INDEX($AH$5:$AH$11,MATCH(BM30,$AF$5:$AF$11,0)))*BO34)</f>
        <v>26601</v>
      </c>
      <c r="BW34" s="2">
        <f t="shared" si="28"/>
        <v>79654</v>
      </c>
    </row>
    <row r="35" spans="13:83" x14ac:dyDescent="0.2">
      <c r="M35" s="2" t="s">
        <v>270</v>
      </c>
      <c r="N35" s="2">
        <v>2</v>
      </c>
      <c r="O35" s="4">
        <f t="shared" si="27"/>
        <v>4.49438202247191E-2</v>
      </c>
      <c r="BI35" s="2" t="s">
        <v>378</v>
      </c>
      <c r="BJ35" s="2" t="s">
        <v>378</v>
      </c>
      <c r="BL35" s="2" t="s">
        <v>17</v>
      </c>
      <c r="BM35" s="2" t="s">
        <v>342</v>
      </c>
      <c r="BN35" s="2">
        <f>INT(INDEX(节奏总纲!$U$4:$U$363,MATCH(BM30,节奏总纲!$Q$4:$Q$363,0)))</f>
        <v>74</v>
      </c>
      <c r="BO35" s="2">
        <f>INDEX(其他调用!$AH$5:$AL$364,MATCH(BM30,其他调用!$AG$5:$AG$364,0),MATCH(BL35,其他调用!$AH$4:$AL$4,0))</f>
        <v>6.8664726406805388</v>
      </c>
      <c r="BP35" s="2">
        <f>INDEX(其他调用!$H$5:$L$404,MATCH(BM30,其他调用!$B$5:$B$404,0),MATCH(BL35,其他调用!$H$4:$L$4,0))</f>
        <v>6.8679600000000019E-3</v>
      </c>
      <c r="BQ35" s="2">
        <f>INDEX(标准城池设计!$AH$4:$AL$163,MATCH(BN35,标准城池设计!$AA$4:$AA$163,0),MATCH(BL35,标准城池设计!$AH$3:$AL$3,0))</f>
        <v>5681081.0001559304</v>
      </c>
      <c r="BR35" s="2">
        <f>BP35*BQ35/(BP32*BQ32+BP33*BQ33+BP34*BQ34+BP35*BQ35+BP36*BQ36)*INDEX(X$5:X$11,MATCH(BM30,V$5:V$11,0))</f>
        <v>7306705.5370975081</v>
      </c>
      <c r="BS35" s="2">
        <f>BR35/(BP35*INDEX(其他调用!$M$5:$M$404,MATCH(BM30,其他调用!$B$5:$B$404,0))*0.5)</f>
        <v>21277658.976166159</v>
      </c>
      <c r="BT35" s="2">
        <f>INT(BS35/10000)*INDEX($BH$5:$BH$11,MATCH(BM30,$BG$5:$BG$11,0))</f>
        <v>6381</v>
      </c>
      <c r="BU35" s="2">
        <f>INT(INDEX($AD$5:$AD$11,MATCH(BM30,$AA$5:$AA$11,0))/(SUM(BP34:BP36)*INDEX(其他调用!$M$5:$M$404,MATCH(BM30,其他调用!$B$5:$B$404,0))*0.5))</f>
        <v>48361</v>
      </c>
      <c r="BV35" s="2">
        <f>INT(INDEX($AS$5:$AS$11,MATCH(BM30,$AF$5:$AF$11,0))/((BO34*BP34+BO35*BP35*BO36*BP36)*INDEX($AH$5:$AH$11,MATCH(BM30,$AF$5:$AF$11,0)))*BO35)</f>
        <v>64682</v>
      </c>
      <c r="BW35" s="2">
        <f t="shared" si="28"/>
        <v>119424</v>
      </c>
    </row>
    <row r="36" spans="13:83" x14ac:dyDescent="0.2">
      <c r="M36" s="2" t="s">
        <v>271</v>
      </c>
      <c r="N36" s="2">
        <v>2</v>
      </c>
      <c r="O36" s="4">
        <f t="shared" si="27"/>
        <v>4.49438202247191E-2</v>
      </c>
      <c r="BJ36" s="2" t="s">
        <v>379</v>
      </c>
      <c r="BL36" s="2" t="s">
        <v>18</v>
      </c>
      <c r="BM36" s="2" t="s">
        <v>342</v>
      </c>
      <c r="BN36" s="2">
        <f>INT(INDEX(节奏总纲!$V$4:$V$363,MATCH(BM30,节奏总纲!$Q$4:$Q$363,0)))</f>
        <v>83</v>
      </c>
      <c r="BO36" s="2">
        <f>INDEX(其他调用!$AH$5:$AL$364,MATCH(BM30,其他调用!$AG$5:$AG$364,0),MATCH(BL36,其他调用!$AH$4:$AL$4,0))</f>
        <v>24.838857483346079</v>
      </c>
      <c r="BP36" s="2">
        <f>INDEX(其他调用!$H$5:$L$404,MATCH(BM30,其他调用!$B$5:$B$404,0),MATCH(BL36,其他调用!$H$4:$L$4,0))</f>
        <v>1.9871999999999997E-3</v>
      </c>
      <c r="BQ36" s="2">
        <f>INDEX(标准城池设计!$AH$4:$AL$163,MATCH(BN36,标准城池设计!$AA$4:$AA$163,0),MATCH(BL36,标准城池设计!$AH$3:$AL$3,0))</f>
        <v>8362162.0068920525</v>
      </c>
      <c r="BR36" s="2">
        <f>BP36*BQ36/(BP32*BQ32+BP33*BQ33+BP34*BQ34+BP35*BQ35+BP36*BQ36)*INDEX(X$5:X$11,MATCH(BM30,V$5:V$11,0))</f>
        <v>3111881.2986426149</v>
      </c>
      <c r="BS36" s="2">
        <f>BR36/(BP36*INDEX(其他调用!$M$5:$M$404,MATCH(BM30,其他调用!$B$5:$B$404,0))*0.5)</f>
        <v>31319256.226274308</v>
      </c>
      <c r="BT36" s="2">
        <f>INT(BS36/10000)*INDEX($BH$5:$BH$11,MATCH(BM30,$BG$5:$BG$11,0))</f>
        <v>9393</v>
      </c>
      <c r="BU36" s="2">
        <f>INT(INDEX($AD$5:$AD$11,MATCH(BM30,$AA$5:$AA$11,0))/(SUM(BP34:BP36)*INDEX(其他调用!$M$5:$M$404,MATCH(BM30,其他调用!$B$5:$B$404,0))*0.5))</f>
        <v>48361</v>
      </c>
      <c r="BV36" s="2">
        <f>INT(INDEX($AS$5:$AS$11,MATCH(BM30,$AF$5:$AF$11,0))/((BO34*BP34+BO35*BP35*BO36*BP36)*INDEX($AH$5:$AH$11,MATCH(BM30,$AF$5:$AF$11,0)))*BO36)</f>
        <v>233982</v>
      </c>
      <c r="BW36" s="2">
        <f t="shared" si="28"/>
        <v>291736</v>
      </c>
      <c r="CE36" s="41"/>
    </row>
    <row r="37" spans="13:83" x14ac:dyDescent="0.2">
      <c r="M37" s="2" t="s">
        <v>272</v>
      </c>
      <c r="N37" s="2">
        <v>1</v>
      </c>
      <c r="O37" s="4">
        <f t="shared" si="27"/>
        <v>2.247191011235955E-2</v>
      </c>
      <c r="CE37" s="41"/>
    </row>
    <row r="38" spans="13:83" x14ac:dyDescent="0.2">
      <c r="M38" s="2" t="s">
        <v>273</v>
      </c>
      <c r="N38" s="2">
        <v>1</v>
      </c>
      <c r="O38" s="4">
        <f t="shared" si="27"/>
        <v>2.247191011235955E-2</v>
      </c>
      <c r="BH38" s="2">
        <v>1</v>
      </c>
      <c r="BI38" s="2">
        <v>8</v>
      </c>
      <c r="BJ38" s="2">
        <v>23</v>
      </c>
      <c r="CE38" s="41"/>
    </row>
    <row r="39" spans="13:83" x14ac:dyDescent="0.2">
      <c r="M39" s="2" t="s">
        <v>274</v>
      </c>
      <c r="N39" s="2">
        <v>2</v>
      </c>
      <c r="O39" s="4">
        <f t="shared" si="27"/>
        <v>4.49438202247191E-2</v>
      </c>
      <c r="BL39" s="2" t="s">
        <v>172</v>
      </c>
      <c r="BM39" s="2">
        <f>BG9</f>
        <v>150</v>
      </c>
    </row>
    <row r="40" spans="13:83" x14ac:dyDescent="0.2">
      <c r="M40" s="2" t="s">
        <v>275</v>
      </c>
      <c r="N40" s="2">
        <v>2</v>
      </c>
      <c r="O40" s="4">
        <f t="shared" si="27"/>
        <v>4.49438202247191E-2</v>
      </c>
      <c r="BH40" s="2">
        <v>1</v>
      </c>
      <c r="BI40" s="2">
        <v>2</v>
      </c>
      <c r="BJ40" s="2">
        <v>3</v>
      </c>
      <c r="BL40" s="2" t="s">
        <v>341</v>
      </c>
      <c r="BM40" s="2" t="s">
        <v>344</v>
      </c>
      <c r="BN40" s="2" t="s">
        <v>128</v>
      </c>
      <c r="BO40" s="2" t="s">
        <v>356</v>
      </c>
      <c r="BP40" s="2" t="s">
        <v>357</v>
      </c>
      <c r="BQ40" s="2" t="s">
        <v>352</v>
      </c>
      <c r="BR40" s="2" t="s">
        <v>350</v>
      </c>
      <c r="BS40" s="2" t="s">
        <v>351</v>
      </c>
      <c r="BT40" s="6" t="s">
        <v>355</v>
      </c>
      <c r="BU40" s="6" t="s">
        <v>354</v>
      </c>
      <c r="BV40" s="2" t="s">
        <v>353</v>
      </c>
      <c r="BW40" s="2" t="s">
        <v>369</v>
      </c>
    </row>
    <row r="41" spans="13:83" x14ac:dyDescent="0.2">
      <c r="M41" s="2" t="s">
        <v>276</v>
      </c>
      <c r="N41" s="2">
        <v>4</v>
      </c>
      <c r="O41" s="4">
        <f t="shared" si="27"/>
        <v>8.98876404494382E-2</v>
      </c>
      <c r="BL41" s="2" t="s">
        <v>14</v>
      </c>
      <c r="BM41" s="2" t="s">
        <v>343</v>
      </c>
      <c r="BN41" s="2">
        <f>INT(INDEX(节奏总纲!$R$4:$R$363,MATCH(BM39,节奏总纲!$Q$4:$Q$363,0)))</f>
        <v>72</v>
      </c>
      <c r="BO41" s="2">
        <f>INDEX(其他调用!$AH$5:$AL$364,MATCH(BM39,其他调用!$AG$5:$AG$364,0),MATCH(BL41,其他调用!$AH$4:$AL$4,0))</f>
        <v>1</v>
      </c>
      <c r="BP41" s="2">
        <f>INDEX(其他调用!$H$5:$L$404,MATCH(BM39,其他调用!$B$5:$B$404,0),MATCH(BL41,其他调用!$H$4:$L$4,0))</f>
        <v>0.47962550249999997</v>
      </c>
      <c r="BQ41" s="2">
        <f>INDEX(标准城池设计!$AH$4:$AL$163,MATCH(BN41,标准城池设计!$AA$4:$AA$163,0),MATCH(BL41,标准城池设计!$AH$3:$AL$3,0))</f>
        <v>3955668.0381802353</v>
      </c>
      <c r="BR41" s="2">
        <f>BP41*BQ41/(BP41*BQ41+BP42*BQ42+BP43*BQ43+BP44*BQ44+BP45*BQ45)*INDEX(X$5:X$11,MATCH(BM39,V$5:V$11,0))</f>
        <v>401125383.87137175</v>
      </c>
      <c r="BS41" s="2">
        <f>BR41/(BP41*INDEX(其他调用!$M$5:$M$404,MATCH(BM39,其他调用!$B$5:$B$404,0))*0.5)</f>
        <v>16726607.812993502</v>
      </c>
      <c r="BT41" s="2">
        <f>INT(BS41/10000)*INDEX($BH$5:$BH$11,MATCH(BM39,$BG$5:$BG$11,0))</f>
        <v>3344</v>
      </c>
      <c r="BU41" s="2">
        <v>0</v>
      </c>
      <c r="BV41" s="2">
        <v>0</v>
      </c>
      <c r="BW41" s="2">
        <f>SUM(BT41:BV41)</f>
        <v>3344</v>
      </c>
    </row>
    <row r="42" spans="13:83" x14ac:dyDescent="0.2">
      <c r="M42" s="2" t="s">
        <v>277</v>
      </c>
      <c r="N42" s="2">
        <v>3</v>
      </c>
      <c r="O42" s="4">
        <f t="shared" si="27"/>
        <v>6.741573033707865E-2</v>
      </c>
      <c r="BH42" s="2" t="s">
        <v>392</v>
      </c>
      <c r="BI42" s="2" t="s">
        <v>393</v>
      </c>
      <c r="BJ42" s="2" t="s">
        <v>394</v>
      </c>
      <c r="BL42" s="2" t="s">
        <v>15</v>
      </c>
      <c r="BM42" s="2" t="s">
        <v>343</v>
      </c>
      <c r="BN42" s="2">
        <f>INT(INDEX(节奏总纲!$S$4:$S$363,MATCH(BM39,节奏总纲!$Q$4:$Q$363,0)))</f>
        <v>74</v>
      </c>
      <c r="BO42" s="2">
        <f>INDEX(其他调用!$AH$5:$AL$364,MATCH(BM39,其他调用!$AG$5:$AG$364,0),MATCH(BL42,其他调用!$AH$4:$AL$4,0))</f>
        <v>1.6435229037951751</v>
      </c>
      <c r="BP42" s="2">
        <f>INDEX(其他调用!$H$5:$L$404,MATCH(BM39,其他调用!$B$5:$B$404,0),MATCH(BL42,其他调用!$H$4:$L$4,0))</f>
        <v>0.47291513735919999</v>
      </c>
      <c r="BQ42" s="2">
        <f>INDEX(标准城池设计!$AH$4:$AL$163,MATCH(BN42,标准城池设计!$AA$4:$AA$163,0),MATCH(BL42,标准城池设计!$AH$3:$AL$3,0))</f>
        <v>4529950.5615156293</v>
      </c>
      <c r="BR42" s="2">
        <f>BP42*BQ42/(BP41*BQ41+BP42*BQ42+BP43*BQ43+BP44*BQ44+BP45*BQ45)*INDEX(X$5:X$11,MATCH(BM39,V$5:V$11,0))</f>
        <v>452933786.46761984</v>
      </c>
      <c r="BS42" s="2">
        <f>BR42/(BP42*INDEX(其他调用!$M$5:$M$404,MATCH(BM39,其他调用!$B$5:$B$404,0))*0.5)</f>
        <v>19154970.974151608</v>
      </c>
      <c r="BT42" s="2">
        <f>INT(BS42/10000)*INDEX($BH$5:$BH$11,MATCH(BM39,$BG$5:$BG$11,0))</f>
        <v>3830</v>
      </c>
      <c r="BU42" s="2">
        <v>0</v>
      </c>
      <c r="BV42" s="2">
        <v>0</v>
      </c>
      <c r="BW42" s="2">
        <f t="shared" ref="BW42:BW45" si="29">SUM(BT42:BV42)</f>
        <v>3830</v>
      </c>
    </row>
    <row r="43" spans="13:83" x14ac:dyDescent="0.2">
      <c r="M43" s="2" t="s">
        <v>278</v>
      </c>
      <c r="N43" s="2">
        <v>5.5</v>
      </c>
      <c r="O43" s="4">
        <f t="shared" si="27"/>
        <v>0.12359550561797752</v>
      </c>
      <c r="BG43" s="2" t="s">
        <v>395</v>
      </c>
      <c r="BH43" s="2" t="s">
        <v>401</v>
      </c>
      <c r="BI43" s="2" t="s">
        <v>401</v>
      </c>
      <c r="BL43" s="2" t="s">
        <v>16</v>
      </c>
      <c r="BM43" s="2" t="s">
        <v>342</v>
      </c>
      <c r="BN43" s="2">
        <f>INT(INDEX(节奏总纲!$T$4:$T$363,MATCH(BM39,节奏总纲!$Q$4:$Q$363,0)))</f>
        <v>77</v>
      </c>
      <c r="BO43" s="2">
        <f>INDEX(其他调用!$AH$5:$AL$364,MATCH(BM39,其他调用!$AG$5:$AG$364,0),MATCH(BL43,其他调用!$AH$4:$AL$4,0))</f>
        <v>2.8861048735435419</v>
      </c>
      <c r="BP43" s="2">
        <f>INDEX(其他调用!$H$5:$L$404,MATCH(BM39,其他调用!$B$5:$B$404,0),MATCH(BL43,其他调用!$H$4:$L$4,0))</f>
        <v>3.8604200140800002E-2</v>
      </c>
      <c r="BQ43" s="2">
        <f>INDEX(标准城池设计!$AH$4:$AL$163,MATCH(BN43,标准城池设计!$AA$4:$AA$163,0),MATCH(BL43,标准城池设计!$AH$3:$AL$3,0))</f>
        <v>5375002.1379723856</v>
      </c>
      <c r="BR43" s="2">
        <f>BP43*BQ43/(BP41*BQ41+BP42*BQ42+BP43*BQ43+BP44*BQ44+BP45*BQ45)*INDEX(X$5:X$11,MATCH(BM39,V$5:V$11,0))</f>
        <v>43870364.232502274</v>
      </c>
      <c r="BS43" s="2">
        <f>BR43/(BP43*INDEX(其他调用!$M$5:$M$404,MATCH(BM39,其他调用!$B$5:$B$404,0))*0.5)</f>
        <v>22728285.560895003</v>
      </c>
      <c r="BT43" s="2">
        <f>INT(BS43/10000)*INDEX($BH$5:$BH$11,MATCH(BM39,$BG$5:$BG$11,0))</f>
        <v>4544</v>
      </c>
      <c r="BU43" s="2">
        <f>INT(INDEX($AD$5:$AD$11,MATCH(BM39,$AA$5:$AA$11,0))/(SUM(BP43:BP45)*INDEX(其他调用!$M$5:$M$404,MATCH(BM39,其他调用!$B$5:$B$404,0))*0.5))</f>
        <v>46770</v>
      </c>
      <c r="BV43" s="2">
        <f>INT(INDEX($AS$5:$AS$11,MATCH(BM39,$AF$5:$AF$11,0))/((BO43*BP43+BO44*BP44*BO45*BP45)*INDEX($AH$5:$AH$11,MATCH(BM39,$AF$5:$AF$11,0)))*BO43)</f>
        <v>26566</v>
      </c>
      <c r="BW43" s="2">
        <f t="shared" si="29"/>
        <v>77880</v>
      </c>
    </row>
    <row r="44" spans="13:83" x14ac:dyDescent="0.2">
      <c r="BG44" s="2" t="s">
        <v>396</v>
      </c>
      <c r="BH44" s="2" t="s">
        <v>402</v>
      </c>
      <c r="BI44" s="2" t="s">
        <v>401</v>
      </c>
      <c r="BL44" s="2" t="s">
        <v>17</v>
      </c>
      <c r="BM44" s="2" t="s">
        <v>342</v>
      </c>
      <c r="BN44" s="2">
        <f>INT(INDEX(节奏总纲!$U$4:$U$363,MATCH(BM39,节奏总纲!$Q$4:$Q$363,0)))</f>
        <v>81</v>
      </c>
      <c r="BO44" s="2">
        <f>INDEX(其他调用!$AH$5:$AL$364,MATCH(BM39,其他调用!$AG$5:$AG$364,0),MATCH(BL44,其他调用!$AH$4:$AL$4,0))</f>
        <v>8.0107700640728279</v>
      </c>
      <c r="BP44" s="2">
        <f>INDEX(其他调用!$H$5:$L$404,MATCH(BM39,其他调用!$B$5:$B$404,0),MATCH(BL44,其他调用!$H$4:$L$4,0))</f>
        <v>6.8679600000000019E-3</v>
      </c>
      <c r="BQ44" s="2">
        <f>INDEX(标准城池设计!$AH$4:$AL$163,MATCH(BN44,标准城池设计!$AA$4:$AA$163,0),MATCH(BL44,标准城池设计!$AH$3:$AL$3,0))</f>
        <v>7607999.6167001389</v>
      </c>
      <c r="BR44" s="2">
        <f>BP44*BQ44/(BP41*BQ41+BP42*BQ42+BP43*BQ43+BP44*BQ44+BP45*BQ45)*INDEX(X$5:X$11,MATCH(BM39,V$5:V$11,0))</f>
        <v>11047303.347036177</v>
      </c>
      <c r="BS44" s="2">
        <f>BR44/(BP44*INDEX(其他调用!$M$5:$M$404,MATCH(BM39,其他调用!$B$5:$B$404,0))*0.5)</f>
        <v>32170552.382472157</v>
      </c>
      <c r="BT44" s="2">
        <f>INT(BS44/10000)*INDEX($BH$5:$BH$11,MATCH(BM39,$BG$5:$BG$11,0))</f>
        <v>6434</v>
      </c>
      <c r="BU44" s="2">
        <f>INT(INDEX($AD$5:$AD$11,MATCH(BM39,$AA$5:$AA$11,0))/(SUM(BP43:BP45)*INDEX(其他调用!$M$5:$M$404,MATCH(BM39,其他调用!$B$5:$B$404,0))*0.5))</f>
        <v>46770</v>
      </c>
      <c r="BV44" s="2">
        <f>INT(INDEX($AS$5:$AS$11,MATCH(BM39,$AF$5:$AF$11,0))/((BO43*BP43+BO44*BP44*BO45*BP45)*INDEX($AH$5:$AH$11,MATCH(BM39,$AF$5:$AF$11,0)))*BO44)</f>
        <v>73737</v>
      </c>
      <c r="BW44" s="2">
        <f t="shared" si="29"/>
        <v>126941</v>
      </c>
    </row>
    <row r="45" spans="13:83" x14ac:dyDescent="0.2">
      <c r="BG45" s="2" t="s">
        <v>397</v>
      </c>
      <c r="BH45" s="2" t="s">
        <v>402</v>
      </c>
      <c r="BI45" s="2" t="s">
        <v>401</v>
      </c>
      <c r="BL45" s="2" t="s">
        <v>18</v>
      </c>
      <c r="BM45" s="2" t="s">
        <v>342</v>
      </c>
      <c r="BN45" s="2">
        <f>INT(INDEX(节奏总纲!$V$4:$V$363,MATCH(BM39,节奏总纲!$Q$4:$Q$363,0)))</f>
        <v>91</v>
      </c>
      <c r="BO45" s="2">
        <f>INDEX(其他调用!$AH$5:$AL$364,MATCH(BM39,其他调用!$AG$5:$AG$364,0),MATCH(BL45,其他调用!$AH$4:$AL$4,0))</f>
        <v>24.354596635891408</v>
      </c>
      <c r="BP45" s="2">
        <f>INDEX(其他调用!$H$5:$L$404,MATCH(BM39,其他调用!$B$5:$B$404,0),MATCH(BL45,其他调用!$H$4:$L$4,0))</f>
        <v>1.9871999999999997E-3</v>
      </c>
      <c r="BQ45" s="2">
        <f>INDEX(标准城池设计!$AH$4:$AL$163,MATCH(BN45,标准城池设计!$AA$4:$AA$163,0),MATCH(BL45,标准城池设计!$AH$3:$AL$3,0))</f>
        <v>9775899.073932549</v>
      </c>
      <c r="BR45" s="2">
        <f>BP45*BQ45/(BP41*BQ41+BP42*BQ42+BP43*BQ43+BP44*BQ44+BP45*BQ45)*INDEX(X$5:X$11,MATCH(BM39,V$5:V$11,0))</f>
        <v>4107299.0814697691</v>
      </c>
      <c r="BS45" s="2">
        <f>BR45/(BP45*INDEX(其他调用!$M$5:$M$404,MATCH(BM39,其他调用!$B$5:$B$404,0))*0.5)</f>
        <v>41337551.142006539</v>
      </c>
      <c r="BT45" s="2">
        <f>INT(BS45/10000)*INDEX($BH$5:$BH$11,MATCH(BM39,$BG$5:$BG$11,0))</f>
        <v>8266</v>
      </c>
      <c r="BU45" s="2">
        <f>INT(INDEX($AD$5:$AD$11,MATCH(BM39,$AA$5:$AA$11,0))/(SUM(BP43:BP45)*INDEX(其他调用!$M$5:$M$404,MATCH(BM39,其他调用!$B$5:$B$404,0))*0.5))</f>
        <v>46770</v>
      </c>
      <c r="BV45" s="2">
        <f>INT(INDEX($AS$5:$AS$11,MATCH(BM39,$AF$5:$AF$11,0))/((BO43*BP43+BO44*BP44*BO45*BP45)*INDEX($AH$5:$AH$11,MATCH(BM39,$AF$5:$AF$11,0)))*BO45)</f>
        <v>224179</v>
      </c>
      <c r="BW45" s="2">
        <f t="shared" si="29"/>
        <v>279215</v>
      </c>
      <c r="CE45" s="41"/>
    </row>
    <row r="46" spans="13:83" x14ac:dyDescent="0.2">
      <c r="BG46" s="2" t="s">
        <v>398</v>
      </c>
      <c r="BH46" s="2" t="s">
        <v>402</v>
      </c>
      <c r="BI46" s="2" t="s">
        <v>403</v>
      </c>
      <c r="CE46" s="41"/>
    </row>
    <row r="47" spans="13:83" x14ac:dyDescent="0.2">
      <c r="BG47" s="2" t="s">
        <v>399</v>
      </c>
      <c r="BH47" s="2" t="s">
        <v>402</v>
      </c>
      <c r="BI47" s="2" t="s">
        <v>403</v>
      </c>
      <c r="CE47" s="41"/>
    </row>
    <row r="48" spans="13:83" x14ac:dyDescent="0.2">
      <c r="BG48" s="2" t="s">
        <v>400</v>
      </c>
      <c r="BH48" s="2" t="s">
        <v>402</v>
      </c>
      <c r="BI48" s="2" t="s">
        <v>403</v>
      </c>
      <c r="BL48" s="2" t="s">
        <v>172</v>
      </c>
      <c r="BM48" s="2">
        <f>BG10</f>
        <v>210</v>
      </c>
    </row>
    <row r="49" spans="59:83" x14ac:dyDescent="0.2">
      <c r="BL49" s="2" t="s">
        <v>341</v>
      </c>
      <c r="BM49" s="2" t="s">
        <v>344</v>
      </c>
      <c r="BN49" s="2" t="s">
        <v>128</v>
      </c>
      <c r="BO49" s="2" t="s">
        <v>356</v>
      </c>
      <c r="BP49" s="2" t="s">
        <v>357</v>
      </c>
      <c r="BQ49" s="2" t="s">
        <v>352</v>
      </c>
      <c r="BR49" s="2" t="s">
        <v>350</v>
      </c>
      <c r="BS49" s="2" t="s">
        <v>351</v>
      </c>
      <c r="BT49" s="6" t="s">
        <v>355</v>
      </c>
      <c r="BU49" s="6" t="s">
        <v>354</v>
      </c>
      <c r="BV49" s="2" t="s">
        <v>353</v>
      </c>
      <c r="BW49" s="2" t="s">
        <v>369</v>
      </c>
    </row>
    <row r="50" spans="59:83" x14ac:dyDescent="0.2">
      <c r="BL50" s="2" t="s">
        <v>14</v>
      </c>
      <c r="BM50" s="2" t="s">
        <v>343</v>
      </c>
      <c r="BN50" s="2">
        <f>INT(INDEX(节奏总纲!$R$4:$R$363,MATCH(BM48,节奏总纲!$Q$4:$Q$363,0)))</f>
        <v>77</v>
      </c>
      <c r="BO50" s="2">
        <f>INDEX(其他调用!$AH$5:$AL$364,MATCH(BM48,其他调用!$AG$5:$AG$364,0),MATCH(BL50,其他调用!$AH$4:$AL$4,0))</f>
        <v>1</v>
      </c>
      <c r="BP50" s="2">
        <f>INDEX(其他调用!$H$5:$L$404,MATCH(15,其他调用!$B$5:$B$404,0),MATCH(BL50,其他调用!$H$4:$L$4,0))</f>
        <v>0.59774000783699077</v>
      </c>
      <c r="BQ50" s="2">
        <f>INDEX(标准城池设计!$AH$4:$AL$163,MATCH(BN50,标准城池设计!$AA$4:$AA$163,0),MATCH(BL50,标准城池设计!$AH$3:$AL$3,0))</f>
        <v>4659907.0958033856</v>
      </c>
      <c r="BR50" s="2">
        <f>BP50*BQ50/(BP50*BQ50+BP51*BQ51+BP52*BQ52+BP53*BQ53+BP54*BQ54)*INDEX(X$5:X$11,MATCH(BM48,V$5:V$11,0))</f>
        <v>658167368.76800263</v>
      </c>
      <c r="BS50" s="2">
        <f>BR50/(BP50*INDEX(其他调用!$M$5:$M$404,MATCH(BM48,其他调用!$B$5:$B$404,0))*0.5)</f>
        <v>22021861.014445964</v>
      </c>
      <c r="BT50" s="2">
        <f>INT(BS50/10000)*INDEX($BH$5:$BH$11,MATCH(BM48,$BG$5:$BG$11,0))</f>
        <v>4404</v>
      </c>
      <c r="BU50" s="2">
        <v>0</v>
      </c>
      <c r="BV50" s="2">
        <v>0</v>
      </c>
      <c r="BW50" s="2">
        <f>SUM(BT50:BV50)</f>
        <v>4404</v>
      </c>
    </row>
    <row r="51" spans="59:83" x14ac:dyDescent="0.2">
      <c r="BL51" s="2" t="s">
        <v>15</v>
      </c>
      <c r="BM51" s="2" t="s">
        <v>343</v>
      </c>
      <c r="BN51" s="2">
        <f>INT(INDEX(节奏总纲!$S$4:$S$363,MATCH(BM48,节奏总纲!$Q$4:$Q$363,0)))</f>
        <v>79</v>
      </c>
      <c r="BO51" s="2">
        <f>INDEX(其他调用!$AH$5:$AL$364,MATCH(BM48,其他调用!$AG$5:$AG$364,0),MATCH(BL51,其他调用!$AH$4:$AL$4,0))</f>
        <v>1.5951183889070835</v>
      </c>
      <c r="BP51" s="2">
        <f>INDEX(其他调用!$H$5:$L$404,MATCH(15,其他调用!$B$5:$B$404,0),MATCH(BL51,其他调用!$H$4:$L$4,0))</f>
        <v>0.35912949616300921</v>
      </c>
      <c r="BQ51" s="2">
        <f>INDEX(标准城池设计!$AH$4:$AL$163,MATCH(BN51,标准城池设计!$AA$4:$AA$163,0),MATCH(BL51,标准城池设计!$AH$3:$AL$3,0))</f>
        <v>5345340.3566916371</v>
      </c>
      <c r="BR51" s="2">
        <f>BP51*BQ51/(BP50*BQ50+BP51*BQ51+BP52*BQ52+BP53*BQ53+BP54*BQ54)*INDEX(X$5:X$11,MATCH(BM48,V$5:V$11,0))</f>
        <v>453600164.24925065</v>
      </c>
      <c r="BS51" s="2">
        <f>BR51/(BP51*INDEX(其他调用!$M$5:$M$404,MATCH(BM48,其他调用!$B$5:$B$404,0))*0.5)</f>
        <v>25261092.118335005</v>
      </c>
      <c r="BT51" s="2">
        <f>INT(BS51/10000)*INDEX($BH$5:$BH$11,MATCH(BM48,$BG$5:$BG$11,0))</f>
        <v>5052</v>
      </c>
      <c r="BU51" s="2">
        <v>0</v>
      </c>
      <c r="BV51" s="2">
        <v>0</v>
      </c>
      <c r="BW51" s="2">
        <f t="shared" ref="BW51:BW54" si="30">SUM(BT51:BV51)</f>
        <v>5052</v>
      </c>
    </row>
    <row r="52" spans="59:83" x14ac:dyDescent="0.2">
      <c r="BL52" s="2" t="s">
        <v>16</v>
      </c>
      <c r="BM52" s="2" t="s">
        <v>342</v>
      </c>
      <c r="BN52" s="2">
        <f>INT(INDEX(节奏总纲!$T$4:$T$363,MATCH(BM48,节奏总纲!$Q$4:$Q$363,0)))</f>
        <v>82</v>
      </c>
      <c r="BO52" s="2">
        <f>INDEX(其他调用!$AH$5:$AL$364,MATCH(BM48,其他调用!$AG$5:$AG$364,0),MATCH(BL52,其他调用!$AH$4:$AL$4,0))</f>
        <v>2.7811584671156169</v>
      </c>
      <c r="BP52" s="2">
        <f>INDEX(其他调用!$H$5:$L$404,MATCH(15,其他调用!$B$5:$B$404,0),MATCH(BL52,其他调用!$H$4:$L$4,0))</f>
        <v>3.6602495999999998E-2</v>
      </c>
      <c r="BQ52" s="2">
        <f>INDEX(标准城池设计!$AH$4:$AL$163,MATCH(BN52,标准城池设计!$AA$4:$AA$163,0),MATCH(BL52,标准城池设计!$AH$3:$AL$3,0))</f>
        <v>6496732.7755688522</v>
      </c>
      <c r="BR52" s="2">
        <f>BP52*BQ52/(BP50*BQ50+BP51*BQ51+BP52*BQ52+BP53*BQ53+BP54*BQ54)*INDEX(X$5:X$11,MATCH(BM48,V$5:V$11,0))</f>
        <v>56189150.851061508</v>
      </c>
      <c r="BS52" s="2">
        <f>BR52/(BP52*INDEX(其他调用!$M$5:$M$404,MATCH(BM48,其他调用!$B$5:$B$404,0))*0.5)</f>
        <v>30702360.216670204</v>
      </c>
      <c r="BT52" s="2">
        <f>INT(BS52/10000)*INDEX($BH$5:$BH$11,MATCH(BM48,$BG$5:$BG$11,0))</f>
        <v>6140</v>
      </c>
      <c r="BU52" s="2">
        <f>INT(INDEX($AD$5:$AD$11,MATCH(BM48,$AA$5:$AA$11,0))/(SUM(BP52:BP54)*INDEX(其他调用!$M$5:$M$404,MATCH(BM48,其他调用!$B$5:$B$404,0))*0.5))</f>
        <v>54100</v>
      </c>
      <c r="BV52" s="2">
        <f>INT(INDEX($AS$5:$AS$11,MATCH(BM48,$AF$5:$AF$11,0))/((BO52*BP52+BO53*BP53*BO54*BP54)*INDEX($AH$5:$AH$11,MATCH(BM48,$AF$5:$AF$11,0)))*BO52)</f>
        <v>29880</v>
      </c>
      <c r="BW52" s="2">
        <f t="shared" si="30"/>
        <v>90120</v>
      </c>
    </row>
    <row r="53" spans="59:83" x14ac:dyDescent="0.2">
      <c r="BL53" s="2" t="s">
        <v>17</v>
      </c>
      <c r="BM53" s="2" t="s">
        <v>342</v>
      </c>
      <c r="BN53" s="2">
        <f>INT(INDEX(节奏总纲!$U$4:$U$363,MATCH(BM48,节奏总纲!$Q$4:$Q$363,0)))</f>
        <v>86</v>
      </c>
      <c r="BO53" s="2">
        <f>INDEX(其他调用!$AH$5:$AL$364,MATCH(BM48,其他调用!$AG$5:$AG$364,0),MATCH(BL53,其他调用!$AH$4:$AL$4,0))</f>
        <v>8.076858899002918</v>
      </c>
      <c r="BP53" s="2">
        <f>INDEX(其他调用!$H$5:$L$404,MATCH(15,其他调用!$B$5:$B$404,0),MATCH(BL53,其他调用!$H$4:$L$4,0))</f>
        <v>5.3130000000000009E-3</v>
      </c>
      <c r="BQ53" s="2">
        <f>INDEX(标准城池设计!$AH$4:$AL$163,MATCH(BN53,标准城池设计!$AA$4:$AA$163,0),MATCH(BL53,标准城池设计!$AH$3:$AL$3,0))</f>
        <v>8480542.2077785768</v>
      </c>
      <c r="BR53" s="2">
        <f>BP53*BQ53/(BP50*BQ50+BP51*BQ51+BP52*BQ52+BP53*BQ53+BP54*BQ54)*INDEX(X$5:X$11,MATCH(BM48,V$5:V$11,0))</f>
        <v>10646581.900308771</v>
      </c>
      <c r="BS53" s="2">
        <f>BR53/(BP53*INDEX(其他调用!$M$5:$M$404,MATCH(BM48,其他调用!$B$5:$B$404,0))*0.5)</f>
        <v>40077477.509161562</v>
      </c>
      <c r="BT53" s="2">
        <f>INT(BS53/10000)*INDEX($BH$5:$BH$11,MATCH(BM48,$BG$5:$BG$11,0))</f>
        <v>8014</v>
      </c>
      <c r="BU53" s="2">
        <f>INT(INDEX($AD$5:$AD$11,MATCH(BM48,$AA$5:$AA$11,0))/(SUM(BP52:BP54)*INDEX(其他调用!$M$5:$M$404,MATCH(BM48,其他调用!$B$5:$B$404,0))*0.5))</f>
        <v>54100</v>
      </c>
      <c r="BV53" s="2">
        <f>INT(INDEX($AS$5:$AS$11,MATCH(BM48,$AF$5:$AF$11,0))/((BO52*BP52+BO53*BP53*BO54*BP54)*INDEX($AH$5:$AH$11,MATCH(BM48,$AF$5:$AF$11,0)))*BO53)</f>
        <v>86776</v>
      </c>
      <c r="BW53" s="2">
        <f t="shared" si="30"/>
        <v>148890</v>
      </c>
    </row>
    <row r="54" spans="59:83" x14ac:dyDescent="0.2">
      <c r="BG54" s="2" t="s">
        <v>410</v>
      </c>
      <c r="BH54" s="2" t="s">
        <v>411</v>
      </c>
      <c r="BL54" s="2" t="s">
        <v>18</v>
      </c>
      <c r="BM54" s="2" t="s">
        <v>342</v>
      </c>
      <c r="BN54" s="2">
        <f>INT(INDEX(节奏总纲!$V$4:$V$363,MATCH(BM48,节奏总纲!$Q$4:$Q$363,0)))</f>
        <v>96</v>
      </c>
      <c r="BO54" s="2">
        <f>INDEX(其他调用!$AH$5:$AL$364,MATCH(BM48,其他调用!$AG$5:$AG$364,0),MATCH(BL54,其他调用!$AH$4:$AL$4,0))</f>
        <v>18.964028332879433</v>
      </c>
      <c r="BP54" s="2">
        <f>INDEX(其他调用!$H$5:$L$404,MATCH(15,其他调用!$B$5:$B$404,0),MATCH(BL54,其他调用!$H$4:$L$4,0))</f>
        <v>1.2149999999999999E-3</v>
      </c>
      <c r="BQ54" s="2">
        <f>INDEX(标准城池设计!$AH$4:$AL$163,MATCH(BN54,标准城池设计!$AA$4:$AA$163,0),MATCH(BL54,标准城池设计!$AH$3:$AL$3,0))</f>
        <v>10574779.498603787</v>
      </c>
      <c r="BR54" s="2">
        <f>BP54*BQ54/(BP50*BQ50+BP51*BQ51+BP52*BQ52+BP53*BQ53+BP54*BQ54)*INDEX(X$5:X$11,MATCH(BM48,V$5:V$11,0))</f>
        <v>3035948.2313763541</v>
      </c>
      <c r="BS54" s="2">
        <f>BR54/(BP54*INDEX(其他调用!$M$5:$M$404,MATCH(BM48,其他调用!$B$5:$B$404,0))*0.5)</f>
        <v>49974456.483561389</v>
      </c>
      <c r="BT54" s="2">
        <f>INT(BS54/10000)*INDEX($BH$5:$BH$11,MATCH(BM48,$BG$5:$BG$11,0))</f>
        <v>9994</v>
      </c>
      <c r="BU54" s="2">
        <f>INT(INDEX($AD$5:$AD$11,MATCH(BM48,$AA$5:$AA$11,0))/(SUM(BP52:BP54)*INDEX(其他调用!$M$5:$M$404,MATCH(BM48,其他调用!$B$5:$B$404,0))*0.5))</f>
        <v>54100</v>
      </c>
      <c r="BV54" s="2">
        <f>INT(INDEX($AS$5:$AS$11,MATCH(BM48,$AF$5:$AF$11,0))/((BO52*BP52+BO53*BP53*BO54*BP54)*INDEX($AH$5:$AH$11,MATCH(BM48,$AF$5:$AF$11,0)))*BO54)</f>
        <v>203746</v>
      </c>
      <c r="BW54" s="2">
        <f t="shared" si="30"/>
        <v>267840</v>
      </c>
      <c r="CE54" s="41"/>
    </row>
    <row r="55" spans="59:83" x14ac:dyDescent="0.2">
      <c r="CE55" s="41"/>
    </row>
    <row r="56" spans="59:83" x14ac:dyDescent="0.2">
      <c r="CE56" s="41"/>
    </row>
    <row r="57" spans="59:83" x14ac:dyDescent="0.2">
      <c r="BG57" s="2" t="s">
        <v>409</v>
      </c>
      <c r="BL57" s="2" t="s">
        <v>172</v>
      </c>
      <c r="BM57" s="2">
        <f>BG11</f>
        <v>360</v>
      </c>
    </row>
    <row r="58" spans="59:83" x14ac:dyDescent="0.2">
      <c r="BG58" s="2">
        <v>1</v>
      </c>
      <c r="BL58" s="2" t="s">
        <v>341</v>
      </c>
      <c r="BM58" s="2" t="s">
        <v>344</v>
      </c>
      <c r="BN58" s="2" t="s">
        <v>128</v>
      </c>
      <c r="BO58" s="2" t="s">
        <v>356</v>
      </c>
      <c r="BP58" s="2" t="s">
        <v>357</v>
      </c>
      <c r="BQ58" s="2" t="s">
        <v>352</v>
      </c>
      <c r="BR58" s="2" t="s">
        <v>350</v>
      </c>
      <c r="BS58" s="2" t="s">
        <v>351</v>
      </c>
      <c r="BT58" s="6" t="s">
        <v>355</v>
      </c>
      <c r="BU58" s="6" t="s">
        <v>354</v>
      </c>
      <c r="BV58" s="2" t="s">
        <v>353</v>
      </c>
      <c r="BW58" s="2" t="s">
        <v>369</v>
      </c>
    </row>
    <row r="59" spans="59:83" x14ac:dyDescent="0.2">
      <c r="BG59" s="2">
        <v>2</v>
      </c>
      <c r="BL59" s="2" t="s">
        <v>14</v>
      </c>
      <c r="BM59" s="2" t="s">
        <v>343</v>
      </c>
      <c r="BN59" s="2">
        <f>INT(INDEX(节奏总纲!$R$4:$R$363,MATCH(BM57,节奏总纲!$Q$4:$Q$363,0)))</f>
        <v>84</v>
      </c>
      <c r="BO59" s="2">
        <f>INDEX(其他调用!$AH$5:$AL$364,MATCH(BM57,其他调用!$AG$5:$AG$364,0),MATCH(BL59,其他调用!$AH$4:$AL$4,0))</f>
        <v>1</v>
      </c>
      <c r="BP59" s="2">
        <f>INDEX(其他调用!$H$5:$L$404,MATCH(15,其他调用!$B$5:$B$404,0),MATCH(BL59,其他调用!$H$4:$L$4,0))</f>
        <v>0.59774000783699077</v>
      </c>
      <c r="BQ59" s="2">
        <f>INDEX(标准城池设计!$AH$4:$AL$163,MATCH(BN59,标准城池设计!$AA$4:$AA$163,0),MATCH(BL59,标准城池设计!$AH$3:$AL$3,0))</f>
        <v>5779840.8920123428</v>
      </c>
      <c r="BR59" s="2">
        <f>BP59*BQ59/(BP59*BQ59+BP60*BQ60+BP61*BQ61+BP62*BQ62+BP63*BQ63)*INDEX(X$5:X$11,MATCH(BM57,V$5:V$11,0))</f>
        <v>676448001.51419151</v>
      </c>
      <c r="BS59" s="2">
        <f>BR59/(BP59*INDEX(其他调用!$M$5:$M$404,MATCH(BM57,其他调用!$B$5:$B$404,0))*0.5)</f>
        <v>22633519.344372381</v>
      </c>
      <c r="BT59" s="2">
        <f>INT(BS59/10000)*INDEX($BH$5:$BH$11,MATCH(BM57,$BG$5:$BG$11,0))</f>
        <v>4526</v>
      </c>
      <c r="BU59" s="2">
        <v>0</v>
      </c>
      <c r="BV59" s="2">
        <v>0</v>
      </c>
      <c r="BW59" s="2">
        <f>SUM(BT59:BV59)</f>
        <v>4526</v>
      </c>
    </row>
    <row r="60" spans="59:83" x14ac:dyDescent="0.2">
      <c r="BG60" s="2">
        <v>3</v>
      </c>
      <c r="BL60" s="2" t="s">
        <v>15</v>
      </c>
      <c r="BM60" s="2" t="s">
        <v>343</v>
      </c>
      <c r="BN60" s="2">
        <f>INT(INDEX(节奏总纲!$S$4:$S$363,MATCH(BM57,节奏总纲!$Q$4:$Q$363,0)))</f>
        <v>87</v>
      </c>
      <c r="BO60" s="2">
        <f>INDEX(其他调用!$AH$5:$AL$364,MATCH(BM57,其他调用!$AG$5:$AG$364,0),MATCH(BL60,其他调用!$AH$4:$AL$4,0))</f>
        <v>1.7492057038805837</v>
      </c>
      <c r="BP60" s="2">
        <f>INDEX(其他调用!$H$5:$L$404,MATCH(15,其他调用!$B$5:$B$404,0),MATCH(BL60,其他调用!$H$4:$L$4,0))</f>
        <v>0.35912949616300921</v>
      </c>
      <c r="BQ60" s="2">
        <f>INDEX(标准城池设计!$AH$4:$AL$163,MATCH(BN60,标准城池设计!$AA$4:$AA$163,0),MATCH(BL60,标准城池设计!$AH$3:$AL$3,0))</f>
        <v>6908705.6681345999</v>
      </c>
      <c r="BR60" s="2">
        <f>BP60*BQ60/(BP59*BQ59+BP60*BQ60+BP61*BQ61+BP62*BQ62+BP63*BQ63)*INDEX(X$5:X$11,MATCH(BM57,V$5:V$11,0))</f>
        <v>485796047.34851307</v>
      </c>
      <c r="BS60" s="2">
        <f>BR60/(BP60*INDEX(其他调用!$M$5:$M$404,MATCH(BM57,其他调用!$B$5:$B$404,0))*0.5)</f>
        <v>27054087.872972138</v>
      </c>
      <c r="BT60" s="2">
        <f>INT(BS60/10000)*INDEX($BH$5:$BH$11,MATCH(BM57,$BG$5:$BG$11,0))</f>
        <v>5410</v>
      </c>
      <c r="BU60" s="2">
        <v>0</v>
      </c>
      <c r="BV60" s="2">
        <v>0</v>
      </c>
      <c r="BW60" s="2">
        <f t="shared" ref="BW60:BW63" si="31">SUM(BT60:BV60)</f>
        <v>5410</v>
      </c>
    </row>
    <row r="61" spans="59:83" x14ac:dyDescent="0.2">
      <c r="BG61" s="2">
        <v>4</v>
      </c>
      <c r="BL61" s="2" t="s">
        <v>16</v>
      </c>
      <c r="BM61" s="2" t="s">
        <v>342</v>
      </c>
      <c r="BN61" s="2">
        <f>INT(INDEX(节奏总纲!$T$4:$T$363,MATCH(BM57,节奏总纲!$Q$4:$Q$363,0)))</f>
        <v>90</v>
      </c>
      <c r="BO61" s="2">
        <f>INDEX(其他调用!$AH$5:$AL$364,MATCH(BM57,其他调用!$AG$5:$AG$364,0),MATCH(BL61,其他调用!$AH$4:$AL$4,0))</f>
        <v>3.2349038378973454</v>
      </c>
      <c r="BP61" s="2">
        <f>INDEX(其他调用!$H$5:$L$404,MATCH(15,其他调用!$B$5:$B$404,0),MATCH(BL61,其他调用!$H$4:$L$4,0))</f>
        <v>3.6602495999999998E-2</v>
      </c>
      <c r="BQ61" s="2">
        <f>INDEX(标准城池设计!$AH$4:$AL$163,MATCH(BN61,标准城池设计!$AA$4:$AA$163,0),MATCH(BL61,标准城池设计!$AH$3:$AL$3,0))</f>
        <v>8555623.8807184156</v>
      </c>
      <c r="BR61" s="2">
        <f>BP61*BQ61/(BP59*BQ59+BP60*BQ60+BP61*BQ61+BP62*BQ62+BP63*BQ63)*INDEX(X$5:X$11,MATCH(BM57,V$5:V$11,0))</f>
        <v>61315263.037324116</v>
      </c>
      <c r="BS61" s="2">
        <f>BR61/(BP61*INDEX(其他调用!$M$5:$M$404,MATCH(BM57,其他调用!$B$5:$B$404,0))*0.5)</f>
        <v>33503323.400308065</v>
      </c>
      <c r="BT61" s="2">
        <f>INT(BS61/10000)*INDEX($BH$5:$BH$11,MATCH(BM57,$BG$5:$BG$11,0))</f>
        <v>6700</v>
      </c>
      <c r="BU61" s="2">
        <f>INT(INDEX($AD$5:$AD$11,MATCH(BM57,$AA$5:$AA$11,0))/(SUM(BP61:BP63)*INDEX(其他调用!$M$5:$M$404,MATCH(BM57,其他调用!$B$5:$B$404,0))*0.5))</f>
        <v>52862</v>
      </c>
      <c r="BV61" s="2">
        <f>INT(INDEX($AS$5:$AS$11,MATCH(BM57,$AF$5:$AF$11,0))/((BO61*BP61+BO62*BP62*BO63*BP63)*INDEX($AH$5:$AH$11,MATCH(BM57,$AF$5:$AF$11,0)))*BO61)</f>
        <v>30414</v>
      </c>
      <c r="BW61" s="2">
        <f t="shared" si="31"/>
        <v>89976</v>
      </c>
    </row>
    <row r="62" spans="59:83" x14ac:dyDescent="0.2">
      <c r="BG62" s="2">
        <v>5</v>
      </c>
      <c r="BL62" s="2" t="s">
        <v>17</v>
      </c>
      <c r="BM62" s="2" t="s">
        <v>342</v>
      </c>
      <c r="BN62" s="2">
        <f>INT(INDEX(节奏总纲!$U$4:$U$363,MATCH(BM57,节奏总纲!$Q$4:$Q$363,0)))</f>
        <v>95</v>
      </c>
      <c r="BO62" s="2">
        <f>INDEX(其他调用!$AH$5:$AL$364,MATCH(BM57,其他调用!$AG$5:$AG$364,0),MATCH(BL62,其他调用!$AH$4:$AL$4,0))</f>
        <v>7.976759032156461</v>
      </c>
      <c r="BP62" s="2">
        <f>INDEX(其他调用!$H$5:$L$404,MATCH(15,其他调用!$B$5:$B$404,0),MATCH(BL62,其他调用!$H$4:$L$4,0))</f>
        <v>5.3130000000000009E-3</v>
      </c>
      <c r="BQ62" s="2">
        <f>INDEX(标准城池设计!$AH$4:$AL$163,MATCH(BN62,标准城池设计!$AA$4:$AA$163,0),MATCH(BL62,标准城池设计!$AH$3:$AL$3,0))</f>
        <v>10127235.945438433</v>
      </c>
      <c r="BR62" s="2">
        <f>BP62*BQ62/(BP59*BQ59+BP60*BQ60+BP61*BQ61+BP62*BQ62+BP63*BQ63)*INDEX(X$5:X$11,MATCH(BM57,V$5:V$11,0))</f>
        <v>10535058.561431596</v>
      </c>
      <c r="BS62" s="2">
        <f>BR62/(BP62*INDEX(其他调用!$M$5:$M$404,MATCH(BM57,其他调用!$B$5:$B$404,0))*0.5)</f>
        <v>39657664.45108825</v>
      </c>
      <c r="BT62" s="2">
        <f>INT(BS62/10000)*INDEX($BH$5:$BH$11,MATCH(BM57,$BG$5:$BG$11,0))</f>
        <v>7930</v>
      </c>
      <c r="BU62" s="2">
        <f>INT(INDEX($AD$5:$AD$11,MATCH(BM57,$AA$5:$AA$11,0))/(SUM(BP61:BP63)*INDEX(其他调用!$M$5:$M$404,MATCH(BM57,其他调用!$B$5:$B$404,0))*0.5))</f>
        <v>52862</v>
      </c>
      <c r="BV62" s="2">
        <f>INT(INDEX($AS$5:$AS$11,MATCH(BM57,$AF$5:$AF$11,0))/((BO61*BP61+BO62*BP62*BO63*BP63)*INDEX($AH$5:$AH$11,MATCH(BM57,$AF$5:$AF$11,0)))*BO62)</f>
        <v>74996</v>
      </c>
      <c r="BW62" s="2">
        <f t="shared" si="31"/>
        <v>135788</v>
      </c>
    </row>
    <row r="63" spans="59:83" x14ac:dyDescent="0.2">
      <c r="BG63" s="2">
        <v>6</v>
      </c>
      <c r="BL63" s="2" t="s">
        <v>18</v>
      </c>
      <c r="BM63" s="2" t="s">
        <v>342</v>
      </c>
      <c r="BN63" s="2">
        <f>INT(INDEX(节奏总纲!$V$4:$V$363,MATCH(BM57,节奏总纲!$Q$4:$Q$363,0)))</f>
        <v>103</v>
      </c>
      <c r="BO63" s="2">
        <f>INDEX(其他调用!$AH$5:$AL$364,MATCH(BM57,其他调用!$AG$5:$AG$364,0),MATCH(BL63,其他调用!$AH$4:$AL$4,0))</f>
        <v>13.590708814624755</v>
      </c>
      <c r="BP63" s="2">
        <f>INDEX(其他调用!$H$5:$L$404,MATCH(15,其他调用!$B$5:$B$404,0),MATCH(BL63,其他调用!$H$4:$L$4,0))</f>
        <v>1.2149999999999999E-3</v>
      </c>
      <c r="BQ63" s="2">
        <f>INDEX(标准城池设计!$AH$4:$AL$163,MATCH(BN63,标准城池设计!$AA$4:$AA$163,0),MATCH(BL63,标准城池设计!$AH$3:$AL$3,0))</f>
        <v>11563120.038389133</v>
      </c>
      <c r="BR63" s="2">
        <f>BP63*BQ63/(BP59*BQ59+BP60*BQ60+BP61*BQ61+BP62*BQ62+BP63*BQ63)*INDEX(X$5:X$11,MATCH(BM57,V$5:V$11,0))</f>
        <v>2750790.5385398804</v>
      </c>
      <c r="BS63" s="2">
        <f>BR63/(BP63*INDEX(其他调用!$M$5:$M$404,MATCH(BM57,其他调用!$B$5:$B$404,0))*0.5)</f>
        <v>45280502.692014493</v>
      </c>
      <c r="BT63" s="2">
        <f>INT(BS63/10000)*INDEX($BH$5:$BH$11,MATCH(BM57,$BG$5:$BG$11,0))</f>
        <v>9056</v>
      </c>
      <c r="BU63" s="2">
        <f>INT(INDEX($AD$5:$AD$11,MATCH(BM57,$AA$5:$AA$11,0))/(SUM(BP61:BP63)*INDEX(其他调用!$M$5:$M$404,MATCH(BM57,其他调用!$B$5:$B$404,0))*0.5))</f>
        <v>52862</v>
      </c>
      <c r="BV63" s="2">
        <f>INT(INDEX($AS$5:$AS$11,MATCH(BM57,$AF$5:$AF$11,0))/((BO61*BP61+BO62*BP62*BO63*BP63)*INDEX($AH$5:$AH$11,MATCH(BM57,$AF$5:$AF$11,0)))*BO63)</f>
        <v>127778</v>
      </c>
      <c r="BW63" s="2">
        <f t="shared" si="31"/>
        <v>189696</v>
      </c>
      <c r="CE63" s="41"/>
    </row>
    <row r="64" spans="59:83" x14ac:dyDescent="0.2">
      <c r="BG64" s="2">
        <v>7</v>
      </c>
      <c r="CE64" s="41"/>
    </row>
    <row r="65" spans="59:83" x14ac:dyDescent="0.2">
      <c r="BG65" s="2">
        <v>8</v>
      </c>
      <c r="CE65" s="41"/>
    </row>
    <row r="66" spans="59:83" x14ac:dyDescent="0.2">
      <c r="BG66" s="2">
        <v>9</v>
      </c>
    </row>
    <row r="67" spans="59:83" x14ac:dyDescent="0.2">
      <c r="BG67" s="2">
        <v>10</v>
      </c>
    </row>
    <row r="68" spans="59:83" x14ac:dyDescent="0.2">
      <c r="BG68" s="2">
        <v>11</v>
      </c>
    </row>
    <row r="69" spans="59:83" x14ac:dyDescent="0.2">
      <c r="BG69" s="2">
        <v>12</v>
      </c>
    </row>
    <row r="70" spans="59:83" x14ac:dyDescent="0.2">
      <c r="BG70" s="2">
        <v>13</v>
      </c>
    </row>
    <row r="71" spans="59:83" x14ac:dyDescent="0.2">
      <c r="BG71" s="2">
        <v>14</v>
      </c>
    </row>
    <row r="72" spans="59:83" x14ac:dyDescent="0.2">
      <c r="BG72" s="2">
        <v>15</v>
      </c>
      <c r="CE72" s="41"/>
    </row>
    <row r="73" spans="59:83" x14ac:dyDescent="0.2">
      <c r="BG73" s="2">
        <v>16</v>
      </c>
      <c r="CE73" s="41"/>
    </row>
    <row r="74" spans="59:83" x14ac:dyDescent="0.2">
      <c r="BG74" s="2">
        <v>17</v>
      </c>
      <c r="CE74" s="41"/>
    </row>
    <row r="75" spans="59:83" x14ac:dyDescent="0.2">
      <c r="BG75" s="2">
        <v>18</v>
      </c>
    </row>
    <row r="76" spans="59:83" x14ac:dyDescent="0.2">
      <c r="BG76" s="2">
        <v>19</v>
      </c>
    </row>
    <row r="77" spans="59:83" x14ac:dyDescent="0.2">
      <c r="BG77" s="2">
        <v>20</v>
      </c>
    </row>
    <row r="78" spans="59:83" x14ac:dyDescent="0.2">
      <c r="BG78" s="2">
        <v>21</v>
      </c>
    </row>
    <row r="79" spans="59:83" x14ac:dyDescent="0.2">
      <c r="BG79" s="2">
        <v>22</v>
      </c>
    </row>
    <row r="80" spans="59:83" x14ac:dyDescent="0.2">
      <c r="BG80" s="2">
        <v>23</v>
      </c>
    </row>
    <row r="81" spans="59:83" x14ac:dyDescent="0.2">
      <c r="BG81" s="2">
        <v>24</v>
      </c>
      <c r="CE81" s="41"/>
    </row>
    <row r="82" spans="59:83" x14ac:dyDescent="0.2">
      <c r="BG82" s="2">
        <v>25</v>
      </c>
      <c r="CE82" s="41"/>
    </row>
    <row r="83" spans="59:83" x14ac:dyDescent="0.2">
      <c r="BG83" s="2">
        <v>26</v>
      </c>
      <c r="CE83" s="41"/>
    </row>
    <row r="84" spans="59:83" x14ac:dyDescent="0.2">
      <c r="BG84" s="2">
        <v>27</v>
      </c>
    </row>
    <row r="85" spans="59:83" x14ac:dyDescent="0.2">
      <c r="BG85" s="2">
        <v>28</v>
      </c>
    </row>
    <row r="86" spans="59:83" x14ac:dyDescent="0.2">
      <c r="BG86" s="2">
        <v>29</v>
      </c>
    </row>
    <row r="87" spans="59:83" x14ac:dyDescent="0.2">
      <c r="BG87" s="2">
        <v>30</v>
      </c>
    </row>
    <row r="88" spans="59:83" x14ac:dyDescent="0.2">
      <c r="BG88" s="2">
        <v>31</v>
      </c>
    </row>
    <row r="89" spans="59:83" x14ac:dyDescent="0.2">
      <c r="BG89" s="2">
        <v>32</v>
      </c>
    </row>
    <row r="90" spans="59:83" x14ac:dyDescent="0.2">
      <c r="BG90" s="2">
        <v>33</v>
      </c>
    </row>
    <row r="91" spans="59:83" x14ac:dyDescent="0.2">
      <c r="BG91" s="2">
        <v>34</v>
      </c>
    </row>
    <row r="92" spans="59:83" x14ac:dyDescent="0.2">
      <c r="BG92" s="2">
        <v>35</v>
      </c>
    </row>
    <row r="93" spans="59:83" x14ac:dyDescent="0.2">
      <c r="BG93" s="2">
        <v>36</v>
      </c>
    </row>
    <row r="94" spans="59:83" x14ac:dyDescent="0.2">
      <c r="BG94" s="2">
        <v>37</v>
      </c>
    </row>
    <row r="95" spans="59:83" x14ac:dyDescent="0.2">
      <c r="BG95" s="2">
        <v>38</v>
      </c>
    </row>
    <row r="96" spans="59:83" x14ac:dyDescent="0.2">
      <c r="BG96" s="2">
        <v>39</v>
      </c>
    </row>
    <row r="97" spans="59:59" x14ac:dyDescent="0.2">
      <c r="BG97" s="2">
        <v>40</v>
      </c>
    </row>
    <row r="98" spans="59:59" x14ac:dyDescent="0.2">
      <c r="BG98" s="2">
        <v>41</v>
      </c>
    </row>
    <row r="99" spans="59:59" x14ac:dyDescent="0.2">
      <c r="BG99" s="2">
        <v>42</v>
      </c>
    </row>
    <row r="100" spans="59:59" x14ac:dyDescent="0.2">
      <c r="BG100" s="2">
        <v>43</v>
      </c>
    </row>
    <row r="101" spans="59:59" x14ac:dyDescent="0.2">
      <c r="BG101" s="2">
        <v>44</v>
      </c>
    </row>
    <row r="102" spans="59:59" x14ac:dyDescent="0.2">
      <c r="BG102" s="2">
        <v>45</v>
      </c>
    </row>
    <row r="103" spans="59:59" x14ac:dyDescent="0.2">
      <c r="BG103" s="2">
        <v>46</v>
      </c>
    </row>
    <row r="104" spans="59:59" x14ac:dyDescent="0.2">
      <c r="BG104" s="2">
        <v>47</v>
      </c>
    </row>
    <row r="105" spans="59:59" x14ac:dyDescent="0.2">
      <c r="BG105" s="2">
        <v>48</v>
      </c>
    </row>
    <row r="106" spans="59:59" x14ac:dyDescent="0.2">
      <c r="BG106" s="2">
        <v>49</v>
      </c>
    </row>
    <row r="107" spans="59:59" x14ac:dyDescent="0.2">
      <c r="BG107" s="2">
        <v>50</v>
      </c>
    </row>
    <row r="108" spans="59:59" x14ac:dyDescent="0.2">
      <c r="BG108" s="2">
        <v>51</v>
      </c>
    </row>
    <row r="109" spans="59:59" x14ac:dyDescent="0.2">
      <c r="BG109" s="2">
        <v>52</v>
      </c>
    </row>
    <row r="110" spans="59:59" x14ac:dyDescent="0.2">
      <c r="BG110" s="2">
        <v>53</v>
      </c>
    </row>
    <row r="111" spans="59:59" x14ac:dyDescent="0.2">
      <c r="BG111" s="2">
        <v>54</v>
      </c>
    </row>
    <row r="112" spans="59:59" x14ac:dyDescent="0.2">
      <c r="BG112" s="2">
        <v>55</v>
      </c>
    </row>
    <row r="113" spans="59:59" x14ac:dyDescent="0.2">
      <c r="BG113" s="2">
        <v>56</v>
      </c>
    </row>
    <row r="114" spans="59:59" x14ac:dyDescent="0.2">
      <c r="BG114" s="2">
        <v>57</v>
      </c>
    </row>
    <row r="115" spans="59:59" x14ac:dyDescent="0.2">
      <c r="BG115" s="2">
        <v>58</v>
      </c>
    </row>
    <row r="116" spans="59:59" x14ac:dyDescent="0.2">
      <c r="BG116" s="2">
        <v>59</v>
      </c>
    </row>
    <row r="117" spans="59:59" x14ac:dyDescent="0.2">
      <c r="BG117" s="2">
        <v>60</v>
      </c>
    </row>
  </sheetData>
  <mergeCells count="1">
    <mergeCell ref="CE3:CK3"/>
  </mergeCells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3092F-5388-4827-B506-19F8A3618A2E}">
  <sheetPr codeName="Sheet6">
    <tabColor theme="0" tint="-0.499984740745262"/>
  </sheetPr>
  <dimension ref="C2:HO2140"/>
  <sheetViews>
    <sheetView zoomScaleNormal="100" workbookViewId="0">
      <selection activeCell="J18" sqref="J18"/>
    </sheetView>
  </sheetViews>
  <sheetFormatPr defaultRowHeight="11.25" x14ac:dyDescent="0.2"/>
  <cols>
    <col min="1" max="1" width="3.375" style="1" customWidth="1"/>
    <col min="2" max="2" width="3.625" style="1" customWidth="1"/>
    <col min="3" max="3" width="10.875" style="1" customWidth="1"/>
    <col min="4" max="4" width="24.75" style="1" customWidth="1"/>
    <col min="5" max="5" width="9" style="1"/>
    <col min="6" max="6" width="15" style="1" customWidth="1"/>
    <col min="7" max="7" width="19.75" style="1" customWidth="1"/>
    <col min="8" max="8" width="6.625" style="3" customWidth="1"/>
    <col min="9" max="10" width="9" style="1"/>
    <col min="11" max="11" width="9" style="2"/>
    <col min="12" max="12" width="14.75" style="2" customWidth="1"/>
    <col min="13" max="13" width="12.5" style="1" customWidth="1"/>
    <col min="14" max="14" width="13" style="1" customWidth="1"/>
    <col min="15" max="15" width="12" style="1" customWidth="1"/>
    <col min="16" max="18" width="12.25" style="1" customWidth="1"/>
    <col min="19" max="19" width="14.75" style="2" customWidth="1"/>
    <col min="20" max="20" width="12.5" style="1" customWidth="1"/>
    <col min="21" max="21" width="13" style="1" customWidth="1"/>
    <col min="22" max="22" width="12" style="1" customWidth="1"/>
    <col min="23" max="25" width="12.25" style="1" customWidth="1"/>
    <col min="26" max="26" width="14.75" style="2" customWidth="1"/>
    <col min="27" max="27" width="12.5" style="1" customWidth="1"/>
    <col min="28" max="28" width="13" style="1" customWidth="1"/>
    <col min="29" max="29" width="12" style="1" customWidth="1"/>
    <col min="30" max="32" width="12.25" style="1" customWidth="1"/>
    <col min="33" max="33" width="14.75" style="2" customWidth="1"/>
    <col min="34" max="34" width="12.5" style="1" customWidth="1"/>
    <col min="35" max="35" width="13" style="1" customWidth="1"/>
    <col min="36" max="36" width="12" style="1" customWidth="1"/>
    <col min="37" max="39" width="12.25" style="1" customWidth="1"/>
    <col min="40" max="40" width="14.75" style="2" customWidth="1"/>
    <col min="41" max="41" width="12.5" style="1" customWidth="1"/>
    <col min="42" max="42" width="13" style="1" customWidth="1"/>
    <col min="43" max="43" width="12" style="1" customWidth="1"/>
    <col min="44" max="46" width="12.25" style="1" customWidth="1"/>
    <col min="47" max="47" width="5.875" style="1" customWidth="1"/>
    <col min="48" max="62" width="8.625" style="2" customWidth="1"/>
    <col min="63" max="63" width="12.25" style="1" customWidth="1"/>
    <col min="64" max="64" width="8.375" style="1" customWidth="1"/>
    <col min="65" max="66" width="7.5" style="1" customWidth="1"/>
    <col min="67" max="67" width="6.875" style="1" customWidth="1"/>
    <col min="68" max="68" width="7.5" style="1" customWidth="1"/>
    <col min="69" max="69" width="8.375" style="1" customWidth="1"/>
    <col min="70" max="70" width="7.5" style="1" customWidth="1"/>
    <col min="71" max="71" width="12.25" style="1" customWidth="1"/>
    <col min="72" max="72" width="3.5" style="3" customWidth="1"/>
    <col min="73" max="73" width="9" style="1"/>
    <col min="74" max="74" width="7.625" style="1" customWidth="1"/>
    <col min="75" max="75" width="12.375" style="2" customWidth="1"/>
    <col min="76" max="76" width="17.125" style="2" customWidth="1"/>
    <col min="77" max="77" width="15.625" style="2" customWidth="1"/>
    <col min="78" max="79" width="16.375" style="2" customWidth="1"/>
    <col min="80" max="80" width="9" style="1" customWidth="1"/>
    <col min="81" max="81" width="3.5" style="3" customWidth="1"/>
    <col min="82" max="82" width="9" style="1" customWidth="1"/>
    <col min="83" max="83" width="11.125" style="1" customWidth="1"/>
    <col min="84" max="84" width="8.75" style="2" customWidth="1"/>
    <col min="85" max="87" width="7.125" style="2" customWidth="1"/>
    <col min="88" max="88" width="9.5" style="2" customWidth="1"/>
    <col min="89" max="90" width="8.75" style="2" customWidth="1"/>
    <col min="91" max="93" width="7.125" style="2" customWidth="1"/>
    <col min="94" max="94" width="9.5" style="2" customWidth="1"/>
    <col min="95" max="96" width="8.75" style="2" customWidth="1"/>
    <col min="97" max="99" width="7.125" style="2" customWidth="1"/>
    <col min="100" max="100" width="9.5" style="2" customWidth="1"/>
    <col min="101" max="102" width="8.75" style="2" customWidth="1"/>
    <col min="103" max="105" width="7.125" style="2" customWidth="1"/>
    <col min="106" max="106" width="9.5" style="2" customWidth="1"/>
    <col min="107" max="108" width="8.75" style="2" customWidth="1"/>
    <col min="109" max="111" width="7.125" style="2" customWidth="1"/>
    <col min="112" max="112" width="9.5" style="2" customWidth="1"/>
    <col min="113" max="114" width="8.75" style="2" customWidth="1"/>
    <col min="115" max="115" width="9" style="1" customWidth="1"/>
    <col min="116" max="116" width="10.625" style="2" customWidth="1"/>
    <col min="117" max="117" width="11.5" style="2" customWidth="1"/>
    <col min="118" max="118" width="10.875" style="2" customWidth="1"/>
    <col min="119" max="119" width="10.625" style="2" customWidth="1"/>
    <col min="120" max="120" width="11.625" style="2" customWidth="1"/>
    <col min="121" max="121" width="10.75" style="1" customWidth="1"/>
    <col min="122" max="123" width="9" style="1" customWidth="1"/>
    <col min="124" max="124" width="9" style="2" customWidth="1"/>
    <col min="125" max="125" width="13.5" style="2" customWidth="1"/>
    <col min="126" max="126" width="9" style="1" customWidth="1"/>
    <col min="127" max="127" width="9" style="2"/>
    <col min="128" max="128" width="9" style="1" customWidth="1"/>
    <col min="129" max="129" width="3.5" style="3" customWidth="1"/>
    <col min="130" max="130" width="9" style="1" customWidth="1"/>
    <col min="131" max="131" width="11.125" style="1" customWidth="1"/>
    <col min="132" max="132" width="8.75" style="2" customWidth="1"/>
    <col min="133" max="135" width="7.125" style="2" customWidth="1"/>
    <col min="136" max="136" width="9.5" style="2" customWidth="1"/>
    <col min="137" max="138" width="8.75" style="2" customWidth="1"/>
    <col min="139" max="141" width="7.125" style="2" customWidth="1"/>
    <col min="142" max="142" width="9.5" style="2" customWidth="1"/>
    <col min="143" max="144" width="8.75" style="2" customWidth="1"/>
    <col min="145" max="147" width="7.125" style="2" customWidth="1"/>
    <col min="148" max="148" width="9.5" style="2" customWidth="1"/>
    <col min="149" max="150" width="8.75" style="2" customWidth="1"/>
    <col min="151" max="153" width="7.125" style="2" customWidth="1"/>
    <col min="154" max="154" width="9.5" style="2" customWidth="1"/>
    <col min="155" max="156" width="8.75" style="2" customWidth="1"/>
    <col min="157" max="159" width="7.125" style="2" customWidth="1"/>
    <col min="160" max="160" width="9.5" style="2" customWidth="1"/>
    <col min="161" max="162" width="8.75" style="2" customWidth="1"/>
    <col min="163" max="163" width="9" style="1"/>
    <col min="164" max="164" width="10.625" style="2" customWidth="1"/>
    <col min="165" max="165" width="11.5" style="2" customWidth="1"/>
    <col min="166" max="166" width="10.875" style="2" customWidth="1"/>
    <col min="167" max="167" width="10.625" style="2" customWidth="1"/>
    <col min="168" max="168" width="11.625" style="2" customWidth="1"/>
    <col min="169" max="169" width="10.75" style="1" customWidth="1"/>
    <col min="170" max="171" width="9" style="1"/>
    <col min="172" max="172" width="9" style="2"/>
    <col min="173" max="173" width="13.5" style="2" customWidth="1"/>
    <col min="174" max="174" width="9" style="1"/>
    <col min="175" max="176" width="9" style="2"/>
    <col min="177" max="177" width="3.5" style="3" customWidth="1"/>
    <col min="178" max="178" width="9" style="1"/>
    <col min="179" max="179" width="11.125" style="1" customWidth="1"/>
    <col min="180" max="180" width="8.75" style="2" customWidth="1"/>
    <col min="181" max="183" width="7.125" style="2" customWidth="1"/>
    <col min="184" max="184" width="9.5" style="2" customWidth="1"/>
    <col min="185" max="186" width="8.75" style="2" customWidth="1"/>
    <col min="187" max="189" width="7.125" style="2" customWidth="1"/>
    <col min="190" max="190" width="9.5" style="2" customWidth="1"/>
    <col min="191" max="192" width="8.75" style="2" customWidth="1"/>
    <col min="193" max="195" width="7.125" style="2" customWidth="1"/>
    <col min="196" max="196" width="9.5" style="2" customWidth="1"/>
    <col min="197" max="198" width="8.75" style="2" customWidth="1"/>
    <col min="199" max="201" width="7.125" style="2" customWidth="1"/>
    <col min="202" max="202" width="9.5" style="2" customWidth="1"/>
    <col min="203" max="204" width="8.75" style="2" customWidth="1"/>
    <col min="205" max="207" width="7.125" style="2" customWidth="1"/>
    <col min="208" max="208" width="9.5" style="2" customWidth="1"/>
    <col min="209" max="210" width="8.75" style="2" customWidth="1"/>
    <col min="211" max="211" width="9" style="1"/>
    <col min="212" max="212" width="10.625" style="2" customWidth="1"/>
    <col min="213" max="213" width="11.5" style="2" customWidth="1"/>
    <col min="214" max="214" width="10.875" style="2" customWidth="1"/>
    <col min="215" max="215" width="10.625" style="2" customWidth="1"/>
    <col min="216" max="216" width="11.625" style="2" customWidth="1"/>
    <col min="217" max="217" width="10.75" style="1" customWidth="1"/>
    <col min="218" max="219" width="9" style="1"/>
    <col min="220" max="220" width="9" style="2"/>
    <col min="221" max="221" width="13.5" style="2" customWidth="1"/>
    <col min="222" max="222" width="9" style="1"/>
    <col min="223" max="223" width="9" style="2"/>
    <col min="224" max="16384" width="9" style="1"/>
  </cols>
  <sheetData>
    <row r="2" spans="3:223" x14ac:dyDescent="0.2">
      <c r="T2" s="2"/>
      <c r="AA2" s="2"/>
      <c r="CE2" s="1" t="s">
        <v>461</v>
      </c>
      <c r="EA2" s="1" t="s">
        <v>510</v>
      </c>
      <c r="FW2" s="1" t="s">
        <v>511</v>
      </c>
    </row>
    <row r="3" spans="3:223" x14ac:dyDescent="0.2">
      <c r="C3" s="1" t="s">
        <v>421</v>
      </c>
      <c r="K3" s="2" t="s">
        <v>503</v>
      </c>
      <c r="AV3" s="67" t="s">
        <v>411</v>
      </c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M3" s="62" t="s">
        <v>500</v>
      </c>
      <c r="BN3" s="63"/>
      <c r="BO3" s="63"/>
      <c r="BP3" s="63"/>
      <c r="BQ3" s="63"/>
      <c r="BR3" s="64"/>
      <c r="BW3" s="2" t="s">
        <v>471</v>
      </c>
      <c r="CG3" s="67" t="s">
        <v>496</v>
      </c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EC3" s="67" t="s">
        <v>508</v>
      </c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Y3" s="67" t="s">
        <v>508</v>
      </c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</row>
    <row r="4" spans="3:223" x14ac:dyDescent="0.2">
      <c r="C4" s="1" t="s">
        <v>422</v>
      </c>
      <c r="L4" s="67" t="s">
        <v>14</v>
      </c>
      <c r="M4" s="67"/>
      <c r="N4" s="67"/>
      <c r="O4" s="67"/>
      <c r="P4" s="67"/>
      <c r="Q4" s="67"/>
      <c r="R4" s="67"/>
      <c r="S4" s="67" t="s">
        <v>15</v>
      </c>
      <c r="T4" s="67"/>
      <c r="U4" s="67"/>
      <c r="V4" s="67"/>
      <c r="W4" s="67"/>
      <c r="X4" s="67"/>
      <c r="Y4" s="67"/>
      <c r="Z4" s="67" t="s">
        <v>16</v>
      </c>
      <c r="AA4" s="67"/>
      <c r="AB4" s="67"/>
      <c r="AC4" s="67"/>
      <c r="AD4" s="67"/>
      <c r="AE4" s="67"/>
      <c r="AF4" s="67"/>
      <c r="AG4" s="67" t="s">
        <v>17</v>
      </c>
      <c r="AH4" s="67"/>
      <c r="AI4" s="67"/>
      <c r="AJ4" s="67"/>
      <c r="AK4" s="67"/>
      <c r="AL4" s="67"/>
      <c r="AM4" s="67"/>
      <c r="AN4" s="67" t="s">
        <v>18</v>
      </c>
      <c r="AO4" s="67"/>
      <c r="AP4" s="67"/>
      <c r="AQ4" s="67"/>
      <c r="AR4" s="67"/>
      <c r="AS4" s="67"/>
      <c r="AT4" s="67"/>
      <c r="AV4" s="67" t="s">
        <v>452</v>
      </c>
      <c r="AW4" s="67"/>
      <c r="AX4" s="67"/>
      <c r="AY4" s="67"/>
      <c r="AZ4" s="67"/>
      <c r="BA4" s="67" t="s">
        <v>453</v>
      </c>
      <c r="BB4" s="67"/>
      <c r="BC4" s="67"/>
      <c r="BD4" s="67"/>
      <c r="BE4" s="67"/>
      <c r="BF4" s="67" t="s">
        <v>454</v>
      </c>
      <c r="BG4" s="67"/>
      <c r="BH4" s="67"/>
      <c r="BI4" s="67"/>
      <c r="BJ4" s="67"/>
      <c r="BM4" s="67" t="s">
        <v>449</v>
      </c>
      <c r="BN4" s="67"/>
      <c r="BO4" s="67" t="s">
        <v>456</v>
      </c>
      <c r="BP4" s="67"/>
      <c r="BQ4" s="67" t="s">
        <v>457</v>
      </c>
      <c r="BR4" s="67"/>
      <c r="BW4" s="14" t="s">
        <v>519</v>
      </c>
      <c r="BX4" s="14" t="s">
        <v>458</v>
      </c>
      <c r="CG4" s="67" t="s">
        <v>14</v>
      </c>
      <c r="CH4" s="67"/>
      <c r="CI4" s="67"/>
      <c r="CJ4" s="67"/>
      <c r="CK4" s="67"/>
      <c r="CL4" s="67"/>
      <c r="CM4" s="67" t="s">
        <v>15</v>
      </c>
      <c r="CN4" s="67"/>
      <c r="CO4" s="67"/>
      <c r="CP4" s="67"/>
      <c r="CQ4" s="67"/>
      <c r="CR4" s="67"/>
      <c r="CS4" s="67" t="s">
        <v>16</v>
      </c>
      <c r="CT4" s="67"/>
      <c r="CU4" s="67"/>
      <c r="CV4" s="67"/>
      <c r="CW4" s="67"/>
      <c r="CX4" s="67"/>
      <c r="CY4" s="67" t="s">
        <v>17</v>
      </c>
      <c r="CZ4" s="67"/>
      <c r="DA4" s="67"/>
      <c r="DB4" s="67"/>
      <c r="DC4" s="67"/>
      <c r="DD4" s="67"/>
      <c r="DE4" s="67" t="s">
        <v>18</v>
      </c>
      <c r="DF4" s="67"/>
      <c r="DG4" s="67"/>
      <c r="DH4" s="67"/>
      <c r="DI4" s="67"/>
      <c r="DJ4" s="67"/>
      <c r="DL4" s="67" t="s">
        <v>488</v>
      </c>
      <c r="DM4" s="67"/>
      <c r="DN4" s="67"/>
      <c r="DO4" s="67"/>
      <c r="DP4" s="67"/>
      <c r="DQ4" s="14" t="s">
        <v>494</v>
      </c>
      <c r="DT4" s="67" t="s">
        <v>506</v>
      </c>
      <c r="DU4" s="67"/>
      <c r="DW4" s="14" t="s">
        <v>449</v>
      </c>
      <c r="EC4" s="67" t="s">
        <v>14</v>
      </c>
      <c r="ED4" s="67"/>
      <c r="EE4" s="67"/>
      <c r="EF4" s="67"/>
      <c r="EG4" s="67"/>
      <c r="EH4" s="67"/>
      <c r="EI4" s="67" t="s">
        <v>15</v>
      </c>
      <c r="EJ4" s="67"/>
      <c r="EK4" s="67"/>
      <c r="EL4" s="67"/>
      <c r="EM4" s="67"/>
      <c r="EN4" s="67"/>
      <c r="EO4" s="67" t="s">
        <v>16</v>
      </c>
      <c r="EP4" s="67"/>
      <c r="EQ4" s="67"/>
      <c r="ER4" s="67"/>
      <c r="ES4" s="67"/>
      <c r="ET4" s="67"/>
      <c r="EU4" s="67" t="s">
        <v>17</v>
      </c>
      <c r="EV4" s="67"/>
      <c r="EW4" s="67"/>
      <c r="EX4" s="67"/>
      <c r="EY4" s="67"/>
      <c r="EZ4" s="67"/>
      <c r="FA4" s="67" t="s">
        <v>18</v>
      </c>
      <c r="FB4" s="67"/>
      <c r="FC4" s="67"/>
      <c r="FD4" s="67"/>
      <c r="FE4" s="67"/>
      <c r="FF4" s="67"/>
      <c r="FH4" s="67" t="s">
        <v>488</v>
      </c>
      <c r="FI4" s="67"/>
      <c r="FJ4" s="67"/>
      <c r="FK4" s="67"/>
      <c r="FL4" s="67"/>
      <c r="FM4" s="14" t="s">
        <v>494</v>
      </c>
      <c r="FP4" s="67" t="s">
        <v>506</v>
      </c>
      <c r="FQ4" s="67"/>
      <c r="FS4" s="14" t="s">
        <v>449</v>
      </c>
      <c r="FY4" s="67" t="s">
        <v>14</v>
      </c>
      <c r="FZ4" s="67"/>
      <c r="GA4" s="67"/>
      <c r="GB4" s="67"/>
      <c r="GC4" s="67"/>
      <c r="GD4" s="67"/>
      <c r="GE4" s="67" t="s">
        <v>15</v>
      </c>
      <c r="GF4" s="67"/>
      <c r="GG4" s="67"/>
      <c r="GH4" s="67"/>
      <c r="GI4" s="67"/>
      <c r="GJ4" s="67"/>
      <c r="GK4" s="67" t="s">
        <v>16</v>
      </c>
      <c r="GL4" s="67"/>
      <c r="GM4" s="67"/>
      <c r="GN4" s="67"/>
      <c r="GO4" s="67"/>
      <c r="GP4" s="67"/>
      <c r="GQ4" s="67" t="s">
        <v>17</v>
      </c>
      <c r="GR4" s="67"/>
      <c r="GS4" s="67"/>
      <c r="GT4" s="67"/>
      <c r="GU4" s="67"/>
      <c r="GV4" s="67"/>
      <c r="GW4" s="67" t="s">
        <v>18</v>
      </c>
      <c r="GX4" s="67"/>
      <c r="GY4" s="67"/>
      <c r="GZ4" s="67"/>
      <c r="HA4" s="67"/>
      <c r="HB4" s="67"/>
      <c r="HD4" s="67" t="s">
        <v>488</v>
      </c>
      <c r="HE4" s="67"/>
      <c r="HF4" s="67"/>
      <c r="HG4" s="67"/>
      <c r="HH4" s="67"/>
      <c r="HI4" s="14" t="s">
        <v>494</v>
      </c>
      <c r="HL4" s="67" t="s">
        <v>506</v>
      </c>
      <c r="HM4" s="67"/>
      <c r="HO4" s="14" t="s">
        <v>449</v>
      </c>
    </row>
    <row r="5" spans="3:223" x14ac:dyDescent="0.2">
      <c r="C5" s="1" t="s">
        <v>423</v>
      </c>
      <c r="K5" s="14" t="s">
        <v>172</v>
      </c>
      <c r="L5" s="14" t="s">
        <v>442</v>
      </c>
      <c r="M5" s="12" t="s">
        <v>443</v>
      </c>
      <c r="N5" s="12" t="s">
        <v>444</v>
      </c>
      <c r="O5" s="12" t="s">
        <v>445</v>
      </c>
      <c r="P5" s="12" t="s">
        <v>446</v>
      </c>
      <c r="Q5" s="12" t="s">
        <v>447</v>
      </c>
      <c r="R5" s="12" t="s">
        <v>448</v>
      </c>
      <c r="S5" s="14" t="s">
        <v>442</v>
      </c>
      <c r="T5" s="12" t="s">
        <v>443</v>
      </c>
      <c r="U5" s="12" t="s">
        <v>444</v>
      </c>
      <c r="V5" s="12" t="s">
        <v>445</v>
      </c>
      <c r="W5" s="12" t="s">
        <v>446</v>
      </c>
      <c r="X5" s="12" t="s">
        <v>447</v>
      </c>
      <c r="Y5" s="12" t="s">
        <v>448</v>
      </c>
      <c r="Z5" s="14" t="s">
        <v>442</v>
      </c>
      <c r="AA5" s="12" t="s">
        <v>443</v>
      </c>
      <c r="AB5" s="12" t="s">
        <v>444</v>
      </c>
      <c r="AC5" s="12" t="s">
        <v>445</v>
      </c>
      <c r="AD5" s="12" t="s">
        <v>446</v>
      </c>
      <c r="AE5" s="12" t="s">
        <v>447</v>
      </c>
      <c r="AF5" s="12" t="s">
        <v>448</v>
      </c>
      <c r="AG5" s="14" t="s">
        <v>442</v>
      </c>
      <c r="AH5" s="12" t="s">
        <v>443</v>
      </c>
      <c r="AI5" s="12" t="s">
        <v>444</v>
      </c>
      <c r="AJ5" s="12" t="s">
        <v>445</v>
      </c>
      <c r="AK5" s="12" t="s">
        <v>446</v>
      </c>
      <c r="AL5" s="12" t="s">
        <v>447</v>
      </c>
      <c r="AM5" s="12" t="s">
        <v>448</v>
      </c>
      <c r="AN5" s="14" t="s">
        <v>442</v>
      </c>
      <c r="AO5" s="12" t="s">
        <v>443</v>
      </c>
      <c r="AP5" s="12" t="s">
        <v>444</v>
      </c>
      <c r="AQ5" s="12" t="s">
        <v>445</v>
      </c>
      <c r="AR5" s="12" t="s">
        <v>446</v>
      </c>
      <c r="AS5" s="12" t="s">
        <v>447</v>
      </c>
      <c r="AT5" s="12" t="s">
        <v>448</v>
      </c>
      <c r="AV5" s="14" t="s">
        <v>14</v>
      </c>
      <c r="AW5" s="14" t="s">
        <v>15</v>
      </c>
      <c r="AX5" s="14" t="s">
        <v>16</v>
      </c>
      <c r="AY5" s="14" t="s">
        <v>17</v>
      </c>
      <c r="AZ5" s="14" t="s">
        <v>18</v>
      </c>
      <c r="BA5" s="14" t="s">
        <v>14</v>
      </c>
      <c r="BB5" s="14" t="s">
        <v>15</v>
      </c>
      <c r="BC5" s="14" t="s">
        <v>16</v>
      </c>
      <c r="BD5" s="14" t="s">
        <v>17</v>
      </c>
      <c r="BE5" s="14" t="s">
        <v>18</v>
      </c>
      <c r="BF5" s="14" t="s">
        <v>14</v>
      </c>
      <c r="BG5" s="14" t="s">
        <v>15</v>
      </c>
      <c r="BH5" s="14" t="s">
        <v>16</v>
      </c>
      <c r="BI5" s="14" t="s">
        <v>17</v>
      </c>
      <c r="BJ5" s="14" t="s">
        <v>18</v>
      </c>
      <c r="BL5" s="14" t="s">
        <v>172</v>
      </c>
      <c r="BM5" s="14" t="s">
        <v>411</v>
      </c>
      <c r="BN5" s="14" t="s">
        <v>455</v>
      </c>
      <c r="BO5" s="14" t="s">
        <v>411</v>
      </c>
      <c r="BP5" s="14" t="s">
        <v>455</v>
      </c>
      <c r="BQ5" s="14" t="s">
        <v>411</v>
      </c>
      <c r="BR5" s="14" t="s">
        <v>455</v>
      </c>
      <c r="BW5" s="14" t="s">
        <v>435</v>
      </c>
      <c r="BX5" s="14">
        <v>10</v>
      </c>
      <c r="CF5" s="14" t="s">
        <v>172</v>
      </c>
      <c r="CG5" s="14" t="s">
        <v>495</v>
      </c>
      <c r="CH5" s="14" t="s">
        <v>474</v>
      </c>
      <c r="CI5" s="14" t="s">
        <v>475</v>
      </c>
      <c r="CJ5" s="14" t="s">
        <v>497</v>
      </c>
      <c r="CK5" s="14" t="s">
        <v>498</v>
      </c>
      <c r="CL5" s="14" t="s">
        <v>499</v>
      </c>
      <c r="CM5" s="14" t="s">
        <v>476</v>
      </c>
      <c r="CN5" s="14" t="s">
        <v>477</v>
      </c>
      <c r="CO5" s="14" t="s">
        <v>478</v>
      </c>
      <c r="CP5" s="14" t="s">
        <v>497</v>
      </c>
      <c r="CQ5" s="14" t="s">
        <v>498</v>
      </c>
      <c r="CR5" s="14" t="s">
        <v>499</v>
      </c>
      <c r="CS5" s="14" t="s">
        <v>476</v>
      </c>
      <c r="CT5" s="14" t="s">
        <v>477</v>
      </c>
      <c r="CU5" s="14" t="s">
        <v>478</v>
      </c>
      <c r="CV5" s="14" t="s">
        <v>497</v>
      </c>
      <c r="CW5" s="14" t="s">
        <v>498</v>
      </c>
      <c r="CX5" s="14" t="s">
        <v>499</v>
      </c>
      <c r="CY5" s="14" t="s">
        <v>476</v>
      </c>
      <c r="CZ5" s="14" t="s">
        <v>477</v>
      </c>
      <c r="DA5" s="14" t="s">
        <v>478</v>
      </c>
      <c r="DB5" s="14" t="s">
        <v>497</v>
      </c>
      <c r="DC5" s="14" t="s">
        <v>498</v>
      </c>
      <c r="DD5" s="14" t="s">
        <v>499</v>
      </c>
      <c r="DE5" s="14" t="s">
        <v>476</v>
      </c>
      <c r="DF5" s="14" t="s">
        <v>477</v>
      </c>
      <c r="DG5" s="14" t="s">
        <v>478</v>
      </c>
      <c r="DH5" s="14" t="s">
        <v>497</v>
      </c>
      <c r="DI5" s="14" t="s">
        <v>498</v>
      </c>
      <c r="DJ5" s="14" t="s">
        <v>499</v>
      </c>
      <c r="DL5" s="14" t="s">
        <v>489</v>
      </c>
      <c r="DM5" s="14" t="s">
        <v>490</v>
      </c>
      <c r="DN5" s="14" t="s">
        <v>491</v>
      </c>
      <c r="DO5" s="14" t="s">
        <v>492</v>
      </c>
      <c r="DP5" s="14" t="s">
        <v>493</v>
      </c>
      <c r="DQ5" s="14" t="s">
        <v>456</v>
      </c>
      <c r="DT5" s="14" t="s">
        <v>505</v>
      </c>
      <c r="DU5" s="14" t="s">
        <v>507</v>
      </c>
      <c r="DW5" s="14" t="s">
        <v>515</v>
      </c>
      <c r="EB5" s="14" t="s">
        <v>172</v>
      </c>
      <c r="EC5" s="14" t="s">
        <v>495</v>
      </c>
      <c r="ED5" s="14" t="s">
        <v>474</v>
      </c>
      <c r="EE5" s="14" t="s">
        <v>475</v>
      </c>
      <c r="EF5" s="14" t="s">
        <v>497</v>
      </c>
      <c r="EG5" s="14" t="s">
        <v>498</v>
      </c>
      <c r="EH5" s="14" t="s">
        <v>499</v>
      </c>
      <c r="EI5" s="14" t="s">
        <v>476</v>
      </c>
      <c r="EJ5" s="14" t="s">
        <v>477</v>
      </c>
      <c r="EK5" s="14" t="s">
        <v>478</v>
      </c>
      <c r="EL5" s="14" t="s">
        <v>497</v>
      </c>
      <c r="EM5" s="14" t="s">
        <v>498</v>
      </c>
      <c r="EN5" s="14" t="s">
        <v>499</v>
      </c>
      <c r="EO5" s="14" t="s">
        <v>476</v>
      </c>
      <c r="EP5" s="14" t="s">
        <v>477</v>
      </c>
      <c r="EQ5" s="14" t="s">
        <v>478</v>
      </c>
      <c r="ER5" s="14" t="s">
        <v>497</v>
      </c>
      <c r="ES5" s="14" t="s">
        <v>498</v>
      </c>
      <c r="ET5" s="14" t="s">
        <v>499</v>
      </c>
      <c r="EU5" s="14" t="s">
        <v>476</v>
      </c>
      <c r="EV5" s="14" t="s">
        <v>477</v>
      </c>
      <c r="EW5" s="14" t="s">
        <v>478</v>
      </c>
      <c r="EX5" s="14" t="s">
        <v>497</v>
      </c>
      <c r="EY5" s="14" t="s">
        <v>498</v>
      </c>
      <c r="EZ5" s="14" t="s">
        <v>499</v>
      </c>
      <c r="FA5" s="14" t="s">
        <v>476</v>
      </c>
      <c r="FB5" s="14" t="s">
        <v>477</v>
      </c>
      <c r="FC5" s="14" t="s">
        <v>478</v>
      </c>
      <c r="FD5" s="14" t="s">
        <v>497</v>
      </c>
      <c r="FE5" s="14" t="s">
        <v>498</v>
      </c>
      <c r="FF5" s="14" t="s">
        <v>499</v>
      </c>
      <c r="FH5" s="14" t="s">
        <v>489</v>
      </c>
      <c r="FI5" s="14" t="s">
        <v>490</v>
      </c>
      <c r="FJ5" s="14" t="s">
        <v>491</v>
      </c>
      <c r="FK5" s="14" t="s">
        <v>492</v>
      </c>
      <c r="FL5" s="14" t="s">
        <v>493</v>
      </c>
      <c r="FM5" s="14" t="s">
        <v>456</v>
      </c>
      <c r="FP5" s="14" t="s">
        <v>509</v>
      </c>
      <c r="FQ5" s="14" t="s">
        <v>507</v>
      </c>
      <c r="FS5" s="14" t="s">
        <v>515</v>
      </c>
      <c r="FX5" s="14" t="s">
        <v>172</v>
      </c>
      <c r="FY5" s="14" t="s">
        <v>495</v>
      </c>
      <c r="FZ5" s="14" t="s">
        <v>474</v>
      </c>
      <c r="GA5" s="14" t="s">
        <v>475</v>
      </c>
      <c r="GB5" s="14" t="s">
        <v>497</v>
      </c>
      <c r="GC5" s="14" t="s">
        <v>498</v>
      </c>
      <c r="GD5" s="14" t="s">
        <v>499</v>
      </c>
      <c r="GE5" s="14" t="s">
        <v>476</v>
      </c>
      <c r="GF5" s="14" t="s">
        <v>477</v>
      </c>
      <c r="GG5" s="14" t="s">
        <v>478</v>
      </c>
      <c r="GH5" s="14" t="s">
        <v>497</v>
      </c>
      <c r="GI5" s="14" t="s">
        <v>498</v>
      </c>
      <c r="GJ5" s="14" t="s">
        <v>499</v>
      </c>
      <c r="GK5" s="14" t="s">
        <v>476</v>
      </c>
      <c r="GL5" s="14" t="s">
        <v>477</v>
      </c>
      <c r="GM5" s="14" t="s">
        <v>478</v>
      </c>
      <c r="GN5" s="14" t="s">
        <v>497</v>
      </c>
      <c r="GO5" s="14" t="s">
        <v>498</v>
      </c>
      <c r="GP5" s="14" t="s">
        <v>499</v>
      </c>
      <c r="GQ5" s="14" t="s">
        <v>476</v>
      </c>
      <c r="GR5" s="14" t="s">
        <v>477</v>
      </c>
      <c r="GS5" s="14" t="s">
        <v>478</v>
      </c>
      <c r="GT5" s="14" t="s">
        <v>497</v>
      </c>
      <c r="GU5" s="14" t="s">
        <v>498</v>
      </c>
      <c r="GV5" s="14" t="s">
        <v>499</v>
      </c>
      <c r="GW5" s="14" t="s">
        <v>476</v>
      </c>
      <c r="GX5" s="14" t="s">
        <v>477</v>
      </c>
      <c r="GY5" s="14" t="s">
        <v>478</v>
      </c>
      <c r="GZ5" s="14" t="s">
        <v>497</v>
      </c>
      <c r="HA5" s="14" t="s">
        <v>498</v>
      </c>
      <c r="HB5" s="14" t="s">
        <v>499</v>
      </c>
      <c r="HD5" s="14" t="s">
        <v>489</v>
      </c>
      <c r="HE5" s="14" t="s">
        <v>490</v>
      </c>
      <c r="HF5" s="14" t="s">
        <v>491</v>
      </c>
      <c r="HG5" s="14" t="s">
        <v>492</v>
      </c>
      <c r="HH5" s="14" t="s">
        <v>493</v>
      </c>
      <c r="HI5" s="14" t="s">
        <v>456</v>
      </c>
      <c r="HL5" s="14" t="s">
        <v>512</v>
      </c>
      <c r="HM5" s="14" t="s">
        <v>507</v>
      </c>
      <c r="HO5" s="14" t="s">
        <v>515</v>
      </c>
    </row>
    <row r="6" spans="3:223" x14ac:dyDescent="0.2">
      <c r="C6" s="1" t="s">
        <v>424</v>
      </c>
      <c r="K6" s="14">
        <v>1</v>
      </c>
      <c r="L6" s="12">
        <f>求节点(节奏总纲!D$4:D$163,标准城池设计!AB$4:AB$163,$K6)*求节点(节奏总纲!D$4:D$163,攻城基础信息!$AC$5:$AC$164,$K6)</f>
        <v>29886.222788583087</v>
      </c>
      <c r="M6" s="12">
        <f>INDEX(其他调用!$AA$5:$AA$404,MATCH(K6,其他调用!$X$5:$X$404,0))*MIN(INDEX(其他调用!$AH$5:$AH$364,MATCH('征服点（新）'!K6,其他调用!$AG$5:$AG$364,0),1)/INDEX(其他调用!$AJ$5:$AJ$364,MATCH(K6,其他调用!$AG$5:$AG$364,0),0),5)*求节点(节奏总纲!D$4:D$163,攻城基础信息!$AC$5:$AC$164,$K6)</f>
        <v>9455.6613741604597</v>
      </c>
      <c r="N6" s="12">
        <f>MIN(INDEX(其他调用!$AH$5:$AH$364,MATCH($K6,其他调用!$AG$5:$AG$364,0),1)/INDEX(其他调用!AH$5:AH$364,MATCH($K6,其他调用!$AG$5:$AG$364,0),0),1)*INDEX(其他调用!Y$5:Y$404,MATCH($K6,其他调用!$X$5:$X$404,0),0)</f>
        <v>13317.895950578408</v>
      </c>
      <c r="O6" s="12">
        <f>MIN(INDEX(其他调用!$AH$5:$AH$364,MATCH($K6,其他调用!$AG$5:$AG$364,0),1)/INDEX(其他调用!AI$5:AI$364,MATCH($K6,其他调用!$AG$5:$AG$364,0),0),1)*INDEX(其他调用!Z$5:Z$404,MATCH($K6,其他调用!$X$5:$X$404,0),0)</f>
        <v>10628.605401026536</v>
      </c>
      <c r="P6" s="12">
        <f>MIN(INDEX(其他调用!$AH$5:$AH$364,MATCH($K6,其他调用!$AG$5:$AG$364,0),1)/INDEX(其他调用!AJ$5:AJ$364,MATCH($K6,其他调用!$AG$5:$AG$364,0),0),1)*INDEX(其他调用!AA$5:AA$404,MATCH($K6,其他调用!$X$5:$X$404,0),0)</f>
        <v>8104.8526064232474</v>
      </c>
      <c r="Q6" s="12">
        <f>MIN(INDEX(其他调用!$AH$5:$AH$364,MATCH($K6,其他调用!$AG$5:$AG$364,0),1)/INDEX(其他调用!AK$5:AK$364,MATCH($K6,其他调用!$AG$5:$AG$364,0),0),1)*INDEX(其他调用!AB$5:AB$404,MATCH($K6,其他调用!$X$5:$X$404,0),0)</f>
        <v>5297.1423904959711</v>
      </c>
      <c r="R6" s="12">
        <f>MIN(INDEX(其他调用!$AH$5:$AH$364,MATCH($K6,其他调用!$AG$5:$AG$364,0),1)/INDEX(其他调用!AL$5:AL$364,MATCH($K6,其他调用!$AG$5:$AG$364,0),0),1)*INDEX(其他调用!AC$5:AC$404,MATCH($K6,其他调用!$X$5:$X$404,0),0)</f>
        <v>2629.1415005146669</v>
      </c>
      <c r="S6" s="12">
        <f>求节点(节奏总纲!D$4:D$163,标准城池设计!AC$4:AC$163,$K6)*求节点(节奏总纲!D$4:D$163,攻城基础信息!$AD$5:$AD$164,$K6)</f>
        <v>29796.117920973575</v>
      </c>
      <c r="T6" s="12">
        <f>INDEX(其他调用!$AA$5:$AA$404,MATCH($K6,其他调用!$X$5:$X$404,0))*MIN(INDEX(其他调用!AI$5:AI$364,MATCH($K6,其他调用!$AG$5:$AG$364,0),1)/INDEX(其他调用!$AJ$5:$AJ$364,MATCH($K6,其他调用!$AG$5:$AG$364,0),0),5)*求节点(节奏总纲!D$4:D$163,攻城基础信息!$AD$5:$AD$164,$K6)</f>
        <v>12539.3109581606</v>
      </c>
      <c r="U6" s="12">
        <f>MIN(INDEX(其他调用!$AI$5:$AI$364,MATCH($K6,其他调用!$AG$5:$AG$364,0),1)/INDEX(其他调用!AH$5:AH$364,MATCH($K6,其他调用!$AG$5:$AG$364,0),0),1)*INDEX(其他调用!Y$5:Y$404,MATCH($K6,其他调用!$X$5:$X$404,0),0)</f>
        <v>13317.895950578408</v>
      </c>
      <c r="V6" s="12">
        <f>MIN(INDEX(其他调用!$AI$5:$AI$364,MATCH($K6,其他调用!$AG$5:$AG$364,0),1)/INDEX(其他调用!AI$5:AI$364,MATCH($K6,其他调用!$AG$5:$AG$364,0),0),1)*INDEX(其他调用!Z$5:Z$404,MATCH($K6,其他调用!$X$5:$X$404,0),0)</f>
        <v>14094.771682418683</v>
      </c>
      <c r="W6" s="12">
        <f>MIN(INDEX(其他调用!$AI$5:$AI$364,MATCH($K6,其他调用!$AG$5:$AG$364,0),1)/INDEX(其他调用!AJ$5:AJ$364,MATCH($K6,其他调用!$AG$5:$AG$364,0),0),1)*INDEX(其他调用!AA$5:AA$404,MATCH($K6,其他调用!$X$5:$X$404,0),0)</f>
        <v>10747.980821280509</v>
      </c>
      <c r="X6" s="12">
        <f>MIN(INDEX(其他调用!$AI$5:$AI$364,MATCH($K6,其他调用!$AG$5:$AG$364,0),1)/INDEX(其他调用!AK$5:AK$364,MATCH($K6,其他调用!$AG$5:$AG$364,0),0),1)*INDEX(其他调用!AB$5:AB$404,MATCH($K6,其他调用!$X$5:$X$404,0),0)</f>
        <v>7024.6292666101972</v>
      </c>
      <c r="Y6" s="12">
        <f>MIN(INDEX(其他调用!$AI$5:$AI$364,MATCH($K6,其他调用!$AG$5:$AG$364,0),1)/INDEX(其他调用!AL$5:AL$364,MATCH($K6,其他调用!$AG$5:$AG$364,0),0),1)*INDEX(其他调用!AC$5:AC$404,MATCH($K6,其他调用!$X$5:$X$404,0),0)</f>
        <v>3486.5485896152304</v>
      </c>
      <c r="Z6" s="12">
        <f>求节点(节奏总纲!D$4:D$163,标准城池设计!AD$4:AD$163,$K6)*求节点(节奏总纲!D$4:D$163,攻城基础信息!$AE$5:$AE$164,$K6)</f>
        <v>30451.836542373509</v>
      </c>
      <c r="AA6" s="12">
        <f>INDEX(其他调用!$AA$5:$AA$404,MATCH($K6,其他调用!$X$5:$X$404,0))*MIN(INDEX(其他调用!AJ$5:AJ$364,MATCH($K6,其他调用!$AG$5:$AG$364,0),1)/INDEX(其他调用!$AJ$5:$AJ$364,MATCH($K6,其他调用!$AG$5:$AG$364,0),0),5)*求节点(节奏总纲!D$4:D$163,攻城基础信息!$AE$5:$AE$164,$K6)</f>
        <v>17675.307136322346</v>
      </c>
      <c r="AB6" s="12">
        <f>MIN(INDEX(其他调用!$AJ$5:$AJ$364,MATCH($K6,其他调用!$AG$5:$AG$364,0),1)/INDEX(其他调用!AH$5:AH$364,MATCH($K6,其他调用!$AG$5:$AG$364,0),0),1)*INDEX(其他调用!Y$5:Y$404,MATCH($K6,其他调用!$X$5:$X$404,0),0)</f>
        <v>13317.895950578408</v>
      </c>
      <c r="AC6" s="12">
        <f>MIN(INDEX(其他调用!$AJ$5:$AJ$364,MATCH($K6,其他调用!$AG$5:$AG$364,0),1)/INDEX(其他调用!AI$5:AI$364,MATCH($K6,其他调用!$AG$5:$AG$364,0),0),1)*INDEX(其他调用!Z$5:Z$404,MATCH($K6,其他调用!$X$5:$X$404,0),0)</f>
        <v>14094.771682418683</v>
      </c>
      <c r="AD6" s="12">
        <f>MIN(INDEX(其他调用!$AJ$5:$AJ$364,MATCH($K6,其他调用!$AG$5:$AG$364,0),1)/INDEX(其他调用!AJ$5:AJ$364,MATCH($K6,其他调用!$AG$5:$AG$364,0),0),1)*INDEX(其他调用!AA$5:AA$404,MATCH($K6,其他调用!$X$5:$X$404,0),0)</f>
        <v>15150.263259704861</v>
      </c>
      <c r="AE6" s="12">
        <f>MIN(INDEX(其他调用!$AJ$5:$AJ$364,MATCH($K6,其他调用!$AG$5:$AG$364,0),1)/INDEX(其他调用!AK$5:AK$364,MATCH($K6,其他调用!$AG$5:$AG$364,0),0),1)*INDEX(其他调用!AB$5:AB$404,MATCH($K6,其他调用!$X$5:$X$404,0),0)</f>
        <v>9901.858261623931</v>
      </c>
      <c r="AF6" s="12">
        <f>MIN(INDEX(其他调用!$AJ$5:$AJ$364,MATCH($K6,其他调用!$AG$5:$AG$364,0),1)/INDEX(其他调用!AL$5:AL$364,MATCH($K6,其他调用!$AG$5:$AG$364,0),0),1)*INDEX(其他调用!AC$5:AC$404,MATCH($K6,其他调用!$X$5:$X$404,0),0)</f>
        <v>4914.6095325959304</v>
      </c>
      <c r="AG6" s="12">
        <f>求节点(节奏总纲!D$4:D$163,标准城池设计!AE$4:AE$163,$K6)*求节点(节奏总纲!D$4:D$163,攻城基础信息!$AF$5:$AF$164,$K6)</f>
        <v>31243.286951342849</v>
      </c>
      <c r="AH6" s="12">
        <f>INDEX(其他调用!$AA$5:$AA$404,MATCH($K6,其他调用!$X$5:$X$404,0))*MIN(INDEX(其他调用!AK$5:AK$364,MATCH($K6,其他调用!$AG$5:$AG$364,0),1)/INDEX(其他调用!$AJ$5:$AJ$364,MATCH($K6,其他调用!$AG$5:$AG$364,0),0),5)*求节点(节奏总纲!D$4:D$163,攻城基础信息!$AF$5:$AF$164,$K6)</f>
        <v>29864.162427903266</v>
      </c>
      <c r="AI6" s="12">
        <f>MIN(INDEX(其他调用!$AK$5:$AK$364,MATCH($K6,其他调用!$AG$5:$AG$364,0),1)/INDEX(其他调用!AH$5:AH$364,MATCH($K6,其他调用!$AG$5:$AG$364,0),0),1)*INDEX(其他调用!Y$5:Y$404,MATCH($K6,其他调用!$X$5:$X$404,0),0)</f>
        <v>13317.895950578408</v>
      </c>
      <c r="AJ6" s="12">
        <f>MIN(INDEX(其他调用!$AK$5:$AK$364,MATCH($K6,其他调用!$AG$5:$AG$364,0),1)/INDEX(其他调用!AI$5:AI$364,MATCH($K6,其他调用!$AG$5:$AG$364,0),0),1)*INDEX(其他调用!Z$5:Z$404,MATCH($K6,其他调用!$X$5:$X$404,0),0)</f>
        <v>14094.771682418683</v>
      </c>
      <c r="AK6" s="12">
        <f>MIN(INDEX(其他调用!$AK$5:$AK$364,MATCH($K6,其他调用!$AG$5:$AG$364,0),1)/INDEX(其他调用!AJ$5:AJ$364,MATCH($K6,其他调用!$AG$5:$AG$364,0),0),1)*INDEX(其他调用!AA$5:AA$404,MATCH($K6,其他调用!$X$5:$X$404,0),0)</f>
        <v>15150.263259704861</v>
      </c>
      <c r="AL6" s="12">
        <f>MIN(INDEX(其他调用!$AK$5:$AK$364,MATCH($K6,其他调用!$AG$5:$AG$364,0),1)/INDEX(其他调用!AK$5:AK$364,MATCH($K6,其他调用!$AG$5:$AG$364,0),0),1)*INDEX(其他调用!AB$5:AB$404,MATCH($K6,其他调用!$X$5:$X$404,0),0)</f>
        <v>16730.159265834445</v>
      </c>
      <c r="AM6" s="12">
        <f>MIN(INDEX(其他调用!$AK$5:$AK$364,MATCH($K6,其他调用!$AG$5:$AG$364,0),1)/INDEX(其他调用!AL$5:AL$364,MATCH($K6,其他调用!$AG$5:$AG$364,0),0),1)*INDEX(其他调用!AC$5:AC$404,MATCH($K6,其他调用!$X$5:$X$404,0),0)</f>
        <v>8303.7141147921684</v>
      </c>
      <c r="AN6" s="12">
        <f>求节点(节奏总纲!D$4:D$163,标准城池设计!AF$4:AF$163,$K6)*求节点(节奏总纲!D$4:D$163,攻城基础信息!$AG$5:$AG$164,$K6)</f>
        <v>31810.139608862846</v>
      </c>
      <c r="AO6" s="12">
        <f>INDEX(其他调用!$AA$5:$AA$404,MATCH($K6,其他调用!$X$5:$X$404,0))*MIN(INDEX(其他调用!AL$5:AL$364,MATCH($K6,其他调用!$AG$5:$AG$364,0),1)/INDEX(其他调用!$AJ$5:$AJ$364,MATCH($K6,其他调用!$AG$5:$AG$364,0),0),5)*求节点(节奏总纲!D$4:D$163,攻城基础信息!$AG$5:$AG$164,$K6)</f>
        <v>70910.125016046251</v>
      </c>
      <c r="AP6" s="12">
        <f>MIN(INDEX(其他调用!$AL$5:$AL$364,MATCH($K6,其他调用!$AG$5:$AG$364,0),1)/INDEX(其他调用!AH$5:AH$364,MATCH($K6,其他调用!$AG$5:$AG$364,0),0),1)*INDEX(其他调用!Y$5:Y$404,MATCH($K6,其他调用!$X$5:$X$404,0),0)</f>
        <v>13317.895950578408</v>
      </c>
      <c r="AQ6" s="12">
        <f>MIN(INDEX(其他调用!$AL$5:$AL$364,MATCH($K6,其他调用!$AG$5:$AG$364,0),1)/INDEX(其他调用!AI$5:AI$364,MATCH($K6,其他调用!$AG$5:$AG$364,0),0),1)*INDEX(其他调用!Z$5:Z$404,MATCH($K6,其他调用!$X$5:$X$404,0),0)</f>
        <v>14094.771682418683</v>
      </c>
      <c r="AR6" s="12">
        <f>MIN(INDEX(其他调用!$AL$5:$AL$364,MATCH($K6,其他调用!$AG$5:$AG$364,0),1)/INDEX(其他调用!AJ$5:AJ$364,MATCH($K6,其他调用!$AG$5:$AG$364,0),0),1)*INDEX(其他调用!AA$5:AA$404,MATCH($K6,其他调用!$X$5:$X$404,0),0)</f>
        <v>15150.263259704861</v>
      </c>
      <c r="AS6" s="12">
        <f>MIN(INDEX(其他调用!$AL$5:$AL$364,MATCH($K6,其他调用!$AG$5:$AG$364,0),1)/INDEX(其他调用!AK$5:AK$364,MATCH($K6,其他调用!$AG$5:$AG$364,0),0),1)*INDEX(其他调用!AB$5:AB$404,MATCH($K6,其他调用!$X$5:$X$404,0),0)</f>
        <v>16730.159265834445</v>
      </c>
      <c r="AT6" s="12">
        <f>MIN(INDEX(其他调用!$AL$5:$AL$364,MATCH($K6,其他调用!$AG$5:$AG$364,0),1)/INDEX(其他调用!AL$5:AL$364,MATCH($K6,其他调用!$AG$5:$AG$364,0),0),1)*INDEX(其他调用!AC$5:AC$404,MATCH($K6,其他调用!$X$5:$X$404,0),0)</f>
        <v>19716.521680422728</v>
      </c>
      <c r="AV6" s="14">
        <f>IF(OR(AV$5="大R",AV$5="超R"),MAX(INDEX(其他调用!$H$5:$L$404,MATCH($K6,其他调用!$B$5:$B$404,0),MATCH(AV$5,其他调用!$H$4:$L$4,0))*120*0.85,2),INDEX(其他调用!$H$5:$L$404,MATCH($K6,其他调用!$B$5:$B$404,0),MATCH(AV$5,其他调用!$H$4:$L$4,0))*120*0.85)</f>
        <v>91.8</v>
      </c>
      <c r="AW6" s="14">
        <f>IF(OR(AW$5="大R",AW$5="超R"),MAX(INDEX(其他调用!$H$5:$L$404,MATCH($K6,其他调用!$B$5:$B$404,0),MATCH(AW$5,其他调用!$H$4:$L$4,0))*120*0.85,2),INDEX(其他调用!$H$5:$L$404,MATCH($K6,其他调用!$B$5:$B$404,0),MATCH(AW$5,其他调用!$H$4:$L$4,0))*120*0.85)</f>
        <v>7.4051999999999962</v>
      </c>
      <c r="AX6" s="14">
        <f>IF(OR(AX$5="大R",AX$5="超R"),MAX(INDEX(其他调用!$H$5:$L$404,MATCH($K6,其他调用!$B$5:$B$404,0),MATCH(AX$5,其他调用!$H$4:$L$4,0))*120*0.85,2),INDEX(其他调用!$H$5:$L$404,MATCH($K6,其他调用!$B$5:$B$404,0),MATCH(AX$5,其他调用!$H$4:$L$4,0))*120*0.85)</f>
        <v>2.6112000000000002</v>
      </c>
      <c r="AY6" s="14">
        <f>IF(OR(AY$5="大R",AY$5="超R"),MAX(INDEX(其他调用!$H$5:$L$404,MATCH($K6,其他调用!$B$5:$B$404,0),MATCH(AY$5,其他调用!$H$4:$L$4,0))*120*0.85,2),INDEX(其他调用!$H$5:$L$404,MATCH($K6,其他调用!$B$5:$B$404,0),MATCH(AY$5,其他调用!$H$4:$L$4,0))*120*0.85)</f>
        <v>2</v>
      </c>
      <c r="AZ6" s="14">
        <f>IF(OR(AZ$5="大R",AZ$5="超R"),MAX(INDEX(其他调用!$H$5:$L$404,MATCH($K6,其他调用!$B$5:$B$404,0),MATCH(AZ$5,其他调用!$H$4:$L$4,0))*120*0.85,2),INDEX(其他调用!$H$5:$L$404,MATCH($K6,其他调用!$B$5:$B$404,0),MATCH(AZ$5,其他调用!$H$4:$L$4,0))*120*0.85)</f>
        <v>2</v>
      </c>
      <c r="BA6" s="14">
        <f>INDEX(其他调用!$H$5:$L$404,MATCH($K6,其他调用!$B$5:$B$404,0),MATCH(BA$5,其他调用!$H$4:$L$4,0))*INDEX(其他调用!$M$5:$M$404,MATCH($K6,其他调用!$B$5:$B$404,0))*0.6</f>
        <v>34.199999999999996</v>
      </c>
      <c r="BB6" s="14">
        <f>INDEX(其他调用!$H$5:$L$404,MATCH($K6,其他调用!$B$5:$B$404,0),MATCH(BB$5,其他调用!$H$4:$L$4,0))*INDEX(其他调用!$M$5:$M$404,MATCH($K6,其他调用!$B$5:$B$404,0))*0.6</f>
        <v>2.7587999999999986</v>
      </c>
      <c r="BC6" s="14">
        <f>INDEX(其他调用!$H$5:$L$404,MATCH($K6,其他调用!$B$5:$B$404,0),MATCH(BC$5,其他调用!$H$4:$L$4,0))*INDEX(其他调用!$M$5:$M$404,MATCH($K6,其他调用!$B$5:$B$404,0))*0.6</f>
        <v>0.97280000000000011</v>
      </c>
      <c r="BD6" s="14">
        <f>INDEX(其他调用!$H$5:$L$404,MATCH($K6,其他调用!$B$5:$B$404,0),MATCH(BD$5,其他调用!$H$4:$L$4,0))*INDEX(其他调用!$M$5:$M$404,MATCH($K6,其他调用!$B$5:$B$404,0))*0.6</f>
        <v>6.0800000000000007E-2</v>
      </c>
      <c r="BE6" s="14">
        <f>INDEX(其他调用!$H$5:$L$404,MATCH($K6,其他调用!$B$5:$B$404,0),MATCH(BE$5,其他调用!$H$4:$L$4,0))*INDEX(其他调用!$M$5:$M$404,MATCH($K6,其他调用!$B$5:$B$404,0))*0.6</f>
        <v>7.6000000000000009E-3</v>
      </c>
      <c r="BF6" s="14">
        <f>IF(OR(BF$5="大R",BF$5="超R"),0,INDEX(其他调用!$H$5:$L$404,MATCH($K6,其他调用!$B$5:$B$404,0),MATCH(BF$5,其他调用!$H$4:$L$4,0))*50*0.4)</f>
        <v>18</v>
      </c>
      <c r="BG6" s="14">
        <f>IF(OR(BG$5="大R",BG$5="超R"),0,INDEX(其他调用!$H$5:$L$404,MATCH($K6,其他调用!$B$5:$B$404,0),MATCH(BG$5,其他调用!$H$4:$L$4,0))*50*0.4)</f>
        <v>1.4519999999999995</v>
      </c>
      <c r="BH6" s="14">
        <f>IF(OR(BH$5="大R",BH$5="超R"),0,INDEX(其他调用!$H$5:$L$404,MATCH($K6,其他调用!$B$5:$B$404,0),MATCH(BH$5,其他调用!$H$4:$L$4,0))*50*0.4)</f>
        <v>0.51200000000000001</v>
      </c>
      <c r="BI6" s="14">
        <f>IF(OR(BI$5="大R",BI$5="超R"),0,INDEX(其他调用!$H$5:$L$404,MATCH($K6,其他调用!$B$5:$B$404,0),MATCH(BI$5,其他调用!$H$4:$L$4,0))*50*0.4)</f>
        <v>0</v>
      </c>
      <c r="BJ6" s="14">
        <f>IF(OR(BJ$5="大R",BJ$5="超R"),0,INDEX(其他调用!$H$5:$L$404,MATCH($K6,其他调用!$B$5:$B$404,0),MATCH(BJ$5,其他调用!$H$4:$L$4,0))*50*0.4)</f>
        <v>0</v>
      </c>
      <c r="BL6" s="14">
        <v>1</v>
      </c>
      <c r="BM6" s="14">
        <f>120*0.8</f>
        <v>96</v>
      </c>
      <c r="BN6" s="14">
        <f>('疲劳值&amp;地图信息'!$S$10*'疲劳值&amp;地图信息'!$R$10+'疲劳值&amp;地图信息'!$S$11*'疲劳值&amp;地图信息'!$R$11+'疲劳值&amp;地图信息'!$S$12*'疲劳值&amp;地图信息'!$R$12+(BM6-'疲劳值&amp;地图信息'!$S$12-'疲劳值&amp;地图信息'!$S$11-'疲劳值&amp;地图信息'!$S$10)*'疲劳值&amp;地图信息'!$R$13)/BM6</f>
        <v>51.371477246638619</v>
      </c>
      <c r="BO6" s="14">
        <f>INDEX(其他调用!$M$5:$M$404,MATCH(BL6,其他调用!$B$5:$B$404,0))*0.6</f>
        <v>38</v>
      </c>
      <c r="BP6" s="14">
        <f>IF(BO6&gt;SUM('疲劳值&amp;地图信息'!$S$10:$S$12),('疲劳值&amp;地图信息'!$S$10*'疲劳值&amp;地图信息'!$R$10+'疲劳值&amp;地图信息'!$S$11*'疲劳值&amp;地图信息'!$R$11+'疲劳值&amp;地图信息'!$S$12*'疲劳值&amp;地图信息'!$R$12+(BO6-'疲劳值&amp;地图信息'!$S$12-'疲劳值&amp;地图信息'!$S$11-'疲劳值&amp;地图信息'!$S$10)*'疲劳值&amp;地图信息'!$R$13)/BO6,('疲劳值&amp;地图信息'!$S$10*'疲劳值&amp;地图信息'!$R$10+'疲劳值&amp;地图信息'!$S$11*'疲劳值&amp;地图信息'!$R$11+'疲劳值&amp;地图信息'!$S$12*'疲劳值&amp;地图信息'!$R$12+(BO6-'疲劳值&amp;地图信息'!$S$12-'疲劳值&amp;地图信息'!$S$11-'疲劳值&amp;地图信息'!$S$10)*'疲劳值&amp;地图信息'!$R$13)/BO6)</f>
        <v>33.02175038295902</v>
      </c>
      <c r="BQ6" s="14">
        <f>50*0.4</f>
        <v>20</v>
      </c>
      <c r="BR6" s="14">
        <f>('疲劳值&amp;地图信息'!$S$10*'疲劳值&amp;地图信息'!$R$10+($BQ6-'疲劳值&amp;地图信息'!$S$10)*'疲劳值&amp;地图信息'!$R$11)/$BQ6</f>
        <v>32.067203015074995</v>
      </c>
      <c r="BW6" s="14" t="s">
        <v>513</v>
      </c>
      <c r="BX6" s="14">
        <v>20</v>
      </c>
      <c r="CF6" s="14">
        <v>1</v>
      </c>
      <c r="CG6" s="51">
        <f>INT(INDEX($L$6:$AT$365,MATCH($CF6,$K$6:$K$365,0),MATCH(CG$4,$L$4:$AT$4,0))*$BX$34/$BP6/10000*$BX$5)</f>
        <v>814</v>
      </c>
      <c r="CH6" s="51">
        <f>INT(INDEX($L$6:$AT$365,MATCH($CF6,$K$6:$K$365,0),MATCH(CG$4,$L$4:$AT$4,0)+1)*$BY$34/$BP6/10000*$BX$6)</f>
        <v>257</v>
      </c>
      <c r="CI6" s="51">
        <f>INT(SUMPRODUCT($N6:$R6,$BA6:$BE6)/SUM($BA6:$BE6)/10000*$BX$7*$BZ$34/'疲劳值&amp;地图信息'!$R$10*$BY$53)</f>
        <v>1316</v>
      </c>
      <c r="CJ6" s="50">
        <f>CG6/SUM(CG6:CI6)</f>
        <v>0.34101382488479265</v>
      </c>
      <c r="CK6" s="50">
        <f>CH6/SUM(CG6:CI6)</f>
        <v>0.10766652702136573</v>
      </c>
      <c r="CL6" s="50">
        <f>CI6/SUM(CG6:CI6)</f>
        <v>0.5513196480938416</v>
      </c>
      <c r="CM6" s="14">
        <f>INT(INDEX($L$6:$AT$365,MATCH($CF6,$K$6:$K$365,0),MATCH(CM$4,$L$4:$AT$4,0))*$BX$34/$BP6/10000*$BX$5)</f>
        <v>812</v>
      </c>
      <c r="CN6" s="14">
        <f>INT(INDEX($L$6:$AT$365,MATCH($CF6,$K$6:$K$365,0),MATCH(CM$4,$L$4:$AT$4,0)+1)*$BY$34/$BP6/10000*$BX$6)</f>
        <v>341</v>
      </c>
      <c r="CO6" s="14">
        <f>INT(SUMPRODUCT($U6:$Y6,$BA6:$BE6)/SUM($BA6:$BE6)/10000*$BX$7*$BZ$34/'疲劳值&amp;地图信息'!$R$10*$BY$54)</f>
        <v>2023</v>
      </c>
      <c r="CP6" s="50">
        <f>CM6/SUM(CM6:CO6)</f>
        <v>0.25566750629722923</v>
      </c>
      <c r="CQ6" s="50">
        <f>CN6/SUM(CM6:CO6)</f>
        <v>0.10736775818639799</v>
      </c>
      <c r="CR6" s="50">
        <f>CO6/SUM(CM6:CO6)</f>
        <v>0.63696473551637278</v>
      </c>
      <c r="CS6" s="14">
        <f>INT(INDEX($L$6:$AT$365,MATCH($CF6,$K$6:$K$365,0),MATCH(CS$4,$L$4:$AT$4,0))*$BX$34/$BP6/10000*$BX$5)</f>
        <v>829</v>
      </c>
      <c r="CT6" s="14">
        <f>INT(INDEX($L$6:$AT$365,MATCH($CF6,$K$6:$K$365,0),MATCH(CS$4,$L$4:$AT$4,0)+1)*$BY$34/$BP6/10000*$BX$6)</f>
        <v>481</v>
      </c>
      <c r="CU6" s="14">
        <f>INT(SUMPRODUCT($AB6:$AF6,$BA6:$BE6)/SUM($BA6:$BE6)/10000*$BX$7*$BZ$34/'疲劳值&amp;地图信息'!$R$10*$BY$55)</f>
        <v>2722</v>
      </c>
      <c r="CV6" s="50">
        <f>CS6/SUM(CS6:CU6)</f>
        <v>0.20560515873015872</v>
      </c>
      <c r="CW6" s="50">
        <f>CT6/SUM(CS6:CU6)</f>
        <v>0.11929563492063493</v>
      </c>
      <c r="CX6" s="50">
        <f>CU6/SUM(CS6:CU6)</f>
        <v>0.67509920634920639</v>
      </c>
      <c r="CY6" s="14">
        <f>INT(INDEX($L$6:$AT$365,MATCH($CF6,$K$6:$K$365,0),MATCH(CY$4,$L$4:$AT$4,0))*$BX$34/$BP6/10000*$BX$5)</f>
        <v>851</v>
      </c>
      <c r="CZ6" s="14">
        <f>INT(INDEX($L$6:$AT$365,MATCH($CF6,$K$6:$K$365,0),MATCH(CY$4,$L$4:$AT$4,0)+1)*$BY$34/$BP6/10000*$BX$6)</f>
        <v>813</v>
      </c>
      <c r="DA6" s="14">
        <f>INT(SUMPRODUCT($AI6:$AM6,$BA6:$BE6)/SUM($BA6:$BE6)/10000*$BX$7*$BZ$34/'疲劳值&amp;地图信息'!$R$10*$BY$56)</f>
        <v>4086</v>
      </c>
      <c r="DB6" s="50">
        <f>CY6/SUM(CY6:DA6)</f>
        <v>0.14799999999999999</v>
      </c>
      <c r="DC6" s="50">
        <f>CZ6/SUM(CY6:DA6)</f>
        <v>0.1413913043478261</v>
      </c>
      <c r="DD6" s="50">
        <f>DA6/SUM(CY6:DA6)</f>
        <v>0.71060869565217388</v>
      </c>
      <c r="DE6" s="14">
        <f>INT(INDEX($L$6:$AT$365,MATCH($CF6,$K$6:$K$365,0),MATCH(DE$4,$L$4:$AT$4,0))*$BX$34/$BP6/10000*$BX$5)</f>
        <v>866</v>
      </c>
      <c r="DF6" s="14">
        <f>INT(INDEX($L$6:$AT$365,MATCH($CF6,$K$6:$K$365,0),MATCH(DE$4,$L$4:$AT$4,0)+1)*$BY$34/$BP6/10000*$BX$6)</f>
        <v>1932</v>
      </c>
      <c r="DG6" s="14">
        <f>INT(SUMPRODUCT($AP6:$AT6,$BA6:$BE6)/SUM($BA6:$BE6)/10000*$BX$7*$BZ$34/'疲劳值&amp;地图信息'!$R$10*$BY$57)</f>
        <v>5449</v>
      </c>
      <c r="DH6" s="50">
        <f>DE6/SUM(DE6:DG6)</f>
        <v>0.10500788165393476</v>
      </c>
      <c r="DI6" s="50">
        <f>DF6/SUM(DE6:DG6)</f>
        <v>0.23426700618406693</v>
      </c>
      <c r="DJ6" s="50">
        <f>DG6/SUM(DE6:DG6)</f>
        <v>0.66072511216199825</v>
      </c>
      <c r="DL6" s="14">
        <f t="shared" ref="DL6:DL14" si="0">SUM(CG6:CI6)</f>
        <v>2387</v>
      </c>
      <c r="DM6" s="14">
        <f t="shared" ref="DM6:DM14" si="1">SUM(CM6:CO6)</f>
        <v>3176</v>
      </c>
      <c r="DN6" s="14">
        <f t="shared" ref="DN6:DN14" si="2">SUM(CS6:CU6)</f>
        <v>4032</v>
      </c>
      <c r="DO6" s="14">
        <f t="shared" ref="DO6:DO14" si="3">SUM(CY6:DA6)</f>
        <v>5750</v>
      </c>
      <c r="DP6" s="14">
        <f t="shared" ref="DP6:DP14" si="4">SUM(DE6:DG6)</f>
        <v>8247</v>
      </c>
      <c r="DQ6" s="14">
        <f t="shared" ref="DQ6:DQ14" si="5">INT(SUMPRODUCT(DL6:DP6,$BA6:$BE6))</f>
        <v>94731</v>
      </c>
      <c r="DT6" s="14">
        <f t="shared" ref="DT6:DT9" si="6">SUM($BX$11:$BX$27)/2+SUM($BY$11:$BY$27)*(60-($BX$34+$BY$34)/60/2)/2</f>
        <v>235575</v>
      </c>
      <c r="DU6" s="50">
        <f t="shared" ref="DU6:DU69" si="7">DT6/(DQ6+DT6)</f>
        <v>0.71320230331874079</v>
      </c>
      <c r="DW6" s="14">
        <f>DQ6+DT6</f>
        <v>330306</v>
      </c>
      <c r="EB6" s="14">
        <v>1</v>
      </c>
      <c r="EC6" s="51">
        <f>INT(INDEX($L$6:$AT$365,MATCH($CF6,$K$6:$K$365,0),MATCH(EC$4,$L$4:$AT$4,0))*$BX$46/$BP6/10000*$BX$5)</f>
        <v>1357</v>
      </c>
      <c r="ED6" s="51">
        <f>INT(INDEX($L$6:$AT$365,MATCH($CF6,$K$6:$K$365,0),MATCH(EC$4,$L$4:$AT$4,0)+1)*$BY$46/$BP6/10000*$BX$6)</f>
        <v>429</v>
      </c>
      <c r="EE6" s="51">
        <f>INT(SUMPRODUCT($N6:$R6,$BF6:$BJ6)/SUM($BF6:$BJ6)/10000*$BX$7*$BZ$46/'疲劳值&amp;地图信息'!$R$10*$BY$53)</f>
        <v>175</v>
      </c>
      <c r="EF6" s="50">
        <f>EC6/SUM(EC6:EE6)</f>
        <v>0.69199388067312595</v>
      </c>
      <c r="EG6" s="50">
        <f>ED6/SUM(EC6:EE6)</f>
        <v>0.21876593574706782</v>
      </c>
      <c r="EH6" s="50">
        <f>EE6/SUM(EC6:EE6)</f>
        <v>8.9240183579806218E-2</v>
      </c>
      <c r="EI6" s="51">
        <f>INT(INDEX($L$6:$AT$365,MATCH($CF6,$K$6:$K$365,0),MATCH(EI$4,$L$4:$AT$4,0))*$BX$46/$BP6/10000*$BX$5)</f>
        <v>1353</v>
      </c>
      <c r="EJ6" s="51">
        <f>INT(INDEX($L$6:$AT$365,MATCH($CF6,$K$6:$K$365,0),MATCH(EI$4,$L$4:$AT$4,0)+1)*$BY$46/$BP6/10000*$BX$6)</f>
        <v>569</v>
      </c>
      <c r="EK6" s="14">
        <f>INT(SUMPRODUCT($U6:$Y6,$BF6:$BJ6)/SUM($BF6:$BJ6)/10000*$BX$7*$BZ$46/'疲劳值&amp;地图信息'!$R$10*$BY$54)</f>
        <v>270</v>
      </c>
      <c r="EL6" s="50">
        <f>EI6/SUM(EI6:EK6)</f>
        <v>0.61724452554744524</v>
      </c>
      <c r="EM6" s="50">
        <f>EJ6/SUM(EI6:EK6)</f>
        <v>0.2595802919708029</v>
      </c>
      <c r="EN6" s="50">
        <f>EK6/SUM(EI6:EK6)</f>
        <v>0.12317518248175183</v>
      </c>
      <c r="EO6" s="51">
        <f>INT(INDEX($L$6:$AT$365,MATCH($CF6,$K$6:$K$365,0),MATCH(EO$4,$L$4:$AT$4,0))*$BX$46/$BP6/10000*$BX$5)</f>
        <v>1383</v>
      </c>
      <c r="EP6" s="51">
        <f>INT(INDEX($L$6:$AT$365,MATCH($CF6,$K$6:$K$365,0),MATCH(EO$4,$L$4:$AT$4,0)+1)*$BY$46/$BP6/10000*$BX$6)</f>
        <v>802</v>
      </c>
      <c r="EQ6" s="14">
        <f>INT(SUMPRODUCT($AB6:$AF6,$BF6:$BJ6)/SUM($BF6:$BJ6)/10000*$BX$7*$BZ$46/'疲劳值&amp;地图信息'!$R$10*$BY$55)</f>
        <v>363</v>
      </c>
      <c r="ER6" s="50">
        <f>EO6/SUM(EO6:EQ6)</f>
        <v>0.54277864992150704</v>
      </c>
      <c r="ES6" s="50">
        <f>EP6/SUM(EO6:EQ6)</f>
        <v>0.31475667189952905</v>
      </c>
      <c r="ET6" s="50">
        <f>EQ6/SUM(EO6:EQ6)</f>
        <v>0.14246467817896388</v>
      </c>
      <c r="EU6" s="51">
        <f>INT(INDEX($L$6:$AT$365,MATCH($CF6,$K$6:$K$365,0),MATCH(EU$4,$L$4:$AT$4,0))*$BX$46/$BP6/10000*$BX$5)</f>
        <v>1419</v>
      </c>
      <c r="EV6" s="51">
        <f>INT(INDEX($L$6:$AT$365,MATCH($CF6,$K$6:$K$365,0),MATCH(EU$4,$L$4:$AT$4,0)+1)*$BY$46/$BP6/10000*$BX$6)</f>
        <v>1356</v>
      </c>
      <c r="EW6" s="14">
        <f>INT(SUMPRODUCT($AI6:$AM6,$BF6:$BJ6)/SUM($BF6:$BJ6)/10000*$BX$7*$BZ$46/'疲劳值&amp;地图信息'!$R$10*$BY$56)</f>
        <v>544</v>
      </c>
      <c r="EX6" s="50">
        <f>EU6/SUM(EU6:EW6)</f>
        <v>0.42753841518529678</v>
      </c>
      <c r="EY6" s="50">
        <f>EV6/SUM(EU6:EW6)</f>
        <v>0.40855679421512503</v>
      </c>
      <c r="EZ6" s="50">
        <f>EW6/SUM(EU6:EW6)</f>
        <v>0.16390479059957819</v>
      </c>
      <c r="FA6" s="51">
        <f>INT(INDEX($L$6:$AT$365,MATCH($CF6,$K$6:$K$365,0),MATCH(FA$4,$L$4:$AT$4,0))*$BX$46/$BP6/10000*$BX$5)</f>
        <v>1444</v>
      </c>
      <c r="FB6" s="51">
        <f>INT(INDEX($L$6:$AT$365,MATCH($CF6,$K$6:$K$365,0),MATCH(FA$4,$L$4:$AT$4,0)+1)*$BY$46/$BP6/10000*$BX$6)</f>
        <v>3221</v>
      </c>
      <c r="FC6" s="14">
        <f>INT(SUMPRODUCT($AP6:$AT6,$BF6:$BJ6)/SUM($BF6:$BJ6)/10000*$BX$7*$BZ$46/'疲劳值&amp;地图信息'!$R$10*$BY$57)</f>
        <v>726</v>
      </c>
      <c r="FD6" s="50">
        <f>FA6/SUM(FA6:FC6)</f>
        <v>0.26785383045817102</v>
      </c>
      <c r="FE6" s="50">
        <f>FB6/SUM(FA6:FC6)</f>
        <v>0.59747727694305319</v>
      </c>
      <c r="FF6" s="50">
        <f>FC6/SUM(FA6:FC6)</f>
        <v>0.13466889259877574</v>
      </c>
      <c r="FH6" s="14">
        <f>SUM(EC6:EE6)</f>
        <v>1961</v>
      </c>
      <c r="FI6" s="14">
        <f>SUM(EI6:EK6)</f>
        <v>2192</v>
      </c>
      <c r="FJ6" s="14">
        <f>SUM(EO6:EQ6)</f>
        <v>2548</v>
      </c>
      <c r="FK6" s="14">
        <f>SUM(EU6:EW6)</f>
        <v>3319</v>
      </c>
      <c r="FL6" s="14">
        <f>SUM(FA6:FC6)</f>
        <v>5391</v>
      </c>
      <c r="FM6" s="14">
        <f>INT(SUMPRODUCT(FH6:FL6,$AV6:$AZ6))</f>
        <v>220325</v>
      </c>
      <c r="FP6" s="14">
        <f>SUM($BX$11:$BX$27)+SUM($BY$11:$BY$27)*(($BX$46+$BY$46+$BZ$46)/60-($BX$46+$BY$46)/60/2)</f>
        <v>334150</v>
      </c>
      <c r="FQ6" s="50">
        <f t="shared" ref="FQ6:FQ69" si="8">FP6/(FM6+FP6)</f>
        <v>0.60264213896027774</v>
      </c>
      <c r="FS6" s="14">
        <f>FM6+FP6</f>
        <v>554475</v>
      </c>
      <c r="FX6" s="14">
        <v>1</v>
      </c>
      <c r="FY6" s="51">
        <f>INT(INDEX($L$6:$AT$365,MATCH($CF6,$K$6:$K$365,0),MATCH(FY$4,$L$4:$AT$4,0))*$BX$47/$BP6/10000*$BX$5)</f>
        <v>1900</v>
      </c>
      <c r="FZ6" s="51">
        <f>INT(INDEX($L$6:$AT$365,MATCH($CF6,$K$6:$K$365,0),MATCH(FY$4,$L$4:$AT$4,0)+1)*$BY$46/$BP6/10000*$BX$6)</f>
        <v>429</v>
      </c>
      <c r="GA6" s="51">
        <f>INT(SUMPRODUCT($N6:$R6,$BF6:$BJ6)/SUM($BF6:$BJ6)/10000*$BX$7*$BZ$46/'疲劳值&amp;地图信息'!$R$10*$BY$53)</f>
        <v>175</v>
      </c>
      <c r="GB6" s="50">
        <f>FY6/SUM(FY6:GA6)</f>
        <v>0.75878594249201281</v>
      </c>
      <c r="GC6" s="50">
        <f>FZ6/SUM(FY6:GA6)</f>
        <v>0.17132587859424919</v>
      </c>
      <c r="GD6" s="50">
        <f>GA6/SUM(FY6:GA6)</f>
        <v>6.9888178913738025E-2</v>
      </c>
      <c r="GE6" s="51">
        <f>INT(INDEX($L$6:$AT$365,MATCH($CF6,$K$6:$K$365,0),MATCH(GE$4,$L$4:$AT$4,0))*$BX$47/$BP6/10000*$BX$5)</f>
        <v>1894</v>
      </c>
      <c r="GF6" s="51">
        <f>INT(INDEX($L$6:$AT$365,MATCH($CF6,$K$6:$K$365,0),MATCH(GE$4,$L$4:$AT$4,0)+1)*$BY$46/$BP6/10000*$BX$6)</f>
        <v>569</v>
      </c>
      <c r="GG6" s="14">
        <f>INT(SUMPRODUCT($U6:$Y6,$BF6:$BJ6)/SUM($BF6:$BJ6)/10000*$BX$7*$BZ$46/'疲劳值&amp;地图信息'!$R$10*$BY$54)</f>
        <v>270</v>
      </c>
      <c r="GH6" s="50">
        <f>GE6/SUM(GE6:GG6)</f>
        <v>0.69301134284668864</v>
      </c>
      <c r="GI6" s="50">
        <f>GF6/SUM(GE6:GG6)</f>
        <v>0.20819612147822905</v>
      </c>
      <c r="GJ6" s="50">
        <f>GG6/SUM(GE6:GG6)</f>
        <v>9.8792535675082324E-2</v>
      </c>
      <c r="GK6" s="51">
        <f>INT(INDEX($L$6:$AT$365,MATCH($CF6,$K$6:$K$365,0),MATCH(GK$4,$L$4:$AT$4,0))*$BX$47/$BP6/10000*$BX$5)</f>
        <v>1936</v>
      </c>
      <c r="GL6" s="51">
        <f>INT(INDEX($L$6:$AT$365,MATCH($CF6,$K$6:$K$365,0),MATCH(GK$4,$L$4:$AT$4,0)+1)*$BY$46/$BP6/10000*$BX$6)</f>
        <v>802</v>
      </c>
      <c r="GM6" s="14">
        <f>INT(SUMPRODUCT($AB6:$AF6,$BF6:$BJ6)/SUM($BF6:$BJ6)/10000*$BX$7*$BZ$46/'疲劳值&amp;地图信息'!$R$10*$BY$55)</f>
        <v>363</v>
      </c>
      <c r="GN6" s="50">
        <f>GK6/SUM(GK6:GM6)</f>
        <v>0.62431473718155439</v>
      </c>
      <c r="GO6" s="50">
        <f>GL6/SUM(GK6:GM6)</f>
        <v>0.25862624959690422</v>
      </c>
      <c r="GP6" s="50">
        <f>GM6/SUM(GK6:GM6)</f>
        <v>0.11705901322154144</v>
      </c>
      <c r="GQ6" s="51">
        <f>INT(INDEX($L$6:$AT$365,MATCH($CF6,$K$6:$K$365,0),MATCH(GQ$4,$L$4:$AT$4,0))*$BX$47/$BP6/10000*$BX$5)</f>
        <v>1986</v>
      </c>
      <c r="GR6" s="51">
        <f>INT(INDEX($L$6:$AT$365,MATCH($CF6,$K$6:$K$365,0),MATCH(GQ$4,$L$4:$AT$4,0)+1)*$BY$46/$BP6/10000*$BX$6)</f>
        <v>1356</v>
      </c>
      <c r="GS6" s="14">
        <f>INT(SUMPRODUCT($AI6:$AM6,$BF6:$BJ6)/SUM($BF6:$BJ6)/10000*$BX$7*$BZ$46/'疲劳值&amp;地图信息'!$R$10*$BY$56)</f>
        <v>544</v>
      </c>
      <c r="GT6" s="50">
        <f>GQ6/SUM(GQ6:GS6)</f>
        <v>0.5110653628409676</v>
      </c>
      <c r="GU6" s="50">
        <f>GR6/SUM(GQ6:GS6)</f>
        <v>0.34894493051981473</v>
      </c>
      <c r="GV6" s="50">
        <f>GS6/SUM(GQ6:GS6)</f>
        <v>0.1399897066392177</v>
      </c>
      <c r="GW6" s="51">
        <f>INT(INDEX($L$6:$AT$365,MATCH($CF6,$K$6:$K$365,0),MATCH(GW$4,$L$4:$AT$4,0))*$BX$47/$BP6/10000*$BX$5)</f>
        <v>2022</v>
      </c>
      <c r="GX6" s="51">
        <f>INT(INDEX($L$6:$AT$365,MATCH($CF6,$K$6:$K$365,0),MATCH(GW$4,$L$4:$AT$4,0)+1)*$BY$46/$BP6/10000*$BX$6)</f>
        <v>3221</v>
      </c>
      <c r="GY6" s="14">
        <f>INT(SUMPRODUCT($AP6:$AT6,$BF6:$BJ6)/SUM($BF6:$BJ6)/10000*$BX$7*$BZ$46/'疲劳值&amp;地图信息'!$R$10*$BY$57)</f>
        <v>726</v>
      </c>
      <c r="GZ6" s="50">
        <f>GW6/SUM(GW6:GY6)</f>
        <v>0.33875020941531242</v>
      </c>
      <c r="HA6" s="50">
        <f>GX6/SUM(GW6:GY6)</f>
        <v>0.53962137711509461</v>
      </c>
      <c r="HB6" s="50">
        <f>GY6/SUM(GW6:GY6)</f>
        <v>0.1216284134695929</v>
      </c>
      <c r="HD6" s="14">
        <f>SUM(FY6:GA6)</f>
        <v>2504</v>
      </c>
      <c r="HE6" s="14">
        <f>SUM(GE6:GG6)</f>
        <v>2733</v>
      </c>
      <c r="HF6" s="14">
        <f>SUM(GK6:GM6)</f>
        <v>3101</v>
      </c>
      <c r="HG6" s="14">
        <f>SUM(GQ6:GS6)</f>
        <v>3886</v>
      </c>
      <c r="HH6" s="14">
        <f>SUM(GW6:GY6)</f>
        <v>5969</v>
      </c>
      <c r="HI6" s="14">
        <f>INT(SUMPRODUCT(HD6:HH6,$AV6:$AZ6))</f>
        <v>277912</v>
      </c>
      <c r="HL6" s="14">
        <f>SUM($BX$11:$BX$27)+SUM($BY$11:$BY$27)*(60-($BX$46+$BY$46)/60/2)</f>
        <v>430050</v>
      </c>
      <c r="HM6" s="50">
        <f t="shared" ref="HM6:HM69" si="9">HL6/(HI6+HL6)</f>
        <v>0.60744785737087581</v>
      </c>
      <c r="HO6" s="14">
        <f>HI6+HL6</f>
        <v>707962</v>
      </c>
    </row>
    <row r="7" spans="3:223" x14ac:dyDescent="0.2">
      <c r="K7" s="14">
        <v>2</v>
      </c>
      <c r="L7" s="12">
        <f>求节点(节奏总纲!D$4:D$163,标准城池设计!AB$4:AB$163,$K7)*求节点(节奏总纲!D$4:D$163,攻城基础信息!$AC$5:$AC$164,$K7)</f>
        <v>42876.653076822775</v>
      </c>
      <c r="M7" s="12">
        <f>INDEX(其他调用!$AA$5:$AA$404,MATCH(K7,其他调用!$X$5:$X$404,0))*MIN(INDEX(其他调用!$AH$5:$AH$364,MATCH('征服点（新）'!K7,其他调用!$AG$5:$AG$364,0),1)/INDEX(其他调用!$AJ$5:$AJ$364,MATCH(K7,其他调用!$AG$5:$AG$364,0),0),5)*求节点(节奏总纲!D$4:D$163,攻城基础信息!$AC$5:$AC$164,$K7)</f>
        <v>13635.001755551266</v>
      </c>
      <c r="N7" s="12">
        <f>MIN(INDEX(其他调用!$AH$5:$AH$364,MATCH($K7,其他调用!$AG$5:$AG$364,0),1)/INDEX(其他调用!AH$5:AH$364,MATCH($K7,其他调用!$AG$5:$AG$364,0),0),1)*INDEX(其他调用!Y$5:Y$404,MATCH($K7,其他调用!$X$5:$X$404,0),0)</f>
        <v>16079.398530861479</v>
      </c>
      <c r="O7" s="12">
        <f>MIN(INDEX(其他调用!$AH$5:$AH$364,MATCH($K7,其他调用!$AG$5:$AG$364,0),1)/INDEX(其他调用!AI$5:AI$364,MATCH($K7,其他调用!$AG$5:$AG$364,0),0),1)*INDEX(其他调用!Z$5:Z$404,MATCH($K7,其他调用!$X$5:$X$404,0),0)</f>
        <v>13281.053707778672</v>
      </c>
      <c r="P7" s="12">
        <f>MIN(INDEX(其他调用!$AH$5:$AH$364,MATCH($K7,其他调用!$AG$5:$AG$364,0),1)/INDEX(其他调用!AJ$5:AJ$364,MATCH($K7,其他调用!$AG$5:$AG$364,0),0),1)*INDEX(其他调用!AA$5:AA$404,MATCH($K7,其他调用!$X$5:$X$404,0),0)</f>
        <v>10014.651356820154</v>
      </c>
      <c r="Q7" s="12">
        <f>MIN(INDEX(其他调用!$AH$5:$AH$364,MATCH($K7,其他调用!$AG$5:$AG$364,0),1)/INDEX(其他调用!AK$5:AK$364,MATCH($K7,其他调用!$AG$5:$AG$364,0),0),1)*INDEX(其他调用!AB$5:AB$404,MATCH($K7,其他调用!$X$5:$X$404,0),0)</f>
        <v>6442.0809577950213</v>
      </c>
      <c r="R7" s="12">
        <f>MIN(INDEX(其他调用!$AH$5:$AH$364,MATCH($K7,其他调用!$AG$5:$AG$364,0),1)/INDEX(其他调用!AL$5:AL$364,MATCH($K7,其他调用!$AG$5:$AG$364,0),0),1)*INDEX(其他调用!AC$5:AC$404,MATCH($K7,其他调用!$X$5:$X$404,0),0)</f>
        <v>2687.0517570850993</v>
      </c>
      <c r="S7" s="12">
        <f>求节点(节奏总纲!D$4:D$163,标准城池设计!AC$4:AC$163,$K7)*求节点(节奏总纲!D$4:D$163,攻城基础信息!$AD$5:$AD$164,$K7)</f>
        <v>43606.018481083694</v>
      </c>
      <c r="T7" s="12">
        <f>INDEX(其他调用!$AA$5:$AA$404,MATCH($K7,其他调用!$X$5:$X$404,0))*MIN(INDEX(其他调用!AI$5:AI$364,MATCH($K7,其他调用!$AG$5:$AG$364,0),1)/INDEX(其他调用!$AJ$5:$AJ$364,MATCH($K7,其他调用!$AG$5:$AG$364,0),0),5)*求节点(节奏总纲!D$4:D$163,攻城基础信息!$AD$5:$AD$164,$K7)</f>
        <v>17402.693984630328</v>
      </c>
      <c r="U7" s="12">
        <f>MIN(INDEX(其他调用!$AI$5:$AI$364,MATCH($K7,其他调用!$AG$5:$AG$364,0),1)/INDEX(其他调用!AH$5:AH$364,MATCH($K7,其他调用!$AG$5:$AG$364,0),0),1)*INDEX(其他调用!Y$5:Y$404,MATCH($K7,其他调用!$X$5:$X$404,0),0)</f>
        <v>16079.398530861479</v>
      </c>
      <c r="V7" s="12">
        <f>MIN(INDEX(其他调用!$AI$5:$AI$364,MATCH($K7,其他调用!$AG$5:$AG$364,0),1)/INDEX(其他调用!AI$5:AI$364,MATCH($K7,其他调用!$AG$5:$AG$364,0),0),1)*INDEX(其他调用!Z$5:Z$404,MATCH($K7,其他调用!$X$5:$X$404,0),0)</f>
        <v>16950.941232978796</v>
      </c>
      <c r="W7" s="12">
        <f>MIN(INDEX(其他调用!$AI$5:$AI$364,MATCH($K7,其他调用!$AG$5:$AG$364,0),1)/INDEX(其他调用!AJ$5:AJ$364,MATCH($K7,其他调用!$AG$5:$AG$364,0),0),1)*INDEX(其他调用!AA$5:AA$404,MATCH($K7,其他调用!$X$5:$X$404,0),0)</f>
        <v>12781.950163999652</v>
      </c>
      <c r="X7" s="12">
        <f>MIN(INDEX(其他调用!$AI$5:$AI$364,MATCH($K7,其他调用!$AG$5:$AG$364,0),1)/INDEX(其他调用!AK$5:AK$364,MATCH($K7,其他调用!$AG$5:$AG$364,0),0),1)*INDEX(其他调用!AB$5:AB$404,MATCH($K7,其他调用!$X$5:$X$404,0),0)</f>
        <v>8222.1891527866828</v>
      </c>
      <c r="Y7" s="12">
        <f>MIN(INDEX(其他调用!$AI$5:$AI$364,MATCH($K7,其他调用!$AG$5:$AG$364,0),1)/INDEX(其他调用!AL$5:AL$364,MATCH($K7,其他调用!$AG$5:$AG$364,0),0),1)*INDEX(其他调用!AC$5:AC$404,MATCH($K7,其他调用!$X$5:$X$404,0),0)</f>
        <v>3429.5514065758639</v>
      </c>
      <c r="Z7" s="12">
        <f>求节点(节奏总纲!D$4:D$163,标准城池设计!AD$4:AD$163,$K7)*求节点(节奏总纲!D$4:D$163,攻城基础信息!$AE$5:$AE$164,$K7)</f>
        <v>44473.115528771588</v>
      </c>
      <c r="AA7" s="12">
        <f>INDEX(其他调用!$AA$5:$AA$404,MATCH($K7,其他调用!$X$5:$X$404,0))*MIN(INDEX(其他调用!AJ$5:AJ$364,MATCH($K7,其他调用!$AG$5:$AG$364,0),1)/INDEX(其他调用!$AJ$5:$AJ$364,MATCH($K7,其他调用!$AG$5:$AG$364,0),0),5)*求节点(节奏总纲!D$4:D$163,攻城基础信息!$AE$5:$AE$164,$K7)</f>
        <v>24671.678572469758</v>
      </c>
      <c r="AB7" s="12">
        <f>MIN(INDEX(其他调用!$AJ$5:$AJ$364,MATCH($K7,其他调用!$AG$5:$AG$364,0),1)/INDEX(其他调用!AH$5:AH$364,MATCH($K7,其他调用!$AG$5:$AG$364,0),0),1)*INDEX(其他调用!Y$5:Y$404,MATCH($K7,其他调用!$X$5:$X$404,0),0)</f>
        <v>16079.398530861479</v>
      </c>
      <c r="AC7" s="12">
        <f>MIN(INDEX(其他调用!$AJ$5:$AJ$364,MATCH($K7,其他调用!$AG$5:$AG$364,0),1)/INDEX(其他调用!AI$5:AI$364,MATCH($K7,其他调用!$AG$5:$AG$364,0),0),1)*INDEX(其他调用!Z$5:Z$404,MATCH($K7,其他调用!$X$5:$X$404,0),0)</f>
        <v>16950.941232978796</v>
      </c>
      <c r="AD7" s="12">
        <f>MIN(INDEX(其他调用!$AJ$5:$AJ$364,MATCH($K7,其他调用!$AG$5:$AG$364,0),1)/INDEX(其他调用!AJ$5:AJ$364,MATCH($K7,其他调用!$AG$5:$AG$364,0),0),1)*INDEX(其他调用!AA$5:AA$404,MATCH($K7,其他调用!$X$5:$X$404,0),0)</f>
        <v>18120.882103313346</v>
      </c>
      <c r="AE7" s="12">
        <f>MIN(INDEX(其他调用!$AJ$5:$AJ$364,MATCH($K7,其他调用!$AG$5:$AG$364,0),1)/INDEX(其他调用!AK$5:AK$364,MATCH($K7,其他调用!$AG$5:$AG$364,0),0),1)*INDEX(其他调用!AB$5:AB$404,MATCH($K7,其他调用!$X$5:$X$404,0),0)</f>
        <v>11656.540540146123</v>
      </c>
      <c r="AF7" s="12">
        <f>MIN(INDEX(其他调用!$AJ$5:$AJ$364,MATCH($K7,其他调用!$AG$5:$AG$364,0),1)/INDEX(其他调用!AL$5:AL$364,MATCH($K7,其他调用!$AG$5:$AG$364,0),0),1)*INDEX(其他调用!AC$5:AC$404,MATCH($K7,其他调用!$X$5:$X$404,0),0)</f>
        <v>4862.0512447974652</v>
      </c>
      <c r="AG7" s="12">
        <f>求节点(节奏总纲!D$4:D$163,标准城池设计!AE$4:AE$163,$K7)*求节点(节奏总纲!D$4:D$163,攻城基础信息!$AF$5:$AF$164,$K7)</f>
        <v>45345.190304388198</v>
      </c>
      <c r="AH7" s="12">
        <f>INDEX(其他调用!$AA$5:$AA$404,MATCH($K7,其他调用!$X$5:$X$404,0))*MIN(INDEX(其他调用!AK$5:AK$364,MATCH($K7,其他调用!$AG$5:$AG$364,0),1)/INDEX(其他调用!$AJ$5:$AJ$364,MATCH($K7,其他调用!$AG$5:$AG$364,0),0),5)*求节点(节奏总纲!D$4:D$163,攻城基础信息!$AF$5:$AF$164,$K7)</f>
        <v>42053.355636765948</v>
      </c>
      <c r="AI7" s="12">
        <f>MIN(INDEX(其他调用!$AK$5:$AK$364,MATCH($K7,其他调用!$AG$5:$AG$364,0),1)/INDEX(其他调用!AH$5:AH$364,MATCH($K7,其他调用!$AG$5:$AG$364,0),0),1)*INDEX(其他调用!Y$5:Y$404,MATCH($K7,其他调用!$X$5:$X$404,0),0)</f>
        <v>16079.398530861479</v>
      </c>
      <c r="AJ7" s="12">
        <f>MIN(INDEX(其他调用!$AK$5:$AK$364,MATCH($K7,其他调用!$AG$5:$AG$364,0),1)/INDEX(其他调用!AI$5:AI$364,MATCH($K7,其他调用!$AG$5:$AG$364,0),0),1)*INDEX(其他调用!Z$5:Z$404,MATCH($K7,其他调用!$X$5:$X$404,0),0)</f>
        <v>16950.941232978796</v>
      </c>
      <c r="AK7" s="12">
        <f>MIN(INDEX(其他调用!$AK$5:$AK$364,MATCH($K7,其他调用!$AG$5:$AG$364,0),1)/INDEX(其他调用!AJ$5:AJ$364,MATCH($K7,其他调用!$AG$5:$AG$364,0),0),1)*INDEX(其他调用!AA$5:AA$404,MATCH($K7,其他调用!$X$5:$X$404,0),0)</f>
        <v>18120.882103313346</v>
      </c>
      <c r="AL7" s="12">
        <f>MIN(INDEX(其他调用!$AK$5:$AK$364,MATCH($K7,其他调用!$AG$5:$AG$364,0),1)/INDEX(其他调用!AK$5:AK$364,MATCH($K7,其他调用!$AG$5:$AG$364,0),0),1)*INDEX(其他调用!AB$5:AB$404,MATCH($K7,其他调用!$X$5:$X$404,0),0)</f>
        <v>19868.799903065272</v>
      </c>
      <c r="AM7" s="12">
        <f>MIN(INDEX(其他调用!$AK$5:$AK$364,MATCH($K7,其他调用!$AG$5:$AG$364,0),1)/INDEX(其他调用!AL$5:AL$364,MATCH($K7,其他调用!$AG$5:$AG$364,0),0),1)*INDEX(其他调用!AC$5:AC$404,MATCH($K7,其他调用!$X$5:$X$404,0),0)</f>
        <v>8287.4608438602227</v>
      </c>
      <c r="AN7" s="12">
        <f>求节点(节奏总纲!D$4:D$163,标准城池设计!AF$4:AF$163,$K7)*求节点(节奏总纲!D$4:D$163,攻城基础信息!$AG$5:$AG$164,$K7)</f>
        <v>45819.48046309135</v>
      </c>
      <c r="AO7" s="12">
        <f>INDEX(其他调用!$AA$5:$AA$404,MATCH($K7,其他调用!$X$5:$X$404,0))*MIN(INDEX(其他调用!AL$5:AL$364,MATCH($K7,其他调用!$AG$5:$AG$364,0),1)/INDEX(其他调用!$AJ$5:$AJ$364,MATCH($K7,其他调用!$AG$5:$AG$364,0),0),5)*求节点(节奏总纲!D$4:D$163,攻城基础信息!$AG$5:$AG$164,$K7)</f>
        <v>117176.58999030947</v>
      </c>
      <c r="AP7" s="12">
        <f>MIN(INDEX(其他调用!$AL$5:$AL$364,MATCH($K7,其他调用!$AG$5:$AG$364,0),1)/INDEX(其他调用!AH$5:AH$364,MATCH($K7,其他调用!$AG$5:$AG$364,0),0),1)*INDEX(其他调用!Y$5:Y$404,MATCH($K7,其他调用!$X$5:$X$404,0),0)</f>
        <v>16079.398530861479</v>
      </c>
      <c r="AQ7" s="12">
        <f>MIN(INDEX(其他调用!$AL$5:$AL$364,MATCH($K7,其他调用!$AG$5:$AG$364,0),1)/INDEX(其他调用!AI$5:AI$364,MATCH($K7,其他调用!$AG$5:$AG$364,0),0),1)*INDEX(其他调用!Z$5:Z$404,MATCH($K7,其他调用!$X$5:$X$404,0),0)</f>
        <v>16950.941232978796</v>
      </c>
      <c r="AR7" s="12">
        <f>MIN(INDEX(其他调用!$AL$5:$AL$364,MATCH($K7,其他调用!$AG$5:$AG$364,0),1)/INDEX(其他调用!AJ$5:AJ$364,MATCH($K7,其他调用!$AG$5:$AG$364,0),0),1)*INDEX(其他调用!AA$5:AA$404,MATCH($K7,其他调用!$X$5:$X$404,0),0)</f>
        <v>18120.882103313346</v>
      </c>
      <c r="AS7" s="12">
        <f>MIN(INDEX(其他调用!$AL$5:$AL$364,MATCH($K7,其他调用!$AG$5:$AG$364,0),1)/INDEX(其他调用!AK$5:AK$364,MATCH($K7,其他调用!$AG$5:$AG$364,0),0),1)*INDEX(其他调用!AB$5:AB$404,MATCH($K7,其他调用!$X$5:$X$404,0),0)</f>
        <v>19868.799903065272</v>
      </c>
      <c r="AT7" s="12">
        <f>MIN(INDEX(其他调用!$AL$5:$AL$364,MATCH($K7,其他调用!$AG$5:$AG$364,0),1)/INDEX(其他调用!AL$5:AL$364,MATCH($K7,其他调用!$AG$5:$AG$364,0),0),1)*INDEX(其他调用!AC$5:AC$404,MATCH($K7,其他调用!$X$5:$X$404,0),0)</f>
        <v>23092.007442867503</v>
      </c>
      <c r="AV7" s="14">
        <f>IF(OR(AV$5="大R",AV$5="超R"),MAX(INDEX(其他调用!$H$5:$L$404,MATCH($K7,其他调用!$B$5:$B$404,0),MATCH(AV$5,其他调用!$H$4:$L$4,0))*120*0.85,2),INDEX(其他调用!$H$5:$L$404,MATCH($K7,其他调用!$B$5:$B$404,0),MATCH(AV$5,其他调用!$H$4:$L$4,0))*120*0.85)</f>
        <v>88.084760869565216</v>
      </c>
      <c r="AW7" s="14">
        <f>IF(OR(AW$5="大R",AW$5="超R"),MAX(INDEX(其他调用!$H$5:$L$404,MATCH($K7,其他调用!$B$5:$B$404,0),MATCH(AW$5,其他调用!$H$4:$L$4,0))*120*0.85,2),INDEX(其他调用!$H$5:$L$404,MATCH($K7,其他调用!$B$5:$B$404,0),MATCH(AW$5,其他调用!$H$4:$L$4,0))*120*0.85)</f>
        <v>10.878359130434776</v>
      </c>
      <c r="AX7" s="14">
        <f>IF(OR(AX$5="大R",AX$5="超R"),MAX(INDEX(其他调用!$H$5:$L$404,MATCH($K7,其他调用!$B$5:$B$404,0),MATCH(AX$5,其他调用!$H$4:$L$4,0))*120*0.85,2),INDEX(其他调用!$H$5:$L$404,MATCH($K7,其他调用!$B$5:$B$404,0),MATCH(AX$5,其他调用!$H$4:$L$4,0))*120*0.85)</f>
        <v>2.7852800000000002</v>
      </c>
      <c r="AY7" s="14">
        <f>IF(OR(AY$5="大R",AY$5="超R"),MAX(INDEX(其他调用!$H$5:$L$404,MATCH($K7,其他调用!$B$5:$B$404,0),MATCH(AY$5,其他调用!$H$4:$L$4,0))*120*0.85,2),INDEX(其他调用!$H$5:$L$404,MATCH($K7,其他调用!$B$5:$B$404,0),MATCH(AY$5,其他调用!$H$4:$L$4,0))*120*0.85)</f>
        <v>2</v>
      </c>
      <c r="AZ7" s="14">
        <f>IF(OR(AZ$5="大R",AZ$5="超R"),MAX(INDEX(其他调用!$H$5:$L$404,MATCH($K7,其他调用!$B$5:$B$404,0),MATCH(AZ$5,其他调用!$H$4:$L$4,0))*120*0.85,2),INDEX(其他调用!$H$5:$L$404,MATCH($K7,其他调用!$B$5:$B$404,0),MATCH(AZ$5,其他调用!$H$4:$L$4,0))*120*0.85)</f>
        <v>2</v>
      </c>
      <c r="BA7" s="14">
        <f>INDEX(其他调用!$H$5:$L$404,MATCH($K7,其他调用!$B$5:$B$404,0),MATCH(BA$5,其他调用!$H$4:$L$4,0))*INDEX(其他调用!$M$5:$M$404,MATCH($K7,其他调用!$B$5:$B$404,0))*0.6</f>
        <v>34.148265838509317</v>
      </c>
      <c r="BB7" s="14">
        <f>INDEX(其他调用!$H$5:$L$404,MATCH($K7,其他调用!$B$5:$B$404,0),MATCH(BB$5,其他调用!$H$4:$L$4,0))*INDEX(其他调用!$M$5:$M$404,MATCH($K7,其他调用!$B$5:$B$404,0))*0.6</f>
        <v>4.2172686376811566</v>
      </c>
      <c r="BC7" s="14">
        <f>INDEX(其他调用!$H$5:$L$404,MATCH($K7,其他调用!$B$5:$B$404,0),MATCH(BC$5,其他调用!$H$4:$L$4,0))*INDEX(其他调用!$M$5:$M$404,MATCH($K7,其他调用!$B$5:$B$404,0))*0.6</f>
        <v>1.0797836190476189</v>
      </c>
      <c r="BD7" s="14">
        <f>INDEX(其他调用!$H$5:$L$404,MATCH($K7,其他调用!$B$5:$B$404,0),MATCH(BD$5,其他调用!$H$4:$L$4,0))*INDEX(其他调用!$M$5:$M$404,MATCH($K7,其他调用!$B$5:$B$404,0))*0.6</f>
        <v>8.4358095238095232E-2</v>
      </c>
      <c r="BE7" s="14">
        <f>INDEX(其他调用!$H$5:$L$404,MATCH($K7,其他调用!$B$5:$B$404,0),MATCH(BE$5,其他调用!$H$4:$L$4,0))*INDEX(其他调用!$M$5:$M$404,MATCH($K7,其他调用!$B$5:$B$404,0))*0.6</f>
        <v>1.3180952380952382E-2</v>
      </c>
      <c r="BF7" s="14">
        <f>IF(OR(BF$5="大R",BF$5="超R"),0,INDEX(其他调用!$H$5:$L$404,MATCH($K7,其他调用!$B$5:$B$404,0),MATCH(BF$5,其他调用!$H$4:$L$4,0))*50*0.4)</f>
        <v>17.271521739130435</v>
      </c>
      <c r="BG7" s="14">
        <f>IF(OR(BG$5="大R",BG$5="超R"),0,INDEX(其他调用!$H$5:$L$404,MATCH($K7,其他调用!$B$5:$B$404,0),MATCH(BG$5,其他调用!$H$4:$L$4,0))*50*0.4)</f>
        <v>2.1330115942028978</v>
      </c>
      <c r="BH7" s="14">
        <f>IF(OR(BH$5="大R",BH$5="超R"),0,INDEX(其他调用!$H$5:$L$404,MATCH($K7,其他调用!$B$5:$B$404,0),MATCH(BH$5,其他调用!$H$4:$L$4,0))*50*0.4)</f>
        <v>0.54613333333333336</v>
      </c>
      <c r="BI7" s="14">
        <f>IF(OR(BI$5="大R",BI$5="超R"),0,INDEX(其他调用!$H$5:$L$404,MATCH($K7,其他调用!$B$5:$B$404,0),MATCH(BI$5,其他调用!$H$4:$L$4,0))*50*0.4)</f>
        <v>0</v>
      </c>
      <c r="BJ7" s="14">
        <f>IF(OR(BJ$5="大R",BJ$5="超R"),0,INDEX(其他调用!$H$5:$L$404,MATCH($K7,其他调用!$B$5:$B$404,0),MATCH(BJ$5,其他调用!$H$4:$L$4,0))*50*0.4)</f>
        <v>0</v>
      </c>
      <c r="BL7" s="14">
        <f>BL6+1</f>
        <v>2</v>
      </c>
      <c r="BM7" s="14">
        <f t="shared" ref="BM7:BM70" si="10">120*0.8</f>
        <v>96</v>
      </c>
      <c r="BN7" s="14">
        <f>('疲劳值&amp;地图信息'!$S$10*'疲劳值&amp;地图信息'!$R$10+'疲劳值&amp;地图信息'!$S$11*'疲劳值&amp;地图信息'!$R$11+'疲劳值&amp;地图信息'!$S$12*'疲劳值&amp;地图信息'!$R$12+(BM7-'疲劳值&amp;地图信息'!$S$12-'疲劳值&amp;地图信息'!$S$11-'疲劳值&amp;地图信息'!$S$10)*'疲劳值&amp;地图信息'!$R$13)/BM7</f>
        <v>51.371477246638619</v>
      </c>
      <c r="BO7" s="14">
        <f>INDEX(其他调用!$M$5:$M$404,MATCH(BL7,其他调用!$B$5:$B$404,0))*0.6</f>
        <v>39.542857142857137</v>
      </c>
      <c r="BP7" s="14">
        <f>IF(BO7&gt;SUM('疲劳值&amp;地图信息'!$S$10:$S$12),('疲劳值&amp;地图信息'!$S$10*'疲劳值&amp;地图信息'!$R$10+'疲劳值&amp;地图信息'!$S$11*'疲劳值&amp;地图信息'!$R$11+'疲劳值&amp;地图信息'!$S$12*'疲劳值&amp;地图信息'!$R$12+(BO7-'疲劳值&amp;地图信息'!$S$12-'疲劳值&amp;地图信息'!$S$11-'疲劳值&amp;地图信息'!$S$10)*'疲劳值&amp;地图信息'!$R$13)/BO7,('疲劳值&amp;地图信息'!$S$10*'疲劳值&amp;地图信息'!$R$10+'疲劳值&amp;地图信息'!$S$11*'疲劳值&amp;地图信息'!$R$11+'疲劳值&amp;地图信息'!$S$12*'疲劳值&amp;地图信息'!$R$12+(BO7-'疲劳值&amp;地图信息'!$S$12-'疲劳值&amp;地图信息'!$S$11-'疲劳值&amp;地图信息'!$S$10)*'疲劳值&amp;地图信息'!$R$13)/BO7)</f>
        <v>34.2067835708865</v>
      </c>
      <c r="BQ7" s="14">
        <f>50*0.4</f>
        <v>20</v>
      </c>
      <c r="BR7" s="14">
        <f>('疲劳值&amp;地图信息'!$S$10*'疲劳值&amp;地图信息'!$R$10+($BQ7-'疲劳值&amp;地图信息'!$S$10)*'疲劳值&amp;地图信息'!$R$11)/$BQ7</f>
        <v>32.067203015074995</v>
      </c>
      <c r="BW7" s="14" t="s">
        <v>514</v>
      </c>
      <c r="BX7" s="14">
        <v>50</v>
      </c>
      <c r="CF7" s="14">
        <v>2</v>
      </c>
      <c r="CG7" s="51">
        <f t="shared" ref="CG7:CG70" si="11">INT(INDEX($L$6:$AT$365,MATCH($CF7,$K$6:$K$365,0),MATCH(CG$4,$L$4:$AT$4,0))*$BX$34/$BP7/10000*$BX$5)</f>
        <v>1128</v>
      </c>
      <c r="CH7" s="51">
        <f t="shared" ref="CH7:CH70" si="12">INT(INDEX($L$6:$AT$365,MATCH($CF7,$K$6:$K$365,0),MATCH(CG$4,$L$4:$AT$4,0)+1)*$BY$34/$BP7/10000*$BX$6)</f>
        <v>358</v>
      </c>
      <c r="CI7" s="51">
        <f>INT(SUMPRODUCT($N7:$R7,$BA7:$BE7)/SUM($BA7:$BE7)/10000*$BX$7*$BZ$34/'疲劳值&amp;地图信息'!$R$10*$BY$53)</f>
        <v>1581</v>
      </c>
      <c r="CJ7" s="50">
        <f t="shared" ref="CJ7:CJ70" si="13">CG7/SUM(CG7:CI7)</f>
        <v>0.36778611020541246</v>
      </c>
      <c r="CK7" s="50">
        <f t="shared" ref="CK7:CK70" si="14">CH7/SUM(CG7:CI7)</f>
        <v>0.11672644277795892</v>
      </c>
      <c r="CL7" s="50">
        <f t="shared" ref="CL7:CL70" si="15">CI7/SUM(CG7:CI7)</f>
        <v>0.51548744701662863</v>
      </c>
      <c r="CM7" s="14">
        <f t="shared" ref="CM7:CM70" si="16">INT(INDEX($L$6:$AT$365,MATCH($CF7,$K$6:$K$365,0),MATCH(CM$4,$L$4:$AT$4,0))*$BX$34/$BP7/10000*$BX$5)</f>
        <v>1147</v>
      </c>
      <c r="CN7" s="14">
        <f t="shared" ref="CN7:CN70" si="17">INT(INDEX($L$6:$AT$365,MATCH($CF7,$K$6:$K$365,0),MATCH(CM$4,$L$4:$AT$4,0)+1)*$BY$34/$BP7/10000*$BX$6)</f>
        <v>457</v>
      </c>
      <c r="CO7" s="14">
        <f>INT(SUMPRODUCT($U7:$Y7,$BA7:$BE7)/SUM($BA7:$BE7)/10000*$BX$7*$BZ$34/'疲劳值&amp;地图信息'!$R$10*$BY$54)</f>
        <v>2444</v>
      </c>
      <c r="CP7" s="50">
        <f t="shared" ref="CP7:CP70" si="18">CM7/SUM(CM7:CO7)</f>
        <v>0.2833498023715415</v>
      </c>
      <c r="CQ7" s="50">
        <f t="shared" ref="CQ7:CQ70" si="19">CN7/SUM(CM7:CO7)</f>
        <v>0.11289525691699605</v>
      </c>
      <c r="CR7" s="50">
        <f t="shared" ref="CR7:CR70" si="20">CO7/SUM(CM7:CO7)</f>
        <v>0.60375494071146241</v>
      </c>
      <c r="CS7" s="14">
        <f t="shared" ref="CS7:CS70" si="21">INT(INDEX($L$6:$AT$365,MATCH($CF7,$K$6:$K$365,0),MATCH(CS$4,$L$4:$AT$4,0))*$BX$34/$BP7/10000*$BX$5)</f>
        <v>1170</v>
      </c>
      <c r="CT7" s="14">
        <f t="shared" ref="CT7:CT70" si="22">INT(INDEX($L$6:$AT$365,MATCH($CF7,$K$6:$K$365,0),MATCH(CS$4,$L$4:$AT$4,0)+1)*$BY$34/$BP7/10000*$BX$6)</f>
        <v>649</v>
      </c>
      <c r="CU7" s="14">
        <f>INT(SUMPRODUCT($AB7:$AF7,$BA7:$BE7)/SUM($BA7:$BE7)/10000*$BX$7*$BZ$34/'疲劳值&amp;地图信息'!$R$10*$BY$55)</f>
        <v>3290</v>
      </c>
      <c r="CV7" s="50">
        <f t="shared" ref="CV7:CV70" si="23">CS7/SUM(CS7:CU7)</f>
        <v>0.22900763358778625</v>
      </c>
      <c r="CW7" s="50">
        <f t="shared" ref="CW7:CW70" si="24">CT7/SUM(CS7:CU7)</f>
        <v>0.12703073008416521</v>
      </c>
      <c r="CX7" s="50">
        <f t="shared" ref="CX7:CX70" si="25">CU7/SUM(CS7:CU7)</f>
        <v>0.64396163632804859</v>
      </c>
      <c r="CY7" s="14">
        <f t="shared" ref="CY7:CY70" si="26">INT(INDEX($L$6:$AT$365,MATCH($CF7,$K$6:$K$365,0),MATCH(CY$4,$L$4:$AT$4,0))*$BX$34/$BP7/10000*$BX$5)</f>
        <v>1193</v>
      </c>
      <c r="CZ7" s="14">
        <f t="shared" ref="CZ7:CZ70" si="27">INT(INDEX($L$6:$AT$365,MATCH($CF7,$K$6:$K$365,0),MATCH(CY$4,$L$4:$AT$4,0)+1)*$BY$34/$BP7/10000*$BX$6)</f>
        <v>1106</v>
      </c>
      <c r="DA7" s="14">
        <f>INT(SUMPRODUCT($AI7:$AM7,$BA7:$BE7)/SUM($BA7:$BE7)/10000*$BX$7*$BZ$34/'疲劳值&amp;地图信息'!$R$10*$BY$56)</f>
        <v>4941</v>
      </c>
      <c r="DB7" s="50">
        <f t="shared" ref="DB7:DB70" si="28">CY7/SUM(CY7:DA7)</f>
        <v>0.16477900552486188</v>
      </c>
      <c r="DC7" s="50">
        <f t="shared" ref="DC7:DC70" si="29">CZ7/SUM(CY7:DA7)</f>
        <v>0.15276243093922651</v>
      </c>
      <c r="DD7" s="50">
        <f t="shared" ref="DD7:DD70" si="30">DA7/SUM(CY7:DA7)</f>
        <v>0.68245856353591161</v>
      </c>
      <c r="DE7" s="14">
        <f t="shared" ref="DE7:DE70" si="31">INT(INDEX($L$6:$AT$365,MATCH($CF7,$K$6:$K$365,0),MATCH(DE$4,$L$4:$AT$4,0))*$BX$34/$BP7/10000*$BX$5)</f>
        <v>1205</v>
      </c>
      <c r="DF7" s="14">
        <f t="shared" ref="DF7:DF70" si="32">INT(INDEX($L$6:$AT$365,MATCH($CF7,$K$6:$K$365,0),MATCH(DE$4,$L$4:$AT$4,0)+1)*$BY$34/$BP7/10000*$BX$6)</f>
        <v>3082</v>
      </c>
      <c r="DG7" s="14">
        <f>INT(SUMPRODUCT($AP7:$AT7,$BA7:$BE7)/SUM($BA7:$BE7)/10000*$BX$7*$BZ$34/'疲劳值&amp;地图信息'!$R$10*$BY$57)</f>
        <v>6590</v>
      </c>
      <c r="DH7" s="50">
        <f t="shared" ref="DH7:DH70" si="33">DE7/SUM(DE7:DG7)</f>
        <v>0.11078422359106371</v>
      </c>
      <c r="DI7" s="50">
        <f t="shared" ref="DI7:DI70" si="34">DF7/SUM(DE7:DG7)</f>
        <v>0.28335018847108578</v>
      </c>
      <c r="DJ7" s="50">
        <f t="shared" ref="DJ7:DJ70" si="35">DG7/SUM(DE7:DG7)</f>
        <v>0.6058655879378505</v>
      </c>
      <c r="DL7" s="14">
        <f t="shared" si="0"/>
        <v>3067</v>
      </c>
      <c r="DM7" s="14">
        <f t="shared" si="1"/>
        <v>4048</v>
      </c>
      <c r="DN7" s="14">
        <f t="shared" si="2"/>
        <v>5109</v>
      </c>
      <c r="DO7" s="14">
        <f t="shared" si="3"/>
        <v>7240</v>
      </c>
      <c r="DP7" s="14">
        <f t="shared" si="4"/>
        <v>10877</v>
      </c>
      <c r="DQ7" s="14">
        <f t="shared" si="5"/>
        <v>128074</v>
      </c>
      <c r="DT7" s="14">
        <f t="shared" si="6"/>
        <v>235575</v>
      </c>
      <c r="DU7" s="50">
        <f t="shared" si="7"/>
        <v>0.64780873864633204</v>
      </c>
      <c r="DW7" s="14">
        <f t="shared" ref="DW7:DW70" si="36">DQ7+DT7</f>
        <v>363649</v>
      </c>
      <c r="EB7" s="14">
        <v>2</v>
      </c>
      <c r="EC7" s="51">
        <f t="shared" ref="EC7:EC70" si="37">INT(INDEX($L$6:$AT$365,MATCH($CF7,$K$6:$K$365,0),MATCH(EC$4,$L$4:$AT$4,0))*$BX$46/$BP7/10000*$BX$5)</f>
        <v>1880</v>
      </c>
      <c r="ED7" s="51">
        <f t="shared" ref="ED7:ED70" si="38">INT(INDEX($L$6:$AT$365,MATCH($CF7,$K$6:$K$365,0),MATCH(EC$4,$L$4:$AT$4,0)+1)*$BY$46/$BP7/10000*$BX$6)</f>
        <v>597</v>
      </c>
      <c r="EE7" s="51">
        <f>INT(SUMPRODUCT($N7:$R7,$BF7:$BJ7)/SUM($BF7:$BJ7)/10000*$BX$7*$BZ$46/'疲劳值&amp;地图信息'!$R$10*$BY$53)</f>
        <v>211</v>
      </c>
      <c r="EF7" s="50">
        <f t="shared" ref="EF7:EF70" si="39">EC7/SUM(EC7:EE7)</f>
        <v>0.69940476190476186</v>
      </c>
      <c r="EG7" s="50">
        <f t="shared" ref="EG7:EG70" si="40">ED7/SUM(EC7:EE7)</f>
        <v>0.22209821428571427</v>
      </c>
      <c r="EH7" s="50">
        <f t="shared" ref="EH7:EH70" si="41">EE7/SUM(EC7:EE7)</f>
        <v>7.8497023809523808E-2</v>
      </c>
      <c r="EI7" s="51">
        <f t="shared" ref="EI7:EI70" si="42">INT(INDEX($L$6:$AT$365,MATCH($CF7,$K$6:$K$365,0),MATCH(EI$4,$L$4:$AT$4,0))*$BX$46/$BP7/10000*$BX$5)</f>
        <v>1912</v>
      </c>
      <c r="EJ7" s="51">
        <f t="shared" ref="EJ7:EJ70" si="43">INT(INDEX($L$6:$AT$365,MATCH($CF7,$K$6:$K$365,0),MATCH(EI$4,$L$4:$AT$4,0)+1)*$BY$46/$BP7/10000*$BX$6)</f>
        <v>763</v>
      </c>
      <c r="EK7" s="14">
        <f>INT(SUMPRODUCT($U7:$Y7,$BF7:$BJ7)/SUM($BF7:$BJ7)/10000*$BX$7*$BZ$46/'疲劳值&amp;地图信息'!$R$10*$BY$54)</f>
        <v>326</v>
      </c>
      <c r="EL7" s="50">
        <f t="shared" ref="EL7:EL70" si="44">EI7/SUM(EI7:EK7)</f>
        <v>0.63712095968010662</v>
      </c>
      <c r="EM7" s="50">
        <f t="shared" ref="EM7:EM70" si="45">EJ7/SUM(EI7:EK7)</f>
        <v>0.25424858380539822</v>
      </c>
      <c r="EN7" s="50">
        <f t="shared" ref="EN7:EN70" si="46">EK7/SUM(EI7:EK7)</f>
        <v>0.10863045651449517</v>
      </c>
      <c r="EO7" s="51">
        <f t="shared" ref="EO7:EO70" si="47">INT(INDEX($L$6:$AT$365,MATCH($CF7,$K$6:$K$365,0),MATCH(EO$4,$L$4:$AT$4,0))*$BX$46/$BP7/10000*$BX$5)</f>
        <v>1950</v>
      </c>
      <c r="EP7" s="51">
        <f t="shared" ref="EP7:EP70" si="48">INT(INDEX($L$6:$AT$365,MATCH($CF7,$K$6:$K$365,0),MATCH(EO$4,$L$4:$AT$4,0)+1)*$BY$46/$BP7/10000*$BX$6)</f>
        <v>1081</v>
      </c>
      <c r="EQ7" s="14">
        <f>INT(SUMPRODUCT($AB7:$AF7,$BF7:$BJ7)/SUM($BF7:$BJ7)/10000*$BX$7*$BZ$46/'疲劳值&amp;地图信息'!$R$10*$BY$55)</f>
        <v>439</v>
      </c>
      <c r="ER7" s="50">
        <f t="shared" ref="ER7:ER70" si="49">EO7/SUM(EO7:EQ7)</f>
        <v>0.56195965417867433</v>
      </c>
      <c r="ES7" s="50">
        <f t="shared" ref="ES7:ES70" si="50">EP7/SUM(EO7:EQ7)</f>
        <v>0.31152737752161386</v>
      </c>
      <c r="ET7" s="50">
        <f t="shared" ref="ET7:ET70" si="51">EQ7/SUM(EO7:EQ7)</f>
        <v>0.12651296829971181</v>
      </c>
      <c r="EU7" s="51">
        <f t="shared" ref="EU7:EU70" si="52">INT(INDEX($L$6:$AT$365,MATCH($CF7,$K$6:$K$365,0),MATCH(EU$4,$L$4:$AT$4,0))*$BX$46/$BP7/10000*$BX$5)</f>
        <v>1988</v>
      </c>
      <c r="EV7" s="51">
        <f t="shared" ref="EV7:EV70" si="53">INT(INDEX($L$6:$AT$365,MATCH($CF7,$K$6:$K$365,0),MATCH(EU$4,$L$4:$AT$4,0)+1)*$BY$46/$BP7/10000*$BX$6)</f>
        <v>1844</v>
      </c>
      <c r="EW7" s="14">
        <f>INT(SUMPRODUCT($AI7:$AM7,$BF7:$BJ7)/SUM($BF7:$BJ7)/10000*$BX$7*$BZ$46/'疲劳值&amp;地图信息'!$R$10*$BY$56)</f>
        <v>658</v>
      </c>
      <c r="EX7" s="50">
        <f t="shared" ref="EX7:EX70" si="54">EU7/SUM(EU7:EW7)</f>
        <v>0.44276169265033405</v>
      </c>
      <c r="EY7" s="50">
        <f t="shared" ref="EY7:EY70" si="55">EV7/SUM(EU7:EW7)</f>
        <v>0.41069042316258353</v>
      </c>
      <c r="EZ7" s="50">
        <f t="shared" ref="EZ7:EZ70" si="56">EW7/SUM(EU7:EW7)</f>
        <v>0.14654788418708239</v>
      </c>
      <c r="FA7" s="51">
        <f t="shared" ref="FA7:FA70" si="57">INT(INDEX($L$6:$AT$365,MATCH($CF7,$K$6:$K$365,0),MATCH(FA$4,$L$4:$AT$4,0))*$BX$46/$BP7/10000*$BX$5)</f>
        <v>2009</v>
      </c>
      <c r="FB7" s="51">
        <f t="shared" ref="FB7:FB70" si="58">INT(INDEX($L$6:$AT$365,MATCH($CF7,$K$6:$K$365,0),MATCH(FA$4,$L$4:$AT$4,0)+1)*$BY$46/$BP7/10000*$BX$6)</f>
        <v>5138</v>
      </c>
      <c r="FC7" s="14">
        <f>INT(SUMPRODUCT($AP7:$AT7,$BF7:$BJ7)/SUM($BF7:$BJ7)/10000*$BX$7*$BZ$46/'疲劳值&amp;地图信息'!$R$10*$BY$57)</f>
        <v>878</v>
      </c>
      <c r="FD7" s="50">
        <f t="shared" ref="FD7:FD70" si="59">FA7/SUM(FA7:FC7)</f>
        <v>0.25034267912772584</v>
      </c>
      <c r="FE7" s="50">
        <f t="shared" ref="FE7:FE70" si="60">FB7/SUM(FA7:FC7)</f>
        <v>0.64024922118380068</v>
      </c>
      <c r="FF7" s="50">
        <f t="shared" ref="FF7:FF70" si="61">FC7/SUM(FA7:FC7)</f>
        <v>0.10940809968847352</v>
      </c>
      <c r="FH7" s="14">
        <f t="shared" ref="FH7:FH70" si="62">SUM(EC7:EE7)</f>
        <v>2688</v>
      </c>
      <c r="FI7" s="14">
        <f t="shared" ref="FI7:FI70" si="63">SUM(EI7:EK7)</f>
        <v>3001</v>
      </c>
      <c r="FJ7" s="14">
        <f t="shared" ref="FJ7:FJ70" si="64">SUM(EO7:EQ7)</f>
        <v>3470</v>
      </c>
      <c r="FK7" s="14">
        <f t="shared" ref="FK7:FK70" si="65">SUM(EU7:EW7)</f>
        <v>4490</v>
      </c>
      <c r="FL7" s="14">
        <f t="shared" ref="FL7:FL70" si="66">SUM(FA7:FC7)</f>
        <v>8025</v>
      </c>
      <c r="FM7" s="14">
        <f t="shared" ref="FM7:FM70" si="67">INT(SUMPRODUCT(FH7:FL7,$AV7:$AZ7))</f>
        <v>304112</v>
      </c>
      <c r="FP7" s="14">
        <f t="shared" ref="FP7:FP70" si="68">SUM($BX$11:$BX$27)+SUM($BY$11:$BY$27)*(($BX$46+$BY$46+$BZ$46)/60-($BX$46+$BY$46)/60/2)</f>
        <v>334150</v>
      </c>
      <c r="FQ7" s="50">
        <f t="shared" si="8"/>
        <v>0.52353108911387491</v>
      </c>
      <c r="FS7" s="14">
        <f t="shared" ref="FS7:FS70" si="69">FM7+FP7</f>
        <v>638262</v>
      </c>
      <c r="FX7" s="14">
        <v>2</v>
      </c>
      <c r="FY7" s="51">
        <f t="shared" ref="FY7:FY70" si="70">INT(INDEX($L$6:$AT$365,MATCH($CF7,$K$6:$K$365,0),MATCH(FY$4,$L$4:$AT$4,0))*$BX$47/$BP7/10000*$BX$5)</f>
        <v>2632</v>
      </c>
      <c r="FZ7" s="51">
        <f t="shared" ref="FZ7:FZ70" si="71">INT(INDEX($L$6:$AT$365,MATCH($CF7,$K$6:$K$365,0),MATCH(FY$4,$L$4:$AT$4,0)+1)*$BY$46/$BP7/10000*$BX$6)</f>
        <v>597</v>
      </c>
      <c r="GA7" s="51">
        <f>INT(SUMPRODUCT($N7:$R7,$BF7:$BJ7)/SUM($BF7:$BJ7)/10000*$BX$7*$BZ$46/'疲劳值&amp;地图信息'!$R$10*$BY$53)</f>
        <v>211</v>
      </c>
      <c r="GB7" s="50">
        <f t="shared" ref="GB7:GB70" si="72">FY7/SUM(FY7:GA7)</f>
        <v>0.76511627906976742</v>
      </c>
      <c r="GC7" s="50">
        <f t="shared" ref="GC7:GC70" si="73">FZ7/SUM(FY7:GA7)</f>
        <v>0.17354651162790696</v>
      </c>
      <c r="GD7" s="50">
        <f t="shared" ref="GD7:GD70" si="74">GA7/SUM(FY7:GA7)</f>
        <v>6.1337209302325578E-2</v>
      </c>
      <c r="GE7" s="51">
        <f t="shared" ref="GE7:GE70" si="75">INT(INDEX($L$6:$AT$365,MATCH($CF7,$K$6:$K$365,0),MATCH(GE$4,$L$4:$AT$4,0))*$BX$47/$BP7/10000*$BX$5)</f>
        <v>2677</v>
      </c>
      <c r="GF7" s="51">
        <f t="shared" ref="GF7:GF70" si="76">INT(INDEX($L$6:$AT$365,MATCH($CF7,$K$6:$K$365,0),MATCH(GE$4,$L$4:$AT$4,0)+1)*$BY$46/$BP7/10000*$BX$6)</f>
        <v>763</v>
      </c>
      <c r="GG7" s="14">
        <f>INT(SUMPRODUCT($U7:$Y7,$BF7:$BJ7)/SUM($BF7:$BJ7)/10000*$BX$7*$BZ$46/'疲劳值&amp;地图信息'!$R$10*$BY$54)</f>
        <v>326</v>
      </c>
      <c r="GH7" s="50">
        <f t="shared" ref="GH7:GH70" si="77">GE7/SUM(GE7:GG7)</f>
        <v>0.710833775889538</v>
      </c>
      <c r="GI7" s="50">
        <f t="shared" ref="GI7:GI70" si="78">GF7/SUM(GE7:GG7)</f>
        <v>0.20260223048327136</v>
      </c>
      <c r="GJ7" s="50">
        <f t="shared" ref="GJ7:GJ70" si="79">GG7/SUM(GE7:GG7)</f>
        <v>8.6563993627190652E-2</v>
      </c>
      <c r="GK7" s="51">
        <f t="shared" ref="GK7:GK70" si="80">INT(INDEX($L$6:$AT$365,MATCH($CF7,$K$6:$K$365,0),MATCH(GK$4,$L$4:$AT$4,0))*$BX$47/$BP7/10000*$BX$5)</f>
        <v>2730</v>
      </c>
      <c r="GL7" s="51">
        <f t="shared" ref="GL7:GL70" si="81">INT(INDEX($L$6:$AT$365,MATCH($CF7,$K$6:$K$365,0),MATCH(GK$4,$L$4:$AT$4,0)+1)*$BY$46/$BP7/10000*$BX$6)</f>
        <v>1081</v>
      </c>
      <c r="GM7" s="14">
        <f>INT(SUMPRODUCT($AB7:$AF7,$BF7:$BJ7)/SUM($BF7:$BJ7)/10000*$BX$7*$BZ$46/'疲劳值&amp;地图信息'!$R$10*$BY$55)</f>
        <v>439</v>
      </c>
      <c r="GN7" s="50">
        <f t="shared" ref="GN7:GN70" si="82">GK7/SUM(GK7:GM7)</f>
        <v>0.64235294117647057</v>
      </c>
      <c r="GO7" s="50">
        <f t="shared" ref="GO7:GO70" si="83">GL7/SUM(GK7:GM7)</f>
        <v>0.25435294117647061</v>
      </c>
      <c r="GP7" s="50">
        <f t="shared" ref="GP7:GP70" si="84">GM7/SUM(GK7:GM7)</f>
        <v>0.10329411764705883</v>
      </c>
      <c r="GQ7" s="51">
        <f t="shared" ref="GQ7:GQ70" si="85">INT(INDEX($L$6:$AT$365,MATCH($CF7,$K$6:$K$365,0),MATCH(GQ$4,$L$4:$AT$4,0))*$BX$47/$BP7/10000*$BX$5)</f>
        <v>2783</v>
      </c>
      <c r="GR7" s="51">
        <f t="shared" ref="GR7:GR70" si="86">INT(INDEX($L$6:$AT$365,MATCH($CF7,$K$6:$K$365,0),MATCH(GQ$4,$L$4:$AT$4,0)+1)*$BY$46/$BP7/10000*$BX$6)</f>
        <v>1844</v>
      </c>
      <c r="GS7" s="14">
        <f>INT(SUMPRODUCT($AI7:$AM7,$BF7:$BJ7)/SUM($BF7:$BJ7)/10000*$BX$7*$BZ$46/'疲劳值&amp;地图信息'!$R$10*$BY$56)</f>
        <v>658</v>
      </c>
      <c r="GT7" s="50">
        <f t="shared" ref="GT7:GT70" si="87">GQ7/SUM(GQ7:GS7)</f>
        <v>0.5265846736045412</v>
      </c>
      <c r="GU7" s="50">
        <f t="shared" ref="GU7:GU70" si="88">GR7/SUM(GQ7:GS7)</f>
        <v>0.34891201513718068</v>
      </c>
      <c r="GV7" s="50">
        <f t="shared" ref="GV7:GV70" si="89">GS7/SUM(GQ7:GS7)</f>
        <v>0.12450331125827814</v>
      </c>
      <c r="GW7" s="51">
        <f t="shared" ref="GW7:GW70" si="90">INT(INDEX($L$6:$AT$365,MATCH($CF7,$K$6:$K$365,0),MATCH(GW$4,$L$4:$AT$4,0))*$BX$47/$BP7/10000*$BX$5)</f>
        <v>2812</v>
      </c>
      <c r="GX7" s="51">
        <f t="shared" ref="GX7:GX70" si="91">INT(INDEX($L$6:$AT$365,MATCH($CF7,$K$6:$K$365,0),MATCH(GW$4,$L$4:$AT$4,0)+1)*$BY$46/$BP7/10000*$BX$6)</f>
        <v>5138</v>
      </c>
      <c r="GY7" s="14">
        <f>INT(SUMPRODUCT($AP7:$AT7,$BF7:$BJ7)/SUM($BF7:$BJ7)/10000*$BX$7*$BZ$46/'疲劳值&amp;地图信息'!$R$10*$BY$57)</f>
        <v>878</v>
      </c>
      <c r="GZ7" s="50">
        <f t="shared" ref="GZ7:GZ70" si="92">GW7/SUM(GW7:GY7)</f>
        <v>0.31853194381513367</v>
      </c>
      <c r="HA7" s="50">
        <f t="shared" ref="HA7:HA70" si="93">GX7/SUM(GW7:GY7)</f>
        <v>0.58201178069777981</v>
      </c>
      <c r="HB7" s="50">
        <f t="shared" ref="HB7:HB70" si="94">GY7/SUM(GW7:GY7)</f>
        <v>9.9456275487086548E-2</v>
      </c>
      <c r="HD7" s="14">
        <f t="shared" ref="HD7:HD70" si="95">SUM(FY7:GA7)</f>
        <v>3440</v>
      </c>
      <c r="HE7" s="14">
        <f t="shared" ref="HE7:HE70" si="96">SUM(GE7:GG7)</f>
        <v>3766</v>
      </c>
      <c r="HF7" s="14">
        <f t="shared" ref="HF7:HF70" si="97">SUM(GK7:GM7)</f>
        <v>4250</v>
      </c>
      <c r="HG7" s="14">
        <f t="shared" ref="HG7:HG70" si="98">SUM(GQ7:GS7)</f>
        <v>5285</v>
      </c>
      <c r="HH7" s="14">
        <f t="shared" ref="HH7:HH70" si="99">SUM(GW7:GY7)</f>
        <v>8828</v>
      </c>
      <c r="HI7" s="14">
        <f t="shared" ref="HI7:HI70" si="100">INT(SUMPRODUCT(HD7:HH7,$AV7:$AZ7))</f>
        <v>384042</v>
      </c>
      <c r="HL7" s="14">
        <f t="shared" ref="HL7:HL70" si="101">SUM($BX$11:$BX$27)+SUM($BY$11:$BY$27)*(60-($BX$46+$BY$46)/60/2)</f>
        <v>430050</v>
      </c>
      <c r="HM7" s="50">
        <f t="shared" si="9"/>
        <v>0.52825724856650114</v>
      </c>
      <c r="HO7" s="14">
        <f t="shared" ref="HO7:HO70" si="102">HI7+HL7</f>
        <v>814092</v>
      </c>
    </row>
    <row r="8" spans="3:223" x14ac:dyDescent="0.2">
      <c r="K8" s="14">
        <v>3</v>
      </c>
      <c r="L8" s="12">
        <f>求节点(节奏总纲!D$4:D$163,标准城池设计!AB$4:AB$163,$K8)*求节点(节奏总纲!D$4:D$163,攻城基础信息!$AC$5:$AC$164,$K8)</f>
        <v>54407.161586408431</v>
      </c>
      <c r="M8" s="12">
        <f>INDEX(其他调用!$AA$5:$AA$404,MATCH(K8,其他调用!$X$5:$X$404,0))*MIN(INDEX(其他调用!$AH$5:$AH$364,MATCH('征服点（新）'!K8,其他调用!$AG$5:$AG$364,0),1)/INDEX(其他调用!$AJ$5:$AJ$364,MATCH(K8,其他调用!$AG$5:$AG$364,0),0),5)*求节点(节奏总纲!D$4:D$163,攻城基础信息!$AC$5:$AC$164,$K8)</f>
        <v>16926.51403927771</v>
      </c>
      <c r="N8" s="12">
        <f>MIN(INDEX(其他调用!$AH$5:$AH$364,MATCH($K8,其他调用!$AG$5:$AG$364,0),1)/INDEX(其他调用!AH$5:AH$364,MATCH($K8,其他调用!$AG$5:$AG$364,0),0),1)*INDEX(其他调用!Y$5:Y$404,MATCH($K8,其他调用!$X$5:$X$404,0),0)</f>
        <v>17873.038768239676</v>
      </c>
      <c r="O8" s="12">
        <f>MIN(INDEX(其他调用!$AH$5:$AH$364,MATCH($K8,其他调用!$AG$5:$AG$364,0),1)/INDEX(其他调用!AI$5:AI$364,MATCH($K8,其他调用!$AG$5:$AG$364,0),0),1)*INDEX(其他调用!Z$5:Z$404,MATCH($K8,其他调用!$X$5:$X$404,0),0)</f>
        <v>14897.874725046226</v>
      </c>
      <c r="P8" s="12">
        <f>MIN(INDEX(其他调用!$AH$5:$AH$364,MATCH($K8,其他调用!$AG$5:$AG$364,0),1)/INDEX(其他调用!AJ$5:AJ$364,MATCH($K8,其他调用!$AG$5:$AG$364,0),0),1)*INDEX(其他调用!AA$5:AA$404,MATCH($K8,其他调用!$X$5:$X$404,0),0)</f>
        <v>11284.342692851795</v>
      </c>
      <c r="Q8" s="12">
        <f>MIN(INDEX(其他调用!$AH$5:$AH$364,MATCH($K8,其他调用!$AG$5:$AG$364,0),1)/INDEX(其他调用!AK$5:AK$364,MATCH($K8,其他调用!$AG$5:$AG$364,0),0),1)*INDEX(其他调用!AB$5:AB$404,MATCH($K8,其他调用!$X$5:$X$404,0),0)</f>
        <v>7026.7422617733127</v>
      </c>
      <c r="R8" s="12">
        <f>MIN(INDEX(其他调用!$AH$5:$AH$364,MATCH($K8,其他调用!$AG$5:$AG$364,0),1)/INDEX(其他调用!AL$5:AL$364,MATCH($K8,其他调用!$AG$5:$AG$364,0),0),1)*INDEX(其他调用!AC$5:AC$404,MATCH($K8,其他调用!$X$5:$X$404,0),0)</f>
        <v>2284.2649236266138</v>
      </c>
      <c r="S8" s="12">
        <f>求节点(节奏总纲!D$4:D$163,标准城池设计!AC$4:AC$163,$K8)*求节点(节奏总纲!D$4:D$163,攻城基础信息!$AD$5:$AD$164,$K8)</f>
        <v>55150.105284116085</v>
      </c>
      <c r="T8" s="12">
        <f>INDEX(其他调用!$AA$5:$AA$404,MATCH($K8,其他调用!$X$5:$X$404,0))*MIN(INDEX(其他调用!AI$5:AI$364,MATCH($K8,其他调用!$AG$5:$AG$364,0),1)/INDEX(其他调用!$AJ$5:$AJ$364,MATCH($K8,其他调用!$AG$5:$AG$364,0),0),5)*求节点(节奏总纲!D$4:D$163,攻城基础信息!$AD$5:$AD$164,$K8)</f>
        <v>21340.701249106525</v>
      </c>
      <c r="U8" s="12">
        <f>MIN(INDEX(其他调用!$AI$5:$AI$364,MATCH($K8,其他调用!$AG$5:$AG$364,0),1)/INDEX(其他调用!AH$5:AH$364,MATCH($K8,其他调用!$AG$5:$AG$364,0),0),1)*INDEX(其他调用!Y$5:Y$404,MATCH($K8,其他调用!$X$5:$X$404,0),0)</f>
        <v>17873.038768239676</v>
      </c>
      <c r="V8" s="12">
        <f>MIN(INDEX(其他调用!$AI$5:$AI$364,MATCH($K8,其他调用!$AG$5:$AG$364,0),1)/INDEX(其他调用!AI$5:AI$364,MATCH($K8,其他调用!$AG$5:$AG$364,0),0),1)*INDEX(其他调用!Z$5:Z$404,MATCH($K8,其他调用!$X$5:$X$404,0),0)</f>
        <v>18783.022482719858</v>
      </c>
      <c r="W8" s="12">
        <f>MIN(INDEX(其他调用!$AI$5:$AI$364,MATCH($K8,其他调用!$AG$5:$AG$364,0),1)/INDEX(其他调用!AJ$5:AJ$364,MATCH($K8,其他调用!$AG$5:$AG$364,0),0),1)*INDEX(其他调用!AA$5:AA$404,MATCH($K8,其他调用!$X$5:$X$404,0),0)</f>
        <v>14227.134166071002</v>
      </c>
      <c r="X8" s="12">
        <f>MIN(INDEX(其他调用!$AI$5:$AI$364,MATCH($K8,其他调用!$AG$5:$AG$364,0),1)/INDEX(其他调用!AK$5:AK$364,MATCH($K8,其他调用!$AG$5:$AG$364,0),0),1)*INDEX(其他调用!AB$5:AB$404,MATCH($K8,其他调用!$X$5:$X$404,0),0)</f>
        <v>8859.2138354658109</v>
      </c>
      <c r="Y8" s="12">
        <f>MIN(INDEX(其他调用!$AI$5:$AI$364,MATCH($K8,其他调用!$AG$5:$AG$364,0),1)/INDEX(其他调用!AL$5:AL$364,MATCH($K8,其他调用!$AG$5:$AG$364,0),0),1)*INDEX(其他调用!AC$5:AC$404,MATCH($K8,其他调用!$X$5:$X$404,0),0)</f>
        <v>2879.96779465696</v>
      </c>
      <c r="Z8" s="12">
        <f>求节点(节奏总纲!D$4:D$163,标准城池设计!AD$4:AD$163,$K8)*求节点(节奏总纲!D$4:D$163,攻城基础信息!$AE$5:$AE$164,$K8)</f>
        <v>56018.72558913898</v>
      </c>
      <c r="AA8" s="12">
        <f>INDEX(其他调用!$AA$5:$AA$404,MATCH($K8,其他调用!$X$5:$X$404,0))*MIN(INDEX(其他调用!AJ$5:AJ$364,MATCH($K8,其他调用!$AG$5:$AG$364,0),1)/INDEX(其他调用!$AJ$5:$AJ$364,MATCH($K8,其他调用!$AG$5:$AG$364,0),0),5)*求节点(节奏总纲!D$4:D$163,攻城基础信息!$AE$5:$AE$164,$K8)</f>
        <v>30018.827988892652</v>
      </c>
      <c r="AB8" s="12">
        <f>MIN(INDEX(其他调用!$AJ$5:$AJ$364,MATCH($K8,其他调用!$AG$5:$AG$364,0),1)/INDEX(其他调用!AH$5:AH$364,MATCH($K8,其他调用!$AG$5:$AG$364,0),0),1)*INDEX(其他调用!Y$5:Y$404,MATCH($K8,其他调用!$X$5:$X$404,0),0)</f>
        <v>17873.038768239676</v>
      </c>
      <c r="AC8" s="12">
        <f>MIN(INDEX(其他调用!$AJ$5:$AJ$364,MATCH($K8,其他调用!$AG$5:$AG$364,0),1)/INDEX(其他调用!AI$5:AI$364,MATCH($K8,其他调用!$AG$5:$AG$364,0),0),1)*INDEX(其他调用!Z$5:Z$404,MATCH($K8,其他调用!$X$5:$X$404,0),0)</f>
        <v>18783.022482719858</v>
      </c>
      <c r="AD8" s="12">
        <f>MIN(INDEX(其他调用!$AJ$5:$AJ$364,MATCH($K8,其他调用!$AG$5:$AG$364,0),1)/INDEX(其他调用!AJ$5:AJ$364,MATCH($K8,其他调用!$AG$5:$AG$364,0),0),1)*INDEX(其他调用!AA$5:AA$404,MATCH($K8,其他调用!$X$5:$X$404,0),0)</f>
        <v>20012.551992595079</v>
      </c>
      <c r="AE8" s="12">
        <f>MIN(INDEX(其他调用!$AJ$5:$AJ$364,MATCH($K8,其他调用!$AG$5:$AG$364,0),1)/INDEX(其他调用!AK$5:AK$364,MATCH($K8,其他调用!$AG$5:$AG$364,0),0),1)*INDEX(其他调用!AB$5:AB$404,MATCH($K8,其他调用!$X$5:$X$404,0),0)</f>
        <v>12461.784321862449</v>
      </c>
      <c r="AF8" s="12">
        <f>MIN(INDEX(其他调用!$AJ$5:$AJ$364,MATCH($K8,其他调用!$AG$5:$AG$364,0),1)/INDEX(其他调用!AL$5:AL$364,MATCH($K8,其他调用!$AG$5:$AG$364,0),0),1)*INDEX(其他调用!AC$5:AC$404,MATCH($K8,其他调用!$X$5:$X$404,0),0)</f>
        <v>4051.0973295677122</v>
      </c>
      <c r="AG8" s="12">
        <f>求节点(节奏总纲!D$4:D$163,标准城池设计!AE$4:AE$163,$K8)*求节点(节奏总纲!D$4:D$163,攻城基础信息!$AF$5:$AF$164,$K8)</f>
        <v>57516.547950696811</v>
      </c>
      <c r="AH8" s="12">
        <f>INDEX(其他调用!$AA$5:$AA$404,MATCH($K8,其他调用!$X$5:$X$404,0))*MIN(INDEX(其他调用!AK$5:AK$364,MATCH($K8,其他调用!$AG$5:$AG$364,0),1)/INDEX(其他调用!$AJ$5:$AJ$364,MATCH($K8,其他调用!$AG$5:$AG$364,0),0),5)*求节点(节奏总纲!D$4:D$163,攻城基础信息!$AF$5:$AF$164,$K8)</f>
        <v>52602.391489119982</v>
      </c>
      <c r="AI8" s="12">
        <f>MIN(INDEX(其他调用!$AK$5:$AK$364,MATCH($K8,其他调用!$AG$5:$AG$364,0),1)/INDEX(其他调用!AH$5:AH$364,MATCH($K8,其他调用!$AG$5:$AG$364,0),0),1)*INDEX(其他调用!Y$5:Y$404,MATCH($K8,其他调用!$X$5:$X$404,0),0)</f>
        <v>17873.038768239676</v>
      </c>
      <c r="AJ8" s="12">
        <f>MIN(INDEX(其他调用!$AK$5:$AK$364,MATCH($K8,其他调用!$AG$5:$AG$364,0),1)/INDEX(其他调用!AI$5:AI$364,MATCH($K8,其他调用!$AG$5:$AG$364,0),0),1)*INDEX(其他调用!Z$5:Z$404,MATCH($K8,其他调用!$X$5:$X$404,0),0)</f>
        <v>18783.022482719858</v>
      </c>
      <c r="AK8" s="12">
        <f>MIN(INDEX(其他调用!$AK$5:$AK$364,MATCH($K8,其他调用!$AG$5:$AG$364,0),1)/INDEX(其他调用!AJ$5:AJ$364,MATCH($K8,其他调用!$AG$5:$AG$364,0),0),1)*INDEX(其他调用!AA$5:AA$404,MATCH($K8,其他调用!$X$5:$X$404,0),0)</f>
        <v>20012.551992595079</v>
      </c>
      <c r="AL8" s="12">
        <f>MIN(INDEX(其他调用!$AK$5:$AK$364,MATCH($K8,其他调用!$AG$5:$AG$364,0),1)/INDEX(其他调用!AK$5:AK$364,MATCH($K8,其他调用!$AG$5:$AG$364,0),0),1)*INDEX(其他调用!AB$5:AB$404,MATCH($K8,其他调用!$X$5:$X$404,0),0)</f>
        <v>21836.950389739959</v>
      </c>
      <c r="AM8" s="12">
        <f>MIN(INDEX(其他调用!$AK$5:$AK$364,MATCH($K8,其他调用!$AG$5:$AG$364,0),1)/INDEX(其他调用!AL$5:AL$364,MATCH($K8,其他调用!$AG$5:$AG$364,0),0),1)*INDEX(其他调用!AC$5:AC$404,MATCH($K8,其他调用!$X$5:$X$404,0),0)</f>
        <v>7098.7917239573144</v>
      </c>
      <c r="AN8" s="12">
        <f>求节点(节奏总纲!D$4:D$163,标准城池设计!AF$4:AF$163,$K8)*求节点(节奏总纲!D$4:D$163,攻城基础信息!$AG$5:$AG$164,$K8)</f>
        <v>57602.722739327597</v>
      </c>
      <c r="AO8" s="12">
        <f>INDEX(其他调用!$AA$5:$AA$404,MATCH($K8,其他调用!$X$5:$X$404,0))*MIN(INDEX(其他调用!AL$5:AL$364,MATCH($K8,其他调用!$AG$5:$AG$364,0),1)/INDEX(其他调用!$AJ$5:$AJ$364,MATCH($K8,其他调用!$AG$5:$AG$364,0),0),5)*求节点(节奏总纲!D$4:D$163,攻城基础信息!$AG$5:$AG$164,$K8)</f>
        <v>150094.13994446324</v>
      </c>
      <c r="AP8" s="12">
        <f>MIN(INDEX(其他调用!$AL$5:$AL$364,MATCH($K8,其他调用!$AG$5:$AG$364,0),1)/INDEX(其他调用!AH$5:AH$364,MATCH($K8,其他调用!$AG$5:$AG$364,0),0),1)*INDEX(其他调用!Y$5:Y$404,MATCH($K8,其他调用!$X$5:$X$404,0),0)</f>
        <v>17873.038768239676</v>
      </c>
      <c r="AQ8" s="12">
        <f>MIN(INDEX(其他调用!$AL$5:$AL$364,MATCH($K8,其他调用!$AG$5:$AG$364,0),1)/INDEX(其他调用!AI$5:AI$364,MATCH($K8,其他调用!$AG$5:$AG$364,0),0),1)*INDEX(其他调用!Z$5:Z$404,MATCH($K8,其他调用!$X$5:$X$404,0),0)</f>
        <v>18783.022482719858</v>
      </c>
      <c r="AR8" s="12">
        <f>MIN(INDEX(其他调用!$AL$5:$AL$364,MATCH($K8,其他调用!$AG$5:$AG$364,0),1)/INDEX(其他调用!AJ$5:AJ$364,MATCH($K8,其他调用!$AG$5:$AG$364,0),0),1)*INDEX(其他调用!AA$5:AA$404,MATCH($K8,其他调用!$X$5:$X$404,0),0)</f>
        <v>20012.551992595079</v>
      </c>
      <c r="AS8" s="12">
        <f>MIN(INDEX(其他调用!$AL$5:$AL$364,MATCH($K8,其他调用!$AG$5:$AG$364,0),1)/INDEX(其他调用!AK$5:AK$364,MATCH($K8,其他调用!$AG$5:$AG$364,0),0),1)*INDEX(其他调用!AB$5:AB$404,MATCH($K8,其他调用!$X$5:$X$404,0),0)</f>
        <v>21836.950389739959</v>
      </c>
      <c r="AT8" s="12">
        <f>MIN(INDEX(其他调用!$AL$5:$AL$364,MATCH($K8,其他调用!$AG$5:$AG$364,0),1)/INDEX(其他调用!AL$5:AL$364,MATCH($K8,其他调用!$AG$5:$AG$364,0),0),1)*INDEX(其他调用!AC$5:AC$404,MATCH($K8,其他调用!$X$5:$X$404,0),0)</f>
        <v>25154.003675283078</v>
      </c>
      <c r="AV8" s="14">
        <f>IF(OR(AV$5="大R",AV$5="超R"),MAX(INDEX(其他调用!$H$5:$L$404,MATCH($K8,其他调用!$B$5:$B$404,0),MATCH(AV$5,其他调用!$H$4:$L$4,0))*120*0.85,2),INDEX(其他调用!$H$5:$L$404,MATCH($K8,其他调用!$B$5:$B$404,0),MATCH(AV$5,其他调用!$H$4:$L$4,0))*120*0.85)</f>
        <v>84.369521739130434</v>
      </c>
      <c r="AW8" s="14">
        <f>IF(OR(AW$5="大R",AW$5="超R"),MAX(INDEX(其他调用!$H$5:$L$404,MATCH($K8,其他调用!$B$5:$B$404,0),MATCH(AW$5,其他调用!$H$4:$L$4,0))*120*0.85,2),INDEX(其他调用!$H$5:$L$404,MATCH($K8,其他调用!$B$5:$B$404,0),MATCH(AW$5,其他调用!$H$4:$L$4,0))*120*0.85)</f>
        <v>14.351518260869556</v>
      </c>
      <c r="AX8" s="14">
        <f>IF(OR(AX$5="大R",AX$5="超R"),MAX(INDEX(其他调用!$H$5:$L$404,MATCH($K8,其他调用!$B$5:$B$404,0),MATCH(AX$5,其他调用!$H$4:$L$4,0))*120*0.85,2),INDEX(其他调用!$H$5:$L$404,MATCH($K8,其他调用!$B$5:$B$404,0),MATCH(AX$5,其他调用!$H$4:$L$4,0))*120*0.85)</f>
        <v>2.9593599999999998</v>
      </c>
      <c r="AY8" s="14">
        <f>IF(OR(AY$5="大R",AY$5="超R"),MAX(INDEX(其他调用!$H$5:$L$404,MATCH($K8,其他调用!$B$5:$B$404,0),MATCH(AY$5,其他调用!$H$4:$L$4,0))*120*0.85,2),INDEX(其他调用!$H$5:$L$404,MATCH($K8,其他调用!$B$5:$B$404,0),MATCH(AY$5,其他调用!$H$4:$L$4,0))*120*0.85)</f>
        <v>2</v>
      </c>
      <c r="AZ8" s="14">
        <f>IF(OR(AZ$5="大R",AZ$5="超R"),MAX(INDEX(其他调用!$H$5:$L$404,MATCH($K8,其他调用!$B$5:$B$404,0),MATCH(AZ$5,其他调用!$H$4:$L$4,0))*120*0.85,2),INDEX(其他调用!$H$5:$L$404,MATCH($K8,其他调用!$B$5:$B$404,0),MATCH(AZ$5,其他调用!$H$4:$L$4,0))*120*0.85)</f>
        <v>2</v>
      </c>
      <c r="BA8" s="14">
        <f>INDEX(其他调用!$H$5:$L$404,MATCH($K8,其他调用!$B$5:$B$404,0),MATCH(BA$5,其他调用!$H$4:$L$4,0))*INDEX(其他调用!$M$5:$M$404,MATCH($K8,其他调用!$B$5:$B$404,0))*0.6</f>
        <v>33.60601118012422</v>
      </c>
      <c r="BB8" s="14">
        <f>INDEX(其他调用!$H$5:$L$404,MATCH($K8,其他调用!$B$5:$B$404,0),MATCH(BB$5,其他调用!$H$4:$L$4,0))*INDEX(其他调用!$M$5:$M$404,MATCH($K8,其他调用!$B$5:$B$404,0))*0.6</f>
        <v>5.7164871055900575</v>
      </c>
      <c r="BC8" s="14">
        <f>INDEX(其他调用!$H$5:$L$404,MATCH($K8,其他调用!$B$5:$B$404,0),MATCH(BC$5,其他调用!$H$4:$L$4,0))*INDEX(其他调用!$M$5:$M$404,MATCH($K8,其他调用!$B$5:$B$404,0))*0.6</f>
        <v>1.1787702857142854</v>
      </c>
      <c r="BD8" s="14">
        <f>INDEX(其他调用!$H$5:$L$404,MATCH($K8,其他调用!$B$5:$B$404,0),MATCH(BD$5,其他调用!$H$4:$L$4,0))*INDEX(其他调用!$M$5:$M$404,MATCH($K8,其他调用!$B$5:$B$404,0))*0.6</f>
        <v>0.10834285714285714</v>
      </c>
      <c r="BE8" s="14">
        <f>INDEX(其他调用!$H$5:$L$404,MATCH($K8,其他调用!$B$5:$B$404,0),MATCH(BE$5,其他调用!$H$4:$L$4,0))*INDEX(其他调用!$M$5:$M$404,MATCH($K8,其他调用!$B$5:$B$404,0))*0.6</f>
        <v>1.8959999999999998E-2</v>
      </c>
      <c r="BF8" s="14">
        <f>IF(OR(BF$5="大R",BF$5="超R"),0,INDEX(其他调用!$H$5:$L$404,MATCH($K8,其他调用!$B$5:$B$404,0),MATCH(BF$5,其他调用!$H$4:$L$4,0))*50*0.4)</f>
        <v>16.54304347826087</v>
      </c>
      <c r="BG8" s="14">
        <f>IF(OR(BG$5="大R",BG$5="超R"),0,INDEX(其他调用!$H$5:$L$404,MATCH($K8,其他调用!$B$5:$B$404,0),MATCH(BG$5,其他调用!$H$4:$L$4,0))*50*0.4)</f>
        <v>2.8140231884057956</v>
      </c>
      <c r="BH8" s="14">
        <f>IF(OR(BH$5="大R",BH$5="超R"),0,INDEX(其他调用!$H$5:$L$404,MATCH($K8,其他调用!$B$5:$B$404,0),MATCH(BH$5,其他调用!$H$4:$L$4,0))*50*0.4)</f>
        <v>0.5802666666666666</v>
      </c>
      <c r="BI8" s="14">
        <f>IF(OR(BI$5="大R",BI$5="超R"),0,INDEX(其他调用!$H$5:$L$404,MATCH($K8,其他调用!$B$5:$B$404,0),MATCH(BI$5,其他调用!$H$4:$L$4,0))*50*0.4)</f>
        <v>0</v>
      </c>
      <c r="BJ8" s="14">
        <f>IF(OR(BJ$5="大R",BJ$5="超R"),0,INDEX(其他调用!$H$5:$L$404,MATCH($K8,其他调用!$B$5:$B$404,0),MATCH(BJ$5,其他调用!$H$4:$L$4,0))*50*0.4)</f>
        <v>0</v>
      </c>
      <c r="BL8" s="14">
        <f t="shared" ref="BL8:BL71" si="103">BL7+1</f>
        <v>3</v>
      </c>
      <c r="BM8" s="14">
        <f t="shared" si="10"/>
        <v>96</v>
      </c>
      <c r="BN8" s="14">
        <f>('疲劳值&amp;地图信息'!$S$10*'疲劳值&amp;地图信息'!$R$10+'疲劳值&amp;地图信息'!$S$11*'疲劳值&amp;地图信息'!$R$11+'疲劳值&amp;地图信息'!$S$12*'疲劳值&amp;地图信息'!$R$12+(BM8-'疲劳值&amp;地图信息'!$S$12-'疲劳值&amp;地图信息'!$S$11-'疲劳值&amp;地图信息'!$S$10)*'疲劳值&amp;地图信息'!$R$13)/BM8</f>
        <v>51.371477246638619</v>
      </c>
      <c r="BO8" s="14">
        <f>INDEX(其他调用!$M$5:$M$404,MATCH(BL8,其他调用!$B$5:$B$404,0))*0.6</f>
        <v>40.628571428571426</v>
      </c>
      <c r="BP8" s="14">
        <f>IF(BO8&gt;SUM('疲劳值&amp;地图信息'!$S$10:$S$12),('疲劳值&amp;地图信息'!$S$10*'疲劳值&amp;地图信息'!$R$10+'疲劳值&amp;地图信息'!$S$11*'疲劳值&amp;地图信息'!$R$11+'疲劳值&amp;地图信息'!$S$12*'疲劳值&amp;地图信息'!$R$12+(BO8-'疲劳值&amp;地图信息'!$S$12-'疲劳值&amp;地图信息'!$S$11-'疲劳值&amp;地图信息'!$S$10)*'疲劳值&amp;地图信息'!$R$13)/BO8,('疲劳值&amp;地图信息'!$S$10*'疲劳值&amp;地图信息'!$R$10+'疲劳值&amp;地图信息'!$S$11*'疲劳值&amp;地图信息'!$R$11+'疲劳值&amp;地图信息'!$S$12*'疲劳值&amp;地图信息'!$R$12+(BO8-'疲劳值&amp;地图信息'!$S$12-'疲劳值&amp;地图信息'!$S$11-'疲劳值&amp;地图信息'!$S$10)*'疲劳值&amp;地图信息'!$R$13)/BO8)</f>
        <v>34.98674368598072</v>
      </c>
      <c r="BQ8" s="14">
        <f t="shared" ref="BQ8:BQ71" si="104">50*0.4</f>
        <v>20</v>
      </c>
      <c r="BR8" s="14">
        <f>('疲劳值&amp;地图信息'!$S$10*'疲劳值&amp;地图信息'!$R$10+($BQ8-'疲劳值&amp;地图信息'!$S$10)*'疲劳值&amp;地图信息'!$R$11)/$BQ8</f>
        <v>32.067203015074995</v>
      </c>
      <c r="CF8" s="14">
        <v>3</v>
      </c>
      <c r="CG8" s="51">
        <f t="shared" si="11"/>
        <v>1399</v>
      </c>
      <c r="CH8" s="51">
        <f t="shared" si="12"/>
        <v>435</v>
      </c>
      <c r="CI8" s="51">
        <f>INT(SUMPRODUCT($N8:$R8,$BA8:$BE8)/SUM($BA8:$BE8)/10000*$BX$7*$BZ$34/'疲劳值&amp;地图信息'!$R$10*$BY$53)</f>
        <v>1747</v>
      </c>
      <c r="CJ8" s="50">
        <f t="shared" si="13"/>
        <v>0.39067299636972913</v>
      </c>
      <c r="CK8" s="50">
        <f t="shared" si="14"/>
        <v>0.12147444847807874</v>
      </c>
      <c r="CL8" s="50">
        <f t="shared" si="15"/>
        <v>0.48785255515219211</v>
      </c>
      <c r="CM8" s="14">
        <f t="shared" si="16"/>
        <v>1418</v>
      </c>
      <c r="CN8" s="14">
        <f t="shared" si="17"/>
        <v>548</v>
      </c>
      <c r="CO8" s="14">
        <f>INT(SUMPRODUCT($U8:$Y8,$BA8:$BE8)/SUM($BA8:$BE8)/10000*$BX$7*$BZ$34/'疲劳值&amp;地图信息'!$R$10*$BY$54)</f>
        <v>2718</v>
      </c>
      <c r="CP8" s="50">
        <f t="shared" si="18"/>
        <v>0.30273270708795902</v>
      </c>
      <c r="CQ8" s="50">
        <f t="shared" si="19"/>
        <v>0.11699402220324509</v>
      </c>
      <c r="CR8" s="50">
        <f t="shared" si="20"/>
        <v>0.58027327070879586</v>
      </c>
      <c r="CS8" s="14">
        <f t="shared" si="21"/>
        <v>1441</v>
      </c>
      <c r="CT8" s="14">
        <f t="shared" si="22"/>
        <v>772</v>
      </c>
      <c r="CU8" s="14">
        <f>INT(SUMPRODUCT($AB8:$AF8,$BA8:$BE8)/SUM($BA8:$BE8)/10000*$BX$7*$BZ$34/'疲劳值&amp;地图信息'!$R$10*$BY$55)</f>
        <v>3661</v>
      </c>
      <c r="CV8" s="50">
        <f t="shared" si="23"/>
        <v>0.24531835205992508</v>
      </c>
      <c r="CW8" s="50">
        <f t="shared" si="24"/>
        <v>0.13142662580864828</v>
      </c>
      <c r="CX8" s="50">
        <f t="shared" si="25"/>
        <v>0.62325502213142658</v>
      </c>
      <c r="CY8" s="14">
        <f t="shared" si="26"/>
        <v>1479</v>
      </c>
      <c r="CZ8" s="14">
        <f t="shared" si="27"/>
        <v>1353</v>
      </c>
      <c r="DA8" s="14">
        <f>INT(SUMPRODUCT($AI8:$AM8,$BA8:$BE8)/SUM($BA8:$BE8)/10000*$BX$7*$BZ$34/'疲劳值&amp;地图信息'!$R$10*$BY$56)</f>
        <v>5500</v>
      </c>
      <c r="DB8" s="50">
        <f t="shared" si="28"/>
        <v>0.17750840134421508</v>
      </c>
      <c r="DC8" s="50">
        <f t="shared" si="29"/>
        <v>0.16238598175708113</v>
      </c>
      <c r="DD8" s="50">
        <f t="shared" si="30"/>
        <v>0.66010561689870384</v>
      </c>
      <c r="DE8" s="14">
        <f t="shared" si="31"/>
        <v>1481</v>
      </c>
      <c r="DF8" s="14">
        <f t="shared" si="32"/>
        <v>3861</v>
      </c>
      <c r="DG8" s="14">
        <f>INT(SUMPRODUCT($AP8:$AT8,$BA8:$BE8)/SUM($BA8:$BE8)/10000*$BX$7*$BZ$34/'疲劳值&amp;地图信息'!$R$10*$BY$57)</f>
        <v>7336</v>
      </c>
      <c r="DH8" s="50">
        <f t="shared" si="33"/>
        <v>0.1168165325761161</v>
      </c>
      <c r="DI8" s="50">
        <f t="shared" si="34"/>
        <v>0.30454330336015145</v>
      </c>
      <c r="DJ8" s="50">
        <f t="shared" si="35"/>
        <v>0.57864016406373242</v>
      </c>
      <c r="DL8" s="14">
        <f t="shared" si="0"/>
        <v>3581</v>
      </c>
      <c r="DM8" s="14">
        <f t="shared" si="1"/>
        <v>4684</v>
      </c>
      <c r="DN8" s="14">
        <f t="shared" si="2"/>
        <v>5874</v>
      </c>
      <c r="DO8" s="14">
        <f t="shared" si="3"/>
        <v>8332</v>
      </c>
      <c r="DP8" s="14">
        <f t="shared" si="4"/>
        <v>12678</v>
      </c>
      <c r="DQ8" s="14">
        <f t="shared" si="5"/>
        <v>155186</v>
      </c>
      <c r="DT8" s="14">
        <f t="shared" si="6"/>
        <v>235575</v>
      </c>
      <c r="DU8" s="50">
        <f t="shared" si="7"/>
        <v>0.60286210752864278</v>
      </c>
      <c r="DW8" s="14">
        <f t="shared" si="36"/>
        <v>390761</v>
      </c>
      <c r="EB8" s="14">
        <v>3</v>
      </c>
      <c r="EC8" s="51">
        <f t="shared" si="37"/>
        <v>2332</v>
      </c>
      <c r="ED8" s="51">
        <f t="shared" si="38"/>
        <v>725</v>
      </c>
      <c r="EE8" s="51">
        <f>INT(SUMPRODUCT($N8:$R8,$BF8:$BJ8)/SUM($BF8:$BJ8)/10000*$BX$7*$BZ$46/'疲劳值&amp;地图信息'!$R$10*$BY$53)</f>
        <v>233</v>
      </c>
      <c r="EF8" s="50">
        <f t="shared" si="39"/>
        <v>0.70881458966565347</v>
      </c>
      <c r="EG8" s="50">
        <f t="shared" si="40"/>
        <v>0.22036474164133737</v>
      </c>
      <c r="EH8" s="50">
        <f t="shared" si="41"/>
        <v>7.0820668693009112E-2</v>
      </c>
      <c r="EI8" s="51">
        <f t="shared" si="42"/>
        <v>2364</v>
      </c>
      <c r="EJ8" s="51">
        <f t="shared" si="43"/>
        <v>914</v>
      </c>
      <c r="EK8" s="14">
        <f>INT(SUMPRODUCT($U8:$Y8,$BF8:$BJ8)/SUM($BF8:$BJ8)/10000*$BX$7*$BZ$46/'疲劳值&amp;地图信息'!$R$10*$BY$54)</f>
        <v>363</v>
      </c>
      <c r="EL8" s="50">
        <f t="shared" si="44"/>
        <v>0.64927217797308434</v>
      </c>
      <c r="EM8" s="50">
        <f t="shared" si="45"/>
        <v>0.25102993683054103</v>
      </c>
      <c r="EN8" s="50">
        <f t="shared" si="46"/>
        <v>9.9697885196374625E-2</v>
      </c>
      <c r="EO8" s="51">
        <f t="shared" si="47"/>
        <v>2401</v>
      </c>
      <c r="EP8" s="51">
        <f t="shared" si="48"/>
        <v>1287</v>
      </c>
      <c r="EQ8" s="14">
        <f>INT(SUMPRODUCT($AB8:$AF8,$BF8:$BJ8)/SUM($BF8:$BJ8)/10000*$BX$7*$BZ$46/'疲劳值&amp;地图信息'!$R$10*$BY$55)</f>
        <v>488</v>
      </c>
      <c r="ER8" s="50">
        <f t="shared" si="49"/>
        <v>0.57495210727969348</v>
      </c>
      <c r="ES8" s="50">
        <f t="shared" si="50"/>
        <v>0.30818965517241381</v>
      </c>
      <c r="ET8" s="50">
        <f t="shared" si="51"/>
        <v>0.11685823754789272</v>
      </c>
      <c r="EU8" s="51">
        <f t="shared" si="52"/>
        <v>2465</v>
      </c>
      <c r="EV8" s="51">
        <f t="shared" si="53"/>
        <v>2255</v>
      </c>
      <c r="EW8" s="14">
        <f>INT(SUMPRODUCT($AI8:$AM8,$BF8:$BJ8)/SUM($BF8:$BJ8)/10000*$BX$7*$BZ$46/'疲劳值&amp;地图信息'!$R$10*$BY$56)</f>
        <v>733</v>
      </c>
      <c r="EX8" s="50">
        <f t="shared" si="54"/>
        <v>0.4520447460113699</v>
      </c>
      <c r="EY8" s="50">
        <f t="shared" si="55"/>
        <v>0.41353383458646614</v>
      </c>
      <c r="EZ8" s="50">
        <f t="shared" si="56"/>
        <v>0.13442141940216396</v>
      </c>
      <c r="FA8" s="51">
        <f t="shared" si="57"/>
        <v>2469</v>
      </c>
      <c r="FB8" s="51">
        <f t="shared" si="58"/>
        <v>6435</v>
      </c>
      <c r="FC8" s="14">
        <f>INT(SUMPRODUCT($AP8:$AT8,$BF8:$BJ8)/SUM($BF8:$BJ8)/10000*$BX$7*$BZ$46/'疲劳值&amp;地图信息'!$R$10*$BY$57)</f>
        <v>977</v>
      </c>
      <c r="FD8" s="50">
        <f t="shared" si="59"/>
        <v>0.24987349458556826</v>
      </c>
      <c r="FE8" s="50">
        <f t="shared" si="60"/>
        <v>0.65124987349458552</v>
      </c>
      <c r="FF8" s="50">
        <f t="shared" si="61"/>
        <v>9.8876631919846164E-2</v>
      </c>
      <c r="FH8" s="14">
        <f t="shared" si="62"/>
        <v>3290</v>
      </c>
      <c r="FI8" s="14">
        <f t="shared" si="63"/>
        <v>3641</v>
      </c>
      <c r="FJ8" s="14">
        <f t="shared" si="64"/>
        <v>4176</v>
      </c>
      <c r="FK8" s="14">
        <f t="shared" si="65"/>
        <v>5453</v>
      </c>
      <c r="FL8" s="14">
        <f t="shared" si="66"/>
        <v>9881</v>
      </c>
      <c r="FM8" s="14">
        <f t="shared" si="67"/>
        <v>372855</v>
      </c>
      <c r="FP8" s="14">
        <f t="shared" si="68"/>
        <v>334150</v>
      </c>
      <c r="FQ8" s="50">
        <f t="shared" si="8"/>
        <v>0.47262749202622328</v>
      </c>
      <c r="FS8" s="14">
        <f t="shared" si="69"/>
        <v>707005</v>
      </c>
      <c r="FX8" s="14">
        <v>3</v>
      </c>
      <c r="FY8" s="51">
        <f t="shared" si="70"/>
        <v>3265</v>
      </c>
      <c r="FZ8" s="51">
        <f t="shared" si="71"/>
        <v>725</v>
      </c>
      <c r="GA8" s="51">
        <f>INT(SUMPRODUCT($N8:$R8,$BF8:$BJ8)/SUM($BF8:$BJ8)/10000*$BX$7*$BZ$46/'疲劳值&amp;地图信息'!$R$10*$BY$53)</f>
        <v>233</v>
      </c>
      <c r="GB8" s="50">
        <f t="shared" si="72"/>
        <v>0.77314705185886812</v>
      </c>
      <c r="GC8" s="50">
        <f t="shared" si="73"/>
        <v>0.17167890125503196</v>
      </c>
      <c r="GD8" s="50">
        <f t="shared" si="74"/>
        <v>5.5174046886099927E-2</v>
      </c>
      <c r="GE8" s="51">
        <f t="shared" si="75"/>
        <v>3310</v>
      </c>
      <c r="GF8" s="51">
        <f t="shared" si="76"/>
        <v>914</v>
      </c>
      <c r="GG8" s="14">
        <f>INT(SUMPRODUCT($U8:$Y8,$BF8:$BJ8)/SUM($BF8:$BJ8)/10000*$BX$7*$BZ$46/'疲劳值&amp;地图信息'!$R$10*$BY$54)</f>
        <v>363</v>
      </c>
      <c r="GH8" s="50">
        <f t="shared" si="77"/>
        <v>0.72160453455417484</v>
      </c>
      <c r="GI8" s="50">
        <f t="shared" si="78"/>
        <v>0.19925877479834314</v>
      </c>
      <c r="GJ8" s="50">
        <f t="shared" si="79"/>
        <v>7.9136690647482008E-2</v>
      </c>
      <c r="GK8" s="51">
        <f t="shared" si="80"/>
        <v>3362</v>
      </c>
      <c r="GL8" s="51">
        <f t="shared" si="81"/>
        <v>1287</v>
      </c>
      <c r="GM8" s="14">
        <f>INT(SUMPRODUCT($AB8:$AF8,$BF8:$BJ8)/SUM($BF8:$BJ8)/10000*$BX$7*$BZ$46/'疲劳值&amp;地图信息'!$R$10*$BY$55)</f>
        <v>488</v>
      </c>
      <c r="GN8" s="50">
        <f t="shared" si="82"/>
        <v>0.6544675880864318</v>
      </c>
      <c r="GO8" s="50">
        <f t="shared" si="83"/>
        <v>0.25053533190578159</v>
      </c>
      <c r="GP8" s="50">
        <f t="shared" si="84"/>
        <v>9.4997080007786644E-2</v>
      </c>
      <c r="GQ8" s="51">
        <f t="shared" si="85"/>
        <v>3452</v>
      </c>
      <c r="GR8" s="51">
        <f t="shared" si="86"/>
        <v>2255</v>
      </c>
      <c r="GS8" s="14">
        <f>INT(SUMPRODUCT($AI8:$AM8,$BF8:$BJ8)/SUM($BF8:$BJ8)/10000*$BX$7*$BZ$46/'疲劳值&amp;地图信息'!$R$10*$BY$56)</f>
        <v>733</v>
      </c>
      <c r="GT8" s="50">
        <f t="shared" si="87"/>
        <v>0.53602484472049694</v>
      </c>
      <c r="GU8" s="50">
        <f t="shared" si="88"/>
        <v>0.3501552795031056</v>
      </c>
      <c r="GV8" s="50">
        <f t="shared" si="89"/>
        <v>0.11381987577639752</v>
      </c>
      <c r="GW8" s="51">
        <f t="shared" si="90"/>
        <v>3457</v>
      </c>
      <c r="GX8" s="51">
        <f t="shared" si="91"/>
        <v>6435</v>
      </c>
      <c r="GY8" s="14">
        <f>INT(SUMPRODUCT($AP8:$AT8,$BF8:$BJ8)/SUM($BF8:$BJ8)/10000*$BX$7*$BZ$46/'疲劳值&amp;地图信息'!$R$10*$BY$57)</f>
        <v>977</v>
      </c>
      <c r="GZ8" s="50">
        <f t="shared" si="92"/>
        <v>0.31806053914803567</v>
      </c>
      <c r="HA8" s="50">
        <f t="shared" si="93"/>
        <v>0.59205078664090538</v>
      </c>
      <c r="HB8" s="50">
        <f t="shared" si="94"/>
        <v>8.9888674211058978E-2</v>
      </c>
      <c r="HD8" s="14">
        <f t="shared" si="95"/>
        <v>4223</v>
      </c>
      <c r="HE8" s="14">
        <f t="shared" si="96"/>
        <v>4587</v>
      </c>
      <c r="HF8" s="14">
        <f t="shared" si="97"/>
        <v>5137</v>
      </c>
      <c r="HG8" s="14">
        <f t="shared" si="98"/>
        <v>6440</v>
      </c>
      <c r="HH8" s="14">
        <f t="shared" si="99"/>
        <v>10869</v>
      </c>
      <c r="HI8" s="14">
        <f t="shared" si="100"/>
        <v>471943</v>
      </c>
      <c r="HL8" s="14">
        <f t="shared" si="101"/>
        <v>430050</v>
      </c>
      <c r="HM8" s="50">
        <f t="shared" si="9"/>
        <v>0.47677753596757405</v>
      </c>
      <c r="HO8" s="14">
        <f t="shared" si="102"/>
        <v>901993</v>
      </c>
    </row>
    <row r="9" spans="3:223" x14ac:dyDescent="0.2">
      <c r="C9" s="1" t="s">
        <v>451</v>
      </c>
      <c r="K9" s="14">
        <v>4</v>
      </c>
      <c r="L9" s="12">
        <f>求节点(节奏总纲!D$4:D$163,标准城池设计!AB$4:AB$163,$K9)*求节点(节奏总纲!D$4:D$163,攻城基础信息!$AC$5:$AC$164,$K9)</f>
        <v>62651.535300693358</v>
      </c>
      <c r="M9" s="12">
        <f>INDEX(其他调用!$AA$5:$AA$404,MATCH(K9,其他调用!$X$5:$X$404,0))*MIN(INDEX(其他调用!$AH$5:$AH$364,MATCH('征服点（新）'!K9,其他调用!$AG$5:$AG$364,0),1)/INDEX(其他调用!$AJ$5:$AJ$364,MATCH(K9,其他调用!$AG$5:$AG$364,0),0),5)*求节点(节奏总纲!D$4:D$163,攻城基础信息!$AC$5:$AC$164,$K9)</f>
        <v>19355.258641414926</v>
      </c>
      <c r="N9" s="12">
        <f>MIN(INDEX(其他调用!$AH$5:$AH$364,MATCH($K9,其他调用!$AG$5:$AG$364,0),1)/INDEX(其他调用!AH$5:AH$364,MATCH($K9,其他调用!$AG$5:$AG$364,0),0),1)*INDEX(其他调用!Y$5:Y$404,MATCH($K9,其他调用!$X$5:$X$404,0),0)</f>
        <v>19197.73679813544</v>
      </c>
      <c r="O9" s="12">
        <f>MIN(INDEX(其他调用!$AH$5:$AH$364,MATCH($K9,其他调用!$AG$5:$AG$364,0),1)/INDEX(其他调用!AI$5:AI$364,MATCH($K9,其他调用!$AG$5:$AG$364,0),0),1)*INDEX(其他调用!Z$5:Z$404,MATCH($K9,其他调用!$X$5:$X$404,0),0)</f>
        <v>16081.155408284632</v>
      </c>
      <c r="P9" s="12">
        <f>MIN(INDEX(其他调用!$AH$5:$AH$364,MATCH($K9,其他调用!$AG$5:$AG$364,0),1)/INDEX(其他调用!AJ$5:AJ$364,MATCH($K9,其他调用!$AG$5:$AG$364,0),0),1)*INDEX(其他调用!AA$5:AA$404,MATCH($K9,其他调用!$X$5:$X$404,0),0)</f>
        <v>12043.49663318115</v>
      </c>
      <c r="Q9" s="12">
        <f>MIN(INDEX(其他调用!$AH$5:$AH$364,MATCH($K9,其他调用!$AG$5:$AG$364,0),1)/INDEX(其他调用!AK$5:AK$364,MATCH($K9,其他调用!$AG$5:$AG$364,0),0),1)*INDEX(其他调用!AB$5:AB$404,MATCH($K9,其他调用!$X$5:$X$404,0),0)</f>
        <v>6272.8950436073856</v>
      </c>
      <c r="R9" s="12">
        <f>MIN(INDEX(其他调用!$AH$5:$AH$364,MATCH($K9,其他调用!$AG$5:$AG$364,0),1)/INDEX(其他调用!AL$5:AL$364,MATCH($K9,其他调用!$AG$5:$AG$364,0),0),1)*INDEX(其他调用!AC$5:AC$404,MATCH($K9,其他调用!$X$5:$X$404,0),0)</f>
        <v>2224.7841865947021</v>
      </c>
      <c r="S9" s="12">
        <f>求节点(节奏总纲!D$4:D$163,标准城池设计!AC$4:AC$163,$K9)*求节点(节奏总纲!D$4:D$163,攻城基础信息!$AD$5:$AD$164,$K9)</f>
        <v>63726.341045231362</v>
      </c>
      <c r="T9" s="12">
        <f>INDEX(其他调用!$AA$5:$AA$404,MATCH($K9,其他调用!$X$5:$X$404,0))*MIN(INDEX(其他调用!AI$5:AI$364,MATCH($K9,其他调用!$AG$5:$AG$364,0),1)/INDEX(其他调用!$AJ$5:$AJ$364,MATCH($K9,其他调用!$AG$5:$AG$364,0),0),5)*求节点(节奏总纲!D$4:D$163,攻城基础信息!$AD$5:$AD$164,$K9)</f>
        <v>24246.297181176633</v>
      </c>
      <c r="U9" s="12">
        <f>MIN(INDEX(其他调用!$AI$5:$AI$364,MATCH($K9,其他调用!$AG$5:$AG$364,0),1)/INDEX(其他调用!AH$5:AH$364,MATCH($K9,其他调用!$AG$5:$AG$364,0),0),1)*INDEX(其他调用!Y$5:Y$404,MATCH($K9,其他调用!$X$5:$X$404,0),0)</f>
        <v>19197.73679813544</v>
      </c>
      <c r="V9" s="12">
        <f>MIN(INDEX(其他调用!$AI$5:$AI$364,MATCH($K9,其他调用!$AG$5:$AG$364,0),1)/INDEX(其他调用!AI$5:AI$364,MATCH($K9,其他调用!$AG$5:$AG$364,0),0),1)*INDEX(其他调用!Z$5:Z$404,MATCH($K9,其他调用!$X$5:$X$404,0),0)</f>
        <v>20144.834035524498</v>
      </c>
      <c r="W9" s="12">
        <f>MIN(INDEX(其他调用!$AI$5:$AI$364,MATCH($K9,其他调用!$AG$5:$AG$364,0),1)/INDEX(其他调用!AJ$5:AJ$364,MATCH($K9,其他调用!$AG$5:$AG$364,0),0),1)*INDEX(其他调用!AA$5:AA$404,MATCH($K9,其他调用!$X$5:$X$404,0),0)</f>
        <v>15086.866255756921</v>
      </c>
      <c r="X9" s="12">
        <f>MIN(INDEX(其他调用!$AI$5:$AI$364,MATCH($K9,其他调用!$AG$5:$AG$364,0),1)/INDEX(其他调用!AK$5:AK$364,MATCH($K9,其他调用!$AG$5:$AG$364,0),0),1)*INDEX(其他调用!AB$5:AB$404,MATCH($K9,其他调用!$X$5:$X$404,0),0)</f>
        <v>7858.0441745270364</v>
      </c>
      <c r="Y9" s="12">
        <f>MIN(INDEX(其他调用!$AI$5:$AI$364,MATCH($K9,其他调用!$AG$5:$AG$364,0),1)/INDEX(其他调用!AL$5:AL$364,MATCH($K9,其他调用!$AG$5:$AG$364,0),0),1)*INDEX(其他调用!AC$5:AC$404,MATCH($K9,其他调用!$X$5:$X$404,0),0)</f>
        <v>2786.9830908244635</v>
      </c>
      <c r="Z9" s="12">
        <f>求节点(节奏总纲!D$4:D$163,标准城池设计!AD$4:AD$163,$K9)*求节点(节奏总纲!D$4:D$163,攻城基础信息!$AE$5:$AE$164,$K9)</f>
        <v>64942.182711991591</v>
      </c>
      <c r="AA9" s="12">
        <f>INDEX(其他调用!$AA$5:$AA$404,MATCH($K9,其他调用!$X$5:$X$404,0))*MIN(INDEX(其他调用!AJ$5:AJ$364,MATCH($K9,其他调用!$AG$5:$AG$364,0),1)/INDEX(其他调用!$AJ$5:$AJ$364,MATCH($K9,其他调用!$AG$5:$AG$364,0),0),5)*求节点(节奏总纲!D$4:D$163,攻城基础信息!$AE$5:$AE$164,$K9)</f>
        <v>34402.448038224909</v>
      </c>
      <c r="AB9" s="12">
        <f>MIN(INDEX(其他调用!$AJ$5:$AJ$364,MATCH($K9,其他调用!$AG$5:$AG$364,0),1)/INDEX(其他调用!AH$5:AH$364,MATCH($K9,其他调用!$AG$5:$AG$364,0),0),1)*INDEX(其他调用!Y$5:Y$404,MATCH($K9,其他调用!$X$5:$X$404,0),0)</f>
        <v>19197.73679813544</v>
      </c>
      <c r="AC9" s="12">
        <f>MIN(INDEX(其他调用!$AJ$5:$AJ$364,MATCH($K9,其他调用!$AG$5:$AG$364,0),1)/INDEX(其他调用!AI$5:AI$364,MATCH($K9,其他调用!$AG$5:$AG$364,0),0),1)*INDEX(其他调用!Z$5:Z$404,MATCH($K9,其他调用!$X$5:$X$404,0),0)</f>
        <v>20144.834035524498</v>
      </c>
      <c r="AD9" s="12">
        <f>MIN(INDEX(其他调用!$AJ$5:$AJ$364,MATCH($K9,其他调用!$AG$5:$AG$364,0),1)/INDEX(其他调用!AJ$5:AJ$364,MATCH($K9,其他调用!$AG$5:$AG$364,0),0),1)*INDEX(其他调用!AA$5:AA$404,MATCH($K9,其他调用!$X$5:$X$404,0),0)</f>
        <v>21406.36685861733</v>
      </c>
      <c r="AE9" s="12">
        <f>MIN(INDEX(其他调用!$AJ$5:$AJ$364,MATCH($K9,其他调用!$AG$5:$AG$364,0),1)/INDEX(其他调用!AK$5:AK$364,MATCH($K9,其他调用!$AG$5:$AG$364,0),0),1)*INDEX(其他调用!AB$5:AB$404,MATCH($K9,其他调用!$X$5:$X$404,0),0)</f>
        <v>11149.576959162032</v>
      </c>
      <c r="AF9" s="12">
        <f>MIN(INDEX(其他调用!$AJ$5:$AJ$364,MATCH($K9,其他调用!$AG$5:$AG$364,0),1)/INDEX(其他调用!AL$5:AL$364,MATCH($K9,其他调用!$AG$5:$AG$364,0),0),1)*INDEX(其他调用!AC$5:AC$404,MATCH($K9,其他调用!$X$5:$X$404,0),0)</f>
        <v>3954.3786933344522</v>
      </c>
      <c r="AG9" s="12">
        <f>求节点(节奏总纲!D$4:D$163,标准城池设计!AE$4:AE$163,$K9)*求节点(节奏总纲!D$4:D$163,攻城基础信息!$AF$5:$AF$164,$K9)</f>
        <v>67488.492326149106</v>
      </c>
      <c r="AH9" s="12">
        <f>INDEX(其他调用!$AA$5:$AA$404,MATCH($K9,其他调用!$X$5:$X$404,0))*MIN(INDEX(其他调用!AK$5:AK$364,MATCH($K9,其他调用!$AG$5:$AG$364,0),1)/INDEX(其他调用!$AJ$5:$AJ$364,MATCH($K9,其他调用!$AG$5:$AG$364,0),0),5)*求节点(节奏总纲!D$4:D$163,攻城基础信息!$AF$5:$AF$164,$K9)</f>
        <v>71788.287850832625</v>
      </c>
      <c r="AI9" s="12">
        <f>MIN(INDEX(其他调用!$AK$5:$AK$364,MATCH($K9,其他调用!$AG$5:$AG$364,0),1)/INDEX(其他调用!AH$5:AH$364,MATCH($K9,其他调用!$AG$5:$AG$364,0),0),1)*INDEX(其他调用!Y$5:Y$404,MATCH($K9,其他调用!$X$5:$X$404,0),0)</f>
        <v>19197.73679813544</v>
      </c>
      <c r="AJ9" s="12">
        <f>MIN(INDEX(其他调用!$AK$5:$AK$364,MATCH($K9,其他调用!$AG$5:$AG$364,0),1)/INDEX(其他调用!AI$5:AI$364,MATCH($K9,其他调用!$AG$5:$AG$364,0),0),1)*INDEX(其他调用!Z$5:Z$404,MATCH($K9,其他调用!$X$5:$X$404,0),0)</f>
        <v>20144.834035524498</v>
      </c>
      <c r="AK9" s="12">
        <f>MIN(INDEX(其他调用!$AK$5:$AK$364,MATCH($K9,其他调用!$AG$5:$AG$364,0),1)/INDEX(其他调用!AJ$5:AJ$364,MATCH($K9,其他调用!$AG$5:$AG$364,0),0),1)*INDEX(其他调用!AA$5:AA$404,MATCH($K9,其他调用!$X$5:$X$404,0),0)</f>
        <v>21406.36685861733</v>
      </c>
      <c r="AL9" s="12">
        <f>MIN(INDEX(其他调用!$AK$5:$AK$364,MATCH($K9,其他调用!$AG$5:$AG$364,0),1)/INDEX(其他调用!AK$5:AK$364,MATCH($K9,其他调用!$AG$5:$AG$364,0),0),1)*INDEX(其他调用!AB$5:AB$404,MATCH($K9,其他调用!$X$5:$X$404,0),0)</f>
        <v>23266.048952969642</v>
      </c>
      <c r="AM9" s="12">
        <f>MIN(INDEX(其他调用!$AK$5:$AK$364,MATCH($K9,其他调用!$AG$5:$AG$364,0),1)/INDEX(其他调用!AL$5:AL$364,MATCH($K9,其他调用!$AG$5:$AG$364,0),0),1)*INDEX(其他调用!AC$5:AC$404,MATCH($K9,其他调用!$X$5:$X$404,0),0)</f>
        <v>8251.6824265782852</v>
      </c>
      <c r="AN9" s="12">
        <f>求节点(节奏总纲!D$4:D$163,标准城池设计!AF$4:AF$163,$K9)*求节点(节奏总纲!D$4:D$163,攻城基础信息!$AG$5:$AG$164,$K9)</f>
        <v>69096.192325674361</v>
      </c>
      <c r="AO9" s="12">
        <f>INDEX(其他调用!$AA$5:$AA$404,MATCH($K9,其他调用!$X$5:$X$404,0))*MIN(INDEX(其他调用!AL$5:AL$364,MATCH($K9,其他调用!$AG$5:$AG$364,0),1)/INDEX(其他调用!$AJ$5:$AJ$364,MATCH($K9,其他调用!$AG$5:$AG$364,0),0),5)*求节点(节奏总纲!D$4:D$163,攻城基础信息!$AG$5:$AG$164,$K9)</f>
        <v>172012.24019112453</v>
      </c>
      <c r="AP9" s="12">
        <f>MIN(INDEX(其他调用!$AL$5:$AL$364,MATCH($K9,其他调用!$AG$5:$AG$364,0),1)/INDEX(其他调用!AH$5:AH$364,MATCH($K9,其他调用!$AG$5:$AG$364,0),0),1)*INDEX(其他调用!Y$5:Y$404,MATCH($K9,其他调用!$X$5:$X$404,0),0)</f>
        <v>19197.73679813544</v>
      </c>
      <c r="AQ9" s="12">
        <f>MIN(INDEX(其他调用!$AL$5:$AL$364,MATCH($K9,其他调用!$AG$5:$AG$364,0),1)/INDEX(其他调用!AI$5:AI$364,MATCH($K9,其他调用!$AG$5:$AG$364,0),0),1)*INDEX(其他调用!Z$5:Z$404,MATCH($K9,其他调用!$X$5:$X$404,0),0)</f>
        <v>20144.834035524498</v>
      </c>
      <c r="AR9" s="12">
        <f>MIN(INDEX(其他调用!$AL$5:$AL$364,MATCH($K9,其他调用!$AG$5:$AG$364,0),1)/INDEX(其他调用!AJ$5:AJ$364,MATCH($K9,其他调用!$AG$5:$AG$364,0),0),1)*INDEX(其他调用!AA$5:AA$404,MATCH($K9,其他调用!$X$5:$X$404,0),0)</f>
        <v>21406.36685861733</v>
      </c>
      <c r="AS9" s="12">
        <f>MIN(INDEX(其他调用!$AL$5:$AL$364,MATCH($K9,其他调用!$AG$5:$AG$364,0),1)/INDEX(其他调用!AK$5:AK$364,MATCH($K9,其他调用!$AG$5:$AG$364,0),0),1)*INDEX(其他调用!AB$5:AB$404,MATCH($K9,其他调用!$X$5:$X$404,0),0)</f>
        <v>23266.048952969642</v>
      </c>
      <c r="AT9" s="12">
        <f>MIN(INDEX(其他调用!$AL$5:$AL$364,MATCH($K9,其他调用!$AG$5:$AG$364,0),1)/INDEX(其他调用!AL$5:AL$364,MATCH($K9,其他调用!$AG$5:$AG$364,0),0),1)*INDEX(其他调用!AC$5:AC$404,MATCH($K9,其他调用!$X$5:$X$404,0),0)</f>
        <v>26664.388850628606</v>
      </c>
      <c r="AV9" s="14">
        <f>IF(OR(AV$5="大R",AV$5="超R"),MAX(INDEX(其他调用!$H$5:$L$404,MATCH($K9,其他调用!$B$5:$B$404,0),MATCH(AV$5,其他调用!$H$4:$L$4,0))*120*0.85,2),INDEX(其他调用!$H$5:$L$404,MATCH($K9,其他调用!$B$5:$B$404,0),MATCH(AV$5,其他调用!$H$4:$L$4,0))*120*0.85)</f>
        <v>80.654282608695667</v>
      </c>
      <c r="AW9" s="14">
        <f>IF(OR(AW$5="大R",AW$5="超R"),MAX(INDEX(其他调用!$H$5:$L$404,MATCH($K9,其他调用!$B$5:$B$404,0),MATCH(AW$5,其他调用!$H$4:$L$4,0))*120*0.85,2),INDEX(其他调用!$H$5:$L$404,MATCH($K9,其他调用!$B$5:$B$404,0),MATCH(AW$5,其他调用!$H$4:$L$4,0))*120*0.85)</f>
        <v>17.824677391304338</v>
      </c>
      <c r="AX9" s="14">
        <f>IF(OR(AX$5="大R",AX$5="超R"),MAX(INDEX(其他调用!$H$5:$L$404,MATCH($K9,其他调用!$B$5:$B$404,0),MATCH(AX$5,其他调用!$H$4:$L$4,0))*120*0.85,2),INDEX(其他调用!$H$5:$L$404,MATCH($K9,其他调用!$B$5:$B$404,0),MATCH(AX$5,其他调用!$H$4:$L$4,0))*120*0.85)</f>
        <v>3.1334399999999998</v>
      </c>
      <c r="AY9" s="14">
        <f>IF(OR(AY$5="大R",AY$5="超R"),MAX(INDEX(其他调用!$H$5:$L$404,MATCH($K9,其他调用!$B$5:$B$404,0),MATCH(AY$5,其他调用!$H$4:$L$4,0))*120*0.85,2),INDEX(其他调用!$H$5:$L$404,MATCH($K9,其他调用!$B$5:$B$404,0),MATCH(AY$5,其他调用!$H$4:$L$4,0))*120*0.85)</f>
        <v>2</v>
      </c>
      <c r="AZ9" s="14">
        <f>IF(OR(AZ$5="大R",AZ$5="超R"),MAX(INDEX(其他调用!$H$5:$L$404,MATCH($K9,其他调用!$B$5:$B$404,0),MATCH(AZ$5,其他调用!$H$4:$L$4,0))*120*0.85,2),INDEX(其他调用!$H$5:$L$404,MATCH($K9,其他调用!$B$5:$B$404,0),MATCH(AZ$5,其他调用!$H$4:$L$4,0))*120*0.85)</f>
        <v>2</v>
      </c>
      <c r="BA9" s="14">
        <f>INDEX(其他调用!$H$5:$L$404,MATCH($K9,其他调用!$B$5:$B$404,0),MATCH(BA$5,其他调用!$H$4:$L$4,0))*INDEX(其他调用!$M$5:$M$404,MATCH($K9,其他调用!$B$5:$B$404,0))*0.6</f>
        <v>32.815222826086966</v>
      </c>
      <c r="BB9" s="14">
        <f>INDEX(其他调用!$H$5:$L$404,MATCH($K9,其他调用!$B$5:$B$404,0),MATCH(BB$5,其他调用!$H$4:$L$4,0))*INDEX(其他调用!$M$5:$M$404,MATCH($K9,其他调用!$B$5:$B$404,0))*0.6</f>
        <v>7.2521971739130393</v>
      </c>
      <c r="BC9" s="14">
        <f>INDEX(其他调用!$H$5:$L$404,MATCH($K9,其他调用!$B$5:$B$404,0),MATCH(BC$5,其他调用!$H$4:$L$4,0))*INDEX(其他调用!$M$5:$M$404,MATCH($K9,其他调用!$B$5:$B$404,0))*0.6</f>
        <v>1.27488</v>
      </c>
      <c r="BD9" s="14">
        <f>INDEX(其他调用!$H$5:$L$404,MATCH($K9,其他调用!$B$5:$B$404,0),MATCH(BD$5,其他调用!$H$4:$L$4,0))*INDEX(其他调用!$M$5:$M$404,MATCH($K9,其他调用!$B$5:$B$404,0))*0.6</f>
        <v>0.13280000000000003</v>
      </c>
      <c r="BE9" s="14">
        <f>INDEX(其他调用!$H$5:$L$404,MATCH($K9,其他调用!$B$5:$B$404,0),MATCH(BE$5,其他调用!$H$4:$L$4,0))*INDEX(其他调用!$M$5:$M$404,MATCH($K9,其他调用!$B$5:$B$404,0))*0.6</f>
        <v>2.4900000000000005E-2</v>
      </c>
      <c r="BF9" s="14">
        <f>IF(OR(BF$5="大R",BF$5="超R"),0,INDEX(其他调用!$H$5:$L$404,MATCH($K9,其他调用!$B$5:$B$404,0),MATCH(BF$5,其他调用!$H$4:$L$4,0))*50*0.4)</f>
        <v>15.814565217391308</v>
      </c>
      <c r="BG9" s="14">
        <f>IF(OR(BG$5="大R",BG$5="超R"),0,INDEX(其他调用!$H$5:$L$404,MATCH($K9,其他调用!$B$5:$B$404,0),MATCH(BG$5,其他调用!$H$4:$L$4,0))*50*0.4)</f>
        <v>3.4950347826086934</v>
      </c>
      <c r="BH9" s="14">
        <f>IF(OR(BH$5="大R",BH$5="超R"),0,INDEX(其他调用!$H$5:$L$404,MATCH($K9,其他调用!$B$5:$B$404,0),MATCH(BH$5,其他调用!$H$4:$L$4,0))*50*0.4)</f>
        <v>0.61439999999999995</v>
      </c>
      <c r="BI9" s="14">
        <f>IF(OR(BI$5="大R",BI$5="超R"),0,INDEX(其他调用!$H$5:$L$404,MATCH($K9,其他调用!$B$5:$B$404,0),MATCH(BI$5,其他调用!$H$4:$L$4,0))*50*0.4)</f>
        <v>0</v>
      </c>
      <c r="BJ9" s="14">
        <f>IF(OR(BJ$5="大R",BJ$5="超R"),0,INDEX(其他调用!$H$5:$L$404,MATCH($K9,其他调用!$B$5:$B$404,0),MATCH(BJ$5,其他调用!$H$4:$L$4,0))*50*0.4)</f>
        <v>0</v>
      </c>
      <c r="BL9" s="14">
        <f t="shared" si="103"/>
        <v>4</v>
      </c>
      <c r="BM9" s="14">
        <f t="shared" si="10"/>
        <v>96</v>
      </c>
      <c r="BN9" s="14">
        <f>('疲劳值&amp;地图信息'!$S$10*'疲劳值&amp;地图信息'!$R$10+'疲劳值&amp;地图信息'!$S$11*'疲劳值&amp;地图信息'!$R$11+'疲劳值&amp;地图信息'!$S$12*'疲劳值&amp;地图信息'!$R$12+(BM9-'疲劳值&amp;地图信息'!$S$12-'疲劳值&amp;地图信息'!$S$11-'疲劳值&amp;地图信息'!$S$10)*'疲劳值&amp;地图信息'!$R$13)/BM9</f>
        <v>51.371477246638619</v>
      </c>
      <c r="BO9" s="14">
        <f>INDEX(其他调用!$M$5:$M$404,MATCH(BL9,其他调用!$B$5:$B$404,0))*0.6</f>
        <v>41.5</v>
      </c>
      <c r="BP9" s="14">
        <f>IF(BO9&gt;SUM('疲劳值&amp;地图信息'!$S$10:$S$12),('疲劳值&amp;地图信息'!$S$10*'疲劳值&amp;地图信息'!$R$10+'疲劳值&amp;地图信息'!$S$11*'疲劳值&amp;地图信息'!$R$11+'疲劳值&amp;地图信息'!$S$12*'疲劳值&amp;地图信息'!$R$12+(BO9-'疲劳值&amp;地图信息'!$S$12-'疲劳值&amp;地图信息'!$S$11-'疲劳值&amp;地图信息'!$S$10)*'疲劳值&amp;地图信息'!$R$13)/BO9,('疲劳值&amp;地图信息'!$S$10*'疲劳值&amp;地图信息'!$R$10+'疲劳值&amp;地图信息'!$S$11*'疲劳值&amp;地图信息'!$R$11+'疲劳值&amp;地图信息'!$S$12*'疲劳值&amp;地图信息'!$R$12+(BO9-'疲劳值&amp;地图信息'!$S$12-'疲劳值&amp;地图信息'!$S$11-'疲劳值&amp;地图信息'!$S$10)*'疲劳值&amp;地图信息'!$R$13)/BO9)</f>
        <v>35.583241129197631</v>
      </c>
      <c r="BQ9" s="14">
        <f t="shared" si="104"/>
        <v>20</v>
      </c>
      <c r="BR9" s="14">
        <f>('疲劳值&amp;地图信息'!$S$10*'疲劳值&amp;地图信息'!$R$10+($BQ9-'疲劳值&amp;地图信息'!$S$10)*'疲劳值&amp;地图信息'!$R$11)/$BQ9</f>
        <v>32.067203015074995</v>
      </c>
      <c r="BW9" s="2" t="s">
        <v>472</v>
      </c>
      <c r="CF9" s="14">
        <v>4</v>
      </c>
      <c r="CG9" s="51">
        <f t="shared" si="11"/>
        <v>1584</v>
      </c>
      <c r="CH9" s="51">
        <f t="shared" si="12"/>
        <v>489</v>
      </c>
      <c r="CI9" s="51">
        <f>INT(SUMPRODUCT($N9:$R9,$BA9:$BE9)/SUM($BA9:$BE9)/10000*$BX$7*$BZ$34/'疲劳值&amp;地图信息'!$R$10*$BY$53)</f>
        <v>1865</v>
      </c>
      <c r="CJ9" s="50">
        <f t="shared" si="13"/>
        <v>0.4022346368715084</v>
      </c>
      <c r="CK9" s="50">
        <f t="shared" si="14"/>
        <v>0.12417470797359066</v>
      </c>
      <c r="CL9" s="50">
        <f t="shared" si="15"/>
        <v>0.47359065515490095</v>
      </c>
      <c r="CM9" s="14">
        <f t="shared" si="16"/>
        <v>1611</v>
      </c>
      <c r="CN9" s="14">
        <f t="shared" si="17"/>
        <v>613</v>
      </c>
      <c r="CO9" s="14">
        <f>INT(SUMPRODUCT($U9:$Y9,$BA9:$BE9)/SUM($BA9:$BE9)/10000*$BX$7*$BZ$34/'疲劳值&amp;地图信息'!$R$10*$BY$54)</f>
        <v>2920</v>
      </c>
      <c r="CP9" s="50">
        <f t="shared" si="18"/>
        <v>0.31318040435458788</v>
      </c>
      <c r="CQ9" s="50">
        <f t="shared" si="19"/>
        <v>0.11916796267496112</v>
      </c>
      <c r="CR9" s="50">
        <f t="shared" si="20"/>
        <v>0.56765163297045096</v>
      </c>
      <c r="CS9" s="14">
        <f t="shared" si="21"/>
        <v>1642</v>
      </c>
      <c r="CT9" s="14">
        <f t="shared" si="22"/>
        <v>870</v>
      </c>
      <c r="CU9" s="14">
        <f>INT(SUMPRODUCT($AB9:$AF9,$BA9:$BE9)/SUM($BA9:$BE9)/10000*$BX$7*$BZ$34/'疲劳值&amp;地图信息'!$R$10*$BY$55)</f>
        <v>3936</v>
      </c>
      <c r="CV9" s="50">
        <f t="shared" si="23"/>
        <v>0.25465260545905705</v>
      </c>
      <c r="CW9" s="50">
        <f t="shared" si="24"/>
        <v>0.1349255583126551</v>
      </c>
      <c r="CX9" s="50">
        <f t="shared" si="25"/>
        <v>0.61042183622828783</v>
      </c>
      <c r="CY9" s="14">
        <f t="shared" si="26"/>
        <v>1706</v>
      </c>
      <c r="CZ9" s="14">
        <f t="shared" si="27"/>
        <v>1815</v>
      </c>
      <c r="DA9" s="14">
        <f>INT(SUMPRODUCT($AI9:$AM9,$BA9:$BE9)/SUM($BA9:$BE9)/10000*$BX$7*$BZ$34/'疲劳值&amp;地图信息'!$R$10*$BY$56)</f>
        <v>5916</v>
      </c>
      <c r="DB9" s="50">
        <f t="shared" si="28"/>
        <v>0.18077778955176432</v>
      </c>
      <c r="DC9" s="50">
        <f t="shared" si="29"/>
        <v>0.19232807036134364</v>
      </c>
      <c r="DD9" s="50">
        <f t="shared" si="30"/>
        <v>0.62689414008689204</v>
      </c>
      <c r="DE9" s="14">
        <f t="shared" si="31"/>
        <v>1747</v>
      </c>
      <c r="DF9" s="14">
        <f t="shared" si="32"/>
        <v>4350</v>
      </c>
      <c r="DG9" s="14">
        <f>INT(SUMPRODUCT($AP9:$AT9,$BA9:$BE9)/SUM($BA9:$BE9)/10000*$BX$7*$BZ$34/'疲劳值&amp;地图信息'!$R$10*$BY$57)</f>
        <v>7893</v>
      </c>
      <c r="DH9" s="50">
        <f t="shared" si="33"/>
        <v>0.12487491065046462</v>
      </c>
      <c r="DI9" s="50">
        <f t="shared" si="34"/>
        <v>0.31093638313080774</v>
      </c>
      <c r="DJ9" s="50">
        <f t="shared" si="35"/>
        <v>0.56418870621872763</v>
      </c>
      <c r="DL9" s="14">
        <f t="shared" si="0"/>
        <v>3938</v>
      </c>
      <c r="DM9" s="14">
        <f t="shared" si="1"/>
        <v>5144</v>
      </c>
      <c r="DN9" s="14">
        <f t="shared" si="2"/>
        <v>6448</v>
      </c>
      <c r="DO9" s="14">
        <f t="shared" si="3"/>
        <v>9437</v>
      </c>
      <c r="DP9" s="14">
        <f t="shared" si="4"/>
        <v>13990</v>
      </c>
      <c r="DQ9" s="14">
        <f t="shared" si="5"/>
        <v>176353</v>
      </c>
      <c r="DT9" s="14">
        <f t="shared" si="6"/>
        <v>235575</v>
      </c>
      <c r="DU9" s="50">
        <f t="shared" si="7"/>
        <v>0.57188392146200306</v>
      </c>
      <c r="DW9" s="14">
        <f t="shared" si="36"/>
        <v>411928</v>
      </c>
      <c r="EB9" s="14">
        <v>4</v>
      </c>
      <c r="EC9" s="51">
        <f t="shared" si="37"/>
        <v>2641</v>
      </c>
      <c r="ED9" s="51">
        <f t="shared" si="38"/>
        <v>815</v>
      </c>
      <c r="EE9" s="51">
        <f>INT(SUMPRODUCT($N9:$R9,$BF9:$BJ9)/SUM($BF9:$BJ9)/10000*$BX$7*$BZ$46/'疲劳值&amp;地图信息'!$R$10*$BY$53)</f>
        <v>249</v>
      </c>
      <c r="EF9" s="50">
        <f t="shared" si="39"/>
        <v>0.71282051282051284</v>
      </c>
      <c r="EG9" s="50">
        <f t="shared" si="40"/>
        <v>0.21997300944669365</v>
      </c>
      <c r="EH9" s="50">
        <f t="shared" si="41"/>
        <v>6.7206477732793521E-2</v>
      </c>
      <c r="EI9" s="51">
        <f t="shared" si="42"/>
        <v>2686</v>
      </c>
      <c r="EJ9" s="51">
        <f t="shared" si="43"/>
        <v>1022</v>
      </c>
      <c r="EK9" s="14">
        <f>INT(SUMPRODUCT($U9:$Y9,$BF9:$BJ9)/SUM($BF9:$BJ9)/10000*$BX$7*$BZ$46/'疲劳值&amp;地图信息'!$R$10*$BY$54)</f>
        <v>390</v>
      </c>
      <c r="EL9" s="50">
        <f t="shared" si="44"/>
        <v>0.65544167886774041</v>
      </c>
      <c r="EM9" s="50">
        <f t="shared" si="45"/>
        <v>0.24938994631527575</v>
      </c>
      <c r="EN9" s="50">
        <f t="shared" si="46"/>
        <v>9.5168374816983897E-2</v>
      </c>
      <c r="EO9" s="51">
        <f t="shared" si="47"/>
        <v>2737</v>
      </c>
      <c r="EP9" s="51">
        <f t="shared" si="48"/>
        <v>1450</v>
      </c>
      <c r="EQ9" s="14">
        <f>INT(SUMPRODUCT($AB9:$AF9,$BF9:$BJ9)/SUM($BF9:$BJ9)/10000*$BX$7*$BZ$46/'疲劳值&amp;地图信息'!$R$10*$BY$55)</f>
        <v>525</v>
      </c>
      <c r="ER9" s="50">
        <f t="shared" si="49"/>
        <v>0.58085738539898135</v>
      </c>
      <c r="ES9" s="50">
        <f t="shared" si="50"/>
        <v>0.30772495755517826</v>
      </c>
      <c r="ET9" s="50">
        <f t="shared" si="51"/>
        <v>0.1114176570458404</v>
      </c>
      <c r="EU9" s="51">
        <f t="shared" si="52"/>
        <v>2844</v>
      </c>
      <c r="EV9" s="51">
        <f t="shared" si="53"/>
        <v>3026</v>
      </c>
      <c r="EW9" s="14">
        <f>INT(SUMPRODUCT($AI9:$AM9,$BF9:$BJ9)/SUM($BF9:$BJ9)/10000*$BX$7*$BZ$46/'疲劳值&amp;地图信息'!$R$10*$BY$56)</f>
        <v>788</v>
      </c>
      <c r="EX9" s="50">
        <f t="shared" si="54"/>
        <v>0.4271553018924602</v>
      </c>
      <c r="EY9" s="50">
        <f t="shared" si="55"/>
        <v>0.45449083808951635</v>
      </c>
      <c r="EZ9" s="50">
        <f t="shared" si="56"/>
        <v>0.11835386001802344</v>
      </c>
      <c r="FA9" s="51">
        <f t="shared" si="57"/>
        <v>2912</v>
      </c>
      <c r="FB9" s="51">
        <f t="shared" si="58"/>
        <v>7251</v>
      </c>
      <c r="FC9" s="14">
        <f>INT(SUMPRODUCT($AP9:$AT9,$BF9:$BJ9)/SUM($BF9:$BJ9)/10000*$BX$7*$BZ$46/'疲劳值&amp;地图信息'!$R$10*$BY$57)</f>
        <v>1051</v>
      </c>
      <c r="FD9" s="50">
        <f t="shared" si="59"/>
        <v>0.2596754057428215</v>
      </c>
      <c r="FE9" s="50">
        <f t="shared" si="60"/>
        <v>0.64660246120920273</v>
      </c>
      <c r="FF9" s="50">
        <f t="shared" si="61"/>
        <v>9.3722133047975748E-2</v>
      </c>
      <c r="FH9" s="14">
        <f t="shared" si="62"/>
        <v>3705</v>
      </c>
      <c r="FI9" s="14">
        <f t="shared" si="63"/>
        <v>4098</v>
      </c>
      <c r="FJ9" s="14">
        <f t="shared" si="64"/>
        <v>4712</v>
      </c>
      <c r="FK9" s="14">
        <f t="shared" si="65"/>
        <v>6658</v>
      </c>
      <c r="FL9" s="14">
        <f t="shared" si="66"/>
        <v>11214</v>
      </c>
      <c r="FM9" s="14">
        <f t="shared" si="67"/>
        <v>422378</v>
      </c>
      <c r="FP9" s="14">
        <f t="shared" si="68"/>
        <v>334150</v>
      </c>
      <c r="FQ9" s="50">
        <f t="shared" si="8"/>
        <v>0.44168887337943868</v>
      </c>
      <c r="FS9" s="14">
        <f t="shared" si="69"/>
        <v>756528</v>
      </c>
      <c r="FX9" s="14">
        <v>4</v>
      </c>
      <c r="FY9" s="51">
        <f t="shared" si="70"/>
        <v>3697</v>
      </c>
      <c r="FZ9" s="51">
        <f t="shared" si="71"/>
        <v>815</v>
      </c>
      <c r="GA9" s="51">
        <f>INT(SUMPRODUCT($N9:$R9,$BF9:$BJ9)/SUM($BF9:$BJ9)/10000*$BX$7*$BZ$46/'疲劳值&amp;地图信息'!$R$10*$BY$53)</f>
        <v>249</v>
      </c>
      <c r="GB9" s="50">
        <f t="shared" si="72"/>
        <v>0.7765175383322831</v>
      </c>
      <c r="GC9" s="50">
        <f t="shared" si="73"/>
        <v>0.17118252467968914</v>
      </c>
      <c r="GD9" s="50">
        <f t="shared" si="74"/>
        <v>5.2299936988027727E-2</v>
      </c>
      <c r="GE9" s="51">
        <f t="shared" si="75"/>
        <v>3760</v>
      </c>
      <c r="GF9" s="51">
        <f t="shared" si="76"/>
        <v>1022</v>
      </c>
      <c r="GG9" s="14">
        <f>INT(SUMPRODUCT($U9:$Y9,$BF9:$BJ9)/SUM($BF9:$BJ9)/10000*$BX$7*$BZ$46/'疲劳值&amp;地图信息'!$R$10*$BY$54)</f>
        <v>390</v>
      </c>
      <c r="GH9" s="50">
        <f t="shared" si="77"/>
        <v>0.72699149265274554</v>
      </c>
      <c r="GI9" s="50">
        <f t="shared" si="78"/>
        <v>0.19760247486465585</v>
      </c>
      <c r="GJ9" s="50">
        <f t="shared" si="79"/>
        <v>7.5406032482598612E-2</v>
      </c>
      <c r="GK9" s="51">
        <f t="shared" si="80"/>
        <v>3832</v>
      </c>
      <c r="GL9" s="51">
        <f t="shared" si="81"/>
        <v>1450</v>
      </c>
      <c r="GM9" s="14">
        <f>INT(SUMPRODUCT($AB9:$AF9,$BF9:$BJ9)/SUM($BF9:$BJ9)/10000*$BX$7*$BZ$46/'疲劳值&amp;地图信息'!$R$10*$BY$55)</f>
        <v>525</v>
      </c>
      <c r="GN9" s="50">
        <f t="shared" si="82"/>
        <v>0.65989323230583774</v>
      </c>
      <c r="GO9" s="50">
        <f t="shared" si="83"/>
        <v>0.24969863957292923</v>
      </c>
      <c r="GP9" s="50">
        <f t="shared" si="84"/>
        <v>9.0408128121233E-2</v>
      </c>
      <c r="GQ9" s="51">
        <f t="shared" si="85"/>
        <v>3982</v>
      </c>
      <c r="GR9" s="51">
        <f t="shared" si="86"/>
        <v>3026</v>
      </c>
      <c r="GS9" s="14">
        <f>INT(SUMPRODUCT($AI9:$AM9,$BF9:$BJ9)/SUM($BF9:$BJ9)/10000*$BX$7*$BZ$46/'疲劳值&amp;地图信息'!$R$10*$BY$56)</f>
        <v>788</v>
      </c>
      <c r="GT9" s="50">
        <f t="shared" si="87"/>
        <v>0.51077475628527447</v>
      </c>
      <c r="GU9" s="50">
        <f t="shared" si="88"/>
        <v>0.38814776808619805</v>
      </c>
      <c r="GV9" s="50">
        <f t="shared" si="89"/>
        <v>0.10107747562852745</v>
      </c>
      <c r="GW9" s="51">
        <f t="shared" si="90"/>
        <v>4077</v>
      </c>
      <c r="GX9" s="51">
        <f t="shared" si="91"/>
        <v>7251</v>
      </c>
      <c r="GY9" s="14">
        <f>INT(SUMPRODUCT($AP9:$AT9,$BF9:$BJ9)/SUM($BF9:$BJ9)/10000*$BX$7*$BZ$46/'疲劳值&amp;地图信息'!$R$10*$BY$57)</f>
        <v>1051</v>
      </c>
      <c r="GZ9" s="50">
        <f t="shared" si="92"/>
        <v>0.32934808950642219</v>
      </c>
      <c r="HA9" s="50">
        <f t="shared" si="93"/>
        <v>0.58575006058647705</v>
      </c>
      <c r="HB9" s="50">
        <f t="shared" si="94"/>
        <v>8.4901849907100729E-2</v>
      </c>
      <c r="HD9" s="14">
        <f t="shared" si="95"/>
        <v>4761</v>
      </c>
      <c r="HE9" s="14">
        <f t="shared" si="96"/>
        <v>5172</v>
      </c>
      <c r="HF9" s="14">
        <f t="shared" si="97"/>
        <v>5807</v>
      </c>
      <c r="HG9" s="14">
        <f t="shared" si="98"/>
        <v>7796</v>
      </c>
      <c r="HH9" s="14">
        <f t="shared" si="99"/>
        <v>12379</v>
      </c>
      <c r="HI9" s="14">
        <f t="shared" si="100"/>
        <v>534730</v>
      </c>
      <c r="HL9" s="14">
        <f t="shared" si="101"/>
        <v>430050</v>
      </c>
      <c r="HM9" s="50">
        <f t="shared" si="9"/>
        <v>0.44574928999357366</v>
      </c>
      <c r="HO9" s="14">
        <f t="shared" si="102"/>
        <v>964780</v>
      </c>
    </row>
    <row r="10" spans="3:223" x14ac:dyDescent="0.2">
      <c r="C10" s="1" t="s">
        <v>450</v>
      </c>
      <c r="K10" s="14">
        <v>5</v>
      </c>
      <c r="L10" s="12">
        <f>求节点(节奏总纲!D$4:D$163,标准城池设计!AB$4:AB$163,$K10)*求节点(节奏总纲!D$4:D$163,攻城基础信息!$AC$5:$AC$164,$K10)</f>
        <v>69959.549827976763</v>
      </c>
      <c r="M10" s="12">
        <f>INDEX(其他调用!$AA$5:$AA$404,MATCH(K10,其他调用!$X$5:$X$404,0))*MIN(INDEX(其他调用!$AH$5:$AH$364,MATCH('征服点（新）'!K10,其他调用!$AG$5:$AG$364,0),1)/INDEX(其他调用!$AJ$5:$AJ$364,MATCH(K10,其他调用!$AG$5:$AG$364,0),0),5)*求节点(节奏总纲!D$4:D$163,攻城基础信息!$AC$5:$AC$164,$K10)</f>
        <v>19642.906054153387</v>
      </c>
      <c r="N10" s="12">
        <f>MIN(INDEX(其他调用!$AH$5:$AH$364,MATCH($K10,其他调用!$AG$5:$AG$364,0),1)/INDEX(其他调用!AH$5:AH$364,MATCH($K10,其他调用!$AG$5:$AG$364,0),0),1)*INDEX(其他调用!Y$5:Y$404,MATCH($K10,其他调用!$X$5:$X$404,0),0)</f>
        <v>20265.817498908455</v>
      </c>
      <c r="O10" s="12">
        <f>MIN(INDEX(其他调用!$AH$5:$AH$364,MATCH($K10,其他调用!$AG$5:$AG$364,0),1)/INDEX(其他调用!AI$5:AI$364,MATCH($K10,其他调用!$AG$5:$AG$364,0),0),1)*INDEX(其他调用!Z$5:Z$404,MATCH($K10,其他调用!$X$5:$X$404,0),0)</f>
        <v>16741.150991755727</v>
      </c>
      <c r="P10" s="12">
        <f>MIN(INDEX(其他调用!$AH$5:$AH$364,MATCH($K10,其他调用!$AG$5:$AG$364,0),1)/INDEX(其他调用!AJ$5:AJ$364,MATCH($K10,其他调用!$AG$5:$AG$364,0),0),1)*INDEX(其他调用!AA$5:AA$404,MATCH($K10,其他调用!$X$5:$X$404,0),0)</f>
        <v>11589.837921831046</v>
      </c>
      <c r="Q10" s="12">
        <f>MIN(INDEX(其他调用!$AH$5:$AH$364,MATCH($K10,其他调用!$AG$5:$AG$364,0),1)/INDEX(其他调用!AK$5:AK$364,MATCH($K10,其他调用!$AG$5:$AG$364,0),0),1)*INDEX(其他调用!AB$5:AB$404,MATCH($K10,其他调用!$X$5:$X$404,0),0)</f>
        <v>5515.2240171757539</v>
      </c>
      <c r="R10" s="12">
        <f>MIN(INDEX(其他调用!$AH$5:$AH$364,MATCH($K10,其他调用!$AG$5:$AG$364,0),1)/INDEX(其他调用!AL$5:AL$364,MATCH($K10,其他调用!$AG$5:$AG$364,0),0),1)*INDEX(其他调用!AC$5:AC$404,MATCH($K10,其他调用!$X$5:$X$404,0),0)</f>
        <v>2262.0210313432067</v>
      </c>
      <c r="S10" s="12">
        <f>求节点(节奏总纲!D$4:D$163,标准城池设计!AC$4:AC$163,$K10)*求节点(节奏总纲!D$4:D$163,攻城基础信息!$AD$5:$AD$164,$K10)</f>
        <v>71390.323489368951</v>
      </c>
      <c r="T10" s="12">
        <f>INDEX(其他调用!$AA$5:$AA$404,MATCH($K10,其他调用!$X$5:$X$404,0))*MIN(INDEX(其他调用!AI$5:AI$364,MATCH($K10,其他调用!$AG$5:$AG$364,0),1)/INDEX(其他调用!$AJ$5:$AJ$364,MATCH($K10,其他调用!$AG$5:$AG$364,0),0),5)*求节点(节奏总纲!D$4:D$163,攻城基础信息!$AD$5:$AD$164,$K10)</f>
        <v>24907.669633038233</v>
      </c>
      <c r="U10" s="12">
        <f>MIN(INDEX(其他调用!$AI$5:$AI$364,MATCH($K10,其他调用!$AG$5:$AG$364,0),1)/INDEX(其他调用!AH$5:AH$364,MATCH($K10,其他调用!$AG$5:$AG$364,0),0),1)*INDEX(其他调用!Y$5:Y$404,MATCH($K10,其他调用!$X$5:$X$404,0),0)</f>
        <v>20265.817498908455</v>
      </c>
      <c r="V10" s="12">
        <f>MIN(INDEX(其他调用!$AI$5:$AI$364,MATCH($K10,其他调用!$AG$5:$AG$364,0),1)/INDEX(其他调用!AI$5:AI$364,MATCH($K10,其他调用!$AG$5:$AG$364,0),0),1)*INDEX(其他调用!Z$5:Z$404,MATCH($K10,其他调用!$X$5:$X$404,0),0)</f>
        <v>21228.175557622908</v>
      </c>
      <c r="W10" s="12">
        <f>MIN(INDEX(其他调用!$AI$5:$AI$364,MATCH($K10,其他调用!$AG$5:$AG$364,0),1)/INDEX(其他调用!AJ$5:AJ$364,MATCH($K10,其他调用!$AG$5:$AG$364,0),0),1)*INDEX(其他调用!AA$5:AA$404,MATCH($K10,其他调用!$X$5:$X$404,0),0)</f>
        <v>14696.188703523687</v>
      </c>
      <c r="X10" s="12">
        <f>MIN(INDEX(其他调用!$AI$5:$AI$364,MATCH($K10,其他调用!$AG$5:$AG$364,0),1)/INDEX(其他调用!AK$5:AK$364,MATCH($K10,其他调用!$AG$5:$AG$364,0),0),1)*INDEX(其他调用!AB$5:AB$404,MATCH($K10,其他调用!$X$5:$X$404,0),0)</f>
        <v>6993.4345454431987</v>
      </c>
      <c r="Y10" s="12">
        <f>MIN(INDEX(其他调用!$AI$5:$AI$364,MATCH($K10,其他调用!$AG$5:$AG$364,0),1)/INDEX(其他调用!AL$5:AL$364,MATCH($K10,其他调用!$AG$5:$AG$364,0),0),1)*INDEX(其他调用!AC$5:AC$404,MATCH($K10,其他调用!$X$5:$X$404,0),0)</f>
        <v>2868.2961877612738</v>
      </c>
      <c r="Z10" s="12">
        <f>求节点(节奏总纲!D$4:D$163,标准城池设计!AD$4:AD$163,$K10)*求节点(节奏总纲!D$4:D$163,攻城基础信息!$AE$5:$AE$164,$K10)</f>
        <v>73019.035444775014</v>
      </c>
      <c r="AA10" s="12">
        <f>INDEX(其他调用!$AA$5:$AA$404,MATCH($K10,其他调用!$X$5:$X$404,0))*MIN(INDEX(其他调用!AJ$5:AJ$364,MATCH($K10,其他调用!$AG$5:$AG$364,0),1)/INDEX(其他调用!$AJ$5:$AJ$364,MATCH($K10,其他调用!$AG$5:$AG$364,0),0),5)*求节点(节奏总纲!D$4:D$163,攻城基础信息!$AE$5:$AE$164,$K10)</f>
        <v>38152.390938663353</v>
      </c>
      <c r="AB10" s="12">
        <f>MIN(INDEX(其他调用!$AJ$5:$AJ$364,MATCH($K10,其他调用!$AG$5:$AG$364,0),1)/INDEX(其他调用!AH$5:AH$364,MATCH($K10,其他调用!$AG$5:$AG$364,0),0),1)*INDEX(其他调用!Y$5:Y$404,MATCH($K10,其他调用!$X$5:$X$404,0),0)</f>
        <v>20265.817498908455</v>
      </c>
      <c r="AC10" s="12">
        <f>MIN(INDEX(其他调用!$AJ$5:$AJ$364,MATCH($K10,其他调用!$AG$5:$AG$364,0),1)/INDEX(其他调用!AI$5:AI$364,MATCH($K10,其他调用!$AG$5:$AG$364,0),0),1)*INDEX(其他调用!Z$5:Z$404,MATCH($K10,其他调用!$X$5:$X$404,0),0)</f>
        <v>21228.175557622908</v>
      </c>
      <c r="AD10" s="12">
        <f>MIN(INDEX(其他调用!$AJ$5:$AJ$364,MATCH($K10,其他调用!$AG$5:$AG$364,0),1)/INDEX(其他调用!AJ$5:AJ$364,MATCH($K10,其他调用!$AG$5:$AG$364,0),0),1)*INDEX(其他调用!AA$5:AA$404,MATCH($K10,其他调用!$X$5:$X$404,0),0)</f>
        <v>22510.927155605219</v>
      </c>
      <c r="AE10" s="12">
        <f>MIN(INDEX(其他调用!$AJ$5:$AJ$364,MATCH($K10,其他调用!$AG$5:$AG$364,0),1)/INDEX(其他调用!AK$5:AK$364,MATCH($K10,其他调用!$AG$5:$AG$364,0),0),1)*INDEX(其他调用!AB$5:AB$404,MATCH($K10,其他调用!$X$5:$X$404,0),0)</f>
        <v>10712.212451532992</v>
      </c>
      <c r="AF10" s="12">
        <f>MIN(INDEX(其他调用!$AJ$5:$AJ$364,MATCH($K10,其他调用!$AG$5:$AG$364,0),1)/INDEX(其他调用!AL$5:AL$364,MATCH($K10,其他调用!$AG$5:$AG$364,0),0),1)*INDEX(其他调用!AC$5:AC$404,MATCH($K10,其他调用!$X$5:$X$404,0),0)</f>
        <v>4393.5205137855091</v>
      </c>
      <c r="AG10" s="12">
        <f>求节点(节奏总纲!D$4:D$163,标准城池设计!AE$4:AE$163,$K10)*求节点(节奏总纲!D$4:D$163,攻城基础信息!$AF$5:$AF$164,$K10)</f>
        <v>76569.475774061822</v>
      </c>
      <c r="AH10" s="12">
        <f>INDEX(其他调用!$AA$5:$AA$404,MATCH($K10,其他调用!$X$5:$X$404,0))*MIN(INDEX(其他调用!AK$5:AK$364,MATCH($K10,其他调用!$AG$5:$AG$364,0),1)/INDEX(其他调用!$AJ$5:$AJ$364,MATCH($K10,其他调用!$AG$5:$AG$364,0),0),5)*求节点(节奏总纲!D$4:D$163,攻城基础信息!$AF$5:$AF$164,$K10)</f>
        <v>86897.937206007831</v>
      </c>
      <c r="AI10" s="12">
        <f>MIN(INDEX(其他调用!$AK$5:$AK$364,MATCH($K10,其他调用!$AG$5:$AG$364,0),1)/INDEX(其他调用!AH$5:AH$364,MATCH($K10,其他调用!$AG$5:$AG$364,0),0),1)*INDEX(其他调用!Y$5:Y$404,MATCH($K10,其他调用!$X$5:$X$404,0),0)</f>
        <v>20265.817498908455</v>
      </c>
      <c r="AJ10" s="12">
        <f>MIN(INDEX(其他调用!$AK$5:$AK$364,MATCH($K10,其他调用!$AG$5:$AG$364,0),1)/INDEX(其他调用!AI$5:AI$364,MATCH($K10,其他调用!$AG$5:$AG$364,0),0),1)*INDEX(其他调用!Z$5:Z$404,MATCH($K10,其他调用!$X$5:$X$404,0),0)</f>
        <v>21228.175557622908</v>
      </c>
      <c r="AK10" s="12">
        <f>MIN(INDEX(其他调用!$AK$5:$AK$364,MATCH($K10,其他调用!$AG$5:$AG$364,0),1)/INDEX(其他调用!AJ$5:AJ$364,MATCH($K10,其他调用!$AG$5:$AG$364,0),0),1)*INDEX(其他调用!AA$5:AA$404,MATCH($K10,其他调用!$X$5:$X$404,0),0)</f>
        <v>22510.927155605219</v>
      </c>
      <c r="AL10" s="12">
        <f>MIN(INDEX(其他调用!$AK$5:$AK$364,MATCH($K10,其他调用!$AG$5:$AG$364,0),1)/INDEX(其他调用!AK$5:AK$364,MATCH($K10,其他调用!$AG$5:$AG$364,0),0),1)*INDEX(其他调用!AB$5:AB$404,MATCH($K10,其他调用!$X$5:$X$404,0),0)</f>
        <v>24398.71111740452</v>
      </c>
      <c r="AM10" s="12">
        <f>MIN(INDEX(其他调用!$AK$5:$AK$364,MATCH($K10,其他调用!$AG$5:$AG$364,0),1)/INDEX(其他调用!AL$5:AL$364,MATCH($K10,其他调用!$AG$5:$AG$364,0),0),1)*INDEX(其他调用!AC$5:AC$404,MATCH($K10,其他调用!$X$5:$X$404,0),0)</f>
        <v>10006.918579074932</v>
      </c>
      <c r="AN10" s="12">
        <f>求节点(节奏总纲!D$4:D$163,标准城池设计!AF$4:AF$163,$K10)*求节点(节奏总纲!D$4:D$163,攻城基础信息!$AG$5:$AG$164,$K10)</f>
        <v>78451.39858747799</v>
      </c>
      <c r="AO10" s="12">
        <f>INDEX(其他调用!$AA$5:$AA$404,MATCH($K10,其他调用!$X$5:$X$404,0))*MIN(INDEX(其他调用!AL$5:AL$364,MATCH($K10,其他调用!$AG$5:$AG$364,0),1)/INDEX(其他调用!$AJ$5:$AJ$364,MATCH($K10,其他调用!$AG$5:$AG$364,0),0),5)*求节点(节奏总纲!D$4:D$163,攻城基础信息!$AG$5:$AG$164,$K10)</f>
        <v>190761.95469331677</v>
      </c>
      <c r="AP10" s="12">
        <f>MIN(INDEX(其他调用!$AL$5:$AL$364,MATCH($K10,其他调用!$AG$5:$AG$364,0),1)/INDEX(其他调用!AH$5:AH$364,MATCH($K10,其他调用!$AG$5:$AG$364,0),0),1)*INDEX(其他调用!Y$5:Y$404,MATCH($K10,其他调用!$X$5:$X$404,0),0)</f>
        <v>20265.817498908455</v>
      </c>
      <c r="AQ10" s="12">
        <f>MIN(INDEX(其他调用!$AL$5:$AL$364,MATCH($K10,其他调用!$AG$5:$AG$364,0),1)/INDEX(其他调用!AI$5:AI$364,MATCH($K10,其他调用!$AG$5:$AG$364,0),0),1)*INDEX(其他调用!Z$5:Z$404,MATCH($K10,其他调用!$X$5:$X$404,0),0)</f>
        <v>21228.175557622908</v>
      </c>
      <c r="AR10" s="12">
        <f>MIN(INDEX(其他调用!$AL$5:$AL$364,MATCH($K10,其他调用!$AG$5:$AG$364,0),1)/INDEX(其他调用!AJ$5:AJ$364,MATCH($K10,其他调用!$AG$5:$AG$364,0),0),1)*INDEX(其他调用!AA$5:AA$404,MATCH($K10,其他调用!$X$5:$X$404,0),0)</f>
        <v>22510.927155605219</v>
      </c>
      <c r="AS10" s="12">
        <f>MIN(INDEX(其他调用!$AL$5:$AL$364,MATCH($K10,其他调用!$AG$5:$AG$364,0),1)/INDEX(其他调用!AK$5:AK$364,MATCH($K10,其他调用!$AG$5:$AG$364,0),0),1)*INDEX(其他调用!AB$5:AB$404,MATCH($K10,其他调用!$X$5:$X$404,0),0)</f>
        <v>24398.71111740452</v>
      </c>
      <c r="AT10" s="12">
        <f>MIN(INDEX(其他调用!$AL$5:$AL$364,MATCH($K10,其他调用!$AG$5:$AG$364,0),1)/INDEX(其他调用!AL$5:AL$364,MATCH($K10,其他调用!$AG$5:$AG$364,0),0),1)*INDEX(其他调用!AC$5:AC$404,MATCH($K10,其他调用!$X$5:$X$404,0),0)</f>
        <v>27832.968393763629</v>
      </c>
      <c r="AV10" s="14">
        <f>IF(OR(AV$5="大R",AV$5="超R"),MAX(INDEX(其他调用!$H$5:$L$404,MATCH($K10,其他调用!$B$5:$B$404,0),MATCH(AV$5,其他调用!$H$4:$L$4,0))*120*0.85,2),INDEX(其他调用!$H$5:$L$404,MATCH($K10,其他调用!$B$5:$B$404,0),MATCH(AV$5,其他调用!$H$4:$L$4,0))*120*0.85)</f>
        <v>76.939043478260885</v>
      </c>
      <c r="AW10" s="14">
        <f>IF(OR(AW$5="大R",AW$5="超R"),MAX(INDEX(其他调用!$H$5:$L$404,MATCH($K10,其他调用!$B$5:$B$404,0),MATCH(AW$5,其他调用!$H$4:$L$4,0))*120*0.85,2),INDEX(其他调用!$H$5:$L$404,MATCH($K10,其他调用!$B$5:$B$404,0),MATCH(AW$5,其他调用!$H$4:$L$4,0))*120*0.85)</f>
        <v>21.297836521739114</v>
      </c>
      <c r="AX10" s="14">
        <f>IF(OR(AX$5="大R",AX$5="超R"),MAX(INDEX(其他调用!$H$5:$L$404,MATCH($K10,其他调用!$B$5:$B$404,0),MATCH(AX$5,其他调用!$H$4:$L$4,0))*120*0.85,2),INDEX(其他调用!$H$5:$L$404,MATCH($K10,其他调用!$B$5:$B$404,0),MATCH(AX$5,其他调用!$H$4:$L$4,0))*120*0.85)</f>
        <v>3.3075199999999998</v>
      </c>
      <c r="AY10" s="14">
        <f>IF(OR(AY$5="大R",AY$5="超R"),MAX(INDEX(其他调用!$H$5:$L$404,MATCH($K10,其他调用!$B$5:$B$404,0),MATCH(AY$5,其他调用!$H$4:$L$4,0))*120*0.85,2),INDEX(其他调用!$H$5:$L$404,MATCH($K10,其他调用!$B$5:$B$404,0),MATCH(AY$5,其他调用!$H$4:$L$4,0))*120*0.85)</f>
        <v>2</v>
      </c>
      <c r="AZ10" s="14">
        <f>IF(OR(AZ$5="大R",AZ$5="超R"),MAX(INDEX(其他调用!$H$5:$L$404,MATCH($K10,其他调用!$B$5:$B$404,0),MATCH(AZ$5,其他调用!$H$4:$L$4,0))*120*0.85,2),INDEX(其他调用!$H$5:$L$404,MATCH($K10,其他调用!$B$5:$B$404,0),MATCH(AZ$5,其他调用!$H$4:$L$4,0))*120*0.85)</f>
        <v>2</v>
      </c>
      <c r="BA10" s="14">
        <f>INDEX(其他调用!$H$5:$L$404,MATCH($K10,其他调用!$B$5:$B$404,0),MATCH(BA$5,其他调用!$H$4:$L$4,0))*INDEX(其他调用!$M$5:$M$404,MATCH($K10,其他调用!$B$5:$B$404,0))*0.6</f>
        <v>31.881930434782614</v>
      </c>
      <c r="BB10" s="14">
        <f>INDEX(其他调用!$H$5:$L$404,MATCH($K10,其他调用!$B$5:$B$404,0),MATCH(BB$5,其他调用!$H$4:$L$4,0))*INDEX(其他调用!$M$5:$M$404,MATCH($K10,其他调用!$B$5:$B$404,0))*0.6</f>
        <v>8.8253780096618293</v>
      </c>
      <c r="BC10" s="14">
        <f>INDEX(其他调用!$H$5:$L$404,MATCH($K10,其他调用!$B$5:$B$404,0),MATCH(BC$5,其他调用!$H$4:$L$4,0))*INDEX(其他调用!$M$5:$M$404,MATCH($K10,其他调用!$B$5:$B$404,0))*0.6</f>
        <v>1.3705671111111111</v>
      </c>
      <c r="BD10" s="14">
        <f>INDEX(其他调用!$H$5:$L$404,MATCH($K10,其他调用!$B$5:$B$404,0),MATCH(BD$5,其他调用!$H$4:$L$4,0))*INDEX(其他调用!$M$5:$M$404,MATCH($K10,其他调用!$B$5:$B$404,0))*0.6</f>
        <v>0.15779555555555561</v>
      </c>
      <c r="BE10" s="14">
        <f>INDEX(其他调用!$H$5:$L$404,MATCH($K10,其他调用!$B$5:$B$404,0),MATCH(BE$5,其他调用!$H$4:$L$4,0))*INDEX(其他调用!$M$5:$M$404,MATCH($K10,其他调用!$B$5:$B$404,0))*0.6</f>
        <v>3.0995555555555554E-2</v>
      </c>
      <c r="BF10" s="14">
        <f>IF(OR(BF$5="大R",BF$5="超R"),0,INDEX(其他调用!$H$5:$L$404,MATCH($K10,其他调用!$B$5:$B$404,0),MATCH(BF$5,其他调用!$H$4:$L$4,0))*50*0.4)</f>
        <v>15.086086956521743</v>
      </c>
      <c r="BG10" s="14">
        <f>IF(OR(BG$5="大R",BG$5="超R"),0,INDEX(其他调用!$H$5:$L$404,MATCH($K10,其他调用!$B$5:$B$404,0),MATCH(BG$5,其他调用!$H$4:$L$4,0))*50*0.4)</f>
        <v>4.1760463768115912</v>
      </c>
      <c r="BH10" s="14">
        <f>IF(OR(BH$5="大R",BH$5="超R"),0,INDEX(其他调用!$H$5:$L$404,MATCH($K10,其他调用!$B$5:$B$404,0),MATCH(BH$5,其他调用!$H$4:$L$4,0))*50*0.4)</f>
        <v>0.64853333333333341</v>
      </c>
      <c r="BI10" s="14">
        <f>IF(OR(BI$5="大R",BI$5="超R"),0,INDEX(其他调用!$H$5:$L$404,MATCH($K10,其他调用!$B$5:$B$404,0),MATCH(BI$5,其他调用!$H$4:$L$4,0))*50*0.4)</f>
        <v>0</v>
      </c>
      <c r="BJ10" s="14">
        <f>IF(OR(BJ$5="大R",BJ$5="超R"),0,INDEX(其他调用!$H$5:$L$404,MATCH($K10,其他调用!$B$5:$B$404,0),MATCH(BJ$5,其他调用!$H$4:$L$4,0))*50*0.4)</f>
        <v>0</v>
      </c>
      <c r="BL10" s="14">
        <f t="shared" si="103"/>
        <v>5</v>
      </c>
      <c r="BM10" s="14">
        <f t="shared" si="10"/>
        <v>96</v>
      </c>
      <c r="BN10" s="14">
        <f>('疲劳值&amp;地图信息'!$S$10*'疲劳值&amp;地图信息'!$R$10+'疲劳值&amp;地图信息'!$S$11*'疲劳值&amp;地图信息'!$R$11+'疲劳值&amp;地图信息'!$S$12*'疲劳值&amp;地图信息'!$R$12+(BM10-'疲劳值&amp;地图信息'!$S$12-'疲劳值&amp;地图信息'!$S$11-'疲劳值&amp;地图信息'!$S$10)*'疲劳值&amp;地图信息'!$R$13)/BM10</f>
        <v>51.371477246638619</v>
      </c>
      <c r="BO10" s="14">
        <f>INDEX(其他调用!$M$5:$M$404,MATCH(BL10,其他调用!$B$5:$B$404,0))*0.6</f>
        <v>42.266666666666666</v>
      </c>
      <c r="BP10" s="14">
        <f>IF(BO10&gt;SUM('疲劳值&amp;地图信息'!$S$10:$S$12),('疲劳值&amp;地图信息'!$S$10*'疲劳值&amp;地图信息'!$R$10+'疲劳值&amp;地图信息'!$S$11*'疲劳值&amp;地图信息'!$R$11+'疲劳值&amp;地图信息'!$S$12*'疲劳值&amp;地图信息'!$R$12+(BO10-'疲劳值&amp;地图信息'!$S$12-'疲劳值&amp;地图信息'!$S$11-'疲劳值&amp;地图信息'!$S$10)*'疲劳值&amp;地图信息'!$R$13)/BO10,('疲劳值&amp;地图信息'!$S$10*'疲劳值&amp;地图信息'!$R$10+'疲劳值&amp;地图信息'!$S$11*'疲劳值&amp;地图信息'!$R$11+'疲劳值&amp;地图信息'!$S$12*'疲劳值&amp;地图信息'!$R$12+(BO10-'疲劳值&amp;地图信息'!$S$12-'疲劳值&amp;地图信息'!$S$11-'疲劳值&amp;地图信息'!$S$10)*'疲劳值&amp;地图信息'!$R$13)/BO10)</f>
        <v>36.087689734923757</v>
      </c>
      <c r="BQ10" s="14">
        <f t="shared" si="104"/>
        <v>20</v>
      </c>
      <c r="BR10" s="14">
        <f>('疲劳值&amp;地图信息'!$S$10*'疲劳值&amp;地图信息'!$R$10+($BQ10-'疲劳值&amp;地图信息'!$S$10)*'疲劳值&amp;地图信息'!$R$11)/$BQ10</f>
        <v>32.067203015074995</v>
      </c>
      <c r="BW10" s="14" t="s">
        <v>170</v>
      </c>
      <c r="BX10" s="14" t="s">
        <v>469</v>
      </c>
      <c r="BY10" s="14" t="s">
        <v>470</v>
      </c>
      <c r="CF10" s="14">
        <v>5</v>
      </c>
      <c r="CG10" s="51">
        <f t="shared" si="11"/>
        <v>1744</v>
      </c>
      <c r="CH10" s="51">
        <f t="shared" si="12"/>
        <v>489</v>
      </c>
      <c r="CI10" s="51">
        <f>INT(SUMPRODUCT($N10:$R10,$BA10:$BE10)/SUM($BA10:$BE10)/10000*$BX$7*$BZ$34/'疲劳值&amp;地图信息'!$R$10*$BY$53)</f>
        <v>1946</v>
      </c>
      <c r="CJ10" s="50">
        <f t="shared" si="13"/>
        <v>0.41732471883225652</v>
      </c>
      <c r="CK10" s="50">
        <f t="shared" si="14"/>
        <v>0.11701363962670495</v>
      </c>
      <c r="CL10" s="50">
        <f t="shared" si="15"/>
        <v>0.46566164154103851</v>
      </c>
      <c r="CM10" s="14">
        <f t="shared" si="16"/>
        <v>1780</v>
      </c>
      <c r="CN10" s="14">
        <f t="shared" si="17"/>
        <v>621</v>
      </c>
      <c r="CO10" s="14">
        <f>INT(SUMPRODUCT($U10:$Y10,$BA10:$BE10)/SUM($BA10:$BE10)/10000*$BX$7*$BZ$34/'疲劳值&amp;地图信息'!$R$10*$BY$54)</f>
        <v>3078</v>
      </c>
      <c r="CP10" s="50">
        <f t="shared" si="18"/>
        <v>0.32487680233619276</v>
      </c>
      <c r="CQ10" s="50">
        <f t="shared" si="19"/>
        <v>0.11334185070268298</v>
      </c>
      <c r="CR10" s="50">
        <f t="shared" si="20"/>
        <v>0.56178134696112425</v>
      </c>
      <c r="CS10" s="14">
        <f t="shared" si="21"/>
        <v>1821</v>
      </c>
      <c r="CT10" s="14">
        <f t="shared" si="22"/>
        <v>951</v>
      </c>
      <c r="CU10" s="14">
        <f>INT(SUMPRODUCT($AB10:$AF10,$BA10:$BE10)/SUM($BA10:$BE10)/10000*$BX$7*$BZ$34/'疲劳值&amp;地图信息'!$R$10*$BY$55)</f>
        <v>4158</v>
      </c>
      <c r="CV10" s="50">
        <f t="shared" si="23"/>
        <v>0.26277056277056277</v>
      </c>
      <c r="CW10" s="50">
        <f t="shared" si="24"/>
        <v>0.13722943722943723</v>
      </c>
      <c r="CX10" s="50">
        <f t="shared" si="25"/>
        <v>0.6</v>
      </c>
      <c r="CY10" s="14">
        <f t="shared" si="26"/>
        <v>1909</v>
      </c>
      <c r="CZ10" s="14">
        <f t="shared" si="27"/>
        <v>2167</v>
      </c>
      <c r="DA10" s="14">
        <f>INT(SUMPRODUCT($AI10:$AM10,$BA10:$BE10)/SUM($BA10:$BE10)/10000*$BX$7*$BZ$34/'疲劳值&amp;地图信息'!$R$10*$BY$56)</f>
        <v>6254</v>
      </c>
      <c r="DB10" s="50">
        <f t="shared" si="28"/>
        <v>0.18480154888673767</v>
      </c>
      <c r="DC10" s="50">
        <f t="shared" si="29"/>
        <v>0.20977734753146177</v>
      </c>
      <c r="DD10" s="50">
        <f t="shared" si="30"/>
        <v>0.60542110358180057</v>
      </c>
      <c r="DE10" s="14">
        <f t="shared" si="31"/>
        <v>1956</v>
      </c>
      <c r="DF10" s="14">
        <f t="shared" si="32"/>
        <v>4757</v>
      </c>
      <c r="DG10" s="14">
        <f>INT(SUMPRODUCT($AP10:$AT10,$BA10:$BE10)/SUM($BA10:$BE10)/10000*$BX$7*$BZ$34/'疲劳值&amp;地图信息'!$R$10*$BY$57)</f>
        <v>8344</v>
      </c>
      <c r="DH10" s="50">
        <f t="shared" si="33"/>
        <v>0.12990635584777843</v>
      </c>
      <c r="DI10" s="50">
        <f t="shared" si="34"/>
        <v>0.31593278873613601</v>
      </c>
      <c r="DJ10" s="50">
        <f t="shared" si="35"/>
        <v>0.55416085541608551</v>
      </c>
      <c r="DL10" s="14">
        <f t="shared" si="0"/>
        <v>4179</v>
      </c>
      <c r="DM10" s="14">
        <f t="shared" si="1"/>
        <v>5479</v>
      </c>
      <c r="DN10" s="14">
        <f t="shared" si="2"/>
        <v>6930</v>
      </c>
      <c r="DO10" s="14">
        <f t="shared" si="3"/>
        <v>10330</v>
      </c>
      <c r="DP10" s="14">
        <f t="shared" si="4"/>
        <v>15057</v>
      </c>
      <c r="DQ10" s="14">
        <f t="shared" si="5"/>
        <v>193183</v>
      </c>
      <c r="DT10" s="14">
        <f>SUM($BX$11:$BX$27)/2+SUM($BY$11:$BY$27)*(60-($BX$34+$BY$34)/60/2)/2</f>
        <v>235575</v>
      </c>
      <c r="DU10" s="50">
        <f t="shared" si="7"/>
        <v>0.54943581227638905</v>
      </c>
      <c r="DW10" s="14">
        <f t="shared" si="36"/>
        <v>428758</v>
      </c>
      <c r="EB10" s="14">
        <v>5</v>
      </c>
      <c r="EC10" s="51">
        <f t="shared" si="37"/>
        <v>2907</v>
      </c>
      <c r="ED10" s="51">
        <f t="shared" si="38"/>
        <v>816</v>
      </c>
      <c r="EE10" s="51">
        <f>INT(SUMPRODUCT($N10:$R10,$BF10:$BJ10)/SUM($BF10:$BJ10)/10000*$BX$7*$BZ$46/'疲劳值&amp;地图信息'!$R$10*$BY$53)</f>
        <v>260</v>
      </c>
      <c r="EF10" s="50">
        <f t="shared" si="39"/>
        <v>0.72985187044941002</v>
      </c>
      <c r="EG10" s="50">
        <f t="shared" si="40"/>
        <v>0.20487070047702738</v>
      </c>
      <c r="EH10" s="50">
        <f t="shared" si="41"/>
        <v>6.527742907356264E-2</v>
      </c>
      <c r="EI10" s="51">
        <f t="shared" si="42"/>
        <v>2967</v>
      </c>
      <c r="EJ10" s="51">
        <f t="shared" si="43"/>
        <v>1035</v>
      </c>
      <c r="EK10" s="14">
        <f>INT(SUMPRODUCT($U10:$Y10,$BF10:$BJ10)/SUM($BF10:$BJ10)/10000*$BX$7*$BZ$46/'疲劳值&amp;地图信息'!$R$10*$BY$54)</f>
        <v>411</v>
      </c>
      <c r="EL10" s="50">
        <f t="shared" si="44"/>
        <v>0.67233174711080901</v>
      </c>
      <c r="EM10" s="50">
        <f t="shared" si="45"/>
        <v>0.2345343303874915</v>
      </c>
      <c r="EN10" s="50">
        <f t="shared" si="46"/>
        <v>9.3133922501699523E-2</v>
      </c>
      <c r="EO10" s="51">
        <f t="shared" si="47"/>
        <v>3035</v>
      </c>
      <c r="EP10" s="51">
        <f t="shared" si="48"/>
        <v>1585</v>
      </c>
      <c r="EQ10" s="14">
        <f>INT(SUMPRODUCT($AB10:$AF10,$BF10:$BJ10)/SUM($BF10:$BJ10)/10000*$BX$7*$BZ$46/'疲劳值&amp;地图信息'!$R$10*$BY$55)</f>
        <v>555</v>
      </c>
      <c r="ER10" s="50">
        <f t="shared" si="49"/>
        <v>0.58647342995169083</v>
      </c>
      <c r="ES10" s="50">
        <f t="shared" si="50"/>
        <v>0.30628019323671496</v>
      </c>
      <c r="ET10" s="50">
        <f t="shared" si="51"/>
        <v>0.1072463768115942</v>
      </c>
      <c r="EU10" s="51">
        <f t="shared" si="52"/>
        <v>3182</v>
      </c>
      <c r="EV10" s="51">
        <f t="shared" si="53"/>
        <v>3611</v>
      </c>
      <c r="EW10" s="14">
        <f>INT(SUMPRODUCT($AI10:$AM10,$BF10:$BJ10)/SUM($BF10:$BJ10)/10000*$BX$7*$BZ$46/'疲劳值&amp;地图信息'!$R$10*$BY$56)</f>
        <v>833</v>
      </c>
      <c r="EX10" s="50">
        <f t="shared" si="54"/>
        <v>0.4172567532126934</v>
      </c>
      <c r="EY10" s="50">
        <f t="shared" si="55"/>
        <v>0.47351167060057697</v>
      </c>
      <c r="EZ10" s="50">
        <f t="shared" si="56"/>
        <v>0.10923157618672961</v>
      </c>
      <c r="FA10" s="51">
        <f t="shared" si="57"/>
        <v>3260</v>
      </c>
      <c r="FB10" s="51">
        <f t="shared" si="58"/>
        <v>7929</v>
      </c>
      <c r="FC10" s="14">
        <f>INT(SUMPRODUCT($AP10:$AT10,$BF10:$BJ10)/SUM($BF10:$BJ10)/10000*$BX$7*$BZ$46/'疲劳值&amp;地图信息'!$R$10*$BY$57)</f>
        <v>1111</v>
      </c>
      <c r="FD10" s="50">
        <f t="shared" si="59"/>
        <v>0.26504065040650404</v>
      </c>
      <c r="FE10" s="50">
        <f t="shared" si="60"/>
        <v>0.64463414634146343</v>
      </c>
      <c r="FF10" s="50">
        <f t="shared" si="61"/>
        <v>9.0325203252032527E-2</v>
      </c>
      <c r="FH10" s="14">
        <f t="shared" si="62"/>
        <v>3983</v>
      </c>
      <c r="FI10" s="14">
        <f t="shared" si="63"/>
        <v>4413</v>
      </c>
      <c r="FJ10" s="14">
        <f t="shared" si="64"/>
        <v>5175</v>
      </c>
      <c r="FK10" s="14">
        <f t="shared" si="65"/>
        <v>7626</v>
      </c>
      <c r="FL10" s="14">
        <f t="shared" si="66"/>
        <v>12300</v>
      </c>
      <c r="FM10" s="14">
        <f t="shared" si="67"/>
        <v>457403</v>
      </c>
      <c r="FP10" s="14">
        <f t="shared" si="68"/>
        <v>334150</v>
      </c>
      <c r="FQ10" s="50">
        <f t="shared" si="8"/>
        <v>0.42214482163544326</v>
      </c>
      <c r="FS10" s="14">
        <f t="shared" si="69"/>
        <v>791553</v>
      </c>
      <c r="FX10" s="14">
        <v>5</v>
      </c>
      <c r="FY10" s="51">
        <f t="shared" si="70"/>
        <v>4071</v>
      </c>
      <c r="FZ10" s="51">
        <f t="shared" si="71"/>
        <v>816</v>
      </c>
      <c r="GA10" s="51">
        <f>INT(SUMPRODUCT($N10:$R10,$BF10:$BJ10)/SUM($BF10:$BJ10)/10000*$BX$7*$BZ$46/'疲劳值&amp;地图信息'!$R$10*$BY$53)</f>
        <v>260</v>
      </c>
      <c r="GB10" s="50">
        <f t="shared" si="72"/>
        <v>0.7909461822420828</v>
      </c>
      <c r="GC10" s="50">
        <f t="shared" si="73"/>
        <v>0.1585389547309112</v>
      </c>
      <c r="GD10" s="50">
        <f t="shared" si="74"/>
        <v>5.0514863027006023E-2</v>
      </c>
      <c r="GE10" s="51">
        <f t="shared" si="75"/>
        <v>4154</v>
      </c>
      <c r="GF10" s="51">
        <f t="shared" si="76"/>
        <v>1035</v>
      </c>
      <c r="GG10" s="14">
        <f>INT(SUMPRODUCT($U10:$Y10,$BF10:$BJ10)/SUM($BF10:$BJ10)/10000*$BX$7*$BZ$46/'疲劳值&amp;地图信息'!$R$10*$BY$54)</f>
        <v>411</v>
      </c>
      <c r="GH10" s="50">
        <f t="shared" si="77"/>
        <v>0.74178571428571427</v>
      </c>
      <c r="GI10" s="50">
        <f t="shared" si="78"/>
        <v>0.18482142857142858</v>
      </c>
      <c r="GJ10" s="50">
        <f t="shared" si="79"/>
        <v>7.3392857142857149E-2</v>
      </c>
      <c r="GK10" s="51">
        <f t="shared" si="80"/>
        <v>4249</v>
      </c>
      <c r="GL10" s="51">
        <f t="shared" si="81"/>
        <v>1585</v>
      </c>
      <c r="GM10" s="14">
        <f>INT(SUMPRODUCT($AB10:$AF10,$BF10:$BJ10)/SUM($BF10:$BJ10)/10000*$BX$7*$BZ$46/'疲劳值&amp;地图信息'!$R$10*$BY$55)</f>
        <v>555</v>
      </c>
      <c r="GN10" s="50">
        <f t="shared" si="82"/>
        <v>0.66504930349037406</v>
      </c>
      <c r="GO10" s="50">
        <f t="shared" si="83"/>
        <v>0.24808264204100799</v>
      </c>
      <c r="GP10" s="50">
        <f t="shared" si="84"/>
        <v>8.6868054468617936E-2</v>
      </c>
      <c r="GQ10" s="51">
        <f t="shared" si="85"/>
        <v>4455</v>
      </c>
      <c r="GR10" s="51">
        <f t="shared" si="86"/>
        <v>3611</v>
      </c>
      <c r="GS10" s="14">
        <f>INT(SUMPRODUCT($AI10:$AM10,$BF10:$BJ10)/SUM($BF10:$BJ10)/10000*$BX$7*$BZ$46/'疲劳值&amp;地图信息'!$R$10*$BY$56)</f>
        <v>833</v>
      </c>
      <c r="GT10" s="50">
        <f t="shared" si="87"/>
        <v>0.50061804697156986</v>
      </c>
      <c r="GU10" s="50">
        <f t="shared" si="88"/>
        <v>0.4057759298797618</v>
      </c>
      <c r="GV10" s="50">
        <f t="shared" si="89"/>
        <v>9.3606023148668394E-2</v>
      </c>
      <c r="GW10" s="51">
        <f t="shared" si="90"/>
        <v>4565</v>
      </c>
      <c r="GX10" s="51">
        <f t="shared" si="91"/>
        <v>7929</v>
      </c>
      <c r="GY10" s="14">
        <f>INT(SUMPRODUCT($AP10:$AT10,$BF10:$BJ10)/SUM($BF10:$BJ10)/10000*$BX$7*$BZ$46/'疲劳值&amp;地图信息'!$R$10*$BY$57)</f>
        <v>1111</v>
      </c>
      <c r="GZ10" s="50">
        <f t="shared" si="92"/>
        <v>0.33553840499816245</v>
      </c>
      <c r="HA10" s="50">
        <f t="shared" si="93"/>
        <v>0.58280044101433293</v>
      </c>
      <c r="HB10" s="50">
        <f t="shared" si="94"/>
        <v>8.1661153987504592E-2</v>
      </c>
      <c r="HD10" s="14">
        <f t="shared" si="95"/>
        <v>5147</v>
      </c>
      <c r="HE10" s="14">
        <f t="shared" si="96"/>
        <v>5600</v>
      </c>
      <c r="HF10" s="14">
        <f t="shared" si="97"/>
        <v>6389</v>
      </c>
      <c r="HG10" s="14">
        <f t="shared" si="98"/>
        <v>8899</v>
      </c>
      <c r="HH10" s="14">
        <f t="shared" si="99"/>
        <v>13605</v>
      </c>
      <c r="HI10" s="14">
        <f t="shared" si="100"/>
        <v>581412</v>
      </c>
      <c r="HL10" s="14">
        <f t="shared" si="101"/>
        <v>430050</v>
      </c>
      <c r="HM10" s="50">
        <f t="shared" si="9"/>
        <v>0.42517662551830915</v>
      </c>
      <c r="HO10" s="14">
        <f t="shared" si="102"/>
        <v>1011462</v>
      </c>
    </row>
    <row r="11" spans="3:223" x14ac:dyDescent="0.2">
      <c r="C11" s="1" t="s">
        <v>413</v>
      </c>
      <c r="K11" s="14">
        <v>6</v>
      </c>
      <c r="L11" s="12">
        <f>求节点(节奏总纲!D$4:D$163,标准城池设计!AB$4:AB$163,$K11)*求节点(节奏总纲!D$4:D$163,攻城基础信息!$AC$5:$AC$164,$K11)</f>
        <v>82104.256845798358</v>
      </c>
      <c r="M11" s="12">
        <f>INDEX(其他调用!$AA$5:$AA$404,MATCH(K11,其他调用!$X$5:$X$404,0))*MIN(INDEX(其他调用!$AH$5:$AH$364,MATCH('征服点（新）'!K11,其他调用!$AG$5:$AG$364,0),1)/INDEX(其他调用!$AJ$5:$AJ$364,MATCH(K11,其他调用!$AG$5:$AG$364,0),0),5)*求节点(节奏总纲!D$4:D$163,攻城基础信息!$AC$5:$AC$164,$K11)</f>
        <v>18868.296744961339</v>
      </c>
      <c r="N11" s="12">
        <f>MIN(INDEX(其他调用!$AH$5:$AH$364,MATCH($K11,其他调用!$AG$5:$AG$364,0),1)/INDEX(其他调用!AH$5:AH$364,MATCH($K11,其他调用!$AG$5:$AG$364,0),0),1)*INDEX(其他调用!Y$5:Y$404,MATCH($K11,其他调用!$X$5:$X$404,0),0)</f>
        <v>21154.309686651173</v>
      </c>
      <c r="O11" s="12">
        <f>MIN(INDEX(其他调用!$AH$5:$AH$364,MATCH($K11,其他调用!$AG$5:$AG$364,0),1)/INDEX(其他调用!AI$5:AI$364,MATCH($K11,其他调用!$AG$5:$AG$364,0),0),1)*INDEX(其他调用!Z$5:Z$404,MATCH($K11,其他调用!$X$5:$X$404,0),0)</f>
        <v>16671.506222498818</v>
      </c>
      <c r="P11" s="12">
        <f>MIN(INDEX(其他调用!$AH$5:$AH$364,MATCH($K11,其他调用!$AG$5:$AG$364,0),1)/INDEX(其他调用!AJ$5:AJ$364,MATCH($K11,其他调用!$AG$5:$AG$364,0),0),1)*INDEX(其他调用!AA$5:AA$404,MATCH($K11,其他调用!$X$5:$X$404,0),0)</f>
        <v>10665.837307959513</v>
      </c>
      <c r="Q11" s="12">
        <f>MIN(INDEX(其他调用!$AH$5:$AH$364,MATCH($K11,其他调用!$AG$5:$AG$364,0),1)/INDEX(其他调用!AK$5:AK$364,MATCH($K11,其他调用!$AG$5:$AG$364,0),0),1)*INDEX(其他调用!AB$5:AB$404,MATCH($K11,其他调用!$X$5:$X$404,0),0)</f>
        <v>5340.2542744279272</v>
      </c>
      <c r="R11" s="12">
        <f>MIN(INDEX(其他调用!$AH$5:$AH$364,MATCH($K11,其他调用!$AG$5:$AG$364,0),1)/INDEX(其他调用!AL$5:AL$364,MATCH($K11,其他调用!$AG$5:$AG$364,0),0),1)*INDEX(其他调用!AC$5:AC$404,MATCH($K11,其他调用!$X$5:$X$404,0),0)</f>
        <v>2337.6753600736138</v>
      </c>
      <c r="S11" s="12">
        <f>求节点(节奏总纲!D$4:D$163,标准城池设计!AC$4:AC$163,$K11)*求节点(节奏总纲!D$4:D$163,攻城基础信息!$AD$5:$AD$164,$K11)</f>
        <v>84660.408740166851</v>
      </c>
      <c r="T11" s="12">
        <f>INDEX(其他调用!$AA$5:$AA$404,MATCH($K11,其他调用!$X$5:$X$404,0))*MIN(INDEX(其他调用!AI$5:AI$364,MATCH($K11,其他调用!$AG$5:$AG$364,0),1)/INDEX(其他调用!$AJ$5:$AJ$364,MATCH($K11,其他调用!$AG$5:$AG$364,0),0),5)*求节点(节奏总纲!D$4:D$163,攻城基础信息!$AD$5:$AD$164,$K11)</f>
        <v>25048.721263482785</v>
      </c>
      <c r="U11" s="12">
        <f>MIN(INDEX(其他调用!$AI$5:$AI$364,MATCH($K11,其他调用!$AG$5:$AG$364,0),1)/INDEX(其他调用!AH$5:AH$364,MATCH($K11,其他调用!$AG$5:$AG$364,0),0),1)*INDEX(其他调用!Y$5:Y$404,MATCH($K11,其他调用!$X$5:$X$404,0),0)</f>
        <v>21154.309686651173</v>
      </c>
      <c r="V11" s="12">
        <f>MIN(INDEX(其他调用!$AI$5:$AI$364,MATCH($K11,其他调用!$AG$5:$AG$364,0),1)/INDEX(其他调用!AI$5:AI$364,MATCH($K11,其他调用!$AG$5:$AG$364,0),0),1)*INDEX(其他调用!Z$5:Z$404,MATCH($K11,其他调用!$X$5:$X$404,0),0)</f>
        <v>22132.35874198921</v>
      </c>
      <c r="W11" s="12">
        <f>MIN(INDEX(其他调用!$AI$5:$AI$364,MATCH($K11,其他调用!$AG$5:$AG$364,0),1)/INDEX(其他调用!AJ$5:AJ$364,MATCH($K11,其他调用!$AG$5:$AG$364,0),0),1)*INDEX(其他调用!AA$5:AA$404,MATCH($K11,其他调用!$X$5:$X$404,0),0)</f>
        <v>14159.496714512843</v>
      </c>
      <c r="X11" s="12">
        <f>MIN(INDEX(其他调用!$AI$5:$AI$364,MATCH($K11,其他调用!$AG$5:$AG$364,0),1)/INDEX(其他调用!AK$5:AK$364,MATCH($K11,其他调用!$AG$5:$AG$364,0),0),1)*INDEX(其他调用!AB$5:AB$404,MATCH($K11,其他调用!$X$5:$X$404,0),0)</f>
        <v>7089.4868044721179</v>
      </c>
      <c r="Y11" s="12">
        <f>MIN(INDEX(其他调用!$AI$5:$AI$364,MATCH($K11,其他调用!$AG$5:$AG$364,0),1)/INDEX(其他调用!AL$5:AL$364,MATCH($K11,其他调用!$AG$5:$AG$364,0),0),1)*INDEX(其他调用!AC$5:AC$404,MATCH($K11,其他调用!$X$5:$X$404,0),0)</f>
        <v>3103.3950382740645</v>
      </c>
      <c r="Z11" s="12">
        <f>求节点(节奏总纲!D$4:D$163,标准城池设计!AD$4:AD$163,$K11)*求节点(节奏总纲!D$4:D$163,攻城基础信息!$AE$5:$AE$164,$K11)</f>
        <v>87434.818471785227</v>
      </c>
      <c r="AA11" s="12">
        <f>INDEX(其他调用!$AA$5:$AA$404,MATCH($K11,其他调用!$X$5:$X$404,0))*MIN(INDEX(其他调用!AJ$5:AJ$364,MATCH($K11,其他调用!$AG$5:$AG$364,0),1)/INDEX(其他调用!$AJ$5:$AJ$364,MATCH($K11,其他调用!$AG$5:$AG$364,0),0),5)*求节点(节奏总纲!D$4:D$163,攻城基础信息!$AE$5:$AE$164,$K11)</f>
        <v>41446.847358754589</v>
      </c>
      <c r="AB11" s="12">
        <f>MIN(INDEX(其他调用!$AJ$5:$AJ$364,MATCH($K11,其他调用!$AG$5:$AG$364,0),1)/INDEX(其他调用!AH$5:AH$364,MATCH($K11,其他调用!$AG$5:$AG$364,0),0),1)*INDEX(其他调用!Y$5:Y$404,MATCH($K11,其他调用!$X$5:$X$404,0),0)</f>
        <v>21154.309686651173</v>
      </c>
      <c r="AC11" s="12">
        <f>MIN(INDEX(其他调用!$AJ$5:$AJ$364,MATCH($K11,其他调用!$AG$5:$AG$364,0),1)/INDEX(其他调用!AI$5:AI$364,MATCH($K11,其他调用!$AG$5:$AG$364,0),0),1)*INDEX(其他调用!Z$5:Z$404,MATCH($K11,其他调用!$X$5:$X$404,0),0)</f>
        <v>22132.35874198921</v>
      </c>
      <c r="AD11" s="12">
        <f>MIN(INDEX(其他调用!$AJ$5:$AJ$364,MATCH($K11,其他调用!$AG$5:$AG$364,0),1)/INDEX(其他调用!AJ$5:AJ$364,MATCH($K11,其他调用!$AG$5:$AG$364,0),0),1)*INDEX(其他调用!AA$5:AA$404,MATCH($K11,其他调用!$X$5:$X$404,0),0)</f>
        <v>23429.000340179551</v>
      </c>
      <c r="AE11" s="12">
        <f>MIN(INDEX(其他调用!$AJ$5:$AJ$364,MATCH($K11,其他调用!$AG$5:$AG$364,0),1)/INDEX(其他调用!AK$5:AK$364,MATCH($K11,其他调用!$AG$5:$AG$364,0),0),1)*INDEX(其他调用!AB$5:AB$404,MATCH($K11,其他调用!$X$5:$X$404,0),0)</f>
        <v>11730.613884279597</v>
      </c>
      <c r="AF11" s="12">
        <f>MIN(INDEX(其他调用!$AJ$5:$AJ$364,MATCH($K11,其他调用!$AG$5:$AG$364,0),1)/INDEX(其他调用!AL$5:AL$364,MATCH($K11,其他调用!$AG$5:$AG$364,0),0),1)*INDEX(其他调用!AC$5:AC$404,MATCH($K11,其他调用!$X$5:$X$404,0),0)</f>
        <v>5135.0302114135675</v>
      </c>
      <c r="AG11" s="12">
        <f>求节点(节奏总纲!D$4:D$163,标准城池设计!AE$4:AE$163,$K11)*求节点(节奏总纲!D$4:D$163,攻城基础信息!$AF$5:$AF$164,$K11)</f>
        <v>93975.473926331048</v>
      </c>
      <c r="AH11" s="12">
        <f>INDEX(其他调用!$AA$5:$AA$404,MATCH($K11,其他调用!$X$5:$X$404,0))*MIN(INDEX(其他调用!AK$5:AK$364,MATCH($K11,其他调用!$AG$5:$AG$364,0),1)/INDEX(其他调用!$AJ$5:$AJ$364,MATCH($K11,其他调用!$AG$5:$AG$364,0),0),5)*求节点(节奏总纲!D$4:D$163,攻城基础信息!$AF$5:$AF$164,$K11)</f>
        <v>89548.489175734037</v>
      </c>
      <c r="AI11" s="12">
        <f>MIN(INDEX(其他调用!$AK$5:$AK$364,MATCH($K11,其他调用!$AG$5:$AG$364,0),1)/INDEX(其他调用!AH$5:AH$364,MATCH($K11,其他调用!$AG$5:$AG$364,0),0),1)*INDEX(其他调用!Y$5:Y$404,MATCH($K11,其他调用!$X$5:$X$404,0),0)</f>
        <v>21154.309686651173</v>
      </c>
      <c r="AJ11" s="12">
        <f>MIN(INDEX(其他调用!$AK$5:$AK$364,MATCH($K11,其他调用!$AG$5:$AG$364,0),1)/INDEX(其他调用!AI$5:AI$364,MATCH($K11,其他调用!$AG$5:$AG$364,0),0),1)*INDEX(其他调用!Z$5:Z$404,MATCH($K11,其他调用!$X$5:$X$404,0),0)</f>
        <v>22132.35874198921</v>
      </c>
      <c r="AK11" s="12">
        <f>MIN(INDEX(其他调用!$AK$5:$AK$364,MATCH($K11,其他调用!$AG$5:$AG$364,0),1)/INDEX(其他调用!AJ$5:AJ$364,MATCH($K11,其他调用!$AG$5:$AG$364,0),0),1)*INDEX(其他调用!AA$5:AA$404,MATCH($K11,其他调用!$X$5:$X$404,0),0)</f>
        <v>23429.000340179551</v>
      </c>
      <c r="AL11" s="12">
        <f>MIN(INDEX(其他调用!$AK$5:$AK$364,MATCH($K11,其他调用!$AG$5:$AG$364,0),1)/INDEX(其他调用!AK$5:AK$364,MATCH($K11,其他调用!$AG$5:$AG$364,0),0),1)*INDEX(其他调用!AB$5:AB$404,MATCH($K11,其他调用!$X$5:$X$404,0),0)</f>
        <v>25344.72022319556</v>
      </c>
      <c r="AM11" s="12">
        <f>MIN(INDEX(其他调用!$AK$5:$AK$364,MATCH($K11,其他调用!$AG$5:$AG$364,0),1)/INDEX(其他调用!AL$5:AL$364,MATCH($K11,其他调用!$AG$5:$AG$364,0),0),1)*INDEX(其他调用!AC$5:AC$404,MATCH($K11,其他调用!$X$5:$X$404,0),0)</f>
        <v>11094.551856347811</v>
      </c>
      <c r="AN11" s="12">
        <f>求节点(节奏总纲!D$4:D$163,标准城池设计!AF$4:AF$163,$K11)*求节点(节奏总纲!D$4:D$163,攻城基础信息!$AG$5:$AG$164,$K11)</f>
        <v>97156.821181303138</v>
      </c>
      <c r="AO11" s="12">
        <f>INDEX(其他调用!$AA$5:$AA$404,MATCH($K11,其他调用!$X$5:$X$404,0))*MIN(INDEX(其他调用!AL$5:AL$364,MATCH($K11,其他调用!$AG$5:$AG$364,0),1)/INDEX(其他调用!$AJ$5:$AJ$364,MATCH($K11,其他调用!$AG$5:$AG$364,0),0),5)*求节点(节奏总纲!D$4:D$163,攻城基础信息!$AG$5:$AG$164,$K11)</f>
        <v>207234.23679377296</v>
      </c>
      <c r="AP11" s="12">
        <f>MIN(INDEX(其他调用!$AL$5:$AL$364,MATCH($K11,其他调用!$AG$5:$AG$364,0),1)/INDEX(其他调用!AH$5:AH$364,MATCH($K11,其他调用!$AG$5:$AG$364,0),0),1)*INDEX(其他调用!Y$5:Y$404,MATCH($K11,其他调用!$X$5:$X$404,0),0)</f>
        <v>21154.309686651173</v>
      </c>
      <c r="AQ11" s="12">
        <f>MIN(INDEX(其他调用!$AL$5:$AL$364,MATCH($K11,其他调用!$AG$5:$AG$364,0),1)/INDEX(其他调用!AI$5:AI$364,MATCH($K11,其他调用!$AG$5:$AG$364,0),0),1)*INDEX(其他调用!Z$5:Z$404,MATCH($K11,其他调用!$X$5:$X$404,0),0)</f>
        <v>22132.35874198921</v>
      </c>
      <c r="AR11" s="12">
        <f>MIN(INDEX(其他调用!$AL$5:$AL$364,MATCH($K11,其他调用!$AG$5:$AG$364,0),1)/INDEX(其他调用!AJ$5:AJ$364,MATCH($K11,其他调用!$AG$5:$AG$364,0),0),1)*INDEX(其他调用!AA$5:AA$404,MATCH($K11,其他调用!$X$5:$X$404,0),0)</f>
        <v>23429.000340179551</v>
      </c>
      <c r="AS11" s="12">
        <f>MIN(INDEX(其他调用!$AL$5:$AL$364,MATCH($K11,其他调用!$AG$5:$AG$364,0),1)/INDEX(其他调用!AK$5:AK$364,MATCH($K11,其他调用!$AG$5:$AG$364,0),0),1)*INDEX(其他调用!AB$5:AB$404,MATCH($K11,其他调用!$X$5:$X$404,0),0)</f>
        <v>25344.72022319556</v>
      </c>
      <c r="AT11" s="12">
        <f>MIN(INDEX(其他调用!$AL$5:$AL$364,MATCH($K11,其他调用!$AG$5:$AG$364,0),1)/INDEX(其他调用!AL$5:AL$364,MATCH($K11,其他调用!$AG$5:$AG$364,0),0),1)*INDEX(其他调用!AC$5:AC$404,MATCH($K11,其他调用!$X$5:$X$404,0),0)</f>
        <v>28801.722144872729</v>
      </c>
      <c r="AV11" s="14">
        <f>IF(OR(AV$5="大R",AV$5="超R"),MAX(INDEX(其他调用!$H$5:$L$404,MATCH($K11,其他调用!$B$5:$B$404,0),MATCH(AV$5,其他调用!$H$4:$L$4,0))*120*0.85,2),INDEX(其他调用!$H$5:$L$404,MATCH($K11,其他调用!$B$5:$B$404,0),MATCH(AV$5,其他调用!$H$4:$L$4,0))*120*0.85)</f>
        <v>73.223804347826103</v>
      </c>
      <c r="AW11" s="14">
        <f>IF(OR(AW$5="大R",AW$5="超R"),MAX(INDEX(其他调用!$H$5:$L$404,MATCH($K11,其他调用!$B$5:$B$404,0),MATCH(AW$5,其他调用!$H$4:$L$4,0))*120*0.85,2),INDEX(其他调用!$H$5:$L$404,MATCH($K11,其他调用!$B$5:$B$404,0),MATCH(AW$5,其他调用!$H$4:$L$4,0))*120*0.85)</f>
        <v>24.770995652173895</v>
      </c>
      <c r="AX11" s="14">
        <f>IF(OR(AX$5="大R",AX$5="超R"),MAX(INDEX(其他调用!$H$5:$L$404,MATCH($K11,其他调用!$B$5:$B$404,0),MATCH(AX$5,其他调用!$H$4:$L$4,0))*120*0.85,2),INDEX(其他调用!$H$5:$L$404,MATCH($K11,其他调用!$B$5:$B$404,0),MATCH(AX$5,其他调用!$H$4:$L$4,0))*120*0.85)</f>
        <v>3.4815999999999998</v>
      </c>
      <c r="AY11" s="14">
        <f>IF(OR(AY$5="大R",AY$5="超R"),MAX(INDEX(其他调用!$H$5:$L$404,MATCH($K11,其他调用!$B$5:$B$404,0),MATCH(AY$5,其他调用!$H$4:$L$4,0))*120*0.85,2),INDEX(其他调用!$H$5:$L$404,MATCH($K11,其他调用!$B$5:$B$404,0),MATCH(AY$5,其他调用!$H$4:$L$4,0))*120*0.85)</f>
        <v>2</v>
      </c>
      <c r="AZ11" s="14">
        <f>IF(OR(AZ$5="大R",AZ$5="超R"),MAX(INDEX(其他调用!$H$5:$L$404,MATCH($K11,其他调用!$B$5:$B$404,0),MATCH(AZ$5,其他调用!$H$4:$L$4,0))*120*0.85,2),INDEX(其他调用!$H$5:$L$404,MATCH($K11,其他调用!$B$5:$B$404,0),MATCH(AZ$5,其他调用!$H$4:$L$4,0))*120*0.85)</f>
        <v>2</v>
      </c>
      <c r="BA11" s="14">
        <f>INDEX(其他调用!$H$5:$L$404,MATCH($K11,其他调用!$B$5:$B$404,0),MATCH(BA$5,其他调用!$H$4:$L$4,0))*INDEX(其他调用!$M$5:$M$404,MATCH($K11,其他调用!$B$5:$B$404,0))*0.6</f>
        <v>30.821000000000005</v>
      </c>
      <c r="BB11" s="14">
        <f>INDEX(其他调用!$H$5:$L$404,MATCH($K11,其他调用!$B$5:$B$404,0),MATCH(BB$5,其他调用!$H$4:$L$4,0))*INDEX(其他调用!$M$5:$M$404,MATCH($K11,其他调用!$B$5:$B$404,0))*0.6</f>
        <v>10.426484444444437</v>
      </c>
      <c r="BC11" s="14">
        <f>INDEX(其他调用!$H$5:$L$404,MATCH($K11,其他调用!$B$5:$B$404,0),MATCH(BC$5,其他调用!$H$4:$L$4,0))*INDEX(其他调用!$M$5:$M$404,MATCH($K11,其他调用!$B$5:$B$404,0))*0.6</f>
        <v>1.465457777777778</v>
      </c>
      <c r="BD11" s="14">
        <f>INDEX(其他调用!$H$5:$L$404,MATCH($K11,其他调用!$B$5:$B$404,0),MATCH(BD$5,其他调用!$H$4:$L$4,0))*INDEX(其他调用!$M$5:$M$404,MATCH($K11,其他调用!$B$5:$B$404,0))*0.6</f>
        <v>0.18318222222222227</v>
      </c>
      <c r="BE11" s="14">
        <f>INDEX(其他调用!$H$5:$L$404,MATCH($K11,其他调用!$B$5:$B$404,0),MATCH(BE$5,其他调用!$H$4:$L$4,0))*INDEX(其他调用!$M$5:$M$404,MATCH($K11,其他调用!$B$5:$B$404,0))*0.6</f>
        <v>3.7208888888888889E-2</v>
      </c>
      <c r="BF11" s="14">
        <f>IF(OR(BF$5="大R",BF$5="超R"),0,INDEX(其他调用!$H$5:$L$404,MATCH($K11,其他调用!$B$5:$B$404,0),MATCH(BF$5,其他调用!$H$4:$L$4,0))*50*0.4)</f>
        <v>14.357608695652178</v>
      </c>
      <c r="BG11" s="14">
        <f>IF(OR(BG$5="大R",BG$5="超R"),0,INDEX(其他调用!$H$5:$L$404,MATCH($K11,其他调用!$B$5:$B$404,0),MATCH(BG$5,其他调用!$H$4:$L$4,0))*50*0.4)</f>
        <v>4.8570579710144903</v>
      </c>
      <c r="BH11" s="14">
        <f>IF(OR(BH$5="大R",BH$5="超R"),0,INDEX(其他调用!$H$5:$L$404,MATCH($K11,其他调用!$B$5:$B$404,0),MATCH(BH$5,其他调用!$H$4:$L$4,0))*50*0.4)</f>
        <v>0.68266666666666675</v>
      </c>
      <c r="BI11" s="14">
        <f>IF(OR(BI$5="大R",BI$5="超R"),0,INDEX(其他调用!$H$5:$L$404,MATCH($K11,其他调用!$B$5:$B$404,0),MATCH(BI$5,其他调用!$H$4:$L$4,0))*50*0.4)</f>
        <v>0</v>
      </c>
      <c r="BJ11" s="14">
        <f>IF(OR(BJ$5="大R",BJ$5="超R"),0,INDEX(其他调用!$H$5:$L$404,MATCH($K11,其他调用!$B$5:$B$404,0),MATCH(BJ$5,其他调用!$H$4:$L$4,0))*50*0.4)</f>
        <v>0</v>
      </c>
      <c r="BL11" s="14">
        <f t="shared" si="103"/>
        <v>6</v>
      </c>
      <c r="BM11" s="14">
        <f t="shared" si="10"/>
        <v>96</v>
      </c>
      <c r="BN11" s="14">
        <f>('疲劳值&amp;地图信息'!$S$10*'疲劳值&amp;地图信息'!$R$10+'疲劳值&amp;地图信息'!$S$11*'疲劳值&amp;地图信息'!$R$11+'疲劳值&amp;地图信息'!$S$12*'疲劳值&amp;地图信息'!$R$12+(BM11-'疲劳值&amp;地图信息'!$S$12-'疲劳值&amp;地图信息'!$S$11-'疲劳值&amp;地图信息'!$S$10)*'疲劳值&amp;地图信息'!$R$13)/BM11</f>
        <v>51.371477246638619</v>
      </c>
      <c r="BO11" s="14">
        <f>INDEX(其他调用!$M$5:$M$404,MATCH(BL11,其他调用!$B$5:$B$404,0))*0.6</f>
        <v>42.93333333333333</v>
      </c>
      <c r="BP11" s="14">
        <f>IF(BO11&gt;SUM('疲劳值&amp;地图信息'!$S$10:$S$12),('疲劳值&amp;地图信息'!$S$10*'疲劳值&amp;地图信息'!$R$10+'疲劳值&amp;地图信息'!$S$11*'疲劳值&amp;地图信息'!$R$11+'疲劳值&amp;地图信息'!$S$12*'疲劳值&amp;地图信息'!$R$12+(BO11-'疲劳值&amp;地图信息'!$S$12-'疲劳值&amp;地图信息'!$S$11-'疲劳值&amp;地图信息'!$S$10)*'疲劳值&amp;地图信息'!$R$13)/BO11,('疲劳值&amp;地图信息'!$S$10*'疲劳值&amp;地图信息'!$R$10+'疲劳值&amp;地图信息'!$S$11*'疲劳值&amp;地图信息'!$R$11+'疲劳值&amp;地图信息'!$S$12*'疲劳值&amp;地图信息'!$R$12+(BO11-'疲劳值&amp;地图信息'!$S$12-'疲劳值&amp;地图信息'!$S$11-'疲劳值&amp;地图信息'!$S$10)*'疲劳值&amp;地图信息'!$R$13)/BO11)</f>
        <v>36.511696293206924</v>
      </c>
      <c r="BQ11" s="14">
        <f t="shared" si="104"/>
        <v>20</v>
      </c>
      <c r="BR11" s="14">
        <f>('疲劳值&amp;地图信息'!$S$10*'疲劳值&amp;地图信息'!$R$10+($BQ11-'疲劳值&amp;地图信息'!$S$10)*'疲劳值&amp;地图信息'!$R$11)/$BQ11</f>
        <v>32.067203015074995</v>
      </c>
      <c r="BW11" s="14" t="s">
        <v>279</v>
      </c>
      <c r="BX11" s="14">
        <v>5000</v>
      </c>
      <c r="BY11" s="14">
        <v>120</v>
      </c>
      <c r="CF11" s="14">
        <v>6</v>
      </c>
      <c r="CG11" s="51">
        <f t="shared" si="11"/>
        <v>2023</v>
      </c>
      <c r="CH11" s="51">
        <f t="shared" si="12"/>
        <v>465</v>
      </c>
      <c r="CI11" s="51">
        <f>INT(SUMPRODUCT($N11:$R11,$BA11:$BE11)/SUM($BA11:$BE11)/10000*$BX$7*$BZ$34/'疲劳值&amp;地图信息'!$R$10*$BY$53)</f>
        <v>1991</v>
      </c>
      <c r="CJ11" s="50">
        <f t="shared" si="13"/>
        <v>0.45166331770484486</v>
      </c>
      <c r="CK11" s="50">
        <f t="shared" si="14"/>
        <v>0.10381781647689216</v>
      </c>
      <c r="CL11" s="50">
        <f t="shared" si="15"/>
        <v>0.444518865818263</v>
      </c>
      <c r="CM11" s="14">
        <f t="shared" si="16"/>
        <v>2086</v>
      </c>
      <c r="CN11" s="14">
        <f t="shared" si="17"/>
        <v>617</v>
      </c>
      <c r="CO11" s="14">
        <f>INT(SUMPRODUCT($U11:$Y11,$BA11:$BE11)/SUM($BA11:$BE11)/10000*$BX$7*$BZ$34/'疲劳值&amp;地图信息'!$R$10*$BY$54)</f>
        <v>3208</v>
      </c>
      <c r="CP11" s="50">
        <f t="shared" si="18"/>
        <v>0.35290137032650992</v>
      </c>
      <c r="CQ11" s="50">
        <f t="shared" si="19"/>
        <v>0.10438166130942311</v>
      </c>
      <c r="CR11" s="50">
        <f t="shared" si="20"/>
        <v>0.54271696836406702</v>
      </c>
      <c r="CS11" s="14">
        <f t="shared" si="21"/>
        <v>2155</v>
      </c>
      <c r="CT11" s="14">
        <f t="shared" si="22"/>
        <v>1021</v>
      </c>
      <c r="CU11" s="14">
        <f>INT(SUMPRODUCT($AB11:$AF11,$BA11:$BE11)/SUM($BA11:$BE11)/10000*$BX$7*$BZ$34/'疲劳值&amp;地图信息'!$R$10*$BY$55)</f>
        <v>4345</v>
      </c>
      <c r="CV11" s="50">
        <f t="shared" si="23"/>
        <v>0.28653104640340382</v>
      </c>
      <c r="CW11" s="50">
        <f t="shared" si="24"/>
        <v>0.13575322430527856</v>
      </c>
      <c r="CX11" s="50">
        <f t="shared" si="25"/>
        <v>0.57771572929131765</v>
      </c>
      <c r="CY11" s="14">
        <f t="shared" si="26"/>
        <v>2316</v>
      </c>
      <c r="CZ11" s="14">
        <f t="shared" si="27"/>
        <v>2207</v>
      </c>
      <c r="DA11" s="14">
        <f>INT(SUMPRODUCT($AI11:$AM11,$BA11:$BE11)/SUM($BA11:$BE11)/10000*$BX$7*$BZ$34/'疲劳值&amp;地图信息'!$R$10*$BY$56)</f>
        <v>6538</v>
      </c>
      <c r="DB11" s="50">
        <f t="shared" si="28"/>
        <v>0.20938432329807433</v>
      </c>
      <c r="DC11" s="50">
        <f t="shared" si="29"/>
        <v>0.19952987975770725</v>
      </c>
      <c r="DD11" s="50">
        <f t="shared" si="30"/>
        <v>0.59108579694421848</v>
      </c>
      <c r="DE11" s="14">
        <f t="shared" si="31"/>
        <v>2394</v>
      </c>
      <c r="DF11" s="14">
        <f t="shared" si="32"/>
        <v>5108</v>
      </c>
      <c r="DG11" s="14">
        <f>INT(SUMPRODUCT($AP11:$AT11,$BA11:$BE11)/SUM($BA11:$BE11)/10000*$BX$7*$BZ$34/'疲劳值&amp;地图信息'!$R$10*$BY$57)</f>
        <v>8723</v>
      </c>
      <c r="DH11" s="50">
        <f t="shared" si="33"/>
        <v>0.14755007704160247</v>
      </c>
      <c r="DI11" s="50">
        <f t="shared" si="34"/>
        <v>0.31482280431432974</v>
      </c>
      <c r="DJ11" s="50">
        <f t="shared" si="35"/>
        <v>0.53762711864406776</v>
      </c>
      <c r="DL11" s="14">
        <f t="shared" si="0"/>
        <v>4479</v>
      </c>
      <c r="DM11" s="14">
        <f t="shared" si="1"/>
        <v>5911</v>
      </c>
      <c r="DN11" s="14">
        <f t="shared" si="2"/>
        <v>7521</v>
      </c>
      <c r="DO11" s="14">
        <f t="shared" si="3"/>
        <v>11061</v>
      </c>
      <c r="DP11" s="14">
        <f t="shared" si="4"/>
        <v>16225</v>
      </c>
      <c r="DQ11" s="14">
        <f t="shared" si="5"/>
        <v>213329</v>
      </c>
      <c r="DT11" s="14">
        <f t="shared" ref="DT11:DT74" si="105">SUM($BX$11:$BX$27)/2+SUM($BY$11:$BY$27)*(60-($BX$34+$BY$34)/60/2)/2</f>
        <v>235575</v>
      </c>
      <c r="DU11" s="50">
        <f t="shared" si="7"/>
        <v>0.52477812628089748</v>
      </c>
      <c r="DW11" s="14">
        <f t="shared" si="36"/>
        <v>448904</v>
      </c>
      <c r="EB11" s="14">
        <v>6</v>
      </c>
      <c r="EC11" s="51">
        <f t="shared" si="37"/>
        <v>3373</v>
      </c>
      <c r="ED11" s="51">
        <f t="shared" si="38"/>
        <v>775</v>
      </c>
      <c r="EE11" s="51">
        <f>INT(SUMPRODUCT($N11:$R11,$BF11:$BJ11)/SUM($BF11:$BJ11)/10000*$BX$7*$BZ$46/'疲劳值&amp;地图信息'!$R$10*$BY$53)</f>
        <v>266</v>
      </c>
      <c r="EF11" s="50">
        <f t="shared" si="39"/>
        <v>0.7641594925237879</v>
      </c>
      <c r="EG11" s="50">
        <f t="shared" si="40"/>
        <v>0.17557770729497055</v>
      </c>
      <c r="EH11" s="50">
        <f t="shared" si="41"/>
        <v>6.0262800181241506E-2</v>
      </c>
      <c r="EI11" s="51">
        <f t="shared" si="42"/>
        <v>3478</v>
      </c>
      <c r="EJ11" s="51">
        <f t="shared" si="43"/>
        <v>1029</v>
      </c>
      <c r="EK11" s="14">
        <f>INT(SUMPRODUCT($U11:$Y11,$BF11:$BJ11)/SUM($BF11:$BJ11)/10000*$BX$7*$BZ$46/'疲劳值&amp;地图信息'!$R$10*$BY$54)</f>
        <v>429</v>
      </c>
      <c r="EL11" s="50">
        <f t="shared" si="44"/>
        <v>0.70461912479740685</v>
      </c>
      <c r="EM11" s="50">
        <f t="shared" si="45"/>
        <v>0.20846839546191248</v>
      </c>
      <c r="EN11" s="50">
        <f t="shared" si="46"/>
        <v>8.6912479740680712E-2</v>
      </c>
      <c r="EO11" s="51">
        <f t="shared" si="47"/>
        <v>3592</v>
      </c>
      <c r="EP11" s="51">
        <f t="shared" si="48"/>
        <v>1702</v>
      </c>
      <c r="EQ11" s="14">
        <f>INT(SUMPRODUCT($AB11:$AF11,$BF11:$BJ11)/SUM($BF11:$BJ11)/10000*$BX$7*$BZ$46/'疲劳值&amp;地图信息'!$R$10*$BY$55)</f>
        <v>580</v>
      </c>
      <c r="ER11" s="50">
        <f t="shared" si="49"/>
        <v>0.61150834184542047</v>
      </c>
      <c r="ES11" s="50">
        <f t="shared" si="50"/>
        <v>0.28975144705481787</v>
      </c>
      <c r="ET11" s="50">
        <f t="shared" si="51"/>
        <v>9.8740211099761666E-2</v>
      </c>
      <c r="EU11" s="51">
        <f t="shared" si="52"/>
        <v>3860</v>
      </c>
      <c r="EV11" s="51">
        <f t="shared" si="53"/>
        <v>3678</v>
      </c>
      <c r="EW11" s="14">
        <f>INT(SUMPRODUCT($AI11:$AM11,$BF11:$BJ11)/SUM($BF11:$BJ11)/10000*$BX$7*$BZ$46/'疲劳值&amp;地图信息'!$R$10*$BY$56)</f>
        <v>871</v>
      </c>
      <c r="EX11" s="50">
        <f t="shared" si="54"/>
        <v>0.459031989535022</v>
      </c>
      <c r="EY11" s="50">
        <f t="shared" si="55"/>
        <v>0.43738851230824116</v>
      </c>
      <c r="EZ11" s="50">
        <f t="shared" si="56"/>
        <v>0.10357949815673682</v>
      </c>
      <c r="FA11" s="51">
        <f t="shared" si="57"/>
        <v>3991</v>
      </c>
      <c r="FB11" s="51">
        <f t="shared" si="58"/>
        <v>8513</v>
      </c>
      <c r="FC11" s="14">
        <f>INT(SUMPRODUCT($AP11:$AT11,$BF11:$BJ11)/SUM($BF11:$BJ11)/10000*$BX$7*$BZ$46/'疲劳值&amp;地图信息'!$R$10*$BY$57)</f>
        <v>1161</v>
      </c>
      <c r="FD11" s="50">
        <f t="shared" si="59"/>
        <v>0.29206000731796561</v>
      </c>
      <c r="FE11" s="50">
        <f t="shared" si="60"/>
        <v>0.62297841200146364</v>
      </c>
      <c r="FF11" s="50">
        <f t="shared" si="61"/>
        <v>8.4961580680570803E-2</v>
      </c>
      <c r="FH11" s="14">
        <f t="shared" si="62"/>
        <v>4414</v>
      </c>
      <c r="FI11" s="14">
        <f t="shared" si="63"/>
        <v>4936</v>
      </c>
      <c r="FJ11" s="14">
        <f t="shared" si="64"/>
        <v>5874</v>
      </c>
      <c r="FK11" s="14">
        <f t="shared" si="65"/>
        <v>8409</v>
      </c>
      <c r="FL11" s="14">
        <f t="shared" si="66"/>
        <v>13665</v>
      </c>
      <c r="FM11" s="14">
        <f t="shared" si="67"/>
        <v>510078</v>
      </c>
      <c r="FP11" s="14">
        <f t="shared" si="68"/>
        <v>334150</v>
      </c>
      <c r="FQ11" s="50">
        <f t="shared" si="8"/>
        <v>0.39580539854162622</v>
      </c>
      <c r="FS11" s="14">
        <f t="shared" si="69"/>
        <v>844228</v>
      </c>
      <c r="FX11" s="14">
        <v>6</v>
      </c>
      <c r="FY11" s="51">
        <f t="shared" si="70"/>
        <v>4722</v>
      </c>
      <c r="FZ11" s="51">
        <f t="shared" si="71"/>
        <v>775</v>
      </c>
      <c r="GA11" s="51">
        <f>INT(SUMPRODUCT($N11:$R11,$BF11:$BJ11)/SUM($BF11:$BJ11)/10000*$BX$7*$BZ$46/'疲劳值&amp;地图信息'!$R$10*$BY$53)</f>
        <v>266</v>
      </c>
      <c r="GB11" s="50">
        <f t="shared" si="72"/>
        <v>0.81936491410723578</v>
      </c>
      <c r="GC11" s="50">
        <f t="shared" si="73"/>
        <v>0.13447857018913761</v>
      </c>
      <c r="GD11" s="50">
        <f t="shared" si="74"/>
        <v>4.6156515703626583E-2</v>
      </c>
      <c r="GE11" s="51">
        <f t="shared" si="75"/>
        <v>4869</v>
      </c>
      <c r="GF11" s="51">
        <f t="shared" si="76"/>
        <v>1029</v>
      </c>
      <c r="GG11" s="14">
        <f>INT(SUMPRODUCT($U11:$Y11,$BF11:$BJ11)/SUM($BF11:$BJ11)/10000*$BX$7*$BZ$46/'疲劳值&amp;地图信息'!$R$10*$BY$54)</f>
        <v>429</v>
      </c>
      <c r="GH11" s="50">
        <f t="shared" si="77"/>
        <v>0.76955903271692749</v>
      </c>
      <c r="GI11" s="50">
        <f t="shared" si="78"/>
        <v>0.16263632053105737</v>
      </c>
      <c r="GJ11" s="50">
        <f t="shared" si="79"/>
        <v>6.7804646752015169E-2</v>
      </c>
      <c r="GK11" s="51">
        <f t="shared" si="80"/>
        <v>5028</v>
      </c>
      <c r="GL11" s="51">
        <f t="shared" si="81"/>
        <v>1702</v>
      </c>
      <c r="GM11" s="14">
        <f>INT(SUMPRODUCT($AB11:$AF11,$BF11:$BJ11)/SUM($BF11:$BJ11)/10000*$BX$7*$BZ$46/'疲劳值&amp;地图信息'!$R$10*$BY$55)</f>
        <v>580</v>
      </c>
      <c r="GN11" s="50">
        <f t="shared" si="82"/>
        <v>0.68782489740082076</v>
      </c>
      <c r="GO11" s="50">
        <f t="shared" si="83"/>
        <v>0.23283173734610124</v>
      </c>
      <c r="GP11" s="50">
        <f t="shared" si="84"/>
        <v>7.9343365253077974E-2</v>
      </c>
      <c r="GQ11" s="51">
        <f t="shared" si="85"/>
        <v>5405</v>
      </c>
      <c r="GR11" s="51">
        <f t="shared" si="86"/>
        <v>3678</v>
      </c>
      <c r="GS11" s="14">
        <f>INT(SUMPRODUCT($AI11:$AM11,$BF11:$BJ11)/SUM($BF11:$BJ11)/10000*$BX$7*$BZ$46/'疲劳值&amp;地图信息'!$R$10*$BY$56)</f>
        <v>871</v>
      </c>
      <c r="GT11" s="50">
        <f t="shared" si="87"/>
        <v>0.54299778983323288</v>
      </c>
      <c r="GU11" s="50">
        <f t="shared" si="88"/>
        <v>0.36949969861362264</v>
      </c>
      <c r="GV11" s="50">
        <f t="shared" si="89"/>
        <v>8.7502511553144466E-2</v>
      </c>
      <c r="GW11" s="51">
        <f t="shared" si="90"/>
        <v>5588</v>
      </c>
      <c r="GX11" s="51">
        <f t="shared" si="91"/>
        <v>8513</v>
      </c>
      <c r="GY11" s="14">
        <f>INT(SUMPRODUCT($AP11:$AT11,$BF11:$BJ11)/SUM($BF11:$BJ11)/10000*$BX$7*$BZ$46/'疲劳值&amp;地图信息'!$R$10*$BY$57)</f>
        <v>1161</v>
      </c>
      <c r="GZ11" s="50">
        <f t="shared" si="92"/>
        <v>0.36613812082295899</v>
      </c>
      <c r="HA11" s="50">
        <f t="shared" si="93"/>
        <v>0.55779059101035255</v>
      </c>
      <c r="HB11" s="50">
        <f t="shared" si="94"/>
        <v>7.6071288166688511E-2</v>
      </c>
      <c r="HD11" s="14">
        <f t="shared" si="95"/>
        <v>5763</v>
      </c>
      <c r="HE11" s="14">
        <f t="shared" si="96"/>
        <v>6327</v>
      </c>
      <c r="HF11" s="14">
        <f t="shared" si="97"/>
        <v>7310</v>
      </c>
      <c r="HG11" s="14">
        <f t="shared" si="98"/>
        <v>9954</v>
      </c>
      <c r="HH11" s="14">
        <f t="shared" si="99"/>
        <v>15262</v>
      </c>
      <c r="HI11" s="14">
        <f t="shared" si="100"/>
        <v>654597</v>
      </c>
      <c r="HL11" s="14">
        <f t="shared" si="101"/>
        <v>430050</v>
      </c>
      <c r="HM11" s="50">
        <f t="shared" si="9"/>
        <v>0.39648844278368905</v>
      </c>
      <c r="HO11" s="14">
        <f t="shared" si="102"/>
        <v>1084647</v>
      </c>
    </row>
    <row r="12" spans="3:223" x14ac:dyDescent="0.2">
      <c r="C12" s="1" t="s">
        <v>414</v>
      </c>
      <c r="K12" s="14">
        <v>7</v>
      </c>
      <c r="L12" s="12">
        <f>求节点(节奏总纲!D$4:D$163,标准城池设计!AB$4:AB$163,$K12)*求节点(节奏总纲!D$4:D$163,攻城基础信息!$AC$5:$AC$164,$K12)</f>
        <v>89752.991350283657</v>
      </c>
      <c r="M12" s="12">
        <f>INDEX(其他调用!$AA$5:$AA$404,MATCH(K12,其他调用!$X$5:$X$404,0))*MIN(INDEX(其他调用!$AH$5:$AH$364,MATCH('征服点（新）'!K12,其他调用!$AG$5:$AG$364,0),1)/INDEX(其他调用!$AJ$5:$AJ$364,MATCH(K12,其他调用!$AG$5:$AG$364,0),0),5)*求节点(节奏总纲!D$4:D$163,攻城基础信息!$AC$5:$AC$164,$K12)</f>
        <v>18878.805040808435</v>
      </c>
      <c r="N12" s="12">
        <f>MIN(INDEX(其他调用!$AH$5:$AH$364,MATCH($K12,其他调用!$AG$5:$AG$364,0),1)/INDEX(其他调用!AH$5:AH$364,MATCH($K12,其他调用!$AG$5:$AG$364,0),0),1)*INDEX(其他调用!Y$5:Y$404,MATCH($K12,其他调用!$X$5:$X$404,0),0)</f>
        <v>21916.459403299952</v>
      </c>
      <c r="O12" s="12">
        <f>MIN(INDEX(其他调用!$AH$5:$AH$364,MATCH($K12,其他调用!$AG$5:$AG$364,0),1)/INDEX(其他调用!AI$5:AI$364,MATCH($K12,其他调用!$AG$5:$AG$364,0),0),1)*INDEX(其他调用!Z$5:Z$404,MATCH($K12,其他调用!$X$5:$X$404,0),0)</f>
        <v>16516.924464676002</v>
      </c>
      <c r="P12" s="12">
        <f>MIN(INDEX(其他调用!$AH$5:$AH$364,MATCH($K12,其他调用!$AG$5:$AG$364,0),1)/INDEX(其他调用!AJ$5:AJ$364,MATCH($K12,其他调用!$AG$5:$AG$364,0),0),1)*INDEX(其他调用!AA$5:AA$404,MATCH($K12,其他调用!$X$5:$X$404,0),0)</f>
        <v>10297.530022259132</v>
      </c>
      <c r="Q12" s="12">
        <f>MIN(INDEX(其他调用!$AH$5:$AH$364,MATCH($K12,其他调用!$AG$5:$AG$364,0),1)/INDEX(其他调用!AK$5:AK$364,MATCH($K12,其他调用!$AG$5:$AG$364,0),0),1)*INDEX(其他调用!AB$5:AB$404,MATCH($K12,其他调用!$X$5:$X$404,0),0)</f>
        <v>5356.174938253559</v>
      </c>
      <c r="R12" s="12">
        <f>MIN(INDEX(其他调用!$AH$5:$AH$364,MATCH($K12,其他调用!$AG$5:$AG$364,0),1)/INDEX(其他调用!AL$5:AL$364,MATCH($K12,其他调用!$AG$5:$AG$364,0),0),1)*INDEX(其他调用!AC$5:AC$404,MATCH($K12,其他调用!$X$5:$X$404,0),0)</f>
        <v>2466.116242947588</v>
      </c>
      <c r="S12" s="12">
        <f>求节点(节奏总纲!D$4:D$163,标准城池设计!AC$4:AC$163,$K12)*求节点(节奏总纲!D$4:D$163,攻城基础信息!$AD$5:$AD$164,$K12)</f>
        <v>93593.673172392562</v>
      </c>
      <c r="T12" s="12">
        <f>INDEX(其他调用!$AA$5:$AA$404,MATCH($K12,其他调用!$X$5:$X$404,0))*MIN(INDEX(其他调用!AI$5:AI$364,MATCH($K12,其他调用!$AG$5:$AG$364,0),1)/INDEX(其他调用!$AJ$5:$AJ$364,MATCH($K12,其他调用!$AG$5:$AG$364,0),0),5)*求节点(节奏总纲!D$4:D$163,攻城基础信息!$AD$5:$AD$164,$K12)</f>
        <v>26179.914153572572</v>
      </c>
      <c r="U12" s="12">
        <f>MIN(INDEX(其他调用!$AI$5:$AI$364,MATCH($K12,其他调用!$AG$5:$AG$364,0),1)/INDEX(其他调用!AH$5:AH$364,MATCH($K12,其他调用!$AG$5:$AG$364,0),0),1)*INDEX(其他调用!Y$5:Y$404,MATCH($K12,其他调用!$X$5:$X$404,0),0)</f>
        <v>21916.459403299952</v>
      </c>
      <c r="V12" s="12">
        <f>MIN(INDEX(其他调用!$AI$5:$AI$364,MATCH($K12,其他调用!$AG$5:$AG$364,0),1)/INDEX(其他调用!AI$5:AI$364,MATCH($K12,其他调用!$AG$5:$AG$364,0),0),1)*INDEX(其他调用!Z$5:Z$404,MATCH($K12,其他调用!$X$5:$X$404,0),0)</f>
        <v>22904.609885612943</v>
      </c>
      <c r="W12" s="12">
        <f>MIN(INDEX(其他调用!$AI$5:$AI$364,MATCH($K12,其他调用!$AG$5:$AG$364,0),1)/INDEX(其他调用!AJ$5:AJ$364,MATCH($K12,其他调用!$AG$5:$AG$364,0),0),1)*INDEX(其他调用!AA$5:AA$404,MATCH($K12,其他调用!$X$5:$X$404,0),0)</f>
        <v>14279.953174675928</v>
      </c>
      <c r="X12" s="12">
        <f>MIN(INDEX(其他调用!$AI$5:$AI$364,MATCH($K12,其他调用!$AG$5:$AG$364,0),1)/INDEX(其他调用!AK$5:AK$364,MATCH($K12,其他调用!$AG$5:$AG$364,0),0),1)*INDEX(其他调用!AB$5:AB$404,MATCH($K12,其他调用!$X$5:$X$404,0),0)</f>
        <v>7427.5993513300418</v>
      </c>
      <c r="Y12" s="12">
        <f>MIN(INDEX(其他调用!$AI$5:$AI$364,MATCH($K12,其他调用!$AG$5:$AG$364,0),1)/INDEX(其他调用!AL$5:AL$364,MATCH($K12,其他调用!$AG$5:$AG$364,0),0),1)*INDEX(其他调用!AC$5:AC$404,MATCH($K12,其他调用!$X$5:$X$404,0),0)</f>
        <v>3419.8515951375089</v>
      </c>
      <c r="Z12" s="12">
        <f>求节点(节奏总纲!D$4:D$163,标准城池设计!AD$4:AD$163,$K12)*求节点(节奏总纲!D$4:D$163,攻城基础信息!$AE$5:$AE$164,$K12)</f>
        <v>98844.604635003489</v>
      </c>
      <c r="AA12" s="12">
        <f>INDEX(其他调用!$AA$5:$AA$404,MATCH($K12,其他调用!$X$5:$X$404,0))*MIN(INDEX(其他调用!AJ$5:AJ$364,MATCH($K12,其他调用!$AG$5:$AG$364,0),1)/INDEX(其他调用!$AJ$5:$AJ$364,MATCH($K12,其他调用!$AG$5:$AG$364,0),0),5)*求节点(节奏总纲!D$4:D$163,攻城基础信息!$AE$5:$AE$164,$K12)</f>
        <v>44392.941361305493</v>
      </c>
      <c r="AB12" s="12">
        <f>MIN(INDEX(其他调用!$AJ$5:$AJ$364,MATCH($K12,其他调用!$AG$5:$AG$364,0),1)/INDEX(其他调用!AH$5:AH$364,MATCH($K12,其他调用!$AG$5:$AG$364,0),0),1)*INDEX(其他调用!Y$5:Y$404,MATCH($K12,其他调用!$X$5:$X$404,0),0)</f>
        <v>21916.459403299952</v>
      </c>
      <c r="AC12" s="12">
        <f>MIN(INDEX(其他调用!$AJ$5:$AJ$364,MATCH($K12,其他调用!$AG$5:$AG$364,0),1)/INDEX(其他调用!AI$5:AI$364,MATCH($K12,其他调用!$AG$5:$AG$364,0),0),1)*INDEX(其他调用!Z$5:Z$404,MATCH($K12,其他调用!$X$5:$X$404,0),0)</f>
        <v>22904.609885612943</v>
      </c>
      <c r="AD12" s="12">
        <f>MIN(INDEX(其他调用!$AJ$5:$AJ$364,MATCH($K12,其他调用!$AG$5:$AG$364,0),1)/INDEX(其他调用!AJ$5:AJ$364,MATCH($K12,其他调用!$AG$5:$AG$364,0),0),1)*INDEX(其他调用!AA$5:AA$404,MATCH($K12,其他调用!$X$5:$X$404,0),0)</f>
        <v>24214.331651621145</v>
      </c>
      <c r="AE12" s="12">
        <f>MIN(INDEX(其他调用!$AJ$5:$AJ$364,MATCH($K12,其他调用!$AG$5:$AG$364,0),1)/INDEX(其他调用!AK$5:AK$364,MATCH($K12,其他调用!$AG$5:$AG$364,0),0),1)*INDEX(其他调用!AB$5:AB$404,MATCH($K12,其他调用!$X$5:$X$404,0),0)</f>
        <v>12594.884021568463</v>
      </c>
      <c r="AF12" s="12">
        <f>MIN(INDEX(其他调用!$AJ$5:$AJ$364,MATCH($K12,其他调用!$AG$5:$AG$364,0),1)/INDEX(其他调用!AL$5:AL$364,MATCH($K12,其他调用!$AG$5:$AG$364,0),0),1)*INDEX(其他调用!AC$5:AC$404,MATCH($K12,其他调用!$X$5:$X$404,0),0)</f>
        <v>5798.9980576994813</v>
      </c>
      <c r="AG12" s="12">
        <f>求节点(节奏总纲!D$4:D$163,标准城池设计!AE$4:AE$163,$K12)*求节点(节奏总纲!D$4:D$163,攻城基础信息!$AF$5:$AF$164,$K12)</f>
        <v>107953.72119185259</v>
      </c>
      <c r="AH12" s="12">
        <f>INDEX(其他调用!$AA$5:$AA$404,MATCH($K12,其他调用!$X$5:$X$404,0))*MIN(INDEX(其他调用!AK$5:AK$364,MATCH($K12,其他调用!$AG$5:$AG$364,0),1)/INDEX(其他调用!$AJ$5:$AJ$364,MATCH($K12,其他调用!$AG$5:$AG$364,0),0),5)*求节点(节奏总纲!D$4:D$163,攻城基础信息!$AF$5:$AF$164,$K12)</f>
        <v>92197.336559238727</v>
      </c>
      <c r="AI12" s="12">
        <f>MIN(INDEX(其他调用!$AK$5:$AK$364,MATCH($K12,其他调用!$AG$5:$AG$364,0),1)/INDEX(其他调用!AH$5:AH$364,MATCH($K12,其他调用!$AG$5:$AG$364,0),0),1)*INDEX(其他调用!Y$5:Y$404,MATCH($K12,其他调用!$X$5:$X$404,0),0)</f>
        <v>21916.459403299952</v>
      </c>
      <c r="AJ12" s="12">
        <f>MIN(INDEX(其他调用!$AK$5:$AK$364,MATCH($K12,其他调用!$AG$5:$AG$364,0),1)/INDEX(其他调用!AI$5:AI$364,MATCH($K12,其他调用!$AG$5:$AG$364,0),0),1)*INDEX(其他调用!Z$5:Z$404,MATCH($K12,其他调用!$X$5:$X$404,0),0)</f>
        <v>22904.609885612943</v>
      </c>
      <c r="AK12" s="12">
        <f>MIN(INDEX(其他调用!$AK$5:$AK$364,MATCH($K12,其他调用!$AG$5:$AG$364,0),1)/INDEX(其他调用!AJ$5:AJ$364,MATCH($K12,其他调用!$AG$5:$AG$364,0),0),1)*INDEX(其他调用!AA$5:AA$404,MATCH($K12,其他调用!$X$5:$X$404,0),0)</f>
        <v>24214.331651621145</v>
      </c>
      <c r="AL12" s="12">
        <f>MIN(INDEX(其他调用!$AK$5:$AK$364,MATCH($K12,其他调用!$AG$5:$AG$364,0),1)/INDEX(其他调用!AK$5:AK$364,MATCH($K12,其他调用!$AG$5:$AG$364,0),0),1)*INDEX(其他调用!AB$5:AB$404,MATCH($K12,其他调用!$X$5:$X$404,0),0)</f>
        <v>26157.644108558277</v>
      </c>
      <c r="AM12" s="12">
        <f>MIN(INDEX(其他调用!$AK$5:$AK$364,MATCH($K12,其他调用!$AG$5:$AG$364,0),1)/INDEX(其他调用!AL$5:AL$364,MATCH($K12,其他调用!$AG$5:$AG$364,0),0),1)*INDEX(其他调用!AC$5:AC$404,MATCH($K12,其他调用!$X$5:$X$404,0),0)</f>
        <v>12043.630343857167</v>
      </c>
      <c r="AN12" s="12">
        <f>求节点(节奏总纲!D$4:D$163,标准城池设计!AF$4:AF$163,$K12)*求节点(节奏总纲!D$4:D$163,攻城基础信息!$AG$5:$AG$164,$K12)</f>
        <v>111660.86000700695</v>
      </c>
      <c r="AO12" s="12">
        <f>INDEX(其他调用!$AA$5:$AA$404,MATCH($K12,其他调用!$X$5:$X$404,0))*MIN(INDEX(其他调用!AL$5:AL$364,MATCH($K12,其他调用!$AG$5:$AG$364,0),1)/INDEX(其他调用!$AJ$5:$AJ$364,MATCH($K12,其他调用!$AG$5:$AG$364,0),0),5)*求节点(节奏总纲!D$4:D$163,攻城基础信息!$AG$5:$AG$164,$K12)</f>
        <v>221964.70680652748</v>
      </c>
      <c r="AP12" s="12">
        <f>MIN(INDEX(其他调用!$AL$5:$AL$364,MATCH($K12,其他调用!$AG$5:$AG$364,0),1)/INDEX(其他调用!AH$5:AH$364,MATCH($K12,其他调用!$AG$5:$AG$364,0),0),1)*INDEX(其他调用!Y$5:Y$404,MATCH($K12,其他调用!$X$5:$X$404,0),0)</f>
        <v>21916.459403299952</v>
      </c>
      <c r="AQ12" s="12">
        <f>MIN(INDEX(其他调用!$AL$5:$AL$364,MATCH($K12,其他调用!$AG$5:$AG$364,0),1)/INDEX(其他调用!AI$5:AI$364,MATCH($K12,其他调用!$AG$5:$AG$364,0),0),1)*INDEX(其他调用!Z$5:Z$404,MATCH($K12,其他调用!$X$5:$X$404,0),0)</f>
        <v>22904.609885612943</v>
      </c>
      <c r="AR12" s="12">
        <f>MIN(INDEX(其他调用!$AL$5:$AL$364,MATCH($K12,其他调用!$AG$5:$AG$364,0),1)/INDEX(其他调用!AJ$5:AJ$364,MATCH($K12,其他调用!$AG$5:$AG$364,0),0),1)*INDEX(其他调用!AA$5:AA$404,MATCH($K12,其他调用!$X$5:$X$404,0),0)</f>
        <v>24214.331651621145</v>
      </c>
      <c r="AS12" s="12">
        <f>MIN(INDEX(其他调用!$AL$5:$AL$364,MATCH($K12,其他调用!$AG$5:$AG$364,0),1)/INDEX(其他调用!AK$5:AK$364,MATCH($K12,其他调用!$AG$5:$AG$364,0),0),1)*INDEX(其他调用!AB$5:AB$404,MATCH($K12,其他调用!$X$5:$X$404,0),0)</f>
        <v>26157.644108558277</v>
      </c>
      <c r="AT12" s="12">
        <f>MIN(INDEX(其他调用!$AL$5:$AL$364,MATCH($K12,其他调用!$AG$5:$AG$364,0),1)/INDEX(其他调用!AL$5:AL$364,MATCH($K12,其他调用!$AG$5:$AG$364,0),0),1)*INDEX(其他调用!AC$5:AC$404,MATCH($K12,其他调用!$X$5:$X$404,0),0)</f>
        <v>29639.248602221767</v>
      </c>
      <c r="AV12" s="14">
        <f>IF(OR(AV$5="大R",AV$5="超R"),MAX(INDEX(其他调用!$H$5:$L$404,MATCH($K12,其他调用!$B$5:$B$404,0),MATCH(AV$5,其他调用!$H$4:$L$4,0))*120*0.85,2),INDEX(其他调用!$H$5:$L$404,MATCH($K12,其他调用!$B$5:$B$404,0),MATCH(AV$5,其他调用!$H$4:$L$4,0))*120*0.85)</f>
        <v>69.508565217391322</v>
      </c>
      <c r="AW12" s="14">
        <f>IF(OR(AW$5="大R",AW$5="超R"),MAX(INDEX(其他调用!$H$5:$L$404,MATCH($K12,其他调用!$B$5:$B$404,0),MATCH(AW$5,其他调用!$H$4:$L$4,0))*120*0.85,2),INDEX(其他调用!$H$5:$L$404,MATCH($K12,其他调用!$B$5:$B$404,0),MATCH(AW$5,其他调用!$H$4:$L$4,0))*120*0.85)</f>
        <v>28.244154782608675</v>
      </c>
      <c r="AX12" s="14">
        <f>IF(OR(AX$5="大R",AX$5="超R"),MAX(INDEX(其他调用!$H$5:$L$404,MATCH($K12,其他调用!$B$5:$B$404,0),MATCH(AX$5,其他调用!$H$4:$L$4,0))*120*0.85,2),INDEX(其他调用!$H$5:$L$404,MATCH($K12,其他调用!$B$5:$B$404,0),MATCH(AX$5,其他调用!$H$4:$L$4,0))*120*0.85)</f>
        <v>3.6556799999999998</v>
      </c>
      <c r="AY12" s="14">
        <f>IF(OR(AY$5="大R",AY$5="超R"),MAX(INDEX(其他调用!$H$5:$L$404,MATCH($K12,其他调用!$B$5:$B$404,0),MATCH(AY$5,其他调用!$H$4:$L$4,0))*120*0.85,2),INDEX(其他调用!$H$5:$L$404,MATCH($K12,其他调用!$B$5:$B$404,0),MATCH(AY$5,其他调用!$H$4:$L$4,0))*120*0.85)</f>
        <v>2</v>
      </c>
      <c r="AZ12" s="14">
        <f>IF(OR(AZ$5="大R",AZ$5="超R"),MAX(INDEX(其他调用!$H$5:$L$404,MATCH($K12,其他调用!$B$5:$B$404,0),MATCH(AZ$5,其他调用!$H$4:$L$4,0))*120*0.85,2),INDEX(其他调用!$H$5:$L$404,MATCH($K12,其他调用!$B$5:$B$404,0),MATCH(AZ$5,其他调用!$H$4:$L$4,0))*120*0.85)</f>
        <v>2</v>
      </c>
      <c r="BA12" s="14">
        <f>INDEX(其他调用!$H$5:$L$404,MATCH($K12,其他调用!$B$5:$B$404,0),MATCH(BA$5,其他调用!$H$4:$L$4,0))*INDEX(其他调用!$M$5:$M$404,MATCH($K12,其他调用!$B$5:$B$404,0))*0.6</f>
        <v>29.661943873517792</v>
      </c>
      <c r="BB12" s="14">
        <f>INDEX(其他调用!$H$5:$L$404,MATCH($K12,其他调用!$B$5:$B$404,0),MATCH(BB$5,其他调用!$H$4:$L$4,0))*INDEX(其他调用!$M$5:$M$404,MATCH($K12,其他调用!$B$5:$B$404,0))*0.6</f>
        <v>12.052853217391297</v>
      </c>
      <c r="BC12" s="14">
        <f>INDEX(其他调用!$H$5:$L$404,MATCH($K12,其他调用!$B$5:$B$404,0),MATCH(BC$5,其他调用!$H$4:$L$4,0))*INDEX(其他调用!$M$5:$M$404,MATCH($K12,其他调用!$B$5:$B$404,0))*0.6</f>
        <v>1.5600174545454544</v>
      </c>
      <c r="BD12" s="14">
        <f>INDEX(其他调用!$H$5:$L$404,MATCH($K12,其他调用!$B$5:$B$404,0),MATCH(BD$5,其他调用!$H$4:$L$4,0))*INDEX(其他调用!$M$5:$M$404,MATCH($K12,其他调用!$B$5:$B$404,0))*0.6</f>
        <v>0.20893090909090911</v>
      </c>
      <c r="BE12" s="14">
        <f>INDEX(其他调用!$H$5:$L$404,MATCH($K12,其他调用!$B$5:$B$404,0),MATCH(BE$5,其他调用!$H$4:$L$4,0))*INDEX(其他调用!$M$5:$M$404,MATCH($K12,其他调用!$B$5:$B$404,0))*0.6</f>
        <v>4.3527272727272727E-2</v>
      </c>
      <c r="BF12" s="14">
        <f>IF(OR(BF$5="大R",BF$5="超R"),0,INDEX(其他调用!$H$5:$L$404,MATCH($K12,其他调用!$B$5:$B$404,0),MATCH(BF$5,其他调用!$H$4:$L$4,0))*50*0.4)</f>
        <v>13.629130434782613</v>
      </c>
      <c r="BG12" s="14">
        <f>IF(OR(BG$5="大R",BG$5="超R"),0,INDEX(其他调用!$H$5:$L$404,MATCH($K12,其他调用!$B$5:$B$404,0),MATCH(BG$5,其他调用!$H$4:$L$4,0))*50*0.4)</f>
        <v>5.5380695652173877</v>
      </c>
      <c r="BH12" s="14">
        <f>IF(OR(BH$5="大R",BH$5="超R"),0,INDEX(其他调用!$H$5:$L$404,MATCH($K12,其他调用!$B$5:$B$404,0),MATCH(BH$5,其他调用!$H$4:$L$4,0))*50*0.4)</f>
        <v>0.71679999999999999</v>
      </c>
      <c r="BI12" s="14">
        <f>IF(OR(BI$5="大R",BI$5="超R"),0,INDEX(其他调用!$H$5:$L$404,MATCH($K12,其他调用!$B$5:$B$404,0),MATCH(BI$5,其他调用!$H$4:$L$4,0))*50*0.4)</f>
        <v>0</v>
      </c>
      <c r="BJ12" s="14">
        <f>IF(OR(BJ$5="大R",BJ$5="超R"),0,INDEX(其他调用!$H$5:$L$404,MATCH($K12,其他调用!$B$5:$B$404,0),MATCH(BJ$5,其他调用!$H$4:$L$4,0))*50*0.4)</f>
        <v>0</v>
      </c>
      <c r="BL12" s="14">
        <f t="shared" si="103"/>
        <v>7</v>
      </c>
      <c r="BM12" s="14">
        <f t="shared" si="10"/>
        <v>96</v>
      </c>
      <c r="BN12" s="14">
        <f>('疲劳值&amp;地图信息'!$S$10*'疲劳值&amp;地图信息'!$R$10+'疲劳值&amp;地图信息'!$S$11*'疲劳值&amp;地图信息'!$R$11+'疲劳值&amp;地图信息'!$S$12*'疲劳值&amp;地图信息'!$R$12+(BM12-'疲劳值&amp;地图信息'!$S$12-'疲劳值&amp;地图信息'!$S$11-'疲劳值&amp;地图信息'!$S$10)*'疲劳值&amp;地图信息'!$R$13)/BM12</f>
        <v>51.371477246638619</v>
      </c>
      <c r="BO12" s="14">
        <f>INDEX(其他调用!$M$5:$M$404,MATCH(BL12,其他调用!$B$5:$B$404,0))*0.6</f>
        <v>43.527272727272724</v>
      </c>
      <c r="BP12" s="14">
        <f>IF(BO12&gt;SUM('疲劳值&amp;地图信息'!$S$10:$S$12),('疲劳值&amp;地图信息'!$S$10*'疲劳值&amp;地图信息'!$R$10+'疲劳值&amp;地图信息'!$S$11*'疲劳值&amp;地图信息'!$R$11+'疲劳值&amp;地图信息'!$S$12*'疲劳值&amp;地图信息'!$R$12+(BO12-'疲劳值&amp;地图信息'!$S$12-'疲劳值&amp;地图信息'!$S$11-'疲劳值&amp;地图信息'!$S$10)*'疲劳值&amp;地图信息'!$R$13)/BO12,('疲劳值&amp;地图信息'!$S$10*'疲劳值&amp;地图信息'!$R$10+'疲劳值&amp;地图信息'!$S$11*'疲劳值&amp;地图信息'!$R$11+'疲劳值&amp;地图信息'!$S$12*'疲劳值&amp;地图信息'!$R$12+(BO12-'疲劳值&amp;地图信息'!$S$12-'疲劳值&amp;地图信息'!$S$11-'疲劳值&amp;地图信息'!$S$10)*'疲劳值&amp;地图信息'!$R$13)/BO12)</f>
        <v>36.878507424914659</v>
      </c>
      <c r="BQ12" s="14">
        <f t="shared" si="104"/>
        <v>20</v>
      </c>
      <c r="BR12" s="14">
        <f>('疲劳值&amp;地图信息'!$S$10*'疲劳值&amp;地图信息'!$R$10+($BQ12-'疲劳值&amp;地图信息'!$S$10)*'疲劳值&amp;地图信息'!$R$11)/$BQ12</f>
        <v>32.067203015074995</v>
      </c>
      <c r="BW12" s="14" t="s">
        <v>280</v>
      </c>
      <c r="BX12" s="14">
        <v>5000</v>
      </c>
      <c r="BY12" s="14">
        <v>120</v>
      </c>
      <c r="CF12" s="14">
        <v>7</v>
      </c>
      <c r="CG12" s="51">
        <f t="shared" si="11"/>
        <v>2190</v>
      </c>
      <c r="CH12" s="51">
        <f t="shared" si="12"/>
        <v>460</v>
      </c>
      <c r="CI12" s="51">
        <f>INT(SUMPRODUCT($N12:$R12,$BA12:$BE12)/SUM($BA12:$BE12)/10000*$BX$7*$BZ$34/'疲劳值&amp;地图信息'!$R$10*$BY$53)</f>
        <v>2019</v>
      </c>
      <c r="CJ12" s="50">
        <f t="shared" si="13"/>
        <v>0.46905118869136858</v>
      </c>
      <c r="CK12" s="50">
        <f t="shared" si="14"/>
        <v>9.8522167487684734E-2</v>
      </c>
      <c r="CL12" s="50">
        <f t="shared" si="15"/>
        <v>0.43242664382094664</v>
      </c>
      <c r="CM12" s="14">
        <f t="shared" si="16"/>
        <v>2284</v>
      </c>
      <c r="CN12" s="14">
        <f t="shared" si="17"/>
        <v>638</v>
      </c>
      <c r="CO12" s="14">
        <f>INT(SUMPRODUCT($U12:$Y12,$BA12:$BE12)/SUM($BA12:$BE12)/10000*$BX$7*$BZ$34/'疲劳值&amp;地图信息'!$R$10*$BY$54)</f>
        <v>3322</v>
      </c>
      <c r="CP12" s="50">
        <f t="shared" si="18"/>
        <v>0.36579115951313262</v>
      </c>
      <c r="CQ12" s="50">
        <f t="shared" si="19"/>
        <v>0.10217809096732863</v>
      </c>
      <c r="CR12" s="50">
        <f t="shared" si="20"/>
        <v>0.53203074951953877</v>
      </c>
      <c r="CS12" s="14">
        <f t="shared" si="21"/>
        <v>2412</v>
      </c>
      <c r="CT12" s="14">
        <f t="shared" si="22"/>
        <v>1083</v>
      </c>
      <c r="CU12" s="14">
        <f>INT(SUMPRODUCT($AB12:$AF12,$BA12:$BE12)/SUM($BA12:$BE12)/10000*$BX$7*$BZ$34/'疲劳值&amp;地图信息'!$R$10*$BY$55)</f>
        <v>4507</v>
      </c>
      <c r="CV12" s="50">
        <f t="shared" si="23"/>
        <v>0.30142464383904022</v>
      </c>
      <c r="CW12" s="50">
        <f t="shared" si="24"/>
        <v>0.13534116470882279</v>
      </c>
      <c r="CX12" s="50">
        <f t="shared" si="25"/>
        <v>0.56323419145213693</v>
      </c>
      <c r="CY12" s="14">
        <f t="shared" si="26"/>
        <v>2634</v>
      </c>
      <c r="CZ12" s="14">
        <f t="shared" si="27"/>
        <v>2250</v>
      </c>
      <c r="DA12" s="14">
        <f>INT(SUMPRODUCT($AI12:$AM12,$BA12:$BE12)/SUM($BA12:$BE12)/10000*$BX$7*$BZ$34/'疲劳值&amp;地图信息'!$R$10*$BY$56)</f>
        <v>6782</v>
      </c>
      <c r="DB12" s="50">
        <f t="shared" si="28"/>
        <v>0.22578433053317332</v>
      </c>
      <c r="DC12" s="50">
        <f t="shared" si="29"/>
        <v>0.19286816389507971</v>
      </c>
      <c r="DD12" s="50">
        <f t="shared" si="30"/>
        <v>0.58134750557174697</v>
      </c>
      <c r="DE12" s="14">
        <f t="shared" si="31"/>
        <v>2725</v>
      </c>
      <c r="DF12" s="14">
        <f t="shared" si="32"/>
        <v>5416</v>
      </c>
      <c r="DG12" s="14">
        <f>INT(SUMPRODUCT($AP12:$AT12,$BA12:$BE12)/SUM($BA12:$BE12)/10000*$BX$7*$BZ$34/'疲劳值&amp;地图信息'!$R$10*$BY$57)</f>
        <v>9051</v>
      </c>
      <c r="DH12" s="50">
        <f t="shared" si="33"/>
        <v>0.15850395532805955</v>
      </c>
      <c r="DI12" s="50">
        <f t="shared" si="34"/>
        <v>0.31503024662633783</v>
      </c>
      <c r="DJ12" s="50">
        <f t="shared" si="35"/>
        <v>0.52646579804560256</v>
      </c>
      <c r="DL12" s="14">
        <f t="shared" si="0"/>
        <v>4669</v>
      </c>
      <c r="DM12" s="14">
        <f t="shared" si="1"/>
        <v>6244</v>
      </c>
      <c r="DN12" s="14">
        <f t="shared" si="2"/>
        <v>8002</v>
      </c>
      <c r="DO12" s="14">
        <f t="shared" si="3"/>
        <v>11666</v>
      </c>
      <c r="DP12" s="14">
        <f t="shared" si="4"/>
        <v>17192</v>
      </c>
      <c r="DQ12" s="14">
        <f t="shared" si="5"/>
        <v>229418</v>
      </c>
      <c r="DT12" s="14">
        <f t="shared" si="105"/>
        <v>235575</v>
      </c>
      <c r="DU12" s="50">
        <f t="shared" si="7"/>
        <v>0.50662052977141592</v>
      </c>
      <c r="DW12" s="14">
        <f t="shared" si="36"/>
        <v>464993</v>
      </c>
      <c r="EB12" s="14">
        <v>7</v>
      </c>
      <c r="EC12" s="51">
        <f t="shared" si="37"/>
        <v>3650</v>
      </c>
      <c r="ED12" s="51">
        <f t="shared" si="38"/>
        <v>767</v>
      </c>
      <c r="EE12" s="51">
        <f>INT(SUMPRODUCT($N12:$R12,$BF12:$BJ12)/SUM($BF12:$BJ12)/10000*$BX$7*$BZ$46/'疲劳值&amp;地图信息'!$R$10*$BY$53)</f>
        <v>270</v>
      </c>
      <c r="EF12" s="50">
        <f t="shared" si="39"/>
        <v>0.77874973330488584</v>
      </c>
      <c r="EG12" s="50">
        <f t="shared" si="40"/>
        <v>0.16364412203968423</v>
      </c>
      <c r="EH12" s="50">
        <f t="shared" si="41"/>
        <v>5.760614465542991E-2</v>
      </c>
      <c r="EI12" s="51">
        <f t="shared" si="42"/>
        <v>3806</v>
      </c>
      <c r="EJ12" s="51">
        <f t="shared" si="43"/>
        <v>1064</v>
      </c>
      <c r="EK12" s="14">
        <f>INT(SUMPRODUCT($U12:$Y12,$BF12:$BJ12)/SUM($BF12:$BJ12)/10000*$BX$7*$BZ$46/'疲劳值&amp;地图信息'!$R$10*$BY$54)</f>
        <v>444</v>
      </c>
      <c r="EL12" s="50">
        <f t="shared" si="44"/>
        <v>0.71622130222054947</v>
      </c>
      <c r="EM12" s="50">
        <f t="shared" si="45"/>
        <v>0.20022581859239744</v>
      </c>
      <c r="EN12" s="50">
        <f t="shared" si="46"/>
        <v>8.3552879187053064E-2</v>
      </c>
      <c r="EO12" s="51">
        <f t="shared" si="47"/>
        <v>4020</v>
      </c>
      <c r="EP12" s="51">
        <f t="shared" si="48"/>
        <v>1805</v>
      </c>
      <c r="EQ12" s="14">
        <f>INT(SUMPRODUCT($AB12:$AF12,$BF12:$BJ12)/SUM($BF12:$BJ12)/10000*$BX$7*$BZ$46/'疲劳值&amp;地图信息'!$R$10*$BY$55)</f>
        <v>602</v>
      </c>
      <c r="ER12" s="50">
        <f t="shared" si="49"/>
        <v>0.62548622996732539</v>
      </c>
      <c r="ES12" s="50">
        <f t="shared" si="50"/>
        <v>0.28084642912711999</v>
      </c>
      <c r="ET12" s="50">
        <f t="shared" si="51"/>
        <v>9.3667340905554689E-2</v>
      </c>
      <c r="EU12" s="51">
        <f t="shared" si="52"/>
        <v>4390</v>
      </c>
      <c r="EV12" s="51">
        <f t="shared" si="53"/>
        <v>3750</v>
      </c>
      <c r="EW12" s="14">
        <f>INT(SUMPRODUCT($AI12:$AM12,$BF12:$BJ12)/SUM($BF12:$BJ12)/10000*$BX$7*$BZ$46/'疲劳值&amp;地图信息'!$R$10*$BY$56)</f>
        <v>904</v>
      </c>
      <c r="EX12" s="50">
        <f t="shared" si="54"/>
        <v>0.48540468819106591</v>
      </c>
      <c r="EY12" s="50">
        <f t="shared" si="55"/>
        <v>0.41463954002653691</v>
      </c>
      <c r="EZ12" s="50">
        <f t="shared" si="56"/>
        <v>9.9955771782397174E-2</v>
      </c>
      <c r="FA12" s="51">
        <f t="shared" si="57"/>
        <v>4541</v>
      </c>
      <c r="FB12" s="51">
        <f t="shared" si="58"/>
        <v>9028</v>
      </c>
      <c r="FC12" s="14">
        <f>INT(SUMPRODUCT($AP12:$AT12,$BF12:$BJ12)/SUM($BF12:$BJ12)/10000*$BX$7*$BZ$46/'疲劳值&amp;地图信息'!$R$10*$BY$57)</f>
        <v>1205</v>
      </c>
      <c r="FD12" s="50">
        <f t="shared" si="59"/>
        <v>0.30736428861513471</v>
      </c>
      <c r="FE12" s="50">
        <f t="shared" si="60"/>
        <v>0.61107350751319889</v>
      </c>
      <c r="FF12" s="50">
        <f t="shared" si="61"/>
        <v>8.1562203871666447E-2</v>
      </c>
      <c r="FH12" s="14">
        <f t="shared" si="62"/>
        <v>4687</v>
      </c>
      <c r="FI12" s="14">
        <f t="shared" si="63"/>
        <v>5314</v>
      </c>
      <c r="FJ12" s="14">
        <f t="shared" si="64"/>
        <v>6427</v>
      </c>
      <c r="FK12" s="14">
        <f t="shared" si="65"/>
        <v>9044</v>
      </c>
      <c r="FL12" s="14">
        <f t="shared" si="66"/>
        <v>14774</v>
      </c>
      <c r="FM12" s="14">
        <f t="shared" si="67"/>
        <v>547007</v>
      </c>
      <c r="FP12" s="14">
        <f t="shared" si="68"/>
        <v>334150</v>
      </c>
      <c r="FQ12" s="50">
        <f t="shared" si="8"/>
        <v>0.37921732449495377</v>
      </c>
      <c r="FS12" s="14">
        <f t="shared" si="69"/>
        <v>881157</v>
      </c>
      <c r="FX12" s="14">
        <v>7</v>
      </c>
      <c r="FY12" s="51">
        <f t="shared" si="70"/>
        <v>5110</v>
      </c>
      <c r="FZ12" s="51">
        <f t="shared" si="71"/>
        <v>767</v>
      </c>
      <c r="GA12" s="51">
        <f>INT(SUMPRODUCT($N12:$R12,$BF12:$BJ12)/SUM($BF12:$BJ12)/10000*$BX$7*$BZ$46/'疲劳值&amp;地图信息'!$R$10*$BY$53)</f>
        <v>270</v>
      </c>
      <c r="GB12" s="50">
        <f t="shared" si="72"/>
        <v>0.83129982105091915</v>
      </c>
      <c r="GC12" s="50">
        <f t="shared" si="73"/>
        <v>0.12477631364893443</v>
      </c>
      <c r="GD12" s="50">
        <f t="shared" si="74"/>
        <v>4.3923865300146414E-2</v>
      </c>
      <c r="GE12" s="51">
        <f t="shared" si="75"/>
        <v>5329</v>
      </c>
      <c r="GF12" s="51">
        <f t="shared" si="76"/>
        <v>1064</v>
      </c>
      <c r="GG12" s="14">
        <f>INT(SUMPRODUCT($U12:$Y12,$BF12:$BJ12)/SUM($BF12:$BJ12)/10000*$BX$7*$BZ$46/'疲劳值&amp;地图信息'!$R$10*$BY$54)</f>
        <v>444</v>
      </c>
      <c r="GH12" s="50">
        <f t="shared" si="77"/>
        <v>0.77943542489395934</v>
      </c>
      <c r="GI12" s="50">
        <f t="shared" si="78"/>
        <v>0.15562381161328068</v>
      </c>
      <c r="GJ12" s="50">
        <f t="shared" si="79"/>
        <v>6.4940763492759984E-2</v>
      </c>
      <c r="GK12" s="51">
        <f t="shared" si="80"/>
        <v>5628</v>
      </c>
      <c r="GL12" s="51">
        <f t="shared" si="81"/>
        <v>1805</v>
      </c>
      <c r="GM12" s="14">
        <f>INT(SUMPRODUCT($AB12:$AF12,$BF12:$BJ12)/SUM($BF12:$BJ12)/10000*$BX$7*$BZ$46/'疲劳值&amp;地图信息'!$R$10*$BY$55)</f>
        <v>602</v>
      </c>
      <c r="GN12" s="50">
        <f t="shared" si="82"/>
        <v>0.70043559427504665</v>
      </c>
      <c r="GO12" s="50">
        <f t="shared" si="83"/>
        <v>0.22464219041692596</v>
      </c>
      <c r="GP12" s="50">
        <f t="shared" si="84"/>
        <v>7.4922215308027382E-2</v>
      </c>
      <c r="GQ12" s="51">
        <f t="shared" si="85"/>
        <v>6147</v>
      </c>
      <c r="GR12" s="51">
        <f t="shared" si="86"/>
        <v>3750</v>
      </c>
      <c r="GS12" s="14">
        <f>INT(SUMPRODUCT($AI12:$AM12,$BF12:$BJ12)/SUM($BF12:$BJ12)/10000*$BX$7*$BZ$46/'疲劳值&amp;地图信息'!$R$10*$BY$56)</f>
        <v>904</v>
      </c>
      <c r="GT12" s="50">
        <f t="shared" si="87"/>
        <v>0.56911397092861771</v>
      </c>
      <c r="GU12" s="50">
        <f t="shared" si="88"/>
        <v>0.34719007499305621</v>
      </c>
      <c r="GV12" s="50">
        <f t="shared" si="89"/>
        <v>8.3695954078326085E-2</v>
      </c>
      <c r="GW12" s="51">
        <f t="shared" si="90"/>
        <v>6358</v>
      </c>
      <c r="GX12" s="51">
        <f t="shared" si="91"/>
        <v>9028</v>
      </c>
      <c r="GY12" s="14">
        <f>INT(SUMPRODUCT($AP12:$AT12,$BF12:$BJ12)/SUM($BF12:$BJ12)/10000*$BX$7*$BZ$46/'疲劳值&amp;地图信息'!$R$10*$BY$57)</f>
        <v>1205</v>
      </c>
      <c r="GZ12" s="50">
        <f t="shared" si="92"/>
        <v>0.38321981797360016</v>
      </c>
      <c r="HA12" s="50">
        <f t="shared" si="93"/>
        <v>0.54415044301127113</v>
      </c>
      <c r="HB12" s="50">
        <f t="shared" si="94"/>
        <v>7.2629739015128689E-2</v>
      </c>
      <c r="HD12" s="14">
        <f t="shared" si="95"/>
        <v>6147</v>
      </c>
      <c r="HE12" s="14">
        <f t="shared" si="96"/>
        <v>6837</v>
      </c>
      <c r="HF12" s="14">
        <f t="shared" si="97"/>
        <v>8035</v>
      </c>
      <c r="HG12" s="14">
        <f t="shared" si="98"/>
        <v>10801</v>
      </c>
      <c r="HH12" s="14">
        <f t="shared" si="99"/>
        <v>16591</v>
      </c>
      <c r="HI12" s="14">
        <f t="shared" si="100"/>
        <v>704531</v>
      </c>
      <c r="HL12" s="14">
        <f t="shared" si="101"/>
        <v>430050</v>
      </c>
      <c r="HM12" s="50">
        <f t="shared" si="9"/>
        <v>0.37903860544112761</v>
      </c>
      <c r="HO12" s="14">
        <f t="shared" si="102"/>
        <v>1134581</v>
      </c>
    </row>
    <row r="13" spans="3:223" x14ac:dyDescent="0.2">
      <c r="C13" s="1" t="s">
        <v>415</v>
      </c>
      <c r="K13" s="14">
        <v>8</v>
      </c>
      <c r="L13" s="12">
        <f>求节点(节奏总纲!D$4:D$163,标准城池设计!AB$4:AB$163,$K13)*求节点(节奏总纲!D$4:D$163,攻城基础信息!$AC$5:$AC$164,$K13)</f>
        <v>101027.39328477335</v>
      </c>
      <c r="M13" s="12">
        <f>INDEX(其他调用!$AA$5:$AA$404,MATCH(K13,其他调用!$X$5:$X$404,0))*MIN(INDEX(其他调用!$AH$5:$AH$364,MATCH('征服点（新）'!K13,其他调用!$AG$5:$AG$364,0),1)/INDEX(其他调用!$AJ$5:$AJ$364,MATCH(K13,其他调用!$AG$5:$AG$364,0),0),5)*求节点(节奏总纲!D$4:D$163,攻城基础信息!$AC$5:$AC$164,$K13)</f>
        <v>20192.68371116</v>
      </c>
      <c r="N13" s="12">
        <f>MIN(INDEX(其他调用!$AH$5:$AH$364,MATCH($K13,其他调用!$AG$5:$AG$364,0),1)/INDEX(其他调用!AH$5:AH$364,MATCH($K13,其他调用!$AG$5:$AG$364,0),0),1)*INDEX(其他调用!Y$5:Y$404,MATCH($K13,其他调用!$X$5:$X$404,0),0)</f>
        <v>22583.412428750897</v>
      </c>
      <c r="O13" s="12">
        <f>MIN(INDEX(其他调用!$AH$5:$AH$364,MATCH($K13,其他调用!$AG$5:$AG$364,0),1)/INDEX(其他调用!AI$5:AI$364,MATCH($K13,其他调用!$AG$5:$AG$364,0),0),1)*INDEX(其他调用!Z$5:Z$404,MATCH($K13,其他调用!$X$5:$X$404,0),0)</f>
        <v>16754.062640497596</v>
      </c>
      <c r="P13" s="12">
        <f>MIN(INDEX(其他调用!$AH$5:$AH$364,MATCH($K13,其他调用!$AG$5:$AG$364,0),1)/INDEX(其他调用!AJ$5:AJ$364,MATCH($K13,其他调用!$AG$5:$AG$364,0),0),1)*INDEX(其他调用!AA$5:AA$404,MATCH($K13,其他调用!$X$5:$X$404,0),0)</f>
        <v>10685.480732348333</v>
      </c>
      <c r="Q13" s="12">
        <f>MIN(INDEX(其他调用!$AH$5:$AH$364,MATCH($K13,其他调用!$AG$5:$AG$364,0),1)/INDEX(其他调用!AK$5:AK$364,MATCH($K13,其他调用!$AG$5:$AG$364,0),0),1)*INDEX(其他调用!AB$5:AB$404,MATCH($K13,其他调用!$X$5:$X$404,0),0)</f>
        <v>5576.4142352101553</v>
      </c>
      <c r="R13" s="12">
        <f>MIN(INDEX(其他调用!$AH$5:$AH$364,MATCH($K13,其他调用!$AG$5:$AG$364,0),1)/INDEX(其他调用!AL$5:AL$364,MATCH($K13,其他调用!$AG$5:$AG$364,0),0),1)*INDEX(其他调用!AC$5:AC$404,MATCH($K13,其他调用!$X$5:$X$404,0),0)</f>
        <v>2654.174510081054</v>
      </c>
      <c r="S13" s="12">
        <f>求节点(节奏总纲!D$4:D$163,标准城池设计!AC$4:AC$163,$K13)*求节点(节奏总纲!D$4:D$163,攻城基础信息!$AD$5:$AD$164,$K13)</f>
        <v>106331.644715516</v>
      </c>
      <c r="T13" s="12">
        <f>INDEX(其他调用!$AA$5:$AA$404,MATCH($K13,其他调用!$X$5:$X$404,0))*MIN(INDEX(其他调用!AI$5:AI$364,MATCH($K13,其他调用!$AG$5:$AG$364,0),1)/INDEX(其他调用!$AJ$5:$AJ$364,MATCH($K13,其他调用!$AG$5:$AG$364,0),0),5)*求节点(节奏总纲!D$4:D$163,攻城基础信息!$AD$5:$AD$164,$K13)</f>
        <v>28422.148444699727</v>
      </c>
      <c r="U13" s="12">
        <f>MIN(INDEX(其他调用!$AI$5:$AI$364,MATCH($K13,其他调用!$AG$5:$AG$364,0),1)/INDEX(其他调用!AH$5:AH$364,MATCH($K13,其他调用!$AG$5:$AG$364,0),0),1)*INDEX(其他调用!Y$5:Y$404,MATCH($K13,其他调用!$X$5:$X$404,0),0)</f>
        <v>22583.412428750897</v>
      </c>
      <c r="V13" s="12">
        <f>MIN(INDEX(其他调用!$AI$5:$AI$364,MATCH($K13,其他调用!$AG$5:$AG$364,0),1)/INDEX(其他调用!AI$5:AI$364,MATCH($K13,其他调用!$AG$5:$AG$364,0),0),1)*INDEX(其他调用!Z$5:Z$404,MATCH($K13,其他调用!$X$5:$X$404,0),0)</f>
        <v>23582.128172336197</v>
      </c>
      <c r="W13" s="12">
        <f>MIN(INDEX(其他调用!$AI$5:$AI$364,MATCH($K13,其他调用!$AG$5:$AG$364,0),1)/INDEX(其他调用!AJ$5:AJ$364,MATCH($K13,其他调用!$AG$5:$AG$364,0),0),1)*INDEX(其他调用!AA$5:AA$404,MATCH($K13,其他调用!$X$5:$X$404,0),0)</f>
        <v>15040.314795300495</v>
      </c>
      <c r="X13" s="12">
        <f>MIN(INDEX(其他调用!$AI$5:$AI$364,MATCH($K13,其他调用!$AG$5:$AG$364,0),1)/INDEX(其他调用!AK$5:AK$364,MATCH($K13,其他调用!$AG$5:$AG$364,0),0),1)*INDEX(其他调用!AB$5:AB$404,MATCH($K13,其他调用!$X$5:$X$404,0),0)</f>
        <v>7849.0643170270714</v>
      </c>
      <c r="Y13" s="12">
        <f>MIN(INDEX(其他调用!$AI$5:$AI$364,MATCH($K13,其他调用!$AG$5:$AG$364,0),1)/INDEX(其他调用!AL$5:AL$364,MATCH($K13,其他调用!$AG$5:$AG$364,0),0),1)*INDEX(其他调用!AC$5:AC$404,MATCH($K13,其他调用!$X$5:$X$404,0),0)</f>
        <v>3735.8749833718002</v>
      </c>
      <c r="Z13" s="12">
        <f>求节点(节奏总纲!D$4:D$163,标准城池设计!AD$4:AD$163,$K13)*求节点(节奏总纲!D$4:D$163,攻城基础信息!$AE$5:$AE$164,$K13)</f>
        <v>114050.40934178233</v>
      </c>
      <c r="AA13" s="12">
        <f>INDEX(其他调用!$AA$5:$AA$404,MATCH($K13,其他调用!$X$5:$X$404,0))*MIN(INDEX(其他调用!AJ$5:AJ$364,MATCH($K13,其他调用!$AG$5:$AG$364,0),1)/INDEX(其他调用!$AJ$5:$AJ$364,MATCH($K13,其他调用!$AG$5:$AG$364,0),0),5)*求节点(节奏总纲!D$4:D$163,攻城基础信息!$AE$5:$AE$164,$K13)</f>
        <v>47053.122966503026</v>
      </c>
      <c r="AB13" s="12">
        <f>MIN(INDEX(其他调用!$AJ$5:$AJ$364,MATCH($K13,其他调用!$AG$5:$AG$364,0),1)/INDEX(其他调用!AH$5:AH$364,MATCH($K13,其他调用!$AG$5:$AG$364,0),0),1)*INDEX(其他调用!Y$5:Y$404,MATCH($K13,其他调用!$X$5:$X$404,0),0)</f>
        <v>22583.412428750897</v>
      </c>
      <c r="AC13" s="12">
        <f>MIN(INDEX(其他调用!$AJ$5:$AJ$364,MATCH($K13,其他调用!$AG$5:$AG$364,0),1)/INDEX(其他调用!AI$5:AI$364,MATCH($K13,其他调用!$AG$5:$AG$364,0),0),1)*INDEX(其他调用!Z$5:Z$404,MATCH($K13,其他调用!$X$5:$X$404,0),0)</f>
        <v>23582.128172336197</v>
      </c>
      <c r="AD13" s="12">
        <f>MIN(INDEX(其他调用!$AJ$5:$AJ$364,MATCH($K13,其他调用!$AG$5:$AG$364,0),1)/INDEX(其他调用!AJ$5:AJ$364,MATCH($K13,其他调用!$AG$5:$AG$364,0),0),1)*INDEX(其他调用!AA$5:AA$404,MATCH($K13,其他调用!$X$5:$X$404,0),0)</f>
        <v>24899.3767271018</v>
      </c>
      <c r="AE13" s="12">
        <f>MIN(INDEX(其他调用!$AJ$5:$AJ$364,MATCH($K13,其他调用!$AG$5:$AG$364,0),1)/INDEX(其他调用!AK$5:AK$364,MATCH($K13,其他调用!$AG$5:$AG$364,0),0),1)*INDEX(其他调用!AB$5:AB$404,MATCH($K13,其他调用!$X$5:$X$404,0),0)</f>
        <v>12994.196733566729</v>
      </c>
      <c r="AF13" s="12">
        <f>MIN(INDEX(其他调用!$AJ$5:$AJ$364,MATCH($K13,其他调用!$AG$5:$AG$364,0),1)/INDEX(其他调用!AL$5:AL$364,MATCH($K13,其他调用!$AG$5:$AG$364,0),0),1)*INDEX(其他调用!AC$5:AC$404,MATCH($K13,其他调用!$X$5:$X$404,0),0)</f>
        <v>6184.7747126539543</v>
      </c>
      <c r="AG13" s="12">
        <f>求节点(节奏总纲!D$4:D$163,标准城池设计!AE$4:AE$163,$K13)*求节点(节奏总纲!D$4:D$163,攻城基础信息!$AF$5:$AF$164,$K13)</f>
        <v>126682.28956027101</v>
      </c>
      <c r="AH13" s="12">
        <f>INDEX(其他调用!$AA$5:$AA$404,MATCH($K13,其他调用!$X$5:$X$404,0))*MIN(INDEX(其他调用!AK$5:AK$364,MATCH($K13,其他调用!$AG$5:$AG$364,0),1)/INDEX(其他调用!$AJ$5:$AJ$364,MATCH($K13,其他调用!$AG$5:$AG$364,0),0),5)*求节点(节奏总纲!D$4:D$163,攻城基础信息!$AF$5:$AF$164,$K13)</f>
        <v>97253.761202961512</v>
      </c>
      <c r="AI13" s="12">
        <f>MIN(INDEX(其他调用!$AK$5:$AK$364,MATCH($K13,其他调用!$AG$5:$AG$364,0),1)/INDEX(其他调用!AH$5:AH$364,MATCH($K13,其他调用!$AG$5:$AG$364,0),0),1)*INDEX(其他调用!Y$5:Y$404,MATCH($K13,其他调用!$X$5:$X$404,0),0)</f>
        <v>22583.412428750897</v>
      </c>
      <c r="AJ13" s="12">
        <f>MIN(INDEX(其他调用!$AK$5:$AK$364,MATCH($K13,其他调用!$AG$5:$AG$364,0),1)/INDEX(其他调用!AI$5:AI$364,MATCH($K13,其他调用!$AG$5:$AG$364,0),0),1)*INDEX(其他调用!Z$5:Z$404,MATCH($K13,其他调用!$X$5:$X$404,0),0)</f>
        <v>23582.128172336197</v>
      </c>
      <c r="AK13" s="12">
        <f>MIN(INDEX(其他调用!$AK$5:$AK$364,MATCH($K13,其他调用!$AG$5:$AG$364,0),1)/INDEX(其他调用!AJ$5:AJ$364,MATCH($K13,其他调用!$AG$5:$AG$364,0),0),1)*INDEX(其他调用!AA$5:AA$404,MATCH($K13,其他调用!$X$5:$X$404,0),0)</f>
        <v>24899.3767271018</v>
      </c>
      <c r="AL13" s="12">
        <f>MIN(INDEX(其他调用!$AK$5:$AK$364,MATCH($K13,其他调用!$AG$5:$AG$364,0),1)/INDEX(其他调用!AK$5:AK$364,MATCH($K13,其他调用!$AG$5:$AG$364,0),0),1)*INDEX(其他调用!AB$5:AB$404,MATCH($K13,其他调用!$X$5:$X$404,0),0)</f>
        <v>26857.611705183728</v>
      </c>
      <c r="AM13" s="12">
        <f>MIN(INDEX(其他调用!$AK$5:$AK$364,MATCH($K13,其他调用!$AG$5:$AG$364,0),1)/INDEX(其他调用!AL$5:AL$364,MATCH($K13,其他调用!$AG$5:$AG$364,0),0),1)*INDEX(其他调用!AC$5:AC$404,MATCH($K13,其他调用!$X$5:$X$404,0),0)</f>
        <v>12783.266339765869</v>
      </c>
      <c r="AN13" s="12">
        <f>求节点(节奏总纲!D$4:D$163,标准城池设计!AF$4:AF$163,$K13)*求节点(节奏总纲!D$4:D$163,攻城基础信息!$AG$5:$AG$164,$K13)</f>
        <v>131375.11586854132</v>
      </c>
      <c r="AO13" s="12">
        <f>INDEX(其他调用!$AA$5:$AA$404,MATCH($K13,其他调用!$X$5:$X$404,0))*MIN(INDEX(其他调用!AL$5:AL$364,MATCH($K13,其他调用!$AG$5:$AG$364,0),1)/INDEX(其他调用!$AJ$5:$AJ$364,MATCH($K13,其他调用!$AG$5:$AG$364,0),0),5)*求节点(节奏总纲!D$4:D$163,攻城基础信息!$AG$5:$AG$164,$K13)</f>
        <v>231098.88451643818</v>
      </c>
      <c r="AP13" s="12">
        <f>MIN(INDEX(其他调用!$AL$5:$AL$364,MATCH($K13,其他调用!$AG$5:$AG$364,0),1)/INDEX(其他调用!AH$5:AH$364,MATCH($K13,其他调用!$AG$5:$AG$364,0),0),1)*INDEX(其他调用!Y$5:Y$404,MATCH($K13,其他调用!$X$5:$X$404,0),0)</f>
        <v>22583.412428750897</v>
      </c>
      <c r="AQ13" s="12">
        <f>MIN(INDEX(其他调用!$AL$5:$AL$364,MATCH($K13,其他调用!$AG$5:$AG$364,0),1)/INDEX(其他调用!AI$5:AI$364,MATCH($K13,其他调用!$AG$5:$AG$364,0),0),1)*INDEX(其他调用!Z$5:Z$404,MATCH($K13,其他调用!$X$5:$X$404,0),0)</f>
        <v>23582.128172336197</v>
      </c>
      <c r="AR13" s="12">
        <f>MIN(INDEX(其他调用!$AL$5:$AL$364,MATCH($K13,其他调用!$AG$5:$AG$364,0),1)/INDEX(其他调用!AJ$5:AJ$364,MATCH($K13,其他调用!$AG$5:$AG$364,0),0),1)*INDEX(其他调用!AA$5:AA$404,MATCH($K13,其他调用!$X$5:$X$404,0),0)</f>
        <v>24899.3767271018</v>
      </c>
      <c r="AS13" s="12">
        <f>MIN(INDEX(其他调用!$AL$5:$AL$364,MATCH($K13,其他调用!$AG$5:$AG$364,0),1)/INDEX(其他调用!AK$5:AK$364,MATCH($K13,其他调用!$AG$5:$AG$364,0),0),1)*INDEX(其他调用!AB$5:AB$404,MATCH($K13,其他调用!$X$5:$X$404,0),0)</f>
        <v>26857.611705183728</v>
      </c>
      <c r="AT13" s="12">
        <f>MIN(INDEX(其他调用!$AL$5:$AL$364,MATCH($K13,其他调用!$AG$5:$AG$364,0),1)/INDEX(其他调用!AL$5:AL$364,MATCH($K13,其他调用!$AG$5:$AG$364,0),0),1)*INDEX(其他调用!AC$5:AC$404,MATCH($K13,其他调用!$X$5:$X$404,0),0)</f>
        <v>30376.188592143262</v>
      </c>
      <c r="AV13" s="14">
        <f>IF(OR(AV$5="大R",AV$5="超R"),MAX(INDEX(其他调用!$H$5:$L$404,MATCH($K13,其他调用!$B$5:$B$404,0),MATCH(AV$5,其他调用!$H$4:$L$4,0))*120*0.85,2),INDEX(其他调用!$H$5:$L$404,MATCH($K13,其他调用!$B$5:$B$404,0),MATCH(AV$5,其他调用!$H$4:$L$4,0))*120*0.85)</f>
        <v>68.347886048404391</v>
      </c>
      <c r="AW13" s="14">
        <f>IF(OR(AW$5="大R",AW$5="超R"),MAX(INDEX(其他调用!$H$5:$L$404,MATCH($K13,其他调用!$B$5:$B$404,0),MATCH(AW$5,其他调用!$H$4:$L$4,0))*120*0.85,2),INDEX(其他调用!$H$5:$L$404,MATCH($K13,其他调用!$B$5:$B$404,0),MATCH(AW$5,其他调用!$H$4:$L$4,0))*120*0.85)</f>
        <v>29.384480580167036</v>
      </c>
      <c r="AX13" s="14">
        <f>IF(OR(AX$5="大R",AX$5="超R"),MAX(INDEX(其他调用!$H$5:$L$404,MATCH($K13,其他调用!$B$5:$B$404,0),MATCH(AX$5,其他调用!$H$4:$L$4,0))*120*0.85,2),INDEX(其他调用!$H$5:$L$404,MATCH($K13,其他调用!$B$5:$B$404,0),MATCH(AX$5,其他调用!$H$4:$L$4,0))*120*0.85)</f>
        <v>3.6661247999999995</v>
      </c>
      <c r="AY13" s="14">
        <f>IF(OR(AY$5="大R",AY$5="超R"),MAX(INDEX(其他调用!$H$5:$L$404,MATCH($K13,其他调用!$B$5:$B$404,0),MATCH(AY$5,其他调用!$H$4:$L$4,0))*120*0.85,2),INDEX(其他调用!$H$5:$L$404,MATCH($K13,其他调用!$B$5:$B$404,0),MATCH(AY$5,其他调用!$H$4:$L$4,0))*120*0.85)</f>
        <v>2</v>
      </c>
      <c r="AZ13" s="14">
        <f>IF(OR(AZ$5="大R",AZ$5="超R"),MAX(INDEX(其他调用!$H$5:$L$404,MATCH($K13,其他调用!$B$5:$B$404,0),MATCH(AZ$5,其他调用!$H$4:$L$4,0))*120*0.85,2),INDEX(其他调用!$H$5:$L$404,MATCH($K13,其他调用!$B$5:$B$404,0),MATCH(AZ$5,其他调用!$H$4:$L$4,0))*120*0.85)</f>
        <v>2</v>
      </c>
      <c r="BA13" s="14">
        <f>INDEX(其他调用!$H$5:$L$404,MATCH($K13,其他调用!$B$5:$B$404,0),MATCH(BA$5,其他调用!$H$4:$L$4,0))*INDEX(其他调用!$M$5:$M$404,MATCH($K13,其他调用!$B$5:$B$404,0))*0.6</f>
        <v>29.532134720380075</v>
      </c>
      <c r="BB13" s="14">
        <f>INDEX(其他调用!$H$5:$L$404,MATCH($K13,其他调用!$B$5:$B$404,0),MATCH(BB$5,其他调用!$H$4:$L$4,0))*INDEX(其他调用!$M$5:$M$404,MATCH($K13,其他调用!$B$5:$B$404,0))*0.6</f>
        <v>12.696609790788752</v>
      </c>
      <c r="BC13" s="14">
        <f>INDEX(其他调用!$H$5:$L$404,MATCH($K13,其他调用!$B$5:$B$404,0),MATCH(BC$5,其他调用!$H$4:$L$4,0))*INDEX(其他调用!$M$5:$M$404,MATCH($K13,其他调用!$B$5:$B$404,0))*0.6</f>
        <v>1.5840795927272728</v>
      </c>
      <c r="BD13" s="14">
        <f>INDEX(其他调用!$H$5:$L$404,MATCH($K13,其他调用!$B$5:$B$404,0),MATCH(BD$5,其他调用!$H$4:$L$4,0))*INDEX(其他调用!$M$5:$M$404,MATCH($K13,其他调用!$B$5:$B$404,0))*0.6</f>
        <v>0.21457122077922078</v>
      </c>
      <c r="BE13" s="14">
        <f>INDEX(其他调用!$H$5:$L$404,MATCH($K13,其他调用!$B$5:$B$404,0),MATCH(BE$5,其他调用!$H$4:$L$4,0))*INDEX(其他调用!$M$5:$M$404,MATCH($K13,其他调用!$B$5:$B$404,0))*0.6</f>
        <v>4.5331948051948054E-2</v>
      </c>
      <c r="BF13" s="14">
        <f>IF(OR(BF$5="大R",BF$5="超R"),0,INDEX(其他调用!$H$5:$L$404,MATCH($K13,其他调用!$B$5:$B$404,0),MATCH(BF$5,其他调用!$H$4:$L$4,0))*50*0.4)</f>
        <v>13.401546284000862</v>
      </c>
      <c r="BG13" s="14">
        <f>IF(OR(BG$5="大R",BG$5="超R"),0,INDEX(其他调用!$H$5:$L$404,MATCH($K13,其他调用!$B$5:$B$404,0),MATCH(BG$5,其他调用!$H$4:$L$4,0))*50*0.4)</f>
        <v>5.7616628588562833</v>
      </c>
      <c r="BH13" s="14">
        <f>IF(OR(BH$5="大R",BH$5="超R"),0,INDEX(其他调用!$H$5:$L$404,MATCH($K13,其他调用!$B$5:$B$404,0),MATCH(BH$5,其他调用!$H$4:$L$4,0))*50*0.4)</f>
        <v>0.71884800000000004</v>
      </c>
      <c r="BI13" s="14">
        <f>IF(OR(BI$5="大R",BI$5="超R"),0,INDEX(其他调用!$H$5:$L$404,MATCH($K13,其他调用!$B$5:$B$404,0),MATCH(BI$5,其他调用!$H$4:$L$4,0))*50*0.4)</f>
        <v>0</v>
      </c>
      <c r="BJ13" s="14">
        <f>IF(OR(BJ$5="大R",BJ$5="超R"),0,INDEX(其他调用!$H$5:$L$404,MATCH($K13,其他调用!$B$5:$B$404,0),MATCH(BJ$5,其他调用!$H$4:$L$4,0))*50*0.4)</f>
        <v>0</v>
      </c>
      <c r="BL13" s="14">
        <f t="shared" si="103"/>
        <v>8</v>
      </c>
      <c r="BM13" s="14">
        <f t="shared" si="10"/>
        <v>96</v>
      </c>
      <c r="BN13" s="14">
        <f>('疲劳值&amp;地图信息'!$S$10*'疲劳值&amp;地图信息'!$R$10+'疲劳值&amp;地图信息'!$S$11*'疲劳值&amp;地图信息'!$R$11+'疲劳值&amp;地图信息'!$S$12*'疲劳值&amp;地图信息'!$R$12+(BM13-'疲劳值&amp;地图信息'!$S$12-'疲劳值&amp;地图信息'!$S$11-'疲劳值&amp;地图信息'!$S$10)*'疲劳值&amp;地图信息'!$R$13)/BM13</f>
        <v>51.371477246638619</v>
      </c>
      <c r="BO13" s="14">
        <f>INDEX(其他调用!$M$5:$M$404,MATCH(BL13,其他调用!$B$5:$B$404,0))*0.6</f>
        <v>44.072727272727271</v>
      </c>
      <c r="BP13" s="14">
        <f>IF(BO13&gt;SUM('疲劳值&amp;地图信息'!$S$10:$S$12),('疲劳值&amp;地图信息'!$S$10*'疲劳值&amp;地图信息'!$R$10+'疲劳值&amp;地图信息'!$S$11*'疲劳值&amp;地图信息'!$R$11+'疲劳值&amp;地图信息'!$S$12*'疲劳值&amp;地图信息'!$R$12+(BO13-'疲劳值&amp;地图信息'!$S$12-'疲劳值&amp;地图信息'!$S$11-'疲劳值&amp;地图信息'!$S$10)*'疲劳值&amp;地图信息'!$R$13)/BO13,('疲劳值&amp;地图信息'!$S$10*'疲劳值&amp;地图信息'!$R$10+'疲劳值&amp;地图信息'!$S$11*'疲劳值&amp;地图信息'!$R$11+'疲劳值&amp;地图信息'!$S$12*'疲劳值&amp;地图信息'!$R$12+(BO13-'疲劳值&amp;地图信息'!$S$12-'疲劳值&amp;地图信息'!$S$11-'疲劳值&amp;地图信息'!$S$10)*'疲劳值&amp;地图信息'!$R$13)/BO13)</f>
        <v>37.206665898472153</v>
      </c>
      <c r="BQ13" s="14">
        <f t="shared" si="104"/>
        <v>20</v>
      </c>
      <c r="BR13" s="14">
        <f>('疲劳值&amp;地图信息'!$S$10*'疲劳值&amp;地图信息'!$R$10+($BQ13-'疲劳值&amp;地图信息'!$S$10)*'疲劳值&amp;地图信息'!$R$11)/$BQ13</f>
        <v>32.067203015074995</v>
      </c>
      <c r="BW13" s="14" t="s">
        <v>264</v>
      </c>
      <c r="BX13" s="14">
        <v>18000</v>
      </c>
      <c r="BY13" s="14">
        <v>500</v>
      </c>
      <c r="CF13" s="14">
        <v>8</v>
      </c>
      <c r="CG13" s="51">
        <f t="shared" si="11"/>
        <v>2443</v>
      </c>
      <c r="CH13" s="51">
        <f t="shared" si="12"/>
        <v>488</v>
      </c>
      <c r="CI13" s="51">
        <f>INT(SUMPRODUCT($N13:$R13,$BA13:$BE13)/SUM($BA13:$BE13)/10000*$BX$7*$BZ$34/'疲劳值&amp;地图信息'!$R$10*$BY$53)</f>
        <v>2067</v>
      </c>
      <c r="CJ13" s="50">
        <f t="shared" si="13"/>
        <v>0.4887955182072829</v>
      </c>
      <c r="CK13" s="50">
        <f t="shared" si="14"/>
        <v>9.7639055622248894E-2</v>
      </c>
      <c r="CL13" s="50">
        <f t="shared" si="15"/>
        <v>0.41356542617046821</v>
      </c>
      <c r="CM13" s="14">
        <f t="shared" si="16"/>
        <v>2572</v>
      </c>
      <c r="CN13" s="14">
        <f t="shared" si="17"/>
        <v>687</v>
      </c>
      <c r="CO13" s="14">
        <f>INT(SUMPRODUCT($U13:$Y13,$BA13:$BE13)/SUM($BA13:$BE13)/10000*$BX$7*$BZ$34/'疲劳值&amp;地图信息'!$R$10*$BY$54)</f>
        <v>3425</v>
      </c>
      <c r="CP13" s="50">
        <f t="shared" si="18"/>
        <v>0.38479952124476363</v>
      </c>
      <c r="CQ13" s="50">
        <f t="shared" si="19"/>
        <v>0.10278276481149012</v>
      </c>
      <c r="CR13" s="50">
        <f t="shared" si="20"/>
        <v>0.51241771394374624</v>
      </c>
      <c r="CS13" s="14">
        <f t="shared" si="21"/>
        <v>2758</v>
      </c>
      <c r="CT13" s="14">
        <f t="shared" si="22"/>
        <v>1138</v>
      </c>
      <c r="CU13" s="14">
        <f>INT(SUMPRODUCT($AB13:$AF13,$BA13:$BE13)/SUM($BA13:$BE13)/10000*$BX$7*$BZ$34/'疲劳值&amp;地图信息'!$R$10*$BY$55)</f>
        <v>4645</v>
      </c>
      <c r="CV13" s="50">
        <f t="shared" si="23"/>
        <v>0.32291300784451471</v>
      </c>
      <c r="CW13" s="50">
        <f t="shared" si="24"/>
        <v>0.13323966748624283</v>
      </c>
      <c r="CX13" s="50">
        <f t="shared" si="25"/>
        <v>0.54384732466924246</v>
      </c>
      <c r="CY13" s="14">
        <f t="shared" si="26"/>
        <v>3064</v>
      </c>
      <c r="CZ13" s="14">
        <f t="shared" si="27"/>
        <v>2352</v>
      </c>
      <c r="DA13" s="14">
        <f>INT(SUMPRODUCT($AI13:$AM13,$BA13:$BE13)/SUM($BA13:$BE13)/10000*$BX$7*$BZ$34/'疲劳值&amp;地图信息'!$R$10*$BY$56)</f>
        <v>6990</v>
      </c>
      <c r="DB13" s="50">
        <f t="shared" si="28"/>
        <v>0.24697726906335643</v>
      </c>
      <c r="DC13" s="50">
        <f t="shared" si="29"/>
        <v>0.18958568434628406</v>
      </c>
      <c r="DD13" s="50">
        <f t="shared" si="30"/>
        <v>0.56343704659035954</v>
      </c>
      <c r="DE13" s="14">
        <f t="shared" si="31"/>
        <v>3177</v>
      </c>
      <c r="DF13" s="14">
        <f t="shared" si="32"/>
        <v>5590</v>
      </c>
      <c r="DG13" s="14">
        <f>INT(SUMPRODUCT($AP13:$AT13,$BA13:$BE13)/SUM($BA13:$BE13)/10000*$BX$7*$BZ$34/'疲劳值&amp;地图信息'!$R$10*$BY$57)</f>
        <v>9328</v>
      </c>
      <c r="DH13" s="50">
        <f t="shared" si="33"/>
        <v>0.17557336280740535</v>
      </c>
      <c r="DI13" s="50">
        <f t="shared" si="34"/>
        <v>0.30892511743575574</v>
      </c>
      <c r="DJ13" s="50">
        <f t="shared" si="35"/>
        <v>0.51550151975683889</v>
      </c>
      <c r="DL13" s="14">
        <f t="shared" si="0"/>
        <v>4998</v>
      </c>
      <c r="DM13" s="14">
        <f t="shared" si="1"/>
        <v>6684</v>
      </c>
      <c r="DN13" s="14">
        <f t="shared" si="2"/>
        <v>8541</v>
      </c>
      <c r="DO13" s="14">
        <f t="shared" si="3"/>
        <v>12406</v>
      </c>
      <c r="DP13" s="14">
        <f t="shared" si="4"/>
        <v>18095</v>
      </c>
      <c r="DQ13" s="14">
        <f t="shared" si="5"/>
        <v>249477</v>
      </c>
      <c r="DT13" s="14">
        <f t="shared" si="105"/>
        <v>235575</v>
      </c>
      <c r="DU13" s="50">
        <f t="shared" si="7"/>
        <v>0.4856695776947626</v>
      </c>
      <c r="DW13" s="14">
        <f t="shared" si="36"/>
        <v>485052</v>
      </c>
      <c r="EB13" s="14">
        <v>8</v>
      </c>
      <c r="EC13" s="51">
        <f t="shared" si="37"/>
        <v>4072</v>
      </c>
      <c r="ED13" s="51">
        <f t="shared" si="38"/>
        <v>814</v>
      </c>
      <c r="EE13" s="51">
        <f>INT(SUMPRODUCT($N13:$R13,$BF13:$BJ13)/SUM($BF13:$BJ13)/10000*$BX$7*$BZ$46/'疲劳值&amp;地图信息'!$R$10*$BY$53)</f>
        <v>276</v>
      </c>
      <c r="EF13" s="50">
        <f t="shared" si="39"/>
        <v>0.78884153428903525</v>
      </c>
      <c r="EG13" s="50">
        <f t="shared" si="40"/>
        <v>0.15769081751259201</v>
      </c>
      <c r="EH13" s="50">
        <f t="shared" si="41"/>
        <v>5.3467648198372721E-2</v>
      </c>
      <c r="EI13" s="51">
        <f t="shared" si="42"/>
        <v>4286</v>
      </c>
      <c r="EJ13" s="51">
        <f t="shared" si="43"/>
        <v>1145</v>
      </c>
      <c r="EK13" s="14">
        <f>INT(SUMPRODUCT($U13:$Y13,$BF13:$BJ13)/SUM($BF13:$BJ13)/10000*$BX$7*$BZ$46/'疲劳值&amp;地图信息'!$R$10*$BY$54)</f>
        <v>458</v>
      </c>
      <c r="EL13" s="50">
        <f t="shared" si="44"/>
        <v>0.7277975887247411</v>
      </c>
      <c r="EM13" s="50">
        <f t="shared" si="45"/>
        <v>0.19443029376804211</v>
      </c>
      <c r="EN13" s="50">
        <f t="shared" si="46"/>
        <v>7.777211750721684E-2</v>
      </c>
      <c r="EO13" s="51">
        <f t="shared" si="47"/>
        <v>4597</v>
      </c>
      <c r="EP13" s="51">
        <f t="shared" si="48"/>
        <v>1896</v>
      </c>
      <c r="EQ13" s="14">
        <f>INT(SUMPRODUCT($AB13:$AF13,$BF13:$BJ13)/SUM($BF13:$BJ13)/10000*$BX$7*$BZ$46/'疲劳值&amp;地图信息'!$R$10*$BY$55)</f>
        <v>621</v>
      </c>
      <c r="ER13" s="50">
        <f t="shared" si="49"/>
        <v>0.64619061006466127</v>
      </c>
      <c r="ES13" s="50">
        <f t="shared" si="50"/>
        <v>0.26651672757942085</v>
      </c>
      <c r="ET13" s="50">
        <f t="shared" si="51"/>
        <v>8.7292662355917913E-2</v>
      </c>
      <c r="EU13" s="51">
        <f t="shared" si="52"/>
        <v>5107</v>
      </c>
      <c r="EV13" s="51">
        <f t="shared" si="53"/>
        <v>3920</v>
      </c>
      <c r="EW13" s="14">
        <f>INT(SUMPRODUCT($AI13:$AM13,$BF13:$BJ13)/SUM($BF13:$BJ13)/10000*$BX$7*$BZ$46/'疲劳值&amp;地图信息'!$R$10*$BY$56)</f>
        <v>931</v>
      </c>
      <c r="EX13" s="50">
        <f t="shared" si="54"/>
        <v>0.51285398674432614</v>
      </c>
      <c r="EY13" s="50">
        <f t="shared" si="55"/>
        <v>0.39365334404498897</v>
      </c>
      <c r="EZ13" s="50">
        <f t="shared" si="56"/>
        <v>9.3492669210684873E-2</v>
      </c>
      <c r="FA13" s="51">
        <f t="shared" si="57"/>
        <v>5296</v>
      </c>
      <c r="FB13" s="51">
        <f t="shared" si="58"/>
        <v>9316</v>
      </c>
      <c r="FC13" s="14">
        <f>INT(SUMPRODUCT($AP13:$AT13,$BF13:$BJ13)/SUM($BF13:$BJ13)/10000*$BX$7*$BZ$46/'疲劳值&amp;地图信息'!$R$10*$BY$57)</f>
        <v>1242</v>
      </c>
      <c r="FD13" s="50">
        <f t="shared" si="59"/>
        <v>0.33404818973129807</v>
      </c>
      <c r="FE13" s="50">
        <f t="shared" si="60"/>
        <v>0.58761195912703423</v>
      </c>
      <c r="FF13" s="50">
        <f t="shared" si="61"/>
        <v>7.8339851141667721E-2</v>
      </c>
      <c r="FH13" s="14">
        <f t="shared" si="62"/>
        <v>5162</v>
      </c>
      <c r="FI13" s="14">
        <f t="shared" si="63"/>
        <v>5889</v>
      </c>
      <c r="FJ13" s="14">
        <f t="shared" si="64"/>
        <v>7114</v>
      </c>
      <c r="FK13" s="14">
        <f t="shared" si="65"/>
        <v>9958</v>
      </c>
      <c r="FL13" s="14">
        <f t="shared" si="66"/>
        <v>15854</v>
      </c>
      <c r="FM13" s="14">
        <f t="shared" si="67"/>
        <v>603561</v>
      </c>
      <c r="FP13" s="14">
        <f t="shared" si="68"/>
        <v>334150</v>
      </c>
      <c r="FQ13" s="50">
        <f t="shared" si="8"/>
        <v>0.35634646495562067</v>
      </c>
      <c r="FS13" s="14">
        <f t="shared" si="69"/>
        <v>937711</v>
      </c>
      <c r="FX13" s="14">
        <v>8</v>
      </c>
      <c r="FY13" s="51">
        <f t="shared" si="70"/>
        <v>5702</v>
      </c>
      <c r="FZ13" s="51">
        <f t="shared" si="71"/>
        <v>814</v>
      </c>
      <c r="GA13" s="51">
        <f>INT(SUMPRODUCT($N13:$R13,$BF13:$BJ13)/SUM($BF13:$BJ13)/10000*$BX$7*$BZ$46/'疲劳值&amp;地图信息'!$R$10*$BY$53)</f>
        <v>276</v>
      </c>
      <c r="GB13" s="50">
        <f t="shared" si="72"/>
        <v>0.83951707891637217</v>
      </c>
      <c r="GC13" s="50">
        <f t="shared" si="73"/>
        <v>0.11984687868080095</v>
      </c>
      <c r="GD13" s="50">
        <f t="shared" si="74"/>
        <v>4.0636042402826852E-2</v>
      </c>
      <c r="GE13" s="51">
        <f t="shared" si="75"/>
        <v>6001</v>
      </c>
      <c r="GF13" s="51">
        <f t="shared" si="76"/>
        <v>1145</v>
      </c>
      <c r="GG13" s="14">
        <f>INT(SUMPRODUCT($U13:$Y13,$BF13:$BJ13)/SUM($BF13:$BJ13)/10000*$BX$7*$BZ$46/'疲劳值&amp;地图信息'!$R$10*$BY$54)</f>
        <v>458</v>
      </c>
      <c r="GH13" s="50">
        <f t="shared" si="77"/>
        <v>0.78918990005260392</v>
      </c>
      <c r="GI13" s="50">
        <f t="shared" si="78"/>
        <v>0.15057864281956865</v>
      </c>
      <c r="GJ13" s="50">
        <f t="shared" si="79"/>
        <v>6.0231457127827459E-2</v>
      </c>
      <c r="GK13" s="51">
        <f t="shared" si="80"/>
        <v>6437</v>
      </c>
      <c r="GL13" s="51">
        <f t="shared" si="81"/>
        <v>1896</v>
      </c>
      <c r="GM13" s="14">
        <f>INT(SUMPRODUCT($AB13:$AF13,$BF13:$BJ13)/SUM($BF13:$BJ13)/10000*$BX$7*$BZ$46/'疲劳值&amp;地图信息'!$R$10*$BY$55)</f>
        <v>621</v>
      </c>
      <c r="GN13" s="50">
        <f t="shared" si="82"/>
        <v>0.71889658253294619</v>
      </c>
      <c r="GO13" s="50">
        <f t="shared" si="83"/>
        <v>0.2117489390216663</v>
      </c>
      <c r="GP13" s="50">
        <f t="shared" si="84"/>
        <v>6.935447844538753E-2</v>
      </c>
      <c r="GQ13" s="51">
        <f t="shared" si="85"/>
        <v>7150</v>
      </c>
      <c r="GR13" s="51">
        <f t="shared" si="86"/>
        <v>3920</v>
      </c>
      <c r="GS13" s="14">
        <f>INT(SUMPRODUCT($AI13:$AM13,$BF13:$BJ13)/SUM($BF13:$BJ13)/10000*$BX$7*$BZ$46/'疲劳值&amp;地图信息'!$R$10*$BY$56)</f>
        <v>931</v>
      </c>
      <c r="GT13" s="50">
        <f t="shared" si="87"/>
        <v>0.59578368469294229</v>
      </c>
      <c r="GU13" s="50">
        <f t="shared" si="88"/>
        <v>0.32663944671277395</v>
      </c>
      <c r="GV13" s="50">
        <f t="shared" si="89"/>
        <v>7.757686859428381E-2</v>
      </c>
      <c r="GW13" s="51">
        <f t="shared" si="90"/>
        <v>7415</v>
      </c>
      <c r="GX13" s="51">
        <f t="shared" si="91"/>
        <v>9316</v>
      </c>
      <c r="GY13" s="14">
        <f>INT(SUMPRODUCT($AP13:$AT13,$BF13:$BJ13)/SUM($BF13:$BJ13)/10000*$BX$7*$BZ$46/'疲劳值&amp;地图信息'!$R$10*$BY$57)</f>
        <v>1242</v>
      </c>
      <c r="GZ13" s="50">
        <f t="shared" si="92"/>
        <v>0.41256328937851222</v>
      </c>
      <c r="HA13" s="50">
        <f t="shared" si="93"/>
        <v>0.518333055138263</v>
      </c>
      <c r="HB13" s="50">
        <f t="shared" si="94"/>
        <v>6.9103655483224835E-2</v>
      </c>
      <c r="HD13" s="14">
        <f t="shared" si="95"/>
        <v>6792</v>
      </c>
      <c r="HE13" s="14">
        <f t="shared" si="96"/>
        <v>7604</v>
      </c>
      <c r="HF13" s="14">
        <f t="shared" si="97"/>
        <v>8954</v>
      </c>
      <c r="HG13" s="14">
        <f t="shared" si="98"/>
        <v>12001</v>
      </c>
      <c r="HH13" s="14">
        <f t="shared" si="99"/>
        <v>17973</v>
      </c>
      <c r="HI13" s="14">
        <f t="shared" si="100"/>
        <v>780432</v>
      </c>
      <c r="HL13" s="14">
        <f t="shared" si="101"/>
        <v>430050</v>
      </c>
      <c r="HM13" s="50">
        <f t="shared" si="9"/>
        <v>0.35527170168577477</v>
      </c>
      <c r="HO13" s="14">
        <f t="shared" si="102"/>
        <v>1210482</v>
      </c>
    </row>
    <row r="14" spans="3:223" x14ac:dyDescent="0.2">
      <c r="C14" s="1" t="s">
        <v>438</v>
      </c>
      <c r="K14" s="14">
        <v>9</v>
      </c>
      <c r="L14" s="12">
        <f>求节点(节奏总纲!D$4:D$163,标准城池设计!AB$4:AB$163,$K14)*求节点(节奏总纲!D$4:D$163,攻城基础信息!$AC$5:$AC$164,$K14)</f>
        <v>108259.54658095386</v>
      </c>
      <c r="M14" s="12">
        <f>INDEX(其他调用!$AA$5:$AA$404,MATCH(K14,其他调用!$X$5:$X$404,0))*MIN(INDEX(其他调用!$AH$5:$AH$364,MATCH('征服点（新）'!K14,其他调用!$AG$5:$AG$364,0),1)/INDEX(其他调用!$AJ$5:$AJ$364,MATCH(K14,其他调用!$AG$5:$AG$364,0),0),5)*求节点(节奏总纲!D$4:D$163,攻城基础信息!$AC$5:$AC$164,$K14)</f>
        <v>21403.205843010441</v>
      </c>
      <c r="N14" s="12">
        <f>MIN(INDEX(其他调用!$AH$5:$AH$364,MATCH($K14,其他调用!$AG$5:$AG$364,0),1)/INDEX(其他调用!AH$5:AH$364,MATCH($K14,其他调用!$AG$5:$AG$364,0),0),1)*INDEX(其他调用!Y$5:Y$404,MATCH($K14,其他调用!$X$5:$X$404,0),0)</f>
        <v>23185.808420788228</v>
      </c>
      <c r="O14" s="12">
        <f>MIN(INDEX(其他调用!$AH$5:$AH$364,MATCH($K14,其他调用!$AG$5:$AG$364,0),1)/INDEX(其他调用!AI$5:AI$364,MATCH($K14,其他调用!$AG$5:$AG$364,0),0),1)*INDEX(其他调用!Z$5:Z$404,MATCH($K14,其他调用!$X$5:$X$404,0),0)</f>
        <v>16959.25969845094</v>
      </c>
      <c r="P14" s="12">
        <f>MIN(INDEX(其他调用!$AH$5:$AH$364,MATCH($K14,其他调用!$AG$5:$AG$364,0),1)/INDEX(其他调用!AJ$5:AJ$364,MATCH($K14,其他调用!$AG$5:$AG$364,0),0),1)*INDEX(其他调用!AA$5:AA$404,MATCH($K14,其他调用!$X$5:$X$404,0),0)</f>
        <v>11030.043306972373</v>
      </c>
      <c r="Q14" s="12">
        <f>MIN(INDEX(其他调用!$AH$5:$AH$364,MATCH($K14,其他调用!$AG$5:$AG$364,0),1)/INDEX(其他调用!AK$5:AK$364,MATCH($K14,其他调用!$AG$5:$AG$364,0),0),1)*INDEX(其他调用!AB$5:AB$404,MATCH($K14,其他调用!$X$5:$X$404,0),0)</f>
        <v>5944.7647152802811</v>
      </c>
      <c r="R14" s="12">
        <f>MIN(INDEX(其他调用!$AH$5:$AH$364,MATCH($K14,其他调用!$AG$5:$AG$364,0),1)/INDEX(其他调用!AL$5:AL$364,MATCH($K14,其他调用!$AG$5:$AG$364,0),0),1)*INDEX(其他调用!AC$5:AC$404,MATCH($K14,其他调用!$X$5:$X$404,0),0)</f>
        <v>2850.2961346192415</v>
      </c>
      <c r="S14" s="12">
        <f>求节点(节奏总纲!D$4:D$163,标准城池设计!AC$4:AC$163,$K14)*求节点(节奏总纲!D$4:D$163,攻城基础信息!$AD$5:$AD$164,$K14)</f>
        <v>114692.85140043376</v>
      </c>
      <c r="T14" s="12">
        <f>INDEX(其他调用!$AA$5:$AA$404,MATCH($K14,其他调用!$X$5:$X$404,0))*MIN(INDEX(其他调用!AI$5:AI$364,MATCH($K14,其他调用!$AG$5:$AG$364,0),1)/INDEX(其他调用!$AJ$5:$AJ$364,MATCH($K14,其他调用!$AG$5:$AG$364,0),0),5)*求节点(节奏总纲!D$4:D$163,攻城基础信息!$AD$5:$AD$164,$K14)</f>
        <v>30517.003953975691</v>
      </c>
      <c r="U14" s="12">
        <f>MIN(INDEX(其他调用!$AI$5:$AI$364,MATCH($K14,其他调用!$AG$5:$AG$364,0),1)/INDEX(其他调用!AH$5:AH$364,MATCH($K14,其他调用!$AG$5:$AG$364,0),0),1)*INDEX(其他调用!Y$5:Y$404,MATCH($K14,其他调用!$X$5:$X$404,0),0)</f>
        <v>23185.808420788228</v>
      </c>
      <c r="V14" s="12">
        <f>MIN(INDEX(其他调用!$AI$5:$AI$364,MATCH($K14,其他调用!$AG$5:$AG$364,0),1)/INDEX(其他调用!AI$5:AI$364,MATCH($K14,其他调用!$AG$5:$AG$364,0),0),1)*INDEX(其他调用!Z$5:Z$404,MATCH($K14,其他调用!$X$5:$X$404,0),0)</f>
        <v>24180.76053981141</v>
      </c>
      <c r="W14" s="12">
        <f>MIN(INDEX(其他调用!$AI$5:$AI$364,MATCH($K14,其他调用!$AG$5:$AG$364,0),1)/INDEX(其他调用!AJ$5:AJ$364,MATCH($K14,其他调用!$AG$5:$AG$364,0),0),1)*INDEX(其他调用!AA$5:AA$404,MATCH($K14,其他调用!$X$5:$X$404,0),0)</f>
        <v>15726.797082658642</v>
      </c>
      <c r="X14" s="12">
        <f>MIN(INDEX(其他调用!$AI$5:$AI$364,MATCH($K14,其他调用!$AG$5:$AG$364,0),1)/INDEX(其他调用!AK$5:AK$364,MATCH($K14,其他调用!$AG$5:$AG$364,0),0),1)*INDEX(其他调用!AB$5:AB$404,MATCH($K14,其他调用!$X$5:$X$404,0),0)</f>
        <v>8476.1324846533644</v>
      </c>
      <c r="Y14" s="12">
        <f>MIN(INDEX(其他调用!$AI$5:$AI$364,MATCH($K14,其他调用!$AG$5:$AG$364,0),1)/INDEX(其他调用!AL$5:AL$364,MATCH($K14,其他调用!$AG$5:$AG$364,0),0),1)*INDEX(其他调用!AC$5:AC$404,MATCH($K14,其他调用!$X$5:$X$404,0),0)</f>
        <v>4063.9939197978847</v>
      </c>
      <c r="Z14" s="12">
        <f>求节点(节奏总纲!D$4:D$163,标准城池设计!AD$4:AD$163,$K14)*求节点(节奏总纲!D$4:D$163,攻城基础信息!$AE$5:$AE$164,$K14)</f>
        <v>124572.04994591027</v>
      </c>
      <c r="AA14" s="12">
        <f>INDEX(其他调用!$AA$5:$AA$404,MATCH($K14,其他调用!$X$5:$X$404,0))*MIN(INDEX(其他调用!AJ$5:AJ$364,MATCH($K14,其他调用!$AG$5:$AG$364,0),1)/INDEX(其他调用!$AJ$5:$AJ$364,MATCH($K14,其他调用!$AG$5:$AG$364,0),0),5)*求节点(节奏总纲!D$4:D$163,攻城基础信息!$AE$5:$AE$164,$K14)</f>
        <v>49508.16275003671</v>
      </c>
      <c r="AB14" s="12">
        <f>MIN(INDEX(其他调用!$AJ$5:$AJ$364,MATCH($K14,其他调用!$AG$5:$AG$364,0),1)/INDEX(其他调用!AH$5:AH$364,MATCH($K14,其他调用!$AG$5:$AG$364,0),0),1)*INDEX(其他调用!Y$5:Y$404,MATCH($K14,其他调用!$X$5:$X$404,0),0)</f>
        <v>23185.808420788228</v>
      </c>
      <c r="AC14" s="12">
        <f>MIN(INDEX(其他调用!$AJ$5:$AJ$364,MATCH($K14,其他调用!$AG$5:$AG$364,0),1)/INDEX(其他调用!AI$5:AI$364,MATCH($K14,其他调用!$AG$5:$AG$364,0),0),1)*INDEX(其他调用!Z$5:Z$404,MATCH($K14,其他调用!$X$5:$X$404,0),0)</f>
        <v>24180.76053981141</v>
      </c>
      <c r="AD14" s="12">
        <f>MIN(INDEX(其他调用!$AJ$5:$AJ$364,MATCH($K14,其他调用!$AG$5:$AG$364,0),1)/INDEX(其他调用!AJ$5:AJ$364,MATCH($K14,其他调用!$AG$5:$AG$364,0),0),1)*INDEX(其他调用!AA$5:AA$404,MATCH($K14,其他调用!$X$5:$X$404,0),0)</f>
        <v>25513.803081040383</v>
      </c>
      <c r="AE14" s="12">
        <f>MIN(INDEX(其他调用!$AJ$5:$AJ$364,MATCH($K14,其他调用!$AG$5:$AG$364,0),1)/INDEX(其他调用!AK$5:AK$364,MATCH($K14,其他调用!$AG$5:$AG$364,0),0),1)*INDEX(其他调用!AB$5:AB$404,MATCH($K14,其他调用!$X$5:$X$404,0),0)</f>
        <v>13750.948394998726</v>
      </c>
      <c r="AF14" s="12">
        <f>MIN(INDEX(其他调用!$AJ$5:$AJ$364,MATCH($K14,其他调用!$AG$5:$AG$364,0),1)/INDEX(其他调用!AL$5:AL$364,MATCH($K14,其他调用!$AG$5:$AG$364,0),0),1)*INDEX(其他调用!AC$5:AC$404,MATCH($K14,其他调用!$X$5:$X$404,0),0)</f>
        <v>6593.0742316629448</v>
      </c>
      <c r="AG14" s="12">
        <f>求节点(节奏总纲!D$4:D$163,标准城池设计!AE$4:AE$163,$K14)*求节点(节奏总纲!D$4:D$163,攻城基础信息!$AF$5:$AF$164,$K14)</f>
        <v>140103.10934476109</v>
      </c>
      <c r="AH14" s="12">
        <f>INDEX(其他调用!$AA$5:$AA$404,MATCH($K14,其他调用!$X$5:$X$404,0))*MIN(INDEX(其他调用!AK$5:AK$364,MATCH($K14,其他调用!$AG$5:$AG$364,0),1)/INDEX(其他调用!$AJ$5:$AJ$364,MATCH($K14,其他调用!$AG$5:$AG$364,0),0),5)*求节点(节奏总纲!D$4:D$163,攻城基础信息!$AF$5:$AF$164,$K14)</f>
        <v>98884.216541591552</v>
      </c>
      <c r="AI14" s="12">
        <f>MIN(INDEX(其他调用!$AK$5:$AK$364,MATCH($K14,其他调用!$AG$5:$AG$364,0),1)/INDEX(其他调用!AH$5:AH$364,MATCH($K14,其他调用!$AG$5:$AG$364,0),0),1)*INDEX(其他调用!Y$5:Y$404,MATCH($K14,其他调用!$X$5:$X$404,0),0)</f>
        <v>23185.808420788228</v>
      </c>
      <c r="AJ14" s="12">
        <f>MIN(INDEX(其他调用!$AK$5:$AK$364,MATCH($K14,其他调用!$AG$5:$AG$364,0),1)/INDEX(其他调用!AI$5:AI$364,MATCH($K14,其他调用!$AG$5:$AG$364,0),0),1)*INDEX(其他调用!Z$5:Z$404,MATCH($K14,其他调用!$X$5:$X$404,0),0)</f>
        <v>24180.76053981141</v>
      </c>
      <c r="AK14" s="12">
        <f>MIN(INDEX(其他调用!$AK$5:$AK$364,MATCH($K14,其他调用!$AG$5:$AG$364,0),1)/INDEX(其他调用!AJ$5:AJ$364,MATCH($K14,其他调用!$AG$5:$AG$364,0),0),1)*INDEX(其他调用!AA$5:AA$404,MATCH($K14,其他调用!$X$5:$X$404,0),0)</f>
        <v>25513.803081040383</v>
      </c>
      <c r="AL14" s="12">
        <f>MIN(INDEX(其他调用!$AK$5:$AK$364,MATCH($K14,其他调用!$AG$5:$AG$364,0),1)/INDEX(其他调用!AK$5:AK$364,MATCH($K14,其他调用!$AG$5:$AG$364,0),0),1)*INDEX(其他调用!AB$5:AB$404,MATCH($K14,其他调用!$X$5:$X$404,0),0)</f>
        <v>27465.203376837017</v>
      </c>
      <c r="AM14" s="12">
        <f>MIN(INDEX(其他调用!$AK$5:$AK$364,MATCH($K14,其他调用!$AG$5:$AG$364,0),1)/INDEX(其他调用!AL$5:AL$364,MATCH($K14,其他调用!$AG$5:$AG$364,0),0),1)*INDEX(其他调用!AC$5:AC$404,MATCH($K14,其他调用!$X$5:$X$404,0),0)</f>
        <v>13168.555320669067</v>
      </c>
      <c r="AN14" s="12">
        <f>求节点(节奏总纲!D$4:D$163,标准城池设计!AF$4:AF$163,$K14)*求节点(节奏总纲!D$4:D$163,攻城基础信息!$AG$5:$AG$164,$K14)</f>
        <v>145161.56178188525</v>
      </c>
      <c r="AO14" s="12">
        <f>INDEX(其他调用!$AA$5:$AA$404,MATCH($K14,其他调用!$X$5:$X$404,0))*MIN(INDEX(其他调用!AL$5:AL$364,MATCH($K14,其他调用!$AG$5:$AG$364,0),1)/INDEX(其他调用!$AJ$5:$AJ$364,MATCH($K14,其他调用!$AG$5:$AG$364,0),0),5)*求节点(节奏总纲!D$4:D$163,攻城基础信息!$AG$5:$AG$164,$K14)</f>
        <v>232858.06392945236</v>
      </c>
      <c r="AP14" s="12">
        <f>MIN(INDEX(其他调用!$AL$5:$AL$364,MATCH($K14,其他调用!$AG$5:$AG$364,0),1)/INDEX(其他调用!AH$5:AH$364,MATCH($K14,其他调用!$AG$5:$AG$364,0),0),1)*INDEX(其他调用!Y$5:Y$404,MATCH($K14,其他调用!$X$5:$X$404,0),0)</f>
        <v>23185.808420788228</v>
      </c>
      <c r="AQ14" s="12">
        <f>MIN(INDEX(其他调用!$AL$5:$AL$364,MATCH($K14,其他调用!$AG$5:$AG$364,0),1)/INDEX(其他调用!AI$5:AI$364,MATCH($K14,其他调用!$AG$5:$AG$364,0),0),1)*INDEX(其他调用!Z$5:Z$404,MATCH($K14,其他调用!$X$5:$X$404,0),0)</f>
        <v>24180.76053981141</v>
      </c>
      <c r="AR14" s="12">
        <f>MIN(INDEX(其他调用!$AL$5:$AL$364,MATCH($K14,其他调用!$AG$5:$AG$364,0),1)/INDEX(其他调用!AJ$5:AJ$364,MATCH($K14,其他调用!$AG$5:$AG$364,0),0),1)*INDEX(其他调用!AA$5:AA$404,MATCH($K14,其他调用!$X$5:$X$404,0),0)</f>
        <v>25513.803081040383</v>
      </c>
      <c r="AS14" s="12">
        <f>MIN(INDEX(其他调用!$AL$5:$AL$364,MATCH($K14,其他调用!$AG$5:$AG$364,0),1)/INDEX(其他调用!AK$5:AK$364,MATCH($K14,其他调用!$AG$5:$AG$364,0),0),1)*INDEX(其他调用!AB$5:AB$404,MATCH($K14,其他调用!$X$5:$X$404,0),0)</f>
        <v>27465.203376837017</v>
      </c>
      <c r="AT14" s="12">
        <f>MIN(INDEX(其他调用!$AL$5:$AL$364,MATCH($K14,其他调用!$AG$5:$AG$364,0),1)/INDEX(其他调用!AL$5:AL$364,MATCH($K14,其他调用!$AG$5:$AG$364,0),0),1)*INDEX(其他调用!AC$5:AC$404,MATCH($K14,其他调用!$X$5:$X$404,0),0)</f>
        <v>31010.047952689514</v>
      </c>
      <c r="AV14" s="14">
        <f>IF(OR(AV$5="大R",AV$5="超R"),MAX(INDEX(其他调用!$H$5:$L$404,MATCH($K14,其他调用!$B$5:$B$404,0),MATCH(AV$5,其他调用!$H$4:$L$4,0))*120*0.85,2),INDEX(其他调用!$H$5:$L$404,MATCH($K14,其他调用!$B$5:$B$404,0),MATCH(AV$5,其他调用!$H$4:$L$4,0))*120*0.85)</f>
        <v>67.18720687941746</v>
      </c>
      <c r="AW14" s="14">
        <f>IF(OR(AW$5="大R",AW$5="超R"),MAX(INDEX(其他调用!$H$5:$L$404,MATCH($K14,其他调用!$B$5:$B$404,0),MATCH(AW$5,其他调用!$H$4:$L$4,0))*120*0.85,2),INDEX(其他调用!$H$5:$L$404,MATCH($K14,其他调用!$B$5:$B$404,0),MATCH(AW$5,其他调用!$H$4:$L$4,0))*120*0.85)</f>
        <v>30.524806377725398</v>
      </c>
      <c r="AX14" s="14">
        <f>IF(OR(AX$5="大R",AX$5="超R"),MAX(INDEX(其他调用!$H$5:$L$404,MATCH($K14,其他调用!$B$5:$B$404,0),MATCH(AX$5,其他调用!$H$4:$L$4,0))*120*0.85,2),INDEX(其他调用!$H$5:$L$404,MATCH($K14,其他调用!$B$5:$B$404,0),MATCH(AX$5,其他调用!$H$4:$L$4,0))*120*0.85)</f>
        <v>3.6765695999999992</v>
      </c>
      <c r="AY14" s="14">
        <f>IF(OR(AY$5="大R",AY$5="超R"),MAX(INDEX(其他调用!$H$5:$L$404,MATCH($K14,其他调用!$B$5:$B$404,0),MATCH(AY$5,其他调用!$H$4:$L$4,0))*120*0.85,2),INDEX(其他调用!$H$5:$L$404,MATCH($K14,其他调用!$B$5:$B$404,0),MATCH(AY$5,其他调用!$H$4:$L$4,0))*120*0.85)</f>
        <v>2</v>
      </c>
      <c r="AZ14" s="14">
        <f>IF(OR(AZ$5="大R",AZ$5="超R"),MAX(INDEX(其他调用!$H$5:$L$404,MATCH($K14,其他调用!$B$5:$B$404,0),MATCH(AZ$5,其他调用!$H$4:$L$4,0))*120*0.85,2),INDEX(其他调用!$H$5:$L$404,MATCH($K14,其他调用!$B$5:$B$404,0),MATCH(AZ$5,其他调用!$H$4:$L$4,0))*120*0.85)</f>
        <v>2</v>
      </c>
      <c r="BA14" s="14">
        <f>INDEX(其他调用!$H$5:$L$404,MATCH($K14,其他调用!$B$5:$B$404,0),MATCH(BA$5,其他调用!$H$4:$L$4,0))*INDEX(其他调用!$M$5:$M$404,MATCH($K14,其他调用!$B$5:$B$404,0))*0.6</f>
        <v>29.36595922786659</v>
      </c>
      <c r="BB14" s="14">
        <f>INDEX(其他调用!$H$5:$L$404,MATCH($K14,其他调用!$B$5:$B$404,0),MATCH(BB$5,其他调用!$H$4:$L$4,0))*INDEX(其他调用!$M$5:$M$404,MATCH($K14,其他调用!$B$5:$B$404,0))*0.6</f>
        <v>13.341680078107428</v>
      </c>
      <c r="BC14" s="14">
        <f>INDEX(其他调用!$H$5:$L$404,MATCH($K14,其他调用!$B$5:$B$404,0),MATCH(BC$5,其他调用!$H$4:$L$4,0))*INDEX(其他调用!$M$5:$M$404,MATCH($K14,其他调用!$B$5:$B$404,0))*0.6</f>
        <v>1.6069427199999997</v>
      </c>
      <c r="BD14" s="14">
        <f>INDEX(其他调用!$H$5:$L$404,MATCH($K14,其他调用!$B$5:$B$404,0),MATCH(BD$5,其他调用!$H$4:$L$4,0))*INDEX(其他调用!$M$5:$M$404,MATCH($K14,其他调用!$B$5:$B$404,0))*0.6</f>
        <v>0.22010680519480522</v>
      </c>
      <c r="BE14" s="14">
        <f>INDEX(其他调用!$H$5:$L$404,MATCH($K14,其他调用!$B$5:$B$404,0),MATCH(BE$5,其他调用!$H$4:$L$4,0))*INDEX(其他调用!$M$5:$M$404,MATCH($K14,其他调用!$B$5:$B$404,0))*0.6</f>
        <v>4.7129350649350643E-2</v>
      </c>
      <c r="BF14" s="14">
        <f>IF(OR(BF$5="大R",BF$5="超R"),0,INDEX(其他调用!$H$5:$L$404,MATCH($K14,其他调用!$B$5:$B$404,0),MATCH(BF$5,其他调用!$H$4:$L$4,0))*50*0.4)</f>
        <v>13.17396213321911</v>
      </c>
      <c r="BG14" s="14">
        <f>IF(OR(BG$5="大R",BG$5="超R"),0,INDEX(其他调用!$H$5:$L$404,MATCH($K14,其他调用!$B$5:$B$404,0),MATCH(BG$5,其他调用!$H$4:$L$4,0))*50*0.4)</f>
        <v>5.9852561524951771</v>
      </c>
      <c r="BH14" s="14">
        <f>IF(OR(BH$5="大R",BH$5="超R"),0,INDEX(其他调用!$H$5:$L$404,MATCH($K14,其他调用!$B$5:$B$404,0),MATCH(BH$5,其他调用!$H$4:$L$4,0))*50*0.4)</f>
        <v>0.72089599999999998</v>
      </c>
      <c r="BI14" s="14">
        <f>IF(OR(BI$5="大R",BI$5="超R"),0,INDEX(其他调用!$H$5:$L$404,MATCH($K14,其他调用!$B$5:$B$404,0),MATCH(BI$5,其他调用!$H$4:$L$4,0))*50*0.4)</f>
        <v>0</v>
      </c>
      <c r="BJ14" s="14">
        <f>IF(OR(BJ$5="大R",BJ$5="超R"),0,INDEX(其他调用!$H$5:$L$404,MATCH($K14,其他调用!$B$5:$B$404,0),MATCH(BJ$5,其他调用!$H$4:$L$4,0))*50*0.4)</f>
        <v>0</v>
      </c>
      <c r="BL14" s="14">
        <f t="shared" si="103"/>
        <v>9</v>
      </c>
      <c r="BM14" s="14">
        <f t="shared" si="10"/>
        <v>96</v>
      </c>
      <c r="BN14" s="14">
        <f>('疲劳值&amp;地图信息'!$S$10*'疲劳值&amp;地图信息'!$R$10+'疲劳值&amp;地图信息'!$S$11*'疲劳值&amp;地图信息'!$R$11+'疲劳值&amp;地图信息'!$S$12*'疲劳值&amp;地图信息'!$R$12+(BM14-'疲劳值&amp;地图信息'!$S$12-'疲劳值&amp;地图信息'!$S$11-'疲劳值&amp;地图信息'!$S$10)*'疲劳值&amp;地图信息'!$R$13)/BM14</f>
        <v>51.371477246638619</v>
      </c>
      <c r="BO14" s="14">
        <f>INDEX(其他调用!$M$5:$M$404,MATCH(BL14,其他调用!$B$5:$B$404,0))*0.6</f>
        <v>44.581818181818178</v>
      </c>
      <c r="BP14" s="14">
        <f>IF(BO14&gt;SUM('疲劳值&amp;地图信息'!$S$10:$S$12),('疲劳值&amp;地图信息'!$S$10*'疲劳值&amp;地图信息'!$R$10+'疲劳值&amp;地图信息'!$S$11*'疲劳值&amp;地图信息'!$R$11+'疲劳值&amp;地图信息'!$S$12*'疲劳值&amp;地图信息'!$R$12+(BO14-'疲劳值&amp;地图信息'!$S$12-'疲劳值&amp;地图信息'!$S$11-'疲劳值&amp;地图信息'!$S$10)*'疲劳值&amp;地图信息'!$R$13)/BO14,('疲劳值&amp;地图信息'!$S$10*'疲劳值&amp;地图信息'!$R$10+'疲劳值&amp;地图信息'!$S$11*'疲劳值&amp;地图信息'!$R$11+'疲劳值&amp;地图信息'!$S$12*'疲劳值&amp;地图信息'!$R$12+(BO14-'疲劳值&amp;地图信息'!$S$12-'疲劳值&amp;地图信息'!$S$11-'疲劳值&amp;地图信息'!$S$10)*'疲劳值&amp;地图信息'!$R$13)/BO14)</f>
        <v>37.505702314996149</v>
      </c>
      <c r="BQ14" s="14">
        <f t="shared" si="104"/>
        <v>20</v>
      </c>
      <c r="BR14" s="14">
        <f>('疲劳值&amp;地图信息'!$S$10*'疲劳值&amp;地图信息'!$R$10+($BQ14-'疲劳值&amp;地图信息'!$S$10)*'疲劳值&amp;地图信息'!$R$11)/$BQ14</f>
        <v>32.067203015074995</v>
      </c>
      <c r="BW14" s="14" t="s">
        <v>265</v>
      </c>
      <c r="BX14" s="14">
        <v>18000</v>
      </c>
      <c r="BY14" s="14">
        <v>500</v>
      </c>
      <c r="CF14" s="14">
        <v>9</v>
      </c>
      <c r="CG14" s="51">
        <f t="shared" si="11"/>
        <v>2597</v>
      </c>
      <c r="CH14" s="51">
        <f t="shared" si="12"/>
        <v>513</v>
      </c>
      <c r="CI14" s="51">
        <f>INT(SUMPRODUCT($N14:$R14,$BA14:$BE14)/SUM($BA14:$BE14)/10000*$BX$7*$BZ$34/'疲劳值&amp;地图信息'!$R$10*$BY$53)</f>
        <v>2108</v>
      </c>
      <c r="CJ14" s="50">
        <f t="shared" si="13"/>
        <v>0.49770026830203146</v>
      </c>
      <c r="CK14" s="50">
        <f t="shared" si="14"/>
        <v>9.8313530088156381E-2</v>
      </c>
      <c r="CL14" s="50">
        <f t="shared" si="15"/>
        <v>0.40398620160981219</v>
      </c>
      <c r="CM14" s="14">
        <f t="shared" si="16"/>
        <v>2752</v>
      </c>
      <c r="CN14" s="14">
        <f t="shared" si="17"/>
        <v>732</v>
      </c>
      <c r="CO14" s="14">
        <f>INT(SUMPRODUCT($U14:$Y14,$BA14:$BE14)/SUM($BA14:$BE14)/10000*$BX$7*$BZ$34/'疲劳值&amp;地图信息'!$R$10*$BY$54)</f>
        <v>3519</v>
      </c>
      <c r="CP14" s="50">
        <f t="shared" si="18"/>
        <v>0.39297443952591748</v>
      </c>
      <c r="CQ14" s="50">
        <f t="shared" si="19"/>
        <v>0.104526631443667</v>
      </c>
      <c r="CR14" s="50">
        <f t="shared" si="20"/>
        <v>0.50249892903041549</v>
      </c>
      <c r="CS14" s="14">
        <f t="shared" si="21"/>
        <v>2989</v>
      </c>
      <c r="CT14" s="14">
        <f t="shared" si="22"/>
        <v>1188</v>
      </c>
      <c r="CU14" s="14">
        <f>INT(SUMPRODUCT($AB14:$AF14,$BA14:$BE14)/SUM($BA14:$BE14)/10000*$BX$7*$BZ$34/'疲劳值&amp;地图信息'!$R$10*$BY$55)</f>
        <v>4769</v>
      </c>
      <c r="CV14" s="50">
        <f t="shared" si="23"/>
        <v>0.33411580594679186</v>
      </c>
      <c r="CW14" s="50">
        <f t="shared" si="24"/>
        <v>0.13279678068410464</v>
      </c>
      <c r="CX14" s="50">
        <f t="shared" si="25"/>
        <v>0.53308741336910348</v>
      </c>
      <c r="CY14" s="14">
        <f t="shared" si="26"/>
        <v>3361</v>
      </c>
      <c r="CZ14" s="14">
        <f t="shared" si="27"/>
        <v>2372</v>
      </c>
      <c r="DA14" s="14">
        <f>INT(SUMPRODUCT($AI14:$AM14,$BA14:$BE14)/SUM($BA14:$BE14)/10000*$BX$7*$BZ$34/'疲劳值&amp;地图信息'!$R$10*$BY$56)</f>
        <v>7177</v>
      </c>
      <c r="DB14" s="50">
        <f t="shared" si="28"/>
        <v>0.2603408210689388</v>
      </c>
      <c r="DC14" s="50">
        <f t="shared" si="29"/>
        <v>0.18373353989155694</v>
      </c>
      <c r="DD14" s="50">
        <f t="shared" si="30"/>
        <v>0.55592563903950432</v>
      </c>
      <c r="DE14" s="14">
        <f t="shared" si="31"/>
        <v>3483</v>
      </c>
      <c r="DF14" s="14">
        <f t="shared" si="32"/>
        <v>5587</v>
      </c>
      <c r="DG14" s="14">
        <f>INT(SUMPRODUCT($AP14:$AT14,$BA14:$BE14)/SUM($BA14:$BE14)/10000*$BX$7*$BZ$34/'疲劳值&amp;地图信息'!$R$10*$BY$57)</f>
        <v>9577</v>
      </c>
      <c r="DH14" s="50">
        <f t="shared" si="33"/>
        <v>0.18678607818952112</v>
      </c>
      <c r="DI14" s="50">
        <f t="shared" si="34"/>
        <v>0.2996192417010779</v>
      </c>
      <c r="DJ14" s="50">
        <f t="shared" si="35"/>
        <v>0.51359468010940101</v>
      </c>
      <c r="DL14" s="14">
        <f t="shared" si="0"/>
        <v>5218</v>
      </c>
      <c r="DM14" s="14">
        <f t="shared" si="1"/>
        <v>7003</v>
      </c>
      <c r="DN14" s="14">
        <f t="shared" si="2"/>
        <v>8946</v>
      </c>
      <c r="DO14" s="14">
        <f t="shared" si="3"/>
        <v>12910</v>
      </c>
      <c r="DP14" s="14">
        <f t="shared" si="4"/>
        <v>18647</v>
      </c>
      <c r="DQ14" s="14">
        <f t="shared" si="5"/>
        <v>264759</v>
      </c>
      <c r="DT14" s="14">
        <f t="shared" si="105"/>
        <v>235575</v>
      </c>
      <c r="DU14" s="50">
        <f t="shared" si="7"/>
        <v>0.4708354818980921</v>
      </c>
      <c r="DW14" s="14">
        <f t="shared" si="36"/>
        <v>500334</v>
      </c>
      <c r="EB14" s="14">
        <v>9</v>
      </c>
      <c r="EC14" s="51">
        <f t="shared" si="37"/>
        <v>4329</v>
      </c>
      <c r="ED14" s="51">
        <f t="shared" si="38"/>
        <v>855</v>
      </c>
      <c r="EE14" s="51">
        <f>INT(SUMPRODUCT($N14:$R14,$BF14:$BJ14)/SUM($BF14:$BJ14)/10000*$BX$7*$BZ$46/'疲劳值&amp;地图信息'!$R$10*$BY$53)</f>
        <v>282</v>
      </c>
      <c r="EF14" s="50">
        <f t="shared" si="39"/>
        <v>0.79198682766190998</v>
      </c>
      <c r="EG14" s="50">
        <f t="shared" si="40"/>
        <v>0.15642151481888036</v>
      </c>
      <c r="EH14" s="50">
        <f t="shared" si="41"/>
        <v>5.159165751920966E-2</v>
      </c>
      <c r="EI14" s="51">
        <f t="shared" si="42"/>
        <v>4587</v>
      </c>
      <c r="EJ14" s="51">
        <f t="shared" si="43"/>
        <v>1220</v>
      </c>
      <c r="EK14" s="14">
        <f>INT(SUMPRODUCT($U14:$Y14,$BF14:$BJ14)/SUM($BF14:$BJ14)/10000*$BX$7*$BZ$46/'疲劳值&amp;地图信息'!$R$10*$BY$54)</f>
        <v>471</v>
      </c>
      <c r="EL14" s="50">
        <f t="shared" si="44"/>
        <v>0.73064670277158328</v>
      </c>
      <c r="EM14" s="50">
        <f t="shared" si="45"/>
        <v>0.19432940426887543</v>
      </c>
      <c r="EN14" s="50">
        <f t="shared" si="46"/>
        <v>7.5023892959541261E-2</v>
      </c>
      <c r="EO14" s="51">
        <f t="shared" si="47"/>
        <v>4982</v>
      </c>
      <c r="EP14" s="51">
        <f t="shared" si="48"/>
        <v>1980</v>
      </c>
      <c r="EQ14" s="14">
        <f>INT(SUMPRODUCT($AB14:$AF14,$BF14:$BJ14)/SUM($BF14:$BJ14)/10000*$BX$7*$BZ$46/'疲劳值&amp;地图信息'!$R$10*$BY$55)</f>
        <v>637</v>
      </c>
      <c r="ER14" s="50">
        <f t="shared" si="49"/>
        <v>0.65561258060271088</v>
      </c>
      <c r="ES14" s="50">
        <f t="shared" si="50"/>
        <v>0.26056060007895776</v>
      </c>
      <c r="ET14" s="50">
        <f t="shared" si="51"/>
        <v>8.3826819318331358E-2</v>
      </c>
      <c r="EU14" s="51">
        <f t="shared" si="52"/>
        <v>5603</v>
      </c>
      <c r="EV14" s="51">
        <f t="shared" si="53"/>
        <v>3954</v>
      </c>
      <c r="EW14" s="14">
        <f>INT(SUMPRODUCT($AI14:$AM14,$BF14:$BJ14)/SUM($BF14:$BJ14)/10000*$BX$7*$BZ$46/'疲劳值&amp;地图信息'!$R$10*$BY$56)</f>
        <v>956</v>
      </c>
      <c r="EX14" s="50">
        <f t="shared" si="54"/>
        <v>0.53295919337962527</v>
      </c>
      <c r="EY14" s="50">
        <f t="shared" si="55"/>
        <v>0.3761057738038619</v>
      </c>
      <c r="EZ14" s="50">
        <f t="shared" si="56"/>
        <v>9.0935032816512884E-2</v>
      </c>
      <c r="FA14" s="51">
        <f t="shared" si="57"/>
        <v>5805</v>
      </c>
      <c r="FB14" s="51">
        <f t="shared" si="58"/>
        <v>9312</v>
      </c>
      <c r="FC14" s="14">
        <f>INT(SUMPRODUCT($AP14:$AT14,$BF14:$BJ14)/SUM($BF14:$BJ14)/10000*$BX$7*$BZ$46/'疲劳值&amp;地图信息'!$R$10*$BY$57)</f>
        <v>1275</v>
      </c>
      <c r="FD14" s="50">
        <f t="shared" si="59"/>
        <v>0.35413616398243047</v>
      </c>
      <c r="FE14" s="50">
        <f t="shared" si="60"/>
        <v>0.56808199121522696</v>
      </c>
      <c r="FF14" s="50">
        <f t="shared" si="61"/>
        <v>7.7781844802342612E-2</v>
      </c>
      <c r="FH14" s="14">
        <f t="shared" si="62"/>
        <v>5466</v>
      </c>
      <c r="FI14" s="14">
        <f t="shared" si="63"/>
        <v>6278</v>
      </c>
      <c r="FJ14" s="14">
        <f t="shared" si="64"/>
        <v>7599</v>
      </c>
      <c r="FK14" s="14">
        <f t="shared" si="65"/>
        <v>10513</v>
      </c>
      <c r="FL14" s="14">
        <f t="shared" si="66"/>
        <v>16392</v>
      </c>
      <c r="FM14" s="14">
        <f t="shared" si="67"/>
        <v>640628</v>
      </c>
      <c r="FP14" s="14">
        <f t="shared" si="68"/>
        <v>334150</v>
      </c>
      <c r="FQ14" s="50">
        <f t="shared" si="8"/>
        <v>0.34279600073042271</v>
      </c>
      <c r="FS14" s="14">
        <f t="shared" si="69"/>
        <v>974778</v>
      </c>
      <c r="FX14" s="14">
        <v>9</v>
      </c>
      <c r="FY14" s="51">
        <f t="shared" si="70"/>
        <v>6061</v>
      </c>
      <c r="FZ14" s="51">
        <f t="shared" si="71"/>
        <v>855</v>
      </c>
      <c r="GA14" s="51">
        <f>INT(SUMPRODUCT($N14:$R14,$BF14:$BJ14)/SUM($BF14:$BJ14)/10000*$BX$7*$BZ$46/'疲劳值&amp;地图信息'!$R$10*$BY$53)</f>
        <v>282</v>
      </c>
      <c r="GB14" s="50">
        <f t="shared" si="72"/>
        <v>0.84203945540427894</v>
      </c>
      <c r="GC14" s="50">
        <f t="shared" si="73"/>
        <v>0.11878299527646569</v>
      </c>
      <c r="GD14" s="50">
        <f t="shared" si="74"/>
        <v>3.917754931925535E-2</v>
      </c>
      <c r="GE14" s="51">
        <f t="shared" si="75"/>
        <v>6421</v>
      </c>
      <c r="GF14" s="51">
        <f t="shared" si="76"/>
        <v>1220</v>
      </c>
      <c r="GG14" s="14">
        <f>INT(SUMPRODUCT($U14:$Y14,$BF14:$BJ14)/SUM($BF14:$BJ14)/10000*$BX$7*$BZ$46/'疲劳值&amp;地图信息'!$R$10*$BY$54)</f>
        <v>471</v>
      </c>
      <c r="GH14" s="50">
        <f t="shared" si="77"/>
        <v>0.791543392504931</v>
      </c>
      <c r="GI14" s="50">
        <f t="shared" si="78"/>
        <v>0.15039447731755423</v>
      </c>
      <c r="GJ14" s="50">
        <f t="shared" si="79"/>
        <v>5.8062130177514791E-2</v>
      </c>
      <c r="GK14" s="51">
        <f t="shared" si="80"/>
        <v>6974</v>
      </c>
      <c r="GL14" s="51">
        <f t="shared" si="81"/>
        <v>1980</v>
      </c>
      <c r="GM14" s="14">
        <f>INT(SUMPRODUCT($AB14:$AF14,$BF14:$BJ14)/SUM($BF14:$BJ14)/10000*$BX$7*$BZ$46/'疲劳值&amp;地图信息'!$R$10*$BY$55)</f>
        <v>637</v>
      </c>
      <c r="GN14" s="50">
        <f t="shared" si="82"/>
        <v>0.72714002710874781</v>
      </c>
      <c r="GO14" s="50">
        <f t="shared" si="83"/>
        <v>0.2064435408195183</v>
      </c>
      <c r="GP14" s="50">
        <f t="shared" si="84"/>
        <v>6.6416432071733922E-2</v>
      </c>
      <c r="GQ14" s="51">
        <f t="shared" si="85"/>
        <v>7844</v>
      </c>
      <c r="GR14" s="51">
        <f t="shared" si="86"/>
        <v>3954</v>
      </c>
      <c r="GS14" s="14">
        <f>INT(SUMPRODUCT($AI14:$AM14,$BF14:$BJ14)/SUM($BF14:$BJ14)/10000*$BX$7*$BZ$46/'疲劳值&amp;地图信息'!$R$10*$BY$56)</f>
        <v>956</v>
      </c>
      <c r="GT14" s="50">
        <f t="shared" si="87"/>
        <v>0.61502273796456008</v>
      </c>
      <c r="GU14" s="50">
        <f t="shared" si="88"/>
        <v>0.31002038576132979</v>
      </c>
      <c r="GV14" s="50">
        <f t="shared" si="89"/>
        <v>7.4956876274110087E-2</v>
      </c>
      <c r="GW14" s="51">
        <f t="shared" si="90"/>
        <v>8127</v>
      </c>
      <c r="GX14" s="51">
        <f t="shared" si="91"/>
        <v>9312</v>
      </c>
      <c r="GY14" s="14">
        <f>INT(SUMPRODUCT($AP14:$AT14,$BF14:$BJ14)/SUM($BF14:$BJ14)/10000*$BX$7*$BZ$46/'疲劳值&amp;地图信息'!$R$10*$BY$57)</f>
        <v>1275</v>
      </c>
      <c r="GZ14" s="50">
        <f t="shared" si="92"/>
        <v>0.43427380570695734</v>
      </c>
      <c r="HA14" s="50">
        <f t="shared" si="93"/>
        <v>0.49759538313562041</v>
      </c>
      <c r="HB14" s="50">
        <f t="shared" si="94"/>
        <v>6.8130811157422255E-2</v>
      </c>
      <c r="HD14" s="14">
        <f t="shared" si="95"/>
        <v>7198</v>
      </c>
      <c r="HE14" s="14">
        <f t="shared" si="96"/>
        <v>8112</v>
      </c>
      <c r="HF14" s="14">
        <f t="shared" si="97"/>
        <v>9591</v>
      </c>
      <c r="HG14" s="14">
        <f t="shared" si="98"/>
        <v>12754</v>
      </c>
      <c r="HH14" s="14">
        <f t="shared" si="99"/>
        <v>18714</v>
      </c>
      <c r="HI14" s="14">
        <f t="shared" si="100"/>
        <v>829428</v>
      </c>
      <c r="HL14" s="14">
        <f t="shared" si="101"/>
        <v>430050</v>
      </c>
      <c r="HM14" s="50">
        <f t="shared" si="9"/>
        <v>0.3414509820735257</v>
      </c>
      <c r="HO14" s="14">
        <f t="shared" si="102"/>
        <v>1259478</v>
      </c>
    </row>
    <row r="15" spans="3:223" x14ac:dyDescent="0.2">
      <c r="K15" s="14">
        <v>10</v>
      </c>
      <c r="L15" s="12">
        <f>求节点(节奏总纲!D$4:D$163,标准城池设计!AB$4:AB$163,$K15)*求节点(节奏总纲!D$4:D$163,攻城基础信息!$AC$5:$AC$164,$K15)</f>
        <v>115772.96063230796</v>
      </c>
      <c r="M15" s="12">
        <f>INDEX(其他调用!$AA$5:$AA$404,MATCH(K15,其他调用!$X$5:$X$404,0))*MIN(INDEX(其他调用!$AH$5:$AH$364,MATCH('征服点（新）'!K15,其他调用!$AG$5:$AG$364,0),1)/INDEX(其他调用!$AJ$5:$AJ$364,MATCH(K15,其他调用!$AG$5:$AG$364,0),0),5)*求节点(节奏总纲!D$4:D$163,攻城基础信息!$AC$5:$AC$164,$K15)</f>
        <v>22651.210155870867</v>
      </c>
      <c r="N15" s="12">
        <f>MIN(INDEX(其他调用!$AH$5:$AH$364,MATCH($K15,其他调用!$AG$5:$AG$364,0),1)/INDEX(其他调用!AH$5:AH$364,MATCH($K15,其他调用!$AG$5:$AG$364,0),0),1)*INDEX(其他调用!Y$5:Y$404,MATCH($K15,其他调用!$X$5:$X$404,0),0)</f>
        <v>23716.611174702153</v>
      </c>
      <c r="O15" s="12">
        <f>MIN(INDEX(其他调用!$AH$5:$AH$364,MATCH($K15,其他调用!$AG$5:$AG$364,0),1)/INDEX(其他调用!AI$5:AI$364,MATCH($K15,其他调用!$AG$5:$AG$364,0),0),1)*INDEX(其他调用!Z$5:Z$404,MATCH($K15,其他调用!$X$5:$X$404,0),0)</f>
        <v>17163.153147765093</v>
      </c>
      <c r="P15" s="12">
        <f>MIN(INDEX(其他调用!$AH$5:$AH$364,MATCH($K15,其他调用!$AG$5:$AG$364,0),1)/INDEX(其他调用!AJ$5:AJ$364,MATCH($K15,其他调用!$AG$5:$AG$364,0),0),1)*INDEX(其他调用!AA$5:AA$404,MATCH($K15,其他调用!$X$5:$X$404,0),0)</f>
        <v>11404.30567009649</v>
      </c>
      <c r="Q15" s="12">
        <f>MIN(INDEX(其他调用!$AH$5:$AH$364,MATCH($K15,其他调用!$AG$5:$AG$364,0),1)/INDEX(其他调用!AK$5:AK$364,MATCH($K15,其他调用!$AG$5:$AG$364,0),0),1)*INDEX(其他调用!AB$5:AB$404,MATCH($K15,其他调用!$X$5:$X$404,0),0)</f>
        <v>6309.2277009923309</v>
      </c>
      <c r="R15" s="12">
        <f>MIN(INDEX(其他调用!$AH$5:$AH$364,MATCH($K15,其他调用!$AG$5:$AG$364,0),1)/INDEX(其他调用!AL$5:AL$364,MATCH($K15,其他调用!$AG$5:$AG$364,0),0),1)*INDEX(其他调用!AC$5:AC$404,MATCH($K15,其他调用!$X$5:$X$404,0),0)</f>
        <v>2910.0210758022758</v>
      </c>
      <c r="S15" s="12">
        <f>求节点(节奏总纲!D$4:D$163,标准城池设计!AC$4:AC$163,$K15)*求节点(节奏总纲!D$4:D$163,攻城基础信息!$AD$5:$AD$164,$K15)</f>
        <v>122906.45044809754</v>
      </c>
      <c r="T15" s="12">
        <f>INDEX(其他调用!$AA$5:$AA$404,MATCH($K15,其他调用!$X$5:$X$404,0))*MIN(INDEX(其他调用!AI$5:AI$364,MATCH($K15,其他调用!$AG$5:$AG$364,0),1)/INDEX(其他调用!$AJ$5:$AJ$364,MATCH($K15,其他调用!$AG$5:$AG$364,0),0),5)*求节点(节奏总纲!D$4:D$163,攻城基础信息!$AD$5:$AD$164,$K15)</f>
        <v>32628.102900522241</v>
      </c>
      <c r="U15" s="12">
        <f>MIN(INDEX(其他调用!$AI$5:$AI$364,MATCH($K15,其他调用!$AG$5:$AG$364,0),1)/INDEX(其他调用!AH$5:AH$364,MATCH($K15,其他调用!$AG$5:$AG$364,0),0),1)*INDEX(其他调用!Y$5:Y$404,MATCH($K15,其他调用!$X$5:$X$404,0),0)</f>
        <v>23716.611174702153</v>
      </c>
      <c r="V15" s="12">
        <f>MIN(INDEX(其他调用!$AI$5:$AI$364,MATCH($K15,其他调用!$AG$5:$AG$364,0),1)/INDEX(其他调用!AI$5:AI$364,MATCH($K15,其他调用!$AG$5:$AG$364,0),0),1)*INDEX(其他调用!Z$5:Z$404,MATCH($K15,其他调用!$X$5:$X$404,0),0)</f>
        <v>24722.790665449611</v>
      </c>
      <c r="W15" s="12">
        <f>MIN(INDEX(其他调用!$AI$5:$AI$364,MATCH($K15,其他调用!$AG$5:$AG$364,0),1)/INDEX(其他调用!AJ$5:AJ$364,MATCH($K15,其他调用!$AG$5:$AG$364,0),0),1)*INDEX(其他调用!AA$5:AA$404,MATCH($K15,其他调用!$X$5:$X$404,0),0)</f>
        <v>16427.416299277695</v>
      </c>
      <c r="X15" s="12">
        <f>MIN(INDEX(其他调用!$AI$5:$AI$364,MATCH($K15,其他调用!$AG$5:$AG$364,0),1)/INDEX(其他调用!AK$5:AK$364,MATCH($K15,其他调用!$AG$5:$AG$364,0),0),1)*INDEX(其他调用!AB$5:AB$404,MATCH($K15,其他调用!$X$5:$X$404,0),0)</f>
        <v>9088.1736222577783</v>
      </c>
      <c r="Y15" s="12">
        <f>MIN(INDEX(其他调用!$AI$5:$AI$364,MATCH($K15,其他调用!$AG$5:$AG$364,0),1)/INDEX(其他调用!AL$5:AL$364,MATCH($K15,其他调用!$AG$5:$AG$364,0),0),1)*INDEX(其他调用!AC$5:AC$404,MATCH($K15,其他调用!$X$5:$X$404,0),0)</f>
        <v>4191.761343018391</v>
      </c>
      <c r="Z15" s="12">
        <f>求节点(节奏总纲!D$4:D$163,标准城池设计!AD$4:AD$163,$K15)*求节点(节奏总纲!D$4:D$163,攻城基础信息!$AE$5:$AE$164,$K15)</f>
        <v>133957.68974634173</v>
      </c>
      <c r="AA15" s="12">
        <f>INDEX(其他调用!$AA$5:$AA$404,MATCH($K15,其他调用!$X$5:$X$404,0))*MIN(INDEX(其他调用!AJ$5:AJ$364,MATCH($K15,其他调用!$AG$5:$AG$364,0),1)/INDEX(其他调用!$AJ$5:$AJ$364,MATCH($K15,其他调用!$AG$5:$AG$364,0),0),5)*求节点(节奏总纲!D$4:D$163,攻城基础信息!$AE$5:$AE$164,$K15)</f>
        <v>51781.805749450599</v>
      </c>
      <c r="AB15" s="12">
        <f>MIN(INDEX(其他调用!$AJ$5:$AJ$364,MATCH($K15,其他调用!$AG$5:$AG$364,0),1)/INDEX(其他调用!AH$5:AH$364,MATCH($K15,其他调用!$AG$5:$AG$364,0),0),1)*INDEX(其他调用!Y$5:Y$404,MATCH($K15,其他调用!$X$5:$X$404,0),0)</f>
        <v>23716.611174702153</v>
      </c>
      <c r="AC15" s="12">
        <f>MIN(INDEX(其他调用!$AJ$5:$AJ$364,MATCH($K15,其他调用!$AG$5:$AG$364,0),1)/INDEX(其他调用!AI$5:AI$364,MATCH($K15,其他调用!$AG$5:$AG$364,0),0),1)*INDEX(其他调用!Z$5:Z$404,MATCH($K15,其他调用!$X$5:$X$404,0),0)</f>
        <v>24722.790665449611</v>
      </c>
      <c r="AD15" s="12">
        <f>MIN(INDEX(其他调用!$AJ$5:$AJ$364,MATCH($K15,其他调用!$AG$5:$AG$364,0),1)/INDEX(其他调用!AJ$5:AJ$364,MATCH($K15,其他调用!$AG$5:$AG$364,0),0),1)*INDEX(其他调用!AA$5:AA$404,MATCH($K15,其他调用!$X$5:$X$404,0),0)</f>
        <v>26070.816386966246</v>
      </c>
      <c r="AE15" s="12">
        <f>MIN(INDEX(其他调用!$AJ$5:$AJ$364,MATCH($K15,其他调用!$AG$5:$AG$364,0),1)/INDEX(其他调用!AK$5:AK$364,MATCH($K15,其他调用!$AG$5:$AG$364,0),0),1)*INDEX(其他调用!AB$5:AB$404,MATCH($K15,其他调用!$X$5:$X$404,0),0)</f>
        <v>14423.211872287577</v>
      </c>
      <c r="AF15" s="12">
        <f>MIN(INDEX(其他调用!$AJ$5:$AJ$364,MATCH($K15,其他调用!$AG$5:$AG$364,0),1)/INDEX(其他调用!AL$5:AL$364,MATCH($K15,其他调用!$AG$5:$AG$364,0),0),1)*INDEX(其他调用!AC$5:AC$404,MATCH($K15,其他调用!$X$5:$X$404,0),0)</f>
        <v>6652.4545504225534</v>
      </c>
      <c r="AG15" s="12">
        <f>求节点(节奏总纲!D$4:D$163,标准城池设计!AE$4:AE$163,$K15)*求节点(节奏总纲!D$4:D$163,攻城基础信息!$AF$5:$AF$164,$K15)</f>
        <v>150882.71350462874</v>
      </c>
      <c r="AH15" s="12">
        <f>INDEX(其他调用!$AA$5:$AA$404,MATCH($K15,其他调用!$X$5:$X$404,0))*MIN(INDEX(其他调用!AK$5:AK$364,MATCH($K15,其他调用!$AG$5:$AG$364,0),1)/INDEX(其他调用!$AJ$5:$AJ$364,MATCH($K15,其他调用!$AG$5:$AG$364,0),0),5)*求节点(节奏总纲!D$4:D$163,攻城基础信息!$AF$5:$AF$164,$K15)</f>
        <v>100617.44703755662</v>
      </c>
      <c r="AI15" s="12">
        <f>MIN(INDEX(其他调用!$AK$5:$AK$364,MATCH($K15,其他调用!$AG$5:$AG$364,0),1)/INDEX(其他调用!AH$5:AH$364,MATCH($K15,其他调用!$AG$5:$AG$364,0),0),1)*INDEX(其他调用!Y$5:Y$404,MATCH($K15,其他调用!$X$5:$X$404,0),0)</f>
        <v>23716.611174702153</v>
      </c>
      <c r="AJ15" s="12">
        <f>MIN(INDEX(其他调用!$AK$5:$AK$364,MATCH($K15,其他调用!$AG$5:$AG$364,0),1)/INDEX(其他调用!AI$5:AI$364,MATCH($K15,其他调用!$AG$5:$AG$364,0),0),1)*INDEX(其他调用!Z$5:Z$404,MATCH($K15,其他调用!$X$5:$X$404,0),0)</f>
        <v>24722.790665449611</v>
      </c>
      <c r="AK15" s="12">
        <f>MIN(INDEX(其他调用!$AK$5:$AK$364,MATCH($K15,其他调用!$AG$5:$AG$364,0),1)/INDEX(其他调用!AJ$5:AJ$364,MATCH($K15,其他调用!$AG$5:$AG$364,0),0),1)*INDEX(其他调用!AA$5:AA$404,MATCH($K15,其他调用!$X$5:$X$404,0),0)</f>
        <v>26070.816386966246</v>
      </c>
      <c r="AL15" s="12">
        <f>MIN(INDEX(其他调用!$AK$5:$AK$364,MATCH($K15,其他调用!$AG$5:$AG$364,0),1)/INDEX(其他调用!AK$5:AK$364,MATCH($K15,其他调用!$AG$5:$AG$364,0),0),1)*INDEX(其他调用!AB$5:AB$404,MATCH($K15,其他调用!$X$5:$X$404,0),0)</f>
        <v>28025.804347055837</v>
      </c>
      <c r="AM15" s="12">
        <f>MIN(INDEX(其他调用!$AK$5:$AK$364,MATCH($K15,其他调用!$AG$5:$AG$364,0),1)/INDEX(其他调用!AL$5:AL$364,MATCH($K15,其他调用!$AG$5:$AG$364,0),0),1)*INDEX(其他调用!AC$5:AC$404,MATCH($K15,其他调用!$X$5:$X$404,0),0)</f>
        <v>12926.412737238228</v>
      </c>
      <c r="AN15" s="12">
        <f>求节点(节奏总纲!D$4:D$163,标准城池设计!AF$4:AF$163,$K15)*求节点(节奏总纲!D$4:D$163,攻城基础信息!$AG$5:$AG$164,$K15)</f>
        <v>156015.08264605328</v>
      </c>
      <c r="AO15" s="12">
        <f>INDEX(其他调用!$AA$5:$AA$404,MATCH($K15,其他调用!$X$5:$X$404,0))*MIN(INDEX(其他调用!AL$5:AL$364,MATCH($K15,其他调用!$AG$5:$AG$364,0),1)/INDEX(其他调用!$AJ$5:$AJ$364,MATCH($K15,其他调用!$AG$5:$AG$364,0),0),5)*求节点(节奏总纲!D$4:D$163,攻城基础信息!$AG$5:$AG$164,$K15)</f>
        <v>245801.2023963666</v>
      </c>
      <c r="AP15" s="12">
        <f>MIN(INDEX(其他调用!$AL$5:$AL$364,MATCH($K15,其他调用!$AG$5:$AG$364,0),1)/INDEX(其他调用!AH$5:AH$364,MATCH($K15,其他调用!$AG$5:$AG$364,0),0),1)*INDEX(其他调用!Y$5:Y$404,MATCH($K15,其他调用!$X$5:$X$404,0),0)</f>
        <v>23716.611174702153</v>
      </c>
      <c r="AQ15" s="12">
        <f>MIN(INDEX(其他调用!$AL$5:$AL$364,MATCH($K15,其他调用!$AG$5:$AG$364,0),1)/INDEX(其他调用!AI$5:AI$364,MATCH($K15,其他调用!$AG$5:$AG$364,0),0),1)*INDEX(其他调用!Z$5:Z$404,MATCH($K15,其他调用!$X$5:$X$404,0),0)</f>
        <v>24722.790665449611</v>
      </c>
      <c r="AR15" s="12">
        <f>MIN(INDEX(其他调用!$AL$5:$AL$364,MATCH($K15,其他调用!$AG$5:$AG$364,0),1)/INDEX(其他调用!AJ$5:AJ$364,MATCH($K15,其他调用!$AG$5:$AG$364,0),0),1)*INDEX(其他调用!AA$5:AA$404,MATCH($K15,其他调用!$X$5:$X$404,0),0)</f>
        <v>26070.816386966246</v>
      </c>
      <c r="AS15" s="12">
        <f>MIN(INDEX(其他调用!$AL$5:$AL$364,MATCH($K15,其他调用!$AG$5:$AG$364,0),1)/INDEX(其他调用!AK$5:AK$364,MATCH($K15,其他调用!$AG$5:$AG$364,0),0),1)*INDEX(其他调用!AB$5:AB$404,MATCH($K15,其他调用!$X$5:$X$404,0),0)</f>
        <v>28025.804347055837</v>
      </c>
      <c r="AT15" s="12">
        <f>MIN(INDEX(其他调用!$AL$5:$AL$364,MATCH($K15,其他调用!$AG$5:$AG$364,0),1)/INDEX(其他调用!AL$5:AL$364,MATCH($K15,其他调用!$AG$5:$AG$364,0),0),1)*INDEX(其他调用!AC$5:AC$404,MATCH($K15,其他调用!$X$5:$X$404,0),0)</f>
        <v>31578.298665229406</v>
      </c>
      <c r="AV15" s="14">
        <f>IF(OR(AV$5="大R",AV$5="超R"),MAX(INDEX(其他调用!$H$5:$L$404,MATCH($K15,其他调用!$B$5:$B$404,0),MATCH(AV$5,其他调用!$H$4:$L$4,0))*120*0.85,2),INDEX(其他调用!$H$5:$L$404,MATCH($K15,其他调用!$B$5:$B$404,0),MATCH(AV$5,其他调用!$H$4:$L$4,0))*120*0.85)</f>
        <v>66.026527710430514</v>
      </c>
      <c r="AW15" s="14">
        <f>IF(OR(AW$5="大R",AW$5="超R"),MAX(INDEX(其他调用!$H$5:$L$404,MATCH($K15,其他调用!$B$5:$B$404,0),MATCH(AW$5,其他调用!$H$4:$L$4,0))*120*0.85,2),INDEX(其他调用!$H$5:$L$404,MATCH($K15,其他调用!$B$5:$B$404,0),MATCH(AW$5,其他调用!$H$4:$L$4,0))*120*0.85)</f>
        <v>31.665132175283766</v>
      </c>
      <c r="AX15" s="14">
        <f>IF(OR(AX$5="大R",AX$5="超R"),MAX(INDEX(其他调用!$H$5:$L$404,MATCH($K15,其他调用!$B$5:$B$404,0),MATCH(AX$5,其他调用!$H$4:$L$4,0))*120*0.85,2),INDEX(其他调用!$H$5:$L$404,MATCH($K15,其他调用!$B$5:$B$404,0),MATCH(AX$5,其他调用!$H$4:$L$4,0))*120*0.85)</f>
        <v>3.6870143999999994</v>
      </c>
      <c r="AY15" s="14">
        <f>IF(OR(AY$5="大R",AY$5="超R"),MAX(INDEX(其他调用!$H$5:$L$404,MATCH($K15,其他调用!$B$5:$B$404,0),MATCH(AY$5,其他调用!$H$4:$L$4,0))*120*0.85,2),INDEX(其他调用!$H$5:$L$404,MATCH($K15,其他调用!$B$5:$B$404,0),MATCH(AY$5,其他调用!$H$4:$L$4,0))*120*0.85)</f>
        <v>2</v>
      </c>
      <c r="AZ15" s="14">
        <f>IF(OR(AZ$5="大R",AZ$5="超R"),MAX(INDEX(其他调用!$H$5:$L$404,MATCH($K15,其他调用!$B$5:$B$404,0),MATCH(AZ$5,其他调用!$H$4:$L$4,0))*120*0.85,2),INDEX(其他调用!$H$5:$L$404,MATCH($K15,其他调用!$B$5:$B$404,0),MATCH(AZ$5,其他调用!$H$4:$L$4,0))*120*0.85)</f>
        <v>2</v>
      </c>
      <c r="BA15" s="14">
        <f>INDEX(其他调用!$H$5:$L$404,MATCH($K15,其他调用!$B$5:$B$404,0),MATCH(BA$5,其他调用!$H$4:$L$4,0))*INDEX(其他调用!$M$5:$M$404,MATCH($K15,其他调用!$B$5:$B$404,0))*0.6</f>
        <v>29.152889329543029</v>
      </c>
      <c r="BB15" s="14">
        <f>INDEX(其他调用!$H$5:$L$404,MATCH($K15,其他调用!$B$5:$B$404,0),MATCH(BB$5,其他调用!$H$4:$L$4,0))*INDEX(其他调用!$M$5:$M$404,MATCH($K15,其他调用!$B$5:$B$404,0))*0.6</f>
        <v>13.981200070976451</v>
      </c>
      <c r="BC15" s="14">
        <f>INDEX(其他调用!$H$5:$L$404,MATCH($K15,其他调用!$B$5:$B$404,0),MATCH(BC$5,其他调用!$H$4:$L$4,0))*INDEX(其他调用!$M$5:$M$404,MATCH($K15,其他调用!$B$5:$B$404,0))*0.6</f>
        <v>1.6279384436363635</v>
      </c>
      <c r="BD15" s="14">
        <f>INDEX(其他调用!$H$5:$L$404,MATCH($K15,其他调用!$B$5:$B$404,0),MATCH(BD$5,其他调用!$H$4:$L$4,0))*INDEX(其他调用!$M$5:$M$404,MATCH($K15,其他调用!$B$5:$B$404,0))*0.6</f>
        <v>0.22543916883116885</v>
      </c>
      <c r="BE15" s="14">
        <f>INDEX(其他调用!$H$5:$L$404,MATCH($K15,其他调用!$B$5:$B$404,0),MATCH(BE$5,其他调用!$H$4:$L$4,0))*INDEX(其他调用!$M$5:$M$404,MATCH($K15,其他调用!$B$5:$B$404,0))*0.6</f>
        <v>4.8896623376623378E-2</v>
      </c>
      <c r="BF15" s="14">
        <f>IF(OR(BF$5="大R",BF$5="超R"),0,INDEX(其他调用!$H$5:$L$404,MATCH($K15,其他调用!$B$5:$B$404,0),MATCH(BF$5,其他调用!$H$4:$L$4,0))*50*0.4)</f>
        <v>12.946377982437355</v>
      </c>
      <c r="BG15" s="14">
        <f>IF(OR(BG$5="大R",BG$5="超R"),0,INDEX(其他调用!$H$5:$L$404,MATCH($K15,其他调用!$B$5:$B$404,0),MATCH(BG$5,其他调用!$H$4:$L$4,0))*50*0.4)</f>
        <v>6.2088494461340717</v>
      </c>
      <c r="BH15" s="14">
        <f>IF(OR(BH$5="大R",BH$5="超R"),0,INDEX(其他调用!$H$5:$L$404,MATCH($K15,其他调用!$B$5:$B$404,0),MATCH(BH$5,其他调用!$H$4:$L$4,0))*50*0.4)</f>
        <v>0.72294400000000003</v>
      </c>
      <c r="BI15" s="14">
        <f>IF(OR(BI$5="大R",BI$5="超R"),0,INDEX(其他调用!$H$5:$L$404,MATCH($K15,其他调用!$B$5:$B$404,0),MATCH(BI$5,其他调用!$H$4:$L$4,0))*50*0.4)</f>
        <v>0</v>
      </c>
      <c r="BJ15" s="14">
        <f>IF(OR(BJ$5="大R",BJ$5="超R"),0,INDEX(其他调用!$H$5:$L$404,MATCH($K15,其他调用!$B$5:$B$404,0),MATCH(BJ$5,其他调用!$H$4:$L$4,0))*50*0.4)</f>
        <v>0</v>
      </c>
      <c r="BL15" s="14">
        <f t="shared" si="103"/>
        <v>10</v>
      </c>
      <c r="BM15" s="14">
        <f t="shared" si="10"/>
        <v>96</v>
      </c>
      <c r="BN15" s="14">
        <f>('疲劳值&amp;地图信息'!$S$10*'疲劳值&amp;地图信息'!$R$10+'疲劳值&amp;地图信息'!$S$11*'疲劳值&amp;地图信息'!$R$11+'疲劳值&amp;地图信息'!$S$12*'疲劳值&amp;地图信息'!$R$12+(BM15-'疲劳值&amp;地图信息'!$S$12-'疲劳值&amp;地图信息'!$S$11-'疲劳值&amp;地图信息'!$S$10)*'疲劳值&amp;地图信息'!$R$13)/BM15</f>
        <v>51.371477246638619</v>
      </c>
      <c r="BO15" s="14">
        <f>INDEX(其他调用!$M$5:$M$404,MATCH(BL15,其他调用!$B$5:$B$404,0))*0.6</f>
        <v>45.036363636363639</v>
      </c>
      <c r="BP15" s="14">
        <f>IF(BO15&gt;SUM('疲劳值&amp;地图信息'!$S$10:$S$12),('疲劳值&amp;地图信息'!$S$10*'疲劳值&amp;地图信息'!$R$10+'疲劳值&amp;地图信息'!$S$11*'疲劳值&amp;地图信息'!$R$11+'疲劳值&amp;地图信息'!$S$12*'疲劳值&amp;地图信息'!$R$12+(BO15-'疲劳值&amp;地图信息'!$S$12-'疲劳值&amp;地图信息'!$S$11-'疲劳值&amp;地图信息'!$S$10)*'疲劳值&amp;地图信息'!$R$13)/BO15,('疲劳值&amp;地图信息'!$S$10*'疲劳值&amp;地图信息'!$R$10+'疲劳值&amp;地图信息'!$S$11*'疲劳值&amp;地图信息'!$R$11+'疲劳值&amp;地图信息'!$S$12*'疲劳值&amp;地图信息'!$R$12+(BO15-'疲劳值&amp;地图信息'!$S$12-'疲劳值&amp;地图信息'!$S$11-'疲劳值&amp;地图信息'!$S$10)*'疲劳值&amp;地图信息'!$R$13)/BO15)</f>
        <v>37.76698622469906</v>
      </c>
      <c r="BQ15" s="14">
        <f t="shared" si="104"/>
        <v>20</v>
      </c>
      <c r="BR15" s="14">
        <f>('疲劳值&amp;地图信息'!$S$10*'疲劳值&amp;地图信息'!$R$10+($BQ15-'疲劳值&amp;地图信息'!$S$10)*'疲劳值&amp;地图信息'!$R$11)/$BQ15</f>
        <v>32.067203015074995</v>
      </c>
      <c r="BW15" s="14" t="s">
        <v>266</v>
      </c>
      <c r="BX15" s="14">
        <v>18000</v>
      </c>
      <c r="BY15" s="14">
        <v>500</v>
      </c>
      <c r="CF15" s="14">
        <v>10</v>
      </c>
      <c r="CG15" s="51">
        <f t="shared" si="11"/>
        <v>2758</v>
      </c>
      <c r="CH15" s="51">
        <f t="shared" si="12"/>
        <v>539</v>
      </c>
      <c r="CI15" s="51">
        <f>INT(SUMPRODUCT($N15:$R15,$BA15:$BE15)/SUM($BA15:$BE15)/10000*$BX$7*$BZ$34/'疲劳值&amp;地图信息'!$R$10*$BY$53)</f>
        <v>2143</v>
      </c>
      <c r="CJ15" s="50">
        <f t="shared" si="13"/>
        <v>0.50698529411764703</v>
      </c>
      <c r="CK15" s="50">
        <f t="shared" si="14"/>
        <v>9.9080882352941171E-2</v>
      </c>
      <c r="CL15" s="50">
        <f t="shared" si="15"/>
        <v>0.39393382352941175</v>
      </c>
      <c r="CM15" s="14">
        <f t="shared" si="16"/>
        <v>2928</v>
      </c>
      <c r="CN15" s="14">
        <f t="shared" si="17"/>
        <v>777</v>
      </c>
      <c r="CO15" s="14">
        <f>INT(SUMPRODUCT($U15:$Y15,$BA15:$BE15)/SUM($BA15:$BE15)/10000*$BX$7*$BZ$34/'疲劳值&amp;地图信息'!$R$10*$BY$54)</f>
        <v>3602</v>
      </c>
      <c r="CP15" s="50">
        <f t="shared" si="18"/>
        <v>0.40071164636649786</v>
      </c>
      <c r="CQ15" s="50">
        <f t="shared" si="19"/>
        <v>0.10633638976324072</v>
      </c>
      <c r="CR15" s="50">
        <f t="shared" si="20"/>
        <v>0.49295196387026141</v>
      </c>
      <c r="CS15" s="14">
        <f t="shared" si="21"/>
        <v>3192</v>
      </c>
      <c r="CT15" s="14">
        <f t="shared" si="22"/>
        <v>1233</v>
      </c>
      <c r="CU15" s="14">
        <f>INT(SUMPRODUCT($AB15:$AF15,$BA15:$BE15)/SUM($BA15:$BE15)/10000*$BX$7*$BZ$34/'疲劳值&amp;地图信息'!$R$10*$BY$55)</f>
        <v>4880</v>
      </c>
      <c r="CV15" s="50">
        <f t="shared" si="23"/>
        <v>0.3430413756045137</v>
      </c>
      <c r="CW15" s="50">
        <f t="shared" si="24"/>
        <v>0.13250940354648039</v>
      </c>
      <c r="CX15" s="50">
        <f t="shared" si="25"/>
        <v>0.52444922084900591</v>
      </c>
      <c r="CY15" s="14">
        <f t="shared" si="26"/>
        <v>3595</v>
      </c>
      <c r="CZ15" s="14">
        <f t="shared" si="27"/>
        <v>2397</v>
      </c>
      <c r="DA15" s="14">
        <f>INT(SUMPRODUCT($AI15:$AM15,$BA15:$BE15)/SUM($BA15:$BE15)/10000*$BX$7*$BZ$34/'疲劳值&amp;地图信息'!$R$10*$BY$56)</f>
        <v>7343</v>
      </c>
      <c r="DB15" s="50">
        <f t="shared" si="28"/>
        <v>0.26959130108736407</v>
      </c>
      <c r="DC15" s="50">
        <f t="shared" si="29"/>
        <v>0.1797525309336333</v>
      </c>
      <c r="DD15" s="50">
        <f t="shared" si="30"/>
        <v>0.55065616797900263</v>
      </c>
      <c r="DE15" s="14">
        <f t="shared" si="31"/>
        <v>3717</v>
      </c>
      <c r="DF15" s="14">
        <f t="shared" si="32"/>
        <v>5857</v>
      </c>
      <c r="DG15" s="14">
        <f>INT(SUMPRODUCT($AP15:$AT15,$BA15:$BE15)/SUM($BA15:$BE15)/10000*$BX$7*$BZ$34/'疲劳值&amp;地图信息'!$R$10*$BY$57)</f>
        <v>9799</v>
      </c>
      <c r="DH15" s="50">
        <f t="shared" si="33"/>
        <v>0.19186496670624065</v>
      </c>
      <c r="DI15" s="50">
        <f t="shared" si="34"/>
        <v>0.30232798224332835</v>
      </c>
      <c r="DJ15" s="50">
        <f t="shared" si="35"/>
        <v>0.505807051050431</v>
      </c>
      <c r="DL15" s="14">
        <f t="shared" ref="DL15:DL78" si="106">SUM(CG15:CI15)</f>
        <v>5440</v>
      </c>
      <c r="DM15" s="14">
        <f t="shared" ref="DM15:DM78" si="107">SUM(CM15:CO15)</f>
        <v>7307</v>
      </c>
      <c r="DN15" s="14">
        <f t="shared" ref="DN15:DN78" si="108">SUM(CS15:CU15)</f>
        <v>9305</v>
      </c>
      <c r="DO15" s="14">
        <f t="shared" ref="DO15:DO78" si="109">SUM(CY15:DA15)</f>
        <v>13335</v>
      </c>
      <c r="DP15" s="14">
        <f t="shared" ref="DP15:DP78" si="110">SUM(DE15:DG15)</f>
        <v>19373</v>
      </c>
      <c r="DQ15" s="14">
        <f t="shared" ref="DQ15:DQ78" si="111">INT(SUMPRODUCT(DL15:DP15,$BA15:$BE15))</f>
        <v>279853</v>
      </c>
      <c r="DT15" s="14">
        <f t="shared" si="105"/>
        <v>235575</v>
      </c>
      <c r="DU15" s="50">
        <f t="shared" si="7"/>
        <v>0.45704734705914307</v>
      </c>
      <c r="DW15" s="14">
        <f t="shared" si="36"/>
        <v>515428</v>
      </c>
      <c r="EB15" s="14">
        <v>10</v>
      </c>
      <c r="EC15" s="51">
        <f t="shared" si="37"/>
        <v>4598</v>
      </c>
      <c r="ED15" s="51">
        <f t="shared" si="38"/>
        <v>899</v>
      </c>
      <c r="EE15" s="51">
        <f>INT(SUMPRODUCT($N15:$R15,$BF15:$BJ15)/SUM($BF15:$BJ15)/10000*$BX$7*$BZ$46/'疲劳值&amp;地图信息'!$R$10*$BY$53)</f>
        <v>287</v>
      </c>
      <c r="EF15" s="50">
        <f t="shared" si="39"/>
        <v>0.79495159059474407</v>
      </c>
      <c r="EG15" s="50">
        <f t="shared" si="40"/>
        <v>0.15542876901798064</v>
      </c>
      <c r="EH15" s="50">
        <f t="shared" si="41"/>
        <v>4.9619640387275239E-2</v>
      </c>
      <c r="EI15" s="51">
        <f t="shared" si="42"/>
        <v>4881</v>
      </c>
      <c r="EJ15" s="51">
        <f t="shared" si="43"/>
        <v>1295</v>
      </c>
      <c r="EK15" s="14">
        <f>INT(SUMPRODUCT($U15:$Y15,$BF15:$BJ15)/SUM($BF15:$BJ15)/10000*$BX$7*$BZ$46/'疲劳值&amp;地图信息'!$R$10*$BY$54)</f>
        <v>482</v>
      </c>
      <c r="EL15" s="50">
        <f t="shared" si="44"/>
        <v>0.73310303394412735</v>
      </c>
      <c r="EM15" s="50">
        <f t="shared" si="45"/>
        <v>0.19450285370982276</v>
      </c>
      <c r="EN15" s="50">
        <f t="shared" si="46"/>
        <v>7.2394112346049866E-2</v>
      </c>
      <c r="EO15" s="51">
        <f t="shared" si="47"/>
        <v>5320</v>
      </c>
      <c r="EP15" s="51">
        <f t="shared" si="48"/>
        <v>2056</v>
      </c>
      <c r="EQ15" s="14">
        <f>INT(SUMPRODUCT($AB15:$AF15,$BF15:$BJ15)/SUM($BF15:$BJ15)/10000*$BX$7*$BZ$46/'疲劳值&amp;地图信息'!$R$10*$BY$55)</f>
        <v>652</v>
      </c>
      <c r="ER15" s="50">
        <f t="shared" si="49"/>
        <v>0.66268061783756849</v>
      </c>
      <c r="ES15" s="50">
        <f t="shared" si="50"/>
        <v>0.25610363726955654</v>
      </c>
      <c r="ET15" s="50">
        <f t="shared" si="51"/>
        <v>8.1215744892874933E-2</v>
      </c>
      <c r="EU15" s="51">
        <f t="shared" si="52"/>
        <v>5992</v>
      </c>
      <c r="EV15" s="51">
        <f t="shared" si="53"/>
        <v>3996</v>
      </c>
      <c r="EW15" s="14">
        <f>INT(SUMPRODUCT($AI15:$AM15,$BF15:$BJ15)/SUM($BF15:$BJ15)/10000*$BX$7*$BZ$46/'疲劳值&amp;地图信息'!$R$10*$BY$56)</f>
        <v>978</v>
      </c>
      <c r="EX15" s="50">
        <f t="shared" si="54"/>
        <v>0.54641619551340503</v>
      </c>
      <c r="EY15" s="50">
        <f t="shared" si="55"/>
        <v>0.36439905161407987</v>
      </c>
      <c r="EZ15" s="50">
        <f t="shared" si="56"/>
        <v>8.9184752872515052E-2</v>
      </c>
      <c r="FA15" s="51">
        <f t="shared" si="57"/>
        <v>6196</v>
      </c>
      <c r="FB15" s="51">
        <f t="shared" si="58"/>
        <v>9762</v>
      </c>
      <c r="FC15" s="14">
        <f>INT(SUMPRODUCT($AP15:$AT15,$BF15:$BJ15)/SUM($BF15:$BJ15)/10000*$BX$7*$BZ$46/'疲劳值&amp;地图信息'!$R$10*$BY$57)</f>
        <v>1305</v>
      </c>
      <c r="FD15" s="50">
        <f t="shared" si="59"/>
        <v>0.35891791693216707</v>
      </c>
      <c r="FE15" s="50">
        <f t="shared" si="60"/>
        <v>0.56548687945316578</v>
      </c>
      <c r="FF15" s="50">
        <f t="shared" si="61"/>
        <v>7.5595203614667206E-2</v>
      </c>
      <c r="FH15" s="14">
        <f t="shared" si="62"/>
        <v>5784</v>
      </c>
      <c r="FI15" s="14">
        <f t="shared" si="63"/>
        <v>6658</v>
      </c>
      <c r="FJ15" s="14">
        <f t="shared" si="64"/>
        <v>8028</v>
      </c>
      <c r="FK15" s="14">
        <f t="shared" si="65"/>
        <v>10966</v>
      </c>
      <c r="FL15" s="14">
        <f t="shared" si="66"/>
        <v>17263</v>
      </c>
      <c r="FM15" s="14">
        <f t="shared" si="67"/>
        <v>678781</v>
      </c>
      <c r="FP15" s="14">
        <f t="shared" si="68"/>
        <v>334150</v>
      </c>
      <c r="FQ15" s="50">
        <f t="shared" si="8"/>
        <v>0.32988426654925163</v>
      </c>
      <c r="FS15" s="14">
        <f t="shared" si="69"/>
        <v>1012931</v>
      </c>
      <c r="FX15" s="14">
        <v>10</v>
      </c>
      <c r="FY15" s="51">
        <f t="shared" si="70"/>
        <v>6437</v>
      </c>
      <c r="FZ15" s="51">
        <f t="shared" si="71"/>
        <v>899</v>
      </c>
      <c r="GA15" s="51">
        <f>INT(SUMPRODUCT($N15:$R15,$BF15:$BJ15)/SUM($BF15:$BJ15)/10000*$BX$7*$BZ$46/'疲劳值&amp;地图信息'!$R$10*$BY$53)</f>
        <v>287</v>
      </c>
      <c r="GB15" s="50">
        <f t="shared" si="72"/>
        <v>0.84441820805457168</v>
      </c>
      <c r="GC15" s="50">
        <f t="shared" si="73"/>
        <v>0.11793257247802702</v>
      </c>
      <c r="GD15" s="50">
        <f t="shared" si="74"/>
        <v>3.7649219467401289E-2</v>
      </c>
      <c r="GE15" s="51">
        <f t="shared" si="75"/>
        <v>6834</v>
      </c>
      <c r="GF15" s="51">
        <f t="shared" si="76"/>
        <v>1295</v>
      </c>
      <c r="GG15" s="14">
        <f>INT(SUMPRODUCT($U15:$Y15,$BF15:$BJ15)/SUM($BF15:$BJ15)/10000*$BX$7*$BZ$46/'疲劳值&amp;地图信息'!$R$10*$BY$54)</f>
        <v>482</v>
      </c>
      <c r="GH15" s="50">
        <f t="shared" si="77"/>
        <v>0.79363604691673439</v>
      </c>
      <c r="GI15" s="50">
        <f t="shared" si="78"/>
        <v>0.15038903727790037</v>
      </c>
      <c r="GJ15" s="50">
        <f t="shared" si="79"/>
        <v>5.5974915805365233E-2</v>
      </c>
      <c r="GK15" s="51">
        <f t="shared" si="80"/>
        <v>7448</v>
      </c>
      <c r="GL15" s="51">
        <f t="shared" si="81"/>
        <v>2056</v>
      </c>
      <c r="GM15" s="14">
        <f>INT(SUMPRODUCT($AB15:$AF15,$BF15:$BJ15)/SUM($BF15:$BJ15)/10000*$BX$7*$BZ$46/'疲劳值&amp;地图信息'!$R$10*$BY$55)</f>
        <v>652</v>
      </c>
      <c r="GN15" s="50">
        <f t="shared" si="82"/>
        <v>0.73335959038991727</v>
      </c>
      <c r="GO15" s="50">
        <f t="shared" si="83"/>
        <v>0.20244190626230799</v>
      </c>
      <c r="GP15" s="50">
        <f t="shared" si="84"/>
        <v>6.4198503347774716E-2</v>
      </c>
      <c r="GQ15" s="51">
        <f t="shared" si="85"/>
        <v>8389</v>
      </c>
      <c r="GR15" s="51">
        <f t="shared" si="86"/>
        <v>3996</v>
      </c>
      <c r="GS15" s="14">
        <f>INT(SUMPRODUCT($AI15:$AM15,$BF15:$BJ15)/SUM($BF15:$BJ15)/10000*$BX$7*$BZ$46/'疲劳值&amp;地图信息'!$R$10*$BY$56)</f>
        <v>978</v>
      </c>
      <c r="GT15" s="50">
        <f t="shared" si="87"/>
        <v>0.62777819351941933</v>
      </c>
      <c r="GU15" s="50">
        <f t="shared" si="88"/>
        <v>0.29903464790840378</v>
      </c>
      <c r="GV15" s="50">
        <f t="shared" si="89"/>
        <v>7.3187158572176905E-2</v>
      </c>
      <c r="GW15" s="51">
        <f t="shared" si="90"/>
        <v>8675</v>
      </c>
      <c r="GX15" s="51">
        <f t="shared" si="91"/>
        <v>9762</v>
      </c>
      <c r="GY15" s="14">
        <f>INT(SUMPRODUCT($AP15:$AT15,$BF15:$BJ15)/SUM($BF15:$BJ15)/10000*$BX$7*$BZ$46/'疲劳值&amp;地图信息'!$R$10*$BY$57)</f>
        <v>1305</v>
      </c>
      <c r="GZ15" s="50">
        <f t="shared" si="92"/>
        <v>0.43941849863235743</v>
      </c>
      <c r="HA15" s="50">
        <f t="shared" si="93"/>
        <v>0.49447877621314962</v>
      </c>
      <c r="HB15" s="50">
        <f t="shared" si="94"/>
        <v>6.6102725154492961E-2</v>
      </c>
      <c r="HD15" s="14">
        <f t="shared" si="95"/>
        <v>7623</v>
      </c>
      <c r="HE15" s="14">
        <f t="shared" si="96"/>
        <v>8611</v>
      </c>
      <c r="HF15" s="14">
        <f t="shared" si="97"/>
        <v>10156</v>
      </c>
      <c r="HG15" s="14">
        <f t="shared" si="98"/>
        <v>13363</v>
      </c>
      <c r="HH15" s="14">
        <f t="shared" si="99"/>
        <v>19742</v>
      </c>
      <c r="HI15" s="14">
        <f t="shared" si="100"/>
        <v>879643</v>
      </c>
      <c r="HL15" s="14">
        <f t="shared" si="101"/>
        <v>430050</v>
      </c>
      <c r="HM15" s="50">
        <f t="shared" si="9"/>
        <v>0.32835939414809423</v>
      </c>
      <c r="HO15" s="14">
        <f t="shared" si="102"/>
        <v>1309693</v>
      </c>
    </row>
    <row r="16" spans="3:223" x14ac:dyDescent="0.2">
      <c r="K16" s="14">
        <v>11</v>
      </c>
      <c r="L16" s="12">
        <f>求节点(节奏总纲!D$4:D$163,标准城池设计!AB$4:AB$163,$K16)*求节点(节奏总纲!D$4:D$163,攻城基础信息!$AC$5:$AC$164,$K16)</f>
        <v>124274.41483820677</v>
      </c>
      <c r="M16" s="12">
        <f>INDEX(其他调用!$AA$5:$AA$404,MATCH(K16,其他调用!$X$5:$X$404,0))*MIN(INDEX(其他调用!$AH$5:$AH$364,MATCH('征服点（新）'!K16,其他调用!$AG$5:$AG$364,0),1)/INDEX(其他调用!$AJ$5:$AJ$364,MATCH(K16,其他调用!$AG$5:$AG$364,0),0),5)*求节点(节奏总纲!D$4:D$163,攻城基础信息!$AC$5:$AC$164,$K16)</f>
        <v>24588.844548476627</v>
      </c>
      <c r="N16" s="12">
        <f>MIN(INDEX(其他调用!$AH$5:$AH$364,MATCH($K16,其他调用!$AG$5:$AG$364,0),1)/INDEX(其他调用!AH$5:AH$364,MATCH($K16,其他调用!$AG$5:$AG$364,0),0),1)*INDEX(其他调用!Y$5:Y$404,MATCH($K16,其他调用!$X$5:$X$404,0),0)</f>
        <v>24203.819166539262</v>
      </c>
      <c r="O16" s="12">
        <f>MIN(INDEX(其他调用!$AH$5:$AH$364,MATCH($K16,其他调用!$AG$5:$AG$364,0),1)/INDEX(其他调用!AI$5:AI$364,MATCH($K16,其他调用!$AG$5:$AG$364,0),0),1)*INDEX(其他调用!Z$5:Z$404,MATCH($K16,其他调用!$X$5:$X$404,0),0)</f>
        <v>17685.975273863409</v>
      </c>
      <c r="P16" s="12">
        <f>MIN(INDEX(其他调用!$AH$5:$AH$364,MATCH($K16,其他调用!$AG$5:$AG$364,0),1)/INDEX(其他调用!AJ$5:AJ$364,MATCH($K16,其他调用!$AG$5:$AG$364,0),0),1)*INDEX(其他调用!AA$5:AA$404,MATCH($K16,其他调用!$X$5:$X$404,0),0)</f>
        <v>12123.648249177304</v>
      </c>
      <c r="Q16" s="12">
        <f>MIN(INDEX(其他调用!$AH$5:$AH$364,MATCH($K16,其他调用!$AG$5:$AG$364,0),1)/INDEX(其他调用!AK$5:AK$364,MATCH($K16,其他调用!$AG$5:$AG$364,0),0),1)*INDEX(其他调用!AB$5:AB$404,MATCH($K16,其他调用!$X$5:$X$404,0),0)</f>
        <v>6745.793795828361</v>
      </c>
      <c r="R16" s="12">
        <f>MIN(INDEX(其他调用!$AH$5:$AH$364,MATCH($K16,其他调用!$AG$5:$AG$364,0),1)/INDEX(其他调用!AL$5:AL$364,MATCH($K16,其他调用!$AG$5:$AG$364,0),0),1)*INDEX(其他调用!AC$5:AC$404,MATCH($K16,其他调用!$X$5:$X$404,0),0)</f>
        <v>3010.7807168607974</v>
      </c>
      <c r="S16" s="12">
        <f>求节点(节奏总纲!D$4:D$163,标准城池设计!AC$4:AC$163,$K16)*求节点(节奏总纲!D$4:D$163,攻城基础信息!$AD$5:$AD$164,$K16)</f>
        <v>131320.91748410967</v>
      </c>
      <c r="T16" s="12">
        <f>INDEX(其他调用!$AA$5:$AA$404,MATCH($K16,其他调用!$X$5:$X$404,0))*MIN(INDEX(其他调用!AI$5:AI$364,MATCH($K16,其他调用!$AG$5:$AG$364,0),1)/INDEX(其他调用!$AJ$5:$AJ$364,MATCH($K16,其他调用!$AG$5:$AG$364,0),0),5)*求节点(节奏总纲!D$4:D$163,攻城基础信息!$AD$5:$AD$164,$K16)</f>
        <v>35056.361568514141</v>
      </c>
      <c r="U16" s="12">
        <f>MIN(INDEX(其他调用!$AI$5:$AI$364,MATCH($K16,其他调用!$AG$5:$AG$364,0),1)/INDEX(其他调用!AH$5:AH$364,MATCH($K16,其他调用!$AG$5:$AG$364,0),0),1)*INDEX(其他调用!Y$5:Y$404,MATCH($K16,其他调用!$X$5:$X$404,0),0)</f>
        <v>24203.819166539262</v>
      </c>
      <c r="V16" s="12">
        <f>MIN(INDEX(其他调用!$AI$5:$AI$364,MATCH($K16,其他调用!$AG$5:$AG$364,0),1)/INDEX(其他调用!AI$5:AI$364,MATCH($K16,其他调用!$AG$5:$AG$364,0),0),1)*INDEX(其他调用!Z$5:Z$404,MATCH($K16,其他调用!$X$5:$X$404,0),0)</f>
        <v>25214.927959303735</v>
      </c>
      <c r="W16" s="12">
        <f>MIN(INDEX(其他调用!$AI$5:$AI$364,MATCH($K16,其他调用!$AG$5:$AG$364,0),1)/INDEX(其他调用!AJ$5:AJ$364,MATCH($K16,其他调用!$AG$5:$AG$364,0),0),1)*INDEX(其他调用!AA$5:AA$404,MATCH($K16,其他调用!$X$5:$X$404,0),0)</f>
        <v>17284.707937973199</v>
      </c>
      <c r="X16" s="12">
        <f>MIN(INDEX(其他调用!$AI$5:$AI$364,MATCH($K16,其他调用!$AG$5:$AG$364,0),1)/INDEX(其他调用!AK$5:AK$364,MATCH($K16,其他调用!$AG$5:$AG$364,0),0),1)*INDEX(其他调用!AB$5:AB$404,MATCH($K16,其他调用!$X$5:$X$404,0),0)</f>
        <v>9617.4908059211539</v>
      </c>
      <c r="Y16" s="12">
        <f>MIN(INDEX(其他调用!$AI$5:$AI$364,MATCH($K16,其他调用!$AG$5:$AG$364,0),1)/INDEX(其他调用!AL$5:AL$364,MATCH($K16,其他调用!$AG$5:$AG$364,0),0),1)*INDEX(其他调用!AC$5:AC$404,MATCH($K16,其他调用!$X$5:$X$404,0),0)</f>
        <v>4292.475687733011</v>
      </c>
      <c r="Z16" s="12">
        <f>求节点(节奏总纲!D$4:D$163,标准城池设计!AD$4:AD$163,$K16)*求节点(节奏总纲!D$4:D$163,攻城基础信息!$AE$5:$AE$164,$K16)</f>
        <v>141799.02177644119</v>
      </c>
      <c r="AA16" s="12">
        <f>INDEX(其他调用!$AA$5:$AA$404,MATCH($K16,其他调用!$X$5:$X$404,0))*MIN(INDEX(其他调用!AJ$5:AJ$364,MATCH($K16,其他调用!$AG$5:$AG$364,0),1)/INDEX(其他调用!$AJ$5:$AJ$364,MATCH($K16,其他调用!$AG$5:$AG$364,0),0),5)*求节点(节奏总纲!D$4:D$163,攻城基础信息!$AE$5:$AE$164,$K16)</f>
        <v>53883.729473959298</v>
      </c>
      <c r="AB16" s="12">
        <f>MIN(INDEX(其他调用!$AJ$5:$AJ$364,MATCH($K16,其他调用!$AG$5:$AG$364,0),1)/INDEX(其他调用!AH$5:AH$364,MATCH($K16,其他调用!$AG$5:$AG$364,0),0),1)*INDEX(其他调用!Y$5:Y$404,MATCH($K16,其他调用!$X$5:$X$404,0),0)</f>
        <v>24203.819166539262</v>
      </c>
      <c r="AC16" s="12">
        <f>MIN(INDEX(其他调用!$AJ$5:$AJ$364,MATCH($K16,其他调用!$AG$5:$AG$364,0),1)/INDEX(其他调用!AI$5:AI$364,MATCH($K16,其他调用!$AG$5:$AG$364,0),0),1)*INDEX(其他调用!Z$5:Z$404,MATCH($K16,其他调用!$X$5:$X$404,0),0)</f>
        <v>25214.927959303735</v>
      </c>
      <c r="AD16" s="12">
        <f>MIN(INDEX(其他调用!$AJ$5:$AJ$364,MATCH($K16,其他调用!$AG$5:$AG$364,0),1)/INDEX(其他调用!AJ$5:AJ$364,MATCH($K16,其他调用!$AG$5:$AG$364,0),0),1)*INDEX(其他调用!AA$5:AA$404,MATCH($K16,其他调用!$X$5:$X$404,0),0)</f>
        <v>26567.632375250527</v>
      </c>
      <c r="AE16" s="12">
        <f>MIN(INDEX(其他调用!$AJ$5:$AJ$364,MATCH($K16,其他调用!$AG$5:$AG$364,0),1)/INDEX(其他调用!AK$5:AK$364,MATCH($K16,其他调用!$AG$5:$AG$364,0),0),1)*INDEX(其他调用!AB$5:AB$404,MATCH($K16,其他调用!$X$5:$X$404,0),0)</f>
        <v>14782.659968625805</v>
      </c>
      <c r="AF16" s="12">
        <f>MIN(INDEX(其他调用!$AJ$5:$AJ$364,MATCH($K16,其他调用!$AG$5:$AG$364,0),1)/INDEX(其他调用!AL$5:AL$364,MATCH($K16,其他调用!$AG$5:$AG$364,0),0),1)*INDEX(其他调用!AC$5:AC$404,MATCH($K16,其他调用!$X$5:$X$404,0),0)</f>
        <v>6597.792479955765</v>
      </c>
      <c r="AG16" s="12">
        <f>求节点(节奏总纲!D$4:D$163,标准城池设计!AE$4:AE$163,$K16)*求节点(节奏总纲!D$4:D$163,攻城基础信息!$AF$5:$AF$164,$K16)</f>
        <v>160073.27582328461</v>
      </c>
      <c r="AH16" s="12">
        <f>INDEX(其他调用!$AA$5:$AA$404,MATCH($K16,其他调用!$X$5:$X$404,0))*MIN(INDEX(其他调用!AK$5:AK$364,MATCH($K16,其他调用!$AG$5:$AG$364,0),1)/INDEX(其他调用!$AJ$5:$AJ$364,MATCH($K16,其他调用!$AG$5:$AG$364,0),0),5)*求节点(节奏总纲!D$4:D$163,攻城基础信息!$AF$5:$AF$164,$K16)</f>
        <v>104000.41076534337</v>
      </c>
      <c r="AI16" s="12">
        <f>MIN(INDEX(其他调用!$AK$5:$AK$364,MATCH($K16,其他调用!$AG$5:$AG$364,0),1)/INDEX(其他调用!AH$5:AH$364,MATCH($K16,其他调用!$AG$5:$AG$364,0),0),1)*INDEX(其他调用!Y$5:Y$404,MATCH($K16,其他调用!$X$5:$X$404,0),0)</f>
        <v>24203.819166539262</v>
      </c>
      <c r="AJ16" s="12">
        <f>MIN(INDEX(其他调用!$AK$5:$AK$364,MATCH($K16,其他调用!$AG$5:$AG$364,0),1)/INDEX(其他调用!AI$5:AI$364,MATCH($K16,其他调用!$AG$5:$AG$364,0),0),1)*INDEX(其他调用!Z$5:Z$404,MATCH($K16,其他调用!$X$5:$X$404,0),0)</f>
        <v>25214.927959303735</v>
      </c>
      <c r="AK16" s="12">
        <f>MIN(INDEX(其他调用!$AK$5:$AK$364,MATCH($K16,其他调用!$AG$5:$AG$364,0),1)/INDEX(其他调用!AJ$5:AJ$364,MATCH($K16,其他调用!$AG$5:$AG$364,0),0),1)*INDEX(其他调用!AA$5:AA$404,MATCH($K16,其他调用!$X$5:$X$404,0),0)</f>
        <v>26567.632375250527</v>
      </c>
      <c r="AL16" s="12">
        <f>MIN(INDEX(其他调用!$AK$5:$AK$364,MATCH($K16,其他调用!$AG$5:$AG$364,0),1)/INDEX(其他调用!AK$5:AK$364,MATCH($K16,其他调用!$AG$5:$AG$364,0),0),1)*INDEX(其他调用!AB$5:AB$404,MATCH($K16,其他调用!$X$5:$X$404,0),0)</f>
        <v>28531.854122763929</v>
      </c>
      <c r="AM16" s="12">
        <f>MIN(INDEX(其他调用!$AK$5:$AK$364,MATCH($K16,其他调用!$AG$5:$AG$364,0),1)/INDEX(其他调用!AL$5:AL$364,MATCH($K16,其他调用!$AG$5:$AG$364,0),0),1)*INDEX(其他调用!AC$5:AC$404,MATCH($K16,其他调用!$X$5:$X$404,0),0)</f>
        <v>12734.328799410667</v>
      </c>
      <c r="AN16" s="12">
        <f>求节点(节奏总纲!D$4:D$163,标准城池设计!AF$4:AF$163,$K16)*求节点(节奏总纲!D$4:D$163,攻城基础信息!$AG$5:$AG$164,$K16)</f>
        <v>165651.07358682659</v>
      </c>
      <c r="AO16" s="12">
        <f>INDEX(其他调用!$AA$5:$AA$404,MATCH($K16,其他调用!$X$5:$X$404,0))*MIN(INDEX(其他调用!AL$5:AL$364,MATCH($K16,其他调用!$AG$5:$AG$364,0),1)/INDEX(其他调用!$AJ$5:$AJ$364,MATCH($K16,其他调用!$AG$5:$AG$364,0),0),5)*求节点(节奏总纲!D$4:D$163,攻城基础信息!$AG$5:$AG$164,$K16)</f>
        <v>262141.65480086414</v>
      </c>
      <c r="AP16" s="12">
        <f>MIN(INDEX(其他调用!$AL$5:$AL$364,MATCH($K16,其他调用!$AG$5:$AG$364,0),1)/INDEX(其他调用!AH$5:AH$364,MATCH($K16,其他调用!$AG$5:$AG$364,0),0),1)*INDEX(其他调用!Y$5:Y$404,MATCH($K16,其他调用!$X$5:$X$404,0),0)</f>
        <v>24203.819166539262</v>
      </c>
      <c r="AQ16" s="12">
        <f>MIN(INDEX(其他调用!$AL$5:$AL$364,MATCH($K16,其他调用!$AG$5:$AG$364,0),1)/INDEX(其他调用!AI$5:AI$364,MATCH($K16,其他调用!$AG$5:$AG$364,0),0),1)*INDEX(其他调用!Z$5:Z$404,MATCH($K16,其他调用!$X$5:$X$404,0),0)</f>
        <v>25214.927959303735</v>
      </c>
      <c r="AR16" s="12">
        <f>MIN(INDEX(其他调用!$AL$5:$AL$364,MATCH($K16,其他调用!$AG$5:$AG$364,0),1)/INDEX(其他调用!AJ$5:AJ$364,MATCH($K16,其他调用!$AG$5:$AG$364,0),0),1)*INDEX(其他调用!AA$5:AA$404,MATCH($K16,其他调用!$X$5:$X$404,0),0)</f>
        <v>26567.632375250527</v>
      </c>
      <c r="AS16" s="12">
        <f>MIN(INDEX(其他调用!$AL$5:$AL$364,MATCH($K16,其他调用!$AG$5:$AG$364,0),1)/INDEX(其他调用!AK$5:AK$364,MATCH($K16,其他调用!$AG$5:$AG$364,0),0),1)*INDEX(其他调用!AB$5:AB$404,MATCH($K16,其他调用!$X$5:$X$404,0),0)</f>
        <v>28531.854122763929</v>
      </c>
      <c r="AT16" s="12">
        <f>MIN(INDEX(其他调用!$AL$5:$AL$364,MATCH($K16,其他调用!$AG$5:$AG$364,0),1)/INDEX(其他调用!AL$5:AL$364,MATCH($K16,其他调用!$AG$5:$AG$364,0),0),1)*INDEX(其他调用!AC$5:AC$404,MATCH($K16,其他调用!$X$5:$X$404,0),0)</f>
        <v>32097.931149404838</v>
      </c>
      <c r="AV16" s="14">
        <f>IF(OR(AV$5="大R",AV$5="超R"),MAX(INDEX(其他调用!$H$5:$L$404,MATCH($K16,其他调用!$B$5:$B$404,0),MATCH(AV$5,其他调用!$H$4:$L$4,0))*120*0.85,2),INDEX(其他调用!$H$5:$L$404,MATCH($K16,其他调用!$B$5:$B$404,0),MATCH(AV$5,其他调用!$H$4:$L$4,0))*120*0.85)</f>
        <v>64.865848541443583</v>
      </c>
      <c r="AW16" s="14">
        <f>IF(OR(AW$5="大R",AW$5="超R"),MAX(INDEX(其他调用!$H$5:$L$404,MATCH($K16,其他调用!$B$5:$B$404,0),MATCH(AW$5,其他调用!$H$4:$L$4,0))*120*0.85,2),INDEX(其他调用!$H$5:$L$404,MATCH($K16,其他调用!$B$5:$B$404,0),MATCH(AW$5,其他调用!$H$4:$L$4,0))*120*0.85)</f>
        <v>32.805457972842127</v>
      </c>
      <c r="AX16" s="14">
        <f>IF(OR(AX$5="大R",AX$5="超R"),MAX(INDEX(其他调用!$H$5:$L$404,MATCH($K16,其他调用!$B$5:$B$404,0),MATCH(AX$5,其他调用!$H$4:$L$4,0))*120*0.85,2),INDEX(其他调用!$H$5:$L$404,MATCH($K16,其他调用!$B$5:$B$404,0),MATCH(AX$5,其他调用!$H$4:$L$4,0))*120*0.85)</f>
        <v>3.6974591999999999</v>
      </c>
      <c r="AY16" s="14">
        <f>IF(OR(AY$5="大R",AY$5="超R"),MAX(INDEX(其他调用!$H$5:$L$404,MATCH($K16,其他调用!$B$5:$B$404,0),MATCH(AY$5,其他调用!$H$4:$L$4,0))*120*0.85,2),INDEX(其他调用!$H$5:$L$404,MATCH($K16,其他调用!$B$5:$B$404,0),MATCH(AY$5,其他调用!$H$4:$L$4,0))*120*0.85)</f>
        <v>2</v>
      </c>
      <c r="AZ16" s="14">
        <f>IF(OR(AZ$5="大R",AZ$5="超R"),MAX(INDEX(其他调用!$H$5:$L$404,MATCH($K16,其他调用!$B$5:$B$404,0),MATCH(AZ$5,其他调用!$H$4:$L$4,0))*120*0.85,2),INDEX(其他调用!$H$5:$L$404,MATCH($K16,其他调用!$B$5:$B$404,0),MATCH(AZ$5,其他调用!$H$4:$L$4,0))*120*0.85)</f>
        <v>2</v>
      </c>
      <c r="BA16" s="14">
        <f>INDEX(其他调用!$H$5:$L$404,MATCH($K16,其他调用!$B$5:$B$404,0),MATCH(BA$5,其他调用!$H$4:$L$4,0))*INDEX(其他调用!$M$5:$M$404,MATCH($K16,其他调用!$B$5:$B$404,0))*0.6</f>
        <v>28.929474697093021</v>
      </c>
      <c r="BB16" s="14">
        <f>INDEX(其他调用!$H$5:$L$404,MATCH($K16,其他调用!$B$5:$B$404,0),MATCH(BB$5,其他调用!$H$4:$L$4,0))*INDEX(其他调用!$M$5:$M$404,MATCH($K16,其他调用!$B$5:$B$404,0))*0.6</f>
        <v>14.630883395374511</v>
      </c>
      <c r="BC16" s="14">
        <f>INDEX(其他调用!$H$5:$L$404,MATCH($K16,其他调用!$B$5:$B$404,0),MATCH(BC$5,其他调用!$H$4:$L$4,0))*INDEX(其他调用!$M$5:$M$404,MATCH($K16,其他调用!$B$5:$B$404,0))*0.6</f>
        <v>1.6490272581818179</v>
      </c>
      <c r="BD16" s="14">
        <f>INDEX(其他调用!$H$5:$L$404,MATCH($K16,其他调用!$B$5:$B$404,0),MATCH(BD$5,其他调用!$H$4:$L$4,0))*INDEX(其他调用!$M$5:$M$404,MATCH($K16,其他调用!$B$5:$B$404,0))*0.6</f>
        <v>0.23083387012987017</v>
      </c>
      <c r="BE16" s="14">
        <f>INDEX(其他调用!$H$5:$L$404,MATCH($K16,其他调用!$B$5:$B$404,0),MATCH(BE$5,其他调用!$H$4:$L$4,0))*INDEX(其他调用!$M$5:$M$404,MATCH($K16,其他调用!$B$5:$B$404,0))*0.6</f>
        <v>5.068987012987012E-2</v>
      </c>
      <c r="BF16" s="14">
        <f>IF(OR(BF$5="大R",BF$5="超R"),0,INDEX(其他调用!$H$5:$L$404,MATCH($K16,其他调用!$B$5:$B$404,0),MATCH(BF$5,其他调用!$H$4:$L$4,0))*50*0.4)</f>
        <v>12.718793831655606</v>
      </c>
      <c r="BG16" s="14">
        <f>IF(OR(BG$5="大R",BG$5="超R"),0,INDEX(其他调用!$H$5:$L$404,MATCH($K16,其他调用!$B$5:$B$404,0),MATCH(BG$5,其他调用!$H$4:$L$4,0))*50*0.4)</f>
        <v>6.4324427397729664</v>
      </c>
      <c r="BH16" s="14">
        <f>IF(OR(BH$5="大R",BH$5="超R"),0,INDEX(其他调用!$H$5:$L$404,MATCH($K16,其他调用!$B$5:$B$404,0),MATCH(BH$5,其他调用!$H$4:$L$4,0))*50*0.4)</f>
        <v>0.72499200000000008</v>
      </c>
      <c r="BI16" s="14">
        <f>IF(OR(BI$5="大R",BI$5="超R"),0,INDEX(其他调用!$H$5:$L$404,MATCH($K16,其他调用!$B$5:$B$404,0),MATCH(BI$5,其他调用!$H$4:$L$4,0))*50*0.4)</f>
        <v>0</v>
      </c>
      <c r="BJ16" s="14">
        <f>IF(OR(BJ$5="大R",BJ$5="超R"),0,INDEX(其他调用!$H$5:$L$404,MATCH($K16,其他调用!$B$5:$B$404,0),MATCH(BJ$5,其他调用!$H$4:$L$4,0))*50*0.4)</f>
        <v>0</v>
      </c>
      <c r="BL16" s="14">
        <f t="shared" si="103"/>
        <v>11</v>
      </c>
      <c r="BM16" s="14">
        <f t="shared" si="10"/>
        <v>96</v>
      </c>
      <c r="BN16" s="14">
        <f>('疲劳值&amp;地图信息'!$S$10*'疲劳值&amp;地图信息'!$R$10+'疲劳值&amp;地图信息'!$S$11*'疲劳值&amp;地图信息'!$R$11+'疲劳值&amp;地图信息'!$S$12*'疲劳值&amp;地图信息'!$R$12+(BM16-'疲劳值&amp;地图信息'!$S$12-'疲劳值&amp;地图信息'!$S$11-'疲劳值&amp;地图信息'!$S$10)*'疲劳值&amp;地图信息'!$R$13)/BM16</f>
        <v>51.371477246638619</v>
      </c>
      <c r="BO16" s="14">
        <f>INDEX(其他调用!$M$5:$M$404,MATCH(BL16,其他调用!$B$5:$B$404,0))*0.6</f>
        <v>45.490909090909085</v>
      </c>
      <c r="BP16" s="14">
        <f>IF(BO16&gt;SUM('疲劳值&amp;地图信息'!$S$10:$S$12),('疲劳值&amp;地图信息'!$S$10*'疲劳值&amp;地图信息'!$R$10+'疲劳值&amp;地图信息'!$S$11*'疲劳值&amp;地图信息'!$R$11+'疲劳值&amp;地图信息'!$S$12*'疲劳值&amp;地图信息'!$R$12+(BO16-'疲劳值&amp;地图信息'!$S$12-'疲劳值&amp;地图信息'!$S$11-'疲劳值&amp;地图信息'!$S$10)*'疲劳值&amp;地图信息'!$R$13)/BO16,('疲劳值&amp;地图信息'!$S$10*'疲劳值&amp;地图信息'!$R$10+'疲劳值&amp;地图信息'!$S$11*'疲劳值&amp;地图信息'!$R$11+'疲劳值&amp;地图信息'!$S$12*'疲劳值&amp;地图信息'!$R$12+(BO16-'疲劳值&amp;地图信息'!$S$12-'疲劳值&amp;地图信息'!$S$11-'疲劳值&amp;地图信息'!$S$10)*'疲劳值&amp;地图信息'!$R$13)/BO16)</f>
        <v>38.023048633408699</v>
      </c>
      <c r="BQ16" s="14">
        <f t="shared" si="104"/>
        <v>20</v>
      </c>
      <c r="BR16" s="14">
        <f>('疲劳值&amp;地图信息'!$S$10*'疲劳值&amp;地图信息'!$R$10+($BQ16-'疲劳值&amp;地图信息'!$S$10)*'疲劳值&amp;地图信息'!$R$11)/$BQ16</f>
        <v>32.067203015074995</v>
      </c>
      <c r="BW16" s="14" t="s">
        <v>267</v>
      </c>
      <c r="BX16" s="14">
        <v>18000</v>
      </c>
      <c r="BY16" s="14">
        <v>500</v>
      </c>
      <c r="CF16" s="14">
        <v>11</v>
      </c>
      <c r="CG16" s="51">
        <f t="shared" si="11"/>
        <v>2941</v>
      </c>
      <c r="CH16" s="51">
        <f t="shared" si="12"/>
        <v>582</v>
      </c>
      <c r="CI16" s="51">
        <f>INT(SUMPRODUCT($N16:$R16,$BA16:$BE16)/SUM($BA16:$BE16)/10000*$BX$7*$BZ$34/'疲劳值&amp;地图信息'!$R$10*$BY$53)</f>
        <v>2187</v>
      </c>
      <c r="CJ16" s="50">
        <f t="shared" si="13"/>
        <v>0.51506129597197903</v>
      </c>
      <c r="CK16" s="50">
        <f t="shared" si="14"/>
        <v>0.10192644483362522</v>
      </c>
      <c r="CL16" s="50">
        <f t="shared" si="15"/>
        <v>0.3830122591943958</v>
      </c>
      <c r="CM16" s="14">
        <f t="shared" si="16"/>
        <v>3108</v>
      </c>
      <c r="CN16" s="14">
        <f t="shared" si="17"/>
        <v>829</v>
      </c>
      <c r="CO16" s="14">
        <f>INT(SUMPRODUCT($U16:$Y16,$BA16:$BE16)/SUM($BA16:$BE16)/10000*$BX$7*$BZ$34/'疲劳值&amp;地图信息'!$R$10*$BY$54)</f>
        <v>3680</v>
      </c>
      <c r="CP16" s="50">
        <f t="shared" si="18"/>
        <v>0.40803465931469085</v>
      </c>
      <c r="CQ16" s="50">
        <f t="shared" si="19"/>
        <v>0.10883549954050151</v>
      </c>
      <c r="CR16" s="50">
        <f t="shared" si="20"/>
        <v>0.48312984114480767</v>
      </c>
      <c r="CS16" s="14">
        <f t="shared" si="21"/>
        <v>3356</v>
      </c>
      <c r="CT16" s="14">
        <f t="shared" si="22"/>
        <v>1275</v>
      </c>
      <c r="CU16" s="14">
        <f>INT(SUMPRODUCT($AB16:$AF16,$BA16:$BE16)/SUM($BA16:$BE16)/10000*$BX$7*$BZ$34/'疲劳值&amp;地图信息'!$R$10*$BY$55)</f>
        <v>4981</v>
      </c>
      <c r="CV16" s="50">
        <f t="shared" si="23"/>
        <v>0.34914689970869744</v>
      </c>
      <c r="CW16" s="50">
        <f t="shared" si="24"/>
        <v>0.13264669163545567</v>
      </c>
      <c r="CX16" s="50">
        <f t="shared" si="25"/>
        <v>0.51820640865584688</v>
      </c>
      <c r="CY16" s="14">
        <f t="shared" si="26"/>
        <v>3788</v>
      </c>
      <c r="CZ16" s="14">
        <f t="shared" si="27"/>
        <v>2461</v>
      </c>
      <c r="DA16" s="14">
        <f>INT(SUMPRODUCT($AI16:$AM16,$BA16:$BE16)/SUM($BA16:$BE16)/10000*$BX$7*$BZ$34/'疲劳值&amp;地图信息'!$R$10*$BY$56)</f>
        <v>7495</v>
      </c>
      <c r="DB16" s="50">
        <f t="shared" si="28"/>
        <v>0.27561117578579741</v>
      </c>
      <c r="DC16" s="50">
        <f t="shared" si="29"/>
        <v>0.17905995343422584</v>
      </c>
      <c r="DD16" s="50">
        <f t="shared" si="30"/>
        <v>0.54532887077997672</v>
      </c>
      <c r="DE16" s="14">
        <f t="shared" si="31"/>
        <v>3920</v>
      </c>
      <c r="DF16" s="14">
        <f t="shared" si="32"/>
        <v>6204</v>
      </c>
      <c r="DG16" s="14">
        <f>INT(SUMPRODUCT($AP16:$AT16,$BA16:$BE16)/SUM($BA16:$BE16)/10000*$BX$7*$BZ$34/'疲劳值&amp;地图信息'!$R$10*$BY$57)</f>
        <v>10002</v>
      </c>
      <c r="DH16" s="50">
        <f t="shared" si="33"/>
        <v>0.19477293053761305</v>
      </c>
      <c r="DI16" s="50">
        <f t="shared" si="34"/>
        <v>0.30825797475901817</v>
      </c>
      <c r="DJ16" s="50">
        <f t="shared" si="35"/>
        <v>0.49696909470336875</v>
      </c>
      <c r="DL16" s="14">
        <f t="shared" si="106"/>
        <v>5710</v>
      </c>
      <c r="DM16" s="14">
        <f t="shared" si="107"/>
        <v>7617</v>
      </c>
      <c r="DN16" s="14">
        <f t="shared" si="108"/>
        <v>9612</v>
      </c>
      <c r="DO16" s="14">
        <f t="shared" si="109"/>
        <v>13744</v>
      </c>
      <c r="DP16" s="14">
        <f t="shared" si="110"/>
        <v>20126</v>
      </c>
      <c r="DQ16" s="14">
        <f t="shared" si="111"/>
        <v>296673</v>
      </c>
      <c r="DT16" s="14">
        <f t="shared" si="105"/>
        <v>235575</v>
      </c>
      <c r="DU16" s="50">
        <f t="shared" si="7"/>
        <v>0.44260382378139512</v>
      </c>
      <c r="DW16" s="14">
        <f t="shared" si="36"/>
        <v>532248</v>
      </c>
      <c r="EB16" s="14">
        <v>11</v>
      </c>
      <c r="EC16" s="51">
        <f t="shared" si="37"/>
        <v>4902</v>
      </c>
      <c r="ED16" s="51">
        <f t="shared" si="38"/>
        <v>970</v>
      </c>
      <c r="EE16" s="51">
        <f>INT(SUMPRODUCT($N16:$R16,$BF16:$BJ16)/SUM($BF16:$BJ16)/10000*$BX$7*$BZ$46/'疲劳值&amp;地图信息'!$R$10*$BY$53)</f>
        <v>292</v>
      </c>
      <c r="EF16" s="50">
        <f t="shared" si="39"/>
        <v>0.79526281635301754</v>
      </c>
      <c r="EG16" s="50">
        <f t="shared" si="40"/>
        <v>0.15736534717715769</v>
      </c>
      <c r="EH16" s="50">
        <f t="shared" si="41"/>
        <v>4.7371836469824791E-2</v>
      </c>
      <c r="EI16" s="51">
        <f t="shared" si="42"/>
        <v>5180</v>
      </c>
      <c r="EJ16" s="51">
        <f t="shared" si="43"/>
        <v>1382</v>
      </c>
      <c r="EK16" s="14">
        <f>INT(SUMPRODUCT($U16:$Y16,$BF16:$BJ16)/SUM($BF16:$BJ16)/10000*$BX$7*$BZ$46/'疲劳值&amp;地图信息'!$R$10*$BY$54)</f>
        <v>492</v>
      </c>
      <c r="EL16" s="50">
        <f t="shared" si="44"/>
        <v>0.73433512900482001</v>
      </c>
      <c r="EM16" s="50">
        <f t="shared" si="45"/>
        <v>0.19591721009356394</v>
      </c>
      <c r="EN16" s="50">
        <f t="shared" si="46"/>
        <v>6.9747660901616104E-2</v>
      </c>
      <c r="EO16" s="51">
        <f t="shared" si="47"/>
        <v>5593</v>
      </c>
      <c r="EP16" s="51">
        <f t="shared" si="48"/>
        <v>2125</v>
      </c>
      <c r="EQ16" s="14">
        <f>INT(SUMPRODUCT($AB16:$AF16,$BF16:$BJ16)/SUM($BF16:$BJ16)/10000*$BX$7*$BZ$46/'疲劳值&amp;地图信息'!$R$10*$BY$55)</f>
        <v>666</v>
      </c>
      <c r="ER16" s="50">
        <f t="shared" si="49"/>
        <v>0.66710400763358779</v>
      </c>
      <c r="ES16" s="50">
        <f t="shared" si="50"/>
        <v>0.25345896946564883</v>
      </c>
      <c r="ET16" s="50">
        <f t="shared" si="51"/>
        <v>7.9437022900763363E-2</v>
      </c>
      <c r="EU16" s="51">
        <f t="shared" si="52"/>
        <v>6314</v>
      </c>
      <c r="EV16" s="51">
        <f t="shared" si="53"/>
        <v>4102</v>
      </c>
      <c r="EW16" s="14">
        <f>INT(SUMPRODUCT($AI16:$AM16,$BF16:$BJ16)/SUM($BF16:$BJ16)/10000*$BX$7*$BZ$46/'疲劳值&amp;地图信息'!$R$10*$BY$56)</f>
        <v>999</v>
      </c>
      <c r="EX16" s="50">
        <f t="shared" si="54"/>
        <v>0.55313184406482696</v>
      </c>
      <c r="EY16" s="50">
        <f t="shared" si="55"/>
        <v>0.35935173017958827</v>
      </c>
      <c r="EZ16" s="50">
        <f t="shared" si="56"/>
        <v>8.7516425755584756E-2</v>
      </c>
      <c r="FA16" s="51">
        <f t="shared" si="57"/>
        <v>6534</v>
      </c>
      <c r="FB16" s="51">
        <f t="shared" si="58"/>
        <v>10341</v>
      </c>
      <c r="FC16" s="14">
        <f>INT(SUMPRODUCT($AP16:$AT16,$BF16:$BJ16)/SUM($BF16:$BJ16)/10000*$BX$7*$BZ$46/'疲劳值&amp;地图信息'!$R$10*$BY$57)</f>
        <v>1332</v>
      </c>
      <c r="FD16" s="50">
        <f t="shared" si="59"/>
        <v>0.3588729609490855</v>
      </c>
      <c r="FE16" s="50">
        <f t="shared" si="60"/>
        <v>0.56796836381611471</v>
      </c>
      <c r="FF16" s="50">
        <f t="shared" si="61"/>
        <v>7.3158675234799797E-2</v>
      </c>
      <c r="FH16" s="14">
        <f t="shared" si="62"/>
        <v>6164</v>
      </c>
      <c r="FI16" s="14">
        <f t="shared" si="63"/>
        <v>7054</v>
      </c>
      <c r="FJ16" s="14">
        <f t="shared" si="64"/>
        <v>8384</v>
      </c>
      <c r="FK16" s="14">
        <f t="shared" si="65"/>
        <v>11415</v>
      </c>
      <c r="FL16" s="14">
        <f t="shared" si="66"/>
        <v>18207</v>
      </c>
      <c r="FM16" s="14">
        <f t="shared" si="67"/>
        <v>721486</v>
      </c>
      <c r="FP16" s="14">
        <f t="shared" si="68"/>
        <v>334150</v>
      </c>
      <c r="FQ16" s="50">
        <f t="shared" si="8"/>
        <v>0.31653903428833424</v>
      </c>
      <c r="FS16" s="14">
        <f t="shared" si="69"/>
        <v>1055636</v>
      </c>
      <c r="FX16" s="14">
        <v>11</v>
      </c>
      <c r="FY16" s="51">
        <f t="shared" si="70"/>
        <v>6863</v>
      </c>
      <c r="FZ16" s="51">
        <f t="shared" si="71"/>
        <v>970</v>
      </c>
      <c r="GA16" s="51">
        <f>INT(SUMPRODUCT($N16:$R16,$BF16:$BJ16)/SUM($BF16:$BJ16)/10000*$BX$7*$BZ$46/'疲劳值&amp;地图信息'!$R$10*$BY$53)</f>
        <v>292</v>
      </c>
      <c r="GB16" s="50">
        <f t="shared" si="72"/>
        <v>0.8446769230769231</v>
      </c>
      <c r="GC16" s="50">
        <f t="shared" si="73"/>
        <v>0.11938461538461538</v>
      </c>
      <c r="GD16" s="50">
        <f t="shared" si="74"/>
        <v>3.5938461538461537E-2</v>
      </c>
      <c r="GE16" s="51">
        <f t="shared" si="75"/>
        <v>7252</v>
      </c>
      <c r="GF16" s="51">
        <f t="shared" si="76"/>
        <v>1382</v>
      </c>
      <c r="GG16" s="14">
        <f>INT(SUMPRODUCT($U16:$Y16,$BF16:$BJ16)/SUM($BF16:$BJ16)/10000*$BX$7*$BZ$46/'疲劳值&amp;地图信息'!$R$10*$BY$54)</f>
        <v>492</v>
      </c>
      <c r="GH16" s="50">
        <f t="shared" si="77"/>
        <v>0.79465264080648701</v>
      </c>
      <c r="GI16" s="50">
        <f t="shared" si="78"/>
        <v>0.15143545912776682</v>
      </c>
      <c r="GJ16" s="50">
        <f t="shared" si="79"/>
        <v>5.391190006574622E-2</v>
      </c>
      <c r="GK16" s="51">
        <f t="shared" si="80"/>
        <v>7831</v>
      </c>
      <c r="GL16" s="51">
        <f t="shared" si="81"/>
        <v>2125</v>
      </c>
      <c r="GM16" s="14">
        <f>INT(SUMPRODUCT($AB16:$AF16,$BF16:$BJ16)/SUM($BF16:$BJ16)/10000*$BX$7*$BZ$46/'疲劳值&amp;地图信息'!$R$10*$BY$55)</f>
        <v>666</v>
      </c>
      <c r="GN16" s="50">
        <f t="shared" si="82"/>
        <v>0.7372434569760874</v>
      </c>
      <c r="GO16" s="50">
        <f t="shared" si="83"/>
        <v>0.20005648653737526</v>
      </c>
      <c r="GP16" s="50">
        <f t="shared" si="84"/>
        <v>6.270005648653737E-2</v>
      </c>
      <c r="GQ16" s="51">
        <f t="shared" si="85"/>
        <v>8840</v>
      </c>
      <c r="GR16" s="51">
        <f t="shared" si="86"/>
        <v>4102</v>
      </c>
      <c r="GS16" s="14">
        <f>INT(SUMPRODUCT($AI16:$AM16,$BF16:$BJ16)/SUM($BF16:$BJ16)/10000*$BX$7*$BZ$46/'疲劳值&amp;地图信息'!$R$10*$BY$56)</f>
        <v>999</v>
      </c>
      <c r="GT16" s="50">
        <f t="shared" si="87"/>
        <v>0.63410085359730295</v>
      </c>
      <c r="GU16" s="50">
        <f t="shared" si="88"/>
        <v>0.29424001147693851</v>
      </c>
      <c r="GV16" s="50">
        <f t="shared" si="89"/>
        <v>7.1659134925758552E-2</v>
      </c>
      <c r="GW16" s="51">
        <f t="shared" si="90"/>
        <v>9148</v>
      </c>
      <c r="GX16" s="51">
        <f t="shared" si="91"/>
        <v>10341</v>
      </c>
      <c r="GY16" s="14">
        <f>INT(SUMPRODUCT($AP16:$AT16,$BF16:$BJ16)/SUM($BF16:$BJ16)/10000*$BX$7*$BZ$46/'疲劳值&amp;地图信息'!$R$10*$BY$57)</f>
        <v>1332</v>
      </c>
      <c r="GZ16" s="50">
        <f t="shared" si="92"/>
        <v>0.43936410354930117</v>
      </c>
      <c r="HA16" s="50">
        <f t="shared" si="93"/>
        <v>0.49666202391815956</v>
      </c>
      <c r="HB16" s="50">
        <f t="shared" si="94"/>
        <v>6.3973872532539264E-2</v>
      </c>
      <c r="HD16" s="14">
        <f t="shared" si="95"/>
        <v>8125</v>
      </c>
      <c r="HE16" s="14">
        <f t="shared" si="96"/>
        <v>9126</v>
      </c>
      <c r="HF16" s="14">
        <f t="shared" si="97"/>
        <v>10622</v>
      </c>
      <c r="HG16" s="14">
        <f t="shared" si="98"/>
        <v>13941</v>
      </c>
      <c r="HH16" s="14">
        <f t="shared" si="99"/>
        <v>20821</v>
      </c>
      <c r="HI16" s="14">
        <f t="shared" si="100"/>
        <v>935216</v>
      </c>
      <c r="HL16" s="14">
        <f t="shared" si="101"/>
        <v>430050</v>
      </c>
      <c r="HM16" s="50">
        <f t="shared" si="9"/>
        <v>0.31499356169420467</v>
      </c>
      <c r="HO16" s="14">
        <f t="shared" si="102"/>
        <v>1365266</v>
      </c>
    </row>
    <row r="17" spans="3:223" x14ac:dyDescent="0.2">
      <c r="C17" s="1" t="s">
        <v>416</v>
      </c>
      <c r="F17" s="1" t="s">
        <v>417</v>
      </c>
      <c r="K17" s="14">
        <v>12</v>
      </c>
      <c r="L17" s="12">
        <f>求节点(节奏总纲!D$4:D$163,标准城池设计!AB$4:AB$163,$K17)*求节点(节奏总纲!D$4:D$163,攻城基础信息!$AC$5:$AC$164,$K17)</f>
        <v>132416.80505792086</v>
      </c>
      <c r="M17" s="12">
        <f>INDEX(其他调用!$AA$5:$AA$404,MATCH(K17,其他调用!$X$5:$X$404,0))*MIN(INDEX(其他调用!$AH$5:$AH$364,MATCH('征服点（新）'!K17,其他调用!$AG$5:$AG$364,0),1)/INDEX(其他调用!$AJ$5:$AJ$364,MATCH(K17,其他调用!$AG$5:$AG$364,0),0),5)*求节点(节奏总纲!D$4:D$163,攻城基础信息!$AC$5:$AC$164,$K17)</f>
        <v>27165.565026995013</v>
      </c>
      <c r="N17" s="12">
        <f>MIN(INDEX(其他调用!$AH$5:$AH$364,MATCH($K17,其他调用!$AG$5:$AG$364,0),1)/INDEX(其他调用!AH$5:AH$364,MATCH($K17,其他调用!$AG$5:$AG$364,0),0),1)*INDEX(其他调用!Y$5:Y$404,MATCH($K17,其他调用!$X$5:$X$404,0),0)</f>
        <v>24655.764771095623</v>
      </c>
      <c r="O17" s="12">
        <f>MIN(INDEX(其他调用!$AH$5:$AH$364,MATCH($K17,其他调用!$AG$5:$AG$364,0),1)/INDEX(其他调用!AI$5:AI$364,MATCH($K17,其他调用!$AG$5:$AG$364,0),0),1)*INDEX(其他调用!Z$5:Z$404,MATCH($K17,其他调用!$X$5:$X$404,0),0)</f>
        <v>18251.46596805118</v>
      </c>
      <c r="P17" s="12">
        <f>MIN(INDEX(其他调用!$AH$5:$AH$364,MATCH($K17,其他调用!$AG$5:$AG$364,0),1)/INDEX(其他调用!AJ$5:AJ$364,MATCH($K17,其他调用!$AG$5:$AG$364,0),0),1)*INDEX(其他调用!AA$5:AA$404,MATCH($K17,其他调用!$X$5:$X$404,0),0)</f>
        <v>13143.72785231468</v>
      </c>
      <c r="Q17" s="12">
        <f>MIN(INDEX(其他调用!$AH$5:$AH$364,MATCH($K17,其他调用!$AG$5:$AG$364,0),1)/INDEX(其他调用!AK$5:AK$364,MATCH($K17,其他调用!$AG$5:$AG$364,0),0),1)*INDEX(其他调用!AB$5:AB$404,MATCH($K17,其他调用!$X$5:$X$404,0),0)</f>
        <v>7220.1961469926455</v>
      </c>
      <c r="R17" s="12">
        <f>MIN(INDEX(其他调用!$AH$5:$AH$364,MATCH($K17,其他调用!$AG$5:$AG$364,0),1)/INDEX(其他调用!AL$5:AL$364,MATCH($K17,其他调用!$AG$5:$AG$364,0),0),1)*INDEX(其他调用!AC$5:AC$404,MATCH($K17,其他调用!$X$5:$X$404,0),0)</f>
        <v>3113.6909007221784</v>
      </c>
      <c r="S17" s="12">
        <f>求节点(节奏总纲!D$4:D$163,标准城池设计!AC$4:AC$163,$K17)*求节点(节奏总纲!D$4:D$163,攻城基础信息!$AD$5:$AD$164,$K17)</f>
        <v>139583.74287102435</v>
      </c>
      <c r="T17" s="12">
        <f>INDEX(其他调用!$AA$5:$AA$404,MATCH($K17,其他调用!$X$5:$X$404,0))*MIN(INDEX(其他调用!AI$5:AI$364,MATCH($K17,其他调用!$AG$5:$AG$364,0),1)/INDEX(其他调用!$AJ$5:$AJ$364,MATCH($K17,其他调用!$AG$5:$AG$364,0),0),5)*求节点(节奏总纲!D$4:D$163,攻城基础信息!$AD$5:$AD$164,$K17)</f>
        <v>38210.847218583542</v>
      </c>
      <c r="U17" s="12">
        <f>MIN(INDEX(其他调用!$AI$5:$AI$364,MATCH($K17,其他调用!$AG$5:$AG$364,0),1)/INDEX(其他调用!AH$5:AH$364,MATCH($K17,其他调用!$AG$5:$AG$364,0),0),1)*INDEX(其他调用!Y$5:Y$404,MATCH($K17,其他调用!$X$5:$X$404,0),0)</f>
        <v>24655.764771095623</v>
      </c>
      <c r="V17" s="12">
        <f>MIN(INDEX(其他调用!$AI$5:$AI$364,MATCH($K17,其他调用!$AG$5:$AG$364,0),1)/INDEX(其他调用!AI$5:AI$364,MATCH($K17,其他调用!$AG$5:$AG$364,0),0),1)*INDEX(其他调用!Z$5:Z$404,MATCH($K17,其他调用!$X$5:$X$404,0),0)</f>
        <v>25672.353103178786</v>
      </c>
      <c r="W17" s="12">
        <f>MIN(INDEX(其他调用!$AI$5:$AI$364,MATCH($K17,其他调用!$AG$5:$AG$364,0),1)/INDEX(其他调用!AJ$5:AJ$364,MATCH($K17,其他调用!$AG$5:$AG$364,0),0),1)*INDEX(其他调用!AA$5:AA$404,MATCH($K17,其他调用!$X$5:$X$404,0),0)</f>
        <v>18487.853146008838</v>
      </c>
      <c r="X17" s="12">
        <f>MIN(INDEX(其他调用!$AI$5:$AI$364,MATCH($K17,其他调用!$AG$5:$AG$364,0),1)/INDEX(其他调用!AK$5:AK$364,MATCH($K17,其他调用!$AG$5:$AG$364,0),0),1)*INDEX(其他调用!AB$5:AB$404,MATCH($K17,其他调用!$X$5:$X$404,0),0)</f>
        <v>10155.86502937759</v>
      </c>
      <c r="Y17" s="12">
        <f>MIN(INDEX(其他调用!$AI$5:$AI$364,MATCH($K17,其他调用!$AG$5:$AG$364,0),1)/INDEX(其他调用!AL$5:AL$364,MATCH($K17,其他调用!$AG$5:$AG$364,0),0),1)*INDEX(其他调用!AC$5:AC$404,MATCH($K17,其他调用!$X$5:$X$404,0),0)</f>
        <v>4379.6905080074393</v>
      </c>
      <c r="Z17" s="12">
        <f>求节点(节奏总纲!D$4:D$163,标准城池设计!AD$4:AD$163,$K17)*求节点(节奏总纲!D$4:D$163,攻城基础信息!$AE$5:$AE$164,$K17)</f>
        <v>149215.08228808074</v>
      </c>
      <c r="AA17" s="12">
        <f>INDEX(其他调用!$AA$5:$AA$404,MATCH($K17,其他调用!$X$5:$X$404,0))*MIN(INDEX(其他调用!AJ$5:AJ$364,MATCH($K17,其他调用!$AG$5:$AG$364,0),1)/INDEX(其他调用!$AJ$5:$AJ$364,MATCH($K17,其他调用!$AG$5:$AG$364,0),0),5)*求节点(节奏总纲!D$4:D$163,攻城基础信息!$AE$5:$AE$164,$K17)</f>
        <v>55847.605994781174</v>
      </c>
      <c r="AB17" s="12">
        <f>MIN(INDEX(其他调用!$AJ$5:$AJ$364,MATCH($K17,其他调用!$AG$5:$AG$364,0),1)/INDEX(其他调用!AH$5:AH$364,MATCH($K17,其他调用!$AG$5:$AG$364,0),0),1)*INDEX(其他调用!Y$5:Y$404,MATCH($K17,其他调用!$X$5:$X$404,0),0)</f>
        <v>24655.764771095623</v>
      </c>
      <c r="AC17" s="12">
        <f>MIN(INDEX(其他调用!$AJ$5:$AJ$364,MATCH($K17,其他调用!$AG$5:$AG$364,0),1)/INDEX(其他调用!AI$5:AI$364,MATCH($K17,其他调用!$AG$5:$AG$364,0),0),1)*INDEX(其他调用!Z$5:Z$404,MATCH($K17,其他调用!$X$5:$X$404,0),0)</f>
        <v>25672.353103178786</v>
      </c>
      <c r="AD17" s="12">
        <f>MIN(INDEX(其他调用!$AJ$5:$AJ$364,MATCH($K17,其他调用!$AG$5:$AG$364,0),1)/INDEX(其他调用!AJ$5:AJ$364,MATCH($K17,其他调用!$AG$5:$AG$364,0),0),1)*INDEX(其他调用!AA$5:AA$404,MATCH($K17,其他调用!$X$5:$X$404,0),0)</f>
        <v>27021.184122960978</v>
      </c>
      <c r="AE17" s="12">
        <f>MIN(INDEX(其他调用!$AJ$5:$AJ$364,MATCH($K17,其他调用!$AG$5:$AG$364,0),1)/INDEX(其他调用!AK$5:AK$364,MATCH($K17,其他调用!$AG$5:$AG$364,0),0),1)*INDEX(其他调用!AB$5:AB$404,MATCH($K17,其他调用!$X$5:$X$404,0),0)</f>
        <v>14843.448653528219</v>
      </c>
      <c r="AF17" s="12">
        <f>MIN(INDEX(其他调用!$AJ$5:$AJ$364,MATCH($K17,其他调用!$AG$5:$AG$364,0),1)/INDEX(其他调用!AL$5:AL$364,MATCH($K17,其他调用!$AG$5:$AG$364,0),0),1)*INDEX(其他调用!AC$5:AC$404,MATCH($K17,其他调用!$X$5:$X$404,0),0)</f>
        <v>6401.198813286861</v>
      </c>
      <c r="AG17" s="12">
        <f>求节点(节奏总纲!D$4:D$163,标准城池设计!AE$4:AE$163,$K17)*求节点(节奏总纲!D$4:D$163,攻城基础信息!$AF$5:$AF$164,$K17)</f>
        <v>168910.36396435607</v>
      </c>
      <c r="AH17" s="12">
        <f>INDEX(其他调用!$AA$5:$AA$404,MATCH($K17,其他调用!$X$5:$X$404,0))*MIN(INDEX(其他调用!AK$5:AK$364,MATCH($K17,其他调用!$AG$5:$AG$364,0),1)/INDEX(其他调用!$AJ$5:$AJ$364,MATCH($K17,其他调用!$AG$5:$AG$364,0),0),5)*求节点(节奏总纲!D$4:D$163,攻城基础信息!$AF$5:$AF$164,$K17)</f>
        <v>109102.55370276046</v>
      </c>
      <c r="AI17" s="12">
        <f>MIN(INDEX(其他调用!$AK$5:$AK$364,MATCH($K17,其他调用!$AG$5:$AG$364,0),1)/INDEX(其他调用!AH$5:AH$364,MATCH($K17,其他调用!$AG$5:$AG$364,0),0),1)*INDEX(其他调用!Y$5:Y$404,MATCH($K17,其他调用!$X$5:$X$404,0),0)</f>
        <v>24655.764771095623</v>
      </c>
      <c r="AJ17" s="12">
        <f>MIN(INDEX(其他调用!$AK$5:$AK$364,MATCH($K17,其他调用!$AG$5:$AG$364,0),1)/INDEX(其他调用!AI$5:AI$364,MATCH($K17,其他调用!$AG$5:$AG$364,0),0),1)*INDEX(其他调用!Z$5:Z$404,MATCH($K17,其他调用!$X$5:$X$404,0),0)</f>
        <v>25672.353103178786</v>
      </c>
      <c r="AK17" s="12">
        <f>MIN(INDEX(其他调用!$AK$5:$AK$364,MATCH($K17,其他调用!$AG$5:$AG$364,0),1)/INDEX(其他调用!AJ$5:AJ$364,MATCH($K17,其他调用!$AG$5:$AG$364,0),0),1)*INDEX(其他调用!AA$5:AA$404,MATCH($K17,其他调用!$X$5:$X$404,0),0)</f>
        <v>27021.184122960978</v>
      </c>
      <c r="AL17" s="12">
        <f>MIN(INDEX(其他调用!$AK$5:$AK$364,MATCH($K17,其他调用!$AG$5:$AG$364,0),1)/INDEX(其他调用!AK$5:AK$364,MATCH($K17,其他调用!$AG$5:$AG$364,0),0),1)*INDEX(其他调用!AB$5:AB$404,MATCH($K17,其他调用!$X$5:$X$404,0),0)</f>
        <v>28997.807963461575</v>
      </c>
      <c r="AM17" s="12">
        <f>MIN(INDEX(其他调用!$AK$5:$AK$364,MATCH($K17,其他调用!$AG$5:$AG$364,0),1)/INDEX(其他调用!AL$5:AL$364,MATCH($K17,其他调用!$AG$5:$AG$364,0),0),1)*INDEX(其他调用!AC$5:AC$404,MATCH($K17,其他调用!$X$5:$X$404,0),0)</f>
        <v>12505.229630683521</v>
      </c>
      <c r="AN17" s="12">
        <f>求节点(节奏总纲!D$4:D$163,标准城池设计!AF$4:AF$163,$K17)*求节点(节奏总纲!D$4:D$163,攻城基础信息!$AG$5:$AG$164,$K17)</f>
        <v>174833.58461768768</v>
      </c>
      <c r="AO17" s="12">
        <f>INDEX(其他调用!$AA$5:$AA$404,MATCH($K17,其他调用!$X$5:$X$404,0))*MIN(INDEX(其他调用!AL$5:AL$364,MATCH($K17,其他调用!$AG$5:$AG$364,0),1)/INDEX(其他调用!$AJ$5:$AJ$364,MATCH($K17,其他调用!$AG$5:$AG$364,0),0),5)*求节点(节奏总纲!D$4:D$163,攻城基础信息!$AG$5:$AG$164,$K17)</f>
        <v>279238.02997390588</v>
      </c>
      <c r="AP17" s="12">
        <f>MIN(INDEX(其他调用!$AL$5:$AL$364,MATCH($K17,其他调用!$AG$5:$AG$364,0),1)/INDEX(其他调用!AH$5:AH$364,MATCH($K17,其他调用!$AG$5:$AG$364,0),0),1)*INDEX(其他调用!Y$5:Y$404,MATCH($K17,其他调用!$X$5:$X$404,0),0)</f>
        <v>24655.764771095623</v>
      </c>
      <c r="AQ17" s="12">
        <f>MIN(INDEX(其他调用!$AL$5:$AL$364,MATCH($K17,其他调用!$AG$5:$AG$364,0),1)/INDEX(其他调用!AI$5:AI$364,MATCH($K17,其他调用!$AG$5:$AG$364,0),0),1)*INDEX(其他调用!Z$5:Z$404,MATCH($K17,其他调用!$X$5:$X$404,0),0)</f>
        <v>25672.353103178786</v>
      </c>
      <c r="AR17" s="12">
        <f>MIN(INDEX(其他调用!$AL$5:$AL$364,MATCH($K17,其他调用!$AG$5:$AG$364,0),1)/INDEX(其他调用!AJ$5:AJ$364,MATCH($K17,其他调用!$AG$5:$AG$364,0),0),1)*INDEX(其他调用!AA$5:AA$404,MATCH($K17,其他调用!$X$5:$X$404,0),0)</f>
        <v>27021.184122960978</v>
      </c>
      <c r="AS17" s="12">
        <f>MIN(INDEX(其他调用!$AL$5:$AL$364,MATCH($K17,其他调用!$AG$5:$AG$364,0),1)/INDEX(其他调用!AK$5:AK$364,MATCH($K17,其他调用!$AG$5:$AG$364,0),0),1)*INDEX(其他调用!AB$5:AB$404,MATCH($K17,其他调用!$X$5:$X$404,0),0)</f>
        <v>28997.807963461575</v>
      </c>
      <c r="AT17" s="12">
        <f>MIN(INDEX(其他调用!$AL$5:$AL$364,MATCH($K17,其他调用!$AG$5:$AG$364,0),1)/INDEX(其他调用!AL$5:AL$364,MATCH($K17,其他调用!$AG$5:$AG$364,0),0),1)*INDEX(其他调用!AC$5:AC$404,MATCH($K17,其他调用!$X$5:$X$404,0),0)</f>
        <v>32579.001312907614</v>
      </c>
      <c r="AV17" s="14">
        <f>IF(OR(AV$5="大R",AV$5="超R"),MAX(INDEX(其他调用!$H$5:$L$404,MATCH($K17,其他调用!$B$5:$B$404,0),MATCH(AV$5,其他调用!$H$4:$L$4,0))*120*0.85,2),INDEX(其他调用!$H$5:$L$404,MATCH($K17,其他调用!$B$5:$B$404,0),MATCH(AV$5,其他调用!$H$4:$L$4,0))*120*0.85)</f>
        <v>63.705169372456652</v>
      </c>
      <c r="AW17" s="14">
        <f>IF(OR(AW$5="大R",AW$5="超R"),MAX(INDEX(其他调用!$H$5:$L$404,MATCH($K17,其他调用!$B$5:$B$404,0),MATCH(AW$5,其他调用!$H$4:$L$4,0))*120*0.85,2),INDEX(其他调用!$H$5:$L$404,MATCH($K17,其他调用!$B$5:$B$404,0),MATCH(AW$5,其他调用!$H$4:$L$4,0))*120*0.85)</f>
        <v>33.945783770400496</v>
      </c>
      <c r="AX17" s="14">
        <f>IF(OR(AX$5="大R",AX$5="超R"),MAX(INDEX(其他调用!$H$5:$L$404,MATCH($K17,其他调用!$B$5:$B$404,0),MATCH(AX$5,其他调用!$H$4:$L$4,0))*120*0.85,2),INDEX(其他调用!$H$5:$L$404,MATCH($K17,其他调用!$B$5:$B$404,0),MATCH(AX$5,其他调用!$H$4:$L$4,0))*120*0.85)</f>
        <v>3.7079039999999996</v>
      </c>
      <c r="AY17" s="14">
        <f>IF(OR(AY$5="大R",AY$5="超R"),MAX(INDEX(其他调用!$H$5:$L$404,MATCH($K17,其他调用!$B$5:$B$404,0),MATCH(AY$5,其他调用!$H$4:$L$4,0))*120*0.85,2),INDEX(其他调用!$H$5:$L$404,MATCH($K17,其他调用!$B$5:$B$404,0),MATCH(AY$5,其他调用!$H$4:$L$4,0))*120*0.85)</f>
        <v>2</v>
      </c>
      <c r="AZ17" s="14">
        <f>IF(OR(AZ$5="大R",AZ$5="超R"),MAX(INDEX(其他调用!$H$5:$L$404,MATCH($K17,其他调用!$B$5:$B$404,0),MATCH(AZ$5,其他调用!$H$4:$L$4,0))*120*0.85,2),INDEX(其他调用!$H$5:$L$404,MATCH($K17,其他调用!$B$5:$B$404,0),MATCH(AZ$5,其他调用!$H$4:$L$4,0))*120*0.85)</f>
        <v>2</v>
      </c>
      <c r="BA17" s="14">
        <f>INDEX(其他调用!$H$5:$L$404,MATCH($K17,其他调用!$B$5:$B$404,0),MATCH(BA$5,其他调用!$H$4:$L$4,0))*INDEX(其他调用!$M$5:$M$404,MATCH($K17,其他调用!$B$5:$B$404,0))*0.6</f>
        <v>28.845085739987159</v>
      </c>
      <c r="BB17" s="14">
        <f>INDEX(其他调用!$H$5:$L$404,MATCH($K17,其他调用!$B$5:$B$404,0),MATCH(BB$5,其他调用!$H$4:$L$4,0))*INDEX(其他调用!$M$5:$M$404,MATCH($K17,其他调用!$B$5:$B$404,0))*0.6</f>
        <v>15.370323209463391</v>
      </c>
      <c r="BC17" s="14">
        <f>INDEX(其他调用!$H$5:$L$404,MATCH($K17,其他调用!$B$5:$B$404,0),MATCH(BC$5,其他调用!$H$4:$L$4,0))*INDEX(其他调用!$M$5:$M$404,MATCH($K17,其他调用!$B$5:$B$404,0))*0.6</f>
        <v>1.6789031384615385</v>
      </c>
      <c r="BD17" s="14">
        <f>INDEX(其他调用!$H$5:$L$404,MATCH($K17,其他调用!$B$5:$B$404,0),MATCH(BD$5,其他调用!$H$4:$L$4,0))*INDEX(其他调用!$M$5:$M$404,MATCH($K17,其他调用!$B$5:$B$404,0))*0.6</f>
        <v>0.23752087912087913</v>
      </c>
      <c r="BE17" s="14">
        <f>INDEX(其他调用!$H$5:$L$404,MATCH($K17,其他调用!$B$5:$B$404,0),MATCH(BE$5,其他调用!$H$4:$L$4,0))*INDEX(其他调用!$M$5:$M$404,MATCH($K17,其他调用!$B$5:$B$404,0))*0.6</f>
        <v>5.2782417582417578E-2</v>
      </c>
      <c r="BF17" s="14">
        <f>IF(OR(BF$5="大R",BF$5="超R"),0,INDEX(其他调用!$H$5:$L$404,MATCH($K17,其他调用!$B$5:$B$404,0),MATCH(BF$5,其他调用!$H$4:$L$4,0))*50*0.4)</f>
        <v>12.491209680873855</v>
      </c>
      <c r="BG17" s="14">
        <f>IF(OR(BG$5="大R",BG$5="超R"),0,INDEX(其他调用!$H$5:$L$404,MATCH($K17,其他调用!$B$5:$B$404,0),MATCH(BG$5,其他调用!$H$4:$L$4,0))*50*0.4)</f>
        <v>6.656036033411862</v>
      </c>
      <c r="BH17" s="14">
        <f>IF(OR(BH$5="大R",BH$5="超R"),0,INDEX(其他调用!$H$5:$L$404,MATCH($K17,其他调用!$B$5:$B$404,0),MATCH(BH$5,其他调用!$H$4:$L$4,0))*50*0.4)</f>
        <v>0.72704000000000013</v>
      </c>
      <c r="BI17" s="14">
        <f>IF(OR(BI$5="大R",BI$5="超R"),0,INDEX(其他调用!$H$5:$L$404,MATCH($K17,其他调用!$B$5:$B$404,0),MATCH(BI$5,其他调用!$H$4:$L$4,0))*50*0.4)</f>
        <v>0</v>
      </c>
      <c r="BJ17" s="14">
        <f>IF(OR(BJ$5="大R",BJ$5="超R"),0,INDEX(其他调用!$H$5:$L$404,MATCH($K17,其他调用!$B$5:$B$404,0),MATCH(BJ$5,其他调用!$H$4:$L$4,0))*50*0.4)</f>
        <v>0</v>
      </c>
      <c r="BL17" s="14">
        <f t="shared" si="103"/>
        <v>12</v>
      </c>
      <c r="BM17" s="14">
        <f t="shared" si="10"/>
        <v>96</v>
      </c>
      <c r="BN17" s="14">
        <f>('疲劳值&amp;地图信息'!$S$10*'疲劳值&amp;地图信息'!$R$10+'疲劳值&amp;地图信息'!$S$11*'疲劳值&amp;地图信息'!$R$11+'疲劳值&amp;地图信息'!$S$12*'疲劳值&amp;地图信息'!$R$12+(BM17-'疲劳值&amp;地图信息'!$S$12-'疲劳值&amp;地图信息'!$S$11-'疲劳值&amp;地图信息'!$S$10)*'疲劳值&amp;地图信息'!$R$13)/BM17</f>
        <v>51.371477246638619</v>
      </c>
      <c r="BO17" s="14">
        <f>INDEX(其他调用!$M$5:$M$404,MATCH(BL17,其他调用!$B$5:$B$404,0))*0.6</f>
        <v>46.184615384615384</v>
      </c>
      <c r="BP17" s="14">
        <f>IF(BO17&gt;SUM('疲劳值&amp;地图信息'!$S$10:$S$12),('疲劳值&amp;地图信息'!$S$10*'疲劳值&amp;地图信息'!$R$10+'疲劳值&amp;地图信息'!$S$11*'疲劳值&amp;地图信息'!$R$11+'疲劳值&amp;地图信息'!$S$12*'疲劳值&amp;地图信息'!$R$12+(BO17-'疲劳值&amp;地图信息'!$S$12-'疲劳值&amp;地图信息'!$S$11-'疲劳值&amp;地图信息'!$S$10)*'疲劳值&amp;地图信息'!$R$13)/BO17,('疲劳值&amp;地图信息'!$S$10*'疲劳值&amp;地图信息'!$R$10+'疲劳值&amp;地图信息'!$S$11*'疲劳值&amp;地图信息'!$R$11+'疲劳值&amp;地图信息'!$S$12*'疲劳值&amp;地图信息'!$R$12+(BO17-'疲劳值&amp;地图信息'!$S$12-'疲劳值&amp;地图信息'!$S$11-'疲劳值&amp;地图信息'!$S$10)*'疲劳值&amp;地图信息'!$R$13)/BO17)</f>
        <v>38.404123343409779</v>
      </c>
      <c r="BQ17" s="14">
        <f t="shared" si="104"/>
        <v>20</v>
      </c>
      <c r="BR17" s="14">
        <f>('疲劳值&amp;地图信息'!$S$10*'疲劳值&amp;地图信息'!$R$10+($BQ17-'疲劳值&amp;地图信息'!$S$10)*'疲劳值&amp;地图信息'!$R$11)/$BQ17</f>
        <v>32.067203015074995</v>
      </c>
      <c r="BW17" s="14" t="s">
        <v>268</v>
      </c>
      <c r="BX17" s="14">
        <v>9000</v>
      </c>
      <c r="BY17" s="14">
        <v>250</v>
      </c>
      <c r="CF17" s="14">
        <v>12</v>
      </c>
      <c r="CG17" s="51">
        <f t="shared" si="11"/>
        <v>3103</v>
      </c>
      <c r="CH17" s="51">
        <f t="shared" si="12"/>
        <v>636</v>
      </c>
      <c r="CI17" s="51">
        <f>INT(SUMPRODUCT($N17:$R17,$BA17:$BE17)/SUM($BA17:$BE17)/10000*$BX$7*$BZ$34/'疲劳值&amp;地图信息'!$R$10*$BY$53)</f>
        <v>2231</v>
      </c>
      <c r="CJ17" s="50">
        <f t="shared" si="13"/>
        <v>0.5197654941373534</v>
      </c>
      <c r="CK17" s="50">
        <f t="shared" si="14"/>
        <v>0.10653266331658291</v>
      </c>
      <c r="CL17" s="50">
        <f t="shared" si="15"/>
        <v>0.37370184254606365</v>
      </c>
      <c r="CM17" s="14">
        <f t="shared" si="16"/>
        <v>3271</v>
      </c>
      <c r="CN17" s="14">
        <f t="shared" si="17"/>
        <v>895</v>
      </c>
      <c r="CO17" s="14">
        <f>INT(SUMPRODUCT($U17:$Y17,$BA17:$BE17)/SUM($BA17:$BE17)/10000*$BX$7*$BZ$34/'疲劳值&amp;地图信息'!$R$10*$BY$54)</f>
        <v>3755</v>
      </c>
      <c r="CP17" s="50">
        <f t="shared" si="18"/>
        <v>0.41295290998611284</v>
      </c>
      <c r="CQ17" s="50">
        <f t="shared" si="19"/>
        <v>0.11299078399192021</v>
      </c>
      <c r="CR17" s="50">
        <f t="shared" si="20"/>
        <v>0.47405630602196691</v>
      </c>
      <c r="CS17" s="14">
        <f t="shared" si="21"/>
        <v>3496</v>
      </c>
      <c r="CT17" s="14">
        <f t="shared" si="22"/>
        <v>1308</v>
      </c>
      <c r="CU17" s="14">
        <f>INT(SUMPRODUCT($AB17:$AF17,$BA17:$BE17)/SUM($BA17:$BE17)/10000*$BX$7*$BZ$34/'疲劳值&amp;地图信息'!$R$10*$BY$55)</f>
        <v>5075</v>
      </c>
      <c r="CV17" s="50">
        <f t="shared" si="23"/>
        <v>0.35388197185949993</v>
      </c>
      <c r="CW17" s="50">
        <f t="shared" si="24"/>
        <v>0.13240206498633464</v>
      </c>
      <c r="CX17" s="50">
        <f t="shared" si="25"/>
        <v>0.51371596315416546</v>
      </c>
      <c r="CY17" s="14">
        <f t="shared" si="26"/>
        <v>3958</v>
      </c>
      <c r="CZ17" s="14">
        <f t="shared" si="27"/>
        <v>2556</v>
      </c>
      <c r="DA17" s="14">
        <f>INT(SUMPRODUCT($AI17:$AM17,$BA17:$BE17)/SUM($BA17:$BE17)/10000*$BX$7*$BZ$34/'疲劳值&amp;地图信息'!$R$10*$BY$56)</f>
        <v>7636</v>
      </c>
      <c r="DB17" s="50">
        <f t="shared" si="28"/>
        <v>0.27971731448763248</v>
      </c>
      <c r="DC17" s="50">
        <f t="shared" si="29"/>
        <v>0.18063604240282685</v>
      </c>
      <c r="DD17" s="50">
        <f t="shared" si="30"/>
        <v>0.53964664310954069</v>
      </c>
      <c r="DE17" s="14">
        <f t="shared" si="31"/>
        <v>4097</v>
      </c>
      <c r="DF17" s="14">
        <f t="shared" si="32"/>
        <v>6543</v>
      </c>
      <c r="DG17" s="14">
        <f>INT(SUMPRODUCT($AP17:$AT17,$BA17:$BE17)/SUM($BA17:$BE17)/10000*$BX$7*$BZ$34/'疲劳值&amp;地图信息'!$R$10*$BY$57)</f>
        <v>10191</v>
      </c>
      <c r="DH17" s="50">
        <f t="shared" si="33"/>
        <v>0.1966780279391292</v>
      </c>
      <c r="DI17" s="50">
        <f t="shared" si="34"/>
        <v>0.31409917910806012</v>
      </c>
      <c r="DJ17" s="50">
        <f t="shared" si="35"/>
        <v>0.48922279295281074</v>
      </c>
      <c r="DL17" s="14">
        <f t="shared" si="106"/>
        <v>5970</v>
      </c>
      <c r="DM17" s="14">
        <f t="shared" si="107"/>
        <v>7921</v>
      </c>
      <c r="DN17" s="14">
        <f t="shared" si="108"/>
        <v>9879</v>
      </c>
      <c r="DO17" s="14">
        <f t="shared" si="109"/>
        <v>14150</v>
      </c>
      <c r="DP17" s="14">
        <f t="shared" si="110"/>
        <v>20831</v>
      </c>
      <c r="DQ17" s="14">
        <f t="shared" si="111"/>
        <v>314999</v>
      </c>
      <c r="DT17" s="14">
        <f t="shared" si="105"/>
        <v>235575</v>
      </c>
      <c r="DU17" s="50">
        <f t="shared" si="7"/>
        <v>0.42787163941631823</v>
      </c>
      <c r="DW17" s="14">
        <f t="shared" si="36"/>
        <v>550574</v>
      </c>
      <c r="EB17" s="14">
        <v>12</v>
      </c>
      <c r="EC17" s="51">
        <f t="shared" si="37"/>
        <v>5171</v>
      </c>
      <c r="ED17" s="51">
        <f t="shared" si="38"/>
        <v>1061</v>
      </c>
      <c r="EE17" s="51">
        <f>INT(SUMPRODUCT($N17:$R17,$BF17:$BJ17)/SUM($BF17:$BJ17)/10000*$BX$7*$BZ$46/'疲劳值&amp;地图信息'!$R$10*$BY$53)</f>
        <v>298</v>
      </c>
      <c r="EF17" s="50">
        <f t="shared" si="39"/>
        <v>0.7918836140888208</v>
      </c>
      <c r="EG17" s="50">
        <f t="shared" si="40"/>
        <v>0.16248085758039815</v>
      </c>
      <c r="EH17" s="50">
        <f t="shared" si="41"/>
        <v>4.5635528330781008E-2</v>
      </c>
      <c r="EI17" s="51">
        <f t="shared" si="42"/>
        <v>5451</v>
      </c>
      <c r="EJ17" s="51">
        <f t="shared" si="43"/>
        <v>1492</v>
      </c>
      <c r="EK17" s="14">
        <f>INT(SUMPRODUCT($U17:$Y17,$BF17:$BJ17)/SUM($BF17:$BJ17)/10000*$BX$7*$BZ$46/'疲劳值&amp;地图信息'!$R$10*$BY$54)</f>
        <v>502</v>
      </c>
      <c r="EL17" s="50">
        <f t="shared" si="44"/>
        <v>0.73216924110141035</v>
      </c>
      <c r="EM17" s="50">
        <f t="shared" si="45"/>
        <v>0.20040295500335795</v>
      </c>
      <c r="EN17" s="50">
        <f t="shared" si="46"/>
        <v>6.7427803895231703E-2</v>
      </c>
      <c r="EO17" s="51">
        <f t="shared" si="47"/>
        <v>5828</v>
      </c>
      <c r="EP17" s="51">
        <f t="shared" si="48"/>
        <v>2181</v>
      </c>
      <c r="EQ17" s="14">
        <f>INT(SUMPRODUCT($AB17:$AF17,$BF17:$BJ17)/SUM($BF17:$BJ17)/10000*$BX$7*$BZ$46/'疲劳值&amp;地图信息'!$R$10*$BY$55)</f>
        <v>678</v>
      </c>
      <c r="ER17" s="50">
        <f t="shared" si="49"/>
        <v>0.67088753309542992</v>
      </c>
      <c r="ES17" s="50">
        <f t="shared" si="50"/>
        <v>0.25106480948543802</v>
      </c>
      <c r="ET17" s="50">
        <f t="shared" si="51"/>
        <v>7.8047657419132041E-2</v>
      </c>
      <c r="EU17" s="51">
        <f t="shared" si="52"/>
        <v>6597</v>
      </c>
      <c r="EV17" s="51">
        <f t="shared" si="53"/>
        <v>4261</v>
      </c>
      <c r="EW17" s="14">
        <f>INT(SUMPRODUCT($AI17:$AM17,$BF17:$BJ17)/SUM($BF17:$BJ17)/10000*$BX$7*$BZ$46/'疲劳值&amp;地图信息'!$R$10*$BY$56)</f>
        <v>1018</v>
      </c>
      <c r="EX17" s="50">
        <f t="shared" si="54"/>
        <v>0.55549006399461098</v>
      </c>
      <c r="EY17" s="50">
        <f t="shared" si="55"/>
        <v>0.35879083866621758</v>
      </c>
      <c r="EZ17" s="50">
        <f t="shared" si="56"/>
        <v>8.5719097339171435E-2</v>
      </c>
      <c r="FA17" s="51">
        <f t="shared" si="57"/>
        <v>6828</v>
      </c>
      <c r="FB17" s="51">
        <f t="shared" si="58"/>
        <v>10906</v>
      </c>
      <c r="FC17" s="14">
        <f>INT(SUMPRODUCT($AP17:$AT17,$BF17:$BJ17)/SUM($BF17:$BJ17)/10000*$BX$7*$BZ$46/'疲劳值&amp;地图信息'!$R$10*$BY$57)</f>
        <v>1357</v>
      </c>
      <c r="FD17" s="50">
        <f t="shared" si="59"/>
        <v>0.35765543973600128</v>
      </c>
      <c r="FE17" s="50">
        <f t="shared" si="60"/>
        <v>0.57126394636216016</v>
      </c>
      <c r="FF17" s="50">
        <f t="shared" si="61"/>
        <v>7.1080613901838563E-2</v>
      </c>
      <c r="FH17" s="14">
        <f t="shared" si="62"/>
        <v>6530</v>
      </c>
      <c r="FI17" s="14">
        <f t="shared" si="63"/>
        <v>7445</v>
      </c>
      <c r="FJ17" s="14">
        <f t="shared" si="64"/>
        <v>8687</v>
      </c>
      <c r="FK17" s="14">
        <f t="shared" si="65"/>
        <v>11876</v>
      </c>
      <c r="FL17" s="14">
        <f t="shared" si="66"/>
        <v>19091</v>
      </c>
      <c r="FM17" s="14">
        <f t="shared" si="67"/>
        <v>762865</v>
      </c>
      <c r="FP17" s="14">
        <f t="shared" si="68"/>
        <v>334150</v>
      </c>
      <c r="FQ17" s="50">
        <f t="shared" si="8"/>
        <v>0.3045992990068504</v>
      </c>
      <c r="FS17" s="14">
        <f t="shared" si="69"/>
        <v>1097015</v>
      </c>
      <c r="FX17" s="14">
        <v>12</v>
      </c>
      <c r="FY17" s="51">
        <f t="shared" si="70"/>
        <v>7240</v>
      </c>
      <c r="FZ17" s="51">
        <f t="shared" si="71"/>
        <v>1061</v>
      </c>
      <c r="GA17" s="51">
        <f>INT(SUMPRODUCT($N17:$R17,$BF17:$BJ17)/SUM($BF17:$BJ17)/10000*$BX$7*$BZ$46/'疲劳值&amp;地图信息'!$R$10*$BY$53)</f>
        <v>298</v>
      </c>
      <c r="GB17" s="50">
        <f t="shared" si="72"/>
        <v>0.84195836725200601</v>
      </c>
      <c r="GC17" s="50">
        <f t="shared" si="73"/>
        <v>0.12338644028375392</v>
      </c>
      <c r="GD17" s="50">
        <f t="shared" si="74"/>
        <v>3.465519246424003E-2</v>
      </c>
      <c r="GE17" s="51">
        <f t="shared" si="75"/>
        <v>7632</v>
      </c>
      <c r="GF17" s="51">
        <f t="shared" si="76"/>
        <v>1492</v>
      </c>
      <c r="GG17" s="14">
        <f>INT(SUMPRODUCT($U17:$Y17,$BF17:$BJ17)/SUM($BF17:$BJ17)/10000*$BX$7*$BZ$46/'疲劳值&amp;地图信息'!$R$10*$BY$54)</f>
        <v>502</v>
      </c>
      <c r="GH17" s="50">
        <f t="shared" si="77"/>
        <v>0.792852690629545</v>
      </c>
      <c r="GI17" s="50">
        <f t="shared" si="78"/>
        <v>0.15499688344068149</v>
      </c>
      <c r="GJ17" s="50">
        <f t="shared" si="79"/>
        <v>5.2150425929773529E-2</v>
      </c>
      <c r="GK17" s="51">
        <f t="shared" si="80"/>
        <v>8159</v>
      </c>
      <c r="GL17" s="51">
        <f t="shared" si="81"/>
        <v>2181</v>
      </c>
      <c r="GM17" s="14">
        <f>INT(SUMPRODUCT($AB17:$AF17,$BF17:$BJ17)/SUM($BF17:$BJ17)/10000*$BX$7*$BZ$46/'疲劳值&amp;地图信息'!$R$10*$BY$55)</f>
        <v>678</v>
      </c>
      <c r="GN17" s="50">
        <f t="shared" si="82"/>
        <v>0.74051552005808674</v>
      </c>
      <c r="GO17" s="50">
        <f t="shared" si="83"/>
        <v>0.19794881103648576</v>
      </c>
      <c r="GP17" s="50">
        <f t="shared" si="84"/>
        <v>6.1535668905427485E-2</v>
      </c>
      <c r="GQ17" s="51">
        <f t="shared" si="85"/>
        <v>9236</v>
      </c>
      <c r="GR17" s="51">
        <f t="shared" si="86"/>
        <v>4261</v>
      </c>
      <c r="GS17" s="14">
        <f>INT(SUMPRODUCT($AI17:$AM17,$BF17:$BJ17)/SUM($BF17:$BJ17)/10000*$BX$7*$BZ$46/'疲劳值&amp;地图信息'!$R$10*$BY$56)</f>
        <v>1018</v>
      </c>
      <c r="GT17" s="50">
        <f t="shared" si="87"/>
        <v>0.63630726834309337</v>
      </c>
      <c r="GU17" s="50">
        <f t="shared" si="88"/>
        <v>0.29355838787461247</v>
      </c>
      <c r="GV17" s="50">
        <f t="shared" si="89"/>
        <v>7.0134343782294176E-2</v>
      </c>
      <c r="GW17" s="51">
        <f t="shared" si="90"/>
        <v>9560</v>
      </c>
      <c r="GX17" s="51">
        <f t="shared" si="91"/>
        <v>10906</v>
      </c>
      <c r="GY17" s="14">
        <f>INT(SUMPRODUCT($AP17:$AT17,$BF17:$BJ17)/SUM($BF17:$BJ17)/10000*$BX$7*$BZ$46/'疲劳值&amp;地图信息'!$R$10*$BY$57)</f>
        <v>1357</v>
      </c>
      <c r="GZ17" s="50">
        <f t="shared" si="92"/>
        <v>0.43806992622462537</v>
      </c>
      <c r="HA17" s="50">
        <f t="shared" si="93"/>
        <v>0.49974797232277873</v>
      </c>
      <c r="HB17" s="50">
        <f t="shared" si="94"/>
        <v>6.2182101452595888E-2</v>
      </c>
      <c r="HD17" s="14">
        <f t="shared" si="95"/>
        <v>8599</v>
      </c>
      <c r="HE17" s="14">
        <f t="shared" si="96"/>
        <v>9626</v>
      </c>
      <c r="HF17" s="14">
        <f t="shared" si="97"/>
        <v>11018</v>
      </c>
      <c r="HG17" s="14">
        <f t="shared" si="98"/>
        <v>14515</v>
      </c>
      <c r="HH17" s="14">
        <f t="shared" si="99"/>
        <v>21823</v>
      </c>
      <c r="HI17" s="14">
        <f t="shared" si="100"/>
        <v>988092</v>
      </c>
      <c r="HL17" s="14">
        <f t="shared" si="101"/>
        <v>430050</v>
      </c>
      <c r="HM17" s="50">
        <f t="shared" si="9"/>
        <v>0.30324889891139251</v>
      </c>
      <c r="HO17" s="14">
        <f t="shared" si="102"/>
        <v>1418142</v>
      </c>
    </row>
    <row r="18" spans="3:223" x14ac:dyDescent="0.2">
      <c r="C18" s="1" t="s">
        <v>425</v>
      </c>
      <c r="D18" s="2" t="s">
        <v>418</v>
      </c>
      <c r="F18" s="1" t="s">
        <v>418</v>
      </c>
      <c r="K18" s="14">
        <v>13</v>
      </c>
      <c r="L18" s="12">
        <f>求节点(节奏总纲!D$4:D$163,标准城池设计!AB$4:AB$163,$K18)*求节点(节奏总纲!D$4:D$163,攻城基础信息!$AC$5:$AC$164,$K18)</f>
        <v>140223.75571819459</v>
      </c>
      <c r="M18" s="12">
        <f>INDEX(其他调用!$AA$5:$AA$404,MATCH(K18,其他调用!$X$5:$X$404,0))*MIN(INDEX(其他调用!$AH$5:$AH$364,MATCH('征服点（新）'!K18,其他调用!$AG$5:$AG$364,0),1)/INDEX(其他调用!$AJ$5:$AJ$364,MATCH(K18,其他调用!$AG$5:$AG$364,0),0),5)*求节点(节奏总纲!D$4:D$163,攻城基础信息!$AC$5:$AC$164,$K18)</f>
        <v>29724.730247311451</v>
      </c>
      <c r="N18" s="12">
        <f>MIN(INDEX(其他调用!$AH$5:$AH$364,MATCH($K18,其他调用!$AG$5:$AG$364,0),1)/INDEX(其他调用!AH$5:AH$364,MATCH($K18,其他调用!$AG$5:$AG$364,0),0),1)*INDEX(其他调用!Y$5:Y$404,MATCH($K18,其他调用!$X$5:$X$404,0),0)</f>
        <v>25067.772367953003</v>
      </c>
      <c r="O18" s="12">
        <f>MIN(INDEX(其他调用!$AH$5:$AH$364,MATCH($K18,其他调用!$AG$5:$AG$364,0),1)/INDEX(其他调用!AI$5:AI$364,MATCH($K18,其他调用!$AG$5:$AG$364,0),0),1)*INDEX(其他调用!Z$5:Z$404,MATCH($K18,其他调用!$X$5:$X$404,0),0)</f>
        <v>18894.889296863712</v>
      </c>
      <c r="P18" s="12">
        <f>MIN(INDEX(其他调用!$AH$5:$AH$364,MATCH($K18,其他调用!$AG$5:$AG$364,0),1)/INDEX(其他调用!AJ$5:AJ$364,MATCH($K18,其他调用!$AG$5:$AG$364,0),0),1)*INDEX(其他调用!AA$5:AA$404,MATCH($K18,其他调用!$X$5:$X$404,0),0)</f>
        <v>14138.652059570359</v>
      </c>
      <c r="Q18" s="12">
        <f>MIN(INDEX(其他调用!$AH$5:$AH$364,MATCH($K18,其他调用!$AG$5:$AG$364,0),1)/INDEX(其他调用!AK$5:AK$364,MATCH($K18,其他调用!$AG$5:$AG$364,0),0),1)*INDEX(其他调用!AB$5:AB$404,MATCH($K18,其他调用!$X$5:$X$404,0),0)</f>
        <v>7689.1936887625279</v>
      </c>
      <c r="R18" s="12">
        <f>MIN(INDEX(其他调用!$AH$5:$AH$364,MATCH($K18,其他调用!$AG$5:$AG$364,0),1)/INDEX(其他调用!AL$5:AL$364,MATCH($K18,其他调用!$AG$5:$AG$364,0),0),1)*INDEX(其他调用!AC$5:AC$404,MATCH($K18,其他调用!$X$5:$X$404,0),0)</f>
        <v>3208.9389429232051</v>
      </c>
      <c r="S18" s="12">
        <f>求节点(节奏总纲!D$4:D$163,标准城池设计!AC$4:AC$163,$K18)*求节点(节奏总纲!D$4:D$163,攻城基础信息!$AD$5:$AD$164,$K18)</f>
        <v>147441.98874737215</v>
      </c>
      <c r="T18" s="12">
        <f>INDEX(其他调用!$AA$5:$AA$404,MATCH($K18,其他调用!$X$5:$X$404,0))*MIN(INDEX(其他调用!AI$5:AI$364,MATCH($K18,其他调用!$AG$5:$AG$364,0),1)/INDEX(其他调用!$AJ$5:$AJ$364,MATCH($K18,其他调用!$AG$5:$AG$364,0),0),5)*求节点(节奏总纲!D$4:D$163,攻城基础信息!$AD$5:$AD$164,$K18)</f>
        <v>41046.301355260563</v>
      </c>
      <c r="U18" s="12">
        <f>MIN(INDEX(其他调用!$AI$5:$AI$364,MATCH($K18,其他调用!$AG$5:$AG$364,0),1)/INDEX(其他调用!AH$5:AH$364,MATCH($K18,其他调用!$AG$5:$AG$364,0),0),1)*INDEX(其他调用!Y$5:Y$404,MATCH($K18,其他调用!$X$5:$X$404,0),0)</f>
        <v>25067.772367953003</v>
      </c>
      <c r="V18" s="12">
        <f>MIN(INDEX(其他调用!$AI$5:$AI$364,MATCH($K18,其他调用!$AG$5:$AG$364,0),1)/INDEX(其他调用!AI$5:AI$364,MATCH($K18,其他调用!$AG$5:$AG$364,0),0),1)*INDEX(其他调用!Z$5:Z$404,MATCH($K18,其他调用!$X$5:$X$404,0),0)</f>
        <v>26091.584808360167</v>
      </c>
      <c r="W18" s="12">
        <f>MIN(INDEX(其他调用!$AI$5:$AI$364,MATCH($K18,其他调用!$AG$5:$AG$364,0),1)/INDEX(其他调用!AJ$5:AJ$364,MATCH($K18,其他调用!$AG$5:$AG$364,0),0),1)*INDEX(其他调用!AA$5:AA$404,MATCH($K18,其他调用!$X$5:$X$404,0),0)</f>
        <v>19523.78939576049</v>
      </c>
      <c r="X18" s="12">
        <f>MIN(INDEX(其他调用!$AI$5:$AI$364,MATCH($K18,其他调用!$AG$5:$AG$364,0),1)/INDEX(其他调用!AK$5:AK$364,MATCH($K18,其他调用!$AG$5:$AG$364,0),0),1)*INDEX(其他调用!AB$5:AB$404,MATCH($K18,其他调用!$X$5:$X$404,0),0)</f>
        <v>10617.857881366677</v>
      </c>
      <c r="Y18" s="12">
        <f>MIN(INDEX(其他调用!$AI$5:$AI$364,MATCH($K18,其他调用!$AG$5:$AG$364,0),1)/INDEX(其他调用!AL$5:AL$364,MATCH($K18,其他调用!$AG$5:$AG$364,0),0),1)*INDEX(其他调用!AC$5:AC$404,MATCH($K18,其他调用!$X$5:$X$404,0),0)</f>
        <v>4431.161318739657</v>
      </c>
      <c r="Z18" s="12">
        <f>求节点(节奏总纲!D$4:D$163,标准城池设计!AD$4:AD$163,$K18)*求节点(节奏总纲!D$4:D$163,攻城基础信息!$AE$5:$AE$164,$K18)</f>
        <v>156623.00233374236</v>
      </c>
      <c r="AA18" s="12">
        <f>INDEX(其他调用!$AA$5:$AA$404,MATCH($K18,其他调用!$X$5:$X$404,0))*MIN(INDEX(其他调用!AJ$5:AJ$364,MATCH($K18,其他调用!$AG$5:$AG$364,0),1)/INDEX(其他调用!$AJ$5:$AJ$364,MATCH($K18,其他调用!$AG$5:$AG$364,0),0),5)*求节点(节奏总纲!D$4:D$163,攻城基础信息!$AE$5:$AE$164,$K18)</f>
        <v>57690.007269352682</v>
      </c>
      <c r="AB18" s="12">
        <f>MIN(INDEX(其他调用!$AJ$5:$AJ$364,MATCH($K18,其他调用!$AG$5:$AG$364,0),1)/INDEX(其他调用!AH$5:AH$364,MATCH($K18,其他调用!$AG$5:$AG$364,0),0),1)*INDEX(其他调用!Y$5:Y$404,MATCH($K18,其他调用!$X$5:$X$404,0),0)</f>
        <v>25067.772367953003</v>
      </c>
      <c r="AC18" s="12">
        <f>MIN(INDEX(其他调用!$AJ$5:$AJ$364,MATCH($K18,其他调用!$AG$5:$AG$364,0),1)/INDEX(其他调用!AI$5:AI$364,MATCH($K18,其他调用!$AG$5:$AG$364,0),0),1)*INDEX(其他调用!Z$5:Z$404,MATCH($K18,其他调用!$X$5:$X$404,0),0)</f>
        <v>26091.584808360167</v>
      </c>
      <c r="AD18" s="12">
        <f>MIN(INDEX(其他调用!$AJ$5:$AJ$364,MATCH($K18,其他调用!$AG$5:$AG$364,0),1)/INDEX(其他调用!AJ$5:AJ$364,MATCH($K18,其他调用!$AG$5:$AG$364,0),0),1)*INDEX(其他调用!AA$5:AA$404,MATCH($K18,其他调用!$X$5:$X$404,0),0)</f>
        <v>27440.415213498436</v>
      </c>
      <c r="AE18" s="12">
        <f>MIN(INDEX(其他调用!$AJ$5:$AJ$364,MATCH($K18,其他调用!$AG$5:$AG$364,0),1)/INDEX(其他调用!AK$5:AK$364,MATCH($K18,其他调用!$AG$5:$AG$364,0),0),1)*INDEX(其他调用!AB$5:AB$404,MATCH($K18,其他调用!$X$5:$X$404,0),0)</f>
        <v>14923.251989487539</v>
      </c>
      <c r="AF18" s="12">
        <f>MIN(INDEX(其他调用!$AJ$5:$AJ$364,MATCH($K18,其他调用!$AG$5:$AG$364,0),1)/INDEX(其他调用!AL$5:AL$364,MATCH($K18,其他调用!$AG$5:$AG$364,0),0),1)*INDEX(其他调用!AC$5:AC$404,MATCH($K18,其他调用!$X$5:$X$404,0),0)</f>
        <v>6227.9357761671445</v>
      </c>
      <c r="AG18" s="12">
        <f>求节点(节奏总纲!D$4:D$163,标准城池设计!AE$4:AE$163,$K18)*求节点(节奏总纲!D$4:D$163,攻城基础信息!$AF$5:$AF$164,$K18)</f>
        <v>177393.68135091983</v>
      </c>
      <c r="AH18" s="12">
        <f>INDEX(其他调用!$AA$5:$AA$404,MATCH($K18,其他调用!$X$5:$X$404,0))*MIN(INDEX(其他调用!AK$5:AK$364,MATCH($K18,其他调用!$AG$5:$AG$364,0),1)/INDEX(其他调用!$AJ$5:$AJ$364,MATCH($K18,其他调用!$AG$5:$AG$364,0),0),5)*求节点(节奏总纲!D$4:D$163,攻城基础信息!$AF$5:$AF$164,$K18)</f>
        <v>113781.37488863188</v>
      </c>
      <c r="AI18" s="12">
        <f>MIN(INDEX(其他调用!$AK$5:$AK$364,MATCH($K18,其他调用!$AG$5:$AG$364,0),1)/INDEX(其他调用!AH$5:AH$364,MATCH($K18,其他调用!$AG$5:$AG$364,0),0),1)*INDEX(其他调用!Y$5:Y$404,MATCH($K18,其他调用!$X$5:$X$404,0),0)</f>
        <v>25067.772367953003</v>
      </c>
      <c r="AJ18" s="12">
        <f>MIN(INDEX(其他调用!$AK$5:$AK$364,MATCH($K18,其他调用!$AG$5:$AG$364,0),1)/INDEX(其他调用!AI$5:AI$364,MATCH($K18,其他调用!$AG$5:$AG$364,0),0),1)*INDEX(其他调用!Z$5:Z$404,MATCH($K18,其他调用!$X$5:$X$404,0),0)</f>
        <v>26091.584808360167</v>
      </c>
      <c r="AK18" s="12">
        <f>MIN(INDEX(其他调用!$AK$5:$AK$364,MATCH($K18,其他调用!$AG$5:$AG$364,0),1)/INDEX(其他调用!AJ$5:AJ$364,MATCH($K18,其他调用!$AG$5:$AG$364,0),0),1)*INDEX(其他调用!AA$5:AA$404,MATCH($K18,其他调用!$X$5:$X$404,0),0)</f>
        <v>27440.415213498436</v>
      </c>
      <c r="AL18" s="12">
        <f>MIN(INDEX(其他调用!$AK$5:$AK$364,MATCH($K18,其他调用!$AG$5:$AG$364,0),1)/INDEX(其他调用!AK$5:AK$364,MATCH($K18,其他调用!$AG$5:$AG$364,0),0),1)*INDEX(其他调用!AB$5:AB$404,MATCH($K18,其他调用!$X$5:$X$404,0),0)</f>
        <v>29432.967849103472</v>
      </c>
      <c r="AM18" s="12">
        <f>MIN(INDEX(其他调用!$AK$5:$AK$364,MATCH($K18,其他调用!$AG$5:$AG$364,0),1)/INDEX(其他调用!AL$5:AL$364,MATCH($K18,其他调用!$AG$5:$AG$364,0),0),1)*INDEX(其他调用!AC$5:AC$404,MATCH($K18,其他调用!$X$5:$X$404,0),0)</f>
        <v>12283.290102943814</v>
      </c>
      <c r="AN18" s="12">
        <f>求节点(节奏总纲!D$4:D$163,标准城池设计!AF$4:AF$163,$K18)*求节点(节奏总纲!D$4:D$163,攻城基础信息!$AG$5:$AG$164,$K18)</f>
        <v>183641.43876872919</v>
      </c>
      <c r="AO18" s="12">
        <f>INDEX(其他调用!$AA$5:$AA$404,MATCH($K18,其他调用!$X$5:$X$404,0))*MIN(INDEX(其他调用!AL$5:AL$364,MATCH($K18,其他调用!$AG$5:$AG$364,0),1)/INDEX(其他调用!$AJ$5:$AJ$364,MATCH($K18,其他调用!$AG$5:$AG$364,0),0),5)*求节点(节奏总纲!D$4:D$163,攻城基础信息!$AG$5:$AG$164,$K18)</f>
        <v>288450.03634676343</v>
      </c>
      <c r="AP18" s="12">
        <f>MIN(INDEX(其他调用!$AL$5:$AL$364,MATCH($K18,其他调用!$AG$5:$AG$364,0),1)/INDEX(其他调用!AH$5:AH$364,MATCH($K18,其他调用!$AG$5:$AG$364,0),0),1)*INDEX(其他调用!Y$5:Y$404,MATCH($K18,其他调用!$X$5:$X$404,0),0)</f>
        <v>25067.772367953003</v>
      </c>
      <c r="AQ18" s="12">
        <f>MIN(INDEX(其他调用!$AL$5:$AL$364,MATCH($K18,其他调用!$AG$5:$AG$364,0),1)/INDEX(其他调用!AI$5:AI$364,MATCH($K18,其他调用!$AG$5:$AG$364,0),0),1)*INDEX(其他调用!Z$5:Z$404,MATCH($K18,其他调用!$X$5:$X$404,0),0)</f>
        <v>26091.584808360167</v>
      </c>
      <c r="AR18" s="12">
        <f>MIN(INDEX(其他调用!$AL$5:$AL$364,MATCH($K18,其他调用!$AG$5:$AG$364,0),1)/INDEX(其他调用!AJ$5:AJ$364,MATCH($K18,其他调用!$AG$5:$AG$364,0),0),1)*INDEX(其他调用!AA$5:AA$404,MATCH($K18,其他调用!$X$5:$X$404,0),0)</f>
        <v>27440.415213498436</v>
      </c>
      <c r="AS18" s="12">
        <f>MIN(INDEX(其他调用!$AL$5:$AL$364,MATCH($K18,其他调用!$AG$5:$AG$364,0),1)/INDEX(其他调用!AK$5:AK$364,MATCH($K18,其他调用!$AG$5:$AG$364,0),0),1)*INDEX(其他调用!AB$5:AB$404,MATCH($K18,其他调用!$X$5:$X$404,0),0)</f>
        <v>29432.967849103472</v>
      </c>
      <c r="AT18" s="12">
        <f>MIN(INDEX(其他调用!$AL$5:$AL$364,MATCH($K18,其他调用!$AG$5:$AG$364,0),1)/INDEX(其他调用!AL$5:AL$364,MATCH($K18,其他调用!$AG$5:$AG$364,0),0),1)*INDEX(其他调用!AC$5:AC$404,MATCH($K18,其他调用!$X$5:$X$404,0),0)</f>
        <v>33035.284004665926</v>
      </c>
      <c r="AV18" s="14">
        <f>IF(OR(AV$5="大R",AV$5="超R"),MAX(INDEX(其他调用!$H$5:$L$404,MATCH($K18,其他调用!$B$5:$B$404,0),MATCH(AV$5,其他调用!$H$4:$L$4,0))*120*0.85,2),INDEX(其他调用!$H$5:$L$404,MATCH($K18,其他调用!$B$5:$B$404,0),MATCH(AV$5,其他调用!$H$4:$L$4,0))*120*0.85)</f>
        <v>62.544490203469714</v>
      </c>
      <c r="AW18" s="14">
        <f>IF(OR(AW$5="大R",AW$5="超R"),MAX(INDEX(其他调用!$H$5:$L$404,MATCH($K18,其他调用!$B$5:$B$404,0),MATCH(AW$5,其他调用!$H$4:$L$4,0))*120*0.85,2),INDEX(其他调用!$H$5:$L$404,MATCH($K18,其他调用!$B$5:$B$404,0),MATCH(AW$5,其他调用!$H$4:$L$4,0))*120*0.85)</f>
        <v>35.08610956795885</v>
      </c>
      <c r="AX18" s="14">
        <f>IF(OR(AX$5="大R",AX$5="超R"),MAX(INDEX(其他调用!$H$5:$L$404,MATCH($K18,其他调用!$B$5:$B$404,0),MATCH(AX$5,其他调用!$H$4:$L$4,0))*120*0.85,2),INDEX(其他调用!$H$5:$L$404,MATCH($K18,其他调用!$B$5:$B$404,0),MATCH(AX$5,其他调用!$H$4:$L$4,0))*120*0.85)</f>
        <v>3.7183487999999998</v>
      </c>
      <c r="AY18" s="14">
        <f>IF(OR(AY$5="大R",AY$5="超R"),MAX(INDEX(其他调用!$H$5:$L$404,MATCH($K18,其他调用!$B$5:$B$404,0),MATCH(AY$5,其他调用!$H$4:$L$4,0))*120*0.85,2),INDEX(其他调用!$H$5:$L$404,MATCH($K18,其他调用!$B$5:$B$404,0),MATCH(AY$5,其他调用!$H$4:$L$4,0))*120*0.85)</f>
        <v>2</v>
      </c>
      <c r="AZ18" s="14">
        <f>IF(OR(AZ$5="大R",AZ$5="超R"),MAX(INDEX(其他调用!$H$5:$L$404,MATCH($K18,其他调用!$B$5:$B$404,0),MATCH(AZ$5,其他调用!$H$4:$L$4,0))*120*0.85,2),INDEX(其他调用!$H$5:$L$404,MATCH($K18,其他调用!$B$5:$B$404,0),MATCH(AZ$5,其他调用!$H$4:$L$4,0))*120*0.85)</f>
        <v>2</v>
      </c>
      <c r="BA18" s="14">
        <f>INDEX(其他调用!$H$5:$L$404,MATCH($K18,其他调用!$B$5:$B$404,0),MATCH(BA$5,其他调用!$H$4:$L$4,0))*INDEX(其他调用!$M$5:$M$404,MATCH($K18,其他调用!$B$5:$B$404,0))*0.6</f>
        <v>28.791219321416222</v>
      </c>
      <c r="BB18" s="14">
        <f>INDEX(其他调用!$H$5:$L$404,MATCH($K18,其他调用!$B$5:$B$404,0),MATCH(BB$5,其他调用!$H$4:$L$4,0))*INDEX(其他调用!$M$5:$M$404,MATCH($K18,其他调用!$B$5:$B$404,0))*0.6</f>
        <v>16.151252850891463</v>
      </c>
      <c r="BC18" s="14">
        <f>INDEX(其他调用!$H$5:$L$404,MATCH($K18,其他调用!$B$5:$B$404,0),MATCH(BC$5,其他调用!$H$4:$L$4,0))*INDEX(其他调用!$M$5:$M$404,MATCH($K18,其他调用!$B$5:$B$404,0))*0.6</f>
        <v>1.711674289230769</v>
      </c>
      <c r="BD18" s="14">
        <f>INDEX(其他调用!$H$5:$L$404,MATCH($K18,其他调用!$B$5:$B$404,0),MATCH(BD$5,其他调用!$H$4:$L$4,0))*INDEX(其他调用!$M$5:$M$404,MATCH($K18,其他调用!$B$5:$B$404,0))*0.6</f>
        <v>0.24469661538461535</v>
      </c>
      <c r="BE18" s="14">
        <f>INDEX(其他调用!$H$5:$L$404,MATCH($K18,其他调用!$B$5:$B$404,0),MATCH(BE$5,其他调用!$H$4:$L$4,0))*INDEX(其他调用!$M$5:$M$404,MATCH($K18,其他调用!$B$5:$B$404,0))*0.6</f>
        <v>5.5003076923076911E-2</v>
      </c>
      <c r="BF18" s="14">
        <f>IF(OR(BF$5="大R",BF$5="超R"),0,INDEX(其他调用!$H$5:$L$404,MATCH($K18,其他调用!$B$5:$B$404,0),MATCH(BF$5,其他调用!$H$4:$L$4,0))*50*0.4)</f>
        <v>12.263625530092103</v>
      </c>
      <c r="BG18" s="14">
        <f>IF(OR(BG$5="大R",BG$5="超R"),0,INDEX(其他调用!$H$5:$L$404,MATCH($K18,其他调用!$B$5:$B$404,0),MATCH(BG$5,其他调用!$H$4:$L$4,0))*50*0.4)</f>
        <v>6.8796293270507567</v>
      </c>
      <c r="BH18" s="14">
        <f>IF(OR(BH$5="大R",BH$5="超R"),0,INDEX(其他调用!$H$5:$L$404,MATCH($K18,其他调用!$B$5:$B$404,0),MATCH(BH$5,其他调用!$H$4:$L$4,0))*50*0.4)</f>
        <v>0.72908799999999996</v>
      </c>
      <c r="BI18" s="14">
        <f>IF(OR(BI$5="大R",BI$5="超R"),0,INDEX(其他调用!$H$5:$L$404,MATCH($K18,其他调用!$B$5:$B$404,0),MATCH(BI$5,其他调用!$H$4:$L$4,0))*50*0.4)</f>
        <v>0</v>
      </c>
      <c r="BJ18" s="14">
        <f>IF(OR(BJ$5="大R",BJ$5="超R"),0,INDEX(其他调用!$H$5:$L$404,MATCH($K18,其他调用!$B$5:$B$404,0),MATCH(BJ$5,其他调用!$H$4:$L$4,0))*50*0.4)</f>
        <v>0</v>
      </c>
      <c r="BL18" s="14">
        <f t="shared" si="103"/>
        <v>13</v>
      </c>
      <c r="BM18" s="14">
        <f t="shared" si="10"/>
        <v>96</v>
      </c>
      <c r="BN18" s="14">
        <f>('疲劳值&amp;地图信息'!$S$10*'疲劳值&amp;地图信息'!$R$10+'疲劳值&amp;地图信息'!$S$11*'疲劳值&amp;地图信息'!$R$11+'疲劳值&amp;地图信息'!$S$12*'疲劳值&amp;地图信息'!$R$12+(BM18-'疲劳值&amp;地图信息'!$S$12-'疲劳值&amp;地图信息'!$S$11-'疲劳值&amp;地图信息'!$S$10)*'疲劳值&amp;地图信息'!$R$13)/BM18</f>
        <v>51.371477246638619</v>
      </c>
      <c r="BO18" s="14">
        <f>INDEX(其他调用!$M$5:$M$404,MATCH(BL18,其他调用!$B$5:$B$404,0))*0.6</f>
        <v>46.95384615384615</v>
      </c>
      <c r="BP18" s="14">
        <f>IF(BO18&gt;SUM('疲劳值&amp;地图信息'!$S$10:$S$12),('疲劳值&amp;地图信息'!$S$10*'疲劳值&amp;地图信息'!$R$10+'疲劳值&amp;地图信息'!$S$11*'疲劳值&amp;地图信息'!$R$11+'疲劳值&amp;地图信息'!$S$12*'疲劳值&amp;地图信息'!$R$12+(BO18-'疲劳值&amp;地图信息'!$S$12-'疲劳值&amp;地图信息'!$S$11-'疲劳值&amp;地图信息'!$S$10)*'疲劳值&amp;地图信息'!$R$13)/BO18,('疲劳值&amp;地图信息'!$S$10*'疲劳值&amp;地图信息'!$R$10+'疲劳值&amp;地图信息'!$S$11*'疲劳值&amp;地图信息'!$R$11+'疲劳值&amp;地图信息'!$S$12*'疲劳值&amp;地图信息'!$R$12+(BO18-'疲劳值&amp;地图信息'!$S$12-'疲劳值&amp;地图信息'!$S$11-'疲劳值&amp;地图信息'!$S$10)*'疲劳值&amp;地图信息'!$R$13)/BO18)</f>
        <v>38.813520275666491</v>
      </c>
      <c r="BQ18" s="14">
        <f t="shared" si="104"/>
        <v>20</v>
      </c>
      <c r="BR18" s="14">
        <f>('疲劳值&amp;地图信息'!$S$10*'疲劳值&amp;地图信息'!$R$10+($BQ18-'疲劳值&amp;地图信息'!$S$10)*'疲劳值&amp;地图信息'!$R$11)/$BQ18</f>
        <v>32.067203015074995</v>
      </c>
      <c r="BW18" s="14" t="s">
        <v>269</v>
      </c>
      <c r="BX18" s="14">
        <v>9000</v>
      </c>
      <c r="BY18" s="14">
        <v>250</v>
      </c>
      <c r="CF18" s="14">
        <v>13</v>
      </c>
      <c r="CG18" s="51">
        <f t="shared" si="11"/>
        <v>3251</v>
      </c>
      <c r="CH18" s="51">
        <f t="shared" si="12"/>
        <v>689</v>
      </c>
      <c r="CI18" s="51">
        <f>INT(SUMPRODUCT($N18:$R18,$BA18:$BE18)/SUM($BA18:$BE18)/10000*$BX$7*$BZ$34/'疲劳值&amp;地图信息'!$R$10*$BY$53)</f>
        <v>2275</v>
      </c>
      <c r="CJ18" s="50">
        <f t="shared" si="13"/>
        <v>0.52308930008045051</v>
      </c>
      <c r="CK18" s="50">
        <f t="shared" si="14"/>
        <v>0.11086082059533386</v>
      </c>
      <c r="CL18" s="50">
        <f t="shared" si="15"/>
        <v>0.36604987932421562</v>
      </c>
      <c r="CM18" s="14">
        <f t="shared" si="16"/>
        <v>3418</v>
      </c>
      <c r="CN18" s="14">
        <f t="shared" si="17"/>
        <v>951</v>
      </c>
      <c r="CO18" s="14">
        <f>INT(SUMPRODUCT($U18:$Y18,$BA18:$BE18)/SUM($BA18:$BE18)/10000*$BX$7*$BZ$34/'疲劳值&amp;地图信息'!$R$10*$BY$54)</f>
        <v>3823</v>
      </c>
      <c r="CP18" s="50">
        <f t="shared" si="18"/>
        <v>0.417236328125</v>
      </c>
      <c r="CQ18" s="50">
        <f t="shared" si="19"/>
        <v>0.1160888671875</v>
      </c>
      <c r="CR18" s="50">
        <f t="shared" si="20"/>
        <v>0.4666748046875</v>
      </c>
      <c r="CS18" s="14">
        <f t="shared" si="21"/>
        <v>3631</v>
      </c>
      <c r="CT18" s="14">
        <f t="shared" si="22"/>
        <v>1337</v>
      </c>
      <c r="CU18" s="14">
        <f>INT(SUMPRODUCT($AB18:$AF18,$BA18:$BE18)/SUM($BA18:$BE18)/10000*$BX$7*$BZ$34/'疲劳值&amp;地图信息'!$R$10*$BY$55)</f>
        <v>5160</v>
      </c>
      <c r="CV18" s="50">
        <f t="shared" si="23"/>
        <v>0.35851105845181674</v>
      </c>
      <c r="CW18" s="50">
        <f t="shared" si="24"/>
        <v>0.13201026856240125</v>
      </c>
      <c r="CX18" s="50">
        <f t="shared" si="25"/>
        <v>0.50947867298578198</v>
      </c>
      <c r="CY18" s="14">
        <f t="shared" si="26"/>
        <v>4113</v>
      </c>
      <c r="CZ18" s="14">
        <f t="shared" si="27"/>
        <v>2638</v>
      </c>
      <c r="DA18" s="14">
        <f>INT(SUMPRODUCT($AI18:$AM18,$BA18:$BE18)/SUM($BA18:$BE18)/10000*$BX$7*$BZ$34/'疲劳值&amp;地图信息'!$R$10*$BY$56)</f>
        <v>7766</v>
      </c>
      <c r="DB18" s="50">
        <f t="shared" si="28"/>
        <v>0.28332300061996279</v>
      </c>
      <c r="DC18" s="50">
        <f t="shared" si="29"/>
        <v>0.1817179858097403</v>
      </c>
      <c r="DD18" s="50">
        <f t="shared" si="30"/>
        <v>0.53495901357029685</v>
      </c>
      <c r="DE18" s="14">
        <f t="shared" si="31"/>
        <v>4258</v>
      </c>
      <c r="DF18" s="14">
        <f t="shared" si="32"/>
        <v>6688</v>
      </c>
      <c r="DG18" s="14">
        <f>INT(SUMPRODUCT($AP18:$AT18,$BA18:$BE18)/SUM($BA18:$BE18)/10000*$BX$7*$BZ$34/'疲劳值&amp;地图信息'!$R$10*$BY$57)</f>
        <v>10365</v>
      </c>
      <c r="DH18" s="50">
        <f t="shared" si="33"/>
        <v>0.19980291868049363</v>
      </c>
      <c r="DI18" s="50">
        <f t="shared" si="34"/>
        <v>0.31382853925202947</v>
      </c>
      <c r="DJ18" s="50">
        <f t="shared" si="35"/>
        <v>0.48636854206747687</v>
      </c>
      <c r="DL18" s="14">
        <f t="shared" si="106"/>
        <v>6215</v>
      </c>
      <c r="DM18" s="14">
        <f t="shared" si="107"/>
        <v>8192</v>
      </c>
      <c r="DN18" s="14">
        <f t="shared" si="108"/>
        <v>10128</v>
      </c>
      <c r="DO18" s="14">
        <f t="shared" si="109"/>
        <v>14517</v>
      </c>
      <c r="DP18" s="14">
        <f t="shared" si="110"/>
        <v>21311</v>
      </c>
      <c r="DQ18" s="14">
        <f t="shared" si="111"/>
        <v>333308</v>
      </c>
      <c r="DT18" s="14">
        <f t="shared" si="105"/>
        <v>235575</v>
      </c>
      <c r="DU18" s="50">
        <f t="shared" si="7"/>
        <v>0.41410096627953374</v>
      </c>
      <c r="DW18" s="14">
        <f t="shared" si="36"/>
        <v>568883</v>
      </c>
      <c r="EB18" s="14">
        <v>13</v>
      </c>
      <c r="EC18" s="51">
        <f t="shared" si="37"/>
        <v>5419</v>
      </c>
      <c r="ED18" s="51">
        <f t="shared" si="38"/>
        <v>1148</v>
      </c>
      <c r="EE18" s="51">
        <f>INT(SUMPRODUCT($N18:$R18,$BF18:$BJ18)/SUM($BF18:$BJ18)/10000*$BX$7*$BZ$46/'疲劳值&amp;地图信息'!$R$10*$BY$53)</f>
        <v>304</v>
      </c>
      <c r="EF18" s="50">
        <f t="shared" si="39"/>
        <v>0.78867704846456121</v>
      </c>
      <c r="EG18" s="50">
        <f t="shared" si="40"/>
        <v>0.16707902779799155</v>
      </c>
      <c r="EH18" s="50">
        <f t="shared" si="41"/>
        <v>4.424392373744724E-2</v>
      </c>
      <c r="EI18" s="51">
        <f t="shared" si="42"/>
        <v>5698</v>
      </c>
      <c r="EJ18" s="51">
        <f t="shared" si="43"/>
        <v>1586</v>
      </c>
      <c r="EK18" s="14">
        <f>INT(SUMPRODUCT($U18:$Y18,$BF18:$BJ18)/SUM($BF18:$BJ18)/10000*$BX$7*$BZ$46/'疲劳值&amp;地图信息'!$R$10*$BY$54)</f>
        <v>511</v>
      </c>
      <c r="EL18" s="50">
        <f t="shared" si="44"/>
        <v>0.73098139833226428</v>
      </c>
      <c r="EM18" s="50">
        <f t="shared" si="45"/>
        <v>0.20346375881975626</v>
      </c>
      <c r="EN18" s="50">
        <f t="shared" si="46"/>
        <v>6.555484284797948E-2</v>
      </c>
      <c r="EO18" s="51">
        <f t="shared" si="47"/>
        <v>6052</v>
      </c>
      <c r="EP18" s="51">
        <f t="shared" si="48"/>
        <v>2229</v>
      </c>
      <c r="EQ18" s="14">
        <f>INT(SUMPRODUCT($AB18:$AF18,$BF18:$BJ18)/SUM($BF18:$BJ18)/10000*$BX$7*$BZ$46/'疲劳值&amp;地图信息'!$R$10*$BY$55)</f>
        <v>690</v>
      </c>
      <c r="ER18" s="50">
        <f t="shared" si="49"/>
        <v>0.67461821424590351</v>
      </c>
      <c r="ES18" s="50">
        <f t="shared" si="50"/>
        <v>0.24846728346895552</v>
      </c>
      <c r="ET18" s="50">
        <f t="shared" si="51"/>
        <v>7.6914502285141004E-2</v>
      </c>
      <c r="EU18" s="51">
        <f t="shared" si="52"/>
        <v>6855</v>
      </c>
      <c r="EV18" s="51">
        <f t="shared" si="53"/>
        <v>4397</v>
      </c>
      <c r="EW18" s="14">
        <f>INT(SUMPRODUCT($AI18:$AM18,$BF18:$BJ18)/SUM($BF18:$BJ18)/10000*$BX$7*$BZ$46/'疲劳值&amp;地图信息'!$R$10*$BY$56)</f>
        <v>1035</v>
      </c>
      <c r="EX18" s="50">
        <f t="shared" si="54"/>
        <v>0.55790673069097418</v>
      </c>
      <c r="EY18" s="50">
        <f t="shared" si="55"/>
        <v>0.35785789859200784</v>
      </c>
      <c r="EZ18" s="50">
        <f t="shared" si="56"/>
        <v>8.4235370717017991E-2</v>
      </c>
      <c r="FA18" s="51">
        <f t="shared" si="57"/>
        <v>7097</v>
      </c>
      <c r="FB18" s="51">
        <f t="shared" si="58"/>
        <v>11147</v>
      </c>
      <c r="FC18" s="14">
        <f>INT(SUMPRODUCT($AP18:$AT18,$BF18:$BJ18)/SUM($BF18:$BJ18)/10000*$BX$7*$BZ$46/'疲劳值&amp;地图信息'!$R$10*$BY$57)</f>
        <v>1380</v>
      </c>
      <c r="FD18" s="50">
        <f t="shared" si="59"/>
        <v>0.36164900122299226</v>
      </c>
      <c r="FE18" s="50">
        <f t="shared" si="60"/>
        <v>0.56802894415002037</v>
      </c>
      <c r="FF18" s="50">
        <f t="shared" si="61"/>
        <v>7.032205462698736E-2</v>
      </c>
      <c r="FH18" s="14">
        <f t="shared" si="62"/>
        <v>6871</v>
      </c>
      <c r="FI18" s="14">
        <f t="shared" si="63"/>
        <v>7795</v>
      </c>
      <c r="FJ18" s="14">
        <f t="shared" si="64"/>
        <v>8971</v>
      </c>
      <c r="FK18" s="14">
        <f t="shared" si="65"/>
        <v>12287</v>
      </c>
      <c r="FL18" s="14">
        <f t="shared" si="66"/>
        <v>19624</v>
      </c>
      <c r="FM18" s="14">
        <f t="shared" si="67"/>
        <v>800418</v>
      </c>
      <c r="FP18" s="14">
        <f t="shared" si="68"/>
        <v>334150</v>
      </c>
      <c r="FQ18" s="50">
        <f t="shared" si="8"/>
        <v>0.29451738459043442</v>
      </c>
      <c r="FS18" s="14">
        <f t="shared" si="69"/>
        <v>1134568</v>
      </c>
      <c r="FX18" s="14">
        <v>13</v>
      </c>
      <c r="FY18" s="51">
        <f t="shared" si="70"/>
        <v>7586</v>
      </c>
      <c r="FZ18" s="51">
        <f t="shared" si="71"/>
        <v>1148</v>
      </c>
      <c r="GA18" s="51">
        <f>INT(SUMPRODUCT($N18:$R18,$BF18:$BJ18)/SUM($BF18:$BJ18)/10000*$BX$7*$BZ$46/'疲劳值&amp;地图信息'!$R$10*$BY$53)</f>
        <v>304</v>
      </c>
      <c r="GB18" s="50">
        <f t="shared" si="72"/>
        <v>0.83934498782916578</v>
      </c>
      <c r="GC18" s="50">
        <f t="shared" si="73"/>
        <v>0.12701925204691303</v>
      </c>
      <c r="GD18" s="50">
        <f t="shared" si="74"/>
        <v>3.3635760123921221E-2</v>
      </c>
      <c r="GE18" s="51">
        <f t="shared" si="75"/>
        <v>7977</v>
      </c>
      <c r="GF18" s="51">
        <f t="shared" si="76"/>
        <v>1586</v>
      </c>
      <c r="GG18" s="14">
        <f>INT(SUMPRODUCT($U18:$Y18,$BF18:$BJ18)/SUM($BF18:$BJ18)/10000*$BX$7*$BZ$46/'疲劳值&amp;地图信息'!$R$10*$BY$54)</f>
        <v>511</v>
      </c>
      <c r="GH18" s="50">
        <f t="shared" si="77"/>
        <v>0.79184038117927336</v>
      </c>
      <c r="GI18" s="50">
        <f t="shared" si="78"/>
        <v>0.15743498113956719</v>
      </c>
      <c r="GJ18" s="50">
        <f t="shared" si="79"/>
        <v>5.0724637681159424E-2</v>
      </c>
      <c r="GK18" s="51">
        <f t="shared" si="80"/>
        <v>8474</v>
      </c>
      <c r="GL18" s="51">
        <f t="shared" si="81"/>
        <v>2229</v>
      </c>
      <c r="GM18" s="14">
        <f>INT(SUMPRODUCT($AB18:$AF18,$BF18:$BJ18)/SUM($BF18:$BJ18)/10000*$BX$7*$BZ$46/'疲劳值&amp;地图信息'!$R$10*$BY$55)</f>
        <v>690</v>
      </c>
      <c r="GN18" s="50">
        <f t="shared" si="82"/>
        <v>0.74379004651979286</v>
      </c>
      <c r="GO18" s="50">
        <f t="shared" si="83"/>
        <v>0.1956464495743</v>
      </c>
      <c r="GP18" s="50">
        <f t="shared" si="84"/>
        <v>6.0563503905907139E-2</v>
      </c>
      <c r="GQ18" s="51">
        <f t="shared" si="85"/>
        <v>9597</v>
      </c>
      <c r="GR18" s="51">
        <f t="shared" si="86"/>
        <v>4397</v>
      </c>
      <c r="GS18" s="14">
        <f>INT(SUMPRODUCT($AI18:$AM18,$BF18:$BJ18)/SUM($BF18:$BJ18)/10000*$BX$7*$BZ$46/'疲劳值&amp;地图信息'!$R$10*$BY$56)</f>
        <v>1035</v>
      </c>
      <c r="GT18" s="50">
        <f t="shared" si="87"/>
        <v>0.63856544014904515</v>
      </c>
      <c r="GU18" s="50">
        <f t="shared" si="88"/>
        <v>0.29256770244194558</v>
      </c>
      <c r="GV18" s="50">
        <f t="shared" si="89"/>
        <v>6.8866857409009247E-2</v>
      </c>
      <c r="GW18" s="51">
        <f t="shared" si="90"/>
        <v>9935</v>
      </c>
      <c r="GX18" s="51">
        <f t="shared" si="91"/>
        <v>11147</v>
      </c>
      <c r="GY18" s="14">
        <f>INT(SUMPRODUCT($AP18:$AT18,$BF18:$BJ18)/SUM($BF18:$BJ18)/10000*$BX$7*$BZ$46/'疲劳值&amp;地图信息'!$R$10*$BY$57)</f>
        <v>1380</v>
      </c>
      <c r="GZ18" s="50">
        <f t="shared" si="92"/>
        <v>0.4423025554269433</v>
      </c>
      <c r="HA18" s="50">
        <f t="shared" si="93"/>
        <v>0.49626035081470926</v>
      </c>
      <c r="HB18" s="50">
        <f t="shared" si="94"/>
        <v>6.1437093758347432E-2</v>
      </c>
      <c r="HD18" s="14">
        <f t="shared" si="95"/>
        <v>9038</v>
      </c>
      <c r="HE18" s="14">
        <f t="shared" si="96"/>
        <v>10074</v>
      </c>
      <c r="HF18" s="14">
        <f t="shared" si="97"/>
        <v>11393</v>
      </c>
      <c r="HG18" s="14">
        <f t="shared" si="98"/>
        <v>15029</v>
      </c>
      <c r="HH18" s="14">
        <f t="shared" si="99"/>
        <v>22462</v>
      </c>
      <c r="HI18" s="14">
        <f t="shared" si="100"/>
        <v>1036079</v>
      </c>
      <c r="HL18" s="14">
        <f t="shared" si="101"/>
        <v>430050</v>
      </c>
      <c r="HM18" s="50">
        <f t="shared" si="9"/>
        <v>0.29332343879699535</v>
      </c>
      <c r="HO18" s="14">
        <f t="shared" si="102"/>
        <v>1466129</v>
      </c>
    </row>
    <row r="19" spans="3:223" x14ac:dyDescent="0.2">
      <c r="C19" s="1" t="s">
        <v>426</v>
      </c>
      <c r="D19" s="2" t="s">
        <v>420</v>
      </c>
      <c r="K19" s="14">
        <v>14</v>
      </c>
      <c r="L19" s="12">
        <f>求节点(节奏总纲!D$4:D$163,标准城池设计!AB$4:AB$163,$K19)*求节点(节奏总纲!D$4:D$163,攻城基础信息!$AC$5:$AC$164,$K19)</f>
        <v>147829.38871693963</v>
      </c>
      <c r="M19" s="12">
        <f>INDEX(其他调用!$AA$5:$AA$404,MATCH(K19,其他调用!$X$5:$X$404,0))*MIN(INDEX(其他调用!$AH$5:$AH$364,MATCH('征服点（新）'!K19,其他调用!$AG$5:$AG$364,0),1)/INDEX(其他调用!$AJ$5:$AJ$364,MATCH(K19,其他调用!$AG$5:$AG$364,0),0),5)*求节点(节奏总纲!D$4:D$163,攻城基础信息!$AC$5:$AC$164,$K19)</f>
        <v>32151.008851281011</v>
      </c>
      <c r="N19" s="12">
        <f>MIN(INDEX(其他调用!$AH$5:$AH$364,MATCH($K19,其他调用!$AG$5:$AG$364,0),1)/INDEX(其他调用!AH$5:AH$364,MATCH($K19,其他调用!$AG$5:$AG$364,0),0),1)*INDEX(其他调用!Y$5:Y$404,MATCH($K19,其他调用!$X$5:$X$404,0),0)</f>
        <v>25451.722438814322</v>
      </c>
      <c r="O19" s="12">
        <f>MIN(INDEX(其他调用!$AH$5:$AH$364,MATCH($K19,其他调用!$AG$5:$AG$364,0),1)/INDEX(其他调用!AI$5:AI$364,MATCH($K19,其他调用!$AG$5:$AG$364,0),0),1)*INDEX(其他调用!Z$5:Z$404,MATCH($K19,其他调用!$X$5:$X$404,0),0)</f>
        <v>20166.797565328172</v>
      </c>
      <c r="P19" s="12">
        <f>MIN(INDEX(其他调用!$AH$5:$AH$364,MATCH($K19,其他调用!$AG$5:$AG$364,0),1)/INDEX(其他调用!AJ$5:AJ$364,MATCH($K19,其他调用!$AG$5:$AG$364,0),0),1)*INDEX(其他调用!AA$5:AA$404,MATCH($K19,其他调用!$X$5:$X$404,0),0)</f>
        <v>15055.094082750013</v>
      </c>
      <c r="Q19" s="12">
        <f>MIN(INDEX(其他调用!$AH$5:$AH$364,MATCH($K19,其他调用!$AG$5:$AG$364,0),1)/INDEX(其他调用!AK$5:AK$364,MATCH($K19,其他调用!$AG$5:$AG$364,0),0),1)*INDEX(其他调用!AB$5:AB$404,MATCH($K19,其他调用!$X$5:$X$404,0),0)</f>
        <v>8123.7425269171172</v>
      </c>
      <c r="R19" s="12">
        <f>MIN(INDEX(其他调用!$AH$5:$AH$364,MATCH($K19,其他调用!$AG$5:$AG$364,0),1)/INDEX(其他调用!AL$5:AL$364,MATCH($K19,其他调用!$AG$5:$AG$364,0),0),1)*INDEX(其他调用!AC$5:AC$404,MATCH($K19,其他调用!$X$5:$X$404,0),0)</f>
        <v>3304.8629866092588</v>
      </c>
      <c r="S19" s="12">
        <f>求节点(节奏总纲!D$4:D$163,标准城池设计!AC$4:AC$163,$K19)*求节点(节奏总纲!D$4:D$163,攻城基础信息!$AD$5:$AD$164,$K19)</f>
        <v>154661.02169540501</v>
      </c>
      <c r="T19" s="12">
        <f>INDEX(其他调用!$AA$5:$AA$404,MATCH($K19,其他调用!$X$5:$X$404,0))*MIN(INDEX(其他调用!AI$5:AI$364,MATCH($K19,其他调用!$AG$5:$AG$364,0),1)/INDEX(其他调用!$AJ$5:$AJ$364,MATCH($K19,其他调用!$AG$5:$AG$364,0),0),5)*求节点(节奏总纲!D$4:D$163,攻城基础信息!$AD$5:$AD$164,$K19)</f>
        <v>42225.273051139295</v>
      </c>
      <c r="U19" s="12">
        <f>MIN(INDEX(其他调用!$AI$5:$AI$364,MATCH($K19,其他调用!$AG$5:$AG$364,0),1)/INDEX(其他调用!AH$5:AH$364,MATCH($K19,其他调用!$AG$5:$AG$364,0),0),1)*INDEX(其他调用!Y$5:Y$404,MATCH($K19,其他调用!$X$5:$X$404,0),0)</f>
        <v>25451.722438814322</v>
      </c>
      <c r="V19" s="12">
        <f>MIN(INDEX(其他调用!$AI$5:$AI$364,MATCH($K19,其他调用!$AG$5:$AG$364,0),1)/INDEX(其他调用!AI$5:AI$364,MATCH($K19,其他调用!$AG$5:$AG$364,0),0),1)*INDEX(其他调用!Z$5:Z$404,MATCH($K19,其他调用!$X$5:$X$404,0),0)</f>
        <v>26485.903994552398</v>
      </c>
      <c r="W19" s="12">
        <f>MIN(INDEX(其他调用!$AI$5:$AI$364,MATCH($K19,其他调用!$AG$5:$AG$364,0),1)/INDEX(其他调用!AJ$5:AJ$364,MATCH($K19,其他调用!$AG$5:$AG$364,0),0),1)*INDEX(其他调用!AA$5:AA$404,MATCH($K19,其他调用!$X$5:$X$404,0),0)</f>
        <v>19772.488676646364</v>
      </c>
      <c r="X19" s="12">
        <f>MIN(INDEX(其他调用!$AI$5:$AI$364,MATCH($K19,其他调用!$AG$5:$AG$364,0),1)/INDEX(其他调用!AK$5:AK$364,MATCH($K19,其他调用!$AG$5:$AG$364,0),0),1)*INDEX(其他调用!AB$5:AB$404,MATCH($K19,其他调用!$X$5:$X$404,0),0)</f>
        <v>10669.252961328464</v>
      </c>
      <c r="Y19" s="12">
        <f>MIN(INDEX(其他调用!$AI$5:$AI$364,MATCH($K19,其他调用!$AG$5:$AG$364,0),1)/INDEX(其他调用!AL$5:AL$364,MATCH($K19,其他调用!$AG$5:$AG$364,0),0),1)*INDEX(其他调用!AC$5:AC$404,MATCH($K19,其他调用!$X$5:$X$404,0),0)</f>
        <v>4340.4156507710813</v>
      </c>
      <c r="Z19" s="12">
        <f>求节点(节奏总纲!D$4:D$163,标准城池设计!AD$4:AD$163,$K19)*求节点(节奏总纲!D$4:D$163,攻城基础信息!$AE$5:$AE$164,$K19)</f>
        <v>163835.3079931536</v>
      </c>
      <c r="AA19" s="12">
        <f>INDEX(其他调用!$AA$5:$AA$404,MATCH($K19,其他调用!$X$5:$X$404,0))*MIN(INDEX(其他调用!AJ$5:AJ$364,MATCH($K19,其他调用!$AG$5:$AG$364,0),1)/INDEX(其他调用!$AJ$5:$AJ$364,MATCH($K19,其他调用!$AG$5:$AG$364,0),0),5)*求节点(节奏总纲!D$4:D$163,攻城基础信息!$AE$5:$AE$164,$K19)</f>
        <v>59442.768748861134</v>
      </c>
      <c r="AB19" s="12">
        <f>MIN(INDEX(其他调用!$AJ$5:$AJ$364,MATCH($K19,其他调用!$AG$5:$AG$364,0),1)/INDEX(其他调用!AH$5:AH$364,MATCH($K19,其他调用!$AG$5:$AG$364,0),0),1)*INDEX(其他调用!Y$5:Y$404,MATCH($K19,其他调用!$X$5:$X$404,0),0)</f>
        <v>25451.722438814322</v>
      </c>
      <c r="AC19" s="12">
        <f>MIN(INDEX(其他调用!$AJ$5:$AJ$364,MATCH($K19,其他调用!$AG$5:$AG$364,0),1)/INDEX(其他调用!AI$5:AI$364,MATCH($K19,其他调用!$AG$5:$AG$364,0),0),1)*INDEX(其他调用!Z$5:Z$404,MATCH($K19,其他调用!$X$5:$X$404,0),0)</f>
        <v>26485.903994552398</v>
      </c>
      <c r="AD19" s="12">
        <f>MIN(INDEX(其他调用!$AJ$5:$AJ$364,MATCH($K19,其他调用!$AG$5:$AG$364,0),1)/INDEX(其他调用!AJ$5:AJ$364,MATCH($K19,其他调用!$AG$5:$AG$364,0),0),1)*INDEX(其他调用!AA$5:AA$404,MATCH($K19,其他调用!$X$5:$X$404,0),0)</f>
        <v>27834.786777385991</v>
      </c>
      <c r="AE19" s="12">
        <f>MIN(INDEX(其他调用!$AJ$5:$AJ$364,MATCH($K19,其他调用!$AG$5:$AG$364,0),1)/INDEX(其他调用!AK$5:AK$364,MATCH($K19,其他调用!$AG$5:$AG$364,0),0),1)*INDEX(其他调用!AB$5:AB$404,MATCH($K19,其他调用!$X$5:$X$404,0),0)</f>
        <v>15019.676385165207</v>
      </c>
      <c r="AF19" s="12">
        <f>MIN(INDEX(其他调用!$AJ$5:$AJ$364,MATCH($K19,其他调用!$AG$5:$AG$364,0),1)/INDEX(其他调用!AL$5:AL$364,MATCH($K19,其他调用!$AG$5:$AG$364,0),0),1)*INDEX(其他调用!AC$5:AC$404,MATCH($K19,其他调用!$X$5:$X$404,0),0)</f>
        <v>6110.2345860558416</v>
      </c>
      <c r="AG19" s="12">
        <f>求节点(节奏总纲!D$4:D$163,标准城池设计!AE$4:AE$163,$K19)*求节点(节奏总纲!D$4:D$163,攻城基础信息!$AF$5:$AF$164,$K19)</f>
        <v>185611.68728965733</v>
      </c>
      <c r="AH19" s="12">
        <f>INDEX(其他调用!$AA$5:$AA$404,MATCH($K19,其他调用!$X$5:$X$404,0))*MIN(INDEX(其他调用!AK$5:AK$364,MATCH($K19,其他调用!$AG$5:$AG$364,0),1)/INDEX(其他调用!$AJ$5:$AJ$364,MATCH($K19,其他调用!$AG$5:$AG$364,0),0),5)*求节点(节奏总纲!D$4:D$163,攻城基础信息!$AF$5:$AF$164,$K19)</f>
        <v>118070.22155530196</v>
      </c>
      <c r="AI19" s="12">
        <f>MIN(INDEX(其他调用!$AK$5:$AK$364,MATCH($K19,其他调用!$AG$5:$AG$364,0),1)/INDEX(其他调用!AH$5:AH$364,MATCH($K19,其他调用!$AG$5:$AG$364,0),0),1)*INDEX(其他调用!Y$5:Y$404,MATCH($K19,其他调用!$X$5:$X$404,0),0)</f>
        <v>25451.722438814322</v>
      </c>
      <c r="AJ19" s="12">
        <f>MIN(INDEX(其他调用!$AK$5:$AK$364,MATCH($K19,其他调用!$AG$5:$AG$364,0),1)/INDEX(其他调用!AI$5:AI$364,MATCH($K19,其他调用!$AG$5:$AG$364,0),0),1)*INDEX(其他调用!Z$5:Z$404,MATCH($K19,其他调用!$X$5:$X$404,0),0)</f>
        <v>26485.903994552398</v>
      </c>
      <c r="AK19" s="12">
        <f>MIN(INDEX(其他调用!$AK$5:$AK$364,MATCH($K19,其他调用!$AG$5:$AG$364,0),1)/INDEX(其他调用!AJ$5:AJ$364,MATCH($K19,其他调用!$AG$5:$AG$364,0),0),1)*INDEX(其他调用!AA$5:AA$404,MATCH($K19,其他调用!$X$5:$X$404,0),0)</f>
        <v>27834.786777385991</v>
      </c>
      <c r="AL19" s="12">
        <f>MIN(INDEX(其他调用!$AK$5:$AK$364,MATCH($K19,其他调用!$AG$5:$AG$364,0),1)/INDEX(其他调用!AK$5:AK$364,MATCH($K19,其他调用!$AG$5:$AG$364,0),0),1)*INDEX(其他调用!AB$5:AB$404,MATCH($K19,其他调用!$X$5:$X$404,0),0)</f>
        <v>29833.343160338052</v>
      </c>
      <c r="AM19" s="12">
        <f>MIN(INDEX(其他调用!$AK$5:$AK$364,MATCH($K19,其他调用!$AG$5:$AG$364,0),1)/INDEX(其他调用!AL$5:AL$364,MATCH($K19,其他调用!$AG$5:$AG$364,0),0),1)*INDEX(其他调用!AC$5:AC$404,MATCH($K19,其他调用!$X$5:$X$404,0),0)</f>
        <v>12136.66130490101</v>
      </c>
      <c r="AN19" s="12">
        <f>求节点(节奏总纲!D$4:D$163,标准城池设计!AF$4:AF$163,$K19)*求节点(节奏总纲!D$4:D$163,攻城基础信息!$AG$5:$AG$164,$K19)</f>
        <v>192175.39633842523</v>
      </c>
      <c r="AO19" s="12">
        <f>INDEX(其他调用!$AA$5:$AA$404,MATCH($K19,其他调用!$X$5:$X$404,0))*MIN(INDEX(其他调用!AL$5:AL$364,MATCH($K19,其他调用!$AG$5:$AG$364,0),1)/INDEX(其他调用!$AJ$5:$AJ$364,MATCH($K19,其他调用!$AG$5:$AG$364,0),0),5)*求节点(节奏总纲!D$4:D$163,攻城基础信息!$AG$5:$AG$164,$K19)</f>
        <v>297213.84374430566</v>
      </c>
      <c r="AP19" s="12">
        <f>MIN(INDEX(其他调用!$AL$5:$AL$364,MATCH($K19,其他调用!$AG$5:$AG$364,0),1)/INDEX(其他调用!AH$5:AH$364,MATCH($K19,其他调用!$AG$5:$AG$364,0),0),1)*INDEX(其他调用!Y$5:Y$404,MATCH($K19,其他调用!$X$5:$X$404,0),0)</f>
        <v>25451.722438814322</v>
      </c>
      <c r="AQ19" s="12">
        <f>MIN(INDEX(其他调用!$AL$5:$AL$364,MATCH($K19,其他调用!$AG$5:$AG$364,0),1)/INDEX(其他调用!AI$5:AI$364,MATCH($K19,其他调用!$AG$5:$AG$364,0),0),1)*INDEX(其他调用!Z$5:Z$404,MATCH($K19,其他调用!$X$5:$X$404,0),0)</f>
        <v>26485.903994552398</v>
      </c>
      <c r="AR19" s="12">
        <f>MIN(INDEX(其他调用!$AL$5:$AL$364,MATCH($K19,其他调用!$AG$5:$AG$364,0),1)/INDEX(其他调用!AJ$5:AJ$364,MATCH($K19,其他调用!$AG$5:$AG$364,0),0),1)*INDEX(其他调用!AA$5:AA$404,MATCH($K19,其他调用!$X$5:$X$404,0),0)</f>
        <v>27834.786777385991</v>
      </c>
      <c r="AS19" s="12">
        <f>MIN(INDEX(其他调用!$AL$5:$AL$364,MATCH($K19,其他调用!$AG$5:$AG$364,0),1)/INDEX(其他调用!AK$5:AK$364,MATCH($K19,其他调用!$AG$5:$AG$364,0),0),1)*INDEX(其他调用!AB$5:AB$404,MATCH($K19,其他调用!$X$5:$X$404,0),0)</f>
        <v>29833.343160338052</v>
      </c>
      <c r="AT19" s="12">
        <f>MIN(INDEX(其他调用!$AL$5:$AL$364,MATCH($K19,其他调用!$AG$5:$AG$364,0),1)/INDEX(其他调用!AL$5:AL$364,MATCH($K19,其他调用!$AG$5:$AG$364,0),0),1)*INDEX(其他调用!AC$5:AC$404,MATCH($K19,其他调用!$X$5:$X$404,0),0)</f>
        <v>33460.077102732226</v>
      </c>
      <c r="AV19" s="14">
        <f>IF(OR(AV$5="大R",AV$5="超R"),MAX(INDEX(其他调用!$H$5:$L$404,MATCH($K19,其他调用!$B$5:$B$404,0),MATCH(AV$5,其他调用!$H$4:$L$4,0))*120*0.85,2),INDEX(其他调用!$H$5:$L$404,MATCH($K19,其他调用!$B$5:$B$404,0),MATCH(AV$5,其他调用!$H$4:$L$4,0))*120*0.85)</f>
        <v>61.383811034482783</v>
      </c>
      <c r="AW19" s="14">
        <f>IF(OR(AW$5="大R",AW$5="超R"),MAX(INDEX(其他调用!$H$5:$L$404,MATCH($K19,其他调用!$B$5:$B$404,0),MATCH(AW$5,其他调用!$H$4:$L$4,0))*120*0.85,2),INDEX(其他调用!$H$5:$L$404,MATCH($K19,其他调用!$B$5:$B$404,0),MATCH(AW$5,其他调用!$H$4:$L$4,0))*120*0.85)</f>
        <v>36.226435365517219</v>
      </c>
      <c r="AX19" s="14">
        <f>IF(OR(AX$5="大R",AX$5="超R"),MAX(INDEX(其他调用!$H$5:$L$404,MATCH($K19,其他调用!$B$5:$B$404,0),MATCH(AX$5,其他调用!$H$4:$L$4,0))*120*0.85,2),INDEX(其他调用!$H$5:$L$404,MATCH($K19,其他调用!$B$5:$B$404,0),MATCH(AX$5,其他调用!$H$4:$L$4,0))*120*0.85)</f>
        <v>3.7287935999999995</v>
      </c>
      <c r="AY19" s="14">
        <f>IF(OR(AY$5="大R",AY$5="超R"),MAX(INDEX(其他调用!$H$5:$L$404,MATCH($K19,其他调用!$B$5:$B$404,0),MATCH(AY$5,其他调用!$H$4:$L$4,0))*120*0.85,2),INDEX(其他调用!$H$5:$L$404,MATCH($K19,其他调用!$B$5:$B$404,0),MATCH(AY$5,其他调用!$H$4:$L$4,0))*120*0.85)</f>
        <v>2</v>
      </c>
      <c r="AZ19" s="14">
        <f>IF(OR(AZ$5="大R",AZ$5="超R"),MAX(INDEX(其他调用!$H$5:$L$404,MATCH($K19,其他调用!$B$5:$B$404,0),MATCH(AZ$5,其他调用!$H$4:$L$4,0))*120*0.85,2),INDEX(其他调用!$H$5:$L$404,MATCH($K19,其他调用!$B$5:$B$404,0),MATCH(AZ$5,其他调用!$H$4:$L$4,0))*120*0.85)</f>
        <v>2</v>
      </c>
      <c r="BA19" s="14">
        <f>INDEX(其他调用!$H$5:$L$404,MATCH($K19,其他调用!$B$5:$B$404,0),MATCH(BA$5,其他调用!$H$4:$L$4,0))*INDEX(其他调用!$M$5:$M$404,MATCH($K19,其他调用!$B$5:$B$404,0))*0.6</f>
        <v>28.71984642970823</v>
      </c>
      <c r="BB19" s="14">
        <f>INDEX(其他调用!$H$5:$L$404,MATCH($K19,其他调用!$B$5:$B$404,0),MATCH(BB$5,其他调用!$H$4:$L$4,0))*INDEX(其他调用!$M$5:$M$404,MATCH($K19,其他调用!$B$5:$B$404,0))*0.6</f>
        <v>16.949381976445611</v>
      </c>
      <c r="BC19" s="14">
        <f>INDEX(其他调用!$H$5:$L$404,MATCH($K19,其他调用!$B$5:$B$404,0),MATCH(BC$5,其他调用!$H$4:$L$4,0))*INDEX(其他调用!$M$5:$M$404,MATCH($K19,其他调用!$B$5:$B$404,0))*0.6</f>
        <v>1.7446029784615384</v>
      </c>
      <c r="BD19" s="14">
        <f>INDEX(其他调用!$H$5:$L$404,MATCH($K19,其他调用!$B$5:$B$404,0),MATCH(BD$5,其他调用!$H$4:$L$4,0))*INDEX(其他调用!$M$5:$M$404,MATCH($K19,其他调用!$B$5:$B$404,0))*0.6</f>
        <v>0.25197784615384616</v>
      </c>
      <c r="BE19" s="14">
        <f>INDEX(其他调用!$H$5:$L$404,MATCH($K19,其他调用!$B$5:$B$404,0),MATCH(BE$5,其他调用!$H$4:$L$4,0))*INDEX(其他调用!$M$5:$M$404,MATCH($K19,其他调用!$B$5:$B$404,0))*0.6</f>
        <v>5.7267692307692297E-2</v>
      </c>
      <c r="BF19" s="14">
        <f>IF(OR(BF$5="大R",BF$5="超R"),0,INDEX(其他调用!$H$5:$L$404,MATCH($K19,其他调用!$B$5:$B$404,0),MATCH(BF$5,其他调用!$H$4:$L$4,0))*50*0.4)</f>
        <v>12.036041379310349</v>
      </c>
      <c r="BG19" s="14">
        <f>IF(OR(BG$5="大R",BG$5="超R"),0,INDEX(其他调用!$H$5:$L$404,MATCH($K19,其他调用!$B$5:$B$404,0),MATCH(BG$5,其他调用!$H$4:$L$4,0))*50*0.4)</f>
        <v>7.1032226206896514</v>
      </c>
      <c r="BH19" s="14">
        <f>IF(OR(BH$5="大R",BH$5="超R"),0,INDEX(其他调用!$H$5:$L$404,MATCH($K19,其他调用!$B$5:$B$404,0),MATCH(BH$5,其他调用!$H$4:$L$4,0))*50*0.4)</f>
        <v>0.73113600000000012</v>
      </c>
      <c r="BI19" s="14">
        <f>IF(OR(BI$5="大R",BI$5="超R"),0,INDEX(其他调用!$H$5:$L$404,MATCH($K19,其他调用!$B$5:$B$404,0),MATCH(BI$5,其他调用!$H$4:$L$4,0))*50*0.4)</f>
        <v>0</v>
      </c>
      <c r="BJ19" s="14">
        <f>IF(OR(BJ$5="大R",BJ$5="超R"),0,INDEX(其他调用!$H$5:$L$404,MATCH($K19,其他调用!$B$5:$B$404,0),MATCH(BJ$5,其他调用!$H$4:$L$4,0))*50*0.4)</f>
        <v>0</v>
      </c>
      <c r="BL19" s="14">
        <f t="shared" si="103"/>
        <v>14</v>
      </c>
      <c r="BM19" s="14">
        <f t="shared" si="10"/>
        <v>96</v>
      </c>
      <c r="BN19" s="14">
        <f>('疲劳值&amp;地图信息'!$S$10*'疲劳值&amp;地图信息'!$R$10+'疲劳值&amp;地图信息'!$S$11*'疲劳值&amp;地图信息'!$R$11+'疲劳值&amp;地图信息'!$S$12*'疲劳值&amp;地图信息'!$R$12+(BM19-'疲劳值&amp;地图信息'!$S$12-'疲劳值&amp;地图信息'!$S$11-'疲劳值&amp;地图信息'!$S$10)*'疲劳值&amp;地图信息'!$R$13)/BM19</f>
        <v>51.371477246638619</v>
      </c>
      <c r="BO19" s="14">
        <f>INDEX(其他调用!$M$5:$M$404,MATCH(BL19,其他调用!$B$5:$B$404,0))*0.6</f>
        <v>47.723076923076917</v>
      </c>
      <c r="BP19" s="14">
        <f>IF(BO19&gt;SUM('疲劳值&amp;地图信息'!$S$10:$S$12),('疲劳值&amp;地图信息'!$S$10*'疲劳值&amp;地图信息'!$R$10+'疲劳值&amp;地图信息'!$S$11*'疲劳值&amp;地图信息'!$R$11+'疲劳值&amp;地图信息'!$S$12*'疲劳值&amp;地图信息'!$R$12+(BO19-'疲劳值&amp;地图信息'!$S$12-'疲劳值&amp;地图信息'!$S$11-'疲劳值&amp;地图信息'!$S$10)*'疲劳值&amp;地图信息'!$R$13)/BO19,('疲劳值&amp;地图信息'!$S$10*'疲劳值&amp;地图信息'!$R$10+'疲劳值&amp;地图信息'!$S$11*'疲劳值&amp;地图信息'!$R$11+'疲劳值&amp;地图信息'!$S$12*'疲劳值&amp;地图信息'!$R$12+(BO19-'疲劳值&amp;地图信息'!$S$12-'疲劳值&amp;地图信息'!$S$11-'疲劳值&amp;地图信息'!$S$10)*'疲劳值&amp;地图信息'!$R$13)/BO19)</f>
        <v>39.20971937000391</v>
      </c>
      <c r="BQ19" s="14">
        <f t="shared" si="104"/>
        <v>20</v>
      </c>
      <c r="BR19" s="14">
        <f>('疲劳值&amp;地图信息'!$S$10*'疲劳值&amp;地图信息'!$R$10+($BQ19-'疲劳值&amp;地图信息'!$S$10)*'疲劳值&amp;地图信息'!$R$11)/$BQ19</f>
        <v>32.067203015074995</v>
      </c>
      <c r="BW19" s="14" t="s">
        <v>270</v>
      </c>
      <c r="BX19" s="14">
        <v>9000</v>
      </c>
      <c r="BY19" s="14">
        <v>250</v>
      </c>
      <c r="CF19" s="14">
        <v>14</v>
      </c>
      <c r="CG19" s="51">
        <f t="shared" si="11"/>
        <v>3393</v>
      </c>
      <c r="CH19" s="51">
        <f t="shared" si="12"/>
        <v>737</v>
      </c>
      <c r="CI19" s="51">
        <f>INT(SUMPRODUCT($N19:$R19,$BA19:$BE19)/SUM($BA19:$BE19)/10000*$BX$7*$BZ$34/'疲劳值&amp;地图信息'!$R$10*$BY$53)</f>
        <v>2341</v>
      </c>
      <c r="CJ19" s="50">
        <f t="shared" si="13"/>
        <v>0.52433936022253125</v>
      </c>
      <c r="CK19" s="50">
        <f t="shared" si="14"/>
        <v>0.11389275227940041</v>
      </c>
      <c r="CL19" s="50">
        <f t="shared" si="15"/>
        <v>0.36176788749806832</v>
      </c>
      <c r="CM19" s="14">
        <f t="shared" si="16"/>
        <v>3550</v>
      </c>
      <c r="CN19" s="14">
        <f t="shared" si="17"/>
        <v>969</v>
      </c>
      <c r="CO19" s="14">
        <f>INT(SUMPRODUCT($U19:$Y19,$BA19:$BE19)/SUM($BA19:$BE19)/10000*$BX$7*$BZ$34/'疲劳值&amp;地图信息'!$R$10*$BY$54)</f>
        <v>3882</v>
      </c>
      <c r="CP19" s="50">
        <f t="shared" si="18"/>
        <v>0.42256874181645043</v>
      </c>
      <c r="CQ19" s="50">
        <f t="shared" si="19"/>
        <v>0.11534341149863112</v>
      </c>
      <c r="CR19" s="50">
        <f t="shared" si="20"/>
        <v>0.46208784668491848</v>
      </c>
      <c r="CS19" s="14">
        <f t="shared" si="21"/>
        <v>3760</v>
      </c>
      <c r="CT19" s="14">
        <f t="shared" si="22"/>
        <v>1364</v>
      </c>
      <c r="CU19" s="14">
        <f>INT(SUMPRODUCT($AB19:$AF19,$BA19:$BE19)/SUM($BA19:$BE19)/10000*$BX$7*$BZ$34/'疲劳值&amp;地图信息'!$R$10*$BY$55)</f>
        <v>5241</v>
      </c>
      <c r="CV19" s="50">
        <f t="shared" si="23"/>
        <v>0.36275928605885188</v>
      </c>
      <c r="CW19" s="50">
        <f t="shared" si="24"/>
        <v>0.13159671972986012</v>
      </c>
      <c r="CX19" s="50">
        <f t="shared" si="25"/>
        <v>0.50564399421128803</v>
      </c>
      <c r="CY19" s="14">
        <f t="shared" si="26"/>
        <v>4260</v>
      </c>
      <c r="CZ19" s="14">
        <f t="shared" si="27"/>
        <v>2710</v>
      </c>
      <c r="DA19" s="14">
        <f>INT(SUMPRODUCT($AI19:$AM19,$BA19:$BE19)/SUM($BA19:$BE19)/10000*$BX$7*$BZ$34/'疲劳值&amp;地图信息'!$R$10*$BY$56)</f>
        <v>7888</v>
      </c>
      <c r="DB19" s="50">
        <f t="shared" si="28"/>
        <v>0.28671422802530622</v>
      </c>
      <c r="DC19" s="50">
        <f t="shared" si="29"/>
        <v>0.18239332346210796</v>
      </c>
      <c r="DD19" s="50">
        <f t="shared" si="30"/>
        <v>0.53089244851258577</v>
      </c>
      <c r="DE19" s="14">
        <f t="shared" si="31"/>
        <v>4411</v>
      </c>
      <c r="DF19" s="14">
        <f t="shared" si="32"/>
        <v>6822</v>
      </c>
      <c r="DG19" s="14">
        <f>INT(SUMPRODUCT($AP19:$AT19,$BA19:$BE19)/SUM($BA19:$BE19)/10000*$BX$7*$BZ$34/'疲劳值&amp;地图信息'!$R$10*$BY$57)</f>
        <v>10527</v>
      </c>
      <c r="DH19" s="50">
        <f t="shared" si="33"/>
        <v>0.20271139705882352</v>
      </c>
      <c r="DI19" s="50">
        <f t="shared" si="34"/>
        <v>0.31351102941176473</v>
      </c>
      <c r="DJ19" s="50">
        <f t="shared" si="35"/>
        <v>0.48377757352941175</v>
      </c>
      <c r="DL19" s="14">
        <f t="shared" si="106"/>
        <v>6471</v>
      </c>
      <c r="DM19" s="14">
        <f t="shared" si="107"/>
        <v>8401</v>
      </c>
      <c r="DN19" s="14">
        <f t="shared" si="108"/>
        <v>10365</v>
      </c>
      <c r="DO19" s="14">
        <f t="shared" si="109"/>
        <v>14858</v>
      </c>
      <c r="DP19" s="14">
        <f t="shared" si="110"/>
        <v>21760</v>
      </c>
      <c r="DQ19" s="14">
        <f t="shared" si="111"/>
        <v>351310</v>
      </c>
      <c r="DT19" s="14">
        <f t="shared" si="105"/>
        <v>235575</v>
      </c>
      <c r="DU19" s="50">
        <f t="shared" si="7"/>
        <v>0.40139891120066112</v>
      </c>
      <c r="DW19" s="14">
        <f t="shared" si="36"/>
        <v>586885</v>
      </c>
      <c r="EB19" s="14">
        <v>14</v>
      </c>
      <c r="EC19" s="51">
        <f t="shared" si="37"/>
        <v>5655</v>
      </c>
      <c r="ED19" s="51">
        <f t="shared" si="38"/>
        <v>1229</v>
      </c>
      <c r="EE19" s="51">
        <f>INT(SUMPRODUCT($N19:$R19,$BF19:$BJ19)/SUM($BF19:$BJ19)/10000*$BX$7*$BZ$46/'疲劳值&amp;地图信息'!$R$10*$BY$53)</f>
        <v>313</v>
      </c>
      <c r="EF19" s="50">
        <f t="shared" si="39"/>
        <v>0.7857440600250104</v>
      </c>
      <c r="EG19" s="50">
        <f t="shared" si="40"/>
        <v>0.17076559677643463</v>
      </c>
      <c r="EH19" s="50">
        <f t="shared" si="41"/>
        <v>4.3490343198554951E-2</v>
      </c>
      <c r="EI19" s="51">
        <f t="shared" si="42"/>
        <v>5916</v>
      </c>
      <c r="EJ19" s="51">
        <f t="shared" si="43"/>
        <v>1615</v>
      </c>
      <c r="EK19" s="14">
        <f>INT(SUMPRODUCT($U19:$Y19,$BF19:$BJ19)/SUM($BF19:$BJ19)/10000*$BX$7*$BZ$46/'疲劳值&amp;地图信息'!$R$10*$BY$54)</f>
        <v>519</v>
      </c>
      <c r="EL19" s="50">
        <f t="shared" si="44"/>
        <v>0.73490683229813669</v>
      </c>
      <c r="EM19" s="50">
        <f t="shared" si="45"/>
        <v>0.20062111801242236</v>
      </c>
      <c r="EN19" s="50">
        <f t="shared" si="46"/>
        <v>6.4472049689440994E-2</v>
      </c>
      <c r="EO19" s="51">
        <f t="shared" si="47"/>
        <v>6267</v>
      </c>
      <c r="EP19" s="51">
        <f t="shared" si="48"/>
        <v>2274</v>
      </c>
      <c r="EQ19" s="14">
        <f>INT(SUMPRODUCT($AB19:$AF19,$BF19:$BJ19)/SUM($BF19:$BJ19)/10000*$BX$7*$BZ$46/'疲劳值&amp;地图信息'!$R$10*$BY$55)</f>
        <v>701</v>
      </c>
      <c r="ER19" s="50">
        <f t="shared" si="49"/>
        <v>0.6780999783596624</v>
      </c>
      <c r="ES19" s="50">
        <f t="shared" si="50"/>
        <v>0.24605063838995889</v>
      </c>
      <c r="ET19" s="50">
        <f t="shared" si="51"/>
        <v>7.584938325037871E-2</v>
      </c>
      <c r="EU19" s="51">
        <f t="shared" si="52"/>
        <v>7100</v>
      </c>
      <c r="EV19" s="51">
        <f t="shared" si="53"/>
        <v>4516</v>
      </c>
      <c r="EW19" s="14">
        <f>INT(SUMPRODUCT($AI19:$AM19,$BF19:$BJ19)/SUM($BF19:$BJ19)/10000*$BX$7*$BZ$46/'疲劳值&amp;地图信息'!$R$10*$BY$56)</f>
        <v>1051</v>
      </c>
      <c r="EX19" s="50">
        <f t="shared" si="54"/>
        <v>0.56051156548511882</v>
      </c>
      <c r="EY19" s="50">
        <f t="shared" si="55"/>
        <v>0.3565169337649009</v>
      </c>
      <c r="EZ19" s="50">
        <f t="shared" si="56"/>
        <v>8.2971500749980262E-2</v>
      </c>
      <c r="FA19" s="51">
        <f t="shared" si="57"/>
        <v>7351</v>
      </c>
      <c r="FB19" s="51">
        <f t="shared" si="58"/>
        <v>11370</v>
      </c>
      <c r="FC19" s="14">
        <f>INT(SUMPRODUCT($AP19:$AT19,$BF19:$BJ19)/SUM($BF19:$BJ19)/10000*$BX$7*$BZ$46/'疲劳值&amp;地图信息'!$R$10*$BY$57)</f>
        <v>1402</v>
      </c>
      <c r="FD19" s="50">
        <f t="shared" si="59"/>
        <v>0.36530338418724845</v>
      </c>
      <c r="FE19" s="50">
        <f t="shared" si="60"/>
        <v>0.56502509566168069</v>
      </c>
      <c r="FF19" s="50">
        <f t="shared" si="61"/>
        <v>6.967152015107092E-2</v>
      </c>
      <c r="FH19" s="14">
        <f t="shared" si="62"/>
        <v>7197</v>
      </c>
      <c r="FI19" s="14">
        <f t="shared" si="63"/>
        <v>8050</v>
      </c>
      <c r="FJ19" s="14">
        <f t="shared" si="64"/>
        <v>9242</v>
      </c>
      <c r="FK19" s="14">
        <f t="shared" si="65"/>
        <v>12667</v>
      </c>
      <c r="FL19" s="14">
        <f t="shared" si="66"/>
        <v>20123</v>
      </c>
      <c r="FM19" s="14">
        <f t="shared" si="67"/>
        <v>833443</v>
      </c>
      <c r="FP19" s="14">
        <f t="shared" si="68"/>
        <v>334150</v>
      </c>
      <c r="FQ19" s="50">
        <f t="shared" si="8"/>
        <v>0.28618705319404963</v>
      </c>
      <c r="FS19" s="14">
        <f t="shared" si="69"/>
        <v>1167593</v>
      </c>
      <c r="FX19" s="14">
        <v>14</v>
      </c>
      <c r="FY19" s="51">
        <f t="shared" si="70"/>
        <v>7917</v>
      </c>
      <c r="FZ19" s="51">
        <f t="shared" si="71"/>
        <v>1229</v>
      </c>
      <c r="GA19" s="51">
        <f>INT(SUMPRODUCT($N19:$R19,$BF19:$BJ19)/SUM($BF19:$BJ19)/10000*$BX$7*$BZ$46/'疲劳值&amp;地图信息'!$R$10*$BY$53)</f>
        <v>313</v>
      </c>
      <c r="GB19" s="50">
        <f t="shared" si="72"/>
        <v>0.83698065334601968</v>
      </c>
      <c r="GC19" s="50">
        <f t="shared" si="73"/>
        <v>0.12992916798815943</v>
      </c>
      <c r="GD19" s="50">
        <f t="shared" si="74"/>
        <v>3.309017866582091E-2</v>
      </c>
      <c r="GE19" s="51">
        <f t="shared" si="75"/>
        <v>8283</v>
      </c>
      <c r="GF19" s="51">
        <f t="shared" si="76"/>
        <v>1615</v>
      </c>
      <c r="GG19" s="14">
        <f>INT(SUMPRODUCT($U19:$Y19,$BF19:$BJ19)/SUM($BF19:$BJ19)/10000*$BX$7*$BZ$46/'疲劳值&amp;地图信息'!$R$10*$BY$54)</f>
        <v>519</v>
      </c>
      <c r="GH19" s="50">
        <f t="shared" si="77"/>
        <v>0.79514255543822598</v>
      </c>
      <c r="GI19" s="50">
        <f t="shared" si="78"/>
        <v>0.15503503887875589</v>
      </c>
      <c r="GJ19" s="50">
        <f t="shared" si="79"/>
        <v>4.9822405683018142E-2</v>
      </c>
      <c r="GK19" s="51">
        <f t="shared" si="80"/>
        <v>8774</v>
      </c>
      <c r="GL19" s="51">
        <f t="shared" si="81"/>
        <v>2274</v>
      </c>
      <c r="GM19" s="14">
        <f>INT(SUMPRODUCT($AB19:$AF19,$BF19:$BJ19)/SUM($BF19:$BJ19)/10000*$BX$7*$BZ$46/'疲劳值&amp;地图信息'!$R$10*$BY$55)</f>
        <v>701</v>
      </c>
      <c r="GN19" s="50">
        <f t="shared" si="82"/>
        <v>0.7467869605923908</v>
      </c>
      <c r="GO19" s="50">
        <f t="shared" si="83"/>
        <v>0.19354838709677419</v>
      </c>
      <c r="GP19" s="50">
        <f t="shared" si="84"/>
        <v>5.9664652310834967E-2</v>
      </c>
      <c r="GQ19" s="51">
        <f t="shared" si="85"/>
        <v>9941</v>
      </c>
      <c r="GR19" s="51">
        <f t="shared" si="86"/>
        <v>4516</v>
      </c>
      <c r="GS19" s="14">
        <f>INT(SUMPRODUCT($AI19:$AM19,$BF19:$BJ19)/SUM($BF19:$BJ19)/10000*$BX$7*$BZ$46/'疲劳值&amp;地图信息'!$R$10*$BY$56)</f>
        <v>1051</v>
      </c>
      <c r="GT19" s="50">
        <f t="shared" si="87"/>
        <v>0.64102398761929325</v>
      </c>
      <c r="GU19" s="50">
        <f t="shared" si="88"/>
        <v>0.29120453959246839</v>
      </c>
      <c r="GV19" s="50">
        <f t="shared" si="89"/>
        <v>6.7771472788238335E-2</v>
      </c>
      <c r="GW19" s="51">
        <f t="shared" si="90"/>
        <v>10292</v>
      </c>
      <c r="GX19" s="51">
        <f t="shared" si="91"/>
        <v>11370</v>
      </c>
      <c r="GY19" s="14">
        <f>INT(SUMPRODUCT($AP19:$AT19,$BF19:$BJ19)/SUM($BF19:$BJ19)/10000*$BX$7*$BZ$46/'疲劳值&amp;地图信息'!$R$10*$BY$57)</f>
        <v>1402</v>
      </c>
      <c r="GZ19" s="50">
        <f t="shared" si="92"/>
        <v>0.44623655913978494</v>
      </c>
      <c r="HA19" s="50">
        <f t="shared" si="93"/>
        <v>0.49297606659729448</v>
      </c>
      <c r="HB19" s="50">
        <f t="shared" si="94"/>
        <v>6.0787374262920565E-2</v>
      </c>
      <c r="HD19" s="14">
        <f t="shared" si="95"/>
        <v>9459</v>
      </c>
      <c r="HE19" s="14">
        <f t="shared" si="96"/>
        <v>10417</v>
      </c>
      <c r="HF19" s="14">
        <f t="shared" si="97"/>
        <v>11749</v>
      </c>
      <c r="HG19" s="14">
        <f t="shared" si="98"/>
        <v>15508</v>
      </c>
      <c r="HH19" s="14">
        <f t="shared" si="99"/>
        <v>23064</v>
      </c>
      <c r="HI19" s="14">
        <f t="shared" si="100"/>
        <v>1078953</v>
      </c>
      <c r="HL19" s="14">
        <f t="shared" si="101"/>
        <v>430050</v>
      </c>
      <c r="HM19" s="50">
        <f t="shared" si="9"/>
        <v>0.28498949306263804</v>
      </c>
      <c r="HO19" s="14">
        <f t="shared" si="102"/>
        <v>1509003</v>
      </c>
    </row>
    <row r="20" spans="3:223" x14ac:dyDescent="0.2">
      <c r="C20" s="1" t="s">
        <v>427</v>
      </c>
      <c r="D20" s="2" t="s">
        <v>195</v>
      </c>
      <c r="K20" s="14">
        <v>15</v>
      </c>
      <c r="L20" s="12">
        <f>求节点(节奏总纲!D$4:D$163,标准城池设计!AB$4:AB$163,$K20)*求节点(节奏总纲!D$4:D$163,攻城基础信息!$AC$5:$AC$164,$K20)</f>
        <v>155252.3182545529</v>
      </c>
      <c r="M20" s="12">
        <f>INDEX(其他调用!$AA$5:$AA$404,MATCH(K20,其他调用!$X$5:$X$404,0))*MIN(INDEX(其他调用!$AH$5:$AH$364,MATCH('征服点（新）'!K20,其他调用!$AG$5:$AG$364,0),1)/INDEX(其他调用!$AJ$5:$AJ$364,MATCH(K20,其他调用!$AG$5:$AG$364,0),0),5)*求节点(节奏总纲!D$4:D$163,攻城基础信息!$AC$5:$AC$164,$K20)</f>
        <v>34406.03896677318</v>
      </c>
      <c r="N20" s="12">
        <f>MIN(INDEX(其他调用!$AH$5:$AH$364,MATCH($K20,其他调用!$AG$5:$AG$364,0),1)/INDEX(其他调用!AH$5:AH$364,MATCH($K20,其他调用!$AG$5:$AG$364,0),0),1)*INDEX(其他调用!Y$5:Y$404,MATCH($K20,其他调用!$X$5:$X$404,0),0)</f>
        <v>25816.677841663593</v>
      </c>
      <c r="O20" s="12">
        <f>MIN(INDEX(其他调用!$AH$5:$AH$364,MATCH($K20,其他调用!$AG$5:$AG$364,0),1)/INDEX(其他调用!AI$5:AI$364,MATCH($K20,其他调用!$AG$5:$AG$364,0),0),1)*INDEX(其他调用!Z$5:Z$404,MATCH($K20,其他调用!$X$5:$X$404,0),0)</f>
        <v>21469.0360410012</v>
      </c>
      <c r="P20" s="12">
        <f>MIN(INDEX(其他调用!$AH$5:$AH$364,MATCH($K20,其他调用!$AG$5:$AG$364,0),1)/INDEX(其他调用!AJ$5:AJ$364,MATCH($K20,其他调用!$AG$5:$AG$364,0),0),1)*INDEX(其他调用!AA$5:AA$404,MATCH($K20,其他调用!$X$5:$X$404,0),0)</f>
        <v>15879.710292356835</v>
      </c>
      <c r="Q20" s="12">
        <f>MIN(INDEX(其他调用!$AH$5:$AH$364,MATCH($K20,其他调用!$AG$5:$AG$364,0),1)/INDEX(其他调用!AK$5:AK$364,MATCH($K20,其他调用!$AG$5:$AG$364,0),0),1)*INDEX(其他调用!AB$5:AB$404,MATCH($K20,其他调用!$X$5:$X$404,0),0)</f>
        <v>8382.7673644925526</v>
      </c>
      <c r="R20" s="12">
        <f>MIN(INDEX(其他调用!$AH$5:$AH$364,MATCH($K20,其他调用!$AG$5:$AG$364,0),1)/INDEX(其他调用!AL$5:AL$364,MATCH($K20,其他调用!$AG$5:$AG$364,0),0),1)*INDEX(其他调用!AC$5:AC$404,MATCH($K20,其他调用!$X$5:$X$404,0),0)</f>
        <v>3369.8355392177564</v>
      </c>
      <c r="S20" s="12">
        <f>求节点(节奏总纲!D$4:D$163,标准城池设计!AC$4:AC$163,$K20)*求节点(节奏总纲!D$4:D$163,攻城基础信息!$AD$5:$AD$164,$K20)</f>
        <v>161227.25435214888</v>
      </c>
      <c r="T20" s="12">
        <f>INDEX(其他调用!$AA$5:$AA$404,MATCH($K20,其他调用!$X$5:$X$404,0))*MIN(INDEX(其他调用!AI$5:AI$364,MATCH($K20,其他调用!$AG$5:$AG$364,0),1)/INDEX(其他调用!$AJ$5:$AJ$364,MATCH($K20,其他调用!$AG$5:$AG$364,0),0),5)*求节点(节奏总纲!D$4:D$163,攻城基础信息!$AD$5:$AD$164,$K20)</f>
        <v>43009.038528468285</v>
      </c>
      <c r="U20" s="12">
        <f>MIN(INDEX(其他调用!$AI$5:$AI$364,MATCH($K20,其他调用!$AG$5:$AG$364,0),1)/INDEX(其他调用!AH$5:AH$364,MATCH($K20,其他调用!$AG$5:$AG$364,0),0),1)*INDEX(其他调用!Y$5:Y$404,MATCH($K20,其他调用!$X$5:$X$404,0),0)</f>
        <v>25816.677841663593</v>
      </c>
      <c r="V20" s="12">
        <f>MIN(INDEX(其他调用!$AI$5:$AI$364,MATCH($K20,其他调用!$AG$5:$AG$364,0),1)/INDEX(其他调用!AI$5:AI$364,MATCH($K20,其他调用!$AG$5:$AG$364,0),0),1)*INDEX(其他调用!Z$5:Z$404,MATCH($K20,其他调用!$X$5:$X$404,0),0)</f>
        <v>26837.224684544777</v>
      </c>
      <c r="W20" s="12">
        <f>MIN(INDEX(其他调用!$AI$5:$AI$364,MATCH($K20,其他调用!$AG$5:$AG$364,0),1)/INDEX(其他调用!AJ$5:AJ$364,MATCH($K20,其他调用!$AG$5:$AG$364,0),0),1)*INDEX(其他调用!AA$5:AA$404,MATCH($K20,其他调用!$X$5:$X$404,0),0)</f>
        <v>19850.325474677647</v>
      </c>
      <c r="X20" s="12">
        <f>MIN(INDEX(其他调用!$AI$5:$AI$364,MATCH($K20,其他调用!$AG$5:$AG$364,0),1)/INDEX(其他调用!AK$5:AK$364,MATCH($K20,其他调用!$AG$5:$AG$364,0),0),1)*INDEX(其他调用!AB$5:AB$404,MATCH($K20,其他调用!$X$5:$X$404,0),0)</f>
        <v>10478.822188826345</v>
      </c>
      <c r="Y20" s="12">
        <f>MIN(INDEX(其他调用!$AI$5:$AI$364,MATCH($K20,其他调用!$AG$5:$AG$364,0),1)/INDEX(其他调用!AL$5:AL$364,MATCH($K20,其他调用!$AG$5:$AG$364,0),0),1)*INDEX(其他调用!AC$5:AC$404,MATCH($K20,其他调用!$X$5:$X$404,0),0)</f>
        <v>4212.4403416732794</v>
      </c>
      <c r="Z20" s="12">
        <f>求节点(节奏总纲!D$4:D$163,标准城池设计!AD$4:AD$163,$K20)*求节点(节奏总纲!D$4:D$163,攻城基础信息!$AE$5:$AE$164,$K20)</f>
        <v>170822.11192218892</v>
      </c>
      <c r="AA20" s="12">
        <f>INDEX(其他调用!$AA$5:$AA$404,MATCH($K20,其他调用!$X$5:$X$404,0))*MIN(INDEX(其他调用!AJ$5:AJ$364,MATCH($K20,其他调用!$AG$5:$AG$364,0),1)/INDEX(其他调用!$AJ$5:$AJ$364,MATCH($K20,其他调用!$AG$5:$AG$364,0),0),5)*求节点(节奏总纲!D$4:D$163,攻城基础信息!$AE$5:$AE$164,$K20)</f>
        <v>61106.339214950356</v>
      </c>
      <c r="AB20" s="12">
        <f>MIN(INDEX(其他调用!$AJ$5:$AJ$364,MATCH($K20,其他调用!$AG$5:$AG$364,0),1)/INDEX(其他调用!AH$5:AH$364,MATCH($K20,其他调用!$AG$5:$AG$364,0),0),1)*INDEX(其他调用!Y$5:Y$404,MATCH($K20,其他调用!$X$5:$X$404,0),0)</f>
        <v>25816.677841663593</v>
      </c>
      <c r="AC20" s="12">
        <f>MIN(INDEX(其他调用!$AJ$5:$AJ$364,MATCH($K20,其他调用!$AG$5:$AG$364,0),1)/INDEX(其他调用!AI$5:AI$364,MATCH($K20,其他调用!$AG$5:$AG$364,0),0),1)*INDEX(其他调用!Z$5:Z$404,MATCH($K20,其他调用!$X$5:$X$404,0),0)</f>
        <v>26837.224684544777</v>
      </c>
      <c r="AD20" s="12">
        <f>MIN(INDEX(其他调用!$AJ$5:$AJ$364,MATCH($K20,其他调用!$AG$5:$AG$364,0),1)/INDEX(其他调用!AJ$5:AJ$364,MATCH($K20,其他调用!$AG$5:$AG$364,0),0),1)*INDEX(其他调用!AA$5:AA$404,MATCH($K20,其他调用!$X$5:$X$404,0),0)</f>
        <v>28202.925791515518</v>
      </c>
      <c r="AE20" s="12">
        <f>MIN(INDEX(其他调用!$AJ$5:$AJ$364,MATCH($K20,其他调用!$AG$5:$AG$364,0),1)/INDEX(其他调用!AK$5:AK$364,MATCH($K20,其他调用!$AG$5:$AG$364,0),0),1)*INDEX(其他调用!AB$5:AB$404,MATCH($K20,其他调用!$X$5:$X$404,0),0)</f>
        <v>14888.090623549579</v>
      </c>
      <c r="AF20" s="12">
        <f>MIN(INDEX(其他调用!$AJ$5:$AJ$364,MATCH($K20,其他调用!$AG$5:$AG$364,0),1)/INDEX(其他调用!AL$5:AL$364,MATCH($K20,其他调用!$AG$5:$AG$364,0),0),1)*INDEX(其他调用!AC$5:AC$404,MATCH($K20,其他调用!$X$5:$X$404,0),0)</f>
        <v>5984.9468216000141</v>
      </c>
      <c r="AG20" s="12">
        <f>求节点(节奏总纲!D$4:D$163,标准城池设计!AE$4:AE$163,$K20)*求节点(节奏总纲!D$4:D$163,攻城基础信息!$AF$5:$AF$164,$K20)</f>
        <v>193464.82720440975</v>
      </c>
      <c r="AH20" s="12">
        <f>INDEX(其他调用!$AA$5:$AA$404,MATCH($K20,其他调用!$X$5:$X$404,0))*MIN(INDEX(其他调用!AK$5:AK$364,MATCH($K20,其他调用!$AG$5:$AG$364,0),1)/INDEX(其他调用!$AJ$5:$AJ$364,MATCH($K20,其他调用!$AG$5:$AG$364,0),0),5)*求节点(节奏总纲!D$4:D$163,攻城基础信息!$AF$5:$AF$164,$K20)</f>
        <v>124000.09854210347</v>
      </c>
      <c r="AI20" s="12">
        <f>MIN(INDEX(其他调用!$AK$5:$AK$364,MATCH($K20,其他调用!$AG$5:$AG$364,0),1)/INDEX(其他调用!AH$5:AH$364,MATCH($K20,其他调用!$AG$5:$AG$364,0),0),1)*INDEX(其他调用!Y$5:Y$404,MATCH($K20,其他调用!$X$5:$X$404,0),0)</f>
        <v>25816.677841663593</v>
      </c>
      <c r="AJ20" s="12">
        <f>MIN(INDEX(其他调用!$AK$5:$AK$364,MATCH($K20,其他调用!$AG$5:$AG$364,0),1)/INDEX(其他调用!AI$5:AI$364,MATCH($K20,其他调用!$AG$5:$AG$364,0),0),1)*INDEX(其他调用!Z$5:Z$404,MATCH($K20,其他调用!$X$5:$X$404,0),0)</f>
        <v>26837.224684544777</v>
      </c>
      <c r="AK20" s="12">
        <f>MIN(INDEX(其他调用!$AK$5:$AK$364,MATCH($K20,其他调用!$AG$5:$AG$364,0),1)/INDEX(其他调用!AJ$5:AJ$364,MATCH($K20,其他调用!$AG$5:$AG$364,0),0),1)*INDEX(其他调用!AA$5:AA$404,MATCH($K20,其他调用!$X$5:$X$404,0),0)</f>
        <v>28202.925791515518</v>
      </c>
      <c r="AL20" s="12">
        <f>MIN(INDEX(其他调用!$AK$5:$AK$364,MATCH($K20,其他调用!$AG$5:$AG$364,0),1)/INDEX(其他调用!AK$5:AK$364,MATCH($K20,其他调用!$AG$5:$AG$364,0),0),1)*INDEX(其他调用!AB$5:AB$404,MATCH($K20,其他调用!$X$5:$X$404,0),0)</f>
        <v>30211.672440888738</v>
      </c>
      <c r="AM20" s="12">
        <f>MIN(INDEX(其他调用!$AK$5:$AK$364,MATCH($K20,其他调用!$AG$5:$AG$364,0),1)/INDEX(其他调用!AL$5:AL$364,MATCH($K20,其他调用!$AG$5:$AG$364,0),0),1)*INDEX(其他调用!AC$5:AC$404,MATCH($K20,其他调用!$X$5:$X$404,0),0)</f>
        <v>12144.959183974142</v>
      </c>
      <c r="AN20" s="12">
        <f>求节点(节奏总纲!D$4:D$163,标准城池设计!AF$4:AF$163,$K20)*求节点(节奏总纲!D$4:D$163,攻城基础信息!$AG$5:$AG$164,$K20)</f>
        <v>200385.37235474959</v>
      </c>
      <c r="AO20" s="12">
        <f>INDEX(其他调用!$AA$5:$AA$404,MATCH($K20,其他调用!$X$5:$X$404,0))*MIN(INDEX(其他调用!AL$5:AL$364,MATCH($K20,其他调用!$AG$5:$AG$364,0),1)/INDEX(其他调用!$AJ$5:$AJ$364,MATCH($K20,其他调用!$AG$5:$AG$364,0),0),5)*求节点(节奏总纲!D$4:D$163,攻城基础信息!$AG$5:$AG$164,$K20)</f>
        <v>305531.69607475179</v>
      </c>
      <c r="AP20" s="12">
        <f>MIN(INDEX(其他调用!$AL$5:$AL$364,MATCH($K20,其他调用!$AG$5:$AG$364,0),1)/INDEX(其他调用!AH$5:AH$364,MATCH($K20,其他调用!$AG$5:$AG$364,0),0),1)*INDEX(其他调用!Y$5:Y$404,MATCH($K20,其他调用!$X$5:$X$404,0),0)</f>
        <v>25816.677841663593</v>
      </c>
      <c r="AQ20" s="12">
        <f>MIN(INDEX(其他调用!$AL$5:$AL$364,MATCH($K20,其他调用!$AG$5:$AG$364,0),1)/INDEX(其他调用!AI$5:AI$364,MATCH($K20,其他调用!$AG$5:$AG$364,0),0),1)*INDEX(其他调用!Z$5:Z$404,MATCH($K20,其他调用!$X$5:$X$404,0),0)</f>
        <v>26837.224684544777</v>
      </c>
      <c r="AR20" s="12">
        <f>MIN(INDEX(其他调用!$AL$5:$AL$364,MATCH($K20,其他调用!$AG$5:$AG$364,0),1)/INDEX(其他调用!AJ$5:AJ$364,MATCH($K20,其他调用!$AG$5:$AG$364,0),0),1)*INDEX(其他调用!AA$5:AA$404,MATCH($K20,其他调用!$X$5:$X$404,0),0)</f>
        <v>28202.925791515518</v>
      </c>
      <c r="AS20" s="12">
        <f>MIN(INDEX(其他调用!$AL$5:$AL$364,MATCH($K20,其他调用!$AG$5:$AG$364,0),1)/INDEX(其他调用!AK$5:AK$364,MATCH($K20,其他调用!$AG$5:$AG$364,0),0),1)*INDEX(其他调用!AB$5:AB$404,MATCH($K20,其他调用!$X$5:$X$404,0),0)</f>
        <v>30211.672440888738</v>
      </c>
      <c r="AT20" s="12">
        <f>MIN(INDEX(其他调用!$AL$5:$AL$364,MATCH($K20,其他调用!$AG$5:$AG$364,0),1)/INDEX(其他调用!AL$5:AL$364,MATCH($K20,其他调用!$AG$5:$AG$364,0),0),1)*INDEX(其他调用!AC$5:AC$404,MATCH($K20,其他调用!$X$5:$X$404,0),0)</f>
        <v>33864.508086221176</v>
      </c>
      <c r="AV20" s="14">
        <f>IF(OR(AV$5="大R",AV$5="超R"),MAX(INDEX(其他调用!$H$5:$L$404,MATCH($K20,其他调用!$B$5:$B$404,0),MATCH(AV$5,其他调用!$H$4:$L$4,0))*120*0.85,2),INDEX(其他调用!$H$5:$L$404,MATCH($K20,其他调用!$B$5:$B$404,0),MATCH(AV$5,其他调用!$H$4:$L$4,0))*120*0.85)</f>
        <v>60.969480799373052</v>
      </c>
      <c r="AW20" s="14">
        <f>IF(OR(AW$5="大R",AW$5="超R"),MAX(INDEX(其他调用!$H$5:$L$404,MATCH($K20,其他调用!$B$5:$B$404,0),MATCH(AW$5,其他调用!$H$4:$L$4,0))*120*0.85,2),INDEX(其他调用!$H$5:$L$404,MATCH($K20,其他调用!$B$5:$B$404,0),MATCH(AW$5,其他调用!$H$4:$L$4,0))*120*0.85)</f>
        <v>36.631208608626935</v>
      </c>
      <c r="AX20" s="14">
        <f>IF(OR(AX$5="大R",AX$5="超R"),MAX(INDEX(其他调用!$H$5:$L$404,MATCH($K20,其他调用!$B$5:$B$404,0),MATCH(AX$5,其他调用!$H$4:$L$4,0))*120*0.85,2),INDEX(其他调用!$H$5:$L$404,MATCH($K20,其他调用!$B$5:$B$404,0),MATCH(AX$5,其他调用!$H$4:$L$4,0))*120*0.85)</f>
        <v>3.7334545919999997</v>
      </c>
      <c r="AY20" s="14">
        <f>IF(OR(AY$5="大R",AY$5="超R"),MAX(INDEX(其他调用!$H$5:$L$404,MATCH($K20,其他调用!$B$5:$B$404,0),MATCH(AY$5,其他调用!$H$4:$L$4,0))*120*0.85,2),INDEX(其他调用!$H$5:$L$404,MATCH($K20,其他调用!$B$5:$B$404,0),MATCH(AY$5,其他调用!$H$4:$L$4,0))*120*0.85)</f>
        <v>2</v>
      </c>
      <c r="AZ20" s="14">
        <f>IF(OR(AZ$5="大R",AZ$5="超R"),MAX(INDEX(其他调用!$H$5:$L$404,MATCH($K20,其他调用!$B$5:$B$404,0),MATCH(AZ$5,其他调用!$H$4:$L$4,0))*120*0.85,2),INDEX(其他调用!$H$5:$L$404,MATCH($K20,其他调用!$B$5:$B$404,0),MATCH(AZ$5,其他调用!$H$4:$L$4,0))*120*0.85)</f>
        <v>2</v>
      </c>
      <c r="BA20" s="14">
        <f>INDEX(其他调用!$H$5:$L$404,MATCH($K20,其他调用!$B$5:$B$404,0),MATCH(BA$5,其他调用!$H$4:$L$4,0))*INDEX(其他调用!$M$5:$M$404,MATCH($K20,其他调用!$B$5:$B$404,0))*0.6</f>
        <v>28.817636949257647</v>
      </c>
      <c r="BB20" s="14">
        <f>INDEX(其他调用!$H$5:$L$404,MATCH($K20,其他调用!$B$5:$B$404,0),MATCH(BB$5,其他调用!$H$4:$L$4,0))*INDEX(其他调用!$M$5:$M$404,MATCH($K20,其他调用!$B$5:$B$404,0))*0.6</f>
        <v>17.313988193036856</v>
      </c>
      <c r="BC20" s="14">
        <f>INDEX(其他调用!$H$5:$L$404,MATCH($K20,其他调用!$B$5:$B$404,0),MATCH(BC$5,其他调用!$H$4:$L$4,0))*INDEX(其他调用!$M$5:$M$404,MATCH($K20,其他调用!$B$5:$B$404,0))*0.6</f>
        <v>1.7646425324307693</v>
      </c>
      <c r="BD20" s="14">
        <f>INDEX(其他调用!$H$5:$L$404,MATCH($K20,其他调用!$B$5:$B$404,0),MATCH(BD$5,其他调用!$H$4:$L$4,0))*INDEX(其他调用!$M$5:$M$404,MATCH($K20,其他调用!$B$5:$B$404,0))*0.6</f>
        <v>0.25614498461538465</v>
      </c>
      <c r="BE20" s="14">
        <f>INDEX(其他调用!$H$5:$L$404,MATCH($K20,其他调用!$B$5:$B$404,0),MATCH(BE$5,其他调用!$H$4:$L$4,0))*INDEX(其他调用!$M$5:$M$404,MATCH($K20,其他调用!$B$5:$B$404,0))*0.6</f>
        <v>5.8576351648351642E-2</v>
      </c>
      <c r="BF20" s="14">
        <f>IF(OR(BF$5="大R",BF$5="超R"),0,INDEX(其他调用!$H$5:$L$404,MATCH($K20,其他调用!$B$5:$B$404,0),MATCH(BF$5,其他调用!$H$4:$L$4,0))*50*0.4)</f>
        <v>11.954800156739816</v>
      </c>
      <c r="BG20" s="14">
        <f>IF(OR(BG$5="大R",BG$5="超R"),0,INDEX(其他调用!$H$5:$L$404,MATCH($K20,其他调用!$B$5:$B$404,0),MATCH(BG$5,其他调用!$H$4:$L$4,0))*50*0.4)</f>
        <v>7.1825899232601849</v>
      </c>
      <c r="BH20" s="14">
        <f>IF(OR(BH$5="大R",BH$5="超R"),0,INDEX(其他调用!$H$5:$L$404,MATCH($K20,其他调用!$B$5:$B$404,0),MATCH(BH$5,其他调用!$H$4:$L$4,0))*50*0.4)</f>
        <v>0.73204992000000002</v>
      </c>
      <c r="BI20" s="14">
        <f>IF(OR(BI$5="大R",BI$5="超R"),0,INDEX(其他调用!$H$5:$L$404,MATCH($K20,其他调用!$B$5:$B$404,0),MATCH(BI$5,其他调用!$H$4:$L$4,0))*50*0.4)</f>
        <v>0</v>
      </c>
      <c r="BJ20" s="14">
        <f>IF(OR(BJ$5="大R",BJ$5="超R"),0,INDEX(其他调用!$H$5:$L$404,MATCH($K20,其他调用!$B$5:$B$404,0),MATCH(BJ$5,其他调用!$H$4:$L$4,0))*50*0.4)</f>
        <v>0</v>
      </c>
      <c r="BL20" s="14">
        <f t="shared" si="103"/>
        <v>15</v>
      </c>
      <c r="BM20" s="14">
        <f t="shared" si="10"/>
        <v>96</v>
      </c>
      <c r="BN20" s="14">
        <f>('疲劳值&amp;地图信息'!$S$10*'疲劳值&amp;地图信息'!$R$10+'疲劳值&amp;地图信息'!$S$11*'疲劳值&amp;地图信息'!$R$11+'疲劳值&amp;地图信息'!$S$12*'疲劳值&amp;地图信息'!$R$12+(BM20-'疲劳值&amp;地图信息'!$S$12-'疲劳值&amp;地图信息'!$S$11-'疲劳值&amp;地图信息'!$S$10)*'疲劳值&amp;地图信息'!$R$13)/BM20</f>
        <v>51.371477246638619</v>
      </c>
      <c r="BO20" s="14">
        <f>INDEX(其他调用!$M$5:$M$404,MATCH(BL20,其他调用!$B$5:$B$404,0))*0.6</f>
        <v>48.21098901098901</v>
      </c>
      <c r="BP20" s="14">
        <f>IF(BO20&gt;SUM('疲劳值&amp;地图信息'!$S$10:$S$12),('疲劳值&amp;地图信息'!$S$10*'疲劳值&amp;地图信息'!$R$10+'疲劳值&amp;地图信息'!$S$11*'疲劳值&amp;地图信息'!$R$11+'疲劳值&amp;地图信息'!$S$12*'疲劳值&amp;地图信息'!$R$12+(BO20-'疲劳值&amp;地图信息'!$S$12-'疲劳值&amp;地图信息'!$S$11-'疲劳值&amp;地图信息'!$S$10)*'疲劳值&amp;地图信息'!$R$13)/BO20,('疲劳值&amp;地图信息'!$S$10*'疲劳值&amp;地图信息'!$R$10+'疲劳值&amp;地图信息'!$S$11*'疲劳值&amp;地图信息'!$R$11+'疲劳值&amp;地图信息'!$S$12*'疲劳值&amp;地图信息'!$R$12+(BO20-'疲劳值&amp;地图信息'!$S$12-'疲劳值&amp;地图信息'!$S$11-'疲劳值&amp;地图信息'!$S$10)*'疲劳值&amp;地图信息'!$R$13)/BO20)</f>
        <v>39.454469843357074</v>
      </c>
      <c r="BQ20" s="14">
        <f t="shared" si="104"/>
        <v>20</v>
      </c>
      <c r="BR20" s="14">
        <f>('疲劳值&amp;地图信息'!$S$10*'疲劳值&amp;地图信息'!$R$10+($BQ20-'疲劳值&amp;地图信息'!$S$10)*'疲劳值&amp;地图信息'!$R$11)/$BQ20</f>
        <v>32.067203015074995</v>
      </c>
      <c r="BW20" s="14" t="s">
        <v>271</v>
      </c>
      <c r="BX20" s="14">
        <v>9000</v>
      </c>
      <c r="BY20" s="14">
        <v>250</v>
      </c>
      <c r="CF20" s="14">
        <v>15</v>
      </c>
      <c r="CG20" s="51">
        <f t="shared" si="11"/>
        <v>3541</v>
      </c>
      <c r="CH20" s="51">
        <f t="shared" si="12"/>
        <v>784</v>
      </c>
      <c r="CI20" s="51">
        <f>INT(SUMPRODUCT($N20:$R20,$BA20:$BE20)/SUM($BA20:$BE20)/10000*$BX$7*$BZ$34/'疲劳值&amp;地图信息'!$R$10*$BY$53)</f>
        <v>2412</v>
      </c>
      <c r="CJ20" s="50">
        <f t="shared" si="13"/>
        <v>0.5256048686358914</v>
      </c>
      <c r="CK20" s="50">
        <f t="shared" si="14"/>
        <v>0.11637227252486269</v>
      </c>
      <c r="CL20" s="50">
        <f t="shared" si="15"/>
        <v>0.35802285883924595</v>
      </c>
      <c r="CM20" s="14">
        <f t="shared" si="16"/>
        <v>3677</v>
      </c>
      <c r="CN20" s="14">
        <f t="shared" si="17"/>
        <v>981</v>
      </c>
      <c r="CO20" s="14">
        <f>INT(SUMPRODUCT($U20:$Y20,$BA20:$BE20)/SUM($BA20:$BE20)/10000*$BX$7*$BZ$34/'疲劳值&amp;地图信息'!$R$10*$BY$54)</f>
        <v>3935</v>
      </c>
      <c r="CP20" s="50">
        <f t="shared" si="18"/>
        <v>0.42790643547073198</v>
      </c>
      <c r="CQ20" s="50">
        <f t="shared" si="19"/>
        <v>0.11416269056208542</v>
      </c>
      <c r="CR20" s="50">
        <f t="shared" si="20"/>
        <v>0.45793087396718257</v>
      </c>
      <c r="CS20" s="14">
        <f t="shared" si="21"/>
        <v>3896</v>
      </c>
      <c r="CT20" s="14">
        <f t="shared" si="22"/>
        <v>1393</v>
      </c>
      <c r="CU20" s="14">
        <f>INT(SUMPRODUCT($AB20:$AF20,$BA20:$BE20)/SUM($BA20:$BE20)/10000*$BX$7*$BZ$34/'疲劳值&amp;地图信息'!$R$10*$BY$55)</f>
        <v>5314</v>
      </c>
      <c r="CV20" s="50">
        <f t="shared" si="23"/>
        <v>0.36744317645949259</v>
      </c>
      <c r="CW20" s="50">
        <f t="shared" si="24"/>
        <v>0.1313779119117231</v>
      </c>
      <c r="CX20" s="50">
        <f t="shared" si="25"/>
        <v>0.50117891162878425</v>
      </c>
      <c r="CY20" s="14">
        <f t="shared" si="26"/>
        <v>4413</v>
      </c>
      <c r="CZ20" s="14">
        <f t="shared" si="27"/>
        <v>2828</v>
      </c>
      <c r="DA20" s="14">
        <f>INT(SUMPRODUCT($AI20:$AM20,$BA20:$BE20)/SUM($BA20:$BE20)/10000*$BX$7*$BZ$34/'疲劳值&amp;地图信息'!$R$10*$BY$56)</f>
        <v>7998</v>
      </c>
      <c r="DB20" s="50">
        <f t="shared" si="28"/>
        <v>0.28958593083535666</v>
      </c>
      <c r="DC20" s="50">
        <f t="shared" si="29"/>
        <v>0.18557648139641708</v>
      </c>
      <c r="DD20" s="50">
        <f t="shared" si="30"/>
        <v>0.52483758776822631</v>
      </c>
      <c r="DE20" s="14">
        <f t="shared" si="31"/>
        <v>4571</v>
      </c>
      <c r="DF20" s="14">
        <f t="shared" si="32"/>
        <v>6969</v>
      </c>
      <c r="DG20" s="14">
        <f>INT(SUMPRODUCT($AP20:$AT20,$BA20:$BE20)/SUM($BA20:$BE20)/10000*$BX$7*$BZ$34/'疲劳值&amp;地图信息'!$R$10*$BY$57)</f>
        <v>10675</v>
      </c>
      <c r="DH20" s="50">
        <f t="shared" si="33"/>
        <v>0.2057618726085978</v>
      </c>
      <c r="DI20" s="50">
        <f t="shared" si="34"/>
        <v>0.31370695476029709</v>
      </c>
      <c r="DJ20" s="50">
        <f t="shared" si="35"/>
        <v>0.48053117263110512</v>
      </c>
      <c r="DL20" s="14">
        <f t="shared" si="106"/>
        <v>6737</v>
      </c>
      <c r="DM20" s="14">
        <f t="shared" si="107"/>
        <v>8593</v>
      </c>
      <c r="DN20" s="14">
        <f t="shared" si="108"/>
        <v>10603</v>
      </c>
      <c r="DO20" s="14">
        <f t="shared" si="109"/>
        <v>15239</v>
      </c>
      <c r="DP20" s="14">
        <f t="shared" si="110"/>
        <v>22215</v>
      </c>
      <c r="DQ20" s="14">
        <f t="shared" si="111"/>
        <v>366838</v>
      </c>
      <c r="DT20" s="14">
        <f t="shared" si="105"/>
        <v>235575</v>
      </c>
      <c r="DU20" s="50">
        <f t="shared" si="7"/>
        <v>0.39105231792806594</v>
      </c>
      <c r="DW20" s="14">
        <f t="shared" si="36"/>
        <v>602413</v>
      </c>
      <c r="EB20" s="14">
        <v>15</v>
      </c>
      <c r="EC20" s="51">
        <f t="shared" si="37"/>
        <v>5902</v>
      </c>
      <c r="ED20" s="51">
        <f t="shared" si="38"/>
        <v>1308</v>
      </c>
      <c r="EE20" s="51">
        <f>INT(SUMPRODUCT($N20:$R20,$BF20:$BJ20)/SUM($BF20:$BJ20)/10000*$BX$7*$BZ$46/'疲劳值&amp;地图信息'!$R$10*$BY$53)</f>
        <v>323</v>
      </c>
      <c r="EF20" s="50">
        <f t="shared" si="39"/>
        <v>0.78348599495552895</v>
      </c>
      <c r="EG20" s="50">
        <f t="shared" si="40"/>
        <v>0.17363600159299084</v>
      </c>
      <c r="EH20" s="50">
        <f t="shared" si="41"/>
        <v>4.2878003451480157E-2</v>
      </c>
      <c r="EI20" s="51">
        <f t="shared" si="42"/>
        <v>6129</v>
      </c>
      <c r="EJ20" s="51">
        <f t="shared" si="43"/>
        <v>1635</v>
      </c>
      <c r="EK20" s="14">
        <f>INT(SUMPRODUCT($U20:$Y20,$BF20:$BJ20)/SUM($BF20:$BJ20)/10000*$BX$7*$BZ$46/'疲劳值&amp;地图信息'!$R$10*$BY$54)</f>
        <v>526</v>
      </c>
      <c r="EL20" s="50">
        <f t="shared" si="44"/>
        <v>0.73932448733413747</v>
      </c>
      <c r="EM20" s="50">
        <f t="shared" si="45"/>
        <v>0.19722557297949336</v>
      </c>
      <c r="EN20" s="50">
        <f t="shared" si="46"/>
        <v>6.3449939686369125E-2</v>
      </c>
      <c r="EO20" s="51">
        <f t="shared" si="47"/>
        <v>6494</v>
      </c>
      <c r="EP20" s="51">
        <f t="shared" si="48"/>
        <v>2323</v>
      </c>
      <c r="EQ20" s="14">
        <f>INT(SUMPRODUCT($AB20:$AF20,$BF20:$BJ20)/SUM($BF20:$BJ20)/10000*$BX$7*$BZ$46/'疲劳值&amp;地图信息'!$R$10*$BY$55)</f>
        <v>710</v>
      </c>
      <c r="ER20" s="50">
        <f t="shared" si="49"/>
        <v>0.6816416500472342</v>
      </c>
      <c r="ES20" s="50">
        <f t="shared" si="50"/>
        <v>0.24383331583919388</v>
      </c>
      <c r="ET20" s="50">
        <f t="shared" si="51"/>
        <v>7.4525034113571947E-2</v>
      </c>
      <c r="EU20" s="51">
        <f t="shared" si="52"/>
        <v>7355</v>
      </c>
      <c r="EV20" s="51">
        <f t="shared" si="53"/>
        <v>4714</v>
      </c>
      <c r="EW20" s="14">
        <f>INT(SUMPRODUCT($AI20:$AM20,$BF20:$BJ20)/SUM($BF20:$BJ20)/10000*$BX$7*$BZ$46/'疲劳值&amp;地图信息'!$R$10*$BY$56)</f>
        <v>1066</v>
      </c>
      <c r="EX20" s="50">
        <f t="shared" si="54"/>
        <v>0.55995432051770078</v>
      </c>
      <c r="EY20" s="50">
        <f t="shared" si="55"/>
        <v>0.35888846593071944</v>
      </c>
      <c r="EZ20" s="50">
        <f t="shared" si="56"/>
        <v>8.1157213551579746E-2</v>
      </c>
      <c r="FA20" s="51">
        <f t="shared" si="57"/>
        <v>7618</v>
      </c>
      <c r="FB20" s="51">
        <f t="shared" si="58"/>
        <v>11615</v>
      </c>
      <c r="FC20" s="14">
        <f>INT(SUMPRODUCT($AP20:$AT20,$BF20:$BJ20)/SUM($BF20:$BJ20)/10000*$BX$7*$BZ$46/'疲劳值&amp;地图信息'!$R$10*$BY$57)</f>
        <v>1421</v>
      </c>
      <c r="FD20" s="50">
        <f t="shared" si="59"/>
        <v>0.36883896581775927</v>
      </c>
      <c r="FE20" s="50">
        <f t="shared" si="60"/>
        <v>0.5623608017817372</v>
      </c>
      <c r="FF20" s="50">
        <f t="shared" si="61"/>
        <v>6.8800232400503536E-2</v>
      </c>
      <c r="FH20" s="14">
        <f t="shared" si="62"/>
        <v>7533</v>
      </c>
      <c r="FI20" s="14">
        <f t="shared" si="63"/>
        <v>8290</v>
      </c>
      <c r="FJ20" s="14">
        <f t="shared" si="64"/>
        <v>9527</v>
      </c>
      <c r="FK20" s="14">
        <f t="shared" si="65"/>
        <v>13135</v>
      </c>
      <c r="FL20" s="14">
        <f t="shared" si="66"/>
        <v>20654</v>
      </c>
      <c r="FM20" s="14">
        <f t="shared" si="67"/>
        <v>866102</v>
      </c>
      <c r="FP20" s="14">
        <f t="shared" si="68"/>
        <v>334150</v>
      </c>
      <c r="FQ20" s="50">
        <f t="shared" si="8"/>
        <v>0.27839986936076755</v>
      </c>
      <c r="FS20" s="14">
        <f t="shared" si="69"/>
        <v>1200252</v>
      </c>
      <c r="FX20" s="14">
        <v>15</v>
      </c>
      <c r="FY20" s="51">
        <f t="shared" si="70"/>
        <v>8263</v>
      </c>
      <c r="FZ20" s="51">
        <f t="shared" si="71"/>
        <v>1308</v>
      </c>
      <c r="GA20" s="51">
        <f>INT(SUMPRODUCT($N20:$R20,$BF20:$BJ20)/SUM($BF20:$BJ20)/10000*$BX$7*$BZ$46/'疲劳值&amp;地图信息'!$R$10*$BY$53)</f>
        <v>323</v>
      </c>
      <c r="GB20" s="50">
        <f t="shared" si="72"/>
        <v>0.83515261774813021</v>
      </c>
      <c r="GC20" s="50">
        <f t="shared" si="73"/>
        <v>0.13220133414190419</v>
      </c>
      <c r="GD20" s="50">
        <f t="shared" si="74"/>
        <v>3.2646048109965638E-2</v>
      </c>
      <c r="GE20" s="51">
        <f t="shared" si="75"/>
        <v>8581</v>
      </c>
      <c r="GF20" s="51">
        <f t="shared" si="76"/>
        <v>1635</v>
      </c>
      <c r="GG20" s="14">
        <f>INT(SUMPRODUCT($U20:$Y20,$BF20:$BJ20)/SUM($BF20:$BJ20)/10000*$BX$7*$BZ$46/'疲劳值&amp;地图信息'!$R$10*$BY$54)</f>
        <v>526</v>
      </c>
      <c r="GH20" s="50">
        <f t="shared" si="77"/>
        <v>0.79882703407186739</v>
      </c>
      <c r="GI20" s="50">
        <f t="shared" si="78"/>
        <v>0.15220629305529695</v>
      </c>
      <c r="GJ20" s="50">
        <f t="shared" si="79"/>
        <v>4.8966672872835598E-2</v>
      </c>
      <c r="GK20" s="51">
        <f t="shared" si="80"/>
        <v>9092</v>
      </c>
      <c r="GL20" s="51">
        <f t="shared" si="81"/>
        <v>2323</v>
      </c>
      <c r="GM20" s="14">
        <f>INT(SUMPRODUCT($AB20:$AF20,$BF20:$BJ20)/SUM($BF20:$BJ20)/10000*$BX$7*$BZ$46/'疲劳值&amp;地图信息'!$R$10*$BY$55)</f>
        <v>710</v>
      </c>
      <c r="GN20" s="50">
        <f t="shared" si="82"/>
        <v>0.74985567010309273</v>
      </c>
      <c r="GO20" s="50">
        <f t="shared" si="83"/>
        <v>0.19158762886597938</v>
      </c>
      <c r="GP20" s="50">
        <f t="shared" si="84"/>
        <v>5.8556701030927832E-2</v>
      </c>
      <c r="GQ20" s="51">
        <f t="shared" si="85"/>
        <v>10297</v>
      </c>
      <c r="GR20" s="51">
        <f t="shared" si="86"/>
        <v>4714</v>
      </c>
      <c r="GS20" s="14">
        <f>INT(SUMPRODUCT($AI20:$AM20,$BF20:$BJ20)/SUM($BF20:$BJ20)/10000*$BX$7*$BZ$46/'疲劳值&amp;地图信息'!$R$10*$BY$56)</f>
        <v>1066</v>
      </c>
      <c r="GT20" s="50">
        <f t="shared" si="87"/>
        <v>0.64048018909000437</v>
      </c>
      <c r="GU20" s="50">
        <f t="shared" si="88"/>
        <v>0.29321390806742553</v>
      </c>
      <c r="GV20" s="50">
        <f t="shared" si="89"/>
        <v>6.6305902842570125E-2</v>
      </c>
      <c r="GW20" s="51">
        <f t="shared" si="90"/>
        <v>10665</v>
      </c>
      <c r="GX20" s="51">
        <f t="shared" si="91"/>
        <v>11615</v>
      </c>
      <c r="GY20" s="14">
        <f>INT(SUMPRODUCT($AP20:$AT20,$BF20:$BJ20)/SUM($BF20:$BJ20)/10000*$BX$7*$BZ$46/'疲劳值&amp;地图信息'!$R$10*$BY$57)</f>
        <v>1421</v>
      </c>
      <c r="GZ20" s="50">
        <f t="shared" si="92"/>
        <v>0.44998101345934771</v>
      </c>
      <c r="HA20" s="50">
        <f t="shared" si="93"/>
        <v>0.49006371039196656</v>
      </c>
      <c r="HB20" s="50">
        <f t="shared" si="94"/>
        <v>5.9955276148685711E-2</v>
      </c>
      <c r="HD20" s="14">
        <f t="shared" si="95"/>
        <v>9894</v>
      </c>
      <c r="HE20" s="14">
        <f t="shared" si="96"/>
        <v>10742</v>
      </c>
      <c r="HF20" s="14">
        <f t="shared" si="97"/>
        <v>12125</v>
      </c>
      <c r="HG20" s="14">
        <f t="shared" si="98"/>
        <v>16077</v>
      </c>
      <c r="HH20" s="14">
        <f t="shared" si="99"/>
        <v>23701</v>
      </c>
      <c r="HI20" s="14">
        <f t="shared" si="100"/>
        <v>1121548</v>
      </c>
      <c r="HL20" s="14">
        <f t="shared" si="101"/>
        <v>430050</v>
      </c>
      <c r="HM20" s="50">
        <f t="shared" si="9"/>
        <v>0.27716586383844272</v>
      </c>
      <c r="HO20" s="14">
        <f t="shared" si="102"/>
        <v>1551598</v>
      </c>
    </row>
    <row r="21" spans="3:223" x14ac:dyDescent="0.2">
      <c r="C21" s="1" t="s">
        <v>428</v>
      </c>
      <c r="D21" s="2" t="s">
        <v>418</v>
      </c>
      <c r="K21" s="14">
        <v>16</v>
      </c>
      <c r="L21" s="12">
        <f>求节点(节奏总纲!D$4:D$163,标准城池设计!AB$4:AB$163,$K21)*求节点(节奏总纲!D$4:D$163,攻城基础信息!$AC$5:$AC$164,$K21)</f>
        <v>160620.74971593148</v>
      </c>
      <c r="M21" s="12">
        <f>INDEX(其他调用!$AA$5:$AA$404,MATCH(K21,其他调用!$X$5:$X$404,0))*MIN(INDEX(其他调用!$AH$5:$AH$364,MATCH('征服点（新）'!K21,其他调用!$AG$5:$AG$364,0),1)/INDEX(其他调用!$AJ$5:$AJ$364,MATCH(K21,其他调用!$AG$5:$AG$364,0),0),5)*求节点(节奏总纲!D$4:D$163,攻城基础信息!$AC$5:$AC$164,$K21)</f>
        <v>35125.573348634993</v>
      </c>
      <c r="N21" s="12">
        <f>MIN(INDEX(其他调用!$AH$5:$AH$364,MATCH($K21,其他调用!$AG$5:$AG$364,0),1)/INDEX(其他调用!AH$5:AH$364,MATCH($K21,其他调用!$AG$5:$AG$364,0),0),1)*INDEX(其他调用!Y$5:Y$404,MATCH($K21,其他调用!$X$5:$X$404,0),0)</f>
        <v>26147.309858570836</v>
      </c>
      <c r="O21" s="12">
        <f>MIN(INDEX(其他调用!$AH$5:$AH$364,MATCH($K21,其他调用!$AG$5:$AG$364,0),1)/INDEX(其他调用!AI$5:AI$364,MATCH($K21,其他调用!$AG$5:$AG$364,0),0),1)*INDEX(其他调用!Z$5:Z$404,MATCH($K21,其他调用!$X$5:$X$404,0),0)</f>
        <v>21799.663595215065</v>
      </c>
      <c r="P21" s="12">
        <f>MIN(INDEX(其他调用!$AH$5:$AH$364,MATCH($K21,其他调用!$AG$5:$AG$364,0),1)/INDEX(其他调用!AJ$5:AJ$364,MATCH($K21,其他调用!$AG$5:$AG$364,0),0),1)*INDEX(其他调用!AA$5:AA$404,MATCH($K21,其他调用!$X$5:$X$404,0),0)</f>
        <v>15997.487115300568</v>
      </c>
      <c r="Q21" s="12">
        <f>MIN(INDEX(其他调用!$AH$5:$AH$364,MATCH($K21,其他调用!$AG$5:$AG$364,0),1)/INDEX(其他调用!AK$5:AK$364,MATCH($K21,其他调用!$AG$5:$AG$364,0),0),1)*INDEX(其他调用!AB$5:AB$404,MATCH($K21,其他调用!$X$5:$X$404,0),0)</f>
        <v>8409.9932119949608</v>
      </c>
      <c r="R21" s="12">
        <f>MIN(INDEX(其他调用!$AH$5:$AH$364,MATCH($K21,其他调用!$AG$5:$AG$364,0),1)/INDEX(其他调用!AL$5:AL$364,MATCH($K21,其他调用!$AG$5:$AG$364,0),0),1)*INDEX(其他调用!AC$5:AC$404,MATCH($K21,其他调用!$X$5:$X$404,0),0)</f>
        <v>3199.1836498422786</v>
      </c>
      <c r="S21" s="12">
        <f>求节点(节奏总纲!D$4:D$163,标准城池设计!AC$4:AC$163,$K21)*求节点(节奏总纲!D$4:D$163,攻城基础信息!$AD$5:$AD$164,$K21)</f>
        <v>166661.18132138514</v>
      </c>
      <c r="T21" s="12">
        <f>INDEX(其他调用!$AA$5:$AA$404,MATCH($K21,其他调用!$X$5:$X$404,0))*MIN(INDEX(其他调用!AI$5:AI$364,MATCH($K21,其他调用!$AG$5:$AG$364,0),1)/INDEX(其他调用!$AJ$5:$AJ$364,MATCH($K21,其他调用!$AG$5:$AG$364,0),0),5)*求节点(节奏总纲!D$4:D$163,攻城基础信息!$AD$5:$AD$164,$K21)</f>
        <v>43799.164527375426</v>
      </c>
      <c r="U21" s="12">
        <f>MIN(INDEX(其他调用!$AI$5:$AI$364,MATCH($K21,其他调用!$AG$5:$AG$364,0),1)/INDEX(其他调用!AH$5:AH$364,MATCH($K21,其他调用!$AG$5:$AG$364,0),0),1)*INDEX(其他调用!Y$5:Y$404,MATCH($K21,其他调用!$X$5:$X$404,0),0)</f>
        <v>26147.309858570836</v>
      </c>
      <c r="V21" s="12">
        <f>MIN(INDEX(其他调用!$AI$5:$AI$364,MATCH($K21,其他调用!$AG$5:$AG$364,0),1)/INDEX(其他调用!AI$5:AI$364,MATCH($K21,其他调用!$AG$5:$AG$364,0),0),1)*INDEX(其他调用!Z$5:Z$404,MATCH($K21,其他调用!$X$5:$X$404,0),0)</f>
        <v>27182.675225580788</v>
      </c>
      <c r="W21" s="12">
        <f>MIN(INDEX(其他调用!$AI$5:$AI$364,MATCH($K21,其他调用!$AG$5:$AG$364,0),1)/INDEX(其他调用!AJ$5:AJ$364,MATCH($K21,其他调用!$AG$5:$AG$364,0),0),1)*INDEX(其他调用!AA$5:AA$404,MATCH($K21,其他调用!$X$5:$X$404,0),0)</f>
        <v>19947.761798309461</v>
      </c>
      <c r="X21" s="12">
        <f>MIN(INDEX(其他调用!$AI$5:$AI$364,MATCH($K21,其他调用!$AG$5:$AG$364,0),1)/INDEX(其他调用!AK$5:AK$364,MATCH($K21,其他调用!$AG$5:$AG$364,0),0),1)*INDEX(其他调用!AB$5:AB$404,MATCH($K21,其他调用!$X$5:$X$404,0),0)</f>
        <v>10486.680821128639</v>
      </c>
      <c r="Y21" s="12">
        <f>MIN(INDEX(其他调用!$AI$5:$AI$364,MATCH($K21,其他调用!$AG$5:$AG$364,0),1)/INDEX(其他调用!AL$5:AL$364,MATCH($K21,其他调用!$AG$5:$AG$364,0),0),1)*INDEX(其他调用!AC$5:AC$404,MATCH($K21,其他调用!$X$5:$X$404,0),0)</f>
        <v>3989.1611061254498</v>
      </c>
      <c r="Z21" s="12">
        <f>求节点(节奏总纲!D$4:D$163,标准城池设计!AD$4:AD$163,$K21)*求节点(节奏总纲!D$4:D$163,攻城基础信息!$AE$5:$AE$164,$K21)</f>
        <v>177168.84070175892</v>
      </c>
      <c r="AA21" s="12">
        <f>INDEX(其他调用!$AA$5:$AA$404,MATCH($K21,其他调用!$X$5:$X$404,0))*MIN(INDEX(其他调用!AJ$5:AJ$364,MATCH($K21,其他调用!$AG$5:$AG$364,0),1)/INDEX(其他调用!$AJ$5:$AJ$364,MATCH($K21,其他调用!$AG$5:$AG$364,0),0),5)*求节点(节奏总纲!D$4:D$163,攻城基础信息!$AE$5:$AE$164,$K21)</f>
        <v>62675.949965261068</v>
      </c>
      <c r="AB21" s="12">
        <f>MIN(INDEX(其他调用!$AJ$5:$AJ$364,MATCH($K21,其他调用!$AG$5:$AG$364,0),1)/INDEX(其他调用!AH$5:AH$364,MATCH($K21,其他调用!$AG$5:$AG$364,0),0),1)*INDEX(其他调用!Y$5:Y$404,MATCH($K21,其他调用!$X$5:$X$404,0),0)</f>
        <v>26147.309858570836</v>
      </c>
      <c r="AC21" s="12">
        <f>MIN(INDEX(其他调用!$AJ$5:$AJ$364,MATCH($K21,其他调用!$AG$5:$AG$364,0),1)/INDEX(其他调用!AI$5:AI$364,MATCH($K21,其他调用!$AG$5:$AG$364,0),0),1)*INDEX(其他调用!Z$5:Z$404,MATCH($K21,其他调用!$X$5:$X$404,0),0)</f>
        <v>27182.675225580788</v>
      </c>
      <c r="AD21" s="12">
        <f>MIN(INDEX(其他调用!$AJ$5:$AJ$364,MATCH($K21,其他调用!$AG$5:$AG$364,0),1)/INDEX(其他调用!AJ$5:AJ$364,MATCH($K21,其他调用!$AG$5:$AG$364,0),0),1)*INDEX(其他调用!AA$5:AA$404,MATCH($K21,其他调用!$X$5:$X$404,0),0)</f>
        <v>28544.949061947511</v>
      </c>
      <c r="AE21" s="12">
        <f>MIN(INDEX(其他调用!$AJ$5:$AJ$364,MATCH($K21,其他调用!$AG$5:$AG$364,0),1)/INDEX(其他调用!AK$5:AK$364,MATCH($K21,其他调用!$AG$5:$AG$364,0),0),1)*INDEX(其他调用!AB$5:AB$404,MATCH($K21,其他调用!$X$5:$X$404,0),0)</f>
        <v>15006.283556754102</v>
      </c>
      <c r="AF21" s="12">
        <f>MIN(INDEX(其他调用!$AJ$5:$AJ$364,MATCH($K21,其他调用!$AG$5:$AG$364,0),1)/INDEX(其他调用!AL$5:AL$364,MATCH($K21,其他调用!$AG$5:$AG$364,0),0),1)*INDEX(其他调用!AC$5:AC$404,MATCH($K21,其他调用!$X$5:$X$404,0),0)</f>
        <v>5708.4299344251976</v>
      </c>
      <c r="AG21" s="12">
        <f>求节点(节奏总纲!D$4:D$163,标准城池设计!AE$4:AE$163,$K21)*求节点(节奏总纲!D$4:D$163,攻城基础信息!$AF$5:$AF$164,$K21)</f>
        <v>201033.54254550437</v>
      </c>
      <c r="AH21" s="12">
        <f>INDEX(其他调用!$AA$5:$AA$404,MATCH($K21,其他调用!$X$5:$X$404,0))*MIN(INDEX(其他调用!AK$5:AK$364,MATCH($K21,其他调用!$AG$5:$AG$364,0),1)/INDEX(其他调用!$AJ$5:$AJ$364,MATCH($K21,其他调用!$AG$5:$AG$364,0),0),5)*求节点(节奏总纲!D$4:D$163,攻城基础信息!$AF$5:$AF$164,$K21)</f>
        <v>127643.5158647775</v>
      </c>
      <c r="AI21" s="12">
        <f>MIN(INDEX(其他调用!$AK$5:$AK$364,MATCH($K21,其他调用!$AG$5:$AG$364,0),1)/INDEX(其他调用!AH$5:AH$364,MATCH($K21,其他调用!$AG$5:$AG$364,0),0),1)*INDEX(其他调用!Y$5:Y$404,MATCH($K21,其他调用!$X$5:$X$404,0),0)</f>
        <v>26147.309858570836</v>
      </c>
      <c r="AJ21" s="12">
        <f>MIN(INDEX(其他调用!$AK$5:$AK$364,MATCH($K21,其他调用!$AG$5:$AG$364,0),1)/INDEX(其他调用!AI$5:AI$364,MATCH($K21,其他调用!$AG$5:$AG$364,0),0),1)*INDEX(其他调用!Z$5:Z$404,MATCH($K21,其他调用!$X$5:$X$404,0),0)</f>
        <v>27182.675225580788</v>
      </c>
      <c r="AK21" s="12">
        <f>MIN(INDEX(其他调用!$AK$5:$AK$364,MATCH($K21,其他调用!$AG$5:$AG$364,0),1)/INDEX(其他调用!AJ$5:AJ$364,MATCH($K21,其他调用!$AG$5:$AG$364,0),0),1)*INDEX(其他调用!AA$5:AA$404,MATCH($K21,其他调用!$X$5:$X$404,0),0)</f>
        <v>28544.949061947511</v>
      </c>
      <c r="AL21" s="12">
        <f>MIN(INDEX(其他调用!$AK$5:$AK$364,MATCH($K21,其他调用!$AG$5:$AG$364,0),1)/INDEX(其他调用!AK$5:AK$364,MATCH($K21,其他调用!$AG$5:$AG$364,0),0),1)*INDEX(其他调用!AB$5:AB$404,MATCH($K21,其他调用!$X$5:$X$404,0),0)</f>
        <v>30561.240704122662</v>
      </c>
      <c r="AM21" s="12">
        <f>MIN(INDEX(其他调用!$AK$5:$AK$364,MATCH($K21,其他调用!$AG$5:$AG$364,0),1)/INDEX(其他调用!AL$5:AL$364,MATCH($K21,其他调用!$AG$5:$AG$364,0),0),1)*INDEX(其他调用!AC$5:AC$404,MATCH($K21,其他调用!$X$5:$X$404,0),0)</f>
        <v>11625.576753150668</v>
      </c>
      <c r="AN21" s="12">
        <f>求节点(节奏总纲!D$4:D$163,标准城池设计!AF$4:AF$163,$K21)*求节点(节奏总纲!D$4:D$163,攻城基础信息!$AG$5:$AG$164,$K21)</f>
        <v>208266.98023065552</v>
      </c>
      <c r="AO21" s="12">
        <f>INDEX(其他调用!$AA$5:$AA$404,MATCH($K21,其他调用!$X$5:$X$404,0))*MIN(INDEX(其他调用!AL$5:AL$364,MATCH($K21,其他调用!$AG$5:$AG$364,0),1)/INDEX(其他调用!$AJ$5:$AJ$364,MATCH($K21,其他调用!$AG$5:$AG$364,0),0),5)*求节点(节奏总纲!D$4:D$163,攻城基础信息!$AG$5:$AG$164,$K21)</f>
        <v>313379.74982630537</v>
      </c>
      <c r="AP21" s="12">
        <f>MIN(INDEX(其他调用!$AL$5:$AL$364,MATCH($K21,其他调用!$AG$5:$AG$364,0),1)/INDEX(其他调用!AH$5:AH$364,MATCH($K21,其他调用!$AG$5:$AG$364,0),0),1)*INDEX(其他调用!Y$5:Y$404,MATCH($K21,其他调用!$X$5:$X$404,0),0)</f>
        <v>26147.309858570836</v>
      </c>
      <c r="AQ21" s="12">
        <f>MIN(INDEX(其他调用!$AL$5:$AL$364,MATCH($K21,其他调用!$AG$5:$AG$364,0),1)/INDEX(其他调用!AI$5:AI$364,MATCH($K21,其他调用!$AG$5:$AG$364,0),0),1)*INDEX(其他调用!Z$5:Z$404,MATCH($K21,其他调用!$X$5:$X$404,0),0)</f>
        <v>27182.675225580788</v>
      </c>
      <c r="AR21" s="12">
        <f>MIN(INDEX(其他调用!$AL$5:$AL$364,MATCH($K21,其他调用!$AG$5:$AG$364,0),1)/INDEX(其他调用!AJ$5:AJ$364,MATCH($K21,其他调用!$AG$5:$AG$364,0),0),1)*INDEX(其他调用!AA$5:AA$404,MATCH($K21,其他调用!$X$5:$X$404,0),0)</f>
        <v>28544.949061947511</v>
      </c>
      <c r="AS21" s="12">
        <f>MIN(INDEX(其他调用!$AL$5:$AL$364,MATCH($K21,其他调用!$AG$5:$AG$364,0),1)/INDEX(其他调用!AK$5:AK$364,MATCH($K21,其他调用!$AG$5:$AG$364,0),0),1)*INDEX(其他调用!AB$5:AB$404,MATCH($K21,其他调用!$X$5:$X$404,0),0)</f>
        <v>30561.240704122662</v>
      </c>
      <c r="AT21" s="12">
        <f>MIN(INDEX(其他调用!$AL$5:$AL$364,MATCH($K21,其他调用!$AG$5:$AG$364,0),1)/INDEX(其他调用!AL$5:AL$364,MATCH($K21,其他调用!$AG$5:$AG$364,0),0),1)*INDEX(其他调用!AC$5:AC$404,MATCH($K21,其他调用!$X$5:$X$404,0),0)</f>
        <v>34230.812658020935</v>
      </c>
      <c r="AV21" s="14">
        <f>IF(OR(AV$5="大R",AV$5="超R"),MAX(INDEX(其他调用!$H$5:$L$404,MATCH($K21,其他调用!$B$5:$B$404,0),MATCH(AV$5,其他调用!$H$4:$L$4,0))*120*0.85,2),INDEX(其他调用!$H$5:$L$404,MATCH($K21,其他调用!$B$5:$B$404,0),MATCH(AV$5,其他调用!$H$4:$L$4,0))*120*0.85)</f>
        <v>60.555150564263343</v>
      </c>
      <c r="AW21" s="14">
        <f>IF(OR(AW$5="大R",AW$5="超R"),MAX(INDEX(其他调用!$H$5:$L$404,MATCH($K21,其他调用!$B$5:$B$404,0),MATCH(AW$5,其他调用!$H$4:$L$4,0))*120*0.85,2),INDEX(其他调用!$H$5:$L$404,MATCH($K21,其他调用!$B$5:$B$404,0),MATCH(AW$5,其他调用!$H$4:$L$4,0))*120*0.85)</f>
        <v>37.035981851736651</v>
      </c>
      <c r="AX21" s="14">
        <f>IF(OR(AX$5="大R",AX$5="超R"),MAX(INDEX(其他调用!$H$5:$L$404,MATCH($K21,其他调用!$B$5:$B$404,0),MATCH(AX$5,其他调用!$H$4:$L$4,0))*120*0.85,2),INDEX(其他调用!$H$5:$L$404,MATCH($K21,其他调用!$B$5:$B$404,0),MATCH(AX$5,其他调用!$H$4:$L$4,0))*120*0.85)</f>
        <v>3.738115584</v>
      </c>
      <c r="AY21" s="14">
        <f>IF(OR(AY$5="大R",AY$5="超R"),MAX(INDEX(其他调用!$H$5:$L$404,MATCH($K21,其他调用!$B$5:$B$404,0),MATCH(AY$5,其他调用!$H$4:$L$4,0))*120*0.85,2),INDEX(其他调用!$H$5:$L$404,MATCH($K21,其他调用!$B$5:$B$404,0),MATCH(AY$5,其他调用!$H$4:$L$4,0))*120*0.85)</f>
        <v>2</v>
      </c>
      <c r="AZ21" s="14">
        <f>IF(OR(AZ$5="大R",AZ$5="超R"),MAX(INDEX(其他调用!$H$5:$L$404,MATCH($K21,其他调用!$B$5:$B$404,0),MATCH(AZ$5,其他调用!$H$4:$L$4,0))*120*0.85,2),INDEX(其他调用!$H$5:$L$404,MATCH($K21,其他调用!$B$5:$B$404,0),MATCH(AZ$5,其他调用!$H$4:$L$4,0))*120*0.85)</f>
        <v>2</v>
      </c>
      <c r="BA21" s="14">
        <f>INDEX(其他调用!$H$5:$L$404,MATCH($K21,其他调用!$B$5:$B$404,0),MATCH(BA$5,其他调用!$H$4:$L$4,0))*INDEX(其他调用!$M$5:$M$404,MATCH($K21,其他调用!$B$5:$B$404,0))*0.6</f>
        <v>28.817518969237671</v>
      </c>
      <c r="BB21" s="14">
        <f>INDEX(其他调用!$H$5:$L$404,MATCH($K21,其他调用!$B$5:$B$404,0),MATCH(BB$5,其他调用!$H$4:$L$4,0))*INDEX(其他调用!$M$5:$M$404,MATCH($K21,其他调用!$B$5:$B$404,0))*0.6</f>
        <v>17.625009592274417</v>
      </c>
      <c r="BC21" s="14">
        <f>INDEX(其他调用!$H$5:$L$404,MATCH($K21,其他调用!$B$5:$B$404,0),MATCH(BC$5,其他调用!$H$4:$L$4,0))*INDEX(其他调用!$M$5:$M$404,MATCH($K21,其他调用!$B$5:$B$404,0))*0.6</f>
        <v>1.7789274033230771</v>
      </c>
      <c r="BD21" s="14">
        <f>INDEX(其他调用!$H$5:$L$404,MATCH($K21,其他调用!$B$5:$B$404,0),MATCH(BD$5,其他调用!$H$4:$L$4,0))*INDEX(其他调用!$M$5:$M$404,MATCH($K21,其他调用!$B$5:$B$404,0))*0.6</f>
        <v>0.25949836483516486</v>
      </c>
      <c r="BE21" s="14">
        <f>INDEX(其他调用!$H$5:$L$404,MATCH($K21,其他调用!$B$5:$B$404,0),MATCH(BE$5,其他调用!$H$4:$L$4,0))*INDEX(其他调用!$M$5:$M$404,MATCH($K21,其他调用!$B$5:$B$404,0))*0.6</f>
        <v>5.9705010989010987E-2</v>
      </c>
      <c r="BF21" s="14">
        <f>IF(OR(BF$5="大R",BF$5="超R"),0,INDEX(其他调用!$H$5:$L$404,MATCH($K21,其他调用!$B$5:$B$404,0),MATCH(BF$5,其他调用!$H$4:$L$4,0))*50*0.4)</f>
        <v>11.873558934169285</v>
      </c>
      <c r="BG21" s="14">
        <f>IF(OR(BG$5="大R",BG$5="超R"),0,INDEX(其他调用!$H$5:$L$404,MATCH($K21,其他调用!$B$5:$B$404,0),MATCH(BG$5,其他调用!$H$4:$L$4,0))*50*0.4)</f>
        <v>7.2619572258307166</v>
      </c>
      <c r="BH21" s="14">
        <f>IF(OR(BH$5="大R",BH$5="超R"),0,INDEX(其他调用!$H$5:$L$404,MATCH($K21,其他调用!$B$5:$B$404,0),MATCH(BH$5,其他调用!$H$4:$L$4,0))*50*0.4)</f>
        <v>0.73296384000000003</v>
      </c>
      <c r="BI21" s="14">
        <f>IF(OR(BI$5="大R",BI$5="超R"),0,INDEX(其他调用!$H$5:$L$404,MATCH($K21,其他调用!$B$5:$B$404,0),MATCH(BI$5,其他调用!$H$4:$L$4,0))*50*0.4)</f>
        <v>0</v>
      </c>
      <c r="BJ21" s="14">
        <f>IF(OR(BJ$5="大R",BJ$5="超R"),0,INDEX(其他调用!$H$5:$L$404,MATCH($K21,其他调用!$B$5:$B$404,0),MATCH(BJ$5,其他调用!$H$4:$L$4,0))*50*0.4)</f>
        <v>0</v>
      </c>
      <c r="BL21" s="14">
        <f t="shared" si="103"/>
        <v>16</v>
      </c>
      <c r="BM21" s="14">
        <f t="shared" si="10"/>
        <v>96</v>
      </c>
      <c r="BN21" s="14">
        <f>('疲劳值&amp;地图信息'!$S$10*'疲劳值&amp;地图信息'!$R$10+'疲劳值&amp;地图信息'!$S$11*'疲劳值&amp;地图信息'!$R$11+'疲劳值&amp;地图信息'!$S$12*'疲劳值&amp;地图信息'!$R$12+(BM21-'疲劳值&amp;地图信息'!$S$12-'疲劳值&amp;地图信息'!$S$11-'疲劳值&amp;地图信息'!$S$10)*'疲劳值&amp;地图信息'!$R$13)/BM21</f>
        <v>51.371477246638619</v>
      </c>
      <c r="BO21" s="14">
        <f>INDEX(其他调用!$M$5:$M$404,MATCH(BL21,其他调用!$B$5:$B$404,0))*0.6</f>
        <v>48.540659340659339</v>
      </c>
      <c r="BP21" s="14">
        <f>IF(BO21&gt;SUM('疲劳值&amp;地图信息'!$S$10:$S$12),('疲劳值&amp;地图信息'!$S$10*'疲劳值&amp;地图信息'!$R$10+'疲劳值&amp;地图信息'!$S$11*'疲劳值&amp;地图信息'!$R$11+'疲劳值&amp;地图信息'!$S$12*'疲劳值&amp;地图信息'!$R$12+(BO21-'疲劳值&amp;地图信息'!$S$12-'疲劳值&amp;地图信息'!$S$11-'疲劳值&amp;地图信息'!$S$10)*'疲劳值&amp;地图信息'!$R$13)/BO21,('疲劳值&amp;地图信息'!$S$10*'疲劳值&amp;地图信息'!$R$10+'疲劳值&amp;地图信息'!$S$11*'疲劳值&amp;地图信息'!$R$11+'疲劳值&amp;地图信息'!$S$12*'疲劳值&amp;地图信息'!$R$12+(BO21-'疲劳值&amp;地图信息'!$S$12-'疲劳值&amp;地图信息'!$S$11-'疲劳值&amp;地图信息'!$S$10)*'疲劳值&amp;地图信息'!$R$13)/BO21)</f>
        <v>39.617056384005018</v>
      </c>
      <c r="BQ21" s="14">
        <f t="shared" si="104"/>
        <v>20</v>
      </c>
      <c r="BR21" s="14">
        <f>('疲劳值&amp;地图信息'!$S$10*'疲劳值&amp;地图信息'!$R$10+($BQ21-'疲劳值&amp;地图信息'!$S$10)*'疲劳值&amp;地图信息'!$R$11)/$BQ21</f>
        <v>32.067203015074995</v>
      </c>
      <c r="BW21" s="14" t="s">
        <v>272</v>
      </c>
      <c r="BX21" s="14">
        <v>5000</v>
      </c>
      <c r="BY21" s="14">
        <v>120</v>
      </c>
      <c r="CF21" s="14">
        <v>16</v>
      </c>
      <c r="CG21" s="51">
        <f t="shared" si="11"/>
        <v>3648</v>
      </c>
      <c r="CH21" s="51">
        <f t="shared" si="12"/>
        <v>797</v>
      </c>
      <c r="CI21" s="51">
        <f>INT(SUMPRODUCT($N21:$R21,$BA21:$BE21)/SUM($BA21:$BE21)/10000*$BX$7*$BZ$34/'疲劳值&amp;地图信息'!$R$10*$BY$53)</f>
        <v>2442</v>
      </c>
      <c r="CJ21" s="50">
        <f t="shared" si="13"/>
        <v>0.52969362567155509</v>
      </c>
      <c r="CK21" s="50">
        <f t="shared" si="14"/>
        <v>0.11572527951212429</v>
      </c>
      <c r="CL21" s="50">
        <f t="shared" si="15"/>
        <v>0.35458109481632061</v>
      </c>
      <c r="CM21" s="14">
        <f t="shared" si="16"/>
        <v>3786</v>
      </c>
      <c r="CN21" s="14">
        <f t="shared" si="17"/>
        <v>995</v>
      </c>
      <c r="CO21" s="14">
        <f>INT(SUMPRODUCT($U21:$Y21,$BA21:$BE21)/SUM($BA21:$BE21)/10000*$BX$7*$BZ$34/'疲劳值&amp;地图信息'!$R$10*$BY$54)</f>
        <v>3985</v>
      </c>
      <c r="CP21" s="50">
        <f t="shared" si="18"/>
        <v>0.43189596167008898</v>
      </c>
      <c r="CQ21" s="50">
        <f t="shared" si="19"/>
        <v>0.11350673054985171</v>
      </c>
      <c r="CR21" s="50">
        <f t="shared" si="20"/>
        <v>0.4545973077800593</v>
      </c>
      <c r="CS21" s="14">
        <f t="shared" si="21"/>
        <v>4024</v>
      </c>
      <c r="CT21" s="14">
        <f t="shared" si="22"/>
        <v>1423</v>
      </c>
      <c r="CU21" s="14">
        <f>INT(SUMPRODUCT($AB21:$AF21,$BA21:$BE21)/SUM($BA21:$BE21)/10000*$BX$7*$BZ$34/'疲劳值&amp;地图信息'!$R$10*$BY$55)</f>
        <v>5383</v>
      </c>
      <c r="CV21" s="50">
        <f t="shared" si="23"/>
        <v>0.37156048014773779</v>
      </c>
      <c r="CW21" s="50">
        <f t="shared" si="24"/>
        <v>0.13139427516158819</v>
      </c>
      <c r="CX21" s="50">
        <f t="shared" si="25"/>
        <v>0.49704524469067407</v>
      </c>
      <c r="CY21" s="14">
        <f t="shared" si="26"/>
        <v>4566</v>
      </c>
      <c r="CZ21" s="14">
        <f t="shared" si="27"/>
        <v>2899</v>
      </c>
      <c r="DA21" s="14">
        <f>INT(SUMPRODUCT($AI21:$AM21,$BA21:$BE21)/SUM($BA21:$BE21)/10000*$BX$7*$BZ$34/'疲劳值&amp;地图信息'!$R$10*$BY$56)</f>
        <v>8102</v>
      </c>
      <c r="DB21" s="50">
        <f t="shared" si="28"/>
        <v>0.29331277702832914</v>
      </c>
      <c r="DC21" s="50">
        <f t="shared" si="29"/>
        <v>0.18622727564720243</v>
      </c>
      <c r="DD21" s="50">
        <f t="shared" si="30"/>
        <v>0.52045994732446843</v>
      </c>
      <c r="DE21" s="14">
        <f t="shared" si="31"/>
        <v>4731</v>
      </c>
      <c r="DF21" s="14">
        <f t="shared" si="32"/>
        <v>7119</v>
      </c>
      <c r="DG21" s="14">
        <f>INT(SUMPRODUCT($AP21:$AT21,$BA21:$BE21)/SUM($BA21:$BE21)/10000*$BX$7*$BZ$34/'疲劳值&amp;地图信息'!$R$10*$BY$57)</f>
        <v>10814</v>
      </c>
      <c r="DH21" s="50">
        <f t="shared" si="33"/>
        <v>0.20874514648782211</v>
      </c>
      <c r="DI21" s="50">
        <f t="shared" si="34"/>
        <v>0.31411048358630428</v>
      </c>
      <c r="DJ21" s="50">
        <f t="shared" si="35"/>
        <v>0.47714436992587361</v>
      </c>
      <c r="DL21" s="14">
        <f t="shared" si="106"/>
        <v>6887</v>
      </c>
      <c r="DM21" s="14">
        <f t="shared" si="107"/>
        <v>8766</v>
      </c>
      <c r="DN21" s="14">
        <f t="shared" si="108"/>
        <v>10830</v>
      </c>
      <c r="DO21" s="14">
        <f t="shared" si="109"/>
        <v>15567</v>
      </c>
      <c r="DP21" s="14">
        <f t="shared" si="110"/>
        <v>22664</v>
      </c>
      <c r="DQ21" s="14">
        <f t="shared" si="111"/>
        <v>377625</v>
      </c>
      <c r="DT21" s="14">
        <f t="shared" si="105"/>
        <v>235575</v>
      </c>
      <c r="DU21" s="50">
        <f t="shared" si="7"/>
        <v>0.38417318982387477</v>
      </c>
      <c r="DW21" s="14">
        <f t="shared" si="36"/>
        <v>613200</v>
      </c>
      <c r="EB21" s="14">
        <v>16</v>
      </c>
      <c r="EC21" s="51">
        <f t="shared" si="37"/>
        <v>6081</v>
      </c>
      <c r="ED21" s="51">
        <f t="shared" si="38"/>
        <v>1329</v>
      </c>
      <c r="EE21" s="51">
        <f>INT(SUMPRODUCT($N21:$R21,$BF21:$BJ21)/SUM($BF21:$BJ21)/10000*$BX$7*$BZ$46/'疲劳值&amp;地图信息'!$R$10*$BY$53)</f>
        <v>327</v>
      </c>
      <c r="EF21" s="50">
        <f t="shared" si="39"/>
        <v>0.7859635517642497</v>
      </c>
      <c r="EG21" s="50">
        <f t="shared" si="40"/>
        <v>0.17177200465296627</v>
      </c>
      <c r="EH21" s="50">
        <f t="shared" si="41"/>
        <v>4.2264443582784028E-2</v>
      </c>
      <c r="EI21" s="51">
        <f t="shared" si="42"/>
        <v>6310</v>
      </c>
      <c r="EJ21" s="51">
        <f t="shared" si="43"/>
        <v>1658</v>
      </c>
      <c r="EK21" s="14">
        <f>INT(SUMPRODUCT($U21:$Y21,$BF21:$BJ21)/SUM($BF21:$BJ21)/10000*$BX$7*$BZ$46/'疲劳值&amp;地图信息'!$R$10*$BY$54)</f>
        <v>533</v>
      </c>
      <c r="EL21" s="50">
        <f t="shared" si="44"/>
        <v>0.74226561580990469</v>
      </c>
      <c r="EM21" s="50">
        <f t="shared" si="45"/>
        <v>0.19503587813198447</v>
      </c>
      <c r="EN21" s="50">
        <f t="shared" si="46"/>
        <v>6.2698506058110809E-2</v>
      </c>
      <c r="EO21" s="51">
        <f t="shared" si="47"/>
        <v>6708</v>
      </c>
      <c r="EP21" s="51">
        <f t="shared" si="48"/>
        <v>2373</v>
      </c>
      <c r="EQ21" s="14">
        <f>INT(SUMPRODUCT($AB21:$AF21,$BF21:$BJ21)/SUM($BF21:$BJ21)/10000*$BX$7*$BZ$46/'疲劳值&amp;地图信息'!$R$10*$BY$55)</f>
        <v>720</v>
      </c>
      <c r="ER21" s="50">
        <f t="shared" si="49"/>
        <v>0.68441995714722992</v>
      </c>
      <c r="ES21" s="50">
        <f t="shared" si="50"/>
        <v>0.2421181512090603</v>
      </c>
      <c r="ET21" s="50">
        <f t="shared" si="51"/>
        <v>7.3461891643709823E-2</v>
      </c>
      <c r="EU21" s="51">
        <f t="shared" si="52"/>
        <v>7611</v>
      </c>
      <c r="EV21" s="51">
        <f t="shared" si="53"/>
        <v>4832</v>
      </c>
      <c r="EW21" s="14">
        <f>INT(SUMPRODUCT($AI21:$AM21,$BF21:$BJ21)/SUM($BF21:$BJ21)/10000*$BX$7*$BZ$46/'疲劳值&amp;地图信息'!$R$10*$BY$56)</f>
        <v>1080</v>
      </c>
      <c r="EX21" s="50">
        <f t="shared" si="54"/>
        <v>0.56281890113140576</v>
      </c>
      <c r="EY21" s="50">
        <f t="shared" si="55"/>
        <v>0.35731716335132735</v>
      </c>
      <c r="EZ21" s="50">
        <f t="shared" si="56"/>
        <v>7.9863935517266879E-2</v>
      </c>
      <c r="FA21" s="51">
        <f t="shared" si="57"/>
        <v>7885</v>
      </c>
      <c r="FB21" s="51">
        <f t="shared" si="58"/>
        <v>11865</v>
      </c>
      <c r="FC21" s="14">
        <f>INT(SUMPRODUCT($AP21:$AT21,$BF21:$BJ21)/SUM($BF21:$BJ21)/10000*$BX$7*$BZ$46/'疲劳值&amp;地图信息'!$R$10*$BY$57)</f>
        <v>1440</v>
      </c>
      <c r="FD21" s="50">
        <f t="shared" si="59"/>
        <v>0.3721094856064181</v>
      </c>
      <c r="FE21" s="50">
        <f t="shared" si="60"/>
        <v>0.55993393109957523</v>
      </c>
      <c r="FF21" s="50">
        <f t="shared" si="61"/>
        <v>6.7956583294006612E-2</v>
      </c>
      <c r="FH21" s="14">
        <f t="shared" si="62"/>
        <v>7737</v>
      </c>
      <c r="FI21" s="14">
        <f t="shared" si="63"/>
        <v>8501</v>
      </c>
      <c r="FJ21" s="14">
        <f t="shared" si="64"/>
        <v>9801</v>
      </c>
      <c r="FK21" s="14">
        <f t="shared" si="65"/>
        <v>13523</v>
      </c>
      <c r="FL21" s="14">
        <f t="shared" si="66"/>
        <v>21190</v>
      </c>
      <c r="FM21" s="14">
        <f t="shared" si="67"/>
        <v>889421</v>
      </c>
      <c r="FP21" s="14">
        <f t="shared" si="68"/>
        <v>334150</v>
      </c>
      <c r="FQ21" s="50">
        <f t="shared" si="8"/>
        <v>0.27309408281170444</v>
      </c>
      <c r="FS21" s="14">
        <f t="shared" si="69"/>
        <v>1223571</v>
      </c>
      <c r="FX21" s="14">
        <v>16</v>
      </c>
      <c r="FY21" s="51">
        <f t="shared" si="70"/>
        <v>8514</v>
      </c>
      <c r="FZ21" s="51">
        <f t="shared" si="71"/>
        <v>1329</v>
      </c>
      <c r="GA21" s="51">
        <f>INT(SUMPRODUCT($N21:$R21,$BF21:$BJ21)/SUM($BF21:$BJ21)/10000*$BX$7*$BZ$46/'疲劳值&amp;地图信息'!$R$10*$BY$53)</f>
        <v>327</v>
      </c>
      <c r="GB21" s="50">
        <f t="shared" si="72"/>
        <v>0.8371681415929203</v>
      </c>
      <c r="GC21" s="50">
        <f t="shared" si="73"/>
        <v>0.13067846607669617</v>
      </c>
      <c r="GD21" s="50">
        <f t="shared" si="74"/>
        <v>3.215339233038348E-2</v>
      </c>
      <c r="GE21" s="51">
        <f t="shared" si="75"/>
        <v>8834</v>
      </c>
      <c r="GF21" s="51">
        <f t="shared" si="76"/>
        <v>1658</v>
      </c>
      <c r="GG21" s="14">
        <f>INT(SUMPRODUCT($U21:$Y21,$BF21:$BJ21)/SUM($BF21:$BJ21)/10000*$BX$7*$BZ$46/'疲劳值&amp;地图信息'!$R$10*$BY$54)</f>
        <v>533</v>
      </c>
      <c r="GH21" s="50">
        <f t="shared" si="77"/>
        <v>0.80126984126984124</v>
      </c>
      <c r="GI21" s="50">
        <f t="shared" si="78"/>
        <v>0.15038548752834466</v>
      </c>
      <c r="GJ21" s="50">
        <f t="shared" si="79"/>
        <v>4.8344671201814057E-2</v>
      </c>
      <c r="GK21" s="51">
        <f t="shared" si="80"/>
        <v>9391</v>
      </c>
      <c r="GL21" s="51">
        <f t="shared" si="81"/>
        <v>2373</v>
      </c>
      <c r="GM21" s="14">
        <f>INT(SUMPRODUCT($AB21:$AF21,$BF21:$BJ21)/SUM($BF21:$BJ21)/10000*$BX$7*$BZ$46/'疲劳值&amp;地图信息'!$R$10*$BY$55)</f>
        <v>720</v>
      </c>
      <c r="GN21" s="50">
        <f t="shared" si="82"/>
        <v>0.75224287087471964</v>
      </c>
      <c r="GO21" s="50">
        <f t="shared" si="83"/>
        <v>0.1900833066324896</v>
      </c>
      <c r="GP21" s="50">
        <f t="shared" si="84"/>
        <v>5.7673822492790773E-2</v>
      </c>
      <c r="GQ21" s="51">
        <f t="shared" si="85"/>
        <v>10656</v>
      </c>
      <c r="GR21" s="51">
        <f t="shared" si="86"/>
        <v>4832</v>
      </c>
      <c r="GS21" s="14">
        <f>INT(SUMPRODUCT($AI21:$AM21,$BF21:$BJ21)/SUM($BF21:$BJ21)/10000*$BX$7*$BZ$46/'疲劳值&amp;地图信息'!$R$10*$BY$56)</f>
        <v>1080</v>
      </c>
      <c r="GT21" s="50">
        <f t="shared" si="87"/>
        <v>0.64316755190729114</v>
      </c>
      <c r="GU21" s="50">
        <f t="shared" si="88"/>
        <v>0.29164654756156444</v>
      </c>
      <c r="GV21" s="50">
        <f t="shared" si="89"/>
        <v>6.518590053114437E-2</v>
      </c>
      <c r="GW21" s="51">
        <f t="shared" si="90"/>
        <v>11039</v>
      </c>
      <c r="GX21" s="51">
        <f t="shared" si="91"/>
        <v>11865</v>
      </c>
      <c r="GY21" s="14">
        <f>INT(SUMPRODUCT($AP21:$AT21,$BF21:$BJ21)/SUM($BF21:$BJ21)/10000*$BX$7*$BZ$46/'疲劳值&amp;地图信息'!$R$10*$BY$57)</f>
        <v>1440</v>
      </c>
      <c r="GZ21" s="50">
        <f t="shared" si="92"/>
        <v>0.45345875780479789</v>
      </c>
      <c r="HA21" s="50">
        <f t="shared" si="93"/>
        <v>0.48738908971409795</v>
      </c>
      <c r="HB21" s="50">
        <f t="shared" si="94"/>
        <v>5.9152152481104177E-2</v>
      </c>
      <c r="HD21" s="14">
        <f t="shared" si="95"/>
        <v>10170</v>
      </c>
      <c r="HE21" s="14">
        <f t="shared" si="96"/>
        <v>11025</v>
      </c>
      <c r="HF21" s="14">
        <f t="shared" si="97"/>
        <v>12484</v>
      </c>
      <c r="HG21" s="14">
        <f t="shared" si="98"/>
        <v>16568</v>
      </c>
      <c r="HH21" s="14">
        <f t="shared" si="99"/>
        <v>24344</v>
      </c>
      <c r="HI21" s="14">
        <f t="shared" si="100"/>
        <v>1152658</v>
      </c>
      <c r="HL21" s="14">
        <f t="shared" si="101"/>
        <v>430050</v>
      </c>
      <c r="HM21" s="50">
        <f t="shared" si="9"/>
        <v>0.27171784056187243</v>
      </c>
      <c r="HO21" s="14">
        <f t="shared" si="102"/>
        <v>1582708</v>
      </c>
    </row>
    <row r="22" spans="3:223" x14ac:dyDescent="0.2">
      <c r="K22" s="14">
        <v>17</v>
      </c>
      <c r="L22" s="12">
        <f>求节点(节奏总纲!D$4:D$163,标准城池设计!AB$4:AB$163,$K22)*求节点(节奏总纲!D$4:D$163,攻城基础信息!$AC$5:$AC$164,$K22)</f>
        <v>165984.37735897975</v>
      </c>
      <c r="M22" s="12">
        <f>INDEX(其他调用!$AA$5:$AA$404,MATCH(K22,其他调用!$X$5:$X$404,0))*MIN(INDEX(其他调用!$AH$5:$AH$364,MATCH('征服点（新）'!K22,其他调用!$AG$5:$AG$364,0),1)/INDEX(其他调用!$AJ$5:$AJ$364,MATCH(K22,其他调用!$AG$5:$AG$364,0),0),5)*求节点(节奏总纲!D$4:D$163,攻城基础信息!$AC$5:$AC$164,$K22)</f>
        <v>35801.573379627414</v>
      </c>
      <c r="N22" s="12">
        <f>MIN(INDEX(其他调用!$AH$5:$AH$364,MATCH($K22,其他调用!$AG$5:$AG$364,0),1)/INDEX(其他调用!AH$5:AH$364,MATCH($K22,其他调用!$AG$5:$AG$364,0),0),1)*INDEX(其他调用!Y$5:Y$404,MATCH($K22,其他调用!$X$5:$X$404,0),0)</f>
        <v>26470.483276192768</v>
      </c>
      <c r="O22" s="12">
        <f>MIN(INDEX(其他调用!$AH$5:$AH$364,MATCH($K22,其他调用!$AG$5:$AG$364,0),1)/INDEX(其他调用!AI$5:AI$364,MATCH($K22,其他调用!$AG$5:$AG$364,0),0),1)*INDEX(其他调用!Z$5:Z$404,MATCH($K22,其他调用!$X$5:$X$404,0),0)</f>
        <v>22073.946080649795</v>
      </c>
      <c r="P22" s="12">
        <f>MIN(INDEX(其他调用!$AH$5:$AH$364,MATCH($K22,其他调用!$AG$5:$AG$364,0),1)/INDEX(其他调用!AJ$5:AJ$364,MATCH($K22,其他调用!$AG$5:$AG$364,0),0),1)*INDEX(其他调用!AA$5:AA$404,MATCH($K22,其他调用!$X$5:$X$404,0),0)</f>
        <v>16104.605505212301</v>
      </c>
      <c r="Q22" s="12">
        <f>MIN(INDEX(其他调用!$AH$5:$AH$364,MATCH($K22,其他调用!$AG$5:$AG$364,0),1)/INDEX(其他调用!AK$5:AK$364,MATCH($K22,其他调用!$AG$5:$AG$364,0),0),1)*INDEX(其他调用!AB$5:AB$404,MATCH($K22,其他调用!$X$5:$X$404,0),0)</f>
        <v>8353.0927682834972</v>
      </c>
      <c r="R22" s="12">
        <f>MIN(INDEX(其他调用!$AH$5:$AH$364,MATCH($K22,其他调用!$AG$5:$AG$364,0),1)/INDEX(其他调用!AL$5:AL$364,MATCH($K22,其他调用!$AG$5:$AG$364,0),0),1)*INDEX(其他调用!AC$5:AC$404,MATCH($K22,其他调用!$X$5:$X$404,0),0)</f>
        <v>3169.3167530745063</v>
      </c>
      <c r="S22" s="12">
        <f>求节点(节奏总纲!D$4:D$163,标准城池设计!AC$4:AC$163,$K22)*求节点(节奏总纲!D$4:D$163,攻城基础信息!$AD$5:$AD$164,$K22)</f>
        <v>171942.53968174878</v>
      </c>
      <c r="T22" s="12">
        <f>INDEX(其他调用!$AA$5:$AA$404,MATCH($K22,其他调用!$X$5:$X$404,0))*MIN(INDEX(其他调用!AI$5:AI$364,MATCH($K22,其他调用!$AG$5:$AG$364,0),1)/INDEX(其他调用!$AJ$5:$AJ$364,MATCH($K22,其他调用!$AG$5:$AG$364,0),0),5)*求节点(节奏总纲!D$4:D$163,攻城基础信息!$AD$5:$AD$164,$K22)</f>
        <v>44601.522089702266</v>
      </c>
      <c r="U22" s="12">
        <f>MIN(INDEX(其他调用!$AI$5:$AI$364,MATCH($K22,其他调用!$AG$5:$AG$364,0),1)/INDEX(其他调用!AH$5:AH$364,MATCH($K22,其他调用!$AG$5:$AG$364,0),0),1)*INDEX(其他调用!Y$5:Y$404,MATCH($K22,其他调用!$X$5:$X$404,0),0)</f>
        <v>26470.483276192768</v>
      </c>
      <c r="V22" s="12">
        <f>MIN(INDEX(其他调用!$AI$5:$AI$364,MATCH($K22,其他调用!$AG$5:$AG$364,0),1)/INDEX(其他调用!AI$5:AI$364,MATCH($K22,其他调用!$AG$5:$AG$364,0),0),1)*INDEX(其他调用!Z$5:Z$404,MATCH($K22,其他调用!$X$5:$X$404,0),0)</f>
        <v>27499.673918890901</v>
      </c>
      <c r="W22" s="12">
        <f>MIN(INDEX(其他调用!$AI$5:$AI$364,MATCH($K22,其他调用!$AG$5:$AG$364,0),1)/INDEX(其他调用!AJ$5:AJ$364,MATCH($K22,其他调用!$AG$5:$AG$364,0),0),1)*INDEX(其他调用!AA$5:AA$404,MATCH($K22,其他调用!$X$5:$X$404,0),0)</f>
        <v>20063.082439706523</v>
      </c>
      <c r="X22" s="12">
        <f>MIN(INDEX(其他调用!$AI$5:$AI$364,MATCH($K22,其他调用!$AG$5:$AG$364,0),1)/INDEX(其他调用!AK$5:AK$364,MATCH($K22,其他调用!$AG$5:$AG$364,0),0),1)*INDEX(其他调用!AB$5:AB$404,MATCH($K22,其他调用!$X$5:$X$404,0),0)</f>
        <v>10406.264765836557</v>
      </c>
      <c r="Y22" s="12">
        <f>MIN(INDEX(其他调用!$AI$5:$AI$364,MATCH($K22,其他调用!$AG$5:$AG$364,0),1)/INDEX(其他调用!AL$5:AL$364,MATCH($K22,其他调用!$AG$5:$AG$364,0),0),1)*INDEX(其他调用!AC$5:AC$404,MATCH($K22,其他调用!$X$5:$X$404,0),0)</f>
        <v>3948.3279037103366</v>
      </c>
      <c r="Z22" s="12">
        <f>求节点(节奏总纲!D$4:D$163,标准城池设计!AD$4:AD$163,$K22)*求节点(节奏总纲!D$4:D$163,攻城基础信息!$AE$5:$AE$164,$K22)</f>
        <v>183168.08128873332</v>
      </c>
      <c r="AA22" s="12">
        <f>INDEX(其他调用!$AA$5:$AA$404,MATCH($K22,其他调用!$X$5:$X$404,0))*MIN(INDEX(其他调用!AJ$5:AJ$364,MATCH($K22,其他调用!$AG$5:$AG$364,0),1)/INDEX(其他调用!$AJ$5:$AJ$364,MATCH($K22,其他调用!$AG$5:$AG$364,0),0),5)*求节点(节奏总纲!D$4:D$163,攻城基础信息!$AE$5:$AE$164,$K22)</f>
        <v>64189.972372061893</v>
      </c>
      <c r="AB22" s="12">
        <f>MIN(INDEX(其他调用!$AJ$5:$AJ$364,MATCH($K22,其他调用!$AG$5:$AG$364,0),1)/INDEX(其他调用!AH$5:AH$364,MATCH($K22,其他调用!$AG$5:$AG$364,0),0),1)*INDEX(其他调用!Y$5:Y$404,MATCH($K22,其他调用!$X$5:$X$404,0),0)</f>
        <v>26470.483276192768</v>
      </c>
      <c r="AC22" s="12">
        <f>MIN(INDEX(其他调用!$AJ$5:$AJ$364,MATCH($K22,其他调用!$AG$5:$AG$364,0),1)/INDEX(其他调用!AI$5:AI$364,MATCH($K22,其他调用!$AG$5:$AG$364,0),0),1)*INDEX(其他调用!Z$5:Z$404,MATCH($K22,其他调用!$X$5:$X$404,0),0)</f>
        <v>27499.673918890901</v>
      </c>
      <c r="AD22" s="12">
        <f>MIN(INDEX(其他调用!$AJ$5:$AJ$364,MATCH($K22,其他调用!$AG$5:$AG$364,0),1)/INDEX(其他调用!AJ$5:AJ$364,MATCH($K22,其他调用!$AG$5:$AG$364,0),0),1)*INDEX(其他调用!AA$5:AA$404,MATCH($K22,其他调用!$X$5:$X$404,0),0)</f>
        <v>28874.546140220271</v>
      </c>
      <c r="AE22" s="12">
        <f>MIN(INDEX(其他调用!$AJ$5:$AJ$364,MATCH($K22,其他调用!$AG$5:$AG$364,0),1)/INDEX(其他调用!AK$5:AK$364,MATCH($K22,其他调用!$AG$5:$AG$364,0),0),1)*INDEX(其他调用!AB$5:AB$404,MATCH($K22,其他调用!$X$5:$X$404,0),0)</f>
        <v>14976.570675592129</v>
      </c>
      <c r="AF22" s="12">
        <f>MIN(INDEX(其他调用!$AJ$5:$AJ$364,MATCH($K22,其他调用!$AG$5:$AG$364,0),1)/INDEX(其他调用!AL$5:AL$364,MATCH($K22,其他调用!$AG$5:$AG$364,0),0),1)*INDEX(其他调用!AC$5:AC$404,MATCH($K22,其他调用!$X$5:$X$404,0),0)</f>
        <v>5682.3858734077421</v>
      </c>
      <c r="AG22" s="12">
        <f>求节点(节奏总纲!D$4:D$163,标准城池设计!AE$4:AE$163,$K22)*求节点(节奏总纲!D$4:D$163,攻城基础信息!$AF$5:$AF$164,$K22)</f>
        <v>208639.78578383403</v>
      </c>
      <c r="AH22" s="12">
        <f>INDEX(其他调用!$AA$5:$AA$404,MATCH($K22,其他调用!$X$5:$X$404,0))*MIN(INDEX(其他调用!AK$5:AK$364,MATCH($K22,其他调用!$AG$5:$AG$364,0),1)/INDEX(其他调用!$AJ$5:$AJ$364,MATCH($K22,其他调用!$AG$5:$AG$364,0),0),5)*求节点(节奏总纲!D$4:D$163,攻城基础信息!$AF$5:$AF$164,$K22)</f>
        <v>132386.89526371143</v>
      </c>
      <c r="AI22" s="12">
        <f>MIN(INDEX(其他调用!$AK$5:$AK$364,MATCH($K22,其他调用!$AG$5:$AG$364,0),1)/INDEX(其他调用!AH$5:AH$364,MATCH($K22,其他调用!$AG$5:$AG$364,0),0),1)*INDEX(其他调用!Y$5:Y$404,MATCH($K22,其他调用!$X$5:$X$404,0),0)</f>
        <v>26470.483276192768</v>
      </c>
      <c r="AJ22" s="12">
        <f>MIN(INDEX(其他调用!$AK$5:$AK$364,MATCH($K22,其他调用!$AG$5:$AG$364,0),1)/INDEX(其他调用!AI$5:AI$364,MATCH($K22,其他调用!$AG$5:$AG$364,0),0),1)*INDEX(其他调用!Z$5:Z$404,MATCH($K22,其他调用!$X$5:$X$404,0),0)</f>
        <v>27499.673918890901</v>
      </c>
      <c r="AK22" s="12">
        <f>MIN(INDEX(其他调用!$AK$5:$AK$364,MATCH($K22,其他调用!$AG$5:$AG$364,0),1)/INDEX(其他调用!AJ$5:AJ$364,MATCH($K22,其他调用!$AG$5:$AG$364,0),0),1)*INDEX(其他调用!AA$5:AA$404,MATCH($K22,其他调用!$X$5:$X$404,0),0)</f>
        <v>28874.546140220271</v>
      </c>
      <c r="AL22" s="12">
        <f>MIN(INDEX(其他调用!$AK$5:$AK$364,MATCH($K22,其他调用!$AG$5:$AG$364,0),1)/INDEX(其他调用!AK$5:AK$364,MATCH($K22,其他调用!$AG$5:$AG$364,0),0),1)*INDEX(其他调用!AB$5:AB$404,MATCH($K22,其他调用!$X$5:$X$404,0),0)</f>
        <v>30888.028459444235</v>
      </c>
      <c r="AM22" s="12">
        <f>MIN(INDEX(其他调用!$AK$5:$AK$364,MATCH($K22,其他调用!$AG$5:$AG$364,0),1)/INDEX(其他调用!AL$5:AL$364,MATCH($K22,其他调用!$AG$5:$AG$364,0),0),1)*INDEX(其他调用!AC$5:AC$404,MATCH($K22,其他调用!$X$5:$X$404,0),0)</f>
        <v>11719.485079545604</v>
      </c>
      <c r="AN22" s="12">
        <f>求节点(节奏总纲!D$4:D$163,标准城池设计!AF$4:AF$163,$K22)*求节点(节奏总纲!D$4:D$163,攻城基础信息!$AG$5:$AG$164,$K22)</f>
        <v>215762.22790319187</v>
      </c>
      <c r="AO22" s="12">
        <f>INDEX(其他调用!$AA$5:$AA$404,MATCH($K22,其他调用!$X$5:$X$404,0))*MIN(INDEX(其他调用!AL$5:AL$364,MATCH($K22,其他调用!$AG$5:$AG$364,0),1)/INDEX(其他调用!$AJ$5:$AJ$364,MATCH($K22,其他调用!$AG$5:$AG$364,0),0),5)*求节点(节奏总纲!D$4:D$163,攻城基础信息!$AG$5:$AG$164,$K22)</f>
        <v>320949.86186030949</v>
      </c>
      <c r="AP22" s="12">
        <f>MIN(INDEX(其他调用!$AL$5:$AL$364,MATCH($K22,其他调用!$AG$5:$AG$364,0),1)/INDEX(其他调用!AH$5:AH$364,MATCH($K22,其他调用!$AG$5:$AG$364,0),0),1)*INDEX(其他调用!Y$5:Y$404,MATCH($K22,其他调用!$X$5:$X$404,0),0)</f>
        <v>26470.483276192768</v>
      </c>
      <c r="AQ22" s="12">
        <f>MIN(INDEX(其他调用!$AL$5:$AL$364,MATCH($K22,其他调用!$AG$5:$AG$364,0),1)/INDEX(其他调用!AI$5:AI$364,MATCH($K22,其他调用!$AG$5:$AG$364,0),0),1)*INDEX(其他调用!Z$5:Z$404,MATCH($K22,其他调用!$X$5:$X$404,0),0)</f>
        <v>27499.673918890901</v>
      </c>
      <c r="AR22" s="12">
        <f>MIN(INDEX(其他调用!$AL$5:$AL$364,MATCH($K22,其他调用!$AG$5:$AG$364,0),1)/INDEX(其他调用!AJ$5:AJ$364,MATCH($K22,其他调用!$AG$5:$AG$364,0),0),1)*INDEX(其他调用!AA$5:AA$404,MATCH($K22,其他调用!$X$5:$X$404,0),0)</f>
        <v>28874.546140220271</v>
      </c>
      <c r="AS22" s="12">
        <f>MIN(INDEX(其他调用!$AL$5:$AL$364,MATCH($K22,其他调用!$AG$5:$AG$364,0),1)/INDEX(其他调用!AK$5:AK$364,MATCH($K22,其他调用!$AG$5:$AG$364,0),0),1)*INDEX(其他调用!AB$5:AB$404,MATCH($K22,其他调用!$X$5:$X$404,0),0)</f>
        <v>30888.028459444235</v>
      </c>
      <c r="AT22" s="12">
        <f>MIN(INDEX(其他调用!$AL$5:$AL$364,MATCH($K22,其他调用!$AG$5:$AG$364,0),1)/INDEX(其他调用!AL$5:AL$364,MATCH($K22,其他调用!$AG$5:$AG$364,0),0),1)*INDEX(其他调用!AC$5:AC$404,MATCH($K22,其他调用!$X$5:$X$404,0),0)</f>
        <v>34587.933621543409</v>
      </c>
      <c r="AV22" s="14">
        <f>IF(OR(AV$5="大R",AV$5="超R"),MAX(INDEX(其他调用!$H$5:$L$404,MATCH($K22,其他调用!$B$5:$B$404,0),MATCH(AV$5,其他调用!$H$4:$L$4,0))*120*0.85,2),INDEX(其他调用!$H$5:$L$404,MATCH($K22,其他调用!$B$5:$B$404,0),MATCH(AV$5,其他调用!$H$4:$L$4,0))*120*0.85)</f>
        <v>60.140820329153627</v>
      </c>
      <c r="AW22" s="14">
        <f>IF(OR(AW$5="大R",AW$5="超R"),MAX(INDEX(其他调用!$H$5:$L$404,MATCH($K22,其他调用!$B$5:$B$404,0),MATCH(AW$5,其他调用!$H$4:$L$4,0))*120*0.85,2),INDEX(其他调用!$H$5:$L$404,MATCH($K22,其他调用!$B$5:$B$404,0),MATCH(AW$5,其他调用!$H$4:$L$4,0))*120*0.85)</f>
        <v>37.440755094846374</v>
      </c>
      <c r="AX22" s="14">
        <f>IF(OR(AX$5="大R",AX$5="超R"),MAX(INDEX(其他调用!$H$5:$L$404,MATCH($K22,其他调用!$B$5:$B$404,0),MATCH(AX$5,其他调用!$H$4:$L$4,0))*120*0.85,2),INDEX(其他调用!$H$5:$L$404,MATCH($K22,其他调用!$B$5:$B$404,0),MATCH(AX$5,其他调用!$H$4:$L$4,0))*120*0.85)</f>
        <v>3.7427765760000002</v>
      </c>
      <c r="AY22" s="14">
        <f>IF(OR(AY$5="大R",AY$5="超R"),MAX(INDEX(其他调用!$H$5:$L$404,MATCH($K22,其他调用!$B$5:$B$404,0),MATCH(AY$5,其他调用!$H$4:$L$4,0))*120*0.85,2),INDEX(其他调用!$H$5:$L$404,MATCH($K22,其他调用!$B$5:$B$404,0),MATCH(AY$5,其他调用!$H$4:$L$4,0))*120*0.85)</f>
        <v>2</v>
      </c>
      <c r="AZ22" s="14">
        <f>IF(OR(AZ$5="大R",AZ$5="超R"),MAX(INDEX(其他调用!$H$5:$L$404,MATCH($K22,其他调用!$B$5:$B$404,0),MATCH(AZ$5,其他调用!$H$4:$L$4,0))*120*0.85,2),INDEX(其他调用!$H$5:$L$404,MATCH($K22,其他调用!$B$5:$B$404,0),MATCH(AZ$5,其他调用!$H$4:$L$4,0))*120*0.85)</f>
        <v>2</v>
      </c>
      <c r="BA22" s="14">
        <f>INDEX(其他调用!$H$5:$L$404,MATCH($K22,其他调用!$B$5:$B$404,0),MATCH(BA$5,其他调用!$H$4:$L$4,0))*INDEX(其他调用!$M$5:$M$404,MATCH($K22,其他调用!$B$5:$B$404,0))*0.6</f>
        <v>28.814722707154921</v>
      </c>
      <c r="BB22" s="14">
        <f>INDEX(其他调用!$H$5:$L$404,MATCH($K22,其他调用!$B$5:$B$404,0),MATCH(BB$5,其他调用!$H$4:$L$4,0))*INDEX(其他调用!$M$5:$M$404,MATCH($K22,其他调用!$B$5:$B$404,0))*0.6</f>
        <v>17.938647495992328</v>
      </c>
      <c r="BC22" s="14">
        <f>INDEX(其他调用!$H$5:$L$404,MATCH($K22,其他调用!$B$5:$B$404,0),MATCH(BC$5,其他调用!$H$4:$L$4,0))*INDEX(其他调用!$M$5:$M$404,MATCH($K22,其他调用!$B$5:$B$404,0))*0.6</f>
        <v>1.7932424034461538</v>
      </c>
      <c r="BD22" s="14">
        <f>INDEX(其他调用!$H$5:$L$404,MATCH($K22,其他调用!$B$5:$B$404,0),MATCH(BD$5,其他调用!$H$4:$L$4,0))*INDEX(其他调用!$M$5:$M$404,MATCH($K22,其他调用!$B$5:$B$404,0))*0.6</f>
        <v>0.26287350329670334</v>
      </c>
      <c r="BE22" s="14">
        <f>INDEX(其他调用!$H$5:$L$404,MATCH($K22,其他调用!$B$5:$B$404,0),MATCH(BE$5,其他调用!$H$4:$L$4,0))*INDEX(其他调用!$M$5:$M$404,MATCH($K22,其他调用!$B$5:$B$404,0))*0.6</f>
        <v>6.0843560439560421E-2</v>
      </c>
      <c r="BF22" s="14">
        <f>IF(OR(BF$5="大R",BF$5="超R"),0,INDEX(其他调用!$H$5:$L$404,MATCH($K22,其他调用!$B$5:$B$404,0),MATCH(BF$5,其他调用!$H$4:$L$4,0))*50*0.4)</f>
        <v>11.79231771159875</v>
      </c>
      <c r="BG22" s="14">
        <f>IF(OR(BG$5="大R",BG$5="超R"),0,INDEX(其他调用!$H$5:$L$404,MATCH($K22,其他调用!$B$5:$B$404,0),MATCH(BG$5,其他调用!$H$4:$L$4,0))*50*0.4)</f>
        <v>7.3413245284012492</v>
      </c>
      <c r="BH22" s="14">
        <f>IF(OR(BH$5="大R",BH$5="超R"),0,INDEX(其他调用!$H$5:$L$404,MATCH($K22,其他调用!$B$5:$B$404,0),MATCH(BH$5,其他调用!$H$4:$L$4,0))*50*0.4)</f>
        <v>0.73387776000000005</v>
      </c>
      <c r="BI22" s="14">
        <f>IF(OR(BI$5="大R",BI$5="超R"),0,INDEX(其他调用!$H$5:$L$404,MATCH($K22,其他调用!$B$5:$B$404,0),MATCH(BI$5,其他调用!$H$4:$L$4,0))*50*0.4)</f>
        <v>0</v>
      </c>
      <c r="BJ22" s="14">
        <f>IF(OR(BJ$5="大R",BJ$5="超R"),0,INDEX(其他调用!$H$5:$L$404,MATCH($K22,其他调用!$B$5:$B$404,0),MATCH(BJ$5,其他调用!$H$4:$L$4,0))*50*0.4)</f>
        <v>0</v>
      </c>
      <c r="BL22" s="14">
        <f t="shared" si="103"/>
        <v>17</v>
      </c>
      <c r="BM22" s="14">
        <f t="shared" si="10"/>
        <v>96</v>
      </c>
      <c r="BN22" s="14">
        <f>('疲劳值&amp;地图信息'!$S$10*'疲劳值&amp;地图信息'!$R$10+'疲劳值&amp;地图信息'!$S$11*'疲劳值&amp;地图信息'!$R$11+'疲劳值&amp;地图信息'!$S$12*'疲劳值&amp;地图信息'!$R$12+(BM22-'疲劳值&amp;地图信息'!$S$12-'疲劳值&amp;地图信息'!$S$11-'疲劳值&amp;地图信息'!$S$10)*'疲劳值&amp;地图信息'!$R$13)/BM22</f>
        <v>51.371477246638619</v>
      </c>
      <c r="BO22" s="14">
        <f>INDEX(其他调用!$M$5:$M$404,MATCH(BL22,其他调用!$B$5:$B$404,0))*0.6</f>
        <v>48.870329670329667</v>
      </c>
      <c r="BP22" s="14">
        <f>IF(BO22&gt;SUM('疲劳值&amp;地图信息'!$S$10:$S$12),('疲劳值&amp;地图信息'!$S$10*'疲劳值&amp;地图信息'!$R$10+'疲劳值&amp;地图信息'!$S$11*'疲劳值&amp;地图信息'!$R$11+'疲劳值&amp;地图信息'!$S$12*'疲劳值&amp;地图信息'!$R$12+(BO22-'疲劳值&amp;地图信息'!$S$12-'疲劳值&amp;地图信息'!$S$11-'疲劳值&amp;地图信息'!$S$10)*'疲劳值&amp;地图信息'!$R$13)/BO22,('疲劳值&amp;地图信息'!$S$10*'疲劳值&amp;地图信息'!$R$10+'疲劳值&amp;地图信息'!$S$11*'疲劳值&amp;地图信息'!$R$11+'疲劳值&amp;地图信息'!$S$12*'疲劳值&amp;地图信息'!$R$12+(BO22-'疲劳值&amp;地图信息'!$S$12-'疲劳值&amp;地图信息'!$S$11-'疲劳值&amp;地图信息'!$S$10)*'疲劳值&amp;地图信息'!$R$13)/BO22)</f>
        <v>39.777449366360351</v>
      </c>
      <c r="BQ22" s="14">
        <f t="shared" si="104"/>
        <v>20</v>
      </c>
      <c r="BR22" s="14">
        <f>('疲劳值&amp;地图信息'!$S$10*'疲劳值&amp;地图信息'!$R$10+($BQ22-'疲劳值&amp;地图信息'!$S$10)*'疲劳值&amp;地图信息'!$R$11)/$BQ22</f>
        <v>32.067203015074995</v>
      </c>
      <c r="BW22" s="14" t="s">
        <v>273</v>
      </c>
      <c r="BX22" s="14">
        <v>5000</v>
      </c>
      <c r="BY22" s="14">
        <v>120</v>
      </c>
      <c r="CF22" s="14">
        <v>17</v>
      </c>
      <c r="CG22" s="51">
        <f t="shared" si="11"/>
        <v>3755</v>
      </c>
      <c r="CH22" s="51">
        <f t="shared" si="12"/>
        <v>810</v>
      </c>
      <c r="CI22" s="51">
        <f>INT(SUMPRODUCT($N22:$R22,$BA22:$BE22)/SUM($BA22:$BE22)/10000*$BX$7*$BZ$34/'疲劳值&amp;地图信息'!$R$10*$BY$53)</f>
        <v>2470</v>
      </c>
      <c r="CJ22" s="50">
        <f t="shared" si="13"/>
        <v>0.5337597725657427</v>
      </c>
      <c r="CK22" s="50">
        <f t="shared" si="14"/>
        <v>0.11513859275053305</v>
      </c>
      <c r="CL22" s="50">
        <f t="shared" si="15"/>
        <v>0.35110163468372424</v>
      </c>
      <c r="CM22" s="14">
        <f t="shared" si="16"/>
        <v>3890</v>
      </c>
      <c r="CN22" s="14">
        <f t="shared" si="17"/>
        <v>1009</v>
      </c>
      <c r="CO22" s="14">
        <f>INT(SUMPRODUCT($U22:$Y22,$BA22:$BE22)/SUM($BA22:$BE22)/10000*$BX$7*$BZ$34/'疲劳值&amp;地图信息'!$R$10*$BY$54)</f>
        <v>4033</v>
      </c>
      <c r="CP22" s="50">
        <f t="shared" si="18"/>
        <v>0.43551276309896997</v>
      </c>
      <c r="CQ22" s="50">
        <f t="shared" si="19"/>
        <v>0.11296462158531125</v>
      </c>
      <c r="CR22" s="50">
        <f t="shared" si="20"/>
        <v>0.45152261531571874</v>
      </c>
      <c r="CS22" s="14">
        <f t="shared" si="21"/>
        <v>4144</v>
      </c>
      <c r="CT22" s="14">
        <f t="shared" si="22"/>
        <v>1452</v>
      </c>
      <c r="CU22" s="14">
        <f>INT(SUMPRODUCT($AB22:$AF22,$BA22:$BE22)/SUM($BA22:$BE22)/10000*$BX$7*$BZ$34/'疲劳值&amp;地图信息'!$R$10*$BY$55)</f>
        <v>5448</v>
      </c>
      <c r="CV22" s="50">
        <f t="shared" si="23"/>
        <v>0.37522636725823977</v>
      </c>
      <c r="CW22" s="50">
        <f t="shared" si="24"/>
        <v>0.13147410358565736</v>
      </c>
      <c r="CX22" s="50">
        <f t="shared" si="25"/>
        <v>0.49329952915610287</v>
      </c>
      <c r="CY22" s="14">
        <f t="shared" si="26"/>
        <v>4720</v>
      </c>
      <c r="CZ22" s="14">
        <f t="shared" si="27"/>
        <v>2995</v>
      </c>
      <c r="DA22" s="14">
        <f>INT(SUMPRODUCT($AI22:$AM22,$BA22:$BE22)/SUM($BA22:$BE22)/10000*$BX$7*$BZ$34/'疲劳值&amp;地图信息'!$R$10*$BY$56)</f>
        <v>8201</v>
      </c>
      <c r="DB22" s="50">
        <f t="shared" si="28"/>
        <v>0.29655692385021359</v>
      </c>
      <c r="DC22" s="50">
        <f t="shared" si="29"/>
        <v>0.18817542096004022</v>
      </c>
      <c r="DD22" s="50">
        <f t="shared" si="30"/>
        <v>0.51526765518974615</v>
      </c>
      <c r="DE22" s="14">
        <f t="shared" si="31"/>
        <v>4881</v>
      </c>
      <c r="DF22" s="14">
        <f t="shared" si="32"/>
        <v>7261</v>
      </c>
      <c r="DG22" s="14">
        <f>INT(SUMPRODUCT($AP22:$AT22,$BA22:$BE22)/SUM($BA22:$BE22)/10000*$BX$7*$BZ$34/'疲劳值&amp;地图信息'!$R$10*$BY$57)</f>
        <v>10946</v>
      </c>
      <c r="DH22" s="50">
        <f t="shared" si="33"/>
        <v>0.21140852390852391</v>
      </c>
      <c r="DI22" s="50">
        <f t="shared" si="34"/>
        <v>0.31449237699237698</v>
      </c>
      <c r="DJ22" s="50">
        <f t="shared" si="35"/>
        <v>0.47409909909909909</v>
      </c>
      <c r="DL22" s="14">
        <f t="shared" si="106"/>
        <v>7035</v>
      </c>
      <c r="DM22" s="14">
        <f t="shared" si="107"/>
        <v>8932</v>
      </c>
      <c r="DN22" s="14">
        <f t="shared" si="108"/>
        <v>11044</v>
      </c>
      <c r="DO22" s="14">
        <f t="shared" si="109"/>
        <v>15916</v>
      </c>
      <c r="DP22" s="14">
        <f t="shared" si="110"/>
        <v>23088</v>
      </c>
      <c r="DQ22" s="14">
        <f t="shared" si="111"/>
        <v>388332</v>
      </c>
      <c r="DT22" s="14">
        <f t="shared" si="105"/>
        <v>235575</v>
      </c>
      <c r="DU22" s="50">
        <f t="shared" si="7"/>
        <v>0.37758031245041329</v>
      </c>
      <c r="DW22" s="14">
        <f t="shared" si="36"/>
        <v>623907</v>
      </c>
      <c r="EB22" s="14">
        <v>17</v>
      </c>
      <c r="EC22" s="51">
        <f t="shared" si="37"/>
        <v>6259</v>
      </c>
      <c r="ED22" s="51">
        <f t="shared" si="38"/>
        <v>1350</v>
      </c>
      <c r="EE22" s="51">
        <f>INT(SUMPRODUCT($N22:$R22,$BF22:$BJ22)/SUM($BF22:$BJ22)/10000*$BX$7*$BZ$46/'疲劳值&amp;地图信息'!$R$10*$BY$53)</f>
        <v>330</v>
      </c>
      <c r="EF22" s="50">
        <f t="shared" si="39"/>
        <v>0.78838644665575008</v>
      </c>
      <c r="EG22" s="50">
        <f t="shared" si="40"/>
        <v>0.17004660536591509</v>
      </c>
      <c r="EH22" s="50">
        <f t="shared" si="41"/>
        <v>4.1566947978334802E-2</v>
      </c>
      <c r="EI22" s="51">
        <f t="shared" si="42"/>
        <v>6483</v>
      </c>
      <c r="EJ22" s="51">
        <f t="shared" si="43"/>
        <v>1681</v>
      </c>
      <c r="EK22" s="14">
        <f>INT(SUMPRODUCT($U22:$Y22,$BF22:$BJ22)/SUM($BF22:$BJ22)/10000*$BX$7*$BZ$46/'疲劳值&amp;地图信息'!$R$10*$BY$54)</f>
        <v>540</v>
      </c>
      <c r="EL22" s="50">
        <f t="shared" si="44"/>
        <v>0.74482996323529416</v>
      </c>
      <c r="EM22" s="50">
        <f t="shared" si="45"/>
        <v>0.19312959558823528</v>
      </c>
      <c r="EN22" s="50">
        <f t="shared" si="46"/>
        <v>6.204044117647059E-2</v>
      </c>
      <c r="EO22" s="51">
        <f t="shared" si="47"/>
        <v>6907</v>
      </c>
      <c r="EP22" s="51">
        <f t="shared" si="48"/>
        <v>2420</v>
      </c>
      <c r="EQ22" s="14">
        <f>INT(SUMPRODUCT($AB22:$AF22,$BF22:$BJ22)/SUM($BF22:$BJ22)/10000*$BX$7*$BZ$46/'疲劳值&amp;地图信息'!$R$10*$BY$55)</f>
        <v>728</v>
      </c>
      <c r="ER22" s="50">
        <f t="shared" si="49"/>
        <v>0.68692192938836405</v>
      </c>
      <c r="ES22" s="50">
        <f t="shared" si="50"/>
        <v>0.24067628045748385</v>
      </c>
      <c r="ET22" s="50">
        <f t="shared" si="51"/>
        <v>7.2401790154152157E-2</v>
      </c>
      <c r="EU22" s="51">
        <f t="shared" si="52"/>
        <v>7867</v>
      </c>
      <c r="EV22" s="51">
        <f t="shared" si="53"/>
        <v>4992</v>
      </c>
      <c r="EW22" s="14">
        <f>INT(SUMPRODUCT($AI22:$AM22,$BF22:$BJ22)/SUM($BF22:$BJ22)/10000*$BX$7*$BZ$46/'疲劳值&amp;地图信息'!$R$10*$BY$56)</f>
        <v>1093</v>
      </c>
      <c r="EX22" s="50">
        <f t="shared" si="54"/>
        <v>0.56386181192660545</v>
      </c>
      <c r="EY22" s="50">
        <f t="shared" si="55"/>
        <v>0.3577981651376147</v>
      </c>
      <c r="EZ22" s="50">
        <f t="shared" si="56"/>
        <v>7.834002293577981E-2</v>
      </c>
      <c r="FA22" s="51">
        <f t="shared" si="57"/>
        <v>8136</v>
      </c>
      <c r="FB22" s="51">
        <f t="shared" si="58"/>
        <v>12102</v>
      </c>
      <c r="FC22" s="14">
        <f>INT(SUMPRODUCT($AP22:$AT22,$BF22:$BJ22)/SUM($BF22:$BJ22)/10000*$BX$7*$BZ$46/'疲劳值&amp;地图信息'!$R$10*$BY$57)</f>
        <v>1457</v>
      </c>
      <c r="FD22" s="50">
        <f t="shared" si="59"/>
        <v>0.37501728508873011</v>
      </c>
      <c r="FE22" s="50">
        <f t="shared" si="60"/>
        <v>0.55782438349850194</v>
      </c>
      <c r="FF22" s="50">
        <f t="shared" si="61"/>
        <v>6.7158331412767919E-2</v>
      </c>
      <c r="FH22" s="14">
        <f t="shared" si="62"/>
        <v>7939</v>
      </c>
      <c r="FI22" s="14">
        <f t="shared" si="63"/>
        <v>8704</v>
      </c>
      <c r="FJ22" s="14">
        <f t="shared" si="64"/>
        <v>10055</v>
      </c>
      <c r="FK22" s="14">
        <f t="shared" si="65"/>
        <v>13952</v>
      </c>
      <c r="FL22" s="14">
        <f t="shared" si="66"/>
        <v>21695</v>
      </c>
      <c r="FM22" s="14">
        <f t="shared" si="67"/>
        <v>912269</v>
      </c>
      <c r="FP22" s="14">
        <f t="shared" si="68"/>
        <v>334150</v>
      </c>
      <c r="FQ22" s="50">
        <f t="shared" si="8"/>
        <v>0.26808801855555797</v>
      </c>
      <c r="FS22" s="14">
        <f t="shared" si="69"/>
        <v>1246419</v>
      </c>
      <c r="FX22" s="14">
        <v>17</v>
      </c>
      <c r="FY22" s="51">
        <f t="shared" si="70"/>
        <v>8762</v>
      </c>
      <c r="FZ22" s="51">
        <f t="shared" si="71"/>
        <v>1350</v>
      </c>
      <c r="GA22" s="51">
        <f>INT(SUMPRODUCT($N22:$R22,$BF22:$BJ22)/SUM($BF22:$BJ22)/10000*$BX$7*$BZ$46/'疲劳值&amp;地图信息'!$R$10*$BY$53)</f>
        <v>330</v>
      </c>
      <c r="GB22" s="50">
        <f t="shared" si="72"/>
        <v>0.83911128136372337</v>
      </c>
      <c r="GC22" s="50">
        <f t="shared" si="73"/>
        <v>0.12928557747557939</v>
      </c>
      <c r="GD22" s="50">
        <f t="shared" si="74"/>
        <v>3.1603141160697186E-2</v>
      </c>
      <c r="GE22" s="51">
        <f t="shared" si="75"/>
        <v>9077</v>
      </c>
      <c r="GF22" s="51">
        <f t="shared" si="76"/>
        <v>1681</v>
      </c>
      <c r="GG22" s="14">
        <f>INT(SUMPRODUCT($U22:$Y22,$BF22:$BJ22)/SUM($BF22:$BJ22)/10000*$BX$7*$BZ$46/'疲劳值&amp;地图信息'!$R$10*$BY$54)</f>
        <v>540</v>
      </c>
      <c r="GH22" s="50">
        <f t="shared" si="77"/>
        <v>0.80341653389980527</v>
      </c>
      <c r="GI22" s="50">
        <f t="shared" si="78"/>
        <v>0.14878739599929192</v>
      </c>
      <c r="GJ22" s="50">
        <f t="shared" si="79"/>
        <v>4.7796070100902817E-2</v>
      </c>
      <c r="GK22" s="51">
        <f t="shared" si="80"/>
        <v>9670</v>
      </c>
      <c r="GL22" s="51">
        <f t="shared" si="81"/>
        <v>2420</v>
      </c>
      <c r="GM22" s="14">
        <f>INT(SUMPRODUCT($AB22:$AF22,$BF22:$BJ22)/SUM($BF22:$BJ22)/10000*$BX$7*$BZ$46/'疲劳值&amp;地图信息'!$R$10*$BY$55)</f>
        <v>728</v>
      </c>
      <c r="GN22" s="50">
        <f t="shared" si="82"/>
        <v>0.75440786394133252</v>
      </c>
      <c r="GO22" s="50">
        <f t="shared" si="83"/>
        <v>0.18879700421282572</v>
      </c>
      <c r="GP22" s="50">
        <f t="shared" si="84"/>
        <v>5.6795131845841784E-2</v>
      </c>
      <c r="GQ22" s="51">
        <f t="shared" si="85"/>
        <v>11014</v>
      </c>
      <c r="GR22" s="51">
        <f t="shared" si="86"/>
        <v>4992</v>
      </c>
      <c r="GS22" s="14">
        <f>INT(SUMPRODUCT($AI22:$AM22,$BF22:$BJ22)/SUM($BF22:$BJ22)/10000*$BX$7*$BZ$46/'疲劳值&amp;地图信息'!$R$10*$BY$56)</f>
        <v>1093</v>
      </c>
      <c r="GT22" s="50">
        <f t="shared" si="87"/>
        <v>0.64413123574478037</v>
      </c>
      <c r="GU22" s="50">
        <f t="shared" si="88"/>
        <v>0.29194689747938474</v>
      </c>
      <c r="GV22" s="50">
        <f t="shared" si="89"/>
        <v>6.3921866775834849E-2</v>
      </c>
      <c r="GW22" s="51">
        <f t="shared" si="90"/>
        <v>11390</v>
      </c>
      <c r="GX22" s="51">
        <f t="shared" si="91"/>
        <v>12102</v>
      </c>
      <c r="GY22" s="14">
        <f>INT(SUMPRODUCT($AP22:$AT22,$BF22:$BJ22)/SUM($BF22:$BJ22)/10000*$BX$7*$BZ$46/'疲劳值&amp;地图信息'!$R$10*$BY$57)</f>
        <v>1457</v>
      </c>
      <c r="GZ22" s="50">
        <f t="shared" si="92"/>
        <v>0.45653132390075757</v>
      </c>
      <c r="HA22" s="50">
        <f t="shared" si="93"/>
        <v>0.48506954186540541</v>
      </c>
      <c r="HB22" s="50">
        <f t="shared" si="94"/>
        <v>5.8399134233837025E-2</v>
      </c>
      <c r="HD22" s="14">
        <f t="shared" si="95"/>
        <v>10442</v>
      </c>
      <c r="HE22" s="14">
        <f t="shared" si="96"/>
        <v>11298</v>
      </c>
      <c r="HF22" s="14">
        <f t="shared" si="97"/>
        <v>12818</v>
      </c>
      <c r="HG22" s="14">
        <f t="shared" si="98"/>
        <v>17099</v>
      </c>
      <c r="HH22" s="14">
        <f t="shared" si="99"/>
        <v>24949</v>
      </c>
      <c r="HI22" s="14">
        <f t="shared" si="100"/>
        <v>1183067</v>
      </c>
      <c r="HL22" s="14">
        <f t="shared" si="101"/>
        <v>430050</v>
      </c>
      <c r="HM22" s="50">
        <f t="shared" si="9"/>
        <v>0.2665956654105065</v>
      </c>
      <c r="HO22" s="14">
        <f t="shared" si="102"/>
        <v>1613117</v>
      </c>
    </row>
    <row r="23" spans="3:223" x14ac:dyDescent="0.2">
      <c r="K23" s="14">
        <v>18</v>
      </c>
      <c r="L23" s="12">
        <f>求节点(节奏总纲!D$4:D$163,标准城池设计!AB$4:AB$163,$K23)*求节点(节奏总纲!D$4:D$163,攻城基础信息!$AC$5:$AC$164,$K23)</f>
        <v>171379.74582141807</v>
      </c>
      <c r="M23" s="12">
        <f>INDEX(其他调用!$AA$5:$AA$404,MATCH(K23,其他调用!$X$5:$X$404,0))*MIN(INDEX(其他调用!$AH$5:$AH$364,MATCH('征服点（新）'!K23,其他调用!$AG$5:$AG$364,0),1)/INDEX(其他调用!$AJ$5:$AJ$364,MATCH(K23,其他调用!$AG$5:$AG$364,0),0),5)*求节点(节奏总纲!D$4:D$163,攻城基础信息!$AC$5:$AC$164,$K23)</f>
        <v>36505.937573316347</v>
      </c>
      <c r="N23" s="12">
        <f>MIN(INDEX(其他调用!$AH$5:$AH$364,MATCH($K23,其他调用!$AG$5:$AG$364,0),1)/INDEX(其他调用!AH$5:AH$364,MATCH($K23,其他调用!$AG$5:$AG$364,0),0),1)*INDEX(其他调用!Y$5:Y$404,MATCH($K23,其他调用!$X$5:$X$404,0),0)</f>
        <v>26768.698841502621</v>
      </c>
      <c r="O23" s="12">
        <f>MIN(INDEX(其他调用!$AH$5:$AH$364,MATCH($K23,其他调用!$AG$5:$AG$364,0),1)/INDEX(其他调用!AI$5:AI$364,MATCH($K23,其他调用!$AG$5:$AG$364,0),0),1)*INDEX(其他调用!Z$5:Z$404,MATCH($K23,其他调用!$X$5:$X$404,0),0)</f>
        <v>22304.697044352251</v>
      </c>
      <c r="P23" s="12">
        <f>MIN(INDEX(其他调用!$AH$5:$AH$364,MATCH($K23,其他调用!$AG$5:$AG$364,0),1)/INDEX(其他调用!AJ$5:AJ$364,MATCH($K23,其他调用!$AG$5:$AG$364,0),0),1)*INDEX(其他调用!AA$5:AA$404,MATCH($K23,其他调用!$X$5:$X$404,0),0)</f>
        <v>16231.923669061091</v>
      </c>
      <c r="Q23" s="12">
        <f>MIN(INDEX(其他调用!$AH$5:$AH$364,MATCH($K23,其他调用!$AG$5:$AG$364,0),1)/INDEX(其他调用!AK$5:AK$364,MATCH($K23,其他调用!$AG$5:$AG$364,0),0),1)*INDEX(其他调用!AB$5:AB$404,MATCH($K23,其他调用!$X$5:$X$404,0),0)</f>
        <v>8235.1119224539107</v>
      </c>
      <c r="R23" s="12">
        <f>MIN(INDEX(其他调用!$AH$5:$AH$364,MATCH($K23,其他调用!$AG$5:$AG$364,0),1)/INDEX(其他调用!AL$5:AL$364,MATCH($K23,其他调用!$AG$5:$AG$364,0),0),1)*INDEX(其他调用!AC$5:AC$404,MATCH($K23,其他调用!$X$5:$X$404,0),0)</f>
        <v>2997.5915315681577</v>
      </c>
      <c r="S23" s="12">
        <f>求节点(节奏总纲!D$4:D$163,标准城池设计!AC$4:AC$163,$K23)*求节点(节奏总纲!D$4:D$163,攻城基础信息!$AD$5:$AD$164,$K23)</f>
        <v>177072.77245338453</v>
      </c>
      <c r="T23" s="12">
        <f>INDEX(其他调用!$AA$5:$AA$404,MATCH($K23,其他调用!$X$5:$X$404,0))*MIN(INDEX(其他调用!AI$5:AI$364,MATCH($K23,其他调用!$AG$5:$AG$364,0),1)/INDEX(其他调用!$AJ$5:$AJ$364,MATCH($K23,其他调用!$AG$5:$AG$364,0),0),5)*求节点(节奏总纲!D$4:D$163,攻城基础信息!$AD$5:$AD$164,$K23)</f>
        <v>45499.376112879312</v>
      </c>
      <c r="U23" s="12">
        <f>MIN(INDEX(其他调用!$AI$5:$AI$364,MATCH($K23,其他调用!$AG$5:$AG$364,0),1)/INDEX(其他调用!AH$5:AH$364,MATCH($K23,其他调用!$AG$5:$AG$364,0),0),1)*INDEX(其他调用!Y$5:Y$404,MATCH($K23,其他调用!$X$5:$X$404,0),0)</f>
        <v>26768.698841502621</v>
      </c>
      <c r="V23" s="12">
        <f>MIN(INDEX(其他调用!$AI$5:$AI$364,MATCH($K23,其他调用!$AG$5:$AG$364,0),1)/INDEX(其他调用!AI$5:AI$364,MATCH($K23,其他调用!$AG$5:$AG$364,0),0),1)*INDEX(其他调用!Z$5:Z$404,MATCH($K23,其他调用!$X$5:$X$404,0),0)</f>
        <v>27799.581858886566</v>
      </c>
      <c r="W23" s="12">
        <f>MIN(INDEX(其他调用!$AI$5:$AI$364,MATCH($K23,其他调用!$AG$5:$AG$364,0),1)/INDEX(其他调用!AJ$5:AJ$364,MATCH($K23,其他调用!$AG$5:$AG$364,0),0),1)*INDEX(其他调用!AA$5:AA$404,MATCH($K23,其他调用!$X$5:$X$404,0),0)</f>
        <v>20230.74735639686</v>
      </c>
      <c r="X23" s="12">
        <f>MIN(INDEX(其他调用!$AI$5:$AI$364,MATCH($K23,其他调用!$AG$5:$AG$364,0),1)/INDEX(其他调用!AK$5:AK$364,MATCH($K23,其他调用!$AG$5:$AG$364,0),0),1)*INDEX(其他调用!AB$5:AB$404,MATCH($K23,其他调用!$X$5:$X$404,0),0)</f>
        <v>10263.877045723784</v>
      </c>
      <c r="Y23" s="12">
        <f>MIN(INDEX(其他调用!$AI$5:$AI$364,MATCH($K23,其他调用!$AG$5:$AG$364,0),1)/INDEX(其他调用!AL$5:AL$364,MATCH($K23,其他调用!$AG$5:$AG$364,0),0),1)*INDEX(其他调用!AC$5:AC$404,MATCH($K23,其他调用!$X$5:$X$404,0),0)</f>
        <v>3736.0646950564387</v>
      </c>
      <c r="Z23" s="12">
        <f>求节点(节奏总纲!D$4:D$163,标准城池设计!AD$4:AD$163,$K23)*求节点(节奏总纲!D$4:D$163,攻城基础信息!$AE$5:$AE$164,$K23)</f>
        <v>188974.1902201788</v>
      </c>
      <c r="AA23" s="12">
        <f>INDEX(其他调用!$AA$5:$AA$404,MATCH($K23,其他调用!$X$5:$X$404,0))*MIN(INDEX(其他调用!AJ$5:AJ$364,MATCH($K23,其他调用!$AG$5:$AG$364,0),1)/INDEX(其他调用!$AJ$5:$AJ$364,MATCH($K23,其他调用!$AG$5:$AG$364,0),0),5)*求节点(节奏总纲!D$4:D$163,攻城基础信息!$AE$5:$AE$164,$K23)</f>
        <v>65621.901690495099</v>
      </c>
      <c r="AB23" s="12">
        <f>MIN(INDEX(其他调用!$AJ$5:$AJ$364,MATCH($K23,其他调用!$AG$5:$AG$364,0),1)/INDEX(其他调用!AH$5:AH$364,MATCH($K23,其他调用!$AG$5:$AG$364,0),0),1)*INDEX(其他调用!Y$5:Y$404,MATCH($K23,其他调用!$X$5:$X$404,0),0)</f>
        <v>26768.698841502621</v>
      </c>
      <c r="AC23" s="12">
        <f>MIN(INDEX(其他调用!$AJ$5:$AJ$364,MATCH($K23,其他调用!$AG$5:$AG$364,0),1)/INDEX(其他调用!AI$5:AI$364,MATCH($K23,其他调用!$AG$5:$AG$364,0),0),1)*INDEX(其他调用!Z$5:Z$404,MATCH($K23,其他调用!$X$5:$X$404,0),0)</f>
        <v>27799.581858886566</v>
      </c>
      <c r="AD23" s="12">
        <f>MIN(INDEX(其他调用!$AJ$5:$AJ$364,MATCH($K23,其他调用!$AG$5:$AG$364,0),1)/INDEX(其他调用!AJ$5:AJ$364,MATCH($K23,其他调用!$AG$5:$AG$364,0),0),1)*INDEX(其他调用!AA$5:AA$404,MATCH($K23,其他调用!$X$5:$X$404,0),0)</f>
        <v>29177.985009137868</v>
      </c>
      <c r="AE23" s="12">
        <f>MIN(INDEX(其他调用!$AJ$5:$AJ$364,MATCH($K23,其他调用!$AG$5:$AG$364,0),1)/INDEX(其他调用!AK$5:AK$364,MATCH($K23,其他调用!$AG$5:$AG$364,0),0),1)*INDEX(其他调用!AB$5:AB$404,MATCH($K23,其他调用!$X$5:$X$404,0),0)</f>
        <v>14803.172878389438</v>
      </c>
      <c r="AF23" s="12">
        <f>MIN(INDEX(其他调用!$AJ$5:$AJ$364,MATCH($K23,其他调用!$AG$5:$AG$364,0),1)/INDEX(其他调用!AL$5:AL$364,MATCH($K23,其他调用!$AG$5:$AG$364,0),0),1)*INDEX(其他调用!AC$5:AC$404,MATCH($K23,其他调用!$X$5:$X$404,0),0)</f>
        <v>5388.374326717957</v>
      </c>
      <c r="AG23" s="12">
        <f>求节点(节奏总纲!D$4:D$163,标准城池设计!AE$4:AE$163,$K23)*求节点(节奏总纲!D$4:D$163,攻城基础信息!$AF$5:$AF$164,$K23)</f>
        <v>216119.73180474597</v>
      </c>
      <c r="AH23" s="12">
        <f>INDEX(其他调用!$AA$5:$AA$404,MATCH($K23,其他调用!$X$5:$X$404,0))*MIN(INDEX(其他调用!AK$5:AK$364,MATCH($K23,其他调用!$AG$5:$AG$364,0),1)/INDEX(其他调用!$AJ$5:$AJ$364,MATCH($K23,其他调用!$AG$5:$AG$364,0),0),5)*求节点(节奏总纲!D$4:D$163,攻城基础信息!$AF$5:$AF$164,$K23)</f>
        <v>138296.61037715571</v>
      </c>
      <c r="AI23" s="12">
        <f>MIN(INDEX(其他调用!$AK$5:$AK$364,MATCH($K23,其他调用!$AG$5:$AG$364,0),1)/INDEX(其他调用!AH$5:AH$364,MATCH($K23,其他调用!$AG$5:$AG$364,0),0),1)*INDEX(其他调用!Y$5:Y$404,MATCH($K23,其他调用!$X$5:$X$404,0),0)</f>
        <v>26768.698841502621</v>
      </c>
      <c r="AJ23" s="12">
        <f>MIN(INDEX(其他调用!$AK$5:$AK$364,MATCH($K23,其他调用!$AG$5:$AG$364,0),1)/INDEX(其他调用!AI$5:AI$364,MATCH($K23,其他调用!$AG$5:$AG$364,0),0),1)*INDEX(其他调用!Z$5:Z$404,MATCH($K23,其他调用!$X$5:$X$404,0),0)</f>
        <v>27799.581858886566</v>
      </c>
      <c r="AK23" s="12">
        <f>MIN(INDEX(其他调用!$AK$5:$AK$364,MATCH($K23,其他调用!$AG$5:$AG$364,0),1)/INDEX(其他调用!AJ$5:AJ$364,MATCH($K23,其他调用!$AG$5:$AG$364,0),0),1)*INDEX(其他调用!AA$5:AA$404,MATCH($K23,其他调用!$X$5:$X$404,0),0)</f>
        <v>29177.985009137868</v>
      </c>
      <c r="AL23" s="12">
        <f>MIN(INDEX(其他调用!$AK$5:$AK$364,MATCH($K23,其他调用!$AG$5:$AG$364,0),1)/INDEX(其他调用!AK$5:AK$364,MATCH($K23,其他调用!$AG$5:$AG$364,0),0),1)*INDEX(其他调用!AB$5:AB$404,MATCH($K23,其他调用!$X$5:$X$404,0),0)</f>
        <v>31197.337766345634</v>
      </c>
      <c r="AM23" s="12">
        <f>MIN(INDEX(其他调用!$AK$5:$AK$364,MATCH($K23,其他调用!$AG$5:$AG$364,0),1)/INDEX(其他调用!AL$5:AL$364,MATCH($K23,其他调用!$AG$5:$AG$364,0),0),1)*INDEX(其他调用!AC$5:AC$404,MATCH($K23,其他调用!$X$5:$X$404,0),0)</f>
        <v>11355.871829851565</v>
      </c>
      <c r="AN23" s="12">
        <f>求节点(节奏总纲!D$4:D$163,标准城池设计!AF$4:AF$163,$K23)*求节点(节奏总纲!D$4:D$163,攻城基础信息!$AG$5:$AG$164,$K23)</f>
        <v>223335.92782008948</v>
      </c>
      <c r="AO23" s="12">
        <f>INDEX(其他调用!$AA$5:$AA$404,MATCH($K23,其他调用!$X$5:$X$404,0))*MIN(INDEX(其他调用!AL$5:AL$364,MATCH($K23,其他调用!$AG$5:$AG$364,0),1)/INDEX(其他调用!$AJ$5:$AJ$364,MATCH($K23,其他调用!$AG$5:$AG$364,0),0),5)*求节点(节奏总纲!D$4:D$163,攻城基础信息!$AG$5:$AG$164,$K23)</f>
        <v>328109.50845247542</v>
      </c>
      <c r="AP23" s="12">
        <f>MIN(INDEX(其他调用!$AL$5:$AL$364,MATCH($K23,其他调用!$AG$5:$AG$364,0),1)/INDEX(其他调用!AH$5:AH$364,MATCH($K23,其他调用!$AG$5:$AG$364,0),0),1)*INDEX(其他调用!Y$5:Y$404,MATCH($K23,其他调用!$X$5:$X$404,0),0)</f>
        <v>26768.698841502621</v>
      </c>
      <c r="AQ23" s="12">
        <f>MIN(INDEX(其他调用!$AL$5:$AL$364,MATCH($K23,其他调用!$AG$5:$AG$364,0),1)/INDEX(其他调用!AI$5:AI$364,MATCH($K23,其他调用!$AG$5:$AG$364,0),0),1)*INDEX(其他调用!Z$5:Z$404,MATCH($K23,其他调用!$X$5:$X$404,0),0)</f>
        <v>27799.581858886566</v>
      </c>
      <c r="AR23" s="12">
        <f>MIN(INDEX(其他调用!$AL$5:$AL$364,MATCH($K23,其他调用!$AG$5:$AG$364,0),1)/INDEX(其他调用!AJ$5:AJ$364,MATCH($K23,其他调用!$AG$5:$AG$364,0),0),1)*INDEX(其他调用!AA$5:AA$404,MATCH($K23,其他调用!$X$5:$X$404,0),0)</f>
        <v>29177.985009137868</v>
      </c>
      <c r="AS23" s="12">
        <f>MIN(INDEX(其他调用!$AL$5:$AL$364,MATCH($K23,其他调用!$AG$5:$AG$364,0),1)/INDEX(其他调用!AK$5:AK$364,MATCH($K23,其他调用!$AG$5:$AG$364,0),0),1)*INDEX(其他调用!AB$5:AB$404,MATCH($K23,其他调用!$X$5:$X$404,0),0)</f>
        <v>31197.337766345634</v>
      </c>
      <c r="AT23" s="12">
        <f>MIN(INDEX(其他调用!$AL$5:$AL$364,MATCH($K23,其他调用!$AG$5:$AG$364,0),1)/INDEX(其他调用!AL$5:AL$364,MATCH($K23,其他调用!$AG$5:$AG$364,0),0),1)*INDEX(其他调用!AC$5:AC$404,MATCH($K23,其他调用!$X$5:$X$404,0),0)</f>
        <v>34903.504505882287</v>
      </c>
      <c r="AV23" s="14">
        <f>IF(OR(AV$5="大R",AV$5="超R"),MAX(INDEX(其他调用!$H$5:$L$404,MATCH($K23,其他调用!$B$5:$B$404,0),MATCH(AV$5,其他调用!$H$4:$L$4,0))*120*0.85,2),INDEX(其他调用!$H$5:$L$404,MATCH($K23,其他调用!$B$5:$B$404,0),MATCH(AV$5,其他调用!$H$4:$L$4,0))*120*0.85)</f>
        <v>59.726490094043911</v>
      </c>
      <c r="AW23" s="14">
        <f>IF(OR(AW$5="大R",AW$5="超R"),MAX(INDEX(其他调用!$H$5:$L$404,MATCH($K23,其他调用!$B$5:$B$404,0),MATCH(AW$5,其他调用!$H$4:$L$4,0))*120*0.85,2),INDEX(其他调用!$H$5:$L$404,MATCH($K23,其他调用!$B$5:$B$404,0),MATCH(AW$5,其他调用!$H$4:$L$4,0))*120*0.85)</f>
        <v>37.84552833795609</v>
      </c>
      <c r="AX23" s="14">
        <f>IF(OR(AX$5="大R",AX$5="超R"),MAX(INDEX(其他调用!$H$5:$L$404,MATCH($K23,其他调用!$B$5:$B$404,0),MATCH(AX$5,其他调用!$H$4:$L$4,0))*120*0.85,2),INDEX(其他调用!$H$5:$L$404,MATCH($K23,其他调用!$B$5:$B$404,0),MATCH(AX$5,其他调用!$H$4:$L$4,0))*120*0.85)</f>
        <v>3.7474375679999996</v>
      </c>
      <c r="AY23" s="14">
        <f>IF(OR(AY$5="大R",AY$5="超R"),MAX(INDEX(其他调用!$H$5:$L$404,MATCH($K23,其他调用!$B$5:$B$404,0),MATCH(AY$5,其他调用!$H$4:$L$4,0))*120*0.85,2),INDEX(其他调用!$H$5:$L$404,MATCH($K23,其他调用!$B$5:$B$404,0),MATCH(AY$5,其他调用!$H$4:$L$4,0))*120*0.85)</f>
        <v>2</v>
      </c>
      <c r="AZ23" s="14">
        <f>IF(OR(AZ$5="大R",AZ$5="超R"),MAX(INDEX(其他调用!$H$5:$L$404,MATCH($K23,其他调用!$B$5:$B$404,0),MATCH(AZ$5,其他调用!$H$4:$L$4,0))*120*0.85,2),INDEX(其他调用!$H$5:$L$404,MATCH($K23,其他调用!$B$5:$B$404,0),MATCH(AZ$5,其他调用!$H$4:$L$4,0))*120*0.85)</f>
        <v>2</v>
      </c>
      <c r="BA23" s="14">
        <f>INDEX(其他调用!$H$5:$L$404,MATCH($K23,其他调用!$B$5:$B$404,0),MATCH(BA$5,其他调用!$H$4:$L$4,0))*INDEX(其他调用!$M$5:$M$404,MATCH($K23,其他调用!$B$5:$B$404,0))*0.6</f>
        <v>28.809248163009414</v>
      </c>
      <c r="BB23" s="14">
        <f>INDEX(其他调用!$H$5:$L$404,MATCH($K23,其他调用!$B$5:$B$404,0),MATCH(BB$5,其他调用!$H$4:$L$4,0))*INDEX(其他调用!$M$5:$M$404,MATCH($K23,其他调用!$B$5:$B$404,0))*0.6</f>
        <v>18.254901904190586</v>
      </c>
      <c r="BC23" s="14">
        <f>INDEX(其他调用!$H$5:$L$404,MATCH($K23,其他调用!$B$5:$B$404,0),MATCH(BC$5,其他调用!$H$4:$L$4,0))*INDEX(其他调用!$M$5:$M$404,MATCH($K23,其他调用!$B$5:$B$404,0))*0.6</f>
        <v>1.8075875327999997</v>
      </c>
      <c r="BD23" s="14">
        <f>INDEX(其他调用!$H$5:$L$404,MATCH($K23,其他调用!$B$5:$B$404,0),MATCH(BD$5,其他调用!$H$4:$L$4,0))*INDEX(其他调用!$M$5:$M$404,MATCH($K23,其他调用!$B$5:$B$404,0))*0.6</f>
        <v>0.26627040000000002</v>
      </c>
      <c r="BE23" s="14">
        <f>INDEX(其他调用!$H$5:$L$404,MATCH($K23,其他调用!$B$5:$B$404,0),MATCH(BE$5,其他调用!$H$4:$L$4,0))*INDEX(其他调用!$M$5:$M$404,MATCH($K23,其他调用!$B$5:$B$404,0))*0.6</f>
        <v>6.1991999999999985E-2</v>
      </c>
      <c r="BF23" s="14">
        <f>IF(OR(BF$5="大R",BF$5="超R"),0,INDEX(其他调用!$H$5:$L$404,MATCH($K23,其他调用!$B$5:$B$404,0),MATCH(BF$5,其他调用!$H$4:$L$4,0))*50*0.4)</f>
        <v>11.711076489028219</v>
      </c>
      <c r="BG23" s="14">
        <f>IF(OR(BG$5="大R",BG$5="超R"),0,INDEX(其他调用!$H$5:$L$404,MATCH($K23,其他调用!$B$5:$B$404,0),MATCH(BG$5,其他调用!$H$4:$L$4,0))*50*0.4)</f>
        <v>7.4206918309717835</v>
      </c>
      <c r="BH23" s="14">
        <f>IF(OR(BH$5="大R",BH$5="超R"),0,INDEX(其他调用!$H$5:$L$404,MATCH($K23,其他调用!$B$5:$B$404,0),MATCH(BH$5,其他调用!$H$4:$L$4,0))*50*0.4)</f>
        <v>0.73479168000000006</v>
      </c>
      <c r="BI23" s="14">
        <f>IF(OR(BI$5="大R",BI$5="超R"),0,INDEX(其他调用!$H$5:$L$404,MATCH($K23,其他调用!$B$5:$B$404,0),MATCH(BI$5,其他调用!$H$4:$L$4,0))*50*0.4)</f>
        <v>0</v>
      </c>
      <c r="BJ23" s="14">
        <f>IF(OR(BJ$5="大R",BJ$5="超R"),0,INDEX(其他调用!$H$5:$L$404,MATCH($K23,其他调用!$B$5:$B$404,0),MATCH(BJ$5,其他调用!$H$4:$L$4,0))*50*0.4)</f>
        <v>0</v>
      </c>
      <c r="BL23" s="14">
        <f t="shared" si="103"/>
        <v>18</v>
      </c>
      <c r="BM23" s="14">
        <f t="shared" si="10"/>
        <v>96</v>
      </c>
      <c r="BN23" s="14">
        <f>('疲劳值&amp;地图信息'!$S$10*'疲劳值&amp;地图信息'!$R$10+'疲劳值&amp;地图信息'!$S$11*'疲劳值&amp;地图信息'!$R$11+'疲劳值&amp;地图信息'!$S$12*'疲劳值&amp;地图信息'!$R$12+(BM23-'疲劳值&amp;地图信息'!$S$12-'疲劳值&amp;地图信息'!$S$11-'疲劳值&amp;地图信息'!$S$10)*'疲劳值&amp;地图信息'!$R$13)/BM23</f>
        <v>51.371477246638619</v>
      </c>
      <c r="BO23" s="14">
        <f>INDEX(其他调用!$M$5:$M$404,MATCH(BL23,其他调用!$B$5:$B$404,0))*0.6</f>
        <v>49.199999999999996</v>
      </c>
      <c r="BP23" s="14">
        <f>IF(BO23&gt;SUM('疲劳值&amp;地图信息'!$S$10:$S$12),('疲劳值&amp;地图信息'!$S$10*'疲劳值&amp;地图信息'!$R$10+'疲劳值&amp;地图信息'!$S$11*'疲劳值&amp;地图信息'!$R$11+'疲劳值&amp;地图信息'!$S$12*'疲劳值&amp;地图信息'!$R$12+(BO23-'疲劳值&amp;地图信息'!$S$12-'疲劳值&amp;地图信息'!$S$11-'疲劳值&amp;地图信息'!$S$10)*'疲劳值&amp;地图信息'!$R$13)/BO23,('疲劳值&amp;地图信息'!$S$10*'疲劳值&amp;地图信息'!$R$10+'疲劳值&amp;地图信息'!$S$11*'疲劳值&amp;地图信息'!$R$11+'疲劳值&amp;地图信息'!$S$12*'疲劳值&amp;地图信息'!$R$12+(BO23-'疲劳值&amp;地图信息'!$S$12-'疲劳值&amp;地图信息'!$S$11-'疲劳值&amp;地图信息'!$S$10)*'疲劳值&amp;地图信息'!$R$13)/BO23)</f>
        <v>39.935692885001458</v>
      </c>
      <c r="BQ23" s="14">
        <f t="shared" si="104"/>
        <v>20</v>
      </c>
      <c r="BR23" s="14">
        <f>('疲劳值&amp;地图信息'!$S$10*'疲劳值&amp;地图信息'!$R$10+($BQ23-'疲劳值&amp;地图信息'!$S$10)*'疲劳值&amp;地图信息'!$R$11)/$BQ23</f>
        <v>32.067203015074995</v>
      </c>
      <c r="BW23" s="14" t="s">
        <v>274</v>
      </c>
      <c r="BX23" s="14">
        <v>9000</v>
      </c>
      <c r="BY23" s="14">
        <v>250</v>
      </c>
      <c r="CF23" s="14">
        <v>18</v>
      </c>
      <c r="CG23" s="51">
        <f t="shared" si="11"/>
        <v>3862</v>
      </c>
      <c r="CH23" s="51">
        <f t="shared" si="12"/>
        <v>822</v>
      </c>
      <c r="CI23" s="51">
        <f>INT(SUMPRODUCT($N23:$R23,$BA23:$BE23)/SUM($BA23:$BE23)/10000*$BX$7*$BZ$34/'疲劳值&amp;地图信息'!$R$10*$BY$53)</f>
        <v>2495</v>
      </c>
      <c r="CJ23" s="50">
        <f t="shared" si="13"/>
        <v>0.53795793285972981</v>
      </c>
      <c r="CK23" s="50">
        <f t="shared" si="14"/>
        <v>0.11450062682824906</v>
      </c>
      <c r="CL23" s="50">
        <f t="shared" si="15"/>
        <v>0.34754144031202117</v>
      </c>
      <c r="CM23" s="14">
        <f t="shared" si="16"/>
        <v>3990</v>
      </c>
      <c r="CN23" s="14">
        <f t="shared" si="17"/>
        <v>1025</v>
      </c>
      <c r="CO23" s="14">
        <f>INT(SUMPRODUCT($U23:$Y23,$BA23:$BE23)/SUM($BA23:$BE23)/10000*$BX$7*$BZ$34/'疲劳值&amp;地图信息'!$R$10*$BY$54)</f>
        <v>4077</v>
      </c>
      <c r="CP23" s="50">
        <f t="shared" si="18"/>
        <v>0.43884733831940165</v>
      </c>
      <c r="CQ23" s="50">
        <f t="shared" si="19"/>
        <v>0.11273647162340519</v>
      </c>
      <c r="CR23" s="50">
        <f t="shared" si="20"/>
        <v>0.44841619005719313</v>
      </c>
      <c r="CS23" s="14">
        <f t="shared" si="21"/>
        <v>4258</v>
      </c>
      <c r="CT23" s="14">
        <f t="shared" si="22"/>
        <v>1478</v>
      </c>
      <c r="CU23" s="14">
        <f>INT(SUMPRODUCT($AB23:$AF23,$BA23:$BE23)/SUM($BA23:$BE23)/10000*$BX$7*$BZ$34/'疲劳值&amp;地图信息'!$R$10*$BY$55)</f>
        <v>5509</v>
      </c>
      <c r="CV23" s="50">
        <f t="shared" si="23"/>
        <v>0.37865718096931972</v>
      </c>
      <c r="CW23" s="50">
        <f t="shared" si="24"/>
        <v>0.13143619386393954</v>
      </c>
      <c r="CX23" s="50">
        <f t="shared" si="25"/>
        <v>0.48990662516674077</v>
      </c>
      <c r="CY23" s="14">
        <f t="shared" si="26"/>
        <v>4870</v>
      </c>
      <c r="CZ23" s="14">
        <f t="shared" si="27"/>
        <v>3116</v>
      </c>
      <c r="DA23" s="14">
        <f>INT(SUMPRODUCT($AI23:$AM23,$BA23:$BE23)/SUM($BA23:$BE23)/10000*$BX$7*$BZ$34/'疲劳值&amp;地图信息'!$R$10*$BY$56)</f>
        <v>8293</v>
      </c>
      <c r="DB23" s="50">
        <f t="shared" si="28"/>
        <v>0.29915842496467843</v>
      </c>
      <c r="DC23" s="50">
        <f t="shared" si="29"/>
        <v>0.19141224890963818</v>
      </c>
      <c r="DD23" s="50">
        <f t="shared" si="30"/>
        <v>0.50942932612568337</v>
      </c>
      <c r="DE23" s="14">
        <f t="shared" si="31"/>
        <v>5033</v>
      </c>
      <c r="DF23" s="14">
        <f t="shared" si="32"/>
        <v>7394</v>
      </c>
      <c r="DG23" s="14">
        <f>INT(SUMPRODUCT($AP23:$AT23,$BA23:$BE23)/SUM($BA23:$BE23)/10000*$BX$7*$BZ$34/'疲劳值&amp;地图信息'!$R$10*$BY$57)</f>
        <v>11069</v>
      </c>
      <c r="DH23" s="50">
        <f t="shared" si="33"/>
        <v>0.2142066734763364</v>
      </c>
      <c r="DI23" s="50">
        <f t="shared" si="34"/>
        <v>0.31469186244467146</v>
      </c>
      <c r="DJ23" s="50">
        <f t="shared" si="35"/>
        <v>0.47110146407899217</v>
      </c>
      <c r="DL23" s="14">
        <f t="shared" si="106"/>
        <v>7179</v>
      </c>
      <c r="DM23" s="14">
        <f t="shared" si="107"/>
        <v>9092</v>
      </c>
      <c r="DN23" s="14">
        <f t="shared" si="108"/>
        <v>11245</v>
      </c>
      <c r="DO23" s="14">
        <f t="shared" si="109"/>
        <v>16279</v>
      </c>
      <c r="DP23" s="14">
        <f t="shared" si="110"/>
        <v>23496</v>
      </c>
      <c r="DQ23" s="14">
        <f t="shared" si="111"/>
        <v>398912</v>
      </c>
      <c r="DT23" s="14">
        <f t="shared" si="105"/>
        <v>235575</v>
      </c>
      <c r="DU23" s="50">
        <f t="shared" si="7"/>
        <v>0.37128420282842672</v>
      </c>
      <c r="DW23" s="14">
        <f t="shared" si="36"/>
        <v>634487</v>
      </c>
      <c r="EB23" s="14">
        <v>18</v>
      </c>
      <c r="EC23" s="51">
        <f t="shared" si="37"/>
        <v>6437</v>
      </c>
      <c r="ED23" s="51">
        <f t="shared" si="38"/>
        <v>1371</v>
      </c>
      <c r="EE23" s="51">
        <f>INT(SUMPRODUCT($N23:$R23,$BF23:$BJ23)/SUM($BF23:$BJ23)/10000*$BX$7*$BZ$46/'疲劳值&amp;地图信息'!$R$10*$BY$53)</f>
        <v>334</v>
      </c>
      <c r="EF23" s="50">
        <f t="shared" si="39"/>
        <v>0.79059199213952347</v>
      </c>
      <c r="EG23" s="50">
        <f t="shared" si="40"/>
        <v>0.16838614591009579</v>
      </c>
      <c r="EH23" s="50">
        <f t="shared" si="41"/>
        <v>4.1021861950380739E-2</v>
      </c>
      <c r="EI23" s="51">
        <f t="shared" si="42"/>
        <v>6650</v>
      </c>
      <c r="EJ23" s="51">
        <f t="shared" si="43"/>
        <v>1708</v>
      </c>
      <c r="EK23" s="14">
        <f>INT(SUMPRODUCT($U23:$Y23,$BF23:$BJ23)/SUM($BF23:$BJ23)/10000*$BX$7*$BZ$46/'疲劳值&amp;地图信息'!$R$10*$BY$54)</f>
        <v>546</v>
      </c>
      <c r="EL23" s="50">
        <f t="shared" si="44"/>
        <v>0.74685534591194969</v>
      </c>
      <c r="EM23" s="50">
        <f t="shared" si="45"/>
        <v>0.1918238993710692</v>
      </c>
      <c r="EN23" s="50">
        <f t="shared" si="46"/>
        <v>6.1320754716981132E-2</v>
      </c>
      <c r="EO23" s="51">
        <f t="shared" si="47"/>
        <v>7097</v>
      </c>
      <c r="EP23" s="51">
        <f t="shared" si="48"/>
        <v>2464</v>
      </c>
      <c r="EQ23" s="14">
        <f>INT(SUMPRODUCT($AB23:$AF23,$BF23:$BJ23)/SUM($BF23:$BJ23)/10000*$BX$7*$BZ$46/'疲劳值&amp;地图信息'!$R$10*$BY$55)</f>
        <v>737</v>
      </c>
      <c r="ER23" s="50">
        <f t="shared" si="49"/>
        <v>0.68916294426102154</v>
      </c>
      <c r="ES23" s="50">
        <f t="shared" si="50"/>
        <v>0.23926976111866383</v>
      </c>
      <c r="ET23" s="50">
        <f t="shared" si="51"/>
        <v>7.1567294620314623E-2</v>
      </c>
      <c r="EU23" s="51">
        <f t="shared" si="52"/>
        <v>8117</v>
      </c>
      <c r="EV23" s="51">
        <f t="shared" si="53"/>
        <v>5194</v>
      </c>
      <c r="EW23" s="14">
        <f>INT(SUMPRODUCT($AI23:$AM23,$BF23:$BJ23)/SUM($BF23:$BJ23)/10000*$BX$7*$BZ$46/'疲劳值&amp;地图信息'!$R$10*$BY$56)</f>
        <v>1105</v>
      </c>
      <c r="EX23" s="50">
        <f t="shared" si="54"/>
        <v>0.56305493895671477</v>
      </c>
      <c r="EY23" s="50">
        <f t="shared" si="55"/>
        <v>0.36029411764705882</v>
      </c>
      <c r="EZ23" s="50">
        <f t="shared" si="56"/>
        <v>7.6650943396226412E-2</v>
      </c>
      <c r="FA23" s="51">
        <f t="shared" si="57"/>
        <v>8388</v>
      </c>
      <c r="FB23" s="51">
        <f t="shared" si="58"/>
        <v>12323</v>
      </c>
      <c r="FC23" s="14">
        <f>INT(SUMPRODUCT($AP23:$AT23,$BF23:$BJ23)/SUM($BF23:$BJ23)/10000*$BX$7*$BZ$46/'疲劳值&amp;地图信息'!$R$10*$BY$57)</f>
        <v>1474</v>
      </c>
      <c r="FD23" s="50">
        <f t="shared" si="59"/>
        <v>0.37809330628803245</v>
      </c>
      <c r="FE23" s="50">
        <f t="shared" si="60"/>
        <v>0.55546540455262561</v>
      </c>
      <c r="FF23" s="50">
        <f t="shared" si="61"/>
        <v>6.6441289159341901E-2</v>
      </c>
      <c r="FH23" s="14">
        <f t="shared" si="62"/>
        <v>8142</v>
      </c>
      <c r="FI23" s="14">
        <f t="shared" si="63"/>
        <v>8904</v>
      </c>
      <c r="FJ23" s="14">
        <f t="shared" si="64"/>
        <v>10298</v>
      </c>
      <c r="FK23" s="14">
        <f t="shared" si="65"/>
        <v>14416</v>
      </c>
      <c r="FL23" s="14">
        <f t="shared" si="66"/>
        <v>22185</v>
      </c>
      <c r="FM23" s="14">
        <f t="shared" si="67"/>
        <v>935062</v>
      </c>
      <c r="FP23" s="14">
        <f t="shared" si="68"/>
        <v>334150</v>
      </c>
      <c r="FQ23" s="50">
        <f t="shared" si="8"/>
        <v>0.2632735902276373</v>
      </c>
      <c r="FS23" s="14">
        <f t="shared" si="69"/>
        <v>1269212</v>
      </c>
      <c r="FX23" s="14">
        <v>18</v>
      </c>
      <c r="FY23" s="51">
        <f t="shared" si="70"/>
        <v>9011</v>
      </c>
      <c r="FZ23" s="51">
        <f t="shared" si="71"/>
        <v>1371</v>
      </c>
      <c r="GA23" s="51">
        <f>INT(SUMPRODUCT($N23:$R23,$BF23:$BJ23)/SUM($BF23:$BJ23)/10000*$BX$7*$BZ$46/'疲劳值&amp;地图信息'!$R$10*$BY$53)</f>
        <v>334</v>
      </c>
      <c r="GB23" s="50">
        <f t="shared" si="72"/>
        <v>0.84089212392683832</v>
      </c>
      <c r="GC23" s="50">
        <f t="shared" si="73"/>
        <v>0.12793952967525196</v>
      </c>
      <c r="GD23" s="50">
        <f t="shared" si="74"/>
        <v>3.1168346397909667E-2</v>
      </c>
      <c r="GE23" s="51">
        <f t="shared" si="75"/>
        <v>9311</v>
      </c>
      <c r="GF23" s="51">
        <f t="shared" si="76"/>
        <v>1708</v>
      </c>
      <c r="GG23" s="14">
        <f>INT(SUMPRODUCT($U23:$Y23,$BF23:$BJ23)/SUM($BF23:$BJ23)/10000*$BX$7*$BZ$46/'疲劳值&amp;地图信息'!$R$10*$BY$54)</f>
        <v>546</v>
      </c>
      <c r="GH23" s="50">
        <f t="shared" si="77"/>
        <v>0.80510159965412886</v>
      </c>
      <c r="GI23" s="50">
        <f t="shared" si="78"/>
        <v>0.14768698659749244</v>
      </c>
      <c r="GJ23" s="50">
        <f t="shared" si="79"/>
        <v>4.7211413748378728E-2</v>
      </c>
      <c r="GK23" s="51">
        <f t="shared" si="80"/>
        <v>9937</v>
      </c>
      <c r="GL23" s="51">
        <f t="shared" si="81"/>
        <v>2464</v>
      </c>
      <c r="GM23" s="14">
        <f>INT(SUMPRODUCT($AB23:$AF23,$BF23:$BJ23)/SUM($BF23:$BJ23)/10000*$BX$7*$BZ$46/'疲劳值&amp;地图信息'!$R$10*$BY$55)</f>
        <v>737</v>
      </c>
      <c r="GN23" s="50">
        <f t="shared" si="82"/>
        <v>0.7563556096818389</v>
      </c>
      <c r="GO23" s="50">
        <f t="shared" si="83"/>
        <v>0.18754757192875629</v>
      </c>
      <c r="GP23" s="50">
        <f t="shared" si="84"/>
        <v>5.6096818389404779E-2</v>
      </c>
      <c r="GQ23" s="51">
        <f t="shared" si="85"/>
        <v>11364</v>
      </c>
      <c r="GR23" s="51">
        <f t="shared" si="86"/>
        <v>5194</v>
      </c>
      <c r="GS23" s="14">
        <f>INT(SUMPRODUCT($AI23:$AM23,$BF23:$BJ23)/SUM($BF23:$BJ23)/10000*$BX$7*$BZ$46/'疲劳值&amp;地图信息'!$R$10*$BY$56)</f>
        <v>1105</v>
      </c>
      <c r="GT23" s="50">
        <f t="shared" si="87"/>
        <v>0.64337881447092793</v>
      </c>
      <c r="GU23" s="50">
        <f t="shared" si="88"/>
        <v>0.29406103153484686</v>
      </c>
      <c r="GV23" s="50">
        <f t="shared" si="89"/>
        <v>6.2560153994225223E-2</v>
      </c>
      <c r="GW23" s="51">
        <f t="shared" si="90"/>
        <v>11744</v>
      </c>
      <c r="GX23" s="51">
        <f t="shared" si="91"/>
        <v>12323</v>
      </c>
      <c r="GY23" s="14">
        <f>INT(SUMPRODUCT($AP23:$AT23,$BF23:$BJ23)/SUM($BF23:$BJ23)/10000*$BX$7*$BZ$46/'疲劳值&amp;地图信息'!$R$10*$BY$57)</f>
        <v>1474</v>
      </c>
      <c r="GZ23" s="50">
        <f t="shared" si="92"/>
        <v>0.45980971770878198</v>
      </c>
      <c r="HA23" s="50">
        <f t="shared" si="93"/>
        <v>0.48247915116870915</v>
      </c>
      <c r="HB23" s="50">
        <f t="shared" si="94"/>
        <v>5.7711131122508905E-2</v>
      </c>
      <c r="HD23" s="14">
        <f t="shared" si="95"/>
        <v>10716</v>
      </c>
      <c r="HE23" s="14">
        <f t="shared" si="96"/>
        <v>11565</v>
      </c>
      <c r="HF23" s="14">
        <f t="shared" si="97"/>
        <v>13138</v>
      </c>
      <c r="HG23" s="14">
        <f t="shared" si="98"/>
        <v>17663</v>
      </c>
      <c r="HH23" s="14">
        <f t="shared" si="99"/>
        <v>25541</v>
      </c>
      <c r="HI23" s="14">
        <f t="shared" si="100"/>
        <v>1213354</v>
      </c>
      <c r="HL23" s="14">
        <f t="shared" si="101"/>
        <v>430050</v>
      </c>
      <c r="HM23" s="50">
        <f t="shared" si="9"/>
        <v>0.26168245909100868</v>
      </c>
      <c r="HO23" s="14">
        <f t="shared" si="102"/>
        <v>1643404</v>
      </c>
    </row>
    <row r="24" spans="3:223" x14ac:dyDescent="0.2">
      <c r="C24" s="1" t="s">
        <v>419</v>
      </c>
      <c r="K24" s="14">
        <v>19</v>
      </c>
      <c r="L24" s="12">
        <f>求节点(节奏总纲!D$4:D$163,标准城池设计!AB$4:AB$163,$K24)*求节点(节奏总纲!D$4:D$163,攻城基础信息!$AC$5:$AC$164,$K24)</f>
        <v>176756.86156376972</v>
      </c>
      <c r="M24" s="12">
        <f>INDEX(其他调用!$AA$5:$AA$404,MATCH(K24,其他调用!$X$5:$X$404,0))*MIN(INDEX(其他调用!$AH$5:$AH$364,MATCH('征服点（新）'!K24,其他调用!$AG$5:$AG$364,0),1)/INDEX(其他调用!$AJ$5:$AJ$364,MATCH(K24,其他调用!$AG$5:$AG$364,0),0),5)*求节点(节奏总纲!D$4:D$163,攻城基础信息!$AC$5:$AC$164,$K24)</f>
        <v>37223.058021318866</v>
      </c>
      <c r="N24" s="12">
        <f>MIN(INDEX(其他调用!$AH$5:$AH$364,MATCH($K24,其他调用!$AG$5:$AG$364,0),1)/INDEX(其他调用!AH$5:AH$364,MATCH($K24,其他调用!$AG$5:$AG$364,0),0),1)*INDEX(其他调用!Y$5:Y$404,MATCH($K24,其他调用!$X$5:$X$404,0),0)</f>
        <v>27050.627046374069</v>
      </c>
      <c r="O24" s="12">
        <f>MIN(INDEX(其他调用!$AH$5:$AH$364,MATCH($K24,其他调用!$AG$5:$AG$364,0),1)/INDEX(其他调用!AI$5:AI$364,MATCH($K24,其他调用!$AG$5:$AG$364,0),0),1)*INDEX(其他调用!Z$5:Z$404,MATCH($K24,其他调用!$X$5:$X$404,0),0)</f>
        <v>22514.044637887804</v>
      </c>
      <c r="P24" s="12">
        <f>MIN(INDEX(其他调用!$AH$5:$AH$364,MATCH($K24,其他调用!$AG$5:$AG$364,0),1)/INDEX(其他调用!AJ$5:AJ$364,MATCH($K24,其他调用!$AG$5:$AG$364,0),0),1)*INDEX(其他调用!AA$5:AA$404,MATCH($K24,其他调用!$X$5:$X$404,0),0)</f>
        <v>16370.56589959902</v>
      </c>
      <c r="Q24" s="12">
        <f>MIN(INDEX(其他调用!$AH$5:$AH$364,MATCH($K24,其他调用!$AG$5:$AG$364,0),1)/INDEX(其他调用!AK$5:AK$364,MATCH($K24,其他调用!$AG$5:$AG$364,0),0),1)*INDEX(其他调用!AB$5:AB$404,MATCH($K24,其他调用!$X$5:$X$404,0),0)</f>
        <v>8145.8461307951929</v>
      </c>
      <c r="R24" s="12">
        <f>MIN(INDEX(其他调用!$AH$5:$AH$364,MATCH($K24,其他调用!$AG$5:$AG$364,0),1)/INDEX(其他调用!AL$5:AL$364,MATCH($K24,其他调用!$AG$5:$AG$364,0),0),1)*INDEX(其他调用!AC$5:AC$404,MATCH($K24,其他调用!$X$5:$X$404,0),0)</f>
        <v>2885.4666951732434</v>
      </c>
      <c r="S24" s="12">
        <f>求节点(节奏总纲!D$4:D$163,标准城池设计!AC$4:AC$163,$K24)*求节点(节奏总纲!D$4:D$163,攻城基础信息!$AD$5:$AD$164,$K24)</f>
        <v>182179.23735453773</v>
      </c>
      <c r="T24" s="12">
        <f>INDEX(其他调用!$AA$5:$AA$404,MATCH($K24,其他调用!$X$5:$X$404,0))*MIN(INDEX(其他调用!AI$5:AI$364,MATCH($K24,其他调用!$AG$5:$AG$364,0),1)/INDEX(其他调用!$AJ$5:$AJ$364,MATCH($K24,其他调用!$AG$5:$AG$364,0),0),5)*求节点(节奏总纲!D$4:D$163,攻城基础信息!$AD$5:$AD$164,$K24)</f>
        <v>46446.649625538499</v>
      </c>
      <c r="U24" s="12">
        <f>MIN(INDEX(其他调用!$AI$5:$AI$364,MATCH($K24,其他调用!$AG$5:$AG$364,0),1)/INDEX(其他调用!AH$5:AH$364,MATCH($K24,其他调用!$AG$5:$AG$364,0),0),1)*INDEX(其他调用!Y$5:Y$404,MATCH($K24,其他调用!$X$5:$X$404,0),0)</f>
        <v>27050.627046374069</v>
      </c>
      <c r="V24" s="12">
        <f>MIN(INDEX(其他调用!$AI$5:$AI$364,MATCH($K24,其他调用!$AG$5:$AG$364,0),1)/INDEX(其他调用!AI$5:AI$364,MATCH($K24,其他调用!$AG$5:$AG$364,0),0),1)*INDEX(其他调用!Z$5:Z$404,MATCH($K24,其他调用!$X$5:$X$404,0),0)</f>
        <v>28092.854228978194</v>
      </c>
      <c r="W24" s="12">
        <f>MIN(INDEX(其他调用!$AI$5:$AI$364,MATCH($K24,其他调用!$AG$5:$AG$364,0),1)/INDEX(其他调用!AJ$5:AJ$364,MATCH($K24,其他调用!$AG$5:$AG$364,0),0),1)*INDEX(其他调用!AA$5:AA$404,MATCH($K24,其他调用!$X$5:$X$404,0),0)</f>
        <v>20427.068030654067</v>
      </c>
      <c r="X24" s="12">
        <f>MIN(INDEX(其他调用!$AI$5:$AI$364,MATCH($K24,其他调用!$AG$5:$AG$364,0),1)/INDEX(其他调用!AK$5:AK$364,MATCH($K24,其他调用!$AG$5:$AG$364,0),0),1)*INDEX(其他调用!AB$5:AB$404,MATCH($K24,其他调用!$X$5:$X$404,0),0)</f>
        <v>10164.325051528567</v>
      </c>
      <c r="Y24" s="12">
        <f>MIN(INDEX(其他调用!$AI$5:$AI$364,MATCH($K24,其他调用!$AG$5:$AG$364,0),1)/INDEX(其他调用!AL$5:AL$364,MATCH($K24,其他调用!$AG$5:$AG$364,0),0),1)*INDEX(其他调用!AC$5:AC$404,MATCH($K24,其他调用!$X$5:$X$404,0),0)</f>
        <v>3600.4634686412469</v>
      </c>
      <c r="Z24" s="12">
        <f>求节点(节奏总纲!D$4:D$163,标准城池设计!AD$4:AD$163,$K24)*求节点(节奏总纲!D$4:D$163,攻城基础信息!$AE$5:$AE$164,$K24)</f>
        <v>194646.64747923499</v>
      </c>
      <c r="AA24" s="12">
        <f>INDEX(其他调用!$AA$5:$AA$404,MATCH($K24,其他调用!$X$5:$X$404,0))*MIN(INDEX(其他调用!AJ$5:AJ$364,MATCH($K24,其他调用!$AG$5:$AG$364,0),1)/INDEX(其他调用!$AJ$5:$AJ$364,MATCH($K24,其他调用!$AG$5:$AG$364,0),0),5)*求节点(节奏总纲!D$4:D$163,攻城基础信息!$AE$5:$AE$164,$K24)</f>
        <v>67003.111902698787</v>
      </c>
      <c r="AB24" s="12">
        <f>MIN(INDEX(其他调用!$AJ$5:$AJ$364,MATCH($K24,其他调用!$AG$5:$AG$364,0),1)/INDEX(其他调用!AH$5:AH$364,MATCH($K24,其他调用!$AG$5:$AG$364,0),0),1)*INDEX(其他调用!Y$5:Y$404,MATCH($K24,其他调用!$X$5:$X$404,0),0)</f>
        <v>27050.627046374069</v>
      </c>
      <c r="AC24" s="12">
        <f>MIN(INDEX(其他调用!$AJ$5:$AJ$364,MATCH($K24,其他调用!$AG$5:$AG$364,0),1)/INDEX(其他调用!AI$5:AI$364,MATCH($K24,其他调用!$AG$5:$AG$364,0),0),1)*INDEX(其他调用!Z$5:Z$404,MATCH($K24,其他调用!$X$5:$X$404,0),0)</f>
        <v>28092.854228978194</v>
      </c>
      <c r="AD24" s="12">
        <f>MIN(INDEX(其他调用!$AJ$5:$AJ$364,MATCH($K24,其他调用!$AG$5:$AG$364,0),1)/INDEX(其他调用!AJ$5:AJ$364,MATCH($K24,其他调用!$AG$5:$AG$364,0),0),1)*INDEX(其他调用!AA$5:AA$404,MATCH($K24,其他调用!$X$5:$X$404,0),0)</f>
        <v>29467.725576257581</v>
      </c>
      <c r="AE24" s="12">
        <f>MIN(INDEX(其他调用!$AJ$5:$AJ$364,MATCH($K24,其他调用!$AG$5:$AG$364,0),1)/INDEX(其他调用!AK$5:AK$364,MATCH($K24,其他调用!$AG$5:$AG$364,0),0),1)*INDEX(其他调用!AB$5:AB$404,MATCH($K24,其他调用!$X$5:$X$404,0),0)</f>
        <v>14662.874810856227</v>
      </c>
      <c r="AF24" s="12">
        <f>MIN(INDEX(其他调用!$AJ$5:$AJ$364,MATCH($K24,其他调用!$AG$5:$AG$364,0),1)/INDEX(其他调用!AL$5:AL$364,MATCH($K24,其他调用!$AG$5:$AG$364,0),0),1)*INDEX(其他调用!AC$5:AC$404,MATCH($K24,其他调用!$X$5:$X$404,0),0)</f>
        <v>5193.9646591495475</v>
      </c>
      <c r="AG24" s="12">
        <f>求节点(节奏总纲!D$4:D$163,标准城池设计!AE$4:AE$163,$K24)*求节点(节奏总纲!D$4:D$163,攻城基础信息!$AF$5:$AF$164,$K24)</f>
        <v>223632.06848640105</v>
      </c>
      <c r="AH24" s="12">
        <f>INDEX(其他调用!$AA$5:$AA$404,MATCH($K24,其他调用!$X$5:$X$404,0))*MIN(INDEX(其他调用!AK$5:AK$364,MATCH($K24,其他调用!$AG$5:$AG$364,0),1)/INDEX(其他调用!$AJ$5:$AJ$364,MATCH($K24,其他调用!$AG$5:$AG$364,0),0),5)*求节点(节奏总纲!D$4:D$163,攻城基础信息!$AF$5:$AF$164,$K24)</f>
        <v>143904.71931778113</v>
      </c>
      <c r="AI24" s="12">
        <f>MIN(INDEX(其他调用!$AK$5:$AK$364,MATCH($K24,其他调用!$AG$5:$AG$364,0),1)/INDEX(其他调用!AH$5:AH$364,MATCH($K24,其他调用!$AG$5:$AG$364,0),0),1)*INDEX(其他调用!Y$5:Y$404,MATCH($K24,其他调用!$X$5:$X$404,0),0)</f>
        <v>27050.627046374069</v>
      </c>
      <c r="AJ24" s="12">
        <f>MIN(INDEX(其他调用!$AK$5:$AK$364,MATCH($K24,其他调用!$AG$5:$AG$364,0),1)/INDEX(其他调用!AI$5:AI$364,MATCH($K24,其他调用!$AG$5:$AG$364,0),0),1)*INDEX(其他调用!Z$5:Z$404,MATCH($K24,其他调用!$X$5:$X$404,0),0)</f>
        <v>28092.854228978194</v>
      </c>
      <c r="AK24" s="12">
        <f>MIN(INDEX(其他调用!$AK$5:$AK$364,MATCH($K24,其他调用!$AG$5:$AG$364,0),1)/INDEX(其他调用!AJ$5:AJ$364,MATCH($K24,其他调用!$AG$5:$AG$364,0),0),1)*INDEX(其他调用!AA$5:AA$404,MATCH($K24,其他调用!$X$5:$X$404,0),0)</f>
        <v>29467.725576257581</v>
      </c>
      <c r="AL24" s="12">
        <f>MIN(INDEX(其他调用!$AK$5:$AK$364,MATCH($K24,其他调用!$AG$5:$AG$364,0),1)/INDEX(其他调用!AK$5:AK$364,MATCH($K24,其他调用!$AG$5:$AG$364,0),0),1)*INDEX(其他调用!AB$5:AB$404,MATCH($K24,其他调用!$X$5:$X$404,0),0)</f>
        <v>31491.923645460385</v>
      </c>
      <c r="AM24" s="12">
        <f>MIN(INDEX(其他调用!$AK$5:$AK$364,MATCH($K24,其他调用!$AG$5:$AG$364,0),1)/INDEX(其他调用!AL$5:AL$364,MATCH($K24,其他调用!$AG$5:$AG$364,0),0),1)*INDEX(其他调用!AC$5:AC$404,MATCH($K24,其他调用!$X$5:$X$404,0),0)</f>
        <v>11155.243468494551</v>
      </c>
      <c r="AN24" s="12">
        <f>求节点(节奏总纲!D$4:D$163,标准城池设计!AF$4:AF$163,$K24)*求节点(节奏总纲!D$4:D$163,攻城基础信息!$AG$5:$AG$164,$K24)</f>
        <v>230991.5601305968</v>
      </c>
      <c r="AO24" s="12">
        <f>INDEX(其他调用!$AA$5:$AA$404,MATCH($K24,其他调用!$X$5:$X$404,0))*MIN(INDEX(其他调用!AL$5:AL$364,MATCH($K24,其他调用!$AG$5:$AG$364,0),1)/INDEX(其他调用!$AJ$5:$AJ$364,MATCH($K24,其他调用!$AG$5:$AG$364,0),0),5)*求节点(节奏总纲!D$4:D$163,攻城基础信息!$AG$5:$AG$164,$K24)</f>
        <v>335015.55951349391</v>
      </c>
      <c r="AP24" s="12">
        <f>MIN(INDEX(其他调用!$AL$5:$AL$364,MATCH($K24,其他调用!$AG$5:$AG$364,0),1)/INDEX(其他调用!AH$5:AH$364,MATCH($K24,其他调用!$AG$5:$AG$364,0),0),1)*INDEX(其他调用!Y$5:Y$404,MATCH($K24,其他调用!$X$5:$X$404,0),0)</f>
        <v>27050.627046374069</v>
      </c>
      <c r="AQ24" s="12">
        <f>MIN(INDEX(其他调用!$AL$5:$AL$364,MATCH($K24,其他调用!$AG$5:$AG$364,0),1)/INDEX(其他调用!AI$5:AI$364,MATCH($K24,其他调用!$AG$5:$AG$364,0),0),1)*INDEX(其他调用!Z$5:Z$404,MATCH($K24,其他调用!$X$5:$X$404,0),0)</f>
        <v>28092.854228978194</v>
      </c>
      <c r="AR24" s="12">
        <f>MIN(INDEX(其他调用!$AL$5:$AL$364,MATCH($K24,其他调用!$AG$5:$AG$364,0),1)/INDEX(其他调用!AJ$5:AJ$364,MATCH($K24,其他调用!$AG$5:$AG$364,0),0),1)*INDEX(其他调用!AA$5:AA$404,MATCH($K24,其他调用!$X$5:$X$404,0),0)</f>
        <v>29467.725576257581</v>
      </c>
      <c r="AS24" s="12">
        <f>MIN(INDEX(其他调用!$AL$5:$AL$364,MATCH($K24,其他调用!$AG$5:$AG$364,0),1)/INDEX(其他调用!AK$5:AK$364,MATCH($K24,其他调用!$AG$5:$AG$364,0),0),1)*INDEX(其他调用!AB$5:AB$404,MATCH($K24,其他调用!$X$5:$X$404,0),0)</f>
        <v>31491.923645460385</v>
      </c>
      <c r="AT24" s="12">
        <f>MIN(INDEX(其他调用!$AL$5:$AL$364,MATCH($K24,其他调用!$AG$5:$AG$364,0),1)/INDEX(其他调用!AL$5:AL$364,MATCH($K24,其他调用!$AG$5:$AG$364,0),0),1)*INDEX(其他调用!AC$5:AC$404,MATCH($K24,其他调用!$X$5:$X$404,0),0)</f>
        <v>35213.785611332991</v>
      </c>
      <c r="AV24" s="14">
        <f>IF(OR(AV$5="大R",AV$5="超R"),MAX(INDEX(其他调用!$H$5:$L$404,MATCH($K24,其他调用!$B$5:$B$404,0),MATCH(AV$5,其他调用!$H$4:$L$4,0))*120*0.85,2),INDEX(其他调用!$H$5:$L$404,MATCH($K24,其他调用!$B$5:$B$404,0),MATCH(AV$5,其他调用!$H$4:$L$4,0))*120*0.85)</f>
        <v>59.312159858934194</v>
      </c>
      <c r="AW24" s="14">
        <f>IF(OR(AW$5="大R",AW$5="超R"),MAX(INDEX(其他调用!$H$5:$L$404,MATCH($K24,其他调用!$B$5:$B$404,0),MATCH(AW$5,其他调用!$H$4:$L$4,0))*120*0.85,2),INDEX(其他调用!$H$5:$L$404,MATCH($K24,其他调用!$B$5:$B$404,0),MATCH(AW$5,其他调用!$H$4:$L$4,0))*120*0.85)</f>
        <v>38.250301581065806</v>
      </c>
      <c r="AX24" s="14">
        <f>IF(OR(AX$5="大R",AX$5="超R"),MAX(INDEX(其他调用!$H$5:$L$404,MATCH($K24,其他调用!$B$5:$B$404,0),MATCH(AX$5,其他调用!$H$4:$L$4,0))*120*0.85,2),INDEX(其他调用!$H$5:$L$404,MATCH($K24,其他调用!$B$5:$B$404,0),MATCH(AX$5,其他调用!$H$4:$L$4,0))*120*0.85)</f>
        <v>3.7520985599999999</v>
      </c>
      <c r="AY24" s="14">
        <f>IF(OR(AY$5="大R",AY$5="超R"),MAX(INDEX(其他调用!$H$5:$L$404,MATCH($K24,其他调用!$B$5:$B$404,0),MATCH(AY$5,其他调用!$H$4:$L$4,0))*120*0.85,2),INDEX(其他调用!$H$5:$L$404,MATCH($K24,其他调用!$B$5:$B$404,0),MATCH(AY$5,其他调用!$H$4:$L$4,0))*120*0.85)</f>
        <v>2</v>
      </c>
      <c r="AZ24" s="14">
        <f>IF(OR(AZ$5="大R",AZ$5="超R"),MAX(INDEX(其他调用!$H$5:$L$404,MATCH($K24,其他调用!$B$5:$B$404,0),MATCH(AZ$5,其他调用!$H$4:$L$4,0))*120*0.85,2),INDEX(其他调用!$H$5:$L$404,MATCH($K24,其他调用!$B$5:$B$404,0),MATCH(AZ$5,其他调用!$H$4:$L$4,0))*120*0.85)</f>
        <v>2</v>
      </c>
      <c r="BA24" s="14">
        <f>INDEX(其他调用!$H$5:$L$404,MATCH($K24,其他调用!$B$5:$B$404,0),MATCH(BA$5,其他调用!$H$4:$L$4,0))*INDEX(其他调用!$M$5:$M$404,MATCH($K24,其他调用!$B$5:$B$404,0))*0.6</f>
        <v>28.775535259292443</v>
      </c>
      <c r="BB24" s="14">
        <f>INDEX(其他调用!$H$5:$L$404,MATCH($K24,其他调用!$B$5:$B$404,0),MATCH(BB$5,其他调用!$H$4:$L$4,0))*INDEX(其他调用!$M$5:$M$404,MATCH($K24,其他调用!$B$5:$B$404,0))*0.6</f>
        <v>18.557289170421843</v>
      </c>
      <c r="BC24" s="14">
        <f>INDEX(其他调用!$H$5:$L$404,MATCH($K24,其他调用!$B$5:$B$404,0),MATCH(BC$5,其他调用!$H$4:$L$4,0))*INDEX(其他调用!$M$5:$M$404,MATCH($K24,其他调用!$B$5:$B$404,0))*0.6</f>
        <v>1.8203458560000003</v>
      </c>
      <c r="BD24" s="14">
        <f>INDEX(其他调用!$H$5:$L$404,MATCH($K24,其他调用!$B$5:$B$404,0),MATCH(BD$5,其他调用!$H$4:$L$4,0))*INDEX(其他调用!$M$5:$M$404,MATCH($K24,其他调用!$B$5:$B$404,0))*0.6</f>
        <v>0.26944971428571435</v>
      </c>
      <c r="BE24" s="14">
        <f>INDEX(其他调用!$H$5:$L$404,MATCH($K24,其他调用!$B$5:$B$404,0),MATCH(BE$5,其他调用!$H$4:$L$4,0))*INDEX(其他调用!$M$5:$M$404,MATCH($K24,其他调用!$B$5:$B$404,0))*0.6</f>
        <v>6.3094285714285714E-2</v>
      </c>
      <c r="BF24" s="14">
        <f>IF(OR(BF$5="大R",BF$5="超R"),0,INDEX(其他调用!$H$5:$L$404,MATCH($K24,其他调用!$B$5:$B$404,0),MATCH(BF$5,其他调用!$H$4:$L$4,0))*50*0.4)</f>
        <v>11.629835266457684</v>
      </c>
      <c r="BG24" s="14">
        <f>IF(OR(BG$5="大R",BG$5="超R"),0,INDEX(其他调用!$H$5:$L$404,MATCH($K24,其他调用!$B$5:$B$404,0),MATCH(BG$5,其他调用!$H$4:$L$4,0))*50*0.4)</f>
        <v>7.5000591335423152</v>
      </c>
      <c r="BH24" s="14">
        <f>IF(OR(BH$5="大R",BH$5="超R"),0,INDEX(其他调用!$H$5:$L$404,MATCH($K24,其他调用!$B$5:$B$404,0),MATCH(BH$5,其他调用!$H$4:$L$4,0))*50*0.4)</f>
        <v>0.73570560000000018</v>
      </c>
      <c r="BI24" s="14">
        <f>IF(OR(BI$5="大R",BI$5="超R"),0,INDEX(其他调用!$H$5:$L$404,MATCH($K24,其他调用!$B$5:$B$404,0),MATCH(BI$5,其他调用!$H$4:$L$4,0))*50*0.4)</f>
        <v>0</v>
      </c>
      <c r="BJ24" s="14">
        <f>IF(OR(BJ$5="大R",BJ$5="超R"),0,INDEX(其他调用!$H$5:$L$404,MATCH($K24,其他调用!$B$5:$B$404,0),MATCH(BJ$5,其他调用!$H$4:$L$4,0))*50*0.4)</f>
        <v>0</v>
      </c>
      <c r="BL24" s="14">
        <f t="shared" si="103"/>
        <v>19</v>
      </c>
      <c r="BM24" s="14">
        <f t="shared" si="10"/>
        <v>96</v>
      </c>
      <c r="BN24" s="14">
        <f>('疲劳值&amp;地图信息'!$S$10*'疲劳值&amp;地图信息'!$R$10+'疲劳值&amp;地图信息'!$S$11*'疲劳值&amp;地图信息'!$R$11+'疲劳值&amp;地图信息'!$S$12*'疲劳值&amp;地图信息'!$R$12+(BM24-'疲劳值&amp;地图信息'!$S$12-'疲劳值&amp;地图信息'!$S$11-'疲劳值&amp;地图信息'!$S$10)*'疲劳值&amp;地图信息'!$R$13)/BM24</f>
        <v>51.371477246638619</v>
      </c>
      <c r="BO24" s="14">
        <f>INDEX(其他调用!$M$5:$M$404,MATCH(BL24,其他调用!$B$5:$B$404,0))*0.6</f>
        <v>49.485714285714288</v>
      </c>
      <c r="BP24" s="14">
        <f>IF(BO24&gt;SUM('疲劳值&amp;地图信息'!$S$10:$S$12),('疲劳值&amp;地图信息'!$S$10*'疲劳值&amp;地图信息'!$R$10+'疲劳值&amp;地图信息'!$S$11*'疲劳值&amp;地图信息'!$R$11+'疲劳值&amp;地图信息'!$S$12*'疲劳值&amp;地图信息'!$R$12+(BO24-'疲劳值&amp;地图信息'!$S$12-'疲劳值&amp;地图信息'!$S$11-'疲劳值&amp;地图信息'!$S$10)*'疲劳值&amp;地图信息'!$R$13)/BO24,('疲劳值&amp;地图信息'!$S$10*'疲劳值&amp;地图信息'!$R$10+'疲劳值&amp;地图信息'!$S$11*'疲劳值&amp;地图信息'!$R$11+'疲劳值&amp;地图信息'!$S$12*'疲劳值&amp;地图信息'!$R$12+(BO24-'疲劳值&amp;地图信息'!$S$12-'疲劳值&amp;地图信息'!$S$11-'疲劳值&amp;地图信息'!$S$10)*'疲劳值&amp;地图信息'!$R$13)/BO24)</f>
        <v>40.071131794951569</v>
      </c>
      <c r="BQ24" s="14">
        <f t="shared" si="104"/>
        <v>20</v>
      </c>
      <c r="BR24" s="14">
        <f>('疲劳值&amp;地图信息'!$S$10*'疲劳值&amp;地图信息'!$R$10+($BQ24-'疲劳值&amp;地图信息'!$S$10)*'疲劳值&amp;地图信息'!$R$11)/$BQ24</f>
        <v>32.067203015074995</v>
      </c>
      <c r="BW24" s="14" t="s">
        <v>275</v>
      </c>
      <c r="BX24" s="14">
        <v>9000</v>
      </c>
      <c r="BY24" s="14">
        <v>250</v>
      </c>
      <c r="CF24" s="14">
        <v>19</v>
      </c>
      <c r="CG24" s="51">
        <f t="shared" si="11"/>
        <v>3969</v>
      </c>
      <c r="CH24" s="51">
        <f t="shared" si="12"/>
        <v>836</v>
      </c>
      <c r="CI24" s="51">
        <f>INT(SUMPRODUCT($N24:$R24,$BA24:$BE24)/SUM($BA24:$BE24)/10000*$BX$7*$BZ$34/'疲劳值&amp;地图信息'!$R$10*$BY$53)</f>
        <v>2518</v>
      </c>
      <c r="CJ24" s="50">
        <f t="shared" si="13"/>
        <v>0.54199098730028672</v>
      </c>
      <c r="CK24" s="50">
        <f t="shared" si="14"/>
        <v>0.11416086303427557</v>
      </c>
      <c r="CL24" s="50">
        <f t="shared" si="15"/>
        <v>0.34384814966543764</v>
      </c>
      <c r="CM24" s="14">
        <f t="shared" si="16"/>
        <v>4091</v>
      </c>
      <c r="CN24" s="14">
        <f t="shared" si="17"/>
        <v>1043</v>
      </c>
      <c r="CO24" s="14">
        <f>INT(SUMPRODUCT($U24:$Y24,$BA24:$BE24)/SUM($BA24:$BE24)/10000*$BX$7*$BZ$34/'疲劳值&amp;地图信息'!$R$10*$BY$54)</f>
        <v>4120</v>
      </c>
      <c r="CP24" s="50">
        <f t="shared" si="18"/>
        <v>0.44207910092932784</v>
      </c>
      <c r="CQ24" s="50">
        <f t="shared" si="19"/>
        <v>0.11270801815431165</v>
      </c>
      <c r="CR24" s="50">
        <f t="shared" si="20"/>
        <v>0.44521288091636047</v>
      </c>
      <c r="CS24" s="14">
        <f t="shared" si="21"/>
        <v>4371</v>
      </c>
      <c r="CT24" s="14">
        <f t="shared" si="22"/>
        <v>1504</v>
      </c>
      <c r="CU24" s="14">
        <f>INT(SUMPRODUCT($AB24:$AF24,$BA24:$BE24)/SUM($BA24:$BE24)/10000*$BX$7*$BZ$34/'疲劳值&amp;地图信息'!$R$10*$BY$55)</f>
        <v>5567</v>
      </c>
      <c r="CV24" s="50">
        <f t="shared" si="23"/>
        <v>0.38201363398007343</v>
      </c>
      <c r="CW24" s="50">
        <f t="shared" si="24"/>
        <v>0.13144555147701451</v>
      </c>
      <c r="CX24" s="50">
        <f t="shared" si="25"/>
        <v>0.48654081454291209</v>
      </c>
      <c r="CY24" s="14">
        <f t="shared" si="26"/>
        <v>5022</v>
      </c>
      <c r="CZ24" s="14">
        <f t="shared" si="27"/>
        <v>3232</v>
      </c>
      <c r="DA24" s="14">
        <f>INT(SUMPRODUCT($AI24:$AM24,$BA24:$BE24)/SUM($BA24:$BE24)/10000*$BX$7*$BZ$34/'疲劳值&amp;地图信息'!$R$10*$BY$56)</f>
        <v>8381</v>
      </c>
      <c r="DB24" s="50">
        <f t="shared" si="28"/>
        <v>0.30189359783588821</v>
      </c>
      <c r="DC24" s="50">
        <f t="shared" si="29"/>
        <v>0.19428914938382927</v>
      </c>
      <c r="DD24" s="50">
        <f t="shared" si="30"/>
        <v>0.50381725278028255</v>
      </c>
      <c r="DE24" s="14">
        <f t="shared" si="31"/>
        <v>5188</v>
      </c>
      <c r="DF24" s="14">
        <f t="shared" si="32"/>
        <v>7524</v>
      </c>
      <c r="DG24" s="14">
        <f>INT(SUMPRODUCT($AP24:$AT24,$BA24:$BE24)/SUM($BA24:$BE24)/10000*$BX$7*$BZ$34/'疲劳值&amp;地图信息'!$R$10*$BY$57)</f>
        <v>11187</v>
      </c>
      <c r="DH24" s="50">
        <f t="shared" si="33"/>
        <v>0.21708021256119503</v>
      </c>
      <c r="DI24" s="50">
        <f t="shared" si="34"/>
        <v>0.31482488807063058</v>
      </c>
      <c r="DJ24" s="50">
        <f t="shared" si="35"/>
        <v>0.46809489936817439</v>
      </c>
      <c r="DL24" s="14">
        <f t="shared" si="106"/>
        <v>7323</v>
      </c>
      <c r="DM24" s="14">
        <f t="shared" si="107"/>
        <v>9254</v>
      </c>
      <c r="DN24" s="14">
        <f t="shared" si="108"/>
        <v>11442</v>
      </c>
      <c r="DO24" s="14">
        <f t="shared" si="109"/>
        <v>16635</v>
      </c>
      <c r="DP24" s="14">
        <f t="shared" si="110"/>
        <v>23899</v>
      </c>
      <c r="DQ24" s="14">
        <f t="shared" si="111"/>
        <v>409270</v>
      </c>
      <c r="DT24" s="14">
        <f t="shared" si="105"/>
        <v>235575</v>
      </c>
      <c r="DU24" s="50">
        <f t="shared" si="7"/>
        <v>0.36532034830075444</v>
      </c>
      <c r="DW24" s="14">
        <f t="shared" si="36"/>
        <v>644845</v>
      </c>
      <c r="EB24" s="14">
        <v>19</v>
      </c>
      <c r="EC24" s="51">
        <f t="shared" si="37"/>
        <v>6616</v>
      </c>
      <c r="ED24" s="51">
        <f t="shared" si="38"/>
        <v>1393</v>
      </c>
      <c r="EE24" s="51">
        <f>INT(SUMPRODUCT($N24:$R24,$BF24:$BJ24)/SUM($BF24:$BJ24)/10000*$BX$7*$BZ$46/'疲劳值&amp;地图信息'!$R$10*$BY$53)</f>
        <v>337</v>
      </c>
      <c r="EF24" s="50">
        <f t="shared" si="39"/>
        <v>0.79271507308890488</v>
      </c>
      <c r="EG24" s="50">
        <f t="shared" si="40"/>
        <v>0.16690630242032112</v>
      </c>
      <c r="EH24" s="50">
        <f t="shared" si="41"/>
        <v>4.037862449077402E-2</v>
      </c>
      <c r="EI24" s="51">
        <f t="shared" si="42"/>
        <v>6819</v>
      </c>
      <c r="EJ24" s="51">
        <f t="shared" si="43"/>
        <v>1738</v>
      </c>
      <c r="EK24" s="14">
        <f>INT(SUMPRODUCT($U24:$Y24,$BF24:$BJ24)/SUM($BF24:$BJ24)/10000*$BX$7*$BZ$46/'疲劳值&amp;地图信息'!$R$10*$BY$54)</f>
        <v>551</v>
      </c>
      <c r="EL24" s="50">
        <f t="shared" si="44"/>
        <v>0.74868247694334655</v>
      </c>
      <c r="EM24" s="50">
        <f t="shared" si="45"/>
        <v>0.19082125603864733</v>
      </c>
      <c r="EN24" s="50">
        <f t="shared" si="46"/>
        <v>6.0496267018006152E-2</v>
      </c>
      <c r="EO24" s="51">
        <f t="shared" si="47"/>
        <v>7286</v>
      </c>
      <c r="EP24" s="51">
        <f t="shared" si="48"/>
        <v>2508</v>
      </c>
      <c r="EQ24" s="14">
        <f>INT(SUMPRODUCT($AB24:$AF24,$BF24:$BJ24)/SUM($BF24:$BJ24)/10000*$BX$7*$BZ$46/'疲劳值&amp;地图信息'!$R$10*$BY$55)</f>
        <v>745</v>
      </c>
      <c r="ER24" s="50">
        <f t="shared" si="49"/>
        <v>0.69133693898851889</v>
      </c>
      <c r="ES24" s="50">
        <f t="shared" si="50"/>
        <v>0.23797324224309707</v>
      </c>
      <c r="ET24" s="50">
        <f t="shared" si="51"/>
        <v>7.0689818768384094E-2</v>
      </c>
      <c r="EU24" s="51">
        <f t="shared" si="52"/>
        <v>8371</v>
      </c>
      <c r="EV24" s="51">
        <f t="shared" si="53"/>
        <v>5386</v>
      </c>
      <c r="EW24" s="14">
        <f>INT(SUMPRODUCT($AI24:$AM24,$BF24:$BJ24)/SUM($BF24:$BJ24)/10000*$BX$7*$BZ$46/'疲劳值&amp;地图信息'!$R$10*$BY$56)</f>
        <v>1117</v>
      </c>
      <c r="EX24" s="50">
        <f t="shared" si="54"/>
        <v>0.56279413742100304</v>
      </c>
      <c r="EY24" s="50">
        <f t="shared" si="55"/>
        <v>0.36210837703375015</v>
      </c>
      <c r="EZ24" s="50">
        <f t="shared" si="56"/>
        <v>7.5097485545246742E-2</v>
      </c>
      <c r="FA24" s="51">
        <f t="shared" si="57"/>
        <v>8646</v>
      </c>
      <c r="FB24" s="51">
        <f t="shared" si="58"/>
        <v>12540</v>
      </c>
      <c r="FC24" s="14">
        <f>INT(SUMPRODUCT($AP24:$AT24,$BF24:$BJ24)/SUM($BF24:$BJ24)/10000*$BX$7*$BZ$46/'疲劳值&amp;地图信息'!$R$10*$BY$57)</f>
        <v>1490</v>
      </c>
      <c r="FD24" s="50">
        <f t="shared" si="59"/>
        <v>0.38128417710354562</v>
      </c>
      <c r="FE24" s="50">
        <f t="shared" si="60"/>
        <v>0.55300758511201276</v>
      </c>
      <c r="FF24" s="50">
        <f t="shared" si="61"/>
        <v>6.5708237784441695E-2</v>
      </c>
      <c r="FH24" s="14">
        <f t="shared" si="62"/>
        <v>8346</v>
      </c>
      <c r="FI24" s="14">
        <f t="shared" si="63"/>
        <v>9108</v>
      </c>
      <c r="FJ24" s="14">
        <f t="shared" si="64"/>
        <v>10539</v>
      </c>
      <c r="FK24" s="14">
        <f t="shared" si="65"/>
        <v>14874</v>
      </c>
      <c r="FL24" s="14">
        <f t="shared" si="66"/>
        <v>22676</v>
      </c>
      <c r="FM24" s="14">
        <f t="shared" si="67"/>
        <v>958046</v>
      </c>
      <c r="FP24" s="14">
        <f t="shared" si="68"/>
        <v>334150</v>
      </c>
      <c r="FQ24" s="50">
        <f t="shared" si="8"/>
        <v>0.25859080201455509</v>
      </c>
      <c r="FS24" s="14">
        <f t="shared" si="69"/>
        <v>1292196</v>
      </c>
      <c r="FX24" s="14">
        <v>19</v>
      </c>
      <c r="FY24" s="51">
        <f t="shared" si="70"/>
        <v>9263</v>
      </c>
      <c r="FZ24" s="51">
        <f t="shared" si="71"/>
        <v>1393</v>
      </c>
      <c r="GA24" s="51">
        <f>INT(SUMPRODUCT($N24:$R24,$BF24:$BJ24)/SUM($BF24:$BJ24)/10000*$BX$7*$BZ$46/'疲劳值&amp;地图信息'!$R$10*$BY$53)</f>
        <v>337</v>
      </c>
      <c r="GB24" s="50">
        <f t="shared" si="72"/>
        <v>0.84262712635313386</v>
      </c>
      <c r="GC24" s="50">
        <f t="shared" si="73"/>
        <v>0.12671700172837261</v>
      </c>
      <c r="GD24" s="50">
        <f t="shared" si="74"/>
        <v>3.0655871918493588E-2</v>
      </c>
      <c r="GE24" s="51">
        <f t="shared" si="75"/>
        <v>9547</v>
      </c>
      <c r="GF24" s="51">
        <f t="shared" si="76"/>
        <v>1738</v>
      </c>
      <c r="GG24" s="14">
        <f>INT(SUMPRODUCT($U24:$Y24,$BF24:$BJ24)/SUM($BF24:$BJ24)/10000*$BX$7*$BZ$46/'疲劳值&amp;地图信息'!$R$10*$BY$54)</f>
        <v>551</v>
      </c>
      <c r="GH24" s="50">
        <f t="shared" si="77"/>
        <v>0.80660696181142277</v>
      </c>
      <c r="GI24" s="50">
        <f t="shared" si="78"/>
        <v>0.14684014869888476</v>
      </c>
      <c r="GJ24" s="50">
        <f t="shared" si="79"/>
        <v>4.655288948969246E-2</v>
      </c>
      <c r="GK24" s="51">
        <f t="shared" si="80"/>
        <v>10200</v>
      </c>
      <c r="GL24" s="51">
        <f t="shared" si="81"/>
        <v>2508</v>
      </c>
      <c r="GM24" s="14">
        <f>INT(SUMPRODUCT($AB24:$AF24,$BF24:$BJ24)/SUM($BF24:$BJ24)/10000*$BX$7*$BZ$46/'疲劳值&amp;地图信息'!$R$10*$BY$55)</f>
        <v>745</v>
      </c>
      <c r="GN24" s="50">
        <f t="shared" si="82"/>
        <v>0.75819519809707869</v>
      </c>
      <c r="GO24" s="50">
        <f t="shared" si="83"/>
        <v>0.18642681929681112</v>
      </c>
      <c r="GP24" s="50">
        <f t="shared" si="84"/>
        <v>5.5377982606110161E-2</v>
      </c>
      <c r="GQ24" s="51">
        <f t="shared" si="85"/>
        <v>11719</v>
      </c>
      <c r="GR24" s="51">
        <f t="shared" si="86"/>
        <v>5386</v>
      </c>
      <c r="GS24" s="14">
        <f>INT(SUMPRODUCT($AI24:$AM24,$BF24:$BJ24)/SUM($BF24:$BJ24)/10000*$BX$7*$BZ$46/'疲劳值&amp;地图信息'!$R$10*$BY$56)</f>
        <v>1117</v>
      </c>
      <c r="GT24" s="50">
        <f t="shared" si="87"/>
        <v>0.64312369663044666</v>
      </c>
      <c r="GU24" s="50">
        <f t="shared" si="88"/>
        <v>0.29557677532652837</v>
      </c>
      <c r="GV24" s="50">
        <f t="shared" si="89"/>
        <v>6.1299528043024916E-2</v>
      </c>
      <c r="GW24" s="51">
        <f t="shared" si="90"/>
        <v>12105</v>
      </c>
      <c r="GX24" s="51">
        <f t="shared" si="91"/>
        <v>12540</v>
      </c>
      <c r="GY24" s="14">
        <f>INT(SUMPRODUCT($AP24:$AT24,$BF24:$BJ24)/SUM($BF24:$BJ24)/10000*$BX$7*$BZ$46/'疲劳值&amp;地图信息'!$R$10*$BY$57)</f>
        <v>1490</v>
      </c>
      <c r="GZ24" s="50">
        <f t="shared" si="92"/>
        <v>0.46317199158216948</v>
      </c>
      <c r="HA24" s="50">
        <f t="shared" si="93"/>
        <v>0.47981633824373443</v>
      </c>
      <c r="HB24" s="50">
        <f t="shared" si="94"/>
        <v>5.7011670174096037E-2</v>
      </c>
      <c r="HD24" s="14">
        <f t="shared" si="95"/>
        <v>10993</v>
      </c>
      <c r="HE24" s="14">
        <f t="shared" si="96"/>
        <v>11836</v>
      </c>
      <c r="HF24" s="14">
        <f t="shared" si="97"/>
        <v>13453</v>
      </c>
      <c r="HG24" s="14">
        <f t="shared" si="98"/>
        <v>18222</v>
      </c>
      <c r="HH24" s="14">
        <f t="shared" si="99"/>
        <v>26135</v>
      </c>
      <c r="HI24" s="14">
        <f t="shared" si="100"/>
        <v>1243940</v>
      </c>
      <c r="HL24" s="14">
        <f t="shared" si="101"/>
        <v>430050</v>
      </c>
      <c r="HM24" s="50">
        <f t="shared" si="9"/>
        <v>0.25690117623163816</v>
      </c>
      <c r="HO24" s="14">
        <f t="shared" si="102"/>
        <v>1673990</v>
      </c>
    </row>
    <row r="25" spans="3:223" x14ac:dyDescent="0.2">
      <c r="C25" s="1" t="s">
        <v>429</v>
      </c>
      <c r="D25" s="1" t="s">
        <v>479</v>
      </c>
      <c r="K25" s="14">
        <v>20</v>
      </c>
      <c r="L25" s="12">
        <f>求节点(节奏总纲!D$4:D$163,标准城池设计!AB$4:AB$163,$K25)*求节点(节奏总纲!D$4:D$163,攻城基础信息!$AC$5:$AC$164,$K25)</f>
        <v>182031.04048118379</v>
      </c>
      <c r="M25" s="12">
        <f>INDEX(其他调用!$AA$5:$AA$404,MATCH(K25,其他调用!$X$5:$X$404,0))*MIN(INDEX(其他调用!$AH$5:$AH$364,MATCH('征服点（新）'!K25,其他调用!$AG$5:$AG$364,0),1)/INDEX(其他调用!$AJ$5:$AJ$364,MATCH(K25,其他调用!$AG$5:$AG$364,0),0),5)*求节点(节奏总纲!D$4:D$163,攻城基础信息!$AC$5:$AC$164,$K25)</f>
        <v>37916.96457353291</v>
      </c>
      <c r="N25" s="12">
        <f>MIN(INDEX(其他调用!$AH$5:$AH$364,MATCH($K25,其他调用!$AG$5:$AG$364,0),1)/INDEX(其他调用!AH$5:AH$364,MATCH($K25,其他调用!$AG$5:$AG$364,0),0),1)*INDEX(其他调用!Y$5:Y$404,MATCH($K25,其他调用!$X$5:$X$404,0),0)</f>
        <v>27328.301217726279</v>
      </c>
      <c r="O25" s="12">
        <f>MIN(INDEX(其他调用!$AH$5:$AH$364,MATCH($K25,其他调用!$AG$5:$AG$364,0),1)/INDEX(其他调用!AI$5:AI$364,MATCH($K25,其他调用!$AG$5:$AG$364,0),0),1)*INDEX(其他调用!Z$5:Z$404,MATCH($K25,其他调用!$X$5:$X$404,0),0)</f>
        <v>22711.960489263744</v>
      </c>
      <c r="P25" s="12">
        <f>MIN(INDEX(其他调用!$AH$5:$AH$364,MATCH($K25,其他调用!$AG$5:$AG$364,0),1)/INDEX(其他调用!AJ$5:AJ$364,MATCH($K25,其他调用!$AG$5:$AG$364,0),0),1)*INDEX(其他调用!AA$5:AA$404,MATCH($K25,其他调用!$X$5:$X$404,0),0)</f>
        <v>16504.606964679406</v>
      </c>
      <c r="Q25" s="12">
        <f>MIN(INDEX(其他调用!$AH$5:$AH$364,MATCH($K25,其他调用!$AG$5:$AG$364,0),1)/INDEX(其他调用!AK$5:AK$364,MATCH($K25,其他调用!$AG$5:$AG$364,0),0),1)*INDEX(其他调用!AB$5:AB$404,MATCH($K25,其他调用!$X$5:$X$404,0),0)</f>
        <v>8039.2196720122392</v>
      </c>
      <c r="R25" s="12">
        <f>MIN(INDEX(其他调用!$AH$5:$AH$364,MATCH($K25,其他调用!$AG$5:$AG$364,0),1)/INDEX(其他调用!AL$5:AL$364,MATCH($K25,其他调用!$AG$5:$AG$364,0),0),1)*INDEX(其他调用!AC$5:AC$404,MATCH($K25,其他调用!$X$5:$X$404,0),0)</f>
        <v>2805.1595521584932</v>
      </c>
      <c r="S25" s="12">
        <f>求节点(节奏总纲!D$4:D$163,标准城池设计!AC$4:AC$163,$K25)*求节点(节奏总纲!D$4:D$163,攻城基础信息!$AD$5:$AD$164,$K25)</f>
        <v>187401.49260432596</v>
      </c>
      <c r="T25" s="12">
        <f>INDEX(其他调用!$AA$5:$AA$404,MATCH($K25,其他调用!$X$5:$X$404,0))*MIN(INDEX(其他调用!AI$5:AI$364,MATCH($K25,其他调用!$AG$5:$AG$364,0),1)/INDEX(其他调用!$AJ$5:$AJ$364,MATCH($K25,其他调用!$AG$5:$AG$364,0),0),5)*求节点(节奏总纲!D$4:D$163,攻城基础信息!$AD$5:$AD$164,$K25)</f>
        <v>47348.000663102728</v>
      </c>
      <c r="U25" s="12">
        <f>MIN(INDEX(其他调用!$AI$5:$AI$364,MATCH($K25,其他调用!$AG$5:$AG$364,0),1)/INDEX(其他调用!AH$5:AH$364,MATCH($K25,其他调用!$AG$5:$AG$364,0),0),1)*INDEX(其他调用!Y$5:Y$404,MATCH($K25,其他调用!$X$5:$X$404,0),0)</f>
        <v>27328.301217726279</v>
      </c>
      <c r="V25" s="12">
        <f>MIN(INDEX(其他调用!$AI$5:$AI$364,MATCH($K25,其他调用!$AG$5:$AG$364,0),1)/INDEX(其他调用!AI$5:AI$364,MATCH($K25,其他调用!$AG$5:$AG$364,0),0),1)*INDEX(其他调用!Z$5:Z$404,MATCH($K25,其他调用!$X$5:$X$404,0),0)</f>
        <v>28361.07616738545</v>
      </c>
      <c r="W25" s="12">
        <f>MIN(INDEX(其他调用!$AI$5:$AI$364,MATCH($K25,其他调用!$AG$5:$AG$364,0),1)/INDEX(其他调用!AJ$5:AJ$364,MATCH($K25,其他调用!$AG$5:$AG$364,0),0),1)*INDEX(其他调用!AA$5:AA$404,MATCH($K25,其他调用!$X$5:$X$404,0),0)</f>
        <v>20609.775869384102</v>
      </c>
      <c r="X25" s="12">
        <f>MIN(INDEX(其他调用!$AI$5:$AI$364,MATCH($K25,其他调用!$AG$5:$AG$364,0),1)/INDEX(其他调用!AK$5:AK$364,MATCH($K25,其他调用!$AG$5:$AG$364,0),0),1)*INDEX(其他调用!AB$5:AB$404,MATCH($K25,其他调用!$X$5:$X$404,0),0)</f>
        <v>10038.804072068626</v>
      </c>
      <c r="Y25" s="12">
        <f>MIN(INDEX(其他调用!$AI$5:$AI$364,MATCH($K25,其他调用!$AG$5:$AG$364,0),1)/INDEX(其他调用!AL$5:AL$364,MATCH($K25,其他调用!$AG$5:$AG$364,0),0),1)*INDEX(其他调用!AC$5:AC$404,MATCH($K25,其他调用!$X$5:$X$404,0),0)</f>
        <v>3502.8831508422072</v>
      </c>
      <c r="Z25" s="12">
        <f>求节点(节奏总纲!D$4:D$163,标准城池设计!AD$4:AD$163,$K25)*求节点(节奏总纲!D$4:D$163,攻城基础信息!$AE$5:$AE$164,$K25)</f>
        <v>200184.73067959567</v>
      </c>
      <c r="AA25" s="12">
        <f>INDEX(其他调用!$AA$5:$AA$404,MATCH($K25,其他调用!$X$5:$X$404,0))*MIN(INDEX(其他调用!AJ$5:AJ$364,MATCH($K25,其他调用!$AG$5:$AG$364,0),1)/INDEX(其他调用!$AJ$5:$AJ$364,MATCH($K25,其他调用!$AG$5:$AG$364,0),0),5)*求节点(节奏总纲!D$4:D$163,攻城基础信息!$AE$5:$AE$164,$K25)</f>
        <v>68335.02781057563</v>
      </c>
      <c r="AB25" s="12">
        <f>MIN(INDEX(其他调用!$AJ$5:$AJ$364,MATCH($K25,其他调用!$AG$5:$AG$364,0),1)/INDEX(其他调用!AH$5:AH$364,MATCH($K25,其他调用!$AG$5:$AG$364,0),0),1)*INDEX(其他调用!Y$5:Y$404,MATCH($K25,其他调用!$X$5:$X$404,0),0)</f>
        <v>27328.301217726279</v>
      </c>
      <c r="AC25" s="12">
        <f>MIN(INDEX(其他调用!$AJ$5:$AJ$364,MATCH($K25,其他调用!$AG$5:$AG$364,0),1)/INDEX(其他调用!AI$5:AI$364,MATCH($K25,其他调用!$AG$5:$AG$364,0),0),1)*INDEX(其他调用!Z$5:Z$404,MATCH($K25,其他调用!$X$5:$X$404,0),0)</f>
        <v>28361.07616738545</v>
      </c>
      <c r="AD25" s="12">
        <f>MIN(INDEX(其他调用!$AJ$5:$AJ$364,MATCH($K25,其他调用!$AG$5:$AG$364,0),1)/INDEX(其他调用!AJ$5:AJ$364,MATCH($K25,其他调用!$AG$5:$AG$364,0),0),1)*INDEX(其他调用!AA$5:AA$404,MATCH($K25,其他调用!$X$5:$X$404,0),0)</f>
        <v>29745.070277098421</v>
      </c>
      <c r="AE25" s="12">
        <f>MIN(INDEX(其他调用!$AJ$5:$AJ$364,MATCH($K25,其他调用!$AG$5:$AG$364,0),1)/INDEX(其他调用!AK$5:AK$364,MATCH($K25,其他调用!$AG$5:$AG$364,0),0),1)*INDEX(其他调用!AB$5:AB$404,MATCH($K25,其他调用!$X$5:$X$404,0),0)</f>
        <v>14488.509458527484</v>
      </c>
      <c r="AF25" s="12">
        <f>MIN(INDEX(其他调用!$AJ$5:$AJ$364,MATCH($K25,其他调用!$AG$5:$AG$364,0),1)/INDEX(其他调用!AL$5:AL$364,MATCH($K25,其他调用!$AG$5:$AG$364,0),0),1)*INDEX(其他调用!AC$5:AC$404,MATCH($K25,其他调用!$X$5:$X$404,0),0)</f>
        <v>5055.5380201414619</v>
      </c>
      <c r="AG25" s="12">
        <f>求节点(节奏总纲!D$4:D$163,标准城池设计!AE$4:AE$163,$K25)*求节点(节奏总纲!D$4:D$163,攻城基础信息!$AF$5:$AF$164,$K25)</f>
        <v>231399.29840689723</v>
      </c>
      <c r="AH25" s="12">
        <f>INDEX(其他调用!$AA$5:$AA$404,MATCH($K25,其他调用!$X$5:$X$404,0))*MIN(INDEX(其他调用!AK$5:AK$364,MATCH($K25,其他调用!$AG$5:$AG$364,0),1)/INDEX(其他调用!$AJ$5:$AJ$364,MATCH($K25,其他调用!$AG$5:$AG$364,0),0),5)*求节点(节奏总纲!D$4:D$163,攻城基础信息!$AF$5:$AF$164,$K25)</f>
        <v>149820.31120755392</v>
      </c>
      <c r="AI25" s="12">
        <f>MIN(INDEX(其他调用!$AK$5:$AK$364,MATCH($K25,其他调用!$AG$5:$AG$364,0),1)/INDEX(其他调用!AH$5:AH$364,MATCH($K25,其他调用!$AG$5:$AG$364,0),0),1)*INDEX(其他调用!Y$5:Y$404,MATCH($K25,其他调用!$X$5:$X$404,0),0)</f>
        <v>27328.301217726279</v>
      </c>
      <c r="AJ25" s="12">
        <f>MIN(INDEX(其他调用!$AK$5:$AK$364,MATCH($K25,其他调用!$AG$5:$AG$364,0),1)/INDEX(其他调用!AI$5:AI$364,MATCH($K25,其他调用!$AG$5:$AG$364,0),0),1)*INDEX(其他调用!Z$5:Z$404,MATCH($K25,其他调用!$X$5:$X$404,0),0)</f>
        <v>28361.07616738545</v>
      </c>
      <c r="AK25" s="12">
        <f>MIN(INDEX(其他调用!$AK$5:$AK$364,MATCH($K25,其他调用!$AG$5:$AG$364,0),1)/INDEX(其他调用!AJ$5:AJ$364,MATCH($K25,其他调用!$AG$5:$AG$364,0),0),1)*INDEX(其他调用!AA$5:AA$404,MATCH($K25,其他调用!$X$5:$X$404,0),0)</f>
        <v>29745.070277098421</v>
      </c>
      <c r="AL25" s="12">
        <f>MIN(INDEX(其他调用!$AK$5:$AK$364,MATCH($K25,其他调用!$AG$5:$AG$364,0),1)/INDEX(其他调用!AK$5:AK$364,MATCH($K25,其他调用!$AG$5:$AG$364,0),0),1)*INDEX(其他调用!AB$5:AB$404,MATCH($K25,其他调用!$X$5:$X$404,0),0)</f>
        <v>31765.158595197638</v>
      </c>
      <c r="AM25" s="12">
        <f>MIN(INDEX(其他调用!$AK$5:$AK$364,MATCH($K25,其他调用!$AG$5:$AG$364,0),1)/INDEX(其他调用!AL$5:AL$364,MATCH($K25,其他调用!$AG$5:$AG$364,0),0),1)*INDEX(其他调用!AC$5:AC$404,MATCH($K25,其他调用!$X$5:$X$404,0),0)</f>
        <v>11083.953629151742</v>
      </c>
      <c r="AN25" s="12">
        <f>求节点(节奏总纲!D$4:D$163,标准城池设计!AF$4:AF$163,$K25)*求节点(节奏总纲!D$4:D$163,攻城基础信息!$AG$5:$AG$164,$K25)</f>
        <v>238606.77979890176</v>
      </c>
      <c r="AO25" s="12">
        <f>INDEX(其他调用!$AA$5:$AA$404,MATCH($K25,其他调用!$X$5:$X$404,0))*MIN(INDEX(其他调用!AL$5:AL$364,MATCH($K25,其他调用!$AG$5:$AG$364,0),1)/INDEX(其他调用!$AJ$5:$AJ$364,MATCH($K25,其他调用!$AG$5:$AG$364,0),0),5)*求节点(节奏总纲!D$4:D$163,攻城基础信息!$AG$5:$AG$164,$K25)</f>
        <v>341675.13905287819</v>
      </c>
      <c r="AP25" s="12">
        <f>MIN(INDEX(其他调用!$AL$5:$AL$364,MATCH($K25,其他调用!$AG$5:$AG$364,0),1)/INDEX(其他调用!AH$5:AH$364,MATCH($K25,其他调用!$AG$5:$AG$364,0),0),1)*INDEX(其他调用!Y$5:Y$404,MATCH($K25,其他调用!$X$5:$X$404,0),0)</f>
        <v>27328.301217726279</v>
      </c>
      <c r="AQ25" s="12">
        <f>MIN(INDEX(其他调用!$AL$5:$AL$364,MATCH($K25,其他调用!$AG$5:$AG$364,0),1)/INDEX(其他调用!AI$5:AI$364,MATCH($K25,其他调用!$AG$5:$AG$364,0),0),1)*INDEX(其他调用!Z$5:Z$404,MATCH($K25,其他调用!$X$5:$X$404,0),0)</f>
        <v>28361.07616738545</v>
      </c>
      <c r="AR25" s="12">
        <f>MIN(INDEX(其他调用!$AL$5:$AL$364,MATCH($K25,其他调用!$AG$5:$AG$364,0),1)/INDEX(其他调用!AJ$5:AJ$364,MATCH($K25,其他调用!$AG$5:$AG$364,0),0),1)*INDEX(其他调用!AA$5:AA$404,MATCH($K25,其他调用!$X$5:$X$404,0),0)</f>
        <v>29745.070277098421</v>
      </c>
      <c r="AS25" s="12">
        <f>MIN(INDEX(其他调用!$AL$5:$AL$364,MATCH($K25,其他调用!$AG$5:$AG$364,0),1)/INDEX(其他调用!AK$5:AK$364,MATCH($K25,其他调用!$AG$5:$AG$364,0),0),1)*INDEX(其他调用!AB$5:AB$404,MATCH($K25,其他调用!$X$5:$X$404,0),0)</f>
        <v>31765.158595197638</v>
      </c>
      <c r="AT25" s="12">
        <f>MIN(INDEX(其他调用!$AL$5:$AL$364,MATCH($K25,其他调用!$AG$5:$AG$364,0),1)/INDEX(其他调用!AL$5:AL$364,MATCH($K25,其他调用!$AG$5:$AG$364,0),0),1)*INDEX(其他调用!AC$5:AC$404,MATCH($K25,其他调用!$X$5:$X$404,0),0)</f>
        <v>35507.734033585795</v>
      </c>
      <c r="AV25" s="14">
        <f>IF(OR(AV$5="大R",AV$5="超R"),MAX(INDEX(其他调用!$H$5:$L$404,MATCH($K25,其他调用!$B$5:$B$404,0),MATCH(AV$5,其他调用!$H$4:$L$4,0))*120*0.85,2),INDEX(其他调用!$H$5:$L$404,MATCH($K25,其他调用!$B$5:$B$404,0),MATCH(AV$5,其他调用!$H$4:$L$4,0))*120*0.85)</f>
        <v>58.897829623824471</v>
      </c>
      <c r="AW25" s="14">
        <f>IF(OR(AW$5="大R",AW$5="超R"),MAX(INDEX(其他调用!$H$5:$L$404,MATCH($K25,其他调用!$B$5:$B$404,0),MATCH(AW$5,其他调用!$H$4:$L$4,0))*120*0.85,2),INDEX(其他调用!$H$5:$L$404,MATCH($K25,其他调用!$B$5:$B$404,0),MATCH(AW$5,其他调用!$H$4:$L$4,0))*120*0.85)</f>
        <v>38.655074824175522</v>
      </c>
      <c r="AX25" s="14">
        <f>IF(OR(AX$5="大R",AX$5="超R"),MAX(INDEX(其他调用!$H$5:$L$404,MATCH($K25,其他调用!$B$5:$B$404,0),MATCH(AX$5,其他调用!$H$4:$L$4,0))*120*0.85,2),INDEX(其他调用!$H$5:$L$404,MATCH($K25,其他调用!$B$5:$B$404,0),MATCH(AX$5,其他调用!$H$4:$L$4,0))*120*0.85)</f>
        <v>3.7567595520000001</v>
      </c>
      <c r="AY25" s="14">
        <f>IF(OR(AY$5="大R",AY$5="超R"),MAX(INDEX(其他调用!$H$5:$L$404,MATCH($K25,其他调用!$B$5:$B$404,0),MATCH(AY$5,其他调用!$H$4:$L$4,0))*120*0.85,2),INDEX(其他调用!$H$5:$L$404,MATCH($K25,其他调用!$B$5:$B$404,0),MATCH(AY$5,其他调用!$H$4:$L$4,0))*120*0.85)</f>
        <v>2</v>
      </c>
      <c r="AZ25" s="14">
        <f>IF(OR(AZ$5="大R",AZ$5="超R"),MAX(INDEX(其他调用!$H$5:$L$404,MATCH($K25,其他调用!$B$5:$B$404,0),MATCH(AZ$5,其他调用!$H$4:$L$4,0))*120*0.85,2),INDEX(其他调用!$H$5:$L$404,MATCH($K25,其他调用!$B$5:$B$404,0),MATCH(AZ$5,其他调用!$H$4:$L$4,0))*120*0.85)</f>
        <v>2</v>
      </c>
      <c r="BA25" s="14">
        <f>INDEX(其他调用!$H$5:$L$404,MATCH($K25,其他调用!$B$5:$B$404,0),MATCH(BA$5,其他调用!$H$4:$L$4,0))*INDEX(其他调用!$M$5:$M$404,MATCH($K25,其他调用!$B$5:$B$404,0))*0.6</f>
        <v>28.739501177787741</v>
      </c>
      <c r="BB25" s="14">
        <f>INDEX(其他调用!$H$5:$L$404,MATCH($K25,其他调用!$B$5:$B$404,0),MATCH(BB$5,其他调用!$H$4:$L$4,0))*INDEX(其他调用!$M$5:$M$404,MATCH($K25,其他调用!$B$5:$B$404,0))*0.6</f>
        <v>18.861944073869402</v>
      </c>
      <c r="BC25" s="14">
        <f>INDEX(其他调用!$H$5:$L$404,MATCH($K25,其他调用!$B$5:$B$404,0),MATCH(BC$5,其他调用!$H$4:$L$4,0))*INDEX(其他调用!$M$5:$M$404,MATCH($K25,其他调用!$B$5:$B$404,0))*0.6</f>
        <v>1.8331302911999998</v>
      </c>
      <c r="BD25" s="14">
        <f>INDEX(其他调用!$H$5:$L$404,MATCH($K25,其他调用!$B$5:$B$404,0),MATCH(BD$5,其他调用!$H$4:$L$4,0))*INDEX(其他调用!$M$5:$M$404,MATCH($K25,其他调用!$B$5:$B$404,0))*0.6</f>
        <v>0.27264788571428572</v>
      </c>
      <c r="BE25" s="14">
        <f>INDEX(其他调用!$H$5:$L$404,MATCH($K25,其他调用!$B$5:$B$404,0),MATCH(BE$5,其他调用!$H$4:$L$4,0))*INDEX(其他调用!$M$5:$M$404,MATCH($K25,其他调用!$B$5:$B$404,0))*0.6</f>
        <v>6.420514285714285E-2</v>
      </c>
      <c r="BF25" s="14">
        <f>IF(OR(BF$5="大R",BF$5="超R"),0,INDEX(其他调用!$H$5:$L$404,MATCH($K25,其他调用!$B$5:$B$404,0),MATCH(BF$5,其他调用!$H$4:$L$4,0))*50*0.4)</f>
        <v>11.548594043887153</v>
      </c>
      <c r="BG25" s="14">
        <f>IF(OR(BG$5="大R",BG$5="超R"),0,INDEX(其他调用!$H$5:$L$404,MATCH($K25,其他调用!$B$5:$B$404,0),MATCH(BG$5,其他调用!$H$4:$L$4,0))*50*0.4)</f>
        <v>7.5794264361128487</v>
      </c>
      <c r="BH25" s="14">
        <f>IF(OR(BH$5="大R",BH$5="超R"),0,INDEX(其他调用!$H$5:$L$404,MATCH($K25,其他调用!$B$5:$B$404,0),MATCH(BH$5,其他调用!$H$4:$L$4,0))*50*0.4)</f>
        <v>0.73661952000000008</v>
      </c>
      <c r="BI25" s="14">
        <f>IF(OR(BI$5="大R",BI$5="超R"),0,INDEX(其他调用!$H$5:$L$404,MATCH($K25,其他调用!$B$5:$B$404,0),MATCH(BI$5,其他调用!$H$4:$L$4,0))*50*0.4)</f>
        <v>0</v>
      </c>
      <c r="BJ25" s="14">
        <f>IF(OR(BJ$5="大R",BJ$5="超R"),0,INDEX(其他调用!$H$5:$L$404,MATCH($K25,其他调用!$B$5:$B$404,0),MATCH(BJ$5,其他调用!$H$4:$L$4,0))*50*0.4)</f>
        <v>0</v>
      </c>
      <c r="BL25" s="14">
        <f t="shared" si="103"/>
        <v>20</v>
      </c>
      <c r="BM25" s="14">
        <f t="shared" si="10"/>
        <v>96</v>
      </c>
      <c r="BN25" s="14">
        <f>('疲劳值&amp;地图信息'!$S$10*'疲劳值&amp;地图信息'!$R$10+'疲劳值&amp;地图信息'!$S$11*'疲劳值&amp;地图信息'!$R$11+'疲劳值&amp;地图信息'!$S$12*'疲劳值&amp;地图信息'!$R$12+(BM25-'疲劳值&amp;地图信息'!$S$12-'疲劳值&amp;地图信息'!$S$11-'疲劳值&amp;地图信息'!$S$10)*'疲劳值&amp;地图信息'!$R$13)/BM25</f>
        <v>51.371477246638619</v>
      </c>
      <c r="BO25" s="14">
        <f>INDEX(其他调用!$M$5:$M$404,MATCH(BL25,其他调用!$B$5:$B$404,0))*0.6</f>
        <v>49.771428571428565</v>
      </c>
      <c r="BP25" s="14">
        <f>IF(BO25&gt;SUM('疲劳值&amp;地图信息'!$S$10:$S$12),('疲劳值&amp;地图信息'!$S$10*'疲劳值&amp;地图信息'!$R$10+'疲劳值&amp;地图信息'!$S$11*'疲劳值&amp;地图信息'!$R$11+'疲劳值&amp;地图信息'!$S$12*'疲劳值&amp;地图信息'!$R$12+(BO25-'疲劳值&amp;地图信息'!$S$12-'疲劳值&amp;地图信息'!$S$11-'疲劳值&amp;地图信息'!$S$10)*'疲劳值&amp;地图信息'!$R$13)/BO25,('疲劳值&amp;地图信息'!$S$10*'疲劳值&amp;地图信息'!$R$10+'疲劳值&amp;地图信息'!$S$11*'疲劳值&amp;地图信息'!$R$11+'疲劳值&amp;地图信息'!$S$12*'疲劳值&amp;地图信息'!$R$12+(BO25-'疲劳值&amp;地图信息'!$S$12-'疲劳值&amp;地图信息'!$S$11-'疲劳值&amp;地图信息'!$S$10)*'疲劳值&amp;地图信息'!$R$13)/BO25)</f>
        <v>40.205015723157125</v>
      </c>
      <c r="BQ25" s="14">
        <f t="shared" si="104"/>
        <v>20</v>
      </c>
      <c r="BR25" s="14">
        <f>('疲劳值&amp;地图信息'!$S$10*'疲劳值&amp;地图信息'!$R$10+($BQ25-'疲劳值&amp;地图信息'!$S$10)*'疲劳值&amp;地图信息'!$R$11)/$BQ25</f>
        <v>32.067203015074995</v>
      </c>
      <c r="BW25" s="14" t="s">
        <v>276</v>
      </c>
      <c r="BX25" s="14">
        <v>18000</v>
      </c>
      <c r="BY25" s="14">
        <v>500</v>
      </c>
      <c r="CF25" s="14">
        <v>20</v>
      </c>
      <c r="CG25" s="51">
        <f t="shared" si="11"/>
        <v>4074</v>
      </c>
      <c r="CH25" s="51">
        <f t="shared" si="12"/>
        <v>848</v>
      </c>
      <c r="CI25" s="51">
        <f>INT(SUMPRODUCT($N25:$R25,$BA25:$BE25)/SUM($BA25:$BE25)/10000*$BX$7*$BZ$34/'疲劳值&amp;地图信息'!$R$10*$BY$53)</f>
        <v>2541</v>
      </c>
      <c r="CJ25" s="50">
        <f t="shared" si="13"/>
        <v>0.54589307249095542</v>
      </c>
      <c r="CK25" s="50">
        <f t="shared" si="14"/>
        <v>0.11362722765643843</v>
      </c>
      <c r="CL25" s="50">
        <f t="shared" si="15"/>
        <v>0.34047969985260618</v>
      </c>
      <c r="CM25" s="14">
        <f t="shared" si="16"/>
        <v>4195</v>
      </c>
      <c r="CN25" s="14">
        <f t="shared" si="17"/>
        <v>1059</v>
      </c>
      <c r="CO25" s="14">
        <f>INT(SUMPRODUCT($U25:$Y25,$BA25:$BE25)/SUM($BA25:$BE25)/10000*$BX$7*$BZ$34/'疲劳值&amp;地图信息'!$R$10*$BY$54)</f>
        <v>4162</v>
      </c>
      <c r="CP25" s="50">
        <f t="shared" si="18"/>
        <v>0.44551826677994905</v>
      </c>
      <c r="CQ25" s="50">
        <f t="shared" si="19"/>
        <v>0.11246813933729821</v>
      </c>
      <c r="CR25" s="50">
        <f t="shared" si="20"/>
        <v>0.44201359388275274</v>
      </c>
      <c r="CS25" s="14">
        <f t="shared" si="21"/>
        <v>4481</v>
      </c>
      <c r="CT25" s="14">
        <f t="shared" si="22"/>
        <v>1529</v>
      </c>
      <c r="CU25" s="14">
        <f>INT(SUMPRODUCT($AB25:$AF25,$BA25:$BE25)/SUM($BA25:$BE25)/10000*$BX$7*$BZ$34/'疲劳值&amp;地图信息'!$R$10*$BY$55)</f>
        <v>5623</v>
      </c>
      <c r="CV25" s="50">
        <f t="shared" si="23"/>
        <v>0.38519728358978766</v>
      </c>
      <c r="CW25" s="50">
        <f t="shared" si="24"/>
        <v>0.13143643084329065</v>
      </c>
      <c r="CX25" s="50">
        <f t="shared" si="25"/>
        <v>0.48336628556692168</v>
      </c>
      <c r="CY25" s="14">
        <f t="shared" si="26"/>
        <v>5179</v>
      </c>
      <c r="CZ25" s="14">
        <f t="shared" si="27"/>
        <v>3353</v>
      </c>
      <c r="DA25" s="14">
        <f>INT(SUMPRODUCT($AI25:$AM25,$BA25:$BE25)/SUM($BA25:$BE25)/10000*$BX$7*$BZ$34/'疲劳值&amp;地图信息'!$R$10*$BY$56)</f>
        <v>8466</v>
      </c>
      <c r="DB25" s="50">
        <f t="shared" si="28"/>
        <v>0.30468290387104363</v>
      </c>
      <c r="DC25" s="50">
        <f t="shared" si="29"/>
        <v>0.19725850100011766</v>
      </c>
      <c r="DD25" s="50">
        <f t="shared" si="30"/>
        <v>0.49805859512883871</v>
      </c>
      <c r="DE25" s="14">
        <f t="shared" si="31"/>
        <v>5341</v>
      </c>
      <c r="DF25" s="14">
        <f t="shared" si="32"/>
        <v>7648</v>
      </c>
      <c r="DG25" s="14">
        <f>INT(SUMPRODUCT($AP25:$AT25,$BA25:$BE25)/SUM($BA25:$BE25)/10000*$BX$7*$BZ$34/'疲劳值&amp;地图信息'!$R$10*$BY$57)</f>
        <v>11300</v>
      </c>
      <c r="DH25" s="50">
        <f t="shared" si="33"/>
        <v>0.2198937790769484</v>
      </c>
      <c r="DI25" s="50">
        <f t="shared" si="34"/>
        <v>0.31487504631726299</v>
      </c>
      <c r="DJ25" s="50">
        <f t="shared" si="35"/>
        <v>0.46523117460578861</v>
      </c>
      <c r="DL25" s="14">
        <f t="shared" si="106"/>
        <v>7463</v>
      </c>
      <c r="DM25" s="14">
        <f t="shared" si="107"/>
        <v>9416</v>
      </c>
      <c r="DN25" s="14">
        <f t="shared" si="108"/>
        <v>11633</v>
      </c>
      <c r="DO25" s="14">
        <f t="shared" si="109"/>
        <v>16998</v>
      </c>
      <c r="DP25" s="14">
        <f t="shared" si="110"/>
        <v>24289</v>
      </c>
      <c r="DQ25" s="14">
        <f t="shared" si="111"/>
        <v>419605</v>
      </c>
      <c r="DT25" s="14">
        <f t="shared" si="105"/>
        <v>235575</v>
      </c>
      <c r="DU25" s="50">
        <f t="shared" si="7"/>
        <v>0.35955767880582434</v>
      </c>
      <c r="DW25" s="14">
        <f t="shared" si="36"/>
        <v>655180</v>
      </c>
      <c r="EB25" s="14">
        <v>20</v>
      </c>
      <c r="EC25" s="51">
        <f t="shared" si="37"/>
        <v>6791</v>
      </c>
      <c r="ED25" s="51">
        <f t="shared" si="38"/>
        <v>1414</v>
      </c>
      <c r="EE25" s="51">
        <f>INT(SUMPRODUCT($N25:$R25,$BF25:$BJ25)/SUM($BF25:$BJ25)/10000*$BX$7*$BZ$46/'疲劳值&amp;地图信息'!$R$10*$BY$53)</f>
        <v>340</v>
      </c>
      <c r="EF25" s="50">
        <f t="shared" si="39"/>
        <v>0.79473376243417204</v>
      </c>
      <c r="EG25" s="50">
        <f t="shared" si="40"/>
        <v>0.16547688706846109</v>
      </c>
      <c r="EH25" s="50">
        <f t="shared" si="41"/>
        <v>3.9789350497366878E-2</v>
      </c>
      <c r="EI25" s="51">
        <f t="shared" si="42"/>
        <v>6991</v>
      </c>
      <c r="EJ25" s="51">
        <f t="shared" si="43"/>
        <v>1766</v>
      </c>
      <c r="EK25" s="14">
        <f>INT(SUMPRODUCT($U25:$Y25,$BF25:$BJ25)/SUM($BF25:$BJ25)/10000*$BX$7*$BZ$46/'疲劳值&amp;地图信息'!$R$10*$BY$54)</f>
        <v>557</v>
      </c>
      <c r="EL25" s="50">
        <f t="shared" si="44"/>
        <v>0.75059050891131629</v>
      </c>
      <c r="EM25" s="50">
        <f t="shared" si="45"/>
        <v>0.18960704316083316</v>
      </c>
      <c r="EN25" s="50">
        <f t="shared" si="46"/>
        <v>5.9802447927850548E-2</v>
      </c>
      <c r="EO25" s="51">
        <f t="shared" si="47"/>
        <v>7468</v>
      </c>
      <c r="EP25" s="51">
        <f t="shared" si="48"/>
        <v>2549</v>
      </c>
      <c r="EQ25" s="14">
        <f>INT(SUMPRODUCT($AB25:$AF25,$BF25:$BJ25)/SUM($BF25:$BJ25)/10000*$BX$7*$BZ$46/'疲劳值&amp;地图信息'!$R$10*$BY$55)</f>
        <v>752</v>
      </c>
      <c r="ER25" s="50">
        <f t="shared" si="49"/>
        <v>0.69347200297149225</v>
      </c>
      <c r="ES25" s="50">
        <f t="shared" si="50"/>
        <v>0.23669792924134089</v>
      </c>
      <c r="ET25" s="50">
        <f t="shared" si="51"/>
        <v>6.9830067787166869E-2</v>
      </c>
      <c r="EU25" s="51">
        <f t="shared" si="52"/>
        <v>8633</v>
      </c>
      <c r="EV25" s="51">
        <f t="shared" si="53"/>
        <v>5589</v>
      </c>
      <c r="EW25" s="14">
        <f>INT(SUMPRODUCT($AI25:$AM25,$BF25:$BJ25)/SUM($BF25:$BJ25)/10000*$BX$7*$BZ$46/'疲劳值&amp;地图信息'!$R$10*$BY$56)</f>
        <v>1128</v>
      </c>
      <c r="EX25" s="50">
        <f t="shared" si="54"/>
        <v>0.5624104234527687</v>
      </c>
      <c r="EY25" s="50">
        <f t="shared" si="55"/>
        <v>0.36410423452768731</v>
      </c>
      <c r="EZ25" s="50">
        <f t="shared" si="56"/>
        <v>7.3485342019543973E-2</v>
      </c>
      <c r="FA25" s="51">
        <f t="shared" si="57"/>
        <v>8902</v>
      </c>
      <c r="FB25" s="51">
        <f t="shared" si="58"/>
        <v>12747</v>
      </c>
      <c r="FC25" s="14">
        <f>INT(SUMPRODUCT($AP25:$AT25,$BF25:$BJ25)/SUM($BF25:$BJ25)/10000*$BX$7*$BZ$46/'疲劳值&amp;地图信息'!$R$10*$BY$57)</f>
        <v>1505</v>
      </c>
      <c r="FD25" s="50">
        <f t="shared" si="59"/>
        <v>0.3844692061846765</v>
      </c>
      <c r="FE25" s="50">
        <f t="shared" si="60"/>
        <v>0.55053122570614144</v>
      </c>
      <c r="FF25" s="50">
        <f t="shared" si="61"/>
        <v>6.4999568109182004E-2</v>
      </c>
      <c r="FH25" s="14">
        <f t="shared" si="62"/>
        <v>8545</v>
      </c>
      <c r="FI25" s="14">
        <f t="shared" si="63"/>
        <v>9314</v>
      </c>
      <c r="FJ25" s="14">
        <f t="shared" si="64"/>
        <v>10769</v>
      </c>
      <c r="FK25" s="14">
        <f t="shared" si="65"/>
        <v>15350</v>
      </c>
      <c r="FL25" s="14">
        <f t="shared" si="66"/>
        <v>23154</v>
      </c>
      <c r="FM25" s="14">
        <f t="shared" si="67"/>
        <v>980779</v>
      </c>
      <c r="FP25" s="14">
        <f t="shared" si="68"/>
        <v>334150</v>
      </c>
      <c r="FQ25" s="50">
        <f t="shared" si="8"/>
        <v>0.25412018443581363</v>
      </c>
      <c r="FS25" s="14">
        <f t="shared" si="69"/>
        <v>1314929</v>
      </c>
      <c r="FX25" s="14">
        <v>20</v>
      </c>
      <c r="FY25" s="51">
        <f t="shared" si="70"/>
        <v>9507</v>
      </c>
      <c r="FZ25" s="51">
        <f t="shared" si="71"/>
        <v>1414</v>
      </c>
      <c r="GA25" s="51">
        <f>INT(SUMPRODUCT($N25:$R25,$BF25:$BJ25)/SUM($BF25:$BJ25)/10000*$BX$7*$BZ$46/'疲劳值&amp;地图信息'!$R$10*$BY$53)</f>
        <v>340</v>
      </c>
      <c r="GB25" s="50">
        <f t="shared" si="72"/>
        <v>0.84424118639552437</v>
      </c>
      <c r="GC25" s="50">
        <f t="shared" si="73"/>
        <v>0.12556611313382471</v>
      </c>
      <c r="GD25" s="50">
        <f t="shared" si="74"/>
        <v>3.019270047065092E-2</v>
      </c>
      <c r="GE25" s="51">
        <f t="shared" si="75"/>
        <v>9788</v>
      </c>
      <c r="GF25" s="51">
        <f t="shared" si="76"/>
        <v>1766</v>
      </c>
      <c r="GG25" s="14">
        <f>INT(SUMPRODUCT($U25:$Y25,$BF25:$BJ25)/SUM($BF25:$BJ25)/10000*$BX$7*$BZ$46/'疲劳值&amp;地图信息'!$R$10*$BY$54)</f>
        <v>557</v>
      </c>
      <c r="GH25" s="50">
        <f t="shared" si="77"/>
        <v>0.80819090083395262</v>
      </c>
      <c r="GI25" s="50">
        <f t="shared" si="78"/>
        <v>0.14581785153992238</v>
      </c>
      <c r="GJ25" s="50">
        <f t="shared" si="79"/>
        <v>4.5991247626125012E-2</v>
      </c>
      <c r="GK25" s="51">
        <f t="shared" si="80"/>
        <v>10456</v>
      </c>
      <c r="GL25" s="51">
        <f t="shared" si="81"/>
        <v>2549</v>
      </c>
      <c r="GM25" s="14">
        <f>INT(SUMPRODUCT($AB25:$AF25,$BF25:$BJ25)/SUM($BF25:$BJ25)/10000*$BX$7*$BZ$46/'疲劳值&amp;地图信息'!$R$10*$BY$55)</f>
        <v>752</v>
      </c>
      <c r="GN25" s="50">
        <f t="shared" si="82"/>
        <v>0.76004942938140585</v>
      </c>
      <c r="GO25" s="50">
        <f t="shared" si="83"/>
        <v>0.18528749000508832</v>
      </c>
      <c r="GP25" s="50">
        <f t="shared" si="84"/>
        <v>5.4663080613505853E-2</v>
      </c>
      <c r="GQ25" s="51">
        <f t="shared" si="85"/>
        <v>12086</v>
      </c>
      <c r="GR25" s="51">
        <f t="shared" si="86"/>
        <v>5589</v>
      </c>
      <c r="GS25" s="14">
        <f>INT(SUMPRODUCT($AI25:$AM25,$BF25:$BJ25)/SUM($BF25:$BJ25)/10000*$BX$7*$BZ$46/'疲劳值&amp;地图信息'!$R$10*$BY$56)</f>
        <v>1128</v>
      </c>
      <c r="GT25" s="50">
        <f t="shared" si="87"/>
        <v>0.6427697707812583</v>
      </c>
      <c r="GU25" s="50">
        <f t="shared" si="88"/>
        <v>0.2972398021592299</v>
      </c>
      <c r="GV25" s="50">
        <f t="shared" si="89"/>
        <v>5.9990427059511783E-2</v>
      </c>
      <c r="GW25" s="51">
        <f t="shared" si="90"/>
        <v>12462</v>
      </c>
      <c r="GX25" s="51">
        <f t="shared" si="91"/>
        <v>12747</v>
      </c>
      <c r="GY25" s="14">
        <f>INT(SUMPRODUCT($AP25:$AT25,$BF25:$BJ25)/SUM($BF25:$BJ25)/10000*$BX$7*$BZ$46/'疲劳值&amp;地图信息'!$R$10*$BY$57)</f>
        <v>1505</v>
      </c>
      <c r="GZ25" s="50">
        <f t="shared" si="92"/>
        <v>0.46649696788200945</v>
      </c>
      <c r="HA25" s="50">
        <f t="shared" si="93"/>
        <v>0.47716553118215166</v>
      </c>
      <c r="HB25" s="50">
        <f t="shared" si="94"/>
        <v>5.6337500935838884E-2</v>
      </c>
      <c r="HD25" s="14">
        <f t="shared" si="95"/>
        <v>11261</v>
      </c>
      <c r="HE25" s="14">
        <f t="shared" si="96"/>
        <v>12111</v>
      </c>
      <c r="HF25" s="14">
        <f t="shared" si="97"/>
        <v>13757</v>
      </c>
      <c r="HG25" s="14">
        <f t="shared" si="98"/>
        <v>18803</v>
      </c>
      <c r="HH25" s="14">
        <f t="shared" si="99"/>
        <v>26714</v>
      </c>
      <c r="HI25" s="14">
        <f t="shared" si="100"/>
        <v>1274115</v>
      </c>
      <c r="HL25" s="14">
        <f t="shared" si="101"/>
        <v>430050</v>
      </c>
      <c r="HM25" s="50">
        <f t="shared" si="9"/>
        <v>0.25235232503894867</v>
      </c>
      <c r="HO25" s="14">
        <f t="shared" si="102"/>
        <v>1704165</v>
      </c>
    </row>
    <row r="26" spans="3:223" x14ac:dyDescent="0.2">
      <c r="C26" s="1" t="s">
        <v>430</v>
      </c>
      <c r="D26" s="1" t="s">
        <v>479</v>
      </c>
      <c r="K26" s="14">
        <v>21</v>
      </c>
      <c r="L26" s="12">
        <f>求节点(节奏总纲!D$4:D$163,标准城池设计!AB$4:AB$163,$K26)*求节点(节奏总纲!D$4:D$163,攻城基础信息!$AC$5:$AC$164,$K26)</f>
        <v>189233.23865267693</v>
      </c>
      <c r="M26" s="12">
        <f>INDEX(其他调用!$AA$5:$AA$404,MATCH(K26,其他调用!$X$5:$X$404,0))*MIN(INDEX(其他调用!$AH$5:$AH$364,MATCH('征服点（新）'!K26,其他调用!$AG$5:$AG$364,0),1)/INDEX(其他调用!$AJ$5:$AJ$364,MATCH(K26,其他调用!$AG$5:$AG$364,0),0),5)*求节点(节奏总纲!D$4:D$163,攻城基础信息!$AC$5:$AC$164,$K26)</f>
        <v>38114.037563844526</v>
      </c>
      <c r="N26" s="12">
        <f>MIN(INDEX(其他调用!$AH$5:$AH$364,MATCH($K26,其他调用!$AG$5:$AG$364,0),1)/INDEX(其他调用!AH$5:AH$364,MATCH($K26,其他调用!$AG$5:$AG$364,0),0),1)*INDEX(其他调用!Y$5:Y$404,MATCH($K26,其他调用!$X$5:$X$404,0),0)</f>
        <v>27580.980128158262</v>
      </c>
      <c r="O26" s="12">
        <f>MIN(INDEX(其他调用!$AH$5:$AH$364,MATCH($K26,其他调用!$AG$5:$AG$364,0),1)/INDEX(其他调用!AI$5:AI$364,MATCH($K26,其他调用!$AG$5:$AG$364,0),0),1)*INDEX(其他调用!Z$5:Z$404,MATCH($K26,其他调用!$X$5:$X$404,0),0)</f>
        <v>22892.058620141604</v>
      </c>
      <c r="P26" s="12">
        <f>MIN(INDEX(其他调用!$AH$5:$AH$364,MATCH($K26,其他调用!$AG$5:$AG$364,0),1)/INDEX(其他调用!AJ$5:AJ$364,MATCH($K26,其他调用!$AG$5:$AG$364,0),0),1)*INDEX(其他调用!AA$5:AA$404,MATCH($K26,其他调用!$X$5:$X$404,0),0)</f>
        <v>16431.783228788398</v>
      </c>
      <c r="Q26" s="12">
        <f>MIN(INDEX(其他调用!$AH$5:$AH$364,MATCH($K26,其他调用!$AG$5:$AG$364,0),1)/INDEX(其他调用!AK$5:AK$364,MATCH($K26,其他调用!$AG$5:$AG$364,0),0),1)*INDEX(其他调用!AB$5:AB$404,MATCH($K26,其他调用!$X$5:$X$404,0),0)</f>
        <v>7899.9296539108227</v>
      </c>
      <c r="R26" s="12">
        <f>MIN(INDEX(其他调用!$AH$5:$AH$364,MATCH($K26,其他调用!$AG$5:$AG$364,0),1)/INDEX(其他调用!AL$5:AL$364,MATCH($K26,其他调用!$AG$5:$AG$364,0),0),1)*INDEX(其他调用!AC$5:AC$404,MATCH($K26,其他调用!$X$5:$X$404,0),0)</f>
        <v>2738.5654742001698</v>
      </c>
      <c r="S26" s="12">
        <f>求节点(节奏总纲!D$4:D$163,标准城池设计!AC$4:AC$163,$K26)*求节点(节奏总纲!D$4:D$163,攻城基础信息!$AD$5:$AD$164,$K26)</f>
        <v>195312.76069258089</v>
      </c>
      <c r="T26" s="12">
        <f>INDEX(其他调用!$AA$5:$AA$404,MATCH($K26,其他调用!$X$5:$X$404,0))*MIN(INDEX(其他调用!AI$5:AI$364,MATCH($K26,其他调用!$AG$5:$AG$364,0),1)/INDEX(其他调用!$AJ$5:$AJ$364,MATCH($K26,其他调用!$AG$5:$AG$364,0),0),5)*求节点(节奏总纲!D$4:D$163,攻城基础信息!$AD$5:$AD$164,$K26)</f>
        <v>47650.749127240269</v>
      </c>
      <c r="U26" s="12">
        <f>MIN(INDEX(其他调用!$AI$5:$AI$364,MATCH($K26,其他调用!$AG$5:$AG$364,0),1)/INDEX(其他调用!AH$5:AH$364,MATCH($K26,其他调用!$AG$5:$AG$364,0),0),1)*INDEX(其他调用!Y$5:Y$404,MATCH($K26,其他调用!$X$5:$X$404,0),0)</f>
        <v>27580.980128158262</v>
      </c>
      <c r="V26" s="12">
        <f>MIN(INDEX(其他调用!$AI$5:$AI$364,MATCH($K26,其他调用!$AG$5:$AG$364,0),1)/INDEX(其他调用!AI$5:AI$364,MATCH($K26,其他调用!$AG$5:$AG$364,0),0),1)*INDEX(其他调用!Z$5:Z$404,MATCH($K26,其他调用!$X$5:$X$404,0),0)</f>
        <v>28619.999665142153</v>
      </c>
      <c r="W26" s="12">
        <f>MIN(INDEX(其他调用!$AI$5:$AI$364,MATCH($K26,其他调用!$AG$5:$AG$364,0),1)/INDEX(其他调用!AJ$5:AJ$364,MATCH($K26,其他调用!$AG$5:$AG$364,0),0),1)*INDEX(其他调用!AA$5:AA$404,MATCH($K26,其他调用!$X$5:$X$404,0),0)</f>
        <v>20543.265169338592</v>
      </c>
      <c r="X26" s="12">
        <f>MIN(INDEX(其他调用!$AI$5:$AI$364,MATCH($K26,其他调用!$AG$5:$AG$364,0),1)/INDEX(其他调用!AK$5:AK$364,MATCH($K26,其他调用!$AG$5:$AG$364,0),0),1)*INDEX(其他调用!AB$5:AB$404,MATCH($K26,其他调用!$X$5:$X$404,0),0)</f>
        <v>9876.6121387896274</v>
      </c>
      <c r="Y26" s="12">
        <f>MIN(INDEX(其他调用!$AI$5:$AI$364,MATCH($K26,其他调用!$AG$5:$AG$364,0),1)/INDEX(其他调用!AL$5:AL$364,MATCH($K26,其他调用!$AG$5:$AG$364,0),0),1)*INDEX(其他调用!AC$5:AC$404,MATCH($K26,其他调用!$X$5:$X$404,0),0)</f>
        <v>3423.7961843072499</v>
      </c>
      <c r="Z26" s="12">
        <f>求节点(节奏总纲!D$4:D$163,标准城池设计!AD$4:AD$163,$K26)*求节点(节奏总纲!D$4:D$163,攻城基础信息!$AE$5:$AE$164,$K26)</f>
        <v>208488.52732945202</v>
      </c>
      <c r="AA26" s="12">
        <f>INDEX(其他调用!$AA$5:$AA$404,MATCH($K26,其他调用!$X$5:$X$404,0))*MIN(INDEX(其他调用!AJ$5:AJ$364,MATCH($K26,其他调用!$AG$5:$AG$364,0),1)/INDEX(其他调用!$AJ$5:$AJ$364,MATCH($K26,其他调用!$AG$5:$AG$364,0),0),5)*求节点(节奏总纲!D$4:D$163,攻城基础信息!$AE$5:$AE$164,$K26)</f>
        <v>69610.830106523164</v>
      </c>
      <c r="AB26" s="12">
        <f>MIN(INDEX(其他调用!$AJ$5:$AJ$364,MATCH($K26,其他调用!$AG$5:$AG$364,0),1)/INDEX(其他调用!AH$5:AH$364,MATCH($K26,其他调用!$AG$5:$AG$364,0),0),1)*INDEX(其他调用!Y$5:Y$404,MATCH($K26,其他调用!$X$5:$X$404,0),0)</f>
        <v>27580.980128158262</v>
      </c>
      <c r="AC26" s="12">
        <f>MIN(INDEX(其他调用!$AJ$5:$AJ$364,MATCH($K26,其他调用!$AG$5:$AG$364,0),1)/INDEX(其他调用!AI$5:AI$364,MATCH($K26,其他调用!$AG$5:$AG$364,0),0),1)*INDEX(其他调用!Z$5:Z$404,MATCH($K26,其他调用!$X$5:$X$404,0),0)</f>
        <v>28619.999665142153</v>
      </c>
      <c r="AD26" s="12">
        <f>MIN(INDEX(其他调用!$AJ$5:$AJ$364,MATCH($K26,其他调用!$AG$5:$AG$364,0),1)/INDEX(其他调用!AJ$5:AJ$364,MATCH($K26,其他调用!$AG$5:$AG$364,0),0),1)*INDEX(其他调用!AA$5:AA$404,MATCH($K26,其他调用!$X$5:$X$404,0),0)</f>
        <v>30010.729479142297</v>
      </c>
      <c r="AE26" s="12">
        <f>MIN(INDEX(其他调用!$AJ$5:$AJ$364,MATCH($K26,其他调用!$AG$5:$AG$364,0),1)/INDEX(其他调用!AK$5:AK$364,MATCH($K26,其他调用!$AG$5:$AG$364,0),0),1)*INDEX(其他调用!AB$5:AB$404,MATCH($K26,其他调用!$X$5:$X$404,0),0)</f>
        <v>14428.297187635995</v>
      </c>
      <c r="AF26" s="12">
        <f>MIN(INDEX(其他调用!$AJ$5:$AJ$364,MATCH($K26,其他调用!$AG$5:$AG$364,0),1)/INDEX(其他调用!AL$5:AL$364,MATCH($K26,其他调用!$AG$5:$AG$364,0),0),1)*INDEX(其他调用!AC$5:AC$404,MATCH($K26,其他调用!$X$5:$X$404,0),0)</f>
        <v>5001.6694148660799</v>
      </c>
      <c r="AG26" s="12">
        <f>求节点(节奏总纲!D$4:D$163,标准城池设计!AE$4:AE$163,$K26)*求节点(节奏总纲!D$4:D$163,攻城基础信息!$AF$5:$AF$164,$K26)</f>
        <v>242055.59462772045</v>
      </c>
      <c r="AH26" s="12">
        <f>INDEX(其他调用!$AA$5:$AA$404,MATCH($K26,其他调用!$X$5:$X$404,0))*MIN(INDEX(其他调用!AK$5:AK$364,MATCH($K26,其他调用!$AG$5:$AG$364,0),1)/INDEX(其他调用!$AJ$5:$AJ$364,MATCH($K26,其他调用!$AG$5:$AG$364,0),0),5)*求节点(节奏总纲!D$4:D$163,攻城基础信息!$AF$5:$AF$164,$K26)</f>
        <v>154554.74621190404</v>
      </c>
      <c r="AI26" s="12">
        <f>MIN(INDEX(其他调用!$AK$5:$AK$364,MATCH($K26,其他调用!$AG$5:$AG$364,0),1)/INDEX(其他调用!AH$5:AH$364,MATCH($K26,其他调用!$AG$5:$AG$364,0),0),1)*INDEX(其他调用!Y$5:Y$404,MATCH($K26,其他调用!$X$5:$X$404,0),0)</f>
        <v>27580.980128158262</v>
      </c>
      <c r="AJ26" s="12">
        <f>MIN(INDEX(其他调用!$AK$5:$AK$364,MATCH($K26,其他调用!$AG$5:$AG$364,0),1)/INDEX(其他调用!AI$5:AI$364,MATCH($K26,其他调用!$AG$5:$AG$364,0),0),1)*INDEX(其他调用!Z$5:Z$404,MATCH($K26,其他调用!$X$5:$X$404,0),0)</f>
        <v>28619.999665142153</v>
      </c>
      <c r="AK26" s="12">
        <f>MIN(INDEX(其他调用!$AK$5:$AK$364,MATCH($K26,其他调用!$AG$5:$AG$364,0),1)/INDEX(其他调用!AJ$5:AJ$364,MATCH($K26,其他调用!$AG$5:$AG$364,0),0),1)*INDEX(其他调用!AA$5:AA$404,MATCH($K26,其他调用!$X$5:$X$404,0),0)</f>
        <v>30010.729479142297</v>
      </c>
      <c r="AL26" s="12">
        <f>MIN(INDEX(其他调用!$AK$5:$AK$364,MATCH($K26,其他调用!$AG$5:$AG$364,0),1)/INDEX(其他调用!AK$5:AK$364,MATCH($K26,其他调用!$AG$5:$AG$364,0),0),1)*INDEX(其他调用!AB$5:AB$404,MATCH($K26,其他调用!$X$5:$X$404,0),0)</f>
        <v>32034.696421412773</v>
      </c>
      <c r="AM26" s="12">
        <f>MIN(INDEX(其他调用!$AK$5:$AK$364,MATCH($K26,其他调用!$AG$5:$AG$364,0),1)/INDEX(其他调用!AL$5:AL$364,MATCH($K26,其他调用!$AG$5:$AG$364,0),0),1)*INDEX(其他调用!AC$5:AC$404,MATCH($K26,其他调用!$X$5:$X$404,0),0)</f>
        <v>11105.049973797535</v>
      </c>
      <c r="AN26" s="12">
        <f>求节点(节奏总纲!D$4:D$163,标准城池设计!AF$4:AF$163,$K26)*求节点(节奏总纲!D$4:D$163,攻城基础信息!$AG$5:$AG$164,$K26)</f>
        <v>249545.92998978548</v>
      </c>
      <c r="AO26" s="12">
        <f>INDEX(其他调用!$AA$5:$AA$404,MATCH($K26,其他调用!$X$5:$X$404,0))*MIN(INDEX(其他调用!AL$5:AL$364,MATCH($K26,其他调用!$AG$5:$AG$364,0),1)/INDEX(其他调用!$AJ$5:$AJ$364,MATCH($K26,其他调用!$AG$5:$AG$364,0),0),5)*求节点(节奏总纲!D$4:D$163,攻城基础信息!$AG$5:$AG$164,$K26)</f>
        <v>348054.15053261584</v>
      </c>
      <c r="AP26" s="12">
        <f>MIN(INDEX(其他调用!$AL$5:$AL$364,MATCH($K26,其他调用!$AG$5:$AG$364,0),1)/INDEX(其他调用!AH$5:AH$364,MATCH($K26,其他调用!$AG$5:$AG$364,0),0),1)*INDEX(其他调用!Y$5:Y$404,MATCH($K26,其他调用!$X$5:$X$404,0),0)</f>
        <v>27580.980128158262</v>
      </c>
      <c r="AQ26" s="12">
        <f>MIN(INDEX(其他调用!$AL$5:$AL$364,MATCH($K26,其他调用!$AG$5:$AG$364,0),1)/INDEX(其他调用!AI$5:AI$364,MATCH($K26,其他调用!$AG$5:$AG$364,0),0),1)*INDEX(其他调用!Z$5:Z$404,MATCH($K26,其他调用!$X$5:$X$404,0),0)</f>
        <v>28619.999665142153</v>
      </c>
      <c r="AR26" s="12">
        <f>MIN(INDEX(其他调用!$AL$5:$AL$364,MATCH($K26,其他调用!$AG$5:$AG$364,0),1)/INDEX(其他调用!AJ$5:AJ$364,MATCH($K26,其他调用!$AG$5:$AG$364,0),0),1)*INDEX(其他调用!AA$5:AA$404,MATCH($K26,其他调用!$X$5:$X$404,0),0)</f>
        <v>30010.729479142297</v>
      </c>
      <c r="AS26" s="12">
        <f>MIN(INDEX(其他调用!$AL$5:$AL$364,MATCH($K26,其他调用!$AG$5:$AG$364,0),1)/INDEX(其他调用!AK$5:AK$364,MATCH($K26,其他调用!$AG$5:$AG$364,0),0),1)*INDEX(其他调用!AB$5:AB$404,MATCH($K26,其他调用!$X$5:$X$404,0),0)</f>
        <v>32034.696421412773</v>
      </c>
      <c r="AT26" s="12">
        <f>MIN(INDEX(其他调用!$AL$5:$AL$364,MATCH($K26,其他调用!$AG$5:$AG$364,0),1)/INDEX(其他调用!AL$5:AL$364,MATCH($K26,其他调用!$AG$5:$AG$364,0),0),1)*INDEX(其他调用!AC$5:AC$404,MATCH($K26,其他调用!$X$5:$X$404,0),0)</f>
        <v>35779.93564858126</v>
      </c>
      <c r="AV26" s="14">
        <f>IF(OR(AV$5="大R",AV$5="超R"),MAX(INDEX(其他调用!$H$5:$L$404,MATCH($K26,其他调用!$B$5:$B$404,0),MATCH(AV$5,其他调用!$H$4:$L$4,0))*120*0.85,2),INDEX(其他调用!$H$5:$L$404,MATCH($K26,其他调用!$B$5:$B$404,0),MATCH(AV$5,其他调用!$H$4:$L$4,0))*120*0.85)</f>
        <v>58.483499388714755</v>
      </c>
      <c r="AW26" s="14">
        <f>IF(OR(AW$5="大R",AW$5="超R"),MAX(INDEX(其他调用!$H$5:$L$404,MATCH($K26,其他调用!$B$5:$B$404,0),MATCH(AW$5,其他调用!$H$4:$L$4,0))*120*0.85,2),INDEX(其他调用!$H$5:$L$404,MATCH($K26,其他调用!$B$5:$B$404,0),MATCH(AW$5,其他调用!$H$4:$L$4,0))*120*0.85)</f>
        <v>39.059848067285245</v>
      </c>
      <c r="AX26" s="14">
        <f>IF(OR(AX$5="大R",AX$5="超R"),MAX(INDEX(其他调用!$H$5:$L$404,MATCH($K26,其他调用!$B$5:$B$404,0),MATCH(AX$5,其他调用!$H$4:$L$4,0))*120*0.85,2),INDEX(其他调用!$H$5:$L$404,MATCH($K26,其他调用!$B$5:$B$404,0),MATCH(AX$5,其他调用!$H$4:$L$4,0))*120*0.85)</f>
        <v>3.7614205439999999</v>
      </c>
      <c r="AY26" s="14">
        <f>IF(OR(AY$5="大R",AY$5="超R"),MAX(INDEX(其他调用!$H$5:$L$404,MATCH($K26,其他调用!$B$5:$B$404,0),MATCH(AY$5,其他调用!$H$4:$L$4,0))*120*0.85,2),INDEX(其他调用!$H$5:$L$404,MATCH($K26,其他调用!$B$5:$B$404,0),MATCH(AY$5,其他调用!$H$4:$L$4,0))*120*0.85)</f>
        <v>2</v>
      </c>
      <c r="AZ26" s="14">
        <f>IF(OR(AZ$5="大R",AZ$5="超R"),MAX(INDEX(其他调用!$H$5:$L$404,MATCH($K26,其他调用!$B$5:$B$404,0),MATCH(AZ$5,其他调用!$H$4:$L$4,0))*120*0.85,2),INDEX(其他调用!$H$5:$L$404,MATCH($K26,其他调用!$B$5:$B$404,0),MATCH(AZ$5,其他调用!$H$4:$L$4,0))*120*0.85)</f>
        <v>2</v>
      </c>
      <c r="BA26" s="14">
        <f>INDEX(其他调用!$H$5:$L$404,MATCH($K26,其他调用!$B$5:$B$404,0),MATCH(BA$5,其他调用!$H$4:$L$4,0))*INDEX(其他调用!$M$5:$M$404,MATCH($K26,其他调用!$B$5:$B$404,0))*0.6</f>
        <v>28.70114591849531</v>
      </c>
      <c r="BB26" s="14">
        <f>INDEX(其他调用!$H$5:$L$404,MATCH($K26,其他调用!$B$5:$B$404,0),MATCH(BB$5,其他调用!$H$4:$L$4,0))*INDEX(其他调用!$M$5:$M$404,MATCH($K26,其他调用!$B$5:$B$404,0))*0.6</f>
        <v>19.168866614533265</v>
      </c>
      <c r="BC26" s="14">
        <f>INDEX(其他调用!$H$5:$L$404,MATCH($K26,其他调用!$B$5:$B$404,0),MATCH(BC$5,其他调用!$H$4:$L$4,0))*INDEX(其他调用!$M$5:$M$404,MATCH($K26,其他调用!$B$5:$B$404,0))*0.6</f>
        <v>1.8459408383999998</v>
      </c>
      <c r="BD26" s="14">
        <f>INDEX(其他调用!$H$5:$L$404,MATCH($K26,其他调用!$B$5:$B$404,0),MATCH(BD$5,其他调用!$H$4:$L$4,0))*INDEX(其他调用!$M$5:$M$404,MATCH($K26,其他调用!$B$5:$B$404,0))*0.6</f>
        <v>0.27586491428571436</v>
      </c>
      <c r="BE26" s="14">
        <f>INDEX(其他调用!$H$5:$L$404,MATCH($K26,其他调用!$B$5:$B$404,0),MATCH(BE$5,其他调用!$H$4:$L$4,0))*INDEX(其他调用!$M$5:$M$404,MATCH($K26,其他调用!$B$5:$B$404,0))*0.6</f>
        <v>6.5324571428571426E-2</v>
      </c>
      <c r="BF26" s="14">
        <f>IF(OR(BF$5="大R",BF$5="超R"),0,INDEX(其他调用!$H$5:$L$404,MATCH($K26,其他调用!$B$5:$B$404,0),MATCH(BF$5,其他调用!$H$4:$L$4,0))*50*0.4)</f>
        <v>11.46735282131662</v>
      </c>
      <c r="BG26" s="14">
        <f>IF(OR(BG$5="大R",BG$5="超R"),0,INDEX(其他调用!$H$5:$L$404,MATCH($K26,其他调用!$B$5:$B$404,0),MATCH(BG$5,其他调用!$H$4:$L$4,0))*50*0.4)</f>
        <v>7.6587937386833822</v>
      </c>
      <c r="BH26" s="14">
        <f>IF(OR(BH$5="大R",BH$5="超R"),0,INDEX(其他调用!$H$5:$L$404,MATCH($K26,其他调用!$B$5:$B$404,0),MATCH(BH$5,其他调用!$H$4:$L$4,0))*50*0.4)</f>
        <v>0.73753343999999998</v>
      </c>
      <c r="BI26" s="14">
        <f>IF(OR(BI$5="大R",BI$5="超R"),0,INDEX(其他调用!$H$5:$L$404,MATCH($K26,其他调用!$B$5:$B$404,0),MATCH(BI$5,其他调用!$H$4:$L$4,0))*50*0.4)</f>
        <v>0</v>
      </c>
      <c r="BJ26" s="14">
        <f>IF(OR(BJ$5="大R",BJ$5="超R"),0,INDEX(其他调用!$H$5:$L$404,MATCH($K26,其他调用!$B$5:$B$404,0),MATCH(BJ$5,其他调用!$H$4:$L$4,0))*50*0.4)</f>
        <v>0</v>
      </c>
      <c r="BL26" s="14">
        <f t="shared" si="103"/>
        <v>21</v>
      </c>
      <c r="BM26" s="14">
        <f t="shared" si="10"/>
        <v>96</v>
      </c>
      <c r="BN26" s="14">
        <f>('疲劳值&amp;地图信息'!$S$10*'疲劳值&amp;地图信息'!$R$10+'疲劳值&amp;地图信息'!$S$11*'疲劳值&amp;地图信息'!$R$11+'疲劳值&amp;地图信息'!$S$12*'疲劳值&amp;地图信息'!$R$12+(BM26-'疲劳值&amp;地图信息'!$S$12-'疲劳值&amp;地图信息'!$S$11-'疲劳值&amp;地图信息'!$S$10)*'疲劳值&amp;地图信息'!$R$13)/BM26</f>
        <v>51.371477246638619</v>
      </c>
      <c r="BO26" s="14">
        <f>INDEX(其他调用!$M$5:$M$404,MATCH(BL26,其他调用!$B$5:$B$404,0))*0.6</f>
        <v>50.057142857142857</v>
      </c>
      <c r="BP26" s="14">
        <f>IF(BO26&gt;SUM('疲劳值&amp;地图信息'!$S$10:$S$12),('疲劳值&amp;地图信息'!$S$10*'疲劳值&amp;地图信息'!$R$10+'疲劳值&amp;地图信息'!$S$11*'疲劳值&amp;地图信息'!$R$11+'疲劳值&amp;地图信息'!$S$12*'疲劳值&amp;地图信息'!$R$12+(BO26-'疲劳值&amp;地图信息'!$S$12-'疲劳值&amp;地图信息'!$S$11-'疲劳值&amp;地图信息'!$S$10)*'疲劳值&amp;地图信息'!$R$13)/BO26,('疲劳值&amp;地图信息'!$S$10*'疲劳值&amp;地图信息'!$R$10+'疲劳值&amp;地图信息'!$S$11*'疲劳值&amp;地图信息'!$R$11+'疲劳值&amp;地图信息'!$S$12*'疲劳值&amp;地图信息'!$R$12+(BO26-'疲劳值&amp;地图信息'!$S$12-'疲劳值&amp;地图信息'!$S$11-'疲劳值&amp;地图信息'!$S$10)*'疲劳值&amp;地图信息'!$R$13)/BO26)</f>
        <v>40.337371296017871</v>
      </c>
      <c r="BQ26" s="14">
        <f t="shared" si="104"/>
        <v>20</v>
      </c>
      <c r="BR26" s="14">
        <f>('疲劳值&amp;地图信息'!$S$10*'疲劳值&amp;地图信息'!$R$10+($BQ26-'疲劳值&amp;地图信息'!$S$10)*'疲劳值&amp;地图信息'!$R$11)/$BQ26</f>
        <v>32.067203015074995</v>
      </c>
      <c r="BW26" s="14" t="s">
        <v>277</v>
      </c>
      <c r="BX26" s="14">
        <v>15000</v>
      </c>
      <c r="BY26" s="14">
        <v>350</v>
      </c>
      <c r="CF26" s="14">
        <v>21</v>
      </c>
      <c r="CG26" s="51">
        <f t="shared" si="11"/>
        <v>4222</v>
      </c>
      <c r="CH26" s="51">
        <f t="shared" si="12"/>
        <v>850</v>
      </c>
      <c r="CI26" s="51">
        <f>INT(SUMPRODUCT($N26:$R26,$BA26:$BE26)/SUM($BA26:$BE26)/10000*$BX$7*$BZ$34/'疲劳值&amp;地图信息'!$R$10*$BY$53)</f>
        <v>2560</v>
      </c>
      <c r="CJ26" s="50">
        <f t="shared" si="13"/>
        <v>0.55319706498951782</v>
      </c>
      <c r="CK26" s="50">
        <f t="shared" si="14"/>
        <v>0.11137316561844864</v>
      </c>
      <c r="CL26" s="50">
        <f t="shared" si="15"/>
        <v>0.33542976939203356</v>
      </c>
      <c r="CM26" s="14">
        <f t="shared" si="16"/>
        <v>4357</v>
      </c>
      <c r="CN26" s="14">
        <f t="shared" si="17"/>
        <v>1063</v>
      </c>
      <c r="CO26" s="14">
        <f>INT(SUMPRODUCT($U26:$Y26,$BA26:$BE26)/SUM($BA26:$BE26)/10000*$BX$7*$BZ$34/'疲劳值&amp;地图信息'!$R$10*$BY$54)</f>
        <v>4199</v>
      </c>
      <c r="CP26" s="50">
        <f t="shared" si="18"/>
        <v>0.4529576879093461</v>
      </c>
      <c r="CQ26" s="50">
        <f t="shared" si="19"/>
        <v>0.1105104480715251</v>
      </c>
      <c r="CR26" s="50">
        <f t="shared" si="20"/>
        <v>0.4365318640191288</v>
      </c>
      <c r="CS26" s="14">
        <f t="shared" si="21"/>
        <v>4651</v>
      </c>
      <c r="CT26" s="14">
        <f t="shared" si="22"/>
        <v>1553</v>
      </c>
      <c r="CU26" s="14">
        <f>INT(SUMPRODUCT($AB26:$AF26,$BA26:$BE26)/SUM($BA26:$BE26)/10000*$BX$7*$BZ$34/'疲劳值&amp;地图信息'!$R$10*$BY$55)</f>
        <v>5675</v>
      </c>
      <c r="CV26" s="50">
        <f t="shared" si="23"/>
        <v>0.39153127367623536</v>
      </c>
      <c r="CW26" s="50">
        <f t="shared" si="24"/>
        <v>0.13073491034598872</v>
      </c>
      <c r="CX26" s="50">
        <f t="shared" si="25"/>
        <v>0.47773381597777592</v>
      </c>
      <c r="CY26" s="14">
        <f t="shared" si="26"/>
        <v>5400</v>
      </c>
      <c r="CZ26" s="14">
        <f t="shared" si="27"/>
        <v>3448</v>
      </c>
      <c r="DA26" s="14">
        <f>INT(SUMPRODUCT($AI26:$AM26,$BA26:$BE26)/SUM($BA26:$BE26)/10000*$BX$7*$BZ$34/'疲劳值&amp;地图信息'!$R$10*$BY$56)</f>
        <v>8545</v>
      </c>
      <c r="DB26" s="50">
        <f t="shared" si="28"/>
        <v>0.31046972920140287</v>
      </c>
      <c r="DC26" s="50">
        <f t="shared" si="29"/>
        <v>0.19824067153452538</v>
      </c>
      <c r="DD26" s="50">
        <f t="shared" si="30"/>
        <v>0.49128959926407173</v>
      </c>
      <c r="DE26" s="14">
        <f t="shared" si="31"/>
        <v>5567</v>
      </c>
      <c r="DF26" s="14">
        <f t="shared" si="32"/>
        <v>7765</v>
      </c>
      <c r="DG26" s="14">
        <f>INT(SUMPRODUCT($AP26:$AT26,$BA26:$BE26)/SUM($BA26:$BE26)/10000*$BX$7*$BZ$34/'疲劳值&amp;地图信息'!$R$10*$BY$57)</f>
        <v>11406</v>
      </c>
      <c r="DH26" s="50">
        <f t="shared" si="33"/>
        <v>0.2250384024577573</v>
      </c>
      <c r="DI26" s="50">
        <f t="shared" si="34"/>
        <v>0.31388956261621798</v>
      </c>
      <c r="DJ26" s="50">
        <f t="shared" si="35"/>
        <v>0.46107203492602472</v>
      </c>
      <c r="DL26" s="14">
        <f t="shared" si="106"/>
        <v>7632</v>
      </c>
      <c r="DM26" s="14">
        <f t="shared" si="107"/>
        <v>9619</v>
      </c>
      <c r="DN26" s="14">
        <f t="shared" si="108"/>
        <v>11879</v>
      </c>
      <c r="DO26" s="14">
        <f t="shared" si="109"/>
        <v>17393</v>
      </c>
      <c r="DP26" s="14">
        <f t="shared" si="110"/>
        <v>24738</v>
      </c>
      <c r="DQ26" s="14">
        <f t="shared" si="111"/>
        <v>431774</v>
      </c>
      <c r="DT26" s="14">
        <f t="shared" si="105"/>
        <v>235575</v>
      </c>
      <c r="DU26" s="50">
        <f t="shared" si="7"/>
        <v>0.35300120326845474</v>
      </c>
      <c r="DW26" s="14">
        <f t="shared" si="36"/>
        <v>667349</v>
      </c>
      <c r="EB26" s="14">
        <v>21</v>
      </c>
      <c r="EC26" s="51">
        <f t="shared" si="37"/>
        <v>7036</v>
      </c>
      <c r="ED26" s="51">
        <f t="shared" si="38"/>
        <v>1417</v>
      </c>
      <c r="EE26" s="51">
        <f>INT(SUMPRODUCT($N26:$R26,$BF26:$BJ26)/SUM($BF26:$BJ26)/10000*$BX$7*$BZ$46/'疲劳值&amp;地图信息'!$R$10*$BY$53)</f>
        <v>343</v>
      </c>
      <c r="EF26" s="50">
        <f t="shared" si="39"/>
        <v>0.79990904956798548</v>
      </c>
      <c r="EG26" s="50">
        <f t="shared" si="40"/>
        <v>0.16109595270577534</v>
      </c>
      <c r="EH26" s="50">
        <f t="shared" si="41"/>
        <v>3.8994997726239197E-2</v>
      </c>
      <c r="EI26" s="51">
        <f t="shared" si="42"/>
        <v>7262</v>
      </c>
      <c r="EJ26" s="51">
        <f t="shared" si="43"/>
        <v>1771</v>
      </c>
      <c r="EK26" s="14">
        <f>INT(SUMPRODUCT($U26:$Y26,$BF26:$BJ26)/SUM($BF26:$BJ26)/10000*$BX$7*$BZ$46/'疲劳值&amp;地图信息'!$R$10*$BY$54)</f>
        <v>562</v>
      </c>
      <c r="EL26" s="50">
        <f t="shared" si="44"/>
        <v>0.75685252735799891</v>
      </c>
      <c r="EM26" s="50">
        <f t="shared" si="45"/>
        <v>0.18457529963522668</v>
      </c>
      <c r="EN26" s="50">
        <f t="shared" si="46"/>
        <v>5.8572173006774364E-2</v>
      </c>
      <c r="EO26" s="51">
        <f t="shared" si="47"/>
        <v>7752</v>
      </c>
      <c r="EP26" s="51">
        <f t="shared" si="48"/>
        <v>2588</v>
      </c>
      <c r="EQ26" s="14">
        <f>INT(SUMPRODUCT($AB26:$AF26,$BF26:$BJ26)/SUM($BF26:$BJ26)/10000*$BX$7*$BZ$46/'疲劳值&amp;地图信息'!$R$10*$BY$55)</f>
        <v>759</v>
      </c>
      <c r="ER26" s="50">
        <f t="shared" si="49"/>
        <v>0.69844130101810975</v>
      </c>
      <c r="ES26" s="50">
        <f t="shared" si="50"/>
        <v>0.2331741598342193</v>
      </c>
      <c r="ET26" s="50">
        <f t="shared" si="51"/>
        <v>6.8384539147670967E-2</v>
      </c>
      <c r="EU26" s="51">
        <f t="shared" si="52"/>
        <v>9001</v>
      </c>
      <c r="EV26" s="51">
        <f t="shared" si="53"/>
        <v>5747</v>
      </c>
      <c r="EW26" s="14">
        <f>INT(SUMPRODUCT($AI26:$AM26,$BF26:$BJ26)/SUM($BF26:$BJ26)/10000*$BX$7*$BZ$46/'疲劳值&amp;地图信息'!$R$10*$BY$56)</f>
        <v>1139</v>
      </c>
      <c r="EX26" s="50">
        <f t="shared" si="54"/>
        <v>0.56656385724177005</v>
      </c>
      <c r="EY26" s="50">
        <f t="shared" si="55"/>
        <v>0.36174230502926924</v>
      </c>
      <c r="EZ26" s="50">
        <f t="shared" si="56"/>
        <v>7.1693837728960791E-2</v>
      </c>
      <c r="FA26" s="51">
        <f t="shared" si="57"/>
        <v>9279</v>
      </c>
      <c r="FB26" s="51">
        <f t="shared" si="58"/>
        <v>12942</v>
      </c>
      <c r="FC26" s="14">
        <f>INT(SUMPRODUCT($AP26:$AT26,$BF26:$BJ26)/SUM($BF26:$BJ26)/10000*$BX$7*$BZ$46/'疲劳值&amp;地图信息'!$R$10*$BY$57)</f>
        <v>1519</v>
      </c>
      <c r="FD26" s="50">
        <f t="shared" si="59"/>
        <v>0.39085930918281381</v>
      </c>
      <c r="FE26" s="50">
        <f t="shared" si="60"/>
        <v>0.54515585509688291</v>
      </c>
      <c r="FF26" s="50">
        <f t="shared" si="61"/>
        <v>6.3984835720303279E-2</v>
      </c>
      <c r="FH26" s="14">
        <f t="shared" si="62"/>
        <v>8796</v>
      </c>
      <c r="FI26" s="14">
        <f t="shared" si="63"/>
        <v>9595</v>
      </c>
      <c r="FJ26" s="14">
        <f t="shared" si="64"/>
        <v>11099</v>
      </c>
      <c r="FK26" s="14">
        <f t="shared" si="65"/>
        <v>15887</v>
      </c>
      <c r="FL26" s="14">
        <f t="shared" si="66"/>
        <v>23740</v>
      </c>
      <c r="FM26" s="14">
        <f t="shared" si="67"/>
        <v>1010202</v>
      </c>
      <c r="FP26" s="14">
        <f t="shared" si="68"/>
        <v>334150</v>
      </c>
      <c r="FQ26" s="50">
        <f t="shared" si="8"/>
        <v>0.2485584132727143</v>
      </c>
      <c r="FS26" s="14">
        <f t="shared" si="69"/>
        <v>1344352</v>
      </c>
      <c r="FX26" s="14">
        <v>21</v>
      </c>
      <c r="FY26" s="51">
        <f t="shared" si="70"/>
        <v>9851</v>
      </c>
      <c r="FZ26" s="51">
        <f t="shared" si="71"/>
        <v>1417</v>
      </c>
      <c r="GA26" s="51">
        <f>INT(SUMPRODUCT($N26:$R26,$BF26:$BJ26)/SUM($BF26:$BJ26)/10000*$BX$7*$BZ$46/'疲劳值&amp;地图信息'!$R$10*$BY$53)</f>
        <v>343</v>
      </c>
      <c r="GB26" s="50">
        <f t="shared" si="72"/>
        <v>0.84841960210145551</v>
      </c>
      <c r="GC26" s="50">
        <f t="shared" si="73"/>
        <v>0.12203944535354405</v>
      </c>
      <c r="GD26" s="50">
        <f t="shared" si="74"/>
        <v>2.9540952545000429E-2</v>
      </c>
      <c r="GE26" s="51">
        <f t="shared" si="75"/>
        <v>10168</v>
      </c>
      <c r="GF26" s="51">
        <f t="shared" si="76"/>
        <v>1771</v>
      </c>
      <c r="GG26" s="14">
        <f>INT(SUMPRODUCT($U26:$Y26,$BF26:$BJ26)/SUM($BF26:$BJ26)/10000*$BX$7*$BZ$46/'疲劳值&amp;地图信息'!$R$10*$BY$54)</f>
        <v>562</v>
      </c>
      <c r="GH26" s="50">
        <f t="shared" si="77"/>
        <v>0.81337493000559957</v>
      </c>
      <c r="GI26" s="50">
        <f t="shared" si="78"/>
        <v>0.14166866650667947</v>
      </c>
      <c r="GJ26" s="50">
        <f t="shared" si="79"/>
        <v>4.4956403487720981E-2</v>
      </c>
      <c r="GK26" s="51">
        <f t="shared" si="80"/>
        <v>10854</v>
      </c>
      <c r="GL26" s="51">
        <f t="shared" si="81"/>
        <v>2588</v>
      </c>
      <c r="GM26" s="14">
        <f>INT(SUMPRODUCT($AB26:$AF26,$BF26:$BJ26)/SUM($BF26:$BJ26)/10000*$BX$7*$BZ$46/'疲劳值&amp;地图信息'!$R$10*$BY$55)</f>
        <v>759</v>
      </c>
      <c r="GN26" s="50">
        <f t="shared" si="82"/>
        <v>0.76431237236814309</v>
      </c>
      <c r="GO26" s="50">
        <f t="shared" si="83"/>
        <v>0.18224068727554399</v>
      </c>
      <c r="GP26" s="50">
        <f t="shared" si="84"/>
        <v>5.3446940356312936E-2</v>
      </c>
      <c r="GQ26" s="51">
        <f t="shared" si="85"/>
        <v>12601</v>
      </c>
      <c r="GR26" s="51">
        <f t="shared" si="86"/>
        <v>5747</v>
      </c>
      <c r="GS26" s="14">
        <f>INT(SUMPRODUCT($AI26:$AM26,$BF26:$BJ26)/SUM($BF26:$BJ26)/10000*$BX$7*$BZ$46/'疲劳值&amp;地图信息'!$R$10*$BY$56)</f>
        <v>1139</v>
      </c>
      <c r="GT26" s="50">
        <f t="shared" si="87"/>
        <v>0.64663621901780677</v>
      </c>
      <c r="GU26" s="50">
        <f t="shared" si="88"/>
        <v>0.29491455842356445</v>
      </c>
      <c r="GV26" s="50">
        <f t="shared" si="89"/>
        <v>5.8449222558628833E-2</v>
      </c>
      <c r="GW26" s="51">
        <f t="shared" si="90"/>
        <v>12991</v>
      </c>
      <c r="GX26" s="51">
        <f t="shared" si="91"/>
        <v>12942</v>
      </c>
      <c r="GY26" s="14">
        <f>INT(SUMPRODUCT($AP26:$AT26,$BF26:$BJ26)/SUM($BF26:$BJ26)/10000*$BX$7*$BZ$46/'疲劳值&amp;地图信息'!$R$10*$BY$57)</f>
        <v>1519</v>
      </c>
      <c r="GZ26" s="50">
        <f t="shared" si="92"/>
        <v>0.47322599446306279</v>
      </c>
      <c r="HA26" s="50">
        <f t="shared" si="93"/>
        <v>0.47144106076060033</v>
      </c>
      <c r="HB26" s="50">
        <f t="shared" si="94"/>
        <v>5.5332944776336879E-2</v>
      </c>
      <c r="HD26" s="14">
        <f t="shared" si="95"/>
        <v>11611</v>
      </c>
      <c r="HE26" s="14">
        <f t="shared" si="96"/>
        <v>12501</v>
      </c>
      <c r="HF26" s="14">
        <f t="shared" si="97"/>
        <v>14201</v>
      </c>
      <c r="HG26" s="14">
        <f t="shared" si="98"/>
        <v>19487</v>
      </c>
      <c r="HH26" s="14">
        <f t="shared" si="99"/>
        <v>27452</v>
      </c>
      <c r="HI26" s="14">
        <f t="shared" si="100"/>
        <v>1314633</v>
      </c>
      <c r="HL26" s="14">
        <f t="shared" si="101"/>
        <v>430050</v>
      </c>
      <c r="HM26" s="50">
        <f t="shared" si="9"/>
        <v>0.24649176956501553</v>
      </c>
      <c r="HO26" s="14">
        <f t="shared" si="102"/>
        <v>1744683</v>
      </c>
    </row>
    <row r="27" spans="3:223" x14ac:dyDescent="0.2">
      <c r="C27" s="1" t="s">
        <v>431</v>
      </c>
      <c r="D27" s="1" t="s">
        <v>480</v>
      </c>
      <c r="K27" s="14">
        <v>22</v>
      </c>
      <c r="L27" s="12">
        <f>求节点(节奏总纲!D$4:D$163,标准城池设计!AB$4:AB$163,$K27)*求节点(节奏总纲!D$4:D$163,攻城基础信息!$AC$5:$AC$164,$K27)</f>
        <v>195623.01255253886</v>
      </c>
      <c r="M27" s="12">
        <f>INDEX(其他调用!$AA$5:$AA$404,MATCH(K27,其他调用!$X$5:$X$404,0))*MIN(INDEX(其他调用!$AH$5:$AH$364,MATCH('征服点（新）'!K27,其他调用!$AG$5:$AG$364,0),1)/INDEX(其他调用!$AJ$5:$AJ$364,MATCH(K27,其他调用!$AG$5:$AG$364,0),0),5)*求节点(节奏总纲!D$4:D$163,攻城基础信息!$AC$5:$AC$164,$K27)</f>
        <v>37319.467144991577</v>
      </c>
      <c r="N27" s="12">
        <f>MIN(INDEX(其他调用!$AH$5:$AH$364,MATCH($K27,其他调用!$AG$5:$AG$364,0),1)/INDEX(其他调用!AH$5:AH$364,MATCH($K27,其他调用!$AG$5:$AG$364,0),0),1)*INDEX(其他调用!Y$5:Y$404,MATCH($K27,其他调用!$X$5:$X$404,0),0)</f>
        <v>27826.337279047068</v>
      </c>
      <c r="O27" s="12">
        <f>MIN(INDEX(其他调用!$AH$5:$AH$364,MATCH($K27,其他调用!$AG$5:$AG$364,0),1)/INDEX(其他调用!AI$5:AI$364,MATCH($K27,其他调用!$AG$5:$AG$364,0),0),1)*INDEX(其他调用!Z$5:Z$404,MATCH($K27,其他调用!$X$5:$X$404,0),0)</f>
        <v>23072.408032166302</v>
      </c>
      <c r="P27" s="12">
        <f>MIN(INDEX(其他调用!$AH$5:$AH$364,MATCH($K27,其他调用!$AG$5:$AG$364,0),1)/INDEX(其他调用!AJ$5:AJ$364,MATCH($K27,其他调用!$AG$5:$AG$364,0),0),1)*INDEX(其他调用!AA$5:AA$404,MATCH($K27,其他调用!$X$5:$X$404,0),0)</f>
        <v>15941.810060229916</v>
      </c>
      <c r="Q27" s="12">
        <f>MIN(INDEX(其他调用!$AH$5:$AH$364,MATCH($K27,其他调用!$AG$5:$AG$364,0),1)/INDEX(其他调用!AK$5:AK$364,MATCH($K27,其他调用!$AG$5:$AG$364,0),0),1)*INDEX(其他调用!AB$5:AB$404,MATCH($K27,其他调用!$X$5:$X$404,0),0)</f>
        <v>7758.5336741823585</v>
      </c>
      <c r="R27" s="12">
        <f>MIN(INDEX(其他调用!$AH$5:$AH$364,MATCH($K27,其他调用!$AG$5:$AG$364,0),1)/INDEX(其他调用!AL$5:AL$364,MATCH($K27,其他调用!$AG$5:$AG$364,0),0),1)*INDEX(其他调用!AC$5:AC$404,MATCH($K27,其他调用!$X$5:$X$404,0),0)</f>
        <v>2668.5643789443243</v>
      </c>
      <c r="S27" s="12">
        <f>求节点(节奏总纲!D$4:D$163,标准城池设计!AC$4:AC$163,$K27)*求节点(节奏总纲!D$4:D$163,攻城基础信息!$AD$5:$AD$164,$K27)</f>
        <v>202453.65723950573</v>
      </c>
      <c r="T27" s="12">
        <f>INDEX(其他调用!$AA$5:$AA$404,MATCH($K27,其他调用!$X$5:$X$404,0))*MIN(INDEX(其他调用!AI$5:AI$364,MATCH($K27,其他调用!$AG$5:$AG$364,0),1)/INDEX(其他调用!$AJ$5:$AJ$364,MATCH($K27,其他调用!$AG$5:$AG$364,0),0),5)*求节点(节奏总纲!D$4:D$163,攻城基础信息!$AD$5:$AD$164,$K27)</f>
        <v>46700.026000660961</v>
      </c>
      <c r="U27" s="12">
        <f>MIN(INDEX(其他调用!$AI$5:$AI$364,MATCH($K27,其他调用!$AG$5:$AG$364,0),1)/INDEX(其他调用!AH$5:AH$364,MATCH($K27,其他调用!$AG$5:$AG$364,0),0),1)*INDEX(其他调用!Y$5:Y$404,MATCH($K27,其他调用!$X$5:$X$404,0),0)</f>
        <v>27826.337279047068</v>
      </c>
      <c r="V27" s="12">
        <f>MIN(INDEX(其他调用!$AI$5:$AI$364,MATCH($K27,其他调用!$AG$5:$AG$364,0),1)/INDEX(其他调用!AI$5:AI$364,MATCH($K27,其他调用!$AG$5:$AG$364,0),0),1)*INDEX(其他调用!Z$5:Z$404,MATCH($K27,其他调用!$X$5:$X$404,0),0)</f>
        <v>28871.849933276113</v>
      </c>
      <c r="W27" s="12">
        <f>MIN(INDEX(其他调用!$AI$5:$AI$364,MATCH($K27,其他调用!$AG$5:$AG$364,0),1)/INDEX(其他调用!AJ$5:AJ$364,MATCH($K27,其他调用!$AG$5:$AG$364,0),0),1)*INDEX(其他调用!AA$5:AA$404,MATCH($K27,其他调用!$X$5:$X$404,0),0)</f>
        <v>19948.916778953746</v>
      </c>
      <c r="X27" s="12">
        <f>MIN(INDEX(其他调用!$AI$5:$AI$364,MATCH($K27,其他调用!$AG$5:$AG$364,0),1)/INDEX(其他调用!AK$5:AK$364,MATCH($K27,其他调用!$AG$5:$AG$364,0),0),1)*INDEX(其他调用!AB$5:AB$404,MATCH($K27,其他调用!$X$5:$X$404,0),0)</f>
        <v>9708.7057246460463</v>
      </c>
      <c r="Y27" s="12">
        <f>MIN(INDEX(其他调用!$AI$5:$AI$364,MATCH($K27,其他调用!$AG$5:$AG$364,0),1)/INDEX(其他调用!AL$5:AL$364,MATCH($K27,其他调用!$AG$5:$AG$364,0),0),1)*INDEX(其他调用!AC$5:AC$404,MATCH($K27,其他调用!$X$5:$X$404,0),0)</f>
        <v>3339.330258842198</v>
      </c>
      <c r="Z27" s="12">
        <f>求节点(节奏总纲!D$4:D$163,标准城池设计!AD$4:AD$163,$K27)*求节点(节奏总纲!D$4:D$163,攻城基础信息!$AE$5:$AE$164,$K27)</f>
        <v>216097.9497959275</v>
      </c>
      <c r="AA27" s="12">
        <f>INDEX(其他调用!$AA$5:$AA$404,MATCH($K27,其他调用!$X$5:$X$404,0))*MIN(INDEX(其他调用!AJ$5:AJ$364,MATCH($K27,其他调用!$AG$5:$AG$364,0),1)/INDEX(其他调用!$AJ$5:$AJ$364,MATCH($K27,其他调用!$AG$5:$AG$364,0),0),5)*求节点(节奏总纲!D$4:D$163,攻城基础信息!$AE$5:$AE$164,$K27)</f>
        <v>70842.857246339801</v>
      </c>
      <c r="AB27" s="12">
        <f>MIN(INDEX(其他调用!$AJ$5:$AJ$364,MATCH($K27,其他调用!$AG$5:$AG$364,0),1)/INDEX(其他调用!AH$5:AH$364,MATCH($K27,其他调用!$AG$5:$AG$364,0),0),1)*INDEX(其他调用!Y$5:Y$404,MATCH($K27,其他调用!$X$5:$X$404,0),0)</f>
        <v>27826.337279047068</v>
      </c>
      <c r="AC27" s="12">
        <f>MIN(INDEX(其他调用!$AJ$5:$AJ$364,MATCH($K27,其他调用!$AG$5:$AG$364,0),1)/INDEX(其他调用!AI$5:AI$364,MATCH($K27,其他调用!$AG$5:$AG$364,0),0),1)*INDEX(其他调用!Z$5:Z$404,MATCH($K27,其他调用!$X$5:$X$404,0),0)</f>
        <v>28871.849933276113</v>
      </c>
      <c r="AD27" s="12">
        <f>MIN(INDEX(其他调用!$AJ$5:$AJ$364,MATCH($K27,其他调用!$AG$5:$AG$364,0),1)/INDEX(其他调用!AJ$5:AJ$364,MATCH($K27,其他调用!$AG$5:$AG$364,0),0),1)*INDEX(其他调用!AA$5:AA$404,MATCH($K27,其他调用!$X$5:$X$404,0),0)</f>
        <v>30262.044470179331</v>
      </c>
      <c r="AE27" s="12">
        <f>MIN(INDEX(其他调用!$AJ$5:$AJ$364,MATCH($K27,其他调用!$AG$5:$AG$364,0),1)/INDEX(其他调用!AK$5:AK$364,MATCH($K27,其他调用!$AG$5:$AG$364,0),0),1)*INDEX(其他调用!AB$5:AB$404,MATCH($K27,其他调用!$X$5:$X$404,0),0)</f>
        <v>14727.881600924318</v>
      </c>
      <c r="AF27" s="12">
        <f>MIN(INDEX(其他调用!$AJ$5:$AJ$364,MATCH($K27,其他调用!$AG$5:$AG$364,0),1)/INDEX(其他调用!AL$5:AL$364,MATCH($K27,其他调用!$AG$5:$AG$364,0),0),1)*INDEX(其他调用!AC$5:AC$404,MATCH($K27,其他调用!$X$5:$X$404,0),0)</f>
        <v>5065.6866191507579</v>
      </c>
      <c r="AG27" s="12">
        <f>求节点(节奏总纲!D$4:D$163,标准城池设计!AE$4:AE$163,$K27)*求节点(节奏总纲!D$4:D$163,攻城基础信息!$AF$5:$AF$164,$K27)</f>
        <v>251672.34912680674</v>
      </c>
      <c r="AH27" s="12">
        <f>INDEX(其他调用!$AA$5:$AA$404,MATCH($K27,其他调用!$X$5:$X$404,0))*MIN(INDEX(其他调用!AK$5:AK$364,MATCH($K27,其他调用!$AG$5:$AG$364,0),1)/INDEX(其他调用!$AJ$5:$AJ$364,MATCH($K27,其他调用!$AG$5:$AG$364,0),0),5)*求节点(节奏总纲!D$4:D$163,攻城基础信息!$AF$5:$AF$164,$K27)</f>
        <v>155345.5699283985</v>
      </c>
      <c r="AI27" s="12">
        <f>MIN(INDEX(其他调用!$AK$5:$AK$364,MATCH($K27,其他调用!$AG$5:$AG$364,0),1)/INDEX(其他调用!AH$5:AH$364,MATCH($K27,其他调用!$AG$5:$AG$364,0),0),1)*INDEX(其他调用!Y$5:Y$404,MATCH($K27,其他调用!$X$5:$X$404,0),0)</f>
        <v>27826.337279047068</v>
      </c>
      <c r="AJ27" s="12">
        <f>MIN(INDEX(其他调用!$AK$5:$AK$364,MATCH($K27,其他调用!$AG$5:$AG$364,0),1)/INDEX(其他调用!AI$5:AI$364,MATCH($K27,其他调用!$AG$5:$AG$364,0),0),1)*INDEX(其他调用!Z$5:Z$404,MATCH($K27,其他调用!$X$5:$X$404,0),0)</f>
        <v>28871.849933276113</v>
      </c>
      <c r="AK27" s="12">
        <f>MIN(INDEX(其他调用!$AK$5:$AK$364,MATCH($K27,其他调用!$AG$5:$AG$364,0),1)/INDEX(其他调用!AJ$5:AJ$364,MATCH($K27,其他调用!$AG$5:$AG$364,0),0),1)*INDEX(其他调用!AA$5:AA$404,MATCH($K27,其他调用!$X$5:$X$404,0),0)</f>
        <v>30262.044470179331</v>
      </c>
      <c r="AL27" s="12">
        <f>MIN(INDEX(其他调用!$AK$5:$AK$364,MATCH($K27,其他调用!$AG$5:$AG$364,0),1)/INDEX(其他调用!AK$5:AK$364,MATCH($K27,其他调用!$AG$5:$AG$364,0),0),1)*INDEX(其他调用!AB$5:AB$404,MATCH($K27,其他调用!$X$5:$X$404,0),0)</f>
        <v>32295.57996479272</v>
      </c>
      <c r="AM27" s="12">
        <f>MIN(INDEX(其他调用!$AK$5:$AK$364,MATCH($K27,其他调用!$AG$5:$AG$364,0),1)/INDEX(其他调用!AL$5:AL$364,MATCH($K27,其他调用!$AG$5:$AG$364,0),0),1)*INDEX(其他调用!AC$5:AC$404,MATCH($K27,其他调用!$X$5:$X$404,0),0)</f>
        <v>11108.134334478649</v>
      </c>
      <c r="AN27" s="12">
        <f>求节点(节奏总纲!D$4:D$163,标准城池设计!AF$4:AF$163,$K27)*求节点(节奏总纲!D$4:D$163,攻城基础信息!$AG$5:$AG$164,$K27)</f>
        <v>259422.99932710797</v>
      </c>
      <c r="AO27" s="12">
        <f>INDEX(其他调用!$AA$5:$AA$404,MATCH($K27,其他调用!$X$5:$X$404,0))*MIN(INDEX(其他调用!AL$5:AL$364,MATCH($K27,其他调用!$AG$5:$AG$364,0),1)/INDEX(其他调用!$AJ$5:$AJ$364,MATCH($K27,其他调用!$AG$5:$AG$364,0),0),5)*求节点(节奏总纲!D$4:D$163,攻城基础信息!$AG$5:$AG$164,$K27)</f>
        <v>354214.28623169899</v>
      </c>
      <c r="AP27" s="12">
        <f>MIN(INDEX(其他调用!$AL$5:$AL$364,MATCH($K27,其他调用!$AG$5:$AG$364,0),1)/INDEX(其他调用!AH$5:AH$364,MATCH($K27,其他调用!$AG$5:$AG$364,0),0),1)*INDEX(其他调用!Y$5:Y$404,MATCH($K27,其他调用!$X$5:$X$404,0),0)</f>
        <v>27826.337279047068</v>
      </c>
      <c r="AQ27" s="12">
        <f>MIN(INDEX(其他调用!$AL$5:$AL$364,MATCH($K27,其他调用!$AG$5:$AG$364,0),1)/INDEX(其他调用!AI$5:AI$364,MATCH($K27,其他调用!$AG$5:$AG$364,0),0),1)*INDEX(其他调用!Z$5:Z$404,MATCH($K27,其他调用!$X$5:$X$404,0),0)</f>
        <v>28871.849933276113</v>
      </c>
      <c r="AR27" s="12">
        <f>MIN(INDEX(其他调用!$AL$5:$AL$364,MATCH($K27,其他调用!$AG$5:$AG$364,0),1)/INDEX(其他调用!AJ$5:AJ$364,MATCH($K27,其他调用!$AG$5:$AG$364,0),0),1)*INDEX(其他调用!AA$5:AA$404,MATCH($K27,其他调用!$X$5:$X$404,0),0)</f>
        <v>30262.044470179331</v>
      </c>
      <c r="AS27" s="12">
        <f>MIN(INDEX(其他调用!$AL$5:$AL$364,MATCH($K27,其他调用!$AG$5:$AG$364,0),1)/INDEX(其他调用!AK$5:AK$364,MATCH($K27,其他调用!$AG$5:$AG$364,0),0),1)*INDEX(其他调用!AB$5:AB$404,MATCH($K27,其他调用!$X$5:$X$404,0),0)</f>
        <v>32295.57996479272</v>
      </c>
      <c r="AT27" s="12">
        <f>MIN(INDEX(其他调用!$AL$5:$AL$364,MATCH($K27,其他调用!$AG$5:$AG$364,0),1)/INDEX(其他调用!AL$5:AL$364,MATCH($K27,其他调用!$AG$5:$AG$364,0),0),1)*INDEX(其他调用!AC$5:AC$404,MATCH($K27,其他调用!$X$5:$X$404,0),0)</f>
        <v>36044.985009119584</v>
      </c>
      <c r="AV27" s="14">
        <f>IF(OR(AV$5="大R",AV$5="超R"),MAX(INDEX(其他调用!$H$5:$L$404,MATCH($K27,其他调用!$B$5:$B$404,0),MATCH(AV$5,其他调用!$H$4:$L$4,0))*120*0.85,2),INDEX(其他调用!$H$5:$L$404,MATCH($K27,其他调用!$B$5:$B$404,0),MATCH(AV$5,其他调用!$H$4:$L$4,0))*120*0.85)</f>
        <v>58.069169153605046</v>
      </c>
      <c r="AW27" s="14">
        <f>IF(OR(AW$5="大R",AW$5="超R"),MAX(INDEX(其他调用!$H$5:$L$404,MATCH($K27,其他调用!$B$5:$B$404,0),MATCH(AW$5,其他调用!$H$4:$L$4,0))*120*0.85,2),INDEX(其他调用!$H$5:$L$404,MATCH($K27,其他调用!$B$5:$B$404,0),MATCH(AW$5,其他调用!$H$4:$L$4,0))*120*0.85)</f>
        <v>39.464621310394968</v>
      </c>
      <c r="AX27" s="14">
        <f>IF(OR(AX$5="大R",AX$5="超R"),MAX(INDEX(其他调用!$H$5:$L$404,MATCH($K27,其他调用!$B$5:$B$404,0),MATCH(AX$5,其他调用!$H$4:$L$4,0))*120*0.85,2),INDEX(其他调用!$H$5:$L$404,MATCH($K27,其他调用!$B$5:$B$404,0),MATCH(AX$5,其他调用!$H$4:$L$4,0))*120*0.85)</f>
        <v>3.7660815359999993</v>
      </c>
      <c r="AY27" s="14">
        <f>IF(OR(AY$5="大R",AY$5="超R"),MAX(INDEX(其他调用!$H$5:$L$404,MATCH($K27,其他调用!$B$5:$B$404,0),MATCH(AY$5,其他调用!$H$4:$L$4,0))*120*0.85,2),INDEX(其他调用!$H$5:$L$404,MATCH($K27,其他调用!$B$5:$B$404,0),MATCH(AY$5,其他调用!$H$4:$L$4,0))*120*0.85)</f>
        <v>2</v>
      </c>
      <c r="AZ27" s="14">
        <f>IF(OR(AZ$5="大R",AZ$5="超R"),MAX(INDEX(其他调用!$H$5:$L$404,MATCH($K27,其他调用!$B$5:$B$404,0),MATCH(AZ$5,其他调用!$H$4:$L$4,0))*120*0.85,2),INDEX(其他调用!$H$5:$L$404,MATCH($K27,其他调用!$B$5:$B$404,0),MATCH(AZ$5,其他调用!$H$4:$L$4,0))*120*0.85)</f>
        <v>2</v>
      </c>
      <c r="BA27" s="14">
        <f>INDEX(其他调用!$H$5:$L$404,MATCH($K27,其他调用!$B$5:$B$404,0),MATCH(BA$5,其他调用!$H$4:$L$4,0))*INDEX(其他调用!$M$5:$M$404,MATCH($K27,其他调用!$B$5:$B$404,0))*0.6</f>
        <v>28.660469481415145</v>
      </c>
      <c r="BB27" s="14">
        <f>INDEX(其他调用!$H$5:$L$404,MATCH($K27,其他调用!$B$5:$B$404,0),MATCH(BB$5,其他调用!$H$4:$L$4,0))*INDEX(其他调用!$M$5:$M$404,MATCH($K27,其他调用!$B$5:$B$404,0))*0.6</f>
        <v>19.478056792413422</v>
      </c>
      <c r="BC27" s="14">
        <f>INDEX(其他调用!$H$5:$L$404,MATCH($K27,其他调用!$B$5:$B$404,0),MATCH(BC$5,其他调用!$H$4:$L$4,0))*INDEX(其他调用!$M$5:$M$404,MATCH($K27,其他调用!$B$5:$B$404,0))*0.6</f>
        <v>1.8587774975999998</v>
      </c>
      <c r="BD27" s="14">
        <f>INDEX(其他调用!$H$5:$L$404,MATCH($K27,其他调用!$B$5:$B$404,0),MATCH(BD$5,其他调用!$H$4:$L$4,0))*INDEX(其他调用!$M$5:$M$404,MATCH($K27,其他调用!$B$5:$B$404,0))*0.6</f>
        <v>0.27910080000000004</v>
      </c>
      <c r="BE27" s="14">
        <f>INDEX(其他调用!$H$5:$L$404,MATCH($K27,其他调用!$B$5:$B$404,0),MATCH(BE$5,其他调用!$H$4:$L$4,0))*INDEX(其他调用!$M$5:$M$404,MATCH($K27,其他调用!$B$5:$B$404,0))*0.6</f>
        <v>6.6452571428571416E-2</v>
      </c>
      <c r="BF27" s="14">
        <f>IF(OR(BF$5="大R",BF$5="超R"),0,INDEX(其他调用!$H$5:$L$404,MATCH($K27,其他调用!$B$5:$B$404,0),MATCH(BF$5,其他调用!$H$4:$L$4,0))*50*0.4)</f>
        <v>11.386111598746087</v>
      </c>
      <c r="BG27" s="14">
        <f>IF(OR(BG$5="大R",BG$5="超R"),0,INDEX(其他调用!$H$5:$L$404,MATCH($K27,其他调用!$B$5:$B$404,0),MATCH(BG$5,其他调用!$H$4:$L$4,0))*50*0.4)</f>
        <v>7.7381610412539148</v>
      </c>
      <c r="BH27" s="14">
        <f>IF(OR(BH$5="大R",BH$5="超R"),0,INDEX(其他调用!$H$5:$L$404,MATCH($K27,其他调用!$B$5:$B$404,0),MATCH(BH$5,其他调用!$H$4:$L$4,0))*50*0.4)</f>
        <v>0.73844736</v>
      </c>
      <c r="BI27" s="14">
        <f>IF(OR(BI$5="大R",BI$5="超R"),0,INDEX(其他调用!$H$5:$L$404,MATCH($K27,其他调用!$B$5:$B$404,0),MATCH(BI$5,其他调用!$H$4:$L$4,0))*50*0.4)</f>
        <v>0</v>
      </c>
      <c r="BJ27" s="14">
        <f>IF(OR(BJ$5="大R",BJ$5="超R"),0,INDEX(其他调用!$H$5:$L$404,MATCH($K27,其他调用!$B$5:$B$404,0),MATCH(BJ$5,其他调用!$H$4:$L$4,0))*50*0.4)</f>
        <v>0</v>
      </c>
      <c r="BL27" s="14">
        <f t="shared" si="103"/>
        <v>22</v>
      </c>
      <c r="BM27" s="14">
        <f t="shared" si="10"/>
        <v>96</v>
      </c>
      <c r="BN27" s="14">
        <f>('疲劳值&amp;地图信息'!$S$10*'疲劳值&amp;地图信息'!$R$10+'疲劳值&amp;地图信息'!$S$11*'疲劳值&amp;地图信息'!$R$11+'疲劳值&amp;地图信息'!$S$12*'疲劳值&amp;地图信息'!$R$12+(BM27-'疲劳值&amp;地图信息'!$S$12-'疲劳值&amp;地图信息'!$S$11-'疲劳值&amp;地图信息'!$S$10)*'疲劳值&amp;地图信息'!$R$13)/BM27</f>
        <v>51.371477246638619</v>
      </c>
      <c r="BO27" s="14">
        <f>INDEX(其他调用!$M$5:$M$404,MATCH(BL27,其他调用!$B$5:$B$404,0))*0.6</f>
        <v>50.342857142857135</v>
      </c>
      <c r="BP27" s="14">
        <f>IF(BO27&gt;SUM('疲劳值&amp;地图信息'!$S$10:$S$12),('疲劳值&amp;地图信息'!$S$10*'疲劳值&amp;地图信息'!$R$10+'疲劳值&amp;地图信息'!$S$11*'疲劳值&amp;地图信息'!$R$11+'疲劳值&amp;地图信息'!$S$12*'疲劳值&amp;地图信息'!$R$12+(BO27-'疲劳值&amp;地图信息'!$S$12-'疲劳值&amp;地图信息'!$S$11-'疲劳值&amp;地图信息'!$S$10)*'疲劳值&amp;地图信息'!$R$13)/BO27,('疲劳值&amp;地图信息'!$S$10*'疲劳值&amp;地图信息'!$R$10+'疲劳值&amp;地图信息'!$S$11*'疲劳值&amp;地图信息'!$R$11+'疲劳值&amp;地图信息'!$S$12*'疲劳值&amp;地图信息'!$R$12+(BO27-'疲劳值&amp;地图信息'!$S$12-'疲劳值&amp;地图信息'!$S$11-'疲劳值&amp;地图信息'!$S$10)*'疲劳值&amp;地图信息'!$R$13)/BO27)</f>
        <v>40.468224535474974</v>
      </c>
      <c r="BQ27" s="14">
        <f t="shared" si="104"/>
        <v>20</v>
      </c>
      <c r="BR27" s="14">
        <f>('疲劳值&amp;地图信息'!$S$10*'疲劳值&amp;地图信息'!$R$10+($BQ27-'疲劳值&amp;地图信息'!$S$10)*'疲劳值&amp;地图信息'!$R$11)/$BQ27</f>
        <v>32.067203015074995</v>
      </c>
      <c r="BW27" s="14" t="s">
        <v>278</v>
      </c>
      <c r="BX27" s="14">
        <v>25000</v>
      </c>
      <c r="BY27" s="14">
        <v>650</v>
      </c>
      <c r="CF27" s="14">
        <v>22</v>
      </c>
      <c r="CG27" s="51">
        <f t="shared" si="11"/>
        <v>4350</v>
      </c>
      <c r="CH27" s="51">
        <f t="shared" si="12"/>
        <v>829</v>
      </c>
      <c r="CI27" s="51">
        <f>INT(SUMPRODUCT($N27:$R27,$BA27:$BE27)/SUM($BA27:$BE27)/10000*$BX$7*$BZ$34/'疲劳值&amp;地图信息'!$R$10*$BY$53)</f>
        <v>2577</v>
      </c>
      <c r="CJ27" s="50">
        <f t="shared" si="13"/>
        <v>0.56085611139762759</v>
      </c>
      <c r="CK27" s="50">
        <f t="shared" si="14"/>
        <v>0.10688499226405364</v>
      </c>
      <c r="CL27" s="50">
        <f t="shared" si="15"/>
        <v>0.33225889633831873</v>
      </c>
      <c r="CM27" s="14">
        <f t="shared" si="16"/>
        <v>4502</v>
      </c>
      <c r="CN27" s="14">
        <f t="shared" si="17"/>
        <v>1038</v>
      </c>
      <c r="CO27" s="14">
        <f>INT(SUMPRODUCT($U27:$Y27,$BA27:$BE27)/SUM($BA27:$BE27)/10000*$BX$7*$BZ$34/'疲劳值&amp;地图信息'!$R$10*$BY$54)</f>
        <v>4232</v>
      </c>
      <c r="CP27" s="50">
        <f t="shared" si="18"/>
        <v>0.46070405239459683</v>
      </c>
      <c r="CQ27" s="50">
        <f t="shared" si="19"/>
        <v>0.1062218583708555</v>
      </c>
      <c r="CR27" s="50">
        <f t="shared" si="20"/>
        <v>0.43307408923454771</v>
      </c>
      <c r="CS27" s="14">
        <f t="shared" si="21"/>
        <v>4805</v>
      </c>
      <c r="CT27" s="14">
        <f t="shared" si="22"/>
        <v>1575</v>
      </c>
      <c r="CU27" s="14">
        <f>INT(SUMPRODUCT($AB27:$AF27,$BA27:$BE27)/SUM($BA27:$BE27)/10000*$BX$7*$BZ$34/'疲劳值&amp;地图信息'!$R$10*$BY$55)</f>
        <v>5726</v>
      </c>
      <c r="CV27" s="50">
        <f t="shared" si="23"/>
        <v>0.39691062283165374</v>
      </c>
      <c r="CW27" s="50">
        <f t="shared" si="24"/>
        <v>0.13010077647447546</v>
      </c>
      <c r="CX27" s="50">
        <f t="shared" si="25"/>
        <v>0.47298860069387083</v>
      </c>
      <c r="CY27" s="14">
        <f t="shared" si="26"/>
        <v>5597</v>
      </c>
      <c r="CZ27" s="14">
        <f t="shared" si="27"/>
        <v>3454</v>
      </c>
      <c r="DA27" s="14">
        <f>INT(SUMPRODUCT($AI27:$AM27,$BA27:$BE27)/SUM($BA27:$BE27)/10000*$BX$7*$BZ$34/'疲劳值&amp;地图信息'!$R$10*$BY$56)</f>
        <v>8621</v>
      </c>
      <c r="DB27" s="50">
        <f t="shared" si="28"/>
        <v>0.31671570846536895</v>
      </c>
      <c r="DC27" s="50">
        <f t="shared" si="29"/>
        <v>0.19545043005885016</v>
      </c>
      <c r="DD27" s="50">
        <f t="shared" si="30"/>
        <v>0.48783386147578089</v>
      </c>
      <c r="DE27" s="14">
        <f t="shared" si="31"/>
        <v>5769</v>
      </c>
      <c r="DF27" s="14">
        <f t="shared" si="32"/>
        <v>7877</v>
      </c>
      <c r="DG27" s="14">
        <f>INT(SUMPRODUCT($AP27:$AT27,$BA27:$BE27)/SUM($BA27:$BE27)/10000*$BX$7*$BZ$34/'疲劳值&amp;地图信息'!$R$10*$BY$57)</f>
        <v>11508</v>
      </c>
      <c r="DH27" s="50">
        <f t="shared" si="33"/>
        <v>0.22934722111791364</v>
      </c>
      <c r="DI27" s="50">
        <f t="shared" si="34"/>
        <v>0.31315098990220241</v>
      </c>
      <c r="DJ27" s="50">
        <f t="shared" si="35"/>
        <v>0.45750178897988392</v>
      </c>
      <c r="DL27" s="14">
        <f t="shared" si="106"/>
        <v>7756</v>
      </c>
      <c r="DM27" s="14">
        <f t="shared" si="107"/>
        <v>9772</v>
      </c>
      <c r="DN27" s="14">
        <f t="shared" si="108"/>
        <v>12106</v>
      </c>
      <c r="DO27" s="14">
        <f t="shared" si="109"/>
        <v>17672</v>
      </c>
      <c r="DP27" s="14">
        <f t="shared" si="110"/>
        <v>25154</v>
      </c>
      <c r="DQ27" s="14">
        <f t="shared" si="111"/>
        <v>441736</v>
      </c>
      <c r="DT27" s="14">
        <f t="shared" si="105"/>
        <v>235575</v>
      </c>
      <c r="DU27" s="50">
        <f t="shared" si="7"/>
        <v>0.3478092043389226</v>
      </c>
      <c r="DW27" s="14">
        <f t="shared" si="36"/>
        <v>677311</v>
      </c>
      <c r="EB27" s="14">
        <v>22</v>
      </c>
      <c r="EC27" s="51">
        <f t="shared" si="37"/>
        <v>7250</v>
      </c>
      <c r="ED27" s="51">
        <f t="shared" si="38"/>
        <v>1383</v>
      </c>
      <c r="EE27" s="51">
        <f>INT(SUMPRODUCT($N27:$R27,$BF27:$BJ27)/SUM($BF27:$BJ27)/10000*$BX$7*$BZ$46/'疲劳值&amp;地图信息'!$R$10*$BY$53)</f>
        <v>345</v>
      </c>
      <c r="EF27" s="50">
        <f t="shared" si="39"/>
        <v>0.80752951659612382</v>
      </c>
      <c r="EG27" s="50">
        <f t="shared" si="40"/>
        <v>0.15404321675206059</v>
      </c>
      <c r="EH27" s="50">
        <f t="shared" si="41"/>
        <v>3.8427266651815548E-2</v>
      </c>
      <c r="EI27" s="51">
        <f t="shared" si="42"/>
        <v>7504</v>
      </c>
      <c r="EJ27" s="51">
        <f t="shared" si="43"/>
        <v>1730</v>
      </c>
      <c r="EK27" s="14">
        <f>INT(SUMPRODUCT($U27:$Y27,$BF27:$BJ27)/SUM($BF27:$BJ27)/10000*$BX$7*$BZ$46/'疲劳值&amp;地图信息'!$R$10*$BY$54)</f>
        <v>567</v>
      </c>
      <c r="EL27" s="50">
        <f t="shared" si="44"/>
        <v>0.76563615957555353</v>
      </c>
      <c r="EM27" s="50">
        <f t="shared" si="45"/>
        <v>0.17651260075502501</v>
      </c>
      <c r="EN27" s="50">
        <f t="shared" si="46"/>
        <v>5.7851239669421489E-2</v>
      </c>
      <c r="EO27" s="51">
        <f t="shared" si="47"/>
        <v>8009</v>
      </c>
      <c r="EP27" s="51">
        <f t="shared" si="48"/>
        <v>2625</v>
      </c>
      <c r="EQ27" s="14">
        <f>INT(SUMPRODUCT($AB27:$AF27,$BF27:$BJ27)/SUM($BF27:$BJ27)/10000*$BX$7*$BZ$46/'疲劳值&amp;地图信息'!$R$10*$BY$55)</f>
        <v>766</v>
      </c>
      <c r="ER27" s="50">
        <f t="shared" si="49"/>
        <v>0.7025438596491228</v>
      </c>
      <c r="ES27" s="50">
        <f t="shared" si="50"/>
        <v>0.23026315789473684</v>
      </c>
      <c r="ET27" s="50">
        <f t="shared" si="51"/>
        <v>6.7192982456140346E-2</v>
      </c>
      <c r="EU27" s="51">
        <f t="shared" si="52"/>
        <v>9328</v>
      </c>
      <c r="EV27" s="51">
        <f t="shared" si="53"/>
        <v>5758</v>
      </c>
      <c r="EW27" s="14">
        <f>INT(SUMPRODUCT($AI27:$AM27,$BF27:$BJ27)/SUM($BF27:$BJ27)/10000*$BX$7*$BZ$46/'疲劳值&amp;地图信息'!$R$10*$BY$56)</f>
        <v>1149</v>
      </c>
      <c r="EX27" s="50">
        <f t="shared" si="54"/>
        <v>0.57456113335386516</v>
      </c>
      <c r="EY27" s="50">
        <f t="shared" si="55"/>
        <v>0.35466584539574991</v>
      </c>
      <c r="EZ27" s="50">
        <f t="shared" si="56"/>
        <v>7.0773021250384968E-2</v>
      </c>
      <c r="FA27" s="51">
        <f t="shared" si="57"/>
        <v>9615</v>
      </c>
      <c r="FB27" s="51">
        <f t="shared" si="58"/>
        <v>13129</v>
      </c>
      <c r="FC27" s="14">
        <f>INT(SUMPRODUCT($AP27:$AT27,$BF27:$BJ27)/SUM($BF27:$BJ27)/10000*$BX$7*$BZ$46/'疲劳值&amp;地图信息'!$R$10*$BY$57)</f>
        <v>1532</v>
      </c>
      <c r="FD27" s="50">
        <f t="shared" si="59"/>
        <v>0.39607019278299554</v>
      </c>
      <c r="FE27" s="50">
        <f t="shared" si="60"/>
        <v>0.54082221123743612</v>
      </c>
      <c r="FF27" s="50">
        <f t="shared" si="61"/>
        <v>6.3107595979568304E-2</v>
      </c>
      <c r="FH27" s="14">
        <f t="shared" si="62"/>
        <v>8978</v>
      </c>
      <c r="FI27" s="14">
        <f t="shared" si="63"/>
        <v>9801</v>
      </c>
      <c r="FJ27" s="14">
        <f t="shared" si="64"/>
        <v>11400</v>
      </c>
      <c r="FK27" s="14">
        <f t="shared" si="65"/>
        <v>16235</v>
      </c>
      <c r="FL27" s="14">
        <f t="shared" si="66"/>
        <v>24276</v>
      </c>
      <c r="FM27" s="14">
        <f t="shared" si="67"/>
        <v>1032093</v>
      </c>
      <c r="FP27" s="14">
        <f t="shared" si="68"/>
        <v>334150</v>
      </c>
      <c r="FQ27" s="50">
        <f t="shared" si="8"/>
        <v>0.24457581850373616</v>
      </c>
      <c r="FS27" s="14">
        <f t="shared" si="69"/>
        <v>1366243</v>
      </c>
      <c r="FX27" s="14">
        <v>22</v>
      </c>
      <c r="FY27" s="51">
        <f t="shared" si="70"/>
        <v>10151</v>
      </c>
      <c r="FZ27" s="51">
        <f t="shared" si="71"/>
        <v>1383</v>
      </c>
      <c r="GA27" s="51">
        <f>INT(SUMPRODUCT($N27:$R27,$BF27:$BJ27)/SUM($BF27:$BJ27)/10000*$BX$7*$BZ$46/'疲劳值&amp;地图信息'!$R$10*$BY$53)</f>
        <v>345</v>
      </c>
      <c r="GB27" s="50">
        <f t="shared" si="72"/>
        <v>0.85453320986615033</v>
      </c>
      <c r="GC27" s="50">
        <f t="shared" si="73"/>
        <v>0.11642394140920953</v>
      </c>
      <c r="GD27" s="50">
        <f t="shared" si="74"/>
        <v>2.9042848724640122E-2</v>
      </c>
      <c r="GE27" s="51">
        <f t="shared" si="75"/>
        <v>10505</v>
      </c>
      <c r="GF27" s="51">
        <f t="shared" si="76"/>
        <v>1730</v>
      </c>
      <c r="GG27" s="14">
        <f>INT(SUMPRODUCT($U27:$Y27,$BF27:$BJ27)/SUM($BF27:$BJ27)/10000*$BX$7*$BZ$46/'疲劳值&amp;地图信息'!$R$10*$BY$54)</f>
        <v>567</v>
      </c>
      <c r="GH27" s="50">
        <f t="shared" si="77"/>
        <v>0.82057491017028594</v>
      </c>
      <c r="GI27" s="50">
        <f t="shared" si="78"/>
        <v>0.13513513513513514</v>
      </c>
      <c r="GJ27" s="50">
        <f t="shared" si="79"/>
        <v>4.428995469457897E-2</v>
      </c>
      <c r="GK27" s="51">
        <f t="shared" si="80"/>
        <v>11213</v>
      </c>
      <c r="GL27" s="51">
        <f t="shared" si="81"/>
        <v>2625</v>
      </c>
      <c r="GM27" s="14">
        <f>INT(SUMPRODUCT($AB27:$AF27,$BF27:$BJ27)/SUM($BF27:$BJ27)/10000*$BX$7*$BZ$46/'疲劳值&amp;地图信息'!$R$10*$BY$55)</f>
        <v>766</v>
      </c>
      <c r="GN27" s="50">
        <f t="shared" si="82"/>
        <v>0.7678033415502602</v>
      </c>
      <c r="GO27" s="50">
        <f t="shared" si="83"/>
        <v>0.17974527526705011</v>
      </c>
      <c r="GP27" s="50">
        <f t="shared" si="84"/>
        <v>5.2451383182689673E-2</v>
      </c>
      <c r="GQ27" s="51">
        <f t="shared" si="85"/>
        <v>13059</v>
      </c>
      <c r="GR27" s="51">
        <f t="shared" si="86"/>
        <v>5758</v>
      </c>
      <c r="GS27" s="14">
        <f>INT(SUMPRODUCT($AI27:$AM27,$BF27:$BJ27)/SUM($BF27:$BJ27)/10000*$BX$7*$BZ$46/'疲劳值&amp;地图信息'!$R$10*$BY$56)</f>
        <v>1149</v>
      </c>
      <c r="GT27" s="50">
        <f t="shared" si="87"/>
        <v>0.65406190523890617</v>
      </c>
      <c r="GU27" s="50">
        <f t="shared" si="88"/>
        <v>0.28839026344786134</v>
      </c>
      <c r="GV27" s="50">
        <f t="shared" si="89"/>
        <v>5.7547831313232496E-2</v>
      </c>
      <c r="GW27" s="51">
        <f t="shared" si="90"/>
        <v>13462</v>
      </c>
      <c r="GX27" s="51">
        <f t="shared" si="91"/>
        <v>13129</v>
      </c>
      <c r="GY27" s="14">
        <f>INT(SUMPRODUCT($AP27:$AT27,$BF27:$BJ27)/SUM($BF27:$BJ27)/10000*$BX$7*$BZ$46/'疲劳值&amp;地图信息'!$R$10*$BY$57)</f>
        <v>1532</v>
      </c>
      <c r="GZ27" s="50">
        <f t="shared" si="92"/>
        <v>0.47868292856380901</v>
      </c>
      <c r="HA27" s="50">
        <f t="shared" si="93"/>
        <v>0.46684208654837678</v>
      </c>
      <c r="HB27" s="50">
        <f t="shared" si="94"/>
        <v>5.4474984887814243E-2</v>
      </c>
      <c r="HD27" s="14">
        <f t="shared" si="95"/>
        <v>11879</v>
      </c>
      <c r="HE27" s="14">
        <f t="shared" si="96"/>
        <v>12802</v>
      </c>
      <c r="HF27" s="14">
        <f t="shared" si="97"/>
        <v>14604</v>
      </c>
      <c r="HG27" s="14">
        <f t="shared" si="98"/>
        <v>19966</v>
      </c>
      <c r="HH27" s="14">
        <f t="shared" si="99"/>
        <v>28123</v>
      </c>
      <c r="HI27" s="14">
        <f t="shared" si="100"/>
        <v>1346207</v>
      </c>
      <c r="HL27" s="14">
        <f t="shared" si="101"/>
        <v>430050</v>
      </c>
      <c r="HM27" s="50">
        <f t="shared" si="9"/>
        <v>0.24211023517430191</v>
      </c>
      <c r="HO27" s="14">
        <f t="shared" si="102"/>
        <v>1776257</v>
      </c>
    </row>
    <row r="28" spans="3:223" x14ac:dyDescent="0.2">
      <c r="C28" s="1" t="s">
        <v>432</v>
      </c>
      <c r="D28" s="1" t="s">
        <v>480</v>
      </c>
      <c r="K28" s="14">
        <v>23</v>
      </c>
      <c r="L28" s="12">
        <f>求节点(节奏总纲!D$4:D$163,标准城池设计!AB$4:AB$163,$K28)*求节点(节奏总纲!D$4:D$163,攻城基础信息!$AC$5:$AC$164,$K28)</f>
        <v>200138.64234649387</v>
      </c>
      <c r="M28" s="12">
        <f>INDEX(其他调用!$AA$5:$AA$404,MATCH(K28,其他调用!$X$5:$X$404,0))*MIN(INDEX(其他调用!$AH$5:$AH$364,MATCH('征服点（新）'!K28,其他调用!$AG$5:$AG$364,0),1)/INDEX(其他调用!$AJ$5:$AJ$364,MATCH(K28,其他调用!$AG$5:$AG$364,0),0),5)*求节点(节奏总纲!D$4:D$163,攻城基础信息!$AC$5:$AC$164,$K28)</f>
        <v>35897.213860028256</v>
      </c>
      <c r="N28" s="12">
        <f>MIN(INDEX(其他调用!$AH$5:$AH$364,MATCH($K28,其他调用!$AG$5:$AG$364,0),1)/INDEX(其他调用!AH$5:AH$364,MATCH($K28,其他调用!$AG$5:$AG$364,0),0),1)*INDEX(其他调用!Y$5:Y$404,MATCH($K28,其他调用!$X$5:$X$404,0),0)</f>
        <v>28064.680390376016</v>
      </c>
      <c r="O28" s="12">
        <f>MIN(INDEX(其他调用!$AH$5:$AH$364,MATCH($K28,其他调用!$AG$5:$AG$364,0),1)/INDEX(其他调用!AI$5:AI$364,MATCH($K28,其他调用!$AG$5:$AG$364,0),0),1)*INDEX(其他调用!Z$5:Z$404,MATCH($K28,其他调用!$X$5:$X$404,0),0)</f>
        <v>23257.330157197943</v>
      </c>
      <c r="P28" s="12">
        <f>MIN(INDEX(其他调用!$AH$5:$AH$364,MATCH($K28,其他调用!$AG$5:$AG$364,0),1)/INDEX(其他调用!AJ$5:AJ$364,MATCH($K28,其他调用!$AG$5:$AG$364,0),0),1)*INDEX(其他调用!AA$5:AA$404,MATCH($K28,其他调用!$X$5:$X$404,0),0)</f>
        <v>15200.98750629612</v>
      </c>
      <c r="Q28" s="12">
        <f>MIN(INDEX(其他调用!$AH$5:$AH$364,MATCH($K28,其他调用!$AG$5:$AG$364,0),1)/INDEX(其他调用!AK$5:AK$364,MATCH($K28,其他调用!$AG$5:$AG$364,0),0),1)*INDEX(其他调用!AB$5:AB$404,MATCH($K28,其他调用!$X$5:$X$404,0),0)</f>
        <v>7622.8653156051842</v>
      </c>
      <c r="R28" s="12">
        <f>MIN(INDEX(其他调用!$AH$5:$AH$364,MATCH($K28,其他调用!$AG$5:$AG$364,0),1)/INDEX(其他调用!AL$5:AL$364,MATCH($K28,其他调用!$AG$5:$AG$364,0),0),1)*INDEX(其他调用!AC$5:AC$404,MATCH($K28,其他调用!$X$5:$X$404,0),0)</f>
        <v>2603.9251313650248</v>
      </c>
      <c r="S28" s="12">
        <f>求节点(节奏总纲!D$4:D$163,标准城池设计!AC$4:AC$163,$K28)*求节点(节奏总纲!D$4:D$163,攻城基础信息!$AD$5:$AD$164,$K28)</f>
        <v>207617.90400194269</v>
      </c>
      <c r="T28" s="12">
        <f>INDEX(其他调用!$AA$5:$AA$404,MATCH($K28,其他调用!$X$5:$X$404,0))*MIN(INDEX(其他调用!AI$5:AI$364,MATCH($K28,其他调用!$AG$5:$AG$364,0),1)/INDEX(其他调用!$AJ$5:$AJ$364,MATCH($K28,其他调用!$AG$5:$AG$364,0),0),5)*求节点(节奏总纲!D$4:D$163,攻城基础信息!$AD$5:$AD$164,$K28)</f>
        <v>44931.064766157629</v>
      </c>
      <c r="U28" s="12">
        <f>MIN(INDEX(其他调用!$AI$5:$AI$364,MATCH($K28,其他调用!$AG$5:$AG$364,0),1)/INDEX(其他调用!AH$5:AH$364,MATCH($K28,其他调用!$AG$5:$AG$364,0),0),1)*INDEX(其他调用!Y$5:Y$404,MATCH($K28,其他调用!$X$5:$X$404,0),0)</f>
        <v>28064.680390376016</v>
      </c>
      <c r="V28" s="12">
        <f>MIN(INDEX(其他调用!$AI$5:$AI$364,MATCH($K28,其他调用!$AG$5:$AG$364,0),1)/INDEX(其他调用!AI$5:AI$364,MATCH($K28,其他调用!$AG$5:$AG$364,0),0),1)*INDEX(其他调用!Z$5:Z$404,MATCH($K28,其他调用!$X$5:$X$404,0),0)</f>
        <v>29110.242696148598</v>
      </c>
      <c r="W28" s="12">
        <f>MIN(INDEX(其他调用!$AI$5:$AI$364,MATCH($K28,其他调用!$AG$5:$AG$364,0),1)/INDEX(其他调用!AJ$5:AJ$364,MATCH($K28,其他调用!$AG$5:$AG$364,0),0),1)*INDEX(其他调用!AA$5:AA$404,MATCH($K28,其他调用!$X$5:$X$404,0),0)</f>
        <v>19026.45026486204</v>
      </c>
      <c r="X28" s="12">
        <f>MIN(INDEX(其他调用!$AI$5:$AI$364,MATCH($K28,其他调用!$AG$5:$AG$364,0),1)/INDEX(其他调用!AK$5:AK$364,MATCH($K28,其他调用!$AG$5:$AG$364,0),0),1)*INDEX(其他调用!AB$5:AB$404,MATCH($K28,其他调用!$X$5:$X$404,0),0)</f>
        <v>9541.2266961624191</v>
      </c>
      <c r="Y28" s="12">
        <f>MIN(INDEX(其他调用!$AI$5:$AI$364,MATCH($K28,其他调用!$AG$5:$AG$364,0),1)/INDEX(其他调用!AL$5:AL$364,MATCH($K28,其他调用!$AG$5:$AG$364,0),0),1)*INDEX(其他调用!AC$5:AC$404,MATCH($K28,其他调用!$X$5:$X$404,0),0)</f>
        <v>3259.2258881089488</v>
      </c>
      <c r="Z28" s="12">
        <f>求节点(节奏总纲!D$4:D$163,标准城池设计!AD$4:AD$163,$K28)*求节点(节奏总纲!D$4:D$163,攻城基础信息!$AE$5:$AE$164,$K28)</f>
        <v>221841.56544175398</v>
      </c>
      <c r="AA28" s="12">
        <f>INDEX(其他调用!$AA$5:$AA$404,MATCH($K28,其他调用!$X$5:$X$404,0))*MIN(INDEX(其他调用!AJ$5:AJ$364,MATCH($K28,其他调用!$AG$5:$AG$364,0),1)/INDEX(其他调用!$AJ$5:$AJ$364,MATCH($K28,其他调用!$AG$5:$AG$364,0),0),5)*求节点(节奏总纲!D$4:D$163,攻城基础信息!$AE$5:$AE$164,$K28)</f>
        <v>72041.148695826574</v>
      </c>
      <c r="AB28" s="12">
        <f>MIN(INDEX(其他调用!$AJ$5:$AJ$364,MATCH($K28,其他调用!$AG$5:$AG$364,0),1)/INDEX(其他调用!AH$5:AH$364,MATCH($K28,其他调用!$AG$5:$AG$364,0),0),1)*INDEX(其他调用!Y$5:Y$404,MATCH($K28,其他调用!$X$5:$X$404,0),0)</f>
        <v>28064.680390376016</v>
      </c>
      <c r="AC28" s="12">
        <f>MIN(INDEX(其他调用!$AJ$5:$AJ$364,MATCH($K28,其他调用!$AG$5:$AG$364,0),1)/INDEX(其他调用!AI$5:AI$364,MATCH($K28,其他调用!$AG$5:$AG$364,0),0),1)*INDEX(其他调用!Z$5:Z$404,MATCH($K28,其他调用!$X$5:$X$404,0),0)</f>
        <v>29110.242696148598</v>
      </c>
      <c r="AD28" s="12">
        <f>MIN(INDEX(其他调用!$AJ$5:$AJ$364,MATCH($K28,其他调用!$AG$5:$AG$364,0),1)/INDEX(其他调用!AJ$5:AJ$364,MATCH($K28,其他调用!$AG$5:$AG$364,0),0),1)*INDEX(其他调用!AA$5:AA$404,MATCH($K28,其他调用!$X$5:$X$404,0),0)</f>
        <v>30506.451156196184</v>
      </c>
      <c r="AE28" s="12">
        <f>MIN(INDEX(其他调用!$AJ$5:$AJ$364,MATCH($K28,其他调用!$AG$5:$AG$364,0),1)/INDEX(其他调用!AK$5:AK$364,MATCH($K28,其他调用!$AG$5:$AG$364,0),0),1)*INDEX(其他调用!AB$5:AB$404,MATCH($K28,其他调用!$X$5:$X$404,0),0)</f>
        <v>15298.122462402705</v>
      </c>
      <c r="AF28" s="12">
        <f>MIN(INDEX(其他调用!$AJ$5:$AJ$364,MATCH($K28,其他调用!$AG$5:$AG$364,0),1)/INDEX(其他调用!AL$5:AL$364,MATCH($K28,其他调用!$AG$5:$AG$364,0),0),1)*INDEX(其他调用!AC$5:AC$404,MATCH($K28,其他调用!$X$5:$X$404,0),0)</f>
        <v>5225.7469984418394</v>
      </c>
      <c r="AG28" s="12">
        <f>求节点(节奏总纲!D$4:D$163,标准城池设计!AE$4:AE$163,$K28)*求节点(节奏总纲!D$4:D$163,攻城基础信息!$AF$5:$AF$164,$K28)</f>
        <v>258783.12745126791</v>
      </c>
      <c r="AH28" s="12">
        <f>INDEX(其他调用!$AA$5:$AA$404,MATCH($K28,其他调用!$X$5:$X$404,0))*MIN(INDEX(其他调用!AK$5:AK$364,MATCH($K28,其他调用!$AG$5:$AG$364,0),1)/INDEX(其他调用!$AJ$5:$AJ$364,MATCH($K28,其他调用!$AG$5:$AG$364,0),0),5)*求节点(节奏总纲!D$4:D$163,攻城基础信息!$AF$5:$AF$164,$K28)</f>
        <v>153208.78517605469</v>
      </c>
      <c r="AI28" s="12">
        <f>MIN(INDEX(其他调用!$AK$5:$AK$364,MATCH($K28,其他调用!$AG$5:$AG$364,0),1)/INDEX(其他调用!AH$5:AH$364,MATCH($K28,其他调用!$AG$5:$AG$364,0),0),1)*INDEX(其他调用!Y$5:Y$404,MATCH($K28,其他调用!$X$5:$X$404,0),0)</f>
        <v>28064.680390376016</v>
      </c>
      <c r="AJ28" s="12">
        <f>MIN(INDEX(其他调用!$AK$5:$AK$364,MATCH($K28,其他调用!$AG$5:$AG$364,0),1)/INDEX(其他调用!AI$5:AI$364,MATCH($K28,其他调用!$AG$5:$AG$364,0),0),1)*INDEX(其他调用!Z$5:Z$404,MATCH($K28,其他调用!$X$5:$X$404,0),0)</f>
        <v>29110.242696148598</v>
      </c>
      <c r="AK28" s="12">
        <f>MIN(INDEX(其他调用!$AK$5:$AK$364,MATCH($K28,其他调用!$AG$5:$AG$364,0),1)/INDEX(其他调用!AJ$5:AJ$364,MATCH($K28,其他调用!$AG$5:$AG$364,0),0),1)*INDEX(其他调用!AA$5:AA$404,MATCH($K28,其他调用!$X$5:$X$404,0),0)</f>
        <v>30506.451156196184</v>
      </c>
      <c r="AL28" s="12">
        <f>MIN(INDEX(其他调用!$AK$5:$AK$364,MATCH($K28,其他调用!$AG$5:$AG$364,0),1)/INDEX(其他调用!AK$5:AK$364,MATCH($K28,其他调用!$AG$5:$AG$364,0),0),1)*INDEX(其他调用!AB$5:AB$404,MATCH($K28,其他调用!$X$5:$X$404,0),0)</f>
        <v>32534.277983757529</v>
      </c>
      <c r="AM28" s="12">
        <f>MIN(INDEX(其他调用!$AK$5:$AK$364,MATCH($K28,其他调用!$AG$5:$AG$364,0),1)/INDEX(其他调用!AL$5:AL$364,MATCH($K28,其他调用!$AG$5:$AG$364,0),0),1)*INDEX(其他调用!AC$5:AC$404,MATCH($K28,其他调用!$X$5:$X$404,0),0)</f>
        <v>11113.514481135278</v>
      </c>
      <c r="AN28" s="12">
        <f>求节点(节奏总纲!D$4:D$163,标准城池设计!AF$4:AF$163,$K28)*求节点(节奏总纲!D$4:D$163,攻城基础信息!$AG$5:$AG$164,$K28)</f>
        <v>266657.24843319599</v>
      </c>
      <c r="AO28" s="12">
        <f>INDEX(其他调用!$AA$5:$AA$404,MATCH($K28,其他调用!$X$5:$X$404,0))*MIN(INDEX(其他调用!AL$5:AL$364,MATCH($K28,其他调用!$AG$5:$AG$364,0),1)/INDEX(其他调用!$AJ$5:$AJ$364,MATCH($K28,其他调用!$AG$5:$AG$364,0),0),5)*求节点(节奏总纲!D$4:D$163,攻城基础信息!$AG$5:$AG$164,$K28)</f>
        <v>360205.74347913283</v>
      </c>
      <c r="AP28" s="12">
        <f>MIN(INDEX(其他调用!$AL$5:$AL$364,MATCH($K28,其他调用!$AG$5:$AG$364,0),1)/INDEX(其他调用!AH$5:AH$364,MATCH($K28,其他调用!$AG$5:$AG$364,0),0),1)*INDEX(其他调用!Y$5:Y$404,MATCH($K28,其他调用!$X$5:$X$404,0),0)</f>
        <v>28064.680390376016</v>
      </c>
      <c r="AQ28" s="12">
        <f>MIN(INDEX(其他调用!$AL$5:$AL$364,MATCH($K28,其他调用!$AG$5:$AG$364,0),1)/INDEX(其他调用!AI$5:AI$364,MATCH($K28,其他调用!$AG$5:$AG$364,0),0),1)*INDEX(其他调用!Z$5:Z$404,MATCH($K28,其他调用!$X$5:$X$404,0),0)</f>
        <v>29110.242696148598</v>
      </c>
      <c r="AR28" s="12">
        <f>MIN(INDEX(其他调用!$AL$5:$AL$364,MATCH($K28,其他调用!$AG$5:$AG$364,0),1)/INDEX(其他调用!AJ$5:AJ$364,MATCH($K28,其他调用!$AG$5:$AG$364,0),0),1)*INDEX(其他调用!AA$5:AA$404,MATCH($K28,其他调用!$X$5:$X$404,0),0)</f>
        <v>30506.451156196184</v>
      </c>
      <c r="AS28" s="12">
        <f>MIN(INDEX(其他调用!$AL$5:$AL$364,MATCH($K28,其他调用!$AG$5:$AG$364,0),1)/INDEX(其他调用!AK$5:AK$364,MATCH($K28,其他调用!$AG$5:$AG$364,0),0),1)*INDEX(其他调用!AB$5:AB$404,MATCH($K28,其他调用!$X$5:$X$404,0),0)</f>
        <v>32534.277983757529</v>
      </c>
      <c r="AT28" s="12">
        <f>MIN(INDEX(其他调用!$AL$5:$AL$364,MATCH($K28,其他调用!$AG$5:$AG$364,0),1)/INDEX(其他调用!AL$5:AL$364,MATCH($K28,其他调用!$AG$5:$AG$364,0),0),1)*INDEX(其他调用!AC$5:AC$404,MATCH($K28,其他调用!$X$5:$X$404,0),0)</f>
        <v>36302.127620314015</v>
      </c>
      <c r="AV28" s="14">
        <f>IF(OR(AV$5="大R",AV$5="超R"),MAX(INDEX(其他调用!$H$5:$L$404,MATCH($K28,其他调用!$B$5:$B$404,0),MATCH(AV$5,其他调用!$H$4:$L$4,0))*120*0.85,2),INDEX(其他调用!$H$5:$L$404,MATCH($K28,其他调用!$B$5:$B$404,0),MATCH(AV$5,其他调用!$H$4:$L$4,0))*120*0.85)</f>
        <v>57.654838918495315</v>
      </c>
      <c r="AW28" s="14">
        <f>IF(OR(AW$5="大R",AW$5="超R"),MAX(INDEX(其他调用!$H$5:$L$404,MATCH($K28,其他调用!$B$5:$B$404,0),MATCH(AW$5,其他调用!$H$4:$L$4,0))*120*0.85,2),INDEX(其他调用!$H$5:$L$404,MATCH($K28,其他调用!$B$5:$B$404,0),MATCH(AW$5,其他调用!$H$4:$L$4,0))*120*0.85)</f>
        <v>39.869394553504677</v>
      </c>
      <c r="AX28" s="14">
        <f>IF(OR(AX$5="大R",AX$5="超R"),MAX(INDEX(其他调用!$H$5:$L$404,MATCH($K28,其他调用!$B$5:$B$404,0),MATCH(AX$5,其他调用!$H$4:$L$4,0))*120*0.85,2),INDEX(其他调用!$H$5:$L$404,MATCH($K28,其他调用!$B$5:$B$404,0),MATCH(AX$5,其他调用!$H$4:$L$4,0))*120*0.85)</f>
        <v>3.7707425280000004</v>
      </c>
      <c r="AY28" s="14">
        <f>IF(OR(AY$5="大R",AY$5="超R"),MAX(INDEX(其他调用!$H$5:$L$404,MATCH($K28,其他调用!$B$5:$B$404,0),MATCH(AY$5,其他调用!$H$4:$L$4,0))*120*0.85,2),INDEX(其他调用!$H$5:$L$404,MATCH($K28,其他调用!$B$5:$B$404,0),MATCH(AY$5,其他调用!$H$4:$L$4,0))*120*0.85)</f>
        <v>2</v>
      </c>
      <c r="AZ28" s="14">
        <f>IF(OR(AZ$5="大R",AZ$5="超R"),MAX(INDEX(其他调用!$H$5:$L$404,MATCH($K28,其他调用!$B$5:$B$404,0),MATCH(AZ$5,其他调用!$H$4:$L$4,0))*120*0.85,2),INDEX(其他调用!$H$5:$L$404,MATCH($K28,其他调用!$B$5:$B$404,0),MATCH(AZ$5,其他调用!$H$4:$L$4,0))*120*0.85)</f>
        <v>2</v>
      </c>
      <c r="BA28" s="14">
        <f>INDEX(其他调用!$H$5:$L$404,MATCH($K28,其他调用!$B$5:$B$404,0),MATCH(BA$5,其他调用!$H$4:$L$4,0))*INDEX(其他调用!$M$5:$M$404,MATCH($K28,其他调用!$B$5:$B$404,0))*0.6</f>
        <v>28.60132205172415</v>
      </c>
      <c r="BB28" s="14">
        <f>INDEX(其他调用!$H$5:$L$404,MATCH($K28,其他调用!$B$5:$B$404,0),MATCH(BB$5,其他调用!$H$4:$L$4,0))*INDEX(其他调用!$M$5:$M$404,MATCH($K28,其他调用!$B$5:$B$404,0))*0.6</f>
        <v>19.778346709875848</v>
      </c>
      <c r="BC28" s="14">
        <f>INDEX(其他调用!$H$5:$L$404,MATCH($K28,其他调用!$B$5:$B$404,0),MATCH(BC$5,其他调用!$H$4:$L$4,0))*INDEX(其他调用!$M$5:$M$404,MATCH($K28,其他调用!$B$5:$B$404,0))*0.6</f>
        <v>1.8705840384000001</v>
      </c>
      <c r="BD28" s="14">
        <f>INDEX(其他调用!$H$5:$L$404,MATCH($K28,其他调用!$B$5:$B$404,0),MATCH(BD$5,其他调用!$H$4:$L$4,0))*INDEX(其他调用!$M$5:$M$404,MATCH($K28,其他调用!$B$5:$B$404,0))*0.6</f>
        <v>0.28219620000000001</v>
      </c>
      <c r="BE28" s="14">
        <f>INDEX(其他调用!$H$5:$L$404,MATCH($K28,其他调用!$B$5:$B$404,0),MATCH(BE$5,其他调用!$H$4:$L$4,0))*INDEX(其他调用!$M$5:$M$404,MATCH($K28,其他调用!$B$5:$B$404,0))*0.6</f>
        <v>6.7550999999999986E-2</v>
      </c>
      <c r="BF28" s="14">
        <f>IF(OR(BF$5="大R",BF$5="超R"),0,INDEX(其他调用!$H$5:$L$404,MATCH($K28,其他调用!$B$5:$B$404,0),MATCH(BF$5,其他调用!$H$4:$L$4,0))*50*0.4)</f>
        <v>11.304870376175554</v>
      </c>
      <c r="BG28" s="14">
        <f>IF(OR(BG$5="大R",BG$5="超R"),0,INDEX(其他调用!$H$5:$L$404,MATCH($K28,其他调用!$B$5:$B$404,0),MATCH(BG$5,其他调用!$H$4:$L$4,0))*50*0.4)</f>
        <v>7.8175283438244465</v>
      </c>
      <c r="BH28" s="14">
        <f>IF(OR(BH$5="大R",BH$5="超R"),0,INDEX(其他调用!$H$5:$L$404,MATCH($K28,其他调用!$B$5:$B$404,0),MATCH(BH$5,其他调用!$H$4:$L$4,0))*50*0.4)</f>
        <v>0.73936128000000012</v>
      </c>
      <c r="BI28" s="14">
        <f>IF(OR(BI$5="大R",BI$5="超R"),0,INDEX(其他调用!$H$5:$L$404,MATCH($K28,其他调用!$B$5:$B$404,0),MATCH(BI$5,其他调用!$H$4:$L$4,0))*50*0.4)</f>
        <v>0</v>
      </c>
      <c r="BJ28" s="14">
        <f>IF(OR(BJ$5="大R",BJ$5="超R"),0,INDEX(其他调用!$H$5:$L$404,MATCH($K28,其他调用!$B$5:$B$404,0),MATCH(BJ$5,其他调用!$H$4:$L$4,0))*50*0.4)</f>
        <v>0</v>
      </c>
      <c r="BL28" s="14">
        <f t="shared" si="103"/>
        <v>23</v>
      </c>
      <c r="BM28" s="14">
        <f t="shared" si="10"/>
        <v>96</v>
      </c>
      <c r="BN28" s="14">
        <f>('疲劳值&amp;地图信息'!$S$10*'疲劳值&amp;地图信息'!$R$10+'疲劳值&amp;地图信息'!$S$11*'疲劳值&amp;地图信息'!$R$11+'疲劳值&amp;地图信息'!$S$12*'疲劳值&amp;地图信息'!$R$12+(BM28-'疲劳值&amp;地图信息'!$S$12-'疲劳值&amp;地图信息'!$S$11-'疲劳值&amp;地图信息'!$S$10)*'疲劳值&amp;地图信息'!$R$13)/BM28</f>
        <v>51.371477246638619</v>
      </c>
      <c r="BO28" s="14">
        <f>INDEX(其他调用!$M$5:$M$404,MATCH(BL28,其他调用!$B$5:$B$404,0))*0.6</f>
        <v>50.599999999999994</v>
      </c>
      <c r="BP28" s="14">
        <f>IF(BO28&gt;SUM('疲劳值&amp;地图信息'!$S$10:$S$12),('疲劳值&amp;地图信息'!$S$10*'疲劳值&amp;地图信息'!$R$10+'疲劳值&amp;地图信息'!$S$11*'疲劳值&amp;地图信息'!$R$11+'疲劳值&amp;地图信息'!$S$12*'疲劳值&amp;地图信息'!$R$12+(BO28-'疲劳值&amp;地图信息'!$S$12-'疲劳值&amp;地图信息'!$S$11-'疲劳值&amp;地图信息'!$S$10)*'疲劳值&amp;地图信息'!$R$13)/BO28,('疲劳值&amp;地图信息'!$S$10*'疲劳值&amp;地图信息'!$R$10+'疲劳值&amp;地图信息'!$S$11*'疲劳值&amp;地图信息'!$R$11+'疲劳值&amp;地图信息'!$S$12*'疲劳值&amp;地图信息'!$R$12+(BO28-'疲劳值&amp;地图信息'!$S$12-'疲劳值&amp;地图信息'!$S$11-'疲劳值&amp;地图信息'!$S$10)*'疲劳值&amp;地图信息'!$R$13)/BO28)</f>
        <v>40.584728989442205</v>
      </c>
      <c r="BQ28" s="14">
        <f t="shared" si="104"/>
        <v>20</v>
      </c>
      <c r="BR28" s="14">
        <f>('疲劳值&amp;地图信息'!$S$10*'疲劳值&amp;地图信息'!$R$10+($BQ28-'疲劳值&amp;地图信息'!$S$10)*'疲劳值&amp;地图信息'!$R$11)/$BQ28</f>
        <v>32.067203015074995</v>
      </c>
      <c r="CF28" s="14">
        <v>23</v>
      </c>
      <c r="CG28" s="51">
        <f t="shared" si="11"/>
        <v>4438</v>
      </c>
      <c r="CH28" s="51">
        <f t="shared" si="12"/>
        <v>796</v>
      </c>
      <c r="CI28" s="51">
        <f>INT(SUMPRODUCT($N28:$R28,$BA28:$BE28)/SUM($BA28:$BE28)/10000*$BX$7*$BZ$34/'疲劳值&amp;地图信息'!$R$10*$BY$53)</f>
        <v>2593</v>
      </c>
      <c r="CJ28" s="50">
        <f t="shared" si="13"/>
        <v>0.56701162642136194</v>
      </c>
      <c r="CK28" s="50">
        <f t="shared" si="14"/>
        <v>0.10169924619905456</v>
      </c>
      <c r="CL28" s="50">
        <f t="shared" si="15"/>
        <v>0.33128912737958349</v>
      </c>
      <c r="CM28" s="14">
        <f t="shared" si="16"/>
        <v>4604</v>
      </c>
      <c r="CN28" s="14">
        <f t="shared" si="17"/>
        <v>996</v>
      </c>
      <c r="CO28" s="14">
        <f>INT(SUMPRODUCT($U28:$Y28,$BA28:$BE28)/SUM($BA28:$BE28)/10000*$BX$7*$BZ$34/'疲劳值&amp;地图信息'!$R$10*$BY$54)</f>
        <v>4262</v>
      </c>
      <c r="CP28" s="50">
        <f t="shared" si="18"/>
        <v>0.46684242547150678</v>
      </c>
      <c r="CQ28" s="50">
        <f t="shared" si="19"/>
        <v>0.10099371324274994</v>
      </c>
      <c r="CR28" s="50">
        <f t="shared" si="20"/>
        <v>0.43216386128574324</v>
      </c>
      <c r="CS28" s="14">
        <f t="shared" si="21"/>
        <v>4919</v>
      </c>
      <c r="CT28" s="14">
        <f t="shared" si="22"/>
        <v>1597</v>
      </c>
      <c r="CU28" s="14">
        <f>INT(SUMPRODUCT($AB28:$AF28,$BA28:$BE28)/SUM($BA28:$BE28)/10000*$BX$7*$BZ$34/'疲劳值&amp;地图信息'!$R$10*$BY$55)</f>
        <v>5775</v>
      </c>
      <c r="CV28" s="50">
        <f t="shared" si="23"/>
        <v>0.40021153689691646</v>
      </c>
      <c r="CW28" s="50">
        <f t="shared" si="24"/>
        <v>0.12993247091367668</v>
      </c>
      <c r="CX28" s="50">
        <f t="shared" si="25"/>
        <v>0.46985599218940688</v>
      </c>
      <c r="CY28" s="14">
        <f t="shared" si="26"/>
        <v>5738</v>
      </c>
      <c r="CZ28" s="14">
        <f t="shared" si="27"/>
        <v>3397</v>
      </c>
      <c r="DA28" s="14">
        <f>INT(SUMPRODUCT($AI28:$AM28,$BA28:$BE28)/SUM($BA28:$BE28)/10000*$BX$7*$BZ$34/'疲劳值&amp;地图信息'!$R$10*$BY$56)</f>
        <v>8695</v>
      </c>
      <c r="DB28" s="50">
        <f t="shared" si="28"/>
        <v>0.32181716208637129</v>
      </c>
      <c r="DC28" s="50">
        <f t="shared" si="29"/>
        <v>0.19052159282108805</v>
      </c>
      <c r="DD28" s="50">
        <f t="shared" si="30"/>
        <v>0.48766124509254066</v>
      </c>
      <c r="DE28" s="14">
        <f t="shared" si="31"/>
        <v>5913</v>
      </c>
      <c r="DF28" s="14">
        <f t="shared" si="32"/>
        <v>7987</v>
      </c>
      <c r="DG28" s="14">
        <f>INT(SUMPRODUCT($AP28:$AT28,$BA28:$BE28)/SUM($BA28:$BE28)/10000*$BX$7*$BZ$34/'疲劳值&amp;地图信息'!$R$10*$BY$57)</f>
        <v>11607</v>
      </c>
      <c r="DH28" s="50">
        <f t="shared" si="33"/>
        <v>0.23181871643078369</v>
      </c>
      <c r="DI28" s="50">
        <f t="shared" si="34"/>
        <v>0.31312972909397419</v>
      </c>
      <c r="DJ28" s="50">
        <f t="shared" si="35"/>
        <v>0.45505155447524209</v>
      </c>
      <c r="DL28" s="14">
        <f t="shared" si="106"/>
        <v>7827</v>
      </c>
      <c r="DM28" s="14">
        <f t="shared" si="107"/>
        <v>9862</v>
      </c>
      <c r="DN28" s="14">
        <f t="shared" si="108"/>
        <v>12291</v>
      </c>
      <c r="DO28" s="14">
        <f t="shared" si="109"/>
        <v>17830</v>
      </c>
      <c r="DP28" s="14">
        <f t="shared" si="110"/>
        <v>25507</v>
      </c>
      <c r="DQ28" s="14">
        <f t="shared" si="111"/>
        <v>448662</v>
      </c>
      <c r="DT28" s="14">
        <f t="shared" si="105"/>
        <v>235575</v>
      </c>
      <c r="DU28" s="50">
        <f t="shared" si="7"/>
        <v>0.34428860175640896</v>
      </c>
      <c r="DW28" s="14">
        <f t="shared" si="36"/>
        <v>684237</v>
      </c>
      <c r="EB28" s="14">
        <v>23</v>
      </c>
      <c r="EC28" s="51">
        <f t="shared" si="37"/>
        <v>7397</v>
      </c>
      <c r="ED28" s="51">
        <f t="shared" si="38"/>
        <v>1326</v>
      </c>
      <c r="EE28" s="51">
        <f>INT(SUMPRODUCT($N28:$R28,$BF28:$BJ28)/SUM($BF28:$BJ28)/10000*$BX$7*$BZ$46/'疲劳值&amp;地图信息'!$R$10*$BY$53)</f>
        <v>347</v>
      </c>
      <c r="EF28" s="50">
        <f t="shared" si="39"/>
        <v>0.8155457552370452</v>
      </c>
      <c r="EG28" s="50">
        <f t="shared" si="40"/>
        <v>0.1461962513781698</v>
      </c>
      <c r="EH28" s="50">
        <f t="shared" si="41"/>
        <v>3.8257993384785006E-2</v>
      </c>
      <c r="EI28" s="51">
        <f t="shared" si="42"/>
        <v>7673</v>
      </c>
      <c r="EJ28" s="51">
        <f t="shared" si="43"/>
        <v>1660</v>
      </c>
      <c r="EK28" s="14">
        <f>INT(SUMPRODUCT($U28:$Y28,$BF28:$BJ28)/SUM($BF28:$BJ28)/10000*$BX$7*$BZ$46/'疲劳值&amp;地图信息'!$R$10*$BY$54)</f>
        <v>571</v>
      </c>
      <c r="EL28" s="50">
        <f t="shared" si="44"/>
        <v>0.77473747980613894</v>
      </c>
      <c r="EM28" s="50">
        <f t="shared" si="45"/>
        <v>0.16760904684975766</v>
      </c>
      <c r="EN28" s="50">
        <f t="shared" si="46"/>
        <v>5.7653473344103395E-2</v>
      </c>
      <c r="EO28" s="51">
        <f t="shared" si="47"/>
        <v>8199</v>
      </c>
      <c r="EP28" s="51">
        <f t="shared" si="48"/>
        <v>2662</v>
      </c>
      <c r="EQ28" s="14">
        <f>INT(SUMPRODUCT($AB28:$AF28,$BF28:$BJ28)/SUM($BF28:$BJ28)/10000*$BX$7*$BZ$46/'疲劳值&amp;地图信息'!$R$10*$BY$55)</f>
        <v>772</v>
      </c>
      <c r="ER28" s="50">
        <f t="shared" si="49"/>
        <v>0.70480529528066704</v>
      </c>
      <c r="ES28" s="50">
        <f t="shared" si="50"/>
        <v>0.2288317716840024</v>
      </c>
      <c r="ET28" s="50">
        <f t="shared" si="51"/>
        <v>6.6362933035330529E-2</v>
      </c>
      <c r="EU28" s="51">
        <f t="shared" si="52"/>
        <v>9564</v>
      </c>
      <c r="EV28" s="51">
        <f t="shared" si="53"/>
        <v>5662</v>
      </c>
      <c r="EW28" s="14">
        <f>INT(SUMPRODUCT($AI28:$AM28,$BF28:$BJ28)/SUM($BF28:$BJ28)/10000*$BX$7*$BZ$46/'疲劳值&amp;地图信息'!$R$10*$BY$56)</f>
        <v>1159</v>
      </c>
      <c r="EX28" s="50">
        <f t="shared" si="54"/>
        <v>0.58370460787305467</v>
      </c>
      <c r="EY28" s="50">
        <f t="shared" si="55"/>
        <v>0.34555996338114131</v>
      </c>
      <c r="EZ28" s="50">
        <f t="shared" si="56"/>
        <v>7.0735428745804088E-2</v>
      </c>
      <c r="FA28" s="51">
        <f t="shared" si="57"/>
        <v>9855</v>
      </c>
      <c r="FB28" s="51">
        <f t="shared" si="58"/>
        <v>13313</v>
      </c>
      <c r="FC28" s="14">
        <f>INT(SUMPRODUCT($AP28:$AT28,$BF28:$BJ28)/SUM($BF28:$BJ28)/10000*$BX$7*$BZ$46/'疲劳值&amp;地图信息'!$R$10*$BY$57)</f>
        <v>1545</v>
      </c>
      <c r="FD28" s="50">
        <f t="shared" si="59"/>
        <v>0.39877797110832358</v>
      </c>
      <c r="FE28" s="50">
        <f t="shared" si="60"/>
        <v>0.5387043256585603</v>
      </c>
      <c r="FF28" s="50">
        <f t="shared" si="61"/>
        <v>6.2517703233116173E-2</v>
      </c>
      <c r="FH28" s="14">
        <f t="shared" si="62"/>
        <v>9070</v>
      </c>
      <c r="FI28" s="14">
        <f t="shared" si="63"/>
        <v>9904</v>
      </c>
      <c r="FJ28" s="14">
        <f t="shared" si="64"/>
        <v>11633</v>
      </c>
      <c r="FK28" s="14">
        <f t="shared" si="65"/>
        <v>16385</v>
      </c>
      <c r="FL28" s="14">
        <f t="shared" si="66"/>
        <v>24713</v>
      </c>
      <c r="FM28" s="14">
        <f t="shared" si="67"/>
        <v>1043856</v>
      </c>
      <c r="FP28" s="14">
        <f t="shared" si="68"/>
        <v>334150</v>
      </c>
      <c r="FQ28" s="50">
        <f t="shared" si="8"/>
        <v>0.24248805883283528</v>
      </c>
      <c r="FS28" s="14">
        <f t="shared" si="69"/>
        <v>1378006</v>
      </c>
      <c r="FX28" s="14">
        <v>23</v>
      </c>
      <c r="FY28" s="51">
        <f t="shared" si="70"/>
        <v>10355</v>
      </c>
      <c r="FZ28" s="51">
        <f t="shared" si="71"/>
        <v>1326</v>
      </c>
      <c r="GA28" s="51">
        <f>INT(SUMPRODUCT($N28:$R28,$BF28:$BJ28)/SUM($BF28:$BJ28)/10000*$BX$7*$BZ$46/'疲劳值&amp;地图信息'!$R$10*$BY$53)</f>
        <v>347</v>
      </c>
      <c r="GB28" s="50">
        <f t="shared" si="72"/>
        <v>0.86090788160957765</v>
      </c>
      <c r="GC28" s="50">
        <f t="shared" si="73"/>
        <v>0.11024276687728633</v>
      </c>
      <c r="GD28" s="50">
        <f t="shared" si="74"/>
        <v>2.8849351513136015E-2</v>
      </c>
      <c r="GE28" s="51">
        <f t="shared" si="75"/>
        <v>10742</v>
      </c>
      <c r="GF28" s="51">
        <f t="shared" si="76"/>
        <v>1660</v>
      </c>
      <c r="GG28" s="14">
        <f>INT(SUMPRODUCT($U28:$Y28,$BF28:$BJ28)/SUM($BF28:$BJ28)/10000*$BX$7*$BZ$46/'疲劳值&amp;地图信息'!$R$10*$BY$54)</f>
        <v>571</v>
      </c>
      <c r="GH28" s="50">
        <f t="shared" si="77"/>
        <v>0.8280274416094966</v>
      </c>
      <c r="GI28" s="50">
        <f t="shared" si="78"/>
        <v>0.1279580667540276</v>
      </c>
      <c r="GJ28" s="50">
        <f t="shared" si="79"/>
        <v>4.4014491636475757E-2</v>
      </c>
      <c r="GK28" s="51">
        <f t="shared" si="80"/>
        <v>11478</v>
      </c>
      <c r="GL28" s="51">
        <f t="shared" si="81"/>
        <v>2662</v>
      </c>
      <c r="GM28" s="14">
        <f>INT(SUMPRODUCT($AB28:$AF28,$BF28:$BJ28)/SUM($BF28:$BJ28)/10000*$BX$7*$BZ$46/'疲劳值&amp;地图信息'!$R$10*$BY$55)</f>
        <v>772</v>
      </c>
      <c r="GN28" s="50">
        <f t="shared" si="82"/>
        <v>0.76971566523605151</v>
      </c>
      <c r="GO28" s="50">
        <f t="shared" si="83"/>
        <v>0.17851394849785407</v>
      </c>
      <c r="GP28" s="50">
        <f t="shared" si="84"/>
        <v>5.1770386266094419E-2</v>
      </c>
      <c r="GQ28" s="51">
        <f t="shared" si="85"/>
        <v>13390</v>
      </c>
      <c r="GR28" s="51">
        <f t="shared" si="86"/>
        <v>5662</v>
      </c>
      <c r="GS28" s="14">
        <f>INT(SUMPRODUCT($AI28:$AM28,$BF28:$BJ28)/SUM($BF28:$BJ28)/10000*$BX$7*$BZ$46/'疲劳值&amp;地图信息'!$R$10*$BY$56)</f>
        <v>1159</v>
      </c>
      <c r="GT28" s="50">
        <f t="shared" si="87"/>
        <v>0.66251051407649297</v>
      </c>
      <c r="GU28" s="50">
        <f t="shared" si="88"/>
        <v>0.28014447578051554</v>
      </c>
      <c r="GV28" s="50">
        <f t="shared" si="89"/>
        <v>5.734501014299144E-2</v>
      </c>
      <c r="GW28" s="51">
        <f t="shared" si="90"/>
        <v>13797</v>
      </c>
      <c r="GX28" s="51">
        <f t="shared" si="91"/>
        <v>13313</v>
      </c>
      <c r="GY28" s="14">
        <f>INT(SUMPRODUCT($AP28:$AT28,$BF28:$BJ28)/SUM($BF28:$BJ28)/10000*$BX$7*$BZ$46/'疲劳值&amp;地图信息'!$R$10*$BY$57)</f>
        <v>1545</v>
      </c>
      <c r="GZ28" s="50">
        <f t="shared" si="92"/>
        <v>0.48148665154423309</v>
      </c>
      <c r="HA28" s="50">
        <f t="shared" si="93"/>
        <v>0.4645960565346362</v>
      </c>
      <c r="HB28" s="50">
        <f t="shared" si="94"/>
        <v>5.3917291921130692E-2</v>
      </c>
      <c r="HD28" s="14">
        <f t="shared" si="95"/>
        <v>12028</v>
      </c>
      <c r="HE28" s="14">
        <f t="shared" si="96"/>
        <v>12973</v>
      </c>
      <c r="HF28" s="14">
        <f t="shared" si="97"/>
        <v>14912</v>
      </c>
      <c r="HG28" s="14">
        <f t="shared" si="98"/>
        <v>20211</v>
      </c>
      <c r="HH28" s="14">
        <f t="shared" si="99"/>
        <v>28655</v>
      </c>
      <c r="HI28" s="14">
        <f t="shared" si="100"/>
        <v>1364659</v>
      </c>
      <c r="HL28" s="14">
        <f t="shared" si="101"/>
        <v>430050</v>
      </c>
      <c r="HM28" s="50">
        <f t="shared" si="9"/>
        <v>0.23962101934073993</v>
      </c>
      <c r="HO28" s="14">
        <f t="shared" si="102"/>
        <v>1794709</v>
      </c>
    </row>
    <row r="29" spans="3:223" x14ac:dyDescent="0.2">
      <c r="C29" s="1" t="s">
        <v>433</v>
      </c>
      <c r="D29" s="1" t="s">
        <v>480</v>
      </c>
      <c r="K29" s="14">
        <v>24</v>
      </c>
      <c r="L29" s="12">
        <f>求节点(节奏总纲!D$4:D$163,标准城池设计!AB$4:AB$163,$K29)*求节点(节奏总纲!D$4:D$163,攻城基础信息!$AC$5:$AC$164,$K29)</f>
        <v>204523.78978105637</v>
      </c>
      <c r="M29" s="12">
        <f>INDEX(其他调用!$AA$5:$AA$404,MATCH(K29,其他调用!$X$5:$X$404,0))*MIN(INDEX(其他调用!$AH$5:$AH$364,MATCH('征服点（新）'!K29,其他调用!$AG$5:$AG$364,0),1)/INDEX(其他调用!$AJ$5:$AJ$364,MATCH(K29,其他调用!$AG$5:$AG$364,0),0),5)*求节点(节奏总纲!D$4:D$163,攻城基础信息!$AC$5:$AC$164,$K29)</f>
        <v>34594.812889215827</v>
      </c>
      <c r="N29" s="12">
        <f>MIN(INDEX(其他调用!$AH$5:$AH$364,MATCH($K29,其他调用!$AG$5:$AG$364,0),1)/INDEX(其他调用!AH$5:AH$364,MATCH($K29,其他调用!$AG$5:$AG$364,0),0),1)*INDEX(其他调用!Y$5:Y$404,MATCH($K29,其他调用!$X$5:$X$404,0),0)</f>
        <v>28289.807048649869</v>
      </c>
      <c r="O29" s="12">
        <f>MIN(INDEX(其他调用!$AH$5:$AH$364,MATCH($K29,其他调用!$AG$5:$AG$364,0),1)/INDEX(其他调用!AI$5:AI$364,MATCH($K29,其他调用!$AG$5:$AG$364,0),0),1)*INDEX(其他调用!Z$5:Z$404,MATCH($K29,其他调用!$X$5:$X$404,0),0)</f>
        <v>23460.106237064127</v>
      </c>
      <c r="P29" s="12">
        <f>MIN(INDEX(其他调用!$AH$5:$AH$364,MATCH($K29,其他调用!$AG$5:$AG$364,0),1)/INDEX(其他调用!AJ$5:AJ$364,MATCH($K29,其他调用!$AG$5:$AG$364,0),0),1)*INDEX(其他调用!AA$5:AA$404,MATCH($K29,其他调用!$X$5:$X$404,0),0)</f>
        <v>14529.522415940106</v>
      </c>
      <c r="Q29" s="12">
        <f>MIN(INDEX(其他调用!$AH$5:$AH$364,MATCH($K29,其他调用!$AG$5:$AG$364,0),1)/INDEX(其他调用!AK$5:AK$364,MATCH($K29,其他调用!$AG$5:$AG$364,0),0),1)*INDEX(其他调用!AB$5:AB$404,MATCH($K29,其他调用!$X$5:$X$404,0),0)</f>
        <v>7502.9928777680516</v>
      </c>
      <c r="R29" s="12">
        <f>MIN(INDEX(其他调用!$AH$5:$AH$364,MATCH($K29,其他调用!$AG$5:$AG$364,0),1)/INDEX(其他调用!AL$5:AL$364,MATCH($K29,其他调用!$AG$5:$AG$364,0),0),1)*INDEX(其他调用!AC$5:AC$404,MATCH($K29,其他调用!$X$5:$X$404,0),0)</f>
        <v>2539.2936005157826</v>
      </c>
      <c r="S29" s="12">
        <f>求节点(节奏总纲!D$4:D$163,标准城池设计!AC$4:AC$163,$K29)*求节点(节奏总纲!D$4:D$163,攻城基础信息!$AD$5:$AD$164,$K29)</f>
        <v>212668.05130477052</v>
      </c>
      <c r="T29" s="12">
        <f>INDEX(其他调用!$AA$5:$AA$404,MATCH($K29,其他调用!$X$5:$X$404,0))*MIN(INDEX(其他调用!AI$5:AI$364,MATCH($K29,其他调用!$AG$5:$AG$364,0),1)/INDEX(其他调用!$AJ$5:$AJ$364,MATCH($K29,其他调用!$AG$5:$AG$364,0),0),5)*求节点(节奏总纲!D$4:D$163,攻城基础信息!$AD$5:$AD$164,$K29)</f>
        <v>43261.477949999149</v>
      </c>
      <c r="U29" s="12">
        <f>MIN(INDEX(其他调用!$AI$5:$AI$364,MATCH($K29,其他调用!$AG$5:$AG$364,0),1)/INDEX(其他调用!AH$5:AH$364,MATCH($K29,其他调用!$AG$5:$AG$364,0),0),1)*INDEX(其他调用!Y$5:Y$404,MATCH($K29,其他调用!$X$5:$X$404,0),0)</f>
        <v>28289.807048649869</v>
      </c>
      <c r="V29" s="12">
        <f>MIN(INDEX(其他调用!$AI$5:$AI$364,MATCH($K29,其他调用!$AG$5:$AG$364,0),1)/INDEX(其他调用!AI$5:AI$364,MATCH($K29,其他调用!$AG$5:$AG$364,0),0),1)*INDEX(其他调用!Z$5:Z$404,MATCH($K29,其他调用!$X$5:$X$404,0),0)</f>
        <v>29337.313427001245</v>
      </c>
      <c r="W29" s="12">
        <f>MIN(INDEX(其他调用!$AI$5:$AI$364,MATCH($K29,其他调用!$AG$5:$AG$364,0),1)/INDEX(其他调用!AJ$5:AJ$364,MATCH($K29,其他调用!$AG$5:$AG$364,0),0),1)*INDEX(其他调用!AA$5:AA$404,MATCH($K29,其他调用!$X$5:$X$404,0),0)</f>
        <v>18169.44683684512</v>
      </c>
      <c r="X29" s="12">
        <f>MIN(INDEX(其他调用!$AI$5:$AI$364,MATCH($K29,其他调用!$AG$5:$AG$364,0),1)/INDEX(其他调用!AK$5:AK$364,MATCH($K29,其他调用!$AG$5:$AG$364,0),0),1)*INDEX(其他调用!AB$5:AB$404,MATCH($K29,其他调用!$X$5:$X$404,0),0)</f>
        <v>9382.6366970103536</v>
      </c>
      <c r="Y29" s="12">
        <f>MIN(INDEX(其他调用!$AI$5:$AI$364,MATCH($K29,其他调用!$AG$5:$AG$364,0),1)/INDEX(其他调用!AL$5:AL$364,MATCH($K29,其他调用!$AG$5:$AG$364,0),0),1)*INDEX(其他调用!AC$5:AC$404,MATCH($K29,其他调用!$X$5:$X$404,0),0)</f>
        <v>3175.4354174157684</v>
      </c>
      <c r="Z29" s="12">
        <f>求节点(节奏总纲!D$4:D$163,标准城池设计!AD$4:AD$163,$K29)*求节点(节奏总纲!D$4:D$163,攻城基础信息!$AE$5:$AE$164,$K29)</f>
        <v>227675.91073743792</v>
      </c>
      <c r="AA29" s="12">
        <f>INDEX(其他调用!$AA$5:$AA$404,MATCH($K29,其他调用!$X$5:$X$404,0))*MIN(INDEX(其他调用!AJ$5:AJ$364,MATCH($K29,其他调用!$AG$5:$AG$364,0),1)/INDEX(其他调用!$AJ$5:$AJ$364,MATCH($K29,其他调用!$AG$5:$AG$364,0),0),5)*求节点(节奏总纲!D$4:D$163,攻城基础信息!$AE$5:$AE$164,$K29)</f>
        <v>73197.604320390223</v>
      </c>
      <c r="AB29" s="12">
        <f>MIN(INDEX(其他调用!$AJ$5:$AJ$364,MATCH($K29,其他调用!$AG$5:$AG$364,0),1)/INDEX(其他调用!AH$5:AH$364,MATCH($K29,其他调用!$AG$5:$AG$364,0),0),1)*INDEX(其他调用!Y$5:Y$404,MATCH($K29,其他调用!$X$5:$X$404,0),0)</f>
        <v>28289.807048649869</v>
      </c>
      <c r="AC29" s="12">
        <f>MIN(INDEX(其他调用!$AJ$5:$AJ$364,MATCH($K29,其他调用!$AG$5:$AG$364,0),1)/INDEX(其他调用!AI$5:AI$364,MATCH($K29,其他调用!$AG$5:$AG$364,0),0),1)*INDEX(其他调用!Z$5:Z$404,MATCH($K29,其他调用!$X$5:$X$404,0),0)</f>
        <v>29337.313427001245</v>
      </c>
      <c r="AD29" s="12">
        <f>MIN(INDEX(其他调用!$AJ$5:$AJ$364,MATCH($K29,其他调用!$AG$5:$AG$364,0),1)/INDEX(其他调用!AJ$5:AJ$364,MATCH($K29,其他调用!$AG$5:$AG$364,0),0),1)*INDEX(其他调用!AA$5:AA$404,MATCH($K29,其他调用!$X$5:$X$404,0),0)</f>
        <v>30742.361179174208</v>
      </c>
      <c r="AE29" s="12">
        <f>MIN(INDEX(其他调用!$AJ$5:$AJ$364,MATCH($K29,其他调用!$AG$5:$AG$364,0),1)/INDEX(其他调用!AK$5:AK$364,MATCH($K29,其他调用!$AG$5:$AG$364,0),0),1)*INDEX(其他调用!AB$5:AB$404,MATCH($K29,其他调用!$X$5:$X$404,0),0)</f>
        <v>15875.244235148708</v>
      </c>
      <c r="AF29" s="12">
        <f>MIN(INDEX(其他调用!$AJ$5:$AJ$364,MATCH($K29,其他调用!$AG$5:$AG$364,0),1)/INDEX(其他调用!AL$5:AL$364,MATCH($K29,其他调用!$AG$5:$AG$364,0),0),1)*INDEX(其他调用!AC$5:AC$404,MATCH($K29,其他调用!$X$5:$X$404,0),0)</f>
        <v>5372.7768038252416</v>
      </c>
      <c r="AG29" s="12">
        <f>求节点(节奏总纲!D$4:D$163,标准城池设计!AE$4:AE$163,$K29)*求节点(节奏总纲!D$4:D$163,攻城基础信息!$AF$5:$AF$164,$K29)</f>
        <v>265701.2789270393</v>
      </c>
      <c r="AH29" s="12">
        <f>INDEX(其他调用!$AA$5:$AA$404,MATCH($K29,其他调用!$X$5:$X$404,0))*MIN(INDEX(其他调用!AK$5:AK$364,MATCH($K29,其他调用!$AG$5:$AG$364,0),1)/INDEX(其他调用!$AJ$5:$AJ$364,MATCH($K29,其他调用!$AG$5:$AG$364,0),0),5)*求节点(节奏总纲!D$4:D$163,攻城基础信息!$AF$5:$AF$164,$K29)</f>
        <v>151092.39045035921</v>
      </c>
      <c r="AI29" s="12">
        <f>MIN(INDEX(其他调用!$AK$5:$AK$364,MATCH($K29,其他调用!$AG$5:$AG$364,0),1)/INDEX(其他调用!AH$5:AH$364,MATCH($K29,其他调用!$AG$5:$AG$364,0),0),1)*INDEX(其他调用!Y$5:Y$404,MATCH($K29,其他调用!$X$5:$X$404,0),0)</f>
        <v>28289.807048649869</v>
      </c>
      <c r="AJ29" s="12">
        <f>MIN(INDEX(其他调用!$AK$5:$AK$364,MATCH($K29,其他调用!$AG$5:$AG$364,0),1)/INDEX(其他调用!AI$5:AI$364,MATCH($K29,其他调用!$AG$5:$AG$364,0),0),1)*INDEX(其他调用!Z$5:Z$404,MATCH($K29,其他调用!$X$5:$X$404,0),0)</f>
        <v>29337.313427001245</v>
      </c>
      <c r="AK29" s="12">
        <f>MIN(INDEX(其他调用!$AK$5:$AK$364,MATCH($K29,其他调用!$AG$5:$AG$364,0),1)/INDEX(其他调用!AJ$5:AJ$364,MATCH($K29,其他调用!$AG$5:$AG$364,0),0),1)*INDEX(其他调用!AA$5:AA$404,MATCH($K29,其他调用!$X$5:$X$404,0),0)</f>
        <v>30742.361179174208</v>
      </c>
      <c r="AL29" s="12">
        <f>MIN(INDEX(其他调用!$AK$5:$AK$364,MATCH($K29,其他调用!$AG$5:$AG$364,0),1)/INDEX(其他调用!AK$5:AK$364,MATCH($K29,其他调用!$AG$5:$AG$364,0),0),1)*INDEX(其他调用!AB$5:AB$404,MATCH($K29,其他调用!$X$5:$X$404,0),0)</f>
        <v>32769.222746320549</v>
      </c>
      <c r="AM29" s="12">
        <f>MIN(INDEX(其他调用!$AK$5:$AK$364,MATCH($K29,其他调用!$AG$5:$AG$364,0),1)/INDEX(其他调用!AL$5:AL$364,MATCH($K29,其他调用!$AG$5:$AG$364,0),0),1)*INDEX(其他调用!AC$5:AC$404,MATCH($K29,其他调用!$X$5:$X$404,0),0)</f>
        <v>11090.331414303708</v>
      </c>
      <c r="AN29" s="12">
        <f>求节点(节奏总纲!D$4:D$163,标准城池设计!AF$4:AF$163,$K29)*求节点(节奏总纲!D$4:D$163,攻城基础信息!$AG$5:$AG$164,$K29)</f>
        <v>273693.03662388556</v>
      </c>
      <c r="AO29" s="12">
        <f>INDEX(其他调用!$AA$5:$AA$404,MATCH($K29,其他调用!$X$5:$X$404,0))*MIN(INDEX(其他调用!AL$5:AL$364,MATCH($K29,其他调用!$AG$5:$AG$364,0),1)/INDEX(其他调用!$AJ$5:$AJ$364,MATCH($K29,其他调用!$AG$5:$AG$364,0),0),5)*求节点(节奏总纲!D$4:D$163,攻城基础信息!$AG$5:$AG$164,$K29)</f>
        <v>365988.02160195116</v>
      </c>
      <c r="AP29" s="12">
        <f>MIN(INDEX(其他调用!$AL$5:$AL$364,MATCH($K29,其他调用!$AG$5:$AG$364,0),1)/INDEX(其他调用!AH$5:AH$364,MATCH($K29,其他调用!$AG$5:$AG$364,0),0),1)*INDEX(其他调用!Y$5:Y$404,MATCH($K29,其他调用!$X$5:$X$404,0),0)</f>
        <v>28289.807048649869</v>
      </c>
      <c r="AQ29" s="12">
        <f>MIN(INDEX(其他调用!$AL$5:$AL$364,MATCH($K29,其他调用!$AG$5:$AG$364,0),1)/INDEX(其他调用!AI$5:AI$364,MATCH($K29,其他调用!$AG$5:$AG$364,0),0),1)*INDEX(其他调用!Z$5:Z$404,MATCH($K29,其他调用!$X$5:$X$404,0),0)</f>
        <v>29337.313427001245</v>
      </c>
      <c r="AR29" s="12">
        <f>MIN(INDEX(其他调用!$AL$5:$AL$364,MATCH($K29,其他调用!$AG$5:$AG$364,0),1)/INDEX(其他调用!AJ$5:AJ$364,MATCH($K29,其他调用!$AG$5:$AG$364,0),0),1)*INDEX(其他调用!AA$5:AA$404,MATCH($K29,其他调用!$X$5:$X$404,0),0)</f>
        <v>30742.361179174208</v>
      </c>
      <c r="AS29" s="12">
        <f>MIN(INDEX(其他调用!$AL$5:$AL$364,MATCH($K29,其他调用!$AG$5:$AG$364,0),1)/INDEX(其他调用!AK$5:AK$364,MATCH($K29,其他调用!$AG$5:$AG$364,0),0),1)*INDEX(其他调用!AB$5:AB$404,MATCH($K29,其他调用!$X$5:$X$404,0),0)</f>
        <v>32769.222746320549</v>
      </c>
      <c r="AT29" s="12">
        <f>MIN(INDEX(其他调用!$AL$5:$AL$364,MATCH($K29,其他调用!$AG$5:$AG$364,0),1)/INDEX(其他调用!AL$5:AL$364,MATCH($K29,其他调用!$AG$5:$AG$364,0),0),1)*INDEX(其他调用!AC$5:AC$404,MATCH($K29,其他调用!$X$5:$X$404,0),0)</f>
        <v>36543.18070281564</v>
      </c>
      <c r="AV29" s="14">
        <f>IF(OR(AV$5="大R",AV$5="超R"),MAX(INDEX(其他调用!$H$5:$L$404,MATCH($K29,其他调用!$B$5:$B$404,0),MATCH(AV$5,其他调用!$H$4:$L$4,0))*120*0.85,2),INDEX(其他调用!$H$5:$L$404,MATCH($K29,其他调用!$B$5:$B$404,0),MATCH(AV$5,其他调用!$H$4:$L$4,0))*120*0.85)</f>
        <v>57.240508683385599</v>
      </c>
      <c r="AW29" s="14">
        <f>IF(OR(AW$5="大R",AW$5="超R"),MAX(INDEX(其他调用!$H$5:$L$404,MATCH($K29,其他调用!$B$5:$B$404,0),MATCH(AW$5,其他调用!$H$4:$L$4,0))*120*0.85,2),INDEX(其他调用!$H$5:$L$404,MATCH($K29,其他调用!$B$5:$B$404,0),MATCH(AW$5,其他调用!$H$4:$L$4,0))*120*0.85)</f>
        <v>40.274167796614393</v>
      </c>
      <c r="AX29" s="14">
        <f>IF(OR(AX$5="大R",AX$5="超R"),MAX(INDEX(其他调用!$H$5:$L$404,MATCH($K29,其他调用!$B$5:$B$404,0),MATCH(AX$5,其他调用!$H$4:$L$4,0))*120*0.85,2),INDEX(其他调用!$H$5:$L$404,MATCH($K29,其他调用!$B$5:$B$404,0),MATCH(AX$5,其他调用!$H$4:$L$4,0))*120*0.85)</f>
        <v>3.7754035199999998</v>
      </c>
      <c r="AY29" s="14">
        <f>IF(OR(AY$5="大R",AY$5="超R"),MAX(INDEX(其他调用!$H$5:$L$404,MATCH($K29,其他调用!$B$5:$B$404,0),MATCH(AY$5,其他调用!$H$4:$L$4,0))*120*0.85,2),INDEX(其他调用!$H$5:$L$404,MATCH($K29,其他调用!$B$5:$B$404,0),MATCH(AY$5,其他调用!$H$4:$L$4,0))*120*0.85)</f>
        <v>2</v>
      </c>
      <c r="AZ29" s="14">
        <f>IF(OR(AZ$5="大R",AZ$5="超R"),MAX(INDEX(其他调用!$H$5:$L$404,MATCH($K29,其他调用!$B$5:$B$404,0),MATCH(AZ$5,其他调用!$H$4:$L$4,0))*120*0.85,2),INDEX(其他调用!$H$5:$L$404,MATCH($K29,其他调用!$B$5:$B$404,0),MATCH(AZ$5,其他调用!$H$4:$L$4,0))*120*0.85)</f>
        <v>2</v>
      </c>
      <c r="BA29" s="14">
        <f>INDEX(其他调用!$H$5:$L$404,MATCH($K29,其他调用!$B$5:$B$404,0),MATCH(BA$5,其他调用!$H$4:$L$4,0))*INDEX(其他调用!$M$5:$M$404,MATCH($K29,其他调用!$B$5:$B$404,0))*0.6</f>
        <v>28.536077123040759</v>
      </c>
      <c r="BB29" s="14">
        <f>INDEX(其他调用!$H$5:$L$404,MATCH($K29,其他调用!$B$5:$B$404,0),MATCH(BB$5,其他调用!$H$4:$L$4,0))*INDEX(其他调用!$M$5:$M$404,MATCH($K29,其他调用!$B$5:$B$404,0))*0.6</f>
        <v>20.077857180959235</v>
      </c>
      <c r="BC29" s="14">
        <f>INDEX(其他调用!$H$5:$L$404,MATCH($K29,其他调用!$B$5:$B$404,0),MATCH(BC$5,其他调用!$H$4:$L$4,0))*INDEX(其他调用!$M$5:$M$404,MATCH($K29,其他调用!$B$5:$B$404,0))*0.6</f>
        <v>1.8821496959999999</v>
      </c>
      <c r="BD29" s="14">
        <f>INDEX(其他调用!$H$5:$L$404,MATCH($K29,其他调用!$B$5:$B$404,0),MATCH(BD$5,其他调用!$H$4:$L$4,0))*INDEX(其他调用!$M$5:$M$404,MATCH($K29,其他调用!$B$5:$B$404,0))*0.6</f>
        <v>0.28526850000000009</v>
      </c>
      <c r="BE29" s="14">
        <f>INDEX(其他调用!$H$5:$L$404,MATCH($K29,其他调用!$B$5:$B$404,0),MATCH(BE$5,其他调用!$H$4:$L$4,0))*INDEX(其他调用!$M$5:$M$404,MATCH($K29,其他调用!$B$5:$B$404,0))*0.6</f>
        <v>6.8647499999999986E-2</v>
      </c>
      <c r="BF29" s="14">
        <f>IF(OR(BF$5="大R",BF$5="超R"),0,INDEX(其他调用!$H$5:$L$404,MATCH($K29,其他调用!$B$5:$B$404,0),MATCH(BF$5,其他调用!$H$4:$L$4,0))*50*0.4)</f>
        <v>11.223629153605019</v>
      </c>
      <c r="BG29" s="14">
        <f>IF(OR(BG$5="大R",BG$5="超R"),0,INDEX(其他调用!$H$5:$L$404,MATCH($K29,其他调用!$B$5:$B$404,0),MATCH(BG$5,其他调用!$H$4:$L$4,0))*50*0.4)</f>
        <v>7.8968956463949809</v>
      </c>
      <c r="BH29" s="14">
        <f>IF(OR(BH$5="大R",BH$5="超R"),0,INDEX(其他调用!$H$5:$L$404,MATCH($K29,其他调用!$B$5:$B$404,0),MATCH(BH$5,其他调用!$H$4:$L$4,0))*50*0.4)</f>
        <v>0.74027520000000002</v>
      </c>
      <c r="BI29" s="14">
        <f>IF(OR(BI$5="大R",BI$5="超R"),0,INDEX(其他调用!$H$5:$L$404,MATCH($K29,其他调用!$B$5:$B$404,0),MATCH(BI$5,其他调用!$H$4:$L$4,0))*50*0.4)</f>
        <v>0</v>
      </c>
      <c r="BJ29" s="14">
        <f>IF(OR(BJ$5="大R",BJ$5="超R"),0,INDEX(其他调用!$H$5:$L$404,MATCH($K29,其他调用!$B$5:$B$404,0),MATCH(BJ$5,其他调用!$H$4:$L$4,0))*50*0.4)</f>
        <v>0</v>
      </c>
      <c r="BL29" s="14">
        <f t="shared" si="103"/>
        <v>24</v>
      </c>
      <c r="BM29" s="14">
        <f t="shared" si="10"/>
        <v>96</v>
      </c>
      <c r="BN29" s="14">
        <f>('疲劳值&amp;地图信息'!$S$10*'疲劳值&amp;地图信息'!$R$10+'疲劳值&amp;地图信息'!$S$11*'疲劳值&amp;地图信息'!$R$11+'疲劳值&amp;地图信息'!$S$12*'疲劳值&amp;地图信息'!$R$12+(BM29-'疲劳值&amp;地图信息'!$S$12-'疲劳值&amp;地图信息'!$S$11-'疲劳值&amp;地图信息'!$S$10)*'疲劳值&amp;地图信息'!$R$13)/BM29</f>
        <v>51.371477246638619</v>
      </c>
      <c r="BO29" s="14">
        <f>INDEX(其他调用!$M$5:$M$404,MATCH(BL29,其他调用!$B$5:$B$404,0))*0.6</f>
        <v>50.85</v>
      </c>
      <c r="BP29" s="14">
        <f>IF(BO29&gt;SUM('疲劳值&amp;地图信息'!$S$10:$S$12),('疲劳值&amp;地图信息'!$S$10*'疲劳值&amp;地图信息'!$R$10+'疲劳值&amp;地图信息'!$S$11*'疲劳值&amp;地图信息'!$R$11+'疲劳值&amp;地图信息'!$S$12*'疲劳值&amp;地图信息'!$R$12+(BO29-'疲劳值&amp;地图信息'!$S$12-'疲劳值&amp;地图信息'!$S$11-'疲劳值&amp;地图信息'!$S$10)*'疲劳值&amp;地图信息'!$R$13)/BO29,('疲劳值&amp;地图信息'!$S$10*'疲劳值&amp;地图信息'!$R$10+'疲劳值&amp;地图信息'!$S$11*'疲劳值&amp;地图信息'!$R$11+'疲劳值&amp;地图信息'!$S$12*'疲劳值&amp;地图信息'!$R$12+(BO29-'疲劳值&amp;地图信息'!$S$12-'疲劳值&amp;地图信息'!$S$11-'疲劳值&amp;地图信息'!$S$10)*'疲劳值&amp;地图信息'!$R$13)/BO29)</f>
        <v>40.69686754941722</v>
      </c>
      <c r="BQ29" s="14">
        <f t="shared" si="104"/>
        <v>20</v>
      </c>
      <c r="BR29" s="14">
        <f>('疲劳值&amp;地图信息'!$S$10*'疲劳值&amp;地图信息'!$R$10+($BQ29-'疲劳值&amp;地图信息'!$S$10)*'疲劳值&amp;地图信息'!$R$11)/$BQ29</f>
        <v>32.067203015074995</v>
      </c>
      <c r="CF29" s="14">
        <v>24</v>
      </c>
      <c r="CG29" s="51">
        <f t="shared" si="11"/>
        <v>4522</v>
      </c>
      <c r="CH29" s="51">
        <f t="shared" si="12"/>
        <v>765</v>
      </c>
      <c r="CI29" s="51">
        <f>INT(SUMPRODUCT($N29:$R29,$BA29:$BE29)/SUM($BA29:$BE29)/10000*$BX$7*$BZ$34/'疲劳值&amp;地图信息'!$R$10*$BY$53)</f>
        <v>2609</v>
      </c>
      <c r="CJ29" s="50">
        <f t="shared" si="13"/>
        <v>0.57269503546099287</v>
      </c>
      <c r="CK29" s="50">
        <f t="shared" si="14"/>
        <v>9.6884498480243164E-2</v>
      </c>
      <c r="CL29" s="50">
        <f t="shared" si="15"/>
        <v>0.33042046605876391</v>
      </c>
      <c r="CM29" s="14">
        <f t="shared" si="16"/>
        <v>4703</v>
      </c>
      <c r="CN29" s="14">
        <f t="shared" si="17"/>
        <v>956</v>
      </c>
      <c r="CO29" s="14">
        <f>INT(SUMPRODUCT($U29:$Y29,$BA29:$BE29)/SUM($BA29:$BE29)/10000*$BX$7*$BZ$34/'疲劳值&amp;地图信息'!$R$10*$BY$54)</f>
        <v>4290</v>
      </c>
      <c r="CP29" s="50">
        <f t="shared" si="18"/>
        <v>0.47271082520856367</v>
      </c>
      <c r="CQ29" s="50">
        <f t="shared" si="19"/>
        <v>9.6090059302442452E-2</v>
      </c>
      <c r="CR29" s="50">
        <f t="shared" si="20"/>
        <v>0.43119911548899387</v>
      </c>
      <c r="CS29" s="14">
        <f t="shared" si="21"/>
        <v>5034</v>
      </c>
      <c r="CT29" s="14">
        <f t="shared" si="22"/>
        <v>1618</v>
      </c>
      <c r="CU29" s="14">
        <f>INT(SUMPRODUCT($AB29:$AF29,$BA29:$BE29)/SUM($BA29:$BE29)/10000*$BX$7*$BZ$34/'疲劳值&amp;地图信息'!$R$10*$BY$55)</f>
        <v>5822</v>
      </c>
      <c r="CV29" s="50">
        <f t="shared" si="23"/>
        <v>0.40355940355940356</v>
      </c>
      <c r="CW29" s="50">
        <f t="shared" si="24"/>
        <v>0.12970979637646304</v>
      </c>
      <c r="CX29" s="50">
        <f t="shared" si="25"/>
        <v>0.46673080006413342</v>
      </c>
      <c r="CY29" s="14">
        <f t="shared" si="26"/>
        <v>5875</v>
      </c>
      <c r="CZ29" s="14">
        <f t="shared" si="27"/>
        <v>3341</v>
      </c>
      <c r="DA29" s="14">
        <f>INT(SUMPRODUCT($AI29:$AM29,$BA29:$BE29)/SUM($BA29:$BE29)/10000*$BX$7*$BZ$34/'疲劳值&amp;地图信息'!$R$10*$BY$56)</f>
        <v>8765</v>
      </c>
      <c r="DB29" s="50">
        <f t="shared" si="28"/>
        <v>0.32673377453979202</v>
      </c>
      <c r="DC29" s="50">
        <f t="shared" si="29"/>
        <v>0.18580724097658641</v>
      </c>
      <c r="DD29" s="50">
        <f t="shared" si="30"/>
        <v>0.48745898448362163</v>
      </c>
      <c r="DE29" s="14">
        <f t="shared" si="31"/>
        <v>6052</v>
      </c>
      <c r="DF29" s="14">
        <f t="shared" si="32"/>
        <v>8093</v>
      </c>
      <c r="DG29" s="14">
        <f>INT(SUMPRODUCT($AP29:$AT29,$BA29:$BE29)/SUM($BA29:$BE29)/10000*$BX$7*$BZ$34/'疲劳值&amp;地图信息'!$R$10*$BY$57)</f>
        <v>11701</v>
      </c>
      <c r="DH29" s="50">
        <f t="shared" si="33"/>
        <v>0.23415615569140291</v>
      </c>
      <c r="DI29" s="50">
        <f t="shared" si="34"/>
        <v>0.31312388764218835</v>
      </c>
      <c r="DJ29" s="50">
        <f t="shared" si="35"/>
        <v>0.45271995666640874</v>
      </c>
      <c r="DL29" s="14">
        <f t="shared" si="106"/>
        <v>7896</v>
      </c>
      <c r="DM29" s="14">
        <f t="shared" si="107"/>
        <v>9949</v>
      </c>
      <c r="DN29" s="14">
        <f t="shared" si="108"/>
        <v>12474</v>
      </c>
      <c r="DO29" s="14">
        <f t="shared" si="109"/>
        <v>17981</v>
      </c>
      <c r="DP29" s="14">
        <f t="shared" si="110"/>
        <v>25846</v>
      </c>
      <c r="DQ29" s="14">
        <f t="shared" si="111"/>
        <v>455457</v>
      </c>
      <c r="DT29" s="14">
        <f t="shared" si="105"/>
        <v>235575</v>
      </c>
      <c r="DU29" s="50">
        <f t="shared" si="7"/>
        <v>0.3409031709095961</v>
      </c>
      <c r="DW29" s="14">
        <f t="shared" si="36"/>
        <v>691032</v>
      </c>
      <c r="EB29" s="14">
        <v>24</v>
      </c>
      <c r="EC29" s="51">
        <f t="shared" si="37"/>
        <v>7538</v>
      </c>
      <c r="ED29" s="51">
        <f t="shared" si="38"/>
        <v>1275</v>
      </c>
      <c r="EE29" s="51">
        <f>INT(SUMPRODUCT($N29:$R29,$BF29:$BJ29)/SUM($BF29:$BJ29)/10000*$BX$7*$BZ$46/'疲劳值&amp;地图信息'!$R$10*$BY$53)</f>
        <v>349</v>
      </c>
      <c r="EF29" s="50">
        <f t="shared" si="39"/>
        <v>0.82274612530015279</v>
      </c>
      <c r="EG29" s="50">
        <f t="shared" si="40"/>
        <v>0.13916175507531106</v>
      </c>
      <c r="EH29" s="50">
        <f t="shared" si="41"/>
        <v>3.8092119624536125E-2</v>
      </c>
      <c r="EI29" s="51">
        <f t="shared" si="42"/>
        <v>7838</v>
      </c>
      <c r="EJ29" s="51">
        <f t="shared" si="43"/>
        <v>1594</v>
      </c>
      <c r="EK29" s="14">
        <f>INT(SUMPRODUCT($U29:$Y29,$BF29:$BJ29)/SUM($BF29:$BJ29)/10000*$BX$7*$BZ$46/'疲劳值&amp;地图信息'!$R$10*$BY$54)</f>
        <v>574</v>
      </c>
      <c r="EL29" s="50">
        <f t="shared" si="44"/>
        <v>0.78333000199880076</v>
      </c>
      <c r="EM29" s="50">
        <f t="shared" si="45"/>
        <v>0.15930441734959025</v>
      </c>
      <c r="EN29" s="50">
        <f t="shared" si="46"/>
        <v>5.7365580651609037E-2</v>
      </c>
      <c r="EO29" s="51">
        <f t="shared" si="47"/>
        <v>8391</v>
      </c>
      <c r="EP29" s="51">
        <f t="shared" si="48"/>
        <v>2697</v>
      </c>
      <c r="EQ29" s="14">
        <f>INT(SUMPRODUCT($AB29:$AF29,$BF29:$BJ29)/SUM($BF29:$BJ29)/10000*$BX$7*$BZ$46/'疲劳值&amp;地图信息'!$R$10*$BY$55)</f>
        <v>779</v>
      </c>
      <c r="ER29" s="50">
        <f t="shared" si="49"/>
        <v>0.7070868795820342</v>
      </c>
      <c r="ES29" s="50">
        <f t="shared" si="50"/>
        <v>0.22726889694109717</v>
      </c>
      <c r="ET29" s="50">
        <f t="shared" si="51"/>
        <v>6.5644223476868629E-2</v>
      </c>
      <c r="EU29" s="51">
        <f t="shared" si="52"/>
        <v>9793</v>
      </c>
      <c r="EV29" s="51">
        <f t="shared" si="53"/>
        <v>5568</v>
      </c>
      <c r="EW29" s="14">
        <f>INT(SUMPRODUCT($AI29:$AM29,$BF29:$BJ29)/SUM($BF29:$BJ29)/10000*$BX$7*$BZ$46/'疲劳值&amp;地图信息'!$R$10*$BY$56)</f>
        <v>1168</v>
      </c>
      <c r="EX29" s="50">
        <f t="shared" si="54"/>
        <v>0.59247383386774755</v>
      </c>
      <c r="EY29" s="50">
        <f t="shared" si="55"/>
        <v>0.33686248411882147</v>
      </c>
      <c r="EZ29" s="50">
        <f t="shared" si="56"/>
        <v>7.0663682013430942E-2</v>
      </c>
      <c r="FA29" s="51">
        <f t="shared" si="57"/>
        <v>10087</v>
      </c>
      <c r="FB29" s="51">
        <f t="shared" si="58"/>
        <v>13489</v>
      </c>
      <c r="FC29" s="14">
        <f>INT(SUMPRODUCT($AP29:$AT29,$BF29:$BJ29)/SUM($BF29:$BJ29)/10000*$BX$7*$BZ$46/'疲劳值&amp;地图信息'!$R$10*$BY$57)</f>
        <v>1558</v>
      </c>
      <c r="FD29" s="50">
        <f t="shared" si="59"/>
        <v>0.40132887721811095</v>
      </c>
      <c r="FE29" s="50">
        <f t="shared" si="60"/>
        <v>0.53668337709875069</v>
      </c>
      <c r="FF29" s="50">
        <f t="shared" si="61"/>
        <v>6.1987745683138376E-2</v>
      </c>
      <c r="FH29" s="14">
        <f t="shared" si="62"/>
        <v>9162</v>
      </c>
      <c r="FI29" s="14">
        <f t="shared" si="63"/>
        <v>10006</v>
      </c>
      <c r="FJ29" s="14">
        <f t="shared" si="64"/>
        <v>11867</v>
      </c>
      <c r="FK29" s="14">
        <f t="shared" si="65"/>
        <v>16529</v>
      </c>
      <c r="FL29" s="14">
        <f t="shared" si="66"/>
        <v>25134</v>
      </c>
      <c r="FM29" s="14">
        <f t="shared" si="67"/>
        <v>1055549</v>
      </c>
      <c r="FP29" s="14">
        <f t="shared" si="68"/>
        <v>334150</v>
      </c>
      <c r="FQ29" s="50">
        <f t="shared" si="8"/>
        <v>0.24044775163542609</v>
      </c>
      <c r="FS29" s="14">
        <f t="shared" si="69"/>
        <v>1389699</v>
      </c>
      <c r="FX29" s="14">
        <v>24</v>
      </c>
      <c r="FY29" s="51">
        <f t="shared" si="70"/>
        <v>10553</v>
      </c>
      <c r="FZ29" s="51">
        <f t="shared" si="71"/>
        <v>1275</v>
      </c>
      <c r="GA29" s="51">
        <f>INT(SUMPRODUCT($N29:$R29,$BF29:$BJ29)/SUM($BF29:$BJ29)/10000*$BX$7*$BZ$46/'疲劳值&amp;地图信息'!$R$10*$BY$53)</f>
        <v>349</v>
      </c>
      <c r="GB29" s="50">
        <f t="shared" si="72"/>
        <v>0.86663381785333005</v>
      </c>
      <c r="GC29" s="50">
        <f t="shared" si="73"/>
        <v>0.10470559251047055</v>
      </c>
      <c r="GD29" s="50">
        <f t="shared" si="74"/>
        <v>2.8660589636199392E-2</v>
      </c>
      <c r="GE29" s="51">
        <f t="shared" si="75"/>
        <v>10973</v>
      </c>
      <c r="GF29" s="51">
        <f t="shared" si="76"/>
        <v>1594</v>
      </c>
      <c r="GG29" s="14">
        <f>INT(SUMPRODUCT($U29:$Y29,$BF29:$BJ29)/SUM($BF29:$BJ29)/10000*$BX$7*$BZ$46/'疲劳值&amp;地图信息'!$R$10*$BY$54)</f>
        <v>574</v>
      </c>
      <c r="GH29" s="50">
        <f t="shared" si="77"/>
        <v>0.83502016589300665</v>
      </c>
      <c r="GI29" s="50">
        <f t="shared" si="78"/>
        <v>0.12129974887755879</v>
      </c>
      <c r="GJ29" s="50">
        <f t="shared" si="79"/>
        <v>4.3680085229434597E-2</v>
      </c>
      <c r="GK29" s="51">
        <f t="shared" si="80"/>
        <v>11748</v>
      </c>
      <c r="GL29" s="51">
        <f t="shared" si="81"/>
        <v>2697</v>
      </c>
      <c r="GM29" s="14">
        <f>INT(SUMPRODUCT($AB29:$AF29,$BF29:$BJ29)/SUM($BF29:$BJ29)/10000*$BX$7*$BZ$46/'疲劳值&amp;地图信息'!$R$10*$BY$55)</f>
        <v>779</v>
      </c>
      <c r="GN29" s="50">
        <f t="shared" si="82"/>
        <v>0.77167630057803471</v>
      </c>
      <c r="GO29" s="50">
        <f t="shared" si="83"/>
        <v>0.17715449290593799</v>
      </c>
      <c r="GP29" s="50">
        <f t="shared" si="84"/>
        <v>5.1169206516027327E-2</v>
      </c>
      <c r="GQ29" s="51">
        <f t="shared" si="85"/>
        <v>13710</v>
      </c>
      <c r="GR29" s="51">
        <f t="shared" si="86"/>
        <v>5568</v>
      </c>
      <c r="GS29" s="14">
        <f>INT(SUMPRODUCT($AI29:$AM29,$BF29:$BJ29)/SUM($BF29:$BJ29)/10000*$BX$7*$BZ$46/'疲劳值&amp;地图信息'!$R$10*$BY$56)</f>
        <v>1168</v>
      </c>
      <c r="GT29" s="50">
        <f t="shared" si="87"/>
        <v>0.67054680622126572</v>
      </c>
      <c r="GU29" s="50">
        <f t="shared" si="88"/>
        <v>0.27232710554631712</v>
      </c>
      <c r="GV29" s="50">
        <f t="shared" si="89"/>
        <v>5.7126088232417098E-2</v>
      </c>
      <c r="GW29" s="51">
        <f t="shared" si="90"/>
        <v>14122</v>
      </c>
      <c r="GX29" s="51">
        <f t="shared" si="91"/>
        <v>13489</v>
      </c>
      <c r="GY29" s="14">
        <f>INT(SUMPRODUCT($AP29:$AT29,$BF29:$BJ29)/SUM($BF29:$BJ29)/10000*$BX$7*$BZ$46/'疲劳值&amp;地图信息'!$R$10*$BY$57)</f>
        <v>1558</v>
      </c>
      <c r="GZ29" s="50">
        <f t="shared" si="92"/>
        <v>0.48414412561280812</v>
      </c>
      <c r="HA29" s="50">
        <f t="shared" si="93"/>
        <v>0.46244300455963522</v>
      </c>
      <c r="HB29" s="50">
        <f t="shared" si="94"/>
        <v>5.341286982755665E-2</v>
      </c>
      <c r="HD29" s="14">
        <f t="shared" si="95"/>
        <v>12177</v>
      </c>
      <c r="HE29" s="14">
        <f t="shared" si="96"/>
        <v>13141</v>
      </c>
      <c r="HF29" s="14">
        <f t="shared" si="97"/>
        <v>15224</v>
      </c>
      <c r="HG29" s="14">
        <f t="shared" si="98"/>
        <v>20446</v>
      </c>
      <c r="HH29" s="14">
        <f t="shared" si="99"/>
        <v>29169</v>
      </c>
      <c r="HI29" s="14">
        <f t="shared" si="100"/>
        <v>1382967</v>
      </c>
      <c r="HL29" s="14">
        <f t="shared" si="101"/>
        <v>430050</v>
      </c>
      <c r="HM29" s="50">
        <f t="shared" si="9"/>
        <v>0.23720130588957522</v>
      </c>
      <c r="HO29" s="14">
        <f t="shared" si="102"/>
        <v>1813017</v>
      </c>
    </row>
    <row r="30" spans="3:223" x14ac:dyDescent="0.2">
      <c r="K30" s="14">
        <v>25</v>
      </c>
      <c r="L30" s="12">
        <f>求节点(节奏总纲!D$4:D$163,标准城池设计!AB$4:AB$163,$K30)*求节点(节奏总纲!D$4:D$163,攻城基础信息!$AC$5:$AC$164,$K30)</f>
        <v>208893.82283831367</v>
      </c>
      <c r="M30" s="12">
        <f>INDEX(其他调用!$AA$5:$AA$404,MATCH(K30,其他调用!$X$5:$X$404,0))*MIN(INDEX(其他调用!$AH$5:$AH$364,MATCH('征服点（新）'!K30,其他调用!$AG$5:$AG$364,0),1)/INDEX(其他调用!$AJ$5:$AJ$364,MATCH(K30,其他调用!$AG$5:$AG$364,0),0),5)*求节点(节奏总纲!D$4:D$163,攻城基础信息!$AC$5:$AC$164,$K30)</f>
        <v>33588.481163893674</v>
      </c>
      <c r="N30" s="12">
        <f>MIN(INDEX(其他调用!$AH$5:$AH$364,MATCH($K30,其他调用!$AG$5:$AG$364,0),1)/INDEX(其他调用!AH$5:AH$364,MATCH($K30,其他调用!$AG$5:$AG$364,0),0),1)*INDEX(其他调用!Y$5:Y$404,MATCH($K30,其他调用!$X$5:$X$404,0),0)</f>
        <v>28510.36679243535</v>
      </c>
      <c r="O30" s="12">
        <f>MIN(INDEX(其他调用!$AH$5:$AH$364,MATCH($K30,其他调用!$AG$5:$AG$364,0),1)/INDEX(其他调用!AI$5:AI$364,MATCH($K30,其他调用!$AG$5:$AG$364,0),0),1)*INDEX(其他调用!Z$5:Z$404,MATCH($K30,其他调用!$X$5:$X$404,0),0)</f>
        <v>23674.903501074245</v>
      </c>
      <c r="P30" s="12">
        <f>MIN(INDEX(其他调用!$AH$5:$AH$364,MATCH($K30,其他调用!$AG$5:$AG$364,0),1)/INDEX(其他调用!AJ$5:AJ$364,MATCH($K30,其他调用!$AG$5:$AG$364,0),0),1)*INDEX(其他调用!AA$5:AA$404,MATCH($K30,其他调用!$X$5:$X$404,0),0)</f>
        <v>13994.374973428408</v>
      </c>
      <c r="Q30" s="12">
        <f>MIN(INDEX(其他调用!$AH$5:$AH$364,MATCH($K30,其他调用!$AG$5:$AG$364,0),1)/INDEX(其他调用!AK$5:AK$364,MATCH($K30,其他调用!$AG$5:$AG$364,0),0),1)*INDEX(其他调用!AB$5:AB$404,MATCH($K30,其他调用!$X$5:$X$404,0),0)</f>
        <v>7399.2255519557757</v>
      </c>
      <c r="R30" s="12">
        <f>MIN(INDEX(其他调用!$AH$5:$AH$364,MATCH($K30,其他调用!$AG$5:$AG$364,0),1)/INDEX(其他调用!AL$5:AL$364,MATCH($K30,其他调用!$AG$5:$AG$364,0),0),1)*INDEX(其他调用!AC$5:AC$404,MATCH($K30,其他调用!$X$5:$X$404,0),0)</f>
        <v>2475.4617655960619</v>
      </c>
      <c r="S30" s="12">
        <f>求节点(节奏总纲!D$4:D$163,标准城池设计!AC$4:AC$163,$K30)*求节点(节奏总纲!D$4:D$163,攻城基础信息!$AD$5:$AD$164,$K30)</f>
        <v>217711.91266394794</v>
      </c>
      <c r="T30" s="12">
        <f>INDEX(其他调用!$AA$5:$AA$404,MATCH($K30,其他调用!$X$5:$X$404,0))*MIN(INDEX(其他调用!AI$5:AI$364,MATCH($K30,其他调用!$AG$5:$AG$364,0),1)/INDEX(其他调用!$AJ$5:$AJ$364,MATCH($K30,其他调用!$AG$5:$AG$364,0),0),5)*求节点(节奏总纲!D$4:D$163,攻城基础信息!$AD$5:$AD$164,$K30)</f>
        <v>41932.227086286148</v>
      </c>
      <c r="U30" s="12">
        <f>MIN(INDEX(其他调用!$AI$5:$AI$364,MATCH($K30,其他调用!$AG$5:$AG$364,0),1)/INDEX(其他调用!AH$5:AH$364,MATCH($K30,其他调用!$AG$5:$AG$364,0),0),1)*INDEX(其他调用!Y$5:Y$404,MATCH($K30,其他调用!$X$5:$X$404,0),0)</f>
        <v>28510.36679243535</v>
      </c>
      <c r="V30" s="12">
        <f>MIN(INDEX(其他调用!$AI$5:$AI$364,MATCH($K30,其他调用!$AG$5:$AG$364,0),1)/INDEX(其他调用!AI$5:AI$364,MATCH($K30,其他调用!$AG$5:$AG$364,0),0),1)*INDEX(其他调用!Z$5:Z$404,MATCH($K30,其他调用!$X$5:$X$404,0),0)</f>
        <v>29556.008353248042</v>
      </c>
      <c r="W30" s="12">
        <f>MIN(INDEX(其他调用!$AI$5:$AI$364,MATCH($K30,其他调用!$AG$5:$AG$364,0),1)/INDEX(其他调用!AJ$5:AJ$364,MATCH($K30,其他调用!$AG$5:$AG$364,0),0),1)*INDEX(其他调用!AA$5:AA$404,MATCH($K30,其他调用!$X$5:$X$404,0),0)</f>
        <v>17470.730708337105</v>
      </c>
      <c r="X30" s="12">
        <f>MIN(INDEX(其他调用!$AI$5:$AI$364,MATCH($K30,其他调用!$AG$5:$AG$364,0),1)/INDEX(其他调用!AK$5:AK$364,MATCH($K30,其他调用!$AG$5:$AG$364,0),0),1)*INDEX(其他调用!AB$5:AB$404,MATCH($K30,其他调用!$X$5:$X$404,0),0)</f>
        <v>9237.2740700399554</v>
      </c>
      <c r="Y30" s="12">
        <f>MIN(INDEX(其他调用!$AI$5:$AI$364,MATCH($K30,其他调用!$AG$5:$AG$364,0),1)/INDEX(其他调用!AL$5:AL$364,MATCH($K30,其他调用!$AG$5:$AG$364,0),0),1)*INDEX(其他调用!AC$5:AC$404,MATCH($K30,其他调用!$X$5:$X$404,0),0)</f>
        <v>3090.393530802924</v>
      </c>
      <c r="Z30" s="12">
        <f>求节点(节奏总纲!D$4:D$163,标准城池设计!AD$4:AD$163,$K30)*求节点(节奏总纲!D$4:D$163,攻城基础信息!$AE$5:$AE$164,$K30)</f>
        <v>233581.50800906212</v>
      </c>
      <c r="AA30" s="12">
        <f>INDEX(其他调用!$AA$5:$AA$404,MATCH($K30,其他调用!$X$5:$X$404,0))*MIN(INDEX(其他调用!AJ$5:AJ$364,MATCH($K30,其他调用!$AG$5:$AG$364,0),1)/INDEX(其他调用!$AJ$5:$AJ$364,MATCH($K30,其他调用!$AG$5:$AG$364,0),0),5)*求节点(节奏总纲!D$4:D$163,攻城基础信息!$AE$5:$AE$164,$K30)</f>
        <v>74293.80935756203</v>
      </c>
      <c r="AB30" s="12">
        <f>MIN(INDEX(其他调用!$AJ$5:$AJ$364,MATCH($K30,其他调用!$AG$5:$AG$364,0),1)/INDEX(其他调用!AH$5:AH$364,MATCH($K30,其他调用!$AG$5:$AG$364,0),0),1)*INDEX(其他调用!Y$5:Y$404,MATCH($K30,其他调用!$X$5:$X$404,0),0)</f>
        <v>28510.36679243535</v>
      </c>
      <c r="AC30" s="12">
        <f>MIN(INDEX(其他调用!$AJ$5:$AJ$364,MATCH($K30,其他调用!$AG$5:$AG$364,0),1)/INDEX(其他调用!AI$5:AI$364,MATCH($K30,其他调用!$AG$5:$AG$364,0),0),1)*INDEX(其他调用!Z$5:Z$404,MATCH($K30,其他调用!$X$5:$X$404,0),0)</f>
        <v>29556.008353248042</v>
      </c>
      <c r="AD30" s="12">
        <f>MIN(INDEX(其他调用!$AJ$5:$AJ$364,MATCH($K30,其他调用!$AG$5:$AG$364,0),1)/INDEX(其他调用!AJ$5:AJ$364,MATCH($K30,其他调用!$AG$5:$AG$364,0),0),1)*INDEX(其他调用!AA$5:AA$404,MATCH($K30,其他调用!$X$5:$X$404,0),0)</f>
        <v>30953.927963606759</v>
      </c>
      <c r="AE30" s="12">
        <f>MIN(INDEX(其他调用!$AJ$5:$AJ$364,MATCH($K30,其他调用!$AG$5:$AG$364,0),1)/INDEX(其他调用!AK$5:AK$364,MATCH($K30,其他调用!$AG$5:$AG$364,0),0),1)*INDEX(其他调用!AB$5:AB$404,MATCH($K30,其他调用!$X$5:$X$404,0),0)</f>
        <v>16366.225369592727</v>
      </c>
      <c r="AF30" s="12">
        <f>MIN(INDEX(其他调用!$AJ$5:$AJ$364,MATCH($K30,其他调用!$AG$5:$AG$364,0),1)/INDEX(其他调用!AL$5:AL$364,MATCH($K30,其他调用!$AG$5:$AG$364,0),0),1)*INDEX(其他调用!AC$5:AC$404,MATCH($K30,其他调用!$X$5:$X$404,0),0)</f>
        <v>5475.4331875781709</v>
      </c>
      <c r="AG30" s="12">
        <f>求节点(节奏总纲!D$4:D$163,标准城池设计!AE$4:AE$163,$K30)*求节点(节奏总纲!D$4:D$163,攻城基础信息!$AF$5:$AF$164,$K30)</f>
        <v>272600.42669942527</v>
      </c>
      <c r="AH30" s="12">
        <f>INDEX(其他调用!$AA$5:$AA$404,MATCH($K30,其他调用!$X$5:$X$404,0))*MIN(INDEX(其他调用!AK$5:AK$364,MATCH($K30,其他调用!$AG$5:$AG$364,0),1)/INDEX(其他调用!$AJ$5:$AJ$364,MATCH($K30,其他调用!$AG$5:$AG$364,0),0),5)*求节点(节奏总纲!D$4:D$163,攻城基础信息!$AF$5:$AF$164,$K30)</f>
        <v>149808.29087515722</v>
      </c>
      <c r="AI30" s="12">
        <f>MIN(INDEX(其他调用!$AK$5:$AK$364,MATCH($K30,其他调用!$AG$5:$AG$364,0),1)/INDEX(其他调用!AH$5:AH$364,MATCH($K30,其他调用!$AG$5:$AG$364,0),0),1)*INDEX(其他调用!Y$5:Y$404,MATCH($K30,其他调用!$X$5:$X$404,0),0)</f>
        <v>28510.36679243535</v>
      </c>
      <c r="AJ30" s="12">
        <f>MIN(INDEX(其他调用!$AK$5:$AK$364,MATCH($K30,其他调用!$AG$5:$AG$364,0),1)/INDEX(其他调用!AI$5:AI$364,MATCH($K30,其他调用!$AG$5:$AG$364,0),0),1)*INDEX(其他调用!Z$5:Z$404,MATCH($K30,其他调用!$X$5:$X$404,0),0)</f>
        <v>29556.008353248042</v>
      </c>
      <c r="AK30" s="12">
        <f>MIN(INDEX(其他调用!$AK$5:$AK$364,MATCH($K30,其他调用!$AG$5:$AG$364,0),1)/INDEX(其他调用!AJ$5:AJ$364,MATCH($K30,其他调用!$AG$5:$AG$364,0),0),1)*INDEX(其他调用!AA$5:AA$404,MATCH($K30,其他调用!$X$5:$X$404,0),0)</f>
        <v>30953.927963606759</v>
      </c>
      <c r="AL30" s="12">
        <f>MIN(INDEX(其他调用!$AK$5:$AK$364,MATCH($K30,其他调用!$AG$5:$AG$364,0),1)/INDEX(其他调用!AK$5:AK$364,MATCH($K30,其他调用!$AG$5:$AG$364,0),0),1)*INDEX(其他调用!AB$5:AB$404,MATCH($K30,其他调用!$X$5:$X$404,0),0)</f>
        <v>33001.35330113837</v>
      </c>
      <c r="AM30" s="12">
        <f>MIN(INDEX(其他调用!$AK$5:$AK$364,MATCH($K30,其他调用!$AG$5:$AG$364,0),1)/INDEX(其他调用!AL$5:AL$364,MATCH($K30,其他调用!$AG$5:$AG$364,0),0),1)*INDEX(其他调用!AC$5:AC$404,MATCH($K30,其他调用!$X$5:$X$404,0),0)</f>
        <v>11040.829575509024</v>
      </c>
      <c r="AN30" s="12">
        <f>求节点(节奏总纲!D$4:D$163,标准城池设计!AF$4:AF$163,$K30)*求节点(节奏总纲!D$4:D$163,攻城基础信息!$AG$5:$AG$164,$K30)</f>
        <v>280708.32035075652</v>
      </c>
      <c r="AO30" s="12">
        <f>INDEX(其他调用!$AA$5:$AA$404,MATCH($K30,其他调用!$X$5:$X$404,0))*MIN(INDEX(其他调用!AL$5:AL$364,MATCH($K30,其他调用!$AG$5:$AG$364,0),1)/INDEX(其他调用!$AJ$5:$AJ$364,MATCH($K30,其他调用!$AG$5:$AG$364,0),0),5)*求节点(节奏总纲!D$4:D$163,攻城基础信息!$AG$5:$AG$164,$K30)</f>
        <v>371469.0467878101</v>
      </c>
      <c r="AP30" s="12">
        <f>MIN(INDEX(其他调用!$AL$5:$AL$364,MATCH($K30,其他调用!$AG$5:$AG$364,0),1)/INDEX(其他调用!AH$5:AH$364,MATCH($K30,其他调用!$AG$5:$AG$364,0),0),1)*INDEX(其他调用!Y$5:Y$404,MATCH($K30,其他调用!$X$5:$X$404,0),0)</f>
        <v>28510.36679243535</v>
      </c>
      <c r="AQ30" s="12">
        <f>MIN(INDEX(其他调用!$AL$5:$AL$364,MATCH($K30,其他调用!$AG$5:$AG$364,0),1)/INDEX(其他调用!AI$5:AI$364,MATCH($K30,其他调用!$AG$5:$AG$364,0),0),1)*INDEX(其他调用!Z$5:Z$404,MATCH($K30,其他调用!$X$5:$X$404,0),0)</f>
        <v>29556.008353248042</v>
      </c>
      <c r="AR30" s="12">
        <f>MIN(INDEX(其他调用!$AL$5:$AL$364,MATCH($K30,其他调用!$AG$5:$AG$364,0),1)/INDEX(其他调用!AJ$5:AJ$364,MATCH($K30,其他调用!$AG$5:$AG$364,0),0),1)*INDEX(其他调用!AA$5:AA$404,MATCH($K30,其他调用!$X$5:$X$404,0),0)</f>
        <v>30953.927963606759</v>
      </c>
      <c r="AS30" s="12">
        <f>MIN(INDEX(其他调用!$AL$5:$AL$364,MATCH($K30,其他调用!$AG$5:$AG$364,0),1)/INDEX(其他调用!AK$5:AK$364,MATCH($K30,其他调用!$AG$5:$AG$364,0),0),1)*INDEX(其他调用!AB$5:AB$404,MATCH($K30,其他调用!$X$5:$X$404,0),0)</f>
        <v>33001.35330113837</v>
      </c>
      <c r="AT30" s="12">
        <f>MIN(INDEX(其他调用!$AL$5:$AL$364,MATCH($K30,其他调用!$AG$5:$AG$364,0),1)/INDEX(其他调用!AL$5:AL$364,MATCH($K30,其他调用!$AG$5:$AG$364,0),0),1)*INDEX(其他调用!AC$5:AC$404,MATCH($K30,其他调用!$X$5:$X$404,0),0)</f>
        <v>36780.086894048422</v>
      </c>
      <c r="AV30" s="14">
        <f>IF(OR(AV$5="大R",AV$5="超R"),MAX(INDEX(其他调用!$H$5:$L$404,MATCH($K30,其他调用!$B$5:$B$404,0),MATCH(AV$5,其他调用!$H$4:$L$4,0))*120*0.85,2),INDEX(其他调用!$H$5:$L$404,MATCH($K30,其他调用!$B$5:$B$404,0),MATCH(AV$5,其他调用!$H$4:$L$4,0))*120*0.85)</f>
        <v>56.826178448275883</v>
      </c>
      <c r="AW30" s="14">
        <f>IF(OR(AW$5="大R",AW$5="超R"),MAX(INDEX(其他调用!$H$5:$L$404,MATCH($K30,其他调用!$B$5:$B$404,0),MATCH(AW$5,其他调用!$H$4:$L$4,0))*120*0.85,2),INDEX(其他调用!$H$5:$L$404,MATCH($K30,其他调用!$B$5:$B$404,0),MATCH(AW$5,其他调用!$H$4:$L$4,0))*120*0.85)</f>
        <v>40.678941039724123</v>
      </c>
      <c r="AX30" s="14">
        <f>IF(OR(AX$5="大R",AX$5="超R"),MAX(INDEX(其他调用!$H$5:$L$404,MATCH($K30,其他调用!$B$5:$B$404,0),MATCH(AX$5,其他调用!$H$4:$L$4,0))*120*0.85,2),INDEX(其他调用!$H$5:$L$404,MATCH($K30,其他调用!$B$5:$B$404,0),MATCH(AX$5,其他调用!$H$4:$L$4,0))*120*0.85)</f>
        <v>3.7800645119999992</v>
      </c>
      <c r="AY30" s="14">
        <f>IF(OR(AY$5="大R",AY$5="超R"),MAX(INDEX(其他调用!$H$5:$L$404,MATCH($K30,其他调用!$B$5:$B$404,0),MATCH(AY$5,其他调用!$H$4:$L$4,0))*120*0.85,2),INDEX(其他调用!$H$5:$L$404,MATCH($K30,其他调用!$B$5:$B$404,0),MATCH(AY$5,其他调用!$H$4:$L$4,0))*120*0.85)</f>
        <v>2</v>
      </c>
      <c r="AZ30" s="14">
        <f>IF(OR(AZ$5="大R",AZ$5="超R"),MAX(INDEX(其他调用!$H$5:$L$404,MATCH($K30,其他调用!$B$5:$B$404,0),MATCH(AZ$5,其他调用!$H$4:$L$4,0))*120*0.85,2),INDEX(其他调用!$H$5:$L$404,MATCH($K30,其他调用!$B$5:$B$404,0),MATCH(AZ$5,其他调用!$H$4:$L$4,0))*120*0.85)</f>
        <v>2</v>
      </c>
      <c r="BA30" s="14">
        <f>INDEX(其他调用!$H$5:$L$404,MATCH($K30,其他调用!$B$5:$B$404,0),MATCH(BA$5,其他调用!$H$4:$L$4,0))*INDEX(其他调用!$M$5:$M$404,MATCH($K30,其他调用!$B$5:$B$404,0))*0.6</f>
        <v>28.468801163793113</v>
      </c>
      <c r="BB30" s="14">
        <f>INDEX(其他调用!$H$5:$L$404,MATCH($K30,其他调用!$B$5:$B$404,0),MATCH(BB$5,其他调用!$H$4:$L$4,0))*INDEX(其他调用!$M$5:$M$404,MATCH($K30,其他调用!$B$5:$B$404,0))*0.6</f>
        <v>20.379351834606886</v>
      </c>
      <c r="BC30" s="14">
        <f>INDEX(其他调用!$H$5:$L$404,MATCH($K30,其他调用!$B$5:$B$404,0),MATCH(BC$5,其他调用!$H$4:$L$4,0))*INDEX(其他调用!$M$5:$M$404,MATCH($K30,其他调用!$B$5:$B$404,0))*0.6</f>
        <v>1.8937382015999999</v>
      </c>
      <c r="BD30" s="14">
        <f>INDEX(其他调用!$H$5:$L$404,MATCH($K30,其他调用!$B$5:$B$404,0),MATCH(BD$5,其他调用!$H$4:$L$4,0))*INDEX(其他调用!$M$5:$M$404,MATCH($K30,其他调用!$B$5:$B$404,0))*0.6</f>
        <v>0.28835730000000004</v>
      </c>
      <c r="BE30" s="14">
        <f>INDEX(其他调用!$H$5:$L$404,MATCH($K30,其他调用!$B$5:$B$404,0),MATCH(BE$5,其他调用!$H$4:$L$4,0))*INDEX(其他调用!$M$5:$M$404,MATCH($K30,其他调用!$B$5:$B$404,0))*0.6</f>
        <v>6.9751499999999994E-2</v>
      </c>
      <c r="BF30" s="14">
        <f>IF(OR(BF$5="大R",BF$5="超R"),0,INDEX(其他调用!$H$5:$L$404,MATCH($K30,其他调用!$B$5:$B$404,0),MATCH(BF$5,其他调用!$H$4:$L$4,0))*50*0.4)</f>
        <v>11.142387931034488</v>
      </c>
      <c r="BG30" s="14">
        <f>IF(OR(BG$5="大R",BG$5="超R"),0,INDEX(其他调用!$H$5:$L$404,MATCH($K30,其他调用!$B$5:$B$404,0),MATCH(BG$5,其他调用!$H$4:$L$4,0))*50*0.4)</f>
        <v>7.9762629489655144</v>
      </c>
      <c r="BH30" s="14">
        <f>IF(OR(BH$5="大R",BH$5="超R"),0,INDEX(其他调用!$H$5:$L$404,MATCH($K30,其他调用!$B$5:$B$404,0),MATCH(BH$5,其他调用!$H$4:$L$4,0))*50*0.4)</f>
        <v>0.74118912000000003</v>
      </c>
      <c r="BI30" s="14">
        <f>IF(OR(BI$5="大R",BI$5="超R"),0,INDEX(其他调用!$H$5:$L$404,MATCH($K30,其他调用!$B$5:$B$404,0),MATCH(BI$5,其他调用!$H$4:$L$4,0))*50*0.4)</f>
        <v>0</v>
      </c>
      <c r="BJ30" s="14">
        <f>IF(OR(BJ$5="大R",BJ$5="超R"),0,INDEX(其他调用!$H$5:$L$404,MATCH($K30,其他调用!$B$5:$B$404,0),MATCH(BJ$5,其他调用!$H$4:$L$4,0))*50*0.4)</f>
        <v>0</v>
      </c>
      <c r="BL30" s="14">
        <f t="shared" si="103"/>
        <v>25</v>
      </c>
      <c r="BM30" s="14">
        <f t="shared" si="10"/>
        <v>96</v>
      </c>
      <c r="BN30" s="14">
        <f>('疲劳值&amp;地图信息'!$S$10*'疲劳值&amp;地图信息'!$R$10+'疲劳值&amp;地图信息'!$S$11*'疲劳值&amp;地图信息'!$R$11+'疲劳值&amp;地图信息'!$S$12*'疲劳值&amp;地图信息'!$R$12+(BM30-'疲劳值&amp;地图信息'!$S$12-'疲劳值&amp;地图信息'!$S$11-'疲劳值&amp;地图信息'!$S$10)*'疲劳值&amp;地图信息'!$R$13)/BM30</f>
        <v>51.371477246638619</v>
      </c>
      <c r="BO30" s="14">
        <f>INDEX(其他调用!$M$5:$M$404,MATCH(BL30,其他调用!$B$5:$B$404,0))*0.6</f>
        <v>51.1</v>
      </c>
      <c r="BP30" s="14">
        <f>IF(BO30&gt;SUM('疲劳值&amp;地图信息'!$S$10:$S$12),('疲劳值&amp;地图信息'!$S$10*'疲劳值&amp;地图信息'!$R$10+'疲劳值&amp;地图信息'!$S$11*'疲劳值&amp;地图信息'!$R$11+'疲劳值&amp;地图信息'!$S$12*'疲劳值&amp;地图信息'!$R$12+(BO30-'疲劳值&amp;地图信息'!$S$12-'疲劳值&amp;地图信息'!$S$11-'疲劳值&amp;地图信息'!$S$10)*'疲劳值&amp;地图信息'!$R$13)/BO30,('疲劳值&amp;地图信息'!$S$10*'疲劳值&amp;地图信息'!$R$10+'疲劳值&amp;地图信息'!$S$11*'疲劳值&amp;地图信息'!$R$11+'疲劳值&amp;地图信息'!$S$12*'疲劳值&amp;地图信息'!$R$12+(BO30-'疲劳值&amp;地图信息'!$S$12-'疲劳值&amp;地图信息'!$S$11-'疲劳值&amp;地图信息'!$S$10)*'疲劳值&amp;地图信息'!$R$13)/BO30)</f>
        <v>40.807908863208517</v>
      </c>
      <c r="BQ30" s="14">
        <f t="shared" si="104"/>
        <v>20</v>
      </c>
      <c r="BR30" s="14">
        <f>('疲劳值&amp;地图信息'!$S$10*'疲劳值&amp;地图信息'!$R$10+($BQ30-'疲劳值&amp;地图信息'!$S$10)*'疲劳值&amp;地图信息'!$R$11)/$BQ30</f>
        <v>32.067203015074995</v>
      </c>
      <c r="CF30" s="14">
        <v>25</v>
      </c>
      <c r="CG30" s="51">
        <f t="shared" si="11"/>
        <v>4607</v>
      </c>
      <c r="CH30" s="51">
        <f t="shared" si="12"/>
        <v>740</v>
      </c>
      <c r="CI30" s="51">
        <f>INT(SUMPRODUCT($N30:$R30,$BA30:$BE30)/SUM($BA30:$BE30)/10000*$BX$7*$BZ$34/'疲劳值&amp;地图信息'!$R$10*$BY$53)</f>
        <v>2626</v>
      </c>
      <c r="CJ30" s="50">
        <f t="shared" si="13"/>
        <v>0.57782515991471217</v>
      </c>
      <c r="CK30" s="50">
        <f t="shared" si="14"/>
        <v>9.2813244700865424E-2</v>
      </c>
      <c r="CL30" s="50">
        <f t="shared" si="15"/>
        <v>0.32936159538442245</v>
      </c>
      <c r="CM30" s="14">
        <f t="shared" si="16"/>
        <v>4801</v>
      </c>
      <c r="CN30" s="14">
        <f t="shared" si="17"/>
        <v>924</v>
      </c>
      <c r="CO30" s="14">
        <f>INT(SUMPRODUCT($U30:$Y30,$BA30:$BE30)/SUM($BA30:$BE30)/10000*$BX$7*$BZ$34/'疲劳值&amp;地图信息'!$R$10*$BY$54)</f>
        <v>4318</v>
      </c>
      <c r="CP30" s="50">
        <f t="shared" si="18"/>
        <v>0.47804440904112316</v>
      </c>
      <c r="CQ30" s="50">
        <f t="shared" si="19"/>
        <v>9.2004381161007662E-2</v>
      </c>
      <c r="CR30" s="50">
        <f t="shared" si="20"/>
        <v>0.42995120979786916</v>
      </c>
      <c r="CS30" s="14">
        <f t="shared" si="21"/>
        <v>5151</v>
      </c>
      <c r="CT30" s="14">
        <f t="shared" si="22"/>
        <v>1638</v>
      </c>
      <c r="CU30" s="14">
        <f>INT(SUMPRODUCT($AB30:$AF30,$BA30:$BE30)/SUM($BA30:$BE30)/10000*$BX$7*$BZ$34/'疲劳值&amp;地图信息'!$R$10*$BY$55)</f>
        <v>5868</v>
      </c>
      <c r="CV30" s="50">
        <f t="shared" si="23"/>
        <v>0.4069684759421664</v>
      </c>
      <c r="CW30" s="50">
        <f t="shared" si="24"/>
        <v>0.12941455321166154</v>
      </c>
      <c r="CX30" s="50">
        <f t="shared" si="25"/>
        <v>0.46361697084617209</v>
      </c>
      <c r="CY30" s="14">
        <f t="shared" si="26"/>
        <v>6012</v>
      </c>
      <c r="CZ30" s="14">
        <f t="shared" si="27"/>
        <v>3303</v>
      </c>
      <c r="DA30" s="14">
        <f>INT(SUMPRODUCT($AI30:$AM30,$BA30:$BE30)/SUM($BA30:$BE30)/10000*$BX$7*$BZ$34/'疲劳值&amp;地图信息'!$R$10*$BY$56)</f>
        <v>8833</v>
      </c>
      <c r="DB30" s="50">
        <f t="shared" si="28"/>
        <v>0.33127617368305046</v>
      </c>
      <c r="DC30" s="50">
        <f t="shared" si="29"/>
        <v>0.1820035265594005</v>
      </c>
      <c r="DD30" s="50">
        <f t="shared" si="30"/>
        <v>0.48672029975754905</v>
      </c>
      <c r="DE30" s="14">
        <f t="shared" si="31"/>
        <v>6190</v>
      </c>
      <c r="DF30" s="14">
        <f t="shared" si="32"/>
        <v>8192</v>
      </c>
      <c r="DG30" s="14">
        <f>INT(SUMPRODUCT($AP30:$AT30,$BA30:$BE30)/SUM($BA30:$BE30)/10000*$BX$7*$BZ$34/'疲劳值&amp;地图信息'!$R$10*$BY$57)</f>
        <v>11792</v>
      </c>
      <c r="DH30" s="50">
        <f t="shared" si="33"/>
        <v>0.23649423091617636</v>
      </c>
      <c r="DI30" s="50">
        <f t="shared" si="34"/>
        <v>0.31298234889585086</v>
      </c>
      <c r="DJ30" s="50">
        <f t="shared" si="35"/>
        <v>0.45052342018797281</v>
      </c>
      <c r="DL30" s="14">
        <f t="shared" si="106"/>
        <v>7973</v>
      </c>
      <c r="DM30" s="14">
        <f t="shared" si="107"/>
        <v>10043</v>
      </c>
      <c r="DN30" s="14">
        <f t="shared" si="108"/>
        <v>12657</v>
      </c>
      <c r="DO30" s="14">
        <f t="shared" si="109"/>
        <v>18148</v>
      </c>
      <c r="DP30" s="14">
        <f t="shared" si="110"/>
        <v>26174</v>
      </c>
      <c r="DQ30" s="14">
        <f t="shared" si="111"/>
        <v>462679</v>
      </c>
      <c r="DT30" s="14">
        <f t="shared" si="105"/>
        <v>235575</v>
      </c>
      <c r="DU30" s="50">
        <f t="shared" si="7"/>
        <v>0.3373772294895554</v>
      </c>
      <c r="DW30" s="14">
        <f t="shared" si="36"/>
        <v>698254</v>
      </c>
      <c r="EB30" s="14">
        <v>25</v>
      </c>
      <c r="EC30" s="51">
        <f t="shared" si="37"/>
        <v>7678</v>
      </c>
      <c r="ED30" s="51">
        <f t="shared" si="38"/>
        <v>1234</v>
      </c>
      <c r="EE30" s="51">
        <f>INT(SUMPRODUCT($N30:$R30,$BF30:$BJ30)/SUM($BF30:$BJ30)/10000*$BX$7*$BZ$46/'疲劳值&amp;地图信息'!$R$10*$BY$53)</f>
        <v>352</v>
      </c>
      <c r="EF30" s="50">
        <f t="shared" si="39"/>
        <v>0.82879965457685667</v>
      </c>
      <c r="EG30" s="50">
        <f t="shared" si="40"/>
        <v>0.13320379965457685</v>
      </c>
      <c r="EH30" s="50">
        <f t="shared" si="41"/>
        <v>3.7996545768566495E-2</v>
      </c>
      <c r="EI30" s="51">
        <f t="shared" si="42"/>
        <v>8002</v>
      </c>
      <c r="EJ30" s="51">
        <f t="shared" si="43"/>
        <v>1541</v>
      </c>
      <c r="EK30" s="14">
        <f>INT(SUMPRODUCT($U30:$Y30,$BF30:$BJ30)/SUM($BF30:$BJ30)/10000*$BX$7*$BZ$46/'疲劳值&amp;地图信息'!$R$10*$BY$54)</f>
        <v>578</v>
      </c>
      <c r="EL30" s="50">
        <f t="shared" si="44"/>
        <v>0.79063333662681556</v>
      </c>
      <c r="EM30" s="50">
        <f t="shared" si="45"/>
        <v>0.15225768204722853</v>
      </c>
      <c r="EN30" s="50">
        <f t="shared" si="46"/>
        <v>5.7108981325955932E-2</v>
      </c>
      <c r="EO30" s="51">
        <f t="shared" si="47"/>
        <v>8585</v>
      </c>
      <c r="EP30" s="51">
        <f t="shared" si="48"/>
        <v>2730</v>
      </c>
      <c r="EQ30" s="14">
        <f>INT(SUMPRODUCT($AB30:$AF30,$BF30:$BJ30)/SUM($BF30:$BJ30)/10000*$BX$7*$BZ$46/'疲劳值&amp;地图信息'!$R$10*$BY$55)</f>
        <v>785</v>
      </c>
      <c r="ER30" s="50">
        <f t="shared" si="49"/>
        <v>0.70950413223140496</v>
      </c>
      <c r="ES30" s="50">
        <f t="shared" si="50"/>
        <v>0.22561983471074379</v>
      </c>
      <c r="ET30" s="50">
        <f t="shared" si="51"/>
        <v>6.4876033057851237E-2</v>
      </c>
      <c r="EU30" s="51">
        <f t="shared" si="52"/>
        <v>10020</v>
      </c>
      <c r="EV30" s="51">
        <f t="shared" si="53"/>
        <v>5506</v>
      </c>
      <c r="EW30" s="14">
        <f>INT(SUMPRODUCT($AI30:$AM30,$BF30:$BJ30)/SUM($BF30:$BJ30)/10000*$BX$7*$BZ$46/'疲劳值&amp;地图信息'!$R$10*$BY$56)</f>
        <v>1177</v>
      </c>
      <c r="EX30" s="50">
        <f t="shared" si="54"/>
        <v>0.59989223492785726</v>
      </c>
      <c r="EY30" s="50">
        <f t="shared" si="55"/>
        <v>0.3296413817877028</v>
      </c>
      <c r="EZ30" s="50">
        <f t="shared" si="56"/>
        <v>7.0466383284439923E-2</v>
      </c>
      <c r="FA30" s="51">
        <f t="shared" si="57"/>
        <v>10318</v>
      </c>
      <c r="FB30" s="51">
        <f t="shared" si="58"/>
        <v>13654</v>
      </c>
      <c r="FC30" s="14">
        <f>INT(SUMPRODUCT($AP30:$AT30,$BF30:$BJ30)/SUM($BF30:$BJ30)/10000*$BX$7*$BZ$46/'疲劳值&amp;地图信息'!$R$10*$BY$57)</f>
        <v>1570</v>
      </c>
      <c r="FD30" s="50">
        <f t="shared" si="59"/>
        <v>0.40396210163652024</v>
      </c>
      <c r="FE30" s="50">
        <f t="shared" si="60"/>
        <v>0.53457051131469735</v>
      </c>
      <c r="FF30" s="50">
        <f t="shared" si="61"/>
        <v>6.14673870487824E-2</v>
      </c>
      <c r="FH30" s="14">
        <f t="shared" si="62"/>
        <v>9264</v>
      </c>
      <c r="FI30" s="14">
        <f t="shared" si="63"/>
        <v>10121</v>
      </c>
      <c r="FJ30" s="14">
        <f t="shared" si="64"/>
        <v>12100</v>
      </c>
      <c r="FK30" s="14">
        <f t="shared" si="65"/>
        <v>16703</v>
      </c>
      <c r="FL30" s="14">
        <f t="shared" si="66"/>
        <v>25542</v>
      </c>
      <c r="FM30" s="14">
        <f t="shared" si="67"/>
        <v>1068378</v>
      </c>
      <c r="FP30" s="14">
        <f t="shared" si="68"/>
        <v>334150</v>
      </c>
      <c r="FQ30" s="50">
        <f t="shared" si="8"/>
        <v>0.23824836295603369</v>
      </c>
      <c r="FS30" s="14">
        <f t="shared" si="69"/>
        <v>1402528</v>
      </c>
      <c r="FX30" s="14">
        <v>25</v>
      </c>
      <c r="FY30" s="51">
        <f t="shared" si="70"/>
        <v>10749</v>
      </c>
      <c r="FZ30" s="51">
        <f t="shared" si="71"/>
        <v>1234</v>
      </c>
      <c r="GA30" s="51">
        <f>INT(SUMPRODUCT($N30:$R30,$BF30:$BJ30)/SUM($BF30:$BJ30)/10000*$BX$7*$BZ$46/'疲劳值&amp;地图信息'!$R$10*$BY$53)</f>
        <v>352</v>
      </c>
      <c r="GB30" s="50">
        <f t="shared" si="72"/>
        <v>0.8714227807053101</v>
      </c>
      <c r="GC30" s="50">
        <f t="shared" si="73"/>
        <v>0.10004053506282935</v>
      </c>
      <c r="GD30" s="50">
        <f t="shared" si="74"/>
        <v>2.8536684231860558E-2</v>
      </c>
      <c r="GE30" s="51">
        <f t="shared" si="75"/>
        <v>11203</v>
      </c>
      <c r="GF30" s="51">
        <f t="shared" si="76"/>
        <v>1541</v>
      </c>
      <c r="GG30" s="14">
        <f>INT(SUMPRODUCT($U30:$Y30,$BF30:$BJ30)/SUM($BF30:$BJ30)/10000*$BX$7*$BZ$46/'疲劳值&amp;地图信息'!$R$10*$BY$54)</f>
        <v>578</v>
      </c>
      <c r="GH30" s="50">
        <f t="shared" si="77"/>
        <v>0.8409397988290046</v>
      </c>
      <c r="GI30" s="50">
        <f t="shared" si="78"/>
        <v>0.11567332232397538</v>
      </c>
      <c r="GJ30" s="50">
        <f t="shared" si="79"/>
        <v>4.3386878847019965E-2</v>
      </c>
      <c r="GK30" s="51">
        <f t="shared" si="80"/>
        <v>12020</v>
      </c>
      <c r="GL30" s="51">
        <f t="shared" si="81"/>
        <v>2730</v>
      </c>
      <c r="GM30" s="14">
        <f>INT(SUMPRODUCT($AB30:$AF30,$BF30:$BJ30)/SUM($BF30:$BJ30)/10000*$BX$7*$BZ$46/'疲劳值&amp;地图信息'!$R$10*$BY$55)</f>
        <v>785</v>
      </c>
      <c r="GN30" s="50">
        <f t="shared" si="82"/>
        <v>0.77373672352751854</v>
      </c>
      <c r="GO30" s="50">
        <f t="shared" si="83"/>
        <v>0.17573221757322174</v>
      </c>
      <c r="GP30" s="50">
        <f t="shared" si="84"/>
        <v>5.0531058899259733E-2</v>
      </c>
      <c r="GQ30" s="51">
        <f t="shared" si="85"/>
        <v>14028</v>
      </c>
      <c r="GR30" s="51">
        <f t="shared" si="86"/>
        <v>5506</v>
      </c>
      <c r="GS30" s="14">
        <f>INT(SUMPRODUCT($AI30:$AM30,$BF30:$BJ30)/SUM($BF30:$BJ30)/10000*$BX$7*$BZ$46/'疲劳值&amp;地图信息'!$R$10*$BY$56)</f>
        <v>1177</v>
      </c>
      <c r="GT30" s="50">
        <f t="shared" si="87"/>
        <v>0.67732123026411084</v>
      </c>
      <c r="GU30" s="50">
        <f t="shared" si="88"/>
        <v>0.26584906571387185</v>
      </c>
      <c r="GV30" s="50">
        <f t="shared" si="89"/>
        <v>5.6829704022017286E-2</v>
      </c>
      <c r="GW30" s="51">
        <f t="shared" si="90"/>
        <v>14445</v>
      </c>
      <c r="GX30" s="51">
        <f t="shared" si="91"/>
        <v>13654</v>
      </c>
      <c r="GY30" s="14">
        <f>INT(SUMPRODUCT($AP30:$AT30,$BF30:$BJ30)/SUM($BF30:$BJ30)/10000*$BX$7*$BZ$46/'疲劳值&amp;地图信息'!$R$10*$BY$57)</f>
        <v>1570</v>
      </c>
      <c r="GZ30" s="50">
        <f t="shared" si="92"/>
        <v>0.48687181907041022</v>
      </c>
      <c r="HA30" s="50">
        <f t="shared" si="93"/>
        <v>0.46021099464087095</v>
      </c>
      <c r="HB30" s="50">
        <f t="shared" si="94"/>
        <v>5.2917186288718866E-2</v>
      </c>
      <c r="HD30" s="14">
        <f t="shared" si="95"/>
        <v>12335</v>
      </c>
      <c r="HE30" s="14">
        <f t="shared" si="96"/>
        <v>13322</v>
      </c>
      <c r="HF30" s="14">
        <f t="shared" si="97"/>
        <v>15535</v>
      </c>
      <c r="HG30" s="14">
        <f t="shared" si="98"/>
        <v>20711</v>
      </c>
      <c r="HH30" s="14">
        <f t="shared" si="99"/>
        <v>29669</v>
      </c>
      <c r="HI30" s="14">
        <f t="shared" si="100"/>
        <v>1402359</v>
      </c>
      <c r="HL30" s="14">
        <f t="shared" si="101"/>
        <v>430050</v>
      </c>
      <c r="HM30" s="50">
        <f t="shared" si="9"/>
        <v>0.23469105423516257</v>
      </c>
      <c r="HO30" s="14">
        <f t="shared" si="102"/>
        <v>1832409</v>
      </c>
    </row>
    <row r="31" spans="3:223" x14ac:dyDescent="0.2">
      <c r="K31" s="14">
        <v>26</v>
      </c>
      <c r="L31" s="12">
        <f>求节点(节奏总纲!D$4:D$163,标准城池设计!AB$4:AB$163,$K31)*求节点(节奏总纲!D$4:D$163,攻城基础信息!$AC$5:$AC$164,$K31)</f>
        <v>213426.39256859326</v>
      </c>
      <c r="M31" s="12">
        <f>INDEX(其他调用!$AA$5:$AA$404,MATCH(K31,其他调用!$X$5:$X$404,0))*MIN(INDEX(其他调用!$AH$5:$AH$364,MATCH('征服点（新）'!K31,其他调用!$AG$5:$AG$364,0),1)/INDEX(其他调用!$AJ$5:$AJ$364,MATCH(K31,其他调用!$AG$5:$AG$364,0),0),5)*求节点(节奏总纲!D$4:D$163,攻城基础信息!$AC$5:$AC$164,$K31)</f>
        <v>32727.15732202751</v>
      </c>
      <c r="N31" s="12">
        <f>MIN(INDEX(其他调用!$AH$5:$AH$364,MATCH($K31,其他调用!$AG$5:$AG$364,0),1)/INDEX(其他调用!AH$5:AH$364,MATCH($K31,其他调用!$AG$5:$AG$364,0),0),1)*INDEX(其他调用!Y$5:Y$404,MATCH($K31,其他调用!$X$5:$X$404,0),0)</f>
        <v>28715.032440387167</v>
      </c>
      <c r="O31" s="12">
        <f>MIN(INDEX(其他调用!$AH$5:$AH$364,MATCH($K31,其他调用!$AG$5:$AG$364,0),1)/INDEX(其他调用!AI$5:AI$364,MATCH($K31,其他调用!$AG$5:$AG$364,0),0),1)*INDEX(其他调用!Z$5:Z$404,MATCH($K31,其他调用!$X$5:$X$404,0),0)</f>
        <v>23805.889738754489</v>
      </c>
      <c r="P31" s="12">
        <f>MIN(INDEX(其他调用!$AH$5:$AH$364,MATCH($K31,其他调用!$AG$5:$AG$364,0),1)/INDEX(其他调用!AJ$5:AJ$364,MATCH($K31,其他调用!$AG$5:$AG$364,0),0),1)*INDEX(其他调用!AA$5:AA$404,MATCH($K31,其他调用!$X$5:$X$404,0),0)</f>
        <v>13534.751409482709</v>
      </c>
      <c r="Q31" s="12">
        <f>MIN(INDEX(其他调用!$AH$5:$AH$364,MATCH($K31,其他调用!$AG$5:$AG$364,0),1)/INDEX(其他调用!AK$5:AK$364,MATCH($K31,其他调用!$AG$5:$AG$364,0),0),1)*INDEX(其他调用!AB$5:AB$404,MATCH($K31,其他调用!$X$5:$X$404,0),0)</f>
        <v>7306.2424901674431</v>
      </c>
      <c r="R31" s="12">
        <f>MIN(INDEX(其他调用!$AH$5:$AH$364,MATCH($K31,其他调用!$AG$5:$AG$364,0),1)/INDEX(其他调用!AL$5:AL$364,MATCH($K31,其他调用!$AG$5:$AG$364,0),0),1)*INDEX(其他调用!AC$5:AC$404,MATCH($K31,其他调用!$X$5:$X$404,0),0)</f>
        <v>2417.183935399486</v>
      </c>
      <c r="S31" s="12">
        <f>求节点(节奏总纲!D$4:D$163,标准城池设计!AC$4:AC$163,$K31)*求节点(节奏总纲!D$4:D$163,攻城基础信息!$AD$5:$AD$164,$K31)</f>
        <v>222542.55195762916</v>
      </c>
      <c r="T31" s="12">
        <f>INDEX(其他调用!$AA$5:$AA$404,MATCH($K31,其他调用!$X$5:$X$404,0))*MIN(INDEX(其他调用!AI$5:AI$364,MATCH($K31,其他调用!$AG$5:$AG$364,0),1)/INDEX(其他调用!$AJ$5:$AJ$364,MATCH($K31,其他调用!$AG$5:$AG$364,0),0),5)*求节点(节奏总纲!D$4:D$163,攻城基础信息!$AD$5:$AD$164,$K31)</f>
        <v>40922.705474072369</v>
      </c>
      <c r="U31" s="12">
        <f>MIN(INDEX(其他调用!$AI$5:$AI$364,MATCH($K31,其他调用!$AG$5:$AG$364,0),1)/INDEX(其他调用!AH$5:AH$364,MATCH($K31,其他调用!$AG$5:$AG$364,0),0),1)*INDEX(其他调用!Y$5:Y$404,MATCH($K31,其他调用!$X$5:$X$404,0),0)</f>
        <v>28715.032440387167</v>
      </c>
      <c r="V31" s="12">
        <f>MIN(INDEX(其他调用!$AI$5:$AI$364,MATCH($K31,其他调用!$AG$5:$AG$364,0),1)/INDEX(其他调用!AI$5:AI$364,MATCH($K31,其他调用!$AG$5:$AG$364,0),0),1)*INDEX(其他调用!Z$5:Z$404,MATCH($K31,其他调用!$X$5:$X$404,0),0)</f>
        <v>29767.370405604728</v>
      </c>
      <c r="W31" s="12">
        <f>MIN(INDEX(其他调用!$AI$5:$AI$364,MATCH($K31,其他调用!$AG$5:$AG$364,0),1)/INDEX(其他调用!AJ$5:AJ$364,MATCH($K31,其他调用!$AG$5:$AG$364,0),0),1)*INDEX(其他调用!AA$5:AA$404,MATCH($K31,其他调用!$X$5:$X$404,0),0)</f>
        <v>16924.129405588501</v>
      </c>
      <c r="X31" s="12">
        <f>MIN(INDEX(其他调用!$AI$5:$AI$364,MATCH($K31,其他调用!$AG$5:$AG$364,0),1)/INDEX(其他调用!AK$5:AK$364,MATCH($K31,其他调用!$AG$5:$AG$364,0),0),1)*INDEX(其他调用!AB$5:AB$404,MATCH($K31,其他调用!$X$5:$X$404,0),0)</f>
        <v>9135.8747295181311</v>
      </c>
      <c r="Y31" s="12">
        <f>MIN(INDEX(其他调用!$AI$5:$AI$364,MATCH($K31,其他调用!$AG$5:$AG$364,0),1)/INDEX(其他调用!AL$5:AL$364,MATCH($K31,其他调用!$AG$5:$AG$364,0),0),1)*INDEX(其他调用!AC$5:AC$404,MATCH($K31,其他调用!$X$5:$X$404,0),0)</f>
        <v>3022.4961273503059</v>
      </c>
      <c r="Z31" s="12">
        <f>求节点(节奏总纲!D$4:D$163,标准城池设计!AD$4:AD$163,$K31)*求节点(节奏总纲!D$4:D$163,攻城基础信息!$AE$5:$AE$164,$K31)</f>
        <v>239294.15931207352</v>
      </c>
      <c r="AA31" s="12">
        <f>INDEX(其他调用!$AA$5:$AA$404,MATCH($K31,其他调用!$X$5:$X$404,0))*MIN(INDEX(其他调用!AJ$5:AJ$364,MATCH($K31,其他调用!$AG$5:$AG$364,0),1)/INDEX(其他调用!$AJ$5:$AJ$364,MATCH($K31,其他调用!$AG$5:$AG$364,0),0),5)*求节点(节奏总纲!D$4:D$163,攻城基础信息!$AE$5:$AE$164,$K31)</f>
        <v>75353.66834761051</v>
      </c>
      <c r="AB31" s="12">
        <f>MIN(INDEX(其他调用!$AJ$5:$AJ$364,MATCH($K31,其他调用!$AG$5:$AG$364,0),1)/INDEX(其他调用!AH$5:AH$364,MATCH($K31,其他调用!$AG$5:$AG$364,0),0),1)*INDEX(其他调用!Y$5:Y$404,MATCH($K31,其他调用!$X$5:$X$404,0),0)</f>
        <v>28715.032440387167</v>
      </c>
      <c r="AC31" s="12">
        <f>MIN(INDEX(其他调用!$AJ$5:$AJ$364,MATCH($K31,其他调用!$AG$5:$AG$364,0),1)/INDEX(其他调用!AI$5:AI$364,MATCH($K31,其他调用!$AG$5:$AG$364,0),0),1)*INDEX(其他调用!Z$5:Z$404,MATCH($K31,其他调用!$X$5:$X$404,0),0)</f>
        <v>29767.370405604728</v>
      </c>
      <c r="AD31" s="12">
        <f>MIN(INDEX(其他调用!$AJ$5:$AJ$364,MATCH($K31,其他调用!$AG$5:$AG$364,0),1)/INDEX(其他调用!AJ$5:AJ$364,MATCH($K31,其他调用!$AG$5:$AG$364,0),0),1)*INDEX(其他调用!AA$5:AA$404,MATCH($K31,其他调用!$X$5:$X$404,0),0)</f>
        <v>31163.512273369965</v>
      </c>
      <c r="AE31" s="12">
        <f>MIN(INDEX(其他调用!$AJ$5:$AJ$364,MATCH($K31,其他调用!$AG$5:$AG$364,0),1)/INDEX(其他调用!AK$5:AK$364,MATCH($K31,其他调用!$AG$5:$AG$364,0),0),1)*INDEX(其他调用!AB$5:AB$404,MATCH($K31,其他调用!$X$5:$X$404,0),0)</f>
        <v>16822.486843388015</v>
      </c>
      <c r="AF31" s="12">
        <f>MIN(INDEX(其他调用!$AJ$5:$AJ$364,MATCH($K31,其他调用!$AG$5:$AG$364,0),1)/INDEX(其他调用!AL$5:AL$364,MATCH($K31,其他调用!$AG$5:$AG$364,0),0),1)*INDEX(其他调用!AC$5:AC$404,MATCH($K31,其他调用!$X$5:$X$404,0),0)</f>
        <v>5565.5208550811212</v>
      </c>
      <c r="AG31" s="12">
        <f>求节点(节奏总纲!D$4:D$163,标准城池设计!AE$4:AE$163,$K31)*求节点(节奏总纲!D$4:D$163,攻城基础信息!$AF$5:$AF$164,$K31)</f>
        <v>279214.72626034432</v>
      </c>
      <c r="AH31" s="12">
        <f>INDEX(其他调用!$AA$5:$AA$404,MATCH($K31,其他调用!$X$5:$X$404,0))*MIN(INDEX(其他调用!AK$5:AK$364,MATCH($K31,其他调用!$AG$5:$AG$364,0),1)/INDEX(其他调用!$AJ$5:$AJ$364,MATCH($K31,其他调用!$AG$5:$AG$364,0),0),5)*求节点(节奏总纲!D$4:D$163,攻城基础信息!$AF$5:$AF$164,$K31)</f>
        <v>148803.19450653833</v>
      </c>
      <c r="AI31" s="12">
        <f>MIN(INDEX(其他调用!$AK$5:$AK$364,MATCH($K31,其他调用!$AG$5:$AG$364,0),1)/INDEX(其他调用!AH$5:AH$364,MATCH($K31,其他调用!$AG$5:$AG$364,0),0),1)*INDEX(其他调用!Y$5:Y$404,MATCH($K31,其他调用!$X$5:$X$404,0),0)</f>
        <v>28715.032440387167</v>
      </c>
      <c r="AJ31" s="12">
        <f>MIN(INDEX(其他调用!$AK$5:$AK$364,MATCH($K31,其他调用!$AG$5:$AG$364,0),1)/INDEX(其他调用!AI$5:AI$364,MATCH($K31,其他调用!$AG$5:$AG$364,0),0),1)*INDEX(其他调用!Z$5:Z$404,MATCH($K31,其他调用!$X$5:$X$404,0),0)</f>
        <v>29767.370405604728</v>
      </c>
      <c r="AK31" s="12">
        <f>MIN(INDEX(其他调用!$AK$5:$AK$364,MATCH($K31,其他调用!$AG$5:$AG$364,0),1)/INDEX(其他调用!AJ$5:AJ$364,MATCH($K31,其他调用!$AG$5:$AG$364,0),0),1)*INDEX(其他调用!AA$5:AA$404,MATCH($K31,其他调用!$X$5:$X$404,0),0)</f>
        <v>31163.512273369965</v>
      </c>
      <c r="AL31" s="12">
        <f>MIN(INDEX(其他调用!$AK$5:$AK$364,MATCH($K31,其他调用!$AG$5:$AG$364,0),1)/INDEX(其他调用!AK$5:AK$364,MATCH($K31,其他调用!$AG$5:$AG$364,0),0),1)*INDEX(其他调用!AB$5:AB$404,MATCH($K31,其他调用!$X$5:$X$404,0),0)</f>
        <v>33219.879492697946</v>
      </c>
      <c r="AM31" s="12">
        <f>MIN(INDEX(其他调用!$AK$5:$AK$364,MATCH($K31,其他调用!$AG$5:$AG$364,0),1)/INDEX(其他调用!AL$5:AL$364,MATCH($K31,其他调用!$AG$5:$AG$364,0),0),1)*INDEX(其他调用!AC$5:AC$404,MATCH($K31,其他调用!$X$5:$X$404,0),0)</f>
        <v>10990.404322566639</v>
      </c>
      <c r="AN31" s="12">
        <f>求节点(节奏总纲!D$4:D$163,标准城池设计!AF$4:AF$163,$K31)*求节点(节奏总纲!D$4:D$163,攻城基础信息!$AG$5:$AG$164,$K31)</f>
        <v>287431.72357143729</v>
      </c>
      <c r="AO31" s="12">
        <f>INDEX(其他调用!$AA$5:$AA$404,MATCH($K31,其他调用!$X$5:$X$404,0))*MIN(INDEX(其他调用!AL$5:AL$364,MATCH($K31,其他调用!$AG$5:$AG$364,0),1)/INDEX(其他调用!$AJ$5:$AJ$364,MATCH($K31,其他调用!$AG$5:$AG$364,0),0),5)*求节点(节奏总纲!D$4:D$163,攻城基础信息!$AG$5:$AG$164,$K31)</f>
        <v>376768.34173805255</v>
      </c>
      <c r="AP31" s="12">
        <f>MIN(INDEX(其他调用!$AL$5:$AL$364,MATCH($K31,其他调用!$AG$5:$AG$364,0),1)/INDEX(其他调用!AH$5:AH$364,MATCH($K31,其他调用!$AG$5:$AG$364,0),0),1)*INDEX(其他调用!Y$5:Y$404,MATCH($K31,其他调用!$X$5:$X$404,0),0)</f>
        <v>28715.032440387167</v>
      </c>
      <c r="AQ31" s="12">
        <f>MIN(INDEX(其他调用!$AL$5:$AL$364,MATCH($K31,其他调用!$AG$5:$AG$364,0),1)/INDEX(其他调用!AI$5:AI$364,MATCH($K31,其他调用!$AG$5:$AG$364,0),0),1)*INDEX(其他调用!Z$5:Z$404,MATCH($K31,其他调用!$X$5:$X$404,0),0)</f>
        <v>29767.370405604728</v>
      </c>
      <c r="AR31" s="12">
        <f>MIN(INDEX(其他调用!$AL$5:$AL$364,MATCH($K31,其他调用!$AG$5:$AG$364,0),1)/INDEX(其他调用!AJ$5:AJ$364,MATCH($K31,其他调用!$AG$5:$AG$364,0),0),1)*INDEX(其他调用!AA$5:AA$404,MATCH($K31,其他调用!$X$5:$X$404,0),0)</f>
        <v>31163.512273369965</v>
      </c>
      <c r="AS31" s="12">
        <f>MIN(INDEX(其他调用!$AL$5:$AL$364,MATCH($K31,其他调用!$AG$5:$AG$364,0),1)/INDEX(其他调用!AK$5:AK$364,MATCH($K31,其他调用!$AG$5:$AG$364,0),0),1)*INDEX(其他调用!AB$5:AB$404,MATCH($K31,其他调用!$X$5:$X$404,0),0)</f>
        <v>33219.879492697946</v>
      </c>
      <c r="AT31" s="12">
        <f>MIN(INDEX(其他调用!$AL$5:$AL$364,MATCH($K31,其他调用!$AG$5:$AG$364,0),1)/INDEX(其他调用!AL$5:AL$364,MATCH($K31,其他调用!$AG$5:$AG$364,0),0),1)*INDEX(其他调用!AC$5:AC$404,MATCH($K31,其他调用!$X$5:$X$404,0),0)</f>
        <v>37014.704512898992</v>
      </c>
      <c r="AV31" s="14">
        <f>IF(OR(AV$5="大R",AV$5="超R"),MAX(INDEX(其他调用!$H$5:$L$404,MATCH($K31,其他调用!$B$5:$B$404,0),MATCH(AV$5,其他调用!$H$4:$L$4,0))*120*0.85,2),INDEX(其他调用!$H$5:$L$404,MATCH($K31,其他调用!$B$5:$B$404,0),MATCH(AV$5,其他调用!$H$4:$L$4,0))*120*0.85)</f>
        <v>56.411848213166159</v>
      </c>
      <c r="AW31" s="14">
        <f>IF(OR(AW$5="大R",AW$5="超R"),MAX(INDEX(其他调用!$H$5:$L$404,MATCH($K31,其他调用!$B$5:$B$404,0),MATCH(AW$5,其他调用!$H$4:$L$4,0))*120*0.85,2),INDEX(其他调用!$H$5:$L$404,MATCH($K31,其他调用!$B$5:$B$404,0),MATCH(AW$5,其他调用!$H$4:$L$4,0))*120*0.85)</f>
        <v>41.083714282833832</v>
      </c>
      <c r="AX31" s="14">
        <f>IF(OR(AX$5="大R",AX$5="超R"),MAX(INDEX(其他调用!$H$5:$L$404,MATCH($K31,其他调用!$B$5:$B$404,0),MATCH(AX$5,其他调用!$H$4:$L$4,0))*120*0.85,2),INDEX(其他调用!$H$5:$L$404,MATCH($K31,其他调用!$B$5:$B$404,0),MATCH(AX$5,其他调用!$H$4:$L$4,0))*120*0.85)</f>
        <v>3.7847255040000003</v>
      </c>
      <c r="AY31" s="14">
        <f>IF(OR(AY$5="大R",AY$5="超R"),MAX(INDEX(其他调用!$H$5:$L$404,MATCH($K31,其他调用!$B$5:$B$404,0),MATCH(AY$5,其他调用!$H$4:$L$4,0))*120*0.85,2),INDEX(其他调用!$H$5:$L$404,MATCH($K31,其他调用!$B$5:$B$404,0),MATCH(AY$5,其他调用!$H$4:$L$4,0))*120*0.85)</f>
        <v>2</v>
      </c>
      <c r="AZ31" s="14">
        <f>IF(OR(AZ$5="大R",AZ$5="超R"),MAX(INDEX(其他调用!$H$5:$L$404,MATCH($K31,其他调用!$B$5:$B$404,0),MATCH(AZ$5,其他调用!$H$4:$L$4,0))*120*0.85,2),INDEX(其他调用!$H$5:$L$404,MATCH($K31,其他调用!$B$5:$B$404,0),MATCH(AZ$5,其他调用!$H$4:$L$4,0))*120*0.85)</f>
        <v>2</v>
      </c>
      <c r="BA31" s="14">
        <f>INDEX(其他调用!$H$5:$L$404,MATCH($K31,其他调用!$B$5:$B$404,0),MATCH(BA$5,其他调用!$H$4:$L$4,0))*INDEX(其他调用!$M$5:$M$404,MATCH($K31,其他调用!$B$5:$B$404,0))*0.6</f>
        <v>28.3994941739812</v>
      </c>
      <c r="BB31" s="14">
        <f>INDEX(其他调用!$H$5:$L$404,MATCH($K31,其他调用!$B$5:$B$404,0),MATCH(BB$5,其他调用!$H$4:$L$4,0))*INDEX(其他调用!$M$5:$M$404,MATCH($K31,其他调用!$B$5:$B$404,0))*0.6</f>
        <v>20.682830670818799</v>
      </c>
      <c r="BC31" s="14">
        <f>INDEX(其他调用!$H$5:$L$404,MATCH($K31,其他调用!$B$5:$B$404,0),MATCH(BC$5,其他调用!$H$4:$L$4,0))*INDEX(其他调用!$M$5:$M$404,MATCH($K31,其他调用!$B$5:$B$404,0))*0.6</f>
        <v>1.9053495551999999</v>
      </c>
      <c r="BD31" s="14">
        <f>INDEX(其他调用!$H$5:$L$404,MATCH($K31,其他调用!$B$5:$B$404,0),MATCH(BD$5,其他调用!$H$4:$L$4,0))*INDEX(其他调用!$M$5:$M$404,MATCH($K31,其他调用!$B$5:$B$404,0))*0.6</f>
        <v>0.29146260000000002</v>
      </c>
      <c r="BE31" s="14">
        <f>INDEX(其他调用!$H$5:$L$404,MATCH($K31,其他调用!$B$5:$B$404,0),MATCH(BE$5,其他调用!$H$4:$L$4,0))*INDEX(其他调用!$M$5:$M$404,MATCH($K31,其他调用!$B$5:$B$404,0))*0.6</f>
        <v>7.0862999999999995E-2</v>
      </c>
      <c r="BF31" s="14">
        <f>IF(OR(BF$5="大R",BF$5="超R"),0,INDEX(其他调用!$H$5:$L$404,MATCH($K31,其他调用!$B$5:$B$404,0),MATCH(BF$5,其他调用!$H$4:$L$4,0))*50*0.4)</f>
        <v>11.061146708463955</v>
      </c>
      <c r="BG31" s="14">
        <f>IF(OR(BG$5="大R",BG$5="超R"),0,INDEX(其他调用!$H$5:$L$404,MATCH($K31,其他调用!$B$5:$B$404,0),MATCH(BG$5,其他调用!$H$4:$L$4,0))*50*0.4)</f>
        <v>8.0556302515360461</v>
      </c>
      <c r="BH31" s="14">
        <f>IF(OR(BH$5="大R",BH$5="超R"),0,INDEX(其他调用!$H$5:$L$404,MATCH($K31,其他调用!$B$5:$B$404,0),MATCH(BH$5,其他调用!$H$4:$L$4,0))*50*0.4)</f>
        <v>0.74210304000000005</v>
      </c>
      <c r="BI31" s="14">
        <f>IF(OR(BI$5="大R",BI$5="超R"),0,INDEX(其他调用!$H$5:$L$404,MATCH($K31,其他调用!$B$5:$B$404,0),MATCH(BI$5,其他调用!$H$4:$L$4,0))*50*0.4)</f>
        <v>0</v>
      </c>
      <c r="BJ31" s="14">
        <f>IF(OR(BJ$5="大R",BJ$5="超R"),0,INDEX(其他调用!$H$5:$L$404,MATCH($K31,其他调用!$B$5:$B$404,0),MATCH(BJ$5,其他调用!$H$4:$L$4,0))*50*0.4)</f>
        <v>0</v>
      </c>
      <c r="BL31" s="14">
        <f t="shared" si="103"/>
        <v>26</v>
      </c>
      <c r="BM31" s="14">
        <f t="shared" si="10"/>
        <v>96</v>
      </c>
      <c r="BN31" s="14">
        <f>('疲劳值&amp;地图信息'!$S$10*'疲劳值&amp;地图信息'!$R$10+'疲劳值&amp;地图信息'!$S$11*'疲劳值&amp;地图信息'!$R$11+'疲劳值&amp;地图信息'!$S$12*'疲劳值&amp;地图信息'!$R$12+(BM31-'疲劳值&amp;地图信息'!$S$12-'疲劳值&amp;地图信息'!$S$11-'疲劳值&amp;地图信息'!$S$10)*'疲劳值&amp;地图信息'!$R$13)/BM31</f>
        <v>51.371477246638619</v>
      </c>
      <c r="BO31" s="14">
        <f>INDEX(其他调用!$M$5:$M$404,MATCH(BL31,其他调用!$B$5:$B$404,0))*0.6</f>
        <v>51.349999999999994</v>
      </c>
      <c r="BP31" s="14">
        <f>IF(BO31&gt;SUM('疲劳值&amp;地图信息'!$S$10:$S$12),('疲劳值&amp;地图信息'!$S$10*'疲劳值&amp;地图信息'!$R$10+'疲劳值&amp;地图信息'!$S$11*'疲劳值&amp;地图信息'!$R$11+'疲劳值&amp;地图信息'!$S$12*'疲劳值&amp;地图信息'!$R$12+(BO31-'疲劳值&amp;地图信息'!$S$12-'疲劳值&amp;地图信息'!$S$11-'疲劳值&amp;地图信息'!$S$10)*'疲劳值&amp;地图信息'!$R$13)/BO31,('疲劳值&amp;地图信息'!$S$10*'疲劳值&amp;地图信息'!$R$10+'疲劳值&amp;地图信息'!$S$11*'疲劳值&amp;地图信息'!$R$11+'疲劳值&amp;地图信息'!$S$12*'疲劳值&amp;地图信息'!$R$12+(BO31-'疲劳值&amp;地图信息'!$S$12-'疲劳值&amp;地图信息'!$S$11-'疲劳值&amp;地图信息'!$S$10)*'疲劳值&amp;地图信息'!$R$13)/BO31)</f>
        <v>40.917868956807112</v>
      </c>
      <c r="BQ31" s="14">
        <f t="shared" si="104"/>
        <v>20</v>
      </c>
      <c r="BR31" s="14">
        <f>('疲劳值&amp;地图信息'!$S$10*'疲劳值&amp;地图信息'!$R$10+($BQ31-'疲劳值&amp;地图信息'!$S$10)*'疲劳值&amp;地图信息'!$R$11)/$BQ31</f>
        <v>32.067203015074995</v>
      </c>
      <c r="BW31" s="2" t="s">
        <v>473</v>
      </c>
      <c r="CF31" s="14">
        <v>26</v>
      </c>
      <c r="CG31" s="51">
        <f t="shared" si="11"/>
        <v>4694</v>
      </c>
      <c r="CH31" s="51">
        <f t="shared" si="12"/>
        <v>719</v>
      </c>
      <c r="CI31" s="51">
        <f>INT(SUMPRODUCT($N31:$R31,$BA31:$BE31)/SUM($BA31:$BE31)/10000*$BX$7*$BZ$34/'疲劳值&amp;地图信息'!$R$10*$BY$53)</f>
        <v>2639</v>
      </c>
      <c r="CJ31" s="50">
        <f t="shared" si="13"/>
        <v>0.58296075509190259</v>
      </c>
      <c r="CK31" s="50">
        <f t="shared" si="14"/>
        <v>8.9294585196224546E-2</v>
      </c>
      <c r="CL31" s="50">
        <f t="shared" si="15"/>
        <v>0.32774465971187283</v>
      </c>
      <c r="CM31" s="14">
        <f t="shared" si="16"/>
        <v>4894</v>
      </c>
      <c r="CN31" s="14">
        <f t="shared" si="17"/>
        <v>900</v>
      </c>
      <c r="CO31" s="14">
        <f>INT(SUMPRODUCT($U31:$Y31,$BA31:$BE31)/SUM($BA31:$BE31)/10000*$BX$7*$BZ$34/'疲劳值&amp;地图信息'!$R$10*$BY$54)</f>
        <v>4346</v>
      </c>
      <c r="CP31" s="50">
        <f t="shared" si="18"/>
        <v>0.4826429980276134</v>
      </c>
      <c r="CQ31" s="50">
        <f t="shared" si="19"/>
        <v>8.8757396449704137E-2</v>
      </c>
      <c r="CR31" s="50">
        <f t="shared" si="20"/>
        <v>0.42859960552268245</v>
      </c>
      <c r="CS31" s="14">
        <f t="shared" si="21"/>
        <v>5263</v>
      </c>
      <c r="CT31" s="14">
        <f t="shared" si="22"/>
        <v>1657</v>
      </c>
      <c r="CU31" s="14">
        <f>INT(SUMPRODUCT($AB31:$AF31,$BA31:$BE31)/SUM($BA31:$BE31)/10000*$BX$7*$BZ$34/'疲劳值&amp;地图信息'!$R$10*$BY$55)</f>
        <v>5911</v>
      </c>
      <c r="CV31" s="50">
        <f t="shared" si="23"/>
        <v>0.41017847400826124</v>
      </c>
      <c r="CW31" s="50">
        <f t="shared" si="24"/>
        <v>0.12914036318291638</v>
      </c>
      <c r="CX31" s="50">
        <f t="shared" si="25"/>
        <v>0.46068116280882238</v>
      </c>
      <c r="CY31" s="14">
        <f t="shared" si="26"/>
        <v>6141</v>
      </c>
      <c r="CZ31" s="14">
        <f t="shared" si="27"/>
        <v>3272</v>
      </c>
      <c r="DA31" s="14">
        <f>INT(SUMPRODUCT($AI31:$AM31,$BA31:$BE31)/SUM($BA31:$BE31)/10000*$BX$7*$BZ$34/'疲劳值&amp;地图信息'!$R$10*$BY$56)</f>
        <v>8897</v>
      </c>
      <c r="DB31" s="50">
        <f t="shared" si="28"/>
        <v>0.33539049699617696</v>
      </c>
      <c r="DC31" s="50">
        <f t="shared" si="29"/>
        <v>0.17870016384489351</v>
      </c>
      <c r="DD31" s="50">
        <f t="shared" si="30"/>
        <v>0.48590933915892953</v>
      </c>
      <c r="DE31" s="14">
        <f t="shared" si="31"/>
        <v>6322</v>
      </c>
      <c r="DF31" s="14">
        <f t="shared" si="32"/>
        <v>8287</v>
      </c>
      <c r="DG31" s="14">
        <f>INT(SUMPRODUCT($AP31:$AT31,$BA31:$BE31)/SUM($BA31:$BE31)/10000*$BX$7*$BZ$34/'疲劳值&amp;地图信息'!$R$10*$BY$57)</f>
        <v>11878</v>
      </c>
      <c r="DH31" s="50">
        <f t="shared" si="33"/>
        <v>0.23868312757201646</v>
      </c>
      <c r="DI31" s="50">
        <f t="shared" si="34"/>
        <v>0.31287046475629554</v>
      </c>
      <c r="DJ31" s="50">
        <f t="shared" si="35"/>
        <v>0.44844640767168797</v>
      </c>
      <c r="DL31" s="14">
        <f t="shared" si="106"/>
        <v>8052</v>
      </c>
      <c r="DM31" s="14">
        <f t="shared" si="107"/>
        <v>10140</v>
      </c>
      <c r="DN31" s="14">
        <f t="shared" si="108"/>
        <v>12831</v>
      </c>
      <c r="DO31" s="14">
        <f t="shared" si="109"/>
        <v>18310</v>
      </c>
      <c r="DP31" s="14">
        <f t="shared" si="110"/>
        <v>26487</v>
      </c>
      <c r="DQ31" s="14">
        <f t="shared" si="111"/>
        <v>470057</v>
      </c>
      <c r="DT31" s="14">
        <f t="shared" si="105"/>
        <v>235575</v>
      </c>
      <c r="DU31" s="50">
        <f t="shared" si="7"/>
        <v>0.33384965534442884</v>
      </c>
      <c r="DW31" s="14">
        <f t="shared" si="36"/>
        <v>705632</v>
      </c>
      <c r="EB31" s="14">
        <v>26</v>
      </c>
      <c r="EC31" s="51">
        <f t="shared" si="37"/>
        <v>7823</v>
      </c>
      <c r="ED31" s="51">
        <f t="shared" si="38"/>
        <v>1199</v>
      </c>
      <c r="EE31" s="51">
        <f>INT(SUMPRODUCT($N31:$R31,$BF31:$BJ31)/SUM($BF31:$BJ31)/10000*$BX$7*$BZ$46/'疲劳值&amp;地图信息'!$R$10*$BY$53)</f>
        <v>353</v>
      </c>
      <c r="EF31" s="50">
        <f t="shared" si="39"/>
        <v>0.83445333333333338</v>
      </c>
      <c r="EG31" s="50">
        <f t="shared" si="40"/>
        <v>0.12789333333333333</v>
      </c>
      <c r="EH31" s="50">
        <f t="shared" si="41"/>
        <v>3.765333333333333E-2</v>
      </c>
      <c r="EI31" s="51">
        <f t="shared" si="42"/>
        <v>8158</v>
      </c>
      <c r="EJ31" s="51">
        <f t="shared" si="43"/>
        <v>1500</v>
      </c>
      <c r="EK31" s="14">
        <f>INT(SUMPRODUCT($U31:$Y31,$BF31:$BJ31)/SUM($BF31:$BJ31)/10000*$BX$7*$BZ$46/'疲劳值&amp;地图信息'!$R$10*$BY$54)</f>
        <v>582</v>
      </c>
      <c r="EL31" s="50">
        <f t="shared" si="44"/>
        <v>0.79667968749999996</v>
      </c>
      <c r="EM31" s="50">
        <f t="shared" si="45"/>
        <v>0.146484375</v>
      </c>
      <c r="EN31" s="50">
        <f t="shared" si="46"/>
        <v>5.6835937500000003E-2</v>
      </c>
      <c r="EO31" s="51">
        <f t="shared" si="47"/>
        <v>8772</v>
      </c>
      <c r="EP31" s="51">
        <f t="shared" si="48"/>
        <v>2762</v>
      </c>
      <c r="EQ31" s="14">
        <f>INT(SUMPRODUCT($AB31:$AF31,$BF31:$BJ31)/SUM($BF31:$BJ31)/10000*$BX$7*$BZ$46/'疲劳值&amp;地图信息'!$R$10*$BY$55)</f>
        <v>790</v>
      </c>
      <c r="ER31" s="50">
        <f t="shared" si="49"/>
        <v>0.71178188899707884</v>
      </c>
      <c r="ES31" s="50">
        <f t="shared" si="50"/>
        <v>0.22411554690035704</v>
      </c>
      <c r="ET31" s="50">
        <f t="shared" si="51"/>
        <v>6.4102564102564097E-2</v>
      </c>
      <c r="EU31" s="51">
        <f t="shared" si="52"/>
        <v>10235</v>
      </c>
      <c r="EV31" s="51">
        <f t="shared" si="53"/>
        <v>5454</v>
      </c>
      <c r="EW31" s="14">
        <f>INT(SUMPRODUCT($AI31:$AM31,$BF31:$BJ31)/SUM($BF31:$BJ31)/10000*$BX$7*$BZ$46/'疲劳值&amp;地图信息'!$R$10*$BY$56)</f>
        <v>1186</v>
      </c>
      <c r="EX31" s="50">
        <f t="shared" si="54"/>
        <v>0.60651851851851857</v>
      </c>
      <c r="EY31" s="50">
        <f t="shared" si="55"/>
        <v>0.32319999999999999</v>
      </c>
      <c r="EZ31" s="50">
        <f t="shared" si="56"/>
        <v>7.0281481481481486E-2</v>
      </c>
      <c r="FA31" s="51">
        <f t="shared" si="57"/>
        <v>10536</v>
      </c>
      <c r="FB31" s="51">
        <f t="shared" si="58"/>
        <v>13811</v>
      </c>
      <c r="FC31" s="14">
        <f>INT(SUMPRODUCT($AP31:$AT31,$BF31:$BJ31)/SUM($BF31:$BJ31)/10000*$BX$7*$BZ$46/'疲劳值&amp;地图信息'!$R$10*$BY$57)</f>
        <v>1581</v>
      </c>
      <c r="FD31" s="50">
        <f t="shared" si="59"/>
        <v>0.40635606294353593</v>
      </c>
      <c r="FE31" s="50">
        <f t="shared" si="60"/>
        <v>0.53266738660907131</v>
      </c>
      <c r="FF31" s="50">
        <f t="shared" si="61"/>
        <v>6.097655044739278E-2</v>
      </c>
      <c r="FH31" s="14">
        <f t="shared" si="62"/>
        <v>9375</v>
      </c>
      <c r="FI31" s="14">
        <f t="shared" si="63"/>
        <v>10240</v>
      </c>
      <c r="FJ31" s="14">
        <f t="shared" si="64"/>
        <v>12324</v>
      </c>
      <c r="FK31" s="14">
        <f t="shared" si="65"/>
        <v>16875</v>
      </c>
      <c r="FL31" s="14">
        <f t="shared" si="66"/>
        <v>25928</v>
      </c>
      <c r="FM31" s="14">
        <f t="shared" si="67"/>
        <v>1081807</v>
      </c>
      <c r="FP31" s="14">
        <f t="shared" si="68"/>
        <v>334150</v>
      </c>
      <c r="FQ31" s="50">
        <f t="shared" si="8"/>
        <v>0.23598880474477685</v>
      </c>
      <c r="FS31" s="14">
        <f t="shared" si="69"/>
        <v>1415957</v>
      </c>
      <c r="FX31" s="14">
        <v>26</v>
      </c>
      <c r="FY31" s="51">
        <f t="shared" si="70"/>
        <v>10953</v>
      </c>
      <c r="FZ31" s="51">
        <f t="shared" si="71"/>
        <v>1199</v>
      </c>
      <c r="GA31" s="51">
        <f>INT(SUMPRODUCT($N31:$R31,$BF31:$BJ31)/SUM($BF31:$BJ31)/10000*$BX$7*$BZ$46/'疲劳值&amp;地图信息'!$R$10*$BY$53)</f>
        <v>353</v>
      </c>
      <c r="GB31" s="50">
        <f t="shared" si="72"/>
        <v>0.87588964414234305</v>
      </c>
      <c r="GC31" s="50">
        <f t="shared" si="73"/>
        <v>9.5881647341063581E-2</v>
      </c>
      <c r="GD31" s="50">
        <f t="shared" si="74"/>
        <v>2.8228708516593363E-2</v>
      </c>
      <c r="GE31" s="51">
        <f t="shared" si="75"/>
        <v>11421</v>
      </c>
      <c r="GF31" s="51">
        <f t="shared" si="76"/>
        <v>1500</v>
      </c>
      <c r="GG31" s="14">
        <f>INT(SUMPRODUCT($U31:$Y31,$BF31:$BJ31)/SUM($BF31:$BJ31)/10000*$BX$7*$BZ$46/'疲劳值&amp;地图信息'!$R$10*$BY$54)</f>
        <v>582</v>
      </c>
      <c r="GH31" s="50">
        <f t="shared" si="77"/>
        <v>0.84581204176849589</v>
      </c>
      <c r="GI31" s="50">
        <f t="shared" si="78"/>
        <v>0.11108642523883581</v>
      </c>
      <c r="GJ31" s="50">
        <f t="shared" si="79"/>
        <v>4.3101532992668293E-2</v>
      </c>
      <c r="GK31" s="51">
        <f t="shared" si="80"/>
        <v>12281</v>
      </c>
      <c r="GL31" s="51">
        <f t="shared" si="81"/>
        <v>2762</v>
      </c>
      <c r="GM31" s="14">
        <f>INT(SUMPRODUCT($AB31:$AF31,$BF31:$BJ31)/SUM($BF31:$BJ31)/10000*$BX$7*$BZ$46/'疲劳值&amp;地图信息'!$R$10*$BY$55)</f>
        <v>790</v>
      </c>
      <c r="GN31" s="50">
        <f t="shared" si="82"/>
        <v>0.77565843491441921</v>
      </c>
      <c r="GO31" s="50">
        <f t="shared" si="83"/>
        <v>0.17444577780584855</v>
      </c>
      <c r="GP31" s="50">
        <f t="shared" si="84"/>
        <v>4.9895787279732207E-2</v>
      </c>
      <c r="GQ31" s="51">
        <f t="shared" si="85"/>
        <v>14329</v>
      </c>
      <c r="GR31" s="51">
        <f t="shared" si="86"/>
        <v>5454</v>
      </c>
      <c r="GS31" s="14">
        <f>INT(SUMPRODUCT($AI31:$AM31,$BF31:$BJ31)/SUM($BF31:$BJ31)/10000*$BX$7*$BZ$46/'疲劳值&amp;地图信息'!$R$10*$BY$56)</f>
        <v>1186</v>
      </c>
      <c r="GT31" s="50">
        <f t="shared" si="87"/>
        <v>0.68334207639849298</v>
      </c>
      <c r="GU31" s="50">
        <f t="shared" si="88"/>
        <v>0.26009824025943057</v>
      </c>
      <c r="GV31" s="50">
        <f t="shared" si="89"/>
        <v>5.6559683342076401E-2</v>
      </c>
      <c r="GW31" s="51">
        <f t="shared" si="90"/>
        <v>14751</v>
      </c>
      <c r="GX31" s="51">
        <f t="shared" si="91"/>
        <v>13811</v>
      </c>
      <c r="GY31" s="14">
        <f>INT(SUMPRODUCT($AP31:$AT31,$BF31:$BJ31)/SUM($BF31:$BJ31)/10000*$BX$7*$BZ$46/'疲劳值&amp;地图信息'!$R$10*$BY$57)</f>
        <v>1581</v>
      </c>
      <c r="GZ31" s="50">
        <f t="shared" si="92"/>
        <v>0.48936734896991008</v>
      </c>
      <c r="HA31" s="50">
        <f t="shared" si="93"/>
        <v>0.45818266264140928</v>
      </c>
      <c r="HB31" s="50">
        <f t="shared" si="94"/>
        <v>5.2449988388680625E-2</v>
      </c>
      <c r="HD31" s="14">
        <f t="shared" si="95"/>
        <v>12505</v>
      </c>
      <c r="HE31" s="14">
        <f t="shared" si="96"/>
        <v>13503</v>
      </c>
      <c r="HF31" s="14">
        <f t="shared" si="97"/>
        <v>15833</v>
      </c>
      <c r="HG31" s="14">
        <f t="shared" si="98"/>
        <v>20969</v>
      </c>
      <c r="HH31" s="14">
        <f t="shared" si="99"/>
        <v>30143</v>
      </c>
      <c r="HI31" s="14">
        <f t="shared" si="100"/>
        <v>1422331</v>
      </c>
      <c r="HL31" s="14">
        <f t="shared" si="101"/>
        <v>430050</v>
      </c>
      <c r="HM31" s="50">
        <f t="shared" si="9"/>
        <v>0.23216066241232231</v>
      </c>
      <c r="HO31" s="14">
        <f t="shared" si="102"/>
        <v>1852381</v>
      </c>
    </row>
    <row r="32" spans="3:223" x14ac:dyDescent="0.2">
      <c r="C32" s="1" t="s">
        <v>434</v>
      </c>
      <c r="F32" s="1" t="s">
        <v>504</v>
      </c>
      <c r="K32" s="14">
        <v>27</v>
      </c>
      <c r="L32" s="12">
        <f>求节点(节奏总纲!D$4:D$163,标准城池设计!AB$4:AB$163,$K32)*求节点(节奏总纲!D$4:D$163,攻城基础信息!$AC$5:$AC$164,$K32)</f>
        <v>218016.44194337385</v>
      </c>
      <c r="M32" s="12">
        <f>INDEX(其他调用!$AA$5:$AA$404,MATCH(K32,其他调用!$X$5:$X$404,0))*MIN(INDEX(其他调用!$AH$5:$AH$364,MATCH('征服点（新）'!K32,其他调用!$AG$5:$AG$364,0),1)/INDEX(其他调用!$AJ$5:$AJ$364,MATCH(K32,其他调用!$AG$5:$AG$364,0),0),5)*求节点(节奏总纲!D$4:D$163,攻城基础信息!$AC$5:$AC$164,$K32)</f>
        <v>31972.479278257179</v>
      </c>
      <c r="N32" s="12">
        <f>MIN(INDEX(其他调用!$AH$5:$AH$364,MATCH($K32,其他调用!$AG$5:$AG$364,0),1)/INDEX(其他调用!AH$5:AH$364,MATCH($K32,其他调用!$AG$5:$AG$364,0),0),1)*INDEX(其他调用!Y$5:Y$404,MATCH($K32,其他调用!$X$5:$X$404,0),0)</f>
        <v>28918.343638806618</v>
      </c>
      <c r="O32" s="12">
        <f>MIN(INDEX(其他调用!$AH$5:$AH$364,MATCH($K32,其他调用!$AG$5:$AG$364,0),1)/INDEX(其他调用!AI$5:AI$364,MATCH($K32,其他调用!$AG$5:$AG$364,0),0),1)*INDEX(其他调用!Z$5:Z$404,MATCH($K32,其他调用!$X$5:$X$404,0),0)</f>
        <v>23922.04062599266</v>
      </c>
      <c r="P32" s="12">
        <f>MIN(INDEX(其他调用!$AH$5:$AH$364,MATCH($K32,其他调用!$AG$5:$AG$364,0),1)/INDEX(其他调用!AJ$5:AJ$364,MATCH($K32,其他调用!$AG$5:$AG$364,0),0),1)*INDEX(其他调用!AA$5:AA$404,MATCH($K32,其他调用!$X$5:$X$404,0),0)</f>
        <v>13126.570165113619</v>
      </c>
      <c r="Q32" s="12">
        <f>MIN(INDEX(其他调用!$AH$5:$AH$364,MATCH($K32,其他调用!$AG$5:$AG$364,0),1)/INDEX(其他调用!AK$5:AK$364,MATCH($K32,其他调用!$AG$5:$AG$364,0),0),1)*INDEX(其他调用!AB$5:AB$404,MATCH($K32,其他调用!$X$5:$X$404,0),0)</f>
        <v>7224.9528301703604</v>
      </c>
      <c r="R32" s="12">
        <f>MIN(INDEX(其他调用!$AH$5:$AH$364,MATCH($K32,其他调用!$AG$5:$AG$364,0),1)/INDEX(其他调用!AL$5:AL$364,MATCH($K32,其他调用!$AG$5:$AG$364,0),0),1)*INDEX(其他调用!AC$5:AC$404,MATCH($K32,其他调用!$X$5:$X$404,0),0)</f>
        <v>2365.862736697899</v>
      </c>
      <c r="S32" s="12">
        <f>求节点(节奏总纲!D$4:D$163,标准城池设计!AC$4:AC$163,$K32)*求节点(节奏总纲!D$4:D$163,攻城基础信息!$AD$5:$AD$164,$K32)</f>
        <v>227385.69850653829</v>
      </c>
      <c r="T32" s="12">
        <f>INDEX(其他调用!$AA$5:$AA$404,MATCH($K32,其他调用!$X$5:$X$404,0))*MIN(INDEX(其他调用!AI$5:AI$364,MATCH($K32,其他调用!$AG$5:$AG$364,0),1)/INDEX(其他调用!$AJ$5:$AJ$364,MATCH($K32,其他调用!$AG$5:$AG$364,0),0),5)*求节点(节奏总纲!D$4:D$163,攻城基础信息!$AD$5:$AD$164,$K32)</f>
        <v>40065.463971029727</v>
      </c>
      <c r="U32" s="12">
        <f>MIN(INDEX(其他调用!$AI$5:$AI$364,MATCH($K32,其他调用!$AG$5:$AG$364,0),1)/INDEX(其他调用!AH$5:AH$364,MATCH($K32,其他调用!$AG$5:$AG$364,0),0),1)*INDEX(其他调用!Y$5:Y$404,MATCH($K32,其他调用!$X$5:$X$404,0),0)</f>
        <v>28918.343638806618</v>
      </c>
      <c r="V32" s="12">
        <f>MIN(INDEX(其他调用!$AI$5:$AI$364,MATCH($K32,其他调用!$AG$5:$AG$364,0),1)/INDEX(其他调用!AI$5:AI$364,MATCH($K32,其他调用!$AG$5:$AG$364,0),0),1)*INDEX(其他调用!Z$5:Z$404,MATCH($K32,其他调用!$X$5:$X$404,0),0)</f>
        <v>29977.270404113104</v>
      </c>
      <c r="W32" s="12">
        <f>MIN(INDEX(其他调用!$AI$5:$AI$364,MATCH($K32,其他调用!$AG$5:$AG$364,0),1)/INDEX(其他调用!AJ$5:AJ$364,MATCH($K32,其他调用!$AG$5:$AG$364,0),0),1)*INDEX(其他调用!AA$5:AA$404,MATCH($K32,其他调用!$X$5:$X$404,0),0)</f>
        <v>16449.213069666628</v>
      </c>
      <c r="X32" s="12">
        <f>MIN(INDEX(其他调用!$AI$5:$AI$364,MATCH($K32,其他调用!$AG$5:$AG$364,0),1)/INDEX(其他调用!AK$5:AK$364,MATCH($K32,其他调用!$AG$5:$AG$364,0),0),1)*INDEX(其他调用!AB$5:AB$404,MATCH($K32,其他调用!$X$5:$X$404,0),0)</f>
        <v>9053.7579144334341</v>
      </c>
      <c r="Y32" s="12">
        <f>MIN(INDEX(其他调用!$AI$5:$AI$364,MATCH($K32,其他调用!$AG$5:$AG$364,0),1)/INDEX(其他调用!AL$5:AL$364,MATCH($K32,其他调用!$AG$5:$AG$364,0),0),1)*INDEX(其他调用!AC$5:AC$404,MATCH($K32,其他调用!$X$5:$X$404,0),0)</f>
        <v>2964.7181068636369</v>
      </c>
      <c r="Z32" s="12">
        <f>求节点(节奏总纲!D$4:D$163,标准城池设计!AD$4:AD$163,$K32)*求节点(节奏总纲!D$4:D$163,攻城基础信息!$AE$5:$AE$164,$K32)</f>
        <v>244996.27813895573</v>
      </c>
      <c r="AA32" s="12">
        <f>INDEX(其他调用!$AA$5:$AA$404,MATCH($K32,其他调用!$X$5:$X$404,0))*MIN(INDEX(其他调用!AJ$5:AJ$364,MATCH($K32,其他调用!$AG$5:$AG$364,0),1)/INDEX(其他调用!$AJ$5:$AJ$364,MATCH($K32,其他调用!$AG$5:$AG$364,0),0),5)*求节点(节奏总纲!D$4:D$163,攻城基础信息!$AE$5:$AE$164,$K32)</f>
        <v>76408.227875982964</v>
      </c>
      <c r="AB32" s="12">
        <f>MIN(INDEX(其他调用!$AJ$5:$AJ$364,MATCH($K32,其他调用!$AG$5:$AG$364,0),1)/INDEX(其他调用!AH$5:AH$364,MATCH($K32,其他调用!$AG$5:$AG$364,0),0),1)*INDEX(其他调用!Y$5:Y$404,MATCH($K32,其他调用!$X$5:$X$404,0),0)</f>
        <v>28918.343638806618</v>
      </c>
      <c r="AC32" s="12">
        <f>MIN(INDEX(其他调用!$AJ$5:$AJ$364,MATCH($K32,其他调用!$AG$5:$AG$364,0),1)/INDEX(其他调用!AI$5:AI$364,MATCH($K32,其他调用!$AG$5:$AG$364,0),0),1)*INDEX(其他调用!Z$5:Z$404,MATCH($K32,其他调用!$X$5:$X$404,0),0)</f>
        <v>29977.270404113104</v>
      </c>
      <c r="AD32" s="12">
        <f>MIN(INDEX(其他调用!$AJ$5:$AJ$364,MATCH($K32,其他调用!$AG$5:$AG$364,0),1)/INDEX(其他调用!AJ$5:AJ$364,MATCH($K32,其他调用!$AG$5:$AG$364,0),0),1)*INDEX(其他调用!AA$5:AA$404,MATCH($K32,其他调用!$X$5:$X$404,0),0)</f>
        <v>31370.040329908166</v>
      </c>
      <c r="AE32" s="12">
        <f>MIN(INDEX(其他调用!$AJ$5:$AJ$364,MATCH($K32,其他调用!$AG$5:$AG$364,0),1)/INDEX(其他调用!AK$5:AK$364,MATCH($K32,其他调用!$AG$5:$AG$364,0),0),1)*INDEX(其他调用!AB$5:AB$404,MATCH($K32,其他调用!$X$5:$X$404,0),0)</f>
        <v>17266.281961946654</v>
      </c>
      <c r="AF32" s="12">
        <f>MIN(INDEX(其他调用!$AJ$5:$AJ$364,MATCH($K32,其他调用!$AG$5:$AG$364,0),1)/INDEX(其他调用!AL$5:AL$364,MATCH($K32,其他调用!$AG$5:$AG$364,0),0),1)*INDEX(其他调用!AC$5:AC$404,MATCH($K32,其他调用!$X$5:$X$404,0),0)</f>
        <v>5653.9681372737023</v>
      </c>
      <c r="AG32" s="12">
        <f>求节点(节奏总纲!D$4:D$163,标准城池设计!AE$4:AE$163,$K32)*求节点(节奏总纲!D$4:D$163,攻城基础信息!$AF$5:$AF$164,$K32)</f>
        <v>285797.92421324598</v>
      </c>
      <c r="AH32" s="12">
        <f>INDEX(其他调用!$AA$5:$AA$404,MATCH($K32,其他调用!$X$5:$X$404,0))*MIN(INDEX(其他调用!AK$5:AK$364,MATCH($K32,其他调用!$AG$5:$AG$364,0),1)/INDEX(其他调用!$AJ$5:$AJ$364,MATCH($K32,其他调用!$AG$5:$AG$364,0),0),5)*求节点(节奏总纲!D$4:D$163,攻城基础信息!$AF$5:$AF$164,$K32)</f>
        <v>147960.79354003884</v>
      </c>
      <c r="AI32" s="12">
        <f>MIN(INDEX(其他调用!$AK$5:$AK$364,MATCH($K32,其他调用!$AG$5:$AG$364,0),1)/INDEX(其他调用!AH$5:AH$364,MATCH($K32,其他调用!$AG$5:$AG$364,0),0),1)*INDEX(其他调用!Y$5:Y$404,MATCH($K32,其他调用!$X$5:$X$404,0),0)</f>
        <v>28918.343638806618</v>
      </c>
      <c r="AJ32" s="12">
        <f>MIN(INDEX(其他调用!$AK$5:$AK$364,MATCH($K32,其他调用!$AG$5:$AG$364,0),1)/INDEX(其他调用!AI$5:AI$364,MATCH($K32,其他调用!$AG$5:$AG$364,0),0),1)*INDEX(其他调用!Z$5:Z$404,MATCH($K32,其他调用!$X$5:$X$404,0),0)</f>
        <v>29977.270404113104</v>
      </c>
      <c r="AK32" s="12">
        <f>MIN(INDEX(其他调用!$AK$5:$AK$364,MATCH($K32,其他调用!$AG$5:$AG$364,0),1)/INDEX(其他调用!AJ$5:AJ$364,MATCH($K32,其他调用!$AG$5:$AG$364,0),0),1)*INDEX(其他调用!AA$5:AA$404,MATCH($K32,其他调用!$X$5:$X$404,0),0)</f>
        <v>31370.040329908166</v>
      </c>
      <c r="AL32" s="12">
        <f>MIN(INDEX(其他调用!$AK$5:$AK$364,MATCH($K32,其他调用!$AG$5:$AG$364,0),1)/INDEX(其他调用!AK$5:AK$364,MATCH($K32,其他调用!$AG$5:$AG$364,0),0),1)*INDEX(其他调用!AB$5:AB$404,MATCH($K32,其他调用!$X$5:$X$404,0),0)</f>
        <v>33435.309934451478</v>
      </c>
      <c r="AM32" s="12">
        <f>MIN(INDEX(其他调用!$AK$5:$AK$364,MATCH($K32,其他调用!$AG$5:$AG$364,0),1)/INDEX(其他调用!AL$5:AL$364,MATCH($K32,其他调用!$AG$5:$AG$364,0),0),1)*INDEX(其他调用!AC$5:AC$404,MATCH($K32,其他调用!$X$5:$X$404,0),0)</f>
        <v>10948.632568719289</v>
      </c>
      <c r="AN32" s="12">
        <f>求节点(节奏总纲!D$4:D$163,标准城池设计!AF$4:AF$163,$K32)*求节点(节奏总纲!D$4:D$163,攻城基础信息!$AG$5:$AG$164,$K32)</f>
        <v>294085.97026816109</v>
      </c>
      <c r="AO32" s="12">
        <f>INDEX(其他调用!$AA$5:$AA$404,MATCH($K32,其他调用!$X$5:$X$404,0))*MIN(INDEX(其他调用!AL$5:AL$364,MATCH($K32,其他调用!$AG$5:$AG$364,0),1)/INDEX(其他调用!$AJ$5:$AJ$364,MATCH($K32,其他调用!$AG$5:$AG$364,0),0),5)*求节点(节奏总纲!D$4:D$163,攻城基础信息!$AG$5:$AG$164,$K32)</f>
        <v>382041.13937991485</v>
      </c>
      <c r="AP32" s="12">
        <f>MIN(INDEX(其他调用!$AL$5:$AL$364,MATCH($K32,其他调用!$AG$5:$AG$364,0),1)/INDEX(其他调用!AH$5:AH$364,MATCH($K32,其他调用!$AG$5:$AG$364,0),0),1)*INDEX(其他调用!Y$5:Y$404,MATCH($K32,其他调用!$X$5:$X$404,0),0)</f>
        <v>28918.343638806618</v>
      </c>
      <c r="AQ32" s="12">
        <f>MIN(INDEX(其他调用!$AL$5:$AL$364,MATCH($K32,其他调用!$AG$5:$AG$364,0),1)/INDEX(其他调用!AI$5:AI$364,MATCH($K32,其他调用!$AG$5:$AG$364,0),0),1)*INDEX(其他调用!Z$5:Z$404,MATCH($K32,其他调用!$X$5:$X$404,0),0)</f>
        <v>29977.270404113104</v>
      </c>
      <c r="AR32" s="12">
        <f>MIN(INDEX(其他调用!$AL$5:$AL$364,MATCH($K32,其他调用!$AG$5:$AG$364,0),1)/INDEX(其他调用!AJ$5:AJ$364,MATCH($K32,其他调用!$AG$5:$AG$364,0),0),1)*INDEX(其他调用!AA$5:AA$404,MATCH($K32,其他调用!$X$5:$X$404,0),0)</f>
        <v>31370.040329908166</v>
      </c>
      <c r="AS32" s="12">
        <f>MIN(INDEX(其他调用!$AL$5:$AL$364,MATCH($K32,其他调用!$AG$5:$AG$364,0),1)/INDEX(其他调用!AK$5:AK$364,MATCH($K32,其他调用!$AG$5:$AG$364,0),0),1)*INDEX(其他调用!AB$5:AB$404,MATCH($K32,其他调用!$X$5:$X$404,0),0)</f>
        <v>33435.309934451478</v>
      </c>
      <c r="AT32" s="12">
        <f>MIN(INDEX(其他调用!$AL$5:$AL$364,MATCH($K32,其他调用!$AG$5:$AG$364,0),1)/INDEX(其他调用!AL$5:AL$364,MATCH($K32,其他调用!$AG$5:$AG$364,0),0),1)*INDEX(其他调用!AC$5:AC$404,MATCH($K32,其他调用!$X$5:$X$404,0),0)</f>
        <v>37228.513292990974</v>
      </c>
      <c r="AV32" s="14">
        <f>IF(OR(AV$5="大R",AV$5="超R"),MAX(INDEX(其他调用!$H$5:$L$404,MATCH($K32,其他调用!$B$5:$B$404,0),MATCH(AV$5,其他调用!$H$4:$L$4,0))*120*0.85,2),INDEX(其他调用!$H$5:$L$404,MATCH($K32,其他调用!$B$5:$B$404,0),MATCH(AV$5,其他调用!$H$4:$L$4,0))*120*0.85)</f>
        <v>55.997517978056443</v>
      </c>
      <c r="AW32" s="14">
        <f>IF(OR(AW$5="大R",AW$5="超R"),MAX(INDEX(其他调用!$H$5:$L$404,MATCH($K32,其他调用!$B$5:$B$404,0),MATCH(AW$5,其他调用!$H$4:$L$4,0))*120*0.85,2),INDEX(其他调用!$H$5:$L$404,MATCH($K32,其他调用!$B$5:$B$404,0),MATCH(AW$5,其他调用!$H$4:$L$4,0))*120*0.85)</f>
        <v>41.488487525943547</v>
      </c>
      <c r="AX32" s="14">
        <f>IF(OR(AX$5="大R",AX$5="超R"),MAX(INDEX(其他调用!$H$5:$L$404,MATCH($K32,其他调用!$B$5:$B$404,0),MATCH(AX$5,其他调用!$H$4:$L$4,0))*120*0.85,2),INDEX(其他调用!$H$5:$L$404,MATCH($K32,其他调用!$B$5:$B$404,0),MATCH(AX$5,其他调用!$H$4:$L$4,0))*120*0.85)</f>
        <v>3.7893864959999997</v>
      </c>
      <c r="AY32" s="14">
        <f>IF(OR(AY$5="大R",AY$5="超R"),MAX(INDEX(其他调用!$H$5:$L$404,MATCH($K32,其他调用!$B$5:$B$404,0),MATCH(AY$5,其他调用!$H$4:$L$4,0))*120*0.85,2),INDEX(其他调用!$H$5:$L$404,MATCH($K32,其他调用!$B$5:$B$404,0),MATCH(AY$5,其他调用!$H$4:$L$4,0))*120*0.85)</f>
        <v>2</v>
      </c>
      <c r="AZ32" s="14">
        <f>IF(OR(AZ$5="大R",AZ$5="超R"),MAX(INDEX(其他调用!$H$5:$L$404,MATCH($K32,其他调用!$B$5:$B$404,0),MATCH(AZ$5,其他调用!$H$4:$L$4,0))*120*0.85,2),INDEX(其他调用!$H$5:$L$404,MATCH($K32,其他调用!$B$5:$B$404,0),MATCH(AZ$5,其他调用!$H$4:$L$4,0))*120*0.85)</f>
        <v>2</v>
      </c>
      <c r="BA32" s="14">
        <f>INDEX(其他调用!$H$5:$L$404,MATCH($K32,其他调用!$B$5:$B$404,0),MATCH(BA$5,其他调用!$H$4:$L$4,0))*INDEX(其他调用!$M$5:$M$404,MATCH($K32,其他调用!$B$5:$B$404,0))*0.6</f>
        <v>28.328156153605025</v>
      </c>
      <c r="BB32" s="14">
        <f>INDEX(其他调用!$H$5:$L$404,MATCH($K32,其他调用!$B$5:$B$404,0),MATCH(BB$5,其他调用!$H$4:$L$4,0))*INDEX(其他调用!$M$5:$M$404,MATCH($K32,其他调用!$B$5:$B$404,0))*0.6</f>
        <v>20.988293689594975</v>
      </c>
      <c r="BC32" s="14">
        <f>INDEX(其他调用!$H$5:$L$404,MATCH($K32,其他调用!$B$5:$B$404,0),MATCH(BC$5,其他调用!$H$4:$L$4,0))*INDEX(其他调用!$M$5:$M$404,MATCH($K32,其他调用!$B$5:$B$404,0))*0.6</f>
        <v>1.9169837567999999</v>
      </c>
      <c r="BD32" s="14">
        <f>INDEX(其他调用!$H$5:$L$404,MATCH($K32,其他调用!$B$5:$B$404,0),MATCH(BD$5,其他调用!$H$4:$L$4,0))*INDEX(其他调用!$M$5:$M$404,MATCH($K32,其他调用!$B$5:$B$404,0))*0.6</f>
        <v>0.29458440000000008</v>
      </c>
      <c r="BE32" s="14">
        <f>INDEX(其他调用!$H$5:$L$404,MATCH($K32,其他调用!$B$5:$B$404,0),MATCH(BE$5,其他调用!$H$4:$L$4,0))*INDEX(其他调用!$M$5:$M$404,MATCH($K32,其他调用!$B$5:$B$404,0))*0.6</f>
        <v>7.198199999999999E-2</v>
      </c>
      <c r="BF32" s="14">
        <f>IF(OR(BF$5="大R",BF$5="超R"),0,INDEX(其他调用!$H$5:$L$404,MATCH($K32,其他调用!$B$5:$B$404,0),MATCH(BF$5,其他调用!$H$4:$L$4,0))*50*0.4)</f>
        <v>10.979905485893424</v>
      </c>
      <c r="BG32" s="14">
        <f>IF(OR(BG$5="大R",BG$5="超R"),0,INDEX(其他调用!$H$5:$L$404,MATCH($K32,其他调用!$B$5:$B$404,0),MATCH(BG$5,其他调用!$H$4:$L$4,0))*50*0.4)</f>
        <v>8.1349975541065795</v>
      </c>
      <c r="BH32" s="14">
        <f>IF(OR(BH$5="大R",BH$5="超R"),0,INDEX(其他调用!$H$5:$L$404,MATCH($K32,其他调用!$B$5:$B$404,0),MATCH(BH$5,其他调用!$H$4:$L$4,0))*50*0.4)</f>
        <v>0.74301696000000006</v>
      </c>
      <c r="BI32" s="14">
        <f>IF(OR(BI$5="大R",BI$5="超R"),0,INDEX(其他调用!$H$5:$L$404,MATCH($K32,其他调用!$B$5:$B$404,0),MATCH(BI$5,其他调用!$H$4:$L$4,0))*50*0.4)</f>
        <v>0</v>
      </c>
      <c r="BJ32" s="14">
        <f>IF(OR(BJ$5="大R",BJ$5="超R"),0,INDEX(其他调用!$H$5:$L$404,MATCH($K32,其他调用!$B$5:$B$404,0),MATCH(BJ$5,其他调用!$H$4:$L$4,0))*50*0.4)</f>
        <v>0</v>
      </c>
      <c r="BL32" s="14">
        <f t="shared" si="103"/>
        <v>27</v>
      </c>
      <c r="BM32" s="14">
        <f t="shared" si="10"/>
        <v>96</v>
      </c>
      <c r="BN32" s="14">
        <f>('疲劳值&amp;地图信息'!$S$10*'疲劳值&amp;地图信息'!$R$10+'疲劳值&amp;地图信息'!$S$11*'疲劳值&amp;地图信息'!$R$11+'疲劳值&amp;地图信息'!$S$12*'疲劳值&amp;地图信息'!$R$12+(BM32-'疲劳值&amp;地图信息'!$S$12-'疲劳值&amp;地图信息'!$S$11-'疲劳值&amp;地图信息'!$S$10)*'疲劳值&amp;地图信息'!$R$13)/BM32</f>
        <v>51.371477246638619</v>
      </c>
      <c r="BO32" s="14">
        <f>INDEX(其他调用!$M$5:$M$404,MATCH(BL32,其他调用!$B$5:$B$404,0))*0.6</f>
        <v>51.6</v>
      </c>
      <c r="BP32" s="14">
        <f>IF(BO32&gt;SUM('疲劳值&amp;地图信息'!$S$10:$S$12),('疲劳值&amp;地图信息'!$S$10*'疲劳值&amp;地图信息'!$R$10+'疲劳值&amp;地图信息'!$S$11*'疲劳值&amp;地图信息'!$R$11+'疲劳值&amp;地图信息'!$S$12*'疲劳值&amp;地图信息'!$R$12+(BO32-'疲劳值&amp;地图信息'!$S$12-'疲劳值&amp;地图信息'!$S$11-'疲劳值&amp;地图信息'!$S$10)*'疲劳值&amp;地图信息'!$R$13)/BO32,('疲劳值&amp;地图信息'!$S$10*'疲劳值&amp;地图信息'!$R$10+'疲劳值&amp;地图信息'!$S$11*'疲劳值&amp;地图信息'!$R$11+'疲劳值&amp;地图信息'!$S$12*'疲劳值&amp;地图信息'!$R$12+(BO32-'疲劳值&amp;地图信息'!$S$12-'疲劳值&amp;地图信息'!$S$11-'疲劳值&amp;地图信息'!$S$10)*'疲劳值&amp;地图信息'!$R$13)/BO32)</f>
        <v>41.026763545622778</v>
      </c>
      <c r="BQ32" s="14">
        <f t="shared" si="104"/>
        <v>20</v>
      </c>
      <c r="BR32" s="14">
        <f>('疲劳值&amp;地图信息'!$S$10*'疲劳值&amp;地图信息'!$R$10+($BQ32-'疲劳值&amp;地图信息'!$S$10)*'疲劳值&amp;地图信息'!$R$11)/$BQ32</f>
        <v>32.067203015074995</v>
      </c>
      <c r="BW32" s="14"/>
      <c r="BX32" s="62" t="s">
        <v>461</v>
      </c>
      <c r="BY32" s="63"/>
      <c r="BZ32" s="64"/>
      <c r="CF32" s="14">
        <v>27</v>
      </c>
      <c r="CG32" s="51">
        <f t="shared" si="11"/>
        <v>4782</v>
      </c>
      <c r="CH32" s="51">
        <f t="shared" si="12"/>
        <v>701</v>
      </c>
      <c r="CI32" s="51">
        <f>INT(SUMPRODUCT($N32:$R32,$BA32:$BE32)/SUM($BA32:$BE32)/10000*$BX$7*$BZ$34/'疲劳值&amp;地图信息'!$R$10*$BY$53)</f>
        <v>2652</v>
      </c>
      <c r="CJ32" s="50">
        <f t="shared" si="13"/>
        <v>0.58783036263060851</v>
      </c>
      <c r="CK32" s="50">
        <f t="shared" si="14"/>
        <v>8.6170866625691456E-2</v>
      </c>
      <c r="CL32" s="50">
        <f t="shared" si="15"/>
        <v>0.32599877074370004</v>
      </c>
      <c r="CM32" s="14">
        <f t="shared" si="16"/>
        <v>4988</v>
      </c>
      <c r="CN32" s="14">
        <f t="shared" si="17"/>
        <v>878</v>
      </c>
      <c r="CO32" s="14">
        <f>INT(SUMPRODUCT($U32:$Y32,$BA32:$BE32)/SUM($BA32:$BE32)/10000*$BX$7*$BZ$34/'疲劳值&amp;地图信息'!$R$10*$BY$54)</f>
        <v>4373</v>
      </c>
      <c r="CP32" s="50">
        <f t="shared" si="18"/>
        <v>0.48715694892079303</v>
      </c>
      <c r="CQ32" s="50">
        <f t="shared" si="19"/>
        <v>8.5750561578279122E-2</v>
      </c>
      <c r="CR32" s="50">
        <f t="shared" si="20"/>
        <v>0.42709248950092782</v>
      </c>
      <c r="CS32" s="14">
        <f t="shared" si="21"/>
        <v>5374</v>
      </c>
      <c r="CT32" s="14">
        <f t="shared" si="22"/>
        <v>1676</v>
      </c>
      <c r="CU32" s="14">
        <f>INT(SUMPRODUCT($AB32:$AF32,$BA32:$BE32)/SUM($BA32:$BE32)/10000*$BX$7*$BZ$34/'疲劳值&amp;地图信息'!$R$10*$BY$55)</f>
        <v>5954</v>
      </c>
      <c r="CV32" s="50">
        <f t="shared" si="23"/>
        <v>0.41325745924330975</v>
      </c>
      <c r="CW32" s="50">
        <f t="shared" si="24"/>
        <v>0.12888342048600432</v>
      </c>
      <c r="CX32" s="50">
        <f t="shared" si="25"/>
        <v>0.45785912027068593</v>
      </c>
      <c r="CY32" s="14">
        <f t="shared" si="26"/>
        <v>6269</v>
      </c>
      <c r="CZ32" s="14">
        <f t="shared" si="27"/>
        <v>3245</v>
      </c>
      <c r="DA32" s="14">
        <f>INT(SUMPRODUCT($AI32:$AM32,$BA32:$BE32)/SUM($BA32:$BE32)/10000*$BX$7*$BZ$34/'疲劳值&amp;地图信息'!$R$10*$BY$56)</f>
        <v>8961</v>
      </c>
      <c r="DB32" s="50">
        <f t="shared" si="28"/>
        <v>0.33932341001353178</v>
      </c>
      <c r="DC32" s="50">
        <f t="shared" si="29"/>
        <v>0.17564276048714478</v>
      </c>
      <c r="DD32" s="50">
        <f t="shared" si="30"/>
        <v>0.48503382949932339</v>
      </c>
      <c r="DE32" s="14">
        <f t="shared" si="31"/>
        <v>6451</v>
      </c>
      <c r="DF32" s="14">
        <f t="shared" si="32"/>
        <v>8380</v>
      </c>
      <c r="DG32" s="14">
        <f>INT(SUMPRODUCT($AP32:$AT32,$BA32:$BE32)/SUM($BA32:$BE32)/10000*$BX$7*$BZ$34/'疲劳值&amp;地图信息'!$R$10*$BY$57)</f>
        <v>11964</v>
      </c>
      <c r="DH32" s="50">
        <f t="shared" si="33"/>
        <v>0.24075387199104312</v>
      </c>
      <c r="DI32" s="50">
        <f t="shared" si="34"/>
        <v>0.31274491509610003</v>
      </c>
      <c r="DJ32" s="50">
        <f t="shared" si="35"/>
        <v>0.44650121291285688</v>
      </c>
      <c r="DL32" s="14">
        <f t="shared" si="106"/>
        <v>8135</v>
      </c>
      <c r="DM32" s="14">
        <f t="shared" si="107"/>
        <v>10239</v>
      </c>
      <c r="DN32" s="14">
        <f t="shared" si="108"/>
        <v>13004</v>
      </c>
      <c r="DO32" s="14">
        <f t="shared" si="109"/>
        <v>18475</v>
      </c>
      <c r="DP32" s="14">
        <f t="shared" si="110"/>
        <v>26795</v>
      </c>
      <c r="DQ32" s="14">
        <f t="shared" si="111"/>
        <v>477648</v>
      </c>
      <c r="DT32" s="14">
        <f t="shared" si="105"/>
        <v>235575</v>
      </c>
      <c r="DU32" s="50">
        <f t="shared" si="7"/>
        <v>0.33029641500624629</v>
      </c>
      <c r="DW32" s="14">
        <f t="shared" si="36"/>
        <v>713223</v>
      </c>
      <c r="EB32" s="14">
        <v>27</v>
      </c>
      <c r="EC32" s="51">
        <f t="shared" si="37"/>
        <v>7971</v>
      </c>
      <c r="ED32" s="51">
        <f t="shared" si="38"/>
        <v>1168</v>
      </c>
      <c r="EE32" s="51">
        <f>INT(SUMPRODUCT($N32:$R32,$BF32:$BJ32)/SUM($BF32:$BJ32)/10000*$BX$7*$BZ$46/'疲劳值&amp;地图信息'!$R$10*$BY$53)</f>
        <v>355</v>
      </c>
      <c r="EF32" s="50">
        <f t="shared" si="39"/>
        <v>0.83958289445965872</v>
      </c>
      <c r="EG32" s="50">
        <f t="shared" si="40"/>
        <v>0.12302506846429324</v>
      </c>
      <c r="EH32" s="50">
        <f t="shared" si="41"/>
        <v>3.7392037076048032E-2</v>
      </c>
      <c r="EI32" s="51">
        <f t="shared" si="42"/>
        <v>8313</v>
      </c>
      <c r="EJ32" s="51">
        <f t="shared" si="43"/>
        <v>1464</v>
      </c>
      <c r="EK32" s="14">
        <f>INT(SUMPRODUCT($U32:$Y32,$BF32:$BJ32)/SUM($BF32:$BJ32)/10000*$BX$7*$BZ$46/'疲劳值&amp;地图信息'!$R$10*$BY$54)</f>
        <v>586</v>
      </c>
      <c r="EL32" s="50">
        <f t="shared" si="44"/>
        <v>0.80218083566534792</v>
      </c>
      <c r="EM32" s="50">
        <f t="shared" si="45"/>
        <v>0.1412718324809418</v>
      </c>
      <c r="EN32" s="50">
        <f t="shared" si="46"/>
        <v>5.6547331853710317E-2</v>
      </c>
      <c r="EO32" s="51">
        <f t="shared" si="47"/>
        <v>8957</v>
      </c>
      <c r="EP32" s="51">
        <f t="shared" si="48"/>
        <v>2793</v>
      </c>
      <c r="EQ32" s="14">
        <f>INT(SUMPRODUCT($AB32:$AF32,$BF32:$BJ32)/SUM($BF32:$BJ32)/10000*$BX$7*$BZ$46/'疲劳值&amp;地图信息'!$R$10*$BY$55)</f>
        <v>796</v>
      </c>
      <c r="ER32" s="50">
        <f t="shared" si="49"/>
        <v>0.71393272756256976</v>
      </c>
      <c r="ES32" s="50">
        <f t="shared" si="50"/>
        <v>0.2226207556193209</v>
      </c>
      <c r="ET32" s="50">
        <f t="shared" si="51"/>
        <v>6.3446516818109353E-2</v>
      </c>
      <c r="EU32" s="51">
        <f t="shared" si="52"/>
        <v>10449</v>
      </c>
      <c r="EV32" s="51">
        <f t="shared" si="53"/>
        <v>5409</v>
      </c>
      <c r="EW32" s="14">
        <f>INT(SUMPRODUCT($AI32:$AM32,$BF32:$BJ32)/SUM($BF32:$BJ32)/10000*$BX$7*$BZ$46/'疲劳值&amp;地图信息'!$R$10*$BY$56)</f>
        <v>1195</v>
      </c>
      <c r="EX32" s="50">
        <f t="shared" si="54"/>
        <v>0.6127367618600833</v>
      </c>
      <c r="EY32" s="50">
        <f t="shared" si="55"/>
        <v>0.31718759162610682</v>
      </c>
      <c r="EZ32" s="50">
        <f t="shared" si="56"/>
        <v>7.0075646513809889E-2</v>
      </c>
      <c r="FA32" s="51">
        <f t="shared" si="57"/>
        <v>10752</v>
      </c>
      <c r="FB32" s="51">
        <f t="shared" si="58"/>
        <v>13967</v>
      </c>
      <c r="FC32" s="14">
        <f>INT(SUMPRODUCT($AP32:$AT32,$BF32:$BJ32)/SUM($BF32:$BJ32)/10000*$BX$7*$BZ$46/'疲劳值&amp;地图信息'!$R$10*$BY$57)</f>
        <v>1593</v>
      </c>
      <c r="FD32" s="50">
        <f t="shared" si="59"/>
        <v>0.4086348434174521</v>
      </c>
      <c r="FE32" s="50">
        <f t="shared" si="60"/>
        <v>0.53082243843113408</v>
      </c>
      <c r="FF32" s="50">
        <f t="shared" si="61"/>
        <v>6.05427181514138E-2</v>
      </c>
      <c r="FH32" s="14">
        <f t="shared" si="62"/>
        <v>9494</v>
      </c>
      <c r="FI32" s="14">
        <f t="shared" si="63"/>
        <v>10363</v>
      </c>
      <c r="FJ32" s="14">
        <f t="shared" si="64"/>
        <v>12546</v>
      </c>
      <c r="FK32" s="14">
        <f t="shared" si="65"/>
        <v>17053</v>
      </c>
      <c r="FL32" s="14">
        <f t="shared" si="66"/>
        <v>26312</v>
      </c>
      <c r="FM32" s="14">
        <f t="shared" si="67"/>
        <v>1095857</v>
      </c>
      <c r="FP32" s="14">
        <f t="shared" si="68"/>
        <v>334150</v>
      </c>
      <c r="FQ32" s="50">
        <f t="shared" si="8"/>
        <v>0.23367018483126306</v>
      </c>
      <c r="FS32" s="14">
        <f t="shared" si="69"/>
        <v>1430007</v>
      </c>
      <c r="FX32" s="14">
        <v>27</v>
      </c>
      <c r="FY32" s="51">
        <f t="shared" si="70"/>
        <v>11159</v>
      </c>
      <c r="FZ32" s="51">
        <f t="shared" si="71"/>
        <v>1168</v>
      </c>
      <c r="GA32" s="51">
        <f>INT(SUMPRODUCT($N32:$R32,$BF32:$BJ32)/SUM($BF32:$BJ32)/10000*$BX$7*$BZ$46/'疲劳值&amp;地图信息'!$R$10*$BY$53)</f>
        <v>355</v>
      </c>
      <c r="GB32" s="50">
        <f t="shared" si="72"/>
        <v>0.8799085317773222</v>
      </c>
      <c r="GC32" s="50">
        <f t="shared" si="73"/>
        <v>9.2099038006623557E-2</v>
      </c>
      <c r="GD32" s="50">
        <f t="shared" si="74"/>
        <v>2.799243021605425E-2</v>
      </c>
      <c r="GE32" s="51">
        <f t="shared" si="75"/>
        <v>11638</v>
      </c>
      <c r="GF32" s="51">
        <f t="shared" si="76"/>
        <v>1464</v>
      </c>
      <c r="GG32" s="14">
        <f>INT(SUMPRODUCT($U32:$Y32,$BF32:$BJ32)/SUM($BF32:$BJ32)/10000*$BX$7*$BZ$46/'疲劳值&amp;地图信息'!$R$10*$BY$54)</f>
        <v>586</v>
      </c>
      <c r="GH32" s="50">
        <f t="shared" si="77"/>
        <v>0.85023378141437755</v>
      </c>
      <c r="GI32" s="50">
        <f t="shared" si="78"/>
        <v>0.10695499707773232</v>
      </c>
      <c r="GJ32" s="50">
        <f t="shared" si="79"/>
        <v>4.2811221507890122E-2</v>
      </c>
      <c r="GK32" s="51">
        <f t="shared" si="80"/>
        <v>12540</v>
      </c>
      <c r="GL32" s="51">
        <f t="shared" si="81"/>
        <v>2793</v>
      </c>
      <c r="GM32" s="14">
        <f>INT(SUMPRODUCT($AB32:$AF32,$BF32:$BJ32)/SUM($BF32:$BJ32)/10000*$BX$7*$BZ$46/'疲劳值&amp;地图信息'!$R$10*$BY$55)</f>
        <v>796</v>
      </c>
      <c r="GN32" s="50">
        <f t="shared" si="82"/>
        <v>0.77748155496310989</v>
      </c>
      <c r="GO32" s="50">
        <f t="shared" si="83"/>
        <v>0.17316634633269268</v>
      </c>
      <c r="GP32" s="50">
        <f t="shared" si="84"/>
        <v>4.9352098704197406E-2</v>
      </c>
      <c r="GQ32" s="51">
        <f t="shared" si="85"/>
        <v>14628</v>
      </c>
      <c r="GR32" s="51">
        <f t="shared" si="86"/>
        <v>5409</v>
      </c>
      <c r="GS32" s="14">
        <f>INT(SUMPRODUCT($AI32:$AM32,$BF32:$BJ32)/SUM($BF32:$BJ32)/10000*$BX$7*$BZ$46/'疲劳值&amp;地图信息'!$R$10*$BY$56)</f>
        <v>1195</v>
      </c>
      <c r="GT32" s="50">
        <f t="shared" si="87"/>
        <v>0.68896006028636025</v>
      </c>
      <c r="GU32" s="50">
        <f t="shared" si="88"/>
        <v>0.25475697061039942</v>
      </c>
      <c r="GV32" s="50">
        <f t="shared" si="89"/>
        <v>5.6282969103240391E-2</v>
      </c>
      <c r="GW32" s="51">
        <f t="shared" si="90"/>
        <v>15053</v>
      </c>
      <c r="GX32" s="51">
        <f t="shared" si="91"/>
        <v>13967</v>
      </c>
      <c r="GY32" s="14">
        <f>INT(SUMPRODUCT($AP32:$AT32,$BF32:$BJ32)/SUM($BF32:$BJ32)/10000*$BX$7*$BZ$46/'疲劳值&amp;地图信息'!$R$10*$BY$57)</f>
        <v>1593</v>
      </c>
      <c r="GZ32" s="50">
        <f t="shared" si="92"/>
        <v>0.49171920425962828</v>
      </c>
      <c r="HA32" s="50">
        <f t="shared" si="93"/>
        <v>0.45624407931271027</v>
      </c>
      <c r="HB32" s="50">
        <f t="shared" si="94"/>
        <v>5.2036716427661452E-2</v>
      </c>
      <c r="HD32" s="14">
        <f t="shared" si="95"/>
        <v>12682</v>
      </c>
      <c r="HE32" s="14">
        <f t="shared" si="96"/>
        <v>13688</v>
      </c>
      <c r="HF32" s="14">
        <f t="shared" si="97"/>
        <v>16129</v>
      </c>
      <c r="HG32" s="14">
        <f t="shared" si="98"/>
        <v>21232</v>
      </c>
      <c r="HH32" s="14">
        <f t="shared" si="99"/>
        <v>30613</v>
      </c>
      <c r="HI32" s="14">
        <f t="shared" si="100"/>
        <v>1442863</v>
      </c>
      <c r="HL32" s="14">
        <f t="shared" si="101"/>
        <v>430050</v>
      </c>
      <c r="HM32" s="50">
        <f t="shared" si="9"/>
        <v>0.2296155774454019</v>
      </c>
      <c r="HO32" s="14">
        <f t="shared" si="102"/>
        <v>1872913</v>
      </c>
    </row>
    <row r="33" spans="3:223" x14ac:dyDescent="0.2">
      <c r="C33" s="1" t="s">
        <v>429</v>
      </c>
      <c r="D33" s="1" t="s">
        <v>435</v>
      </c>
      <c r="F33" s="1" t="s">
        <v>516</v>
      </c>
      <c r="K33" s="14">
        <v>28</v>
      </c>
      <c r="L33" s="12">
        <f>求节点(节奏总纲!D$4:D$163,标准城池设计!AB$4:AB$163,$K33)*求节点(节奏总纲!D$4:D$163,攻城基础信息!$AC$5:$AC$164,$K33)</f>
        <v>222731.55877226748</v>
      </c>
      <c r="M33" s="12">
        <f>INDEX(其他调用!$AA$5:$AA$404,MATCH(K33,其他调用!$X$5:$X$404,0))*MIN(INDEX(其他调用!$AH$5:$AH$364,MATCH('征服点（新）'!K33,其他调用!$AG$5:$AG$364,0),1)/INDEX(其他调用!$AJ$5:$AJ$364,MATCH(K33,其他调用!$AG$5:$AG$364,0),0),5)*求节点(节奏总纲!D$4:D$163,攻城基础信息!$AC$5:$AC$164,$K33)</f>
        <v>31696.926316253142</v>
      </c>
      <c r="N33" s="12">
        <f>MIN(INDEX(其他调用!$AH$5:$AH$364,MATCH($K33,其他调用!$AG$5:$AG$364,0),1)/INDEX(其他调用!AH$5:AH$364,MATCH($K33,其他调用!$AG$5:$AG$364,0),0),1)*INDEX(其他调用!Y$5:Y$404,MATCH($K33,其他调用!$X$5:$X$404,0),0)</f>
        <v>29113.496498802706</v>
      </c>
      <c r="O33" s="12">
        <f>MIN(INDEX(其他调用!$AH$5:$AH$364,MATCH($K33,其他调用!$AG$5:$AG$364,0),1)/INDEX(其他调用!AI$5:AI$364,MATCH($K33,其他调用!$AG$5:$AG$364,0),0),1)*INDEX(其他调用!Z$5:Z$404,MATCH($K33,其他调用!$X$5:$X$404,0),0)</f>
        <v>23657.072221035316</v>
      </c>
      <c r="P33" s="12">
        <f>MIN(INDEX(其他调用!$AH$5:$AH$364,MATCH($K33,其他调用!$AG$5:$AG$364,0),1)/INDEX(其他调用!AJ$5:AJ$364,MATCH($K33,其他调用!$AG$5:$AG$364,0),0),1)*INDEX(其他调用!AA$5:AA$404,MATCH($K33,其他调用!$X$5:$X$404,0),0)</f>
        <v>12924.973763931161</v>
      </c>
      <c r="Q33" s="12">
        <f>MIN(INDEX(其他调用!$AH$5:$AH$364,MATCH($K33,其他调用!$AG$5:$AG$364,0),1)/INDEX(其他调用!AK$5:AK$364,MATCH($K33,其他调用!$AG$5:$AG$364,0),0),1)*INDEX(其他调用!AB$5:AB$404,MATCH($K33,其他调用!$X$5:$X$404,0),0)</f>
        <v>7149.8466219232751</v>
      </c>
      <c r="R33" s="12">
        <f>MIN(INDEX(其他调用!$AH$5:$AH$364,MATCH($K33,其他调用!$AG$5:$AG$364,0),1)/INDEX(其他调用!AL$5:AL$364,MATCH($K33,其他调用!$AG$5:$AG$364,0),0),1)*INDEX(其他调用!AC$5:AC$404,MATCH($K33,其他调用!$X$5:$X$404,0),0)</f>
        <v>2318.8716470789786</v>
      </c>
      <c r="S33" s="12">
        <f>求节点(节奏总纲!D$4:D$163,标准城池设计!AC$4:AC$163,$K33)*求节点(节奏总纲!D$4:D$163,攻城基础信息!$AD$5:$AD$164,$K33)</f>
        <v>232063.01881827923</v>
      </c>
      <c r="T33" s="12">
        <f>INDEX(其他调用!$AA$5:$AA$404,MATCH($K33,其他调用!$X$5:$X$404,0))*MIN(INDEX(其他调用!AI$5:AI$364,MATCH($K33,其他调用!$AG$5:$AG$364,0),1)/INDEX(其他调用!$AJ$5:$AJ$364,MATCH($K33,其他调用!$AG$5:$AG$364,0),0),5)*求节点(节奏总纲!D$4:D$163,攻城基础信息!$AD$5:$AD$164,$K33)</f>
        <v>40422.238864111219</v>
      </c>
      <c r="U33" s="12">
        <f>MIN(INDEX(其他调用!$AI$5:$AI$364,MATCH($K33,其他调用!$AG$5:$AG$364,0),1)/INDEX(其他调用!AH$5:AH$364,MATCH($K33,其他调用!$AG$5:$AG$364,0),0),1)*INDEX(其他调用!Y$5:Y$404,MATCH($K33,其他调用!$X$5:$X$404,0),0)</f>
        <v>29113.496498802706</v>
      </c>
      <c r="V33" s="12">
        <f>MIN(INDEX(其他调用!$AI$5:$AI$364,MATCH($K33,其他调用!$AG$5:$AG$364,0),1)/INDEX(其他调用!AI$5:AI$364,MATCH($K33,其他调用!$AG$5:$AG$364,0),0),1)*INDEX(其他调用!Z$5:Z$404,MATCH($K33,其他调用!$X$5:$X$404,0),0)</f>
        <v>30169.228858442184</v>
      </c>
      <c r="W33" s="12">
        <f>MIN(INDEX(其他调用!$AI$5:$AI$364,MATCH($K33,其他调用!$AG$5:$AG$364,0),1)/INDEX(其他调用!AJ$5:AJ$364,MATCH($K33,其他调用!$AG$5:$AG$364,0),0),1)*INDEX(其他调用!AA$5:AA$404,MATCH($K33,其他调用!$X$5:$X$404,0),0)</f>
        <v>16482.871922193212</v>
      </c>
      <c r="X33" s="12">
        <f>MIN(INDEX(其他调用!$AI$5:$AI$364,MATCH($K33,其他调用!$AG$5:$AG$364,0),1)/INDEX(其他调用!AK$5:AK$364,MATCH($K33,其他调用!$AG$5:$AG$364,0),0),1)*INDEX(其他调用!AB$5:AB$404,MATCH($K33,其他调用!$X$5:$X$404,0),0)</f>
        <v>9118.0073774202228</v>
      </c>
      <c r="Y33" s="12">
        <f>MIN(INDEX(其他调用!$AI$5:$AI$364,MATCH($K33,其他调用!$AG$5:$AG$364,0),1)/INDEX(其他调用!AL$5:AL$364,MATCH($K33,其他调用!$AG$5:$AG$364,0),0),1)*INDEX(其他调用!AC$5:AC$404,MATCH($K33,其他调用!$X$5:$X$404,0),0)</f>
        <v>2957.194734852817</v>
      </c>
      <c r="Z33" s="12">
        <f>求节点(节奏总纲!D$4:D$163,标准城池设计!AD$4:AD$163,$K33)*求节点(节奏总纲!D$4:D$163,攻城基础信息!$AE$5:$AE$164,$K33)</f>
        <v>250334.83479599742</v>
      </c>
      <c r="AA33" s="12">
        <f>INDEX(其他调用!$AA$5:$AA$404,MATCH($K33,其他调用!$X$5:$X$404,0))*MIN(INDEX(其他调用!AJ$5:AJ$364,MATCH($K33,其他调用!$AG$5:$AG$364,0),1)/INDEX(其他调用!$AJ$5:$AJ$364,MATCH($K33,其他调用!$AG$5:$AG$364,0),0),5)*求节点(节奏总纲!D$4:D$163,攻城基础信息!$AE$5:$AE$164,$K33)</f>
        <v>77416.684248850099</v>
      </c>
      <c r="AB33" s="12">
        <f>MIN(INDEX(其他调用!$AJ$5:$AJ$364,MATCH($K33,其他调用!$AG$5:$AG$364,0),1)/INDEX(其他调用!AH$5:AH$364,MATCH($K33,其他调用!$AG$5:$AG$364,0),0),1)*INDEX(其他调用!Y$5:Y$404,MATCH($K33,其他调用!$X$5:$X$404,0),0)</f>
        <v>29113.496498802706</v>
      </c>
      <c r="AC33" s="12">
        <f>MIN(INDEX(其他调用!$AJ$5:$AJ$364,MATCH($K33,其他调用!$AG$5:$AG$364,0),1)/INDEX(其他调用!AI$5:AI$364,MATCH($K33,其他调用!$AG$5:$AG$364,0),0),1)*INDEX(其他调用!Z$5:Z$404,MATCH($K33,其他调用!$X$5:$X$404,0),0)</f>
        <v>30169.228858442184</v>
      </c>
      <c r="AD33" s="12">
        <f>MIN(INDEX(其他调用!$AJ$5:$AJ$364,MATCH($K33,其他调用!$AG$5:$AG$364,0),1)/INDEX(其他调用!AJ$5:AJ$364,MATCH($K33,其他调用!$AG$5:$AG$364,0),0),1)*INDEX(其他调用!AA$5:AA$404,MATCH($K33,其他调用!$X$5:$X$404,0),0)</f>
        <v>31568.001352038071</v>
      </c>
      <c r="AE33" s="12">
        <f>MIN(INDEX(其他调用!$AJ$5:$AJ$364,MATCH($K33,其他调用!$AG$5:$AG$364,0),1)/INDEX(其他调用!AK$5:AK$364,MATCH($K33,其他调用!$AG$5:$AG$364,0),0),1)*INDEX(其他调用!AB$5:AB$404,MATCH($K33,其他调用!$X$5:$X$404,0),0)</f>
        <v>17462.81052094683</v>
      </c>
      <c r="AF33" s="12">
        <f>MIN(INDEX(其他调用!$AJ$5:$AJ$364,MATCH($K33,其他调用!$AG$5:$AG$364,0),1)/INDEX(其他调用!AL$5:AL$364,MATCH($K33,其他调用!$AG$5:$AG$364,0),0),1)*INDEX(其他调用!AC$5:AC$404,MATCH($K33,其他调用!$X$5:$X$404,0),0)</f>
        <v>5663.6202616110659</v>
      </c>
      <c r="AG33" s="12">
        <f>求节点(节奏总纲!D$4:D$163,标准城池设计!AE$4:AE$163,$K33)*求节点(节奏总纲!D$4:D$163,攻城基础信息!$AF$5:$AF$164,$K33)</f>
        <v>291846.47683358163</v>
      </c>
      <c r="AH33" s="12">
        <f>INDEX(其他调用!$AA$5:$AA$404,MATCH($K33,其他调用!$X$5:$X$404,0))*MIN(INDEX(其他调用!AK$5:AK$364,MATCH($K33,其他调用!$AG$5:$AG$364,0),1)/INDEX(其他调用!$AJ$5:$AJ$364,MATCH($K33,其他调用!$AG$5:$AG$364,0),0),5)*求节点(节奏总纲!D$4:D$163,攻城基础信息!$AF$5:$AF$164,$K33)</f>
        <v>149154.31883470411</v>
      </c>
      <c r="AI33" s="12">
        <f>MIN(INDEX(其他调用!$AK$5:$AK$364,MATCH($K33,其他调用!$AG$5:$AG$364,0),1)/INDEX(其他调用!AH$5:AH$364,MATCH($K33,其他调用!$AG$5:$AG$364,0),0),1)*INDEX(其他调用!Y$5:Y$404,MATCH($K33,其他调用!$X$5:$X$404,0),0)</f>
        <v>29113.496498802706</v>
      </c>
      <c r="AJ33" s="12">
        <f>MIN(INDEX(其他调用!$AK$5:$AK$364,MATCH($K33,其他调用!$AG$5:$AG$364,0),1)/INDEX(其他调用!AI$5:AI$364,MATCH($K33,其他调用!$AG$5:$AG$364,0),0),1)*INDEX(其他调用!Z$5:Z$404,MATCH($K33,其他调用!$X$5:$X$404,0),0)</f>
        <v>30169.228858442184</v>
      </c>
      <c r="AK33" s="12">
        <f>MIN(INDEX(其他调用!$AK$5:$AK$364,MATCH($K33,其他调用!$AG$5:$AG$364,0),1)/INDEX(其他调用!AJ$5:AJ$364,MATCH($K33,其他调用!$AG$5:$AG$364,0),0),1)*INDEX(其他调用!AA$5:AA$404,MATCH($K33,其他调用!$X$5:$X$404,0),0)</f>
        <v>31568.001352038071</v>
      </c>
      <c r="AL33" s="12">
        <f>MIN(INDEX(其他调用!$AK$5:$AK$364,MATCH($K33,其他调用!$AG$5:$AG$364,0),1)/INDEX(其他调用!AK$5:AK$364,MATCH($K33,其他调用!$AG$5:$AG$364,0),0),1)*INDEX(其他调用!AB$5:AB$404,MATCH($K33,其他调用!$X$5:$X$404,0),0)</f>
        <v>33644.603013723317</v>
      </c>
      <c r="AM33" s="12">
        <f>MIN(INDEX(其他调用!$AK$5:$AK$364,MATCH($K33,其他调用!$AG$5:$AG$364,0),1)/INDEX(其他调用!AL$5:AL$364,MATCH($K33,其他调用!$AG$5:$AG$364,0),0),1)*INDEX(其他调用!AC$5:AC$404,MATCH($K33,其他调用!$X$5:$X$404,0),0)</f>
        <v>10911.774773815305</v>
      </c>
      <c r="AN33" s="12">
        <f>求节点(节奏总纲!D$4:D$163,标准城池设计!AF$4:AF$163,$K33)*求节点(节奏总纲!D$4:D$163,攻城基础信息!$AG$5:$AG$164,$K33)</f>
        <v>299970.60937245836</v>
      </c>
      <c r="AO33" s="12">
        <f>INDEX(其他调用!$AA$5:$AA$404,MATCH($K33,其他调用!$X$5:$X$404,0))*MIN(INDEX(其他调用!AL$5:AL$364,MATCH($K33,其他调用!$AG$5:$AG$364,0),1)/INDEX(其他调用!$AJ$5:$AJ$364,MATCH($K33,其他调用!$AG$5:$AG$364,0),0),5)*求节点(节奏总纲!D$4:D$163,攻城基础信息!$AG$5:$AG$164,$K33)</f>
        <v>387083.42124425055</v>
      </c>
      <c r="AP33" s="12">
        <f>MIN(INDEX(其他调用!$AL$5:$AL$364,MATCH($K33,其他调用!$AG$5:$AG$364,0),1)/INDEX(其他调用!AH$5:AH$364,MATCH($K33,其他调用!$AG$5:$AG$364,0),0),1)*INDEX(其他调用!Y$5:Y$404,MATCH($K33,其他调用!$X$5:$X$404,0),0)</f>
        <v>29113.496498802706</v>
      </c>
      <c r="AQ33" s="12">
        <f>MIN(INDEX(其他调用!$AL$5:$AL$364,MATCH($K33,其他调用!$AG$5:$AG$364,0),1)/INDEX(其他调用!AI$5:AI$364,MATCH($K33,其他调用!$AG$5:$AG$364,0),0),1)*INDEX(其他调用!Z$5:Z$404,MATCH($K33,其他调用!$X$5:$X$404,0),0)</f>
        <v>30169.228858442184</v>
      </c>
      <c r="AR33" s="12">
        <f>MIN(INDEX(其他调用!$AL$5:$AL$364,MATCH($K33,其他调用!$AG$5:$AG$364,0),1)/INDEX(其他调用!AJ$5:AJ$364,MATCH($K33,其他调用!$AG$5:$AG$364,0),0),1)*INDEX(其他调用!AA$5:AA$404,MATCH($K33,其他调用!$X$5:$X$404,0),0)</f>
        <v>31568.001352038071</v>
      </c>
      <c r="AS33" s="12">
        <f>MIN(INDEX(其他调用!$AL$5:$AL$364,MATCH($K33,其他调用!$AG$5:$AG$364,0),1)/INDEX(其他调用!AK$5:AK$364,MATCH($K33,其他调用!$AG$5:$AG$364,0),0),1)*INDEX(其他调用!AB$5:AB$404,MATCH($K33,其他调用!$X$5:$X$404,0),0)</f>
        <v>33644.603013723317</v>
      </c>
      <c r="AT33" s="12">
        <f>MIN(INDEX(其他调用!$AL$5:$AL$364,MATCH($K33,其他调用!$AG$5:$AG$364,0),1)/INDEX(其他调用!AL$5:AL$364,MATCH($K33,其他调用!$AG$5:$AG$364,0),0),1)*INDEX(其他调用!AC$5:AC$404,MATCH($K33,其他调用!$X$5:$X$404,0),0)</f>
        <v>37440.486974100582</v>
      </c>
      <c r="AV33" s="14">
        <f>IF(OR(AV$5="大R",AV$5="超R"),MAX(INDEX(其他调用!$H$5:$L$404,MATCH($K33,其他调用!$B$5:$B$404,0),MATCH(AV$5,其他调用!$H$4:$L$4,0))*120*0.85,2),INDEX(其他调用!$H$5:$L$404,MATCH($K33,其他调用!$B$5:$B$404,0),MATCH(AV$5,其他调用!$H$4:$L$4,0))*120*0.85)</f>
        <v>55.583187742946727</v>
      </c>
      <c r="AW33" s="14">
        <f>IF(OR(AW$5="大R",AW$5="超R"),MAX(INDEX(其他调用!$H$5:$L$404,MATCH($K33,其他调用!$B$5:$B$404,0),MATCH(AW$5,其他调用!$H$4:$L$4,0))*120*0.85,2),INDEX(其他调用!$H$5:$L$404,MATCH($K33,其他调用!$B$5:$B$404,0),MATCH(AW$5,其他调用!$H$4:$L$4,0))*120*0.85)</f>
        <v>41.893260769053271</v>
      </c>
      <c r="AX33" s="14">
        <f>IF(OR(AX$5="大R",AX$5="超R"),MAX(INDEX(其他调用!$H$5:$L$404,MATCH($K33,其他调用!$B$5:$B$404,0),MATCH(AX$5,其他调用!$H$4:$L$4,0))*120*0.85,2),INDEX(其他调用!$H$5:$L$404,MATCH($K33,其他调用!$B$5:$B$404,0),MATCH(AX$5,其他调用!$H$4:$L$4,0))*120*0.85)</f>
        <v>3.7940474879999999</v>
      </c>
      <c r="AY33" s="14">
        <f>IF(OR(AY$5="大R",AY$5="超R"),MAX(INDEX(其他调用!$H$5:$L$404,MATCH($K33,其他调用!$B$5:$B$404,0),MATCH(AY$5,其他调用!$H$4:$L$4,0))*120*0.85,2),INDEX(其他调用!$H$5:$L$404,MATCH($K33,其他调用!$B$5:$B$404,0),MATCH(AY$5,其他调用!$H$4:$L$4,0))*120*0.85)</f>
        <v>2</v>
      </c>
      <c r="AZ33" s="14">
        <f>IF(OR(AZ$5="大R",AZ$5="超R"),MAX(INDEX(其他调用!$H$5:$L$404,MATCH($K33,其他调用!$B$5:$B$404,0),MATCH(AZ$5,其他调用!$H$4:$L$4,0))*120*0.85,2),INDEX(其他调用!$H$5:$L$404,MATCH($K33,其他调用!$B$5:$B$404,0),MATCH(AZ$5,其他调用!$H$4:$L$4,0))*120*0.85)</f>
        <v>2</v>
      </c>
      <c r="BA33" s="14">
        <f>INDEX(其他调用!$H$5:$L$404,MATCH($K33,其他调用!$B$5:$B$404,0),MATCH(BA$5,其他调用!$H$4:$L$4,0))*INDEX(其他调用!$M$5:$M$404,MATCH($K33,其他调用!$B$5:$B$404,0))*0.6</f>
        <v>28.238759655218519</v>
      </c>
      <c r="BB33" s="14">
        <f>INDEX(其他调用!$H$5:$L$404,MATCH($K33,其他调用!$B$5:$B$404,0),MATCH(BB$5,其他调用!$H$4:$L$4,0))*INDEX(其他调用!$M$5:$M$404,MATCH($K33,其他调用!$B$5:$B$404,0))*0.6</f>
        <v>21.28366094261677</v>
      </c>
      <c r="BC33" s="14">
        <f>INDEX(其他调用!$H$5:$L$404,MATCH($K33,其他调用!$B$5:$B$404,0),MATCH(BC$5,其他调用!$H$4:$L$4,0))*INDEX(其他调用!$M$5:$M$404,MATCH($K33,其他调用!$B$5:$B$404,0))*0.6</f>
        <v>1.9275467903999997</v>
      </c>
      <c r="BD33" s="14">
        <f>INDEX(其他调用!$H$5:$L$404,MATCH($K33,其他调用!$B$5:$B$404,0),MATCH(BD$5,其他调用!$H$4:$L$4,0))*INDEX(其他调用!$M$5:$M$404,MATCH($K33,其他调用!$B$5:$B$404,0))*0.6</f>
        <v>0.29755381764705885</v>
      </c>
      <c r="BE33" s="14">
        <f>INDEX(其他调用!$H$5:$L$404,MATCH($K33,其他调用!$B$5:$B$404,0),MATCH(BE$5,其他调用!$H$4:$L$4,0))*INDEX(其他调用!$M$5:$M$404,MATCH($K33,其他调用!$B$5:$B$404,0))*0.6</f>
        <v>7.3067029411764683E-2</v>
      </c>
      <c r="BF33" s="14">
        <f>IF(OR(BF$5="大R",BF$5="超R"),0,INDEX(其他调用!$H$5:$L$404,MATCH($K33,其他调用!$B$5:$B$404,0),MATCH(BF$5,其他调用!$H$4:$L$4,0))*50*0.4)</f>
        <v>10.898664263322889</v>
      </c>
      <c r="BG33" s="14">
        <f>IF(OR(BG$5="大R",BG$5="超R"),0,INDEX(其他调用!$H$5:$L$404,MATCH($K33,其他调用!$B$5:$B$404,0),MATCH(BG$5,其他调用!$H$4:$L$4,0))*50*0.4)</f>
        <v>8.214364856677113</v>
      </c>
      <c r="BH33" s="14">
        <f>IF(OR(BH$5="大R",BH$5="超R"),0,INDEX(其他调用!$H$5:$L$404,MATCH($K33,其他调用!$B$5:$B$404,0),MATCH(BH$5,其他调用!$H$4:$L$4,0))*50*0.4)</f>
        <v>0.74393087999999996</v>
      </c>
      <c r="BI33" s="14">
        <f>IF(OR(BI$5="大R",BI$5="超R"),0,INDEX(其他调用!$H$5:$L$404,MATCH($K33,其他调用!$B$5:$B$404,0),MATCH(BI$5,其他调用!$H$4:$L$4,0))*50*0.4)</f>
        <v>0</v>
      </c>
      <c r="BJ33" s="14">
        <f>IF(OR(BJ$5="大R",BJ$5="超R"),0,INDEX(其他调用!$H$5:$L$404,MATCH($K33,其他调用!$B$5:$B$404,0),MATCH(BJ$5,其他调用!$H$4:$L$4,0))*50*0.4)</f>
        <v>0</v>
      </c>
      <c r="BL33" s="14">
        <f t="shared" si="103"/>
        <v>28</v>
      </c>
      <c r="BM33" s="14">
        <f t="shared" si="10"/>
        <v>96</v>
      </c>
      <c r="BN33" s="14">
        <f>('疲劳值&amp;地图信息'!$S$10*'疲劳值&amp;地图信息'!$R$10+'疲劳值&amp;地图信息'!$S$11*'疲劳值&amp;地图信息'!$R$11+'疲劳值&amp;地图信息'!$S$12*'疲劳值&amp;地图信息'!$R$12+(BM33-'疲劳值&amp;地图信息'!$S$12-'疲劳值&amp;地图信息'!$S$11-'疲劳值&amp;地图信息'!$S$10)*'疲劳值&amp;地图信息'!$R$13)/BM33</f>
        <v>51.371477246638619</v>
      </c>
      <c r="BO33" s="14">
        <f>INDEX(其他调用!$M$5:$M$404,MATCH(BL33,其他调用!$B$5:$B$404,0))*0.6</f>
        <v>51.82058823529411</v>
      </c>
      <c r="BP33" s="14">
        <f>IF(BO33&gt;SUM('疲劳值&amp;地图信息'!$S$10:$S$12),('疲劳值&amp;地图信息'!$S$10*'疲劳值&amp;地图信息'!$R$10+'疲劳值&amp;地图信息'!$S$11*'疲劳值&amp;地图信息'!$R$11+'疲劳值&amp;地图信息'!$S$12*'疲劳值&amp;地图信息'!$R$12+(BO33-'疲劳值&amp;地图信息'!$S$12-'疲劳值&amp;地图信息'!$S$11-'疲劳值&amp;地图信息'!$S$10)*'疲劳值&amp;地图信息'!$R$13)/BO33,('疲劳值&amp;地图信息'!$S$10*'疲劳值&amp;地图信息'!$R$10+'疲劳值&amp;地图信息'!$S$11*'疲劳值&amp;地图信息'!$R$11+'疲劳值&amp;地图信息'!$S$12*'疲劳值&amp;地图信息'!$R$12+(BO33-'疲劳值&amp;地图信息'!$S$12-'疲劳值&amp;地图信息'!$S$11-'疲劳值&amp;地图信息'!$S$10)*'疲劳值&amp;地图信息'!$R$13)/BO33)</f>
        <v>41.1219744622869</v>
      </c>
      <c r="BQ33" s="14">
        <f t="shared" si="104"/>
        <v>20</v>
      </c>
      <c r="BR33" s="14">
        <f>('疲劳值&amp;地图信息'!$S$10*'疲劳值&amp;地图信息'!$R$10+($BQ33-'疲劳值&amp;地图信息'!$S$10)*'疲劳值&amp;地图信息'!$R$11)/$BQ33</f>
        <v>32.067203015074995</v>
      </c>
      <c r="BW33" s="14" t="s">
        <v>465</v>
      </c>
      <c r="BX33" s="14" t="s">
        <v>466</v>
      </c>
      <c r="BY33" s="14" t="s">
        <v>459</v>
      </c>
      <c r="BZ33" s="14" t="s">
        <v>467</v>
      </c>
      <c r="CF33" s="14">
        <v>28</v>
      </c>
      <c r="CG33" s="51">
        <f t="shared" si="11"/>
        <v>4874</v>
      </c>
      <c r="CH33" s="51">
        <f t="shared" si="12"/>
        <v>693</v>
      </c>
      <c r="CI33" s="51">
        <f>INT(SUMPRODUCT($N33:$R33,$BA33:$BE33)/SUM($BA33:$BE33)/10000*$BX$7*$BZ$34/'疲劳值&amp;地图信息'!$R$10*$BY$53)</f>
        <v>2648</v>
      </c>
      <c r="CJ33" s="50">
        <f t="shared" si="13"/>
        <v>0.59330493000608642</v>
      </c>
      <c r="CK33" s="50">
        <f t="shared" si="14"/>
        <v>8.4357881923311021E-2</v>
      </c>
      <c r="CL33" s="50">
        <f t="shared" si="15"/>
        <v>0.32233718807060258</v>
      </c>
      <c r="CM33" s="14">
        <f t="shared" si="16"/>
        <v>5078</v>
      </c>
      <c r="CN33" s="14">
        <f t="shared" si="17"/>
        <v>884</v>
      </c>
      <c r="CO33" s="14">
        <f>INT(SUMPRODUCT($U33:$Y33,$BA33:$BE33)/SUM($BA33:$BE33)/10000*$BX$7*$BZ$34/'疲劳值&amp;地图信息'!$R$10*$BY$54)</f>
        <v>4402</v>
      </c>
      <c r="CP33" s="50">
        <f t="shared" si="18"/>
        <v>0.48996526437668853</v>
      </c>
      <c r="CQ33" s="50">
        <f t="shared" si="19"/>
        <v>8.5295252798147439E-2</v>
      </c>
      <c r="CR33" s="50">
        <f t="shared" si="20"/>
        <v>0.42473948282516405</v>
      </c>
      <c r="CS33" s="14">
        <f t="shared" si="21"/>
        <v>5478</v>
      </c>
      <c r="CT33" s="14">
        <f t="shared" si="22"/>
        <v>1694</v>
      </c>
      <c r="CU33" s="14">
        <f>INT(SUMPRODUCT($AB33:$AF33,$BA33:$BE33)/SUM($BA33:$BE33)/10000*$BX$7*$BZ$34/'疲劳值&amp;地图信息'!$R$10*$BY$55)</f>
        <v>5994</v>
      </c>
      <c r="CV33" s="50">
        <f t="shared" si="23"/>
        <v>0.41607169983290293</v>
      </c>
      <c r="CW33" s="50">
        <f t="shared" si="24"/>
        <v>0.12866474251860854</v>
      </c>
      <c r="CX33" s="50">
        <f t="shared" si="25"/>
        <v>0.45526355764848853</v>
      </c>
      <c r="CY33" s="14">
        <f t="shared" si="26"/>
        <v>6387</v>
      </c>
      <c r="CZ33" s="14">
        <f t="shared" si="27"/>
        <v>3264</v>
      </c>
      <c r="DA33" s="14">
        <f>INT(SUMPRODUCT($AI33:$AM33,$BA33:$BE33)/SUM($BA33:$BE33)/10000*$BX$7*$BZ$34/'疲劳值&amp;地图信息'!$R$10*$BY$56)</f>
        <v>9022</v>
      </c>
      <c r="DB33" s="50">
        <f t="shared" si="28"/>
        <v>0.34204466341776896</v>
      </c>
      <c r="DC33" s="50">
        <f t="shared" si="29"/>
        <v>0.17479783644834787</v>
      </c>
      <c r="DD33" s="50">
        <f t="shared" si="30"/>
        <v>0.48315750013388314</v>
      </c>
      <c r="DE33" s="14">
        <f t="shared" si="31"/>
        <v>6565</v>
      </c>
      <c r="DF33" s="14">
        <f t="shared" si="32"/>
        <v>8471</v>
      </c>
      <c r="DG33" s="14">
        <f>INT(SUMPRODUCT($AP33:$AT33,$BA33:$BE33)/SUM($BA33:$BE33)/10000*$BX$7*$BZ$34/'疲劳值&amp;地图信息'!$R$10*$BY$57)</f>
        <v>12044</v>
      </c>
      <c r="DH33" s="50">
        <f t="shared" si="33"/>
        <v>0.24242983751846381</v>
      </c>
      <c r="DI33" s="50">
        <f t="shared" si="34"/>
        <v>0.31281388478581978</v>
      </c>
      <c r="DJ33" s="50">
        <f t="shared" si="35"/>
        <v>0.44475627769571641</v>
      </c>
      <c r="DL33" s="14">
        <f t="shared" si="106"/>
        <v>8215</v>
      </c>
      <c r="DM33" s="14">
        <f t="shared" si="107"/>
        <v>10364</v>
      </c>
      <c r="DN33" s="14">
        <f t="shared" si="108"/>
        <v>13166</v>
      </c>
      <c r="DO33" s="14">
        <f t="shared" si="109"/>
        <v>18673</v>
      </c>
      <c r="DP33" s="14">
        <f t="shared" si="110"/>
        <v>27080</v>
      </c>
      <c r="DQ33" s="14">
        <f t="shared" si="111"/>
        <v>485478</v>
      </c>
      <c r="DT33" s="14">
        <f t="shared" si="105"/>
        <v>235575</v>
      </c>
      <c r="DU33" s="50">
        <f t="shared" si="7"/>
        <v>0.32670968708264164</v>
      </c>
      <c r="DW33" s="14">
        <f t="shared" si="36"/>
        <v>721053</v>
      </c>
      <c r="EB33" s="14">
        <v>28</v>
      </c>
      <c r="EC33" s="51">
        <f t="shared" si="37"/>
        <v>8124</v>
      </c>
      <c r="ED33" s="51">
        <f t="shared" si="38"/>
        <v>1156</v>
      </c>
      <c r="EE33" s="51">
        <f>INT(SUMPRODUCT($N33:$R33,$BF33:$BJ33)/SUM($BF33:$BJ33)/10000*$BX$7*$BZ$46/'疲劳值&amp;地图信息'!$R$10*$BY$53)</f>
        <v>355</v>
      </c>
      <c r="EF33" s="50">
        <f t="shared" si="39"/>
        <v>0.84317592112091333</v>
      </c>
      <c r="EG33" s="50">
        <f t="shared" si="40"/>
        <v>0.11997924234561494</v>
      </c>
      <c r="EH33" s="50">
        <f t="shared" si="41"/>
        <v>3.6844836533471717E-2</v>
      </c>
      <c r="EI33" s="51">
        <f t="shared" si="42"/>
        <v>8464</v>
      </c>
      <c r="EJ33" s="51">
        <f t="shared" si="43"/>
        <v>1474</v>
      </c>
      <c r="EK33" s="14">
        <f>INT(SUMPRODUCT($U33:$Y33,$BF33:$BJ33)/SUM($BF33:$BJ33)/10000*$BX$7*$BZ$46/'疲劳值&amp;地图信息'!$R$10*$BY$54)</f>
        <v>590</v>
      </c>
      <c r="EL33" s="50">
        <f t="shared" si="44"/>
        <v>0.80395136778115506</v>
      </c>
      <c r="EM33" s="50">
        <f t="shared" si="45"/>
        <v>0.14000759878419453</v>
      </c>
      <c r="EN33" s="50">
        <f t="shared" si="46"/>
        <v>5.6041033434650459E-2</v>
      </c>
      <c r="EO33" s="51">
        <f t="shared" si="47"/>
        <v>9131</v>
      </c>
      <c r="EP33" s="51">
        <f t="shared" si="48"/>
        <v>2823</v>
      </c>
      <c r="EQ33" s="14">
        <f>INT(SUMPRODUCT($AB33:$AF33,$BF33:$BJ33)/SUM($BF33:$BJ33)/10000*$BX$7*$BZ$46/'疲劳值&amp;地图信息'!$R$10*$BY$55)</f>
        <v>802</v>
      </c>
      <c r="ER33" s="50">
        <f t="shared" si="49"/>
        <v>0.71582000627155851</v>
      </c>
      <c r="ES33" s="50">
        <f t="shared" si="50"/>
        <v>0.22130761994355597</v>
      </c>
      <c r="ET33" s="50">
        <f t="shared" si="51"/>
        <v>6.2872373784885541E-2</v>
      </c>
      <c r="EU33" s="51">
        <f t="shared" si="52"/>
        <v>10645</v>
      </c>
      <c r="EV33" s="51">
        <f t="shared" si="53"/>
        <v>5440</v>
      </c>
      <c r="EW33" s="14">
        <f>INT(SUMPRODUCT($AI33:$AM33,$BF33:$BJ33)/SUM($BF33:$BJ33)/10000*$BX$7*$BZ$46/'疲劳值&amp;地图信息'!$R$10*$BY$56)</f>
        <v>1203</v>
      </c>
      <c r="EX33" s="50">
        <f t="shared" si="54"/>
        <v>0.61574502545118004</v>
      </c>
      <c r="EY33" s="50">
        <f t="shared" si="55"/>
        <v>0.31466913465987967</v>
      </c>
      <c r="EZ33" s="50">
        <f t="shared" si="56"/>
        <v>6.9585839888940307E-2</v>
      </c>
      <c r="FA33" s="51">
        <f t="shared" si="57"/>
        <v>10941</v>
      </c>
      <c r="FB33" s="51">
        <f t="shared" si="58"/>
        <v>14119</v>
      </c>
      <c r="FC33" s="14">
        <f>INT(SUMPRODUCT($AP33:$AT33,$BF33:$BJ33)/SUM($BF33:$BJ33)/10000*$BX$7*$BZ$46/'疲劳值&amp;地图信息'!$R$10*$BY$57)</f>
        <v>1604</v>
      </c>
      <c r="FD33" s="50">
        <f t="shared" si="59"/>
        <v>0.41032853285328535</v>
      </c>
      <c r="FE33" s="50">
        <f t="shared" si="60"/>
        <v>0.52951545154515456</v>
      </c>
      <c r="FF33" s="50">
        <f t="shared" si="61"/>
        <v>6.0156015601560156E-2</v>
      </c>
      <c r="FH33" s="14">
        <f t="shared" si="62"/>
        <v>9635</v>
      </c>
      <c r="FI33" s="14">
        <f t="shared" si="63"/>
        <v>10528</v>
      </c>
      <c r="FJ33" s="14">
        <f t="shared" si="64"/>
        <v>12756</v>
      </c>
      <c r="FK33" s="14">
        <f t="shared" si="65"/>
        <v>17288</v>
      </c>
      <c r="FL33" s="14">
        <f t="shared" si="66"/>
        <v>26664</v>
      </c>
      <c r="FM33" s="14">
        <f t="shared" si="67"/>
        <v>1112897</v>
      </c>
      <c r="FP33" s="14">
        <f t="shared" si="68"/>
        <v>334150</v>
      </c>
      <c r="FQ33" s="50">
        <f t="shared" si="8"/>
        <v>0.23091855344021306</v>
      </c>
      <c r="FS33" s="14">
        <f t="shared" si="69"/>
        <v>1447047</v>
      </c>
      <c r="FX33" s="14">
        <v>28</v>
      </c>
      <c r="FY33" s="51">
        <f t="shared" si="70"/>
        <v>11374</v>
      </c>
      <c r="FZ33" s="51">
        <f t="shared" si="71"/>
        <v>1156</v>
      </c>
      <c r="GA33" s="51">
        <f>INT(SUMPRODUCT($N33:$R33,$BF33:$BJ33)/SUM($BF33:$BJ33)/10000*$BX$7*$BZ$46/'疲劳值&amp;地图信息'!$R$10*$BY$53)</f>
        <v>355</v>
      </c>
      <c r="GB33" s="50">
        <f t="shared" si="72"/>
        <v>0.8827318587504851</v>
      </c>
      <c r="GC33" s="50">
        <f t="shared" si="73"/>
        <v>8.9716724873884365E-2</v>
      </c>
      <c r="GD33" s="50">
        <f t="shared" si="74"/>
        <v>2.7551416375630577E-2</v>
      </c>
      <c r="GE33" s="51">
        <f t="shared" si="75"/>
        <v>11850</v>
      </c>
      <c r="GF33" s="51">
        <f t="shared" si="76"/>
        <v>1474</v>
      </c>
      <c r="GG33" s="14">
        <f>INT(SUMPRODUCT($U33:$Y33,$BF33:$BJ33)/SUM($BF33:$BJ33)/10000*$BX$7*$BZ$46/'疲劳值&amp;地图信息'!$R$10*$BY$54)</f>
        <v>590</v>
      </c>
      <c r="GH33" s="50">
        <f t="shared" si="77"/>
        <v>0.85166019836136264</v>
      </c>
      <c r="GI33" s="50">
        <f t="shared" si="78"/>
        <v>0.10593646686790283</v>
      </c>
      <c r="GJ33" s="50">
        <f t="shared" si="79"/>
        <v>4.2403334770734512E-2</v>
      </c>
      <c r="GK33" s="51">
        <f t="shared" si="80"/>
        <v>12783</v>
      </c>
      <c r="GL33" s="51">
        <f t="shared" si="81"/>
        <v>2823</v>
      </c>
      <c r="GM33" s="14">
        <f>INT(SUMPRODUCT($AB33:$AF33,$BF33:$BJ33)/SUM($BF33:$BJ33)/10000*$BX$7*$BZ$46/'疲劳值&amp;地图信息'!$R$10*$BY$55)</f>
        <v>802</v>
      </c>
      <c r="GN33" s="50">
        <f t="shared" si="82"/>
        <v>0.77907118478790838</v>
      </c>
      <c r="GO33" s="50">
        <f t="shared" si="83"/>
        <v>0.17205021940516821</v>
      </c>
      <c r="GP33" s="50">
        <f t="shared" si="84"/>
        <v>4.8878595806923449E-2</v>
      </c>
      <c r="GQ33" s="51">
        <f t="shared" si="85"/>
        <v>14903</v>
      </c>
      <c r="GR33" s="51">
        <f t="shared" si="86"/>
        <v>5440</v>
      </c>
      <c r="GS33" s="14">
        <f>INT(SUMPRODUCT($AI33:$AM33,$BF33:$BJ33)/SUM($BF33:$BJ33)/10000*$BX$7*$BZ$46/'疲劳值&amp;地图信息'!$R$10*$BY$56)</f>
        <v>1203</v>
      </c>
      <c r="GT33" s="50">
        <f t="shared" si="87"/>
        <v>0.69168291098115664</v>
      </c>
      <c r="GU33" s="50">
        <f t="shared" si="88"/>
        <v>0.25248305950060335</v>
      </c>
      <c r="GV33" s="50">
        <f t="shared" si="89"/>
        <v>5.5834029518240041E-2</v>
      </c>
      <c r="GW33" s="51">
        <f t="shared" si="90"/>
        <v>15318</v>
      </c>
      <c r="GX33" s="51">
        <f t="shared" si="91"/>
        <v>14119</v>
      </c>
      <c r="GY33" s="14">
        <f>INT(SUMPRODUCT($AP33:$AT33,$BF33:$BJ33)/SUM($BF33:$BJ33)/10000*$BX$7*$BZ$46/'疲劳值&amp;地图信息'!$R$10*$BY$57)</f>
        <v>1604</v>
      </c>
      <c r="GZ33" s="50">
        <f t="shared" si="92"/>
        <v>0.49347636996230793</v>
      </c>
      <c r="HA33" s="50">
        <f t="shared" si="93"/>
        <v>0.45485003704777555</v>
      </c>
      <c r="HB33" s="50">
        <f t="shared" si="94"/>
        <v>5.1673592989916563E-2</v>
      </c>
      <c r="HD33" s="14">
        <f t="shared" si="95"/>
        <v>12885</v>
      </c>
      <c r="HE33" s="14">
        <f t="shared" si="96"/>
        <v>13914</v>
      </c>
      <c r="HF33" s="14">
        <f t="shared" si="97"/>
        <v>16408</v>
      </c>
      <c r="HG33" s="14">
        <f t="shared" si="98"/>
        <v>21546</v>
      </c>
      <c r="HH33" s="14">
        <f t="shared" si="99"/>
        <v>31041</v>
      </c>
      <c r="HI33" s="14">
        <f t="shared" si="100"/>
        <v>1466518</v>
      </c>
      <c r="HL33" s="14">
        <f t="shared" si="101"/>
        <v>430050</v>
      </c>
      <c r="HM33" s="50">
        <f t="shared" si="9"/>
        <v>0.22675169042185675</v>
      </c>
      <c r="HO33" s="14">
        <f t="shared" si="102"/>
        <v>1896568</v>
      </c>
    </row>
    <row r="34" spans="3:223" x14ac:dyDescent="0.2">
      <c r="C34" s="1" t="s">
        <v>430</v>
      </c>
      <c r="D34" s="1" t="s">
        <v>435</v>
      </c>
      <c r="K34" s="14">
        <v>29</v>
      </c>
      <c r="L34" s="12">
        <f>求节点(节奏总纲!D$4:D$163,标准城池设计!AB$4:AB$163,$K34)*求节点(节奏总纲!D$4:D$163,攻城基础信息!$AC$5:$AC$164,$K34)</f>
        <v>227474.90055745482</v>
      </c>
      <c r="M34" s="12">
        <f>INDEX(其他调用!$AA$5:$AA$404,MATCH(K34,其他调用!$X$5:$X$404,0))*MIN(INDEX(其他调用!$AH$5:$AH$364,MATCH('征服点（新）'!K34,其他调用!$AG$5:$AG$364,0),1)/INDEX(其他调用!$AJ$5:$AJ$364,MATCH(K34,其他调用!$AG$5:$AG$364,0),0),5)*求节点(节奏总纲!D$4:D$163,攻城基础信息!$AC$5:$AC$164,$K34)</f>
        <v>31967.874662033901</v>
      </c>
      <c r="N34" s="12">
        <f>MIN(INDEX(其他调用!$AH$5:$AH$364,MATCH($K34,其他调用!$AG$5:$AG$364,0),1)/INDEX(其他调用!AH$5:AH$364,MATCH($K34,其他调用!$AG$5:$AG$364,0),0),1)*INDEX(其他调用!Y$5:Y$404,MATCH($K34,其他调用!$X$5:$X$404,0),0)</f>
        <v>29305.884936116148</v>
      </c>
      <c r="O34" s="12">
        <f>MIN(INDEX(其他调用!$AH$5:$AH$364,MATCH($K34,其他调用!$AG$5:$AG$364,0),1)/INDEX(其他调用!AI$5:AI$364,MATCH($K34,其他调用!$AG$5:$AG$364,0),0),1)*INDEX(其他调用!Z$5:Z$404,MATCH($K34,其他调用!$X$5:$X$404,0),0)</f>
        <v>23418.998450789994</v>
      </c>
      <c r="P34" s="12">
        <f>MIN(INDEX(其他调用!$AH$5:$AH$364,MATCH($K34,其他调用!$AG$5:$AG$364,0),1)/INDEX(其他调用!AJ$5:AJ$364,MATCH($K34,其他调用!$AG$5:$AG$364,0),0),1)*INDEX(其他调用!AA$5:AA$404,MATCH($K34,其他调用!$X$5:$X$404,0),0)</f>
        <v>12948.277432573155</v>
      </c>
      <c r="Q34" s="12">
        <f>MIN(INDEX(其他调用!$AH$5:$AH$364,MATCH($K34,其他调用!$AG$5:$AG$364,0),1)/INDEX(其他调用!AK$5:AK$364,MATCH($K34,其他调用!$AG$5:$AG$364,0),0),1)*INDEX(其他调用!AB$5:AB$404,MATCH($K34,其他调用!$X$5:$X$404,0),0)</f>
        <v>7078.5760146860575</v>
      </c>
      <c r="R34" s="12">
        <f>MIN(INDEX(其他调用!$AH$5:$AH$364,MATCH($K34,其他调用!$AG$5:$AG$364,0),1)/INDEX(其他调用!AL$5:AL$364,MATCH($K34,其他调用!$AG$5:$AG$364,0),0),1)*INDEX(其他调用!AC$5:AC$404,MATCH($K34,其他调用!$X$5:$X$404,0),0)</f>
        <v>2267.3636746799762</v>
      </c>
      <c r="S34" s="12">
        <f>求节点(节奏总纲!D$4:D$163,标准城池设计!AC$4:AC$163,$K34)*求节点(节奏总纲!D$4:D$163,攻城基础信息!$AD$5:$AD$164,$K34)</f>
        <v>236730.2473368544</v>
      </c>
      <c r="T34" s="12">
        <f>INDEX(其他调用!$AA$5:$AA$404,MATCH($K34,其他调用!$X$5:$X$404,0))*MIN(INDEX(其他调用!AI$5:AI$364,MATCH($K34,其他调用!$AG$5:$AG$364,0),1)/INDEX(其他调用!$AJ$5:$AJ$364,MATCH($K34,其他调用!$AG$5:$AG$364,0),0),5)*求节点(节奏总纲!D$4:D$163,攻城基础信息!$AD$5:$AD$164,$K34)</f>
        <v>41442.601158906771</v>
      </c>
      <c r="U34" s="12">
        <f>MIN(INDEX(其他调用!$AI$5:$AI$364,MATCH($K34,其他调用!$AG$5:$AG$364,0),1)/INDEX(其他调用!AH$5:AH$364,MATCH($K34,其他调用!$AG$5:$AG$364,0),0),1)*INDEX(其他调用!Y$5:Y$404,MATCH($K34,其他调用!$X$5:$X$404,0),0)</f>
        <v>29305.884936116148</v>
      </c>
      <c r="V34" s="12">
        <f>MIN(INDEX(其他调用!$AI$5:$AI$364,MATCH($K34,其他调用!$AG$5:$AG$364,0),1)/INDEX(其他调用!AI$5:AI$364,MATCH($K34,其他调用!$AG$5:$AG$364,0),0),1)*INDEX(其他调用!Z$5:Z$404,MATCH($K34,其他调用!$X$5:$X$404,0),0)</f>
        <v>30359.985535409884</v>
      </c>
      <c r="W34" s="12">
        <f>MIN(INDEX(其他调用!$AI$5:$AI$364,MATCH($K34,其他调用!$AG$5:$AG$364,0),1)/INDEX(其他调用!AJ$5:AJ$364,MATCH($K34,其他调用!$AG$5:$AG$364,0),0),1)*INDEX(其他调用!AA$5:AA$404,MATCH($K34,其他调用!$X$5:$X$404,0),0)</f>
        <v>16785.923462415805</v>
      </c>
      <c r="X34" s="12">
        <f>MIN(INDEX(其他调用!$AI$5:$AI$364,MATCH($K34,其他调用!$AG$5:$AG$364,0),1)/INDEX(其他调用!AK$5:AK$364,MATCH($K34,其他调用!$AG$5:$AG$364,0),0),1)*INDEX(其他调用!AB$5:AB$404,MATCH($K34,其他调用!$X$5:$X$404,0),0)</f>
        <v>9176.5438162842802</v>
      </c>
      <c r="Y34" s="12">
        <f>MIN(INDEX(其他调用!$AI$5:$AI$364,MATCH($K34,其他调用!$AG$5:$AG$364,0),1)/INDEX(其他调用!AL$5:AL$364,MATCH($K34,其他调用!$AG$5:$AG$364,0),0),1)*INDEX(其他调用!AC$5:AC$404,MATCH($K34,其他调用!$X$5:$X$404,0),0)</f>
        <v>2939.3711482343851</v>
      </c>
      <c r="Z34" s="12">
        <f>求节点(节奏总纲!D$4:D$163,标准城池设计!AD$4:AD$163,$K34)*求节点(节奏总纲!D$4:D$163,攻城基础信息!$AE$5:$AE$164,$K34)</f>
        <v>255595.80394601999</v>
      </c>
      <c r="AA34" s="12">
        <f>INDEX(其他调用!$AA$5:$AA$404,MATCH($K34,其他调用!$X$5:$X$404,0))*MIN(INDEX(其他调用!AJ$5:AJ$364,MATCH($K34,其他调用!$AG$5:$AG$364,0),1)/INDEX(其他调用!$AJ$5:$AJ$364,MATCH($K34,其他调用!$AG$5:$AG$364,0),0),5)*求节点(节奏总纲!D$4:D$163,攻城基础信息!$AE$5:$AE$164,$K34)</f>
        <v>78397.42795588891</v>
      </c>
      <c r="AB34" s="12">
        <f>MIN(INDEX(其他调用!$AJ$5:$AJ$364,MATCH($K34,其他调用!$AG$5:$AG$364,0),1)/INDEX(其他调用!AH$5:AH$364,MATCH($K34,其他调用!$AG$5:$AG$364,0),0),1)*INDEX(其他调用!Y$5:Y$404,MATCH($K34,其他调用!$X$5:$X$404,0),0)</f>
        <v>29305.884936116148</v>
      </c>
      <c r="AC34" s="12">
        <f>MIN(INDEX(其他调用!$AJ$5:$AJ$364,MATCH($K34,其他调用!$AG$5:$AG$364,0),1)/INDEX(其他调用!AI$5:AI$364,MATCH($K34,其他调用!$AG$5:$AG$364,0),0),1)*INDEX(其他调用!Z$5:Z$404,MATCH($K34,其他调用!$X$5:$X$404,0),0)</f>
        <v>30359.985535409884</v>
      </c>
      <c r="AD34" s="12">
        <f>MIN(INDEX(其他调用!$AJ$5:$AJ$364,MATCH($K34,其他调用!$AG$5:$AG$364,0),1)/INDEX(其他调用!AJ$5:AJ$364,MATCH($K34,其他调用!$AG$5:$AG$364,0),0),1)*INDEX(其他调用!AA$5:AA$404,MATCH($K34,其他调用!$X$5:$X$404,0),0)</f>
        <v>31754.117466513846</v>
      </c>
      <c r="AE34" s="12">
        <f>MIN(INDEX(其他调用!$AJ$5:$AJ$364,MATCH($K34,其他调用!$AG$5:$AG$364,0),1)/INDEX(其他调用!AK$5:AK$364,MATCH($K34,其他调用!$AG$5:$AG$364,0),0),1)*INDEX(其他调用!AB$5:AB$404,MATCH($K34,其他调用!$X$5:$X$404,0),0)</f>
        <v>17359.369648702388</v>
      </c>
      <c r="AF34" s="12">
        <f>MIN(INDEX(其他调用!$AJ$5:$AJ$364,MATCH($K34,其他调用!$AG$5:$AG$364,0),1)/INDEX(其他调用!AL$5:AL$364,MATCH($K34,其他调用!$AG$5:$AG$364,0),0),1)*INDEX(其他调用!AC$5:AC$404,MATCH($K34,其他调用!$X$5:$X$404,0),0)</f>
        <v>5560.4409806646054</v>
      </c>
      <c r="AG34" s="12">
        <f>求节点(节奏总纲!D$4:D$163,标准城池设计!AE$4:AE$163,$K34)*求节点(节奏总纲!D$4:D$163,攻城基础信息!$AF$5:$AF$164,$K34)</f>
        <v>297775.73421910999</v>
      </c>
      <c r="AH34" s="12">
        <f>INDEX(其他调用!$AA$5:$AA$404,MATCH($K34,其他调用!$X$5:$X$404,0))*MIN(INDEX(其他调用!AK$5:AK$364,MATCH($K34,其他调用!$AG$5:$AG$364,0),1)/INDEX(其他调用!$AJ$5:$AJ$364,MATCH($K34,其他调用!$AG$5:$AG$364,0),0),5)*求节点(节奏总纲!D$4:D$163,攻城基础信息!$AF$5:$AF$164,$K34)</f>
        <v>152860.28565606137</v>
      </c>
      <c r="AI34" s="12">
        <f>MIN(INDEX(其他调用!$AK$5:$AK$364,MATCH($K34,其他调用!$AG$5:$AG$364,0),1)/INDEX(其他调用!AH$5:AH$364,MATCH($K34,其他调用!$AG$5:$AG$364,0),0),1)*INDEX(其他调用!Y$5:Y$404,MATCH($K34,其他调用!$X$5:$X$404,0),0)</f>
        <v>29305.884936116148</v>
      </c>
      <c r="AJ34" s="12">
        <f>MIN(INDEX(其他调用!$AK$5:$AK$364,MATCH($K34,其他调用!$AG$5:$AG$364,0),1)/INDEX(其他调用!AI$5:AI$364,MATCH($K34,其他调用!$AG$5:$AG$364,0),0),1)*INDEX(其他调用!Z$5:Z$404,MATCH($K34,其他调用!$X$5:$X$404,0),0)</f>
        <v>30359.985535409884</v>
      </c>
      <c r="AK34" s="12">
        <f>MIN(INDEX(其他调用!$AK$5:$AK$364,MATCH($K34,其他调用!$AG$5:$AG$364,0),1)/INDEX(其他调用!AJ$5:AJ$364,MATCH($K34,其他调用!$AG$5:$AG$364,0),0),1)*INDEX(其他调用!AA$5:AA$404,MATCH($K34,其他调用!$X$5:$X$404,0),0)</f>
        <v>31754.117466513846</v>
      </c>
      <c r="AL34" s="12">
        <f>MIN(INDEX(其他调用!$AK$5:$AK$364,MATCH($K34,其他调用!$AG$5:$AG$364,0),1)/INDEX(其他调用!AK$5:AK$364,MATCH($K34,其他调用!$AG$5:$AG$364,0),0),1)*INDEX(其他调用!AB$5:AB$404,MATCH($K34,其他调用!$X$5:$X$404,0),0)</f>
        <v>33847.516079262954</v>
      </c>
      <c r="AM34" s="12">
        <f>MIN(INDEX(其他调用!$AK$5:$AK$364,MATCH($K34,其他调用!$AG$5:$AG$364,0),1)/INDEX(其他调用!AL$5:AL$364,MATCH($K34,其他调用!$AG$5:$AG$364,0),0),1)*INDEX(其他调用!AC$5:AC$404,MATCH($K34,其他调用!$X$5:$X$404,0),0)</f>
        <v>10841.81737641069</v>
      </c>
      <c r="AN34" s="12">
        <f>求节点(节奏总纲!D$4:D$163,标准城池设计!AF$4:AF$163,$K34)*求节点(节奏总纲!D$4:D$163,攻城基础信息!$AG$5:$AG$164,$K34)</f>
        <v>305802.00445745856</v>
      </c>
      <c r="AO34" s="12">
        <f>INDEX(其他调用!$AA$5:$AA$404,MATCH($K34,其他调用!$X$5:$X$404,0))*MIN(INDEX(其他调用!AL$5:AL$364,MATCH($K34,其他调用!$AG$5:$AG$364,0),1)/INDEX(其他调用!$AJ$5:$AJ$364,MATCH($K34,其他调用!$AG$5:$AG$364,0),0),5)*求节点(节奏总纲!D$4:D$163,攻城基础信息!$AG$5:$AG$164,$K34)</f>
        <v>391987.13977944455</v>
      </c>
      <c r="AP34" s="12">
        <f>MIN(INDEX(其他调用!$AL$5:$AL$364,MATCH($K34,其他调用!$AG$5:$AG$364,0),1)/INDEX(其他调用!AH$5:AH$364,MATCH($K34,其他调用!$AG$5:$AG$364,0),0),1)*INDEX(其他调用!Y$5:Y$404,MATCH($K34,其他调用!$X$5:$X$404,0),0)</f>
        <v>29305.884936116148</v>
      </c>
      <c r="AQ34" s="12">
        <f>MIN(INDEX(其他调用!$AL$5:$AL$364,MATCH($K34,其他调用!$AG$5:$AG$364,0),1)/INDEX(其他调用!AI$5:AI$364,MATCH($K34,其他调用!$AG$5:$AG$364,0),0),1)*INDEX(其他调用!Z$5:Z$404,MATCH($K34,其他调用!$X$5:$X$404,0),0)</f>
        <v>30359.985535409884</v>
      </c>
      <c r="AR34" s="12">
        <f>MIN(INDEX(其他调用!$AL$5:$AL$364,MATCH($K34,其他调用!$AG$5:$AG$364,0),1)/INDEX(其他调用!AJ$5:AJ$364,MATCH($K34,其他调用!$AG$5:$AG$364,0),0),1)*INDEX(其他调用!AA$5:AA$404,MATCH($K34,其他调用!$X$5:$X$404,0),0)</f>
        <v>31754.117466513846</v>
      </c>
      <c r="AS34" s="12">
        <f>MIN(INDEX(其他调用!$AL$5:$AL$364,MATCH($K34,其他调用!$AG$5:$AG$364,0),1)/INDEX(其他调用!AK$5:AK$364,MATCH($K34,其他调用!$AG$5:$AG$364,0),0),1)*INDEX(其他调用!AB$5:AB$404,MATCH($K34,其他调用!$X$5:$X$404,0),0)</f>
        <v>33847.516079262954</v>
      </c>
      <c r="AT34" s="12">
        <f>MIN(INDEX(其他调用!$AL$5:$AL$364,MATCH($K34,其他调用!$AG$5:$AG$364,0),1)/INDEX(其他调用!AL$5:AL$364,MATCH($K34,其他调用!$AG$5:$AG$364,0),0),1)*INDEX(其他调用!AC$5:AC$404,MATCH($K34,其他调用!$X$5:$X$404,0),0)</f>
        <v>37641.954801075539</v>
      </c>
      <c r="AV34" s="14">
        <f>IF(OR(AV$5="大R",AV$5="超R"),MAX(INDEX(其他调用!$H$5:$L$404,MATCH($K34,其他调用!$B$5:$B$404,0),MATCH(AV$5,其他调用!$H$4:$L$4,0))*120*0.85,2),INDEX(其他调用!$H$5:$L$404,MATCH($K34,其他调用!$B$5:$B$404,0),MATCH(AV$5,其他调用!$H$4:$L$4,0))*120*0.85)</f>
        <v>55.168857507837018</v>
      </c>
      <c r="AW34" s="14">
        <f>IF(OR(AW$5="大R",AW$5="超R"),MAX(INDEX(其他调用!$H$5:$L$404,MATCH($K34,其他调用!$B$5:$B$404,0),MATCH(AW$5,其他调用!$H$4:$L$4,0))*120*0.85,2),INDEX(其他调用!$H$5:$L$404,MATCH($K34,其他调用!$B$5:$B$404,0),MATCH(AW$5,其他调用!$H$4:$L$4,0))*120*0.85)</f>
        <v>42.298034012162987</v>
      </c>
      <c r="AX34" s="14">
        <f>IF(OR(AX$5="大R",AX$5="超R"),MAX(INDEX(其他调用!$H$5:$L$404,MATCH($K34,其他调用!$B$5:$B$404,0),MATCH(AX$5,其他调用!$H$4:$L$4,0))*120*0.85,2),INDEX(其他调用!$H$5:$L$404,MATCH($K34,其他调用!$B$5:$B$404,0),MATCH(AX$5,其他调用!$H$4:$L$4,0))*120*0.85)</f>
        <v>3.7987084800000002</v>
      </c>
      <c r="AY34" s="14">
        <f>IF(OR(AY$5="大R",AY$5="超R"),MAX(INDEX(其他调用!$H$5:$L$404,MATCH($K34,其他调用!$B$5:$B$404,0),MATCH(AY$5,其他调用!$H$4:$L$4,0))*120*0.85,2),INDEX(其他调用!$H$5:$L$404,MATCH($K34,其他调用!$B$5:$B$404,0),MATCH(AY$5,其他调用!$H$4:$L$4,0))*120*0.85)</f>
        <v>2</v>
      </c>
      <c r="AZ34" s="14">
        <f>IF(OR(AZ$5="大R",AZ$5="超R"),MAX(INDEX(其他调用!$H$5:$L$404,MATCH($K34,其他调用!$B$5:$B$404,0),MATCH(AZ$5,其他调用!$H$4:$L$4,0))*120*0.85,2),INDEX(其他调用!$H$5:$L$404,MATCH($K34,其他调用!$B$5:$B$404,0),MATCH(AZ$5,其他调用!$H$4:$L$4,0))*120*0.85)</f>
        <v>2</v>
      </c>
      <c r="BA34" s="14">
        <f>INDEX(其他调用!$H$5:$L$404,MATCH($K34,其他调用!$B$5:$B$404,0),MATCH(BA$5,其他调用!$H$4:$L$4,0))*INDEX(其他调用!$M$5:$M$404,MATCH($K34,其他调用!$B$5:$B$404,0))*0.6</f>
        <v>28.147571071040026</v>
      </c>
      <c r="BB34" s="14">
        <f>INDEX(其他调用!$H$5:$L$404,MATCH($K34,其他调用!$B$5:$B$404,0),MATCH(BB$5,其他调用!$H$4:$L$4,0))*INDEX(其他调用!$M$5:$M$404,MATCH($K34,其他调用!$B$5:$B$404,0))*0.6</f>
        <v>21.580778944959974</v>
      </c>
      <c r="BC34" s="14">
        <f>INDEX(其他调用!$H$5:$L$404,MATCH($K34,其他调用!$B$5:$B$404,0),MATCH(BC$5,其他调用!$H$4:$L$4,0))*INDEX(其他调用!$M$5:$M$404,MATCH($K34,其他调用!$B$5:$B$404,0))*0.6</f>
        <v>1.9381299839999999</v>
      </c>
      <c r="BD34" s="14">
        <f>INDEX(其他调用!$H$5:$L$404,MATCH($K34,其他调用!$B$5:$B$404,0),MATCH(BD$5,其他调用!$H$4:$L$4,0))*INDEX(其他调用!$M$5:$M$404,MATCH($K34,其他调用!$B$5:$B$404,0))*0.6</f>
        <v>0.30053779411764714</v>
      </c>
      <c r="BE34" s="14">
        <f>INDEX(其他调用!$H$5:$L$404,MATCH($K34,其他调用!$B$5:$B$404,0),MATCH(BE$5,其他调用!$H$4:$L$4,0))*INDEX(其他调用!$M$5:$M$404,MATCH($K34,其他调用!$B$5:$B$404,0))*0.6</f>
        <v>7.4158676470588228E-2</v>
      </c>
      <c r="BF34" s="14">
        <f>IF(OR(BF$5="大R",BF$5="超R"),0,INDEX(其他调用!$H$5:$L$404,MATCH($K34,其他调用!$B$5:$B$404,0),MATCH(BF$5,其他调用!$H$4:$L$4,0))*50*0.4)</f>
        <v>10.817423040752358</v>
      </c>
      <c r="BG34" s="14">
        <f>IF(OR(BG$5="大R",BG$5="超R"),0,INDEX(其他调用!$H$5:$L$404,MATCH($K34,其他调用!$B$5:$B$404,0),MATCH(BG$5,其他调用!$H$4:$L$4,0))*50*0.4)</f>
        <v>8.2937321592476447</v>
      </c>
      <c r="BH34" s="14">
        <f>IF(OR(BH$5="大R",BH$5="超R"),0,INDEX(其他调用!$H$5:$L$404,MATCH($K34,其他调用!$B$5:$B$404,0),MATCH(BH$5,其他调用!$H$4:$L$4,0))*50*0.4)</f>
        <v>0.74484480000000008</v>
      </c>
      <c r="BI34" s="14">
        <f>IF(OR(BI$5="大R",BI$5="超R"),0,INDEX(其他调用!$H$5:$L$404,MATCH($K34,其他调用!$B$5:$B$404,0),MATCH(BI$5,其他调用!$H$4:$L$4,0))*50*0.4)</f>
        <v>0</v>
      </c>
      <c r="BJ34" s="14">
        <f>IF(OR(BJ$5="大R",BJ$5="超R"),0,INDEX(其他调用!$H$5:$L$404,MATCH($K34,其他调用!$B$5:$B$404,0),MATCH(BJ$5,其他调用!$H$4:$L$4,0))*50*0.4)</f>
        <v>0</v>
      </c>
      <c r="BL34" s="14">
        <f t="shared" si="103"/>
        <v>29</v>
      </c>
      <c r="BM34" s="14">
        <f t="shared" si="10"/>
        <v>96</v>
      </c>
      <c r="BN34" s="14">
        <f>('疲劳值&amp;地图信息'!$S$10*'疲劳值&amp;地图信息'!$R$10+'疲劳值&amp;地图信息'!$S$11*'疲劳值&amp;地图信息'!$R$11+'疲劳值&amp;地图信息'!$S$12*'疲劳值&amp;地图信息'!$R$12+(BM34-'疲劳值&amp;地图信息'!$S$12-'疲劳值&amp;地图信息'!$S$11-'疲劳值&amp;地图信息'!$S$10)*'疲劳值&amp;地图信息'!$R$13)/BM34</f>
        <v>51.371477246638619</v>
      </c>
      <c r="BO34" s="14">
        <f>INDEX(其他调用!$M$5:$M$404,MATCH(BL34,其他调用!$B$5:$B$404,0))*0.6</f>
        <v>52.041176470588233</v>
      </c>
      <c r="BP34" s="14">
        <f>IF(BO34&gt;SUM('疲劳值&amp;地图信息'!$S$10:$S$12),('疲劳值&amp;地图信息'!$S$10*'疲劳值&amp;地图信息'!$R$10+'疲劳值&amp;地图信息'!$S$11*'疲劳值&amp;地图信息'!$R$11+'疲劳值&amp;地图信息'!$S$12*'疲劳值&amp;地图信息'!$R$12+(BO34-'疲劳值&amp;地图信息'!$S$12-'疲劳值&amp;地图信息'!$S$11-'疲劳值&amp;地图信息'!$S$10)*'疲劳值&amp;地图信息'!$R$13)/BO34,('疲劳值&amp;地图信息'!$S$10*'疲劳值&amp;地图信息'!$R$10+'疲劳值&amp;地图信息'!$S$11*'疲劳值&amp;地图信息'!$R$11+'疲劳值&amp;地图信息'!$S$12*'疲劳值&amp;地图信息'!$R$12+(BO34-'疲劳值&amp;地图信息'!$S$12-'疲劳值&amp;地图信息'!$S$11-'疲劳值&amp;地图信息'!$S$10)*'疲劳值&amp;地图信息'!$R$13)/BO34)</f>
        <v>41.216378233167177</v>
      </c>
      <c r="BQ34" s="14">
        <f t="shared" si="104"/>
        <v>20</v>
      </c>
      <c r="BR34" s="14">
        <f>('疲劳值&amp;地图信息'!$S$10*'疲劳值&amp;地图信息'!$R$10+($BQ34-'疲劳值&amp;地图信息'!$S$10)*'疲劳值&amp;地图信息'!$R$11)/$BQ34</f>
        <v>32.067203015074995</v>
      </c>
      <c r="BW34" s="14" t="s">
        <v>468</v>
      </c>
      <c r="BX34" s="14">
        <v>900</v>
      </c>
      <c r="BY34" s="14">
        <v>450</v>
      </c>
      <c r="BZ34" s="14">
        <f>3600-BX34-BY34</f>
        <v>2250</v>
      </c>
      <c r="CF34" s="14">
        <v>29</v>
      </c>
      <c r="CG34" s="51">
        <f t="shared" si="11"/>
        <v>4967</v>
      </c>
      <c r="CH34" s="51">
        <f t="shared" si="12"/>
        <v>698</v>
      </c>
      <c r="CI34" s="51">
        <f>INT(SUMPRODUCT($N34:$R34,$BA34:$BE34)/SUM($BA34:$BE34)/10000*$BX$7*$BZ$34/'疲劳值&amp;地图信息'!$R$10*$BY$53)</f>
        <v>2647</v>
      </c>
      <c r="CJ34" s="50">
        <f t="shared" si="13"/>
        <v>0.5975697786333013</v>
      </c>
      <c r="CK34" s="50">
        <f t="shared" si="14"/>
        <v>8.3974975938402308E-2</v>
      </c>
      <c r="CL34" s="50">
        <f t="shared" si="15"/>
        <v>0.31845524542829645</v>
      </c>
      <c r="CM34" s="14">
        <f t="shared" si="16"/>
        <v>5169</v>
      </c>
      <c r="CN34" s="14">
        <f t="shared" si="17"/>
        <v>904</v>
      </c>
      <c r="CO34" s="14">
        <f>INT(SUMPRODUCT($U34:$Y34,$BA34:$BE34)/SUM($BA34:$BE34)/10000*$BX$7*$BZ$34/'疲劳值&amp;地图信息'!$R$10*$BY$54)</f>
        <v>4432</v>
      </c>
      <c r="CP34" s="50">
        <f t="shared" si="18"/>
        <v>0.4920514040932889</v>
      </c>
      <c r="CQ34" s="50">
        <f t="shared" si="19"/>
        <v>8.60542598762494E-2</v>
      </c>
      <c r="CR34" s="50">
        <f t="shared" si="20"/>
        <v>0.42189433603046167</v>
      </c>
      <c r="CS34" s="14">
        <f t="shared" si="21"/>
        <v>5581</v>
      </c>
      <c r="CT34" s="14">
        <f t="shared" si="22"/>
        <v>1711</v>
      </c>
      <c r="CU34" s="14">
        <f>INT(SUMPRODUCT($AB34:$AF34,$BA34:$BE34)/SUM($BA34:$BE34)/10000*$BX$7*$BZ$34/'疲劳值&amp;地图信息'!$R$10*$BY$55)</f>
        <v>6033</v>
      </c>
      <c r="CV34" s="50">
        <f t="shared" si="23"/>
        <v>0.41883677298311445</v>
      </c>
      <c r="CW34" s="50">
        <f t="shared" si="24"/>
        <v>0.12840525328330207</v>
      </c>
      <c r="CX34" s="50">
        <f t="shared" si="25"/>
        <v>0.45275797373358351</v>
      </c>
      <c r="CY34" s="14">
        <f t="shared" si="26"/>
        <v>6502</v>
      </c>
      <c r="CZ34" s="14">
        <f t="shared" si="27"/>
        <v>3337</v>
      </c>
      <c r="DA34" s="14">
        <f>INT(SUMPRODUCT($AI34:$AM34,$BA34:$BE34)/SUM($BA34:$BE34)/10000*$BX$7*$BZ$34/'疲劳值&amp;地图信息'!$R$10*$BY$56)</f>
        <v>9081</v>
      </c>
      <c r="DB34" s="50">
        <f t="shared" si="28"/>
        <v>0.34365750528541228</v>
      </c>
      <c r="DC34" s="50">
        <f t="shared" si="29"/>
        <v>0.17637420718816069</v>
      </c>
      <c r="DD34" s="50">
        <f t="shared" si="30"/>
        <v>0.47996828752642706</v>
      </c>
      <c r="DE34" s="14">
        <f t="shared" si="31"/>
        <v>6677</v>
      </c>
      <c r="DF34" s="14">
        <f t="shared" si="32"/>
        <v>8559</v>
      </c>
      <c r="DG34" s="14">
        <f>INT(SUMPRODUCT($AP34:$AT34,$BA34:$BE34)/SUM($BA34:$BE34)/10000*$BX$7*$BZ$34/'疲劳值&amp;地图信息'!$R$10*$BY$57)</f>
        <v>12124</v>
      </c>
      <c r="DH34" s="50">
        <f t="shared" si="33"/>
        <v>0.24404239766081873</v>
      </c>
      <c r="DI34" s="50">
        <f t="shared" si="34"/>
        <v>0.31282894736842104</v>
      </c>
      <c r="DJ34" s="50">
        <f t="shared" si="35"/>
        <v>0.44312865497076026</v>
      </c>
      <c r="DL34" s="14">
        <f t="shared" si="106"/>
        <v>8312</v>
      </c>
      <c r="DM34" s="14">
        <f t="shared" si="107"/>
        <v>10505</v>
      </c>
      <c r="DN34" s="14">
        <f t="shared" si="108"/>
        <v>13325</v>
      </c>
      <c r="DO34" s="14">
        <f t="shared" si="109"/>
        <v>18920</v>
      </c>
      <c r="DP34" s="14">
        <f t="shared" si="110"/>
        <v>27360</v>
      </c>
      <c r="DQ34" s="14">
        <f t="shared" si="111"/>
        <v>494209</v>
      </c>
      <c r="DT34" s="14">
        <f t="shared" si="105"/>
        <v>235575</v>
      </c>
      <c r="DU34" s="50">
        <f t="shared" si="7"/>
        <v>0.32280099317058197</v>
      </c>
      <c r="DW34" s="14">
        <f t="shared" si="36"/>
        <v>729784</v>
      </c>
      <c r="EB34" s="14">
        <v>29</v>
      </c>
      <c r="EC34" s="51">
        <f t="shared" si="37"/>
        <v>8278</v>
      </c>
      <c r="ED34" s="51">
        <f t="shared" si="38"/>
        <v>1163</v>
      </c>
      <c r="EE34" s="51">
        <f>INT(SUMPRODUCT($N34:$R34,$BF34:$BJ34)/SUM($BF34:$BJ34)/10000*$BX$7*$BZ$46/'疲劳值&amp;地图信息'!$R$10*$BY$53)</f>
        <v>354</v>
      </c>
      <c r="EF34" s="50">
        <f t="shared" si="39"/>
        <v>0.84512506380806529</v>
      </c>
      <c r="EG34" s="50">
        <f t="shared" si="40"/>
        <v>0.11873404798366513</v>
      </c>
      <c r="EH34" s="50">
        <f t="shared" si="41"/>
        <v>3.6140888208269523E-2</v>
      </c>
      <c r="EI34" s="51">
        <f t="shared" si="42"/>
        <v>8615</v>
      </c>
      <c r="EJ34" s="51">
        <f t="shared" si="43"/>
        <v>1508</v>
      </c>
      <c r="EK34" s="14">
        <f>INT(SUMPRODUCT($U34:$Y34,$BF34:$BJ34)/SUM($BF34:$BJ34)/10000*$BX$7*$BZ$46/'疲劳值&amp;地图信息'!$R$10*$BY$54)</f>
        <v>594</v>
      </c>
      <c r="EL34" s="50">
        <f t="shared" si="44"/>
        <v>0.80386302136792009</v>
      </c>
      <c r="EM34" s="50">
        <f t="shared" si="45"/>
        <v>0.14071101987496501</v>
      </c>
      <c r="EN34" s="50">
        <f t="shared" si="46"/>
        <v>5.5425958757114861E-2</v>
      </c>
      <c r="EO34" s="51">
        <f t="shared" si="47"/>
        <v>9301</v>
      </c>
      <c r="EP34" s="51">
        <f t="shared" si="48"/>
        <v>2853</v>
      </c>
      <c r="EQ34" s="14">
        <f>INT(SUMPRODUCT($AB34:$AF34,$BF34:$BJ34)/SUM($BF34:$BJ34)/10000*$BX$7*$BZ$46/'疲劳值&amp;地图信息'!$R$10*$BY$55)</f>
        <v>807</v>
      </c>
      <c r="ER34" s="50">
        <f t="shared" si="49"/>
        <v>0.71761438160635749</v>
      </c>
      <c r="ES34" s="50">
        <f t="shared" si="50"/>
        <v>0.22012190417406063</v>
      </c>
      <c r="ET34" s="50">
        <f t="shared" si="51"/>
        <v>6.2263714219581823E-2</v>
      </c>
      <c r="EU34" s="51">
        <f t="shared" si="52"/>
        <v>10837</v>
      </c>
      <c r="EV34" s="51">
        <f t="shared" si="53"/>
        <v>5563</v>
      </c>
      <c r="EW34" s="14">
        <f>INT(SUMPRODUCT($AI34:$AM34,$BF34:$BJ34)/SUM($BF34:$BJ34)/10000*$BX$7*$BZ$46/'疲劳值&amp;地图信息'!$R$10*$BY$56)</f>
        <v>1211</v>
      </c>
      <c r="EX34" s="50">
        <f t="shared" si="54"/>
        <v>0.61535404008858097</v>
      </c>
      <c r="EY34" s="50">
        <f t="shared" si="55"/>
        <v>0.31588211913008912</v>
      </c>
      <c r="EZ34" s="50">
        <f t="shared" si="56"/>
        <v>6.8763840781329855E-2</v>
      </c>
      <c r="FA34" s="51">
        <f t="shared" si="57"/>
        <v>11129</v>
      </c>
      <c r="FB34" s="51">
        <f t="shared" si="58"/>
        <v>14265</v>
      </c>
      <c r="FC34" s="14">
        <f>INT(SUMPRODUCT($AP34:$AT34,$BF34:$BJ34)/SUM($BF34:$BJ34)/10000*$BX$7*$BZ$46/'疲劳值&amp;地图信息'!$R$10*$BY$57)</f>
        <v>1614</v>
      </c>
      <c r="FD34" s="50">
        <f t="shared" si="59"/>
        <v>0.41206309241706163</v>
      </c>
      <c r="FE34" s="50">
        <f t="shared" si="60"/>
        <v>0.52817683649289104</v>
      </c>
      <c r="FF34" s="50">
        <f t="shared" si="61"/>
        <v>5.9760071090047391E-2</v>
      </c>
      <c r="FH34" s="14">
        <f t="shared" si="62"/>
        <v>9795</v>
      </c>
      <c r="FI34" s="14">
        <f t="shared" si="63"/>
        <v>10717</v>
      </c>
      <c r="FJ34" s="14">
        <f t="shared" si="64"/>
        <v>12961</v>
      </c>
      <c r="FK34" s="14">
        <f t="shared" si="65"/>
        <v>17611</v>
      </c>
      <c r="FL34" s="14">
        <f t="shared" si="66"/>
        <v>27008</v>
      </c>
      <c r="FM34" s="14">
        <f t="shared" si="67"/>
        <v>1132160</v>
      </c>
      <c r="FP34" s="14">
        <f t="shared" si="68"/>
        <v>334150</v>
      </c>
      <c r="FQ34" s="50">
        <f t="shared" si="8"/>
        <v>0.22788496293416807</v>
      </c>
      <c r="FS34" s="14">
        <f t="shared" si="69"/>
        <v>1466310</v>
      </c>
      <c r="FX34" s="14">
        <v>29</v>
      </c>
      <c r="FY34" s="51">
        <f t="shared" si="70"/>
        <v>11589</v>
      </c>
      <c r="FZ34" s="51">
        <f t="shared" si="71"/>
        <v>1163</v>
      </c>
      <c r="GA34" s="51">
        <f>INT(SUMPRODUCT($N34:$R34,$BF34:$BJ34)/SUM($BF34:$BJ34)/10000*$BX$7*$BZ$46/'疲劳值&amp;地图信息'!$R$10*$BY$53)</f>
        <v>354</v>
      </c>
      <c r="GB34" s="50">
        <f t="shared" si="72"/>
        <v>0.884251487868152</v>
      </c>
      <c r="GC34" s="50">
        <f t="shared" si="73"/>
        <v>8.8737982603387763E-2</v>
      </c>
      <c r="GD34" s="50">
        <f t="shared" si="74"/>
        <v>2.7010529528460246E-2</v>
      </c>
      <c r="GE34" s="51">
        <f t="shared" si="75"/>
        <v>12061</v>
      </c>
      <c r="GF34" s="51">
        <f t="shared" si="76"/>
        <v>1508</v>
      </c>
      <c r="GG34" s="14">
        <f>INT(SUMPRODUCT($U34:$Y34,$BF34:$BJ34)/SUM($BF34:$BJ34)/10000*$BX$7*$BZ$46/'疲劳值&amp;地图信息'!$R$10*$BY$54)</f>
        <v>594</v>
      </c>
      <c r="GH34" s="50">
        <f t="shared" si="77"/>
        <v>0.85158511614770882</v>
      </c>
      <c r="GI34" s="50">
        <f t="shared" si="78"/>
        <v>0.10647461695968369</v>
      </c>
      <c r="GJ34" s="50">
        <f t="shared" si="79"/>
        <v>4.1940266892607499E-2</v>
      </c>
      <c r="GK34" s="51">
        <f t="shared" si="80"/>
        <v>13022</v>
      </c>
      <c r="GL34" s="51">
        <f t="shared" si="81"/>
        <v>2853</v>
      </c>
      <c r="GM34" s="14">
        <f>INT(SUMPRODUCT($AB34:$AF34,$BF34:$BJ34)/SUM($BF34:$BJ34)/10000*$BX$7*$BZ$46/'疲劳值&amp;地图信息'!$R$10*$BY$55)</f>
        <v>807</v>
      </c>
      <c r="GN34" s="50">
        <f t="shared" si="82"/>
        <v>0.78060184630140272</v>
      </c>
      <c r="GO34" s="50">
        <f t="shared" si="83"/>
        <v>0.1710226591535787</v>
      </c>
      <c r="GP34" s="50">
        <f t="shared" si="84"/>
        <v>4.8375494545018584E-2</v>
      </c>
      <c r="GQ34" s="51">
        <f t="shared" si="85"/>
        <v>15171</v>
      </c>
      <c r="GR34" s="51">
        <f t="shared" si="86"/>
        <v>5563</v>
      </c>
      <c r="GS34" s="14">
        <f>INT(SUMPRODUCT($AI34:$AM34,$BF34:$BJ34)/SUM($BF34:$BJ34)/10000*$BX$7*$BZ$46/'疲劳值&amp;地图信息'!$R$10*$BY$56)</f>
        <v>1211</v>
      </c>
      <c r="GT34" s="50">
        <f t="shared" si="87"/>
        <v>0.69131920710868078</v>
      </c>
      <c r="GU34" s="50">
        <f t="shared" si="88"/>
        <v>0.25349737981316928</v>
      </c>
      <c r="GV34" s="50">
        <f t="shared" si="89"/>
        <v>5.5183413078149918E-2</v>
      </c>
      <c r="GW34" s="51">
        <f t="shared" si="90"/>
        <v>15580</v>
      </c>
      <c r="GX34" s="51">
        <f t="shared" si="91"/>
        <v>14265</v>
      </c>
      <c r="GY34" s="14">
        <f>INT(SUMPRODUCT($AP34:$AT34,$BF34:$BJ34)/SUM($BF34:$BJ34)/10000*$BX$7*$BZ$46/'疲劳值&amp;地图信息'!$R$10*$BY$57)</f>
        <v>1614</v>
      </c>
      <c r="GZ34" s="50">
        <f t="shared" si="92"/>
        <v>0.49524778282844339</v>
      </c>
      <c r="HA34" s="50">
        <f t="shared" si="93"/>
        <v>0.45344734416224292</v>
      </c>
      <c r="HB34" s="50">
        <f t="shared" si="94"/>
        <v>5.130487300931371E-2</v>
      </c>
      <c r="HD34" s="14">
        <f t="shared" si="95"/>
        <v>13106</v>
      </c>
      <c r="HE34" s="14">
        <f t="shared" si="96"/>
        <v>14163</v>
      </c>
      <c r="HF34" s="14">
        <f t="shared" si="97"/>
        <v>16682</v>
      </c>
      <c r="HG34" s="14">
        <f t="shared" si="98"/>
        <v>21945</v>
      </c>
      <c r="HH34" s="14">
        <f t="shared" si="99"/>
        <v>31459</v>
      </c>
      <c r="HI34" s="14">
        <f t="shared" si="100"/>
        <v>1492288</v>
      </c>
      <c r="HL34" s="14">
        <f t="shared" si="101"/>
        <v>430050</v>
      </c>
      <c r="HM34" s="50">
        <f t="shared" si="9"/>
        <v>0.22371195908315811</v>
      </c>
      <c r="HO34" s="14">
        <f t="shared" si="102"/>
        <v>1922338</v>
      </c>
    </row>
    <row r="35" spans="3:223" x14ac:dyDescent="0.2">
      <c r="C35" s="1" t="s">
        <v>431</v>
      </c>
      <c r="D35" s="1" t="s">
        <v>436</v>
      </c>
      <c r="K35" s="14">
        <v>30</v>
      </c>
      <c r="L35" s="12">
        <f>求节点(节奏总纲!D$4:D$163,标准城池设计!AB$4:AB$163,$K35)*求节点(节奏总纲!D$4:D$163,攻城基础信息!$AC$5:$AC$164,$K35)</f>
        <v>232166.84372578852</v>
      </c>
      <c r="M35" s="12">
        <f>INDEX(其他调用!$AA$5:$AA$404,MATCH(K35,其他调用!$X$5:$X$404,0))*MIN(INDEX(其他调用!$AH$5:$AH$364,MATCH('征服点（新）'!K35,其他调用!$AG$5:$AG$364,0),1)/INDEX(其他调用!$AJ$5:$AJ$364,MATCH(K35,其他调用!$AG$5:$AG$364,0),0),5)*求节点(节奏总纲!D$4:D$163,攻城基础信息!$AC$5:$AC$164,$K35)</f>
        <v>32344.136727804434</v>
      </c>
      <c r="N35" s="12">
        <f>MIN(INDEX(其他调用!$AH$5:$AH$364,MATCH($K35,其他调用!$AG$5:$AG$364,0),1)/INDEX(其他调用!AH$5:AH$364,MATCH($K35,其他调用!$AG$5:$AG$364,0),0),1)*INDEX(其他调用!Y$5:Y$404,MATCH($K35,其他调用!$X$5:$X$404,0),0)</f>
        <v>29481.698632207641</v>
      </c>
      <c r="O35" s="12">
        <f>MIN(INDEX(其他调用!$AH$5:$AH$364,MATCH($K35,其他调用!$AG$5:$AG$364,0),1)/INDEX(其他调用!AI$5:AI$364,MATCH($K35,其他调用!$AG$5:$AG$364,0),0),1)*INDEX(其他调用!Z$5:Z$404,MATCH($K35,其他调用!$X$5:$X$404,0),0)</f>
        <v>23238.403476062485</v>
      </c>
      <c r="P35" s="12">
        <f>MIN(INDEX(其他调用!$AH$5:$AH$364,MATCH($K35,其他调用!$AG$5:$AG$364,0),1)/INDEX(其他调用!AJ$5:AJ$364,MATCH($K35,其他调用!$AG$5:$AG$364,0),0),1)*INDEX(其他调用!AA$5:AA$404,MATCH($K35,其他调用!$X$5:$X$404,0),0)</f>
        <v>13018.656370588955</v>
      </c>
      <c r="Q35" s="12">
        <f>MIN(INDEX(其他调用!$AH$5:$AH$364,MATCH($K35,其他调用!$AG$5:$AG$364,0),1)/INDEX(其他调用!AK$5:AK$364,MATCH($K35,其他调用!$AG$5:$AG$364,0),0),1)*INDEX(其他调用!AB$5:AB$404,MATCH($K35,其他调用!$X$5:$X$404,0),0)</f>
        <v>7009.1920827211898</v>
      </c>
      <c r="R35" s="12">
        <f>MIN(INDEX(其他调用!$AH$5:$AH$364,MATCH($K35,其他调用!$AG$5:$AG$364,0),1)/INDEX(其他调用!AL$5:AL$364,MATCH($K35,其他调用!$AG$5:$AG$364,0),0),1)*INDEX(其他调用!AC$5:AC$404,MATCH($K35,其他调用!$X$5:$X$404,0),0)</f>
        <v>2220.5160287862113</v>
      </c>
      <c r="S35" s="12">
        <f>求节点(节奏总纲!D$4:D$163,标准城池设计!AC$4:AC$163,$K35)*求节点(节奏总纲!D$4:D$163,攻城基础信息!$AD$5:$AD$164,$K35)</f>
        <v>241121.4860629774</v>
      </c>
      <c r="T35" s="12">
        <f>INDEX(其他调用!$AA$5:$AA$404,MATCH($K35,其他调用!$X$5:$X$404,0))*MIN(INDEX(其他调用!AI$5:AI$364,MATCH($K35,其他调用!$AG$5:$AG$364,0),1)/INDEX(其他调用!$AJ$5:$AJ$364,MATCH($K35,其他调用!$AG$5:$AG$364,0),0),5)*求节点(节奏总纲!D$4:D$163,攻城基础信息!$AD$5:$AD$164,$K35)</f>
        <v>42511.858472141175</v>
      </c>
      <c r="U35" s="12">
        <f>MIN(INDEX(其他调用!$AI$5:$AI$364,MATCH($K35,其他调用!$AG$5:$AG$364,0),1)/INDEX(其他调用!AH$5:AH$364,MATCH($K35,其他调用!$AG$5:$AG$364,0),0),1)*INDEX(其他调用!Y$5:Y$404,MATCH($K35,其他调用!$X$5:$X$404,0),0)</f>
        <v>29481.698632207641</v>
      </c>
      <c r="V35" s="12">
        <f>MIN(INDEX(其他调用!$AI$5:$AI$364,MATCH($K35,其他调用!$AG$5:$AG$364,0),1)/INDEX(其他调用!AI$5:AI$364,MATCH($K35,其他调用!$AG$5:$AG$364,0),0),1)*INDEX(其他调用!Z$5:Z$404,MATCH($K35,其他调用!$X$5:$X$404,0),0)</f>
        <v>30543.641588171784</v>
      </c>
      <c r="W35" s="12">
        <f>MIN(INDEX(其他调用!$AI$5:$AI$364,MATCH($K35,其他调用!$AG$5:$AG$364,0),1)/INDEX(其他调用!AJ$5:AJ$364,MATCH($K35,其他调用!$AG$5:$AG$364,0),0),1)*INDEX(其他调用!AA$5:AA$404,MATCH($K35,其他调用!$X$5:$X$404,0),0)</f>
        <v>17111.208803670102</v>
      </c>
      <c r="X35" s="12">
        <f>MIN(INDEX(其他调用!$AI$5:$AI$364,MATCH($K35,其他调用!$AG$5:$AG$364,0),1)/INDEX(其他调用!AK$5:AK$364,MATCH($K35,其他调用!$AG$5:$AG$364,0),0),1)*INDEX(其他调用!AB$5:AB$404,MATCH($K35,其他调用!$X$5:$X$404,0),0)</f>
        <v>9212.6058064967419</v>
      </c>
      <c r="Y35" s="12">
        <f>MIN(INDEX(其他调用!$AI$5:$AI$364,MATCH($K35,其他调用!$AG$5:$AG$364,0),1)/INDEX(其他调用!AL$5:AL$364,MATCH($K35,其他调用!$AG$5:$AG$364,0),0),1)*INDEX(其他调用!AC$5:AC$404,MATCH($K35,其他调用!$X$5:$X$404,0),0)</f>
        <v>2918.5587466841093</v>
      </c>
      <c r="Z35" s="12">
        <f>求节点(节奏总纲!D$4:D$163,标准城池设计!AD$4:AD$163,$K35)*求节点(节奏总纲!D$4:D$163,攻城基础信息!$AE$5:$AE$164,$K35)</f>
        <v>260135.38125221338</v>
      </c>
      <c r="AA35" s="12">
        <f>INDEX(其他调用!$AA$5:$AA$404,MATCH($K35,其他调用!$X$5:$X$404,0))*MIN(INDEX(其他调用!AJ$5:AJ$364,MATCH($K35,其他调用!$AG$5:$AG$364,0),1)/INDEX(其他调用!$AJ$5:$AJ$364,MATCH($K35,其他调用!$AG$5:$AG$364,0),0),5)*求节点(节奏总纲!D$4:D$163,攻城基础信息!$AE$5:$AE$164,$K35)</f>
        <v>79349.212400668432</v>
      </c>
      <c r="AB35" s="12">
        <f>MIN(INDEX(其他调用!$AJ$5:$AJ$364,MATCH($K35,其他调用!$AG$5:$AG$364,0),1)/INDEX(其他调用!AH$5:AH$364,MATCH($K35,其他调用!$AG$5:$AG$364,0),0),1)*INDEX(其他调用!Y$5:Y$404,MATCH($K35,其他调用!$X$5:$X$404,0),0)</f>
        <v>29481.698632207641</v>
      </c>
      <c r="AC35" s="12">
        <f>MIN(INDEX(其他调用!$AJ$5:$AJ$364,MATCH($K35,其他调用!$AG$5:$AG$364,0),1)/INDEX(其他调用!AI$5:AI$364,MATCH($K35,其他调用!$AG$5:$AG$364,0),0),1)*INDEX(其他调用!Z$5:Z$404,MATCH($K35,其他调用!$X$5:$X$404,0),0)</f>
        <v>30543.641588171784</v>
      </c>
      <c r="AD35" s="12">
        <f>MIN(INDEX(其他调用!$AJ$5:$AJ$364,MATCH($K35,其他调用!$AG$5:$AG$364,0),1)/INDEX(其他调用!AJ$5:AJ$364,MATCH($K35,其他调用!$AG$5:$AG$364,0),0),1)*INDEX(其他调用!AA$5:AA$404,MATCH($K35,其他调用!$X$5:$X$404,0),0)</f>
        <v>31938.404732043717</v>
      </c>
      <c r="AE35" s="12">
        <f>MIN(INDEX(其他调用!$AJ$5:$AJ$364,MATCH($K35,其他调用!$AG$5:$AG$364,0),1)/INDEX(其他调用!AK$5:AK$364,MATCH($K35,其他调用!$AG$5:$AG$364,0),0),1)*INDEX(其他调用!AB$5:AB$404,MATCH($K35,其他调用!$X$5:$X$404,0),0)</f>
        <v>17195.50829287757</v>
      </c>
      <c r="AF35" s="12">
        <f>MIN(INDEX(其他调用!$AJ$5:$AJ$364,MATCH($K35,其他调用!$AG$5:$AG$364,0),1)/INDEX(其他调用!AL$5:AL$364,MATCH($K35,其他调用!$AG$5:$AG$364,0),0),1)*INDEX(其他调用!AC$5:AC$404,MATCH($K35,其他调用!$X$5:$X$404,0),0)</f>
        <v>5447.5467838280529</v>
      </c>
      <c r="AG35" s="12">
        <f>求节点(节奏总纲!D$4:D$163,标准城池设计!AE$4:AE$163,$K35)*求节点(节奏总纲!D$4:D$163,攻城基础信息!$AF$5:$AF$164,$K35)</f>
        <v>302701.79269484192</v>
      </c>
      <c r="AH35" s="12">
        <f>INDEX(其他调用!$AA$5:$AA$404,MATCH($K35,其他调用!$X$5:$X$404,0))*MIN(INDEX(其他调用!AK$5:AK$364,MATCH($K35,其他调用!$AG$5:$AG$364,0),1)/INDEX(其他调用!$AJ$5:$AJ$364,MATCH($K35,其他调用!$AG$5:$AG$364,0),0),5)*求节点(节奏总纲!D$4:D$163,攻城基础信息!$AF$5:$AF$164,$K35)</f>
        <v>157087.37964324161</v>
      </c>
      <c r="AI35" s="12">
        <f>MIN(INDEX(其他调用!$AK$5:$AK$364,MATCH($K35,其他调用!$AG$5:$AG$364,0),1)/INDEX(其他调用!AH$5:AH$364,MATCH($K35,其他调用!$AG$5:$AG$364,0),0),1)*INDEX(其他调用!Y$5:Y$404,MATCH($K35,其他调用!$X$5:$X$404,0),0)</f>
        <v>29481.698632207641</v>
      </c>
      <c r="AJ35" s="12">
        <f>MIN(INDEX(其他调用!$AK$5:$AK$364,MATCH($K35,其他调用!$AG$5:$AG$364,0),1)/INDEX(其他调用!AI$5:AI$364,MATCH($K35,其他调用!$AG$5:$AG$364,0),0),1)*INDEX(其他调用!Z$5:Z$404,MATCH($K35,其他调用!$X$5:$X$404,0),0)</f>
        <v>30543.641588171784</v>
      </c>
      <c r="AK35" s="12">
        <f>MIN(INDEX(其他调用!$AK$5:$AK$364,MATCH($K35,其他调用!$AG$5:$AG$364,0),1)/INDEX(其他调用!AJ$5:AJ$364,MATCH($K35,其他调用!$AG$5:$AG$364,0),0),1)*INDEX(其他调用!AA$5:AA$404,MATCH($K35,其他调用!$X$5:$X$404,0),0)</f>
        <v>31938.404732043717</v>
      </c>
      <c r="AL35" s="12">
        <f>MIN(INDEX(其他调用!$AK$5:$AK$364,MATCH($K35,其他调用!$AG$5:$AG$364,0),1)/INDEX(其他调用!AK$5:AK$364,MATCH($K35,其他调用!$AG$5:$AG$364,0),0),1)*INDEX(其他调用!AB$5:AB$404,MATCH($K35,其他调用!$X$5:$X$404,0),0)</f>
        <v>34041.892258769461</v>
      </c>
      <c r="AM35" s="12">
        <f>MIN(INDEX(其他调用!$AK$5:$AK$364,MATCH($K35,其他调用!$AG$5:$AG$364,0),1)/INDEX(其他调用!AL$5:AL$364,MATCH($K35,其他调用!$AG$5:$AG$364,0),0),1)*INDEX(其他调用!AC$5:AC$404,MATCH($K35,其他调用!$X$5:$X$404,0),0)</f>
        <v>10784.490782775665</v>
      </c>
      <c r="AN35" s="12">
        <f>求节点(节奏总纲!D$4:D$163,标准城池设计!AF$4:AF$163,$K35)*求节点(节奏总纲!D$4:D$163,攻城基础信息!$AG$5:$AG$164,$K35)</f>
        <v>311044.83183517086</v>
      </c>
      <c r="AO35" s="12">
        <f>INDEX(其他调用!$AA$5:$AA$404,MATCH($K35,其他调用!$X$5:$X$404,0))*MIN(INDEX(其他调用!AL$5:AL$364,MATCH($K35,其他调用!$AG$5:$AG$364,0),1)/INDEX(其他调用!$AJ$5:$AJ$364,MATCH($K35,其他调用!$AG$5:$AG$364,0),0),5)*求节点(节奏总纲!D$4:D$163,攻城基础信息!$AG$5:$AG$164,$K35)</f>
        <v>396746.06200334209</v>
      </c>
      <c r="AP35" s="12">
        <f>MIN(INDEX(其他调用!$AL$5:$AL$364,MATCH($K35,其他调用!$AG$5:$AG$364,0),1)/INDEX(其他调用!AH$5:AH$364,MATCH($K35,其他调用!$AG$5:$AG$364,0),0),1)*INDEX(其他调用!Y$5:Y$404,MATCH($K35,其他调用!$X$5:$X$404,0),0)</f>
        <v>29481.698632207641</v>
      </c>
      <c r="AQ35" s="12">
        <f>MIN(INDEX(其他调用!$AL$5:$AL$364,MATCH($K35,其他调用!$AG$5:$AG$364,0),1)/INDEX(其他调用!AI$5:AI$364,MATCH($K35,其他调用!$AG$5:$AG$364,0),0),1)*INDEX(其他调用!Z$5:Z$404,MATCH($K35,其他调用!$X$5:$X$404,0),0)</f>
        <v>30543.641588171784</v>
      </c>
      <c r="AR35" s="12">
        <f>MIN(INDEX(其他调用!$AL$5:$AL$364,MATCH($K35,其他调用!$AG$5:$AG$364,0),1)/INDEX(其他调用!AJ$5:AJ$364,MATCH($K35,其他调用!$AG$5:$AG$364,0),0),1)*INDEX(其他调用!AA$5:AA$404,MATCH($K35,其他调用!$X$5:$X$404,0),0)</f>
        <v>31938.404732043717</v>
      </c>
      <c r="AS35" s="12">
        <f>MIN(INDEX(其他调用!$AL$5:$AL$364,MATCH($K35,其他调用!$AG$5:$AG$364,0),1)/INDEX(其他调用!AK$5:AK$364,MATCH($K35,其他调用!$AG$5:$AG$364,0),0),1)*INDEX(其他调用!AB$5:AB$404,MATCH($K35,其他调用!$X$5:$X$404,0),0)</f>
        <v>34041.892258769461</v>
      </c>
      <c r="AT35" s="12">
        <f>MIN(INDEX(其他调用!$AL$5:$AL$364,MATCH($K35,其他调用!$AG$5:$AG$364,0),1)/INDEX(其他调用!AL$5:AL$364,MATCH($K35,其他调用!$AG$5:$AG$364,0),0),1)*INDEX(其他调用!AC$5:AC$404,MATCH($K35,其他调用!$X$5:$X$404,0),0)</f>
        <v>37841.261140086994</v>
      </c>
      <c r="AV35" s="14">
        <f>IF(OR(AV$5="大R",AV$5="超R"),MAX(INDEX(其他调用!$H$5:$L$404,MATCH($K35,其他调用!$B$5:$B$404,0),MATCH(AV$5,其他调用!$H$4:$L$4,0))*120*0.85,2),INDEX(其他调用!$H$5:$L$404,MATCH($K35,其他调用!$B$5:$B$404,0),MATCH(AV$5,其他调用!$H$4:$L$4,0))*120*0.85)</f>
        <v>54.754527272727287</v>
      </c>
      <c r="AW35" s="14">
        <f>IF(OR(AW$5="大R",AW$5="超R"),MAX(INDEX(其他调用!$H$5:$L$404,MATCH($K35,其他调用!$B$5:$B$404,0),MATCH(AW$5,其他调用!$H$4:$L$4,0))*120*0.85,2),INDEX(其他调用!$H$5:$L$404,MATCH($K35,其他调用!$B$5:$B$404,0),MATCH(AW$5,其他调用!$H$4:$L$4,0))*120*0.85)</f>
        <v>42.702807255272702</v>
      </c>
      <c r="AX35" s="14">
        <f>IF(OR(AX$5="大R",AX$5="超R"),MAX(INDEX(其他调用!$H$5:$L$404,MATCH($K35,其他调用!$B$5:$B$404,0),MATCH(AX$5,其他调用!$H$4:$L$4,0))*120*0.85,2),INDEX(其他调用!$H$5:$L$404,MATCH($K35,其他调用!$B$5:$B$404,0),MATCH(AX$5,其他调用!$H$4:$L$4,0))*120*0.85)</f>
        <v>3.803369472</v>
      </c>
      <c r="AY35" s="14">
        <f>IF(OR(AY$5="大R",AY$5="超R"),MAX(INDEX(其他调用!$H$5:$L$404,MATCH($K35,其他调用!$B$5:$B$404,0),MATCH(AY$5,其他调用!$H$4:$L$4,0))*120*0.85,2),INDEX(其他调用!$H$5:$L$404,MATCH($K35,其他调用!$B$5:$B$404,0),MATCH(AY$5,其他调用!$H$4:$L$4,0))*120*0.85)</f>
        <v>2</v>
      </c>
      <c r="AZ35" s="14">
        <f>IF(OR(AZ$5="大R",AZ$5="超R"),MAX(INDEX(其他调用!$H$5:$L$404,MATCH($K35,其他调用!$B$5:$B$404,0),MATCH(AZ$5,其他调用!$H$4:$L$4,0))*120*0.85,2),INDEX(其他调用!$H$5:$L$404,MATCH($K35,其他调用!$B$5:$B$404,0),MATCH(AZ$5,其他调用!$H$4:$L$4,0))*120*0.85)</f>
        <v>2</v>
      </c>
      <c r="BA35" s="14">
        <f>INDEX(其他调用!$H$5:$L$404,MATCH($K35,其他调用!$B$5:$B$404,0),MATCH(BA$5,其他调用!$H$4:$L$4,0))*INDEX(其他调用!$M$5:$M$404,MATCH($K35,其他调用!$B$5:$B$404,0))*0.6</f>
        <v>28.054590401069525</v>
      </c>
      <c r="BB35" s="14">
        <f>INDEX(其他调用!$H$5:$L$404,MATCH($K35,其他调用!$B$5:$B$404,0),MATCH(BB$5,其他调用!$H$4:$L$4,0))*INDEX(其他调用!$M$5:$M$404,MATCH($K35,其他调用!$B$5:$B$404,0))*0.6</f>
        <v>21.879647696624588</v>
      </c>
      <c r="BC35" s="14">
        <f>INDEX(其他调用!$H$5:$L$404,MATCH($K35,其他调用!$B$5:$B$404,0),MATCH(BC$5,其他调用!$H$4:$L$4,0))*INDEX(其他调用!$M$5:$M$404,MATCH($K35,其他调用!$B$5:$B$404,0))*0.6</f>
        <v>1.9487333375999998</v>
      </c>
      <c r="BD35" s="14">
        <f>INDEX(其他调用!$H$5:$L$404,MATCH($K35,其他调用!$B$5:$B$404,0),MATCH(BD$5,其他调用!$H$4:$L$4,0))*INDEX(其他调用!$M$5:$M$404,MATCH($K35,其他调用!$B$5:$B$404,0))*0.6</f>
        <v>0.30353632941176478</v>
      </c>
      <c r="BE35" s="14">
        <f>INDEX(其他调用!$H$5:$L$404,MATCH($K35,其他调用!$B$5:$B$404,0),MATCH(BE$5,其他调用!$H$4:$L$4,0))*INDEX(其他调用!$M$5:$M$404,MATCH($K35,其他调用!$B$5:$B$404,0))*0.6</f>
        <v>7.5256941176470568E-2</v>
      </c>
      <c r="BF35" s="14">
        <f>IF(OR(BF$5="大R",BF$5="超R"),0,INDEX(其他调用!$H$5:$L$404,MATCH($K35,其他调用!$B$5:$B$404,0),MATCH(BF$5,其他调用!$H$4:$L$4,0))*50*0.4)</f>
        <v>10.736181818181823</v>
      </c>
      <c r="BG35" s="14">
        <f>IF(OR(BG$5="大R",BG$5="超R"),0,INDEX(其他调用!$H$5:$L$404,MATCH($K35,其他调用!$B$5:$B$404,0),MATCH(BG$5,其他调用!$H$4:$L$4,0))*50*0.4)</f>
        <v>8.3730994618181782</v>
      </c>
      <c r="BH35" s="14">
        <f>IF(OR(BH$5="大R",BH$5="超R"),0,INDEX(其他调用!$H$5:$L$404,MATCH($K35,其他调用!$B$5:$B$404,0),MATCH(BH$5,其他调用!$H$4:$L$4,0))*50*0.4)</f>
        <v>0.74575871999999999</v>
      </c>
      <c r="BI35" s="14">
        <f>IF(OR(BI$5="大R",BI$5="超R"),0,INDEX(其他调用!$H$5:$L$404,MATCH($K35,其他调用!$B$5:$B$404,0),MATCH(BI$5,其他调用!$H$4:$L$4,0))*50*0.4)</f>
        <v>0</v>
      </c>
      <c r="BJ35" s="14">
        <f>IF(OR(BJ$5="大R",BJ$5="超R"),0,INDEX(其他调用!$H$5:$L$404,MATCH($K35,其他调用!$B$5:$B$404,0),MATCH(BJ$5,其他调用!$H$4:$L$4,0))*50*0.4)</f>
        <v>0</v>
      </c>
      <c r="BL35" s="14">
        <f t="shared" si="103"/>
        <v>30</v>
      </c>
      <c r="BM35" s="14">
        <f t="shared" si="10"/>
        <v>96</v>
      </c>
      <c r="BN35" s="14">
        <f>('疲劳值&amp;地图信息'!$S$10*'疲劳值&amp;地图信息'!$R$10+'疲劳值&amp;地图信息'!$S$11*'疲劳值&amp;地图信息'!$R$11+'疲劳值&amp;地图信息'!$S$12*'疲劳值&amp;地图信息'!$R$12+(BM35-'疲劳值&amp;地图信息'!$S$12-'疲劳值&amp;地图信息'!$S$11-'疲劳值&amp;地图信息'!$S$10)*'疲劳值&amp;地图信息'!$R$13)/BM35</f>
        <v>51.371477246638619</v>
      </c>
      <c r="BO35" s="14">
        <f>INDEX(其他调用!$M$5:$M$404,MATCH(BL35,其他调用!$B$5:$B$404,0))*0.6</f>
        <v>52.261764705882349</v>
      </c>
      <c r="BP35" s="14">
        <f>IF(BO35&gt;SUM('疲劳值&amp;地图信息'!$S$10:$S$12),('疲劳值&amp;地图信息'!$S$10*'疲劳值&amp;地图信息'!$R$10+'疲劳值&amp;地图信息'!$S$11*'疲劳值&amp;地图信息'!$R$11+'疲劳值&amp;地图信息'!$S$12*'疲劳值&amp;地图信息'!$R$12+(BO35-'疲劳值&amp;地图信息'!$S$12-'疲劳值&amp;地图信息'!$S$11-'疲劳值&amp;地图信息'!$S$10)*'疲劳值&amp;地图信息'!$R$13)/BO35,('疲劳值&amp;地图信息'!$S$10*'疲劳值&amp;地图信息'!$R$10+'疲劳值&amp;地图信息'!$S$11*'疲劳值&amp;地图信息'!$R$11+'疲劳值&amp;地图信息'!$S$12*'疲劳值&amp;地图信息'!$R$12+(BO35-'疲劳值&amp;地图信息'!$S$12-'疲劳值&amp;地图信息'!$S$11-'疲劳值&amp;地图信息'!$S$10)*'疲劳值&amp;地图信息'!$R$13)/BO35)</f>
        <v>41.309985078748774</v>
      </c>
      <c r="BQ35" s="14">
        <f t="shared" si="104"/>
        <v>20</v>
      </c>
      <c r="BR35" s="14">
        <f>('疲劳值&amp;地图信息'!$S$10*'疲劳值&amp;地图信息'!$R$10+($BQ35-'疲劳值&amp;地图信息'!$S$10)*'疲劳值&amp;地图信息'!$R$11)/$BQ35</f>
        <v>32.067203015074995</v>
      </c>
      <c r="CF35" s="14">
        <v>30</v>
      </c>
      <c r="CG35" s="51">
        <f t="shared" si="11"/>
        <v>5058</v>
      </c>
      <c r="CH35" s="51">
        <f t="shared" si="12"/>
        <v>704</v>
      </c>
      <c r="CI35" s="51">
        <f>INT(SUMPRODUCT($N35:$R35,$BA35:$BE35)/SUM($BA35:$BE35)/10000*$BX$7*$BZ$34/'疲劳值&amp;地图信息'!$R$10*$BY$53)</f>
        <v>2646</v>
      </c>
      <c r="CJ35" s="50">
        <f t="shared" si="13"/>
        <v>0.60156993339676501</v>
      </c>
      <c r="CK35" s="50">
        <f t="shared" si="14"/>
        <v>8.3729781160799238E-2</v>
      </c>
      <c r="CL35" s="50">
        <f t="shared" si="15"/>
        <v>0.31470028544243578</v>
      </c>
      <c r="CM35" s="14">
        <f t="shared" si="16"/>
        <v>5253</v>
      </c>
      <c r="CN35" s="14">
        <f t="shared" si="17"/>
        <v>926</v>
      </c>
      <c r="CO35" s="14">
        <f>INT(SUMPRODUCT($U35:$Y35,$BA35:$BE35)/SUM($BA35:$BE35)/10000*$BX$7*$BZ$34/'疲劳值&amp;地图信息'!$R$10*$BY$54)</f>
        <v>4460</v>
      </c>
      <c r="CP35" s="50">
        <f t="shared" si="18"/>
        <v>0.49374941253877241</v>
      </c>
      <c r="CQ35" s="50">
        <f t="shared" si="19"/>
        <v>8.7038255475138646E-2</v>
      </c>
      <c r="CR35" s="50">
        <f t="shared" si="20"/>
        <v>0.41921233198608893</v>
      </c>
      <c r="CS35" s="14">
        <f t="shared" si="21"/>
        <v>5667</v>
      </c>
      <c r="CT35" s="14">
        <f t="shared" si="22"/>
        <v>1728</v>
      </c>
      <c r="CU35" s="14">
        <f>INT(SUMPRODUCT($AB35:$AF35,$BA35:$BE35)/SUM($BA35:$BE35)/10000*$BX$7*$BZ$34/'疲劳值&amp;地图信息'!$R$10*$BY$55)</f>
        <v>6070</v>
      </c>
      <c r="CV35" s="50">
        <f t="shared" si="23"/>
        <v>0.42086891942072041</v>
      </c>
      <c r="CW35" s="50">
        <f t="shared" si="24"/>
        <v>0.12833271444485703</v>
      </c>
      <c r="CX35" s="50">
        <f t="shared" si="25"/>
        <v>0.45079836613442259</v>
      </c>
      <c r="CY35" s="14">
        <f t="shared" si="26"/>
        <v>6594</v>
      </c>
      <c r="CZ35" s="14">
        <f t="shared" si="27"/>
        <v>3422</v>
      </c>
      <c r="DA35" s="14">
        <f>INT(SUMPRODUCT($AI35:$AM35,$BA35:$BE35)/SUM($BA35:$BE35)/10000*$BX$7*$BZ$34/'疲劳值&amp;地图信息'!$R$10*$BY$56)</f>
        <v>9137</v>
      </c>
      <c r="DB35" s="50">
        <f t="shared" si="28"/>
        <v>0.34428026940949197</v>
      </c>
      <c r="DC35" s="50">
        <f t="shared" si="29"/>
        <v>0.17866652743695505</v>
      </c>
      <c r="DD35" s="50">
        <f t="shared" si="30"/>
        <v>0.47705320315355298</v>
      </c>
      <c r="DE35" s="14">
        <f t="shared" si="31"/>
        <v>6776</v>
      </c>
      <c r="DF35" s="14">
        <f t="shared" si="32"/>
        <v>8643</v>
      </c>
      <c r="DG35" s="14">
        <f>INT(SUMPRODUCT($AP35:$AT35,$BA35:$BE35)/SUM($BA35:$BE35)/10000*$BX$7*$BZ$34/'疲劳值&amp;地图信息'!$R$10*$BY$57)</f>
        <v>12198</v>
      </c>
      <c r="DH35" s="50">
        <f t="shared" si="33"/>
        <v>0.24535612122967737</v>
      </c>
      <c r="DI35" s="50">
        <f t="shared" si="34"/>
        <v>0.31295940905963721</v>
      </c>
      <c r="DJ35" s="50">
        <f t="shared" si="35"/>
        <v>0.44168446971068542</v>
      </c>
      <c r="DL35" s="14">
        <f t="shared" si="106"/>
        <v>8408</v>
      </c>
      <c r="DM35" s="14">
        <f t="shared" si="107"/>
        <v>10639</v>
      </c>
      <c r="DN35" s="14">
        <f t="shared" si="108"/>
        <v>13465</v>
      </c>
      <c r="DO35" s="14">
        <f t="shared" si="109"/>
        <v>19153</v>
      </c>
      <c r="DP35" s="14">
        <f t="shared" si="110"/>
        <v>27617</v>
      </c>
      <c r="DQ35" s="14">
        <f t="shared" si="111"/>
        <v>502792</v>
      </c>
      <c r="DT35" s="14">
        <f t="shared" si="105"/>
        <v>235575</v>
      </c>
      <c r="DU35" s="50">
        <f t="shared" si="7"/>
        <v>0.31904865737499105</v>
      </c>
      <c r="DW35" s="14">
        <f t="shared" si="36"/>
        <v>738367</v>
      </c>
      <c r="EB35" s="14">
        <v>30</v>
      </c>
      <c r="EC35" s="51">
        <f t="shared" si="37"/>
        <v>8430</v>
      </c>
      <c r="ED35" s="51">
        <f t="shared" si="38"/>
        <v>1174</v>
      </c>
      <c r="EE35" s="51">
        <f>INT(SUMPRODUCT($N35:$R35,$BF35:$BJ35)/SUM($BF35:$BJ35)/10000*$BX$7*$BZ$46/'疲劳值&amp;地图信息'!$R$10*$BY$53)</f>
        <v>354</v>
      </c>
      <c r="EF35" s="50">
        <f t="shared" si="39"/>
        <v>0.84655553323960631</v>
      </c>
      <c r="EG35" s="50">
        <f t="shared" si="40"/>
        <v>0.11789515967061659</v>
      </c>
      <c r="EH35" s="50">
        <f t="shared" si="41"/>
        <v>3.5549307089777063E-2</v>
      </c>
      <c r="EI35" s="51">
        <f t="shared" si="42"/>
        <v>8755</v>
      </c>
      <c r="EJ35" s="51">
        <f t="shared" si="43"/>
        <v>1543</v>
      </c>
      <c r="EK35" s="14">
        <f>INT(SUMPRODUCT($U35:$Y35,$BF35:$BJ35)/SUM($BF35:$BJ35)/10000*$BX$7*$BZ$46/'疲劳值&amp;地图信息'!$R$10*$BY$54)</f>
        <v>597</v>
      </c>
      <c r="EL35" s="50">
        <f t="shared" si="44"/>
        <v>0.80357962368058744</v>
      </c>
      <c r="EM35" s="50">
        <f t="shared" si="45"/>
        <v>0.14162459843965122</v>
      </c>
      <c r="EN35" s="50">
        <f t="shared" si="46"/>
        <v>5.4795777879761358E-2</v>
      </c>
      <c r="EO35" s="51">
        <f t="shared" si="47"/>
        <v>9445</v>
      </c>
      <c r="EP35" s="51">
        <f t="shared" si="48"/>
        <v>2881</v>
      </c>
      <c r="EQ35" s="14">
        <f>INT(SUMPRODUCT($AB35:$AF35,$BF35:$BJ35)/SUM($BF35:$BJ35)/10000*$BX$7*$BZ$46/'疲劳值&amp;地图信息'!$R$10*$BY$55)</f>
        <v>812</v>
      </c>
      <c r="ER35" s="50">
        <f t="shared" si="49"/>
        <v>0.71890698736489578</v>
      </c>
      <c r="ES35" s="50">
        <f t="shared" si="50"/>
        <v>0.21928756279494596</v>
      </c>
      <c r="ET35" s="50">
        <f t="shared" si="51"/>
        <v>6.1805449840158316E-2</v>
      </c>
      <c r="EU35" s="51">
        <f t="shared" si="52"/>
        <v>10991</v>
      </c>
      <c r="EV35" s="51">
        <f t="shared" si="53"/>
        <v>5703</v>
      </c>
      <c r="EW35" s="14">
        <f>INT(SUMPRODUCT($AI35:$AM35,$BF35:$BJ35)/SUM($BF35:$BJ35)/10000*$BX$7*$BZ$46/'疲劳值&amp;地图信息'!$R$10*$BY$56)</f>
        <v>1218</v>
      </c>
      <c r="EX35" s="50">
        <f t="shared" si="54"/>
        <v>0.61361098704778916</v>
      </c>
      <c r="EY35" s="50">
        <f t="shared" si="55"/>
        <v>0.31838990620812863</v>
      </c>
      <c r="EZ35" s="50">
        <f t="shared" si="56"/>
        <v>6.7999106744082174E-2</v>
      </c>
      <c r="FA35" s="51">
        <f t="shared" si="57"/>
        <v>11294</v>
      </c>
      <c r="FB35" s="51">
        <f t="shared" si="58"/>
        <v>14406</v>
      </c>
      <c r="FC35" s="14">
        <f>INT(SUMPRODUCT($AP35:$AT35,$BF35:$BJ35)/SUM($BF35:$BJ35)/10000*$BX$7*$BZ$46/'疲劳值&amp;地图信息'!$R$10*$BY$57)</f>
        <v>1624</v>
      </c>
      <c r="FD35" s="50">
        <f t="shared" si="59"/>
        <v>0.41333626116234812</v>
      </c>
      <c r="FE35" s="50">
        <f t="shared" si="60"/>
        <v>0.52722880983750553</v>
      </c>
      <c r="FF35" s="50">
        <f t="shared" si="61"/>
        <v>5.9434929000146394E-2</v>
      </c>
      <c r="FH35" s="14">
        <f t="shared" si="62"/>
        <v>9958</v>
      </c>
      <c r="FI35" s="14">
        <f t="shared" si="63"/>
        <v>10895</v>
      </c>
      <c r="FJ35" s="14">
        <f t="shared" si="64"/>
        <v>13138</v>
      </c>
      <c r="FK35" s="14">
        <f t="shared" si="65"/>
        <v>17912</v>
      </c>
      <c r="FL35" s="14">
        <f t="shared" si="66"/>
        <v>27324</v>
      </c>
      <c r="FM35" s="14">
        <f t="shared" si="67"/>
        <v>1150933</v>
      </c>
      <c r="FP35" s="14">
        <f t="shared" si="68"/>
        <v>334150</v>
      </c>
      <c r="FQ35" s="50">
        <f t="shared" si="8"/>
        <v>0.22500425902121296</v>
      </c>
      <c r="FS35" s="14">
        <f t="shared" si="69"/>
        <v>1485083</v>
      </c>
      <c r="FX35" s="14">
        <v>30</v>
      </c>
      <c r="FY35" s="51">
        <f t="shared" si="70"/>
        <v>11802</v>
      </c>
      <c r="FZ35" s="51">
        <f t="shared" si="71"/>
        <v>1174</v>
      </c>
      <c r="GA35" s="51">
        <f>INT(SUMPRODUCT($N35:$R35,$BF35:$BJ35)/SUM($BF35:$BJ35)/10000*$BX$7*$BZ$46/'疲劳值&amp;地图信息'!$R$10*$BY$53)</f>
        <v>354</v>
      </c>
      <c r="GB35" s="50">
        <f t="shared" si="72"/>
        <v>0.88537134283570895</v>
      </c>
      <c r="GC35" s="50">
        <f t="shared" si="73"/>
        <v>8.8072018004501124E-2</v>
      </c>
      <c r="GD35" s="50">
        <f t="shared" si="74"/>
        <v>2.6556639159789949E-2</v>
      </c>
      <c r="GE35" s="51">
        <f t="shared" si="75"/>
        <v>12257</v>
      </c>
      <c r="GF35" s="51">
        <f t="shared" si="76"/>
        <v>1543</v>
      </c>
      <c r="GG35" s="14">
        <f>INT(SUMPRODUCT($U35:$Y35,$BF35:$BJ35)/SUM($BF35:$BJ35)/10000*$BX$7*$BZ$46/'疲劳值&amp;地图信息'!$R$10*$BY$54)</f>
        <v>597</v>
      </c>
      <c r="GH35" s="50">
        <f t="shared" si="77"/>
        <v>0.85135792178926162</v>
      </c>
      <c r="GI35" s="50">
        <f t="shared" si="78"/>
        <v>0.10717510592484546</v>
      </c>
      <c r="GJ35" s="50">
        <f t="shared" si="79"/>
        <v>4.1466972285892897E-2</v>
      </c>
      <c r="GK35" s="51">
        <f t="shared" si="80"/>
        <v>13224</v>
      </c>
      <c r="GL35" s="51">
        <f t="shared" si="81"/>
        <v>2881</v>
      </c>
      <c r="GM35" s="14">
        <f>INT(SUMPRODUCT($AB35:$AF35,$BF35:$BJ35)/SUM($BF35:$BJ35)/10000*$BX$7*$BZ$46/'疲劳值&amp;地图信息'!$R$10*$BY$55)</f>
        <v>812</v>
      </c>
      <c r="GN35" s="50">
        <f t="shared" si="82"/>
        <v>0.78169888278063482</v>
      </c>
      <c r="GO35" s="50">
        <f t="shared" si="83"/>
        <v>0.17030206301353668</v>
      </c>
      <c r="GP35" s="50">
        <f t="shared" si="84"/>
        <v>4.7999054205828458E-2</v>
      </c>
      <c r="GQ35" s="51">
        <f t="shared" si="85"/>
        <v>15387</v>
      </c>
      <c r="GR35" s="51">
        <f t="shared" si="86"/>
        <v>5703</v>
      </c>
      <c r="GS35" s="14">
        <f>INT(SUMPRODUCT($AI35:$AM35,$BF35:$BJ35)/SUM($BF35:$BJ35)/10000*$BX$7*$BZ$46/'疲劳值&amp;地图信息'!$R$10*$BY$56)</f>
        <v>1218</v>
      </c>
      <c r="GT35" s="50">
        <f t="shared" si="87"/>
        <v>0.68975255513717049</v>
      </c>
      <c r="GU35" s="50">
        <f t="shared" si="88"/>
        <v>0.25564819795589028</v>
      </c>
      <c r="GV35" s="50">
        <f t="shared" si="89"/>
        <v>5.4599246906939215E-2</v>
      </c>
      <c r="GW35" s="51">
        <f t="shared" si="90"/>
        <v>15812</v>
      </c>
      <c r="GX35" s="51">
        <f t="shared" si="91"/>
        <v>14406</v>
      </c>
      <c r="GY35" s="14">
        <f>INT(SUMPRODUCT($AP35:$AT35,$BF35:$BJ35)/SUM($BF35:$BJ35)/10000*$BX$7*$BZ$46/'疲劳值&amp;地图信息'!$R$10*$BY$57)</f>
        <v>1624</v>
      </c>
      <c r="GZ35" s="50">
        <f t="shared" si="92"/>
        <v>0.49657684818792791</v>
      </c>
      <c r="HA35" s="50">
        <f t="shared" si="93"/>
        <v>0.45242133031844733</v>
      </c>
      <c r="HB35" s="50">
        <f t="shared" si="94"/>
        <v>5.1001821493624776E-2</v>
      </c>
      <c r="HD35" s="14">
        <f t="shared" si="95"/>
        <v>13330</v>
      </c>
      <c r="HE35" s="14">
        <f t="shared" si="96"/>
        <v>14397</v>
      </c>
      <c r="HF35" s="14">
        <f t="shared" si="97"/>
        <v>16917</v>
      </c>
      <c r="HG35" s="14">
        <f t="shared" si="98"/>
        <v>22308</v>
      </c>
      <c r="HH35" s="14">
        <f t="shared" si="99"/>
        <v>31842</v>
      </c>
      <c r="HI35" s="14">
        <f t="shared" si="100"/>
        <v>1517311</v>
      </c>
      <c r="HL35" s="14">
        <f t="shared" si="101"/>
        <v>430050</v>
      </c>
      <c r="HM35" s="50">
        <f t="shared" si="9"/>
        <v>0.22083732805576367</v>
      </c>
      <c r="HO35" s="14">
        <f t="shared" si="102"/>
        <v>1947361</v>
      </c>
    </row>
    <row r="36" spans="3:223" x14ac:dyDescent="0.2">
      <c r="C36" s="1" t="s">
        <v>432</v>
      </c>
      <c r="D36" s="1" t="s">
        <v>437</v>
      </c>
      <c r="K36" s="14">
        <v>31</v>
      </c>
      <c r="L36" s="12">
        <f>求节点(节奏总纲!D$4:D$163,标准城池设计!AB$4:AB$163,$K36)*求节点(节奏总纲!D$4:D$163,攻城基础信息!$AC$5:$AC$164,$K36)</f>
        <v>236899.59268226917</v>
      </c>
      <c r="M36" s="12">
        <f>INDEX(其他调用!$AA$5:$AA$404,MATCH(K36,其他调用!$X$5:$X$404,0))*MIN(INDEX(其他调用!$AH$5:$AH$364,MATCH('征服点（新）'!K36,其他调用!$AG$5:$AG$364,0),1)/INDEX(其他调用!$AJ$5:$AJ$364,MATCH(K36,其他调用!$AG$5:$AG$364,0),0),5)*求节点(节奏总纲!D$4:D$163,攻城基础信息!$AC$5:$AC$164,$K36)</f>
        <v>32850.404326365286</v>
      </c>
      <c r="N36" s="12">
        <f>MIN(INDEX(其他调用!$AH$5:$AH$364,MATCH($K36,其他调用!$AG$5:$AG$364,0),1)/INDEX(其他调用!AH$5:AH$364,MATCH($K36,其他调用!$AG$5:$AG$364,0),0),1)*INDEX(其他调用!Y$5:Y$404,MATCH($K36,其他调用!$X$5:$X$404,0),0)</f>
        <v>29657.512328299134</v>
      </c>
      <c r="O36" s="12">
        <f>MIN(INDEX(其他调用!$AH$5:$AH$364,MATCH($K36,其他调用!$AG$5:$AG$364,0),1)/INDEX(其他调用!AI$5:AI$364,MATCH($K36,其他调用!$AG$5:$AG$364,0),0),1)*INDEX(其他调用!Z$5:Z$404,MATCH($K36,其他调用!$X$5:$X$404,0),0)</f>
        <v>23083.303328695241</v>
      </c>
      <c r="P36" s="12">
        <f>MIN(INDEX(其他调用!$AH$5:$AH$364,MATCH($K36,其他调用!$AG$5:$AG$364,0),1)/INDEX(其他调用!AJ$5:AJ$364,MATCH($K36,其他调用!$AG$5:$AG$364,0),0),1)*INDEX(其他调用!AA$5:AA$404,MATCH($K36,其他调用!$X$5:$X$404,0),0)</f>
        <v>13140.161730546106</v>
      </c>
      <c r="Q36" s="12">
        <f>MIN(INDEX(其他调用!$AH$5:$AH$364,MATCH($K36,其他调用!$AG$5:$AG$364,0),1)/INDEX(其他调用!AK$5:AK$364,MATCH($K36,其他调用!$AG$5:$AG$364,0),0),1)*INDEX(其他调用!AB$5:AB$404,MATCH($K36,其他调用!$X$5:$X$404,0),0)</f>
        <v>6881.0823899808647</v>
      </c>
      <c r="R36" s="12">
        <f>MIN(INDEX(其他调用!$AH$5:$AH$364,MATCH($K36,其他调用!$AG$5:$AG$364,0),1)/INDEX(其他调用!AL$5:AL$364,MATCH($K36,其他调用!$AG$5:$AG$364,0),0),1)*INDEX(其他调用!AC$5:AC$404,MATCH($K36,其他调用!$X$5:$X$404,0),0)</f>
        <v>2170.6711926748853</v>
      </c>
      <c r="S36" s="12">
        <f>求节点(节奏总纲!D$4:D$163,标准城池设计!AC$4:AC$163,$K36)*求节点(节奏总纲!D$4:D$163,攻城基础信息!$AD$5:$AD$164,$K36)</f>
        <v>245549.03502611205</v>
      </c>
      <c r="T36" s="12">
        <f>INDEX(其他调用!$AA$5:$AA$404,MATCH($K36,其他调用!$X$5:$X$404,0))*MIN(INDEX(其他调用!AI$5:AI$364,MATCH($K36,其他调用!$AG$5:$AG$364,0),1)/INDEX(其他调用!$AJ$5:$AJ$364,MATCH($K36,其他调用!$AG$5:$AG$364,0),0),5)*求节点(节奏总纲!D$4:D$163,攻城基础信息!$AD$5:$AD$164,$K36)</f>
        <v>43728.756538343208</v>
      </c>
      <c r="U36" s="12">
        <f>MIN(INDEX(其他调用!$AI$5:$AI$364,MATCH($K36,其他调用!$AG$5:$AG$364,0),1)/INDEX(其他调用!AH$5:AH$364,MATCH($K36,其他调用!$AG$5:$AG$364,0),0),1)*INDEX(其他调用!Y$5:Y$404,MATCH($K36,其他调用!$X$5:$X$404,0),0)</f>
        <v>29657.512328299134</v>
      </c>
      <c r="V36" s="12">
        <f>MIN(INDEX(其他调用!$AI$5:$AI$364,MATCH($K36,其他调用!$AG$5:$AG$364,0),1)/INDEX(其他调用!AI$5:AI$364,MATCH($K36,其他调用!$AG$5:$AG$364,0),0),1)*INDEX(其他调用!Z$5:Z$404,MATCH($K36,其他调用!$X$5:$X$404,0),0)</f>
        <v>30727.297640933684</v>
      </c>
      <c r="W36" s="12">
        <f>MIN(INDEX(其他调用!$AI$5:$AI$364,MATCH($K36,其他调用!$AG$5:$AG$364,0),1)/INDEX(其他调用!AJ$5:AJ$364,MATCH($K36,其他调用!$AG$5:$AG$364,0),0),1)*INDEX(其他调用!AA$5:AA$404,MATCH($K36,其他调用!$X$5:$X$404,0),0)</f>
        <v>17491.502615337275</v>
      </c>
      <c r="X36" s="12">
        <f>MIN(INDEX(其他调用!$AI$5:$AI$364,MATCH($K36,其他调用!$AG$5:$AG$364,0),1)/INDEX(其他调用!AK$5:AK$364,MATCH($K36,其他调用!$AG$5:$AG$364,0),0),1)*INDEX(其他调用!AB$5:AB$404,MATCH($K36,其他调用!$X$5:$X$404,0),0)</f>
        <v>9159.7404270076204</v>
      </c>
      <c r="Y36" s="12">
        <f>MIN(INDEX(其他调用!$AI$5:$AI$364,MATCH($K36,其他调用!$AG$5:$AG$364,0),1)/INDEX(其他调用!AL$5:AL$364,MATCH($K36,其他调用!$AG$5:$AG$364,0),0),1)*INDEX(其他调用!AC$5:AC$404,MATCH($K36,其他调用!$X$5:$X$404,0),0)</f>
        <v>2889.4850476191264</v>
      </c>
      <c r="Z36" s="12">
        <f>求节点(节奏总纲!D$4:D$163,标准城池设计!AD$4:AD$163,$K36)*求节点(节奏总纲!D$4:D$163,攻城基础信息!$AE$5:$AE$164,$K36)</f>
        <v>264711.63792175526</v>
      </c>
      <c r="AA36" s="12">
        <f>INDEX(其他调用!$AA$5:$AA$404,MATCH($K36,其他调用!$X$5:$X$404,0))*MIN(INDEX(其他调用!AJ$5:AJ$364,MATCH($K36,其他调用!$AG$5:$AG$364,0),1)/INDEX(其他调用!$AJ$5:$AJ$364,MATCH($K36,其他调用!$AG$5:$AG$364,0),0),5)*求节点(节奏总纲!D$4:D$163,攻城基础信息!$AE$5:$AE$164,$K36)</f>
        <v>80301.058367396734</v>
      </c>
      <c r="AB36" s="12">
        <f>MIN(INDEX(其他调用!$AJ$5:$AJ$364,MATCH($K36,其他调用!$AG$5:$AG$364,0),1)/INDEX(其他调用!AH$5:AH$364,MATCH($K36,其他调用!$AG$5:$AG$364,0),0),1)*INDEX(其他调用!Y$5:Y$404,MATCH($K36,其他调用!$X$5:$X$404,0),0)</f>
        <v>29657.512328299134</v>
      </c>
      <c r="AC36" s="12">
        <f>MIN(INDEX(其他调用!$AJ$5:$AJ$364,MATCH($K36,其他调用!$AG$5:$AG$364,0),1)/INDEX(其他调用!AI$5:AI$364,MATCH($K36,其他调用!$AG$5:$AG$364,0),0),1)*INDEX(其他调用!Z$5:Z$404,MATCH($K36,其他调用!$X$5:$X$404,0),0)</f>
        <v>30727.297640933684</v>
      </c>
      <c r="AD36" s="12">
        <f>MIN(INDEX(其他调用!$AJ$5:$AJ$364,MATCH($K36,其他调用!$AG$5:$AG$364,0),1)/INDEX(其他调用!AJ$5:AJ$364,MATCH($K36,其他调用!$AG$5:$AG$364,0),0),1)*INDEX(其他调用!AA$5:AA$404,MATCH($K36,其他调用!$X$5:$X$404,0),0)</f>
        <v>32120.423346958676</v>
      </c>
      <c r="AE36" s="12">
        <f>MIN(INDEX(其他调用!$AJ$5:$AJ$364,MATCH($K36,其他调用!$AG$5:$AG$364,0),1)/INDEX(其他调用!AK$5:AK$364,MATCH($K36,其他调用!$AG$5:$AG$364,0),0),1)*INDEX(其他调用!AB$5:AB$404,MATCH($K36,其他调用!$X$5:$X$404,0),0)</f>
        <v>16820.43828560258</v>
      </c>
      <c r="AF36" s="12">
        <f>MIN(INDEX(其他调用!$AJ$5:$AJ$364,MATCH($K36,其他调用!$AG$5:$AG$364,0),1)/INDEX(其他调用!AL$5:AL$364,MATCH($K36,其他调用!$AG$5:$AG$364,0),0),1)*INDEX(其他调用!AC$5:AC$404,MATCH($K36,其他调用!$X$5:$X$404,0),0)</f>
        <v>5306.0897640007461</v>
      </c>
      <c r="AG36" s="12">
        <f>求节点(节奏总纲!D$4:D$163,标准城池设计!AE$4:AE$163,$K36)*求节点(节奏总纲!D$4:D$163,攻城基础信息!$AF$5:$AF$164,$K36)</f>
        <v>307666.04232147784</v>
      </c>
      <c r="AH36" s="12">
        <f>INDEX(其他调用!$AA$5:$AA$404,MATCH($K36,其他调用!$X$5:$X$404,0))*MIN(INDEX(其他调用!AK$5:AK$364,MATCH($K36,其他调用!$AG$5:$AG$364,0),1)/INDEX(其他调用!$AJ$5:$AJ$364,MATCH($K36,其他调用!$AG$5:$AG$364,0),0),5)*求节点(节奏总纲!D$4:D$163,攻城基础信息!$AF$5:$AF$164,$K36)</f>
        <v>163418.97545018964</v>
      </c>
      <c r="AI36" s="12">
        <f>MIN(INDEX(其他调用!$AK$5:$AK$364,MATCH($K36,其他调用!$AG$5:$AG$364,0),1)/INDEX(其他调用!AH$5:AH$364,MATCH($K36,其他调用!$AG$5:$AG$364,0),0),1)*INDEX(其他调用!Y$5:Y$404,MATCH($K36,其他调用!$X$5:$X$404,0),0)</f>
        <v>29657.512328299134</v>
      </c>
      <c r="AJ36" s="12">
        <f>MIN(INDEX(其他调用!$AK$5:$AK$364,MATCH($K36,其他调用!$AG$5:$AG$364,0),1)/INDEX(其他调用!AI$5:AI$364,MATCH($K36,其他调用!$AG$5:$AG$364,0),0),1)*INDEX(其他调用!Z$5:Z$404,MATCH($K36,其他调用!$X$5:$X$404,0),0)</f>
        <v>30727.297640933684</v>
      </c>
      <c r="AK36" s="12">
        <f>MIN(INDEX(其他调用!$AK$5:$AK$364,MATCH($K36,其他调用!$AG$5:$AG$364,0),1)/INDEX(其他调用!AJ$5:AJ$364,MATCH($K36,其他调用!$AG$5:$AG$364,0),0),1)*INDEX(其他调用!AA$5:AA$404,MATCH($K36,其他调用!$X$5:$X$404,0),0)</f>
        <v>32120.423346958676</v>
      </c>
      <c r="AL36" s="12">
        <f>MIN(INDEX(其他调用!$AK$5:$AK$364,MATCH($K36,其他调用!$AG$5:$AG$364,0),1)/INDEX(其他调用!AK$5:AK$364,MATCH($K36,其他调用!$AG$5:$AG$364,0),0),1)*INDEX(其他调用!AB$5:AB$404,MATCH($K36,其他调用!$X$5:$X$404,0),0)</f>
        <v>34230.916094280998</v>
      </c>
      <c r="AM36" s="12">
        <f>MIN(INDEX(其他调用!$AK$5:$AK$364,MATCH($K36,其他调用!$AG$5:$AG$364,0),1)/INDEX(其他调用!AL$5:AL$364,MATCH($K36,其他调用!$AG$5:$AG$364,0),0),1)*INDEX(其他调用!AC$5:AC$404,MATCH($K36,其他调用!$X$5:$X$404,0),0)</f>
        <v>10798.310389789343</v>
      </c>
      <c r="AN36" s="12">
        <f>求节点(节奏总纲!D$4:D$163,标准城池设计!AF$4:AF$163,$K36)*求节点(节奏总纲!D$4:D$163,攻城基础信息!$AG$5:$AG$164,$K36)</f>
        <v>316329.18368531548</v>
      </c>
      <c r="AO36" s="12">
        <f>INDEX(其他调用!$AA$5:$AA$404,MATCH($K36,其他调用!$X$5:$X$404,0))*MIN(INDEX(其他调用!AL$5:AL$364,MATCH($K36,其他调用!$AG$5:$AG$364,0),1)/INDEX(其他调用!$AJ$5:$AJ$364,MATCH($K36,其他调用!$AG$5:$AG$364,0),0),5)*求节点(节奏总纲!D$4:D$163,攻城基础信息!$AG$5:$AG$164,$K36)</f>
        <v>401505.29183698364</v>
      </c>
      <c r="AP36" s="12">
        <f>MIN(INDEX(其他调用!$AL$5:$AL$364,MATCH($K36,其他调用!$AG$5:$AG$364,0),1)/INDEX(其他调用!AH$5:AH$364,MATCH($K36,其他调用!$AG$5:$AG$364,0),0),1)*INDEX(其他调用!Y$5:Y$404,MATCH($K36,其他调用!$X$5:$X$404,0),0)</f>
        <v>29657.512328299134</v>
      </c>
      <c r="AQ36" s="12">
        <f>MIN(INDEX(其他调用!$AL$5:$AL$364,MATCH($K36,其他调用!$AG$5:$AG$364,0),1)/INDEX(其他调用!AI$5:AI$364,MATCH($K36,其他调用!$AG$5:$AG$364,0),0),1)*INDEX(其他调用!Z$5:Z$404,MATCH($K36,其他调用!$X$5:$X$404,0),0)</f>
        <v>30727.297640933684</v>
      </c>
      <c r="AR36" s="12">
        <f>MIN(INDEX(其他调用!$AL$5:$AL$364,MATCH($K36,其他调用!$AG$5:$AG$364,0),1)/INDEX(其他调用!AJ$5:AJ$364,MATCH($K36,其他调用!$AG$5:$AG$364,0),0),1)*INDEX(其他调用!AA$5:AA$404,MATCH($K36,其他调用!$X$5:$X$404,0),0)</f>
        <v>32120.423346958676</v>
      </c>
      <c r="AS36" s="12">
        <f>MIN(INDEX(其他调用!$AL$5:$AL$364,MATCH($K36,其他调用!$AG$5:$AG$364,0),1)/INDEX(其他调用!AK$5:AK$364,MATCH($K36,其他调用!$AG$5:$AG$364,0),0),1)*INDEX(其他调用!AB$5:AB$404,MATCH($K36,其他调用!$X$5:$X$404,0),0)</f>
        <v>34230.916094280998</v>
      </c>
      <c r="AT36" s="12">
        <f>MIN(INDEX(其他调用!$AL$5:$AL$364,MATCH($K36,其他调用!$AG$5:$AG$364,0),1)/INDEX(其他调用!AL$5:AL$364,MATCH($K36,其他调用!$AG$5:$AG$364,0),0),1)*INDEX(其他调用!AC$5:AC$404,MATCH($K36,其他调用!$X$5:$X$404,0),0)</f>
        <v>38031.973799043953</v>
      </c>
      <c r="AV36" s="14">
        <f>IF(OR(AV$5="大R",AV$5="超R"),MAX(INDEX(其他调用!$H$5:$L$404,MATCH($K36,其他调用!$B$5:$B$404,0),MATCH(AV$5,其他调用!$H$4:$L$4,0))*120*0.85,2),INDEX(其他调用!$H$5:$L$404,MATCH($K36,其他调用!$B$5:$B$404,0),MATCH(AV$5,其他调用!$H$4:$L$4,0))*120*0.85)</f>
        <v>54.645930793636374</v>
      </c>
      <c r="AW36" s="14">
        <f>IF(OR(AW$5="大R",AW$5="超R"),MAX(INDEX(其他调用!$H$5:$L$404,MATCH($K36,其他调用!$B$5:$B$404,0),MATCH(AW$5,其他调用!$H$4:$L$4,0))*120*0.85,2),INDEX(其他调用!$H$5:$L$404,MATCH($K36,其他调用!$B$5:$B$404,0),MATCH(AW$5,其他调用!$H$4:$L$4,0))*120*0.85)</f>
        <v>42.805914234715608</v>
      </c>
      <c r="AX36" s="14">
        <f>IF(OR(AX$5="大R",AX$5="超R"),MAX(INDEX(其他调用!$H$5:$L$404,MATCH($K36,其他调用!$B$5:$B$404,0),MATCH(AX$5,其他调用!$H$4:$L$4,0))*120*0.85,2),INDEX(其他调用!$H$5:$L$404,MATCH($K36,其他调用!$B$5:$B$404,0),MATCH(AX$5,其他调用!$H$4:$L$4,0))*120*0.85)</f>
        <v>3.8059050516480002</v>
      </c>
      <c r="AY36" s="14">
        <f>IF(OR(AY$5="大R",AY$5="超R"),MAX(INDEX(其他调用!$H$5:$L$404,MATCH($K36,其他调用!$B$5:$B$404,0),MATCH(AY$5,其他调用!$H$4:$L$4,0))*120*0.85,2),INDEX(其他调用!$H$5:$L$404,MATCH($K36,其他调用!$B$5:$B$404,0),MATCH(AY$5,其他调用!$H$4:$L$4,0))*120*0.85)</f>
        <v>2</v>
      </c>
      <c r="AZ36" s="14">
        <f>IF(OR(AZ$5="大R",AZ$5="超R"),MAX(INDEX(其他调用!$H$5:$L$404,MATCH($K36,其他调用!$B$5:$B$404,0),MATCH(AZ$5,其他调用!$H$4:$L$4,0))*120*0.85,2),INDEX(其他调用!$H$5:$L$404,MATCH($K36,其他调用!$B$5:$B$404,0),MATCH(AZ$5,其他调用!$H$4:$L$4,0))*120*0.85)</f>
        <v>2</v>
      </c>
      <c r="BA36" s="14">
        <f>INDEX(其他调用!$H$5:$L$404,MATCH($K36,其他调用!$B$5:$B$404,0),MATCH(BA$5,其他调用!$H$4:$L$4,0))*INDEX(其他调用!$M$5:$M$404,MATCH($K36,其他调用!$B$5:$B$404,0))*0.6</f>
        <v>28.117127712850273</v>
      </c>
      <c r="BB36" s="14">
        <f>INDEX(其他调用!$H$5:$L$404,MATCH($K36,其他调用!$B$5:$B$404,0),MATCH(BB$5,其他调用!$H$4:$L$4,0))*INDEX(其他调用!$M$5:$M$404,MATCH($K36,其他调用!$B$5:$B$404,0))*0.6</f>
        <v>22.025049988588965</v>
      </c>
      <c r="BC36" s="14">
        <f>INDEX(其他调用!$H$5:$L$404,MATCH($K36,其他调用!$B$5:$B$404,0),MATCH(BC$5,其他调用!$H$4:$L$4,0))*INDEX(其他调用!$M$5:$M$404,MATCH($K36,其他调用!$B$5:$B$404,0))*0.6</f>
        <v>1.9582632566784</v>
      </c>
      <c r="BD36" s="14">
        <f>INDEX(其他调用!$H$5:$L$404,MATCH($K36,其他调用!$B$5:$B$404,0),MATCH(BD$5,其他调用!$H$4:$L$4,0))*INDEX(其他调用!$M$5:$M$404,MATCH($K36,其他调用!$B$5:$B$404,0))*0.6</f>
        <v>0.30583356423529418</v>
      </c>
      <c r="BE36" s="14">
        <f>INDEX(其他调用!$H$5:$L$404,MATCH($K36,其他调用!$B$5:$B$404,0),MATCH(BE$5,其他调用!$H$4:$L$4,0))*INDEX(其他调用!$M$5:$M$404,MATCH($K36,其他调用!$B$5:$B$404,0))*0.6</f>
        <v>7.6078418823529406E-2</v>
      </c>
      <c r="BF36" s="14">
        <f>IF(OR(BF$5="大R",BF$5="超R"),0,INDEX(其他调用!$H$5:$L$404,MATCH($K36,其他调用!$B$5:$B$404,0),MATCH(BF$5,其他调用!$H$4:$L$4,0))*50*0.4)</f>
        <v>10.714888390909096</v>
      </c>
      <c r="BG36" s="14">
        <f>IF(OR(BG$5="大R",BG$5="超R"),0,INDEX(其他调用!$H$5:$L$404,MATCH($K36,其他调用!$B$5:$B$404,0),MATCH(BG$5,其他调用!$H$4:$L$4,0))*50*0.4)</f>
        <v>8.3933165166109056</v>
      </c>
      <c r="BH36" s="14">
        <f>IF(OR(BH$5="大R",BH$5="超R"),0,INDEX(其他调用!$H$5:$L$404,MATCH($K36,其他调用!$B$5:$B$404,0),MATCH(BH$5,其他调用!$H$4:$L$4,0))*50*0.4)</f>
        <v>0.74625589248000002</v>
      </c>
      <c r="BI36" s="14">
        <f>IF(OR(BI$5="大R",BI$5="超R"),0,INDEX(其他调用!$H$5:$L$404,MATCH($K36,其他调用!$B$5:$B$404,0),MATCH(BI$5,其他调用!$H$4:$L$4,0))*50*0.4)</f>
        <v>0</v>
      </c>
      <c r="BJ36" s="14">
        <f>IF(OR(BJ$5="大R",BJ$5="超R"),0,INDEX(其他调用!$H$5:$L$404,MATCH($K36,其他调用!$B$5:$B$404,0),MATCH(BJ$5,其他调用!$H$4:$L$4,0))*50*0.4)</f>
        <v>0</v>
      </c>
      <c r="BL36" s="14">
        <f t="shared" si="103"/>
        <v>31</v>
      </c>
      <c r="BM36" s="14">
        <f t="shared" si="10"/>
        <v>96</v>
      </c>
      <c r="BN36" s="14">
        <f>('疲劳值&amp;地图信息'!$S$10*'疲劳值&amp;地图信息'!$R$10+'疲劳值&amp;地图信息'!$S$11*'疲劳值&amp;地图信息'!$R$11+'疲劳值&amp;地图信息'!$S$12*'疲劳值&amp;地图信息'!$R$12+(BM36-'疲劳值&amp;地图信息'!$S$12-'疲劳值&amp;地图信息'!$S$11-'疲劳值&amp;地图信息'!$S$10)*'疲劳值&amp;地图信息'!$R$13)/BM36</f>
        <v>51.371477246638619</v>
      </c>
      <c r="BO36" s="14">
        <f>INDEX(其他调用!$M$5:$M$404,MATCH(BL36,其他调用!$B$5:$B$404,0))*0.6</f>
        <v>52.482352941176465</v>
      </c>
      <c r="BP36" s="14">
        <f>IF(BO36&gt;SUM('疲劳值&amp;地图信息'!$S$10:$S$12),('疲劳值&amp;地图信息'!$S$10*'疲劳值&amp;地图信息'!$R$10+'疲劳值&amp;地图信息'!$S$11*'疲劳值&amp;地图信息'!$R$11+'疲劳值&amp;地图信息'!$S$12*'疲劳值&amp;地图信息'!$R$12+(BO36-'疲劳值&amp;地图信息'!$S$12-'疲劳值&amp;地图信息'!$S$11-'疲劳值&amp;地图信息'!$S$10)*'疲劳值&amp;地图信息'!$R$13)/BO36,('疲劳值&amp;地图信息'!$S$10*'疲劳值&amp;地图信息'!$R$10+'疲劳值&amp;地图信息'!$S$11*'疲劳值&amp;地图信息'!$R$11+'疲劳值&amp;地图信息'!$S$12*'疲劳值&amp;地图信息'!$R$12+(BO36-'疲劳值&amp;地图信息'!$S$12-'疲劳值&amp;地图信息'!$S$11-'疲劳值&amp;地图信息'!$S$10)*'疲劳值&amp;地图信息'!$R$13)/BO36)</f>
        <v>41.402805047686279</v>
      </c>
      <c r="BQ36" s="14">
        <f t="shared" si="104"/>
        <v>20</v>
      </c>
      <c r="BR36" s="14">
        <f>('疲劳值&amp;地图信息'!$S$10*'疲劳值&amp;地图信息'!$R$10+($BQ36-'疲劳值&amp;地图信息'!$S$10)*'疲劳值&amp;地图信息'!$R$11)/$BQ36</f>
        <v>32.067203015074995</v>
      </c>
      <c r="BW36" s="14"/>
      <c r="BX36" s="62" t="s">
        <v>462</v>
      </c>
      <c r="BY36" s="63"/>
      <c r="BZ36" s="64"/>
      <c r="CF36" s="14">
        <v>31</v>
      </c>
      <c r="CG36" s="51">
        <f t="shared" si="11"/>
        <v>5149</v>
      </c>
      <c r="CH36" s="51">
        <f t="shared" si="12"/>
        <v>714</v>
      </c>
      <c r="CI36" s="51">
        <f>INT(SUMPRODUCT($N36:$R36,$BA36:$BE36)/SUM($BA36:$BE36)/10000*$BX$7*$BZ$34/'疲劳值&amp;地图信息'!$R$10*$BY$53)</f>
        <v>2649</v>
      </c>
      <c r="CJ36" s="50">
        <f t="shared" si="13"/>
        <v>0.6049107142857143</v>
      </c>
      <c r="CK36" s="50">
        <f t="shared" si="14"/>
        <v>8.3881578947368418E-2</v>
      </c>
      <c r="CL36" s="50">
        <f t="shared" si="15"/>
        <v>0.31120770676691728</v>
      </c>
      <c r="CM36" s="14">
        <f t="shared" si="16"/>
        <v>5337</v>
      </c>
      <c r="CN36" s="14">
        <f t="shared" si="17"/>
        <v>950</v>
      </c>
      <c r="CO36" s="14">
        <f>INT(SUMPRODUCT($U36:$Y36,$BA36:$BE36)/SUM($BA36:$BE36)/10000*$BX$7*$BZ$34/'疲劳值&amp;地图信息'!$R$10*$BY$54)</f>
        <v>4489</v>
      </c>
      <c r="CP36" s="50">
        <f t="shared" si="18"/>
        <v>0.49526726057906456</v>
      </c>
      <c r="CQ36" s="50">
        <f t="shared" si="19"/>
        <v>8.8158871566443947E-2</v>
      </c>
      <c r="CR36" s="50">
        <f t="shared" si="20"/>
        <v>0.41657386785449146</v>
      </c>
      <c r="CS36" s="14">
        <f t="shared" si="21"/>
        <v>5754</v>
      </c>
      <c r="CT36" s="14">
        <f t="shared" si="22"/>
        <v>1745</v>
      </c>
      <c r="CU36" s="14">
        <f>INT(SUMPRODUCT($AB36:$AF36,$BA36:$BE36)/SUM($BA36:$BE36)/10000*$BX$7*$BZ$34/'疲劳值&amp;地图信息'!$R$10*$BY$55)</f>
        <v>6105</v>
      </c>
      <c r="CV36" s="50">
        <f t="shared" si="23"/>
        <v>0.42296383416642164</v>
      </c>
      <c r="CW36" s="50">
        <f t="shared" si="24"/>
        <v>0.12827109673625403</v>
      </c>
      <c r="CX36" s="50">
        <f t="shared" si="25"/>
        <v>0.44876506909732433</v>
      </c>
      <c r="CY36" s="14">
        <f t="shared" si="26"/>
        <v>6687</v>
      </c>
      <c r="CZ36" s="14">
        <f t="shared" si="27"/>
        <v>3552</v>
      </c>
      <c r="DA36" s="14">
        <f>INT(SUMPRODUCT($AI36:$AM36,$BA36:$BE36)/SUM($BA36:$BE36)/10000*$BX$7*$BZ$34/'疲劳值&amp;地图信息'!$R$10*$BY$56)</f>
        <v>9192</v>
      </c>
      <c r="DB36" s="50">
        <f t="shared" si="28"/>
        <v>0.34414080592867069</v>
      </c>
      <c r="DC36" s="50">
        <f t="shared" si="29"/>
        <v>0.18280067932684885</v>
      </c>
      <c r="DD36" s="50">
        <f t="shared" si="30"/>
        <v>0.47305851474448046</v>
      </c>
      <c r="DE36" s="14">
        <f t="shared" si="31"/>
        <v>6876</v>
      </c>
      <c r="DF36" s="14">
        <f t="shared" si="32"/>
        <v>8727</v>
      </c>
      <c r="DG36" s="14">
        <f>INT(SUMPRODUCT($AP36:$AT36,$BA36:$BE36)/SUM($BA36:$BE36)/10000*$BX$7*$BZ$34/'疲劳值&amp;地图信息'!$R$10*$BY$57)</f>
        <v>12272</v>
      </c>
      <c r="DH36" s="50">
        <f t="shared" si="33"/>
        <v>0.24667264573991032</v>
      </c>
      <c r="DI36" s="50">
        <f t="shared" si="34"/>
        <v>0.31307623318385652</v>
      </c>
      <c r="DJ36" s="50">
        <f t="shared" si="35"/>
        <v>0.44025112107623321</v>
      </c>
      <c r="DL36" s="14">
        <f t="shared" si="106"/>
        <v>8512</v>
      </c>
      <c r="DM36" s="14">
        <f t="shared" si="107"/>
        <v>10776</v>
      </c>
      <c r="DN36" s="14">
        <f t="shared" si="108"/>
        <v>13604</v>
      </c>
      <c r="DO36" s="14">
        <f t="shared" si="109"/>
        <v>19431</v>
      </c>
      <c r="DP36" s="14">
        <f t="shared" si="110"/>
        <v>27875</v>
      </c>
      <c r="DQ36" s="14">
        <f t="shared" si="111"/>
        <v>511378</v>
      </c>
      <c r="DT36" s="14">
        <f t="shared" si="105"/>
        <v>235575</v>
      </c>
      <c r="DU36" s="50">
        <f t="shared" si="7"/>
        <v>0.31538128905031509</v>
      </c>
      <c r="DW36" s="14">
        <f t="shared" si="36"/>
        <v>746953</v>
      </c>
      <c r="EB36" s="14">
        <v>31</v>
      </c>
      <c r="EC36" s="51">
        <f t="shared" si="37"/>
        <v>8582</v>
      </c>
      <c r="ED36" s="51">
        <f t="shared" si="38"/>
        <v>1190</v>
      </c>
      <c r="EE36" s="51">
        <f>INT(SUMPRODUCT($N36:$R36,$BF36:$BJ36)/SUM($BF36:$BJ36)/10000*$BX$7*$BZ$46/'疲劳值&amp;地图信息'!$R$10*$BY$53)</f>
        <v>355</v>
      </c>
      <c r="EF36" s="50">
        <f t="shared" si="39"/>
        <v>0.8474375432013429</v>
      </c>
      <c r="EG36" s="50">
        <f t="shared" si="40"/>
        <v>0.11750765280932161</v>
      </c>
      <c r="EH36" s="50">
        <f t="shared" si="41"/>
        <v>3.5054803989335442E-2</v>
      </c>
      <c r="EI36" s="51">
        <f t="shared" si="42"/>
        <v>8896</v>
      </c>
      <c r="EJ36" s="51">
        <f t="shared" si="43"/>
        <v>1584</v>
      </c>
      <c r="EK36" s="14">
        <f>INT(SUMPRODUCT($U36:$Y36,$BF36:$BJ36)/SUM($BF36:$BJ36)/10000*$BX$7*$BZ$46/'疲劳值&amp;地图信息'!$R$10*$BY$54)</f>
        <v>601</v>
      </c>
      <c r="EL36" s="50">
        <f t="shared" si="44"/>
        <v>0.80281563035827086</v>
      </c>
      <c r="EM36" s="50">
        <f t="shared" si="45"/>
        <v>0.14294738741990795</v>
      </c>
      <c r="EN36" s="50">
        <f t="shared" si="46"/>
        <v>5.4236982221821134E-2</v>
      </c>
      <c r="EO36" s="51">
        <f t="shared" si="47"/>
        <v>9590</v>
      </c>
      <c r="EP36" s="51">
        <f t="shared" si="48"/>
        <v>2909</v>
      </c>
      <c r="EQ36" s="14">
        <f>INT(SUMPRODUCT($AB36:$AF36,$BF36:$BJ36)/SUM($BF36:$BJ36)/10000*$BX$7*$BZ$46/'疲劳值&amp;地图信息'!$R$10*$BY$55)</f>
        <v>817</v>
      </c>
      <c r="ER36" s="50">
        <f t="shared" si="49"/>
        <v>0.72018624211474913</v>
      </c>
      <c r="ES36" s="50">
        <f t="shared" si="50"/>
        <v>0.21845899669570443</v>
      </c>
      <c r="ET36" s="50">
        <f t="shared" si="51"/>
        <v>6.1354761189546407E-2</v>
      </c>
      <c r="EU36" s="51">
        <f t="shared" si="52"/>
        <v>11146</v>
      </c>
      <c r="EV36" s="51">
        <f t="shared" si="53"/>
        <v>5920</v>
      </c>
      <c r="EW36" s="14">
        <f>INT(SUMPRODUCT($AI36:$AM36,$BF36:$BJ36)/SUM($BF36:$BJ36)/10000*$BX$7*$BZ$46/'疲劳值&amp;地图信息'!$R$10*$BY$56)</f>
        <v>1225</v>
      </c>
      <c r="EX36" s="50">
        <f t="shared" si="54"/>
        <v>0.6093707287737139</v>
      </c>
      <c r="EY36" s="50">
        <f t="shared" si="55"/>
        <v>0.32365644305942814</v>
      </c>
      <c r="EZ36" s="50">
        <f t="shared" si="56"/>
        <v>6.6972828166858012E-2</v>
      </c>
      <c r="FA36" s="51">
        <f t="shared" si="57"/>
        <v>11460</v>
      </c>
      <c r="FB36" s="51">
        <f t="shared" si="58"/>
        <v>14546</v>
      </c>
      <c r="FC36" s="14">
        <f>INT(SUMPRODUCT($AP36:$AT36,$BF36:$BJ36)/SUM($BF36:$BJ36)/10000*$BX$7*$BZ$46/'疲劳值&amp;地图信息'!$R$10*$BY$57)</f>
        <v>1634</v>
      </c>
      <c r="FD36" s="50">
        <f t="shared" si="59"/>
        <v>0.41461649782923299</v>
      </c>
      <c r="FE36" s="50">
        <f t="shared" si="60"/>
        <v>0.52626628075253257</v>
      </c>
      <c r="FF36" s="50">
        <f t="shared" si="61"/>
        <v>5.9117221418234445E-2</v>
      </c>
      <c r="FH36" s="14">
        <f t="shared" si="62"/>
        <v>10127</v>
      </c>
      <c r="FI36" s="14">
        <f t="shared" si="63"/>
        <v>11081</v>
      </c>
      <c r="FJ36" s="14">
        <f t="shared" si="64"/>
        <v>13316</v>
      </c>
      <c r="FK36" s="14">
        <f t="shared" si="65"/>
        <v>18291</v>
      </c>
      <c r="FL36" s="14">
        <f t="shared" si="66"/>
        <v>27640</v>
      </c>
      <c r="FM36" s="14">
        <f t="shared" si="67"/>
        <v>1170273</v>
      </c>
      <c r="FP36" s="14">
        <f t="shared" si="68"/>
        <v>334150</v>
      </c>
      <c r="FQ36" s="50">
        <f t="shared" si="8"/>
        <v>0.22211173320269631</v>
      </c>
      <c r="FS36" s="14">
        <f t="shared" si="69"/>
        <v>1504423</v>
      </c>
      <c r="FX36" s="14">
        <v>31</v>
      </c>
      <c r="FY36" s="51">
        <f t="shared" si="70"/>
        <v>12015</v>
      </c>
      <c r="FZ36" s="51">
        <f t="shared" si="71"/>
        <v>1190</v>
      </c>
      <c r="GA36" s="51">
        <f>INT(SUMPRODUCT($N36:$R36,$BF36:$BJ36)/SUM($BF36:$BJ36)/10000*$BX$7*$BZ$46/'疲劳值&amp;地图信息'!$R$10*$BY$53)</f>
        <v>355</v>
      </c>
      <c r="GB36" s="50">
        <f t="shared" si="72"/>
        <v>0.88606194690265483</v>
      </c>
      <c r="GC36" s="50">
        <f t="shared" si="73"/>
        <v>8.7758112094395282E-2</v>
      </c>
      <c r="GD36" s="50">
        <f t="shared" si="74"/>
        <v>2.6179941002949854E-2</v>
      </c>
      <c r="GE36" s="51">
        <f t="shared" si="75"/>
        <v>12454</v>
      </c>
      <c r="GF36" s="51">
        <f t="shared" si="76"/>
        <v>1584</v>
      </c>
      <c r="GG36" s="14">
        <f>INT(SUMPRODUCT($U36:$Y36,$BF36:$BJ36)/SUM($BF36:$BJ36)/10000*$BX$7*$BZ$46/'疲劳值&amp;地图信息'!$R$10*$BY$54)</f>
        <v>601</v>
      </c>
      <c r="GH36" s="50">
        <f t="shared" si="77"/>
        <v>0.85074117084500311</v>
      </c>
      <c r="GI36" s="50">
        <f t="shared" si="78"/>
        <v>0.10820411230275293</v>
      </c>
      <c r="GJ36" s="50">
        <f t="shared" si="79"/>
        <v>4.1054716852244003E-2</v>
      </c>
      <c r="GK36" s="51">
        <f t="shared" si="80"/>
        <v>13426</v>
      </c>
      <c r="GL36" s="51">
        <f t="shared" si="81"/>
        <v>2909</v>
      </c>
      <c r="GM36" s="14">
        <f>INT(SUMPRODUCT($AB36:$AF36,$BF36:$BJ36)/SUM($BF36:$BJ36)/10000*$BX$7*$BZ$46/'疲劳值&amp;地图信息'!$R$10*$BY$55)</f>
        <v>817</v>
      </c>
      <c r="GN36" s="50">
        <f t="shared" si="82"/>
        <v>0.78276585820895528</v>
      </c>
      <c r="GO36" s="50">
        <f t="shared" si="83"/>
        <v>0.16960121268656717</v>
      </c>
      <c r="GP36" s="50">
        <f t="shared" si="84"/>
        <v>4.7632929104477612E-2</v>
      </c>
      <c r="GQ36" s="51">
        <f t="shared" si="85"/>
        <v>15605</v>
      </c>
      <c r="GR36" s="51">
        <f t="shared" si="86"/>
        <v>5920</v>
      </c>
      <c r="GS36" s="14">
        <f>INT(SUMPRODUCT($AI36:$AM36,$BF36:$BJ36)/SUM($BF36:$BJ36)/10000*$BX$7*$BZ$46/'疲劳值&amp;地图信息'!$R$10*$BY$56)</f>
        <v>1225</v>
      </c>
      <c r="GT36" s="50">
        <f t="shared" si="87"/>
        <v>0.68593406593406592</v>
      </c>
      <c r="GU36" s="50">
        <f t="shared" si="88"/>
        <v>0.26021978021978021</v>
      </c>
      <c r="GV36" s="50">
        <f t="shared" si="89"/>
        <v>5.3846153846153849E-2</v>
      </c>
      <c r="GW36" s="51">
        <f t="shared" si="90"/>
        <v>16044</v>
      </c>
      <c r="GX36" s="51">
        <f t="shared" si="91"/>
        <v>14546</v>
      </c>
      <c r="GY36" s="14">
        <f>INT(SUMPRODUCT($AP36:$AT36,$BF36:$BJ36)/SUM($BF36:$BJ36)/10000*$BX$7*$BZ$46/'疲劳值&amp;地图信息'!$R$10*$BY$57)</f>
        <v>1634</v>
      </c>
      <c r="GZ36" s="50">
        <f t="shared" si="92"/>
        <v>0.49788977159880832</v>
      </c>
      <c r="HA36" s="50">
        <f t="shared" si="93"/>
        <v>0.45140268123138033</v>
      </c>
      <c r="HB36" s="50">
        <f t="shared" si="94"/>
        <v>5.0707547169811323E-2</v>
      </c>
      <c r="HD36" s="14">
        <f t="shared" si="95"/>
        <v>13560</v>
      </c>
      <c r="HE36" s="14">
        <f t="shared" si="96"/>
        <v>14639</v>
      </c>
      <c r="HF36" s="14">
        <f t="shared" si="97"/>
        <v>17152</v>
      </c>
      <c r="HG36" s="14">
        <f t="shared" si="98"/>
        <v>22750</v>
      </c>
      <c r="HH36" s="14">
        <f t="shared" si="99"/>
        <v>32224</v>
      </c>
      <c r="HI36" s="14">
        <f t="shared" si="100"/>
        <v>1542861</v>
      </c>
      <c r="HL36" s="14">
        <f t="shared" si="101"/>
        <v>430050</v>
      </c>
      <c r="HM36" s="50">
        <f t="shared" si="9"/>
        <v>0.21797739482419631</v>
      </c>
      <c r="HO36" s="14">
        <f t="shared" si="102"/>
        <v>1972911</v>
      </c>
    </row>
    <row r="37" spans="3:223" x14ac:dyDescent="0.2">
      <c r="C37" s="1" t="s">
        <v>433</v>
      </c>
      <c r="D37" s="1" t="s">
        <v>437</v>
      </c>
      <c r="K37" s="14">
        <v>32</v>
      </c>
      <c r="L37" s="12">
        <f>求节点(节奏总纲!D$4:D$163,标准城池设计!AB$4:AB$163,$K37)*求节点(节奏总纲!D$4:D$163,攻城基础信息!$AC$5:$AC$164,$K37)</f>
        <v>241385.77043197257</v>
      </c>
      <c r="M37" s="12">
        <f>INDEX(其他调用!$AA$5:$AA$404,MATCH(K37,其他调用!$X$5:$X$404,0))*MIN(INDEX(其他调用!$AH$5:$AH$364,MATCH('征服点（新）'!K37,其他调用!$AG$5:$AG$364,0),1)/INDEX(其他调用!$AJ$5:$AJ$364,MATCH(K37,其他调用!$AG$5:$AG$364,0),0),5)*求节点(节奏总纲!D$4:D$163,攻城基础信息!$AC$5:$AC$164,$K37)</f>
        <v>33792.621787698576</v>
      </c>
      <c r="N37" s="12">
        <f>MIN(INDEX(其他调用!$AH$5:$AH$364,MATCH($K37,其他调用!$AG$5:$AG$364,0),1)/INDEX(其他调用!AH$5:AH$364,MATCH($K37,其他调用!$AG$5:$AG$364,0),0),1)*INDEX(其他调用!Y$5:Y$404,MATCH($K37,其他调用!$X$5:$X$404,0),0)</f>
        <v>29829.576024390626</v>
      </c>
      <c r="O37" s="12">
        <f>MIN(INDEX(其他调用!$AH$5:$AH$364,MATCH($K37,其他调用!$AG$5:$AG$364,0),1)/INDEX(其他调用!AI$5:AI$364,MATCH($K37,其他调用!$AG$5:$AG$364,0),0),1)*INDEX(其他调用!Z$5:Z$404,MATCH($K37,其他调用!$X$5:$X$404,0),0)</f>
        <v>23246.704984501259</v>
      </c>
      <c r="P37" s="12">
        <f>MIN(INDEX(其他调用!$AH$5:$AH$364,MATCH($K37,其他调用!$AG$5:$AG$364,0),1)/INDEX(其他调用!AJ$5:AJ$364,MATCH($K37,其他调用!$AG$5:$AG$364,0),0),1)*INDEX(其他调用!AA$5:AA$404,MATCH($K37,其他调用!$X$5:$X$404,0),0)</f>
        <v>13439.031073423061</v>
      </c>
      <c r="Q37" s="12">
        <f>MIN(INDEX(其他调用!$AH$5:$AH$364,MATCH($K37,其他调用!$AG$5:$AG$364,0),1)/INDEX(其他调用!AK$5:AK$364,MATCH($K37,其他调用!$AG$5:$AG$364,0),0),1)*INDEX(其他调用!AB$5:AB$404,MATCH($K37,其他调用!$X$5:$X$404,0),0)</f>
        <v>6763.3679169029174</v>
      </c>
      <c r="R37" s="12">
        <f>MIN(INDEX(其他调用!$AH$5:$AH$364,MATCH($K37,其他调用!$AG$5:$AG$364,0),1)/INDEX(其他调用!AL$5:AL$364,MATCH($K37,其他调用!$AG$5:$AG$364,0),0),1)*INDEX(其他调用!AC$5:AC$404,MATCH($K37,其他调用!$X$5:$X$404,0),0)</f>
        <v>2154.6955857295657</v>
      </c>
      <c r="S37" s="12">
        <f>求节点(节奏总纲!D$4:D$163,标准城池设计!AC$4:AC$163,$K37)*求节点(节奏总纲!D$4:D$163,攻城基础信息!$AD$5:$AD$164,$K37)</f>
        <v>249982.80004253407</v>
      </c>
      <c r="T37" s="12">
        <f>INDEX(其他调用!$AA$5:$AA$404,MATCH($K37,其他调用!$X$5:$X$404,0))*MIN(INDEX(其他调用!AI$5:AI$364,MATCH($K37,其他调用!$AG$5:$AG$364,0),1)/INDEX(其他调用!$AJ$5:$AJ$364,MATCH($K37,其他调用!$AG$5:$AG$364,0),0),5)*求节点(节奏总纲!D$4:D$163,攻城基础信息!$AD$5:$AD$164,$K37)</f>
        <v>44905.878804043627</v>
      </c>
      <c r="U37" s="12">
        <f>MIN(INDEX(其他调用!$AI$5:$AI$364,MATCH($K37,其他调用!$AG$5:$AG$364,0),1)/INDEX(其他调用!AH$5:AH$364,MATCH($K37,其他调用!$AG$5:$AG$364,0),0),1)*INDEX(其他调用!Y$5:Y$404,MATCH($K37,其他调用!$X$5:$X$404,0),0)</f>
        <v>29829.576024390626</v>
      </c>
      <c r="V37" s="12">
        <f>MIN(INDEX(其他调用!$AI$5:$AI$364,MATCH($K37,其他调用!$AG$5:$AG$364,0),1)/INDEX(其他调用!AI$5:AI$364,MATCH($K37,其他调用!$AG$5:$AG$364,0),0),1)*INDEX(其他调用!Z$5:Z$404,MATCH($K37,其他调用!$X$5:$X$404,0),0)</f>
        <v>30891.764574697278</v>
      </c>
      <c r="W37" s="12">
        <f>MIN(INDEX(其他调用!$AI$5:$AI$364,MATCH($K37,其他调用!$AG$5:$AG$364,0),1)/INDEX(其他调用!AJ$5:AJ$364,MATCH($K37,其他调用!$AG$5:$AG$364,0),0),1)*INDEX(其他调用!AA$5:AA$404,MATCH($K37,其他调用!$X$5:$X$404,0),0)</f>
        <v>17858.676500992871</v>
      </c>
      <c r="X37" s="12">
        <f>MIN(INDEX(其他调用!$AI$5:$AI$364,MATCH($K37,其他调用!$AG$5:$AG$364,0),1)/INDEX(其他调用!AK$5:AK$364,MATCH($K37,其他调用!$AG$5:$AG$364,0),0),1)*INDEX(其他调用!AB$5:AB$404,MATCH($K37,其他调用!$X$5:$X$404,0),0)</f>
        <v>8987.6122039799757</v>
      </c>
      <c r="Y37" s="12">
        <f>MIN(INDEX(其他调用!$AI$5:$AI$364,MATCH($K37,其他调用!$AG$5:$AG$364,0),1)/INDEX(其他调用!AL$5:AL$364,MATCH($K37,其他调用!$AG$5:$AG$364,0),0),1)*INDEX(其他调用!AC$5:AC$404,MATCH($K37,其他调用!$X$5:$X$404,0),0)</f>
        <v>2863.3025114258039</v>
      </c>
      <c r="Z37" s="12">
        <f>求节点(节奏总纲!D$4:D$163,标准城池设计!AD$4:AD$163,$K37)*求节点(节奏总纲!D$4:D$163,攻城基础信息!$AE$5:$AE$164,$K37)</f>
        <v>268991.32584437018</v>
      </c>
      <c r="AA37" s="12">
        <f>INDEX(其他调用!$AA$5:$AA$404,MATCH($K37,其他调用!$X$5:$X$404,0))*MIN(INDEX(其他调用!AJ$5:AJ$364,MATCH($K37,其他调用!$AG$5:$AG$364,0),1)/INDEX(其他调用!$AJ$5:$AJ$364,MATCH($K37,其他调用!$AG$5:$AG$364,0),0),5)*求节点(节奏总纲!D$4:D$163,攻城基础信息!$AE$5:$AE$164,$K37)</f>
        <v>81211.00336125918</v>
      </c>
      <c r="AB37" s="12">
        <f>MIN(INDEX(其他调用!$AJ$5:$AJ$364,MATCH($K37,其他调用!$AG$5:$AG$364,0),1)/INDEX(其他调用!AH$5:AH$364,MATCH($K37,其他调用!$AG$5:$AG$364,0),0),1)*INDEX(其他调用!Y$5:Y$404,MATCH($K37,其他调用!$X$5:$X$404,0),0)</f>
        <v>29829.576024390626</v>
      </c>
      <c r="AC37" s="12">
        <f>MIN(INDEX(其他调用!$AJ$5:$AJ$364,MATCH($K37,其他调用!$AG$5:$AG$364,0),1)/INDEX(其他调用!AI$5:AI$364,MATCH($K37,其他调用!$AG$5:$AG$364,0),0),1)*INDEX(其他调用!Z$5:Z$404,MATCH($K37,其他调用!$X$5:$X$404,0),0)</f>
        <v>30891.764574697278</v>
      </c>
      <c r="AD37" s="12">
        <f>MIN(INDEX(其他调用!$AJ$5:$AJ$364,MATCH($K37,其他调用!$AG$5:$AG$364,0),1)/INDEX(其他调用!AJ$5:AJ$364,MATCH($K37,其他调用!$AG$5:$AG$364,0),0),1)*INDEX(其他调用!AA$5:AA$404,MATCH($K37,其他调用!$X$5:$X$404,0),0)</f>
        <v>32296.908021298445</v>
      </c>
      <c r="AE37" s="12">
        <f>MIN(INDEX(其他调用!$AJ$5:$AJ$364,MATCH($K37,其他调用!$AG$5:$AG$364,0),1)/INDEX(其他调用!AK$5:AK$364,MATCH($K37,其他调用!$AG$5:$AG$364,0),0),1)*INDEX(其他调用!AB$5:AB$404,MATCH($K37,其他调用!$X$5:$X$404,0),0)</f>
        <v>16253.840796483586</v>
      </c>
      <c r="AF37" s="12">
        <f>MIN(INDEX(其他调用!$AJ$5:$AJ$364,MATCH($K37,其他调用!$AG$5:$AG$364,0),1)/INDEX(其他调用!AL$5:AL$364,MATCH($K37,其他调用!$AG$5:$AG$364,0),0),1)*INDEX(其他调用!AC$5:AC$404,MATCH($K37,其他调用!$X$5:$X$404,0),0)</f>
        <v>5178.2010746166288</v>
      </c>
      <c r="AG37" s="12">
        <f>求节点(节奏总纲!D$4:D$163,标准城池设计!AE$4:AE$163,$K37)*求节点(节奏总纲!D$4:D$163,攻城基础信息!$AF$5:$AF$164,$K37)</f>
        <v>312597.94503502373</v>
      </c>
      <c r="AH37" s="12">
        <f>INDEX(其他调用!$AA$5:$AA$404,MATCH($K37,其他调用!$X$5:$X$404,0))*MIN(INDEX(其他调用!AK$5:AK$364,MATCH($K37,其他调用!$AG$5:$AG$364,0),1)/INDEX(其他调用!$AJ$5:$AJ$364,MATCH($K37,其他调用!$AG$5:$AG$364,0),0),5)*求节点(节奏总纲!D$4:D$163,攻城基础信息!$AF$5:$AF$164,$K37)</f>
        <v>171935.03090184191</v>
      </c>
      <c r="AI37" s="12">
        <f>MIN(INDEX(其他调用!$AK$5:$AK$364,MATCH($K37,其他调用!$AG$5:$AG$364,0),1)/INDEX(其他调用!AH$5:AH$364,MATCH($K37,其他调用!$AG$5:$AG$364,0),0),1)*INDEX(其他调用!Y$5:Y$404,MATCH($K37,其他调用!$X$5:$X$404,0),0)</f>
        <v>29829.576024390626</v>
      </c>
      <c r="AJ37" s="12">
        <f>MIN(INDEX(其他调用!$AK$5:$AK$364,MATCH($K37,其他调用!$AG$5:$AG$364,0),1)/INDEX(其他调用!AI$5:AI$364,MATCH($K37,其他调用!$AG$5:$AG$364,0),0),1)*INDEX(其他调用!Z$5:Z$404,MATCH($K37,其他调用!$X$5:$X$404,0),0)</f>
        <v>30891.764574697278</v>
      </c>
      <c r="AK37" s="12">
        <f>MIN(INDEX(其他调用!$AK$5:$AK$364,MATCH($K37,其他调用!$AG$5:$AG$364,0),1)/INDEX(其他调用!AJ$5:AJ$364,MATCH($K37,其他调用!$AG$5:$AG$364,0),0),1)*INDEX(其他调用!AA$5:AA$404,MATCH($K37,其他调用!$X$5:$X$404,0),0)</f>
        <v>32296.908021298445</v>
      </c>
      <c r="AL37" s="12">
        <f>MIN(INDEX(其他调用!$AK$5:$AK$364,MATCH($K37,其他调用!$AG$5:$AG$364,0),1)/INDEX(其他调用!AK$5:AK$364,MATCH($K37,其他调用!$AG$5:$AG$364,0),0),1)*INDEX(其他调用!AB$5:AB$404,MATCH($K37,其他调用!$X$5:$X$404,0),0)</f>
        <v>34411.649948289632</v>
      </c>
      <c r="AM37" s="12">
        <f>MIN(INDEX(其他调用!$AK$5:$AK$364,MATCH($K37,其他调用!$AG$5:$AG$364,0),1)/INDEX(其他调用!AL$5:AL$364,MATCH($K37,其他调用!$AG$5:$AG$364,0),0),1)*INDEX(其他调用!AC$5:AC$404,MATCH($K37,其他调用!$X$5:$X$404,0),0)</f>
        <v>10962.974534616766</v>
      </c>
      <c r="AN37" s="12">
        <f>求节点(节奏总纲!D$4:D$163,标准城池设计!AF$4:AF$163,$K37)*求节点(节奏总纲!D$4:D$163,攻城基础信息!$AG$5:$AG$164,$K37)</f>
        <v>321411.31239297491</v>
      </c>
      <c r="AO37" s="12">
        <f>INDEX(其他调用!$AA$5:$AA$404,MATCH($K37,其他调用!$X$5:$X$404,0))*MIN(INDEX(其他调用!AL$5:AL$364,MATCH($K37,其他调用!$AG$5:$AG$364,0),1)/INDEX(其他调用!$AJ$5:$AJ$364,MATCH($K37,其他调用!$AG$5:$AG$364,0),0),5)*求节点(节奏总纲!D$4:D$163,攻城基础信息!$AG$5:$AG$164,$K37)</f>
        <v>406055.01680629596</v>
      </c>
      <c r="AP37" s="12">
        <f>MIN(INDEX(其他调用!$AL$5:$AL$364,MATCH($K37,其他调用!$AG$5:$AG$364,0),1)/INDEX(其他调用!AH$5:AH$364,MATCH($K37,其他调用!$AG$5:$AG$364,0),0),1)*INDEX(其他调用!Y$5:Y$404,MATCH($K37,其他调用!$X$5:$X$404,0),0)</f>
        <v>29829.576024390626</v>
      </c>
      <c r="AQ37" s="12">
        <f>MIN(INDEX(其他调用!$AL$5:$AL$364,MATCH($K37,其他调用!$AG$5:$AG$364,0),1)/INDEX(其他调用!AI$5:AI$364,MATCH($K37,其他调用!$AG$5:$AG$364,0),0),1)*INDEX(其他调用!Z$5:Z$404,MATCH($K37,其他调用!$X$5:$X$404,0),0)</f>
        <v>30891.764574697278</v>
      </c>
      <c r="AR37" s="12">
        <f>MIN(INDEX(其他调用!$AL$5:$AL$364,MATCH($K37,其他调用!$AG$5:$AG$364,0),1)/INDEX(其他调用!AJ$5:AJ$364,MATCH($K37,其他调用!$AG$5:$AG$364,0),0),1)*INDEX(其他调用!AA$5:AA$404,MATCH($K37,其他调用!$X$5:$X$404,0),0)</f>
        <v>32296.908021298445</v>
      </c>
      <c r="AS37" s="12">
        <f>MIN(INDEX(其他调用!$AL$5:$AL$364,MATCH($K37,其他调用!$AG$5:$AG$364,0),1)/INDEX(其他调用!AK$5:AK$364,MATCH($K37,其他调用!$AG$5:$AG$364,0),0),1)*INDEX(其他调用!AB$5:AB$404,MATCH($K37,其他调用!$X$5:$X$404,0),0)</f>
        <v>34411.649948289632</v>
      </c>
      <c r="AT37" s="12">
        <f>MIN(INDEX(其他调用!$AL$5:$AL$364,MATCH($K37,其他调用!$AG$5:$AG$364,0),1)/INDEX(其他调用!AL$5:AL$364,MATCH($K37,其他调用!$AG$5:$AG$364,0),0),1)*INDEX(其他调用!AC$5:AC$404,MATCH($K37,其他调用!$X$5:$X$404,0),0)</f>
        <v>38220.50286033786</v>
      </c>
      <c r="AV37" s="14">
        <f>IF(OR(AV$5="大R",AV$5="超R"),MAX(INDEX(其他调用!$H$5:$L$404,MATCH($K37,其他调用!$B$5:$B$404,0),MATCH(AV$5,其他调用!$H$4:$L$4,0))*120*0.85,2),INDEX(其他调用!$H$5:$L$404,MATCH($K37,其他调用!$B$5:$B$404,0),MATCH(AV$5,其他调用!$H$4:$L$4,0))*120*0.85)</f>
        <v>54.537334314545468</v>
      </c>
      <c r="AW37" s="14">
        <f>IF(OR(AW$5="大R",AW$5="超R"),MAX(INDEX(其他调用!$H$5:$L$404,MATCH($K37,其他调用!$B$5:$B$404,0),MATCH(AW$5,其他调用!$H$4:$L$4,0))*120*0.85,2),INDEX(其他调用!$H$5:$L$404,MATCH($K37,其他调用!$B$5:$B$404,0),MATCH(AW$5,其他调用!$H$4:$L$4,0))*120*0.85)</f>
        <v>42.909021214158521</v>
      </c>
      <c r="AX37" s="14">
        <f>IF(OR(AX$5="大R",AX$5="超R"),MAX(INDEX(其他调用!$H$5:$L$404,MATCH($K37,其他调用!$B$5:$B$404,0),MATCH(AX$5,其他调用!$H$4:$L$4,0))*120*0.85,2),INDEX(其他调用!$H$5:$L$404,MATCH($K37,其他调用!$B$5:$B$404,0),MATCH(AX$5,其他调用!$H$4:$L$4,0))*120*0.85)</f>
        <v>3.808440631296</v>
      </c>
      <c r="AY37" s="14">
        <f>IF(OR(AY$5="大R",AY$5="超R"),MAX(INDEX(其他调用!$H$5:$L$404,MATCH($K37,其他调用!$B$5:$B$404,0),MATCH(AY$5,其他调用!$H$4:$L$4,0))*120*0.85,2),INDEX(其他调用!$H$5:$L$404,MATCH($K37,其他调用!$B$5:$B$404,0),MATCH(AY$5,其他调用!$H$4:$L$4,0))*120*0.85)</f>
        <v>2</v>
      </c>
      <c r="AZ37" s="14">
        <f>IF(OR(AZ$5="大R",AZ$5="超R"),MAX(INDEX(其他调用!$H$5:$L$404,MATCH($K37,其他调用!$B$5:$B$404,0),MATCH(AZ$5,其他调用!$H$4:$L$4,0))*120*0.85,2),INDEX(其他调用!$H$5:$L$404,MATCH($K37,其他调用!$B$5:$B$404,0),MATCH(AZ$5,其他调用!$H$4:$L$4,0))*120*0.85)</f>
        <v>2</v>
      </c>
      <c r="BA37" s="14">
        <f>INDEX(其他调用!$H$5:$L$404,MATCH($K37,其他调用!$B$5:$B$404,0),MATCH(BA$5,其他调用!$H$4:$L$4,0))*INDEX(其他调用!$M$5:$M$404,MATCH($K37,其他调用!$B$5:$B$404,0))*0.6</f>
        <v>28.179195316676484</v>
      </c>
      <c r="BB37" s="14">
        <f>INDEX(其他调用!$H$5:$L$404,MATCH($K37,其他调用!$B$5:$B$404,0),MATCH(BB$5,其他调用!$H$4:$L$4,0))*INDEX(其他调用!$M$5:$M$404,MATCH($K37,其他调用!$B$5:$B$404,0))*0.6</f>
        <v>22.170898244997307</v>
      </c>
      <c r="BC37" s="14">
        <f>INDEX(其他调用!$H$5:$L$404,MATCH($K37,其他调用!$B$5:$B$404,0),MATCH(BC$5,其他调用!$H$4:$L$4,0))*INDEX(其他调用!$M$5:$M$404,MATCH($K37,其他调用!$B$5:$B$404,0))*0.6</f>
        <v>1.9678041427968</v>
      </c>
      <c r="BD37" s="14">
        <f>INDEX(其他调用!$H$5:$L$404,MATCH($K37,其他调用!$B$5:$B$404,0),MATCH(BD$5,其他调用!$H$4:$L$4,0))*INDEX(其他调用!$M$5:$M$404,MATCH($K37,其他调用!$B$5:$B$404,0))*0.6</f>
        <v>0.30813934023529421</v>
      </c>
      <c r="BE37" s="14">
        <f>INDEX(其他调用!$H$5:$L$404,MATCH($K37,其他调用!$B$5:$B$404,0),MATCH(BE$5,其他调用!$H$4:$L$4,0))*INDEX(其他调用!$M$5:$M$404,MATCH($K37,其他调用!$B$5:$B$404,0))*0.6</f>
        <v>7.6904131764705883E-2</v>
      </c>
      <c r="BF37" s="14">
        <f>IF(OR(BF$5="大R",BF$5="超R"),0,INDEX(其他调用!$H$5:$L$404,MATCH($K37,其他调用!$B$5:$B$404,0),MATCH(BF$5,其他调用!$H$4:$L$4,0))*50*0.4)</f>
        <v>10.69359496363637</v>
      </c>
      <c r="BG37" s="14">
        <f>IF(OR(BG$5="大R",BG$5="超R"),0,INDEX(其他调用!$H$5:$L$404,MATCH($K37,其他调用!$B$5:$B$404,0),MATCH(BG$5,其他调用!$H$4:$L$4,0))*50*0.4)</f>
        <v>8.4135335714036312</v>
      </c>
      <c r="BH37" s="14">
        <f>IF(OR(BH$5="大R",BH$5="超R"),0,INDEX(其他调用!$H$5:$L$404,MATCH($K37,其他调用!$B$5:$B$404,0),MATCH(BH$5,其他调用!$H$4:$L$4,0))*50*0.4)</f>
        <v>0.74675306496000005</v>
      </c>
      <c r="BI37" s="14">
        <f>IF(OR(BI$5="大R",BI$5="超R"),0,INDEX(其他调用!$H$5:$L$404,MATCH($K37,其他调用!$B$5:$B$404,0),MATCH(BI$5,其他调用!$H$4:$L$4,0))*50*0.4)</f>
        <v>0</v>
      </c>
      <c r="BJ37" s="14">
        <f>IF(OR(BJ$5="大R",BJ$5="超R"),0,INDEX(其他调用!$H$5:$L$404,MATCH($K37,其他调用!$B$5:$B$404,0),MATCH(BJ$5,其他调用!$H$4:$L$4,0))*50*0.4)</f>
        <v>0</v>
      </c>
      <c r="BL37" s="14">
        <f t="shared" si="103"/>
        <v>32</v>
      </c>
      <c r="BM37" s="14">
        <f t="shared" si="10"/>
        <v>96</v>
      </c>
      <c r="BN37" s="14">
        <f>('疲劳值&amp;地图信息'!$S$10*'疲劳值&amp;地图信息'!$R$10+'疲劳值&amp;地图信息'!$S$11*'疲劳值&amp;地图信息'!$R$11+'疲劳值&amp;地图信息'!$S$12*'疲劳值&amp;地图信息'!$R$12+(BM37-'疲劳值&amp;地图信息'!$S$12-'疲劳值&amp;地图信息'!$S$11-'疲劳值&amp;地图信息'!$S$10)*'疲劳值&amp;地图信息'!$R$13)/BM37</f>
        <v>51.371477246638619</v>
      </c>
      <c r="BO37" s="14">
        <f>INDEX(其他调用!$M$5:$M$404,MATCH(BL37,其他调用!$B$5:$B$404,0))*0.6</f>
        <v>52.702941176470588</v>
      </c>
      <c r="BP37" s="14">
        <f>IF(BO37&gt;SUM('疲劳值&amp;地图信息'!$S$10:$S$12),('疲劳值&amp;地图信息'!$S$10*'疲劳值&amp;地图信息'!$R$10+'疲劳值&amp;地图信息'!$S$11*'疲劳值&amp;地图信息'!$R$11+'疲劳值&amp;地图信息'!$S$12*'疲劳值&amp;地图信息'!$R$12+(BO37-'疲劳值&amp;地图信息'!$S$12-'疲劳值&amp;地图信息'!$S$11-'疲劳值&amp;地图信息'!$S$10)*'疲劳值&amp;地图信息'!$R$13)/BO37,('疲劳值&amp;地图信息'!$S$10*'疲劳值&amp;地图信息'!$R$10+'疲劳值&amp;地图信息'!$S$11*'疲劳值&amp;地图信息'!$R$11+'疲劳值&amp;地图信息'!$S$12*'疲劳值&amp;地图信息'!$R$12+(BO37-'疲劳值&amp;地图信息'!$S$12-'疲劳值&amp;地图信息'!$S$11-'疲劳值&amp;地图信息'!$S$10)*'疲劳值&amp;地图信息'!$R$13)/BO37)</f>
        <v>41.494848020399623</v>
      </c>
      <c r="BQ37" s="14">
        <f t="shared" si="104"/>
        <v>20</v>
      </c>
      <c r="BR37" s="14">
        <f>('疲劳值&amp;地图信息'!$S$10*'疲劳值&amp;地图信息'!$R$10+($BQ37-'疲劳值&amp;地图信息'!$S$10)*'疲劳值&amp;地图信息'!$R$11)/$BQ37</f>
        <v>32.067203015074995</v>
      </c>
      <c r="BW37" s="14" t="s">
        <v>465</v>
      </c>
      <c r="BX37" s="14" t="s">
        <v>466</v>
      </c>
      <c r="BY37" s="14" t="s">
        <v>459</v>
      </c>
      <c r="BZ37" s="14" t="s">
        <v>467</v>
      </c>
      <c r="CF37" s="14">
        <v>32</v>
      </c>
      <c r="CG37" s="51">
        <f t="shared" si="11"/>
        <v>5235</v>
      </c>
      <c r="CH37" s="51">
        <f t="shared" si="12"/>
        <v>732</v>
      </c>
      <c r="CI37" s="51">
        <f>INT(SUMPRODUCT($N37:$R37,$BA37:$BE37)/SUM($BA37:$BE37)/10000*$BX$7*$BZ$34/'疲劳值&amp;地图信息'!$R$10*$BY$53)</f>
        <v>2665</v>
      </c>
      <c r="CJ37" s="50">
        <f t="shared" si="13"/>
        <v>0.60646431881371643</v>
      </c>
      <c r="CK37" s="50">
        <f t="shared" si="14"/>
        <v>8.4800741427247445E-2</v>
      </c>
      <c r="CL37" s="50">
        <f t="shared" si="15"/>
        <v>0.30873493975903615</v>
      </c>
      <c r="CM37" s="14">
        <f t="shared" si="16"/>
        <v>5421</v>
      </c>
      <c r="CN37" s="14">
        <f t="shared" si="17"/>
        <v>973</v>
      </c>
      <c r="CO37" s="14">
        <f>INT(SUMPRODUCT($U37:$Y37,$BA37:$BE37)/SUM($BA37:$BE37)/10000*$BX$7*$BZ$34/'疲劳值&amp;地图信息'!$R$10*$BY$54)</f>
        <v>4515</v>
      </c>
      <c r="CP37" s="50">
        <f t="shared" si="18"/>
        <v>0.49692914107617564</v>
      </c>
      <c r="CQ37" s="50">
        <f t="shared" si="19"/>
        <v>8.919240993674947E-2</v>
      </c>
      <c r="CR37" s="50">
        <f t="shared" si="20"/>
        <v>0.41387844898707488</v>
      </c>
      <c r="CS37" s="14">
        <f t="shared" si="21"/>
        <v>5834</v>
      </c>
      <c r="CT37" s="14">
        <f t="shared" si="22"/>
        <v>1761</v>
      </c>
      <c r="CU37" s="14">
        <f>INT(SUMPRODUCT($AB37:$AF37,$BA37:$BE37)/SUM($BA37:$BE37)/10000*$BX$7*$BZ$34/'疲劳值&amp;地图信息'!$R$10*$BY$55)</f>
        <v>6139</v>
      </c>
      <c r="CV37" s="50">
        <f t="shared" si="23"/>
        <v>0.42478520460171837</v>
      </c>
      <c r="CW37" s="50">
        <f t="shared" si="24"/>
        <v>0.12822193097422455</v>
      </c>
      <c r="CX37" s="50">
        <f t="shared" si="25"/>
        <v>0.44699286442405706</v>
      </c>
      <c r="CY37" s="14">
        <f t="shared" si="26"/>
        <v>6780</v>
      </c>
      <c r="CZ37" s="14">
        <f t="shared" si="27"/>
        <v>3729</v>
      </c>
      <c r="DA37" s="14">
        <f>INT(SUMPRODUCT($AI37:$AM37,$BA37:$BE37)/SUM($BA37:$BE37)/10000*$BX$7*$BZ$34/'疲劳值&amp;地图信息'!$R$10*$BY$56)</f>
        <v>9244</v>
      </c>
      <c r="DB37" s="50">
        <f t="shared" si="28"/>
        <v>0.34323900167063232</v>
      </c>
      <c r="DC37" s="50">
        <f t="shared" si="29"/>
        <v>0.18878145091884777</v>
      </c>
      <c r="DD37" s="50">
        <f t="shared" si="30"/>
        <v>0.46797954741051995</v>
      </c>
      <c r="DE37" s="14">
        <f t="shared" si="31"/>
        <v>6971</v>
      </c>
      <c r="DF37" s="14">
        <f t="shared" si="32"/>
        <v>8807</v>
      </c>
      <c r="DG37" s="14">
        <f>INT(SUMPRODUCT($AP37:$AT37,$BA37:$BE37)/SUM($BA37:$BE37)/10000*$BX$7*$BZ$34/'疲劳值&amp;地图信息'!$R$10*$BY$57)</f>
        <v>12341</v>
      </c>
      <c r="DH37" s="50">
        <f t="shared" si="33"/>
        <v>0.24791066538639353</v>
      </c>
      <c r="DI37" s="50">
        <f t="shared" si="34"/>
        <v>0.31320459475799284</v>
      </c>
      <c r="DJ37" s="50">
        <f t="shared" si="35"/>
        <v>0.43888473985561366</v>
      </c>
      <c r="DL37" s="14">
        <f t="shared" si="106"/>
        <v>8632</v>
      </c>
      <c r="DM37" s="14">
        <f t="shared" si="107"/>
        <v>10909</v>
      </c>
      <c r="DN37" s="14">
        <f t="shared" si="108"/>
        <v>13734</v>
      </c>
      <c r="DO37" s="14">
        <f t="shared" si="109"/>
        <v>19753</v>
      </c>
      <c r="DP37" s="14">
        <f t="shared" si="110"/>
        <v>28119</v>
      </c>
      <c r="DQ37" s="14">
        <f t="shared" si="111"/>
        <v>520380</v>
      </c>
      <c r="DT37" s="14">
        <f t="shared" si="105"/>
        <v>235575</v>
      </c>
      <c r="DU37" s="50">
        <f t="shared" si="7"/>
        <v>0.31162569200547652</v>
      </c>
      <c r="DW37" s="14">
        <f t="shared" si="36"/>
        <v>755955</v>
      </c>
      <c r="EB37" s="14">
        <v>32</v>
      </c>
      <c r="EC37" s="51">
        <f t="shared" si="37"/>
        <v>8725</v>
      </c>
      <c r="ED37" s="51">
        <f t="shared" si="38"/>
        <v>1221</v>
      </c>
      <c r="EE37" s="51">
        <f>INT(SUMPRODUCT($N37:$R37,$BF37:$BJ37)/SUM($BF37:$BJ37)/10000*$BX$7*$BZ$46/'疲劳值&amp;地图信息'!$R$10*$BY$53)</f>
        <v>357</v>
      </c>
      <c r="EF37" s="50">
        <f t="shared" si="39"/>
        <v>0.84684072600213534</v>
      </c>
      <c r="EG37" s="50">
        <f t="shared" si="40"/>
        <v>0.11850917208580025</v>
      </c>
      <c r="EH37" s="50">
        <f t="shared" si="41"/>
        <v>3.4650101912064447E-2</v>
      </c>
      <c r="EI37" s="51">
        <f t="shared" si="42"/>
        <v>9036</v>
      </c>
      <c r="EJ37" s="51">
        <f t="shared" si="43"/>
        <v>1623</v>
      </c>
      <c r="EK37" s="14">
        <f>INT(SUMPRODUCT($U37:$Y37,$BF37:$BJ37)/SUM($BF37:$BJ37)/10000*$BX$7*$BZ$46/'疲劳值&amp;地图信息'!$R$10*$BY$54)</f>
        <v>605</v>
      </c>
      <c r="EL37" s="50">
        <f t="shared" si="44"/>
        <v>0.80220170454545459</v>
      </c>
      <c r="EM37" s="50">
        <f t="shared" si="45"/>
        <v>0.14408735795454544</v>
      </c>
      <c r="EN37" s="50">
        <f t="shared" si="46"/>
        <v>5.37109375E-2</v>
      </c>
      <c r="EO37" s="51">
        <f t="shared" si="47"/>
        <v>9723</v>
      </c>
      <c r="EP37" s="51">
        <f t="shared" si="48"/>
        <v>2935</v>
      </c>
      <c r="EQ37" s="14">
        <f>INT(SUMPRODUCT($AB37:$AF37,$BF37:$BJ37)/SUM($BF37:$BJ37)/10000*$BX$7*$BZ$46/'疲劳值&amp;地图信息'!$R$10*$BY$55)</f>
        <v>821</v>
      </c>
      <c r="ER37" s="50">
        <f t="shared" si="49"/>
        <v>0.72134431337636318</v>
      </c>
      <c r="ES37" s="50">
        <f t="shared" si="50"/>
        <v>0.21774612359967357</v>
      </c>
      <c r="ET37" s="50">
        <f t="shared" si="51"/>
        <v>6.0909563023963199E-2</v>
      </c>
      <c r="EU37" s="51">
        <f t="shared" si="52"/>
        <v>11300</v>
      </c>
      <c r="EV37" s="51">
        <f t="shared" si="53"/>
        <v>6215</v>
      </c>
      <c r="EW37" s="14">
        <f>INT(SUMPRODUCT($AI37:$AM37,$BF37:$BJ37)/SUM($BF37:$BJ37)/10000*$BX$7*$BZ$46/'疲劳值&amp;地图信息'!$R$10*$BY$56)</f>
        <v>1232</v>
      </c>
      <c r="EX37" s="50">
        <f t="shared" si="54"/>
        <v>0.60276310876406891</v>
      </c>
      <c r="EY37" s="50">
        <f t="shared" si="55"/>
        <v>0.33151970982023793</v>
      </c>
      <c r="EZ37" s="50">
        <f t="shared" si="56"/>
        <v>6.5717181415693174E-2</v>
      </c>
      <c r="FA37" s="51">
        <f t="shared" si="57"/>
        <v>11618</v>
      </c>
      <c r="FB37" s="51">
        <f t="shared" si="58"/>
        <v>14678</v>
      </c>
      <c r="FC37" s="14">
        <f>INT(SUMPRODUCT($AP37:$AT37,$BF37:$BJ37)/SUM($BF37:$BJ37)/10000*$BX$7*$BZ$46/'疲劳值&amp;地图信息'!$R$10*$BY$57)</f>
        <v>1643</v>
      </c>
      <c r="FD37" s="50">
        <f t="shared" si="59"/>
        <v>0.41583449658183902</v>
      </c>
      <c r="FE37" s="50">
        <f t="shared" si="60"/>
        <v>0.52535881742367296</v>
      </c>
      <c r="FF37" s="50">
        <f t="shared" si="61"/>
        <v>5.8806685994487989E-2</v>
      </c>
      <c r="FH37" s="14">
        <f t="shared" si="62"/>
        <v>10303</v>
      </c>
      <c r="FI37" s="14">
        <f t="shared" si="63"/>
        <v>11264</v>
      </c>
      <c r="FJ37" s="14">
        <f t="shared" si="64"/>
        <v>13479</v>
      </c>
      <c r="FK37" s="14">
        <f t="shared" si="65"/>
        <v>18747</v>
      </c>
      <c r="FL37" s="14">
        <f t="shared" si="66"/>
        <v>27939</v>
      </c>
      <c r="FM37" s="14">
        <f t="shared" si="67"/>
        <v>1189931</v>
      </c>
      <c r="FP37" s="14">
        <f t="shared" si="68"/>
        <v>334150</v>
      </c>
      <c r="FQ37" s="50">
        <f t="shared" si="8"/>
        <v>0.21924687729851627</v>
      </c>
      <c r="FS37" s="14">
        <f t="shared" si="69"/>
        <v>1524081</v>
      </c>
      <c r="FX37" s="14">
        <v>32</v>
      </c>
      <c r="FY37" s="51">
        <f t="shared" si="70"/>
        <v>12216</v>
      </c>
      <c r="FZ37" s="51">
        <f t="shared" si="71"/>
        <v>1221</v>
      </c>
      <c r="GA37" s="51">
        <f>INT(SUMPRODUCT($N37:$R37,$BF37:$BJ37)/SUM($BF37:$BJ37)/10000*$BX$7*$BZ$46/'疲劳值&amp;地图信息'!$R$10*$BY$53)</f>
        <v>357</v>
      </c>
      <c r="GB37" s="50">
        <f t="shared" si="72"/>
        <v>0.88560243584167031</v>
      </c>
      <c r="GC37" s="50">
        <f t="shared" si="73"/>
        <v>8.8516746411483258E-2</v>
      </c>
      <c r="GD37" s="50">
        <f t="shared" si="74"/>
        <v>2.5880817746846457E-2</v>
      </c>
      <c r="GE37" s="51">
        <f t="shared" si="75"/>
        <v>12651</v>
      </c>
      <c r="GF37" s="51">
        <f t="shared" si="76"/>
        <v>1623</v>
      </c>
      <c r="GG37" s="14">
        <f>INT(SUMPRODUCT($U37:$Y37,$BF37:$BJ37)/SUM($BF37:$BJ37)/10000*$BX$7*$BZ$46/'疲劳值&amp;地图信息'!$R$10*$BY$54)</f>
        <v>605</v>
      </c>
      <c r="GH37" s="50">
        <f t="shared" si="77"/>
        <v>0.85025875394851802</v>
      </c>
      <c r="GI37" s="50">
        <f t="shared" si="78"/>
        <v>0.10907991128436051</v>
      </c>
      <c r="GJ37" s="50">
        <f t="shared" si="79"/>
        <v>4.0661334767121443E-2</v>
      </c>
      <c r="GK37" s="51">
        <f t="shared" si="80"/>
        <v>13613</v>
      </c>
      <c r="GL37" s="51">
        <f t="shared" si="81"/>
        <v>2935</v>
      </c>
      <c r="GM37" s="14">
        <f>INT(SUMPRODUCT($AB37:$AF37,$BF37:$BJ37)/SUM($BF37:$BJ37)/10000*$BX$7*$BZ$46/'疲劳值&amp;地图信息'!$R$10*$BY$55)</f>
        <v>821</v>
      </c>
      <c r="GN37" s="50">
        <f t="shared" si="82"/>
        <v>0.7837526627900282</v>
      </c>
      <c r="GO37" s="50">
        <f t="shared" si="83"/>
        <v>0.16897921584432035</v>
      </c>
      <c r="GP37" s="50">
        <f t="shared" si="84"/>
        <v>4.726812136565145E-2</v>
      </c>
      <c r="GQ37" s="51">
        <f t="shared" si="85"/>
        <v>15820</v>
      </c>
      <c r="GR37" s="51">
        <f t="shared" si="86"/>
        <v>6215</v>
      </c>
      <c r="GS37" s="14">
        <f>INT(SUMPRODUCT($AI37:$AM37,$BF37:$BJ37)/SUM($BF37:$BJ37)/10000*$BX$7*$BZ$46/'疲劳值&amp;地图信息'!$R$10*$BY$56)</f>
        <v>1232</v>
      </c>
      <c r="GT37" s="50">
        <f t="shared" si="87"/>
        <v>0.67993295224996775</v>
      </c>
      <c r="GU37" s="50">
        <f t="shared" si="88"/>
        <v>0.2671165169553445</v>
      </c>
      <c r="GV37" s="50">
        <f t="shared" si="89"/>
        <v>5.2950530794687756E-2</v>
      </c>
      <c r="GW37" s="51">
        <f t="shared" si="90"/>
        <v>16266</v>
      </c>
      <c r="GX37" s="51">
        <f t="shared" si="91"/>
        <v>14678</v>
      </c>
      <c r="GY37" s="14">
        <f>INT(SUMPRODUCT($AP37:$AT37,$BF37:$BJ37)/SUM($BF37:$BJ37)/10000*$BX$7*$BZ$46/'疲劳值&amp;地图信息'!$R$10*$BY$57)</f>
        <v>1643</v>
      </c>
      <c r="GZ37" s="50">
        <f t="shared" si="92"/>
        <v>0.49915610519532327</v>
      </c>
      <c r="HA37" s="50">
        <f t="shared" si="93"/>
        <v>0.450425016110719</v>
      </c>
      <c r="HB37" s="50">
        <f t="shared" si="94"/>
        <v>5.0418878693957711E-2</v>
      </c>
      <c r="HD37" s="14">
        <f t="shared" si="95"/>
        <v>13794</v>
      </c>
      <c r="HE37" s="14">
        <f t="shared" si="96"/>
        <v>14879</v>
      </c>
      <c r="HF37" s="14">
        <f t="shared" si="97"/>
        <v>17369</v>
      </c>
      <c r="HG37" s="14">
        <f t="shared" si="98"/>
        <v>23267</v>
      </c>
      <c r="HH37" s="14">
        <f t="shared" si="99"/>
        <v>32587</v>
      </c>
      <c r="HI37" s="14">
        <f t="shared" si="100"/>
        <v>1568588</v>
      </c>
      <c r="HL37" s="14">
        <f t="shared" si="101"/>
        <v>430050</v>
      </c>
      <c r="HM37" s="50">
        <f t="shared" si="9"/>
        <v>0.21517153181316476</v>
      </c>
      <c r="HO37" s="14">
        <f t="shared" si="102"/>
        <v>1998638</v>
      </c>
    </row>
    <row r="38" spans="3:223" x14ac:dyDescent="0.2">
      <c r="K38" s="14">
        <v>33</v>
      </c>
      <c r="L38" s="12">
        <f>求节点(节奏总纲!D$4:D$163,标准城池设计!AB$4:AB$163,$K38)*求节点(节奏总纲!D$4:D$163,攻城基础信息!$AC$5:$AC$164,$K38)</f>
        <v>245907.85918466834</v>
      </c>
      <c r="M38" s="12">
        <f>INDEX(其他调用!$AA$5:$AA$404,MATCH(K38,其他调用!$X$5:$X$404,0))*MIN(INDEX(其他调用!$AH$5:$AH$364,MATCH('征服点（新）'!K38,其他调用!$AG$5:$AG$364,0),1)/INDEX(其他调用!$AJ$5:$AJ$364,MATCH(K38,其他调用!$AG$5:$AG$364,0),0),5)*求节点(节奏总纲!D$4:D$163,攻城基础信息!$AC$5:$AC$164,$K38)</f>
        <v>34720.064349105101</v>
      </c>
      <c r="N38" s="12">
        <f>MIN(INDEX(其他调用!$AH$5:$AH$364,MATCH($K38,其他调用!$AG$5:$AG$364,0),1)/INDEX(其他调用!AH$5:AH$364,MATCH($K38,其他调用!$AG$5:$AG$364,0),0),1)*INDEX(其他调用!Y$5:Y$404,MATCH($K38,其他调用!$X$5:$X$404,0),0)</f>
        <v>30001.639720482122</v>
      </c>
      <c r="O38" s="12">
        <f>MIN(INDEX(其他调用!$AH$5:$AH$364,MATCH($K38,其他调用!$AG$5:$AG$364,0),1)/INDEX(其他调用!AI$5:AI$364,MATCH($K38,其他调用!$AG$5:$AG$364,0),0),1)*INDEX(其他调用!Z$5:Z$404,MATCH($K38,其他调用!$X$5:$X$404,0),0)</f>
        <v>23406.007552794512</v>
      </c>
      <c r="P38" s="12">
        <f>MIN(INDEX(其他调用!$AH$5:$AH$364,MATCH($K38,其他调用!$AG$5:$AG$364,0),1)/INDEX(其他调用!AJ$5:AJ$364,MATCH($K38,其他调用!$AG$5:$AG$364,0),0),1)*INDEX(其他调用!AA$5:AA$404,MATCH($K38,其他调用!$X$5:$X$404,0),0)</f>
        <v>13728.628060066469</v>
      </c>
      <c r="Q38" s="12">
        <f>MIN(INDEX(其他调用!$AH$5:$AH$364,MATCH($K38,其他调用!$AG$5:$AG$364,0),1)/INDEX(其他调用!AK$5:AK$364,MATCH($K38,其他调用!$AG$5:$AG$364,0),0),1)*INDEX(其他调用!AB$5:AB$404,MATCH($K38,其他调用!$X$5:$X$404,0),0)</f>
        <v>6664.0703032879119</v>
      </c>
      <c r="R38" s="12">
        <f>MIN(INDEX(其他调用!$AH$5:$AH$364,MATCH($K38,其他调用!$AG$5:$AG$364,0),1)/INDEX(其他调用!AL$5:AL$364,MATCH($K38,其他调用!$AG$5:$AG$364,0),0),1)*INDEX(其他调用!AC$5:AC$404,MATCH($K38,其他调用!$X$5:$X$404,0),0)</f>
        <v>2134.8368812761018</v>
      </c>
      <c r="S38" s="12">
        <f>求节点(节奏总纲!D$4:D$163,标准城池设计!AC$4:AC$163,$K38)*求节点(节奏总纲!D$4:D$163,攻城基础信息!$AD$5:$AD$164,$K38)</f>
        <v>254451.29139671903</v>
      </c>
      <c r="T38" s="12">
        <f>INDEX(其他调用!$AA$5:$AA$404,MATCH($K38,其他调用!$X$5:$X$404,0))*MIN(INDEX(其他调用!AI$5:AI$364,MATCH($K38,其他调用!$AG$5:$AG$364,0),1)/INDEX(其他调用!$AJ$5:$AJ$364,MATCH($K38,其他调用!$AG$5:$AG$364,0),0),5)*求节点(节奏总纲!D$4:D$163,攻城基础信息!$AD$5:$AD$164,$K38)</f>
        <v>46065.759344104343</v>
      </c>
      <c r="U38" s="12">
        <f>MIN(INDEX(其他调用!$AI$5:$AI$364,MATCH($K38,其他调用!$AG$5:$AG$364,0),1)/INDEX(其他调用!AH$5:AH$364,MATCH($K38,其他调用!$AG$5:$AG$364,0),0),1)*INDEX(其他调用!Y$5:Y$404,MATCH($K38,其他调用!$X$5:$X$404,0),0)</f>
        <v>30001.639720482122</v>
      </c>
      <c r="V38" s="12">
        <f>MIN(INDEX(其他调用!$AI$5:$AI$364,MATCH($K38,其他调用!$AG$5:$AG$364,0),1)/INDEX(其他调用!AI$5:AI$364,MATCH($K38,其他调用!$AG$5:$AG$364,0),0),1)*INDEX(其他调用!Z$5:Z$404,MATCH($K38,其他调用!$X$5:$X$404,0),0)</f>
        <v>31054.536659034486</v>
      </c>
      <c r="W38" s="12">
        <f>MIN(INDEX(其他调用!$AI$5:$AI$364,MATCH($K38,其他调用!$AG$5:$AG$364,0),1)/INDEX(其他调用!AJ$5:AJ$364,MATCH($K38,其他调用!$AG$5:$AG$364,0),0),1)*INDEX(其他调用!AA$5:AA$404,MATCH($K38,其他调用!$X$5:$X$404,0),0)</f>
        <v>18214.818670289718</v>
      </c>
      <c r="X38" s="12">
        <f>MIN(INDEX(其他调用!$AI$5:$AI$364,MATCH($K38,其他调用!$AG$5:$AG$364,0),1)/INDEX(其他调用!AK$5:AK$364,MATCH($K38,其他调用!$AG$5:$AG$364,0),0),1)*INDEX(其他调用!AB$5:AB$404,MATCH($K38,其他调用!$X$5:$X$404,0),0)</f>
        <v>8841.7306994814335</v>
      </c>
      <c r="Y38" s="12">
        <f>MIN(INDEX(其他调用!$AI$5:$AI$364,MATCH($K38,其他调用!$AG$5:$AG$364,0),1)/INDEX(其他调用!AL$5:AL$364,MATCH($K38,其他调用!$AG$5:$AG$364,0),0),1)*INDEX(其他调用!AC$5:AC$404,MATCH($K38,其他调用!$X$5:$X$404,0),0)</f>
        <v>2832.4510295534037</v>
      </c>
      <c r="Z38" s="12">
        <f>求节点(节奏总纲!D$4:D$163,标准城池设计!AD$4:AD$163,$K38)*求节点(节奏总纲!D$4:D$163,攻城基础信息!$AE$5:$AE$164,$K38)</f>
        <v>273302.67733835813</v>
      </c>
      <c r="AA38" s="12">
        <f>INDEX(其他调用!$AA$5:$AA$404,MATCH($K38,其他调用!$X$5:$X$404,0))*MIN(INDEX(其他调用!AJ$5:AJ$364,MATCH($K38,其他调用!$AG$5:$AG$364,0),1)/INDEX(其他调用!$AJ$5:$AJ$364,MATCH($K38,其他调用!$AG$5:$AG$364,0),0),5)*求节点(节奏总纲!D$4:D$163,攻城基础信息!$AE$5:$AE$164,$K38)</f>
        <v>82100.950504188106</v>
      </c>
      <c r="AB38" s="12">
        <f>MIN(INDEX(其他调用!$AJ$5:$AJ$364,MATCH($K38,其他调用!$AG$5:$AG$364,0),1)/INDEX(其他调用!AH$5:AH$364,MATCH($K38,其他调用!$AG$5:$AG$364,0),0),1)*INDEX(其他调用!Y$5:Y$404,MATCH($K38,其他调用!$X$5:$X$404,0),0)</f>
        <v>30001.639720482122</v>
      </c>
      <c r="AC38" s="12">
        <f>MIN(INDEX(其他调用!$AJ$5:$AJ$364,MATCH($K38,其他调用!$AG$5:$AG$364,0),1)/INDEX(其他调用!AI$5:AI$364,MATCH($K38,其他调用!$AG$5:$AG$364,0),0),1)*INDEX(其他调用!Z$5:Z$404,MATCH($K38,其他调用!$X$5:$X$404,0),0)</f>
        <v>31054.536659034486</v>
      </c>
      <c r="AD38" s="12">
        <f>MIN(INDEX(其他调用!$AJ$5:$AJ$364,MATCH($K38,其他调用!$AG$5:$AG$364,0),1)/INDEX(其他调用!AJ$5:AJ$364,MATCH($K38,其他调用!$AG$5:$AG$364,0),0),1)*INDEX(其他调用!AA$5:AA$404,MATCH($K38,其他调用!$X$5:$X$404,0),0)</f>
        <v>32463.45978846023</v>
      </c>
      <c r="AE38" s="12">
        <f>MIN(INDEX(其他调用!$AJ$5:$AJ$364,MATCH($K38,其他调用!$AG$5:$AG$364,0),1)/INDEX(其他调用!AK$5:AK$364,MATCH($K38,其他调用!$AG$5:$AG$364,0),0),1)*INDEX(其他调用!AB$5:AB$404,MATCH($K38,其他调用!$X$5:$X$404,0),0)</f>
        <v>15758.222698708007</v>
      </c>
      <c r="AF38" s="12">
        <f>MIN(INDEX(其他调用!$AJ$5:$AJ$364,MATCH($K38,其他调用!$AG$5:$AG$364,0),1)/INDEX(其他调用!AL$5:AL$364,MATCH($K38,其他调用!$AG$5:$AG$364,0),0),1)*INDEX(其他调用!AC$5:AC$404,MATCH($K38,其他调用!$X$5:$X$404,0),0)</f>
        <v>5048.1512753498728</v>
      </c>
      <c r="AG38" s="12">
        <f>求节点(节奏总纲!D$4:D$163,标准城池设计!AE$4:AE$163,$K38)*求节点(节奏总纲!D$4:D$163,攻城基础信息!$AF$5:$AF$164,$K38)</f>
        <v>317566.16167266452</v>
      </c>
      <c r="AH38" s="12">
        <f>INDEX(其他调用!$AA$5:$AA$404,MATCH($K38,其他调用!$X$5:$X$404,0))*MIN(INDEX(其他调用!AK$5:AK$364,MATCH($K38,其他调用!$AG$5:$AG$364,0),1)/INDEX(其他调用!$AJ$5:$AJ$364,MATCH($K38,其他调用!$AG$5:$AG$364,0),0),5)*求节点(节奏总纲!D$4:D$163,攻城基础信息!$AF$5:$AF$164,$K38)</f>
        <v>180215.90709300575</v>
      </c>
      <c r="AI38" s="12">
        <f>MIN(INDEX(其他调用!$AK$5:$AK$364,MATCH($K38,其他调用!$AG$5:$AG$364,0),1)/INDEX(其他调用!AH$5:AH$364,MATCH($K38,其他调用!$AG$5:$AG$364,0),0),1)*INDEX(其他调用!Y$5:Y$404,MATCH($K38,其他调用!$X$5:$X$404,0),0)</f>
        <v>30001.639720482122</v>
      </c>
      <c r="AJ38" s="12">
        <f>MIN(INDEX(其他调用!$AK$5:$AK$364,MATCH($K38,其他调用!$AG$5:$AG$364,0),1)/INDEX(其他调用!AI$5:AI$364,MATCH($K38,其他调用!$AG$5:$AG$364,0),0),1)*INDEX(其他调用!Z$5:Z$404,MATCH($K38,其他调用!$X$5:$X$404,0),0)</f>
        <v>31054.536659034486</v>
      </c>
      <c r="AK38" s="12">
        <f>MIN(INDEX(其他调用!$AK$5:$AK$364,MATCH($K38,其他调用!$AG$5:$AG$364,0),1)/INDEX(其他调用!AJ$5:AJ$364,MATCH($K38,其他调用!$AG$5:$AG$364,0),0),1)*INDEX(其他调用!AA$5:AA$404,MATCH($K38,其他调用!$X$5:$X$404,0),0)</f>
        <v>32463.45978846023</v>
      </c>
      <c r="AL38" s="12">
        <f>MIN(INDEX(其他调用!$AK$5:$AK$364,MATCH($K38,其他调用!$AG$5:$AG$364,0),1)/INDEX(其他调用!AK$5:AK$364,MATCH($K38,其他调用!$AG$5:$AG$364,0),0),1)*INDEX(其他调用!AB$5:AB$404,MATCH($K38,其他调用!$X$5:$X$404,0),0)</f>
        <v>34590.128133490849</v>
      </c>
      <c r="AM38" s="12">
        <f>MIN(INDEX(其他调用!$AK$5:$AK$364,MATCH($K38,其他调用!$AG$5:$AG$364,0),1)/INDEX(其他调用!AL$5:AL$364,MATCH($K38,其他调用!$AG$5:$AG$364,0),0),1)*INDEX(其他调用!AC$5:AC$404,MATCH($K38,其他调用!$X$5:$X$404,0),0)</f>
        <v>11080.957719039841</v>
      </c>
      <c r="AN38" s="12">
        <f>求节点(节奏总纲!D$4:D$163,标准城池设计!AF$4:AF$163,$K38)*求节点(节奏总纲!D$4:D$163,攻城基础信息!$AG$5:$AG$164,$K38)</f>
        <v>326530.90862008429</v>
      </c>
      <c r="AO38" s="12">
        <f>INDEX(其他调用!$AA$5:$AA$404,MATCH($K38,其他调用!$X$5:$X$404,0))*MIN(INDEX(其他调用!AL$5:AL$364,MATCH($K38,其他调用!$AG$5:$AG$364,0),1)/INDEX(其他调用!$AJ$5:$AJ$364,MATCH($K38,其他调用!$AG$5:$AG$364,0),0),5)*求节点(节奏总纲!D$4:D$163,攻城基础信息!$AG$5:$AG$164,$K38)</f>
        <v>410504.75252094056</v>
      </c>
      <c r="AP38" s="12">
        <f>MIN(INDEX(其他调用!$AL$5:$AL$364,MATCH($K38,其他调用!$AG$5:$AG$364,0),1)/INDEX(其他调用!AH$5:AH$364,MATCH($K38,其他调用!$AG$5:$AG$364,0),0),1)*INDEX(其他调用!Y$5:Y$404,MATCH($K38,其他调用!$X$5:$X$404,0),0)</f>
        <v>30001.639720482122</v>
      </c>
      <c r="AQ38" s="12">
        <f>MIN(INDEX(其他调用!$AL$5:$AL$364,MATCH($K38,其他调用!$AG$5:$AG$364,0),1)/INDEX(其他调用!AI$5:AI$364,MATCH($K38,其他调用!$AG$5:$AG$364,0),0),1)*INDEX(其他调用!Z$5:Z$404,MATCH($K38,其他调用!$X$5:$X$404,0),0)</f>
        <v>31054.536659034486</v>
      </c>
      <c r="AR38" s="12">
        <f>MIN(INDEX(其他调用!$AL$5:$AL$364,MATCH($K38,其他调用!$AG$5:$AG$364,0),1)/INDEX(其他调用!AJ$5:AJ$364,MATCH($K38,其他调用!$AG$5:$AG$364,0),0),1)*INDEX(其他调用!AA$5:AA$404,MATCH($K38,其他调用!$X$5:$X$404,0),0)</f>
        <v>32463.45978846023</v>
      </c>
      <c r="AS38" s="12">
        <f>MIN(INDEX(其他调用!$AL$5:$AL$364,MATCH($K38,其他调用!$AG$5:$AG$364,0),1)/INDEX(其他调用!AK$5:AK$364,MATCH($K38,其他调用!$AG$5:$AG$364,0),0),1)*INDEX(其他调用!AB$5:AB$404,MATCH($K38,其他调用!$X$5:$X$404,0),0)</f>
        <v>34590.128133490849</v>
      </c>
      <c r="AT38" s="12">
        <f>MIN(INDEX(其他调用!$AL$5:$AL$364,MATCH($K38,其他调用!$AG$5:$AG$364,0),1)/INDEX(其他调用!AL$5:AL$364,MATCH($K38,其他调用!$AG$5:$AG$364,0),0),1)*INDEX(其他调用!AC$5:AC$404,MATCH($K38,其他调用!$X$5:$X$404,0),0)</f>
        <v>38395.707982232074</v>
      </c>
      <c r="AV38" s="14">
        <f>IF(OR(AV$5="大R",AV$5="超R"),MAX(INDEX(其他调用!$H$5:$L$404,MATCH($K38,其他调用!$B$5:$B$404,0),MATCH(AV$5,其他调用!$H$4:$L$4,0))*120*0.85,2),INDEX(其他调用!$H$5:$L$404,MATCH($K38,其他调用!$B$5:$B$404,0),MATCH(AV$5,其他调用!$H$4:$L$4,0))*120*0.85)</f>
        <v>54.428737835454569</v>
      </c>
      <c r="AW38" s="14">
        <f>IF(OR(AW$5="大R",AW$5="超R"),MAX(INDEX(其他调用!$H$5:$L$404,MATCH($K38,其他调用!$B$5:$B$404,0),MATCH(AW$5,其他调用!$H$4:$L$4,0))*120*0.85,2),INDEX(其他调用!$H$5:$L$404,MATCH($K38,其他调用!$B$5:$B$404,0),MATCH(AW$5,其他调用!$H$4:$L$4,0))*120*0.85)</f>
        <v>43.012128193601434</v>
      </c>
      <c r="AX38" s="14">
        <f>IF(OR(AX$5="大R",AX$5="超R"),MAX(INDEX(其他调用!$H$5:$L$404,MATCH($K38,其他调用!$B$5:$B$404,0),MATCH(AX$5,其他调用!$H$4:$L$4,0))*120*0.85,2),INDEX(其他调用!$H$5:$L$404,MATCH($K38,其他调用!$B$5:$B$404,0),MATCH(AX$5,其他调用!$H$4:$L$4,0))*120*0.85)</f>
        <v>3.8109762109439997</v>
      </c>
      <c r="AY38" s="14">
        <f>IF(OR(AY$5="大R",AY$5="超R"),MAX(INDEX(其他调用!$H$5:$L$404,MATCH($K38,其他调用!$B$5:$B$404,0),MATCH(AY$5,其他调用!$H$4:$L$4,0))*120*0.85,2),INDEX(其他调用!$H$5:$L$404,MATCH($K38,其他调用!$B$5:$B$404,0),MATCH(AY$5,其他调用!$H$4:$L$4,0))*120*0.85)</f>
        <v>2</v>
      </c>
      <c r="AZ38" s="14">
        <f>IF(OR(AZ$5="大R",AZ$5="超R"),MAX(INDEX(其他调用!$H$5:$L$404,MATCH($K38,其他调用!$B$5:$B$404,0),MATCH(AZ$5,其他调用!$H$4:$L$4,0))*120*0.85,2),INDEX(其他调用!$H$5:$L$404,MATCH($K38,其他调用!$B$5:$B$404,0),MATCH(AZ$5,其他调用!$H$4:$L$4,0))*120*0.85)</f>
        <v>2</v>
      </c>
      <c r="BA38" s="14">
        <f>INDEX(其他调用!$H$5:$L$404,MATCH($K38,其他调用!$B$5:$B$404,0),MATCH(BA$5,其他调用!$H$4:$L$4,0))*INDEX(其他调用!$M$5:$M$404,MATCH($K38,其他调用!$B$5:$B$404,0))*0.6</f>
        <v>28.233469084042788</v>
      </c>
      <c r="BB38" s="14">
        <f>INDEX(其他调用!$H$5:$L$404,MATCH($K38,其他调用!$B$5:$B$404,0),MATCH(BB$5,其他调用!$H$4:$L$4,0))*INDEX(其他调用!$M$5:$M$404,MATCH($K38,其他调用!$B$5:$B$404,0))*0.6</f>
        <v>22.3114045977728</v>
      </c>
      <c r="BC38" s="14">
        <f>INDEX(其他调用!$H$5:$L$404,MATCH($K38,其他调用!$B$5:$B$404,0),MATCH(BC$5,其他调用!$H$4:$L$4,0))*INDEX(其他调用!$M$5:$M$404,MATCH($K38,其他调用!$B$5:$B$404,0))*0.6</f>
        <v>1.9768431771647998</v>
      </c>
      <c r="BD38" s="14">
        <f>INDEX(其他调用!$H$5:$L$404,MATCH($K38,其他调用!$B$5:$B$404,0),MATCH(BD$5,其他调用!$H$4:$L$4,0))*INDEX(其他调用!$M$5:$M$404,MATCH($K38,其他调用!$B$5:$B$404,0))*0.6</f>
        <v>0.31037314258823534</v>
      </c>
      <c r="BE38" s="14">
        <f>INDEX(其他调用!$H$5:$L$404,MATCH($K38,其他调用!$B$5:$B$404,0),MATCH(BE$5,其他调用!$H$4:$L$4,0))*INDEX(其他调用!$M$5:$M$404,MATCH($K38,其他调用!$B$5:$B$404,0))*0.6</f>
        <v>7.7713920000000006E-2</v>
      </c>
      <c r="BF38" s="14">
        <f>IF(OR(BF$5="大R",BF$5="超R"),0,INDEX(其他调用!$H$5:$L$404,MATCH($K38,其他调用!$B$5:$B$404,0),MATCH(BF$5,其他调用!$H$4:$L$4,0))*50*0.4)</f>
        <v>10.672301536363641</v>
      </c>
      <c r="BG38" s="14">
        <f>IF(OR(BG$5="大R",BG$5="超R"),0,INDEX(其他调用!$H$5:$L$404,MATCH($K38,其他调用!$B$5:$B$404,0),MATCH(BG$5,其他调用!$H$4:$L$4,0))*50*0.4)</f>
        <v>8.4337506261963604</v>
      </c>
      <c r="BH38" s="14">
        <f>IF(OR(BH$5="大R",BH$5="超R"),0,INDEX(其他调用!$H$5:$L$404,MATCH($K38,其他调用!$B$5:$B$404,0),MATCH(BH$5,其他调用!$H$4:$L$4,0))*50*0.4)</f>
        <v>0.74725023744000008</v>
      </c>
      <c r="BI38" s="14">
        <f>IF(OR(BI$5="大R",BI$5="超R"),0,INDEX(其他调用!$H$5:$L$404,MATCH($K38,其他调用!$B$5:$B$404,0),MATCH(BI$5,其他调用!$H$4:$L$4,0))*50*0.4)</f>
        <v>0</v>
      </c>
      <c r="BJ38" s="14">
        <f>IF(OR(BJ$5="大R",BJ$5="超R"),0,INDEX(其他调用!$H$5:$L$404,MATCH($K38,其他调用!$B$5:$B$404,0),MATCH(BJ$5,其他调用!$H$4:$L$4,0))*50*0.4)</f>
        <v>0</v>
      </c>
      <c r="BL38" s="14">
        <f t="shared" si="103"/>
        <v>33</v>
      </c>
      <c r="BM38" s="14">
        <f t="shared" si="10"/>
        <v>96</v>
      </c>
      <c r="BN38" s="14">
        <f>('疲劳值&amp;地图信息'!$S$10*'疲劳值&amp;地图信息'!$R$10+'疲劳值&amp;地图信息'!$S$11*'疲劳值&amp;地图信息'!$R$11+'疲劳值&amp;地图信息'!$S$12*'疲劳值&amp;地图信息'!$R$12+(BM38-'疲劳值&amp;地图信息'!$S$12-'疲劳值&amp;地图信息'!$S$11-'疲劳值&amp;地图信息'!$S$10)*'疲劳值&amp;地图信息'!$R$13)/BM38</f>
        <v>51.371477246638619</v>
      </c>
      <c r="BO38" s="14">
        <f>INDEX(其他调用!$M$5:$M$404,MATCH(BL38,其他调用!$B$5:$B$404,0))*0.6</f>
        <v>52.909803921568624</v>
      </c>
      <c r="BP38" s="14">
        <f>IF(BO38&gt;SUM('疲劳值&amp;地图信息'!$S$10:$S$12),('疲劳值&amp;地图信息'!$S$10*'疲劳值&amp;地图信息'!$R$10+'疲劳值&amp;地图信息'!$S$11*'疲劳值&amp;地图信息'!$R$11+'疲劳值&amp;地图信息'!$S$12*'疲劳值&amp;地图信息'!$R$12+(BO38-'疲劳值&amp;地图信息'!$S$12-'疲劳值&amp;地图信息'!$S$11-'疲劳值&amp;地图信息'!$S$10)*'疲劳值&amp;地图信息'!$R$13)/BO38,('疲劳值&amp;地图信息'!$S$10*'疲劳值&amp;地图信息'!$R$10+'疲劳值&amp;地图信息'!$S$11*'疲劳值&amp;地图信息'!$R$11+'疲劳值&amp;地图信息'!$S$12*'疲劳值&amp;地图信息'!$R$12+(BO38-'疲劳值&amp;地图信息'!$S$12-'疲劳值&amp;地图信息'!$S$11-'疲劳值&amp;地图信息'!$S$10)*'疲劳值&amp;地图信息'!$R$13)/BO38)</f>
        <v>41.58046654097366</v>
      </c>
      <c r="BQ38" s="14">
        <f t="shared" si="104"/>
        <v>20</v>
      </c>
      <c r="BR38" s="14">
        <f>('疲劳值&amp;地图信息'!$S$10*'疲劳值&amp;地图信息'!$R$10+($BQ38-'疲劳值&amp;地图信息'!$S$10)*'疲劳值&amp;地图信息'!$R$11)/$BQ38</f>
        <v>32.067203015074995</v>
      </c>
      <c r="BW38" s="14" t="s">
        <v>468</v>
      </c>
      <c r="BX38" s="14">
        <v>600</v>
      </c>
      <c r="BY38" s="14">
        <v>300</v>
      </c>
      <c r="BZ38" s="14">
        <f>3600-BX38-BY38</f>
        <v>2700</v>
      </c>
      <c r="CF38" s="14">
        <v>33</v>
      </c>
      <c r="CG38" s="51">
        <f t="shared" si="11"/>
        <v>5322</v>
      </c>
      <c r="CH38" s="51">
        <f t="shared" si="12"/>
        <v>751</v>
      </c>
      <c r="CI38" s="51">
        <f>INT(SUMPRODUCT($N38:$R38,$BA38:$BE38)/SUM($BA38:$BE38)/10000*$BX$7*$BZ$34/'疲劳值&amp;地图信息'!$R$10*$BY$53)</f>
        <v>2682</v>
      </c>
      <c r="CJ38" s="50">
        <f t="shared" si="13"/>
        <v>0.60788121073672186</v>
      </c>
      <c r="CK38" s="50">
        <f t="shared" si="14"/>
        <v>8.5779554540262704E-2</v>
      </c>
      <c r="CL38" s="50">
        <f t="shared" si="15"/>
        <v>0.30633923472301544</v>
      </c>
      <c r="CM38" s="14">
        <f t="shared" si="16"/>
        <v>5507</v>
      </c>
      <c r="CN38" s="14">
        <f t="shared" si="17"/>
        <v>997</v>
      </c>
      <c r="CO38" s="14">
        <f>INT(SUMPRODUCT($U38:$Y38,$BA38:$BE38)/SUM($BA38:$BE38)/10000*$BX$7*$BZ$34/'疲劳值&amp;地图信息'!$R$10*$BY$54)</f>
        <v>4541</v>
      </c>
      <c r="CP38" s="50">
        <f t="shared" si="18"/>
        <v>0.49859665006790405</v>
      </c>
      <c r="CQ38" s="50">
        <f t="shared" si="19"/>
        <v>9.0267089180624718E-2</v>
      </c>
      <c r="CR38" s="50">
        <f t="shared" si="20"/>
        <v>0.41113626075147125</v>
      </c>
      <c r="CS38" s="14">
        <f t="shared" si="21"/>
        <v>5915</v>
      </c>
      <c r="CT38" s="14">
        <f t="shared" si="22"/>
        <v>1777</v>
      </c>
      <c r="CU38" s="14">
        <f>INT(SUMPRODUCT($AB38:$AF38,$BA38:$BE38)/SUM($BA38:$BE38)/10000*$BX$7*$BZ$34/'疲劳值&amp;地图信息'!$R$10*$BY$55)</f>
        <v>6172</v>
      </c>
      <c r="CV38" s="50">
        <f t="shared" si="23"/>
        <v>0.42664454702827465</v>
      </c>
      <c r="CW38" s="50">
        <f t="shared" si="24"/>
        <v>0.1281736872475476</v>
      </c>
      <c r="CX38" s="50">
        <f t="shared" si="25"/>
        <v>0.44518176572417772</v>
      </c>
      <c r="CY38" s="14">
        <f t="shared" si="26"/>
        <v>6873</v>
      </c>
      <c r="CZ38" s="14">
        <f t="shared" si="27"/>
        <v>3900</v>
      </c>
      <c r="DA38" s="14">
        <f>INT(SUMPRODUCT($AI38:$AM38,$BA38:$BE38)/SUM($BA38:$BE38)/10000*$BX$7*$BZ$34/'疲劳值&amp;地图信息'!$R$10*$BY$56)</f>
        <v>9295</v>
      </c>
      <c r="DB38" s="50">
        <f t="shared" si="28"/>
        <v>0.34248554913294799</v>
      </c>
      <c r="DC38" s="50">
        <f t="shared" si="29"/>
        <v>0.19433924656169024</v>
      </c>
      <c r="DD38" s="50">
        <f t="shared" si="30"/>
        <v>0.46317520430536174</v>
      </c>
      <c r="DE38" s="14">
        <f t="shared" si="31"/>
        <v>7067</v>
      </c>
      <c r="DF38" s="14">
        <f t="shared" si="32"/>
        <v>8885</v>
      </c>
      <c r="DG38" s="14">
        <f>INT(SUMPRODUCT($AP38:$AT38,$BA38:$BE38)/SUM($BA38:$BE38)/10000*$BX$7*$BZ$34/'疲劳值&amp;地图信息'!$R$10*$BY$57)</f>
        <v>12410</v>
      </c>
      <c r="DH38" s="50">
        <f t="shared" si="33"/>
        <v>0.24917142655666033</v>
      </c>
      <c r="DI38" s="50">
        <f t="shared" si="34"/>
        <v>0.31327127847119385</v>
      </c>
      <c r="DJ38" s="50">
        <f t="shared" si="35"/>
        <v>0.43755729497214585</v>
      </c>
      <c r="DL38" s="14">
        <f t="shared" si="106"/>
        <v>8755</v>
      </c>
      <c r="DM38" s="14">
        <f t="shared" si="107"/>
        <v>11045</v>
      </c>
      <c r="DN38" s="14">
        <f t="shared" si="108"/>
        <v>13864</v>
      </c>
      <c r="DO38" s="14">
        <f t="shared" si="109"/>
        <v>20068</v>
      </c>
      <c r="DP38" s="14">
        <f t="shared" si="110"/>
        <v>28362</v>
      </c>
      <c r="DQ38" s="14">
        <f t="shared" si="111"/>
        <v>529453</v>
      </c>
      <c r="DT38" s="14">
        <f t="shared" si="105"/>
        <v>235575</v>
      </c>
      <c r="DU38" s="50">
        <f t="shared" si="7"/>
        <v>0.30792990583351199</v>
      </c>
      <c r="DW38" s="14">
        <f t="shared" si="36"/>
        <v>765028</v>
      </c>
      <c r="EB38" s="14">
        <v>33</v>
      </c>
      <c r="EC38" s="51">
        <f t="shared" si="37"/>
        <v>8871</v>
      </c>
      <c r="ED38" s="51">
        <f t="shared" si="38"/>
        <v>1252</v>
      </c>
      <c r="EE38" s="51">
        <f>INT(SUMPRODUCT($N38:$R38,$BF38:$BJ38)/SUM($BF38:$BJ38)/10000*$BX$7*$BZ$46/'疲劳值&amp;地图信息'!$R$10*$BY$53)</f>
        <v>359</v>
      </c>
      <c r="EF38" s="50">
        <f t="shared" si="39"/>
        <v>0.84630795649685175</v>
      </c>
      <c r="EG38" s="50">
        <f t="shared" si="40"/>
        <v>0.11944285441709597</v>
      </c>
      <c r="EH38" s="50">
        <f t="shared" si="41"/>
        <v>3.4249189086052283E-2</v>
      </c>
      <c r="EI38" s="51">
        <f t="shared" si="42"/>
        <v>9179</v>
      </c>
      <c r="EJ38" s="51">
        <f t="shared" si="43"/>
        <v>1661</v>
      </c>
      <c r="EK38" s="14">
        <f>INT(SUMPRODUCT($U38:$Y38,$BF38:$BJ38)/SUM($BF38:$BJ38)/10000*$BX$7*$BZ$46/'疲劳值&amp;地图信息'!$R$10*$BY$54)</f>
        <v>608</v>
      </c>
      <c r="EL38" s="50">
        <f t="shared" si="44"/>
        <v>0.80179944095038436</v>
      </c>
      <c r="EM38" s="50">
        <f t="shared" si="45"/>
        <v>0.14509084556254367</v>
      </c>
      <c r="EN38" s="50">
        <f t="shared" si="46"/>
        <v>5.3109713487071976E-2</v>
      </c>
      <c r="EO38" s="51">
        <f t="shared" si="47"/>
        <v>9859</v>
      </c>
      <c r="EP38" s="51">
        <f t="shared" si="48"/>
        <v>2961</v>
      </c>
      <c r="EQ38" s="14">
        <f>INT(SUMPRODUCT($AB38:$AF38,$BF38:$BJ38)/SUM($BF38:$BJ38)/10000*$BX$7*$BZ$46/'疲劳值&amp;地图信息'!$R$10*$BY$55)</f>
        <v>826</v>
      </c>
      <c r="ER38" s="50">
        <f t="shared" si="49"/>
        <v>0.72248277883628897</v>
      </c>
      <c r="ES38" s="50">
        <f t="shared" si="50"/>
        <v>0.21698666275831746</v>
      </c>
      <c r="ET38" s="50">
        <f t="shared" si="51"/>
        <v>6.0530558405393523E-2</v>
      </c>
      <c r="EU38" s="51">
        <f t="shared" si="52"/>
        <v>11456</v>
      </c>
      <c r="EV38" s="51">
        <f t="shared" si="53"/>
        <v>6501</v>
      </c>
      <c r="EW38" s="14">
        <f>INT(SUMPRODUCT($AI38:$AM38,$BF38:$BJ38)/SUM($BF38:$BJ38)/10000*$BX$7*$BZ$46/'疲劳值&amp;地图信息'!$R$10*$BY$56)</f>
        <v>1239</v>
      </c>
      <c r="EX38" s="50">
        <f t="shared" si="54"/>
        <v>0.59679099812460934</v>
      </c>
      <c r="EY38" s="50">
        <f t="shared" si="55"/>
        <v>0.33866430506355488</v>
      </c>
      <c r="EZ38" s="50">
        <f t="shared" si="56"/>
        <v>6.4544696811835806E-2</v>
      </c>
      <c r="FA38" s="51">
        <f t="shared" si="57"/>
        <v>11779</v>
      </c>
      <c r="FB38" s="51">
        <f t="shared" si="58"/>
        <v>14808</v>
      </c>
      <c r="FC38" s="14">
        <f>INT(SUMPRODUCT($AP38:$AT38,$BF38:$BJ38)/SUM($BF38:$BJ38)/10000*$BX$7*$BZ$46/'疲劳值&amp;地图信息'!$R$10*$BY$57)</f>
        <v>1652</v>
      </c>
      <c r="FD38" s="50">
        <f t="shared" si="59"/>
        <v>0.4171181699068664</v>
      </c>
      <c r="FE38" s="50">
        <f t="shared" si="60"/>
        <v>0.52438117497078507</v>
      </c>
      <c r="FF38" s="50">
        <f t="shared" si="61"/>
        <v>5.8500655122348526E-2</v>
      </c>
      <c r="FH38" s="14">
        <f t="shared" si="62"/>
        <v>10482</v>
      </c>
      <c r="FI38" s="14">
        <f t="shared" si="63"/>
        <v>11448</v>
      </c>
      <c r="FJ38" s="14">
        <f t="shared" si="64"/>
        <v>13646</v>
      </c>
      <c r="FK38" s="14">
        <f t="shared" si="65"/>
        <v>19196</v>
      </c>
      <c r="FL38" s="14">
        <f t="shared" si="66"/>
        <v>28239</v>
      </c>
      <c r="FM38" s="14">
        <f t="shared" si="67"/>
        <v>1209799</v>
      </c>
      <c r="FP38" s="14">
        <f t="shared" si="68"/>
        <v>334150</v>
      </c>
      <c r="FQ38" s="50">
        <f t="shared" si="8"/>
        <v>0.2164255425535429</v>
      </c>
      <c r="FS38" s="14">
        <f t="shared" si="69"/>
        <v>1543949</v>
      </c>
      <c r="FX38" s="14">
        <v>33</v>
      </c>
      <c r="FY38" s="51">
        <f t="shared" si="70"/>
        <v>12419</v>
      </c>
      <c r="FZ38" s="51">
        <f t="shared" si="71"/>
        <v>1252</v>
      </c>
      <c r="GA38" s="51">
        <f>INT(SUMPRODUCT($N38:$R38,$BF38:$BJ38)/SUM($BF38:$BJ38)/10000*$BX$7*$BZ$46/'疲劳值&amp;地图信息'!$R$10*$BY$53)</f>
        <v>359</v>
      </c>
      <c r="GB38" s="50">
        <f t="shared" si="72"/>
        <v>0.88517462580185313</v>
      </c>
      <c r="GC38" s="50">
        <f t="shared" si="73"/>
        <v>8.9237348538845337E-2</v>
      </c>
      <c r="GD38" s="50">
        <f t="shared" si="74"/>
        <v>2.5588025659301496E-2</v>
      </c>
      <c r="GE38" s="51">
        <f t="shared" si="75"/>
        <v>12850</v>
      </c>
      <c r="GF38" s="51">
        <f t="shared" si="76"/>
        <v>1661</v>
      </c>
      <c r="GG38" s="14">
        <f>INT(SUMPRODUCT($U38:$Y38,$BF38:$BJ38)/SUM($BF38:$BJ38)/10000*$BX$7*$BZ$46/'疲劳值&amp;地图信息'!$R$10*$BY$54)</f>
        <v>608</v>
      </c>
      <c r="GH38" s="50">
        <f t="shared" si="77"/>
        <v>0.8499239367683048</v>
      </c>
      <c r="GI38" s="50">
        <f t="shared" si="78"/>
        <v>0.10986176334413651</v>
      </c>
      <c r="GJ38" s="50">
        <f t="shared" si="79"/>
        <v>4.0214299887558702E-2</v>
      </c>
      <c r="GK38" s="51">
        <f t="shared" si="80"/>
        <v>13803</v>
      </c>
      <c r="GL38" s="51">
        <f t="shared" si="81"/>
        <v>2961</v>
      </c>
      <c r="GM38" s="14">
        <f>INT(SUMPRODUCT($AB38:$AF38,$BF38:$BJ38)/SUM($BF38:$BJ38)/10000*$BX$7*$BZ$46/'疲劳值&amp;地图信息'!$R$10*$BY$55)</f>
        <v>826</v>
      </c>
      <c r="GN38" s="50">
        <f t="shared" si="82"/>
        <v>0.78470722001137005</v>
      </c>
      <c r="GO38" s="50">
        <f t="shared" si="83"/>
        <v>0.16833428084138716</v>
      </c>
      <c r="GP38" s="50">
        <f t="shared" si="84"/>
        <v>4.6958499147242753E-2</v>
      </c>
      <c r="GQ38" s="51">
        <f t="shared" si="85"/>
        <v>16038</v>
      </c>
      <c r="GR38" s="51">
        <f t="shared" si="86"/>
        <v>6501</v>
      </c>
      <c r="GS38" s="14">
        <f>INT(SUMPRODUCT($AI38:$AM38,$BF38:$BJ38)/SUM($BF38:$BJ38)/10000*$BX$7*$BZ$46/'疲劳值&amp;地图信息'!$R$10*$BY$56)</f>
        <v>1239</v>
      </c>
      <c r="GT38" s="50">
        <f t="shared" si="87"/>
        <v>0.6744890234670704</v>
      </c>
      <c r="GU38" s="50">
        <f t="shared" si="88"/>
        <v>0.27340398687862733</v>
      </c>
      <c r="GV38" s="50">
        <f t="shared" si="89"/>
        <v>5.2106989654302299E-2</v>
      </c>
      <c r="GW38" s="51">
        <f t="shared" si="90"/>
        <v>16491</v>
      </c>
      <c r="GX38" s="51">
        <f t="shared" si="91"/>
        <v>14808</v>
      </c>
      <c r="GY38" s="14">
        <f>INT(SUMPRODUCT($AP38:$AT38,$BF38:$BJ38)/SUM($BF38:$BJ38)/10000*$BX$7*$BZ$46/'疲劳值&amp;地图信息'!$R$10*$BY$57)</f>
        <v>1652</v>
      </c>
      <c r="GZ38" s="50">
        <f t="shared" si="92"/>
        <v>0.50047039543564686</v>
      </c>
      <c r="HA38" s="50">
        <f t="shared" si="93"/>
        <v>0.44939455555218355</v>
      </c>
      <c r="HB38" s="50">
        <f t="shared" si="94"/>
        <v>5.0135049012169586E-2</v>
      </c>
      <c r="HD38" s="14">
        <f t="shared" si="95"/>
        <v>14030</v>
      </c>
      <c r="HE38" s="14">
        <f t="shared" si="96"/>
        <v>15119</v>
      </c>
      <c r="HF38" s="14">
        <f t="shared" si="97"/>
        <v>17590</v>
      </c>
      <c r="HG38" s="14">
        <f t="shared" si="98"/>
        <v>23778</v>
      </c>
      <c r="HH38" s="14">
        <f t="shared" si="99"/>
        <v>32951</v>
      </c>
      <c r="HI38" s="14">
        <f t="shared" si="100"/>
        <v>1594428</v>
      </c>
      <c r="HL38" s="14">
        <f t="shared" si="101"/>
        <v>430050</v>
      </c>
      <c r="HM38" s="50">
        <f t="shared" si="9"/>
        <v>0.21242512884802897</v>
      </c>
      <c r="HO38" s="14">
        <f t="shared" si="102"/>
        <v>2024478</v>
      </c>
    </row>
    <row r="39" spans="3:223" x14ac:dyDescent="0.2">
      <c r="K39" s="14">
        <v>34</v>
      </c>
      <c r="L39" s="12">
        <f>求节点(节奏总纲!D$4:D$163,标准城池设计!AB$4:AB$163,$K39)*求节点(节奏总纲!D$4:D$163,攻城基础信息!$AC$5:$AC$164,$K39)</f>
        <v>250317.9643508945</v>
      </c>
      <c r="M39" s="12">
        <f>INDEX(其他调用!$AA$5:$AA$404,MATCH(K39,其他调用!$X$5:$X$404,0))*MIN(INDEX(其他调用!$AH$5:$AH$364,MATCH('征服点（新）'!K39,其他调用!$AG$5:$AG$364,0),1)/INDEX(其他调用!$AJ$5:$AJ$364,MATCH(K39,其他调用!$AG$5:$AG$364,0),0),5)*求节点(节奏总纲!D$4:D$163,攻城基础信息!$AC$5:$AC$164,$K39)</f>
        <v>35628.237490261294</v>
      </c>
      <c r="N39" s="12">
        <f>MIN(INDEX(其他调用!$AH$5:$AH$364,MATCH($K39,其他调用!$AG$5:$AG$364,0),1)/INDEX(其他调用!AH$5:AH$364,MATCH($K39,其他调用!$AG$5:$AG$364,0),0),1)*INDEX(其他调用!Y$5:Y$404,MATCH($K39,其他调用!$X$5:$X$404,0),0)</f>
        <v>30159.253381426141</v>
      </c>
      <c r="O39" s="12">
        <f>MIN(INDEX(其他调用!$AH$5:$AH$364,MATCH($K39,其他调用!$AG$5:$AG$364,0),1)/INDEX(其他调用!AI$5:AI$364,MATCH($K39,其他调用!$AG$5:$AG$364,0),0),1)*INDEX(其他调用!Z$5:Z$404,MATCH($K39,其他调用!$X$5:$X$404,0),0)</f>
        <v>23533.385638745021</v>
      </c>
      <c r="P39" s="12">
        <f>MIN(INDEX(其他调用!$AH$5:$AH$364,MATCH($K39,其他调用!$AG$5:$AG$364,0),1)/INDEX(其他调用!AJ$5:AJ$364,MATCH($K39,其他调用!$AG$5:$AG$364,0),0),1)*INDEX(其他调用!AA$5:AA$404,MATCH($K39,其他调用!$X$5:$X$404,0),0)</f>
        <v>14011.109413945172</v>
      </c>
      <c r="Q39" s="12">
        <f>MIN(INDEX(其他调用!$AH$5:$AH$364,MATCH($K39,其他调用!$AG$5:$AG$364,0),1)/INDEX(其他调用!AK$5:AK$364,MATCH($K39,其他调用!$AG$5:$AG$364,0),0),1)*INDEX(其他调用!AB$5:AB$404,MATCH($K39,其他调用!$X$5:$X$404,0),0)</f>
        <v>6583.2527997537145</v>
      </c>
      <c r="R39" s="12">
        <f>MIN(INDEX(其他调用!$AH$5:$AH$364,MATCH($K39,其他调用!$AG$5:$AG$364,0),1)/INDEX(其他调用!AL$5:AL$364,MATCH($K39,其他调用!$AG$5:$AG$364,0),0),1)*INDEX(其他调用!AC$5:AC$404,MATCH($K39,其他调用!$X$5:$X$404,0),0)</f>
        <v>2118.2094512148888</v>
      </c>
      <c r="S39" s="12">
        <f>求节点(节奏总纲!D$4:D$163,标准城池设计!AC$4:AC$163,$K39)*求节点(节奏总纲!D$4:D$163,攻城基础信息!$AD$5:$AD$164,$K39)</f>
        <v>258917.65719081336</v>
      </c>
      <c r="T39" s="12">
        <f>INDEX(其他调用!$AA$5:$AA$404,MATCH($K39,其他调用!$X$5:$X$404,0))*MIN(INDEX(其他调用!AI$5:AI$364,MATCH($K39,其他调用!$AG$5:$AG$364,0),1)/INDEX(其他调用!$AJ$5:$AJ$364,MATCH($K39,其他调用!$AG$5:$AG$364,0),0),5)*求节点(节奏总纲!D$4:D$163,攻城基础信息!$AD$5:$AD$164,$K39)</f>
        <v>47256.2088502068</v>
      </c>
      <c r="U39" s="12">
        <f>MIN(INDEX(其他调用!$AI$5:$AI$364,MATCH($K39,其他调用!$AG$5:$AG$364,0),1)/INDEX(其他调用!AH$5:AH$364,MATCH($K39,其他调用!$AG$5:$AG$364,0),0),1)*INDEX(其他调用!Y$5:Y$404,MATCH($K39,其他调用!$X$5:$X$404,0),0)</f>
        <v>30159.253381426141</v>
      </c>
      <c r="V39" s="12">
        <f>MIN(INDEX(其他调用!$AI$5:$AI$364,MATCH($K39,其他调用!$AG$5:$AG$364,0),1)/INDEX(其他调用!AI$5:AI$364,MATCH($K39,其他调用!$AG$5:$AG$364,0),0),1)*INDEX(其他调用!Z$5:Z$404,MATCH($K39,其他调用!$X$5:$X$404,0),0)</f>
        <v>31213.965804538493</v>
      </c>
      <c r="W39" s="12">
        <f>MIN(INDEX(其他调用!$AI$5:$AI$364,MATCH($K39,其他调用!$AG$5:$AG$364,0),1)/INDEX(其他调用!AJ$5:AJ$364,MATCH($K39,其他调用!$AG$5:$AG$364,0),0),1)*INDEX(其他调用!AA$5:AA$404,MATCH($K39,其他调用!$X$5:$X$404,0),0)</f>
        <v>18583.908700773507</v>
      </c>
      <c r="X39" s="12">
        <f>MIN(INDEX(其他调用!$AI$5:$AI$364,MATCH($K39,其他调用!$AG$5:$AG$364,0),1)/INDEX(其他调用!AK$5:AK$364,MATCH($K39,其他调用!$AG$5:$AG$364,0),0),1)*INDEX(其他调用!AB$5:AB$404,MATCH($K39,其他调用!$X$5:$X$404,0),0)</f>
        <v>8731.8259653991281</v>
      </c>
      <c r="Y39" s="12">
        <f>MIN(INDEX(其他调用!$AI$5:$AI$364,MATCH($K39,其他调用!$AG$5:$AG$364,0),1)/INDEX(其他调用!AL$5:AL$364,MATCH($K39,其他调用!$AG$5:$AG$364,0),0),1)*INDEX(其他调用!AC$5:AC$404,MATCH($K39,其他调用!$X$5:$X$404,0),0)</f>
        <v>2809.528488251879</v>
      </c>
      <c r="Z39" s="12">
        <f>求节点(节奏总纲!D$4:D$163,标准城池设计!AD$4:AD$163,$K39)*求节点(节奏总纲!D$4:D$163,攻城基础信息!$AE$5:$AE$164,$K39)</f>
        <v>277505.00506503735</v>
      </c>
      <c r="AA39" s="12">
        <f>INDEX(其他调用!$AA$5:$AA$404,MATCH($K39,其他调用!$X$5:$X$404,0))*MIN(INDEX(其他调用!AJ$5:AJ$364,MATCH($K39,其他调用!$AG$5:$AG$364,0),1)/INDEX(其他调用!$AJ$5:$AJ$364,MATCH($K39,其他调用!$AG$5:$AG$364,0),0),5)*求节点(节奏总纲!D$4:D$163,攻城基础信息!$AE$5:$AE$164,$K39)</f>
        <v>82970.423896832974</v>
      </c>
      <c r="AB39" s="12">
        <f>MIN(INDEX(其他调用!$AJ$5:$AJ$364,MATCH($K39,其他调用!$AG$5:$AG$364,0),1)/INDEX(其他调用!AH$5:AH$364,MATCH($K39,其他调用!$AG$5:$AG$364,0),0),1)*INDEX(其他调用!Y$5:Y$404,MATCH($K39,其他调用!$X$5:$X$404,0),0)</f>
        <v>30159.253381426141</v>
      </c>
      <c r="AC39" s="12">
        <f>MIN(INDEX(其他调用!$AJ$5:$AJ$364,MATCH($K39,其他调用!$AG$5:$AG$364,0),1)/INDEX(其他调用!AI$5:AI$364,MATCH($K39,其他调用!$AG$5:$AG$364,0),0),1)*INDEX(其他调用!Z$5:Z$404,MATCH($K39,其他调用!$X$5:$X$404,0),0)</f>
        <v>31213.965804538493</v>
      </c>
      <c r="AD39" s="12">
        <f>MIN(INDEX(其他调用!$AJ$5:$AJ$364,MATCH($K39,其他调用!$AG$5:$AG$364,0),1)/INDEX(其他调用!AJ$5:AJ$364,MATCH($K39,其他调用!$AG$5:$AG$364,0),0),1)*INDEX(其他调用!AA$5:AA$404,MATCH($K39,其他调用!$X$5:$X$404,0),0)</f>
        <v>32628.829524831268</v>
      </c>
      <c r="AE39" s="12">
        <f>MIN(INDEX(其他调用!$AJ$5:$AJ$364,MATCH($K39,其他调用!$AG$5:$AG$364,0),1)/INDEX(其他调用!AK$5:AK$364,MATCH($K39,其他调用!$AG$5:$AG$364,0),0),1)*INDEX(其他调用!AB$5:AB$404,MATCH($K39,其他调用!$X$5:$X$404,0),0)</f>
        <v>15330.965377248367</v>
      </c>
      <c r="AF39" s="12">
        <f>MIN(INDEX(其他调用!$AJ$5:$AJ$364,MATCH($K39,其他调用!$AG$5:$AG$364,0),1)/INDEX(其他调用!AL$5:AL$364,MATCH($K39,其他调用!$AG$5:$AG$364,0),0),1)*INDEX(其他调用!AC$5:AC$404,MATCH($K39,其他调用!$X$5:$X$404,0),0)</f>
        <v>4932.8495724105587</v>
      </c>
      <c r="AG39" s="12">
        <f>求节点(节奏总纲!D$4:D$163,标准城池设计!AE$4:AE$163,$K39)*求节点(节奏总纲!D$4:D$163,攻城基础信息!$AF$5:$AF$164,$K39)</f>
        <v>322491.70948506315</v>
      </c>
      <c r="AH39" s="12">
        <f>INDEX(其他调用!$AA$5:$AA$404,MATCH($K39,其他调用!$X$5:$X$404,0))*MIN(INDEX(其他调用!AK$5:AK$364,MATCH($K39,其他调用!$AG$5:$AG$364,0),1)/INDEX(其他调用!$AJ$5:$AJ$364,MATCH($K39,其他调用!$AG$5:$AG$364,0),0),5)*求节点(节奏总纲!D$4:D$163,攻城基础信息!$AF$5:$AF$164,$K39)</f>
        <v>188113.79383550884</v>
      </c>
      <c r="AI39" s="12">
        <f>MIN(INDEX(其他调用!$AK$5:$AK$364,MATCH($K39,其他调用!$AG$5:$AG$364,0),1)/INDEX(其他调用!AH$5:AH$364,MATCH($K39,其他调用!$AG$5:$AG$364,0),0),1)*INDEX(其他调用!Y$5:Y$404,MATCH($K39,其他调用!$X$5:$X$404,0),0)</f>
        <v>30159.253381426141</v>
      </c>
      <c r="AJ39" s="12">
        <f>MIN(INDEX(其他调用!$AK$5:$AK$364,MATCH($K39,其他调用!$AG$5:$AG$364,0),1)/INDEX(其他调用!AI$5:AI$364,MATCH($K39,其他调用!$AG$5:$AG$364,0),0),1)*INDEX(其他调用!Z$5:Z$404,MATCH($K39,其他调用!$X$5:$X$404,0),0)</f>
        <v>31213.965804538493</v>
      </c>
      <c r="AK39" s="12">
        <f>MIN(INDEX(其他调用!$AK$5:$AK$364,MATCH($K39,其他调用!$AG$5:$AG$364,0),1)/INDEX(其他调用!AJ$5:AJ$364,MATCH($K39,其他调用!$AG$5:$AG$364,0),0),1)*INDEX(其他调用!AA$5:AA$404,MATCH($K39,其他调用!$X$5:$X$404,0),0)</f>
        <v>32628.829524831268</v>
      </c>
      <c r="AL39" s="12">
        <f>MIN(INDEX(其他调用!$AK$5:$AK$364,MATCH($K39,其他调用!$AG$5:$AG$364,0),1)/INDEX(其他调用!AK$5:AK$364,MATCH($K39,其他调用!$AG$5:$AG$364,0),0),1)*INDEX(其他调用!AB$5:AB$404,MATCH($K39,其他调用!$X$5:$X$404,0),0)</f>
        <v>34758.965000118624</v>
      </c>
      <c r="AM39" s="12">
        <f>MIN(INDEX(其他调用!$AK$5:$AK$364,MATCH($K39,其他调用!$AG$5:$AG$364,0),1)/INDEX(其他调用!AL$5:AL$364,MATCH($K39,其他调用!$AG$5:$AG$364,0),0),1)*INDEX(其他调用!AC$5:AC$404,MATCH($K39,其他调用!$X$5:$X$404,0),0)</f>
        <v>11183.949700435815</v>
      </c>
      <c r="AN39" s="12">
        <f>求节点(节奏总纲!D$4:D$163,标准城池设计!AF$4:AF$163,$K39)*求节点(节奏总纲!D$4:D$163,攻城基础信息!$AG$5:$AG$164,$K39)</f>
        <v>331510.07963539788</v>
      </c>
      <c r="AO39" s="12">
        <f>INDEX(其他调用!$AA$5:$AA$404,MATCH($K39,其他调用!$X$5:$X$404,0))*MIN(INDEX(其他调用!AL$5:AL$364,MATCH($K39,其他调用!$AG$5:$AG$364,0),1)/INDEX(其他调用!$AJ$5:$AJ$364,MATCH($K39,其他调用!$AG$5:$AG$364,0),0),5)*求节点(节奏总纲!D$4:D$163,攻城基础信息!$AG$5:$AG$164,$K39)</f>
        <v>414852.11948416487</v>
      </c>
      <c r="AP39" s="12">
        <f>MIN(INDEX(其他调用!$AL$5:$AL$364,MATCH($K39,其他调用!$AG$5:$AG$364,0),1)/INDEX(其他调用!AH$5:AH$364,MATCH($K39,其他调用!$AG$5:$AG$364,0),0),1)*INDEX(其他调用!Y$5:Y$404,MATCH($K39,其他调用!$X$5:$X$404,0),0)</f>
        <v>30159.253381426141</v>
      </c>
      <c r="AQ39" s="12">
        <f>MIN(INDEX(其他调用!$AL$5:$AL$364,MATCH($K39,其他调用!$AG$5:$AG$364,0),1)/INDEX(其他调用!AI$5:AI$364,MATCH($K39,其他调用!$AG$5:$AG$364,0),0),1)*INDEX(其他调用!Z$5:Z$404,MATCH($K39,其他调用!$X$5:$X$404,0),0)</f>
        <v>31213.965804538493</v>
      </c>
      <c r="AR39" s="12">
        <f>MIN(INDEX(其他调用!$AL$5:$AL$364,MATCH($K39,其他调用!$AG$5:$AG$364,0),1)/INDEX(其他调用!AJ$5:AJ$364,MATCH($K39,其他调用!$AG$5:$AG$364,0),0),1)*INDEX(其他调用!AA$5:AA$404,MATCH($K39,其他调用!$X$5:$X$404,0),0)</f>
        <v>32628.829524831268</v>
      </c>
      <c r="AS39" s="12">
        <f>MIN(INDEX(其他调用!$AL$5:$AL$364,MATCH($K39,其他调用!$AG$5:$AG$364,0),1)/INDEX(其他调用!AK$5:AK$364,MATCH($K39,其他调用!$AG$5:$AG$364,0),0),1)*INDEX(其他调用!AB$5:AB$404,MATCH($K39,其他调用!$X$5:$X$404,0),0)</f>
        <v>34758.965000118624</v>
      </c>
      <c r="AT39" s="12">
        <f>MIN(INDEX(其他调用!$AL$5:$AL$364,MATCH($K39,其他调用!$AG$5:$AG$364,0),1)/INDEX(其他调用!AL$5:AL$364,MATCH($K39,其他调用!$AG$5:$AG$364,0),0),1)*INDEX(其他调用!AC$5:AC$404,MATCH($K39,其他调用!$X$5:$X$404,0),0)</f>
        <v>38570.913104126281</v>
      </c>
      <c r="AV39" s="14">
        <f>IF(OR(AV$5="大R",AV$5="超R"),MAX(INDEX(其他调用!$H$5:$L$404,MATCH($K39,其他调用!$B$5:$B$404,0),MATCH(AV$5,其他调用!$H$4:$L$4,0))*120*0.85,2),INDEX(其他调用!$H$5:$L$404,MATCH($K39,其他调用!$B$5:$B$404,0),MATCH(AV$5,其他调用!$H$4:$L$4,0))*120*0.85)</f>
        <v>54.320141356363656</v>
      </c>
      <c r="AW39" s="14">
        <f>IF(OR(AW$5="大R",AW$5="超R"),MAX(INDEX(其他调用!$H$5:$L$404,MATCH($K39,其他调用!$B$5:$B$404,0),MATCH(AW$5,其他调用!$H$4:$L$4,0))*120*0.85,2),INDEX(其他调用!$H$5:$L$404,MATCH($K39,其他调用!$B$5:$B$404,0),MATCH(AW$5,其他调用!$H$4:$L$4,0))*120*0.85)</f>
        <v>43.11523517304434</v>
      </c>
      <c r="AX39" s="14">
        <f>IF(OR(AX$5="大R",AX$5="超R"),MAX(INDEX(其他调用!$H$5:$L$404,MATCH($K39,其他调用!$B$5:$B$404,0),MATCH(AX$5,其他调用!$H$4:$L$4,0))*120*0.85,2),INDEX(其他调用!$H$5:$L$404,MATCH($K39,其他调用!$B$5:$B$404,0),MATCH(AX$5,其他调用!$H$4:$L$4,0))*120*0.85)</f>
        <v>3.8135117905919995</v>
      </c>
      <c r="AY39" s="14">
        <f>IF(OR(AY$5="大R",AY$5="超R"),MAX(INDEX(其他调用!$H$5:$L$404,MATCH($K39,其他调用!$B$5:$B$404,0),MATCH(AY$5,其他调用!$H$4:$L$4,0))*120*0.85,2),INDEX(其他调用!$H$5:$L$404,MATCH($K39,其他调用!$B$5:$B$404,0),MATCH(AY$5,其他调用!$H$4:$L$4,0))*120*0.85)</f>
        <v>2</v>
      </c>
      <c r="AZ39" s="14">
        <f>IF(OR(AZ$5="大R",AZ$5="超R"),MAX(INDEX(其他调用!$H$5:$L$404,MATCH($K39,其他调用!$B$5:$B$404,0),MATCH(AZ$5,其他调用!$H$4:$L$4,0))*120*0.85,2),INDEX(其他调用!$H$5:$L$404,MATCH($K39,其他调用!$B$5:$B$404,0),MATCH(AZ$5,其他调用!$H$4:$L$4,0))*120*0.85)</f>
        <v>2</v>
      </c>
      <c r="BA39" s="14">
        <f>INDEX(其他调用!$H$5:$L$404,MATCH($K39,其他调用!$B$5:$B$404,0),MATCH(BA$5,其他调用!$H$4:$L$4,0))*INDEX(其他调用!$M$5:$M$404,MATCH($K39,其他调用!$B$5:$B$404,0))*0.6</f>
        <v>28.281559179080229</v>
      </c>
      <c r="BB39" s="14">
        <f>INDEX(其他调用!$H$5:$L$404,MATCH($K39,其他调用!$B$5:$B$404,0),MATCH(BB$5,其他调用!$H$4:$L$4,0))*INDEX(其他调用!$M$5:$M$404,MATCH($K39,其他调用!$B$5:$B$404,0))*0.6</f>
        <v>22.44777065410867</v>
      </c>
      <c r="BC39" s="14">
        <f>INDEX(其他调用!$H$5:$L$404,MATCH($K39,其他调用!$B$5:$B$404,0),MATCH(BC$5,其他调用!$H$4:$L$4,0))*INDEX(其他调用!$M$5:$M$404,MATCH($K39,其他调用!$B$5:$B$404,0))*0.6</f>
        <v>1.9854892990464001</v>
      </c>
      <c r="BD39" s="14">
        <f>INDEX(其他调用!$H$5:$L$404,MATCH($K39,其他调用!$B$5:$B$404,0),MATCH(BD$5,其他调用!$H$4:$L$4,0))*INDEX(其他调用!$M$5:$M$404,MATCH($K39,其他调用!$B$5:$B$404,0))*0.6</f>
        <v>0.31255148423529422</v>
      </c>
      <c r="BE39" s="14">
        <f>INDEX(其他调用!$H$5:$L$404,MATCH($K39,其他调用!$B$5:$B$404,0),MATCH(BE$5,其他调用!$H$4:$L$4,0))*INDEX(其他调用!$M$5:$M$404,MATCH($K39,其他调用!$B$5:$B$404,0))*0.6</f>
        <v>7.8511736470588234E-2</v>
      </c>
      <c r="BF39" s="14">
        <f>IF(OR(BF$5="大R",BF$5="超R"),0,INDEX(其他调用!$H$5:$L$404,MATCH($K39,其他调用!$B$5:$B$404,0),MATCH(BF$5,其他调用!$H$4:$L$4,0))*50*0.4)</f>
        <v>10.651008109090915</v>
      </c>
      <c r="BG39" s="14">
        <f>IF(OR(BG$5="大R",BG$5="超R"),0,INDEX(其他调用!$H$5:$L$404,MATCH($K39,其他调用!$B$5:$B$404,0),MATCH(BG$5,其他调用!$H$4:$L$4,0))*50*0.4)</f>
        <v>8.453967680989086</v>
      </c>
      <c r="BH39" s="14">
        <f>IF(OR(BH$5="大R",BH$5="超R"),0,INDEX(其他调用!$H$5:$L$404,MATCH($K39,其他调用!$B$5:$B$404,0),MATCH(BH$5,其他调用!$H$4:$L$4,0))*50*0.4)</f>
        <v>0.74774740992000011</v>
      </c>
      <c r="BI39" s="14">
        <f>IF(OR(BI$5="大R",BI$5="超R"),0,INDEX(其他调用!$H$5:$L$404,MATCH($K39,其他调用!$B$5:$B$404,0),MATCH(BI$5,其他调用!$H$4:$L$4,0))*50*0.4)</f>
        <v>0</v>
      </c>
      <c r="BJ39" s="14">
        <f>IF(OR(BJ$5="大R",BJ$5="超R"),0,INDEX(其他调用!$H$5:$L$404,MATCH($K39,其他调用!$B$5:$B$404,0),MATCH(BJ$5,其他调用!$H$4:$L$4,0))*50*0.4)</f>
        <v>0</v>
      </c>
      <c r="BL39" s="14">
        <f t="shared" si="103"/>
        <v>34</v>
      </c>
      <c r="BM39" s="14">
        <f t="shared" si="10"/>
        <v>96</v>
      </c>
      <c r="BN39" s="14">
        <f>('疲劳值&amp;地图信息'!$S$10*'疲劳值&amp;地图信息'!$R$10+'疲劳值&amp;地图信息'!$S$11*'疲劳值&amp;地图信息'!$R$11+'疲劳值&amp;地图信息'!$S$12*'疲劳值&amp;地图信息'!$R$12+(BM39-'疲劳值&amp;地图信息'!$S$12-'疲劳值&amp;地图信息'!$S$11-'疲劳值&amp;地图信息'!$S$10)*'疲劳值&amp;地图信息'!$R$13)/BM39</f>
        <v>51.371477246638619</v>
      </c>
      <c r="BO39" s="14">
        <f>INDEX(其他调用!$M$5:$M$404,MATCH(BL39,其他调用!$B$5:$B$404,0))*0.6</f>
        <v>53.10588235294118</v>
      </c>
      <c r="BP39" s="14">
        <f>IF(BO39&gt;SUM('疲劳值&amp;地图信息'!$S$10:$S$12),('疲劳值&amp;地图信息'!$S$10*'疲劳值&amp;地图信息'!$R$10+'疲劳值&amp;地图信息'!$S$11*'疲劳值&amp;地图信息'!$R$11+'疲劳值&amp;地图信息'!$S$12*'疲劳值&amp;地图信息'!$R$12+(BO39-'疲劳值&amp;地图信息'!$S$12-'疲劳值&amp;地图信息'!$S$11-'疲劳值&amp;地图信息'!$S$10)*'疲劳值&amp;地图信息'!$R$13)/BO39,('疲劳值&amp;地图信息'!$S$10*'疲劳值&amp;地图信息'!$R$10+'疲劳值&amp;地图信息'!$S$11*'疲劳值&amp;地图信息'!$R$11+'疲劳值&amp;地图信息'!$S$12*'疲劳值&amp;地图信息'!$R$12+(BO39-'疲劳值&amp;地图信息'!$S$12-'疲劳值&amp;地图信息'!$S$11-'疲劳值&amp;地图信息'!$S$10)*'疲劳值&amp;地图信息'!$R$13)/BO39)</f>
        <v>41.661005772798305</v>
      </c>
      <c r="BQ39" s="14">
        <f t="shared" si="104"/>
        <v>20</v>
      </c>
      <c r="BR39" s="14">
        <f>('疲劳值&amp;地图信息'!$S$10*'疲劳值&amp;地图信息'!$R$10+($BQ39-'疲劳值&amp;地图信息'!$S$10)*'疲劳值&amp;地图信息'!$R$11)/$BQ39</f>
        <v>32.067203015074995</v>
      </c>
      <c r="CF39" s="14">
        <v>34</v>
      </c>
      <c r="CG39" s="51">
        <f t="shared" si="11"/>
        <v>5407</v>
      </c>
      <c r="CH39" s="51">
        <f t="shared" si="12"/>
        <v>769</v>
      </c>
      <c r="CI39" s="51">
        <f>INT(SUMPRODUCT($N39:$R39,$BA39:$BE39)/SUM($BA39:$BE39)/10000*$BX$7*$BZ$34/'疲劳值&amp;地图信息'!$R$10*$BY$53)</f>
        <v>2696</v>
      </c>
      <c r="CJ39" s="50">
        <f t="shared" si="13"/>
        <v>0.6094454463480613</v>
      </c>
      <c r="CK39" s="50">
        <f t="shared" si="14"/>
        <v>8.6677186654643829E-2</v>
      </c>
      <c r="CL39" s="50">
        <f t="shared" si="15"/>
        <v>0.30387736699729484</v>
      </c>
      <c r="CM39" s="14">
        <f t="shared" si="16"/>
        <v>5593</v>
      </c>
      <c r="CN39" s="14">
        <f t="shared" si="17"/>
        <v>1020</v>
      </c>
      <c r="CO39" s="14">
        <f>INT(SUMPRODUCT($U39:$Y39,$BA39:$BE39)/SUM($BA39:$BE39)/10000*$BX$7*$BZ$34/'疲劳值&amp;地图信息'!$R$10*$BY$54)</f>
        <v>4566</v>
      </c>
      <c r="CP39" s="50">
        <f t="shared" si="18"/>
        <v>0.50031308703819666</v>
      </c>
      <c r="CQ39" s="50">
        <f t="shared" si="19"/>
        <v>9.1242508274443149E-2</v>
      </c>
      <c r="CR39" s="50">
        <f t="shared" si="20"/>
        <v>0.40844440468736021</v>
      </c>
      <c r="CS39" s="14">
        <f t="shared" si="21"/>
        <v>5994</v>
      </c>
      <c r="CT39" s="14">
        <f t="shared" si="22"/>
        <v>1792</v>
      </c>
      <c r="CU39" s="14">
        <f>INT(SUMPRODUCT($AB39:$AF39,$BA39:$BE39)/SUM($BA39:$BE39)/10000*$BX$7*$BZ$34/'疲劳值&amp;地图信息'!$R$10*$BY$55)</f>
        <v>6204</v>
      </c>
      <c r="CV39" s="50">
        <f t="shared" si="23"/>
        <v>0.42844889206576126</v>
      </c>
      <c r="CW39" s="50">
        <f t="shared" si="24"/>
        <v>0.12809149392423158</v>
      </c>
      <c r="CX39" s="50">
        <f t="shared" si="25"/>
        <v>0.44345961401000716</v>
      </c>
      <c r="CY39" s="14">
        <f t="shared" si="26"/>
        <v>6966</v>
      </c>
      <c r="CZ39" s="14">
        <f t="shared" si="27"/>
        <v>4063</v>
      </c>
      <c r="DA39" s="14">
        <f>INT(SUMPRODUCT($AI39:$AM39,$BA39:$BE39)/SUM($BA39:$BE39)/10000*$BX$7*$BZ$34/'疲劳值&amp;地图信息'!$R$10*$BY$56)</f>
        <v>9344</v>
      </c>
      <c r="DB39" s="50">
        <f t="shared" si="28"/>
        <v>0.34192313355912235</v>
      </c>
      <c r="DC39" s="50">
        <f t="shared" si="29"/>
        <v>0.199430618956462</v>
      </c>
      <c r="DD39" s="50">
        <f t="shared" si="30"/>
        <v>0.45864624748441563</v>
      </c>
      <c r="DE39" s="14">
        <f t="shared" si="31"/>
        <v>7161</v>
      </c>
      <c r="DF39" s="14">
        <f t="shared" si="32"/>
        <v>8962</v>
      </c>
      <c r="DG39" s="14">
        <f>INT(SUMPRODUCT($AP39:$AT39,$BA39:$BE39)/SUM($BA39:$BE39)/10000*$BX$7*$BZ$34/'疲劳值&amp;地图信息'!$R$10*$BY$57)</f>
        <v>12475</v>
      </c>
      <c r="DH39" s="50">
        <f t="shared" si="33"/>
        <v>0.25040212602279882</v>
      </c>
      <c r="DI39" s="50">
        <f t="shared" si="34"/>
        <v>0.31337855794111474</v>
      </c>
      <c r="DJ39" s="50">
        <f t="shared" si="35"/>
        <v>0.43621931603608644</v>
      </c>
      <c r="DL39" s="14">
        <f t="shared" si="106"/>
        <v>8872</v>
      </c>
      <c r="DM39" s="14">
        <f t="shared" si="107"/>
        <v>11179</v>
      </c>
      <c r="DN39" s="14">
        <f t="shared" si="108"/>
        <v>13990</v>
      </c>
      <c r="DO39" s="14">
        <f t="shared" si="109"/>
        <v>20373</v>
      </c>
      <c r="DP39" s="14">
        <f t="shared" si="110"/>
        <v>28598</v>
      </c>
      <c r="DQ39" s="14">
        <f t="shared" si="111"/>
        <v>538247</v>
      </c>
      <c r="DT39" s="14">
        <f t="shared" si="105"/>
        <v>235575</v>
      </c>
      <c r="DU39" s="50">
        <f t="shared" si="7"/>
        <v>0.30443047625939818</v>
      </c>
      <c r="DW39" s="14">
        <f t="shared" si="36"/>
        <v>773822</v>
      </c>
      <c r="EB39" s="14">
        <v>34</v>
      </c>
      <c r="EC39" s="51">
        <f t="shared" si="37"/>
        <v>9012</v>
      </c>
      <c r="ED39" s="51">
        <f t="shared" si="38"/>
        <v>1282</v>
      </c>
      <c r="EE39" s="51">
        <f>INT(SUMPRODUCT($N39:$R39,$BF39:$BJ39)/SUM($BF39:$BJ39)/10000*$BX$7*$BZ$46/'疲劳值&amp;地图信息'!$R$10*$BY$53)</f>
        <v>361</v>
      </c>
      <c r="EF39" s="50">
        <f t="shared" si="39"/>
        <v>0.84580009385265131</v>
      </c>
      <c r="EG39" s="50">
        <f t="shared" si="40"/>
        <v>0.12031909901454717</v>
      </c>
      <c r="EH39" s="50">
        <f t="shared" si="41"/>
        <v>3.3880807132801505E-2</v>
      </c>
      <c r="EI39" s="51">
        <f t="shared" si="42"/>
        <v>9322</v>
      </c>
      <c r="EJ39" s="51">
        <f t="shared" si="43"/>
        <v>1701</v>
      </c>
      <c r="EK39" s="14">
        <f>INT(SUMPRODUCT($U39:$Y39,$BF39:$BJ39)/SUM($BF39:$BJ39)/10000*$BX$7*$BZ$46/'疲劳值&amp;地图信息'!$R$10*$BY$54)</f>
        <v>612</v>
      </c>
      <c r="EL39" s="50">
        <f t="shared" si="44"/>
        <v>0.80120326600773528</v>
      </c>
      <c r="EM39" s="50">
        <f t="shared" si="45"/>
        <v>0.14619681993983669</v>
      </c>
      <c r="EN39" s="50">
        <f t="shared" si="46"/>
        <v>5.2599914052428018E-2</v>
      </c>
      <c r="EO39" s="51">
        <f t="shared" si="47"/>
        <v>9991</v>
      </c>
      <c r="EP39" s="51">
        <f t="shared" si="48"/>
        <v>2987</v>
      </c>
      <c r="EQ39" s="14">
        <f>INT(SUMPRODUCT($AB39:$AF39,$BF39:$BJ39)/SUM($BF39:$BJ39)/10000*$BX$7*$BZ$46/'疲劳值&amp;地图信息'!$R$10*$BY$55)</f>
        <v>830</v>
      </c>
      <c r="ER39" s="50">
        <f t="shared" si="49"/>
        <v>0.72356604866743912</v>
      </c>
      <c r="ES39" s="50">
        <f t="shared" si="50"/>
        <v>0.21632387022016222</v>
      </c>
      <c r="ET39" s="50">
        <f t="shared" si="51"/>
        <v>6.0110081112398607E-2</v>
      </c>
      <c r="EU39" s="51">
        <f t="shared" si="52"/>
        <v>11611</v>
      </c>
      <c r="EV39" s="51">
        <f t="shared" si="53"/>
        <v>6773</v>
      </c>
      <c r="EW39" s="14">
        <f>INT(SUMPRODUCT($AI39:$AM39,$BF39:$BJ39)/SUM($BF39:$BJ39)/10000*$BX$7*$BZ$46/'疲劳值&amp;地图信息'!$R$10*$BY$56)</f>
        <v>1246</v>
      </c>
      <c r="EX39" s="50">
        <f t="shared" si="54"/>
        <v>0.59149261334691794</v>
      </c>
      <c r="EY39" s="50">
        <f t="shared" si="55"/>
        <v>0.34503311258278146</v>
      </c>
      <c r="EZ39" s="50">
        <f t="shared" si="56"/>
        <v>6.3474274070300554E-2</v>
      </c>
      <c r="FA39" s="51">
        <f t="shared" si="57"/>
        <v>11935</v>
      </c>
      <c r="FB39" s="51">
        <f t="shared" si="58"/>
        <v>14936</v>
      </c>
      <c r="FC39" s="14">
        <f>INT(SUMPRODUCT($AP39:$AT39,$BF39:$BJ39)/SUM($BF39:$BJ39)/10000*$BX$7*$BZ$46/'疲劳值&amp;地图信息'!$R$10*$BY$57)</f>
        <v>1661</v>
      </c>
      <c r="FD39" s="50">
        <f t="shared" si="59"/>
        <v>0.41830225711481844</v>
      </c>
      <c r="FE39" s="50">
        <f t="shared" si="60"/>
        <v>0.52348240571989346</v>
      </c>
      <c r="FF39" s="50">
        <f t="shared" si="61"/>
        <v>5.8215337165288095E-2</v>
      </c>
      <c r="FH39" s="14">
        <f t="shared" si="62"/>
        <v>10655</v>
      </c>
      <c r="FI39" s="14">
        <f t="shared" si="63"/>
        <v>11635</v>
      </c>
      <c r="FJ39" s="14">
        <f t="shared" si="64"/>
        <v>13808</v>
      </c>
      <c r="FK39" s="14">
        <f t="shared" si="65"/>
        <v>19630</v>
      </c>
      <c r="FL39" s="14">
        <f t="shared" si="66"/>
        <v>28532</v>
      </c>
      <c r="FM39" s="14">
        <f t="shared" si="67"/>
        <v>1229407</v>
      </c>
      <c r="FP39" s="14">
        <f t="shared" si="68"/>
        <v>334150</v>
      </c>
      <c r="FQ39" s="50">
        <f t="shared" si="8"/>
        <v>0.21371142849285316</v>
      </c>
      <c r="FS39" s="14">
        <f t="shared" si="69"/>
        <v>1563557</v>
      </c>
      <c r="FX39" s="14">
        <v>34</v>
      </c>
      <c r="FY39" s="51">
        <f t="shared" si="70"/>
        <v>12617</v>
      </c>
      <c r="FZ39" s="51">
        <f t="shared" si="71"/>
        <v>1282</v>
      </c>
      <c r="GA39" s="51">
        <f>INT(SUMPRODUCT($N39:$R39,$BF39:$BJ39)/SUM($BF39:$BJ39)/10000*$BX$7*$BZ$46/'疲劳值&amp;地图信息'!$R$10*$BY$53)</f>
        <v>361</v>
      </c>
      <c r="GB39" s="50">
        <f t="shared" si="72"/>
        <v>0.88478260869565217</v>
      </c>
      <c r="GC39" s="50">
        <f t="shared" si="73"/>
        <v>8.9901823281907434E-2</v>
      </c>
      <c r="GD39" s="50">
        <f t="shared" si="74"/>
        <v>2.5315568022440393E-2</v>
      </c>
      <c r="GE39" s="51">
        <f t="shared" si="75"/>
        <v>13051</v>
      </c>
      <c r="GF39" s="51">
        <f t="shared" si="76"/>
        <v>1701</v>
      </c>
      <c r="GG39" s="14">
        <f>INT(SUMPRODUCT($U39:$Y39,$BF39:$BJ39)/SUM($BF39:$BJ39)/10000*$BX$7*$BZ$46/'疲劳值&amp;地图信息'!$R$10*$BY$54)</f>
        <v>612</v>
      </c>
      <c r="GH39" s="50">
        <f t="shared" si="77"/>
        <v>0.84945326737828686</v>
      </c>
      <c r="GI39" s="50">
        <f t="shared" si="78"/>
        <v>0.11071335589690184</v>
      </c>
      <c r="GJ39" s="50">
        <f t="shared" si="79"/>
        <v>3.9833376724811249E-2</v>
      </c>
      <c r="GK39" s="51">
        <f t="shared" si="80"/>
        <v>13988</v>
      </c>
      <c r="GL39" s="51">
        <f t="shared" si="81"/>
        <v>2987</v>
      </c>
      <c r="GM39" s="14">
        <f>INT(SUMPRODUCT($AB39:$AF39,$BF39:$BJ39)/SUM($BF39:$BJ39)/10000*$BX$7*$BZ$46/'疲劳值&amp;地图信息'!$R$10*$BY$55)</f>
        <v>830</v>
      </c>
      <c r="GN39" s="50">
        <f t="shared" si="82"/>
        <v>0.78562201628755968</v>
      </c>
      <c r="GO39" s="50">
        <f t="shared" si="83"/>
        <v>0.1677618646447627</v>
      </c>
      <c r="GP39" s="50">
        <f t="shared" si="84"/>
        <v>4.6616119067677618E-2</v>
      </c>
      <c r="GQ39" s="51">
        <f t="shared" si="85"/>
        <v>16255</v>
      </c>
      <c r="GR39" s="51">
        <f t="shared" si="86"/>
        <v>6773</v>
      </c>
      <c r="GS39" s="14">
        <f>INT(SUMPRODUCT($AI39:$AM39,$BF39:$BJ39)/SUM($BF39:$BJ39)/10000*$BX$7*$BZ$46/'疲劳值&amp;地图信息'!$R$10*$BY$56)</f>
        <v>1246</v>
      </c>
      <c r="GT39" s="50">
        <f t="shared" si="87"/>
        <v>0.66964653538765762</v>
      </c>
      <c r="GU39" s="50">
        <f t="shared" si="88"/>
        <v>0.27902282277333773</v>
      </c>
      <c r="GV39" s="50">
        <f t="shared" si="89"/>
        <v>5.1330641839004695E-2</v>
      </c>
      <c r="GW39" s="51">
        <f t="shared" si="90"/>
        <v>16710</v>
      </c>
      <c r="GX39" s="51">
        <f t="shared" si="91"/>
        <v>14936</v>
      </c>
      <c r="GY39" s="14">
        <f>INT(SUMPRODUCT($AP39:$AT39,$BF39:$BJ39)/SUM($BF39:$BJ39)/10000*$BX$7*$BZ$46/'疲劳值&amp;地图信息'!$R$10*$BY$57)</f>
        <v>1661</v>
      </c>
      <c r="GZ39" s="50">
        <f t="shared" si="92"/>
        <v>0.50169634010868591</v>
      </c>
      <c r="HA39" s="50">
        <f t="shared" si="93"/>
        <v>0.44843426306782358</v>
      </c>
      <c r="HB39" s="50">
        <f t="shared" si="94"/>
        <v>4.9869396823490557E-2</v>
      </c>
      <c r="HD39" s="14">
        <f t="shared" si="95"/>
        <v>14260</v>
      </c>
      <c r="HE39" s="14">
        <f t="shared" si="96"/>
        <v>15364</v>
      </c>
      <c r="HF39" s="14">
        <f t="shared" si="97"/>
        <v>17805</v>
      </c>
      <c r="HG39" s="14">
        <f t="shared" si="98"/>
        <v>24274</v>
      </c>
      <c r="HH39" s="14">
        <f t="shared" si="99"/>
        <v>33307</v>
      </c>
      <c r="HI39" s="14">
        <f t="shared" si="100"/>
        <v>1620089</v>
      </c>
      <c r="HL39" s="14">
        <f t="shared" si="101"/>
        <v>430050</v>
      </c>
      <c r="HM39" s="50">
        <f t="shared" si="9"/>
        <v>0.20976626462888615</v>
      </c>
      <c r="HO39" s="14">
        <f t="shared" si="102"/>
        <v>2050139</v>
      </c>
    </row>
    <row r="40" spans="3:223" x14ac:dyDescent="0.2">
      <c r="C40" s="1" t="s">
        <v>439</v>
      </c>
      <c r="D40" s="1" t="s">
        <v>517</v>
      </c>
      <c r="K40" s="14">
        <v>35</v>
      </c>
      <c r="L40" s="12">
        <f>求节点(节奏总纲!D$4:D$163,标准城池设计!AB$4:AB$163,$K40)*求节点(节奏总纲!D$4:D$163,攻城基础信息!$AC$5:$AC$164,$K40)</f>
        <v>254698.48583661942</v>
      </c>
      <c r="M40" s="12">
        <f>INDEX(其他调用!$AA$5:$AA$404,MATCH(K40,其他调用!$X$5:$X$404,0))*MIN(INDEX(其他调用!$AH$5:$AH$364,MATCH('征服点（新）'!K40,其他调用!$AG$5:$AG$364,0),1)/INDEX(其他调用!$AJ$5:$AJ$364,MATCH(K40,其他调用!$AG$5:$AG$364,0),0),5)*求节点(节奏总纲!D$4:D$163,攻城基础信息!$AC$5:$AC$164,$K40)</f>
        <v>36524.903300172984</v>
      </c>
      <c r="N40" s="12">
        <f>MIN(INDEX(其他调用!$AH$5:$AH$364,MATCH($K40,其他调用!$AG$5:$AG$364,0),1)/INDEX(其他调用!AH$5:AH$364,MATCH($K40,其他调用!$AG$5:$AG$364,0),0),1)*INDEX(其他调用!Y$5:Y$404,MATCH($K40,其他调用!$X$5:$X$404,0),0)</f>
        <v>30310.76954590105</v>
      </c>
      <c r="O40" s="12">
        <f>MIN(INDEX(其他调用!$AH$5:$AH$364,MATCH($K40,其他调用!$AG$5:$AG$364,0),1)/INDEX(其他调用!AI$5:AI$364,MATCH($K40,其他调用!$AG$5:$AG$364,0),0),1)*INDEX(其他调用!Z$5:Z$404,MATCH($K40,其他调用!$X$5:$X$404,0),0)</f>
        <v>23637.878353544449</v>
      </c>
      <c r="P40" s="12">
        <f>MIN(INDEX(其他调用!$AH$5:$AH$364,MATCH($K40,其他调用!$AG$5:$AG$364,0),1)/INDEX(其他调用!AJ$5:AJ$364,MATCH($K40,其他调用!$AG$5:$AG$364,0),0),1)*INDEX(其他调用!AA$5:AA$404,MATCH($K40,其他调用!$X$5:$X$404,0),0)</f>
        <v>14287.645625893791</v>
      </c>
      <c r="Q40" s="12">
        <f>MIN(INDEX(其他调用!$AH$5:$AH$364,MATCH($K40,其他调用!$AG$5:$AG$364,0),1)/INDEX(其他调用!AK$5:AK$364,MATCH($K40,其他调用!$AG$5:$AG$364,0),0),1)*INDEX(其他调用!AB$5:AB$404,MATCH($K40,其他调用!$X$5:$X$404,0),0)</f>
        <v>6514.1477812873027</v>
      </c>
      <c r="R40" s="12">
        <f>MIN(INDEX(其他调用!$AH$5:$AH$364,MATCH($K40,其他调用!$AG$5:$AG$364,0),1)/INDEX(其他调用!AL$5:AL$364,MATCH($K40,其他调用!$AG$5:$AG$364,0),0),1)*INDEX(其他调用!AC$5:AC$404,MATCH($K40,其他调用!$X$5:$X$404,0),0)</f>
        <v>2100.9249986170489</v>
      </c>
      <c r="S40" s="12">
        <f>求节点(节奏总纲!D$4:D$163,标准城池设计!AC$4:AC$163,$K40)*求节点(节奏总纲!D$4:D$163,攻城基础信息!$AD$5:$AD$164,$K40)</f>
        <v>263401.64060707507</v>
      </c>
      <c r="T40" s="12">
        <f>INDEX(其他调用!$AA$5:$AA$404,MATCH($K40,其他调用!$X$5:$X$404,0))*MIN(INDEX(其他调用!AI$5:AI$364,MATCH($K40,其他调用!$AG$5:$AG$364,0),1)/INDEX(其他调用!$AJ$5:$AJ$364,MATCH($K40,其他调用!$AG$5:$AG$364,0),0),5)*求节点(节奏总纲!D$4:D$163,攻城基础信息!$AD$5:$AD$164,$K40)</f>
        <v>48473.843588758195</v>
      </c>
      <c r="U40" s="12">
        <f>MIN(INDEX(其他调用!$AI$5:$AI$364,MATCH($K40,其他调用!$AG$5:$AG$364,0),1)/INDEX(其他调用!AH$5:AH$364,MATCH($K40,其他调用!$AG$5:$AG$364,0),0),1)*INDEX(其他调用!Y$5:Y$404,MATCH($K40,其他调用!$X$5:$X$404,0),0)</f>
        <v>30310.76954590105</v>
      </c>
      <c r="V40" s="12">
        <f>MIN(INDEX(其他调用!$AI$5:$AI$364,MATCH($K40,其他调用!$AG$5:$AG$364,0),1)/INDEX(其他调用!AI$5:AI$364,MATCH($K40,其他调用!$AG$5:$AG$364,0),0),1)*INDEX(其他调用!Z$5:Z$404,MATCH($K40,其他调用!$X$5:$X$404,0),0)</f>
        <v>31370.892584248955</v>
      </c>
      <c r="W40" s="12">
        <f>MIN(INDEX(其他调用!$AI$5:$AI$364,MATCH($K40,其他调用!$AG$5:$AG$364,0),1)/INDEX(其他调用!AJ$5:AJ$364,MATCH($K40,其他调用!$AG$5:$AG$364,0),0),1)*INDEX(其他调用!AA$5:AA$404,MATCH($K40,其他调用!$X$5:$X$404,0),0)</f>
        <v>18961.777766510902</v>
      </c>
      <c r="X40" s="12">
        <f>MIN(INDEX(其他调用!$AI$5:$AI$364,MATCH($K40,其他调用!$AG$5:$AG$364,0),1)/INDEX(其他调用!AK$5:AK$364,MATCH($K40,其他调用!$AG$5:$AG$364,0),0),1)*INDEX(其他调用!AB$5:AB$404,MATCH($K40,其他调用!$X$5:$X$404,0),0)</f>
        <v>8645.2187995986151</v>
      </c>
      <c r="Y40" s="12">
        <f>MIN(INDEX(其他调用!$AI$5:$AI$364,MATCH($K40,其他调用!$AG$5:$AG$364,0),1)/INDEX(其他调用!AL$5:AL$364,MATCH($K40,其他调用!$AG$5:$AG$364,0),0),1)*INDEX(其他调用!AC$5:AC$404,MATCH($K40,其他调用!$X$5:$X$404,0),0)</f>
        <v>2788.2321532167489</v>
      </c>
      <c r="Z40" s="12">
        <f>求节点(节奏总纲!D$4:D$163,标准城池设计!AD$4:AD$163,$K40)*求节点(节奏总纲!D$4:D$163,攻城基础信息!$AE$5:$AE$164,$K40)</f>
        <v>281676.97232153267</v>
      </c>
      <c r="AA40" s="12">
        <f>INDEX(其他调用!$AA$5:$AA$404,MATCH($K40,其他调用!$X$5:$X$404,0))*MIN(INDEX(其他调用!AJ$5:AJ$364,MATCH($K40,其他调用!$AG$5:$AG$364,0),1)/INDEX(其他调用!$AJ$5:$AJ$364,MATCH($K40,其他调用!$AG$5:$AG$364,0),0),5)*求节点(节奏总纲!D$4:D$163,攻城基础信息!$AE$5:$AE$164,$K40)</f>
        <v>83810.911950894719</v>
      </c>
      <c r="AB40" s="12">
        <f>MIN(INDEX(其他调用!$AJ$5:$AJ$364,MATCH($K40,其他调用!$AG$5:$AG$364,0),1)/INDEX(其他调用!AH$5:AH$364,MATCH($K40,其他调用!$AG$5:$AG$364,0),0),1)*INDEX(其他调用!Y$5:Y$404,MATCH($K40,其他调用!$X$5:$X$404,0),0)</f>
        <v>30310.76954590105</v>
      </c>
      <c r="AC40" s="12">
        <f>MIN(INDEX(其他调用!$AJ$5:$AJ$364,MATCH($K40,其他调用!$AG$5:$AG$364,0),1)/INDEX(其他调用!AI$5:AI$364,MATCH($K40,其他调用!$AG$5:$AG$364,0),0),1)*INDEX(其他调用!Z$5:Z$404,MATCH($K40,其他调用!$X$5:$X$404,0),0)</f>
        <v>31370.892584248955</v>
      </c>
      <c r="AD40" s="12">
        <f>MIN(INDEX(其他调用!$AJ$5:$AJ$364,MATCH($K40,其他调用!$AG$5:$AG$364,0),1)/INDEX(其他调用!AJ$5:AJ$364,MATCH($K40,其他调用!$AG$5:$AG$364,0),0),1)*INDEX(其他调用!AA$5:AA$404,MATCH($K40,其他调用!$X$5:$X$404,0),0)</f>
        <v>32784.771521399191</v>
      </c>
      <c r="AE40" s="12">
        <f>MIN(INDEX(其他调用!$AJ$5:$AJ$364,MATCH($K40,其他调用!$AG$5:$AG$364,0),1)/INDEX(其他调用!AK$5:AK$364,MATCH($K40,其他调用!$AG$5:$AG$364,0),0),1)*INDEX(其他调用!AB$5:AB$404,MATCH($K40,其他调用!$X$5:$X$404,0),0)</f>
        <v>14947.518454621088</v>
      </c>
      <c r="AF40" s="12">
        <f>MIN(INDEX(其他调用!$AJ$5:$AJ$364,MATCH($K40,其他调用!$AG$5:$AG$364,0),1)/INDEX(其他调用!AL$5:AL$364,MATCH($K40,其他调用!$AG$5:$AG$364,0),0),1)*INDEX(其他调用!AC$5:AC$404,MATCH($K40,其他调用!$X$5:$X$404,0),0)</f>
        <v>4820.8324777055104</v>
      </c>
      <c r="AG40" s="12">
        <f>求节点(节奏总纲!D$4:D$163,标准城池设计!AE$4:AE$163,$K40)*求节点(节奏总纲!D$4:D$163,攻城基础信息!$AF$5:$AF$164,$K40)</f>
        <v>327418.27106016461</v>
      </c>
      <c r="AH40" s="12">
        <f>INDEX(其他调用!$AA$5:$AA$404,MATCH($K40,其他调用!$X$5:$X$404,0))*MIN(INDEX(其他调用!AK$5:AK$364,MATCH($K40,其他调用!$AG$5:$AG$364,0),1)/INDEX(其他调用!$AJ$5:$AJ$364,MATCH($K40,其他调用!$AG$5:$AG$364,0),0),5)*求节点(节奏总纲!D$4:D$163,攻城基础信息!$AF$5:$AF$164,$K40)</f>
        <v>195840.59626881962</v>
      </c>
      <c r="AI40" s="12">
        <f>MIN(INDEX(其他调用!$AK$5:$AK$364,MATCH($K40,其他调用!$AG$5:$AG$364,0),1)/INDEX(其他调用!AH$5:AH$364,MATCH($K40,其他调用!$AG$5:$AG$364,0),0),1)*INDEX(其他调用!Y$5:Y$404,MATCH($K40,其他调用!$X$5:$X$404,0),0)</f>
        <v>30310.76954590105</v>
      </c>
      <c r="AJ40" s="12">
        <f>MIN(INDEX(其他调用!$AK$5:$AK$364,MATCH($K40,其他调用!$AG$5:$AG$364,0),1)/INDEX(其他调用!AI$5:AI$364,MATCH($K40,其他调用!$AG$5:$AG$364,0),0),1)*INDEX(其他调用!Z$5:Z$404,MATCH($K40,其他调用!$X$5:$X$404,0),0)</f>
        <v>31370.892584248955</v>
      </c>
      <c r="AK40" s="12">
        <f>MIN(INDEX(其他调用!$AK$5:$AK$364,MATCH($K40,其他调用!$AG$5:$AG$364,0),1)/INDEX(其他调用!AJ$5:AJ$364,MATCH($K40,其他调用!$AG$5:$AG$364,0),0),1)*INDEX(其他调用!AA$5:AA$404,MATCH($K40,其他调用!$X$5:$X$404,0),0)</f>
        <v>32784.771521399191</v>
      </c>
      <c r="AL40" s="12">
        <f>MIN(INDEX(其他调用!$AK$5:$AK$364,MATCH($K40,其他调用!$AG$5:$AG$364,0),1)/INDEX(其他调用!AK$5:AK$364,MATCH($K40,其他调用!$AG$5:$AG$364,0),0),1)*INDEX(其他调用!AB$5:AB$404,MATCH($K40,其他调用!$X$5:$X$404,0),0)</f>
        <v>34927.801866746398</v>
      </c>
      <c r="AM40" s="12">
        <f>MIN(INDEX(其他调用!$AK$5:$AK$364,MATCH($K40,其他调用!$AG$5:$AG$364,0),1)/INDEX(其他调用!AL$5:AL$364,MATCH($K40,其他调用!$AG$5:$AG$364,0),0),1)*INDEX(其他调用!AC$5:AC$404,MATCH($K40,其他调用!$X$5:$X$404,0),0)</f>
        <v>11264.818446303272</v>
      </c>
      <c r="AN40" s="12">
        <f>求节点(节奏总纲!D$4:D$163,标准城池设计!AF$4:AF$163,$K40)*求节点(节奏总纲!D$4:D$163,攻城基础信息!$AG$5:$AG$164,$K40)</f>
        <v>336448.37096681615</v>
      </c>
      <c r="AO40" s="12">
        <f>INDEX(其他调用!$AA$5:$AA$404,MATCH($K40,其他调用!$X$5:$X$404,0))*MIN(INDEX(其他调用!AL$5:AL$364,MATCH($K40,其他调用!$AG$5:$AG$364,0),1)/INDEX(其他调用!$AJ$5:$AJ$364,MATCH($K40,其他调用!$AG$5:$AG$364,0),0),5)*求节点(节奏总纲!D$4:D$163,攻城基础信息!$AG$5:$AG$164,$K40)</f>
        <v>419054.55975447362</v>
      </c>
      <c r="AP40" s="12">
        <f>MIN(INDEX(其他调用!$AL$5:$AL$364,MATCH($K40,其他调用!$AG$5:$AG$364,0),1)/INDEX(其他调用!AH$5:AH$364,MATCH($K40,其他调用!$AG$5:$AG$364,0),0),1)*INDEX(其他调用!Y$5:Y$404,MATCH($K40,其他调用!$X$5:$X$404,0),0)</f>
        <v>30310.76954590105</v>
      </c>
      <c r="AQ40" s="12">
        <f>MIN(INDEX(其他调用!$AL$5:$AL$364,MATCH($K40,其他调用!$AG$5:$AG$364,0),1)/INDEX(其他调用!AI$5:AI$364,MATCH($K40,其他调用!$AG$5:$AG$364,0),0),1)*INDEX(其他调用!Z$5:Z$404,MATCH($K40,其他调用!$X$5:$X$404,0),0)</f>
        <v>31370.892584248955</v>
      </c>
      <c r="AR40" s="12">
        <f>MIN(INDEX(其他调用!$AL$5:$AL$364,MATCH($K40,其他调用!$AG$5:$AG$364,0),1)/INDEX(其他调用!AJ$5:AJ$364,MATCH($K40,其他调用!$AG$5:$AG$364,0),0),1)*INDEX(其他调用!AA$5:AA$404,MATCH($K40,其他调用!$X$5:$X$404,0),0)</f>
        <v>32784.771521399191</v>
      </c>
      <c r="AS40" s="12">
        <f>MIN(INDEX(其他调用!$AL$5:$AL$364,MATCH($K40,其他调用!$AG$5:$AG$364,0),1)/INDEX(其他调用!AK$5:AK$364,MATCH($K40,其他调用!$AG$5:$AG$364,0),0),1)*INDEX(其他调用!AB$5:AB$404,MATCH($K40,其他调用!$X$5:$X$404,0),0)</f>
        <v>34927.801866746398</v>
      </c>
      <c r="AT40" s="12">
        <f>MIN(INDEX(其他调用!$AL$5:$AL$364,MATCH($K40,其他调用!$AG$5:$AG$364,0),1)/INDEX(其他调用!AL$5:AL$364,MATCH($K40,其他调用!$AG$5:$AG$364,0),0),1)*INDEX(其他调用!AC$5:AC$404,MATCH($K40,其他调用!$X$5:$X$404,0),0)</f>
        <v>38738.145999461034</v>
      </c>
      <c r="AV40" s="14">
        <f>IF(OR(AV$5="大R",AV$5="超R"),MAX(INDEX(其他调用!$H$5:$L$404,MATCH($K40,其他调用!$B$5:$B$404,0),MATCH(AV$5,其他调用!$H$4:$L$4,0))*120*0.85,2),INDEX(其他调用!$H$5:$L$404,MATCH($K40,其他调用!$B$5:$B$404,0),MATCH(AV$5,其他调用!$H$4:$L$4,0))*120*0.85)</f>
        <v>54.211544877272743</v>
      </c>
      <c r="AW40" s="14">
        <f>IF(OR(AW$5="大R",AW$5="超R"),MAX(INDEX(其他调用!$H$5:$L$404,MATCH($K40,其他调用!$B$5:$B$404,0),MATCH(AW$5,其他调用!$H$4:$L$4,0))*120*0.85,2),INDEX(其他调用!$H$5:$L$404,MATCH($K40,其他调用!$B$5:$B$404,0),MATCH(AW$5,其他调用!$H$4:$L$4,0))*120*0.85)</f>
        <v>43.218342152487253</v>
      </c>
      <c r="AX40" s="14">
        <f>IF(OR(AX$5="大R",AX$5="超R"),MAX(INDEX(其他调用!$H$5:$L$404,MATCH($K40,其他调用!$B$5:$B$404,0),MATCH(AX$5,其他调用!$H$4:$L$4,0))*120*0.85,2),INDEX(其他调用!$H$5:$L$404,MATCH($K40,其他调用!$B$5:$B$404,0),MATCH(AX$5,其他调用!$H$4:$L$4,0))*120*0.85)</f>
        <v>3.8160473702400002</v>
      </c>
      <c r="AY40" s="14">
        <f>IF(OR(AY$5="大R",AY$5="超R"),MAX(INDEX(其他调用!$H$5:$L$404,MATCH($K40,其他调用!$B$5:$B$404,0),MATCH(AY$5,其他调用!$H$4:$L$4,0))*120*0.85,2),INDEX(其他调用!$H$5:$L$404,MATCH($K40,其他调用!$B$5:$B$404,0),MATCH(AY$5,其他调用!$H$4:$L$4,0))*120*0.85)</f>
        <v>2</v>
      </c>
      <c r="AZ40" s="14">
        <f>IF(OR(AZ$5="大R",AZ$5="超R"),MAX(INDEX(其他调用!$H$5:$L$404,MATCH($K40,其他调用!$B$5:$B$404,0),MATCH(AZ$5,其他调用!$H$4:$L$4,0))*120*0.85,2),INDEX(其他调用!$H$5:$L$404,MATCH($K40,其他调用!$B$5:$B$404,0),MATCH(AZ$5,其他调用!$H$4:$L$4,0))*120*0.85)</f>
        <v>2</v>
      </c>
      <c r="BA40" s="14">
        <f>INDEX(其他调用!$H$5:$L$404,MATCH($K40,其他调用!$B$5:$B$404,0),MATCH(BA$5,其他调用!$H$4:$L$4,0))*INDEX(其他调用!$M$5:$M$404,MATCH($K40,其他调用!$B$5:$B$404,0))*0.6</f>
        <v>28.329231755935833</v>
      </c>
      <c r="BB40" s="14">
        <f>INDEX(其他调用!$H$5:$L$404,MATCH($K40,其他调用!$B$5:$B$404,0),MATCH(BB$5,其他调用!$H$4:$L$4,0))*INDEX(其他调用!$M$5:$M$404,MATCH($K40,其他调用!$B$5:$B$404,0))*0.6</f>
        <v>22.58453312328361</v>
      </c>
      <c r="BC40" s="14">
        <f>INDEX(其他调用!$H$5:$L$404,MATCH($K40,其他调用!$B$5:$B$404,0),MATCH(BC$5,其他调用!$H$4:$L$4,0))*INDEX(其他调用!$M$5:$M$404,MATCH($K40,其他调用!$B$5:$B$404,0))*0.6</f>
        <v>1.9941451694080001</v>
      </c>
      <c r="BD40" s="14">
        <f>INDEX(其他调用!$H$5:$L$404,MATCH($K40,其他调用!$B$5:$B$404,0),MATCH(BD$5,其他调用!$H$4:$L$4,0))*INDEX(其他调用!$M$5:$M$404,MATCH($K40,其他调用!$B$5:$B$404,0))*0.6</f>
        <v>0.31473741803921579</v>
      </c>
      <c r="BE40" s="14">
        <f>INDEX(其他调用!$H$5:$L$404,MATCH($K40,其他调用!$B$5:$B$404,0),MATCH(BE$5,其他调用!$H$4:$L$4,0))*INDEX(其他调用!$M$5:$M$404,MATCH($K40,其他调用!$B$5:$B$404,0))*0.6</f>
        <v>7.9313317647058804E-2</v>
      </c>
      <c r="BF40" s="14">
        <f>IF(OR(BF$5="大R",BF$5="超R"),0,INDEX(其他调用!$H$5:$L$404,MATCH($K40,其他调用!$B$5:$B$404,0),MATCH(BF$5,其他调用!$H$4:$L$4,0))*50*0.4)</f>
        <v>10.629714681818186</v>
      </c>
      <c r="BG40" s="14">
        <f>IF(OR(BG$5="大R",BG$5="超R"),0,INDEX(其他调用!$H$5:$L$404,MATCH($K40,其他调用!$B$5:$B$404,0),MATCH(BG$5,其他调用!$H$4:$L$4,0))*50*0.4)</f>
        <v>8.4741847357818134</v>
      </c>
      <c r="BH40" s="14">
        <f>IF(OR(BH$5="大R",BH$5="超R"),0,INDEX(其他调用!$H$5:$L$404,MATCH($K40,其他调用!$B$5:$B$404,0),MATCH(BH$5,其他调用!$H$4:$L$4,0))*50*0.4)</f>
        <v>0.74824458240000002</v>
      </c>
      <c r="BI40" s="14">
        <f>IF(OR(BI$5="大R",BI$5="超R"),0,INDEX(其他调用!$H$5:$L$404,MATCH($K40,其他调用!$B$5:$B$404,0),MATCH(BI$5,其他调用!$H$4:$L$4,0))*50*0.4)</f>
        <v>0</v>
      </c>
      <c r="BJ40" s="14">
        <f>IF(OR(BJ$5="大R",BJ$5="超R"),0,INDEX(其他调用!$H$5:$L$404,MATCH($K40,其他调用!$B$5:$B$404,0),MATCH(BJ$5,其他调用!$H$4:$L$4,0))*50*0.4)</f>
        <v>0</v>
      </c>
      <c r="BL40" s="14">
        <f t="shared" si="103"/>
        <v>35</v>
      </c>
      <c r="BM40" s="14">
        <f t="shared" si="10"/>
        <v>96</v>
      </c>
      <c r="BN40" s="14">
        <f>('疲劳值&amp;地图信息'!$S$10*'疲劳值&amp;地图信息'!$R$10+'疲劳值&amp;地图信息'!$S$11*'疲劳值&amp;地图信息'!$R$11+'疲劳值&amp;地图信息'!$S$12*'疲劳值&amp;地图信息'!$R$12+(BM40-'疲劳值&amp;地图信息'!$S$12-'疲劳值&amp;地图信息'!$S$11-'疲劳值&amp;地图信息'!$S$10)*'疲劳值&amp;地图信息'!$R$13)/BM40</f>
        <v>51.371477246638619</v>
      </c>
      <c r="BO40" s="14">
        <f>INDEX(其他调用!$M$5:$M$404,MATCH(BL40,其他调用!$B$5:$B$404,0))*0.6</f>
        <v>53.301960784313721</v>
      </c>
      <c r="BP40" s="14">
        <f>IF(BO40&gt;SUM('疲劳值&amp;地图信息'!$S$10:$S$12),('疲劳值&amp;地图信息'!$S$10*'疲劳值&amp;地图信息'!$R$10+'疲劳值&amp;地图信息'!$S$11*'疲劳值&amp;地图信息'!$R$11+'疲劳值&amp;地图信息'!$S$12*'疲劳值&amp;地图信息'!$R$12+(BO40-'疲劳值&amp;地图信息'!$S$12-'疲劳值&amp;地图信息'!$S$11-'疲劳值&amp;地图信息'!$S$10)*'疲劳值&amp;地图信息'!$R$13)/BO40,('疲劳值&amp;地图信息'!$S$10*'疲劳值&amp;地图信息'!$R$10+'疲劳值&amp;地图信息'!$S$11*'疲劳值&amp;地图信息'!$R$11+'疲劳值&amp;地图信息'!$S$12*'疲劳值&amp;地图信息'!$R$12+(BO40-'疲劳值&amp;地图信息'!$S$12-'疲劳值&amp;地图信息'!$S$11-'疲劳值&amp;地图信息'!$S$10)*'疲劳值&amp;地图信息'!$R$13)/BO40)</f>
        <v>41.740952455830829</v>
      </c>
      <c r="BQ40" s="14">
        <f t="shared" si="104"/>
        <v>20</v>
      </c>
      <c r="BR40" s="14">
        <f>('疲劳值&amp;地图信息'!$S$10*'疲劳值&amp;地图信息'!$R$10+($BQ40-'疲劳值&amp;地图信息'!$S$10)*'疲劳值&amp;地图信息'!$R$11)/$BQ40</f>
        <v>32.067203015074995</v>
      </c>
      <c r="BW40" s="14"/>
      <c r="BX40" s="62" t="s">
        <v>463</v>
      </c>
      <c r="BY40" s="63"/>
      <c r="BZ40" s="64"/>
      <c r="CF40" s="14">
        <v>35</v>
      </c>
      <c r="CG40" s="51">
        <f t="shared" si="11"/>
        <v>5491</v>
      </c>
      <c r="CH40" s="51">
        <f t="shared" si="12"/>
        <v>787</v>
      </c>
      <c r="CI40" s="51">
        <f>INT(SUMPRODUCT($N40:$R40,$BA40:$BE40)/SUM($BA40:$BE40)/10000*$BX$7*$BZ$34/'疲劳值&amp;地图信息'!$R$10*$BY$53)</f>
        <v>2709</v>
      </c>
      <c r="CJ40" s="50">
        <f t="shared" si="13"/>
        <v>0.61099365750528545</v>
      </c>
      <c r="CK40" s="50">
        <f t="shared" si="14"/>
        <v>8.7570935796149996E-2</v>
      </c>
      <c r="CL40" s="50">
        <f t="shared" si="15"/>
        <v>0.30143540669856461</v>
      </c>
      <c r="CM40" s="14">
        <f t="shared" si="16"/>
        <v>5679</v>
      </c>
      <c r="CN40" s="14">
        <f t="shared" si="17"/>
        <v>1045</v>
      </c>
      <c r="CO40" s="14">
        <f>INT(SUMPRODUCT($U40:$Y40,$BA40:$BE40)/SUM($BA40:$BE40)/10000*$BX$7*$BZ$34/'疲劳值&amp;地图信息'!$R$10*$BY$54)</f>
        <v>4591</v>
      </c>
      <c r="CP40" s="50">
        <f t="shared" si="18"/>
        <v>0.50190013256738841</v>
      </c>
      <c r="CQ40" s="50">
        <f t="shared" si="19"/>
        <v>9.2355280600972159E-2</v>
      </c>
      <c r="CR40" s="50">
        <f t="shared" si="20"/>
        <v>0.40574458683163944</v>
      </c>
      <c r="CS40" s="14">
        <f t="shared" si="21"/>
        <v>6073</v>
      </c>
      <c r="CT40" s="14">
        <f t="shared" si="22"/>
        <v>1807</v>
      </c>
      <c r="CU40" s="14">
        <f>INT(SUMPRODUCT($AB40:$AF40,$BA40:$BE40)/SUM($BA40:$BE40)/10000*$BX$7*$BZ$34/'疲劳值&amp;地图信息'!$R$10*$BY$55)</f>
        <v>6234</v>
      </c>
      <c r="CV40" s="50">
        <f t="shared" si="23"/>
        <v>0.4302819895139578</v>
      </c>
      <c r="CW40" s="50">
        <f t="shared" si="24"/>
        <v>0.12802890746776249</v>
      </c>
      <c r="CX40" s="50">
        <f t="shared" si="25"/>
        <v>0.44168910301827974</v>
      </c>
      <c r="CY40" s="14">
        <f t="shared" si="26"/>
        <v>7059</v>
      </c>
      <c r="CZ40" s="14">
        <f t="shared" si="27"/>
        <v>4222</v>
      </c>
      <c r="DA40" s="14">
        <f>INT(SUMPRODUCT($AI40:$AM40,$BA40:$BE40)/SUM($BA40:$BE40)/10000*$BX$7*$BZ$34/'疲劳值&amp;地图信息'!$R$10*$BY$56)</f>
        <v>9391</v>
      </c>
      <c r="DB40" s="50">
        <f t="shared" si="28"/>
        <v>0.34147639318885448</v>
      </c>
      <c r="DC40" s="50">
        <f t="shared" si="29"/>
        <v>0.20423761609907121</v>
      </c>
      <c r="DD40" s="50">
        <f t="shared" si="30"/>
        <v>0.45428599071207432</v>
      </c>
      <c r="DE40" s="14">
        <f t="shared" si="31"/>
        <v>7254</v>
      </c>
      <c r="DF40" s="14">
        <f t="shared" si="32"/>
        <v>9035</v>
      </c>
      <c r="DG40" s="14">
        <f>INT(SUMPRODUCT($AP40:$AT40,$BA40:$BE40)/SUM($BA40:$BE40)/10000*$BX$7*$BZ$34/'疲劳值&amp;地图信息'!$R$10*$BY$57)</f>
        <v>12538</v>
      </c>
      <c r="DH40" s="50">
        <f t="shared" si="33"/>
        <v>0.25163908835466747</v>
      </c>
      <c r="DI40" s="50">
        <f t="shared" si="34"/>
        <v>0.31342144517292814</v>
      </c>
      <c r="DJ40" s="50">
        <f t="shared" si="35"/>
        <v>0.43493946647240433</v>
      </c>
      <c r="DL40" s="14">
        <f t="shared" si="106"/>
        <v>8987</v>
      </c>
      <c r="DM40" s="14">
        <f t="shared" si="107"/>
        <v>11315</v>
      </c>
      <c r="DN40" s="14">
        <f t="shared" si="108"/>
        <v>14114</v>
      </c>
      <c r="DO40" s="14">
        <f t="shared" si="109"/>
        <v>20672</v>
      </c>
      <c r="DP40" s="14">
        <f t="shared" si="110"/>
        <v>28827</v>
      </c>
      <c r="DQ40" s="14">
        <f t="shared" si="111"/>
        <v>547076</v>
      </c>
      <c r="DT40" s="14">
        <f t="shared" si="105"/>
        <v>235575</v>
      </c>
      <c r="DU40" s="50">
        <f t="shared" si="7"/>
        <v>0.30099622948159527</v>
      </c>
      <c r="DW40" s="14">
        <f t="shared" si="36"/>
        <v>782651</v>
      </c>
      <c r="EB40" s="14">
        <v>35</v>
      </c>
      <c r="EC40" s="51">
        <f t="shared" si="37"/>
        <v>9152</v>
      </c>
      <c r="ED40" s="51">
        <f t="shared" si="38"/>
        <v>1312</v>
      </c>
      <c r="EE40" s="51">
        <f>INT(SUMPRODUCT($N40:$R40,$BF40:$BJ40)/SUM($BF40:$BJ40)/10000*$BX$7*$BZ$46/'疲劳值&amp;地图信息'!$R$10*$BY$53)</f>
        <v>363</v>
      </c>
      <c r="EF40" s="50">
        <f t="shared" si="39"/>
        <v>0.8452941719774637</v>
      </c>
      <c r="EG40" s="50">
        <f t="shared" si="40"/>
        <v>0.12117853514362242</v>
      </c>
      <c r="EH40" s="50">
        <f t="shared" si="41"/>
        <v>3.3527292878913824E-2</v>
      </c>
      <c r="EI40" s="51">
        <f t="shared" si="42"/>
        <v>9465</v>
      </c>
      <c r="EJ40" s="51">
        <f t="shared" si="43"/>
        <v>1741</v>
      </c>
      <c r="EK40" s="14">
        <f>INT(SUMPRODUCT($U40:$Y40,$BF40:$BJ40)/SUM($BF40:$BJ40)/10000*$BX$7*$BZ$46/'疲劳值&amp;地图信息'!$R$10*$BY$54)</f>
        <v>615</v>
      </c>
      <c r="EL40" s="50">
        <f t="shared" si="44"/>
        <v>0.80069368073767022</v>
      </c>
      <c r="EM40" s="50">
        <f t="shared" si="45"/>
        <v>0.14728026393706117</v>
      </c>
      <c r="EN40" s="50">
        <f t="shared" si="46"/>
        <v>5.2026055325268591E-2</v>
      </c>
      <c r="EO40" s="51">
        <f t="shared" si="47"/>
        <v>10122</v>
      </c>
      <c r="EP40" s="51">
        <f t="shared" si="48"/>
        <v>3011</v>
      </c>
      <c r="EQ40" s="14">
        <f>INT(SUMPRODUCT($AB40:$AF40,$BF40:$BJ40)/SUM($BF40:$BJ40)/10000*$BX$7*$BZ$46/'疲劳值&amp;地图信息'!$R$10*$BY$55)</f>
        <v>834</v>
      </c>
      <c r="ER40" s="50">
        <f t="shared" si="49"/>
        <v>0.72470824085344021</v>
      </c>
      <c r="ES40" s="50">
        <f t="shared" si="50"/>
        <v>0.21557958043960765</v>
      </c>
      <c r="ET40" s="50">
        <f t="shared" si="51"/>
        <v>5.9712178706952099E-2</v>
      </c>
      <c r="EU40" s="51">
        <f t="shared" si="52"/>
        <v>11766</v>
      </c>
      <c r="EV40" s="51">
        <f t="shared" si="53"/>
        <v>7037</v>
      </c>
      <c r="EW40" s="14">
        <f>INT(SUMPRODUCT($AI40:$AM40,$BF40:$BJ40)/SUM($BF40:$BJ40)/10000*$BX$7*$BZ$46/'疲劳值&amp;地图信息'!$R$10*$BY$56)</f>
        <v>1252</v>
      </c>
      <c r="EX40" s="50">
        <f t="shared" si="54"/>
        <v>0.58668661181750192</v>
      </c>
      <c r="EY40" s="50">
        <f t="shared" si="55"/>
        <v>0.35088506606831216</v>
      </c>
      <c r="EZ40" s="50">
        <f t="shared" si="56"/>
        <v>6.2428322114185988E-2</v>
      </c>
      <c r="FA40" s="51">
        <f t="shared" si="57"/>
        <v>12090</v>
      </c>
      <c r="FB40" s="51">
        <f t="shared" si="58"/>
        <v>15059</v>
      </c>
      <c r="FC40" s="14">
        <f>INT(SUMPRODUCT($AP40:$AT40,$BF40:$BJ40)/SUM($BF40:$BJ40)/10000*$BX$7*$BZ$46/'疲劳值&amp;地图信息'!$R$10*$BY$57)</f>
        <v>1669</v>
      </c>
      <c r="FD40" s="50">
        <f t="shared" si="59"/>
        <v>0.41952946075369563</v>
      </c>
      <c r="FE40" s="50">
        <f t="shared" si="60"/>
        <v>0.52255534735234921</v>
      </c>
      <c r="FF40" s="50">
        <f t="shared" si="61"/>
        <v>5.7915191893955165E-2</v>
      </c>
      <c r="FH40" s="14">
        <f t="shared" si="62"/>
        <v>10827</v>
      </c>
      <c r="FI40" s="14">
        <f t="shared" si="63"/>
        <v>11821</v>
      </c>
      <c r="FJ40" s="14">
        <f t="shared" si="64"/>
        <v>13967</v>
      </c>
      <c r="FK40" s="14">
        <f t="shared" si="65"/>
        <v>20055</v>
      </c>
      <c r="FL40" s="14">
        <f t="shared" si="66"/>
        <v>28818</v>
      </c>
      <c r="FM40" s="14">
        <f t="shared" si="67"/>
        <v>1248877</v>
      </c>
      <c r="FP40" s="14">
        <f t="shared" si="68"/>
        <v>334150</v>
      </c>
      <c r="FQ40" s="50">
        <f t="shared" si="8"/>
        <v>0.21108294425805751</v>
      </c>
      <c r="FS40" s="14">
        <f t="shared" si="69"/>
        <v>1583027</v>
      </c>
      <c r="FX40" s="14">
        <v>35</v>
      </c>
      <c r="FY40" s="51">
        <f t="shared" si="70"/>
        <v>12813</v>
      </c>
      <c r="FZ40" s="51">
        <f t="shared" si="71"/>
        <v>1312</v>
      </c>
      <c r="GA40" s="51">
        <f>INT(SUMPRODUCT($N40:$R40,$BF40:$BJ40)/SUM($BF40:$BJ40)/10000*$BX$7*$BZ$46/'疲劳值&amp;地图信息'!$R$10*$BY$53)</f>
        <v>363</v>
      </c>
      <c r="GB40" s="50">
        <f t="shared" si="72"/>
        <v>0.8843870789618995</v>
      </c>
      <c r="GC40" s="50">
        <f t="shared" si="73"/>
        <v>9.0557702926559916E-2</v>
      </c>
      <c r="GD40" s="50">
        <f t="shared" si="74"/>
        <v>2.5055218111540586E-2</v>
      </c>
      <c r="GE40" s="51">
        <f t="shared" si="75"/>
        <v>13251</v>
      </c>
      <c r="GF40" s="51">
        <f t="shared" si="76"/>
        <v>1741</v>
      </c>
      <c r="GG40" s="14">
        <f>INT(SUMPRODUCT($U40:$Y40,$BF40:$BJ40)/SUM($BF40:$BJ40)/10000*$BX$7*$BZ$46/'疲劳值&amp;地图信息'!$R$10*$BY$54)</f>
        <v>615</v>
      </c>
      <c r="GH40" s="50">
        <f t="shared" si="77"/>
        <v>0.84904209649516238</v>
      </c>
      <c r="GI40" s="50">
        <f t="shared" si="78"/>
        <v>0.11155250848978022</v>
      </c>
      <c r="GJ40" s="50">
        <f t="shared" si="79"/>
        <v>3.9405395015057347E-2</v>
      </c>
      <c r="GK40" s="51">
        <f t="shared" si="80"/>
        <v>14171</v>
      </c>
      <c r="GL40" s="51">
        <f t="shared" si="81"/>
        <v>3011</v>
      </c>
      <c r="GM40" s="14">
        <f>INT(SUMPRODUCT($AB40:$AF40,$BF40:$BJ40)/SUM($BF40:$BJ40)/10000*$BX$7*$BZ$46/'疲劳值&amp;地图信息'!$R$10*$BY$55)</f>
        <v>834</v>
      </c>
      <c r="GN40" s="50">
        <f t="shared" si="82"/>
        <v>0.78657859680284192</v>
      </c>
      <c r="GO40" s="50">
        <f t="shared" si="83"/>
        <v>0.16712921847246892</v>
      </c>
      <c r="GP40" s="50">
        <f t="shared" si="84"/>
        <v>4.6292184724689163E-2</v>
      </c>
      <c r="GQ40" s="51">
        <f t="shared" si="85"/>
        <v>16472</v>
      </c>
      <c r="GR40" s="51">
        <f t="shared" si="86"/>
        <v>7037</v>
      </c>
      <c r="GS40" s="14">
        <f>INT(SUMPRODUCT($AI40:$AM40,$BF40:$BJ40)/SUM($BF40:$BJ40)/10000*$BX$7*$BZ$46/'疲劳值&amp;地图信息'!$R$10*$BY$56)</f>
        <v>1252</v>
      </c>
      <c r="GT40" s="50">
        <f t="shared" si="87"/>
        <v>0.66523969145026451</v>
      </c>
      <c r="GU40" s="50">
        <f t="shared" si="88"/>
        <v>0.28419692257986351</v>
      </c>
      <c r="GV40" s="50">
        <f t="shared" si="89"/>
        <v>5.0563385969871977E-2</v>
      </c>
      <c r="GW40" s="51">
        <f t="shared" si="90"/>
        <v>16926</v>
      </c>
      <c r="GX40" s="51">
        <f t="shared" si="91"/>
        <v>15059</v>
      </c>
      <c r="GY40" s="14">
        <f>INT(SUMPRODUCT($AP40:$AT40,$BF40:$BJ40)/SUM($BF40:$BJ40)/10000*$BX$7*$BZ$46/'疲劳值&amp;地图信息'!$R$10*$BY$57)</f>
        <v>1669</v>
      </c>
      <c r="GZ40" s="50">
        <f t="shared" si="92"/>
        <v>0.50294170083793899</v>
      </c>
      <c r="HA40" s="50">
        <f t="shared" si="93"/>
        <v>0.4474653830153919</v>
      </c>
      <c r="HB40" s="50">
        <f t="shared" si="94"/>
        <v>4.9592916146669046E-2</v>
      </c>
      <c r="HD40" s="14">
        <f t="shared" si="95"/>
        <v>14488</v>
      </c>
      <c r="HE40" s="14">
        <f t="shared" si="96"/>
        <v>15607</v>
      </c>
      <c r="HF40" s="14">
        <f t="shared" si="97"/>
        <v>18016</v>
      </c>
      <c r="HG40" s="14">
        <f t="shared" si="98"/>
        <v>24761</v>
      </c>
      <c r="HH40" s="14">
        <f t="shared" si="99"/>
        <v>33654</v>
      </c>
      <c r="HI40" s="14">
        <f t="shared" si="100"/>
        <v>1645505</v>
      </c>
      <c r="HL40" s="14">
        <f t="shared" si="101"/>
        <v>430050</v>
      </c>
      <c r="HM40" s="50">
        <f t="shared" si="9"/>
        <v>0.20719759293297454</v>
      </c>
      <c r="HO40" s="14">
        <f t="shared" si="102"/>
        <v>2075555</v>
      </c>
    </row>
    <row r="41" spans="3:223" x14ac:dyDescent="0.2">
      <c r="C41" s="1" t="s">
        <v>440</v>
      </c>
      <c r="D41" s="1" t="s">
        <v>464</v>
      </c>
      <c r="K41" s="14">
        <v>36</v>
      </c>
      <c r="L41" s="12">
        <f>求节点(节奏总纲!D$4:D$163,标准城池设计!AB$4:AB$163,$K41)*求节点(节奏总纲!D$4:D$163,攻城基础信息!$AC$5:$AC$164,$K41)</f>
        <v>259055.90086482847</v>
      </c>
      <c r="M41" s="12">
        <f>INDEX(其他调用!$AA$5:$AA$404,MATCH(K41,其他调用!$X$5:$X$404,0))*MIN(INDEX(其他调用!$AH$5:$AH$364,MATCH('征服点（新）'!K41,其他调用!$AG$5:$AG$364,0),1)/INDEX(其他调用!$AJ$5:$AJ$364,MATCH(K41,其他调用!$AG$5:$AG$364,0),0),5)*求节点(节奏总纲!D$4:D$163,攻城基础信息!$AC$5:$AC$164,$K41)</f>
        <v>37408.31137919976</v>
      </c>
      <c r="N41" s="12">
        <f>MIN(INDEX(其他调用!$AH$5:$AH$364,MATCH($K41,其他调用!$AG$5:$AG$364,0),1)/INDEX(其他调用!AH$5:AH$364,MATCH($K41,其他调用!$AG$5:$AG$364,0),0),1)*INDEX(其他调用!Y$5:Y$404,MATCH($K41,其他调用!$X$5:$X$404,0),0)</f>
        <v>30461.392258151005</v>
      </c>
      <c r="O41" s="12">
        <f>MIN(INDEX(其他调用!$AH$5:$AH$364,MATCH($K41,其他调用!$AG$5:$AG$364,0),1)/INDEX(其他调用!AI$5:AI$364,MATCH($K41,其他调用!$AG$5:$AG$364,0),0),1)*INDEX(其他调用!Z$5:Z$404,MATCH($K41,其他调用!$X$5:$X$404,0),0)</f>
        <v>23742.198258607368</v>
      </c>
      <c r="P41" s="12">
        <f>MIN(INDEX(其他调用!$AH$5:$AH$364,MATCH($K41,其他调用!$AG$5:$AG$364,0),1)/INDEX(其他调用!AJ$5:AJ$364,MATCH($K41,其他调用!$AG$5:$AG$364,0),0),1)*INDEX(其他调用!AA$5:AA$404,MATCH($K41,其他调用!$X$5:$X$404,0),0)</f>
        <v>14557.350145345583</v>
      </c>
      <c r="Q41" s="12">
        <f>MIN(INDEX(其他调用!$AH$5:$AH$364,MATCH($K41,其他调用!$AG$5:$AG$364,0),1)/INDEX(其他调用!AK$5:AK$364,MATCH($K41,其他调用!$AG$5:$AG$364,0),0),1)*INDEX(其他调用!AB$5:AB$404,MATCH($K41,其他调用!$X$5:$X$404,0),0)</f>
        <v>6441.2400612707615</v>
      </c>
      <c r="R41" s="12">
        <f>MIN(INDEX(其他调用!$AH$5:$AH$364,MATCH($K41,其他调用!$AG$5:$AG$364,0),1)/INDEX(其他调用!AL$5:AL$364,MATCH($K41,其他调用!$AG$5:$AG$364,0),0),1)*INDEX(其他调用!AC$5:AC$404,MATCH($K41,其他调用!$X$5:$X$404,0),0)</f>
        <v>2086.068389161228</v>
      </c>
      <c r="S41" s="12">
        <f>求节点(节奏总纲!D$4:D$163,标准城池设计!AC$4:AC$163,$K41)*求节点(节奏总纲!D$4:D$163,攻城基础信息!$AD$5:$AD$164,$K41)</f>
        <v>267866.75751720404</v>
      </c>
      <c r="T41" s="12">
        <f>INDEX(其他调用!$AA$5:$AA$404,MATCH($K41,其他调用!$X$5:$X$404,0))*MIN(INDEX(其他调用!AI$5:AI$364,MATCH($K41,其他调用!$AG$5:$AG$364,0),1)/INDEX(其他调用!$AJ$5:$AJ$364,MATCH($K41,其他调用!$AG$5:$AG$364,0),0),5)*求节点(节奏总纲!D$4:D$163,攻城基础信息!$AD$5:$AD$164,$K41)</f>
        <v>49674.424270619878</v>
      </c>
      <c r="U41" s="12">
        <f>MIN(INDEX(其他调用!$AI$5:$AI$364,MATCH($K41,其他调用!$AG$5:$AG$364,0),1)/INDEX(其他调用!AH$5:AH$364,MATCH($K41,其他调用!$AG$5:$AG$364,0),0),1)*INDEX(其他调用!Y$5:Y$404,MATCH($K41,其他调用!$X$5:$X$404,0),0)</f>
        <v>30461.392258151005</v>
      </c>
      <c r="V41" s="12">
        <f>MIN(INDEX(其他调用!$AI$5:$AI$364,MATCH($K41,其他调用!$AG$5:$AG$364,0),1)/INDEX(其他调用!AI$5:AI$364,MATCH($K41,其他调用!$AG$5:$AG$364,0),0),1)*INDEX(其他调用!Z$5:Z$404,MATCH($K41,其他调用!$X$5:$X$404,0),0)</f>
        <v>31527.21911075111</v>
      </c>
      <c r="W41" s="12">
        <f>MIN(INDEX(其他调用!$AI$5:$AI$364,MATCH($K41,其他调用!$AG$5:$AG$364,0),1)/INDEX(其他调用!AJ$5:AJ$364,MATCH($K41,其他调用!$AG$5:$AG$364,0),0),1)*INDEX(其他调用!AA$5:AA$404,MATCH($K41,其他调用!$X$5:$X$404,0),0)</f>
        <v>19330.677079905541</v>
      </c>
      <c r="X41" s="12">
        <f>MIN(INDEX(其他调用!$AI$5:$AI$364,MATCH($K41,其他调用!$AG$5:$AG$364,0),1)/INDEX(其他调用!AK$5:AK$364,MATCH($K41,其他调用!$AG$5:$AG$364,0),0),1)*INDEX(其他调用!AB$5:AB$404,MATCH($K41,其他调用!$X$5:$X$404,0),0)</f>
        <v>8553.3102093025318</v>
      </c>
      <c r="Y41" s="12">
        <f>MIN(INDEX(其他调用!$AI$5:$AI$364,MATCH($K41,其他调用!$AG$5:$AG$364,0),1)/INDEX(其他调用!AL$5:AL$364,MATCH($K41,其他调用!$AG$5:$AG$364,0),0),1)*INDEX(其他调用!AC$5:AC$404,MATCH($K41,其他调用!$X$5:$X$404,0),0)</f>
        <v>2770.086176045409</v>
      </c>
      <c r="Z41" s="12">
        <f>求节点(节奏总纲!D$4:D$163,标准城池设计!AD$4:AD$163,$K41)*求节点(节奏总纲!D$4:D$163,攻城基础信息!$AE$5:$AE$164,$K41)</f>
        <v>285825.3088454362</v>
      </c>
      <c r="AA41" s="12">
        <f>INDEX(其他调用!$AA$5:$AA$404,MATCH($K41,其他调用!$X$5:$X$404,0))*MIN(INDEX(其他调用!AJ$5:AJ$364,MATCH($K41,其他调用!$AG$5:$AG$364,0),1)/INDEX(其他调用!$AJ$5:$AJ$364,MATCH($K41,其他调用!$AG$5:$AG$364,0),0),5)*求节点(节奏总纲!D$4:D$163,攻城基础信息!$AE$5:$AE$164,$K41)</f>
        <v>84648.404828478873</v>
      </c>
      <c r="AB41" s="12">
        <f>MIN(INDEX(其他调用!$AJ$5:$AJ$364,MATCH($K41,其他调用!$AG$5:$AG$364,0),1)/INDEX(其他调用!AH$5:AH$364,MATCH($K41,其他调用!$AG$5:$AG$364,0),0),1)*INDEX(其他调用!Y$5:Y$404,MATCH($K41,其他调用!$X$5:$X$404,0),0)</f>
        <v>30461.392258151005</v>
      </c>
      <c r="AC41" s="12">
        <f>MIN(INDEX(其他调用!$AJ$5:$AJ$364,MATCH($K41,其他调用!$AG$5:$AG$364,0),1)/INDEX(其他调用!AI$5:AI$364,MATCH($K41,其他调用!$AG$5:$AG$364,0),0),1)*INDEX(其他调用!Z$5:Z$404,MATCH($K41,其他调用!$X$5:$X$404,0),0)</f>
        <v>31527.21911075111</v>
      </c>
      <c r="AD41" s="12">
        <f>MIN(INDEX(其他调用!$AJ$5:$AJ$364,MATCH($K41,其他调用!$AG$5:$AG$364,0),1)/INDEX(其他调用!AJ$5:AJ$364,MATCH($K41,其他调用!$AG$5:$AG$364,0),0),1)*INDEX(其他调用!AA$5:AA$404,MATCH($K41,其他调用!$X$5:$X$404,0),0)</f>
        <v>32940.713517967117</v>
      </c>
      <c r="AE41" s="12">
        <f>MIN(INDEX(其他调用!$AJ$5:$AJ$364,MATCH($K41,其他调用!$AG$5:$AG$364,0),1)/INDEX(其他调用!AK$5:AK$364,MATCH($K41,其他调用!$AG$5:$AG$364,0),0),1)*INDEX(其他调用!AB$5:AB$404,MATCH($K41,其他调用!$X$5:$X$404,0),0)</f>
        <v>14575.389163570615</v>
      </c>
      <c r="AF41" s="12">
        <f>MIN(INDEX(其他调用!$AJ$5:$AJ$364,MATCH($K41,其他调用!$AG$5:$AG$364,0),1)/INDEX(其他调用!AL$5:AL$364,MATCH($K41,其他调用!$AG$5:$AG$364,0),0),1)*INDEX(其他调用!AC$5:AC$404,MATCH($K41,其他调用!$X$5:$X$404,0),0)</f>
        <v>4720.4045035777262</v>
      </c>
      <c r="AG41" s="12">
        <f>求节点(节奏总纲!D$4:D$163,标准城池设计!AE$4:AE$163,$K41)*求节点(节奏总纲!D$4:D$163,攻城基础信息!$AF$5:$AF$164,$K41)</f>
        <v>332320.9014217201</v>
      </c>
      <c r="AH41" s="12">
        <f>INDEX(其他调用!$AA$5:$AA$404,MATCH($K41,其他调用!$X$5:$X$404,0))*MIN(INDEX(其他调用!AK$5:AK$364,MATCH($K41,其他调用!$AG$5:$AG$364,0),1)/INDEX(其他调用!$AJ$5:$AJ$364,MATCH($K41,其他调用!$AG$5:$AG$364,0),0),5)*求节点(节奏总纲!D$4:D$163,攻城基础信息!$AF$5:$AF$164,$K41)</f>
        <v>203765.18339450989</v>
      </c>
      <c r="AI41" s="12">
        <f>MIN(INDEX(其他调用!$AK$5:$AK$364,MATCH($K41,其他调用!$AG$5:$AG$364,0),1)/INDEX(其他调用!AH$5:AH$364,MATCH($K41,其他调用!$AG$5:$AG$364,0),0),1)*INDEX(其他调用!Y$5:Y$404,MATCH($K41,其他调用!$X$5:$X$404,0),0)</f>
        <v>30461.392258151005</v>
      </c>
      <c r="AJ41" s="12">
        <f>MIN(INDEX(其他调用!$AK$5:$AK$364,MATCH($K41,其他调用!$AG$5:$AG$364,0),1)/INDEX(其他调用!AI$5:AI$364,MATCH($K41,其他调用!$AG$5:$AG$364,0),0),1)*INDEX(其他调用!Z$5:Z$404,MATCH($K41,其他调用!$X$5:$X$404,0),0)</f>
        <v>31527.21911075111</v>
      </c>
      <c r="AK41" s="12">
        <f>MIN(INDEX(其他调用!$AK$5:$AK$364,MATCH($K41,其他调用!$AG$5:$AG$364,0),1)/INDEX(其他调用!AJ$5:AJ$364,MATCH($K41,其他调用!$AG$5:$AG$364,0),0),1)*INDEX(其他调用!AA$5:AA$404,MATCH($K41,其他调用!$X$5:$X$404,0),0)</f>
        <v>32940.713517967117</v>
      </c>
      <c r="AL41" s="12">
        <f>MIN(INDEX(其他调用!$AK$5:$AK$364,MATCH($K41,其他调用!$AG$5:$AG$364,0),1)/INDEX(其他调用!AK$5:AK$364,MATCH($K41,其他调用!$AG$5:$AG$364,0),0),1)*INDEX(其他调用!AB$5:AB$404,MATCH($K41,其他调用!$X$5:$X$404,0),0)</f>
        <v>35085.798155077748</v>
      </c>
      <c r="AM41" s="12">
        <f>MIN(INDEX(其他调用!$AK$5:$AK$364,MATCH($K41,其他调用!$AG$5:$AG$364,0),1)/INDEX(其他调用!AL$5:AL$364,MATCH($K41,其他调用!$AG$5:$AG$364,0),0),1)*INDEX(其他调用!AC$5:AC$404,MATCH($K41,其他调用!$X$5:$X$404,0),0)</f>
        <v>11362.932252731387</v>
      </c>
      <c r="AN41" s="12">
        <f>求节点(节奏总纲!D$4:D$163,标准城池设计!AF$4:AF$163,$K41)*求节点(节奏总纲!D$4:D$163,攻城基础信息!$AG$5:$AG$164,$K41)</f>
        <v>341393.96293192171</v>
      </c>
      <c r="AO41" s="12">
        <f>INDEX(其他调用!$AA$5:$AA$404,MATCH($K41,其他调用!$X$5:$X$404,0))*MIN(INDEX(其他调用!AL$5:AL$364,MATCH($K41,其他调用!$AG$5:$AG$364,0),1)/INDEX(其他调用!$AJ$5:$AJ$364,MATCH($K41,其他调用!$AG$5:$AG$364,0),0),5)*求节点(节奏总纲!D$4:D$163,攻城基础信息!$AG$5:$AG$164,$K41)</f>
        <v>423242.02414239437</v>
      </c>
      <c r="AP41" s="12">
        <f>MIN(INDEX(其他调用!$AL$5:$AL$364,MATCH($K41,其他调用!$AG$5:$AG$364,0),1)/INDEX(其他调用!AH$5:AH$364,MATCH($K41,其他调用!$AG$5:$AG$364,0),0),1)*INDEX(其他调用!Y$5:Y$404,MATCH($K41,其他调用!$X$5:$X$404,0),0)</f>
        <v>30461.392258151005</v>
      </c>
      <c r="AQ41" s="12">
        <f>MIN(INDEX(其他调用!$AL$5:$AL$364,MATCH($K41,其他调用!$AG$5:$AG$364,0),1)/INDEX(其他调用!AI$5:AI$364,MATCH($K41,其他调用!$AG$5:$AG$364,0),0),1)*INDEX(其他调用!Z$5:Z$404,MATCH($K41,其他调用!$X$5:$X$404,0),0)</f>
        <v>31527.21911075111</v>
      </c>
      <c r="AR41" s="12">
        <f>MIN(INDEX(其他调用!$AL$5:$AL$364,MATCH($K41,其他调用!$AG$5:$AG$364,0),1)/INDEX(其他调用!AJ$5:AJ$364,MATCH($K41,其他调用!$AG$5:$AG$364,0),0),1)*INDEX(其他调用!AA$5:AA$404,MATCH($K41,其他调用!$X$5:$X$404,0),0)</f>
        <v>32940.713517967117</v>
      </c>
      <c r="AS41" s="12">
        <f>MIN(INDEX(其他调用!$AL$5:$AL$364,MATCH($K41,其他调用!$AG$5:$AG$364,0),1)/INDEX(其他调用!AK$5:AK$364,MATCH($K41,其他调用!$AG$5:$AG$364,0),0),1)*INDEX(其他调用!AB$5:AB$404,MATCH($K41,其他调用!$X$5:$X$404,0),0)</f>
        <v>35085.798155077748</v>
      </c>
      <c r="AT41" s="12">
        <f>MIN(INDEX(其他调用!$AL$5:$AL$364,MATCH($K41,其他调用!$AG$5:$AG$364,0),1)/INDEX(其他调用!AL$5:AL$364,MATCH($K41,其他调用!$AG$5:$AG$364,0),0),1)*INDEX(其他调用!AC$5:AC$404,MATCH($K41,其他调用!$X$5:$X$404,0),0)</f>
        <v>38904.870418022147</v>
      </c>
      <c r="AV41" s="14">
        <f>IF(OR(AV$5="大R",AV$5="超R"),MAX(INDEX(其他调用!$H$5:$L$404,MATCH($K41,其他调用!$B$5:$B$404,0),MATCH(AV$5,其他调用!$H$4:$L$4,0))*120*0.85,2),INDEX(其他调用!$H$5:$L$404,MATCH($K41,其他调用!$B$5:$B$404,0),MATCH(AV$5,其他调用!$H$4:$L$4,0))*120*0.85)</f>
        <v>54.102948398181844</v>
      </c>
      <c r="AW41" s="14">
        <f>IF(OR(AW$5="大R",AW$5="超R"),MAX(INDEX(其他调用!$H$5:$L$404,MATCH($K41,其他调用!$B$5:$B$404,0),MATCH(AW$5,其他调用!$H$4:$L$4,0))*120*0.85,2),INDEX(其他调用!$H$5:$L$404,MATCH($K41,其他调用!$B$5:$B$404,0),MATCH(AW$5,其他调用!$H$4:$L$4,0))*120*0.85)</f>
        <v>43.321449131930159</v>
      </c>
      <c r="AX41" s="14">
        <f>IF(OR(AX$5="大R",AX$5="超R"),MAX(INDEX(其他调用!$H$5:$L$404,MATCH($K41,其他调用!$B$5:$B$404,0),MATCH(AX$5,其他调用!$H$4:$L$4,0))*120*0.85,2),INDEX(其他调用!$H$5:$L$404,MATCH($K41,其他调用!$B$5:$B$404,0),MATCH(AX$5,其他调用!$H$4:$L$4,0))*120*0.85)</f>
        <v>3.818582949888</v>
      </c>
      <c r="AY41" s="14">
        <f>IF(OR(AY$5="大R",AY$5="超R"),MAX(INDEX(其他调用!$H$5:$L$404,MATCH($K41,其他调用!$B$5:$B$404,0),MATCH(AY$5,其他调用!$H$4:$L$4,0))*120*0.85,2),INDEX(其他调用!$H$5:$L$404,MATCH($K41,其他调用!$B$5:$B$404,0),MATCH(AY$5,其他调用!$H$4:$L$4,0))*120*0.85)</f>
        <v>2</v>
      </c>
      <c r="AZ41" s="14">
        <f>IF(OR(AZ$5="大R",AZ$5="超R"),MAX(INDEX(其他调用!$H$5:$L$404,MATCH($K41,其他调用!$B$5:$B$404,0),MATCH(AZ$5,其他调用!$H$4:$L$4,0))*120*0.85,2),INDEX(其他调用!$H$5:$L$404,MATCH($K41,其他调用!$B$5:$B$404,0),MATCH(AZ$5,其他调用!$H$4:$L$4,0))*120*0.85)</f>
        <v>2</v>
      </c>
      <c r="BA41" s="14">
        <f>INDEX(其他调用!$H$5:$L$404,MATCH($K41,其他调用!$B$5:$B$404,0),MATCH(BA$5,其他调用!$H$4:$L$4,0))*INDEX(其他调用!$M$5:$M$404,MATCH($K41,其他调用!$B$5:$B$404,0))*0.6</f>
        <v>28.376486814609638</v>
      </c>
      <c r="BB41" s="14">
        <f>INDEX(其他调用!$H$5:$L$404,MATCH($K41,其他调用!$B$5:$B$404,0),MATCH(BB$5,其他调用!$H$4:$L$4,0))*INDEX(其他调用!$M$5:$M$404,MATCH($K41,其他调用!$B$5:$B$404,0))*0.6</f>
        <v>22.72169200529763</v>
      </c>
      <c r="BC41" s="14">
        <f>INDEX(其他调用!$H$5:$L$404,MATCH($K41,其他调用!$B$5:$B$404,0),MATCH(BC$5,其他调用!$H$4:$L$4,0))*INDEX(其他调用!$M$5:$M$404,MATCH($K41,其他调用!$B$5:$B$404,0))*0.6</f>
        <v>2.0028107882496</v>
      </c>
      <c r="BD41" s="14">
        <f>INDEX(其他调用!$H$5:$L$404,MATCH($K41,其他调用!$B$5:$B$404,0),MATCH(BD$5,其他调用!$H$4:$L$4,0))*INDEX(其他调用!$M$5:$M$404,MATCH($K41,其他调用!$B$5:$B$404,0))*0.6</f>
        <v>0.3169309440000001</v>
      </c>
      <c r="BE41" s="14">
        <f>INDEX(其他调用!$H$5:$L$404,MATCH($K41,其他调用!$B$5:$B$404,0),MATCH(BE$5,其他调用!$H$4:$L$4,0))*INDEX(其他调用!$M$5:$M$404,MATCH($K41,其他调用!$B$5:$B$404,0))*0.6</f>
        <v>8.0118663529411757E-2</v>
      </c>
      <c r="BF41" s="14">
        <f>IF(OR(BF$5="大R",BF$5="超R"),0,INDEX(其他调用!$H$5:$L$404,MATCH($K41,其他调用!$B$5:$B$404,0),MATCH(BF$5,其他调用!$H$4:$L$4,0))*50*0.4)</f>
        <v>10.60842125454546</v>
      </c>
      <c r="BG41" s="14">
        <f>IF(OR(BG$5="大R",BG$5="超R"),0,INDEX(其他调用!$H$5:$L$404,MATCH($K41,其他调用!$B$5:$B$404,0),MATCH(BG$5,其他调用!$H$4:$L$4,0))*50*0.4)</f>
        <v>8.4944017905745408</v>
      </c>
      <c r="BH41" s="14">
        <f>IF(OR(BH$5="大R",BH$5="超R"),0,INDEX(其他调用!$H$5:$L$404,MATCH($K41,其他调用!$B$5:$B$404,0),MATCH(BH$5,其他调用!$H$4:$L$4,0))*50*0.4)</f>
        <v>0.74874175488000005</v>
      </c>
      <c r="BI41" s="14">
        <f>IF(OR(BI$5="大R",BI$5="超R"),0,INDEX(其他调用!$H$5:$L$404,MATCH($K41,其他调用!$B$5:$B$404,0),MATCH(BI$5,其他调用!$H$4:$L$4,0))*50*0.4)</f>
        <v>0</v>
      </c>
      <c r="BJ41" s="14">
        <f>IF(OR(BJ$5="大R",BJ$5="超R"),0,INDEX(其他调用!$H$5:$L$404,MATCH($K41,其他调用!$B$5:$B$404,0),MATCH(BJ$5,其他调用!$H$4:$L$4,0))*50*0.4)</f>
        <v>0</v>
      </c>
      <c r="BL41" s="14">
        <f t="shared" si="103"/>
        <v>36</v>
      </c>
      <c r="BM41" s="14">
        <f t="shared" si="10"/>
        <v>96</v>
      </c>
      <c r="BN41" s="14">
        <f>('疲劳值&amp;地图信息'!$S$10*'疲劳值&amp;地图信息'!$R$10+'疲劳值&amp;地图信息'!$S$11*'疲劳值&amp;地图信息'!$R$11+'疲劳值&amp;地图信息'!$S$12*'疲劳值&amp;地图信息'!$R$12+(BM41-'疲劳值&amp;地图信息'!$S$12-'疲劳值&amp;地图信息'!$S$11-'疲劳值&amp;地图信息'!$S$10)*'疲劳值&amp;地图信息'!$R$13)/BM41</f>
        <v>51.371477246638619</v>
      </c>
      <c r="BO41" s="14">
        <f>INDEX(其他调用!$M$5:$M$404,MATCH(BL41,其他调用!$B$5:$B$404,0))*0.6</f>
        <v>53.498039215686276</v>
      </c>
      <c r="BP41" s="14">
        <f>IF(BO41&gt;SUM('疲劳值&amp;地图信息'!$S$10:$S$12),('疲劳值&amp;地图信息'!$S$10*'疲劳值&amp;地图信息'!$R$10+'疲劳值&amp;地图信息'!$S$11*'疲劳值&amp;地图信息'!$R$11+'疲劳值&amp;地图信息'!$S$12*'疲劳值&amp;地图信息'!$R$12+(BO41-'疲劳值&amp;地图信息'!$S$12-'疲劳值&amp;地图信息'!$S$11-'疲劳值&amp;地图信息'!$S$10)*'疲劳值&amp;地图信息'!$R$13)/BO41,('疲劳值&amp;地图信息'!$S$10*'疲劳值&amp;地图信息'!$R$10+'疲劳值&amp;地图信息'!$S$11*'疲劳值&amp;地图信息'!$R$11+'疲劳值&amp;地图信息'!$S$12*'疲劳值&amp;地图信息'!$R$12+(BO41-'疲劳值&amp;地图信息'!$S$12-'疲劳值&amp;地图信息'!$S$11-'疲劳值&amp;地图信息'!$S$10)*'疲劳值&amp;地图信息'!$R$13)/BO41)</f>
        <v>41.82031310541494</v>
      </c>
      <c r="BQ41" s="14">
        <f t="shared" si="104"/>
        <v>20</v>
      </c>
      <c r="BR41" s="14">
        <f>('疲劳值&amp;地图信息'!$S$10*'疲劳值&amp;地图信息'!$R$10+($BQ41-'疲劳值&amp;地图信息'!$S$10)*'疲劳值&amp;地图信息'!$R$11)/$BQ41</f>
        <v>32.067203015074995</v>
      </c>
      <c r="BW41" s="14" t="s">
        <v>465</v>
      </c>
      <c r="BX41" s="14" t="s">
        <v>466</v>
      </c>
      <c r="BY41" s="14" t="s">
        <v>459</v>
      </c>
      <c r="BZ41" s="14" t="s">
        <v>467</v>
      </c>
      <c r="CF41" s="14">
        <v>36</v>
      </c>
      <c r="CG41" s="51">
        <f t="shared" si="11"/>
        <v>5575</v>
      </c>
      <c r="CH41" s="51">
        <f t="shared" si="12"/>
        <v>805</v>
      </c>
      <c r="CI41" s="51">
        <f>INT(SUMPRODUCT($N41:$R41,$BA41:$BE41)/SUM($BA41:$BE41)/10000*$BX$7*$BZ$34/'疲劳值&amp;地图信息'!$R$10*$BY$53)</f>
        <v>2722</v>
      </c>
      <c r="CJ41" s="50">
        <f t="shared" si="13"/>
        <v>0.6125027466490881</v>
      </c>
      <c r="CK41" s="50">
        <f t="shared" si="14"/>
        <v>8.844210063722259E-2</v>
      </c>
      <c r="CL41" s="50">
        <f t="shared" si="15"/>
        <v>0.29905515271368932</v>
      </c>
      <c r="CM41" s="14">
        <f t="shared" si="16"/>
        <v>5764</v>
      </c>
      <c r="CN41" s="14">
        <f t="shared" si="17"/>
        <v>1069</v>
      </c>
      <c r="CO41" s="14">
        <f>INT(SUMPRODUCT($U41:$Y41,$BA41:$BE41)/SUM($BA41:$BE41)/10000*$BX$7*$BZ$34/'疲劳值&amp;地图信息'!$R$10*$BY$54)</f>
        <v>4615</v>
      </c>
      <c r="CP41" s="50">
        <f t="shared" si="18"/>
        <v>0.50349406009783371</v>
      </c>
      <c r="CQ41" s="50">
        <f t="shared" si="19"/>
        <v>9.3378756114605166E-2</v>
      </c>
      <c r="CR41" s="50">
        <f t="shared" si="20"/>
        <v>0.40312718378756113</v>
      </c>
      <c r="CS41" s="14">
        <f t="shared" si="21"/>
        <v>6151</v>
      </c>
      <c r="CT41" s="14">
        <f t="shared" si="22"/>
        <v>1821</v>
      </c>
      <c r="CU41" s="14">
        <f>INT(SUMPRODUCT($AB41:$AF41,$BA41:$BE41)/SUM($BA41:$BE41)/10000*$BX$7*$BZ$34/'疲劳值&amp;地图信息'!$R$10*$BY$55)</f>
        <v>6265</v>
      </c>
      <c r="CV41" s="50">
        <f t="shared" si="23"/>
        <v>0.43204326754231931</v>
      </c>
      <c r="CW41" s="50">
        <f t="shared" si="24"/>
        <v>0.12790616000561916</v>
      </c>
      <c r="CX41" s="50">
        <f t="shared" si="25"/>
        <v>0.44005057245206153</v>
      </c>
      <c r="CY41" s="14">
        <f t="shared" si="26"/>
        <v>7151</v>
      </c>
      <c r="CZ41" s="14">
        <f t="shared" si="27"/>
        <v>4385</v>
      </c>
      <c r="DA41" s="14">
        <f>INT(SUMPRODUCT($AI41:$AM41,$BA41:$BE41)/SUM($BA41:$BE41)/10000*$BX$7*$BZ$34/'疲劳值&amp;地图信息'!$R$10*$BY$56)</f>
        <v>9438</v>
      </c>
      <c r="DB41" s="50">
        <f t="shared" si="28"/>
        <v>0.340945933059979</v>
      </c>
      <c r="DC41" s="50">
        <f t="shared" si="29"/>
        <v>0.20906837036330694</v>
      </c>
      <c r="DD41" s="50">
        <f t="shared" si="30"/>
        <v>0.449985696576714</v>
      </c>
      <c r="DE41" s="14">
        <f t="shared" si="31"/>
        <v>7347</v>
      </c>
      <c r="DF41" s="14">
        <f t="shared" si="32"/>
        <v>9108</v>
      </c>
      <c r="DG41" s="14">
        <f>INT(SUMPRODUCT($AP41:$AT41,$BA41:$BE41)/SUM($BA41:$BE41)/10000*$BX$7*$BZ$34/'疲劳值&amp;地图信息'!$R$10*$BY$57)</f>
        <v>12600</v>
      </c>
      <c r="DH41" s="50">
        <f t="shared" si="33"/>
        <v>0.25286525554981931</v>
      </c>
      <c r="DI41" s="50">
        <f t="shared" si="34"/>
        <v>0.3134744450180692</v>
      </c>
      <c r="DJ41" s="50">
        <f t="shared" si="35"/>
        <v>0.43366029943211154</v>
      </c>
      <c r="DL41" s="14">
        <f t="shared" si="106"/>
        <v>9102</v>
      </c>
      <c r="DM41" s="14">
        <f t="shared" si="107"/>
        <v>11448</v>
      </c>
      <c r="DN41" s="14">
        <f t="shared" si="108"/>
        <v>14237</v>
      </c>
      <c r="DO41" s="14">
        <f t="shared" si="109"/>
        <v>20974</v>
      </c>
      <c r="DP41" s="14">
        <f t="shared" si="110"/>
        <v>29055</v>
      </c>
      <c r="DQ41" s="14">
        <f t="shared" si="111"/>
        <v>555889</v>
      </c>
      <c r="DT41" s="14">
        <f t="shared" si="105"/>
        <v>235575</v>
      </c>
      <c r="DU41" s="50">
        <f t="shared" si="7"/>
        <v>0.29764461807485876</v>
      </c>
      <c r="DW41" s="14">
        <f t="shared" si="36"/>
        <v>791464</v>
      </c>
      <c r="EB41" s="14">
        <v>36</v>
      </c>
      <c r="EC41" s="51">
        <f t="shared" si="37"/>
        <v>9291</v>
      </c>
      <c r="ED41" s="51">
        <f t="shared" si="38"/>
        <v>1341</v>
      </c>
      <c r="EE41" s="51">
        <f>INT(SUMPRODUCT($N41:$R41,$BF41:$BJ41)/SUM($BF41:$BJ41)/10000*$BX$7*$BZ$46/'疲劳值&amp;地图信息'!$R$10*$BY$53)</f>
        <v>365</v>
      </c>
      <c r="EF41" s="50">
        <f t="shared" si="39"/>
        <v>0.84486678184959529</v>
      </c>
      <c r="EG41" s="50">
        <f t="shared" si="40"/>
        <v>0.1219423479130672</v>
      </c>
      <c r="EH41" s="50">
        <f t="shared" si="41"/>
        <v>3.3190870237337453E-2</v>
      </c>
      <c r="EI41" s="51">
        <f t="shared" si="42"/>
        <v>9607</v>
      </c>
      <c r="EJ41" s="51">
        <f t="shared" si="43"/>
        <v>1781</v>
      </c>
      <c r="EK41" s="14">
        <f>INT(SUMPRODUCT($U41:$Y41,$BF41:$BJ41)/SUM($BF41:$BJ41)/10000*$BX$7*$BZ$46/'疲劳值&amp;地图信息'!$R$10*$BY$54)</f>
        <v>618</v>
      </c>
      <c r="EL41" s="50">
        <f t="shared" si="44"/>
        <v>0.80018324171247712</v>
      </c>
      <c r="EM41" s="50">
        <f t="shared" si="45"/>
        <v>0.14834249541895719</v>
      </c>
      <c r="EN41" s="50">
        <f t="shared" si="46"/>
        <v>5.1474262868565719E-2</v>
      </c>
      <c r="EO41" s="51">
        <f t="shared" si="47"/>
        <v>10251</v>
      </c>
      <c r="EP41" s="51">
        <f t="shared" si="48"/>
        <v>3036</v>
      </c>
      <c r="EQ41" s="14">
        <f>INT(SUMPRODUCT($AB41:$AF41,$BF41:$BJ41)/SUM($BF41:$BJ41)/10000*$BX$7*$BZ$46/'疲劳值&amp;地图信息'!$R$10*$BY$55)</f>
        <v>839</v>
      </c>
      <c r="ER41" s="50">
        <f t="shared" si="49"/>
        <v>0.72568313747699276</v>
      </c>
      <c r="ES41" s="50">
        <f t="shared" si="50"/>
        <v>0.21492283732125159</v>
      </c>
      <c r="ET41" s="50">
        <f t="shared" si="51"/>
        <v>5.9394025201755629E-2</v>
      </c>
      <c r="EU41" s="51">
        <f t="shared" si="52"/>
        <v>11919</v>
      </c>
      <c r="EV41" s="51">
        <f t="shared" si="53"/>
        <v>7308</v>
      </c>
      <c r="EW41" s="14">
        <f>INT(SUMPRODUCT($AI41:$AM41,$BF41:$BJ41)/SUM($BF41:$BJ41)/10000*$BX$7*$BZ$46/'疲劳值&amp;地图信息'!$R$10*$BY$56)</f>
        <v>1258</v>
      </c>
      <c r="EX41" s="50">
        <f t="shared" si="54"/>
        <v>0.5818403710031731</v>
      </c>
      <c r="EY41" s="50">
        <f t="shared" si="55"/>
        <v>0.35674884061508422</v>
      </c>
      <c r="EZ41" s="50">
        <f t="shared" si="56"/>
        <v>6.1410788381742736E-2</v>
      </c>
      <c r="FA41" s="51">
        <f t="shared" si="57"/>
        <v>12245</v>
      </c>
      <c r="FB41" s="51">
        <f t="shared" si="58"/>
        <v>15180</v>
      </c>
      <c r="FC41" s="14">
        <f>INT(SUMPRODUCT($AP41:$AT41,$BF41:$BJ41)/SUM($BF41:$BJ41)/10000*$BX$7*$BZ$46/'疲劳值&amp;地图信息'!$R$10*$BY$57)</f>
        <v>1678</v>
      </c>
      <c r="FD41" s="50">
        <f t="shared" si="59"/>
        <v>0.42074700202728244</v>
      </c>
      <c r="FE41" s="50">
        <f t="shared" si="60"/>
        <v>0.52159571178229047</v>
      </c>
      <c r="FF41" s="50">
        <f t="shared" si="61"/>
        <v>5.7657286190427107E-2</v>
      </c>
      <c r="FH41" s="14">
        <f t="shared" si="62"/>
        <v>10997</v>
      </c>
      <c r="FI41" s="14">
        <f t="shared" si="63"/>
        <v>12006</v>
      </c>
      <c r="FJ41" s="14">
        <f t="shared" si="64"/>
        <v>14126</v>
      </c>
      <c r="FK41" s="14">
        <f t="shared" si="65"/>
        <v>20485</v>
      </c>
      <c r="FL41" s="14">
        <f t="shared" si="66"/>
        <v>29103</v>
      </c>
      <c r="FM41" s="14">
        <f t="shared" si="67"/>
        <v>1268204</v>
      </c>
      <c r="FP41" s="14">
        <f t="shared" si="68"/>
        <v>334150</v>
      </c>
      <c r="FQ41" s="50">
        <f t="shared" si="8"/>
        <v>0.20853694002698531</v>
      </c>
      <c r="FS41" s="14">
        <f t="shared" si="69"/>
        <v>1602354</v>
      </c>
      <c r="FX41" s="14">
        <v>36</v>
      </c>
      <c r="FY41" s="51">
        <f t="shared" si="70"/>
        <v>13008</v>
      </c>
      <c r="FZ41" s="51">
        <f t="shared" si="71"/>
        <v>1341</v>
      </c>
      <c r="GA41" s="51">
        <f>INT(SUMPRODUCT($N41:$R41,$BF41:$BJ41)/SUM($BF41:$BJ41)/10000*$BX$7*$BZ$46/'疲劳值&amp;地图信息'!$R$10*$BY$53)</f>
        <v>365</v>
      </c>
      <c r="GB41" s="50">
        <f t="shared" si="72"/>
        <v>0.88405600108739979</v>
      </c>
      <c r="GC41" s="50">
        <f t="shared" si="73"/>
        <v>9.1137691994019304E-2</v>
      </c>
      <c r="GD41" s="50">
        <f t="shared" si="74"/>
        <v>2.4806306918580944E-2</v>
      </c>
      <c r="GE41" s="51">
        <f t="shared" si="75"/>
        <v>13450</v>
      </c>
      <c r="GF41" s="51">
        <f t="shared" si="76"/>
        <v>1781</v>
      </c>
      <c r="GG41" s="14">
        <f>INT(SUMPRODUCT($U41:$Y41,$BF41:$BJ41)/SUM($BF41:$BJ41)/10000*$BX$7*$BZ$46/'疲劳值&amp;地图信息'!$R$10*$BY$54)</f>
        <v>618</v>
      </c>
      <c r="GH41" s="50">
        <f t="shared" si="77"/>
        <v>0.84863398321660677</v>
      </c>
      <c r="GI41" s="50">
        <f t="shared" si="78"/>
        <v>0.1123730203798347</v>
      </c>
      <c r="GJ41" s="50">
        <f t="shared" si="79"/>
        <v>3.8992996403558584E-2</v>
      </c>
      <c r="GK41" s="51">
        <f t="shared" si="80"/>
        <v>14352</v>
      </c>
      <c r="GL41" s="51">
        <f t="shared" si="81"/>
        <v>3036</v>
      </c>
      <c r="GM41" s="14">
        <f>INT(SUMPRODUCT($AB41:$AF41,$BF41:$BJ41)/SUM($BF41:$BJ41)/10000*$BX$7*$BZ$46/'疲劳值&amp;地图信息'!$R$10*$BY$55)</f>
        <v>839</v>
      </c>
      <c r="GN41" s="50">
        <f t="shared" si="82"/>
        <v>0.78740330279256043</v>
      </c>
      <c r="GO41" s="50">
        <f t="shared" si="83"/>
        <v>0.16656608328304165</v>
      </c>
      <c r="GP41" s="50">
        <f t="shared" si="84"/>
        <v>4.6030613924397869E-2</v>
      </c>
      <c r="GQ41" s="51">
        <f t="shared" si="85"/>
        <v>16687</v>
      </c>
      <c r="GR41" s="51">
        <f t="shared" si="86"/>
        <v>7308</v>
      </c>
      <c r="GS41" s="14">
        <f>INT(SUMPRODUCT($AI41:$AM41,$BF41:$BJ41)/SUM($BF41:$BJ41)/10000*$BX$7*$BZ$46/'疲劳值&amp;地图信息'!$R$10*$BY$56)</f>
        <v>1258</v>
      </c>
      <c r="GT41" s="50">
        <f t="shared" si="87"/>
        <v>0.66079277709579065</v>
      </c>
      <c r="GU41" s="50">
        <f t="shared" si="88"/>
        <v>0.28939135944244249</v>
      </c>
      <c r="GV41" s="50">
        <f t="shared" si="89"/>
        <v>4.9815863461766918E-2</v>
      </c>
      <c r="GW41" s="51">
        <f t="shared" si="90"/>
        <v>17143</v>
      </c>
      <c r="GX41" s="51">
        <f t="shared" si="91"/>
        <v>15180</v>
      </c>
      <c r="GY41" s="14">
        <f>INT(SUMPRODUCT($AP41:$AT41,$BF41:$BJ41)/SUM($BF41:$BJ41)/10000*$BX$7*$BZ$46/'疲劳值&amp;地图信息'!$R$10*$BY$57)</f>
        <v>1678</v>
      </c>
      <c r="GZ41" s="50">
        <f t="shared" si="92"/>
        <v>0.50419105320431756</v>
      </c>
      <c r="HA41" s="50">
        <f t="shared" si="93"/>
        <v>0.44645745713361373</v>
      </c>
      <c r="HB41" s="50">
        <f t="shared" si="94"/>
        <v>4.9351489662068759E-2</v>
      </c>
      <c r="HD41" s="14">
        <f t="shared" si="95"/>
        <v>14714</v>
      </c>
      <c r="HE41" s="14">
        <f t="shared" si="96"/>
        <v>15849</v>
      </c>
      <c r="HF41" s="14">
        <f t="shared" si="97"/>
        <v>18227</v>
      </c>
      <c r="HG41" s="14">
        <f t="shared" si="98"/>
        <v>25253</v>
      </c>
      <c r="HH41" s="14">
        <f t="shared" si="99"/>
        <v>34001</v>
      </c>
      <c r="HI41" s="14">
        <f t="shared" si="100"/>
        <v>1670781</v>
      </c>
      <c r="HL41" s="14">
        <f t="shared" si="101"/>
        <v>430050</v>
      </c>
      <c r="HM41" s="50">
        <f t="shared" si="9"/>
        <v>0.20470470970772994</v>
      </c>
      <c r="HO41" s="14">
        <f t="shared" si="102"/>
        <v>2100831</v>
      </c>
    </row>
    <row r="42" spans="3:223" x14ac:dyDescent="0.2">
      <c r="C42" s="1" t="s">
        <v>441</v>
      </c>
      <c r="D42" s="1" t="s">
        <v>518</v>
      </c>
      <c r="K42" s="14">
        <v>37</v>
      </c>
      <c r="L42" s="12">
        <f>求节点(节奏总纲!D$4:D$163,标准城池设计!AB$4:AB$163,$K42)*求节点(节奏总纲!D$4:D$163,攻城基础信息!$AC$5:$AC$164,$K42)</f>
        <v>263269.58817708696</v>
      </c>
      <c r="M42" s="12">
        <f>INDEX(其他调用!$AA$5:$AA$404,MATCH(K42,其他调用!$X$5:$X$404,0))*MIN(INDEX(其他调用!$AH$5:$AH$364,MATCH('征服点（新）'!K42,其他调用!$AG$5:$AG$364,0),1)/INDEX(其他调用!$AJ$5:$AJ$364,MATCH(K42,其他调用!$AG$5:$AG$364,0),0),5)*求节点(节奏总纲!D$4:D$163,攻城基础信息!$AC$5:$AC$164,$K42)</f>
        <v>38279.887694039899</v>
      </c>
      <c r="N42" s="12">
        <f>MIN(INDEX(其他调用!$AH$5:$AH$364,MATCH($K42,其他调用!$AG$5:$AG$364,0),1)/INDEX(其他调用!AH$5:AH$364,MATCH($K42,其他调用!$AG$5:$AG$364,0),0),1)*INDEX(其他调用!Y$5:Y$404,MATCH($K42,其他调用!$X$5:$X$404,0),0)</f>
        <v>30609.211164343942</v>
      </c>
      <c r="O42" s="12">
        <f>MIN(INDEX(其他调用!$AH$5:$AH$364,MATCH($K42,其他调用!$AG$5:$AG$364,0),1)/INDEX(其他调用!AI$5:AI$364,MATCH($K42,其他调用!$AG$5:$AG$364,0),0),1)*INDEX(其他调用!Z$5:Z$404,MATCH($K42,其他调用!$X$5:$X$404,0),0)</f>
        <v>23789.102252150384</v>
      </c>
      <c r="P42" s="12">
        <f>MIN(INDEX(其他调用!$AH$5:$AH$364,MATCH($K42,其他调用!$AG$5:$AG$364,0),1)/INDEX(其他调用!AJ$5:AJ$364,MATCH($K42,其他调用!$AG$5:$AG$364,0),0),1)*INDEX(其他调用!AA$5:AA$404,MATCH($K42,其他调用!$X$5:$X$404,0),0)</f>
        <v>14823.638592474777</v>
      </c>
      <c r="Q42" s="12">
        <f>MIN(INDEX(其他调用!$AH$5:$AH$364,MATCH($K42,其他调用!$AG$5:$AG$364,0),1)/INDEX(其他调用!AK$5:AK$364,MATCH($K42,其他调用!$AG$5:$AG$364,0),0),1)*INDEX(其他调用!AB$5:AB$404,MATCH($K42,其他调用!$X$5:$X$404,0),0)</f>
        <v>6376.0635461408756</v>
      </c>
      <c r="R42" s="12">
        <f>MIN(INDEX(其他调用!$AH$5:$AH$364,MATCH($K42,其他调用!$AG$5:$AG$364,0),1)/INDEX(其他调用!AL$5:AL$364,MATCH($K42,其他调用!$AG$5:$AG$364,0),0),1)*INDEX(其他调用!AC$5:AC$404,MATCH($K42,其他调用!$X$5:$X$404,0),0)</f>
        <v>2076.1165058559463</v>
      </c>
      <c r="S42" s="12">
        <f>求节点(节奏总纲!D$4:D$163,标准城池设计!AC$4:AC$163,$K42)*求节点(节奏总纲!D$4:D$163,攻城基础信息!$AD$5:$AD$164,$K42)</f>
        <v>272200.23139947618</v>
      </c>
      <c r="T42" s="12">
        <f>INDEX(其他调用!$AA$5:$AA$404,MATCH($K42,其他调用!$X$5:$X$404,0))*MIN(INDEX(其他调用!AI$5:AI$364,MATCH($K42,其他调用!$AG$5:$AG$364,0),1)/INDEX(其他调用!$AJ$5:$AJ$364,MATCH($K42,其他调用!$AG$5:$AG$364,0),0),5)*求节点(节奏总纲!D$4:D$163,攻城基础信息!$AD$5:$AD$164,$K42)</f>
        <v>50965.667293474711</v>
      </c>
      <c r="U42" s="12">
        <f>MIN(INDEX(其他调用!$AI$5:$AI$364,MATCH($K42,其他调用!$AG$5:$AG$364,0),1)/INDEX(其他调用!AH$5:AH$364,MATCH($K42,其他调用!$AG$5:$AG$364,0),0),1)*INDEX(其他调用!Y$5:Y$404,MATCH($K42,其他调用!$X$5:$X$404,0),0)</f>
        <v>30609.211164343942</v>
      </c>
      <c r="V42" s="12">
        <f>MIN(INDEX(其他调用!$AI$5:$AI$364,MATCH($K42,其他调用!$AG$5:$AG$364,0),1)/INDEX(其他调用!AI$5:AI$364,MATCH($K42,其他调用!$AG$5:$AG$364,0),0),1)*INDEX(其他调用!Z$5:Z$404,MATCH($K42,其他调用!$X$5:$X$404,0),0)</f>
        <v>31672.701871126937</v>
      </c>
      <c r="W42" s="12">
        <f>MIN(INDEX(其他调用!$AI$5:$AI$364,MATCH($K42,其他调用!$AG$5:$AG$364,0),1)/INDEX(其他调用!AJ$5:AJ$364,MATCH($K42,其他调用!$AG$5:$AG$364,0),0),1)*INDEX(其他调用!AA$5:AA$404,MATCH($K42,其他调用!$X$5:$X$404,0),0)</f>
        <v>19736.12458378269</v>
      </c>
      <c r="X42" s="12">
        <f>MIN(INDEX(其他调用!$AI$5:$AI$364,MATCH($K42,其他调用!$AG$5:$AG$364,0),1)/INDEX(其他调用!AK$5:AK$364,MATCH($K42,其他调用!$AG$5:$AG$364,0),0),1)*INDEX(其他调用!AB$5:AB$404,MATCH($K42,其他调用!$X$5:$X$404,0),0)</f>
        <v>8489.0618261992477</v>
      </c>
      <c r="Y42" s="12">
        <f>MIN(INDEX(其他调用!$AI$5:$AI$364,MATCH($K42,其他调用!$AG$5:$AG$364,0),1)/INDEX(其他调用!AL$5:AL$364,MATCH($K42,其他调用!$AG$5:$AG$364,0),0),1)*INDEX(其他调用!AC$5:AC$404,MATCH($K42,其他调用!$X$5:$X$404,0),0)</f>
        <v>2764.1320148496652</v>
      </c>
      <c r="Z42" s="12">
        <f>求节点(节奏总纲!D$4:D$163,标准城池设计!AD$4:AD$163,$K42)*求节点(节奏总纲!D$4:D$163,攻城基础信息!$AE$5:$AE$164,$K42)</f>
        <v>289836.57065658784</v>
      </c>
      <c r="AA42" s="12">
        <f>INDEX(其他调用!$AA$5:$AA$404,MATCH($K42,其他调用!$X$5:$X$404,0))*MIN(INDEX(其他调用!AJ$5:AJ$364,MATCH($K42,其他调用!$AG$5:$AG$364,0),1)/INDEX(其他调用!$AJ$5:$AJ$364,MATCH($K42,其他调用!$AG$5:$AG$364,0),0),5)*求节点(节奏总纲!D$4:D$163,攻城基础信息!$AE$5:$AE$164,$K42)</f>
        <v>85456.644314094534</v>
      </c>
      <c r="AB42" s="12">
        <f>MIN(INDEX(其他调用!$AJ$5:$AJ$364,MATCH($K42,其他调用!$AG$5:$AG$364,0),1)/INDEX(其他调用!AH$5:AH$364,MATCH($K42,其他调用!$AG$5:$AG$364,0),0),1)*INDEX(其他调用!Y$5:Y$404,MATCH($K42,其他调用!$X$5:$X$404,0),0)</f>
        <v>30609.211164343942</v>
      </c>
      <c r="AC42" s="12">
        <f>MIN(INDEX(其他调用!$AJ$5:$AJ$364,MATCH($K42,其他调用!$AG$5:$AG$364,0),1)/INDEX(其他调用!AI$5:AI$364,MATCH($K42,其他调用!$AG$5:$AG$364,0),0),1)*INDEX(其他调用!Z$5:Z$404,MATCH($K42,其他调用!$X$5:$X$404,0),0)</f>
        <v>31672.701871126937</v>
      </c>
      <c r="AD42" s="12">
        <f>MIN(INDEX(其他调用!$AJ$5:$AJ$364,MATCH($K42,其他调用!$AG$5:$AG$364,0),1)/INDEX(其他调用!AJ$5:AJ$364,MATCH($K42,其他调用!$AG$5:$AG$364,0),0),1)*INDEX(其他调用!AA$5:AA$404,MATCH($K42,其他调用!$X$5:$X$404,0),0)</f>
        <v>33092.532056593176</v>
      </c>
      <c r="AE42" s="12">
        <f>MIN(INDEX(其他调用!$AJ$5:$AJ$364,MATCH($K42,其他调用!$AG$5:$AG$364,0),1)/INDEX(其他调用!AK$5:AK$364,MATCH($K42,其他调用!$AG$5:$AG$364,0),0),1)*INDEX(其他调用!AB$5:AB$404,MATCH($K42,其他调用!$X$5:$X$404,0),0)</f>
        <v>14234.028034294925</v>
      </c>
      <c r="AF42" s="12">
        <f>MIN(INDEX(其他调用!$AJ$5:$AJ$364,MATCH($K42,其他调用!$AG$5:$AG$364,0),1)/INDEX(其他调用!AL$5:AL$364,MATCH($K42,其他调用!$AG$5:$AG$364,0),0),1)*INDEX(其他调用!AC$5:AC$404,MATCH($K42,其他调用!$X$5:$X$404,0),0)</f>
        <v>4634.7562775941997</v>
      </c>
      <c r="AG42" s="12">
        <f>求节点(节奏总纲!D$4:D$163,标准城池设计!AE$4:AE$163,$K42)*求节点(节奏总纲!D$4:D$163,攻城基础信息!$AF$5:$AF$164,$K42)</f>
        <v>337073.57558848499</v>
      </c>
      <c r="AH42" s="12">
        <f>INDEX(其他调用!$AA$5:$AA$404,MATCH($K42,其他调用!$X$5:$X$404,0))*MIN(INDEX(其他调用!AK$5:AK$364,MATCH($K42,其他调用!$AG$5:$AG$364,0),1)/INDEX(其他调用!$AJ$5:$AJ$364,MATCH($K42,其他调用!$AG$5:$AG$364,0),0),5)*求节点(节奏总纲!D$4:D$163,攻城基础信息!$AF$5:$AF$164,$K42)</f>
        <v>211573.28755020184</v>
      </c>
      <c r="AI42" s="12">
        <f>MIN(INDEX(其他调用!$AK$5:$AK$364,MATCH($K42,其他调用!$AG$5:$AG$364,0),1)/INDEX(其他调用!AH$5:AH$364,MATCH($K42,其他调用!$AG$5:$AG$364,0),0),1)*INDEX(其他调用!Y$5:Y$404,MATCH($K42,其他调用!$X$5:$X$404,0),0)</f>
        <v>30609.211164343942</v>
      </c>
      <c r="AJ42" s="12">
        <f>MIN(INDEX(其他调用!$AK$5:$AK$364,MATCH($K42,其他调用!$AG$5:$AG$364,0),1)/INDEX(其他调用!AI$5:AI$364,MATCH($K42,其他调用!$AG$5:$AG$364,0),0),1)*INDEX(其他调用!Z$5:Z$404,MATCH($K42,其他调用!$X$5:$X$404,0),0)</f>
        <v>31672.701871126937</v>
      </c>
      <c r="AK42" s="12">
        <f>MIN(INDEX(其他调用!$AK$5:$AK$364,MATCH($K42,其他调用!$AG$5:$AG$364,0),1)/INDEX(其他调用!AJ$5:AJ$364,MATCH($K42,其他调用!$AG$5:$AG$364,0),0),1)*INDEX(其他调用!AA$5:AA$404,MATCH($K42,其他调用!$X$5:$X$404,0),0)</f>
        <v>33092.532056593176</v>
      </c>
      <c r="AL42" s="12">
        <f>MIN(INDEX(其他调用!$AK$5:$AK$364,MATCH($K42,其他调用!$AG$5:$AG$364,0),1)/INDEX(其他调用!AK$5:AK$364,MATCH($K42,其他调用!$AG$5:$AG$364,0),0),1)*INDEX(其他调用!AB$5:AB$404,MATCH($K42,其他调用!$X$5:$X$404,0),0)</f>
        <v>35240.561228084815</v>
      </c>
      <c r="AM42" s="12">
        <f>MIN(INDEX(其他调用!$AK$5:$AK$364,MATCH($K42,其他调用!$AG$5:$AG$364,0),1)/INDEX(其他调用!AL$5:AL$364,MATCH($K42,其他调用!$AG$5:$AG$364,0),0),1)*INDEX(其他调用!AC$5:AC$404,MATCH($K42,其他调用!$X$5:$X$404,0),0)</f>
        <v>11474.714816093125</v>
      </c>
      <c r="AN42" s="12">
        <f>求节点(节奏总纲!D$4:D$163,标准城池设计!AF$4:AF$163,$K42)*求节点(节奏总纲!D$4:D$163,攻城基础信息!$AG$5:$AG$164,$K42)</f>
        <v>346289.26592774759</v>
      </c>
      <c r="AO42" s="12">
        <f>INDEX(其他调用!$AA$5:$AA$404,MATCH($K42,其他调用!$X$5:$X$404,0))*MIN(INDEX(其他调用!AL$5:AL$364,MATCH($K42,其他调用!$AG$5:$AG$364,0),1)/INDEX(其他调用!$AJ$5:$AJ$364,MATCH($K42,其他调用!$AG$5:$AG$364,0),0),5)*求节点(节奏总纲!D$4:D$163,攻城基础信息!$AG$5:$AG$164,$K42)</f>
        <v>427283.22157047258</v>
      </c>
      <c r="AP42" s="12">
        <f>MIN(INDEX(其他调用!$AL$5:$AL$364,MATCH($K42,其他调用!$AG$5:$AG$364,0),1)/INDEX(其他调用!AH$5:AH$364,MATCH($K42,其他调用!$AG$5:$AG$364,0),0),1)*INDEX(其他调用!Y$5:Y$404,MATCH($K42,其他调用!$X$5:$X$404,0),0)</f>
        <v>30609.211164343942</v>
      </c>
      <c r="AQ42" s="12">
        <f>MIN(INDEX(其他调用!$AL$5:$AL$364,MATCH($K42,其他调用!$AG$5:$AG$364,0),1)/INDEX(其他调用!AI$5:AI$364,MATCH($K42,其他调用!$AG$5:$AG$364,0),0),1)*INDEX(其他调用!Z$5:Z$404,MATCH($K42,其他调用!$X$5:$X$404,0),0)</f>
        <v>31672.701871126937</v>
      </c>
      <c r="AR42" s="12">
        <f>MIN(INDEX(其他调用!$AL$5:$AL$364,MATCH($K42,其他调用!$AG$5:$AG$364,0),1)/INDEX(其他调用!AJ$5:AJ$364,MATCH($K42,其他调用!$AG$5:$AG$364,0),0),1)*INDEX(其他调用!AA$5:AA$404,MATCH($K42,其他调用!$X$5:$X$404,0),0)</f>
        <v>33092.532056593176</v>
      </c>
      <c r="AS42" s="12">
        <f>MIN(INDEX(其他调用!$AL$5:$AL$364,MATCH($K42,其他调用!$AG$5:$AG$364,0),1)/INDEX(其他调用!AK$5:AK$364,MATCH($K42,其他调用!$AG$5:$AG$364,0),0),1)*INDEX(其他调用!AB$5:AB$404,MATCH($K42,其他调用!$X$5:$X$404,0),0)</f>
        <v>35240.561228084815</v>
      </c>
      <c r="AT42" s="12">
        <f>MIN(INDEX(其他调用!$AL$5:$AL$364,MATCH($K42,其他调用!$AG$5:$AG$364,0),1)/INDEX(其他调用!AL$5:AL$364,MATCH($K42,其他调用!$AG$5:$AG$364,0),0),1)*INDEX(其他调用!AC$5:AC$404,MATCH($K42,其他调用!$X$5:$X$404,0),0)</f>
        <v>39063.140502748953</v>
      </c>
      <c r="AV42" s="14">
        <f>IF(OR(AV$5="大R",AV$5="超R"),MAX(INDEX(其他调用!$H$5:$L$404,MATCH($K42,其他调用!$B$5:$B$404,0),MATCH(AV$5,其他调用!$H$4:$L$4,0))*120*0.85,2),INDEX(其他调用!$H$5:$L$404,MATCH($K42,其他调用!$B$5:$B$404,0),MATCH(AV$5,其他调用!$H$4:$L$4,0))*120*0.85)</f>
        <v>53.994351919090924</v>
      </c>
      <c r="AW42" s="14">
        <f>IF(OR(AW$5="大R",AW$5="超R"),MAX(INDEX(其他调用!$H$5:$L$404,MATCH($K42,其他调用!$B$5:$B$404,0),MATCH(AW$5,其他调用!$H$4:$L$4,0))*120*0.85,2),INDEX(其他调用!$H$5:$L$404,MATCH($K42,其他调用!$B$5:$B$404,0),MATCH(AW$5,其他调用!$H$4:$L$4,0))*120*0.85)</f>
        <v>43.424556111373072</v>
      </c>
      <c r="AX42" s="14">
        <f>IF(OR(AX$5="大R",AX$5="超R"),MAX(INDEX(其他调用!$H$5:$L$404,MATCH($K42,其他调用!$B$5:$B$404,0),MATCH(AX$5,其他调用!$H$4:$L$4,0))*120*0.85,2),INDEX(其他调用!$H$5:$L$404,MATCH($K42,其他调用!$B$5:$B$404,0),MATCH(AX$5,其他调用!$H$4:$L$4,0))*120*0.85)</f>
        <v>3.8211185295359997</v>
      </c>
      <c r="AY42" s="14">
        <f>IF(OR(AY$5="大R",AY$5="超R"),MAX(INDEX(其他调用!$H$5:$L$404,MATCH($K42,其他调用!$B$5:$B$404,0),MATCH(AY$5,其他调用!$H$4:$L$4,0))*120*0.85,2),INDEX(其他调用!$H$5:$L$404,MATCH($K42,其他调用!$B$5:$B$404,0),MATCH(AY$5,其他调用!$H$4:$L$4,0))*120*0.85)</f>
        <v>2</v>
      </c>
      <c r="AZ42" s="14">
        <f>IF(OR(AZ$5="大R",AZ$5="超R"),MAX(INDEX(其他调用!$H$5:$L$404,MATCH($K42,其他调用!$B$5:$B$404,0),MATCH(AZ$5,其他调用!$H$4:$L$4,0))*120*0.85,2),INDEX(其他调用!$H$5:$L$404,MATCH($K42,其他调用!$B$5:$B$404,0),MATCH(AZ$5,其他调用!$H$4:$L$4,0))*120*0.85)</f>
        <v>2</v>
      </c>
      <c r="BA42" s="14">
        <f>INDEX(其他调用!$H$5:$L$404,MATCH($K42,其他调用!$B$5:$B$404,0),MATCH(BA$5,其他调用!$H$4:$L$4,0))*INDEX(其他调用!$M$5:$M$404,MATCH($K42,其他调用!$B$5:$B$404,0))*0.6</f>
        <v>28.423324355101613</v>
      </c>
      <c r="BB42" s="14">
        <f>INDEX(其他调用!$H$5:$L$404,MATCH($K42,其他调用!$B$5:$B$404,0),MATCH(BB$5,其他调用!$H$4:$L$4,0))*INDEX(其他调用!$M$5:$M$404,MATCH($K42,其他调用!$B$5:$B$404,0))*0.6</f>
        <v>22.859247300150713</v>
      </c>
      <c r="BC42" s="14">
        <f>INDEX(其他调用!$H$5:$L$404,MATCH($K42,其他调用!$B$5:$B$404,0),MATCH(BC$5,其他调用!$H$4:$L$4,0))*INDEX(其他调用!$M$5:$M$404,MATCH($K42,其他调用!$B$5:$B$404,0))*0.6</f>
        <v>2.0114861555711996</v>
      </c>
      <c r="BD42" s="14">
        <f>INDEX(其他调用!$H$5:$L$404,MATCH($K42,其他调用!$B$5:$B$404,0),MATCH(BD$5,其他调用!$H$4:$L$4,0))*INDEX(其他调用!$M$5:$M$404,MATCH($K42,其他调用!$B$5:$B$404,0))*0.6</f>
        <v>0.31913206211764711</v>
      </c>
      <c r="BE42" s="14">
        <f>INDEX(其他调用!$H$5:$L$404,MATCH($K42,其他调用!$B$5:$B$404,0),MATCH(BE$5,其他调用!$H$4:$L$4,0))*INDEX(其他调用!$M$5:$M$404,MATCH($K42,其他调用!$B$5:$B$404,0))*0.6</f>
        <v>8.0927774117647039E-2</v>
      </c>
      <c r="BF42" s="14">
        <f>IF(OR(BF$5="大R",BF$5="超R"),0,INDEX(其他调用!$H$5:$L$404,MATCH($K42,其他调用!$B$5:$B$404,0),MATCH(BF$5,其他调用!$H$4:$L$4,0))*50*0.4)</f>
        <v>10.587127827272731</v>
      </c>
      <c r="BG42" s="14">
        <f>IF(OR(BG$5="大R",BG$5="超R"),0,INDEX(其他调用!$H$5:$L$404,MATCH($K42,其他调用!$B$5:$B$404,0),MATCH(BG$5,其他调用!$H$4:$L$4,0))*50*0.4)</f>
        <v>8.51461884536727</v>
      </c>
      <c r="BH42" s="14">
        <f>IF(OR(BH$5="大R",BH$5="超R"),0,INDEX(其他调用!$H$5:$L$404,MATCH($K42,其他调用!$B$5:$B$404,0),MATCH(BH$5,其他调用!$H$4:$L$4,0))*50*0.4)</f>
        <v>0.74923892736000008</v>
      </c>
      <c r="BI42" s="14">
        <f>IF(OR(BI$5="大R",BI$5="超R"),0,INDEX(其他调用!$H$5:$L$404,MATCH($K42,其他调用!$B$5:$B$404,0),MATCH(BI$5,其他调用!$H$4:$L$4,0))*50*0.4)</f>
        <v>0</v>
      </c>
      <c r="BJ42" s="14">
        <f>IF(OR(BJ$5="大R",BJ$5="超R"),0,INDEX(其他调用!$H$5:$L$404,MATCH($K42,其他调用!$B$5:$B$404,0),MATCH(BJ$5,其他调用!$H$4:$L$4,0))*50*0.4)</f>
        <v>0</v>
      </c>
      <c r="BL42" s="14">
        <f t="shared" si="103"/>
        <v>37</v>
      </c>
      <c r="BM42" s="14">
        <f t="shared" si="10"/>
        <v>96</v>
      </c>
      <c r="BN42" s="14">
        <f>('疲劳值&amp;地图信息'!$S$10*'疲劳值&amp;地图信息'!$R$10+'疲劳值&amp;地图信息'!$S$11*'疲劳值&amp;地图信息'!$R$11+'疲劳值&amp;地图信息'!$S$12*'疲劳值&amp;地图信息'!$R$12+(BM42-'疲劳值&amp;地图信息'!$S$12-'疲劳值&amp;地图信息'!$S$11-'疲劳值&amp;地图信息'!$S$10)*'疲劳值&amp;地图信息'!$R$13)/BM42</f>
        <v>51.371477246638619</v>
      </c>
      <c r="BO42" s="14">
        <f>INDEX(其他调用!$M$5:$M$404,MATCH(BL42,其他调用!$B$5:$B$404,0))*0.6</f>
        <v>53.694117647058818</v>
      </c>
      <c r="BP42" s="14">
        <f>IF(BO42&gt;SUM('疲劳值&amp;地图信息'!$S$10:$S$12),('疲劳值&amp;地图信息'!$S$10*'疲劳值&amp;地图信息'!$R$10+'疲劳值&amp;地图信息'!$S$11*'疲劳值&amp;地图信息'!$R$11+'疲劳值&amp;地图信息'!$S$12*'疲劳值&amp;地图信息'!$R$12+(BO42-'疲劳值&amp;地图信息'!$S$12-'疲劳值&amp;地图信息'!$S$11-'疲劳值&amp;地图信息'!$S$10)*'疲劳值&amp;地图信息'!$R$13)/BO42,('疲劳值&amp;地图信息'!$S$10*'疲劳值&amp;地图信息'!$R$10+'疲劳值&amp;地图信息'!$S$11*'疲劳值&amp;地图信息'!$R$11+'疲劳值&amp;地图信息'!$S$12*'疲劳值&amp;地图信息'!$R$12+(BO42-'疲劳值&amp;地图信息'!$S$12-'疲劳值&amp;地图信息'!$S$11-'疲劳值&amp;地图信息'!$S$10)*'疲劳值&amp;地图信息'!$R$13)/BO42)</f>
        <v>41.899094141724262</v>
      </c>
      <c r="BQ42" s="14">
        <f t="shared" si="104"/>
        <v>20</v>
      </c>
      <c r="BR42" s="14">
        <f>('疲劳值&amp;地图信息'!$S$10*'疲劳值&amp;地图信息'!$R$10+($BQ42-'疲劳值&amp;地图信息'!$S$10)*'疲劳值&amp;地图信息'!$R$11)/$BQ42</f>
        <v>32.067203015074995</v>
      </c>
      <c r="BW42" s="14" t="s">
        <v>468</v>
      </c>
      <c r="BX42" s="14">
        <v>1800</v>
      </c>
      <c r="BY42" s="14">
        <v>900</v>
      </c>
      <c r="BZ42" s="14">
        <f>3600-BX42-BY42</f>
        <v>900</v>
      </c>
      <c r="CF42" s="14">
        <v>37</v>
      </c>
      <c r="CG42" s="51">
        <f t="shared" si="11"/>
        <v>5655</v>
      </c>
      <c r="CH42" s="51">
        <f t="shared" si="12"/>
        <v>822</v>
      </c>
      <c r="CI42" s="51">
        <f>INT(SUMPRODUCT($N42:$R42,$BA42:$BE42)/SUM($BA42:$BE42)/10000*$BX$7*$BZ$34/'疲劳值&amp;地图信息'!$R$10*$BY$53)</f>
        <v>2732</v>
      </c>
      <c r="CJ42" s="50">
        <f t="shared" si="13"/>
        <v>0.61407318927136501</v>
      </c>
      <c r="CK42" s="50">
        <f t="shared" si="14"/>
        <v>8.9260506026712996E-2</v>
      </c>
      <c r="CL42" s="50">
        <f t="shared" si="15"/>
        <v>0.29666630470192201</v>
      </c>
      <c r="CM42" s="14">
        <f t="shared" si="16"/>
        <v>5846</v>
      </c>
      <c r="CN42" s="14">
        <f t="shared" si="17"/>
        <v>1094</v>
      </c>
      <c r="CO42" s="14">
        <f>INT(SUMPRODUCT($U42:$Y42,$BA42:$BE42)/SUM($BA42:$BE42)/10000*$BX$7*$BZ$34/'疲劳值&amp;地图信息'!$R$10*$BY$54)</f>
        <v>4639</v>
      </c>
      <c r="CP42" s="50">
        <f t="shared" si="18"/>
        <v>0.50487952327489416</v>
      </c>
      <c r="CQ42" s="50">
        <f t="shared" si="19"/>
        <v>9.448138872096036E-2</v>
      </c>
      <c r="CR42" s="50">
        <f t="shared" si="20"/>
        <v>0.40063908800414544</v>
      </c>
      <c r="CS42" s="14">
        <f t="shared" si="21"/>
        <v>6225</v>
      </c>
      <c r="CT42" s="14">
        <f t="shared" si="22"/>
        <v>1835</v>
      </c>
      <c r="CU42" s="14">
        <f>INT(SUMPRODUCT($AB42:$AF42,$BA42:$BE42)/SUM($BA42:$BE42)/10000*$BX$7*$BZ$34/'疲劳值&amp;地图信息'!$R$10*$BY$55)</f>
        <v>6294</v>
      </c>
      <c r="CV42" s="50">
        <f t="shared" si="23"/>
        <v>0.43367702382611117</v>
      </c>
      <c r="CW42" s="50">
        <f t="shared" si="24"/>
        <v>0.12783892991500628</v>
      </c>
      <c r="CX42" s="50">
        <f t="shared" si="25"/>
        <v>0.43848404625888254</v>
      </c>
      <c r="CY42" s="14">
        <f t="shared" si="26"/>
        <v>7240</v>
      </c>
      <c r="CZ42" s="14">
        <f t="shared" si="27"/>
        <v>4544</v>
      </c>
      <c r="DA42" s="14">
        <f>INT(SUMPRODUCT($AI42:$AM42,$BA42:$BE42)/SUM($BA42:$BE42)/10000*$BX$7*$BZ$34/'疲劳值&amp;地图信息'!$R$10*$BY$56)</f>
        <v>9483</v>
      </c>
      <c r="DB42" s="50">
        <f t="shared" si="28"/>
        <v>0.34043353552452155</v>
      </c>
      <c r="DC42" s="50">
        <f t="shared" si="29"/>
        <v>0.21366436262754501</v>
      </c>
      <c r="DD42" s="50">
        <f t="shared" si="30"/>
        <v>0.44590210184793344</v>
      </c>
      <c r="DE42" s="14">
        <f t="shared" si="31"/>
        <v>7438</v>
      </c>
      <c r="DF42" s="14">
        <f t="shared" si="32"/>
        <v>9178</v>
      </c>
      <c r="DG42" s="14">
        <f>INT(SUMPRODUCT($AP42:$AT42,$BA42:$BE42)/SUM($BA42:$BE42)/10000*$BX$7*$BZ$34/'疲劳值&amp;地图信息'!$R$10*$BY$57)</f>
        <v>12661</v>
      </c>
      <c r="DH42" s="50">
        <f t="shared" si="33"/>
        <v>0.25405608498138471</v>
      </c>
      <c r="DI42" s="50">
        <f t="shared" si="34"/>
        <v>0.31348840386651639</v>
      </c>
      <c r="DJ42" s="50">
        <f t="shared" si="35"/>
        <v>0.4324555111520989</v>
      </c>
      <c r="DL42" s="14">
        <f t="shared" si="106"/>
        <v>9209</v>
      </c>
      <c r="DM42" s="14">
        <f t="shared" si="107"/>
        <v>11579</v>
      </c>
      <c r="DN42" s="14">
        <f t="shared" si="108"/>
        <v>14354</v>
      </c>
      <c r="DO42" s="14">
        <f t="shared" si="109"/>
        <v>21267</v>
      </c>
      <c r="DP42" s="14">
        <f t="shared" si="110"/>
        <v>29277</v>
      </c>
      <c r="DQ42" s="14">
        <f t="shared" si="111"/>
        <v>564466</v>
      </c>
      <c r="DT42" s="14">
        <f t="shared" si="105"/>
        <v>235575</v>
      </c>
      <c r="DU42" s="50">
        <f t="shared" si="7"/>
        <v>0.29445365924996342</v>
      </c>
      <c r="DW42" s="14">
        <f t="shared" si="36"/>
        <v>800041</v>
      </c>
      <c r="EB42" s="14">
        <v>37</v>
      </c>
      <c r="EC42" s="51">
        <f t="shared" si="37"/>
        <v>9425</v>
      </c>
      <c r="ED42" s="51">
        <f t="shared" si="38"/>
        <v>1370</v>
      </c>
      <c r="EE42" s="51">
        <f>INT(SUMPRODUCT($N42:$R42,$BF42:$BJ42)/SUM($BF42:$BJ42)/10000*$BX$7*$BZ$46/'疲劳值&amp;地图信息'!$R$10*$BY$53)</f>
        <v>366</v>
      </c>
      <c r="EF42" s="50">
        <f t="shared" si="39"/>
        <v>0.84445838186542421</v>
      </c>
      <c r="EG42" s="50">
        <f t="shared" si="40"/>
        <v>0.12274885762924469</v>
      </c>
      <c r="EH42" s="50">
        <f t="shared" si="41"/>
        <v>3.2792760505331066E-2</v>
      </c>
      <c r="EI42" s="51">
        <f t="shared" si="42"/>
        <v>9744</v>
      </c>
      <c r="EJ42" s="51">
        <f t="shared" si="43"/>
        <v>1824</v>
      </c>
      <c r="EK42" s="14">
        <f>INT(SUMPRODUCT($U42:$Y42,$BF42:$BJ42)/SUM($BF42:$BJ42)/10000*$BX$7*$BZ$46/'疲劳值&amp;地图信息'!$R$10*$BY$54)</f>
        <v>622</v>
      </c>
      <c r="EL42" s="50">
        <f t="shared" si="44"/>
        <v>0.79934372436423295</v>
      </c>
      <c r="EM42" s="50">
        <f t="shared" si="45"/>
        <v>0.14963084495488105</v>
      </c>
      <c r="EN42" s="50">
        <f t="shared" si="46"/>
        <v>5.1025430680885969E-2</v>
      </c>
      <c r="EO42" s="51">
        <f t="shared" si="47"/>
        <v>10376</v>
      </c>
      <c r="EP42" s="51">
        <f t="shared" si="48"/>
        <v>3059</v>
      </c>
      <c r="EQ42" s="14">
        <f>INT(SUMPRODUCT($AB42:$AF42,$BF42:$BJ42)/SUM($BF42:$BJ42)/10000*$BX$7*$BZ$46/'疲劳值&amp;地图信息'!$R$10*$BY$55)</f>
        <v>843</v>
      </c>
      <c r="ER42" s="50">
        <f t="shared" si="49"/>
        <v>0.72671242470934305</v>
      </c>
      <c r="ES42" s="50">
        <f t="shared" si="50"/>
        <v>0.21424569267404397</v>
      </c>
      <c r="ET42" s="50">
        <f t="shared" si="51"/>
        <v>5.9041882616612973E-2</v>
      </c>
      <c r="EU42" s="51">
        <f t="shared" si="52"/>
        <v>12067</v>
      </c>
      <c r="EV42" s="51">
        <f t="shared" si="53"/>
        <v>7574</v>
      </c>
      <c r="EW42" s="14">
        <f>INT(SUMPRODUCT($AI42:$AM42,$BF42:$BJ42)/SUM($BF42:$BJ42)/10000*$BX$7*$BZ$46/'疲劳值&amp;地图信息'!$R$10*$BY$56)</f>
        <v>1264</v>
      </c>
      <c r="EX42" s="50">
        <f t="shared" si="54"/>
        <v>0.57723032767280558</v>
      </c>
      <c r="EY42" s="50">
        <f t="shared" si="55"/>
        <v>0.36230566850035878</v>
      </c>
      <c r="EZ42" s="50">
        <f t="shared" si="56"/>
        <v>6.0464003826835686E-2</v>
      </c>
      <c r="FA42" s="51">
        <f t="shared" si="57"/>
        <v>12397</v>
      </c>
      <c r="FB42" s="51">
        <f t="shared" si="58"/>
        <v>15296</v>
      </c>
      <c r="FC42" s="14">
        <f>INT(SUMPRODUCT($AP42:$AT42,$BF42:$BJ42)/SUM($BF42:$BJ42)/10000*$BX$7*$BZ$46/'疲劳值&amp;地图信息'!$R$10*$BY$57)</f>
        <v>1686</v>
      </c>
      <c r="FD42" s="50">
        <f t="shared" si="59"/>
        <v>0.42196807243269002</v>
      </c>
      <c r="FE42" s="50">
        <f t="shared" si="60"/>
        <v>0.52064399741311818</v>
      </c>
      <c r="FF42" s="50">
        <f t="shared" si="61"/>
        <v>5.7387930154191767E-2</v>
      </c>
      <c r="FH42" s="14">
        <f t="shared" si="62"/>
        <v>11161</v>
      </c>
      <c r="FI42" s="14">
        <f t="shared" si="63"/>
        <v>12190</v>
      </c>
      <c r="FJ42" s="14">
        <f t="shared" si="64"/>
        <v>14278</v>
      </c>
      <c r="FK42" s="14">
        <f t="shared" si="65"/>
        <v>20905</v>
      </c>
      <c r="FL42" s="14">
        <f t="shared" si="66"/>
        <v>29379</v>
      </c>
      <c r="FM42" s="14">
        <f t="shared" si="67"/>
        <v>1287102</v>
      </c>
      <c r="FP42" s="14">
        <f t="shared" si="68"/>
        <v>334150</v>
      </c>
      <c r="FQ42" s="50">
        <f t="shared" si="8"/>
        <v>0.20610614512734601</v>
      </c>
      <c r="FS42" s="14">
        <f t="shared" si="69"/>
        <v>1621252</v>
      </c>
      <c r="FX42" s="14">
        <v>37</v>
      </c>
      <c r="FY42" s="51">
        <f t="shared" si="70"/>
        <v>13195</v>
      </c>
      <c r="FZ42" s="51">
        <f t="shared" si="71"/>
        <v>1370</v>
      </c>
      <c r="GA42" s="51">
        <f>INT(SUMPRODUCT($N42:$R42,$BF42:$BJ42)/SUM($BF42:$BJ42)/10000*$BX$7*$BZ$46/'疲劳值&amp;地图信息'!$R$10*$BY$53)</f>
        <v>366</v>
      </c>
      <c r="GB42" s="50">
        <f t="shared" si="72"/>
        <v>0.88373183309892167</v>
      </c>
      <c r="GC42" s="50">
        <f t="shared" si="73"/>
        <v>9.1755408211104408E-2</v>
      </c>
      <c r="GD42" s="50">
        <f t="shared" si="74"/>
        <v>2.4512758689973879E-2</v>
      </c>
      <c r="GE42" s="51">
        <f t="shared" si="75"/>
        <v>13642</v>
      </c>
      <c r="GF42" s="51">
        <f t="shared" si="76"/>
        <v>1824</v>
      </c>
      <c r="GG42" s="14">
        <f>INT(SUMPRODUCT($U42:$Y42,$BF42:$BJ42)/SUM($BF42:$BJ42)/10000*$BX$7*$BZ$46/'疲劳值&amp;地图信息'!$R$10*$BY$54)</f>
        <v>622</v>
      </c>
      <c r="GH42" s="50">
        <f t="shared" si="77"/>
        <v>0.84796121332670316</v>
      </c>
      <c r="GI42" s="50">
        <f t="shared" si="78"/>
        <v>0.11337642963699653</v>
      </c>
      <c r="GJ42" s="50">
        <f t="shared" si="79"/>
        <v>3.8662357036300346E-2</v>
      </c>
      <c r="GK42" s="51">
        <f t="shared" si="80"/>
        <v>14526</v>
      </c>
      <c r="GL42" s="51">
        <f t="shared" si="81"/>
        <v>3059</v>
      </c>
      <c r="GM42" s="14">
        <f>INT(SUMPRODUCT($AB42:$AF42,$BF42:$BJ42)/SUM($BF42:$BJ42)/10000*$BX$7*$BZ$46/'疲劳值&amp;地图信息'!$R$10*$BY$55)</f>
        <v>843</v>
      </c>
      <c r="GN42" s="50">
        <f t="shared" si="82"/>
        <v>0.78825700021706102</v>
      </c>
      <c r="GO42" s="50">
        <f t="shared" si="83"/>
        <v>0.16599739526807034</v>
      </c>
      <c r="GP42" s="50">
        <f t="shared" si="84"/>
        <v>4.5745604514868678E-2</v>
      </c>
      <c r="GQ42" s="51">
        <f t="shared" si="85"/>
        <v>16894</v>
      </c>
      <c r="GR42" s="51">
        <f t="shared" si="86"/>
        <v>7574</v>
      </c>
      <c r="GS42" s="14">
        <f>INT(SUMPRODUCT($AI42:$AM42,$BF42:$BJ42)/SUM($BF42:$BJ42)/10000*$BX$7*$BZ$46/'疲劳值&amp;地图信息'!$R$10*$BY$56)</f>
        <v>1264</v>
      </c>
      <c r="GT42" s="50">
        <f t="shared" si="87"/>
        <v>0.65653660811441006</v>
      </c>
      <c r="GU42" s="50">
        <f t="shared" si="88"/>
        <v>0.29434167573449399</v>
      </c>
      <c r="GV42" s="50">
        <f t="shared" si="89"/>
        <v>4.9121716151095909E-2</v>
      </c>
      <c r="GW42" s="51">
        <f t="shared" si="90"/>
        <v>17356</v>
      </c>
      <c r="GX42" s="51">
        <f t="shared" si="91"/>
        <v>15296</v>
      </c>
      <c r="GY42" s="14">
        <f>INT(SUMPRODUCT($AP42:$AT42,$BF42:$BJ42)/SUM($BF42:$BJ42)/10000*$BX$7*$BZ$46/'疲劳值&amp;地图信息'!$R$10*$BY$57)</f>
        <v>1686</v>
      </c>
      <c r="GZ42" s="50">
        <f t="shared" si="92"/>
        <v>0.50544586172753214</v>
      </c>
      <c r="HA42" s="50">
        <f t="shared" si="93"/>
        <v>0.44545401595899586</v>
      </c>
      <c r="HB42" s="50">
        <f t="shared" si="94"/>
        <v>4.9100122313471953E-2</v>
      </c>
      <c r="HD42" s="14">
        <f t="shared" si="95"/>
        <v>14931</v>
      </c>
      <c r="HE42" s="14">
        <f t="shared" si="96"/>
        <v>16088</v>
      </c>
      <c r="HF42" s="14">
        <f t="shared" si="97"/>
        <v>18428</v>
      </c>
      <c r="HG42" s="14">
        <f t="shared" si="98"/>
        <v>25732</v>
      </c>
      <c r="HH42" s="14">
        <f t="shared" si="99"/>
        <v>34338</v>
      </c>
      <c r="HI42" s="14">
        <f t="shared" si="100"/>
        <v>1695359</v>
      </c>
      <c r="HL42" s="14">
        <f t="shared" si="101"/>
        <v>430050</v>
      </c>
      <c r="HM42" s="50">
        <f t="shared" si="9"/>
        <v>0.20233752656547516</v>
      </c>
      <c r="HO42" s="14">
        <f t="shared" si="102"/>
        <v>2125409</v>
      </c>
    </row>
    <row r="43" spans="3:223" x14ac:dyDescent="0.2">
      <c r="K43" s="14">
        <v>38</v>
      </c>
      <c r="L43" s="12">
        <f>求节点(节奏总纲!D$4:D$163,标准城池设计!AB$4:AB$163,$K43)*求节点(节奏总纲!D$4:D$163,攻城基础信息!$AC$5:$AC$164,$K43)</f>
        <v>267512.04408948659</v>
      </c>
      <c r="M43" s="12">
        <f>INDEX(其他调用!$AA$5:$AA$404,MATCH(K43,其他调用!$X$5:$X$404,0))*MIN(INDEX(其他调用!$AH$5:$AH$364,MATCH('征服点（新）'!K43,其他调用!$AG$5:$AG$364,0),1)/INDEX(其他调用!$AJ$5:$AJ$364,MATCH(K43,其他调用!$AG$5:$AG$364,0),0),5)*求节点(节奏总纲!D$4:D$163,攻城基础信息!$AC$5:$AC$164,$K43)</f>
        <v>39137.713958694512</v>
      </c>
      <c r="N43" s="12">
        <f>MIN(INDEX(其他调用!$AH$5:$AH$364,MATCH($K43,其他调用!$AG$5:$AG$364,0),1)/INDEX(其他调用!AH$5:AH$364,MATCH($K43,其他调用!$AG$5:$AG$364,0),0),1)*INDEX(其他调用!Y$5:Y$404,MATCH($K43,其他调用!$X$5:$X$404,0),0)</f>
        <v>30757.030070536879</v>
      </c>
      <c r="O43" s="12">
        <f>MIN(INDEX(其他调用!$AH$5:$AH$364,MATCH($K43,其他调用!$AG$5:$AG$364,0),1)/INDEX(其他调用!AI$5:AI$364,MATCH($K43,其他调用!$AG$5:$AG$364,0),0),1)*INDEX(其他调用!Z$5:Z$404,MATCH($K43,其他调用!$X$5:$X$404,0),0)</f>
        <v>23840.251309847401</v>
      </c>
      <c r="P43" s="12">
        <f>MIN(INDEX(其他调用!$AH$5:$AH$364,MATCH($K43,其他调用!$AG$5:$AG$364,0),1)/INDEX(其他调用!AJ$5:AJ$364,MATCH($K43,其他调用!$AG$5:$AG$364,0),0),1)*INDEX(其他调用!AA$5:AA$404,MATCH($K43,其他调用!$X$5:$X$404,0),0)</f>
        <v>15082.035327364465</v>
      </c>
      <c r="Q43" s="12">
        <f>MIN(INDEX(其他调用!$AH$5:$AH$364,MATCH($K43,其他调用!$AG$5:$AG$364,0),1)/INDEX(其他调用!AK$5:AK$364,MATCH($K43,其他调用!$AG$5:$AG$364,0),0),1)*INDEX(其他调用!AB$5:AB$404,MATCH($K43,其他调用!$X$5:$X$404,0),0)</f>
        <v>6316.720537950906</v>
      </c>
      <c r="R43" s="12">
        <f>MIN(INDEX(其他调用!$AH$5:$AH$364,MATCH($K43,其他调用!$AG$5:$AG$364,0),1)/INDEX(其他调用!AL$5:AL$364,MATCH($K43,其他调用!$AG$5:$AG$364,0),0),1)*INDEX(其他调用!AC$5:AC$404,MATCH($K43,其他调用!$X$5:$X$404,0),0)</f>
        <v>2069.6655962528175</v>
      </c>
      <c r="S43" s="12">
        <f>求节点(节奏总纲!D$4:D$163,标准城池设计!AC$4:AC$163,$K43)*求节点(节奏总纲!D$4:D$163,攻城基础信息!$AD$5:$AD$164,$K43)</f>
        <v>276563.22212557914</v>
      </c>
      <c r="T43" s="12">
        <f>INDEX(其他调用!$AA$5:$AA$404,MATCH($K43,其他调用!$X$5:$X$404,0))*MIN(INDEX(其他调用!AI$5:AI$364,MATCH($K43,其他调用!$AG$5:$AG$364,0),1)/INDEX(其他调用!$AJ$5:$AJ$364,MATCH($K43,其他调用!$AG$5:$AG$364,0),0),5)*求节点(节奏总纲!D$4:D$163,攻城基础信息!$AD$5:$AD$164,$K43)</f>
        <v>52234.81047275319</v>
      </c>
      <c r="U43" s="12">
        <f>MIN(INDEX(其他调用!$AI$5:$AI$364,MATCH($K43,其他调用!$AG$5:$AG$364,0),1)/INDEX(其他调用!AH$5:AH$364,MATCH($K43,其他调用!$AG$5:$AG$364,0),0),1)*INDEX(其他调用!Y$5:Y$404,MATCH($K43,其他调用!$X$5:$X$404,0),0)</f>
        <v>30757.030070536879</v>
      </c>
      <c r="V43" s="12">
        <f>MIN(INDEX(其他调用!$AI$5:$AI$364,MATCH($K43,其他调用!$AG$5:$AG$364,0),1)/INDEX(其他调用!AI$5:AI$364,MATCH($K43,其他调用!$AG$5:$AG$364,0),0),1)*INDEX(其他调用!Z$5:Z$404,MATCH($K43,其他调用!$X$5:$X$404,0),0)</f>
        <v>31818.184631502772</v>
      </c>
      <c r="W43" s="12">
        <f>MIN(INDEX(其他调用!$AI$5:$AI$364,MATCH($K43,其他调用!$AG$5:$AG$364,0),1)/INDEX(其他调用!AJ$5:AJ$364,MATCH($K43,其他调用!$AG$5:$AG$364,0),0),1)*INDEX(其他调用!AA$5:AA$404,MATCH($K43,其他调用!$X$5:$X$404,0),0)</f>
        <v>20129.107635149401</v>
      </c>
      <c r="X43" s="12">
        <f>MIN(INDEX(其他调用!$AI$5:$AI$364,MATCH($K43,其他调用!$AG$5:$AG$364,0),1)/INDEX(其他调用!AK$5:AK$364,MATCH($K43,其他调用!$AG$5:$AG$364,0),0),1)*INDEX(其他调用!AB$5:AB$404,MATCH($K43,其他调用!$X$5:$X$404,0),0)</f>
        <v>8430.5562776978095</v>
      </c>
      <c r="Y43" s="12">
        <f>MIN(INDEX(其他调用!$AI$5:$AI$364,MATCH($K43,其他调用!$AG$5:$AG$364,0),1)/INDEX(其他调用!AL$5:AL$364,MATCH($K43,其他调用!$AG$5:$AG$364,0),0),1)*INDEX(其他调用!AC$5:AC$404,MATCH($K43,其他调用!$X$5:$X$404,0),0)</f>
        <v>2762.261236727833</v>
      </c>
      <c r="Z43" s="12">
        <f>求节点(节奏总纲!D$4:D$163,标准城池设计!AD$4:AD$163,$K43)*求节点(节奏总纲!D$4:D$163,攻城基础信息!$AE$5:$AE$164,$K43)</f>
        <v>293873.33237057592</v>
      </c>
      <c r="AA43" s="12">
        <f>INDEX(其他调用!$AA$5:$AA$404,MATCH($K43,其他调用!$X$5:$X$404,0))*MIN(INDEX(其他调用!AJ$5:AJ$364,MATCH($K43,其他调用!$AG$5:$AG$364,0),1)/INDEX(其他调用!$AJ$5:$AJ$364,MATCH($K43,其他调用!$AG$5:$AG$364,0),0),5)*求节点(节奏总纲!D$4:D$163,攻城基础信息!$AE$5:$AE$164,$K43)</f>
        <v>86263.776398766408</v>
      </c>
      <c r="AB43" s="12">
        <f>MIN(INDEX(其他调用!$AJ$5:$AJ$364,MATCH($K43,其他调用!$AG$5:$AG$364,0),1)/INDEX(其他调用!AH$5:AH$364,MATCH($K43,其他调用!$AG$5:$AG$364,0),0),1)*INDEX(其他调用!Y$5:Y$404,MATCH($K43,其他调用!$X$5:$X$404,0),0)</f>
        <v>30757.030070536879</v>
      </c>
      <c r="AC43" s="12">
        <f>MIN(INDEX(其他调用!$AJ$5:$AJ$364,MATCH($K43,其他调用!$AG$5:$AG$364,0),1)/INDEX(其他调用!AI$5:AI$364,MATCH($K43,其他调用!$AG$5:$AG$364,0),0),1)*INDEX(其他调用!Z$5:Z$404,MATCH($K43,其他调用!$X$5:$X$404,0),0)</f>
        <v>31818.184631502772</v>
      </c>
      <c r="AD43" s="12">
        <f>MIN(INDEX(其他调用!$AJ$5:$AJ$364,MATCH($K43,其他调用!$AG$5:$AG$364,0),1)/INDEX(其他调用!AJ$5:AJ$364,MATCH($K43,其他调用!$AG$5:$AG$364,0),0),1)*INDEX(其他调用!AA$5:AA$404,MATCH($K43,其他调用!$X$5:$X$404,0),0)</f>
        <v>33242.445496207554</v>
      </c>
      <c r="AE43" s="12">
        <f>MIN(INDEX(其他调用!$AJ$5:$AJ$364,MATCH($K43,其他调用!$AG$5:$AG$364,0),1)/INDEX(其他调用!AK$5:AK$364,MATCH($K43,其他调用!$AG$5:$AG$364,0),0),1)*INDEX(其他调用!AB$5:AB$404,MATCH($K43,其他调用!$X$5:$X$404,0),0)</f>
        <v>13922.738784242176</v>
      </c>
      <c r="AF43" s="12">
        <f>MIN(INDEX(其他调用!$AJ$5:$AJ$364,MATCH($K43,其他调用!$AG$5:$AG$364,0),1)/INDEX(其他调用!AL$5:AL$364,MATCH($K43,其他调用!$AG$5:$AG$364,0),0),1)*INDEX(其他调用!AC$5:AC$404,MATCH($K43,其他调用!$X$5:$X$404,0),0)</f>
        <v>4561.7679766324281</v>
      </c>
      <c r="AG43" s="12">
        <f>求节点(节奏总纲!D$4:D$163,标准城池设计!AE$4:AE$163,$K43)*求节点(节奏总纲!D$4:D$163,攻城基础信息!$AF$5:$AF$164,$K43)</f>
        <v>341856.76762335381</v>
      </c>
      <c r="AH43" s="12">
        <f>INDEX(其他调用!$AA$5:$AA$404,MATCH($K43,其他调用!$X$5:$X$404,0))*MIN(INDEX(其他调用!AK$5:AK$364,MATCH($K43,其他调用!$AG$5:$AG$364,0),1)/INDEX(其他调用!$AJ$5:$AJ$364,MATCH($K43,其他调用!$AG$5:$AG$364,0),0),5)*求节点(节奏总纲!D$4:D$163,攻城基础信息!$AF$5:$AF$164,$K43)</f>
        <v>219297.66022487104</v>
      </c>
      <c r="AI43" s="12">
        <f>MIN(INDEX(其他调用!$AK$5:$AK$364,MATCH($K43,其他调用!$AG$5:$AG$364,0),1)/INDEX(其他调用!AH$5:AH$364,MATCH($K43,其他调用!$AG$5:$AG$364,0),0),1)*INDEX(其他调用!Y$5:Y$404,MATCH($K43,其他调用!$X$5:$X$404,0),0)</f>
        <v>30757.030070536879</v>
      </c>
      <c r="AJ43" s="12">
        <f>MIN(INDEX(其他调用!$AK$5:$AK$364,MATCH($K43,其他调用!$AG$5:$AG$364,0),1)/INDEX(其他调用!AI$5:AI$364,MATCH($K43,其他调用!$AG$5:$AG$364,0),0),1)*INDEX(其他调用!Z$5:Z$404,MATCH($K43,其他调用!$X$5:$X$404,0),0)</f>
        <v>31818.184631502772</v>
      </c>
      <c r="AK43" s="12">
        <f>MIN(INDEX(其他调用!$AK$5:$AK$364,MATCH($K43,其他调用!$AG$5:$AG$364,0),1)/INDEX(其他调用!AJ$5:AJ$364,MATCH($K43,其他调用!$AG$5:$AG$364,0),0),1)*INDEX(其他调用!AA$5:AA$404,MATCH($K43,其他调用!$X$5:$X$404,0),0)</f>
        <v>33242.445496207554</v>
      </c>
      <c r="AL43" s="12">
        <f>MIN(INDEX(其他调用!$AK$5:$AK$364,MATCH($K43,其他调用!$AG$5:$AG$364,0),1)/INDEX(其他调用!AK$5:AK$364,MATCH($K43,其他调用!$AG$5:$AG$364,0),0),1)*INDEX(其他调用!AB$5:AB$404,MATCH($K43,其他调用!$X$5:$X$404,0),0)</f>
        <v>35394.045644285477</v>
      </c>
      <c r="AM43" s="12">
        <f>MIN(INDEX(其他调用!$AK$5:$AK$364,MATCH($K43,其他调用!$AG$5:$AG$364,0),1)/INDEX(其他调用!AL$5:AL$364,MATCH($K43,其他调用!$AG$5:$AG$364,0),0),1)*INDEX(其他调用!AC$5:AC$404,MATCH($K43,其他调用!$X$5:$X$404,0),0)</f>
        <v>11596.814857024292</v>
      </c>
      <c r="AN43" s="12">
        <f>求节点(节奏总纲!D$4:D$163,标准城池设计!AF$4:AF$163,$K43)*求节点(节奏总纲!D$4:D$163,攻城基础信息!$AG$5:$AG$164,$K43)</f>
        <v>351216.04593816149</v>
      </c>
      <c r="AO43" s="12">
        <f>INDEX(其他调用!$AA$5:$AA$404,MATCH($K43,其他调用!$X$5:$X$404,0))*MIN(INDEX(其他调用!AL$5:AL$364,MATCH($K43,其他调用!$AG$5:$AG$364,0),1)/INDEX(其他调用!$AJ$5:$AJ$364,MATCH($K43,其他调用!$AG$5:$AG$364,0),0),5)*求节点(节奏总纲!D$4:D$163,攻城基础信息!$AG$5:$AG$164,$K43)</f>
        <v>431318.88199383207</v>
      </c>
      <c r="AP43" s="12">
        <f>MIN(INDEX(其他调用!$AL$5:$AL$364,MATCH($K43,其他调用!$AG$5:$AG$364,0),1)/INDEX(其他调用!AH$5:AH$364,MATCH($K43,其他调用!$AG$5:$AG$364,0),0),1)*INDEX(其他调用!Y$5:Y$404,MATCH($K43,其他调用!$X$5:$X$404,0),0)</f>
        <v>30757.030070536879</v>
      </c>
      <c r="AQ43" s="12">
        <f>MIN(INDEX(其他调用!$AL$5:$AL$364,MATCH($K43,其他调用!$AG$5:$AG$364,0),1)/INDEX(其他调用!AI$5:AI$364,MATCH($K43,其他调用!$AG$5:$AG$364,0),0),1)*INDEX(其他调用!Z$5:Z$404,MATCH($K43,其他调用!$X$5:$X$404,0),0)</f>
        <v>31818.184631502772</v>
      </c>
      <c r="AR43" s="12">
        <f>MIN(INDEX(其他调用!$AL$5:$AL$364,MATCH($K43,其他调用!$AG$5:$AG$364,0),1)/INDEX(其他调用!AJ$5:AJ$364,MATCH($K43,其他调用!$AG$5:$AG$364,0),0),1)*INDEX(其他调用!AA$5:AA$404,MATCH($K43,其他调用!$X$5:$X$404,0),0)</f>
        <v>33242.445496207554</v>
      </c>
      <c r="AS43" s="12">
        <f>MIN(INDEX(其他调用!$AL$5:$AL$364,MATCH($K43,其他调用!$AG$5:$AG$364,0),1)/INDEX(其他调用!AK$5:AK$364,MATCH($K43,其他调用!$AG$5:$AG$364,0),0),1)*INDEX(其他调用!AB$5:AB$404,MATCH($K43,其他调用!$X$5:$X$404,0),0)</f>
        <v>35394.045644285477</v>
      </c>
      <c r="AT43" s="12">
        <f>MIN(INDEX(其他调用!$AL$5:$AL$364,MATCH($K43,其他调用!$AG$5:$AG$364,0),1)/INDEX(其他调用!AL$5:AL$364,MATCH($K43,其他调用!$AG$5:$AG$364,0),0),1)*INDEX(其他调用!AC$5:AC$404,MATCH($K43,其他调用!$X$5:$X$404,0),0)</f>
        <v>39212.963014404238</v>
      </c>
      <c r="AV43" s="14">
        <f>IF(OR(AV$5="大R",AV$5="超R"),MAX(INDEX(其他调用!$H$5:$L$404,MATCH($K43,其他调用!$B$5:$B$404,0),MATCH(AV$5,其他调用!$H$4:$L$4,0))*120*0.85,2),INDEX(其他调用!$H$5:$L$404,MATCH($K43,其他调用!$B$5:$B$404,0),MATCH(AV$5,其他调用!$H$4:$L$4,0))*120*0.85)</f>
        <v>53.885755440000025</v>
      </c>
      <c r="AW43" s="14">
        <f>IF(OR(AW$5="大R",AW$5="超R"),MAX(INDEX(其他调用!$H$5:$L$404,MATCH($K43,其他调用!$B$5:$B$404,0),MATCH(AW$5,其他调用!$H$4:$L$4,0))*120*0.85,2),INDEX(其他调用!$H$5:$L$404,MATCH($K43,其他调用!$B$5:$B$404,0),MATCH(AW$5,其他调用!$H$4:$L$4,0))*120*0.85)</f>
        <v>43.527663090815977</v>
      </c>
      <c r="AX43" s="14">
        <f>IF(OR(AX$5="大R",AX$5="超R"),MAX(INDEX(其他调用!$H$5:$L$404,MATCH($K43,其他调用!$B$5:$B$404,0),MATCH(AX$5,其他调用!$H$4:$L$4,0))*120*0.85,2),INDEX(其他调用!$H$5:$L$404,MATCH($K43,其他调用!$B$5:$B$404,0),MATCH(AX$5,其他调用!$H$4:$L$4,0))*120*0.85)</f>
        <v>3.8236541091840004</v>
      </c>
      <c r="AY43" s="14">
        <f>IF(OR(AY$5="大R",AY$5="超R"),MAX(INDEX(其他调用!$H$5:$L$404,MATCH($K43,其他调用!$B$5:$B$404,0),MATCH(AY$5,其他调用!$H$4:$L$4,0))*120*0.85,2),INDEX(其他调用!$H$5:$L$404,MATCH($K43,其他调用!$B$5:$B$404,0),MATCH(AY$5,其他调用!$H$4:$L$4,0))*120*0.85)</f>
        <v>2</v>
      </c>
      <c r="AZ43" s="14">
        <f>IF(OR(AZ$5="大R",AZ$5="超R"),MAX(INDEX(其他调用!$H$5:$L$404,MATCH($K43,其他调用!$B$5:$B$404,0),MATCH(AZ$5,其他调用!$H$4:$L$4,0))*120*0.85,2),INDEX(其他调用!$H$5:$L$404,MATCH($K43,其他调用!$B$5:$B$404,0),MATCH(AZ$5,其他调用!$H$4:$L$4,0))*120*0.85)</f>
        <v>2</v>
      </c>
      <c r="BA43" s="14">
        <f>INDEX(其他调用!$H$5:$L$404,MATCH($K43,其他调用!$B$5:$B$404,0),MATCH(BA$5,其他调用!$H$4:$L$4,0))*INDEX(其他调用!$M$5:$M$404,MATCH($K43,其他调用!$B$5:$B$404,0))*0.6</f>
        <v>28.469744377411779</v>
      </c>
      <c r="BB43" s="14">
        <f>INDEX(其他调用!$H$5:$L$404,MATCH($K43,其他调用!$B$5:$B$404,0),MATCH(BB$5,其他调用!$H$4:$L$4,0))*INDEX(其他调用!$M$5:$M$404,MATCH($K43,其他调用!$B$5:$B$404,0))*0.6</f>
        <v>22.997199007842873</v>
      </c>
      <c r="BC43" s="14">
        <f>INDEX(其他调用!$H$5:$L$404,MATCH($K43,其他调用!$B$5:$B$404,0),MATCH(BC$5,其他调用!$H$4:$L$4,0))*INDEX(其他调用!$M$5:$M$404,MATCH($K43,其他调用!$B$5:$B$404,0))*0.6</f>
        <v>2.0201712713728002</v>
      </c>
      <c r="BD43" s="14">
        <f>INDEX(其他调用!$H$5:$L$404,MATCH($K43,其他调用!$B$5:$B$404,0),MATCH(BD$5,其他调用!$H$4:$L$4,0))*INDEX(其他调用!$M$5:$M$404,MATCH($K43,其他调用!$B$5:$B$404,0))*0.6</f>
        <v>0.32134077239215691</v>
      </c>
      <c r="BE43" s="14">
        <f>INDEX(其他调用!$H$5:$L$404,MATCH($K43,其他调用!$B$5:$B$404,0),MATCH(BE$5,其他调用!$H$4:$L$4,0))*INDEX(其他调用!$M$5:$M$404,MATCH($K43,其他调用!$B$5:$B$404,0))*0.6</f>
        <v>8.174064941176469E-2</v>
      </c>
      <c r="BF43" s="14">
        <f>IF(OR(BF$5="大R",BF$5="超R"),0,INDEX(其他调用!$H$5:$L$404,MATCH($K43,其他调用!$B$5:$B$404,0),MATCH(BF$5,其他调用!$H$4:$L$4,0))*50*0.4)</f>
        <v>10.565834400000005</v>
      </c>
      <c r="BG43" s="14">
        <f>IF(OR(BG$5="大R",BG$5="超R"),0,INDEX(其他调用!$H$5:$L$404,MATCH($K43,其他调用!$B$5:$B$404,0),MATCH(BG$5,其他调用!$H$4:$L$4,0))*50*0.4)</f>
        <v>8.5348359001599956</v>
      </c>
      <c r="BH43" s="14">
        <f>IF(OR(BH$5="大R",BH$5="超R"),0,INDEX(其他调用!$H$5:$L$404,MATCH($K43,其他调用!$B$5:$B$404,0),MATCH(BH$5,其他调用!$H$4:$L$4,0))*50*0.4)</f>
        <v>0.74973609984000011</v>
      </c>
      <c r="BI43" s="14">
        <f>IF(OR(BI$5="大R",BI$5="超R"),0,INDEX(其他调用!$H$5:$L$404,MATCH($K43,其他调用!$B$5:$B$404,0),MATCH(BI$5,其他调用!$H$4:$L$4,0))*50*0.4)</f>
        <v>0</v>
      </c>
      <c r="BJ43" s="14">
        <f>IF(OR(BJ$5="大R",BJ$5="超R"),0,INDEX(其他调用!$H$5:$L$404,MATCH($K43,其他调用!$B$5:$B$404,0),MATCH(BJ$5,其他调用!$H$4:$L$4,0))*50*0.4)</f>
        <v>0</v>
      </c>
      <c r="BL43" s="14">
        <f t="shared" si="103"/>
        <v>38</v>
      </c>
      <c r="BM43" s="14">
        <f t="shared" si="10"/>
        <v>96</v>
      </c>
      <c r="BN43" s="14">
        <f>('疲劳值&amp;地图信息'!$S$10*'疲劳值&amp;地图信息'!$R$10+'疲劳值&amp;地图信息'!$S$11*'疲劳值&amp;地图信息'!$R$11+'疲劳值&amp;地图信息'!$S$12*'疲劳值&amp;地图信息'!$R$12+(BM43-'疲劳值&amp;地图信息'!$S$12-'疲劳值&amp;地图信息'!$S$11-'疲劳值&amp;地图信息'!$S$10)*'疲劳值&amp;地图信息'!$R$13)/BM43</f>
        <v>51.371477246638619</v>
      </c>
      <c r="BO43" s="14">
        <f>INDEX(其他调用!$M$5:$M$404,MATCH(BL43,其他调用!$B$5:$B$404,0))*0.6</f>
        <v>53.890196078431373</v>
      </c>
      <c r="BP43" s="14">
        <f>IF(BO43&gt;SUM('疲劳值&amp;地图信息'!$S$10:$S$12),('疲劳值&amp;地图信息'!$S$10*'疲劳值&amp;地图信息'!$R$10+'疲劳值&amp;地图信息'!$S$11*'疲劳值&amp;地图信息'!$R$11+'疲劳值&amp;地图信息'!$S$12*'疲劳值&amp;地图信息'!$R$12+(BO43-'疲劳值&amp;地图信息'!$S$12-'疲劳值&amp;地图信息'!$S$11-'疲劳值&amp;地图信息'!$S$10)*'疲劳值&amp;地图信息'!$R$13)/BO43,('疲劳值&amp;地图信息'!$S$10*'疲劳值&amp;地图信息'!$R$10+'疲劳值&amp;地图信息'!$S$11*'疲劳值&amp;地图信息'!$R$11+'疲劳值&amp;地图信息'!$S$12*'疲劳值&amp;地图信息'!$R$12+(BO43-'疲劳值&amp;地图信息'!$S$12-'疲劳值&amp;地图信息'!$S$11-'疲劳值&amp;地图信息'!$S$10)*'疲劳值&amp;地图信息'!$R$13)/BO43)</f>
        <v>41.97730189149371</v>
      </c>
      <c r="BQ43" s="14">
        <f t="shared" si="104"/>
        <v>20</v>
      </c>
      <c r="BR43" s="14">
        <f>('疲劳值&amp;地图信息'!$S$10*'疲劳值&amp;地图信息'!$R$10+($BQ43-'疲劳值&amp;地图信息'!$S$10)*'疲劳值&amp;地图信息'!$R$11)/$BQ43</f>
        <v>32.067203015074995</v>
      </c>
      <c r="CF43" s="14">
        <v>38</v>
      </c>
      <c r="CG43" s="51">
        <f t="shared" si="11"/>
        <v>5735</v>
      </c>
      <c r="CH43" s="51">
        <f t="shared" si="12"/>
        <v>839</v>
      </c>
      <c r="CI43" s="51">
        <f>INT(SUMPRODUCT($N43:$R43,$BA43:$BE43)/SUM($BA43:$BE43)/10000*$BX$7*$BZ$34/'疲劳值&amp;地图信息'!$R$10*$BY$53)</f>
        <v>2742</v>
      </c>
      <c r="CJ43" s="50">
        <f t="shared" si="13"/>
        <v>0.6156075568913697</v>
      </c>
      <c r="CK43" s="50">
        <f t="shared" si="14"/>
        <v>9.0060111635895237E-2</v>
      </c>
      <c r="CL43" s="50">
        <f t="shared" si="15"/>
        <v>0.29433233147273508</v>
      </c>
      <c r="CM43" s="14">
        <f t="shared" si="16"/>
        <v>5929</v>
      </c>
      <c r="CN43" s="14">
        <f t="shared" si="17"/>
        <v>1119</v>
      </c>
      <c r="CO43" s="14">
        <f>INT(SUMPRODUCT($U43:$Y43,$BA43:$BE43)/SUM($BA43:$BE43)/10000*$BX$7*$BZ$34/'疲劳值&amp;地图信息'!$R$10*$BY$54)</f>
        <v>4662</v>
      </c>
      <c r="CP43" s="50">
        <f t="shared" si="18"/>
        <v>0.50631938514090524</v>
      </c>
      <c r="CQ43" s="50">
        <f t="shared" si="19"/>
        <v>9.555935098206661E-2</v>
      </c>
      <c r="CR43" s="50">
        <f t="shared" si="20"/>
        <v>0.39812126387702818</v>
      </c>
      <c r="CS43" s="14">
        <f t="shared" si="21"/>
        <v>6300</v>
      </c>
      <c r="CT43" s="14">
        <f t="shared" si="22"/>
        <v>1849</v>
      </c>
      <c r="CU43" s="14">
        <f>INT(SUMPRODUCT($AB43:$AF43,$BA43:$BE43)/SUM($BA43:$BE43)/10000*$BX$7*$BZ$34/'疲劳值&amp;地图信息'!$R$10*$BY$55)</f>
        <v>6324</v>
      </c>
      <c r="CV43" s="50">
        <f t="shared" si="23"/>
        <v>0.43529330477440753</v>
      </c>
      <c r="CW43" s="50">
        <f t="shared" si="24"/>
        <v>0.12775513024252055</v>
      </c>
      <c r="CX43" s="50">
        <f t="shared" si="25"/>
        <v>0.43695156498307192</v>
      </c>
      <c r="CY43" s="14">
        <f t="shared" si="26"/>
        <v>7329</v>
      </c>
      <c r="CZ43" s="14">
        <f t="shared" si="27"/>
        <v>4701</v>
      </c>
      <c r="DA43" s="14">
        <f>INT(SUMPRODUCT($AI43:$AM43,$BA43:$BE43)/SUM($BA43:$BE43)/10000*$BX$7*$BZ$34/'疲劳值&amp;地图信息'!$R$10*$BY$56)</f>
        <v>9528</v>
      </c>
      <c r="DB43" s="50">
        <f t="shared" si="28"/>
        <v>0.33996660172557752</v>
      </c>
      <c r="DC43" s="50">
        <f t="shared" si="29"/>
        <v>0.21806290008349569</v>
      </c>
      <c r="DD43" s="50">
        <f t="shared" si="30"/>
        <v>0.44197049819092682</v>
      </c>
      <c r="DE43" s="14">
        <f t="shared" si="31"/>
        <v>7530</v>
      </c>
      <c r="DF43" s="14">
        <f t="shared" si="32"/>
        <v>9247</v>
      </c>
      <c r="DG43" s="14">
        <f>INT(SUMPRODUCT($AP43:$AT43,$BA43:$BE43)/SUM($BA43:$BE43)/10000*$BX$7*$BZ$34/'疲劳值&amp;地图信息'!$R$10*$BY$57)</f>
        <v>12721</v>
      </c>
      <c r="DH43" s="50">
        <f t="shared" si="33"/>
        <v>0.25527154383348022</v>
      </c>
      <c r="DI43" s="50">
        <f t="shared" si="34"/>
        <v>0.31347887992406265</v>
      </c>
      <c r="DJ43" s="50">
        <f t="shared" si="35"/>
        <v>0.43124957624245713</v>
      </c>
      <c r="DL43" s="14">
        <f t="shared" si="106"/>
        <v>9316</v>
      </c>
      <c r="DM43" s="14">
        <f t="shared" si="107"/>
        <v>11710</v>
      </c>
      <c r="DN43" s="14">
        <f t="shared" si="108"/>
        <v>14473</v>
      </c>
      <c r="DO43" s="14">
        <f t="shared" si="109"/>
        <v>21558</v>
      </c>
      <c r="DP43" s="14">
        <f t="shared" si="110"/>
        <v>29498</v>
      </c>
      <c r="DQ43" s="14">
        <f t="shared" si="111"/>
        <v>573097</v>
      </c>
      <c r="DT43" s="14">
        <f t="shared" si="105"/>
        <v>235575</v>
      </c>
      <c r="DU43" s="50">
        <f t="shared" si="7"/>
        <v>0.2913109394167227</v>
      </c>
      <c r="DW43" s="14">
        <f t="shared" si="36"/>
        <v>808672</v>
      </c>
      <c r="EB43" s="14">
        <v>38</v>
      </c>
      <c r="EC43" s="51">
        <f t="shared" si="37"/>
        <v>9559</v>
      </c>
      <c r="ED43" s="51">
        <f t="shared" si="38"/>
        <v>1398</v>
      </c>
      <c r="EE43" s="51">
        <f>INT(SUMPRODUCT($N43:$R43,$BF43:$BJ43)/SUM($BF43:$BJ43)/10000*$BX$7*$BZ$46/'疲劳值&amp;地图信息'!$R$10*$BY$53)</f>
        <v>367</v>
      </c>
      <c r="EF43" s="50">
        <f t="shared" si="39"/>
        <v>0.84413634758036027</v>
      </c>
      <c r="EG43" s="50">
        <f t="shared" si="40"/>
        <v>0.12345460967855881</v>
      </c>
      <c r="EH43" s="50">
        <f t="shared" si="41"/>
        <v>3.240904274108089E-2</v>
      </c>
      <c r="EI43" s="51">
        <f t="shared" si="42"/>
        <v>9882</v>
      </c>
      <c r="EJ43" s="51">
        <f t="shared" si="43"/>
        <v>1866</v>
      </c>
      <c r="EK43" s="14">
        <f>INT(SUMPRODUCT($U43:$Y43,$BF43:$BJ43)/SUM($BF43:$BJ43)/10000*$BX$7*$BZ$46/'疲劳值&amp;地图信息'!$R$10*$BY$54)</f>
        <v>625</v>
      </c>
      <c r="EL43" s="50">
        <f t="shared" si="44"/>
        <v>0.79867453325790028</v>
      </c>
      <c r="EM43" s="50">
        <f t="shared" si="45"/>
        <v>0.15081225248525015</v>
      </c>
      <c r="EN43" s="50">
        <f t="shared" si="46"/>
        <v>5.0513214256849591E-2</v>
      </c>
      <c r="EO43" s="51">
        <f t="shared" si="47"/>
        <v>10501</v>
      </c>
      <c r="EP43" s="51">
        <f t="shared" si="48"/>
        <v>3082</v>
      </c>
      <c r="EQ43" s="14">
        <f>INT(SUMPRODUCT($AB43:$AF43,$BF43:$BJ43)/SUM($BF43:$BJ43)/10000*$BX$7*$BZ$46/'疲劳值&amp;地图信息'!$R$10*$BY$55)</f>
        <v>847</v>
      </c>
      <c r="ER43" s="50">
        <f t="shared" si="49"/>
        <v>0.72772002772002775</v>
      </c>
      <c r="ES43" s="50">
        <f t="shared" si="50"/>
        <v>0.21358281358281359</v>
      </c>
      <c r="ET43" s="50">
        <f t="shared" si="51"/>
        <v>5.8697158697158698E-2</v>
      </c>
      <c r="EU43" s="51">
        <f t="shared" si="52"/>
        <v>12215</v>
      </c>
      <c r="EV43" s="51">
        <f t="shared" si="53"/>
        <v>7836</v>
      </c>
      <c r="EW43" s="14">
        <f>INT(SUMPRODUCT($AI43:$AM43,$BF43:$BJ43)/SUM($BF43:$BJ43)/10000*$BX$7*$BZ$46/'疲劳值&amp;地图信息'!$R$10*$BY$56)</f>
        <v>1270</v>
      </c>
      <c r="EX43" s="50">
        <f t="shared" si="54"/>
        <v>0.57290933821115331</v>
      </c>
      <c r="EY43" s="50">
        <f t="shared" si="55"/>
        <v>0.36752497537638945</v>
      </c>
      <c r="EZ43" s="50">
        <f t="shared" si="56"/>
        <v>5.95656864124572E-2</v>
      </c>
      <c r="FA43" s="51">
        <f t="shared" si="57"/>
        <v>12550</v>
      </c>
      <c r="FB43" s="51">
        <f t="shared" si="58"/>
        <v>15412</v>
      </c>
      <c r="FC43" s="14">
        <f>INT(SUMPRODUCT($AP43:$AT43,$BF43:$BJ43)/SUM($BF43:$BJ43)/10000*$BX$7*$BZ$46/'疲劳值&amp;地图信息'!$R$10*$BY$57)</f>
        <v>1694</v>
      </c>
      <c r="FD43" s="50">
        <f t="shared" si="59"/>
        <v>0.42318586458052332</v>
      </c>
      <c r="FE43" s="50">
        <f t="shared" si="60"/>
        <v>0.51969247369840843</v>
      </c>
      <c r="FF43" s="50">
        <f t="shared" si="61"/>
        <v>5.7121661721068251E-2</v>
      </c>
      <c r="FH43" s="14">
        <f t="shared" si="62"/>
        <v>11324</v>
      </c>
      <c r="FI43" s="14">
        <f t="shared" si="63"/>
        <v>12373</v>
      </c>
      <c r="FJ43" s="14">
        <f t="shared" si="64"/>
        <v>14430</v>
      </c>
      <c r="FK43" s="14">
        <f t="shared" si="65"/>
        <v>21321</v>
      </c>
      <c r="FL43" s="14">
        <f t="shared" si="66"/>
        <v>29656</v>
      </c>
      <c r="FM43" s="14">
        <f t="shared" si="67"/>
        <v>1305899</v>
      </c>
      <c r="FP43" s="14">
        <f t="shared" si="68"/>
        <v>334150</v>
      </c>
      <c r="FQ43" s="50">
        <f t="shared" si="8"/>
        <v>0.20374391252944271</v>
      </c>
      <c r="FS43" s="14">
        <f t="shared" si="69"/>
        <v>1640049</v>
      </c>
      <c r="FX43" s="14">
        <v>38</v>
      </c>
      <c r="FY43" s="51">
        <f t="shared" si="70"/>
        <v>13382</v>
      </c>
      <c r="FZ43" s="51">
        <f t="shared" si="71"/>
        <v>1398</v>
      </c>
      <c r="GA43" s="51">
        <f>INT(SUMPRODUCT($N43:$R43,$BF43:$BJ43)/SUM($BF43:$BJ43)/10000*$BX$7*$BZ$46/'疲劳值&amp;地图信息'!$R$10*$BY$53)</f>
        <v>367</v>
      </c>
      <c r="GB43" s="50">
        <f t="shared" si="72"/>
        <v>0.88347527563213835</v>
      </c>
      <c r="GC43" s="50">
        <f t="shared" si="73"/>
        <v>9.2295504060209949E-2</v>
      </c>
      <c r="GD43" s="50">
        <f t="shared" si="74"/>
        <v>2.4229220307651681E-2</v>
      </c>
      <c r="GE43" s="51">
        <f t="shared" si="75"/>
        <v>13835</v>
      </c>
      <c r="GF43" s="51">
        <f t="shared" si="76"/>
        <v>1866</v>
      </c>
      <c r="GG43" s="14">
        <f>INT(SUMPRODUCT($U43:$Y43,$BF43:$BJ43)/SUM($BF43:$BJ43)/10000*$BX$7*$BZ$46/'疲劳值&amp;地图信息'!$R$10*$BY$54)</f>
        <v>625</v>
      </c>
      <c r="GH43" s="50">
        <f t="shared" si="77"/>
        <v>0.84742129119196374</v>
      </c>
      <c r="GI43" s="50">
        <f t="shared" si="78"/>
        <v>0.11429621462697538</v>
      </c>
      <c r="GJ43" s="50">
        <f t="shared" si="79"/>
        <v>3.8282494181060882E-2</v>
      </c>
      <c r="GK43" s="51">
        <f t="shared" si="80"/>
        <v>14701</v>
      </c>
      <c r="GL43" s="51">
        <f t="shared" si="81"/>
        <v>3082</v>
      </c>
      <c r="GM43" s="14">
        <f>INT(SUMPRODUCT($AB43:$AF43,$BF43:$BJ43)/SUM($BF43:$BJ43)/10000*$BX$7*$BZ$46/'疲劳值&amp;地图信息'!$R$10*$BY$55)</f>
        <v>847</v>
      </c>
      <c r="GN43" s="50">
        <f t="shared" si="82"/>
        <v>0.78910359634997318</v>
      </c>
      <c r="GO43" s="50">
        <f t="shared" si="83"/>
        <v>0.16543209876543211</v>
      </c>
      <c r="GP43" s="50">
        <f t="shared" si="84"/>
        <v>4.5464304884594742E-2</v>
      </c>
      <c r="GQ43" s="51">
        <f t="shared" si="85"/>
        <v>17102</v>
      </c>
      <c r="GR43" s="51">
        <f t="shared" si="86"/>
        <v>7836</v>
      </c>
      <c r="GS43" s="14">
        <f>INT(SUMPRODUCT($AI43:$AM43,$BF43:$BJ43)/SUM($BF43:$BJ43)/10000*$BX$7*$BZ$46/'疲劳值&amp;地图信息'!$R$10*$BY$56)</f>
        <v>1270</v>
      </c>
      <c r="GT43" s="50">
        <f t="shared" si="87"/>
        <v>0.65254884004884006</v>
      </c>
      <c r="GU43" s="50">
        <f t="shared" si="88"/>
        <v>0.29899267399267399</v>
      </c>
      <c r="GV43" s="50">
        <f t="shared" si="89"/>
        <v>4.845848595848596E-2</v>
      </c>
      <c r="GW43" s="51">
        <f t="shared" si="90"/>
        <v>17570</v>
      </c>
      <c r="GX43" s="51">
        <f t="shared" si="91"/>
        <v>15412</v>
      </c>
      <c r="GY43" s="14">
        <f>INT(SUMPRODUCT($AP43:$AT43,$BF43:$BJ43)/SUM($BF43:$BJ43)/10000*$BX$7*$BZ$46/'疲劳值&amp;地图信息'!$R$10*$BY$57)</f>
        <v>1694</v>
      </c>
      <c r="GZ43" s="50">
        <f t="shared" si="92"/>
        <v>0.50669050640212254</v>
      </c>
      <c r="HA43" s="50">
        <f t="shared" si="93"/>
        <v>0.44445726150651749</v>
      </c>
      <c r="HB43" s="50">
        <f t="shared" si="94"/>
        <v>4.8852232091360019E-2</v>
      </c>
      <c r="HD43" s="14">
        <f t="shared" si="95"/>
        <v>15147</v>
      </c>
      <c r="HE43" s="14">
        <f t="shared" si="96"/>
        <v>16326</v>
      </c>
      <c r="HF43" s="14">
        <f t="shared" si="97"/>
        <v>18630</v>
      </c>
      <c r="HG43" s="14">
        <f t="shared" si="98"/>
        <v>26208</v>
      </c>
      <c r="HH43" s="14">
        <f t="shared" si="99"/>
        <v>34676</v>
      </c>
      <c r="HI43" s="14">
        <f t="shared" si="100"/>
        <v>1719842</v>
      </c>
      <c r="HL43" s="14">
        <f t="shared" si="101"/>
        <v>430050</v>
      </c>
      <c r="HM43" s="50">
        <f t="shared" si="9"/>
        <v>0.20003330399852642</v>
      </c>
      <c r="HO43" s="14">
        <f t="shared" si="102"/>
        <v>2149892</v>
      </c>
    </row>
    <row r="44" spans="3:223" x14ac:dyDescent="0.2">
      <c r="K44" s="14">
        <v>39</v>
      </c>
      <c r="L44" s="12">
        <f>求节点(节奏总纲!D$4:D$163,标准城池设计!AB$4:AB$163,$K44)*求节点(节奏总纲!D$4:D$163,攻城基础信息!$AC$5:$AC$164,$K44)</f>
        <v>271711.65410147002</v>
      </c>
      <c r="M44" s="12">
        <f>INDEX(其他调用!$AA$5:$AA$404,MATCH(K44,其他调用!$X$5:$X$404,0))*MIN(INDEX(其他调用!$AH$5:$AH$364,MATCH('征服点（新）'!K44,其他调用!$AG$5:$AG$364,0),1)/INDEX(其他调用!$AJ$5:$AJ$364,MATCH(K44,其他调用!$AG$5:$AG$364,0),0),5)*求节点(节奏总纲!D$4:D$163,攻城基础信息!$AC$5:$AC$164,$K44)</f>
        <v>40006.324969047535</v>
      </c>
      <c r="N44" s="12">
        <f>MIN(INDEX(其他调用!$AH$5:$AH$364,MATCH($K44,其他调用!$AG$5:$AG$364,0),1)/INDEX(其他调用!AH$5:AH$364,MATCH($K44,其他调用!$AG$5:$AG$364,0),0),1)*INDEX(其他调用!Y$5:Y$404,MATCH($K44,其他调用!$X$5:$X$404,0),0)</f>
        <v>30896.642601360421</v>
      </c>
      <c r="O44" s="12">
        <f>MIN(INDEX(其他调用!$AH$5:$AH$364,MATCH($K44,其他调用!$AG$5:$AG$364,0),1)/INDEX(其他调用!AI$5:AI$364,MATCH($K44,其他调用!$AG$5:$AG$364,0),0),1)*INDEX(其他调用!Z$5:Z$404,MATCH($K44,其他调用!$X$5:$X$404,0),0)</f>
        <v>23903.685259801867</v>
      </c>
      <c r="P44" s="12">
        <f>MIN(INDEX(其他调用!$AH$5:$AH$364,MATCH($K44,其他调用!$AG$5:$AG$364,0),1)/INDEX(其他调用!AJ$5:AJ$364,MATCH($K44,其他调用!$AG$5:$AG$364,0),0),1)*INDEX(其他调用!AA$5:AA$404,MATCH($K44,其他调用!$X$5:$X$404,0),0)</f>
        <v>15345.068167734025</v>
      </c>
      <c r="Q44" s="12">
        <f>MIN(INDEX(其他调用!$AH$5:$AH$364,MATCH($K44,其他调用!$AG$5:$AG$364,0),1)/INDEX(其他调用!AK$5:AK$364,MATCH($K44,其他调用!$AG$5:$AG$364,0),0),1)*INDEX(其他调用!AB$5:AB$404,MATCH($K44,其他调用!$X$5:$X$404,0),0)</f>
        <v>6256.4828232230802</v>
      </c>
      <c r="R44" s="12">
        <f>MIN(INDEX(其他调用!$AH$5:$AH$364,MATCH($K44,其他调用!$AG$5:$AG$364,0),1)/INDEX(其他调用!AL$5:AL$364,MATCH($K44,其他调用!$AG$5:$AG$364,0),0),1)*INDEX(其他调用!AC$5:AC$404,MATCH($K44,其他调用!$X$5:$X$404,0),0)</f>
        <v>2065.8563578053395</v>
      </c>
      <c r="S44" s="12">
        <f>求节点(节奏总纲!D$4:D$163,标准城池设计!AC$4:AC$163,$K44)*求节点(节奏总纲!D$4:D$163,攻城基础信息!$AD$5:$AD$164,$K44)</f>
        <v>280901.37366763025</v>
      </c>
      <c r="T44" s="12">
        <f>INDEX(其他调用!$AA$5:$AA$404,MATCH($K44,其他调用!$X$5:$X$404,0))*MIN(INDEX(其他调用!AI$5:AI$364,MATCH($K44,其他调用!$AG$5:$AG$364,0),1)/INDEX(其他调用!$AJ$5:$AJ$364,MATCH($K44,其他调用!$AG$5:$AG$364,0),0),5)*求节点(节奏总纲!D$4:D$163,攻城基础信息!$AD$5:$AD$164,$K44)</f>
        <v>53489.390558604777</v>
      </c>
      <c r="U44" s="12">
        <f>MIN(INDEX(其他调用!$AI$5:$AI$364,MATCH($K44,其他调用!$AG$5:$AG$364,0),1)/INDEX(其他调用!AH$5:AH$364,MATCH($K44,其他调用!$AG$5:$AG$364,0),0),1)*INDEX(其他调用!Y$5:Y$404,MATCH($K44,其他调用!$X$5:$X$404,0),0)</f>
        <v>30896.642601360421</v>
      </c>
      <c r="V44" s="12">
        <f>MIN(INDEX(其他调用!$AI$5:$AI$364,MATCH($K44,其他调用!$AG$5:$AG$364,0),1)/INDEX(其他调用!AI$5:AI$364,MATCH($K44,其他调用!$AG$5:$AG$364,0),0),1)*INDEX(其他调用!Z$5:Z$404,MATCH($K44,其他调用!$X$5:$X$404,0),0)</f>
        <v>31959.785299967953</v>
      </c>
      <c r="W44" s="12">
        <f>MIN(INDEX(其他调用!$AI$5:$AI$364,MATCH($K44,其他调用!$AG$5:$AG$364,0),1)/INDEX(其他调用!AJ$5:AJ$364,MATCH($K44,其他调用!$AG$5:$AG$364,0),0),1)*INDEX(其他调用!AA$5:AA$404,MATCH($K44,其他调用!$X$5:$X$404,0),0)</f>
        <v>20516.714419716933</v>
      </c>
      <c r="X44" s="12">
        <f>MIN(INDEX(其他调用!$AI$5:$AI$364,MATCH($K44,其他调用!$AG$5:$AG$364,0),1)/INDEX(其他调用!AK$5:AK$364,MATCH($K44,其他调用!$AG$5:$AG$364,0),0),1)*INDEX(其他调用!AB$5:AB$404,MATCH($K44,其他调用!$X$5:$X$404,0),0)</f>
        <v>8365.0636121538519</v>
      </c>
      <c r="Y44" s="12">
        <f>MIN(INDEX(其他调用!$AI$5:$AI$364,MATCH($K44,其他调用!$AG$5:$AG$364,0),1)/INDEX(其他调用!AL$5:AL$364,MATCH($K44,其他调用!$AG$5:$AG$364,0),0),1)*INDEX(其他调用!AC$5:AC$404,MATCH($K44,其他调用!$X$5:$X$404,0),0)</f>
        <v>2762.098184377604</v>
      </c>
      <c r="Z44" s="12">
        <f>求节点(节奏总纲!D$4:D$163,标准城池设计!AD$4:AD$163,$K44)*求节点(节奏总纲!D$4:D$163,攻城基础信息!$AE$5:$AE$164,$K44)</f>
        <v>298104.89961004409</v>
      </c>
      <c r="AA44" s="12">
        <f>INDEX(其他调用!$AA$5:$AA$404,MATCH($K44,其他调用!$X$5:$X$404,0))*MIN(INDEX(其他调用!AJ$5:AJ$364,MATCH($K44,其他调用!$AG$5:$AG$364,0),1)/INDEX(其他调用!$AJ$5:$AJ$364,MATCH($K44,其他调用!$AG$5:$AG$364,0),0),5)*求节点(节奏总纲!D$4:D$163,攻城基础信息!$AE$5:$AE$164,$K44)</f>
        <v>87055.463810148402</v>
      </c>
      <c r="AB44" s="12">
        <f>MIN(INDEX(其他调用!$AJ$5:$AJ$364,MATCH($K44,其他调用!$AG$5:$AG$364,0),1)/INDEX(其他调用!AH$5:AH$364,MATCH($K44,其他调用!$AG$5:$AG$364,0),0),1)*INDEX(其他调用!Y$5:Y$404,MATCH($K44,其他调用!$X$5:$X$404,0),0)</f>
        <v>30896.642601360421</v>
      </c>
      <c r="AC44" s="12">
        <f>MIN(INDEX(其他调用!$AJ$5:$AJ$364,MATCH($K44,其他调用!$AG$5:$AG$364,0),1)/INDEX(其他调用!AI$5:AI$364,MATCH($K44,其他调用!$AG$5:$AG$364,0),0),1)*INDEX(其他调用!Z$5:Z$404,MATCH($K44,其他调用!$X$5:$X$404,0),0)</f>
        <v>31959.785299967953</v>
      </c>
      <c r="AD44" s="12">
        <f>MIN(INDEX(其他调用!$AJ$5:$AJ$364,MATCH($K44,其他调用!$AG$5:$AG$364,0),1)/INDEX(其他调用!AJ$5:AJ$364,MATCH($K44,其他调用!$AG$5:$AG$364,0),0),1)*INDEX(其他调用!AA$5:AA$404,MATCH($K44,其他调用!$X$5:$X$404,0),0)</f>
        <v>33391.520655145898</v>
      </c>
      <c r="AE44" s="12">
        <f>MIN(INDEX(其他调用!$AJ$5:$AJ$364,MATCH($K44,其他调用!$AG$5:$AG$364,0),1)/INDEX(其他调用!AK$5:AK$364,MATCH($K44,其他调用!$AG$5:$AG$364,0),0),1)*INDEX(其他调用!AB$5:AB$404,MATCH($K44,其他调用!$X$5:$X$404,0),0)</f>
        <v>13614.372587767321</v>
      </c>
      <c r="AF44" s="12">
        <f>MIN(INDEX(其他调用!$AJ$5:$AJ$364,MATCH($K44,其他调用!$AG$5:$AG$364,0),1)/INDEX(其他调用!AL$5:AL$364,MATCH($K44,其他调用!$AG$5:$AG$364,0),0),1)*INDEX(其他调用!AC$5:AC$404,MATCH($K44,其他调用!$X$5:$X$404,0),0)</f>
        <v>4495.3912545836492</v>
      </c>
      <c r="AG44" s="12">
        <f>求节点(节奏总纲!D$4:D$163,标准城池设计!AE$4:AE$163,$K44)*求节点(节奏总纲!D$4:D$163,攻城基础信息!$AF$5:$AF$164,$K44)</f>
        <v>346468.04886911361</v>
      </c>
      <c r="AH44" s="12">
        <f>INDEX(其他调用!$AA$5:$AA$404,MATCH($K44,其他调用!$X$5:$X$404,0))*MIN(INDEX(其他调用!AK$5:AK$364,MATCH($K44,其他调用!$AG$5:$AG$364,0),1)/INDEX(其他调用!$AJ$5:$AJ$364,MATCH($K44,其他调用!$AG$5:$AG$364,0),0),5)*求节点(节奏总纲!D$4:D$163,攻城基础信息!$AF$5:$AF$164,$K44)</f>
        <v>227259.31824437607</v>
      </c>
      <c r="AI44" s="12">
        <f>MIN(INDEX(其他调用!$AK$5:$AK$364,MATCH($K44,其他调用!$AG$5:$AG$364,0),1)/INDEX(其他调用!AH$5:AH$364,MATCH($K44,其他调用!$AG$5:$AG$364,0),0),1)*INDEX(其他调用!Y$5:Y$404,MATCH($K44,其他调用!$X$5:$X$404,0),0)</f>
        <v>30896.642601360421</v>
      </c>
      <c r="AJ44" s="12">
        <f>MIN(INDEX(其他调用!$AK$5:$AK$364,MATCH($K44,其他调用!$AG$5:$AG$364,0),1)/INDEX(其他调用!AI$5:AI$364,MATCH($K44,其他调用!$AG$5:$AG$364,0),0),1)*INDEX(其他调用!Z$5:Z$404,MATCH($K44,其他调用!$X$5:$X$404,0),0)</f>
        <v>31959.785299967953</v>
      </c>
      <c r="AK44" s="12">
        <f>MIN(INDEX(其他调用!$AK$5:$AK$364,MATCH($K44,其他调用!$AG$5:$AG$364,0),1)/INDEX(其他调用!AJ$5:AJ$364,MATCH($K44,其他调用!$AG$5:$AG$364,0),0),1)*INDEX(其他调用!AA$5:AA$404,MATCH($K44,其他调用!$X$5:$X$404,0),0)</f>
        <v>33391.520655145898</v>
      </c>
      <c r="AL44" s="12">
        <f>MIN(INDEX(其他调用!$AK$5:$AK$364,MATCH($K44,其他调用!$AG$5:$AG$364,0),1)/INDEX(其他调用!AK$5:AK$364,MATCH($K44,其他调用!$AG$5:$AG$364,0),0),1)*INDEX(其他调用!AB$5:AB$404,MATCH($K44,其他调用!$X$5:$X$404,0),0)</f>
        <v>35540.48071432185</v>
      </c>
      <c r="AM44" s="12">
        <f>MIN(INDEX(其他调用!$AK$5:$AK$364,MATCH($K44,其他调用!$AG$5:$AG$364,0),1)/INDEX(其他调用!AL$5:AL$364,MATCH($K44,其他调用!$AG$5:$AG$364,0),0),1)*INDEX(其他调用!AC$5:AC$404,MATCH($K44,其他调用!$X$5:$X$404,0),0)</f>
        <v>11735.272055828347</v>
      </c>
      <c r="AN44" s="12">
        <f>求节点(节奏总纲!D$4:D$163,标准城池设计!AF$4:AF$163,$K44)*求节点(节奏总纲!D$4:D$163,攻城基础信息!$AG$5:$AG$164,$K44)</f>
        <v>356048.90396710654</v>
      </c>
      <c r="AO44" s="12">
        <f>INDEX(其他调用!$AA$5:$AA$404,MATCH($K44,其他调用!$X$5:$X$404,0))*MIN(INDEX(其他调用!AL$5:AL$364,MATCH($K44,其他调用!$AG$5:$AG$364,0),1)/INDEX(其他调用!$AJ$5:$AJ$364,MATCH($K44,其他调用!$AG$5:$AG$364,0),0),5)*求节点(节奏总纲!D$4:D$163,攻城基础信息!$AG$5:$AG$164,$K44)</f>
        <v>435277.31905074202</v>
      </c>
      <c r="AP44" s="12">
        <f>MIN(INDEX(其他调用!$AL$5:$AL$364,MATCH($K44,其他调用!$AG$5:$AG$364,0),1)/INDEX(其他调用!AH$5:AH$364,MATCH($K44,其他调用!$AG$5:$AG$364,0),0),1)*INDEX(其他调用!Y$5:Y$404,MATCH($K44,其他调用!$X$5:$X$404,0),0)</f>
        <v>30896.642601360421</v>
      </c>
      <c r="AQ44" s="12">
        <f>MIN(INDEX(其他调用!$AL$5:$AL$364,MATCH($K44,其他调用!$AG$5:$AG$364,0),1)/INDEX(其他调用!AI$5:AI$364,MATCH($K44,其他调用!$AG$5:$AG$364,0),0),1)*INDEX(其他调用!Z$5:Z$404,MATCH($K44,其他调用!$X$5:$X$404,0),0)</f>
        <v>31959.785299967953</v>
      </c>
      <c r="AR44" s="12">
        <f>MIN(INDEX(其他调用!$AL$5:$AL$364,MATCH($K44,其他调用!$AG$5:$AG$364,0),1)/INDEX(其他调用!AJ$5:AJ$364,MATCH($K44,其他调用!$AG$5:$AG$364,0),0),1)*INDEX(其他调用!AA$5:AA$404,MATCH($K44,其他调用!$X$5:$X$404,0),0)</f>
        <v>33391.520655145898</v>
      </c>
      <c r="AS44" s="12">
        <f>MIN(INDEX(其他调用!$AL$5:$AL$364,MATCH($K44,其他调用!$AG$5:$AG$364,0),1)/INDEX(其他调用!AK$5:AK$364,MATCH($K44,其他调用!$AG$5:$AG$364,0),0),1)*INDEX(其他调用!AB$5:AB$404,MATCH($K44,其他调用!$X$5:$X$404,0),0)</f>
        <v>35540.48071432185</v>
      </c>
      <c r="AT44" s="12">
        <f>MIN(INDEX(其他调用!$AL$5:$AL$364,MATCH($K44,其他调用!$AG$5:$AG$364,0),1)/INDEX(其他调用!AL$5:AL$364,MATCH($K44,其他调用!$AG$5:$AG$364,0),0),1)*INDEX(其他调用!AC$5:AC$404,MATCH($K44,其他调用!$X$5:$X$404,0),0)</f>
        <v>39362.785526059517</v>
      </c>
      <c r="AV44" s="14">
        <f>IF(OR(AV$5="大R",AV$5="超R"),MAX(INDEX(其他调用!$H$5:$L$404,MATCH($K44,其他调用!$B$5:$B$404,0),MATCH(AV$5,其他调用!$H$4:$L$4,0))*120*0.85,2),INDEX(其他调用!$H$5:$L$404,MATCH($K44,其他调用!$B$5:$B$404,0),MATCH(AV$5,其他调用!$H$4:$L$4,0))*120*0.85)</f>
        <v>53.777158960909105</v>
      </c>
      <c r="AW44" s="14">
        <f>IF(OR(AW$5="大R",AW$5="超R"),MAX(INDEX(其他调用!$H$5:$L$404,MATCH($K44,其他调用!$B$5:$B$404,0),MATCH(AW$5,其他调用!$H$4:$L$4,0))*120*0.85,2),INDEX(其他调用!$H$5:$L$404,MATCH($K44,其他调用!$B$5:$B$404,0),MATCH(AW$5,其他调用!$H$4:$L$4,0))*120*0.85)</f>
        <v>43.63077007025889</v>
      </c>
      <c r="AX44" s="14">
        <f>IF(OR(AX$5="大R",AX$5="超R"),MAX(INDEX(其他调用!$H$5:$L$404,MATCH($K44,其他调用!$B$5:$B$404,0),MATCH(AX$5,其他调用!$H$4:$L$4,0))*120*0.85,2),INDEX(其他调用!$H$5:$L$404,MATCH($K44,其他调用!$B$5:$B$404,0),MATCH(AX$5,其他调用!$H$4:$L$4,0))*120*0.85)</f>
        <v>3.8261896888320002</v>
      </c>
      <c r="AY44" s="14">
        <f>IF(OR(AY$5="大R",AY$5="超R"),MAX(INDEX(其他调用!$H$5:$L$404,MATCH($K44,其他调用!$B$5:$B$404,0),MATCH(AY$5,其他调用!$H$4:$L$4,0))*120*0.85,2),INDEX(其他调用!$H$5:$L$404,MATCH($K44,其他调用!$B$5:$B$404,0),MATCH(AY$5,其他调用!$H$4:$L$4,0))*120*0.85)</f>
        <v>2</v>
      </c>
      <c r="AZ44" s="14">
        <f>IF(OR(AZ$5="大R",AZ$5="超R"),MAX(INDEX(其他调用!$H$5:$L$404,MATCH($K44,其他调用!$B$5:$B$404,0),MATCH(AZ$5,其他调用!$H$4:$L$4,0))*120*0.85,2),INDEX(其他调用!$H$5:$L$404,MATCH($K44,其他调用!$B$5:$B$404,0),MATCH(AZ$5,其他调用!$H$4:$L$4,0))*120*0.85)</f>
        <v>2</v>
      </c>
      <c r="BA44" s="14">
        <f>INDEX(其他调用!$H$5:$L$404,MATCH($K44,其他调用!$B$5:$B$404,0),MATCH(BA$5,其他调用!$H$4:$L$4,0))*INDEX(其他调用!$M$5:$M$404,MATCH($K44,其他调用!$B$5:$B$404,0))*0.6</f>
        <v>28.510958854679433</v>
      </c>
      <c r="BB44" s="14">
        <f>INDEX(其他调用!$H$5:$L$404,MATCH($K44,其他调用!$B$5:$B$404,0),MATCH(BB$5,其他调用!$H$4:$L$4,0))*INDEX(其他调用!$M$5:$M$404,MATCH($K44,其他调用!$B$5:$B$404,0))*0.6</f>
        <v>23.131662481005502</v>
      </c>
      <c r="BC44" s="14">
        <f>INDEX(其他调用!$H$5:$L$404,MATCH($K44,其他调用!$B$5:$B$404,0),MATCH(BC$5,其他调用!$H$4:$L$4,0))*INDEX(其他调用!$M$5:$M$404,MATCH($K44,其他调用!$B$5:$B$404,0))*0.6</f>
        <v>2.0285254724554105</v>
      </c>
      <c r="BD44" s="14">
        <f>INDEX(其他调用!$H$5:$L$404,MATCH($K44,其他调用!$B$5:$B$404,0),MATCH(BD$5,其他调用!$H$4:$L$4,0))*INDEX(其他调用!$M$5:$M$404,MATCH($K44,其他调用!$B$5:$B$404,0))*0.6</f>
        <v>0.32350274694736852</v>
      </c>
      <c r="BE44" s="14">
        <f>INDEX(其他调用!$H$5:$L$404,MATCH($K44,其他调用!$B$5:$B$404,0),MATCH(BE$5,其他调用!$H$4:$L$4,0))*INDEX(其他调用!$M$5:$M$404,MATCH($K44,其他调用!$B$5:$B$404,0))*0.6</f>
        <v>8.2543427368421032E-2</v>
      </c>
      <c r="BF44" s="14">
        <f>IF(OR(BF$5="大R",BF$5="超R"),0,INDEX(其他调用!$H$5:$L$404,MATCH($K44,其他调用!$B$5:$B$404,0),MATCH(BF$5,其他调用!$H$4:$L$4,0))*50*0.4)</f>
        <v>10.544540972727276</v>
      </c>
      <c r="BG44" s="14">
        <f>IF(OR(BG$5="大R",BG$5="超R"),0,INDEX(其他调用!$H$5:$L$404,MATCH($K44,其他调用!$B$5:$B$404,0),MATCH(BG$5,其他调用!$H$4:$L$4,0))*50*0.4)</f>
        <v>8.555052954952723</v>
      </c>
      <c r="BH44" s="14">
        <f>IF(OR(BH$5="大R",BH$5="超R"),0,INDEX(其他调用!$H$5:$L$404,MATCH($K44,其他调用!$B$5:$B$404,0),MATCH(BH$5,其他调用!$H$4:$L$4,0))*50*0.4)</f>
        <v>0.75023327232000003</v>
      </c>
      <c r="BI44" s="14">
        <f>IF(OR(BI$5="大R",BI$5="超R"),0,INDEX(其他调用!$H$5:$L$404,MATCH($K44,其他调用!$B$5:$B$404,0),MATCH(BI$5,其他调用!$H$4:$L$4,0))*50*0.4)</f>
        <v>0</v>
      </c>
      <c r="BJ44" s="14">
        <f>IF(OR(BJ$5="大R",BJ$5="超R"),0,INDEX(其他调用!$H$5:$L$404,MATCH($K44,其他调用!$B$5:$B$404,0),MATCH(BJ$5,其他调用!$H$4:$L$4,0))*50*0.4)</f>
        <v>0</v>
      </c>
      <c r="BL44" s="14">
        <f t="shared" si="103"/>
        <v>39</v>
      </c>
      <c r="BM44" s="14">
        <f t="shared" si="10"/>
        <v>96</v>
      </c>
      <c r="BN44" s="14">
        <f>('疲劳值&amp;地图信息'!$S$10*'疲劳值&amp;地图信息'!$R$10+'疲劳值&amp;地图信息'!$S$11*'疲劳值&amp;地图信息'!$R$11+'疲劳值&amp;地图信息'!$S$12*'疲劳值&amp;地图信息'!$R$12+(BM44-'疲劳值&amp;地图信息'!$S$12-'疲劳值&amp;地图信息'!$S$11-'疲劳值&amp;地图信息'!$S$10)*'疲劳值&amp;地图信息'!$R$13)/BM44</f>
        <v>51.371477246638619</v>
      </c>
      <c r="BO44" s="14">
        <f>INDEX(其他调用!$M$5:$M$404,MATCH(BL44,其他调用!$B$5:$B$404,0))*0.6</f>
        <v>54.07719298245614</v>
      </c>
      <c r="BP44" s="14">
        <f>IF(BO44&gt;SUM('疲劳值&amp;地图信息'!$S$10:$S$12),('疲劳值&amp;地图信息'!$S$10*'疲劳值&amp;地图信息'!$R$10+'疲劳值&amp;地图信息'!$S$11*'疲劳值&amp;地图信息'!$R$11+'疲劳值&amp;地图信息'!$S$12*'疲劳值&amp;地图信息'!$R$12+(BO44-'疲劳值&amp;地图信息'!$S$12-'疲劳值&amp;地图信息'!$S$11-'疲劳值&amp;地图信息'!$S$10)*'疲劳值&amp;地图信息'!$R$13)/BO44,('疲劳值&amp;地图信息'!$S$10*'疲劳值&amp;地图信息'!$R$10+'疲劳值&amp;地图信息'!$S$11*'疲劳值&amp;地图信息'!$R$11+'疲劳值&amp;地图信息'!$S$12*'疲劳值&amp;地图信息'!$R$12+(BO44-'疲劳值&amp;地图信息'!$S$12-'疲劳值&amp;地图信息'!$S$11-'疲劳值&amp;地图信息'!$S$10)*'疲劳值&amp;地图信息'!$R$13)/BO44)</f>
        <v>42.051359034279173</v>
      </c>
      <c r="BQ44" s="14">
        <f t="shared" si="104"/>
        <v>20</v>
      </c>
      <c r="BR44" s="14">
        <f>('疲劳值&amp;地图信息'!$S$10*'疲劳值&amp;地图信息'!$R$10+($BQ44-'疲劳值&amp;地图信息'!$S$10)*'疲劳值&amp;地图信息'!$R$11)/$BQ44</f>
        <v>32.067203015074995</v>
      </c>
      <c r="BW44" s="14"/>
      <c r="BX44" s="62" t="s">
        <v>464</v>
      </c>
      <c r="BY44" s="63"/>
      <c r="BZ44" s="64"/>
      <c r="CF44" s="14">
        <v>39</v>
      </c>
      <c r="CG44" s="51">
        <f t="shared" si="11"/>
        <v>5815</v>
      </c>
      <c r="CH44" s="51">
        <f t="shared" si="12"/>
        <v>856</v>
      </c>
      <c r="CI44" s="51">
        <f>INT(SUMPRODUCT($N44:$R44,$BA44:$BE44)/SUM($BA44:$BE44)/10000*$BX$7*$BZ$34/'疲劳值&amp;地图信息'!$R$10*$BY$53)</f>
        <v>2752</v>
      </c>
      <c r="CJ44" s="50">
        <f t="shared" si="13"/>
        <v>0.61710707842513002</v>
      </c>
      <c r="CK44" s="50">
        <f t="shared" si="14"/>
        <v>9.0841557890268487E-2</v>
      </c>
      <c r="CL44" s="50">
        <f t="shared" si="15"/>
        <v>0.29205136368460149</v>
      </c>
      <c r="CM44" s="14">
        <f t="shared" si="16"/>
        <v>6011</v>
      </c>
      <c r="CN44" s="14">
        <f t="shared" si="17"/>
        <v>1144</v>
      </c>
      <c r="CO44" s="14">
        <f>INT(SUMPRODUCT($U44:$Y44,$BA44:$BE44)/SUM($BA44:$BE44)/10000*$BX$7*$BZ$34/'疲劳值&amp;地图信息'!$R$10*$BY$54)</f>
        <v>4685</v>
      </c>
      <c r="CP44" s="50">
        <f t="shared" si="18"/>
        <v>0.50768581081081077</v>
      </c>
      <c r="CQ44" s="50">
        <f t="shared" si="19"/>
        <v>9.662162162162162E-2</v>
      </c>
      <c r="CR44" s="50">
        <f t="shared" si="20"/>
        <v>0.39569256756756754</v>
      </c>
      <c r="CS44" s="14">
        <f t="shared" si="21"/>
        <v>6380</v>
      </c>
      <c r="CT44" s="14">
        <f t="shared" si="22"/>
        <v>1863</v>
      </c>
      <c r="CU44" s="14">
        <f>INT(SUMPRODUCT($AB44:$AF44,$BA44:$BE44)/SUM($BA44:$BE44)/10000*$BX$7*$BZ$34/'疲劳值&amp;地图信息'!$R$10*$BY$55)</f>
        <v>6352</v>
      </c>
      <c r="CV44" s="50">
        <f t="shared" si="23"/>
        <v>0.43713600548132925</v>
      </c>
      <c r="CW44" s="50">
        <f t="shared" si="24"/>
        <v>0.1276464542651593</v>
      </c>
      <c r="CX44" s="50">
        <f t="shared" si="25"/>
        <v>0.4352175402535115</v>
      </c>
      <c r="CY44" s="14">
        <f t="shared" si="26"/>
        <v>7415</v>
      </c>
      <c r="CZ44" s="14">
        <f t="shared" si="27"/>
        <v>4863</v>
      </c>
      <c r="DA44" s="14">
        <f>INT(SUMPRODUCT($AI44:$AM44,$BA44:$BE44)/SUM($BA44:$BE44)/10000*$BX$7*$BZ$34/'疲劳值&amp;地图信息'!$R$10*$BY$56)</f>
        <v>9571</v>
      </c>
      <c r="DB44" s="50">
        <f t="shared" si="28"/>
        <v>0.33937479976200285</v>
      </c>
      <c r="DC44" s="50">
        <f t="shared" si="29"/>
        <v>0.22257311547439243</v>
      </c>
      <c r="DD44" s="50">
        <f t="shared" si="30"/>
        <v>0.43805208476360474</v>
      </c>
      <c r="DE44" s="14">
        <f t="shared" si="31"/>
        <v>7620</v>
      </c>
      <c r="DF44" s="14">
        <f t="shared" si="32"/>
        <v>9315</v>
      </c>
      <c r="DG44" s="14">
        <f>INT(SUMPRODUCT($AP44:$AT44,$BA44:$BE44)/SUM($BA44:$BE44)/10000*$BX$7*$BZ$34/'疲劳值&amp;地图信息'!$R$10*$BY$57)</f>
        <v>12779</v>
      </c>
      <c r="DH44" s="50">
        <f t="shared" si="33"/>
        <v>0.25644477350743755</v>
      </c>
      <c r="DI44" s="50">
        <f t="shared" si="34"/>
        <v>0.31348859123645417</v>
      </c>
      <c r="DJ44" s="50">
        <f t="shared" si="35"/>
        <v>0.43006663525610822</v>
      </c>
      <c r="DL44" s="14">
        <f t="shared" si="106"/>
        <v>9423</v>
      </c>
      <c r="DM44" s="14">
        <f t="shared" si="107"/>
        <v>11840</v>
      </c>
      <c r="DN44" s="14">
        <f t="shared" si="108"/>
        <v>14595</v>
      </c>
      <c r="DO44" s="14">
        <f t="shared" si="109"/>
        <v>21849</v>
      </c>
      <c r="DP44" s="14">
        <f t="shared" si="110"/>
        <v>29714</v>
      </c>
      <c r="DQ44" s="14">
        <f t="shared" si="111"/>
        <v>581664</v>
      </c>
      <c r="DT44" s="14">
        <f t="shared" si="105"/>
        <v>235575</v>
      </c>
      <c r="DU44" s="50">
        <f t="shared" si="7"/>
        <v>0.28825716834365467</v>
      </c>
      <c r="DW44" s="14">
        <f t="shared" si="36"/>
        <v>817239</v>
      </c>
      <c r="EB44" s="14">
        <v>39</v>
      </c>
      <c r="EC44" s="51">
        <f t="shared" si="37"/>
        <v>9692</v>
      </c>
      <c r="ED44" s="51">
        <f t="shared" si="38"/>
        <v>1427</v>
      </c>
      <c r="EE44" s="51">
        <f>INT(SUMPRODUCT($N44:$R44,$BF44:$BJ44)/SUM($BF44:$BJ44)/10000*$BX$7*$BZ$46/'疲劳值&amp;地图信息'!$R$10*$BY$53)</f>
        <v>369</v>
      </c>
      <c r="EF44" s="50">
        <f t="shared" si="39"/>
        <v>0.84366295264623958</v>
      </c>
      <c r="EG44" s="50">
        <f t="shared" si="40"/>
        <v>0.12421657381615599</v>
      </c>
      <c r="EH44" s="50">
        <f t="shared" si="41"/>
        <v>3.2120473537604458E-2</v>
      </c>
      <c r="EI44" s="51">
        <f t="shared" si="42"/>
        <v>10019</v>
      </c>
      <c r="EJ44" s="51">
        <f t="shared" si="43"/>
        <v>1908</v>
      </c>
      <c r="EK44" s="14">
        <f>INT(SUMPRODUCT($U44:$Y44,$BF44:$BJ44)/SUM($BF44:$BJ44)/10000*$BX$7*$BZ$46/'疲劳值&amp;地图信息'!$R$10*$BY$54)</f>
        <v>628</v>
      </c>
      <c r="EL44" s="50">
        <f t="shared" si="44"/>
        <v>0.79800876144962163</v>
      </c>
      <c r="EM44" s="50">
        <f t="shared" si="45"/>
        <v>0.15197132616487455</v>
      </c>
      <c r="EN44" s="50">
        <f t="shared" si="46"/>
        <v>5.0019912385503781E-2</v>
      </c>
      <c r="EO44" s="51">
        <f t="shared" si="47"/>
        <v>10633</v>
      </c>
      <c r="EP44" s="51">
        <f t="shared" si="48"/>
        <v>3105</v>
      </c>
      <c r="EQ44" s="14">
        <f>INT(SUMPRODUCT($AB44:$AF44,$BF44:$BJ44)/SUM($BF44:$BJ44)/10000*$BX$7*$BZ$46/'疲劳值&amp;地图信息'!$R$10*$BY$55)</f>
        <v>850</v>
      </c>
      <c r="ER44" s="50">
        <f t="shared" si="49"/>
        <v>0.72888675623800381</v>
      </c>
      <c r="ES44" s="50">
        <f t="shared" si="50"/>
        <v>0.21284617493830546</v>
      </c>
      <c r="ET44" s="50">
        <f t="shared" si="51"/>
        <v>5.8267068823690704E-2</v>
      </c>
      <c r="EU44" s="51">
        <f t="shared" si="52"/>
        <v>12358</v>
      </c>
      <c r="EV44" s="51">
        <f t="shared" si="53"/>
        <v>8106</v>
      </c>
      <c r="EW44" s="14">
        <f>INT(SUMPRODUCT($AI44:$AM44,$BF44:$BJ44)/SUM($BF44:$BJ44)/10000*$BX$7*$BZ$46/'疲劳值&amp;地图信息'!$R$10*$BY$56)</f>
        <v>1276</v>
      </c>
      <c r="EX44" s="50">
        <f t="shared" si="54"/>
        <v>0.56844526218951241</v>
      </c>
      <c r="EY44" s="50">
        <f t="shared" si="55"/>
        <v>0.37286108555657771</v>
      </c>
      <c r="EZ44" s="50">
        <f t="shared" si="56"/>
        <v>5.8693652253909843E-2</v>
      </c>
      <c r="FA44" s="51">
        <f t="shared" si="57"/>
        <v>12700</v>
      </c>
      <c r="FB44" s="51">
        <f t="shared" si="58"/>
        <v>15526</v>
      </c>
      <c r="FC44" s="14">
        <f>INT(SUMPRODUCT($AP44:$AT44,$BF44:$BJ44)/SUM($BF44:$BJ44)/10000*$BX$7*$BZ$46/'疲劳值&amp;地图信息'!$R$10*$BY$57)</f>
        <v>1701</v>
      </c>
      <c r="FD44" s="50">
        <f t="shared" si="59"/>
        <v>0.42436595716242859</v>
      </c>
      <c r="FE44" s="50">
        <f t="shared" si="60"/>
        <v>0.51879573629164299</v>
      </c>
      <c r="FF44" s="50">
        <f t="shared" si="61"/>
        <v>5.6838306545928426E-2</v>
      </c>
      <c r="FH44" s="14">
        <f t="shared" si="62"/>
        <v>11488</v>
      </c>
      <c r="FI44" s="14">
        <f t="shared" si="63"/>
        <v>12555</v>
      </c>
      <c r="FJ44" s="14">
        <f t="shared" si="64"/>
        <v>14588</v>
      </c>
      <c r="FK44" s="14">
        <f t="shared" si="65"/>
        <v>21740</v>
      </c>
      <c r="FL44" s="14">
        <f t="shared" si="66"/>
        <v>29927</v>
      </c>
      <c r="FM44" s="14">
        <f t="shared" si="67"/>
        <v>1324726</v>
      </c>
      <c r="FP44" s="14">
        <f t="shared" si="68"/>
        <v>334150</v>
      </c>
      <c r="FQ44" s="50">
        <f t="shared" si="8"/>
        <v>0.20143157173893647</v>
      </c>
      <c r="FS44" s="14">
        <f t="shared" si="69"/>
        <v>1658876</v>
      </c>
      <c r="FX44" s="14">
        <v>39</v>
      </c>
      <c r="FY44" s="51">
        <f t="shared" si="70"/>
        <v>13568</v>
      </c>
      <c r="FZ44" s="51">
        <f t="shared" si="71"/>
        <v>1427</v>
      </c>
      <c r="GA44" s="51">
        <f>INT(SUMPRODUCT($N44:$R44,$BF44:$BJ44)/SUM($BF44:$BJ44)/10000*$BX$7*$BZ$46/'疲劳值&amp;地图信息'!$R$10*$BY$53)</f>
        <v>369</v>
      </c>
      <c r="GB44" s="50">
        <f t="shared" si="72"/>
        <v>0.88310335850039057</v>
      </c>
      <c r="GC44" s="50">
        <f t="shared" si="73"/>
        <v>9.2879458474355636E-2</v>
      </c>
      <c r="GD44" s="50">
        <f t="shared" si="74"/>
        <v>2.4017183025253842E-2</v>
      </c>
      <c r="GE44" s="51">
        <f t="shared" si="75"/>
        <v>14027</v>
      </c>
      <c r="GF44" s="51">
        <f t="shared" si="76"/>
        <v>1908</v>
      </c>
      <c r="GG44" s="14">
        <f>INT(SUMPRODUCT($U44:$Y44,$BF44:$BJ44)/SUM($BF44:$BJ44)/10000*$BX$7*$BZ$46/'疲劳值&amp;地图信息'!$R$10*$BY$54)</f>
        <v>628</v>
      </c>
      <c r="GH44" s="50">
        <f t="shared" si="77"/>
        <v>0.84688764112781501</v>
      </c>
      <c r="GI44" s="50">
        <f t="shared" si="78"/>
        <v>0.11519652236913602</v>
      </c>
      <c r="GJ44" s="50">
        <f t="shared" si="79"/>
        <v>3.7915836503048965E-2</v>
      </c>
      <c r="GK44" s="51">
        <f t="shared" si="80"/>
        <v>14887</v>
      </c>
      <c r="GL44" s="51">
        <f t="shared" si="81"/>
        <v>3105</v>
      </c>
      <c r="GM44" s="14">
        <f>INT(SUMPRODUCT($AB44:$AF44,$BF44:$BJ44)/SUM($BF44:$BJ44)/10000*$BX$7*$BZ$46/'疲劳值&amp;地图信息'!$R$10*$BY$55)</f>
        <v>850</v>
      </c>
      <c r="GN44" s="50">
        <f t="shared" si="82"/>
        <v>0.79009659271839505</v>
      </c>
      <c r="GO44" s="50">
        <f t="shared" si="83"/>
        <v>0.16479142341577327</v>
      </c>
      <c r="GP44" s="50">
        <f t="shared" si="84"/>
        <v>4.5111983865831651E-2</v>
      </c>
      <c r="GQ44" s="51">
        <f t="shared" si="85"/>
        <v>17302</v>
      </c>
      <c r="GR44" s="51">
        <f t="shared" si="86"/>
        <v>8106</v>
      </c>
      <c r="GS44" s="14">
        <f>INT(SUMPRODUCT($AI44:$AM44,$BF44:$BJ44)/SUM($BF44:$BJ44)/10000*$BX$7*$BZ$46/'疲劳值&amp;地图信息'!$R$10*$BY$56)</f>
        <v>1276</v>
      </c>
      <c r="GT44" s="50">
        <f t="shared" si="87"/>
        <v>0.64840353770049464</v>
      </c>
      <c r="GU44" s="50">
        <f t="shared" si="88"/>
        <v>0.30377754459601258</v>
      </c>
      <c r="GV44" s="50">
        <f t="shared" si="89"/>
        <v>4.7818917703492732E-2</v>
      </c>
      <c r="GW44" s="51">
        <f t="shared" si="90"/>
        <v>17780</v>
      </c>
      <c r="GX44" s="51">
        <f t="shared" si="91"/>
        <v>15526</v>
      </c>
      <c r="GY44" s="14">
        <f>INT(SUMPRODUCT($AP44:$AT44,$BF44:$BJ44)/SUM($BF44:$BJ44)/10000*$BX$7*$BZ$46/'疲劳值&amp;地图信息'!$R$10*$BY$57)</f>
        <v>1701</v>
      </c>
      <c r="GZ44" s="50">
        <f t="shared" si="92"/>
        <v>0.50789842031593679</v>
      </c>
      <c r="HA44" s="50">
        <f t="shared" si="93"/>
        <v>0.44351129774045189</v>
      </c>
      <c r="HB44" s="50">
        <f t="shared" si="94"/>
        <v>4.8590281943611278E-2</v>
      </c>
      <c r="HD44" s="14">
        <f t="shared" si="95"/>
        <v>15364</v>
      </c>
      <c r="HE44" s="14">
        <f t="shared" si="96"/>
        <v>16563</v>
      </c>
      <c r="HF44" s="14">
        <f t="shared" si="97"/>
        <v>18842</v>
      </c>
      <c r="HG44" s="14">
        <f t="shared" si="98"/>
        <v>26684</v>
      </c>
      <c r="HH44" s="14">
        <f t="shared" si="99"/>
        <v>35007</v>
      </c>
      <c r="HI44" s="14">
        <f t="shared" si="100"/>
        <v>1744363</v>
      </c>
      <c r="HL44" s="14">
        <f t="shared" si="101"/>
        <v>430050</v>
      </c>
      <c r="HM44" s="50">
        <f t="shared" si="9"/>
        <v>0.19777751512707106</v>
      </c>
      <c r="HO44" s="14">
        <f t="shared" si="102"/>
        <v>2174413</v>
      </c>
    </row>
    <row r="45" spans="3:223" x14ac:dyDescent="0.2">
      <c r="K45" s="14">
        <v>40</v>
      </c>
      <c r="L45" s="12">
        <f>求节点(节奏总纲!D$4:D$163,标准城池设计!AB$4:AB$163,$K45)*求节点(节奏总纲!D$4:D$163,攻城基础信息!$AC$5:$AC$164,$K45)</f>
        <v>275891.19244587421</v>
      </c>
      <c r="M45" s="12">
        <f>INDEX(其他调用!$AA$5:$AA$404,MATCH(K45,其他调用!$X$5:$X$404,0))*MIN(INDEX(其他调用!$AH$5:$AH$364,MATCH('征服点（新）'!K45,其他调用!$AG$5:$AG$364,0),1)/INDEX(其他调用!$AJ$5:$AJ$364,MATCH(K45,其他调用!$AG$5:$AG$364,0),0),5)*求节点(节奏总纲!D$4:D$163,攻城基础信息!$AC$5:$AC$164,$K45)</f>
        <v>40879.888821097105</v>
      </c>
      <c r="N45" s="12">
        <f>MIN(INDEX(其他调用!$AH$5:$AH$364,MATCH($K45,其他调用!$AG$5:$AG$364,0),1)/INDEX(其他调用!AH$5:AH$364,MATCH($K45,其他调用!$AG$5:$AG$364,0),0),1)*INDEX(其他调用!Y$5:Y$404,MATCH($K45,其他调用!$X$5:$X$404,0),0)</f>
        <v>31030.860804749223</v>
      </c>
      <c r="O45" s="12">
        <f>MIN(INDEX(其他调用!$AH$5:$AH$364,MATCH($K45,其他调用!$AG$5:$AG$364,0),1)/INDEX(其他调用!AI$5:AI$364,MATCH($K45,其他调用!$AG$5:$AG$364,0),0),1)*INDEX(其他调用!Z$5:Z$404,MATCH($K45,其他调用!$X$5:$X$404,0),0)</f>
        <v>23970.627505532899</v>
      </c>
      <c r="P45" s="12">
        <f>MIN(INDEX(其他调用!$AH$5:$AH$364,MATCH($K45,其他调用!$AG$5:$AG$364,0),1)/INDEX(其他调用!AJ$5:AJ$364,MATCH($K45,其他调用!$AG$5:$AG$364,0),0),1)*INDEX(其他调用!AA$5:AA$404,MATCH($K45,其他调用!$X$5:$X$404,0),0)</f>
        <v>15609.556801798291</v>
      </c>
      <c r="Q45" s="12">
        <f>MIN(INDEX(其他调用!$AH$5:$AH$364,MATCH($K45,其他调用!$AG$5:$AG$364,0),1)/INDEX(其他调用!AK$5:AK$364,MATCH($K45,其他调用!$AG$5:$AG$364,0),0),1)*INDEX(其他调用!AB$5:AB$404,MATCH($K45,其他调用!$X$5:$X$404,0),0)</f>
        <v>6206.5588819174127</v>
      </c>
      <c r="R45" s="12">
        <f>MIN(INDEX(其他调用!$AH$5:$AH$364,MATCH($K45,其他调用!$AG$5:$AG$364,0),1)/INDEX(其他调用!AL$5:AL$364,MATCH($K45,其他调用!$AG$5:$AG$364,0),0),1)*INDEX(其他调用!AC$5:AC$404,MATCH($K45,其他调用!$X$5:$X$404,0),0)</f>
        <v>2057.2452223531959</v>
      </c>
      <c r="S45" s="12">
        <f>求节点(节奏总纲!D$4:D$163,标准城池设计!AC$4:AC$163,$K45)*求节点(节奏总纲!D$4:D$163,攻城基础信息!$AD$5:$AD$164,$K45)</f>
        <v>285231.73513787152</v>
      </c>
      <c r="T45" s="12">
        <f>INDEX(其他调用!$AA$5:$AA$404,MATCH($K45,其他调用!$X$5:$X$404,0))*MIN(INDEX(其他调用!AI$5:AI$364,MATCH($K45,其他调用!$AG$5:$AG$364,0),1)/INDEX(其他调用!$AJ$5:$AJ$364,MATCH($K45,其他调用!$AG$5:$AG$364,0),0),5)*求节点(节奏总纲!D$4:D$163,攻城基础信息!$AD$5:$AD$164,$K45)</f>
        <v>54738.66676222669</v>
      </c>
      <c r="U45" s="12">
        <f>MIN(INDEX(其他调用!$AI$5:$AI$364,MATCH($K45,其他调用!$AG$5:$AG$364,0),1)/INDEX(其他调用!AH$5:AH$364,MATCH($K45,其他调用!$AG$5:$AG$364,0),0),1)*INDEX(其他调用!Y$5:Y$404,MATCH($K45,其他调用!$X$5:$X$404,0),0)</f>
        <v>31030.860804749223</v>
      </c>
      <c r="V45" s="12">
        <f>MIN(INDEX(其他调用!$AI$5:$AI$364,MATCH($K45,其他调用!$AG$5:$AG$364,0),1)/INDEX(其他调用!AI$5:AI$364,MATCH($K45,其他调用!$AG$5:$AG$364,0),0),1)*INDEX(其他调用!Z$5:Z$404,MATCH($K45,其他调用!$X$5:$X$404,0),0)</f>
        <v>32096.960851558812</v>
      </c>
      <c r="W45" s="12">
        <f>MIN(INDEX(其他调用!$AI$5:$AI$364,MATCH($K45,其他调用!$AG$5:$AG$364,0),1)/INDEX(其他调用!AJ$5:AJ$364,MATCH($K45,其他调用!$AG$5:$AG$364,0),0),1)*INDEX(其他调用!AA$5:AA$404,MATCH($K45,其他调用!$X$5:$X$404,0),0)</f>
        <v>20901.385809022235</v>
      </c>
      <c r="X45" s="12">
        <f>MIN(INDEX(其他调用!$AI$5:$AI$364,MATCH($K45,其他调用!$AG$5:$AG$364,0),1)/INDEX(其他调用!AK$5:AK$364,MATCH($K45,其他调用!$AG$5:$AG$364,0),0),1)*INDEX(其他调用!AB$5:AB$404,MATCH($K45,其他调用!$X$5:$X$404,0),0)</f>
        <v>8310.657591663623</v>
      </c>
      <c r="Y45" s="12">
        <f>MIN(INDEX(其他调用!$AI$5:$AI$364,MATCH($K45,其他调用!$AG$5:$AG$364,0),1)/INDEX(其他调用!AL$5:AL$364,MATCH($K45,其他调用!$AG$5:$AG$364,0),0),1)*INDEX(其他调用!AC$5:AC$404,MATCH($K45,其他调用!$X$5:$X$404,0),0)</f>
        <v>2754.6762949232593</v>
      </c>
      <c r="Z45" s="12">
        <f>求节点(节奏总纲!D$4:D$163,标准城池设计!AD$4:AD$163,$K45)*求节点(节奏总纲!D$4:D$163,攻城基础信息!$AE$5:$AE$164,$K45)</f>
        <v>302474.62319439079</v>
      </c>
      <c r="AA45" s="12">
        <f>INDEX(其他调用!$AA$5:$AA$404,MATCH($K45,其他调用!$X$5:$X$404,0))*MIN(INDEX(其他调用!AJ$5:AJ$364,MATCH($K45,其他调用!$AG$5:$AG$364,0),1)/INDEX(其他调用!$AJ$5:$AJ$364,MATCH($K45,其他调用!$AG$5:$AG$364,0),0),5)*求节点(节奏总纲!D$4:D$163,攻城基础信息!$AE$5:$AE$164,$K45)</f>
        <v>87816.332853130079</v>
      </c>
      <c r="AB45" s="12">
        <f>MIN(INDEX(其他调用!$AJ$5:$AJ$364,MATCH($K45,其他调用!$AG$5:$AG$364,0),1)/INDEX(其他调用!AH$5:AH$364,MATCH($K45,其他调用!$AG$5:$AG$364,0),0),1)*INDEX(其他调用!Y$5:Y$404,MATCH($K45,其他调用!$X$5:$X$404,0),0)</f>
        <v>31030.860804749223</v>
      </c>
      <c r="AC45" s="12">
        <f>MIN(INDEX(其他调用!$AJ$5:$AJ$364,MATCH($K45,其他调用!$AG$5:$AG$364,0),1)/INDEX(其他调用!AI$5:AI$364,MATCH($K45,其他调用!$AG$5:$AG$364,0),0),1)*INDEX(其他调用!Z$5:Z$404,MATCH($K45,其他调用!$X$5:$X$404,0),0)</f>
        <v>32096.960851558812</v>
      </c>
      <c r="AD45" s="12">
        <f>MIN(INDEX(其他调用!$AJ$5:$AJ$364,MATCH($K45,其他调用!$AG$5:$AG$364,0),1)/INDEX(其他调用!AJ$5:AJ$364,MATCH($K45,其他调用!$AG$5:$AG$364,0),0),1)*INDEX(其他调用!AA$5:AA$404,MATCH($K45,其他调用!$X$5:$X$404,0),0)</f>
        <v>33531.745690294949</v>
      </c>
      <c r="AE45" s="12">
        <f>MIN(INDEX(其他调用!$AJ$5:$AJ$364,MATCH($K45,其他调用!$AG$5:$AG$364,0),1)/INDEX(其他调用!AK$5:AK$364,MATCH($K45,其他调用!$AG$5:$AG$364,0),0),1)*INDEX(其他调用!AB$5:AB$404,MATCH($K45,其他调用!$X$5:$X$404,0),0)</f>
        <v>13332.649778776553</v>
      </c>
      <c r="AF45" s="12">
        <f>MIN(INDEX(其他调用!$AJ$5:$AJ$364,MATCH($K45,其他调用!$AG$5:$AG$364,0),1)/INDEX(其他调用!AL$5:AL$364,MATCH($K45,其他调用!$AG$5:$AG$364,0),0),1)*INDEX(其他调用!AC$5:AC$404,MATCH($K45,其他调用!$X$5:$X$404,0),0)</f>
        <v>4419.2813732273607</v>
      </c>
      <c r="AG45" s="12">
        <f>求节点(节奏总纲!D$4:D$163,标准城池设计!AE$4:AE$163,$K45)*求节点(节奏总纲!D$4:D$163,攻城基础信息!$AF$5:$AF$164,$K45)</f>
        <v>350973.52960804454</v>
      </c>
      <c r="AH45" s="12">
        <f>INDEX(其他调用!$AA$5:$AA$404,MATCH($K45,其他调用!$X$5:$X$404,0))*MIN(INDEX(其他调用!AK$5:AK$364,MATCH($K45,其他调用!$AG$5:$AG$364,0),1)/INDEX(其他调用!$AJ$5:$AJ$364,MATCH($K45,其他调用!$AG$5:$AG$364,0),0),5)*求节点(节奏总纲!D$4:D$163,攻城基础信息!$AF$5:$AF$164,$K45)</f>
        <v>235054.1060494578</v>
      </c>
      <c r="AI45" s="12">
        <f>MIN(INDEX(其他调用!$AK$5:$AK$364,MATCH($K45,其他调用!$AG$5:$AG$364,0),1)/INDEX(其他调用!AH$5:AH$364,MATCH($K45,其他调用!$AG$5:$AG$364,0),0),1)*INDEX(其他调用!Y$5:Y$404,MATCH($K45,其他调用!$X$5:$X$404,0),0)</f>
        <v>31030.860804749223</v>
      </c>
      <c r="AJ45" s="12">
        <f>MIN(INDEX(其他调用!$AK$5:$AK$364,MATCH($K45,其他调用!$AG$5:$AG$364,0),1)/INDEX(其他调用!AI$5:AI$364,MATCH($K45,其他调用!$AG$5:$AG$364,0),0),1)*INDEX(其他调用!Z$5:Z$404,MATCH($K45,其他调用!$X$5:$X$404,0),0)</f>
        <v>32096.960851558812</v>
      </c>
      <c r="AK45" s="12">
        <f>MIN(INDEX(其他调用!$AK$5:$AK$364,MATCH($K45,其他调用!$AG$5:$AG$364,0),1)/INDEX(其他调用!AJ$5:AJ$364,MATCH($K45,其他调用!$AG$5:$AG$364,0),0),1)*INDEX(其他调用!AA$5:AA$404,MATCH($K45,其他调用!$X$5:$X$404,0),0)</f>
        <v>33531.745690294949</v>
      </c>
      <c r="AL45" s="12">
        <f>MIN(INDEX(其他调用!$AK$5:$AK$364,MATCH($K45,其他调用!$AG$5:$AG$364,0),1)/INDEX(其他调用!AK$5:AK$364,MATCH($K45,其他调用!$AG$5:$AG$364,0),0),1)*INDEX(其他调用!AB$5:AB$404,MATCH($K45,其他调用!$X$5:$X$404,0),0)</f>
        <v>35686.915784358229</v>
      </c>
      <c r="AM45" s="12">
        <f>MIN(INDEX(其他调用!$AK$5:$AK$364,MATCH($K45,其他调用!$AG$5:$AG$364,0),1)/INDEX(其他调用!AL$5:AL$364,MATCH($K45,其他调用!$AG$5:$AG$364,0),0),1)*INDEX(其他调用!AC$5:AC$404,MATCH($K45,其他调用!$X$5:$X$404,0),0)</f>
        <v>11828.895591692339</v>
      </c>
      <c r="AN45" s="12">
        <f>求节点(节奏总纲!D$4:D$163,标准城池设计!AF$4:AF$163,$K45)*求节点(节奏总纲!D$4:D$163,攻城基础信息!$AG$5:$AG$164,$K45)</f>
        <v>360828.45124481298</v>
      </c>
      <c r="AO45" s="12">
        <f>INDEX(其他调用!$AA$5:$AA$404,MATCH($K45,其他调用!$X$5:$X$404,0))*MIN(INDEX(其他调用!AL$5:AL$364,MATCH($K45,其他调用!$AG$5:$AG$364,0),1)/INDEX(其他调用!$AJ$5:$AJ$364,MATCH($K45,其他调用!$AG$5:$AG$364,0),0),5)*求节点(节奏总纲!D$4:D$163,攻城基础信息!$AG$5:$AG$164,$K45)</f>
        <v>439081.66426565044</v>
      </c>
      <c r="AP45" s="12">
        <f>MIN(INDEX(其他调用!$AL$5:$AL$364,MATCH($K45,其他调用!$AG$5:$AG$364,0),1)/INDEX(其他调用!AH$5:AH$364,MATCH($K45,其他调用!$AG$5:$AG$364,0),0),1)*INDEX(其他调用!Y$5:Y$404,MATCH($K45,其他调用!$X$5:$X$404,0),0)</f>
        <v>31030.860804749223</v>
      </c>
      <c r="AQ45" s="12">
        <f>MIN(INDEX(其他调用!$AL$5:$AL$364,MATCH($K45,其他调用!$AG$5:$AG$364,0),1)/INDEX(其他调用!AI$5:AI$364,MATCH($K45,其他调用!$AG$5:$AG$364,0),0),1)*INDEX(其他调用!Z$5:Z$404,MATCH($K45,其他调用!$X$5:$X$404,0),0)</f>
        <v>32096.960851558812</v>
      </c>
      <c r="AR45" s="12">
        <f>MIN(INDEX(其他调用!$AL$5:$AL$364,MATCH($K45,其他调用!$AG$5:$AG$364,0),1)/INDEX(其他调用!AJ$5:AJ$364,MATCH($K45,其他调用!$AG$5:$AG$364,0),0),1)*INDEX(其他调用!AA$5:AA$404,MATCH($K45,其他调用!$X$5:$X$404,0),0)</f>
        <v>33531.745690294949</v>
      </c>
      <c r="AS45" s="12">
        <f>MIN(INDEX(其他调用!$AL$5:$AL$364,MATCH($K45,其他调用!$AG$5:$AG$364,0),1)/INDEX(其他调用!AK$5:AK$364,MATCH($K45,其他调用!$AG$5:$AG$364,0),0),1)*INDEX(其他调用!AB$5:AB$404,MATCH($K45,其他调用!$X$5:$X$404,0),0)</f>
        <v>35686.915784358229</v>
      </c>
      <c r="AT45" s="12">
        <f>MIN(INDEX(其他调用!$AL$5:$AL$364,MATCH($K45,其他调用!$AG$5:$AG$364,0),1)/INDEX(其他调用!AL$5:AL$364,MATCH($K45,其他调用!$AG$5:$AG$364,0),0),1)*INDEX(其他调用!AC$5:AC$404,MATCH($K45,其他调用!$X$5:$X$404,0),0)</f>
        <v>39510.095067087808</v>
      </c>
      <c r="AV45" s="14">
        <f>IF(OR(AV$5="大R",AV$5="超R"),MAX(INDEX(其他调用!$H$5:$L$404,MATCH($K45,其他调用!$B$5:$B$404,0),MATCH(AV$5,其他调用!$H$4:$L$4,0))*120*0.85,2),INDEX(其他调用!$H$5:$L$404,MATCH($K45,其他调用!$B$5:$B$404,0),MATCH(AV$5,其他调用!$H$4:$L$4,0))*120*0.85)</f>
        <v>53.668562481818206</v>
      </c>
      <c r="AW45" s="14">
        <f>IF(OR(AW$5="大R",AW$5="超R"),MAX(INDEX(其他调用!$H$5:$L$404,MATCH($K45,其他调用!$B$5:$B$404,0),MATCH(AW$5,其他调用!$H$4:$L$4,0))*120*0.85,2),INDEX(其他调用!$H$5:$L$404,MATCH($K45,其他调用!$B$5:$B$404,0),MATCH(AW$5,其他调用!$H$4:$L$4,0))*120*0.85)</f>
        <v>43.733877049701796</v>
      </c>
      <c r="AX45" s="14">
        <f>IF(OR(AX$5="大R",AX$5="超R"),MAX(INDEX(其他调用!$H$5:$L$404,MATCH($K45,其他调用!$B$5:$B$404,0),MATCH(AX$5,其他调用!$H$4:$L$4,0))*120*0.85,2),INDEX(其他调用!$H$5:$L$404,MATCH($K45,其他调用!$B$5:$B$404,0),MATCH(AX$5,其他调用!$H$4:$L$4,0))*120*0.85)</f>
        <v>3.8287252684799999</v>
      </c>
      <c r="AY45" s="14">
        <f>IF(OR(AY$5="大R",AY$5="超R"),MAX(INDEX(其他调用!$H$5:$L$404,MATCH($K45,其他调用!$B$5:$B$404,0),MATCH(AY$5,其他调用!$H$4:$L$4,0))*120*0.85,2),INDEX(其他调用!$H$5:$L$404,MATCH($K45,其他调用!$B$5:$B$404,0),MATCH(AY$5,其他调用!$H$4:$L$4,0))*120*0.85)</f>
        <v>2</v>
      </c>
      <c r="AZ45" s="14">
        <f>IF(OR(AZ$5="大R",AZ$5="超R"),MAX(INDEX(其他调用!$H$5:$L$404,MATCH($K45,其他调用!$B$5:$B$404,0),MATCH(AZ$5,其他调用!$H$4:$L$4,0))*120*0.85,2),INDEX(其他调用!$H$5:$L$404,MATCH($K45,其他调用!$B$5:$B$404,0),MATCH(AZ$5,其他调用!$H$4:$L$4,0))*120*0.85)</f>
        <v>2</v>
      </c>
      <c r="BA45" s="14">
        <f>INDEX(其他调用!$H$5:$L$404,MATCH($K45,其他调用!$B$5:$B$404,0),MATCH(BA$5,其他调用!$H$4:$L$4,0))*INDEX(其他调用!$M$5:$M$404,MATCH($K45,其他调用!$B$5:$B$404,0))*0.6</f>
        <v>28.545693604880395</v>
      </c>
      <c r="BB45" s="14">
        <f>INDEX(其他调用!$H$5:$L$404,MATCH($K45,其他调用!$B$5:$B$404,0),MATCH(BB$5,其他调用!$H$4:$L$4,0))*INDEX(其他调用!$M$5:$M$404,MATCH($K45,其他调用!$B$5:$B$404,0))*0.6</f>
        <v>23.261548226435817</v>
      </c>
      <c r="BC45" s="14">
        <f>INDEX(其他调用!$H$5:$L$404,MATCH($K45,其他调用!$B$5:$B$404,0),MATCH(BC$5,其他调用!$H$4:$L$4,0))*INDEX(其他调用!$M$5:$M$404,MATCH($K45,其他调用!$B$5:$B$404,0))*0.6</f>
        <v>2.036455111841684</v>
      </c>
      <c r="BD45" s="14">
        <f>INDEX(其他调用!$H$5:$L$404,MATCH($K45,其他调用!$B$5:$B$404,0),MATCH(BD$5,其他调用!$H$4:$L$4,0))*INDEX(其他调用!$M$5:$M$404,MATCH($K45,其他调用!$B$5:$B$404,0))*0.6</f>
        <v>0.32560259368421063</v>
      </c>
      <c r="BE45" s="14">
        <f>INDEX(其他调用!$H$5:$L$404,MATCH($K45,其他调用!$B$5:$B$404,0),MATCH(BE$5,其他调用!$H$4:$L$4,0))*INDEX(其他调用!$M$5:$M$404,MATCH($K45,其他调用!$B$5:$B$404,0))*0.6</f>
        <v>8.3332042105263154E-2</v>
      </c>
      <c r="BF45" s="14">
        <f>IF(OR(BF$5="大R",BF$5="超R"),0,INDEX(其他调用!$H$5:$L$404,MATCH($K45,其他调用!$B$5:$B$404,0),MATCH(BF$5,其他调用!$H$4:$L$4,0))*50*0.4)</f>
        <v>10.523247545454552</v>
      </c>
      <c r="BG45" s="14">
        <f>IF(OR(BG$5="大R",BG$5="超R"),0,INDEX(其他调用!$H$5:$L$404,MATCH($K45,其他调用!$B$5:$B$404,0),MATCH(BG$5,其他调用!$H$4:$L$4,0))*50*0.4)</f>
        <v>8.5752700097454504</v>
      </c>
      <c r="BH45" s="14">
        <f>IF(OR(BH$5="大R",BH$5="超R"),0,INDEX(其他调用!$H$5:$L$404,MATCH($K45,其他调用!$B$5:$B$404,0),MATCH(BH$5,其他调用!$H$4:$L$4,0))*50*0.4)</f>
        <v>0.75073044480000006</v>
      </c>
      <c r="BI45" s="14">
        <f>IF(OR(BI$5="大R",BI$5="超R"),0,INDEX(其他调用!$H$5:$L$404,MATCH($K45,其他调用!$B$5:$B$404,0),MATCH(BI$5,其他调用!$H$4:$L$4,0))*50*0.4)</f>
        <v>0</v>
      </c>
      <c r="BJ45" s="14">
        <f>IF(OR(BJ$5="大R",BJ$5="超R"),0,INDEX(其他调用!$H$5:$L$404,MATCH($K45,其他调用!$B$5:$B$404,0),MATCH(BJ$5,其他调用!$H$4:$L$4,0))*50*0.4)</f>
        <v>0</v>
      </c>
      <c r="BL45" s="14">
        <f t="shared" si="103"/>
        <v>40</v>
      </c>
      <c r="BM45" s="14">
        <f t="shared" si="10"/>
        <v>96</v>
      </c>
      <c r="BN45" s="14">
        <f>('疲劳值&amp;地图信息'!$S$10*'疲劳值&amp;地图信息'!$R$10+'疲劳值&amp;地图信息'!$S$11*'疲劳值&amp;地图信息'!$R$11+'疲劳值&amp;地图信息'!$S$12*'疲劳值&amp;地图信息'!$R$12+(BM45-'疲劳值&amp;地图信息'!$S$12-'疲劳值&amp;地图信息'!$S$11-'疲劳值&amp;地图信息'!$S$10)*'疲劳值&amp;地图信息'!$R$13)/BM45</f>
        <v>51.371477246638619</v>
      </c>
      <c r="BO45" s="14">
        <f>INDEX(其他调用!$M$5:$M$404,MATCH(BL45,其他调用!$B$5:$B$404,0))*0.6</f>
        <v>54.252631578947366</v>
      </c>
      <c r="BP45" s="14">
        <f>IF(BO45&gt;SUM('疲劳值&amp;地图信息'!$S$10:$S$12),('疲劳值&amp;地图信息'!$S$10*'疲劳值&amp;地图信息'!$R$10+'疲劳值&amp;地图信息'!$S$11*'疲劳值&amp;地图信息'!$R$11+'疲劳值&amp;地图信息'!$S$12*'疲劳值&amp;地图信息'!$R$12+(BO45-'疲劳值&amp;地图信息'!$S$12-'疲劳值&amp;地图信息'!$S$11-'疲劳值&amp;地图信息'!$S$10)*'疲劳值&amp;地图信息'!$R$13)/BO45,('疲劳值&amp;地图信息'!$S$10*'疲劳值&amp;地图信息'!$R$10+'疲劳值&amp;地图信息'!$S$11*'疲劳值&amp;地图信息'!$R$11+'疲劳值&amp;地图信息'!$S$12*'疲劳值&amp;地图信息'!$R$12+(BO45-'疲劳值&amp;地图信息'!$S$12-'疲劳值&amp;地图信息'!$S$11-'疲劳值&amp;地图信息'!$S$10)*'疲劳值&amp;地图信息'!$R$13)/BO45)</f>
        <v>42.120374533742627</v>
      </c>
      <c r="BQ45" s="14">
        <f t="shared" si="104"/>
        <v>20</v>
      </c>
      <c r="BR45" s="14">
        <f>('疲劳值&amp;地图信息'!$S$10*'疲劳值&amp;地图信息'!$R$10+($BQ45-'疲劳值&amp;地图信息'!$S$10)*'疲劳值&amp;地图信息'!$R$11)/$BQ45</f>
        <v>32.067203015074995</v>
      </c>
      <c r="BW45" s="14" t="s">
        <v>465</v>
      </c>
      <c r="BX45" s="14" t="s">
        <v>466</v>
      </c>
      <c r="BY45" s="14" t="s">
        <v>459</v>
      </c>
      <c r="BZ45" s="14" t="s">
        <v>467</v>
      </c>
      <c r="CF45" s="14">
        <v>40</v>
      </c>
      <c r="CG45" s="51">
        <f t="shared" si="11"/>
        <v>5895</v>
      </c>
      <c r="CH45" s="51">
        <f t="shared" si="12"/>
        <v>873</v>
      </c>
      <c r="CI45" s="51">
        <f>INT(SUMPRODUCT($N45:$R45,$BA45:$BE45)/SUM($BA45:$BE45)/10000*$BX$7*$BZ$34/'疲劳值&amp;地图信息'!$R$10*$BY$53)</f>
        <v>2763</v>
      </c>
      <c r="CJ45" s="50">
        <f t="shared" si="13"/>
        <v>0.61850802644003777</v>
      </c>
      <c r="CK45" s="50">
        <f t="shared" si="14"/>
        <v>9.1595845136921622E-2</v>
      </c>
      <c r="CL45" s="50">
        <f t="shared" si="15"/>
        <v>0.28989612842304058</v>
      </c>
      <c r="CM45" s="14">
        <f t="shared" si="16"/>
        <v>6094</v>
      </c>
      <c r="CN45" s="14">
        <f t="shared" si="17"/>
        <v>1169</v>
      </c>
      <c r="CO45" s="14">
        <f>INT(SUMPRODUCT($U45:$Y45,$BA45:$BE45)/SUM($BA45:$BE45)/10000*$BX$7*$BZ$34/'疲劳值&amp;地图信息'!$R$10*$BY$54)</f>
        <v>4707</v>
      </c>
      <c r="CP45" s="50">
        <f t="shared" si="18"/>
        <v>0.50910609857978284</v>
      </c>
      <c r="CQ45" s="50">
        <f t="shared" si="19"/>
        <v>9.7660818713450295E-2</v>
      </c>
      <c r="CR45" s="50">
        <f t="shared" si="20"/>
        <v>0.39323308270676693</v>
      </c>
      <c r="CS45" s="14">
        <f t="shared" si="21"/>
        <v>6463</v>
      </c>
      <c r="CT45" s="14">
        <f t="shared" si="22"/>
        <v>1876</v>
      </c>
      <c r="CU45" s="14">
        <f>INT(SUMPRODUCT($AB45:$AF45,$BA45:$BE45)/SUM($BA45:$BE45)/10000*$BX$7*$BZ$34/'疲劳值&amp;地图信息'!$R$10*$BY$55)</f>
        <v>6379</v>
      </c>
      <c r="CV45" s="50">
        <f t="shared" si="23"/>
        <v>0.43912216333741</v>
      </c>
      <c r="CW45" s="50">
        <f t="shared" si="24"/>
        <v>0.12746297051229788</v>
      </c>
      <c r="CX45" s="50">
        <f t="shared" si="25"/>
        <v>0.43341486615029218</v>
      </c>
      <c r="CY45" s="14">
        <f t="shared" si="26"/>
        <v>7499</v>
      </c>
      <c r="CZ45" s="14">
        <f t="shared" si="27"/>
        <v>5022</v>
      </c>
      <c r="DA45" s="14">
        <f>INT(SUMPRODUCT($AI45:$AM45,$BA45:$BE45)/SUM($BA45:$BE45)/10000*$BX$7*$BZ$34/'疲劳值&amp;地图信息'!$R$10*$BY$56)</f>
        <v>9613</v>
      </c>
      <c r="DB45" s="50">
        <f t="shared" si="28"/>
        <v>0.33880003614348964</v>
      </c>
      <c r="DC45" s="50">
        <f t="shared" si="29"/>
        <v>0.22689075630252101</v>
      </c>
      <c r="DD45" s="50">
        <f t="shared" si="30"/>
        <v>0.43430920755398933</v>
      </c>
      <c r="DE45" s="14">
        <f t="shared" si="31"/>
        <v>7709</v>
      </c>
      <c r="DF45" s="14">
        <f t="shared" si="32"/>
        <v>9382</v>
      </c>
      <c r="DG45" s="14">
        <f>INT(SUMPRODUCT($AP45:$AT45,$BA45:$BE45)/SUM($BA45:$BE45)/10000*$BX$7*$BZ$34/'疲劳值&amp;地图信息'!$R$10*$BY$57)</f>
        <v>12834</v>
      </c>
      <c r="DH45" s="50">
        <f t="shared" si="33"/>
        <v>0.25761069340016707</v>
      </c>
      <c r="DI45" s="50">
        <f t="shared" si="34"/>
        <v>0.31351712614870508</v>
      </c>
      <c r="DJ45" s="50">
        <f t="shared" si="35"/>
        <v>0.42887218045112779</v>
      </c>
      <c r="DL45" s="14">
        <f t="shared" si="106"/>
        <v>9531</v>
      </c>
      <c r="DM45" s="14">
        <f t="shared" si="107"/>
        <v>11970</v>
      </c>
      <c r="DN45" s="14">
        <f t="shared" si="108"/>
        <v>14718</v>
      </c>
      <c r="DO45" s="14">
        <f t="shared" si="109"/>
        <v>22134</v>
      </c>
      <c r="DP45" s="14">
        <f t="shared" si="110"/>
        <v>29925</v>
      </c>
      <c r="DQ45" s="14">
        <f t="shared" si="111"/>
        <v>590182</v>
      </c>
      <c r="DT45" s="14">
        <f t="shared" si="105"/>
        <v>235575</v>
      </c>
      <c r="DU45" s="50">
        <f t="shared" si="7"/>
        <v>0.28528368515192726</v>
      </c>
      <c r="DW45" s="14">
        <f t="shared" si="36"/>
        <v>825757</v>
      </c>
      <c r="EB45" s="14">
        <v>40</v>
      </c>
      <c r="EC45" s="51">
        <f t="shared" si="37"/>
        <v>9825</v>
      </c>
      <c r="ED45" s="51">
        <f t="shared" si="38"/>
        <v>1455</v>
      </c>
      <c r="EE45" s="51">
        <f>INT(SUMPRODUCT($N45:$R45,$BF45:$BJ45)/SUM($BF45:$BJ45)/10000*$BX$7*$BZ$46/'疲劳值&amp;地图信息'!$R$10*$BY$53)</f>
        <v>370</v>
      </c>
      <c r="EF45" s="50">
        <f t="shared" si="39"/>
        <v>0.8433476394849786</v>
      </c>
      <c r="EG45" s="50">
        <f t="shared" si="40"/>
        <v>0.12489270386266095</v>
      </c>
      <c r="EH45" s="50">
        <f t="shared" si="41"/>
        <v>3.1759656652360517E-2</v>
      </c>
      <c r="EI45" s="51">
        <f t="shared" si="42"/>
        <v>10157</v>
      </c>
      <c r="EJ45" s="51">
        <f t="shared" si="43"/>
        <v>1949</v>
      </c>
      <c r="EK45" s="14">
        <f>INT(SUMPRODUCT($U45:$Y45,$BF45:$BJ45)/SUM($BF45:$BJ45)/10000*$BX$7*$BZ$46/'疲劳值&amp;地图信息'!$R$10*$BY$54)</f>
        <v>631</v>
      </c>
      <c r="EL45" s="50">
        <f t="shared" si="44"/>
        <v>0.79744052759676531</v>
      </c>
      <c r="EM45" s="50">
        <f t="shared" si="45"/>
        <v>0.1530187642301955</v>
      </c>
      <c r="EN45" s="50">
        <f t="shared" si="46"/>
        <v>4.9540708173039176E-2</v>
      </c>
      <c r="EO45" s="51">
        <f t="shared" si="47"/>
        <v>10771</v>
      </c>
      <c r="EP45" s="51">
        <f t="shared" si="48"/>
        <v>3127</v>
      </c>
      <c r="EQ45" s="14">
        <f>INT(SUMPRODUCT($AB45:$AF45,$BF45:$BJ45)/SUM($BF45:$BJ45)/10000*$BX$7*$BZ$46/'疲劳值&amp;地图信息'!$R$10*$BY$55)</f>
        <v>854</v>
      </c>
      <c r="ER45" s="50">
        <f t="shared" si="49"/>
        <v>0.73013828633405642</v>
      </c>
      <c r="ES45" s="50">
        <f t="shared" si="50"/>
        <v>0.21197125813449025</v>
      </c>
      <c r="ET45" s="50">
        <f t="shared" si="51"/>
        <v>5.7890455531453361E-2</v>
      </c>
      <c r="EU45" s="51">
        <f t="shared" si="52"/>
        <v>12498</v>
      </c>
      <c r="EV45" s="51">
        <f t="shared" si="53"/>
        <v>8370</v>
      </c>
      <c r="EW45" s="14">
        <f>INT(SUMPRODUCT($AI45:$AM45,$BF45:$BJ45)/SUM($BF45:$BJ45)/10000*$BX$7*$BZ$46/'疲劳值&amp;地图信息'!$R$10*$BY$56)</f>
        <v>1281</v>
      </c>
      <c r="EX45" s="50">
        <f t="shared" si="54"/>
        <v>0.56426926723554116</v>
      </c>
      <c r="EY45" s="50">
        <f t="shared" si="55"/>
        <v>0.37789516456724909</v>
      </c>
      <c r="EZ45" s="50">
        <f t="shared" si="56"/>
        <v>5.7835568197209808E-2</v>
      </c>
      <c r="FA45" s="51">
        <f t="shared" si="57"/>
        <v>12849</v>
      </c>
      <c r="FB45" s="51">
        <f t="shared" si="58"/>
        <v>15636</v>
      </c>
      <c r="FC45" s="14">
        <f>INT(SUMPRODUCT($AP45:$AT45,$BF45:$BJ45)/SUM($BF45:$BJ45)/10000*$BX$7*$BZ$46/'疲劳值&amp;地图信息'!$R$10*$BY$57)</f>
        <v>1709</v>
      </c>
      <c r="FD45" s="50">
        <f t="shared" si="59"/>
        <v>0.42554812214347221</v>
      </c>
      <c r="FE45" s="50">
        <f t="shared" si="60"/>
        <v>0.51785122872093792</v>
      </c>
      <c r="FF45" s="50">
        <f t="shared" si="61"/>
        <v>5.6600649135589855E-2</v>
      </c>
      <c r="FH45" s="14">
        <f t="shared" si="62"/>
        <v>11650</v>
      </c>
      <c r="FI45" s="14">
        <f t="shared" si="63"/>
        <v>12737</v>
      </c>
      <c r="FJ45" s="14">
        <f t="shared" si="64"/>
        <v>14752</v>
      </c>
      <c r="FK45" s="14">
        <f t="shared" si="65"/>
        <v>22149</v>
      </c>
      <c r="FL45" s="14">
        <f t="shared" si="66"/>
        <v>30194</v>
      </c>
      <c r="FM45" s="14">
        <f t="shared" si="67"/>
        <v>1343444</v>
      </c>
      <c r="FP45" s="14">
        <f t="shared" si="68"/>
        <v>334150</v>
      </c>
      <c r="FQ45" s="50">
        <f t="shared" si="8"/>
        <v>0.19918406956629553</v>
      </c>
      <c r="FS45" s="14">
        <f t="shared" si="69"/>
        <v>1677594</v>
      </c>
      <c r="FX45" s="14">
        <v>40</v>
      </c>
      <c r="FY45" s="51">
        <f t="shared" si="70"/>
        <v>13755</v>
      </c>
      <c r="FZ45" s="51">
        <f t="shared" si="71"/>
        <v>1455</v>
      </c>
      <c r="GA45" s="51">
        <f>INT(SUMPRODUCT($N45:$R45,$BF45:$BJ45)/SUM($BF45:$BJ45)/10000*$BX$7*$BZ$46/'疲劳值&amp;地图信息'!$R$10*$BY$53)</f>
        <v>370</v>
      </c>
      <c r="GB45" s="50">
        <f t="shared" si="72"/>
        <v>0.88286264441591789</v>
      </c>
      <c r="GC45" s="50">
        <f t="shared" si="73"/>
        <v>9.338896020539153E-2</v>
      </c>
      <c r="GD45" s="50">
        <f t="shared" si="74"/>
        <v>2.3748395378690629E-2</v>
      </c>
      <c r="GE45" s="51">
        <f t="shared" si="75"/>
        <v>14220</v>
      </c>
      <c r="GF45" s="51">
        <f t="shared" si="76"/>
        <v>1949</v>
      </c>
      <c r="GG45" s="14">
        <f>INT(SUMPRODUCT($U45:$Y45,$BF45:$BJ45)/SUM($BF45:$BJ45)/10000*$BX$7*$BZ$46/'疲劳值&amp;地图信息'!$R$10*$BY$54)</f>
        <v>631</v>
      </c>
      <c r="GH45" s="50">
        <f t="shared" si="77"/>
        <v>0.84642857142857142</v>
      </c>
      <c r="GI45" s="50">
        <f t="shared" si="78"/>
        <v>0.11601190476190476</v>
      </c>
      <c r="GJ45" s="50">
        <f t="shared" si="79"/>
        <v>3.7559523809523807E-2</v>
      </c>
      <c r="GK45" s="51">
        <f t="shared" si="80"/>
        <v>15080</v>
      </c>
      <c r="GL45" s="51">
        <f t="shared" si="81"/>
        <v>3127</v>
      </c>
      <c r="GM45" s="14">
        <f>INT(SUMPRODUCT($AB45:$AF45,$BF45:$BJ45)/SUM($BF45:$BJ45)/10000*$BX$7*$BZ$46/'疲劳值&amp;地图信息'!$R$10*$BY$55)</f>
        <v>854</v>
      </c>
      <c r="GN45" s="50">
        <f t="shared" si="82"/>
        <v>0.7911442211846178</v>
      </c>
      <c r="GO45" s="50">
        <f t="shared" si="83"/>
        <v>0.16405225329206233</v>
      </c>
      <c r="GP45" s="50">
        <f t="shared" si="84"/>
        <v>4.480352552331987E-2</v>
      </c>
      <c r="GQ45" s="51">
        <f t="shared" si="85"/>
        <v>17498</v>
      </c>
      <c r="GR45" s="51">
        <f t="shared" si="86"/>
        <v>8370</v>
      </c>
      <c r="GS45" s="14">
        <f>INT(SUMPRODUCT($AI45:$AM45,$BF45:$BJ45)/SUM($BF45:$BJ45)/10000*$BX$7*$BZ$46/'疲劳值&amp;地图信息'!$R$10*$BY$56)</f>
        <v>1281</v>
      </c>
      <c r="GT45" s="50">
        <f t="shared" si="87"/>
        <v>0.64451729345463926</v>
      </c>
      <c r="GU45" s="50">
        <f t="shared" si="88"/>
        <v>0.30829864820067038</v>
      </c>
      <c r="GV45" s="50">
        <f t="shared" si="89"/>
        <v>4.7184058344690409E-2</v>
      </c>
      <c r="GW45" s="51">
        <f t="shared" si="90"/>
        <v>17989</v>
      </c>
      <c r="GX45" s="51">
        <f t="shared" si="91"/>
        <v>15636</v>
      </c>
      <c r="GY45" s="14">
        <f>INT(SUMPRODUCT($AP45:$AT45,$BF45:$BJ45)/SUM($BF45:$BJ45)/10000*$BX$7*$BZ$46/'疲劳值&amp;地图信息'!$R$10*$BY$57)</f>
        <v>1709</v>
      </c>
      <c r="GZ45" s="50">
        <f t="shared" si="92"/>
        <v>0.50911303560310184</v>
      </c>
      <c r="HA45" s="50">
        <f t="shared" si="93"/>
        <v>0.44251995245372727</v>
      </c>
      <c r="HB45" s="50">
        <f t="shared" si="94"/>
        <v>4.8367011943170883E-2</v>
      </c>
      <c r="HD45" s="14">
        <f t="shared" si="95"/>
        <v>15580</v>
      </c>
      <c r="HE45" s="14">
        <f t="shared" si="96"/>
        <v>16800</v>
      </c>
      <c r="HF45" s="14">
        <f t="shared" si="97"/>
        <v>19061</v>
      </c>
      <c r="HG45" s="14">
        <f t="shared" si="98"/>
        <v>27149</v>
      </c>
      <c r="HH45" s="14">
        <f t="shared" si="99"/>
        <v>35334</v>
      </c>
      <c r="HI45" s="14">
        <f t="shared" si="100"/>
        <v>1768830</v>
      </c>
      <c r="HL45" s="14">
        <f t="shared" si="101"/>
        <v>430050</v>
      </c>
      <c r="HM45" s="50">
        <f t="shared" si="9"/>
        <v>0.19557683911809648</v>
      </c>
      <c r="HO45" s="14">
        <f t="shared" si="102"/>
        <v>2198880</v>
      </c>
    </row>
    <row r="46" spans="3:223" x14ac:dyDescent="0.2">
      <c r="K46" s="14">
        <v>41</v>
      </c>
      <c r="L46" s="12">
        <f>求节点(节奏总纲!D$4:D$163,标准城池设计!AB$4:AB$163,$K46)*求节点(节奏总纲!D$4:D$163,攻城基础信息!$AC$5:$AC$164,$K46)</f>
        <v>280097.2969912432</v>
      </c>
      <c r="M46" s="12">
        <f>INDEX(其他调用!$AA$5:$AA$404,MATCH(K46,其他调用!$X$5:$X$404,0))*MIN(INDEX(其他调用!$AH$5:$AH$364,MATCH('征服点（新）'!K46,其他调用!$AG$5:$AG$364,0),1)/INDEX(其他调用!$AJ$5:$AJ$364,MATCH(K46,其他调用!$AG$5:$AG$364,0),0),5)*求节点(节奏总纲!D$4:D$163,攻城基础信息!$AC$5:$AC$164,$K46)</f>
        <v>41741.180193190601</v>
      </c>
      <c r="N46" s="12">
        <f>MIN(INDEX(其他调用!$AH$5:$AH$364,MATCH($K46,其他调用!$AG$5:$AG$364,0),1)/INDEX(其他调用!AH$5:AH$364,MATCH($K46,其他调用!$AG$5:$AG$364,0),0),1)*INDEX(其他调用!Y$5:Y$404,MATCH($K46,其他调用!$X$5:$X$404,0),0)</f>
        <v>31165.079008138018</v>
      </c>
      <c r="O46" s="12">
        <f>MIN(INDEX(其他调用!$AH$5:$AH$364,MATCH($K46,其他调用!$AG$5:$AG$364,0),1)/INDEX(其他调用!AI$5:AI$364,MATCH($K46,其他调用!$AG$5:$AG$364,0),0),1)*INDEX(其他调用!Z$5:Z$404,MATCH($K46,其他调用!$X$5:$X$404,0),0)</f>
        <v>24039.761672500739</v>
      </c>
      <c r="P46" s="12">
        <f>MIN(INDEX(其他调用!$AH$5:$AH$364,MATCH($K46,其他调用!$AG$5:$AG$364,0),1)/INDEX(其他调用!AJ$5:AJ$364,MATCH($K46,其他调用!$AG$5:$AG$364,0),0),1)*INDEX(其他调用!AA$5:AA$404,MATCH($K46,其他调用!$X$5:$X$404,0),0)</f>
        <v>15867.009908357813</v>
      </c>
      <c r="Q46" s="12">
        <f>MIN(INDEX(其他调用!$AH$5:$AH$364,MATCH($K46,其他调用!$AG$5:$AG$364,0),1)/INDEX(其他调用!AK$5:AK$364,MATCH($K46,其他调用!$AG$5:$AG$364,0),0),1)*INDEX(其他调用!AB$5:AB$404,MATCH($K46,其他调用!$X$5:$X$404,0),0)</f>
        <v>6157.4885095412938</v>
      </c>
      <c r="R46" s="12">
        <f>MIN(INDEX(其他调用!$AH$5:$AH$364,MATCH($K46,其他调用!$AG$5:$AG$364,0),1)/INDEX(其他调用!AL$5:AL$364,MATCH($K46,其他调用!$AG$5:$AG$364,0),0),1)*INDEX(其他调用!AC$5:AC$404,MATCH($K46,其他调用!$X$5:$X$404,0),0)</f>
        <v>2048.9278438863776</v>
      </c>
      <c r="S46" s="12">
        <f>求节点(节奏总纲!D$4:D$163,标准城池设计!AC$4:AC$163,$K46)*求节点(节奏总纲!D$4:D$163,攻城基础信息!$AD$5:$AD$164,$K46)</f>
        <v>289589.64652506885</v>
      </c>
      <c r="T46" s="12">
        <f>INDEX(其他调用!$AA$5:$AA$404,MATCH($K46,其他调用!$X$5:$X$404,0))*MIN(INDEX(其他调用!AI$5:AI$364,MATCH($K46,其他调用!$AG$5:$AG$364,0),1)/INDEX(其他调用!$AJ$5:$AJ$364,MATCH($K46,其他调用!$AG$5:$AG$364,0),0),5)*求节点(节奏总纲!D$4:D$163,攻城基础信息!$AD$5:$AD$164,$K46)</f>
        <v>55969.394135669507</v>
      </c>
      <c r="U46" s="12">
        <f>MIN(INDEX(其他调用!$AI$5:$AI$364,MATCH($K46,其他调用!$AG$5:$AG$364,0),1)/INDEX(其他调用!AH$5:AH$364,MATCH($K46,其他调用!$AG$5:$AG$364,0),0),1)*INDEX(其他调用!Y$5:Y$404,MATCH($K46,其他调用!$X$5:$X$404,0),0)</f>
        <v>31165.079008138018</v>
      </c>
      <c r="V46" s="12">
        <f>MIN(INDEX(其他调用!$AI$5:$AI$364,MATCH($K46,其他调用!$AG$5:$AG$364,0),1)/INDEX(其他调用!AI$5:AI$364,MATCH($K46,其他调用!$AG$5:$AG$364,0),0),1)*INDEX(其他调用!Z$5:Z$404,MATCH($K46,其他调用!$X$5:$X$404,0),0)</f>
        <v>32234.136403149671</v>
      </c>
      <c r="W46" s="12">
        <f>MIN(INDEX(其他调用!$AI$5:$AI$364,MATCH($K46,其他调用!$AG$5:$AG$364,0),1)/INDEX(其他调用!AJ$5:AJ$364,MATCH($K46,其他调用!$AG$5:$AG$364,0),0),1)*INDEX(其他调用!AA$5:AA$404,MATCH($K46,其他调用!$X$5:$X$404,0),0)</f>
        <v>21275.558745709004</v>
      </c>
      <c r="X46" s="12">
        <f>MIN(INDEX(其他调用!$AI$5:$AI$364,MATCH($K46,其他调用!$AG$5:$AG$364,0),1)/INDEX(其他调用!AK$5:AK$364,MATCH($K46,其他调用!$AG$5:$AG$364,0),0),1)*INDEX(其他调用!AB$5:AB$404,MATCH($K46,其他调用!$X$5:$X$404,0),0)</f>
        <v>8256.3765490414607</v>
      </c>
      <c r="Y46" s="12">
        <f>MIN(INDEX(其他调用!$AI$5:$AI$364,MATCH($K46,其他调用!$AG$5:$AG$364,0),1)/INDEX(其他调用!AL$5:AL$364,MATCH($K46,其他调用!$AG$5:$AG$364,0),0),1)*INDEX(其他调用!AC$5:AC$404,MATCH($K46,其他调用!$X$5:$X$404,0),0)</f>
        <v>2747.3408638486912</v>
      </c>
      <c r="Z46" s="12">
        <f>求节点(节奏总纲!D$4:D$163,标准城池设计!AD$4:AD$163,$K46)*求节点(节奏总纲!D$4:D$163,攻城基础信息!$AE$5:$AE$164,$K46)</f>
        <v>306871.55076234351</v>
      </c>
      <c r="AA46" s="12">
        <f>INDEX(其他调用!$AA$5:$AA$404,MATCH($K46,其他调用!$X$5:$X$404,0))*MIN(INDEX(其他调用!AJ$5:AJ$364,MATCH($K46,其他调用!$AG$5:$AG$364,0),1)/INDEX(其他调用!$AJ$5:$AJ$364,MATCH($K46,其他调用!$AG$5:$AG$364,0),0),5)*求节点(节奏总纲!D$4:D$163,攻城基础信息!$AE$5:$AE$164,$K46)</f>
        <v>88580.507961380761</v>
      </c>
      <c r="AB46" s="12">
        <f>MIN(INDEX(其他调用!$AJ$5:$AJ$364,MATCH($K46,其他调用!$AG$5:$AG$364,0),1)/INDEX(其他调用!AH$5:AH$364,MATCH($K46,其他调用!$AG$5:$AG$364,0),0),1)*INDEX(其他调用!Y$5:Y$404,MATCH($K46,其他调用!$X$5:$X$404,0),0)</f>
        <v>31165.079008138018</v>
      </c>
      <c r="AC46" s="12">
        <f>MIN(INDEX(其他调用!$AJ$5:$AJ$364,MATCH($K46,其他调用!$AG$5:$AG$364,0),1)/INDEX(其他调用!AI$5:AI$364,MATCH($K46,其他调用!$AG$5:$AG$364,0),0),1)*INDEX(其他调用!Z$5:Z$404,MATCH($K46,其他调用!$X$5:$X$404,0),0)</f>
        <v>32234.136403149671</v>
      </c>
      <c r="AD46" s="12">
        <f>MIN(INDEX(其他调用!$AJ$5:$AJ$364,MATCH($K46,其他调用!$AG$5:$AG$364,0),1)/INDEX(其他调用!AJ$5:AJ$364,MATCH($K46,其他调用!$AG$5:$AG$364,0),0),1)*INDEX(其他调用!AA$5:AA$404,MATCH($K46,其他调用!$X$5:$X$404,0),0)</f>
        <v>33671.970725443993</v>
      </c>
      <c r="AE46" s="12">
        <f>MIN(INDEX(其他调用!$AJ$5:$AJ$364,MATCH($K46,其他调用!$AG$5:$AG$364,0),1)/INDEX(其他调用!AK$5:AK$364,MATCH($K46,其他调用!$AG$5:$AG$364,0),0),1)*INDEX(其他调用!AB$5:AB$404,MATCH($K46,其他调用!$X$5:$X$404,0),0)</f>
        <v>13067.03493809003</v>
      </c>
      <c r="AF46" s="12">
        <f>MIN(INDEX(其他调用!$AJ$5:$AJ$364,MATCH($K46,其他调用!$AG$5:$AG$364,0),1)/INDEX(其他调用!AL$5:AL$364,MATCH($K46,其他调用!$AG$5:$AG$364,0),0),1)*INDEX(其他调用!AC$5:AC$404,MATCH($K46,其他调用!$X$5:$X$404,0),0)</f>
        <v>4348.1058357156835</v>
      </c>
      <c r="AG46" s="12">
        <f>求节点(节奏总纲!D$4:D$163,标准城池设计!AE$4:AE$163,$K46)*求节点(节奏总纲!D$4:D$163,攻城基础信息!$AF$5:$AF$164,$K46)</f>
        <v>355505.46780448622</v>
      </c>
      <c r="AH46" s="12">
        <f>INDEX(其他调用!$AA$5:$AA$404,MATCH($K46,其他调用!$X$5:$X$404,0))*MIN(INDEX(其他调用!AK$5:AK$364,MATCH($K46,其他调用!$AG$5:$AG$364,0),1)/INDEX(其他调用!$AJ$5:$AJ$364,MATCH($K46,其他调用!$AG$5:$AG$364,0),0),5)*求节点(节奏总纲!D$4:D$163,攻城基础信息!$AF$5:$AF$164,$K46)</f>
        <v>242883.33777314099</v>
      </c>
      <c r="AI46" s="12">
        <f>MIN(INDEX(其他调用!$AK$5:$AK$364,MATCH($K46,其他调用!$AG$5:$AG$364,0),1)/INDEX(其他调用!AH$5:AH$364,MATCH($K46,其他调用!$AG$5:$AG$364,0),0),1)*INDEX(其他调用!Y$5:Y$404,MATCH($K46,其他调用!$X$5:$X$404,0),0)</f>
        <v>31165.079008138018</v>
      </c>
      <c r="AJ46" s="12">
        <f>MIN(INDEX(其他调用!$AK$5:$AK$364,MATCH($K46,其他调用!$AG$5:$AG$364,0),1)/INDEX(其他调用!AI$5:AI$364,MATCH($K46,其他调用!$AG$5:$AG$364,0),0),1)*INDEX(其他调用!Z$5:Z$404,MATCH($K46,其他调用!$X$5:$X$404,0),0)</f>
        <v>32234.136403149671</v>
      </c>
      <c r="AK46" s="12">
        <f>MIN(INDEX(其他调用!$AK$5:$AK$364,MATCH($K46,其他调用!$AG$5:$AG$364,0),1)/INDEX(其他调用!AJ$5:AJ$364,MATCH($K46,其他调用!$AG$5:$AG$364,0),0),1)*INDEX(其他调用!AA$5:AA$404,MATCH($K46,其他调用!$X$5:$X$404,0),0)</f>
        <v>33671.970725443993</v>
      </c>
      <c r="AL46" s="12">
        <f>MIN(INDEX(其他调用!$AK$5:$AK$364,MATCH($K46,其他调用!$AG$5:$AG$364,0),1)/INDEX(其他调用!AK$5:AK$364,MATCH($K46,其他调用!$AG$5:$AG$364,0),0),1)*INDEX(其他调用!AB$5:AB$404,MATCH($K46,其他调用!$X$5:$X$404,0),0)</f>
        <v>35829.158509062174</v>
      </c>
      <c r="AM46" s="12">
        <f>MIN(INDEX(其他调用!$AK$5:$AK$364,MATCH($K46,其他调用!$AG$5:$AG$364,0),1)/INDEX(其他调用!AL$5:AL$364,MATCH($K46,其他调用!$AG$5:$AG$364,0),0),1)*INDEX(其他调用!AC$5:AC$404,MATCH($K46,其他调用!$X$5:$X$404,0),0)</f>
        <v>11922.289481901906</v>
      </c>
      <c r="AN46" s="12">
        <f>求节点(节奏总纲!D$4:D$163,标准城池设计!AF$4:AF$163,$K46)*求节点(节奏总纲!D$4:D$163,攻城基础信息!$AG$5:$AG$164,$K46)</f>
        <v>365636.53328232659</v>
      </c>
      <c r="AO46" s="12">
        <f>INDEX(其他调用!$AA$5:$AA$404,MATCH($K46,其他调用!$X$5:$X$404,0))*MIN(INDEX(其他调用!AL$5:AL$364,MATCH($K46,其他调用!$AG$5:$AG$364,0),1)/INDEX(其他调用!$AJ$5:$AJ$364,MATCH($K46,其他调用!$AG$5:$AG$364,0),0),5)*求节点(节奏总纲!D$4:D$163,攻城基础信息!$AG$5:$AG$164,$K46)</f>
        <v>442902.53980690381</v>
      </c>
      <c r="AP46" s="12">
        <f>MIN(INDEX(其他调用!$AL$5:$AL$364,MATCH($K46,其他调用!$AG$5:$AG$364,0),1)/INDEX(其他调用!AH$5:AH$364,MATCH($K46,其他调用!$AG$5:$AG$364,0),0),1)*INDEX(其他调用!Y$5:Y$404,MATCH($K46,其他调用!$X$5:$X$404,0),0)</f>
        <v>31165.079008138018</v>
      </c>
      <c r="AQ46" s="12">
        <f>MIN(INDEX(其他调用!$AL$5:$AL$364,MATCH($K46,其他调用!$AG$5:$AG$364,0),1)/INDEX(其他调用!AI$5:AI$364,MATCH($K46,其他调用!$AG$5:$AG$364,0),0),1)*INDEX(其他调用!Z$5:Z$404,MATCH($K46,其他调用!$X$5:$X$404,0),0)</f>
        <v>32234.136403149671</v>
      </c>
      <c r="AR46" s="12">
        <f>MIN(INDEX(其他调用!$AL$5:$AL$364,MATCH($K46,其他调用!$AG$5:$AG$364,0),1)/INDEX(其他调用!AJ$5:AJ$364,MATCH($K46,其他调用!$AG$5:$AG$364,0),0),1)*INDEX(其他调用!AA$5:AA$404,MATCH($K46,其他调用!$X$5:$X$404,0),0)</f>
        <v>33671.970725443993</v>
      </c>
      <c r="AS46" s="12">
        <f>MIN(INDEX(其他调用!$AL$5:$AL$364,MATCH($K46,其他调用!$AG$5:$AG$364,0),1)/INDEX(其他调用!AK$5:AK$364,MATCH($K46,其他调用!$AG$5:$AG$364,0),0),1)*INDEX(其他调用!AB$5:AB$404,MATCH($K46,其他调用!$X$5:$X$404,0),0)</f>
        <v>35829.158509062174</v>
      </c>
      <c r="AT46" s="12">
        <f>MIN(INDEX(其他调用!$AL$5:$AL$364,MATCH($K46,其他调用!$AG$5:$AG$364,0),1)/INDEX(其他调用!AL$5:AL$364,MATCH($K46,其他调用!$AG$5:$AG$364,0),0),1)*INDEX(其他调用!AC$5:AC$404,MATCH($K46,其他调用!$X$5:$X$404,0),0)</f>
        <v>39657.040594784179</v>
      </c>
      <c r="AV46" s="14">
        <f>IF(OR(AV$5="大R",AV$5="超R"),MAX(INDEX(其他调用!$H$5:$L$404,MATCH($K46,其他调用!$B$5:$B$404,0),MATCH(AV$5,其他调用!$H$4:$L$4,0))*120*0.85,2),INDEX(其他调用!$H$5:$L$404,MATCH($K46,其他调用!$B$5:$B$404,0),MATCH(AV$5,其他调用!$H$4:$L$4,0))*120*0.85)</f>
        <v>53.559966002727293</v>
      </c>
      <c r="AW46" s="14">
        <f>IF(OR(AW$5="大R",AW$5="超R"),MAX(INDEX(其他调用!$H$5:$L$404,MATCH($K46,其他调用!$B$5:$B$404,0),MATCH(AW$5,其他调用!$H$4:$L$4,0))*120*0.85,2),INDEX(其他调用!$H$5:$L$404,MATCH($K46,其他调用!$B$5:$B$404,0),MATCH(AW$5,其他调用!$H$4:$L$4,0))*120*0.85)</f>
        <v>43.836984029144702</v>
      </c>
      <c r="AX46" s="14">
        <f>IF(OR(AX$5="大R",AX$5="超R"),MAX(INDEX(其他调用!$H$5:$L$404,MATCH($K46,其他调用!$B$5:$B$404,0),MATCH(AX$5,其他调用!$H$4:$L$4,0))*120*0.85,2),INDEX(其他调用!$H$5:$L$404,MATCH($K46,其他调用!$B$5:$B$404,0),MATCH(AX$5,其他调用!$H$4:$L$4,0))*120*0.85)</f>
        <v>3.8312608481280002</v>
      </c>
      <c r="AY46" s="14">
        <f>IF(OR(AY$5="大R",AY$5="超R"),MAX(INDEX(其他调用!$H$5:$L$404,MATCH($K46,其他调用!$B$5:$B$404,0),MATCH(AY$5,其他调用!$H$4:$L$4,0))*120*0.85,2),INDEX(其他调用!$H$5:$L$404,MATCH($K46,其他调用!$B$5:$B$404,0),MATCH(AY$5,其他调用!$H$4:$L$4,0))*120*0.85)</f>
        <v>2</v>
      </c>
      <c r="AZ46" s="14">
        <f>IF(OR(AZ$5="大R",AZ$5="超R"),MAX(INDEX(其他调用!$H$5:$L$404,MATCH($K46,其他调用!$B$5:$B$404,0),MATCH(AZ$5,其他调用!$H$4:$L$4,0))*120*0.85,2),INDEX(其他调用!$H$5:$L$404,MATCH($K46,其他调用!$B$5:$B$404,0),MATCH(AZ$5,其他调用!$H$4:$L$4,0))*120*0.85)</f>
        <v>2</v>
      </c>
      <c r="BA46" s="14">
        <f>INDEX(其他调用!$H$5:$L$404,MATCH($K46,其他调用!$B$5:$B$404,0),MATCH(BA$5,其他调用!$H$4:$L$4,0))*INDEX(其他调用!$M$5:$M$404,MATCH($K46,其他调用!$B$5:$B$404,0))*0.6</f>
        <v>28.580054786181829</v>
      </c>
      <c r="BB46" s="14">
        <f>INDEX(其他调用!$H$5:$L$404,MATCH($K46,其他调用!$B$5:$B$404,0),MATCH(BB$5,其他调用!$H$4:$L$4,0))*INDEX(其他调用!$M$5:$M$404,MATCH($K46,其他调用!$B$5:$B$404,0))*0.6</f>
        <v>23.391788657037932</v>
      </c>
      <c r="BC46" s="14">
        <f>INDEX(其他调用!$H$5:$L$404,MATCH($K46,其他调用!$B$5:$B$404,0),MATCH(BC$5,其他调用!$H$4:$L$4,0))*INDEX(其他调用!$M$5:$M$404,MATCH($K46,其他调用!$B$5:$B$404,0))*0.6</f>
        <v>2.0443934735521685</v>
      </c>
      <c r="BD46" s="14">
        <f>INDEX(其他调用!$H$5:$L$404,MATCH($K46,其他调用!$B$5:$B$404,0),MATCH(BD$5,其他调用!$H$4:$L$4,0))*INDEX(其他调用!$M$5:$M$404,MATCH($K46,其他调用!$B$5:$B$404,0))*0.6</f>
        <v>0.32770923340350883</v>
      </c>
      <c r="BE46" s="14">
        <f>INDEX(其他调用!$H$5:$L$404,MATCH($K46,其他调用!$B$5:$B$404,0),MATCH(BE$5,其他调用!$H$4:$L$4,0))*INDEX(其他调用!$M$5:$M$404,MATCH($K46,其他调用!$B$5:$B$404,0))*0.6</f>
        <v>8.4124025263157889E-2</v>
      </c>
      <c r="BF46" s="14">
        <f>IF(OR(BF$5="大R",BF$5="超R"),0,INDEX(其他调用!$H$5:$L$404,MATCH($K46,其他调用!$B$5:$B$404,0),MATCH(BF$5,其他调用!$H$4:$L$4,0))*50*0.4)</f>
        <v>10.501954118181823</v>
      </c>
      <c r="BG46" s="14">
        <f>IF(OR(BG$5="大R",BG$5="超R"),0,INDEX(其他调用!$H$5:$L$404,MATCH($K46,其他调用!$B$5:$B$404,0),MATCH(BG$5,其他调用!$H$4:$L$4,0))*50*0.4)</f>
        <v>8.5954870645381778</v>
      </c>
      <c r="BH46" s="14">
        <f>IF(OR(BH$5="大R",BH$5="超R"),0,INDEX(其他调用!$H$5:$L$404,MATCH($K46,其他调用!$B$5:$B$404,0),MATCH(BH$5,其他调用!$H$4:$L$4,0))*50*0.4)</f>
        <v>0.75122761728000009</v>
      </c>
      <c r="BI46" s="14">
        <f>IF(OR(BI$5="大R",BI$5="超R"),0,INDEX(其他调用!$H$5:$L$404,MATCH($K46,其他调用!$B$5:$B$404,0),MATCH(BI$5,其他调用!$H$4:$L$4,0))*50*0.4)</f>
        <v>0</v>
      </c>
      <c r="BJ46" s="14">
        <f>IF(OR(BJ$5="大R",BJ$5="超R"),0,INDEX(其他调用!$H$5:$L$404,MATCH($K46,其他调用!$B$5:$B$404,0),MATCH(BJ$5,其他调用!$H$4:$L$4,0))*50*0.4)</f>
        <v>0</v>
      </c>
      <c r="BL46" s="14">
        <f t="shared" si="103"/>
        <v>41</v>
      </c>
      <c r="BM46" s="14">
        <f t="shared" si="10"/>
        <v>96</v>
      </c>
      <c r="BN46" s="14">
        <f>('疲劳值&amp;地图信息'!$S$10*'疲劳值&amp;地图信息'!$R$10+'疲劳值&amp;地图信息'!$S$11*'疲劳值&amp;地图信息'!$R$11+'疲劳值&amp;地图信息'!$S$12*'疲劳值&amp;地图信息'!$R$12+(BM46-'疲劳值&amp;地图信息'!$S$12-'疲劳值&amp;地图信息'!$S$11-'疲劳值&amp;地图信息'!$S$10)*'疲劳值&amp;地图信息'!$R$13)/BM46</f>
        <v>51.371477246638619</v>
      </c>
      <c r="BO46" s="14">
        <f>INDEX(其他调用!$M$5:$M$404,MATCH(BL46,其他调用!$B$5:$B$404,0))*0.6</f>
        <v>54.428070175438599</v>
      </c>
      <c r="BP46" s="14">
        <f>IF(BO46&gt;SUM('疲劳值&amp;地图信息'!$S$10:$S$12),('疲劳值&amp;地图信息'!$S$10*'疲劳值&amp;地图信息'!$R$10+'疲劳值&amp;地图信息'!$S$11*'疲劳值&amp;地图信息'!$R$11+'疲劳值&amp;地图信息'!$S$12*'疲劳值&amp;地图信息'!$R$12+(BO46-'疲劳值&amp;地图信息'!$S$12-'疲劳值&amp;地图信息'!$S$11-'疲劳值&amp;地图信息'!$S$10)*'疲劳值&amp;地图信息'!$R$13)/BO46,('疲劳值&amp;地图信息'!$S$10*'疲劳值&amp;地图信息'!$R$10+'疲劳值&amp;地图信息'!$S$11*'疲劳值&amp;地图信息'!$R$11+'疲劳值&amp;地图信息'!$S$12*'疲劳值&amp;地图信息'!$R$12+(BO46-'疲劳值&amp;地图信息'!$S$12-'疲劳值&amp;地图信息'!$S$11-'疲劳值&amp;地图信息'!$S$10)*'疲劳值&amp;地图信息'!$R$13)/BO46)</f>
        <v>42.188945116370974</v>
      </c>
      <c r="BQ46" s="14">
        <f t="shared" si="104"/>
        <v>20</v>
      </c>
      <c r="BR46" s="14">
        <f>('疲劳值&amp;地图信息'!$S$10*'疲劳值&amp;地图信息'!$R$10+($BQ46-'疲劳值&amp;地图信息'!$S$10)*'疲劳值&amp;地图信息'!$R$11)/$BQ46</f>
        <v>32.067203015074995</v>
      </c>
      <c r="BW46" s="14" t="s">
        <v>501</v>
      </c>
      <c r="BX46" s="14">
        <v>1500</v>
      </c>
      <c r="BY46" s="14">
        <v>750</v>
      </c>
      <c r="BZ46" s="14">
        <v>300</v>
      </c>
      <c r="CF46" s="14">
        <v>41</v>
      </c>
      <c r="CG46" s="51">
        <f t="shared" si="11"/>
        <v>5975</v>
      </c>
      <c r="CH46" s="51">
        <f t="shared" si="12"/>
        <v>890</v>
      </c>
      <c r="CI46" s="51">
        <f>INT(SUMPRODUCT($N46:$R46,$BA46:$BE46)/SUM($BA46:$BE46)/10000*$BX$7*$BZ$34/'疲劳值&amp;地图信息'!$R$10*$BY$53)</f>
        <v>2773</v>
      </c>
      <c r="CJ46" s="50">
        <f t="shared" si="13"/>
        <v>0.61994189665905786</v>
      </c>
      <c r="CK46" s="50">
        <f t="shared" si="14"/>
        <v>9.2342809711558421E-2</v>
      </c>
      <c r="CL46" s="50">
        <f t="shared" si="15"/>
        <v>0.28771529362938369</v>
      </c>
      <c r="CM46" s="14">
        <f t="shared" si="16"/>
        <v>6177</v>
      </c>
      <c r="CN46" s="14">
        <f t="shared" si="17"/>
        <v>1193</v>
      </c>
      <c r="CO46" s="14">
        <f>INT(SUMPRODUCT($U46:$Y46,$BA46:$BE46)/SUM($BA46:$BE46)/10000*$BX$7*$BZ$34/'疲劳值&amp;地图信息'!$R$10*$BY$54)</f>
        <v>4729</v>
      </c>
      <c r="CP46" s="50">
        <f t="shared" si="18"/>
        <v>0.51053806099677657</v>
      </c>
      <c r="CQ46" s="50">
        <f t="shared" si="19"/>
        <v>9.8603190346309613E-2</v>
      </c>
      <c r="CR46" s="50">
        <f t="shared" si="20"/>
        <v>0.39085874865691378</v>
      </c>
      <c r="CS46" s="14">
        <f t="shared" si="21"/>
        <v>6546</v>
      </c>
      <c r="CT46" s="14">
        <f t="shared" si="22"/>
        <v>1889</v>
      </c>
      <c r="CU46" s="14">
        <f>INT(SUMPRODUCT($AB46:$AF46,$BA46:$BE46)/SUM($BA46:$BE46)/10000*$BX$7*$BZ$34/'疲劳值&amp;地图信息'!$R$10*$BY$55)</f>
        <v>6406</v>
      </c>
      <c r="CV46" s="50">
        <f t="shared" si="23"/>
        <v>0.44107539923185768</v>
      </c>
      <c r="CW46" s="50">
        <f t="shared" si="24"/>
        <v>0.12728252813152752</v>
      </c>
      <c r="CX46" s="50">
        <f t="shared" si="25"/>
        <v>0.4316420726366148</v>
      </c>
      <c r="CY46" s="14">
        <f t="shared" si="26"/>
        <v>7583</v>
      </c>
      <c r="CZ46" s="14">
        <f t="shared" si="27"/>
        <v>5181</v>
      </c>
      <c r="DA46" s="14">
        <f>INT(SUMPRODUCT($AI46:$AM46,$BA46:$BE46)/SUM($BA46:$BE46)/10000*$BX$7*$BZ$34/'疲劳值&amp;地图信息'!$R$10*$BY$56)</f>
        <v>9654</v>
      </c>
      <c r="DB46" s="50">
        <f t="shared" si="28"/>
        <v>0.3382549736818628</v>
      </c>
      <c r="DC46" s="50">
        <f t="shared" si="29"/>
        <v>0.23110893032384691</v>
      </c>
      <c r="DD46" s="50">
        <f t="shared" si="30"/>
        <v>0.43063609599429031</v>
      </c>
      <c r="DE46" s="14">
        <f t="shared" si="31"/>
        <v>7799</v>
      </c>
      <c r="DF46" s="14">
        <f t="shared" si="32"/>
        <v>9448</v>
      </c>
      <c r="DG46" s="14">
        <f>INT(SUMPRODUCT($AP46:$AT46,$BA46:$BE46)/SUM($BA46:$BE46)/10000*$BX$7*$BZ$34/'疲劳值&amp;地图信息'!$R$10*$BY$57)</f>
        <v>12890</v>
      </c>
      <c r="DH46" s="50">
        <f t="shared" si="33"/>
        <v>0.25878488237050801</v>
      </c>
      <c r="DI46" s="50">
        <f t="shared" si="34"/>
        <v>0.31350167568105652</v>
      </c>
      <c r="DJ46" s="50">
        <f t="shared" si="35"/>
        <v>0.42771344194843547</v>
      </c>
      <c r="DL46" s="14">
        <f t="shared" si="106"/>
        <v>9638</v>
      </c>
      <c r="DM46" s="14">
        <f t="shared" si="107"/>
        <v>12099</v>
      </c>
      <c r="DN46" s="14">
        <f t="shared" si="108"/>
        <v>14841</v>
      </c>
      <c r="DO46" s="14">
        <f t="shared" si="109"/>
        <v>22418</v>
      </c>
      <c r="DP46" s="14">
        <f t="shared" si="110"/>
        <v>30137</v>
      </c>
      <c r="DQ46" s="14">
        <f t="shared" si="111"/>
        <v>598694</v>
      </c>
      <c r="DT46" s="14">
        <f t="shared" si="105"/>
        <v>235575</v>
      </c>
      <c r="DU46" s="50">
        <f t="shared" si="7"/>
        <v>0.28237295164988752</v>
      </c>
      <c r="DW46" s="14">
        <f t="shared" si="36"/>
        <v>834269</v>
      </c>
      <c r="EB46" s="14">
        <v>41</v>
      </c>
      <c r="EC46" s="51">
        <f t="shared" si="37"/>
        <v>9958</v>
      </c>
      <c r="ED46" s="51">
        <f t="shared" si="38"/>
        <v>1484</v>
      </c>
      <c r="EE46" s="51">
        <f>INT(SUMPRODUCT($N46:$R46,$BF46:$BJ46)/SUM($BF46:$BJ46)/10000*$BX$7*$BZ$46/'疲劳值&amp;地图信息'!$R$10*$BY$53)</f>
        <v>372</v>
      </c>
      <c r="EF46" s="50">
        <f t="shared" si="39"/>
        <v>0.84289825630607751</v>
      </c>
      <c r="EG46" s="50">
        <f t="shared" si="40"/>
        <v>0.12561367868630438</v>
      </c>
      <c r="EH46" s="50">
        <f t="shared" si="41"/>
        <v>3.1488065007618082E-2</v>
      </c>
      <c r="EI46" s="51">
        <f t="shared" si="42"/>
        <v>10296</v>
      </c>
      <c r="EJ46" s="51">
        <f t="shared" si="43"/>
        <v>1989</v>
      </c>
      <c r="EK46" s="14">
        <f>INT(SUMPRODUCT($U46:$Y46,$BF46:$BJ46)/SUM($BF46:$BJ46)/10000*$BX$7*$BZ$46/'疲劳值&amp;地图信息'!$R$10*$BY$54)</f>
        <v>634</v>
      </c>
      <c r="EL46" s="50">
        <f t="shared" si="44"/>
        <v>0.79696570942023381</v>
      </c>
      <c r="EM46" s="50">
        <f t="shared" si="45"/>
        <v>0.15395928477436335</v>
      </c>
      <c r="EN46" s="50">
        <f t="shared" si="46"/>
        <v>4.9075005805402895E-2</v>
      </c>
      <c r="EO46" s="51">
        <f t="shared" si="47"/>
        <v>10910</v>
      </c>
      <c r="EP46" s="51">
        <f t="shared" si="48"/>
        <v>3149</v>
      </c>
      <c r="EQ46" s="14">
        <f>INT(SUMPRODUCT($AB46:$AF46,$BF46:$BJ46)/SUM($BF46:$BJ46)/10000*$BX$7*$BZ$46/'疲劳值&amp;地图信息'!$R$10*$BY$55)</f>
        <v>858</v>
      </c>
      <c r="ER46" s="50">
        <f t="shared" si="49"/>
        <v>0.73138030435074075</v>
      </c>
      <c r="ES46" s="50">
        <f t="shared" si="50"/>
        <v>0.21110142790105249</v>
      </c>
      <c r="ET46" s="50">
        <f t="shared" si="51"/>
        <v>5.7518267748206744E-2</v>
      </c>
      <c r="EU46" s="51">
        <f t="shared" si="52"/>
        <v>12639</v>
      </c>
      <c r="EV46" s="51">
        <f t="shared" si="53"/>
        <v>8635</v>
      </c>
      <c r="EW46" s="14">
        <f>INT(SUMPRODUCT($AI46:$AM46,$BF46:$BJ46)/SUM($BF46:$BJ46)/10000*$BX$7*$BZ$46/'疲劳值&amp;地图信息'!$R$10*$BY$56)</f>
        <v>1287</v>
      </c>
      <c r="EX46" s="50">
        <f t="shared" si="54"/>
        <v>0.56021452949780592</v>
      </c>
      <c r="EY46" s="50">
        <f t="shared" si="55"/>
        <v>0.38274012676743052</v>
      </c>
      <c r="EZ46" s="50">
        <f t="shared" si="56"/>
        <v>5.7045343734763533E-2</v>
      </c>
      <c r="FA46" s="51">
        <f t="shared" si="57"/>
        <v>12999</v>
      </c>
      <c r="FB46" s="51">
        <f t="shared" si="58"/>
        <v>15747</v>
      </c>
      <c r="FC46" s="14">
        <f>INT(SUMPRODUCT($AP46:$AT46,$BF46:$BJ46)/SUM($BF46:$BJ46)/10000*$BX$7*$BZ$46/'疲劳值&amp;地图信息'!$R$10*$BY$57)</f>
        <v>1716</v>
      </c>
      <c r="FD46" s="50">
        <f t="shared" si="59"/>
        <v>0.42672838290328935</v>
      </c>
      <c r="FE46" s="50">
        <f t="shared" si="60"/>
        <v>0.51693913728579866</v>
      </c>
      <c r="FF46" s="50">
        <f t="shared" si="61"/>
        <v>5.6332479810911953E-2</v>
      </c>
      <c r="FH46" s="14">
        <f t="shared" si="62"/>
        <v>11814</v>
      </c>
      <c r="FI46" s="14">
        <f t="shared" si="63"/>
        <v>12919</v>
      </c>
      <c r="FJ46" s="14">
        <f t="shared" si="64"/>
        <v>14917</v>
      </c>
      <c r="FK46" s="14">
        <f t="shared" si="65"/>
        <v>22561</v>
      </c>
      <c r="FL46" s="14">
        <f t="shared" si="66"/>
        <v>30462</v>
      </c>
      <c r="FM46" s="14">
        <f t="shared" si="67"/>
        <v>1362284</v>
      </c>
      <c r="FP46" s="14">
        <f t="shared" si="68"/>
        <v>334150</v>
      </c>
      <c r="FQ46" s="50">
        <f t="shared" si="8"/>
        <v>0.19697200126854331</v>
      </c>
      <c r="FS46" s="14">
        <f t="shared" si="69"/>
        <v>1696434</v>
      </c>
      <c r="FX46" s="14">
        <v>41</v>
      </c>
      <c r="FY46" s="51">
        <f t="shared" si="70"/>
        <v>13942</v>
      </c>
      <c r="FZ46" s="51">
        <f t="shared" si="71"/>
        <v>1484</v>
      </c>
      <c r="GA46" s="51">
        <f>INT(SUMPRODUCT($N46:$R46,$BF46:$BJ46)/SUM($BF46:$BJ46)/10000*$BX$7*$BZ$46/'疲劳值&amp;地图信息'!$R$10*$BY$53)</f>
        <v>372</v>
      </c>
      <c r="GB46" s="50">
        <f t="shared" si="72"/>
        <v>0.88251677427522468</v>
      </c>
      <c r="GC46" s="50">
        <f t="shared" si="73"/>
        <v>9.393594125838714E-2</v>
      </c>
      <c r="GD46" s="50">
        <f t="shared" si="74"/>
        <v>2.3547284466388152E-2</v>
      </c>
      <c r="GE46" s="51">
        <f t="shared" si="75"/>
        <v>14414</v>
      </c>
      <c r="GF46" s="51">
        <f t="shared" si="76"/>
        <v>1989</v>
      </c>
      <c r="GG46" s="14">
        <f>INT(SUMPRODUCT($U46:$Y46,$BF46:$BJ46)/SUM($BF46:$BJ46)/10000*$BX$7*$BZ$46/'疲劳值&amp;地图信息'!$R$10*$BY$54)</f>
        <v>634</v>
      </c>
      <c r="GH46" s="50">
        <f t="shared" si="77"/>
        <v>0.84604096965428188</v>
      </c>
      <c r="GI46" s="50">
        <f t="shared" si="78"/>
        <v>0.1167459059693608</v>
      </c>
      <c r="GJ46" s="50">
        <f t="shared" si="79"/>
        <v>3.7213124376357341E-2</v>
      </c>
      <c r="GK46" s="51">
        <f t="shared" si="80"/>
        <v>15274</v>
      </c>
      <c r="GL46" s="51">
        <f t="shared" si="81"/>
        <v>3149</v>
      </c>
      <c r="GM46" s="14">
        <f>INT(SUMPRODUCT($AB46:$AF46,$BF46:$BJ46)/SUM($BF46:$BJ46)/10000*$BX$7*$BZ$46/'疲劳值&amp;地图信息'!$R$10*$BY$55)</f>
        <v>858</v>
      </c>
      <c r="GN46" s="50">
        <f t="shared" si="82"/>
        <v>0.792178828898916</v>
      </c>
      <c r="GO46" s="50">
        <f t="shared" si="83"/>
        <v>0.16332140449146829</v>
      </c>
      <c r="GP46" s="50">
        <f t="shared" si="84"/>
        <v>4.449976660961568E-2</v>
      </c>
      <c r="GQ46" s="51">
        <f t="shared" si="85"/>
        <v>17695</v>
      </c>
      <c r="GR46" s="51">
        <f t="shared" si="86"/>
        <v>8635</v>
      </c>
      <c r="GS46" s="14">
        <f>INT(SUMPRODUCT($AI46:$AM46,$BF46:$BJ46)/SUM($BF46:$BJ46)/10000*$BX$7*$BZ$46/'疲劳值&amp;地图信息'!$R$10*$BY$56)</f>
        <v>1287</v>
      </c>
      <c r="GT46" s="50">
        <f t="shared" si="87"/>
        <v>0.64072853677082953</v>
      </c>
      <c r="GU46" s="50">
        <f t="shared" si="88"/>
        <v>0.312669732411196</v>
      </c>
      <c r="GV46" s="50">
        <f t="shared" si="89"/>
        <v>4.6601730817974439E-2</v>
      </c>
      <c r="GW46" s="51">
        <f t="shared" si="90"/>
        <v>18199</v>
      </c>
      <c r="GX46" s="51">
        <f t="shared" si="91"/>
        <v>15747</v>
      </c>
      <c r="GY46" s="14">
        <f>INT(SUMPRODUCT($AP46:$AT46,$BF46:$BJ46)/SUM($BF46:$BJ46)/10000*$BX$7*$BZ$46/'疲劳值&amp;地图信息'!$R$10*$BY$57)</f>
        <v>1716</v>
      </c>
      <c r="GZ46" s="50">
        <f t="shared" si="92"/>
        <v>0.51031910717290108</v>
      </c>
      <c r="HA46" s="50">
        <f t="shared" si="93"/>
        <v>0.4415624474230273</v>
      </c>
      <c r="HB46" s="50">
        <f t="shared" si="94"/>
        <v>4.8118445404071564E-2</v>
      </c>
      <c r="HD46" s="14">
        <f t="shared" si="95"/>
        <v>15798</v>
      </c>
      <c r="HE46" s="14">
        <f t="shared" si="96"/>
        <v>17037</v>
      </c>
      <c r="HF46" s="14">
        <f t="shared" si="97"/>
        <v>19281</v>
      </c>
      <c r="HG46" s="14">
        <f t="shared" si="98"/>
        <v>27617</v>
      </c>
      <c r="HH46" s="14">
        <f t="shared" si="99"/>
        <v>35662</v>
      </c>
      <c r="HI46" s="14">
        <f t="shared" si="100"/>
        <v>1793419</v>
      </c>
      <c r="HL46" s="14">
        <f t="shared" si="101"/>
        <v>430050</v>
      </c>
      <c r="HM46" s="50">
        <f t="shared" si="9"/>
        <v>0.1934139850836688</v>
      </c>
      <c r="HO46" s="14">
        <f t="shared" si="102"/>
        <v>2223469</v>
      </c>
    </row>
    <row r="47" spans="3:223" x14ac:dyDescent="0.2">
      <c r="K47" s="14">
        <v>42</v>
      </c>
      <c r="L47" s="12">
        <f>求节点(节奏总纲!D$4:D$163,标准城池设计!AB$4:AB$163,$K47)*求节点(节奏总纲!D$4:D$163,攻城基础信息!$AC$5:$AC$164,$K47)</f>
        <v>284227.22476828063</v>
      </c>
      <c r="M47" s="12">
        <f>INDEX(其他调用!$AA$5:$AA$404,MATCH(K47,其他调用!$X$5:$X$404,0))*MIN(INDEX(其他调用!$AH$5:$AH$364,MATCH('征服点（新）'!K47,其他调用!$AG$5:$AG$364,0),1)/INDEX(其他调用!$AJ$5:$AJ$364,MATCH(K47,其他调用!$AG$5:$AG$364,0),0),5)*求节点(节奏总纲!D$4:D$163,攻城基础信息!$AC$5:$AC$164,$K47)</f>
        <v>42313.078333196921</v>
      </c>
      <c r="N47" s="12">
        <f>MIN(INDEX(其他调用!$AH$5:$AH$364,MATCH($K47,其他调用!$AG$5:$AG$364,0),1)/INDEX(其他调用!AH$5:AH$364,MATCH($K47,其他调用!$AG$5:$AG$364,0),0),1)*INDEX(其他调用!Y$5:Y$404,MATCH($K47,其他调用!$X$5:$X$404,0),0)</f>
        <v>31293.724277434107</v>
      </c>
      <c r="O47" s="12">
        <f>MIN(INDEX(其他调用!$AH$5:$AH$364,MATCH($K47,其他调用!$AG$5:$AG$364,0),1)/INDEX(其他调用!AI$5:AI$364,MATCH($K47,其他调用!$AG$5:$AG$364,0),0),1)*INDEX(其他调用!Z$5:Z$404,MATCH($K47,其他调用!$X$5:$X$404,0),0)</f>
        <v>24147.992178730052</v>
      </c>
      <c r="P47" s="12">
        <f>MIN(INDEX(其他调用!$AH$5:$AH$364,MATCH($K47,其他调用!$AG$5:$AG$364,0),1)/INDEX(其他调用!AJ$5:AJ$364,MATCH($K47,其他调用!$AG$5:$AG$364,0),0),1)*INDEX(其他调用!AA$5:AA$404,MATCH($K47,其他调用!$X$5:$X$404,0),0)</f>
        <v>16016.361947704956</v>
      </c>
      <c r="Q47" s="12">
        <f>MIN(INDEX(其他调用!$AH$5:$AH$364,MATCH($K47,其他调用!$AG$5:$AG$364,0),1)/INDEX(其他调用!AK$5:AK$364,MATCH($K47,其他调用!$AG$5:$AG$364,0),0),1)*INDEX(其他调用!AB$5:AB$404,MATCH($K47,其他调用!$X$5:$X$404,0),0)</f>
        <v>6111.2135166597227</v>
      </c>
      <c r="R47" s="12">
        <f>MIN(INDEX(其他调用!$AH$5:$AH$364,MATCH($K47,其他调用!$AG$5:$AG$364,0),1)/INDEX(其他调用!AL$5:AL$364,MATCH($K47,其他调用!$AG$5:$AG$364,0),0),1)*INDEX(其他调用!AC$5:AC$404,MATCH($K47,其他调用!$X$5:$X$404,0),0)</f>
        <v>2043.1636287628251</v>
      </c>
      <c r="S47" s="12">
        <f>求节点(节奏总纲!D$4:D$163,标准城池设计!AC$4:AC$163,$K47)*求节点(节奏总纲!D$4:D$163,攻城基础信息!$AD$5:$AD$164,$K47)</f>
        <v>293797.69836966397</v>
      </c>
      <c r="T47" s="12">
        <f>INDEX(其他调用!$AA$5:$AA$404,MATCH($K47,其他调用!$X$5:$X$404,0))*MIN(INDEX(其他调用!AI$5:AI$364,MATCH($K47,其他调用!$AG$5:$AG$364,0),1)/INDEX(其他调用!$AJ$5:$AJ$364,MATCH($K47,其他调用!$AG$5:$AG$364,0),0),5)*求节点(节奏总纲!D$4:D$163,攻城基础信息!$AD$5:$AD$164,$K47)</f>
        <v>56711.167098186277</v>
      </c>
      <c r="U47" s="12">
        <f>MIN(INDEX(其他调用!$AI$5:$AI$364,MATCH($K47,其他调用!$AG$5:$AG$364,0),1)/INDEX(其他调用!AH$5:AH$364,MATCH($K47,其他调用!$AG$5:$AG$364,0),0),1)*INDEX(其他调用!Y$5:Y$404,MATCH($K47,其他调用!$X$5:$X$404,0),0)</f>
        <v>31293.724277434107</v>
      </c>
      <c r="V47" s="12">
        <f>MIN(INDEX(其他调用!$AI$5:$AI$364,MATCH($K47,其他调用!$AG$5:$AG$364,0),1)/INDEX(其他调用!AI$5:AI$364,MATCH($K47,其他调用!$AG$5:$AG$364,0),0),1)*INDEX(其他调用!Z$5:Z$404,MATCH($K47,其他调用!$X$5:$X$404,0),0)</f>
        <v>32364.953661602034</v>
      </c>
      <c r="W47" s="12">
        <f>MIN(INDEX(其他调用!$AI$5:$AI$364,MATCH($K47,其他调用!$AG$5:$AG$364,0),1)/INDEX(其他调用!AJ$5:AJ$364,MATCH($K47,其他调用!$AG$5:$AG$364,0),0),1)*INDEX(其他调用!AA$5:AA$404,MATCH($K47,其他调用!$X$5:$X$404,0),0)</f>
        <v>21466.331793891532</v>
      </c>
      <c r="X47" s="12">
        <f>MIN(INDEX(其他调用!$AI$5:$AI$364,MATCH($K47,其他调用!$AG$5:$AG$364,0),1)/INDEX(其他调用!AK$5:AK$364,MATCH($K47,其他调用!$AG$5:$AG$364,0),0),1)*INDEX(其他调用!AB$5:AB$404,MATCH($K47,其他调用!$X$5:$X$404,0),0)</f>
        <v>8190.7075676901959</v>
      </c>
      <c r="Y47" s="12">
        <f>MIN(INDEX(其他调用!$AI$5:$AI$364,MATCH($K47,其他调用!$AG$5:$AG$364,0),1)/INDEX(其他调用!AL$5:AL$364,MATCH($K47,其他调用!$AG$5:$AG$364,0),0),1)*INDEX(其他调用!AC$5:AC$404,MATCH($K47,其他调用!$X$5:$X$404,0),0)</f>
        <v>2738.4014239587646</v>
      </c>
      <c r="Z47" s="12">
        <f>求节点(节奏总纲!D$4:D$163,标准城池设计!AD$4:AD$163,$K47)*求节点(节奏总纲!D$4:D$163,攻城基础信息!$AE$5:$AE$164,$K47)</f>
        <v>311176.73424033698</v>
      </c>
      <c r="AA47" s="12">
        <f>INDEX(其他调用!$AA$5:$AA$404,MATCH($K47,其他调用!$X$5:$X$404,0))*MIN(INDEX(其他调用!AJ$5:AJ$364,MATCH($K47,其他调用!$AG$5:$AG$364,0),1)/INDEX(其他调用!$AJ$5:$AJ$364,MATCH($K47,其他调用!$AG$5:$AG$364,0),0),5)*求节点(节奏总纲!D$4:D$163,攻城基础信息!$AE$5:$AE$164,$K47)</f>
        <v>89323.980170608818</v>
      </c>
      <c r="AB47" s="12">
        <f>MIN(INDEX(其他调用!$AJ$5:$AJ$364,MATCH($K47,其他调用!$AG$5:$AG$364,0),1)/INDEX(其他调用!AH$5:AH$364,MATCH($K47,其他调用!$AG$5:$AG$364,0),0),1)*INDEX(其他调用!Y$5:Y$404,MATCH($K47,其他调用!$X$5:$X$404,0),0)</f>
        <v>31293.724277434107</v>
      </c>
      <c r="AC47" s="12">
        <f>MIN(INDEX(其他调用!$AJ$5:$AJ$364,MATCH($K47,其他调用!$AG$5:$AG$364,0),1)/INDEX(其他调用!AI$5:AI$364,MATCH($K47,其他调用!$AG$5:$AG$364,0),0),1)*INDEX(其他调用!Z$5:Z$404,MATCH($K47,其他调用!$X$5:$X$404,0),0)</f>
        <v>32364.953661602034</v>
      </c>
      <c r="AD47" s="12">
        <f>MIN(INDEX(其他调用!$AJ$5:$AJ$364,MATCH($K47,其他调用!$AG$5:$AG$364,0),1)/INDEX(其他调用!AJ$5:AJ$364,MATCH($K47,其他调用!$AG$5:$AG$364,0),0),1)*INDEX(其他调用!AA$5:AA$404,MATCH($K47,其他调用!$X$5:$X$404,0),0)</f>
        <v>33810.945773228508</v>
      </c>
      <c r="AE47" s="12">
        <f>MIN(INDEX(其他调用!$AJ$5:$AJ$364,MATCH($K47,其他调用!$AG$5:$AG$364,0),1)/INDEX(其他调用!AK$5:AK$364,MATCH($K47,其他调用!$AG$5:$AG$364,0),0),1)*INDEX(其他调用!AB$5:AB$404,MATCH($K47,其他调用!$X$5:$X$404,0),0)</f>
        <v>12900.92653344483</v>
      </c>
      <c r="AF47" s="12">
        <f>MIN(INDEX(其他调用!$AJ$5:$AJ$364,MATCH($K47,其他调用!$AG$5:$AG$364,0),1)/INDEX(其他调用!AL$5:AL$364,MATCH($K47,其他调用!$AG$5:$AG$364,0),0),1)*INDEX(其他调用!AC$5:AC$404,MATCH($K47,其他调用!$X$5:$X$404,0),0)</f>
        <v>4313.1701745683622</v>
      </c>
      <c r="AG47" s="12">
        <f>求节点(节奏总纲!D$4:D$163,标准城池设计!AE$4:AE$163,$K47)*求节点(节奏总纲!D$4:D$163,攻城基础信息!$AF$5:$AF$164,$K47)</f>
        <v>359873.77225584839</v>
      </c>
      <c r="AH47" s="12">
        <f>INDEX(其他调用!$AA$5:$AA$404,MATCH($K47,其他调用!$X$5:$X$404,0))*MIN(INDEX(其他调用!AK$5:AK$364,MATCH($K47,其他调用!$AG$5:$AG$364,0),1)/INDEX(其他调用!$AJ$5:$AJ$364,MATCH($K47,其他调用!$AG$5:$AG$364,0),0),5)*求节点(节奏总纲!D$4:D$163,攻城基础信息!$AF$5:$AF$164,$K47)</f>
        <v>248999.16411233487</v>
      </c>
      <c r="AI47" s="12">
        <f>MIN(INDEX(其他调用!$AK$5:$AK$364,MATCH($K47,其他调用!$AG$5:$AG$364,0),1)/INDEX(其他调用!AH$5:AH$364,MATCH($K47,其他调用!$AG$5:$AG$364,0),0),1)*INDEX(其他调用!Y$5:Y$404,MATCH($K47,其他调用!$X$5:$X$404,0),0)</f>
        <v>31293.724277434107</v>
      </c>
      <c r="AJ47" s="12">
        <f>MIN(INDEX(其他调用!$AK$5:$AK$364,MATCH($K47,其他调用!$AG$5:$AG$364,0),1)/INDEX(其他调用!AI$5:AI$364,MATCH($K47,其他调用!$AG$5:$AG$364,0),0),1)*INDEX(其他调用!Z$5:Z$404,MATCH($K47,其他调用!$X$5:$X$404,0),0)</f>
        <v>32364.953661602034</v>
      </c>
      <c r="AK47" s="12">
        <f>MIN(INDEX(其他调用!$AK$5:$AK$364,MATCH($K47,其他调用!$AG$5:$AG$364,0),1)/INDEX(其他调用!AJ$5:AJ$364,MATCH($K47,其他调用!$AG$5:$AG$364,0),0),1)*INDEX(其他调用!AA$5:AA$404,MATCH($K47,其他调用!$X$5:$X$404,0),0)</f>
        <v>33810.945773228508</v>
      </c>
      <c r="AL47" s="12">
        <f>MIN(INDEX(其他调用!$AK$5:$AK$364,MATCH($K47,其他调用!$AG$5:$AG$364,0),1)/INDEX(其他调用!AK$5:AK$364,MATCH($K47,其他调用!$AG$5:$AG$364,0),0),1)*INDEX(其他调用!AB$5:AB$404,MATCH($K47,其他调用!$X$5:$X$404,0),0)</f>
        <v>35962.570375467738</v>
      </c>
      <c r="AM47" s="12">
        <f>MIN(INDEX(其他调用!$AK$5:$AK$364,MATCH($K47,其他调用!$AG$5:$AG$364,0),1)/INDEX(其他调用!AL$5:AL$364,MATCH($K47,其他调用!$AG$5:$AG$364,0),0),1)*INDEX(其他调用!AC$5:AC$404,MATCH($K47,其他调用!$X$5:$X$404,0),0)</f>
        <v>12023.375649970836</v>
      </c>
      <c r="AN47" s="12">
        <f>求节点(节奏总纲!D$4:D$163,标准城池设计!AF$4:AF$163,$K47)*求节点(节奏总纲!D$4:D$163,攻城基础信息!$AG$5:$AG$164,$K47)</f>
        <v>370270.40008375287</v>
      </c>
      <c r="AO47" s="12">
        <f>INDEX(其他调用!$AA$5:$AA$404,MATCH($K47,其他调用!$X$5:$X$404,0))*MIN(INDEX(其他调用!AL$5:AL$364,MATCH($K47,其他调用!$AG$5:$AG$364,0),1)/INDEX(其他调用!$AJ$5:$AJ$364,MATCH($K47,其他调用!$AG$5:$AG$364,0),0),5)*求节点(节奏总纲!D$4:D$163,攻城基础信息!$AG$5:$AG$164,$K47)</f>
        <v>446619.90085304412</v>
      </c>
      <c r="AP47" s="12">
        <f>MIN(INDEX(其他调用!$AL$5:$AL$364,MATCH($K47,其他调用!$AG$5:$AG$364,0),1)/INDEX(其他调用!AH$5:AH$364,MATCH($K47,其他调用!$AG$5:$AG$364,0),0),1)*INDEX(其他调用!Y$5:Y$404,MATCH($K47,其他调用!$X$5:$X$404,0),0)</f>
        <v>31293.724277434107</v>
      </c>
      <c r="AQ47" s="12">
        <f>MIN(INDEX(其他调用!$AL$5:$AL$364,MATCH($K47,其他调用!$AG$5:$AG$364,0),1)/INDEX(其他调用!AI$5:AI$364,MATCH($K47,其他调用!$AG$5:$AG$364,0),0),1)*INDEX(其他调用!Z$5:Z$404,MATCH($K47,其他调用!$X$5:$X$404,0),0)</f>
        <v>32364.953661602034</v>
      </c>
      <c r="AR47" s="12">
        <f>MIN(INDEX(其他调用!$AL$5:$AL$364,MATCH($K47,其他调用!$AG$5:$AG$364,0),1)/INDEX(其他调用!AJ$5:AJ$364,MATCH($K47,其他调用!$AG$5:$AG$364,0),0),1)*INDEX(其他调用!AA$5:AA$404,MATCH($K47,其他调用!$X$5:$X$404,0),0)</f>
        <v>33810.945773228508</v>
      </c>
      <c r="AS47" s="12">
        <f>MIN(INDEX(其他调用!$AL$5:$AL$364,MATCH($K47,其他调用!$AG$5:$AG$364,0),1)/INDEX(其他调用!AK$5:AK$364,MATCH($K47,其他调用!$AG$5:$AG$364,0),0),1)*INDEX(其他调用!AB$5:AB$404,MATCH($K47,其他调用!$X$5:$X$404,0),0)</f>
        <v>35962.570375467738</v>
      </c>
      <c r="AT47" s="12">
        <f>MIN(INDEX(其他调用!$AL$5:$AL$364,MATCH($K47,其他调用!$AG$5:$AG$364,0),1)/INDEX(其他调用!AL$5:AL$364,MATCH($K47,其他调用!$AG$5:$AG$364,0),0),1)*INDEX(其他调用!AC$5:AC$404,MATCH($K47,其他调用!$X$5:$X$404,0),0)</f>
        <v>39802.253880597833</v>
      </c>
      <c r="AV47" s="14">
        <f>IF(OR(AV$5="大R",AV$5="超R"),MAX(INDEX(其他调用!$H$5:$L$404,MATCH($K47,其他调用!$B$5:$B$404,0),MATCH(AV$5,其他调用!$H$4:$L$4,0))*120*0.85,2),INDEX(其他调用!$H$5:$L$404,MATCH($K47,其他调用!$B$5:$B$404,0),MATCH(AV$5,其他调用!$H$4:$L$4,0))*120*0.85)</f>
        <v>53.451369523636387</v>
      </c>
      <c r="AW47" s="14">
        <f>IF(OR(AW$5="大R",AW$5="超R"),MAX(INDEX(其他调用!$H$5:$L$404,MATCH($K47,其他调用!$B$5:$B$404,0),MATCH(AW$5,其他调用!$H$4:$L$4,0))*120*0.85,2),INDEX(其他调用!$H$5:$L$404,MATCH($K47,其他调用!$B$5:$B$404,0),MATCH(AW$5,其他调用!$H$4:$L$4,0))*120*0.85)</f>
        <v>43.940091008587615</v>
      </c>
      <c r="AX47" s="14">
        <f>IF(OR(AX$5="大R",AX$5="超R"),MAX(INDEX(其他调用!$H$5:$L$404,MATCH($K47,其他调用!$B$5:$B$404,0),MATCH(AX$5,其他调用!$H$4:$L$4,0))*120*0.85,2),INDEX(其他调用!$H$5:$L$404,MATCH($K47,其他调用!$B$5:$B$404,0),MATCH(AX$5,其他调用!$H$4:$L$4,0))*120*0.85)</f>
        <v>3.8337964277759999</v>
      </c>
      <c r="AY47" s="14">
        <f>IF(OR(AY$5="大R",AY$5="超R"),MAX(INDEX(其他调用!$H$5:$L$404,MATCH($K47,其他调用!$B$5:$B$404,0),MATCH(AY$5,其他调用!$H$4:$L$4,0))*120*0.85,2),INDEX(其他调用!$H$5:$L$404,MATCH($K47,其他调用!$B$5:$B$404,0),MATCH(AY$5,其他调用!$H$4:$L$4,0))*120*0.85)</f>
        <v>2</v>
      </c>
      <c r="AZ47" s="14">
        <f>IF(OR(AZ$5="大R",AZ$5="超R"),MAX(INDEX(其他调用!$H$5:$L$404,MATCH($K47,其他调用!$B$5:$B$404,0),MATCH(AZ$5,其他调用!$H$4:$L$4,0))*120*0.85,2),INDEX(其他调用!$H$5:$L$404,MATCH($K47,其他调用!$B$5:$B$404,0),MATCH(AZ$5,其他调用!$H$4:$L$4,0))*120*0.85)</f>
        <v>2</v>
      </c>
      <c r="BA47" s="14">
        <f>INDEX(其他调用!$H$5:$L$404,MATCH($K47,其他调用!$B$5:$B$404,0),MATCH(BA$5,其他调用!$H$4:$L$4,0))*INDEX(其他调用!$M$5:$M$404,MATCH($K47,其他调用!$B$5:$B$404,0))*0.6</f>
        <v>28.614042398583745</v>
      </c>
      <c r="BB47" s="14">
        <f>INDEX(其他调用!$H$5:$L$404,MATCH($K47,其他调用!$B$5:$B$404,0),MATCH(BB$5,其他调用!$H$4:$L$4,0))*INDEX(其他调用!$M$5:$M$404,MATCH($K47,其他调用!$B$5:$B$404,0))*0.6</f>
        <v>23.522383772811846</v>
      </c>
      <c r="BC47" s="14">
        <f>INDEX(其他调用!$H$5:$L$404,MATCH($K47,其他调用!$B$5:$B$404,0),MATCH(BC$5,其他调用!$H$4:$L$4,0))*INDEX(其他调用!$M$5:$M$404,MATCH($K47,其他调用!$B$5:$B$404,0))*0.6</f>
        <v>2.0523405575868634</v>
      </c>
      <c r="BD47" s="14">
        <f>INDEX(其他调用!$H$5:$L$404,MATCH($K47,其他调用!$B$5:$B$404,0),MATCH(BD$5,其他调用!$H$4:$L$4,0))*INDEX(其他调用!$M$5:$M$404,MATCH($K47,其他调用!$B$5:$B$404,0))*0.6</f>
        <v>0.32982266610526328</v>
      </c>
      <c r="BE47" s="14">
        <f>INDEX(其他调用!$H$5:$L$404,MATCH($K47,其他调用!$B$5:$B$404,0),MATCH(BE$5,其他调用!$H$4:$L$4,0))*INDEX(其他调用!$M$5:$M$404,MATCH($K47,其他调用!$B$5:$B$404,0))*0.6</f>
        <v>8.4919376842105251E-2</v>
      </c>
      <c r="BF47" s="14">
        <f>IF(OR(BF$5="大R",BF$5="超R"),0,INDEX(其他调用!$H$5:$L$404,MATCH($K47,其他调用!$B$5:$B$404,0),MATCH(BF$5,其他调用!$H$4:$L$4,0))*50*0.4)</f>
        <v>10.480660690909097</v>
      </c>
      <c r="BG47" s="14">
        <f>IF(OR(BG$5="大R",BG$5="超R"),0,INDEX(其他调用!$H$5:$L$404,MATCH($K47,其他调用!$B$5:$B$404,0),MATCH(BG$5,其他调用!$H$4:$L$4,0))*50*0.4)</f>
        <v>8.6157041193309052</v>
      </c>
      <c r="BH47" s="14">
        <f>IF(OR(BH$5="大R",BH$5="超R"),0,INDEX(其他调用!$H$5:$L$404,MATCH($K47,其他调用!$B$5:$B$404,0),MATCH(BH$5,其他调用!$H$4:$L$4,0))*50*0.4)</f>
        <v>0.75172478976000012</v>
      </c>
      <c r="BI47" s="14">
        <f>IF(OR(BI$5="大R",BI$5="超R"),0,INDEX(其他调用!$H$5:$L$404,MATCH($K47,其他调用!$B$5:$B$404,0),MATCH(BI$5,其他调用!$H$4:$L$4,0))*50*0.4)</f>
        <v>0</v>
      </c>
      <c r="BJ47" s="14">
        <f>IF(OR(BJ$5="大R",BJ$5="超R"),0,INDEX(其他调用!$H$5:$L$404,MATCH($K47,其他调用!$B$5:$B$404,0),MATCH(BJ$5,其他调用!$H$4:$L$4,0))*50*0.4)</f>
        <v>0</v>
      </c>
      <c r="BL47" s="14">
        <f t="shared" si="103"/>
        <v>42</v>
      </c>
      <c r="BM47" s="14">
        <f t="shared" si="10"/>
        <v>96</v>
      </c>
      <c r="BN47" s="14">
        <f>('疲劳值&amp;地图信息'!$S$10*'疲劳值&amp;地图信息'!$R$10+'疲劳值&amp;地图信息'!$S$11*'疲劳值&amp;地图信息'!$R$11+'疲劳值&amp;地图信息'!$S$12*'疲劳值&amp;地图信息'!$R$12+(BM47-'疲劳值&amp;地图信息'!$S$12-'疲劳值&amp;地图信息'!$S$11-'疲劳值&amp;地图信息'!$S$10)*'疲劳值&amp;地图信息'!$R$13)/BM47</f>
        <v>51.371477246638619</v>
      </c>
      <c r="BO47" s="14">
        <f>INDEX(其他调用!$M$5:$M$404,MATCH(BL47,其他调用!$B$5:$B$404,0))*0.6</f>
        <v>54.603508771929825</v>
      </c>
      <c r="BP47" s="14">
        <f>IF(BO47&gt;SUM('疲劳值&amp;地图信息'!$S$10:$S$12),('疲劳值&amp;地图信息'!$S$10*'疲劳值&amp;地图信息'!$R$10+'疲劳值&amp;地图信息'!$S$11*'疲劳值&amp;地图信息'!$R$11+'疲劳值&amp;地图信息'!$S$12*'疲劳值&amp;地图信息'!$R$12+(BO47-'疲劳值&amp;地图信息'!$S$12-'疲劳值&amp;地图信息'!$S$11-'疲劳值&amp;地图信息'!$S$10)*'疲劳值&amp;地图信息'!$R$13)/BO47,('疲劳值&amp;地图信息'!$S$10*'疲劳值&amp;地图信息'!$R$10+'疲劳值&amp;地图信息'!$S$11*'疲劳值&amp;地图信息'!$R$11+'疲劳值&amp;地图信息'!$S$12*'疲劳值&amp;地图信息'!$R$12+(BO47-'疲劳值&amp;地图信息'!$S$12-'疲劳值&amp;地图信息'!$S$11-'疲劳值&amp;地图信息'!$S$10)*'疲劳值&amp;地图信息'!$R$13)/BO47)</f>
        <v>42.257075070657017</v>
      </c>
      <c r="BQ47" s="14">
        <f t="shared" si="104"/>
        <v>20</v>
      </c>
      <c r="BR47" s="14">
        <f>('疲劳值&amp;地图信息'!$S$10*'疲劳值&amp;地图信息'!$R$10+($BQ47-'疲劳值&amp;地图信息'!$S$10)*'疲劳值&amp;地图信息'!$R$11)/$BQ47</f>
        <v>32.067203015074995</v>
      </c>
      <c r="BW47" s="14" t="s">
        <v>502</v>
      </c>
      <c r="BX47" s="14">
        <v>2100</v>
      </c>
      <c r="BY47" s="14">
        <v>1200</v>
      </c>
      <c r="BZ47" s="14">
        <v>300</v>
      </c>
      <c r="CF47" s="14">
        <v>42</v>
      </c>
      <c r="CG47" s="51">
        <f t="shared" si="11"/>
        <v>6053</v>
      </c>
      <c r="CH47" s="51">
        <f t="shared" si="12"/>
        <v>901</v>
      </c>
      <c r="CI47" s="51">
        <f>INT(SUMPRODUCT($N47:$R47,$BA47:$BE47)/SUM($BA47:$BE47)/10000*$BX$7*$BZ$34/'疲劳值&amp;地图信息'!$R$10*$BY$53)</f>
        <v>2784</v>
      </c>
      <c r="CJ47" s="50">
        <f t="shared" si="13"/>
        <v>0.62158554117888687</v>
      </c>
      <c r="CK47" s="50">
        <f t="shared" si="14"/>
        <v>9.2524132265352235E-2</v>
      </c>
      <c r="CL47" s="50">
        <f t="shared" si="15"/>
        <v>0.28589032655576091</v>
      </c>
      <c r="CM47" s="14">
        <f t="shared" si="16"/>
        <v>6257</v>
      </c>
      <c r="CN47" s="14">
        <f t="shared" si="17"/>
        <v>1207</v>
      </c>
      <c r="CO47" s="14">
        <f>INT(SUMPRODUCT($U47:$Y47,$BA47:$BE47)/SUM($BA47:$BE47)/10000*$BX$7*$BZ$34/'疲劳值&amp;地图信息'!$R$10*$BY$54)</f>
        <v>4748</v>
      </c>
      <c r="CP47" s="50">
        <f t="shared" si="18"/>
        <v>0.51236488699639704</v>
      </c>
      <c r="CQ47" s="50">
        <f t="shared" si="19"/>
        <v>9.8837209302325577E-2</v>
      </c>
      <c r="CR47" s="50">
        <f t="shared" si="20"/>
        <v>0.38879790370127743</v>
      </c>
      <c r="CS47" s="14">
        <f t="shared" si="21"/>
        <v>6627</v>
      </c>
      <c r="CT47" s="14">
        <f t="shared" si="22"/>
        <v>1902</v>
      </c>
      <c r="CU47" s="14">
        <f>INT(SUMPRODUCT($AB47:$AF47,$BA47:$BE47)/SUM($BA47:$BE47)/10000*$BX$7*$BZ$34/'疲劳值&amp;地图信息'!$R$10*$BY$55)</f>
        <v>6432</v>
      </c>
      <c r="CV47" s="50">
        <f t="shared" si="23"/>
        <v>0.44295167435331861</v>
      </c>
      <c r="CW47" s="50">
        <f t="shared" si="24"/>
        <v>0.12713053940244637</v>
      </c>
      <c r="CX47" s="50">
        <f t="shared" si="25"/>
        <v>0.42991778624423499</v>
      </c>
      <c r="CY47" s="14">
        <f t="shared" si="26"/>
        <v>7664</v>
      </c>
      <c r="CZ47" s="14">
        <f t="shared" si="27"/>
        <v>5303</v>
      </c>
      <c r="DA47" s="14">
        <f>INT(SUMPRODUCT($AI47:$AM47,$BA47:$BE47)/SUM($BA47:$BE47)/10000*$BX$7*$BZ$34/'疲劳值&amp;地图信息'!$R$10*$BY$56)</f>
        <v>9694</v>
      </c>
      <c r="DB47" s="50">
        <f t="shared" si="28"/>
        <v>0.33820219760822556</v>
      </c>
      <c r="DC47" s="50">
        <f t="shared" si="29"/>
        <v>0.23401438594942853</v>
      </c>
      <c r="DD47" s="50">
        <f t="shared" si="30"/>
        <v>0.42778341644234585</v>
      </c>
      <c r="DE47" s="14">
        <f t="shared" si="31"/>
        <v>7886</v>
      </c>
      <c r="DF47" s="14">
        <f t="shared" si="32"/>
        <v>9512</v>
      </c>
      <c r="DG47" s="14">
        <f>INT(SUMPRODUCT($AP47:$AT47,$BA47:$BE47)/SUM($BA47:$BE47)/10000*$BX$7*$BZ$34/'疲劳值&amp;地图信息'!$R$10*$BY$57)</f>
        <v>12943</v>
      </c>
      <c r="DH47" s="50">
        <f t="shared" si="33"/>
        <v>0.25991232985069707</v>
      </c>
      <c r="DI47" s="50">
        <f t="shared" si="34"/>
        <v>0.31350318051481496</v>
      </c>
      <c r="DJ47" s="50">
        <f t="shared" si="35"/>
        <v>0.42658448963448797</v>
      </c>
      <c r="DL47" s="14">
        <f t="shared" si="106"/>
        <v>9738</v>
      </c>
      <c r="DM47" s="14">
        <f t="shared" si="107"/>
        <v>12212</v>
      </c>
      <c r="DN47" s="14">
        <f t="shared" si="108"/>
        <v>14961</v>
      </c>
      <c r="DO47" s="14">
        <f t="shared" si="109"/>
        <v>22661</v>
      </c>
      <c r="DP47" s="14">
        <f t="shared" si="110"/>
        <v>30341</v>
      </c>
      <c r="DQ47" s="14">
        <f t="shared" si="111"/>
        <v>606654</v>
      </c>
      <c r="DT47" s="14">
        <f t="shared" si="105"/>
        <v>235575</v>
      </c>
      <c r="DU47" s="50">
        <f t="shared" si="7"/>
        <v>0.27970421346213442</v>
      </c>
      <c r="DW47" s="14">
        <f t="shared" si="36"/>
        <v>842229</v>
      </c>
      <c r="EB47" s="14">
        <v>42</v>
      </c>
      <c r="EC47" s="51">
        <f t="shared" si="37"/>
        <v>10089</v>
      </c>
      <c r="ED47" s="51">
        <f t="shared" si="38"/>
        <v>1501</v>
      </c>
      <c r="EE47" s="51">
        <f>INT(SUMPRODUCT($N47:$R47,$BF47:$BJ47)/SUM($BF47:$BJ47)/10000*$BX$7*$BZ$46/'疲劳值&amp;地图信息'!$R$10*$BY$53)</f>
        <v>373</v>
      </c>
      <c r="EF47" s="50">
        <f t="shared" si="39"/>
        <v>0.84335033018473626</v>
      </c>
      <c r="EG47" s="50">
        <f t="shared" si="40"/>
        <v>0.12547019978266322</v>
      </c>
      <c r="EH47" s="50">
        <f t="shared" si="41"/>
        <v>3.1179470032600517E-2</v>
      </c>
      <c r="EI47" s="51">
        <f t="shared" si="42"/>
        <v>10428</v>
      </c>
      <c r="EJ47" s="51">
        <f t="shared" si="43"/>
        <v>2013</v>
      </c>
      <c r="EK47" s="14">
        <f>INT(SUMPRODUCT($U47:$Y47,$BF47:$BJ47)/SUM($BF47:$BJ47)/10000*$BX$7*$BZ$46/'疲劳值&amp;地图信息'!$R$10*$BY$54)</f>
        <v>636</v>
      </c>
      <c r="EL47" s="50">
        <f t="shared" si="44"/>
        <v>0.79743060334939209</v>
      </c>
      <c r="EM47" s="50">
        <f t="shared" si="45"/>
        <v>0.1539343886212434</v>
      </c>
      <c r="EN47" s="50">
        <f t="shared" si="46"/>
        <v>4.8635008029364532E-2</v>
      </c>
      <c r="EO47" s="51">
        <f t="shared" si="47"/>
        <v>11045</v>
      </c>
      <c r="EP47" s="51">
        <f t="shared" si="48"/>
        <v>3170</v>
      </c>
      <c r="EQ47" s="14">
        <f>INT(SUMPRODUCT($AB47:$AF47,$BF47:$BJ47)/SUM($BF47:$BJ47)/10000*$BX$7*$BZ$46/'疲劳值&amp;地图信息'!$R$10*$BY$55)</f>
        <v>861</v>
      </c>
      <c r="ER47" s="50">
        <f t="shared" si="49"/>
        <v>0.73262138498275409</v>
      </c>
      <c r="ES47" s="50">
        <f t="shared" si="50"/>
        <v>0.21026797559034227</v>
      </c>
      <c r="ET47" s="50">
        <f t="shared" si="51"/>
        <v>5.7110639426903691E-2</v>
      </c>
      <c r="EU47" s="51">
        <f t="shared" si="52"/>
        <v>12774</v>
      </c>
      <c r="EV47" s="51">
        <f t="shared" si="53"/>
        <v>8838</v>
      </c>
      <c r="EW47" s="14">
        <f>INT(SUMPRODUCT($AI47:$AM47,$BF47:$BJ47)/SUM($BF47:$BJ47)/10000*$BX$7*$BZ$46/'疲劳值&amp;地图信息'!$R$10*$BY$56)</f>
        <v>1292</v>
      </c>
      <c r="EX47" s="50">
        <f t="shared" si="54"/>
        <v>0.55771917568983587</v>
      </c>
      <c r="EY47" s="50">
        <f t="shared" si="55"/>
        <v>0.38587146349982537</v>
      </c>
      <c r="EZ47" s="50">
        <f t="shared" si="56"/>
        <v>5.6409360810338809E-2</v>
      </c>
      <c r="FA47" s="51">
        <f t="shared" si="57"/>
        <v>13143</v>
      </c>
      <c r="FB47" s="51">
        <f t="shared" si="58"/>
        <v>15853</v>
      </c>
      <c r="FC47" s="14">
        <f>INT(SUMPRODUCT($AP47:$AT47,$BF47:$BJ47)/SUM($BF47:$BJ47)/10000*$BX$7*$BZ$46/'疲劳值&amp;地图信息'!$R$10*$BY$57)</f>
        <v>1723</v>
      </c>
      <c r="FD47" s="50">
        <f t="shared" si="59"/>
        <v>0.42784595852729579</v>
      </c>
      <c r="FE47" s="50">
        <f t="shared" si="60"/>
        <v>0.51606497607343993</v>
      </c>
      <c r="FF47" s="50">
        <f t="shared" si="61"/>
        <v>5.6089065399264296E-2</v>
      </c>
      <c r="FH47" s="14">
        <f t="shared" si="62"/>
        <v>11963</v>
      </c>
      <c r="FI47" s="14">
        <f t="shared" si="63"/>
        <v>13077</v>
      </c>
      <c r="FJ47" s="14">
        <f t="shared" si="64"/>
        <v>15076</v>
      </c>
      <c r="FK47" s="14">
        <f t="shared" si="65"/>
        <v>22904</v>
      </c>
      <c r="FL47" s="14">
        <f t="shared" si="66"/>
        <v>30719</v>
      </c>
      <c r="FM47" s="14">
        <f t="shared" si="67"/>
        <v>1379087</v>
      </c>
      <c r="FP47" s="14">
        <f t="shared" si="68"/>
        <v>334150</v>
      </c>
      <c r="FQ47" s="50">
        <f t="shared" si="8"/>
        <v>0.19504014914457252</v>
      </c>
      <c r="FS47" s="14">
        <f t="shared" si="69"/>
        <v>1713237</v>
      </c>
      <c r="FX47" s="14">
        <v>42</v>
      </c>
      <c r="FY47" s="51">
        <f t="shared" si="70"/>
        <v>14124</v>
      </c>
      <c r="FZ47" s="51">
        <f t="shared" si="71"/>
        <v>1501</v>
      </c>
      <c r="GA47" s="51">
        <f>INT(SUMPRODUCT($N47:$R47,$BF47:$BJ47)/SUM($BF47:$BJ47)/10000*$BX$7*$BZ$46/'疲劳值&amp;地图信息'!$R$10*$BY$53)</f>
        <v>373</v>
      </c>
      <c r="GB47" s="50">
        <f t="shared" si="72"/>
        <v>0.88286035754469305</v>
      </c>
      <c r="GC47" s="50">
        <f t="shared" si="73"/>
        <v>9.3824228028503556E-2</v>
      </c>
      <c r="GD47" s="50">
        <f t="shared" si="74"/>
        <v>2.3315414426803349E-2</v>
      </c>
      <c r="GE47" s="51">
        <f t="shared" si="75"/>
        <v>14600</v>
      </c>
      <c r="GF47" s="51">
        <f t="shared" si="76"/>
        <v>2013</v>
      </c>
      <c r="GG47" s="14">
        <f>INT(SUMPRODUCT($U47:$Y47,$BF47:$BJ47)/SUM($BF47:$BJ47)/10000*$BX$7*$BZ$46/'疲劳值&amp;地图信息'!$R$10*$BY$54)</f>
        <v>636</v>
      </c>
      <c r="GH47" s="50">
        <f t="shared" si="77"/>
        <v>0.84642587976114558</v>
      </c>
      <c r="GI47" s="50">
        <f t="shared" si="78"/>
        <v>0.11670241753145109</v>
      </c>
      <c r="GJ47" s="50">
        <f t="shared" si="79"/>
        <v>3.687170270740333E-2</v>
      </c>
      <c r="GK47" s="51">
        <f t="shared" si="80"/>
        <v>15464</v>
      </c>
      <c r="GL47" s="51">
        <f t="shared" si="81"/>
        <v>3170</v>
      </c>
      <c r="GM47" s="14">
        <f>INT(SUMPRODUCT($AB47:$AF47,$BF47:$BJ47)/SUM($BF47:$BJ47)/10000*$BX$7*$BZ$46/'疲劳值&amp;地图信息'!$R$10*$BY$55)</f>
        <v>861</v>
      </c>
      <c r="GN47" s="50">
        <f t="shared" si="82"/>
        <v>0.79322903308540649</v>
      </c>
      <c r="GO47" s="50">
        <f t="shared" si="83"/>
        <v>0.16260579635804051</v>
      </c>
      <c r="GP47" s="50">
        <f t="shared" si="84"/>
        <v>4.416517055655296E-2</v>
      </c>
      <c r="GQ47" s="51">
        <f t="shared" si="85"/>
        <v>17884</v>
      </c>
      <c r="GR47" s="51">
        <f t="shared" si="86"/>
        <v>8838</v>
      </c>
      <c r="GS47" s="14">
        <f>INT(SUMPRODUCT($AI47:$AM47,$BF47:$BJ47)/SUM($BF47:$BJ47)/10000*$BX$7*$BZ$46/'疲劳值&amp;地图信息'!$R$10*$BY$56)</f>
        <v>1292</v>
      </c>
      <c r="GT47" s="50">
        <f t="shared" si="87"/>
        <v>0.63839508817020063</v>
      </c>
      <c r="GU47" s="50">
        <f t="shared" si="88"/>
        <v>0.31548511458556439</v>
      </c>
      <c r="GV47" s="50">
        <f t="shared" si="89"/>
        <v>4.6119797244235025E-2</v>
      </c>
      <c r="GW47" s="51">
        <f t="shared" si="90"/>
        <v>18400</v>
      </c>
      <c r="GX47" s="51">
        <f t="shared" si="91"/>
        <v>15853</v>
      </c>
      <c r="GY47" s="14">
        <f>INT(SUMPRODUCT($AP47:$AT47,$BF47:$BJ47)/SUM($BF47:$BJ47)/10000*$BX$7*$BZ$46/'疲劳值&amp;地图信息'!$R$10*$BY$57)</f>
        <v>1723</v>
      </c>
      <c r="GZ47" s="50">
        <f t="shared" si="92"/>
        <v>0.51145207916388702</v>
      </c>
      <c r="HA47" s="50">
        <f t="shared" si="93"/>
        <v>0.44065488103179895</v>
      </c>
      <c r="HB47" s="50">
        <f t="shared" si="94"/>
        <v>4.7893039804313989E-2</v>
      </c>
      <c r="HD47" s="14">
        <f t="shared" si="95"/>
        <v>15998</v>
      </c>
      <c r="HE47" s="14">
        <f t="shared" si="96"/>
        <v>17249</v>
      </c>
      <c r="HF47" s="14">
        <f t="shared" si="97"/>
        <v>19495</v>
      </c>
      <c r="HG47" s="14">
        <f t="shared" si="98"/>
        <v>28014</v>
      </c>
      <c r="HH47" s="14">
        <f t="shared" si="99"/>
        <v>35976</v>
      </c>
      <c r="HI47" s="14">
        <f t="shared" si="100"/>
        <v>1815757</v>
      </c>
      <c r="HL47" s="14">
        <f t="shared" si="101"/>
        <v>430050</v>
      </c>
      <c r="HM47" s="50">
        <f t="shared" si="9"/>
        <v>0.19149018593316344</v>
      </c>
      <c r="HO47" s="14">
        <f t="shared" si="102"/>
        <v>2245807</v>
      </c>
    </row>
    <row r="48" spans="3:223" x14ac:dyDescent="0.2">
      <c r="K48" s="14">
        <v>43</v>
      </c>
      <c r="L48" s="12">
        <f>求节点(节奏总纲!D$4:D$163,标准城池设计!AB$4:AB$163,$K48)*求节点(节奏总纲!D$4:D$163,攻城基础信息!$AC$5:$AC$164,$K48)</f>
        <v>288352.08702134935</v>
      </c>
      <c r="M48" s="12">
        <f>INDEX(其他调用!$AA$5:$AA$404,MATCH(K48,其他调用!$X$5:$X$404,0))*MIN(INDEX(其他调用!$AH$5:$AH$364,MATCH('征服点（新）'!K48,其他调用!$AG$5:$AG$364,0),1)/INDEX(其他调用!$AJ$5:$AJ$364,MATCH(K48,其他调用!$AG$5:$AG$364,0),0),5)*求节点(节奏总纲!D$4:D$163,攻城基础信息!$AC$5:$AC$164,$K48)</f>
        <v>42065.082979094834</v>
      </c>
      <c r="N48" s="12">
        <f>MIN(INDEX(其他调用!$AH$5:$AH$364,MATCH($K48,其他调用!$AG$5:$AG$364,0),1)/INDEX(其他调用!AH$5:AH$364,MATCH($K48,其他调用!$AG$5:$AG$364,0),0),1)*INDEX(其他调用!Y$5:Y$404,MATCH($K48,其他调用!$X$5:$X$404,0),0)</f>
        <v>31420.75852119115</v>
      </c>
      <c r="O48" s="12">
        <f>MIN(INDEX(其他调用!$AH$5:$AH$364,MATCH($K48,其他调用!$AG$5:$AG$364,0),1)/INDEX(其他调用!AI$5:AI$364,MATCH($K48,其他调用!$AG$5:$AG$364,0),0),1)*INDEX(其他调用!Z$5:Z$404,MATCH($K48,其他调用!$X$5:$X$404,0),0)</f>
        <v>24266.64686716444</v>
      </c>
      <c r="P48" s="12">
        <f>MIN(INDEX(其他调用!$AH$5:$AH$364,MATCH($K48,其他调用!$AG$5:$AG$364,0),1)/INDEX(其他调用!AJ$5:AJ$364,MATCH($K48,其他调用!$AG$5:$AG$364,0),0),1)*INDEX(其他调用!AA$5:AA$404,MATCH($K48,其他调用!$X$5:$X$404,0),0)</f>
        <v>15856.474722630132</v>
      </c>
      <c r="Q48" s="12">
        <f>MIN(INDEX(其他调用!$AH$5:$AH$364,MATCH($K48,其他调用!$AG$5:$AG$364,0),1)/INDEX(其他调用!AK$5:AK$364,MATCH($K48,其他调用!$AG$5:$AG$364,0),0),1)*INDEX(其他调用!AB$5:AB$404,MATCH($K48,其他调用!$X$5:$X$404,0),0)</f>
        <v>6072.4373233867782</v>
      </c>
      <c r="R48" s="12">
        <f>MIN(INDEX(其他调用!$AH$5:$AH$364,MATCH($K48,其他调用!$AG$5:$AG$364,0),1)/INDEX(其他调用!AL$5:AL$364,MATCH($K48,其他调用!$AG$5:$AG$364,0),0),1)*INDEX(其他调用!AC$5:AC$404,MATCH($K48,其他调用!$X$5:$X$404,0),0)</f>
        <v>2029.6946503260235</v>
      </c>
      <c r="S48" s="12">
        <f>求节点(节奏总纲!D$4:D$163,标准城池设计!AC$4:AC$163,$K48)*求节点(节奏总纲!D$4:D$163,攻城基础信息!$AD$5:$AD$164,$K48)</f>
        <v>297979.33501816791</v>
      </c>
      <c r="T48" s="12">
        <f>INDEX(其他调用!$AA$5:$AA$404,MATCH($K48,其他调用!$X$5:$X$404,0))*MIN(INDEX(其他调用!AI$5:AI$364,MATCH($K48,其他调用!$AG$5:$AG$364,0),1)/INDEX(其他调用!$AJ$5:$AJ$364,MATCH($K48,其他调用!$AG$5:$AG$364,0),0),5)*求节点(节奏总纲!D$4:D$163,攻城基础信息!$AD$5:$AD$164,$K48)</f>
        <v>56325.692868799095</v>
      </c>
      <c r="U48" s="12">
        <f>MIN(INDEX(其他调用!$AI$5:$AI$364,MATCH($K48,其他调用!$AG$5:$AG$364,0),1)/INDEX(其他调用!AH$5:AH$364,MATCH($K48,其他调用!$AG$5:$AG$364,0),0),1)*INDEX(其他调用!Y$5:Y$404,MATCH($K48,其他调用!$X$5:$X$404,0),0)</f>
        <v>31420.75852119115</v>
      </c>
      <c r="V48" s="12">
        <f>MIN(INDEX(其他调用!$AI$5:$AI$364,MATCH($K48,其他调用!$AG$5:$AG$364,0),1)/INDEX(其他调用!AI$5:AI$364,MATCH($K48,其他调用!$AG$5:$AG$364,0),0),1)*INDEX(其他调用!Z$5:Z$404,MATCH($K48,其他调用!$X$5:$X$404,0),0)</f>
        <v>32493.355571764565</v>
      </c>
      <c r="W48" s="12">
        <f>MIN(INDEX(其他调用!$AI$5:$AI$364,MATCH($K48,其他调用!$AG$5:$AG$364,0),1)/INDEX(其他调用!AJ$5:AJ$364,MATCH($K48,其他调用!$AG$5:$AG$364,0),0),1)*INDEX(其他调用!AA$5:AA$404,MATCH($K48,其他调用!$X$5:$X$404,0),0)</f>
        <v>21232.025755246937</v>
      </c>
      <c r="X48" s="12">
        <f>MIN(INDEX(其他调用!$AI$5:$AI$364,MATCH($K48,其他调用!$AG$5:$AG$364,0),1)/INDEX(其他调用!AK$5:AK$364,MATCH($K48,其他调用!$AG$5:$AG$364,0),0),1)*INDEX(其他调用!AB$5:AB$404,MATCH($K48,其他调用!$X$5:$X$404,0),0)</f>
        <v>8131.0725052437792</v>
      </c>
      <c r="Y48" s="12">
        <f>MIN(INDEX(其他调用!$AI$5:$AI$364,MATCH($K48,其他调用!$AG$5:$AG$364,0),1)/INDEX(其他调用!AL$5:AL$364,MATCH($K48,其他调用!$AG$5:$AG$364,0),0),1)*INDEX(其他调用!AC$5:AC$404,MATCH($K48,其他调用!$X$5:$X$404,0),0)</f>
        <v>2717.7875186535107</v>
      </c>
      <c r="Z48" s="12">
        <f>求节点(节奏总纲!D$4:D$163,标准城池设计!AD$4:AD$163,$K48)*求节点(节奏总纲!D$4:D$163,攻城基础信息!$AE$5:$AE$164,$K48)</f>
        <v>315472.67259870295</v>
      </c>
      <c r="AA48" s="12">
        <f>INDEX(其他调用!$AA$5:$AA$404,MATCH($K48,其他调用!$X$5:$X$404,0))*MIN(INDEX(其他调用!AJ$5:AJ$364,MATCH($K48,其他调用!$AG$5:$AG$364,0),1)/INDEX(其他调用!$AJ$5:$AJ$364,MATCH($K48,其他调用!$AG$5:$AG$364,0),0),5)*求节点(节奏总纲!D$4:D$163,攻城基础信息!$AE$5:$AE$164,$K48)</f>
        <v>90055.667845701319</v>
      </c>
      <c r="AB48" s="12">
        <f>MIN(INDEX(其他调用!$AJ$5:$AJ$364,MATCH($K48,其他调用!$AG$5:$AG$364,0),1)/INDEX(其他调用!AH$5:AH$364,MATCH($K48,其他调用!$AG$5:$AG$364,0),0),1)*INDEX(其他调用!Y$5:Y$404,MATCH($K48,其他调用!$X$5:$X$404,0),0)</f>
        <v>31420.75852119115</v>
      </c>
      <c r="AC48" s="12">
        <f>MIN(INDEX(其他调用!$AJ$5:$AJ$364,MATCH($K48,其他调用!$AG$5:$AG$364,0),1)/INDEX(其他调用!AI$5:AI$364,MATCH($K48,其他调用!$AG$5:$AG$364,0),0),1)*INDEX(其他调用!Z$5:Z$404,MATCH($K48,其他调用!$X$5:$X$404,0),0)</f>
        <v>32493.355571764565</v>
      </c>
      <c r="AD48" s="12">
        <f>MIN(INDEX(其他调用!$AJ$5:$AJ$364,MATCH($K48,其他调用!$AG$5:$AG$364,0),1)/INDEX(其他调用!AJ$5:AJ$364,MATCH($K48,其他调用!$AG$5:$AG$364,0),0),1)*INDEX(其他调用!AA$5:AA$404,MATCH($K48,其他调用!$X$5:$X$404,0),0)</f>
        <v>33946.573254939183</v>
      </c>
      <c r="AE48" s="12">
        <f>MIN(INDEX(其他调用!$AJ$5:$AJ$364,MATCH($K48,其他调用!$AG$5:$AG$364,0),1)/INDEX(其他调用!AK$5:AK$364,MATCH($K48,其他调用!$AG$5:$AG$364,0),0),1)*INDEX(其他调用!AB$5:AB$404,MATCH($K48,其他调用!$X$5:$X$404,0),0)</f>
        <v>13000.26910396283</v>
      </c>
      <c r="AF48" s="12">
        <f>MIN(INDEX(其他调用!$AJ$5:$AJ$364,MATCH($K48,其他调用!$AG$5:$AG$364,0),1)/INDEX(其他调用!AL$5:AL$364,MATCH($K48,其他调用!$AG$5:$AG$364,0),0),1)*INDEX(其他调用!AC$5:AC$404,MATCH($K48,其他调用!$X$5:$X$404,0),0)</f>
        <v>4345.3024293045264</v>
      </c>
      <c r="AG48" s="12">
        <f>求节点(节奏总纲!D$4:D$163,标准城池设计!AE$4:AE$163,$K48)*求节点(节奏总纲!D$4:D$163,攻城基础信息!$AF$5:$AF$164,$K48)</f>
        <v>364210.99307273113</v>
      </c>
      <c r="AH48" s="12">
        <f>INDEX(其他调用!$AA$5:$AA$404,MATCH($K48,其他调用!$X$5:$X$404,0))*MIN(INDEX(其他调用!AK$5:AK$364,MATCH($K48,其他调用!$AG$5:$AG$364,0),1)/INDEX(其他调用!$AJ$5:$AJ$364,MATCH($K48,其他调用!$AG$5:$AG$364,0),0),5)*求节点(节奏总纲!D$4:D$163,攻城基础信息!$AF$5:$AF$164,$K48)</f>
        <v>250044.65379471186</v>
      </c>
      <c r="AI48" s="12">
        <f>MIN(INDEX(其他调用!$AK$5:$AK$364,MATCH($K48,其他调用!$AG$5:$AG$364,0),1)/INDEX(其他调用!AH$5:AH$364,MATCH($K48,其他调用!$AG$5:$AG$364,0),0),1)*INDEX(其他调用!Y$5:Y$404,MATCH($K48,其他调用!$X$5:$X$404,0),0)</f>
        <v>31420.75852119115</v>
      </c>
      <c r="AJ48" s="12">
        <f>MIN(INDEX(其他调用!$AK$5:$AK$364,MATCH($K48,其他调用!$AG$5:$AG$364,0),1)/INDEX(其他调用!AI$5:AI$364,MATCH($K48,其他调用!$AG$5:$AG$364,0),0),1)*INDEX(其他调用!Z$5:Z$404,MATCH($K48,其他调用!$X$5:$X$404,0),0)</f>
        <v>32493.355571764565</v>
      </c>
      <c r="AK48" s="12">
        <f>MIN(INDEX(其他调用!$AK$5:$AK$364,MATCH($K48,其他调用!$AG$5:$AG$364,0),1)/INDEX(其他调用!AJ$5:AJ$364,MATCH($K48,其他调用!$AG$5:$AG$364,0),0),1)*INDEX(其他调用!AA$5:AA$404,MATCH($K48,其他调用!$X$5:$X$404,0),0)</f>
        <v>33946.573254939183</v>
      </c>
      <c r="AL48" s="12">
        <f>MIN(INDEX(其他调用!$AK$5:$AK$364,MATCH($K48,其他调用!$AG$5:$AG$364,0),1)/INDEX(其他调用!AK$5:AK$364,MATCH($K48,其他调用!$AG$5:$AG$364,0),0),1)*INDEX(其他调用!AB$5:AB$404,MATCH($K48,其他调用!$X$5:$X$404,0),0)</f>
        <v>36095.982241873295</v>
      </c>
      <c r="AM48" s="12">
        <f>MIN(INDEX(其他调用!$AK$5:$AK$364,MATCH($K48,其他调用!$AG$5:$AG$364,0),1)/INDEX(其他调用!AL$5:AL$364,MATCH($K48,其他调用!$AG$5:$AG$364,0),0),1)*INDEX(其他调用!AC$5:AC$404,MATCH($K48,其他调用!$X$5:$X$404,0),0)</f>
        <v>12064.977891567924</v>
      </c>
      <c r="AN48" s="12">
        <f>求节点(节奏总纲!D$4:D$163,标准城池设计!AF$4:AF$163,$K48)*求节点(节奏总纲!D$4:D$163,攻城基础信息!$AG$5:$AG$164,$K48)</f>
        <v>374871.37998174637</v>
      </c>
      <c r="AO48" s="12">
        <f>INDEX(其他调用!$AA$5:$AA$404,MATCH($K48,其他调用!$X$5:$X$404,0))*MIN(INDEX(其他调用!AL$5:AL$364,MATCH($K48,其他调用!$AG$5:$AG$364,0),1)/INDEX(其他调用!$AJ$5:$AJ$364,MATCH($K48,其他调用!$AG$5:$AG$364,0),0),5)*求节点(节奏总纲!D$4:D$163,攻城基础信息!$AG$5:$AG$164,$K48)</f>
        <v>450278.33922850655</v>
      </c>
      <c r="AP48" s="12">
        <f>MIN(INDEX(其他调用!$AL$5:$AL$364,MATCH($K48,其他调用!$AG$5:$AG$364,0),1)/INDEX(其他调用!AH$5:AH$364,MATCH($K48,其他调用!$AG$5:$AG$364,0),0),1)*INDEX(其他调用!Y$5:Y$404,MATCH($K48,其他调用!$X$5:$X$404,0),0)</f>
        <v>31420.75852119115</v>
      </c>
      <c r="AQ48" s="12">
        <f>MIN(INDEX(其他调用!$AL$5:$AL$364,MATCH($K48,其他调用!$AG$5:$AG$364,0),1)/INDEX(其他调用!AI$5:AI$364,MATCH($K48,其他调用!$AG$5:$AG$364,0),0),1)*INDEX(其他调用!Z$5:Z$404,MATCH($K48,其他调用!$X$5:$X$404,0),0)</f>
        <v>32493.355571764565</v>
      </c>
      <c r="AR48" s="12">
        <f>MIN(INDEX(其他调用!$AL$5:$AL$364,MATCH($K48,其他调用!$AG$5:$AG$364,0),1)/INDEX(其他调用!AJ$5:AJ$364,MATCH($K48,其他调用!$AG$5:$AG$364,0),0),1)*INDEX(其他调用!AA$5:AA$404,MATCH($K48,其他调用!$X$5:$X$404,0),0)</f>
        <v>33946.573254939183</v>
      </c>
      <c r="AS48" s="12">
        <f>MIN(INDEX(其他调用!$AL$5:$AL$364,MATCH($K48,其他调用!$AG$5:$AG$364,0),1)/INDEX(其他调用!AK$5:AK$364,MATCH($K48,其他调用!$AG$5:$AG$364,0),0),1)*INDEX(其他调用!AB$5:AB$404,MATCH($K48,其他调用!$X$5:$X$404,0),0)</f>
        <v>36095.982241873295</v>
      </c>
      <c r="AT48" s="12">
        <f>MIN(INDEX(其他调用!$AL$5:$AL$364,MATCH($K48,其他调用!$AG$5:$AG$364,0),1)/INDEX(其他调用!AL$5:AL$364,MATCH($K48,其他调用!$AG$5:$AG$364,0),0),1)*INDEX(其他调用!AC$5:AC$404,MATCH($K48,其他调用!$X$5:$X$404,0),0)</f>
        <v>39932.384883908169</v>
      </c>
      <c r="AV48" s="14">
        <f>IF(OR(AV$5="大R",AV$5="超R"),MAX(INDEX(其他调用!$H$5:$L$404,MATCH($K48,其他调用!$B$5:$B$404,0),MATCH(AV$5,其他调用!$H$4:$L$4,0))*120*0.85,2),INDEX(其他调用!$H$5:$L$404,MATCH($K48,其他调用!$B$5:$B$404,0),MATCH(AV$5,其他调用!$H$4:$L$4,0))*120*0.85)</f>
        <v>53.342773044545474</v>
      </c>
      <c r="AW48" s="14">
        <f>IF(OR(AW$5="大R",AW$5="超R"),MAX(INDEX(其他调用!$H$5:$L$404,MATCH($K48,其他调用!$B$5:$B$404,0),MATCH(AW$5,其他调用!$H$4:$L$4,0))*120*0.85,2),INDEX(其他调用!$H$5:$L$404,MATCH($K48,其他调用!$B$5:$B$404,0),MATCH(AW$5,其他调用!$H$4:$L$4,0))*120*0.85)</f>
        <v>44.043197988030521</v>
      </c>
      <c r="AX48" s="14">
        <f>IF(OR(AX$5="大R",AX$5="超R"),MAX(INDEX(其他调用!$H$5:$L$404,MATCH($K48,其他调用!$B$5:$B$404,0),MATCH(AX$5,其他调用!$H$4:$L$4,0))*120*0.85,2),INDEX(其他调用!$H$5:$L$404,MATCH($K48,其他调用!$B$5:$B$404,0),MATCH(AX$5,其他调用!$H$4:$L$4,0))*120*0.85)</f>
        <v>3.8363320074239997</v>
      </c>
      <c r="AY48" s="14">
        <f>IF(OR(AY$5="大R",AY$5="超R"),MAX(INDEX(其他调用!$H$5:$L$404,MATCH($K48,其他调用!$B$5:$B$404,0),MATCH(AY$5,其他调用!$H$4:$L$4,0))*120*0.85,2),INDEX(其他调用!$H$5:$L$404,MATCH($K48,其他调用!$B$5:$B$404,0),MATCH(AY$5,其他调用!$H$4:$L$4,0))*120*0.85)</f>
        <v>2</v>
      </c>
      <c r="AZ48" s="14">
        <f>IF(OR(AZ$5="大R",AZ$5="超R"),MAX(INDEX(其他调用!$H$5:$L$404,MATCH($K48,其他调用!$B$5:$B$404,0),MATCH(AZ$5,其他调用!$H$4:$L$4,0))*120*0.85,2),INDEX(其他调用!$H$5:$L$404,MATCH($K48,其他调用!$B$5:$B$404,0),MATCH(AZ$5,其他调用!$H$4:$L$4,0))*120*0.85)</f>
        <v>2</v>
      </c>
      <c r="BA48" s="14">
        <f>INDEX(其他调用!$H$5:$L$404,MATCH($K48,其他调用!$B$5:$B$404,0),MATCH(BA$5,其他调用!$H$4:$L$4,0))*INDEX(其他调用!$M$5:$M$404,MATCH($K48,其他调用!$B$5:$B$404,0))*0.6</f>
        <v>28.647656442086134</v>
      </c>
      <c r="BB48" s="14">
        <f>INDEX(其他调用!$H$5:$L$404,MATCH($K48,其他调用!$B$5:$B$404,0),MATCH(BB$5,其他调用!$H$4:$L$4,0))*INDEX(其他调用!$M$5:$M$404,MATCH($K48,其他调用!$B$5:$B$404,0))*0.6</f>
        <v>23.653333573757564</v>
      </c>
      <c r="BC48" s="14">
        <f>INDEX(其他调用!$H$5:$L$404,MATCH($K48,其他调用!$B$5:$B$404,0),MATCH(BC$5,其他调用!$H$4:$L$4,0))*INDEX(其他调用!$M$5:$M$404,MATCH($K48,其他调用!$B$5:$B$404,0))*0.6</f>
        <v>2.0602963639457683</v>
      </c>
      <c r="BD48" s="14">
        <f>INDEX(其他调用!$H$5:$L$404,MATCH($K48,其他调用!$B$5:$B$404,0),MATCH(BD$5,其他调用!$H$4:$L$4,0))*INDEX(其他调用!$M$5:$M$404,MATCH($K48,其他调用!$B$5:$B$404,0))*0.6</f>
        <v>0.33194289178947373</v>
      </c>
      <c r="BE48" s="14">
        <f>INDEX(其他调用!$H$5:$L$404,MATCH($K48,其他调用!$B$5:$B$404,0),MATCH(BE$5,其他调用!$H$4:$L$4,0))*INDEX(其他调用!$M$5:$M$404,MATCH($K48,其他调用!$B$5:$B$404,0))*0.6</f>
        <v>8.5718096842105254E-2</v>
      </c>
      <c r="BF48" s="14">
        <f>IF(OR(BF$5="大R",BF$5="超R"),0,INDEX(其他调用!$H$5:$L$404,MATCH($K48,其他调用!$B$5:$B$404,0),MATCH(BF$5,其他调用!$H$4:$L$4,0))*50*0.4)</f>
        <v>10.459367263636368</v>
      </c>
      <c r="BG48" s="14">
        <f>IF(OR(BG$5="大R",BG$5="超R"),0,INDEX(其他调用!$H$5:$L$404,MATCH($K48,其他调用!$B$5:$B$404,0),MATCH(BG$5,其他调用!$H$4:$L$4,0))*50*0.4)</f>
        <v>8.6359211741236326</v>
      </c>
      <c r="BH48" s="14">
        <f>IF(OR(BH$5="大R",BH$5="超R"),0,INDEX(其他调用!$H$5:$L$404,MATCH($K48,其他调用!$B$5:$B$404,0),MATCH(BH$5,其他调用!$H$4:$L$4,0))*50*0.4)</f>
        <v>0.75222196224000015</v>
      </c>
      <c r="BI48" s="14">
        <f>IF(OR(BI$5="大R",BI$5="超R"),0,INDEX(其他调用!$H$5:$L$404,MATCH($K48,其他调用!$B$5:$B$404,0),MATCH(BI$5,其他调用!$H$4:$L$4,0))*50*0.4)</f>
        <v>0</v>
      </c>
      <c r="BJ48" s="14">
        <f>IF(OR(BJ$5="大R",BJ$5="超R"),0,INDEX(其他调用!$H$5:$L$404,MATCH($K48,其他调用!$B$5:$B$404,0),MATCH(BJ$5,其他调用!$H$4:$L$4,0))*50*0.4)</f>
        <v>0</v>
      </c>
      <c r="BL48" s="14">
        <f t="shared" si="103"/>
        <v>43</v>
      </c>
      <c r="BM48" s="14">
        <f t="shared" si="10"/>
        <v>96</v>
      </c>
      <c r="BN48" s="14">
        <f>('疲劳值&amp;地图信息'!$S$10*'疲劳值&amp;地图信息'!$R$10+'疲劳值&amp;地图信息'!$S$11*'疲劳值&amp;地图信息'!$R$11+'疲劳值&amp;地图信息'!$S$12*'疲劳值&amp;地图信息'!$R$12+(BM48-'疲劳值&amp;地图信息'!$S$12-'疲劳值&amp;地图信息'!$S$11-'疲劳值&amp;地图信息'!$S$10)*'疲劳值&amp;地图信息'!$R$13)/BM48</f>
        <v>51.371477246638619</v>
      </c>
      <c r="BO48" s="14">
        <f>INDEX(其他调用!$M$5:$M$404,MATCH(BL48,其他调用!$B$5:$B$404,0))*0.6</f>
        <v>54.778947368421051</v>
      </c>
      <c r="BP48" s="14">
        <f>IF(BO48&gt;SUM('疲劳值&amp;地图信息'!$S$10:$S$12),('疲劳值&amp;地图信息'!$S$10*'疲劳值&amp;地图信息'!$R$10+'疲劳值&amp;地图信息'!$S$11*'疲劳值&amp;地图信息'!$R$11+'疲劳值&amp;地图信息'!$S$12*'疲劳值&amp;地图信息'!$R$12+(BO48-'疲劳值&amp;地图信息'!$S$12-'疲劳值&amp;地图信息'!$S$11-'疲劳值&amp;地图信息'!$S$10)*'疲劳值&amp;地图信息'!$R$13)/BO48,('疲劳值&amp;地图信息'!$S$10*'疲劳值&amp;地图信息'!$R$10+'疲劳值&amp;地图信息'!$S$11*'疲劳值&amp;地图信息'!$R$11+'疲劳值&amp;地图信息'!$S$12*'疲劳值&amp;地图信息'!$R$12+(BO48-'疲劳值&amp;地图信息'!$S$12-'疲劳值&amp;地图信息'!$S$11-'疲劳值&amp;地图信息'!$S$10)*'疲劳值&amp;地图信息'!$R$13)/BO48)</f>
        <v>42.324768630155162</v>
      </c>
      <c r="BQ48" s="14">
        <f t="shared" si="104"/>
        <v>20</v>
      </c>
      <c r="BR48" s="14">
        <f>('疲劳值&amp;地图信息'!$S$10*'疲劳值&amp;地图信息'!$R$10+($BQ48-'疲劳值&amp;地图信息'!$S$10)*'疲劳值&amp;地图信息'!$R$11)/$BQ48</f>
        <v>32.067203015074995</v>
      </c>
      <c r="CF48" s="14">
        <v>43</v>
      </c>
      <c r="CG48" s="51">
        <f t="shared" si="11"/>
        <v>6131</v>
      </c>
      <c r="CH48" s="51">
        <f t="shared" si="12"/>
        <v>894</v>
      </c>
      <c r="CI48" s="51">
        <f>INT(SUMPRODUCT($N48:$R48,$BA48:$BE48)/SUM($BA48:$BE48)/10000*$BX$7*$BZ$34/'疲劳值&amp;地图信息'!$R$10*$BY$53)</f>
        <v>2795</v>
      </c>
      <c r="CJ48" s="50">
        <f t="shared" si="13"/>
        <v>0.62433808553971482</v>
      </c>
      <c r="CK48" s="50">
        <f t="shared" si="14"/>
        <v>9.103869653767821E-2</v>
      </c>
      <c r="CL48" s="50">
        <f t="shared" si="15"/>
        <v>0.28462321792260692</v>
      </c>
      <c r="CM48" s="14">
        <f t="shared" si="16"/>
        <v>6336</v>
      </c>
      <c r="CN48" s="14">
        <f t="shared" si="17"/>
        <v>1197</v>
      </c>
      <c r="CO48" s="14">
        <f>INT(SUMPRODUCT($U48:$Y48,$BA48:$BE48)/SUM($BA48:$BE48)/10000*$BX$7*$BZ$34/'疲劳值&amp;地图信息'!$R$10*$BY$54)</f>
        <v>4766</v>
      </c>
      <c r="CP48" s="50">
        <f t="shared" si="18"/>
        <v>0.515163834458086</v>
      </c>
      <c r="CQ48" s="50">
        <f t="shared" si="19"/>
        <v>9.7324985771200911E-2</v>
      </c>
      <c r="CR48" s="50">
        <f t="shared" si="20"/>
        <v>0.38751117977071309</v>
      </c>
      <c r="CS48" s="14">
        <f t="shared" si="21"/>
        <v>6708</v>
      </c>
      <c r="CT48" s="14">
        <f t="shared" si="22"/>
        <v>1914</v>
      </c>
      <c r="CU48" s="14">
        <f>INT(SUMPRODUCT($AB48:$AF48,$BA48:$BE48)/SUM($BA48:$BE48)/10000*$BX$7*$BZ$34/'疲劳值&amp;地图信息'!$R$10*$BY$55)</f>
        <v>6458</v>
      </c>
      <c r="CV48" s="50">
        <f t="shared" si="23"/>
        <v>0.44482758620689655</v>
      </c>
      <c r="CW48" s="50">
        <f t="shared" si="24"/>
        <v>0.12692307692307692</v>
      </c>
      <c r="CX48" s="50">
        <f t="shared" si="25"/>
        <v>0.42824933687002653</v>
      </c>
      <c r="CY48" s="14">
        <f t="shared" si="26"/>
        <v>7744</v>
      </c>
      <c r="CZ48" s="14">
        <f t="shared" si="27"/>
        <v>5316</v>
      </c>
      <c r="DA48" s="14">
        <f>INT(SUMPRODUCT($AI48:$AM48,$BA48:$BE48)/SUM($BA48:$BE48)/10000*$BX$7*$BZ$34/'疲劳值&amp;地图信息'!$R$10*$BY$56)</f>
        <v>9733</v>
      </c>
      <c r="DB48" s="50">
        <f t="shared" si="28"/>
        <v>0.33975343307155703</v>
      </c>
      <c r="DC48" s="50">
        <f t="shared" si="29"/>
        <v>0.23322950028517528</v>
      </c>
      <c r="DD48" s="50">
        <f t="shared" si="30"/>
        <v>0.42701706664326766</v>
      </c>
      <c r="DE48" s="14">
        <f t="shared" si="31"/>
        <v>7971</v>
      </c>
      <c r="DF48" s="14">
        <f t="shared" si="32"/>
        <v>9574</v>
      </c>
      <c r="DG48" s="14">
        <f>INT(SUMPRODUCT($AP48:$AT48,$BA48:$BE48)/SUM($BA48:$BE48)/10000*$BX$7*$BZ$34/'疲劳值&amp;地图信息'!$R$10*$BY$57)</f>
        <v>12996</v>
      </c>
      <c r="DH48" s="50">
        <f t="shared" si="33"/>
        <v>0.26099341868308173</v>
      </c>
      <c r="DI48" s="50">
        <f t="shared" si="34"/>
        <v>0.31348023967781014</v>
      </c>
      <c r="DJ48" s="50">
        <f t="shared" si="35"/>
        <v>0.42552634163910807</v>
      </c>
      <c r="DL48" s="14">
        <f t="shared" si="106"/>
        <v>9820</v>
      </c>
      <c r="DM48" s="14">
        <f t="shared" si="107"/>
        <v>12299</v>
      </c>
      <c r="DN48" s="14">
        <f t="shared" si="108"/>
        <v>15080</v>
      </c>
      <c r="DO48" s="14">
        <f t="shared" si="109"/>
        <v>22793</v>
      </c>
      <c r="DP48" s="14">
        <f t="shared" si="110"/>
        <v>30541</v>
      </c>
      <c r="DQ48" s="14">
        <f t="shared" si="111"/>
        <v>613485</v>
      </c>
      <c r="DT48" s="14">
        <f t="shared" si="105"/>
        <v>235575</v>
      </c>
      <c r="DU48" s="50">
        <f t="shared" si="7"/>
        <v>0.27745389018443928</v>
      </c>
      <c r="DW48" s="14">
        <f t="shared" si="36"/>
        <v>849060</v>
      </c>
      <c r="EB48" s="14">
        <v>43</v>
      </c>
      <c r="EC48" s="51">
        <f t="shared" si="37"/>
        <v>10219</v>
      </c>
      <c r="ED48" s="51">
        <f t="shared" si="38"/>
        <v>1490</v>
      </c>
      <c r="EE48" s="51">
        <f>INT(SUMPRODUCT($N48:$R48,$BF48:$BJ48)/SUM($BF48:$BJ48)/10000*$BX$7*$BZ$46/'疲劳值&amp;地图信息'!$R$10*$BY$53)</f>
        <v>374</v>
      </c>
      <c r="EF48" s="50">
        <f t="shared" si="39"/>
        <v>0.8457336754117355</v>
      </c>
      <c r="EG48" s="50">
        <f t="shared" si="40"/>
        <v>0.12331374658611272</v>
      </c>
      <c r="EH48" s="50">
        <f t="shared" si="41"/>
        <v>3.0952578002151784E-2</v>
      </c>
      <c r="EI48" s="51">
        <f t="shared" si="42"/>
        <v>10560</v>
      </c>
      <c r="EJ48" s="51">
        <f t="shared" si="43"/>
        <v>1996</v>
      </c>
      <c r="EK48" s="14">
        <f>INT(SUMPRODUCT($U48:$Y48,$BF48:$BJ48)/SUM($BF48:$BJ48)/10000*$BX$7*$BZ$46/'疲劳值&amp;地图信息'!$R$10*$BY$54)</f>
        <v>639</v>
      </c>
      <c r="EL48" s="50">
        <f t="shared" si="44"/>
        <v>0.80030314513073131</v>
      </c>
      <c r="EM48" s="50">
        <f t="shared" si="45"/>
        <v>0.15126942023493747</v>
      </c>
      <c r="EN48" s="50">
        <f t="shared" si="46"/>
        <v>4.8427434634331183E-2</v>
      </c>
      <c r="EO48" s="51">
        <f t="shared" si="47"/>
        <v>11180</v>
      </c>
      <c r="EP48" s="51">
        <f t="shared" si="48"/>
        <v>3191</v>
      </c>
      <c r="EQ48" s="14">
        <f>INT(SUMPRODUCT($AB48:$AF48,$BF48:$BJ48)/SUM($BF48:$BJ48)/10000*$BX$7*$BZ$46/'疲劳值&amp;地图信息'!$R$10*$BY$55)</f>
        <v>865</v>
      </c>
      <c r="ER48" s="50">
        <f t="shared" si="49"/>
        <v>0.7337883959044369</v>
      </c>
      <c r="ES48" s="50">
        <f t="shared" si="50"/>
        <v>0.20943817274875295</v>
      </c>
      <c r="ET48" s="50">
        <f t="shared" si="51"/>
        <v>5.6773431346810184E-2</v>
      </c>
      <c r="EU48" s="51">
        <f t="shared" si="52"/>
        <v>12907</v>
      </c>
      <c r="EV48" s="51">
        <f t="shared" si="53"/>
        <v>8861</v>
      </c>
      <c r="EW48" s="14">
        <f>INT(SUMPRODUCT($AI48:$AM48,$BF48:$BJ48)/SUM($BF48:$BJ48)/10000*$BX$7*$BZ$46/'疲劳值&amp;地图信息'!$R$10*$BY$56)</f>
        <v>1298</v>
      </c>
      <c r="EX48" s="50">
        <f t="shared" si="54"/>
        <v>0.55956819561258997</v>
      </c>
      <c r="EY48" s="50">
        <f t="shared" si="55"/>
        <v>0.38415850169080029</v>
      </c>
      <c r="EZ48" s="50">
        <f t="shared" si="56"/>
        <v>5.6273302696609726E-2</v>
      </c>
      <c r="FA48" s="51">
        <f t="shared" si="57"/>
        <v>13285</v>
      </c>
      <c r="FB48" s="51">
        <f t="shared" si="58"/>
        <v>15957</v>
      </c>
      <c r="FC48" s="14">
        <f>INT(SUMPRODUCT($AP48:$AT48,$BF48:$BJ48)/SUM($BF48:$BJ48)/10000*$BX$7*$BZ$46/'疲劳值&amp;地图信息'!$R$10*$BY$57)</f>
        <v>1730</v>
      </c>
      <c r="FD48" s="50">
        <f t="shared" si="59"/>
        <v>0.42893581299238021</v>
      </c>
      <c r="FE48" s="50">
        <f t="shared" si="60"/>
        <v>0.51520728399845017</v>
      </c>
      <c r="FF48" s="50">
        <f t="shared" si="61"/>
        <v>5.5856903009169574E-2</v>
      </c>
      <c r="FH48" s="14">
        <f t="shared" si="62"/>
        <v>12083</v>
      </c>
      <c r="FI48" s="14">
        <f t="shared" si="63"/>
        <v>13195</v>
      </c>
      <c r="FJ48" s="14">
        <f t="shared" si="64"/>
        <v>15236</v>
      </c>
      <c r="FK48" s="14">
        <f t="shared" si="65"/>
        <v>23066</v>
      </c>
      <c r="FL48" s="14">
        <f t="shared" si="66"/>
        <v>30972</v>
      </c>
      <c r="FM48" s="14">
        <f t="shared" si="67"/>
        <v>1392217</v>
      </c>
      <c r="FP48" s="14">
        <f t="shared" si="68"/>
        <v>334150</v>
      </c>
      <c r="FQ48" s="50">
        <f t="shared" si="8"/>
        <v>0.19355675820958115</v>
      </c>
      <c r="FS48" s="14">
        <f t="shared" si="69"/>
        <v>1726367</v>
      </c>
      <c r="FX48" s="14">
        <v>43</v>
      </c>
      <c r="FY48" s="51">
        <f t="shared" si="70"/>
        <v>14306</v>
      </c>
      <c r="FZ48" s="51">
        <f t="shared" si="71"/>
        <v>1490</v>
      </c>
      <c r="GA48" s="51">
        <f>INT(SUMPRODUCT($N48:$R48,$BF48:$BJ48)/SUM($BF48:$BJ48)/10000*$BX$7*$BZ$46/'疲劳值&amp;地图信息'!$R$10*$BY$53)</f>
        <v>374</v>
      </c>
      <c r="GB48" s="50">
        <f t="shared" si="72"/>
        <v>0.88472479901051326</v>
      </c>
      <c r="GC48" s="50">
        <f t="shared" si="73"/>
        <v>9.2145949288806428E-2</v>
      </c>
      <c r="GD48" s="50">
        <f t="shared" si="74"/>
        <v>2.3129251700680271E-2</v>
      </c>
      <c r="GE48" s="51">
        <f t="shared" si="75"/>
        <v>14784</v>
      </c>
      <c r="GF48" s="51">
        <f t="shared" si="76"/>
        <v>1996</v>
      </c>
      <c r="GG48" s="14">
        <f>INT(SUMPRODUCT($U48:$Y48,$BF48:$BJ48)/SUM($BF48:$BJ48)/10000*$BX$7*$BZ$46/'疲劳值&amp;地图信息'!$R$10*$BY$54)</f>
        <v>639</v>
      </c>
      <c r="GH48" s="50">
        <f t="shared" si="77"/>
        <v>0.84872840002296346</v>
      </c>
      <c r="GI48" s="50">
        <f t="shared" si="78"/>
        <v>0.11458751937539469</v>
      </c>
      <c r="GJ48" s="50">
        <f t="shared" si="79"/>
        <v>3.6684080601641883E-2</v>
      </c>
      <c r="GK48" s="51">
        <f t="shared" si="80"/>
        <v>15652</v>
      </c>
      <c r="GL48" s="51">
        <f t="shared" si="81"/>
        <v>3191</v>
      </c>
      <c r="GM48" s="14">
        <f>INT(SUMPRODUCT($AB48:$AF48,$BF48:$BJ48)/SUM($BF48:$BJ48)/10000*$BX$7*$BZ$46/'疲劳值&amp;地图信息'!$R$10*$BY$55)</f>
        <v>865</v>
      </c>
      <c r="GN48" s="50">
        <f t="shared" si="82"/>
        <v>0.79419525065963059</v>
      </c>
      <c r="GO48" s="50">
        <f t="shared" si="83"/>
        <v>0.16191394357621269</v>
      </c>
      <c r="GP48" s="50">
        <f t="shared" si="84"/>
        <v>4.3890805764156687E-2</v>
      </c>
      <c r="GQ48" s="51">
        <f t="shared" si="85"/>
        <v>18070</v>
      </c>
      <c r="GR48" s="51">
        <f t="shared" si="86"/>
        <v>8861</v>
      </c>
      <c r="GS48" s="14">
        <f>INT(SUMPRODUCT($AI48:$AM48,$BF48:$BJ48)/SUM($BF48:$BJ48)/10000*$BX$7*$BZ$46/'疲劳值&amp;地图信息'!$R$10*$BY$56)</f>
        <v>1298</v>
      </c>
      <c r="GT48" s="50">
        <f t="shared" si="87"/>
        <v>0.64012186049806941</v>
      </c>
      <c r="GU48" s="50">
        <f t="shared" si="88"/>
        <v>0.31389705621878211</v>
      </c>
      <c r="GV48" s="50">
        <f t="shared" si="89"/>
        <v>4.5981083283148538E-2</v>
      </c>
      <c r="GW48" s="51">
        <f t="shared" si="90"/>
        <v>18599</v>
      </c>
      <c r="GX48" s="51">
        <f t="shared" si="91"/>
        <v>15957</v>
      </c>
      <c r="GY48" s="14">
        <f>INT(SUMPRODUCT($AP48:$AT48,$BF48:$BJ48)/SUM($BF48:$BJ48)/10000*$BX$7*$BZ$46/'疲劳值&amp;地图信息'!$R$10*$BY$57)</f>
        <v>1730</v>
      </c>
      <c r="GZ48" s="50">
        <f t="shared" si="92"/>
        <v>0.51256683018243954</v>
      </c>
      <c r="HA48" s="50">
        <f t="shared" si="93"/>
        <v>0.43975637987102462</v>
      </c>
      <c r="HB48" s="50">
        <f t="shared" si="94"/>
        <v>4.7676789946535854E-2</v>
      </c>
      <c r="HD48" s="14">
        <f t="shared" si="95"/>
        <v>16170</v>
      </c>
      <c r="HE48" s="14">
        <f t="shared" si="96"/>
        <v>17419</v>
      </c>
      <c r="HF48" s="14">
        <f t="shared" si="97"/>
        <v>19708</v>
      </c>
      <c r="HG48" s="14">
        <f t="shared" si="98"/>
        <v>28229</v>
      </c>
      <c r="HH48" s="14">
        <f t="shared" si="99"/>
        <v>36286</v>
      </c>
      <c r="HI48" s="14">
        <f t="shared" si="100"/>
        <v>1834377</v>
      </c>
      <c r="HL48" s="14">
        <f t="shared" si="101"/>
        <v>430050</v>
      </c>
      <c r="HM48" s="50">
        <f t="shared" si="9"/>
        <v>0.18991559454113557</v>
      </c>
      <c r="HO48" s="14">
        <f t="shared" si="102"/>
        <v>2264427</v>
      </c>
    </row>
    <row r="49" spans="11:223" x14ac:dyDescent="0.2">
      <c r="K49" s="14">
        <v>44</v>
      </c>
      <c r="L49" s="12">
        <f>求节点(节奏总纲!D$4:D$163,标准城池设计!AB$4:AB$163,$K49)*求节点(节奏总纲!D$4:D$163,攻城基础信息!$AC$5:$AC$164,$K49)</f>
        <v>292501.34089168906</v>
      </c>
      <c r="M49" s="12">
        <f>INDEX(其他调用!$AA$5:$AA$404,MATCH(K49,其他调用!$X$5:$X$404,0))*MIN(INDEX(其他调用!$AH$5:$AH$364,MATCH('征服点（新）'!K49,其他调用!$AG$5:$AG$364,0),1)/INDEX(其他调用!$AJ$5:$AJ$364,MATCH(K49,其他调用!$AG$5:$AG$364,0),0),5)*求节点(节奏总纲!D$4:D$163,攻城基础信息!$AC$5:$AC$164,$K49)</f>
        <v>41861.91136044031</v>
      </c>
      <c r="N49" s="12">
        <f>MIN(INDEX(其他调用!$AH$5:$AH$364,MATCH($K49,其他调用!$AG$5:$AG$364,0),1)/INDEX(其他调用!AH$5:AH$364,MATCH($K49,其他调用!$AG$5:$AG$364,0),0),1)*INDEX(其他调用!Y$5:Y$404,MATCH($K49,其他调用!$X$5:$X$404,0),0)</f>
        <v>31547.79276494819</v>
      </c>
      <c r="O49" s="12">
        <f>MIN(INDEX(其他调用!$AH$5:$AH$364,MATCH($K49,其他调用!$AG$5:$AG$364,0),1)/INDEX(其他调用!AI$5:AI$364,MATCH($K49,其他调用!$AG$5:$AG$364,0),0),1)*INDEX(其他调用!Z$5:Z$404,MATCH($K49,其他调用!$X$5:$X$404,0),0)</f>
        <v>24384.060996851586</v>
      </c>
      <c r="P49" s="12">
        <f>MIN(INDEX(其他调用!$AH$5:$AH$364,MATCH($K49,其他调用!$AG$5:$AG$364,0),1)/INDEX(其他调用!AJ$5:AJ$364,MATCH($K49,其他调用!$AG$5:$AG$364,0),0),1)*INDEX(其他调用!AA$5:AA$404,MATCH($K49,其他调用!$X$5:$X$404,0),0)</f>
        <v>15714.734421152727</v>
      </c>
      <c r="Q49" s="12">
        <f>MIN(INDEX(其他调用!$AH$5:$AH$364,MATCH($K49,其他调用!$AG$5:$AG$364,0),1)/INDEX(其他调用!AK$5:AK$364,MATCH($K49,其他调用!$AG$5:$AG$364,0),0),1)*INDEX(其他调用!AB$5:AB$404,MATCH($K49,其他调用!$X$5:$X$404,0),0)</f>
        <v>6035.2882296296448</v>
      </c>
      <c r="R49" s="12">
        <f>MIN(INDEX(其他调用!$AH$5:$AH$364,MATCH($K49,其他调用!$AG$5:$AG$364,0),1)/INDEX(其他调用!AL$5:AL$364,MATCH($K49,其他调用!$AG$5:$AG$364,0),0),1)*INDEX(其他调用!AC$5:AC$404,MATCH($K49,其他调用!$X$5:$X$404,0),0)</f>
        <v>2017.7380985151854</v>
      </c>
      <c r="S49" s="12">
        <f>求节点(节奏总纲!D$4:D$163,标准城池设计!AC$4:AC$163,$K49)*求节点(节奏总纲!D$4:D$163,攻城基础信息!$AD$5:$AD$164,$K49)</f>
        <v>302185.50366391527</v>
      </c>
      <c r="T49" s="12">
        <f>INDEX(其他调用!$AA$5:$AA$404,MATCH($K49,其他调用!$X$5:$X$404,0))*MIN(INDEX(其他调用!AI$5:AI$364,MATCH($K49,其他调用!$AG$5:$AG$364,0),1)/INDEX(其他调用!$AJ$5:$AJ$364,MATCH($K49,其他调用!$AG$5:$AG$364,0),0),5)*求节点(节奏总纲!D$4:D$163,攻城基础信息!$AD$5:$AD$164,$K49)</f>
        <v>56004.17093389557</v>
      </c>
      <c r="U49" s="12">
        <f>MIN(INDEX(其他调用!$AI$5:$AI$364,MATCH($K49,其他调用!$AG$5:$AG$364,0),1)/INDEX(其他调用!AH$5:AH$364,MATCH($K49,其他调用!$AG$5:$AG$364,0),0),1)*INDEX(其他调用!Y$5:Y$404,MATCH($K49,其他调用!$X$5:$X$404,0),0)</f>
        <v>31547.79276494819</v>
      </c>
      <c r="V49" s="12">
        <f>MIN(INDEX(其他调用!$AI$5:$AI$364,MATCH($K49,其他调用!$AG$5:$AG$364,0),1)/INDEX(其他调用!AI$5:AI$364,MATCH($K49,其他调用!$AG$5:$AG$364,0),0),1)*INDEX(其他调用!Z$5:Z$404,MATCH($K49,其他调用!$X$5:$X$404,0),0)</f>
        <v>32621.757481927096</v>
      </c>
      <c r="W49" s="12">
        <f>MIN(INDEX(其他调用!$AI$5:$AI$364,MATCH($K49,其他调用!$AG$5:$AG$364,0),1)/INDEX(其他调用!AJ$5:AJ$364,MATCH($K49,其他调用!$AG$5:$AG$364,0),0),1)*INDEX(其他调用!AA$5:AA$404,MATCH($K49,其他调用!$X$5:$X$404,0),0)</f>
        <v>21023.661942361749</v>
      </c>
      <c r="X49" s="12">
        <f>MIN(INDEX(其他调用!$AI$5:$AI$364,MATCH($K49,其他调用!$AG$5:$AG$364,0),1)/INDEX(其他调用!AK$5:AK$364,MATCH($K49,其他调用!$AG$5:$AG$364,0),0),1)*INDEX(其他调用!AB$5:AB$404,MATCH($K49,其他调用!$X$5:$X$404,0),0)</f>
        <v>8074.19686925522</v>
      </c>
      <c r="Y49" s="12">
        <f>MIN(INDEX(其他调用!$AI$5:$AI$364,MATCH($K49,其他调用!$AG$5:$AG$364,0),1)/INDEX(其他调用!AL$5:AL$364,MATCH($K49,其他调用!$AG$5:$AG$364,0),0),1)*INDEX(其他调用!AC$5:AC$404,MATCH($K49,其他调用!$X$5:$X$404,0),0)</f>
        <v>2699.3929731518433</v>
      </c>
      <c r="Z49" s="12">
        <f>求节点(节奏总纲!D$4:D$163,标准城池设计!AD$4:AD$163,$K49)*求节点(节奏总纲!D$4:D$163,攻城基础信息!$AE$5:$AE$164,$K49)</f>
        <v>319793.49078423728</v>
      </c>
      <c r="AA49" s="12">
        <f>INDEX(其他调用!$AA$5:$AA$404,MATCH($K49,其他调用!$X$5:$X$404,0))*MIN(INDEX(其他调用!AJ$5:AJ$364,MATCH($K49,其他调用!$AG$5:$AG$364,0),1)/INDEX(其他调用!$AJ$5:$AJ$364,MATCH($K49,其他调用!$AG$5:$AG$364,0),0),5)*求节点(节奏总纲!D$4:D$163,攻城基础信息!$AE$5:$AE$164,$K49)</f>
        <v>90790.339051858653</v>
      </c>
      <c r="AB49" s="12">
        <f>MIN(INDEX(其他调用!$AJ$5:$AJ$364,MATCH($K49,其他调用!$AG$5:$AG$364,0),1)/INDEX(其他调用!AH$5:AH$364,MATCH($K49,其他调用!$AG$5:$AG$364,0),0),1)*INDEX(其他调用!Y$5:Y$404,MATCH($K49,其他调用!$X$5:$X$404,0),0)</f>
        <v>31547.79276494819</v>
      </c>
      <c r="AC49" s="12">
        <f>MIN(INDEX(其他调用!$AJ$5:$AJ$364,MATCH($K49,其他调用!$AG$5:$AG$364,0),1)/INDEX(其他调用!AI$5:AI$364,MATCH($K49,其他调用!$AG$5:$AG$364,0),0),1)*INDEX(其他调用!Z$5:Z$404,MATCH($K49,其他调用!$X$5:$X$404,0),0)</f>
        <v>32621.757481927096</v>
      </c>
      <c r="AD49" s="12">
        <f>MIN(INDEX(其他调用!$AJ$5:$AJ$364,MATCH($K49,其他调用!$AG$5:$AG$364,0),1)/INDEX(其他调用!AJ$5:AJ$364,MATCH($K49,其他调用!$AG$5:$AG$364,0),0),1)*INDEX(其他调用!AA$5:AA$404,MATCH($K49,其他调用!$X$5:$X$404,0),0)</f>
        <v>34082.200736649858</v>
      </c>
      <c r="AE49" s="12">
        <f>MIN(INDEX(其他调用!$AJ$5:$AJ$364,MATCH($K49,其他调用!$AG$5:$AG$364,0),1)/INDEX(其他调用!AK$5:AK$364,MATCH($K49,其他调用!$AG$5:$AG$364,0),0),1)*INDEX(其他调用!AB$5:AB$404,MATCH($K49,其他调用!$X$5:$X$404,0),0)</f>
        <v>13089.365650933427</v>
      </c>
      <c r="AF49" s="12">
        <f>MIN(INDEX(其他调用!$AJ$5:$AJ$364,MATCH($K49,其他调用!$AG$5:$AG$364,0),1)/INDEX(其他调用!AL$5:AL$364,MATCH($K49,其他调用!$AG$5:$AG$364,0),0),1)*INDEX(其他调用!AC$5:AC$404,MATCH($K49,其他调用!$X$5:$X$404,0),0)</f>
        <v>4376.0812664460109</v>
      </c>
      <c r="AG49" s="12">
        <f>求节点(节奏总纲!D$4:D$163,标准城池设计!AE$4:AE$163,$K49)*求节点(节奏总纲!D$4:D$163,攻城基础信息!$AF$5:$AF$164,$K49)</f>
        <v>368571.75486452639</v>
      </c>
      <c r="AH49" s="12">
        <f>INDEX(其他调用!$AA$5:$AA$404,MATCH($K49,其他调用!$X$5:$X$404,0))*MIN(INDEX(其他调用!AK$5:AK$364,MATCH($K49,其他调用!$AG$5:$AG$364,0),1)/INDEX(其他调用!$AJ$5:$AJ$364,MATCH($K49,其他调用!$AG$5:$AG$364,0),0),5)*求节点(节奏总纲!D$4:D$163,攻城基础信息!$AF$5:$AF$164,$K49)</f>
        <v>251283.76635467543</v>
      </c>
      <c r="AI49" s="12">
        <f>MIN(INDEX(其他调用!$AK$5:$AK$364,MATCH($K49,其他调用!$AG$5:$AG$364,0),1)/INDEX(其他调用!AH$5:AH$364,MATCH($K49,其他调用!$AG$5:$AG$364,0),0),1)*INDEX(其他调用!Y$5:Y$404,MATCH($K49,其他调用!$X$5:$X$404,0),0)</f>
        <v>31547.79276494819</v>
      </c>
      <c r="AJ49" s="12">
        <f>MIN(INDEX(其他调用!$AK$5:$AK$364,MATCH($K49,其他调用!$AG$5:$AG$364,0),1)/INDEX(其他调用!AI$5:AI$364,MATCH($K49,其他调用!$AG$5:$AG$364,0),0),1)*INDEX(其他调用!Z$5:Z$404,MATCH($K49,其他调用!$X$5:$X$404,0),0)</f>
        <v>32621.757481927096</v>
      </c>
      <c r="AK49" s="12">
        <f>MIN(INDEX(其他调用!$AK$5:$AK$364,MATCH($K49,其他调用!$AG$5:$AG$364,0),1)/INDEX(其他调用!AJ$5:AJ$364,MATCH($K49,其他调用!$AG$5:$AG$364,0),0),1)*INDEX(其他调用!AA$5:AA$404,MATCH($K49,其他调用!$X$5:$X$404,0),0)</f>
        <v>34082.200736649858</v>
      </c>
      <c r="AL49" s="12">
        <f>MIN(INDEX(其他调用!$AK$5:$AK$364,MATCH($K49,其他调用!$AG$5:$AG$364,0),1)/INDEX(其他调用!AK$5:AK$364,MATCH($K49,其他调用!$AG$5:$AG$364,0),0),1)*INDEX(其他调用!AB$5:AB$404,MATCH($K49,其他调用!$X$5:$X$404,0),0)</f>
        <v>36227.919559605769</v>
      </c>
      <c r="AM49" s="12">
        <f>MIN(INDEX(其他调用!$AK$5:$AK$364,MATCH($K49,其他调用!$AG$5:$AG$364,0),1)/INDEX(其他调用!AL$5:AL$364,MATCH($K49,其他调用!$AG$5:$AG$364,0),0),1)*INDEX(其他调用!AC$5:AC$404,MATCH($K49,其他调用!$X$5:$X$404,0),0)</f>
        <v>12111.841347773663</v>
      </c>
      <c r="AN49" s="12">
        <f>求节点(节奏总纲!D$4:D$163,标准城池设计!AF$4:AF$163,$K49)*求节点(节奏总纲!D$4:D$163,攻城基础信息!$AG$5:$AG$164,$K49)</f>
        <v>379497.7290636705</v>
      </c>
      <c r="AO49" s="12">
        <f>INDEX(其他调用!$AA$5:$AA$404,MATCH($K49,其他调用!$X$5:$X$404,0))*MIN(INDEX(其他调用!AL$5:AL$364,MATCH($K49,其他调用!$AG$5:$AG$364,0),1)/INDEX(其他调用!$AJ$5:$AJ$364,MATCH($K49,其他调用!$AG$5:$AG$364,0),0),5)*求节点(节奏总纲!D$4:D$163,攻城基础信息!$AG$5:$AG$164,$K49)</f>
        <v>453951.69525929325</v>
      </c>
      <c r="AP49" s="12">
        <f>MIN(INDEX(其他调用!$AL$5:$AL$364,MATCH($K49,其他调用!$AG$5:$AG$364,0),1)/INDEX(其他调用!AH$5:AH$364,MATCH($K49,其他调用!$AG$5:$AG$364,0),0),1)*INDEX(其他调用!Y$5:Y$404,MATCH($K49,其他调用!$X$5:$X$404,0),0)</f>
        <v>31547.79276494819</v>
      </c>
      <c r="AQ49" s="12">
        <f>MIN(INDEX(其他调用!$AL$5:$AL$364,MATCH($K49,其他调用!$AG$5:$AG$364,0),1)/INDEX(其他调用!AI$5:AI$364,MATCH($K49,其他调用!$AG$5:$AG$364,0),0),1)*INDEX(其他调用!Z$5:Z$404,MATCH($K49,其他调用!$X$5:$X$404,0),0)</f>
        <v>32621.757481927096</v>
      </c>
      <c r="AR49" s="12">
        <f>MIN(INDEX(其他调用!$AL$5:$AL$364,MATCH($K49,其他调用!$AG$5:$AG$364,0),1)/INDEX(其他调用!AJ$5:AJ$364,MATCH($K49,其他调用!$AG$5:$AG$364,0),0),1)*INDEX(其他调用!AA$5:AA$404,MATCH($K49,其他调用!$X$5:$X$404,0),0)</f>
        <v>34082.200736649858</v>
      </c>
      <c r="AS49" s="12">
        <f>MIN(INDEX(其他调用!$AL$5:$AL$364,MATCH($K49,其他调用!$AG$5:$AG$364,0),1)/INDEX(其他调用!AK$5:AK$364,MATCH($K49,其他调用!$AG$5:$AG$364,0),0),1)*INDEX(其他调用!AB$5:AB$404,MATCH($K49,其他调用!$X$5:$X$404,0),0)</f>
        <v>36227.919559605769</v>
      </c>
      <c r="AT49" s="12">
        <f>MIN(INDEX(其他调用!$AL$5:$AL$364,MATCH($K49,其他调用!$AG$5:$AG$364,0),1)/INDEX(其他调用!AL$5:AL$364,MATCH($K49,其他调用!$AG$5:$AG$364,0),0),1)*INDEX(其他调用!AC$5:AC$404,MATCH($K49,其他调用!$X$5:$X$404,0),0)</f>
        <v>40062.515887218506</v>
      </c>
      <c r="AV49" s="14">
        <f>IF(OR(AV$5="大R",AV$5="超R"),MAX(INDEX(其他调用!$H$5:$L$404,MATCH($K49,其他调用!$B$5:$B$404,0),MATCH(AV$5,其他调用!$H$4:$L$4,0))*120*0.85,2),INDEX(其他调用!$H$5:$L$404,MATCH($K49,其他调用!$B$5:$B$404,0),MATCH(AV$5,其他调用!$H$4:$L$4,0))*120*0.85)</f>
        <v>53.234176565454568</v>
      </c>
      <c r="AW49" s="14">
        <f>IF(OR(AW$5="大R",AW$5="超R"),MAX(INDEX(其他调用!$H$5:$L$404,MATCH($K49,其他调用!$B$5:$B$404,0),MATCH(AW$5,其他调用!$H$4:$L$4,0))*120*0.85,2),INDEX(其他调用!$H$5:$L$404,MATCH($K49,其他调用!$B$5:$B$404,0),MATCH(AW$5,其他调用!$H$4:$L$4,0))*120*0.85)</f>
        <v>44.146304967473434</v>
      </c>
      <c r="AX49" s="14">
        <f>IF(OR(AX$5="大R",AX$5="超R"),MAX(INDEX(其他调用!$H$5:$L$404,MATCH($K49,其他调用!$B$5:$B$404,0),MATCH(AX$5,其他调用!$H$4:$L$4,0))*120*0.85,2),INDEX(其他调用!$H$5:$L$404,MATCH($K49,其他调用!$B$5:$B$404,0),MATCH(AX$5,其他调用!$H$4:$L$4,0))*120*0.85)</f>
        <v>3.8388675870720004</v>
      </c>
      <c r="AY49" s="14">
        <f>IF(OR(AY$5="大R",AY$5="超R"),MAX(INDEX(其他调用!$H$5:$L$404,MATCH($K49,其他调用!$B$5:$B$404,0),MATCH(AY$5,其他调用!$H$4:$L$4,0))*120*0.85,2),INDEX(其他调用!$H$5:$L$404,MATCH($K49,其他调用!$B$5:$B$404,0),MATCH(AY$5,其他调用!$H$4:$L$4,0))*120*0.85)</f>
        <v>2</v>
      </c>
      <c r="AZ49" s="14">
        <f>IF(OR(AZ$5="大R",AZ$5="超R"),MAX(INDEX(其他调用!$H$5:$L$404,MATCH($K49,其他调用!$B$5:$B$404,0),MATCH(AZ$5,其他调用!$H$4:$L$4,0))*120*0.85,2),INDEX(其他调用!$H$5:$L$404,MATCH($K49,其他调用!$B$5:$B$404,0),MATCH(AZ$5,其他调用!$H$4:$L$4,0))*120*0.85)</f>
        <v>2</v>
      </c>
      <c r="BA49" s="14">
        <f>INDEX(其他调用!$H$5:$L$404,MATCH($K49,其他调用!$B$5:$B$404,0),MATCH(BA$5,其他调用!$H$4:$L$4,0))*INDEX(其他调用!$M$5:$M$404,MATCH($K49,其他调用!$B$5:$B$404,0))*0.6</f>
        <v>28.680896916689008</v>
      </c>
      <c r="BB49" s="14">
        <f>INDEX(其他调用!$H$5:$L$404,MATCH($K49,其他调用!$B$5:$B$404,0),MATCH(BB$5,其他调用!$H$4:$L$4,0))*INDEX(其他调用!$M$5:$M$404,MATCH($K49,其他调用!$B$5:$B$404,0))*0.6</f>
        <v>23.784638059875093</v>
      </c>
      <c r="BC49" s="14">
        <f>INDEX(其他调用!$H$5:$L$404,MATCH($K49,其他调用!$B$5:$B$404,0),MATCH(BC$5,其他调用!$H$4:$L$4,0))*INDEX(其他调用!$M$5:$M$404,MATCH($K49,其他调用!$B$5:$B$404,0))*0.6</f>
        <v>2.0682608926288841</v>
      </c>
      <c r="BD49" s="14">
        <f>INDEX(其他调用!$H$5:$L$404,MATCH($K49,其他调用!$B$5:$B$404,0),MATCH(BD$5,其他调用!$H$4:$L$4,0))*INDEX(其他调用!$M$5:$M$404,MATCH($K49,其他调用!$B$5:$B$404,0))*0.6</f>
        <v>0.33406991045614043</v>
      </c>
      <c r="BE49" s="14">
        <f>INDEX(其他调用!$H$5:$L$404,MATCH($K49,其他调用!$B$5:$B$404,0),MATCH(BE$5,其他调用!$H$4:$L$4,0))*INDEX(其他调用!$M$5:$M$404,MATCH($K49,其他调用!$B$5:$B$404,0))*0.6</f>
        <v>8.6520185263157898E-2</v>
      </c>
      <c r="BF49" s="14">
        <f>IF(OR(BF$5="大R",BF$5="超R"),0,INDEX(其他调用!$H$5:$L$404,MATCH($K49,其他调用!$B$5:$B$404,0),MATCH(BF$5,其他调用!$H$4:$L$4,0))*50*0.4)</f>
        <v>10.438073836363642</v>
      </c>
      <c r="BG49" s="14">
        <f>IF(OR(BG$5="大R",BG$5="超R"),0,INDEX(其他调用!$H$5:$L$404,MATCH($K49,其他调用!$B$5:$B$404,0),MATCH(BG$5,其他调用!$H$4:$L$4,0))*50*0.4)</f>
        <v>8.65613822891636</v>
      </c>
      <c r="BH49" s="14">
        <f>IF(OR(BH$5="大R",BH$5="超R"),0,INDEX(其他调用!$H$5:$L$404,MATCH($K49,其他调用!$B$5:$B$404,0),MATCH(BH$5,其他调用!$H$4:$L$4,0))*50*0.4)</f>
        <v>0.75271913472000007</v>
      </c>
      <c r="BI49" s="14">
        <f>IF(OR(BI$5="大R",BI$5="超R"),0,INDEX(其他调用!$H$5:$L$404,MATCH($K49,其他调用!$B$5:$B$404,0),MATCH(BI$5,其他调用!$H$4:$L$4,0))*50*0.4)</f>
        <v>0</v>
      </c>
      <c r="BJ49" s="14">
        <f>IF(OR(BJ$5="大R",BJ$5="超R"),0,INDEX(其他调用!$H$5:$L$404,MATCH($K49,其他调用!$B$5:$B$404,0),MATCH(BJ$5,其他调用!$H$4:$L$4,0))*50*0.4)</f>
        <v>0</v>
      </c>
      <c r="BL49" s="14">
        <f t="shared" si="103"/>
        <v>44</v>
      </c>
      <c r="BM49" s="14">
        <f t="shared" si="10"/>
        <v>96</v>
      </c>
      <c r="BN49" s="14">
        <f>('疲劳值&amp;地图信息'!$S$10*'疲劳值&amp;地图信息'!$R$10+'疲劳值&amp;地图信息'!$S$11*'疲劳值&amp;地图信息'!$R$11+'疲劳值&amp;地图信息'!$S$12*'疲劳值&amp;地图信息'!$R$12+(BM49-'疲劳值&amp;地图信息'!$S$12-'疲劳值&amp;地图信息'!$S$11-'疲劳值&amp;地图信息'!$S$10)*'疲劳值&amp;地图信息'!$R$13)/BM49</f>
        <v>51.371477246638619</v>
      </c>
      <c r="BO49" s="14">
        <f>INDEX(其他调用!$M$5:$M$404,MATCH(BL49,其他调用!$B$5:$B$404,0))*0.6</f>
        <v>54.954385964912284</v>
      </c>
      <c r="BP49" s="14">
        <f>IF(BO49&gt;SUM('疲劳值&amp;地图信息'!$S$10:$S$12),('疲劳值&amp;地图信息'!$S$10*'疲劳值&amp;地图信息'!$R$10+'疲劳值&amp;地图信息'!$S$11*'疲劳值&amp;地图信息'!$R$11+'疲劳值&amp;地图信息'!$S$12*'疲劳值&amp;地图信息'!$R$12+(BO49-'疲劳值&amp;地图信息'!$S$12-'疲劳值&amp;地图信息'!$S$11-'疲劳值&amp;地图信息'!$S$10)*'疲劳值&amp;地图信息'!$R$13)/BO49,('疲劳值&amp;地图信息'!$S$10*'疲劳值&amp;地图信息'!$R$10+'疲劳值&amp;地图信息'!$S$11*'疲劳值&amp;地图信息'!$R$11+'疲劳值&amp;地图信息'!$S$12*'疲劳值&amp;地图信息'!$R$12+(BO49-'疲劳值&amp;地图信息'!$S$12-'疲劳值&amp;地图信息'!$S$11-'疲劳值&amp;地图信息'!$S$10)*'疲劳值&amp;地图信息'!$R$13)/BO49)</f>
        <v>42.392029974358358</v>
      </c>
      <c r="BQ49" s="14">
        <f t="shared" si="104"/>
        <v>20</v>
      </c>
      <c r="BR49" s="14">
        <f>('疲劳值&amp;地图信息'!$S$10*'疲劳值&amp;地图信息'!$R$10+($BQ49-'疲劳值&amp;地图信息'!$S$10)*'疲劳值&amp;地图信息'!$R$11)/$BQ49</f>
        <v>32.067203015074995</v>
      </c>
      <c r="CF49" s="14">
        <v>44</v>
      </c>
      <c r="CG49" s="51">
        <f t="shared" si="11"/>
        <v>6209</v>
      </c>
      <c r="CH49" s="51">
        <f t="shared" si="12"/>
        <v>888</v>
      </c>
      <c r="CI49" s="51">
        <f>INT(SUMPRODUCT($N49:$R49,$BA49:$BE49)/SUM($BA49:$BE49)/10000*$BX$7*$BZ$34/'疲劳值&amp;地图信息'!$R$10*$BY$53)</f>
        <v>2805</v>
      </c>
      <c r="CJ49" s="50">
        <f t="shared" si="13"/>
        <v>0.62704504140577666</v>
      </c>
      <c r="CK49" s="50">
        <f t="shared" si="14"/>
        <v>8.9678852757018784E-2</v>
      </c>
      <c r="CL49" s="50">
        <f t="shared" si="15"/>
        <v>0.28327610583720458</v>
      </c>
      <c r="CM49" s="14">
        <f t="shared" si="16"/>
        <v>6415</v>
      </c>
      <c r="CN49" s="14">
        <f t="shared" si="17"/>
        <v>1188</v>
      </c>
      <c r="CO49" s="14">
        <f>INT(SUMPRODUCT($U49:$Y49,$BA49:$BE49)/SUM($BA49:$BE49)/10000*$BX$7*$BZ$34/'疲劳值&amp;地图信息'!$R$10*$BY$54)</f>
        <v>4783</v>
      </c>
      <c r="CP49" s="50">
        <f t="shared" si="18"/>
        <v>0.5179234619731955</v>
      </c>
      <c r="CQ49" s="50">
        <f t="shared" si="19"/>
        <v>9.5914742451154528E-2</v>
      </c>
      <c r="CR49" s="50">
        <f t="shared" si="20"/>
        <v>0.38616179557564995</v>
      </c>
      <c r="CS49" s="14">
        <f t="shared" si="21"/>
        <v>6789</v>
      </c>
      <c r="CT49" s="14">
        <f t="shared" si="22"/>
        <v>1927</v>
      </c>
      <c r="CU49" s="14">
        <f>INT(SUMPRODUCT($AB49:$AF49,$BA49:$BE49)/SUM($BA49:$BE49)/10000*$BX$7*$BZ$34/'疲劳值&amp;地图信息'!$R$10*$BY$55)</f>
        <v>6484</v>
      </c>
      <c r="CV49" s="50">
        <f t="shared" si="23"/>
        <v>0.44664473684210526</v>
      </c>
      <c r="CW49" s="50">
        <f t="shared" si="24"/>
        <v>0.12677631578947368</v>
      </c>
      <c r="CX49" s="50">
        <f t="shared" si="25"/>
        <v>0.42657894736842106</v>
      </c>
      <c r="CY49" s="14">
        <f t="shared" si="26"/>
        <v>7824</v>
      </c>
      <c r="CZ49" s="14">
        <f t="shared" si="27"/>
        <v>5334</v>
      </c>
      <c r="DA49" s="14">
        <f>INT(SUMPRODUCT($AI49:$AM49,$BA49:$BE49)/SUM($BA49:$BE49)/10000*$BX$7*$BZ$34/'疲劳值&amp;地图信息'!$R$10*$BY$56)</f>
        <v>9773</v>
      </c>
      <c r="DB49" s="50">
        <f t="shared" si="28"/>
        <v>0.34119750556015876</v>
      </c>
      <c r="DC49" s="50">
        <f t="shared" si="29"/>
        <v>0.2326108761065806</v>
      </c>
      <c r="DD49" s="50">
        <f t="shared" si="30"/>
        <v>0.42619161833326064</v>
      </c>
      <c r="DE49" s="14">
        <f t="shared" si="31"/>
        <v>8056</v>
      </c>
      <c r="DF49" s="14">
        <f t="shared" si="32"/>
        <v>9637</v>
      </c>
      <c r="DG49" s="14">
        <f>INT(SUMPRODUCT($AP49:$AT49,$BA49:$BE49)/SUM($BA49:$BE49)/10000*$BX$7*$BZ$34/'疲劳值&amp;地图信息'!$R$10*$BY$57)</f>
        <v>13048</v>
      </c>
      <c r="DH49" s="50">
        <f t="shared" si="33"/>
        <v>0.26206044045411664</v>
      </c>
      <c r="DI49" s="50">
        <f t="shared" si="34"/>
        <v>0.31349012719169839</v>
      </c>
      <c r="DJ49" s="50">
        <f t="shared" si="35"/>
        <v>0.42444943235418497</v>
      </c>
      <c r="DL49" s="14">
        <f t="shared" si="106"/>
        <v>9902</v>
      </c>
      <c r="DM49" s="14">
        <f t="shared" si="107"/>
        <v>12386</v>
      </c>
      <c r="DN49" s="14">
        <f t="shared" si="108"/>
        <v>15200</v>
      </c>
      <c r="DO49" s="14">
        <f t="shared" si="109"/>
        <v>22931</v>
      </c>
      <c r="DP49" s="14">
        <f t="shared" si="110"/>
        <v>30741</v>
      </c>
      <c r="DQ49" s="14">
        <f t="shared" si="111"/>
        <v>620352</v>
      </c>
      <c r="DT49" s="14">
        <f t="shared" si="105"/>
        <v>235575</v>
      </c>
      <c r="DU49" s="50">
        <f t="shared" si="7"/>
        <v>0.2752279107914577</v>
      </c>
      <c r="DW49" s="14">
        <f t="shared" si="36"/>
        <v>855927</v>
      </c>
      <c r="EB49" s="14">
        <v>44</v>
      </c>
      <c r="EC49" s="51">
        <f t="shared" si="37"/>
        <v>10349</v>
      </c>
      <c r="ED49" s="51">
        <f t="shared" si="38"/>
        <v>1481</v>
      </c>
      <c r="EE49" s="51">
        <f>INT(SUMPRODUCT($N49:$R49,$BF49:$BJ49)/SUM($BF49:$BJ49)/10000*$BX$7*$BZ$46/'疲劳值&amp;地图信息'!$R$10*$BY$53)</f>
        <v>376</v>
      </c>
      <c r="EF49" s="50">
        <f t="shared" si="39"/>
        <v>0.84786170735703748</v>
      </c>
      <c r="EG49" s="50">
        <f t="shared" si="40"/>
        <v>0.121333770276913</v>
      </c>
      <c r="EH49" s="50">
        <f t="shared" si="41"/>
        <v>3.0804522366049483E-2</v>
      </c>
      <c r="EI49" s="51">
        <f t="shared" si="42"/>
        <v>10692</v>
      </c>
      <c r="EJ49" s="51">
        <f t="shared" si="43"/>
        <v>1981</v>
      </c>
      <c r="EK49" s="14">
        <f>INT(SUMPRODUCT($U49:$Y49,$BF49:$BJ49)/SUM($BF49:$BJ49)/10000*$BX$7*$BZ$46/'疲劳值&amp;地图信息'!$R$10*$BY$54)</f>
        <v>641</v>
      </c>
      <c r="EL49" s="50">
        <f t="shared" si="44"/>
        <v>0.80306444344299233</v>
      </c>
      <c r="EM49" s="50">
        <f t="shared" si="45"/>
        <v>0.14879074658254468</v>
      </c>
      <c r="EN49" s="50">
        <f t="shared" si="46"/>
        <v>4.8144809974462972E-2</v>
      </c>
      <c r="EO49" s="51">
        <f t="shared" si="47"/>
        <v>11315</v>
      </c>
      <c r="EP49" s="51">
        <f t="shared" si="48"/>
        <v>3212</v>
      </c>
      <c r="EQ49" s="14">
        <f>INT(SUMPRODUCT($AB49:$AF49,$BF49:$BJ49)/SUM($BF49:$BJ49)/10000*$BX$7*$BZ$46/'疲劳值&amp;地图信息'!$R$10*$BY$55)</f>
        <v>868</v>
      </c>
      <c r="ER49" s="50">
        <f t="shared" si="49"/>
        <v>0.73497888924975641</v>
      </c>
      <c r="ES49" s="50">
        <f t="shared" si="50"/>
        <v>0.20863916856122117</v>
      </c>
      <c r="ET49" s="50">
        <f t="shared" si="51"/>
        <v>5.6381942189022413E-2</v>
      </c>
      <c r="EU49" s="51">
        <f t="shared" si="52"/>
        <v>13041</v>
      </c>
      <c r="EV49" s="51">
        <f t="shared" si="53"/>
        <v>8891</v>
      </c>
      <c r="EW49" s="14">
        <f>INT(SUMPRODUCT($AI49:$AM49,$BF49:$BJ49)/SUM($BF49:$BJ49)/10000*$BX$7*$BZ$46/'疲劳值&amp;地图信息'!$R$10*$BY$56)</f>
        <v>1303</v>
      </c>
      <c r="EX49" s="50">
        <f t="shared" si="54"/>
        <v>0.56126533247256294</v>
      </c>
      <c r="EY49" s="50">
        <f t="shared" si="55"/>
        <v>0.38265547665160321</v>
      </c>
      <c r="EZ49" s="50">
        <f t="shared" si="56"/>
        <v>5.6079190875833872E-2</v>
      </c>
      <c r="FA49" s="51">
        <f t="shared" si="57"/>
        <v>13428</v>
      </c>
      <c r="FB49" s="51">
        <f t="shared" si="58"/>
        <v>16062</v>
      </c>
      <c r="FC49" s="14">
        <f>INT(SUMPRODUCT($AP49:$AT49,$BF49:$BJ49)/SUM($BF49:$BJ49)/10000*$BX$7*$BZ$46/'疲劳值&amp;地图信息'!$R$10*$BY$57)</f>
        <v>1737</v>
      </c>
      <c r="FD49" s="50">
        <f t="shared" si="59"/>
        <v>0.43001248919204532</v>
      </c>
      <c r="FE49" s="50">
        <f t="shared" si="60"/>
        <v>0.51436257085214721</v>
      </c>
      <c r="FF49" s="50">
        <f t="shared" si="61"/>
        <v>5.5624939955807473E-2</v>
      </c>
      <c r="FH49" s="14">
        <f t="shared" si="62"/>
        <v>12206</v>
      </c>
      <c r="FI49" s="14">
        <f t="shared" si="63"/>
        <v>13314</v>
      </c>
      <c r="FJ49" s="14">
        <f t="shared" si="64"/>
        <v>15395</v>
      </c>
      <c r="FK49" s="14">
        <f t="shared" si="65"/>
        <v>23235</v>
      </c>
      <c r="FL49" s="14">
        <f t="shared" si="66"/>
        <v>31227</v>
      </c>
      <c r="FM49" s="14">
        <f t="shared" si="67"/>
        <v>1405563</v>
      </c>
      <c r="FP49" s="14">
        <f t="shared" si="68"/>
        <v>334150</v>
      </c>
      <c r="FQ49" s="50">
        <f t="shared" si="8"/>
        <v>0.19207191071170934</v>
      </c>
      <c r="FS49" s="14">
        <f t="shared" si="69"/>
        <v>1739713</v>
      </c>
      <c r="FX49" s="14">
        <v>44</v>
      </c>
      <c r="FY49" s="51">
        <f t="shared" si="70"/>
        <v>14489</v>
      </c>
      <c r="FZ49" s="51">
        <f t="shared" si="71"/>
        <v>1481</v>
      </c>
      <c r="GA49" s="51">
        <f>INT(SUMPRODUCT($N49:$R49,$BF49:$BJ49)/SUM($BF49:$BJ49)/10000*$BX$7*$BZ$46/'疲劳值&amp;地图信息'!$R$10*$BY$53)</f>
        <v>376</v>
      </c>
      <c r="GB49" s="50">
        <f t="shared" si="72"/>
        <v>0.88639422488682251</v>
      </c>
      <c r="GC49" s="50">
        <f t="shared" si="73"/>
        <v>9.0603205677229903E-2</v>
      </c>
      <c r="GD49" s="50">
        <f t="shared" si="74"/>
        <v>2.3002569435947633E-2</v>
      </c>
      <c r="GE49" s="51">
        <f t="shared" si="75"/>
        <v>14969</v>
      </c>
      <c r="GF49" s="51">
        <f t="shared" si="76"/>
        <v>1981</v>
      </c>
      <c r="GG49" s="14">
        <f>INT(SUMPRODUCT($U49:$Y49,$BF49:$BJ49)/SUM($BF49:$BJ49)/10000*$BX$7*$BZ$46/'疲劳值&amp;地图信息'!$R$10*$BY$54)</f>
        <v>641</v>
      </c>
      <c r="GH49" s="50">
        <f t="shared" si="77"/>
        <v>0.85094650673639927</v>
      </c>
      <c r="GI49" s="50">
        <f t="shared" si="78"/>
        <v>0.11261440509351373</v>
      </c>
      <c r="GJ49" s="50">
        <f t="shared" si="79"/>
        <v>3.6439088170086974E-2</v>
      </c>
      <c r="GK49" s="51">
        <f t="shared" si="80"/>
        <v>15841</v>
      </c>
      <c r="GL49" s="51">
        <f t="shared" si="81"/>
        <v>3212</v>
      </c>
      <c r="GM49" s="14">
        <f>INT(SUMPRODUCT($AB49:$AF49,$BF49:$BJ49)/SUM($BF49:$BJ49)/10000*$BX$7*$BZ$46/'疲劳值&amp;地图信息'!$R$10*$BY$55)</f>
        <v>868</v>
      </c>
      <c r="GN49" s="50">
        <f t="shared" si="82"/>
        <v>0.79519100446764723</v>
      </c>
      <c r="GO49" s="50">
        <f t="shared" si="83"/>
        <v>0.16123688569850911</v>
      </c>
      <c r="GP49" s="50">
        <f t="shared" si="84"/>
        <v>4.3572109833843679E-2</v>
      </c>
      <c r="GQ49" s="51">
        <f t="shared" si="85"/>
        <v>18258</v>
      </c>
      <c r="GR49" s="51">
        <f t="shared" si="86"/>
        <v>8891</v>
      </c>
      <c r="GS49" s="14">
        <f>INT(SUMPRODUCT($AI49:$AM49,$BF49:$BJ49)/SUM($BF49:$BJ49)/10000*$BX$7*$BZ$46/'疲劳值&amp;地图信息'!$R$10*$BY$56)</f>
        <v>1303</v>
      </c>
      <c r="GT49" s="50">
        <f t="shared" si="87"/>
        <v>0.6417123576549979</v>
      </c>
      <c r="GU49" s="50">
        <f t="shared" si="88"/>
        <v>0.31249121327147478</v>
      </c>
      <c r="GV49" s="50">
        <f t="shared" si="89"/>
        <v>4.5796429073527344E-2</v>
      </c>
      <c r="GW49" s="51">
        <f t="shared" si="90"/>
        <v>18799</v>
      </c>
      <c r="GX49" s="51">
        <f t="shared" si="91"/>
        <v>16062</v>
      </c>
      <c r="GY49" s="14">
        <f>INT(SUMPRODUCT($AP49:$AT49,$BF49:$BJ49)/SUM($BF49:$BJ49)/10000*$BX$7*$BZ$46/'疲劳值&amp;地图信息'!$R$10*$BY$57)</f>
        <v>1737</v>
      </c>
      <c r="GZ49" s="50">
        <f t="shared" si="92"/>
        <v>0.5136619487403683</v>
      </c>
      <c r="HA49" s="50">
        <f t="shared" si="93"/>
        <v>0.43887644133559212</v>
      </c>
      <c r="HB49" s="50">
        <f t="shared" si="94"/>
        <v>4.7461609924039562E-2</v>
      </c>
      <c r="HD49" s="14">
        <f t="shared" si="95"/>
        <v>16346</v>
      </c>
      <c r="HE49" s="14">
        <f t="shared" si="96"/>
        <v>17591</v>
      </c>
      <c r="HF49" s="14">
        <f t="shared" si="97"/>
        <v>19921</v>
      </c>
      <c r="HG49" s="14">
        <f t="shared" si="98"/>
        <v>28452</v>
      </c>
      <c r="HH49" s="14">
        <f t="shared" si="99"/>
        <v>36598</v>
      </c>
      <c r="HI49" s="14">
        <f t="shared" si="100"/>
        <v>1853317</v>
      </c>
      <c r="HL49" s="14">
        <f t="shared" si="101"/>
        <v>430050</v>
      </c>
      <c r="HM49" s="50">
        <f t="shared" si="9"/>
        <v>0.18834028870523223</v>
      </c>
      <c r="HO49" s="14">
        <f t="shared" si="102"/>
        <v>2283367</v>
      </c>
    </row>
    <row r="50" spans="11:223" x14ac:dyDescent="0.2">
      <c r="K50" s="14">
        <v>45</v>
      </c>
      <c r="L50" s="12">
        <f>求节点(节奏总纲!D$4:D$163,标准城池设计!AB$4:AB$163,$K50)*求节点(节奏总纲!D$4:D$163,攻城基础信息!$AC$5:$AC$164,$K50)</f>
        <v>296407.30936787621</v>
      </c>
      <c r="M50" s="12">
        <f>INDEX(其他调用!$AA$5:$AA$404,MATCH(K50,其他调用!$X$5:$X$404,0))*MIN(INDEX(其他调用!$AH$5:$AH$364,MATCH('征服点（新）'!K50,其他调用!$AG$5:$AG$364,0),1)/INDEX(其他调用!$AJ$5:$AJ$364,MATCH(K50,其他调用!$AG$5:$AG$364,0),0),5)*求节点(节奏总纲!D$4:D$163,攻城基础信息!$AC$5:$AC$164,$K50)</f>
        <v>41649.7150690372</v>
      </c>
      <c r="N50" s="12">
        <f>MIN(INDEX(其他调用!$AH$5:$AH$364,MATCH($K50,其他调用!$AG$5:$AG$364,0),1)/INDEX(其他调用!AH$5:AH$364,MATCH($K50,其他调用!$AG$5:$AG$364,0),0),1)*INDEX(其他调用!Y$5:Y$404,MATCH($K50,其他调用!$X$5:$X$404,0),0)</f>
        <v>31668.713272284655</v>
      </c>
      <c r="O50" s="12">
        <f>MIN(INDEX(其他调用!$AH$5:$AH$364,MATCH($K50,其他调用!$AG$5:$AG$364,0),1)/INDEX(其他调用!AI$5:AI$364,MATCH($K50,其他调用!$AG$5:$AG$364,0),0),1)*INDEX(其他调用!Z$5:Z$404,MATCH($K50,其他调用!$X$5:$X$404,0),0)</f>
        <v>24494.166774321144</v>
      </c>
      <c r="P50" s="12">
        <f>MIN(INDEX(其他调用!$AH$5:$AH$364,MATCH($K50,其他调用!$AG$5:$AG$364,0),1)/INDEX(其他调用!AJ$5:AJ$364,MATCH($K50,其他调用!$AG$5:$AG$364,0),0),1)*INDEX(其他调用!AA$5:AA$404,MATCH($K50,其他调用!$X$5:$X$404,0),0)</f>
        <v>15573.981597008882</v>
      </c>
      <c r="Q50" s="12">
        <f>MIN(INDEX(其他调用!$AH$5:$AH$364,MATCH($K50,其他调用!$AG$5:$AG$364,0),1)/INDEX(其他调用!AK$5:AK$364,MATCH($K50,其他调用!$AG$5:$AG$364,0),0),1)*INDEX(其他调用!AB$5:AB$404,MATCH($K50,其他调用!$X$5:$X$404,0),0)</f>
        <v>5999.2199891842065</v>
      </c>
      <c r="R50" s="12">
        <f>MIN(INDEX(其他调用!$AH$5:$AH$364,MATCH($K50,其他调用!$AG$5:$AG$364,0),1)/INDEX(其他调用!AL$5:AL$364,MATCH($K50,其他调用!$AG$5:$AG$364,0),0),1)*INDEX(其他调用!AC$5:AC$404,MATCH($K50,其他调用!$X$5:$X$404,0),0)</f>
        <v>2007.5923889090593</v>
      </c>
      <c r="S50" s="12">
        <f>求节点(节奏总纲!D$4:D$163,标准城池设计!AC$4:AC$163,$K50)*求节点(节奏总纲!D$4:D$163,攻城基础信息!$AD$5:$AD$164,$K50)</f>
        <v>306273.56019091827</v>
      </c>
      <c r="T50" s="12">
        <f>INDEX(其他调用!$AA$5:$AA$404,MATCH($K50,其他调用!$X$5:$X$404,0))*MIN(INDEX(其他调用!AI$5:AI$364,MATCH($K50,其他调用!$AG$5:$AG$364,0),1)/INDEX(其他调用!$AJ$5:$AJ$364,MATCH($K50,其他调用!$AG$5:$AG$364,0),0),5)*求节点(节奏总纲!D$4:D$163,攻城基础信息!$AD$5:$AD$164,$K50)</f>
        <v>55675.92627789962</v>
      </c>
      <c r="U50" s="12">
        <f>MIN(INDEX(其他调用!$AI$5:$AI$364,MATCH($K50,其他调用!$AG$5:$AG$364,0),1)/INDEX(其他调用!AH$5:AH$364,MATCH($K50,其他调用!$AG$5:$AG$364,0),0),1)*INDEX(其他调用!Y$5:Y$404,MATCH($K50,其他调用!$X$5:$X$404,0),0)</f>
        <v>31668.713272284655</v>
      </c>
      <c r="V50" s="12">
        <f>MIN(INDEX(其他调用!$AI$5:$AI$364,MATCH($K50,其他调用!$AG$5:$AG$364,0),1)/INDEX(其他调用!AI$5:AI$364,MATCH($K50,其他调用!$AG$5:$AG$364,0),0),1)*INDEX(其他调用!Z$5:Z$404,MATCH($K50,其他调用!$X$5:$X$404,0),0)</f>
        <v>32742.971261752915</v>
      </c>
      <c r="W50" s="12">
        <f>MIN(INDEX(其他调用!$AI$5:$AI$364,MATCH($K50,其他调用!$AG$5:$AG$364,0),1)/INDEX(其他调用!AJ$5:AJ$364,MATCH($K50,其他调用!$AG$5:$AG$364,0),0),1)*INDEX(其他调用!AA$5:AA$404,MATCH($K50,其他调用!$X$5:$X$404,0),0)</f>
        <v>20818.770303978366</v>
      </c>
      <c r="X50" s="12">
        <f>MIN(INDEX(其他调用!$AI$5:$AI$364,MATCH($K50,其他调用!$AG$5:$AG$364,0),1)/INDEX(其他调用!AK$5:AK$364,MATCH($K50,其他调用!$AG$5:$AG$364,0),0),1)*INDEX(其他调用!AB$5:AB$404,MATCH($K50,其他调用!$X$5:$X$404,0),0)</f>
        <v>8019.5537781969006</v>
      </c>
      <c r="Y50" s="12">
        <f>MIN(INDEX(其他调用!$AI$5:$AI$364,MATCH($K50,其他调用!$AG$5:$AG$364,0),1)/INDEX(其他调用!AL$5:AL$364,MATCH($K50,其他调用!$AG$5:$AG$364,0),0),1)*INDEX(其他调用!AC$5:AC$404,MATCH($K50,其他调用!$X$5:$X$404,0),0)</f>
        <v>2683.6814046794634</v>
      </c>
      <c r="Z50" s="12">
        <f>求节点(节奏总纲!D$4:D$163,标准城池设计!AD$4:AD$163,$K50)*求节点(节奏总纲!D$4:D$163,攻城基础信息!$AE$5:$AE$164,$K50)</f>
        <v>323967.06685928738</v>
      </c>
      <c r="AA50" s="12">
        <f>INDEX(其他调用!$AA$5:$AA$404,MATCH($K50,其他调用!$X$5:$X$404,0))*MIN(INDEX(其他调用!AJ$5:AJ$364,MATCH($K50,其他调用!$AG$5:$AG$364,0),1)/INDEX(其他调用!$AJ$5:$AJ$364,MATCH($K50,其他调用!$AG$5:$AG$364,0),0),5)*求节点(节奏总纲!D$4:D$163,攻城基础信息!$AE$5:$AE$164,$K50)</f>
        <v>91498.139192435105</v>
      </c>
      <c r="AB50" s="12">
        <f>MIN(INDEX(其他调用!$AJ$5:$AJ$364,MATCH($K50,其他调用!$AG$5:$AG$364,0),1)/INDEX(其他调用!AH$5:AH$364,MATCH($K50,其他调用!$AG$5:$AG$364,0),0),1)*INDEX(其他调用!Y$5:Y$404,MATCH($K50,其他调用!$X$5:$X$404,0),0)</f>
        <v>31668.713272284655</v>
      </c>
      <c r="AC50" s="12">
        <f>MIN(INDEX(其他调用!$AJ$5:$AJ$364,MATCH($K50,其他调用!$AG$5:$AG$364,0),1)/INDEX(其他调用!AI$5:AI$364,MATCH($K50,其他调用!$AG$5:$AG$364,0),0),1)*INDEX(其他调用!Z$5:Z$404,MATCH($K50,其他调用!$X$5:$X$404,0),0)</f>
        <v>32742.971261752915</v>
      </c>
      <c r="AD50" s="12">
        <f>MIN(INDEX(其他调用!$AJ$5:$AJ$364,MATCH($K50,其他调用!$AG$5:$AG$364,0),1)/INDEX(其他调用!AJ$5:AJ$364,MATCH($K50,其他调用!$AG$5:$AG$364,0),0),1)*INDEX(其他调用!AA$5:AA$404,MATCH($K50,其他调用!$X$5:$X$404,0),0)</f>
        <v>34213.687502580135</v>
      </c>
      <c r="AE50" s="12">
        <f>MIN(INDEX(其他调用!$AJ$5:$AJ$364,MATCH($K50,其他调用!$AG$5:$AG$364,0),1)/INDEX(其他调用!AK$5:AK$364,MATCH($K50,其他调用!$AG$5:$AG$364,0),0),1)*INDEX(其他调用!AB$5:AB$404,MATCH($K50,其他调用!$X$5:$X$404,0),0)</f>
        <v>13179.381052344488</v>
      </c>
      <c r="AF50" s="12">
        <f>MIN(INDEX(其他调用!$AJ$5:$AJ$364,MATCH($K50,其他调用!$AG$5:$AG$364,0),1)/INDEX(其他调用!AL$5:AL$364,MATCH($K50,其他调用!$AG$5:$AG$364,0),0),1)*INDEX(其他调用!AC$5:AC$404,MATCH($K50,其他调用!$X$5:$X$404,0),0)</f>
        <v>4410.3775389001894</v>
      </c>
      <c r="AG50" s="12">
        <f>求节点(节奏总纲!D$4:D$163,标准城池设计!AE$4:AE$163,$K50)*求节点(节奏总纲!D$4:D$163,攻城基础信息!$AF$5:$AF$164,$K50)</f>
        <v>372781.41714994702</v>
      </c>
      <c r="AH50" s="12">
        <f>INDEX(其他调用!$AA$5:$AA$404,MATCH($K50,其他调用!$X$5:$X$404,0))*MIN(INDEX(其他调用!AK$5:AK$364,MATCH($K50,其他调用!$AG$5:$AG$364,0),1)/INDEX(其他调用!$AJ$5:$AJ$364,MATCH($K50,其他调用!$AG$5:$AG$364,0),0),5)*求节点(节奏总纲!D$4:D$163,攻城基础信息!$AF$5:$AF$164,$K50)</f>
        <v>252402.94464455641</v>
      </c>
      <c r="AI50" s="12">
        <f>MIN(INDEX(其他调用!$AK$5:$AK$364,MATCH($K50,其他调用!$AG$5:$AG$364,0),1)/INDEX(其他调用!AH$5:AH$364,MATCH($K50,其他调用!$AG$5:$AG$364,0),0),1)*INDEX(其他调用!Y$5:Y$404,MATCH($K50,其他调用!$X$5:$X$404,0),0)</f>
        <v>31668.713272284655</v>
      </c>
      <c r="AJ50" s="12">
        <f>MIN(INDEX(其他调用!$AK$5:$AK$364,MATCH($K50,其他调用!$AG$5:$AG$364,0),1)/INDEX(其他调用!AI$5:AI$364,MATCH($K50,其他调用!$AG$5:$AG$364,0),0),1)*INDEX(其他调用!Z$5:Z$404,MATCH($K50,其他调用!$X$5:$X$404,0),0)</f>
        <v>32742.971261752915</v>
      </c>
      <c r="AK50" s="12">
        <f>MIN(INDEX(其他调用!$AK$5:$AK$364,MATCH($K50,其他调用!$AG$5:$AG$364,0),1)/INDEX(其他调用!AJ$5:AJ$364,MATCH($K50,其他调用!$AG$5:$AG$364,0),0),1)*INDEX(其他调用!AA$5:AA$404,MATCH($K50,其他调用!$X$5:$X$404,0),0)</f>
        <v>34213.687502580135</v>
      </c>
      <c r="AL50" s="12">
        <f>MIN(INDEX(其他调用!$AK$5:$AK$364,MATCH($K50,其他调用!$AG$5:$AG$364,0),1)/INDEX(其他调用!AK$5:AK$364,MATCH($K50,其他调用!$AG$5:$AG$364,0),0),1)*INDEX(其他调用!AB$5:AB$404,MATCH($K50,其他调用!$X$5:$X$404,0),0)</f>
        <v>36356.090031604173</v>
      </c>
      <c r="AM50" s="12">
        <f>MIN(INDEX(其他调用!$AK$5:$AK$364,MATCH($K50,其他调用!$AG$5:$AG$364,0),1)/INDEX(其他调用!AL$5:AL$364,MATCH($K50,其他调用!$AG$5:$AG$364,0),0),1)*INDEX(其他调用!AC$5:AC$404,MATCH($K50,其他调用!$X$5:$X$404,0),0)</f>
        <v>12166.283245076705</v>
      </c>
      <c r="AN50" s="12">
        <f>求节点(节奏总纲!D$4:D$163,标准城池设计!AF$4:AF$163,$K50)*求节点(节奏总纲!D$4:D$163,攻城基础信息!$AG$5:$AG$164,$K50)</f>
        <v>383963.78562343348</v>
      </c>
      <c r="AO50" s="12">
        <f>INDEX(其他调用!$AA$5:$AA$404,MATCH($K50,其他调用!$X$5:$X$404,0))*MIN(INDEX(其他调用!AL$5:AL$364,MATCH($K50,其他调用!$AG$5:$AG$364,0),1)/INDEX(其他调用!$AJ$5:$AJ$364,MATCH($K50,其他调用!$AG$5:$AG$364,0),0),5)*求节点(节奏总纲!D$4:D$163,攻城基础信息!$AG$5:$AG$164,$K50)</f>
        <v>457490.69596217555</v>
      </c>
      <c r="AP50" s="12">
        <f>MIN(INDEX(其他调用!$AL$5:$AL$364,MATCH($K50,其他调用!$AG$5:$AG$364,0),1)/INDEX(其他调用!AH$5:AH$364,MATCH($K50,其他调用!$AG$5:$AG$364,0),0),1)*INDEX(其他调用!Y$5:Y$404,MATCH($K50,其他调用!$X$5:$X$404,0),0)</f>
        <v>31668.713272284655</v>
      </c>
      <c r="AQ50" s="12">
        <f>MIN(INDEX(其他调用!$AL$5:$AL$364,MATCH($K50,其他调用!$AG$5:$AG$364,0),1)/INDEX(其他调用!AI$5:AI$364,MATCH($K50,其他调用!$AG$5:$AG$364,0),0),1)*INDEX(其他调用!Z$5:Z$404,MATCH($K50,其他调用!$X$5:$X$404,0),0)</f>
        <v>32742.971261752915</v>
      </c>
      <c r="AR50" s="12">
        <f>MIN(INDEX(其他调用!$AL$5:$AL$364,MATCH($K50,其他调用!$AG$5:$AG$364,0),1)/INDEX(其他调用!AJ$5:AJ$364,MATCH($K50,其他调用!$AG$5:$AG$364,0),0),1)*INDEX(其他调用!AA$5:AA$404,MATCH($K50,其他调用!$X$5:$X$404,0),0)</f>
        <v>34213.687502580135</v>
      </c>
      <c r="AS50" s="12">
        <f>MIN(INDEX(其他调用!$AL$5:$AL$364,MATCH($K50,其他调用!$AG$5:$AG$364,0),1)/INDEX(其他调用!AK$5:AK$364,MATCH($K50,其他调用!$AG$5:$AG$364,0),0),1)*INDEX(其他调用!AB$5:AB$404,MATCH($K50,其他调用!$X$5:$X$404,0),0)</f>
        <v>36356.090031604173</v>
      </c>
      <c r="AT50" s="12">
        <f>MIN(INDEX(其他调用!$AL$5:$AL$364,MATCH($K50,其他调用!$AG$5:$AG$364,0),1)/INDEX(其他调用!AL$5:AL$364,MATCH($K50,其他调用!$AG$5:$AG$364,0),0),1)*INDEX(其他调用!AC$5:AC$404,MATCH($K50,其他调用!$X$5:$X$404,0),0)</f>
        <v>40192.181301365505</v>
      </c>
      <c r="AV50" s="14">
        <f>IF(OR(AV$5="大R",AV$5="超R"),MAX(INDEX(其他调用!$H$5:$L$404,MATCH($K50,其他调用!$B$5:$B$404,0),MATCH(AV$5,其他调用!$H$4:$L$4,0))*120*0.85,2),INDEX(其他调用!$H$5:$L$404,MATCH($K50,其他调用!$B$5:$B$404,0),MATCH(AV$5,其他调用!$H$4:$L$4,0))*120*0.85)</f>
        <v>53.125580086363662</v>
      </c>
      <c r="AW50" s="14">
        <f>IF(OR(AW$5="大R",AW$5="超R"),MAX(INDEX(其他调用!$H$5:$L$404,MATCH($K50,其他调用!$B$5:$B$404,0),MATCH(AW$5,其他调用!$H$4:$L$4,0))*120*0.85,2),INDEX(其他调用!$H$5:$L$404,MATCH($K50,其他调用!$B$5:$B$404,0),MATCH(AW$5,其他调用!$H$4:$L$4,0))*120*0.85)</f>
        <v>44.249411946916346</v>
      </c>
      <c r="AX50" s="14">
        <f>IF(OR(AX$5="大R",AX$5="超R"),MAX(INDEX(其他调用!$H$5:$L$404,MATCH($K50,其他调用!$B$5:$B$404,0),MATCH(AX$5,其他调用!$H$4:$L$4,0))*120*0.85,2),INDEX(其他调用!$H$5:$L$404,MATCH($K50,其他调用!$B$5:$B$404,0),MATCH(AX$5,其他调用!$H$4:$L$4,0))*120*0.85)</f>
        <v>3.8414031667200002</v>
      </c>
      <c r="AY50" s="14">
        <f>IF(OR(AY$5="大R",AY$5="超R"),MAX(INDEX(其他调用!$H$5:$L$404,MATCH($K50,其他调用!$B$5:$B$404,0),MATCH(AY$5,其他调用!$H$4:$L$4,0))*120*0.85,2),INDEX(其他调用!$H$5:$L$404,MATCH($K50,其他调用!$B$5:$B$404,0),MATCH(AY$5,其他调用!$H$4:$L$4,0))*120*0.85)</f>
        <v>2</v>
      </c>
      <c r="AZ50" s="14">
        <f>IF(OR(AZ$5="大R",AZ$5="超R"),MAX(INDEX(其他调用!$H$5:$L$404,MATCH($K50,其他调用!$B$5:$B$404,0),MATCH(AZ$5,其他调用!$H$4:$L$4,0))*120*0.85,2),INDEX(其他调用!$H$5:$L$404,MATCH($K50,其他调用!$B$5:$B$404,0),MATCH(AZ$5,其他调用!$H$4:$L$4,0))*120*0.85)</f>
        <v>2</v>
      </c>
      <c r="BA50" s="14">
        <f>INDEX(其他调用!$H$5:$L$404,MATCH($K50,其他调用!$B$5:$B$404,0),MATCH(BA$5,其他调用!$H$4:$L$4,0))*INDEX(其他调用!$M$5:$M$404,MATCH($K50,其他调用!$B$5:$B$404,0))*0.6</f>
        <v>28.713763822392355</v>
      </c>
      <c r="BB50" s="14">
        <f>INDEX(其他调用!$H$5:$L$404,MATCH($K50,其他调用!$B$5:$B$404,0),MATCH(BB$5,其他调用!$H$4:$L$4,0))*INDEX(其他调用!$M$5:$M$404,MATCH($K50,其他调用!$B$5:$B$404,0))*0.6</f>
        <v>23.916297231164418</v>
      </c>
      <c r="BC50" s="14">
        <f>INDEX(其他调用!$H$5:$L$404,MATCH($K50,其他调用!$B$5:$B$404,0),MATCH(BC$5,其他调用!$H$4:$L$4,0))*INDEX(其他调用!$M$5:$M$404,MATCH($K50,其他调用!$B$5:$B$404,0))*0.6</f>
        <v>2.0762341436362104</v>
      </c>
      <c r="BD50" s="14">
        <f>INDEX(其他调用!$H$5:$L$404,MATCH($K50,其他调用!$B$5:$B$404,0),MATCH(BD$5,其他调用!$H$4:$L$4,0))*INDEX(其他调用!$M$5:$M$404,MATCH($K50,其他调用!$B$5:$B$404,0))*0.6</f>
        <v>0.33620372210526328</v>
      </c>
      <c r="BE50" s="14">
        <f>INDEX(其他调用!$H$5:$L$404,MATCH($K50,其他调用!$B$5:$B$404,0),MATCH(BE$5,其他调用!$H$4:$L$4,0))*INDEX(其他调用!$M$5:$M$404,MATCH($K50,其他调用!$B$5:$B$404,0))*0.6</f>
        <v>8.7325642105263154E-2</v>
      </c>
      <c r="BF50" s="14">
        <f>IF(OR(BF$5="大R",BF$5="超R"),0,INDEX(其他调用!$H$5:$L$404,MATCH($K50,其他调用!$B$5:$B$404,0),MATCH(BF$5,其他调用!$H$4:$L$4,0))*50*0.4)</f>
        <v>10.416780409090913</v>
      </c>
      <c r="BG50" s="14">
        <f>IF(OR(BG$5="大R",BG$5="超R"),0,INDEX(其他调用!$H$5:$L$404,MATCH($K50,其他调用!$B$5:$B$404,0),MATCH(BG$5,其他调用!$H$4:$L$4,0))*50*0.4)</f>
        <v>8.6763552837090874</v>
      </c>
      <c r="BH50" s="14">
        <f>IF(OR(BH$5="大R",BH$5="超R"),0,INDEX(其他调用!$H$5:$L$404,MATCH($K50,其他调用!$B$5:$B$404,0),MATCH(BH$5,其他调用!$H$4:$L$4,0))*50*0.4)</f>
        <v>0.7532163072000001</v>
      </c>
      <c r="BI50" s="14">
        <f>IF(OR(BI$5="大R",BI$5="超R"),0,INDEX(其他调用!$H$5:$L$404,MATCH($K50,其他调用!$B$5:$B$404,0),MATCH(BI$5,其他调用!$H$4:$L$4,0))*50*0.4)</f>
        <v>0</v>
      </c>
      <c r="BJ50" s="14">
        <f>IF(OR(BJ$5="大R",BJ$5="超R"),0,INDEX(其他调用!$H$5:$L$404,MATCH($K50,其他调用!$B$5:$B$404,0),MATCH(BJ$5,其他调用!$H$4:$L$4,0))*50*0.4)</f>
        <v>0</v>
      </c>
      <c r="BL50" s="14">
        <f t="shared" si="103"/>
        <v>45</v>
      </c>
      <c r="BM50" s="14">
        <f t="shared" si="10"/>
        <v>96</v>
      </c>
      <c r="BN50" s="14">
        <f>('疲劳值&amp;地图信息'!$S$10*'疲劳值&amp;地图信息'!$R$10+'疲劳值&amp;地图信息'!$S$11*'疲劳值&amp;地图信息'!$R$11+'疲劳值&amp;地图信息'!$S$12*'疲劳值&amp;地图信息'!$R$12+(BM50-'疲劳值&amp;地图信息'!$S$12-'疲劳值&amp;地图信息'!$S$11-'疲劳值&amp;地图信息'!$S$10)*'疲劳值&amp;地图信息'!$R$13)/BM50</f>
        <v>51.371477246638619</v>
      </c>
      <c r="BO50" s="14">
        <f>INDEX(其他调用!$M$5:$M$404,MATCH(BL50,其他调用!$B$5:$B$404,0))*0.6</f>
        <v>55.129824561403503</v>
      </c>
      <c r="BP50" s="14">
        <f>IF(BO50&gt;SUM('疲劳值&amp;地图信息'!$S$10:$S$12),('疲劳值&amp;地图信息'!$S$10*'疲劳值&amp;地图信息'!$R$10+'疲劳值&amp;地图信息'!$S$11*'疲劳值&amp;地图信息'!$R$11+'疲劳值&amp;地图信息'!$S$12*'疲劳值&amp;地图信息'!$R$12+(BO50-'疲劳值&amp;地图信息'!$S$12-'疲劳值&amp;地图信息'!$S$11-'疲劳值&amp;地图信息'!$S$10)*'疲劳值&amp;地图信息'!$R$13)/BO50,('疲劳值&amp;地图信息'!$S$10*'疲劳值&amp;地图信息'!$R$10+'疲劳值&amp;地图信息'!$S$11*'疲劳值&amp;地图信息'!$R$11+'疲劳值&amp;地图信息'!$S$12*'疲劳值&amp;地图信息'!$R$12+(BO50-'疲劳值&amp;地图信息'!$S$12-'疲劳值&amp;地图信息'!$S$11-'疲劳值&amp;地图信息'!$S$10)*'疲劳值&amp;地图信息'!$R$13)/BO50)</f>
        <v>42.458863229558204</v>
      </c>
      <c r="BQ50" s="14">
        <f t="shared" si="104"/>
        <v>20</v>
      </c>
      <c r="BR50" s="14">
        <f>('疲劳值&amp;地图信息'!$S$10*'疲劳值&amp;地图信息'!$R$10+($BQ50-'疲劳值&amp;地图信息'!$S$10)*'疲劳值&amp;地图信息'!$R$11)/$BQ50</f>
        <v>32.067203015074995</v>
      </c>
      <c r="CF50" s="14">
        <v>45</v>
      </c>
      <c r="CG50" s="51">
        <f t="shared" si="11"/>
        <v>6282</v>
      </c>
      <c r="CH50" s="51">
        <f t="shared" si="12"/>
        <v>882</v>
      </c>
      <c r="CI50" s="51">
        <f>INT(SUMPRODUCT($N50:$R50,$BA50:$BE50)/SUM($BA50:$BE50)/10000*$BX$7*$BZ$34/'疲劳值&amp;地图信息'!$R$10*$BY$53)</f>
        <v>2815</v>
      </c>
      <c r="CJ50" s="50">
        <f t="shared" si="13"/>
        <v>0.62952199619200322</v>
      </c>
      <c r="CK50" s="50">
        <f t="shared" si="14"/>
        <v>8.8385609780539137E-2</v>
      </c>
      <c r="CL50" s="50">
        <f t="shared" si="15"/>
        <v>0.28209239402745767</v>
      </c>
      <c r="CM50" s="14">
        <f t="shared" si="16"/>
        <v>6492</v>
      </c>
      <c r="CN50" s="14">
        <f t="shared" si="17"/>
        <v>1180</v>
      </c>
      <c r="CO50" s="14">
        <f>INT(SUMPRODUCT($U50:$Y50,$BA50:$BE50)/SUM($BA50:$BE50)/10000*$BX$7*$BZ$34/'疲劳值&amp;地图信息'!$R$10*$BY$54)</f>
        <v>4799</v>
      </c>
      <c r="CP50" s="50">
        <f t="shared" si="18"/>
        <v>0.52056771710368055</v>
      </c>
      <c r="CQ50" s="50">
        <f t="shared" si="19"/>
        <v>9.4619517280089813E-2</v>
      </c>
      <c r="CR50" s="50">
        <f t="shared" si="20"/>
        <v>0.38481276561622968</v>
      </c>
      <c r="CS50" s="14">
        <f t="shared" si="21"/>
        <v>6867</v>
      </c>
      <c r="CT50" s="14">
        <f t="shared" si="22"/>
        <v>1939</v>
      </c>
      <c r="CU50" s="14">
        <f>INT(SUMPRODUCT($AB50:$AF50,$BA50:$BE50)/SUM($BA50:$BE50)/10000*$BX$7*$BZ$34/'疲劳值&amp;地图信息'!$R$10*$BY$55)</f>
        <v>6509</v>
      </c>
      <c r="CV50" s="50">
        <f t="shared" si="23"/>
        <v>0.44838393731635651</v>
      </c>
      <c r="CW50" s="50">
        <f t="shared" si="24"/>
        <v>0.12660790075089781</v>
      </c>
      <c r="CX50" s="50">
        <f t="shared" si="25"/>
        <v>0.42500816193274565</v>
      </c>
      <c r="CY50" s="14">
        <f t="shared" si="26"/>
        <v>7901</v>
      </c>
      <c r="CZ50" s="14">
        <f t="shared" si="27"/>
        <v>5350</v>
      </c>
      <c r="DA50" s="14">
        <f>INT(SUMPRODUCT($AI50:$AM50,$BA50:$BE50)/SUM($BA50:$BE50)/10000*$BX$7*$BZ$34/'疲劳值&amp;地图信息'!$R$10*$BY$56)</f>
        <v>9810</v>
      </c>
      <c r="DB50" s="50">
        <f t="shared" si="28"/>
        <v>0.34261306968474914</v>
      </c>
      <c r="DC50" s="50">
        <f t="shared" si="29"/>
        <v>0.23199340878539526</v>
      </c>
      <c r="DD50" s="50">
        <f t="shared" si="30"/>
        <v>0.4253935215298556</v>
      </c>
      <c r="DE50" s="14">
        <f t="shared" si="31"/>
        <v>8138</v>
      </c>
      <c r="DF50" s="14">
        <f t="shared" si="32"/>
        <v>9697</v>
      </c>
      <c r="DG50" s="14">
        <f>INT(SUMPRODUCT($AP50:$AT50,$BA50:$BE50)/SUM($BA50:$BE50)/10000*$BX$7*$BZ$34/'疲劳值&amp;地图信息'!$R$10*$BY$57)</f>
        <v>13098</v>
      </c>
      <c r="DH50" s="50">
        <f t="shared" si="33"/>
        <v>0.26308473151650341</v>
      </c>
      <c r="DI50" s="50">
        <f t="shared" si="34"/>
        <v>0.31348398150842144</v>
      </c>
      <c r="DJ50" s="50">
        <f t="shared" si="35"/>
        <v>0.42343128697507515</v>
      </c>
      <c r="DL50" s="14">
        <f t="shared" si="106"/>
        <v>9979</v>
      </c>
      <c r="DM50" s="14">
        <f t="shared" si="107"/>
        <v>12471</v>
      </c>
      <c r="DN50" s="14">
        <f t="shared" si="108"/>
        <v>15315</v>
      </c>
      <c r="DO50" s="14">
        <f t="shared" si="109"/>
        <v>23061</v>
      </c>
      <c r="DP50" s="14">
        <f t="shared" si="110"/>
        <v>30933</v>
      </c>
      <c r="DQ50" s="14">
        <f t="shared" si="111"/>
        <v>627046</v>
      </c>
      <c r="DT50" s="14">
        <f t="shared" si="105"/>
        <v>235575</v>
      </c>
      <c r="DU50" s="50">
        <f t="shared" si="7"/>
        <v>0.2730921227282897</v>
      </c>
      <c r="DW50" s="14">
        <f t="shared" si="36"/>
        <v>862621</v>
      </c>
      <c r="EB50" s="14">
        <v>45</v>
      </c>
      <c r="EC50" s="51">
        <f t="shared" si="37"/>
        <v>10471</v>
      </c>
      <c r="ED50" s="51">
        <f t="shared" si="38"/>
        <v>1471</v>
      </c>
      <c r="EE50" s="51">
        <f>INT(SUMPRODUCT($N50:$R50,$BF50:$BJ50)/SUM($BF50:$BJ50)/10000*$BX$7*$BZ$46/'疲劳值&amp;地图信息'!$R$10*$BY$53)</f>
        <v>377</v>
      </c>
      <c r="EF50" s="50">
        <f t="shared" si="39"/>
        <v>0.84998782368698755</v>
      </c>
      <c r="EG50" s="50">
        <f t="shared" si="40"/>
        <v>0.11940904294179723</v>
      </c>
      <c r="EH50" s="50">
        <f t="shared" si="41"/>
        <v>3.0603133371215195E-2</v>
      </c>
      <c r="EI50" s="51">
        <f t="shared" si="42"/>
        <v>10820</v>
      </c>
      <c r="EJ50" s="51">
        <f t="shared" si="43"/>
        <v>1966</v>
      </c>
      <c r="EK50" s="14">
        <f>INT(SUMPRODUCT($U50:$Y50,$BF50:$BJ50)/SUM($BF50:$BJ50)/10000*$BX$7*$BZ$46/'疲劳值&amp;地图信息'!$R$10*$BY$54)</f>
        <v>643</v>
      </c>
      <c r="EL50" s="50">
        <f t="shared" si="44"/>
        <v>0.80571896641596541</v>
      </c>
      <c r="EM50" s="50">
        <f t="shared" si="45"/>
        <v>0.14639958299203218</v>
      </c>
      <c r="EN50" s="50">
        <f t="shared" si="46"/>
        <v>4.7881450592002384E-2</v>
      </c>
      <c r="EO50" s="51">
        <f t="shared" si="47"/>
        <v>11445</v>
      </c>
      <c r="EP50" s="51">
        <f t="shared" si="48"/>
        <v>3232</v>
      </c>
      <c r="EQ50" s="14">
        <f>INT(SUMPRODUCT($AB50:$AF50,$BF50:$BJ50)/SUM($BF50:$BJ50)/10000*$BX$7*$BZ$46/'疲劳值&amp;地图信息'!$R$10*$BY$55)</f>
        <v>872</v>
      </c>
      <c r="ER50" s="50">
        <f t="shared" si="49"/>
        <v>0.73606019679722168</v>
      </c>
      <c r="ES50" s="50">
        <f t="shared" si="50"/>
        <v>0.20785902630394237</v>
      </c>
      <c r="ET50" s="50">
        <f t="shared" si="51"/>
        <v>5.6080776898835935E-2</v>
      </c>
      <c r="EU50" s="51">
        <f t="shared" si="52"/>
        <v>13169</v>
      </c>
      <c r="EV50" s="51">
        <f t="shared" si="53"/>
        <v>8916</v>
      </c>
      <c r="EW50" s="14">
        <f>INT(SUMPRODUCT($AI50:$AM50,$BF50:$BJ50)/SUM($BF50:$BJ50)/10000*$BX$7*$BZ$46/'疲劳值&amp;地图信息'!$R$10*$BY$56)</f>
        <v>1308</v>
      </c>
      <c r="EX50" s="50">
        <f t="shared" si="54"/>
        <v>0.5629461804813406</v>
      </c>
      <c r="EY50" s="50">
        <f t="shared" si="55"/>
        <v>0.381139657162399</v>
      </c>
      <c r="EZ50" s="50">
        <f t="shared" si="56"/>
        <v>5.591416235626042E-2</v>
      </c>
      <c r="FA50" s="51">
        <f t="shared" si="57"/>
        <v>13564</v>
      </c>
      <c r="FB50" s="51">
        <f t="shared" si="58"/>
        <v>16162</v>
      </c>
      <c r="FC50" s="14">
        <f>INT(SUMPRODUCT($AP50:$AT50,$BF50:$BJ50)/SUM($BF50:$BJ50)/10000*$BX$7*$BZ$46/'疲劳值&amp;地图信息'!$R$10*$BY$57)</f>
        <v>1744</v>
      </c>
      <c r="FD50" s="50">
        <f t="shared" si="59"/>
        <v>0.43101366380680012</v>
      </c>
      <c r="FE50" s="50">
        <f t="shared" si="60"/>
        <v>0.51356847791547511</v>
      </c>
      <c r="FF50" s="50">
        <f t="shared" si="61"/>
        <v>5.5417858277724816E-2</v>
      </c>
      <c r="FH50" s="14">
        <f t="shared" si="62"/>
        <v>12319</v>
      </c>
      <c r="FI50" s="14">
        <f t="shared" si="63"/>
        <v>13429</v>
      </c>
      <c r="FJ50" s="14">
        <f t="shared" si="64"/>
        <v>15549</v>
      </c>
      <c r="FK50" s="14">
        <f t="shared" si="65"/>
        <v>23393</v>
      </c>
      <c r="FL50" s="14">
        <f t="shared" si="66"/>
        <v>31470</v>
      </c>
      <c r="FM50" s="14">
        <f t="shared" si="67"/>
        <v>1418135</v>
      </c>
      <c r="FP50" s="14">
        <f t="shared" si="68"/>
        <v>334150</v>
      </c>
      <c r="FQ50" s="50">
        <f t="shared" si="8"/>
        <v>0.19069386543855593</v>
      </c>
      <c r="FS50" s="14">
        <f t="shared" si="69"/>
        <v>1752285</v>
      </c>
      <c r="FX50" s="14">
        <v>45</v>
      </c>
      <c r="FY50" s="51">
        <f t="shared" si="70"/>
        <v>14660</v>
      </c>
      <c r="FZ50" s="51">
        <f t="shared" si="71"/>
        <v>1471</v>
      </c>
      <c r="GA50" s="51">
        <f>INT(SUMPRODUCT($N50:$R50,$BF50:$BJ50)/SUM($BF50:$BJ50)/10000*$BX$7*$BZ$46/'疲劳值&amp;地图信息'!$R$10*$BY$53)</f>
        <v>377</v>
      </c>
      <c r="GB50" s="50">
        <f t="shared" si="72"/>
        <v>0.88805427671432036</v>
      </c>
      <c r="GC50" s="50">
        <f t="shared" si="73"/>
        <v>8.9108311121880307E-2</v>
      </c>
      <c r="GD50" s="50">
        <f t="shared" si="74"/>
        <v>2.2837412163799371E-2</v>
      </c>
      <c r="GE50" s="51">
        <f t="shared" si="75"/>
        <v>15148</v>
      </c>
      <c r="GF50" s="51">
        <f t="shared" si="76"/>
        <v>1966</v>
      </c>
      <c r="GG50" s="14">
        <f>INT(SUMPRODUCT($U50:$Y50,$BF50:$BJ50)/SUM($BF50:$BJ50)/10000*$BX$7*$BZ$46/'疲劳值&amp;地图信息'!$R$10*$BY$54)</f>
        <v>643</v>
      </c>
      <c r="GH50" s="50">
        <f t="shared" si="77"/>
        <v>0.85307202793264625</v>
      </c>
      <c r="GI50" s="50">
        <f t="shared" si="78"/>
        <v>0.11071690037731599</v>
      </c>
      <c r="GJ50" s="50">
        <f t="shared" si="79"/>
        <v>3.6211071690037733E-2</v>
      </c>
      <c r="GK50" s="51">
        <f t="shared" si="80"/>
        <v>16023</v>
      </c>
      <c r="GL50" s="51">
        <f t="shared" si="81"/>
        <v>3232</v>
      </c>
      <c r="GM50" s="14">
        <f>INT(SUMPRODUCT($AB50:$AF50,$BF50:$BJ50)/SUM($BF50:$BJ50)/10000*$BX$7*$BZ$46/'疲劳值&amp;地图信息'!$R$10*$BY$55)</f>
        <v>872</v>
      </c>
      <c r="GN50" s="50">
        <f t="shared" si="82"/>
        <v>0.79609479803249361</v>
      </c>
      <c r="GO50" s="50">
        <f t="shared" si="83"/>
        <v>0.16058031499975159</v>
      </c>
      <c r="GP50" s="50">
        <f t="shared" si="84"/>
        <v>4.3324886967754758E-2</v>
      </c>
      <c r="GQ50" s="51">
        <f t="shared" si="85"/>
        <v>18437</v>
      </c>
      <c r="GR50" s="51">
        <f t="shared" si="86"/>
        <v>8916</v>
      </c>
      <c r="GS50" s="14">
        <f>INT(SUMPRODUCT($AI50:$AM50,$BF50:$BJ50)/SUM($BF50:$BJ50)/10000*$BX$7*$BZ$46/'疲劳值&amp;地图信息'!$R$10*$BY$56)</f>
        <v>1308</v>
      </c>
      <c r="GT50" s="50">
        <f t="shared" si="87"/>
        <v>0.64327832245909078</v>
      </c>
      <c r="GU50" s="50">
        <f t="shared" si="88"/>
        <v>0.31108474931091029</v>
      </c>
      <c r="GV50" s="50">
        <f t="shared" si="89"/>
        <v>4.5636928229998951E-2</v>
      </c>
      <c r="GW50" s="51">
        <f t="shared" si="90"/>
        <v>18990</v>
      </c>
      <c r="GX50" s="51">
        <f t="shared" si="91"/>
        <v>16162</v>
      </c>
      <c r="GY50" s="14">
        <f>INT(SUMPRODUCT($AP50:$AT50,$BF50:$BJ50)/SUM($BF50:$BJ50)/10000*$BX$7*$BZ$46/'疲劳值&amp;地图信息'!$R$10*$BY$57)</f>
        <v>1744</v>
      </c>
      <c r="GZ50" s="50">
        <f t="shared" si="92"/>
        <v>0.51468993928881179</v>
      </c>
      <c r="HA50" s="50">
        <f t="shared" si="93"/>
        <v>0.43804206418039898</v>
      </c>
      <c r="HB50" s="50">
        <f t="shared" si="94"/>
        <v>4.7267996530789246E-2</v>
      </c>
      <c r="HD50" s="14">
        <f t="shared" si="95"/>
        <v>16508</v>
      </c>
      <c r="HE50" s="14">
        <f t="shared" si="96"/>
        <v>17757</v>
      </c>
      <c r="HF50" s="14">
        <f t="shared" si="97"/>
        <v>20127</v>
      </c>
      <c r="HG50" s="14">
        <f t="shared" si="98"/>
        <v>28661</v>
      </c>
      <c r="HH50" s="14">
        <f t="shared" si="99"/>
        <v>36896</v>
      </c>
      <c r="HI50" s="14">
        <f t="shared" si="100"/>
        <v>1871163</v>
      </c>
      <c r="HL50" s="14">
        <f t="shared" si="101"/>
        <v>430050</v>
      </c>
      <c r="HM50" s="50">
        <f t="shared" si="9"/>
        <v>0.18687970213969762</v>
      </c>
      <c r="HO50" s="14">
        <f t="shared" si="102"/>
        <v>2301213</v>
      </c>
    </row>
    <row r="51" spans="11:223" x14ac:dyDescent="0.2">
      <c r="K51" s="14">
        <v>46</v>
      </c>
      <c r="L51" s="12">
        <f>求节点(节奏总纲!D$4:D$163,标准城池设计!AB$4:AB$163,$K51)*求节点(节奏总纲!D$4:D$163,攻城基础信息!$AC$5:$AC$164,$K51)</f>
        <v>300242.84465869702</v>
      </c>
      <c r="M51" s="12">
        <f>INDEX(其他调用!$AA$5:$AA$404,MATCH(K51,其他调用!$X$5:$X$404,0))*MIN(INDEX(其他调用!$AH$5:$AH$364,MATCH('征服点（新）'!K51,其他调用!$AG$5:$AG$364,0),1)/INDEX(其他调用!$AJ$5:$AJ$364,MATCH(K51,其他调用!$AG$5:$AG$364,0),0),5)*求节点(节奏总纲!D$4:D$163,攻城基础信息!$AC$5:$AC$164,$K51)</f>
        <v>41318.892285691327</v>
      </c>
      <c r="N51" s="12">
        <f>MIN(INDEX(其他调用!$AH$5:$AH$364,MATCH($K51,其他调用!$AG$5:$AG$364,0),1)/INDEX(其他调用!AH$5:AH$364,MATCH($K51,其他调用!$AG$5:$AG$364,0),0),1)*INDEX(其他调用!Y$5:Y$404,MATCH($K51,其他调用!$X$5:$X$404,0),0)</f>
        <v>31787.542986598248</v>
      </c>
      <c r="O51" s="12">
        <f>MIN(INDEX(其他调用!$AH$5:$AH$364,MATCH($K51,其他调用!$AG$5:$AG$364,0),1)/INDEX(其他调用!AI$5:AI$364,MATCH($K51,其他调用!$AG$5:$AG$364,0),0),1)*INDEX(其他调用!Z$5:Z$404,MATCH($K51,其他调用!$X$5:$X$404,0),0)</f>
        <v>24598.749670569279</v>
      </c>
      <c r="P51" s="12">
        <f>MIN(INDEX(其他调用!$AH$5:$AH$364,MATCH($K51,其他调用!$AG$5:$AG$364,0),1)/INDEX(其他调用!AJ$5:AJ$364,MATCH($K51,其他调用!$AG$5:$AG$364,0),0),1)*INDEX(其他调用!AA$5:AA$404,MATCH($K51,其他调用!$X$5:$X$404,0),0)</f>
        <v>15391.215491267201</v>
      </c>
      <c r="Q51" s="12">
        <f>MIN(INDEX(其他调用!$AH$5:$AH$364,MATCH($K51,其他调用!$AG$5:$AG$364,0),1)/INDEX(其他调用!AK$5:AK$364,MATCH($K51,其他调用!$AG$5:$AG$364,0),0),1)*INDEX(其他调用!AB$5:AB$404,MATCH($K51,其他调用!$X$5:$X$404,0),0)</f>
        <v>5968.5749419060539</v>
      </c>
      <c r="R51" s="12">
        <f>MIN(INDEX(其他调用!$AH$5:$AH$364,MATCH($K51,其他调用!$AG$5:$AG$364,0),1)/INDEX(其他调用!AL$5:AL$364,MATCH($K51,其他调用!$AG$5:$AG$364,0),0),1)*INDEX(其他调用!AC$5:AC$404,MATCH($K51,其他调用!$X$5:$X$404,0),0)</f>
        <v>1993.1008861882121</v>
      </c>
      <c r="S51" s="12">
        <f>求节点(节奏总纲!D$4:D$163,标准城池设计!AC$4:AC$163,$K51)*求节点(节奏总纲!D$4:D$163,攻城基础信息!$AD$5:$AD$164,$K51)</f>
        <v>310335.21646702784</v>
      </c>
      <c r="T51" s="12">
        <f>INDEX(其他调用!$AA$5:$AA$404,MATCH($K51,其他调用!$X$5:$X$404,0))*MIN(INDEX(其他调用!AI$5:AI$364,MATCH($K51,其他调用!$AG$5:$AG$364,0),1)/INDEX(其他调用!$AJ$5:$AJ$364,MATCH($K51,其他调用!$AG$5:$AG$364,0),0),5)*求节点(节奏总纲!D$4:D$163,攻城基础信息!$AD$5:$AD$164,$K51)</f>
        <v>55197.036360055332</v>
      </c>
      <c r="U51" s="12">
        <f>MIN(INDEX(其他调用!$AI$5:$AI$364,MATCH($K51,其他调用!$AG$5:$AG$364,0),1)/INDEX(其他调用!AH$5:AH$364,MATCH($K51,其他调用!$AG$5:$AG$364,0),0),1)*INDEX(其他调用!Y$5:Y$404,MATCH($K51,其他调用!$X$5:$X$404,0),0)</f>
        <v>31787.542986598248</v>
      </c>
      <c r="V51" s="12">
        <f>MIN(INDEX(其他调用!$AI$5:$AI$364,MATCH($K51,其他调用!$AG$5:$AG$364,0),1)/INDEX(其他调用!AI$5:AI$364,MATCH($K51,其他调用!$AG$5:$AG$364,0),0),1)*INDEX(其他调用!Z$5:Z$404,MATCH($K51,其他调用!$X$5:$X$404,0),0)</f>
        <v>32860.950641905481</v>
      </c>
      <c r="W51" s="12">
        <f>MIN(INDEX(其他调用!$AI$5:$AI$364,MATCH($K51,其他调用!$AG$5:$AG$364,0),1)/INDEX(其他调用!AJ$5:AJ$364,MATCH($K51,其他调用!$AG$5:$AG$364,0),0),1)*INDEX(其他调用!AA$5:AA$404,MATCH($K51,其他调用!$X$5:$X$404,0),0)</f>
        <v>20560.800014261764</v>
      </c>
      <c r="X51" s="12">
        <f>MIN(INDEX(其他调用!$AI$5:$AI$364,MATCH($K51,其他调用!$AG$5:$AG$364,0),1)/INDEX(其他调用!AK$5:AK$364,MATCH($K51,其他调用!$AG$5:$AG$364,0),0),1)*INDEX(其他调用!AB$5:AB$404,MATCH($K51,其他调用!$X$5:$X$404,0),0)</f>
        <v>7973.2933256826655</v>
      </c>
      <c r="Y51" s="12">
        <f>MIN(INDEX(其他调用!$AI$5:$AI$364,MATCH($K51,其他调用!$AG$5:$AG$364,0),1)/INDEX(其他调用!AL$5:AL$364,MATCH($K51,其他调用!$AG$5:$AG$364,0),0),1)*INDEX(其他调用!AC$5:AC$404,MATCH($K51,其他调用!$X$5:$X$404,0),0)</f>
        <v>2662.5414186693165</v>
      </c>
      <c r="Z51" s="12">
        <f>求节点(节奏总纲!D$4:D$163,标准城池设计!AD$4:AD$163,$K51)*求节点(节奏总纲!D$4:D$163,攻城基础信息!$AE$5:$AE$164,$K51)</f>
        <v>328104.25704061385</v>
      </c>
      <c r="AA51" s="12">
        <f>INDEX(其他调用!$AA$5:$AA$404,MATCH($K51,其他调用!$X$5:$X$404,0))*MIN(INDEX(其他调用!AJ$5:AJ$364,MATCH($K51,其他调用!$AG$5:$AG$364,0),1)/INDEX(其他调用!$AJ$5:$AJ$364,MATCH($K51,其他调用!$AG$5:$AG$364,0),0),5)*求节点(节奏总纲!D$4:D$163,攻城基础信息!$AE$5:$AE$164,$K51)</f>
        <v>92174.021828289959</v>
      </c>
      <c r="AB51" s="12">
        <f>MIN(INDEX(其他调用!$AJ$5:$AJ$364,MATCH($K51,其他调用!$AG$5:$AG$364,0),1)/INDEX(其他调用!AH$5:AH$364,MATCH($K51,其他调用!$AG$5:$AG$364,0),0),1)*INDEX(其他调用!Y$5:Y$404,MATCH($K51,其他调用!$X$5:$X$404,0),0)</f>
        <v>31787.542986598248</v>
      </c>
      <c r="AC51" s="12">
        <f>MIN(INDEX(其他调用!$AJ$5:$AJ$364,MATCH($K51,其他调用!$AG$5:$AG$364,0),1)/INDEX(其他调用!AI$5:AI$364,MATCH($K51,其他调用!$AG$5:$AG$364,0),0),1)*INDEX(其他调用!Z$5:Z$404,MATCH($K51,其他调用!$X$5:$X$404,0),0)</f>
        <v>32860.950641905481</v>
      </c>
      <c r="AD51" s="12">
        <f>MIN(INDEX(其他调用!$AJ$5:$AJ$364,MATCH($K51,其他调用!$AG$5:$AG$364,0),1)/INDEX(其他调用!AJ$5:AJ$364,MATCH($K51,其他调用!$AG$5:$AG$364,0),0),1)*INDEX(其他调用!AA$5:AA$404,MATCH($K51,其他调用!$X$5:$X$404,0),0)</f>
        <v>34334.662769922827</v>
      </c>
      <c r="AE51" s="12">
        <f>MIN(INDEX(其他调用!$AJ$5:$AJ$364,MATCH($K51,其他调用!$AG$5:$AG$364,0),1)/INDEX(其他调用!AK$5:AK$364,MATCH($K51,其他调用!$AG$5:$AG$364,0),0),1)*INDEX(其他调用!AB$5:AB$404,MATCH($K51,其他调用!$X$5:$X$404,0),0)</f>
        <v>13314.673422877515</v>
      </c>
      <c r="AF51" s="12">
        <f>MIN(INDEX(其他调用!$AJ$5:$AJ$364,MATCH($K51,其他调用!$AG$5:$AG$364,0),1)/INDEX(其他调用!AL$5:AL$364,MATCH($K51,其他调用!$AG$5:$AG$364,0),0),1)*INDEX(其他调用!AC$5:AC$404,MATCH($K51,其他调用!$X$5:$X$404,0),0)</f>
        <v>4446.2015902859903</v>
      </c>
      <c r="AG51" s="12">
        <f>求节点(节奏总纲!D$4:D$163,标准城池设计!AE$4:AE$163,$K51)*求节点(节奏总纲!D$4:D$163,攻城基础信息!$AF$5:$AF$164,$K51)</f>
        <v>376952.63901463134</v>
      </c>
      <c r="AH51" s="12">
        <f>INDEX(其他调用!$AA$5:$AA$404,MATCH($K51,其他调用!$X$5:$X$404,0))*MIN(INDEX(其他调用!AK$5:AK$364,MATCH($K51,其他调用!$AG$5:$AG$364,0),1)/INDEX(其他调用!$AJ$5:$AJ$364,MATCH($K51,其他调用!$AG$5:$AG$364,0),0),5)*求节点(节奏总纲!D$4:D$163,攻城基础信息!$AF$5:$AF$164,$K51)</f>
        <v>252571.04828946714</v>
      </c>
      <c r="AI51" s="12">
        <f>MIN(INDEX(其他调用!$AK$5:$AK$364,MATCH($K51,其他调用!$AG$5:$AG$364,0),1)/INDEX(其他调用!AH$5:AH$364,MATCH($K51,其他调用!$AG$5:$AG$364,0),0),1)*INDEX(其他调用!Y$5:Y$404,MATCH($K51,其他调用!$X$5:$X$404,0),0)</f>
        <v>31787.542986598248</v>
      </c>
      <c r="AJ51" s="12">
        <f>MIN(INDEX(其他调用!$AK$5:$AK$364,MATCH($K51,其他调用!$AG$5:$AG$364,0),1)/INDEX(其他调用!AI$5:AI$364,MATCH($K51,其他调用!$AG$5:$AG$364,0),0),1)*INDEX(其他调用!Z$5:Z$404,MATCH($K51,其他调用!$X$5:$X$404,0),0)</f>
        <v>32860.950641905481</v>
      </c>
      <c r="AK51" s="12">
        <f>MIN(INDEX(其他调用!$AK$5:$AK$364,MATCH($K51,其他调用!$AG$5:$AG$364,0),1)/INDEX(其他调用!AJ$5:AJ$364,MATCH($K51,其他调用!$AG$5:$AG$364,0),0),1)*INDEX(其他调用!AA$5:AA$404,MATCH($K51,其他调用!$X$5:$X$404,0),0)</f>
        <v>34334.662769922827</v>
      </c>
      <c r="AL51" s="12">
        <f>MIN(INDEX(其他调用!$AK$5:$AK$364,MATCH($K51,其他调用!$AG$5:$AG$364,0),1)/INDEX(其他调用!AK$5:AK$364,MATCH($K51,其他调用!$AG$5:$AG$364,0),0),1)*INDEX(其他调用!AB$5:AB$404,MATCH($K51,其他调用!$X$5:$X$404,0),0)</f>
        <v>36484.260503602578</v>
      </c>
      <c r="AM51" s="12">
        <f>MIN(INDEX(其他调用!$AK$5:$AK$364,MATCH($K51,其他调用!$AG$5:$AG$364,0),1)/INDEX(其他调用!AL$5:AL$364,MATCH($K51,其他调用!$AG$5:$AG$364,0),0),1)*INDEX(其他调用!AC$5:AC$404,MATCH($K51,其他调用!$X$5:$X$404,0),0)</f>
        <v>12183.278697080395</v>
      </c>
      <c r="AN51" s="12">
        <f>求节点(节奏总纲!D$4:D$163,标准城池设计!AF$4:AF$163,$K51)*求节点(节奏总纲!D$4:D$163,攻城基础信息!$AG$5:$AG$164,$K51)</f>
        <v>388389.27566411742</v>
      </c>
      <c r="AO51" s="12">
        <f>INDEX(其他调用!$AA$5:$AA$404,MATCH($K51,其他调用!$X$5:$X$404,0))*MIN(INDEX(其他调用!AL$5:AL$364,MATCH($K51,其他调用!$AG$5:$AG$364,0),1)/INDEX(其他调用!$AJ$5:$AJ$364,MATCH($K51,其他调用!$AG$5:$AG$364,0),0),5)*求节点(节奏总纲!D$4:D$163,攻城基础信息!$AG$5:$AG$164,$K51)</f>
        <v>460870.10914144974</v>
      </c>
      <c r="AP51" s="12">
        <f>MIN(INDEX(其他调用!$AL$5:$AL$364,MATCH($K51,其他调用!$AG$5:$AG$364,0),1)/INDEX(其他调用!AH$5:AH$364,MATCH($K51,其他调用!$AG$5:$AG$364,0),0),1)*INDEX(其他调用!Y$5:Y$404,MATCH($K51,其他调用!$X$5:$X$404,0),0)</f>
        <v>31787.542986598248</v>
      </c>
      <c r="AQ51" s="12">
        <f>MIN(INDEX(其他调用!$AL$5:$AL$364,MATCH($K51,其他调用!$AG$5:$AG$364,0),1)/INDEX(其他调用!AI$5:AI$364,MATCH($K51,其他调用!$AG$5:$AG$364,0),0),1)*INDEX(其他调用!Z$5:Z$404,MATCH($K51,其他调用!$X$5:$X$404,0),0)</f>
        <v>32860.950641905481</v>
      </c>
      <c r="AR51" s="12">
        <f>MIN(INDEX(其他调用!$AL$5:$AL$364,MATCH($K51,其他调用!$AG$5:$AG$364,0),1)/INDEX(其他调用!AJ$5:AJ$364,MATCH($K51,其他调用!$AG$5:$AG$364,0),0),1)*INDEX(其他调用!AA$5:AA$404,MATCH($K51,其他调用!$X$5:$X$404,0),0)</f>
        <v>34334.662769922827</v>
      </c>
      <c r="AS51" s="12">
        <f>MIN(INDEX(其他调用!$AL$5:$AL$364,MATCH($K51,其他调用!$AG$5:$AG$364,0),1)/INDEX(其他调用!AK$5:AK$364,MATCH($K51,其他调用!$AG$5:$AG$364,0),0),1)*INDEX(其他调用!AB$5:AB$404,MATCH($K51,其他调用!$X$5:$X$404,0),0)</f>
        <v>36484.260503602578</v>
      </c>
      <c r="AT51" s="12">
        <f>MIN(INDEX(其他调用!$AL$5:$AL$364,MATCH($K51,其他调用!$AG$5:$AG$364,0),1)/INDEX(其他调用!AL$5:AL$364,MATCH($K51,其他调用!$AG$5:$AG$364,0),0),1)*INDEX(其他调用!AC$5:AC$404,MATCH($K51,其他调用!$X$5:$X$404,0),0)</f>
        <v>40318.505779250743</v>
      </c>
      <c r="AV51" s="14">
        <f>IF(OR(AV$5="大R",AV$5="超R"),MAX(INDEX(其他调用!$H$5:$L$404,MATCH($K51,其他调用!$B$5:$B$404,0),MATCH(AV$5,其他调用!$H$4:$L$4,0))*120*0.85,2),INDEX(其他调用!$H$5:$L$404,MATCH($K51,其他调用!$B$5:$B$404,0),MATCH(AV$5,其他调用!$H$4:$L$4,0))*120*0.85)</f>
        <v>53.016983607272742</v>
      </c>
      <c r="AW51" s="14">
        <f>IF(OR(AW$5="大R",AW$5="超R"),MAX(INDEX(其他调用!$H$5:$L$404,MATCH($K51,其他调用!$B$5:$B$404,0),MATCH(AW$5,其他调用!$H$4:$L$4,0))*120*0.85,2),INDEX(其他调用!$H$5:$L$404,MATCH($K51,其他调用!$B$5:$B$404,0),MATCH(AW$5,其他调用!$H$4:$L$4,0))*120*0.85)</f>
        <v>44.352518926359252</v>
      </c>
      <c r="AX51" s="14">
        <f>IF(OR(AX$5="大R",AX$5="超R"),MAX(INDEX(其他调用!$H$5:$L$404,MATCH($K51,其他调用!$B$5:$B$404,0),MATCH(AX$5,其他调用!$H$4:$L$4,0))*120*0.85,2),INDEX(其他调用!$H$5:$L$404,MATCH($K51,其他调用!$B$5:$B$404,0),MATCH(AX$5,其他调用!$H$4:$L$4,0))*120*0.85)</f>
        <v>3.8439387463679999</v>
      </c>
      <c r="AY51" s="14">
        <f>IF(OR(AY$5="大R",AY$5="超R"),MAX(INDEX(其他调用!$H$5:$L$404,MATCH($K51,其他调用!$B$5:$B$404,0),MATCH(AY$5,其他调用!$H$4:$L$4,0))*120*0.85,2),INDEX(其他调用!$H$5:$L$404,MATCH($K51,其他调用!$B$5:$B$404,0),MATCH(AY$5,其他调用!$H$4:$L$4,0))*120*0.85)</f>
        <v>2</v>
      </c>
      <c r="AZ51" s="14">
        <f>IF(OR(AZ$5="大R",AZ$5="超R"),MAX(INDEX(其他调用!$H$5:$L$404,MATCH($K51,其他调用!$B$5:$B$404,0),MATCH(AZ$5,其他调用!$H$4:$L$4,0))*120*0.85,2),INDEX(其他调用!$H$5:$L$404,MATCH($K51,其他调用!$B$5:$B$404,0),MATCH(AZ$5,其他调用!$H$4:$L$4,0))*120*0.85)</f>
        <v>2</v>
      </c>
      <c r="BA51" s="14">
        <f>INDEX(其他调用!$H$5:$L$404,MATCH($K51,其他调用!$B$5:$B$404,0),MATCH(BA$5,其他调用!$H$4:$L$4,0))*INDEX(其他调用!$M$5:$M$404,MATCH($K51,其他调用!$B$5:$B$404,0))*0.6</f>
        <v>28.740785850258384</v>
      </c>
      <c r="BB51" s="14">
        <f>INDEX(其他调用!$H$5:$L$404,MATCH($K51,其他调用!$B$5:$B$404,0),MATCH(BB$5,其他调用!$H$4:$L$4,0))*INDEX(其他调用!$M$5:$M$404,MATCH($K51,其他调用!$B$5:$B$404,0))*0.6</f>
        <v>24.043733944289492</v>
      </c>
      <c r="BC51" s="14">
        <f>INDEX(其他调用!$H$5:$L$404,MATCH($K51,其他调用!$B$5:$B$404,0),MATCH(BC$5,其他调用!$H$4:$L$4,0))*INDEX(其他调用!$M$5:$M$404,MATCH($K51,其他调用!$B$5:$B$404,0))*0.6</f>
        <v>2.0838194256626528</v>
      </c>
      <c r="BD51" s="14">
        <f>INDEX(其他调用!$H$5:$L$404,MATCH($K51,其他调用!$B$5:$B$404,0),MATCH(BD$5,其他调用!$H$4:$L$4,0))*INDEX(其他调用!$M$5:$M$404,MATCH($K51,其他调用!$B$5:$B$404,0))*0.6</f>
        <v>0.33827992926315797</v>
      </c>
      <c r="BE51" s="14">
        <f>INDEX(其他调用!$H$5:$L$404,MATCH($K51,其他调用!$B$5:$B$404,0),MATCH(BE$5,其他调用!$H$4:$L$4,0))*INDEX(其他调用!$M$5:$M$404,MATCH($K51,其他调用!$B$5:$B$404,0))*0.6</f>
        <v>8.8117692631578939E-2</v>
      </c>
      <c r="BF51" s="14">
        <f>IF(OR(BF$5="大R",BF$5="超R"),0,INDEX(其他调用!$H$5:$L$404,MATCH($K51,其他调用!$B$5:$B$404,0),MATCH(BF$5,其他调用!$H$4:$L$4,0))*50*0.4)</f>
        <v>10.395486981818186</v>
      </c>
      <c r="BG51" s="14">
        <f>IF(OR(BG$5="大R",BG$5="超R"),0,INDEX(其他调用!$H$5:$L$404,MATCH($K51,其他调用!$B$5:$B$404,0),MATCH(BG$5,其他调用!$H$4:$L$4,0))*50*0.4)</f>
        <v>8.6965723385018148</v>
      </c>
      <c r="BH51" s="14">
        <f>IF(OR(BH$5="大R",BH$5="超R"),0,INDEX(其他调用!$H$5:$L$404,MATCH($K51,其他调用!$B$5:$B$404,0),MATCH(BH$5,其他调用!$H$4:$L$4,0))*50*0.4)</f>
        <v>0.75371347968000002</v>
      </c>
      <c r="BI51" s="14">
        <f>IF(OR(BI$5="大R",BI$5="超R"),0,INDEX(其他调用!$H$5:$L$404,MATCH($K51,其他调用!$B$5:$B$404,0),MATCH(BI$5,其他调用!$H$4:$L$4,0))*50*0.4)</f>
        <v>0</v>
      </c>
      <c r="BJ51" s="14">
        <f>IF(OR(BJ$5="大R",BJ$5="超R"),0,INDEX(其他调用!$H$5:$L$404,MATCH($K51,其他调用!$B$5:$B$404,0),MATCH(BJ$5,其他调用!$H$4:$L$4,0))*50*0.4)</f>
        <v>0</v>
      </c>
      <c r="BL51" s="14">
        <f t="shared" si="103"/>
        <v>46</v>
      </c>
      <c r="BM51" s="14">
        <f t="shared" si="10"/>
        <v>96</v>
      </c>
      <c r="BN51" s="14">
        <f>('疲劳值&amp;地图信息'!$S$10*'疲劳值&amp;地图信息'!$R$10+'疲劳值&amp;地图信息'!$S$11*'疲劳值&amp;地图信息'!$R$11+'疲劳值&amp;地图信息'!$S$12*'疲劳值&amp;地图信息'!$R$12+(BM51-'疲劳值&amp;地图信息'!$S$12-'疲劳值&amp;地图信息'!$S$11-'疲劳值&amp;地图信息'!$S$10)*'疲劳值&amp;地图信息'!$R$13)/BM51</f>
        <v>51.371477246638619</v>
      </c>
      <c r="BO51" s="14">
        <f>INDEX(其他调用!$M$5:$M$404,MATCH(BL51,其他调用!$B$5:$B$404,0))*0.6</f>
        <v>55.294736842105266</v>
      </c>
      <c r="BP51" s="14">
        <f>IF(BO51&gt;SUM('疲劳值&amp;地图信息'!$S$10:$S$12),('疲劳值&amp;地图信息'!$S$10*'疲劳值&amp;地图信息'!$R$10+'疲劳值&amp;地图信息'!$S$11*'疲劳值&amp;地图信息'!$R$11+'疲劳值&amp;地图信息'!$S$12*'疲劳值&amp;地图信息'!$R$12+(BO51-'疲劳值&amp;地图信息'!$S$12-'疲劳值&amp;地图信息'!$S$11-'疲劳值&amp;地图信息'!$S$10)*'疲劳值&amp;地图信息'!$R$13)/BO51,('疲劳值&amp;地图信息'!$S$10*'疲劳值&amp;地图信息'!$R$10+'疲劳值&amp;地图信息'!$S$11*'疲劳值&amp;地图信息'!$R$11+'疲劳值&amp;地图信息'!$S$12*'疲劳值&amp;地图信息'!$R$12+(BO51-'疲劳值&amp;地图信息'!$S$12-'疲劳值&amp;地图信息'!$S$11-'疲劳值&amp;地图信息'!$S$10)*'疲劳值&amp;地图信息'!$R$13)/BO51)</f>
        <v>42.521299798906739</v>
      </c>
      <c r="BQ51" s="14">
        <f t="shared" si="104"/>
        <v>20</v>
      </c>
      <c r="BR51" s="14">
        <f>('疲劳值&amp;地图信息'!$S$10*'疲劳值&amp;地图信息'!$R$10+($BQ51-'疲劳值&amp;地图信息'!$S$10)*'疲劳值&amp;地图信息'!$R$11)/$BQ51</f>
        <v>32.067203015074995</v>
      </c>
      <c r="BW51" s="2" t="s">
        <v>473</v>
      </c>
      <c r="CF51" s="14">
        <v>46</v>
      </c>
      <c r="CG51" s="51">
        <f t="shared" si="11"/>
        <v>6354</v>
      </c>
      <c r="CH51" s="51">
        <f t="shared" si="12"/>
        <v>874</v>
      </c>
      <c r="CI51" s="51">
        <f>INT(SUMPRODUCT($N51:$R51,$BA51:$BE51)/SUM($BA51:$BE51)/10000*$BX$7*$BZ$34/'疲劳值&amp;地图信息'!$R$10*$BY$53)</f>
        <v>2824</v>
      </c>
      <c r="CJ51" s="50">
        <f t="shared" si="13"/>
        <v>0.6321130123358536</v>
      </c>
      <c r="CK51" s="50">
        <f t="shared" si="14"/>
        <v>8.6947871070433738E-2</v>
      </c>
      <c r="CL51" s="50">
        <f t="shared" si="15"/>
        <v>0.28093911659371268</v>
      </c>
      <c r="CM51" s="14">
        <f t="shared" si="16"/>
        <v>6568</v>
      </c>
      <c r="CN51" s="14">
        <f t="shared" si="17"/>
        <v>1168</v>
      </c>
      <c r="CO51" s="14">
        <f>INT(SUMPRODUCT($U51:$Y51,$BA51:$BE51)/SUM($BA51:$BE51)/10000*$BX$7*$BZ$34/'疲劳值&amp;地图信息'!$R$10*$BY$54)</f>
        <v>4815</v>
      </c>
      <c r="CP51" s="50">
        <f t="shared" si="18"/>
        <v>0.5233049159429527</v>
      </c>
      <c r="CQ51" s="50">
        <f t="shared" si="19"/>
        <v>9.3060313919209631E-2</v>
      </c>
      <c r="CR51" s="50">
        <f t="shared" si="20"/>
        <v>0.38363477013783764</v>
      </c>
      <c r="CS51" s="14">
        <f t="shared" si="21"/>
        <v>6944</v>
      </c>
      <c r="CT51" s="14">
        <f t="shared" si="22"/>
        <v>1950</v>
      </c>
      <c r="CU51" s="14">
        <f>INT(SUMPRODUCT($AB51:$AF51,$BA51:$BE51)/SUM($BA51:$BE51)/10000*$BX$7*$BZ$34/'疲劳值&amp;地图信息'!$R$10*$BY$55)</f>
        <v>6533</v>
      </c>
      <c r="CV51" s="50">
        <f t="shared" si="23"/>
        <v>0.45011991962144293</v>
      </c>
      <c r="CW51" s="50">
        <f t="shared" si="24"/>
        <v>0.12640176314254228</v>
      </c>
      <c r="CX51" s="50">
        <f t="shared" si="25"/>
        <v>0.42347831723601476</v>
      </c>
      <c r="CY51" s="14">
        <f t="shared" si="26"/>
        <v>7978</v>
      </c>
      <c r="CZ51" s="14">
        <f t="shared" si="27"/>
        <v>5345</v>
      </c>
      <c r="DA51" s="14">
        <f>INT(SUMPRODUCT($AI51:$AM51,$BA51:$BE51)/SUM($BA51:$BE51)/10000*$BX$7*$BZ$34/'疲劳值&amp;地图信息'!$R$10*$BY$56)</f>
        <v>9846</v>
      </c>
      <c r="DB51" s="50">
        <f t="shared" si="28"/>
        <v>0.3443394190513186</v>
      </c>
      <c r="DC51" s="50">
        <f t="shared" si="29"/>
        <v>0.23069618887306315</v>
      </c>
      <c r="DD51" s="50">
        <f t="shared" si="30"/>
        <v>0.42496439207561826</v>
      </c>
      <c r="DE51" s="14">
        <f t="shared" si="31"/>
        <v>8220</v>
      </c>
      <c r="DF51" s="14">
        <f t="shared" si="32"/>
        <v>9754</v>
      </c>
      <c r="DG51" s="14">
        <f>INT(SUMPRODUCT($AP51:$AT51,$BA51:$BE51)/SUM($BA51:$BE51)/10000*$BX$7*$BZ$34/'疲劳值&amp;地图信息'!$R$10*$BY$57)</f>
        <v>13147</v>
      </c>
      <c r="DH51" s="50">
        <f t="shared" si="33"/>
        <v>0.26413033000224928</v>
      </c>
      <c r="DI51" s="50">
        <f t="shared" si="34"/>
        <v>0.31342180521191476</v>
      </c>
      <c r="DJ51" s="50">
        <f t="shared" si="35"/>
        <v>0.42244786478583596</v>
      </c>
      <c r="DL51" s="14">
        <f t="shared" si="106"/>
        <v>10052</v>
      </c>
      <c r="DM51" s="14">
        <f t="shared" si="107"/>
        <v>12551</v>
      </c>
      <c r="DN51" s="14">
        <f t="shared" si="108"/>
        <v>15427</v>
      </c>
      <c r="DO51" s="14">
        <f t="shared" si="109"/>
        <v>23169</v>
      </c>
      <c r="DP51" s="14">
        <f t="shared" si="110"/>
        <v>31121</v>
      </c>
      <c r="DQ51" s="14">
        <f t="shared" si="111"/>
        <v>633402</v>
      </c>
      <c r="DT51" s="14">
        <f t="shared" si="105"/>
        <v>235575</v>
      </c>
      <c r="DU51" s="50">
        <f t="shared" si="7"/>
        <v>0.27109463196379191</v>
      </c>
      <c r="DW51" s="14">
        <f t="shared" si="36"/>
        <v>868977</v>
      </c>
      <c r="EB51" s="14">
        <v>46</v>
      </c>
      <c r="EC51" s="51">
        <f t="shared" si="37"/>
        <v>10591</v>
      </c>
      <c r="ED51" s="51">
        <f t="shared" si="38"/>
        <v>1457</v>
      </c>
      <c r="EE51" s="51">
        <f>INT(SUMPRODUCT($N51:$R51,$BF51:$BJ51)/SUM($BF51:$BJ51)/10000*$BX$7*$BZ$46/'疲劳值&amp;地图信息'!$R$10*$BY$53)</f>
        <v>379</v>
      </c>
      <c r="EF51" s="50">
        <f t="shared" si="39"/>
        <v>0.85225718194254441</v>
      </c>
      <c r="EG51" s="50">
        <f t="shared" si="40"/>
        <v>0.11724470910115072</v>
      </c>
      <c r="EH51" s="50">
        <f t="shared" si="41"/>
        <v>3.049810895630482E-2</v>
      </c>
      <c r="EI51" s="51">
        <f t="shared" si="42"/>
        <v>10947</v>
      </c>
      <c r="EJ51" s="51">
        <f t="shared" si="43"/>
        <v>1947</v>
      </c>
      <c r="EK51" s="14">
        <f>INT(SUMPRODUCT($U51:$Y51,$BF51:$BJ51)/SUM($BF51:$BJ51)/10000*$BX$7*$BZ$46/'疲劳值&amp;地图信息'!$R$10*$BY$54)</f>
        <v>645</v>
      </c>
      <c r="EL51" s="50">
        <f t="shared" si="44"/>
        <v>0.80855306891203194</v>
      </c>
      <c r="EM51" s="50">
        <f t="shared" si="45"/>
        <v>0.1438067804121427</v>
      </c>
      <c r="EN51" s="50">
        <f t="shared" si="46"/>
        <v>4.7640150675825395E-2</v>
      </c>
      <c r="EO51" s="51">
        <f t="shared" si="47"/>
        <v>11574</v>
      </c>
      <c r="EP51" s="51">
        <f t="shared" si="48"/>
        <v>3251</v>
      </c>
      <c r="EQ51" s="14">
        <f>INT(SUMPRODUCT($AB51:$AF51,$BF51:$BJ51)/SUM($BF51:$BJ51)/10000*$BX$7*$BZ$46/'疲劳值&amp;地图信息'!$R$10*$BY$55)</f>
        <v>875</v>
      </c>
      <c r="ER51" s="50">
        <f t="shared" si="49"/>
        <v>0.73719745222929933</v>
      </c>
      <c r="ES51" s="50">
        <f t="shared" si="50"/>
        <v>0.2070700636942675</v>
      </c>
      <c r="ET51" s="50">
        <f t="shared" si="51"/>
        <v>5.5732484076433123E-2</v>
      </c>
      <c r="EU51" s="51">
        <f t="shared" si="52"/>
        <v>13297</v>
      </c>
      <c r="EV51" s="51">
        <f t="shared" si="53"/>
        <v>8909</v>
      </c>
      <c r="EW51" s="14">
        <f>INT(SUMPRODUCT($AI51:$AM51,$BF51:$BJ51)/SUM($BF51:$BJ51)/10000*$BX$7*$BZ$46/'疲劳值&amp;地图信息'!$R$10*$BY$56)</f>
        <v>1313</v>
      </c>
      <c r="EX51" s="50">
        <f t="shared" si="54"/>
        <v>0.56537267740975383</v>
      </c>
      <c r="EY51" s="50">
        <f t="shared" si="55"/>
        <v>0.37880011905268079</v>
      </c>
      <c r="EZ51" s="50">
        <f t="shared" si="56"/>
        <v>5.5827203537565373E-2</v>
      </c>
      <c r="FA51" s="51">
        <f t="shared" si="57"/>
        <v>13700</v>
      </c>
      <c r="FB51" s="51">
        <f t="shared" si="58"/>
        <v>16257</v>
      </c>
      <c r="FC51" s="14">
        <f>INT(SUMPRODUCT($AP51:$AT51,$BF51:$BJ51)/SUM($BF51:$BJ51)/10000*$BX$7*$BZ$46/'疲劳值&amp;地图信息'!$R$10*$BY$57)</f>
        <v>1750</v>
      </c>
      <c r="FD51" s="50">
        <f t="shared" si="59"/>
        <v>0.43208124388936198</v>
      </c>
      <c r="FE51" s="50">
        <f t="shared" si="60"/>
        <v>0.5127258964897341</v>
      </c>
      <c r="FF51" s="50">
        <f t="shared" si="61"/>
        <v>5.5192859620903902E-2</v>
      </c>
      <c r="FH51" s="14">
        <f t="shared" si="62"/>
        <v>12427</v>
      </c>
      <c r="FI51" s="14">
        <f t="shared" si="63"/>
        <v>13539</v>
      </c>
      <c r="FJ51" s="14">
        <f t="shared" si="64"/>
        <v>15700</v>
      </c>
      <c r="FK51" s="14">
        <f t="shared" si="65"/>
        <v>23519</v>
      </c>
      <c r="FL51" s="14">
        <f t="shared" si="66"/>
        <v>31707</v>
      </c>
      <c r="FM51" s="14">
        <f t="shared" si="67"/>
        <v>1430132</v>
      </c>
      <c r="FP51" s="14">
        <f t="shared" si="68"/>
        <v>334150</v>
      </c>
      <c r="FQ51" s="50">
        <f t="shared" si="8"/>
        <v>0.18939715986446612</v>
      </c>
      <c r="FS51" s="14">
        <f t="shared" si="69"/>
        <v>1764282</v>
      </c>
      <c r="FX51" s="14">
        <v>46</v>
      </c>
      <c r="FY51" s="51">
        <f t="shared" si="70"/>
        <v>14828</v>
      </c>
      <c r="FZ51" s="51">
        <f t="shared" si="71"/>
        <v>1457</v>
      </c>
      <c r="GA51" s="51">
        <f>INT(SUMPRODUCT($N51:$R51,$BF51:$BJ51)/SUM($BF51:$BJ51)/10000*$BX$7*$BZ$46/'疲劳值&amp;地图信息'!$R$10*$BY$53)</f>
        <v>379</v>
      </c>
      <c r="GB51" s="50">
        <f t="shared" si="72"/>
        <v>0.88982237157945276</v>
      </c>
      <c r="GC51" s="50">
        <f t="shared" si="73"/>
        <v>8.7433989438310128E-2</v>
      </c>
      <c r="GD51" s="50">
        <f t="shared" si="74"/>
        <v>2.2743638982237156E-2</v>
      </c>
      <c r="GE51" s="51">
        <f t="shared" si="75"/>
        <v>15326</v>
      </c>
      <c r="GF51" s="51">
        <f t="shared" si="76"/>
        <v>1947</v>
      </c>
      <c r="GG51" s="14">
        <f>INT(SUMPRODUCT($U51:$Y51,$BF51:$BJ51)/SUM($BF51:$BJ51)/10000*$BX$7*$BZ$46/'疲劳值&amp;地图信息'!$R$10*$BY$54)</f>
        <v>645</v>
      </c>
      <c r="GH51" s="50">
        <f t="shared" si="77"/>
        <v>0.85534099787922757</v>
      </c>
      <c r="GI51" s="50">
        <f t="shared" si="78"/>
        <v>0.10866168099118205</v>
      </c>
      <c r="GJ51" s="50">
        <f t="shared" si="79"/>
        <v>3.5997321129590358E-2</v>
      </c>
      <c r="GK51" s="51">
        <f t="shared" si="80"/>
        <v>16204</v>
      </c>
      <c r="GL51" s="51">
        <f t="shared" si="81"/>
        <v>3251</v>
      </c>
      <c r="GM51" s="14">
        <f>INT(SUMPRODUCT($AB51:$AF51,$BF51:$BJ51)/SUM($BF51:$BJ51)/10000*$BX$7*$BZ$46/'疲劳值&amp;地图信息'!$R$10*$BY$55)</f>
        <v>875</v>
      </c>
      <c r="GN51" s="50">
        <f t="shared" si="82"/>
        <v>0.79704869650762422</v>
      </c>
      <c r="GO51" s="50">
        <f t="shared" si="83"/>
        <v>0.15991146089522873</v>
      </c>
      <c r="GP51" s="50">
        <f t="shared" si="84"/>
        <v>4.3039842597147077E-2</v>
      </c>
      <c r="GQ51" s="51">
        <f t="shared" si="85"/>
        <v>18616</v>
      </c>
      <c r="GR51" s="51">
        <f t="shared" si="86"/>
        <v>8909</v>
      </c>
      <c r="GS51" s="14">
        <f>INT(SUMPRODUCT($AI51:$AM51,$BF51:$BJ51)/SUM($BF51:$BJ51)/10000*$BX$7*$BZ$46/'疲劳值&amp;地图信息'!$R$10*$BY$56)</f>
        <v>1313</v>
      </c>
      <c r="GT51" s="50">
        <f t="shared" si="87"/>
        <v>0.64553713849781535</v>
      </c>
      <c r="GU51" s="50">
        <f t="shared" si="88"/>
        <v>0.30893265829807892</v>
      </c>
      <c r="GV51" s="50">
        <f t="shared" si="89"/>
        <v>4.5530203204105696E-2</v>
      </c>
      <c r="GW51" s="51">
        <f t="shared" si="90"/>
        <v>19181</v>
      </c>
      <c r="GX51" s="51">
        <f t="shared" si="91"/>
        <v>16257</v>
      </c>
      <c r="GY51" s="14">
        <f>INT(SUMPRODUCT($AP51:$AT51,$BF51:$BJ51)/SUM($BF51:$BJ51)/10000*$BX$7*$BZ$46/'疲劳值&amp;地图信息'!$R$10*$BY$57)</f>
        <v>1750</v>
      </c>
      <c r="GZ51" s="50">
        <f t="shared" si="92"/>
        <v>0.51578466171883408</v>
      </c>
      <c r="HA51" s="50">
        <f t="shared" si="93"/>
        <v>0.4371571474669248</v>
      </c>
      <c r="HB51" s="50">
        <f t="shared" si="94"/>
        <v>4.7058190814241153E-2</v>
      </c>
      <c r="HD51" s="14">
        <f t="shared" si="95"/>
        <v>16664</v>
      </c>
      <c r="HE51" s="14">
        <f t="shared" si="96"/>
        <v>17918</v>
      </c>
      <c r="HF51" s="14">
        <f t="shared" si="97"/>
        <v>20330</v>
      </c>
      <c r="HG51" s="14">
        <f t="shared" si="98"/>
        <v>28838</v>
      </c>
      <c r="HH51" s="14">
        <f t="shared" si="99"/>
        <v>37188</v>
      </c>
      <c r="HI51" s="14">
        <f t="shared" si="100"/>
        <v>1888382</v>
      </c>
      <c r="HL51" s="14">
        <f t="shared" si="101"/>
        <v>430050</v>
      </c>
      <c r="HM51" s="50">
        <f t="shared" si="9"/>
        <v>0.18549174614567088</v>
      </c>
      <c r="HO51" s="14">
        <f t="shared" si="102"/>
        <v>2318432</v>
      </c>
    </row>
    <row r="52" spans="11:223" x14ac:dyDescent="0.2">
      <c r="K52" s="14">
        <v>47</v>
      </c>
      <c r="L52" s="12">
        <f>求节点(节奏总纲!D$4:D$163,标准城池设计!AB$4:AB$163,$K52)*求节点(节奏总纲!D$4:D$163,攻城基础信息!$AC$5:$AC$164,$K52)</f>
        <v>304099.00819457974</v>
      </c>
      <c r="M52" s="12">
        <f>INDEX(其他调用!$AA$5:$AA$404,MATCH(K52,其他调用!$X$5:$X$404,0))*MIN(INDEX(其他调用!$AH$5:$AH$364,MATCH('征服点（新）'!K52,其他调用!$AG$5:$AG$364,0),1)/INDEX(其他调用!$AJ$5:$AJ$364,MATCH(K52,其他调用!$AG$5:$AG$364,0),0),5)*求节点(节奏总纲!D$4:D$163,攻城基础信息!$AC$5:$AC$164,$K52)</f>
        <v>41035.780886103836</v>
      </c>
      <c r="N52" s="12">
        <f>MIN(INDEX(其他调用!$AH$5:$AH$364,MATCH($K52,其他调用!$AG$5:$AG$364,0),1)/INDEX(其他调用!AH$5:AH$364,MATCH($K52,其他调用!$AG$5:$AG$364,0),0),1)*INDEX(其他调用!Y$5:Y$404,MATCH($K52,其他调用!$X$5:$X$404,0),0)</f>
        <v>31906.372700911841</v>
      </c>
      <c r="O52" s="12">
        <f>MIN(INDEX(其他调用!$AH$5:$AH$364,MATCH($K52,其他调用!$AG$5:$AG$364,0),1)/INDEX(其他调用!AI$5:AI$364,MATCH($K52,其他调用!$AG$5:$AG$364,0),0),1)*INDEX(其他调用!Z$5:Z$404,MATCH($K52,其他调用!$X$5:$X$404,0),0)</f>
        <v>24702.492160576629</v>
      </c>
      <c r="P52" s="12">
        <f>MIN(INDEX(其他调用!$AH$5:$AH$364,MATCH($K52,其他调用!$AG$5:$AG$364,0),1)/INDEX(其他调用!AJ$5:AJ$364,MATCH($K52,其他调用!$AG$5:$AG$364,0),0),1)*INDEX(其他调用!AA$5:AA$404,MATCH($K52,其他调用!$X$5:$X$404,0),0)</f>
        <v>15227.546123754424</v>
      </c>
      <c r="Q52" s="12">
        <f>MIN(INDEX(其他调用!$AH$5:$AH$364,MATCH($K52,其他调用!$AG$5:$AG$364,0),1)/INDEX(其他调用!AK$5:AK$364,MATCH($K52,其他调用!$AG$5:$AG$364,0),0),1)*INDEX(其他调用!AB$5:AB$404,MATCH($K52,其他调用!$X$5:$X$404,0),0)</f>
        <v>5940.3316997862175</v>
      </c>
      <c r="R52" s="12">
        <f>MIN(INDEX(其他调用!$AH$5:$AH$364,MATCH($K52,其他调用!$AG$5:$AG$364,0),1)/INDEX(其他调用!AL$5:AL$364,MATCH($K52,其他调用!$AG$5:$AG$364,0),0),1)*INDEX(其他调用!AC$5:AC$404,MATCH($K52,其他调用!$X$5:$X$404,0),0)</f>
        <v>1980.1134212956119</v>
      </c>
      <c r="S52" s="12">
        <f>求节点(节奏总纲!D$4:D$163,标准城池设计!AC$4:AC$163,$K52)*求节点(节奏总纲!D$4:D$163,攻城基础信息!$AD$5:$AD$164,$K52)</f>
        <v>314418.94032564928</v>
      </c>
      <c r="T52" s="12">
        <f>INDEX(其他调用!$AA$5:$AA$404,MATCH($K52,其他调用!$X$5:$X$404,0))*MIN(INDEX(其他调用!AI$5:AI$364,MATCH($K52,其他调用!$AG$5:$AG$364,0),1)/INDEX(其他调用!$AJ$5:$AJ$364,MATCH($K52,其他调用!$AG$5:$AG$364,0),0),5)*求节点(节奏总纲!D$4:D$163,攻城基础信息!$AD$5:$AD$164,$K52)</f>
        <v>54784.599766136926</v>
      </c>
      <c r="U52" s="12">
        <f>MIN(INDEX(其他调用!$AI$5:$AI$364,MATCH($K52,其他调用!$AG$5:$AG$364,0),1)/INDEX(其他调用!AH$5:AH$364,MATCH($K52,其他调用!$AG$5:$AG$364,0),0),1)*INDEX(其他调用!Y$5:Y$404,MATCH($K52,其他调用!$X$5:$X$404,0),0)</f>
        <v>31906.372700911841</v>
      </c>
      <c r="V52" s="12">
        <f>MIN(INDEX(其他调用!$AI$5:$AI$364,MATCH($K52,其他调用!$AG$5:$AG$364,0),1)/INDEX(其他调用!AI$5:AI$364,MATCH($K52,其他调用!$AG$5:$AG$364,0),0),1)*INDEX(其他调用!Z$5:Z$404,MATCH($K52,其他调用!$X$5:$X$404,0),0)</f>
        <v>32978.930022058048</v>
      </c>
      <c r="W52" s="12">
        <f>MIN(INDEX(其他调用!$AI$5:$AI$364,MATCH($K52,其他调用!$AG$5:$AG$364,0),1)/INDEX(其他调用!AJ$5:AJ$364,MATCH($K52,其他调用!$AG$5:$AG$364,0),0),1)*INDEX(其他调用!AA$5:AA$404,MATCH($K52,其他调用!$X$5:$X$404,0),0)</f>
        <v>20329.453998346533</v>
      </c>
      <c r="X52" s="12">
        <f>MIN(INDEX(其他调用!$AI$5:$AI$364,MATCH($K52,其他调用!$AG$5:$AG$364,0),1)/INDEX(其他调用!AK$5:AK$364,MATCH($K52,其他调用!$AG$5:$AG$364,0),0),1)*INDEX(其他调用!AB$5:AB$404,MATCH($K52,其他调用!$X$5:$X$404,0),0)</f>
        <v>7930.6080601743543</v>
      </c>
      <c r="Y52" s="12">
        <f>MIN(INDEX(其他调用!$AI$5:$AI$364,MATCH($K52,其他调用!$AG$5:$AG$364,0),1)/INDEX(其他调用!AL$5:AL$364,MATCH($K52,其他调用!$AG$5:$AG$364,0),0),1)*INDEX(其他调用!AC$5:AC$404,MATCH($K52,其他调用!$X$5:$X$404,0),0)</f>
        <v>2643.5398312103575</v>
      </c>
      <c r="Z52" s="12">
        <f>求节点(节奏总纲!D$4:D$163,标准城池设计!AD$4:AD$163,$K52)*求节点(节奏总纲!D$4:D$163,攻城基础信息!$AE$5:$AE$164,$K52)</f>
        <v>332263.57319118973</v>
      </c>
      <c r="AA52" s="12">
        <f>INDEX(其他调用!$AA$5:$AA$404,MATCH($K52,其他调用!$X$5:$X$404,0))*MIN(INDEX(其他调用!AJ$5:AJ$364,MATCH($K52,其他调用!$AG$5:$AG$364,0),1)/INDEX(其他调用!$AJ$5:$AJ$364,MATCH($K52,其他调用!$AG$5:$AG$364,0),0),5)*求节点(节奏总纲!D$4:D$163,攻城基础信息!$AE$5:$AE$164,$K52)</f>
        <v>92852.387462644227</v>
      </c>
      <c r="AB52" s="12">
        <f>MIN(INDEX(其他调用!$AJ$5:$AJ$364,MATCH($K52,其他调用!$AG$5:$AG$364,0),1)/INDEX(其他调用!AH$5:AH$364,MATCH($K52,其他调用!$AG$5:$AG$364,0),0),1)*INDEX(其他调用!Y$5:Y$404,MATCH($K52,其他调用!$X$5:$X$404,0),0)</f>
        <v>31906.372700911841</v>
      </c>
      <c r="AC52" s="12">
        <f>MIN(INDEX(其他调用!$AJ$5:$AJ$364,MATCH($K52,其他调用!$AG$5:$AG$364,0),1)/INDEX(其他调用!AI$5:AI$364,MATCH($K52,其他调用!$AG$5:$AG$364,0),0),1)*INDEX(其他调用!Z$5:Z$404,MATCH($K52,其他调用!$X$5:$X$404,0),0)</f>
        <v>32978.930022058048</v>
      </c>
      <c r="AD52" s="12">
        <f>MIN(INDEX(其他调用!$AJ$5:$AJ$364,MATCH($K52,其他调用!$AG$5:$AG$364,0),1)/INDEX(其他调用!AJ$5:AJ$364,MATCH($K52,其他调用!$AG$5:$AG$364,0),0),1)*INDEX(其他调用!AA$5:AA$404,MATCH($K52,其他调用!$X$5:$X$404,0),0)</f>
        <v>34455.638037265504</v>
      </c>
      <c r="AE52" s="12">
        <f>MIN(INDEX(其他调用!$AJ$5:$AJ$364,MATCH($K52,其他调用!$AG$5:$AG$364,0),1)/INDEX(其他调用!AK$5:AK$364,MATCH($K52,其他调用!$AG$5:$AG$364,0),0),1)*INDEX(其他调用!AB$5:AB$404,MATCH($K52,其他调用!$X$5:$X$404,0),0)</f>
        <v>13441.293640203648</v>
      </c>
      <c r="AF52" s="12">
        <f>MIN(INDEX(其他调用!$AJ$5:$AJ$364,MATCH($K52,其他调用!$AG$5:$AG$364,0),1)/INDEX(其他调用!AL$5:AL$364,MATCH($K52,其他调用!$AG$5:$AG$364,0),0),1)*INDEX(其他调用!AC$5:AC$404,MATCH($K52,其他调用!$X$5:$X$404,0),0)</f>
        <v>4480.4376727818808</v>
      </c>
      <c r="AG52" s="12">
        <f>求节点(节奏总纲!D$4:D$163,标准城池设计!AE$4:AE$163,$K52)*求节点(节奏总纲!D$4:D$163,攻城基础信息!$AF$5:$AF$164,$K52)</f>
        <v>381144.81488470844</v>
      </c>
      <c r="AH52" s="12">
        <f>INDEX(其他调用!$AA$5:$AA$404,MATCH($K52,其他调用!$X$5:$X$404,0))*MIN(INDEX(其他调用!AK$5:AK$364,MATCH($K52,其他调用!$AG$5:$AG$364,0),1)/INDEX(其他调用!$AJ$5:$AJ$364,MATCH($K52,其他调用!$AG$5:$AG$364,0),0),5)*求节点(节奏总纲!D$4:D$163,攻城基础信息!$AF$5:$AF$164,$K52)</f>
        <v>252913.64120419606</v>
      </c>
      <c r="AI52" s="12">
        <f>MIN(INDEX(其他调用!$AK$5:$AK$364,MATCH($K52,其他调用!$AG$5:$AG$364,0),1)/INDEX(其他调用!AH$5:AH$364,MATCH($K52,其他调用!$AG$5:$AG$364,0),0),1)*INDEX(其他调用!Y$5:Y$404,MATCH($K52,其他调用!$X$5:$X$404,0),0)</f>
        <v>31906.372700911841</v>
      </c>
      <c r="AJ52" s="12">
        <f>MIN(INDEX(其他调用!$AK$5:$AK$364,MATCH($K52,其他调用!$AG$5:$AG$364,0),1)/INDEX(其他调用!AI$5:AI$364,MATCH($K52,其他调用!$AG$5:$AG$364,0),0),1)*INDEX(其他调用!Z$5:Z$404,MATCH($K52,其他调用!$X$5:$X$404,0),0)</f>
        <v>32978.930022058048</v>
      </c>
      <c r="AK52" s="12">
        <f>MIN(INDEX(其他调用!$AK$5:$AK$364,MATCH($K52,其他调用!$AG$5:$AG$364,0),1)/INDEX(其他调用!AJ$5:AJ$364,MATCH($K52,其他调用!$AG$5:$AG$364,0),0),1)*INDEX(其他调用!AA$5:AA$404,MATCH($K52,其他调用!$X$5:$X$404,0),0)</f>
        <v>34455.638037265504</v>
      </c>
      <c r="AL52" s="12">
        <f>MIN(INDEX(其他调用!$AK$5:$AK$364,MATCH($K52,其他调用!$AG$5:$AG$364,0),1)/INDEX(其他调用!AK$5:AK$364,MATCH($K52,其他调用!$AG$5:$AG$364,0),0),1)*INDEX(其他调用!AB$5:AB$404,MATCH($K52,其他调用!$X$5:$X$404,0),0)</f>
        <v>36611.729756613604</v>
      </c>
      <c r="AM52" s="12">
        <f>MIN(INDEX(其他调用!$AK$5:$AK$364,MATCH($K52,其他调用!$AG$5:$AG$364,0),1)/INDEX(其他调用!AL$5:AL$364,MATCH($K52,其他调用!$AG$5:$AG$364,0),0),1)*INDEX(其他调用!AC$5:AC$404,MATCH($K52,其他调用!$X$5:$X$404,0),0)</f>
        <v>12203.927513092829</v>
      </c>
      <c r="AN52" s="12">
        <f>求节点(节奏总纲!D$4:D$163,标准城池设计!AF$4:AF$163,$K52)*求节点(节奏总纲!D$4:D$163,攻城基础信息!$AG$5:$AG$164,$K52)</f>
        <v>392837.33563286316</v>
      </c>
      <c r="AO52" s="12">
        <f>INDEX(其他调用!$AA$5:$AA$404,MATCH($K52,其他调用!$X$5:$X$404,0))*MIN(INDEX(其他调用!AL$5:AL$364,MATCH($K52,其他调用!$AG$5:$AG$364,0),1)/INDEX(其他调用!$AJ$5:$AJ$364,MATCH($K52,其他调用!$AG$5:$AG$364,0),0),5)*求节点(节奏总纲!D$4:D$163,攻城基础信息!$AG$5:$AG$164,$K52)</f>
        <v>464261.93731322116</v>
      </c>
      <c r="AP52" s="12">
        <f>MIN(INDEX(其他调用!$AL$5:$AL$364,MATCH($K52,其他调用!$AG$5:$AG$364,0),1)/INDEX(其他调用!AH$5:AH$364,MATCH($K52,其他调用!$AG$5:$AG$364,0),0),1)*INDEX(其他调用!Y$5:Y$404,MATCH($K52,其他调用!$X$5:$X$404,0),0)</f>
        <v>31906.372700911841</v>
      </c>
      <c r="AQ52" s="12">
        <f>MIN(INDEX(其他调用!$AL$5:$AL$364,MATCH($K52,其他调用!$AG$5:$AG$364,0),1)/INDEX(其他调用!AI$5:AI$364,MATCH($K52,其他调用!$AG$5:$AG$364,0),0),1)*INDEX(其他调用!Z$5:Z$404,MATCH($K52,其他调用!$X$5:$X$404,0),0)</f>
        <v>32978.930022058048</v>
      </c>
      <c r="AR52" s="12">
        <f>MIN(INDEX(其他调用!$AL$5:$AL$364,MATCH($K52,其他调用!$AG$5:$AG$364,0),1)/INDEX(其他调用!AJ$5:AJ$364,MATCH($K52,其他调用!$AG$5:$AG$364,0),0),1)*INDEX(其他调用!AA$5:AA$404,MATCH($K52,其他调用!$X$5:$X$404,0),0)</f>
        <v>34455.638037265504</v>
      </c>
      <c r="AS52" s="12">
        <f>MIN(INDEX(其他调用!$AL$5:$AL$364,MATCH($K52,其他调用!$AG$5:$AG$364,0),1)/INDEX(其他调用!AK$5:AK$364,MATCH($K52,其他调用!$AG$5:$AG$364,0),0),1)*INDEX(其他调用!AB$5:AB$404,MATCH($K52,其他调用!$X$5:$X$404,0),0)</f>
        <v>36611.729756613604</v>
      </c>
      <c r="AT52" s="12">
        <f>MIN(INDEX(其他调用!$AL$5:$AL$364,MATCH($K52,其他调用!$AG$5:$AG$364,0),1)/INDEX(其他调用!AL$5:AL$364,MATCH($K52,其他调用!$AG$5:$AG$364,0),0),1)*INDEX(其他调用!AC$5:AC$404,MATCH($K52,其他调用!$X$5:$X$404,0),0)</f>
        <v>40444.830257135989</v>
      </c>
      <c r="AV52" s="14">
        <f>IF(OR(AV$5="大R",AV$5="超R"),MAX(INDEX(其他调用!$H$5:$L$404,MATCH($K52,其他调用!$B$5:$B$404,0),MATCH(AV$5,其他调用!$H$4:$L$4,0))*120*0.85,2),INDEX(其他调用!$H$5:$L$404,MATCH($K52,其他调用!$B$5:$B$404,0),MATCH(AV$5,其他调用!$H$4:$L$4,0))*120*0.85)</f>
        <v>52.908387128181843</v>
      </c>
      <c r="AW52" s="14">
        <f>IF(OR(AW$5="大R",AW$5="超R"),MAX(INDEX(其他调用!$H$5:$L$404,MATCH($K52,其他调用!$B$5:$B$404,0),MATCH(AW$5,其他调用!$H$4:$L$4,0))*120*0.85,2),INDEX(其他调用!$H$5:$L$404,MATCH($K52,其他调用!$B$5:$B$404,0),MATCH(AW$5,其他调用!$H$4:$L$4,0))*120*0.85)</f>
        <v>44.455625905802158</v>
      </c>
      <c r="AX52" s="14">
        <f>IF(OR(AX$5="大R",AX$5="超R"),MAX(INDEX(其他调用!$H$5:$L$404,MATCH($K52,其他调用!$B$5:$B$404,0),MATCH(AX$5,其他调用!$H$4:$L$4,0))*120*0.85,2),INDEX(其他调用!$H$5:$L$404,MATCH($K52,其他调用!$B$5:$B$404,0),MATCH(AX$5,其他调用!$H$4:$L$4,0))*120*0.85)</f>
        <v>3.8464743260159997</v>
      </c>
      <c r="AY52" s="14">
        <f>IF(OR(AY$5="大R",AY$5="超R"),MAX(INDEX(其他调用!$H$5:$L$404,MATCH($K52,其他调用!$B$5:$B$404,0),MATCH(AY$5,其他调用!$H$4:$L$4,0))*120*0.85,2),INDEX(其他调用!$H$5:$L$404,MATCH($K52,其他调用!$B$5:$B$404,0),MATCH(AY$5,其他调用!$H$4:$L$4,0))*120*0.85)</f>
        <v>2</v>
      </c>
      <c r="AZ52" s="14">
        <f>IF(OR(AZ$5="大R",AZ$5="超R"),MAX(INDEX(其他调用!$H$5:$L$404,MATCH($K52,其他调用!$B$5:$B$404,0),MATCH(AZ$5,其他调用!$H$4:$L$4,0))*120*0.85,2),INDEX(其他调用!$H$5:$L$404,MATCH($K52,其他调用!$B$5:$B$404,0),MATCH(AZ$5,其他调用!$H$4:$L$4,0))*120*0.85)</f>
        <v>2</v>
      </c>
      <c r="BA52" s="14">
        <f>INDEX(其他调用!$H$5:$L$404,MATCH($K52,其他调用!$B$5:$B$404,0),MATCH(BA$5,其他调用!$H$4:$L$4,0))*INDEX(其他调用!$M$5:$M$404,MATCH($K52,其他调用!$B$5:$B$404,0))*0.6</f>
        <v>28.763816655444984</v>
      </c>
      <c r="BB52" s="14">
        <f>INDEX(其他调用!$H$5:$L$404,MATCH($K52,其他调用!$B$5:$B$404,0),MATCH(BB$5,其他调用!$H$4:$L$4,0))*INDEX(其他调用!$M$5:$M$404,MATCH($K52,其他调用!$B$5:$B$404,0))*0.6</f>
        <v>24.168445538881919</v>
      </c>
      <c r="BC52" s="14">
        <f>INDEX(其他调用!$H$5:$L$404,MATCH($K52,其他调用!$B$5:$B$404,0),MATCH(BC$5,其他调用!$H$4:$L$4,0))*INDEX(其他调用!$M$5:$M$404,MATCH($K52,其他调用!$B$5:$B$404,0))*0.6</f>
        <v>2.0911482713573051</v>
      </c>
      <c r="BD52" s="14">
        <f>INDEX(其他调用!$H$5:$L$404,MATCH($K52,其他调用!$B$5:$B$404,0),MATCH(BD$5,其他调用!$H$4:$L$4,0))*INDEX(其他调用!$M$5:$M$404,MATCH($K52,其他调用!$B$5:$B$404,0))*0.6</f>
        <v>0.34031945431578958</v>
      </c>
      <c r="BE52" s="14">
        <f>INDEX(其他调用!$H$5:$L$404,MATCH($K52,其他调用!$B$5:$B$404,0),MATCH(BE$5,其他调用!$H$4:$L$4,0))*INDEX(其他调用!$M$5:$M$404,MATCH($K52,其他调用!$B$5:$B$404,0))*0.6</f>
        <v>8.8901658947368414E-2</v>
      </c>
      <c r="BF52" s="14">
        <f>IF(OR(BF$5="大R",BF$5="超R"),0,INDEX(其他调用!$H$5:$L$404,MATCH($K52,其他调用!$B$5:$B$404,0),MATCH(BF$5,其他调用!$H$4:$L$4,0))*50*0.4)</f>
        <v>10.37419355454546</v>
      </c>
      <c r="BG52" s="14">
        <f>IF(OR(BG$5="大R",BG$5="超R"),0,INDEX(其他调用!$H$5:$L$404,MATCH($K52,其他调用!$B$5:$B$404,0),MATCH(BG$5,其他调用!$H$4:$L$4,0))*50*0.4)</f>
        <v>8.7167893932945422</v>
      </c>
      <c r="BH52" s="14">
        <f>IF(OR(BH$5="大R",BH$5="超R"),0,INDEX(其他调用!$H$5:$L$404,MATCH($K52,其他调用!$B$5:$B$404,0),MATCH(BH$5,其他调用!$H$4:$L$4,0))*50*0.4)</f>
        <v>0.75421065216000016</v>
      </c>
      <c r="BI52" s="14">
        <f>IF(OR(BI$5="大R",BI$5="超R"),0,INDEX(其他调用!$H$5:$L$404,MATCH($K52,其他调用!$B$5:$B$404,0),MATCH(BI$5,其他调用!$H$4:$L$4,0))*50*0.4)</f>
        <v>0</v>
      </c>
      <c r="BJ52" s="14">
        <f>IF(OR(BJ$5="大R",BJ$5="超R"),0,INDEX(其他调用!$H$5:$L$404,MATCH($K52,其他调用!$B$5:$B$404,0),MATCH(BJ$5,其他调用!$H$4:$L$4,0))*50*0.4)</f>
        <v>0</v>
      </c>
      <c r="BL52" s="14">
        <f t="shared" si="103"/>
        <v>47</v>
      </c>
      <c r="BM52" s="14">
        <f t="shared" si="10"/>
        <v>96</v>
      </c>
      <c r="BN52" s="14">
        <f>('疲劳值&amp;地图信息'!$S$10*'疲劳值&amp;地图信息'!$R$10+'疲劳值&amp;地图信息'!$S$11*'疲劳值&amp;地图信息'!$R$11+'疲劳值&amp;地图信息'!$S$12*'疲劳值&amp;地图信息'!$R$12+(BM52-'疲劳值&amp;地图信息'!$S$12-'疲劳值&amp;地图信息'!$S$11-'疲劳值&amp;地图信息'!$S$10)*'疲劳值&amp;地图信息'!$R$13)/BM52</f>
        <v>51.371477246638619</v>
      </c>
      <c r="BO52" s="14">
        <f>INDEX(其他调用!$M$5:$M$404,MATCH(BL52,其他调用!$B$5:$B$404,0))*0.6</f>
        <v>55.452631578947368</v>
      </c>
      <c r="BP52" s="14">
        <f>IF(BO52&gt;SUM('疲劳值&amp;地图信息'!$S$10:$S$12),('疲劳值&amp;地图信息'!$S$10*'疲劳值&amp;地图信息'!$R$10+'疲劳值&amp;地图信息'!$S$11*'疲劳值&amp;地图信息'!$R$11+'疲劳值&amp;地图信息'!$S$12*'疲劳值&amp;地图信息'!$R$12+(BO52-'疲劳值&amp;地图信息'!$S$12-'疲劳值&amp;地图信息'!$S$11-'疲劳值&amp;地图信息'!$S$10)*'疲劳值&amp;地图信息'!$R$13)/BO52,('疲劳值&amp;地图信息'!$S$10*'疲劳值&amp;地图信息'!$R$10+'疲劳值&amp;地图信息'!$S$11*'疲劳值&amp;地图信息'!$R$11+'疲劳值&amp;地图信息'!$S$12*'疲劳值&amp;地图信息'!$R$12+(BO52-'疲劳值&amp;地图信息'!$S$12-'疲劳值&amp;地图信息'!$S$11-'疲劳值&amp;地图信息'!$S$10)*'疲劳值&amp;地图信息'!$R$13)/BO52)</f>
        <v>42.580731496769644</v>
      </c>
      <c r="BQ52" s="14">
        <f t="shared" si="104"/>
        <v>20</v>
      </c>
      <c r="BR52" s="14">
        <f>('疲劳值&amp;地图信息'!$S$10*'疲劳值&amp;地图信息'!$R$10+($BQ52-'疲劳值&amp;地图信息'!$S$10)*'疲劳值&amp;地图信息'!$R$11)/$BQ52</f>
        <v>32.067203015074995</v>
      </c>
      <c r="BW52" s="14" t="s">
        <v>487</v>
      </c>
      <c r="BX52" s="14" t="s">
        <v>460</v>
      </c>
      <c r="BY52" s="48" t="s">
        <v>481</v>
      </c>
      <c r="CF52" s="14">
        <v>47</v>
      </c>
      <c r="CG52" s="51">
        <f t="shared" si="11"/>
        <v>6427</v>
      </c>
      <c r="CH52" s="51">
        <f t="shared" si="12"/>
        <v>867</v>
      </c>
      <c r="CI52" s="51">
        <f>INT(SUMPRODUCT($N52:$R52,$BA52:$BE52)/SUM($BA52:$BE52)/10000*$BX$7*$BZ$34/'疲劳值&amp;地图信息'!$R$10*$BY$53)</f>
        <v>2834</v>
      </c>
      <c r="CJ52" s="50">
        <f t="shared" si="13"/>
        <v>0.63457740916271721</v>
      </c>
      <c r="CK52" s="50">
        <f t="shared" si="14"/>
        <v>8.5604265402843605E-2</v>
      </c>
      <c r="CL52" s="50">
        <f t="shared" si="15"/>
        <v>0.27981832543443919</v>
      </c>
      <c r="CM52" s="14">
        <f t="shared" si="16"/>
        <v>6645</v>
      </c>
      <c r="CN52" s="14">
        <f t="shared" si="17"/>
        <v>1157</v>
      </c>
      <c r="CO52" s="14">
        <f>INT(SUMPRODUCT($U52:$Y52,$BA52:$BE52)/SUM($BA52:$BE52)/10000*$BX$7*$BZ$34/'疲劳值&amp;地图信息'!$R$10*$BY$54)</f>
        <v>4831</v>
      </c>
      <c r="CP52" s="50">
        <f t="shared" si="18"/>
        <v>0.52600332462597954</v>
      </c>
      <c r="CQ52" s="50">
        <f t="shared" si="19"/>
        <v>9.1585529961212692E-2</v>
      </c>
      <c r="CR52" s="50">
        <f t="shared" si="20"/>
        <v>0.38241114541280774</v>
      </c>
      <c r="CS52" s="14">
        <f t="shared" si="21"/>
        <v>7022</v>
      </c>
      <c r="CT52" s="14">
        <f t="shared" si="22"/>
        <v>1962</v>
      </c>
      <c r="CU52" s="14">
        <f>INT(SUMPRODUCT($AB52:$AF52,$BA52:$BE52)/SUM($BA52:$BE52)/10000*$BX$7*$BZ$34/'疲劳值&amp;地图信息'!$R$10*$BY$55)</f>
        <v>6557</v>
      </c>
      <c r="CV52" s="50">
        <f t="shared" si="23"/>
        <v>0.4518370761212277</v>
      </c>
      <c r="CW52" s="50">
        <f t="shared" si="24"/>
        <v>0.1262467022714111</v>
      </c>
      <c r="CX52" s="50">
        <f t="shared" si="25"/>
        <v>0.4219162216073612</v>
      </c>
      <c r="CY52" s="14">
        <f t="shared" si="26"/>
        <v>8055</v>
      </c>
      <c r="CZ52" s="14">
        <f t="shared" si="27"/>
        <v>5345</v>
      </c>
      <c r="DA52" s="14">
        <f>INT(SUMPRODUCT($AI52:$AM52,$BA52:$BE52)/SUM($BA52:$BE52)/10000*$BX$7*$BZ$34/'疲劳值&amp;地图信息'!$R$10*$BY$56)</f>
        <v>9883</v>
      </c>
      <c r="DB52" s="50">
        <f t="shared" si="28"/>
        <v>0.34596057209122538</v>
      </c>
      <c r="DC52" s="50">
        <f t="shared" si="29"/>
        <v>0.22956663660181248</v>
      </c>
      <c r="DD52" s="50">
        <f t="shared" si="30"/>
        <v>0.42447279130696214</v>
      </c>
      <c r="DE52" s="14">
        <f t="shared" si="31"/>
        <v>8303</v>
      </c>
      <c r="DF52" s="14">
        <f t="shared" si="32"/>
        <v>9812</v>
      </c>
      <c r="DG52" s="14">
        <f>INT(SUMPRODUCT($AP52:$AT52,$BA52:$BE52)/SUM($BA52:$BE52)/10000*$BX$7*$BZ$34/'疲劳值&amp;地图信息'!$R$10*$BY$57)</f>
        <v>13195</v>
      </c>
      <c r="DH52" s="50">
        <f t="shared" si="33"/>
        <v>0.26518684126477166</v>
      </c>
      <c r="DI52" s="50">
        <f t="shared" si="34"/>
        <v>0.31338230597253275</v>
      </c>
      <c r="DJ52" s="50">
        <f t="shared" si="35"/>
        <v>0.42143085276269565</v>
      </c>
      <c r="DL52" s="14">
        <f t="shared" si="106"/>
        <v>10128</v>
      </c>
      <c r="DM52" s="14">
        <f t="shared" si="107"/>
        <v>12633</v>
      </c>
      <c r="DN52" s="14">
        <f t="shared" si="108"/>
        <v>15541</v>
      </c>
      <c r="DO52" s="14">
        <f t="shared" si="109"/>
        <v>23283</v>
      </c>
      <c r="DP52" s="14">
        <f t="shared" si="110"/>
        <v>31310</v>
      </c>
      <c r="DQ52" s="14">
        <f t="shared" si="111"/>
        <v>639845</v>
      </c>
      <c r="DT52" s="14">
        <f t="shared" si="105"/>
        <v>235575</v>
      </c>
      <c r="DU52" s="50">
        <f t="shared" si="7"/>
        <v>0.26909940371478835</v>
      </c>
      <c r="DW52" s="14">
        <f t="shared" si="36"/>
        <v>875420</v>
      </c>
      <c r="EB52" s="14">
        <v>47</v>
      </c>
      <c r="EC52" s="51">
        <f t="shared" si="37"/>
        <v>10712</v>
      </c>
      <c r="ED52" s="51">
        <f t="shared" si="38"/>
        <v>1445</v>
      </c>
      <c r="EE52" s="51">
        <f>INT(SUMPRODUCT($N52:$R52,$BF52:$BJ52)/SUM($BF52:$BJ52)/10000*$BX$7*$BZ$46/'疲劳值&amp;地图信息'!$R$10*$BY$53)</f>
        <v>380</v>
      </c>
      <c r="EF52" s="50">
        <f t="shared" si="39"/>
        <v>0.85443088458163841</v>
      </c>
      <c r="EG52" s="50">
        <f t="shared" si="40"/>
        <v>0.11525883385179868</v>
      </c>
      <c r="EH52" s="50">
        <f t="shared" si="41"/>
        <v>3.0310281566562975E-2</v>
      </c>
      <c r="EI52" s="51">
        <f t="shared" si="42"/>
        <v>11076</v>
      </c>
      <c r="EJ52" s="51">
        <f t="shared" si="43"/>
        <v>1929</v>
      </c>
      <c r="EK52" s="14">
        <f>INT(SUMPRODUCT($U52:$Y52,$BF52:$BJ52)/SUM($BF52:$BJ52)/10000*$BX$7*$BZ$46/'疲劳值&amp;地图信息'!$R$10*$BY$54)</f>
        <v>648</v>
      </c>
      <c r="EL52" s="50">
        <f t="shared" si="44"/>
        <v>0.81125027466490884</v>
      </c>
      <c r="EM52" s="50">
        <f t="shared" si="45"/>
        <v>0.14128762909250714</v>
      </c>
      <c r="EN52" s="50">
        <f t="shared" si="46"/>
        <v>4.7462096242584045E-2</v>
      </c>
      <c r="EO52" s="51">
        <f t="shared" si="47"/>
        <v>11704</v>
      </c>
      <c r="EP52" s="51">
        <f t="shared" si="48"/>
        <v>3270</v>
      </c>
      <c r="EQ52" s="14">
        <f>INT(SUMPRODUCT($AB52:$AF52,$BF52:$BJ52)/SUM($BF52:$BJ52)/10000*$BX$7*$BZ$46/'疲劳值&amp;地图信息'!$R$10*$BY$55)</f>
        <v>878</v>
      </c>
      <c r="ER52" s="50">
        <f t="shared" si="49"/>
        <v>0.73832954832197828</v>
      </c>
      <c r="ES52" s="50">
        <f t="shared" si="50"/>
        <v>0.20628311884935654</v>
      </c>
      <c r="ET52" s="50">
        <f t="shared" si="51"/>
        <v>5.5387332828665155E-2</v>
      </c>
      <c r="EU52" s="51">
        <f t="shared" si="52"/>
        <v>13426</v>
      </c>
      <c r="EV52" s="51">
        <f t="shared" si="53"/>
        <v>8909</v>
      </c>
      <c r="EW52" s="14">
        <f>INT(SUMPRODUCT($AI52:$AM52,$BF52:$BJ52)/SUM($BF52:$BJ52)/10000*$BX$7*$BZ$46/'疲劳值&amp;地图信息'!$R$10*$BY$56)</f>
        <v>1318</v>
      </c>
      <c r="EX52" s="50">
        <f t="shared" si="54"/>
        <v>0.56762355726546321</v>
      </c>
      <c r="EY52" s="50">
        <f t="shared" si="55"/>
        <v>0.37665412421257344</v>
      </c>
      <c r="EZ52" s="50">
        <f t="shared" si="56"/>
        <v>5.5722318521963389E-2</v>
      </c>
      <c r="FA52" s="51">
        <f t="shared" si="57"/>
        <v>13838</v>
      </c>
      <c r="FB52" s="51">
        <f t="shared" si="58"/>
        <v>16354</v>
      </c>
      <c r="FC52" s="14">
        <f>INT(SUMPRODUCT($AP52:$AT52,$BF52:$BJ52)/SUM($BF52:$BJ52)/10000*$BX$7*$BZ$46/'疲劳值&amp;地图信息'!$R$10*$BY$57)</f>
        <v>1757</v>
      </c>
      <c r="FD52" s="50">
        <f t="shared" si="59"/>
        <v>0.43312779742714952</v>
      </c>
      <c r="FE52" s="50">
        <f t="shared" si="60"/>
        <v>0.51187830605026763</v>
      </c>
      <c r="FF52" s="50">
        <f t="shared" si="61"/>
        <v>5.4993896522582866E-2</v>
      </c>
      <c r="FH52" s="14">
        <f t="shared" si="62"/>
        <v>12537</v>
      </c>
      <c r="FI52" s="14">
        <f t="shared" si="63"/>
        <v>13653</v>
      </c>
      <c r="FJ52" s="14">
        <f t="shared" si="64"/>
        <v>15852</v>
      </c>
      <c r="FK52" s="14">
        <f t="shared" si="65"/>
        <v>23653</v>
      </c>
      <c r="FL52" s="14">
        <f t="shared" si="66"/>
        <v>31949</v>
      </c>
      <c r="FM52" s="14">
        <f t="shared" si="67"/>
        <v>1442443</v>
      </c>
      <c r="FP52" s="14">
        <f t="shared" si="68"/>
        <v>334150</v>
      </c>
      <c r="FQ52" s="50">
        <f t="shared" si="8"/>
        <v>0.18808472171172577</v>
      </c>
      <c r="FS52" s="14">
        <f t="shared" si="69"/>
        <v>1776593</v>
      </c>
      <c r="FX52" s="14">
        <v>47</v>
      </c>
      <c r="FY52" s="51">
        <f t="shared" si="70"/>
        <v>14997</v>
      </c>
      <c r="FZ52" s="51">
        <f t="shared" si="71"/>
        <v>1445</v>
      </c>
      <c r="GA52" s="51">
        <f>INT(SUMPRODUCT($N52:$R52,$BF52:$BJ52)/SUM($BF52:$BJ52)/10000*$BX$7*$BZ$46/'疲劳值&amp;地图信息'!$R$10*$BY$53)</f>
        <v>380</v>
      </c>
      <c r="GB52" s="50">
        <f t="shared" si="72"/>
        <v>0.89151111639519676</v>
      </c>
      <c r="GC52" s="50">
        <f t="shared" si="73"/>
        <v>8.5899417429556535E-2</v>
      </c>
      <c r="GD52" s="50">
        <f t="shared" si="74"/>
        <v>2.2589466175246702E-2</v>
      </c>
      <c r="GE52" s="51">
        <f t="shared" si="75"/>
        <v>15506</v>
      </c>
      <c r="GF52" s="51">
        <f t="shared" si="76"/>
        <v>1929</v>
      </c>
      <c r="GG52" s="14">
        <f>INT(SUMPRODUCT($U52:$Y52,$BF52:$BJ52)/SUM($BF52:$BJ52)/10000*$BX$7*$BZ$46/'疲劳值&amp;地图信息'!$R$10*$BY$54)</f>
        <v>648</v>
      </c>
      <c r="GH52" s="50">
        <f t="shared" si="77"/>
        <v>0.85749046065365264</v>
      </c>
      <c r="GI52" s="50">
        <f t="shared" si="78"/>
        <v>0.1066747774152519</v>
      </c>
      <c r="GJ52" s="50">
        <f t="shared" si="79"/>
        <v>3.5834761931095506E-2</v>
      </c>
      <c r="GK52" s="51">
        <f t="shared" si="80"/>
        <v>16386</v>
      </c>
      <c r="GL52" s="51">
        <f t="shared" si="81"/>
        <v>3270</v>
      </c>
      <c r="GM52" s="14">
        <f>INT(SUMPRODUCT($AB52:$AF52,$BF52:$BJ52)/SUM($BF52:$BJ52)/10000*$BX$7*$BZ$46/'疲劳值&amp;地图信息'!$R$10*$BY$55)</f>
        <v>878</v>
      </c>
      <c r="GN52" s="50">
        <f t="shared" si="82"/>
        <v>0.79799357163728446</v>
      </c>
      <c r="GO52" s="50">
        <f t="shared" si="83"/>
        <v>0.15924807636115709</v>
      </c>
      <c r="GP52" s="50">
        <f t="shared" si="84"/>
        <v>4.2758352001558392E-2</v>
      </c>
      <c r="GQ52" s="51">
        <f t="shared" si="85"/>
        <v>18797</v>
      </c>
      <c r="GR52" s="51">
        <f t="shared" si="86"/>
        <v>8909</v>
      </c>
      <c r="GS52" s="14">
        <f>INT(SUMPRODUCT($AI52:$AM52,$BF52:$BJ52)/SUM($BF52:$BJ52)/10000*$BX$7*$BZ$46/'疲劳值&amp;地图信息'!$R$10*$BY$56)</f>
        <v>1318</v>
      </c>
      <c r="GT52" s="50">
        <f t="shared" si="87"/>
        <v>0.64763643880926125</v>
      </c>
      <c r="GU52" s="50">
        <f t="shared" si="88"/>
        <v>0.30695286659316429</v>
      </c>
      <c r="GV52" s="50">
        <f t="shared" si="89"/>
        <v>4.5410694597574422E-2</v>
      </c>
      <c r="GW52" s="51">
        <f t="shared" si="90"/>
        <v>19373</v>
      </c>
      <c r="GX52" s="51">
        <f t="shared" si="91"/>
        <v>16354</v>
      </c>
      <c r="GY52" s="14">
        <f>INT(SUMPRODUCT($AP52:$AT52,$BF52:$BJ52)/SUM($BF52:$BJ52)/10000*$BX$7*$BZ$46/'疲劳值&amp;地图信息'!$R$10*$BY$57)</f>
        <v>1757</v>
      </c>
      <c r="GZ52" s="50">
        <f t="shared" si="92"/>
        <v>0.51683384910895314</v>
      </c>
      <c r="HA52" s="50">
        <f t="shared" si="93"/>
        <v>0.43629281826912814</v>
      </c>
      <c r="HB52" s="50">
        <f t="shared" si="94"/>
        <v>4.6873332621918687E-2</v>
      </c>
      <c r="HD52" s="14">
        <f t="shared" si="95"/>
        <v>16822</v>
      </c>
      <c r="HE52" s="14">
        <f t="shared" si="96"/>
        <v>18083</v>
      </c>
      <c r="HF52" s="14">
        <f t="shared" si="97"/>
        <v>20534</v>
      </c>
      <c r="HG52" s="14">
        <f t="shared" si="98"/>
        <v>29024</v>
      </c>
      <c r="HH52" s="14">
        <f t="shared" si="99"/>
        <v>37484</v>
      </c>
      <c r="HI52" s="14">
        <f t="shared" si="100"/>
        <v>1905915</v>
      </c>
      <c r="HL52" s="14">
        <f t="shared" si="101"/>
        <v>430050</v>
      </c>
      <c r="HM52" s="50">
        <f t="shared" si="9"/>
        <v>0.18409950491552743</v>
      </c>
      <c r="HO52" s="14">
        <f t="shared" si="102"/>
        <v>2335965</v>
      </c>
    </row>
    <row r="53" spans="11:223" x14ac:dyDescent="0.2">
      <c r="K53" s="14">
        <v>48</v>
      </c>
      <c r="L53" s="12">
        <f>求节点(节奏总纲!D$4:D$163,标准城池设计!AB$4:AB$163,$K53)*求节点(节奏总纲!D$4:D$163,攻城基础信息!$AC$5:$AC$164,$K53)</f>
        <v>307745.45899044391</v>
      </c>
      <c r="M53" s="12">
        <f>INDEX(其他调用!$AA$5:$AA$404,MATCH(K53,其他调用!$X$5:$X$404,0))*MIN(INDEX(其他调用!$AH$5:$AH$364,MATCH('征服点（新）'!K53,其他调用!$AG$5:$AG$364,0),1)/INDEX(其他调用!$AJ$5:$AJ$364,MATCH(K53,其他调用!$AG$5:$AG$364,0),0),5)*求节点(节奏总纲!D$4:D$163,攻城基础信息!$AC$5:$AC$164,$K53)</f>
        <v>40842.058897237366</v>
      </c>
      <c r="N53" s="12">
        <f>MIN(INDEX(其他调用!$AH$5:$AH$364,MATCH($K53,其他调用!$AG$5:$AG$364,0),1)/INDEX(其他调用!AH$5:AH$364,MATCH($K53,其他调用!$AG$5:$AG$364,0),0),1)*INDEX(其他调用!Y$5:Y$404,MATCH($K53,其他调用!$X$5:$X$404,0),0)</f>
        <v>32020.419728675355</v>
      </c>
      <c r="O53" s="12">
        <f>MIN(INDEX(其他调用!$AH$5:$AH$364,MATCH($K53,其他调用!$AG$5:$AG$364,0),1)/INDEX(其他调用!AI$5:AI$364,MATCH($K53,其他调用!$AG$5:$AG$364,0),0),1)*INDEX(其他调用!Z$5:Z$404,MATCH($K53,其他调用!$X$5:$X$404,0),0)</f>
        <v>24846.503672432333</v>
      </c>
      <c r="P53" s="12">
        <f>MIN(INDEX(其他调用!$AH$5:$AH$364,MATCH($K53,其他调用!$AG$5:$AG$364,0),1)/INDEX(其他调用!AJ$5:AJ$364,MATCH($K53,其他调用!$AG$5:$AG$364,0),0),1)*INDEX(其他调用!AA$5:AA$404,MATCH($K53,其他调用!$X$5:$X$404,0),0)</f>
        <v>15100.070229524506</v>
      </c>
      <c r="Q53" s="12">
        <f>MIN(INDEX(其他调用!$AH$5:$AH$364,MATCH($K53,其他调用!$AG$5:$AG$364,0),1)/INDEX(其他调用!AK$5:AK$364,MATCH($K53,其他调用!$AG$5:$AG$364,0),0),1)*INDEX(其他调用!AB$5:AB$404,MATCH($K53,其他调用!$X$5:$X$404,0),0)</f>
        <v>5908.6655918124734</v>
      </c>
      <c r="R53" s="12">
        <f>MIN(INDEX(其他调用!$AH$5:$AH$364,MATCH($K53,其他调用!$AG$5:$AG$364,0),1)/INDEX(其他调用!AL$5:AL$364,MATCH($K53,其他调用!$AG$5:$AG$364,0),0),1)*INDEX(其他调用!AC$5:AC$404,MATCH($K53,其他调用!$X$5:$X$404,0),0)</f>
        <v>1971.101956600176</v>
      </c>
      <c r="S53" s="12">
        <f>求节点(节奏总纲!D$4:D$163,标准城池设计!AC$4:AC$163,$K53)*求节点(节奏总纲!D$4:D$163,攻城基础信息!$AD$5:$AD$164,$K53)</f>
        <v>318431.91399503982</v>
      </c>
      <c r="T53" s="12">
        <f>INDEX(其他调用!$AA$5:$AA$404,MATCH($K53,其他调用!$X$5:$X$404,0))*MIN(INDEX(其他调用!AI$5:AI$364,MATCH($K53,其他调用!$AG$5:$AG$364,0),1)/INDEX(其他调用!$AJ$5:$AJ$364,MATCH($K53,其他调用!$AG$5:$AG$364,0),0),5)*求节点(节奏总纲!D$4:D$163,攻城基础信息!$AD$5:$AD$164,$K53)</f>
        <v>54400.415906037837</v>
      </c>
      <c r="U53" s="12">
        <f>MIN(INDEX(其他调用!$AI$5:$AI$364,MATCH($K53,其他调用!$AG$5:$AG$364,0),1)/INDEX(其他调用!AH$5:AH$364,MATCH($K53,其他调用!$AG$5:$AG$364,0),0),1)*INDEX(其他调用!Y$5:Y$404,MATCH($K53,其他调用!$X$5:$X$404,0),0)</f>
        <v>32020.419728675355</v>
      </c>
      <c r="V53" s="12">
        <f>MIN(INDEX(其他调用!$AI$5:$AI$364,MATCH($K53,其他调用!$AG$5:$AG$364,0),1)/INDEX(其他调用!AI$5:AI$364,MATCH($K53,其他调用!$AG$5:$AG$364,0),0),1)*INDEX(其他调用!Z$5:Z$404,MATCH($K53,其他调用!$X$5:$X$404,0),0)</f>
        <v>33094.808882973441</v>
      </c>
      <c r="W53" s="12">
        <f>MIN(INDEX(其他调用!$AI$5:$AI$364,MATCH($K53,其他调用!$AG$5:$AG$364,0),1)/INDEX(其他调用!AJ$5:AJ$364,MATCH($K53,其他调用!$AG$5:$AG$364,0),0),1)*INDEX(其他调用!AA$5:AA$404,MATCH($K53,其他调用!$X$5:$X$404,0),0)</f>
        <v>20112.847463526818</v>
      </c>
      <c r="X53" s="12">
        <f>MIN(INDEX(其他调用!$AI$5:$AI$364,MATCH($K53,其他调用!$AG$5:$AG$364,0),1)/INDEX(其他调用!AK$5:AK$364,MATCH($K53,其他调用!$AG$5:$AG$364,0),0),1)*INDEX(其他调用!AB$5:AB$404,MATCH($K53,其他调用!$X$5:$X$404,0),0)</f>
        <v>7870.1680160898113</v>
      </c>
      <c r="Y53" s="12">
        <f>MIN(INDEX(其他调用!$AI$5:$AI$364,MATCH($K53,其他调用!$AG$5:$AG$364,0),1)/INDEX(其他调用!AL$5:AL$364,MATCH($K53,其他调用!$AG$5:$AG$364,0),0),1)*INDEX(其他调用!AC$5:AC$404,MATCH($K53,其他调用!$X$5:$X$404,0),0)</f>
        <v>2625.4495764293533</v>
      </c>
      <c r="Z53" s="12">
        <f>求节点(节奏总纲!D$4:D$163,标准城池设计!AD$4:AD$163,$K53)*求节点(节奏总纲!D$4:D$163,攻城基础信息!$AE$5:$AE$164,$K53)</f>
        <v>336358.06633881491</v>
      </c>
      <c r="AA53" s="12">
        <f>INDEX(其他调用!$AA$5:$AA$404,MATCH($K53,其他调用!$X$5:$X$404,0))*MIN(INDEX(其他调用!AJ$5:AJ$364,MATCH($K53,其他调用!$AG$5:$AG$364,0),1)/INDEX(其他调用!$AJ$5:$AJ$364,MATCH($K53,其他调用!$AG$5:$AG$364,0),0),5)*求节点(节奏总纲!D$4:D$163,攻城基础信息!$AE$5:$AE$164,$K53)</f>
        <v>93521.229874601937</v>
      </c>
      <c r="AB53" s="12">
        <f>MIN(INDEX(其他调用!$AJ$5:$AJ$364,MATCH($K53,其他调用!$AG$5:$AG$364,0),1)/INDEX(其他调用!AH$5:AH$364,MATCH($K53,其他调用!$AG$5:$AG$364,0),0),1)*INDEX(其他调用!Y$5:Y$404,MATCH($K53,其他调用!$X$5:$X$404,0),0)</f>
        <v>32020.419728675355</v>
      </c>
      <c r="AC53" s="12">
        <f>MIN(INDEX(其他调用!$AJ$5:$AJ$364,MATCH($K53,其他调用!$AG$5:$AG$364,0),1)/INDEX(其他调用!AI$5:AI$364,MATCH($K53,其他调用!$AG$5:$AG$364,0),0),1)*INDEX(其他调用!Z$5:Z$404,MATCH($K53,其他调用!$X$5:$X$404,0),0)</f>
        <v>33094.808882973441</v>
      </c>
      <c r="AD53" s="12">
        <f>MIN(INDEX(其他调用!$AJ$5:$AJ$364,MATCH($K53,其他调用!$AG$5:$AG$364,0),1)/INDEX(其他调用!AJ$5:AJ$364,MATCH($K53,其他调用!$AG$5:$AG$364,0),0),1)*INDEX(其他调用!AA$5:AA$404,MATCH($K53,其他调用!$X$5:$X$404,0),0)</f>
        <v>34576.541369062004</v>
      </c>
      <c r="AE53" s="12">
        <f>MIN(INDEX(其他调用!$AJ$5:$AJ$364,MATCH($K53,其他调用!$AG$5:$AG$364,0),1)/INDEX(其他调用!AK$5:AK$364,MATCH($K53,其他调用!$AG$5:$AG$364,0),0),1)*INDEX(其他调用!AB$5:AB$404,MATCH($K53,其他调用!$X$5:$X$404,0),0)</f>
        <v>13529.819210495856</v>
      </c>
      <c r="AF53" s="12">
        <f>MIN(INDEX(其他调用!$AJ$5:$AJ$364,MATCH($K53,其他调用!$AG$5:$AG$364,0),1)/INDEX(其他调用!AL$5:AL$364,MATCH($K53,其他调用!$AG$5:$AG$364,0),0),1)*INDEX(其他调用!AC$5:AC$404,MATCH($K53,其他调用!$X$5:$X$404,0),0)</f>
        <v>4513.4815473749741</v>
      </c>
      <c r="AG53" s="12">
        <f>求节点(节奏总纲!D$4:D$163,标准城池设计!AE$4:AE$163,$K53)*求节点(节奏总纲!D$4:D$163,攻城基础信息!$AF$5:$AF$164,$K53)</f>
        <v>385249.12134371744</v>
      </c>
      <c r="AH53" s="12">
        <f>INDEX(其他调用!$AA$5:$AA$404,MATCH($K53,其他调用!$X$5:$X$404,0))*MIN(INDEX(其他调用!AK$5:AK$364,MATCH($K53,其他调用!$AG$5:$AG$364,0),1)/INDEX(其他调用!$AJ$5:$AJ$364,MATCH($K53,其他调用!$AG$5:$AG$364,0),0),5)*求节点(节奏总纲!D$4:D$163,攻城基础信息!$AF$5:$AF$164,$K53)</f>
        <v>253885.49871111251</v>
      </c>
      <c r="AI53" s="12">
        <f>MIN(INDEX(其他调用!$AK$5:$AK$364,MATCH($K53,其他调用!$AG$5:$AG$364,0),1)/INDEX(其他调用!AH$5:AH$364,MATCH($K53,其他调用!$AG$5:$AG$364,0),0),1)*INDEX(其他调用!Y$5:Y$404,MATCH($K53,其他调用!$X$5:$X$404,0),0)</f>
        <v>32020.419728675355</v>
      </c>
      <c r="AJ53" s="12">
        <f>MIN(INDEX(其他调用!$AK$5:$AK$364,MATCH($K53,其他调用!$AG$5:$AG$364,0),1)/INDEX(其他调用!AI$5:AI$364,MATCH($K53,其他调用!$AG$5:$AG$364,0),0),1)*INDEX(其他调用!Z$5:Z$404,MATCH($K53,其他调用!$X$5:$X$404,0),0)</f>
        <v>33094.808882973441</v>
      </c>
      <c r="AK53" s="12">
        <f>MIN(INDEX(其他调用!$AK$5:$AK$364,MATCH($K53,其他调用!$AG$5:$AG$364,0),1)/INDEX(其他调用!AJ$5:AJ$364,MATCH($K53,其他调用!$AG$5:$AG$364,0),0),1)*INDEX(其他调用!AA$5:AA$404,MATCH($K53,其他调用!$X$5:$X$404,0),0)</f>
        <v>34576.541369062004</v>
      </c>
      <c r="AL53" s="12">
        <f>MIN(INDEX(其他调用!$AK$5:$AK$364,MATCH($K53,其他调用!$AG$5:$AG$364,0),1)/INDEX(其他调用!AK$5:AK$364,MATCH($K53,其他调用!$AG$5:$AG$364,0),0),1)*INDEX(其他调用!AB$5:AB$404,MATCH($K53,其他调用!$X$5:$X$404,0),0)</f>
        <v>36729.894402947742</v>
      </c>
      <c r="AM53" s="12">
        <f>MIN(INDEX(其他调用!$AK$5:$AK$364,MATCH($K53,其他调用!$AG$5:$AG$364,0),1)/INDEX(其他调用!AL$5:AL$364,MATCH($K53,其他调用!$AG$5:$AG$364,0),0),1)*INDEX(其他调用!AC$5:AC$404,MATCH($K53,其他调用!$X$5:$X$404,0),0)</f>
        <v>12252.913216765761</v>
      </c>
      <c r="AN53" s="12">
        <f>求节点(节奏总纲!D$4:D$163,标准城池设计!AF$4:AF$163,$K53)*求节点(节奏总纲!D$4:D$163,攻城基础信息!$AG$5:$AG$164,$K53)</f>
        <v>397191.02710221685</v>
      </c>
      <c r="AO53" s="12">
        <f>INDEX(其他调用!$AA$5:$AA$404,MATCH($K53,其他调用!$X$5:$X$404,0))*MIN(INDEX(其他调用!AL$5:AL$364,MATCH($K53,其他调用!$AG$5:$AG$364,0),1)/INDEX(其他调用!$AJ$5:$AJ$364,MATCH($K53,其他调用!$AG$5:$AG$364,0),0),5)*求节点(节奏总纲!D$4:D$163,攻城基础信息!$AG$5:$AG$164,$K53)</f>
        <v>467606.14937300968</v>
      </c>
      <c r="AP53" s="12">
        <f>MIN(INDEX(其他调用!$AL$5:$AL$364,MATCH($K53,其他调用!$AG$5:$AG$364,0),1)/INDEX(其他调用!AH$5:AH$364,MATCH($K53,其他调用!$AG$5:$AG$364,0),0),1)*INDEX(其他调用!Y$5:Y$404,MATCH($K53,其他调用!$X$5:$X$404,0),0)</f>
        <v>32020.419728675355</v>
      </c>
      <c r="AQ53" s="12">
        <f>MIN(INDEX(其他调用!$AL$5:$AL$364,MATCH($K53,其他调用!$AG$5:$AG$364,0),1)/INDEX(其他调用!AI$5:AI$364,MATCH($K53,其他调用!$AG$5:$AG$364,0),0),1)*INDEX(其他调用!Z$5:Z$404,MATCH($K53,其他调用!$X$5:$X$404,0),0)</f>
        <v>33094.808882973441</v>
      </c>
      <c r="AR53" s="12">
        <f>MIN(INDEX(其他调用!$AL$5:$AL$364,MATCH($K53,其他调用!$AG$5:$AG$364,0),1)/INDEX(其他调用!AJ$5:AJ$364,MATCH($K53,其他调用!$AG$5:$AG$364,0),0),1)*INDEX(其他调用!AA$5:AA$404,MATCH($K53,其他调用!$X$5:$X$404,0),0)</f>
        <v>34576.541369062004</v>
      </c>
      <c r="AS53" s="12">
        <f>MIN(INDEX(其他调用!$AL$5:$AL$364,MATCH($K53,其他调用!$AG$5:$AG$364,0),1)/INDEX(其他调用!AK$5:AK$364,MATCH($K53,其他调用!$AG$5:$AG$364,0),0),1)*INDEX(其他调用!AB$5:AB$404,MATCH($K53,其他调用!$X$5:$X$404,0),0)</f>
        <v>36729.894402947742</v>
      </c>
      <c r="AT53" s="12">
        <f>MIN(INDEX(其他调用!$AL$5:$AL$364,MATCH($K53,其他调用!$AG$5:$AG$364,0),1)/INDEX(其他调用!AL$5:AL$364,MATCH($K53,其他调用!$AG$5:$AG$364,0),0),1)*INDEX(其他调用!AC$5:AC$404,MATCH($K53,其他调用!$X$5:$X$404,0),0)</f>
        <v>40571.154735021228</v>
      </c>
      <c r="AV53" s="14">
        <f>IF(OR(AV$5="大R",AV$5="超R"),MAX(INDEX(其他调用!$H$5:$L$404,MATCH($K53,其他调用!$B$5:$B$404,0),MATCH(AV$5,其他调用!$H$4:$L$4,0))*120*0.85,2),INDEX(其他调用!$H$5:$L$404,MATCH($K53,其他调用!$B$5:$B$404,0),MATCH(AV$5,其他调用!$H$4:$L$4,0))*120*0.85)</f>
        <v>52.799790649090923</v>
      </c>
      <c r="AW53" s="14">
        <f>IF(OR(AW$5="大R",AW$5="超R"),MAX(INDEX(其他调用!$H$5:$L$404,MATCH($K53,其他调用!$B$5:$B$404,0),MATCH(AW$5,其他调用!$H$4:$L$4,0))*120*0.85,2),INDEX(其他调用!$H$5:$L$404,MATCH($K53,其他调用!$B$5:$B$404,0),MATCH(AW$5,其他调用!$H$4:$L$4,0))*120*0.85)</f>
        <v>44.558732885245071</v>
      </c>
      <c r="AX53" s="14">
        <f>IF(OR(AX$5="大R",AX$5="超R"),MAX(INDEX(其他调用!$H$5:$L$404,MATCH($K53,其他调用!$B$5:$B$404,0),MATCH(AX$5,其他调用!$H$4:$L$4,0))*120*0.85,2),INDEX(其他调用!$H$5:$L$404,MATCH($K53,其他调用!$B$5:$B$404,0),MATCH(AX$5,其他调用!$H$4:$L$4,0))*120*0.85)</f>
        <v>3.8490099056640004</v>
      </c>
      <c r="AY53" s="14">
        <f>IF(OR(AY$5="大R",AY$5="超R"),MAX(INDEX(其他调用!$H$5:$L$404,MATCH($K53,其他调用!$B$5:$B$404,0),MATCH(AY$5,其他调用!$H$4:$L$4,0))*120*0.85,2),INDEX(其他调用!$H$5:$L$404,MATCH($K53,其他调用!$B$5:$B$404,0),MATCH(AY$5,其他调用!$H$4:$L$4,0))*120*0.85)</f>
        <v>2</v>
      </c>
      <c r="AZ53" s="14">
        <f>IF(OR(AZ$5="大R",AZ$5="超R"),MAX(INDEX(其他调用!$H$5:$L$404,MATCH($K53,其他调用!$B$5:$B$404,0),MATCH(AZ$5,其他调用!$H$4:$L$4,0))*120*0.85,2),INDEX(其他调用!$H$5:$L$404,MATCH($K53,其他调用!$B$5:$B$404,0),MATCH(AZ$5,其他调用!$H$4:$L$4,0))*120*0.85)</f>
        <v>2</v>
      </c>
      <c r="BA53" s="14">
        <f>INDEX(其他调用!$H$5:$L$404,MATCH($K53,其他调用!$B$5:$B$404,0),MATCH(BA$5,其他调用!$H$4:$L$4,0))*INDEX(其他调用!$M$5:$M$404,MATCH($K53,其他调用!$B$5:$B$404,0))*0.6</f>
        <v>28.786511248622016</v>
      </c>
      <c r="BB53" s="14">
        <f>INDEX(其他调用!$H$5:$L$404,MATCH($K53,其他调用!$B$5:$B$404,0),MATCH(BB$5,其他调用!$H$4:$L$4,0))*INDEX(其他调用!$M$5:$M$404,MATCH($K53,其他调用!$B$5:$B$404,0))*0.6</f>
        <v>24.293476350128969</v>
      </c>
      <c r="BC53" s="14">
        <f>INDEX(其他调用!$H$5:$L$404,MATCH($K53,其他调用!$B$5:$B$404,0),MATCH(BC$5,其他调用!$H$4:$L$4,0))*INDEX(其他调用!$M$5:$M$404,MATCH($K53,其他调用!$B$5:$B$404,0))*0.6</f>
        <v>2.0984849671437478</v>
      </c>
      <c r="BD53" s="14">
        <f>INDEX(其他调用!$H$5:$L$404,MATCH($K53,其他调用!$B$5:$B$404,0),MATCH(BD$5,其他调用!$H$4:$L$4,0))*INDEX(其他调用!$M$5:$M$404,MATCH($K53,其他调用!$B$5:$B$404,0))*0.6</f>
        <v>0.34236509305263169</v>
      </c>
      <c r="BE53" s="14">
        <f>INDEX(其他调用!$H$5:$L$404,MATCH($K53,其他调用!$B$5:$B$404,0),MATCH(BE$5,其他调用!$H$4:$L$4,0))*INDEX(其他调用!$M$5:$M$404,MATCH($K53,其他调用!$B$5:$B$404,0))*0.6</f>
        <v>8.9688656842105252E-2</v>
      </c>
      <c r="BF53" s="14">
        <f>IF(OR(BF$5="大R",BF$5="超R"),0,INDEX(其他调用!$H$5:$L$404,MATCH($K53,其他调用!$B$5:$B$404,0),MATCH(BF$5,其他调用!$H$4:$L$4,0))*50*0.4)</f>
        <v>10.352900127272731</v>
      </c>
      <c r="BG53" s="14">
        <f>IF(OR(BG$5="大R",BG$5="超R"),0,INDEX(其他调用!$H$5:$L$404,MATCH($K53,其他调用!$B$5:$B$404,0),MATCH(BG$5,其他调用!$H$4:$L$4,0))*50*0.4)</f>
        <v>8.7370064480872696</v>
      </c>
      <c r="BH53" s="14">
        <f>IF(OR(BH$5="大R",BH$5="超R"),0,INDEX(其他调用!$H$5:$L$404,MATCH($K53,其他调用!$B$5:$B$404,0),MATCH(BH$5,其他调用!$H$4:$L$4,0))*50*0.4)</f>
        <v>0.75470782464000008</v>
      </c>
      <c r="BI53" s="14">
        <f>IF(OR(BI$5="大R",BI$5="超R"),0,INDEX(其他调用!$H$5:$L$404,MATCH($K53,其他调用!$B$5:$B$404,0),MATCH(BI$5,其他调用!$H$4:$L$4,0))*50*0.4)</f>
        <v>0</v>
      </c>
      <c r="BJ53" s="14">
        <f>IF(OR(BJ$5="大R",BJ$5="超R"),0,INDEX(其他调用!$H$5:$L$404,MATCH($K53,其他调用!$B$5:$B$404,0),MATCH(BJ$5,其他调用!$H$4:$L$4,0))*50*0.4)</f>
        <v>0</v>
      </c>
      <c r="BL53" s="14">
        <f t="shared" si="103"/>
        <v>48</v>
      </c>
      <c r="BM53" s="14">
        <f t="shared" si="10"/>
        <v>96</v>
      </c>
      <c r="BN53" s="14">
        <f>('疲劳值&amp;地图信息'!$S$10*'疲劳值&amp;地图信息'!$R$10+'疲劳值&amp;地图信息'!$S$11*'疲劳值&amp;地图信息'!$R$11+'疲劳值&amp;地图信息'!$S$12*'疲劳值&amp;地图信息'!$R$12+(BM53-'疲劳值&amp;地图信息'!$S$12-'疲劳值&amp;地图信息'!$S$11-'疲劳值&amp;地图信息'!$S$10)*'疲劳值&amp;地图信息'!$R$13)/BM53</f>
        <v>51.371477246638619</v>
      </c>
      <c r="BO53" s="14">
        <f>INDEX(其他调用!$M$5:$M$404,MATCH(BL53,其他调用!$B$5:$B$404,0))*0.6</f>
        <v>55.610526315789478</v>
      </c>
      <c r="BP53" s="14">
        <f>IF(BO53&gt;SUM('疲劳值&amp;地图信息'!$S$10:$S$12),('疲劳值&amp;地图信息'!$S$10*'疲劳值&amp;地图信息'!$R$10+'疲劳值&amp;地图信息'!$S$11*'疲劳值&amp;地图信息'!$R$11+'疲劳值&amp;地图信息'!$S$12*'疲劳值&amp;地图信息'!$R$12+(BO53-'疲劳值&amp;地图信息'!$S$12-'疲劳值&amp;地图信息'!$S$11-'疲劳值&amp;地图信息'!$S$10)*'疲劳值&amp;地图信息'!$R$13)/BO53,('疲劳值&amp;地图信息'!$S$10*'疲劳值&amp;地图信息'!$R$10+'疲劳值&amp;地图信息'!$S$11*'疲劳值&amp;地图信息'!$R$11+'疲劳值&amp;地图信息'!$S$12*'疲劳值&amp;地图信息'!$R$12+(BO53-'疲劳值&amp;地图信息'!$S$12-'疲劳值&amp;地图信息'!$S$11-'疲劳值&amp;地图信息'!$S$10)*'疲劳值&amp;地图信息'!$R$13)/BO53)</f>
        <v>42.639825706285812</v>
      </c>
      <c r="BQ53" s="14">
        <f t="shared" si="104"/>
        <v>20</v>
      </c>
      <c r="BR53" s="14">
        <f>('疲劳值&amp;地图信息'!$S$10*'疲劳值&amp;地图信息'!$R$10+($BQ53-'疲劳值&amp;地图信息'!$S$10)*'疲劳值&amp;地图信息'!$R$11)/$BQ53</f>
        <v>32.067203015074995</v>
      </c>
      <c r="BW53" s="14" t="s">
        <v>14</v>
      </c>
      <c r="BX53" s="14" t="s">
        <v>482</v>
      </c>
      <c r="BY53" s="49">
        <v>0.2</v>
      </c>
      <c r="CF53" s="14">
        <v>48</v>
      </c>
      <c r="CG53" s="51">
        <f t="shared" si="11"/>
        <v>6495</v>
      </c>
      <c r="CH53" s="51">
        <f t="shared" si="12"/>
        <v>862</v>
      </c>
      <c r="CI53" s="51">
        <f>INT(SUMPRODUCT($N53:$R53,$BA53:$BE53)/SUM($BA53:$BE53)/10000*$BX$7*$BZ$34/'疲劳值&amp;地图信息'!$R$10*$BY$53)</f>
        <v>2845</v>
      </c>
      <c r="CJ53" s="50">
        <f t="shared" si="13"/>
        <v>0.63663987453440507</v>
      </c>
      <c r="CK53" s="50">
        <f t="shared" si="14"/>
        <v>8.4493236620270529E-2</v>
      </c>
      <c r="CL53" s="50">
        <f t="shared" si="15"/>
        <v>0.27886688884532446</v>
      </c>
      <c r="CM53" s="14">
        <f t="shared" si="16"/>
        <v>6721</v>
      </c>
      <c r="CN53" s="14">
        <f t="shared" si="17"/>
        <v>1148</v>
      </c>
      <c r="CO53" s="14">
        <f>INT(SUMPRODUCT($U53:$Y53,$BA53:$BE53)/SUM($BA53:$BE53)/10000*$BX$7*$BZ$34/'疲劳值&amp;地图信息'!$R$10*$BY$54)</f>
        <v>4846</v>
      </c>
      <c r="CP53" s="50">
        <f t="shared" si="18"/>
        <v>0.52858828155721593</v>
      </c>
      <c r="CQ53" s="50">
        <f t="shared" si="19"/>
        <v>9.0287062524577272E-2</v>
      </c>
      <c r="CR53" s="50">
        <f t="shared" si="20"/>
        <v>0.38112465591820682</v>
      </c>
      <c r="CS53" s="14">
        <f t="shared" si="21"/>
        <v>7099</v>
      </c>
      <c r="CT53" s="14">
        <f t="shared" si="22"/>
        <v>1973</v>
      </c>
      <c r="CU53" s="14">
        <f>INT(SUMPRODUCT($AB53:$AF53,$BA53:$BE53)/SUM($BA53:$BE53)/10000*$BX$7*$BZ$34/'疲劳值&amp;地图信息'!$R$10*$BY$55)</f>
        <v>6580</v>
      </c>
      <c r="CV53" s="50">
        <f t="shared" si="23"/>
        <v>0.45355226169179658</v>
      </c>
      <c r="CW53" s="50">
        <f t="shared" si="24"/>
        <v>0.12605417837975977</v>
      </c>
      <c r="CX53" s="50">
        <f t="shared" si="25"/>
        <v>0.42039355992844363</v>
      </c>
      <c r="CY53" s="14">
        <f t="shared" si="26"/>
        <v>8131</v>
      </c>
      <c r="CZ53" s="14">
        <f t="shared" si="27"/>
        <v>5358</v>
      </c>
      <c r="DA53" s="14">
        <f>INT(SUMPRODUCT($AI53:$AM53,$BA53:$BE53)/SUM($BA53:$BE53)/10000*$BX$7*$BZ$34/'疲劳值&amp;地图信息'!$R$10*$BY$56)</f>
        <v>9918</v>
      </c>
      <c r="DB53" s="50">
        <f t="shared" si="28"/>
        <v>0.34737471696501049</v>
      </c>
      <c r="DC53" s="50">
        <f t="shared" si="29"/>
        <v>0.22890588285555602</v>
      </c>
      <c r="DD53" s="50">
        <f t="shared" si="30"/>
        <v>0.42371940017943349</v>
      </c>
      <c r="DE53" s="14">
        <f t="shared" si="31"/>
        <v>8383</v>
      </c>
      <c r="DF53" s="14">
        <f t="shared" si="32"/>
        <v>9869</v>
      </c>
      <c r="DG53" s="14">
        <f>INT(SUMPRODUCT($AP53:$AT53,$BA53:$BE53)/SUM($BA53:$BE53)/10000*$BX$7*$BZ$34/'疲劳值&amp;地图信息'!$R$10*$BY$57)</f>
        <v>13243</v>
      </c>
      <c r="DH53" s="50">
        <f t="shared" si="33"/>
        <v>0.26616923321162089</v>
      </c>
      <c r="DI53" s="50">
        <f t="shared" si="34"/>
        <v>0.31335132560723922</v>
      </c>
      <c r="DJ53" s="50">
        <f t="shared" si="35"/>
        <v>0.42047944118113989</v>
      </c>
      <c r="DL53" s="14">
        <f t="shared" si="106"/>
        <v>10202</v>
      </c>
      <c r="DM53" s="14">
        <f t="shared" si="107"/>
        <v>12715</v>
      </c>
      <c r="DN53" s="14">
        <f t="shared" si="108"/>
        <v>15652</v>
      </c>
      <c r="DO53" s="14">
        <f t="shared" si="109"/>
        <v>23407</v>
      </c>
      <c r="DP53" s="14">
        <f t="shared" si="110"/>
        <v>31495</v>
      </c>
      <c r="DQ53" s="14">
        <f t="shared" si="111"/>
        <v>646255</v>
      </c>
      <c r="DT53" s="14">
        <f t="shared" si="105"/>
        <v>235575</v>
      </c>
      <c r="DU53" s="50">
        <f t="shared" si="7"/>
        <v>0.26714332694510279</v>
      </c>
      <c r="DW53" s="14">
        <f t="shared" si="36"/>
        <v>881830</v>
      </c>
      <c r="EB53" s="14">
        <v>48</v>
      </c>
      <c r="EC53" s="51">
        <f t="shared" si="37"/>
        <v>10825</v>
      </c>
      <c r="ED53" s="51">
        <f t="shared" si="38"/>
        <v>1436</v>
      </c>
      <c r="EE53" s="51">
        <f>INT(SUMPRODUCT($N53:$R53,$BF53:$BJ53)/SUM($BF53:$BJ53)/10000*$BX$7*$BZ$46/'疲劳值&amp;地图信息'!$R$10*$BY$53)</f>
        <v>381</v>
      </c>
      <c r="EF53" s="50">
        <f t="shared" si="39"/>
        <v>0.85627274165480149</v>
      </c>
      <c r="EG53" s="50">
        <f t="shared" si="40"/>
        <v>0.11358962189526974</v>
      </c>
      <c r="EH53" s="50">
        <f t="shared" si="41"/>
        <v>3.0137636449928808E-2</v>
      </c>
      <c r="EI53" s="51">
        <f t="shared" si="42"/>
        <v>11201</v>
      </c>
      <c r="EJ53" s="51">
        <f t="shared" si="43"/>
        <v>1913</v>
      </c>
      <c r="EK53" s="14">
        <f>INT(SUMPRODUCT($U53:$Y53,$BF53:$BJ53)/SUM($BF53:$BJ53)/10000*$BX$7*$BZ$46/'疲劳值&amp;地图信息'!$R$10*$BY$54)</f>
        <v>650</v>
      </c>
      <c r="EL53" s="50">
        <f t="shared" si="44"/>
        <v>0.81378959604766055</v>
      </c>
      <c r="EM53" s="50">
        <f t="shared" si="45"/>
        <v>0.1389857599535019</v>
      </c>
      <c r="EN53" s="50">
        <f t="shared" si="46"/>
        <v>4.7224643998837544E-2</v>
      </c>
      <c r="EO53" s="51">
        <f t="shared" si="47"/>
        <v>11832</v>
      </c>
      <c r="EP53" s="51">
        <f t="shared" si="48"/>
        <v>3289</v>
      </c>
      <c r="EQ53" s="14">
        <f>INT(SUMPRODUCT($AB53:$AF53,$BF53:$BJ53)/SUM($BF53:$BJ53)/10000*$BX$7*$BZ$46/'疲劳值&amp;地图信息'!$R$10*$BY$55)</f>
        <v>881</v>
      </c>
      <c r="ER53" s="50">
        <f t="shared" si="49"/>
        <v>0.73940757405324331</v>
      </c>
      <c r="ES53" s="50">
        <f t="shared" si="50"/>
        <v>0.20553680789901263</v>
      </c>
      <c r="ET53" s="50">
        <f t="shared" si="51"/>
        <v>5.5055618047744032E-2</v>
      </c>
      <c r="EU53" s="51">
        <f t="shared" si="52"/>
        <v>13552</v>
      </c>
      <c r="EV53" s="51">
        <f t="shared" si="53"/>
        <v>8931</v>
      </c>
      <c r="EW53" s="14">
        <f>INT(SUMPRODUCT($AI53:$AM53,$BF53:$BJ53)/SUM($BF53:$BJ53)/10000*$BX$7*$BZ$46/'疲劳值&amp;地图信息'!$R$10*$BY$56)</f>
        <v>1322</v>
      </c>
      <c r="EX53" s="50">
        <f t="shared" si="54"/>
        <v>0.56929216551144712</v>
      </c>
      <c r="EY53" s="50">
        <f t="shared" si="55"/>
        <v>0.37517328292375551</v>
      </c>
      <c r="EZ53" s="50">
        <f t="shared" si="56"/>
        <v>5.5534551564797315E-2</v>
      </c>
      <c r="FA53" s="51">
        <f t="shared" si="57"/>
        <v>13972</v>
      </c>
      <c r="FB53" s="51">
        <f t="shared" si="58"/>
        <v>16449</v>
      </c>
      <c r="FC53" s="14">
        <f>INT(SUMPRODUCT($AP53:$AT53,$BF53:$BJ53)/SUM($BF53:$BJ53)/10000*$BX$7*$BZ$46/'疲劳值&amp;地图信息'!$R$10*$BY$57)</f>
        <v>1763</v>
      </c>
      <c r="FD53" s="50">
        <f t="shared" si="59"/>
        <v>0.43412875963211534</v>
      </c>
      <c r="FE53" s="50">
        <f t="shared" si="60"/>
        <v>0.51109246830723343</v>
      </c>
      <c r="FF53" s="50">
        <f t="shared" si="61"/>
        <v>5.4778772060651258E-2</v>
      </c>
      <c r="FH53" s="14">
        <f t="shared" si="62"/>
        <v>12642</v>
      </c>
      <c r="FI53" s="14">
        <f t="shared" si="63"/>
        <v>13764</v>
      </c>
      <c r="FJ53" s="14">
        <f t="shared" si="64"/>
        <v>16002</v>
      </c>
      <c r="FK53" s="14">
        <f t="shared" si="65"/>
        <v>23805</v>
      </c>
      <c r="FL53" s="14">
        <f t="shared" si="66"/>
        <v>32184</v>
      </c>
      <c r="FM53" s="14">
        <f t="shared" si="67"/>
        <v>1454371</v>
      </c>
      <c r="FP53" s="14">
        <f t="shared" si="68"/>
        <v>334150</v>
      </c>
      <c r="FQ53" s="50">
        <f t="shared" si="8"/>
        <v>0.1868303475329616</v>
      </c>
      <c r="FS53" s="14">
        <f t="shared" si="69"/>
        <v>1788521</v>
      </c>
      <c r="FX53" s="14">
        <v>48</v>
      </c>
      <c r="FY53" s="51">
        <f t="shared" si="70"/>
        <v>15156</v>
      </c>
      <c r="FZ53" s="51">
        <f t="shared" si="71"/>
        <v>1436</v>
      </c>
      <c r="GA53" s="51">
        <f>INT(SUMPRODUCT($N53:$R53,$BF53:$BJ53)/SUM($BF53:$BJ53)/10000*$BX$7*$BZ$46/'疲劳值&amp;地图信息'!$R$10*$BY$53)</f>
        <v>381</v>
      </c>
      <c r="GB53" s="50">
        <f t="shared" si="72"/>
        <v>0.89294762269486827</v>
      </c>
      <c r="GC53" s="50">
        <f t="shared" si="73"/>
        <v>8.4604960820126085E-2</v>
      </c>
      <c r="GD53" s="50">
        <f t="shared" si="74"/>
        <v>2.2447416485005596E-2</v>
      </c>
      <c r="GE53" s="51">
        <f t="shared" si="75"/>
        <v>15682</v>
      </c>
      <c r="GF53" s="51">
        <f t="shared" si="76"/>
        <v>1913</v>
      </c>
      <c r="GG53" s="14">
        <f>INT(SUMPRODUCT($U53:$Y53,$BF53:$BJ53)/SUM($BF53:$BJ53)/10000*$BX$7*$BZ$46/'疲劳值&amp;地图信息'!$R$10*$BY$54)</f>
        <v>650</v>
      </c>
      <c r="GH53" s="50">
        <f t="shared" si="77"/>
        <v>0.85952315702932314</v>
      </c>
      <c r="GI53" s="50">
        <f t="shared" si="78"/>
        <v>0.1048506440120581</v>
      </c>
      <c r="GJ53" s="50">
        <f t="shared" si="79"/>
        <v>3.56261989586188E-2</v>
      </c>
      <c r="GK53" s="51">
        <f t="shared" si="80"/>
        <v>16565</v>
      </c>
      <c r="GL53" s="51">
        <f t="shared" si="81"/>
        <v>3289</v>
      </c>
      <c r="GM53" s="14">
        <f>INT(SUMPRODUCT($AB53:$AF53,$BF53:$BJ53)/SUM($BF53:$BJ53)/10000*$BX$7*$BZ$46/'疲劳值&amp;地图信息'!$R$10*$BY$55)</f>
        <v>881</v>
      </c>
      <c r="GN53" s="50">
        <f t="shared" si="82"/>
        <v>0.79889076440800577</v>
      </c>
      <c r="GO53" s="50">
        <f t="shared" si="83"/>
        <v>0.15862068965517243</v>
      </c>
      <c r="GP53" s="50">
        <f t="shared" si="84"/>
        <v>4.2488545936821796E-2</v>
      </c>
      <c r="GQ53" s="51">
        <f t="shared" si="85"/>
        <v>18973</v>
      </c>
      <c r="GR53" s="51">
        <f t="shared" si="86"/>
        <v>8931</v>
      </c>
      <c r="GS53" s="14">
        <f>INT(SUMPRODUCT($AI53:$AM53,$BF53:$BJ53)/SUM($BF53:$BJ53)/10000*$BX$7*$BZ$46/'疲劳值&amp;地图信息'!$R$10*$BY$56)</f>
        <v>1322</v>
      </c>
      <c r="GT53" s="50">
        <f t="shared" si="87"/>
        <v>0.64918223499623617</v>
      </c>
      <c r="GU53" s="50">
        <f t="shared" si="88"/>
        <v>0.3055840689796756</v>
      </c>
      <c r="GV53" s="50">
        <f t="shared" si="89"/>
        <v>4.5233696024088138E-2</v>
      </c>
      <c r="GW53" s="51">
        <f t="shared" si="90"/>
        <v>19561</v>
      </c>
      <c r="GX53" s="51">
        <f t="shared" si="91"/>
        <v>16449</v>
      </c>
      <c r="GY53" s="14">
        <f>INT(SUMPRODUCT($AP53:$AT53,$BF53:$BJ53)/SUM($BF53:$BJ53)/10000*$BX$7*$BZ$46/'疲劳值&amp;地图信息'!$R$10*$BY$57)</f>
        <v>1763</v>
      </c>
      <c r="GZ53" s="50">
        <f t="shared" si="92"/>
        <v>0.51785667010827841</v>
      </c>
      <c r="HA53" s="50">
        <f t="shared" si="93"/>
        <v>0.43546978000158842</v>
      </c>
      <c r="HB53" s="50">
        <f t="shared" si="94"/>
        <v>4.6673549890133163E-2</v>
      </c>
      <c r="HD53" s="14">
        <f t="shared" si="95"/>
        <v>16973</v>
      </c>
      <c r="HE53" s="14">
        <f t="shared" si="96"/>
        <v>18245</v>
      </c>
      <c r="HF53" s="14">
        <f t="shared" si="97"/>
        <v>20735</v>
      </c>
      <c r="HG53" s="14">
        <f t="shared" si="98"/>
        <v>29226</v>
      </c>
      <c r="HH53" s="14">
        <f t="shared" si="99"/>
        <v>37773</v>
      </c>
      <c r="HI53" s="14">
        <f t="shared" si="100"/>
        <v>1922952</v>
      </c>
      <c r="HL53" s="14">
        <f t="shared" si="101"/>
        <v>430050</v>
      </c>
      <c r="HM53" s="50">
        <f t="shared" si="9"/>
        <v>0.18276652548531622</v>
      </c>
      <c r="HO53" s="14">
        <f t="shared" si="102"/>
        <v>2353002</v>
      </c>
    </row>
    <row r="54" spans="11:223" x14ac:dyDescent="0.2">
      <c r="K54" s="14">
        <v>49</v>
      </c>
      <c r="L54" s="12">
        <f>求节点(节奏总纲!D$4:D$163,标准城池设计!AB$4:AB$163,$K54)*求节点(节奏总纲!D$4:D$163,攻城基础信息!$AC$5:$AC$164,$K54)</f>
        <v>311176.40613470861</v>
      </c>
      <c r="M54" s="12">
        <f>INDEX(其他调用!$AA$5:$AA$404,MATCH(K54,其他调用!$X$5:$X$404,0))*MIN(INDEX(其他调用!$AH$5:$AH$364,MATCH('征服点（新）'!K54,其他调用!$AG$5:$AG$364,0),1)/INDEX(其他调用!$AJ$5:$AJ$364,MATCH(K54,其他调用!$AG$5:$AG$364,0),0),5)*求节点(节奏总纲!D$4:D$163,攻城基础信息!$AC$5:$AC$164,$K54)</f>
        <v>40643.927187201007</v>
      </c>
      <c r="N54" s="12">
        <f>MIN(INDEX(其他调用!$AH$5:$AH$364,MATCH($K54,其他调用!$AG$5:$AG$364,0),1)/INDEX(其他调用!AH$5:AH$364,MATCH($K54,其他调用!$AG$5:$AG$364,0),0),1)*INDEX(其他调用!Y$5:Y$404,MATCH($K54,其他调用!$X$5:$X$404,0),0)</f>
        <v>32129.627683911021</v>
      </c>
      <c r="O54" s="12">
        <f>MIN(INDEX(其他调用!$AH$5:$AH$364,MATCH($K54,其他调用!$AG$5:$AG$364,0),1)/INDEX(其他调用!AI$5:AI$364,MATCH($K54,其他调用!$AG$5:$AG$364,0),0),1)*INDEX(其他调用!Z$5:Z$404,MATCH($K54,其他调用!$X$5:$X$404,0),0)</f>
        <v>25027.111763788926</v>
      </c>
      <c r="P54" s="12">
        <f>MIN(INDEX(其他调用!$AH$5:$AH$364,MATCH($K54,其他调用!$AG$5:$AG$364,0),1)/INDEX(其他调用!AJ$5:AJ$364,MATCH($K54,其他调用!$AG$5:$AG$364,0),0),1)*INDEX(其他调用!AA$5:AA$404,MATCH($K54,其他调用!$X$5:$X$404,0),0)</f>
        <v>14973.808138865368</v>
      </c>
      <c r="Q54" s="12">
        <f>MIN(INDEX(其他调用!$AH$5:$AH$364,MATCH($K54,其他调用!$AG$5:$AG$364,0),1)/INDEX(其他调用!AK$5:AK$364,MATCH($K54,其他调用!$AG$5:$AG$364,0),0),1)*INDEX(其他调用!AB$5:AB$404,MATCH($K54,其他调用!$X$5:$X$404,0),0)</f>
        <v>5888.19840735465</v>
      </c>
      <c r="R54" s="12">
        <f>MIN(INDEX(其他调用!$AH$5:$AH$364,MATCH($K54,其他调用!$AG$5:$AG$364,0),1)/INDEX(其他调用!AL$5:AL$364,MATCH($K54,其他调用!$AG$5:$AG$364,0),0),1)*INDEX(其他调用!AC$5:AC$404,MATCH($K54,其他调用!$X$5:$X$404,0),0)</f>
        <v>1963.1803594299765</v>
      </c>
      <c r="S54" s="12">
        <f>求节点(节奏总纲!D$4:D$163,标准城池设计!AC$4:AC$163,$K54)*求节点(节奏总纲!D$4:D$163,攻城基础信息!$AD$5:$AD$164,$K54)</f>
        <v>322371.3762479655</v>
      </c>
      <c r="T54" s="12">
        <f>INDEX(其他调用!$AA$5:$AA$404,MATCH($K54,其他调用!$X$5:$X$404,0))*MIN(INDEX(其他调用!AI$5:AI$364,MATCH($K54,其他调用!$AG$5:$AG$364,0),1)/INDEX(其他调用!$AJ$5:$AJ$364,MATCH($K54,其他调用!$AG$5:$AG$364,0),0),5)*求节点(节奏总纲!D$4:D$163,攻城基础信息!$AD$5:$AD$164,$K54)</f>
        <v>53931.115305498948</v>
      </c>
      <c r="U54" s="12">
        <f>MIN(INDEX(其他调用!$AI$5:$AI$364,MATCH($K54,其他调用!$AG$5:$AG$364,0),1)/INDEX(其他调用!AH$5:AH$364,MATCH($K54,其他调用!$AG$5:$AG$364,0),0),1)*INDEX(其他调用!Y$5:Y$404,MATCH($K54,其他调用!$X$5:$X$404,0),0)</f>
        <v>32129.627683911021</v>
      </c>
      <c r="V54" s="12">
        <f>MIN(INDEX(其他调用!$AI$5:$AI$364,MATCH($K54,其他调用!$AG$5:$AG$364,0),1)/INDEX(其他调用!AI$5:AI$364,MATCH($K54,其他调用!$AG$5:$AG$364,0),0),1)*INDEX(其他调用!Z$5:Z$404,MATCH($K54,其他调用!$X$5:$X$404,0),0)</f>
        <v>33208.898443296843</v>
      </c>
      <c r="W54" s="12">
        <f>MIN(INDEX(其他调用!$AI$5:$AI$364,MATCH($K54,其他调用!$AG$5:$AG$364,0),1)/INDEX(其他调用!AJ$5:AJ$364,MATCH($K54,其他调用!$AG$5:$AG$364,0),0),1)*INDEX(其他调用!AA$5:AA$404,MATCH($K54,其他调用!$X$5:$X$404,0),0)</f>
        <v>19868.999606757243</v>
      </c>
      <c r="X54" s="12">
        <f>MIN(INDEX(其他调用!$AI$5:$AI$364,MATCH($K54,其他调用!$AG$5:$AG$364,0),1)/INDEX(其他调用!AK$5:AK$364,MATCH($K54,其他调用!$AG$5:$AG$364,0),0),1)*INDEX(其他调用!AB$5:AB$404,MATCH($K54,其他调用!$X$5:$X$404,0),0)</f>
        <v>7813.1501856616705</v>
      </c>
      <c r="Y54" s="12">
        <f>MIN(INDEX(其他调用!$AI$5:$AI$364,MATCH($K54,其他调用!$AG$5:$AG$364,0),1)/INDEX(其他调用!AL$5:AL$364,MATCH($K54,其他调用!$AG$5:$AG$364,0),0),1)*INDEX(其他调用!AC$5:AC$404,MATCH($K54,其他调用!$X$5:$X$404,0),0)</f>
        <v>2604.9772661547831</v>
      </c>
      <c r="Z54" s="12">
        <f>求节点(节奏总纲!D$4:D$163,标准城池设计!AD$4:AD$163,$K54)*求节点(节奏总纲!D$4:D$163,攻城基础信息!$AE$5:$AE$164,$K54)</f>
        <v>340385.12822267122</v>
      </c>
      <c r="AA54" s="12">
        <f>INDEX(其他调用!$AA$5:$AA$404,MATCH($K54,其他调用!$X$5:$X$404,0))*MIN(INDEX(其他调用!AJ$5:AJ$364,MATCH($K54,其他调用!$AG$5:$AG$364,0),1)/INDEX(其他调用!$AJ$5:$AJ$364,MATCH($K54,其他调用!$AG$5:$AG$364,0),0),5)*求节点(节奏总纲!D$4:D$163,攻城基础信息!$AE$5:$AE$164,$K54)</f>
        <v>94171.851625385098</v>
      </c>
      <c r="AB54" s="12">
        <f>MIN(INDEX(其他调用!$AJ$5:$AJ$364,MATCH($K54,其他调用!$AG$5:$AG$364,0),1)/INDEX(其他调用!AH$5:AH$364,MATCH($K54,其他调用!$AG$5:$AG$364,0),0),1)*INDEX(其他调用!Y$5:Y$404,MATCH($K54,其他调用!$X$5:$X$404,0),0)</f>
        <v>32129.627683911021</v>
      </c>
      <c r="AC54" s="12">
        <f>MIN(INDEX(其他调用!$AJ$5:$AJ$364,MATCH($K54,其他调用!$AG$5:$AG$364,0),1)/INDEX(其他调用!AI$5:AI$364,MATCH($K54,其他调用!$AG$5:$AG$364,0),0),1)*INDEX(其他调用!Z$5:Z$404,MATCH($K54,其他调用!$X$5:$X$404,0),0)</f>
        <v>33208.898443296843</v>
      </c>
      <c r="AD54" s="12">
        <f>MIN(INDEX(其他调用!$AJ$5:$AJ$364,MATCH($K54,其他调用!$AG$5:$AG$364,0),1)/INDEX(其他调用!AJ$5:AJ$364,MATCH($K54,其他调用!$AG$5:$AG$364,0),0),1)*INDEX(其他调用!AA$5:AA$404,MATCH($K54,其他调用!$X$5:$X$404,0),0)</f>
        <v>34694.266423257075</v>
      </c>
      <c r="AE54" s="12">
        <f>MIN(INDEX(其他调用!$AJ$5:$AJ$364,MATCH($K54,其他调用!$AG$5:$AG$364,0),1)/INDEX(其他调用!AK$5:AK$364,MATCH($K54,其他调用!$AG$5:$AG$364,0),0),1)*INDEX(其他调用!AB$5:AB$404,MATCH($K54,其他调用!$X$5:$X$404,0),0)</f>
        <v>13642.937214316407</v>
      </c>
      <c r="AF54" s="12">
        <f>MIN(INDEX(其他调用!$AJ$5:$AJ$364,MATCH($K54,其他调用!$AG$5:$AG$364,0),1)/INDEX(其他调用!AL$5:AL$364,MATCH($K54,其他调用!$AG$5:$AG$364,0),0),1)*INDEX(其他调用!AC$5:AC$404,MATCH($K54,其他调用!$X$5:$X$404,0),0)</f>
        <v>4548.6827262186544</v>
      </c>
      <c r="AG54" s="12">
        <f>求节点(节奏总纲!D$4:D$163,标准城池设计!AE$4:AE$163,$K54)*求节点(节奏总纲!D$4:D$163,攻城基础信息!$AF$5:$AF$164,$K54)</f>
        <v>389262.58361786592</v>
      </c>
      <c r="AH54" s="12">
        <f>INDEX(其他调用!$AA$5:$AA$404,MATCH($K54,其他调用!$X$5:$X$404,0))*MIN(INDEX(其他调用!AK$5:AK$364,MATCH($K54,其他调用!$AG$5:$AG$364,0),1)/INDEX(其他调用!$AJ$5:$AJ$364,MATCH($K54,其他调用!$AG$5:$AG$364,0),0),5)*求节点(节奏总纲!D$4:D$163,攻城基础信息!$AF$5:$AF$164,$K54)</f>
        <v>254347.71816079729</v>
      </c>
      <c r="AI54" s="12">
        <f>MIN(INDEX(其他调用!$AK$5:$AK$364,MATCH($K54,其他调用!$AG$5:$AG$364,0),1)/INDEX(其他调用!AH$5:AH$364,MATCH($K54,其他调用!$AG$5:$AG$364,0),0),1)*INDEX(其他调用!Y$5:Y$404,MATCH($K54,其他调用!$X$5:$X$404,0),0)</f>
        <v>32129.627683911021</v>
      </c>
      <c r="AJ54" s="12">
        <f>MIN(INDEX(其他调用!$AK$5:$AK$364,MATCH($K54,其他调用!$AG$5:$AG$364,0),1)/INDEX(其他调用!AI$5:AI$364,MATCH($K54,其他调用!$AG$5:$AG$364,0),0),1)*INDEX(其他调用!Z$5:Z$404,MATCH($K54,其他调用!$X$5:$X$404,0),0)</f>
        <v>33208.898443296843</v>
      </c>
      <c r="AK54" s="12">
        <f>MIN(INDEX(其他调用!$AK$5:$AK$364,MATCH($K54,其他调用!$AG$5:$AG$364,0),1)/INDEX(其他调用!AJ$5:AJ$364,MATCH($K54,其他调用!$AG$5:$AG$364,0),0),1)*INDEX(其他调用!AA$5:AA$404,MATCH($K54,其他调用!$X$5:$X$404,0),0)</f>
        <v>34694.266423257075</v>
      </c>
      <c r="AL54" s="12">
        <f>MIN(INDEX(其他调用!$AK$5:$AK$364,MATCH($K54,其他调用!$AG$5:$AG$364,0),1)/INDEX(其他调用!AK$5:AK$364,MATCH($K54,其他调用!$AG$5:$AG$364,0),0),1)*INDEX(其他调用!AB$5:AB$404,MATCH($K54,其他调用!$X$5:$X$404,0),0)</f>
        <v>36848.059049281888</v>
      </c>
      <c r="AM54" s="12">
        <f>MIN(INDEX(其他调用!$AK$5:$AK$364,MATCH($K54,其他调用!$AG$5:$AG$364,0),1)/INDEX(其他调用!AL$5:AL$364,MATCH($K54,其他调用!$AG$5:$AG$364,0),0),1)*INDEX(其他调用!AC$5:AC$404,MATCH($K54,其他调用!$X$5:$X$404,0),0)</f>
        <v>12285.487139548617</v>
      </c>
      <c r="AN54" s="12">
        <f>求节点(节奏总纲!D$4:D$163,标准城池设计!AF$4:AF$163,$K54)*求节点(节奏总纲!D$4:D$163,攻城基础信息!$AG$5:$AG$164,$K54)</f>
        <v>401447.12819096341</v>
      </c>
      <c r="AO54" s="12">
        <f>INDEX(其他调用!$AA$5:$AA$404,MATCH($K54,其他调用!$X$5:$X$404,0))*MIN(INDEX(其他调用!AL$5:AL$364,MATCH($K54,其他调用!$AG$5:$AG$364,0),1)/INDEX(其他调用!$AJ$5:$AJ$364,MATCH($K54,其他调用!$AG$5:$AG$364,0),0),5)*求节点(节奏总纲!D$4:D$163,攻城基础信息!$AG$5:$AG$164,$K54)</f>
        <v>470859.25812692544</v>
      </c>
      <c r="AP54" s="12">
        <f>MIN(INDEX(其他调用!$AL$5:$AL$364,MATCH($K54,其他调用!$AG$5:$AG$364,0),1)/INDEX(其他调用!AH$5:AH$364,MATCH($K54,其他调用!$AG$5:$AG$364,0),0),1)*INDEX(其他调用!Y$5:Y$404,MATCH($K54,其他调用!$X$5:$X$404,0),0)</f>
        <v>32129.627683911021</v>
      </c>
      <c r="AQ54" s="12">
        <f>MIN(INDEX(其他调用!$AL$5:$AL$364,MATCH($K54,其他调用!$AG$5:$AG$364,0),1)/INDEX(其他调用!AI$5:AI$364,MATCH($K54,其他调用!$AG$5:$AG$364,0),0),1)*INDEX(其他调用!Z$5:Z$404,MATCH($K54,其他调用!$X$5:$X$404,0),0)</f>
        <v>33208.898443296843</v>
      </c>
      <c r="AR54" s="12">
        <f>MIN(INDEX(其他调用!$AL$5:$AL$364,MATCH($K54,其他调用!$AG$5:$AG$364,0),1)/INDEX(其他调用!AJ$5:AJ$364,MATCH($K54,其他调用!$AG$5:$AG$364,0),0),1)*INDEX(其他调用!AA$5:AA$404,MATCH($K54,其他调用!$X$5:$X$404,0),0)</f>
        <v>34694.266423257075</v>
      </c>
      <c r="AS54" s="12">
        <f>MIN(INDEX(其他调用!$AL$5:$AL$364,MATCH($K54,其他调用!$AG$5:$AG$364,0),1)/INDEX(其他调用!AK$5:AK$364,MATCH($K54,其他调用!$AG$5:$AG$364,0),0),1)*INDEX(其他调用!AB$5:AB$404,MATCH($K54,其他调用!$X$5:$X$404,0),0)</f>
        <v>36848.059049281888</v>
      </c>
      <c r="AT54" s="12">
        <f>MIN(INDEX(其他调用!$AL$5:$AL$364,MATCH($K54,其他调用!$AG$5:$AG$364,0),1)/INDEX(其他调用!AL$5:AL$364,MATCH($K54,其他调用!$AG$5:$AG$364,0),0),1)*INDEX(其他调用!AC$5:AC$404,MATCH($K54,其他调用!$X$5:$X$404,0),0)</f>
        <v>40685.649247631816</v>
      </c>
      <c r="AV54" s="14">
        <f>IF(OR(AV$5="大R",AV$5="超R"),MAX(INDEX(其他调用!$H$5:$L$404,MATCH($K54,其他调用!$B$5:$B$404,0),MATCH(AV$5,其他调用!$H$4:$L$4,0))*120*0.85,2),INDEX(其他调用!$H$5:$L$404,MATCH($K54,其他调用!$B$5:$B$404,0),MATCH(AV$5,其他调用!$H$4:$L$4,0))*120*0.85)</f>
        <v>52.691194170000017</v>
      </c>
      <c r="AW54" s="14">
        <f>IF(OR(AW$5="大R",AW$5="超R"),MAX(INDEX(其他调用!$H$5:$L$404,MATCH($K54,其他调用!$B$5:$B$404,0),MATCH(AW$5,其他调用!$H$4:$L$4,0))*120*0.85,2),INDEX(其他调用!$H$5:$L$404,MATCH($K54,其他调用!$B$5:$B$404,0),MATCH(AW$5,其他调用!$H$4:$L$4,0))*120*0.85)</f>
        <v>44.661839864687977</v>
      </c>
      <c r="AX54" s="14">
        <f>IF(OR(AX$5="大R",AX$5="超R"),MAX(INDEX(其他调用!$H$5:$L$404,MATCH($K54,其他调用!$B$5:$B$404,0),MATCH(AX$5,其他调用!$H$4:$L$4,0))*120*0.85,2),INDEX(其他调用!$H$5:$L$404,MATCH($K54,其他调用!$B$5:$B$404,0),MATCH(AX$5,其他调用!$H$4:$L$4,0))*120*0.85)</f>
        <v>3.8515454853120001</v>
      </c>
      <c r="AY54" s="14">
        <f>IF(OR(AY$5="大R",AY$5="超R"),MAX(INDEX(其他调用!$H$5:$L$404,MATCH($K54,其他调用!$B$5:$B$404,0),MATCH(AY$5,其他调用!$H$4:$L$4,0))*120*0.85,2),INDEX(其他调用!$H$5:$L$404,MATCH($K54,其他调用!$B$5:$B$404,0),MATCH(AY$5,其他调用!$H$4:$L$4,0))*120*0.85)</f>
        <v>2</v>
      </c>
      <c r="AZ54" s="14">
        <f>IF(OR(AZ$5="大R",AZ$5="超R"),MAX(INDEX(其他调用!$H$5:$L$404,MATCH($K54,其他调用!$B$5:$B$404,0),MATCH(AZ$5,其他调用!$H$4:$L$4,0))*120*0.85,2),INDEX(其他调用!$H$5:$L$404,MATCH($K54,其他调用!$B$5:$B$404,0),MATCH(AZ$5,其他调用!$H$4:$L$4,0))*120*0.85)</f>
        <v>2</v>
      </c>
      <c r="BA54" s="14">
        <f>INDEX(其他调用!$H$5:$L$404,MATCH($K54,其他调用!$B$5:$B$404,0),MATCH(BA$5,其他调用!$H$4:$L$4,0))*INDEX(其他调用!$M$5:$M$404,MATCH($K54,其他调用!$B$5:$B$404,0))*0.6</f>
        <v>28.808869629789484</v>
      </c>
      <c r="BB54" s="14">
        <f>INDEX(其他调用!$H$5:$L$404,MATCH($K54,其他调用!$B$5:$B$404,0),MATCH(BB$5,其他调用!$H$4:$L$4,0))*INDEX(其他调用!$M$5:$M$404,MATCH($K54,其他调用!$B$5:$B$404,0))*0.6</f>
        <v>24.418826378030641</v>
      </c>
      <c r="BC54" s="14">
        <f>INDEX(其他调用!$H$5:$L$404,MATCH($K54,其他调用!$B$5:$B$404,0),MATCH(BC$5,其他调用!$H$4:$L$4,0))*INDEX(其他调用!$M$5:$M$404,MATCH($K54,其他调用!$B$5:$B$404,0))*0.6</f>
        <v>2.1058295130219791</v>
      </c>
      <c r="BD54" s="14">
        <f>INDEX(其他调用!$H$5:$L$404,MATCH($K54,其他调用!$B$5:$B$404,0),MATCH(BD$5,其他调用!$H$4:$L$4,0))*INDEX(其他调用!$M$5:$M$404,MATCH($K54,其他调用!$B$5:$B$404,0))*0.6</f>
        <v>0.34441684547368434</v>
      </c>
      <c r="BE54" s="14">
        <f>INDEX(其他调用!$H$5:$L$404,MATCH($K54,其他调用!$B$5:$B$404,0),MATCH(BE$5,其他调用!$H$4:$L$4,0))*INDEX(其他调用!$M$5:$M$404,MATCH($K54,其他调用!$B$5:$B$404,0))*0.6</f>
        <v>9.0478686315789467E-2</v>
      </c>
      <c r="BF54" s="14">
        <f>IF(OR(BF$5="大R",BF$5="超R"),0,INDEX(其他调用!$H$5:$L$404,MATCH($K54,其他调用!$B$5:$B$404,0),MATCH(BF$5,其他调用!$H$4:$L$4,0))*50*0.4)</f>
        <v>10.331606700000005</v>
      </c>
      <c r="BG54" s="14">
        <f>IF(OR(BG$5="大R",BG$5="超R"),0,INDEX(其他调用!$H$5:$L$404,MATCH($K54,其他调用!$B$5:$B$404,0),MATCH(BG$5,其他调用!$H$4:$L$4,0))*50*0.4)</f>
        <v>8.757223502879997</v>
      </c>
      <c r="BH54" s="14">
        <f>IF(OR(BH$5="大R",BH$5="超R"),0,INDEX(其他调用!$H$5:$L$404,MATCH($K54,其他调用!$B$5:$B$404,0),MATCH(BH$5,其他调用!$H$4:$L$4,0))*50*0.4)</f>
        <v>0.75520499712000011</v>
      </c>
      <c r="BI54" s="14">
        <f>IF(OR(BI$5="大R",BI$5="超R"),0,INDEX(其他调用!$H$5:$L$404,MATCH($K54,其他调用!$B$5:$B$404,0),MATCH(BI$5,其他调用!$H$4:$L$4,0))*50*0.4)</f>
        <v>0</v>
      </c>
      <c r="BJ54" s="14">
        <f>IF(OR(BJ$5="大R",BJ$5="超R"),0,INDEX(其他调用!$H$5:$L$404,MATCH($K54,其他调用!$B$5:$B$404,0),MATCH(BJ$5,其他调用!$H$4:$L$4,0))*50*0.4)</f>
        <v>0</v>
      </c>
      <c r="BL54" s="14">
        <f t="shared" si="103"/>
        <v>49</v>
      </c>
      <c r="BM54" s="14">
        <f t="shared" si="10"/>
        <v>96</v>
      </c>
      <c r="BN54" s="14">
        <f>('疲劳值&amp;地图信息'!$S$10*'疲劳值&amp;地图信息'!$R$10+'疲劳值&amp;地图信息'!$S$11*'疲劳值&amp;地图信息'!$R$11+'疲劳值&amp;地图信息'!$S$12*'疲劳值&amp;地图信息'!$R$12+(BM54-'疲劳值&amp;地图信息'!$S$12-'疲劳值&amp;地图信息'!$S$11-'疲劳值&amp;地图信息'!$S$10)*'疲劳值&amp;地图信息'!$R$13)/BM54</f>
        <v>51.371477246638619</v>
      </c>
      <c r="BO54" s="14">
        <f>INDEX(其他调用!$M$5:$M$404,MATCH(BL54,其他调用!$B$5:$B$404,0))*0.6</f>
        <v>55.768421052631574</v>
      </c>
      <c r="BP54" s="14">
        <f>IF(BO54&gt;SUM('疲劳值&amp;地图信息'!$S$10:$S$12),('疲劳值&amp;地图信息'!$S$10*'疲劳值&amp;地图信息'!$R$10+'疲劳值&amp;地图信息'!$S$11*'疲劳值&amp;地图信息'!$R$11+'疲劳值&amp;地图信息'!$S$12*'疲劳值&amp;地图信息'!$R$12+(BO54-'疲劳值&amp;地图信息'!$S$12-'疲劳值&amp;地图信息'!$S$11-'疲劳值&amp;地图信息'!$S$10)*'疲劳值&amp;地图信息'!$R$13)/BO54,('疲劳值&amp;地图信息'!$S$10*'疲劳值&amp;地图信息'!$R$10+'疲劳值&amp;地图信息'!$S$11*'疲劳值&amp;地图信息'!$R$11+'疲劳值&amp;地图信息'!$S$12*'疲劳值&amp;地图信息'!$R$12+(BO54-'疲劳值&amp;地图信息'!$S$12-'疲劳值&amp;地图信息'!$S$11-'疲劳值&amp;地图信息'!$S$10)*'疲劳值&amp;地图信息'!$R$13)/BO54)</f>
        <v>42.698585294004026</v>
      </c>
      <c r="BQ54" s="14">
        <f t="shared" si="104"/>
        <v>20</v>
      </c>
      <c r="BR54" s="14">
        <f>('疲劳值&amp;地图信息'!$S$10*'疲劳值&amp;地图信息'!$R$10+($BQ54-'疲劳值&amp;地图信息'!$S$10)*'疲劳值&amp;地图信息'!$R$11)/$BQ54</f>
        <v>32.067203015074995</v>
      </c>
      <c r="BW54" s="14" t="s">
        <v>15</v>
      </c>
      <c r="BX54" s="14" t="s">
        <v>483</v>
      </c>
      <c r="BY54" s="49">
        <v>0.3</v>
      </c>
      <c r="CF54" s="14">
        <v>49</v>
      </c>
      <c r="CG54" s="51">
        <f t="shared" si="11"/>
        <v>6558</v>
      </c>
      <c r="CH54" s="51">
        <f t="shared" si="12"/>
        <v>856</v>
      </c>
      <c r="CI54" s="51">
        <f>INT(SUMPRODUCT($N54:$R54,$BA54:$BE54)/SUM($BA54:$BE54)/10000*$BX$7*$BZ$34/'疲劳值&amp;地图信息'!$R$10*$BY$53)</f>
        <v>2857</v>
      </c>
      <c r="CJ54" s="50">
        <f t="shared" si="13"/>
        <v>0.63849673838964072</v>
      </c>
      <c r="CK54" s="50">
        <f t="shared" si="14"/>
        <v>8.3341446791938473E-2</v>
      </c>
      <c r="CL54" s="50">
        <f t="shared" si="15"/>
        <v>0.27816181481842078</v>
      </c>
      <c r="CM54" s="14">
        <f t="shared" si="16"/>
        <v>6794</v>
      </c>
      <c r="CN54" s="14">
        <f t="shared" si="17"/>
        <v>1136</v>
      </c>
      <c r="CO54" s="14">
        <f>INT(SUMPRODUCT($U54:$Y54,$BA54:$BE54)/SUM($BA54:$BE54)/10000*$BX$7*$BZ$34/'疲劳值&amp;地图信息'!$R$10*$BY$54)</f>
        <v>4861</v>
      </c>
      <c r="CP54" s="50">
        <f t="shared" si="18"/>
        <v>0.53115471816120707</v>
      </c>
      <c r="CQ54" s="50">
        <f t="shared" si="19"/>
        <v>8.8812446251270424E-2</v>
      </c>
      <c r="CR54" s="50">
        <f t="shared" si="20"/>
        <v>0.38003283558752249</v>
      </c>
      <c r="CS54" s="14">
        <f t="shared" si="21"/>
        <v>7174</v>
      </c>
      <c r="CT54" s="14">
        <f t="shared" si="22"/>
        <v>1984</v>
      </c>
      <c r="CU54" s="14">
        <f>INT(SUMPRODUCT($AB54:$AF54,$BA54:$BE54)/SUM($BA54:$BE54)/10000*$BX$7*$BZ$34/'疲劳值&amp;地图信息'!$R$10*$BY$55)</f>
        <v>6603</v>
      </c>
      <c r="CV54" s="50">
        <f t="shared" si="23"/>
        <v>0.45517416407588351</v>
      </c>
      <c r="CW54" s="50">
        <f t="shared" si="24"/>
        <v>0.12588033754203415</v>
      </c>
      <c r="CX54" s="50">
        <f t="shared" si="25"/>
        <v>0.41894549838208234</v>
      </c>
      <c r="CY54" s="14">
        <f t="shared" si="26"/>
        <v>8204</v>
      </c>
      <c r="CZ54" s="14">
        <f t="shared" si="27"/>
        <v>5361</v>
      </c>
      <c r="DA54" s="14">
        <f>INT(SUMPRODUCT($AI54:$AM54,$BA54:$BE54)/SUM($BA54:$BE54)/10000*$BX$7*$BZ$34/'疲劳值&amp;地图信息'!$R$10*$BY$56)</f>
        <v>9952</v>
      </c>
      <c r="DB54" s="50">
        <f t="shared" si="28"/>
        <v>0.34885402049581155</v>
      </c>
      <c r="DC54" s="50">
        <f t="shared" si="29"/>
        <v>0.22796275035081004</v>
      </c>
      <c r="DD54" s="50">
        <f t="shared" si="30"/>
        <v>0.42318322915337842</v>
      </c>
      <c r="DE54" s="14">
        <f t="shared" si="31"/>
        <v>8461</v>
      </c>
      <c r="DF54" s="14">
        <f t="shared" si="32"/>
        <v>9924</v>
      </c>
      <c r="DG54" s="14">
        <f>INT(SUMPRODUCT($AP54:$AT54,$BA54:$BE54)/SUM($BA54:$BE54)/10000*$BX$7*$BZ$34/'疲劳值&amp;地图信息'!$R$10*$BY$57)</f>
        <v>13289</v>
      </c>
      <c r="DH54" s="50">
        <f t="shared" si="33"/>
        <v>0.26712761255288248</v>
      </c>
      <c r="DI54" s="50">
        <f t="shared" si="34"/>
        <v>0.31331691608259138</v>
      </c>
      <c r="DJ54" s="50">
        <f t="shared" si="35"/>
        <v>0.41955547136452609</v>
      </c>
      <c r="DL54" s="14">
        <f t="shared" si="106"/>
        <v>10271</v>
      </c>
      <c r="DM54" s="14">
        <f t="shared" si="107"/>
        <v>12791</v>
      </c>
      <c r="DN54" s="14">
        <f t="shared" si="108"/>
        <v>15761</v>
      </c>
      <c r="DO54" s="14">
        <f t="shared" si="109"/>
        <v>23517</v>
      </c>
      <c r="DP54" s="14">
        <f t="shared" si="110"/>
        <v>31674</v>
      </c>
      <c r="DQ54" s="14">
        <f t="shared" si="111"/>
        <v>652392</v>
      </c>
      <c r="DT54" s="14">
        <f t="shared" si="105"/>
        <v>235575</v>
      </c>
      <c r="DU54" s="50">
        <f t="shared" si="7"/>
        <v>0.26529702117308412</v>
      </c>
      <c r="DW54" s="14">
        <f t="shared" si="36"/>
        <v>887967</v>
      </c>
      <c r="EB54" s="14">
        <v>49</v>
      </c>
      <c r="EC54" s="51">
        <f t="shared" si="37"/>
        <v>10931</v>
      </c>
      <c r="ED54" s="51">
        <f t="shared" si="38"/>
        <v>1427</v>
      </c>
      <c r="EE54" s="51">
        <f>INT(SUMPRODUCT($N54:$R54,$BF54:$BJ54)/SUM($BF54:$BJ54)/10000*$BX$7*$BZ$46/'疲劳值&amp;地图信息'!$R$10*$BY$53)</f>
        <v>383</v>
      </c>
      <c r="EF54" s="50">
        <f t="shared" si="39"/>
        <v>0.85793893728906678</v>
      </c>
      <c r="EG54" s="50">
        <f t="shared" si="40"/>
        <v>0.11200062789419983</v>
      </c>
      <c r="EH54" s="50">
        <f t="shared" si="41"/>
        <v>3.0060434816733379E-2</v>
      </c>
      <c r="EI54" s="51">
        <f t="shared" si="42"/>
        <v>11324</v>
      </c>
      <c r="EJ54" s="51">
        <f t="shared" si="43"/>
        <v>1894</v>
      </c>
      <c r="EK54" s="14">
        <f>INT(SUMPRODUCT($U54:$Y54,$BF54:$BJ54)/SUM($BF54:$BJ54)/10000*$BX$7*$BZ$46/'疲劳值&amp;地图信息'!$R$10*$BY$54)</f>
        <v>652</v>
      </c>
      <c r="EL54" s="50">
        <f t="shared" si="44"/>
        <v>0.81643835616438354</v>
      </c>
      <c r="EM54" s="50">
        <f t="shared" si="45"/>
        <v>0.13655371304974764</v>
      </c>
      <c r="EN54" s="50">
        <f t="shared" si="46"/>
        <v>4.7007930785868783E-2</v>
      </c>
      <c r="EO54" s="51">
        <f t="shared" si="47"/>
        <v>11957</v>
      </c>
      <c r="EP54" s="51">
        <f t="shared" si="48"/>
        <v>3308</v>
      </c>
      <c r="EQ54" s="14">
        <f>INT(SUMPRODUCT($AB54:$AF54,$BF54:$BJ54)/SUM($BF54:$BJ54)/10000*$BX$7*$BZ$46/'疲劳值&amp;地图信息'!$R$10*$BY$55)</f>
        <v>884</v>
      </c>
      <c r="ER54" s="50">
        <f t="shared" si="49"/>
        <v>0.74041736330422936</v>
      </c>
      <c r="ES54" s="50">
        <f t="shared" si="50"/>
        <v>0.20484240510248314</v>
      </c>
      <c r="ET54" s="50">
        <f t="shared" si="51"/>
        <v>5.474023159328751E-2</v>
      </c>
      <c r="EU54" s="51">
        <f t="shared" si="52"/>
        <v>13674</v>
      </c>
      <c r="EV54" s="51">
        <f t="shared" si="53"/>
        <v>8935</v>
      </c>
      <c r="EW54" s="14">
        <f>INT(SUMPRODUCT($AI54:$AM54,$BF54:$BJ54)/SUM($BF54:$BJ54)/10000*$BX$7*$BZ$46/'疲劳值&amp;地图信息'!$R$10*$BY$56)</f>
        <v>1327</v>
      </c>
      <c r="EX54" s="50">
        <f t="shared" si="54"/>
        <v>0.57127339572192515</v>
      </c>
      <c r="EY54" s="50">
        <f t="shared" si="55"/>
        <v>0.37328709893048129</v>
      </c>
      <c r="EZ54" s="50">
        <f t="shared" si="56"/>
        <v>5.5439505347593586E-2</v>
      </c>
      <c r="FA54" s="51">
        <f t="shared" si="57"/>
        <v>14102</v>
      </c>
      <c r="FB54" s="51">
        <f t="shared" si="58"/>
        <v>16541</v>
      </c>
      <c r="FC54" s="14">
        <f>INT(SUMPRODUCT($AP54:$AT54,$BF54:$BJ54)/SUM($BF54:$BJ54)/10000*$BX$7*$BZ$46/'疲劳值&amp;地图信息'!$R$10*$BY$57)</f>
        <v>1769</v>
      </c>
      <c r="FD54" s="50">
        <f t="shared" si="59"/>
        <v>0.43508577070220905</v>
      </c>
      <c r="FE54" s="50">
        <f t="shared" si="60"/>
        <v>0.51033567814389735</v>
      </c>
      <c r="FF54" s="50">
        <f t="shared" si="61"/>
        <v>5.4578551153893623E-2</v>
      </c>
      <c r="FH54" s="14">
        <f t="shared" si="62"/>
        <v>12741</v>
      </c>
      <c r="FI54" s="14">
        <f t="shared" si="63"/>
        <v>13870</v>
      </c>
      <c r="FJ54" s="14">
        <f t="shared" si="64"/>
        <v>16149</v>
      </c>
      <c r="FK54" s="14">
        <f t="shared" si="65"/>
        <v>23936</v>
      </c>
      <c r="FL54" s="14">
        <f t="shared" si="66"/>
        <v>32412</v>
      </c>
      <c r="FM54" s="14">
        <f t="shared" si="67"/>
        <v>1465692</v>
      </c>
      <c r="FP54" s="14">
        <f t="shared" si="68"/>
        <v>334150</v>
      </c>
      <c r="FQ54" s="50">
        <f t="shared" si="8"/>
        <v>0.18565518528848643</v>
      </c>
      <c r="FS54" s="14">
        <f t="shared" si="69"/>
        <v>1799842</v>
      </c>
      <c r="FX54" s="14">
        <v>49</v>
      </c>
      <c r="FY54" s="51">
        <f t="shared" si="70"/>
        <v>15304</v>
      </c>
      <c r="FZ54" s="51">
        <f t="shared" si="71"/>
        <v>1427</v>
      </c>
      <c r="GA54" s="51">
        <f>INT(SUMPRODUCT($N54:$R54,$BF54:$BJ54)/SUM($BF54:$BJ54)/10000*$BX$7*$BZ$46/'疲劳值&amp;地图信息'!$R$10*$BY$53)</f>
        <v>383</v>
      </c>
      <c r="GB54" s="50">
        <f t="shared" si="72"/>
        <v>0.89423863503564338</v>
      </c>
      <c r="GC54" s="50">
        <f t="shared" si="73"/>
        <v>8.3382026411125396E-2</v>
      </c>
      <c r="GD54" s="50">
        <f t="shared" si="74"/>
        <v>2.2379338553231272E-2</v>
      </c>
      <c r="GE54" s="51">
        <f t="shared" si="75"/>
        <v>15854</v>
      </c>
      <c r="GF54" s="51">
        <f t="shared" si="76"/>
        <v>1894</v>
      </c>
      <c r="GG54" s="14">
        <f>INT(SUMPRODUCT($U54:$Y54,$BF54:$BJ54)/SUM($BF54:$BJ54)/10000*$BX$7*$BZ$46/'疲劳值&amp;地图信息'!$R$10*$BY$54)</f>
        <v>652</v>
      </c>
      <c r="GH54" s="50">
        <f t="shared" si="77"/>
        <v>0.8616304347826087</v>
      </c>
      <c r="GI54" s="50">
        <f t="shared" si="78"/>
        <v>0.10293478260869565</v>
      </c>
      <c r="GJ54" s="50">
        <f t="shared" si="79"/>
        <v>3.5434782608695654E-2</v>
      </c>
      <c r="GK54" s="51">
        <f t="shared" si="80"/>
        <v>16740</v>
      </c>
      <c r="GL54" s="51">
        <f t="shared" si="81"/>
        <v>3308</v>
      </c>
      <c r="GM54" s="14">
        <f>INT(SUMPRODUCT($AB54:$AF54,$BF54:$BJ54)/SUM($BF54:$BJ54)/10000*$BX$7*$BZ$46/'疲劳值&amp;地图信息'!$R$10*$BY$55)</f>
        <v>884</v>
      </c>
      <c r="GN54" s="50">
        <f t="shared" si="82"/>
        <v>0.799732467036117</v>
      </c>
      <c r="GO54" s="50">
        <f t="shared" si="83"/>
        <v>0.15803554366520162</v>
      </c>
      <c r="GP54" s="50">
        <f t="shared" si="84"/>
        <v>4.2231989298681445E-2</v>
      </c>
      <c r="GQ54" s="51">
        <f t="shared" si="85"/>
        <v>19144</v>
      </c>
      <c r="GR54" s="51">
        <f t="shared" si="86"/>
        <v>8935</v>
      </c>
      <c r="GS54" s="14">
        <f>INT(SUMPRODUCT($AI54:$AM54,$BF54:$BJ54)/SUM($BF54:$BJ54)/10000*$BX$7*$BZ$46/'疲劳值&amp;地图信息'!$R$10*$BY$56)</f>
        <v>1327</v>
      </c>
      <c r="GT54" s="50">
        <f t="shared" si="87"/>
        <v>0.65102360062572262</v>
      </c>
      <c r="GU54" s="50">
        <f t="shared" si="88"/>
        <v>0.30384955451268447</v>
      </c>
      <c r="GV54" s="50">
        <f t="shared" si="89"/>
        <v>4.5126844861592873E-2</v>
      </c>
      <c r="GW54" s="51">
        <f t="shared" si="90"/>
        <v>19743</v>
      </c>
      <c r="GX54" s="51">
        <f t="shared" si="91"/>
        <v>16541</v>
      </c>
      <c r="GY54" s="14">
        <f>INT(SUMPRODUCT($AP54:$AT54,$BF54:$BJ54)/SUM($BF54:$BJ54)/10000*$BX$7*$BZ$46/'疲劳值&amp;地图信息'!$R$10*$BY$57)</f>
        <v>1769</v>
      </c>
      <c r="GZ54" s="50">
        <f t="shared" si="92"/>
        <v>0.51882900165558565</v>
      </c>
      <c r="HA54" s="50">
        <f t="shared" si="93"/>
        <v>0.43468320500354768</v>
      </c>
      <c r="HB54" s="50">
        <f t="shared" si="94"/>
        <v>4.6487793340866689E-2</v>
      </c>
      <c r="HD54" s="14">
        <f t="shared" si="95"/>
        <v>17114</v>
      </c>
      <c r="HE54" s="14">
        <f t="shared" si="96"/>
        <v>18400</v>
      </c>
      <c r="HF54" s="14">
        <f t="shared" si="97"/>
        <v>20932</v>
      </c>
      <c r="HG54" s="14">
        <f t="shared" si="98"/>
        <v>29406</v>
      </c>
      <c r="HH54" s="14">
        <f t="shared" si="99"/>
        <v>38053</v>
      </c>
      <c r="HI54" s="14">
        <f t="shared" si="100"/>
        <v>1939073</v>
      </c>
      <c r="HL54" s="14">
        <f t="shared" si="101"/>
        <v>430050</v>
      </c>
      <c r="HM54" s="50">
        <f t="shared" si="9"/>
        <v>0.18152286732263373</v>
      </c>
      <c r="HO54" s="14">
        <f t="shared" si="102"/>
        <v>2369123</v>
      </c>
    </row>
    <row r="55" spans="11:223" x14ac:dyDescent="0.2">
      <c r="K55" s="14">
        <v>50</v>
      </c>
      <c r="L55" s="12">
        <f>求节点(节奏总纲!D$4:D$163,标准城池设计!AB$4:AB$163,$K55)*求节点(节奏总纲!D$4:D$163,攻城基础信息!$AC$5:$AC$164,$K55)</f>
        <v>314623.87312165427</v>
      </c>
      <c r="M55" s="12">
        <f>INDEX(其他调用!$AA$5:$AA$404,MATCH(K55,其他调用!$X$5:$X$404,0))*MIN(INDEX(其他调用!$AH$5:$AH$364,MATCH('征服点（新）'!K55,其他调用!$AG$5:$AG$364,0),1)/INDEX(其他调用!$AJ$5:$AJ$364,MATCH(K55,其他调用!$AG$5:$AG$364,0),0),5)*求节点(节奏总纲!D$4:D$163,攻城基础信息!$AC$5:$AC$164,$K55)</f>
        <v>40479.259718626556</v>
      </c>
      <c r="N55" s="12">
        <f>MIN(INDEX(其他调用!$AH$5:$AH$364,MATCH($K55,其他调用!$AG$5:$AG$364,0),1)/INDEX(其他调用!AH$5:AH$364,MATCH($K55,其他调用!$AG$5:$AG$364,0),0),1)*INDEX(其他调用!Y$5:Y$404,MATCH($K55,其他调用!$X$5:$X$404,0),0)</f>
        <v>32238.835639146688</v>
      </c>
      <c r="O55" s="12">
        <f>MIN(INDEX(其他调用!$AH$5:$AH$364,MATCH($K55,其他调用!$AG$5:$AG$364,0),1)/INDEX(其他调用!AI$5:AI$364,MATCH($K55,其他调用!$AG$5:$AG$364,0),0),1)*INDEX(其他调用!Z$5:Z$404,MATCH($K55,其他调用!$X$5:$X$404,0),0)</f>
        <v>25203.369135149827</v>
      </c>
      <c r="P55" s="12">
        <f>MIN(INDEX(其他调用!$AH$5:$AH$364,MATCH($K55,其他调用!$AG$5:$AG$364,0),1)/INDEX(其他调用!AJ$5:AJ$364,MATCH($K55,其他调用!$AG$5:$AG$364,0),0),1)*INDEX(其他调用!AA$5:AA$404,MATCH($K55,其他调用!$X$5:$X$404,0),0)</f>
        <v>14860.719099808444</v>
      </c>
      <c r="Q55" s="12">
        <f>MIN(INDEX(其他调用!$AH$5:$AH$364,MATCH($K55,其他调用!$AG$5:$AG$364,0),1)/INDEX(其他调用!AK$5:AK$364,MATCH($K55,其他调用!$AG$5:$AG$364,0),0),1)*INDEX(其他调用!AB$5:AB$404,MATCH($K55,其他调用!$X$5:$X$404,0),0)</f>
        <v>5870.3121898751215</v>
      </c>
      <c r="R55" s="12">
        <f>MIN(INDEX(其他调用!$AH$5:$AH$364,MATCH($K55,其他调用!$AG$5:$AG$364,0),1)/INDEX(其他调用!AL$5:AL$364,MATCH($K55,其他调用!$AG$5:$AG$364,0),0),1)*INDEX(其他调用!AC$5:AC$404,MATCH($K55,其他调用!$X$5:$X$404,0),0)</f>
        <v>1955.6592422537576</v>
      </c>
      <c r="S55" s="12">
        <f>求节点(节奏总纲!D$4:D$163,标准城池设计!AC$4:AC$163,$K55)*求节点(节奏总纲!D$4:D$163,攻城基础信息!$AD$5:$AD$164,$K55)</f>
        <v>326330.67914323811</v>
      </c>
      <c r="T55" s="12">
        <f>INDEX(其他调用!$AA$5:$AA$404,MATCH($K55,其他调用!$X$5:$X$404,0))*MIN(INDEX(其他调用!AI$5:AI$364,MATCH($K55,其他调用!$AG$5:$AG$364,0),1)/INDEX(其他调用!$AJ$5:$AJ$364,MATCH($K55,其他调用!$AG$5:$AG$364,0),0),5)*求节点(节奏总纲!D$4:D$163,攻城基础信息!$AD$5:$AD$164,$K55)</f>
        <v>53520.220997675839</v>
      </c>
      <c r="U55" s="12">
        <f>MIN(INDEX(其他调用!$AI$5:$AI$364,MATCH($K55,其他调用!$AG$5:$AG$364,0),1)/INDEX(其他调用!AH$5:AH$364,MATCH($K55,其他调用!$AG$5:$AG$364,0),0),1)*INDEX(其他调用!Y$5:Y$404,MATCH($K55,其他调用!$X$5:$X$404,0),0)</f>
        <v>32238.835639146688</v>
      </c>
      <c r="V55" s="12">
        <f>MIN(INDEX(其他调用!$AI$5:$AI$364,MATCH($K55,其他调用!$AG$5:$AG$364,0),1)/INDEX(其他调用!AI$5:AI$364,MATCH($K55,其他调用!$AG$5:$AG$364,0),0),1)*INDEX(其他调用!Z$5:Z$404,MATCH($K55,其他调用!$X$5:$X$404,0),0)</f>
        <v>33322.988003620238</v>
      </c>
      <c r="W55" s="12">
        <f>MIN(INDEX(其他调用!$AI$5:$AI$364,MATCH($K55,其他调用!$AG$5:$AG$364,0),1)/INDEX(其他调用!AJ$5:AJ$364,MATCH($K55,其他调用!$AG$5:$AG$364,0),0),1)*INDEX(其他调用!AA$5:AA$404,MATCH($K55,其他调用!$X$5:$X$404,0),0)</f>
        <v>19648.308193742731</v>
      </c>
      <c r="X55" s="12">
        <f>MIN(INDEX(其他调用!$AI$5:$AI$364,MATCH($K55,其他调用!$AG$5:$AG$364,0),1)/INDEX(其他调用!AK$5:AK$364,MATCH($K55,其他调用!$AG$5:$AG$364,0),0),1)*INDEX(其他调用!AB$5:AB$404,MATCH($K55,其他调用!$X$5:$X$404,0),0)</f>
        <v>7761.5155986386899</v>
      </c>
      <c r="Y55" s="12">
        <f>MIN(INDEX(其他调用!$AI$5:$AI$364,MATCH($K55,其他调用!$AG$5:$AG$364,0),1)/INDEX(其他调用!AL$5:AL$364,MATCH($K55,其他调用!$AG$5:$AG$364,0),0),1)*INDEX(其他调用!AC$5:AC$404,MATCH($K55,其他调用!$X$5:$X$404,0),0)</f>
        <v>2585.7022971545512</v>
      </c>
      <c r="Z55" s="12">
        <f>求节点(节奏总纲!D$4:D$163,标准城池设计!AD$4:AD$163,$K55)*求节点(节奏总纲!D$4:D$163,攻城基础信息!$AE$5:$AE$164,$K55)</f>
        <v>344432.20105503284</v>
      </c>
      <c r="AA55" s="12">
        <f>INDEX(其他调用!$AA$5:$AA$404,MATCH($K55,其他调用!$X$5:$X$404,0))*MIN(INDEX(其他调用!AJ$5:AJ$364,MATCH($K55,其他调用!$AG$5:$AG$364,0),1)/INDEX(其他调用!$AJ$5:$AJ$364,MATCH($K55,其他调用!$AG$5:$AG$364,0),0),5)*求节点(节奏总纲!D$4:D$163,攻城基础信息!$AE$5:$AE$164,$K55)</f>
        <v>94824.727852945143</v>
      </c>
      <c r="AB55" s="12">
        <f>MIN(INDEX(其他调用!$AJ$5:$AJ$364,MATCH($K55,其他调用!$AG$5:$AG$364,0),1)/INDEX(其他调用!AH$5:AH$364,MATCH($K55,其他调用!$AG$5:$AG$364,0),0),1)*INDEX(其他调用!Y$5:Y$404,MATCH($K55,其他调用!$X$5:$X$404,0),0)</f>
        <v>32238.835639146688</v>
      </c>
      <c r="AC55" s="12">
        <f>MIN(INDEX(其他调用!$AJ$5:$AJ$364,MATCH($K55,其他调用!$AG$5:$AG$364,0),1)/INDEX(其他调用!AI$5:AI$364,MATCH($K55,其他调用!$AG$5:$AG$364,0),0),1)*INDEX(其他调用!Z$5:Z$404,MATCH($K55,其他调用!$X$5:$X$404,0),0)</f>
        <v>33322.988003620238</v>
      </c>
      <c r="AD55" s="12">
        <f>MIN(INDEX(其他调用!$AJ$5:$AJ$364,MATCH($K55,其他调用!$AG$5:$AG$364,0),1)/INDEX(其他调用!AJ$5:AJ$364,MATCH($K55,其他调用!$AG$5:$AG$364,0),0),1)*INDEX(其他调用!AA$5:AA$404,MATCH($K55,其他调用!$X$5:$X$404,0),0)</f>
        <v>34811.991477452146</v>
      </c>
      <c r="AE55" s="12">
        <f>MIN(INDEX(其他调用!$AJ$5:$AJ$364,MATCH($K55,其他调用!$AG$5:$AG$364,0),1)/INDEX(其他调用!AK$5:AK$364,MATCH($K55,其他调用!$AG$5:$AG$364,0),0),1)*INDEX(其他调用!AB$5:AB$404,MATCH($K55,其他调用!$X$5:$X$404,0),0)</f>
        <v>13751.505331027374</v>
      </c>
      <c r="AF55" s="12">
        <f>MIN(INDEX(其他调用!$AJ$5:$AJ$364,MATCH($K55,其他调用!$AG$5:$AG$364,0),1)/INDEX(其他调用!AL$5:AL$364,MATCH($K55,其他调用!$AG$5:$AG$364,0),0),1)*INDEX(其他调用!AC$5:AC$404,MATCH($K55,其他调用!$X$5:$X$404,0),0)</f>
        <v>4581.2313937766239</v>
      </c>
      <c r="AG55" s="12">
        <f>求节点(节奏总纲!D$4:D$163,标准城池设计!AE$4:AE$163,$K55)*求节点(节奏总纲!D$4:D$163,攻城基础信息!$AF$5:$AF$164,$K55)</f>
        <v>393294.73976392869</v>
      </c>
      <c r="AH55" s="12">
        <f>INDEX(其他调用!$AA$5:$AA$404,MATCH($K55,其他调用!$X$5:$X$404,0))*MIN(INDEX(其他调用!AK$5:AK$364,MATCH($K55,其他调用!$AG$5:$AG$364,0),1)/INDEX(其他调用!$AJ$5:$AJ$364,MATCH($K55,其他调用!$AG$5:$AG$364,0),0),5)*求节点(节奏总纲!D$4:D$163,攻城基础信息!$AF$5:$AF$164,$K55)</f>
        <v>254903.8826883107</v>
      </c>
      <c r="AI55" s="12">
        <f>MIN(INDEX(其他调用!$AK$5:$AK$364,MATCH($K55,其他调用!$AG$5:$AG$364,0),1)/INDEX(其他调用!AH$5:AH$364,MATCH($K55,其他调用!$AG$5:$AG$364,0),0),1)*INDEX(其他调用!Y$5:Y$404,MATCH($K55,其他调用!$X$5:$X$404,0),0)</f>
        <v>32238.835639146688</v>
      </c>
      <c r="AJ55" s="12">
        <f>MIN(INDEX(其他调用!$AK$5:$AK$364,MATCH($K55,其他调用!$AG$5:$AG$364,0),1)/INDEX(其他调用!AI$5:AI$364,MATCH($K55,其他调用!$AG$5:$AG$364,0),0),1)*INDEX(其他调用!Z$5:Z$404,MATCH($K55,其他调用!$X$5:$X$404,0),0)</f>
        <v>33322.988003620238</v>
      </c>
      <c r="AK55" s="12">
        <f>MIN(INDEX(其他调用!$AK$5:$AK$364,MATCH($K55,其他调用!$AG$5:$AG$364,0),1)/INDEX(其他调用!AJ$5:AJ$364,MATCH($K55,其他调用!$AG$5:$AG$364,0),0),1)*INDEX(其他调用!AA$5:AA$404,MATCH($K55,其他调用!$X$5:$X$404,0),0)</f>
        <v>34811.991477452146</v>
      </c>
      <c r="AL55" s="12">
        <f>MIN(INDEX(其他调用!$AK$5:$AK$364,MATCH($K55,其他调用!$AG$5:$AG$364,0),1)/INDEX(其他调用!AK$5:AK$364,MATCH($K55,其他调用!$AG$5:$AG$364,0),0),1)*INDEX(其他调用!AB$5:AB$404,MATCH($K55,其他调用!$X$5:$X$404,0),0)</f>
        <v>36966.22369561602</v>
      </c>
      <c r="AM55" s="12">
        <f>MIN(INDEX(其他调用!$AK$5:$AK$364,MATCH($K55,其他调用!$AG$5:$AG$364,0),1)/INDEX(其他调用!AL$5:AL$364,MATCH($K55,其他调用!$AG$5:$AG$364,0),0),1)*INDEX(其他调用!AC$5:AC$404,MATCH($K55,其他调用!$X$5:$X$404,0),0)</f>
        <v>12315.075362812897</v>
      </c>
      <c r="AN55" s="12">
        <f>求节点(节奏总纲!D$4:D$163,标准城池设计!AF$4:AF$163,$K55)*求节点(节奏总纲!D$4:D$163,攻城基础信息!$AG$5:$AG$164,$K55)</f>
        <v>405723.33676621929</v>
      </c>
      <c r="AO55" s="12">
        <f>INDEX(其他调用!$AA$5:$AA$404,MATCH($K55,其他调用!$X$5:$X$404,0))*MIN(INDEX(其他调用!AL$5:AL$364,MATCH($K55,其他调用!$AG$5:$AG$364,0),1)/INDEX(其他调用!$AJ$5:$AJ$364,MATCH($K55,其他调用!$AG$5:$AG$364,0),0),5)*求节点(节奏总纲!D$4:D$163,攻城基础信息!$AG$5:$AG$164,$K55)</f>
        <v>474123.63926472573</v>
      </c>
      <c r="AP55" s="12">
        <f>MIN(INDEX(其他调用!$AL$5:$AL$364,MATCH($K55,其他调用!$AG$5:$AG$364,0),1)/INDEX(其他调用!AH$5:AH$364,MATCH($K55,其他调用!$AG$5:$AG$364,0),0),1)*INDEX(其他调用!Y$5:Y$404,MATCH($K55,其他调用!$X$5:$X$404,0),0)</f>
        <v>32238.835639146688</v>
      </c>
      <c r="AQ55" s="12">
        <f>MIN(INDEX(其他调用!$AL$5:$AL$364,MATCH($K55,其他调用!$AG$5:$AG$364,0),1)/INDEX(其他调用!AI$5:AI$364,MATCH($K55,其他调用!$AG$5:$AG$364,0),0),1)*INDEX(其他调用!Z$5:Z$404,MATCH($K55,其他调用!$X$5:$X$404,0),0)</f>
        <v>33322.988003620238</v>
      </c>
      <c r="AR55" s="12">
        <f>MIN(INDEX(其他调用!$AL$5:$AL$364,MATCH($K55,其他调用!$AG$5:$AG$364,0),1)/INDEX(其他调用!AJ$5:AJ$364,MATCH($K55,其他调用!$AG$5:$AG$364,0),0),1)*INDEX(其他调用!AA$5:AA$404,MATCH($K55,其他调用!$X$5:$X$404,0),0)</f>
        <v>34811.991477452146</v>
      </c>
      <c r="AS55" s="12">
        <f>MIN(INDEX(其他调用!$AL$5:$AL$364,MATCH($K55,其他调用!$AG$5:$AG$364,0),1)/INDEX(其他调用!AK$5:AK$364,MATCH($K55,其他调用!$AG$5:$AG$364,0),0),1)*INDEX(其他调用!AB$5:AB$404,MATCH($K55,其他调用!$X$5:$X$404,0),0)</f>
        <v>36966.22369561602</v>
      </c>
      <c r="AT55" s="12">
        <f>MIN(INDEX(其他调用!$AL$5:$AL$364,MATCH($K55,其他调用!$AG$5:$AG$364,0),1)/INDEX(其他调用!AL$5:AL$364,MATCH($K55,其他调用!$AG$5:$AG$364,0),0),1)*INDEX(其他调用!AC$5:AC$404,MATCH($K55,其他调用!$X$5:$X$404,0),0)</f>
        <v>40797.726713151533</v>
      </c>
      <c r="AV55" s="14">
        <f>IF(OR(AV$5="大R",AV$5="超R"),MAX(INDEX(其他调用!$H$5:$L$404,MATCH($K55,其他调用!$B$5:$B$404,0),MATCH(AV$5,其他调用!$H$4:$L$4,0))*120*0.85,2),INDEX(其他调用!$H$5:$L$404,MATCH($K55,其他调用!$B$5:$B$404,0),MATCH(AV$5,其他调用!$H$4:$L$4,0))*120*0.85)</f>
        <v>52.582597690909104</v>
      </c>
      <c r="AW55" s="14">
        <f>IF(OR(AW$5="大R",AW$5="超R"),MAX(INDEX(其他调用!$H$5:$L$404,MATCH($K55,其他调用!$B$5:$B$404,0),MATCH(AW$5,其他调用!$H$4:$L$4,0))*120*0.85,2),INDEX(其他调用!$H$5:$L$404,MATCH($K55,其他调用!$B$5:$B$404,0),MATCH(AW$5,其他调用!$H$4:$L$4,0))*120*0.85)</f>
        <v>44.76494684413089</v>
      </c>
      <c r="AX55" s="14">
        <f>IF(OR(AX$5="大R",AX$5="超R"),MAX(INDEX(其他调用!$H$5:$L$404,MATCH($K55,其他调用!$B$5:$B$404,0),MATCH(AX$5,其他调用!$H$4:$L$4,0))*120*0.85,2),INDEX(其他调用!$H$5:$L$404,MATCH($K55,其他调用!$B$5:$B$404,0),MATCH(AX$5,其他调用!$H$4:$L$4,0))*120*0.85)</f>
        <v>3.8540810649599999</v>
      </c>
      <c r="AY55" s="14">
        <f>IF(OR(AY$5="大R",AY$5="超R"),MAX(INDEX(其他调用!$H$5:$L$404,MATCH($K55,其他调用!$B$5:$B$404,0),MATCH(AY$5,其他调用!$H$4:$L$4,0))*120*0.85,2),INDEX(其他调用!$H$5:$L$404,MATCH($K55,其他调用!$B$5:$B$404,0),MATCH(AY$5,其他调用!$H$4:$L$4,0))*120*0.85)</f>
        <v>2</v>
      </c>
      <c r="AZ55" s="14">
        <f>IF(OR(AZ$5="大R",AZ$5="超R"),MAX(INDEX(其他调用!$H$5:$L$404,MATCH($K55,其他调用!$B$5:$B$404,0),MATCH(AZ$5,其他调用!$H$4:$L$4,0))*120*0.85,2),INDEX(其他调用!$H$5:$L$404,MATCH($K55,其他调用!$B$5:$B$404,0),MATCH(AZ$5,其他调用!$H$4:$L$4,0))*120*0.85)</f>
        <v>2</v>
      </c>
      <c r="BA55" s="14">
        <f>INDEX(其他调用!$H$5:$L$404,MATCH($K55,其他调用!$B$5:$B$404,0),MATCH(BA$5,其他调用!$H$4:$L$4,0))*INDEX(其他调用!$M$5:$M$404,MATCH($K55,其他调用!$B$5:$B$404,0))*0.6</f>
        <v>28.830891798947377</v>
      </c>
      <c r="BB55" s="14">
        <f>INDEX(其他调用!$H$5:$L$404,MATCH($K55,其他调用!$B$5:$B$404,0),MATCH(BB$5,其他调用!$H$4:$L$4,0))*INDEX(其他调用!$M$5:$M$404,MATCH($K55,其他调用!$B$5:$B$404,0))*0.6</f>
        <v>24.54449562258694</v>
      </c>
      <c r="BC55" s="14">
        <f>INDEX(其他调用!$H$5:$L$404,MATCH($K55,其他调用!$B$5:$B$404,0),MATCH(BC$5,其他调用!$H$4:$L$4,0))*INDEX(其他调用!$M$5:$M$404,MATCH($K55,其他调用!$B$5:$B$404,0))*0.6</f>
        <v>2.1131819089920003</v>
      </c>
      <c r="BD55" s="14">
        <f>INDEX(其他调用!$H$5:$L$404,MATCH($K55,其他调用!$B$5:$B$404,0),MATCH(BD$5,其他调用!$H$4:$L$4,0))*INDEX(其他调用!$M$5:$M$404,MATCH($K55,其他调用!$B$5:$B$404,0))*0.6</f>
        <v>0.34647471157894744</v>
      </c>
      <c r="BE55" s="14">
        <f>INDEX(其他调用!$H$5:$L$404,MATCH($K55,其他调用!$B$5:$B$404,0),MATCH(BE$5,其他调用!$H$4:$L$4,0))*INDEX(其他调用!$M$5:$M$404,MATCH($K55,其他调用!$B$5:$B$404,0))*0.6</f>
        <v>9.1271747368421044E-2</v>
      </c>
      <c r="BF55" s="14">
        <f>IF(OR(BF$5="大R",BF$5="超R"),0,INDEX(其他调用!$H$5:$L$404,MATCH($K55,其他调用!$B$5:$B$404,0),MATCH(BF$5,其他调用!$H$4:$L$4,0))*50*0.4)</f>
        <v>10.310313272727278</v>
      </c>
      <c r="BG55" s="14">
        <f>IF(OR(BG$5="大R",BG$5="超R"),0,INDEX(其他调用!$H$5:$L$404,MATCH($K55,其他调用!$B$5:$B$404,0),MATCH(BG$5,其他调用!$H$4:$L$4,0))*50*0.4)</f>
        <v>8.7774405576727244</v>
      </c>
      <c r="BH55" s="14">
        <f>IF(OR(BH$5="大R",BH$5="超R"),0,INDEX(其他调用!$H$5:$L$404,MATCH($K55,其他调用!$B$5:$B$404,0),MATCH(BH$5,其他调用!$H$4:$L$4,0))*50*0.4)</f>
        <v>0.75570216960000014</v>
      </c>
      <c r="BI55" s="14">
        <f>IF(OR(BI$5="大R",BI$5="超R"),0,INDEX(其他调用!$H$5:$L$404,MATCH($K55,其他调用!$B$5:$B$404,0),MATCH(BI$5,其他调用!$H$4:$L$4,0))*50*0.4)</f>
        <v>0</v>
      </c>
      <c r="BJ55" s="14">
        <f>IF(OR(BJ$5="大R",BJ$5="超R"),0,INDEX(其他调用!$H$5:$L$404,MATCH($K55,其他调用!$B$5:$B$404,0),MATCH(BJ$5,其他调用!$H$4:$L$4,0))*50*0.4)</f>
        <v>0</v>
      </c>
      <c r="BL55" s="14">
        <f t="shared" si="103"/>
        <v>50</v>
      </c>
      <c r="BM55" s="14">
        <f t="shared" si="10"/>
        <v>96</v>
      </c>
      <c r="BN55" s="14">
        <f>('疲劳值&amp;地图信息'!$S$10*'疲劳值&amp;地图信息'!$R$10+'疲劳值&amp;地图信息'!$S$11*'疲劳值&amp;地图信息'!$R$11+'疲劳值&amp;地图信息'!$S$12*'疲劳值&amp;地图信息'!$R$12+(BM55-'疲劳值&amp;地图信息'!$S$12-'疲劳值&amp;地图信息'!$S$11-'疲劳值&amp;地图信息'!$S$10)*'疲劳值&amp;地图信息'!$R$13)/BM55</f>
        <v>51.371477246638619</v>
      </c>
      <c r="BO55" s="14">
        <f>INDEX(其他调用!$M$5:$M$404,MATCH(BL55,其他调用!$B$5:$B$404,0))*0.6</f>
        <v>55.926315789473684</v>
      </c>
      <c r="BP55" s="14">
        <f>IF(BO55&gt;SUM('疲劳值&amp;地图信息'!$S$10:$S$12),('疲劳值&amp;地图信息'!$S$10*'疲劳值&amp;地图信息'!$R$10+'疲劳值&amp;地图信息'!$S$11*'疲劳值&amp;地图信息'!$R$11+'疲劳值&amp;地图信息'!$S$12*'疲劳值&amp;地图信息'!$R$12+(BO55-'疲劳值&amp;地图信息'!$S$12-'疲劳值&amp;地图信息'!$S$11-'疲劳值&amp;地图信息'!$S$10)*'疲劳值&amp;地图信息'!$R$13)/BO55,('疲劳值&amp;地图信息'!$S$10*'疲劳值&amp;地图信息'!$R$10+'疲劳值&amp;地图信息'!$S$11*'疲劳值&amp;地图信息'!$R$11+'疲劳值&amp;地图信息'!$S$12*'疲劳值&amp;地图信息'!$R$12+(BO55-'疲劳值&amp;地图信息'!$S$12-'疲劳值&amp;地图信息'!$S$11-'疲劳值&amp;地图信息'!$S$10)*'疲劳值&amp;地图信息'!$R$13)/BO55)</f>
        <v>42.757013094101019</v>
      </c>
      <c r="BQ55" s="14">
        <f t="shared" si="104"/>
        <v>20</v>
      </c>
      <c r="BR55" s="14">
        <f>('疲劳值&amp;地图信息'!$S$10*'疲劳值&amp;地图信息'!$R$10+($BQ55-'疲劳值&amp;地图信息'!$S$10)*'疲劳值&amp;地图信息'!$R$11)/$BQ55</f>
        <v>32.067203015074995</v>
      </c>
      <c r="BW55" s="14" t="s">
        <v>16</v>
      </c>
      <c r="BX55" s="14" t="s">
        <v>484</v>
      </c>
      <c r="BY55" s="49">
        <v>0.4</v>
      </c>
      <c r="CF55" s="14">
        <v>50</v>
      </c>
      <c r="CG55" s="51">
        <f t="shared" si="11"/>
        <v>6622</v>
      </c>
      <c r="CH55" s="51">
        <f t="shared" si="12"/>
        <v>852</v>
      </c>
      <c r="CI55" s="51">
        <f>INT(SUMPRODUCT($N55:$R55,$BA55:$BE55)/SUM($BA55:$BE55)/10000*$BX$7*$BZ$34/'疲劳值&amp;地图信息'!$R$10*$BY$53)</f>
        <v>2869</v>
      </c>
      <c r="CJ55" s="50">
        <f t="shared" si="13"/>
        <v>0.64023977569370594</v>
      </c>
      <c r="CK55" s="50">
        <f t="shared" si="14"/>
        <v>8.2374552837667994E-2</v>
      </c>
      <c r="CL55" s="50">
        <f t="shared" si="15"/>
        <v>0.27738567146862614</v>
      </c>
      <c r="CM55" s="14">
        <f t="shared" si="16"/>
        <v>6868</v>
      </c>
      <c r="CN55" s="14">
        <f t="shared" si="17"/>
        <v>1126</v>
      </c>
      <c r="CO55" s="14">
        <f>INT(SUMPRODUCT($U55:$Y55,$BA55:$BE55)/SUM($BA55:$BE55)/10000*$BX$7*$BZ$34/'疲劳值&amp;地图信息'!$R$10*$BY$54)</f>
        <v>4876</v>
      </c>
      <c r="CP55" s="50">
        <f t="shared" si="18"/>
        <v>0.53364413364413366</v>
      </c>
      <c r="CQ55" s="50">
        <f t="shared" si="19"/>
        <v>8.7490287490287491E-2</v>
      </c>
      <c r="CR55" s="50">
        <f t="shared" si="20"/>
        <v>0.37886557886557887</v>
      </c>
      <c r="CS55" s="14">
        <f t="shared" si="21"/>
        <v>7250</v>
      </c>
      <c r="CT55" s="14">
        <f t="shared" si="22"/>
        <v>1995</v>
      </c>
      <c r="CU55" s="14">
        <f>INT(SUMPRODUCT($AB55:$AF55,$BA55:$BE55)/SUM($BA55:$BE55)/10000*$BX$7*$BZ$34/'疲劳值&amp;地图信息'!$R$10*$BY$55)</f>
        <v>6626</v>
      </c>
      <c r="CV55" s="50">
        <f t="shared" si="23"/>
        <v>0.45680801461785647</v>
      </c>
      <c r="CW55" s="50">
        <f t="shared" si="24"/>
        <v>0.12570096402243086</v>
      </c>
      <c r="CX55" s="50">
        <f t="shared" si="25"/>
        <v>0.41749102135971267</v>
      </c>
      <c r="CY55" s="14">
        <f t="shared" si="26"/>
        <v>8278</v>
      </c>
      <c r="CZ55" s="14">
        <f t="shared" si="27"/>
        <v>5365</v>
      </c>
      <c r="DA55" s="14">
        <f>INT(SUMPRODUCT($AI55:$AM55,$BA55:$BE55)/SUM($BA55:$BE55)/10000*$BX$7*$BZ$34/'疲劳值&amp;地图信息'!$R$10*$BY$56)</f>
        <v>9987</v>
      </c>
      <c r="DB55" s="50">
        <f t="shared" si="28"/>
        <v>0.3503173931443081</v>
      </c>
      <c r="DC55" s="50">
        <f t="shared" si="29"/>
        <v>0.22704189589504867</v>
      </c>
      <c r="DD55" s="50">
        <f t="shared" si="30"/>
        <v>0.42264071096064326</v>
      </c>
      <c r="DE55" s="14">
        <f t="shared" si="31"/>
        <v>8540</v>
      </c>
      <c r="DF55" s="14">
        <f t="shared" si="32"/>
        <v>9979</v>
      </c>
      <c r="DG55" s="14">
        <f>INT(SUMPRODUCT($AP55:$AT55,$BA55:$BE55)/SUM($BA55:$BE55)/10000*$BX$7*$BZ$34/'疲劳值&amp;地图信息'!$R$10*$BY$57)</f>
        <v>13334</v>
      </c>
      <c r="DH55" s="50">
        <f t="shared" si="33"/>
        <v>0.26810661476156095</v>
      </c>
      <c r="DI55" s="50">
        <f t="shared" si="34"/>
        <v>0.3132828932910558</v>
      </c>
      <c r="DJ55" s="50">
        <f t="shared" si="35"/>
        <v>0.41861049194738331</v>
      </c>
      <c r="DL55" s="14">
        <f t="shared" si="106"/>
        <v>10343</v>
      </c>
      <c r="DM55" s="14">
        <f t="shared" si="107"/>
        <v>12870</v>
      </c>
      <c r="DN55" s="14">
        <f t="shared" si="108"/>
        <v>15871</v>
      </c>
      <c r="DO55" s="14">
        <f t="shared" si="109"/>
        <v>23630</v>
      </c>
      <c r="DP55" s="14">
        <f t="shared" si="110"/>
        <v>31853</v>
      </c>
      <c r="DQ55" s="14">
        <f t="shared" si="111"/>
        <v>658718</v>
      </c>
      <c r="DT55" s="14">
        <f t="shared" si="105"/>
        <v>235575</v>
      </c>
      <c r="DU55" s="50">
        <f t="shared" si="7"/>
        <v>0.26342037788510031</v>
      </c>
      <c r="DW55" s="14">
        <f t="shared" si="36"/>
        <v>894293</v>
      </c>
      <c r="EB55" s="14">
        <v>50</v>
      </c>
      <c r="EC55" s="51">
        <f t="shared" si="37"/>
        <v>11037</v>
      </c>
      <c r="ED55" s="51">
        <f t="shared" si="38"/>
        <v>1420</v>
      </c>
      <c r="EE55" s="51">
        <f>INT(SUMPRODUCT($N55:$R55,$BF55:$BJ55)/SUM($BF55:$BJ55)/10000*$BX$7*$BZ$46/'疲劳值&amp;地图信息'!$R$10*$BY$53)</f>
        <v>385</v>
      </c>
      <c r="EF55" s="50">
        <f t="shared" si="39"/>
        <v>0.85944556922597726</v>
      </c>
      <c r="EG55" s="50">
        <f t="shared" si="40"/>
        <v>0.11057467684161346</v>
      </c>
      <c r="EH55" s="50">
        <f t="shared" si="41"/>
        <v>2.9979753932409283E-2</v>
      </c>
      <c r="EI55" s="51">
        <f t="shared" si="42"/>
        <v>11448</v>
      </c>
      <c r="EJ55" s="51">
        <f t="shared" si="43"/>
        <v>1877</v>
      </c>
      <c r="EK55" s="14">
        <f>INT(SUMPRODUCT($U55:$Y55,$BF55:$BJ55)/SUM($BF55:$BJ55)/10000*$BX$7*$BZ$46/'疲劳值&amp;地图信息'!$R$10*$BY$54)</f>
        <v>654</v>
      </c>
      <c r="EL55" s="50">
        <f t="shared" si="44"/>
        <v>0.81894269976393164</v>
      </c>
      <c r="EM55" s="50">
        <f t="shared" si="45"/>
        <v>0.13427283782817082</v>
      </c>
      <c r="EN55" s="50">
        <f t="shared" si="46"/>
        <v>4.6784462407897562E-2</v>
      </c>
      <c r="EO55" s="51">
        <f t="shared" si="47"/>
        <v>12083</v>
      </c>
      <c r="EP55" s="51">
        <f t="shared" si="48"/>
        <v>3326</v>
      </c>
      <c r="EQ55" s="14">
        <f>INT(SUMPRODUCT($AB55:$AF55,$BF55:$BJ55)/SUM($BF55:$BJ55)/10000*$BX$7*$BZ$46/'疲劳值&amp;地图信息'!$R$10*$BY$55)</f>
        <v>887</v>
      </c>
      <c r="ER55" s="50">
        <f t="shared" si="49"/>
        <v>0.74147029945999021</v>
      </c>
      <c r="ES55" s="50">
        <f t="shared" si="50"/>
        <v>0.20409916543937162</v>
      </c>
      <c r="ET55" s="50">
        <f t="shared" si="51"/>
        <v>5.4430535100638194E-2</v>
      </c>
      <c r="EU55" s="51">
        <f t="shared" si="52"/>
        <v>13797</v>
      </c>
      <c r="EV55" s="51">
        <f t="shared" si="53"/>
        <v>8942</v>
      </c>
      <c r="EW55" s="14">
        <f>INT(SUMPRODUCT($AI55:$AM55,$BF55:$BJ55)/SUM($BF55:$BJ55)/10000*$BX$7*$BZ$46/'疲劳值&amp;地图信息'!$R$10*$BY$56)</f>
        <v>1331</v>
      </c>
      <c r="EX55" s="50">
        <f t="shared" si="54"/>
        <v>0.5732031574574159</v>
      </c>
      <c r="EY55" s="50">
        <f t="shared" si="55"/>
        <v>0.37149979227253843</v>
      </c>
      <c r="EZ55" s="50">
        <f t="shared" si="56"/>
        <v>5.5297050270045701E-2</v>
      </c>
      <c r="FA55" s="51">
        <f t="shared" si="57"/>
        <v>14233</v>
      </c>
      <c r="FB55" s="51">
        <f t="shared" si="58"/>
        <v>16633</v>
      </c>
      <c r="FC55" s="14">
        <f>INT(SUMPRODUCT($AP55:$AT55,$BF55:$BJ55)/SUM($BF55:$BJ55)/10000*$BX$7*$BZ$46/'疲劳值&amp;地图信息'!$R$10*$BY$57)</f>
        <v>1775</v>
      </c>
      <c r="FD55" s="50">
        <f t="shared" si="59"/>
        <v>0.43604668974602495</v>
      </c>
      <c r="FE55" s="50">
        <f t="shared" si="60"/>
        <v>0.50957384884041546</v>
      </c>
      <c r="FF55" s="50">
        <f t="shared" si="61"/>
        <v>5.4379461413559635E-2</v>
      </c>
      <c r="FH55" s="14">
        <f t="shared" si="62"/>
        <v>12842</v>
      </c>
      <c r="FI55" s="14">
        <f t="shared" si="63"/>
        <v>13979</v>
      </c>
      <c r="FJ55" s="14">
        <f t="shared" si="64"/>
        <v>16296</v>
      </c>
      <c r="FK55" s="14">
        <f t="shared" si="65"/>
        <v>24070</v>
      </c>
      <c r="FL55" s="14">
        <f t="shared" si="66"/>
        <v>32641</v>
      </c>
      <c r="FM55" s="14">
        <f t="shared" si="67"/>
        <v>1477263</v>
      </c>
      <c r="FP55" s="14">
        <f t="shared" si="68"/>
        <v>334150</v>
      </c>
      <c r="FQ55" s="50">
        <f t="shared" si="8"/>
        <v>0.18446925135239728</v>
      </c>
      <c r="FS55" s="14">
        <f t="shared" si="69"/>
        <v>1811413</v>
      </c>
      <c r="FX55" s="14">
        <v>50</v>
      </c>
      <c r="FY55" s="51">
        <f t="shared" si="70"/>
        <v>15452</v>
      </c>
      <c r="FZ55" s="51">
        <f t="shared" si="71"/>
        <v>1420</v>
      </c>
      <c r="GA55" s="51">
        <f>INT(SUMPRODUCT($N55:$R55,$BF55:$BJ55)/SUM($BF55:$BJ55)/10000*$BX$7*$BZ$46/'疲劳值&amp;地图信息'!$R$10*$BY$53)</f>
        <v>385</v>
      </c>
      <c r="GB55" s="50">
        <f t="shared" si="72"/>
        <v>0.89540476328446428</v>
      </c>
      <c r="GC55" s="50">
        <f t="shared" si="73"/>
        <v>8.228544938285913E-2</v>
      </c>
      <c r="GD55" s="50">
        <f t="shared" si="74"/>
        <v>2.2309787332676596E-2</v>
      </c>
      <c r="GE55" s="51">
        <f t="shared" si="75"/>
        <v>16027</v>
      </c>
      <c r="GF55" s="51">
        <f t="shared" si="76"/>
        <v>1877</v>
      </c>
      <c r="GG55" s="14">
        <f>INT(SUMPRODUCT($U55:$Y55,$BF55:$BJ55)/SUM($BF55:$BJ55)/10000*$BX$7*$BZ$46/'疲劳值&amp;地图信息'!$R$10*$BY$54)</f>
        <v>654</v>
      </c>
      <c r="GH55" s="50">
        <f t="shared" si="77"/>
        <v>0.8636167690483888</v>
      </c>
      <c r="GI55" s="50">
        <f t="shared" si="78"/>
        <v>0.10114236447893092</v>
      </c>
      <c r="GJ55" s="50">
        <f t="shared" si="79"/>
        <v>3.5240866472680245E-2</v>
      </c>
      <c r="GK55" s="51">
        <f t="shared" si="80"/>
        <v>16916</v>
      </c>
      <c r="GL55" s="51">
        <f t="shared" si="81"/>
        <v>3326</v>
      </c>
      <c r="GM55" s="14">
        <f>INT(SUMPRODUCT($AB55:$AF55,$BF55:$BJ55)/SUM($BF55:$BJ55)/10000*$BX$7*$BZ$46/'疲劳值&amp;地图信息'!$R$10*$BY$55)</f>
        <v>887</v>
      </c>
      <c r="GN55" s="50">
        <f t="shared" si="82"/>
        <v>0.80060580245160684</v>
      </c>
      <c r="GO55" s="50">
        <f t="shared" si="83"/>
        <v>0.15741398078470348</v>
      </c>
      <c r="GP55" s="50">
        <f t="shared" si="84"/>
        <v>4.1980216763689716E-2</v>
      </c>
      <c r="GQ55" s="51">
        <f t="shared" si="85"/>
        <v>19316</v>
      </c>
      <c r="GR55" s="51">
        <f t="shared" si="86"/>
        <v>8942</v>
      </c>
      <c r="GS55" s="14">
        <f>INT(SUMPRODUCT($AI55:$AM55,$BF55:$BJ55)/SUM($BF55:$BJ55)/10000*$BX$7*$BZ$46/'疲劳值&amp;地图信息'!$R$10*$BY$56)</f>
        <v>1331</v>
      </c>
      <c r="GT55" s="50">
        <f t="shared" si="87"/>
        <v>0.65281016594004526</v>
      </c>
      <c r="GU55" s="50">
        <f t="shared" si="88"/>
        <v>0.30220690121328875</v>
      </c>
      <c r="GV55" s="50">
        <f t="shared" si="89"/>
        <v>4.4982932846665991E-2</v>
      </c>
      <c r="GW55" s="51">
        <f t="shared" si="90"/>
        <v>19927</v>
      </c>
      <c r="GX55" s="51">
        <f t="shared" si="91"/>
        <v>16633</v>
      </c>
      <c r="GY55" s="14">
        <f>INT(SUMPRODUCT($AP55:$AT55,$BF55:$BJ55)/SUM($BF55:$BJ55)/10000*$BX$7*$BZ$46/'疲劳值&amp;地图信息'!$R$10*$BY$57)</f>
        <v>1775</v>
      </c>
      <c r="GZ55" s="50">
        <f t="shared" si="92"/>
        <v>0.51981218207904001</v>
      </c>
      <c r="HA55" s="50">
        <f t="shared" si="93"/>
        <v>0.43388548323985915</v>
      </c>
      <c r="HB55" s="50">
        <f t="shared" si="94"/>
        <v>4.6302334681100822E-2</v>
      </c>
      <c r="HD55" s="14">
        <f t="shared" si="95"/>
        <v>17257</v>
      </c>
      <c r="HE55" s="14">
        <f t="shared" si="96"/>
        <v>18558</v>
      </c>
      <c r="HF55" s="14">
        <f t="shared" si="97"/>
        <v>21129</v>
      </c>
      <c r="HG55" s="14">
        <f t="shared" si="98"/>
        <v>29589</v>
      </c>
      <c r="HH55" s="14">
        <f t="shared" si="99"/>
        <v>38335</v>
      </c>
      <c r="HI55" s="14">
        <f t="shared" si="100"/>
        <v>1955446</v>
      </c>
      <c r="HL55" s="14">
        <f t="shared" si="101"/>
        <v>430050</v>
      </c>
      <c r="HM55" s="50">
        <f t="shared" si="9"/>
        <v>0.18027697384527158</v>
      </c>
      <c r="HO55" s="14">
        <f t="shared" si="102"/>
        <v>2385496</v>
      </c>
    </row>
    <row r="56" spans="11:223" x14ac:dyDescent="0.2">
      <c r="K56" s="14">
        <v>51</v>
      </c>
      <c r="L56" s="12">
        <f>求节点(节奏总纲!D$4:D$163,标准城池设计!AB$4:AB$163,$K56)*求节点(节奏总纲!D$4:D$163,攻城基础信息!$AC$5:$AC$164,$K56)</f>
        <v>318085.20518795523</v>
      </c>
      <c r="M56" s="12">
        <f>INDEX(其他调用!$AA$5:$AA$404,MATCH(K56,其他调用!$X$5:$X$404,0))*MIN(INDEX(其他调用!$AH$5:$AH$364,MATCH('征服点（新）'!K56,其他调用!$AG$5:$AG$364,0),1)/INDEX(其他调用!$AJ$5:$AJ$364,MATCH(K56,其他调用!$AG$5:$AG$364,0),0),5)*求节点(节奏总纲!D$4:D$163,攻城基础信息!$AC$5:$AC$164,$K56)</f>
        <v>40343.195163183947</v>
      </c>
      <c r="N56" s="12">
        <f>MIN(INDEX(其他调用!$AH$5:$AH$364,MATCH($K56,其他调用!$AG$5:$AG$364,0),1)/INDEX(其他调用!AH$5:AH$364,MATCH($K56,其他调用!$AG$5:$AG$364,0),0),1)*INDEX(其他调用!Y$5:Y$404,MATCH($K56,其他调用!$X$5:$X$404,0),0)</f>
        <v>32347.979209565281</v>
      </c>
      <c r="O56" s="12">
        <f>MIN(INDEX(其他调用!$AH$5:$AH$364,MATCH($K56,其他调用!$AG$5:$AG$364,0),1)/INDEX(其他调用!AI$5:AI$364,MATCH($K56,其他调用!$AG$5:$AG$364,0),0),1)*INDEX(其他调用!Z$5:Z$404,MATCH($K56,其他调用!$X$5:$X$404,0),0)</f>
        <v>25358.21493040102</v>
      </c>
      <c r="P56" s="12">
        <f>MIN(INDEX(其他调用!$AH$5:$AH$364,MATCH($K56,其他调用!$AG$5:$AG$364,0),1)/INDEX(其他调用!AJ$5:AJ$364,MATCH($K56,其他调用!$AG$5:$AG$364,0),0),1)*INDEX(其他调用!AA$5:AA$404,MATCH($K56,其他调用!$X$5:$X$404,0),0)</f>
        <v>14758.941107373283</v>
      </c>
      <c r="Q56" s="12">
        <f>MIN(INDEX(其他调用!$AH$5:$AH$364,MATCH($K56,其他调用!$AG$5:$AG$364,0),1)/INDEX(其他调用!AK$5:AK$364,MATCH($K56,其他调用!$AG$5:$AG$364,0),0),1)*INDEX(其他调用!AB$5:AB$404,MATCH($K56,其他调用!$X$5:$X$404,0),0)</f>
        <v>5843.6150044493688</v>
      </c>
      <c r="R56" s="12">
        <f>MIN(INDEX(其他调用!$AH$5:$AH$364,MATCH($K56,其他调用!$AG$5:$AG$364,0),1)/INDEX(其他调用!AL$5:AL$364,MATCH($K56,其他调用!$AG$5:$AG$364,0),0),1)*INDEX(其他调用!AC$5:AC$404,MATCH($K56,其他调用!$X$5:$X$404,0),0)</f>
        <v>1948.9273038363203</v>
      </c>
      <c r="S56" s="12">
        <f>求节点(节奏总纲!D$4:D$163,标准城池设计!AC$4:AC$163,$K56)*求节点(节奏总纲!D$4:D$163,攻城基础信息!$AD$5:$AD$164,$K56)</f>
        <v>330304.07045337779</v>
      </c>
      <c r="T56" s="12">
        <f>INDEX(其他调用!$AA$5:$AA$404,MATCH($K56,其他调用!$X$5:$X$404,0))*MIN(INDEX(其他调用!AI$5:AI$364,MATCH($K56,其他调用!$AG$5:$AG$364,0),1)/INDEX(其他调用!$AJ$5:$AJ$364,MATCH($K56,其他调用!$AG$5:$AG$364,0),0),5)*求节点(节奏总纲!D$4:D$163,攻城基础信息!$AD$5:$AD$164,$K56)</f>
        <v>53195.355954814317</v>
      </c>
      <c r="U56" s="12">
        <f>MIN(INDEX(其他调用!$AI$5:$AI$364,MATCH($K56,其他调用!$AG$5:$AG$364,0),1)/INDEX(其他调用!AH$5:AH$364,MATCH($K56,其他调用!$AG$5:$AG$364,0),0),1)*INDEX(其他调用!Y$5:Y$404,MATCH($K56,其他调用!$X$5:$X$404,0),0)</f>
        <v>32347.979209565281</v>
      </c>
      <c r="V56" s="12">
        <f>MIN(INDEX(其他调用!$AI$5:$AI$364,MATCH($K56,其他调用!$AG$5:$AG$364,0),1)/INDEX(其他调用!AI$5:AI$364,MATCH($K56,其他调用!$AG$5:$AG$364,0),0),1)*INDEX(其他调用!Z$5:Z$404,MATCH($K56,其他调用!$X$5:$X$404,0),0)</f>
        <v>33436.599757283795</v>
      </c>
      <c r="W56" s="12">
        <f>MIN(INDEX(其他调用!$AI$5:$AI$364,MATCH($K56,其他调用!$AG$5:$AG$364,0),1)/INDEX(其他调用!AJ$5:AJ$364,MATCH($K56,其他调用!$AG$5:$AG$364,0),0),1)*INDEX(其他调用!AA$5:AA$404,MATCH($K56,其他调用!$X$5:$X$404,0),0)</f>
        <v>19460.707624846968</v>
      </c>
      <c r="X56" s="12">
        <f>MIN(INDEX(其他调用!$AI$5:$AI$364,MATCH($K56,其他调用!$AG$5:$AG$364,0),1)/INDEX(其他调用!AK$5:AK$364,MATCH($K56,其他调用!$AG$5:$AG$364,0),0),1)*INDEX(其他调用!AB$5:AB$404,MATCH($K56,其他调用!$X$5:$X$404,0),0)</f>
        <v>7705.2196527124306</v>
      </c>
      <c r="Y56" s="12">
        <f>MIN(INDEX(其他调用!$AI$5:$AI$364,MATCH($K56,其他调用!$AG$5:$AG$364,0),1)/INDEX(其他调用!AL$5:AL$364,MATCH($K56,其他调用!$AG$5:$AG$364,0),0),1)*INDEX(其他调用!AC$5:AC$404,MATCH($K56,其他调用!$X$5:$X$404,0),0)</f>
        <v>2569.7984812129966</v>
      </c>
      <c r="Z56" s="12">
        <f>求节点(节奏总纲!D$4:D$163,标准城池设计!AD$4:AD$163,$K56)*求节点(节奏总纲!D$4:D$163,攻城基础信息!$AE$5:$AE$164,$K56)</f>
        <v>348495.78563481069</v>
      </c>
      <c r="AA56" s="12">
        <f>INDEX(其他调用!$AA$5:$AA$404,MATCH($K56,其他调用!$X$5:$X$404,0))*MIN(INDEX(其他调用!AJ$5:AJ$364,MATCH($K56,其他调用!$AG$5:$AG$364,0),1)/INDEX(其他调用!$AJ$5:$AJ$364,MATCH($K56,其他调用!$AG$5:$AG$364,0),0),5)*求节点(节奏总纲!D$4:D$163,攻城基础信息!$AE$5:$AE$164,$K56)</f>
        <v>95479.503629629588</v>
      </c>
      <c r="AB56" s="12">
        <f>MIN(INDEX(其他调用!$AJ$5:$AJ$364,MATCH($K56,其他调用!$AG$5:$AG$364,0),1)/INDEX(其他调用!AH$5:AH$364,MATCH($K56,其他调用!$AG$5:$AG$364,0),0),1)*INDEX(其他调用!Y$5:Y$404,MATCH($K56,其他调用!$X$5:$X$404,0),0)</f>
        <v>32347.979209565281</v>
      </c>
      <c r="AC56" s="12">
        <f>MIN(INDEX(其他调用!$AJ$5:$AJ$364,MATCH($K56,其他调用!$AG$5:$AG$364,0),1)/INDEX(其他调用!AI$5:AI$364,MATCH($K56,其他调用!$AG$5:$AG$364,0),0),1)*INDEX(其他调用!Z$5:Z$404,MATCH($K56,其他调用!$X$5:$X$404,0),0)</f>
        <v>33436.599757283795</v>
      </c>
      <c r="AD56" s="12">
        <f>MIN(INDEX(其他调用!$AJ$5:$AJ$364,MATCH($K56,其他调用!$AG$5:$AG$364,0),1)/INDEX(其他调用!AJ$5:AJ$364,MATCH($K56,其他调用!$AG$5:$AG$364,0),0),1)*INDEX(其他调用!AA$5:AA$404,MATCH($K56,其他调用!$X$5:$X$404,0),0)</f>
        <v>34929.716531647224</v>
      </c>
      <c r="AE56" s="12">
        <f>MIN(INDEX(其他调用!$AJ$5:$AJ$364,MATCH($K56,其他调用!$AG$5:$AG$364,0),1)/INDEX(其他调用!AK$5:AK$364,MATCH($K56,其他调用!$AG$5:$AG$364,0),0),1)*INDEX(其他调用!AB$5:AB$404,MATCH($K56,其他调用!$X$5:$X$404,0),0)</f>
        <v>13829.976970605605</v>
      </c>
      <c r="AF56" s="12">
        <f>MIN(INDEX(其他调用!$AJ$5:$AJ$364,MATCH($K56,其他调用!$AG$5:$AG$364,0),1)/INDEX(其他调用!AL$5:AL$364,MATCH($K56,其他调用!$AG$5:$AG$364,0),0),1)*INDEX(其他调用!AC$5:AC$404,MATCH($K56,其他调用!$X$5:$X$404,0),0)</f>
        <v>4612.490677246552</v>
      </c>
      <c r="AG56" s="12">
        <f>求节点(节奏总纲!D$4:D$163,标准城池设计!AE$4:AE$163,$K56)*求节点(节奏总纲!D$4:D$163,攻城基础信息!$AF$5:$AF$164,$K56)</f>
        <v>397344.82250694931</v>
      </c>
      <c r="AH56" s="12">
        <f>INDEX(其他调用!$AA$5:$AA$404,MATCH($K56,其他调用!$X$5:$X$404,0))*MIN(INDEX(其他调用!AK$5:AK$364,MATCH($K56,其他调用!$AG$5:$AG$364,0),1)/INDEX(其他调用!$AJ$5:$AJ$364,MATCH($K56,其他调用!$AG$5:$AG$364,0),0),5)*求节点(节奏总纲!D$4:D$163,攻城基础信息!$AF$5:$AF$164,$K56)</f>
        <v>256007.85842605698</v>
      </c>
      <c r="AI56" s="12">
        <f>MIN(INDEX(其他调用!$AK$5:$AK$364,MATCH($K56,其他调用!$AG$5:$AG$364,0),1)/INDEX(其他调用!AH$5:AH$364,MATCH($K56,其他调用!$AG$5:$AG$364,0),0),1)*INDEX(其他调用!Y$5:Y$404,MATCH($K56,其他调用!$X$5:$X$404,0),0)</f>
        <v>32347.979209565281</v>
      </c>
      <c r="AJ56" s="12">
        <f>MIN(INDEX(其他调用!$AK$5:$AK$364,MATCH($K56,其他调用!$AG$5:$AG$364,0),1)/INDEX(其他调用!AI$5:AI$364,MATCH($K56,其他调用!$AG$5:$AG$364,0),0),1)*INDEX(其他调用!Z$5:Z$404,MATCH($K56,其他调用!$X$5:$X$404,0),0)</f>
        <v>33436.599757283795</v>
      </c>
      <c r="AK56" s="12">
        <f>MIN(INDEX(其他调用!$AK$5:$AK$364,MATCH($K56,其他调用!$AG$5:$AG$364,0),1)/INDEX(其他调用!AJ$5:AJ$364,MATCH($K56,其他调用!$AG$5:$AG$364,0),0),1)*INDEX(其他调用!AA$5:AA$404,MATCH($K56,其他调用!$X$5:$X$404,0),0)</f>
        <v>34929.716531647224</v>
      </c>
      <c r="AL56" s="12">
        <f>MIN(INDEX(其他调用!$AK$5:$AK$364,MATCH($K56,其他调用!$AG$5:$AG$364,0),1)/INDEX(其他调用!AK$5:AK$364,MATCH($K56,其他调用!$AG$5:$AG$364,0),0),1)*INDEX(其他调用!AB$5:AB$404,MATCH($K56,其他调用!$X$5:$X$404,0),0)</f>
        <v>37082.123929556124</v>
      </c>
      <c r="AM56" s="12">
        <f>MIN(INDEX(其他调用!$AK$5:$AK$364,MATCH($K56,其他调用!$AG$5:$AG$364,0),1)/INDEX(其他调用!AL$5:AL$364,MATCH($K56,其他调用!$AG$5:$AG$364,0),0),1)*INDEX(其他调用!AC$5:AC$404,MATCH($K56,其他调用!$X$5:$X$404,0),0)</f>
        <v>12367.406777401824</v>
      </c>
      <c r="AN56" s="12">
        <f>求节点(节奏总纲!D$4:D$163,标准城池设计!AF$4:AF$163,$K56)*求节点(节奏总纲!D$4:D$163,攻城基础信息!$AG$5:$AG$164,$K56)</f>
        <v>410016.08130930399</v>
      </c>
      <c r="AO56" s="12">
        <f>INDEX(其他调用!$AA$5:$AA$404,MATCH($K56,其他调用!$X$5:$X$404,0))*MIN(INDEX(其他调用!AL$5:AL$364,MATCH($K56,其他调用!$AG$5:$AG$364,0),1)/INDEX(其他调用!$AJ$5:$AJ$364,MATCH($K56,其他调用!$AG$5:$AG$364,0),0),5)*求节点(节奏总纲!D$4:D$163,攻城基础信息!$AG$5:$AG$164,$K56)</f>
        <v>477397.51814814797</v>
      </c>
      <c r="AP56" s="12">
        <f>MIN(INDEX(其他调用!$AL$5:$AL$364,MATCH($K56,其他调用!$AG$5:$AG$364,0),1)/INDEX(其他调用!AH$5:AH$364,MATCH($K56,其他调用!$AG$5:$AG$364,0),0),1)*INDEX(其他调用!Y$5:Y$404,MATCH($K56,其他调用!$X$5:$X$404,0),0)</f>
        <v>32347.979209565281</v>
      </c>
      <c r="AQ56" s="12">
        <f>MIN(INDEX(其他调用!$AL$5:$AL$364,MATCH($K56,其他调用!$AG$5:$AG$364,0),1)/INDEX(其他调用!AI$5:AI$364,MATCH($K56,其他调用!$AG$5:$AG$364,0),0),1)*INDEX(其他调用!Z$5:Z$404,MATCH($K56,其他调用!$X$5:$X$404,0),0)</f>
        <v>33436.599757283795</v>
      </c>
      <c r="AR56" s="12">
        <f>MIN(INDEX(其他调用!$AL$5:$AL$364,MATCH($K56,其他调用!$AG$5:$AG$364,0),1)/INDEX(其他调用!AJ$5:AJ$364,MATCH($K56,其他调用!$AG$5:$AG$364,0),0),1)*INDEX(其他调用!AA$5:AA$404,MATCH($K56,其他调用!$X$5:$X$404,0),0)</f>
        <v>34929.716531647224</v>
      </c>
      <c r="AS56" s="12">
        <f>MIN(INDEX(其他调用!$AL$5:$AL$364,MATCH($K56,其他调用!$AG$5:$AG$364,0),1)/INDEX(其他调用!AK$5:AK$364,MATCH($K56,其他调用!$AG$5:$AG$364,0),0),1)*INDEX(其他调用!AB$5:AB$404,MATCH($K56,其他调用!$X$5:$X$404,0),0)</f>
        <v>37082.123929556124</v>
      </c>
      <c r="AT56" s="12">
        <f>MIN(INDEX(其他调用!$AL$5:$AL$364,MATCH($K56,其他调用!$AG$5:$AG$364,0),1)/INDEX(其他调用!AL$5:AL$364,MATCH($K56,其他调用!$AG$5:$AG$364,0),0),1)*INDEX(其他调用!AC$5:AC$404,MATCH($K56,其他调用!$X$5:$X$404,0),0)</f>
        <v>40909.804178671242</v>
      </c>
      <c r="AV56" s="14">
        <f>IF(OR(AV$5="大R",AV$5="超R"),MAX(INDEX(其他调用!$H$5:$L$404,MATCH($K56,其他调用!$B$5:$B$404,0),MATCH(AV$5,其他调用!$H$4:$L$4,0))*120*0.85,2),INDEX(其他调用!$H$5:$L$404,MATCH($K56,其他调用!$B$5:$B$404,0),MATCH(AV$5,其他调用!$H$4:$L$4,0))*120*0.85)</f>
        <v>52.474001211818205</v>
      </c>
      <c r="AW56" s="14">
        <f>IF(OR(AW$5="大R",AW$5="超R"),MAX(INDEX(其他调用!$H$5:$L$404,MATCH($K56,其他调用!$B$5:$B$404,0),MATCH(AW$5,其他调用!$H$4:$L$4,0))*120*0.85,2),INDEX(其他调用!$H$5:$L$404,MATCH($K56,其他调用!$B$5:$B$404,0),MATCH(AW$5,其他调用!$H$4:$L$4,0))*120*0.85)</f>
        <v>44.868053823573796</v>
      </c>
      <c r="AX56" s="14">
        <f>IF(OR(AX$5="大R",AX$5="超R"),MAX(INDEX(其他调用!$H$5:$L$404,MATCH($K56,其他调用!$B$5:$B$404,0),MATCH(AX$5,其他调用!$H$4:$L$4,0))*120*0.85,2),INDEX(其他调用!$H$5:$L$404,MATCH($K56,其他调用!$B$5:$B$404,0),MATCH(AX$5,其他调用!$H$4:$L$4,0))*120*0.85)</f>
        <v>3.8566166446080006</v>
      </c>
      <c r="AY56" s="14">
        <f>IF(OR(AY$5="大R",AY$5="超R"),MAX(INDEX(其他调用!$H$5:$L$404,MATCH($K56,其他调用!$B$5:$B$404,0),MATCH(AY$5,其他调用!$H$4:$L$4,0))*120*0.85,2),INDEX(其他调用!$H$5:$L$404,MATCH($K56,其他调用!$B$5:$B$404,0),MATCH(AY$5,其他调用!$H$4:$L$4,0))*120*0.85)</f>
        <v>2</v>
      </c>
      <c r="AZ56" s="14">
        <f>IF(OR(AZ$5="大R",AZ$5="超R"),MAX(INDEX(其他调用!$H$5:$L$404,MATCH($K56,其他调用!$B$5:$B$404,0),MATCH(AZ$5,其他调用!$H$4:$L$4,0))*120*0.85,2),INDEX(其他调用!$H$5:$L$404,MATCH($K56,其他调用!$B$5:$B$404,0),MATCH(AZ$5,其他调用!$H$4:$L$4,0))*120*0.85)</f>
        <v>2</v>
      </c>
      <c r="BA56" s="14">
        <f>INDEX(其他调用!$H$5:$L$404,MATCH($K56,其他调用!$B$5:$B$404,0),MATCH(BA$5,其他调用!$H$4:$L$4,0))*INDEX(其他调用!$M$5:$M$404,MATCH($K56,其他调用!$B$5:$B$404,0))*0.6</f>
        <v>28.852577756095705</v>
      </c>
      <c r="BB56" s="14">
        <f>INDEX(其他调用!$H$5:$L$404,MATCH($K56,其他调用!$B$5:$B$404,0),MATCH(BB$5,其他调用!$H$4:$L$4,0))*INDEX(其他调用!$M$5:$M$404,MATCH($K56,其他调用!$B$5:$B$404,0))*0.6</f>
        <v>24.670484083797852</v>
      </c>
      <c r="BC56" s="14">
        <f>INDEX(其他调用!$H$5:$L$404,MATCH($K56,其他调用!$B$5:$B$404,0),MATCH(BC$5,其他调用!$H$4:$L$4,0))*INDEX(其他调用!$M$5:$M$404,MATCH($K56,其他调用!$B$5:$B$404,0))*0.6</f>
        <v>2.1205421550538106</v>
      </c>
      <c r="BD56" s="14">
        <f>INDEX(其他调用!$H$5:$L$404,MATCH($K56,其他调用!$B$5:$B$404,0),MATCH(BD$5,其他调用!$H$4:$L$4,0))*INDEX(其他调用!$M$5:$M$404,MATCH($K56,其他调用!$B$5:$B$404,0))*0.6</f>
        <v>0.34853869136842114</v>
      </c>
      <c r="BE56" s="14">
        <f>INDEX(其他调用!$H$5:$L$404,MATCH($K56,其他调用!$B$5:$B$404,0),MATCH(BE$5,其他调用!$H$4:$L$4,0))*INDEX(其他调用!$M$5:$M$404,MATCH($K56,其他调用!$B$5:$B$404,0))*0.6</f>
        <v>9.2067839999999984E-2</v>
      </c>
      <c r="BF56" s="14">
        <f>IF(OR(BF$5="大R",BF$5="超R"),0,INDEX(其他调用!$H$5:$L$404,MATCH($K56,其他调用!$B$5:$B$404,0),MATCH(BF$5,其他调用!$H$4:$L$4,0))*50*0.4)</f>
        <v>10.289019845454551</v>
      </c>
      <c r="BG56" s="14">
        <f>IF(OR(BG$5="大R",BG$5="超R"),0,INDEX(其他调用!$H$5:$L$404,MATCH($K56,其他调用!$B$5:$B$404,0),MATCH(BG$5,其他调用!$H$4:$L$4,0))*50*0.4)</f>
        <v>8.79765761246545</v>
      </c>
      <c r="BH56" s="14">
        <f>IF(OR(BH$5="大R",BH$5="超R"),0,INDEX(其他调用!$H$5:$L$404,MATCH($K56,其他调用!$B$5:$B$404,0),MATCH(BH$5,其他调用!$H$4:$L$4,0))*50*0.4)</f>
        <v>0.75619934208000006</v>
      </c>
      <c r="BI56" s="14">
        <f>IF(OR(BI$5="大R",BI$5="超R"),0,INDEX(其他调用!$H$5:$L$404,MATCH($K56,其他调用!$B$5:$B$404,0),MATCH(BI$5,其他调用!$H$4:$L$4,0))*50*0.4)</f>
        <v>0</v>
      </c>
      <c r="BJ56" s="14">
        <f>IF(OR(BJ$5="大R",BJ$5="超R"),0,INDEX(其他调用!$H$5:$L$404,MATCH($K56,其他调用!$B$5:$B$404,0),MATCH(BJ$5,其他调用!$H$4:$L$4,0))*50*0.4)</f>
        <v>0</v>
      </c>
      <c r="BL56" s="14">
        <f t="shared" si="103"/>
        <v>51</v>
      </c>
      <c r="BM56" s="14">
        <f t="shared" si="10"/>
        <v>96</v>
      </c>
      <c r="BN56" s="14">
        <f>('疲劳值&amp;地图信息'!$S$10*'疲劳值&amp;地图信息'!$R$10+'疲劳值&amp;地图信息'!$S$11*'疲劳值&amp;地图信息'!$R$11+'疲劳值&amp;地图信息'!$S$12*'疲劳值&amp;地图信息'!$R$12+(BM56-'疲劳值&amp;地图信息'!$S$12-'疲劳值&amp;地图信息'!$S$11-'疲劳值&amp;地图信息'!$S$10)*'疲劳值&amp;地图信息'!$R$13)/BM56</f>
        <v>51.371477246638619</v>
      </c>
      <c r="BO56" s="14">
        <f>INDEX(其他调用!$M$5:$M$404,MATCH(BL56,其他调用!$B$5:$B$404,0))*0.6</f>
        <v>56.084210526315786</v>
      </c>
      <c r="BP56" s="14">
        <f>IF(BO56&gt;SUM('疲劳值&amp;地图信息'!$S$10:$S$12),('疲劳值&amp;地图信息'!$S$10*'疲劳值&amp;地图信息'!$R$10+'疲劳值&amp;地图信息'!$S$11*'疲劳值&amp;地图信息'!$R$11+'疲劳值&amp;地图信息'!$S$12*'疲劳值&amp;地图信息'!$R$12+(BO56-'疲劳值&amp;地图信息'!$S$12-'疲劳值&amp;地图信息'!$S$11-'疲劳值&amp;地图信息'!$S$10)*'疲劳值&amp;地图信息'!$R$13)/BO56,('疲劳值&amp;地图信息'!$S$10*'疲劳值&amp;地图信息'!$R$10+'疲劳值&amp;地图信息'!$S$11*'疲劳值&amp;地图信息'!$R$11+'疲劳值&amp;地图信息'!$S$12*'疲劳值&amp;地图信息'!$R$12+(BO56-'疲劳值&amp;地图信息'!$S$12-'疲劳值&amp;地图信息'!$S$11-'疲劳值&amp;地图信息'!$S$10)*'疲劳值&amp;地图信息'!$R$13)/BO56)</f>
        <v>42.815111908837103</v>
      </c>
      <c r="BQ56" s="14">
        <f t="shared" si="104"/>
        <v>20</v>
      </c>
      <c r="BR56" s="14">
        <f>('疲劳值&amp;地图信息'!$S$10*'疲劳值&amp;地图信息'!$R$10+($BQ56-'疲劳值&amp;地图信息'!$S$10)*'疲劳值&amp;地图信息'!$R$11)/$BQ56</f>
        <v>32.067203015074995</v>
      </c>
      <c r="BW56" s="14" t="s">
        <v>17</v>
      </c>
      <c r="BX56" s="14" t="s">
        <v>485</v>
      </c>
      <c r="BY56" s="49">
        <v>0.6</v>
      </c>
      <c r="CF56" s="14">
        <v>51</v>
      </c>
      <c r="CG56" s="51">
        <f t="shared" si="11"/>
        <v>6686</v>
      </c>
      <c r="CH56" s="51">
        <f t="shared" si="12"/>
        <v>848</v>
      </c>
      <c r="CI56" s="51">
        <f>INT(SUMPRODUCT($N56:$R56,$BA56:$BE56)/SUM($BA56:$BE56)/10000*$BX$7*$BZ$34/'疲劳值&amp;地图信息'!$R$10*$BY$53)</f>
        <v>2881</v>
      </c>
      <c r="CJ56" s="50">
        <f t="shared" si="13"/>
        <v>0.64195871339414301</v>
      </c>
      <c r="CK56" s="50">
        <f t="shared" si="14"/>
        <v>8.1421027364378298E-2</v>
      </c>
      <c r="CL56" s="50">
        <f t="shared" si="15"/>
        <v>0.27662025924147865</v>
      </c>
      <c r="CM56" s="14">
        <f t="shared" si="16"/>
        <v>6943</v>
      </c>
      <c r="CN56" s="14">
        <f t="shared" si="17"/>
        <v>1118</v>
      </c>
      <c r="CO56" s="14">
        <f>INT(SUMPRODUCT($U56:$Y56,$BA56:$BE56)/SUM($BA56:$BE56)/10000*$BX$7*$BZ$34/'疲劳值&amp;地图信息'!$R$10*$BY$54)</f>
        <v>4891</v>
      </c>
      <c r="CP56" s="50">
        <f t="shared" si="18"/>
        <v>0.53605620753551575</v>
      </c>
      <c r="CQ56" s="50">
        <f t="shared" si="19"/>
        <v>8.6318715256331072E-2</v>
      </c>
      <c r="CR56" s="50">
        <f t="shared" si="20"/>
        <v>0.37762507720815319</v>
      </c>
      <c r="CS56" s="14">
        <f t="shared" si="21"/>
        <v>7325</v>
      </c>
      <c r="CT56" s="14">
        <f t="shared" si="22"/>
        <v>2007</v>
      </c>
      <c r="CU56" s="14">
        <f>INT(SUMPRODUCT($AB56:$AF56,$BA56:$BE56)/SUM($BA56:$BE56)/10000*$BX$7*$BZ$34/'疲劳值&amp;地图信息'!$R$10*$BY$55)</f>
        <v>6648</v>
      </c>
      <c r="CV56" s="50">
        <f t="shared" si="23"/>
        <v>0.45838548185231537</v>
      </c>
      <c r="CW56" s="50">
        <f t="shared" si="24"/>
        <v>0.12559449311639551</v>
      </c>
      <c r="CX56" s="50">
        <f t="shared" si="25"/>
        <v>0.4160200250312891</v>
      </c>
      <c r="CY56" s="14">
        <f t="shared" si="26"/>
        <v>8352</v>
      </c>
      <c r="CZ56" s="14">
        <f t="shared" si="27"/>
        <v>5381</v>
      </c>
      <c r="DA56" s="14">
        <f>INT(SUMPRODUCT($AI56:$AM56,$BA56:$BE56)/SUM($BA56:$BE56)/10000*$BX$7*$BZ$34/'疲劳值&amp;地图信息'!$R$10*$BY$56)</f>
        <v>10021</v>
      </c>
      <c r="DB56" s="50">
        <f t="shared" si="28"/>
        <v>0.35160394038898712</v>
      </c>
      <c r="DC56" s="50">
        <f t="shared" si="29"/>
        <v>0.22653026858634334</v>
      </c>
      <c r="DD56" s="50">
        <f t="shared" si="30"/>
        <v>0.42186579102466953</v>
      </c>
      <c r="DE56" s="14">
        <f t="shared" si="31"/>
        <v>8618</v>
      </c>
      <c r="DF56" s="14">
        <f t="shared" si="32"/>
        <v>10035</v>
      </c>
      <c r="DG56" s="14">
        <f>INT(SUMPRODUCT($AP56:$AT56,$BA56:$BE56)/SUM($BA56:$BE56)/10000*$BX$7*$BZ$34/'疲劳值&amp;地图信息'!$R$10*$BY$57)</f>
        <v>13380</v>
      </c>
      <c r="DH56" s="50">
        <f t="shared" si="33"/>
        <v>0.26903505759685326</v>
      </c>
      <c r="DI56" s="50">
        <f t="shared" si="34"/>
        <v>0.31327068960134863</v>
      </c>
      <c r="DJ56" s="50">
        <f t="shared" si="35"/>
        <v>0.41769425280179817</v>
      </c>
      <c r="DL56" s="14">
        <f t="shared" si="106"/>
        <v>10415</v>
      </c>
      <c r="DM56" s="14">
        <f t="shared" si="107"/>
        <v>12952</v>
      </c>
      <c r="DN56" s="14">
        <f t="shared" si="108"/>
        <v>15980</v>
      </c>
      <c r="DO56" s="14">
        <f t="shared" si="109"/>
        <v>23754</v>
      </c>
      <c r="DP56" s="14">
        <f t="shared" si="110"/>
        <v>32033</v>
      </c>
      <c r="DQ56" s="14">
        <f t="shared" si="111"/>
        <v>665146</v>
      </c>
      <c r="DT56" s="14">
        <f t="shared" si="105"/>
        <v>235575</v>
      </c>
      <c r="DU56" s="50">
        <f t="shared" si="7"/>
        <v>0.26154047701785571</v>
      </c>
      <c r="DW56" s="14">
        <f t="shared" si="36"/>
        <v>900721</v>
      </c>
      <c r="EB56" s="14">
        <v>51</v>
      </c>
      <c r="EC56" s="51">
        <f t="shared" si="37"/>
        <v>11143</v>
      </c>
      <c r="ED56" s="51">
        <f t="shared" si="38"/>
        <v>1413</v>
      </c>
      <c r="EE56" s="51">
        <f>INT(SUMPRODUCT($N56:$R56,$BF56:$BJ56)/SUM($BF56:$BJ56)/10000*$BX$7*$BZ$46/'疲劳值&amp;地图信息'!$R$10*$BY$53)</f>
        <v>386</v>
      </c>
      <c r="EF56" s="50">
        <f t="shared" si="39"/>
        <v>0.86099520939576568</v>
      </c>
      <c r="EG56" s="50">
        <f t="shared" si="40"/>
        <v>0.10917941585535466</v>
      </c>
      <c r="EH56" s="50">
        <f t="shared" si="41"/>
        <v>2.9825374748879616E-2</v>
      </c>
      <c r="EI56" s="51">
        <f t="shared" si="42"/>
        <v>11571</v>
      </c>
      <c r="EJ56" s="51">
        <f t="shared" si="43"/>
        <v>1863</v>
      </c>
      <c r="EK56" s="14">
        <f>INT(SUMPRODUCT($U56:$Y56,$BF56:$BJ56)/SUM($BF56:$BJ56)/10000*$BX$7*$BZ$46/'疲劳值&amp;地图信息'!$R$10*$BY$54)</f>
        <v>656</v>
      </c>
      <c r="EL56" s="50">
        <f t="shared" si="44"/>
        <v>0.82122072391767209</v>
      </c>
      <c r="EM56" s="50">
        <f t="shared" si="45"/>
        <v>0.13222143364088007</v>
      </c>
      <c r="EN56" s="50">
        <f t="shared" si="46"/>
        <v>4.6557842441447839E-2</v>
      </c>
      <c r="EO56" s="51">
        <f t="shared" si="47"/>
        <v>12209</v>
      </c>
      <c r="EP56" s="51">
        <f t="shared" si="48"/>
        <v>3345</v>
      </c>
      <c r="EQ56" s="14">
        <f>INT(SUMPRODUCT($AB56:$AF56,$BF56:$BJ56)/SUM($BF56:$BJ56)/10000*$BX$7*$BZ$46/'疲劳值&amp;地图信息'!$R$10*$BY$55)</f>
        <v>890</v>
      </c>
      <c r="ER56" s="50">
        <f t="shared" si="49"/>
        <v>0.74245925565555826</v>
      </c>
      <c r="ES56" s="50">
        <f t="shared" si="50"/>
        <v>0.20341765993675504</v>
      </c>
      <c r="ET56" s="50">
        <f t="shared" si="51"/>
        <v>5.4123084407686692E-2</v>
      </c>
      <c r="EU56" s="51">
        <f t="shared" si="52"/>
        <v>13920</v>
      </c>
      <c r="EV56" s="51">
        <f t="shared" si="53"/>
        <v>8969</v>
      </c>
      <c r="EW56" s="14">
        <f>INT(SUMPRODUCT($AI56:$AM56,$BF56:$BJ56)/SUM($BF56:$BJ56)/10000*$BX$7*$BZ$46/'疲劳值&amp;地图信息'!$R$10*$BY$56)</f>
        <v>1336</v>
      </c>
      <c r="EX56" s="50">
        <f t="shared" si="54"/>
        <v>0.57461300309597518</v>
      </c>
      <c r="EY56" s="50">
        <f t="shared" si="55"/>
        <v>0.37023735810113517</v>
      </c>
      <c r="EZ56" s="50">
        <f t="shared" si="56"/>
        <v>5.5149638802889575E-2</v>
      </c>
      <c r="FA56" s="51">
        <f t="shared" si="57"/>
        <v>14364</v>
      </c>
      <c r="FB56" s="51">
        <f t="shared" si="58"/>
        <v>16725</v>
      </c>
      <c r="FC56" s="14">
        <f>INT(SUMPRODUCT($AP56:$AT56,$BF56:$BJ56)/SUM($BF56:$BJ56)/10000*$BX$7*$BZ$46/'疲劳值&amp;地图信息'!$R$10*$BY$57)</f>
        <v>1781</v>
      </c>
      <c r="FD56" s="50">
        <f t="shared" si="59"/>
        <v>0.43699421965317919</v>
      </c>
      <c r="FE56" s="50">
        <f t="shared" si="60"/>
        <v>0.50882263462123511</v>
      </c>
      <c r="FF56" s="50">
        <f t="shared" si="61"/>
        <v>5.4183145725585642E-2</v>
      </c>
      <c r="FH56" s="14">
        <f t="shared" si="62"/>
        <v>12942</v>
      </c>
      <c r="FI56" s="14">
        <f t="shared" si="63"/>
        <v>14090</v>
      </c>
      <c r="FJ56" s="14">
        <f t="shared" si="64"/>
        <v>16444</v>
      </c>
      <c r="FK56" s="14">
        <f t="shared" si="65"/>
        <v>24225</v>
      </c>
      <c r="FL56" s="14">
        <f t="shared" si="66"/>
        <v>32870</v>
      </c>
      <c r="FM56" s="14">
        <f t="shared" si="67"/>
        <v>1488917</v>
      </c>
      <c r="FP56" s="14">
        <f t="shared" si="68"/>
        <v>334150</v>
      </c>
      <c r="FQ56" s="50">
        <f t="shared" si="8"/>
        <v>0.18329002719044335</v>
      </c>
      <c r="FS56" s="14">
        <f t="shared" si="69"/>
        <v>1823067</v>
      </c>
      <c r="FX56" s="14">
        <v>51</v>
      </c>
      <c r="FY56" s="51">
        <f t="shared" si="70"/>
        <v>15601</v>
      </c>
      <c r="FZ56" s="51">
        <f t="shared" si="71"/>
        <v>1413</v>
      </c>
      <c r="GA56" s="51">
        <f>INT(SUMPRODUCT($N56:$R56,$BF56:$BJ56)/SUM($BF56:$BJ56)/10000*$BX$7*$BZ$46/'疲劳值&amp;地图信息'!$R$10*$BY$53)</f>
        <v>386</v>
      </c>
      <c r="GB56" s="50">
        <f t="shared" si="72"/>
        <v>0.89660919540229889</v>
      </c>
      <c r="GC56" s="50">
        <f t="shared" si="73"/>
        <v>8.1206896551724139E-2</v>
      </c>
      <c r="GD56" s="50">
        <f t="shared" si="74"/>
        <v>2.2183908045977013E-2</v>
      </c>
      <c r="GE56" s="51">
        <f t="shared" si="75"/>
        <v>16200</v>
      </c>
      <c r="GF56" s="51">
        <f t="shared" si="76"/>
        <v>1863</v>
      </c>
      <c r="GG56" s="14">
        <f>INT(SUMPRODUCT($U56:$Y56,$BF56:$BJ56)/SUM($BF56:$BJ56)/10000*$BX$7*$BZ$46/'疲劳值&amp;地图信息'!$R$10*$BY$54)</f>
        <v>656</v>
      </c>
      <c r="GH56" s="50">
        <f t="shared" si="77"/>
        <v>0.86543084566483253</v>
      </c>
      <c r="GI56" s="50">
        <f t="shared" si="78"/>
        <v>9.9524547251455736E-2</v>
      </c>
      <c r="GJ56" s="50">
        <f t="shared" si="79"/>
        <v>3.5044607083711737E-2</v>
      </c>
      <c r="GK56" s="51">
        <f t="shared" si="80"/>
        <v>17093</v>
      </c>
      <c r="GL56" s="51">
        <f t="shared" si="81"/>
        <v>3345</v>
      </c>
      <c r="GM56" s="14">
        <f>INT(SUMPRODUCT($AB56:$AF56,$BF56:$BJ56)/SUM($BF56:$BJ56)/10000*$BX$7*$BZ$46/'疲劳值&amp;地图信息'!$R$10*$BY$55)</f>
        <v>890</v>
      </c>
      <c r="GN56" s="50">
        <f t="shared" si="82"/>
        <v>0.80143473368342089</v>
      </c>
      <c r="GO56" s="50">
        <f t="shared" si="83"/>
        <v>0.15683608402100524</v>
      </c>
      <c r="GP56" s="50">
        <f t="shared" si="84"/>
        <v>4.1729182295573895E-2</v>
      </c>
      <c r="GQ56" s="51">
        <f t="shared" si="85"/>
        <v>19489</v>
      </c>
      <c r="GR56" s="51">
        <f t="shared" si="86"/>
        <v>8969</v>
      </c>
      <c r="GS56" s="14">
        <f>INT(SUMPRODUCT($AI56:$AM56,$BF56:$BJ56)/SUM($BF56:$BJ56)/10000*$BX$7*$BZ$46/'疲劳值&amp;地图信息'!$R$10*$BY$56)</f>
        <v>1336</v>
      </c>
      <c r="GT56" s="50">
        <f t="shared" si="87"/>
        <v>0.6541249916090488</v>
      </c>
      <c r="GU56" s="50">
        <f t="shared" si="88"/>
        <v>0.30103376518762165</v>
      </c>
      <c r="GV56" s="50">
        <f t="shared" si="89"/>
        <v>4.484124320332953E-2</v>
      </c>
      <c r="GW56" s="51">
        <f t="shared" si="90"/>
        <v>20110</v>
      </c>
      <c r="GX56" s="51">
        <f t="shared" si="91"/>
        <v>16725</v>
      </c>
      <c r="GY56" s="14">
        <f>INT(SUMPRODUCT($AP56:$AT56,$BF56:$BJ56)/SUM($BF56:$BJ56)/10000*$BX$7*$BZ$46/'疲劳值&amp;地图信息'!$R$10*$BY$57)</f>
        <v>1781</v>
      </c>
      <c r="GZ56" s="50">
        <f t="shared" si="92"/>
        <v>0.52076859332919001</v>
      </c>
      <c r="HA56" s="50">
        <f t="shared" si="93"/>
        <v>0.43311062771908015</v>
      </c>
      <c r="HB56" s="50">
        <f t="shared" si="94"/>
        <v>4.6120778951729856E-2</v>
      </c>
      <c r="HD56" s="14">
        <f t="shared" si="95"/>
        <v>17400</v>
      </c>
      <c r="HE56" s="14">
        <f t="shared" si="96"/>
        <v>18719</v>
      </c>
      <c r="HF56" s="14">
        <f t="shared" si="97"/>
        <v>21328</v>
      </c>
      <c r="HG56" s="14">
        <f t="shared" si="98"/>
        <v>29794</v>
      </c>
      <c r="HH56" s="14">
        <f t="shared" si="99"/>
        <v>38616</v>
      </c>
      <c r="HI56" s="14">
        <f t="shared" si="100"/>
        <v>1972006</v>
      </c>
      <c r="HL56" s="14">
        <f t="shared" si="101"/>
        <v>430050</v>
      </c>
      <c r="HM56" s="50">
        <f t="shared" si="9"/>
        <v>0.17903412743083424</v>
      </c>
      <c r="HO56" s="14">
        <f t="shared" si="102"/>
        <v>2402056</v>
      </c>
    </row>
    <row r="57" spans="11:223" x14ac:dyDescent="0.2">
      <c r="K57" s="14">
        <v>52</v>
      </c>
      <c r="L57" s="12">
        <f>求节点(节奏总纲!D$4:D$163,标准城池设计!AB$4:AB$163,$K57)*求节点(节奏总纲!D$4:D$163,攻城基础信息!$AC$5:$AC$164,$K57)</f>
        <v>321397.31293301471</v>
      </c>
      <c r="M57" s="12">
        <f>INDEX(其他调用!$AA$5:$AA$404,MATCH(K57,其他调用!$X$5:$X$404,0))*MIN(INDEX(其他调用!$AH$5:$AH$364,MATCH('征服点（新）'!K57,其他调用!$AG$5:$AG$364,0),1)/INDEX(其他调用!$AJ$5:$AJ$364,MATCH(K57,其他调用!$AG$5:$AG$364,0),0),5)*求节点(节奏总纲!D$4:D$163,攻城基础信息!$AC$5:$AC$164,$K57)</f>
        <v>40117.261626365733</v>
      </c>
      <c r="N57" s="12">
        <f>MIN(INDEX(其他调用!$AH$5:$AH$364,MATCH($K57,其他调用!$AG$5:$AG$364,0),1)/INDEX(其他调用!AH$5:AH$364,MATCH($K57,其他调用!$AG$5:$AG$364,0),0),1)*INDEX(其他调用!Y$5:Y$404,MATCH($K57,其他调用!$X$5:$X$404,0),0)</f>
        <v>32453.124168184659</v>
      </c>
      <c r="O57" s="12">
        <f>MIN(INDEX(其他调用!$AH$5:$AH$364,MATCH($K57,其他调用!$AG$5:$AG$364,0),1)/INDEX(其他调用!AI$5:AI$364,MATCH($K57,其他调用!$AG$5:$AG$364,0),0),1)*INDEX(其他调用!Z$5:Z$404,MATCH($K57,其他调用!$X$5:$X$404,0),0)</f>
        <v>25218.409123968766</v>
      </c>
      <c r="P57" s="12">
        <f>MIN(INDEX(其他调用!$AH$5:$AH$364,MATCH($K57,其他调用!$AG$5:$AG$364,0),1)/INDEX(其他调用!AJ$5:AJ$364,MATCH($K57,其他调用!$AG$5:$AG$364,0),0),1)*INDEX(其他调用!AA$5:AA$404,MATCH($K57,其他调用!$X$5:$X$404,0),0)</f>
        <v>14628.475774141687</v>
      </c>
      <c r="Q57" s="12">
        <f>MIN(INDEX(其他调用!$AH$5:$AH$364,MATCH($K57,其他调用!$AG$5:$AG$364,0),1)/INDEX(其他调用!AK$5:AK$364,MATCH($K57,其他调用!$AG$5:$AG$364,0),0),1)*INDEX(其他调用!AB$5:AB$404,MATCH($K57,其他调用!$X$5:$X$404,0),0)</f>
        <v>5809.8951880528202</v>
      </c>
      <c r="R57" s="12">
        <f>MIN(INDEX(其他调用!$AH$5:$AH$364,MATCH($K57,其他调用!$AG$5:$AG$364,0),1)/INDEX(其他调用!AL$5:AL$364,MATCH($K57,其他调用!$AG$5:$AG$364,0),0),1)*INDEX(其他调用!AC$5:AC$404,MATCH($K57,其他调用!$X$5:$X$404,0),0)</f>
        <v>1938.504469590692</v>
      </c>
      <c r="S57" s="12">
        <f>求节点(节奏总纲!D$4:D$163,标准城池设计!AC$4:AC$163,$K57)*求节点(节奏总纲!D$4:D$163,攻城基础信息!$AD$5:$AD$164,$K57)</f>
        <v>333938.43817270553</v>
      </c>
      <c r="T57" s="12">
        <f>INDEX(其他调用!$AA$5:$AA$404,MATCH($K57,其他调用!$X$5:$X$404,0))*MIN(INDEX(其他调用!AI$5:AI$364,MATCH($K57,其他调用!$AG$5:$AG$364,0),1)/INDEX(其他调用!$AJ$5:$AJ$364,MATCH($K57,其他调用!$AG$5:$AG$364,0),0),5)*求节点(节奏总纲!D$4:D$163,攻城基础信息!$AD$5:$AD$164,$K57)</f>
        <v>53359.446973490943</v>
      </c>
      <c r="U57" s="12">
        <f>MIN(INDEX(其他调用!$AI$5:$AI$364,MATCH($K57,其他调用!$AG$5:$AG$364,0),1)/INDEX(其他调用!AH$5:AH$364,MATCH($K57,其他调用!$AG$5:$AG$364,0),0),1)*INDEX(其他调用!Y$5:Y$404,MATCH($K57,其他调用!$X$5:$X$404,0),0)</f>
        <v>32453.124168184659</v>
      </c>
      <c r="V57" s="12">
        <f>MIN(INDEX(其他调用!$AI$5:$AI$364,MATCH($K57,其他调用!$AG$5:$AG$364,0),1)/INDEX(其他调用!AI$5:AI$364,MATCH($K57,其他调用!$AG$5:$AG$364,0),0),1)*INDEX(其他调用!Z$5:Z$404,MATCH($K57,其他调用!$X$5:$X$404,0),0)</f>
        <v>33542.677387577089</v>
      </c>
      <c r="W57" s="12">
        <f>MIN(INDEX(其他调用!$AI$5:$AI$364,MATCH($K57,其他调用!$AG$5:$AG$364,0),1)/INDEX(其他调用!AJ$5:AJ$364,MATCH($K57,其他调用!$AG$5:$AG$364,0),0),1)*INDEX(其他调用!AA$5:AA$404,MATCH($K57,其他调用!$X$5:$X$404,0),0)</f>
        <v>19457.145022588193</v>
      </c>
      <c r="X57" s="12">
        <f>MIN(INDEX(其他调用!$AI$5:$AI$364,MATCH($K57,其他调用!$AG$5:$AG$364,0),1)/INDEX(其他调用!AK$5:AK$364,MATCH($K57,其他调用!$AG$5:$AG$364,0),0),1)*INDEX(其他调用!AB$5:AB$404,MATCH($K57,其他调用!$X$5:$X$404,0),0)</f>
        <v>7727.665888458826</v>
      </c>
      <c r="Y57" s="12">
        <f>MIN(INDEX(其他调用!$AI$5:$AI$364,MATCH($K57,其他调用!$AG$5:$AG$364,0),1)/INDEX(其他调用!AL$5:AL$364,MATCH($K57,其他调用!$AG$5:$AG$364,0),0),1)*INDEX(其他调用!AC$5:AC$404,MATCH($K57,其他调用!$X$5:$X$404,0),0)</f>
        <v>2578.3795368779329</v>
      </c>
      <c r="Z57" s="12">
        <f>求节点(节奏总纲!D$4:D$163,标准城池设计!AD$4:AD$163,$K57)*求节点(节奏总纲!D$4:D$163,攻城基础信息!$AE$5:$AE$164,$K57)</f>
        <v>352360.92130161036</v>
      </c>
      <c r="AA57" s="12">
        <f>INDEX(其他调用!$AA$5:$AA$404,MATCH($K57,其他调用!$X$5:$X$404,0))*MIN(INDEX(其他调用!AJ$5:AJ$364,MATCH($K57,其他调用!$AG$5:$AG$364,0),1)/INDEX(其他调用!$AJ$5:$AJ$364,MATCH($K57,其他调用!$AG$5:$AG$364,0),0),5)*求节点(节奏总纲!D$4:D$163,攻城基础信息!$AE$5:$AE$164,$K57)</f>
        <v>96096.487831424936</v>
      </c>
      <c r="AB57" s="12">
        <f>MIN(INDEX(其他调用!$AJ$5:$AJ$364,MATCH($K57,其他调用!$AG$5:$AG$364,0),1)/INDEX(其他调用!AH$5:AH$364,MATCH($K57,其他调用!$AG$5:$AG$364,0),0),1)*INDEX(其他调用!Y$5:Y$404,MATCH($K57,其他调用!$X$5:$X$404,0),0)</f>
        <v>32453.124168184659</v>
      </c>
      <c r="AC57" s="12">
        <f>MIN(INDEX(其他调用!$AJ$5:$AJ$364,MATCH($K57,其他调用!$AG$5:$AG$364,0),1)/INDEX(其他调用!AI$5:AI$364,MATCH($K57,其他调用!$AG$5:$AG$364,0),0),1)*INDEX(其他调用!Z$5:Z$404,MATCH($K57,其他调用!$X$5:$X$404,0),0)</f>
        <v>33542.677387577089</v>
      </c>
      <c r="AD57" s="12">
        <f>MIN(INDEX(其他调用!$AJ$5:$AJ$364,MATCH($K57,其他调用!$AG$5:$AG$364,0),1)/INDEX(其他调用!AJ$5:AJ$364,MATCH($K57,其他调用!$AG$5:$AG$364,0),0),1)*INDEX(其他调用!AA$5:AA$404,MATCH($K57,其他调用!$X$5:$X$404,0),0)</f>
        <v>35040.904768490531</v>
      </c>
      <c r="AE57" s="12">
        <f>MIN(INDEX(其他调用!$AJ$5:$AJ$364,MATCH($K57,其他调用!$AG$5:$AG$364,0),1)/INDEX(其他调用!AK$5:AK$364,MATCH($K57,其他调用!$AG$5:$AG$364,0),0),1)*INDEX(其他调用!AB$5:AB$404,MATCH($K57,其他调用!$X$5:$X$404,0),0)</f>
        <v>13916.964907535992</v>
      </c>
      <c r="AF57" s="12">
        <f>MIN(INDEX(其他调用!$AJ$5:$AJ$364,MATCH($K57,其他调用!$AG$5:$AG$364,0),1)/INDEX(其他调用!AL$5:AL$364,MATCH($K57,其他调用!$AG$5:$AG$364,0),0),1)*INDEX(其他调用!AC$5:AC$404,MATCH($K57,其他调用!$X$5:$X$404,0),0)</f>
        <v>4643.4742457784359</v>
      </c>
      <c r="AG57" s="12">
        <f>求节点(节奏总纲!D$4:D$163,标准城池设计!AE$4:AE$163,$K57)*求节点(节奏总纲!D$4:D$163,攻城基础信息!$AF$5:$AF$164,$K57)</f>
        <v>401365.46045302803</v>
      </c>
      <c r="AH57" s="12">
        <f>INDEX(其他调用!$AA$5:$AA$404,MATCH($K57,其他调用!$X$5:$X$404,0))*MIN(INDEX(其他调用!AK$5:AK$364,MATCH($K57,其他调用!$AG$5:$AG$364,0),1)/INDEX(其他调用!$AJ$5:$AJ$364,MATCH($K57,其他调用!$AG$5:$AG$364,0),0),5)*求节点(节奏总纲!D$4:D$163,攻城基础信息!$AF$5:$AF$164,$K57)</f>
        <v>256848.89660682154</v>
      </c>
      <c r="AI57" s="12">
        <f>MIN(INDEX(其他调用!$AK$5:$AK$364,MATCH($K57,其他调用!$AG$5:$AG$364,0),1)/INDEX(其他调用!AH$5:AH$364,MATCH($K57,其他调用!$AG$5:$AG$364,0),0),1)*INDEX(其他调用!Y$5:Y$404,MATCH($K57,其他调用!$X$5:$X$404,0),0)</f>
        <v>32453.124168184659</v>
      </c>
      <c r="AJ57" s="12">
        <f>MIN(INDEX(其他调用!$AK$5:$AK$364,MATCH($K57,其他调用!$AG$5:$AG$364,0),1)/INDEX(其他调用!AI$5:AI$364,MATCH($K57,其他调用!$AG$5:$AG$364,0),0),1)*INDEX(其他调用!Z$5:Z$404,MATCH($K57,其他调用!$X$5:$X$404,0),0)</f>
        <v>33542.677387577089</v>
      </c>
      <c r="AK57" s="12">
        <f>MIN(INDEX(其他调用!$AK$5:$AK$364,MATCH($K57,其他调用!$AG$5:$AG$364,0),1)/INDEX(其他调用!AJ$5:AJ$364,MATCH($K57,其他调用!$AG$5:$AG$364,0),0),1)*INDEX(其他调用!AA$5:AA$404,MATCH($K57,其他调用!$X$5:$X$404,0),0)</f>
        <v>35040.904768490531</v>
      </c>
      <c r="AL57" s="12">
        <f>MIN(INDEX(其他调用!$AK$5:$AK$364,MATCH($K57,其他调用!$AG$5:$AG$364,0),1)/INDEX(其他调用!AK$5:AK$364,MATCH($K57,其他调用!$AG$5:$AG$364,0),0),1)*INDEX(其他调用!AB$5:AB$404,MATCH($K57,其他调用!$X$5:$X$404,0),0)</f>
        <v>37197.582984375666</v>
      </c>
      <c r="AM57" s="12">
        <f>MIN(INDEX(其他调用!$AK$5:$AK$364,MATCH($K57,其他调用!$AG$5:$AG$364,0),1)/INDEX(其他调用!AL$5:AL$364,MATCH($K57,其他调用!$AG$5:$AG$364,0),0),1)*INDEX(其他调用!AC$5:AC$404,MATCH($K57,其他调用!$X$5:$X$404,0),0)</f>
        <v>12411.184460170909</v>
      </c>
      <c r="AN57" s="12">
        <f>求节点(节奏总纲!D$4:D$163,标准城池设计!AF$4:AF$163,$K57)*求节点(节奏总纲!D$4:D$163,攻城基础信息!$AG$5:$AG$164,$K57)</f>
        <v>414106.01168060442</v>
      </c>
      <c r="AO57" s="12">
        <f>INDEX(其他调用!$AA$5:$AA$404,MATCH($K57,其他调用!$X$5:$X$404,0))*MIN(INDEX(其他调用!AL$5:AL$364,MATCH($K57,其他调用!$AG$5:$AG$364,0),1)/INDEX(其他调用!$AJ$5:$AJ$364,MATCH($K57,其他调用!$AG$5:$AG$364,0),0),5)*求节点(节奏总纲!D$4:D$163,攻城基础信息!$AG$5:$AG$164,$K57)</f>
        <v>480482.43915712467</v>
      </c>
      <c r="AP57" s="12">
        <f>MIN(INDEX(其他调用!$AL$5:$AL$364,MATCH($K57,其他调用!$AG$5:$AG$364,0),1)/INDEX(其他调用!AH$5:AH$364,MATCH($K57,其他调用!$AG$5:$AG$364,0),0),1)*INDEX(其他调用!Y$5:Y$404,MATCH($K57,其他调用!$X$5:$X$404,0),0)</f>
        <v>32453.124168184659</v>
      </c>
      <c r="AQ57" s="12">
        <f>MIN(INDEX(其他调用!$AL$5:$AL$364,MATCH($K57,其他调用!$AG$5:$AG$364,0),1)/INDEX(其他调用!AI$5:AI$364,MATCH($K57,其他调用!$AG$5:$AG$364,0),0),1)*INDEX(其他调用!Z$5:Z$404,MATCH($K57,其他调用!$X$5:$X$404,0),0)</f>
        <v>33542.677387577089</v>
      </c>
      <c r="AR57" s="12">
        <f>MIN(INDEX(其他调用!$AL$5:$AL$364,MATCH($K57,其他调用!$AG$5:$AG$364,0),1)/INDEX(其他调用!AJ$5:AJ$364,MATCH($K57,其他调用!$AG$5:$AG$364,0),0),1)*INDEX(其他调用!AA$5:AA$404,MATCH($K57,其他调用!$X$5:$X$404,0),0)</f>
        <v>35040.904768490531</v>
      </c>
      <c r="AS57" s="12">
        <f>MIN(INDEX(其他调用!$AL$5:$AL$364,MATCH($K57,其他调用!$AG$5:$AG$364,0),1)/INDEX(其他调用!AK$5:AK$364,MATCH($K57,其他调用!$AG$5:$AG$364,0),0),1)*INDEX(其他调用!AB$5:AB$404,MATCH($K57,其他调用!$X$5:$X$404,0),0)</f>
        <v>37197.582984375666</v>
      </c>
      <c r="AT57" s="12">
        <f>MIN(INDEX(其他调用!$AL$5:$AL$364,MATCH($K57,其他调用!$AG$5:$AG$364,0),1)/INDEX(其他调用!AL$5:AL$364,MATCH($K57,其他调用!$AG$5:$AG$364,0),0),1)*INDEX(其他调用!AC$5:AC$404,MATCH($K57,其他调用!$X$5:$X$404,0),0)</f>
        <v>41020.949614492209</v>
      </c>
      <c r="AV57" s="14">
        <f>IF(OR(AV$5="大R",AV$5="超R"),MAX(INDEX(其他调用!$H$5:$L$404,MATCH($K57,其他调用!$B$5:$B$404,0),MATCH(AV$5,其他调用!$H$4:$L$4,0))*120*0.85,2),INDEX(其他调用!$H$5:$L$404,MATCH($K57,其他调用!$B$5:$B$404,0),MATCH(AV$5,其他调用!$H$4:$L$4,0))*120*0.85)</f>
        <v>52.365404732727292</v>
      </c>
      <c r="AW57" s="14">
        <f>IF(OR(AW$5="大R",AW$5="超R"),MAX(INDEX(其他调用!$H$5:$L$404,MATCH($K57,其他调用!$B$5:$B$404,0),MATCH(AW$5,其他调用!$H$4:$L$4,0))*120*0.85,2),INDEX(其他调用!$H$5:$L$404,MATCH($K57,其他调用!$B$5:$B$404,0),MATCH(AW$5,其他调用!$H$4:$L$4,0))*120*0.85)</f>
        <v>44.971160803016701</v>
      </c>
      <c r="AX57" s="14">
        <f>IF(OR(AX$5="大R",AX$5="超R"),MAX(INDEX(其他调用!$H$5:$L$404,MATCH($K57,其他调用!$B$5:$B$404,0),MATCH(AX$5,其他调用!$H$4:$L$4,0))*120*0.85,2),INDEX(其他调用!$H$5:$L$404,MATCH($K57,其他调用!$B$5:$B$404,0),MATCH(AX$5,其他调用!$H$4:$L$4,0))*120*0.85)</f>
        <v>3.8591522242560004</v>
      </c>
      <c r="AY57" s="14">
        <f>IF(OR(AY$5="大R",AY$5="超R"),MAX(INDEX(其他调用!$H$5:$L$404,MATCH($K57,其他调用!$B$5:$B$404,0),MATCH(AY$5,其他调用!$H$4:$L$4,0))*120*0.85,2),INDEX(其他调用!$H$5:$L$404,MATCH($K57,其他调用!$B$5:$B$404,0),MATCH(AY$5,其他调用!$H$4:$L$4,0))*120*0.85)</f>
        <v>2</v>
      </c>
      <c r="AZ57" s="14">
        <f>IF(OR(AZ$5="大R",AZ$5="超R"),MAX(INDEX(其他调用!$H$5:$L$404,MATCH($K57,其他调用!$B$5:$B$404,0),MATCH(AZ$5,其他调用!$H$4:$L$4,0))*120*0.85,2),INDEX(其他调用!$H$5:$L$404,MATCH($K57,其他调用!$B$5:$B$404,0),MATCH(AZ$5,其他调用!$H$4:$L$4,0))*120*0.85)</f>
        <v>2</v>
      </c>
      <c r="BA57" s="14">
        <f>INDEX(其他调用!$H$5:$L$404,MATCH($K57,其他调用!$B$5:$B$404,0),MATCH(BA$5,其他调用!$H$4:$L$4,0))*INDEX(其他调用!$M$5:$M$404,MATCH($K57,其他调用!$B$5:$B$404,0))*0.6</f>
        <v>28.873927501234459</v>
      </c>
      <c r="BB57" s="14">
        <f>INDEX(其他调用!$H$5:$L$404,MATCH($K57,其他调用!$B$5:$B$404,0),MATCH(BB$5,其他调用!$H$4:$L$4,0))*INDEX(其他调用!$M$5:$M$404,MATCH($K57,其他调用!$B$5:$B$404,0))*0.6</f>
        <v>24.796791761663393</v>
      </c>
      <c r="BC57" s="14">
        <f>INDEX(其他调用!$H$5:$L$404,MATCH($K57,其他调用!$B$5:$B$404,0),MATCH(BC$5,其他调用!$H$4:$L$4,0))*INDEX(其他调用!$M$5:$M$404,MATCH($K57,其他调用!$B$5:$B$404,0))*0.6</f>
        <v>2.1279102512074108</v>
      </c>
      <c r="BD57" s="14">
        <f>INDEX(其他调用!$H$5:$L$404,MATCH($K57,其他调用!$B$5:$B$404,0),MATCH(BD$5,其他调用!$H$4:$L$4,0))*INDEX(其他调用!$M$5:$M$404,MATCH($K57,其他调用!$B$5:$B$404,0))*0.6</f>
        <v>0.35060878484210539</v>
      </c>
      <c r="BE57" s="14">
        <f>INDEX(其他调用!$H$5:$L$404,MATCH($K57,其他调用!$B$5:$B$404,0),MATCH(BE$5,其他调用!$H$4:$L$4,0))*INDEX(其他调用!$M$5:$M$404,MATCH($K57,其他调用!$B$5:$B$404,0))*0.6</f>
        <v>9.2866964210526301E-2</v>
      </c>
      <c r="BF57" s="14">
        <f>IF(OR(BF$5="大R",BF$5="超R"),0,INDEX(其他调用!$H$5:$L$404,MATCH($K57,其他调用!$B$5:$B$404,0),MATCH(BF$5,其他调用!$H$4:$L$4,0))*50*0.4)</f>
        <v>10.267726418181823</v>
      </c>
      <c r="BG57" s="14">
        <f>IF(OR(BG$5="大R",BG$5="超R"),0,INDEX(其他调用!$H$5:$L$404,MATCH($K57,其他调用!$B$5:$B$404,0),MATCH(BG$5,其他调用!$H$4:$L$4,0))*50*0.4)</f>
        <v>8.8178746672581791</v>
      </c>
      <c r="BH57" s="14">
        <f>IF(OR(BH$5="大R",BH$5="超R"),0,INDEX(其他调用!$H$5:$L$404,MATCH($K57,其他调用!$B$5:$B$404,0),MATCH(BH$5,其他调用!$H$4:$L$4,0))*50*0.4)</f>
        <v>0.75669651456000009</v>
      </c>
      <c r="BI57" s="14">
        <f>IF(OR(BI$5="大R",BI$5="超R"),0,INDEX(其他调用!$H$5:$L$404,MATCH($K57,其他调用!$B$5:$B$404,0),MATCH(BI$5,其他调用!$H$4:$L$4,0))*50*0.4)</f>
        <v>0</v>
      </c>
      <c r="BJ57" s="14">
        <f>IF(OR(BJ$5="大R",BJ$5="超R"),0,INDEX(其他调用!$H$5:$L$404,MATCH($K57,其他调用!$B$5:$B$404,0),MATCH(BJ$5,其他调用!$H$4:$L$4,0))*50*0.4)</f>
        <v>0</v>
      </c>
      <c r="BL57" s="14">
        <f t="shared" si="103"/>
        <v>52</v>
      </c>
      <c r="BM57" s="14">
        <f t="shared" si="10"/>
        <v>96</v>
      </c>
      <c r="BN57" s="14">
        <f>('疲劳值&amp;地图信息'!$S$10*'疲劳值&amp;地图信息'!$R$10+'疲劳值&amp;地图信息'!$S$11*'疲劳值&amp;地图信息'!$R$11+'疲劳值&amp;地图信息'!$S$12*'疲劳值&amp;地图信息'!$R$12+(BM57-'疲劳值&amp;地图信息'!$S$12-'疲劳值&amp;地图信息'!$S$11-'疲劳值&amp;地图信息'!$S$10)*'疲劳值&amp;地图信息'!$R$13)/BM57</f>
        <v>51.371477246638619</v>
      </c>
      <c r="BO57" s="14">
        <f>INDEX(其他调用!$M$5:$M$404,MATCH(BL57,其他调用!$B$5:$B$404,0))*0.6</f>
        <v>56.242105263157896</v>
      </c>
      <c r="BP57" s="14">
        <f>IF(BO57&gt;SUM('疲劳值&amp;地图信息'!$S$10:$S$12),('疲劳值&amp;地图信息'!$S$10*'疲劳值&amp;地图信息'!$R$10+'疲劳值&amp;地图信息'!$S$11*'疲劳值&amp;地图信息'!$R$11+'疲劳值&amp;地图信息'!$S$12*'疲劳值&amp;地图信息'!$R$12+(BO57-'疲劳值&amp;地图信息'!$S$12-'疲劳值&amp;地图信息'!$S$11-'疲劳值&amp;地图信息'!$S$10)*'疲劳值&amp;地图信息'!$R$13)/BO57,('疲劳值&amp;地图信息'!$S$10*'疲劳值&amp;地图信息'!$R$10+'疲劳值&amp;地图信息'!$S$11*'疲劳值&amp;地图信息'!$R$11+'疲劳值&amp;地图信息'!$S$12*'疲劳值&amp;地图信息'!$R$12+(BO57-'疲劳值&amp;地图信息'!$S$12-'疲劳值&amp;地图信息'!$S$11-'疲劳值&amp;地图信息'!$S$10)*'疲劳值&amp;地图信息'!$R$13)/BO57)</f>
        <v>42.872884509004209</v>
      </c>
      <c r="BQ57" s="14">
        <f t="shared" si="104"/>
        <v>20</v>
      </c>
      <c r="BR57" s="14">
        <f>('疲劳值&amp;地图信息'!$S$10*'疲劳值&amp;地图信息'!$R$10+($BQ57-'疲劳值&amp;地图信息'!$S$10)*'疲劳值&amp;地图信息'!$R$11)/$BQ57</f>
        <v>32.067203015074995</v>
      </c>
      <c r="BW57" s="14" t="s">
        <v>18</v>
      </c>
      <c r="BX57" s="14" t="s">
        <v>486</v>
      </c>
      <c r="BY57" s="49">
        <v>0.8</v>
      </c>
      <c r="CF57" s="14">
        <v>52</v>
      </c>
      <c r="CG57" s="51">
        <f t="shared" si="11"/>
        <v>6746</v>
      </c>
      <c r="CH57" s="51">
        <f t="shared" si="12"/>
        <v>842</v>
      </c>
      <c r="CI57" s="51">
        <f>INT(SUMPRODUCT($N57:$R57,$BA57:$BE57)/SUM($BA57:$BE57)/10000*$BX$7*$BZ$34/'疲劳值&amp;地图信息'!$R$10*$BY$53)</f>
        <v>2878</v>
      </c>
      <c r="CJ57" s="50">
        <f t="shared" si="13"/>
        <v>0.64456334798394799</v>
      </c>
      <c r="CK57" s="50">
        <f t="shared" si="14"/>
        <v>8.0450984139117138E-2</v>
      </c>
      <c r="CL57" s="50">
        <f t="shared" si="15"/>
        <v>0.27498566787693485</v>
      </c>
      <c r="CM57" s="14">
        <f t="shared" si="16"/>
        <v>7010</v>
      </c>
      <c r="CN57" s="14">
        <f t="shared" si="17"/>
        <v>1120</v>
      </c>
      <c r="CO57" s="14">
        <f>INT(SUMPRODUCT($U57:$Y57,$BA57:$BE57)/SUM($BA57:$BE57)/10000*$BX$7*$BZ$34/'疲劳值&amp;地图信息'!$R$10*$BY$54)</f>
        <v>4906</v>
      </c>
      <c r="CP57" s="50">
        <f t="shared" si="18"/>
        <v>0.53774163853942925</v>
      </c>
      <c r="CQ57" s="50">
        <f t="shared" si="19"/>
        <v>8.5915925130408105E-2</v>
      </c>
      <c r="CR57" s="50">
        <f t="shared" si="20"/>
        <v>0.37634243633016262</v>
      </c>
      <c r="CS57" s="14">
        <f t="shared" si="21"/>
        <v>7396</v>
      </c>
      <c r="CT57" s="14">
        <f t="shared" si="22"/>
        <v>2017</v>
      </c>
      <c r="CU57" s="14">
        <f>INT(SUMPRODUCT($AB57:$AF57,$BA57:$BE57)/SUM($BA57:$BE57)/10000*$BX$7*$BZ$34/'疲劳值&amp;地图信息'!$R$10*$BY$55)</f>
        <v>6670</v>
      </c>
      <c r="CV57" s="50">
        <f t="shared" si="23"/>
        <v>0.45986445314928809</v>
      </c>
      <c r="CW57" s="50">
        <f t="shared" si="24"/>
        <v>0.12541192563576448</v>
      </c>
      <c r="CX57" s="50">
        <f t="shared" si="25"/>
        <v>0.41472362121494744</v>
      </c>
      <c r="CY57" s="14">
        <f t="shared" si="26"/>
        <v>8425</v>
      </c>
      <c r="CZ57" s="14">
        <f t="shared" si="27"/>
        <v>5391</v>
      </c>
      <c r="DA57" s="14">
        <f>INT(SUMPRODUCT($AI57:$AM57,$BA57:$BE57)/SUM($BA57:$BE57)/10000*$BX$7*$BZ$34/'疲劳值&amp;地图信息'!$R$10*$BY$56)</f>
        <v>10053</v>
      </c>
      <c r="DB57" s="50">
        <f t="shared" si="28"/>
        <v>0.35296828522351165</v>
      </c>
      <c r="DC57" s="50">
        <f t="shared" si="29"/>
        <v>0.22585780719762033</v>
      </c>
      <c r="DD57" s="50">
        <f t="shared" si="30"/>
        <v>0.42117390757886797</v>
      </c>
      <c r="DE57" s="14">
        <f t="shared" si="31"/>
        <v>8693</v>
      </c>
      <c r="DF57" s="14">
        <f t="shared" si="32"/>
        <v>10086</v>
      </c>
      <c r="DG57" s="14">
        <f>INT(SUMPRODUCT($AP57:$AT57,$BA57:$BE57)/SUM($BA57:$BE57)/10000*$BX$7*$BZ$34/'疲劳值&amp;地图信息'!$R$10*$BY$57)</f>
        <v>13424</v>
      </c>
      <c r="DH57" s="50">
        <f t="shared" si="33"/>
        <v>0.26994379405645436</v>
      </c>
      <c r="DI57" s="50">
        <f t="shared" si="34"/>
        <v>0.31320063348135269</v>
      </c>
      <c r="DJ57" s="50">
        <f t="shared" si="35"/>
        <v>0.41685557246219296</v>
      </c>
      <c r="DL57" s="14">
        <f t="shared" si="106"/>
        <v>10466</v>
      </c>
      <c r="DM57" s="14">
        <f t="shared" si="107"/>
        <v>13036</v>
      </c>
      <c r="DN57" s="14">
        <f t="shared" si="108"/>
        <v>16083</v>
      </c>
      <c r="DO57" s="14">
        <f t="shared" si="109"/>
        <v>23869</v>
      </c>
      <c r="DP57" s="14">
        <f t="shared" si="110"/>
        <v>32203</v>
      </c>
      <c r="DQ57" s="14">
        <f t="shared" si="111"/>
        <v>671027</v>
      </c>
      <c r="DT57" s="14">
        <f t="shared" si="105"/>
        <v>235575</v>
      </c>
      <c r="DU57" s="50">
        <f t="shared" si="7"/>
        <v>0.25984390063114798</v>
      </c>
      <c r="DW57" s="14">
        <f t="shared" si="36"/>
        <v>906602</v>
      </c>
      <c r="EB57" s="14">
        <v>52</v>
      </c>
      <c r="EC57" s="51">
        <f t="shared" si="37"/>
        <v>11244</v>
      </c>
      <c r="ED57" s="51">
        <f t="shared" si="38"/>
        <v>1403</v>
      </c>
      <c r="EE57" s="51">
        <f>INT(SUMPRODUCT($N57:$R57,$BF57:$BJ57)/SUM($BF57:$BJ57)/10000*$BX$7*$BZ$46/'疲劳值&amp;地图信息'!$R$10*$BY$53)</f>
        <v>386</v>
      </c>
      <c r="EF57" s="50">
        <f t="shared" si="39"/>
        <v>0.86273306222665547</v>
      </c>
      <c r="EG57" s="50">
        <f t="shared" si="40"/>
        <v>0.10764981201565257</v>
      </c>
      <c r="EH57" s="50">
        <f t="shared" si="41"/>
        <v>2.9617125757692011E-2</v>
      </c>
      <c r="EI57" s="51">
        <f t="shared" si="42"/>
        <v>11683</v>
      </c>
      <c r="EJ57" s="51">
        <f t="shared" si="43"/>
        <v>1866</v>
      </c>
      <c r="EK57" s="14">
        <f>INT(SUMPRODUCT($U57:$Y57,$BF57:$BJ57)/SUM($BF57:$BJ57)/10000*$BX$7*$BZ$46/'疲劳值&amp;地图信息'!$R$10*$BY$54)</f>
        <v>658</v>
      </c>
      <c r="EL57" s="50">
        <f t="shared" si="44"/>
        <v>0.8223410994580137</v>
      </c>
      <c r="EM57" s="50">
        <f t="shared" si="45"/>
        <v>0.13134370380798199</v>
      </c>
      <c r="EN57" s="50">
        <f t="shared" si="46"/>
        <v>4.6315196734004367E-2</v>
      </c>
      <c r="EO57" s="51">
        <f t="shared" si="47"/>
        <v>12328</v>
      </c>
      <c r="EP57" s="51">
        <f t="shared" si="48"/>
        <v>3362</v>
      </c>
      <c r="EQ57" s="14">
        <f>INT(SUMPRODUCT($AB57:$AF57,$BF57:$BJ57)/SUM($BF57:$BJ57)/10000*$BX$7*$BZ$46/'疲劳值&amp;地图信息'!$R$10*$BY$55)</f>
        <v>893</v>
      </c>
      <c r="ER57" s="50">
        <f t="shared" si="49"/>
        <v>0.7434119278779473</v>
      </c>
      <c r="ES57" s="50">
        <f t="shared" si="50"/>
        <v>0.20273774347223059</v>
      </c>
      <c r="ET57" s="50">
        <f t="shared" si="51"/>
        <v>5.3850328649822109E-2</v>
      </c>
      <c r="EU57" s="51">
        <f t="shared" si="52"/>
        <v>14042</v>
      </c>
      <c r="EV57" s="51">
        <f t="shared" si="53"/>
        <v>8986</v>
      </c>
      <c r="EW57" s="14">
        <f>INT(SUMPRODUCT($AI57:$AM57,$BF57:$BJ57)/SUM($BF57:$BJ57)/10000*$BX$7*$BZ$46/'疲劳值&amp;地图信息'!$R$10*$BY$56)</f>
        <v>1340</v>
      </c>
      <c r="EX57" s="50">
        <f t="shared" si="54"/>
        <v>0.57624753775443205</v>
      </c>
      <c r="EY57" s="50">
        <f t="shared" si="55"/>
        <v>0.36876231122783981</v>
      </c>
      <c r="EZ57" s="50">
        <f t="shared" si="56"/>
        <v>5.4990151017728167E-2</v>
      </c>
      <c r="FA57" s="51">
        <f t="shared" si="57"/>
        <v>14488</v>
      </c>
      <c r="FB57" s="51">
        <f t="shared" si="58"/>
        <v>16810</v>
      </c>
      <c r="FC57" s="14">
        <f>INT(SUMPRODUCT($AP57:$AT57,$BF57:$BJ57)/SUM($BF57:$BJ57)/10000*$BX$7*$BZ$46/'疲劳值&amp;地图信息'!$R$10*$BY$57)</f>
        <v>1787</v>
      </c>
      <c r="FD57" s="50">
        <f t="shared" si="59"/>
        <v>0.4379023726764395</v>
      </c>
      <c r="FE57" s="50">
        <f t="shared" si="60"/>
        <v>0.50808523500075564</v>
      </c>
      <c r="FF57" s="50">
        <f t="shared" si="61"/>
        <v>5.4012392322804893E-2</v>
      </c>
      <c r="FH57" s="14">
        <f t="shared" si="62"/>
        <v>13033</v>
      </c>
      <c r="FI57" s="14">
        <f t="shared" si="63"/>
        <v>14207</v>
      </c>
      <c r="FJ57" s="14">
        <f t="shared" si="64"/>
        <v>16583</v>
      </c>
      <c r="FK57" s="14">
        <f t="shared" si="65"/>
        <v>24368</v>
      </c>
      <c r="FL57" s="14">
        <f t="shared" si="66"/>
        <v>33085</v>
      </c>
      <c r="FM57" s="14">
        <f t="shared" si="67"/>
        <v>1500285</v>
      </c>
      <c r="FP57" s="14">
        <f t="shared" si="68"/>
        <v>334150</v>
      </c>
      <c r="FQ57" s="50">
        <f t="shared" si="8"/>
        <v>0.18215417826197167</v>
      </c>
      <c r="FS57" s="14">
        <f t="shared" si="69"/>
        <v>1834435</v>
      </c>
      <c r="FX57" s="14">
        <v>52</v>
      </c>
      <c r="FY57" s="51">
        <f t="shared" si="70"/>
        <v>15742</v>
      </c>
      <c r="FZ57" s="51">
        <f t="shared" si="71"/>
        <v>1403</v>
      </c>
      <c r="GA57" s="51">
        <f>INT(SUMPRODUCT($N57:$R57,$BF57:$BJ57)/SUM($BF57:$BJ57)/10000*$BX$7*$BZ$46/'疲劳值&amp;地图信息'!$R$10*$BY$53)</f>
        <v>386</v>
      </c>
      <c r="GB57" s="50">
        <f t="shared" si="72"/>
        <v>0.89795219896183898</v>
      </c>
      <c r="GC57" s="50">
        <f t="shared" si="73"/>
        <v>8.0029661742056932E-2</v>
      </c>
      <c r="GD57" s="50">
        <f t="shared" si="74"/>
        <v>2.2018139296104043E-2</v>
      </c>
      <c r="GE57" s="51">
        <f t="shared" si="75"/>
        <v>16356</v>
      </c>
      <c r="GF57" s="51">
        <f t="shared" si="76"/>
        <v>1866</v>
      </c>
      <c r="GG57" s="14">
        <f>INT(SUMPRODUCT($U57:$Y57,$BF57:$BJ57)/SUM($BF57:$BJ57)/10000*$BX$7*$BZ$46/'疲劳值&amp;地图信息'!$R$10*$BY$54)</f>
        <v>658</v>
      </c>
      <c r="GH57" s="50">
        <f t="shared" si="77"/>
        <v>0.86631355932203391</v>
      </c>
      <c r="GI57" s="50">
        <f t="shared" si="78"/>
        <v>9.8834745762711868E-2</v>
      </c>
      <c r="GJ57" s="50">
        <f t="shared" si="79"/>
        <v>3.4851694915254236E-2</v>
      </c>
      <c r="GK57" s="51">
        <f t="shared" si="80"/>
        <v>17259</v>
      </c>
      <c r="GL57" s="51">
        <f t="shared" si="81"/>
        <v>3362</v>
      </c>
      <c r="GM57" s="14">
        <f>INT(SUMPRODUCT($AB57:$AF57,$BF57:$BJ57)/SUM($BF57:$BJ57)/10000*$BX$7*$BZ$46/'疲劳值&amp;地图信息'!$R$10*$BY$55)</f>
        <v>893</v>
      </c>
      <c r="GN57" s="50">
        <f t="shared" si="82"/>
        <v>0.80222180905456908</v>
      </c>
      <c r="GO57" s="50">
        <f t="shared" si="83"/>
        <v>0.15627033559542625</v>
      </c>
      <c r="GP57" s="50">
        <f t="shared" si="84"/>
        <v>4.1507855350004647E-2</v>
      </c>
      <c r="GQ57" s="51">
        <f t="shared" si="85"/>
        <v>19659</v>
      </c>
      <c r="GR57" s="51">
        <f t="shared" si="86"/>
        <v>8986</v>
      </c>
      <c r="GS57" s="14">
        <f>INT(SUMPRODUCT($AI57:$AM57,$BF57:$BJ57)/SUM($BF57:$BJ57)/10000*$BX$7*$BZ$46/'疲劳值&amp;地图信息'!$R$10*$BY$56)</f>
        <v>1340</v>
      </c>
      <c r="GT57" s="50">
        <f t="shared" si="87"/>
        <v>0.65562781390695346</v>
      </c>
      <c r="GU57" s="50">
        <f t="shared" si="88"/>
        <v>0.29968317492079372</v>
      </c>
      <c r="GV57" s="50">
        <f t="shared" si="89"/>
        <v>4.4689011172252796E-2</v>
      </c>
      <c r="GW57" s="51">
        <f t="shared" si="90"/>
        <v>20283</v>
      </c>
      <c r="GX57" s="51">
        <f t="shared" si="91"/>
        <v>16810</v>
      </c>
      <c r="GY57" s="14">
        <f>INT(SUMPRODUCT($AP57:$AT57,$BF57:$BJ57)/SUM($BF57:$BJ57)/10000*$BX$7*$BZ$46/'疲劳值&amp;地图信息'!$R$10*$BY$57)</f>
        <v>1787</v>
      </c>
      <c r="GZ57" s="50">
        <f t="shared" si="92"/>
        <v>0.52168209876543215</v>
      </c>
      <c r="HA57" s="50">
        <f t="shared" si="93"/>
        <v>0.4323559670781893</v>
      </c>
      <c r="HB57" s="50">
        <f t="shared" si="94"/>
        <v>4.59619341563786E-2</v>
      </c>
      <c r="HD57" s="14">
        <f t="shared" si="95"/>
        <v>17531</v>
      </c>
      <c r="HE57" s="14">
        <f t="shared" si="96"/>
        <v>18880</v>
      </c>
      <c r="HF57" s="14">
        <f t="shared" si="97"/>
        <v>21514</v>
      </c>
      <c r="HG57" s="14">
        <f t="shared" si="98"/>
        <v>29985</v>
      </c>
      <c r="HH57" s="14">
        <f t="shared" si="99"/>
        <v>38880</v>
      </c>
      <c r="HI57" s="14">
        <f t="shared" si="100"/>
        <v>1987829</v>
      </c>
      <c r="HL57" s="14">
        <f t="shared" si="101"/>
        <v>430050</v>
      </c>
      <c r="HM57" s="50">
        <f t="shared" si="9"/>
        <v>0.17786249849558228</v>
      </c>
      <c r="HO57" s="14">
        <f t="shared" si="102"/>
        <v>2417879</v>
      </c>
    </row>
    <row r="58" spans="11:223" x14ac:dyDescent="0.2">
      <c r="K58" s="14">
        <v>53</v>
      </c>
      <c r="L58" s="12">
        <f>求节点(节奏总纲!D$4:D$163,标准城池设计!AB$4:AB$163,$K58)*求节点(节奏总纲!D$4:D$163,攻城基础信息!$AC$5:$AC$164,$K58)</f>
        <v>324724.22690155572</v>
      </c>
      <c r="M58" s="12">
        <f>INDEX(其他调用!$AA$5:$AA$404,MATCH(K58,其他调用!$X$5:$X$404,0))*MIN(INDEX(其他调用!$AH$5:$AH$364,MATCH('征服点（新）'!K58,其他调用!$AG$5:$AG$364,0),1)/INDEX(其他调用!$AJ$5:$AJ$364,MATCH(K58,其他调用!$AG$5:$AG$364,0),0),5)*求节点(节奏总纲!D$4:D$163,攻城基础信息!$AC$5:$AC$164,$K58)</f>
        <v>39869.627721044912</v>
      </c>
      <c r="N58" s="12">
        <f>MIN(INDEX(其他调用!$AH$5:$AH$364,MATCH($K58,其他调用!$AG$5:$AG$364,0),1)/INDEX(其他调用!AH$5:AH$364,MATCH($K58,其他调用!$AG$5:$AG$364,0),0),1)*INDEX(其他调用!Y$5:Y$404,MATCH($K58,其他调用!$X$5:$X$404,0),0)</f>
        <v>32558.269126804033</v>
      </c>
      <c r="O58" s="12">
        <f>MIN(INDEX(其他调用!$AH$5:$AH$364,MATCH($K58,其他调用!$AG$5:$AG$364,0),1)/INDEX(其他调用!AI$5:AI$364,MATCH($K58,其他调用!$AG$5:$AG$364,0),0),1)*INDEX(其他调用!Z$5:Z$404,MATCH($K58,其他调用!$X$5:$X$404,0),0)</f>
        <v>25092.221974652526</v>
      </c>
      <c r="P58" s="12">
        <f>MIN(INDEX(其他调用!$AH$5:$AH$364,MATCH($K58,其他调用!$AG$5:$AG$364,0),1)/INDEX(其他调用!AJ$5:AJ$364,MATCH($K58,其他调用!$AG$5:$AG$364,0),0),1)*INDEX(其他调用!AA$5:AA$404,MATCH($K58,其他调用!$X$5:$X$404,0),0)</f>
        <v>14490.970523919221</v>
      </c>
      <c r="Q58" s="12">
        <f>MIN(INDEX(其他调用!$AH$5:$AH$364,MATCH($K58,其他调用!$AG$5:$AG$364,0),1)/INDEX(其他调用!AK$5:AK$364,MATCH($K58,其他调用!$AG$5:$AG$364,0),0),1)*INDEX(其他调用!AB$5:AB$404,MATCH($K58,其他调用!$X$5:$X$404,0),0)</f>
        <v>5779.4099278761432</v>
      </c>
      <c r="R58" s="12">
        <f>MIN(INDEX(其他调用!$AH$5:$AH$364,MATCH($K58,其他调用!$AG$5:$AG$364,0),1)/INDEX(其他调用!AL$5:AL$364,MATCH($K58,其他调用!$AG$5:$AG$364,0),0),1)*INDEX(其他调用!AC$5:AC$404,MATCH($K58,其他调用!$X$5:$X$404,0),0)</f>
        <v>1923.6564781462887</v>
      </c>
      <c r="S58" s="12">
        <f>求节点(节奏总纲!D$4:D$163,标准城池设计!AC$4:AC$163,$K58)*求节点(节奏总纲!D$4:D$163,攻城基础信息!$AD$5:$AD$164,$K58)</f>
        <v>337589.45157453354</v>
      </c>
      <c r="T58" s="12">
        <f>INDEX(其他调用!$AA$5:$AA$404,MATCH($K58,其他调用!$X$5:$X$404,0))*MIN(INDEX(其他调用!AI$5:AI$364,MATCH($K58,其他调用!$AG$5:$AG$364,0),1)/INDEX(其他调用!$AJ$5:$AJ$364,MATCH($K58,其他调用!$AG$5:$AG$364,0),0),5)*求节点(节奏总纲!D$4:D$163,攻城基础信息!$AD$5:$AD$164,$K58)</f>
        <v>53465.306388343924</v>
      </c>
      <c r="U58" s="12">
        <f>MIN(INDEX(其他调用!$AI$5:$AI$364,MATCH($K58,其他调用!$AG$5:$AG$364,0),1)/INDEX(其他调用!AH$5:AH$364,MATCH($K58,其他调用!$AG$5:$AG$364,0),0),1)*INDEX(其他调用!Y$5:Y$404,MATCH($K58,其他调用!$X$5:$X$404,0),0)</f>
        <v>32558.269126804033</v>
      </c>
      <c r="V58" s="12">
        <f>MIN(INDEX(其他调用!$AI$5:$AI$364,MATCH($K58,其他调用!$AG$5:$AG$364,0),1)/INDEX(其他调用!AI$5:AI$364,MATCH($K58,其他调用!$AG$5:$AG$364,0),0),1)*INDEX(其他调用!Z$5:Z$404,MATCH($K58,其他调用!$X$5:$X$404,0),0)</f>
        <v>33648.755017870368</v>
      </c>
      <c r="W58" s="12">
        <f>MIN(INDEX(其他调用!$AI$5:$AI$364,MATCH($K58,其他调用!$AG$5:$AG$364,0),1)/INDEX(其他调用!AJ$5:AJ$364,MATCH($K58,其他调用!$AG$5:$AG$364,0),0),1)*INDEX(其他调用!AA$5:AA$404,MATCH($K58,其他调用!$X$5:$X$404,0),0)</f>
        <v>19432.440762842834</v>
      </c>
      <c r="X58" s="12">
        <f>MIN(INDEX(其他调用!$AI$5:$AI$364,MATCH($K58,其他调用!$AG$5:$AG$364,0),1)/INDEX(其他调用!AK$5:AK$364,MATCH($K58,其他调用!$AG$5:$AG$364,0),0),1)*INDEX(其他调用!AB$5:AB$404,MATCH($K58,其他调用!$X$5:$X$404,0),0)</f>
        <v>7750.2083716380475</v>
      </c>
      <c r="Y58" s="12">
        <f>MIN(INDEX(其他调用!$AI$5:$AI$364,MATCH($K58,其他调用!$AG$5:$AG$364,0),1)/INDEX(其他调用!AL$5:AL$364,MATCH($K58,其他调用!$AG$5:$AG$364,0),0),1)*INDEX(其他调用!AC$5:AC$404,MATCH($K58,其他调用!$X$5:$X$404,0),0)</f>
        <v>2579.6298804095895</v>
      </c>
      <c r="Z58" s="12">
        <f>求节点(节奏总纲!D$4:D$163,标准城池设计!AD$4:AD$163,$K58)*求节点(节奏总纲!D$4:D$163,攻城基础信息!$AE$5:$AE$164,$K58)</f>
        <v>356243.81881225115</v>
      </c>
      <c r="AA58" s="12">
        <f>INDEX(其他调用!$AA$5:$AA$404,MATCH($K58,其他调用!$X$5:$X$404,0))*MIN(INDEX(其他调用!AJ$5:AJ$364,MATCH($K58,其他调用!$AG$5:$AG$364,0),1)/INDEX(其他调用!$AJ$5:$AJ$364,MATCH($K58,其他调用!$AG$5:$AG$364,0),0),5)*求节点(节奏总纲!D$4:D$163,攻城基础信息!$AE$5:$AE$164,$K58)</f>
        <v>96696.843581974565</v>
      </c>
      <c r="AB58" s="12">
        <f>MIN(INDEX(其他调用!$AJ$5:$AJ$364,MATCH($K58,其他调用!$AG$5:$AG$364,0),1)/INDEX(其他调用!AH$5:AH$364,MATCH($K58,其他调用!$AG$5:$AG$364,0),0),1)*INDEX(其他调用!Y$5:Y$404,MATCH($K58,其他调用!$X$5:$X$404,0),0)</f>
        <v>32558.269126804033</v>
      </c>
      <c r="AC58" s="12">
        <f>MIN(INDEX(其他调用!$AJ$5:$AJ$364,MATCH($K58,其他调用!$AG$5:$AG$364,0),1)/INDEX(其他调用!AI$5:AI$364,MATCH($K58,其他调用!$AG$5:$AG$364,0),0),1)*INDEX(其他调用!Z$5:Z$404,MATCH($K58,其他调用!$X$5:$X$404,0),0)</f>
        <v>33648.755017870368</v>
      </c>
      <c r="AD58" s="12">
        <f>MIN(INDEX(其他调用!$AJ$5:$AJ$364,MATCH($K58,其他调用!$AG$5:$AG$364,0),1)/INDEX(其他调用!AJ$5:AJ$364,MATCH($K58,其他调用!$AG$5:$AG$364,0),0),1)*INDEX(其他调用!AA$5:AA$404,MATCH($K58,其他调用!$X$5:$X$404,0),0)</f>
        <v>35145.327162480389</v>
      </c>
      <c r="AE58" s="12">
        <f>MIN(INDEX(其他调用!$AJ$5:$AJ$364,MATCH($K58,其他调用!$AG$5:$AG$364,0),1)/INDEX(其他调用!AK$5:AK$364,MATCH($K58,其他调用!$AG$5:$AG$364,0),0),1)*INDEX(其他调用!AB$5:AB$404,MATCH($K58,其他调用!$X$5:$X$404,0),0)</f>
        <v>14016.952997455875</v>
      </c>
      <c r="AF58" s="12">
        <f>MIN(INDEX(其他调用!$AJ$5:$AJ$364,MATCH($K58,其他调用!$AG$5:$AG$364,0),1)/INDEX(其他调用!AL$5:AL$364,MATCH($K58,其他调用!$AG$5:$AG$364,0),0),1)*INDEX(其他调用!AC$5:AC$404,MATCH($K58,其他调用!$X$5:$X$404,0),0)</f>
        <v>4665.4940165036669</v>
      </c>
      <c r="AG58" s="12">
        <f>求节点(节奏总纲!D$4:D$163,标准城池设计!AE$4:AE$163,$K58)*求节点(节奏总纲!D$4:D$163,攻城基础信息!$AF$5:$AF$164,$K58)</f>
        <v>405403.83318085794</v>
      </c>
      <c r="AH58" s="12">
        <f>INDEX(其他调用!$AA$5:$AA$404,MATCH($K58,其他调用!$X$5:$X$404,0))*MIN(INDEX(其他调用!AK$5:AK$364,MATCH($K58,其他调用!$AG$5:$AG$364,0),1)/INDEX(其他调用!$AJ$5:$AJ$364,MATCH($K58,其他调用!$AG$5:$AG$364,0),0),5)*求节点(节奏总纲!D$4:D$163,攻城基础信息!$AF$5:$AF$164,$K58)</f>
        <v>257406.39854371874</v>
      </c>
      <c r="AI58" s="12">
        <f>MIN(INDEX(其他调用!$AK$5:$AK$364,MATCH($K58,其他调用!$AG$5:$AG$364,0),1)/INDEX(其他调用!AH$5:AH$364,MATCH($K58,其他调用!$AG$5:$AG$364,0),0),1)*INDEX(其他调用!Y$5:Y$404,MATCH($K58,其他调用!$X$5:$X$404,0),0)</f>
        <v>32558.269126804033</v>
      </c>
      <c r="AJ58" s="12">
        <f>MIN(INDEX(其他调用!$AK$5:$AK$364,MATCH($K58,其他调用!$AG$5:$AG$364,0),1)/INDEX(其他调用!AI$5:AI$364,MATCH($K58,其他调用!$AG$5:$AG$364,0),0),1)*INDEX(其他调用!Z$5:Z$404,MATCH($K58,其他调用!$X$5:$X$404,0),0)</f>
        <v>33648.755017870368</v>
      </c>
      <c r="AK58" s="12">
        <f>MIN(INDEX(其他调用!$AK$5:$AK$364,MATCH($K58,其他调用!$AG$5:$AG$364,0),1)/INDEX(其他调用!AJ$5:AJ$364,MATCH($K58,其他调用!$AG$5:$AG$364,0),0),1)*INDEX(其他调用!AA$5:AA$404,MATCH($K58,其他调用!$X$5:$X$404,0),0)</f>
        <v>35145.327162480389</v>
      </c>
      <c r="AL58" s="12">
        <f>MIN(INDEX(其他调用!$AK$5:$AK$364,MATCH($K58,其他调用!$AG$5:$AG$364,0),1)/INDEX(其他调用!AK$5:AK$364,MATCH($K58,其他调用!$AG$5:$AG$364,0),0),1)*INDEX(其他调用!AB$5:AB$404,MATCH($K58,其他调用!$X$5:$X$404,0),0)</f>
        <v>37313.042039195207</v>
      </c>
      <c r="AM58" s="12">
        <f>MIN(INDEX(其他调用!$AK$5:$AK$364,MATCH($K58,其他调用!$AG$5:$AG$364,0),1)/INDEX(其他调用!AL$5:AL$364,MATCH($K58,其他调用!$AG$5:$AG$364,0),0),1)*INDEX(其他调用!AC$5:AC$404,MATCH($K58,其他调用!$X$5:$X$404,0),0)</f>
        <v>12419.516167530261</v>
      </c>
      <c r="AN58" s="12">
        <f>求节点(节奏总纲!D$4:D$163,标准城池设计!AF$4:AF$163,$K58)*求节点(节奏总纲!D$4:D$163,攻城基础信息!$AG$5:$AG$164,$K58)</f>
        <v>418213.85847214388</v>
      </c>
      <c r="AO58" s="12">
        <f>INDEX(其他调用!$AA$5:$AA$404,MATCH($K58,其他调用!$X$5:$X$404,0))*MIN(INDEX(其他调用!AL$5:AL$364,MATCH($K58,其他调用!$AG$5:$AG$364,0),1)/INDEX(其他调用!$AJ$5:$AJ$364,MATCH($K58,其他调用!$AG$5:$AG$364,0),0),5)*求节点(节奏总纲!D$4:D$163,攻城基础信息!$AG$5:$AG$164,$K58)</f>
        <v>483484.21790987282</v>
      </c>
      <c r="AP58" s="12">
        <f>MIN(INDEX(其他调用!$AL$5:$AL$364,MATCH($K58,其他调用!$AG$5:$AG$364,0),1)/INDEX(其他调用!AH$5:AH$364,MATCH($K58,其他调用!$AG$5:$AG$364,0),0),1)*INDEX(其他调用!Y$5:Y$404,MATCH($K58,其他调用!$X$5:$X$404,0),0)</f>
        <v>32558.269126804033</v>
      </c>
      <c r="AQ58" s="12">
        <f>MIN(INDEX(其他调用!$AL$5:$AL$364,MATCH($K58,其他调用!$AG$5:$AG$364,0),1)/INDEX(其他调用!AI$5:AI$364,MATCH($K58,其他调用!$AG$5:$AG$364,0),0),1)*INDEX(其他调用!Z$5:Z$404,MATCH($K58,其他调用!$X$5:$X$404,0),0)</f>
        <v>33648.755017870368</v>
      </c>
      <c r="AR58" s="12">
        <f>MIN(INDEX(其他调用!$AL$5:$AL$364,MATCH($K58,其他调用!$AG$5:$AG$364,0),1)/INDEX(其他调用!AJ$5:AJ$364,MATCH($K58,其他调用!$AG$5:$AG$364,0),0),1)*INDEX(其他调用!AA$5:AA$404,MATCH($K58,其他调用!$X$5:$X$404,0),0)</f>
        <v>35145.327162480389</v>
      </c>
      <c r="AS58" s="12">
        <f>MIN(INDEX(其他调用!$AL$5:$AL$364,MATCH($K58,其他调用!$AG$5:$AG$364,0),1)/INDEX(其他调用!AK$5:AK$364,MATCH($K58,其他调用!$AG$5:$AG$364,0),0),1)*INDEX(其他调用!AB$5:AB$404,MATCH($K58,其他调用!$X$5:$X$404,0),0)</f>
        <v>37313.042039195207</v>
      </c>
      <c r="AT58" s="12">
        <f>MIN(INDEX(其他调用!$AL$5:$AL$364,MATCH($K58,其他调用!$AG$5:$AG$364,0),1)/INDEX(其他调用!AL$5:AL$364,MATCH($K58,其他调用!$AG$5:$AG$364,0),0),1)*INDEX(其他调用!AC$5:AC$404,MATCH($K58,其他调用!$X$5:$X$404,0),0)</f>
        <v>41129.214176030051</v>
      </c>
      <c r="AV58" s="14">
        <f>IF(OR(AV$5="大R",AV$5="超R"),MAX(INDEX(其他调用!$H$5:$L$404,MATCH($K58,其他调用!$B$5:$B$404,0),MATCH(AV$5,其他调用!$H$4:$L$4,0))*120*0.85,2),INDEX(其他调用!$H$5:$L$404,MATCH($K58,其他调用!$B$5:$B$404,0),MATCH(AV$5,其他调用!$H$4:$L$4,0))*120*0.85)</f>
        <v>52.256808253636386</v>
      </c>
      <c r="AW58" s="14">
        <f>IF(OR(AW$5="大R",AW$5="超R"),MAX(INDEX(其他调用!$H$5:$L$404,MATCH($K58,其他调用!$B$5:$B$404,0),MATCH(AW$5,其他调用!$H$4:$L$4,0))*120*0.85,2),INDEX(其他调用!$H$5:$L$404,MATCH($K58,其他调用!$B$5:$B$404,0),MATCH(AW$5,其他调用!$H$4:$L$4,0))*120*0.85)</f>
        <v>45.074267782459614</v>
      </c>
      <c r="AX58" s="14">
        <f>IF(OR(AX$5="大R",AX$5="超R"),MAX(INDEX(其他调用!$H$5:$L$404,MATCH($K58,其他调用!$B$5:$B$404,0),MATCH(AX$5,其他调用!$H$4:$L$4,0))*120*0.85,2),INDEX(其他调用!$H$5:$L$404,MATCH($K58,其他调用!$B$5:$B$404,0),MATCH(AX$5,其他调用!$H$4:$L$4,0))*120*0.85)</f>
        <v>3.8616878039040001</v>
      </c>
      <c r="AY58" s="14">
        <f>IF(OR(AY$5="大R",AY$5="超R"),MAX(INDEX(其他调用!$H$5:$L$404,MATCH($K58,其他调用!$B$5:$B$404,0),MATCH(AY$5,其他调用!$H$4:$L$4,0))*120*0.85,2),INDEX(其他调用!$H$5:$L$404,MATCH($K58,其他调用!$B$5:$B$404,0),MATCH(AY$5,其他调用!$H$4:$L$4,0))*120*0.85)</f>
        <v>2</v>
      </c>
      <c r="AZ58" s="14">
        <f>IF(OR(AZ$5="大R",AZ$5="超R"),MAX(INDEX(其他调用!$H$5:$L$404,MATCH($K58,其他调用!$B$5:$B$404,0),MATCH(AZ$5,其他调用!$H$4:$L$4,0))*120*0.85,2),INDEX(其他调用!$H$5:$L$404,MATCH($K58,其他调用!$B$5:$B$404,0),MATCH(AZ$5,其他调用!$H$4:$L$4,0))*120*0.85)</f>
        <v>2</v>
      </c>
      <c r="BA58" s="14">
        <f>INDEX(其他调用!$H$5:$L$404,MATCH($K58,其他调用!$B$5:$B$404,0),MATCH(BA$5,其他调用!$H$4:$L$4,0))*INDEX(其他调用!$M$5:$M$404,MATCH($K58,其他调用!$B$5:$B$404,0))*0.6</f>
        <v>28.894941034363647</v>
      </c>
      <c r="BB58" s="14">
        <f>INDEX(其他调用!$H$5:$L$404,MATCH($K58,其他调用!$B$5:$B$404,0),MATCH(BB$5,其他调用!$H$4:$L$4,0))*INDEX(其他调用!$M$5:$M$404,MATCH($K58,其他调用!$B$5:$B$404,0))*0.6</f>
        <v>24.92341865618355</v>
      </c>
      <c r="BC58" s="14">
        <f>INDEX(其他调用!$H$5:$L$404,MATCH($K58,其他调用!$B$5:$B$404,0),MATCH(BC$5,其他调用!$H$4:$L$4,0))*INDEX(其他调用!$M$5:$M$404,MATCH($K58,其他调用!$B$5:$B$404,0))*0.6</f>
        <v>2.1352861974528001</v>
      </c>
      <c r="BD58" s="14">
        <f>INDEX(其他调用!$H$5:$L$404,MATCH($K58,其他调用!$B$5:$B$404,0),MATCH(BD$5,其他调用!$H$4:$L$4,0))*INDEX(其他调用!$M$5:$M$404,MATCH($K58,其他调用!$B$5:$B$404,0))*0.6</f>
        <v>0.35268499200000009</v>
      </c>
      <c r="BE58" s="14">
        <f>INDEX(其他调用!$H$5:$L$404,MATCH($K58,其他调用!$B$5:$B$404,0),MATCH(BE$5,其他调用!$H$4:$L$4,0))*INDEX(其他调用!$M$5:$M$404,MATCH($K58,其他调用!$B$5:$B$404,0))*0.6</f>
        <v>9.3669119999999981E-2</v>
      </c>
      <c r="BF58" s="14">
        <f>IF(OR(BF$5="大R",BF$5="超R"),0,INDEX(其他调用!$H$5:$L$404,MATCH($K58,其他调用!$B$5:$B$404,0),MATCH(BF$5,其他调用!$H$4:$L$4,0))*50*0.4)</f>
        <v>10.246432990909097</v>
      </c>
      <c r="BG58" s="14">
        <f>IF(OR(BG$5="大R",BG$5="超R"),0,INDEX(其他调用!$H$5:$L$404,MATCH($K58,其他调用!$B$5:$B$404,0),MATCH(BG$5,其他调用!$H$4:$L$4,0))*50*0.4)</f>
        <v>8.8380917220509048</v>
      </c>
      <c r="BH58" s="14">
        <f>IF(OR(BH$5="大R",BH$5="超R"),0,INDEX(其他调用!$H$5:$L$404,MATCH($K58,其他调用!$B$5:$B$404,0),MATCH(BH$5,其他调用!$H$4:$L$4,0))*50*0.4)</f>
        <v>0.75719368704000012</v>
      </c>
      <c r="BI58" s="14">
        <f>IF(OR(BI$5="大R",BI$5="超R"),0,INDEX(其他调用!$H$5:$L$404,MATCH($K58,其他调用!$B$5:$B$404,0),MATCH(BI$5,其他调用!$H$4:$L$4,0))*50*0.4)</f>
        <v>0</v>
      </c>
      <c r="BJ58" s="14">
        <f>IF(OR(BJ$5="大R",BJ$5="超R"),0,INDEX(其他调用!$H$5:$L$404,MATCH($K58,其他调用!$B$5:$B$404,0),MATCH(BJ$5,其他调用!$H$4:$L$4,0))*50*0.4)</f>
        <v>0</v>
      </c>
      <c r="BL58" s="14">
        <f t="shared" si="103"/>
        <v>53</v>
      </c>
      <c r="BM58" s="14">
        <f t="shared" si="10"/>
        <v>96</v>
      </c>
      <c r="BN58" s="14">
        <f>('疲劳值&amp;地图信息'!$S$10*'疲劳值&amp;地图信息'!$R$10+'疲劳值&amp;地图信息'!$S$11*'疲劳值&amp;地图信息'!$R$11+'疲劳值&amp;地图信息'!$S$12*'疲劳值&amp;地图信息'!$R$12+(BM58-'疲劳值&amp;地图信息'!$S$12-'疲劳值&amp;地图信息'!$S$11-'疲劳值&amp;地图信息'!$S$10)*'疲劳值&amp;地图信息'!$R$13)/BM58</f>
        <v>51.371477246638619</v>
      </c>
      <c r="BO58" s="14">
        <f>INDEX(其他调用!$M$5:$M$404,MATCH(BL58,其他调用!$B$5:$B$404,0))*0.6</f>
        <v>56.4</v>
      </c>
      <c r="BP58" s="14">
        <f>IF(BO58&gt;SUM('疲劳值&amp;地图信息'!$S$10:$S$12),('疲劳值&amp;地图信息'!$S$10*'疲劳值&amp;地图信息'!$R$10+'疲劳值&amp;地图信息'!$S$11*'疲劳值&amp;地图信息'!$R$11+'疲劳值&amp;地图信息'!$S$12*'疲劳值&amp;地图信息'!$R$12+(BO58-'疲劳值&amp;地图信息'!$S$12-'疲劳值&amp;地图信息'!$S$11-'疲劳值&amp;地图信息'!$S$10)*'疲劳值&amp;地图信息'!$R$13)/BO58,('疲劳值&amp;地图信息'!$S$10*'疲劳值&amp;地图信息'!$R$10+'疲劳值&amp;地图信息'!$S$11*'疲劳值&amp;地图信息'!$R$11+'疲劳值&amp;地图信息'!$S$12*'疲劳值&amp;地图信息'!$R$12+(BO58-'疲劳值&amp;地图信息'!$S$12-'疲劳值&amp;地图信息'!$S$11-'疲劳值&amp;地图信息'!$S$10)*'疲劳值&amp;地图信息'!$R$13)/BO58)</f>
        <v>42.930333634366342</v>
      </c>
      <c r="BQ58" s="14">
        <f t="shared" si="104"/>
        <v>20</v>
      </c>
      <c r="BR58" s="14">
        <f>('疲劳值&amp;地图信息'!$S$10*'疲劳值&amp;地图信息'!$R$10+($BQ58-'疲劳值&amp;地图信息'!$S$10)*'疲劳值&amp;地图信息'!$R$11)/$BQ58</f>
        <v>32.067203015074995</v>
      </c>
      <c r="CF58" s="14">
        <v>53</v>
      </c>
      <c r="CG58" s="51">
        <f t="shared" si="11"/>
        <v>6807</v>
      </c>
      <c r="CH58" s="51">
        <f t="shared" si="12"/>
        <v>835</v>
      </c>
      <c r="CI58" s="51">
        <f>INT(SUMPRODUCT($N58:$R58,$BA58:$BE58)/SUM($BA58:$BE58)/10000*$BX$7*$BZ$34/'疲劳值&amp;地图信息'!$R$10*$BY$53)</f>
        <v>2877</v>
      </c>
      <c r="CJ58" s="50">
        <f t="shared" si="13"/>
        <v>0.64711474474759956</v>
      </c>
      <c r="CK58" s="50">
        <f t="shared" si="14"/>
        <v>7.9380169217606239E-2</v>
      </c>
      <c r="CL58" s="50">
        <f t="shared" si="15"/>
        <v>0.27350508603479418</v>
      </c>
      <c r="CM58" s="14">
        <f t="shared" si="16"/>
        <v>7077</v>
      </c>
      <c r="CN58" s="14">
        <f t="shared" si="17"/>
        <v>1120</v>
      </c>
      <c r="CO58" s="14">
        <f>INT(SUMPRODUCT($U58:$Y58,$BA58:$BE58)/SUM($BA58:$BE58)/10000*$BX$7*$BZ$34/'疲劳值&amp;地图信息'!$R$10*$BY$54)</f>
        <v>4921</v>
      </c>
      <c r="CP58" s="50">
        <f t="shared" si="18"/>
        <v>0.53948772678762003</v>
      </c>
      <c r="CQ58" s="50">
        <f t="shared" si="19"/>
        <v>8.537886872998933E-2</v>
      </c>
      <c r="CR58" s="50">
        <f t="shared" si="20"/>
        <v>0.37513340448239063</v>
      </c>
      <c r="CS58" s="14">
        <f t="shared" si="21"/>
        <v>7468</v>
      </c>
      <c r="CT58" s="14">
        <f t="shared" si="22"/>
        <v>2027</v>
      </c>
      <c r="CU58" s="14">
        <f>INT(SUMPRODUCT($AB58:$AF58,$BA58:$BE58)/SUM($BA58:$BE58)/10000*$BX$7*$BZ$34/'疲劳值&amp;地图信息'!$R$10*$BY$55)</f>
        <v>6691</v>
      </c>
      <c r="CV58" s="50">
        <f t="shared" si="23"/>
        <v>0.46138638329420489</v>
      </c>
      <c r="CW58" s="50">
        <f t="shared" si="24"/>
        <v>0.12523168170023477</v>
      </c>
      <c r="CX58" s="50">
        <f t="shared" si="25"/>
        <v>0.41338193500556036</v>
      </c>
      <c r="CY58" s="14">
        <f t="shared" si="26"/>
        <v>8498</v>
      </c>
      <c r="CZ58" s="14">
        <f t="shared" si="27"/>
        <v>5396</v>
      </c>
      <c r="DA58" s="14">
        <f>INT(SUMPRODUCT($AI58:$AM58,$BA58:$BE58)/SUM($BA58:$BE58)/10000*$BX$7*$BZ$34/'疲劳值&amp;地图信息'!$R$10*$BY$56)</f>
        <v>10086</v>
      </c>
      <c r="DB58" s="50">
        <f t="shared" si="28"/>
        <v>0.35437864887406173</v>
      </c>
      <c r="DC58" s="50">
        <f t="shared" si="29"/>
        <v>0.22502085070892411</v>
      </c>
      <c r="DD58" s="50">
        <f t="shared" si="30"/>
        <v>0.42060050041701419</v>
      </c>
      <c r="DE58" s="14">
        <f t="shared" si="31"/>
        <v>8767</v>
      </c>
      <c r="DF58" s="14">
        <f t="shared" si="32"/>
        <v>10135</v>
      </c>
      <c r="DG58" s="14">
        <f>INT(SUMPRODUCT($AP58:$AT58,$BA58:$BE58)/SUM($BA58:$BE58)/10000*$BX$7*$BZ$34/'疲劳值&amp;地图信息'!$R$10*$BY$57)</f>
        <v>13467</v>
      </c>
      <c r="DH58" s="50">
        <f t="shared" si="33"/>
        <v>0.2708455621118972</v>
      </c>
      <c r="DI58" s="50">
        <f t="shared" si="34"/>
        <v>0.31310822082857054</v>
      </c>
      <c r="DJ58" s="50">
        <f t="shared" si="35"/>
        <v>0.41604621705953226</v>
      </c>
      <c r="DL58" s="14">
        <f t="shared" si="106"/>
        <v>10519</v>
      </c>
      <c r="DM58" s="14">
        <f t="shared" si="107"/>
        <v>13118</v>
      </c>
      <c r="DN58" s="14">
        <f t="shared" si="108"/>
        <v>16186</v>
      </c>
      <c r="DO58" s="14">
        <f t="shared" si="109"/>
        <v>23980</v>
      </c>
      <c r="DP58" s="14">
        <f t="shared" si="110"/>
        <v>32369</v>
      </c>
      <c r="DQ58" s="14">
        <f t="shared" si="111"/>
        <v>676942</v>
      </c>
      <c r="DT58" s="14">
        <f t="shared" si="105"/>
        <v>235575</v>
      </c>
      <c r="DU58" s="50">
        <f t="shared" si="7"/>
        <v>0.25815957401341566</v>
      </c>
      <c r="DW58" s="14">
        <f t="shared" si="36"/>
        <v>912517</v>
      </c>
      <c r="EB58" s="14">
        <v>53</v>
      </c>
      <c r="EC58" s="51">
        <f t="shared" si="37"/>
        <v>11345</v>
      </c>
      <c r="ED58" s="51">
        <f t="shared" si="38"/>
        <v>1393</v>
      </c>
      <c r="EE58" s="51">
        <f>INT(SUMPRODUCT($N58:$R58,$BF58:$BJ58)/SUM($BF58:$BJ58)/10000*$BX$7*$BZ$46/'疲劳值&amp;地图信息'!$R$10*$BY$53)</f>
        <v>386</v>
      </c>
      <c r="EF58" s="50">
        <f t="shared" si="39"/>
        <v>0.86444681499542819</v>
      </c>
      <c r="EG58" s="50">
        <f t="shared" si="40"/>
        <v>0.10614142029868942</v>
      </c>
      <c r="EH58" s="50">
        <f t="shared" si="41"/>
        <v>2.9411764705882353E-2</v>
      </c>
      <c r="EI58" s="51">
        <f t="shared" si="42"/>
        <v>11795</v>
      </c>
      <c r="EJ58" s="51">
        <f t="shared" si="43"/>
        <v>1868</v>
      </c>
      <c r="EK58" s="14">
        <f>INT(SUMPRODUCT($U58:$Y58,$BF58:$BJ58)/SUM($BF58:$BJ58)/10000*$BX$7*$BZ$46/'疲劳值&amp;地图信息'!$R$10*$BY$54)</f>
        <v>660</v>
      </c>
      <c r="EL58" s="50">
        <f t="shared" si="44"/>
        <v>0.82350066326886828</v>
      </c>
      <c r="EM58" s="50">
        <f t="shared" si="45"/>
        <v>0.13041960483139006</v>
      </c>
      <c r="EN58" s="50">
        <f t="shared" si="46"/>
        <v>4.6079731899741676E-2</v>
      </c>
      <c r="EO58" s="51">
        <f t="shared" si="47"/>
        <v>12447</v>
      </c>
      <c r="EP58" s="51">
        <f t="shared" si="48"/>
        <v>3378</v>
      </c>
      <c r="EQ58" s="14">
        <f>INT(SUMPRODUCT($AB58:$AF58,$BF58:$BJ58)/SUM($BF58:$BJ58)/10000*$BX$7*$BZ$46/'疲劳值&amp;地图信息'!$R$10*$BY$55)</f>
        <v>896</v>
      </c>
      <c r="ER58" s="50">
        <f t="shared" si="49"/>
        <v>0.74439327791400034</v>
      </c>
      <c r="ES58" s="50">
        <f t="shared" si="50"/>
        <v>0.20202141020273906</v>
      </c>
      <c r="ET58" s="50">
        <f t="shared" si="51"/>
        <v>5.3585311883260572E-2</v>
      </c>
      <c r="EU58" s="51">
        <f t="shared" si="52"/>
        <v>14164</v>
      </c>
      <c r="EV58" s="51">
        <f t="shared" si="53"/>
        <v>8993</v>
      </c>
      <c r="EW58" s="14">
        <f>INT(SUMPRODUCT($AI58:$AM58,$BF58:$BJ58)/SUM($BF58:$BJ58)/10000*$BX$7*$BZ$46/'疲劳值&amp;地图信息'!$R$10*$BY$56)</f>
        <v>1345</v>
      </c>
      <c r="EX58" s="50">
        <f t="shared" si="54"/>
        <v>0.57807525916251734</v>
      </c>
      <c r="EY58" s="50">
        <f t="shared" si="55"/>
        <v>0.36703126275406089</v>
      </c>
      <c r="EZ58" s="50">
        <f t="shared" si="56"/>
        <v>5.4893478083421758E-2</v>
      </c>
      <c r="FA58" s="51">
        <f t="shared" si="57"/>
        <v>14612</v>
      </c>
      <c r="FB58" s="51">
        <f t="shared" si="58"/>
        <v>16893</v>
      </c>
      <c r="FC58" s="14">
        <f>INT(SUMPRODUCT($AP58:$AT58,$BF58:$BJ58)/SUM($BF58:$BJ58)/10000*$BX$7*$BZ$46/'疲劳值&amp;地图信息'!$R$10*$BY$57)</f>
        <v>1793</v>
      </c>
      <c r="FD58" s="50">
        <f t="shared" si="59"/>
        <v>0.43882515466394378</v>
      </c>
      <c r="FE58" s="50">
        <f t="shared" si="60"/>
        <v>0.50732776743347952</v>
      </c>
      <c r="FF58" s="50">
        <f t="shared" si="61"/>
        <v>5.3847077902576729E-2</v>
      </c>
      <c r="FH58" s="14">
        <f t="shared" si="62"/>
        <v>13124</v>
      </c>
      <c r="FI58" s="14">
        <f t="shared" si="63"/>
        <v>14323</v>
      </c>
      <c r="FJ58" s="14">
        <f t="shared" si="64"/>
        <v>16721</v>
      </c>
      <c r="FK58" s="14">
        <f t="shared" si="65"/>
        <v>24502</v>
      </c>
      <c r="FL58" s="14">
        <f t="shared" si="66"/>
        <v>33298</v>
      </c>
      <c r="FM58" s="14">
        <f t="shared" si="67"/>
        <v>1511588</v>
      </c>
      <c r="FP58" s="14">
        <f t="shared" si="68"/>
        <v>334150</v>
      </c>
      <c r="FQ58" s="50">
        <f t="shared" si="8"/>
        <v>0.18103869563285796</v>
      </c>
      <c r="FS58" s="14">
        <f t="shared" si="69"/>
        <v>1845738</v>
      </c>
      <c r="FX58" s="14">
        <v>53</v>
      </c>
      <c r="FY58" s="51">
        <f t="shared" si="70"/>
        <v>15884</v>
      </c>
      <c r="FZ58" s="51">
        <f t="shared" si="71"/>
        <v>1393</v>
      </c>
      <c r="GA58" s="51">
        <f>INT(SUMPRODUCT($N58:$R58,$BF58:$BJ58)/SUM($BF58:$BJ58)/10000*$BX$7*$BZ$46/'疲劳值&amp;地图信息'!$R$10*$BY$53)</f>
        <v>386</v>
      </c>
      <c r="GB58" s="50">
        <f t="shared" si="72"/>
        <v>0.89928098284549618</v>
      </c>
      <c r="GC58" s="50">
        <f t="shared" si="73"/>
        <v>7.8865424899507444E-2</v>
      </c>
      <c r="GD58" s="50">
        <f t="shared" si="74"/>
        <v>2.1853592254996321E-2</v>
      </c>
      <c r="GE58" s="51">
        <f t="shared" si="75"/>
        <v>16513</v>
      </c>
      <c r="GF58" s="51">
        <f t="shared" si="76"/>
        <v>1868</v>
      </c>
      <c r="GG58" s="14">
        <f>INT(SUMPRODUCT($U58:$Y58,$BF58:$BJ58)/SUM($BF58:$BJ58)/10000*$BX$7*$BZ$46/'疲劳值&amp;地图信息'!$R$10*$BY$54)</f>
        <v>660</v>
      </c>
      <c r="GH58" s="50">
        <f t="shared" si="77"/>
        <v>0.86723386376765921</v>
      </c>
      <c r="GI58" s="50">
        <f t="shared" si="78"/>
        <v>9.8104091171682159E-2</v>
      </c>
      <c r="GJ58" s="50">
        <f t="shared" si="79"/>
        <v>3.4662045060658578E-2</v>
      </c>
      <c r="GK58" s="51">
        <f t="shared" si="80"/>
        <v>17426</v>
      </c>
      <c r="GL58" s="51">
        <f t="shared" si="81"/>
        <v>3378</v>
      </c>
      <c r="GM58" s="14">
        <f>INT(SUMPRODUCT($AB58:$AF58,$BF58:$BJ58)/SUM($BF58:$BJ58)/10000*$BX$7*$BZ$46/'疲劳值&amp;地图信息'!$R$10*$BY$55)</f>
        <v>896</v>
      </c>
      <c r="GN58" s="50">
        <f t="shared" si="82"/>
        <v>0.80304147465437792</v>
      </c>
      <c r="GO58" s="50">
        <f t="shared" si="83"/>
        <v>0.15566820276497695</v>
      </c>
      <c r="GP58" s="50">
        <f t="shared" si="84"/>
        <v>4.1290322580645161E-2</v>
      </c>
      <c r="GQ58" s="51">
        <f t="shared" si="85"/>
        <v>19830</v>
      </c>
      <c r="GR58" s="51">
        <f t="shared" si="86"/>
        <v>8993</v>
      </c>
      <c r="GS58" s="14">
        <f>INT(SUMPRODUCT($AI58:$AM58,$BF58:$BJ58)/SUM($BF58:$BJ58)/10000*$BX$7*$BZ$46/'疲劳值&amp;地图信息'!$R$10*$BY$56)</f>
        <v>1345</v>
      </c>
      <c r="GT58" s="50">
        <f t="shared" si="87"/>
        <v>0.65731901352426414</v>
      </c>
      <c r="GU58" s="50">
        <f t="shared" si="88"/>
        <v>0.29809732166534075</v>
      </c>
      <c r="GV58" s="50">
        <f t="shared" si="89"/>
        <v>4.4583664810395121E-2</v>
      </c>
      <c r="GW58" s="51">
        <f t="shared" si="90"/>
        <v>20457</v>
      </c>
      <c r="GX58" s="51">
        <f t="shared" si="91"/>
        <v>16893</v>
      </c>
      <c r="GY58" s="14">
        <f>INT(SUMPRODUCT($AP58:$AT58,$BF58:$BJ58)/SUM($BF58:$BJ58)/10000*$BX$7*$BZ$46/'疲劳值&amp;地图信息'!$R$10*$BY$57)</f>
        <v>1793</v>
      </c>
      <c r="GZ58" s="50">
        <f t="shared" si="92"/>
        <v>0.52262218021102114</v>
      </c>
      <c r="HA58" s="50">
        <f t="shared" si="93"/>
        <v>0.4315714176225634</v>
      </c>
      <c r="HB58" s="50">
        <f t="shared" si="94"/>
        <v>4.5806402166415454E-2</v>
      </c>
      <c r="HD58" s="14">
        <f t="shared" si="95"/>
        <v>17663</v>
      </c>
      <c r="HE58" s="14">
        <f t="shared" si="96"/>
        <v>19041</v>
      </c>
      <c r="HF58" s="14">
        <f t="shared" si="97"/>
        <v>21700</v>
      </c>
      <c r="HG58" s="14">
        <f t="shared" si="98"/>
        <v>30168</v>
      </c>
      <c r="HH58" s="14">
        <f t="shared" si="99"/>
        <v>39143</v>
      </c>
      <c r="HI58" s="14">
        <f t="shared" si="100"/>
        <v>2003691</v>
      </c>
      <c r="HL58" s="14">
        <f t="shared" si="101"/>
        <v>430050</v>
      </c>
      <c r="HM58" s="50">
        <f t="shared" si="9"/>
        <v>0.17670327286264234</v>
      </c>
      <c r="HO58" s="14">
        <f t="shared" si="102"/>
        <v>2433741</v>
      </c>
    </row>
    <row r="59" spans="11:223" x14ac:dyDescent="0.2">
      <c r="K59" s="14">
        <v>54</v>
      </c>
      <c r="L59" s="12">
        <f>求节点(节奏总纲!D$4:D$163,标准城池设计!AB$4:AB$163,$K59)*求节点(节奏总纲!D$4:D$163,攻城基础信息!$AC$5:$AC$164,$K59)</f>
        <v>328065.9470935784</v>
      </c>
      <c r="M59" s="12">
        <f>INDEX(其他调用!$AA$5:$AA$404,MATCH(K59,其他调用!$X$5:$X$404,0))*MIN(INDEX(其他调用!$AH$5:$AH$364,MATCH('征服点（新）'!K59,其他调用!$AG$5:$AG$364,0),1)/INDEX(其他调用!$AJ$5:$AJ$364,MATCH(K59,其他调用!$AG$5:$AG$364,0),0),5)*求节点(节奏总纲!D$4:D$163,攻城基础信息!$AC$5:$AC$164,$K59)</f>
        <v>39653.334783320643</v>
      </c>
      <c r="N59" s="12">
        <f>MIN(INDEX(其他调用!$AH$5:$AH$364,MATCH($K59,其他调用!$AG$5:$AG$364,0),1)/INDEX(其他调用!AH$5:AH$364,MATCH($K59,其他调用!$AG$5:$AG$364,0),0),1)*INDEX(其他调用!Y$5:Y$404,MATCH($K59,其他调用!$X$5:$X$404,0),0)</f>
        <v>32663.414085423407</v>
      </c>
      <c r="O59" s="12">
        <f>MIN(INDEX(其他调用!$AH$5:$AH$364,MATCH($K59,其他调用!$AG$5:$AG$364,0),1)/INDEX(其他调用!AI$5:AI$364,MATCH($K59,其他调用!$AG$5:$AG$364,0),0),1)*INDEX(其他调用!Z$5:Z$404,MATCH($K59,其他调用!$X$5:$X$404,0),0)</f>
        <v>24978.311174470273</v>
      </c>
      <c r="P59" s="12">
        <f>MIN(INDEX(其他调用!$AH$5:$AH$364,MATCH($K59,其他调用!$AG$5:$AG$364,0),1)/INDEX(其他调用!AJ$5:AJ$364,MATCH($K59,其他调用!$AG$5:$AG$364,0),0),1)*INDEX(其他调用!AA$5:AA$404,MATCH($K59,其他调用!$X$5:$X$404,0),0)</f>
        <v>14365.709661624134</v>
      </c>
      <c r="Q59" s="12">
        <f>MIN(INDEX(其他调用!$AH$5:$AH$364,MATCH($K59,其他调用!$AG$5:$AG$364,0),1)/INDEX(其他调用!AK$5:AK$364,MATCH($K59,其他调用!$AG$5:$AG$364,0),0),1)*INDEX(其他调用!AB$5:AB$404,MATCH($K59,其他调用!$X$5:$X$404,0),0)</f>
        <v>5745.9236768384417</v>
      </c>
      <c r="R59" s="12">
        <f>MIN(INDEX(其他调用!$AH$5:$AH$364,MATCH($K59,其他调用!$AG$5:$AG$364,0),1)/INDEX(其他调用!AL$5:AL$364,MATCH($K59,其他调用!$AG$5:$AG$364,0),0),1)*INDEX(其他调用!AC$5:AC$404,MATCH($K59,其他调用!$X$5:$X$404,0),0)</f>
        <v>1910.0962380807857</v>
      </c>
      <c r="S59" s="12">
        <f>求节点(节奏总纲!D$4:D$163,标准城池设计!AC$4:AC$163,$K59)*求节点(节奏总纲!D$4:D$163,攻城基础信息!$AD$5:$AD$164,$K59)</f>
        <v>341257.11065886175</v>
      </c>
      <c r="T59" s="12">
        <f>INDEX(其他调用!$AA$5:$AA$404,MATCH($K59,其他调用!$X$5:$X$404,0))*MIN(INDEX(其他调用!AI$5:AI$364,MATCH($K59,其他调用!$AG$5:$AG$364,0),1)/INDEX(其他调用!$AJ$5:$AJ$364,MATCH($K59,其他调用!$AG$5:$AG$364,0),0),5)*求节点(节奏总纲!D$4:D$163,攻城基础信息!$AD$5:$AD$164,$K59)</f>
        <v>53586.156013647342</v>
      </c>
      <c r="U59" s="12">
        <f>MIN(INDEX(其他调用!$AI$5:$AI$364,MATCH($K59,其他调用!$AG$5:$AG$364,0),1)/INDEX(其他调用!AH$5:AH$364,MATCH($K59,其他调用!$AG$5:$AG$364,0),0),1)*INDEX(其他调用!Y$5:Y$404,MATCH($K59,其他调用!$X$5:$X$404,0),0)</f>
        <v>32663.414085423407</v>
      </c>
      <c r="V59" s="12">
        <f>MIN(INDEX(其他调用!$AI$5:$AI$364,MATCH($K59,其他调用!$AG$5:$AG$364,0),1)/INDEX(其他调用!AI$5:AI$364,MATCH($K59,其他调用!$AG$5:$AG$364,0),0),1)*INDEX(其他调用!Z$5:Z$404,MATCH($K59,其他调用!$X$5:$X$404,0),0)</f>
        <v>33754.832648163647</v>
      </c>
      <c r="W59" s="12">
        <f>MIN(INDEX(其他调用!$AI$5:$AI$364,MATCH($K59,其他调用!$AG$5:$AG$364,0),1)/INDEX(其他调用!AJ$5:AJ$364,MATCH($K59,其他调用!$AG$5:$AG$364,0),0),1)*INDEX(其他调用!AA$5:AA$404,MATCH($K59,其他调用!$X$5:$X$404,0),0)</f>
        <v>19413.327110595339</v>
      </c>
      <c r="X59" s="12">
        <f>MIN(INDEX(其他调用!$AI$5:$AI$364,MATCH($K59,其他调用!$AG$5:$AG$364,0),1)/INDEX(其他调用!AK$5:AK$364,MATCH($K59,其他调用!$AG$5:$AG$364,0),0),1)*INDEX(其他调用!AB$5:AB$404,MATCH($K59,其他调用!$X$5:$X$404,0),0)</f>
        <v>7764.8440987890754</v>
      </c>
      <c r="Y59" s="12">
        <f>MIN(INDEX(其他调用!$AI$5:$AI$364,MATCH($K59,其他调用!$AG$5:$AG$364,0),1)/INDEX(其他调用!AL$5:AL$364,MATCH($K59,其他调用!$AG$5:$AG$364,0),0),1)*INDEX(其他调用!AC$5:AC$404,MATCH($K59,其他调用!$X$5:$X$404,0),0)</f>
        <v>2581.2385156047776</v>
      </c>
      <c r="Z59" s="12">
        <f>求节点(节奏总纲!D$4:D$163,标准城池设计!AD$4:AD$163,$K59)*求节点(节奏总纲!D$4:D$163,攻城基础信息!$AE$5:$AE$164,$K59)</f>
        <v>360144.47816673317</v>
      </c>
      <c r="AA59" s="12">
        <f>INDEX(其他调用!$AA$5:$AA$404,MATCH($K59,其他调用!$X$5:$X$404,0))*MIN(INDEX(其他调用!AJ$5:AJ$364,MATCH($K59,其他调用!$AG$5:$AG$364,0),1)/INDEX(其他调用!$AJ$5:$AJ$364,MATCH($K59,其他调用!$AG$5:$AG$364,0),0),5)*求节点(节奏总纲!D$4:D$163,攻城基础信息!$AE$5:$AE$164,$K59)</f>
        <v>97299.065142939595</v>
      </c>
      <c r="AB59" s="12">
        <f>MIN(INDEX(其他调用!$AJ$5:$AJ$364,MATCH($K59,其他调用!$AG$5:$AG$364,0),1)/INDEX(其他调用!AH$5:AH$364,MATCH($K59,其他调用!$AG$5:$AG$364,0),0),1)*INDEX(其他调用!Y$5:Y$404,MATCH($K59,其他调用!$X$5:$X$404,0),0)</f>
        <v>32663.414085423407</v>
      </c>
      <c r="AC59" s="12">
        <f>MIN(INDEX(其他调用!$AJ$5:$AJ$364,MATCH($K59,其他调用!$AG$5:$AG$364,0),1)/INDEX(其他调用!AI$5:AI$364,MATCH($K59,其他调用!$AG$5:$AG$364,0),0),1)*INDEX(其他调用!Z$5:Z$404,MATCH($K59,其他调用!$X$5:$X$404,0),0)</f>
        <v>33754.832648163647</v>
      </c>
      <c r="AD59" s="12">
        <f>MIN(INDEX(其他调用!$AJ$5:$AJ$364,MATCH($K59,其他调用!$AG$5:$AG$364,0),1)/INDEX(其他调用!AJ$5:AJ$364,MATCH($K59,其他调用!$AG$5:$AG$364,0),0),1)*INDEX(其他调用!AA$5:AA$404,MATCH($K59,其他调用!$X$5:$X$404,0),0)</f>
        <v>35249.749556470255</v>
      </c>
      <c r="AE59" s="12">
        <f>MIN(INDEX(其他调用!$AJ$5:$AJ$364,MATCH($K59,其他调用!$AG$5:$AG$364,0),1)/INDEX(其他调用!AK$5:AK$364,MATCH($K59,其他调用!$AG$5:$AG$364,0),0),1)*INDEX(其他调用!AB$5:AB$404,MATCH($K59,其他调用!$X$5:$X$404,0),0)</f>
        <v>14099.016014517525</v>
      </c>
      <c r="AF59" s="12">
        <f>MIN(INDEX(其他调用!$AJ$5:$AJ$364,MATCH($K59,其他调用!$AG$5:$AG$364,0),1)/INDEX(其他调用!AL$5:AL$364,MATCH($K59,其他调用!$AG$5:$AG$364,0),0),1)*INDEX(其他调用!AC$5:AC$404,MATCH($K59,其他调用!$X$5:$X$404,0),0)</f>
        <v>4686.8839484461332</v>
      </c>
      <c r="AG59" s="12">
        <f>求节点(节奏总纲!D$4:D$163,标准城池设计!AE$4:AE$163,$K59)*求节点(节奏总纲!D$4:D$163,攻城基础信息!$AF$5:$AF$164,$K59)</f>
        <v>409459.94069043925</v>
      </c>
      <c r="AH59" s="12">
        <f>INDEX(其他调用!$AA$5:$AA$404,MATCH($K59,其他调用!$X$5:$X$404,0))*MIN(INDEX(其他调用!AK$5:AK$364,MATCH($K59,其他调用!$AG$5:$AG$364,0),1)/INDEX(其他调用!$AJ$5:$AJ$364,MATCH($K59,其他调用!$AG$5:$AG$364,0),0),5)*求节点(节奏总纲!D$4:D$163,攻城基础信息!$AF$5:$AF$164,$K59)</f>
        <v>258263.00971551563</v>
      </c>
      <c r="AI59" s="12">
        <f>MIN(INDEX(其他调用!$AK$5:$AK$364,MATCH($K59,其他调用!$AG$5:$AG$364,0),1)/INDEX(其他调用!AH$5:AH$364,MATCH($K59,其他调用!$AG$5:$AG$364,0),0),1)*INDEX(其他调用!Y$5:Y$404,MATCH($K59,其他调用!$X$5:$X$404,0),0)</f>
        <v>32663.414085423407</v>
      </c>
      <c r="AJ59" s="12">
        <f>MIN(INDEX(其他调用!$AK$5:$AK$364,MATCH($K59,其他调用!$AG$5:$AG$364,0),1)/INDEX(其他调用!AI$5:AI$364,MATCH($K59,其他调用!$AG$5:$AG$364,0),0),1)*INDEX(其他调用!Z$5:Z$404,MATCH($K59,其他调用!$X$5:$X$404,0),0)</f>
        <v>33754.832648163647</v>
      </c>
      <c r="AK59" s="12">
        <f>MIN(INDEX(其他调用!$AK$5:$AK$364,MATCH($K59,其他调用!$AG$5:$AG$364,0),1)/INDEX(其他调用!AJ$5:AJ$364,MATCH($K59,其他调用!$AG$5:$AG$364,0),0),1)*INDEX(其他调用!AA$5:AA$404,MATCH($K59,其他调用!$X$5:$X$404,0),0)</f>
        <v>35249.749556470255</v>
      </c>
      <c r="AL59" s="12">
        <f>MIN(INDEX(其他调用!$AK$5:$AK$364,MATCH($K59,其他调用!$AG$5:$AG$364,0),1)/INDEX(其他调用!AK$5:AK$364,MATCH($K59,其他调用!$AG$5:$AG$364,0),0),1)*INDEX(其他调用!AB$5:AB$404,MATCH($K59,其他调用!$X$5:$X$404,0),0)</f>
        <v>37423.322665919506</v>
      </c>
      <c r="AM59" s="12">
        <f>MIN(INDEX(其他调用!$AK$5:$AK$364,MATCH($K59,其他调用!$AG$5:$AG$364,0),1)/INDEX(其他调用!AL$5:AL$364,MATCH($K59,其他调用!$AG$5:$AG$364,0),0),1)*INDEX(其他调用!AC$5:AC$404,MATCH($K59,其他调用!$X$5:$X$404,0),0)</f>
        <v>12440.497274406473</v>
      </c>
      <c r="AN59" s="12">
        <f>求节点(节奏总纲!D$4:D$163,标准城池设计!AF$4:AF$163,$K59)*求节点(节奏总纲!D$4:D$163,攻城基础信息!$AG$5:$AG$164,$K59)</f>
        <v>422339.62168392254</v>
      </c>
      <c r="AO59" s="12">
        <f>INDEX(其他调用!$AA$5:$AA$404,MATCH($K59,其他调用!$X$5:$X$404,0))*MIN(INDEX(其他调用!AL$5:AL$364,MATCH($K59,其他调用!$AG$5:$AG$364,0),1)/INDEX(其他调用!$AJ$5:$AJ$364,MATCH($K59,其他调用!$AG$5:$AG$364,0),0),5)*求节点(节奏总纲!D$4:D$163,攻城基础信息!$AG$5:$AG$164,$K59)</f>
        <v>486495.32571469794</v>
      </c>
      <c r="AP59" s="12">
        <f>MIN(INDEX(其他调用!$AL$5:$AL$364,MATCH($K59,其他调用!$AG$5:$AG$364,0),1)/INDEX(其他调用!AH$5:AH$364,MATCH($K59,其他调用!$AG$5:$AG$364,0),0),1)*INDEX(其他调用!Y$5:Y$404,MATCH($K59,其他调用!$X$5:$X$404,0),0)</f>
        <v>32663.414085423407</v>
      </c>
      <c r="AQ59" s="12">
        <f>MIN(INDEX(其他调用!$AL$5:$AL$364,MATCH($K59,其他调用!$AG$5:$AG$364,0),1)/INDEX(其他调用!AI$5:AI$364,MATCH($K59,其他调用!$AG$5:$AG$364,0),0),1)*INDEX(其他调用!Z$5:Z$404,MATCH($K59,其他调用!$X$5:$X$404,0),0)</f>
        <v>33754.832648163647</v>
      </c>
      <c r="AR59" s="12">
        <f>MIN(INDEX(其他调用!$AL$5:$AL$364,MATCH($K59,其他调用!$AG$5:$AG$364,0),1)/INDEX(其他调用!AJ$5:AJ$364,MATCH($K59,其他调用!$AG$5:$AG$364,0),0),1)*INDEX(其他调用!AA$5:AA$404,MATCH($K59,其他调用!$X$5:$X$404,0),0)</f>
        <v>35249.749556470255</v>
      </c>
      <c r="AS59" s="12">
        <f>MIN(INDEX(其他调用!$AL$5:$AL$364,MATCH($K59,其他调用!$AG$5:$AG$364,0),1)/INDEX(其他调用!AK$5:AK$364,MATCH($K59,其他调用!$AG$5:$AG$364,0),0),1)*INDEX(其他调用!AB$5:AB$404,MATCH($K59,其他调用!$X$5:$X$404,0),0)</f>
        <v>37423.322665919506</v>
      </c>
      <c r="AT59" s="12">
        <f>MIN(INDEX(其他调用!$AL$5:$AL$364,MATCH($K59,其他调用!$AG$5:$AG$364,0),1)/INDEX(其他调用!AL$5:AL$364,MATCH($K59,其他调用!$AG$5:$AG$364,0),0),1)*INDEX(其他调用!AC$5:AC$404,MATCH($K59,其他调用!$X$5:$X$404,0),0)</f>
        <v>41237.478737567893</v>
      </c>
      <c r="AV59" s="14">
        <f>IF(OR(AV$5="大R",AV$5="超R"),MAX(INDEX(其他调用!$H$5:$L$404,MATCH($K59,其他调用!$B$5:$B$404,0),MATCH(AV$5,其他调用!$H$4:$L$4,0))*120*0.85,2),INDEX(其他调用!$H$5:$L$404,MATCH($K59,其他调用!$B$5:$B$404,0),MATCH(AV$5,其他调用!$H$4:$L$4,0))*120*0.85)</f>
        <v>52.148211774545473</v>
      </c>
      <c r="AW59" s="14">
        <f>IF(OR(AW$5="大R",AW$5="超R"),MAX(INDEX(其他调用!$H$5:$L$404,MATCH($K59,其他调用!$B$5:$B$404,0),MATCH(AW$5,其他调用!$H$4:$L$4,0))*120*0.85,2),INDEX(其他调用!$H$5:$L$404,MATCH($K59,其他调用!$B$5:$B$404,0),MATCH(AW$5,其他调用!$H$4:$L$4,0))*120*0.85)</f>
        <v>45.17737476190252</v>
      </c>
      <c r="AX59" s="14">
        <f>IF(OR(AX$5="大R",AX$5="超R"),MAX(INDEX(其他调用!$H$5:$L$404,MATCH($K59,其他调用!$B$5:$B$404,0),MATCH(AX$5,其他调用!$H$4:$L$4,0))*120*0.85,2),INDEX(其他调用!$H$5:$L$404,MATCH($K59,其他调用!$B$5:$B$404,0),MATCH(AX$5,其他调用!$H$4:$L$4,0))*120*0.85)</f>
        <v>3.8642233835520003</v>
      </c>
      <c r="AY59" s="14">
        <f>IF(OR(AY$5="大R",AY$5="超R"),MAX(INDEX(其他调用!$H$5:$L$404,MATCH($K59,其他调用!$B$5:$B$404,0),MATCH(AY$5,其他调用!$H$4:$L$4,0))*120*0.85,2),INDEX(其他调用!$H$5:$L$404,MATCH($K59,其他调用!$B$5:$B$404,0),MATCH(AY$5,其他调用!$H$4:$L$4,0))*120*0.85)</f>
        <v>2</v>
      </c>
      <c r="AZ59" s="14">
        <f>IF(OR(AZ$5="大R",AZ$5="超R"),MAX(INDEX(其他调用!$H$5:$L$404,MATCH($K59,其他调用!$B$5:$B$404,0),MATCH(AZ$5,其他调用!$H$4:$L$4,0))*120*0.85,2),INDEX(其他调用!$H$5:$L$404,MATCH($K59,其他调用!$B$5:$B$404,0),MATCH(AZ$5,其他调用!$H$4:$L$4,0))*120*0.85)</f>
        <v>2</v>
      </c>
      <c r="BA59" s="14">
        <f>INDEX(其他调用!$H$5:$L$404,MATCH($K59,其他调用!$B$5:$B$404,0),MATCH(BA$5,其他调用!$H$4:$L$4,0))*INDEX(其他调用!$M$5:$M$404,MATCH($K59,其他调用!$B$5:$B$404,0))*0.6</f>
        <v>28.90793028062339</v>
      </c>
      <c r="BB59" s="14">
        <f>INDEX(其他调用!$H$5:$L$404,MATCH($K59,其他调用!$B$5:$B$404,0),MATCH(BB$5,其他调用!$H$4:$L$4,0))*INDEX(其他调用!$M$5:$M$404,MATCH($K59,其他调用!$B$5:$B$404,0))*0.6</f>
        <v>25.043704384819353</v>
      </c>
      <c r="BC59" s="14">
        <f>INDEX(其他调用!$H$5:$L$404,MATCH($K59,其他调用!$B$5:$B$404,0),MATCH(BC$5,其他调用!$H$4:$L$4,0))*INDEX(其他调用!$M$5:$M$404,MATCH($K59,其他调用!$B$5:$B$404,0))*0.6</f>
        <v>2.1421003014144002</v>
      </c>
      <c r="BD59" s="14">
        <f>INDEX(其他调用!$H$5:$L$404,MATCH($K59,其他调用!$B$5:$B$404,0),MATCH(BD$5,其他调用!$H$4:$L$4,0))*INDEX(其他调用!$M$5:$M$404,MATCH($K59,其他调用!$B$5:$B$404,0))*0.6</f>
        <v>0.35467298742857156</v>
      </c>
      <c r="BE59" s="14">
        <f>INDEX(其他调用!$H$5:$L$404,MATCH($K59,其他调用!$B$5:$B$404,0),MATCH(BE$5,其他调用!$H$4:$L$4,0))*INDEX(其他调用!$M$5:$M$404,MATCH($K59,其他调用!$B$5:$B$404,0))*0.6</f>
        <v>9.4449188571428574E-2</v>
      </c>
      <c r="BF59" s="14">
        <f>IF(OR(BF$5="大R",BF$5="超R"),0,INDEX(其他调用!$H$5:$L$404,MATCH($K59,其他调用!$B$5:$B$404,0),MATCH(BF$5,其他调用!$H$4:$L$4,0))*50*0.4)</f>
        <v>10.225139563636368</v>
      </c>
      <c r="BG59" s="14">
        <f>IF(OR(BG$5="大R",BG$5="超R"),0,INDEX(其他调用!$H$5:$L$404,MATCH($K59,其他调用!$B$5:$B$404,0),MATCH(BG$5,其他调用!$H$4:$L$4,0))*50*0.4)</f>
        <v>8.8583087768436322</v>
      </c>
      <c r="BH59" s="14">
        <f>IF(OR(BH$5="大R",BH$5="超R"),0,INDEX(其他调用!$H$5:$L$404,MATCH($K59,其他调用!$B$5:$B$404,0),MATCH(BH$5,其他调用!$H$4:$L$4,0))*50*0.4)</f>
        <v>0.75769085952000015</v>
      </c>
      <c r="BI59" s="14">
        <f>IF(OR(BI$5="大R",BI$5="超R"),0,INDEX(其他调用!$H$5:$L$404,MATCH($K59,其他调用!$B$5:$B$404,0),MATCH(BI$5,其他调用!$H$4:$L$4,0))*50*0.4)</f>
        <v>0</v>
      </c>
      <c r="BJ59" s="14">
        <f>IF(OR(BJ$5="大R",BJ$5="超R"),0,INDEX(其他调用!$H$5:$L$404,MATCH($K59,其他调用!$B$5:$B$404,0),MATCH(BJ$5,其他调用!$H$4:$L$4,0))*50*0.4)</f>
        <v>0</v>
      </c>
      <c r="BL59" s="14">
        <f t="shared" si="103"/>
        <v>54</v>
      </c>
      <c r="BM59" s="14">
        <f t="shared" si="10"/>
        <v>96</v>
      </c>
      <c r="BN59" s="14">
        <f>('疲劳值&amp;地图信息'!$S$10*'疲劳值&amp;地图信息'!$R$10+'疲劳值&amp;地图信息'!$S$11*'疲劳值&amp;地图信息'!$R$11+'疲劳值&amp;地图信息'!$S$12*'疲劳值&amp;地图信息'!$R$12+(BM59-'疲劳值&amp;地图信息'!$S$12-'疲劳值&amp;地图信息'!$S$11-'疲劳值&amp;地图信息'!$S$10)*'疲劳值&amp;地图信息'!$R$13)/BM59</f>
        <v>51.371477246638619</v>
      </c>
      <c r="BO59" s="14">
        <f>INDEX(其他调用!$M$5:$M$404,MATCH(BL59,其他调用!$B$5:$B$404,0))*0.6</f>
        <v>56.542857142857144</v>
      </c>
      <c r="BP59" s="14">
        <f>IF(BO59&gt;SUM('疲劳值&amp;地图信息'!$S$10:$S$12),('疲劳值&amp;地图信息'!$S$10*'疲劳值&amp;地图信息'!$R$10+'疲劳值&amp;地图信息'!$S$11*'疲劳值&amp;地图信息'!$R$11+'疲劳值&amp;地图信息'!$S$12*'疲劳值&amp;地图信息'!$R$12+(BO59-'疲劳值&amp;地图信息'!$S$12-'疲劳值&amp;地图信息'!$S$11-'疲劳值&amp;地图信息'!$S$10)*'疲劳值&amp;地图信息'!$R$13)/BO59,('疲劳值&amp;地图信息'!$S$10*'疲劳值&amp;地图信息'!$R$10+'疲劳值&amp;地图信息'!$S$11*'疲劳值&amp;地图信息'!$R$11+'疲劳值&amp;地图信息'!$S$12*'疲劳值&amp;地图信息'!$R$12+(BO59-'疲劳值&amp;地图信息'!$S$12-'疲劳值&amp;地图信息'!$S$11-'疲劳值&amp;地图信息'!$S$10)*'疲劳值&amp;地图信息'!$R$13)/BO59)</f>
        <v>42.982034944255169</v>
      </c>
      <c r="BQ59" s="14">
        <f t="shared" si="104"/>
        <v>20</v>
      </c>
      <c r="BR59" s="14">
        <f>('疲劳值&amp;地图信息'!$S$10*'疲劳值&amp;地图信息'!$R$10+($BQ59-'疲劳值&amp;地图信息'!$S$10)*'疲劳值&amp;地图信息'!$R$11)/$BQ59</f>
        <v>32.067203015074995</v>
      </c>
      <c r="CF59" s="14">
        <v>54</v>
      </c>
      <c r="CG59" s="51">
        <f t="shared" si="11"/>
        <v>6869</v>
      </c>
      <c r="CH59" s="51">
        <f t="shared" si="12"/>
        <v>830</v>
      </c>
      <c r="CI59" s="51">
        <f>INT(SUMPRODUCT($N59:$R59,$BA59:$BE59)/SUM($BA59:$BE59)/10000*$BX$7*$BZ$34/'疲劳值&amp;地图信息'!$R$10*$BY$53)</f>
        <v>2876</v>
      </c>
      <c r="CJ59" s="50">
        <f t="shared" si="13"/>
        <v>0.64955082742316783</v>
      </c>
      <c r="CK59" s="50">
        <f t="shared" si="14"/>
        <v>7.8486997635933808E-2</v>
      </c>
      <c r="CL59" s="50">
        <f t="shared" si="15"/>
        <v>0.27196217494089836</v>
      </c>
      <c r="CM59" s="14">
        <f t="shared" si="16"/>
        <v>7145</v>
      </c>
      <c r="CN59" s="14">
        <f t="shared" si="17"/>
        <v>1122</v>
      </c>
      <c r="CO59" s="14">
        <f>INT(SUMPRODUCT($U59:$Y59,$BA59:$BE59)/SUM($BA59:$BE59)/10000*$BX$7*$BZ$34/'疲劳值&amp;地图信息'!$R$10*$BY$54)</f>
        <v>4937</v>
      </c>
      <c r="CP59" s="50">
        <f t="shared" si="18"/>
        <v>0.54112390184792492</v>
      </c>
      <c r="CQ59" s="50">
        <f t="shared" si="19"/>
        <v>8.4974250227203882E-2</v>
      </c>
      <c r="CR59" s="50">
        <f t="shared" si="20"/>
        <v>0.37390184792487124</v>
      </c>
      <c r="CS59" s="14">
        <f t="shared" si="21"/>
        <v>7541</v>
      </c>
      <c r="CT59" s="14">
        <f t="shared" si="22"/>
        <v>2037</v>
      </c>
      <c r="CU59" s="14">
        <f>INT(SUMPRODUCT($AB59:$AF59,$BA59:$BE59)/SUM($BA59:$BE59)/10000*$BX$7*$BZ$34/'疲劳值&amp;地图信息'!$R$10*$BY$55)</f>
        <v>6713</v>
      </c>
      <c r="CV59" s="50">
        <f t="shared" si="23"/>
        <v>0.46289362224541158</v>
      </c>
      <c r="CW59" s="50">
        <f t="shared" si="24"/>
        <v>0.1250383647412682</v>
      </c>
      <c r="CX59" s="50">
        <f t="shared" si="25"/>
        <v>0.41206801301332024</v>
      </c>
      <c r="CY59" s="14">
        <f t="shared" si="26"/>
        <v>8573</v>
      </c>
      <c r="CZ59" s="14">
        <f t="shared" si="27"/>
        <v>5407</v>
      </c>
      <c r="DA59" s="14">
        <f>INT(SUMPRODUCT($AI59:$AM59,$BA59:$BE59)/SUM($BA59:$BE59)/10000*$BX$7*$BZ$34/'疲劳值&amp;地图信息'!$R$10*$BY$56)</f>
        <v>10118</v>
      </c>
      <c r="DB59" s="50">
        <f t="shared" si="28"/>
        <v>0.35575566437048717</v>
      </c>
      <c r="DC59" s="50">
        <f t="shared" si="29"/>
        <v>0.22437546684372148</v>
      </c>
      <c r="DD59" s="50">
        <f t="shared" si="30"/>
        <v>0.41986886878579133</v>
      </c>
      <c r="DE59" s="14">
        <f t="shared" si="31"/>
        <v>8843</v>
      </c>
      <c r="DF59" s="14">
        <f t="shared" si="32"/>
        <v>10186</v>
      </c>
      <c r="DG59" s="14">
        <f>INT(SUMPRODUCT($AP59:$AT59,$BA59:$BE59)/SUM($BA59:$BE59)/10000*$BX$7*$BZ$34/'疲劳值&amp;地图信息'!$R$10*$BY$57)</f>
        <v>13510</v>
      </c>
      <c r="DH59" s="50">
        <f t="shared" si="33"/>
        <v>0.27176618826638804</v>
      </c>
      <c r="DI59" s="50">
        <f t="shared" si="34"/>
        <v>0.31303973693106735</v>
      </c>
      <c r="DJ59" s="50">
        <f t="shared" si="35"/>
        <v>0.41519407480254467</v>
      </c>
      <c r="DL59" s="14">
        <f t="shared" si="106"/>
        <v>10575</v>
      </c>
      <c r="DM59" s="14">
        <f t="shared" si="107"/>
        <v>13204</v>
      </c>
      <c r="DN59" s="14">
        <f t="shared" si="108"/>
        <v>16291</v>
      </c>
      <c r="DO59" s="14">
        <f t="shared" si="109"/>
        <v>24098</v>
      </c>
      <c r="DP59" s="14">
        <f t="shared" si="110"/>
        <v>32539</v>
      </c>
      <c r="DQ59" s="14">
        <f t="shared" si="111"/>
        <v>682895</v>
      </c>
      <c r="DT59" s="14">
        <f t="shared" si="105"/>
        <v>235575</v>
      </c>
      <c r="DU59" s="50">
        <f t="shared" si="7"/>
        <v>0.25648633052794323</v>
      </c>
      <c r="DW59" s="14">
        <f t="shared" si="36"/>
        <v>918470</v>
      </c>
      <c r="EB59" s="14">
        <v>54</v>
      </c>
      <c r="EC59" s="51">
        <f t="shared" si="37"/>
        <v>11448</v>
      </c>
      <c r="ED59" s="51">
        <f t="shared" si="38"/>
        <v>1383</v>
      </c>
      <c r="EE59" s="51">
        <f>INT(SUMPRODUCT($N59:$R59,$BF59:$BJ59)/SUM($BF59:$BJ59)/10000*$BX$7*$BZ$46/'疲劳值&amp;地图信息'!$R$10*$BY$53)</f>
        <v>386</v>
      </c>
      <c r="EF59" s="50">
        <f t="shared" si="39"/>
        <v>0.86615722175985477</v>
      </c>
      <c r="EG59" s="50">
        <f t="shared" si="40"/>
        <v>0.10463796625557993</v>
      </c>
      <c r="EH59" s="50">
        <f t="shared" si="41"/>
        <v>2.9204811984565333E-2</v>
      </c>
      <c r="EI59" s="51">
        <f t="shared" si="42"/>
        <v>11909</v>
      </c>
      <c r="EJ59" s="51">
        <f t="shared" si="43"/>
        <v>1870</v>
      </c>
      <c r="EK59" s="14">
        <f>INT(SUMPRODUCT($U59:$Y59,$BF59:$BJ59)/SUM($BF59:$BJ59)/10000*$BX$7*$BZ$46/'疲劳值&amp;地图信息'!$R$10*$BY$54)</f>
        <v>662</v>
      </c>
      <c r="EL59" s="50">
        <f t="shared" si="44"/>
        <v>0.82466588186413681</v>
      </c>
      <c r="EM59" s="50">
        <f t="shared" si="45"/>
        <v>0.12949241742261616</v>
      </c>
      <c r="EN59" s="50">
        <f t="shared" si="46"/>
        <v>4.5841700713247002E-2</v>
      </c>
      <c r="EO59" s="51">
        <f t="shared" si="47"/>
        <v>12568</v>
      </c>
      <c r="EP59" s="51">
        <f t="shared" si="48"/>
        <v>3395</v>
      </c>
      <c r="EQ59" s="14">
        <f>INT(SUMPRODUCT($AB59:$AF59,$BF59:$BJ59)/SUM($BF59:$BJ59)/10000*$BX$7*$BZ$46/'疲劳值&amp;地图信息'!$R$10*$BY$55)</f>
        <v>899</v>
      </c>
      <c r="ER59" s="50">
        <f t="shared" si="49"/>
        <v>0.74534456173644881</v>
      </c>
      <c r="ES59" s="50">
        <f t="shared" si="50"/>
        <v>0.20134029178033447</v>
      </c>
      <c r="ET59" s="50">
        <f t="shared" si="51"/>
        <v>5.3315146483216704E-2</v>
      </c>
      <c r="EU59" s="51">
        <f t="shared" si="52"/>
        <v>14289</v>
      </c>
      <c r="EV59" s="51">
        <f t="shared" si="53"/>
        <v>9012</v>
      </c>
      <c r="EW59" s="14">
        <f>INT(SUMPRODUCT($AI59:$AM59,$BF59:$BJ59)/SUM($BF59:$BJ59)/10000*$BX$7*$BZ$46/'疲劳值&amp;地图信息'!$R$10*$BY$56)</f>
        <v>1349</v>
      </c>
      <c r="EX59" s="50">
        <f t="shared" si="54"/>
        <v>0.57967545638945228</v>
      </c>
      <c r="EY59" s="50">
        <f t="shared" si="55"/>
        <v>0.36559837728194727</v>
      </c>
      <c r="EZ59" s="50">
        <f t="shared" si="56"/>
        <v>5.4726166328600404E-2</v>
      </c>
      <c r="FA59" s="51">
        <f t="shared" si="57"/>
        <v>14738</v>
      </c>
      <c r="FB59" s="51">
        <f t="shared" si="58"/>
        <v>16977</v>
      </c>
      <c r="FC59" s="14">
        <f>INT(SUMPRODUCT($AP59:$AT59,$BF59:$BJ59)/SUM($BF59:$BJ59)/10000*$BX$7*$BZ$46/'疲劳值&amp;地图信息'!$R$10*$BY$57)</f>
        <v>1799</v>
      </c>
      <c r="FD59" s="50">
        <f t="shared" si="59"/>
        <v>0.43975651966342422</v>
      </c>
      <c r="FE59" s="50">
        <f t="shared" si="60"/>
        <v>0.50656442083905229</v>
      </c>
      <c r="FF59" s="50">
        <f t="shared" si="61"/>
        <v>5.3679059497523426E-2</v>
      </c>
      <c r="FH59" s="14">
        <f t="shared" si="62"/>
        <v>13217</v>
      </c>
      <c r="FI59" s="14">
        <f t="shared" si="63"/>
        <v>14441</v>
      </c>
      <c r="FJ59" s="14">
        <f t="shared" si="64"/>
        <v>16862</v>
      </c>
      <c r="FK59" s="14">
        <f t="shared" si="65"/>
        <v>24650</v>
      </c>
      <c r="FL59" s="14">
        <f t="shared" si="66"/>
        <v>33514</v>
      </c>
      <c r="FM59" s="14">
        <f t="shared" si="67"/>
        <v>1523135</v>
      </c>
      <c r="FP59" s="14">
        <f t="shared" si="68"/>
        <v>334150</v>
      </c>
      <c r="FQ59" s="50">
        <f t="shared" si="8"/>
        <v>0.17991315280099715</v>
      </c>
      <c r="FS59" s="14">
        <f t="shared" si="69"/>
        <v>1857285</v>
      </c>
      <c r="FX59" s="14">
        <v>54</v>
      </c>
      <c r="FY59" s="51">
        <f t="shared" si="70"/>
        <v>16028</v>
      </c>
      <c r="FZ59" s="51">
        <f t="shared" si="71"/>
        <v>1383</v>
      </c>
      <c r="GA59" s="51">
        <f>INT(SUMPRODUCT($N59:$R59,$BF59:$BJ59)/SUM($BF59:$BJ59)/10000*$BX$7*$BZ$46/'疲劳值&amp;地图信息'!$R$10*$BY$53)</f>
        <v>386</v>
      </c>
      <c r="GB59" s="50">
        <f t="shared" si="72"/>
        <v>0.90060122492554928</v>
      </c>
      <c r="GC59" s="50">
        <f t="shared" si="73"/>
        <v>7.7709726358375003E-2</v>
      </c>
      <c r="GD59" s="50">
        <f t="shared" si="74"/>
        <v>2.1689048716075743E-2</v>
      </c>
      <c r="GE59" s="51">
        <f t="shared" si="75"/>
        <v>16673</v>
      </c>
      <c r="GF59" s="51">
        <f t="shared" si="76"/>
        <v>1870</v>
      </c>
      <c r="GG59" s="14">
        <f>INT(SUMPRODUCT($U59:$Y59,$BF59:$BJ59)/SUM($BF59:$BJ59)/10000*$BX$7*$BZ$46/'疲劳值&amp;地图信息'!$R$10*$BY$54)</f>
        <v>662</v>
      </c>
      <c r="GH59" s="50">
        <f t="shared" si="77"/>
        <v>0.86815933350689922</v>
      </c>
      <c r="GI59" s="50">
        <f t="shared" si="78"/>
        <v>9.7370476438427486E-2</v>
      </c>
      <c r="GJ59" s="50">
        <f t="shared" si="79"/>
        <v>3.4470190054673264E-2</v>
      </c>
      <c r="GK59" s="51">
        <f t="shared" si="80"/>
        <v>17595</v>
      </c>
      <c r="GL59" s="51">
        <f t="shared" si="81"/>
        <v>3395</v>
      </c>
      <c r="GM59" s="14">
        <f>INT(SUMPRODUCT($AB59:$AF59,$BF59:$BJ59)/SUM($BF59:$BJ59)/10000*$BX$7*$BZ$46/'疲劳值&amp;地图信息'!$R$10*$BY$55)</f>
        <v>899</v>
      </c>
      <c r="GN59" s="50">
        <f t="shared" si="82"/>
        <v>0.80382840696240121</v>
      </c>
      <c r="GO59" s="50">
        <f t="shared" si="83"/>
        <v>0.15510073552926126</v>
      </c>
      <c r="GP59" s="50">
        <f t="shared" si="84"/>
        <v>4.107085750833752E-2</v>
      </c>
      <c r="GQ59" s="51">
        <f t="shared" si="85"/>
        <v>20005</v>
      </c>
      <c r="GR59" s="51">
        <f t="shared" si="86"/>
        <v>9012</v>
      </c>
      <c r="GS59" s="14">
        <f>INT(SUMPRODUCT($AI59:$AM59,$BF59:$BJ59)/SUM($BF59:$BJ59)/10000*$BX$7*$BZ$46/'疲劳值&amp;地图信息'!$R$10*$BY$56)</f>
        <v>1349</v>
      </c>
      <c r="GT59" s="50">
        <f t="shared" si="87"/>
        <v>0.65879602186656128</v>
      </c>
      <c r="GU59" s="50">
        <f t="shared" si="88"/>
        <v>0.29677929262991504</v>
      </c>
      <c r="GV59" s="50">
        <f t="shared" si="89"/>
        <v>4.442468550352368E-2</v>
      </c>
      <c r="GW59" s="51">
        <f t="shared" si="90"/>
        <v>20634</v>
      </c>
      <c r="GX59" s="51">
        <f t="shared" si="91"/>
        <v>16977</v>
      </c>
      <c r="GY59" s="14">
        <f>INT(SUMPRODUCT($AP59:$AT59,$BF59:$BJ59)/SUM($BF59:$BJ59)/10000*$BX$7*$BZ$46/'疲劳值&amp;地图信息'!$R$10*$BY$57)</f>
        <v>1799</v>
      </c>
      <c r="GZ59" s="50">
        <f t="shared" si="92"/>
        <v>0.52357269728495304</v>
      </c>
      <c r="HA59" s="50">
        <f t="shared" si="93"/>
        <v>0.43077899010403453</v>
      </c>
      <c r="HB59" s="50">
        <f t="shared" si="94"/>
        <v>4.5648312611012432E-2</v>
      </c>
      <c r="HD59" s="14">
        <f t="shared" si="95"/>
        <v>17797</v>
      </c>
      <c r="HE59" s="14">
        <f t="shared" si="96"/>
        <v>19205</v>
      </c>
      <c r="HF59" s="14">
        <f t="shared" si="97"/>
        <v>21889</v>
      </c>
      <c r="HG59" s="14">
        <f t="shared" si="98"/>
        <v>30366</v>
      </c>
      <c r="HH59" s="14">
        <f t="shared" si="99"/>
        <v>39410</v>
      </c>
      <c r="HI59" s="14">
        <f t="shared" si="100"/>
        <v>2019849</v>
      </c>
      <c r="HL59" s="14">
        <f t="shared" si="101"/>
        <v>430050</v>
      </c>
      <c r="HM59" s="50">
        <f t="shared" si="9"/>
        <v>0.17553784870315062</v>
      </c>
      <c r="HO59" s="14">
        <f t="shared" si="102"/>
        <v>2449899</v>
      </c>
    </row>
    <row r="60" spans="11:223" x14ac:dyDescent="0.2">
      <c r="K60" s="14">
        <v>55</v>
      </c>
      <c r="L60" s="12">
        <f>求节点(节奏总纲!D$4:D$163,标准城池设计!AB$4:AB$163,$K60)*求节点(节奏总纲!D$4:D$163,攻城基础信息!$AC$5:$AC$164,$K60)</f>
        <v>331373.1571484126</v>
      </c>
      <c r="M60" s="12">
        <f>INDEX(其他调用!$AA$5:$AA$404,MATCH(K60,其他调用!$X$5:$X$404,0))*MIN(INDEX(其他调用!$AH$5:$AH$364,MATCH('征服点（新）'!K60,其他调用!$AG$5:$AG$364,0),1)/INDEX(其他调用!$AJ$5:$AJ$364,MATCH(K60,其他调用!$AG$5:$AG$364,0),0),5)*求节点(节奏总纲!D$4:D$163,攻城基础信息!$AC$5:$AC$164,$K60)</f>
        <v>39464.058264748739</v>
      </c>
      <c r="N60" s="12">
        <f>MIN(INDEX(其他调用!$AH$5:$AH$364,MATCH($K60,其他调用!$AG$5:$AG$364,0),1)/INDEX(其他调用!AH$5:AH$364,MATCH($K60,其他调用!$AG$5:$AG$364,0),0),1)*INDEX(其他调用!Y$5:Y$404,MATCH($K60,其他调用!$X$5:$X$404,0),0)</f>
        <v>32765.360455762384</v>
      </c>
      <c r="O60" s="12">
        <f>MIN(INDEX(其他调用!$AH$5:$AH$364,MATCH($K60,其他调用!$AG$5:$AG$364,0),1)/INDEX(其他调用!AI$5:AI$364,MATCH($K60,其他调用!$AG$5:$AG$364,0),0),1)*INDEX(其他调用!Z$5:Z$404,MATCH($K60,其他调用!$X$5:$X$404,0),0)</f>
        <v>24813.999664701969</v>
      </c>
      <c r="P60" s="12">
        <f>MIN(INDEX(其他调用!$AH$5:$AH$364,MATCH($K60,其他调用!$AG$5:$AG$364,0),1)/INDEX(其他调用!AJ$5:AJ$364,MATCH($K60,其他调用!$AG$5:$AG$364,0),0),1)*INDEX(其他调用!AA$5:AA$404,MATCH($K60,其他调用!$X$5:$X$404,0),0)</f>
        <v>14251.88983734628</v>
      </c>
      <c r="Q60" s="12">
        <f>MIN(INDEX(其他调用!$AH$5:$AH$364,MATCH($K60,其他调用!$AG$5:$AG$364,0),1)/INDEX(其他调用!AK$5:AK$364,MATCH($K60,其他调用!$AG$5:$AG$364,0),0),1)*INDEX(其他调用!AB$5:AB$404,MATCH($K60,其他调用!$X$5:$X$404,0),0)</f>
        <v>5706.1238534493741</v>
      </c>
      <c r="R60" s="12">
        <f>MIN(INDEX(其他调用!$AH$5:$AH$364,MATCH($K60,其他调用!$AG$5:$AG$364,0),1)/INDEX(其他调用!AL$5:AL$364,MATCH($K60,其他调用!$AG$5:$AG$364,0),0),1)*INDEX(其他调用!AC$5:AC$404,MATCH($K60,其他调用!$X$5:$X$404,0),0)</f>
        <v>1897.7598964378462</v>
      </c>
      <c r="S60" s="12">
        <f>求节点(节奏总纲!D$4:D$163,标准城池设计!AC$4:AC$163,$K60)*求节点(节奏总纲!D$4:D$163,攻城基础信息!$AD$5:$AD$164,$K60)</f>
        <v>344819.78312744614</v>
      </c>
      <c r="T60" s="12">
        <f>INDEX(其他调用!$AA$5:$AA$404,MATCH($K60,其他调用!$X$5:$X$404,0))*MIN(INDEX(其他调用!AI$5:AI$364,MATCH($K60,其他调用!$AG$5:$AG$364,0),1)/INDEX(其他调用!$AJ$5:$AJ$364,MATCH($K60,其他调用!$AG$5:$AG$364,0),0),5)*求节点(节奏总纲!D$4:D$163,攻城基础信息!$AD$5:$AD$164,$K60)</f>
        <v>53850.299804806869</v>
      </c>
      <c r="U60" s="12">
        <f>MIN(INDEX(其他调用!$AI$5:$AI$364,MATCH($K60,其他调用!$AG$5:$AG$364,0),1)/INDEX(其他调用!AH$5:AH$364,MATCH($K60,其他调用!$AG$5:$AG$364,0),0),1)*INDEX(其他调用!Y$5:Y$404,MATCH($K60,其他调用!$X$5:$X$404,0),0)</f>
        <v>32765.360455762384</v>
      </c>
      <c r="V60" s="12">
        <f>MIN(INDEX(其他调用!$AI$5:$AI$364,MATCH($K60,其他调用!$AG$5:$AG$364,0),1)/INDEX(其他调用!AI$5:AI$364,MATCH($K60,其他调用!$AG$5:$AG$364,0),0),1)*INDEX(其他调用!Z$5:Z$404,MATCH($K60,其他调用!$X$5:$X$404,0),0)</f>
        <v>33859.703741978701</v>
      </c>
      <c r="W60" s="12">
        <f>MIN(INDEX(其他调用!$AI$5:$AI$364,MATCH($K60,其他调用!$AG$5:$AG$364,0),1)/INDEX(其他调用!AJ$5:AJ$364,MATCH($K60,其他调用!$AG$5:$AG$364,0),0),1)*INDEX(其他调用!AA$5:AA$404,MATCH($K60,其他调用!$X$5:$X$404,0),0)</f>
        <v>19447.278720742172</v>
      </c>
      <c r="X60" s="12">
        <f>MIN(INDEX(其他调用!$AI$5:$AI$364,MATCH($K60,其他调用!$AG$5:$AG$364,0),1)/INDEX(其他调用!AK$5:AK$364,MATCH($K60,其他调用!$AG$5:$AG$364,0),0),1)*INDEX(其他调用!AB$5:AB$404,MATCH($K60,其他调用!$X$5:$X$404,0),0)</f>
        <v>7786.2362296906331</v>
      </c>
      <c r="Y60" s="12">
        <f>MIN(INDEX(其他调用!$AI$5:$AI$364,MATCH($K60,其他调用!$AG$5:$AG$364,0),1)/INDEX(其他调用!AL$5:AL$364,MATCH($K60,其他调用!$AG$5:$AG$364,0),0),1)*INDEX(其他调用!AC$5:AC$404,MATCH($K60,其他调用!$X$5:$X$404,0),0)</f>
        <v>2589.5699498295862</v>
      </c>
      <c r="Z60" s="12">
        <f>求节点(节奏总纲!D$4:D$163,标准城池设计!AD$4:AD$163,$K60)*求节点(节奏总纲!D$4:D$163,攻城基础信息!$AE$5:$AE$164,$K60)</f>
        <v>364016.21974400897</v>
      </c>
      <c r="AA60" s="12">
        <f>INDEX(其他调用!$AA$5:$AA$404,MATCH($K60,其他调用!$X$5:$X$404,0))*MIN(INDEX(其他调用!AJ$5:AJ$364,MATCH($K60,其他调用!$AG$5:$AG$364,0),1)/INDEX(其他调用!$AJ$5:$AJ$364,MATCH($K60,其他调用!$AG$5:$AG$364,0),0),5)*求节点(节奏总纲!D$4:D$163,攻城基础信息!$AE$5:$AE$164,$K60)</f>
        <v>97897.129270450139</v>
      </c>
      <c r="AB60" s="12">
        <f>MIN(INDEX(其他调用!$AJ$5:$AJ$364,MATCH($K60,其他调用!$AG$5:$AG$364,0),1)/INDEX(其他调用!AH$5:AH$364,MATCH($K60,其他调用!$AG$5:$AG$364,0),0),1)*INDEX(其他调用!Y$5:Y$404,MATCH($K60,其他调用!$X$5:$X$404,0),0)</f>
        <v>32765.360455762384</v>
      </c>
      <c r="AC60" s="12">
        <f>MIN(INDEX(其他调用!$AJ$5:$AJ$364,MATCH($K60,其他调用!$AG$5:$AG$364,0),1)/INDEX(其他调用!AI$5:AI$364,MATCH($K60,其他调用!$AG$5:$AG$364,0),0),1)*INDEX(其他调用!Z$5:Z$404,MATCH($K60,其他调用!$X$5:$X$404,0),0)</f>
        <v>33859.703741978701</v>
      </c>
      <c r="AD60" s="12">
        <f>MIN(INDEX(其他调用!$AJ$5:$AJ$364,MATCH($K60,其他调用!$AG$5:$AG$364,0),1)/INDEX(其他调用!AJ$5:AJ$364,MATCH($K60,其他调用!$AG$5:$AG$364,0),0),1)*INDEX(其他调用!AA$5:AA$404,MATCH($K60,其他调用!$X$5:$X$404,0),0)</f>
        <v>35354.171950460113</v>
      </c>
      <c r="AE60" s="12">
        <f>MIN(INDEX(其他调用!$AJ$5:$AJ$364,MATCH($K60,其他调用!$AG$5:$AG$364,0),1)/INDEX(其他调用!AK$5:AK$364,MATCH($K60,其他调用!$AG$5:$AG$364,0),0),1)*INDEX(其他调用!AB$5:AB$404,MATCH($K60,其他调用!$X$5:$X$404,0),0)</f>
        <v>14154.984790637043</v>
      </c>
      <c r="AF60" s="12">
        <f>MIN(INDEX(其他调用!$AJ$5:$AJ$364,MATCH($K60,其他调用!$AG$5:$AG$364,0),1)/INDEX(其他调用!AL$5:AL$364,MATCH($K60,其他调用!$AG$5:$AG$364,0),0),1)*INDEX(其他调用!AC$5:AC$404,MATCH($K60,其他调用!$X$5:$X$404,0),0)</f>
        <v>4707.7075717730877</v>
      </c>
      <c r="AG60" s="12">
        <f>求节点(节奏总纲!D$4:D$163,标准城池设计!AE$4:AE$163,$K60)*求节点(节奏总纲!D$4:D$163,攻城基础信息!$AF$5:$AF$164,$K60)</f>
        <v>413597.68544635124</v>
      </c>
      <c r="AH60" s="12">
        <f>INDEX(其他调用!$AA$5:$AA$404,MATCH($K60,其他调用!$X$5:$X$404,0))*MIN(INDEX(其他调用!AK$5:AK$364,MATCH($K60,其他调用!$AG$5:$AG$364,0),1)/INDEX(其他调用!$AJ$5:$AJ$364,MATCH($K60,其他调用!$AG$5:$AG$364,0),0),5)*求节点(节奏总纲!D$4:D$163,攻城基础信息!$AF$5:$AF$164,$K60)</f>
        <v>259525.80767001896</v>
      </c>
      <c r="AI60" s="12">
        <f>MIN(INDEX(其他调用!$AK$5:$AK$364,MATCH($K60,其他调用!$AG$5:$AG$364,0),1)/INDEX(其他调用!AH$5:AH$364,MATCH($K60,其他调用!$AG$5:$AG$364,0),0),1)*INDEX(其他调用!Y$5:Y$404,MATCH($K60,其他调用!$X$5:$X$404,0),0)</f>
        <v>32765.360455762384</v>
      </c>
      <c r="AJ60" s="12">
        <f>MIN(INDEX(其他调用!$AK$5:$AK$364,MATCH($K60,其他调用!$AG$5:$AG$364,0),1)/INDEX(其他调用!AI$5:AI$364,MATCH($K60,其他调用!$AG$5:$AG$364,0),0),1)*INDEX(其他调用!Z$5:Z$404,MATCH($K60,其他调用!$X$5:$X$404,0),0)</f>
        <v>33859.703741978701</v>
      </c>
      <c r="AK60" s="12">
        <f>MIN(INDEX(其他调用!$AK$5:$AK$364,MATCH($K60,其他调用!$AG$5:$AG$364,0),1)/INDEX(其他调用!AJ$5:AJ$364,MATCH($K60,其他调用!$AG$5:$AG$364,0),0),1)*INDEX(其他调用!AA$5:AA$404,MATCH($K60,其他调用!$X$5:$X$404,0),0)</f>
        <v>35354.171950460113</v>
      </c>
      <c r="AL60" s="12">
        <f>MIN(INDEX(其他调用!$AK$5:$AK$364,MATCH($K60,其他调用!$AG$5:$AG$364,0),1)/INDEX(其他调用!AK$5:AK$364,MATCH($K60,其他调用!$AG$5:$AG$364,0),0),1)*INDEX(其他调用!AB$5:AB$404,MATCH($K60,其他调用!$X$5:$X$404,0),0)</f>
        <v>37524.939574053162</v>
      </c>
      <c r="AM60" s="12">
        <f>MIN(INDEX(其他调用!$AK$5:$AK$364,MATCH($K60,其他调用!$AG$5:$AG$364,0),1)/INDEX(其他调用!AL$5:AL$364,MATCH($K60,其他调用!$AG$5:$AG$364,0),0),1)*INDEX(其他调用!AC$5:AC$404,MATCH($K60,其他调用!$X$5:$X$404,0),0)</f>
        <v>12480.15768126779</v>
      </c>
      <c r="AN60" s="12">
        <f>求节点(节奏总纲!D$4:D$163,标准城池设计!AF$4:AF$163,$K60)*求节点(节奏总纲!D$4:D$163,攻城基础信息!$AG$5:$AG$164,$K60)</f>
        <v>426472.23486737575</v>
      </c>
      <c r="AO60" s="12">
        <f>INDEX(其他调用!$AA$5:$AA$404,MATCH($K60,其他调用!$X$5:$X$404,0))*MIN(INDEX(其他调用!AL$5:AL$364,MATCH($K60,其他调用!$AG$5:$AG$364,0),1)/INDEX(其他调用!$AJ$5:$AJ$364,MATCH($K60,其他调用!$AG$5:$AG$364,0),0),5)*求节点(节奏总纲!D$4:D$163,攻城基础信息!$AG$5:$AG$164,$K60)</f>
        <v>489485.64635225077</v>
      </c>
      <c r="AP60" s="12">
        <f>MIN(INDEX(其他调用!$AL$5:$AL$364,MATCH($K60,其他调用!$AG$5:$AG$364,0),1)/INDEX(其他调用!AH$5:AH$364,MATCH($K60,其他调用!$AG$5:$AG$364,0),0),1)*INDEX(其他调用!Y$5:Y$404,MATCH($K60,其他调用!$X$5:$X$404,0),0)</f>
        <v>32765.360455762384</v>
      </c>
      <c r="AQ60" s="12">
        <f>MIN(INDEX(其他调用!$AL$5:$AL$364,MATCH($K60,其他调用!$AG$5:$AG$364,0),1)/INDEX(其他调用!AI$5:AI$364,MATCH($K60,其他调用!$AG$5:$AG$364,0),0),1)*INDEX(其他调用!Z$5:Z$404,MATCH($K60,其他调用!$X$5:$X$404,0),0)</f>
        <v>33859.703741978701</v>
      </c>
      <c r="AR60" s="12">
        <f>MIN(INDEX(其他调用!$AL$5:$AL$364,MATCH($K60,其他调用!$AG$5:$AG$364,0),1)/INDEX(其他调用!AJ$5:AJ$364,MATCH($K60,其他调用!$AG$5:$AG$364,0),0),1)*INDEX(其他调用!AA$5:AA$404,MATCH($K60,其他调用!$X$5:$X$404,0),0)</f>
        <v>35354.171950460113</v>
      </c>
      <c r="AS60" s="12">
        <f>MIN(INDEX(其他调用!$AL$5:$AL$364,MATCH($K60,其他调用!$AG$5:$AG$364,0),1)/INDEX(其他调用!AK$5:AK$364,MATCH($K60,其他调用!$AG$5:$AG$364,0),0),1)*INDEX(其他调用!AB$5:AB$404,MATCH($K60,其他调用!$X$5:$X$404,0),0)</f>
        <v>37524.939574053162</v>
      </c>
      <c r="AT60" s="12">
        <f>MIN(INDEX(其他调用!$AL$5:$AL$364,MATCH($K60,其他调用!$AG$5:$AG$364,0),1)/INDEX(其他调用!AL$5:AL$364,MATCH($K60,其他调用!$AG$5:$AG$364,0),0),1)*INDEX(其他调用!AC$5:AC$404,MATCH($K60,其他调用!$X$5:$X$404,0),0)</f>
        <v>41345.743299105736</v>
      </c>
      <c r="AV60" s="14">
        <f>IF(OR(AV$5="大R",AV$5="超R"),MAX(INDEX(其他调用!$H$5:$L$404,MATCH($K60,其他调用!$B$5:$B$404,0),MATCH(AV$5,其他调用!$H$4:$L$4,0))*120*0.85,2),INDEX(其他调用!$H$5:$L$404,MATCH($K60,其他调用!$B$5:$B$404,0),MATCH(AV$5,其他调用!$H$4:$L$4,0))*120*0.85)</f>
        <v>52.039615295454567</v>
      </c>
      <c r="AW60" s="14">
        <f>IF(OR(AW$5="大R",AW$5="超R"),MAX(INDEX(其他调用!$H$5:$L$404,MATCH($K60,其他调用!$B$5:$B$404,0),MATCH(AW$5,其他调用!$H$4:$L$4,0))*120*0.85,2),INDEX(其他调用!$H$5:$L$404,MATCH($K60,其他调用!$B$5:$B$404,0),MATCH(AW$5,其他调用!$H$4:$L$4,0))*120*0.85)</f>
        <v>45.28048174134544</v>
      </c>
      <c r="AX60" s="14">
        <f>IF(OR(AX$5="大R",AX$5="超R"),MAX(INDEX(其他调用!$H$5:$L$404,MATCH($K60,其他调用!$B$5:$B$404,0),MATCH(AX$5,其他调用!$H$4:$L$4,0))*120*0.85,2),INDEX(其他调用!$H$5:$L$404,MATCH($K60,其他调用!$B$5:$B$404,0),MATCH(AX$5,其他调用!$H$4:$L$4,0))*120*0.85)</f>
        <v>3.8667589632000001</v>
      </c>
      <c r="AY60" s="14">
        <f>IF(OR(AY$5="大R",AY$5="超R"),MAX(INDEX(其他调用!$H$5:$L$404,MATCH($K60,其他调用!$B$5:$B$404,0),MATCH(AY$5,其他调用!$H$4:$L$4,0))*120*0.85,2),INDEX(其他调用!$H$5:$L$404,MATCH($K60,其他调用!$B$5:$B$404,0),MATCH(AY$5,其他调用!$H$4:$L$4,0))*120*0.85)</f>
        <v>2</v>
      </c>
      <c r="AZ60" s="14">
        <f>IF(OR(AZ$5="大R",AZ$5="超R"),MAX(INDEX(其他调用!$H$5:$L$404,MATCH($K60,其他调用!$B$5:$B$404,0),MATCH(AZ$5,其他调用!$H$4:$L$4,0))*120*0.85,2),INDEX(其他调用!$H$5:$L$404,MATCH($K60,其他调用!$B$5:$B$404,0),MATCH(AZ$5,其他调用!$H$4:$L$4,0))*120*0.85)</f>
        <v>2</v>
      </c>
      <c r="BA60" s="14">
        <f>INDEX(其他调用!$H$5:$L$404,MATCH($K60,其他调用!$B$5:$B$404,0),MATCH(BA$5,其他调用!$H$4:$L$4,0))*INDEX(其他调用!$M$5:$M$404,MATCH($K60,其他调用!$B$5:$B$404,0))*0.6</f>
        <v>28.920615335064952</v>
      </c>
      <c r="BB60" s="14">
        <f>INDEX(其他调用!$H$5:$L$404,MATCH($K60,其他调用!$B$5:$B$404,0),MATCH(BB$5,其他调用!$H$4:$L$4,0))*INDEX(其他调用!$M$5:$M$404,MATCH($K60,其他调用!$B$5:$B$404,0))*0.6</f>
        <v>25.164278928523625</v>
      </c>
      <c r="BC60" s="14">
        <f>INDEX(其他调用!$H$5:$L$404,MATCH($K60,其他调用!$B$5:$B$404,0),MATCH(BC$5,其他调用!$H$4:$L$4,0))*INDEX(其他调用!$M$5:$M$404,MATCH($K60,其他调用!$B$5:$B$404,0))*0.6</f>
        <v>2.1489215078400004</v>
      </c>
      <c r="BD60" s="14">
        <f>INDEX(其他调用!$H$5:$L$404,MATCH($K60,其他调用!$B$5:$B$404,0),MATCH(BD$5,其他调用!$H$4:$L$4,0))*INDEX(其他调用!$M$5:$M$404,MATCH($K60,其他调用!$B$5:$B$404,0))*0.6</f>
        <v>0.35666651428571439</v>
      </c>
      <c r="BE60" s="14">
        <f>INDEX(其他调用!$H$5:$L$404,MATCH($K60,其他调用!$B$5:$B$404,0),MATCH(BE$5,其他调用!$H$4:$L$4,0))*INDEX(其他调用!$M$5:$M$404,MATCH($K60,其他调用!$B$5:$B$404,0))*0.6</f>
        <v>9.5231999999999983E-2</v>
      </c>
      <c r="BF60" s="14">
        <f>IF(OR(BF$5="大R",BF$5="超R"),0,INDEX(其他调用!$H$5:$L$404,MATCH($K60,其他调用!$B$5:$B$404,0),MATCH(BF$5,其他调用!$H$4:$L$4,0))*50*0.4)</f>
        <v>10.203846136363643</v>
      </c>
      <c r="BG60" s="14">
        <f>IF(OR(BG$5="大R",BG$5="超R"),0,INDEX(其他调用!$H$5:$L$404,MATCH($K60,其他调用!$B$5:$B$404,0),MATCH(BG$5,其他调用!$H$4:$L$4,0))*50*0.4)</f>
        <v>8.8785258316363596</v>
      </c>
      <c r="BH60" s="14">
        <f>IF(OR(BH$5="大R",BH$5="超R"),0,INDEX(其他调用!$H$5:$L$404,MATCH($K60,其他调用!$B$5:$B$404,0),MATCH(BH$5,其他调用!$H$4:$L$4,0))*50*0.4)</f>
        <v>0.75818803200000007</v>
      </c>
      <c r="BI60" s="14">
        <f>IF(OR(BI$5="大R",BI$5="超R"),0,INDEX(其他调用!$H$5:$L$404,MATCH($K60,其他调用!$B$5:$B$404,0),MATCH(BI$5,其他调用!$H$4:$L$4,0))*50*0.4)</f>
        <v>0</v>
      </c>
      <c r="BJ60" s="14">
        <f>IF(OR(BJ$5="大R",BJ$5="超R"),0,INDEX(其他调用!$H$5:$L$404,MATCH($K60,其他调用!$B$5:$B$404,0),MATCH(BJ$5,其他调用!$H$4:$L$4,0))*50*0.4)</f>
        <v>0</v>
      </c>
      <c r="BL60" s="14">
        <f t="shared" si="103"/>
        <v>55</v>
      </c>
      <c r="BM60" s="14">
        <f t="shared" si="10"/>
        <v>96</v>
      </c>
      <c r="BN60" s="14">
        <f>('疲劳值&amp;地图信息'!$S$10*'疲劳值&amp;地图信息'!$R$10+'疲劳值&amp;地图信息'!$S$11*'疲劳值&amp;地图信息'!$R$11+'疲劳值&amp;地图信息'!$S$12*'疲劳值&amp;地图信息'!$R$12+(BM60-'疲劳值&amp;地图信息'!$S$12-'疲劳值&amp;地图信息'!$S$11-'疲劳值&amp;地图信息'!$S$10)*'疲劳值&amp;地图信息'!$R$13)/BM60</f>
        <v>51.371477246638619</v>
      </c>
      <c r="BO60" s="14">
        <f>INDEX(其他调用!$M$5:$M$404,MATCH(BL60,其他调用!$B$5:$B$404,0))*0.6</f>
        <v>56.68571428571429</v>
      </c>
      <c r="BP60" s="14">
        <f>IF(BO60&gt;SUM('疲劳值&amp;地图信息'!$S$10:$S$12),('疲劳值&amp;地图信息'!$S$10*'疲劳值&amp;地图信息'!$R$10+'疲劳值&amp;地图信息'!$S$11*'疲劳值&amp;地图信息'!$R$11+'疲劳值&amp;地图信息'!$S$12*'疲劳值&amp;地图信息'!$R$12+(BO60-'疲劳值&amp;地图信息'!$S$12-'疲劳值&amp;地图信息'!$S$11-'疲劳值&amp;地图信息'!$S$10)*'疲劳值&amp;地图信息'!$R$13)/BO60,('疲劳值&amp;地图信息'!$S$10*'疲劳值&amp;地图信息'!$R$10+'疲劳值&amp;地图信息'!$S$11*'疲劳值&amp;地图信息'!$R$11+'疲劳值&amp;地图信息'!$S$12*'疲劳值&amp;地图信息'!$R$12+(BO60-'疲劳值&amp;地图信息'!$S$12-'疲劳值&amp;地图信息'!$S$11-'疲劳值&amp;地图信息'!$S$10)*'疲劳值&amp;地图信息'!$R$13)/BO60)</f>
        <v>43.033475662864298</v>
      </c>
      <c r="BQ60" s="14">
        <f t="shared" si="104"/>
        <v>20</v>
      </c>
      <c r="BR60" s="14">
        <f>('疲劳值&amp;地图信息'!$S$10*'疲劳值&amp;地图信息'!$R$10+($BQ60-'疲劳值&amp;地图信息'!$S$10)*'疲劳值&amp;地图信息'!$R$11)/$BQ60</f>
        <v>32.067203015074995</v>
      </c>
      <c r="CA60" s="4"/>
      <c r="CF60" s="14">
        <v>55</v>
      </c>
      <c r="CG60" s="51">
        <f t="shared" si="11"/>
        <v>6930</v>
      </c>
      <c r="CH60" s="51">
        <f t="shared" si="12"/>
        <v>825</v>
      </c>
      <c r="CI60" s="51">
        <f>INT(SUMPRODUCT($N60:$R60,$BA60:$BE60)/SUM($BA60:$BE60)/10000*$BX$7*$BZ$34/'疲劳值&amp;地图信息'!$R$10*$BY$53)</f>
        <v>2872</v>
      </c>
      <c r="CJ60" s="50">
        <f t="shared" si="13"/>
        <v>0.6521125435212195</v>
      </c>
      <c r="CK60" s="50">
        <f t="shared" si="14"/>
        <v>7.7632445657288038E-2</v>
      </c>
      <c r="CL60" s="50">
        <f t="shared" si="15"/>
        <v>0.27025501082149245</v>
      </c>
      <c r="CM60" s="14">
        <f t="shared" si="16"/>
        <v>7211</v>
      </c>
      <c r="CN60" s="14">
        <f t="shared" si="17"/>
        <v>1126</v>
      </c>
      <c r="CO60" s="14">
        <f>INT(SUMPRODUCT($U60:$Y60,$BA60:$BE60)/SUM($BA60:$BE60)/10000*$BX$7*$BZ$34/'疲劳值&amp;地图信息'!$R$10*$BY$54)</f>
        <v>4952</v>
      </c>
      <c r="CP60" s="50">
        <f t="shared" si="18"/>
        <v>0.54262924223041609</v>
      </c>
      <c r="CQ60" s="50">
        <f t="shared" si="19"/>
        <v>8.4731733012265789E-2</v>
      </c>
      <c r="CR60" s="50">
        <f t="shared" si="20"/>
        <v>0.37263902475731808</v>
      </c>
      <c r="CS60" s="14">
        <f t="shared" si="21"/>
        <v>7613</v>
      </c>
      <c r="CT60" s="14">
        <f t="shared" si="22"/>
        <v>2047</v>
      </c>
      <c r="CU60" s="14">
        <f>INT(SUMPRODUCT($AB60:$AF60,$BA60:$BE60)/SUM($BA60:$BE60)/10000*$BX$7*$BZ$34/'疲劳值&amp;地图信息'!$R$10*$BY$55)</f>
        <v>6734</v>
      </c>
      <c r="CV60" s="50">
        <f t="shared" si="23"/>
        <v>0.46437721117482006</v>
      </c>
      <c r="CW60" s="50">
        <f t="shared" si="24"/>
        <v>0.12486275466634135</v>
      </c>
      <c r="CX60" s="50">
        <f t="shared" si="25"/>
        <v>0.41076003415883861</v>
      </c>
      <c r="CY60" s="14">
        <f t="shared" si="26"/>
        <v>8649</v>
      </c>
      <c r="CZ60" s="14">
        <f t="shared" si="27"/>
        <v>5427</v>
      </c>
      <c r="DA60" s="14">
        <f>INT(SUMPRODUCT($AI60:$AM60,$BA60:$BE60)/SUM($BA60:$BE60)/10000*$BX$7*$BZ$34/'疲劳值&amp;地图信息'!$R$10*$BY$56)</f>
        <v>10150</v>
      </c>
      <c r="DB60" s="50">
        <f t="shared" si="28"/>
        <v>0.35701312639313132</v>
      </c>
      <c r="DC60" s="50">
        <f t="shared" si="29"/>
        <v>0.224015520515149</v>
      </c>
      <c r="DD60" s="50">
        <f t="shared" si="30"/>
        <v>0.41897135309171962</v>
      </c>
      <c r="DE60" s="14">
        <f t="shared" si="31"/>
        <v>8919</v>
      </c>
      <c r="DF60" s="14">
        <f t="shared" si="32"/>
        <v>10237</v>
      </c>
      <c r="DG60" s="14">
        <f>INT(SUMPRODUCT($AP60:$AT60,$BA60:$BE60)/SUM($BA60:$BE60)/10000*$BX$7*$BZ$34/'疲劳值&amp;地图信息'!$R$10*$BY$57)</f>
        <v>13553</v>
      </c>
      <c r="DH60" s="50">
        <f t="shared" si="33"/>
        <v>0.27267724479501054</v>
      </c>
      <c r="DI60" s="50">
        <f t="shared" si="34"/>
        <v>0.31297196490262619</v>
      </c>
      <c r="DJ60" s="50">
        <f t="shared" si="35"/>
        <v>0.41435079030236327</v>
      </c>
      <c r="DL60" s="14">
        <f t="shared" si="106"/>
        <v>10627</v>
      </c>
      <c r="DM60" s="14">
        <f t="shared" si="107"/>
        <v>13289</v>
      </c>
      <c r="DN60" s="14">
        <f t="shared" si="108"/>
        <v>16394</v>
      </c>
      <c r="DO60" s="14">
        <f t="shared" si="109"/>
        <v>24226</v>
      </c>
      <c r="DP60" s="14">
        <f t="shared" si="110"/>
        <v>32709</v>
      </c>
      <c r="DQ60" s="14">
        <f t="shared" si="111"/>
        <v>688732</v>
      </c>
      <c r="DT60" s="14">
        <f t="shared" si="105"/>
        <v>235575</v>
      </c>
      <c r="DU60" s="50">
        <f t="shared" si="7"/>
        <v>0.25486661899130919</v>
      </c>
      <c r="DW60" s="14">
        <f t="shared" si="36"/>
        <v>924307</v>
      </c>
      <c r="EB60" s="14">
        <v>55</v>
      </c>
      <c r="EC60" s="51">
        <f t="shared" si="37"/>
        <v>11550</v>
      </c>
      <c r="ED60" s="51">
        <f t="shared" si="38"/>
        <v>1375</v>
      </c>
      <c r="EE60" s="51">
        <f>INT(SUMPRODUCT($N60:$R60,$BF60:$BJ60)/SUM($BF60:$BJ60)/10000*$BX$7*$BZ$46/'疲劳值&amp;地图信息'!$R$10*$BY$53)</f>
        <v>385</v>
      </c>
      <c r="EF60" s="50">
        <f t="shared" si="39"/>
        <v>0.86776859504132231</v>
      </c>
      <c r="EG60" s="50">
        <f t="shared" si="40"/>
        <v>0.10330578512396695</v>
      </c>
      <c r="EH60" s="50">
        <f t="shared" si="41"/>
        <v>2.8925619834710745E-2</v>
      </c>
      <c r="EI60" s="51">
        <f t="shared" si="42"/>
        <v>12019</v>
      </c>
      <c r="EJ60" s="51">
        <f t="shared" si="43"/>
        <v>1877</v>
      </c>
      <c r="EK60" s="14">
        <f>INT(SUMPRODUCT($U60:$Y60,$BF60:$BJ60)/SUM($BF60:$BJ60)/10000*$BX$7*$BZ$46/'疲劳值&amp;地图信息'!$R$10*$BY$54)</f>
        <v>664</v>
      </c>
      <c r="EL60" s="50">
        <f t="shared" si="44"/>
        <v>0.82548076923076918</v>
      </c>
      <c r="EM60" s="50">
        <f t="shared" si="45"/>
        <v>0.12891483516483518</v>
      </c>
      <c r="EN60" s="50">
        <f t="shared" si="46"/>
        <v>4.5604395604395602E-2</v>
      </c>
      <c r="EO60" s="51">
        <f t="shared" si="47"/>
        <v>12688</v>
      </c>
      <c r="EP60" s="51">
        <f t="shared" si="48"/>
        <v>3412</v>
      </c>
      <c r="EQ60" s="14">
        <f>INT(SUMPRODUCT($AB60:$AF60,$BF60:$BJ60)/SUM($BF60:$BJ60)/10000*$BX$7*$BZ$46/'疲劳值&amp;地图信息'!$R$10*$BY$55)</f>
        <v>902</v>
      </c>
      <c r="ER60" s="50">
        <f t="shared" si="49"/>
        <v>0.74626514527702625</v>
      </c>
      <c r="ES60" s="50">
        <f t="shared" si="50"/>
        <v>0.20068227267380309</v>
      </c>
      <c r="ET60" s="50">
        <f t="shared" si="51"/>
        <v>5.3052582049170689E-2</v>
      </c>
      <c r="EU60" s="51">
        <f t="shared" si="52"/>
        <v>14416</v>
      </c>
      <c r="EV60" s="51">
        <f t="shared" si="53"/>
        <v>9046</v>
      </c>
      <c r="EW60" s="14">
        <f>INT(SUMPRODUCT($AI60:$AM60,$BF60:$BJ60)/SUM($BF60:$BJ60)/10000*$BX$7*$BZ$46/'疲劳值&amp;地图信息'!$R$10*$BY$56)</f>
        <v>1353</v>
      </c>
      <c r="EX60" s="50">
        <f t="shared" si="54"/>
        <v>0.58093894821680436</v>
      </c>
      <c r="EY60" s="50">
        <f t="shared" si="55"/>
        <v>0.36453757807777554</v>
      </c>
      <c r="EZ60" s="50">
        <f t="shared" si="56"/>
        <v>5.4523473705420107E-2</v>
      </c>
      <c r="FA60" s="51">
        <f t="shared" si="57"/>
        <v>14865</v>
      </c>
      <c r="FB60" s="51">
        <f t="shared" si="58"/>
        <v>17061</v>
      </c>
      <c r="FC60" s="14">
        <f>INT(SUMPRODUCT($AP60:$AT60,$BF60:$BJ60)/SUM($BF60:$BJ60)/10000*$BX$7*$BZ$46/'疲劳值&amp;地图信息'!$R$10*$BY$57)</f>
        <v>1804</v>
      </c>
      <c r="FD60" s="50">
        <f t="shared" si="59"/>
        <v>0.44070560332048619</v>
      </c>
      <c r="FE60" s="50">
        <f t="shared" si="60"/>
        <v>0.50581085087459232</v>
      </c>
      <c r="FF60" s="50">
        <f t="shared" si="61"/>
        <v>5.3483545804921435E-2</v>
      </c>
      <c r="FH60" s="14">
        <f t="shared" si="62"/>
        <v>13310</v>
      </c>
      <c r="FI60" s="14">
        <f t="shared" si="63"/>
        <v>14560</v>
      </c>
      <c r="FJ60" s="14">
        <f t="shared" si="64"/>
        <v>17002</v>
      </c>
      <c r="FK60" s="14">
        <f t="shared" si="65"/>
        <v>24815</v>
      </c>
      <c r="FL60" s="14">
        <f t="shared" si="66"/>
        <v>33730</v>
      </c>
      <c r="FM60" s="14">
        <f t="shared" si="67"/>
        <v>1534763</v>
      </c>
      <c r="FP60" s="14">
        <f t="shared" si="68"/>
        <v>334150</v>
      </c>
      <c r="FQ60" s="50">
        <f t="shared" si="8"/>
        <v>0.17879376942639919</v>
      </c>
      <c r="FS60" s="14">
        <f t="shared" si="69"/>
        <v>1868913</v>
      </c>
      <c r="FX60" s="14">
        <v>55</v>
      </c>
      <c r="FY60" s="51">
        <f t="shared" si="70"/>
        <v>16170</v>
      </c>
      <c r="FZ60" s="51">
        <f t="shared" si="71"/>
        <v>1375</v>
      </c>
      <c r="GA60" s="51">
        <f>INT(SUMPRODUCT($N60:$R60,$BF60:$BJ60)/SUM($BF60:$BJ60)/10000*$BX$7*$BZ$46/'疲劳值&amp;地图信息'!$R$10*$BY$53)</f>
        <v>385</v>
      </c>
      <c r="GB60" s="50">
        <f t="shared" si="72"/>
        <v>0.90184049079754602</v>
      </c>
      <c r="GC60" s="50">
        <f t="shared" si="73"/>
        <v>7.6687116564417179E-2</v>
      </c>
      <c r="GD60" s="50">
        <f t="shared" si="74"/>
        <v>2.1472392638036811E-2</v>
      </c>
      <c r="GE60" s="51">
        <f t="shared" si="75"/>
        <v>16826</v>
      </c>
      <c r="GF60" s="51">
        <f t="shared" si="76"/>
        <v>1877</v>
      </c>
      <c r="GG60" s="14">
        <f>INT(SUMPRODUCT($U60:$Y60,$BF60:$BJ60)/SUM($BF60:$BJ60)/10000*$BX$7*$BZ$46/'疲劳值&amp;地图信息'!$R$10*$BY$54)</f>
        <v>664</v>
      </c>
      <c r="GH60" s="50">
        <f t="shared" si="77"/>
        <v>0.86879743894253114</v>
      </c>
      <c r="GI60" s="50">
        <f t="shared" si="78"/>
        <v>9.6917436877162186E-2</v>
      </c>
      <c r="GJ60" s="50">
        <f t="shared" si="79"/>
        <v>3.4285124180306707E-2</v>
      </c>
      <c r="GK60" s="51">
        <f t="shared" si="80"/>
        <v>17763</v>
      </c>
      <c r="GL60" s="51">
        <f t="shared" si="81"/>
        <v>3412</v>
      </c>
      <c r="GM60" s="14">
        <f>INT(SUMPRODUCT($AB60:$AF60,$BF60:$BJ60)/SUM($BF60:$BJ60)/10000*$BX$7*$BZ$46/'疲劳值&amp;地图信息'!$R$10*$BY$55)</f>
        <v>902</v>
      </c>
      <c r="GN60" s="50">
        <f t="shared" si="82"/>
        <v>0.80459301535534722</v>
      </c>
      <c r="GO60" s="50">
        <f t="shared" si="83"/>
        <v>0.1545499841463967</v>
      </c>
      <c r="GP60" s="50">
        <f t="shared" si="84"/>
        <v>4.0857000498256101E-2</v>
      </c>
      <c r="GQ60" s="51">
        <f t="shared" si="85"/>
        <v>20183</v>
      </c>
      <c r="GR60" s="51">
        <f t="shared" si="86"/>
        <v>9046</v>
      </c>
      <c r="GS60" s="14">
        <f>INT(SUMPRODUCT($AI60:$AM60,$BF60:$BJ60)/SUM($BF60:$BJ60)/10000*$BX$7*$BZ$46/'疲劳值&amp;地图信息'!$R$10*$BY$56)</f>
        <v>1353</v>
      </c>
      <c r="GT60" s="50">
        <f t="shared" si="87"/>
        <v>0.65996337714995745</v>
      </c>
      <c r="GU60" s="50">
        <f t="shared" si="88"/>
        <v>0.29579491203976194</v>
      </c>
      <c r="GV60" s="50">
        <f t="shared" si="89"/>
        <v>4.4241710810280555E-2</v>
      </c>
      <c r="GW60" s="51">
        <f t="shared" si="90"/>
        <v>20811</v>
      </c>
      <c r="GX60" s="51">
        <f t="shared" si="91"/>
        <v>17061</v>
      </c>
      <c r="GY60" s="14">
        <f>INT(SUMPRODUCT($AP60:$AT60,$BF60:$BJ60)/SUM($BF60:$BJ60)/10000*$BX$7*$BZ$46/'疲劳值&amp;地图信息'!$R$10*$BY$57)</f>
        <v>1804</v>
      </c>
      <c r="GZ60" s="50">
        <f t="shared" si="92"/>
        <v>0.52452364149611852</v>
      </c>
      <c r="HA60" s="50">
        <f t="shared" si="93"/>
        <v>0.43000806532916624</v>
      </c>
      <c r="HB60" s="50">
        <f t="shared" si="94"/>
        <v>4.5468293174715194E-2</v>
      </c>
      <c r="HD60" s="14">
        <f t="shared" si="95"/>
        <v>17930</v>
      </c>
      <c r="HE60" s="14">
        <f t="shared" si="96"/>
        <v>19367</v>
      </c>
      <c r="HF60" s="14">
        <f t="shared" si="97"/>
        <v>22077</v>
      </c>
      <c r="HG60" s="14">
        <f t="shared" si="98"/>
        <v>30582</v>
      </c>
      <c r="HH60" s="14">
        <f t="shared" si="99"/>
        <v>39676</v>
      </c>
      <c r="HI60" s="14">
        <f t="shared" si="100"/>
        <v>2035899</v>
      </c>
      <c r="HL60" s="14">
        <f t="shared" si="101"/>
        <v>430050</v>
      </c>
      <c r="HM60" s="50">
        <f t="shared" si="9"/>
        <v>0.17439533421007491</v>
      </c>
      <c r="HO60" s="14">
        <f t="shared" si="102"/>
        <v>2465949</v>
      </c>
    </row>
    <row r="61" spans="11:223" x14ac:dyDescent="0.2">
      <c r="K61" s="14">
        <v>56</v>
      </c>
      <c r="L61" s="12">
        <f>求节点(节奏总纲!D$4:D$163,标准城池设计!AB$4:AB$163,$K61)*求节点(节奏总纲!D$4:D$163,攻城基础信息!$AC$5:$AC$164,$K61)</f>
        <v>334570.27668018139</v>
      </c>
      <c r="M61" s="12">
        <f>INDEX(其他调用!$AA$5:$AA$404,MATCH(K61,其他调用!$X$5:$X$404,0))*MIN(INDEX(其他调用!$AH$5:$AH$364,MATCH('征服点（新）'!K61,其他调用!$AG$5:$AG$364,0),1)/INDEX(其他调用!$AJ$5:$AJ$364,MATCH(K61,其他调用!$AG$5:$AG$364,0),0),5)*求节点(节奏总纲!D$4:D$163,攻城基础信息!$AC$5:$AC$164,$K61)</f>
        <v>39243.359199589962</v>
      </c>
      <c r="N61" s="12">
        <f>MIN(INDEX(其他调用!$AH$5:$AH$364,MATCH($K61,其他调用!$AG$5:$AG$364,0),1)/INDEX(其他调用!AH$5:AH$364,MATCH($K61,其他调用!$AG$5:$AG$364,0),0),1)*INDEX(其他调用!Y$5:Y$404,MATCH($K61,其他调用!$X$5:$X$404,0),0)</f>
        <v>32859.272994368293</v>
      </c>
      <c r="O61" s="12">
        <f>MIN(INDEX(其他调用!$AH$5:$AH$364,MATCH($K61,其他调用!$AG$5:$AG$364,0),1)/INDEX(其他调用!AI$5:AI$364,MATCH($K61,其他调用!$AG$5:$AG$364,0),0),1)*INDEX(其他调用!Z$5:Z$404,MATCH($K61,其他调用!$X$5:$X$404,0),0)</f>
        <v>24580.721688812646</v>
      </c>
      <c r="P61" s="12">
        <f>MIN(INDEX(其他调用!$AH$5:$AH$364,MATCH($K61,其他调用!$AG$5:$AG$364,0),1)/INDEX(其他调用!AJ$5:AJ$364,MATCH($K61,其他调用!$AG$5:$AG$364,0),0),1)*INDEX(其他调用!AA$5:AA$404,MATCH($K61,其他调用!$X$5:$X$404,0),0)</f>
        <v>14129.652801883152</v>
      </c>
      <c r="Q61" s="12">
        <f>MIN(INDEX(其他调用!$AH$5:$AH$364,MATCH($K61,其他调用!$AG$5:$AG$364,0),1)/INDEX(其他调用!AK$5:AK$364,MATCH($K61,其他调用!$AG$5:$AG$364,0),0),1)*INDEX(其他调用!AB$5:AB$404,MATCH($K61,其他调用!$X$5:$X$404,0),0)</f>
        <v>5670.1779393032193</v>
      </c>
      <c r="R61" s="12">
        <f>MIN(INDEX(其他调用!$AH$5:$AH$364,MATCH($K61,其他调用!$AG$5:$AG$364,0),1)/INDEX(其他调用!AL$5:AL$364,MATCH($K61,其他调用!$AG$5:$AG$364,0),0),1)*INDEX(其他调用!AC$5:AC$404,MATCH($K61,其他调用!$X$5:$X$404,0),0)</f>
        <v>1883.9685899244664</v>
      </c>
      <c r="S61" s="12">
        <f>求节点(节奏总纲!D$4:D$163,标准城池设计!AC$4:AC$163,$K61)*求节点(节奏总纲!D$4:D$163,攻城基础信息!$AD$5:$AD$164,$K61)</f>
        <v>348091.52000513242</v>
      </c>
      <c r="T61" s="12">
        <f>INDEX(其他调用!$AA$5:$AA$404,MATCH($K61,其他调用!$X$5:$X$404,0))*MIN(INDEX(其他调用!AI$5:AI$364,MATCH($K61,其他调用!$AG$5:$AG$364,0),1)/INDEX(其他调用!$AJ$5:$AJ$364,MATCH($K61,其他调用!$AG$5:$AG$364,0),0),5)*求节点(节奏总纲!D$4:D$163,攻城基础信息!$AD$5:$AD$164,$K61)</f>
        <v>54222.005039896285</v>
      </c>
      <c r="U61" s="12">
        <f>MIN(INDEX(其他调用!$AI$5:$AI$364,MATCH($K61,其他调用!$AG$5:$AG$364,0),1)/INDEX(其他调用!AH$5:AH$364,MATCH($K61,其他调用!$AG$5:$AG$364,0),0),1)*INDEX(其他调用!Y$5:Y$404,MATCH($K61,其他调用!$X$5:$X$404,0),0)</f>
        <v>32859.272994368293</v>
      </c>
      <c r="V61" s="12">
        <f>MIN(INDEX(其他调用!$AI$5:$AI$364,MATCH($K61,其他调用!$AG$5:$AG$364,0),1)/INDEX(其他调用!AI$5:AI$364,MATCH($K61,其他调用!$AG$5:$AG$364,0),0),1)*INDEX(其他调用!Z$5:Z$404,MATCH($K61,其他调用!$X$5:$X$404,0),0)</f>
        <v>33962.842184748879</v>
      </c>
      <c r="W61" s="12">
        <f>MIN(INDEX(其他调用!$AI$5:$AI$364,MATCH($K61,其他调用!$AG$5:$AG$364,0),1)/INDEX(其他调用!AJ$5:AJ$364,MATCH($K61,其他调用!$AG$5:$AG$364,0),0),1)*INDEX(其他调用!AA$5:AA$404,MATCH($K61,其他调用!$X$5:$X$404,0),0)</f>
        <v>19522.745276191799</v>
      </c>
      <c r="X61" s="12">
        <f>MIN(INDEX(其他调用!$AI$5:$AI$364,MATCH($K61,其他调用!$AG$5:$AG$364,0),1)/INDEX(其他调用!AK$5:AK$364,MATCH($K61,其他调用!$AG$5:$AG$364,0),0),1)*INDEX(其他调用!AB$5:AB$404,MATCH($K61,其他调用!$X$5:$X$404,0),0)</f>
        <v>7834.4062045845503</v>
      </c>
      <c r="Y61" s="12">
        <f>MIN(INDEX(其他调用!$AI$5:$AI$364,MATCH($K61,其他调用!$AG$5:$AG$364,0),1)/INDEX(其他调用!AL$5:AL$364,MATCH($K61,其他调用!$AG$5:$AG$364,0),0),1)*INDEX(其他调用!AC$5:AC$404,MATCH($K61,其他调用!$X$5:$X$404,0),0)</f>
        <v>2603.0532671361643</v>
      </c>
      <c r="Z61" s="12">
        <f>求节点(节奏总纲!D$4:D$163,标准城池设计!AD$4:AD$163,$K61)*求节点(节奏总纲!D$4:D$163,攻城基础信息!$AE$5:$AE$164,$K61)</f>
        <v>367787.3850044249</v>
      </c>
      <c r="AA61" s="12">
        <f>INDEX(其他调用!$AA$5:$AA$404,MATCH($K61,其他调用!$X$5:$X$404,0))*MIN(INDEX(其他调用!AJ$5:AJ$364,MATCH($K61,其他调用!$AG$5:$AG$364,0),1)/INDEX(其他调用!$AJ$5:$AJ$364,MATCH($K61,其他调用!$AG$5:$AG$364,0),0),5)*求节点(节奏总纲!D$4:D$163,攻城基础信息!$AE$5:$AE$164,$K61)</f>
        <v>98476.957248878534</v>
      </c>
      <c r="AB61" s="12">
        <f>MIN(INDEX(其他调用!$AJ$5:$AJ$364,MATCH($K61,其他调用!$AG$5:$AG$364,0),1)/INDEX(其他调用!AH$5:AH$364,MATCH($K61,其他调用!$AG$5:$AG$364,0),0),1)*INDEX(其他调用!Y$5:Y$404,MATCH($K61,其他调用!$X$5:$X$404,0),0)</f>
        <v>32859.272994368293</v>
      </c>
      <c r="AC61" s="12">
        <f>MIN(INDEX(其他调用!$AJ$5:$AJ$364,MATCH($K61,其他调用!$AG$5:$AG$364,0),1)/INDEX(其他调用!AI$5:AI$364,MATCH($K61,其他调用!$AG$5:$AG$364,0),0),1)*INDEX(其他调用!Z$5:Z$404,MATCH($K61,其他调用!$X$5:$X$404,0),0)</f>
        <v>33962.842184748879</v>
      </c>
      <c r="AD61" s="12">
        <f>MIN(INDEX(其他调用!$AJ$5:$AJ$364,MATCH($K61,其他调用!$AG$5:$AG$364,0),1)/INDEX(其他调用!AJ$5:AJ$364,MATCH($K61,其他调用!$AG$5:$AG$364,0),0),1)*INDEX(其他调用!AA$5:AA$404,MATCH($K61,其他调用!$X$5:$X$404,0),0)</f>
        <v>35456.832526382772</v>
      </c>
      <c r="AE61" s="12">
        <f>MIN(INDEX(其他调用!$AJ$5:$AJ$364,MATCH($K61,其他调用!$AG$5:$AG$364,0),1)/INDEX(其他调用!AK$5:AK$364,MATCH($K61,其他调用!$AG$5:$AG$364,0),0),1)*INDEX(其他调用!AB$5:AB$404,MATCH($K61,其他调用!$X$5:$X$404,0),0)</f>
        <v>14228.697081776108</v>
      </c>
      <c r="AF61" s="12">
        <f>MIN(INDEX(其他调用!$AJ$5:$AJ$364,MATCH($K61,其他调用!$AG$5:$AG$364,0),1)/INDEX(其他调用!AL$5:AL$364,MATCH($K61,其他调用!$AG$5:$AG$364,0),0),1)*INDEX(其他调用!AC$5:AC$404,MATCH($K61,其他调用!$X$5:$X$404,0),0)</f>
        <v>4727.6150174768973</v>
      </c>
      <c r="AG61" s="12">
        <f>求节点(节奏总纲!D$4:D$163,标准城池设计!AE$4:AE$163,$K61)*求节点(节奏总纲!D$4:D$163,攻城基础信息!$AF$5:$AF$164,$K61)</f>
        <v>417914.11806749983</v>
      </c>
      <c r="AH61" s="12">
        <f>INDEX(其他调用!$AA$5:$AA$404,MATCH($K61,其他调用!$X$5:$X$404,0))*MIN(INDEX(其他调用!AK$5:AK$364,MATCH($K61,其他调用!$AG$5:$AG$364,0),1)/INDEX(其他调用!$AJ$5:$AJ$364,MATCH($K61,其他调用!$AG$5:$AG$364,0),0),5)*求节点(节奏总纲!D$4:D$163,攻城基础信息!$AF$5:$AF$164,$K61)</f>
        <v>260413.78018122111</v>
      </c>
      <c r="AI61" s="12">
        <f>MIN(INDEX(其他调用!$AK$5:$AK$364,MATCH($K61,其他调用!$AG$5:$AG$364,0),1)/INDEX(其他调用!AH$5:AH$364,MATCH($K61,其他调用!$AG$5:$AG$364,0),0),1)*INDEX(其他调用!Y$5:Y$404,MATCH($K61,其他调用!$X$5:$X$404,0),0)</f>
        <v>32859.272994368293</v>
      </c>
      <c r="AJ61" s="12">
        <f>MIN(INDEX(其他调用!$AK$5:$AK$364,MATCH($K61,其他调用!$AG$5:$AG$364,0),1)/INDEX(其他调用!AI$5:AI$364,MATCH($K61,其他调用!$AG$5:$AG$364,0),0),1)*INDEX(其他调用!Z$5:Z$404,MATCH($K61,其他调用!$X$5:$X$404,0),0)</f>
        <v>33962.842184748879</v>
      </c>
      <c r="AK61" s="12">
        <f>MIN(INDEX(其他调用!$AK$5:$AK$364,MATCH($K61,其他调用!$AG$5:$AG$364,0),1)/INDEX(其他调用!AJ$5:AJ$364,MATCH($K61,其他调用!$AG$5:$AG$364,0),0),1)*INDEX(其他调用!AA$5:AA$404,MATCH($K61,其他调用!$X$5:$X$404,0),0)</f>
        <v>35456.832526382772</v>
      </c>
      <c r="AL61" s="12">
        <f>MIN(INDEX(其他调用!$AK$5:$AK$364,MATCH($K61,其他调用!$AG$5:$AG$364,0),1)/INDEX(其他调用!AK$5:AK$364,MATCH($K61,其他调用!$AG$5:$AG$364,0),0),1)*INDEX(其他调用!AB$5:AB$404,MATCH($K61,其他调用!$X$5:$X$404,0),0)</f>
        <v>37626.556482186825</v>
      </c>
      <c r="AM61" s="12">
        <f>MIN(INDEX(其他调用!$AK$5:$AK$364,MATCH($K61,其他调用!$AG$5:$AG$364,0),1)/INDEX(其他调用!AL$5:AL$364,MATCH($K61,其他调用!$AG$5:$AG$364,0),0),1)*INDEX(其他调用!AC$5:AC$404,MATCH($K61,其他调用!$X$5:$X$404,0),0)</f>
        <v>12501.768254590226</v>
      </c>
      <c r="AN61" s="12">
        <f>求节点(节奏总纲!D$4:D$163,标准城池设计!AF$4:AF$163,$K61)*求节点(节奏总纲!D$4:D$163,攻城基础信息!$AG$5:$AG$164,$K61)</f>
        <v>430594.40441018384</v>
      </c>
      <c r="AO61" s="12">
        <f>INDEX(其他调用!$AA$5:$AA$404,MATCH($K61,其他调用!$X$5:$X$404,0))*MIN(INDEX(其他调用!AL$5:AL$364,MATCH($K61,其他调用!$AG$5:$AG$364,0),1)/INDEX(其他调用!$AJ$5:$AJ$364,MATCH($K61,其他调用!$AG$5:$AG$364,0),0),5)*求节点(节奏总纲!D$4:D$163,攻城基础信息!$AG$5:$AG$164,$K61)</f>
        <v>492384.78624439263</v>
      </c>
      <c r="AP61" s="12">
        <f>MIN(INDEX(其他调用!$AL$5:$AL$364,MATCH($K61,其他调用!$AG$5:$AG$364,0),1)/INDEX(其他调用!AH$5:AH$364,MATCH($K61,其他调用!$AG$5:$AG$364,0),0),1)*INDEX(其他调用!Y$5:Y$404,MATCH($K61,其他调用!$X$5:$X$404,0),0)</f>
        <v>32859.272994368293</v>
      </c>
      <c r="AQ61" s="12">
        <f>MIN(INDEX(其他调用!$AL$5:$AL$364,MATCH($K61,其他调用!$AG$5:$AG$364,0),1)/INDEX(其他调用!AI$5:AI$364,MATCH($K61,其他调用!$AG$5:$AG$364,0),0),1)*INDEX(其他调用!Z$5:Z$404,MATCH($K61,其他调用!$X$5:$X$404,0),0)</f>
        <v>33962.842184748879</v>
      </c>
      <c r="AR61" s="12">
        <f>MIN(INDEX(其他调用!$AL$5:$AL$364,MATCH($K61,其他调用!$AG$5:$AG$364,0),1)/INDEX(其他调用!AJ$5:AJ$364,MATCH($K61,其他调用!$AG$5:$AG$364,0),0),1)*INDEX(其他调用!AA$5:AA$404,MATCH($K61,其他调用!$X$5:$X$404,0),0)</f>
        <v>35456.832526382772</v>
      </c>
      <c r="AS61" s="12">
        <f>MIN(INDEX(其他调用!$AL$5:$AL$364,MATCH($K61,其他调用!$AG$5:$AG$364,0),1)/INDEX(其他调用!AK$5:AK$364,MATCH($K61,其他调用!$AG$5:$AG$364,0),0),1)*INDEX(其他调用!AB$5:AB$404,MATCH($K61,其他调用!$X$5:$X$404,0),0)</f>
        <v>37626.556482186825</v>
      </c>
      <c r="AT61" s="12">
        <f>MIN(INDEX(其他调用!$AL$5:$AL$364,MATCH($K61,其他调用!$AG$5:$AG$364,0),1)/INDEX(其他调用!AL$5:AL$364,MATCH($K61,其他调用!$AG$5:$AG$364,0),0),1)*INDEX(其他调用!AC$5:AC$404,MATCH($K61,其他调用!$X$5:$X$404,0),0)</f>
        <v>41451.049749203732</v>
      </c>
      <c r="AV61" s="14">
        <f>IF(OR(AV$5="大R",AV$5="超R"),MAX(INDEX(其他调用!$H$5:$L$404,MATCH($K61,其他调用!$B$5:$B$404,0),MATCH(AV$5,其他调用!$H$4:$L$4,0))*120*0.85,2),INDEX(其他调用!$H$5:$L$404,MATCH($K61,其他调用!$B$5:$B$404,0),MATCH(AV$5,其他调用!$H$4:$L$4,0))*120*0.85)</f>
        <v>51.931018816363654</v>
      </c>
      <c r="AW61" s="14">
        <f>IF(OR(AW$5="大R",AW$5="超R"),MAX(INDEX(其他调用!$H$5:$L$404,MATCH($K61,其他调用!$B$5:$B$404,0),MATCH(AW$5,其他调用!$H$4:$L$4,0))*120*0.85,2),INDEX(其他调用!$H$5:$L$404,MATCH($K61,其他调用!$B$5:$B$404,0),MATCH(AW$5,其他调用!$H$4:$L$4,0))*120*0.85)</f>
        <v>45.383588720788339</v>
      </c>
      <c r="AX61" s="14">
        <f>IF(OR(AX$5="大R",AX$5="超R"),MAX(INDEX(其他调用!$H$5:$L$404,MATCH($K61,其他调用!$B$5:$B$404,0),MATCH(AX$5,其他调用!$H$4:$L$4,0))*120*0.85,2),INDEX(其他调用!$H$5:$L$404,MATCH($K61,其他调用!$B$5:$B$404,0),MATCH(AX$5,其他调用!$H$4:$L$4,0))*120*0.85)</f>
        <v>3.8692945428479999</v>
      </c>
      <c r="AY61" s="14">
        <f>IF(OR(AY$5="大R",AY$5="超R"),MAX(INDEX(其他调用!$H$5:$L$404,MATCH($K61,其他调用!$B$5:$B$404,0),MATCH(AY$5,其他调用!$H$4:$L$4,0))*120*0.85,2),INDEX(其他调用!$H$5:$L$404,MATCH($K61,其他调用!$B$5:$B$404,0),MATCH(AY$5,其他调用!$H$4:$L$4,0))*120*0.85)</f>
        <v>2</v>
      </c>
      <c r="AZ61" s="14">
        <f>IF(OR(AZ$5="大R",AZ$5="超R"),MAX(INDEX(其他调用!$H$5:$L$404,MATCH($K61,其他调用!$B$5:$B$404,0),MATCH(AZ$5,其他调用!$H$4:$L$4,0))*120*0.85,2),INDEX(其他调用!$H$5:$L$404,MATCH($K61,其他调用!$B$5:$B$404,0),MATCH(AZ$5,其他调用!$H$4:$L$4,0))*120*0.85)</f>
        <v>2</v>
      </c>
      <c r="BA61" s="14">
        <f>INDEX(其他调用!$H$5:$L$404,MATCH($K61,其他调用!$B$5:$B$404,0),MATCH(BA$5,其他调用!$H$4:$L$4,0))*INDEX(其他调用!$M$5:$M$404,MATCH($K61,其他调用!$B$5:$B$404,0))*0.6</f>
        <v>28.932996197688318</v>
      </c>
      <c r="BB61" s="14">
        <f>INDEX(其他调用!$H$5:$L$404,MATCH($K61,其他调用!$B$5:$B$404,0),MATCH(BB$5,其他调用!$H$4:$L$4,0))*INDEX(其他调用!$M$5:$M$404,MATCH($K61,其他调用!$B$5:$B$404,0))*0.6</f>
        <v>25.285142287296363</v>
      </c>
      <c r="BC61" s="14">
        <f>INDEX(其他调用!$H$5:$L$404,MATCH($K61,其他调用!$B$5:$B$404,0),MATCH(BC$5,其他调用!$H$4:$L$4,0))*INDEX(其他调用!$M$5:$M$404,MATCH($K61,其他调用!$B$5:$B$404,0))*0.6</f>
        <v>2.1557498167296001</v>
      </c>
      <c r="BD61" s="14">
        <f>INDEX(其他调用!$H$5:$L$404,MATCH($K61,其他调用!$B$5:$B$404,0),MATCH(BD$5,其他调用!$H$4:$L$4,0))*INDEX(其他调用!$M$5:$M$404,MATCH($K61,其他调用!$B$5:$B$404,0))*0.6</f>
        <v>0.35866557257142861</v>
      </c>
      <c r="BE61" s="14">
        <f>INDEX(其他调用!$H$5:$L$404,MATCH($K61,其他调用!$B$5:$B$404,0),MATCH(BE$5,其他调用!$H$4:$L$4,0))*INDEX(其他调用!$M$5:$M$404,MATCH($K61,其他调用!$B$5:$B$404,0))*0.6</f>
        <v>9.6017554285714249E-2</v>
      </c>
      <c r="BF61" s="14">
        <f>IF(OR(BF$5="大R",BF$5="超R"),0,INDEX(其他调用!$H$5:$L$404,MATCH($K61,其他调用!$B$5:$B$404,0),MATCH(BF$5,其他调用!$H$4:$L$4,0))*50*0.4)</f>
        <v>10.182552709090913</v>
      </c>
      <c r="BG61" s="14">
        <f>IF(OR(BG$5="大R",BG$5="超R"),0,INDEX(其他调用!$H$5:$L$404,MATCH($K61,其他调用!$B$5:$B$404,0),MATCH(BG$5,其他调用!$H$4:$L$4,0))*50*0.4)</f>
        <v>8.8987428864290887</v>
      </c>
      <c r="BH61" s="14">
        <f>IF(OR(BH$5="大R",BH$5="超R"),0,INDEX(其他调用!$H$5:$L$404,MATCH($K61,其他调用!$B$5:$B$404,0),MATCH(BH$5,其他调用!$H$4:$L$4,0))*50*0.4)</f>
        <v>0.7586852044800001</v>
      </c>
      <c r="BI61" s="14">
        <f>IF(OR(BI$5="大R",BI$5="超R"),0,INDEX(其他调用!$H$5:$L$404,MATCH($K61,其他调用!$B$5:$B$404,0),MATCH(BI$5,其他调用!$H$4:$L$4,0))*50*0.4)</f>
        <v>0</v>
      </c>
      <c r="BJ61" s="14">
        <f>IF(OR(BJ$5="大R",BJ$5="超R"),0,INDEX(其他调用!$H$5:$L$404,MATCH($K61,其他调用!$B$5:$B$404,0),MATCH(BJ$5,其他调用!$H$4:$L$4,0))*50*0.4)</f>
        <v>0</v>
      </c>
      <c r="BL61" s="14">
        <f t="shared" si="103"/>
        <v>56</v>
      </c>
      <c r="BM61" s="14">
        <f t="shared" si="10"/>
        <v>96</v>
      </c>
      <c r="BN61" s="14">
        <f>('疲劳值&amp;地图信息'!$S$10*'疲劳值&amp;地图信息'!$R$10+'疲劳值&amp;地图信息'!$S$11*'疲劳值&amp;地图信息'!$R$11+'疲劳值&amp;地图信息'!$S$12*'疲劳值&amp;地图信息'!$R$12+(BM61-'疲劳值&amp;地图信息'!$S$12-'疲劳值&amp;地图信息'!$S$11-'疲劳值&amp;地图信息'!$S$10)*'疲劳值&amp;地图信息'!$R$13)/BM61</f>
        <v>51.371477246638619</v>
      </c>
      <c r="BO61" s="14">
        <f>INDEX(其他调用!$M$5:$M$404,MATCH(BL61,其他调用!$B$5:$B$404,0))*0.6</f>
        <v>56.828571428571422</v>
      </c>
      <c r="BP61" s="14">
        <f>IF(BO61&gt;SUM('疲劳值&amp;地图信息'!$S$10:$S$12),('疲劳值&amp;地图信息'!$S$10*'疲劳值&amp;地图信息'!$R$10+'疲劳值&amp;地图信息'!$S$11*'疲劳值&amp;地图信息'!$R$11+'疲劳值&amp;地图信息'!$S$12*'疲劳值&amp;地图信息'!$R$12+(BO61-'疲劳值&amp;地图信息'!$S$12-'疲劳值&amp;地图信息'!$S$11-'疲劳值&amp;地图信息'!$S$10)*'疲劳值&amp;地图信息'!$R$13)/BO61,('疲劳值&amp;地图信息'!$S$10*'疲劳值&amp;地图信息'!$R$10+'疲劳值&amp;地图信息'!$S$11*'疲劳值&amp;地图信息'!$R$11+'疲劳值&amp;地图信息'!$S$12*'疲劳值&amp;地图信息'!$R$12+(BO61-'疲劳值&amp;地图信息'!$S$12-'疲劳值&amp;地图信息'!$S$11-'疲劳值&amp;地图信息'!$S$10)*'疲劳值&amp;地图信息'!$R$13)/BO61)</f>
        <v>43.084657755437185</v>
      </c>
      <c r="BQ61" s="14">
        <f t="shared" si="104"/>
        <v>20</v>
      </c>
      <c r="BR61" s="14">
        <f>('疲劳值&amp;地图信息'!$S$10*'疲劳值&amp;地图信息'!$R$10+($BQ61-'疲劳值&amp;地图信息'!$S$10)*'疲劳值&amp;地图信息'!$R$11)/$BQ61</f>
        <v>32.067203015074995</v>
      </c>
      <c r="CA61" s="4"/>
      <c r="CF61" s="14">
        <v>56</v>
      </c>
      <c r="CG61" s="51">
        <f t="shared" si="11"/>
        <v>6988</v>
      </c>
      <c r="CH61" s="51">
        <f t="shared" si="12"/>
        <v>819</v>
      </c>
      <c r="CI61" s="51">
        <f>INT(SUMPRODUCT($N61:$R61,$BA61:$BE61)/SUM($BA61:$BE61)/10000*$BX$7*$BZ$34/'疲劳值&amp;地图信息'!$R$10*$BY$53)</f>
        <v>2865</v>
      </c>
      <c r="CJ61" s="50">
        <f t="shared" si="13"/>
        <v>0.65479760119940034</v>
      </c>
      <c r="CK61" s="50">
        <f t="shared" si="14"/>
        <v>7.6742878560719638E-2</v>
      </c>
      <c r="CL61" s="50">
        <f t="shared" si="15"/>
        <v>0.26845952023988007</v>
      </c>
      <c r="CM61" s="14">
        <f t="shared" si="16"/>
        <v>7271</v>
      </c>
      <c r="CN61" s="14">
        <f t="shared" si="17"/>
        <v>1132</v>
      </c>
      <c r="CO61" s="14">
        <f>INT(SUMPRODUCT($U61:$Y61,$BA61:$BE61)/SUM($BA61:$BE61)/10000*$BX$7*$BZ$34/'疲劳值&amp;地图信息'!$R$10*$BY$54)</f>
        <v>4967</v>
      </c>
      <c r="CP61" s="50">
        <f t="shared" si="18"/>
        <v>0.543829468960359</v>
      </c>
      <c r="CQ61" s="50">
        <f t="shared" si="19"/>
        <v>8.4667165295437552E-2</v>
      </c>
      <c r="CR61" s="50">
        <f t="shared" si="20"/>
        <v>0.37150336574420345</v>
      </c>
      <c r="CS61" s="14">
        <f t="shared" si="21"/>
        <v>7682</v>
      </c>
      <c r="CT61" s="14">
        <f t="shared" si="22"/>
        <v>2057</v>
      </c>
      <c r="CU61" s="14">
        <f>INT(SUMPRODUCT($AB61:$AF61,$BA61:$BE61)/SUM($BA61:$BE61)/10000*$BX$7*$BZ$34/'疲劳值&amp;地图信息'!$R$10*$BY$55)</f>
        <v>6754</v>
      </c>
      <c r="CV61" s="50">
        <f t="shared" si="23"/>
        <v>0.46577335839447037</v>
      </c>
      <c r="CW61" s="50">
        <f t="shared" si="24"/>
        <v>0.12471957800278906</v>
      </c>
      <c r="CX61" s="50">
        <f t="shared" si="25"/>
        <v>0.40950706360274058</v>
      </c>
      <c r="CY61" s="14">
        <f t="shared" si="26"/>
        <v>8729</v>
      </c>
      <c r="CZ61" s="14">
        <f t="shared" si="27"/>
        <v>5439</v>
      </c>
      <c r="DA61" s="14">
        <f>INT(SUMPRODUCT($AI61:$AM61,$BA61:$BE61)/SUM($BA61:$BE61)/10000*$BX$7*$BZ$34/'疲劳值&amp;地图信息'!$R$10*$BY$56)</f>
        <v>10180</v>
      </c>
      <c r="DB61" s="50">
        <f t="shared" si="28"/>
        <v>0.35850993921471991</v>
      </c>
      <c r="DC61" s="50">
        <f t="shared" si="29"/>
        <v>0.22338590438639724</v>
      </c>
      <c r="DD61" s="50">
        <f t="shared" si="30"/>
        <v>0.41810415639888288</v>
      </c>
      <c r="DE61" s="14">
        <f t="shared" si="31"/>
        <v>8994</v>
      </c>
      <c r="DF61" s="14">
        <f t="shared" si="32"/>
        <v>10285</v>
      </c>
      <c r="DG61" s="14">
        <f>INT(SUMPRODUCT($AP61:$AT61,$BA61:$BE61)/SUM($BA61:$BE61)/10000*$BX$7*$BZ$34/'疲劳值&amp;地图信息'!$R$10*$BY$57)</f>
        <v>13593</v>
      </c>
      <c r="DH61" s="50">
        <f t="shared" si="33"/>
        <v>0.27360671696276467</v>
      </c>
      <c r="DI61" s="50">
        <f t="shared" si="34"/>
        <v>0.3128802628376734</v>
      </c>
      <c r="DJ61" s="50">
        <f t="shared" si="35"/>
        <v>0.41351302019956193</v>
      </c>
      <c r="DL61" s="14">
        <f t="shared" si="106"/>
        <v>10672</v>
      </c>
      <c r="DM61" s="14">
        <f t="shared" si="107"/>
        <v>13370</v>
      </c>
      <c r="DN61" s="14">
        <f t="shared" si="108"/>
        <v>16493</v>
      </c>
      <c r="DO61" s="14">
        <f t="shared" si="109"/>
        <v>24348</v>
      </c>
      <c r="DP61" s="14">
        <f t="shared" si="110"/>
        <v>32872</v>
      </c>
      <c r="DQ61" s="14">
        <f t="shared" si="111"/>
        <v>694279</v>
      </c>
      <c r="DT61" s="14">
        <f t="shared" si="105"/>
        <v>235575</v>
      </c>
      <c r="DU61" s="50">
        <f t="shared" si="7"/>
        <v>0.25334622424595687</v>
      </c>
      <c r="DW61" s="14">
        <f t="shared" si="36"/>
        <v>929854</v>
      </c>
      <c r="EB61" s="14">
        <v>56</v>
      </c>
      <c r="EC61" s="51">
        <f t="shared" si="37"/>
        <v>11648</v>
      </c>
      <c r="ED61" s="51">
        <f t="shared" si="38"/>
        <v>1366</v>
      </c>
      <c r="EE61" s="51">
        <f>INT(SUMPRODUCT($N61:$R61,$BF61:$BJ61)/SUM($BF61:$BJ61)/10000*$BX$7*$BZ$46/'疲劳值&amp;地图信息'!$R$10*$BY$53)</f>
        <v>384</v>
      </c>
      <c r="EF61" s="50">
        <f t="shared" si="39"/>
        <v>0.86938349007314519</v>
      </c>
      <c r="EG61" s="50">
        <f t="shared" si="40"/>
        <v>0.10195551574861919</v>
      </c>
      <c r="EH61" s="50">
        <f t="shared" si="41"/>
        <v>2.8660994178235557E-2</v>
      </c>
      <c r="EI61" s="51">
        <f t="shared" si="42"/>
        <v>12118</v>
      </c>
      <c r="EJ61" s="51">
        <f t="shared" si="43"/>
        <v>1887</v>
      </c>
      <c r="EK61" s="14">
        <f>INT(SUMPRODUCT($U61:$Y61,$BF61:$BJ61)/SUM($BF61:$BJ61)/10000*$BX$7*$BZ$46/'疲劳值&amp;地图信息'!$R$10*$BY$54)</f>
        <v>666</v>
      </c>
      <c r="EL61" s="50">
        <f t="shared" si="44"/>
        <v>0.82598323222684211</v>
      </c>
      <c r="EM61" s="50">
        <f t="shared" si="45"/>
        <v>0.12862108922363846</v>
      </c>
      <c r="EN61" s="50">
        <f t="shared" si="46"/>
        <v>4.539567854951946E-2</v>
      </c>
      <c r="EO61" s="51">
        <f t="shared" si="47"/>
        <v>12804</v>
      </c>
      <c r="EP61" s="51">
        <f t="shared" si="48"/>
        <v>3428</v>
      </c>
      <c r="EQ61" s="14">
        <f>INT(SUMPRODUCT($AB61:$AF61,$BF61:$BJ61)/SUM($BF61:$BJ61)/10000*$BX$7*$BZ$46/'疲劳值&amp;地图信息'!$R$10*$BY$55)</f>
        <v>905</v>
      </c>
      <c r="ER61" s="50">
        <f t="shared" si="49"/>
        <v>0.74715527805333493</v>
      </c>
      <c r="ES61" s="50">
        <f t="shared" si="50"/>
        <v>0.20003501196242049</v>
      </c>
      <c r="ET61" s="50">
        <f t="shared" si="51"/>
        <v>5.280970998424462E-2</v>
      </c>
      <c r="EU61" s="51">
        <f t="shared" si="52"/>
        <v>14549</v>
      </c>
      <c r="EV61" s="51">
        <f t="shared" si="53"/>
        <v>9066</v>
      </c>
      <c r="EW61" s="14">
        <f>INT(SUMPRODUCT($AI61:$AM61,$BF61:$BJ61)/SUM($BF61:$BJ61)/10000*$BX$7*$BZ$46/'疲劳值&amp;地图信息'!$R$10*$BY$56)</f>
        <v>1357</v>
      </c>
      <c r="EX61" s="50">
        <f t="shared" si="54"/>
        <v>0.5826125260291527</v>
      </c>
      <c r="EY61" s="50">
        <f t="shared" si="55"/>
        <v>0.36304661220567036</v>
      </c>
      <c r="EZ61" s="50">
        <f t="shared" si="56"/>
        <v>5.4340861765176995E-2</v>
      </c>
      <c r="FA61" s="51">
        <f t="shared" si="57"/>
        <v>14991</v>
      </c>
      <c r="FB61" s="51">
        <f t="shared" si="58"/>
        <v>17142</v>
      </c>
      <c r="FC61" s="14">
        <f>INT(SUMPRODUCT($AP61:$AT61,$BF61:$BJ61)/SUM($BF61:$BJ61)/10000*$BX$7*$BZ$46/'疲劳值&amp;地图信息'!$R$10*$BY$57)</f>
        <v>1810</v>
      </c>
      <c r="FD61" s="50">
        <f t="shared" si="59"/>
        <v>0.44165218159856229</v>
      </c>
      <c r="FE61" s="50">
        <f t="shared" si="60"/>
        <v>0.50502312700704122</v>
      </c>
      <c r="FF61" s="50">
        <f t="shared" si="61"/>
        <v>5.3324691394396488E-2</v>
      </c>
      <c r="FH61" s="14">
        <f t="shared" si="62"/>
        <v>13398</v>
      </c>
      <c r="FI61" s="14">
        <f t="shared" si="63"/>
        <v>14671</v>
      </c>
      <c r="FJ61" s="14">
        <f t="shared" si="64"/>
        <v>17137</v>
      </c>
      <c r="FK61" s="14">
        <f t="shared" si="65"/>
        <v>24972</v>
      </c>
      <c r="FL61" s="14">
        <f t="shared" si="66"/>
        <v>33943</v>
      </c>
      <c r="FM61" s="14">
        <f t="shared" si="67"/>
        <v>1545732</v>
      </c>
      <c r="FP61" s="14">
        <f t="shared" si="68"/>
        <v>334150</v>
      </c>
      <c r="FQ61" s="50">
        <f t="shared" si="8"/>
        <v>0.17775051838360068</v>
      </c>
      <c r="FS61" s="14">
        <f t="shared" si="69"/>
        <v>1879882</v>
      </c>
      <c r="FX61" s="14">
        <v>56</v>
      </c>
      <c r="FY61" s="51">
        <f t="shared" si="70"/>
        <v>16307</v>
      </c>
      <c r="FZ61" s="51">
        <f t="shared" si="71"/>
        <v>1366</v>
      </c>
      <c r="GA61" s="51">
        <f>INT(SUMPRODUCT($N61:$R61,$BF61:$BJ61)/SUM($BF61:$BJ61)/10000*$BX$7*$BZ$46/'疲劳值&amp;地图信息'!$R$10*$BY$53)</f>
        <v>384</v>
      </c>
      <c r="GB61" s="50">
        <f t="shared" si="72"/>
        <v>0.90308467630281886</v>
      </c>
      <c r="GC61" s="50">
        <f t="shared" si="73"/>
        <v>7.5649332668771108E-2</v>
      </c>
      <c r="GD61" s="50">
        <f t="shared" si="74"/>
        <v>2.1265991028410036E-2</v>
      </c>
      <c r="GE61" s="51">
        <f t="shared" si="75"/>
        <v>16966</v>
      </c>
      <c r="GF61" s="51">
        <f t="shared" si="76"/>
        <v>1887</v>
      </c>
      <c r="GG61" s="14">
        <f>INT(SUMPRODUCT($U61:$Y61,$BF61:$BJ61)/SUM($BF61:$BJ61)/10000*$BX$7*$BZ$46/'疲劳值&amp;地图信息'!$R$10*$BY$54)</f>
        <v>666</v>
      </c>
      <c r="GH61" s="50">
        <f t="shared" si="77"/>
        <v>0.86920436497771403</v>
      </c>
      <c r="GI61" s="50">
        <f t="shared" si="78"/>
        <v>9.6675034581689634E-2</v>
      </c>
      <c r="GJ61" s="50">
        <f t="shared" si="79"/>
        <v>3.4120600440596345E-2</v>
      </c>
      <c r="GK61" s="51">
        <f t="shared" si="80"/>
        <v>17926</v>
      </c>
      <c r="GL61" s="51">
        <f t="shared" si="81"/>
        <v>3428</v>
      </c>
      <c r="GM61" s="14">
        <f>INT(SUMPRODUCT($AB61:$AF61,$BF61:$BJ61)/SUM($BF61:$BJ61)/10000*$BX$7*$BZ$46/'疲劳值&amp;地图信息'!$R$10*$BY$55)</f>
        <v>905</v>
      </c>
      <c r="GN61" s="50">
        <f t="shared" si="82"/>
        <v>0.80533716698863378</v>
      </c>
      <c r="GO61" s="50">
        <f t="shared" si="83"/>
        <v>0.15400512152387799</v>
      </c>
      <c r="GP61" s="50">
        <f t="shared" si="84"/>
        <v>4.0657711487488209E-2</v>
      </c>
      <c r="GQ61" s="51">
        <f t="shared" si="85"/>
        <v>20369</v>
      </c>
      <c r="GR61" s="51">
        <f t="shared" si="86"/>
        <v>9066</v>
      </c>
      <c r="GS61" s="14">
        <f>INT(SUMPRODUCT($AI61:$AM61,$BF61:$BJ61)/SUM($BF61:$BJ61)/10000*$BX$7*$BZ$46/'疲劳值&amp;地图信息'!$R$10*$BY$56)</f>
        <v>1357</v>
      </c>
      <c r="GT61" s="50">
        <f t="shared" si="87"/>
        <v>0.66150298778903616</v>
      </c>
      <c r="GU61" s="50">
        <f t="shared" si="88"/>
        <v>0.29442712392829307</v>
      </c>
      <c r="GV61" s="50">
        <f t="shared" si="89"/>
        <v>4.4069888282670826E-2</v>
      </c>
      <c r="GW61" s="51">
        <f t="shared" si="90"/>
        <v>20987</v>
      </c>
      <c r="GX61" s="51">
        <f t="shared" si="91"/>
        <v>17142</v>
      </c>
      <c r="GY61" s="14">
        <f>INT(SUMPRODUCT($AP61:$AT61,$BF61:$BJ61)/SUM($BF61:$BJ61)/10000*$BX$7*$BZ$46/'疲劳值&amp;地图信息'!$R$10*$BY$57)</f>
        <v>1810</v>
      </c>
      <c r="GZ61" s="50">
        <f t="shared" si="92"/>
        <v>0.52547635143593985</v>
      </c>
      <c r="HA61" s="50">
        <f t="shared" si="93"/>
        <v>0.42920453691880117</v>
      </c>
      <c r="HB61" s="50">
        <f t="shared" si="94"/>
        <v>4.5319111645259022E-2</v>
      </c>
      <c r="HD61" s="14">
        <f t="shared" si="95"/>
        <v>18057</v>
      </c>
      <c r="HE61" s="14">
        <f t="shared" si="96"/>
        <v>19519</v>
      </c>
      <c r="HF61" s="14">
        <f t="shared" si="97"/>
        <v>22259</v>
      </c>
      <c r="HG61" s="14">
        <f t="shared" si="98"/>
        <v>30792</v>
      </c>
      <c r="HH61" s="14">
        <f t="shared" si="99"/>
        <v>39939</v>
      </c>
      <c r="HI61" s="14">
        <f t="shared" si="100"/>
        <v>2051149</v>
      </c>
      <c r="HL61" s="14">
        <f t="shared" si="101"/>
        <v>430050</v>
      </c>
      <c r="HM61" s="50">
        <f t="shared" si="9"/>
        <v>0.17332346176183369</v>
      </c>
      <c r="HO61" s="14">
        <f t="shared" si="102"/>
        <v>2481199</v>
      </c>
    </row>
    <row r="62" spans="11:223" x14ac:dyDescent="0.2">
      <c r="K62" s="14">
        <v>57</v>
      </c>
      <c r="L62" s="12">
        <f>求节点(节奏总纲!D$4:D$163,标准城池设计!AB$4:AB$163,$K62)*求节点(节奏总纲!D$4:D$163,攻城基础信息!$AC$5:$AC$164,$K62)</f>
        <v>337780.59932953794</v>
      </c>
      <c r="M62" s="12">
        <f>INDEX(其他调用!$AA$5:$AA$404,MATCH(K62,其他调用!$X$5:$X$404,0))*MIN(INDEX(其他调用!$AH$5:$AH$364,MATCH('征服点（新）'!K62,其他调用!$AG$5:$AG$364,0),1)/INDEX(其他调用!$AJ$5:$AJ$364,MATCH(K62,其他调用!$AG$5:$AG$364,0),0),5)*求节点(节奏总纲!D$4:D$163,攻城基础信息!$AC$5:$AC$164,$K62)</f>
        <v>39029.146747544502</v>
      </c>
      <c r="N62" s="12">
        <f>MIN(INDEX(其他调用!$AH$5:$AH$364,MATCH($K62,其他调用!$AG$5:$AG$364,0),1)/INDEX(其他调用!AH$5:AH$364,MATCH($K62,其他调用!$AG$5:$AG$364,0),0),1)*INDEX(其他调用!Y$5:Y$404,MATCH($K62,其他调用!$X$5:$X$404,0),0)</f>
        <v>32953.185532974196</v>
      </c>
      <c r="O62" s="12">
        <f>MIN(INDEX(其他调用!$AH$5:$AH$364,MATCH($K62,其他调用!$AG$5:$AG$364,0),1)/INDEX(其他调用!AI$5:AI$364,MATCH($K62,其他调用!$AG$5:$AG$364,0),0),1)*INDEX(其他调用!Z$5:Z$404,MATCH($K62,其他调用!$X$5:$X$404,0),0)</f>
        <v>24367.316917311076</v>
      </c>
      <c r="P62" s="12">
        <f>MIN(INDEX(其他调用!$AH$5:$AH$364,MATCH($K62,其他调用!$AG$5:$AG$364,0),1)/INDEX(其他调用!AJ$5:AJ$364,MATCH($K62,其他调用!$AG$5:$AG$364,0),0),1)*INDEX(其他调用!AA$5:AA$404,MATCH($K62,其他调用!$X$5:$X$404,0),0)</f>
        <v>14010.475835383362</v>
      </c>
      <c r="Q62" s="12">
        <f>MIN(INDEX(其他调用!$AH$5:$AH$364,MATCH($K62,其他调用!$AG$5:$AG$364,0),1)/INDEX(其他调用!AK$5:AK$364,MATCH($K62,其他调用!$AG$5:$AG$364,0),0),1)*INDEX(其他调用!AB$5:AB$404,MATCH($K62,其他调用!$X$5:$X$404,0),0)</f>
        <v>5637.2506305318238</v>
      </c>
      <c r="R62" s="12">
        <f>MIN(INDEX(其他调用!$AH$5:$AH$364,MATCH($K62,其他调用!$AG$5:$AG$364,0),1)/INDEX(其他调用!AL$5:AL$364,MATCH($K62,其他调用!$AG$5:$AG$364,0),0),1)*INDEX(其他调用!AC$5:AC$404,MATCH($K62,其他调用!$X$5:$X$404,0),0)</f>
        <v>1866.2585902816336</v>
      </c>
      <c r="S62" s="12">
        <f>求节点(节奏总纲!D$4:D$163,标准城池设计!AC$4:AC$163,$K62)*求节点(节奏总纲!D$4:D$163,攻城基础信息!$AD$5:$AD$164,$K62)</f>
        <v>351376.66492044355</v>
      </c>
      <c r="T62" s="12">
        <f>INDEX(其他调用!$AA$5:$AA$404,MATCH($K62,其他调用!$X$5:$X$404,0))*MIN(INDEX(其他调用!AI$5:AI$364,MATCH($K62,其他调用!$AG$5:$AG$364,0),1)/INDEX(其他调用!$AJ$5:$AJ$364,MATCH($K62,其他调用!$AG$5:$AG$364,0),0),5)*求节点(节奏总纲!D$4:D$163,攻城基础信息!$AD$5:$AD$164,$K62)</f>
        <v>54563.502478432354</v>
      </c>
      <c r="U62" s="12">
        <f>MIN(INDEX(其他调用!$AI$5:$AI$364,MATCH($K62,其他调用!$AG$5:$AG$364,0),1)/INDEX(其他调用!AH$5:AH$364,MATCH($K62,其他调用!$AG$5:$AG$364,0),0),1)*INDEX(其他调用!Y$5:Y$404,MATCH($K62,其他调用!$X$5:$X$404,0),0)</f>
        <v>32953.185532974196</v>
      </c>
      <c r="V62" s="12">
        <f>MIN(INDEX(其他调用!$AI$5:$AI$364,MATCH($K62,其他调用!$AG$5:$AG$364,0),1)/INDEX(其他调用!AI$5:AI$364,MATCH($K62,其他调用!$AG$5:$AG$364,0),0),1)*INDEX(其他调用!Z$5:Z$404,MATCH($K62,其他调用!$X$5:$X$404,0),0)</f>
        <v>34065.980627519057</v>
      </c>
      <c r="W62" s="12">
        <f>MIN(INDEX(其他调用!$AI$5:$AI$364,MATCH($K62,其他调用!$AG$5:$AG$364,0),1)/INDEX(其他调用!AJ$5:AJ$364,MATCH($K62,其他调用!$AG$5:$AG$364,0),0),1)*INDEX(其他调用!AA$5:AA$404,MATCH($K62,其他调用!$X$5:$X$404,0),0)</f>
        <v>19586.916360554365</v>
      </c>
      <c r="X62" s="12">
        <f>MIN(INDEX(其他调用!$AI$5:$AI$364,MATCH($K62,其他调用!$AG$5:$AG$364,0),1)/INDEX(其他调用!AK$5:AK$364,MATCH($K62,其他调用!$AG$5:$AG$364,0),0),1)*INDEX(其他调用!AB$5:AB$404,MATCH($K62,其他调用!$X$5:$X$404,0),0)</f>
        <v>7880.9854783699375</v>
      </c>
      <c r="Y62" s="12">
        <f>MIN(INDEX(其他调用!$AI$5:$AI$364,MATCH($K62,其他调用!$AG$5:$AG$364,0),1)/INDEX(其他调用!AL$5:AL$364,MATCH($K62,其他调用!$AG$5:$AG$364,0),0),1)*INDEX(其他调用!AC$5:AC$404,MATCH($K62,其他调用!$X$5:$X$404,0),0)</f>
        <v>2609.0656266430965</v>
      </c>
      <c r="Z62" s="12">
        <f>求节点(节奏总纲!D$4:D$163,标准城池设计!AD$4:AD$163,$K62)*求节点(节奏总纲!D$4:D$163,攻城基础信息!$AE$5:$AE$164,$K62)</f>
        <v>371574.60927772493</v>
      </c>
      <c r="AA62" s="12">
        <f>INDEX(其他调用!$AA$5:$AA$404,MATCH($K62,其他调用!$X$5:$X$404,0))*MIN(INDEX(其他调用!AJ$5:AJ$364,MATCH($K62,其他调用!$AG$5:$AG$364,0),1)/INDEX(其他调用!$AJ$5:$AJ$364,MATCH($K62,其他调用!$AG$5:$AG$364,0),0),5)*求节点(节奏总纲!D$4:D$163,攻城基础信息!$AE$5:$AE$164,$K62)</f>
        <v>99056.5892376056</v>
      </c>
      <c r="AB62" s="12">
        <f>MIN(INDEX(其他调用!$AJ$5:$AJ$364,MATCH($K62,其他调用!$AG$5:$AG$364,0),1)/INDEX(其他调用!AH$5:AH$364,MATCH($K62,其他调用!$AG$5:$AG$364,0),0),1)*INDEX(其他调用!Y$5:Y$404,MATCH($K62,其他调用!$X$5:$X$404,0),0)</f>
        <v>32953.185532974196</v>
      </c>
      <c r="AC62" s="12">
        <f>MIN(INDEX(其他调用!$AJ$5:$AJ$364,MATCH($K62,其他调用!$AG$5:$AG$364,0),1)/INDEX(其他调用!AI$5:AI$364,MATCH($K62,其他调用!$AG$5:$AG$364,0),0),1)*INDEX(其他调用!Z$5:Z$404,MATCH($K62,其他调用!$X$5:$X$404,0),0)</f>
        <v>34065.980627519057</v>
      </c>
      <c r="AD62" s="12">
        <f>MIN(INDEX(其他调用!$AJ$5:$AJ$364,MATCH($K62,其他调用!$AG$5:$AG$364,0),1)/INDEX(其他调用!AJ$5:AJ$364,MATCH($K62,其他调用!$AG$5:$AG$364,0),0),1)*INDEX(其他调用!AA$5:AA$404,MATCH($K62,其他调用!$X$5:$X$404,0),0)</f>
        <v>35558.808365091492</v>
      </c>
      <c r="AE62" s="12">
        <f>MIN(INDEX(其他调用!$AJ$5:$AJ$364,MATCH($K62,其他调用!$AG$5:$AG$364,0),1)/INDEX(其他调用!AK$5:AK$364,MATCH($K62,其他调用!$AG$5:$AG$364,0),0),1)*INDEX(其他调用!AB$5:AB$404,MATCH($K62,其他调用!$X$5:$X$404,0),0)</f>
        <v>14307.430899015386</v>
      </c>
      <c r="AF62" s="12">
        <f>MIN(INDEX(其他调用!$AJ$5:$AJ$364,MATCH($K62,其他调用!$AG$5:$AG$364,0),1)/INDEX(其他调用!AL$5:AL$364,MATCH($K62,其他调用!$AG$5:$AG$364,0),0),1)*INDEX(其他调用!AC$5:AC$404,MATCH($K62,其他调用!$X$5:$X$404,0),0)</f>
        <v>4736.5936996896135</v>
      </c>
      <c r="AG62" s="12">
        <f>求节点(节奏总纲!D$4:D$163,标准城池设计!AE$4:AE$163,$K62)*求节点(节奏总纲!D$4:D$163,攻城基础信息!$AF$5:$AF$164,$K62)</f>
        <v>422248.98678345338</v>
      </c>
      <c r="AH62" s="12">
        <f>INDEX(其他调用!$AA$5:$AA$404,MATCH($K62,其他调用!$X$5:$X$404,0))*MIN(INDEX(其他调用!AK$5:AK$364,MATCH($K62,其他调用!$AG$5:$AG$364,0),1)/INDEX(其他调用!$AJ$5:$AJ$364,MATCH($K62,其他调用!$AG$5:$AG$364,0),0),5)*求节点(节奏总纲!D$4:D$163,攻城基础信息!$AF$5:$AF$164,$K62)</f>
        <v>261208.61254464122</v>
      </c>
      <c r="AI62" s="12">
        <f>MIN(INDEX(其他调用!$AK$5:$AK$364,MATCH($K62,其他调用!$AG$5:$AG$364,0),1)/INDEX(其他调用!AH$5:AH$364,MATCH($K62,其他调用!$AG$5:$AG$364,0),0),1)*INDEX(其他调用!Y$5:Y$404,MATCH($K62,其他调用!$X$5:$X$404,0),0)</f>
        <v>32953.185532974196</v>
      </c>
      <c r="AJ62" s="12">
        <f>MIN(INDEX(其他调用!$AK$5:$AK$364,MATCH($K62,其他调用!$AG$5:$AG$364,0),1)/INDEX(其他调用!AI$5:AI$364,MATCH($K62,其他调用!$AG$5:$AG$364,0),0),1)*INDEX(其他调用!Z$5:Z$404,MATCH($K62,其他调用!$X$5:$X$404,0),0)</f>
        <v>34065.980627519057</v>
      </c>
      <c r="AK62" s="12">
        <f>MIN(INDEX(其他调用!$AK$5:$AK$364,MATCH($K62,其他调用!$AG$5:$AG$364,0),1)/INDEX(其他调用!AJ$5:AJ$364,MATCH($K62,其他调用!$AG$5:$AG$364,0),0),1)*INDEX(其他调用!AA$5:AA$404,MATCH($K62,其他调用!$X$5:$X$404,0),0)</f>
        <v>35558.808365091492</v>
      </c>
      <c r="AL62" s="12">
        <f>MIN(INDEX(其他调用!$AK$5:$AK$364,MATCH($K62,其他调用!$AG$5:$AG$364,0),1)/INDEX(其他调用!AK$5:AK$364,MATCH($K62,其他调用!$AG$5:$AG$364,0),0),1)*INDEX(其他调用!AB$5:AB$404,MATCH($K62,其他调用!$X$5:$X$404,0),0)</f>
        <v>37728.17339032048</v>
      </c>
      <c r="AM62" s="12">
        <f>MIN(INDEX(其他调用!$AK$5:$AK$364,MATCH($K62,其他调用!$AG$5:$AG$364,0),1)/INDEX(其他调用!AL$5:AL$364,MATCH($K62,其他调用!$AG$5:$AG$364,0),0),1)*INDEX(其他调用!AC$5:AC$404,MATCH($K62,其他调用!$X$5:$X$404,0),0)</f>
        <v>12490.224809940361</v>
      </c>
      <c r="AN62" s="12">
        <f>求节点(节奏总纲!D$4:D$163,标准城池设计!AF$4:AF$163,$K62)*求节点(节奏总纲!D$4:D$163,攻城基础信息!$AG$5:$AG$164,$K62)</f>
        <v>434733.61133534648</v>
      </c>
      <c r="AO62" s="12">
        <f>INDEX(其他调用!$AA$5:$AA$404,MATCH($K62,其他调用!$X$5:$X$404,0))*MIN(INDEX(其他调用!AL$5:AL$364,MATCH($K62,其他调用!$AG$5:$AG$364,0),1)/INDEX(其他调用!$AJ$5:$AJ$364,MATCH($K62,其他调用!$AG$5:$AG$364,0),0),5)*求节点(节奏总纲!D$4:D$163,攻城基础信息!$AG$5:$AG$164,$K62)</f>
        <v>495282.94618802809</v>
      </c>
      <c r="AP62" s="12">
        <f>MIN(INDEX(其他调用!$AL$5:$AL$364,MATCH($K62,其他调用!$AG$5:$AG$364,0),1)/INDEX(其他调用!AH$5:AH$364,MATCH($K62,其他调用!$AG$5:$AG$364,0),0),1)*INDEX(其他调用!Y$5:Y$404,MATCH($K62,其他调用!$X$5:$X$404,0),0)</f>
        <v>32953.185532974196</v>
      </c>
      <c r="AQ62" s="12">
        <f>MIN(INDEX(其他调用!$AL$5:$AL$364,MATCH($K62,其他调用!$AG$5:$AG$364,0),1)/INDEX(其他调用!AI$5:AI$364,MATCH($K62,其他调用!$AG$5:$AG$364,0),0),1)*INDEX(其他调用!Z$5:Z$404,MATCH($K62,其他调用!$X$5:$X$404,0),0)</f>
        <v>34065.980627519057</v>
      </c>
      <c r="AR62" s="12">
        <f>MIN(INDEX(其他调用!$AL$5:$AL$364,MATCH($K62,其他调用!$AG$5:$AG$364,0),1)/INDEX(其他调用!AJ$5:AJ$364,MATCH($K62,其他调用!$AG$5:$AG$364,0),0),1)*INDEX(其他调用!AA$5:AA$404,MATCH($K62,其他调用!$X$5:$X$404,0),0)</f>
        <v>35558.808365091492</v>
      </c>
      <c r="AS62" s="12">
        <f>MIN(INDEX(其他调用!$AL$5:$AL$364,MATCH($K62,其他调用!$AG$5:$AG$364,0),1)/INDEX(其他调用!AK$5:AK$364,MATCH($K62,其他调用!$AG$5:$AG$364,0),0),1)*INDEX(其他调用!AB$5:AB$404,MATCH($K62,其他调用!$X$5:$X$404,0),0)</f>
        <v>37728.17339032048</v>
      </c>
      <c r="AT62" s="12">
        <f>MIN(INDEX(其他调用!$AL$5:$AL$364,MATCH($K62,其他调用!$AG$5:$AG$364,0),1)/INDEX(其他调用!AL$5:AL$364,MATCH($K62,其他调用!$AG$5:$AG$364,0),0),1)*INDEX(其他调用!AC$5:AC$404,MATCH($K62,其他调用!$X$5:$X$404,0),0)</f>
        <v>41550.49517899991</v>
      </c>
      <c r="AV62" s="14">
        <f>IF(OR(AV$5="大R",AV$5="超R"),MAX(INDEX(其他调用!$H$5:$L$404,MATCH($K62,其他调用!$B$5:$B$404,0),MATCH(AV$5,其他调用!$H$4:$L$4,0))*120*0.85,2),INDEX(其他调用!$H$5:$L$404,MATCH($K62,其他调用!$B$5:$B$404,0),MATCH(AV$5,其他调用!$H$4:$L$4,0))*120*0.85)</f>
        <v>51.822422337272755</v>
      </c>
      <c r="AW62" s="14">
        <f>IF(OR(AW$5="大R",AW$5="超R"),MAX(INDEX(其他调用!$H$5:$L$404,MATCH($K62,其他调用!$B$5:$B$404,0),MATCH(AW$5,其他调用!$H$4:$L$4,0))*120*0.85,2),INDEX(其他调用!$H$5:$L$404,MATCH($K62,其他调用!$B$5:$B$404,0),MATCH(AW$5,其他调用!$H$4:$L$4,0))*120*0.85)</f>
        <v>45.486695700231252</v>
      </c>
      <c r="AX62" s="14">
        <f>IF(OR(AX$5="大R",AX$5="超R"),MAX(INDEX(其他调用!$H$5:$L$404,MATCH($K62,其他调用!$B$5:$B$404,0),MATCH(AX$5,其他调用!$H$4:$L$4,0))*120*0.85,2),INDEX(其他调用!$H$5:$L$404,MATCH($K62,其他调用!$B$5:$B$404,0),MATCH(AX$5,其他调用!$H$4:$L$4,0))*120*0.85)</f>
        <v>3.8718301224960006</v>
      </c>
      <c r="AY62" s="14">
        <f>IF(OR(AY$5="大R",AY$5="超R"),MAX(INDEX(其他调用!$H$5:$L$404,MATCH($K62,其他调用!$B$5:$B$404,0),MATCH(AY$5,其他调用!$H$4:$L$4,0))*120*0.85,2),INDEX(其他调用!$H$5:$L$404,MATCH($K62,其他调用!$B$5:$B$404,0),MATCH(AY$5,其他调用!$H$4:$L$4,0))*120*0.85)</f>
        <v>2</v>
      </c>
      <c r="AZ62" s="14">
        <f>IF(OR(AZ$5="大R",AZ$5="超R"),MAX(INDEX(其他调用!$H$5:$L$404,MATCH($K62,其他调用!$B$5:$B$404,0),MATCH(AZ$5,其他调用!$H$4:$L$4,0))*120*0.85,2),INDEX(其他调用!$H$5:$L$404,MATCH($K62,其他调用!$B$5:$B$404,0),MATCH(AZ$5,其他调用!$H$4:$L$4,0))*120*0.85)</f>
        <v>2</v>
      </c>
      <c r="BA62" s="14">
        <f>INDEX(其他调用!$H$5:$L$404,MATCH($K62,其他调用!$B$5:$B$404,0),MATCH(BA$5,其他调用!$H$4:$L$4,0))*INDEX(其他调用!$M$5:$M$404,MATCH($K62,其他调用!$B$5:$B$404,0))*0.6</f>
        <v>28.945072868493519</v>
      </c>
      <c r="BB62" s="14">
        <f>INDEX(其他调用!$H$5:$L$404,MATCH($K62,其他调用!$B$5:$B$404,0),MATCH(BB$5,其他调用!$H$4:$L$4,0))*INDEX(其他调用!$M$5:$M$404,MATCH($K62,其他调用!$B$5:$B$404,0))*0.6</f>
        <v>25.406294461137566</v>
      </c>
      <c r="BC62" s="14">
        <f>INDEX(其他调用!$H$5:$L$404,MATCH($K62,其他调用!$B$5:$B$404,0),MATCH(BC$5,其他调用!$H$4:$L$4,0))*INDEX(其他调用!$M$5:$M$404,MATCH($K62,其他调用!$B$5:$B$404,0))*0.6</f>
        <v>2.1625852280831999</v>
      </c>
      <c r="BD62" s="14">
        <f>INDEX(其他调用!$H$5:$L$404,MATCH($K62,其他调用!$B$5:$B$404,0),MATCH(BD$5,其他调用!$H$4:$L$4,0))*INDEX(其他调用!$M$5:$M$404,MATCH($K62,其他调用!$B$5:$B$404,0))*0.6</f>
        <v>0.36067016228571436</v>
      </c>
      <c r="BE62" s="14">
        <f>INDEX(其他调用!$H$5:$L$404,MATCH($K62,其他调用!$B$5:$B$404,0),MATCH(BE$5,其他调用!$H$4:$L$4,0))*INDEX(其他调用!$M$5:$M$404,MATCH($K62,其他调用!$B$5:$B$404,0))*0.6</f>
        <v>9.6805851428571413E-2</v>
      </c>
      <c r="BF62" s="14">
        <f>IF(OR(BF$5="大R",BF$5="超R"),0,INDEX(其他调用!$H$5:$L$404,MATCH($K62,其他调用!$B$5:$B$404,0),MATCH(BF$5,其他调用!$H$4:$L$4,0))*50*0.4)</f>
        <v>10.161259281818188</v>
      </c>
      <c r="BG62" s="14">
        <f>IF(OR(BG$5="大R",BG$5="超R"),0,INDEX(其他调用!$H$5:$L$404,MATCH($K62,其他调用!$B$5:$B$404,0),MATCH(BG$5,其他调用!$H$4:$L$4,0))*50*0.4)</f>
        <v>8.9189599412218143</v>
      </c>
      <c r="BH62" s="14">
        <f>IF(OR(BH$5="大R",BH$5="超R"),0,INDEX(其他调用!$H$5:$L$404,MATCH($K62,其他调用!$B$5:$B$404,0),MATCH(BH$5,其他调用!$H$4:$L$4,0))*50*0.4)</f>
        <v>0.75918237696000013</v>
      </c>
      <c r="BI62" s="14">
        <f>IF(OR(BI$5="大R",BI$5="超R"),0,INDEX(其他调用!$H$5:$L$404,MATCH($K62,其他调用!$B$5:$B$404,0),MATCH(BI$5,其他调用!$H$4:$L$4,0))*50*0.4)</f>
        <v>0</v>
      </c>
      <c r="BJ62" s="14">
        <f>IF(OR(BJ$5="大R",BJ$5="超R"),0,INDEX(其他调用!$H$5:$L$404,MATCH($K62,其他调用!$B$5:$B$404,0),MATCH(BJ$5,其他调用!$H$4:$L$4,0))*50*0.4)</f>
        <v>0</v>
      </c>
      <c r="BL62" s="14">
        <f t="shared" si="103"/>
        <v>57</v>
      </c>
      <c r="BM62" s="14">
        <f t="shared" si="10"/>
        <v>96</v>
      </c>
      <c r="BN62" s="14">
        <f>('疲劳值&amp;地图信息'!$S$10*'疲劳值&amp;地图信息'!$R$10+'疲劳值&amp;地图信息'!$S$11*'疲劳值&amp;地图信息'!$R$11+'疲劳值&amp;地图信息'!$S$12*'疲劳值&amp;地图信息'!$R$12+(BM62-'疲劳值&amp;地图信息'!$S$12-'疲劳值&amp;地图信息'!$S$11-'疲劳值&amp;地图信息'!$S$10)*'疲劳值&amp;地图信息'!$R$13)/BM62</f>
        <v>51.371477246638619</v>
      </c>
      <c r="BO62" s="14">
        <f>INDEX(其他调用!$M$5:$M$404,MATCH(BL62,其他调用!$B$5:$B$404,0))*0.6</f>
        <v>56.971428571428568</v>
      </c>
      <c r="BP62" s="14">
        <f>IF(BO62&gt;SUM('疲劳值&amp;地图信息'!$S$10:$S$12),('疲劳值&amp;地图信息'!$S$10*'疲劳值&amp;地图信息'!$R$10+'疲劳值&amp;地图信息'!$S$11*'疲劳值&amp;地图信息'!$R$11+'疲劳值&amp;地图信息'!$S$12*'疲劳值&amp;地图信息'!$R$12+(BO62-'疲劳值&amp;地图信息'!$S$12-'疲劳值&amp;地图信息'!$S$11-'疲劳值&amp;地图信息'!$S$10)*'疲劳值&amp;地图信息'!$R$13)/BO62,('疲劳值&amp;地图信息'!$S$10*'疲劳值&amp;地图信息'!$R$10+'疲劳值&amp;地图信息'!$S$11*'疲劳值&amp;地图信息'!$R$11+'疲劳值&amp;地图信息'!$S$12*'疲劳值&amp;地图信息'!$R$12+(BO62-'疲劳值&amp;地图信息'!$S$12-'疲劳值&amp;地图信息'!$S$11-'疲劳值&amp;地图信息'!$S$10)*'疲劳值&amp;地图信息'!$R$13)/BO62)</f>
        <v>43.1355831675057</v>
      </c>
      <c r="BQ62" s="14">
        <f t="shared" si="104"/>
        <v>20</v>
      </c>
      <c r="BR62" s="14">
        <f>('疲劳值&amp;地图信息'!$S$10*'疲劳值&amp;地图信息'!$R$10+($BQ62-'疲劳值&amp;地图信息'!$S$10)*'疲劳值&amp;地图信息'!$R$11)/$BQ62</f>
        <v>32.067203015074995</v>
      </c>
      <c r="CA62" s="4"/>
      <c r="CF62" s="14">
        <v>57</v>
      </c>
      <c r="CG62" s="51">
        <f t="shared" si="11"/>
        <v>7047</v>
      </c>
      <c r="CH62" s="51">
        <f t="shared" si="12"/>
        <v>814</v>
      </c>
      <c r="CI62" s="51">
        <f>INT(SUMPRODUCT($N62:$R62,$BA62:$BE62)/SUM($BA62:$BE62)/10000*$BX$7*$BZ$34/'疲劳值&amp;地图信息'!$R$10*$BY$53)</f>
        <v>2859</v>
      </c>
      <c r="CJ62" s="50">
        <f t="shared" si="13"/>
        <v>0.65736940298507462</v>
      </c>
      <c r="CK62" s="50">
        <f t="shared" si="14"/>
        <v>7.5932835820895522E-2</v>
      </c>
      <c r="CL62" s="50">
        <f t="shared" si="15"/>
        <v>0.26669776119402983</v>
      </c>
      <c r="CM62" s="14">
        <f t="shared" si="16"/>
        <v>7331</v>
      </c>
      <c r="CN62" s="14">
        <f t="shared" si="17"/>
        <v>1138</v>
      </c>
      <c r="CO62" s="14">
        <f>INT(SUMPRODUCT($U62:$Y62,$BA62:$BE62)/SUM($BA62:$BE62)/10000*$BX$7*$BZ$34/'疲劳值&amp;地图信息'!$R$10*$BY$54)</f>
        <v>4981</v>
      </c>
      <c r="CP62" s="50">
        <f t="shared" si="18"/>
        <v>0.54505576208178441</v>
      </c>
      <c r="CQ62" s="50">
        <f t="shared" si="19"/>
        <v>8.4609665427509292E-2</v>
      </c>
      <c r="CR62" s="50">
        <f t="shared" si="20"/>
        <v>0.37033457249070634</v>
      </c>
      <c r="CS62" s="14">
        <f t="shared" si="21"/>
        <v>7752</v>
      </c>
      <c r="CT62" s="14">
        <f t="shared" si="22"/>
        <v>2066</v>
      </c>
      <c r="CU62" s="14">
        <f>INT(SUMPRODUCT($AB62:$AF62,$BA62:$BE62)/SUM($BA62:$BE62)/10000*$BX$7*$BZ$34/'疲劳值&amp;地图信息'!$R$10*$BY$55)</f>
        <v>6774</v>
      </c>
      <c r="CV62" s="50">
        <f t="shared" si="23"/>
        <v>0.46721311475409838</v>
      </c>
      <c r="CW62" s="50">
        <f t="shared" si="24"/>
        <v>0.12451783992285438</v>
      </c>
      <c r="CX62" s="50">
        <f t="shared" si="25"/>
        <v>0.40826904532304725</v>
      </c>
      <c r="CY62" s="14">
        <f t="shared" si="26"/>
        <v>8809</v>
      </c>
      <c r="CZ62" s="14">
        <f t="shared" si="27"/>
        <v>5449</v>
      </c>
      <c r="DA62" s="14">
        <f>INT(SUMPRODUCT($AI62:$AM62,$BA62:$BE62)/SUM($BA62:$BE62)/10000*$BX$7*$BZ$34/'疲劳值&amp;地图信息'!$R$10*$BY$56)</f>
        <v>10210</v>
      </c>
      <c r="DB62" s="50">
        <f t="shared" si="28"/>
        <v>0.36002125224783388</v>
      </c>
      <c r="DC62" s="50">
        <f t="shared" si="29"/>
        <v>0.22269903547490599</v>
      </c>
      <c r="DD62" s="50">
        <f t="shared" si="30"/>
        <v>0.41727971227726007</v>
      </c>
      <c r="DE62" s="14">
        <f t="shared" si="31"/>
        <v>9070</v>
      </c>
      <c r="DF62" s="14">
        <f t="shared" si="32"/>
        <v>10333</v>
      </c>
      <c r="DG62" s="14">
        <f>INT(SUMPRODUCT($AP62:$AT62,$BA62:$BE62)/SUM($BA62:$BE62)/10000*$BX$7*$BZ$34/'疲劳值&amp;地图信息'!$R$10*$BY$57)</f>
        <v>13634</v>
      </c>
      <c r="DH62" s="50">
        <f t="shared" si="33"/>
        <v>0.27454066652541093</v>
      </c>
      <c r="DI62" s="50">
        <f t="shared" si="34"/>
        <v>0.31277053001180494</v>
      </c>
      <c r="DJ62" s="50">
        <f t="shared" si="35"/>
        <v>0.41268880346278414</v>
      </c>
      <c r="DL62" s="14">
        <f t="shared" si="106"/>
        <v>10720</v>
      </c>
      <c r="DM62" s="14">
        <f t="shared" si="107"/>
        <v>13450</v>
      </c>
      <c r="DN62" s="14">
        <f t="shared" si="108"/>
        <v>16592</v>
      </c>
      <c r="DO62" s="14">
        <f t="shared" si="109"/>
        <v>24468</v>
      </c>
      <c r="DP62" s="14">
        <f t="shared" si="110"/>
        <v>33037</v>
      </c>
      <c r="DQ62" s="14">
        <f t="shared" si="111"/>
        <v>699910</v>
      </c>
      <c r="DT62" s="14">
        <f t="shared" si="105"/>
        <v>235575</v>
      </c>
      <c r="DU62" s="50">
        <f t="shared" si="7"/>
        <v>0.25182124780194232</v>
      </c>
      <c r="DW62" s="14">
        <f t="shared" si="36"/>
        <v>935485</v>
      </c>
      <c r="EB62" s="14">
        <v>57</v>
      </c>
      <c r="EC62" s="51">
        <f t="shared" si="37"/>
        <v>11746</v>
      </c>
      <c r="ED62" s="51">
        <f t="shared" si="38"/>
        <v>1357</v>
      </c>
      <c r="EE62" s="51">
        <f>INT(SUMPRODUCT($N62:$R62,$BF62:$BJ62)/SUM($BF62:$BJ62)/10000*$BX$7*$BZ$46/'疲劳值&amp;地图信息'!$R$10*$BY$53)</f>
        <v>383</v>
      </c>
      <c r="EF62" s="50">
        <f t="shared" si="39"/>
        <v>0.87097730980275845</v>
      </c>
      <c r="EG62" s="50">
        <f t="shared" si="40"/>
        <v>0.10062286815957289</v>
      </c>
      <c r="EH62" s="50">
        <f t="shared" si="41"/>
        <v>2.8399822037668693E-2</v>
      </c>
      <c r="EI62" s="51">
        <f t="shared" si="42"/>
        <v>12218</v>
      </c>
      <c r="EJ62" s="51">
        <f t="shared" si="43"/>
        <v>1897</v>
      </c>
      <c r="EK62" s="14">
        <f>INT(SUMPRODUCT($U62:$Y62,$BF62:$BJ62)/SUM($BF62:$BJ62)/10000*$BX$7*$BZ$46/'疲劳值&amp;地图信息'!$R$10*$BY$54)</f>
        <v>668</v>
      </c>
      <c r="EL62" s="50">
        <f t="shared" si="44"/>
        <v>0.82648988703240212</v>
      </c>
      <c r="EM62" s="50">
        <f t="shared" si="45"/>
        <v>0.12832307380098762</v>
      </c>
      <c r="EN62" s="50">
        <f t="shared" si="46"/>
        <v>4.5187039166610293E-2</v>
      </c>
      <c r="EO62" s="51">
        <f t="shared" si="47"/>
        <v>12921</v>
      </c>
      <c r="EP62" s="51">
        <f t="shared" si="48"/>
        <v>3444</v>
      </c>
      <c r="EQ62" s="14">
        <f>INT(SUMPRODUCT($AB62:$AF62,$BF62:$BJ62)/SUM($BF62:$BJ62)/10000*$BX$7*$BZ$46/'疲劳值&amp;地图信息'!$R$10*$BY$55)</f>
        <v>907</v>
      </c>
      <c r="ER62" s="50">
        <f t="shared" si="49"/>
        <v>0.74808939323761003</v>
      </c>
      <c r="ES62" s="50">
        <f t="shared" si="50"/>
        <v>0.19939786938397405</v>
      </c>
      <c r="ET62" s="50">
        <f t="shared" si="51"/>
        <v>5.2512737378415934E-2</v>
      </c>
      <c r="EU62" s="51">
        <f t="shared" si="52"/>
        <v>14683</v>
      </c>
      <c r="EV62" s="51">
        <f t="shared" si="53"/>
        <v>9083</v>
      </c>
      <c r="EW62" s="14">
        <f>INT(SUMPRODUCT($AI62:$AM62,$BF62:$BJ62)/SUM($BF62:$BJ62)/10000*$BX$7*$BZ$46/'疲劳值&amp;地图信息'!$R$10*$BY$56)</f>
        <v>1361</v>
      </c>
      <c r="EX62" s="50">
        <f t="shared" si="54"/>
        <v>0.58435149440840528</v>
      </c>
      <c r="EY62" s="50">
        <f t="shared" si="55"/>
        <v>0.36148366299200063</v>
      </c>
      <c r="EZ62" s="50">
        <f t="shared" si="56"/>
        <v>5.416484259959406E-2</v>
      </c>
      <c r="FA62" s="51">
        <f t="shared" si="57"/>
        <v>15117</v>
      </c>
      <c r="FB62" s="51">
        <f t="shared" si="58"/>
        <v>17223</v>
      </c>
      <c r="FC62" s="14">
        <f>INT(SUMPRODUCT($AP62:$AT62,$BF62:$BJ62)/SUM($BF62:$BJ62)/10000*$BX$7*$BZ$46/'疲劳值&amp;地图信息'!$R$10*$BY$57)</f>
        <v>1815</v>
      </c>
      <c r="FD62" s="50">
        <f t="shared" si="59"/>
        <v>0.44259991216512956</v>
      </c>
      <c r="FE62" s="50">
        <f t="shared" si="60"/>
        <v>0.50425999121651299</v>
      </c>
      <c r="FF62" s="50">
        <f t="shared" si="61"/>
        <v>5.3140096618357488E-2</v>
      </c>
      <c r="FH62" s="14">
        <f t="shared" si="62"/>
        <v>13486</v>
      </c>
      <c r="FI62" s="14">
        <f t="shared" si="63"/>
        <v>14783</v>
      </c>
      <c r="FJ62" s="14">
        <f t="shared" si="64"/>
        <v>17272</v>
      </c>
      <c r="FK62" s="14">
        <f t="shared" si="65"/>
        <v>25127</v>
      </c>
      <c r="FL62" s="14">
        <f t="shared" si="66"/>
        <v>34155</v>
      </c>
      <c r="FM62" s="14">
        <f t="shared" si="67"/>
        <v>1556745</v>
      </c>
      <c r="FP62" s="14">
        <f t="shared" si="68"/>
        <v>334150</v>
      </c>
      <c r="FQ62" s="50">
        <f t="shared" si="8"/>
        <v>0.1767152591762102</v>
      </c>
      <c r="FS62" s="14">
        <f t="shared" si="69"/>
        <v>1890895</v>
      </c>
      <c r="FX62" s="14">
        <v>57</v>
      </c>
      <c r="FY62" s="51">
        <f t="shared" si="70"/>
        <v>16444</v>
      </c>
      <c r="FZ62" s="51">
        <f t="shared" si="71"/>
        <v>1357</v>
      </c>
      <c r="GA62" s="51">
        <f>INT(SUMPRODUCT($N62:$R62,$BF62:$BJ62)/SUM($BF62:$BJ62)/10000*$BX$7*$BZ$46/'疲劳值&amp;地图信息'!$R$10*$BY$53)</f>
        <v>383</v>
      </c>
      <c r="GB62" s="50">
        <f t="shared" si="72"/>
        <v>0.90431148262208538</v>
      </c>
      <c r="GC62" s="50">
        <f t="shared" si="73"/>
        <v>7.462604487461505E-2</v>
      </c>
      <c r="GD62" s="50">
        <f t="shared" si="74"/>
        <v>2.1062472503299606E-2</v>
      </c>
      <c r="GE62" s="51">
        <f t="shared" si="75"/>
        <v>17106</v>
      </c>
      <c r="GF62" s="51">
        <f t="shared" si="76"/>
        <v>1897</v>
      </c>
      <c r="GG62" s="14">
        <f>INT(SUMPRODUCT($U62:$Y62,$BF62:$BJ62)/SUM($BF62:$BJ62)/10000*$BX$7*$BZ$46/'疲劳值&amp;地图信息'!$R$10*$BY$54)</f>
        <v>668</v>
      </c>
      <c r="GH62" s="50">
        <f t="shared" si="77"/>
        <v>0.86960500228763149</v>
      </c>
      <c r="GI62" s="50">
        <f t="shared" si="78"/>
        <v>9.643637842509277E-2</v>
      </c>
      <c r="GJ62" s="50">
        <f t="shared" si="79"/>
        <v>3.3958619287275685E-2</v>
      </c>
      <c r="GK62" s="51">
        <f t="shared" si="80"/>
        <v>18089</v>
      </c>
      <c r="GL62" s="51">
        <f t="shared" si="81"/>
        <v>3444</v>
      </c>
      <c r="GM62" s="14">
        <f>INT(SUMPRODUCT($AB62:$AF62,$BF62:$BJ62)/SUM($BF62:$BJ62)/10000*$BX$7*$BZ$46/'疲劳值&amp;地图信息'!$R$10*$BY$55)</f>
        <v>907</v>
      </c>
      <c r="GN62" s="50">
        <f t="shared" si="82"/>
        <v>0.8061051693404635</v>
      </c>
      <c r="GO62" s="50">
        <f t="shared" si="83"/>
        <v>0.153475935828877</v>
      </c>
      <c r="GP62" s="50">
        <f t="shared" si="84"/>
        <v>4.0418894830659538E-2</v>
      </c>
      <c r="GQ62" s="51">
        <f t="shared" si="85"/>
        <v>20556</v>
      </c>
      <c r="GR62" s="51">
        <f t="shared" si="86"/>
        <v>9083</v>
      </c>
      <c r="GS62" s="14">
        <f>INT(SUMPRODUCT($AI62:$AM62,$BF62:$BJ62)/SUM($BF62:$BJ62)/10000*$BX$7*$BZ$46/'疲劳值&amp;地图信息'!$R$10*$BY$56)</f>
        <v>1361</v>
      </c>
      <c r="GT62" s="50">
        <f t="shared" si="87"/>
        <v>0.6630967741935484</v>
      </c>
      <c r="GU62" s="50">
        <f t="shared" si="88"/>
        <v>0.29299999999999998</v>
      </c>
      <c r="GV62" s="50">
        <f t="shared" si="89"/>
        <v>4.3903225806451611E-2</v>
      </c>
      <c r="GW62" s="51">
        <f t="shared" si="90"/>
        <v>21164</v>
      </c>
      <c r="GX62" s="51">
        <f t="shared" si="91"/>
        <v>17223</v>
      </c>
      <c r="GY62" s="14">
        <f>INT(SUMPRODUCT($AP62:$AT62,$BF62:$BJ62)/SUM($BF62:$BJ62)/10000*$BX$7*$BZ$46/'疲劳值&amp;地图信息'!$R$10*$BY$57)</f>
        <v>1815</v>
      </c>
      <c r="GZ62" s="50">
        <f t="shared" si="92"/>
        <v>0.52644147057360335</v>
      </c>
      <c r="HA62" s="50">
        <f t="shared" si="93"/>
        <v>0.42841152181483511</v>
      </c>
      <c r="HB62" s="50">
        <f t="shared" si="94"/>
        <v>4.5147007611561617E-2</v>
      </c>
      <c r="HD62" s="14">
        <f t="shared" si="95"/>
        <v>18184</v>
      </c>
      <c r="HE62" s="14">
        <f t="shared" si="96"/>
        <v>19671</v>
      </c>
      <c r="HF62" s="14">
        <f t="shared" si="97"/>
        <v>22440</v>
      </c>
      <c r="HG62" s="14">
        <f t="shared" si="98"/>
        <v>31000</v>
      </c>
      <c r="HH62" s="14">
        <f t="shared" si="99"/>
        <v>40202</v>
      </c>
      <c r="HI62" s="14">
        <f t="shared" si="100"/>
        <v>2066395</v>
      </c>
      <c r="HL62" s="14">
        <f t="shared" si="101"/>
        <v>430050</v>
      </c>
      <c r="HM62" s="50">
        <f t="shared" si="9"/>
        <v>0.17226496077422093</v>
      </c>
      <c r="HO62" s="14">
        <f t="shared" si="102"/>
        <v>2496445</v>
      </c>
    </row>
    <row r="63" spans="11:223" x14ac:dyDescent="0.2">
      <c r="K63" s="14">
        <v>58</v>
      </c>
      <c r="L63" s="12">
        <f>求节点(节奏总纲!D$4:D$163,标准城池设计!AB$4:AB$163,$K63)*求节点(节奏总纲!D$4:D$163,攻城基础信息!$AC$5:$AC$164,$K63)</f>
        <v>341004.12509648228</v>
      </c>
      <c r="M63" s="12">
        <f>INDEX(其他调用!$AA$5:$AA$404,MATCH(K63,其他调用!$X$5:$X$404,0))*MIN(INDEX(其他调用!$AH$5:$AH$364,MATCH('征服点（新）'!K63,其他调用!$AG$5:$AG$364,0),1)/INDEX(其他调用!$AJ$5:$AJ$364,MATCH(K63,其他调用!$AG$5:$AG$364,0),0),5)*求节点(节奏总纲!D$4:D$163,攻城基础信息!$AC$5:$AC$164,$K63)</f>
        <v>38840.42748496557</v>
      </c>
      <c r="N63" s="12">
        <f>MIN(INDEX(其他调用!$AH$5:$AH$364,MATCH($K63,其他调用!$AG$5:$AG$364,0),1)/INDEX(其他调用!AH$5:AH$364,MATCH($K63,其他调用!$AG$5:$AG$364,0),0),1)*INDEX(其他调用!Y$5:Y$404,MATCH($K63,其他调用!$X$5:$X$404,0),0)</f>
        <v>33047.098071580098</v>
      </c>
      <c r="O63" s="12">
        <f>MIN(INDEX(其他调用!$AH$5:$AH$364,MATCH($K63,其他调用!$AG$5:$AG$364,0),1)/INDEX(其他调用!AI$5:AI$364,MATCH($K63,其他调用!$AG$5:$AG$364,0),0),1)*INDEX(其他调用!Z$5:Z$404,MATCH($K63,其他调用!$X$5:$X$404,0),0)</f>
        <v>24171.763563608423</v>
      </c>
      <c r="P63" s="12">
        <f>MIN(INDEX(其他调用!$AH$5:$AH$364,MATCH($K63,其他调用!$AG$5:$AG$364,0),1)/INDEX(其他调用!AJ$5:AJ$364,MATCH($K63,其他调用!$AG$5:$AG$364,0),0),1)*INDEX(其他调用!AA$5:AA$404,MATCH($K63,其他调用!$X$5:$X$404,0),0)</f>
        <v>13901.134074564665</v>
      </c>
      <c r="Q63" s="12">
        <f>MIN(INDEX(其他调用!$AH$5:$AH$364,MATCH($K63,其他调用!$AG$5:$AG$364,0),1)/INDEX(其他调用!AK$5:AK$364,MATCH($K63,其他调用!$AG$5:$AG$364,0),0),1)*INDEX(其他调用!AB$5:AB$404,MATCH($K63,其他调用!$X$5:$X$404,0),0)</f>
        <v>5604.4939538262197</v>
      </c>
      <c r="R63" s="12">
        <f>MIN(INDEX(其他调用!$AH$5:$AH$364,MATCH($K63,其他调用!$AG$5:$AG$364,0),1)/INDEX(其他调用!AL$5:AL$364,MATCH($K63,其他调用!$AG$5:$AG$364,0),0),1)*INDEX(其他调用!AC$5:AC$404,MATCH($K63,其他调用!$X$5:$X$404,0),0)</f>
        <v>1849.9570603668278</v>
      </c>
      <c r="S63" s="12">
        <f>求节点(节奏总纲!D$4:D$163,标准城池设计!AC$4:AC$163,$K63)*求节点(节奏总纲!D$4:D$163,攻城基础信息!$AD$5:$AD$164,$K63)</f>
        <v>354675.21787337953</v>
      </c>
      <c r="T63" s="12">
        <f>INDEX(其他调用!$AA$5:$AA$404,MATCH($K63,其他调用!$X$5:$X$404,0))*MIN(INDEX(其他调用!AI$5:AI$364,MATCH($K63,其他调用!$AG$5:$AG$364,0),1)/INDEX(其他调用!$AJ$5:$AJ$364,MATCH($K63,其他调用!$AG$5:$AG$364,0),0),5)*求节点(节奏总纲!D$4:D$163,攻城基础信息!$AD$5:$AD$164,$K63)</f>
        <v>54904.690259042225</v>
      </c>
      <c r="U63" s="12">
        <f>MIN(INDEX(其他调用!$AI$5:$AI$364,MATCH($K63,其他调用!$AG$5:$AG$364,0),1)/INDEX(其他调用!AH$5:AH$364,MATCH($K63,其他调用!$AG$5:$AG$364,0),0),1)*INDEX(其他调用!Y$5:Y$404,MATCH($K63,其他调用!$X$5:$X$404,0),0)</f>
        <v>33047.098071580098</v>
      </c>
      <c r="V63" s="12">
        <f>MIN(INDEX(其他调用!$AI$5:$AI$364,MATCH($K63,其他调用!$AG$5:$AG$364,0),1)/INDEX(其他调用!AI$5:AI$364,MATCH($K63,其他调用!$AG$5:$AG$364,0),0),1)*INDEX(其他调用!Z$5:Z$404,MATCH($K63,其他调用!$X$5:$X$404,0),0)</f>
        <v>34169.119070289235</v>
      </c>
      <c r="W63" s="12">
        <f>MIN(INDEX(其他调用!$AI$5:$AI$364,MATCH($K63,其他调用!$AG$5:$AG$364,0),1)/INDEX(其他调用!AJ$5:AJ$364,MATCH($K63,其他调用!$AG$5:$AG$364,0),0),1)*INDEX(其他调用!AA$5:AA$404,MATCH($K63,其他调用!$X$5:$X$404,0),0)</f>
        <v>19650.593725025967</v>
      </c>
      <c r="X63" s="12">
        <f>MIN(INDEX(其他调用!$AI$5:$AI$364,MATCH($K63,其他调用!$AG$5:$AG$364,0),1)/INDEX(其他调用!AK$5:AK$364,MATCH($K63,其他调用!$AG$5:$AG$364,0),0),1)*INDEX(其他调用!AB$5:AB$404,MATCH($K63,其他调用!$X$5:$X$404,0),0)</f>
        <v>7922.4927355038426</v>
      </c>
      <c r="Y63" s="12">
        <f>MIN(INDEX(其他调用!$AI$5:$AI$364,MATCH($K63,其他调用!$AG$5:$AG$364,0),1)/INDEX(其他调用!AL$5:AL$364,MATCH($K63,其他调用!$AG$5:$AG$364,0),0),1)*INDEX(其他调用!AC$5:AC$404,MATCH($K63,其他调用!$X$5:$X$404,0),0)</f>
        <v>2615.0927260335998</v>
      </c>
      <c r="Z63" s="12">
        <f>求节点(节奏总纲!D$4:D$163,标准城池设计!AD$4:AD$163,$K63)*求节点(节奏总纲!D$4:D$163,攻城基础信息!$AE$5:$AE$164,$K63)</f>
        <v>375377.89256390906</v>
      </c>
      <c r="AA63" s="12">
        <f>INDEX(其他调用!$AA$5:$AA$404,MATCH($K63,其他调用!$X$5:$X$404,0))*MIN(INDEX(其他调用!AJ$5:AJ$364,MATCH($K63,其他调用!$AG$5:$AG$364,0),1)/INDEX(其他调用!$AJ$5:$AJ$364,MATCH($K63,其他调用!$AG$5:$AG$364,0),0),5)*求节点(节奏总纲!D$4:D$163,攻城基础信息!$AE$5:$AE$164,$K63)</f>
        <v>99637.92130161752</v>
      </c>
      <c r="AB63" s="12">
        <f>MIN(INDEX(其他调用!$AJ$5:$AJ$364,MATCH($K63,其他调用!$AG$5:$AG$364,0),1)/INDEX(其他调用!AH$5:AH$364,MATCH($K63,其他调用!$AG$5:$AG$364,0),0),1)*INDEX(其他调用!Y$5:Y$404,MATCH($K63,其他调用!$X$5:$X$404,0),0)</f>
        <v>33047.098071580098</v>
      </c>
      <c r="AC63" s="12">
        <f>MIN(INDEX(其他调用!$AJ$5:$AJ$364,MATCH($K63,其他调用!$AG$5:$AG$364,0),1)/INDEX(其他调用!AI$5:AI$364,MATCH($K63,其他调用!$AG$5:$AG$364,0),0),1)*INDEX(其他调用!Z$5:Z$404,MATCH($K63,其他调用!$X$5:$X$404,0),0)</f>
        <v>34169.119070289235</v>
      </c>
      <c r="AD63" s="12">
        <f>MIN(INDEX(其他调用!$AJ$5:$AJ$364,MATCH($K63,其他调用!$AG$5:$AG$364,0),1)/INDEX(其他调用!AJ$5:AJ$364,MATCH($K63,其他调用!$AG$5:$AG$364,0),0),1)*INDEX(其他调用!AA$5:AA$404,MATCH($K63,其他调用!$X$5:$X$404,0),0)</f>
        <v>35660.784203800213</v>
      </c>
      <c r="AE63" s="12">
        <f>MIN(INDEX(其他调用!$AJ$5:$AJ$364,MATCH($K63,其他调用!$AG$5:$AG$364,0),1)/INDEX(其他调用!AK$5:AK$364,MATCH($K63,其他调用!$AG$5:$AG$364,0),0),1)*INDEX(其他调用!AB$5:AB$404,MATCH($K63,其他调用!$X$5:$X$404,0),0)</f>
        <v>14377.290974021398</v>
      </c>
      <c r="AF63" s="12">
        <f>MIN(INDEX(其他调用!$AJ$5:$AJ$364,MATCH($K63,其他调用!$AG$5:$AG$364,0),1)/INDEX(其他调用!AL$5:AL$364,MATCH($K63,其他调用!$AG$5:$AG$364,0),0),1)*INDEX(其他调用!AC$5:AC$404,MATCH($K63,其他调用!$X$5:$X$404,0),0)</f>
        <v>4745.7221232580641</v>
      </c>
      <c r="AG63" s="12">
        <f>求节点(节奏总纲!D$4:D$163,标准城池设计!AE$4:AE$163,$K63)*求节点(节奏总纲!D$4:D$163,攻城基础信息!$AF$5:$AF$164,$K63)</f>
        <v>426602.29159421194</v>
      </c>
      <c r="AH63" s="12">
        <f>INDEX(其他调用!$AA$5:$AA$404,MATCH($K63,其他调用!$X$5:$X$404,0))*MIN(INDEX(其他调用!AK$5:AK$364,MATCH($K63,其他调用!$AG$5:$AG$364,0),1)/INDEX(其他调用!$AJ$5:$AJ$364,MATCH($K63,其他调用!$AG$5:$AG$364,0),0),5)*求节点(节奏总纲!D$4:D$163,攻城基础信息!$AF$5:$AF$164,$K63)</f>
        <v>262158.61884961621</v>
      </c>
      <c r="AI63" s="12">
        <f>MIN(INDEX(其他调用!$AK$5:$AK$364,MATCH($K63,其他调用!$AG$5:$AG$364,0),1)/INDEX(其他调用!AH$5:AH$364,MATCH($K63,其他调用!$AG$5:$AG$364,0),0),1)*INDEX(其他调用!Y$5:Y$404,MATCH($K63,其他调用!$X$5:$X$404,0),0)</f>
        <v>33047.098071580098</v>
      </c>
      <c r="AJ63" s="12">
        <f>MIN(INDEX(其他调用!$AK$5:$AK$364,MATCH($K63,其他调用!$AG$5:$AG$364,0),1)/INDEX(其他调用!AI$5:AI$364,MATCH($K63,其他调用!$AG$5:$AG$364,0),0),1)*INDEX(其他调用!Z$5:Z$404,MATCH($K63,其他调用!$X$5:$X$404,0),0)</f>
        <v>34169.119070289235</v>
      </c>
      <c r="AK63" s="12">
        <f>MIN(INDEX(其他调用!$AK$5:$AK$364,MATCH($K63,其他调用!$AG$5:$AG$364,0),1)/INDEX(其他调用!AJ$5:AJ$364,MATCH($K63,其他调用!$AG$5:$AG$364,0),0),1)*INDEX(其他调用!AA$5:AA$404,MATCH($K63,其他调用!$X$5:$X$404,0),0)</f>
        <v>35660.784203800213</v>
      </c>
      <c r="AL63" s="12">
        <f>MIN(INDEX(其他调用!$AK$5:$AK$364,MATCH($K63,其他调用!$AG$5:$AG$364,0),1)/INDEX(其他调用!AK$5:AK$364,MATCH($K63,其他调用!$AG$5:$AG$364,0),0),1)*INDEX(其他调用!AB$5:AB$404,MATCH($K63,其他调用!$X$5:$X$404,0),0)</f>
        <v>37828.275573301376</v>
      </c>
      <c r="AM63" s="12">
        <f>MIN(INDEX(其他调用!$AK$5:$AK$364,MATCH($K63,其他调用!$AG$5:$AG$364,0),1)/INDEX(其他调用!AL$5:AL$364,MATCH($K63,其他调用!$AG$5:$AG$364,0),0),1)*INDEX(其他调用!AC$5:AC$404,MATCH($K63,其他调用!$X$5:$X$404,0),0)</f>
        <v>12486.530640389874</v>
      </c>
      <c r="AN63" s="12">
        <f>求节点(节奏总纲!D$4:D$163,标准城池设计!AF$4:AF$163,$K63)*求节点(节奏总纲!D$4:D$163,攻城基础信息!$AG$5:$AG$164,$K63)</f>
        <v>438889.85564286384</v>
      </c>
      <c r="AO63" s="12">
        <f>INDEX(其他调用!$AA$5:$AA$404,MATCH($K63,其他调用!$X$5:$X$404,0))*MIN(INDEX(其他调用!AL$5:AL$364,MATCH($K63,其他调用!$AG$5:$AG$364,0),1)/INDEX(其他调用!$AJ$5:$AJ$364,MATCH($K63,其他调用!$AG$5:$AG$364,0),0),5)*求节点(节奏总纲!D$4:D$163,攻城基础信息!$AG$5:$AG$164,$K63)</f>
        <v>498189.60650808754</v>
      </c>
      <c r="AP63" s="12">
        <f>MIN(INDEX(其他调用!$AL$5:$AL$364,MATCH($K63,其他调用!$AG$5:$AG$364,0),1)/INDEX(其他调用!AH$5:AH$364,MATCH($K63,其他调用!$AG$5:$AG$364,0),0),1)*INDEX(其他调用!Y$5:Y$404,MATCH($K63,其他调用!$X$5:$X$404,0),0)</f>
        <v>33047.098071580098</v>
      </c>
      <c r="AQ63" s="12">
        <f>MIN(INDEX(其他调用!$AL$5:$AL$364,MATCH($K63,其他调用!$AG$5:$AG$364,0),1)/INDEX(其他调用!AI$5:AI$364,MATCH($K63,其他调用!$AG$5:$AG$364,0),0),1)*INDEX(其他调用!Z$5:Z$404,MATCH($K63,其他调用!$X$5:$X$404,0),0)</f>
        <v>34169.119070289235</v>
      </c>
      <c r="AR63" s="12">
        <f>MIN(INDEX(其他调用!$AL$5:$AL$364,MATCH($K63,其他调用!$AG$5:$AG$364,0),1)/INDEX(其他调用!AJ$5:AJ$364,MATCH($K63,其他调用!$AG$5:$AG$364,0),0),1)*INDEX(其他调用!AA$5:AA$404,MATCH($K63,其他调用!$X$5:$X$404,0),0)</f>
        <v>35660.784203800213</v>
      </c>
      <c r="AS63" s="12">
        <f>MIN(INDEX(其他调用!$AL$5:$AL$364,MATCH($K63,其他调用!$AG$5:$AG$364,0),1)/INDEX(其他调用!AK$5:AK$364,MATCH($K63,其他调用!$AG$5:$AG$364,0),0),1)*INDEX(其他调用!AB$5:AB$404,MATCH($K63,其他调用!$X$5:$X$404,0),0)</f>
        <v>37828.275573301376</v>
      </c>
      <c r="AT63" s="12">
        <f>MIN(INDEX(其他调用!$AL$5:$AL$364,MATCH($K63,其他调用!$AG$5:$AG$364,0),1)/INDEX(其他调用!AL$5:AL$364,MATCH($K63,其他调用!$AG$5:$AG$364,0),0),1)*INDEX(其他调用!AC$5:AC$404,MATCH($K63,其他调用!$X$5:$X$404,0),0)</f>
        <v>41649.940608796096</v>
      </c>
      <c r="AV63" s="14">
        <f>IF(OR(AV$5="大R",AV$5="超R"),MAX(INDEX(其他调用!$H$5:$L$404,MATCH($K63,其他调用!$B$5:$B$404,0),MATCH(AV$5,其他调用!$H$4:$L$4,0))*120*0.85,2),INDEX(其他调用!$H$5:$L$404,MATCH($K63,其他调用!$B$5:$B$404,0),MATCH(AV$5,其他调用!$H$4:$L$4,0))*120*0.85)</f>
        <v>51.713825858181835</v>
      </c>
      <c r="AW63" s="14">
        <f>IF(OR(AW$5="大R",AW$5="超R"),MAX(INDEX(其他调用!$H$5:$L$404,MATCH($K63,其他调用!$B$5:$B$404,0),MATCH(AW$5,其他调用!$H$4:$L$4,0))*120*0.85,2),INDEX(其他调用!$H$5:$L$404,MATCH($K63,其他调用!$B$5:$B$404,0),MATCH(AW$5,其他调用!$H$4:$L$4,0))*120*0.85)</f>
        <v>45.589802679674165</v>
      </c>
      <c r="AX63" s="14">
        <f>IF(OR(AX$5="大R",AX$5="超R"),MAX(INDEX(其他调用!$H$5:$L$404,MATCH($K63,其他调用!$B$5:$B$404,0),MATCH(AX$5,其他调用!$H$4:$L$4,0))*120*0.85,2),INDEX(其他调用!$H$5:$L$404,MATCH($K63,其他调用!$B$5:$B$404,0),MATCH(AX$5,其他调用!$H$4:$L$4,0))*120*0.85)</f>
        <v>3.8743657021440003</v>
      </c>
      <c r="AY63" s="14">
        <f>IF(OR(AY$5="大R",AY$5="超R"),MAX(INDEX(其他调用!$H$5:$L$404,MATCH($K63,其他调用!$B$5:$B$404,0),MATCH(AY$5,其他调用!$H$4:$L$4,0))*120*0.85,2),INDEX(其他调用!$H$5:$L$404,MATCH($K63,其他调用!$B$5:$B$404,0),MATCH(AY$5,其他调用!$H$4:$L$4,0))*120*0.85)</f>
        <v>2</v>
      </c>
      <c r="AZ63" s="14">
        <f>IF(OR(AZ$5="大R",AZ$5="超R"),MAX(INDEX(其他调用!$H$5:$L$404,MATCH($K63,其他调用!$B$5:$B$404,0),MATCH(AZ$5,其他调用!$H$4:$L$4,0))*120*0.85,2),INDEX(其他调用!$H$5:$L$404,MATCH($K63,其他调用!$B$5:$B$404,0),MATCH(AZ$5,其他调用!$H$4:$L$4,0))*120*0.85)</f>
        <v>2</v>
      </c>
      <c r="BA63" s="14">
        <f>INDEX(其他调用!$H$5:$L$404,MATCH($K63,其他调用!$B$5:$B$404,0),MATCH(BA$5,其他调用!$H$4:$L$4,0))*INDEX(其他调用!$M$5:$M$404,MATCH($K63,其他调用!$B$5:$B$404,0))*0.6</f>
        <v>28.956845347480531</v>
      </c>
      <c r="BB63" s="14">
        <f>INDEX(其他调用!$H$5:$L$404,MATCH($K63,其他调用!$B$5:$B$404,0),MATCH(BB$5,其他调用!$H$4:$L$4,0))*INDEX(其他调用!$M$5:$M$404,MATCH($K63,其他调用!$B$5:$B$404,0))*0.6</f>
        <v>25.527735450047238</v>
      </c>
      <c r="BC63" s="14">
        <f>INDEX(其他调用!$H$5:$L$404,MATCH($K63,其他调用!$B$5:$B$404,0),MATCH(BC$5,其他调用!$H$4:$L$4,0))*INDEX(其他调用!$M$5:$M$404,MATCH($K63,其他调用!$B$5:$B$404,0))*0.6</f>
        <v>2.1694277419008001</v>
      </c>
      <c r="BD63" s="14">
        <f>INDEX(其他调用!$H$5:$L$404,MATCH($K63,其他调用!$B$5:$B$404,0),MATCH(BD$5,其他调用!$H$4:$L$4,0))*INDEX(其他调用!$M$5:$M$404,MATCH($K63,其他调用!$B$5:$B$404,0))*0.6</f>
        <v>0.3626802834285715</v>
      </c>
      <c r="BE63" s="14">
        <f>INDEX(其他调用!$H$5:$L$404,MATCH($K63,其他调用!$B$5:$B$404,0),MATCH(BE$5,其他调用!$H$4:$L$4,0))*INDEX(其他调用!$M$5:$M$404,MATCH($K63,其他调用!$B$5:$B$404,0))*0.6</f>
        <v>9.7596891428571406E-2</v>
      </c>
      <c r="BF63" s="14">
        <f>IF(OR(BF$5="大R",BF$5="超R"),0,INDEX(其他调用!$H$5:$L$404,MATCH($K63,其他调用!$B$5:$B$404,0),MATCH(BF$5,其他调用!$H$4:$L$4,0))*50*0.4)</f>
        <v>10.139965854545459</v>
      </c>
      <c r="BG63" s="14">
        <f>IF(OR(BG$5="大R",BG$5="超R"),0,INDEX(其他调用!$H$5:$L$404,MATCH($K63,其他调用!$B$5:$B$404,0),MATCH(BG$5,其他调用!$H$4:$L$4,0))*50*0.4)</f>
        <v>8.9391769960145417</v>
      </c>
      <c r="BH63" s="14">
        <f>IF(OR(BH$5="大R",BH$5="超R"),0,INDEX(其他调用!$H$5:$L$404,MATCH($K63,其他调用!$B$5:$B$404,0),MATCH(BH$5,其他调用!$H$4:$L$4,0))*50*0.4)</f>
        <v>0.75967954944000016</v>
      </c>
      <c r="BI63" s="14">
        <f>IF(OR(BI$5="大R",BI$5="超R"),0,INDEX(其他调用!$H$5:$L$404,MATCH($K63,其他调用!$B$5:$B$404,0),MATCH(BI$5,其他调用!$H$4:$L$4,0))*50*0.4)</f>
        <v>0</v>
      </c>
      <c r="BJ63" s="14">
        <f>IF(OR(BJ$5="大R",BJ$5="超R"),0,INDEX(其他调用!$H$5:$L$404,MATCH($K63,其他调用!$B$5:$B$404,0),MATCH(BJ$5,其他调用!$H$4:$L$4,0))*50*0.4)</f>
        <v>0</v>
      </c>
      <c r="BL63" s="14">
        <f t="shared" si="103"/>
        <v>58</v>
      </c>
      <c r="BM63" s="14">
        <f t="shared" si="10"/>
        <v>96</v>
      </c>
      <c r="BN63" s="14">
        <f>('疲劳值&amp;地图信息'!$S$10*'疲劳值&amp;地图信息'!$R$10+'疲劳值&amp;地图信息'!$S$11*'疲劳值&amp;地图信息'!$R$11+'疲劳值&amp;地图信息'!$S$12*'疲劳值&amp;地图信息'!$R$12+(BM63-'疲劳值&amp;地图信息'!$S$12-'疲劳值&amp;地图信息'!$S$11-'疲劳值&amp;地图信息'!$S$10)*'疲劳值&amp;地图信息'!$R$13)/BM63</f>
        <v>51.371477246638619</v>
      </c>
      <c r="BO63" s="14">
        <f>INDEX(其他调用!$M$5:$M$404,MATCH(BL63,其他调用!$B$5:$B$404,0))*0.6</f>
        <v>57.114285714285714</v>
      </c>
      <c r="BP63" s="14">
        <f>IF(BO63&gt;SUM('疲劳值&amp;地图信息'!$S$10:$S$12),('疲劳值&amp;地图信息'!$S$10*'疲劳值&amp;地图信息'!$R$10+'疲劳值&amp;地图信息'!$S$11*'疲劳值&amp;地图信息'!$R$11+'疲劳值&amp;地图信息'!$S$12*'疲劳值&amp;地图信息'!$R$12+(BO63-'疲劳值&amp;地图信息'!$S$12-'疲劳值&amp;地图信息'!$S$11-'疲劳值&amp;地图信息'!$S$10)*'疲劳值&amp;地图信息'!$R$13)/BO63,('疲劳值&amp;地图信息'!$S$10*'疲劳值&amp;地图信息'!$R$10+'疲劳值&amp;地图信息'!$S$11*'疲劳值&amp;地图信息'!$R$11+'疲劳值&amp;地图信息'!$S$12*'疲劳值&amp;地图信息'!$R$12+(BO63-'疲劳值&amp;地图信息'!$S$12-'疲劳值&amp;地图信息'!$S$11-'疲劳值&amp;地图信息'!$S$10)*'疲劳值&amp;地图信息'!$R$13)/BO63)</f>
        <v>43.186253825136653</v>
      </c>
      <c r="BQ63" s="14">
        <f t="shared" si="104"/>
        <v>20</v>
      </c>
      <c r="BR63" s="14">
        <f>('疲劳值&amp;地图信息'!$S$10*'疲劳值&amp;地图信息'!$R$10+($BQ63-'疲劳值&amp;地图信息'!$S$10)*'疲劳值&amp;地图信息'!$R$11)/$BQ63</f>
        <v>32.067203015074995</v>
      </c>
      <c r="CA63" s="4"/>
      <c r="CF63" s="14">
        <v>58</v>
      </c>
      <c r="CG63" s="51">
        <f t="shared" si="11"/>
        <v>7106</v>
      </c>
      <c r="CH63" s="51">
        <f t="shared" si="12"/>
        <v>809</v>
      </c>
      <c r="CI63" s="51">
        <f>INT(SUMPRODUCT($N63:$R63,$BA63:$BE63)/SUM($BA63:$BE63)/10000*$BX$7*$BZ$34/'疲劳值&amp;地图信息'!$R$10*$BY$53)</f>
        <v>2853</v>
      </c>
      <c r="CJ63" s="50">
        <f t="shared" si="13"/>
        <v>0.65991827637444278</v>
      </c>
      <c r="CK63" s="50">
        <f t="shared" si="14"/>
        <v>7.5130014858841007E-2</v>
      </c>
      <c r="CL63" s="50">
        <f t="shared" si="15"/>
        <v>0.2649517087667162</v>
      </c>
      <c r="CM63" s="14">
        <f t="shared" si="16"/>
        <v>7391</v>
      </c>
      <c r="CN63" s="14">
        <f t="shared" si="17"/>
        <v>1144</v>
      </c>
      <c r="CO63" s="14">
        <f>INT(SUMPRODUCT($U63:$Y63,$BA63:$BE63)/SUM($BA63:$BE63)/10000*$BX$7*$BZ$34/'疲劳值&amp;地图信息'!$R$10*$BY$54)</f>
        <v>4996</v>
      </c>
      <c r="CP63" s="50">
        <f t="shared" si="18"/>
        <v>0.54622718202645781</v>
      </c>
      <c r="CQ63" s="50">
        <f t="shared" si="19"/>
        <v>8.4546596703865204E-2</v>
      </c>
      <c r="CR63" s="50">
        <f t="shared" si="20"/>
        <v>0.36922622126967702</v>
      </c>
      <c r="CS63" s="14">
        <f t="shared" si="21"/>
        <v>7822</v>
      </c>
      <c r="CT63" s="14">
        <f t="shared" si="22"/>
        <v>2076</v>
      </c>
      <c r="CU63" s="14">
        <f>INT(SUMPRODUCT($AB63:$AF63,$BA63:$BE63)/SUM($BA63:$BE63)/10000*$BX$7*$BZ$34/'疲劳值&amp;地图信息'!$R$10*$BY$55)</f>
        <v>6794</v>
      </c>
      <c r="CV63" s="50">
        <f t="shared" si="23"/>
        <v>0.46860771627126768</v>
      </c>
      <c r="CW63" s="50">
        <f t="shared" si="24"/>
        <v>0.12437095614665708</v>
      </c>
      <c r="CX63" s="50">
        <f t="shared" si="25"/>
        <v>0.40702132758207527</v>
      </c>
      <c r="CY63" s="14">
        <f t="shared" si="26"/>
        <v>8890</v>
      </c>
      <c r="CZ63" s="14">
        <f t="shared" si="27"/>
        <v>5463</v>
      </c>
      <c r="DA63" s="14">
        <f>INT(SUMPRODUCT($AI63:$AM63,$BA63:$BE63)/SUM($BA63:$BE63)/10000*$BX$7*$BZ$34/'疲劳值&amp;地图信息'!$R$10*$BY$56)</f>
        <v>10241</v>
      </c>
      <c r="DB63" s="50">
        <f t="shared" si="28"/>
        <v>0.36147027730340736</v>
      </c>
      <c r="DC63" s="50">
        <f t="shared" si="29"/>
        <v>0.22212734813369114</v>
      </c>
      <c r="DD63" s="50">
        <f t="shared" si="30"/>
        <v>0.41640237456290152</v>
      </c>
      <c r="DE63" s="14">
        <f t="shared" si="31"/>
        <v>9146</v>
      </c>
      <c r="DF63" s="14">
        <f t="shared" si="32"/>
        <v>10382</v>
      </c>
      <c r="DG63" s="14">
        <f>INT(SUMPRODUCT($AP63:$AT63,$BA63:$BE63)/SUM($BA63:$BE63)/10000*$BX$7*$BZ$34/'疲劳值&amp;地图信息'!$R$10*$BY$57)</f>
        <v>13674</v>
      </c>
      <c r="DH63" s="50">
        <f t="shared" si="33"/>
        <v>0.27546533341364976</v>
      </c>
      <c r="DI63" s="50">
        <f t="shared" si="34"/>
        <v>0.31269200650563217</v>
      </c>
      <c r="DJ63" s="50">
        <f t="shared" si="35"/>
        <v>0.41184266008071801</v>
      </c>
      <c r="DL63" s="14">
        <f t="shared" si="106"/>
        <v>10768</v>
      </c>
      <c r="DM63" s="14">
        <f t="shared" si="107"/>
        <v>13531</v>
      </c>
      <c r="DN63" s="14">
        <f t="shared" si="108"/>
        <v>16692</v>
      </c>
      <c r="DO63" s="14">
        <f t="shared" si="109"/>
        <v>24594</v>
      </c>
      <c r="DP63" s="14">
        <f t="shared" si="110"/>
        <v>33202</v>
      </c>
      <c r="DQ63" s="14">
        <f t="shared" si="111"/>
        <v>705595</v>
      </c>
      <c r="DT63" s="14">
        <f t="shared" si="105"/>
        <v>235575</v>
      </c>
      <c r="DU63" s="50">
        <f t="shared" si="7"/>
        <v>0.25030015831358843</v>
      </c>
      <c r="DW63" s="14">
        <f t="shared" si="36"/>
        <v>941170</v>
      </c>
      <c r="EB63" s="14">
        <v>58</v>
      </c>
      <c r="EC63" s="51">
        <f t="shared" si="37"/>
        <v>11844</v>
      </c>
      <c r="ED63" s="51">
        <f t="shared" si="38"/>
        <v>1349</v>
      </c>
      <c r="EE63" s="51">
        <f>INT(SUMPRODUCT($N63:$R63,$BF63:$BJ63)/SUM($BF63:$BJ63)/10000*$BX$7*$BZ$46/'疲劳值&amp;地图信息'!$R$10*$BY$53)</f>
        <v>383</v>
      </c>
      <c r="EF63" s="50">
        <f t="shared" si="39"/>
        <v>0.87242192103712435</v>
      </c>
      <c r="EG63" s="50">
        <f t="shared" si="40"/>
        <v>9.9366529169121975E-2</v>
      </c>
      <c r="EH63" s="50">
        <f t="shared" si="41"/>
        <v>2.8211549793753683E-2</v>
      </c>
      <c r="EI63" s="51">
        <f t="shared" si="42"/>
        <v>12319</v>
      </c>
      <c r="EJ63" s="51">
        <f t="shared" si="43"/>
        <v>1907</v>
      </c>
      <c r="EK63" s="14">
        <f>INT(SUMPRODUCT($U63:$Y63,$BF63:$BJ63)/SUM($BF63:$BJ63)/10000*$BX$7*$BZ$46/'疲劳值&amp;地图信息'!$R$10*$BY$54)</f>
        <v>670</v>
      </c>
      <c r="EL63" s="50">
        <f t="shared" si="44"/>
        <v>0.827000537056928</v>
      </c>
      <c r="EM63" s="50">
        <f t="shared" si="45"/>
        <v>0.12802094522019333</v>
      </c>
      <c r="EN63" s="50">
        <f t="shared" si="46"/>
        <v>4.4978517722878628E-2</v>
      </c>
      <c r="EO63" s="51">
        <f t="shared" si="47"/>
        <v>13038</v>
      </c>
      <c r="EP63" s="51">
        <f t="shared" si="48"/>
        <v>3460</v>
      </c>
      <c r="EQ63" s="14">
        <f>INT(SUMPRODUCT($AB63:$AF63,$BF63:$BJ63)/SUM($BF63:$BJ63)/10000*$BX$7*$BZ$46/'疲劳值&amp;地图信息'!$R$10*$BY$55)</f>
        <v>910</v>
      </c>
      <c r="ER63" s="50">
        <f t="shared" si="49"/>
        <v>0.74896599264705888</v>
      </c>
      <c r="ES63" s="50">
        <f t="shared" si="50"/>
        <v>0.19875919117647059</v>
      </c>
      <c r="ET63" s="50">
        <f t="shared" si="51"/>
        <v>5.227481617647059E-2</v>
      </c>
      <c r="EU63" s="51">
        <f t="shared" si="52"/>
        <v>14817</v>
      </c>
      <c r="EV63" s="51">
        <f t="shared" si="53"/>
        <v>9105</v>
      </c>
      <c r="EW63" s="14">
        <f>INT(SUMPRODUCT($AI63:$AM63,$BF63:$BJ63)/SUM($BF63:$BJ63)/10000*$BX$7*$BZ$46/'疲劳值&amp;地图信息'!$R$10*$BY$56)</f>
        <v>1365</v>
      </c>
      <c r="EX63" s="50">
        <f t="shared" si="54"/>
        <v>0.58595325661407049</v>
      </c>
      <c r="EY63" s="50">
        <f t="shared" si="55"/>
        <v>0.36006643729979831</v>
      </c>
      <c r="EZ63" s="50">
        <f t="shared" si="56"/>
        <v>5.3980306086131212E-2</v>
      </c>
      <c r="FA63" s="51">
        <f t="shared" si="57"/>
        <v>15244</v>
      </c>
      <c r="FB63" s="51">
        <f t="shared" si="58"/>
        <v>17303</v>
      </c>
      <c r="FC63" s="14">
        <f>INT(SUMPRODUCT($AP63:$AT63,$BF63:$BJ63)/SUM($BF63:$BJ63)/10000*$BX$7*$BZ$46/'疲劳值&amp;地图信息'!$R$10*$BY$57)</f>
        <v>1821</v>
      </c>
      <c r="FD63" s="50">
        <f t="shared" si="59"/>
        <v>0.44355214152700184</v>
      </c>
      <c r="FE63" s="50">
        <f t="shared" si="60"/>
        <v>0.50346252327746743</v>
      </c>
      <c r="FF63" s="50">
        <f t="shared" si="61"/>
        <v>5.2985335195530725E-2</v>
      </c>
      <c r="FH63" s="14">
        <f t="shared" si="62"/>
        <v>13576</v>
      </c>
      <c r="FI63" s="14">
        <f t="shared" si="63"/>
        <v>14896</v>
      </c>
      <c r="FJ63" s="14">
        <f t="shared" si="64"/>
        <v>17408</v>
      </c>
      <c r="FK63" s="14">
        <f t="shared" si="65"/>
        <v>25287</v>
      </c>
      <c r="FL63" s="14">
        <f t="shared" si="66"/>
        <v>34368</v>
      </c>
      <c r="FM63" s="14">
        <f t="shared" si="67"/>
        <v>1567927</v>
      </c>
      <c r="FP63" s="14">
        <f t="shared" si="68"/>
        <v>334150</v>
      </c>
      <c r="FQ63" s="50">
        <f t="shared" si="8"/>
        <v>0.175676379031974</v>
      </c>
      <c r="FS63" s="14">
        <f t="shared" si="69"/>
        <v>1902077</v>
      </c>
      <c r="FX63" s="14">
        <v>58</v>
      </c>
      <c r="FY63" s="51">
        <f t="shared" si="70"/>
        <v>16581</v>
      </c>
      <c r="FZ63" s="51">
        <f t="shared" si="71"/>
        <v>1349</v>
      </c>
      <c r="GA63" s="51">
        <f>INT(SUMPRODUCT($N63:$R63,$BF63:$BJ63)/SUM($BF63:$BJ63)/10000*$BX$7*$BZ$46/'疲劳值&amp;地图信息'!$R$10*$BY$53)</f>
        <v>383</v>
      </c>
      <c r="GB63" s="50">
        <f t="shared" si="72"/>
        <v>0.90542237754600552</v>
      </c>
      <c r="GC63" s="50">
        <f t="shared" si="73"/>
        <v>7.366351771965271E-2</v>
      </c>
      <c r="GD63" s="50">
        <f t="shared" si="74"/>
        <v>2.0914104734341726E-2</v>
      </c>
      <c r="GE63" s="51">
        <f t="shared" si="75"/>
        <v>17246</v>
      </c>
      <c r="GF63" s="51">
        <f t="shared" si="76"/>
        <v>1907</v>
      </c>
      <c r="GG63" s="14">
        <f>INT(SUMPRODUCT($U63:$Y63,$BF63:$BJ63)/SUM($BF63:$BJ63)/10000*$BX$7*$BZ$46/'疲劳值&amp;地图信息'!$R$10*$BY$54)</f>
        <v>670</v>
      </c>
      <c r="GH63" s="50">
        <f t="shared" si="77"/>
        <v>0.86999949553548905</v>
      </c>
      <c r="GI63" s="50">
        <f t="shared" si="78"/>
        <v>9.6201382232759924E-2</v>
      </c>
      <c r="GJ63" s="50">
        <f t="shared" si="79"/>
        <v>3.3799122231750994E-2</v>
      </c>
      <c r="GK63" s="51">
        <f t="shared" si="80"/>
        <v>18253</v>
      </c>
      <c r="GL63" s="51">
        <f t="shared" si="81"/>
        <v>3460</v>
      </c>
      <c r="GM63" s="14">
        <f>INT(SUMPRODUCT($AB63:$AF63,$BF63:$BJ63)/SUM($BF63:$BJ63)/10000*$BX$7*$BZ$46/'疲劳值&amp;地图信息'!$R$10*$BY$55)</f>
        <v>910</v>
      </c>
      <c r="GN63" s="50">
        <f t="shared" si="82"/>
        <v>0.80683375325995665</v>
      </c>
      <c r="GO63" s="50">
        <f t="shared" si="83"/>
        <v>0.15294169650355832</v>
      </c>
      <c r="GP63" s="50">
        <f t="shared" si="84"/>
        <v>4.0224550236484996E-2</v>
      </c>
      <c r="GQ63" s="51">
        <f t="shared" si="85"/>
        <v>20744</v>
      </c>
      <c r="GR63" s="51">
        <f t="shared" si="86"/>
        <v>9105</v>
      </c>
      <c r="GS63" s="14">
        <f>INT(SUMPRODUCT($AI63:$AM63,$BF63:$BJ63)/SUM($BF63:$BJ63)/10000*$BX$7*$BZ$46/'疲劳值&amp;地图信息'!$R$10*$BY$56)</f>
        <v>1365</v>
      </c>
      <c r="GT63" s="50">
        <f t="shared" si="87"/>
        <v>0.66457358877426798</v>
      </c>
      <c r="GU63" s="50">
        <f t="shared" si="88"/>
        <v>0.29169603383097326</v>
      </c>
      <c r="GV63" s="50">
        <f t="shared" si="89"/>
        <v>4.3730377394758761E-2</v>
      </c>
      <c r="GW63" s="51">
        <f t="shared" si="90"/>
        <v>21341</v>
      </c>
      <c r="GX63" s="51">
        <f t="shared" si="91"/>
        <v>17303</v>
      </c>
      <c r="GY63" s="14">
        <f>INT(SUMPRODUCT($AP63:$AT63,$BF63:$BJ63)/SUM($BF63:$BJ63)/10000*$BX$7*$BZ$46/'疲劳值&amp;地图信息'!$R$10*$BY$57)</f>
        <v>1821</v>
      </c>
      <c r="GZ63" s="50">
        <f t="shared" si="92"/>
        <v>0.52739404423575931</v>
      </c>
      <c r="HA63" s="50">
        <f t="shared" si="93"/>
        <v>0.42760410231063883</v>
      </c>
      <c r="HB63" s="50">
        <f t="shared" si="94"/>
        <v>4.500185345360188E-2</v>
      </c>
      <c r="HD63" s="14">
        <f t="shared" si="95"/>
        <v>18313</v>
      </c>
      <c r="HE63" s="14">
        <f t="shared" si="96"/>
        <v>19823</v>
      </c>
      <c r="HF63" s="14">
        <f t="shared" si="97"/>
        <v>22623</v>
      </c>
      <c r="HG63" s="14">
        <f t="shared" si="98"/>
        <v>31214</v>
      </c>
      <c r="HH63" s="14">
        <f t="shared" si="99"/>
        <v>40465</v>
      </c>
      <c r="HI63" s="14">
        <f t="shared" si="100"/>
        <v>2081769</v>
      </c>
      <c r="HL63" s="14">
        <f t="shared" si="101"/>
        <v>430050</v>
      </c>
      <c r="HM63" s="50">
        <f t="shared" si="9"/>
        <v>0.17121058483911461</v>
      </c>
      <c r="HO63" s="14">
        <f t="shared" si="102"/>
        <v>2511819</v>
      </c>
    </row>
    <row r="64" spans="11:223" x14ac:dyDescent="0.2">
      <c r="K64" s="14">
        <v>59</v>
      </c>
      <c r="L64" s="12">
        <f>求节点(节奏总纲!D$4:D$163,标准城池设计!AB$4:AB$163,$K64)*求节点(节奏总纲!D$4:D$163,攻城基础信息!$AC$5:$AC$164,$K64)</f>
        <v>344317.80155822495</v>
      </c>
      <c r="M64" s="12">
        <f>INDEX(其他调用!$AA$5:$AA$404,MATCH(K64,其他调用!$X$5:$X$404,0))*MIN(INDEX(其他调用!$AH$5:$AH$364,MATCH('征服点（新）'!K64,其他调用!$AG$5:$AG$364,0),1)/INDEX(其他调用!$AJ$5:$AJ$364,MATCH(K64,其他调用!$AG$5:$AG$364,0),0),5)*求节点(节奏总纲!D$4:D$163,攻城基础信息!$AC$5:$AC$164,$K64)</f>
        <v>38714.556423640053</v>
      </c>
      <c r="N64" s="12">
        <f>MIN(INDEX(其他调用!$AH$5:$AH$364,MATCH($K64,其他调用!$AG$5:$AG$364,0),1)/INDEX(其他调用!AH$5:AH$364,MATCH($K64,其他调用!$AG$5:$AG$364,0),0),1)*INDEX(其他调用!Y$5:Y$404,MATCH($K64,其他调用!$X$5:$X$404,0),0)</f>
        <v>33140.436095650679</v>
      </c>
      <c r="O64" s="12">
        <f>MIN(INDEX(其他调用!$AH$5:$AH$364,MATCH($K64,其他调用!$AG$5:$AG$364,0),1)/INDEX(其他调用!AI$5:AI$364,MATCH($K64,其他调用!$AG$5:$AG$364,0),0),1)*INDEX(其他调用!Z$5:Z$404,MATCH($K64,其他调用!$X$5:$X$404,0),0)</f>
        <v>23997.2772099293</v>
      </c>
      <c r="P64" s="12">
        <f>MIN(INDEX(其他调用!$AH$5:$AH$364,MATCH($K64,其他调用!$AG$5:$AG$364,0),1)/INDEX(其他调用!AJ$5:AJ$364,MATCH($K64,其他调用!$AG$5:$AG$364,0),0),1)*INDEX(其他调用!AA$5:AA$404,MATCH($K64,其他调用!$X$5:$X$404,0),0)</f>
        <v>13815.65624630321</v>
      </c>
      <c r="Q64" s="12">
        <f>MIN(INDEX(其他调用!$AH$5:$AH$364,MATCH($K64,其他调用!$AG$5:$AG$364,0),1)/INDEX(其他调用!AK$5:AK$364,MATCH($K64,其他调用!$AG$5:$AG$364,0),0),1)*INDEX(其他调用!AB$5:AB$404,MATCH($K64,其他调用!$X$5:$X$404,0),0)</f>
        <v>5578.7047714400769</v>
      </c>
      <c r="R64" s="12">
        <f>MIN(INDEX(其他调用!$AH$5:$AH$364,MATCH($K64,其他调用!$AG$5:$AG$364,0),1)/INDEX(其他调用!AL$5:AL$364,MATCH($K64,其他调用!$AG$5:$AG$364,0),0),1)*INDEX(其他调用!AC$5:AC$404,MATCH($K64,其他调用!$X$5:$X$404,0),0)</f>
        <v>1836.9176575330939</v>
      </c>
      <c r="S64" s="12">
        <f>求节点(节奏总纲!D$4:D$163,标准城池设计!AC$4:AC$163,$K64)*求节点(节奏总纲!D$4:D$163,攻城基础信息!$AD$5:$AD$164,$K64)</f>
        <v>358157.79845840432</v>
      </c>
      <c r="T64" s="12">
        <f>INDEX(其他调用!$AA$5:$AA$404,MATCH($K64,其他调用!$X$5:$X$404,0))*MIN(INDEX(其他调用!AI$5:AI$364,MATCH($K64,其他调用!$AG$5:$AG$364,0),1)/INDEX(其他调用!$AJ$5:$AJ$364,MATCH($K64,其他调用!$AG$5:$AG$364,0),0),5)*求节点(节奏总纲!D$4:D$163,攻城基础信息!$AD$5:$AD$164,$K64)</f>
        <v>55284.049798360378</v>
      </c>
      <c r="U64" s="12">
        <f>MIN(INDEX(其他调用!$AI$5:$AI$364,MATCH($K64,其他调用!$AG$5:$AG$364,0),1)/INDEX(其他调用!AH$5:AH$364,MATCH($K64,其他调用!$AG$5:$AG$364,0),0),1)*INDEX(其他调用!Y$5:Y$404,MATCH($K64,其他调用!$X$5:$X$404,0),0)</f>
        <v>33140.436095650679</v>
      </c>
      <c r="V64" s="12">
        <f>MIN(INDEX(其他调用!$AI$5:$AI$364,MATCH($K64,其他调用!$AG$5:$AG$364,0),1)/INDEX(其他调用!AI$5:AI$364,MATCH($K64,其他调用!$AG$5:$AG$364,0),0),1)*INDEX(其他调用!Z$5:Z$404,MATCH($K64,其他调用!$X$5:$X$404,0),0)</f>
        <v>34267.903105527897</v>
      </c>
      <c r="W64" s="12">
        <f>MIN(INDEX(其他调用!$AI$5:$AI$364,MATCH($K64,其他调用!$AG$5:$AG$364,0),1)/INDEX(其他调用!AJ$5:AJ$364,MATCH($K64,其他调用!$AG$5:$AG$364,0),0),1)*INDEX(其他调用!AA$5:AA$404,MATCH($K64,其他调用!$X$5:$X$404,0),0)</f>
        <v>19728.636938515181</v>
      </c>
      <c r="X64" s="12">
        <f>MIN(INDEX(其他调用!$AI$5:$AI$364,MATCH($K64,其他调用!$AG$5:$AG$364,0),1)/INDEX(其他调用!AK$5:AK$364,MATCH($K64,其他调用!$AG$5:$AG$364,0),0),1)*INDEX(其他调用!AB$5:AB$404,MATCH($K64,其他调用!$X$5:$X$404,0),0)</f>
        <v>7966.3418849432846</v>
      </c>
      <c r="Y64" s="12">
        <f>MIN(INDEX(其他调用!$AI$5:$AI$364,MATCH($K64,其他调用!$AG$5:$AG$364,0),1)/INDEX(其他调用!AL$5:AL$364,MATCH($K64,其他调用!$AG$5:$AG$364,0),0),1)*INDEX(其他调用!AC$5:AC$404,MATCH($K64,其他调用!$X$5:$X$404,0),0)</f>
        <v>2623.1024357684951</v>
      </c>
      <c r="Z64" s="12">
        <f>求节点(节奏总纲!D$4:D$163,标准城池设计!AD$4:AD$163,$K64)*求节点(节奏总纲!D$4:D$163,攻城基础信息!$AE$5:$AE$164,$K64)</f>
        <v>379361.67801471212</v>
      </c>
      <c r="AA64" s="12">
        <f>INDEX(其他调用!$AA$5:$AA$404,MATCH($K64,其他调用!$X$5:$X$404,0))*MIN(INDEX(其他调用!AJ$5:AJ$364,MATCH($K64,其他调用!$AG$5:$AG$364,0),1)/INDEX(其他调用!$AJ$5:$AJ$364,MATCH($K64,其他调用!$AG$5:$AG$364,0),0),5)*求节点(节奏总纲!D$4:D$163,攻城基础信息!$AE$5:$AE$164,$K64)</f>
        <v>100215.24615606201</v>
      </c>
      <c r="AB64" s="12">
        <f>MIN(INDEX(其他调用!$AJ$5:$AJ$364,MATCH($K64,其他调用!$AG$5:$AG$364,0),1)/INDEX(其他调用!AH$5:AH$364,MATCH($K64,其他调用!$AG$5:$AG$364,0),0),1)*INDEX(其他调用!Y$5:Y$404,MATCH($K64,其他调用!$X$5:$X$404,0),0)</f>
        <v>33140.436095650679</v>
      </c>
      <c r="AC64" s="12">
        <f>MIN(INDEX(其他调用!$AJ$5:$AJ$364,MATCH($K64,其他调用!$AG$5:$AG$364,0),1)/INDEX(其他调用!AI$5:AI$364,MATCH($K64,其他调用!$AG$5:$AG$364,0),0),1)*INDEX(其他调用!Z$5:Z$404,MATCH($K64,其他调用!$X$5:$X$404,0),0)</f>
        <v>34267.903105527897</v>
      </c>
      <c r="AD64" s="12">
        <f>MIN(INDEX(其他调用!$AJ$5:$AJ$364,MATCH($K64,其他调用!$AG$5:$AG$364,0),1)/INDEX(其他调用!AJ$5:AJ$364,MATCH($K64,其他调用!$AG$5:$AG$364,0),0),1)*INDEX(其他调用!AA$5:AA$404,MATCH($K64,其他调用!$X$5:$X$404,0),0)</f>
        <v>35762.760042508933</v>
      </c>
      <c r="AE64" s="12">
        <f>MIN(INDEX(其他调用!$AJ$5:$AJ$364,MATCH($K64,其他调用!$AG$5:$AG$364,0),1)/INDEX(其他调用!AK$5:AK$364,MATCH($K64,其他调用!$AG$5:$AG$364,0),0),1)*INDEX(其他调用!AB$5:AB$404,MATCH($K64,其他调用!$X$5:$X$404,0),0)</f>
        <v>14440.854385212133</v>
      </c>
      <c r="AF64" s="12">
        <f>MIN(INDEX(其他调用!$AJ$5:$AJ$364,MATCH($K64,其他调用!$AG$5:$AG$364,0),1)/INDEX(其他调用!AL$5:AL$364,MATCH($K64,其他调用!$AG$5:$AG$364,0),0),1)*INDEX(其他调用!AC$5:AC$404,MATCH($K64,其他调用!$X$5:$X$404,0),0)</f>
        <v>4754.9855202702956</v>
      </c>
      <c r="AG64" s="12">
        <f>求节点(节奏总纲!D$4:D$163,标准城池设计!AE$4:AE$163,$K64)*求节点(节奏总纲!D$4:D$163,攻城基础信息!$AF$5:$AF$164,$K64)</f>
        <v>431086.96755559911</v>
      </c>
      <c r="AH64" s="12">
        <f>INDEX(其他调用!$AA$5:$AA$404,MATCH($K64,其他调用!$X$5:$X$404,0))*MIN(INDEX(其他调用!AK$5:AK$364,MATCH($K64,其他调用!$AG$5:$AG$364,0),1)/INDEX(其他调用!$AJ$5:$AJ$364,MATCH($K64,其他调用!$AG$5:$AG$364,0),0),5)*求节点(节奏总纲!D$4:D$163,攻城基础信息!$AF$5:$AF$164,$K64)</f>
        <v>263204.30195539829</v>
      </c>
      <c r="AI64" s="12">
        <f>MIN(INDEX(其他调用!$AK$5:$AK$364,MATCH($K64,其他调用!$AG$5:$AG$364,0),1)/INDEX(其他调用!AH$5:AH$364,MATCH($K64,其他调用!$AG$5:$AG$364,0),0),1)*INDEX(其他调用!Y$5:Y$404,MATCH($K64,其他调用!$X$5:$X$404,0),0)</f>
        <v>33140.436095650679</v>
      </c>
      <c r="AJ64" s="12">
        <f>MIN(INDEX(其他调用!$AK$5:$AK$364,MATCH($K64,其他调用!$AG$5:$AG$364,0),1)/INDEX(其他调用!AI$5:AI$364,MATCH($K64,其他调用!$AG$5:$AG$364,0),0),1)*INDEX(其他调用!Z$5:Z$404,MATCH($K64,其他调用!$X$5:$X$404,0),0)</f>
        <v>34267.903105527897</v>
      </c>
      <c r="AK64" s="12">
        <f>MIN(INDEX(其他调用!$AK$5:$AK$364,MATCH($K64,其他调用!$AG$5:$AG$364,0),1)/INDEX(其他调用!AJ$5:AJ$364,MATCH($K64,其他调用!$AG$5:$AG$364,0),0),1)*INDEX(其他调用!AA$5:AA$404,MATCH($K64,其他调用!$X$5:$X$404,0),0)</f>
        <v>35762.760042508933</v>
      </c>
      <c r="AL64" s="12">
        <f>MIN(INDEX(其他调用!$AK$5:$AK$364,MATCH($K64,其他调用!$AG$5:$AG$364,0),1)/INDEX(其他调用!AK$5:AK$364,MATCH($K64,其他调用!$AG$5:$AG$364,0),0),1)*INDEX(其他调用!AB$5:AB$404,MATCH($K64,其他调用!$X$5:$X$404,0),0)</f>
        <v>37927.31289788281</v>
      </c>
      <c r="AM64" s="12">
        <f>MIN(INDEX(其他调用!$AK$5:$AK$364,MATCH($K64,其他调用!$AG$5:$AG$364,0),1)/INDEX(其他调用!AL$5:AL$364,MATCH($K64,其他调用!$AG$5:$AG$364,0),0),1)*INDEX(其他调用!AC$5:AC$404,MATCH($K64,其他调用!$X$5:$X$404,0),0)</f>
        <v>12488.445547714342</v>
      </c>
      <c r="AN64" s="12">
        <f>求节点(节奏总纲!D$4:D$163,标准城池设计!AF$4:AF$163,$K64)*求节点(节奏总纲!D$4:D$163,攻城基础信息!$AG$5:$AG$164,$K64)</f>
        <v>443110.69663609442</v>
      </c>
      <c r="AO64" s="12">
        <f>INDEX(其他调用!$AA$5:$AA$404,MATCH($K64,其他调用!$X$5:$X$404,0))*MIN(INDEX(其他调用!AL$5:AL$364,MATCH($K64,其他调用!$AG$5:$AG$364,0),1)/INDEX(其他调用!$AJ$5:$AJ$364,MATCH($K64,其他调用!$AG$5:$AG$364,0),0),5)*求节点(节奏总纲!D$4:D$163,攻城基础信息!$AG$5:$AG$164,$K64)</f>
        <v>501076.23078031017</v>
      </c>
      <c r="AP64" s="12">
        <f>MIN(INDEX(其他调用!$AL$5:$AL$364,MATCH($K64,其他调用!$AG$5:$AG$364,0),1)/INDEX(其他调用!AH$5:AH$364,MATCH($K64,其他调用!$AG$5:$AG$364,0),0),1)*INDEX(其他调用!Y$5:Y$404,MATCH($K64,其他调用!$X$5:$X$404,0),0)</f>
        <v>33140.436095650679</v>
      </c>
      <c r="AQ64" s="12">
        <f>MIN(INDEX(其他调用!$AL$5:$AL$364,MATCH($K64,其他调用!$AG$5:$AG$364,0),1)/INDEX(其他调用!AI$5:AI$364,MATCH($K64,其他调用!$AG$5:$AG$364,0),0),1)*INDEX(其他调用!Z$5:Z$404,MATCH($K64,其他调用!$X$5:$X$404,0),0)</f>
        <v>34267.903105527897</v>
      </c>
      <c r="AR64" s="12">
        <f>MIN(INDEX(其他调用!$AL$5:$AL$364,MATCH($K64,其他调用!$AG$5:$AG$364,0),1)/INDEX(其他调用!AJ$5:AJ$364,MATCH($K64,其他调用!$AG$5:$AG$364,0),0),1)*INDEX(其他调用!AA$5:AA$404,MATCH($K64,其他调用!$X$5:$X$404,0),0)</f>
        <v>35762.760042508933</v>
      </c>
      <c r="AS64" s="12">
        <f>MIN(INDEX(其他调用!$AL$5:$AL$364,MATCH($K64,其他调用!$AG$5:$AG$364,0),1)/INDEX(其他调用!AK$5:AK$364,MATCH($K64,其他调用!$AG$5:$AG$364,0),0),1)*INDEX(其他调用!AB$5:AB$404,MATCH($K64,其他调用!$X$5:$X$404,0),0)</f>
        <v>37927.31289788281</v>
      </c>
      <c r="AT64" s="12">
        <f>MIN(INDEX(其他调用!$AL$5:$AL$364,MATCH($K64,其他调用!$AG$5:$AG$364,0),1)/INDEX(其他调用!AL$5:AL$364,MATCH($K64,其他调用!$AG$5:$AG$364,0),0),1)*INDEX(其他调用!AC$5:AC$404,MATCH($K64,其他调用!$X$5:$X$404,0),0)</f>
        <v>41749.386038592274</v>
      </c>
      <c r="AV64" s="14">
        <f>IF(OR(AV$5="大R",AV$5="超R"),MAX(INDEX(其他调用!$H$5:$L$404,MATCH($K64,其他调用!$B$5:$B$404,0),MATCH(AV$5,其他调用!$H$4:$L$4,0))*120*0.85,2),INDEX(其他调用!$H$5:$L$404,MATCH($K64,其他调用!$B$5:$B$404,0),MATCH(AV$5,其他调用!$H$4:$L$4,0))*120*0.85)</f>
        <v>51.605229379090936</v>
      </c>
      <c r="AW64" s="14">
        <f>IF(OR(AW$5="大R",AW$5="超R"),MAX(INDEX(其他调用!$H$5:$L$404,MATCH($K64,其他调用!$B$5:$B$404,0),MATCH(AW$5,其他调用!$H$4:$L$4,0))*120*0.85,2),INDEX(其他调用!$H$5:$L$404,MATCH($K64,其他调用!$B$5:$B$404,0),MATCH(AW$5,其他调用!$H$4:$L$4,0))*120*0.85)</f>
        <v>45.69290965911707</v>
      </c>
      <c r="AX64" s="14">
        <f>IF(OR(AX$5="大R",AX$5="超R"),MAX(INDEX(其他调用!$H$5:$L$404,MATCH($K64,其他调用!$B$5:$B$404,0),MATCH(AX$5,其他调用!$H$4:$L$4,0))*120*0.85,2),INDEX(其他调用!$H$5:$L$404,MATCH($K64,其他调用!$B$5:$B$404,0),MATCH(AX$5,其他调用!$H$4:$L$4,0))*120*0.85)</f>
        <v>3.8769012817920001</v>
      </c>
      <c r="AY64" s="14">
        <f>IF(OR(AY$5="大R",AY$5="超R"),MAX(INDEX(其他调用!$H$5:$L$404,MATCH($K64,其他调用!$B$5:$B$404,0),MATCH(AY$5,其他调用!$H$4:$L$4,0))*120*0.85,2),INDEX(其他调用!$H$5:$L$404,MATCH($K64,其他调用!$B$5:$B$404,0),MATCH(AY$5,其他调用!$H$4:$L$4,0))*120*0.85)</f>
        <v>2</v>
      </c>
      <c r="AZ64" s="14">
        <f>IF(OR(AZ$5="大R",AZ$5="超R"),MAX(INDEX(其他调用!$H$5:$L$404,MATCH($K64,其他调用!$B$5:$B$404,0),MATCH(AZ$5,其他调用!$H$4:$L$4,0))*120*0.85,2),INDEX(其他调用!$H$5:$L$404,MATCH($K64,其他调用!$B$5:$B$404,0),MATCH(AZ$5,其他调用!$H$4:$L$4,0))*120*0.85)</f>
        <v>2</v>
      </c>
      <c r="BA64" s="14">
        <f>INDEX(其他调用!$H$5:$L$404,MATCH($K64,其他调用!$B$5:$B$404,0),MATCH(BA$5,其他调用!$H$4:$L$4,0))*INDEX(其他调用!$M$5:$M$404,MATCH($K64,其他调用!$B$5:$B$404,0))*0.6</f>
        <v>28.968313634649366</v>
      </c>
      <c r="BB64" s="14">
        <f>INDEX(其他调用!$H$5:$L$404,MATCH($K64,其他调用!$B$5:$B$404,0),MATCH(BB$5,其他调用!$H$4:$L$4,0))*INDEX(其他调用!$M$5:$M$404,MATCH($K64,其他调用!$B$5:$B$404,0))*0.6</f>
        <v>25.649465254025383</v>
      </c>
      <c r="BC64" s="14">
        <f>INDEX(其他调用!$H$5:$L$404,MATCH($K64,其他调用!$B$5:$B$404,0),MATCH(BC$5,其他调用!$H$4:$L$4,0))*INDEX(其他调用!$M$5:$M$404,MATCH($K64,其他调用!$B$5:$B$404,0))*0.6</f>
        <v>2.1762773581824</v>
      </c>
      <c r="BD64" s="14">
        <f>INDEX(其他调用!$H$5:$L$404,MATCH($K64,其他调用!$B$5:$B$404,0),MATCH(BD$5,其他调用!$H$4:$L$4,0))*INDEX(其他调用!$M$5:$M$404,MATCH($K64,其他调用!$B$5:$B$404,0))*0.6</f>
        <v>0.36469593600000005</v>
      </c>
      <c r="BE64" s="14">
        <f>INDEX(其他调用!$H$5:$L$404,MATCH($K64,其他调用!$B$5:$B$404,0),MATCH(BE$5,其他调用!$H$4:$L$4,0))*INDEX(其他调用!$M$5:$M$404,MATCH($K64,其他调用!$B$5:$B$404,0))*0.6</f>
        <v>9.8390674285714269E-2</v>
      </c>
      <c r="BF64" s="14">
        <f>IF(OR(BF$5="大R",BF$5="超R"),0,INDEX(其他调用!$H$5:$L$404,MATCH($K64,其他调用!$B$5:$B$404,0),MATCH(BF$5,其他调用!$H$4:$L$4,0))*50*0.4)</f>
        <v>10.118672427272733</v>
      </c>
      <c r="BG64" s="14">
        <f>IF(OR(BG$5="大R",BG$5="超R"),0,INDEX(其他调用!$H$5:$L$404,MATCH($K64,其他调用!$B$5:$B$404,0),MATCH(BG$5,其他调用!$H$4:$L$4,0))*50*0.4)</f>
        <v>8.9593940508072691</v>
      </c>
      <c r="BH64" s="14">
        <f>IF(OR(BH$5="大R",BH$5="超R"),0,INDEX(其他调用!$H$5:$L$404,MATCH($K64,其他调用!$B$5:$B$404,0),MATCH(BH$5,其他调用!$H$4:$L$4,0))*50*0.4)</f>
        <v>0.76017672192000019</v>
      </c>
      <c r="BI64" s="14">
        <f>IF(OR(BI$5="大R",BI$5="超R"),0,INDEX(其他调用!$H$5:$L$404,MATCH($K64,其他调用!$B$5:$B$404,0),MATCH(BI$5,其他调用!$H$4:$L$4,0))*50*0.4)</f>
        <v>0</v>
      </c>
      <c r="BJ64" s="14">
        <f>IF(OR(BJ$5="大R",BJ$5="超R"),0,INDEX(其他调用!$H$5:$L$404,MATCH($K64,其他调用!$B$5:$B$404,0),MATCH(BJ$5,其他调用!$H$4:$L$4,0))*50*0.4)</f>
        <v>0</v>
      </c>
      <c r="BL64" s="14">
        <f t="shared" si="103"/>
        <v>59</v>
      </c>
      <c r="BM64" s="14">
        <f t="shared" si="10"/>
        <v>96</v>
      </c>
      <c r="BN64" s="14">
        <f>('疲劳值&amp;地图信息'!$S$10*'疲劳值&amp;地图信息'!$R$10+'疲劳值&amp;地图信息'!$S$11*'疲劳值&amp;地图信息'!$R$11+'疲劳值&amp;地图信息'!$S$12*'疲劳值&amp;地图信息'!$R$12+(BM64-'疲劳值&amp;地图信息'!$S$12-'疲劳值&amp;地图信息'!$S$11-'疲劳值&amp;地图信息'!$S$10)*'疲劳值&amp;地图信息'!$R$13)/BM64</f>
        <v>51.371477246638619</v>
      </c>
      <c r="BO64" s="14">
        <f>INDEX(其他调用!$M$5:$M$404,MATCH(BL64,其他调用!$B$5:$B$404,0))*0.6</f>
        <v>57.25714285714286</v>
      </c>
      <c r="BP64" s="14">
        <f>IF(BO64&gt;SUM('疲劳值&amp;地图信息'!$S$10:$S$12),('疲劳值&amp;地图信息'!$S$10*'疲劳值&amp;地图信息'!$R$10+'疲劳值&amp;地图信息'!$S$11*'疲劳值&amp;地图信息'!$R$11+'疲劳值&amp;地图信息'!$S$12*'疲劳值&amp;地图信息'!$R$12+(BO64-'疲劳值&amp;地图信息'!$S$12-'疲劳值&amp;地图信息'!$S$11-'疲劳值&amp;地图信息'!$S$10)*'疲劳值&amp;地图信息'!$R$13)/BO64,('疲劳值&amp;地图信息'!$S$10*'疲劳值&amp;地图信息'!$R$10+'疲劳值&amp;地图信息'!$S$11*'疲劳值&amp;地图信息'!$R$11+'疲劳值&amp;地图信息'!$S$12*'疲劳值&amp;地图信息'!$R$12+(BO64-'疲劳值&amp;地图信息'!$S$12-'疲劳值&amp;地图信息'!$S$11-'疲劳值&amp;地图信息'!$S$10)*'疲劳值&amp;地图信息'!$R$13)/BO64)</f>
        <v>43.236671635174631</v>
      </c>
      <c r="BQ64" s="14">
        <f t="shared" si="104"/>
        <v>20</v>
      </c>
      <c r="BR64" s="14">
        <f>('疲劳值&amp;地图信息'!$S$10*'疲劳值&amp;地图信息'!$R$10+($BQ64-'疲劳值&amp;地图信息'!$S$10)*'疲劳值&amp;地图信息'!$R$11)/$BQ64</f>
        <v>32.067203015074995</v>
      </c>
      <c r="CA64" s="4"/>
      <c r="CF64" s="14">
        <v>59</v>
      </c>
      <c r="CG64" s="51">
        <f t="shared" si="11"/>
        <v>7167</v>
      </c>
      <c r="CH64" s="51">
        <f t="shared" si="12"/>
        <v>805</v>
      </c>
      <c r="CI64" s="51">
        <f>INT(SUMPRODUCT($N64:$R64,$BA64:$BE64)/SUM($BA64:$BE64)/10000*$BX$7*$BZ$34/'疲劳值&amp;地图信息'!$R$10*$BY$53)</f>
        <v>2849</v>
      </c>
      <c r="CJ64" s="50">
        <f t="shared" si="13"/>
        <v>0.66232326032714162</v>
      </c>
      <c r="CK64" s="50">
        <f t="shared" si="14"/>
        <v>7.4392385176970707E-2</v>
      </c>
      <c r="CL64" s="50">
        <f t="shared" si="15"/>
        <v>0.26328435449588761</v>
      </c>
      <c r="CM64" s="14">
        <f t="shared" si="16"/>
        <v>7455</v>
      </c>
      <c r="CN64" s="14">
        <f t="shared" si="17"/>
        <v>1150</v>
      </c>
      <c r="CO64" s="14">
        <f>INT(SUMPRODUCT($U64:$Y64,$BA64:$BE64)/SUM($BA64:$BE64)/10000*$BX$7*$BZ$34/'疲劳值&amp;地图信息'!$R$10*$BY$54)</f>
        <v>5010</v>
      </c>
      <c r="CP64" s="50">
        <f t="shared" si="18"/>
        <v>0.54755784061696655</v>
      </c>
      <c r="CQ64" s="50">
        <f t="shared" si="19"/>
        <v>8.4465662871832534E-2</v>
      </c>
      <c r="CR64" s="50">
        <f t="shared" si="20"/>
        <v>0.3679764965112009</v>
      </c>
      <c r="CS64" s="14">
        <f t="shared" si="21"/>
        <v>7896</v>
      </c>
      <c r="CT64" s="14">
        <f t="shared" si="22"/>
        <v>2086</v>
      </c>
      <c r="CU64" s="14">
        <f>INT(SUMPRODUCT($AB64:$AF64,$BA64:$BE64)/SUM($BA64:$BE64)/10000*$BX$7*$BZ$34/'疲劳值&amp;地图信息'!$R$10*$BY$55)</f>
        <v>6813</v>
      </c>
      <c r="CV64" s="50">
        <f t="shared" si="23"/>
        <v>0.47013992259601073</v>
      </c>
      <c r="CW64" s="50">
        <f t="shared" si="24"/>
        <v>0.12420363203334325</v>
      </c>
      <c r="CX64" s="50">
        <f t="shared" si="25"/>
        <v>0.40565644537064605</v>
      </c>
      <c r="CY64" s="14">
        <f t="shared" si="26"/>
        <v>8973</v>
      </c>
      <c r="CZ64" s="14">
        <f t="shared" si="27"/>
        <v>5478</v>
      </c>
      <c r="DA64" s="14">
        <f>INT(SUMPRODUCT($AI64:$AM64,$BA64:$BE64)/SUM($BA64:$BE64)/10000*$BX$7*$BZ$34/'疲劳值&amp;地图信息'!$R$10*$BY$56)</f>
        <v>10270</v>
      </c>
      <c r="DB64" s="50">
        <f t="shared" si="28"/>
        <v>0.36297075361029085</v>
      </c>
      <c r="DC64" s="50">
        <f t="shared" si="29"/>
        <v>0.22159297763035476</v>
      </c>
      <c r="DD64" s="50">
        <f t="shared" si="30"/>
        <v>0.41543626875935441</v>
      </c>
      <c r="DE64" s="14">
        <f t="shared" si="31"/>
        <v>9223</v>
      </c>
      <c r="DF64" s="14">
        <f t="shared" si="32"/>
        <v>10430</v>
      </c>
      <c r="DG64" s="14">
        <f>INT(SUMPRODUCT($AP64:$AT64,$BA64:$BE64)/SUM($BA64:$BE64)/10000*$BX$7*$BZ$34/'疲劳值&amp;地图信息'!$R$10*$BY$57)</f>
        <v>13714</v>
      </c>
      <c r="DH64" s="50">
        <f t="shared" si="33"/>
        <v>0.27641082506668263</v>
      </c>
      <c r="DI64" s="50">
        <f t="shared" si="34"/>
        <v>0.31258428986723408</v>
      </c>
      <c r="DJ64" s="50">
        <f t="shared" si="35"/>
        <v>0.41100488506608324</v>
      </c>
      <c r="DL64" s="14">
        <f t="shared" si="106"/>
        <v>10821</v>
      </c>
      <c r="DM64" s="14">
        <f t="shared" si="107"/>
        <v>13615</v>
      </c>
      <c r="DN64" s="14">
        <f t="shared" si="108"/>
        <v>16795</v>
      </c>
      <c r="DO64" s="14">
        <f t="shared" si="109"/>
        <v>24721</v>
      </c>
      <c r="DP64" s="14">
        <f t="shared" si="110"/>
        <v>33367</v>
      </c>
      <c r="DQ64" s="14">
        <f t="shared" si="111"/>
        <v>711532</v>
      </c>
      <c r="DT64" s="14">
        <f t="shared" si="105"/>
        <v>235575</v>
      </c>
      <c r="DU64" s="50">
        <f t="shared" si="7"/>
        <v>0.24873113597513269</v>
      </c>
      <c r="DW64" s="14">
        <f t="shared" si="36"/>
        <v>947107</v>
      </c>
      <c r="EB64" s="14">
        <v>59</v>
      </c>
      <c r="EC64" s="51">
        <f t="shared" si="37"/>
        <v>11945</v>
      </c>
      <c r="ED64" s="51">
        <f t="shared" si="38"/>
        <v>1343</v>
      </c>
      <c r="EE64" s="51">
        <f>INT(SUMPRODUCT($N64:$R64,$BF64:$BJ64)/SUM($BF64:$BJ64)/10000*$BX$7*$BZ$46/'疲劳值&amp;地图信息'!$R$10*$BY$53)</f>
        <v>382</v>
      </c>
      <c r="EF64" s="50">
        <f t="shared" si="39"/>
        <v>0.873811265544989</v>
      </c>
      <c r="EG64" s="50">
        <f t="shared" si="40"/>
        <v>9.824433065106071E-2</v>
      </c>
      <c r="EH64" s="50">
        <f t="shared" si="41"/>
        <v>2.7944403803950257E-2</v>
      </c>
      <c r="EI64" s="51">
        <f t="shared" si="42"/>
        <v>12425</v>
      </c>
      <c r="EJ64" s="51">
        <f t="shared" si="43"/>
        <v>1917</v>
      </c>
      <c r="EK64" s="14">
        <f>INT(SUMPRODUCT($U64:$Y64,$BF64:$BJ64)/SUM($BF64:$BJ64)/10000*$BX$7*$BZ$46/'疲劳值&amp;地图信息'!$R$10*$BY$54)</f>
        <v>672</v>
      </c>
      <c r="EL64" s="50">
        <f t="shared" si="44"/>
        <v>0.82756094311975492</v>
      </c>
      <c r="EM64" s="50">
        <f t="shared" si="45"/>
        <v>0.12768083122419074</v>
      </c>
      <c r="EN64" s="50">
        <f t="shared" si="46"/>
        <v>4.4758225656054348E-2</v>
      </c>
      <c r="EO64" s="51">
        <f t="shared" si="47"/>
        <v>13161</v>
      </c>
      <c r="EP64" s="51">
        <f t="shared" si="48"/>
        <v>3476</v>
      </c>
      <c r="EQ64" s="14">
        <f>INT(SUMPRODUCT($AB64:$AF64,$BF64:$BJ64)/SUM($BF64:$BJ64)/10000*$BX$7*$BZ$46/'疲劳值&amp;地图信息'!$R$10*$BY$55)</f>
        <v>913</v>
      </c>
      <c r="ER64" s="50">
        <f t="shared" si="49"/>
        <v>0.74991452991452989</v>
      </c>
      <c r="ES64" s="50">
        <f t="shared" si="50"/>
        <v>0.19806267806267805</v>
      </c>
      <c r="ET64" s="50">
        <f t="shared" si="51"/>
        <v>5.2022792022792023E-2</v>
      </c>
      <c r="EU64" s="51">
        <f t="shared" si="52"/>
        <v>14955</v>
      </c>
      <c r="EV64" s="51">
        <f t="shared" si="53"/>
        <v>9131</v>
      </c>
      <c r="EW64" s="14">
        <f>INT(SUMPRODUCT($AI64:$AM64,$BF64:$BJ64)/SUM($BF64:$BJ64)/10000*$BX$7*$BZ$46/'疲劳值&amp;地图信息'!$R$10*$BY$56)</f>
        <v>1369</v>
      </c>
      <c r="EX64" s="50">
        <f t="shared" si="54"/>
        <v>0.58750736593989394</v>
      </c>
      <c r="EY64" s="50">
        <f t="shared" si="55"/>
        <v>0.35871145158122175</v>
      </c>
      <c r="EZ64" s="50">
        <f t="shared" si="56"/>
        <v>5.3781182478884304E-2</v>
      </c>
      <c r="FA64" s="51">
        <f t="shared" si="57"/>
        <v>15372</v>
      </c>
      <c r="FB64" s="51">
        <f t="shared" si="58"/>
        <v>17383</v>
      </c>
      <c r="FC64" s="14">
        <f>INT(SUMPRODUCT($AP64:$AT64,$BF64:$BJ64)/SUM($BF64:$BJ64)/10000*$BX$7*$BZ$46/'疲劳值&amp;地图信息'!$R$10*$BY$57)</f>
        <v>1826</v>
      </c>
      <c r="FD64" s="50">
        <f t="shared" si="59"/>
        <v>0.44452155808102717</v>
      </c>
      <c r="FE64" s="50">
        <f t="shared" si="60"/>
        <v>0.5026748792689627</v>
      </c>
      <c r="FF64" s="50">
        <f t="shared" si="61"/>
        <v>5.280356265001012E-2</v>
      </c>
      <c r="FH64" s="14">
        <f t="shared" si="62"/>
        <v>13670</v>
      </c>
      <c r="FI64" s="14">
        <f t="shared" si="63"/>
        <v>15014</v>
      </c>
      <c r="FJ64" s="14">
        <f t="shared" si="64"/>
        <v>17550</v>
      </c>
      <c r="FK64" s="14">
        <f t="shared" si="65"/>
        <v>25455</v>
      </c>
      <c r="FL64" s="14">
        <f t="shared" si="66"/>
        <v>34581</v>
      </c>
      <c r="FM64" s="14">
        <f t="shared" si="67"/>
        <v>1579588</v>
      </c>
      <c r="FP64" s="14">
        <f t="shared" si="68"/>
        <v>334150</v>
      </c>
      <c r="FQ64" s="50">
        <f t="shared" si="8"/>
        <v>0.17460592829321464</v>
      </c>
      <c r="FS64" s="14">
        <f t="shared" si="69"/>
        <v>1913738</v>
      </c>
      <c r="FX64" s="14">
        <v>59</v>
      </c>
      <c r="FY64" s="51">
        <f t="shared" si="70"/>
        <v>16723</v>
      </c>
      <c r="FZ64" s="51">
        <f t="shared" si="71"/>
        <v>1343</v>
      </c>
      <c r="GA64" s="51">
        <f>INT(SUMPRODUCT($N64:$R64,$BF64:$BJ64)/SUM($BF64:$BJ64)/10000*$BX$7*$BZ$46/'疲劳值&amp;地图信息'!$R$10*$BY$53)</f>
        <v>382</v>
      </c>
      <c r="GB64" s="50">
        <f t="shared" si="72"/>
        <v>0.90649392888117952</v>
      </c>
      <c r="GC64" s="50">
        <f t="shared" si="73"/>
        <v>7.279921942758022E-2</v>
      </c>
      <c r="GD64" s="50">
        <f t="shared" si="74"/>
        <v>2.0706851691240244E-2</v>
      </c>
      <c r="GE64" s="51">
        <f t="shared" si="75"/>
        <v>17395</v>
      </c>
      <c r="GF64" s="51">
        <f t="shared" si="76"/>
        <v>1917</v>
      </c>
      <c r="GG64" s="14">
        <f>INT(SUMPRODUCT($U64:$Y64,$BF64:$BJ64)/SUM($BF64:$BJ64)/10000*$BX$7*$BZ$46/'疲劳值&amp;地图信息'!$R$10*$BY$54)</f>
        <v>672</v>
      </c>
      <c r="GH64" s="50">
        <f t="shared" si="77"/>
        <v>0.87044635708566853</v>
      </c>
      <c r="GI64" s="50">
        <f t="shared" si="78"/>
        <v>9.5926741393114495E-2</v>
      </c>
      <c r="GJ64" s="50">
        <f t="shared" si="79"/>
        <v>3.3626901521216973E-2</v>
      </c>
      <c r="GK64" s="51">
        <f t="shared" si="80"/>
        <v>18425</v>
      </c>
      <c r="GL64" s="51">
        <f t="shared" si="81"/>
        <v>3476</v>
      </c>
      <c r="GM64" s="14">
        <f>INT(SUMPRODUCT($AB64:$AF64,$BF64:$BJ64)/SUM($BF64:$BJ64)/10000*$BX$7*$BZ$46/'疲劳值&amp;地图信息'!$R$10*$BY$55)</f>
        <v>913</v>
      </c>
      <c r="GN64" s="50">
        <f t="shared" si="82"/>
        <v>0.80761812921890064</v>
      </c>
      <c r="GO64" s="50">
        <f t="shared" si="83"/>
        <v>0.1523625843780135</v>
      </c>
      <c r="GP64" s="50">
        <f t="shared" si="84"/>
        <v>4.0019286403085823E-2</v>
      </c>
      <c r="GQ64" s="51">
        <f t="shared" si="85"/>
        <v>20937</v>
      </c>
      <c r="GR64" s="51">
        <f t="shared" si="86"/>
        <v>9131</v>
      </c>
      <c r="GS64" s="14">
        <f>INT(SUMPRODUCT($AI64:$AM64,$BF64:$BJ64)/SUM($BF64:$BJ64)/10000*$BX$7*$BZ$46/'疲劳值&amp;地图信息'!$R$10*$BY$56)</f>
        <v>1369</v>
      </c>
      <c r="GT64" s="50">
        <f t="shared" si="87"/>
        <v>0.66599866399465601</v>
      </c>
      <c r="GU64" s="50">
        <f t="shared" si="88"/>
        <v>0.29045392372045681</v>
      </c>
      <c r="GV64" s="50">
        <f t="shared" si="89"/>
        <v>4.3547412284887232E-2</v>
      </c>
      <c r="GW64" s="51">
        <f t="shared" si="90"/>
        <v>21521</v>
      </c>
      <c r="GX64" s="51">
        <f t="shared" si="91"/>
        <v>17383</v>
      </c>
      <c r="GY64" s="14">
        <f>INT(SUMPRODUCT($AP64:$AT64,$BF64:$BJ64)/SUM($BF64:$BJ64)/10000*$BX$7*$BZ$46/'疲劳值&amp;地图信息'!$R$10*$BY$57)</f>
        <v>1826</v>
      </c>
      <c r="GZ64" s="50">
        <f t="shared" si="92"/>
        <v>0.5283820279891972</v>
      </c>
      <c r="HA64" s="50">
        <f t="shared" si="93"/>
        <v>0.42678615271298798</v>
      </c>
      <c r="HB64" s="50">
        <f t="shared" si="94"/>
        <v>4.4831819297814879E-2</v>
      </c>
      <c r="HD64" s="14">
        <f t="shared" si="95"/>
        <v>18448</v>
      </c>
      <c r="HE64" s="14">
        <f t="shared" si="96"/>
        <v>19984</v>
      </c>
      <c r="HF64" s="14">
        <f t="shared" si="97"/>
        <v>22814</v>
      </c>
      <c r="HG64" s="14">
        <f t="shared" si="98"/>
        <v>31437</v>
      </c>
      <c r="HH64" s="14">
        <f t="shared" si="99"/>
        <v>40730</v>
      </c>
      <c r="HI64" s="14">
        <f t="shared" si="100"/>
        <v>2097922</v>
      </c>
      <c r="HL64" s="14">
        <f t="shared" si="101"/>
        <v>430050</v>
      </c>
      <c r="HM64" s="50">
        <f t="shared" si="9"/>
        <v>0.17011659939271478</v>
      </c>
      <c r="HO64" s="14">
        <f t="shared" si="102"/>
        <v>2527972</v>
      </c>
    </row>
    <row r="65" spans="11:223" x14ac:dyDescent="0.2">
      <c r="K65" s="14">
        <v>60</v>
      </c>
      <c r="L65" s="12">
        <f>求节点(节奏总纲!D$4:D$163,标准城池设计!AB$4:AB$163,$K65)*求节点(节奏总纲!D$4:D$163,攻城基础信息!$AC$5:$AC$164,$K65)</f>
        <v>347837.52276156546</v>
      </c>
      <c r="M65" s="12">
        <f>INDEX(其他调用!$AA$5:$AA$404,MATCH(K65,其他调用!$X$5:$X$404,0))*MIN(INDEX(其他调用!$AH$5:$AH$364,MATCH('征服点（新）'!K65,其他调用!$AG$5:$AG$364,0),1)/INDEX(其他调用!$AJ$5:$AJ$364,MATCH(K65,其他调用!$AG$5:$AG$364,0),0),5)*求节点(节奏总纲!D$4:D$163,攻城基础信息!$AC$5:$AC$164,$K65)</f>
        <v>38648.709494280432</v>
      </c>
      <c r="N65" s="12">
        <f>MIN(INDEX(其他调用!$AH$5:$AH$364,MATCH($K65,其他调用!$AG$5:$AG$364,0),1)/INDEX(其他调用!AH$5:AH$364,MATCH($K65,其他调用!$AG$5:$AG$364,0),0),1)*INDEX(其他调用!Y$5:Y$404,MATCH($K65,其他调用!$X$5:$X$404,0),0)</f>
        <v>33232.339059014324</v>
      </c>
      <c r="O65" s="12">
        <f>MIN(INDEX(其他调用!$AH$5:$AH$364,MATCH($K65,其他调用!$AG$5:$AG$364,0),1)/INDEX(其他调用!AI$5:AI$364,MATCH($K65,其他调用!$AG$5:$AG$364,0),0),1)*INDEX(其他调用!Z$5:Z$404,MATCH($K65,其他调用!$X$5:$X$404,0),0)</f>
        <v>23870.226034616117</v>
      </c>
      <c r="P65" s="12">
        <f>MIN(INDEX(其他调用!$AH$5:$AH$364,MATCH($K65,其他调用!$AG$5:$AG$364,0),1)/INDEX(其他调用!AJ$5:AJ$364,MATCH($K65,其他调用!$AG$5:$AG$364,0),0),1)*INDEX(其他调用!AA$5:AA$404,MATCH($K65,其他调用!$X$5:$X$404,0),0)</f>
        <v>13753.984500369475</v>
      </c>
      <c r="Q65" s="12">
        <f>MIN(INDEX(其他调用!$AH$5:$AH$364,MATCH($K65,其他调用!$AG$5:$AG$364,0),1)/INDEX(其他调用!AK$5:AK$364,MATCH($K65,其他调用!$AG$5:$AG$364,0),0),1)*INDEX(其他调用!AB$5:AB$404,MATCH($K65,其他调用!$X$5:$X$404,0),0)</f>
        <v>5569.8254701739443</v>
      </c>
      <c r="R65" s="12">
        <f>MIN(INDEX(其他调用!$AH$5:$AH$364,MATCH($K65,其他调用!$AG$5:$AG$364,0),1)/INDEX(其他调用!AL$5:AL$364,MATCH($K65,其他调用!$AG$5:$AG$364,0),0),1)*INDEX(其他调用!AC$5:AC$404,MATCH($K65,其他调用!$X$5:$X$404,0),0)</f>
        <v>1829.7997261319586</v>
      </c>
      <c r="S65" s="12">
        <f>求节点(节奏总纲!D$4:D$163,标准城池设计!AC$4:AC$163,$K65)*求节点(节奏总纲!D$4:D$163,攻城基础信息!$AD$5:$AD$164,$K65)</f>
        <v>362081.77923274325</v>
      </c>
      <c r="T65" s="12">
        <f>INDEX(其他调用!$AA$5:$AA$404,MATCH($K65,其他调用!$X$5:$X$404,0))*MIN(INDEX(其他调用!AI$5:AI$364,MATCH($K65,其他调用!$AG$5:$AG$364,0),1)/INDEX(其他调用!$AJ$5:$AJ$364,MATCH($K65,其他调用!$AG$5:$AG$364,0),0),5)*求节点(节奏总纲!D$4:D$163,攻城基础信息!$AD$5:$AD$164,$K65)</f>
        <v>55633.281380461405</v>
      </c>
      <c r="U65" s="12">
        <f>MIN(INDEX(其他调用!$AI$5:$AI$364,MATCH($K65,其他调用!$AG$5:$AG$364,0),1)/INDEX(其他调用!AH$5:AH$364,MATCH($K65,其他调用!$AG$5:$AG$364,0),0),1)*INDEX(其他调用!Y$5:Y$404,MATCH($K65,其他调用!$X$5:$X$404,0),0)</f>
        <v>33232.339059014324</v>
      </c>
      <c r="V65" s="12">
        <f>MIN(INDEX(其他调用!$AI$5:$AI$364,MATCH($K65,其他调用!$AG$5:$AG$364,0),1)/INDEX(其他调用!AI$5:AI$364,MATCH($K65,其他调用!$AG$5:$AG$364,0),0),1)*INDEX(其他调用!Z$5:Z$404,MATCH($K65,其他调用!$X$5:$X$404,0),0)</f>
        <v>34360.241751294176</v>
      </c>
      <c r="W65" s="12">
        <f>MIN(INDEX(其他调用!$AI$5:$AI$364,MATCH($K65,其他调用!$AG$5:$AG$364,0),1)/INDEX(其他调用!AJ$5:AJ$364,MATCH($K65,其他调用!$AG$5:$AG$364,0),0),1)*INDEX(其他调用!AA$5:AA$404,MATCH($K65,其他调用!$X$5:$X$404,0),0)</f>
        <v>19798.314091827509</v>
      </c>
      <c r="X65" s="12">
        <f>MIN(INDEX(其他调用!$AI$5:$AI$364,MATCH($K65,其他调用!$AG$5:$AG$364,0),1)/INDEX(其他调用!AK$5:AK$364,MATCH($K65,其他调用!$AG$5:$AG$364,0),0),1)*INDEX(其他调用!AB$5:AB$404,MATCH($K65,其他调用!$X$5:$X$404,0),0)</f>
        <v>8017.5424141420481</v>
      </c>
      <c r="Y65" s="12">
        <f>MIN(INDEX(其他调用!$AI$5:$AI$364,MATCH($K65,其他调用!$AG$5:$AG$364,0),1)/INDEX(其他调用!AL$5:AL$364,MATCH($K65,其他调用!$AG$5:$AG$364,0),0),1)*INDEX(其他调用!AC$5:AC$404,MATCH($K65,其他调用!$X$5:$X$404,0),0)</f>
        <v>2633.9239877816722</v>
      </c>
      <c r="Z65" s="12">
        <f>求节点(节奏总纲!D$4:D$163,标准城池设计!AD$4:AD$163,$K65)*求节点(节奏总纲!D$4:D$163,攻城基础信息!$AE$5:$AE$164,$K65)</f>
        <v>383773.91053295316</v>
      </c>
      <c r="AA65" s="12">
        <f>INDEX(其他调用!$AA$5:$AA$404,MATCH($K65,其他调用!$X$5:$X$404,0))*MIN(INDEX(其他调用!AJ$5:AJ$364,MATCH($K65,其他调用!$AG$5:$AG$364,0),1)/INDEX(其他调用!$AJ$5:$AJ$364,MATCH($K65,其他调用!$AG$5:$AG$364,0),0),5)*求节点(节奏总纲!D$4:D$163,攻城基础信息!$AE$5:$AE$164,$K65)</f>
        <v>100759.10488518723</v>
      </c>
      <c r="AB65" s="12">
        <f>MIN(INDEX(其他调用!$AJ$5:$AJ$364,MATCH($K65,其他调用!$AG$5:$AG$364,0),1)/INDEX(其他调用!AH$5:AH$364,MATCH($K65,其他调用!$AG$5:$AG$364,0),0),1)*INDEX(其他调用!Y$5:Y$404,MATCH($K65,其他调用!$X$5:$X$404,0),0)</f>
        <v>33232.339059014324</v>
      </c>
      <c r="AC65" s="12">
        <f>MIN(INDEX(其他调用!$AJ$5:$AJ$364,MATCH($K65,其他调用!$AG$5:$AG$364,0),1)/INDEX(其他调用!AI$5:AI$364,MATCH($K65,其他调用!$AG$5:$AG$364,0),0),1)*INDEX(其他调用!Z$5:Z$404,MATCH($K65,其他调用!$X$5:$X$404,0),0)</f>
        <v>34360.241751294176</v>
      </c>
      <c r="AD65" s="12">
        <f>MIN(INDEX(其他调用!$AJ$5:$AJ$364,MATCH($K65,其他调用!$AG$5:$AG$364,0),1)/INDEX(其他调用!AJ$5:AJ$364,MATCH($K65,其他调用!$AG$5:$AG$364,0),0),1)*INDEX(其他调用!AA$5:AA$404,MATCH($K65,其他调用!$X$5:$X$404,0),0)</f>
        <v>35857.320593513112</v>
      </c>
      <c r="AE65" s="12">
        <f>MIN(INDEX(其他调用!$AJ$5:$AJ$364,MATCH($K65,其他调用!$AG$5:$AG$364,0),1)/INDEX(其他调用!AK$5:AK$364,MATCH($K65,其他调用!$AG$5:$AG$364,0),0),1)*INDEX(其他调用!AB$5:AB$404,MATCH($K65,其他调用!$X$5:$X$404,0),0)</f>
        <v>14520.811589439912</v>
      </c>
      <c r="AF65" s="12">
        <f>MIN(INDEX(其他调用!$AJ$5:$AJ$364,MATCH($K65,其他调用!$AG$5:$AG$364,0),1)/INDEX(其他调用!AL$5:AL$364,MATCH($K65,其他调用!$AG$5:$AG$364,0),0),1)*INDEX(其他调用!AC$5:AC$404,MATCH($K65,其他调用!$X$5:$X$404,0),0)</f>
        <v>4770.3787509774775</v>
      </c>
      <c r="AG65" s="12">
        <f>求节点(节奏总纲!D$4:D$163,标准城池设计!AE$4:AE$163,$K65)*求节点(节奏总纲!D$4:D$163,攻城基础信息!$AF$5:$AF$164,$K65)</f>
        <v>435873.0987620682</v>
      </c>
      <c r="AH65" s="12">
        <f>INDEX(其他调用!$AA$5:$AA$404,MATCH($K65,其他调用!$X$5:$X$404,0))*MIN(INDEX(其他调用!AK$5:AK$364,MATCH($K65,其他调用!$AG$5:$AG$364,0),1)/INDEX(其他调用!$AJ$5:$AJ$364,MATCH($K65,其他调用!$AG$5:$AG$364,0),0),5)*求节点(节奏总纲!D$4:D$163,攻城基础信息!$AF$5:$AF$164,$K65)</f>
        <v>263862.73156057968</v>
      </c>
      <c r="AI65" s="12">
        <f>MIN(INDEX(其他调用!$AK$5:$AK$364,MATCH($K65,其他调用!$AG$5:$AG$364,0),1)/INDEX(其他调用!AH$5:AH$364,MATCH($K65,其他调用!$AG$5:$AG$364,0),0),1)*INDEX(其他调用!Y$5:Y$404,MATCH($K65,其他调用!$X$5:$X$404,0),0)</f>
        <v>33232.339059014324</v>
      </c>
      <c r="AJ65" s="12">
        <f>MIN(INDEX(其他调用!$AK$5:$AK$364,MATCH($K65,其他调用!$AG$5:$AG$364,0),1)/INDEX(其他调用!AI$5:AI$364,MATCH($K65,其他调用!$AG$5:$AG$364,0),0),1)*INDEX(其他调用!Z$5:Z$404,MATCH($K65,其他调用!$X$5:$X$404,0),0)</f>
        <v>34360.241751294176</v>
      </c>
      <c r="AK65" s="12">
        <f>MIN(INDEX(其他调用!$AK$5:$AK$364,MATCH($K65,其他调用!$AG$5:$AG$364,0),1)/INDEX(其他调用!AJ$5:AJ$364,MATCH($K65,其他调用!$AG$5:$AG$364,0),0),1)*INDEX(其他调用!AA$5:AA$404,MATCH($K65,其他调用!$X$5:$X$404,0),0)</f>
        <v>35857.320593513112</v>
      </c>
      <c r="AL65" s="12">
        <f>MIN(INDEX(其他调用!$AK$5:$AK$364,MATCH($K65,其他调用!$AG$5:$AG$364,0),1)/INDEX(其他调用!AK$5:AK$364,MATCH($K65,其他调用!$AG$5:$AG$364,0),0),1)*INDEX(其他调用!AB$5:AB$404,MATCH($K65,其他调用!$X$5:$X$404,0),0)</f>
        <v>38026.350222464251</v>
      </c>
      <c r="AM65" s="12">
        <f>MIN(INDEX(其他调用!$AK$5:$AK$364,MATCH($K65,其他调用!$AG$5:$AG$364,0),1)/INDEX(其他调用!AL$5:AL$364,MATCH($K65,其他调用!$AG$5:$AG$364,0),0),1)*INDEX(其他调用!AC$5:AC$404,MATCH($K65,其他调用!$X$5:$X$404,0),0)</f>
        <v>12492.421099271904</v>
      </c>
      <c r="AN65" s="12">
        <f>求节点(节奏总纲!D$4:D$163,标准城池设计!AF$4:AF$163,$K65)*求节点(节奏总纲!D$4:D$163,攻城基础信息!$AG$5:$AG$164,$K65)</f>
        <v>447467.54693818424</v>
      </c>
      <c r="AO65" s="12">
        <f>INDEX(其他调用!$AA$5:$AA$404,MATCH($K65,其他调用!$X$5:$X$404,0))*MIN(INDEX(其他调用!AL$5:AL$364,MATCH($K65,其他调用!$AG$5:$AG$364,0),1)/INDEX(其他调用!$AJ$5:$AJ$364,MATCH($K65,其他调用!$AG$5:$AG$364,0),0),5)*求节点(节奏总纲!D$4:D$163,攻城基础信息!$AG$5:$AG$164,$K65)</f>
        <v>503795.52442593616</v>
      </c>
      <c r="AP65" s="12">
        <f>MIN(INDEX(其他调用!$AL$5:$AL$364,MATCH($K65,其他调用!$AG$5:$AG$364,0),1)/INDEX(其他调用!AH$5:AH$364,MATCH($K65,其他调用!$AG$5:$AG$364,0),0),1)*INDEX(其他调用!Y$5:Y$404,MATCH($K65,其他调用!$X$5:$X$404,0),0)</f>
        <v>33232.339059014324</v>
      </c>
      <c r="AQ65" s="12">
        <f>MIN(INDEX(其他调用!$AL$5:$AL$364,MATCH($K65,其他调用!$AG$5:$AG$364,0),1)/INDEX(其他调用!AI$5:AI$364,MATCH($K65,其他调用!$AG$5:$AG$364,0),0),1)*INDEX(其他调用!Z$5:Z$404,MATCH($K65,其他调用!$X$5:$X$404,0),0)</f>
        <v>34360.241751294176</v>
      </c>
      <c r="AR65" s="12">
        <f>MIN(INDEX(其他调用!$AL$5:$AL$364,MATCH($K65,其他调用!$AG$5:$AG$364,0),1)/INDEX(其他调用!AJ$5:AJ$364,MATCH($K65,其他调用!$AG$5:$AG$364,0),0),1)*INDEX(其他调用!AA$5:AA$404,MATCH($K65,其他调用!$X$5:$X$404,0),0)</f>
        <v>35857.320593513112</v>
      </c>
      <c r="AS65" s="12">
        <f>MIN(INDEX(其他调用!$AL$5:$AL$364,MATCH($K65,其他调用!$AG$5:$AG$364,0),1)/INDEX(其他调用!AK$5:AK$364,MATCH($K65,其他调用!$AG$5:$AG$364,0),0),1)*INDEX(其他调用!AB$5:AB$404,MATCH($K65,其他调用!$X$5:$X$404,0),0)</f>
        <v>38026.350222464251</v>
      </c>
      <c r="AT65" s="12">
        <f>MIN(INDEX(其他调用!$AL$5:$AL$364,MATCH($K65,其他调用!$AG$5:$AG$364,0),1)/INDEX(其他调用!AL$5:AL$364,MATCH($K65,其他调用!$AG$5:$AG$364,0),0),1)*INDEX(其他调用!AC$5:AC$404,MATCH($K65,其他调用!$X$5:$X$404,0),0)</f>
        <v>41847.27967060206</v>
      </c>
      <c r="AV65" s="14">
        <f>IF(OR(AV$5="大R",AV$5="超R"),MAX(INDEX(其他调用!$H$5:$L$404,MATCH($K65,其他调用!$B$5:$B$404,0),MATCH(AV$5,其他调用!$H$4:$L$4,0))*120*0.85,2),INDEX(其他调用!$H$5:$L$404,MATCH($K65,其他调用!$B$5:$B$404,0),MATCH(AV$5,其他调用!$H$4:$L$4,0))*120*0.85)</f>
        <v>51.496632900000016</v>
      </c>
      <c r="AW65" s="14">
        <f>IF(OR(AW$5="大R",AW$5="超R"),MAX(INDEX(其他调用!$H$5:$L$404,MATCH($K65,其他调用!$B$5:$B$404,0),MATCH(AW$5,其他调用!$H$4:$L$4,0))*120*0.85,2),INDEX(其他调用!$H$5:$L$404,MATCH($K65,其他调用!$B$5:$B$404,0),MATCH(AW$5,其他调用!$H$4:$L$4,0))*120*0.85)</f>
        <v>45.796016638559983</v>
      </c>
      <c r="AX65" s="14">
        <f>IF(OR(AX$5="大R",AX$5="超R"),MAX(INDEX(其他调用!$H$5:$L$404,MATCH($K65,其他调用!$B$5:$B$404,0),MATCH(AX$5,其他调用!$H$4:$L$4,0))*120*0.85,2),INDEX(其他调用!$H$5:$L$404,MATCH($K65,其他调用!$B$5:$B$404,0),MATCH(AX$5,其他调用!$H$4:$L$4,0))*120*0.85)</f>
        <v>3.8794368614400008</v>
      </c>
      <c r="AY65" s="14">
        <f>IF(OR(AY$5="大R",AY$5="超R"),MAX(INDEX(其他调用!$H$5:$L$404,MATCH($K65,其他调用!$B$5:$B$404,0),MATCH(AY$5,其他调用!$H$4:$L$4,0))*120*0.85,2),INDEX(其他调用!$H$5:$L$404,MATCH($K65,其他调用!$B$5:$B$404,0),MATCH(AY$5,其他调用!$H$4:$L$4,0))*120*0.85)</f>
        <v>2</v>
      </c>
      <c r="AZ65" s="14">
        <f>IF(OR(AZ$5="大R",AZ$5="超R"),MAX(INDEX(其他调用!$H$5:$L$404,MATCH($K65,其他调用!$B$5:$B$404,0),MATCH(AZ$5,其他调用!$H$4:$L$4,0))*120*0.85,2),INDEX(其他调用!$H$5:$L$404,MATCH($K65,其他调用!$B$5:$B$404,0),MATCH(AZ$5,其他调用!$H$4:$L$4,0))*120*0.85)</f>
        <v>2</v>
      </c>
      <c r="BA65" s="14">
        <f>INDEX(其他调用!$H$5:$L$404,MATCH($K65,其他调用!$B$5:$B$404,0),MATCH(BA$5,其他调用!$H$4:$L$4,0))*INDEX(其他调用!$M$5:$M$404,MATCH($K65,其他调用!$B$5:$B$404,0))*0.6</f>
        <v>28.979477730000013</v>
      </c>
      <c r="BB65" s="14">
        <f>INDEX(其他调用!$H$5:$L$404,MATCH($K65,其他调用!$B$5:$B$404,0),MATCH(BB$5,其他调用!$H$4:$L$4,0))*INDEX(其他调用!$M$5:$M$404,MATCH($K65,其他调用!$B$5:$B$404,0))*0.6</f>
        <v>25.77148387307199</v>
      </c>
      <c r="BC65" s="14">
        <f>INDEX(其他调用!$H$5:$L$404,MATCH($K65,其他调用!$B$5:$B$404,0),MATCH(BC$5,其他调用!$H$4:$L$4,0))*INDEX(其他调用!$M$5:$M$404,MATCH($K65,其他调用!$B$5:$B$404,0))*0.6</f>
        <v>2.1831340769280003</v>
      </c>
      <c r="BD65" s="14">
        <f>INDEX(其他调用!$H$5:$L$404,MATCH($K65,其他调用!$B$5:$B$404,0),MATCH(BD$5,其他调用!$H$4:$L$4,0))*INDEX(其他调用!$M$5:$M$404,MATCH($K65,其他调用!$B$5:$B$404,0))*0.6</f>
        <v>0.36671712000000006</v>
      </c>
      <c r="BE65" s="14">
        <f>INDEX(其他调用!$H$5:$L$404,MATCH($K65,其他调用!$B$5:$B$404,0),MATCH(BE$5,其他调用!$H$4:$L$4,0))*INDEX(其他调用!$M$5:$M$404,MATCH($K65,其他调用!$B$5:$B$404,0))*0.6</f>
        <v>9.9187199999999989E-2</v>
      </c>
      <c r="BF65" s="14">
        <f>IF(OR(BF$5="大R",BF$5="超R"),0,INDEX(其他调用!$H$5:$L$404,MATCH($K65,其他调用!$B$5:$B$404,0),MATCH(BF$5,其他调用!$H$4:$L$4,0))*50*0.4)</f>
        <v>10.097379000000004</v>
      </c>
      <c r="BG65" s="14">
        <f>IF(OR(BG$5="大R",BG$5="超R"),0,INDEX(其他调用!$H$5:$L$404,MATCH($K65,其他调用!$B$5:$B$404,0),MATCH(BG$5,其他调用!$H$4:$L$4,0))*50*0.4)</f>
        <v>8.9796111055999965</v>
      </c>
      <c r="BH65" s="14">
        <f>IF(OR(BH$5="大R",BH$5="超R"),0,INDEX(其他调用!$H$5:$L$404,MATCH($K65,其他调用!$B$5:$B$404,0),MATCH(BH$5,其他调用!$H$4:$L$4,0))*50*0.4)</f>
        <v>0.76067389440000011</v>
      </c>
      <c r="BI65" s="14">
        <f>IF(OR(BI$5="大R",BI$5="超R"),0,INDEX(其他调用!$H$5:$L$404,MATCH($K65,其他调用!$B$5:$B$404,0),MATCH(BI$5,其他调用!$H$4:$L$4,0))*50*0.4)</f>
        <v>0</v>
      </c>
      <c r="BJ65" s="14">
        <f>IF(OR(BJ$5="大R",BJ$5="超R"),0,INDEX(其他调用!$H$5:$L$404,MATCH($K65,其他调用!$B$5:$B$404,0),MATCH(BJ$5,其他调用!$H$4:$L$4,0))*50*0.4)</f>
        <v>0</v>
      </c>
      <c r="BL65" s="14">
        <f t="shared" si="103"/>
        <v>60</v>
      </c>
      <c r="BM65" s="14">
        <f t="shared" si="10"/>
        <v>96</v>
      </c>
      <c r="BN65" s="14">
        <f>('疲劳值&amp;地图信息'!$S$10*'疲劳值&amp;地图信息'!$R$10+'疲劳值&amp;地图信息'!$S$11*'疲劳值&amp;地图信息'!$R$11+'疲劳值&amp;地图信息'!$S$12*'疲劳值&amp;地图信息'!$R$12+(BM65-'疲劳值&amp;地图信息'!$S$12-'疲劳值&amp;地图信息'!$S$11-'疲劳值&amp;地图信息'!$S$10)*'疲劳值&amp;地图信息'!$R$13)/BM65</f>
        <v>51.371477246638619</v>
      </c>
      <c r="BO65" s="14">
        <f>INDEX(其他调用!$M$5:$M$404,MATCH(BL65,其他调用!$B$5:$B$404,0))*0.6</f>
        <v>57.4</v>
      </c>
      <c r="BP65" s="14">
        <f>IF(BO65&gt;SUM('疲劳值&amp;地图信息'!$S$10:$S$12),('疲劳值&amp;地图信息'!$S$10*'疲劳值&amp;地图信息'!$R$10+'疲劳值&amp;地图信息'!$S$11*'疲劳值&amp;地图信息'!$R$11+'疲劳值&amp;地图信息'!$S$12*'疲劳值&amp;地图信息'!$R$12+(BO65-'疲劳值&amp;地图信息'!$S$12-'疲劳值&amp;地图信息'!$S$11-'疲劳值&amp;地图信息'!$S$10)*'疲劳值&amp;地图信息'!$R$13)/BO65,('疲劳值&amp;地图信息'!$S$10*'疲劳值&amp;地图信息'!$R$10+'疲劳值&amp;地图信息'!$S$11*'疲劳值&amp;地图信息'!$R$11+'疲劳值&amp;地图信息'!$S$12*'疲劳值&amp;地图信息'!$R$12+(BO65-'疲劳值&amp;地图信息'!$S$12-'疲劳值&amp;地图信息'!$S$11-'疲劳值&amp;地图信息'!$S$10)*'疲劳值&amp;地图信息'!$R$13)/BO65)</f>
        <v>43.286838485481212</v>
      </c>
      <c r="BQ65" s="14">
        <f t="shared" si="104"/>
        <v>20</v>
      </c>
      <c r="BR65" s="14">
        <f>('疲劳值&amp;地图信息'!$S$10*'疲劳值&amp;地图信息'!$R$10+($BQ65-'疲劳值&amp;地图信息'!$S$10)*'疲劳值&amp;地图信息'!$R$11)/$BQ65</f>
        <v>32.067203015074995</v>
      </c>
      <c r="CF65" s="14">
        <v>60</v>
      </c>
      <c r="CG65" s="51">
        <f t="shared" si="11"/>
        <v>7232</v>
      </c>
      <c r="CH65" s="51">
        <f t="shared" si="12"/>
        <v>803</v>
      </c>
      <c r="CI65" s="51">
        <f>INT(SUMPRODUCT($N65:$R65,$BA65:$BE65)/SUM($BA65:$BE65)/10000*$BX$7*$BZ$34/'疲劳值&amp;地图信息'!$R$10*$BY$53)</f>
        <v>2846</v>
      </c>
      <c r="CJ65" s="50">
        <f t="shared" si="13"/>
        <v>0.66464479367705176</v>
      </c>
      <c r="CK65" s="50">
        <f t="shared" si="14"/>
        <v>7.3798364120944759E-2</v>
      </c>
      <c r="CL65" s="50">
        <f t="shared" si="15"/>
        <v>0.26155684220200348</v>
      </c>
      <c r="CM65" s="14">
        <f t="shared" si="16"/>
        <v>7528</v>
      </c>
      <c r="CN65" s="14">
        <f t="shared" si="17"/>
        <v>1156</v>
      </c>
      <c r="CO65" s="14">
        <f>INT(SUMPRODUCT($U65:$Y65,$BA65:$BE65)/SUM($BA65:$BE65)/10000*$BX$7*$BZ$34/'疲劳值&amp;地图信息'!$R$10*$BY$54)</f>
        <v>5024</v>
      </c>
      <c r="CP65" s="50">
        <f t="shared" si="18"/>
        <v>0.5491683688357164</v>
      </c>
      <c r="CQ65" s="50">
        <f t="shared" si="19"/>
        <v>8.4330318062445286E-2</v>
      </c>
      <c r="CR65" s="50">
        <f t="shared" si="20"/>
        <v>0.36650131310183837</v>
      </c>
      <c r="CS65" s="14">
        <f t="shared" si="21"/>
        <v>7979</v>
      </c>
      <c r="CT65" s="14">
        <f t="shared" si="22"/>
        <v>2094</v>
      </c>
      <c r="CU65" s="14">
        <f>INT(SUMPRODUCT($AB65:$AF65,$BA65:$BE65)/SUM($BA65:$BE65)/10000*$BX$7*$BZ$34/'疲劳值&amp;地图信息'!$R$10*$BY$55)</f>
        <v>6832</v>
      </c>
      <c r="CV65" s="50">
        <f t="shared" si="23"/>
        <v>0.47199053534457264</v>
      </c>
      <c r="CW65" s="50">
        <f t="shared" si="24"/>
        <v>0.12386867790594498</v>
      </c>
      <c r="CX65" s="50">
        <f t="shared" si="25"/>
        <v>0.40414078674948239</v>
      </c>
      <c r="CY65" s="14">
        <f t="shared" si="26"/>
        <v>9062</v>
      </c>
      <c r="CZ65" s="14">
        <f t="shared" si="27"/>
        <v>5486</v>
      </c>
      <c r="DA65" s="14">
        <f>INT(SUMPRODUCT($AI65:$AM65,$BA65:$BE65)/SUM($BA65:$BE65)/10000*$BX$7*$BZ$34/'疲劳值&amp;地图信息'!$R$10*$BY$56)</f>
        <v>10298</v>
      </c>
      <c r="DB65" s="50">
        <f t="shared" si="28"/>
        <v>0.36472671657409644</v>
      </c>
      <c r="DC65" s="50">
        <f t="shared" si="29"/>
        <v>0.22080012879336713</v>
      </c>
      <c r="DD65" s="50">
        <f t="shared" si="30"/>
        <v>0.41447315463253642</v>
      </c>
      <c r="DE65" s="14">
        <f t="shared" si="31"/>
        <v>9303</v>
      </c>
      <c r="DF65" s="14">
        <f t="shared" si="32"/>
        <v>10474</v>
      </c>
      <c r="DG65" s="14">
        <f>INT(SUMPRODUCT($AP65:$AT65,$BA65:$BE65)/SUM($BA65:$BE65)/10000*$BX$7*$BZ$34/'疲劳值&amp;地图信息'!$R$10*$BY$57)</f>
        <v>13752</v>
      </c>
      <c r="DH65" s="50">
        <f t="shared" si="33"/>
        <v>0.27746130215634229</v>
      </c>
      <c r="DI65" s="50">
        <f t="shared" si="34"/>
        <v>0.31238629246324079</v>
      </c>
      <c r="DJ65" s="50">
        <f t="shared" si="35"/>
        <v>0.41015240538041697</v>
      </c>
      <c r="DL65" s="14">
        <f t="shared" si="106"/>
        <v>10881</v>
      </c>
      <c r="DM65" s="14">
        <f t="shared" si="107"/>
        <v>13708</v>
      </c>
      <c r="DN65" s="14">
        <f t="shared" si="108"/>
        <v>16905</v>
      </c>
      <c r="DO65" s="14">
        <f t="shared" si="109"/>
        <v>24846</v>
      </c>
      <c r="DP65" s="14">
        <f t="shared" si="110"/>
        <v>33529</v>
      </c>
      <c r="DQ65" s="14">
        <f t="shared" si="111"/>
        <v>717944</v>
      </c>
      <c r="DT65" s="14">
        <f t="shared" si="105"/>
        <v>235575</v>
      </c>
      <c r="DU65" s="50">
        <f t="shared" si="7"/>
        <v>0.24705852741266823</v>
      </c>
      <c r="DW65" s="14">
        <f t="shared" si="36"/>
        <v>953519</v>
      </c>
      <c r="EB65" s="14">
        <v>60</v>
      </c>
      <c r="EC65" s="51">
        <f t="shared" si="37"/>
        <v>12053</v>
      </c>
      <c r="ED65" s="51">
        <f t="shared" si="38"/>
        <v>1339</v>
      </c>
      <c r="EE65" s="51">
        <f>INT(SUMPRODUCT($N65:$R65,$BF65:$BJ65)/SUM($BF65:$BJ65)/10000*$BX$7*$BZ$46/'疲劳值&amp;地图信息'!$R$10*$BY$53)</f>
        <v>382</v>
      </c>
      <c r="EF65" s="50">
        <f t="shared" si="39"/>
        <v>0.87505445041382313</v>
      </c>
      <c r="EG65" s="50">
        <f t="shared" si="40"/>
        <v>9.7212138812254975E-2</v>
      </c>
      <c r="EH65" s="50">
        <f t="shared" si="41"/>
        <v>2.7733410773921881E-2</v>
      </c>
      <c r="EI65" s="51">
        <f t="shared" si="42"/>
        <v>12547</v>
      </c>
      <c r="EJ65" s="51">
        <f t="shared" si="43"/>
        <v>1927</v>
      </c>
      <c r="EK65" s="14">
        <f>INT(SUMPRODUCT($U65:$Y65,$BF65:$BJ65)/SUM($BF65:$BJ65)/10000*$BX$7*$BZ$46/'疲劳值&amp;地图信息'!$R$10*$BY$54)</f>
        <v>674</v>
      </c>
      <c r="EL65" s="50">
        <f t="shared" si="44"/>
        <v>0.82829416424610514</v>
      </c>
      <c r="EM65" s="50">
        <f t="shared" si="45"/>
        <v>0.12721151307103248</v>
      </c>
      <c r="EN65" s="50">
        <f t="shared" si="46"/>
        <v>4.4494322682862422E-2</v>
      </c>
      <c r="EO65" s="51">
        <f t="shared" si="47"/>
        <v>13298</v>
      </c>
      <c r="EP65" s="51">
        <f t="shared" si="48"/>
        <v>3491</v>
      </c>
      <c r="EQ65" s="14">
        <f>INT(SUMPRODUCT($AB65:$AF65,$BF65:$BJ65)/SUM($BF65:$BJ65)/10000*$BX$7*$BZ$46/'疲劳值&amp;地图信息'!$R$10*$BY$55)</f>
        <v>915</v>
      </c>
      <c r="ER65" s="50">
        <f t="shared" si="49"/>
        <v>0.75112968820605508</v>
      </c>
      <c r="ES65" s="50">
        <f t="shared" si="50"/>
        <v>0.19718707636692273</v>
      </c>
      <c r="ET65" s="50">
        <f t="shared" si="51"/>
        <v>5.1683235427022141E-2</v>
      </c>
      <c r="EU65" s="51">
        <f t="shared" si="52"/>
        <v>15104</v>
      </c>
      <c r="EV65" s="51">
        <f t="shared" si="53"/>
        <v>9143</v>
      </c>
      <c r="EW65" s="14">
        <f>INT(SUMPRODUCT($AI65:$AM65,$BF65:$BJ65)/SUM($BF65:$BJ65)/10000*$BX$7*$BZ$46/'疲劳值&amp;地图信息'!$R$10*$BY$56)</f>
        <v>1373</v>
      </c>
      <c r="EX65" s="50">
        <f t="shared" si="54"/>
        <v>0.58953942232630763</v>
      </c>
      <c r="EY65" s="50">
        <f t="shared" si="55"/>
        <v>0.35686963309914127</v>
      </c>
      <c r="EZ65" s="50">
        <f t="shared" si="56"/>
        <v>5.359094457455113E-2</v>
      </c>
      <c r="FA65" s="51">
        <f t="shared" si="57"/>
        <v>15505</v>
      </c>
      <c r="FB65" s="51">
        <f t="shared" si="58"/>
        <v>17457</v>
      </c>
      <c r="FC65" s="14">
        <f>INT(SUMPRODUCT($AP65:$AT65,$BF65:$BJ65)/SUM($BF65:$BJ65)/10000*$BX$7*$BZ$46/'疲劳值&amp;地图信息'!$R$10*$BY$57)</f>
        <v>1831</v>
      </c>
      <c r="FD65" s="50">
        <f t="shared" si="59"/>
        <v>0.44563561635961257</v>
      </c>
      <c r="FE65" s="50">
        <f t="shared" si="60"/>
        <v>0.50173885551691433</v>
      </c>
      <c r="FF65" s="50">
        <f t="shared" si="61"/>
        <v>5.2625528123473111E-2</v>
      </c>
      <c r="FH65" s="14">
        <f t="shared" si="62"/>
        <v>13774</v>
      </c>
      <c r="FI65" s="14">
        <f t="shared" si="63"/>
        <v>15148</v>
      </c>
      <c r="FJ65" s="14">
        <f t="shared" si="64"/>
        <v>17704</v>
      </c>
      <c r="FK65" s="14">
        <f t="shared" si="65"/>
        <v>25620</v>
      </c>
      <c r="FL65" s="14">
        <f t="shared" si="66"/>
        <v>34793</v>
      </c>
      <c r="FM65" s="14">
        <f t="shared" si="67"/>
        <v>1592540</v>
      </c>
      <c r="FP65" s="14">
        <f t="shared" si="68"/>
        <v>334150</v>
      </c>
      <c r="FQ65" s="50">
        <f t="shared" si="8"/>
        <v>0.17343215566593484</v>
      </c>
      <c r="FS65" s="14">
        <f t="shared" si="69"/>
        <v>1926690</v>
      </c>
      <c r="FX65" s="14">
        <v>60</v>
      </c>
      <c r="FY65" s="51">
        <f t="shared" si="70"/>
        <v>16874</v>
      </c>
      <c r="FZ65" s="51">
        <f t="shared" si="71"/>
        <v>1339</v>
      </c>
      <c r="GA65" s="51">
        <f>INT(SUMPRODUCT($N65:$R65,$BF65:$BJ65)/SUM($BF65:$BJ65)/10000*$BX$7*$BZ$46/'疲劳值&amp;地图信息'!$R$10*$BY$53)</f>
        <v>382</v>
      </c>
      <c r="GB65" s="50">
        <f t="shared" si="72"/>
        <v>0.90744823877386394</v>
      </c>
      <c r="GC65" s="50">
        <f t="shared" si="73"/>
        <v>7.2008604463565482E-2</v>
      </c>
      <c r="GD65" s="50">
        <f t="shared" si="74"/>
        <v>2.0543156762570583E-2</v>
      </c>
      <c r="GE65" s="51">
        <f t="shared" si="75"/>
        <v>17565</v>
      </c>
      <c r="GF65" s="51">
        <f t="shared" si="76"/>
        <v>1927</v>
      </c>
      <c r="GG65" s="14">
        <f>INT(SUMPRODUCT($U65:$Y65,$BF65:$BJ65)/SUM($BF65:$BJ65)/10000*$BX$7*$BZ$46/'疲劳值&amp;地图信息'!$R$10*$BY$54)</f>
        <v>674</v>
      </c>
      <c r="GH65" s="50">
        <f t="shared" si="77"/>
        <v>0.87102052960428444</v>
      </c>
      <c r="GI65" s="50">
        <f t="shared" si="78"/>
        <v>9.5556877913319446E-2</v>
      </c>
      <c r="GJ65" s="50">
        <f t="shared" si="79"/>
        <v>3.342259248239611E-2</v>
      </c>
      <c r="GK65" s="51">
        <f t="shared" si="80"/>
        <v>18618</v>
      </c>
      <c r="GL65" s="51">
        <f t="shared" si="81"/>
        <v>3491</v>
      </c>
      <c r="GM65" s="14">
        <f>INT(SUMPRODUCT($AB65:$AF65,$BF65:$BJ65)/SUM($BF65:$BJ65)/10000*$BX$7*$BZ$46/'疲劳值&amp;地图信息'!$R$10*$BY$55)</f>
        <v>915</v>
      </c>
      <c r="GN65" s="50">
        <f t="shared" si="82"/>
        <v>0.80863446838081998</v>
      </c>
      <c r="GO65" s="50">
        <f t="shared" si="83"/>
        <v>0.15162439193884641</v>
      </c>
      <c r="GP65" s="50">
        <f t="shared" si="84"/>
        <v>3.9741139680333562E-2</v>
      </c>
      <c r="GQ65" s="51">
        <f t="shared" si="85"/>
        <v>21145</v>
      </c>
      <c r="GR65" s="51">
        <f t="shared" si="86"/>
        <v>9143</v>
      </c>
      <c r="GS65" s="14">
        <f>INT(SUMPRODUCT($AI65:$AM65,$BF65:$BJ65)/SUM($BF65:$BJ65)/10000*$BX$7*$BZ$46/'疲劳值&amp;地图信息'!$R$10*$BY$56)</f>
        <v>1373</v>
      </c>
      <c r="GT65" s="50">
        <f t="shared" si="87"/>
        <v>0.66785635324215908</v>
      </c>
      <c r="GU65" s="50">
        <f t="shared" si="88"/>
        <v>0.28877799185117337</v>
      </c>
      <c r="GV65" s="50">
        <f t="shared" si="89"/>
        <v>4.3365654906667508E-2</v>
      </c>
      <c r="GW65" s="51">
        <f t="shared" si="90"/>
        <v>21708</v>
      </c>
      <c r="GX65" s="51">
        <f t="shared" si="91"/>
        <v>17457</v>
      </c>
      <c r="GY65" s="14">
        <f>INT(SUMPRODUCT($AP65:$AT65,$BF65:$BJ65)/SUM($BF65:$BJ65)/10000*$BX$7*$BZ$46/'疲劳值&amp;地图信息'!$R$10*$BY$57)</f>
        <v>1831</v>
      </c>
      <c r="GZ65" s="50">
        <f t="shared" si="92"/>
        <v>0.52951507464142844</v>
      </c>
      <c r="HA65" s="50">
        <f t="shared" si="93"/>
        <v>0.42582203141769931</v>
      </c>
      <c r="HB65" s="50">
        <f t="shared" si="94"/>
        <v>4.4662893940872278E-2</v>
      </c>
      <c r="HD65" s="14">
        <f t="shared" si="95"/>
        <v>18595</v>
      </c>
      <c r="HE65" s="14">
        <f t="shared" si="96"/>
        <v>20166</v>
      </c>
      <c r="HF65" s="14">
        <f t="shared" si="97"/>
        <v>23024</v>
      </c>
      <c r="HG65" s="14">
        <f t="shared" si="98"/>
        <v>31661</v>
      </c>
      <c r="HH65" s="14">
        <f t="shared" si="99"/>
        <v>40996</v>
      </c>
      <c r="HI65" s="14">
        <f t="shared" si="100"/>
        <v>2115736</v>
      </c>
      <c r="HL65" s="14">
        <f t="shared" si="101"/>
        <v>430050</v>
      </c>
      <c r="HM65" s="50">
        <f t="shared" si="9"/>
        <v>0.16892621767894081</v>
      </c>
      <c r="HO65" s="14">
        <f t="shared" si="102"/>
        <v>2545786</v>
      </c>
    </row>
    <row r="66" spans="11:223" x14ac:dyDescent="0.2">
      <c r="K66" s="14">
        <v>61</v>
      </c>
      <c r="L66" s="12">
        <f>求节点(节奏总纲!D$4:D$163,标准城池设计!AB$4:AB$163,$K66)*求节点(节奏总纲!D$4:D$163,攻城基础信息!$AC$5:$AC$164,$K66)</f>
        <v>351371.43758182292</v>
      </c>
      <c r="M66" s="12">
        <f>INDEX(其他调用!$AA$5:$AA$404,MATCH(K66,其他调用!$X$5:$X$404,0))*MIN(INDEX(其他调用!$AH$5:$AH$364,MATCH('征服点（新）'!K66,其他调用!$AG$5:$AG$364,0),1)/INDEX(其他调用!$AJ$5:$AJ$364,MATCH(K66,其他调用!$AG$5:$AG$364,0),0),5)*求节点(节奏总纲!D$4:D$163,攻城基础信息!$AC$5:$AC$164,$K66)</f>
        <v>38567.034181929106</v>
      </c>
      <c r="N66" s="12">
        <f>MIN(INDEX(其他调用!$AH$5:$AH$364,MATCH($K66,其他调用!$AG$5:$AG$364,0),1)/INDEX(其他调用!AH$5:AH$364,MATCH($K66,其他调用!$AG$5:$AG$364,0),0),1)*INDEX(其他调用!Y$5:Y$404,MATCH($K66,其他调用!$X$5:$X$404,0),0)</f>
        <v>33324.242022377977</v>
      </c>
      <c r="O66" s="12">
        <f>MIN(INDEX(其他调用!$AH$5:$AH$364,MATCH($K66,其他调用!$AG$5:$AG$364,0),1)/INDEX(其他调用!AI$5:AI$364,MATCH($K66,其他调用!$AG$5:$AG$364,0),0),1)*INDEX(其他调用!Z$5:Z$404,MATCH($K66,其他调用!$X$5:$X$404,0),0)</f>
        <v>23754.598098813905</v>
      </c>
      <c r="P66" s="12">
        <f>MIN(INDEX(其他调用!$AH$5:$AH$364,MATCH($K66,其他调用!$AG$5:$AG$364,0),1)/INDEX(其他调用!AJ$5:AJ$364,MATCH($K66,其他调用!$AG$5:$AG$364,0),0),1)*INDEX(其他调用!AA$5:AA$404,MATCH($K66,其他调用!$X$5:$X$404,0),0)</f>
        <v>13687.035872594201</v>
      </c>
      <c r="Q66" s="12">
        <f>MIN(INDEX(其他调用!$AH$5:$AH$364,MATCH($K66,其他调用!$AG$5:$AG$364,0),1)/INDEX(其他调用!AK$5:AK$364,MATCH($K66,其他调用!$AG$5:$AG$364,0),0),1)*INDEX(其他调用!AB$5:AB$404,MATCH($K66,其他调用!$X$5:$X$404,0),0)</f>
        <v>5562.1844890122602</v>
      </c>
      <c r="R66" s="12">
        <f>MIN(INDEX(其他调用!$AH$5:$AH$364,MATCH($K66,其他调用!$AG$5:$AG$364,0),1)/INDEX(其他调用!AL$5:AL$364,MATCH($K66,其他调用!$AG$5:$AG$364,0),0),1)*INDEX(其他调用!AC$5:AC$404,MATCH($K66,其他调用!$X$5:$X$404,0),0)</f>
        <v>1823.3986276734017</v>
      </c>
      <c r="S66" s="12">
        <f>求节点(节奏总纲!D$4:D$163,标准城池设计!AC$4:AC$163,$K66)*求节点(节奏总纲!D$4:D$163,攻城基础信息!$AD$5:$AD$164,$K66)</f>
        <v>366021.97879238502</v>
      </c>
      <c r="T66" s="12">
        <f>INDEX(其他调用!$AA$5:$AA$404,MATCH($K66,其他调用!$X$5:$X$404,0))*MIN(INDEX(其他调用!AI$5:AI$364,MATCH($K66,其他调用!$AG$5:$AG$364,0),1)/INDEX(其他调用!$AJ$5:$AJ$364,MATCH($K66,其他调用!$AG$5:$AG$364,0),0),5)*求节点(节奏总纲!D$4:D$163,攻城基础信息!$AD$5:$AD$164,$K66)</f>
        <v>55935.858830439924</v>
      </c>
      <c r="U66" s="12">
        <f>MIN(INDEX(其他调用!$AI$5:$AI$364,MATCH($K66,其他调用!$AG$5:$AG$364,0),1)/INDEX(其他调用!AH$5:AH$364,MATCH($K66,其他调用!$AG$5:$AG$364,0),0),1)*INDEX(其他调用!Y$5:Y$404,MATCH($K66,其他调用!$X$5:$X$404,0),0)</f>
        <v>33324.242022377977</v>
      </c>
      <c r="V66" s="12">
        <f>MIN(INDEX(其他调用!$AI$5:$AI$364,MATCH($K66,其他调用!$AG$5:$AG$364,0),1)/INDEX(其他调用!AI$5:AI$364,MATCH($K66,其他调用!$AG$5:$AG$364,0),0),1)*INDEX(其他调用!Z$5:Z$404,MATCH($K66,其他调用!$X$5:$X$404,0),0)</f>
        <v>34452.580397060454</v>
      </c>
      <c r="W66" s="12">
        <f>MIN(INDEX(其他调用!$AI$5:$AI$364,MATCH($K66,其他调用!$AG$5:$AG$364,0),1)/INDEX(其他调用!AJ$5:AJ$364,MATCH($K66,其他调用!$AG$5:$AG$364,0),0),1)*INDEX(其他调用!AA$5:AA$404,MATCH($K66,其他调用!$X$5:$X$404,0),0)</f>
        <v>19851.04954571079</v>
      </c>
      <c r="X66" s="12">
        <f>MIN(INDEX(其他调用!$AI$5:$AI$364,MATCH($K66,其他调用!$AG$5:$AG$364,0),1)/INDEX(其他调用!AK$5:AK$364,MATCH($K66,其他调用!$AG$5:$AG$364,0),0),1)*INDEX(其他调用!AB$5:AB$404,MATCH($K66,其他调用!$X$5:$X$404,0),0)</f>
        <v>8067.1374650849557</v>
      </c>
      <c r="Y66" s="12">
        <f>MIN(INDEX(其他调用!$AI$5:$AI$364,MATCH($K66,其他调用!$AG$5:$AG$364,0),1)/INDEX(其他调用!AL$5:AL$364,MATCH($K66,其他调用!$AG$5:$AG$364,0),0),1)*INDEX(其他调用!AC$5:AC$404,MATCH($K66,其他调用!$X$5:$X$404,0),0)</f>
        <v>2644.5738022797482</v>
      </c>
      <c r="Z66" s="12">
        <f>求节点(节奏总纲!D$4:D$163,标准城池设计!AD$4:AD$163,$K66)*求节点(节奏总纲!D$4:D$163,攻城基础信息!$AE$5:$AE$164,$K66)</f>
        <v>388204.73881176073</v>
      </c>
      <c r="AA66" s="12">
        <f>INDEX(其他调用!$AA$5:$AA$404,MATCH($K66,其他调用!$X$5:$X$404,0))*MIN(INDEX(其他调用!AJ$5:AJ$364,MATCH($K66,其他调用!$AG$5:$AG$364,0),1)/INDEX(其他调用!$AJ$5:$AJ$364,MATCH($K66,其他调用!$AG$5:$AG$364,0),0),5)*求节点(节奏总纲!D$4:D$163,攻城基础信息!$AE$5:$AE$164,$K66)</f>
        <v>101292.41033205493</v>
      </c>
      <c r="AB66" s="12">
        <f>MIN(INDEX(其他调用!$AJ$5:$AJ$364,MATCH($K66,其他调用!$AG$5:$AG$364,0),1)/INDEX(其他调用!AH$5:AH$364,MATCH($K66,其他调用!$AG$5:$AG$364,0),0),1)*INDEX(其他调用!Y$5:Y$404,MATCH($K66,其他调用!$X$5:$X$404,0),0)</f>
        <v>33324.242022377977</v>
      </c>
      <c r="AC66" s="12">
        <f>MIN(INDEX(其他调用!$AJ$5:$AJ$364,MATCH($K66,其他调用!$AG$5:$AG$364,0),1)/INDEX(其他调用!AI$5:AI$364,MATCH($K66,其他调用!$AG$5:$AG$364,0),0),1)*INDEX(其他调用!Z$5:Z$404,MATCH($K66,其他调用!$X$5:$X$404,0),0)</f>
        <v>34452.580397060454</v>
      </c>
      <c r="AD66" s="12">
        <f>MIN(INDEX(其他调用!$AJ$5:$AJ$364,MATCH($K66,其他调用!$AG$5:$AG$364,0),1)/INDEX(其他调用!AJ$5:AJ$364,MATCH($K66,其他调用!$AG$5:$AG$364,0),0),1)*INDEX(其他调用!AA$5:AA$404,MATCH($K66,其他调用!$X$5:$X$404,0),0)</f>
        <v>35947.613894717702</v>
      </c>
      <c r="AE66" s="12">
        <f>MIN(INDEX(其他调用!$AJ$5:$AJ$364,MATCH($K66,其他调用!$AG$5:$AG$364,0),1)/INDEX(其他调用!AK$5:AK$364,MATCH($K66,其他调用!$AG$5:$AG$364,0),0),1)*INDEX(其他调用!AB$5:AB$404,MATCH($K66,其他调用!$X$5:$X$404,0),0)</f>
        <v>14608.514384225326</v>
      </c>
      <c r="AF66" s="12">
        <f>MIN(INDEX(其他调用!$AJ$5:$AJ$364,MATCH($K66,其他调用!$AG$5:$AG$364,0),1)/INDEX(其他调用!AL$5:AL$364,MATCH($K66,其他调用!$AG$5:$AG$364,0),0),1)*INDEX(其他调用!AC$5:AC$404,MATCH($K66,其他调用!$X$5:$X$404,0),0)</f>
        <v>4788.9718748386695</v>
      </c>
      <c r="AG66" s="12">
        <f>求节点(节奏总纲!D$4:D$163,标准城池设计!AE$4:AE$163,$K66)*求节点(节奏总纲!D$4:D$163,攻城基础信息!$AF$5:$AF$164,$K66)</f>
        <v>440679.10077387223</v>
      </c>
      <c r="AH66" s="12">
        <f>INDEX(其他调用!$AA$5:$AA$404,MATCH($K66,其他调用!$X$5:$X$404,0))*MIN(INDEX(其他调用!AK$5:AK$364,MATCH($K66,其他调用!$AG$5:$AG$364,0),1)/INDEX(其他调用!$AJ$5:$AJ$364,MATCH($K66,其他调用!$AG$5:$AG$364,0),0),5)*求节点(节奏总纲!D$4:D$163,攻城基础信息!$AF$5:$AF$164,$K66)</f>
        <v>264353.53369361506</v>
      </c>
      <c r="AI66" s="12">
        <f>MIN(INDEX(其他调用!$AK$5:$AK$364,MATCH($K66,其他调用!$AG$5:$AG$364,0),1)/INDEX(其他调用!AH$5:AH$364,MATCH($K66,其他调用!$AG$5:$AG$364,0),0),1)*INDEX(其他调用!Y$5:Y$404,MATCH($K66,其他调用!$X$5:$X$404,0),0)</f>
        <v>33324.242022377977</v>
      </c>
      <c r="AJ66" s="12">
        <f>MIN(INDEX(其他调用!$AK$5:$AK$364,MATCH($K66,其他调用!$AG$5:$AG$364,0),1)/INDEX(其他调用!AI$5:AI$364,MATCH($K66,其他调用!$AG$5:$AG$364,0),0),1)*INDEX(其他调用!Z$5:Z$404,MATCH($K66,其他调用!$X$5:$X$404,0),0)</f>
        <v>34452.580397060454</v>
      </c>
      <c r="AK66" s="12">
        <f>MIN(INDEX(其他调用!$AK$5:$AK$364,MATCH($K66,其他调用!$AG$5:$AG$364,0),1)/INDEX(其他调用!AJ$5:AJ$364,MATCH($K66,其他调用!$AG$5:$AG$364,0),0),1)*INDEX(其他调用!AA$5:AA$404,MATCH($K66,其他调用!$X$5:$X$404,0),0)</f>
        <v>35947.613894717702</v>
      </c>
      <c r="AL66" s="12">
        <f>MIN(INDEX(其他调用!$AK$5:$AK$364,MATCH($K66,其他调用!$AG$5:$AG$364,0),1)/INDEX(其他调用!AK$5:AK$364,MATCH($K66,其他调用!$AG$5:$AG$364,0),0),1)*INDEX(其他调用!AB$5:AB$404,MATCH($K66,其他调用!$X$5:$X$404,0),0)</f>
        <v>38125.387547045699</v>
      </c>
      <c r="AM66" s="12">
        <f>MIN(INDEX(其他调用!$AK$5:$AK$364,MATCH($K66,其他调用!$AG$5:$AG$364,0),1)/INDEX(其他调用!AL$5:AL$364,MATCH($K66,其他调用!$AG$5:$AG$364,0),0),1)*INDEX(其他调用!AC$5:AC$404,MATCH($K66,其他调用!$X$5:$X$404,0),0)</f>
        <v>12498.287223325233</v>
      </c>
      <c r="AN66" s="12">
        <f>求节点(节奏总纲!D$4:D$163,标准城池设计!AF$4:AF$163,$K66)*求节点(节奏总纲!D$4:D$163,攻城基础信息!$AG$5:$AG$164,$K66)</f>
        <v>451841.70700702624</v>
      </c>
      <c r="AO66" s="12">
        <f>INDEX(其他调用!$AA$5:$AA$404,MATCH($K66,其他调用!$X$5:$X$404,0))*MIN(INDEX(其他调用!AL$5:AL$364,MATCH($K66,其他调用!$AG$5:$AG$364,0),1)/INDEX(其他调用!$AJ$5:$AJ$364,MATCH($K66,其他调用!$AG$5:$AG$364,0),0),5)*求节点(节奏总纲!D$4:D$163,攻城基础信息!$AG$5:$AG$164,$K66)</f>
        <v>506462.05166027468</v>
      </c>
      <c r="AP66" s="12">
        <f>MIN(INDEX(其他调用!$AL$5:$AL$364,MATCH($K66,其他调用!$AG$5:$AG$364,0),1)/INDEX(其他调用!AH$5:AH$364,MATCH($K66,其他调用!$AG$5:$AG$364,0),0),1)*INDEX(其他调用!Y$5:Y$404,MATCH($K66,其他调用!$X$5:$X$404,0),0)</f>
        <v>33324.242022377977</v>
      </c>
      <c r="AQ66" s="12">
        <f>MIN(INDEX(其他调用!$AL$5:$AL$364,MATCH($K66,其他调用!$AG$5:$AG$364,0),1)/INDEX(其他调用!AI$5:AI$364,MATCH($K66,其他调用!$AG$5:$AG$364,0),0),1)*INDEX(其他调用!Z$5:Z$404,MATCH($K66,其他调用!$X$5:$X$404,0),0)</f>
        <v>34452.580397060454</v>
      </c>
      <c r="AR66" s="12">
        <f>MIN(INDEX(其他调用!$AL$5:$AL$364,MATCH($K66,其他调用!$AG$5:$AG$364,0),1)/INDEX(其他调用!AJ$5:AJ$364,MATCH($K66,其他调用!$AG$5:$AG$364,0),0),1)*INDEX(其他调用!AA$5:AA$404,MATCH($K66,其他调用!$X$5:$X$404,0),0)</f>
        <v>35947.613894717702</v>
      </c>
      <c r="AS66" s="12">
        <f>MIN(INDEX(其他调用!$AL$5:$AL$364,MATCH($K66,其他调用!$AG$5:$AG$364,0),1)/INDEX(其他调用!AK$5:AK$364,MATCH($K66,其他调用!$AG$5:$AG$364,0),0),1)*INDEX(其他调用!AB$5:AB$404,MATCH($K66,其他调用!$X$5:$X$404,0),0)</f>
        <v>38125.387547045699</v>
      </c>
      <c r="AT66" s="12">
        <f>MIN(INDEX(其他调用!$AL$5:$AL$364,MATCH($K66,其他调用!$AG$5:$AG$364,0),1)/INDEX(其他调用!AL$5:AL$364,MATCH($K66,其他调用!$AG$5:$AG$364,0),0),1)*INDEX(其他调用!AC$5:AC$404,MATCH($K66,其他调用!$X$5:$X$404,0),0)</f>
        <v>41943.383130864386</v>
      </c>
      <c r="AV66" s="14">
        <f>IF(OR(AV$5="大R",AV$5="超R"),MAX(INDEX(其他调用!$H$5:$L$404,MATCH($K66,其他调用!$B$5:$B$404,0),MATCH(AV$5,其他调用!$H$4:$L$4,0))*120*0.85,2),INDEX(其他调用!$H$5:$L$404,MATCH($K66,其他调用!$B$5:$B$404,0),MATCH(AV$5,其他调用!$H$4:$L$4,0))*120*0.85)</f>
        <v>51.41080517850002</v>
      </c>
      <c r="AW66" s="14">
        <f>IF(OR(AW$5="大R",AW$5="超R"),MAX(INDEX(其他调用!$H$5:$L$404,MATCH($K66,其他调用!$B$5:$B$404,0),MATCH(AW$5,其他调用!$H$4:$L$4,0))*120*0.85,2),INDEX(其他调用!$H$5:$L$404,MATCH($K66,其他调用!$B$5:$B$404,0),MATCH(AW$5,其他调用!$H$4:$L$4,0))*120*0.85)</f>
        <v>45.877394217629259</v>
      </c>
      <c r="AX66" s="14">
        <f>IF(OR(AX$5="大R",AX$5="超R"),MAX(INDEX(其他调用!$H$5:$L$404,MATCH($K66,其他调用!$B$5:$B$404,0),MATCH(AX$5,其他调用!$H$4:$L$4,0))*120*0.85,2),INDEX(其他调用!$H$5:$L$404,MATCH($K66,其他调用!$B$5:$B$404,0),MATCH(AX$5,其他调用!$H$4:$L$4,0))*120*0.85)</f>
        <v>3.8813765798707203</v>
      </c>
      <c r="AY66" s="14">
        <f>IF(OR(AY$5="大R",AY$5="超R"),MAX(INDEX(其他调用!$H$5:$L$404,MATCH($K66,其他调用!$B$5:$B$404,0),MATCH(AY$5,其他调用!$H$4:$L$4,0))*120*0.85,2),INDEX(其他调用!$H$5:$L$404,MATCH($K66,其他调用!$B$5:$B$404,0),MATCH(AY$5,其他调用!$H$4:$L$4,0))*120*0.85)</f>
        <v>2</v>
      </c>
      <c r="AZ66" s="14">
        <f>IF(OR(AZ$5="大R",AZ$5="超R"),MAX(INDEX(其他调用!$H$5:$L$404,MATCH($K66,其他调用!$B$5:$B$404,0),MATCH(AZ$5,其他调用!$H$4:$L$4,0))*120*0.85,2),INDEX(其他调用!$H$5:$L$404,MATCH($K66,其他调用!$B$5:$B$404,0),MATCH(AZ$5,其他调用!$H$4:$L$4,0))*120*0.85)</f>
        <v>2</v>
      </c>
      <c r="BA66" s="14">
        <f>INDEX(其他调用!$H$5:$L$404,MATCH($K66,其他调用!$B$5:$B$404,0),MATCH(BA$5,其他调用!$H$4:$L$4,0))*INDEX(其他调用!$M$5:$M$404,MATCH($K66,其他调用!$B$5:$B$404,0))*0.6</f>
        <v>29.003182529271438</v>
      </c>
      <c r="BB66" s="14">
        <f>INDEX(其他调用!$H$5:$L$404,MATCH($K66,其他调用!$B$5:$B$404,0),MATCH(BB$5,其他调用!$H$4:$L$4,0))*INDEX(其他调用!$M$5:$M$404,MATCH($K66,其他调用!$B$5:$B$404,0))*0.6</f>
        <v>25.881532760309614</v>
      </c>
      <c r="BC66" s="14">
        <f>INDEX(其他调用!$H$5:$L$404,MATCH($K66,其他调用!$B$5:$B$404,0),MATCH(BC$5,其他调用!$H$4:$L$4,0))*INDEX(其他调用!$M$5:$M$404,MATCH($K66,其他调用!$B$5:$B$404,0))*0.6</f>
        <v>2.189661745618944</v>
      </c>
      <c r="BD66" s="14">
        <f>INDEX(其他调用!$H$5:$L$404,MATCH($K66,其他调用!$B$5:$B$404,0),MATCH(BD$5,其他调用!$H$4:$L$4,0))*INDEX(其他调用!$M$5:$M$404,MATCH($K66,其他调用!$B$5:$B$404,0))*0.6</f>
        <v>0.36854888022857152</v>
      </c>
      <c r="BE66" s="14">
        <f>INDEX(其他调用!$H$5:$L$404,MATCH($K66,其他调用!$B$5:$B$404,0),MATCH(BE$5,其他调用!$H$4:$L$4,0))*INDEX(其他调用!$M$5:$M$404,MATCH($K66,其他调用!$B$5:$B$404,0))*0.6</f>
        <v>9.9931227428571412E-2</v>
      </c>
      <c r="BF66" s="14">
        <f>IF(OR(BF$5="大R",BF$5="超R"),0,INDEX(其他调用!$H$5:$L$404,MATCH($K66,其他调用!$B$5:$B$404,0),MATCH(BF$5,其他调用!$H$4:$L$4,0))*50*0.4)</f>
        <v>10.080550035000005</v>
      </c>
      <c r="BG66" s="14">
        <f>IF(OR(BG$5="大R",BG$5="超R"),0,INDEX(其他调用!$H$5:$L$404,MATCH($K66,其他调用!$B$5:$B$404,0),MATCH(BG$5,其他调用!$H$4:$L$4,0))*50*0.4)</f>
        <v>8.9955674936527981</v>
      </c>
      <c r="BH66" s="14">
        <f>IF(OR(BH$5="大R",BH$5="超R"),0,INDEX(其他调用!$H$5:$L$404,MATCH($K66,其他调用!$B$5:$B$404,0),MATCH(BH$5,其他调用!$H$4:$L$4,0))*50*0.4)</f>
        <v>0.76105423134720007</v>
      </c>
      <c r="BI66" s="14">
        <f>IF(OR(BI$5="大R",BI$5="超R"),0,INDEX(其他调用!$H$5:$L$404,MATCH($K66,其他调用!$B$5:$B$404,0),MATCH(BI$5,其他调用!$H$4:$L$4,0))*50*0.4)</f>
        <v>0</v>
      </c>
      <c r="BJ66" s="14">
        <f>IF(OR(BJ$5="大R",BJ$5="超R"),0,INDEX(其他调用!$H$5:$L$404,MATCH($K66,其他调用!$B$5:$B$404,0),MATCH(BJ$5,其他调用!$H$4:$L$4,0))*50*0.4)</f>
        <v>0</v>
      </c>
      <c r="BL66" s="14">
        <f t="shared" si="103"/>
        <v>61</v>
      </c>
      <c r="BM66" s="14">
        <f t="shared" si="10"/>
        <v>96</v>
      </c>
      <c r="BN66" s="14">
        <f>('疲劳值&amp;地图信息'!$S$10*'疲劳值&amp;地图信息'!$R$10+'疲劳值&amp;地图信息'!$S$11*'疲劳值&amp;地图信息'!$R$11+'疲劳值&amp;地图信息'!$S$12*'疲劳值&amp;地图信息'!$R$12+(BM66-'疲劳值&amp;地图信息'!$S$12-'疲劳值&amp;地图信息'!$S$11-'疲劳值&amp;地图信息'!$S$10)*'疲劳值&amp;地图信息'!$R$13)/BM66</f>
        <v>51.371477246638619</v>
      </c>
      <c r="BO66" s="14">
        <f>INDEX(其他调用!$M$5:$M$404,MATCH(BL66,其他调用!$B$5:$B$404,0))*0.6</f>
        <v>57.542857142857137</v>
      </c>
      <c r="BP66" s="14">
        <f>IF(BO66&gt;SUM('疲劳值&amp;地图信息'!$S$10:$S$12),('疲劳值&amp;地图信息'!$S$10*'疲劳值&amp;地图信息'!$R$10+'疲劳值&amp;地图信息'!$S$11*'疲劳值&amp;地图信息'!$R$11+'疲劳值&amp;地图信息'!$S$12*'疲劳值&amp;地图信息'!$R$12+(BO66-'疲劳值&amp;地图信息'!$S$12-'疲劳值&amp;地图信息'!$S$11-'疲劳值&amp;地图信息'!$S$10)*'疲劳值&amp;地图信息'!$R$13)/BO66,('疲劳值&amp;地图信息'!$S$10*'疲劳值&amp;地图信息'!$R$10+'疲劳值&amp;地图信息'!$S$11*'疲劳值&amp;地图信息'!$R$11+'疲劳值&amp;地图信息'!$S$12*'疲劳值&amp;地图信息'!$R$12+(BO66-'疲劳值&amp;地图信息'!$S$12-'疲劳值&amp;地图信息'!$S$11-'疲劳值&amp;地图信息'!$S$10)*'疲劳值&amp;地图信息'!$R$13)/BO66)</f>
        <v>43.336756245170591</v>
      </c>
      <c r="BQ66" s="14">
        <f t="shared" si="104"/>
        <v>20</v>
      </c>
      <c r="BR66" s="14">
        <f>('疲劳值&amp;地图信息'!$S$10*'疲劳值&amp;地图信息'!$R$10+($BQ66-'疲劳值&amp;地图信息'!$S$10)*'疲劳值&amp;地图信息'!$R$11)/$BQ66</f>
        <v>32.067203015074995</v>
      </c>
      <c r="CF66" s="14">
        <v>61</v>
      </c>
      <c r="CG66" s="51">
        <f t="shared" si="11"/>
        <v>7297</v>
      </c>
      <c r="CH66" s="51">
        <f t="shared" si="12"/>
        <v>800</v>
      </c>
      <c r="CI66" s="51">
        <f>INT(SUMPRODUCT($N66:$R66,$BA66:$BE66)/SUM($BA66:$BE66)/10000*$BX$7*$BZ$34/'疲劳值&amp;地图信息'!$R$10*$BY$53)</f>
        <v>2845</v>
      </c>
      <c r="CJ66" s="50">
        <f t="shared" si="13"/>
        <v>0.66687991226466825</v>
      </c>
      <c r="CK66" s="50">
        <f t="shared" si="14"/>
        <v>7.3112776457685977E-2</v>
      </c>
      <c r="CL66" s="50">
        <f t="shared" si="15"/>
        <v>0.26000731127764576</v>
      </c>
      <c r="CM66" s="14">
        <f t="shared" si="16"/>
        <v>7601</v>
      </c>
      <c r="CN66" s="14">
        <f t="shared" si="17"/>
        <v>1161</v>
      </c>
      <c r="CO66" s="14">
        <f>INT(SUMPRODUCT($U66:$Y66,$BA66:$BE66)/SUM($BA66:$BE66)/10000*$BX$7*$BZ$34/'疲劳值&amp;地图信息'!$R$10*$BY$54)</f>
        <v>5038</v>
      </c>
      <c r="CP66" s="50">
        <f t="shared" si="18"/>
        <v>0.55079710144927541</v>
      </c>
      <c r="CQ66" s="50">
        <f t="shared" si="19"/>
        <v>8.413043478260869E-2</v>
      </c>
      <c r="CR66" s="50">
        <f t="shared" si="20"/>
        <v>0.36507246376811592</v>
      </c>
      <c r="CS66" s="14">
        <f t="shared" si="21"/>
        <v>8062</v>
      </c>
      <c r="CT66" s="14">
        <f t="shared" si="22"/>
        <v>2103</v>
      </c>
      <c r="CU66" s="14">
        <f>INT(SUMPRODUCT($AB66:$AF66,$BA66:$BE66)/SUM($BA66:$BE66)/10000*$BX$7*$BZ$34/'疲劳值&amp;地图信息'!$R$10*$BY$55)</f>
        <v>6851</v>
      </c>
      <c r="CV66" s="50">
        <f t="shared" si="23"/>
        <v>0.47378937470615889</v>
      </c>
      <c r="CW66" s="50">
        <f t="shared" si="24"/>
        <v>0.12358956276445698</v>
      </c>
      <c r="CX66" s="50">
        <f t="shared" si="25"/>
        <v>0.40262106252938412</v>
      </c>
      <c r="CY66" s="14">
        <f t="shared" si="26"/>
        <v>9151</v>
      </c>
      <c r="CZ66" s="14">
        <f t="shared" si="27"/>
        <v>5489</v>
      </c>
      <c r="DA66" s="14">
        <f>INT(SUMPRODUCT($AI66:$AM66,$BA66:$BE66)/SUM($BA66:$BE66)/10000*$BX$7*$BZ$34/'疲劳值&amp;地图信息'!$R$10*$BY$56)</f>
        <v>10327</v>
      </c>
      <c r="DB66" s="50">
        <f t="shared" si="28"/>
        <v>0.36652381143108903</v>
      </c>
      <c r="DC66" s="50">
        <f t="shared" si="29"/>
        <v>0.21985020226699242</v>
      </c>
      <c r="DD66" s="50">
        <f t="shared" si="30"/>
        <v>0.41362598630191855</v>
      </c>
      <c r="DE66" s="14">
        <f t="shared" si="31"/>
        <v>9383</v>
      </c>
      <c r="DF66" s="14">
        <f t="shared" si="32"/>
        <v>10517</v>
      </c>
      <c r="DG66" s="14">
        <f>INT(SUMPRODUCT($AP66:$AT66,$BA66:$BE66)/SUM($BA66:$BE66)/10000*$BX$7*$BZ$34/'疲劳值&amp;地图信息'!$R$10*$BY$57)</f>
        <v>13790</v>
      </c>
      <c r="DH66" s="50">
        <f t="shared" si="33"/>
        <v>0.27850994360344317</v>
      </c>
      <c r="DI66" s="50">
        <f t="shared" si="34"/>
        <v>0.31216978331849216</v>
      </c>
      <c r="DJ66" s="50">
        <f t="shared" si="35"/>
        <v>0.40932027307806473</v>
      </c>
      <c r="DL66" s="14">
        <f t="shared" si="106"/>
        <v>10942</v>
      </c>
      <c r="DM66" s="14">
        <f t="shared" si="107"/>
        <v>13800</v>
      </c>
      <c r="DN66" s="14">
        <f t="shared" si="108"/>
        <v>17016</v>
      </c>
      <c r="DO66" s="14">
        <f t="shared" si="109"/>
        <v>24967</v>
      </c>
      <c r="DP66" s="14">
        <f t="shared" si="110"/>
        <v>33690</v>
      </c>
      <c r="DQ66" s="14">
        <f t="shared" si="111"/>
        <v>724345</v>
      </c>
      <c r="DT66" s="14">
        <f t="shared" si="105"/>
        <v>235575</v>
      </c>
      <c r="DU66" s="50">
        <f t="shared" si="7"/>
        <v>0.24541107592299358</v>
      </c>
      <c r="DW66" s="14">
        <f t="shared" si="36"/>
        <v>959920</v>
      </c>
      <c r="EB66" s="14">
        <v>61</v>
      </c>
      <c r="EC66" s="51">
        <f t="shared" si="37"/>
        <v>12161</v>
      </c>
      <c r="ED66" s="51">
        <f t="shared" si="38"/>
        <v>1334</v>
      </c>
      <c r="EE66" s="51">
        <f>INT(SUMPRODUCT($N66:$R66,$BF66:$BJ66)/SUM($BF66:$BJ66)/10000*$BX$7*$BZ$46/'疲劳值&amp;地图信息'!$R$10*$BY$53)</f>
        <v>381</v>
      </c>
      <c r="EF66" s="50">
        <f t="shared" si="39"/>
        <v>0.87640530412222539</v>
      </c>
      <c r="EG66" s="50">
        <f t="shared" si="40"/>
        <v>9.6137215335831652E-2</v>
      </c>
      <c r="EH66" s="50">
        <f t="shared" si="41"/>
        <v>2.7457480541942924E-2</v>
      </c>
      <c r="EI66" s="51">
        <f t="shared" si="42"/>
        <v>12668</v>
      </c>
      <c r="EJ66" s="51">
        <f t="shared" si="43"/>
        <v>1936</v>
      </c>
      <c r="EK66" s="14">
        <f>INT(SUMPRODUCT($U66:$Y66,$BF66:$BJ66)/SUM($BF66:$BJ66)/10000*$BX$7*$BZ$46/'疲劳值&amp;地图信息'!$R$10*$BY$54)</f>
        <v>676</v>
      </c>
      <c r="EL66" s="50">
        <f t="shared" si="44"/>
        <v>0.8290575916230366</v>
      </c>
      <c r="EM66" s="50">
        <f t="shared" si="45"/>
        <v>0.12670157068062826</v>
      </c>
      <c r="EN66" s="50">
        <f t="shared" si="46"/>
        <v>4.4240837696335078E-2</v>
      </c>
      <c r="EO66" s="51">
        <f t="shared" si="47"/>
        <v>13436</v>
      </c>
      <c r="EP66" s="51">
        <f t="shared" si="48"/>
        <v>3505</v>
      </c>
      <c r="EQ66" s="14">
        <f>INT(SUMPRODUCT($AB66:$AF66,$BF66:$BJ66)/SUM($BF66:$BJ66)/10000*$BX$7*$BZ$46/'疲劳值&amp;地图信息'!$R$10*$BY$55)</f>
        <v>918</v>
      </c>
      <c r="ER66" s="50">
        <f t="shared" si="49"/>
        <v>0.75233775687328519</v>
      </c>
      <c r="ES66" s="50">
        <f t="shared" si="50"/>
        <v>0.19625958900274371</v>
      </c>
      <c r="ET66" s="50">
        <f t="shared" si="51"/>
        <v>5.140265412397111E-2</v>
      </c>
      <c r="EU66" s="51">
        <f t="shared" si="52"/>
        <v>15253</v>
      </c>
      <c r="EV66" s="51">
        <f t="shared" si="53"/>
        <v>9149</v>
      </c>
      <c r="EW66" s="14">
        <f>INT(SUMPRODUCT($AI66:$AM66,$BF66:$BJ66)/SUM($BF66:$BJ66)/10000*$BX$7*$BZ$46/'疲劳值&amp;地图信息'!$R$10*$BY$56)</f>
        <v>1377</v>
      </c>
      <c r="EX66" s="50">
        <f t="shared" si="54"/>
        <v>0.59168315295395479</v>
      </c>
      <c r="EY66" s="50">
        <f t="shared" si="55"/>
        <v>0.35490127623259243</v>
      </c>
      <c r="EZ66" s="50">
        <f t="shared" si="56"/>
        <v>5.3415570813452808E-2</v>
      </c>
      <c r="FA66" s="51">
        <f t="shared" si="57"/>
        <v>15639</v>
      </c>
      <c r="FB66" s="51">
        <f t="shared" si="58"/>
        <v>17529</v>
      </c>
      <c r="FC66" s="14">
        <f>INT(SUMPRODUCT($AP66:$AT66,$BF66:$BJ66)/SUM($BF66:$BJ66)/10000*$BX$7*$BZ$46/'疲劳值&amp;地图信息'!$R$10*$BY$57)</f>
        <v>1836</v>
      </c>
      <c r="FD66" s="50">
        <f t="shared" si="59"/>
        <v>0.44677751114158382</v>
      </c>
      <c r="FE66" s="50">
        <f t="shared" si="60"/>
        <v>0.5007713404182379</v>
      </c>
      <c r="FF66" s="50">
        <f t="shared" si="61"/>
        <v>5.2451148440178265E-2</v>
      </c>
      <c r="FH66" s="14">
        <f t="shared" si="62"/>
        <v>13876</v>
      </c>
      <c r="FI66" s="14">
        <f t="shared" si="63"/>
        <v>15280</v>
      </c>
      <c r="FJ66" s="14">
        <f t="shared" si="64"/>
        <v>17859</v>
      </c>
      <c r="FK66" s="14">
        <f t="shared" si="65"/>
        <v>25779</v>
      </c>
      <c r="FL66" s="14">
        <f t="shared" si="66"/>
        <v>35004</v>
      </c>
      <c r="FM66" s="14">
        <f t="shared" si="67"/>
        <v>1605266</v>
      </c>
      <c r="FP66" s="14">
        <f t="shared" si="68"/>
        <v>334150</v>
      </c>
      <c r="FQ66" s="50">
        <f t="shared" si="8"/>
        <v>0.17229413390422685</v>
      </c>
      <c r="FS66" s="14">
        <f t="shared" si="69"/>
        <v>1939416</v>
      </c>
      <c r="FX66" s="14">
        <v>61</v>
      </c>
      <c r="FY66" s="51">
        <f t="shared" si="70"/>
        <v>17026</v>
      </c>
      <c r="FZ66" s="51">
        <f t="shared" si="71"/>
        <v>1334</v>
      </c>
      <c r="GA66" s="51">
        <f>INT(SUMPRODUCT($N66:$R66,$BF66:$BJ66)/SUM($BF66:$BJ66)/10000*$BX$7*$BZ$46/'疲劳值&amp;地图信息'!$R$10*$BY$53)</f>
        <v>381</v>
      </c>
      <c r="GB66" s="50">
        <f t="shared" si="72"/>
        <v>0.90848940824929303</v>
      </c>
      <c r="GC66" s="50">
        <f t="shared" si="73"/>
        <v>7.1180833466730695E-2</v>
      </c>
      <c r="GD66" s="50">
        <f t="shared" si="74"/>
        <v>2.0329758283976308E-2</v>
      </c>
      <c r="GE66" s="51">
        <f t="shared" si="75"/>
        <v>17736</v>
      </c>
      <c r="GF66" s="51">
        <f t="shared" si="76"/>
        <v>1936</v>
      </c>
      <c r="GG66" s="14">
        <f>INT(SUMPRODUCT($U66:$Y66,$BF66:$BJ66)/SUM($BF66:$BJ66)/10000*$BX$7*$BZ$46/'疲劳值&amp;地图信息'!$R$10*$BY$54)</f>
        <v>676</v>
      </c>
      <c r="GH66" s="50">
        <f t="shared" si="77"/>
        <v>0.87163357578140355</v>
      </c>
      <c r="GI66" s="50">
        <f t="shared" si="78"/>
        <v>9.514448594456458E-2</v>
      </c>
      <c r="GJ66" s="50">
        <f t="shared" si="79"/>
        <v>3.3221938274031845E-2</v>
      </c>
      <c r="GK66" s="51">
        <f t="shared" si="80"/>
        <v>18811</v>
      </c>
      <c r="GL66" s="51">
        <f t="shared" si="81"/>
        <v>3505</v>
      </c>
      <c r="GM66" s="14">
        <f>INT(SUMPRODUCT($AB66:$AF66,$BF66:$BJ66)/SUM($BF66:$BJ66)/10000*$BX$7*$BZ$46/'疲劳值&amp;地图信息'!$R$10*$BY$55)</f>
        <v>918</v>
      </c>
      <c r="GN66" s="50">
        <f t="shared" si="82"/>
        <v>0.80963243522424033</v>
      </c>
      <c r="GO66" s="50">
        <f t="shared" si="83"/>
        <v>0.15085650340018938</v>
      </c>
      <c r="GP66" s="50">
        <f t="shared" si="84"/>
        <v>3.9511061375570283E-2</v>
      </c>
      <c r="GQ66" s="51">
        <f t="shared" si="85"/>
        <v>21354</v>
      </c>
      <c r="GR66" s="51">
        <f t="shared" si="86"/>
        <v>9149</v>
      </c>
      <c r="GS66" s="14">
        <f>INT(SUMPRODUCT($AI66:$AM66,$BF66:$BJ66)/SUM($BF66:$BJ66)/10000*$BX$7*$BZ$46/'疲劳值&amp;地图信息'!$R$10*$BY$56)</f>
        <v>1377</v>
      </c>
      <c r="GT66" s="50">
        <f t="shared" si="87"/>
        <v>0.66982434127979928</v>
      </c>
      <c r="GU66" s="50">
        <f t="shared" si="88"/>
        <v>0.28698243412797991</v>
      </c>
      <c r="GV66" s="50">
        <f t="shared" si="89"/>
        <v>4.319322459222083E-2</v>
      </c>
      <c r="GW66" s="51">
        <f t="shared" si="90"/>
        <v>21895</v>
      </c>
      <c r="GX66" s="51">
        <f t="shared" si="91"/>
        <v>17529</v>
      </c>
      <c r="GY66" s="14">
        <f>INT(SUMPRODUCT($AP66:$AT66,$BF66:$BJ66)/SUM($BF66:$BJ66)/10000*$BX$7*$BZ$46/'疲劳值&amp;地图信息'!$R$10*$BY$57)</f>
        <v>1836</v>
      </c>
      <c r="GZ66" s="50">
        <f t="shared" si="92"/>
        <v>0.53065923412506055</v>
      </c>
      <c r="HA66" s="50">
        <f t="shared" si="93"/>
        <v>0.4248424624333495</v>
      </c>
      <c r="HB66" s="50">
        <f t="shared" si="94"/>
        <v>4.449830344158992E-2</v>
      </c>
      <c r="HD66" s="14">
        <f t="shared" si="95"/>
        <v>18741</v>
      </c>
      <c r="HE66" s="14">
        <f t="shared" si="96"/>
        <v>20348</v>
      </c>
      <c r="HF66" s="14">
        <f t="shared" si="97"/>
        <v>23234</v>
      </c>
      <c r="HG66" s="14">
        <f t="shared" si="98"/>
        <v>31880</v>
      </c>
      <c r="HH66" s="14">
        <f t="shared" si="99"/>
        <v>41260</v>
      </c>
      <c r="HI66" s="14">
        <f t="shared" si="100"/>
        <v>2133463</v>
      </c>
      <c r="HL66" s="14">
        <f t="shared" si="101"/>
        <v>430050</v>
      </c>
      <c r="HM66" s="50">
        <f t="shared" si="9"/>
        <v>0.16775807261363607</v>
      </c>
      <c r="HO66" s="14">
        <f t="shared" si="102"/>
        <v>2563513</v>
      </c>
    </row>
    <row r="67" spans="11:223" x14ac:dyDescent="0.2">
      <c r="K67" s="14">
        <v>62</v>
      </c>
      <c r="L67" s="12">
        <f>求节点(节奏总纲!D$4:D$163,标准城池设计!AB$4:AB$163,$K67)*求节点(节奏总纲!D$4:D$163,攻城基础信息!$AC$5:$AC$164,$K67)</f>
        <v>354919.54601899703</v>
      </c>
      <c r="M67" s="12">
        <f>INDEX(其他调用!$AA$5:$AA$404,MATCH(K67,其他调用!$X$5:$X$404,0))*MIN(INDEX(其他调用!$AH$5:$AH$364,MATCH('征服点（新）'!K67,其他调用!$AG$5:$AG$364,0),1)/INDEX(其他调用!$AJ$5:$AJ$364,MATCH(K67,其他调用!$AG$5:$AG$364,0),0),5)*求节点(节奏总纲!D$4:D$163,攻城基础信息!$AC$5:$AC$164,$K67)</f>
        <v>38500.856727890423</v>
      </c>
      <c r="N67" s="12">
        <f>MIN(INDEX(其他调用!$AH$5:$AH$364,MATCH($K67,其他调用!$AG$5:$AG$364,0),1)/INDEX(其他调用!AH$5:AH$364,MATCH($K67,其他调用!$AG$5:$AG$364,0),0),1)*INDEX(其他调用!Y$5:Y$404,MATCH($K67,其他调用!$X$5:$X$404,0),0)</f>
        <v>33416.14498574163</v>
      </c>
      <c r="O67" s="12">
        <f>MIN(INDEX(其他调用!$AH$5:$AH$364,MATCH($K67,其他调用!$AG$5:$AG$364,0),1)/INDEX(其他调用!AI$5:AI$364,MATCH($K67,其他调用!$AG$5:$AG$364,0),0),1)*INDEX(其他调用!Z$5:Z$404,MATCH($K67,其他调用!$X$5:$X$404,0),0)</f>
        <v>23649.318146250855</v>
      </c>
      <c r="P67" s="12">
        <f>MIN(INDEX(其他调用!$AH$5:$AH$364,MATCH($K67,其他调用!$AG$5:$AG$364,0),1)/INDEX(其他调用!AJ$5:AJ$364,MATCH($K67,其他调用!$AG$5:$AG$364,0),0),1)*INDEX(其他调用!AA$5:AA$404,MATCH($K67,其他调用!$X$5:$X$404,0),0)</f>
        <v>13625.940690944088</v>
      </c>
      <c r="Q67" s="12">
        <f>MIN(INDEX(其他调用!$AH$5:$AH$364,MATCH($K67,其他调用!$AG$5:$AG$364,0),1)/INDEX(其他调用!AK$5:AK$364,MATCH($K67,其他调用!$AG$5:$AG$364,0),0),1)*INDEX(其他调用!AB$5:AB$404,MATCH($K67,其他调用!$X$5:$X$404,0),0)</f>
        <v>5553.859738937258</v>
      </c>
      <c r="R67" s="12">
        <f>MIN(INDEX(其他调用!$AH$5:$AH$364,MATCH($K67,其他调用!$AG$5:$AG$364,0),1)/INDEX(其他调用!AL$5:AL$364,MATCH($K67,其他调用!$AG$5:$AG$364,0),0),1)*INDEX(其他调用!AC$5:AC$404,MATCH($K67,其他调用!$X$5:$X$404,0),0)</f>
        <v>1817.5821626608786</v>
      </c>
      <c r="S67" s="12">
        <f>求节点(节奏总纲!D$4:D$163,标准城池设计!AC$4:AC$163,$K67)*求节点(节奏总纲!D$4:D$163,攻城基础信息!$AD$5:$AD$164,$K67)</f>
        <v>369978.39713732968</v>
      </c>
      <c r="T67" s="12">
        <f>INDEX(其他调用!$AA$5:$AA$404,MATCH($K67,其他调用!$X$5:$X$404,0))*MIN(INDEX(其他调用!AI$5:AI$364,MATCH($K67,其他调用!$AG$5:$AG$364,0),1)/INDEX(其他调用!$AJ$5:$AJ$364,MATCH($K67,其他调用!$AG$5:$AG$364,0),0),5)*求节点(节奏总纲!D$4:D$163,攻城基础信息!$AD$5:$AD$164,$K67)</f>
        <v>56238.787542180908</v>
      </c>
      <c r="U67" s="12">
        <f>MIN(INDEX(其他调用!$AI$5:$AI$364,MATCH($K67,其他调用!$AG$5:$AG$364,0),1)/INDEX(其他调用!AH$5:AH$364,MATCH($K67,其他调用!$AG$5:$AG$364,0),0),1)*INDEX(其他调用!Y$5:Y$404,MATCH($K67,其他调用!$X$5:$X$404,0),0)</f>
        <v>33416.14498574163</v>
      </c>
      <c r="V67" s="12">
        <f>MIN(INDEX(其他调用!$AI$5:$AI$364,MATCH($K67,其他调用!$AG$5:$AG$364,0),1)/INDEX(其他调用!AI$5:AI$364,MATCH($K67,其他调用!$AG$5:$AG$364,0),0),1)*INDEX(其他调用!Z$5:Z$404,MATCH($K67,其他调用!$X$5:$X$404,0),0)</f>
        <v>34544.919042826732</v>
      </c>
      <c r="W67" s="12">
        <f>MIN(INDEX(其他调用!$AI$5:$AI$364,MATCH($K67,其他调用!$AG$5:$AG$364,0),1)/INDEX(其他调用!AJ$5:AJ$364,MATCH($K67,其他调用!$AG$5:$AG$364,0),0),1)*INDEX(其他调用!AA$5:AA$404,MATCH($K67,其他调用!$X$5:$X$404,0),0)</f>
        <v>19903.619002463442</v>
      </c>
      <c r="X67" s="12">
        <f>MIN(INDEX(其他调用!$AI$5:$AI$364,MATCH($K67,其他调用!$AG$5:$AG$364,0),1)/INDEX(其他调用!AK$5:AK$364,MATCH($K67,其他调用!$AG$5:$AG$364,0),0),1)*INDEX(其他调用!AB$5:AB$404,MATCH($K67,其他调用!$X$5:$X$404,0),0)</f>
        <v>8112.6074701319758</v>
      </c>
      <c r="Y67" s="12">
        <f>MIN(INDEX(其他调用!$AI$5:$AI$364,MATCH($K67,其他调用!$AG$5:$AG$364,0),1)/INDEX(其他调用!AL$5:AL$364,MATCH($K67,其他调用!$AG$5:$AG$364,0),0),1)*INDEX(其他调用!AC$5:AC$404,MATCH($K67,其他调用!$X$5:$X$404,0),0)</f>
        <v>2654.9699350532796</v>
      </c>
      <c r="Z67" s="12">
        <f>求节点(节奏总纲!D$4:D$163,标准城池设计!AD$4:AD$163,$K67)*求节点(节奏总纲!D$4:D$163,攻城基础信息!$AE$5:$AE$164,$K67)</f>
        <v>392654.16285113484</v>
      </c>
      <c r="AA67" s="12">
        <f>INDEX(其他调用!$AA$5:$AA$404,MATCH($K67,其他调用!$X$5:$X$404,0))*MIN(INDEX(其他调用!AJ$5:AJ$364,MATCH($K67,其他调用!$AG$5:$AG$364,0),1)/INDEX(其他调用!$AJ$5:$AJ$364,MATCH($K67,其他调用!$AG$5:$AG$364,0),0),5)*求节点(节奏总纲!D$4:D$163,攻城基础信息!$AE$5:$AE$164,$K67)</f>
        <v>101827.12028427904</v>
      </c>
      <c r="AB67" s="12">
        <f>MIN(INDEX(其他调用!$AJ$5:$AJ$364,MATCH($K67,其他调用!$AG$5:$AG$364,0),1)/INDEX(其他调用!AH$5:AH$364,MATCH($K67,其他调用!$AG$5:$AG$364,0),0),1)*INDEX(其他调用!Y$5:Y$404,MATCH($K67,其他调用!$X$5:$X$404,0),0)</f>
        <v>33416.14498574163</v>
      </c>
      <c r="AC67" s="12">
        <f>MIN(INDEX(其他调用!$AJ$5:$AJ$364,MATCH($K67,其他调用!$AG$5:$AG$364,0),1)/INDEX(其他调用!AI$5:AI$364,MATCH($K67,其他调用!$AG$5:$AG$364,0),0),1)*INDEX(其他调用!Z$5:Z$404,MATCH($K67,其他调用!$X$5:$X$404,0),0)</f>
        <v>34544.919042826732</v>
      </c>
      <c r="AD67" s="12">
        <f>MIN(INDEX(其他调用!$AJ$5:$AJ$364,MATCH($K67,其他调用!$AG$5:$AG$364,0),1)/INDEX(其他调用!AJ$5:AJ$364,MATCH($K67,其他调用!$AG$5:$AG$364,0),0),1)*INDEX(其他调用!AA$5:AA$404,MATCH($K67,其他调用!$X$5:$X$404,0),0)</f>
        <v>36037.9071959223</v>
      </c>
      <c r="AE67" s="12">
        <f>MIN(INDEX(其他调用!$AJ$5:$AJ$364,MATCH($K67,其他调用!$AG$5:$AG$364,0),1)/INDEX(其他调用!AK$5:AK$364,MATCH($K67,其他调用!$AG$5:$AG$364,0),0),1)*INDEX(其他调用!AB$5:AB$404,MATCH($K67,其他调用!$X$5:$X$404,0),0)</f>
        <v>14688.856086391976</v>
      </c>
      <c r="AF67" s="12">
        <f>MIN(INDEX(其他调用!$AJ$5:$AJ$364,MATCH($K67,其他调用!$AG$5:$AG$364,0),1)/INDEX(其他调用!AL$5:AL$364,MATCH($K67,其他调用!$AG$5:$AG$364,0),0),1)*INDEX(其他调用!AC$5:AC$404,MATCH($K67,其他调用!$X$5:$X$404,0),0)</f>
        <v>4807.1438724571562</v>
      </c>
      <c r="AG67" s="12">
        <f>求节点(节奏总纲!D$4:D$163,标准城池设计!AE$4:AE$163,$K67)*求节点(节奏总纲!D$4:D$163,攻城基础信息!$AF$5:$AF$164,$K67)</f>
        <v>445504.97359101102</v>
      </c>
      <c r="AH67" s="12">
        <f>INDEX(其他调用!$AA$5:$AA$404,MATCH($K67,其他调用!$X$5:$X$404,0))*MIN(INDEX(其他调用!AK$5:AK$364,MATCH($K67,其他调用!$AG$5:$AG$364,0),1)/INDEX(其他调用!$AJ$5:$AJ$364,MATCH($K67,其他调用!$AG$5:$AG$364,0),0),5)*求节点(节奏总纲!D$4:D$163,攻城基础信息!$AF$5:$AF$164,$K67)</f>
        <v>264949.61631473241</v>
      </c>
      <c r="AI67" s="12">
        <f>MIN(INDEX(其他调用!$AK$5:$AK$364,MATCH($K67,其他调用!$AG$5:$AG$364,0),1)/INDEX(其他调用!AH$5:AH$364,MATCH($K67,其他调用!$AG$5:$AG$364,0),0),1)*INDEX(其他调用!Y$5:Y$404,MATCH($K67,其他调用!$X$5:$X$404,0),0)</f>
        <v>33416.14498574163</v>
      </c>
      <c r="AJ67" s="12">
        <f>MIN(INDEX(其他调用!$AK$5:$AK$364,MATCH($K67,其他调用!$AG$5:$AG$364,0),1)/INDEX(其他调用!AI$5:AI$364,MATCH($K67,其他调用!$AG$5:$AG$364,0),0),1)*INDEX(其他调用!Z$5:Z$404,MATCH($K67,其他调用!$X$5:$X$404,0),0)</f>
        <v>34544.919042826732</v>
      </c>
      <c r="AK67" s="12">
        <f>MIN(INDEX(其他调用!$AK$5:$AK$364,MATCH($K67,其他调用!$AG$5:$AG$364,0),1)/INDEX(其他调用!AJ$5:AJ$364,MATCH($K67,其他调用!$AG$5:$AG$364,0),0),1)*INDEX(其他调用!AA$5:AA$404,MATCH($K67,其他调用!$X$5:$X$404,0),0)</f>
        <v>36037.9071959223</v>
      </c>
      <c r="AL67" s="12">
        <f>MIN(INDEX(其他调用!$AK$5:$AK$364,MATCH($K67,其他调用!$AG$5:$AG$364,0),1)/INDEX(其他调用!AK$5:AK$364,MATCH($K67,其他调用!$AG$5:$AG$364,0),0),1)*INDEX(其他调用!AB$5:AB$404,MATCH($K67,其他调用!$X$5:$X$404,0),0)</f>
        <v>38219.747090232966</v>
      </c>
      <c r="AM67" s="12">
        <f>MIN(INDEX(其他调用!$AK$5:$AK$364,MATCH($K67,其他调用!$AG$5:$AG$364,0),1)/INDEX(其他调用!AL$5:AL$364,MATCH($K67,其他调用!$AG$5:$AG$364,0),0),1)*INDEX(其他调用!AC$5:AC$404,MATCH($K67,其他调用!$X$5:$X$404,0),0)</f>
        <v>12507.973524356634</v>
      </c>
      <c r="AN67" s="12">
        <f>求节点(节奏总纲!D$4:D$163,标准城池设计!AF$4:AF$163,$K67)*求节点(节奏总纲!D$4:D$163,攻城基础信息!$AG$5:$AG$164,$K67)</f>
        <v>456233.17684262031</v>
      </c>
      <c r="AO67" s="12">
        <f>INDEX(其他调用!$AA$5:$AA$404,MATCH($K67,其他调用!$X$5:$X$404,0))*MIN(INDEX(其他调用!AL$5:AL$364,MATCH($K67,其他调用!$AG$5:$AG$364,0),1)/INDEX(其他调用!$AJ$5:$AJ$364,MATCH($K67,其他调用!$AG$5:$AG$364,0),0),5)*求节点(节奏总纲!D$4:D$163,攻城基础信息!$AG$5:$AG$164,$K67)</f>
        <v>509135.6014213952</v>
      </c>
      <c r="AP67" s="12">
        <f>MIN(INDEX(其他调用!$AL$5:$AL$364,MATCH($K67,其他调用!$AG$5:$AG$364,0),1)/INDEX(其他调用!AH$5:AH$364,MATCH($K67,其他调用!$AG$5:$AG$364,0),0),1)*INDEX(其他调用!Y$5:Y$404,MATCH($K67,其他调用!$X$5:$X$404,0),0)</f>
        <v>33416.14498574163</v>
      </c>
      <c r="AQ67" s="12">
        <f>MIN(INDEX(其他调用!$AL$5:$AL$364,MATCH($K67,其他调用!$AG$5:$AG$364,0),1)/INDEX(其他调用!AI$5:AI$364,MATCH($K67,其他调用!$AG$5:$AG$364,0),0),1)*INDEX(其他调用!Z$5:Z$404,MATCH($K67,其他调用!$X$5:$X$404,0),0)</f>
        <v>34544.919042826732</v>
      </c>
      <c r="AR67" s="12">
        <f>MIN(INDEX(其他调用!$AL$5:$AL$364,MATCH($K67,其他调用!$AG$5:$AG$364,0),1)/INDEX(其他调用!AJ$5:AJ$364,MATCH($K67,其他调用!$AG$5:$AG$364,0),0),1)*INDEX(其他调用!AA$5:AA$404,MATCH($K67,其他调用!$X$5:$X$404,0),0)</f>
        <v>36037.9071959223</v>
      </c>
      <c r="AS67" s="12">
        <f>MIN(INDEX(其他调用!$AL$5:$AL$364,MATCH($K67,其他调用!$AG$5:$AG$364,0),1)/INDEX(其他调用!AK$5:AK$364,MATCH($K67,其他调用!$AG$5:$AG$364,0),0),1)*INDEX(其他调用!AB$5:AB$404,MATCH($K67,其他调用!$X$5:$X$404,0),0)</f>
        <v>38219.747090232966</v>
      </c>
      <c r="AT67" s="12">
        <f>MIN(INDEX(其他调用!$AL$5:$AL$364,MATCH($K67,其他调用!$AG$5:$AG$364,0),1)/INDEX(其他调用!AL$5:AL$364,MATCH($K67,其他调用!$AG$5:$AG$364,0),0),1)*INDEX(其他调用!AC$5:AC$404,MATCH($K67,其他调用!$X$5:$X$404,0),0)</f>
        <v>42039.486591126712</v>
      </c>
      <c r="AV67" s="14">
        <f>IF(OR(AV$5="大R",AV$5="超R"),MAX(INDEX(其他调用!$H$5:$L$404,MATCH($K67,其他调用!$B$5:$B$404,0),MATCH(AV$5,其他调用!$H$4:$L$4,0))*120*0.85,2),INDEX(其他调用!$H$5:$L$404,MATCH($K67,其他调用!$B$5:$B$404,0),MATCH(AV$5,其他调用!$H$4:$L$4,0))*120*0.85)</f>
        <v>51.324977457000024</v>
      </c>
      <c r="AW67" s="14">
        <f>IF(OR(AW$5="大R",AW$5="超R"),MAX(INDEX(其他调用!$H$5:$L$404,MATCH($K67,其他调用!$B$5:$B$404,0),MATCH(AW$5,其他调用!$H$4:$L$4,0))*120*0.85,2),INDEX(其他调用!$H$5:$L$404,MATCH($K67,其他调用!$B$5:$B$404,0),MATCH(AW$5,其他调用!$H$4:$L$4,0))*120*0.85)</f>
        <v>45.958771796698535</v>
      </c>
      <c r="AX67" s="14">
        <f>IF(OR(AX$5="大R",AX$5="超R"),MAX(INDEX(其他调用!$H$5:$L$404,MATCH($K67,其他调用!$B$5:$B$404,0),MATCH(AX$5,其他调用!$H$4:$L$4,0))*120*0.85,2),INDEX(其他调用!$H$5:$L$404,MATCH($K67,其他调用!$B$5:$B$404,0),MATCH(AX$5,其他调用!$H$4:$L$4,0))*120*0.85)</f>
        <v>3.8833162983014402</v>
      </c>
      <c r="AY67" s="14">
        <f>IF(OR(AY$5="大R",AY$5="超R"),MAX(INDEX(其他调用!$H$5:$L$404,MATCH($K67,其他调用!$B$5:$B$404,0),MATCH(AY$5,其他调用!$H$4:$L$4,0))*120*0.85,2),INDEX(其他调用!$H$5:$L$404,MATCH($K67,其他调用!$B$5:$B$404,0),MATCH(AY$5,其他调用!$H$4:$L$4,0))*120*0.85)</f>
        <v>2</v>
      </c>
      <c r="AZ67" s="14">
        <f>IF(OR(AZ$5="大R",AZ$5="超R"),MAX(INDEX(其他调用!$H$5:$L$404,MATCH($K67,其他调用!$B$5:$B$404,0),MATCH(AZ$5,其他调用!$H$4:$L$4,0))*120*0.85,2),INDEX(其他调用!$H$5:$L$404,MATCH($K67,其他调用!$B$5:$B$404,0),MATCH(AZ$5,其他调用!$H$4:$L$4,0))*120*0.85)</f>
        <v>2</v>
      </c>
      <c r="BA67" s="14">
        <f>INDEX(其他调用!$H$5:$L$404,MATCH($K67,其他调用!$B$5:$B$404,0),MATCH(BA$5,其他调用!$H$4:$L$4,0))*INDEX(其他调用!$M$5:$M$404,MATCH($K67,其他调用!$B$5:$B$404,0))*0.6</f>
        <v>29.022725984470139</v>
      </c>
      <c r="BB67" s="14">
        <f>INDEX(其他调用!$H$5:$L$404,MATCH($K67,其他调用!$B$5:$B$404,0),MATCH(BB$5,其他调用!$H$4:$L$4,0))*INDEX(其他调用!$M$5:$M$404,MATCH($K67,其他调用!$B$5:$B$404,0))*0.6</f>
        <v>25.988298612617466</v>
      </c>
      <c r="BC67" s="14">
        <f>INDEX(其他调用!$H$5:$L$404,MATCH($K67,其他调用!$B$5:$B$404,0),MATCH(BC$5,其他调用!$H$4:$L$4,0))*INDEX(其他调用!$M$5:$M$404,MATCH($K67,其他调用!$B$5:$B$404,0))*0.6</f>
        <v>2.1958981848760319</v>
      </c>
      <c r="BD67" s="14">
        <f>INDEX(其他调用!$H$5:$L$404,MATCH($K67,其他调用!$B$5:$B$404,0),MATCH(BD$5,其他调用!$H$4:$L$4,0))*INDEX(其他调用!$M$5:$M$404,MATCH($K67,其他调用!$B$5:$B$404,0))*0.6</f>
        <v>0.37033517211428574</v>
      </c>
      <c r="BE67" s="14">
        <f>INDEX(其他调用!$H$5:$L$404,MATCH($K67,其他调用!$B$5:$B$404,0),MATCH(BE$5,其他调用!$H$4:$L$4,0))*INDEX(其他调用!$M$5:$M$404,MATCH($K67,其他调用!$B$5:$B$404,0))*0.6</f>
        <v>0.10066412384415582</v>
      </c>
      <c r="BF67" s="14">
        <f>IF(OR(BF$5="大R",BF$5="超R"),0,INDEX(其他调用!$H$5:$L$404,MATCH($K67,其他调用!$B$5:$B$404,0),MATCH(BF$5,其他调用!$H$4:$L$4,0))*50*0.4)</f>
        <v>10.063721070000005</v>
      </c>
      <c r="BG67" s="14">
        <f>IF(OR(BG$5="大R",BG$5="超R"),0,INDEX(其他调用!$H$5:$L$404,MATCH($K67,其他调用!$B$5:$B$404,0),MATCH(BG$5,其他调用!$H$4:$L$4,0))*50*0.4)</f>
        <v>9.0115238817055978</v>
      </c>
      <c r="BH67" s="14">
        <f>IF(OR(BH$5="大R",BH$5="超R"),0,INDEX(其他调用!$H$5:$L$404,MATCH($K67,其他调用!$B$5:$B$404,0),MATCH(BH$5,其他调用!$H$4:$L$4,0))*50*0.4)</f>
        <v>0.76143456829440004</v>
      </c>
      <c r="BI67" s="14">
        <f>IF(OR(BI$5="大R",BI$5="超R"),0,INDEX(其他调用!$H$5:$L$404,MATCH($K67,其他调用!$B$5:$B$404,0),MATCH(BI$5,其他调用!$H$4:$L$4,0))*50*0.4)</f>
        <v>0</v>
      </c>
      <c r="BJ67" s="14">
        <f>IF(OR(BJ$5="大R",BJ$5="超R"),0,INDEX(其他调用!$H$5:$L$404,MATCH($K67,其他调用!$B$5:$B$404,0),MATCH(BJ$5,其他调用!$H$4:$L$4,0))*50*0.4)</f>
        <v>0</v>
      </c>
      <c r="BL67" s="14">
        <f t="shared" si="103"/>
        <v>62</v>
      </c>
      <c r="BM67" s="14">
        <f t="shared" si="10"/>
        <v>96</v>
      </c>
      <c r="BN67" s="14">
        <f>('疲劳值&amp;地图信息'!$S$10*'疲劳值&amp;地图信息'!$R$10+'疲劳值&amp;地图信息'!$S$11*'疲劳值&amp;地图信息'!$R$11+'疲劳值&amp;地图信息'!$S$12*'疲劳值&amp;地图信息'!$R$12+(BM67-'疲劳值&amp;地图信息'!$S$12-'疲劳值&amp;地图信息'!$S$11-'疲劳值&amp;地图信息'!$S$10)*'疲劳值&amp;地图信息'!$R$13)/BM67</f>
        <v>51.371477246638619</v>
      </c>
      <c r="BO67" s="14">
        <f>INDEX(其他调用!$M$5:$M$404,MATCH(BL67,其他调用!$B$5:$B$404,0))*0.6</f>
        <v>57.677922077922076</v>
      </c>
      <c r="BP67" s="14">
        <f>IF(BO67&gt;SUM('疲劳值&amp;地图信息'!$S$10:$S$12),('疲劳值&amp;地图信息'!$S$10*'疲劳值&amp;地图信息'!$R$10+'疲劳值&amp;地图信息'!$S$11*'疲劳值&amp;地图信息'!$R$11+'疲劳值&amp;地图信息'!$S$12*'疲劳值&amp;地图信息'!$R$12+(BO67-'疲劳值&amp;地图信息'!$S$12-'疲劳值&amp;地图信息'!$S$11-'疲劳值&amp;地图信息'!$S$10)*'疲劳值&amp;地图信息'!$R$13)/BO67,('疲劳值&amp;地图信息'!$S$10*'疲劳值&amp;地图信息'!$R$10+'疲劳值&amp;地图信息'!$S$11*'疲劳值&amp;地图信息'!$R$11+'疲劳值&amp;地图信息'!$S$12*'疲劳值&amp;地图信息'!$R$12+(BO67-'疲劳值&amp;地图信息'!$S$12-'疲劳值&amp;地图信息'!$S$11-'疲劳值&amp;地图信息'!$S$10)*'疲劳值&amp;地图信息'!$R$13)/BO67)</f>
        <v>43.383723808164632</v>
      </c>
      <c r="BQ67" s="14">
        <f t="shared" si="104"/>
        <v>20</v>
      </c>
      <c r="BR67" s="14">
        <f>('疲劳值&amp;地图信息'!$S$10*'疲劳值&amp;地图信息'!$R$10+($BQ67-'疲劳值&amp;地图信息'!$S$10)*'疲劳值&amp;地图信息'!$R$11)/$BQ67</f>
        <v>32.067203015074995</v>
      </c>
      <c r="CF67" s="14">
        <v>62</v>
      </c>
      <c r="CG67" s="51">
        <f t="shared" si="11"/>
        <v>7362</v>
      </c>
      <c r="CH67" s="51">
        <f t="shared" si="12"/>
        <v>798</v>
      </c>
      <c r="CI67" s="51">
        <f>INT(SUMPRODUCT($N67:$R67,$BA67:$BE67)/SUM($BA67:$BE67)/10000*$BX$7*$BZ$34/'疲劳值&amp;地图信息'!$R$10*$BY$53)</f>
        <v>2843</v>
      </c>
      <c r="CJ67" s="50">
        <f t="shared" si="13"/>
        <v>0.66909024811415063</v>
      </c>
      <c r="CK67" s="50">
        <f t="shared" si="14"/>
        <v>7.2525674815959285E-2</v>
      </c>
      <c r="CL67" s="50">
        <f t="shared" si="15"/>
        <v>0.25838407706989003</v>
      </c>
      <c r="CM67" s="14">
        <f t="shared" si="16"/>
        <v>7675</v>
      </c>
      <c r="CN67" s="14">
        <f t="shared" si="17"/>
        <v>1166</v>
      </c>
      <c r="CO67" s="14">
        <f>INT(SUMPRODUCT($U67:$Y67,$BA67:$BE67)/SUM($BA67:$BE67)/10000*$BX$7*$BZ$34/'疲劳值&amp;地图信息'!$R$10*$BY$54)</f>
        <v>5052</v>
      </c>
      <c r="CP67" s="50">
        <f t="shared" si="18"/>
        <v>0.55243647880227453</v>
      </c>
      <c r="CQ67" s="50">
        <f t="shared" si="19"/>
        <v>8.3927157561361834E-2</v>
      </c>
      <c r="CR67" s="50">
        <f t="shared" si="20"/>
        <v>0.36363636363636365</v>
      </c>
      <c r="CS67" s="14">
        <f t="shared" si="21"/>
        <v>8145</v>
      </c>
      <c r="CT67" s="14">
        <f t="shared" si="22"/>
        <v>2112</v>
      </c>
      <c r="CU67" s="14">
        <f>INT(SUMPRODUCT($AB67:$AF67,$BA67:$BE67)/SUM($BA67:$BE67)/10000*$BX$7*$BZ$34/'疲劳值&amp;地图信息'!$R$10*$BY$55)</f>
        <v>6870</v>
      </c>
      <c r="CV67" s="50">
        <f t="shared" si="23"/>
        <v>0.47556489753021547</v>
      </c>
      <c r="CW67" s="50">
        <f t="shared" si="24"/>
        <v>0.1233140655105973</v>
      </c>
      <c r="CX67" s="50">
        <f t="shared" si="25"/>
        <v>0.40112103695918727</v>
      </c>
      <c r="CY67" s="14">
        <f t="shared" si="26"/>
        <v>9242</v>
      </c>
      <c r="CZ67" s="14">
        <f t="shared" si="27"/>
        <v>5496</v>
      </c>
      <c r="DA67" s="14">
        <f>INT(SUMPRODUCT($AI67:$AM67,$BA67:$BE67)/SUM($BA67:$BE67)/10000*$BX$7*$BZ$34/'疲劳值&amp;地图信息'!$R$10*$BY$56)</f>
        <v>10355</v>
      </c>
      <c r="DB67" s="50">
        <f t="shared" si="28"/>
        <v>0.36830988721954327</v>
      </c>
      <c r="DC67" s="50">
        <f t="shared" si="29"/>
        <v>0.21902522615868966</v>
      </c>
      <c r="DD67" s="50">
        <f t="shared" si="30"/>
        <v>0.41266488662176704</v>
      </c>
      <c r="DE67" s="14">
        <f t="shared" si="31"/>
        <v>9464</v>
      </c>
      <c r="DF67" s="14">
        <f t="shared" si="32"/>
        <v>10562</v>
      </c>
      <c r="DG67" s="14">
        <f>INT(SUMPRODUCT($AP67:$AT67,$BA67:$BE67)/SUM($BA67:$BE67)/10000*$BX$7*$BZ$34/'疲劳值&amp;地图信息'!$R$10*$BY$57)</f>
        <v>13828</v>
      </c>
      <c r="DH67" s="50">
        <f t="shared" si="33"/>
        <v>0.27955337626277543</v>
      </c>
      <c r="DI67" s="50">
        <f t="shared" si="34"/>
        <v>0.31198676670408221</v>
      </c>
      <c r="DJ67" s="50">
        <f t="shared" si="35"/>
        <v>0.4084598570331423</v>
      </c>
      <c r="DL67" s="14">
        <f t="shared" si="106"/>
        <v>11003</v>
      </c>
      <c r="DM67" s="14">
        <f t="shared" si="107"/>
        <v>13893</v>
      </c>
      <c r="DN67" s="14">
        <f t="shared" si="108"/>
        <v>17127</v>
      </c>
      <c r="DO67" s="14">
        <f t="shared" si="109"/>
        <v>25093</v>
      </c>
      <c r="DP67" s="14">
        <f t="shared" si="110"/>
        <v>33854</v>
      </c>
      <c r="DQ67" s="14">
        <f t="shared" si="111"/>
        <v>730702</v>
      </c>
      <c r="DT67" s="14">
        <f t="shared" si="105"/>
        <v>235575</v>
      </c>
      <c r="DU67" s="50">
        <f t="shared" si="7"/>
        <v>0.24379655109249213</v>
      </c>
      <c r="DW67" s="14">
        <f t="shared" si="36"/>
        <v>966277</v>
      </c>
      <c r="EB67" s="14">
        <v>62</v>
      </c>
      <c r="EC67" s="51">
        <f t="shared" si="37"/>
        <v>12271</v>
      </c>
      <c r="ED67" s="51">
        <f t="shared" si="38"/>
        <v>1331</v>
      </c>
      <c r="EE67" s="51">
        <f>INT(SUMPRODUCT($N67:$R67,$BF67:$BJ67)/SUM($BF67:$BJ67)/10000*$BX$7*$BZ$46/'疲劳值&amp;地图信息'!$R$10*$BY$53)</f>
        <v>381</v>
      </c>
      <c r="EF67" s="50">
        <f t="shared" si="39"/>
        <v>0.87756561539011657</v>
      </c>
      <c r="EG67" s="50">
        <f t="shared" si="40"/>
        <v>9.5187012801258672E-2</v>
      </c>
      <c r="EH67" s="50">
        <f t="shared" si="41"/>
        <v>2.724737180862476E-2</v>
      </c>
      <c r="EI67" s="51">
        <f t="shared" si="42"/>
        <v>12792</v>
      </c>
      <c r="EJ67" s="51">
        <f t="shared" si="43"/>
        <v>1944</v>
      </c>
      <c r="EK67" s="14">
        <f>INT(SUMPRODUCT($U67:$Y67,$BF67:$BJ67)/SUM($BF67:$BJ67)/10000*$BX$7*$BZ$46/'疲劳值&amp;地图信息'!$R$10*$BY$54)</f>
        <v>678</v>
      </c>
      <c r="EL67" s="50">
        <f t="shared" si="44"/>
        <v>0.82989490073958738</v>
      </c>
      <c r="EM67" s="50">
        <f t="shared" si="45"/>
        <v>0.1261191124951343</v>
      </c>
      <c r="EN67" s="50">
        <f t="shared" si="46"/>
        <v>4.3985986765278318E-2</v>
      </c>
      <c r="EO67" s="51">
        <f t="shared" si="47"/>
        <v>13576</v>
      </c>
      <c r="EP67" s="51">
        <f t="shared" si="48"/>
        <v>3520</v>
      </c>
      <c r="EQ67" s="14">
        <f>INT(SUMPRODUCT($AB67:$AF67,$BF67:$BJ67)/SUM($BF67:$BJ67)/10000*$BX$7*$BZ$46/'疲劳值&amp;地图信息'!$R$10*$BY$55)</f>
        <v>920</v>
      </c>
      <c r="ER67" s="50">
        <f t="shared" si="49"/>
        <v>0.75355239786856132</v>
      </c>
      <c r="ES67" s="50">
        <f t="shared" si="50"/>
        <v>0.19538188277087035</v>
      </c>
      <c r="ET67" s="50">
        <f t="shared" si="51"/>
        <v>5.1065719360568383E-2</v>
      </c>
      <c r="EU67" s="51">
        <f t="shared" si="52"/>
        <v>15403</v>
      </c>
      <c r="EV67" s="51">
        <f t="shared" si="53"/>
        <v>9160</v>
      </c>
      <c r="EW67" s="14">
        <f>INT(SUMPRODUCT($AI67:$AM67,$BF67:$BJ67)/SUM($BF67:$BJ67)/10000*$BX$7*$BZ$46/'疲劳值&amp;地图信息'!$R$10*$BY$56)</f>
        <v>1381</v>
      </c>
      <c r="EX67" s="50">
        <f t="shared" si="54"/>
        <v>0.59370181930311439</v>
      </c>
      <c r="EY67" s="50">
        <f t="shared" si="55"/>
        <v>0.35306814677767501</v>
      </c>
      <c r="EZ67" s="50">
        <f t="shared" si="56"/>
        <v>5.3230033919210606E-2</v>
      </c>
      <c r="FA67" s="51">
        <f t="shared" si="57"/>
        <v>15774</v>
      </c>
      <c r="FB67" s="51">
        <f t="shared" si="58"/>
        <v>17603</v>
      </c>
      <c r="FC67" s="14">
        <f>INT(SUMPRODUCT($AP67:$AT67,$BF67:$BJ67)/SUM($BF67:$BJ67)/10000*$BX$7*$BZ$46/'疲劳值&amp;地图信息'!$R$10*$BY$57)</f>
        <v>1841</v>
      </c>
      <c r="FD67" s="50">
        <f t="shared" si="59"/>
        <v>0.44789596229200979</v>
      </c>
      <c r="FE67" s="50">
        <f t="shared" si="60"/>
        <v>0.49982963257425178</v>
      </c>
      <c r="FF67" s="50">
        <f t="shared" si="61"/>
        <v>5.2274405133738426E-2</v>
      </c>
      <c r="FH67" s="14">
        <f t="shared" si="62"/>
        <v>13983</v>
      </c>
      <c r="FI67" s="14">
        <f t="shared" si="63"/>
        <v>15414</v>
      </c>
      <c r="FJ67" s="14">
        <f t="shared" si="64"/>
        <v>18016</v>
      </c>
      <c r="FK67" s="14">
        <f t="shared" si="65"/>
        <v>25944</v>
      </c>
      <c r="FL67" s="14">
        <f t="shared" si="66"/>
        <v>35218</v>
      </c>
      <c r="FM67" s="14">
        <f t="shared" si="67"/>
        <v>1618371</v>
      </c>
      <c r="FP67" s="14">
        <f t="shared" si="68"/>
        <v>334150</v>
      </c>
      <c r="FQ67" s="50">
        <f t="shared" si="8"/>
        <v>0.1711377239988712</v>
      </c>
      <c r="FS67" s="14">
        <f t="shared" si="69"/>
        <v>1952521</v>
      </c>
      <c r="FX67" s="14">
        <v>62</v>
      </c>
      <c r="FY67" s="51">
        <f t="shared" si="70"/>
        <v>17179</v>
      </c>
      <c r="FZ67" s="51">
        <f t="shared" si="71"/>
        <v>1331</v>
      </c>
      <c r="GA67" s="51">
        <f>INT(SUMPRODUCT($N67:$R67,$BF67:$BJ67)/SUM($BF67:$BJ67)/10000*$BX$7*$BZ$46/'疲劳值&amp;地图信息'!$R$10*$BY$53)</f>
        <v>381</v>
      </c>
      <c r="GB67" s="50">
        <f t="shared" si="72"/>
        <v>0.90937483457731194</v>
      </c>
      <c r="GC67" s="50">
        <f t="shared" si="73"/>
        <v>7.0456831295325817E-2</v>
      </c>
      <c r="GD67" s="50">
        <f t="shared" si="74"/>
        <v>2.0168334127362235E-2</v>
      </c>
      <c r="GE67" s="51">
        <f t="shared" si="75"/>
        <v>17908</v>
      </c>
      <c r="GF67" s="51">
        <f t="shared" si="76"/>
        <v>1944</v>
      </c>
      <c r="GG67" s="14">
        <f>INT(SUMPRODUCT($U67:$Y67,$BF67:$BJ67)/SUM($BF67:$BJ67)/10000*$BX$7*$BZ$46/'疲劳值&amp;地图信息'!$R$10*$BY$54)</f>
        <v>678</v>
      </c>
      <c r="GH67" s="50">
        <f t="shared" si="77"/>
        <v>0.87228446176327323</v>
      </c>
      <c r="GI67" s="50">
        <f t="shared" si="78"/>
        <v>9.4690696541646371E-2</v>
      </c>
      <c r="GJ67" s="50">
        <f t="shared" si="79"/>
        <v>3.3024841695080367E-2</v>
      </c>
      <c r="GK67" s="51">
        <f t="shared" si="80"/>
        <v>19006</v>
      </c>
      <c r="GL67" s="51">
        <f t="shared" si="81"/>
        <v>3520</v>
      </c>
      <c r="GM67" s="14">
        <f>INT(SUMPRODUCT($AB67:$AF67,$BF67:$BJ67)/SUM($BF67:$BJ67)/10000*$BX$7*$BZ$46/'疲劳值&amp;地图信息'!$R$10*$BY$55)</f>
        <v>920</v>
      </c>
      <c r="GN67" s="50">
        <f t="shared" si="82"/>
        <v>0.81062867866587052</v>
      </c>
      <c r="GO67" s="50">
        <f t="shared" si="83"/>
        <v>0.15013221871534591</v>
      </c>
      <c r="GP67" s="50">
        <f t="shared" si="84"/>
        <v>3.9239102618783585E-2</v>
      </c>
      <c r="GQ67" s="51">
        <f t="shared" si="85"/>
        <v>21564</v>
      </c>
      <c r="GR67" s="51">
        <f t="shared" si="86"/>
        <v>9160</v>
      </c>
      <c r="GS67" s="14">
        <f>INT(SUMPRODUCT($AI67:$AM67,$BF67:$BJ67)/SUM($BF67:$BJ67)/10000*$BX$7*$BZ$46/'疲劳值&amp;地图信息'!$R$10*$BY$56)</f>
        <v>1381</v>
      </c>
      <c r="GT67" s="50">
        <f t="shared" si="87"/>
        <v>0.67167107927114156</v>
      </c>
      <c r="GU67" s="50">
        <f t="shared" si="88"/>
        <v>0.28531381404765616</v>
      </c>
      <c r="GV67" s="50">
        <f t="shared" si="89"/>
        <v>4.3015106681202307E-2</v>
      </c>
      <c r="GW67" s="51">
        <f t="shared" si="90"/>
        <v>22084</v>
      </c>
      <c r="GX67" s="51">
        <f t="shared" si="91"/>
        <v>17603</v>
      </c>
      <c r="GY67" s="14">
        <f>INT(SUMPRODUCT($AP67:$AT67,$BF67:$BJ67)/SUM($BF67:$BJ67)/10000*$BX$7*$BZ$46/'疲劳值&amp;地图信息'!$R$10*$BY$57)</f>
        <v>1841</v>
      </c>
      <c r="GZ67" s="50">
        <f t="shared" si="92"/>
        <v>0.53178578308611058</v>
      </c>
      <c r="HA67" s="50">
        <f t="shared" si="93"/>
        <v>0.4238826815642458</v>
      </c>
      <c r="HB67" s="50">
        <f t="shared" si="94"/>
        <v>4.4331535349643611E-2</v>
      </c>
      <c r="HD67" s="14">
        <f t="shared" si="95"/>
        <v>18891</v>
      </c>
      <c r="HE67" s="14">
        <f t="shared" si="96"/>
        <v>20530</v>
      </c>
      <c r="HF67" s="14">
        <f t="shared" si="97"/>
        <v>23446</v>
      </c>
      <c r="HG67" s="14">
        <f t="shared" si="98"/>
        <v>32105</v>
      </c>
      <c r="HH67" s="14">
        <f t="shared" si="99"/>
        <v>41528</v>
      </c>
      <c r="HI67" s="14">
        <f t="shared" si="100"/>
        <v>2151427</v>
      </c>
      <c r="HL67" s="14">
        <f t="shared" si="101"/>
        <v>430050</v>
      </c>
      <c r="HM67" s="50">
        <f t="shared" si="9"/>
        <v>0.16659067657778862</v>
      </c>
      <c r="HO67" s="14">
        <f t="shared" si="102"/>
        <v>2581477</v>
      </c>
    </row>
    <row r="68" spans="11:223" x14ac:dyDescent="0.2">
      <c r="K68" s="14">
        <v>63</v>
      </c>
      <c r="L68" s="12">
        <f>求节点(节奏总纲!D$4:D$163,标准城池设计!AB$4:AB$163,$K68)*求节点(节奏总纲!D$4:D$163,攻城基础信息!$AC$5:$AC$164,$K68)</f>
        <v>358481.8480730881</v>
      </c>
      <c r="M68" s="12">
        <f>INDEX(其他调用!$AA$5:$AA$404,MATCH(K68,其他调用!$X$5:$X$404,0))*MIN(INDEX(其他调用!$AH$5:$AH$364,MATCH('征服点（新）'!K68,其他调用!$AG$5:$AG$364,0),1)/INDEX(其他调用!$AJ$5:$AJ$364,MATCH(K68,其他调用!$AG$5:$AG$364,0),0),5)*求节点(节奏总纲!D$4:D$163,攻城基础信息!$AC$5:$AC$164,$K68)</f>
        <v>38448.806258649412</v>
      </c>
      <c r="N68" s="12">
        <f>MIN(INDEX(其他调用!$AH$5:$AH$364,MATCH($K68,其他调用!$AG$5:$AG$364,0),1)/INDEX(其他调用!AH$5:AH$364,MATCH($K68,其他调用!$AG$5:$AG$364,0),0),1)*INDEX(其他调用!Y$5:Y$404,MATCH($K68,其他调用!$X$5:$X$404,0),0)</f>
        <v>33508.047949105283</v>
      </c>
      <c r="O68" s="12">
        <f>MIN(INDEX(其他调用!$AH$5:$AH$364,MATCH($K68,其他调用!$AG$5:$AG$364,0),1)/INDEX(其他调用!AI$5:AI$364,MATCH($K68,其他调用!$AG$5:$AG$364,0),0),1)*INDEX(其他调用!Z$5:Z$404,MATCH($K68,其他调用!$X$5:$X$404,0),0)</f>
        <v>23548.785915129436</v>
      </c>
      <c r="P68" s="12">
        <f>MIN(INDEX(其他调用!$AH$5:$AH$364,MATCH($K68,其他调用!$AG$5:$AG$364,0),1)/INDEX(其他调用!AJ$5:AJ$364,MATCH($K68,其他调用!$AG$5:$AG$364,0),0),1)*INDEX(其他调用!AA$5:AA$404,MATCH($K68,其他调用!$X$5:$X$404,0),0)</f>
        <v>13570.166914817439</v>
      </c>
      <c r="Q68" s="12">
        <f>MIN(INDEX(其他调用!$AH$5:$AH$364,MATCH($K68,其他调用!$AG$5:$AG$364,0),1)/INDEX(其他调用!AK$5:AK$364,MATCH($K68,其他调用!$AG$5:$AG$364,0),0),1)*INDEX(其他调用!AB$5:AB$404,MATCH($K68,其他调用!$X$5:$X$404,0),0)</f>
        <v>5544.5935458339236</v>
      </c>
      <c r="R68" s="12">
        <f>MIN(INDEX(其他调用!$AH$5:$AH$364,MATCH($K68,其他调用!$AG$5:$AG$364,0),1)/INDEX(其他调用!AL$5:AL$364,MATCH($K68,其他调用!$AG$5:$AG$364,0),0),1)*INDEX(其他调用!AC$5:AC$404,MATCH($K68,其他调用!$X$5:$X$404,0),0)</f>
        <v>1812.2995913661623</v>
      </c>
      <c r="S68" s="12">
        <f>求节点(节奏总纲!D$4:D$163,标准城池设计!AC$4:AC$163,$K68)*求节点(节奏总纲!D$4:D$163,攻城基础信息!$AD$5:$AD$164,$K68)</f>
        <v>373951.03426757723</v>
      </c>
      <c r="T68" s="12">
        <f>INDEX(其他调用!$AA$5:$AA$404,MATCH($K68,其他调用!$X$5:$X$404,0))*MIN(INDEX(其他调用!AI$5:AI$364,MATCH($K68,其他调用!$AG$5:$AG$364,0),1)/INDEX(其他调用!$AJ$5:$AJ$364,MATCH($K68,其他调用!$AG$5:$AG$364,0),0),5)*求节点(节奏总纲!D$4:D$163,攻城基础信息!$AD$5:$AD$164,$K68)</f>
        <v>56552.445314703211</v>
      </c>
      <c r="U68" s="12">
        <f>MIN(INDEX(其他调用!$AI$5:$AI$364,MATCH($K68,其他调用!$AG$5:$AG$364,0),1)/INDEX(其他调用!AH$5:AH$364,MATCH($K68,其他调用!$AG$5:$AG$364,0),0),1)*INDEX(其他调用!Y$5:Y$404,MATCH($K68,其他调用!$X$5:$X$404,0),0)</f>
        <v>33508.047949105283</v>
      </c>
      <c r="V68" s="12">
        <f>MIN(INDEX(其他调用!$AI$5:$AI$364,MATCH($K68,其他调用!$AG$5:$AG$364,0),1)/INDEX(其他调用!AI$5:AI$364,MATCH($K68,其他调用!$AG$5:$AG$364,0),0),1)*INDEX(其他调用!Z$5:Z$404,MATCH($K68,其他调用!$X$5:$X$404,0),0)</f>
        <v>34636.743173097173</v>
      </c>
      <c r="W68" s="12">
        <f>MIN(INDEX(其他调用!$AI$5:$AI$364,MATCH($K68,其他调用!$AG$5:$AG$364,0),1)/INDEX(其他调用!AJ$5:AJ$364,MATCH($K68,其他调用!$AG$5:$AG$364,0),0),1)*INDEX(其他调用!AA$5:AA$404,MATCH($K68,其他调用!$X$5:$X$404,0),0)</f>
        <v>19959.686581659957</v>
      </c>
      <c r="X68" s="12">
        <f>MIN(INDEX(其他调用!$AI$5:$AI$364,MATCH($K68,其他调用!$AG$5:$AG$364,0),1)/INDEX(其他调用!AK$5:AK$364,MATCH($K68,其他调用!$AG$5:$AG$364,0),0),1)*INDEX(其他调用!AB$5:AB$404,MATCH($K68,其他调用!$X$5:$X$404,0),0)</f>
        <v>8155.2681033495301</v>
      </c>
      <c r="Y68" s="12">
        <f>MIN(INDEX(其他调用!$AI$5:$AI$364,MATCH($K68,其他调用!$AG$5:$AG$364,0),1)/INDEX(其他调用!AL$5:AL$364,MATCH($K68,其他调用!$AG$5:$AG$364,0),0),1)*INDEX(其他调用!AC$5:AC$404,MATCH($K68,其他调用!$X$5:$X$404,0),0)</f>
        <v>2665.6217320541077</v>
      </c>
      <c r="Z68" s="12">
        <f>求节点(节奏总纲!D$4:D$163,标准城池设计!AD$4:AD$163,$K68)*求节点(节奏总纲!D$4:D$163,攻城基础信息!$AE$5:$AE$164,$K68)</f>
        <v>397122.18265107559</v>
      </c>
      <c r="AA68" s="12">
        <f>INDEX(其他调用!$AA$5:$AA$404,MATCH($K68,其他调用!$X$5:$X$404,0))*MIN(INDEX(其他调用!AJ$5:AJ$364,MATCH($K68,其他调用!$AG$5:$AG$364,0),1)/INDEX(其他调用!$AJ$5:$AJ$364,MATCH($K68,其他调用!$AG$5:$AG$364,0),0),5)*求节点(节奏总纲!D$4:D$163,攻城基础信息!$AE$5:$AE$164,$K68)</f>
        <v>102363.23474185953</v>
      </c>
      <c r="AB68" s="12">
        <f>MIN(INDEX(其他调用!$AJ$5:$AJ$364,MATCH($K68,其他调用!$AG$5:$AG$364,0),1)/INDEX(其他调用!AH$5:AH$364,MATCH($K68,其他调用!$AG$5:$AG$364,0),0),1)*INDEX(其他调用!Y$5:Y$404,MATCH($K68,其他调用!$X$5:$X$404,0),0)</f>
        <v>33508.047949105283</v>
      </c>
      <c r="AC68" s="12">
        <f>MIN(INDEX(其他调用!$AJ$5:$AJ$364,MATCH($K68,其他调用!$AG$5:$AG$364,0),1)/INDEX(其他调用!AI$5:AI$364,MATCH($K68,其他调用!$AG$5:$AG$364,0),0),1)*INDEX(其他调用!Z$5:Z$404,MATCH($K68,其他调用!$X$5:$X$404,0),0)</f>
        <v>34636.743173097173</v>
      </c>
      <c r="AD68" s="12">
        <f>MIN(INDEX(其他调用!$AJ$5:$AJ$364,MATCH($K68,其他调用!$AG$5:$AG$364,0),1)/INDEX(其他调用!AJ$5:AJ$364,MATCH($K68,其他调用!$AG$5:$AG$364,0),0),1)*INDEX(其他调用!AA$5:AA$404,MATCH($K68,其他调用!$X$5:$X$404,0),0)</f>
        <v>36128.200497126891</v>
      </c>
      <c r="AE68" s="12">
        <f>MIN(INDEX(其他调用!$AJ$5:$AJ$364,MATCH($K68,其他调用!$AG$5:$AG$364,0),1)/INDEX(其他调用!AK$5:AK$364,MATCH($K68,其他调用!$AG$5:$AG$364,0),0),1)*INDEX(其他调用!AB$5:AB$404,MATCH($K68,其他调用!$X$5:$X$404,0),0)</f>
        <v>14761.512408534629</v>
      </c>
      <c r="AF68" s="12">
        <f>MIN(INDEX(其他调用!$AJ$5:$AJ$364,MATCH($K68,其他调用!$AG$5:$AG$364,0),1)/INDEX(其他调用!AL$5:AL$364,MATCH($K68,其他调用!$AG$5:$AG$364,0),0),1)*INDEX(其他调用!AC$5:AC$404,MATCH($K68,其他调用!$X$5:$X$404,0),0)</f>
        <v>4824.931292941189</v>
      </c>
      <c r="AG68" s="12">
        <f>求节点(节奏总纲!D$4:D$163,标准城池设计!AE$4:AE$163,$K68)*求节点(节奏总纲!D$4:D$163,攻城基础信息!$AF$5:$AF$164,$K68)</f>
        <v>450350.71721348487</v>
      </c>
      <c r="AH68" s="12">
        <f>INDEX(其他调用!$AA$5:$AA$404,MATCH($K68,其他调用!$X$5:$X$404,0))*MIN(INDEX(其他调用!AK$5:AK$364,MATCH($K68,其他调用!$AG$5:$AG$364,0),1)/INDEX(其他调用!$AJ$5:$AJ$364,MATCH($K68,其他调用!$AG$5:$AG$364,0),0),5)*求节点(节奏总纲!D$4:D$163,攻城基础信息!$AF$5:$AF$164,$K68)</f>
        <v>265650.57783195254</v>
      </c>
      <c r="AI68" s="12">
        <f>MIN(INDEX(其他调用!$AK$5:$AK$364,MATCH($K68,其他调用!$AG$5:$AG$364,0),1)/INDEX(其他调用!AH$5:AH$364,MATCH($K68,其他调用!$AG$5:$AG$364,0),0),1)*INDEX(其他调用!Y$5:Y$404,MATCH($K68,其他调用!$X$5:$X$404,0),0)</f>
        <v>33508.047949105283</v>
      </c>
      <c r="AJ68" s="12">
        <f>MIN(INDEX(其他调用!$AK$5:$AK$364,MATCH($K68,其他调用!$AG$5:$AG$364,0),1)/INDEX(其他调用!AI$5:AI$364,MATCH($K68,其他调用!$AG$5:$AG$364,0),0),1)*INDEX(其他调用!Z$5:Z$404,MATCH($K68,其他调用!$X$5:$X$404,0),0)</f>
        <v>34636.743173097173</v>
      </c>
      <c r="AK68" s="12">
        <f>MIN(INDEX(其他调用!$AK$5:$AK$364,MATCH($K68,其他调用!$AG$5:$AG$364,0),1)/INDEX(其他调用!AJ$5:AJ$364,MATCH($K68,其他调用!$AG$5:$AG$364,0),0),1)*INDEX(其他调用!AA$5:AA$404,MATCH($K68,其他调用!$X$5:$X$404,0),0)</f>
        <v>36128.200497126891</v>
      </c>
      <c r="AL68" s="12">
        <f>MIN(INDEX(其他调用!$AK$5:$AK$364,MATCH($K68,其他调用!$AG$5:$AG$364,0),1)/INDEX(其他调用!AK$5:AK$364,MATCH($K68,其他调用!$AG$5:$AG$364,0),0),1)*INDEX(其他调用!AB$5:AB$404,MATCH($K68,其他调用!$X$5:$X$404,0),0)</f>
        <v>38308.718075291305</v>
      </c>
      <c r="AM68" s="12">
        <f>MIN(INDEX(其他调用!$AK$5:$AK$364,MATCH($K68,其他调用!$AG$5:$AG$364,0),1)/INDEX(其他调用!AL$5:AL$364,MATCH($K68,其他调用!$AG$5:$AG$364,0),0),1)*INDEX(其他调用!AC$5:AC$404,MATCH($K68,其他调用!$X$5:$X$404,0),0)</f>
        <v>12521.54437285627</v>
      </c>
      <c r="AN68" s="12">
        <f>求节点(节奏总纲!D$4:D$163,标准城池设计!AF$4:AF$163,$K68)*求节点(节奏总纲!D$4:D$163,攻城基础信息!$AG$5:$AG$164,$K68)</f>
        <v>460641.95644496672</v>
      </c>
      <c r="AO68" s="12">
        <f>INDEX(其他调用!$AA$5:$AA$404,MATCH($K68,其他调用!$X$5:$X$404,0))*MIN(INDEX(其他调用!AL$5:AL$364,MATCH($K68,其他调用!$AG$5:$AG$364,0),1)/INDEX(其他调用!$AJ$5:$AJ$364,MATCH($K68,其他调用!$AG$5:$AG$364,0),0),5)*求节点(节奏总纲!D$4:D$163,攻城基础信息!$AG$5:$AG$164,$K68)</f>
        <v>511816.17370929767</v>
      </c>
      <c r="AP68" s="12">
        <f>MIN(INDEX(其他调用!$AL$5:$AL$364,MATCH($K68,其他调用!$AG$5:$AG$364,0),1)/INDEX(其他调用!AH$5:AH$364,MATCH($K68,其他调用!$AG$5:$AG$364,0),0),1)*INDEX(其他调用!Y$5:Y$404,MATCH($K68,其他调用!$X$5:$X$404,0),0)</f>
        <v>33508.047949105283</v>
      </c>
      <c r="AQ68" s="12">
        <f>MIN(INDEX(其他调用!$AL$5:$AL$364,MATCH($K68,其他调用!$AG$5:$AG$364,0),1)/INDEX(其他调用!AI$5:AI$364,MATCH($K68,其他调用!$AG$5:$AG$364,0),0),1)*INDEX(其他调用!Z$5:Z$404,MATCH($K68,其他调用!$X$5:$X$404,0),0)</f>
        <v>34636.743173097173</v>
      </c>
      <c r="AR68" s="12">
        <f>MIN(INDEX(其他调用!$AL$5:$AL$364,MATCH($K68,其他调用!$AG$5:$AG$364,0),1)/INDEX(其他调用!AJ$5:AJ$364,MATCH($K68,其他调用!$AG$5:$AG$364,0),0),1)*INDEX(其他调用!AA$5:AA$404,MATCH($K68,其他调用!$X$5:$X$404,0),0)</f>
        <v>36128.200497126891</v>
      </c>
      <c r="AS68" s="12">
        <f>MIN(INDEX(其他调用!$AL$5:$AL$364,MATCH($K68,其他调用!$AG$5:$AG$364,0),1)/INDEX(其他调用!AK$5:AK$364,MATCH($K68,其他调用!$AG$5:$AG$364,0),0),1)*INDEX(其他调用!AB$5:AB$404,MATCH($K68,其他调用!$X$5:$X$404,0),0)</f>
        <v>38308.718075291305</v>
      </c>
      <c r="AT68" s="12">
        <f>MIN(INDEX(其他调用!$AL$5:$AL$364,MATCH($K68,其他调用!$AG$5:$AG$364,0),1)/INDEX(其他调用!AL$5:AL$364,MATCH($K68,其他调用!$AG$5:$AG$364,0),0),1)*INDEX(其他调用!AC$5:AC$404,MATCH($K68,其他调用!$X$5:$X$404,0),0)</f>
        <v>42135.590051389052</v>
      </c>
      <c r="AV68" s="14">
        <f>IF(OR(AV$5="大R",AV$5="超R"),MAX(INDEX(其他调用!$H$5:$L$404,MATCH($K68,其他调用!$B$5:$B$404,0),MATCH(AV$5,其他调用!$H$4:$L$4,0))*120*0.85,2),INDEX(其他调用!$H$5:$L$404,MATCH($K68,其他调用!$B$5:$B$404,0),MATCH(AV$5,其他调用!$H$4:$L$4,0))*120*0.85)</f>
        <v>51.239149735500014</v>
      </c>
      <c r="AW68" s="14">
        <f>IF(OR(AW$5="大R",AW$5="超R"),MAX(INDEX(其他调用!$H$5:$L$404,MATCH($K68,其他调用!$B$5:$B$404,0),MATCH(AW$5,其他调用!$H$4:$L$4,0))*120*0.85,2),INDEX(其他调用!$H$5:$L$404,MATCH($K68,其他调用!$B$5:$B$404,0),MATCH(AW$5,其他调用!$H$4:$L$4,0))*120*0.85)</f>
        <v>46.040149375767825</v>
      </c>
      <c r="AX68" s="14">
        <f>IF(OR(AX$5="大R",AX$5="超R"),MAX(INDEX(其他调用!$H$5:$L$404,MATCH($K68,其他调用!$B$5:$B$404,0),MATCH(AX$5,其他调用!$H$4:$L$4,0))*120*0.85,2),INDEX(其他调用!$H$5:$L$404,MATCH($K68,其他调用!$B$5:$B$404,0),MATCH(AX$5,其他调用!$H$4:$L$4,0))*120*0.85)</f>
        <v>3.8852560167321606</v>
      </c>
      <c r="AY68" s="14">
        <f>IF(OR(AY$5="大R",AY$5="超R"),MAX(INDEX(其他调用!$H$5:$L$404,MATCH($K68,其他调用!$B$5:$B$404,0),MATCH(AY$5,其他调用!$H$4:$L$4,0))*120*0.85,2),INDEX(其他调用!$H$5:$L$404,MATCH($K68,其他调用!$B$5:$B$404,0),MATCH(AY$5,其他调用!$H$4:$L$4,0))*120*0.85)</f>
        <v>2</v>
      </c>
      <c r="AZ68" s="14">
        <f>IF(OR(AZ$5="大R",AZ$5="超R"),MAX(INDEX(其他调用!$H$5:$L$404,MATCH($K68,其他调用!$B$5:$B$404,0),MATCH(AZ$5,其他调用!$H$4:$L$4,0))*120*0.85,2),INDEX(其他调用!$H$5:$L$404,MATCH($K68,其他调用!$B$5:$B$404,0),MATCH(AZ$5,其他调用!$H$4:$L$4,0))*120*0.85)</f>
        <v>2</v>
      </c>
      <c r="BA68" s="14">
        <f>INDEX(其他调用!$H$5:$L$404,MATCH($K68,其他调用!$B$5:$B$404,0),MATCH(BA$5,其他调用!$H$4:$L$4,0))*INDEX(其他调用!$M$5:$M$404,MATCH($K68,其他调用!$B$5:$B$404,0))*0.6</f>
        <v>29.039432556997408</v>
      </c>
      <c r="BB68" s="14">
        <f>INDEX(其他调用!$H$5:$L$404,MATCH($K68,其他调用!$B$5:$B$404,0),MATCH(BB$5,其他调用!$H$4:$L$4,0))*INDEX(其他调用!$M$5:$M$404,MATCH($K68,其他调用!$B$5:$B$404,0))*0.6</f>
        <v>26.092935179706863</v>
      </c>
      <c r="BC68" s="14">
        <f>INDEX(其他调用!$H$5:$L$404,MATCH($K68,其他调用!$B$5:$B$404,0),MATCH(BC$5,其他调用!$H$4:$L$4,0))*INDEX(其他调用!$M$5:$M$404,MATCH($K68,其他调用!$B$5:$B$404,0))*0.6</f>
        <v>2.2019418871502663</v>
      </c>
      <c r="BD68" s="14">
        <f>INDEX(其他调用!$H$5:$L$404,MATCH($K68,其他调用!$B$5:$B$404,0),MATCH(BD$5,其他调用!$H$4:$L$4,0))*INDEX(其他调用!$M$5:$M$404,MATCH($K68,其他调用!$B$5:$B$404,0))*0.6</f>
        <v>0.37209234102857153</v>
      </c>
      <c r="BE68" s="14">
        <f>INDEX(其他调用!$H$5:$L$404,MATCH($K68,其他调用!$B$5:$B$404,0),MATCH(BE$5,其他调用!$H$4:$L$4,0))*INDEX(其他调用!$M$5:$M$404,MATCH($K68,其他调用!$B$5:$B$404,0))*0.6</f>
        <v>0.10139024290909088</v>
      </c>
      <c r="BF68" s="14">
        <f>IF(OR(BF$5="大R",BF$5="超R"),0,INDEX(其他调用!$H$5:$L$404,MATCH($K68,其他调用!$B$5:$B$404,0),MATCH(BF$5,其他调用!$H$4:$L$4,0))*50*0.4)</f>
        <v>10.046892105000003</v>
      </c>
      <c r="BG68" s="14">
        <f>IF(OR(BG$5="大R",BG$5="超R"),0,INDEX(其他调用!$H$5:$L$404,MATCH($K68,其他调用!$B$5:$B$404,0),MATCH(BG$5,其他调用!$H$4:$L$4,0))*50*0.4)</f>
        <v>9.0274802697583976</v>
      </c>
      <c r="BH68" s="14">
        <f>IF(OR(BH$5="大R",BH$5="超R"),0,INDEX(其他调用!$H$5:$L$404,MATCH($K68,其他调用!$B$5:$B$404,0),MATCH(BH$5,其他调用!$H$4:$L$4,0))*50*0.4)</f>
        <v>0.76181490524160012</v>
      </c>
      <c r="BI68" s="14">
        <f>IF(OR(BI$5="大R",BI$5="超R"),0,INDEX(其他调用!$H$5:$L$404,MATCH($K68,其他调用!$B$5:$B$404,0),MATCH(BI$5,其他调用!$H$4:$L$4,0))*50*0.4)</f>
        <v>0</v>
      </c>
      <c r="BJ68" s="14">
        <f>IF(OR(BJ$5="大R",BJ$5="超R"),0,INDEX(其他调用!$H$5:$L$404,MATCH($K68,其他调用!$B$5:$B$404,0),MATCH(BJ$5,其他调用!$H$4:$L$4,0))*50*0.4)</f>
        <v>0</v>
      </c>
      <c r="BL68" s="14">
        <f t="shared" si="103"/>
        <v>63</v>
      </c>
      <c r="BM68" s="14">
        <f t="shared" si="10"/>
        <v>96</v>
      </c>
      <c r="BN68" s="14">
        <f>('疲劳值&amp;地图信息'!$S$10*'疲劳值&amp;地图信息'!$R$10+'疲劳值&amp;地图信息'!$S$11*'疲劳值&amp;地图信息'!$R$11+'疲劳值&amp;地图信息'!$S$12*'疲劳值&amp;地图信息'!$R$12+(BM68-'疲劳值&amp;地图信息'!$S$12-'疲劳值&amp;地图信息'!$S$11-'疲劳值&amp;地图信息'!$S$10)*'疲劳值&amp;地图信息'!$R$13)/BM68</f>
        <v>51.371477246638619</v>
      </c>
      <c r="BO68" s="14">
        <f>INDEX(其他调用!$M$5:$M$404,MATCH(BL68,其他调用!$B$5:$B$404,0))*0.6</f>
        <v>57.807792207792204</v>
      </c>
      <c r="BP68" s="14">
        <f>IF(BO68&gt;SUM('疲劳值&amp;地图信息'!$S$10:$S$12),('疲劳值&amp;地图信息'!$S$10*'疲劳值&amp;地图信息'!$R$10+'疲劳值&amp;地图信息'!$S$11*'疲劳值&amp;地图信息'!$R$11+'疲劳值&amp;地图信息'!$S$12*'疲劳值&amp;地图信息'!$R$12+(BO68-'疲劳值&amp;地图信息'!$S$12-'疲劳值&amp;地图信息'!$S$11-'疲劳值&amp;地图信息'!$S$10)*'疲劳值&amp;地图信息'!$R$13)/BO68,('疲劳值&amp;地图信息'!$S$10*'疲劳值&amp;地图信息'!$R$10+'疲劳值&amp;地图信息'!$S$11*'疲劳值&amp;地图信息'!$R$11+'疲劳值&amp;地图信息'!$S$12*'疲劳值&amp;地图信息'!$R$12+(BO68-'疲劳值&amp;地图信息'!$S$12-'疲劳值&amp;地图信息'!$S$11-'疲劳值&amp;地图信息'!$S$10)*'疲劳值&amp;地图信息'!$R$13)/BO68)</f>
        <v>43.428677951497207</v>
      </c>
      <c r="BQ68" s="14">
        <f t="shared" si="104"/>
        <v>20</v>
      </c>
      <c r="BR68" s="14">
        <f>('疲劳值&amp;地图信息'!$S$10*'疲劳值&amp;地图信息'!$R$10+($BQ68-'疲劳值&amp;地图信息'!$S$10)*'疲劳值&amp;地图信息'!$R$11)/$BQ68</f>
        <v>32.067203015074995</v>
      </c>
      <c r="CF68" s="14">
        <v>63</v>
      </c>
      <c r="CG68" s="51">
        <f t="shared" si="11"/>
        <v>7429</v>
      </c>
      <c r="CH68" s="51">
        <f t="shared" si="12"/>
        <v>796</v>
      </c>
      <c r="CI68" s="51">
        <f>INT(SUMPRODUCT($N68:$R68,$BA68:$BE68)/SUM($BA68:$BE68)/10000*$BX$7*$BZ$34/'疲劳值&amp;地图信息'!$R$10*$BY$53)</f>
        <v>2842</v>
      </c>
      <c r="CJ68" s="50">
        <f t="shared" si="13"/>
        <v>0.6712749615975423</v>
      </c>
      <c r="CK68" s="50">
        <f t="shared" si="14"/>
        <v>7.1925544411312908E-2</v>
      </c>
      <c r="CL68" s="50">
        <f t="shared" si="15"/>
        <v>0.25679949399114482</v>
      </c>
      <c r="CM68" s="14">
        <f t="shared" si="16"/>
        <v>7749</v>
      </c>
      <c r="CN68" s="14">
        <f t="shared" si="17"/>
        <v>1171</v>
      </c>
      <c r="CO68" s="14">
        <f>INT(SUMPRODUCT($U68:$Y68,$BA68:$BE68)/SUM($BA68:$BE68)/10000*$BX$7*$BZ$34/'疲劳值&amp;地图信息'!$R$10*$BY$54)</f>
        <v>5065</v>
      </c>
      <c r="CP68" s="50">
        <f t="shared" si="18"/>
        <v>0.55409367179120483</v>
      </c>
      <c r="CQ68" s="50">
        <f t="shared" si="19"/>
        <v>8.3732570611369322E-2</v>
      </c>
      <c r="CR68" s="50">
        <f t="shared" si="20"/>
        <v>0.36217375759742582</v>
      </c>
      <c r="CS68" s="14">
        <f t="shared" si="21"/>
        <v>8229</v>
      </c>
      <c r="CT68" s="14">
        <f t="shared" si="22"/>
        <v>2121</v>
      </c>
      <c r="CU68" s="14">
        <f>INT(SUMPRODUCT($AB68:$AF68,$BA68:$BE68)/SUM($BA68:$BE68)/10000*$BX$7*$BZ$34/'疲劳值&amp;地图信息'!$R$10*$BY$55)</f>
        <v>6888</v>
      </c>
      <c r="CV68" s="50">
        <f t="shared" si="23"/>
        <v>0.47737556561085975</v>
      </c>
      <c r="CW68" s="50">
        <f t="shared" si="24"/>
        <v>0.12304211625478594</v>
      </c>
      <c r="CX68" s="50">
        <f t="shared" si="25"/>
        <v>0.39958231813435435</v>
      </c>
      <c r="CY68" s="14">
        <f t="shared" si="26"/>
        <v>9332</v>
      </c>
      <c r="CZ68" s="14">
        <f t="shared" si="27"/>
        <v>5505</v>
      </c>
      <c r="DA68" s="14">
        <f>INT(SUMPRODUCT($AI68:$AM68,$BA68:$BE68)/SUM($BA68:$BE68)/10000*$BX$7*$BZ$34/'疲劳值&amp;地图信息'!$R$10*$BY$56)</f>
        <v>10383</v>
      </c>
      <c r="DB68" s="50">
        <f t="shared" si="28"/>
        <v>0.37002379064234736</v>
      </c>
      <c r="DC68" s="50">
        <f t="shared" si="29"/>
        <v>0.2182791435368755</v>
      </c>
      <c r="DD68" s="50">
        <f t="shared" si="30"/>
        <v>0.41169706582077714</v>
      </c>
      <c r="DE68" s="14">
        <f t="shared" si="31"/>
        <v>9546</v>
      </c>
      <c r="DF68" s="14">
        <f t="shared" si="32"/>
        <v>10606</v>
      </c>
      <c r="DG68" s="14">
        <f>INT(SUMPRODUCT($AP68:$AT68,$BA68:$BE68)/SUM($BA68:$BE68)/10000*$BX$7*$BZ$34/'疲劳值&amp;地图信息'!$R$10*$BY$57)</f>
        <v>13865</v>
      </c>
      <c r="DH68" s="50">
        <f t="shared" si="33"/>
        <v>0.28062439368551018</v>
      </c>
      <c r="DI68" s="50">
        <f t="shared" si="34"/>
        <v>0.31178528382867388</v>
      </c>
      <c r="DJ68" s="50">
        <f t="shared" si="35"/>
        <v>0.40759032248581589</v>
      </c>
      <c r="DL68" s="14">
        <f t="shared" si="106"/>
        <v>11067</v>
      </c>
      <c r="DM68" s="14">
        <f t="shared" si="107"/>
        <v>13985</v>
      </c>
      <c r="DN68" s="14">
        <f t="shared" si="108"/>
        <v>17238</v>
      </c>
      <c r="DO68" s="14">
        <f t="shared" si="109"/>
        <v>25220</v>
      </c>
      <c r="DP68" s="14">
        <f t="shared" si="110"/>
        <v>34017</v>
      </c>
      <c r="DQ68" s="14">
        <f t="shared" si="111"/>
        <v>737079</v>
      </c>
      <c r="DT68" s="14">
        <f t="shared" si="105"/>
        <v>235575</v>
      </c>
      <c r="DU68" s="50">
        <f t="shared" si="7"/>
        <v>0.24219815062704722</v>
      </c>
      <c r="DW68" s="14">
        <f t="shared" si="36"/>
        <v>972654</v>
      </c>
      <c r="EB68" s="14">
        <v>63</v>
      </c>
      <c r="EC68" s="51">
        <f t="shared" si="37"/>
        <v>12381</v>
      </c>
      <c r="ED68" s="51">
        <f t="shared" si="38"/>
        <v>1327</v>
      </c>
      <c r="EE68" s="51">
        <f>INT(SUMPRODUCT($N68:$R68,$BF68:$BJ68)/SUM($BF68:$BJ68)/10000*$BX$7*$BZ$46/'疲劳值&amp;地图信息'!$R$10*$BY$53)</f>
        <v>381</v>
      </c>
      <c r="EF68" s="50">
        <f t="shared" si="39"/>
        <v>0.87877067215558236</v>
      </c>
      <c r="EG68" s="50">
        <f t="shared" si="40"/>
        <v>9.4186954361558661E-2</v>
      </c>
      <c r="EH68" s="50">
        <f t="shared" si="41"/>
        <v>2.704237348285897E-2</v>
      </c>
      <c r="EI68" s="51">
        <f t="shared" si="42"/>
        <v>12916</v>
      </c>
      <c r="EJ68" s="51">
        <f t="shared" si="43"/>
        <v>1953</v>
      </c>
      <c r="EK68" s="14">
        <f>INT(SUMPRODUCT($U68:$Y68,$BF68:$BJ68)/SUM($BF68:$BJ68)/10000*$BX$7*$BZ$46/'疲劳值&amp;地图信息'!$R$10*$BY$54)</f>
        <v>679</v>
      </c>
      <c r="EL68" s="50">
        <f t="shared" si="44"/>
        <v>0.83071777720607154</v>
      </c>
      <c r="EM68" s="50">
        <f t="shared" si="45"/>
        <v>0.12561101106251607</v>
      </c>
      <c r="EN68" s="50">
        <f t="shared" si="46"/>
        <v>4.3671211731412397E-2</v>
      </c>
      <c r="EO68" s="51">
        <f t="shared" si="47"/>
        <v>13716</v>
      </c>
      <c r="EP68" s="51">
        <f t="shared" si="48"/>
        <v>3535</v>
      </c>
      <c r="EQ68" s="14">
        <f>INT(SUMPRODUCT($AB68:$AF68,$BF68:$BJ68)/SUM($BF68:$BJ68)/10000*$BX$7*$BZ$46/'疲劳值&amp;地图信息'!$R$10*$BY$55)</f>
        <v>923</v>
      </c>
      <c r="ER68" s="50">
        <f t="shared" si="49"/>
        <v>0.75470452294486634</v>
      </c>
      <c r="ES68" s="50">
        <f t="shared" si="50"/>
        <v>0.1945086387146473</v>
      </c>
      <c r="ET68" s="50">
        <f t="shared" si="51"/>
        <v>5.0786838340486411E-2</v>
      </c>
      <c r="EU68" s="51">
        <f t="shared" si="52"/>
        <v>15554</v>
      </c>
      <c r="EV68" s="51">
        <f t="shared" si="53"/>
        <v>9175</v>
      </c>
      <c r="EW68" s="14">
        <f>INT(SUMPRODUCT($AI68:$AM68,$BF68:$BJ68)/SUM($BF68:$BJ68)/10000*$BX$7*$BZ$46/'疲劳值&amp;地图信息'!$R$10*$BY$56)</f>
        <v>1384</v>
      </c>
      <c r="EX68" s="50">
        <f t="shared" si="54"/>
        <v>0.59564201738597633</v>
      </c>
      <c r="EY68" s="50">
        <f t="shared" si="55"/>
        <v>0.35135756136790103</v>
      </c>
      <c r="EZ68" s="50">
        <f t="shared" si="56"/>
        <v>5.3000421246122621E-2</v>
      </c>
      <c r="FA68" s="51">
        <f t="shared" si="57"/>
        <v>15910</v>
      </c>
      <c r="FB68" s="51">
        <f t="shared" si="58"/>
        <v>17677</v>
      </c>
      <c r="FC68" s="14">
        <f>INT(SUMPRODUCT($AP68:$AT68,$BF68:$BJ68)/SUM($BF68:$BJ68)/10000*$BX$7*$BZ$46/'疲劳值&amp;地图信息'!$R$10*$BY$57)</f>
        <v>1846</v>
      </c>
      <c r="FD68" s="50">
        <f t="shared" si="59"/>
        <v>0.44901645358846271</v>
      </c>
      <c r="FE68" s="50">
        <f t="shared" si="60"/>
        <v>0.49888521999266222</v>
      </c>
      <c r="FF68" s="50">
        <f t="shared" si="61"/>
        <v>5.209832641887506E-2</v>
      </c>
      <c r="FH68" s="14">
        <f t="shared" si="62"/>
        <v>14089</v>
      </c>
      <c r="FI68" s="14">
        <f t="shared" si="63"/>
        <v>15548</v>
      </c>
      <c r="FJ68" s="14">
        <f t="shared" si="64"/>
        <v>18174</v>
      </c>
      <c r="FK68" s="14">
        <f t="shared" si="65"/>
        <v>26113</v>
      </c>
      <c r="FL68" s="14">
        <f t="shared" si="66"/>
        <v>35433</v>
      </c>
      <c r="FM68" s="14">
        <f t="shared" si="67"/>
        <v>1631443</v>
      </c>
      <c r="FP68" s="14">
        <f t="shared" si="68"/>
        <v>334150</v>
      </c>
      <c r="FQ68" s="50">
        <f t="shared" si="8"/>
        <v>0.16999958791062036</v>
      </c>
      <c r="FS68" s="14">
        <f t="shared" si="69"/>
        <v>1965593</v>
      </c>
      <c r="FX68" s="14">
        <v>63</v>
      </c>
      <c r="FY68" s="51">
        <f t="shared" si="70"/>
        <v>17334</v>
      </c>
      <c r="FZ68" s="51">
        <f t="shared" si="71"/>
        <v>1327</v>
      </c>
      <c r="GA68" s="51">
        <f>INT(SUMPRODUCT($N68:$R68,$BF68:$BJ68)/SUM($BF68:$BJ68)/10000*$BX$7*$BZ$46/'疲劳值&amp;地图信息'!$R$10*$BY$53)</f>
        <v>381</v>
      </c>
      <c r="GB68" s="50">
        <f t="shared" si="72"/>
        <v>0.91030353954416554</v>
      </c>
      <c r="GC68" s="50">
        <f t="shared" si="73"/>
        <v>6.9688057977103243E-2</v>
      </c>
      <c r="GD68" s="50">
        <f t="shared" si="74"/>
        <v>2.0008402478731226E-2</v>
      </c>
      <c r="GE68" s="51">
        <f t="shared" si="75"/>
        <v>18082</v>
      </c>
      <c r="GF68" s="51">
        <f t="shared" si="76"/>
        <v>1953</v>
      </c>
      <c r="GG68" s="14">
        <f>INT(SUMPRODUCT($U68:$Y68,$BF68:$BJ68)/SUM($BF68:$BJ68)/10000*$BX$7*$BZ$46/'疲劳值&amp;地图信息'!$R$10*$BY$54)</f>
        <v>679</v>
      </c>
      <c r="GH68" s="50">
        <f t="shared" si="77"/>
        <v>0.87293617843004734</v>
      </c>
      <c r="GI68" s="50">
        <f t="shared" si="78"/>
        <v>9.4284059090470218E-2</v>
      </c>
      <c r="GJ68" s="50">
        <f t="shared" si="79"/>
        <v>3.2779762479482479E-2</v>
      </c>
      <c r="GK68" s="51">
        <f t="shared" si="80"/>
        <v>19202</v>
      </c>
      <c r="GL68" s="51">
        <f t="shared" si="81"/>
        <v>3535</v>
      </c>
      <c r="GM68" s="14">
        <f>INT(SUMPRODUCT($AB68:$AF68,$BF68:$BJ68)/SUM($BF68:$BJ68)/10000*$BX$7*$BZ$46/'疲劳值&amp;地图信息'!$R$10*$BY$55)</f>
        <v>923</v>
      </c>
      <c r="GN68" s="50">
        <f t="shared" si="82"/>
        <v>0.81158072696534234</v>
      </c>
      <c r="GO68" s="50">
        <f t="shared" si="83"/>
        <v>0.14940828402366865</v>
      </c>
      <c r="GP68" s="50">
        <f t="shared" si="84"/>
        <v>3.9010989010989011E-2</v>
      </c>
      <c r="GQ68" s="51">
        <f t="shared" si="85"/>
        <v>21776</v>
      </c>
      <c r="GR68" s="51">
        <f t="shared" si="86"/>
        <v>9175</v>
      </c>
      <c r="GS68" s="14">
        <f>INT(SUMPRODUCT($AI68:$AM68,$BF68:$BJ68)/SUM($BF68:$BJ68)/10000*$BX$7*$BZ$46/'疲劳值&amp;地图信息'!$R$10*$BY$56)</f>
        <v>1384</v>
      </c>
      <c r="GT68" s="50">
        <f t="shared" si="87"/>
        <v>0.67344982217411475</v>
      </c>
      <c r="GU68" s="50">
        <f t="shared" si="88"/>
        <v>0.28374826039894852</v>
      </c>
      <c r="GV68" s="50">
        <f t="shared" si="89"/>
        <v>4.2801917426936759E-2</v>
      </c>
      <c r="GW68" s="51">
        <f t="shared" si="90"/>
        <v>22274</v>
      </c>
      <c r="GX68" s="51">
        <f t="shared" si="91"/>
        <v>17677</v>
      </c>
      <c r="GY68" s="14">
        <f>INT(SUMPRODUCT($AP68:$AT68,$BF68:$BJ68)/SUM($BF68:$BJ68)/10000*$BX$7*$BZ$46/'疲劳值&amp;地图信息'!$R$10*$BY$57)</f>
        <v>1846</v>
      </c>
      <c r="GZ68" s="50">
        <f t="shared" si="92"/>
        <v>0.53290906045888464</v>
      </c>
      <c r="HA68" s="50">
        <f t="shared" si="93"/>
        <v>0.42292509031748687</v>
      </c>
      <c r="HB68" s="50">
        <f t="shared" si="94"/>
        <v>4.4165849223628491E-2</v>
      </c>
      <c r="HD68" s="14">
        <f t="shared" si="95"/>
        <v>19042</v>
      </c>
      <c r="HE68" s="14">
        <f t="shared" si="96"/>
        <v>20714</v>
      </c>
      <c r="HF68" s="14">
        <f t="shared" si="97"/>
        <v>23660</v>
      </c>
      <c r="HG68" s="14">
        <f t="shared" si="98"/>
        <v>32335</v>
      </c>
      <c r="HH68" s="14">
        <f t="shared" si="99"/>
        <v>41797</v>
      </c>
      <c r="HI68" s="14">
        <f t="shared" si="100"/>
        <v>2169560</v>
      </c>
      <c r="HL68" s="14">
        <f t="shared" si="101"/>
        <v>430050</v>
      </c>
      <c r="HM68" s="50">
        <f t="shared" si="9"/>
        <v>0.1654286604529141</v>
      </c>
      <c r="HO68" s="14">
        <f t="shared" si="102"/>
        <v>2599610</v>
      </c>
    </row>
    <row r="69" spans="11:223" x14ac:dyDescent="0.2">
      <c r="K69" s="14">
        <v>64</v>
      </c>
      <c r="L69" s="12">
        <f>求节点(节奏总纲!D$4:D$163,标准城池设计!AB$4:AB$163,$K69)*求节点(节奏总纲!D$4:D$163,攻城基础信息!$AC$5:$AC$164,$K69)</f>
        <v>362086.18305574899</v>
      </c>
      <c r="M69" s="12">
        <f>INDEX(其他调用!$AA$5:$AA$404,MATCH(K69,其他调用!$X$5:$X$404,0))*MIN(INDEX(其他调用!$AH$5:$AH$364,MATCH('征服点（新）'!K69,其他调用!$AG$5:$AG$364,0),1)/INDEX(其他调用!$AJ$5:$AJ$364,MATCH(K69,其他调用!$AG$5:$AG$364,0),0),5)*求节点(节奏总纲!D$4:D$163,攻城基础信息!$AC$5:$AC$164,$K69)</f>
        <v>38573.473296727789</v>
      </c>
      <c r="N69" s="12">
        <f>MIN(INDEX(其他调用!$AH$5:$AH$364,MATCH($K69,其他调用!$AG$5:$AG$364,0),1)/INDEX(其他调用!AH$5:AH$364,MATCH($K69,其他调用!$AG$5:$AG$364,0),0),1)*INDEX(其他调用!Y$5:Y$404,MATCH($K69,其他调用!$X$5:$X$404,0),0)</f>
        <v>33593.308623795514</v>
      </c>
      <c r="O69" s="12">
        <f>MIN(INDEX(其他调用!$AH$5:$AH$364,MATCH($K69,其他调用!$AG$5:$AG$364,0),1)/INDEX(其他调用!AI$5:AI$364,MATCH($K69,其他调用!$AG$5:$AG$364,0),0),1)*INDEX(其他调用!Z$5:Z$404,MATCH($K69,其他调用!$X$5:$X$404,0),0)</f>
        <v>23543.513765228221</v>
      </c>
      <c r="P69" s="12">
        <f>MIN(INDEX(其他调用!$AH$5:$AH$364,MATCH($K69,其他调用!$AG$5:$AG$364,0),1)/INDEX(其他调用!AJ$5:AJ$364,MATCH($K69,其他调用!$AG$5:$AG$364,0),0),1)*INDEX(其他调用!AA$5:AA$404,MATCH($K69,其他调用!$X$5:$X$404,0),0)</f>
        <v>13579.388021107265</v>
      </c>
      <c r="Q69" s="12">
        <f>MIN(INDEX(其他调用!$AH$5:$AH$364,MATCH($K69,其他调用!$AG$5:$AG$364,0),1)/INDEX(其他调用!AK$5:AK$364,MATCH($K69,其他调用!$AG$5:$AG$364,0),0),1)*INDEX(其他调用!AB$5:AB$404,MATCH($K69,其他调用!$X$5:$X$404,0),0)</f>
        <v>5562.5521265136922</v>
      </c>
      <c r="R69" s="12">
        <f>MIN(INDEX(其他调用!$AH$5:$AH$364,MATCH($K69,其他调用!$AG$5:$AG$364,0),1)/INDEX(其他调用!AL$5:AL$364,MATCH($K69,其他调用!$AG$5:$AG$364,0),0),1)*INDEX(其他调用!AC$5:AC$404,MATCH($K69,其他调用!$X$5:$X$404,0),0)</f>
        <v>1815.305877905932</v>
      </c>
      <c r="S69" s="12">
        <f>求节点(节奏总纲!D$4:D$163,标准城池设计!AC$4:AC$163,$K69)*求节点(节奏总纲!D$4:D$163,攻城基础信息!$AD$5:$AD$164,$K69)</f>
        <v>377771.09935037664</v>
      </c>
      <c r="T69" s="12">
        <f>INDEX(其他调用!$AA$5:$AA$404,MATCH($K69,其他调用!$X$5:$X$404,0))*MIN(INDEX(其他调用!AI$5:AI$364,MATCH($K69,其他调用!$AG$5:$AG$364,0),1)/INDEX(其他调用!$AJ$5:$AJ$364,MATCH($K69,其他调用!$AG$5:$AG$364,0),0),5)*求节点(节奏总纲!D$4:D$163,攻城基础信息!$AD$5:$AD$164,$K69)</f>
        <v>56894.435460306042</v>
      </c>
      <c r="U69" s="12">
        <f>MIN(INDEX(其他调用!$AI$5:$AI$364,MATCH($K69,其他调用!$AG$5:$AG$364,0),1)/INDEX(其他调用!AH$5:AH$364,MATCH($K69,其他调用!$AG$5:$AG$364,0),0),1)*INDEX(其他调用!Y$5:Y$404,MATCH($K69,其他调用!$X$5:$X$404,0),0)</f>
        <v>33593.308623795514</v>
      </c>
      <c r="V69" s="12">
        <f>MIN(INDEX(其他调用!$AI$5:$AI$364,MATCH($K69,其他调用!$AG$5:$AG$364,0),1)/INDEX(其他调用!AI$5:AI$364,MATCH($K69,其他调用!$AG$5:$AG$364,0),0),1)*INDEX(其他调用!Z$5:Z$404,MATCH($K69,其他调用!$X$5:$X$404,0),0)</f>
        <v>34725.805325346068</v>
      </c>
      <c r="W69" s="12">
        <f>MIN(INDEX(其他调用!$AI$5:$AI$364,MATCH($K69,其他调用!$AG$5:$AG$364,0),1)/INDEX(其他调用!AJ$5:AJ$364,MATCH($K69,其他调用!$AG$5:$AG$364,0),0),1)*INDEX(其他调用!AA$5:AA$404,MATCH($K69,其他调用!$X$5:$X$404,0),0)</f>
        <v>20029.091220646696</v>
      </c>
      <c r="X69" s="12">
        <f>MIN(INDEX(其他调用!$AI$5:$AI$364,MATCH($K69,其他调用!$AG$5:$AG$364,0),1)/INDEX(其他调用!AK$5:AK$364,MATCH($K69,其他调用!$AG$5:$AG$364,0),0),1)*INDEX(其他调用!AB$5:AB$404,MATCH($K69,其他调用!$X$5:$X$404,0),0)</f>
        <v>8204.5570675474664</v>
      </c>
      <c r="Y69" s="12">
        <f>MIN(INDEX(其他调用!$AI$5:$AI$364,MATCH($K69,其他调用!$AG$5:$AG$364,0),1)/INDEX(其他调用!AL$5:AL$364,MATCH($K69,其他调用!$AG$5:$AG$364,0),0),1)*INDEX(其他调用!AC$5:AC$404,MATCH($K69,其他调用!$X$5:$X$404,0),0)</f>
        <v>2677.5085125661899</v>
      </c>
      <c r="Z69" s="12">
        <f>求节点(节奏总纲!D$4:D$163,标准城池设计!AD$4:AD$163,$K69)*求节点(节奏总纲!D$4:D$163,攻城基础信息!$AE$5:$AE$164,$K69)</f>
        <v>401288.87366611953</v>
      </c>
      <c r="AA69" s="12">
        <f>INDEX(其他调用!$AA$5:$AA$404,MATCH($K69,其他调用!$X$5:$X$404,0))*MIN(INDEX(其他调用!AJ$5:AJ$364,MATCH($K69,其他调用!$AG$5:$AG$364,0),1)/INDEX(其他调用!$AJ$5:$AJ$364,MATCH($K69,其他调用!$AG$5:$AG$364,0),0),5)*求节点(节奏总纲!D$4:D$163,攻城基础信息!$AE$5:$AE$164,$K69)</f>
        <v>102880.73079880008</v>
      </c>
      <c r="AB69" s="12">
        <f>MIN(INDEX(其他调用!$AJ$5:$AJ$364,MATCH($K69,其他调用!$AG$5:$AG$364,0),1)/INDEX(其他调用!AH$5:AH$364,MATCH($K69,其他调用!$AG$5:$AG$364,0),0),1)*INDEX(其他调用!Y$5:Y$404,MATCH($K69,其他调用!$X$5:$X$404,0),0)</f>
        <v>33593.308623795514</v>
      </c>
      <c r="AC69" s="12">
        <f>MIN(INDEX(其他调用!$AJ$5:$AJ$364,MATCH($K69,其他调用!$AG$5:$AG$364,0),1)/INDEX(其他调用!AI$5:AI$364,MATCH($K69,其他调用!$AG$5:$AG$364,0),0),1)*INDEX(其他调用!Z$5:Z$404,MATCH($K69,其他调用!$X$5:$X$404,0),0)</f>
        <v>34725.805325346068</v>
      </c>
      <c r="AD69" s="12">
        <f>MIN(INDEX(其他调用!$AJ$5:$AJ$364,MATCH($K69,其他调用!$AG$5:$AG$364,0),1)/INDEX(其他调用!AJ$5:AJ$364,MATCH($K69,其他调用!$AG$5:$AG$364,0),0),1)*INDEX(其他调用!AA$5:AA$404,MATCH($K69,其他调用!$X$5:$X$404,0),0)</f>
        <v>36218.085746779259</v>
      </c>
      <c r="AE69" s="12">
        <f>MIN(INDEX(其他调用!$AJ$5:$AJ$364,MATCH($K69,其他调用!$AG$5:$AG$364,0),1)/INDEX(其他调用!AK$5:AK$364,MATCH($K69,其他调用!$AG$5:$AG$364,0),0),1)*INDEX(其他调用!AB$5:AB$404,MATCH($K69,其他调用!$X$5:$X$404,0),0)</f>
        <v>14836.087574480747</v>
      </c>
      <c r="AF69" s="12">
        <f>MIN(INDEX(其他调用!$AJ$5:$AJ$364,MATCH($K69,其他调用!$AG$5:$AG$364,0),1)/INDEX(其他调用!AL$5:AL$364,MATCH($K69,其他调用!$AG$5:$AG$364,0),0),1)*INDEX(其他调用!AC$5:AC$404,MATCH($K69,其他调用!$X$5:$X$404,0),0)</f>
        <v>4841.6691415279583</v>
      </c>
      <c r="AG69" s="12">
        <f>求节点(节奏总纲!D$4:D$163,标准城池设计!AE$4:AE$163,$K69)*求节点(节奏总纲!D$4:D$163,攻城基础信息!$AF$5:$AF$164,$K69)</f>
        <v>455005.49627706612</v>
      </c>
      <c r="AH69" s="12">
        <f>INDEX(其他调用!$AA$5:$AA$404,MATCH($K69,其他调用!$X$5:$X$404,0))*MIN(INDEX(其他调用!AK$5:AK$364,MATCH($K69,其他调用!$AG$5:$AG$364,0),1)/INDEX(其他调用!$AJ$5:$AJ$364,MATCH($K69,其他调用!$AG$5:$AG$364,0),0),5)*求节点(节奏总纲!D$4:D$163,攻城基础信息!$AF$5:$AF$164,$K69)</f>
        <v>266268.46813096694</v>
      </c>
      <c r="AI69" s="12">
        <f>MIN(INDEX(其他调用!$AK$5:$AK$364,MATCH($K69,其他调用!$AG$5:$AG$364,0),1)/INDEX(其他调用!AH$5:AH$364,MATCH($K69,其他调用!$AG$5:$AG$364,0),0),1)*INDEX(其他调用!Y$5:Y$404,MATCH($K69,其他调用!$X$5:$X$404,0),0)</f>
        <v>33593.308623795514</v>
      </c>
      <c r="AJ69" s="12">
        <f>MIN(INDEX(其他调用!$AK$5:$AK$364,MATCH($K69,其他调用!$AG$5:$AG$364,0),1)/INDEX(其他调用!AI$5:AI$364,MATCH($K69,其他调用!$AG$5:$AG$364,0),0),1)*INDEX(其他调用!Z$5:Z$404,MATCH($K69,其他调用!$X$5:$X$404,0),0)</f>
        <v>34725.805325346068</v>
      </c>
      <c r="AK69" s="12">
        <f>MIN(INDEX(其他调用!$AK$5:$AK$364,MATCH($K69,其他调用!$AG$5:$AG$364,0),1)/INDEX(其他调用!AJ$5:AJ$364,MATCH($K69,其他调用!$AG$5:$AG$364,0),0),1)*INDEX(其他调用!AA$5:AA$404,MATCH($K69,其他调用!$X$5:$X$404,0),0)</f>
        <v>36218.085746779259</v>
      </c>
      <c r="AL69" s="12">
        <f>MIN(INDEX(其他调用!$AK$5:$AK$364,MATCH($K69,其他调用!$AG$5:$AG$364,0),1)/INDEX(其他调用!AK$5:AK$364,MATCH($K69,其他调用!$AG$5:$AG$364,0),0),1)*INDEX(其他调用!AB$5:AB$404,MATCH($K69,其他调用!$X$5:$X$404,0),0)</f>
        <v>38397.689060349636</v>
      </c>
      <c r="AM69" s="12">
        <f>MIN(INDEX(其他调用!$AK$5:$AK$364,MATCH($K69,其他调用!$AG$5:$AG$364,0),1)/INDEX(其他调用!AL$5:AL$364,MATCH($K69,其他调用!$AG$5:$AG$364,0),0),1)*INDEX(其他调用!AC$5:AC$404,MATCH($K69,其他调用!$X$5:$X$404,0),0)</f>
        <v>12530.857970214372</v>
      </c>
      <c r="AN69" s="12">
        <f>求节点(节奏总纲!D$4:D$163,标准城池设计!AF$4:AF$163,$K69)*求节点(节奏总纲!D$4:D$163,攻城基础信息!$AG$5:$AG$164,$K69)</f>
        <v>464849.36007820873</v>
      </c>
      <c r="AO69" s="12">
        <f>INDEX(其他调用!$AA$5:$AA$404,MATCH($K69,其他调用!$X$5:$X$404,0))*MIN(INDEX(其他调用!AL$5:AL$364,MATCH($K69,其他调用!$AG$5:$AG$364,0),1)/INDEX(其他调用!$AJ$5:$AJ$364,MATCH($K69,其他调用!$AG$5:$AG$364,0),0),5)*求节点(节奏总纲!D$4:D$163,攻城基础信息!$AG$5:$AG$164,$K69)</f>
        <v>514403.6539940004</v>
      </c>
      <c r="AP69" s="12">
        <f>MIN(INDEX(其他调用!$AL$5:$AL$364,MATCH($K69,其他调用!$AG$5:$AG$364,0),1)/INDEX(其他调用!AH$5:AH$364,MATCH($K69,其他调用!$AG$5:$AG$364,0),0),1)*INDEX(其他调用!Y$5:Y$404,MATCH($K69,其他调用!$X$5:$X$404,0),0)</f>
        <v>33593.308623795514</v>
      </c>
      <c r="AQ69" s="12">
        <f>MIN(INDEX(其他调用!$AL$5:$AL$364,MATCH($K69,其他调用!$AG$5:$AG$364,0),1)/INDEX(其他调用!AI$5:AI$364,MATCH($K69,其他调用!$AG$5:$AG$364,0),0),1)*INDEX(其他调用!Z$5:Z$404,MATCH($K69,其他调用!$X$5:$X$404,0),0)</f>
        <v>34725.805325346068</v>
      </c>
      <c r="AR69" s="12">
        <f>MIN(INDEX(其他调用!$AL$5:$AL$364,MATCH($K69,其他调用!$AG$5:$AG$364,0),1)/INDEX(其他调用!AJ$5:AJ$364,MATCH($K69,其他调用!$AG$5:$AG$364,0),0),1)*INDEX(其他调用!AA$5:AA$404,MATCH($K69,其他调用!$X$5:$X$404,0),0)</f>
        <v>36218.085746779259</v>
      </c>
      <c r="AS69" s="12">
        <f>MIN(INDEX(其他调用!$AL$5:$AL$364,MATCH($K69,其他调用!$AG$5:$AG$364,0),1)/INDEX(其他调用!AK$5:AK$364,MATCH($K69,其他调用!$AG$5:$AG$364,0),0),1)*INDEX(其他调用!AB$5:AB$404,MATCH($K69,其他调用!$X$5:$X$404,0),0)</f>
        <v>38397.689060349636</v>
      </c>
      <c r="AT69" s="12">
        <f>MIN(INDEX(其他调用!$AL$5:$AL$364,MATCH($K69,其他调用!$AG$5:$AG$364,0),1)/INDEX(其他调用!AL$5:AL$364,MATCH($K69,其他调用!$AG$5:$AG$364,0),0),1)*INDEX(其他调用!AC$5:AC$404,MATCH($K69,其他调用!$X$5:$X$404,0),0)</f>
        <v>42228.785954844192</v>
      </c>
      <c r="AV69" s="14">
        <f>IF(OR(AV$5="大R",AV$5="超R"),MAX(INDEX(其他调用!$H$5:$L$404,MATCH($K69,其他调用!$B$5:$B$404,0),MATCH(AV$5,其他调用!$H$4:$L$4,0))*120*0.85,2),INDEX(其他调用!$H$5:$L$404,MATCH($K69,其他调用!$B$5:$B$404,0),MATCH(AV$5,其他调用!$H$4:$L$4,0))*120*0.85)</f>
        <v>51.153322014000011</v>
      </c>
      <c r="AW69" s="14">
        <f>IF(OR(AW$5="大R",AW$5="超R"),MAX(INDEX(其他调用!$H$5:$L$404,MATCH($K69,其他调用!$B$5:$B$404,0),MATCH(AW$5,其他调用!$H$4:$L$4,0))*120*0.85,2),INDEX(其他调用!$H$5:$L$404,MATCH($K69,其他调用!$B$5:$B$404,0),MATCH(AW$5,其他调用!$H$4:$L$4,0))*120*0.85)</f>
        <v>46.121526954837101</v>
      </c>
      <c r="AX69" s="14">
        <f>IF(OR(AX$5="大R",AX$5="超R"),MAX(INDEX(其他调用!$H$5:$L$404,MATCH($K69,其他调用!$B$5:$B$404,0),MATCH(AX$5,其他调用!$H$4:$L$4,0))*120*0.85,2),INDEX(其他调用!$H$5:$L$404,MATCH($K69,其他调用!$B$5:$B$404,0),MATCH(AX$5,其他调用!$H$4:$L$4,0))*120*0.85)</f>
        <v>3.8871957351628805</v>
      </c>
      <c r="AY69" s="14">
        <f>IF(OR(AY$5="大R",AY$5="超R"),MAX(INDEX(其他调用!$H$5:$L$404,MATCH($K69,其他调用!$B$5:$B$404,0),MATCH(AY$5,其他调用!$H$4:$L$4,0))*120*0.85,2),INDEX(其他调用!$H$5:$L$404,MATCH($K69,其他调用!$B$5:$B$404,0),MATCH(AY$5,其他调用!$H$4:$L$4,0))*120*0.85)</f>
        <v>2</v>
      </c>
      <c r="AZ69" s="14">
        <f>IF(OR(AZ$5="大R",AZ$5="超R"),MAX(INDEX(其他调用!$H$5:$L$404,MATCH($K69,其他调用!$B$5:$B$404,0),MATCH(AZ$5,其他调用!$H$4:$L$4,0))*120*0.85,2),INDEX(其他调用!$H$5:$L$404,MATCH($K69,其他调用!$B$5:$B$404,0),MATCH(AZ$5,其他调用!$H$4:$L$4,0))*120*0.85)</f>
        <v>2</v>
      </c>
      <c r="BA69" s="14">
        <f>INDEX(其他调用!$H$5:$L$404,MATCH($K69,其他调用!$B$5:$B$404,0),MATCH(BA$5,其他调用!$H$4:$L$4,0))*INDEX(其他调用!$M$5:$M$404,MATCH($K69,其他调用!$B$5:$B$404,0))*0.6</f>
        <v>29.055920571537669</v>
      </c>
      <c r="BB69" s="14">
        <f>INDEX(其他调用!$H$5:$L$404,MATCH($K69,其他调用!$B$5:$B$404,0),MATCH(BB$5,其他调用!$H$4:$L$4,0))*INDEX(其他调用!$M$5:$M$404,MATCH($K69,其他调用!$B$5:$B$404,0))*0.6</f>
        <v>26.197778972615136</v>
      </c>
      <c r="BC69" s="14">
        <f>INDEX(其他调用!$H$5:$L$404,MATCH($K69,其他调用!$B$5:$B$404,0),MATCH(BC$5,其他调用!$H$4:$L$4,0))*INDEX(其他调用!$M$5:$M$404,MATCH($K69,其他调用!$B$5:$B$404,0))*0.6</f>
        <v>2.2079905288653734</v>
      </c>
      <c r="BD69" s="14">
        <f>INDEX(其他调用!$H$5:$L$404,MATCH($K69,其他调用!$B$5:$B$404,0),MATCH(BD$5,其他调用!$H$4:$L$4,0))*INDEX(其他调用!$M$5:$M$404,MATCH($K69,其他调用!$B$5:$B$404,0))*0.6</f>
        <v>0.37385365851428581</v>
      </c>
      <c r="BE69" s="14">
        <f>INDEX(其他调用!$H$5:$L$404,MATCH($K69,其他调用!$B$5:$B$404,0),MATCH(BE$5,其他调用!$H$4:$L$4,0))*INDEX(其他调用!$M$5:$M$404,MATCH($K69,其他调用!$B$5:$B$404,0))*0.6</f>
        <v>0.10211860612987013</v>
      </c>
      <c r="BF69" s="14">
        <f>IF(OR(BF$5="大R",BF$5="超R"),0,INDEX(其他调用!$H$5:$L$404,MATCH($K69,其他调用!$B$5:$B$404,0),MATCH(BF$5,其他调用!$H$4:$L$4,0))*50*0.4)</f>
        <v>10.030063140000003</v>
      </c>
      <c r="BG69" s="14">
        <f>IF(OR(BG$5="大R",BG$5="超R"),0,INDEX(其他调用!$H$5:$L$404,MATCH($K69,其他调用!$B$5:$B$404,0),MATCH(BG$5,其他调用!$H$4:$L$4,0))*50*0.4)</f>
        <v>9.0434366578111973</v>
      </c>
      <c r="BH69" s="14">
        <f>IF(OR(BH$5="大R",BH$5="超R"),0,INDEX(其他调用!$H$5:$L$404,MATCH($K69,其他调用!$B$5:$B$404,0),MATCH(BH$5,其他调用!$H$4:$L$4,0))*50*0.4)</f>
        <v>0.76219524218880008</v>
      </c>
      <c r="BI69" s="14">
        <f>IF(OR(BI$5="大R",BI$5="超R"),0,INDEX(其他调用!$H$5:$L$404,MATCH($K69,其他调用!$B$5:$B$404,0),MATCH(BI$5,其他调用!$H$4:$L$4,0))*50*0.4)</f>
        <v>0</v>
      </c>
      <c r="BJ69" s="14">
        <f>IF(OR(BJ$5="大R",BJ$5="超R"),0,INDEX(其他调用!$H$5:$L$404,MATCH($K69,其他调用!$B$5:$B$404,0),MATCH(BJ$5,其他调用!$H$4:$L$4,0))*50*0.4)</f>
        <v>0</v>
      </c>
      <c r="BL69" s="14">
        <f t="shared" si="103"/>
        <v>64</v>
      </c>
      <c r="BM69" s="14">
        <f t="shared" si="10"/>
        <v>96</v>
      </c>
      <c r="BN69" s="14">
        <f>('疲劳值&amp;地图信息'!$S$10*'疲劳值&amp;地图信息'!$R$10+'疲劳值&amp;地图信息'!$S$11*'疲劳值&amp;地图信息'!$R$11+'疲劳值&amp;地图信息'!$S$12*'疲劳值&amp;地图信息'!$R$12+(BM69-'疲劳值&amp;地图信息'!$S$12-'疲劳值&amp;地图信息'!$S$11-'疲劳值&amp;地图信息'!$S$10)*'疲劳值&amp;地图信息'!$R$13)/BM69</f>
        <v>51.371477246638619</v>
      </c>
      <c r="BO69" s="14">
        <f>INDEX(其他调用!$M$5:$M$404,MATCH(BL69,其他调用!$B$5:$B$404,0))*0.6</f>
        <v>57.937662337662339</v>
      </c>
      <c r="BP69" s="14">
        <f>IF(BO69&gt;SUM('疲劳值&amp;地图信息'!$S$10:$S$12),('疲劳值&amp;地图信息'!$S$10*'疲劳值&amp;地图信息'!$R$10+'疲劳值&amp;地图信息'!$S$11*'疲劳值&amp;地图信息'!$R$11+'疲劳值&amp;地图信息'!$S$12*'疲劳值&amp;地图信息'!$R$12+(BO69-'疲劳值&amp;地图信息'!$S$12-'疲劳值&amp;地图信息'!$S$11-'疲劳值&amp;地图信息'!$S$10)*'疲劳值&amp;地图信息'!$R$13)/BO69,('疲劳值&amp;地图信息'!$S$10*'疲劳值&amp;地图信息'!$R$10+'疲劳值&amp;地图信息'!$S$11*'疲劳值&amp;地图信息'!$R$11+'疲劳值&amp;地图信息'!$S$12*'疲劳值&amp;地图信息'!$R$12+(BO69-'疲劳值&amp;地图信息'!$S$12-'疲劳值&amp;地图信息'!$S$11-'疲劳值&amp;地图信息'!$S$10)*'疲劳值&amp;地图信息'!$R$13)/BO69)</f>
        <v>43.473430560967444</v>
      </c>
      <c r="BQ69" s="14">
        <f t="shared" si="104"/>
        <v>20</v>
      </c>
      <c r="BR69" s="14">
        <f>('疲劳值&amp;地图信息'!$S$10*'疲劳值&amp;地图信息'!$R$10+($BQ69-'疲劳值&amp;地图信息'!$S$10)*'疲劳值&amp;地图信息'!$R$11)/$BQ69</f>
        <v>32.067203015074995</v>
      </c>
      <c r="CF69" s="14">
        <v>64</v>
      </c>
      <c r="CG69" s="51">
        <f t="shared" si="11"/>
        <v>7496</v>
      </c>
      <c r="CH69" s="51">
        <f t="shared" si="12"/>
        <v>798</v>
      </c>
      <c r="CI69" s="51">
        <f>INT(SUMPRODUCT($N69:$R69,$BA69:$BE69)/SUM($BA69:$BE69)/10000*$BX$7*$BZ$34/'疲劳值&amp;地图信息'!$R$10*$BY$53)</f>
        <v>2846</v>
      </c>
      <c r="CJ69" s="50">
        <f t="shared" si="13"/>
        <v>0.67289048473967683</v>
      </c>
      <c r="CK69" s="50">
        <f t="shared" si="14"/>
        <v>7.1633752244165169E-2</v>
      </c>
      <c r="CL69" s="50">
        <f t="shared" si="15"/>
        <v>0.25547576301615799</v>
      </c>
      <c r="CM69" s="14">
        <f t="shared" si="16"/>
        <v>7820</v>
      </c>
      <c r="CN69" s="14">
        <f t="shared" si="17"/>
        <v>1177</v>
      </c>
      <c r="CO69" s="14">
        <f>INT(SUMPRODUCT($U69:$Y69,$BA69:$BE69)/SUM($BA69:$BE69)/10000*$BX$7*$BZ$34/'疲劳值&amp;地图信息'!$R$10*$BY$54)</f>
        <v>5078</v>
      </c>
      <c r="CP69" s="50">
        <f t="shared" si="18"/>
        <v>0.55559502664298399</v>
      </c>
      <c r="CQ69" s="50">
        <f t="shared" si="19"/>
        <v>8.3623445825932508E-2</v>
      </c>
      <c r="CR69" s="50">
        <f t="shared" si="20"/>
        <v>0.3607815275310835</v>
      </c>
      <c r="CS69" s="14">
        <f t="shared" si="21"/>
        <v>8307</v>
      </c>
      <c r="CT69" s="14">
        <f t="shared" si="22"/>
        <v>2129</v>
      </c>
      <c r="CU69" s="14">
        <f>INT(SUMPRODUCT($AB69:$AF69,$BA69:$BE69)/SUM($BA69:$BE69)/10000*$BX$7*$BZ$34/'疲劳值&amp;地图信息'!$R$10*$BY$55)</f>
        <v>6906</v>
      </c>
      <c r="CV69" s="50">
        <f t="shared" si="23"/>
        <v>0.47901049475262369</v>
      </c>
      <c r="CW69" s="50">
        <f t="shared" si="24"/>
        <v>0.12276554030676969</v>
      </c>
      <c r="CX69" s="50">
        <f t="shared" si="25"/>
        <v>0.39822396494060663</v>
      </c>
      <c r="CY69" s="14">
        <f t="shared" si="26"/>
        <v>9419</v>
      </c>
      <c r="CZ69" s="14">
        <f t="shared" si="27"/>
        <v>5512</v>
      </c>
      <c r="DA69" s="14">
        <f>INT(SUMPRODUCT($AI69:$AM69,$BA69:$BE69)/SUM($BA69:$BE69)/10000*$BX$7*$BZ$34/'疲劳值&amp;地图信息'!$R$10*$BY$56)</f>
        <v>10410</v>
      </c>
      <c r="DB69" s="50">
        <f t="shared" si="28"/>
        <v>0.37169014640306225</v>
      </c>
      <c r="DC69" s="50">
        <f t="shared" si="29"/>
        <v>0.21751312102916223</v>
      </c>
      <c r="DD69" s="50">
        <f t="shared" si="30"/>
        <v>0.41079673256777555</v>
      </c>
      <c r="DE69" s="14">
        <f t="shared" si="31"/>
        <v>9623</v>
      </c>
      <c r="DF69" s="14">
        <f t="shared" si="32"/>
        <v>10649</v>
      </c>
      <c r="DG69" s="14">
        <f>INT(SUMPRODUCT($AP69:$AT69,$BA69:$BE69)/SUM($BA69:$BE69)/10000*$BX$7*$BZ$34/'疲劳值&amp;地图信息'!$R$10*$BY$57)</f>
        <v>13901</v>
      </c>
      <c r="DH69" s="50">
        <f t="shared" si="33"/>
        <v>0.28159658209697713</v>
      </c>
      <c r="DI69" s="50">
        <f t="shared" si="34"/>
        <v>0.31162028502033767</v>
      </c>
      <c r="DJ69" s="50">
        <f t="shared" si="35"/>
        <v>0.40678313288268514</v>
      </c>
      <c r="DL69" s="14">
        <f t="shared" si="106"/>
        <v>11140</v>
      </c>
      <c r="DM69" s="14">
        <f t="shared" si="107"/>
        <v>14075</v>
      </c>
      <c r="DN69" s="14">
        <f t="shared" si="108"/>
        <v>17342</v>
      </c>
      <c r="DO69" s="14">
        <f t="shared" si="109"/>
        <v>25341</v>
      </c>
      <c r="DP69" s="14">
        <f t="shared" si="110"/>
        <v>34173</v>
      </c>
      <c r="DQ69" s="14">
        <f t="shared" si="111"/>
        <v>743671</v>
      </c>
      <c r="DT69" s="14">
        <f t="shared" si="105"/>
        <v>235575</v>
      </c>
      <c r="DU69" s="50">
        <f t="shared" si="7"/>
        <v>0.24056774293691269</v>
      </c>
      <c r="DW69" s="14">
        <f t="shared" si="36"/>
        <v>979246</v>
      </c>
      <c r="EB69" s="14">
        <v>64</v>
      </c>
      <c r="EC69" s="51">
        <f t="shared" si="37"/>
        <v>12493</v>
      </c>
      <c r="ED69" s="51">
        <f t="shared" si="38"/>
        <v>1330</v>
      </c>
      <c r="EE69" s="51">
        <f>INT(SUMPRODUCT($N69:$R69,$BF69:$BJ69)/SUM($BF69:$BJ69)/10000*$BX$7*$BZ$46/'疲劳值&amp;地图信息'!$R$10*$BY$53)</f>
        <v>382</v>
      </c>
      <c r="EF69" s="50">
        <f t="shared" si="39"/>
        <v>0.87947905667018655</v>
      </c>
      <c r="EG69" s="50">
        <f t="shared" si="40"/>
        <v>9.3629003871876101E-2</v>
      </c>
      <c r="EH69" s="50">
        <f t="shared" si="41"/>
        <v>2.6891939457937344E-2</v>
      </c>
      <c r="EI69" s="51">
        <f t="shared" si="42"/>
        <v>13034</v>
      </c>
      <c r="EJ69" s="51">
        <f t="shared" si="43"/>
        <v>1963</v>
      </c>
      <c r="EK69" s="14">
        <f>INT(SUMPRODUCT($U69:$Y69,$BF69:$BJ69)/SUM($BF69:$BJ69)/10000*$BX$7*$BZ$46/'疲劳值&amp;地图信息'!$R$10*$BY$54)</f>
        <v>681</v>
      </c>
      <c r="EL69" s="50">
        <f t="shared" si="44"/>
        <v>0.8313560403112642</v>
      </c>
      <c r="EM69" s="50">
        <f t="shared" si="45"/>
        <v>0.12520729684908791</v>
      </c>
      <c r="EN69" s="50">
        <f t="shared" si="46"/>
        <v>4.3436662839647915E-2</v>
      </c>
      <c r="EO69" s="51">
        <f t="shared" si="47"/>
        <v>13846</v>
      </c>
      <c r="EP69" s="51">
        <f t="shared" si="48"/>
        <v>3549</v>
      </c>
      <c r="EQ69" s="14">
        <f>INT(SUMPRODUCT($AB69:$AF69,$BF69:$BJ69)/SUM($BF69:$BJ69)/10000*$BX$7*$BZ$46/'疲劳值&amp;地图信息'!$R$10*$BY$55)</f>
        <v>925</v>
      </c>
      <c r="ER69" s="50">
        <f t="shared" si="49"/>
        <v>0.75578602620087332</v>
      </c>
      <c r="ES69" s="50">
        <f t="shared" si="50"/>
        <v>0.19372270742358078</v>
      </c>
      <c r="ET69" s="50">
        <f t="shared" si="51"/>
        <v>5.0491266375545851E-2</v>
      </c>
      <c r="EU69" s="51">
        <f t="shared" si="52"/>
        <v>15699</v>
      </c>
      <c r="EV69" s="51">
        <f t="shared" si="53"/>
        <v>9187</v>
      </c>
      <c r="EW69" s="14">
        <f>INT(SUMPRODUCT($AI69:$AM69,$BF69:$BJ69)/SUM($BF69:$BJ69)/10000*$BX$7*$BZ$46/'疲劳值&amp;地图信息'!$R$10*$BY$56)</f>
        <v>1388</v>
      </c>
      <c r="EX69" s="50">
        <f t="shared" si="54"/>
        <v>0.59751084722539394</v>
      </c>
      <c r="EY69" s="50">
        <f t="shared" si="55"/>
        <v>0.34966126208418968</v>
      </c>
      <c r="EZ69" s="50">
        <f t="shared" si="56"/>
        <v>5.2827890690416379E-2</v>
      </c>
      <c r="FA69" s="51">
        <f t="shared" si="57"/>
        <v>16039</v>
      </c>
      <c r="FB69" s="51">
        <f t="shared" si="58"/>
        <v>17748</v>
      </c>
      <c r="FC69" s="14">
        <f>INT(SUMPRODUCT($AP69:$AT69,$BF69:$BJ69)/SUM($BF69:$BJ69)/10000*$BX$7*$BZ$46/'疲劳值&amp;地图信息'!$R$10*$BY$57)</f>
        <v>1851</v>
      </c>
      <c r="FD69" s="50">
        <f t="shared" si="59"/>
        <v>0.45005331387844438</v>
      </c>
      <c r="FE69" s="50">
        <f t="shared" si="60"/>
        <v>0.49800774454234242</v>
      </c>
      <c r="FF69" s="50">
        <f t="shared" si="61"/>
        <v>5.1938941579213201E-2</v>
      </c>
      <c r="FH69" s="14">
        <f t="shared" si="62"/>
        <v>14205</v>
      </c>
      <c r="FI69" s="14">
        <f t="shared" si="63"/>
        <v>15678</v>
      </c>
      <c r="FJ69" s="14">
        <f t="shared" si="64"/>
        <v>18320</v>
      </c>
      <c r="FK69" s="14">
        <f t="shared" si="65"/>
        <v>26274</v>
      </c>
      <c r="FL69" s="14">
        <f t="shared" si="66"/>
        <v>35638</v>
      </c>
      <c r="FM69" s="14">
        <f t="shared" si="67"/>
        <v>1644763</v>
      </c>
      <c r="FP69" s="14">
        <f t="shared" si="68"/>
        <v>334150</v>
      </c>
      <c r="FQ69" s="50">
        <f t="shared" si="8"/>
        <v>0.16885532613106286</v>
      </c>
      <c r="FS69" s="14">
        <f t="shared" si="69"/>
        <v>1978913</v>
      </c>
      <c r="FX69" s="14">
        <v>64</v>
      </c>
      <c r="FY69" s="51">
        <f t="shared" si="70"/>
        <v>17490</v>
      </c>
      <c r="FZ69" s="51">
        <f t="shared" si="71"/>
        <v>1330</v>
      </c>
      <c r="GA69" s="51">
        <f>INT(SUMPRODUCT($N69:$R69,$BF69:$BJ69)/SUM($BF69:$BJ69)/10000*$BX$7*$BZ$46/'疲劳值&amp;地图信息'!$R$10*$BY$53)</f>
        <v>382</v>
      </c>
      <c r="GB69" s="50">
        <f t="shared" si="72"/>
        <v>0.91084262056035825</v>
      </c>
      <c r="GC69" s="50">
        <f t="shared" si="73"/>
        <v>6.926361837308613E-2</v>
      </c>
      <c r="GD69" s="50">
        <f t="shared" si="74"/>
        <v>1.9893761066555566E-2</v>
      </c>
      <c r="GE69" s="51">
        <f t="shared" si="75"/>
        <v>18248</v>
      </c>
      <c r="GF69" s="51">
        <f t="shared" si="76"/>
        <v>1963</v>
      </c>
      <c r="GG69" s="14">
        <f>INT(SUMPRODUCT($U69:$Y69,$BF69:$BJ69)/SUM($BF69:$BJ69)/10000*$BX$7*$BZ$46/'疲劳值&amp;地图信息'!$R$10*$BY$54)</f>
        <v>681</v>
      </c>
      <c r="GH69" s="50">
        <f t="shared" si="77"/>
        <v>0.87344438062416241</v>
      </c>
      <c r="GI69" s="50">
        <f t="shared" si="78"/>
        <v>9.3959410300593529E-2</v>
      </c>
      <c r="GJ69" s="50">
        <f t="shared" si="79"/>
        <v>3.2596209075244111E-2</v>
      </c>
      <c r="GK69" s="51">
        <f t="shared" si="80"/>
        <v>19384</v>
      </c>
      <c r="GL69" s="51">
        <f t="shared" si="81"/>
        <v>3549</v>
      </c>
      <c r="GM69" s="14">
        <f>INT(SUMPRODUCT($AB69:$AF69,$BF69:$BJ69)/SUM($BF69:$BJ69)/10000*$BX$7*$BZ$46/'疲劳值&amp;地图信息'!$R$10*$BY$55)</f>
        <v>925</v>
      </c>
      <c r="GN69" s="50">
        <f t="shared" si="82"/>
        <v>0.81247380333640706</v>
      </c>
      <c r="GO69" s="50">
        <f t="shared" si="83"/>
        <v>0.1487551345460642</v>
      </c>
      <c r="GP69" s="50">
        <f t="shared" si="84"/>
        <v>3.8771062117528711E-2</v>
      </c>
      <c r="GQ69" s="51">
        <f t="shared" si="85"/>
        <v>21979</v>
      </c>
      <c r="GR69" s="51">
        <f t="shared" si="86"/>
        <v>9187</v>
      </c>
      <c r="GS69" s="14">
        <f>INT(SUMPRODUCT($AI69:$AM69,$BF69:$BJ69)/SUM($BF69:$BJ69)/10000*$BX$7*$BZ$46/'疲劳值&amp;地图信息'!$R$10*$BY$56)</f>
        <v>1388</v>
      </c>
      <c r="GT69" s="50">
        <f t="shared" si="87"/>
        <v>0.67515512686613011</v>
      </c>
      <c r="GU69" s="50">
        <f t="shared" si="88"/>
        <v>0.28220802359157093</v>
      </c>
      <c r="GV69" s="50">
        <f t="shared" si="89"/>
        <v>4.2636849542298946E-2</v>
      </c>
      <c r="GW69" s="51">
        <f t="shared" si="90"/>
        <v>22454</v>
      </c>
      <c r="GX69" s="51">
        <f t="shared" si="91"/>
        <v>17748</v>
      </c>
      <c r="GY69" s="14">
        <f>INT(SUMPRODUCT($AP69:$AT69,$BF69:$BJ69)/SUM($BF69:$BJ69)/10000*$BX$7*$BZ$46/'疲劳值&amp;地图信息'!$R$10*$BY$57)</f>
        <v>1851</v>
      </c>
      <c r="GZ69" s="50">
        <f t="shared" si="92"/>
        <v>0.53394525955342065</v>
      </c>
      <c r="HA69" s="50">
        <f t="shared" si="93"/>
        <v>0.42203885572967448</v>
      </c>
      <c r="HB69" s="50">
        <f t="shared" si="94"/>
        <v>4.401588471690486E-2</v>
      </c>
      <c r="HD69" s="14">
        <f t="shared" si="95"/>
        <v>19202</v>
      </c>
      <c r="HE69" s="14">
        <f t="shared" si="96"/>
        <v>20892</v>
      </c>
      <c r="HF69" s="14">
        <f t="shared" si="97"/>
        <v>23858</v>
      </c>
      <c r="HG69" s="14">
        <f t="shared" si="98"/>
        <v>32554</v>
      </c>
      <c r="HH69" s="14">
        <f t="shared" si="99"/>
        <v>42053</v>
      </c>
      <c r="HI69" s="14">
        <f t="shared" si="100"/>
        <v>2187771</v>
      </c>
      <c r="HL69" s="14">
        <f t="shared" si="101"/>
        <v>430050</v>
      </c>
      <c r="HM69" s="50">
        <f t="shared" si="9"/>
        <v>0.16427784787424352</v>
      </c>
      <c r="HO69" s="14">
        <f t="shared" si="102"/>
        <v>2617821</v>
      </c>
    </row>
    <row r="70" spans="11:223" x14ac:dyDescent="0.2">
      <c r="K70" s="14">
        <v>65</v>
      </c>
      <c r="L70" s="12">
        <f>求节点(节奏总纲!D$4:D$163,标准城池设计!AB$4:AB$163,$K70)*求节点(节奏总纲!D$4:D$163,攻城基础信息!$AC$5:$AC$164,$K70)</f>
        <v>365704.24250280746</v>
      </c>
      <c r="M70" s="12">
        <f>INDEX(其他调用!$AA$5:$AA$404,MATCH(K70,其他调用!$X$5:$X$404,0))*MIN(INDEX(其他调用!$AH$5:$AH$364,MATCH('征服点（新）'!K70,其他调用!$AG$5:$AG$364,0),1)/INDEX(其他调用!$AJ$5:$AJ$364,MATCH(K70,其他调用!$AG$5:$AG$364,0),0),5)*求节点(节奏总纲!D$4:D$163,攻城基础信息!$AC$5:$AC$164,$K70)</f>
        <v>38660.883500872565</v>
      </c>
      <c r="N70" s="12">
        <f>MIN(INDEX(其他调用!$AH$5:$AH$364,MATCH($K70,其他调用!$AG$5:$AG$364,0),1)/INDEX(其他调用!AH$5:AH$364,MATCH($K70,其他调用!$AG$5:$AG$364,0),0),1)*INDEX(其他调用!Y$5:Y$404,MATCH($K70,其他调用!$X$5:$X$404,0),0)</f>
        <v>33678.569298485752</v>
      </c>
      <c r="O70" s="12">
        <f>MIN(INDEX(其他调用!$AH$5:$AH$364,MATCH($K70,其他调用!$AG$5:$AG$364,0),1)/INDEX(其他调用!AI$5:AI$364,MATCH($K70,其他调用!$AG$5:$AG$364,0),0),1)*INDEX(其他调用!Z$5:Z$404,MATCH($K70,其他调用!$X$5:$X$404,0),0)</f>
        <v>23541.824490437728</v>
      </c>
      <c r="P70" s="12">
        <f>MIN(INDEX(其他调用!$AH$5:$AH$364,MATCH($K70,其他调用!$AG$5:$AG$364,0),1)/INDEX(其他调用!AJ$5:AJ$364,MATCH($K70,其他调用!$AG$5:$AG$364,0),0),1)*INDEX(其他调用!AA$5:AA$404,MATCH($K70,其他调用!$X$5:$X$404,0),0)</f>
        <v>13575.479676411864</v>
      </c>
      <c r="Q70" s="12">
        <f>MIN(INDEX(其他调用!$AH$5:$AH$364,MATCH($K70,其他调用!$AG$5:$AG$364,0),1)/INDEX(其他调用!AK$5:AK$364,MATCH($K70,其他调用!$AG$5:$AG$364,0),0),1)*INDEX(其他调用!AB$5:AB$404,MATCH($K70,其他调用!$X$5:$X$404,0),0)</f>
        <v>5580.2663135067733</v>
      </c>
      <c r="R70" s="12">
        <f>MIN(INDEX(其他调用!$AH$5:$AH$364,MATCH($K70,其他调用!$AG$5:$AG$364,0),1)/INDEX(其他调用!AL$5:AL$364,MATCH($K70,其他调用!$AG$5:$AG$364,0),0),1)*INDEX(其他调用!AC$5:AC$404,MATCH($K70,其他调用!$X$5:$X$404,0),0)</f>
        <v>1817.027989807825</v>
      </c>
      <c r="S70" s="12">
        <f>求节点(节奏总纲!D$4:D$163,标准城池设计!AC$4:AC$163,$K70)*求节点(节奏总纲!D$4:D$163,攻城基础信息!$AD$5:$AD$164,$K70)</f>
        <v>381605.78869094606</v>
      </c>
      <c r="T70" s="12">
        <f>INDEX(其他调用!$AA$5:$AA$404,MATCH($K70,其他调用!$X$5:$X$404,0))*MIN(INDEX(其他调用!AI$5:AI$364,MATCH($K70,其他调用!$AG$5:$AG$364,0),1)/INDEX(其他调用!$AJ$5:$AJ$364,MATCH($K70,其他调用!$AG$5:$AG$364,0),0),5)*求节点(节奏总纲!D$4:D$163,攻城基础信息!$AD$5:$AD$164,$K70)</f>
        <v>57173.713795900847</v>
      </c>
      <c r="U70" s="12">
        <f>MIN(INDEX(其他调用!$AI$5:$AI$364,MATCH($K70,其他调用!$AG$5:$AG$364,0),1)/INDEX(其他调用!AH$5:AH$364,MATCH($K70,其他调用!$AG$5:$AG$364,0),0),1)*INDEX(其他调用!Y$5:Y$404,MATCH($K70,其他调用!$X$5:$X$404,0),0)</f>
        <v>33678.569298485752</v>
      </c>
      <c r="V70" s="12">
        <f>MIN(INDEX(其他调用!$AI$5:$AI$364,MATCH($K70,其他调用!$AG$5:$AG$364,0),1)/INDEX(其他调用!AI$5:AI$364,MATCH($K70,其他调用!$AG$5:$AG$364,0),0),1)*INDEX(其他调用!Z$5:Z$404,MATCH($K70,其他调用!$X$5:$X$404,0),0)</f>
        <v>34814.867477594962</v>
      </c>
      <c r="W70" s="12">
        <f>MIN(INDEX(其他调用!$AI$5:$AI$364,MATCH($K70,其他调用!$AG$5:$AG$364,0),1)/INDEX(其他调用!AJ$5:AJ$364,MATCH($K70,其他调用!$AG$5:$AG$364,0),0),1)*INDEX(其他调用!AA$5:AA$404,MATCH($K70,其他调用!$X$5:$X$404,0),0)</f>
        <v>20076.121375853265</v>
      </c>
      <c r="X70" s="12">
        <f>MIN(INDEX(其他调用!$AI$5:$AI$364,MATCH($K70,其他调用!$AG$5:$AG$364,0),1)/INDEX(其他调用!AK$5:AK$364,MATCH($K70,其他调用!$AG$5:$AG$364,0),0),1)*INDEX(其他调用!AB$5:AB$404,MATCH($K70,其他调用!$X$5:$X$404,0),0)</f>
        <v>8252.3863973812749</v>
      </c>
      <c r="Y70" s="12">
        <f>MIN(INDEX(其他调用!$AI$5:$AI$364,MATCH($K70,其他调用!$AG$5:$AG$364,0),1)/INDEX(其他调用!AL$5:AL$364,MATCH($K70,其他调用!$AG$5:$AG$364,0),0),1)*INDEX(其他调用!AC$5:AC$404,MATCH($K70,其他调用!$X$5:$X$404,0),0)</f>
        <v>2687.114955509719</v>
      </c>
      <c r="Z70" s="12">
        <f>求节点(节奏总纲!D$4:D$163,标准城池设计!AD$4:AD$163,$K70)*求节点(节奏总纲!D$4:D$163,攻城基础信息!$AE$5:$AE$164,$K70)</f>
        <v>405471.65672578465</v>
      </c>
      <c r="AA70" s="12">
        <f>INDEX(其他调用!$AA$5:$AA$404,MATCH($K70,其他调用!$X$5:$X$404,0))*MIN(INDEX(其他调用!AJ$5:AJ$364,MATCH($K70,其他调用!$AG$5:$AG$364,0),1)/INDEX(其他调用!$AJ$5:$AJ$364,MATCH($K70,其他调用!$AG$5:$AG$364,0),0),5)*求节点(节奏总纲!D$4:D$163,攻城基础信息!$AE$5:$AE$164,$K70)</f>
        <v>103394.80981975945</v>
      </c>
      <c r="AB70" s="12">
        <f>MIN(INDEX(其他调用!$AJ$5:$AJ$364,MATCH($K70,其他调用!$AG$5:$AG$364,0),1)/INDEX(其他调用!AH$5:AH$364,MATCH($K70,其他调用!$AG$5:$AG$364,0),0),1)*INDEX(其他调用!Y$5:Y$404,MATCH($K70,其他调用!$X$5:$X$404,0),0)</f>
        <v>33678.569298485752</v>
      </c>
      <c r="AC70" s="12">
        <f>MIN(INDEX(其他调用!$AJ$5:$AJ$364,MATCH($K70,其他调用!$AG$5:$AG$364,0),1)/INDEX(其他调用!AI$5:AI$364,MATCH($K70,其他调用!$AG$5:$AG$364,0),0),1)*INDEX(其他调用!Z$5:Z$404,MATCH($K70,其他调用!$X$5:$X$404,0),0)</f>
        <v>34814.867477594962</v>
      </c>
      <c r="AD70" s="12">
        <f>MIN(INDEX(其他调用!$AJ$5:$AJ$364,MATCH($K70,其他调用!$AG$5:$AG$364,0),1)/INDEX(其他调用!AJ$5:AJ$364,MATCH($K70,其他调用!$AG$5:$AG$364,0),0),1)*INDEX(其他调用!AA$5:AA$404,MATCH($K70,其他调用!$X$5:$X$404,0),0)</f>
        <v>36306.313054716782</v>
      </c>
      <c r="AE70" s="12">
        <f>MIN(INDEX(其他调用!$AJ$5:$AJ$364,MATCH($K70,其他调用!$AG$5:$AG$364,0),1)/INDEX(其他调用!AK$5:AK$364,MATCH($K70,其他调用!$AG$5:$AG$364,0),0),1)*INDEX(其他调用!AB$5:AB$404,MATCH($K70,其他调用!$X$5:$X$404,0),0)</f>
        <v>14923.884867132459</v>
      </c>
      <c r="AF70" s="12">
        <f>MIN(INDEX(其他调用!$AJ$5:$AJ$364,MATCH($K70,其他调用!$AG$5:$AG$364,0),1)/INDEX(其他调用!AL$5:AL$364,MATCH($K70,其他调用!$AG$5:$AG$364,0),0),1)*INDEX(其他调用!AC$5:AC$404,MATCH($K70,其他调用!$X$5:$X$404,0),0)</f>
        <v>4859.4663761142365</v>
      </c>
      <c r="AG70" s="12">
        <f>求节点(节奏总纲!D$4:D$163,标准城池设计!AE$4:AE$163,$K70)*求节点(节奏总纲!D$4:D$163,攻城基础信息!$AF$5:$AF$164,$K70)</f>
        <v>459678.16461722559</v>
      </c>
      <c r="AH70" s="12">
        <f>INDEX(其他调用!$AA$5:$AA$404,MATCH($K70,其他调用!$X$5:$X$404,0))*MIN(INDEX(其他调用!AK$5:AK$364,MATCH($K70,其他调用!$AG$5:$AG$364,0),1)/INDEX(其他调用!$AJ$5:$AJ$364,MATCH($K70,其他调用!$AG$5:$AG$364,0),0),5)*求节点(节奏总纲!D$4:D$163,攻城基础信息!$AF$5:$AF$164,$K70)</f>
        <v>266641.08785484731</v>
      </c>
      <c r="AI70" s="12">
        <f>MIN(INDEX(其他调用!$AK$5:$AK$364,MATCH($K70,其他调用!$AG$5:$AG$364,0),1)/INDEX(其他调用!AH$5:AH$364,MATCH($K70,其他调用!$AG$5:$AG$364,0),0),1)*INDEX(其他调用!Y$5:Y$404,MATCH($K70,其他调用!$X$5:$X$404,0),0)</f>
        <v>33678.569298485752</v>
      </c>
      <c r="AJ70" s="12">
        <f>MIN(INDEX(其他调用!$AK$5:$AK$364,MATCH($K70,其他调用!$AG$5:$AG$364,0),1)/INDEX(其他调用!AI$5:AI$364,MATCH($K70,其他调用!$AG$5:$AG$364,0),0),1)*INDEX(其他调用!Z$5:Z$404,MATCH($K70,其他调用!$X$5:$X$404,0),0)</f>
        <v>34814.867477594962</v>
      </c>
      <c r="AK70" s="12">
        <f>MIN(INDEX(其他调用!$AK$5:$AK$364,MATCH($K70,其他调用!$AG$5:$AG$364,0),1)/INDEX(其他调用!AJ$5:AJ$364,MATCH($K70,其他调用!$AG$5:$AG$364,0),0),1)*INDEX(其他调用!AA$5:AA$404,MATCH($K70,其他调用!$X$5:$X$404,0),0)</f>
        <v>36306.313054716782</v>
      </c>
      <c r="AL70" s="12">
        <f>MIN(INDEX(其他调用!$AK$5:$AK$364,MATCH($K70,其他调用!$AG$5:$AG$364,0),1)/INDEX(其他调用!AK$5:AK$364,MATCH($K70,其他调用!$AG$5:$AG$364,0),0),1)*INDEX(其他调用!AB$5:AB$404,MATCH($K70,其他调用!$X$5:$X$404,0),0)</f>
        <v>38486.660045407974</v>
      </c>
      <c r="AM70" s="12">
        <f>MIN(INDEX(其他调用!$AK$5:$AK$364,MATCH($K70,其他调用!$AG$5:$AG$364,0),1)/INDEX(其他调用!AL$5:AL$364,MATCH($K70,其他调用!$AG$5:$AG$364,0),0),1)*INDEX(其他调用!AC$5:AC$404,MATCH($K70,其他调用!$X$5:$X$404,0),0)</f>
        <v>12531.899842747516</v>
      </c>
      <c r="AN70" s="12">
        <f>求节点(节奏总纲!D$4:D$163,标准城池设计!AF$4:AF$163,$K70)*求节点(节奏总纲!D$4:D$163,攻城基础信息!$AG$5:$AG$164,$K70)</f>
        <v>469072.23257249105</v>
      </c>
      <c r="AO70" s="12">
        <f>INDEX(其他调用!$AA$5:$AA$404,MATCH($K70,其他调用!$X$5:$X$404,0))*MIN(INDEX(其他调用!AL$5:AL$364,MATCH($K70,其他调用!$AG$5:$AG$364,0),1)/INDEX(其他调用!$AJ$5:$AJ$364,MATCH($K70,其他调用!$AG$5:$AG$364,0),0),5)*求节点(节奏总纲!D$4:D$163,攻城基础信息!$AG$5:$AG$164,$K70)</f>
        <v>516974.04909879732</v>
      </c>
      <c r="AP70" s="12">
        <f>MIN(INDEX(其他调用!$AL$5:$AL$364,MATCH($K70,其他调用!$AG$5:$AG$364,0),1)/INDEX(其他调用!AH$5:AH$364,MATCH($K70,其他调用!$AG$5:$AG$364,0),0),1)*INDEX(其他调用!Y$5:Y$404,MATCH($K70,其他调用!$X$5:$X$404,0),0)</f>
        <v>33678.569298485752</v>
      </c>
      <c r="AQ70" s="12">
        <f>MIN(INDEX(其他调用!$AL$5:$AL$364,MATCH($K70,其他调用!$AG$5:$AG$364,0),1)/INDEX(其他调用!AI$5:AI$364,MATCH($K70,其他调用!$AG$5:$AG$364,0),0),1)*INDEX(其他调用!Z$5:Z$404,MATCH($K70,其他调用!$X$5:$X$404,0),0)</f>
        <v>34814.867477594962</v>
      </c>
      <c r="AR70" s="12">
        <f>MIN(INDEX(其他调用!$AL$5:$AL$364,MATCH($K70,其他调用!$AG$5:$AG$364,0),1)/INDEX(其他调用!AJ$5:AJ$364,MATCH($K70,其他调用!$AG$5:$AG$364,0),0),1)*INDEX(其他调用!AA$5:AA$404,MATCH($K70,其他调用!$X$5:$X$404,0),0)</f>
        <v>36306.313054716782</v>
      </c>
      <c r="AS70" s="12">
        <f>MIN(INDEX(其他调用!$AL$5:$AL$364,MATCH($K70,其他调用!$AG$5:$AG$364,0),1)/INDEX(其他调用!AK$5:AK$364,MATCH($K70,其他调用!$AG$5:$AG$364,0),0),1)*INDEX(其他调用!AB$5:AB$404,MATCH($K70,其他调用!$X$5:$X$404,0),0)</f>
        <v>38486.660045407974</v>
      </c>
      <c r="AT70" s="12">
        <f>MIN(INDEX(其他调用!$AL$5:$AL$364,MATCH($K70,其他调用!$AG$5:$AG$364,0),1)/INDEX(其他调用!AL$5:AL$364,MATCH($K70,其他调用!$AG$5:$AG$364,0),0),1)*INDEX(其他调用!AC$5:AC$404,MATCH($K70,其他调用!$X$5:$X$404,0),0)</f>
        <v>42316.536649609494</v>
      </c>
      <c r="AV70" s="14">
        <f>IF(OR(AV$5="大R",AV$5="超R"),MAX(INDEX(其他调用!$H$5:$L$404,MATCH($K70,其他调用!$B$5:$B$404,0),MATCH(AV$5,其他调用!$H$4:$L$4,0))*120*0.85,2),INDEX(其他调用!$H$5:$L$404,MATCH($K70,其他调用!$B$5:$B$404,0),MATCH(AV$5,其他调用!$H$4:$L$4,0))*120*0.85)</f>
        <v>51.067494292500015</v>
      </c>
      <c r="AW70" s="14">
        <f>IF(OR(AW$5="大R",AW$5="超R"),MAX(INDEX(其他调用!$H$5:$L$404,MATCH($K70,其他调用!$B$5:$B$404,0),MATCH(AW$5,其他调用!$H$4:$L$4,0))*120*0.85,2),INDEX(其他调用!$H$5:$L$404,MATCH($K70,其他调用!$B$5:$B$404,0),MATCH(AW$5,其他调用!$H$4:$L$4,0))*120*0.85)</f>
        <v>46.202904533906384</v>
      </c>
      <c r="AX70" s="14">
        <f>IF(OR(AX$5="大R",AX$5="超R"),MAX(INDEX(其他调用!$H$5:$L$404,MATCH($K70,其他调用!$B$5:$B$404,0),MATCH(AX$5,其他调用!$H$4:$L$4,0))*120*0.85,2),INDEX(其他调用!$H$5:$L$404,MATCH($K70,其他调用!$B$5:$B$404,0),MATCH(AX$5,其他调用!$H$4:$L$4,0))*120*0.85)</f>
        <v>3.8891354535936</v>
      </c>
      <c r="AY70" s="14">
        <f>IF(OR(AY$5="大R",AY$5="超R"),MAX(INDEX(其他调用!$H$5:$L$404,MATCH($K70,其他调用!$B$5:$B$404,0),MATCH(AY$5,其他调用!$H$4:$L$4,0))*120*0.85,2),INDEX(其他调用!$H$5:$L$404,MATCH($K70,其他调用!$B$5:$B$404,0),MATCH(AY$5,其他调用!$H$4:$L$4,0))*120*0.85)</f>
        <v>2</v>
      </c>
      <c r="AZ70" s="14">
        <f>IF(OR(AZ$5="大R",AZ$5="超R"),MAX(INDEX(其他调用!$H$5:$L$404,MATCH($K70,其他调用!$B$5:$B$404,0),MATCH(AZ$5,其他调用!$H$4:$L$4,0))*120*0.85,2),INDEX(其他调用!$H$5:$L$404,MATCH($K70,其他调用!$B$5:$B$404,0),MATCH(AZ$5,其他调用!$H$4:$L$4,0))*120*0.85)</f>
        <v>2</v>
      </c>
      <c r="BA70" s="14">
        <f>INDEX(其他调用!$H$5:$L$404,MATCH($K70,其他调用!$B$5:$B$404,0),MATCH(BA$5,其他调用!$H$4:$L$4,0))*INDEX(其他调用!$M$5:$M$404,MATCH($K70,其他调用!$B$5:$B$404,0))*0.6</f>
        <v>29.072190028090915</v>
      </c>
      <c r="BB70" s="14">
        <f>INDEX(其他调用!$H$5:$L$404,MATCH($K70,其他调用!$B$5:$B$404,0),MATCH(BB$5,其他调用!$H$4:$L$4,0))*INDEX(其他调用!$M$5:$M$404,MATCH($K70,其他调用!$B$5:$B$404,0))*0.6</f>
        <v>26.302829991342275</v>
      </c>
      <c r="BC70" s="14">
        <f>INDEX(其他调用!$H$5:$L$404,MATCH($K70,其他调用!$B$5:$B$404,0),MATCH(BC$5,其他调用!$H$4:$L$4,0))*INDEX(其他调用!$M$5:$M$404,MATCH($K70,其他调用!$B$5:$B$404,0))*0.6</f>
        <v>2.2140441100213528</v>
      </c>
      <c r="BD70" s="14">
        <f>INDEX(其他调用!$H$5:$L$404,MATCH($K70,其他调用!$B$5:$B$404,0),MATCH(BD$5,其他调用!$H$4:$L$4,0))*INDEX(其他调用!$M$5:$M$404,MATCH($K70,其他调用!$B$5:$B$404,0))*0.6</f>
        <v>0.37561912457142871</v>
      </c>
      <c r="BE70" s="14">
        <f>INDEX(其他调用!$H$5:$L$404,MATCH($K70,其他调用!$B$5:$B$404,0),MATCH(BE$5,其他调用!$H$4:$L$4,0))*INDEX(其他调用!$M$5:$M$404,MATCH($K70,其他调用!$B$5:$B$404,0))*0.6</f>
        <v>0.10284921350649349</v>
      </c>
      <c r="BF70" s="14">
        <f>IF(OR(BF$5="大R",BF$5="超R"),0,INDEX(其他调用!$H$5:$L$404,MATCH($K70,其他调用!$B$5:$B$404,0),MATCH(BF$5,其他调用!$H$4:$L$4,0))*50*0.4)</f>
        <v>10.013234175000004</v>
      </c>
      <c r="BG70" s="14">
        <f>IF(OR(BG$5="大R",BG$5="超R"),0,INDEX(其他调用!$H$5:$L$404,MATCH($K70,其他调用!$B$5:$B$404,0),MATCH(BG$5,其他调用!$H$4:$L$4,0))*50*0.4)</f>
        <v>9.0593930458639971</v>
      </c>
      <c r="BH70" s="14">
        <f>IF(OR(BH$5="大R",BH$5="超R"),0,INDEX(其他调用!$H$5:$L$404,MATCH($K70,其他调用!$B$5:$B$404,0),MATCH(BH$5,其他调用!$H$4:$L$4,0))*50*0.4)</f>
        <v>0.76257557913600005</v>
      </c>
      <c r="BI70" s="14">
        <f>IF(OR(BI$5="大R",BI$5="超R"),0,INDEX(其他调用!$H$5:$L$404,MATCH($K70,其他调用!$B$5:$B$404,0),MATCH(BI$5,其他调用!$H$4:$L$4,0))*50*0.4)</f>
        <v>0</v>
      </c>
      <c r="BJ70" s="14">
        <f>IF(OR(BJ$5="大R",BJ$5="超R"),0,INDEX(其他调用!$H$5:$L$404,MATCH($K70,其他调用!$B$5:$B$404,0),MATCH(BJ$5,其他调用!$H$4:$L$4,0))*50*0.4)</f>
        <v>0</v>
      </c>
      <c r="BL70" s="14">
        <f t="shared" si="103"/>
        <v>65</v>
      </c>
      <c r="BM70" s="14">
        <f t="shared" si="10"/>
        <v>96</v>
      </c>
      <c r="BN70" s="14">
        <f>('疲劳值&amp;地图信息'!$S$10*'疲劳值&amp;地图信息'!$R$10+'疲劳值&amp;地图信息'!$S$11*'疲劳值&amp;地图信息'!$R$11+'疲劳值&amp;地图信息'!$S$12*'疲劳值&amp;地图信息'!$R$12+(BM70-'疲劳值&amp;地图信息'!$S$12-'疲劳值&amp;地图信息'!$S$11-'疲劳值&amp;地图信息'!$S$10)*'疲劳值&amp;地图信息'!$R$13)/BM70</f>
        <v>51.371477246638619</v>
      </c>
      <c r="BO70" s="14">
        <f>INDEX(其他调用!$M$5:$M$404,MATCH(BL70,其他调用!$B$5:$B$404,0))*0.6</f>
        <v>58.067532467532466</v>
      </c>
      <c r="BP70" s="14">
        <f>IF(BO70&gt;SUM('疲劳值&amp;地图信息'!$S$10:$S$12),('疲劳值&amp;地图信息'!$S$10*'疲劳值&amp;地图信息'!$R$10+'疲劳值&amp;地图信息'!$S$11*'疲劳值&amp;地图信息'!$R$11+'疲劳值&amp;地图信息'!$S$12*'疲劳值&amp;地图信息'!$R$12+(BO70-'疲劳值&amp;地图信息'!$S$12-'疲劳值&amp;地图信息'!$S$11-'疲劳值&amp;地图信息'!$S$10)*'疲劳值&amp;地图信息'!$R$13)/BO70,('疲劳值&amp;地图信息'!$S$10*'疲劳值&amp;地图信息'!$R$10+'疲劳值&amp;地图信息'!$S$11*'疲劳值&amp;地图信息'!$R$11+'疲劳值&amp;地图信息'!$S$12*'疲劳值&amp;地图信息'!$R$12+(BO70-'疲劳值&amp;地图信息'!$S$12-'疲劳值&amp;地图信息'!$S$11-'疲劳值&amp;地图信息'!$S$10)*'疲劳值&amp;地图信息'!$R$13)/BO70)</f>
        <v>43.517982988788596</v>
      </c>
      <c r="BQ70" s="14">
        <f t="shared" si="104"/>
        <v>20</v>
      </c>
      <c r="BR70" s="14">
        <f>('疲劳值&amp;地图信息'!$S$10*'疲劳值&amp;地图信息'!$R$10+($BQ70-'疲劳值&amp;地图信息'!$S$10)*'疲劳值&amp;地图信息'!$R$11)/$BQ70</f>
        <v>32.067203015074995</v>
      </c>
      <c r="CF70" s="14">
        <v>65</v>
      </c>
      <c r="CG70" s="51">
        <f t="shared" si="11"/>
        <v>7563</v>
      </c>
      <c r="CH70" s="51">
        <f t="shared" si="12"/>
        <v>799</v>
      </c>
      <c r="CI70" s="51">
        <f>INT(SUMPRODUCT($N70:$R70,$BA70:$BE70)/SUM($BA70:$BE70)/10000*$BX$7*$BZ$34/'疲劳值&amp;地图信息'!$R$10*$BY$53)</f>
        <v>2849</v>
      </c>
      <c r="CJ70" s="50">
        <f t="shared" si="13"/>
        <v>0.67460529836767458</v>
      </c>
      <c r="CK70" s="50">
        <f t="shared" si="14"/>
        <v>7.1269289091071275E-2</v>
      </c>
      <c r="CL70" s="50">
        <f t="shared" si="15"/>
        <v>0.25412541254125415</v>
      </c>
      <c r="CM70" s="14">
        <f t="shared" si="16"/>
        <v>7892</v>
      </c>
      <c r="CN70" s="14">
        <f t="shared" si="17"/>
        <v>1182</v>
      </c>
      <c r="CO70" s="14">
        <f>INT(SUMPRODUCT($U70:$Y70,$BA70:$BE70)/SUM($BA70:$BE70)/10000*$BX$7*$BZ$34/'疲劳值&amp;地图信息'!$R$10*$BY$54)</f>
        <v>5091</v>
      </c>
      <c r="CP70" s="50">
        <f t="shared" si="18"/>
        <v>0.55714789975291212</v>
      </c>
      <c r="CQ70" s="50">
        <f t="shared" si="19"/>
        <v>8.344511118955171E-2</v>
      </c>
      <c r="CR70" s="50">
        <f t="shared" si="20"/>
        <v>0.35940698905753621</v>
      </c>
      <c r="CS70" s="14">
        <f t="shared" si="21"/>
        <v>8385</v>
      </c>
      <c r="CT70" s="14">
        <f t="shared" si="22"/>
        <v>2138</v>
      </c>
      <c r="CU70" s="14">
        <f>INT(SUMPRODUCT($AB70:$AF70,$BA70:$BE70)/SUM($BA70:$BE70)/10000*$BX$7*$BZ$34/'疲劳值&amp;地图信息'!$R$10*$BY$55)</f>
        <v>6924</v>
      </c>
      <c r="CV70" s="50">
        <f t="shared" si="23"/>
        <v>0.48059838367627672</v>
      </c>
      <c r="CW70" s="50">
        <f t="shared" si="24"/>
        <v>0.1225425574597352</v>
      </c>
      <c r="CX70" s="50">
        <f t="shared" si="25"/>
        <v>0.39685905886398809</v>
      </c>
      <c r="CY70" s="14">
        <f t="shared" si="26"/>
        <v>9506</v>
      </c>
      <c r="CZ70" s="14">
        <f t="shared" si="27"/>
        <v>5514</v>
      </c>
      <c r="DA70" s="14">
        <f>INT(SUMPRODUCT($AI70:$AM70,$BA70:$BE70)/SUM($BA70:$BE70)/10000*$BX$7*$BZ$34/'疲劳值&amp;地图信息'!$R$10*$BY$56)</f>
        <v>10437</v>
      </c>
      <c r="DB70" s="50">
        <f t="shared" si="28"/>
        <v>0.37341399222217858</v>
      </c>
      <c r="DC70" s="50">
        <f t="shared" si="29"/>
        <v>0.21660054209058413</v>
      </c>
      <c r="DD70" s="50">
        <f t="shared" si="30"/>
        <v>0.40998546568723732</v>
      </c>
      <c r="DE70" s="14">
        <f t="shared" si="31"/>
        <v>9700</v>
      </c>
      <c r="DF70" s="14">
        <f t="shared" si="32"/>
        <v>10691</v>
      </c>
      <c r="DG70" s="14">
        <f>INT(SUMPRODUCT($AP70:$AT70,$BA70:$BE70)/SUM($BA70:$BE70)/10000*$BX$7*$BZ$34/'疲劳值&amp;地图信息'!$R$10*$BY$57)</f>
        <v>13937</v>
      </c>
      <c r="DH70" s="50">
        <f t="shared" si="33"/>
        <v>0.28256816592868794</v>
      </c>
      <c r="DI70" s="50">
        <f t="shared" si="34"/>
        <v>0.31143672803542299</v>
      </c>
      <c r="DJ70" s="50">
        <f t="shared" si="35"/>
        <v>0.40599510603588906</v>
      </c>
      <c r="DL70" s="14">
        <f t="shared" si="106"/>
        <v>11211</v>
      </c>
      <c r="DM70" s="14">
        <f t="shared" si="107"/>
        <v>14165</v>
      </c>
      <c r="DN70" s="14">
        <f t="shared" si="108"/>
        <v>17447</v>
      </c>
      <c r="DO70" s="14">
        <f t="shared" si="109"/>
        <v>25457</v>
      </c>
      <c r="DP70" s="14">
        <f t="shared" si="110"/>
        <v>34328</v>
      </c>
      <c r="DQ70" s="14">
        <f t="shared" si="111"/>
        <v>750229</v>
      </c>
      <c r="DT70" s="14">
        <f t="shared" si="105"/>
        <v>235575</v>
      </c>
      <c r="DU70" s="50">
        <f t="shared" ref="DU70:DU133" si="112">DT70/(DQ70+DT70)</f>
        <v>0.2389673809398217</v>
      </c>
      <c r="DW70" s="14">
        <f t="shared" si="36"/>
        <v>985804</v>
      </c>
      <c r="EB70" s="14">
        <v>65</v>
      </c>
      <c r="EC70" s="51">
        <f t="shared" si="37"/>
        <v>12605</v>
      </c>
      <c r="ED70" s="51">
        <f t="shared" si="38"/>
        <v>1332</v>
      </c>
      <c r="EE70" s="51">
        <f>INT(SUMPRODUCT($N70:$R70,$BF70:$BJ70)/SUM($BF70:$BJ70)/10000*$BX$7*$BZ$46/'疲劳值&amp;地图信息'!$R$10*$BY$53)</f>
        <v>382</v>
      </c>
      <c r="EF70" s="50">
        <f t="shared" si="39"/>
        <v>0.88029890355471752</v>
      </c>
      <c r="EG70" s="50">
        <f t="shared" si="40"/>
        <v>9.3023255813953487E-2</v>
      </c>
      <c r="EH70" s="50">
        <f t="shared" si="41"/>
        <v>2.6677840631329004E-2</v>
      </c>
      <c r="EI70" s="51">
        <f t="shared" si="42"/>
        <v>13153</v>
      </c>
      <c r="EJ70" s="51">
        <f t="shared" si="43"/>
        <v>1970</v>
      </c>
      <c r="EK70" s="14">
        <f>INT(SUMPRODUCT($U70:$Y70,$BF70:$BJ70)/SUM($BF70:$BJ70)/10000*$BX$7*$BZ$46/'疲劳值&amp;地图信息'!$R$10*$BY$54)</f>
        <v>683</v>
      </c>
      <c r="EL70" s="50">
        <f t="shared" si="44"/>
        <v>0.83215234720992026</v>
      </c>
      <c r="EM70" s="50">
        <f t="shared" si="45"/>
        <v>0.12463621409591294</v>
      </c>
      <c r="EN70" s="50">
        <f t="shared" si="46"/>
        <v>4.3211438694166771E-2</v>
      </c>
      <c r="EO70" s="51">
        <f t="shared" si="47"/>
        <v>13976</v>
      </c>
      <c r="EP70" s="51">
        <f t="shared" si="48"/>
        <v>3563</v>
      </c>
      <c r="EQ70" s="14">
        <f>INT(SUMPRODUCT($AB70:$AF70,$BF70:$BJ70)/SUM($BF70:$BJ70)/10000*$BX$7*$BZ$46/'疲劳值&amp;地图信息'!$R$10*$BY$55)</f>
        <v>928</v>
      </c>
      <c r="ER70" s="50">
        <f t="shared" si="49"/>
        <v>0.75680944387285431</v>
      </c>
      <c r="ES70" s="50">
        <f t="shared" si="50"/>
        <v>0.19293875561812965</v>
      </c>
      <c r="ET70" s="50">
        <f t="shared" si="51"/>
        <v>5.0251800509016085E-2</v>
      </c>
      <c r="EU70" s="51">
        <f t="shared" si="52"/>
        <v>15844</v>
      </c>
      <c r="EV70" s="51">
        <f t="shared" si="53"/>
        <v>9190</v>
      </c>
      <c r="EW70" s="14">
        <f>INT(SUMPRODUCT($AI70:$AM70,$BF70:$BJ70)/SUM($BF70:$BJ70)/10000*$BX$7*$BZ$46/'疲劳值&amp;地图信息'!$R$10*$BY$56)</f>
        <v>1392</v>
      </c>
      <c r="EX70" s="50">
        <f t="shared" si="54"/>
        <v>0.59956103837130104</v>
      </c>
      <c r="EY70" s="50">
        <f t="shared" si="55"/>
        <v>0.34776356618481796</v>
      </c>
      <c r="EZ70" s="50">
        <f t="shared" si="56"/>
        <v>5.2675395443881029E-2</v>
      </c>
      <c r="FA70" s="51">
        <f t="shared" si="57"/>
        <v>16168</v>
      </c>
      <c r="FB70" s="51">
        <f t="shared" si="58"/>
        <v>17819</v>
      </c>
      <c r="FC70" s="14">
        <f>INT(SUMPRODUCT($AP70:$AT70,$BF70:$BJ70)/SUM($BF70:$BJ70)/10000*$BX$7*$BZ$46/'疲劳值&amp;地图信息'!$R$10*$BY$57)</f>
        <v>1856</v>
      </c>
      <c r="FD70" s="50">
        <f t="shared" si="59"/>
        <v>0.45107831375721896</v>
      </c>
      <c r="FE70" s="50">
        <f t="shared" si="60"/>
        <v>0.49714030633596518</v>
      </c>
      <c r="FF70" s="50">
        <f t="shared" si="61"/>
        <v>5.1781379906815833E-2</v>
      </c>
      <c r="FH70" s="14">
        <f t="shared" si="62"/>
        <v>14319</v>
      </c>
      <c r="FI70" s="14">
        <f t="shared" si="63"/>
        <v>15806</v>
      </c>
      <c r="FJ70" s="14">
        <f t="shared" si="64"/>
        <v>18467</v>
      </c>
      <c r="FK70" s="14">
        <f t="shared" si="65"/>
        <v>26426</v>
      </c>
      <c r="FL70" s="14">
        <f t="shared" si="66"/>
        <v>35843</v>
      </c>
      <c r="FM70" s="14">
        <f t="shared" si="67"/>
        <v>1657877</v>
      </c>
      <c r="FP70" s="14">
        <f t="shared" si="68"/>
        <v>334150</v>
      </c>
      <c r="FQ70" s="50">
        <f t="shared" ref="FQ70:FQ133" si="113">FP70/(FM70+FP70)</f>
        <v>0.1677437103011154</v>
      </c>
      <c r="FS70" s="14">
        <f t="shared" si="69"/>
        <v>1992027</v>
      </c>
      <c r="FX70" s="14">
        <v>65</v>
      </c>
      <c r="FY70" s="51">
        <f t="shared" si="70"/>
        <v>17647</v>
      </c>
      <c r="FZ70" s="51">
        <f t="shared" si="71"/>
        <v>1332</v>
      </c>
      <c r="GA70" s="51">
        <f>INT(SUMPRODUCT($N70:$R70,$BF70:$BJ70)/SUM($BF70:$BJ70)/10000*$BX$7*$BZ$46/'疲劳值&amp;地图信息'!$R$10*$BY$53)</f>
        <v>382</v>
      </c>
      <c r="GB70" s="50">
        <f t="shared" si="72"/>
        <v>0.9114715149010898</v>
      </c>
      <c r="GC70" s="50">
        <f t="shared" si="73"/>
        <v>6.8798099271731833E-2</v>
      </c>
      <c r="GD70" s="50">
        <f t="shared" si="74"/>
        <v>1.973038582717835E-2</v>
      </c>
      <c r="GE70" s="51">
        <f t="shared" si="75"/>
        <v>18414</v>
      </c>
      <c r="GF70" s="51">
        <f t="shared" si="76"/>
        <v>1970</v>
      </c>
      <c r="GG70" s="14">
        <f>INT(SUMPRODUCT($U70:$Y70,$BF70:$BJ70)/SUM($BF70:$BJ70)/10000*$BX$7*$BZ$46/'疲劳值&amp;地图信息'!$R$10*$BY$54)</f>
        <v>683</v>
      </c>
      <c r="GH70" s="50">
        <f t="shared" si="77"/>
        <v>0.87406844828404617</v>
      </c>
      <c r="GI70" s="50">
        <f t="shared" si="78"/>
        <v>9.351117862059144E-2</v>
      </c>
      <c r="GJ70" s="50">
        <f t="shared" si="79"/>
        <v>3.2420373095362415E-2</v>
      </c>
      <c r="GK70" s="51">
        <f t="shared" si="80"/>
        <v>19566</v>
      </c>
      <c r="GL70" s="51">
        <f t="shared" si="81"/>
        <v>3563</v>
      </c>
      <c r="GM70" s="14">
        <f>INT(SUMPRODUCT($AB70:$AF70,$BF70:$BJ70)/SUM($BF70:$BJ70)/10000*$BX$7*$BZ$46/'疲劳值&amp;地图信息'!$R$10*$BY$55)</f>
        <v>928</v>
      </c>
      <c r="GN70" s="50">
        <f t="shared" si="82"/>
        <v>0.81331836887392439</v>
      </c>
      <c r="GO70" s="50">
        <f t="shared" si="83"/>
        <v>0.14810658020534564</v>
      </c>
      <c r="GP70" s="50">
        <f t="shared" si="84"/>
        <v>3.8575050920729936E-2</v>
      </c>
      <c r="GQ70" s="51">
        <f t="shared" si="85"/>
        <v>22182</v>
      </c>
      <c r="GR70" s="51">
        <f t="shared" si="86"/>
        <v>9190</v>
      </c>
      <c r="GS70" s="14">
        <f>INT(SUMPRODUCT($AI70:$AM70,$BF70:$BJ70)/SUM($BF70:$BJ70)/10000*$BX$7*$BZ$46/'疲劳值&amp;地图信息'!$R$10*$BY$56)</f>
        <v>1392</v>
      </c>
      <c r="GT70" s="50">
        <f t="shared" si="87"/>
        <v>0.67702356244658768</v>
      </c>
      <c r="GU70" s="50">
        <f t="shared" si="88"/>
        <v>0.28049078256623122</v>
      </c>
      <c r="GV70" s="50">
        <f t="shared" si="89"/>
        <v>4.248565498718105E-2</v>
      </c>
      <c r="GW70" s="51">
        <f t="shared" si="90"/>
        <v>22635</v>
      </c>
      <c r="GX70" s="51">
        <f t="shared" si="91"/>
        <v>17819</v>
      </c>
      <c r="GY70" s="14">
        <f>INT(SUMPRODUCT($AP70:$AT70,$BF70:$BJ70)/SUM($BF70:$BJ70)/10000*$BX$7*$BZ$46/'疲劳值&amp;地图信息'!$R$10*$BY$57)</f>
        <v>1856</v>
      </c>
      <c r="GZ70" s="50">
        <f t="shared" si="92"/>
        <v>0.53497991018671709</v>
      </c>
      <c r="HA70" s="50">
        <f t="shared" si="93"/>
        <v>0.42115339163318366</v>
      </c>
      <c r="HB70" s="50">
        <f t="shared" si="94"/>
        <v>4.3866698180099264E-2</v>
      </c>
      <c r="HD70" s="14">
        <f t="shared" si="95"/>
        <v>19361</v>
      </c>
      <c r="HE70" s="14">
        <f t="shared" si="96"/>
        <v>21067</v>
      </c>
      <c r="HF70" s="14">
        <f t="shared" si="97"/>
        <v>24057</v>
      </c>
      <c r="HG70" s="14">
        <f t="shared" si="98"/>
        <v>32764</v>
      </c>
      <c r="HH70" s="14">
        <f t="shared" si="99"/>
        <v>42310</v>
      </c>
      <c r="HI70" s="14">
        <f t="shared" si="100"/>
        <v>2205783</v>
      </c>
      <c r="HL70" s="14">
        <f t="shared" si="101"/>
        <v>430050</v>
      </c>
      <c r="HM70" s="50">
        <f t="shared" ref="HM70:HM133" si="114">HL70/(HI70+HL70)</f>
        <v>0.16315525300730357</v>
      </c>
      <c r="HO70" s="14">
        <f t="shared" si="102"/>
        <v>2635833</v>
      </c>
    </row>
    <row r="71" spans="11:223" x14ac:dyDescent="0.2">
      <c r="K71" s="14">
        <v>66</v>
      </c>
      <c r="L71" s="12">
        <f>求节点(节奏总纲!D$4:D$163,标准城池设计!AB$4:AB$163,$K71)*求节点(节奏总纲!D$4:D$163,攻城基础信息!$AC$5:$AC$164,$K71)</f>
        <v>369336.02641426353</v>
      </c>
      <c r="M71" s="12">
        <f>INDEX(其他调用!$AA$5:$AA$404,MATCH(K71,其他调用!$X$5:$X$404,0))*MIN(INDEX(其他调用!$AH$5:$AH$364,MATCH('征服点（新）'!K71,其他调用!$AG$5:$AG$364,0),1)/INDEX(其他调用!$AJ$5:$AJ$364,MATCH(K71,其他调用!$AG$5:$AG$364,0),0),5)*求节点(节奏总纲!D$4:D$163,攻城基础信息!$AC$5:$AC$164,$K71)</f>
        <v>38753.848314543917</v>
      </c>
      <c r="N71" s="12">
        <f>MIN(INDEX(其他调用!$AH$5:$AH$364,MATCH($K71,其他调用!$AG$5:$AG$364,0),1)/INDEX(其他调用!AH$5:AH$364,MATCH($K71,其他调用!$AG$5:$AG$364,0),0),1)*INDEX(其他调用!Y$5:Y$404,MATCH($K71,其他调用!$X$5:$X$404,0),0)</f>
        <v>33763.829973175983</v>
      </c>
      <c r="O71" s="12">
        <f>MIN(INDEX(其他调用!$AH$5:$AH$364,MATCH($K71,其他调用!$AG$5:$AG$364,0),1)/INDEX(其他调用!AI$5:AI$364,MATCH($K71,其他调用!$AG$5:$AG$364,0),0),1)*INDEX(其他调用!Z$5:Z$404,MATCH($K71,其他调用!$X$5:$X$404,0),0)</f>
        <v>23543.408021090509</v>
      </c>
      <c r="P71" s="12">
        <f>MIN(INDEX(其他调用!$AH$5:$AH$364,MATCH($K71,其他调用!$AG$5:$AG$364,0),1)/INDEX(其他调用!AJ$5:AJ$364,MATCH($K71,其他调用!$AG$5:$AG$364,0),0),1)*INDEX(其他调用!AA$5:AA$404,MATCH($K71,其他调用!$X$5:$X$404,0),0)</f>
        <v>13573.536701059335</v>
      </c>
      <c r="Q71" s="12">
        <f>MIN(INDEX(其他调用!$AH$5:$AH$364,MATCH($K71,其他调用!$AG$5:$AG$364,0),1)/INDEX(其他调用!AK$5:AK$364,MATCH($K71,其他调用!$AG$5:$AG$364,0),0),1)*INDEX(其他调用!AB$5:AB$404,MATCH($K71,其他调用!$X$5:$X$404,0),0)</f>
        <v>5598.3358041202946</v>
      </c>
      <c r="R71" s="12">
        <f>MIN(INDEX(其他调用!$AH$5:$AH$364,MATCH($K71,其他调用!$AG$5:$AG$364,0),1)/INDEX(其他调用!AL$5:AL$364,MATCH($K71,其他调用!$AG$5:$AG$364,0),0),1)*INDEX(其他调用!AC$5:AC$404,MATCH($K71,其他调用!$X$5:$X$404,0),0)</f>
        <v>1818.8544493772604</v>
      </c>
      <c r="S71" s="12">
        <f>求节点(节奏总纲!D$4:D$163,标准城池设计!AC$4:AC$163,$K71)*求节点(节奏总纲!D$4:D$163,攻城基础信息!$AD$5:$AD$164,$K71)</f>
        <v>385455.10228928574</v>
      </c>
      <c r="T71" s="12">
        <f>INDEX(其他调用!$AA$5:$AA$404,MATCH($K71,其他调用!$X$5:$X$404,0))*MIN(INDEX(其他调用!AI$5:AI$364,MATCH($K71,其他调用!$AG$5:$AG$364,0),1)/INDEX(其他调用!$AJ$5:$AJ$364,MATCH($K71,其他调用!$AG$5:$AG$364,0),0),5)*求节点(节奏总纲!D$4:D$163,攻城基础信息!$AD$5:$AD$164,$K71)</f>
        <v>57453.941810155549</v>
      </c>
      <c r="U71" s="12">
        <f>MIN(INDEX(其他调用!$AI$5:$AI$364,MATCH($K71,其他调用!$AG$5:$AG$364,0),1)/INDEX(其他调用!AH$5:AH$364,MATCH($K71,其他调用!$AG$5:$AG$364,0),0),1)*INDEX(其他调用!Y$5:Y$404,MATCH($K71,其他调用!$X$5:$X$404,0),0)</f>
        <v>33763.829973175983</v>
      </c>
      <c r="V71" s="12">
        <f>MIN(INDEX(其他调用!$AI$5:$AI$364,MATCH($K71,其他调用!$AG$5:$AG$364,0),1)/INDEX(其他调用!AI$5:AI$364,MATCH($K71,其他调用!$AG$5:$AG$364,0),0),1)*INDEX(其他调用!Z$5:Z$404,MATCH($K71,其他调用!$X$5:$X$404,0),0)</f>
        <v>34903.929629843857</v>
      </c>
      <c r="W71" s="12">
        <f>MIN(INDEX(其他调用!$AI$5:$AI$364,MATCH($K71,其他调用!$AG$5:$AG$364,0),1)/INDEX(其他调用!AJ$5:AJ$364,MATCH($K71,其他调用!$AG$5:$AG$364,0),0),1)*INDEX(其他调用!AA$5:AA$404,MATCH($K71,其他调用!$X$5:$X$404,0),0)</f>
        <v>20123.245089133587</v>
      </c>
      <c r="X71" s="12">
        <f>MIN(INDEX(其他调用!$AI$5:$AI$364,MATCH($K71,其他调用!$AG$5:$AG$364,0),1)/INDEX(其他调用!AK$5:AK$364,MATCH($K71,其他调用!$AG$5:$AG$364,0),0),1)*INDEX(其他调用!AB$5:AB$404,MATCH($K71,其他调用!$X$5:$X$404,0),0)</f>
        <v>8299.7295368709838</v>
      </c>
      <c r="Y71" s="12">
        <f>MIN(INDEX(其他调用!$AI$5:$AI$364,MATCH($K71,其他调用!$AG$5:$AG$364,0),1)/INDEX(其他调用!AL$5:AL$364,MATCH($K71,其他调用!$AG$5:$AG$364,0),0),1)*INDEX(其他调用!AC$5:AC$404,MATCH($K71,其他调用!$X$5:$X$404,0),0)</f>
        <v>2696.5156298154202</v>
      </c>
      <c r="Z71" s="12">
        <f>求节点(节奏总纲!D$4:D$163,标准城池设计!AD$4:AD$163,$K71)*求节点(节奏总纲!D$4:D$163,攻城基础信息!$AE$5:$AE$164,$K71)</f>
        <v>409670.53183007118</v>
      </c>
      <c r="AA71" s="12">
        <f>INDEX(其他调用!$AA$5:$AA$404,MATCH($K71,其他调用!$X$5:$X$404,0))*MIN(INDEX(其他调用!AJ$5:AJ$364,MATCH($K71,其他调用!$AG$5:$AG$364,0),1)/INDEX(其他调用!$AJ$5:$AJ$364,MATCH($K71,其他调用!$AG$5:$AG$364,0),0),5)*求节点(节奏总纲!D$4:D$163,攻城基础信息!$AE$5:$AE$164,$K71)</f>
        <v>103910.16930626308</v>
      </c>
      <c r="AB71" s="12">
        <f>MIN(INDEX(其他调用!$AJ$5:$AJ$364,MATCH($K71,其他调用!$AG$5:$AG$364,0),1)/INDEX(其他调用!AH$5:AH$364,MATCH($K71,其他调用!$AG$5:$AG$364,0),0),1)*INDEX(其他调用!Y$5:Y$404,MATCH($K71,其他调用!$X$5:$X$404,0),0)</f>
        <v>33763.829973175983</v>
      </c>
      <c r="AC71" s="12">
        <f>MIN(INDEX(其他调用!$AJ$5:$AJ$364,MATCH($K71,其他调用!$AG$5:$AG$364,0),1)/INDEX(其他调用!AI$5:AI$364,MATCH($K71,其他调用!$AG$5:$AG$364,0),0),1)*INDEX(其他调用!Z$5:Z$404,MATCH($K71,其他调用!$X$5:$X$404,0),0)</f>
        <v>34903.929629843857</v>
      </c>
      <c r="AD71" s="12">
        <f>MIN(INDEX(其他调用!$AJ$5:$AJ$364,MATCH($K71,其他调用!$AG$5:$AG$364,0),1)/INDEX(其他调用!AJ$5:AJ$364,MATCH($K71,其他调用!$AG$5:$AG$364,0),0),1)*INDEX(其他调用!AA$5:AA$404,MATCH($K71,其他调用!$X$5:$X$404,0),0)</f>
        <v>36394.540362654305</v>
      </c>
      <c r="AE71" s="12">
        <f>MIN(INDEX(其他调用!$AJ$5:$AJ$364,MATCH($K71,其他调用!$AG$5:$AG$364,0),1)/INDEX(其他调用!AK$5:AK$364,MATCH($K71,其他调用!$AG$5:$AG$364,0),0),1)*INDEX(其他调用!AB$5:AB$404,MATCH($K71,其他调用!$X$5:$X$404,0),0)</f>
        <v>15010.742069224112</v>
      </c>
      <c r="AF71" s="12">
        <f>MIN(INDEX(其他调用!$AJ$5:$AJ$364,MATCH($K71,其他调用!$AG$5:$AG$364,0),1)/INDEX(其他调用!AL$5:AL$364,MATCH($K71,其他调用!$AG$5:$AG$364,0),0),1)*INDEX(其他调用!AC$5:AC$404,MATCH($K71,其他调用!$X$5:$X$404,0),0)</f>
        <v>4876.8698335259842</v>
      </c>
      <c r="AG71" s="12">
        <f>求节点(节奏总纲!D$4:D$163,标准城池设计!AE$4:AE$163,$K71)*求节点(节奏总纲!D$4:D$163,攻城基础信息!$AF$5:$AF$164,$K71)</f>
        <v>464368.72223396343</v>
      </c>
      <c r="AH71" s="12">
        <f>INDEX(其他调用!$AA$5:$AA$404,MATCH($K71,其他调用!$X$5:$X$404,0))*MIN(INDEX(其他调用!AK$5:AK$364,MATCH($K71,其他调用!$AG$5:$AG$364,0),1)/INDEX(其他调用!$AJ$5:$AJ$364,MATCH($K71,其他调用!$AG$5:$AG$364,0),0),5)*求节点(节奏总纲!D$4:D$163,攻城基础信息!$AF$5:$AF$164,$K71)</f>
        <v>267033.89726038987</v>
      </c>
      <c r="AI71" s="12">
        <f>MIN(INDEX(其他调用!$AK$5:$AK$364,MATCH($K71,其他调用!$AG$5:$AG$364,0),1)/INDEX(其他调用!AH$5:AH$364,MATCH($K71,其他调用!$AG$5:$AG$364,0),0),1)*INDEX(其他调用!Y$5:Y$404,MATCH($K71,其他调用!$X$5:$X$404,0),0)</f>
        <v>33763.829973175983</v>
      </c>
      <c r="AJ71" s="12">
        <f>MIN(INDEX(其他调用!$AK$5:$AK$364,MATCH($K71,其他调用!$AG$5:$AG$364,0),1)/INDEX(其他调用!AI$5:AI$364,MATCH($K71,其他调用!$AG$5:$AG$364,0),0),1)*INDEX(其他调用!Z$5:Z$404,MATCH($K71,其他调用!$X$5:$X$404,0),0)</f>
        <v>34903.929629843857</v>
      </c>
      <c r="AK71" s="12">
        <f>MIN(INDEX(其他调用!$AK$5:$AK$364,MATCH($K71,其他调用!$AG$5:$AG$364,0),1)/INDEX(其他调用!AJ$5:AJ$364,MATCH($K71,其他调用!$AG$5:$AG$364,0),0),1)*INDEX(其他调用!AA$5:AA$404,MATCH($K71,其他调用!$X$5:$X$404,0),0)</f>
        <v>36394.540362654305</v>
      </c>
      <c r="AL71" s="12">
        <f>MIN(INDEX(其他调用!$AK$5:$AK$364,MATCH($K71,其他调用!$AG$5:$AG$364,0),1)/INDEX(其他调用!AK$5:AK$364,MATCH($K71,其他调用!$AG$5:$AG$364,0),0),1)*INDEX(其他调用!AB$5:AB$404,MATCH($K71,其他调用!$X$5:$X$404,0),0)</f>
        <v>38575.405874868527</v>
      </c>
      <c r="AM71" s="12">
        <f>MIN(INDEX(其他调用!$AK$5:$AK$364,MATCH($K71,其他调用!$AG$5:$AG$364,0),1)/INDEX(其他调用!AL$5:AL$364,MATCH($K71,其他调用!$AG$5:$AG$364,0),0),1)*INDEX(其他调用!AC$5:AC$404,MATCH($K71,其他调用!$X$5:$X$404,0),0)</f>
        <v>12532.840305935082</v>
      </c>
      <c r="AN71" s="12">
        <f>求节点(节奏总纲!D$4:D$163,标准城池设计!AF$4:AF$163,$K71)*求节点(节奏总纲!D$4:D$163,攻城基础信息!$AG$5:$AG$164,$K71)</f>
        <v>473310.57392781385</v>
      </c>
      <c r="AO71" s="12">
        <f>INDEX(其他调用!$AA$5:$AA$404,MATCH($K71,其他调用!$X$5:$X$404,0))*MIN(INDEX(其他调用!AL$5:AL$364,MATCH($K71,其他调用!$AG$5:$AG$364,0),1)/INDEX(其他调用!$AJ$5:$AJ$364,MATCH($K71,其他调用!$AG$5:$AG$364,0),0),5)*求节点(节奏总纲!D$4:D$163,攻城基础信息!$AG$5:$AG$164,$K71)</f>
        <v>519550.84653131542</v>
      </c>
      <c r="AP71" s="12">
        <f>MIN(INDEX(其他调用!$AL$5:$AL$364,MATCH($K71,其他调用!$AG$5:$AG$364,0),1)/INDEX(其他调用!AH$5:AH$364,MATCH($K71,其他调用!$AG$5:$AG$364,0),0),1)*INDEX(其他调用!Y$5:Y$404,MATCH($K71,其他调用!$X$5:$X$404,0),0)</f>
        <v>33763.829973175983</v>
      </c>
      <c r="AQ71" s="12">
        <f>MIN(INDEX(其他调用!$AL$5:$AL$364,MATCH($K71,其他调用!$AG$5:$AG$364,0),1)/INDEX(其他调用!AI$5:AI$364,MATCH($K71,其他调用!$AG$5:$AG$364,0),0),1)*INDEX(其他调用!Z$5:Z$404,MATCH($K71,其他调用!$X$5:$X$404,0),0)</f>
        <v>34903.929629843857</v>
      </c>
      <c r="AR71" s="12">
        <f>MIN(INDEX(其他调用!$AL$5:$AL$364,MATCH($K71,其他调用!$AG$5:$AG$364,0),1)/INDEX(其他调用!AJ$5:AJ$364,MATCH($K71,其他调用!$AG$5:$AG$364,0),0),1)*INDEX(其他调用!AA$5:AA$404,MATCH($K71,其他调用!$X$5:$X$404,0),0)</f>
        <v>36394.540362654305</v>
      </c>
      <c r="AS71" s="12">
        <f>MIN(INDEX(其他调用!$AL$5:$AL$364,MATCH($K71,其他调用!$AG$5:$AG$364,0),1)/INDEX(其他调用!AK$5:AK$364,MATCH($K71,其他调用!$AG$5:$AG$364,0),0),1)*INDEX(其他调用!AB$5:AB$404,MATCH($K71,其他调用!$X$5:$X$404,0),0)</f>
        <v>38575.405874868527</v>
      </c>
      <c r="AT71" s="12">
        <f>MIN(INDEX(其他调用!$AL$5:$AL$364,MATCH($K71,其他调用!$AG$5:$AG$364,0),1)/INDEX(其他调用!AL$5:AL$364,MATCH($K71,其他调用!$AG$5:$AG$364,0),0),1)*INDEX(其他调用!AC$5:AC$404,MATCH($K71,其他调用!$X$5:$X$404,0),0)</f>
        <v>42404.287344374796</v>
      </c>
      <c r="AV71" s="14">
        <f>IF(OR(AV$5="大R",AV$5="超R"),MAX(INDEX(其他调用!$H$5:$L$404,MATCH($K71,其他调用!$B$5:$B$404,0),MATCH(AV$5,其他调用!$H$4:$L$4,0))*120*0.85,2),INDEX(其他调用!$H$5:$L$404,MATCH($K71,其他调用!$B$5:$B$404,0),MATCH(AV$5,其他调用!$H$4:$L$4,0))*120*0.85)</f>
        <v>50.981666571000019</v>
      </c>
      <c r="AW71" s="14">
        <f>IF(OR(AW$5="大R",AW$5="超R"),MAX(INDEX(其他调用!$H$5:$L$404,MATCH($K71,其他调用!$B$5:$B$404,0),MATCH(AW$5,其他调用!$H$4:$L$4,0))*120*0.85,2),INDEX(其他调用!$H$5:$L$404,MATCH($K71,其他调用!$B$5:$B$404,0),MATCH(AW$5,其他调用!$H$4:$L$4,0))*120*0.85)</f>
        <v>46.284282112975667</v>
      </c>
      <c r="AX71" s="14">
        <f>IF(OR(AX$5="大R",AX$5="超R"),MAX(INDEX(其他调用!$H$5:$L$404,MATCH($K71,其他调用!$B$5:$B$404,0),MATCH(AX$5,其他调用!$H$4:$L$4,0))*120*0.85,2),INDEX(其他调用!$H$5:$L$404,MATCH($K71,其他调用!$B$5:$B$404,0),MATCH(AX$5,其他调用!$H$4:$L$4,0))*120*0.85)</f>
        <v>3.8910751720243195</v>
      </c>
      <c r="AY71" s="14">
        <f>IF(OR(AY$5="大R",AY$5="超R"),MAX(INDEX(其他调用!$H$5:$L$404,MATCH($K71,其他调用!$B$5:$B$404,0),MATCH(AY$5,其他调用!$H$4:$L$4,0))*120*0.85,2),INDEX(其他调用!$H$5:$L$404,MATCH($K71,其他调用!$B$5:$B$404,0),MATCH(AY$5,其他调用!$H$4:$L$4,0))*120*0.85)</f>
        <v>2</v>
      </c>
      <c r="AZ71" s="14">
        <f>IF(OR(AZ$5="大R",AZ$5="超R"),MAX(INDEX(其他调用!$H$5:$L$404,MATCH($K71,其他调用!$B$5:$B$404,0),MATCH(AZ$5,其他调用!$H$4:$L$4,0))*120*0.85,2),INDEX(其他调用!$H$5:$L$404,MATCH($K71,其他调用!$B$5:$B$404,0),MATCH(AZ$5,其他调用!$H$4:$L$4,0))*120*0.85)</f>
        <v>2</v>
      </c>
      <c r="BA71" s="14">
        <f>INDEX(其他调用!$H$5:$L$404,MATCH($K71,其他调用!$B$5:$B$404,0),MATCH(BA$5,其他调用!$H$4:$L$4,0))*INDEX(其他调用!$M$5:$M$404,MATCH($K71,其他调用!$B$5:$B$404,0))*0.6</f>
        <v>29.08824092665715</v>
      </c>
      <c r="BB71" s="14">
        <f>INDEX(其他调用!$H$5:$L$404,MATCH($K71,其他调用!$B$5:$B$404,0),MATCH(BB$5,其他调用!$H$4:$L$4,0))*INDEX(其他调用!$M$5:$M$404,MATCH($K71,其他调用!$B$5:$B$404,0))*0.6</f>
        <v>26.408088235888279</v>
      </c>
      <c r="BC71" s="14">
        <f>INDEX(其他调用!$H$5:$L$404,MATCH($K71,其他调用!$B$5:$B$404,0),MATCH(BC$5,其他调用!$H$4:$L$4,0))*INDEX(其他调用!$M$5:$M$404,MATCH($K71,其他调用!$B$5:$B$404,0))*0.6</f>
        <v>2.220102630618205</v>
      </c>
      <c r="BD71" s="14">
        <f>INDEX(其他调用!$H$5:$L$404,MATCH($K71,其他调用!$B$5:$B$404,0),MATCH(BD$5,其他调用!$H$4:$L$4,0))*INDEX(其他调用!$M$5:$M$404,MATCH($K71,其他调用!$B$5:$B$404,0))*0.6</f>
        <v>0.37738873920000005</v>
      </c>
      <c r="BE71" s="14">
        <f>INDEX(其他调用!$H$5:$L$404,MATCH($K71,其他调用!$B$5:$B$404,0),MATCH(BE$5,其他调用!$H$4:$L$4,0))*INDEX(其他调用!$M$5:$M$404,MATCH($K71,其他调用!$B$5:$B$404,0))*0.6</f>
        <v>0.10358206503896102</v>
      </c>
      <c r="BF71" s="14">
        <f>IF(OR(BF$5="大R",BF$5="超R"),0,INDEX(其他调用!$H$5:$L$404,MATCH($K71,其他调用!$B$5:$B$404,0),MATCH(BF$5,其他调用!$H$4:$L$4,0))*50*0.4)</f>
        <v>9.9964052100000043</v>
      </c>
      <c r="BG71" s="14">
        <f>IF(OR(BG$5="大R",BG$5="超R"),0,INDEX(其他调用!$H$5:$L$404,MATCH($K71,其他调用!$B$5:$B$404,0),MATCH(BG$5,其他调用!$H$4:$L$4,0))*50*0.4)</f>
        <v>9.0753494339167968</v>
      </c>
      <c r="BH71" s="14">
        <f>IF(OR(BH$5="大R",BH$5="超R"),0,INDEX(其他调用!$H$5:$L$404,MATCH($K71,其他调用!$B$5:$B$404,0),MATCH(BH$5,其他调用!$H$4:$L$4,0))*50*0.4)</f>
        <v>0.76295591608320013</v>
      </c>
      <c r="BI71" s="14">
        <f>IF(OR(BI$5="大R",BI$5="超R"),0,INDEX(其他调用!$H$5:$L$404,MATCH($K71,其他调用!$B$5:$B$404,0),MATCH(BI$5,其他调用!$H$4:$L$4,0))*50*0.4)</f>
        <v>0</v>
      </c>
      <c r="BJ71" s="14">
        <f>IF(OR(BJ$5="大R",BJ$5="超R"),0,INDEX(其他调用!$H$5:$L$404,MATCH($K71,其他调用!$B$5:$B$404,0),MATCH(BJ$5,其他调用!$H$4:$L$4,0))*50*0.4)</f>
        <v>0</v>
      </c>
      <c r="BL71" s="14">
        <f t="shared" si="103"/>
        <v>66</v>
      </c>
      <c r="BM71" s="14">
        <f t="shared" ref="BM71:BM134" si="115">120*0.8</f>
        <v>96</v>
      </c>
      <c r="BN71" s="14">
        <f>('疲劳值&amp;地图信息'!$S$10*'疲劳值&amp;地图信息'!$R$10+'疲劳值&amp;地图信息'!$S$11*'疲劳值&amp;地图信息'!$R$11+'疲劳值&amp;地图信息'!$S$12*'疲劳值&amp;地图信息'!$R$12+(BM71-'疲劳值&amp;地图信息'!$S$12-'疲劳值&amp;地图信息'!$S$11-'疲劳值&amp;地图信息'!$S$10)*'疲劳值&amp;地图信息'!$R$13)/BM71</f>
        <v>51.371477246638619</v>
      </c>
      <c r="BO71" s="14">
        <f>INDEX(其他调用!$M$5:$M$404,MATCH(BL71,其他调用!$B$5:$B$404,0))*0.6</f>
        <v>58.197402597402593</v>
      </c>
      <c r="BP71" s="14">
        <f>IF(BO71&gt;SUM('疲劳值&amp;地图信息'!$S$10:$S$12),('疲劳值&amp;地图信息'!$S$10*'疲劳值&amp;地图信息'!$R$10+'疲劳值&amp;地图信息'!$S$11*'疲劳值&amp;地图信息'!$R$11+'疲劳值&amp;地图信息'!$S$12*'疲劳值&amp;地图信息'!$R$12+(BO71-'疲劳值&amp;地图信息'!$S$12-'疲劳值&amp;地图信息'!$S$11-'疲劳值&amp;地图信息'!$S$10)*'疲劳值&amp;地图信息'!$R$13)/BO71,('疲劳值&amp;地图信息'!$S$10*'疲劳值&amp;地图信息'!$R$10+'疲劳值&amp;地图信息'!$S$11*'疲劳值&amp;地图信息'!$R$11+'疲劳值&amp;地图信息'!$S$12*'疲劳值&amp;地图信息'!$R$12+(BO71-'疲劳值&amp;地图信息'!$S$12-'疲劳值&amp;地图信息'!$S$11-'疲劳值&amp;地图信息'!$S$10)*'疲劳值&amp;地图信息'!$R$13)/BO71)</f>
        <v>43.562336575103807</v>
      </c>
      <c r="BQ71" s="14">
        <f t="shared" si="104"/>
        <v>20</v>
      </c>
      <c r="BR71" s="14">
        <f>('疲劳值&amp;地图信息'!$S$10*'疲劳值&amp;地图信息'!$R$10+($BQ71-'疲劳值&amp;地图信息'!$S$10)*'疲劳值&amp;地图信息'!$R$11)/$BQ71</f>
        <v>32.067203015074995</v>
      </c>
      <c r="CF71" s="14">
        <v>66</v>
      </c>
      <c r="CG71" s="51">
        <f t="shared" ref="CG71:CG134" si="116">INT(INDEX($L$6:$AT$365,MATCH($CF71,$K$6:$K$365,0),MATCH(CG$4,$L$4:$AT$4,0))*$BX$34/$BP71/10000*$BX$5)</f>
        <v>7630</v>
      </c>
      <c r="CH71" s="51">
        <f t="shared" ref="CH71:CH134" si="117">INT(INDEX($L$6:$AT$365,MATCH($CF71,$K$6:$K$365,0),MATCH(CG$4,$L$4:$AT$4,0)+1)*$BY$34/$BP71/10000*$BX$6)</f>
        <v>800</v>
      </c>
      <c r="CI71" s="51">
        <f>INT(SUMPRODUCT($N71:$R71,$BA71:$BE71)/SUM($BA71:$BE71)/10000*$BX$7*$BZ$34/'疲劳值&amp;地图信息'!$R$10*$BY$53)</f>
        <v>2852</v>
      </c>
      <c r="CJ71" s="50">
        <f t="shared" ref="CJ71:CJ134" si="118">CG71/SUM(CG71:CI71)</f>
        <v>0.67629852862967554</v>
      </c>
      <c r="CK71" s="50">
        <f t="shared" ref="CK71:CK134" si="119">CH71/SUM(CG71:CI71)</f>
        <v>7.0909413224605561E-2</v>
      </c>
      <c r="CL71" s="50">
        <f t="shared" ref="CL71:CL134" si="120">CI71/SUM(CG71:CI71)</f>
        <v>0.25279205814571887</v>
      </c>
      <c r="CM71" s="14">
        <f t="shared" ref="CM71:CM134" si="121">INT(INDEX($L$6:$AT$365,MATCH($CF71,$K$6:$K$365,0),MATCH(CM$4,$L$4:$AT$4,0))*$BX$34/$BP71/10000*$BX$5)</f>
        <v>7963</v>
      </c>
      <c r="CN71" s="14">
        <f t="shared" ref="CN71:CN134" si="122">INT(INDEX($L$6:$AT$365,MATCH($CF71,$K$6:$K$365,0),MATCH(CM$4,$L$4:$AT$4,0)+1)*$BY$34/$BP71/10000*$BX$6)</f>
        <v>1187</v>
      </c>
      <c r="CO71" s="14">
        <f>INT(SUMPRODUCT($U71:$Y71,$BA71:$BE71)/SUM($BA71:$BE71)/10000*$BX$7*$BZ$34/'疲劳值&amp;地图信息'!$R$10*$BY$54)</f>
        <v>5104</v>
      </c>
      <c r="CP71" s="50">
        <f t="shared" ref="CP71:CP134" si="123">CM71/SUM(CM71:CO71)</f>
        <v>0.55865020345166272</v>
      </c>
      <c r="CQ71" s="50">
        <f t="shared" ref="CQ71:CQ134" si="124">CN71/SUM(CM71:CO71)</f>
        <v>8.3274870211870355E-2</v>
      </c>
      <c r="CR71" s="50">
        <f t="shared" ref="CR71:CR134" si="125">CO71/SUM(CM71:CO71)</f>
        <v>0.35807492633646698</v>
      </c>
      <c r="CS71" s="14">
        <f t="shared" ref="CS71:CS134" si="126">INT(INDEX($L$6:$AT$365,MATCH($CF71,$K$6:$K$365,0),MATCH(CS$4,$L$4:$AT$4,0))*$BX$34/$BP71/10000*$BX$5)</f>
        <v>8463</v>
      </c>
      <c r="CT71" s="14">
        <f t="shared" ref="CT71:CT134" si="127">INT(INDEX($L$6:$AT$365,MATCH($CF71,$K$6:$K$365,0),MATCH(CS$4,$L$4:$AT$4,0)+1)*$BY$34/$BP71/10000*$BX$6)</f>
        <v>2146</v>
      </c>
      <c r="CU71" s="14">
        <f>INT(SUMPRODUCT($AB71:$AF71,$BA71:$BE71)/SUM($BA71:$BE71)/10000*$BX$7*$BZ$34/'疲劳值&amp;地图信息'!$R$10*$BY$55)</f>
        <v>6942</v>
      </c>
      <c r="CV71" s="50">
        <f t="shared" ref="CV71:CV134" si="128">CS71/SUM(CS71:CU71)</f>
        <v>0.48219474673807761</v>
      </c>
      <c r="CW71" s="50">
        <f t="shared" ref="CW71:CW134" si="129">CT71/SUM(CS71:CU71)</f>
        <v>0.12227223520027349</v>
      </c>
      <c r="CX71" s="50">
        <f t="shared" ref="CX71:CX134" si="130">CU71/SUM(CS71:CU71)</f>
        <v>0.39553301806164892</v>
      </c>
      <c r="CY71" s="14">
        <f t="shared" ref="CY71:CY134" si="131">INT(INDEX($L$6:$AT$365,MATCH($CF71,$K$6:$K$365,0),MATCH(CY$4,$L$4:$AT$4,0))*$BX$34/$BP71/10000*$BX$5)</f>
        <v>9593</v>
      </c>
      <c r="CZ71" s="14">
        <f t="shared" ref="CZ71:CZ134" si="132">INT(INDEX($L$6:$AT$365,MATCH($CF71,$K$6:$K$365,0),MATCH(CY$4,$L$4:$AT$4,0)+1)*$BY$34/$BP71/10000*$BX$6)</f>
        <v>5516</v>
      </c>
      <c r="DA71" s="14">
        <f>INT(SUMPRODUCT($AI71:$AM71,$BA71:$BE71)/SUM($BA71:$BE71)/10000*$BX$7*$BZ$34/'疲劳值&amp;地图信息'!$R$10*$BY$56)</f>
        <v>10463</v>
      </c>
      <c r="DB71" s="50">
        <f t="shared" ref="DB71:DB134" si="133">CY71/SUM(CY71:DA71)</f>
        <v>0.37513686844986704</v>
      </c>
      <c r="DC71" s="50">
        <f t="shared" ref="DC71:DC134" si="134">CZ71/SUM(CY71:DA71)</f>
        <v>0.21570467699045831</v>
      </c>
      <c r="DD71" s="50">
        <f t="shared" ref="DD71:DD134" si="135">DA71/SUM(CY71:DA71)</f>
        <v>0.40915845455967464</v>
      </c>
      <c r="DE71" s="14">
        <f t="shared" ref="DE71:DE134" si="136">INT(INDEX($L$6:$AT$365,MATCH($CF71,$K$6:$K$365,0),MATCH(DE$4,$L$4:$AT$4,0))*$BX$34/$BP71/10000*$BX$5)</f>
        <v>9778</v>
      </c>
      <c r="DF71" s="14">
        <f t="shared" ref="DF71:DF134" si="137">INT(INDEX($L$6:$AT$365,MATCH($CF71,$K$6:$K$365,0),MATCH(DE$4,$L$4:$AT$4,0)+1)*$BY$34/$BP71/10000*$BX$6)</f>
        <v>10733</v>
      </c>
      <c r="DG71" s="14">
        <f>INT(SUMPRODUCT($AP71:$AT71,$BA71:$BE71)/SUM($BA71:$BE71)/10000*$BX$7*$BZ$34/'疲劳值&amp;地图信息'!$R$10*$BY$57)</f>
        <v>13973</v>
      </c>
      <c r="DH71" s="50">
        <f t="shared" ref="DH71:DH134" si="138">DE71/SUM(DE71:DG71)</f>
        <v>0.28355179213548315</v>
      </c>
      <c r="DI71" s="50">
        <f t="shared" ref="DI71:DI134" si="139">DF71/SUM(DE71:DG71)</f>
        <v>0.31124579515137457</v>
      </c>
      <c r="DJ71" s="50">
        <f t="shared" ref="DJ71:DJ134" si="140">DG71/SUM(DE71:DG71)</f>
        <v>0.40520241271314233</v>
      </c>
      <c r="DL71" s="14">
        <f t="shared" si="106"/>
        <v>11282</v>
      </c>
      <c r="DM71" s="14">
        <f t="shared" si="107"/>
        <v>14254</v>
      </c>
      <c r="DN71" s="14">
        <f t="shared" si="108"/>
        <v>17551</v>
      </c>
      <c r="DO71" s="14">
        <f t="shared" si="109"/>
        <v>25572</v>
      </c>
      <c r="DP71" s="14">
        <f t="shared" si="110"/>
        <v>34484</v>
      </c>
      <c r="DQ71" s="14">
        <f t="shared" si="111"/>
        <v>756781</v>
      </c>
      <c r="DT71" s="14">
        <f t="shared" si="105"/>
        <v>235575</v>
      </c>
      <c r="DU71" s="50">
        <f t="shared" si="112"/>
        <v>0.23738960614940605</v>
      </c>
      <c r="DW71" s="14">
        <f t="shared" ref="DW71:DW134" si="141">DQ71+DT71</f>
        <v>992356</v>
      </c>
      <c r="EB71" s="14">
        <v>66</v>
      </c>
      <c r="EC71" s="51">
        <f t="shared" ref="EC71:EC134" si="142">INT(INDEX($L$6:$AT$365,MATCH($CF71,$K$6:$K$365,0),MATCH(EC$4,$L$4:$AT$4,0))*$BX$46/$BP71/10000*$BX$5)</f>
        <v>12717</v>
      </c>
      <c r="ED71" s="51">
        <f t="shared" ref="ED71:ED134" si="143">INT(INDEX($L$6:$AT$365,MATCH($CF71,$K$6:$K$365,0),MATCH(EC$4,$L$4:$AT$4,0)+1)*$BY$46/$BP71/10000*$BX$6)</f>
        <v>1334</v>
      </c>
      <c r="EE71" s="51">
        <f>INT(SUMPRODUCT($N71:$R71,$BF71:$BJ71)/SUM($BF71:$BJ71)/10000*$BX$7*$BZ$46/'疲劳值&amp;地图信息'!$R$10*$BY$53)</f>
        <v>383</v>
      </c>
      <c r="EF71" s="50">
        <f t="shared" ref="EF71:EF134" si="144">EC71/SUM(EC71:EE71)</f>
        <v>0.88104475543854788</v>
      </c>
      <c r="EG71" s="50">
        <f t="shared" ref="EG71:EG134" si="145">ED71/SUM(EC71:EE71)</f>
        <v>9.242067341000415E-2</v>
      </c>
      <c r="EH71" s="50">
        <f t="shared" ref="EH71:EH134" si="146">EE71/SUM(EC71:EE71)</f>
        <v>2.6534571151447969E-2</v>
      </c>
      <c r="EI71" s="51">
        <f t="shared" ref="EI71:EI134" si="147">INT(INDEX($L$6:$AT$365,MATCH($CF71,$K$6:$K$365,0),MATCH(EI$4,$L$4:$AT$4,0))*$BX$46/$BP71/10000*$BX$5)</f>
        <v>13272</v>
      </c>
      <c r="EJ71" s="51">
        <f t="shared" ref="EJ71:EJ134" si="148">INT(INDEX($L$6:$AT$365,MATCH($CF71,$K$6:$K$365,0),MATCH(EI$4,$L$4:$AT$4,0)+1)*$BY$46/$BP71/10000*$BX$6)</f>
        <v>1978</v>
      </c>
      <c r="EK71" s="14">
        <f>INT(SUMPRODUCT($U71:$Y71,$BF71:$BJ71)/SUM($BF71:$BJ71)/10000*$BX$7*$BZ$46/'疲劳值&amp;地图信息'!$R$10*$BY$54)</f>
        <v>685</v>
      </c>
      <c r="EL71" s="50">
        <f t="shared" ref="EL71:EL134" si="149">EI71/SUM(EI71:EK71)</f>
        <v>0.83288358958267961</v>
      </c>
      <c r="EM71" s="50">
        <f t="shared" ref="EM71:EM134" si="150">EJ71/SUM(EI71:EK71)</f>
        <v>0.12412927518042045</v>
      </c>
      <c r="EN71" s="50">
        <f t="shared" ref="EN71:EN134" si="151">EK71/SUM(EI71:EK71)</f>
        <v>4.2987135236899905E-2</v>
      </c>
      <c r="EO71" s="51">
        <f t="shared" ref="EO71:EO134" si="152">INT(INDEX($L$6:$AT$365,MATCH($CF71,$K$6:$K$365,0),MATCH(EO$4,$L$4:$AT$4,0))*$BX$46/$BP71/10000*$BX$5)</f>
        <v>14106</v>
      </c>
      <c r="EP71" s="51">
        <f t="shared" ref="EP71:EP134" si="153">INT(INDEX($L$6:$AT$365,MATCH($CF71,$K$6:$K$365,0),MATCH(EO$4,$L$4:$AT$4,0)+1)*$BY$46/$BP71/10000*$BX$6)</f>
        <v>3577</v>
      </c>
      <c r="EQ71" s="14">
        <f>INT(SUMPRODUCT($AB71:$AF71,$BF71:$BJ71)/SUM($BF71:$BJ71)/10000*$BX$7*$BZ$46/'疲劳值&amp;地图信息'!$R$10*$BY$55)</f>
        <v>930</v>
      </c>
      <c r="ER71" s="50">
        <f t="shared" ref="ER71:ER134" si="154">EO71/SUM(EO71:EQ71)</f>
        <v>0.75785741148659536</v>
      </c>
      <c r="ES71" s="50">
        <f t="shared" ref="ES71:ES134" si="155">EP71/SUM(EO71:EQ71)</f>
        <v>0.19217751034223393</v>
      </c>
      <c r="ET71" s="50">
        <f t="shared" ref="ET71:ET134" si="156">EQ71/SUM(EO71:EQ71)</f>
        <v>4.9965078171170685E-2</v>
      </c>
      <c r="EU71" s="51">
        <f t="shared" ref="EU71:EU134" si="157">INT(INDEX($L$6:$AT$365,MATCH($CF71,$K$6:$K$365,0),MATCH(EU$4,$L$4:$AT$4,0))*$BX$46/$BP71/10000*$BX$5)</f>
        <v>15989</v>
      </c>
      <c r="EV71" s="51">
        <f t="shared" ref="EV71:EV134" si="158">INT(INDEX($L$6:$AT$365,MATCH($CF71,$K$6:$K$365,0),MATCH(EU$4,$L$4:$AT$4,0)+1)*$BY$46/$BP71/10000*$BX$6)</f>
        <v>9194</v>
      </c>
      <c r="EW71" s="14">
        <f>INT(SUMPRODUCT($AI71:$AM71,$BF71:$BJ71)/SUM($BF71:$BJ71)/10000*$BX$7*$BZ$46/'疲劳值&amp;地图信息'!$R$10*$BY$56)</f>
        <v>1395</v>
      </c>
      <c r="EX71" s="50">
        <f t="shared" ref="EX71:EX134" si="159">EU71/SUM(EU71:EW71)</f>
        <v>0.60158777936639329</v>
      </c>
      <c r="EY71" s="50">
        <f t="shared" ref="EY71:EY134" si="160">EV71/SUM(EU71:EW71)</f>
        <v>0.34592520129430354</v>
      </c>
      <c r="EZ71" s="50">
        <f t="shared" ref="EZ71:EZ134" si="161">EW71/SUM(EU71:EW71)</f>
        <v>5.2487019339303186E-2</v>
      </c>
      <c r="FA71" s="51">
        <f t="shared" ref="FA71:FA134" si="162">INT(INDEX($L$6:$AT$365,MATCH($CF71,$K$6:$K$365,0),MATCH(FA$4,$L$4:$AT$4,0))*$BX$46/$BP71/10000*$BX$5)</f>
        <v>16297</v>
      </c>
      <c r="FB71" s="51">
        <f t="shared" ref="FB71:FB134" si="163">INT(INDEX($L$6:$AT$365,MATCH($CF71,$K$6:$K$365,0),MATCH(FA$4,$L$4:$AT$4,0)+1)*$BY$46/$BP71/10000*$BX$6)</f>
        <v>17889</v>
      </c>
      <c r="FC71" s="14">
        <f>INT(SUMPRODUCT($AP71:$AT71,$BF71:$BJ71)/SUM($BF71:$BJ71)/10000*$BX$7*$BZ$46/'疲劳值&amp;地图信息'!$R$10*$BY$57)</f>
        <v>1860</v>
      </c>
      <c r="FD71" s="50">
        <f t="shared" ref="FD71:FD134" si="164">FA71/SUM(FA71:FC71)</f>
        <v>0.45211673972146699</v>
      </c>
      <c r="FE71" s="50">
        <f t="shared" ref="FE71:FE134" si="165">FB71/SUM(FA71:FC71)</f>
        <v>0.49628252788104088</v>
      </c>
      <c r="FF71" s="50">
        <f t="shared" ref="FF71:FF134" si="166">FC71/SUM(FA71:FC71)</f>
        <v>5.1600732397492091E-2</v>
      </c>
      <c r="FH71" s="14">
        <f t="shared" ref="FH71:FH134" si="167">SUM(EC71:EE71)</f>
        <v>14434</v>
      </c>
      <c r="FI71" s="14">
        <f t="shared" ref="FI71:FI134" si="168">SUM(EI71:EK71)</f>
        <v>15935</v>
      </c>
      <c r="FJ71" s="14">
        <f t="shared" ref="FJ71:FJ134" si="169">SUM(EO71:EQ71)</f>
        <v>18613</v>
      </c>
      <c r="FK71" s="14">
        <f t="shared" ref="FK71:FK134" si="170">SUM(EU71:EW71)</f>
        <v>26578</v>
      </c>
      <c r="FL71" s="14">
        <f t="shared" ref="FL71:FL134" si="171">SUM(FA71:FC71)</f>
        <v>36046</v>
      </c>
      <c r="FM71" s="14">
        <f t="shared" ref="FM71:FM134" si="172">INT(SUMPRODUCT(FH71:FL71,$AV71:$AZ71))</f>
        <v>1671081</v>
      </c>
      <c r="FP71" s="14">
        <f t="shared" ref="FP71:FP134" si="173">SUM($BX$11:$BX$27)+SUM($BY$11:$BY$27)*(($BX$46+$BY$46+$BZ$46)/60-($BX$46+$BY$46)/60/2)</f>
        <v>334150</v>
      </c>
      <c r="FQ71" s="50">
        <f t="shared" si="113"/>
        <v>0.16663915528934073</v>
      </c>
      <c r="FS71" s="14">
        <f t="shared" ref="FS71:FS134" si="174">FM71+FP71</f>
        <v>2005231</v>
      </c>
      <c r="FX71" s="14">
        <v>66</v>
      </c>
      <c r="FY71" s="51">
        <f t="shared" ref="FY71:FY134" si="175">INT(INDEX($L$6:$AT$365,MATCH($CF71,$K$6:$K$365,0),MATCH(FY$4,$L$4:$AT$4,0))*$BX$47/$BP71/10000*$BX$5)</f>
        <v>17804</v>
      </c>
      <c r="FZ71" s="51">
        <f t="shared" ref="FZ71:FZ134" si="176">INT(INDEX($L$6:$AT$365,MATCH($CF71,$K$6:$K$365,0),MATCH(FY$4,$L$4:$AT$4,0)+1)*$BY$46/$BP71/10000*$BX$6)</f>
        <v>1334</v>
      </c>
      <c r="GA71" s="51">
        <f>INT(SUMPRODUCT($N71:$R71,$BF71:$BJ71)/SUM($BF71:$BJ71)/10000*$BX$7*$BZ$46/'疲劳值&amp;地图信息'!$R$10*$BY$53)</f>
        <v>383</v>
      </c>
      <c r="GB71" s="50">
        <f t="shared" ref="GB71:GB134" si="177">FY71/SUM(FY71:GA71)</f>
        <v>0.91204344039752061</v>
      </c>
      <c r="GC71" s="50">
        <f t="shared" ref="GC71:GC134" si="178">FZ71/SUM(FY71:GA71)</f>
        <v>6.8336663080784801E-2</v>
      </c>
      <c r="GD71" s="50">
        <f t="shared" ref="GD71:GD134" si="179">GA71/SUM(FY71:GA71)</f>
        <v>1.9619896521694585E-2</v>
      </c>
      <c r="GE71" s="51">
        <f t="shared" ref="GE71:GE134" si="180">INT(INDEX($L$6:$AT$365,MATCH($CF71,$K$6:$K$365,0),MATCH(GE$4,$L$4:$AT$4,0))*$BX$47/$BP71/10000*$BX$5)</f>
        <v>18581</v>
      </c>
      <c r="GF71" s="51">
        <f t="shared" ref="GF71:GF134" si="181">INT(INDEX($L$6:$AT$365,MATCH($CF71,$K$6:$K$365,0),MATCH(GE$4,$L$4:$AT$4,0)+1)*$BY$46/$BP71/10000*$BX$6)</f>
        <v>1978</v>
      </c>
      <c r="GG71" s="14">
        <f>INT(SUMPRODUCT($U71:$Y71,$BF71:$BJ71)/SUM($BF71:$BJ71)/10000*$BX$7*$BZ$46/'疲劳值&amp;地图信息'!$R$10*$BY$54)</f>
        <v>685</v>
      </c>
      <c r="GH71" s="50">
        <f t="shared" ref="GH71:GH134" si="182">GE71/SUM(GE71:GG71)</f>
        <v>0.87464695914140467</v>
      </c>
      <c r="GI71" s="50">
        <f t="shared" ref="GI71:GI134" si="183">GF71/SUM(GE71:GG71)</f>
        <v>9.3108642440218409E-2</v>
      </c>
      <c r="GJ71" s="50">
        <f t="shared" ref="GJ71:GJ134" si="184">GG71/SUM(GE71:GG71)</f>
        <v>3.2244398418376952E-2</v>
      </c>
      <c r="GK71" s="51">
        <f t="shared" ref="GK71:GK134" si="185">INT(INDEX($L$6:$AT$365,MATCH($CF71,$K$6:$K$365,0),MATCH(GK$4,$L$4:$AT$4,0))*$BX$47/$BP71/10000*$BX$5)</f>
        <v>19748</v>
      </c>
      <c r="GL71" s="51">
        <f t="shared" ref="GL71:GL134" si="186">INT(INDEX($L$6:$AT$365,MATCH($CF71,$K$6:$K$365,0),MATCH(GK$4,$L$4:$AT$4,0)+1)*$BY$46/$BP71/10000*$BX$6)</f>
        <v>3577</v>
      </c>
      <c r="GM71" s="14">
        <f>INT(SUMPRODUCT($AB71:$AF71,$BF71:$BJ71)/SUM($BF71:$BJ71)/10000*$BX$7*$BZ$46/'疲劳值&amp;地图信息'!$R$10*$BY$55)</f>
        <v>930</v>
      </c>
      <c r="GN71" s="50">
        <f t="shared" ref="GN71:GN134" si="187">GK71/SUM(GK71:GM71)</f>
        <v>0.81418264275407137</v>
      </c>
      <c r="GO71" s="50">
        <f t="shared" ref="GO71:GO134" si="188">GL71/SUM(GK71:GM71)</f>
        <v>0.14747474747474748</v>
      </c>
      <c r="GP71" s="50">
        <f t="shared" ref="GP71:GP134" si="189">GM71/SUM(GK71:GM71)</f>
        <v>3.8342609771181202E-2</v>
      </c>
      <c r="GQ71" s="51">
        <f t="shared" ref="GQ71:GQ134" si="190">INT(INDEX($L$6:$AT$365,MATCH($CF71,$K$6:$K$365,0),MATCH(GQ$4,$L$4:$AT$4,0))*$BX$47/$BP71/10000*$BX$5)</f>
        <v>22385</v>
      </c>
      <c r="GR71" s="51">
        <f t="shared" ref="GR71:GR134" si="191">INT(INDEX($L$6:$AT$365,MATCH($CF71,$K$6:$K$365,0),MATCH(GQ$4,$L$4:$AT$4,0)+1)*$BY$46/$BP71/10000*$BX$6)</f>
        <v>9194</v>
      </c>
      <c r="GS71" s="14">
        <f>INT(SUMPRODUCT($AI71:$AM71,$BF71:$BJ71)/SUM($BF71:$BJ71)/10000*$BX$7*$BZ$46/'疲劳值&amp;地图信息'!$R$10*$BY$56)</f>
        <v>1395</v>
      </c>
      <c r="GT71" s="50">
        <f t="shared" ref="GT71:GT134" si="192">GQ71/SUM(GQ71:GS71)</f>
        <v>0.6788681991872384</v>
      </c>
      <c r="GU71" s="50">
        <f t="shared" ref="GU71:GU134" si="193">GR71/SUM(GQ71:GS71)</f>
        <v>0.27882574149329775</v>
      </c>
      <c r="GV71" s="50">
        <f t="shared" ref="GV71:GV134" si="194">GS71/SUM(GQ71:GS71)</f>
        <v>4.2306059319463817E-2</v>
      </c>
      <c r="GW71" s="51">
        <f t="shared" ref="GW71:GW134" si="195">INT(INDEX($L$6:$AT$365,MATCH($CF71,$K$6:$K$365,0),MATCH(GW$4,$L$4:$AT$4,0))*$BX$47/$BP71/10000*$BX$5)</f>
        <v>22816</v>
      </c>
      <c r="GX71" s="51">
        <f t="shared" ref="GX71:GX134" si="196">INT(INDEX($L$6:$AT$365,MATCH($CF71,$K$6:$K$365,0),MATCH(GW$4,$L$4:$AT$4,0)+1)*$BY$46/$BP71/10000*$BX$6)</f>
        <v>17889</v>
      </c>
      <c r="GY71" s="14">
        <f>INT(SUMPRODUCT($AP71:$AT71,$BF71:$BJ71)/SUM($BF71:$BJ71)/10000*$BX$7*$BZ$46/'疲劳值&amp;地图信息'!$R$10*$BY$57)</f>
        <v>1860</v>
      </c>
      <c r="GZ71" s="50">
        <f t="shared" ref="GZ71:GZ134" si="197">GW71/SUM(GW71:GY71)</f>
        <v>0.53602725243744864</v>
      </c>
      <c r="HA71" s="50">
        <f t="shared" ref="HA71:HA134" si="198">GX71/SUM(GW71:GY71)</f>
        <v>0.42027487372254202</v>
      </c>
      <c r="HB71" s="50">
        <f t="shared" ref="HB71:HB134" si="199">GY71/SUM(GW71:GY71)</f>
        <v>4.3697873840009401E-2</v>
      </c>
      <c r="HD71" s="14">
        <f t="shared" ref="HD71:HD134" si="200">SUM(FY71:GA71)</f>
        <v>19521</v>
      </c>
      <c r="HE71" s="14">
        <f t="shared" ref="HE71:HE134" si="201">SUM(GE71:GG71)</f>
        <v>21244</v>
      </c>
      <c r="HF71" s="14">
        <f t="shared" ref="HF71:HF134" si="202">SUM(GK71:GM71)</f>
        <v>24255</v>
      </c>
      <c r="HG71" s="14">
        <f t="shared" ref="HG71:HG134" si="203">SUM(GQ71:GS71)</f>
        <v>32974</v>
      </c>
      <c r="HH71" s="14">
        <f t="shared" ref="HH71:HH134" si="204">SUM(GW71:GY71)</f>
        <v>42565</v>
      </c>
      <c r="HI71" s="14">
        <f t="shared" ref="HI71:HI134" si="205">INT(SUMPRODUCT(HD71:HH71,$AV71:$AZ71))</f>
        <v>2223932</v>
      </c>
      <c r="HL71" s="14">
        <f t="shared" ref="HL71:HL134" si="206">SUM($BX$11:$BX$27)+SUM($BY$11:$BY$27)*(60-($BX$46+$BY$46)/60/2)</f>
        <v>430050</v>
      </c>
      <c r="HM71" s="50">
        <f t="shared" si="114"/>
        <v>0.16203953154166079</v>
      </c>
      <c r="HO71" s="14">
        <f t="shared" ref="HO71:HO134" si="207">HI71+HL71</f>
        <v>2653982</v>
      </c>
    </row>
    <row r="72" spans="11:223" x14ac:dyDescent="0.2">
      <c r="K72" s="14">
        <v>67</v>
      </c>
      <c r="L72" s="12">
        <f>求节点(节奏总纲!D$4:D$163,标准城池设计!AB$4:AB$163,$K72)*求节点(节奏总纲!D$4:D$163,攻城基础信息!$AC$5:$AC$164,$K72)</f>
        <v>372981.53479011718</v>
      </c>
      <c r="M72" s="12">
        <f>INDEX(其他调用!$AA$5:$AA$404,MATCH(K72,其他调用!$X$5:$X$404,0))*MIN(INDEX(其他调用!$AH$5:$AH$364,MATCH('征服点（新）'!K72,其他调用!$AG$5:$AG$364,0),1)/INDEX(其他调用!$AJ$5:$AJ$364,MATCH(K72,其他调用!$AG$5:$AG$364,0),0),5)*求节点(节奏总纲!D$4:D$163,攻城基础信息!$AC$5:$AC$164,$K72)</f>
        <v>38851.936043940586</v>
      </c>
      <c r="N72" s="12">
        <f>MIN(INDEX(其他调用!$AH$5:$AH$364,MATCH($K72,其他调用!$AG$5:$AG$364,0),1)/INDEX(其他调用!AH$5:AH$364,MATCH($K72,其他调用!$AG$5:$AG$364,0),0),1)*INDEX(其他调用!Y$5:Y$404,MATCH($K72,其他调用!$X$5:$X$404,0),0)</f>
        <v>33849.090647866222</v>
      </c>
      <c r="O72" s="12">
        <f>MIN(INDEX(其他调用!$AH$5:$AH$364,MATCH($K72,其他调用!$AG$5:$AG$364,0),1)/INDEX(其他调用!AI$5:AI$364,MATCH($K72,其他调用!$AG$5:$AG$364,0),0),1)*INDEX(其他调用!Z$5:Z$404,MATCH($K72,其他调用!$X$5:$X$404,0),0)</f>
        <v>23547.989063122808</v>
      </c>
      <c r="P72" s="12">
        <f>MIN(INDEX(其他调用!$AH$5:$AH$364,MATCH($K72,其他调用!$AG$5:$AG$364,0),1)/INDEX(其他调用!AJ$5:AJ$364,MATCH($K72,其他调用!$AG$5:$AG$364,0),0),1)*INDEX(其他调用!AA$5:AA$404,MATCH($K72,其他调用!$X$5:$X$404,0),0)</f>
        <v>13573.393329845221</v>
      </c>
      <c r="Q72" s="12">
        <f>MIN(INDEX(其他调用!$AH$5:$AH$364,MATCH($K72,其他调用!$AG$5:$AG$364,0),1)/INDEX(其他调用!AK$5:AK$364,MATCH($K72,其他调用!$AG$5:$AG$364,0),0),1)*INDEX(其他调用!AB$5:AB$404,MATCH($K72,其他调用!$X$5:$X$404,0),0)</f>
        <v>5623.2505144273273</v>
      </c>
      <c r="R72" s="12">
        <f>MIN(INDEX(其他调用!$AH$5:$AH$364,MATCH($K72,其他调用!$AG$5:$AG$364,0),1)/INDEX(其他调用!AL$5:AL$364,MATCH($K72,其他调用!$AG$5:$AG$364,0),0),1)*INDEX(其他调用!AC$5:AC$404,MATCH($K72,其他调用!$X$5:$X$404,0),0)</f>
        <v>1820.7768882411499</v>
      </c>
      <c r="S72" s="12">
        <f>求节点(节奏总纲!D$4:D$163,标准城池设计!AC$4:AC$163,$K72)*求节点(节奏总纲!D$4:D$163,攻城基础信息!$AD$5:$AD$164,$K72)</f>
        <v>389319.0401453955</v>
      </c>
      <c r="T72" s="12">
        <f>INDEX(其他调用!$AA$5:$AA$404,MATCH($K72,其他调用!$X$5:$X$404,0))*MIN(INDEX(其他调用!AI$5:AI$364,MATCH($K72,其他调用!$AG$5:$AG$364,0),1)/INDEX(其他调用!$AJ$5:$AJ$364,MATCH($K72,其他调用!$AG$5:$AG$364,0),0),5)*求节点(节奏总纲!D$4:D$163,攻城基础信息!$AD$5:$AD$164,$K72)</f>
        <v>57735.098953019064</v>
      </c>
      <c r="U72" s="12">
        <f>MIN(INDEX(其他调用!$AI$5:$AI$364,MATCH($K72,其他调用!$AG$5:$AG$364,0),1)/INDEX(其他调用!AH$5:AH$364,MATCH($K72,其他调用!$AG$5:$AG$364,0),0),1)*INDEX(其他调用!Y$5:Y$404,MATCH($K72,其他调用!$X$5:$X$404,0),0)</f>
        <v>33849.090647866222</v>
      </c>
      <c r="V72" s="12">
        <f>MIN(INDEX(其他调用!$AI$5:$AI$364,MATCH($K72,其他调用!$AG$5:$AG$364,0),1)/INDEX(其他调用!AI$5:AI$364,MATCH($K72,其他调用!$AG$5:$AG$364,0),0),1)*INDEX(其他调用!Z$5:Z$404,MATCH($K72,其他调用!$X$5:$X$404,0),0)</f>
        <v>34992.991782092751</v>
      </c>
      <c r="W72" s="12">
        <f>MIN(INDEX(其他调用!$AI$5:$AI$364,MATCH($K72,其他调用!$AG$5:$AG$364,0),1)/INDEX(其他调用!AJ$5:AJ$364,MATCH($K72,其他调用!$AG$5:$AG$364,0),0),1)*INDEX(其他调用!AA$5:AA$404,MATCH($K72,其他调用!$X$5:$X$404,0),0)</f>
        <v>20170.454469516299</v>
      </c>
      <c r="X72" s="12">
        <f>MIN(INDEX(其他调用!$AI$5:$AI$364,MATCH($K72,其他调用!$AG$5:$AG$364,0),1)/INDEX(其他调用!AK$5:AK$364,MATCH($K72,其他调用!$AG$5:$AG$364,0),0),1)*INDEX(其他调用!AB$5:AB$404,MATCH($K72,其他调用!$X$5:$X$404,0),0)</f>
        <v>8356.3126563601836</v>
      </c>
      <c r="Y72" s="12">
        <f>MIN(INDEX(其他调用!$AI$5:$AI$364,MATCH($K72,其他调用!$AG$5:$AG$364,0),1)/INDEX(其他调用!AL$5:AL$364,MATCH($K72,其他调用!$AG$5:$AG$364,0),0),1)*INDEX(其他调用!AC$5:AC$404,MATCH($K72,其他调用!$X$5:$X$404,0),0)</f>
        <v>2705.7270375170419</v>
      </c>
      <c r="Z72" s="12">
        <f>求节点(节奏总纲!D$4:D$163,标准城池设计!AD$4:AD$163,$K72)*求节点(节奏总纲!D$4:D$163,攻城基础信息!$AE$5:$AE$164,$K72)</f>
        <v>413885.49897897901</v>
      </c>
      <c r="AA72" s="12">
        <f>INDEX(其他调用!$AA$5:$AA$404,MATCH($K72,其他调用!$X$5:$X$404,0))*MIN(INDEX(其他调用!AJ$5:AJ$364,MATCH($K72,其他调用!$AG$5:$AG$364,0),1)/INDEX(其他调用!$AJ$5:$AJ$364,MATCH($K72,其他调用!$AG$5:$AG$364,0),0),5)*求节点(节奏总纲!D$4:D$163,攻城基础信息!$AE$5:$AE$164,$K72)</f>
        <v>104426.80925831094</v>
      </c>
      <c r="AB72" s="12">
        <f>MIN(INDEX(其他调用!$AJ$5:$AJ$364,MATCH($K72,其他调用!$AG$5:$AG$364,0),1)/INDEX(其他调用!AH$5:AH$364,MATCH($K72,其他调用!$AG$5:$AG$364,0),0),1)*INDEX(其他调用!Y$5:Y$404,MATCH($K72,其他调用!$X$5:$X$404,0),0)</f>
        <v>33849.090647866222</v>
      </c>
      <c r="AC72" s="12">
        <f>MIN(INDEX(其他调用!$AJ$5:$AJ$364,MATCH($K72,其他调用!$AG$5:$AG$364,0),1)/INDEX(其他调用!AI$5:AI$364,MATCH($K72,其他调用!$AG$5:$AG$364,0),0),1)*INDEX(其他调用!Z$5:Z$404,MATCH($K72,其他调用!$X$5:$X$404,0),0)</f>
        <v>34992.991782092751</v>
      </c>
      <c r="AD72" s="12">
        <f>MIN(INDEX(其他调用!$AJ$5:$AJ$364,MATCH($K72,其他调用!$AG$5:$AG$364,0),1)/INDEX(其他调用!AJ$5:AJ$364,MATCH($K72,其他调用!$AG$5:$AG$364,0),0),1)*INDEX(其他调用!AA$5:AA$404,MATCH($K72,其他调用!$X$5:$X$404,0),0)</f>
        <v>36482.767670591827</v>
      </c>
      <c r="AE72" s="12">
        <f>MIN(INDEX(其他调用!$AJ$5:$AJ$364,MATCH($K72,其他调用!$AG$5:$AG$364,0),1)/INDEX(其他调用!AK$5:AK$364,MATCH($K72,其他调用!$AG$5:$AG$364,0),0),1)*INDEX(其他调用!AB$5:AB$404,MATCH($K72,其他调用!$X$5:$X$404,0),0)</f>
        <v>15114.256036498982</v>
      </c>
      <c r="AF72" s="12">
        <f>MIN(INDEX(其他调用!$AJ$5:$AJ$364,MATCH($K72,其他调用!$AG$5:$AG$364,0),1)/INDEX(其他调用!AL$5:AL$364,MATCH($K72,其他调用!$AG$5:$AG$364,0),0),1)*INDEX(其他调用!AC$5:AC$404,MATCH($K72,其他调用!$X$5:$X$404,0),0)</f>
        <v>4893.9110935233239</v>
      </c>
      <c r="AG72" s="12">
        <f>求节点(节奏总纲!D$4:D$163,标准城池设计!AE$4:AE$163,$K72)*求节点(节奏总纲!D$4:D$163,攻城基础信息!$AF$5:$AF$164,$K72)</f>
        <v>469077.16912727949</v>
      </c>
      <c r="AH72" s="12">
        <f>INDEX(其他调用!$AA$5:$AA$404,MATCH($K72,其他调用!$X$5:$X$404,0))*MIN(INDEX(其他调用!AK$5:AK$364,MATCH($K72,其他调用!$AG$5:$AG$364,0),1)/INDEX(其他调用!$AJ$5:$AJ$364,MATCH($K72,其他调用!$AG$5:$AG$364,0),0),5)*求节点(节奏总纲!D$4:D$163,攻城基础信息!$AF$5:$AF$164,$K72)</f>
        <v>267117.41861980822</v>
      </c>
      <c r="AI72" s="12">
        <f>MIN(INDEX(其他调用!$AK$5:$AK$364,MATCH($K72,其他调用!$AG$5:$AG$364,0),1)/INDEX(其他调用!AH$5:AH$364,MATCH($K72,其他调用!$AG$5:$AG$364,0),0),1)*INDEX(其他调用!Y$5:Y$404,MATCH($K72,其他调用!$X$5:$X$404,0),0)</f>
        <v>33849.090647866222</v>
      </c>
      <c r="AJ72" s="12">
        <f>MIN(INDEX(其他调用!$AK$5:$AK$364,MATCH($K72,其他调用!$AG$5:$AG$364,0),1)/INDEX(其他调用!AI$5:AI$364,MATCH($K72,其他调用!$AG$5:$AG$364,0),0),1)*INDEX(其他调用!Z$5:Z$404,MATCH($K72,其他调用!$X$5:$X$404,0),0)</f>
        <v>34992.991782092751</v>
      </c>
      <c r="AK72" s="12">
        <f>MIN(INDEX(其他调用!$AK$5:$AK$364,MATCH($K72,其他调用!$AG$5:$AG$364,0),1)/INDEX(其他调用!AJ$5:AJ$364,MATCH($K72,其他调用!$AG$5:$AG$364,0),0),1)*INDEX(其他调用!AA$5:AA$404,MATCH($K72,其他调用!$X$5:$X$404,0),0)</f>
        <v>36482.767670591827</v>
      </c>
      <c r="AL72" s="12">
        <f>MIN(INDEX(其他调用!$AK$5:$AK$364,MATCH($K72,其他调用!$AG$5:$AG$364,0),1)/INDEX(其他调用!AK$5:AK$364,MATCH($K72,其他调用!$AG$5:$AG$364,0),0),1)*INDEX(其他调用!AB$5:AB$404,MATCH($K72,其他调用!$X$5:$X$404,0),0)</f>
        <v>38661.346501948676</v>
      </c>
      <c r="AM72" s="12">
        <f>MIN(INDEX(其他调用!$AK$5:$AK$364,MATCH($K72,其他调用!$AG$5:$AG$364,0),1)/INDEX(其他调用!AL$5:AL$364,MATCH($K72,其他调用!$AG$5:$AG$364,0),0),1)*INDEX(其他调用!AC$5:AC$404,MATCH($K72,其他调用!$X$5:$X$404,0),0)</f>
        <v>12518.326544126921</v>
      </c>
      <c r="AN72" s="12">
        <f>求节点(节奏总纲!D$4:D$163,标准城池设计!AF$4:AF$163,$K72)*求节点(节奏总纲!D$4:D$163,攻城基础信息!$AG$5:$AG$164,$K72)</f>
        <v>477564.38414417714</v>
      </c>
      <c r="AO72" s="12">
        <f>INDEX(其他调用!$AA$5:$AA$404,MATCH($K72,其他调用!$X$5:$X$404,0))*MIN(INDEX(其他调用!AL$5:AL$364,MATCH($K72,其他调用!$AG$5:$AG$364,0),1)/INDEX(其他调用!$AJ$5:$AJ$364,MATCH($K72,其他调用!$AG$5:$AG$364,0),0),5)*求节点(节奏总纲!D$4:D$163,攻城基础信息!$AG$5:$AG$164,$K72)</f>
        <v>522134.0462915547</v>
      </c>
      <c r="AP72" s="12">
        <f>MIN(INDEX(其他调用!$AL$5:$AL$364,MATCH($K72,其他调用!$AG$5:$AG$364,0),1)/INDEX(其他调用!AH$5:AH$364,MATCH($K72,其他调用!$AG$5:$AG$364,0),0),1)*INDEX(其他调用!Y$5:Y$404,MATCH($K72,其他调用!$X$5:$X$404,0),0)</f>
        <v>33849.090647866222</v>
      </c>
      <c r="AQ72" s="12">
        <f>MIN(INDEX(其他调用!$AL$5:$AL$364,MATCH($K72,其他调用!$AG$5:$AG$364,0),1)/INDEX(其他调用!AI$5:AI$364,MATCH($K72,其他调用!$AG$5:$AG$364,0),0),1)*INDEX(其他调用!Z$5:Z$404,MATCH($K72,其他调用!$X$5:$X$404,0),0)</f>
        <v>34992.991782092751</v>
      </c>
      <c r="AR72" s="12">
        <f>MIN(INDEX(其他调用!$AL$5:$AL$364,MATCH($K72,其他调用!$AG$5:$AG$364,0),1)/INDEX(其他调用!AJ$5:AJ$364,MATCH($K72,其他调用!$AG$5:$AG$364,0),0),1)*INDEX(其他调用!AA$5:AA$404,MATCH($K72,其他调用!$X$5:$X$404,0),0)</f>
        <v>36482.767670591827</v>
      </c>
      <c r="AS72" s="12">
        <f>MIN(INDEX(其他调用!$AL$5:$AL$364,MATCH($K72,其他调用!$AG$5:$AG$364,0),1)/INDEX(其他调用!AK$5:AK$364,MATCH($K72,其他调用!$AG$5:$AG$364,0),0),1)*INDEX(其他调用!AB$5:AB$404,MATCH($K72,其他调用!$X$5:$X$404,0),0)</f>
        <v>38661.346501948676</v>
      </c>
      <c r="AT72" s="12">
        <f>MIN(INDEX(其他调用!$AL$5:$AL$364,MATCH($K72,其他调用!$AG$5:$AG$364,0),1)/INDEX(其他调用!AL$5:AL$364,MATCH($K72,其他调用!$AG$5:$AG$364,0),0),1)*INDEX(其他调用!AC$5:AC$404,MATCH($K72,其他调用!$X$5:$X$404,0),0)</f>
        <v>42492.038039140105</v>
      </c>
      <c r="AV72" s="14">
        <f>IF(OR(AV$5="大R",AV$5="超R"),MAX(INDEX(其他调用!$H$5:$L$404,MATCH($K72,其他调用!$B$5:$B$404,0),MATCH(AV$5,其他调用!$H$4:$L$4,0))*120*0.85,2),INDEX(其他调用!$H$5:$L$404,MATCH($K72,其他调用!$B$5:$B$404,0),MATCH(AV$5,其他调用!$H$4:$L$4,0))*120*0.85)</f>
        <v>50.895838849500016</v>
      </c>
      <c r="AW72" s="14">
        <f>IF(OR(AW$5="大R",AW$5="超R"),MAX(INDEX(其他调用!$H$5:$L$404,MATCH($K72,其他调用!$B$5:$B$404,0),MATCH(AW$5,其他调用!$H$4:$L$4,0))*120*0.85,2),INDEX(其他调用!$H$5:$L$404,MATCH($K72,其他调用!$B$5:$B$404,0),MATCH(AW$5,其他调用!$H$4:$L$4,0))*120*0.85)</f>
        <v>46.365659692044943</v>
      </c>
      <c r="AX72" s="14">
        <f>IF(OR(AX$5="大R",AX$5="超R"),MAX(INDEX(其他调用!$H$5:$L$404,MATCH($K72,其他调用!$B$5:$B$404,0),MATCH(AX$5,其他调用!$H$4:$L$4,0))*120*0.85,2),INDEX(其他调用!$H$5:$L$404,MATCH($K72,其他调用!$B$5:$B$404,0),MATCH(AX$5,其他调用!$H$4:$L$4,0))*120*0.85)</f>
        <v>3.8930148904550403</v>
      </c>
      <c r="AY72" s="14">
        <f>IF(OR(AY$5="大R",AY$5="超R"),MAX(INDEX(其他调用!$H$5:$L$404,MATCH($K72,其他调用!$B$5:$B$404,0),MATCH(AY$5,其他调用!$H$4:$L$4,0))*120*0.85,2),INDEX(其他调用!$H$5:$L$404,MATCH($K72,其他调用!$B$5:$B$404,0),MATCH(AY$5,其他调用!$H$4:$L$4,0))*120*0.85)</f>
        <v>2</v>
      </c>
      <c r="AZ72" s="14">
        <f>IF(OR(AZ$5="大R",AZ$5="超R"),MAX(INDEX(其他调用!$H$5:$L$404,MATCH($K72,其他调用!$B$5:$B$404,0),MATCH(AZ$5,其他调用!$H$4:$L$4,0))*120*0.85,2),INDEX(其他调用!$H$5:$L$404,MATCH($K72,其他调用!$B$5:$B$404,0),MATCH(AZ$5,其他调用!$H$4:$L$4,0))*120*0.85)</f>
        <v>2</v>
      </c>
      <c r="BA72" s="14">
        <f>INDEX(其他调用!$H$5:$L$404,MATCH($K72,其他调用!$B$5:$B$404,0),MATCH(BA$5,其他调用!$H$4:$L$4,0))*INDEX(其他调用!$M$5:$M$404,MATCH($K72,其他调用!$B$5:$B$404,0))*0.6</f>
        <v>29.104073267236373</v>
      </c>
      <c r="BB72" s="14">
        <f>INDEX(其他调用!$H$5:$L$404,MATCH($K72,其他调用!$B$5:$B$404,0),MATCH(BB$5,其他调用!$H$4:$L$4,0))*INDEX(其他调用!$M$5:$M$404,MATCH($K72,其他调用!$B$5:$B$404,0))*0.6</f>
        <v>26.513553706253155</v>
      </c>
      <c r="BC72" s="14">
        <f>INDEX(其他调用!$H$5:$L$404,MATCH($K72,其他调用!$B$5:$B$404,0),MATCH(BC$5,其他调用!$H$4:$L$4,0))*INDEX(其他调用!$M$5:$M$404,MATCH($K72,其他调用!$B$5:$B$404,0))*0.6</f>
        <v>2.2261660906559309</v>
      </c>
      <c r="BD72" s="14">
        <f>INDEX(其他调用!$H$5:$L$404,MATCH($K72,其他调用!$B$5:$B$404,0),MATCH(BD$5,其他调用!$H$4:$L$4,0))*INDEX(其他调用!$M$5:$M$404,MATCH($K72,其他调用!$B$5:$B$404,0))*0.6</f>
        <v>0.37916250240000016</v>
      </c>
      <c r="BE72" s="14">
        <f>INDEX(其他调用!$H$5:$L$404,MATCH($K72,其他调用!$B$5:$B$404,0),MATCH(BE$5,其他调用!$H$4:$L$4,0))*INDEX(其他调用!$M$5:$M$404,MATCH($K72,其他调用!$B$5:$B$404,0))*0.6</f>
        <v>0.10431716072727271</v>
      </c>
      <c r="BF72" s="14">
        <f>IF(OR(BF$5="大R",BF$5="超R"),0,INDEX(其他调用!$H$5:$L$404,MATCH($K72,其他调用!$B$5:$B$404,0),MATCH(BF$5,其他调用!$H$4:$L$4,0))*50*0.4)</f>
        <v>9.9795762450000041</v>
      </c>
      <c r="BG72" s="14">
        <f>IF(OR(BG$5="大R",BG$5="超R"),0,INDEX(其他调用!$H$5:$L$404,MATCH($K72,其他调用!$B$5:$B$404,0),MATCH(BG$5,其他调用!$H$4:$L$4,0))*50*0.4)</f>
        <v>9.0913058219695966</v>
      </c>
      <c r="BH72" s="14">
        <f>IF(OR(BH$5="大R",BH$5="超R"),0,INDEX(其他调用!$H$5:$L$404,MATCH($K72,其他调用!$B$5:$B$404,0),MATCH(BH$5,其他调用!$H$4:$L$4,0))*50*0.4)</f>
        <v>0.7633362530304002</v>
      </c>
      <c r="BI72" s="14">
        <f>IF(OR(BI$5="大R",BI$5="超R"),0,INDEX(其他调用!$H$5:$L$404,MATCH($K72,其他调用!$B$5:$B$404,0),MATCH(BI$5,其他调用!$H$4:$L$4,0))*50*0.4)</f>
        <v>0</v>
      </c>
      <c r="BJ72" s="14">
        <f>IF(OR(BJ$5="大R",BJ$5="超R"),0,INDEX(其他调用!$H$5:$L$404,MATCH($K72,其他调用!$B$5:$B$404,0),MATCH(BJ$5,其他调用!$H$4:$L$4,0))*50*0.4)</f>
        <v>0</v>
      </c>
      <c r="BL72" s="14">
        <f t="shared" ref="BL72:BL135" si="208">BL71+1</f>
        <v>67</v>
      </c>
      <c r="BM72" s="14">
        <f t="shared" si="115"/>
        <v>96</v>
      </c>
      <c r="BN72" s="14">
        <f>('疲劳值&amp;地图信息'!$S$10*'疲劳值&amp;地图信息'!$R$10+'疲劳值&amp;地图信息'!$S$11*'疲劳值&amp;地图信息'!$R$11+'疲劳值&amp;地图信息'!$S$12*'疲劳值&amp;地图信息'!$R$12+(BM72-'疲劳值&amp;地图信息'!$S$12-'疲劳值&amp;地图信息'!$S$11-'疲劳值&amp;地图信息'!$S$10)*'疲劳值&amp;地图信息'!$R$13)/BM72</f>
        <v>51.371477246638619</v>
      </c>
      <c r="BO72" s="14">
        <f>INDEX(其他调用!$M$5:$M$404,MATCH(BL72,其他调用!$B$5:$B$404,0))*0.6</f>
        <v>58.327272727272728</v>
      </c>
      <c r="BP72" s="14">
        <f>IF(BO72&gt;SUM('疲劳值&amp;地图信息'!$S$10:$S$12),('疲劳值&amp;地图信息'!$S$10*'疲劳值&amp;地图信息'!$R$10+'疲劳值&amp;地图信息'!$S$11*'疲劳值&amp;地图信息'!$R$11+'疲劳值&amp;地图信息'!$S$12*'疲劳值&amp;地图信息'!$R$12+(BO72-'疲劳值&amp;地图信息'!$S$12-'疲劳值&amp;地图信息'!$S$11-'疲劳值&amp;地图信息'!$S$10)*'疲劳值&amp;地图信息'!$R$13)/BO72,('疲劳值&amp;地图信息'!$S$10*'疲劳值&amp;地图信息'!$R$10+'疲劳值&amp;地图信息'!$S$11*'疲劳值&amp;地图信息'!$R$11+'疲劳值&amp;地图信息'!$S$12*'疲劳值&amp;地图信息'!$R$12+(BO72-'疲劳值&amp;地图信息'!$S$12-'疲劳值&amp;地图信息'!$S$11-'疲劳值&amp;地图信息'!$S$10)*'疲劳值&amp;地图信息'!$R$13)/BO72)</f>
        <v>43.606492648120494</v>
      </c>
      <c r="BQ72" s="14">
        <f t="shared" ref="BQ72:BQ135" si="209">50*0.4</f>
        <v>20</v>
      </c>
      <c r="BR72" s="14">
        <f>('疲劳值&amp;地图信息'!$S$10*'疲劳值&amp;地图信息'!$R$10+($BQ72-'疲劳值&amp;地图信息'!$S$10)*'疲劳值&amp;地图信息'!$R$11)/$BQ72</f>
        <v>32.067203015074995</v>
      </c>
      <c r="CF72" s="14">
        <v>67</v>
      </c>
      <c r="CG72" s="51">
        <f t="shared" si="116"/>
        <v>7698</v>
      </c>
      <c r="CH72" s="51">
        <f t="shared" si="117"/>
        <v>801</v>
      </c>
      <c r="CI72" s="51">
        <f>INT(SUMPRODUCT($N72:$R72,$BA72:$BE72)/SUM($BA72:$BE72)/10000*$BX$7*$BZ$34/'疲劳值&amp;地图信息'!$R$10*$BY$53)</f>
        <v>2856</v>
      </c>
      <c r="CJ72" s="50">
        <f t="shared" si="118"/>
        <v>0.67793923381770149</v>
      </c>
      <c r="CK72" s="50">
        <f t="shared" si="119"/>
        <v>7.0541611624834868E-2</v>
      </c>
      <c r="CL72" s="50">
        <f t="shared" si="120"/>
        <v>0.25151915455746365</v>
      </c>
      <c r="CM72" s="14">
        <f t="shared" si="121"/>
        <v>8035</v>
      </c>
      <c r="CN72" s="14">
        <f t="shared" si="122"/>
        <v>1191</v>
      </c>
      <c r="CO72" s="14">
        <f>INT(SUMPRODUCT($U72:$Y72,$BA72:$BE72)/SUM($BA72:$BE72)/10000*$BX$7*$BZ$34/'疲劳值&amp;地图信息'!$R$10*$BY$54)</f>
        <v>5117</v>
      </c>
      <c r="CP72" s="50">
        <f t="shared" si="123"/>
        <v>0.56020358362964517</v>
      </c>
      <c r="CQ72" s="50">
        <f t="shared" si="124"/>
        <v>8.3037021543610118E-2</v>
      </c>
      <c r="CR72" s="50">
        <f t="shared" si="125"/>
        <v>0.35675939482674474</v>
      </c>
      <c r="CS72" s="14">
        <f t="shared" si="126"/>
        <v>8542</v>
      </c>
      <c r="CT72" s="14">
        <f t="shared" si="127"/>
        <v>2155</v>
      </c>
      <c r="CU72" s="14">
        <f>INT(SUMPRODUCT($AB72:$AF72,$BA72:$BE72)/SUM($BA72:$BE72)/10000*$BX$7*$BZ$34/'疲劳值&amp;地图信息'!$R$10*$BY$55)</f>
        <v>6959</v>
      </c>
      <c r="CV72" s="50">
        <f t="shared" si="128"/>
        <v>0.48380154055278657</v>
      </c>
      <c r="CW72" s="50">
        <f t="shared" si="129"/>
        <v>0.12205482555505211</v>
      </c>
      <c r="CX72" s="50">
        <f t="shared" si="130"/>
        <v>0.39414363389216128</v>
      </c>
      <c r="CY72" s="14">
        <f t="shared" si="131"/>
        <v>9681</v>
      </c>
      <c r="CZ72" s="14">
        <f t="shared" si="132"/>
        <v>5513</v>
      </c>
      <c r="DA72" s="14">
        <f>INT(SUMPRODUCT($AI72:$AM72,$BA72:$BE72)/SUM($BA72:$BE72)/10000*$BX$7*$BZ$34/'疲劳值&amp;地图信息'!$R$10*$BY$56)</f>
        <v>10490</v>
      </c>
      <c r="DB72" s="50">
        <f t="shared" si="133"/>
        <v>0.37692726989565489</v>
      </c>
      <c r="DC72" s="50">
        <f t="shared" si="134"/>
        <v>0.21464725120697711</v>
      </c>
      <c r="DD72" s="50">
        <f t="shared" si="135"/>
        <v>0.40842547889736802</v>
      </c>
      <c r="DE72" s="14">
        <f t="shared" si="136"/>
        <v>9856</v>
      </c>
      <c r="DF72" s="14">
        <f t="shared" si="137"/>
        <v>10776</v>
      </c>
      <c r="DG72" s="14">
        <f>INT(SUMPRODUCT($AP72:$AT72,$BA72:$BE72)/SUM($BA72:$BE72)/10000*$BX$7*$BZ$34/'疲劳值&amp;地图信息'!$R$10*$BY$57)</f>
        <v>14009</v>
      </c>
      <c r="DH72" s="50">
        <f t="shared" si="138"/>
        <v>0.28451834531335701</v>
      </c>
      <c r="DI72" s="50">
        <f t="shared" si="139"/>
        <v>0.31107647007880834</v>
      </c>
      <c r="DJ72" s="50">
        <f t="shared" si="140"/>
        <v>0.40440518460783464</v>
      </c>
      <c r="DL72" s="14">
        <f t="shared" si="106"/>
        <v>11355</v>
      </c>
      <c r="DM72" s="14">
        <f t="shared" si="107"/>
        <v>14343</v>
      </c>
      <c r="DN72" s="14">
        <f t="shared" si="108"/>
        <v>17656</v>
      </c>
      <c r="DO72" s="14">
        <f t="shared" si="109"/>
        <v>25684</v>
      </c>
      <c r="DP72" s="14">
        <f t="shared" si="110"/>
        <v>34641</v>
      </c>
      <c r="DQ72" s="14">
        <f t="shared" si="111"/>
        <v>763417</v>
      </c>
      <c r="DT72" s="14">
        <f t="shared" si="105"/>
        <v>235575</v>
      </c>
      <c r="DU72" s="50">
        <f t="shared" si="112"/>
        <v>0.2358126992007944</v>
      </c>
      <c r="DW72" s="14">
        <f t="shared" si="141"/>
        <v>998992</v>
      </c>
      <c r="EB72" s="14">
        <v>67</v>
      </c>
      <c r="EC72" s="51">
        <f t="shared" si="142"/>
        <v>12830</v>
      </c>
      <c r="ED72" s="51">
        <f t="shared" si="143"/>
        <v>1336</v>
      </c>
      <c r="EE72" s="51">
        <f>INT(SUMPRODUCT($N72:$R72,$BF72:$BJ72)/SUM($BF72:$BJ72)/10000*$BX$7*$BZ$46/'疲劳值&amp;地图信息'!$R$10*$BY$53)</f>
        <v>383</v>
      </c>
      <c r="EF72" s="50">
        <f t="shared" si="144"/>
        <v>0.88184754965977041</v>
      </c>
      <c r="EG72" s="50">
        <f t="shared" si="145"/>
        <v>9.1827617018351779E-2</v>
      </c>
      <c r="EH72" s="50">
        <f t="shared" si="146"/>
        <v>2.6324833321877791E-2</v>
      </c>
      <c r="EI72" s="51">
        <f t="shared" si="147"/>
        <v>13392</v>
      </c>
      <c r="EJ72" s="51">
        <f t="shared" si="148"/>
        <v>1986</v>
      </c>
      <c r="EK72" s="14">
        <f>INT(SUMPRODUCT($U72:$Y72,$BF72:$BJ72)/SUM($BF72:$BJ72)/10000*$BX$7*$BZ$46/'疲劳值&amp;地图信息'!$R$10*$BY$54)</f>
        <v>686</v>
      </c>
      <c r="EL72" s="50">
        <f t="shared" si="149"/>
        <v>0.83366533864541836</v>
      </c>
      <c r="EM72" s="50">
        <f t="shared" si="150"/>
        <v>0.1236304780876494</v>
      </c>
      <c r="EN72" s="50">
        <f t="shared" si="151"/>
        <v>4.2704183266932268E-2</v>
      </c>
      <c r="EO72" s="51">
        <f t="shared" si="152"/>
        <v>14237</v>
      </c>
      <c r="EP72" s="51">
        <f t="shared" si="153"/>
        <v>3592</v>
      </c>
      <c r="EQ72" s="14">
        <f>INT(SUMPRODUCT($AB72:$AF72,$BF72:$BJ72)/SUM($BF72:$BJ72)/10000*$BX$7*$BZ$46/'疲劳值&amp;地图信息'!$R$10*$BY$55)</f>
        <v>932</v>
      </c>
      <c r="ER72" s="50">
        <f t="shared" si="154"/>
        <v>0.75886146793880926</v>
      </c>
      <c r="ES72" s="50">
        <f t="shared" si="155"/>
        <v>0.19146100954106923</v>
      </c>
      <c r="ET72" s="50">
        <f t="shared" si="156"/>
        <v>4.9677522520121531E-2</v>
      </c>
      <c r="EU72" s="51">
        <f t="shared" si="157"/>
        <v>16135</v>
      </c>
      <c r="EV72" s="51">
        <f t="shared" si="158"/>
        <v>9188</v>
      </c>
      <c r="EW72" s="14">
        <f>INT(SUMPRODUCT($AI72:$AM72,$BF72:$BJ72)/SUM($BF72:$BJ72)/10000*$BX$7*$BZ$46/'疲劳值&amp;地图信息'!$R$10*$BY$56)</f>
        <v>1399</v>
      </c>
      <c r="EX72" s="50">
        <f t="shared" si="159"/>
        <v>0.60380959509018783</v>
      </c>
      <c r="EY72" s="50">
        <f t="shared" si="160"/>
        <v>0.343836539181199</v>
      </c>
      <c r="EZ72" s="50">
        <f t="shared" si="161"/>
        <v>5.2353865728613128E-2</v>
      </c>
      <c r="FA72" s="51">
        <f t="shared" si="162"/>
        <v>16427</v>
      </c>
      <c r="FB72" s="51">
        <f t="shared" si="163"/>
        <v>17960</v>
      </c>
      <c r="FC72" s="14">
        <f>INT(SUMPRODUCT($AP72:$AT72,$BF72:$BJ72)/SUM($BF72:$BJ72)/10000*$BX$7*$BZ$46/'疲劳值&amp;地图信息'!$R$10*$BY$57)</f>
        <v>1865</v>
      </c>
      <c r="FD72" s="50">
        <f t="shared" si="164"/>
        <v>0.45313362021405718</v>
      </c>
      <c r="FE72" s="50">
        <f t="shared" si="165"/>
        <v>0.49542094229283901</v>
      </c>
      <c r="FF72" s="50">
        <f t="shared" si="166"/>
        <v>5.1445437493103832E-2</v>
      </c>
      <c r="FH72" s="14">
        <f t="shared" si="167"/>
        <v>14549</v>
      </c>
      <c r="FI72" s="14">
        <f t="shared" si="168"/>
        <v>16064</v>
      </c>
      <c r="FJ72" s="14">
        <f t="shared" si="169"/>
        <v>18761</v>
      </c>
      <c r="FK72" s="14">
        <f t="shared" si="170"/>
        <v>26722</v>
      </c>
      <c r="FL72" s="14">
        <f t="shared" si="171"/>
        <v>36252</v>
      </c>
      <c r="FM72" s="14">
        <f t="shared" si="172"/>
        <v>1684286</v>
      </c>
      <c r="FP72" s="14">
        <f t="shared" si="173"/>
        <v>334150</v>
      </c>
      <c r="FQ72" s="50">
        <f t="shared" si="113"/>
        <v>0.16554896959824339</v>
      </c>
      <c r="FS72" s="14">
        <f t="shared" si="174"/>
        <v>2018436</v>
      </c>
      <c r="FX72" s="14">
        <v>67</v>
      </c>
      <c r="FY72" s="51">
        <f t="shared" si="175"/>
        <v>17962</v>
      </c>
      <c r="FZ72" s="51">
        <f t="shared" si="176"/>
        <v>1336</v>
      </c>
      <c r="GA72" s="51">
        <f>INT(SUMPRODUCT($N72:$R72,$BF72:$BJ72)/SUM($BF72:$BJ72)/10000*$BX$7*$BZ$46/'疲劳值&amp;地图信息'!$R$10*$BY$53)</f>
        <v>383</v>
      </c>
      <c r="GB72" s="50">
        <f t="shared" si="177"/>
        <v>0.91265687719119959</v>
      </c>
      <c r="GC72" s="50">
        <f t="shared" si="178"/>
        <v>6.7882729536100805E-2</v>
      </c>
      <c r="GD72" s="50">
        <f t="shared" si="179"/>
        <v>1.9460393272699557E-2</v>
      </c>
      <c r="GE72" s="51">
        <f t="shared" si="180"/>
        <v>18748</v>
      </c>
      <c r="GF72" s="51">
        <f t="shared" si="181"/>
        <v>1986</v>
      </c>
      <c r="GG72" s="14">
        <f>INT(SUMPRODUCT($U72:$Y72,$BF72:$BJ72)/SUM($BF72:$BJ72)/10000*$BX$7*$BZ$46/'疲劳值&amp;地图信息'!$R$10*$BY$54)</f>
        <v>686</v>
      </c>
      <c r="GH72" s="50">
        <f t="shared" si="182"/>
        <v>0.87525676937441643</v>
      </c>
      <c r="GI72" s="50">
        <f t="shared" si="183"/>
        <v>9.2717086834733897E-2</v>
      </c>
      <c r="GJ72" s="50">
        <f t="shared" si="184"/>
        <v>3.202614379084967E-2</v>
      </c>
      <c r="GK72" s="51">
        <f t="shared" si="185"/>
        <v>19931</v>
      </c>
      <c r="GL72" s="51">
        <f t="shared" si="186"/>
        <v>3592</v>
      </c>
      <c r="GM72" s="14">
        <f>INT(SUMPRODUCT($AB72:$AF72,$BF72:$BJ72)/SUM($BF72:$BJ72)/10000*$BX$7*$BZ$46/'疲劳值&amp;地图信息'!$R$10*$BY$55)</f>
        <v>932</v>
      </c>
      <c r="GN72" s="50">
        <f t="shared" si="187"/>
        <v>0.81500715600081786</v>
      </c>
      <c r="GO72" s="50">
        <f t="shared" si="188"/>
        <v>0.14688202821508894</v>
      </c>
      <c r="GP72" s="50">
        <f t="shared" si="189"/>
        <v>3.8110815784093234E-2</v>
      </c>
      <c r="GQ72" s="51">
        <f t="shared" si="190"/>
        <v>22589</v>
      </c>
      <c r="GR72" s="51">
        <f t="shared" si="191"/>
        <v>9188</v>
      </c>
      <c r="GS72" s="14">
        <f>INT(SUMPRODUCT($AI72:$AM72,$BF72:$BJ72)/SUM($BF72:$BJ72)/10000*$BX$7*$BZ$46/'疲劳值&amp;地图信息'!$R$10*$BY$56)</f>
        <v>1399</v>
      </c>
      <c r="GT72" s="50">
        <f t="shared" si="192"/>
        <v>0.68088377140101275</v>
      </c>
      <c r="GU72" s="50">
        <f t="shared" si="193"/>
        <v>0.27694719074029417</v>
      </c>
      <c r="GV72" s="50">
        <f t="shared" si="194"/>
        <v>4.2169037858693033E-2</v>
      </c>
      <c r="GW72" s="51">
        <f t="shared" si="195"/>
        <v>22998</v>
      </c>
      <c r="GX72" s="51">
        <f t="shared" si="196"/>
        <v>17960</v>
      </c>
      <c r="GY72" s="14">
        <f>INT(SUMPRODUCT($AP72:$AT72,$BF72:$BJ72)/SUM($BF72:$BJ72)/10000*$BX$7*$BZ$46/'疲劳值&amp;地图信息'!$R$10*$BY$57)</f>
        <v>1865</v>
      </c>
      <c r="GZ72" s="50">
        <f t="shared" si="197"/>
        <v>0.53704784811900153</v>
      </c>
      <c r="HA72" s="50">
        <f t="shared" si="198"/>
        <v>0.41940078929547203</v>
      </c>
      <c r="HB72" s="50">
        <f t="shared" si="199"/>
        <v>4.3551362585526471E-2</v>
      </c>
      <c r="HD72" s="14">
        <f t="shared" si="200"/>
        <v>19681</v>
      </c>
      <c r="HE72" s="14">
        <f t="shared" si="201"/>
        <v>21420</v>
      </c>
      <c r="HF72" s="14">
        <f t="shared" si="202"/>
        <v>24455</v>
      </c>
      <c r="HG72" s="14">
        <f t="shared" si="203"/>
        <v>33176</v>
      </c>
      <c r="HH72" s="14">
        <f t="shared" si="204"/>
        <v>42823</v>
      </c>
      <c r="HI72" s="14">
        <f t="shared" si="205"/>
        <v>2242035</v>
      </c>
      <c r="HL72" s="14">
        <f t="shared" si="206"/>
        <v>430050</v>
      </c>
      <c r="HM72" s="50">
        <f t="shared" si="114"/>
        <v>0.16094173650913052</v>
      </c>
      <c r="HO72" s="14">
        <f t="shared" si="207"/>
        <v>2672085</v>
      </c>
    </row>
    <row r="73" spans="11:223" x14ac:dyDescent="0.2">
      <c r="K73" s="14">
        <v>68</v>
      </c>
      <c r="L73" s="12">
        <f>求节点(节奏总纲!D$4:D$163,标准城池设计!AB$4:AB$163,$K73)*求节点(节奏总纲!D$4:D$163,攻城基础信息!$AC$5:$AC$164,$K73)</f>
        <v>376466.842055057</v>
      </c>
      <c r="M73" s="12">
        <f>INDEX(其他调用!$AA$5:$AA$404,MATCH(K73,其他调用!$X$5:$X$404,0))*MIN(INDEX(其他调用!$AH$5:$AH$364,MATCH('征服点（新）'!K73,其他调用!$AG$5:$AG$364,0),1)/INDEX(其他调用!$AJ$5:$AJ$364,MATCH(K73,其他调用!$AG$5:$AG$364,0),0),5)*求节点(节奏总纲!D$4:D$163,攻城基础信息!$AC$5:$AC$164,$K73)</f>
        <v>38970.05601133719</v>
      </c>
      <c r="N73" s="12">
        <f>MIN(INDEX(其他调用!$AH$5:$AH$364,MATCH($K73,其他调用!$AG$5:$AG$364,0),1)/INDEX(其他调用!AH$5:AH$364,MATCH($K73,其他调用!$AG$5:$AG$364,0),0),1)*INDEX(其他调用!Y$5:Y$404,MATCH($K73,其他调用!$X$5:$X$404,0),0)</f>
        <v>33933.4034754229</v>
      </c>
      <c r="O73" s="12">
        <f>MIN(INDEX(其他调用!$AH$5:$AH$364,MATCH($K73,其他调用!$AG$5:$AG$364,0),1)/INDEX(其他调用!AI$5:AI$364,MATCH($K73,其他调用!$AG$5:$AG$364,0),0),1)*INDEX(其他调用!Z$5:Z$404,MATCH($K73,其他调用!$X$5:$X$404,0),0)</f>
        <v>23544.276254135348</v>
      </c>
      <c r="P73" s="12">
        <f>MIN(INDEX(其他调用!$AH$5:$AH$364,MATCH($K73,其他调用!$AG$5:$AG$364,0),1)/INDEX(其他调用!AJ$5:AJ$364,MATCH($K73,其他调用!$AG$5:$AG$364,0),0),1)*INDEX(其他调用!AA$5:AA$404,MATCH($K73,其他调用!$X$5:$X$404,0),0)</f>
        <v>13581.166396203755</v>
      </c>
      <c r="Q73" s="12">
        <f>MIN(INDEX(其他调用!$AH$5:$AH$364,MATCH($K73,其他调用!$AG$5:$AG$364,0),1)/INDEX(其他调用!AK$5:AK$364,MATCH($K73,其他调用!$AG$5:$AG$364,0),0),1)*INDEX(其他调用!AB$5:AB$404,MATCH($K73,其他调用!$X$5:$X$404,0),0)</f>
        <v>5650.2520644919869</v>
      </c>
      <c r="R73" s="12">
        <f>MIN(INDEX(其他调用!$AH$5:$AH$364,MATCH($K73,其他调用!$AG$5:$AG$364,0),1)/INDEX(其他调用!AL$5:AL$364,MATCH($K73,其他调用!$AG$5:$AG$364,0),0),1)*INDEX(其他调用!AC$5:AC$404,MATCH($K73,其他调用!$X$5:$X$404,0),0)</f>
        <v>1823.6289790825858</v>
      </c>
      <c r="S73" s="12">
        <f>求节点(节奏总纲!D$4:D$163,标准城池设计!AC$4:AC$163,$K73)*求节点(节奏总纲!D$4:D$163,攻城基础信息!$AD$5:$AD$164,$K73)</f>
        <v>393115.59101191006</v>
      </c>
      <c r="T73" s="12">
        <f>INDEX(其他调用!$AA$5:$AA$404,MATCH($K73,其他调用!$X$5:$X$404,0))*MIN(INDEX(其他调用!AI$5:AI$364,MATCH($K73,其他调用!$AG$5:$AG$364,0),1)/INDEX(其他调用!$AJ$5:$AJ$364,MATCH($K73,其他调用!$AG$5:$AG$364,0),0),5)*求节点(节奏总纲!D$4:D$163,攻城基础信息!$AD$5:$AD$164,$K73)</f>
        <v>58059.761116290763</v>
      </c>
      <c r="U73" s="12">
        <f>MIN(INDEX(其他调用!$AI$5:$AI$364,MATCH($K73,其他调用!$AG$5:$AG$364,0),1)/INDEX(其他调用!AH$5:AH$364,MATCH($K73,其他调用!$AG$5:$AG$364,0),0),1)*INDEX(其他调用!Y$5:Y$404,MATCH($K73,其他调用!$X$5:$X$404,0),0)</f>
        <v>33933.4034754229</v>
      </c>
      <c r="V73" s="12">
        <f>MIN(INDEX(其他调用!$AI$5:$AI$364,MATCH($K73,其他调用!$AG$5:$AG$364,0),1)/INDEX(其他调用!AI$5:AI$364,MATCH($K73,其他调用!$AG$5:$AG$364,0),0),1)*INDEX(其他调用!Z$5:Z$404,MATCH($K73,其他调用!$X$5:$X$404,0),0)</f>
        <v>35077.574807010133</v>
      </c>
      <c r="W73" s="12">
        <f>MIN(INDEX(其他调用!$AI$5:$AI$364,MATCH($K73,其他调用!$AG$5:$AG$364,0),1)/INDEX(其他调用!AJ$5:AJ$364,MATCH($K73,其他调用!$AG$5:$AG$364,0),0),1)*INDEX(其他调用!AA$5:AA$404,MATCH($K73,其他调用!$X$5:$X$404,0),0)</f>
        <v>20233.978529945889</v>
      </c>
      <c r="X73" s="12">
        <f>MIN(INDEX(其他调用!$AI$5:$AI$364,MATCH($K73,其他调用!$AG$5:$AG$364,0),1)/INDEX(其他调用!AK$5:AK$364,MATCH($K73,其他调用!$AG$5:$AG$364,0),0),1)*INDEX(其他调用!AB$5:AB$404,MATCH($K73,其他调用!$X$5:$X$404,0),0)</f>
        <v>8418.0603952890451</v>
      </c>
      <c r="Y73" s="12">
        <f>MIN(INDEX(其他调用!$AI$5:$AI$364,MATCH($K73,其他调用!$AG$5:$AG$364,0),1)/INDEX(其他调用!AL$5:AL$364,MATCH($K73,其他调用!$AG$5:$AG$364,0),0),1)*INDEX(其他调用!AC$5:AC$404,MATCH($K73,其他调用!$X$5:$X$404,0),0)</f>
        <v>2716.944077767751</v>
      </c>
      <c r="Z73" s="12">
        <f>求节点(节奏总纲!D$4:D$163,标准城池设计!AD$4:AD$163,$K73)*求节点(节奏总纲!D$4:D$163,攻城基础信息!$AE$5:$AE$164,$K73)</f>
        <v>417962.69825565687</v>
      </c>
      <c r="AA73" s="12">
        <f>INDEX(其他调用!$AA$5:$AA$404,MATCH($K73,其他调用!$X$5:$X$404,0))*MIN(INDEX(其他调用!AJ$5:AJ$364,MATCH($K73,其他调用!$AG$5:$AG$364,0),1)/INDEX(其他调用!$AJ$5:$AJ$364,MATCH($K73,其他调用!$AG$5:$AG$364,0),0),5)*求节点(节奏总纲!D$4:D$163,攻城基础信息!$AE$5:$AE$164,$K73)</f>
        <v>104937.5054488684</v>
      </c>
      <c r="AB73" s="12">
        <f>MIN(INDEX(其他调用!$AJ$5:$AJ$364,MATCH($K73,其他调用!$AG$5:$AG$364,0),1)/INDEX(其他调用!AH$5:AH$364,MATCH($K73,其他调用!$AG$5:$AG$364,0),0),1)*INDEX(其他调用!Y$5:Y$404,MATCH($K73,其他调用!$X$5:$X$404,0),0)</f>
        <v>33933.4034754229</v>
      </c>
      <c r="AC73" s="12">
        <f>MIN(INDEX(其他调用!$AJ$5:$AJ$364,MATCH($K73,其他调用!$AG$5:$AG$364,0),1)/INDEX(其他调用!AI$5:AI$364,MATCH($K73,其他调用!$AG$5:$AG$364,0),0),1)*INDEX(其他调用!Z$5:Z$404,MATCH($K73,其他调用!$X$5:$X$404,0),0)</f>
        <v>35077.574807010133</v>
      </c>
      <c r="AD73" s="12">
        <f>MIN(INDEX(其他调用!$AJ$5:$AJ$364,MATCH($K73,其他调用!$AG$5:$AG$364,0),1)/INDEX(其他调用!AJ$5:AJ$364,MATCH($K73,其他调用!$AG$5:$AG$364,0),0),1)*INDEX(其他调用!AA$5:AA$404,MATCH($K73,其他调用!$X$5:$X$404,0),0)</f>
        <v>36570.99497852935</v>
      </c>
      <c r="AE73" s="12">
        <f>MIN(INDEX(其他调用!$AJ$5:$AJ$364,MATCH($K73,其他调用!$AG$5:$AG$364,0),1)/INDEX(其他调用!AK$5:AK$364,MATCH($K73,其他调用!$AG$5:$AG$364,0),0),1)*INDEX(其他调用!AB$5:AB$404,MATCH($K73,其他调用!$X$5:$X$404,0),0)</f>
        <v>15214.844870446535</v>
      </c>
      <c r="AF73" s="12">
        <f>MIN(INDEX(其他调用!$AJ$5:$AJ$364,MATCH($K73,其他调用!$AG$5:$AG$364,0),1)/INDEX(其他调用!AL$5:AL$364,MATCH($K73,其他调用!$AG$5:$AG$364,0),0),1)*INDEX(其他调用!AC$5:AC$404,MATCH($K73,其他调用!$X$5:$X$404,0),0)</f>
        <v>4910.6184469819746</v>
      </c>
      <c r="AG73" s="12">
        <f>求节点(节奏总纲!D$4:D$163,标准城池设计!AE$4:AE$163,$K73)*求节点(节奏总纲!D$4:D$163,攻城基础信息!$AF$5:$AF$164,$K73)</f>
        <v>473717.04574133392</v>
      </c>
      <c r="AH73" s="12">
        <f>INDEX(其他调用!$AA$5:$AA$404,MATCH($K73,其他调用!$X$5:$X$404,0))*MIN(INDEX(其他调用!AK$5:AK$364,MATCH($K73,其他调用!$AG$5:$AG$364,0),1)/INDEX(其他调用!$AJ$5:$AJ$364,MATCH($K73,其他调用!$AG$5:$AG$364,0),0),5)*求节点(节奏总纲!D$4:D$163,攻城基础信息!$AF$5:$AF$164,$K73)</f>
        <v>267241.87389706832</v>
      </c>
      <c r="AI73" s="12">
        <f>MIN(INDEX(其他调用!$AK$5:$AK$364,MATCH($K73,其他调用!$AG$5:$AG$364,0),1)/INDEX(其他调用!AH$5:AH$364,MATCH($K73,其他调用!$AG$5:$AG$364,0),0),1)*INDEX(其他调用!Y$5:Y$404,MATCH($K73,其他调用!$X$5:$X$404,0),0)</f>
        <v>33933.4034754229</v>
      </c>
      <c r="AJ73" s="12">
        <f>MIN(INDEX(其他调用!$AK$5:$AK$364,MATCH($K73,其他调用!$AG$5:$AG$364,0),1)/INDEX(其他调用!AI$5:AI$364,MATCH($K73,其他调用!$AG$5:$AG$364,0),0),1)*INDEX(其他调用!Z$5:Z$404,MATCH($K73,其他调用!$X$5:$X$404,0),0)</f>
        <v>35077.574807010133</v>
      </c>
      <c r="AK73" s="12">
        <f>MIN(INDEX(其他调用!$AK$5:$AK$364,MATCH($K73,其他调用!$AG$5:$AG$364,0),1)/INDEX(其他调用!AJ$5:AJ$364,MATCH($K73,其他调用!$AG$5:$AG$364,0),0),1)*INDEX(其他调用!AA$5:AA$404,MATCH($K73,其他调用!$X$5:$X$404,0),0)</f>
        <v>36570.99497852935</v>
      </c>
      <c r="AL73" s="12">
        <f>MIN(INDEX(其他调用!$AK$5:$AK$364,MATCH($K73,其他调用!$AG$5:$AG$364,0),1)/INDEX(其他调用!AK$5:AK$364,MATCH($K73,其他调用!$AG$5:$AG$364,0),0),1)*INDEX(其他调用!AB$5:AB$404,MATCH($K73,其他调用!$X$5:$X$404,0),0)</f>
        <v>38747.287129028817</v>
      </c>
      <c r="AM73" s="12">
        <f>MIN(INDEX(其他调用!$AK$5:$AK$364,MATCH($K73,其他调用!$AG$5:$AG$364,0),1)/INDEX(其他调用!AL$5:AL$364,MATCH($K73,其他调用!$AG$5:$AG$364,0),0),1)*INDEX(其他调用!AC$5:AC$404,MATCH($K73,其他调用!$X$5:$X$404,0),0)</f>
        <v>12505.756356142978</v>
      </c>
      <c r="AN73" s="12">
        <f>求节点(节奏总纲!D$4:D$163,标准城池设计!AF$4:AF$163,$K73)*求节点(节奏总纲!D$4:D$163,攻城基础信息!$AG$5:$AG$164,$K73)</f>
        <v>481674.99879044469</v>
      </c>
      <c r="AO73" s="12">
        <f>INDEX(其他调用!$AA$5:$AA$404,MATCH($K73,其他调用!$X$5:$X$404,0))*MIN(INDEX(其他调用!AL$5:AL$364,MATCH($K73,其他调用!$AG$5:$AG$364,0),1)/INDEX(其他调用!$AJ$5:$AJ$364,MATCH($K73,其他调用!$AG$5:$AG$364,0),0),5)*求节点(节奏总纲!D$4:D$163,攻城基础信息!$AG$5:$AG$164,$K73)</f>
        <v>524687.52724434203</v>
      </c>
      <c r="AP73" s="12">
        <f>MIN(INDEX(其他调用!$AL$5:$AL$364,MATCH($K73,其他调用!$AG$5:$AG$364,0),1)/INDEX(其他调用!AH$5:AH$364,MATCH($K73,其他调用!$AG$5:$AG$364,0),0),1)*INDEX(其他调用!Y$5:Y$404,MATCH($K73,其他调用!$X$5:$X$404,0),0)</f>
        <v>33933.4034754229</v>
      </c>
      <c r="AQ73" s="12">
        <f>MIN(INDEX(其他调用!$AL$5:$AL$364,MATCH($K73,其他调用!$AG$5:$AG$364,0),1)/INDEX(其他调用!AI$5:AI$364,MATCH($K73,其他调用!$AG$5:$AG$364,0),0),1)*INDEX(其他调用!Z$5:Z$404,MATCH($K73,其他调用!$X$5:$X$404,0),0)</f>
        <v>35077.574807010133</v>
      </c>
      <c r="AR73" s="12">
        <f>MIN(INDEX(其他调用!$AL$5:$AL$364,MATCH($K73,其他调用!$AG$5:$AG$364,0),1)/INDEX(其他调用!AJ$5:AJ$364,MATCH($K73,其他调用!$AG$5:$AG$364,0),0),1)*INDEX(其他调用!AA$5:AA$404,MATCH($K73,其他调用!$X$5:$X$404,0),0)</f>
        <v>36570.99497852935</v>
      </c>
      <c r="AS73" s="12">
        <f>MIN(INDEX(其他调用!$AL$5:$AL$364,MATCH($K73,其他调用!$AG$5:$AG$364,0),1)/INDEX(其他调用!AK$5:AK$364,MATCH($K73,其他调用!$AG$5:$AG$364,0),0),1)*INDEX(其他调用!AB$5:AB$404,MATCH($K73,其他调用!$X$5:$X$404,0),0)</f>
        <v>38747.287129028817</v>
      </c>
      <c r="AT73" s="12">
        <f>MIN(INDEX(其他调用!$AL$5:$AL$364,MATCH($K73,其他调用!$AG$5:$AG$364,0),1)/INDEX(其他调用!AL$5:AL$364,MATCH($K73,其他调用!$AG$5:$AG$364,0),0),1)*INDEX(其他调用!AC$5:AC$404,MATCH($K73,其他调用!$X$5:$X$404,0),0)</f>
        <v>42579.788733905407</v>
      </c>
      <c r="AV73" s="14">
        <f>IF(OR(AV$5="大R",AV$5="超R"),MAX(INDEX(其他调用!$H$5:$L$404,MATCH($K73,其他调用!$B$5:$B$404,0),MATCH(AV$5,其他调用!$H$4:$L$4,0))*120*0.85,2),INDEX(其他调用!$H$5:$L$404,MATCH($K73,其他调用!$B$5:$B$404,0),MATCH(AV$5,其他调用!$H$4:$L$4,0))*120*0.85)</f>
        <v>50.810011128000014</v>
      </c>
      <c r="AW73" s="14">
        <f>IF(OR(AW$5="大R",AW$5="超R"),MAX(INDEX(其他调用!$H$5:$L$404,MATCH($K73,其他调用!$B$5:$B$404,0),MATCH(AW$5,其他调用!$H$4:$L$4,0))*120*0.85,2),INDEX(其他调用!$H$5:$L$404,MATCH($K73,其他调用!$B$5:$B$404,0),MATCH(AW$5,其他调用!$H$4:$L$4,0))*120*0.85)</f>
        <v>46.447037271114226</v>
      </c>
      <c r="AX73" s="14">
        <f>IF(OR(AX$5="大R",AX$5="超R"),MAX(INDEX(其他调用!$H$5:$L$404,MATCH($K73,其他调用!$B$5:$B$404,0),MATCH(AX$5,其他调用!$H$4:$L$4,0))*120*0.85,2),INDEX(其他调用!$H$5:$L$404,MATCH($K73,其他调用!$B$5:$B$404,0),MATCH(AX$5,其他调用!$H$4:$L$4,0))*120*0.85)</f>
        <v>3.8949546088857598</v>
      </c>
      <c r="AY73" s="14">
        <f>IF(OR(AY$5="大R",AY$5="超R"),MAX(INDEX(其他调用!$H$5:$L$404,MATCH($K73,其他调用!$B$5:$B$404,0),MATCH(AY$5,其他调用!$H$4:$L$4,0))*120*0.85,2),INDEX(其他调用!$H$5:$L$404,MATCH($K73,其他调用!$B$5:$B$404,0),MATCH(AY$5,其他调用!$H$4:$L$4,0))*120*0.85)</f>
        <v>2</v>
      </c>
      <c r="AZ73" s="14">
        <f>IF(OR(AZ$5="大R",AZ$5="超R"),MAX(INDEX(其他调用!$H$5:$L$404,MATCH($K73,其他调用!$B$5:$B$404,0),MATCH(AZ$5,其他调用!$H$4:$L$4,0))*120*0.85,2),INDEX(其他调用!$H$5:$L$404,MATCH($K73,其他调用!$B$5:$B$404,0),MATCH(AZ$5,其他调用!$H$4:$L$4,0))*120*0.85)</f>
        <v>2</v>
      </c>
      <c r="BA73" s="14">
        <f>INDEX(其他调用!$H$5:$L$404,MATCH($K73,其他调用!$B$5:$B$404,0),MATCH(BA$5,其他调用!$H$4:$L$4,0))*INDEX(其他调用!$M$5:$M$404,MATCH($K73,其他调用!$B$5:$B$404,0))*0.6</f>
        <v>29.119687049828578</v>
      </c>
      <c r="BB73" s="14">
        <f>INDEX(其他调用!$H$5:$L$404,MATCH($K73,其他调用!$B$5:$B$404,0),MATCH(BB$5,其他调用!$H$4:$L$4,0))*INDEX(其他调用!$M$5:$M$404,MATCH($K73,其他调用!$B$5:$B$404,0))*0.6</f>
        <v>26.61922640243689</v>
      </c>
      <c r="BC73" s="14">
        <f>INDEX(其他调用!$H$5:$L$404,MATCH($K73,其他调用!$B$5:$B$404,0),MATCH(BC$5,其他调用!$H$4:$L$4,0))*INDEX(其他调用!$M$5:$M$404,MATCH($K73,其他调用!$B$5:$B$404,0))*0.6</f>
        <v>2.2322344901345281</v>
      </c>
      <c r="BD73" s="14">
        <f>INDEX(其他调用!$H$5:$L$404,MATCH($K73,其他调用!$B$5:$B$404,0),MATCH(BD$5,其他调用!$H$4:$L$4,0))*INDEX(其他调用!$M$5:$M$404,MATCH($K73,其他调用!$B$5:$B$404,0))*0.6</f>
        <v>0.38094041417142871</v>
      </c>
      <c r="BE73" s="14">
        <f>INDEX(其他调用!$H$5:$L$404,MATCH($K73,其他调用!$B$5:$B$404,0),MATCH(BE$5,其他调用!$H$4:$L$4,0))*INDEX(其他调用!$M$5:$M$404,MATCH($K73,其他调用!$B$5:$B$404,0))*0.6</f>
        <v>0.10505450057142855</v>
      </c>
      <c r="BF73" s="14">
        <f>IF(OR(BF$5="大R",BF$5="超R"),0,INDEX(其他调用!$H$5:$L$404,MATCH($K73,其他调用!$B$5:$B$404,0),MATCH(BF$5,其他调用!$H$4:$L$4,0))*50*0.4)</f>
        <v>9.9627472800000021</v>
      </c>
      <c r="BG73" s="14">
        <f>IF(OR(BG$5="大R",BG$5="超R"),0,INDEX(其他调用!$H$5:$L$404,MATCH($K73,其他调用!$B$5:$B$404,0),MATCH(BG$5,其他调用!$H$4:$L$4,0))*50*0.4)</f>
        <v>9.1072622100223963</v>
      </c>
      <c r="BH73" s="14">
        <f>IF(OR(BH$5="大R",BH$5="超R"),0,INDEX(其他调用!$H$5:$L$404,MATCH($K73,其他调用!$B$5:$B$404,0),MATCH(BH$5,其他调用!$H$4:$L$4,0))*50*0.4)</f>
        <v>0.76371658997760017</v>
      </c>
      <c r="BI73" s="14">
        <f>IF(OR(BI$5="大R",BI$5="超R"),0,INDEX(其他调用!$H$5:$L$404,MATCH($K73,其他调用!$B$5:$B$404,0),MATCH(BI$5,其他调用!$H$4:$L$4,0))*50*0.4)</f>
        <v>0</v>
      </c>
      <c r="BJ73" s="14">
        <f>IF(OR(BJ$5="大R",BJ$5="超R"),0,INDEX(其他调用!$H$5:$L$404,MATCH($K73,其他调用!$B$5:$B$404,0),MATCH(BJ$5,其他调用!$H$4:$L$4,0))*50*0.4)</f>
        <v>0</v>
      </c>
      <c r="BL73" s="14">
        <f t="shared" si="208"/>
        <v>68</v>
      </c>
      <c r="BM73" s="14">
        <f t="shared" si="115"/>
        <v>96</v>
      </c>
      <c r="BN73" s="14">
        <f>('疲劳值&amp;地图信息'!$S$10*'疲劳值&amp;地图信息'!$R$10+'疲劳值&amp;地图信息'!$S$11*'疲劳值&amp;地图信息'!$R$11+'疲劳值&amp;地图信息'!$S$12*'疲劳值&amp;地图信息'!$R$12+(BM73-'疲劳值&amp;地图信息'!$S$12-'疲劳值&amp;地图信息'!$S$11-'疲劳值&amp;地图信息'!$S$10)*'疲劳值&amp;地图信息'!$R$13)/BM73</f>
        <v>51.371477246638619</v>
      </c>
      <c r="BO73" s="14">
        <f>INDEX(其他调用!$M$5:$M$404,MATCH(BL73,其他调用!$B$5:$B$404,0))*0.6</f>
        <v>58.457142857142856</v>
      </c>
      <c r="BP73" s="14">
        <f>IF(BO73&gt;SUM('疲劳值&amp;地图信息'!$S$10:$S$12),('疲劳值&amp;地图信息'!$S$10*'疲劳值&amp;地图信息'!$R$10+'疲劳值&amp;地图信息'!$S$11*'疲劳值&amp;地图信息'!$R$11+'疲劳值&amp;地图信息'!$S$12*'疲劳值&amp;地图信息'!$R$12+(BO73-'疲劳值&amp;地图信息'!$S$12-'疲劳值&amp;地图信息'!$S$11-'疲劳值&amp;地图信息'!$S$10)*'疲劳值&amp;地图信息'!$R$13)/BO73,('疲劳值&amp;地图信息'!$S$10*'疲劳值&amp;地图信息'!$R$10+'疲劳值&amp;地图信息'!$S$11*'疲劳值&amp;地图信息'!$R$11+'疲劳值&amp;地图信息'!$S$12*'疲劳值&amp;地图信息'!$R$12+(BO73-'疲劳值&amp;地图信息'!$S$12-'疲劳值&amp;地图信息'!$S$11-'疲劳值&amp;地图信息'!$S$10)*'疲劳值&amp;地图信息'!$R$13)/BO73)</f>
        <v>43.650452524242951</v>
      </c>
      <c r="BQ73" s="14">
        <f t="shared" si="209"/>
        <v>20</v>
      </c>
      <c r="BR73" s="14">
        <f>('疲劳值&amp;地图信息'!$S$10*'疲劳值&amp;地图信息'!$R$10+($BQ73-'疲劳值&amp;地图信息'!$S$10)*'疲劳值&amp;地图信息'!$R$11)/$BQ73</f>
        <v>32.067203015074995</v>
      </c>
      <c r="CF73" s="14">
        <v>68</v>
      </c>
      <c r="CG73" s="51">
        <f t="shared" si="116"/>
        <v>7762</v>
      </c>
      <c r="CH73" s="51">
        <f t="shared" si="117"/>
        <v>803</v>
      </c>
      <c r="CI73" s="51">
        <f>INT(SUMPRODUCT($N73:$R73,$BA73:$BE73)/SUM($BA73:$BE73)/10000*$BX$7*$BZ$34/'疲劳值&amp;地图信息'!$R$10*$BY$53)</f>
        <v>2859</v>
      </c>
      <c r="CJ73" s="50">
        <f t="shared" si="118"/>
        <v>0.67944677871148462</v>
      </c>
      <c r="CK73" s="50">
        <f t="shared" si="119"/>
        <v>7.02906162464986E-2</v>
      </c>
      <c r="CL73" s="50">
        <f t="shared" si="120"/>
        <v>0.25026260504201681</v>
      </c>
      <c r="CM73" s="14">
        <f t="shared" si="121"/>
        <v>8105</v>
      </c>
      <c r="CN73" s="14">
        <f t="shared" si="122"/>
        <v>1197</v>
      </c>
      <c r="CO73" s="14">
        <f>INT(SUMPRODUCT($U73:$Y73,$BA73:$BE73)/SUM($BA73:$BE73)/10000*$BX$7*$BZ$34/'疲劳值&amp;地图信息'!$R$10*$BY$54)</f>
        <v>5130</v>
      </c>
      <c r="CP73" s="50">
        <f t="shared" si="123"/>
        <v>0.56159922394678496</v>
      </c>
      <c r="CQ73" s="50">
        <f t="shared" si="124"/>
        <v>8.2940687361419074E-2</v>
      </c>
      <c r="CR73" s="50">
        <f t="shared" si="125"/>
        <v>0.35546008869179602</v>
      </c>
      <c r="CS73" s="14">
        <f t="shared" si="126"/>
        <v>8617</v>
      </c>
      <c r="CT73" s="14">
        <f t="shared" si="127"/>
        <v>2163</v>
      </c>
      <c r="CU73" s="14">
        <f>INT(SUMPRODUCT($AB73:$AF73,$BA73:$BE73)/SUM($BA73:$BE73)/10000*$BX$7*$BZ$34/'疲劳值&amp;地图信息'!$R$10*$BY$55)</f>
        <v>6977</v>
      </c>
      <c r="CV73" s="50">
        <f t="shared" si="128"/>
        <v>0.48527341330179646</v>
      </c>
      <c r="CW73" s="50">
        <f t="shared" si="129"/>
        <v>0.12181111674269303</v>
      </c>
      <c r="CX73" s="50">
        <f t="shared" si="130"/>
        <v>0.39291546995551052</v>
      </c>
      <c r="CY73" s="14">
        <f t="shared" si="131"/>
        <v>9767</v>
      </c>
      <c r="CZ73" s="14">
        <f t="shared" si="132"/>
        <v>5510</v>
      </c>
      <c r="DA73" s="14">
        <f>INT(SUMPRODUCT($AI73:$AM73,$BA73:$BE73)/SUM($BA73:$BE73)/10000*$BX$7*$BZ$34/'疲劳值&amp;地图信息'!$R$10*$BY$56)</f>
        <v>10516</v>
      </c>
      <c r="DB73" s="50">
        <f t="shared" si="133"/>
        <v>0.37866863102392123</v>
      </c>
      <c r="DC73" s="50">
        <f t="shared" si="134"/>
        <v>0.21362385143255921</v>
      </c>
      <c r="DD73" s="50">
        <f t="shared" si="135"/>
        <v>0.40770751754351958</v>
      </c>
      <c r="DE73" s="14">
        <f t="shared" si="136"/>
        <v>9931</v>
      </c>
      <c r="DF73" s="14">
        <f t="shared" si="137"/>
        <v>10818</v>
      </c>
      <c r="DG73" s="14">
        <f>INT(SUMPRODUCT($AP73:$AT73,$BA73:$BE73)/SUM($BA73:$BE73)/10000*$BX$7*$BZ$34/'疲劳值&amp;地图信息'!$R$10*$BY$57)</f>
        <v>14043</v>
      </c>
      <c r="DH73" s="50">
        <f t="shared" si="138"/>
        <v>0.28543918142101632</v>
      </c>
      <c r="DI73" s="50">
        <f t="shared" si="139"/>
        <v>0.31093354794205563</v>
      </c>
      <c r="DJ73" s="50">
        <f t="shared" si="140"/>
        <v>0.40362727063692805</v>
      </c>
      <c r="DL73" s="14">
        <f t="shared" si="106"/>
        <v>11424</v>
      </c>
      <c r="DM73" s="14">
        <f t="shared" si="107"/>
        <v>14432</v>
      </c>
      <c r="DN73" s="14">
        <f t="shared" si="108"/>
        <v>17757</v>
      </c>
      <c r="DO73" s="14">
        <f t="shared" si="109"/>
        <v>25793</v>
      </c>
      <c r="DP73" s="14">
        <f t="shared" si="110"/>
        <v>34792</v>
      </c>
      <c r="DQ73" s="14">
        <f t="shared" si="111"/>
        <v>769950</v>
      </c>
      <c r="DT73" s="14">
        <f t="shared" si="105"/>
        <v>235575</v>
      </c>
      <c r="DU73" s="50">
        <f t="shared" si="112"/>
        <v>0.23428059968673082</v>
      </c>
      <c r="DW73" s="14">
        <f t="shared" si="141"/>
        <v>1005525</v>
      </c>
      <c r="EB73" s="14">
        <v>68</v>
      </c>
      <c r="EC73" s="51">
        <f t="shared" si="142"/>
        <v>12936</v>
      </c>
      <c r="ED73" s="51">
        <f t="shared" si="143"/>
        <v>1339</v>
      </c>
      <c r="EE73" s="51">
        <f>INT(SUMPRODUCT($N73:$R73,$BF73:$BJ73)/SUM($BF73:$BJ73)/10000*$BX$7*$BZ$46/'疲劳值&amp;地图信息'!$R$10*$BY$53)</f>
        <v>383</v>
      </c>
      <c r="EF73" s="50">
        <f t="shared" si="144"/>
        <v>0.88252148997134672</v>
      </c>
      <c r="EG73" s="50">
        <f t="shared" si="145"/>
        <v>9.134943375631055E-2</v>
      </c>
      <c r="EH73" s="50">
        <f t="shared" si="146"/>
        <v>2.6129076272342747E-2</v>
      </c>
      <c r="EI73" s="51">
        <f t="shared" si="147"/>
        <v>13508</v>
      </c>
      <c r="EJ73" s="51">
        <f t="shared" si="148"/>
        <v>1995</v>
      </c>
      <c r="EK73" s="14">
        <f>INT(SUMPRODUCT($U73:$Y73,$BF73:$BJ73)/SUM($BF73:$BJ73)/10000*$BX$7*$BZ$46/'疲劳值&amp;地图信息'!$R$10*$BY$54)</f>
        <v>688</v>
      </c>
      <c r="EL73" s="50">
        <f t="shared" si="149"/>
        <v>0.83429065530232849</v>
      </c>
      <c r="EM73" s="50">
        <f t="shared" si="150"/>
        <v>0.12321660181582361</v>
      </c>
      <c r="EN73" s="50">
        <f t="shared" si="151"/>
        <v>4.2492742881847942E-2</v>
      </c>
      <c r="EO73" s="51">
        <f t="shared" si="152"/>
        <v>14362</v>
      </c>
      <c r="EP73" s="51">
        <f t="shared" si="153"/>
        <v>3606</v>
      </c>
      <c r="EQ73" s="14">
        <f>INT(SUMPRODUCT($AB73:$AF73,$BF73:$BJ73)/SUM($BF73:$BJ73)/10000*$BX$7*$BZ$46/'疲劳值&amp;地图信息'!$R$10*$BY$55)</f>
        <v>935</v>
      </c>
      <c r="ER73" s="50">
        <f t="shared" si="154"/>
        <v>0.75977358091308256</v>
      </c>
      <c r="ES73" s="50">
        <f t="shared" si="155"/>
        <v>0.19076337089350898</v>
      </c>
      <c r="ET73" s="50">
        <f t="shared" si="156"/>
        <v>4.9463048193408451E-2</v>
      </c>
      <c r="EU73" s="51">
        <f t="shared" si="157"/>
        <v>16278</v>
      </c>
      <c r="EV73" s="51">
        <f t="shared" si="158"/>
        <v>9183</v>
      </c>
      <c r="EW73" s="14">
        <f>INT(SUMPRODUCT($AI73:$AM73,$BF73:$BJ73)/SUM($BF73:$BJ73)/10000*$BX$7*$BZ$46/'疲劳值&amp;地图信息'!$R$10*$BY$56)</f>
        <v>1402</v>
      </c>
      <c r="EX73" s="50">
        <f t="shared" si="159"/>
        <v>0.6059635930461974</v>
      </c>
      <c r="EY73" s="50">
        <f t="shared" si="160"/>
        <v>0.34184566131854222</v>
      </c>
      <c r="EZ73" s="50">
        <f t="shared" si="161"/>
        <v>5.2190745635260397E-2</v>
      </c>
      <c r="FA73" s="51">
        <f t="shared" si="162"/>
        <v>16552</v>
      </c>
      <c r="FB73" s="51">
        <f t="shared" si="163"/>
        <v>18030</v>
      </c>
      <c r="FC73" s="14">
        <f>INT(SUMPRODUCT($AP73:$AT73,$BF73:$BJ73)/SUM($BF73:$BJ73)/10000*$BX$7*$BZ$46/'疲劳值&amp;地图信息'!$R$10*$BY$57)</f>
        <v>1870</v>
      </c>
      <c r="FD73" s="50">
        <f t="shared" si="164"/>
        <v>0.45407659387687921</v>
      </c>
      <c r="FE73" s="50">
        <f t="shared" si="165"/>
        <v>0.49462306594974215</v>
      </c>
      <c r="FF73" s="50">
        <f t="shared" si="166"/>
        <v>5.1300340173378693E-2</v>
      </c>
      <c r="FH73" s="14">
        <f t="shared" si="167"/>
        <v>14658</v>
      </c>
      <c r="FI73" s="14">
        <f t="shared" si="168"/>
        <v>16191</v>
      </c>
      <c r="FJ73" s="14">
        <f t="shared" si="169"/>
        <v>18903</v>
      </c>
      <c r="FK73" s="14">
        <f t="shared" si="170"/>
        <v>26863</v>
      </c>
      <c r="FL73" s="14">
        <f t="shared" si="171"/>
        <v>36452</v>
      </c>
      <c r="FM73" s="14">
        <f t="shared" si="172"/>
        <v>1697053</v>
      </c>
      <c r="FP73" s="14">
        <f t="shared" si="173"/>
        <v>334150</v>
      </c>
      <c r="FQ73" s="50">
        <f t="shared" si="113"/>
        <v>0.16450842185640727</v>
      </c>
      <c r="FS73" s="14">
        <f t="shared" si="174"/>
        <v>2031203</v>
      </c>
      <c r="FX73" s="14">
        <v>68</v>
      </c>
      <c r="FY73" s="51">
        <f t="shared" si="175"/>
        <v>18111</v>
      </c>
      <c r="FZ73" s="51">
        <f t="shared" si="176"/>
        <v>1339</v>
      </c>
      <c r="GA73" s="51">
        <f>INT(SUMPRODUCT($N73:$R73,$BF73:$BJ73)/SUM($BF73:$BJ73)/10000*$BX$7*$BZ$46/'疲劳值&amp;地图信息'!$R$10*$BY$53)</f>
        <v>383</v>
      </c>
      <c r="GB73" s="50">
        <f t="shared" si="177"/>
        <v>0.91317501134472845</v>
      </c>
      <c r="GC73" s="50">
        <f t="shared" si="178"/>
        <v>6.7513739726718092E-2</v>
      </c>
      <c r="GD73" s="50">
        <f t="shared" si="179"/>
        <v>1.9311248928553421E-2</v>
      </c>
      <c r="GE73" s="51">
        <f t="shared" si="180"/>
        <v>18912</v>
      </c>
      <c r="GF73" s="51">
        <f t="shared" si="181"/>
        <v>1995</v>
      </c>
      <c r="GG73" s="14">
        <f>INT(SUMPRODUCT($U73:$Y73,$BF73:$BJ73)/SUM($BF73:$BJ73)/10000*$BX$7*$BZ$46/'疲劳值&amp;地图信息'!$R$10*$BY$54)</f>
        <v>688</v>
      </c>
      <c r="GH73" s="50">
        <f t="shared" si="182"/>
        <v>0.8757582773790229</v>
      </c>
      <c r="GI73" s="50">
        <f t="shared" si="183"/>
        <v>9.2382495948136148E-2</v>
      </c>
      <c r="GJ73" s="50">
        <f t="shared" si="184"/>
        <v>3.1859226672840933E-2</v>
      </c>
      <c r="GK73" s="51">
        <f t="shared" si="185"/>
        <v>20107</v>
      </c>
      <c r="GL73" s="51">
        <f t="shared" si="186"/>
        <v>3606</v>
      </c>
      <c r="GM73" s="14">
        <f>INT(SUMPRODUCT($AB73:$AF73,$BF73:$BJ73)/SUM($BF73:$BJ73)/10000*$BX$7*$BZ$46/'疲劳值&amp;地图信息'!$R$10*$BY$55)</f>
        <v>935</v>
      </c>
      <c r="GN73" s="50">
        <f t="shared" si="187"/>
        <v>0.81576598506978248</v>
      </c>
      <c r="GO73" s="50">
        <f t="shared" si="188"/>
        <v>0.14629990262901654</v>
      </c>
      <c r="GP73" s="50">
        <f t="shared" si="189"/>
        <v>3.793411230120091E-2</v>
      </c>
      <c r="GQ73" s="51">
        <f t="shared" si="190"/>
        <v>22790</v>
      </c>
      <c r="GR73" s="51">
        <f t="shared" si="191"/>
        <v>9183</v>
      </c>
      <c r="GS73" s="14">
        <f>INT(SUMPRODUCT($AI73:$AM73,$BF73:$BJ73)/SUM($BF73:$BJ73)/10000*$BX$7*$BZ$46/'疲劳值&amp;地图信息'!$R$10*$BY$56)</f>
        <v>1402</v>
      </c>
      <c r="GT73" s="50">
        <f t="shared" si="192"/>
        <v>0.6828464419475655</v>
      </c>
      <c r="GU73" s="50">
        <f t="shared" si="193"/>
        <v>0.27514606741573033</v>
      </c>
      <c r="GV73" s="50">
        <f t="shared" si="194"/>
        <v>4.2007490636704121E-2</v>
      </c>
      <c r="GW73" s="51">
        <f t="shared" si="195"/>
        <v>23173</v>
      </c>
      <c r="GX73" s="51">
        <f t="shared" si="196"/>
        <v>18030</v>
      </c>
      <c r="GY73" s="14">
        <f>INT(SUMPRODUCT($AP73:$AT73,$BF73:$BJ73)/SUM($BF73:$BJ73)/10000*$BX$7*$BZ$46/'疲劳值&amp;地图信息'!$R$10*$BY$57)</f>
        <v>1870</v>
      </c>
      <c r="GZ73" s="50">
        <f t="shared" si="197"/>
        <v>0.53799363870638217</v>
      </c>
      <c r="HA73" s="50">
        <f t="shared" si="198"/>
        <v>0.41859169317205674</v>
      </c>
      <c r="HB73" s="50">
        <f t="shared" si="199"/>
        <v>4.341466812156107E-2</v>
      </c>
      <c r="HD73" s="14">
        <f t="shared" si="200"/>
        <v>19833</v>
      </c>
      <c r="HE73" s="14">
        <f t="shared" si="201"/>
        <v>21595</v>
      </c>
      <c r="HF73" s="14">
        <f t="shared" si="202"/>
        <v>24648</v>
      </c>
      <c r="HG73" s="14">
        <f t="shared" si="203"/>
        <v>33375</v>
      </c>
      <c r="HH73" s="14">
        <f t="shared" si="204"/>
        <v>43073</v>
      </c>
      <c r="HI73" s="14">
        <f t="shared" si="205"/>
        <v>2259637</v>
      </c>
      <c r="HL73" s="14">
        <f t="shared" si="206"/>
        <v>430050</v>
      </c>
      <c r="HM73" s="50">
        <f t="shared" si="114"/>
        <v>0.15988849260155549</v>
      </c>
      <c r="HO73" s="14">
        <f t="shared" si="207"/>
        <v>2689687</v>
      </c>
    </row>
    <row r="74" spans="11:223" x14ac:dyDescent="0.2">
      <c r="K74" s="14">
        <v>69</v>
      </c>
      <c r="L74" s="12">
        <f>求节点(节奏总纲!D$4:D$163,标准城池设计!AB$4:AB$163,$K74)*求节点(节奏总纲!D$4:D$163,攻城基础信息!$AC$5:$AC$164,$K74)</f>
        <v>379710.08183241443</v>
      </c>
      <c r="M74" s="12">
        <f>INDEX(其他调用!$AA$5:$AA$404,MATCH(K74,其他调用!$X$5:$X$404,0))*MIN(INDEX(其他调用!$AH$5:$AH$364,MATCH('征服点（新）'!K74,其他调用!$AG$5:$AG$364,0),1)/INDEX(其他调用!$AJ$5:$AJ$364,MATCH(K74,其他调用!$AG$5:$AG$364,0),0),5)*求节点(节奏总纲!D$4:D$163,攻城基础信息!$AC$5:$AC$164,$K74)</f>
        <v>39065.803820300091</v>
      </c>
      <c r="N74" s="12">
        <f>MIN(INDEX(其他调用!$AH$5:$AH$364,MATCH($K74,其他调用!$AG$5:$AG$364,0),1)/INDEX(其他调用!AH$5:AH$364,MATCH($K74,其他调用!$AG$5:$AG$364,0),0),1)*INDEX(其他调用!Y$5:Y$404,MATCH($K74,其他调用!$X$5:$X$404,0),0)</f>
        <v>34016.332413656186</v>
      </c>
      <c r="O74" s="12">
        <f>MIN(INDEX(其他调用!$AH$5:$AH$364,MATCH($K74,其他调用!$AG$5:$AG$364,0),1)/INDEX(其他调用!AI$5:AI$364,MATCH($K74,其他调用!$AG$5:$AG$364,0),0),1)*INDEX(其他调用!Z$5:Z$404,MATCH($K74,其他调用!$X$5:$X$404,0),0)</f>
        <v>23540.087920687176</v>
      </c>
      <c r="P74" s="12">
        <f>MIN(INDEX(其他调用!$AH$5:$AH$364,MATCH($K74,其他调用!$AG$5:$AG$364,0),1)/INDEX(其他调用!AJ$5:AJ$364,MATCH($K74,其他调用!$AG$5:$AG$364,0),0),1)*INDEX(其他调用!AA$5:AA$404,MATCH($K74,其他调用!$X$5:$X$404,0),0)</f>
        <v>13582.485559968254</v>
      </c>
      <c r="Q74" s="12">
        <f>MIN(INDEX(其他调用!$AH$5:$AH$364,MATCH($K74,其他调用!$AG$5:$AG$364,0),1)/INDEX(其他调用!AK$5:AK$364,MATCH($K74,其他调用!$AG$5:$AG$364,0),0),1)*INDEX(其他调用!AB$5:AB$404,MATCH($K74,其他调用!$X$5:$X$404,0),0)</f>
        <v>5680.3909416778024</v>
      </c>
      <c r="R74" s="12">
        <f>MIN(INDEX(其他调用!$AH$5:$AH$364,MATCH($K74,其他调用!$AG$5:$AG$364,0),1)/INDEX(其他调用!AL$5:AL$364,MATCH($K74,其他调用!$AG$5:$AG$364,0),0),1)*INDEX(其他调用!AC$5:AC$404,MATCH($K74,其他调用!$X$5:$X$404,0),0)</f>
        <v>1823.4425178187801</v>
      </c>
      <c r="S74" s="12">
        <f>求节点(节奏总纲!D$4:D$163,标准城池设计!AC$4:AC$163,$K74)*求节点(节奏总纲!D$4:D$163,攻城基础信息!$AD$5:$AD$164,$K74)</f>
        <v>396805.88960035675</v>
      </c>
      <c r="T74" s="12">
        <f>INDEX(其他调用!$AA$5:$AA$404,MATCH($K74,其他调用!$X$5:$X$404,0))*MIN(INDEX(其他调用!AI$5:AI$364,MATCH($K74,其他调用!$AG$5:$AG$364,0),1)/INDEX(其他调用!$AJ$5:$AJ$364,MATCH($K74,其他调用!$AG$5:$AG$364,0),0),5)*求节点(节奏总纲!D$4:D$163,攻城基础信息!$AD$5:$AD$164,$K74)</f>
        <v>58346.542437917858</v>
      </c>
      <c r="U74" s="12">
        <f>MIN(INDEX(其他调用!$AI$5:$AI$364,MATCH($K74,其他调用!$AG$5:$AG$364,0),1)/INDEX(其他调用!AH$5:AH$364,MATCH($K74,其他调用!$AG$5:$AG$364,0),0),1)*INDEX(其他调用!Y$5:Y$404,MATCH($K74,其他调用!$X$5:$X$404,0),0)</f>
        <v>34016.332413656186</v>
      </c>
      <c r="V74" s="12">
        <f>MIN(INDEX(其他调用!$AI$5:$AI$364,MATCH($K74,其他调用!$AG$5:$AG$364,0),1)/INDEX(其他调用!AI$5:AI$364,MATCH($K74,其他调用!$AG$5:$AG$364,0),0),1)*INDEX(其他调用!Z$5:Z$404,MATCH($K74,其他调用!$X$5:$X$404,0),0)</f>
        <v>35158.184512844389</v>
      </c>
      <c r="W74" s="12">
        <f>MIN(INDEX(其他调用!$AI$5:$AI$364,MATCH($K74,其他调用!$AG$5:$AG$364,0),1)/INDEX(其他调用!AJ$5:AJ$364,MATCH($K74,其他调用!$AG$5:$AG$364,0),0),1)*INDEX(其他调用!AA$5:AA$404,MATCH($K74,其他调用!$X$5:$X$404,0),0)</f>
        <v>20286.055645558878</v>
      </c>
      <c r="X74" s="12">
        <f>MIN(INDEX(其他调用!$AI$5:$AI$364,MATCH($K74,其他调用!$AG$5:$AG$364,0),1)/INDEX(其他调用!AK$5:AK$364,MATCH($K74,其他调用!$AG$5:$AG$364,0),0),1)*INDEX(其他调用!AB$5:AB$404,MATCH($K74,其他调用!$X$5:$X$404,0),0)</f>
        <v>8483.9204299271005</v>
      </c>
      <c r="Y74" s="12">
        <f>MIN(INDEX(其他调用!$AI$5:$AI$364,MATCH($K74,其他调用!$AG$5:$AG$364,0),1)/INDEX(其他调用!AL$5:AL$364,MATCH($K74,其他调用!$AG$5:$AG$364,0),0),1)*INDEX(其他调用!AC$5:AC$404,MATCH($K74,其他调用!$X$5:$X$404,0),0)</f>
        <v>2723.3937573231783</v>
      </c>
      <c r="Z74" s="12">
        <f>求节点(节奏总纲!D$4:D$163,标准城池设计!AD$4:AD$163,$K74)*求节点(节奏总纲!D$4:D$163,攻城基础信息!$AE$5:$AE$164,$K74)</f>
        <v>421829.5698064203</v>
      </c>
      <c r="AA74" s="12">
        <f>INDEX(其他调用!$AA$5:$AA$404,MATCH($K74,其他调用!$X$5:$X$404,0))*MIN(INDEX(其他调用!AJ$5:AJ$364,MATCH($K74,其他调用!$AG$5:$AG$364,0),1)/INDEX(其他调用!$AJ$5:$AJ$364,MATCH($K74,其他调用!$AG$5:$AG$364,0),0),5)*求节点(节奏总纲!D$4:D$163,攻城基础信息!$AE$5:$AE$164,$K74)</f>
        <v>105427.30018212246</v>
      </c>
      <c r="AB74" s="12">
        <f>MIN(INDEX(其他调用!$AJ$5:$AJ$364,MATCH($K74,其他调用!$AG$5:$AG$364,0),1)/INDEX(其他调用!AH$5:AH$364,MATCH($K74,其他调用!$AG$5:$AG$364,0),0),1)*INDEX(其他调用!Y$5:Y$404,MATCH($K74,其他调用!$X$5:$X$404,0),0)</f>
        <v>34016.332413656186</v>
      </c>
      <c r="AC74" s="12">
        <f>MIN(INDEX(其他调用!$AJ$5:$AJ$364,MATCH($K74,其他调用!$AG$5:$AG$364,0),1)/INDEX(其他调用!AI$5:AI$364,MATCH($K74,其他调用!$AG$5:$AG$364,0),0),1)*INDEX(其他调用!Z$5:Z$404,MATCH($K74,其他调用!$X$5:$X$404,0),0)</f>
        <v>35158.184512844389</v>
      </c>
      <c r="AD74" s="12">
        <f>MIN(INDEX(其他调用!$AJ$5:$AJ$364,MATCH($K74,其他调用!$AG$5:$AG$364,0),1)/INDEX(其他调用!AJ$5:AJ$364,MATCH($K74,其他调用!$AG$5:$AG$364,0),0),1)*INDEX(其他调用!AA$5:AA$404,MATCH($K74,其他调用!$X$5:$X$404,0),0)</f>
        <v>36655.198212151285</v>
      </c>
      <c r="AE74" s="12">
        <f>MIN(INDEX(其他调用!$AJ$5:$AJ$364,MATCH($K74,其他调用!$AG$5:$AG$364,0),1)/INDEX(其他调用!AK$5:AK$364,MATCH($K74,其他调用!$AG$5:$AG$364,0),0),1)*INDEX(其他调用!AB$5:AB$404,MATCH($K74,其他调用!$X$5:$X$404,0),0)</f>
        <v>15329.731437623203</v>
      </c>
      <c r="AF74" s="12">
        <f>MIN(INDEX(其他调用!$AJ$5:$AJ$364,MATCH($K74,其他调用!$AG$5:$AG$364,0),1)/INDEX(其他调用!AL$5:AL$364,MATCH($K74,其他调用!$AG$5:$AG$364,0),0),1)*INDEX(其他调用!AC$5:AC$404,MATCH($K74,其他调用!$X$5:$X$404,0),0)</f>
        <v>4920.9437126961175</v>
      </c>
      <c r="AG74" s="12">
        <f>求节点(节奏总纲!D$4:D$163,标准城池设计!AE$4:AE$163,$K74)*求节点(节奏总纲!D$4:D$163,攻城基础信息!$AF$5:$AF$164,$K74)</f>
        <v>478247.29563335585</v>
      </c>
      <c r="AH74" s="12">
        <f>INDEX(其他调用!$AA$5:$AA$404,MATCH($K74,其他调用!$X$5:$X$404,0))*MIN(INDEX(其他调用!AK$5:AK$364,MATCH($K74,其他调用!$AG$5:$AG$364,0),1)/INDEX(其他调用!$AJ$5:$AJ$364,MATCH($K74,其他调用!$AG$5:$AG$364,0),0),5)*求节点(节奏总纲!D$4:D$163,攻城基础信息!$AF$5:$AF$164,$K74)</f>
        <v>267068.10724916373</v>
      </c>
      <c r="AI74" s="12">
        <f>MIN(INDEX(其他调用!$AK$5:$AK$364,MATCH($K74,其他调用!$AG$5:$AG$364,0),1)/INDEX(其他调用!AH$5:AH$364,MATCH($K74,其他调用!$AG$5:$AG$364,0),0),1)*INDEX(其他调用!Y$5:Y$404,MATCH($K74,其他调用!$X$5:$X$404,0),0)</f>
        <v>34016.332413656186</v>
      </c>
      <c r="AJ74" s="12">
        <f>MIN(INDEX(其他调用!$AK$5:$AK$364,MATCH($K74,其他调用!$AG$5:$AG$364,0),1)/INDEX(其他调用!AI$5:AI$364,MATCH($K74,其他调用!$AG$5:$AG$364,0),0),1)*INDEX(其他调用!Z$5:Z$404,MATCH($K74,其他调用!$X$5:$X$404,0),0)</f>
        <v>35158.184512844389</v>
      </c>
      <c r="AK74" s="12">
        <f>MIN(INDEX(其他调用!$AK$5:$AK$364,MATCH($K74,其他调用!$AG$5:$AG$364,0),1)/INDEX(其他调用!AJ$5:AJ$364,MATCH($K74,其他调用!$AG$5:$AG$364,0),0),1)*INDEX(其他调用!AA$5:AA$404,MATCH($K74,其他调用!$X$5:$X$404,0),0)</f>
        <v>36655.198212151285</v>
      </c>
      <c r="AL74" s="12">
        <f>MIN(INDEX(其他调用!$AK$5:$AK$364,MATCH($K74,其他调用!$AG$5:$AG$364,0),1)/INDEX(其他调用!AK$5:AK$364,MATCH($K74,其他调用!$AG$5:$AG$364,0),0),1)*INDEX(其他调用!AB$5:AB$404,MATCH($K74,其他调用!$X$5:$X$404,0),0)</f>
        <v>38833.227756108972</v>
      </c>
      <c r="AM74" s="12">
        <f>MIN(INDEX(其他调用!$AK$5:$AK$364,MATCH($K74,其他调用!$AG$5:$AG$364,0),1)/INDEX(其他调用!AL$5:AL$364,MATCH($K74,其他调用!$AG$5:$AG$364,0),0),1)*INDEX(其他调用!AC$5:AC$404,MATCH($K74,其他调用!$X$5:$X$404,0),0)</f>
        <v>12465.719229830767</v>
      </c>
      <c r="AN74" s="12">
        <f>求节点(节奏总纲!D$4:D$163,标准城池设计!AF$4:AF$163,$K74)*求节点(节奏总纲!D$4:D$163,攻城基础信息!$AG$5:$AG$164,$K74)</f>
        <v>485567.67370472231</v>
      </c>
      <c r="AO74" s="12">
        <f>INDEX(其他调用!$AA$5:$AA$404,MATCH($K74,其他调用!$X$5:$X$404,0))*MIN(INDEX(其他调用!AL$5:AL$364,MATCH($K74,其他调用!$AG$5:$AG$364,0),1)/INDEX(其他调用!$AJ$5:$AJ$364,MATCH($K74,其他调用!$AG$5:$AG$364,0),0),5)*求节点(节奏总纲!D$4:D$163,攻城基础信息!$AG$5:$AG$164,$K74)</f>
        <v>527136.50091061229</v>
      </c>
      <c r="AP74" s="12">
        <f>MIN(INDEX(其他调用!$AL$5:$AL$364,MATCH($K74,其他调用!$AG$5:$AG$364,0),1)/INDEX(其他调用!AH$5:AH$364,MATCH($K74,其他调用!$AG$5:$AG$364,0),0),1)*INDEX(其他调用!Y$5:Y$404,MATCH($K74,其他调用!$X$5:$X$404,0),0)</f>
        <v>34016.332413656186</v>
      </c>
      <c r="AQ74" s="12">
        <f>MIN(INDEX(其他调用!$AL$5:$AL$364,MATCH($K74,其他调用!$AG$5:$AG$364,0),1)/INDEX(其他调用!AI$5:AI$364,MATCH($K74,其他调用!$AG$5:$AG$364,0),0),1)*INDEX(其他调用!Z$5:Z$404,MATCH($K74,其他调用!$X$5:$X$404,0),0)</f>
        <v>35158.184512844389</v>
      </c>
      <c r="AR74" s="12">
        <f>MIN(INDEX(其他调用!$AL$5:$AL$364,MATCH($K74,其他调用!$AG$5:$AG$364,0),1)/INDEX(其他调用!AJ$5:AJ$364,MATCH($K74,其他调用!$AG$5:$AG$364,0),0),1)*INDEX(其他调用!AA$5:AA$404,MATCH($K74,其他调用!$X$5:$X$404,0),0)</f>
        <v>36655.198212151285</v>
      </c>
      <c r="AS74" s="12">
        <f>MIN(INDEX(其他调用!$AL$5:$AL$364,MATCH($K74,其他调用!$AG$5:$AG$364,0),1)/INDEX(其他调用!AK$5:AK$364,MATCH($K74,其他调用!$AG$5:$AG$364,0),0),1)*INDEX(其他调用!AB$5:AB$404,MATCH($K74,其他调用!$X$5:$X$404,0),0)</f>
        <v>38833.227756108972</v>
      </c>
      <c r="AT74" s="12">
        <f>MIN(INDEX(其他调用!$AL$5:$AL$364,MATCH($K74,其他调用!$AG$5:$AG$364,0),1)/INDEX(其他调用!AL$5:AL$364,MATCH($K74,其他调用!$AG$5:$AG$364,0),0),1)*INDEX(其他调用!AC$5:AC$404,MATCH($K74,其他调用!$X$5:$X$404,0),0)</f>
        <v>42663.870312995299</v>
      </c>
      <c r="AV74" s="14">
        <f>IF(OR(AV$5="大R",AV$5="超R"),MAX(INDEX(其他调用!$H$5:$L$404,MATCH($K74,其他调用!$B$5:$B$404,0),MATCH(AV$5,其他调用!$H$4:$L$4,0))*120*0.85,2),INDEX(其他调用!$H$5:$L$404,MATCH($K74,其他调用!$B$5:$B$404,0),MATCH(AV$5,其他调用!$H$4:$L$4,0))*120*0.85)</f>
        <v>50.724183406500011</v>
      </c>
      <c r="AW74" s="14">
        <f>IF(OR(AW$5="大R",AW$5="超R"),MAX(INDEX(其他调用!$H$5:$L$404,MATCH($K74,其他调用!$B$5:$B$404,0),MATCH(AW$5,其他调用!$H$4:$L$4,0))*120*0.85,2),INDEX(其他调用!$H$5:$L$404,MATCH($K74,其他调用!$B$5:$B$404,0),MATCH(AW$5,其他调用!$H$4:$L$4,0))*120*0.85)</f>
        <v>46.528414850183502</v>
      </c>
      <c r="AX74" s="14">
        <f>IF(OR(AX$5="大R",AX$5="超R"),MAX(INDEX(其他调用!$H$5:$L$404,MATCH($K74,其他调用!$B$5:$B$404,0),MATCH(AX$5,其他调用!$H$4:$L$4,0))*120*0.85,2),INDEX(其他调用!$H$5:$L$404,MATCH($K74,其他调用!$B$5:$B$404,0),MATCH(AX$5,其他调用!$H$4:$L$4,0))*120*0.85)</f>
        <v>3.8968943273164802</v>
      </c>
      <c r="AY74" s="14">
        <f>IF(OR(AY$5="大R",AY$5="超R"),MAX(INDEX(其他调用!$H$5:$L$404,MATCH($K74,其他调用!$B$5:$B$404,0),MATCH(AY$5,其他调用!$H$4:$L$4,0))*120*0.85,2),INDEX(其他调用!$H$5:$L$404,MATCH($K74,其他调用!$B$5:$B$404,0),MATCH(AY$5,其他调用!$H$4:$L$4,0))*120*0.85)</f>
        <v>2</v>
      </c>
      <c r="AZ74" s="14">
        <f>IF(OR(AZ$5="大R",AZ$5="超R"),MAX(INDEX(其他调用!$H$5:$L$404,MATCH($K74,其他调用!$B$5:$B$404,0),MATCH(AZ$5,其他调用!$H$4:$L$4,0))*120*0.85,2),INDEX(其他调用!$H$5:$L$404,MATCH($K74,其他调用!$B$5:$B$404,0),MATCH(AZ$5,其他调用!$H$4:$L$4,0))*120*0.85)</f>
        <v>2</v>
      </c>
      <c r="BA74" s="14">
        <f>INDEX(其他调用!$H$5:$L$404,MATCH($K74,其他调用!$B$5:$B$404,0),MATCH(BA$5,其他调用!$H$4:$L$4,0))*INDEX(其他调用!$M$5:$M$404,MATCH($K74,其他调用!$B$5:$B$404,0))*0.6</f>
        <v>29.135082274433774</v>
      </c>
      <c r="BB74" s="14">
        <f>INDEX(其他调用!$H$5:$L$404,MATCH($K74,其他调用!$B$5:$B$404,0),MATCH(BB$5,其他调用!$H$4:$L$4,0))*INDEX(其他调用!$M$5:$M$404,MATCH($K74,其他调用!$B$5:$B$404,0))*0.6</f>
        <v>26.725106324439498</v>
      </c>
      <c r="BC74" s="14">
        <f>INDEX(其他调用!$H$5:$L$404,MATCH($K74,其他调用!$B$5:$B$404,0),MATCH(BC$5,其他调用!$H$4:$L$4,0))*INDEX(其他调用!$M$5:$M$404,MATCH($K74,其他调用!$B$5:$B$404,0))*0.6</f>
        <v>2.2383078290539986</v>
      </c>
      <c r="BD74" s="14">
        <f>INDEX(其他调用!$H$5:$L$404,MATCH($K74,其他调用!$B$5:$B$404,0),MATCH(BD$5,其他调用!$H$4:$L$4,0))*INDEX(其他调用!$M$5:$M$404,MATCH($K74,其他调用!$B$5:$B$404,0))*0.6</f>
        <v>0.38272247451428582</v>
      </c>
      <c r="BE74" s="14">
        <f>INDEX(其他调用!$H$5:$L$404,MATCH($K74,其他调用!$B$5:$B$404,0),MATCH(BE$5,其他调用!$H$4:$L$4,0))*INDEX(其他调用!$M$5:$M$404,MATCH($K74,其他调用!$B$5:$B$404,0))*0.6</f>
        <v>0.10579408457142855</v>
      </c>
      <c r="BF74" s="14">
        <f>IF(OR(BF$5="大R",BF$5="超R"),0,INDEX(其他调用!$H$5:$L$404,MATCH($K74,其他调用!$B$5:$B$404,0),MATCH(BF$5,其他调用!$H$4:$L$4,0))*50*0.4)</f>
        <v>9.9459183150000037</v>
      </c>
      <c r="BG74" s="14">
        <f>IF(OR(BG$5="大R",BG$5="超R"),0,INDEX(其他调用!$H$5:$L$404,MATCH($K74,其他调用!$B$5:$B$404,0),MATCH(BG$5,其他调用!$H$4:$L$4,0))*50*0.4)</f>
        <v>9.1232185980751961</v>
      </c>
      <c r="BH74" s="14">
        <f>IF(OR(BH$5="大R",BH$5="超R"),0,INDEX(其他调用!$H$5:$L$404,MATCH($K74,其他调用!$B$5:$B$404,0),MATCH(BH$5,其他调用!$H$4:$L$4,0))*50*0.4)</f>
        <v>0.76409692692480013</v>
      </c>
      <c r="BI74" s="14">
        <f>IF(OR(BI$5="大R",BI$5="超R"),0,INDEX(其他调用!$H$5:$L$404,MATCH($K74,其他调用!$B$5:$B$404,0),MATCH(BI$5,其他调用!$H$4:$L$4,0))*50*0.4)</f>
        <v>0</v>
      </c>
      <c r="BJ74" s="14">
        <f>IF(OR(BJ$5="大R",BJ$5="超R"),0,INDEX(其他调用!$H$5:$L$404,MATCH($K74,其他调用!$B$5:$B$404,0),MATCH(BJ$5,其他调用!$H$4:$L$4,0))*50*0.4)</f>
        <v>0</v>
      </c>
      <c r="BL74" s="14">
        <f t="shared" si="208"/>
        <v>69</v>
      </c>
      <c r="BM74" s="14">
        <f t="shared" si="115"/>
        <v>96</v>
      </c>
      <c r="BN74" s="14">
        <f>('疲劳值&amp;地图信息'!$S$10*'疲劳值&amp;地图信息'!$R$10+'疲劳值&amp;地图信息'!$S$11*'疲劳值&amp;地图信息'!$R$11+'疲劳值&amp;地图信息'!$S$12*'疲劳值&amp;地图信息'!$R$12+(BM74-'疲劳值&amp;地图信息'!$S$12-'疲劳值&amp;地图信息'!$S$11-'疲劳值&amp;地图信息'!$S$10)*'疲劳值&amp;地图信息'!$R$13)/BM74</f>
        <v>51.371477246638619</v>
      </c>
      <c r="BO74" s="14">
        <f>INDEX(其他调用!$M$5:$M$404,MATCH(BL74,其他调用!$B$5:$B$404,0))*0.6</f>
        <v>58.587012987012983</v>
      </c>
      <c r="BP74" s="14">
        <f>IF(BO74&gt;SUM('疲劳值&amp;地图信息'!$S$10:$S$12),('疲劳值&amp;地图信息'!$S$10*'疲劳值&amp;地图信息'!$R$10+'疲劳值&amp;地图信息'!$S$11*'疲劳值&amp;地图信息'!$R$11+'疲劳值&amp;地图信息'!$S$12*'疲劳值&amp;地图信息'!$R$12+(BO74-'疲劳值&amp;地图信息'!$S$12-'疲劳值&amp;地图信息'!$S$11-'疲劳值&amp;地图信息'!$S$10)*'疲劳值&amp;地图信息'!$R$13)/BO74,('疲劳值&amp;地图信息'!$S$10*'疲劳值&amp;地图信息'!$R$10+'疲劳值&amp;地图信息'!$S$11*'疲劳值&amp;地图信息'!$R$11+'疲劳值&amp;地图信息'!$S$12*'疲劳值&amp;地图信息'!$R$12+(BO74-'疲劳值&amp;地图信息'!$S$12-'疲劳值&amp;地图信息'!$S$11-'疲劳值&amp;地图信息'!$S$10)*'疲劳值&amp;地图信息'!$R$13)/BO74)</f>
        <v>43.694217508203124</v>
      </c>
      <c r="BQ74" s="14">
        <f t="shared" si="209"/>
        <v>20</v>
      </c>
      <c r="BR74" s="14">
        <f>('疲劳值&amp;地图信息'!$S$10*'疲劳值&amp;地图信息'!$R$10+($BQ74-'疲劳值&amp;地图信息'!$S$10)*'疲劳值&amp;地图信息'!$R$11)/$BQ74</f>
        <v>32.067203015074995</v>
      </c>
      <c r="CF74" s="14">
        <v>69</v>
      </c>
      <c r="CG74" s="51">
        <f t="shared" si="116"/>
        <v>7821</v>
      </c>
      <c r="CH74" s="51">
        <f t="shared" si="117"/>
        <v>804</v>
      </c>
      <c r="CI74" s="51">
        <f>INT(SUMPRODUCT($N74:$R74,$BA74:$BE74)/SUM($BA74:$BE74)/10000*$BX$7*$BZ$34/'疲劳值&amp;地图信息'!$R$10*$BY$53)</f>
        <v>2862</v>
      </c>
      <c r="CJ74" s="50">
        <f t="shared" si="118"/>
        <v>0.68085662052755291</v>
      </c>
      <c r="CK74" s="50">
        <f t="shared" si="119"/>
        <v>6.9992165056150427E-2</v>
      </c>
      <c r="CL74" s="50">
        <f t="shared" si="120"/>
        <v>0.24915121441629667</v>
      </c>
      <c r="CM74" s="14">
        <f t="shared" si="121"/>
        <v>8173</v>
      </c>
      <c r="CN74" s="14">
        <f t="shared" si="122"/>
        <v>1201</v>
      </c>
      <c r="CO74" s="14">
        <f>INT(SUMPRODUCT($U74:$Y74,$BA74:$BE74)/SUM($BA74:$BE74)/10000*$BX$7*$BZ$34/'疲劳值&amp;地图信息'!$R$10*$BY$54)</f>
        <v>5142</v>
      </c>
      <c r="CP74" s="50">
        <f t="shared" si="123"/>
        <v>0.56303389363461009</v>
      </c>
      <c r="CQ74" s="50">
        <f t="shared" si="124"/>
        <v>8.2736290989253239E-2</v>
      </c>
      <c r="CR74" s="50">
        <f t="shared" si="125"/>
        <v>0.35422981537613668</v>
      </c>
      <c r="CS74" s="14">
        <f t="shared" si="126"/>
        <v>8688</v>
      </c>
      <c r="CT74" s="14">
        <f t="shared" si="127"/>
        <v>2171</v>
      </c>
      <c r="CU74" s="14">
        <f>INT(SUMPRODUCT($AB74:$AF74,$BA74:$BE74)/SUM($BA74:$BE74)/10000*$BX$7*$BZ$34/'疲劳值&amp;地图信息'!$R$10*$BY$55)</f>
        <v>6993</v>
      </c>
      <c r="CV74" s="50">
        <f t="shared" si="128"/>
        <v>0.48666816043020389</v>
      </c>
      <c r="CW74" s="50">
        <f t="shared" si="129"/>
        <v>0.12161102397490477</v>
      </c>
      <c r="CX74" s="50">
        <f t="shared" si="130"/>
        <v>0.3917208155948913</v>
      </c>
      <c r="CY74" s="14">
        <f t="shared" si="131"/>
        <v>9850</v>
      </c>
      <c r="CZ74" s="14">
        <f t="shared" si="132"/>
        <v>5500</v>
      </c>
      <c r="DA74" s="14">
        <f>INT(SUMPRODUCT($AI74:$AM74,$BA74:$BE74)/SUM($BA74:$BE74)/10000*$BX$7*$BZ$34/'疲劳值&amp;地图信息'!$R$10*$BY$56)</f>
        <v>10541</v>
      </c>
      <c r="DB74" s="50">
        <f t="shared" si="133"/>
        <v>0.38044107991193848</v>
      </c>
      <c r="DC74" s="50">
        <f t="shared" si="134"/>
        <v>0.21242902939245298</v>
      </c>
      <c r="DD74" s="50">
        <f t="shared" si="135"/>
        <v>0.40712989069560851</v>
      </c>
      <c r="DE74" s="14">
        <f t="shared" si="136"/>
        <v>10001</v>
      </c>
      <c r="DF74" s="14">
        <f t="shared" si="137"/>
        <v>10857</v>
      </c>
      <c r="DG74" s="14">
        <f>INT(SUMPRODUCT($AP74:$AT74,$BA74:$BE74)/SUM($BA74:$BE74)/10000*$BX$7*$BZ$34/'疲劳值&amp;地图信息'!$R$10*$BY$57)</f>
        <v>14077</v>
      </c>
      <c r="DH74" s="50">
        <f t="shared" si="138"/>
        <v>0.28627450980392155</v>
      </c>
      <c r="DI74" s="50">
        <f t="shared" si="139"/>
        <v>0.31077715757835983</v>
      </c>
      <c r="DJ74" s="50">
        <f t="shared" si="140"/>
        <v>0.40294833261771862</v>
      </c>
      <c r="DL74" s="14">
        <f t="shared" si="106"/>
        <v>11487</v>
      </c>
      <c r="DM74" s="14">
        <f t="shared" si="107"/>
        <v>14516</v>
      </c>
      <c r="DN74" s="14">
        <f t="shared" si="108"/>
        <v>17852</v>
      </c>
      <c r="DO74" s="14">
        <f t="shared" si="109"/>
        <v>25891</v>
      </c>
      <c r="DP74" s="14">
        <f t="shared" si="110"/>
        <v>34935</v>
      </c>
      <c r="DQ74" s="14">
        <f t="shared" si="111"/>
        <v>776179</v>
      </c>
      <c r="DT74" s="14">
        <f t="shared" si="105"/>
        <v>235575</v>
      </c>
      <c r="DU74" s="50">
        <f t="shared" si="112"/>
        <v>0.23283821956720704</v>
      </c>
      <c r="DW74" s="14">
        <f t="shared" si="141"/>
        <v>1011754</v>
      </c>
      <c r="EB74" s="14">
        <v>69</v>
      </c>
      <c r="EC74" s="51">
        <f t="shared" si="142"/>
        <v>13035</v>
      </c>
      <c r="ED74" s="51">
        <f t="shared" si="143"/>
        <v>1341</v>
      </c>
      <c r="EE74" s="51">
        <f>INT(SUMPRODUCT($N74:$R74,$BF74:$BJ74)/SUM($BF74:$BJ74)/10000*$BX$7*$BZ$46/'疲劳值&amp;地图信息'!$R$10*$BY$53)</f>
        <v>384</v>
      </c>
      <c r="EF74" s="50">
        <f t="shared" si="144"/>
        <v>0.88313008130081305</v>
      </c>
      <c r="EG74" s="50">
        <f t="shared" si="145"/>
        <v>9.0853658536585363E-2</v>
      </c>
      <c r="EH74" s="50">
        <f t="shared" si="146"/>
        <v>2.6016260162601626E-2</v>
      </c>
      <c r="EI74" s="51">
        <f t="shared" si="147"/>
        <v>13622</v>
      </c>
      <c r="EJ74" s="51">
        <f t="shared" si="148"/>
        <v>2003</v>
      </c>
      <c r="EK74" s="14">
        <f>INT(SUMPRODUCT($U74:$Y74,$BF74:$BJ74)/SUM($BF74:$BJ74)/10000*$BX$7*$BZ$46/'疲劳值&amp;地图信息'!$R$10*$BY$54)</f>
        <v>690</v>
      </c>
      <c r="EL74" s="50">
        <f t="shared" si="149"/>
        <v>0.8349371743794054</v>
      </c>
      <c r="EM74" s="50">
        <f t="shared" si="150"/>
        <v>0.12277045663499847</v>
      </c>
      <c r="EN74" s="50">
        <f t="shared" si="151"/>
        <v>4.2292368985596074E-2</v>
      </c>
      <c r="EO74" s="51">
        <f t="shared" si="152"/>
        <v>14481</v>
      </c>
      <c r="EP74" s="51">
        <f t="shared" si="153"/>
        <v>3619</v>
      </c>
      <c r="EQ74" s="14">
        <f>INT(SUMPRODUCT($AB74:$AF74,$BF74:$BJ74)/SUM($BF74:$BJ74)/10000*$BX$7*$BZ$46/'疲劳值&amp;地图信息'!$R$10*$BY$55)</f>
        <v>937</v>
      </c>
      <c r="ER74" s="50">
        <f t="shared" si="154"/>
        <v>0.76067657719178439</v>
      </c>
      <c r="ES74" s="50">
        <f t="shared" si="155"/>
        <v>0.19010348269160057</v>
      </c>
      <c r="ET74" s="50">
        <f t="shared" si="156"/>
        <v>4.9219940116615013E-2</v>
      </c>
      <c r="EU74" s="51">
        <f t="shared" si="157"/>
        <v>16417</v>
      </c>
      <c r="EV74" s="51">
        <f t="shared" si="158"/>
        <v>9168</v>
      </c>
      <c r="EW74" s="14">
        <f>INT(SUMPRODUCT($AI74:$AM74,$BF74:$BJ74)/SUM($BF74:$BJ74)/10000*$BX$7*$BZ$46/'疲劳值&amp;地图信息'!$R$10*$BY$56)</f>
        <v>1406</v>
      </c>
      <c r="EX74" s="50">
        <f t="shared" si="159"/>
        <v>0.60823978363158093</v>
      </c>
      <c r="EY74" s="50">
        <f t="shared" si="160"/>
        <v>0.33966877848171612</v>
      </c>
      <c r="EZ74" s="50">
        <f t="shared" si="161"/>
        <v>5.2091437886702972E-2</v>
      </c>
      <c r="FA74" s="51">
        <f t="shared" si="162"/>
        <v>16669</v>
      </c>
      <c r="FB74" s="51">
        <f t="shared" si="163"/>
        <v>18096</v>
      </c>
      <c r="FC74" s="14">
        <f>INT(SUMPRODUCT($AP74:$AT74,$BF74:$BJ74)/SUM($BF74:$BJ74)/10000*$BX$7*$BZ$46/'疲劳值&amp;地图信息'!$R$10*$BY$57)</f>
        <v>1874</v>
      </c>
      <c r="FD74" s="50">
        <f t="shared" si="164"/>
        <v>0.45495237315428916</v>
      </c>
      <c r="FE74" s="50">
        <f t="shared" si="165"/>
        <v>0.49389994268402521</v>
      </c>
      <c r="FF74" s="50">
        <f t="shared" si="166"/>
        <v>5.1147684161685636E-2</v>
      </c>
      <c r="FH74" s="14">
        <f t="shared" si="167"/>
        <v>14760</v>
      </c>
      <c r="FI74" s="14">
        <f t="shared" si="168"/>
        <v>16315</v>
      </c>
      <c r="FJ74" s="14">
        <f t="shared" si="169"/>
        <v>19037</v>
      </c>
      <c r="FK74" s="14">
        <f t="shared" si="170"/>
        <v>26991</v>
      </c>
      <c r="FL74" s="14">
        <f t="shared" si="171"/>
        <v>36639</v>
      </c>
      <c r="FM74" s="14">
        <f t="shared" si="172"/>
        <v>1709245</v>
      </c>
      <c r="FP74" s="14">
        <f t="shared" si="173"/>
        <v>334150</v>
      </c>
      <c r="FQ74" s="50">
        <f t="shared" si="113"/>
        <v>0.16352687561631502</v>
      </c>
      <c r="FS74" s="14">
        <f t="shared" si="174"/>
        <v>2043395</v>
      </c>
      <c r="FX74" s="14">
        <v>69</v>
      </c>
      <c r="FY74" s="51">
        <f t="shared" si="175"/>
        <v>18249</v>
      </c>
      <c r="FZ74" s="51">
        <f t="shared" si="176"/>
        <v>1341</v>
      </c>
      <c r="GA74" s="51">
        <f>INT(SUMPRODUCT($N74:$R74,$BF74:$BJ74)/SUM($BF74:$BJ74)/10000*$BX$7*$BZ$46/'疲劳值&amp;地图信息'!$R$10*$BY$53)</f>
        <v>384</v>
      </c>
      <c r="GB74" s="50">
        <f t="shared" si="177"/>
        <v>0.91363772904776208</v>
      </c>
      <c r="GC74" s="50">
        <f t="shared" si="178"/>
        <v>6.7137278462000599E-2</v>
      </c>
      <c r="GD74" s="50">
        <f t="shared" si="179"/>
        <v>1.9224992490237309E-2</v>
      </c>
      <c r="GE74" s="51">
        <f t="shared" si="180"/>
        <v>19070</v>
      </c>
      <c r="GF74" s="51">
        <f t="shared" si="181"/>
        <v>2003</v>
      </c>
      <c r="GG74" s="14">
        <f>INT(SUMPRODUCT($U74:$Y74,$BF74:$BJ74)/SUM($BF74:$BJ74)/10000*$BX$7*$BZ$46/'疲劳值&amp;地图信息'!$R$10*$BY$54)</f>
        <v>690</v>
      </c>
      <c r="GH74" s="50">
        <f t="shared" si="182"/>
        <v>0.87625786885999168</v>
      </c>
      <c r="GI74" s="50">
        <f t="shared" si="183"/>
        <v>9.203694343610716E-2</v>
      </c>
      <c r="GJ74" s="50">
        <f t="shared" si="184"/>
        <v>3.1705187703901114E-2</v>
      </c>
      <c r="GK74" s="51">
        <f t="shared" si="185"/>
        <v>20273</v>
      </c>
      <c r="GL74" s="51">
        <f t="shared" si="186"/>
        <v>3619</v>
      </c>
      <c r="GM74" s="14">
        <f>INT(SUMPRODUCT($AB74:$AF74,$BF74:$BJ74)/SUM($BF74:$BJ74)/10000*$BX$7*$BZ$46/'疲劳值&amp;地图信息'!$R$10*$BY$55)</f>
        <v>937</v>
      </c>
      <c r="GN74" s="50">
        <f t="shared" si="187"/>
        <v>0.81650489347134403</v>
      </c>
      <c r="GO74" s="50">
        <f t="shared" si="188"/>
        <v>0.14575697772765717</v>
      </c>
      <c r="GP74" s="50">
        <f t="shared" si="189"/>
        <v>3.7738128800998832E-2</v>
      </c>
      <c r="GQ74" s="51">
        <f t="shared" si="190"/>
        <v>22985</v>
      </c>
      <c r="GR74" s="51">
        <f t="shared" si="191"/>
        <v>9168</v>
      </c>
      <c r="GS74" s="14">
        <f>INT(SUMPRODUCT($AI74:$AM74,$BF74:$BJ74)/SUM($BF74:$BJ74)/10000*$BX$7*$BZ$46/'疲劳值&amp;地图信息'!$R$10*$BY$56)</f>
        <v>1406</v>
      </c>
      <c r="GT74" s="50">
        <f t="shared" si="192"/>
        <v>0.68491313805536513</v>
      </c>
      <c r="GU74" s="50">
        <f t="shared" si="193"/>
        <v>0.27319050031288178</v>
      </c>
      <c r="GV74" s="50">
        <f t="shared" si="194"/>
        <v>4.1896361631753032E-2</v>
      </c>
      <c r="GW74" s="51">
        <f t="shared" si="195"/>
        <v>23337</v>
      </c>
      <c r="GX74" s="51">
        <f t="shared" si="196"/>
        <v>18096</v>
      </c>
      <c r="GY74" s="14">
        <f>INT(SUMPRODUCT($AP74:$AT74,$BF74:$BJ74)/SUM($BF74:$BJ74)/10000*$BX$7*$BZ$46/'疲劳值&amp;地图信息'!$R$10*$BY$57)</f>
        <v>1874</v>
      </c>
      <c r="GZ74" s="50">
        <f t="shared" si="197"/>
        <v>0.53887362320179188</v>
      </c>
      <c r="HA74" s="50">
        <f t="shared" si="198"/>
        <v>0.41785392661694415</v>
      </c>
      <c r="HB74" s="50">
        <f t="shared" si="199"/>
        <v>4.3272450181264001E-2</v>
      </c>
      <c r="HD74" s="14">
        <f t="shared" si="200"/>
        <v>19974</v>
      </c>
      <c r="HE74" s="14">
        <f t="shared" si="201"/>
        <v>21763</v>
      </c>
      <c r="HF74" s="14">
        <f t="shared" si="202"/>
        <v>24829</v>
      </c>
      <c r="HG74" s="14">
        <f t="shared" si="203"/>
        <v>33559</v>
      </c>
      <c r="HH74" s="14">
        <f t="shared" si="204"/>
        <v>43307</v>
      </c>
      <c r="HI74" s="14">
        <f t="shared" si="205"/>
        <v>2276250</v>
      </c>
      <c r="HL74" s="14">
        <f t="shared" si="206"/>
        <v>430050</v>
      </c>
      <c r="HM74" s="50">
        <f t="shared" si="114"/>
        <v>0.15890699478993459</v>
      </c>
      <c r="HO74" s="14">
        <f t="shared" si="207"/>
        <v>2706300</v>
      </c>
    </row>
    <row r="75" spans="11:223" x14ac:dyDescent="0.2">
      <c r="K75" s="14">
        <v>70</v>
      </c>
      <c r="L75" s="12">
        <f>求节点(节奏总纲!D$4:D$163,标准城池设计!AB$4:AB$163,$K75)*求节点(节奏总纲!D$4:D$163,攻城基础信息!$AC$5:$AC$164,$K75)</f>
        <v>382964.40881999739</v>
      </c>
      <c r="M75" s="12">
        <f>INDEX(其他调用!$AA$5:$AA$404,MATCH(K75,其他调用!$X$5:$X$404,0))*MIN(INDEX(其他调用!$AH$5:$AH$364,MATCH('征服点（新）'!K75,其他调用!$AG$5:$AG$364,0),1)/INDEX(其他调用!$AJ$5:$AJ$364,MATCH(K75,其他调用!$AG$5:$AG$364,0),0),5)*求节点(节奏总纲!D$4:D$163,攻城基础信息!$AC$5:$AC$164,$K75)</f>
        <v>39120.993416923346</v>
      </c>
      <c r="N75" s="12">
        <f>MIN(INDEX(其他调用!$AH$5:$AH$364,MATCH($K75,其他调用!$AG$5:$AG$364,0),1)/INDEX(其他调用!AH$5:AH$364,MATCH($K75,其他调用!$AG$5:$AG$364,0),0),1)*INDEX(其他调用!Y$5:Y$404,MATCH($K75,其他调用!$X$5:$X$404,0),0)</f>
        <v>34099.261351889465</v>
      </c>
      <c r="O75" s="12">
        <f>MIN(INDEX(其他调用!$AH$5:$AH$364,MATCH($K75,其他调用!$AG$5:$AG$364,0),1)/INDEX(其他调用!AI$5:AI$364,MATCH($K75,其他调用!$AG$5:$AG$364,0),0),1)*INDEX(其他调用!Z$5:Z$404,MATCH($K75,其他调用!$X$5:$X$404,0),0)</f>
        <v>23538.810885107308</v>
      </c>
      <c r="P75" s="12">
        <f>MIN(INDEX(其他调用!$AH$5:$AH$364,MATCH($K75,其他调用!$AG$5:$AG$364,0),1)/INDEX(其他调用!AJ$5:AJ$364,MATCH($K75,其他调用!$AG$5:$AG$364,0),0),1)*INDEX(其他调用!AA$5:AA$404,MATCH($K75,其他调用!$X$5:$X$404,0),0)</f>
        <v>13569.730275377717</v>
      </c>
      <c r="Q75" s="12">
        <f>MIN(INDEX(其他调用!$AH$5:$AH$364,MATCH($K75,其他调用!$AG$5:$AG$364,0),1)/INDEX(其他调用!AK$5:AK$364,MATCH($K75,其他调用!$AG$5:$AG$364,0),0),1)*INDEX(其他调用!AB$5:AB$404,MATCH($K75,其他调用!$X$5:$X$404,0),0)</f>
        <v>5709.830323776675</v>
      </c>
      <c r="R75" s="12">
        <f>MIN(INDEX(其他调用!$AH$5:$AH$364,MATCH($K75,其他调用!$AG$5:$AG$364,0),1)/INDEX(其他调用!AL$5:AL$364,MATCH($K75,其他调用!$AG$5:$AG$364,0),0),1)*INDEX(其他调用!AC$5:AC$404,MATCH($K75,其他调用!$X$5:$X$404,0),0)</f>
        <v>1822.8664642842248</v>
      </c>
      <c r="S75" s="12">
        <f>求节点(节奏总纲!D$4:D$163,标准城池设计!AC$4:AC$163,$K75)*求节点(节奏总纲!D$4:D$163,攻城基础信息!$AD$5:$AD$164,$K75)</f>
        <v>400509.19523614639</v>
      </c>
      <c r="T75" s="12">
        <f>INDEX(其他调用!$AA$5:$AA$404,MATCH($K75,其他调用!$X$5:$X$404,0))*MIN(INDEX(其他调用!AI$5:AI$364,MATCH($K75,其他调用!$AG$5:$AG$364,0),1)/INDEX(其他调用!$AJ$5:$AJ$364,MATCH($K75,其他调用!$AG$5:$AG$364,0),0),5)*求节点(节奏总纲!D$4:D$163,攻城基础信息!$AD$5:$AD$164,$K75)</f>
        <v>58566.112085188252</v>
      </c>
      <c r="U75" s="12">
        <f>MIN(INDEX(其他调用!$AI$5:$AI$364,MATCH($K75,其他调用!$AG$5:$AG$364,0),1)/INDEX(其他调用!AH$5:AH$364,MATCH($K75,其他调用!$AG$5:$AG$364,0),0),1)*INDEX(其他调用!Y$5:Y$404,MATCH($K75,其他调用!$X$5:$X$404,0),0)</f>
        <v>34099.261351889465</v>
      </c>
      <c r="V75" s="12">
        <f>MIN(INDEX(其他调用!$AI$5:$AI$364,MATCH($K75,其他调用!$AG$5:$AG$364,0),1)/INDEX(其他调用!AI$5:AI$364,MATCH($K75,其他调用!$AG$5:$AG$364,0),0),1)*INDEX(其他调用!Z$5:Z$404,MATCH($K75,其他调用!$X$5:$X$404,0),0)</f>
        <v>35238.794218678653</v>
      </c>
      <c r="W75" s="12">
        <f>MIN(INDEX(其他调用!$AI$5:$AI$364,MATCH($K75,其他调用!$AG$5:$AG$364,0),1)/INDEX(其他调用!AJ$5:AJ$364,MATCH($K75,其他调用!$AG$5:$AG$364,0),0),1)*INDEX(其他调用!AA$5:AA$404,MATCH($K75,其他调用!$X$5:$X$404,0),0)</f>
        <v>20314.574729836826</v>
      </c>
      <c r="X75" s="12">
        <f>MIN(INDEX(其他调用!$AI$5:$AI$364,MATCH($K75,其他调用!$AG$5:$AG$364,0),1)/INDEX(其他调用!AK$5:AK$364,MATCH($K75,其他调用!$AG$5:$AG$364,0),0),1)*INDEX(其他调用!AB$5:AB$404,MATCH($K75,其他调用!$X$5:$X$404,0),0)</f>
        <v>8547.9057028508978</v>
      </c>
      <c r="Y75" s="12">
        <f>MIN(INDEX(其他调用!$AI$5:$AI$364,MATCH($K75,其他调用!$AG$5:$AG$364,0),1)/INDEX(其他调用!AL$5:AL$364,MATCH($K75,其他调用!$AG$5:$AG$364,0),0),1)*INDEX(其他调用!AC$5:AC$404,MATCH($K75,其他调用!$X$5:$X$404,0),0)</f>
        <v>2728.9235865216606</v>
      </c>
      <c r="Z75" s="12">
        <f>求节点(节奏总纲!D$4:D$163,标准城池设计!AD$4:AD$163,$K75)*求节点(节奏总纲!D$4:D$163,攻城基础信息!$AE$5:$AE$164,$K75)</f>
        <v>425710.00369400322</v>
      </c>
      <c r="AA75" s="12">
        <f>INDEX(其他调用!$AA$5:$AA$404,MATCH($K75,其他调用!$X$5:$X$404,0))*MIN(INDEX(其他调用!AJ$5:AJ$364,MATCH($K75,其他调用!$AG$5:$AG$364,0),1)/INDEX(其他调用!$AJ$5:$AJ$364,MATCH($K75,其他调用!$AG$5:$AG$364,0),0),5)*求节点(节奏总纲!D$4:D$163,攻城基础信息!$AE$5:$AE$164,$K75)</f>
        <v>105907.06291418607</v>
      </c>
      <c r="AB75" s="12">
        <f>MIN(INDEX(其他调用!$AJ$5:$AJ$364,MATCH($K75,其他调用!$AG$5:$AG$364,0),1)/INDEX(其他调用!AH$5:AH$364,MATCH($K75,其他调用!$AG$5:$AG$364,0),0),1)*INDEX(其他调用!Y$5:Y$404,MATCH($K75,其他调用!$X$5:$X$404,0),0)</f>
        <v>34099.261351889465</v>
      </c>
      <c r="AC75" s="12">
        <f>MIN(INDEX(其他调用!$AJ$5:$AJ$364,MATCH($K75,其他调用!$AG$5:$AG$364,0),1)/INDEX(其他调用!AI$5:AI$364,MATCH($K75,其他调用!$AG$5:$AG$364,0),0),1)*INDEX(其他调用!Z$5:Z$404,MATCH($K75,其他调用!$X$5:$X$404,0),0)</f>
        <v>35238.794218678653</v>
      </c>
      <c r="AD75" s="12">
        <f>MIN(INDEX(其他调用!$AJ$5:$AJ$364,MATCH($K75,其他调用!$AG$5:$AG$364,0),1)/INDEX(其他调用!AJ$5:AJ$364,MATCH($K75,其他调用!$AG$5:$AG$364,0),0),1)*INDEX(其他调用!AA$5:AA$404,MATCH($K75,其他调用!$X$5:$X$404,0),0)</f>
        <v>36735.52618378232</v>
      </c>
      <c r="AE75" s="12">
        <f>MIN(INDEX(其他调用!$AJ$5:$AJ$364,MATCH($K75,其他调用!$AG$5:$AG$364,0),1)/INDEX(其他调用!AK$5:AK$364,MATCH($K75,其他调用!$AG$5:$AG$364,0),0),1)*INDEX(其他调用!AB$5:AB$404,MATCH($K75,其他调用!$X$5:$X$404,0),0)</f>
        <v>15457.464305289135</v>
      </c>
      <c r="AF75" s="12">
        <f>MIN(INDEX(其他调用!$AJ$5:$AJ$364,MATCH($K75,其他调用!$AG$5:$AG$364,0),1)/INDEX(其他调用!AL$5:AL$364,MATCH($K75,其他调用!$AG$5:$AG$364,0),0),1)*INDEX(其他调用!AC$5:AC$404,MATCH($K75,其他调用!$X$5:$X$404,0),0)</f>
        <v>4934.803962150816</v>
      </c>
      <c r="AG75" s="12">
        <f>求节点(节奏总纲!D$4:D$163,标准城池设计!AE$4:AE$163,$K75)*求节点(节奏总纲!D$4:D$163,攻城基础信息!$AF$5:$AF$164,$K75)</f>
        <v>482793.61171879439</v>
      </c>
      <c r="AH75" s="12">
        <f>INDEX(其他调用!$AA$5:$AA$404,MATCH($K75,其他调用!$X$5:$X$404,0))*MIN(INDEX(其他调用!AK$5:AK$364,MATCH($K75,其他调用!$AG$5:$AG$364,0),1)/INDEX(其他调用!$AJ$5:$AJ$364,MATCH($K75,其他调用!$AG$5:$AG$364,0),0),5)*求节点(节奏总纲!D$4:D$163,攻城基础信息!$AF$5:$AF$164,$K75)</f>
        <v>266655.3021323061</v>
      </c>
      <c r="AI75" s="12">
        <f>MIN(INDEX(其他调用!$AK$5:$AK$364,MATCH($K75,其他调用!$AG$5:$AG$364,0),1)/INDEX(其他调用!AH$5:AH$364,MATCH($K75,其他调用!$AG$5:$AG$364,0),0),1)*INDEX(其他调用!Y$5:Y$404,MATCH($K75,其他调用!$X$5:$X$404,0),0)</f>
        <v>34099.261351889465</v>
      </c>
      <c r="AJ75" s="12">
        <f>MIN(INDEX(其他调用!$AK$5:$AK$364,MATCH($K75,其他调用!$AG$5:$AG$364,0),1)/INDEX(其他调用!AI$5:AI$364,MATCH($K75,其他调用!$AG$5:$AG$364,0),0),1)*INDEX(其他调用!Z$5:Z$404,MATCH($K75,其他调用!$X$5:$X$404,0),0)</f>
        <v>35238.794218678653</v>
      </c>
      <c r="AK75" s="12">
        <f>MIN(INDEX(其他调用!$AK$5:$AK$364,MATCH($K75,其他调用!$AG$5:$AG$364,0),1)/INDEX(其他调用!AJ$5:AJ$364,MATCH($K75,其他调用!$AG$5:$AG$364,0),0),1)*INDEX(其他调用!AA$5:AA$404,MATCH($K75,其他调用!$X$5:$X$404,0),0)</f>
        <v>36735.52618378232</v>
      </c>
      <c r="AL75" s="12">
        <f>MIN(INDEX(其他调用!$AK$5:$AK$364,MATCH($K75,其他调用!$AG$5:$AG$364,0),1)/INDEX(其他调用!AK$5:AK$364,MATCH($K75,其他调用!$AG$5:$AG$364,0),0),1)*INDEX(其他调用!AB$5:AB$404,MATCH($K75,其他调用!$X$5:$X$404,0),0)</f>
        <v>38919.168383189113</v>
      </c>
      <c r="AM75" s="12">
        <f>MIN(INDEX(其他调用!$AK$5:$AK$364,MATCH($K75,其他调用!$AG$5:$AG$364,0),1)/INDEX(其他调用!AL$5:AL$364,MATCH($K75,其他调用!$AG$5:$AG$364,0),0),1)*INDEX(其他调用!AC$5:AC$404,MATCH($K75,其他调用!$X$5:$X$404,0),0)</f>
        <v>12424.965864243277</v>
      </c>
      <c r="AN75" s="12">
        <f>求节点(节奏总纲!D$4:D$163,标准城池设计!AF$4:AF$163,$K75)*求节点(节奏总纲!D$4:D$163,攻城基础信息!$AG$5:$AG$164,$K75)</f>
        <v>489473.32464841625</v>
      </c>
      <c r="AO75" s="12">
        <f>INDEX(其他调用!$AA$5:$AA$404,MATCH($K75,其他调用!$X$5:$X$404,0))*MIN(INDEX(其他调用!AL$5:AL$364,MATCH($K75,其他调用!$AG$5:$AG$364,0),1)/INDEX(其他调用!$AJ$5:$AJ$364,MATCH($K75,其他调用!$AG$5:$AG$364,0),0),5)*求节点(节奏总纲!D$4:D$163,攻城基础信息!$AG$5:$AG$164,$K75)</f>
        <v>529535.31457093032</v>
      </c>
      <c r="AP75" s="12">
        <f>MIN(INDEX(其他调用!$AL$5:$AL$364,MATCH($K75,其他调用!$AG$5:$AG$364,0),1)/INDEX(其他调用!AH$5:AH$364,MATCH($K75,其他调用!$AG$5:$AG$364,0),0),1)*INDEX(其他调用!Y$5:Y$404,MATCH($K75,其他调用!$X$5:$X$404,0),0)</f>
        <v>34099.261351889465</v>
      </c>
      <c r="AQ75" s="12">
        <f>MIN(INDEX(其他调用!$AL$5:$AL$364,MATCH($K75,其他调用!$AG$5:$AG$364,0),1)/INDEX(其他调用!AI$5:AI$364,MATCH($K75,其他调用!$AG$5:$AG$364,0),0),1)*INDEX(其他调用!Z$5:Z$404,MATCH($K75,其他调用!$X$5:$X$404,0),0)</f>
        <v>35238.794218678653</v>
      </c>
      <c r="AR75" s="12">
        <f>MIN(INDEX(其他调用!$AL$5:$AL$364,MATCH($K75,其他调用!$AG$5:$AG$364,0),1)/INDEX(其他调用!AJ$5:AJ$364,MATCH($K75,其他调用!$AG$5:$AG$364,0),0),1)*INDEX(其他调用!AA$5:AA$404,MATCH($K75,其他调用!$X$5:$X$404,0),0)</f>
        <v>36735.52618378232</v>
      </c>
      <c r="AS75" s="12">
        <f>MIN(INDEX(其他调用!$AL$5:$AL$364,MATCH($K75,其他调用!$AG$5:$AG$364,0),1)/INDEX(其他调用!AK$5:AK$364,MATCH($K75,其他调用!$AG$5:$AG$364,0),0),1)*INDEX(其他调用!AB$5:AB$404,MATCH($K75,其他调用!$X$5:$X$404,0),0)</f>
        <v>38919.168383189113</v>
      </c>
      <c r="AT75" s="12">
        <f>MIN(INDEX(其他调用!$AL$5:$AL$364,MATCH($K75,其他调用!$AG$5:$AG$364,0),1)/INDEX(其他调用!AL$5:AL$364,MATCH($K75,其他调用!$AG$5:$AG$364,0),0),1)*INDEX(其他调用!AC$5:AC$404,MATCH($K75,其他调用!$X$5:$X$404,0),0)</f>
        <v>42747.441650741894</v>
      </c>
      <c r="AV75" s="14">
        <f>IF(OR(AV$5="大R",AV$5="超R"),MAX(INDEX(其他调用!$H$5:$L$404,MATCH($K75,其他调用!$B$5:$B$404,0),MATCH(AV$5,其他调用!$H$4:$L$4,0))*120*0.85,2),INDEX(其他调用!$H$5:$L$404,MATCH($K75,其他调用!$B$5:$B$404,0),MATCH(AV$5,其他调用!$H$4:$L$4,0))*120*0.85)</f>
        <v>50.638355685000008</v>
      </c>
      <c r="AW75" s="14">
        <f>IF(OR(AW$5="大R",AW$5="超R"),MAX(INDEX(其他调用!$H$5:$L$404,MATCH($K75,其他调用!$B$5:$B$404,0),MATCH(AW$5,其他调用!$H$4:$L$4,0))*120*0.85,2),INDEX(其他调用!$H$5:$L$404,MATCH($K75,其他调用!$B$5:$B$404,0),MATCH(AW$5,其他调用!$H$4:$L$4,0))*120*0.85)</f>
        <v>46.609792429252778</v>
      </c>
      <c r="AX75" s="14">
        <f>IF(OR(AX$5="大R",AX$5="超R"),MAX(INDEX(其他调用!$H$5:$L$404,MATCH($K75,其他调用!$B$5:$B$404,0),MATCH(AX$5,其他调用!$H$4:$L$4,0))*120*0.85,2),INDEX(其他调用!$H$5:$L$404,MATCH($K75,其他调用!$B$5:$B$404,0),MATCH(AX$5,其他调用!$H$4:$L$4,0))*120*0.85)</f>
        <v>3.8988340457471997</v>
      </c>
      <c r="AY75" s="14">
        <f>IF(OR(AY$5="大R",AY$5="超R"),MAX(INDEX(其他调用!$H$5:$L$404,MATCH($K75,其他调用!$B$5:$B$404,0),MATCH(AY$5,其他调用!$H$4:$L$4,0))*120*0.85,2),INDEX(其他调用!$H$5:$L$404,MATCH($K75,其他调用!$B$5:$B$404,0),MATCH(AY$5,其他调用!$H$4:$L$4,0))*120*0.85)</f>
        <v>2</v>
      </c>
      <c r="AZ75" s="14">
        <f>IF(OR(AZ$5="大R",AZ$5="超R"),MAX(INDEX(其他调用!$H$5:$L$404,MATCH($K75,其他调用!$B$5:$B$404,0),MATCH(AZ$5,其他调用!$H$4:$L$4,0))*120*0.85,2),INDEX(其他调用!$H$5:$L$404,MATCH($K75,其他调用!$B$5:$B$404,0),MATCH(AZ$5,其他调用!$H$4:$L$4,0))*120*0.85)</f>
        <v>2</v>
      </c>
      <c r="BA75" s="14">
        <f>INDEX(其他调用!$H$5:$L$404,MATCH($K75,其他调用!$B$5:$B$404,0),MATCH(BA$5,其他调用!$H$4:$L$4,0))*INDEX(其他调用!$M$5:$M$404,MATCH($K75,其他调用!$B$5:$B$404,0))*0.6</f>
        <v>29.150258941051952</v>
      </c>
      <c r="BB75" s="14">
        <f>INDEX(其他调用!$H$5:$L$404,MATCH($K75,其他调用!$B$5:$B$404,0),MATCH(BB$5,其他调用!$H$4:$L$4,0))*INDEX(其他调用!$M$5:$M$404,MATCH($K75,其他调用!$B$5:$B$404,0))*0.6</f>
        <v>26.831193472260971</v>
      </c>
      <c r="BC75" s="14">
        <f>INDEX(其他调用!$H$5:$L$404,MATCH($K75,其他调用!$B$5:$B$404,0),MATCH(BC$5,其他调用!$H$4:$L$4,0))*INDEX(其他调用!$M$5:$M$404,MATCH($K75,其他调用!$B$5:$B$404,0))*0.6</f>
        <v>2.2443861074143414</v>
      </c>
      <c r="BD75" s="14">
        <f>INDEX(其他调用!$H$5:$L$404,MATCH($K75,其他调用!$B$5:$B$404,0),MATCH(BD$5,其他调用!$H$4:$L$4,0))*INDEX(其他调用!$M$5:$M$404,MATCH($K75,其他调用!$B$5:$B$404,0))*0.6</f>
        <v>0.38450868342857153</v>
      </c>
      <c r="BE75" s="14">
        <f>INDEX(其他调用!$H$5:$L$404,MATCH($K75,其他调用!$B$5:$B$404,0),MATCH(BE$5,其他调用!$H$4:$L$4,0))*INDEX(其他调用!$M$5:$M$404,MATCH($K75,其他调用!$B$5:$B$404,0))*0.6</f>
        <v>0.1065359127272727</v>
      </c>
      <c r="BF75" s="14">
        <f>IF(OR(BF$5="大R",BF$5="超R"),0,INDEX(其他调用!$H$5:$L$404,MATCH($K75,其他调用!$B$5:$B$404,0),MATCH(BF$5,其他调用!$H$4:$L$4,0))*50*0.4)</f>
        <v>9.9290893500000035</v>
      </c>
      <c r="BG75" s="14">
        <f>IF(OR(BG$5="大R",BG$5="超R"),0,INDEX(其他调用!$H$5:$L$404,MATCH($K75,其他调用!$B$5:$B$404,0),MATCH(BG$5,其他调用!$H$4:$L$4,0))*50*0.4)</f>
        <v>9.1391749861279976</v>
      </c>
      <c r="BH75" s="14">
        <f>IF(OR(BH$5="大R",BH$5="超R"),0,INDEX(其他调用!$H$5:$L$404,MATCH($K75,其他调用!$B$5:$B$404,0),MATCH(BH$5,其他调用!$H$4:$L$4,0))*50*0.4)</f>
        <v>0.7644772638720001</v>
      </c>
      <c r="BI75" s="14">
        <f>IF(OR(BI$5="大R",BI$5="超R"),0,INDEX(其他调用!$H$5:$L$404,MATCH($K75,其他调用!$B$5:$B$404,0),MATCH(BI$5,其他调用!$H$4:$L$4,0))*50*0.4)</f>
        <v>0</v>
      </c>
      <c r="BJ75" s="14">
        <f>IF(OR(BJ$5="大R",BJ$5="超R"),0,INDEX(其他调用!$H$5:$L$404,MATCH($K75,其他调用!$B$5:$B$404,0),MATCH(BJ$5,其他调用!$H$4:$L$4,0))*50*0.4)</f>
        <v>0</v>
      </c>
      <c r="BL75" s="14">
        <f t="shared" si="208"/>
        <v>70</v>
      </c>
      <c r="BM75" s="14">
        <f t="shared" si="115"/>
        <v>96</v>
      </c>
      <c r="BN75" s="14">
        <f>('疲劳值&amp;地图信息'!$S$10*'疲劳值&amp;地图信息'!$R$10+'疲劳值&amp;地图信息'!$S$11*'疲劳值&amp;地图信息'!$R$11+'疲劳值&amp;地图信息'!$S$12*'疲劳值&amp;地图信息'!$R$12+(BM75-'疲劳值&amp;地图信息'!$S$12-'疲劳值&amp;地图信息'!$S$11-'疲劳值&amp;地图信息'!$S$10)*'疲劳值&amp;地图信息'!$R$13)/BM75</f>
        <v>51.371477246638619</v>
      </c>
      <c r="BO75" s="14">
        <f>INDEX(其他调用!$M$5:$M$404,MATCH(BL75,其他调用!$B$5:$B$404,0))*0.6</f>
        <v>58.71688311688311</v>
      </c>
      <c r="BP75" s="14">
        <f>IF(BO75&gt;SUM('疲劳值&amp;地图信息'!$S$10:$S$12),('疲劳值&amp;地图信息'!$S$10*'疲劳值&amp;地图信息'!$R$10+'疲劳值&amp;地图信息'!$S$11*'疲劳值&amp;地图信息'!$R$11+'疲劳值&amp;地图信息'!$S$12*'疲劳值&amp;地图信息'!$R$12+(BO75-'疲劳值&amp;地图信息'!$S$12-'疲劳值&amp;地图信息'!$S$11-'疲劳值&amp;地图信息'!$S$10)*'疲劳值&amp;地图信息'!$R$13)/BO75,('疲劳值&amp;地图信息'!$S$10*'疲劳值&amp;地图信息'!$R$10+'疲劳值&amp;地图信息'!$S$11*'疲劳值&amp;地图信息'!$R$11+'疲劳值&amp;地图信息'!$S$12*'疲劳值&amp;地图信息'!$R$12+(BO75-'疲劳值&amp;地图信息'!$S$12-'疲劳值&amp;地图信息'!$S$11-'疲劳值&amp;地图信息'!$S$10)*'疲劳值&amp;地图信息'!$R$13)/BO75)</f>
        <v>43.737788893189759</v>
      </c>
      <c r="BQ75" s="14">
        <f t="shared" si="209"/>
        <v>20</v>
      </c>
      <c r="BR75" s="14">
        <f>('疲劳值&amp;地图信息'!$S$10*'疲劳值&amp;地图信息'!$R$10+($BQ75-'疲劳值&amp;地图信息'!$S$10)*'疲劳值&amp;地图信息'!$R$11)/$BQ75</f>
        <v>32.067203015074995</v>
      </c>
      <c r="CF75" s="14">
        <v>70</v>
      </c>
      <c r="CG75" s="51">
        <f t="shared" si="116"/>
        <v>7880</v>
      </c>
      <c r="CH75" s="51">
        <f t="shared" si="117"/>
        <v>804</v>
      </c>
      <c r="CI75" s="51">
        <f>INT(SUMPRODUCT($N75:$R75,$BA75:$BE75)/SUM($BA75:$BE75)/10000*$BX$7*$BZ$34/'疲劳值&amp;地图信息'!$R$10*$BY$53)</f>
        <v>2865</v>
      </c>
      <c r="CJ75" s="50">
        <f t="shared" si="118"/>
        <v>0.6823101567235258</v>
      </c>
      <c r="CK75" s="50">
        <f t="shared" si="119"/>
        <v>6.9616417005801373E-2</v>
      </c>
      <c r="CL75" s="50">
        <f t="shared" si="120"/>
        <v>0.24807342627067278</v>
      </c>
      <c r="CM75" s="14">
        <f t="shared" si="121"/>
        <v>8241</v>
      </c>
      <c r="CN75" s="14">
        <f t="shared" si="122"/>
        <v>1205</v>
      </c>
      <c r="CO75" s="14">
        <f>INT(SUMPRODUCT($U75:$Y75,$BA75:$BE75)/SUM($BA75:$BE75)/10000*$BX$7*$BZ$34/'疲劳值&amp;地图信息'!$R$10*$BY$54)</f>
        <v>5154</v>
      </c>
      <c r="CP75" s="50">
        <f t="shared" si="123"/>
        <v>0.56445205479452054</v>
      </c>
      <c r="CQ75" s="50">
        <f t="shared" si="124"/>
        <v>8.253424657534246E-2</v>
      </c>
      <c r="CR75" s="50">
        <f t="shared" si="125"/>
        <v>0.35301369863013699</v>
      </c>
      <c r="CS75" s="14">
        <f t="shared" si="126"/>
        <v>8759</v>
      </c>
      <c r="CT75" s="14">
        <f t="shared" si="127"/>
        <v>2179</v>
      </c>
      <c r="CU75" s="14">
        <f>INT(SUMPRODUCT($AB75:$AF75,$BA75:$BE75)/SUM($BA75:$BE75)/10000*$BX$7*$BZ$34/'疲劳值&amp;地图信息'!$R$10*$BY$55)</f>
        <v>7010</v>
      </c>
      <c r="CV75" s="50">
        <f t="shared" si="128"/>
        <v>0.48802094940940494</v>
      </c>
      <c r="CW75" s="50">
        <f t="shared" si="129"/>
        <v>0.12140628482282148</v>
      </c>
      <c r="CX75" s="50">
        <f t="shared" si="130"/>
        <v>0.39057276576777356</v>
      </c>
      <c r="CY75" s="14">
        <f t="shared" si="131"/>
        <v>9934</v>
      </c>
      <c r="CZ75" s="14">
        <f t="shared" si="132"/>
        <v>5487</v>
      </c>
      <c r="DA75" s="14">
        <f>INT(SUMPRODUCT($AI75:$AM75,$BA75:$BE75)/SUM($BA75:$BE75)/10000*$BX$7*$BZ$34/'疲劳值&amp;地图信息'!$R$10*$BY$56)</f>
        <v>10566</v>
      </c>
      <c r="DB75" s="50">
        <f t="shared" si="133"/>
        <v>0.38226805710547579</v>
      </c>
      <c r="DC75" s="50">
        <f t="shared" si="134"/>
        <v>0.21114403355523917</v>
      </c>
      <c r="DD75" s="50">
        <f t="shared" si="135"/>
        <v>0.40658790933928501</v>
      </c>
      <c r="DE75" s="14">
        <f t="shared" si="136"/>
        <v>10071</v>
      </c>
      <c r="DF75" s="14">
        <f t="shared" si="137"/>
        <v>10896</v>
      </c>
      <c r="DG75" s="14">
        <f>INT(SUMPRODUCT($AP75:$AT75,$BA75:$BE75)/SUM($BA75:$BE75)/10000*$BX$7*$BZ$34/'疲劳值&amp;地图信息'!$R$10*$BY$57)</f>
        <v>14111</v>
      </c>
      <c r="DH75" s="50">
        <f t="shared" si="138"/>
        <v>0.28710302753862821</v>
      </c>
      <c r="DI75" s="50">
        <f t="shared" si="139"/>
        <v>0.31062204230571866</v>
      </c>
      <c r="DJ75" s="50">
        <f t="shared" si="140"/>
        <v>0.40227493015565313</v>
      </c>
      <c r="DL75" s="14">
        <f t="shared" si="106"/>
        <v>11549</v>
      </c>
      <c r="DM75" s="14">
        <f t="shared" si="107"/>
        <v>14600</v>
      </c>
      <c r="DN75" s="14">
        <f t="shared" si="108"/>
        <v>17948</v>
      </c>
      <c r="DO75" s="14">
        <f t="shared" si="109"/>
        <v>25987</v>
      </c>
      <c r="DP75" s="14">
        <f t="shared" si="110"/>
        <v>35078</v>
      </c>
      <c r="DQ75" s="14">
        <f t="shared" si="111"/>
        <v>782403</v>
      </c>
      <c r="DT75" s="14">
        <f t="shared" ref="DT75:DT138" si="210">SUM($BX$11:$BX$27)/2+SUM($BY$11:$BY$27)*(60-($BX$34+$BY$34)/60/2)/2</f>
        <v>235575</v>
      </c>
      <c r="DU75" s="50">
        <f t="shared" si="112"/>
        <v>0.23141462782103345</v>
      </c>
      <c r="DW75" s="14">
        <f t="shared" si="141"/>
        <v>1017978</v>
      </c>
      <c r="EB75" s="14">
        <v>70</v>
      </c>
      <c r="EC75" s="51">
        <f t="shared" si="142"/>
        <v>13133</v>
      </c>
      <c r="ED75" s="51">
        <f t="shared" si="143"/>
        <v>1341</v>
      </c>
      <c r="EE75" s="51">
        <f>INT(SUMPRODUCT($N75:$R75,$BF75:$BJ75)/SUM($BF75:$BJ75)/10000*$BX$7*$BZ$46/'疲劳值&amp;地图信息'!$R$10*$BY$53)</f>
        <v>384</v>
      </c>
      <c r="EF75" s="50">
        <f t="shared" si="144"/>
        <v>0.88390092879256965</v>
      </c>
      <c r="EG75" s="50">
        <f t="shared" si="145"/>
        <v>9.0254408399515415E-2</v>
      </c>
      <c r="EH75" s="50">
        <f t="shared" si="146"/>
        <v>2.5844662807914927E-2</v>
      </c>
      <c r="EI75" s="51">
        <f t="shared" si="147"/>
        <v>13735</v>
      </c>
      <c r="EJ75" s="51">
        <f t="shared" si="148"/>
        <v>2008</v>
      </c>
      <c r="EK75" s="14">
        <f>INT(SUMPRODUCT($U75:$Y75,$BF75:$BJ75)/SUM($BF75:$BJ75)/10000*$BX$7*$BZ$46/'疲劳值&amp;地图信息'!$R$10*$BY$54)</f>
        <v>691</v>
      </c>
      <c r="EL75" s="50">
        <f t="shared" si="149"/>
        <v>0.83576731167092611</v>
      </c>
      <c r="EM75" s="50">
        <f t="shared" si="150"/>
        <v>0.12218571254715833</v>
      </c>
      <c r="EN75" s="50">
        <f t="shared" si="151"/>
        <v>4.204697578191554E-2</v>
      </c>
      <c r="EO75" s="51">
        <f t="shared" si="152"/>
        <v>14599</v>
      </c>
      <c r="EP75" s="51">
        <f t="shared" si="153"/>
        <v>3632</v>
      </c>
      <c r="EQ75" s="14">
        <f>INT(SUMPRODUCT($AB75:$AF75,$BF75:$BJ75)/SUM($BF75:$BJ75)/10000*$BX$7*$BZ$46/'疲劳值&amp;地图信息'!$R$10*$BY$55)</f>
        <v>939</v>
      </c>
      <c r="ER75" s="50">
        <f t="shared" si="154"/>
        <v>0.7615545122587376</v>
      </c>
      <c r="ES75" s="50">
        <f t="shared" si="155"/>
        <v>0.18946270213875849</v>
      </c>
      <c r="ET75" s="50">
        <f t="shared" si="156"/>
        <v>4.8982785602503916E-2</v>
      </c>
      <c r="EU75" s="51">
        <f t="shared" si="157"/>
        <v>16557</v>
      </c>
      <c r="EV75" s="51">
        <f t="shared" si="158"/>
        <v>9145</v>
      </c>
      <c r="EW75" s="14">
        <f>INT(SUMPRODUCT($AI75:$AM75,$BF75:$BJ75)/SUM($BF75:$BJ75)/10000*$BX$7*$BZ$46/'疲劳值&amp;地图信息'!$R$10*$BY$56)</f>
        <v>1409</v>
      </c>
      <c r="EX75" s="50">
        <f t="shared" si="159"/>
        <v>0.6107115193095054</v>
      </c>
      <c r="EY75" s="50">
        <f t="shared" si="160"/>
        <v>0.33731695621703367</v>
      </c>
      <c r="EZ75" s="50">
        <f t="shared" si="161"/>
        <v>5.1971524473460956E-2</v>
      </c>
      <c r="FA75" s="51">
        <f t="shared" si="162"/>
        <v>16786</v>
      </c>
      <c r="FB75" s="51">
        <f t="shared" si="163"/>
        <v>18160</v>
      </c>
      <c r="FC75" s="14">
        <f>INT(SUMPRODUCT($AP75:$AT75,$BF75:$BJ75)/SUM($BF75:$BJ75)/10000*$BX$7*$BZ$46/'疲劳值&amp;地图信息'!$R$10*$BY$57)</f>
        <v>1879</v>
      </c>
      <c r="FD75" s="50">
        <f t="shared" si="164"/>
        <v>0.45583163611676852</v>
      </c>
      <c r="FE75" s="50">
        <f t="shared" si="165"/>
        <v>0.49314324507807195</v>
      </c>
      <c r="FF75" s="50">
        <f t="shared" si="166"/>
        <v>5.1025118805159538E-2</v>
      </c>
      <c r="FH75" s="14">
        <f t="shared" si="167"/>
        <v>14858</v>
      </c>
      <c r="FI75" s="14">
        <f t="shared" si="168"/>
        <v>16434</v>
      </c>
      <c r="FJ75" s="14">
        <f t="shared" si="169"/>
        <v>19170</v>
      </c>
      <c r="FK75" s="14">
        <f t="shared" si="170"/>
        <v>27111</v>
      </c>
      <c r="FL75" s="14">
        <f t="shared" si="171"/>
        <v>36825</v>
      </c>
      <c r="FM75" s="14">
        <f t="shared" si="172"/>
        <v>1720982</v>
      </c>
      <c r="FP75" s="14">
        <f t="shared" si="173"/>
        <v>334150</v>
      </c>
      <c r="FQ75" s="50">
        <f t="shared" si="113"/>
        <v>0.16259296239852233</v>
      </c>
      <c r="FS75" s="14">
        <f t="shared" si="174"/>
        <v>2055132</v>
      </c>
      <c r="FX75" s="14">
        <v>70</v>
      </c>
      <c r="FY75" s="51">
        <f t="shared" si="175"/>
        <v>18387</v>
      </c>
      <c r="FZ75" s="51">
        <f t="shared" si="176"/>
        <v>1341</v>
      </c>
      <c r="GA75" s="51">
        <f>INT(SUMPRODUCT($N75:$R75,$BF75:$BJ75)/SUM($BF75:$BJ75)/10000*$BX$7*$BZ$46/'疲劳值&amp;地图信息'!$R$10*$BY$53)</f>
        <v>384</v>
      </c>
      <c r="GB75" s="50">
        <f t="shared" si="177"/>
        <v>0.91423031026252988</v>
      </c>
      <c r="GC75" s="50">
        <f t="shared" si="178"/>
        <v>6.667661097852029E-2</v>
      </c>
      <c r="GD75" s="50">
        <f t="shared" si="179"/>
        <v>1.9093078758949882E-2</v>
      </c>
      <c r="GE75" s="51">
        <f t="shared" si="180"/>
        <v>19229</v>
      </c>
      <c r="GF75" s="51">
        <f t="shared" si="181"/>
        <v>2008</v>
      </c>
      <c r="GG75" s="14">
        <f>INT(SUMPRODUCT($U75:$Y75,$BF75:$BJ75)/SUM($BF75:$BJ75)/10000*$BX$7*$BZ$46/'疲劳值&amp;地图信息'!$R$10*$BY$54)</f>
        <v>691</v>
      </c>
      <c r="GH75" s="50">
        <f t="shared" si="182"/>
        <v>0.87691535935789855</v>
      </c>
      <c r="GI75" s="50">
        <f t="shared" si="183"/>
        <v>9.1572418825246263E-2</v>
      </c>
      <c r="GJ75" s="50">
        <f t="shared" si="184"/>
        <v>3.151222181685516E-2</v>
      </c>
      <c r="GK75" s="51">
        <f t="shared" si="185"/>
        <v>20439</v>
      </c>
      <c r="GL75" s="51">
        <f t="shared" si="186"/>
        <v>3632</v>
      </c>
      <c r="GM75" s="14">
        <f>INT(SUMPRODUCT($AB75:$AF75,$BF75:$BJ75)/SUM($BF75:$BJ75)/10000*$BX$7*$BZ$46/'疲劳值&amp;地图信息'!$R$10*$BY$55)</f>
        <v>939</v>
      </c>
      <c r="GN75" s="50">
        <f t="shared" si="187"/>
        <v>0.8172331067572971</v>
      </c>
      <c r="GO75" s="50">
        <f t="shared" si="188"/>
        <v>0.14522191123550579</v>
      </c>
      <c r="GP75" s="50">
        <f t="shared" si="189"/>
        <v>3.7544982007197122E-2</v>
      </c>
      <c r="GQ75" s="51">
        <f t="shared" si="190"/>
        <v>23180</v>
      </c>
      <c r="GR75" s="51">
        <f t="shared" si="191"/>
        <v>9145</v>
      </c>
      <c r="GS75" s="14">
        <f>INT(SUMPRODUCT($AI75:$AM75,$BF75:$BJ75)/SUM($BF75:$BJ75)/10000*$BX$7*$BZ$46/'疲劳值&amp;地图信息'!$R$10*$BY$56)</f>
        <v>1409</v>
      </c>
      <c r="GT75" s="50">
        <f t="shared" si="192"/>
        <v>0.68714057034445963</v>
      </c>
      <c r="GU75" s="50">
        <f t="shared" si="193"/>
        <v>0.27109148040552561</v>
      </c>
      <c r="GV75" s="50">
        <f t="shared" si="194"/>
        <v>4.176794925001482E-2</v>
      </c>
      <c r="GW75" s="51">
        <f t="shared" si="195"/>
        <v>23501</v>
      </c>
      <c r="GX75" s="51">
        <f t="shared" si="196"/>
        <v>18160</v>
      </c>
      <c r="GY75" s="14">
        <f>INT(SUMPRODUCT($AP75:$AT75,$BF75:$BJ75)/SUM($BF75:$BJ75)/10000*$BX$7*$BZ$46/'疲劳值&amp;地图信息'!$R$10*$BY$57)</f>
        <v>1879</v>
      </c>
      <c r="GZ75" s="50">
        <f t="shared" si="197"/>
        <v>0.53975654570509879</v>
      </c>
      <c r="HA75" s="50">
        <f t="shared" si="198"/>
        <v>0.4170877354157097</v>
      </c>
      <c r="HB75" s="50">
        <f t="shared" si="199"/>
        <v>4.3155718879191549E-2</v>
      </c>
      <c r="HD75" s="14">
        <f t="shared" si="200"/>
        <v>20112</v>
      </c>
      <c r="HE75" s="14">
        <f t="shared" si="201"/>
        <v>21928</v>
      </c>
      <c r="HF75" s="14">
        <f t="shared" si="202"/>
        <v>25010</v>
      </c>
      <c r="HG75" s="14">
        <f t="shared" si="203"/>
        <v>33734</v>
      </c>
      <c r="HH75" s="14">
        <f t="shared" si="204"/>
        <v>43540</v>
      </c>
      <c r="HI75" s="14">
        <f t="shared" si="205"/>
        <v>2292555</v>
      </c>
      <c r="HL75" s="14">
        <f t="shared" si="206"/>
        <v>430050</v>
      </c>
      <c r="HM75" s="50">
        <f t="shared" si="114"/>
        <v>0.15795534056537763</v>
      </c>
      <c r="HO75" s="14">
        <f t="shared" si="207"/>
        <v>2722605</v>
      </c>
    </row>
    <row r="76" spans="11:223" x14ac:dyDescent="0.2">
      <c r="K76" s="14">
        <v>71</v>
      </c>
      <c r="L76" s="12">
        <f>求节点(节奏总纲!D$4:D$163,标准城池设计!AB$4:AB$163,$K76)*求节点(节奏总纲!D$4:D$163,攻城基础信息!$AC$5:$AC$164,$K76)</f>
        <v>386229.82301780576</v>
      </c>
      <c r="M76" s="12">
        <f>INDEX(其他调用!$AA$5:$AA$404,MATCH(K76,其他调用!$X$5:$X$404,0))*MIN(INDEX(其他调用!$AH$5:$AH$364,MATCH('征服点（新）'!K76,其他调用!$AG$5:$AG$364,0),1)/INDEX(其他调用!$AJ$5:$AJ$364,MATCH(K76,其他调用!$AG$5:$AG$364,0),0),5)*求节点(节奏总纲!D$4:D$163,攻城基础信息!$AC$5:$AC$164,$K76)</f>
        <v>39182.172595042044</v>
      </c>
      <c r="N76" s="12">
        <f>MIN(INDEX(其他调用!$AH$5:$AH$364,MATCH($K76,其他调用!$AG$5:$AG$364,0),1)/INDEX(其他调用!AH$5:AH$364,MATCH($K76,其他调用!$AG$5:$AG$364,0),0),1)*INDEX(其他调用!Y$5:Y$404,MATCH($K76,其他调用!$X$5:$X$404,0),0)</f>
        <v>34182.190290122759</v>
      </c>
      <c r="O76" s="12">
        <f>MIN(INDEX(其他调用!$AH$5:$AH$364,MATCH($K76,其他调用!$AG$5:$AG$364,0),1)/INDEX(其他调用!AI$5:AI$364,MATCH($K76,其他调用!$AG$5:$AG$364,0),0),1)*INDEX(其他调用!Z$5:Z$404,MATCH($K76,其他调用!$X$5:$X$404,0),0)</f>
        <v>23540.213866091937</v>
      </c>
      <c r="P76" s="12">
        <f>MIN(INDEX(其他调用!$AH$5:$AH$364,MATCH($K76,其他调用!$AG$5:$AG$364,0),1)/INDEX(其他调用!AJ$5:AJ$364,MATCH($K76,其他调用!$AG$5:$AG$364,0),0),1)*INDEX(其他调用!AA$5:AA$404,MATCH($K76,其他调用!$X$5:$X$404,0),0)</f>
        <v>13559.107474858021</v>
      </c>
      <c r="Q76" s="12">
        <f>MIN(INDEX(其他调用!$AH$5:$AH$364,MATCH($K76,其他调用!$AG$5:$AG$364,0),1)/INDEX(其他调用!AK$5:AK$364,MATCH($K76,其他调用!$AG$5:$AG$364,0),0),1)*INDEX(其他调用!AB$5:AB$404,MATCH($K76,其他调用!$X$5:$X$404,0),0)</f>
        <v>5735.3292861083364</v>
      </c>
      <c r="R76" s="12">
        <f>MIN(INDEX(其他调用!$AH$5:$AH$364,MATCH($K76,其他调用!$AG$5:$AG$364,0),1)/INDEX(其他调用!AL$5:AL$364,MATCH($K76,其他调用!$AG$5:$AG$364,0),0),1)*INDEX(其他调用!AC$5:AC$404,MATCH($K76,其他调用!$X$5:$X$404,0),0)</f>
        <v>1822.4937525383393</v>
      </c>
      <c r="S76" s="12">
        <f>求节点(节奏总纲!D$4:D$163,标准城池设计!AC$4:AC$163,$K76)*求节点(节奏总纲!D$4:D$163,攻城基础信息!$AD$5:$AD$164,$K76)</f>
        <v>404225.50791927893</v>
      </c>
      <c r="T76" s="12">
        <f>INDEX(其他调用!$AA$5:$AA$404,MATCH($K76,其他调用!$X$5:$X$404,0))*MIN(INDEX(其他调用!AI$5:AI$364,MATCH($K76,其他调用!$AG$5:$AG$364,0),1)/INDEX(其他调用!$AJ$5:$AJ$364,MATCH($K76,其他调用!$AG$5:$AG$364,0),0),5)*求节点(节奏总纲!D$4:D$163,攻城基础信息!$AD$5:$AD$164,$K76)</f>
        <v>58788.377556657208</v>
      </c>
      <c r="U76" s="12">
        <f>MIN(INDEX(其他调用!$AI$5:$AI$364,MATCH($K76,其他调用!$AG$5:$AG$364,0),1)/INDEX(其他调用!AH$5:AH$364,MATCH($K76,其他调用!$AG$5:$AG$364,0),0),1)*INDEX(其他调用!Y$5:Y$404,MATCH($K76,其他调用!$X$5:$X$404,0),0)</f>
        <v>34182.190290122759</v>
      </c>
      <c r="V76" s="12">
        <f>MIN(INDEX(其他调用!$AI$5:$AI$364,MATCH($K76,其他调用!$AG$5:$AG$364,0),1)/INDEX(其他调用!AI$5:AI$364,MATCH($K76,其他调用!$AG$5:$AG$364,0),0),1)*INDEX(其他调用!Z$5:Z$404,MATCH($K76,其他调用!$X$5:$X$404,0),0)</f>
        <v>35319.40392451291</v>
      </c>
      <c r="W76" s="12">
        <f>MIN(INDEX(其他调用!$AI$5:$AI$364,MATCH($K76,其他调用!$AG$5:$AG$364,0),1)/INDEX(其他调用!AJ$5:AJ$364,MATCH($K76,其他调用!$AG$5:$AG$364,0),0),1)*INDEX(其他调用!AA$5:AA$404,MATCH($K76,其他调用!$X$5:$X$404,0),0)</f>
        <v>20343.893071006238</v>
      </c>
      <c r="X76" s="12">
        <f>MIN(INDEX(其他调用!$AI$5:$AI$364,MATCH($K76,其他调用!$AG$5:$AG$364,0),1)/INDEX(其他调用!AK$5:AK$364,MATCH($K76,其他调用!$AG$5:$AG$364,0),0),1)*INDEX(其他调用!AB$5:AB$404,MATCH($K76,其他调用!$X$5:$X$404,0),0)</f>
        <v>8605.2069385798786</v>
      </c>
      <c r="Y76" s="12">
        <f>MIN(INDEX(其他调用!$AI$5:$AI$364,MATCH($K76,其他调用!$AG$5:$AG$364,0),1)/INDEX(其他调用!AL$5:AL$364,MATCH($K76,其他调用!$AG$5:$AG$364,0),0),1)*INDEX(其他调用!AC$5:AC$404,MATCH($K76,其他调用!$X$5:$X$404,0),0)</f>
        <v>2734.4438483850208</v>
      </c>
      <c r="Z76" s="12">
        <f>求节点(节奏总纲!D$4:D$163,标准城池设计!AD$4:AD$163,$K76)*求节点(节奏总纲!D$4:D$163,攻城基础信息!$AE$5:$AE$164,$K76)</f>
        <v>429603.99991840561</v>
      </c>
      <c r="AA76" s="12">
        <f>INDEX(其他调用!$AA$5:$AA$404,MATCH($K76,其他调用!$X$5:$X$404,0))*MIN(INDEX(其他调用!AJ$5:AJ$364,MATCH($K76,其他调用!$AG$5:$AG$364,0),1)/INDEX(其他调用!$AJ$5:$AJ$364,MATCH($K76,其他调用!$AG$5:$AG$364,0),0),5)*求节点(节奏总纲!D$4:D$163,攻城基础信息!$AE$5:$AE$164,$K76)</f>
        <v>106387.91339519247</v>
      </c>
      <c r="AB76" s="12">
        <f>MIN(INDEX(其他调用!$AJ$5:$AJ$364,MATCH($K76,其他调用!$AG$5:$AG$364,0),1)/INDEX(其他调用!AH$5:AH$364,MATCH($K76,其他调用!$AG$5:$AG$364,0),0),1)*INDEX(其他调用!Y$5:Y$404,MATCH($K76,其他调用!$X$5:$X$404,0),0)</f>
        <v>34182.190290122759</v>
      </c>
      <c r="AC76" s="12">
        <f>MIN(INDEX(其他调用!$AJ$5:$AJ$364,MATCH($K76,其他调用!$AG$5:$AG$364,0),1)/INDEX(其他调用!AI$5:AI$364,MATCH($K76,其他调用!$AG$5:$AG$364,0),0),1)*INDEX(其他调用!Z$5:Z$404,MATCH($K76,其他调用!$X$5:$X$404,0),0)</f>
        <v>35319.40392451291</v>
      </c>
      <c r="AD76" s="12">
        <f>MIN(INDEX(其他调用!$AJ$5:$AJ$364,MATCH($K76,其他调用!$AG$5:$AG$364,0),1)/INDEX(其他调用!AJ$5:AJ$364,MATCH($K76,其他调用!$AG$5:$AG$364,0),0),1)*INDEX(其他调用!AA$5:AA$404,MATCH($K76,其他调用!$X$5:$X$404,0),0)</f>
        <v>36815.854155413363</v>
      </c>
      <c r="AE76" s="12">
        <f>MIN(INDEX(其他调用!$AJ$5:$AJ$364,MATCH($K76,其他调用!$AG$5:$AG$364,0),1)/INDEX(其他调用!AK$5:AK$364,MATCH($K76,其他调用!$AG$5:$AG$364,0),0),1)*INDEX(其他调用!AB$5:AB$404,MATCH($K76,其他调用!$X$5:$X$404,0),0)</f>
        <v>15572.636098811256</v>
      </c>
      <c r="AF76" s="12">
        <f>MIN(INDEX(其他调用!$AJ$5:$AJ$364,MATCH($K76,其他调用!$AG$5:$AG$364,0),1)/INDEX(其他调用!AL$5:AL$364,MATCH($K76,其他调用!$AG$5:$AG$364,0),0),1)*INDEX(其他调用!AC$5:AC$404,MATCH($K76,其他调用!$X$5:$X$404,0),0)</f>
        <v>4948.4572872526842</v>
      </c>
      <c r="AG76" s="12">
        <f>求节点(节奏总纲!D$4:D$163,标准城池设计!AE$4:AE$163,$K76)*求节点(节奏总纲!D$4:D$163,攻城基础信息!$AF$5:$AF$164,$K76)</f>
        <v>487355.99399764917</v>
      </c>
      <c r="AH76" s="12">
        <f>INDEX(其他调用!$AA$5:$AA$404,MATCH($K76,其他调用!$X$5:$X$404,0))*MIN(INDEX(其他调用!AK$5:AK$364,MATCH($K76,其他调用!$AG$5:$AG$364,0),1)/INDEX(其他调用!$AJ$5:$AJ$364,MATCH($K76,其他调用!$AG$5:$AG$364,0),0),5)*求节点(节奏总纲!D$4:D$163,攻城基础信息!$AF$5:$AF$164,$K76)</f>
        <v>266452.697327053</v>
      </c>
      <c r="AI76" s="12">
        <f>MIN(INDEX(其他调用!$AK$5:$AK$364,MATCH($K76,其他调用!$AG$5:$AG$364,0),1)/INDEX(其他调用!AH$5:AH$364,MATCH($K76,其他调用!$AG$5:$AG$364,0),0),1)*INDEX(其他调用!Y$5:Y$404,MATCH($K76,其他调用!$X$5:$X$404,0),0)</f>
        <v>34182.190290122759</v>
      </c>
      <c r="AJ76" s="12">
        <f>MIN(INDEX(其他调用!$AK$5:$AK$364,MATCH($K76,其他调用!$AG$5:$AG$364,0),1)/INDEX(其他调用!AI$5:AI$364,MATCH($K76,其他调用!$AG$5:$AG$364,0),0),1)*INDEX(其他调用!Z$5:Z$404,MATCH($K76,其他调用!$X$5:$X$404,0),0)</f>
        <v>35319.40392451291</v>
      </c>
      <c r="AK76" s="12">
        <f>MIN(INDEX(其他调用!$AK$5:$AK$364,MATCH($K76,其他调用!$AG$5:$AG$364,0),1)/INDEX(其他调用!AJ$5:AJ$364,MATCH($K76,其他调用!$AG$5:$AG$364,0),0),1)*INDEX(其他调用!AA$5:AA$404,MATCH($K76,其他调用!$X$5:$X$404,0),0)</f>
        <v>36815.854155413363</v>
      </c>
      <c r="AL76" s="12">
        <f>MIN(INDEX(其他调用!$AK$5:$AK$364,MATCH($K76,其他调用!$AG$5:$AG$364,0),1)/INDEX(其他调用!AK$5:AK$364,MATCH($K76,其他调用!$AG$5:$AG$364,0),0),1)*INDEX(其他调用!AB$5:AB$404,MATCH($K76,其他调用!$X$5:$X$404,0),0)</f>
        <v>39002.277238087074</v>
      </c>
      <c r="AM76" s="12">
        <f>MIN(INDEX(其他调用!$AK$5:$AK$364,MATCH($K76,其他调用!$AG$5:$AG$364,0),1)/INDEX(其他调用!AL$5:AL$364,MATCH($K76,其他调用!$AG$5:$AG$364,0),0),1)*INDEX(其他调用!AC$5:AC$404,MATCH($K76,其他调用!$X$5:$X$404,0),0)</f>
        <v>12393.605154171313</v>
      </c>
      <c r="AN76" s="12">
        <f>求节点(节奏总纲!D$4:D$163,标准城池设计!AF$4:AF$163,$K76)*求节点(节奏总纲!D$4:D$163,攻城基础信息!$AG$5:$AG$164,$K76)</f>
        <v>493391.95162152639</v>
      </c>
      <c r="AO76" s="12">
        <f>INDEX(其他调用!$AA$5:$AA$404,MATCH($K76,其他调用!$X$5:$X$404,0))*MIN(INDEX(其他调用!AL$5:AL$364,MATCH($K76,其他调用!$AG$5:$AG$364,0),1)/INDEX(其他调用!$AJ$5:$AJ$364,MATCH($K76,其他调用!$AG$5:$AG$364,0),0),5)*求节点(节奏总纲!D$4:D$163,攻城基础信息!$AG$5:$AG$164,$K76)</f>
        <v>531939.56697596237</v>
      </c>
      <c r="AP76" s="12">
        <f>MIN(INDEX(其他调用!$AL$5:$AL$364,MATCH($K76,其他调用!$AG$5:$AG$364,0),1)/INDEX(其他调用!AH$5:AH$364,MATCH($K76,其他调用!$AG$5:$AG$364,0),0),1)*INDEX(其他调用!Y$5:Y$404,MATCH($K76,其他调用!$X$5:$X$404,0),0)</f>
        <v>34182.190290122759</v>
      </c>
      <c r="AQ76" s="12">
        <f>MIN(INDEX(其他调用!$AL$5:$AL$364,MATCH($K76,其他调用!$AG$5:$AG$364,0),1)/INDEX(其他调用!AI$5:AI$364,MATCH($K76,其他调用!$AG$5:$AG$364,0),0),1)*INDEX(其他调用!Z$5:Z$404,MATCH($K76,其他调用!$X$5:$X$404,0),0)</f>
        <v>35319.40392451291</v>
      </c>
      <c r="AR76" s="12">
        <f>MIN(INDEX(其他调用!$AL$5:$AL$364,MATCH($K76,其他调用!$AG$5:$AG$364,0),1)/INDEX(其他调用!AJ$5:AJ$364,MATCH($K76,其他调用!$AG$5:$AG$364,0),0),1)*INDEX(其他调用!AA$5:AA$404,MATCH($K76,其他调用!$X$5:$X$404,0),0)</f>
        <v>36815.854155413363</v>
      </c>
      <c r="AS76" s="12">
        <f>MIN(INDEX(其他调用!$AL$5:$AL$364,MATCH($K76,其他调用!$AG$5:$AG$364,0),1)/INDEX(其他调用!AK$5:AK$364,MATCH($K76,其他调用!$AG$5:$AG$364,0),0),1)*INDEX(其他调用!AB$5:AB$404,MATCH($K76,其他调用!$X$5:$X$404,0),0)</f>
        <v>39002.277238087074</v>
      </c>
      <c r="AT76" s="12">
        <f>MIN(INDEX(其他调用!$AL$5:$AL$364,MATCH($K76,其他调用!$AG$5:$AG$364,0),1)/INDEX(其他调用!AL$5:AL$364,MATCH($K76,其他调用!$AG$5:$AG$364,0),0),1)*INDEX(其他调用!AC$5:AC$404,MATCH($K76,其他调用!$X$5:$X$404,0),0)</f>
        <v>42831.012988488481</v>
      </c>
      <c r="AV76" s="14">
        <f>IF(OR(AV$5="大R",AV$5="超R"),MAX(INDEX(其他调用!$H$5:$L$404,MATCH($K76,其他调用!$B$5:$B$404,0),MATCH(AV$5,其他调用!$H$4:$L$4,0))*120*0.85,2),INDEX(其他调用!$H$5:$L$404,MATCH($K76,其他调用!$B$5:$B$404,0),MATCH(AV$5,其他调用!$H$4:$L$4,0))*120*0.85)</f>
        <v>50.552527963500012</v>
      </c>
      <c r="AW76" s="14">
        <f>IF(OR(AW$5="大R",AW$5="超R"),MAX(INDEX(其他调用!$H$5:$L$404,MATCH($K76,其他调用!$B$5:$B$404,0),MATCH(AW$5,其他调用!$H$4:$L$4,0))*120*0.85,2),INDEX(其他调用!$H$5:$L$404,MATCH($K76,其他调用!$B$5:$B$404,0),MATCH(AW$5,其他调用!$H$4:$L$4,0))*120*0.85)</f>
        <v>46.691170008322068</v>
      </c>
      <c r="AX76" s="14">
        <f>IF(OR(AX$5="大R",AX$5="超R"),MAX(INDEX(其他调用!$H$5:$L$404,MATCH($K76,其他调用!$B$5:$B$404,0),MATCH(AX$5,其他调用!$H$4:$L$4,0))*120*0.85,2),INDEX(其他调用!$H$5:$L$404,MATCH($K76,其他调用!$B$5:$B$404,0),MATCH(AX$5,其他调用!$H$4:$L$4,0))*120*0.85)</f>
        <v>3.9007737641779205</v>
      </c>
      <c r="AY76" s="14">
        <f>IF(OR(AY$5="大R",AY$5="超R"),MAX(INDEX(其他调用!$H$5:$L$404,MATCH($K76,其他调用!$B$5:$B$404,0),MATCH(AY$5,其他调用!$H$4:$L$4,0))*120*0.85,2),INDEX(其他调用!$H$5:$L$404,MATCH($K76,其他调用!$B$5:$B$404,0),MATCH(AY$5,其他调用!$H$4:$L$4,0))*120*0.85)</f>
        <v>2</v>
      </c>
      <c r="AZ76" s="14">
        <f>IF(OR(AZ$5="大R",AZ$5="超R"),MAX(INDEX(其他调用!$H$5:$L$404,MATCH($K76,其他调用!$B$5:$B$404,0),MATCH(AZ$5,其他调用!$H$4:$L$4,0))*120*0.85,2),INDEX(其他调用!$H$5:$L$404,MATCH($K76,其他调用!$B$5:$B$404,0),MATCH(AZ$5,其他调用!$H$4:$L$4,0))*120*0.85)</f>
        <v>2</v>
      </c>
      <c r="BA76" s="14">
        <f>INDEX(其他调用!$H$5:$L$404,MATCH($K76,其他调用!$B$5:$B$404,0),MATCH(BA$5,其他调用!$H$4:$L$4,0))*INDEX(其他调用!$M$5:$M$404,MATCH($K76,其他调用!$B$5:$B$404,0))*0.6</f>
        <v>29.163202135093282</v>
      </c>
      <c r="BB76" s="14">
        <f>INDEX(其他调用!$H$5:$L$404,MATCH($K76,其他调用!$B$5:$B$404,0),MATCH(BB$5,其他调用!$H$4:$L$4,0))*INDEX(其他调用!$M$5:$M$404,MATCH($K76,其他调用!$B$5:$B$404,0))*0.6</f>
        <v>26.935626836700461</v>
      </c>
      <c r="BC76" s="14">
        <f>INDEX(其他调用!$H$5:$L$404,MATCH($K76,其他调用!$B$5:$B$404,0),MATCH(BC$5,其他调用!$H$4:$L$4,0))*INDEX(其他调用!$M$5:$M$404,MATCH($K76,其他调用!$B$5:$B$404,0))*0.6</f>
        <v>2.2503138487975485</v>
      </c>
      <c r="BD76" s="14">
        <f>INDEX(其他调用!$H$5:$L$404,MATCH($K76,其他调用!$B$5:$B$404,0),MATCH(BD$5,其他调用!$H$4:$L$4,0))*INDEX(其他调用!$M$5:$M$404,MATCH($K76,其他调用!$B$5:$B$404,0))*0.6</f>
        <v>0.3862723529739131</v>
      </c>
      <c r="BE76" s="14">
        <f>INDEX(其他调用!$H$5:$L$404,MATCH($K76,其他调用!$B$5:$B$404,0),MATCH(BE$5,其他调用!$H$4:$L$4,0))*INDEX(其他调用!$M$5:$M$404,MATCH($K76,其他调用!$B$5:$B$404,0))*0.6</f>
        <v>0.10727257347035571</v>
      </c>
      <c r="BF76" s="14">
        <f>IF(OR(BF$5="大R",BF$5="超R"),0,INDEX(其他调用!$H$5:$L$404,MATCH($K76,其他调用!$B$5:$B$404,0),MATCH(BF$5,其他调用!$H$4:$L$4,0))*50*0.4)</f>
        <v>9.9122603850000033</v>
      </c>
      <c r="BG76" s="14">
        <f>IF(OR(BG$5="大R",BG$5="超R"),0,INDEX(其他调用!$H$5:$L$404,MATCH($K76,其他调用!$B$5:$B$404,0),MATCH(BG$5,其他调用!$H$4:$L$4,0))*50*0.4)</f>
        <v>9.1551313741807974</v>
      </c>
      <c r="BH76" s="14">
        <f>IF(OR(BH$5="大R",BH$5="超R"),0,INDEX(其他调用!$H$5:$L$404,MATCH($K76,其他调用!$B$5:$B$404,0),MATCH(BH$5,其他调用!$H$4:$L$4,0))*50*0.4)</f>
        <v>0.76485760081920018</v>
      </c>
      <c r="BI76" s="14">
        <f>IF(OR(BI$5="大R",BI$5="超R"),0,INDEX(其他调用!$H$5:$L$404,MATCH($K76,其他调用!$B$5:$B$404,0),MATCH(BI$5,其他调用!$H$4:$L$4,0))*50*0.4)</f>
        <v>0</v>
      </c>
      <c r="BJ76" s="14">
        <f>IF(OR(BJ$5="大R",BJ$5="超R"),0,INDEX(其他调用!$H$5:$L$404,MATCH($K76,其他调用!$B$5:$B$404,0),MATCH(BJ$5,其他调用!$H$4:$L$4,0))*50*0.4)</f>
        <v>0</v>
      </c>
      <c r="BL76" s="14">
        <f t="shared" si="208"/>
        <v>71</v>
      </c>
      <c r="BM76" s="14">
        <f t="shared" si="115"/>
        <v>96</v>
      </c>
      <c r="BN76" s="14">
        <f>('疲劳值&amp;地图信息'!$S$10*'疲劳值&amp;地图信息'!$R$10+'疲劳值&amp;地图信息'!$S$11*'疲劳值&amp;地图信息'!$R$11+'疲劳值&amp;地图信息'!$S$12*'疲劳值&amp;地图信息'!$R$12+(BM76-'疲劳值&amp;地图信息'!$S$12-'疲劳值&amp;地图信息'!$S$11-'疲劳值&amp;地图信息'!$S$10)*'疲劳值&amp;地图信息'!$R$13)/BM76</f>
        <v>51.371477246638619</v>
      </c>
      <c r="BO76" s="14">
        <f>INDEX(其他调用!$M$5:$M$404,MATCH(BL76,其他调用!$B$5:$B$404,0))*0.6</f>
        <v>58.842687747035569</v>
      </c>
      <c r="BP76" s="14">
        <f>IF(BO76&gt;SUM('疲劳值&amp;地图信息'!$S$10:$S$12),('疲劳值&amp;地图信息'!$S$10*'疲劳值&amp;地图信息'!$R$10+'疲劳值&amp;地图信息'!$S$11*'疲劳值&amp;地图信息'!$R$11+'疲劳值&amp;地图信息'!$S$12*'疲劳值&amp;地图信息'!$R$12+(BO76-'疲劳值&amp;地图信息'!$S$12-'疲劳值&amp;地图信息'!$S$11-'疲劳值&amp;地图信息'!$S$10)*'疲劳值&amp;地图信息'!$R$13)/BO76,('疲劳值&amp;地图信息'!$S$10*'疲劳值&amp;地图信息'!$R$10+'疲劳值&amp;地图信息'!$S$11*'疲劳值&amp;地图信息'!$R$11+'疲劳值&amp;地图信息'!$S$12*'疲劳值&amp;地图信息'!$R$12+(BO76-'疲劳值&amp;地图信息'!$S$12-'疲劳值&amp;地图信息'!$S$11-'疲劳值&amp;地图信息'!$S$10)*'疲劳值&amp;地图信息'!$R$13)/BO76)</f>
        <v>43.779812910829882</v>
      </c>
      <c r="BQ76" s="14">
        <f t="shared" si="209"/>
        <v>20</v>
      </c>
      <c r="BR76" s="14">
        <f>('疲劳值&amp;地图信息'!$S$10*'疲劳值&amp;地图信息'!$R$10+($BQ76-'疲劳值&amp;地图信息'!$S$10)*'疲劳值&amp;地图信息'!$R$11)/$BQ76</f>
        <v>32.067203015074995</v>
      </c>
      <c r="CF76" s="14">
        <v>71</v>
      </c>
      <c r="CG76" s="51">
        <f t="shared" si="116"/>
        <v>7939</v>
      </c>
      <c r="CH76" s="51">
        <f t="shared" si="117"/>
        <v>805</v>
      </c>
      <c r="CI76" s="51">
        <f>INT(SUMPRODUCT($N76:$R76,$BA76:$BE76)/SUM($BA76:$BE76)/10000*$BX$7*$BZ$34/'疲劳值&amp;地图信息'!$R$10*$BY$53)</f>
        <v>2869</v>
      </c>
      <c r="CJ76" s="50">
        <f t="shared" si="118"/>
        <v>0.68363041419099291</v>
      </c>
      <c r="CK76" s="50">
        <f t="shared" si="119"/>
        <v>6.9318866787221212E-2</v>
      </c>
      <c r="CL76" s="50">
        <f t="shared" si="120"/>
        <v>0.24705071902178594</v>
      </c>
      <c r="CM76" s="14">
        <f t="shared" si="121"/>
        <v>8309</v>
      </c>
      <c r="CN76" s="14">
        <f t="shared" si="122"/>
        <v>1208</v>
      </c>
      <c r="CO76" s="14">
        <f>INT(SUMPRODUCT($U76:$Y76,$BA76:$BE76)/SUM($BA76:$BE76)/10000*$BX$7*$BZ$34/'疲劳值&amp;地图信息'!$R$10*$BY$54)</f>
        <v>5166</v>
      </c>
      <c r="CP76" s="50">
        <f t="shared" si="123"/>
        <v>0.56589252877477358</v>
      </c>
      <c r="CQ76" s="50">
        <f t="shared" si="124"/>
        <v>8.2272015255737935E-2</v>
      </c>
      <c r="CR76" s="50">
        <f t="shared" si="125"/>
        <v>0.35183545596948851</v>
      </c>
      <c r="CS76" s="14">
        <f t="shared" si="126"/>
        <v>8831</v>
      </c>
      <c r="CT76" s="14">
        <f t="shared" si="127"/>
        <v>2187</v>
      </c>
      <c r="CU76" s="14">
        <f>INT(SUMPRODUCT($AB76:$AF76,$BA76:$BE76)/SUM($BA76:$BE76)/10000*$BX$7*$BZ$34/'疲劳值&amp;地图信息'!$R$10*$BY$55)</f>
        <v>7027</v>
      </c>
      <c r="CV76" s="50">
        <f t="shared" si="128"/>
        <v>0.48938764200609586</v>
      </c>
      <c r="CW76" s="50">
        <f t="shared" si="129"/>
        <v>0.12119700748129676</v>
      </c>
      <c r="CX76" s="50">
        <f t="shared" si="130"/>
        <v>0.38941535051260739</v>
      </c>
      <c r="CY76" s="14">
        <f t="shared" si="131"/>
        <v>10018</v>
      </c>
      <c r="CZ76" s="14">
        <f t="shared" si="132"/>
        <v>5477</v>
      </c>
      <c r="DA76" s="14">
        <f>INT(SUMPRODUCT($AI76:$AM76,$BA76:$BE76)/SUM($BA76:$BE76)/10000*$BX$7*$BZ$34/'疲劳值&amp;地图信息'!$R$10*$BY$56)</f>
        <v>10591</v>
      </c>
      <c r="DB76" s="50">
        <f t="shared" si="133"/>
        <v>0.38403741470520586</v>
      </c>
      <c r="DC76" s="50">
        <f t="shared" si="134"/>
        <v>0.20995936517672315</v>
      </c>
      <c r="DD76" s="50">
        <f t="shared" si="135"/>
        <v>0.406003220118071</v>
      </c>
      <c r="DE76" s="14">
        <f t="shared" si="136"/>
        <v>10142</v>
      </c>
      <c r="DF76" s="14">
        <f t="shared" si="137"/>
        <v>10935</v>
      </c>
      <c r="DG76" s="14">
        <f>INT(SUMPRODUCT($AP76:$AT76,$BA76:$BE76)/SUM($BA76:$BE76)/10000*$BX$7*$BZ$34/'疲劳值&amp;地图信息'!$R$10*$BY$57)</f>
        <v>14144</v>
      </c>
      <c r="DH76" s="50">
        <f t="shared" si="138"/>
        <v>0.28795320973282984</v>
      </c>
      <c r="DI76" s="50">
        <f t="shared" si="139"/>
        <v>0.31046818659322561</v>
      </c>
      <c r="DJ76" s="50">
        <f t="shared" si="140"/>
        <v>0.40157860367394455</v>
      </c>
      <c r="DL76" s="14">
        <f t="shared" si="106"/>
        <v>11613</v>
      </c>
      <c r="DM76" s="14">
        <f t="shared" si="107"/>
        <v>14683</v>
      </c>
      <c r="DN76" s="14">
        <f t="shared" si="108"/>
        <v>18045</v>
      </c>
      <c r="DO76" s="14">
        <f t="shared" si="109"/>
        <v>26086</v>
      </c>
      <c r="DP76" s="14">
        <f t="shared" si="110"/>
        <v>35221</v>
      </c>
      <c r="DQ76" s="14">
        <f t="shared" si="111"/>
        <v>788629</v>
      </c>
      <c r="DT76" s="14">
        <f t="shared" si="210"/>
        <v>235575</v>
      </c>
      <c r="DU76" s="50">
        <f t="shared" si="112"/>
        <v>0.23000788905335265</v>
      </c>
      <c r="DW76" s="14">
        <f t="shared" si="141"/>
        <v>1024204</v>
      </c>
      <c r="EB76" s="14">
        <v>71</v>
      </c>
      <c r="EC76" s="51">
        <f t="shared" si="142"/>
        <v>13233</v>
      </c>
      <c r="ED76" s="51">
        <f t="shared" si="143"/>
        <v>1342</v>
      </c>
      <c r="EE76" s="51">
        <f>INT(SUMPRODUCT($N76:$R76,$BF76:$BJ76)/SUM($BF76:$BJ76)/10000*$BX$7*$BZ$46/'疲劳值&amp;地图信息'!$R$10*$BY$53)</f>
        <v>385</v>
      </c>
      <c r="EF76" s="50">
        <f t="shared" si="144"/>
        <v>0.88455882352941173</v>
      </c>
      <c r="EG76" s="50">
        <f t="shared" si="145"/>
        <v>8.9705882352941177E-2</v>
      </c>
      <c r="EH76" s="50">
        <f t="shared" si="146"/>
        <v>2.5735294117647058E-2</v>
      </c>
      <c r="EI76" s="51">
        <f t="shared" si="147"/>
        <v>13849</v>
      </c>
      <c r="EJ76" s="51">
        <f t="shared" si="148"/>
        <v>2014</v>
      </c>
      <c r="EK76" s="14">
        <f>INT(SUMPRODUCT($U76:$Y76,$BF76:$BJ76)/SUM($BF76:$BJ76)/10000*$BX$7*$BZ$46/'疲劳值&amp;地图信息'!$R$10*$BY$54)</f>
        <v>693</v>
      </c>
      <c r="EL76" s="50">
        <f t="shared" si="149"/>
        <v>0.83649432230007248</v>
      </c>
      <c r="EM76" s="50">
        <f t="shared" si="150"/>
        <v>0.1216477410002416</v>
      </c>
      <c r="EN76" s="50">
        <f t="shared" si="151"/>
        <v>4.1857936699685912E-2</v>
      </c>
      <c r="EO76" s="51">
        <f t="shared" si="152"/>
        <v>14719</v>
      </c>
      <c r="EP76" s="51">
        <f t="shared" si="153"/>
        <v>3645</v>
      </c>
      <c r="EQ76" s="14">
        <f>INT(SUMPRODUCT($AB76:$AF76,$BF76:$BJ76)/SUM($BF76:$BJ76)/10000*$BX$7*$BZ$46/'疲劳值&amp;地图信息'!$R$10*$BY$55)</f>
        <v>941</v>
      </c>
      <c r="ER76" s="50">
        <f t="shared" si="154"/>
        <v>0.7624449624449624</v>
      </c>
      <c r="ES76" s="50">
        <f t="shared" si="155"/>
        <v>0.1888111888111888</v>
      </c>
      <c r="ET76" s="50">
        <f t="shared" si="156"/>
        <v>4.8743848743848746E-2</v>
      </c>
      <c r="EU76" s="51">
        <f t="shared" si="157"/>
        <v>16697</v>
      </c>
      <c r="EV76" s="51">
        <f t="shared" si="158"/>
        <v>9129</v>
      </c>
      <c r="EW76" s="14">
        <f>INT(SUMPRODUCT($AI76:$AM76,$BF76:$BJ76)/SUM($BF76:$BJ76)/10000*$BX$7*$BZ$46/'疲劳值&amp;地图信息'!$R$10*$BY$56)</f>
        <v>1412</v>
      </c>
      <c r="EX76" s="50">
        <f t="shared" si="159"/>
        <v>0.61300389162199864</v>
      </c>
      <c r="EY76" s="50">
        <f t="shared" si="160"/>
        <v>0.3351567662823996</v>
      </c>
      <c r="EZ76" s="50">
        <f t="shared" si="161"/>
        <v>5.1839342095601731E-2</v>
      </c>
      <c r="FA76" s="51">
        <f t="shared" si="162"/>
        <v>16904</v>
      </c>
      <c r="FB76" s="51">
        <f t="shared" si="163"/>
        <v>18225</v>
      </c>
      <c r="FC76" s="14">
        <f>INT(SUMPRODUCT($AP76:$AT76,$BF76:$BJ76)/SUM($BF76:$BJ76)/10000*$BX$7*$BZ$46/'疲劳值&amp;地图信息'!$R$10*$BY$57)</f>
        <v>1883</v>
      </c>
      <c r="FD76" s="50">
        <f t="shared" si="164"/>
        <v>0.45671674051658923</v>
      </c>
      <c r="FE76" s="50">
        <f t="shared" si="165"/>
        <v>0.49240786771857775</v>
      </c>
      <c r="FF76" s="50">
        <f t="shared" si="166"/>
        <v>5.0875391764833029E-2</v>
      </c>
      <c r="FH76" s="14">
        <f t="shared" si="167"/>
        <v>14960</v>
      </c>
      <c r="FI76" s="14">
        <f t="shared" si="168"/>
        <v>16556</v>
      </c>
      <c r="FJ76" s="14">
        <f t="shared" si="169"/>
        <v>19305</v>
      </c>
      <c r="FK76" s="14">
        <f t="shared" si="170"/>
        <v>27238</v>
      </c>
      <c r="FL76" s="14">
        <f t="shared" si="171"/>
        <v>37012</v>
      </c>
      <c r="FM76" s="14">
        <f t="shared" si="172"/>
        <v>1733089</v>
      </c>
      <c r="FP76" s="14">
        <f t="shared" si="173"/>
        <v>334150</v>
      </c>
      <c r="FQ76" s="50">
        <f t="shared" si="113"/>
        <v>0.16164071982001113</v>
      </c>
      <c r="FS76" s="14">
        <f t="shared" si="174"/>
        <v>2067239</v>
      </c>
      <c r="FX76" s="14">
        <v>71</v>
      </c>
      <c r="FY76" s="51">
        <f t="shared" si="175"/>
        <v>18526</v>
      </c>
      <c r="FZ76" s="51">
        <f t="shared" si="176"/>
        <v>1342</v>
      </c>
      <c r="GA76" s="51">
        <f>INT(SUMPRODUCT($N76:$R76,$BF76:$BJ76)/SUM($BF76:$BJ76)/10000*$BX$7*$BZ$46/'疲劳值&amp;地图信息'!$R$10*$BY$53)</f>
        <v>385</v>
      </c>
      <c r="GB76" s="50">
        <f t="shared" si="177"/>
        <v>0.9147286821705426</v>
      </c>
      <c r="GC76" s="50">
        <f t="shared" si="178"/>
        <v>6.6261788377030562E-2</v>
      </c>
      <c r="GD76" s="50">
        <f t="shared" si="179"/>
        <v>1.9009529452426802E-2</v>
      </c>
      <c r="GE76" s="51">
        <f t="shared" si="180"/>
        <v>19389</v>
      </c>
      <c r="GF76" s="51">
        <f t="shared" si="181"/>
        <v>2014</v>
      </c>
      <c r="GG76" s="14">
        <f>INT(SUMPRODUCT($U76:$Y76,$BF76:$BJ76)/SUM($BF76:$BJ76)/10000*$BX$7*$BZ$46/'疲劳值&amp;地图信息'!$R$10*$BY$54)</f>
        <v>693</v>
      </c>
      <c r="GH76" s="50">
        <f t="shared" si="182"/>
        <v>0.87748913830557562</v>
      </c>
      <c r="GI76" s="50">
        <f t="shared" si="183"/>
        <v>9.1147719044170891E-2</v>
      </c>
      <c r="GJ76" s="50">
        <f t="shared" si="184"/>
        <v>3.1363142650253438E-2</v>
      </c>
      <c r="GK76" s="51">
        <f t="shared" si="185"/>
        <v>20606</v>
      </c>
      <c r="GL76" s="51">
        <f t="shared" si="186"/>
        <v>3645</v>
      </c>
      <c r="GM76" s="14">
        <f>INT(SUMPRODUCT($AB76:$AF76,$BF76:$BJ76)/SUM($BF76:$BJ76)/10000*$BX$7*$BZ$46/'疲劳值&amp;地图信息'!$R$10*$BY$55)</f>
        <v>941</v>
      </c>
      <c r="GN76" s="50">
        <f t="shared" si="187"/>
        <v>0.81795808193077169</v>
      </c>
      <c r="GO76" s="50">
        <f t="shared" si="188"/>
        <v>0.14468879009209273</v>
      </c>
      <c r="GP76" s="50">
        <f t="shared" si="189"/>
        <v>3.7353127977135601E-2</v>
      </c>
      <c r="GQ76" s="51">
        <f t="shared" si="190"/>
        <v>23377</v>
      </c>
      <c r="GR76" s="51">
        <f t="shared" si="191"/>
        <v>9129</v>
      </c>
      <c r="GS76" s="14">
        <f>INT(SUMPRODUCT($AI76:$AM76,$BF76:$BJ76)/SUM($BF76:$BJ76)/10000*$BX$7*$BZ$46/'疲劳值&amp;地图信息'!$R$10*$BY$56)</f>
        <v>1412</v>
      </c>
      <c r="GT76" s="50">
        <f t="shared" si="192"/>
        <v>0.68922106256265114</v>
      </c>
      <c r="GU76" s="50">
        <f t="shared" si="193"/>
        <v>0.26914912435874755</v>
      </c>
      <c r="GV76" s="50">
        <f t="shared" si="194"/>
        <v>4.1629813078601335E-2</v>
      </c>
      <c r="GW76" s="51">
        <f t="shared" si="195"/>
        <v>23666</v>
      </c>
      <c r="GX76" s="51">
        <f t="shared" si="196"/>
        <v>18225</v>
      </c>
      <c r="GY76" s="14">
        <f>INT(SUMPRODUCT($AP76:$AT76,$BF76:$BJ76)/SUM($BF76:$BJ76)/10000*$BX$7*$BZ$46/'疲劳值&amp;地图信息'!$R$10*$BY$57)</f>
        <v>1883</v>
      </c>
      <c r="GZ76" s="50">
        <f t="shared" si="197"/>
        <v>0.54064056289121398</v>
      </c>
      <c r="HA76" s="50">
        <f t="shared" si="198"/>
        <v>0.41634303467811945</v>
      </c>
      <c r="HB76" s="50">
        <f t="shared" si="199"/>
        <v>4.3016402430666609E-2</v>
      </c>
      <c r="HD76" s="14">
        <f t="shared" si="200"/>
        <v>20253</v>
      </c>
      <c r="HE76" s="14">
        <f t="shared" si="201"/>
        <v>22096</v>
      </c>
      <c r="HF76" s="14">
        <f t="shared" si="202"/>
        <v>25192</v>
      </c>
      <c r="HG76" s="14">
        <f t="shared" si="203"/>
        <v>33918</v>
      </c>
      <c r="HH76" s="14">
        <f t="shared" si="204"/>
        <v>43774</v>
      </c>
      <c r="HI76" s="14">
        <f t="shared" si="205"/>
        <v>2309180</v>
      </c>
      <c r="HL76" s="14">
        <f t="shared" si="206"/>
        <v>430050</v>
      </c>
      <c r="HM76" s="50">
        <f t="shared" si="114"/>
        <v>0.15699667424787259</v>
      </c>
      <c r="HO76" s="14">
        <f t="shared" si="207"/>
        <v>2739230</v>
      </c>
    </row>
    <row r="77" spans="11:223" x14ac:dyDescent="0.2">
      <c r="K77" s="14">
        <v>72</v>
      </c>
      <c r="L77" s="12">
        <f>求节点(节奏总纲!D$4:D$163,标准城池设计!AB$4:AB$163,$K77)*求节点(节奏总纲!D$4:D$163,攻城基础信息!$AC$5:$AC$164,$K77)</f>
        <v>389506.32442583964</v>
      </c>
      <c r="M77" s="12">
        <f>INDEX(其他调用!$AA$5:$AA$404,MATCH(K77,其他调用!$X$5:$X$404,0))*MIN(INDEX(其他调用!$AH$5:$AH$364,MATCH('征服点（新）'!K77,其他调用!$AG$5:$AG$364,0),1)/INDEX(其他调用!$AJ$5:$AJ$364,MATCH(K77,其他调用!$AG$5:$AG$364,0),0),5)*求节点(节奏总纲!D$4:D$163,攻城基础信息!$AC$5:$AC$164,$K77)</f>
        <v>39248.893939972826</v>
      </c>
      <c r="N77" s="12">
        <f>MIN(INDEX(其他调用!$AH$5:$AH$364,MATCH($K77,其他调用!$AG$5:$AG$364,0),1)/INDEX(其他调用!AH$5:AH$364,MATCH($K77,其他调用!$AG$5:$AG$364,0),0),1)*INDEX(其他调用!Y$5:Y$404,MATCH($K77,其他调用!$X$5:$X$404,0),0)</f>
        <v>34265.119228356038</v>
      </c>
      <c r="O77" s="12">
        <f>MIN(INDEX(其他调用!$AH$5:$AH$364,MATCH($K77,其他调用!$AG$5:$AG$364,0),1)/INDEX(其他调用!AI$5:AI$364,MATCH($K77,其他调用!$AG$5:$AG$364,0),0),1)*INDEX(其他调用!Z$5:Z$404,MATCH($K77,其他调用!$X$5:$X$404,0),0)</f>
        <v>23544.089448482449</v>
      </c>
      <c r="P77" s="12">
        <f>MIN(INDEX(其他调用!$AH$5:$AH$364,MATCH($K77,其他调用!$AG$5:$AG$364,0),1)/INDEX(其他调用!AJ$5:AJ$364,MATCH($K77,其他调用!$AG$5:$AG$364,0),0),1)*INDEX(其他调用!AA$5:AA$404,MATCH($K77,其他调用!$X$5:$X$404,0),0)</f>
        <v>13550.447736877046</v>
      </c>
      <c r="Q77" s="12">
        <f>MIN(INDEX(其他调用!$AH$5:$AH$364,MATCH($K77,其他调用!$AG$5:$AG$364,0),1)/INDEX(其他调用!AK$5:AK$364,MATCH($K77,其他调用!$AG$5:$AG$364,0),0),1)*INDEX(其他调用!AB$5:AB$404,MATCH($K77,其他调用!$X$5:$X$404,0),0)</f>
        <v>5755.1891333459253</v>
      </c>
      <c r="R77" s="12">
        <f>MIN(INDEX(其他调用!$AH$5:$AH$364,MATCH($K77,其他调用!$AG$5:$AG$364,0),1)/INDEX(其他调用!AL$5:AL$364,MATCH($K77,其他调用!$AG$5:$AG$364,0),0),1)*INDEX(其他调用!AC$5:AC$404,MATCH($K77,其他调用!$X$5:$X$404,0),0)</f>
        <v>1822.3086834825376</v>
      </c>
      <c r="S77" s="12">
        <f>求节点(节奏总纲!D$4:D$163,标准城池设计!AC$4:AC$163,$K77)*求节点(节奏总纲!D$4:D$163,攻城基础信息!$AD$5:$AD$164,$K77)</f>
        <v>407954.82764975453</v>
      </c>
      <c r="T77" s="12">
        <f>INDEX(其他调用!$AA$5:$AA$404,MATCH($K77,其他调用!$X$5:$X$404,0))*MIN(INDEX(其他调用!AI$5:AI$364,MATCH($K77,其他调用!$AG$5:$AG$364,0),1)/INDEX(其他调用!$AJ$5:$AJ$364,MATCH($K77,其他调用!$AG$5:$AG$364,0),0),5)*求节点(节奏总纲!D$4:D$163,攻城基础信息!$AD$5:$AD$164,$K77)</f>
        <v>59013.171160910781</v>
      </c>
      <c r="U77" s="12">
        <f>MIN(INDEX(其他调用!$AI$5:$AI$364,MATCH($K77,其他调用!$AG$5:$AG$364,0),1)/INDEX(其他调用!AH$5:AH$364,MATCH($K77,其他调用!$AG$5:$AG$364,0),0),1)*INDEX(其他调用!Y$5:Y$404,MATCH($K77,其他调用!$X$5:$X$404,0),0)</f>
        <v>34265.119228356038</v>
      </c>
      <c r="V77" s="12">
        <f>MIN(INDEX(其他调用!$AI$5:$AI$364,MATCH($K77,其他调用!$AG$5:$AG$364,0),1)/INDEX(其他调用!AI$5:AI$364,MATCH($K77,其他调用!$AG$5:$AG$364,0),0),1)*INDEX(其他调用!Z$5:Z$404,MATCH($K77,其他调用!$X$5:$X$404,0),0)</f>
        <v>35400.013630347166</v>
      </c>
      <c r="W77" s="12">
        <f>MIN(INDEX(其他调用!$AI$5:$AI$364,MATCH($K77,其他调用!$AG$5:$AG$364,0),1)/INDEX(其他调用!AJ$5:AJ$364,MATCH($K77,其他调用!$AG$5:$AG$364,0),0),1)*INDEX(其他调用!AA$5:AA$404,MATCH($K77,其他调用!$X$5:$X$404,0),0)</f>
        <v>20373.947169728952</v>
      </c>
      <c r="X77" s="12">
        <f>MIN(INDEX(其他调用!$AI$5:$AI$364,MATCH($K77,其他调用!$AG$5:$AG$364,0),1)/INDEX(其他调用!AK$5:AK$364,MATCH($K77,其他调用!$AG$5:$AG$364,0),0),1)*INDEX(其他调用!AB$5:AB$404,MATCH($K77,其他调用!$X$5:$X$404,0),0)</f>
        <v>8653.2874508257282</v>
      </c>
      <c r="Y77" s="12">
        <f>MIN(INDEX(其他调用!$AI$5:$AI$364,MATCH($K77,其他调用!$AG$5:$AG$364,0),1)/INDEX(其他调用!AL$5:AL$364,MATCH($K77,其他调用!$AG$5:$AG$364,0),0),1)*INDEX(其他调用!AC$5:AC$404,MATCH($K77,其他调用!$X$5:$X$404,0),0)</f>
        <v>2739.9552815638767</v>
      </c>
      <c r="Z77" s="12">
        <f>求节点(节奏总纲!D$4:D$163,标准城池设计!AD$4:AD$163,$K77)*求节点(节奏总纲!D$4:D$163,攻城基础信息!$AE$5:$AE$164,$K77)</f>
        <v>433511.55847962754</v>
      </c>
      <c r="AA77" s="12">
        <f>INDEX(其他调用!$AA$5:$AA$404,MATCH($K77,其他调用!$X$5:$X$404,0))*MIN(INDEX(其他调用!AJ$5:AJ$364,MATCH($K77,其他调用!$AG$5:$AG$364,0),1)/INDEX(其他调用!$AJ$5:$AJ$364,MATCH($K77,其他调用!$AG$5:$AG$364,0),0),5)*求节点(节奏总纲!D$4:D$163,攻城基础信息!$AE$5:$AE$164,$K77)</f>
        <v>106869.85162514167</v>
      </c>
      <c r="AB77" s="12">
        <f>MIN(INDEX(其他调用!$AJ$5:$AJ$364,MATCH($K77,其他调用!$AG$5:$AG$364,0),1)/INDEX(其他调用!AH$5:AH$364,MATCH($K77,其他调用!$AG$5:$AG$364,0),0),1)*INDEX(其他调用!Y$5:Y$404,MATCH($K77,其他调用!$X$5:$X$404,0),0)</f>
        <v>34265.119228356038</v>
      </c>
      <c r="AC77" s="12">
        <f>MIN(INDEX(其他调用!$AJ$5:$AJ$364,MATCH($K77,其他调用!$AG$5:$AG$364,0),1)/INDEX(其他调用!AI$5:AI$364,MATCH($K77,其他调用!$AG$5:$AG$364,0),0),1)*INDEX(其他调用!Z$5:Z$404,MATCH($K77,其他调用!$X$5:$X$404,0),0)</f>
        <v>35400.013630347166</v>
      </c>
      <c r="AD77" s="12">
        <f>MIN(INDEX(其他调用!$AJ$5:$AJ$364,MATCH($K77,其他调用!$AG$5:$AG$364,0),1)/INDEX(其他调用!AJ$5:AJ$364,MATCH($K77,其他调用!$AG$5:$AG$364,0),0),1)*INDEX(其他调用!AA$5:AA$404,MATCH($K77,其他调用!$X$5:$X$404,0),0)</f>
        <v>36896.182127044398</v>
      </c>
      <c r="AE77" s="12">
        <f>MIN(INDEX(其他调用!$AJ$5:$AJ$364,MATCH($K77,其他调用!$AG$5:$AG$364,0),1)/INDEX(其他调用!AK$5:AK$364,MATCH($K77,其他调用!$AG$5:$AG$364,0),0),1)*INDEX(其他调用!AB$5:AB$404,MATCH($K77,其他调用!$X$5:$X$404,0),0)</f>
        <v>15670.663476427446</v>
      </c>
      <c r="AF77" s="12">
        <f>MIN(INDEX(其他调用!$AJ$5:$AJ$364,MATCH($K77,其他调用!$AG$5:$AG$364,0),1)/INDEX(其他调用!AL$5:AL$364,MATCH($K77,其他调用!$AG$5:$AG$364,0),0),1)*INDEX(其他调用!AC$5:AC$404,MATCH($K77,其他调用!$X$5:$X$404,0),0)</f>
        <v>4961.9196636938623</v>
      </c>
      <c r="AG77" s="12">
        <f>求节点(节奏总纲!D$4:D$163,标准城池设计!AE$4:AE$163,$K77)*求节点(节奏总纲!D$4:D$163,攻城基础信息!$AF$5:$AF$164,$K77)</f>
        <v>491934.44246992044</v>
      </c>
      <c r="AH77" s="12">
        <f>INDEX(其他调用!$AA$5:$AA$404,MATCH($K77,其他调用!$X$5:$X$404,0))*MIN(INDEX(其他调用!AK$5:AK$364,MATCH($K77,其他调用!$AG$5:$AG$364,0),1)/INDEX(其他调用!$AJ$5:$AJ$364,MATCH($K77,其他调用!$AG$5:$AG$364,0),0),5)*求节点(节奏总纲!D$4:D$163,攻城基础信息!$AF$5:$AF$164,$K77)</f>
        <v>266521.5889460381</v>
      </c>
      <c r="AI77" s="12">
        <f>MIN(INDEX(其他调用!$AK$5:$AK$364,MATCH($K77,其他调用!$AG$5:$AG$364,0),1)/INDEX(其他调用!AH$5:AH$364,MATCH($K77,其他调用!$AG$5:$AG$364,0),0),1)*INDEX(其他调用!Y$5:Y$404,MATCH($K77,其他调用!$X$5:$X$404,0),0)</f>
        <v>34265.119228356038</v>
      </c>
      <c r="AJ77" s="12">
        <f>MIN(INDEX(其他调用!$AK$5:$AK$364,MATCH($K77,其他调用!$AG$5:$AG$364,0),1)/INDEX(其他调用!AI$5:AI$364,MATCH($K77,其他调用!$AG$5:$AG$364,0),0),1)*INDEX(其他调用!Z$5:Z$404,MATCH($K77,其他调用!$X$5:$X$404,0),0)</f>
        <v>35400.013630347166</v>
      </c>
      <c r="AK77" s="12">
        <f>MIN(INDEX(其他调用!$AK$5:$AK$364,MATCH($K77,其他调用!$AG$5:$AG$364,0),1)/INDEX(其他调用!AJ$5:AJ$364,MATCH($K77,其他调用!$AG$5:$AG$364,0),0),1)*INDEX(其他调用!AA$5:AA$404,MATCH($K77,其他调用!$X$5:$X$404,0),0)</f>
        <v>36896.182127044398</v>
      </c>
      <c r="AL77" s="12">
        <f>MIN(INDEX(其他调用!$AK$5:$AK$364,MATCH($K77,其他调用!$AG$5:$AG$364,0),1)/INDEX(其他调用!AK$5:AK$364,MATCH($K77,其他调用!$AG$5:$AG$364,0),0),1)*INDEX(其他调用!AB$5:AB$404,MATCH($K77,其他调用!$X$5:$X$404,0),0)</f>
        <v>39080.901358653413</v>
      </c>
      <c r="AM77" s="12">
        <f>MIN(INDEX(其他调用!$AK$5:$AK$364,MATCH($K77,其他调用!$AG$5:$AG$364,0),1)/INDEX(其他调用!AL$5:AL$364,MATCH($K77,其他调用!$AG$5:$AG$364,0),0),1)*INDEX(其他调用!AC$5:AC$404,MATCH($K77,其他调用!$X$5:$X$404,0),0)</f>
        <v>12374.478797153715</v>
      </c>
      <c r="AN77" s="12">
        <f>求节点(节奏总纲!D$4:D$163,标准城池设计!AF$4:AF$163,$K77)*求节点(节奏总纲!D$4:D$163,攻城基础信息!$AG$5:$AG$164,$K77)</f>
        <v>497323.55462405272</v>
      </c>
      <c r="AO77" s="12">
        <f>INDEX(其他调用!$AA$5:$AA$404,MATCH($K77,其他调用!$X$5:$X$404,0))*MIN(INDEX(其他调用!AL$5:AL$364,MATCH($K77,其他调用!$AG$5:$AG$364,0),1)/INDEX(其他调用!$AJ$5:$AJ$364,MATCH($K77,其他调用!$AG$5:$AG$364,0),0),5)*求节点(节奏总纲!D$4:D$163,攻城基础信息!$AG$5:$AG$164,$K77)</f>
        <v>534349.25812570832</v>
      </c>
      <c r="AP77" s="12">
        <f>MIN(INDEX(其他调用!$AL$5:$AL$364,MATCH($K77,其他调用!$AG$5:$AG$364,0),1)/INDEX(其他调用!AH$5:AH$364,MATCH($K77,其他调用!$AG$5:$AG$364,0),0),1)*INDEX(其他调用!Y$5:Y$404,MATCH($K77,其他调用!$X$5:$X$404,0),0)</f>
        <v>34265.119228356038</v>
      </c>
      <c r="AQ77" s="12">
        <f>MIN(INDEX(其他调用!$AL$5:$AL$364,MATCH($K77,其他调用!$AG$5:$AG$364,0),1)/INDEX(其他调用!AI$5:AI$364,MATCH($K77,其他调用!$AG$5:$AG$364,0),0),1)*INDEX(其他调用!Z$5:Z$404,MATCH($K77,其他调用!$X$5:$X$404,0),0)</f>
        <v>35400.013630347166</v>
      </c>
      <c r="AR77" s="12">
        <f>MIN(INDEX(其他调用!$AL$5:$AL$364,MATCH($K77,其他调用!$AG$5:$AG$364,0),1)/INDEX(其他调用!AJ$5:AJ$364,MATCH($K77,其他调用!$AG$5:$AG$364,0),0),1)*INDEX(其他调用!AA$5:AA$404,MATCH($K77,其他调用!$X$5:$X$404,0),0)</f>
        <v>36896.182127044398</v>
      </c>
      <c r="AS77" s="12">
        <f>MIN(INDEX(其他调用!$AL$5:$AL$364,MATCH($K77,其他调用!$AG$5:$AG$364,0),1)/INDEX(其他调用!AK$5:AK$364,MATCH($K77,其他调用!$AG$5:$AG$364,0),0),1)*INDEX(其他调用!AB$5:AB$404,MATCH($K77,其他调用!$X$5:$X$404,0),0)</f>
        <v>39080.901358653413</v>
      </c>
      <c r="AT77" s="12">
        <f>MIN(INDEX(其他调用!$AL$5:$AL$364,MATCH($K77,其他调用!$AG$5:$AG$364,0),1)/INDEX(其他调用!AL$5:AL$364,MATCH($K77,其他调用!$AG$5:$AG$364,0),0),1)*INDEX(其他调用!AC$5:AC$404,MATCH($K77,其他调用!$X$5:$X$404,0),0)</f>
        <v>42914.584326235083</v>
      </c>
      <c r="AV77" s="14">
        <f>IF(OR(AV$5="大R",AV$5="超R"),MAX(INDEX(其他调用!$H$5:$L$404,MATCH($K77,其他调用!$B$5:$B$404,0),MATCH(AV$5,其他调用!$H$4:$L$4,0))*120*0.85,2),INDEX(其他调用!$H$5:$L$404,MATCH($K77,其他调用!$B$5:$B$404,0),MATCH(AV$5,其他调用!$H$4:$L$4,0))*120*0.85)</f>
        <v>50.466700242000009</v>
      </c>
      <c r="AW77" s="14">
        <f>IF(OR(AW$5="大R",AW$5="超R"),MAX(INDEX(其他调用!$H$5:$L$404,MATCH($K77,其他调用!$B$5:$B$404,0),MATCH(AW$5,其他调用!$H$4:$L$4,0))*120*0.85,2),INDEX(其他调用!$H$5:$L$404,MATCH($K77,其他调用!$B$5:$B$404,0),MATCH(AW$5,其他调用!$H$4:$L$4,0))*120*0.85)</f>
        <v>46.772547587391344</v>
      </c>
      <c r="AX77" s="14">
        <f>IF(OR(AX$5="大R",AX$5="超R"),MAX(INDEX(其他调用!$H$5:$L$404,MATCH($K77,其他调用!$B$5:$B$404,0),MATCH(AX$5,其他调用!$H$4:$L$4,0))*120*0.85,2),INDEX(其他调用!$H$5:$L$404,MATCH($K77,其他调用!$B$5:$B$404,0),MATCH(AX$5,其他调用!$H$4:$L$4,0))*120*0.85)</f>
        <v>3.90271348260864</v>
      </c>
      <c r="AY77" s="14">
        <f>IF(OR(AY$5="大R",AY$5="超R"),MAX(INDEX(其他调用!$H$5:$L$404,MATCH($K77,其他调用!$B$5:$B$404,0),MATCH(AY$5,其他调用!$H$4:$L$4,0))*120*0.85,2),INDEX(其他调用!$H$5:$L$404,MATCH($K77,其他调用!$B$5:$B$404,0),MATCH(AY$5,其他调用!$H$4:$L$4,0))*120*0.85)</f>
        <v>2</v>
      </c>
      <c r="AZ77" s="14">
        <f>IF(OR(AZ$5="大R",AZ$5="超R"),MAX(INDEX(其他调用!$H$5:$L$404,MATCH($K77,其他调用!$B$5:$B$404,0),MATCH(AZ$5,其他调用!$H$4:$L$4,0))*120*0.85,2),INDEX(其他调用!$H$5:$L$404,MATCH($K77,其他调用!$B$5:$B$404,0),MATCH(AZ$5,其他调用!$H$4:$L$4,0))*120*0.85)</f>
        <v>2</v>
      </c>
      <c r="BA77" s="14">
        <f>INDEX(其他调用!$H$5:$L$404,MATCH($K77,其他调用!$B$5:$B$404,0),MATCH(BA$5,其他调用!$H$4:$L$4,0))*INDEX(其他调用!$M$5:$M$404,MATCH($K77,其他调用!$B$5:$B$404,0))*0.6</f>
        <v>29.172357624194472</v>
      </c>
      <c r="BB77" s="14">
        <f>INDEX(其他调用!$H$5:$L$404,MATCH($K77,其他调用!$B$5:$B$404,0),MATCH(BB$5,其他调用!$H$4:$L$4,0))*INDEX(其他调用!$M$5:$M$404,MATCH($K77,其他调用!$B$5:$B$404,0))*0.6</f>
        <v>27.036946712804546</v>
      </c>
      <c r="BC77" s="14">
        <f>INDEX(其他调用!$H$5:$L$404,MATCH($K77,其他调用!$B$5:$B$404,0),MATCH(BC$5,其他调用!$H$4:$L$4,0))*INDEX(其他调用!$M$5:$M$404,MATCH($K77,其他调用!$B$5:$B$404,0))*0.6</f>
        <v>2.2559698350294353</v>
      </c>
      <c r="BD77" s="14">
        <f>INDEX(其他调用!$H$5:$L$404,MATCH($K77,其他调用!$B$5:$B$404,0),MATCH(BD$5,其他调用!$H$4:$L$4,0))*INDEX(其他调用!$M$5:$M$404,MATCH($K77,其他调用!$B$5:$B$404,0))*0.6</f>
        <v>0.38799248055652186</v>
      </c>
      <c r="BE77" s="14">
        <f>INDEX(其他调用!$H$5:$L$404,MATCH($K77,其他调用!$B$5:$B$404,0),MATCH(BE$5,其他调用!$H$4:$L$4,0))*INDEX(其他调用!$M$5:$M$404,MATCH($K77,其他调用!$B$5:$B$404,0))*0.6</f>
        <v>0.10799816954940709</v>
      </c>
      <c r="BF77" s="14">
        <f>IF(OR(BF$5="大R",BF$5="超R"),0,INDEX(其他调用!$H$5:$L$404,MATCH($K77,其他调用!$B$5:$B$404,0),MATCH(BF$5,其他调用!$H$4:$L$4,0))*50*0.4)</f>
        <v>9.8954314200000031</v>
      </c>
      <c r="BG77" s="14">
        <f>IF(OR(BG$5="大R",BG$5="超R"),0,INDEX(其他调用!$H$5:$L$404,MATCH($K77,其他调用!$B$5:$B$404,0),MATCH(BG$5,其他调用!$H$4:$L$4,0))*50*0.4)</f>
        <v>9.1710877622335971</v>
      </c>
      <c r="BH77" s="14">
        <f>IF(OR(BH$5="大R",BH$5="超R"),0,INDEX(其他调用!$H$5:$L$404,MATCH($K77,其他调用!$B$5:$B$404,0),MATCH(BH$5,其他调用!$H$4:$L$4,0))*50*0.4)</f>
        <v>0.76523793776640014</v>
      </c>
      <c r="BI77" s="14">
        <f>IF(OR(BI$5="大R",BI$5="超R"),0,INDEX(其他调用!$H$5:$L$404,MATCH($K77,其他调用!$B$5:$B$404,0),MATCH(BI$5,其他调用!$H$4:$L$4,0))*50*0.4)</f>
        <v>0</v>
      </c>
      <c r="BJ77" s="14">
        <f>IF(OR(BJ$5="大R",BJ$5="超R"),0,INDEX(其他调用!$H$5:$L$404,MATCH($K77,其他调用!$B$5:$B$404,0),MATCH(BJ$5,其他调用!$H$4:$L$4,0))*50*0.4)</f>
        <v>0</v>
      </c>
      <c r="BL77" s="14">
        <f t="shared" si="208"/>
        <v>72</v>
      </c>
      <c r="BM77" s="14">
        <f t="shared" si="115"/>
        <v>96</v>
      </c>
      <c r="BN77" s="14">
        <f>('疲劳值&amp;地图信息'!$S$10*'疲劳值&amp;地图信息'!$R$10+'疲劳值&amp;地图信息'!$S$11*'疲劳值&amp;地图信息'!$R$11+'疲劳值&amp;地图信息'!$S$12*'疲劳值&amp;地图信息'!$R$12+(BM77-'疲劳值&amp;地图信息'!$S$12-'疲劳值&amp;地图信息'!$S$11-'疲劳值&amp;地图信息'!$S$10)*'疲劳值&amp;地图信息'!$R$13)/BM77</f>
        <v>51.371477246638619</v>
      </c>
      <c r="BO77" s="14">
        <f>INDEX(其他调用!$M$5:$M$404,MATCH(BL77,其他调用!$B$5:$B$404,0))*0.6</f>
        <v>58.961264822134382</v>
      </c>
      <c r="BP77" s="14">
        <f>IF(BO77&gt;SUM('疲劳值&amp;地图信息'!$S$10:$S$12),('疲劳值&amp;地图信息'!$S$10*'疲劳值&amp;地图信息'!$R$10+'疲劳值&amp;地图信息'!$S$11*'疲劳值&amp;地图信息'!$R$11+'疲劳值&amp;地图信息'!$S$12*'疲劳值&amp;地图信息'!$R$12+(BO77-'疲劳值&amp;地图信息'!$S$12-'疲劳值&amp;地图信息'!$S$11-'疲劳值&amp;地图信息'!$S$10)*'疲劳值&amp;地图信息'!$R$13)/BO77,('疲劳值&amp;地图信息'!$S$10*'疲劳值&amp;地图信息'!$R$10+'疲劳值&amp;地图信息'!$S$11*'疲劳值&amp;地图信息'!$R$11+'疲劳值&amp;地图信息'!$S$12*'疲劳值&amp;地图信息'!$R$12+(BO77-'疲劳值&amp;地图信息'!$S$12-'疲劳值&amp;地图信息'!$S$11-'疲劳值&amp;地图信息'!$S$10)*'疲劳值&amp;地图信息'!$R$13)/BO77)</f>
        <v>43.819258448553178</v>
      </c>
      <c r="BQ77" s="14">
        <f t="shared" si="209"/>
        <v>20</v>
      </c>
      <c r="BR77" s="14">
        <f>('疲劳值&amp;地图信息'!$S$10*'疲劳值&amp;地图信息'!$R$10+($BQ77-'疲劳值&amp;地图信息'!$S$10)*'疲劳值&amp;地图信息'!$R$11)/$BQ77</f>
        <v>32.067203015074995</v>
      </c>
      <c r="CF77" s="14">
        <v>72</v>
      </c>
      <c r="CG77" s="51">
        <f t="shared" si="116"/>
        <v>8000</v>
      </c>
      <c r="CH77" s="51">
        <f t="shared" si="117"/>
        <v>806</v>
      </c>
      <c r="CI77" s="51">
        <f>INT(SUMPRODUCT($N77:$R77,$BA77:$BE77)/SUM($BA77:$BE77)/10000*$BX$7*$BZ$34/'疲劳值&amp;地图信息'!$R$10*$BY$53)</f>
        <v>2872</v>
      </c>
      <c r="CJ77" s="50">
        <f t="shared" si="118"/>
        <v>0.68504880972769311</v>
      </c>
      <c r="CK77" s="50">
        <f t="shared" si="119"/>
        <v>6.9018667580065085E-2</v>
      </c>
      <c r="CL77" s="50">
        <f t="shared" si="120"/>
        <v>0.24593252269224183</v>
      </c>
      <c r="CM77" s="14">
        <f t="shared" si="121"/>
        <v>8378</v>
      </c>
      <c r="CN77" s="14">
        <f t="shared" si="122"/>
        <v>1212</v>
      </c>
      <c r="CO77" s="14">
        <f>INT(SUMPRODUCT($U77:$Y77,$BA77:$BE77)/SUM($BA77:$BE77)/10000*$BX$7*$BZ$34/'疲劳值&amp;地图信息'!$R$10*$BY$54)</f>
        <v>5179</v>
      </c>
      <c r="CP77" s="50">
        <f t="shared" si="123"/>
        <v>0.56726928024917056</v>
      </c>
      <c r="CQ77" s="50">
        <f t="shared" si="124"/>
        <v>8.2063782246597605E-2</v>
      </c>
      <c r="CR77" s="50">
        <f t="shared" si="125"/>
        <v>0.35066693750423183</v>
      </c>
      <c r="CS77" s="14">
        <f t="shared" si="126"/>
        <v>8903</v>
      </c>
      <c r="CT77" s="14">
        <f t="shared" si="127"/>
        <v>2194</v>
      </c>
      <c r="CU77" s="14">
        <f>INT(SUMPRODUCT($AB77:$AF77,$BA77:$BE77)/SUM($BA77:$BE77)/10000*$BX$7*$BZ$34/'疲劳值&amp;地图信息'!$R$10*$BY$55)</f>
        <v>7043</v>
      </c>
      <c r="CV77" s="50">
        <f t="shared" si="128"/>
        <v>0.4907938257993385</v>
      </c>
      <c r="CW77" s="50">
        <f t="shared" si="129"/>
        <v>0.12094818081587652</v>
      </c>
      <c r="CX77" s="50">
        <f t="shared" si="130"/>
        <v>0.38825799338478501</v>
      </c>
      <c r="CY77" s="14">
        <f t="shared" si="131"/>
        <v>10103</v>
      </c>
      <c r="CZ77" s="14">
        <f t="shared" si="132"/>
        <v>5474</v>
      </c>
      <c r="DA77" s="14">
        <f>INT(SUMPRODUCT($AI77:$AM77,$BA77:$BE77)/SUM($BA77:$BE77)/10000*$BX$7*$BZ$34/'疲劳值&amp;地图信息'!$R$10*$BY$56)</f>
        <v>10616</v>
      </c>
      <c r="DB77" s="50">
        <f t="shared" si="133"/>
        <v>0.38571374031229716</v>
      </c>
      <c r="DC77" s="50">
        <f t="shared" si="134"/>
        <v>0.20898713396709045</v>
      </c>
      <c r="DD77" s="50">
        <f t="shared" si="135"/>
        <v>0.40529912572061239</v>
      </c>
      <c r="DE77" s="14">
        <f t="shared" si="136"/>
        <v>10214</v>
      </c>
      <c r="DF77" s="14">
        <f t="shared" si="137"/>
        <v>10974</v>
      </c>
      <c r="DG77" s="14">
        <f>INT(SUMPRODUCT($AP77:$AT77,$BA77:$BE77)/SUM($BA77:$BE77)/10000*$BX$7*$BZ$34/'疲劳值&amp;地图信息'!$R$10*$BY$57)</f>
        <v>14178</v>
      </c>
      <c r="DH77" s="50">
        <f t="shared" si="138"/>
        <v>0.28880846010292371</v>
      </c>
      <c r="DI77" s="50">
        <f t="shared" si="139"/>
        <v>0.31029802635299442</v>
      </c>
      <c r="DJ77" s="50">
        <f t="shared" si="140"/>
        <v>0.40089351354408187</v>
      </c>
      <c r="DL77" s="14">
        <f t="shared" si="106"/>
        <v>11678</v>
      </c>
      <c r="DM77" s="14">
        <f t="shared" si="107"/>
        <v>14769</v>
      </c>
      <c r="DN77" s="14">
        <f t="shared" si="108"/>
        <v>18140</v>
      </c>
      <c r="DO77" s="14">
        <f t="shared" si="109"/>
        <v>26193</v>
      </c>
      <c r="DP77" s="14">
        <f t="shared" si="110"/>
        <v>35366</v>
      </c>
      <c r="DQ77" s="14">
        <f t="shared" si="111"/>
        <v>794888</v>
      </c>
      <c r="DT77" s="14">
        <f t="shared" si="210"/>
        <v>235575</v>
      </c>
      <c r="DU77" s="50">
        <f t="shared" si="112"/>
        <v>0.2286108283363886</v>
      </c>
      <c r="DW77" s="14">
        <f t="shared" si="141"/>
        <v>1030463</v>
      </c>
      <c r="EB77" s="14">
        <v>72</v>
      </c>
      <c r="EC77" s="51">
        <f t="shared" si="142"/>
        <v>13333</v>
      </c>
      <c r="ED77" s="51">
        <f t="shared" si="143"/>
        <v>1343</v>
      </c>
      <c r="EE77" s="51">
        <f>INT(SUMPRODUCT($N77:$R77,$BF77:$BJ77)/SUM($BF77:$BJ77)/10000*$BX$7*$BZ$46/'疲劳值&amp;地图信息'!$R$10*$BY$53)</f>
        <v>385</v>
      </c>
      <c r="EF77" s="50">
        <f t="shared" si="144"/>
        <v>0.88526658256423874</v>
      </c>
      <c r="EG77" s="50">
        <f t="shared" si="145"/>
        <v>8.9170705796427857E-2</v>
      </c>
      <c r="EH77" s="50">
        <f t="shared" si="146"/>
        <v>2.5562711639333376E-2</v>
      </c>
      <c r="EI77" s="51">
        <f t="shared" si="147"/>
        <v>13964</v>
      </c>
      <c r="EJ77" s="51">
        <f t="shared" si="148"/>
        <v>2020</v>
      </c>
      <c r="EK77" s="14">
        <f>INT(SUMPRODUCT($U77:$Y77,$BF77:$BJ77)/SUM($BF77:$BJ77)/10000*$BX$7*$BZ$46/'疲劳值&amp;地图信息'!$R$10*$BY$54)</f>
        <v>695</v>
      </c>
      <c r="EL77" s="50">
        <f t="shared" si="149"/>
        <v>0.83722045686192215</v>
      </c>
      <c r="EM77" s="50">
        <f t="shared" si="150"/>
        <v>0.12111037832004316</v>
      </c>
      <c r="EN77" s="50">
        <f t="shared" si="151"/>
        <v>4.1669164818034655E-2</v>
      </c>
      <c r="EO77" s="51">
        <f t="shared" si="152"/>
        <v>14839</v>
      </c>
      <c r="EP77" s="51">
        <f t="shared" si="153"/>
        <v>3658</v>
      </c>
      <c r="EQ77" s="14">
        <f>INT(SUMPRODUCT($AB77:$AF77,$BF77:$BJ77)/SUM($BF77:$BJ77)/10000*$BX$7*$BZ$46/'疲劳值&amp;地图信息'!$R$10*$BY$55)</f>
        <v>944</v>
      </c>
      <c r="ER77" s="50">
        <f t="shared" si="154"/>
        <v>0.76328378169847233</v>
      </c>
      <c r="ES77" s="50">
        <f t="shared" si="155"/>
        <v>0.18815904531659894</v>
      </c>
      <c r="ET77" s="50">
        <f t="shared" si="156"/>
        <v>4.8557172984928759E-2</v>
      </c>
      <c r="EU77" s="51">
        <f t="shared" si="157"/>
        <v>16839</v>
      </c>
      <c r="EV77" s="51">
        <f t="shared" si="158"/>
        <v>9123</v>
      </c>
      <c r="EW77" s="14">
        <f>INT(SUMPRODUCT($AI77:$AM77,$BF77:$BJ77)/SUM($BF77:$BJ77)/10000*$BX$7*$BZ$46/'疲劳值&amp;地图信息'!$R$10*$BY$56)</f>
        <v>1416</v>
      </c>
      <c r="EX77" s="50">
        <f t="shared" si="159"/>
        <v>0.61505588428665348</v>
      </c>
      <c r="EY77" s="50">
        <f t="shared" si="160"/>
        <v>0.33322375630067935</v>
      </c>
      <c r="EZ77" s="50">
        <f t="shared" si="161"/>
        <v>5.1720359412667102E-2</v>
      </c>
      <c r="FA77" s="51">
        <f t="shared" si="162"/>
        <v>17024</v>
      </c>
      <c r="FB77" s="51">
        <f t="shared" si="163"/>
        <v>18291</v>
      </c>
      <c r="FC77" s="14">
        <f>INT(SUMPRODUCT($AP77:$AT77,$BF77:$BJ77)/SUM($BF77:$BJ77)/10000*$BX$7*$BZ$46/'疲劳值&amp;地图信息'!$R$10*$BY$57)</f>
        <v>1888</v>
      </c>
      <c r="FD77" s="50">
        <f t="shared" si="164"/>
        <v>0.45759750557750717</v>
      </c>
      <c r="FE77" s="50">
        <f t="shared" si="165"/>
        <v>0.49165389887912264</v>
      </c>
      <c r="FF77" s="50">
        <f t="shared" si="166"/>
        <v>5.0748595543370155E-2</v>
      </c>
      <c r="FH77" s="14">
        <f t="shared" si="167"/>
        <v>15061</v>
      </c>
      <c r="FI77" s="14">
        <f t="shared" si="168"/>
        <v>16679</v>
      </c>
      <c r="FJ77" s="14">
        <f t="shared" si="169"/>
        <v>19441</v>
      </c>
      <c r="FK77" s="14">
        <f t="shared" si="170"/>
        <v>27378</v>
      </c>
      <c r="FL77" s="14">
        <f t="shared" si="171"/>
        <v>37203</v>
      </c>
      <c r="FM77" s="14">
        <f t="shared" si="172"/>
        <v>1745232</v>
      </c>
      <c r="FP77" s="14">
        <f t="shared" si="173"/>
        <v>334150</v>
      </c>
      <c r="FQ77" s="50">
        <f t="shared" si="113"/>
        <v>0.16069678394830772</v>
      </c>
      <c r="FS77" s="14">
        <f t="shared" si="174"/>
        <v>2079382</v>
      </c>
      <c r="FX77" s="14">
        <v>72</v>
      </c>
      <c r="FY77" s="51">
        <f t="shared" si="175"/>
        <v>18666</v>
      </c>
      <c r="FZ77" s="51">
        <f t="shared" si="176"/>
        <v>1343</v>
      </c>
      <c r="GA77" s="51">
        <f>INT(SUMPRODUCT($N77:$R77,$BF77:$BJ77)/SUM($BF77:$BJ77)/10000*$BX$7*$BZ$46/'疲劳值&amp;地图信息'!$R$10*$BY$53)</f>
        <v>385</v>
      </c>
      <c r="GB77" s="50">
        <f t="shared" si="177"/>
        <v>0.91526919682259489</v>
      </c>
      <c r="GC77" s="50">
        <f t="shared" si="178"/>
        <v>6.5852701775031872E-2</v>
      </c>
      <c r="GD77" s="50">
        <f t="shared" si="179"/>
        <v>1.8878101402373247E-2</v>
      </c>
      <c r="GE77" s="51">
        <f t="shared" si="180"/>
        <v>19550</v>
      </c>
      <c r="GF77" s="51">
        <f t="shared" si="181"/>
        <v>2020</v>
      </c>
      <c r="GG77" s="14">
        <f>INT(SUMPRODUCT($U77:$Y77,$BF77:$BJ77)/SUM($BF77:$BJ77)/10000*$BX$7*$BZ$46/'疲劳值&amp;地图信息'!$R$10*$BY$54)</f>
        <v>695</v>
      </c>
      <c r="GH77" s="50">
        <f t="shared" si="182"/>
        <v>0.87805973501010559</v>
      </c>
      <c r="GI77" s="50">
        <f t="shared" si="183"/>
        <v>9.0725353694138783E-2</v>
      </c>
      <c r="GJ77" s="50">
        <f t="shared" si="184"/>
        <v>3.1214911295755671E-2</v>
      </c>
      <c r="GK77" s="51">
        <f t="shared" si="185"/>
        <v>20775</v>
      </c>
      <c r="GL77" s="51">
        <f t="shared" si="186"/>
        <v>3658</v>
      </c>
      <c r="GM77" s="14">
        <f>INT(SUMPRODUCT($AB77:$AF77,$BF77:$BJ77)/SUM($BF77:$BJ77)/10000*$BX$7*$BZ$46/'疲劳值&amp;地图信息'!$R$10*$BY$55)</f>
        <v>944</v>
      </c>
      <c r="GN77" s="50">
        <f t="shared" si="187"/>
        <v>0.81865468731528546</v>
      </c>
      <c r="GO77" s="50">
        <f t="shared" si="188"/>
        <v>0.14414627418528589</v>
      </c>
      <c r="GP77" s="50">
        <f t="shared" si="189"/>
        <v>3.7199038499428613E-2</v>
      </c>
      <c r="GQ77" s="51">
        <f t="shared" si="190"/>
        <v>23575</v>
      </c>
      <c r="GR77" s="51">
        <f t="shared" si="191"/>
        <v>9123</v>
      </c>
      <c r="GS77" s="14">
        <f>INT(SUMPRODUCT($AI77:$AM77,$BF77:$BJ77)/SUM($BF77:$BJ77)/10000*$BX$7*$BZ$46/'疲劳值&amp;地图信息'!$R$10*$BY$56)</f>
        <v>1416</v>
      </c>
      <c r="GT77" s="50">
        <f t="shared" si="192"/>
        <v>0.69106525180277889</v>
      </c>
      <c r="GU77" s="50">
        <f t="shared" si="193"/>
        <v>0.26742686287154832</v>
      </c>
      <c r="GV77" s="50">
        <f t="shared" si="194"/>
        <v>4.1507885325672747E-2</v>
      </c>
      <c r="GW77" s="51">
        <f t="shared" si="195"/>
        <v>23833</v>
      </c>
      <c r="GX77" s="51">
        <f t="shared" si="196"/>
        <v>18291</v>
      </c>
      <c r="GY77" s="14">
        <f>INT(SUMPRODUCT($AP77:$AT77,$BF77:$BJ77)/SUM($BF77:$BJ77)/10000*$BX$7*$BZ$46/'疲劳值&amp;地图信息'!$R$10*$BY$57)</f>
        <v>1888</v>
      </c>
      <c r="GZ77" s="50">
        <f t="shared" si="197"/>
        <v>0.54151140598018721</v>
      </c>
      <c r="HA77" s="50">
        <f t="shared" si="198"/>
        <v>0.41559120239934566</v>
      </c>
      <c r="HB77" s="50">
        <f t="shared" si="199"/>
        <v>4.2897391620467143E-2</v>
      </c>
      <c r="HD77" s="14">
        <f t="shared" si="200"/>
        <v>20394</v>
      </c>
      <c r="HE77" s="14">
        <f t="shared" si="201"/>
        <v>22265</v>
      </c>
      <c r="HF77" s="14">
        <f t="shared" si="202"/>
        <v>25377</v>
      </c>
      <c r="HG77" s="14">
        <f t="shared" si="203"/>
        <v>34114</v>
      </c>
      <c r="HH77" s="14">
        <f t="shared" si="204"/>
        <v>44012</v>
      </c>
      <c r="HI77" s="14">
        <f t="shared" si="205"/>
        <v>2325899</v>
      </c>
      <c r="HL77" s="14">
        <f t="shared" si="206"/>
        <v>430050</v>
      </c>
      <c r="HM77" s="50">
        <f t="shared" si="114"/>
        <v>0.15604425190741919</v>
      </c>
      <c r="HO77" s="14">
        <f t="shared" si="207"/>
        <v>2755949</v>
      </c>
    </row>
    <row r="78" spans="11:223" x14ac:dyDescent="0.2">
      <c r="K78" s="14">
        <v>73</v>
      </c>
      <c r="L78" s="12">
        <f>求节点(节奏总纲!D$4:D$163,标准城池设计!AB$4:AB$163,$K78)*求节点(节奏总纲!D$4:D$163,攻城基础信息!$AC$5:$AC$164,$K78)</f>
        <v>392623.23988008528</v>
      </c>
      <c r="M78" s="12">
        <f>INDEX(其他调用!$AA$5:$AA$404,MATCH(K78,其他调用!$X$5:$X$404,0))*MIN(INDEX(其他调用!$AH$5:$AH$364,MATCH('征服点（新）'!K78,其他调用!$AG$5:$AG$364,0),1)/INDEX(其他调用!$AJ$5:$AJ$364,MATCH(K78,其他调用!$AG$5:$AG$364,0),0),5)*求节点(节奏总纲!D$4:D$163,攻城基础信息!$AC$5:$AC$164,$K78)</f>
        <v>39333.441342715254</v>
      </c>
      <c r="N78" s="12">
        <f>MIN(INDEX(其他调用!$AH$5:$AH$364,MATCH($K78,其他调用!$AG$5:$AG$364,0),1)/INDEX(其他调用!AH$5:AH$364,MATCH($K78,其他调用!$AG$5:$AG$364,0),0),1)*INDEX(其他调用!Y$5:Y$404,MATCH($K78,其他调用!$X$5:$X$404,0),0)</f>
        <v>34344.274949661311</v>
      </c>
      <c r="O78" s="12">
        <f>MIN(INDEX(其他调用!$AH$5:$AH$364,MATCH($K78,其他调用!$AG$5:$AG$364,0),1)/INDEX(其他调用!AI$5:AI$364,MATCH($K78,其他调用!$AG$5:$AG$364,0),0),1)*INDEX(其他调用!Z$5:Z$404,MATCH($K78,其他调用!$X$5:$X$404,0),0)</f>
        <v>23532.943384332844</v>
      </c>
      <c r="P78" s="12">
        <f>MIN(INDEX(其他调用!$AH$5:$AH$364,MATCH($K78,其他调用!$AG$5:$AG$364,0),1)/INDEX(其他调用!AJ$5:AJ$364,MATCH($K78,其他调用!$AG$5:$AG$364,0),0),1)*INDEX(其他调用!AA$5:AA$404,MATCH($K78,其他调用!$X$5:$X$404,0),0)</f>
        <v>13548.991042852142</v>
      </c>
      <c r="Q78" s="12">
        <f>MIN(INDEX(其他调用!$AH$5:$AH$364,MATCH($K78,其他调用!$AG$5:$AG$364,0),1)/INDEX(其他调用!AK$5:AK$364,MATCH($K78,其他调用!$AG$5:$AG$364,0),0),1)*INDEX(其他调用!AB$5:AB$404,MATCH($K78,其他调用!$X$5:$X$404,0),0)</f>
        <v>5777.0182217486872</v>
      </c>
      <c r="R78" s="12">
        <f>MIN(INDEX(其他调用!$AH$5:$AH$364,MATCH($K78,其他调用!$AG$5:$AG$364,0),1)/INDEX(其他调用!AL$5:AL$364,MATCH($K78,其他调用!$AG$5:$AG$364,0),0),1)*INDEX(其他调用!AC$5:AC$404,MATCH($K78,其他调用!$X$5:$X$404,0),0)</f>
        <v>1820.7977017764651</v>
      </c>
      <c r="S78" s="12">
        <f>求节点(节奏总纲!D$4:D$163,标准城池设计!AC$4:AC$163,$K78)*求节点(节奏总纲!D$4:D$163,攻城基础信息!$AD$5:$AD$164,$K78)</f>
        <v>411620.4263085142</v>
      </c>
      <c r="T78" s="12">
        <f>INDEX(其他调用!$AA$5:$AA$404,MATCH($K78,其他调用!$X$5:$X$404,0))*MIN(INDEX(其他调用!AI$5:AI$364,MATCH($K78,其他调用!$AG$5:$AG$364,0),1)/INDEX(其他调用!$AJ$5:$AJ$364,MATCH($K78,其他调用!$AG$5:$AG$364,0),0),5)*求节点(节奏总纲!D$4:D$163,攻城基础信息!$AD$5:$AD$164,$K78)</f>
        <v>59299.728206470179</v>
      </c>
      <c r="U78" s="12">
        <f>MIN(INDEX(其他调用!$AI$5:$AI$364,MATCH($K78,其他调用!$AG$5:$AG$364,0),1)/INDEX(其他调用!AH$5:AH$364,MATCH($K78,其他调用!$AG$5:$AG$364,0),0),1)*INDEX(其他调用!Y$5:Y$404,MATCH($K78,其他调用!$X$5:$X$404,0),0)</f>
        <v>34344.274949661311</v>
      </c>
      <c r="V78" s="12">
        <f>MIN(INDEX(其他调用!$AI$5:$AI$364,MATCH($K78,其他调用!$AG$5:$AG$364,0),1)/INDEX(其他调用!AI$5:AI$364,MATCH($K78,其他调用!$AG$5:$AG$364,0),0),1)*INDEX(其他调用!Z$5:Z$404,MATCH($K78,其他调用!$X$5:$X$404,0),0)</f>
        <v>35478.643590580235</v>
      </c>
      <c r="W78" s="12">
        <f>MIN(INDEX(其他调用!$AI$5:$AI$364,MATCH($K78,其他调用!$AG$5:$AG$364,0),1)/INDEX(其他调用!AJ$5:AJ$364,MATCH($K78,其他调用!$AG$5:$AG$364,0),0),1)*INDEX(其他调用!AA$5:AA$404,MATCH($K78,其他调用!$X$5:$X$404,0),0)</f>
        <v>20426.676611194463</v>
      </c>
      <c r="X78" s="12">
        <f>MIN(INDEX(其他调用!$AI$5:$AI$364,MATCH($K78,其他调用!$AG$5:$AG$364,0),1)/INDEX(其他调用!AK$5:AK$364,MATCH($K78,其他调用!$AG$5:$AG$364,0),0),1)*INDEX(其他调用!AB$5:AB$404,MATCH($K78,其他调用!$X$5:$X$404,0),0)</f>
        <v>8709.5255004166956</v>
      </c>
      <c r="Y78" s="12">
        <f>MIN(INDEX(其他调用!$AI$5:$AI$364,MATCH($K78,其他调用!$AG$5:$AG$364,0),1)/INDEX(其他调用!AL$5:AL$364,MATCH($K78,其他调用!$AG$5:$AG$364,0),0),1)*INDEX(其他调用!AC$5:AC$404,MATCH($K78,其他调用!$X$5:$X$404,0),0)</f>
        <v>2745.0638730929918</v>
      </c>
      <c r="Z78" s="12">
        <f>求节点(节奏总纲!D$4:D$163,标准城池设计!AD$4:AD$163,$K78)*求节点(节奏总纲!D$4:D$163,攻城基础信息!$AE$5:$AE$164,$K78)</f>
        <v>437347.91393426439</v>
      </c>
      <c r="AA78" s="12">
        <f>INDEX(其他调用!$AA$5:$AA$404,MATCH($K78,其他调用!$X$5:$X$404,0))*MIN(INDEX(其他调用!AJ$5:AJ$364,MATCH($K78,其他调用!$AG$5:$AG$364,0),1)/INDEX(其他调用!$AJ$5:$AJ$364,MATCH($K78,其他调用!$AG$5:$AG$364,0),0),5)*求节点(节奏总纲!D$4:D$163,攻城基础信息!$AE$5:$AE$164,$K78)</f>
        <v>107344.77470865652</v>
      </c>
      <c r="AB78" s="12">
        <f>MIN(INDEX(其他调用!$AJ$5:$AJ$364,MATCH($K78,其他调用!$AG$5:$AG$364,0),1)/INDEX(其他调用!AH$5:AH$364,MATCH($K78,其他调用!$AG$5:$AG$364,0),0),1)*INDEX(其他调用!Y$5:Y$404,MATCH($K78,其他调用!$X$5:$X$404,0),0)</f>
        <v>34344.274949661311</v>
      </c>
      <c r="AC78" s="12">
        <f>MIN(INDEX(其他调用!$AJ$5:$AJ$364,MATCH($K78,其他调用!$AG$5:$AG$364,0),1)/INDEX(其他调用!AI$5:AI$364,MATCH($K78,其他调用!$AG$5:$AG$364,0),0),1)*INDEX(其他调用!Z$5:Z$404,MATCH($K78,其他调用!$X$5:$X$404,0),0)</f>
        <v>35478.643590580235</v>
      </c>
      <c r="AD78" s="12">
        <f>MIN(INDEX(其他调用!$AJ$5:$AJ$364,MATCH($K78,其他调用!$AG$5:$AG$364,0),1)/INDEX(其他调用!AJ$5:AJ$364,MATCH($K78,其他调用!$AG$5:$AG$364,0),0),1)*INDEX(其他调用!AA$5:AA$404,MATCH($K78,其他调用!$X$5:$X$404,0),0)</f>
        <v>36976.510098675433</v>
      </c>
      <c r="AE78" s="12">
        <f>MIN(INDEX(其他调用!$AJ$5:$AJ$364,MATCH($K78,其他调用!$AG$5:$AG$364,0),1)/INDEX(其他调用!AK$5:AK$364,MATCH($K78,其他调用!$AG$5:$AG$364,0),0),1)*INDEX(其他调用!AB$5:AB$404,MATCH($K78,其他调用!$X$5:$X$404,0),0)</f>
        <v>15766.042795446068</v>
      </c>
      <c r="AF78" s="12">
        <f>MIN(INDEX(其他调用!$AJ$5:$AJ$364,MATCH($K78,其他调用!$AG$5:$AG$364,0),1)/INDEX(其他调用!AL$5:AL$364,MATCH($K78,其他调用!$AG$5:$AG$364,0),0),1)*INDEX(其他调用!AC$5:AC$404,MATCH($K78,其他调用!$X$5:$X$404,0),0)</f>
        <v>4969.1334501915653</v>
      </c>
      <c r="AG78" s="12">
        <f>求节点(节奏总纲!D$4:D$163,标准城池设计!AE$4:AE$163,$K78)*求节点(节奏总纲!D$4:D$163,攻城基础信息!$AF$5:$AF$164,$K78)</f>
        <v>496432.71254411811</v>
      </c>
      <c r="AH78" s="12">
        <f>INDEX(其他调用!$AA$5:$AA$404,MATCH($K78,其他调用!$X$5:$X$404,0))*MIN(INDEX(其他调用!AK$5:AK$364,MATCH($K78,其他调用!$AG$5:$AG$364,0),1)/INDEX(其他调用!$AJ$5:$AJ$364,MATCH($K78,其他调用!$AG$5:$AG$364,0),0),5)*求节点(节奏总纲!D$4:D$163,攻城基础信息!$AF$5:$AF$164,$K78)</f>
        <v>266621.78295487794</v>
      </c>
      <c r="AI78" s="12">
        <f>MIN(INDEX(其他调用!$AK$5:$AK$364,MATCH($K78,其他调用!$AG$5:$AG$364,0),1)/INDEX(其他调用!AH$5:AH$364,MATCH($K78,其他调用!$AG$5:$AG$364,0),0),1)*INDEX(其他调用!Y$5:Y$404,MATCH($K78,其他调用!$X$5:$X$404,0),0)</f>
        <v>34344.274949661311</v>
      </c>
      <c r="AJ78" s="12">
        <f>MIN(INDEX(其他调用!$AK$5:$AK$364,MATCH($K78,其他调用!$AG$5:$AG$364,0),1)/INDEX(其他调用!AI$5:AI$364,MATCH($K78,其他调用!$AG$5:$AG$364,0),0),1)*INDEX(其他调用!Z$5:Z$404,MATCH($K78,其他调用!$X$5:$X$404,0),0)</f>
        <v>35478.643590580235</v>
      </c>
      <c r="AK78" s="12">
        <f>MIN(INDEX(其他调用!$AK$5:$AK$364,MATCH($K78,其他调用!$AG$5:$AG$364,0),1)/INDEX(其他调用!AJ$5:AJ$364,MATCH($K78,其他调用!$AG$5:$AG$364,0),0),1)*INDEX(其他调用!AA$5:AA$404,MATCH($K78,其他调用!$X$5:$X$404,0),0)</f>
        <v>36976.510098675433</v>
      </c>
      <c r="AL78" s="12">
        <f>MIN(INDEX(其他调用!$AK$5:$AK$364,MATCH($K78,其他调用!$AG$5:$AG$364,0),1)/INDEX(其他调用!AK$5:AK$364,MATCH($K78,其他调用!$AG$5:$AG$364,0),0),1)*INDEX(其他调用!AB$5:AB$404,MATCH($K78,其他调用!$X$5:$X$404,0),0)</f>
        <v>39159.525479219745</v>
      </c>
      <c r="AM78" s="12">
        <f>MIN(INDEX(其他调用!$AK$5:$AK$364,MATCH($K78,其他调用!$AG$5:$AG$364,0),1)/INDEX(其他调用!AL$5:AL$364,MATCH($K78,其他调用!$AG$5:$AG$364,0),0),1)*INDEX(其他调用!AC$5:AC$404,MATCH($K78,其他调用!$X$5:$X$404,0),0)</f>
        <v>12342.279573706704</v>
      </c>
      <c r="AN78" s="12">
        <f>求节点(节奏总纲!D$4:D$163,标准城池设计!AF$4:AF$163,$K78)*求节点(节奏总纲!D$4:D$163,攻城基础信息!$AG$5:$AG$164,$K78)</f>
        <v>501113.29050631064</v>
      </c>
      <c r="AO78" s="12">
        <f>INDEX(其他调用!$AA$5:$AA$404,MATCH($K78,其他调用!$X$5:$X$404,0))*MIN(INDEX(其他调用!AL$5:AL$364,MATCH($K78,其他调用!$AG$5:$AG$364,0),1)/INDEX(其他调用!$AJ$5:$AJ$364,MATCH($K78,其他调用!$AG$5:$AG$364,0),0),5)*求节点(节奏总纲!D$4:D$163,攻城基础信息!$AG$5:$AG$164,$K78)</f>
        <v>536723.87354328262</v>
      </c>
      <c r="AP78" s="12">
        <f>MIN(INDEX(其他调用!$AL$5:$AL$364,MATCH($K78,其他调用!$AG$5:$AG$364,0),1)/INDEX(其他调用!AH$5:AH$364,MATCH($K78,其他调用!$AG$5:$AG$364,0),0),1)*INDEX(其他调用!Y$5:Y$404,MATCH($K78,其他调用!$X$5:$X$404,0),0)</f>
        <v>34344.274949661311</v>
      </c>
      <c r="AQ78" s="12">
        <f>MIN(INDEX(其他调用!$AL$5:$AL$364,MATCH($K78,其他调用!$AG$5:$AG$364,0),1)/INDEX(其他调用!AI$5:AI$364,MATCH($K78,其他调用!$AG$5:$AG$364,0),0),1)*INDEX(其他调用!Z$5:Z$404,MATCH($K78,其他调用!$X$5:$X$404,0),0)</f>
        <v>35478.643590580235</v>
      </c>
      <c r="AR78" s="12">
        <f>MIN(INDEX(其他调用!$AL$5:$AL$364,MATCH($K78,其他调用!$AG$5:$AG$364,0),1)/INDEX(其他调用!AJ$5:AJ$364,MATCH($K78,其他调用!$AG$5:$AG$364,0),0),1)*INDEX(其他调用!AA$5:AA$404,MATCH($K78,其他调用!$X$5:$X$404,0),0)</f>
        <v>36976.510098675433</v>
      </c>
      <c r="AS78" s="12">
        <f>MIN(INDEX(其他调用!$AL$5:$AL$364,MATCH($K78,其他调用!$AG$5:$AG$364,0),1)/INDEX(其他调用!AK$5:AK$364,MATCH($K78,其他调用!$AG$5:$AG$364,0),0),1)*INDEX(其他调用!AB$5:AB$404,MATCH($K78,其他调用!$X$5:$X$404,0),0)</f>
        <v>39159.525479219745</v>
      </c>
      <c r="AT78" s="12">
        <f>MIN(INDEX(其他调用!$AL$5:$AL$364,MATCH($K78,其他调用!$AG$5:$AG$364,0),1)/INDEX(其他调用!AL$5:AL$364,MATCH($K78,其他调用!$AG$5:$AG$364,0),0),1)*INDEX(其他调用!AC$5:AC$404,MATCH($K78,其他调用!$X$5:$X$404,0),0)</f>
        <v>42996.875804291463</v>
      </c>
      <c r="AV78" s="14">
        <f>IF(OR(AV$5="大R",AV$5="超R"),MAX(INDEX(其他调用!$H$5:$L$404,MATCH($K78,其他调用!$B$5:$B$404,0),MATCH(AV$5,其他调用!$H$4:$L$4,0))*120*0.85,2),INDEX(其他调用!$H$5:$L$404,MATCH($K78,其他调用!$B$5:$B$404,0),MATCH(AV$5,其他调用!$H$4:$L$4,0))*120*0.85)</f>
        <v>50.380872520500006</v>
      </c>
      <c r="AW78" s="14">
        <f>IF(OR(AW$5="大R",AW$5="超R"),MAX(INDEX(其他调用!$H$5:$L$404,MATCH($K78,其他调用!$B$5:$B$404,0),MATCH(AW$5,其他调用!$H$4:$L$4,0))*120*0.85,2),INDEX(其他调用!$H$5:$L$404,MATCH($K78,其他调用!$B$5:$B$404,0),MATCH(AW$5,其他调用!$H$4:$L$4,0))*120*0.85)</f>
        <v>46.853925166460627</v>
      </c>
      <c r="AX78" s="14">
        <f>IF(OR(AX$5="大R",AX$5="超R"),MAX(INDEX(其他调用!$H$5:$L$404,MATCH($K78,其他调用!$B$5:$B$404,0),MATCH(AX$5,其他调用!$H$4:$L$4,0))*120*0.85,2),INDEX(其他调用!$H$5:$L$404,MATCH($K78,其他调用!$B$5:$B$404,0),MATCH(AX$5,其他调用!$H$4:$L$4,0))*120*0.85)</f>
        <v>3.9046532010393604</v>
      </c>
      <c r="AY78" s="14">
        <f>IF(OR(AY$5="大R",AY$5="超R"),MAX(INDEX(其他调用!$H$5:$L$404,MATCH($K78,其他调用!$B$5:$B$404,0),MATCH(AY$5,其他调用!$H$4:$L$4,0))*120*0.85,2),INDEX(其他调用!$H$5:$L$404,MATCH($K78,其他调用!$B$5:$B$404,0),MATCH(AY$5,其他调用!$H$4:$L$4,0))*120*0.85)</f>
        <v>2</v>
      </c>
      <c r="AZ78" s="14">
        <f>IF(OR(AZ$5="大R",AZ$5="超R"),MAX(INDEX(其他调用!$H$5:$L$404,MATCH($K78,其他调用!$B$5:$B$404,0),MATCH(AZ$5,其他调用!$H$4:$L$4,0))*120*0.85,2),INDEX(其他调用!$H$5:$L$404,MATCH($K78,其他调用!$B$5:$B$404,0),MATCH(AZ$5,其他调用!$H$4:$L$4,0))*120*0.85)</f>
        <v>2</v>
      </c>
      <c r="BA78" s="14">
        <f>INDEX(其他调用!$H$5:$L$404,MATCH($K78,其他调用!$B$5:$B$404,0),MATCH(BA$5,其他调用!$H$4:$L$4,0))*INDEX(其他调用!$M$5:$M$404,MATCH($K78,其他调用!$B$5:$B$404,0))*0.6</f>
        <v>29.18131356035099</v>
      </c>
      <c r="BB78" s="14">
        <f>INDEX(其他调用!$H$5:$L$404,MATCH($K78,其他调用!$B$5:$B$404,0),MATCH(BB$5,其他调用!$H$4:$L$4,0))*INDEX(其他调用!$M$5:$M$404,MATCH($K78,其他调用!$B$5:$B$404,0))*0.6</f>
        <v>27.138455795091073</v>
      </c>
      <c r="BC78" s="14">
        <f>INDEX(其他调用!$H$5:$L$404,MATCH($K78,其他调用!$B$5:$B$404,0),MATCH(BC$5,其他调用!$H$4:$L$4,0))*INDEX(其他调用!$M$5:$M$404,MATCH($K78,其他调用!$B$5:$B$404,0))*0.6</f>
        <v>2.2616303311855974</v>
      </c>
      <c r="BD78" s="14">
        <f>INDEX(其他调用!$H$5:$L$404,MATCH($K78,其他调用!$B$5:$B$404,0),MATCH(BD$5,其他调用!$H$4:$L$4,0))*INDEX(其他调用!$M$5:$M$404,MATCH($K78,其他调用!$B$5:$B$404,0))*0.6</f>
        <v>0.3897163959652174</v>
      </c>
      <c r="BE78" s="14">
        <f>INDEX(其他调用!$H$5:$L$404,MATCH($K78,其他调用!$B$5:$B$404,0),MATCH(BE$5,其他调用!$H$4:$L$4,0))*INDEX(其他调用!$M$5:$M$404,MATCH($K78,其他调用!$B$5:$B$404,0))*0.6</f>
        <v>0.10872581464031617</v>
      </c>
      <c r="BF78" s="14">
        <f>IF(OR(BF$5="大R",BF$5="超R"),0,INDEX(其他调用!$H$5:$L$404,MATCH($K78,其他调用!$B$5:$B$404,0),MATCH(BF$5,其他调用!$H$4:$L$4,0))*50*0.4)</f>
        <v>9.8786024550000029</v>
      </c>
      <c r="BG78" s="14">
        <f>IF(OR(BG$5="大R",BG$5="超R"),0,INDEX(其他调用!$H$5:$L$404,MATCH($K78,其他调用!$B$5:$B$404,0),MATCH(BG$5,其他调用!$H$4:$L$4,0))*50*0.4)</f>
        <v>9.1870441502863969</v>
      </c>
      <c r="BH78" s="14">
        <f>IF(OR(BH$5="大R",BH$5="超R"),0,INDEX(其他调用!$H$5:$L$404,MATCH($K78,其他调用!$B$5:$B$404,0),MATCH(BH$5,其他调用!$H$4:$L$4,0))*50*0.4)</f>
        <v>0.76561827471360011</v>
      </c>
      <c r="BI78" s="14">
        <f>IF(OR(BI$5="大R",BI$5="超R"),0,INDEX(其他调用!$H$5:$L$404,MATCH($K78,其他调用!$B$5:$B$404,0),MATCH(BI$5,其他调用!$H$4:$L$4,0))*50*0.4)</f>
        <v>0</v>
      </c>
      <c r="BJ78" s="14">
        <f>IF(OR(BJ$5="大R",BJ$5="超R"),0,INDEX(其他调用!$H$5:$L$404,MATCH($K78,其他调用!$B$5:$B$404,0),MATCH(BJ$5,其他调用!$H$4:$L$4,0))*50*0.4)</f>
        <v>0</v>
      </c>
      <c r="BL78" s="14">
        <f t="shared" si="208"/>
        <v>73</v>
      </c>
      <c r="BM78" s="14">
        <f t="shared" si="115"/>
        <v>96</v>
      </c>
      <c r="BN78" s="14">
        <f>('疲劳值&amp;地图信息'!$S$10*'疲劳值&amp;地图信息'!$R$10+'疲劳值&amp;地图信息'!$S$11*'疲劳值&amp;地图信息'!$R$11+'疲劳值&amp;地图信息'!$S$12*'疲劳值&amp;地图信息'!$R$12+(BM78-'疲劳值&amp;地图信息'!$S$12-'疲劳值&amp;地图信息'!$S$11-'疲劳值&amp;地图信息'!$S$10)*'疲劳值&amp;地图信息'!$R$13)/BM78</f>
        <v>51.371477246638619</v>
      </c>
      <c r="BO78" s="14">
        <f>INDEX(其他调用!$M$5:$M$404,MATCH(BL78,其他调用!$B$5:$B$404,0))*0.6</f>
        <v>59.079841897233194</v>
      </c>
      <c r="BP78" s="14">
        <f>IF(BO78&gt;SUM('疲劳值&amp;地图信息'!$S$10:$S$12),('疲劳值&amp;地图信息'!$S$10*'疲劳值&amp;地图信息'!$R$10+'疲劳值&amp;地图信息'!$S$11*'疲劳值&amp;地图信息'!$R$11+'疲劳值&amp;地图信息'!$S$12*'疲劳值&amp;地图信息'!$R$12+(BO78-'疲劳值&amp;地图信息'!$S$12-'疲劳值&amp;地图信息'!$S$11-'疲劳值&amp;地图信息'!$S$10)*'疲劳值&amp;地图信息'!$R$13)/BO78,('疲劳值&amp;地图信息'!$S$10*'疲劳值&amp;地图信息'!$R$10+'疲劳值&amp;地图信息'!$S$11*'疲劳值&amp;地图信息'!$R$11+'疲劳值&amp;地图信息'!$S$12*'疲劳值&amp;地图信息'!$R$12+(BO78-'疲劳值&amp;地图信息'!$S$12-'疲劳值&amp;地图信息'!$S$11-'疲劳值&amp;地图信息'!$S$10)*'疲劳值&amp;地图信息'!$R$13)/BO78)</f>
        <v>43.858545646770509</v>
      </c>
      <c r="BQ78" s="14">
        <f t="shared" si="209"/>
        <v>20</v>
      </c>
      <c r="BR78" s="14">
        <f>('疲劳值&amp;地图信息'!$S$10*'疲劳值&amp;地图信息'!$R$10+($BQ78-'疲劳值&amp;地图信息'!$S$10)*'疲劳值&amp;地图信息'!$R$11)/$BQ78</f>
        <v>32.067203015074995</v>
      </c>
      <c r="CF78" s="14">
        <v>73</v>
      </c>
      <c r="CG78" s="51">
        <f t="shared" si="116"/>
        <v>8056</v>
      </c>
      <c r="CH78" s="51">
        <f t="shared" si="117"/>
        <v>807</v>
      </c>
      <c r="CI78" s="51">
        <f>INT(SUMPRODUCT($N78:$R78,$BA78:$BE78)/SUM($BA78:$BE78)/10000*$BX$7*$BZ$34/'疲劳值&amp;地图信息'!$R$10*$BY$53)</f>
        <v>2874</v>
      </c>
      <c r="CJ78" s="50">
        <f t="shared" si="118"/>
        <v>0.68637641646076508</v>
      </c>
      <c r="CK78" s="50">
        <f t="shared" si="119"/>
        <v>6.8756922552611399E-2</v>
      </c>
      <c r="CL78" s="50">
        <f t="shared" si="120"/>
        <v>0.24486666098662349</v>
      </c>
      <c r="CM78" s="14">
        <f t="shared" si="121"/>
        <v>8446</v>
      </c>
      <c r="CN78" s="14">
        <f t="shared" si="122"/>
        <v>1216</v>
      </c>
      <c r="CO78" s="14">
        <f>INT(SUMPRODUCT($U78:$Y78,$BA78:$BE78)/SUM($BA78:$BE78)/10000*$BX$7*$BZ$34/'疲劳值&amp;地图信息'!$R$10*$BY$54)</f>
        <v>5190</v>
      </c>
      <c r="CP78" s="50">
        <f t="shared" si="123"/>
        <v>0.56867761917586857</v>
      </c>
      <c r="CQ78" s="50">
        <f t="shared" si="124"/>
        <v>8.1874495017506058E-2</v>
      </c>
      <c r="CR78" s="50">
        <f t="shared" si="125"/>
        <v>0.34944788580662539</v>
      </c>
      <c r="CS78" s="14">
        <f t="shared" si="126"/>
        <v>8974</v>
      </c>
      <c r="CT78" s="14">
        <f t="shared" si="127"/>
        <v>2202</v>
      </c>
      <c r="CU78" s="14">
        <f>INT(SUMPRODUCT($AB78:$AF78,$BA78:$BE78)/SUM($BA78:$BE78)/10000*$BX$7*$BZ$34/'疲劳值&amp;地图信息'!$R$10*$BY$55)</f>
        <v>7059</v>
      </c>
      <c r="CV78" s="50">
        <f t="shared" si="128"/>
        <v>0.49213051823416509</v>
      </c>
      <c r="CW78" s="50">
        <f t="shared" si="129"/>
        <v>0.12075678639978064</v>
      </c>
      <c r="CX78" s="50">
        <f t="shared" si="130"/>
        <v>0.3871126953660543</v>
      </c>
      <c r="CY78" s="14">
        <f t="shared" si="131"/>
        <v>10187</v>
      </c>
      <c r="CZ78" s="14">
        <f t="shared" si="132"/>
        <v>5471</v>
      </c>
      <c r="DA78" s="14">
        <f>INT(SUMPRODUCT($AI78:$AM78,$BA78:$BE78)/SUM($BA78:$BE78)/10000*$BX$7*$BZ$34/'疲劳值&amp;地图信息'!$R$10*$BY$56)</f>
        <v>10641</v>
      </c>
      <c r="DB78" s="50">
        <f t="shared" si="133"/>
        <v>0.38735313129776799</v>
      </c>
      <c r="DC78" s="50">
        <f t="shared" si="134"/>
        <v>0.20803072360165786</v>
      </c>
      <c r="DD78" s="50">
        <f t="shared" si="135"/>
        <v>0.40461614510057414</v>
      </c>
      <c r="DE78" s="14">
        <f t="shared" si="136"/>
        <v>10283</v>
      </c>
      <c r="DF78" s="14">
        <f t="shared" si="137"/>
        <v>11013</v>
      </c>
      <c r="DG78" s="14">
        <f>INT(SUMPRODUCT($AP78:$AT78,$BA78:$BE78)/SUM($BA78:$BE78)/10000*$BX$7*$BZ$34/'疲劳值&amp;地图信息'!$R$10*$BY$57)</f>
        <v>14211</v>
      </c>
      <c r="DH78" s="50">
        <f t="shared" si="138"/>
        <v>0.28960486664601348</v>
      </c>
      <c r="DI78" s="50">
        <f t="shared" si="139"/>
        <v>0.31016419297603287</v>
      </c>
      <c r="DJ78" s="50">
        <f t="shared" si="140"/>
        <v>0.40023094037795365</v>
      </c>
      <c r="DL78" s="14">
        <f t="shared" si="106"/>
        <v>11737</v>
      </c>
      <c r="DM78" s="14">
        <f t="shared" si="107"/>
        <v>14852</v>
      </c>
      <c r="DN78" s="14">
        <f t="shared" si="108"/>
        <v>18235</v>
      </c>
      <c r="DO78" s="14">
        <f t="shared" si="109"/>
        <v>26299</v>
      </c>
      <c r="DP78" s="14">
        <f t="shared" si="110"/>
        <v>35507</v>
      </c>
      <c r="DQ78" s="14">
        <f t="shared" si="111"/>
        <v>800911</v>
      </c>
      <c r="DT78" s="14">
        <f t="shared" si="210"/>
        <v>235575</v>
      </c>
      <c r="DU78" s="50">
        <f t="shared" si="112"/>
        <v>0.22728237525639516</v>
      </c>
      <c r="DW78" s="14">
        <f t="shared" si="141"/>
        <v>1036486</v>
      </c>
      <c r="EB78" s="14">
        <v>73</v>
      </c>
      <c r="EC78" s="51">
        <f t="shared" si="142"/>
        <v>13428</v>
      </c>
      <c r="ED78" s="51">
        <f t="shared" si="143"/>
        <v>1345</v>
      </c>
      <c r="EE78" s="51">
        <f>INT(SUMPRODUCT($N78:$R78,$BF78:$BJ78)/SUM($BF78:$BJ78)/10000*$BX$7*$BZ$46/'疲劳值&amp;地图信息'!$R$10*$BY$53)</f>
        <v>386</v>
      </c>
      <c r="EF78" s="50">
        <f t="shared" si="144"/>
        <v>0.88581040965762914</v>
      </c>
      <c r="EG78" s="50">
        <f t="shared" si="145"/>
        <v>8.8726169272379446E-2</v>
      </c>
      <c r="EH78" s="50">
        <f t="shared" si="146"/>
        <v>2.5463421069991426E-2</v>
      </c>
      <c r="EI78" s="51">
        <f t="shared" si="147"/>
        <v>14077</v>
      </c>
      <c r="EJ78" s="51">
        <f t="shared" si="148"/>
        <v>2028</v>
      </c>
      <c r="EK78" s="14">
        <f>INT(SUMPRODUCT($U78:$Y78,$BF78:$BJ78)/SUM($BF78:$BJ78)/10000*$BX$7*$BZ$46/'疲劳值&amp;地图信息'!$R$10*$BY$54)</f>
        <v>696</v>
      </c>
      <c r="EL78" s="50">
        <f t="shared" si="149"/>
        <v>0.83786679364323557</v>
      </c>
      <c r="EM78" s="50">
        <f t="shared" si="150"/>
        <v>0.12070710076781144</v>
      </c>
      <c r="EN78" s="50">
        <f t="shared" si="151"/>
        <v>4.1426105588953037E-2</v>
      </c>
      <c r="EO78" s="51">
        <f t="shared" si="152"/>
        <v>14957</v>
      </c>
      <c r="EP78" s="51">
        <f t="shared" si="153"/>
        <v>3671</v>
      </c>
      <c r="EQ78" s="14">
        <f>INT(SUMPRODUCT($AB78:$AF78,$BF78:$BJ78)/SUM($BF78:$BJ78)/10000*$BX$7*$BZ$46/'疲劳值&amp;地图信息'!$R$10*$BY$55)</f>
        <v>946</v>
      </c>
      <c r="ER78" s="50">
        <f t="shared" si="154"/>
        <v>0.76412588127107384</v>
      </c>
      <c r="ES78" s="50">
        <f t="shared" si="155"/>
        <v>0.18754470215592112</v>
      </c>
      <c r="ET78" s="50">
        <f t="shared" si="156"/>
        <v>4.8329416573005005E-2</v>
      </c>
      <c r="EU78" s="51">
        <f t="shared" si="157"/>
        <v>16978</v>
      </c>
      <c r="EV78" s="51">
        <f t="shared" si="158"/>
        <v>9118</v>
      </c>
      <c r="EW78" s="14">
        <f>INT(SUMPRODUCT($AI78:$AM78,$BF78:$BJ78)/SUM($BF78:$BJ78)/10000*$BX$7*$BZ$46/'疲劳值&amp;地图信息'!$R$10*$BY$56)</f>
        <v>1419</v>
      </c>
      <c r="EX78" s="50">
        <f t="shared" si="159"/>
        <v>0.61704524804652006</v>
      </c>
      <c r="EY78" s="50">
        <f t="shared" si="160"/>
        <v>0.33138288206432853</v>
      </c>
      <c r="EZ78" s="50">
        <f t="shared" si="161"/>
        <v>5.157186988915137E-2</v>
      </c>
      <c r="FA78" s="51">
        <f t="shared" si="162"/>
        <v>17138</v>
      </c>
      <c r="FB78" s="51">
        <f t="shared" si="163"/>
        <v>18356</v>
      </c>
      <c r="FC78" s="14">
        <f>INT(SUMPRODUCT($AP78:$AT78,$BF78:$BJ78)/SUM($BF78:$BJ78)/10000*$BX$7*$BZ$46/'疲劳值&amp;地图信息'!$R$10*$BY$57)</f>
        <v>1892</v>
      </c>
      <c r="FD78" s="50">
        <f t="shared" si="164"/>
        <v>0.45840689027978387</v>
      </c>
      <c r="FE78" s="50">
        <f t="shared" si="165"/>
        <v>0.49098593056224255</v>
      </c>
      <c r="FF78" s="50">
        <f t="shared" si="166"/>
        <v>5.0607179157973574E-2</v>
      </c>
      <c r="FH78" s="14">
        <f t="shared" si="167"/>
        <v>15159</v>
      </c>
      <c r="FI78" s="14">
        <f t="shared" si="168"/>
        <v>16801</v>
      </c>
      <c r="FJ78" s="14">
        <f t="shared" si="169"/>
        <v>19574</v>
      </c>
      <c r="FK78" s="14">
        <f t="shared" si="170"/>
        <v>27515</v>
      </c>
      <c r="FL78" s="14">
        <f t="shared" si="171"/>
        <v>37386</v>
      </c>
      <c r="FM78" s="14">
        <f t="shared" si="172"/>
        <v>1757148</v>
      </c>
      <c r="FP78" s="14">
        <f t="shared" si="173"/>
        <v>334150</v>
      </c>
      <c r="FQ78" s="50">
        <f t="shared" si="113"/>
        <v>0.15978115027126694</v>
      </c>
      <c r="FS78" s="14">
        <f t="shared" si="174"/>
        <v>2091298</v>
      </c>
      <c r="FX78" s="14">
        <v>73</v>
      </c>
      <c r="FY78" s="51">
        <f t="shared" si="175"/>
        <v>18799</v>
      </c>
      <c r="FZ78" s="51">
        <f t="shared" si="176"/>
        <v>1345</v>
      </c>
      <c r="GA78" s="51">
        <f>INT(SUMPRODUCT($N78:$R78,$BF78:$BJ78)/SUM($BF78:$BJ78)/10000*$BX$7*$BZ$46/'疲劳值&amp;地图信息'!$R$10*$BY$53)</f>
        <v>386</v>
      </c>
      <c r="GB78" s="50">
        <f t="shared" si="177"/>
        <v>0.91568436434486122</v>
      </c>
      <c r="GC78" s="50">
        <f t="shared" si="178"/>
        <v>6.551388212372139E-2</v>
      </c>
      <c r="GD78" s="50">
        <f t="shared" si="179"/>
        <v>1.8801753531417439E-2</v>
      </c>
      <c r="GE78" s="51">
        <f t="shared" si="180"/>
        <v>19708</v>
      </c>
      <c r="GF78" s="51">
        <f t="shared" si="181"/>
        <v>2028</v>
      </c>
      <c r="GG78" s="14">
        <f>INT(SUMPRODUCT($U78:$Y78,$BF78:$BJ78)/SUM($BF78:$BJ78)/10000*$BX$7*$BZ$46/'疲劳值&amp;地图信息'!$R$10*$BY$54)</f>
        <v>696</v>
      </c>
      <c r="GH78" s="50">
        <f t="shared" si="182"/>
        <v>0.87856633380884452</v>
      </c>
      <c r="GI78" s="50">
        <f t="shared" si="183"/>
        <v>9.0406562054208273E-2</v>
      </c>
      <c r="GJ78" s="50">
        <f t="shared" si="184"/>
        <v>3.1027104136947217E-2</v>
      </c>
      <c r="GK78" s="51">
        <f t="shared" si="185"/>
        <v>20940</v>
      </c>
      <c r="GL78" s="51">
        <f t="shared" si="186"/>
        <v>3671</v>
      </c>
      <c r="GM78" s="14">
        <f>INT(SUMPRODUCT($AB78:$AF78,$BF78:$BJ78)/SUM($BF78:$BJ78)/10000*$BX$7*$BZ$46/'疲劳值&amp;地图信息'!$R$10*$BY$55)</f>
        <v>946</v>
      </c>
      <c r="GN78" s="50">
        <f t="shared" si="187"/>
        <v>0.81934499354384316</v>
      </c>
      <c r="GO78" s="50">
        <f t="shared" si="188"/>
        <v>0.14363970732089057</v>
      </c>
      <c r="GP78" s="50">
        <f t="shared" si="189"/>
        <v>3.7015299135266265E-2</v>
      </c>
      <c r="GQ78" s="51">
        <f t="shared" si="190"/>
        <v>23769</v>
      </c>
      <c r="GR78" s="51">
        <f t="shared" si="191"/>
        <v>9118</v>
      </c>
      <c r="GS78" s="14">
        <f>INT(SUMPRODUCT($AI78:$AM78,$BF78:$BJ78)/SUM($BF78:$BJ78)/10000*$BX$7*$BZ$46/'疲劳值&amp;地图信息'!$R$10*$BY$56)</f>
        <v>1419</v>
      </c>
      <c r="GT78" s="50">
        <f t="shared" si="192"/>
        <v>0.69285256223401159</v>
      </c>
      <c r="GU78" s="50">
        <f t="shared" si="193"/>
        <v>0.26578441089022331</v>
      </c>
      <c r="GV78" s="50">
        <f t="shared" si="194"/>
        <v>4.1363026875765173E-2</v>
      </c>
      <c r="GW78" s="51">
        <f t="shared" si="195"/>
        <v>23993</v>
      </c>
      <c r="GX78" s="51">
        <f t="shared" si="196"/>
        <v>18356</v>
      </c>
      <c r="GY78" s="14">
        <f>INT(SUMPRODUCT($AP78:$AT78,$BF78:$BJ78)/SUM($BF78:$BJ78)/10000*$BX$7*$BZ$46/'疲劳值&amp;地图信息'!$R$10*$BY$57)</f>
        <v>1892</v>
      </c>
      <c r="GZ78" s="50">
        <f t="shared" si="197"/>
        <v>0.54232499265387313</v>
      </c>
      <c r="HA78" s="50">
        <f t="shared" si="198"/>
        <v>0.41490924707850185</v>
      </c>
      <c r="HB78" s="50">
        <f t="shared" si="199"/>
        <v>4.2765760267625054E-2</v>
      </c>
      <c r="HD78" s="14">
        <f t="shared" si="200"/>
        <v>20530</v>
      </c>
      <c r="HE78" s="14">
        <f t="shared" si="201"/>
        <v>22432</v>
      </c>
      <c r="HF78" s="14">
        <f t="shared" si="202"/>
        <v>25557</v>
      </c>
      <c r="HG78" s="14">
        <f t="shared" si="203"/>
        <v>34306</v>
      </c>
      <c r="HH78" s="14">
        <f t="shared" si="204"/>
        <v>44241</v>
      </c>
      <c r="HI78" s="14">
        <f t="shared" si="205"/>
        <v>2342231</v>
      </c>
      <c r="HL78" s="14">
        <f t="shared" si="206"/>
        <v>430050</v>
      </c>
      <c r="HM78" s="50">
        <f t="shared" si="114"/>
        <v>0.15512496749066923</v>
      </c>
      <c r="HO78" s="14">
        <f t="shared" si="207"/>
        <v>2772281</v>
      </c>
    </row>
    <row r="79" spans="11:223" x14ac:dyDescent="0.2">
      <c r="K79" s="14">
        <v>74</v>
      </c>
      <c r="L79" s="12">
        <f>求节点(节奏总纲!D$4:D$163,标准城池设计!AB$4:AB$163,$K79)*求节点(节奏总纲!D$4:D$163,攻城基础信息!$AC$5:$AC$164,$K79)</f>
        <v>395567.28581380052</v>
      </c>
      <c r="M79" s="12">
        <f>INDEX(其他调用!$AA$5:$AA$404,MATCH(K79,其他调用!$X$5:$X$404,0))*MIN(INDEX(其他调用!$AH$5:$AH$364,MATCH('征服点（新）'!K79,其他调用!$AG$5:$AG$364,0),1)/INDEX(其他调用!$AJ$5:$AJ$364,MATCH(K79,其他调用!$AG$5:$AG$364,0),0),5)*求节点(节奏总纲!D$4:D$163,攻城基础信息!$AC$5:$AC$164,$K79)</f>
        <v>39377.104768040786</v>
      </c>
      <c r="N79" s="12">
        <f>MIN(INDEX(其他调用!$AH$5:$AH$364,MATCH($K79,其他调用!$AG$5:$AG$364,0),1)/INDEX(其他调用!AH$5:AH$364,MATCH($K79,其他调用!$AG$5:$AG$364,0),0),1)*INDEX(其他调用!Y$5:Y$404,MATCH($K79,其他调用!$X$5:$X$404,0),0)</f>
        <v>34419.396779049166</v>
      </c>
      <c r="O79" s="12">
        <f>MIN(INDEX(其他调用!$AH$5:$AH$364,MATCH($K79,其他调用!$AG$5:$AG$364,0),1)/INDEX(其他调用!AI$5:AI$364,MATCH($K79,其他调用!$AG$5:$AG$364,0),0),1)*INDEX(其他调用!Z$5:Z$404,MATCH($K79,其他调用!$X$5:$X$404,0),0)</f>
        <v>23517.22060741466</v>
      </c>
      <c r="P79" s="12">
        <f>MIN(INDEX(其他调用!$AH$5:$AH$364,MATCH($K79,其他调用!$AG$5:$AG$364,0),1)/INDEX(其他调用!AJ$5:AJ$364,MATCH($K79,其他调用!$AG$5:$AG$364,0),0),1)*INDEX(其他调用!AA$5:AA$404,MATCH($K79,其他调用!$X$5:$X$404,0),0)</f>
        <v>13534.579300177362</v>
      </c>
      <c r="Q79" s="12">
        <f>MIN(INDEX(其他调用!$AH$5:$AH$364,MATCH($K79,其他调用!$AG$5:$AG$364,0),1)/INDEX(其他调用!AK$5:AK$364,MATCH($K79,其他调用!$AG$5:$AG$364,0),0),1)*INDEX(其他调用!AB$5:AB$404,MATCH($K79,其他调用!$X$5:$X$404,0),0)</f>
        <v>5800.8595942513894</v>
      </c>
      <c r="R79" s="12">
        <f>MIN(INDEX(其他调用!$AH$5:$AH$364,MATCH($K79,其他调用!$AG$5:$AG$364,0),1)/INDEX(其他调用!AL$5:AL$364,MATCH($K79,其他调用!$AG$5:$AG$364,0),0),1)*INDEX(其他调用!AC$5:AC$404,MATCH($K79,其他调用!$X$5:$X$404,0),0)</f>
        <v>1812.7634681472775</v>
      </c>
      <c r="S79" s="12">
        <f>求节点(节奏总纲!D$4:D$163,标准城池设计!AC$4:AC$163,$K79)*求节点(节奏总纲!D$4:D$163,攻城基础信息!$AD$5:$AD$164,$K79)</f>
        <v>415216.0521749967</v>
      </c>
      <c r="T79" s="12">
        <f>INDEX(其他调用!$AA$5:$AA$404,MATCH($K79,其他调用!$X$5:$X$404,0))*MIN(INDEX(其他调用!AI$5:AI$364,MATCH($K79,其他调用!$AG$5:$AG$364,0),1)/INDEX(其他调用!$AJ$5:$AJ$364,MATCH($K79,其他调用!$AG$5:$AG$364,0),0),5)*求节点(节奏总纲!D$4:D$163,攻城基础信息!$AD$5:$AD$164,$K79)</f>
        <v>59534.693941596583</v>
      </c>
      <c r="U79" s="12">
        <f>MIN(INDEX(其他调用!$AI$5:$AI$364,MATCH($K79,其他调用!$AG$5:$AG$364,0),1)/INDEX(其他调用!AH$5:AH$364,MATCH($K79,其他调用!$AG$5:$AG$364,0),0),1)*INDEX(其他调用!Y$5:Y$404,MATCH($K79,其他调用!$X$5:$X$404,0),0)</f>
        <v>34419.396779049166</v>
      </c>
      <c r="V79" s="12">
        <f>MIN(INDEX(其他调用!$AI$5:$AI$364,MATCH($K79,其他调用!$AG$5:$AG$364,0),1)/INDEX(其他调用!AI$5:AI$364,MATCH($K79,其他调用!$AG$5:$AG$364,0),0),1)*INDEX(其他调用!Z$5:Z$404,MATCH($K79,其他调用!$X$5:$X$404,0),0)</f>
        <v>35555.954137993926</v>
      </c>
      <c r="W79" s="12">
        <f>MIN(INDEX(其他调用!$AI$5:$AI$364,MATCH($K79,其他调用!$AG$5:$AG$364,0),1)/INDEX(其他调用!AJ$5:AJ$364,MATCH($K79,其他调用!$AG$5:$AG$364,0),0),1)*INDEX(其他调用!AA$5:AA$404,MATCH($K79,其他调用!$X$5:$X$404,0),0)</f>
        <v>20463.08485631254</v>
      </c>
      <c r="X79" s="12">
        <f>MIN(INDEX(其他调用!$AI$5:$AI$364,MATCH($K79,其他调用!$AG$5:$AG$364,0),1)/INDEX(其他调用!AK$5:AK$364,MATCH($K79,其他调用!$AG$5:$AG$364,0),0),1)*INDEX(其他调用!AB$5:AB$404,MATCH($K79,其他调用!$X$5:$X$404,0),0)</f>
        <v>8770.3858009953365</v>
      </c>
      <c r="Y79" s="12">
        <f>MIN(INDEX(其他调用!$AI$5:$AI$364,MATCH($K79,其他调用!$AG$5:$AG$364,0),1)/INDEX(其他调用!AL$5:AL$364,MATCH($K79,其他调用!$AG$5:$AG$364,0),0),1)*INDEX(其他调用!AC$5:AC$404,MATCH($K79,其他调用!$X$5:$X$404,0),0)</f>
        <v>2740.7377688226375</v>
      </c>
      <c r="Z79" s="12">
        <f>求节点(节奏总纲!D$4:D$163,标准城池设计!AD$4:AD$163,$K79)*求节点(节奏总纲!D$4:D$163,攻城基础信息!$AE$5:$AE$164,$K79)</f>
        <v>441106.19101445866</v>
      </c>
      <c r="AA79" s="12">
        <f>INDEX(其他调用!$AA$5:$AA$404,MATCH($K79,其他调用!$X$5:$X$404,0))*MIN(INDEX(其他调用!AJ$5:AJ$364,MATCH($K79,其他调用!$AG$5:$AG$364,0),1)/INDEX(其他调用!$AJ$5:$AJ$364,MATCH($K79,其他调用!$AG$5:$AG$364,0),0),5)*求节点(节奏总纲!D$4:D$163,攻城基础信息!$AE$5:$AE$164,$K79)</f>
        <v>107807.76293356092</v>
      </c>
      <c r="AB79" s="12">
        <f>MIN(INDEX(其他调用!$AJ$5:$AJ$364,MATCH($K79,其他调用!$AG$5:$AG$364,0),1)/INDEX(其他调用!AH$5:AH$364,MATCH($K79,其他调用!$AG$5:$AG$364,0),0),1)*INDEX(其他调用!Y$5:Y$404,MATCH($K79,其他调用!$X$5:$X$404,0),0)</f>
        <v>34419.396779049166</v>
      </c>
      <c r="AC79" s="12">
        <f>MIN(INDEX(其他调用!$AJ$5:$AJ$364,MATCH($K79,其他调用!$AG$5:$AG$364,0),1)/INDEX(其他调用!AI$5:AI$364,MATCH($K79,其他调用!$AG$5:$AG$364,0),0),1)*INDEX(其他调用!Z$5:Z$404,MATCH($K79,其他调用!$X$5:$X$404,0),0)</f>
        <v>35555.954137993926</v>
      </c>
      <c r="AD79" s="12">
        <f>MIN(INDEX(其他调用!$AJ$5:$AJ$364,MATCH($K79,其他调用!$AG$5:$AG$364,0),1)/INDEX(其他调用!AJ$5:AJ$364,MATCH($K79,其他调用!$AG$5:$AG$364,0),0),1)*INDEX(其他调用!AA$5:AA$404,MATCH($K79,其他调用!$X$5:$X$404,0),0)</f>
        <v>37055.358061348939</v>
      </c>
      <c r="AE79" s="12">
        <f>MIN(INDEX(其他调用!$AJ$5:$AJ$364,MATCH($K79,其他调用!$AG$5:$AG$364,0),1)/INDEX(其他调用!AK$5:AK$364,MATCH($K79,其他调用!$AG$5:$AG$364,0),0),1)*INDEX(其他调用!AB$5:AB$404,MATCH($K79,其他调用!$X$5:$X$404,0),0)</f>
        <v>15881.759200729628</v>
      </c>
      <c r="AF79" s="12">
        <f>MIN(INDEX(其他调用!$AJ$5:$AJ$364,MATCH($K79,其他调用!$AG$5:$AG$364,0),1)/INDEX(其他调用!AL$5:AL$364,MATCH($K79,其他调用!$AG$5:$AG$364,0),0),1)*INDEX(其他调用!AC$5:AC$404,MATCH($K79,其他调用!$X$5:$X$404,0),0)</f>
        <v>4963.0356365675752</v>
      </c>
      <c r="AG79" s="12">
        <f>求节点(节奏总纲!D$4:D$163,标准城池设计!AE$4:AE$163,$K79)*求节点(节奏总纲!D$4:D$163,攻城基础信息!$AF$5:$AF$164,$K79)</f>
        <v>500842.96467700484</v>
      </c>
      <c r="AH79" s="12">
        <f>INDEX(其他调用!$AA$5:$AA$404,MATCH($K79,其他调用!$X$5:$X$404,0))*MIN(INDEX(其他调用!AK$5:AK$364,MATCH($K79,其他调用!$AG$5:$AG$364,0),1)/INDEX(其他调用!$AJ$5:$AJ$364,MATCH($K79,其他调用!$AG$5:$AG$364,0),0),5)*求节点(节奏总纲!D$4:D$163,攻城基础信息!$AF$5:$AF$164,$K79)</f>
        <v>266354.44326664996</v>
      </c>
      <c r="AI79" s="12">
        <f>MIN(INDEX(其他调用!$AK$5:$AK$364,MATCH($K79,其他调用!$AG$5:$AG$364,0),1)/INDEX(其他调用!AH$5:AH$364,MATCH($K79,其他调用!$AG$5:$AG$364,0),0),1)*INDEX(其他调用!Y$5:Y$404,MATCH($K79,其他调用!$X$5:$X$404,0),0)</f>
        <v>34419.396779049166</v>
      </c>
      <c r="AJ79" s="12">
        <f>MIN(INDEX(其他调用!$AK$5:$AK$364,MATCH($K79,其他调用!$AG$5:$AG$364,0),1)/INDEX(其他调用!AI$5:AI$364,MATCH($K79,其他调用!$AG$5:$AG$364,0),0),1)*INDEX(其他调用!Z$5:Z$404,MATCH($K79,其他调用!$X$5:$X$404,0),0)</f>
        <v>35555.954137993926</v>
      </c>
      <c r="AK79" s="12">
        <f>MIN(INDEX(其他调用!$AK$5:$AK$364,MATCH($K79,其他调用!$AG$5:$AG$364,0),1)/INDEX(其他调用!AJ$5:AJ$364,MATCH($K79,其他调用!$AG$5:$AG$364,0),0),1)*INDEX(其他调用!AA$5:AA$404,MATCH($K79,其他调用!$X$5:$X$404,0),0)</f>
        <v>37055.358061348939</v>
      </c>
      <c r="AL79" s="12">
        <f>MIN(INDEX(其他调用!$AK$5:$AK$364,MATCH($K79,其他调用!$AG$5:$AG$364,0),1)/INDEX(其他调用!AK$5:AK$364,MATCH($K79,其他调用!$AG$5:$AG$364,0),0),1)*INDEX(其他调用!AB$5:AB$404,MATCH($K79,其他调用!$X$5:$X$404,0),0)</f>
        <v>39238.149599786077</v>
      </c>
      <c r="AM79" s="12">
        <f>MIN(INDEX(其他调用!$AK$5:$AK$364,MATCH($K79,其他调用!$AG$5:$AG$364,0),1)/INDEX(其他调用!AL$5:AL$364,MATCH($K79,其他调用!$AG$5:$AG$364,0),0),1)*INDEX(其他调用!AC$5:AC$404,MATCH($K79,其他调用!$X$5:$X$404,0),0)</f>
        <v>12261.886880123546</v>
      </c>
      <c r="AN79" s="12">
        <f>求节点(节奏总纲!D$4:D$163,标准城池设计!AF$4:AF$163,$K79)*求节点(节奏总纲!D$4:D$163,攻城基础信息!$AG$5:$AG$164,$K79)</f>
        <v>504749.03591980936</v>
      </c>
      <c r="AO79" s="12">
        <f>INDEX(其他调用!$AA$5:$AA$404,MATCH($K79,其他调用!$X$5:$X$404,0))*MIN(INDEX(其他调用!AL$5:AL$364,MATCH($K79,其他调用!$AG$5:$AG$364,0),1)/INDEX(其他调用!$AJ$5:$AJ$364,MATCH($K79,其他调用!$AG$5:$AG$364,0),0),5)*求节点(节奏总纲!D$4:D$163,攻城基础信息!$AG$5:$AG$164,$K79)</f>
        <v>539038.81466780463</v>
      </c>
      <c r="AP79" s="12">
        <f>MIN(INDEX(其他调用!$AL$5:$AL$364,MATCH($K79,其他调用!$AG$5:$AG$364,0),1)/INDEX(其他调用!AH$5:AH$364,MATCH($K79,其他调用!$AG$5:$AG$364,0),0),1)*INDEX(其他调用!Y$5:Y$404,MATCH($K79,其他调用!$X$5:$X$404,0),0)</f>
        <v>34419.396779049166</v>
      </c>
      <c r="AQ79" s="12">
        <f>MIN(INDEX(其他调用!$AL$5:$AL$364,MATCH($K79,其他调用!$AG$5:$AG$364,0),1)/INDEX(其他调用!AI$5:AI$364,MATCH($K79,其他调用!$AG$5:$AG$364,0),0),1)*INDEX(其他调用!Z$5:Z$404,MATCH($K79,其他调用!$X$5:$X$404,0),0)</f>
        <v>35555.954137993926</v>
      </c>
      <c r="AR79" s="12">
        <f>MIN(INDEX(其他调用!$AL$5:$AL$364,MATCH($K79,其他调用!$AG$5:$AG$364,0),1)/INDEX(其他调用!AJ$5:AJ$364,MATCH($K79,其他调用!$AG$5:$AG$364,0),0),1)*INDEX(其他调用!AA$5:AA$404,MATCH($K79,其他调用!$X$5:$X$404,0),0)</f>
        <v>37055.358061348939</v>
      </c>
      <c r="AS79" s="12">
        <f>MIN(INDEX(其他调用!$AL$5:$AL$364,MATCH($K79,其他调用!$AG$5:$AG$364,0),1)/INDEX(其他调用!AK$5:AK$364,MATCH($K79,其他调用!$AG$5:$AG$364,0),0),1)*INDEX(其他调用!AB$5:AB$404,MATCH($K79,其他调用!$X$5:$X$404,0),0)</f>
        <v>39238.149599786077</v>
      </c>
      <c r="AT79" s="12">
        <f>MIN(INDEX(其他调用!$AL$5:$AL$364,MATCH($K79,其他调用!$AG$5:$AG$364,0),1)/INDEX(其他调用!AL$5:AL$364,MATCH($K79,其他调用!$AG$5:$AG$364,0),0),1)*INDEX(其他调用!AC$5:AC$404,MATCH($K79,其他调用!$X$5:$X$404,0),0)</f>
        <v>43074.707860916067</v>
      </c>
      <c r="AV79" s="14">
        <f>IF(OR(AV$5="大R",AV$5="超R"),MAX(INDEX(其他调用!$H$5:$L$404,MATCH($K79,其他调用!$B$5:$B$404,0),MATCH(AV$5,其他调用!$H$4:$L$4,0))*120*0.85,2),INDEX(其他调用!$H$5:$L$404,MATCH($K79,其他调用!$B$5:$B$404,0),MATCH(AV$5,其他调用!$H$4:$L$4,0))*120*0.85)</f>
        <v>50.29504479900001</v>
      </c>
      <c r="AW79" s="14">
        <f>IF(OR(AW$5="大R",AW$5="超R"),MAX(INDEX(其他调用!$H$5:$L$404,MATCH($K79,其他调用!$B$5:$B$404,0),MATCH(AW$5,其他调用!$H$4:$L$4,0))*120*0.85,2),INDEX(其他调用!$H$5:$L$404,MATCH($K79,其他调用!$B$5:$B$404,0),MATCH(AW$5,其他调用!$H$4:$L$4,0))*120*0.85)</f>
        <v>46.93530274552991</v>
      </c>
      <c r="AX79" s="14">
        <f>IF(OR(AX$5="大R",AX$5="超R"),MAX(INDEX(其他调用!$H$5:$L$404,MATCH($K79,其他调用!$B$5:$B$404,0),MATCH(AX$5,其他调用!$H$4:$L$4,0))*120*0.85,2),INDEX(其他调用!$H$5:$L$404,MATCH($K79,其他调用!$B$5:$B$404,0),MATCH(AX$5,其他调用!$H$4:$L$4,0))*120*0.85)</f>
        <v>3.9065929194700799</v>
      </c>
      <c r="AY79" s="14">
        <f>IF(OR(AY$5="大R",AY$5="超R"),MAX(INDEX(其他调用!$H$5:$L$404,MATCH($K79,其他调用!$B$5:$B$404,0),MATCH(AY$5,其他调用!$H$4:$L$4,0))*120*0.85,2),INDEX(其他调用!$H$5:$L$404,MATCH($K79,其他调用!$B$5:$B$404,0),MATCH(AY$5,其他调用!$H$4:$L$4,0))*120*0.85)</f>
        <v>2</v>
      </c>
      <c r="AZ79" s="14">
        <f>IF(OR(AZ$5="大R",AZ$5="超R"),MAX(INDEX(其他调用!$H$5:$L$404,MATCH($K79,其他调用!$B$5:$B$404,0),MATCH(AZ$5,其他调用!$H$4:$L$4,0))*120*0.85,2),INDEX(其他调用!$H$5:$L$404,MATCH($K79,其他调用!$B$5:$B$404,0),MATCH(AZ$5,其他调用!$H$4:$L$4,0))*120*0.85)</f>
        <v>2</v>
      </c>
      <c r="BA79" s="14">
        <f>INDEX(其他调用!$H$5:$L$404,MATCH($K79,其他调用!$B$5:$B$404,0),MATCH(BA$5,其他调用!$H$4:$L$4,0))*INDEX(其他调用!$M$5:$M$404,MATCH($K79,其他调用!$B$5:$B$404,0))*0.6</f>
        <v>29.19006994356285</v>
      </c>
      <c r="BB79" s="14">
        <f>INDEX(其他调用!$H$5:$L$404,MATCH($K79,其他调用!$B$5:$B$404,0),MATCH(BB$5,其他调用!$H$4:$L$4,0))*INDEX(其他调用!$M$5:$M$404,MATCH($K79,其他调用!$B$5:$B$404,0))*0.6</f>
        <v>27.240154083560046</v>
      </c>
      <c r="BC79" s="14">
        <f>INDEX(其他调用!$H$5:$L$404,MATCH($K79,其他调用!$B$5:$B$404,0),MATCH(BC$5,其他调用!$H$4:$L$4,0))*INDEX(其他调用!$M$5:$M$404,MATCH($K79,其他调用!$B$5:$B$404,0))*0.6</f>
        <v>2.2672953372660345</v>
      </c>
      <c r="BD79" s="14">
        <f>INDEX(其他调用!$H$5:$L$404,MATCH($K79,其他调用!$B$5:$B$404,0),MATCH(BD$5,其他调用!$H$4:$L$4,0))*INDEX(其他调用!$M$5:$M$404,MATCH($K79,其他调用!$B$5:$B$404,0))*0.6</f>
        <v>0.39144409920000006</v>
      </c>
      <c r="BE79" s="14">
        <f>INDEX(其他调用!$H$5:$L$404,MATCH($K79,其他调用!$B$5:$B$404,0),MATCH(BE$5,其他调用!$H$4:$L$4,0))*INDEX(其他调用!$M$5:$M$404,MATCH($K79,其他调用!$B$5:$B$404,0))*0.6</f>
        <v>0.10945550874308299</v>
      </c>
      <c r="BF79" s="14">
        <f>IF(OR(BF$5="大R",BF$5="超R"),0,INDEX(其他调用!$H$5:$L$404,MATCH($K79,其他调用!$B$5:$B$404,0),MATCH(BF$5,其他调用!$H$4:$L$4,0))*50*0.4)</f>
        <v>9.8617734900000027</v>
      </c>
      <c r="BG79" s="14">
        <f>IF(OR(BG$5="大R",BG$5="超R"),0,INDEX(其他调用!$H$5:$L$404,MATCH($K79,其他调用!$B$5:$B$404,0),MATCH(BG$5,其他调用!$H$4:$L$4,0))*50*0.4)</f>
        <v>9.2030005383391984</v>
      </c>
      <c r="BH79" s="14">
        <f>IF(OR(BH$5="大R",BH$5="超R"),0,INDEX(其他调用!$H$5:$L$404,MATCH($K79,其他调用!$B$5:$B$404,0),MATCH(BH$5,其他调用!$H$4:$L$4,0))*50*0.4)</f>
        <v>0.76599861166080008</v>
      </c>
      <c r="BI79" s="14">
        <f>IF(OR(BI$5="大R",BI$5="超R"),0,INDEX(其他调用!$H$5:$L$404,MATCH($K79,其他调用!$B$5:$B$404,0),MATCH(BI$5,其他调用!$H$4:$L$4,0))*50*0.4)</f>
        <v>0</v>
      </c>
      <c r="BJ79" s="14">
        <f>IF(OR(BJ$5="大R",BJ$5="超R"),0,INDEX(其他调用!$H$5:$L$404,MATCH($K79,其他调用!$B$5:$B$404,0),MATCH(BJ$5,其他调用!$H$4:$L$4,0))*50*0.4)</f>
        <v>0</v>
      </c>
      <c r="BL79" s="14">
        <f t="shared" si="208"/>
        <v>74</v>
      </c>
      <c r="BM79" s="14">
        <f t="shared" si="115"/>
        <v>96</v>
      </c>
      <c r="BN79" s="14">
        <f>('疲劳值&amp;地图信息'!$S$10*'疲劳值&amp;地图信息'!$R$10+'疲劳值&amp;地图信息'!$S$11*'疲劳值&amp;地图信息'!$R$11+'疲劳值&amp;地图信息'!$S$12*'疲劳值&amp;地图信息'!$R$12+(BM79-'疲劳值&amp;地图信息'!$S$12-'疲劳值&amp;地图信息'!$S$11-'疲劳值&amp;地图信息'!$S$10)*'疲劳值&amp;地图信息'!$R$13)/BM79</f>
        <v>51.371477246638619</v>
      </c>
      <c r="BO79" s="14">
        <f>INDEX(其他调用!$M$5:$M$404,MATCH(BL79,其他调用!$B$5:$B$404,0))*0.6</f>
        <v>59.198418972332014</v>
      </c>
      <c r="BP79" s="14">
        <f>IF(BO79&gt;SUM('疲劳值&amp;地图信息'!$S$10:$S$12),('疲劳值&amp;地图信息'!$S$10*'疲劳值&amp;地图信息'!$R$10+'疲劳值&amp;地图信息'!$S$11*'疲劳值&amp;地图信息'!$R$11+'疲劳值&amp;地图信息'!$S$12*'疲劳值&amp;地图信息'!$R$12+(BO79-'疲劳值&amp;地图信息'!$S$12-'疲劳值&amp;地图信息'!$S$11-'疲劳值&amp;地图信息'!$S$10)*'疲劳值&amp;地图信息'!$R$13)/BO79,('疲劳值&amp;地图信息'!$S$10*'疲劳值&amp;地图信息'!$R$10+'疲劳值&amp;地图信息'!$S$11*'疲劳值&amp;地图信息'!$R$11+'疲劳值&amp;地图信息'!$S$12*'疲劳值&amp;地图信息'!$R$12+(BO79-'疲劳值&amp;地图信息'!$S$12-'疲劳值&amp;地图信息'!$S$11-'疲劳值&amp;地图信息'!$S$10)*'疲劳值&amp;地图信息'!$R$13)/BO79)</f>
        <v>43.897675456965189</v>
      </c>
      <c r="BQ79" s="14">
        <f t="shared" si="209"/>
        <v>20</v>
      </c>
      <c r="BR79" s="14">
        <f>('疲劳值&amp;地图信息'!$S$10*'疲劳值&amp;地图信息'!$R$10+($BQ79-'疲劳值&amp;地图信息'!$S$10)*'疲劳值&amp;地图信息'!$R$11)/$BQ79</f>
        <v>32.067203015074995</v>
      </c>
      <c r="CF79" s="14">
        <v>74</v>
      </c>
      <c r="CG79" s="51">
        <f t="shared" si="116"/>
        <v>8110</v>
      </c>
      <c r="CH79" s="51">
        <f t="shared" si="117"/>
        <v>807</v>
      </c>
      <c r="CI79" s="51">
        <f>INT(SUMPRODUCT($N79:$R79,$BA79:$BE79)/SUM($BA79:$BE79)/10000*$BX$7*$BZ$34/'疲劳值&amp;地图信息'!$R$10*$BY$53)</f>
        <v>2876</v>
      </c>
      <c r="CJ79" s="50">
        <f t="shared" si="118"/>
        <v>0.68769609090138217</v>
      </c>
      <c r="CK79" s="50">
        <f t="shared" si="119"/>
        <v>6.843042482828797E-2</v>
      </c>
      <c r="CL79" s="50">
        <f t="shared" si="120"/>
        <v>0.24387348427032984</v>
      </c>
      <c r="CM79" s="14">
        <f t="shared" si="121"/>
        <v>8512</v>
      </c>
      <c r="CN79" s="14">
        <f t="shared" si="122"/>
        <v>1220</v>
      </c>
      <c r="CO79" s="14">
        <f>INT(SUMPRODUCT($U79:$Y79,$BA79:$BE79)/SUM($BA79:$BE79)/10000*$BX$7*$BZ$34/'疲劳值&amp;地图信息'!$R$10*$BY$54)</f>
        <v>5202</v>
      </c>
      <c r="CP79" s="50">
        <f t="shared" si="123"/>
        <v>0.56997455470737912</v>
      </c>
      <c r="CQ79" s="50">
        <f t="shared" si="124"/>
        <v>8.1692781572251238E-2</v>
      </c>
      <c r="CR79" s="50">
        <f t="shared" si="125"/>
        <v>0.34833266372036964</v>
      </c>
      <c r="CS79" s="14">
        <f t="shared" si="126"/>
        <v>9043</v>
      </c>
      <c r="CT79" s="14">
        <f t="shared" si="127"/>
        <v>2210</v>
      </c>
      <c r="CU79" s="14">
        <f>INT(SUMPRODUCT($AB79:$AF79,$BA79:$BE79)/SUM($BA79:$BE79)/10000*$BX$7*$BZ$34/'疲劳值&amp;地图信息'!$R$10*$BY$55)</f>
        <v>7075</v>
      </c>
      <c r="CV79" s="50">
        <f t="shared" si="128"/>
        <v>0.49339807944129199</v>
      </c>
      <c r="CW79" s="50">
        <f t="shared" si="129"/>
        <v>0.12058053251855085</v>
      </c>
      <c r="CX79" s="50">
        <f t="shared" si="130"/>
        <v>0.38602138804015712</v>
      </c>
      <c r="CY79" s="14">
        <f t="shared" si="131"/>
        <v>10268</v>
      </c>
      <c r="CZ79" s="14">
        <f t="shared" si="132"/>
        <v>5460</v>
      </c>
      <c r="DA79" s="14">
        <f>INT(SUMPRODUCT($AI79:$AM79,$BA79:$BE79)/SUM($BA79:$BE79)/10000*$BX$7*$BZ$34/'疲劳值&amp;地图信息'!$R$10*$BY$56)</f>
        <v>10664</v>
      </c>
      <c r="DB79" s="50">
        <f t="shared" si="133"/>
        <v>0.38905729008790541</v>
      </c>
      <c r="DC79" s="50">
        <f t="shared" si="134"/>
        <v>0.20688087299181571</v>
      </c>
      <c r="DD79" s="50">
        <f t="shared" si="135"/>
        <v>0.40406183692027886</v>
      </c>
      <c r="DE79" s="14">
        <f t="shared" si="136"/>
        <v>10348</v>
      </c>
      <c r="DF79" s="14">
        <f t="shared" si="137"/>
        <v>11051</v>
      </c>
      <c r="DG79" s="14">
        <f>INT(SUMPRODUCT($AP79:$AT79,$BA79:$BE79)/SUM($BA79:$BE79)/10000*$BX$7*$BZ$34/'疲劳值&amp;地图信息'!$R$10*$BY$57)</f>
        <v>14242</v>
      </c>
      <c r="DH79" s="50">
        <f t="shared" si="138"/>
        <v>0.29033977722286131</v>
      </c>
      <c r="DI79" s="50">
        <f t="shared" si="139"/>
        <v>0.31006425184478548</v>
      </c>
      <c r="DJ79" s="50">
        <f t="shared" si="140"/>
        <v>0.39959597093235316</v>
      </c>
      <c r="DL79" s="14">
        <f t="shared" ref="DL79:DL142" si="211">SUM(CG79:CI79)</f>
        <v>11793</v>
      </c>
      <c r="DM79" s="14">
        <f t="shared" ref="DM79:DM142" si="212">SUM(CM79:CO79)</f>
        <v>14934</v>
      </c>
      <c r="DN79" s="14">
        <f t="shared" ref="DN79:DN142" si="213">SUM(CS79:CU79)</f>
        <v>18328</v>
      </c>
      <c r="DO79" s="14">
        <f t="shared" ref="DO79:DO142" si="214">SUM(CY79:DA79)</f>
        <v>26392</v>
      </c>
      <c r="DP79" s="14">
        <f t="shared" ref="DP79:DP142" si="215">SUM(DE79:DG79)</f>
        <v>35641</v>
      </c>
      <c r="DQ79" s="14">
        <f t="shared" ref="DQ79:DQ142" si="216">INT(SUMPRODUCT(DL79:DP79,$BA79:$BE79))</f>
        <v>806830</v>
      </c>
      <c r="DT79" s="14">
        <f t="shared" si="210"/>
        <v>235575</v>
      </c>
      <c r="DU79" s="50">
        <f t="shared" si="112"/>
        <v>0.22599181700011031</v>
      </c>
      <c r="DW79" s="14">
        <f t="shared" si="141"/>
        <v>1042405</v>
      </c>
      <c r="EB79" s="14">
        <v>74</v>
      </c>
      <c r="EC79" s="51">
        <f t="shared" si="142"/>
        <v>13516</v>
      </c>
      <c r="ED79" s="51">
        <f t="shared" si="143"/>
        <v>1345</v>
      </c>
      <c r="EE79" s="51">
        <f>INT(SUMPRODUCT($N79:$R79,$BF79:$BJ79)/SUM($BF79:$BJ79)/10000*$BX$7*$BZ$46/'疲劳值&amp;地图信息'!$R$10*$BY$53)</f>
        <v>386</v>
      </c>
      <c r="EF79" s="50">
        <f t="shared" si="144"/>
        <v>0.8864694694038171</v>
      </c>
      <c r="EG79" s="50">
        <f t="shared" si="145"/>
        <v>8.821407489998033E-2</v>
      </c>
      <c r="EH79" s="50">
        <f t="shared" si="146"/>
        <v>2.5316455696202531E-2</v>
      </c>
      <c r="EI79" s="51">
        <f t="shared" si="147"/>
        <v>14188</v>
      </c>
      <c r="EJ79" s="51">
        <f t="shared" si="148"/>
        <v>2034</v>
      </c>
      <c r="EK79" s="14">
        <f>INT(SUMPRODUCT($U79:$Y79,$BF79:$BJ79)/SUM($BF79:$BJ79)/10000*$BX$7*$BZ$46/'疲劳值&amp;地图信息'!$R$10*$BY$54)</f>
        <v>698</v>
      </c>
      <c r="EL79" s="50">
        <f t="shared" si="149"/>
        <v>0.83853427895981092</v>
      </c>
      <c r="EM79" s="50">
        <f t="shared" si="150"/>
        <v>0.1202127659574468</v>
      </c>
      <c r="EN79" s="50">
        <f t="shared" si="151"/>
        <v>4.1252955082742314E-2</v>
      </c>
      <c r="EO79" s="51">
        <f t="shared" si="152"/>
        <v>15072</v>
      </c>
      <c r="EP79" s="51">
        <f t="shared" si="153"/>
        <v>3683</v>
      </c>
      <c r="EQ79" s="14">
        <f>INT(SUMPRODUCT($AB79:$AF79,$BF79:$BJ79)/SUM($BF79:$BJ79)/10000*$BX$7*$BZ$46/'疲劳值&amp;地图信息'!$R$10*$BY$55)</f>
        <v>948</v>
      </c>
      <c r="ER79" s="50">
        <f t="shared" si="154"/>
        <v>0.76495965081459671</v>
      </c>
      <c r="ES79" s="50">
        <f t="shared" si="155"/>
        <v>0.18692584885550423</v>
      </c>
      <c r="ET79" s="50">
        <f t="shared" si="156"/>
        <v>4.8114500329899001E-2</v>
      </c>
      <c r="EU79" s="51">
        <f t="shared" si="157"/>
        <v>17113</v>
      </c>
      <c r="EV79" s="51">
        <f t="shared" si="158"/>
        <v>9101</v>
      </c>
      <c r="EW79" s="14">
        <f>INT(SUMPRODUCT($AI79:$AM79,$BF79:$BJ79)/SUM($BF79:$BJ79)/10000*$BX$7*$BZ$46/'疲劳值&amp;地图信息'!$R$10*$BY$56)</f>
        <v>1422</v>
      </c>
      <c r="EX79" s="50">
        <f t="shared" si="159"/>
        <v>0.61922854248082215</v>
      </c>
      <c r="EY79" s="50">
        <f t="shared" si="160"/>
        <v>0.32931683311622523</v>
      </c>
      <c r="EZ79" s="50">
        <f t="shared" si="161"/>
        <v>5.1454624402952669E-2</v>
      </c>
      <c r="FA79" s="51">
        <f t="shared" si="162"/>
        <v>17247</v>
      </c>
      <c r="FB79" s="51">
        <f t="shared" si="163"/>
        <v>18419</v>
      </c>
      <c r="FC79" s="14">
        <f>INT(SUMPRODUCT($AP79:$AT79,$BF79:$BJ79)/SUM($BF79:$BJ79)/10000*$BX$7*$BZ$46/'疲劳值&amp;地图信息'!$R$10*$BY$57)</f>
        <v>1896</v>
      </c>
      <c r="FD79" s="50">
        <f t="shared" si="164"/>
        <v>0.4591608540546297</v>
      </c>
      <c r="FE79" s="50">
        <f t="shared" si="165"/>
        <v>0.49036260050050584</v>
      </c>
      <c r="FF79" s="50">
        <f t="shared" si="166"/>
        <v>5.047654544486449E-2</v>
      </c>
      <c r="FH79" s="14">
        <f t="shared" si="167"/>
        <v>15247</v>
      </c>
      <c r="FI79" s="14">
        <f t="shared" si="168"/>
        <v>16920</v>
      </c>
      <c r="FJ79" s="14">
        <f t="shared" si="169"/>
        <v>19703</v>
      </c>
      <c r="FK79" s="14">
        <f t="shared" si="170"/>
        <v>27636</v>
      </c>
      <c r="FL79" s="14">
        <f t="shared" si="171"/>
        <v>37562</v>
      </c>
      <c r="FM79" s="14">
        <f t="shared" si="172"/>
        <v>1768361</v>
      </c>
      <c r="FP79" s="14">
        <f t="shared" si="173"/>
        <v>334150</v>
      </c>
      <c r="FQ79" s="50">
        <f t="shared" si="113"/>
        <v>0.15892901392668099</v>
      </c>
      <c r="FS79" s="14">
        <f t="shared" si="174"/>
        <v>2102511</v>
      </c>
      <c r="FX79" s="14">
        <v>74</v>
      </c>
      <c r="FY79" s="51">
        <f t="shared" si="175"/>
        <v>18923</v>
      </c>
      <c r="FZ79" s="51">
        <f t="shared" si="176"/>
        <v>1345</v>
      </c>
      <c r="GA79" s="51">
        <f>INT(SUMPRODUCT($N79:$R79,$BF79:$BJ79)/SUM($BF79:$BJ79)/10000*$BX$7*$BZ$46/'疲劳值&amp;地图信息'!$R$10*$BY$53)</f>
        <v>386</v>
      </c>
      <c r="GB79" s="50">
        <f t="shared" si="177"/>
        <v>0.91619056841289825</v>
      </c>
      <c r="GC79" s="50">
        <f t="shared" si="178"/>
        <v>6.5120557761208481E-2</v>
      </c>
      <c r="GD79" s="50">
        <f t="shared" si="179"/>
        <v>1.8688873825893289E-2</v>
      </c>
      <c r="GE79" s="51">
        <f t="shared" si="180"/>
        <v>19863</v>
      </c>
      <c r="GF79" s="51">
        <f t="shared" si="181"/>
        <v>2034</v>
      </c>
      <c r="GG79" s="14">
        <f>INT(SUMPRODUCT($U79:$Y79,$BF79:$BJ79)/SUM($BF79:$BJ79)/10000*$BX$7*$BZ$46/'疲劳值&amp;地图信息'!$R$10*$BY$54)</f>
        <v>698</v>
      </c>
      <c r="GH79" s="50">
        <f t="shared" si="182"/>
        <v>0.87908829387032528</v>
      </c>
      <c r="GI79" s="50">
        <f t="shared" si="183"/>
        <v>9.0019915910599685E-2</v>
      </c>
      <c r="GJ79" s="50">
        <f t="shared" si="184"/>
        <v>3.0891790219075017E-2</v>
      </c>
      <c r="GK79" s="51">
        <f t="shared" si="185"/>
        <v>21101</v>
      </c>
      <c r="GL79" s="51">
        <f t="shared" si="186"/>
        <v>3683</v>
      </c>
      <c r="GM79" s="14">
        <f>INT(SUMPRODUCT($AB79:$AF79,$BF79:$BJ79)/SUM($BF79:$BJ79)/10000*$BX$7*$BZ$46/'疲劳值&amp;地图信息'!$R$10*$BY$55)</f>
        <v>948</v>
      </c>
      <c r="GN79" s="50">
        <f t="shared" si="187"/>
        <v>0.82002953520907818</v>
      </c>
      <c r="GO79" s="50">
        <f t="shared" si="188"/>
        <v>0.14312917767759989</v>
      </c>
      <c r="GP79" s="50">
        <f t="shared" si="189"/>
        <v>3.6841287113321936E-2</v>
      </c>
      <c r="GQ79" s="51">
        <f t="shared" si="190"/>
        <v>23959</v>
      </c>
      <c r="GR79" s="51">
        <f t="shared" si="191"/>
        <v>9101</v>
      </c>
      <c r="GS79" s="14">
        <f>INT(SUMPRODUCT($AI79:$AM79,$BF79:$BJ79)/SUM($BF79:$BJ79)/10000*$BX$7*$BZ$46/'疲劳值&amp;地图信息'!$R$10*$BY$56)</f>
        <v>1422</v>
      </c>
      <c r="GT79" s="50">
        <f t="shared" si="192"/>
        <v>0.69482628617829589</v>
      </c>
      <c r="GU79" s="50">
        <f t="shared" si="193"/>
        <v>0.26393480656574447</v>
      </c>
      <c r="GV79" s="50">
        <f t="shared" si="194"/>
        <v>4.1238907255959634E-2</v>
      </c>
      <c r="GW79" s="51">
        <f t="shared" si="195"/>
        <v>24146</v>
      </c>
      <c r="GX79" s="51">
        <f t="shared" si="196"/>
        <v>18419</v>
      </c>
      <c r="GY79" s="14">
        <f>INT(SUMPRODUCT($AP79:$AT79,$BF79:$BJ79)/SUM($BF79:$BJ79)/10000*$BX$7*$BZ$46/'疲劳值&amp;地图信息'!$R$10*$BY$57)</f>
        <v>1896</v>
      </c>
      <c r="GZ79" s="50">
        <f t="shared" si="197"/>
        <v>0.54308270169361916</v>
      </c>
      <c r="HA79" s="50">
        <f t="shared" si="198"/>
        <v>0.41427318323924339</v>
      </c>
      <c r="HB79" s="50">
        <f t="shared" si="199"/>
        <v>4.2644115067137493E-2</v>
      </c>
      <c r="HD79" s="14">
        <f t="shared" si="200"/>
        <v>20654</v>
      </c>
      <c r="HE79" s="14">
        <f t="shared" si="201"/>
        <v>22595</v>
      </c>
      <c r="HF79" s="14">
        <f t="shared" si="202"/>
        <v>25732</v>
      </c>
      <c r="HG79" s="14">
        <f t="shared" si="203"/>
        <v>34482</v>
      </c>
      <c r="HH79" s="14">
        <f t="shared" si="204"/>
        <v>44461</v>
      </c>
      <c r="HI79" s="14">
        <f t="shared" si="205"/>
        <v>2357707</v>
      </c>
      <c r="HL79" s="14">
        <f t="shared" si="206"/>
        <v>430050</v>
      </c>
      <c r="HM79" s="50">
        <f t="shared" si="114"/>
        <v>0.15426380419814209</v>
      </c>
      <c r="HO79" s="14">
        <f t="shared" si="207"/>
        <v>2787757</v>
      </c>
    </row>
    <row r="80" spans="11:223" x14ac:dyDescent="0.2">
      <c r="K80" s="14">
        <v>75</v>
      </c>
      <c r="L80" s="12">
        <f>求节点(节奏总纲!D$4:D$163,标准城池设计!AB$4:AB$163,$K80)*求节点(节奏总纲!D$4:D$163,攻城基础信息!$AC$5:$AC$164,$K80)</f>
        <v>398520.40655033704</v>
      </c>
      <c r="M80" s="12">
        <f>INDEX(其他调用!$AA$5:$AA$404,MATCH(K80,其他调用!$X$5:$X$404,0))*MIN(INDEX(其他调用!$AH$5:$AH$364,MATCH('征服点（新）'!K80,其他调用!$AG$5:$AG$364,0),1)/INDEX(其他调用!$AJ$5:$AJ$364,MATCH(K80,其他调用!$AG$5:$AG$364,0),0),5)*求节点(节奏总纲!D$4:D$163,攻城基础信息!$AC$5:$AC$164,$K80)</f>
        <v>39403.108579319785</v>
      </c>
      <c r="N80" s="12">
        <f>MIN(INDEX(其他调用!$AH$5:$AH$364,MATCH($K80,其他调用!$AG$5:$AG$364,0),1)/INDEX(其他调用!AH$5:AH$364,MATCH($K80,其他调用!$AG$5:$AG$364,0),0),1)*INDEX(其他调用!Y$5:Y$404,MATCH($K80,其他调用!$X$5:$X$404,0),0)</f>
        <v>34494.518608437022</v>
      </c>
      <c r="O80" s="12">
        <f>MIN(INDEX(其他调用!$AH$5:$AH$364,MATCH($K80,其他调用!$AG$5:$AG$364,0),1)/INDEX(其他调用!AI$5:AI$364,MATCH($K80,其他调用!$AG$5:$AG$364,0),0),1)*INDEX(其他调用!Z$5:Z$404,MATCH($K80,其他调用!$X$5:$X$404,0),0)</f>
        <v>23504.636594096326</v>
      </c>
      <c r="P80" s="12">
        <f>MIN(INDEX(其他调用!$AH$5:$AH$364,MATCH($K80,其他调用!$AG$5:$AG$364,0),1)/INDEX(其他调用!AJ$5:AJ$364,MATCH($K80,其他调用!$AG$5:$AG$364,0),0),1)*INDEX(其他调用!AA$5:AA$404,MATCH($K80,其他调用!$X$5:$X$404,0),0)</f>
        <v>13514.173250016598</v>
      </c>
      <c r="Q80" s="12">
        <f>MIN(INDEX(其他调用!$AH$5:$AH$364,MATCH($K80,其他调用!$AG$5:$AG$364,0),1)/INDEX(其他调用!AK$5:AK$364,MATCH($K80,其他调用!$AG$5:$AG$364,0),0),1)*INDEX(其他调用!AB$5:AB$404,MATCH($K80,其他调用!$X$5:$X$404,0),0)</f>
        <v>5824.2366850802491</v>
      </c>
      <c r="R80" s="12">
        <f>MIN(INDEX(其他调用!$AH$5:$AH$364,MATCH($K80,其他调用!$AG$5:$AG$364,0),1)/INDEX(其他调用!AL$5:AL$364,MATCH($K80,其他调用!$AG$5:$AG$364,0),0),1)*INDEX(其他调用!AC$5:AC$404,MATCH($K80,其他调用!$X$5:$X$404,0),0)</f>
        <v>1805.338839258817</v>
      </c>
      <c r="S80" s="12">
        <f>求节点(节奏总纲!D$4:D$163,标准城池设计!AC$4:AC$163,$K80)*求节点(节奏总纲!D$4:D$163,攻城基础信息!$AD$5:$AD$164,$K80)</f>
        <v>418823.40293640224</v>
      </c>
      <c r="T80" s="12">
        <f>INDEX(其他调用!$AA$5:$AA$404,MATCH($K80,其他调用!$X$5:$X$404,0))*MIN(INDEX(其他调用!AI$5:AI$364,MATCH($K80,其他调用!$AG$5:$AG$364,0),1)/INDEX(其他调用!$AJ$5:$AJ$364,MATCH($K80,其他调用!$AG$5:$AG$364,0),0),5)*求节点(节奏总纲!D$4:D$163,攻城基础信息!$AD$5:$AD$164,$K80)</f>
        <v>59735.507580126396</v>
      </c>
      <c r="U80" s="12">
        <f>MIN(INDEX(其他调用!$AI$5:$AI$364,MATCH($K80,其他调用!$AG$5:$AG$364,0),1)/INDEX(其他调用!AH$5:AH$364,MATCH($K80,其他调用!$AG$5:$AG$364,0),0),1)*INDEX(其他调用!Y$5:Y$404,MATCH($K80,其他调用!$X$5:$X$404,0),0)</f>
        <v>34494.518608437022</v>
      </c>
      <c r="V80" s="12">
        <f>MIN(INDEX(其他调用!$AI$5:$AI$364,MATCH($K80,其他调用!$AG$5:$AG$364,0),1)/INDEX(其他调用!AI$5:AI$364,MATCH($K80,其他调用!$AG$5:$AG$364,0),0),1)*INDEX(其他调用!Z$5:Z$404,MATCH($K80,其他调用!$X$5:$X$404,0),0)</f>
        <v>35633.264685407616</v>
      </c>
      <c r="W80" s="12">
        <f>MIN(INDEX(其他调用!$AI$5:$AI$364,MATCH($K80,其他调用!$AG$5:$AG$364,0),1)/INDEX(其他调用!AJ$5:AJ$364,MATCH($K80,其他调用!$AG$5:$AG$364,0),0),1)*INDEX(其他调用!AA$5:AA$404,MATCH($K80,其他调用!$X$5:$X$404,0),0)</f>
        <v>20487.622112109104</v>
      </c>
      <c r="X80" s="12">
        <f>MIN(INDEX(其他调用!$AI$5:$AI$364,MATCH($K80,其他调用!$AG$5:$AG$364,0),1)/INDEX(其他调用!AK$5:AK$364,MATCH($K80,其他调用!$AG$5:$AG$364,0),0),1)*INDEX(其他调用!AB$5:AB$404,MATCH($K80,其他调用!$X$5:$X$404,0),0)</f>
        <v>8829.6011963040801</v>
      </c>
      <c r="Y80" s="12">
        <f>MIN(INDEX(其他调用!$AI$5:$AI$364,MATCH($K80,其他调用!$AG$5:$AG$364,0),1)/INDEX(其他调用!AL$5:AL$364,MATCH($K80,其他调用!$AG$5:$AG$364,0),0),1)*INDEX(其他调用!AC$5:AC$404,MATCH($K80,其他调用!$X$5:$X$404,0),0)</f>
        <v>2736.9117769008103</v>
      </c>
      <c r="Z80" s="12">
        <f>求节点(节奏总纲!D$4:D$163,标准城池设计!AD$4:AD$163,$K80)*求节点(节奏总纲!D$4:D$163,攻城基础信息!$AE$5:$AE$164,$K80)</f>
        <v>444876.65620919946</v>
      </c>
      <c r="AA80" s="12">
        <f>INDEX(其他调用!$AA$5:$AA$404,MATCH($K80,其他调用!$X$5:$X$404,0))*MIN(INDEX(其他调用!AJ$5:AJ$364,MATCH($K80,其他调用!$AG$5:$AG$364,0),1)/INDEX(其他调用!$AJ$5:$AJ$364,MATCH($K80,其他调用!$AG$5:$AG$364,0),0),5)*求节点(节奏总纲!D$4:D$163,攻城基础信息!$AE$5:$AE$164,$K80)</f>
        <v>108269.96038530473</v>
      </c>
      <c r="AB80" s="12">
        <f>MIN(INDEX(其他调用!$AJ$5:$AJ$364,MATCH($K80,其他调用!$AG$5:$AG$364,0),1)/INDEX(其他调用!AH$5:AH$364,MATCH($K80,其他调用!$AG$5:$AG$364,0),0),1)*INDEX(其他调用!Y$5:Y$404,MATCH($K80,其他调用!$X$5:$X$404,0),0)</f>
        <v>34494.518608437022</v>
      </c>
      <c r="AC80" s="12">
        <f>MIN(INDEX(其他调用!$AJ$5:$AJ$364,MATCH($K80,其他调用!$AG$5:$AG$364,0),1)/INDEX(其他调用!AI$5:AI$364,MATCH($K80,其他调用!$AG$5:$AG$364,0),0),1)*INDEX(其他调用!Z$5:Z$404,MATCH($K80,其他调用!$X$5:$X$404,0),0)</f>
        <v>35633.264685407616</v>
      </c>
      <c r="AD80" s="12">
        <f>MIN(INDEX(其他调用!$AJ$5:$AJ$364,MATCH($K80,其他调用!$AG$5:$AG$364,0),1)/INDEX(其他调用!AJ$5:AJ$364,MATCH($K80,其他调用!$AG$5:$AG$364,0),0),1)*INDEX(其他调用!AA$5:AA$404,MATCH($K80,其他调用!$X$5:$X$404,0),0)</f>
        <v>37133.593139587283</v>
      </c>
      <c r="AE80" s="12">
        <f>MIN(INDEX(其他调用!$AJ$5:$AJ$364,MATCH($K80,其他调用!$AG$5:$AG$364,0),1)/INDEX(其他调用!AK$5:AK$364,MATCH($K80,其他调用!$AG$5:$AG$364,0),0),1)*INDEX(其他调用!AB$5:AB$404,MATCH($K80,其他调用!$X$5:$X$404,0),0)</f>
        <v>16003.556518869025</v>
      </c>
      <c r="AF80" s="12">
        <f>MIN(INDEX(其他调用!$AJ$5:$AJ$364,MATCH($K80,其他调用!$AG$5:$AG$364,0),1)/INDEX(其他调用!AL$5:AL$364,MATCH($K80,其他调用!$AG$5:$AG$364,0),0),1)*INDEX(其他调用!AC$5:AC$404,MATCH($K80,其他调用!$X$5:$X$404,0),0)</f>
        <v>4960.6229471750585</v>
      </c>
      <c r="AG80" s="12">
        <f>求节点(节奏总纲!D$4:D$163,标准城池设计!AE$4:AE$163,$K80)*求节点(节奏总纲!D$4:D$163,攻城基础信息!$AF$5:$AF$164,$K80)</f>
        <v>505267.6779028126</v>
      </c>
      <c r="AH80" s="12">
        <f>INDEX(其他调用!$AA$5:$AA$404,MATCH($K80,其他调用!$X$5:$X$404,0))*MIN(INDEX(其他调用!AK$5:AK$364,MATCH($K80,其他调用!$AG$5:$AG$364,0),1)/INDEX(其他调用!$AJ$5:$AJ$364,MATCH($K80,其他调用!$AG$5:$AG$364,0),0),5)*求节点(节奏总纲!D$4:D$163,攻城基础信息!$AF$5:$AF$164,$K80)</f>
        <v>265992.47037129069</v>
      </c>
      <c r="AI80" s="12">
        <f>MIN(INDEX(其他调用!$AK$5:$AK$364,MATCH($K80,其他调用!$AG$5:$AG$364,0),1)/INDEX(其他调用!AH$5:AH$364,MATCH($K80,其他调用!$AG$5:$AG$364,0),0),1)*INDEX(其他调用!Y$5:Y$404,MATCH($K80,其他调用!$X$5:$X$404,0),0)</f>
        <v>34494.518608437022</v>
      </c>
      <c r="AJ80" s="12">
        <f>MIN(INDEX(其他调用!$AK$5:$AK$364,MATCH($K80,其他调用!$AG$5:$AG$364,0),1)/INDEX(其他调用!AI$5:AI$364,MATCH($K80,其他调用!$AG$5:$AG$364,0),0),1)*INDEX(其他调用!Z$5:Z$404,MATCH($K80,其他调用!$X$5:$X$404,0),0)</f>
        <v>35633.264685407616</v>
      </c>
      <c r="AK80" s="12">
        <f>MIN(INDEX(其他调用!$AK$5:$AK$364,MATCH($K80,其他调用!$AG$5:$AG$364,0),1)/INDEX(其他调用!AJ$5:AJ$364,MATCH($K80,其他调用!$AG$5:$AG$364,0),0),1)*INDEX(其他调用!AA$5:AA$404,MATCH($K80,其他调用!$X$5:$X$404,0),0)</f>
        <v>37133.593139587283</v>
      </c>
      <c r="AL80" s="12">
        <f>MIN(INDEX(其他调用!$AK$5:$AK$364,MATCH($K80,其他调用!$AG$5:$AG$364,0),1)/INDEX(其他调用!AK$5:AK$364,MATCH($K80,其他调用!$AG$5:$AG$364,0),0),1)*INDEX(其他调用!AB$5:AB$404,MATCH($K80,其他调用!$X$5:$X$404,0),0)</f>
        <v>39316.773720352408</v>
      </c>
      <c r="AM80" s="12">
        <f>MIN(INDEX(其他调用!$AK$5:$AK$364,MATCH($K80,其他调用!$AG$5:$AG$364,0),1)/INDEX(其他调用!AL$5:AL$364,MATCH($K80,其他调用!$AG$5:$AG$364,0),0),1)*INDEX(其他调用!AC$5:AC$404,MATCH($K80,其他调用!$X$5:$X$404,0),0)</f>
        <v>12187.021659598742</v>
      </c>
      <c r="AN80" s="12">
        <f>求节点(节奏总纲!D$4:D$163,标准城池设计!AF$4:AF$163,$K80)*求节点(节奏总纲!D$4:D$163,攻城基础信息!$AG$5:$AG$164,$K80)</f>
        <v>508395.83474408014</v>
      </c>
      <c r="AO80" s="12">
        <f>INDEX(其他调用!$AA$5:$AA$404,MATCH($K80,其他调用!$X$5:$X$404,0))*MIN(INDEX(其他调用!AL$5:AL$364,MATCH($K80,其他调用!$AG$5:$AG$364,0),1)/INDEX(其他调用!$AJ$5:$AJ$364,MATCH($K80,其他调用!$AG$5:$AG$364,0),0),5)*求节点(节奏总纲!D$4:D$163,攻城基础信息!$AG$5:$AG$164,$K80)</f>
        <v>541349.80192652368</v>
      </c>
      <c r="AP80" s="12">
        <f>MIN(INDEX(其他调用!$AL$5:$AL$364,MATCH($K80,其他调用!$AG$5:$AG$364,0),1)/INDEX(其他调用!AH$5:AH$364,MATCH($K80,其他调用!$AG$5:$AG$364,0),0),1)*INDEX(其他调用!Y$5:Y$404,MATCH($K80,其他调用!$X$5:$X$404,0),0)</f>
        <v>34494.518608437022</v>
      </c>
      <c r="AQ80" s="12">
        <f>MIN(INDEX(其他调用!$AL$5:$AL$364,MATCH($K80,其他调用!$AG$5:$AG$364,0),1)/INDEX(其他调用!AI$5:AI$364,MATCH($K80,其他调用!$AG$5:$AG$364,0),0),1)*INDEX(其他调用!Z$5:Z$404,MATCH($K80,其他调用!$X$5:$X$404,0),0)</f>
        <v>35633.264685407616</v>
      </c>
      <c r="AR80" s="12">
        <f>MIN(INDEX(其他调用!$AL$5:$AL$364,MATCH($K80,其他调用!$AG$5:$AG$364,0),1)/INDEX(其他调用!AJ$5:AJ$364,MATCH($K80,其他调用!$AG$5:$AG$364,0),0),1)*INDEX(其他调用!AA$5:AA$404,MATCH($K80,其他调用!$X$5:$X$404,0),0)</f>
        <v>37133.593139587283</v>
      </c>
      <c r="AS80" s="12">
        <f>MIN(INDEX(其他调用!$AL$5:$AL$364,MATCH($K80,其他调用!$AG$5:$AG$364,0),1)/INDEX(其他调用!AK$5:AK$364,MATCH($K80,其他调用!$AG$5:$AG$364,0),0),1)*INDEX(其他调用!AB$5:AB$404,MATCH($K80,其他调用!$X$5:$X$404,0),0)</f>
        <v>39316.773720352408</v>
      </c>
      <c r="AT80" s="12">
        <f>MIN(INDEX(其他调用!$AL$5:$AL$364,MATCH($K80,其他调用!$AG$5:$AG$364,0),1)/INDEX(其他调用!AL$5:AL$364,MATCH($K80,其他调用!$AG$5:$AG$364,0),0),1)*INDEX(其他调用!AC$5:AC$404,MATCH($K80,其他调用!$X$5:$X$404,0),0)</f>
        <v>43152.539917540671</v>
      </c>
      <c r="AV80" s="14">
        <f>IF(OR(AV$5="大R",AV$5="超R"),MAX(INDEX(其他调用!$H$5:$L$404,MATCH($K80,其他调用!$B$5:$B$404,0),MATCH(AV$5,其他调用!$H$4:$L$4,0))*120*0.85,2),INDEX(其他调用!$H$5:$L$404,MATCH($K80,其他调用!$B$5:$B$404,0),MATCH(AV$5,其他调用!$H$4:$L$4,0))*120*0.85)</f>
        <v>50.209217077500007</v>
      </c>
      <c r="AW80" s="14">
        <f>IF(OR(AW$5="大R",AW$5="超R"),MAX(INDEX(其他调用!$H$5:$L$404,MATCH($K80,其他调用!$B$5:$B$404,0),MATCH(AW$5,其他调用!$H$4:$L$4,0))*120*0.85,2),INDEX(其他调用!$H$5:$L$404,MATCH($K80,其他调用!$B$5:$B$404,0),MATCH(AW$5,其他调用!$H$4:$L$4,0))*120*0.85)</f>
        <v>47.016680324599186</v>
      </c>
      <c r="AX80" s="14">
        <f>IF(OR(AX$5="大R",AX$5="超R"),MAX(INDEX(其他调用!$H$5:$L$404,MATCH($K80,其他调用!$B$5:$B$404,0),MATCH(AX$5,其他调用!$H$4:$L$4,0))*120*0.85,2),INDEX(其他调用!$H$5:$L$404,MATCH($K80,其他调用!$B$5:$B$404,0),MATCH(AX$5,其他调用!$H$4:$L$4,0))*120*0.85)</f>
        <v>3.9085326379007999</v>
      </c>
      <c r="AY80" s="14">
        <f>IF(OR(AY$5="大R",AY$5="超R"),MAX(INDEX(其他调用!$H$5:$L$404,MATCH($K80,其他调用!$B$5:$B$404,0),MATCH(AY$5,其他调用!$H$4:$L$4,0))*120*0.85,2),INDEX(其他调用!$H$5:$L$404,MATCH($K80,其他调用!$B$5:$B$404,0),MATCH(AY$5,其他调用!$H$4:$L$4,0))*120*0.85)</f>
        <v>2</v>
      </c>
      <c r="AZ80" s="14">
        <f>IF(OR(AZ$5="大R",AZ$5="超R"),MAX(INDEX(其他调用!$H$5:$L$404,MATCH($K80,其他调用!$B$5:$B$404,0),MATCH(AZ$5,其他调用!$H$4:$L$4,0))*120*0.85,2),INDEX(其他调用!$H$5:$L$404,MATCH($K80,其他调用!$B$5:$B$404,0),MATCH(AZ$5,其他调用!$H$4:$L$4,0))*120*0.85)</f>
        <v>2</v>
      </c>
      <c r="BA80" s="14">
        <f>INDEX(其他调用!$H$5:$L$404,MATCH($K80,其他调用!$B$5:$B$404,0),MATCH(BA$5,其他调用!$H$4:$L$4,0))*INDEX(其他调用!$M$5:$M$404,MATCH($K80,其他调用!$B$5:$B$404,0))*0.6</f>
        <v>29.198626773830043</v>
      </c>
      <c r="BB80" s="14">
        <f>INDEX(其他调用!$H$5:$L$404,MATCH($K80,其他调用!$B$5:$B$404,0),MATCH(BB$5,其他调用!$H$4:$L$4,0))*INDEX(其他调用!$M$5:$M$404,MATCH($K80,其他调用!$B$5:$B$404,0))*0.6</f>
        <v>27.342041578211457</v>
      </c>
      <c r="BC80" s="14">
        <f>INDEX(其他调用!$H$5:$L$404,MATCH($K80,其他调用!$B$5:$B$404,0),MATCH(BC$5,其他调用!$H$4:$L$4,0))*INDEX(其他调用!$M$5:$M$404,MATCH($K80,其他调用!$B$5:$B$404,0))*0.6</f>
        <v>2.272964853270746</v>
      </c>
      <c r="BD80" s="14">
        <f>INDEX(其他调用!$H$5:$L$404,MATCH($K80,其他调用!$B$5:$B$404,0),MATCH(BD$5,其他调用!$H$4:$L$4,0))*INDEX(其他调用!$M$5:$M$404,MATCH($K80,其他调用!$B$5:$B$404,0))*0.6</f>
        <v>0.39317559026086962</v>
      </c>
      <c r="BE80" s="14">
        <f>INDEX(其他调用!$H$5:$L$404,MATCH($K80,其他调用!$B$5:$B$404,0),MATCH(BE$5,其他调用!$H$4:$L$4,0))*INDEX(其他调用!$M$5:$M$404,MATCH($K80,其他调用!$B$5:$B$404,0))*0.6</f>
        <v>0.11018725185770747</v>
      </c>
      <c r="BF80" s="14">
        <f>IF(OR(BF$5="大R",BF$5="超R"),0,INDEX(其他调用!$H$5:$L$404,MATCH($K80,其他调用!$B$5:$B$404,0),MATCH(BF$5,其他调用!$H$4:$L$4,0))*50*0.4)</f>
        <v>9.8449445250000025</v>
      </c>
      <c r="BG80" s="14">
        <f>IF(OR(BG$5="大R",BG$5="超R"),0,INDEX(其他调用!$H$5:$L$404,MATCH($K80,其他调用!$B$5:$B$404,0),MATCH(BG$5,其他调用!$H$4:$L$4,0))*50*0.4)</f>
        <v>9.2189569263919982</v>
      </c>
      <c r="BH80" s="14">
        <f>IF(OR(BH$5="大R",BH$5="超R"),0,INDEX(其他调用!$H$5:$L$404,MATCH($K80,其他调用!$B$5:$B$404,0),MATCH(BH$5,其他调用!$H$4:$L$4,0))*50*0.4)</f>
        <v>0.76637894860800004</v>
      </c>
      <c r="BI80" s="14">
        <f>IF(OR(BI$5="大R",BI$5="超R"),0,INDEX(其他调用!$H$5:$L$404,MATCH($K80,其他调用!$B$5:$B$404,0),MATCH(BI$5,其他调用!$H$4:$L$4,0))*50*0.4)</f>
        <v>0</v>
      </c>
      <c r="BJ80" s="14">
        <f>IF(OR(BJ$5="大R",BJ$5="超R"),0,INDEX(其他调用!$H$5:$L$404,MATCH($K80,其他调用!$B$5:$B$404,0),MATCH(BJ$5,其他调用!$H$4:$L$4,0))*50*0.4)</f>
        <v>0</v>
      </c>
      <c r="BL80" s="14">
        <f t="shared" si="208"/>
        <v>75</v>
      </c>
      <c r="BM80" s="14">
        <f t="shared" si="115"/>
        <v>96</v>
      </c>
      <c r="BN80" s="14">
        <f>('疲劳值&amp;地图信息'!$S$10*'疲劳值&amp;地图信息'!$R$10+'疲劳值&amp;地图信息'!$S$11*'疲劳值&amp;地图信息'!$R$11+'疲劳值&amp;地图信息'!$S$12*'疲劳值&amp;地图信息'!$R$12+(BM80-'疲劳值&amp;地图信息'!$S$12-'疲劳值&amp;地图信息'!$S$11-'疲劳值&amp;地图信息'!$S$10)*'疲劳值&amp;地图信息'!$R$13)/BM80</f>
        <v>51.371477246638619</v>
      </c>
      <c r="BO80" s="14">
        <f>INDEX(其他调用!$M$5:$M$404,MATCH(BL80,其他调用!$B$5:$B$404,0))*0.6</f>
        <v>59.31699604743082</v>
      </c>
      <c r="BP80" s="14">
        <f>IF(BO80&gt;SUM('疲劳值&amp;地图信息'!$S$10:$S$12),('疲劳值&amp;地图信息'!$S$10*'疲劳值&amp;地图信息'!$R$10+'疲劳值&amp;地图信息'!$S$11*'疲劳值&amp;地图信息'!$R$11+'疲劳值&amp;地图信息'!$S$12*'疲劳值&amp;地图信息'!$R$12+(BO80-'疲劳值&amp;地图信息'!$S$12-'疲劳值&amp;地图信息'!$S$11-'疲劳值&amp;地图信息'!$S$10)*'疲劳值&amp;地图信息'!$R$13)/BO80,('疲劳值&amp;地图信息'!$S$10*'疲劳值&amp;地图信息'!$R$10+'疲劳值&amp;地图信息'!$S$11*'疲劳值&amp;地图信息'!$R$11+'疲劳值&amp;地图信息'!$S$12*'疲劳值&amp;地图信息'!$R$12+(BO80-'疲劳值&amp;地图信息'!$S$12-'疲劳值&amp;地图信息'!$S$11-'疲劳值&amp;地图信息'!$S$10)*'疲劳值&amp;地图信息'!$R$13)/BO80)</f>
        <v>43.93664882301227</v>
      </c>
      <c r="BQ80" s="14">
        <f t="shared" si="209"/>
        <v>20</v>
      </c>
      <c r="BR80" s="14">
        <f>('疲劳值&amp;地图信息'!$S$10*'疲劳值&amp;地图信息'!$R$10+($BQ80-'疲劳值&amp;地图信息'!$S$10)*'疲劳值&amp;地图信息'!$R$11)/$BQ80</f>
        <v>32.067203015074995</v>
      </c>
      <c r="CF80" s="14">
        <v>75</v>
      </c>
      <c r="CG80" s="51">
        <f t="shared" si="116"/>
        <v>8163</v>
      </c>
      <c r="CH80" s="51">
        <f t="shared" si="117"/>
        <v>807</v>
      </c>
      <c r="CI80" s="51">
        <f>INT(SUMPRODUCT($N80:$R80,$BA80:$BE80)/SUM($BA80:$BE80)/10000*$BX$7*$BZ$34/'疲劳值&amp;地图信息'!$R$10*$BY$53)</f>
        <v>2879</v>
      </c>
      <c r="CJ80" s="50">
        <f t="shared" si="118"/>
        <v>0.68891889610937629</v>
      </c>
      <c r="CK80" s="50">
        <f t="shared" si="119"/>
        <v>6.8107013250063297E-2</v>
      </c>
      <c r="CL80" s="50">
        <f t="shared" si="120"/>
        <v>0.24297409064056039</v>
      </c>
      <c r="CM80" s="14">
        <f t="shared" si="121"/>
        <v>8579</v>
      </c>
      <c r="CN80" s="14">
        <f t="shared" si="122"/>
        <v>1223</v>
      </c>
      <c r="CO80" s="14">
        <f>INT(SUMPRODUCT($U80:$Y80,$BA80:$BE80)/SUM($BA80:$BE80)/10000*$BX$7*$BZ$34/'疲劳值&amp;地图信息'!$R$10*$BY$54)</f>
        <v>5213</v>
      </c>
      <c r="CP80" s="50">
        <f t="shared" si="123"/>
        <v>0.57136197136197131</v>
      </c>
      <c r="CQ80" s="50">
        <f t="shared" si="124"/>
        <v>8.1451881451881453E-2</v>
      </c>
      <c r="CR80" s="50">
        <f t="shared" si="125"/>
        <v>0.34718614718614721</v>
      </c>
      <c r="CS80" s="14">
        <f t="shared" si="126"/>
        <v>9112</v>
      </c>
      <c r="CT80" s="14">
        <f t="shared" si="127"/>
        <v>2217</v>
      </c>
      <c r="CU80" s="14">
        <f>INT(SUMPRODUCT($AB80:$AF80,$BA80:$BE80)/SUM($BA80:$BE80)/10000*$BX$7*$BZ$34/'疲劳值&amp;地图信息'!$R$10*$BY$55)</f>
        <v>7091</v>
      </c>
      <c r="CV80" s="50">
        <f t="shared" si="128"/>
        <v>0.49467969598262757</v>
      </c>
      <c r="CW80" s="50">
        <f t="shared" si="129"/>
        <v>0.12035830618892508</v>
      </c>
      <c r="CX80" s="50">
        <f t="shared" si="130"/>
        <v>0.38496199782844737</v>
      </c>
      <c r="CY80" s="14">
        <f t="shared" si="131"/>
        <v>10349</v>
      </c>
      <c r="CZ80" s="14">
        <f t="shared" si="132"/>
        <v>5448</v>
      </c>
      <c r="DA80" s="14">
        <f>INT(SUMPRODUCT($AI80:$AM80,$BA80:$BE80)/SUM($BA80:$BE80)/10000*$BX$7*$BZ$34/'疲劳值&amp;地图信息'!$R$10*$BY$56)</f>
        <v>10687</v>
      </c>
      <c r="DB80" s="50">
        <f t="shared" si="133"/>
        <v>0.39076423500981727</v>
      </c>
      <c r="DC80" s="50">
        <f t="shared" si="134"/>
        <v>0.20570910738559131</v>
      </c>
      <c r="DD80" s="50">
        <f t="shared" si="135"/>
        <v>0.40352665760459144</v>
      </c>
      <c r="DE80" s="14">
        <f t="shared" si="136"/>
        <v>10413</v>
      </c>
      <c r="DF80" s="14">
        <f t="shared" si="137"/>
        <v>11089</v>
      </c>
      <c r="DG80" s="14">
        <f>INT(SUMPRODUCT($AP80:$AT80,$BA80:$BE80)/SUM($BA80:$BE80)/10000*$BX$7*$BZ$34/'疲劳值&amp;地图信息'!$R$10*$BY$57)</f>
        <v>14273</v>
      </c>
      <c r="DH80" s="50">
        <f t="shared" si="138"/>
        <v>0.29106918238993712</v>
      </c>
      <c r="DI80" s="50">
        <f t="shared" si="139"/>
        <v>0.30996505939902164</v>
      </c>
      <c r="DJ80" s="50">
        <f t="shared" si="140"/>
        <v>0.39896575821104124</v>
      </c>
      <c r="DL80" s="14">
        <f t="shared" si="211"/>
        <v>11849</v>
      </c>
      <c r="DM80" s="14">
        <f t="shared" si="212"/>
        <v>15015</v>
      </c>
      <c r="DN80" s="14">
        <f t="shared" si="213"/>
        <v>18420</v>
      </c>
      <c r="DO80" s="14">
        <f t="shared" si="214"/>
        <v>26484</v>
      </c>
      <c r="DP80" s="14">
        <f t="shared" si="215"/>
        <v>35775</v>
      </c>
      <c r="DQ80" s="14">
        <f t="shared" si="216"/>
        <v>812738</v>
      </c>
      <c r="DT80" s="14">
        <f t="shared" si="210"/>
        <v>235575</v>
      </c>
      <c r="DU80" s="50">
        <f t="shared" si="112"/>
        <v>0.22471819008254215</v>
      </c>
      <c r="DW80" s="14">
        <f t="shared" si="141"/>
        <v>1048313</v>
      </c>
      <c r="EB80" s="14">
        <v>75</v>
      </c>
      <c r="EC80" s="51">
        <f t="shared" si="142"/>
        <v>13605</v>
      </c>
      <c r="ED80" s="51">
        <f t="shared" si="143"/>
        <v>1345</v>
      </c>
      <c r="EE80" s="51">
        <f>INT(SUMPRODUCT($N80:$R80,$BF80:$BJ80)/SUM($BF80:$BJ80)/10000*$BX$7*$BZ$46/'疲劳值&amp;地图信息'!$R$10*$BY$53)</f>
        <v>386</v>
      </c>
      <c r="EF80" s="50">
        <f t="shared" si="144"/>
        <v>0.88712832550860721</v>
      </c>
      <c r="EG80" s="50">
        <f t="shared" si="145"/>
        <v>8.770213875847678E-2</v>
      </c>
      <c r="EH80" s="50">
        <f t="shared" si="146"/>
        <v>2.5169535732916016E-2</v>
      </c>
      <c r="EI80" s="51">
        <f t="shared" si="147"/>
        <v>14298</v>
      </c>
      <c r="EJ80" s="51">
        <f t="shared" si="148"/>
        <v>2039</v>
      </c>
      <c r="EK80" s="14">
        <f>INT(SUMPRODUCT($U80:$Y80,$BF80:$BJ80)/SUM($BF80:$BJ80)/10000*$BX$7*$BZ$46/'疲劳值&amp;地图信息'!$R$10*$BY$54)</f>
        <v>699</v>
      </c>
      <c r="EL80" s="50">
        <f t="shared" si="149"/>
        <v>0.83928152148391644</v>
      </c>
      <c r="EM80" s="50">
        <f t="shared" si="150"/>
        <v>0.11968772012209439</v>
      </c>
      <c r="EN80" s="50">
        <f t="shared" si="151"/>
        <v>4.1030758393989196E-2</v>
      </c>
      <c r="EO80" s="51">
        <f t="shared" si="152"/>
        <v>15188</v>
      </c>
      <c r="EP80" s="51">
        <f t="shared" si="153"/>
        <v>3696</v>
      </c>
      <c r="EQ80" s="14">
        <f>INT(SUMPRODUCT($AB80:$AF80,$BF80:$BJ80)/SUM($BF80:$BJ80)/10000*$BX$7*$BZ$46/'疲劳值&amp;地图信息'!$R$10*$BY$55)</f>
        <v>950</v>
      </c>
      <c r="ER80" s="50">
        <f t="shared" si="154"/>
        <v>0.76575577291519614</v>
      </c>
      <c r="ES80" s="50">
        <f t="shared" si="155"/>
        <v>0.18634667742260763</v>
      </c>
      <c r="ET80" s="50">
        <f t="shared" si="156"/>
        <v>4.7897549662196226E-2</v>
      </c>
      <c r="EU80" s="51">
        <f t="shared" si="157"/>
        <v>17249</v>
      </c>
      <c r="EV80" s="51">
        <f t="shared" si="158"/>
        <v>9080</v>
      </c>
      <c r="EW80" s="14">
        <f>INT(SUMPRODUCT($AI80:$AM80,$BF80:$BJ80)/SUM($BF80:$BJ80)/10000*$BX$7*$BZ$46/'疲劳值&amp;地图信息'!$R$10*$BY$56)</f>
        <v>1425</v>
      </c>
      <c r="EX80" s="50">
        <f t="shared" si="159"/>
        <v>0.62149600057649346</v>
      </c>
      <c r="EY80" s="50">
        <f t="shared" si="160"/>
        <v>0.32716004900194567</v>
      </c>
      <c r="EZ80" s="50">
        <f t="shared" si="161"/>
        <v>5.1343950421560855E-2</v>
      </c>
      <c r="FA80" s="51">
        <f t="shared" si="162"/>
        <v>17356</v>
      </c>
      <c r="FB80" s="51">
        <f t="shared" si="163"/>
        <v>18481</v>
      </c>
      <c r="FC80" s="14">
        <f>INT(SUMPRODUCT($AP80:$AT80,$BF80:$BJ80)/SUM($BF80:$BJ80)/10000*$BX$7*$BZ$46/'疲劳值&amp;地图信息'!$R$10*$BY$57)</f>
        <v>1900</v>
      </c>
      <c r="FD80" s="50">
        <f t="shared" si="164"/>
        <v>0.45991997244084054</v>
      </c>
      <c r="FE80" s="50">
        <f t="shared" si="165"/>
        <v>0.4897315631873228</v>
      </c>
      <c r="FF80" s="50">
        <f t="shared" si="166"/>
        <v>5.0348464371836661E-2</v>
      </c>
      <c r="FH80" s="14">
        <f t="shared" si="167"/>
        <v>15336</v>
      </c>
      <c r="FI80" s="14">
        <f t="shared" si="168"/>
        <v>17036</v>
      </c>
      <c r="FJ80" s="14">
        <f t="shared" si="169"/>
        <v>19834</v>
      </c>
      <c r="FK80" s="14">
        <f t="shared" si="170"/>
        <v>27754</v>
      </c>
      <c r="FL80" s="14">
        <f t="shared" si="171"/>
        <v>37737</v>
      </c>
      <c r="FM80" s="14">
        <f t="shared" si="172"/>
        <v>1779488</v>
      </c>
      <c r="FP80" s="14">
        <f t="shared" si="173"/>
        <v>334150</v>
      </c>
      <c r="FQ80" s="50">
        <f t="shared" si="113"/>
        <v>0.15809235072420158</v>
      </c>
      <c r="FS80" s="14">
        <f t="shared" si="174"/>
        <v>2113638</v>
      </c>
      <c r="FX80" s="14">
        <v>75</v>
      </c>
      <c r="FY80" s="51">
        <f t="shared" si="175"/>
        <v>19047</v>
      </c>
      <c r="FZ80" s="51">
        <f t="shared" si="176"/>
        <v>1345</v>
      </c>
      <c r="GA80" s="51">
        <f>INT(SUMPRODUCT($N80:$R80,$BF80:$BJ80)/SUM($BF80:$BJ80)/10000*$BX$7*$BZ$46/'疲劳值&amp;地图信息'!$R$10*$BY$53)</f>
        <v>386</v>
      </c>
      <c r="GB80" s="50">
        <f t="shared" si="177"/>
        <v>0.91669073058042161</v>
      </c>
      <c r="GC80" s="50">
        <f t="shared" si="178"/>
        <v>6.4731928000770045E-2</v>
      </c>
      <c r="GD80" s="50">
        <f t="shared" si="179"/>
        <v>1.8577341418808353E-2</v>
      </c>
      <c r="GE80" s="51">
        <f t="shared" si="180"/>
        <v>20018</v>
      </c>
      <c r="GF80" s="51">
        <f t="shared" si="181"/>
        <v>2039</v>
      </c>
      <c r="GG80" s="14">
        <f>INT(SUMPRODUCT($U80:$Y80,$BF80:$BJ80)/SUM($BF80:$BJ80)/10000*$BX$7*$BZ$46/'疲劳值&amp;地图信息'!$R$10*$BY$54)</f>
        <v>699</v>
      </c>
      <c r="GH80" s="50">
        <f t="shared" si="182"/>
        <v>0.8796800843733521</v>
      </c>
      <c r="GI80" s="50">
        <f t="shared" si="183"/>
        <v>8.9602742133942703E-2</v>
      </c>
      <c r="GJ80" s="50">
        <f t="shared" si="184"/>
        <v>3.0717173492705221E-2</v>
      </c>
      <c r="GK80" s="51">
        <f t="shared" si="185"/>
        <v>21263</v>
      </c>
      <c r="GL80" s="51">
        <f t="shared" si="186"/>
        <v>3696</v>
      </c>
      <c r="GM80" s="14">
        <f>INT(SUMPRODUCT($AB80:$AF80,$BF80:$BJ80)/SUM($BF80:$BJ80)/10000*$BX$7*$BZ$46/'疲劳值&amp;地图信息'!$R$10*$BY$55)</f>
        <v>950</v>
      </c>
      <c r="GN80" s="50">
        <f t="shared" si="187"/>
        <v>0.82068007256165809</v>
      </c>
      <c r="GO80" s="50">
        <f t="shared" si="188"/>
        <v>0.14265313211625305</v>
      </c>
      <c r="GP80" s="50">
        <f t="shared" si="189"/>
        <v>3.6666795322088851E-2</v>
      </c>
      <c r="GQ80" s="51">
        <f t="shared" si="190"/>
        <v>24149</v>
      </c>
      <c r="GR80" s="51">
        <f t="shared" si="191"/>
        <v>9080</v>
      </c>
      <c r="GS80" s="14">
        <f>INT(SUMPRODUCT($AI80:$AM80,$BF80:$BJ80)/SUM($BF80:$BJ80)/10000*$BX$7*$BZ$46/'疲劳值&amp;地图信息'!$R$10*$BY$56)</f>
        <v>1425</v>
      </c>
      <c r="GT80" s="50">
        <f t="shared" si="192"/>
        <v>0.69686039129681998</v>
      </c>
      <c r="GU80" s="50">
        <f t="shared" si="193"/>
        <v>0.26201881456686099</v>
      </c>
      <c r="GV80" s="50">
        <f t="shared" si="194"/>
        <v>4.1120794136319042E-2</v>
      </c>
      <c r="GW80" s="51">
        <f t="shared" si="195"/>
        <v>24299</v>
      </c>
      <c r="GX80" s="51">
        <f t="shared" si="196"/>
        <v>18481</v>
      </c>
      <c r="GY80" s="14">
        <f>INT(SUMPRODUCT($AP80:$AT80,$BF80:$BJ80)/SUM($BF80:$BJ80)/10000*$BX$7*$BZ$46/'疲劳值&amp;地图信息'!$R$10*$BY$57)</f>
        <v>1900</v>
      </c>
      <c r="GZ80" s="50">
        <f t="shared" si="197"/>
        <v>0.54384512085944492</v>
      </c>
      <c r="HA80" s="50">
        <f t="shared" si="198"/>
        <v>0.41363025962399286</v>
      </c>
      <c r="HB80" s="50">
        <f t="shared" si="199"/>
        <v>4.2524619516562223E-2</v>
      </c>
      <c r="HD80" s="14">
        <f t="shared" si="200"/>
        <v>20778</v>
      </c>
      <c r="HE80" s="14">
        <f t="shared" si="201"/>
        <v>22756</v>
      </c>
      <c r="HF80" s="14">
        <f t="shared" si="202"/>
        <v>25909</v>
      </c>
      <c r="HG80" s="14">
        <f t="shared" si="203"/>
        <v>34654</v>
      </c>
      <c r="HH80" s="14">
        <f t="shared" si="204"/>
        <v>44680</v>
      </c>
      <c r="HI80" s="14">
        <f t="shared" si="205"/>
        <v>2373092</v>
      </c>
      <c r="HL80" s="14">
        <f t="shared" si="206"/>
        <v>430050</v>
      </c>
      <c r="HM80" s="50">
        <f t="shared" si="114"/>
        <v>0.15341712977794203</v>
      </c>
      <c r="HO80" s="14">
        <f t="shared" si="207"/>
        <v>2803142</v>
      </c>
    </row>
    <row r="81" spans="11:223" x14ac:dyDescent="0.2">
      <c r="K81" s="14">
        <v>76</v>
      </c>
      <c r="L81" s="12">
        <f>求节点(节奏总纲!D$4:D$163,标准城池设计!AB$4:AB$163,$K81)*求节点(节奏总纲!D$4:D$163,攻城基础信息!$AC$5:$AC$164,$K81)</f>
        <v>401482.60208969482</v>
      </c>
      <c r="M81" s="12">
        <f>INDEX(其他调用!$AA$5:$AA$404,MATCH(K81,其他调用!$X$5:$X$404,0))*MIN(INDEX(其他调用!$AH$5:$AH$364,MATCH('征服点（新）'!K81,其他调用!$AG$5:$AG$364,0),1)/INDEX(其他调用!$AJ$5:$AJ$364,MATCH(K81,其他调用!$AG$5:$AG$364,0),0),5)*求节点(节奏总纲!D$4:D$163,攻城基础信息!$AC$5:$AC$164,$K81)</f>
        <v>39435.637354766455</v>
      </c>
      <c r="N81" s="12">
        <f>MIN(INDEX(其他调用!$AH$5:$AH$364,MATCH($K81,其他调用!$AG$5:$AG$364,0),1)/INDEX(其他调用!AH$5:AH$364,MATCH($K81,其他调用!$AG$5:$AG$364,0),0),1)*INDEX(其他调用!Y$5:Y$404,MATCH($K81,其他调用!$X$5:$X$404,0),0)</f>
        <v>34569.640437824884</v>
      </c>
      <c r="O81" s="12">
        <f>MIN(INDEX(其他调用!$AH$5:$AH$364,MATCH($K81,其他调用!$AG$5:$AG$364,0),1)/INDEX(其他调用!AI$5:AI$364,MATCH($K81,其他调用!$AG$5:$AG$364,0),0),1)*INDEX(其他调用!Z$5:Z$404,MATCH($K81,其他调用!$X$5:$X$404,0),0)</f>
        <v>23494.956828636103</v>
      </c>
      <c r="P81" s="12">
        <f>MIN(INDEX(其他调用!$AH$5:$AH$364,MATCH($K81,其他调用!$AG$5:$AG$364,0),1)/INDEX(其他调用!AJ$5:AJ$364,MATCH($K81,其他调用!$AG$5:$AG$364,0),0),1)*INDEX(其他调用!AA$5:AA$404,MATCH($K81,其他调用!$X$5:$X$404,0),0)</f>
        <v>13496.088477540925</v>
      </c>
      <c r="Q81" s="12">
        <f>MIN(INDEX(其他调用!$AH$5:$AH$364,MATCH($K81,其他调用!$AG$5:$AG$364,0),1)/INDEX(其他调用!AK$5:AK$364,MATCH($K81,其他调用!$AG$5:$AG$364,0),0),1)*INDEX(其他调用!AB$5:AB$404,MATCH($K81,其他调用!$X$5:$X$404,0),0)</f>
        <v>5837.1866215919345</v>
      </c>
      <c r="R81" s="12">
        <f>MIN(INDEX(其他调用!$AH$5:$AH$364,MATCH($K81,其他调用!$AG$5:$AG$364,0),1)/INDEX(其他调用!AL$5:AL$364,MATCH($K81,其他调用!$AG$5:$AG$364,0),0),1)*INDEX(其他调用!AC$5:AC$404,MATCH($K81,其他调用!$X$5:$X$404,0),0)</f>
        <v>1798.4728670097811</v>
      </c>
      <c r="S81" s="12">
        <f>求节点(节奏总纲!D$4:D$163,标准城池设计!AC$4:AC$163,$K81)*求节点(节奏总纲!D$4:D$163,攻城基础信息!$AD$5:$AD$164,$K81)</f>
        <v>422442.47859273071</v>
      </c>
      <c r="T81" s="12">
        <f>INDEX(其他调用!$AA$5:$AA$404,MATCH($K81,其他调用!$X$5:$X$404,0))*MIN(INDEX(其他调用!AI$5:AI$364,MATCH($K81,其他调用!$AG$5:$AG$364,0),1)/INDEX(其他调用!$AJ$5:$AJ$364,MATCH($K81,其他调用!$AG$5:$AG$364,0),0),5)*求节点(节奏总纲!D$4:D$163,攻城基础信息!$AD$5:$AD$164,$K81)</f>
        <v>59939.216099993857</v>
      </c>
      <c r="U81" s="12">
        <f>MIN(INDEX(其他调用!$AI$5:$AI$364,MATCH($K81,其他调用!$AG$5:$AG$364,0),1)/INDEX(其他调用!AH$5:AH$364,MATCH($K81,其他调用!$AG$5:$AG$364,0),0),1)*INDEX(其他调用!Y$5:Y$404,MATCH($K81,其他调用!$X$5:$X$404,0),0)</f>
        <v>34569.640437824884</v>
      </c>
      <c r="V81" s="12">
        <f>MIN(INDEX(其他调用!$AI$5:$AI$364,MATCH($K81,其他调用!$AG$5:$AG$364,0),1)/INDEX(其他调用!AI$5:AI$364,MATCH($K81,其他调用!$AG$5:$AG$364,0),0),1)*INDEX(其他调用!Z$5:Z$404,MATCH($K81,其他调用!$X$5:$X$404,0),0)</f>
        <v>35710.575232821306</v>
      </c>
      <c r="W81" s="12">
        <f>MIN(INDEX(其他调用!$AI$5:$AI$364,MATCH($K81,其他调用!$AG$5:$AG$364,0),1)/INDEX(其他调用!AJ$5:AJ$364,MATCH($K81,其他调用!$AG$5:$AG$364,0),0),1)*INDEX(其他调用!AA$5:AA$404,MATCH($K81,其他调用!$X$5:$X$404,0),0)</f>
        <v>20513.043988172998</v>
      </c>
      <c r="X81" s="12">
        <f>MIN(INDEX(其他调用!$AI$5:$AI$364,MATCH($K81,其他调用!$AG$5:$AG$364,0),1)/INDEX(其他调用!AK$5:AK$364,MATCH($K81,其他调用!$AG$5:$AG$364,0),0),1)*INDEX(其他调用!AB$5:AB$404,MATCH($K81,其他调用!$X$5:$X$404,0),0)</f>
        <v>8872.0866149587819</v>
      </c>
      <c r="Y81" s="12">
        <f>MIN(INDEX(其他调用!$AI$5:$AI$364,MATCH($K81,其他调用!$AG$5:$AG$364,0),1)/INDEX(其他调用!AL$5:AL$364,MATCH($K81,其他调用!$AG$5:$AG$364,0),0),1)*INDEX(其他调用!AC$5:AC$404,MATCH($K81,其他调用!$X$5:$X$404,0),0)</f>
        <v>2733.5441001220552</v>
      </c>
      <c r="Z81" s="12">
        <f>求节点(节奏总纲!D$4:D$163,标准城池设计!AD$4:AD$163,$K81)*求节点(节奏总纲!D$4:D$163,攻城基础信息!$AE$5:$AE$164,$K81)</f>
        <v>448659.30951848679</v>
      </c>
      <c r="AA81" s="12">
        <f>INDEX(其他调用!$AA$5:$AA$404,MATCH($K81,其他调用!$X$5:$X$404,0))*MIN(INDEX(其他调用!AJ$5:AJ$364,MATCH($K81,其他调用!$AG$5:$AG$364,0),1)/INDEX(其他调用!$AJ$5:$AJ$364,MATCH($K81,其他调用!$AG$5:$AG$364,0),0),5)*求节点(节奏总纲!D$4:D$163,攻城基础信息!$AE$5:$AE$164,$K81)</f>
        <v>108733.14629998778</v>
      </c>
      <c r="AB81" s="12">
        <f>MIN(INDEX(其他调用!$AJ$5:$AJ$364,MATCH($K81,其他调用!$AG$5:$AG$364,0),1)/INDEX(其他调用!AH$5:AH$364,MATCH($K81,其他调用!$AG$5:$AG$364,0),0),1)*INDEX(其他调用!Y$5:Y$404,MATCH($K81,其他调用!$X$5:$X$404,0),0)</f>
        <v>34569.640437824884</v>
      </c>
      <c r="AC81" s="12">
        <f>MIN(INDEX(其他调用!$AJ$5:$AJ$364,MATCH($K81,其他调用!$AG$5:$AG$364,0),1)/INDEX(其他调用!AI$5:AI$364,MATCH($K81,其他调用!$AG$5:$AG$364,0),0),1)*INDEX(其他调用!Z$5:Z$404,MATCH($K81,其他调用!$X$5:$X$404,0),0)</f>
        <v>35710.575232821306</v>
      </c>
      <c r="AD81" s="12">
        <f>MIN(INDEX(其他调用!$AJ$5:$AJ$364,MATCH($K81,其他调用!$AG$5:$AG$364,0),1)/INDEX(其他调用!AJ$5:AJ$364,MATCH($K81,其他调用!$AG$5:$AG$364,0),0),1)*INDEX(其他调用!AA$5:AA$404,MATCH($K81,其他调用!$X$5:$X$404,0),0)</f>
        <v>37211.828217825627</v>
      </c>
      <c r="AE81" s="12">
        <f>MIN(INDEX(其他调用!$AJ$5:$AJ$364,MATCH($K81,其他调用!$AG$5:$AG$364,0),1)/INDEX(其他调用!AK$5:AK$364,MATCH($K81,其他调用!$AG$5:$AG$364,0),0),1)*INDEX(其他调用!AB$5:AB$404,MATCH($K81,其他调用!$X$5:$X$404,0),0)</f>
        <v>16094.469608697056</v>
      </c>
      <c r="AF81" s="12">
        <f>MIN(INDEX(其他调用!$AJ$5:$AJ$364,MATCH($K81,其他调用!$AG$5:$AG$364,0),1)/INDEX(其他调用!AL$5:AL$364,MATCH($K81,其他调用!$AG$5:$AG$364,0),0),1)*INDEX(其他调用!AC$5:AC$404,MATCH($K81,其他调用!$X$5:$X$404,0),0)</f>
        <v>4958.8044338149157</v>
      </c>
      <c r="AG81" s="12">
        <f>求节点(节奏总纲!D$4:D$163,标准城池设计!AE$4:AE$163,$K81)*求节点(节奏总纲!D$4:D$163,攻城基础信息!$AF$5:$AF$164,$K81)</f>
        <v>509706.85222154116</v>
      </c>
      <c r="AH81" s="12">
        <f>INDEX(其他调用!$AA$5:$AA$404,MATCH($K81,其他调用!$X$5:$X$404,0))*MIN(INDEX(其他调用!AK$5:AK$364,MATCH($K81,其他调用!$AG$5:$AG$364,0),1)/INDEX(其他调用!$AJ$5:$AJ$364,MATCH($K81,其他调用!$AG$5:$AG$364,0),0),5)*求节点(节奏总纲!D$4:D$163,攻城基础信息!$AF$5:$AF$164,$K81)</f>
        <v>266140.91199717077</v>
      </c>
      <c r="AI81" s="12">
        <f>MIN(INDEX(其他调用!$AK$5:$AK$364,MATCH($K81,其他调用!$AG$5:$AG$364,0),1)/INDEX(其他调用!AH$5:AH$364,MATCH($K81,其他调用!$AG$5:$AG$364,0),0),1)*INDEX(其他调用!Y$5:Y$404,MATCH($K81,其他调用!$X$5:$X$404,0),0)</f>
        <v>34569.640437824884</v>
      </c>
      <c r="AJ81" s="12">
        <f>MIN(INDEX(其他调用!$AK$5:$AK$364,MATCH($K81,其他调用!$AG$5:$AG$364,0),1)/INDEX(其他调用!AI$5:AI$364,MATCH($K81,其他调用!$AG$5:$AG$364,0),0),1)*INDEX(其他调用!Z$5:Z$404,MATCH($K81,其他调用!$X$5:$X$404,0),0)</f>
        <v>35710.575232821306</v>
      </c>
      <c r="AK81" s="12">
        <f>MIN(INDEX(其他调用!$AK$5:$AK$364,MATCH($K81,其他调用!$AG$5:$AG$364,0),1)/INDEX(其他调用!AJ$5:AJ$364,MATCH($K81,其他调用!$AG$5:$AG$364,0),0),1)*INDEX(其他调用!AA$5:AA$404,MATCH($K81,其他调用!$X$5:$X$404,0),0)</f>
        <v>37211.828217825627</v>
      </c>
      <c r="AL81" s="12">
        <f>MIN(INDEX(其他调用!$AK$5:$AK$364,MATCH($K81,其他调用!$AG$5:$AG$364,0),1)/INDEX(其他调用!AK$5:AK$364,MATCH($K81,其他调用!$AG$5:$AG$364,0),0),1)*INDEX(其他调用!AB$5:AB$404,MATCH($K81,其他调用!$X$5:$X$404,0),0)</f>
        <v>39393.662057306472</v>
      </c>
      <c r="AM81" s="12">
        <f>MIN(INDEX(其他调用!$AK$5:$AK$364,MATCH($K81,其他调用!$AG$5:$AG$364,0),1)/INDEX(其他调用!AL$5:AL$364,MATCH($K81,其他调用!$AG$5:$AG$364,0),0),1)*INDEX(其他调用!AC$5:AC$404,MATCH($K81,其他调用!$X$5:$X$404,0),0)</f>
        <v>12137.42800001423</v>
      </c>
      <c r="AN81" s="12">
        <f>求节点(节奏总纲!D$4:D$163,标准城池设计!AF$4:AF$163,$K81)*求节点(节奏总纲!D$4:D$163,攻城基础信息!$AG$5:$AG$164,$K81)</f>
        <v>512053.68697912293</v>
      </c>
      <c r="AO81" s="12">
        <f>INDEX(其他调用!$AA$5:$AA$404,MATCH($K81,其他调用!$X$5:$X$404,0))*MIN(INDEX(其他调用!AL$5:AL$364,MATCH($K81,其他调用!$AG$5:$AG$364,0),1)/INDEX(其他调用!$AJ$5:$AJ$364,MATCH($K81,其他调用!$AG$5:$AG$364,0),0),5)*求节点(节奏总纲!D$4:D$163,攻城基础信息!$AG$5:$AG$164,$K81)</f>
        <v>543665.73149993888</v>
      </c>
      <c r="AP81" s="12">
        <f>MIN(INDEX(其他调用!$AL$5:$AL$364,MATCH($K81,其他调用!$AG$5:$AG$364,0),1)/INDEX(其他调用!AH$5:AH$364,MATCH($K81,其他调用!$AG$5:$AG$364,0),0),1)*INDEX(其他调用!Y$5:Y$404,MATCH($K81,其他调用!$X$5:$X$404,0),0)</f>
        <v>34569.640437824884</v>
      </c>
      <c r="AQ81" s="12">
        <f>MIN(INDEX(其他调用!$AL$5:$AL$364,MATCH($K81,其他调用!$AG$5:$AG$364,0),1)/INDEX(其他调用!AI$5:AI$364,MATCH($K81,其他调用!$AG$5:$AG$364,0),0),1)*INDEX(其他调用!Z$5:Z$404,MATCH($K81,其他调用!$X$5:$X$404,0),0)</f>
        <v>35710.575232821306</v>
      </c>
      <c r="AR81" s="12">
        <f>MIN(INDEX(其他调用!$AL$5:$AL$364,MATCH($K81,其他调用!$AG$5:$AG$364,0),1)/INDEX(其他调用!AJ$5:AJ$364,MATCH($K81,其他调用!$AG$5:$AG$364,0),0),1)*INDEX(其他调用!AA$5:AA$404,MATCH($K81,其他调用!$X$5:$X$404,0),0)</f>
        <v>37211.828217825627</v>
      </c>
      <c r="AS81" s="12">
        <f>MIN(INDEX(其他调用!$AL$5:$AL$364,MATCH($K81,其他调用!$AG$5:$AG$364,0),1)/INDEX(其他调用!AK$5:AK$364,MATCH($K81,其他调用!$AG$5:$AG$364,0),0),1)*INDEX(其他调用!AB$5:AB$404,MATCH($K81,其他调用!$X$5:$X$404,0),0)</f>
        <v>39393.662057306472</v>
      </c>
      <c r="AT81" s="12">
        <f>MIN(INDEX(其他调用!$AL$5:$AL$364,MATCH($K81,其他调用!$AG$5:$AG$364,0),1)/INDEX(其他调用!AL$5:AL$364,MATCH($K81,其他调用!$AG$5:$AG$364,0),0),1)*INDEX(其他调用!AC$5:AC$404,MATCH($K81,其他调用!$X$5:$X$404,0),0)</f>
        <v>43230.371974165275</v>
      </c>
      <c r="AV81" s="14">
        <f>IF(OR(AV$5="大R",AV$5="超R"),MAX(INDEX(其他调用!$H$5:$L$404,MATCH($K81,其他调用!$B$5:$B$404,0),MATCH(AV$5,其他调用!$H$4:$L$4,0))*120*0.85,2),INDEX(其他调用!$H$5:$L$404,MATCH($K81,其他调用!$B$5:$B$404,0),MATCH(AV$5,其他调用!$H$4:$L$4,0))*120*0.85)</f>
        <v>50.123389356000004</v>
      </c>
      <c r="AW81" s="14">
        <f>IF(OR(AW$5="大R",AW$5="超R"),MAX(INDEX(其他调用!$H$5:$L$404,MATCH($K81,其他调用!$B$5:$B$404,0),MATCH(AW$5,其他调用!$H$4:$L$4,0))*120*0.85,2),INDEX(其他调用!$H$5:$L$404,MATCH($K81,其他调用!$B$5:$B$404,0),MATCH(AW$5,其他调用!$H$4:$L$4,0))*120*0.85)</f>
        <v>47.098057903668469</v>
      </c>
      <c r="AX81" s="14">
        <f>IF(OR(AX$5="大R",AX$5="超R"),MAX(INDEX(其他调用!$H$5:$L$404,MATCH($K81,其他调用!$B$5:$B$404,0),MATCH(AX$5,其他调用!$H$4:$L$4,0))*120*0.85,2),INDEX(其他调用!$H$5:$L$404,MATCH($K81,其他调用!$B$5:$B$404,0),MATCH(AX$5,其他调用!$H$4:$L$4,0))*120*0.85)</f>
        <v>3.9104723563315202</v>
      </c>
      <c r="AY81" s="14">
        <f>IF(OR(AY$5="大R",AY$5="超R"),MAX(INDEX(其他调用!$H$5:$L$404,MATCH($K81,其他调用!$B$5:$B$404,0),MATCH(AY$5,其他调用!$H$4:$L$4,0))*120*0.85,2),INDEX(其他调用!$H$5:$L$404,MATCH($K81,其他调用!$B$5:$B$404,0),MATCH(AY$5,其他调用!$H$4:$L$4,0))*120*0.85)</f>
        <v>2</v>
      </c>
      <c r="AZ81" s="14">
        <f>IF(OR(AZ$5="大R",AZ$5="超R"),MAX(INDEX(其他调用!$H$5:$L$404,MATCH($K81,其他调用!$B$5:$B$404,0),MATCH(AZ$5,其他调用!$H$4:$L$4,0))*120*0.85,2),INDEX(其他调用!$H$5:$L$404,MATCH($K81,其他调用!$B$5:$B$404,0),MATCH(AZ$5,其他调用!$H$4:$L$4,0))*120*0.85)</f>
        <v>2</v>
      </c>
      <c r="BA81" s="14">
        <f>INDEX(其他调用!$H$5:$L$404,MATCH($K81,其他调用!$B$5:$B$404,0),MATCH(BA$5,其他调用!$H$4:$L$4,0))*INDEX(其他调用!$M$5:$M$404,MATCH($K81,其他调用!$B$5:$B$404,0))*0.6</f>
        <v>29.206984051152574</v>
      </c>
      <c r="BB81" s="14">
        <f>INDEX(其他调用!$H$5:$L$404,MATCH($K81,其他调用!$B$5:$B$404,0),MATCH(BB$5,其他调用!$H$4:$L$4,0))*INDEX(其他调用!$M$5:$M$404,MATCH($K81,其他调用!$B$5:$B$404,0))*0.6</f>
        <v>27.44411827904532</v>
      </c>
      <c r="BC81" s="14">
        <f>INDEX(其他调用!$H$5:$L$404,MATCH($K81,其他调用!$B$5:$B$404,0),MATCH(BC$5,其他调用!$H$4:$L$4,0))*INDEX(其他调用!$M$5:$M$404,MATCH($K81,其他调用!$B$5:$B$404,0))*0.6</f>
        <v>2.2786388791997338</v>
      </c>
      <c r="BD81" s="14">
        <f>INDEX(其他调用!$H$5:$L$404,MATCH($K81,其他调用!$B$5:$B$404,0),MATCH(BD$5,其他调用!$H$4:$L$4,0))*INDEX(其他调用!$M$5:$M$404,MATCH($K81,其他调用!$B$5:$B$404,0))*0.6</f>
        <v>0.39491086914782619</v>
      </c>
      <c r="BE81" s="14">
        <f>INDEX(其他调用!$H$5:$L$404,MATCH($K81,其他调用!$B$5:$B$404,0),MATCH(BE$5,其他调用!$H$4:$L$4,0))*INDEX(其他调用!$M$5:$M$404,MATCH($K81,其他调用!$B$5:$B$404,0))*0.6</f>
        <v>0.1109210439841897</v>
      </c>
      <c r="BF81" s="14">
        <f>IF(OR(BF$5="大R",BF$5="超R"),0,INDEX(其他调用!$H$5:$L$404,MATCH($K81,其他调用!$B$5:$B$404,0),MATCH(BF$5,其他调用!$H$4:$L$4,0))*50*0.4)</f>
        <v>9.8281155600000023</v>
      </c>
      <c r="BG81" s="14">
        <f>IF(OR(BG$5="大R",BG$5="超R"),0,INDEX(其他调用!$H$5:$L$404,MATCH($K81,其他调用!$B$5:$B$404,0),MATCH(BG$5,其他调用!$H$4:$L$4,0))*50*0.4)</f>
        <v>9.2349133144447979</v>
      </c>
      <c r="BH81" s="14">
        <f>IF(OR(BH$5="大R",BH$5="超R"),0,INDEX(其他调用!$H$5:$L$404,MATCH($K81,其他调用!$B$5:$B$404,0),MATCH(BH$5,其他调用!$H$4:$L$4,0))*50*0.4)</f>
        <v>0.76675928555520012</v>
      </c>
      <c r="BI81" s="14">
        <f>IF(OR(BI$5="大R",BI$5="超R"),0,INDEX(其他调用!$H$5:$L$404,MATCH($K81,其他调用!$B$5:$B$404,0),MATCH(BI$5,其他调用!$H$4:$L$4,0))*50*0.4)</f>
        <v>0</v>
      </c>
      <c r="BJ81" s="14">
        <f>IF(OR(BJ$5="大R",BJ$5="超R"),0,INDEX(其他调用!$H$5:$L$404,MATCH($K81,其他调用!$B$5:$B$404,0),MATCH(BJ$5,其他调用!$H$4:$L$4,0))*50*0.4)</f>
        <v>0</v>
      </c>
      <c r="BL81" s="14">
        <f t="shared" si="208"/>
        <v>76</v>
      </c>
      <c r="BM81" s="14">
        <f t="shared" si="115"/>
        <v>96</v>
      </c>
      <c r="BN81" s="14">
        <f>('疲劳值&amp;地图信息'!$S$10*'疲劳值&amp;地图信息'!$R$10+'疲劳值&amp;地图信息'!$S$11*'疲劳值&amp;地图信息'!$R$11+'疲劳值&amp;地图信息'!$S$12*'疲劳值&amp;地图信息'!$R$12+(BM81-'疲劳值&amp;地图信息'!$S$12-'疲劳值&amp;地图信息'!$S$11-'疲劳值&amp;地图信息'!$S$10)*'疲劳值&amp;地图信息'!$R$13)/BM81</f>
        <v>51.371477246638619</v>
      </c>
      <c r="BO81" s="14">
        <f>INDEX(其他调用!$M$5:$M$404,MATCH(BL81,其他调用!$B$5:$B$404,0))*0.6</f>
        <v>59.43557312252964</v>
      </c>
      <c r="BP81" s="14">
        <f>IF(BO81&gt;SUM('疲劳值&amp;地图信息'!$S$10:$S$12),('疲劳值&amp;地图信息'!$S$10*'疲劳值&amp;地图信息'!$R$10+'疲劳值&amp;地图信息'!$S$11*'疲劳值&amp;地图信息'!$R$11+'疲劳值&amp;地图信息'!$S$12*'疲劳值&amp;地图信息'!$R$12+(BO81-'疲劳值&amp;地图信息'!$S$12-'疲劳值&amp;地图信息'!$S$11-'疲劳值&amp;地图信息'!$S$10)*'疲劳值&amp;地图信息'!$R$13)/BO81,('疲劳值&amp;地图信息'!$S$10*'疲劳值&amp;地图信息'!$R$10+'疲劳值&amp;地图信息'!$S$11*'疲劳值&amp;地图信息'!$R$11+'疲劳值&amp;地图信息'!$S$12*'疲劳值&amp;地图信息'!$R$12+(BO81-'疲劳值&amp;地图信息'!$S$12-'疲劳值&amp;地图信息'!$S$11-'疲劳值&amp;地图信息'!$S$10)*'疲劳值&amp;地图信息'!$R$13)/BO81)</f>
        <v>43.975466681254524</v>
      </c>
      <c r="BQ81" s="14">
        <f t="shared" si="209"/>
        <v>20</v>
      </c>
      <c r="BR81" s="14">
        <f>('疲劳值&amp;地图信息'!$S$10*'疲劳值&amp;地图信息'!$R$10+($BQ81-'疲劳值&amp;地图信息'!$S$10)*'疲劳值&amp;地图信息'!$R$11)/$BQ81</f>
        <v>32.067203015074995</v>
      </c>
      <c r="CF81" s="14">
        <v>76</v>
      </c>
      <c r="CG81" s="51">
        <f t="shared" si="116"/>
        <v>8216</v>
      </c>
      <c r="CH81" s="51">
        <f t="shared" si="117"/>
        <v>807</v>
      </c>
      <c r="CI81" s="51">
        <f>INT(SUMPRODUCT($N81:$R81,$BA81:$BE81)/SUM($BA81:$BE81)/10000*$BX$7*$BZ$34/'疲劳值&amp;地图信息'!$R$10*$BY$53)</f>
        <v>2881</v>
      </c>
      <c r="CJ81" s="50">
        <f t="shared" si="118"/>
        <v>0.69018817204301075</v>
      </c>
      <c r="CK81" s="50">
        <f t="shared" si="119"/>
        <v>6.7792338709677422E-2</v>
      </c>
      <c r="CL81" s="50">
        <f t="shared" si="120"/>
        <v>0.24201948924731181</v>
      </c>
      <c r="CM81" s="14">
        <f t="shared" si="121"/>
        <v>8645</v>
      </c>
      <c r="CN81" s="14">
        <f t="shared" si="122"/>
        <v>1226</v>
      </c>
      <c r="CO81" s="14">
        <f>INT(SUMPRODUCT($U81:$Y81,$BA81:$BE81)/SUM($BA81:$BE81)/10000*$BX$7*$BZ$34/'疲劳值&amp;地图信息'!$R$10*$BY$54)</f>
        <v>5224</v>
      </c>
      <c r="CP81" s="50">
        <f t="shared" si="123"/>
        <v>0.57270619410400792</v>
      </c>
      <c r="CQ81" s="50">
        <f t="shared" si="124"/>
        <v>8.1218946671083134E-2</v>
      </c>
      <c r="CR81" s="50">
        <f t="shared" si="125"/>
        <v>0.34607485922490894</v>
      </c>
      <c r="CS81" s="14">
        <f t="shared" si="126"/>
        <v>9182</v>
      </c>
      <c r="CT81" s="14">
        <f t="shared" si="127"/>
        <v>2225</v>
      </c>
      <c r="CU81" s="14">
        <f>INT(SUMPRODUCT($AB81:$AF81,$BA81:$BE81)/SUM($BA81:$BE81)/10000*$BX$7*$BZ$34/'疲劳值&amp;地图信息'!$R$10*$BY$55)</f>
        <v>7106</v>
      </c>
      <c r="CV81" s="50">
        <f t="shared" si="128"/>
        <v>0.49597580078863501</v>
      </c>
      <c r="CW81" s="50">
        <f t="shared" si="129"/>
        <v>0.12018581537298115</v>
      </c>
      <c r="CX81" s="50">
        <f t="shared" si="130"/>
        <v>0.38383838383838381</v>
      </c>
      <c r="CY81" s="14">
        <f t="shared" si="131"/>
        <v>10431</v>
      </c>
      <c r="CZ81" s="14">
        <f t="shared" si="132"/>
        <v>5446</v>
      </c>
      <c r="DA81" s="14">
        <f>INT(SUMPRODUCT($AI81:$AM81,$BA81:$BE81)/SUM($BA81:$BE81)/10000*$BX$7*$BZ$34/'疲劳值&amp;地图信息'!$R$10*$BY$56)</f>
        <v>10711</v>
      </c>
      <c r="DB81" s="50">
        <f t="shared" si="133"/>
        <v>0.39231984353843841</v>
      </c>
      <c r="DC81" s="50">
        <f t="shared" si="134"/>
        <v>0.20482924627651572</v>
      </c>
      <c r="DD81" s="50">
        <f t="shared" si="135"/>
        <v>0.40285091018504587</v>
      </c>
      <c r="DE81" s="14">
        <f t="shared" si="136"/>
        <v>10479</v>
      </c>
      <c r="DF81" s="14">
        <f t="shared" si="137"/>
        <v>11126</v>
      </c>
      <c r="DG81" s="14">
        <f>INT(SUMPRODUCT($AP81:$AT81,$BA81:$BE81)/SUM($BA81:$BE81)/10000*$BX$7*$BZ$34/'疲劳值&amp;地图信息'!$R$10*$BY$57)</f>
        <v>14305</v>
      </c>
      <c r="DH81" s="50">
        <f t="shared" si="138"/>
        <v>0.29181286549707602</v>
      </c>
      <c r="DI81" s="50">
        <f t="shared" si="139"/>
        <v>0.30983013088276246</v>
      </c>
      <c r="DJ81" s="50">
        <f t="shared" si="140"/>
        <v>0.39835700362016152</v>
      </c>
      <c r="DL81" s="14">
        <f t="shared" si="211"/>
        <v>11904</v>
      </c>
      <c r="DM81" s="14">
        <f t="shared" si="212"/>
        <v>15095</v>
      </c>
      <c r="DN81" s="14">
        <f t="shared" si="213"/>
        <v>18513</v>
      </c>
      <c r="DO81" s="14">
        <f t="shared" si="214"/>
        <v>26588</v>
      </c>
      <c r="DP81" s="14">
        <f t="shared" si="215"/>
        <v>35910</v>
      </c>
      <c r="DQ81" s="14">
        <f t="shared" si="216"/>
        <v>818616</v>
      </c>
      <c r="DT81" s="14">
        <f t="shared" si="210"/>
        <v>235575</v>
      </c>
      <c r="DU81" s="50">
        <f t="shared" si="112"/>
        <v>0.22346519748318852</v>
      </c>
      <c r="DW81" s="14">
        <f t="shared" si="141"/>
        <v>1054191</v>
      </c>
      <c r="EB81" s="14">
        <v>76</v>
      </c>
      <c r="EC81" s="51">
        <f t="shared" si="142"/>
        <v>13694</v>
      </c>
      <c r="ED81" s="51">
        <f t="shared" si="143"/>
        <v>1345</v>
      </c>
      <c r="EE81" s="51">
        <f>INT(SUMPRODUCT($N81:$R81,$BF81:$BJ81)/SUM($BF81:$BJ81)/10000*$BX$7*$BZ$46/'疲劳值&amp;地图信息'!$R$10*$BY$53)</f>
        <v>386</v>
      </c>
      <c r="EF81" s="50">
        <f t="shared" si="144"/>
        <v>0.88777957860615886</v>
      </c>
      <c r="EG81" s="50">
        <f t="shared" si="145"/>
        <v>8.7196110210696925E-2</v>
      </c>
      <c r="EH81" s="50">
        <f t="shared" si="146"/>
        <v>2.5024311183144247E-2</v>
      </c>
      <c r="EI81" s="51">
        <f t="shared" si="147"/>
        <v>14409</v>
      </c>
      <c r="EJ81" s="51">
        <f t="shared" si="148"/>
        <v>2044</v>
      </c>
      <c r="EK81" s="14">
        <f>INT(SUMPRODUCT($U81:$Y81,$BF81:$BJ81)/SUM($BF81:$BJ81)/10000*$BX$7*$BZ$46/'疲劳值&amp;地图信息'!$R$10*$BY$54)</f>
        <v>701</v>
      </c>
      <c r="EL81" s="50">
        <f t="shared" si="149"/>
        <v>0.83997901364113325</v>
      </c>
      <c r="EM81" s="50">
        <f t="shared" si="150"/>
        <v>0.11915588201002682</v>
      </c>
      <c r="EN81" s="50">
        <f t="shared" si="151"/>
        <v>4.0865104348839922E-2</v>
      </c>
      <c r="EO81" s="51">
        <f t="shared" si="152"/>
        <v>15303</v>
      </c>
      <c r="EP81" s="51">
        <f t="shared" si="153"/>
        <v>3708</v>
      </c>
      <c r="EQ81" s="14">
        <f>INT(SUMPRODUCT($AB81:$AF81,$BF81:$BJ81)/SUM($BF81:$BJ81)/10000*$BX$7*$BZ$46/'疲劳值&amp;地图信息'!$R$10*$BY$55)</f>
        <v>952</v>
      </c>
      <c r="ER81" s="50">
        <f t="shared" si="154"/>
        <v>0.76656815107949705</v>
      </c>
      <c r="ES81" s="50">
        <f t="shared" si="155"/>
        <v>0.18574362570755898</v>
      </c>
      <c r="ET81" s="50">
        <f t="shared" si="156"/>
        <v>4.7688223212943949E-2</v>
      </c>
      <c r="EU81" s="51">
        <f t="shared" si="157"/>
        <v>17386</v>
      </c>
      <c r="EV81" s="51">
        <f t="shared" si="158"/>
        <v>9078</v>
      </c>
      <c r="EW81" s="14">
        <f>INT(SUMPRODUCT($AI81:$AM81,$BF81:$BJ81)/SUM($BF81:$BJ81)/10000*$BX$7*$BZ$46/'疲劳值&amp;地图信息'!$R$10*$BY$56)</f>
        <v>1428</v>
      </c>
      <c r="EX81" s="50">
        <f t="shared" si="159"/>
        <v>0.6233328552990105</v>
      </c>
      <c r="EY81" s="50">
        <f t="shared" si="160"/>
        <v>0.32546966872221428</v>
      </c>
      <c r="EZ81" s="50">
        <f t="shared" si="161"/>
        <v>5.1197475978775275E-2</v>
      </c>
      <c r="FA81" s="51">
        <f t="shared" si="162"/>
        <v>17466</v>
      </c>
      <c r="FB81" s="51">
        <f t="shared" si="163"/>
        <v>18544</v>
      </c>
      <c r="FC81" s="14">
        <f>INT(SUMPRODUCT($AP81:$AT81,$BF81:$BJ81)/SUM($BF81:$BJ81)/10000*$BX$7*$BZ$46/'疲劳值&amp;地图信息'!$R$10*$BY$57)</f>
        <v>1905</v>
      </c>
      <c r="FD81" s="50">
        <f t="shared" si="164"/>
        <v>0.46066200712119215</v>
      </c>
      <c r="FE81" s="50">
        <f t="shared" si="165"/>
        <v>0.48909402611103786</v>
      </c>
      <c r="FF81" s="50">
        <f t="shared" si="166"/>
        <v>5.0243966767770015E-2</v>
      </c>
      <c r="FH81" s="14">
        <f t="shared" si="167"/>
        <v>15425</v>
      </c>
      <c r="FI81" s="14">
        <f t="shared" si="168"/>
        <v>17154</v>
      </c>
      <c r="FJ81" s="14">
        <f t="shared" si="169"/>
        <v>19963</v>
      </c>
      <c r="FK81" s="14">
        <f t="shared" si="170"/>
        <v>27892</v>
      </c>
      <c r="FL81" s="14">
        <f t="shared" si="171"/>
        <v>37915</v>
      </c>
      <c r="FM81" s="14">
        <f t="shared" si="172"/>
        <v>1790752</v>
      </c>
      <c r="FP81" s="14">
        <f t="shared" si="173"/>
        <v>334150</v>
      </c>
      <c r="FQ81" s="50">
        <f t="shared" si="113"/>
        <v>0.15725431102234361</v>
      </c>
      <c r="FS81" s="14">
        <f t="shared" si="174"/>
        <v>2124902</v>
      </c>
      <c r="FX81" s="14">
        <v>76</v>
      </c>
      <c r="FY81" s="51">
        <f t="shared" si="175"/>
        <v>19172</v>
      </c>
      <c r="FZ81" s="51">
        <f t="shared" si="176"/>
        <v>1345</v>
      </c>
      <c r="GA81" s="51">
        <f>INT(SUMPRODUCT($N81:$R81,$BF81:$BJ81)/SUM($BF81:$BJ81)/10000*$BX$7*$BZ$46/'疲劳值&amp;地图信息'!$R$10*$BY$53)</f>
        <v>386</v>
      </c>
      <c r="GB81" s="50">
        <f t="shared" si="177"/>
        <v>0.91718892025068177</v>
      </c>
      <c r="GC81" s="50">
        <f t="shared" si="178"/>
        <v>6.4344830885518831E-2</v>
      </c>
      <c r="GD81" s="50">
        <f t="shared" si="179"/>
        <v>1.8466248863799453E-2</v>
      </c>
      <c r="GE81" s="51">
        <f t="shared" si="180"/>
        <v>20173</v>
      </c>
      <c r="GF81" s="51">
        <f t="shared" si="181"/>
        <v>2044</v>
      </c>
      <c r="GG81" s="14">
        <f>INT(SUMPRODUCT($U81:$Y81,$BF81:$BJ81)/SUM($BF81:$BJ81)/10000*$BX$7*$BZ$46/'疲劳值&amp;地图信息'!$R$10*$BY$54)</f>
        <v>701</v>
      </c>
      <c r="GH81" s="50">
        <f t="shared" si="182"/>
        <v>0.88022515053669603</v>
      </c>
      <c r="GI81" s="50">
        <f t="shared" si="183"/>
        <v>8.918753817959682E-2</v>
      </c>
      <c r="GJ81" s="50">
        <f t="shared" si="184"/>
        <v>3.058731128370713E-2</v>
      </c>
      <c r="GK81" s="51">
        <f t="shared" si="185"/>
        <v>21425</v>
      </c>
      <c r="GL81" s="51">
        <f t="shared" si="186"/>
        <v>3708</v>
      </c>
      <c r="GM81" s="14">
        <f>INT(SUMPRODUCT($AB81:$AF81,$BF81:$BJ81)/SUM($BF81:$BJ81)/10000*$BX$7*$BZ$46/'疲劳值&amp;地图信息'!$R$10*$BY$55)</f>
        <v>952</v>
      </c>
      <c r="GN81" s="50">
        <f t="shared" si="187"/>
        <v>0.82135326816177878</v>
      </c>
      <c r="GO81" s="50">
        <f t="shared" si="188"/>
        <v>0.14215066129959747</v>
      </c>
      <c r="GP81" s="50">
        <f t="shared" si="189"/>
        <v>3.6496070538623727E-2</v>
      </c>
      <c r="GQ81" s="51">
        <f t="shared" si="190"/>
        <v>24340</v>
      </c>
      <c r="GR81" s="51">
        <f t="shared" si="191"/>
        <v>9078</v>
      </c>
      <c r="GS81" s="14">
        <f>INT(SUMPRODUCT($AI81:$AM81,$BF81:$BJ81)/SUM($BF81:$BJ81)/10000*$BX$7*$BZ$46/'疲劳值&amp;地图信息'!$R$10*$BY$56)</f>
        <v>1428</v>
      </c>
      <c r="GT81" s="50">
        <f t="shared" si="192"/>
        <v>0.69850198014119269</v>
      </c>
      <c r="GU81" s="50">
        <f t="shared" si="193"/>
        <v>0.26051770647994033</v>
      </c>
      <c r="GV81" s="50">
        <f t="shared" si="194"/>
        <v>4.0980313378867012E-2</v>
      </c>
      <c r="GW81" s="51">
        <f t="shared" si="195"/>
        <v>24452</v>
      </c>
      <c r="GX81" s="51">
        <f t="shared" si="196"/>
        <v>18544</v>
      </c>
      <c r="GY81" s="14">
        <f>INT(SUMPRODUCT($AP81:$AT81,$BF81:$BJ81)/SUM($BF81:$BJ81)/10000*$BX$7*$BZ$46/'疲劳值&amp;地图信息'!$R$10*$BY$57)</f>
        <v>1905</v>
      </c>
      <c r="GZ81" s="50">
        <f t="shared" si="197"/>
        <v>0.54457584463597697</v>
      </c>
      <c r="HA81" s="50">
        <f t="shared" si="198"/>
        <v>0.41299748335226388</v>
      </c>
      <c r="HB81" s="50">
        <f t="shared" si="199"/>
        <v>4.2426672011759203E-2</v>
      </c>
      <c r="HD81" s="14">
        <f t="shared" si="200"/>
        <v>20903</v>
      </c>
      <c r="HE81" s="14">
        <f t="shared" si="201"/>
        <v>22918</v>
      </c>
      <c r="HF81" s="14">
        <f t="shared" si="202"/>
        <v>26085</v>
      </c>
      <c r="HG81" s="14">
        <f t="shared" si="203"/>
        <v>34846</v>
      </c>
      <c r="HH81" s="14">
        <f t="shared" si="204"/>
        <v>44901</v>
      </c>
      <c r="HI81" s="14">
        <f t="shared" si="205"/>
        <v>2388621</v>
      </c>
      <c r="HL81" s="14">
        <f t="shared" si="206"/>
        <v>430050</v>
      </c>
      <c r="HM81" s="50">
        <f t="shared" si="114"/>
        <v>0.15257190356731951</v>
      </c>
      <c r="HO81" s="14">
        <f t="shared" si="207"/>
        <v>2818671</v>
      </c>
    </row>
    <row r="82" spans="11:223" x14ac:dyDescent="0.2">
      <c r="K82" s="14">
        <v>77</v>
      </c>
      <c r="L82" s="12">
        <f>求节点(节奏总纲!D$4:D$163,标准城池设计!AB$4:AB$163,$K82)*求节点(节奏总纲!D$4:D$163,攻城基础信息!$AC$5:$AC$164,$K82)</f>
        <v>404453.87243187387</v>
      </c>
      <c r="M82" s="12">
        <f>INDEX(其他调用!$AA$5:$AA$404,MATCH(K82,其他调用!$X$5:$X$404,0))*MIN(INDEX(其他调用!$AH$5:$AH$364,MATCH('征服点（新）'!K82,其他调用!$AG$5:$AG$364,0),1)/INDEX(其他调用!$AJ$5:$AJ$364,MATCH(K82,其他调用!$AG$5:$AG$364,0),0),5)*求节点(节奏总纲!D$4:D$163,攻城基础信息!$AC$5:$AC$164,$K82)</f>
        <v>39474.223204709459</v>
      </c>
      <c r="N82" s="12">
        <f>MIN(INDEX(其他调用!$AH$5:$AH$364,MATCH($K82,其他调用!$AG$5:$AG$364,0),1)/INDEX(其他调用!AH$5:AH$364,MATCH($K82,其他调用!$AG$5:$AG$364,0),0),1)*INDEX(其他调用!Y$5:Y$404,MATCH($K82,其他调用!$X$5:$X$404,0),0)</f>
        <v>34644.762267212733</v>
      </c>
      <c r="O82" s="12">
        <f>MIN(INDEX(其他调用!$AH$5:$AH$364,MATCH($K82,其他调用!$AG$5:$AG$364,0),1)/INDEX(其他调用!AI$5:AI$364,MATCH($K82,其他调用!$AG$5:$AG$364,0),0),1)*INDEX(其他调用!Z$5:Z$404,MATCH($K82,其他调用!$X$5:$X$404,0),0)</f>
        <v>23487.96959033345</v>
      </c>
      <c r="P82" s="12">
        <f>MIN(INDEX(其他调用!$AH$5:$AH$364,MATCH($K82,其他调用!$AG$5:$AG$364,0),1)/INDEX(其他调用!AJ$5:AJ$364,MATCH($K82,其他调用!$AG$5:$AG$364,0),0),1)*INDEX(其他调用!AA$5:AA$404,MATCH($K82,其他调用!$X$5:$X$404,0),0)</f>
        <v>13480.1501788898</v>
      </c>
      <c r="Q82" s="12">
        <f>MIN(INDEX(其他调用!$AH$5:$AH$364,MATCH($K82,其他调用!$AG$5:$AG$364,0),1)/INDEX(其他调用!AK$5:AK$364,MATCH($K82,其他调用!$AG$5:$AG$364,0),0),1)*INDEX(其他调用!AB$5:AB$404,MATCH($K82,其他调用!$X$5:$X$404,0),0)</f>
        <v>5836.2056274913739</v>
      </c>
      <c r="R82" s="12">
        <f>MIN(INDEX(其他调用!$AH$5:$AH$364,MATCH($K82,其他调用!$AG$5:$AG$364,0),1)/INDEX(其他调用!AL$5:AL$364,MATCH($K82,其他调用!$AG$5:$AG$364,0),0),1)*INDEX(其他调用!AC$5:AC$404,MATCH($K82,其他调用!$X$5:$X$404,0),0)</f>
        <v>1792.1201267823271</v>
      </c>
      <c r="S82" s="12">
        <f>求节点(节奏总纲!D$4:D$163,标准城池设计!AC$4:AC$163,$K82)*求节点(节奏总纲!D$4:D$163,攻城基础信息!$AD$5:$AD$164,$K82)</f>
        <v>426073.2791439821</v>
      </c>
      <c r="T82" s="12">
        <f>INDEX(其他调用!$AA$5:$AA$404,MATCH($K82,其他调用!$X$5:$X$404,0))*MIN(INDEX(其他调用!AI$5:AI$364,MATCH($K82,其他调用!$AG$5:$AG$364,0),1)/INDEX(其他调用!$AJ$5:$AJ$364,MATCH($K82,其他调用!$AG$5:$AG$364,0),0),5)*求节点(节奏总纲!D$4:D$163,攻城基础信息!$AD$5:$AD$164,$K82)</f>
        <v>60145.641192206109</v>
      </c>
      <c r="U82" s="12">
        <f>MIN(INDEX(其他调用!$AI$5:$AI$364,MATCH($K82,其他调用!$AG$5:$AG$364,0),1)/INDEX(其他调用!AH$5:AH$364,MATCH($K82,其他调用!$AG$5:$AG$364,0),0),1)*INDEX(其他调用!Y$5:Y$404,MATCH($K82,其他调用!$X$5:$X$404,0),0)</f>
        <v>34644.762267212733</v>
      </c>
      <c r="V82" s="12">
        <f>MIN(INDEX(其他调用!$AI$5:$AI$364,MATCH($K82,其他调用!$AG$5:$AG$364,0),1)/INDEX(其他调用!AI$5:AI$364,MATCH($K82,其他调用!$AG$5:$AG$364,0),0),1)*INDEX(其他调用!Z$5:Z$404,MATCH($K82,其他调用!$X$5:$X$404,0),0)</f>
        <v>35787.885780234996</v>
      </c>
      <c r="W82" s="12">
        <f>MIN(INDEX(其他调用!$AI$5:$AI$364,MATCH($K82,其他调用!$AG$5:$AG$364,0),1)/INDEX(其他调用!AJ$5:AJ$364,MATCH($K82,其他调用!$AG$5:$AG$364,0),0),1)*INDEX(其他调用!AA$5:AA$404,MATCH($K82,其他调用!$X$5:$X$404,0),0)</f>
        <v>20539.283868158043</v>
      </c>
      <c r="X82" s="12">
        <f>MIN(INDEX(其他调用!$AI$5:$AI$364,MATCH($K82,其他调用!$AG$5:$AG$364,0),1)/INDEX(其他调用!AK$5:AK$364,MATCH($K82,其他调用!$AG$5:$AG$364,0),0),1)*INDEX(其他调用!AB$5:AB$404,MATCH($K82,其他调用!$X$5:$X$404,0),0)</f>
        <v>8892.4442610222577</v>
      </c>
      <c r="Y82" s="12">
        <f>MIN(INDEX(其他调用!$AI$5:$AI$364,MATCH($K82,其他调用!$AG$5:$AG$364,0),1)/INDEX(其他调用!AL$5:AL$364,MATCH($K82,其他调用!$AG$5:$AG$364,0),0),1)*INDEX(其他调用!AC$5:AC$404,MATCH($K82,其他调用!$X$5:$X$404,0),0)</f>
        <v>2730.5974726798709</v>
      </c>
      <c r="Z82" s="12">
        <f>求节点(节奏总纲!D$4:D$163,标准城池设计!AD$4:AD$163,$K82)*求节点(节奏总纲!D$4:D$163,攻城基础信息!$AE$5:$AE$164,$K82)</f>
        <v>452454.1509423207</v>
      </c>
      <c r="AA82" s="12">
        <f>INDEX(其他调用!$AA$5:$AA$404,MATCH($K82,其他调用!$X$5:$X$404,0))*MIN(INDEX(其他调用!AJ$5:AJ$364,MATCH($K82,其他调用!$AG$5:$AG$364,0),1)/INDEX(其他调用!$AJ$5:$AJ$364,MATCH($K82,其他调用!$AG$5:$AG$364,0),0),5)*求节点(节奏总纲!D$4:D$163,攻城基础信息!$AE$5:$AE$164,$K82)</f>
        <v>109197.32067761014</v>
      </c>
      <c r="AB82" s="12">
        <f>MIN(INDEX(其他调用!$AJ$5:$AJ$364,MATCH($K82,其他调用!$AG$5:$AG$364,0),1)/INDEX(其他调用!AH$5:AH$364,MATCH($K82,其他调用!$AG$5:$AG$364,0),0),1)*INDEX(其他调用!Y$5:Y$404,MATCH($K82,其他调用!$X$5:$X$404,0),0)</f>
        <v>34644.762267212733</v>
      </c>
      <c r="AC82" s="12">
        <f>MIN(INDEX(其他调用!$AJ$5:$AJ$364,MATCH($K82,其他调用!$AG$5:$AG$364,0),1)/INDEX(其他调用!AI$5:AI$364,MATCH($K82,其他调用!$AG$5:$AG$364,0),0),1)*INDEX(其他调用!Z$5:Z$404,MATCH($K82,其他调用!$X$5:$X$404,0),0)</f>
        <v>35787.885780234996</v>
      </c>
      <c r="AD82" s="12">
        <f>MIN(INDEX(其他调用!$AJ$5:$AJ$364,MATCH($K82,其他调用!$AG$5:$AG$364,0),1)/INDEX(其他调用!AJ$5:AJ$364,MATCH($K82,其他调用!$AG$5:$AG$364,0),0),1)*INDEX(其他调用!AA$5:AA$404,MATCH($K82,其他调用!$X$5:$X$404,0),0)</f>
        <v>37290.063296063978</v>
      </c>
      <c r="AE82" s="12">
        <f>MIN(INDEX(其他调用!$AJ$5:$AJ$364,MATCH($K82,其他调用!$AG$5:$AG$364,0),1)/INDEX(其他调用!AK$5:AK$364,MATCH($K82,其他调用!$AG$5:$AG$364,0),0),1)*INDEX(其他调用!AB$5:AB$404,MATCH($K82,其他调用!$X$5:$X$404,0),0)</f>
        <v>16144.662661015096</v>
      </c>
      <c r="AF82" s="12">
        <f>MIN(INDEX(其他调用!$AJ$5:$AJ$364,MATCH($K82,其他调用!$AG$5:$AG$364,0),1)/INDEX(其他调用!AL$5:AL$364,MATCH($K82,其他调用!$AG$5:$AG$364,0),0),1)*INDEX(其他调用!AC$5:AC$404,MATCH($K82,其他调用!$X$5:$X$404,0),0)</f>
        <v>4957.5317837717903</v>
      </c>
      <c r="AG82" s="12">
        <f>求节点(节奏总纲!D$4:D$163,标准城池设计!AE$4:AE$163,$K82)*求节点(节奏总纲!D$4:D$163,攻城基础信息!$AF$5:$AF$164,$K82)</f>
        <v>514160.48763319058</v>
      </c>
      <c r="AH82" s="12">
        <f>INDEX(其他调用!$AA$5:$AA$404,MATCH($K82,其他调用!$X$5:$X$404,0))*MIN(INDEX(其他调用!AK$5:AK$364,MATCH($K82,其他调用!$AG$5:$AG$364,0),1)/INDEX(其他调用!$AJ$5:$AJ$364,MATCH($K82,其他调用!$AG$5:$AG$364,0),0),5)*求节点(节奏总纲!D$4:D$163,攻城基础信息!$AF$5:$AF$164,$K82)</f>
        <v>266949.46627963526</v>
      </c>
      <c r="AI82" s="12">
        <f>MIN(INDEX(其他调用!$AK$5:$AK$364,MATCH($K82,其他调用!$AG$5:$AG$364,0),1)/INDEX(其他调用!AH$5:AH$364,MATCH($K82,其他调用!$AG$5:$AG$364,0),0),1)*INDEX(其他调用!Y$5:Y$404,MATCH($K82,其他调用!$X$5:$X$404,0),0)</f>
        <v>34644.762267212733</v>
      </c>
      <c r="AJ82" s="12">
        <f>MIN(INDEX(其他调用!$AK$5:$AK$364,MATCH($K82,其他调用!$AG$5:$AG$364,0),1)/INDEX(其他调用!AI$5:AI$364,MATCH($K82,其他调用!$AG$5:$AG$364,0),0),1)*INDEX(其他调用!Z$5:Z$404,MATCH($K82,其他调用!$X$5:$X$404,0),0)</f>
        <v>35787.885780234996</v>
      </c>
      <c r="AK82" s="12">
        <f>MIN(INDEX(其他调用!$AK$5:$AK$364,MATCH($K82,其他调用!$AG$5:$AG$364,0),1)/INDEX(其他调用!AJ$5:AJ$364,MATCH($K82,其他调用!$AG$5:$AG$364,0),0),1)*INDEX(其他调用!AA$5:AA$404,MATCH($K82,其他调用!$X$5:$X$404,0),0)</f>
        <v>37290.063296063978</v>
      </c>
      <c r="AL82" s="12">
        <f>MIN(INDEX(其他调用!$AK$5:$AK$364,MATCH($K82,其他调用!$AG$5:$AG$364,0),1)/INDEX(其他调用!AK$5:AK$364,MATCH($K82,其他调用!$AG$5:$AG$364,0),0),1)*INDEX(其他调用!AB$5:AB$404,MATCH($K82,其他调用!$X$5:$X$404,0),0)</f>
        <v>39468.084508656088</v>
      </c>
      <c r="AM82" s="12">
        <f>MIN(INDEX(其他调用!$AK$5:$AK$364,MATCH($K82,其他调用!$AG$5:$AG$364,0),1)/INDEX(其他调用!AL$5:AL$364,MATCH($K82,其他调用!$AG$5:$AG$364,0),0),1)*INDEX(其他调用!AC$5:AC$404,MATCH($K82,其他调用!$X$5:$X$404,0),0)</f>
        <v>12119.440802484454</v>
      </c>
      <c r="AN82" s="12">
        <f>求节点(节奏总纲!D$4:D$163,标准城池设计!AF$4:AF$163,$K82)*求节点(节奏总纲!D$4:D$163,攻城基础信息!$AG$5:$AG$164,$K82)</f>
        <v>515722.59262493777</v>
      </c>
      <c r="AO82" s="12">
        <f>INDEX(其他调用!$AA$5:$AA$404,MATCH($K82,其他调用!$X$5:$X$404,0))*MIN(INDEX(其他调用!AL$5:AL$364,MATCH($K82,其他调用!$AG$5:$AG$364,0),1)/INDEX(其他调用!$AJ$5:$AJ$364,MATCH($K82,其他调用!$AG$5:$AG$364,0),0),5)*求节点(节奏总纲!D$4:D$163,攻城基础信息!$AG$5:$AG$164,$K82)</f>
        <v>545986.60338805069</v>
      </c>
      <c r="AP82" s="12">
        <f>MIN(INDEX(其他调用!$AL$5:$AL$364,MATCH($K82,其他调用!$AG$5:$AG$364,0),1)/INDEX(其他调用!AH$5:AH$364,MATCH($K82,其他调用!$AG$5:$AG$364,0),0),1)*INDEX(其他调用!Y$5:Y$404,MATCH($K82,其他调用!$X$5:$X$404,0),0)</f>
        <v>34644.762267212733</v>
      </c>
      <c r="AQ82" s="12">
        <f>MIN(INDEX(其他调用!$AL$5:$AL$364,MATCH($K82,其他调用!$AG$5:$AG$364,0),1)/INDEX(其他调用!AI$5:AI$364,MATCH($K82,其他调用!$AG$5:$AG$364,0),0),1)*INDEX(其他调用!Z$5:Z$404,MATCH($K82,其他调用!$X$5:$X$404,0),0)</f>
        <v>35787.885780234996</v>
      </c>
      <c r="AR82" s="12">
        <f>MIN(INDEX(其他调用!$AL$5:$AL$364,MATCH($K82,其他调用!$AG$5:$AG$364,0),1)/INDEX(其他调用!AJ$5:AJ$364,MATCH($K82,其他调用!$AG$5:$AG$364,0),0),1)*INDEX(其他调用!AA$5:AA$404,MATCH($K82,其他调用!$X$5:$X$404,0),0)</f>
        <v>37290.063296063978</v>
      </c>
      <c r="AS82" s="12">
        <f>MIN(INDEX(其他调用!$AL$5:$AL$364,MATCH($K82,其他调用!$AG$5:$AG$364,0),1)/INDEX(其他调用!AK$5:AK$364,MATCH($K82,其他调用!$AG$5:$AG$364,0),0),1)*INDEX(其他调用!AB$5:AB$404,MATCH($K82,其他调用!$X$5:$X$404,0),0)</f>
        <v>39468.084508656088</v>
      </c>
      <c r="AT82" s="12">
        <f>MIN(INDEX(其他调用!$AL$5:$AL$364,MATCH($K82,其他调用!$AG$5:$AG$364,0),1)/INDEX(其他调用!AL$5:AL$364,MATCH($K82,其他调用!$AG$5:$AG$364,0),0),1)*INDEX(其他调用!AC$5:AC$404,MATCH($K82,其他调用!$X$5:$X$404,0),0)</f>
        <v>43308.204030789871</v>
      </c>
      <c r="AV82" s="14">
        <f>IF(OR(AV$5="大R",AV$5="超R"),MAX(INDEX(其他调用!$H$5:$L$404,MATCH($K82,其他调用!$B$5:$B$404,0),MATCH(AV$5,其他调用!$H$4:$L$4,0))*120*0.85,2),INDEX(其他调用!$H$5:$L$404,MATCH($K82,其他调用!$B$5:$B$404,0),MATCH(AV$5,其他调用!$H$4:$L$4,0))*120*0.85)</f>
        <v>50.037561634500008</v>
      </c>
      <c r="AW82" s="14">
        <f>IF(OR(AW$5="大R",AW$5="超R"),MAX(INDEX(其他调用!$H$5:$L$404,MATCH($K82,其他调用!$B$5:$B$404,0),MATCH(AW$5,其他调用!$H$4:$L$4,0))*120*0.85,2),INDEX(其他调用!$H$5:$L$404,MATCH($K82,其他调用!$B$5:$B$404,0),MATCH(AW$5,其他调用!$H$4:$L$4,0))*120*0.85)</f>
        <v>47.179435482737752</v>
      </c>
      <c r="AX82" s="14">
        <f>IF(OR(AX$5="大R",AX$5="超R"),MAX(INDEX(其他调用!$H$5:$L$404,MATCH($K82,其他调用!$B$5:$B$404,0),MATCH(AX$5,其他调用!$H$4:$L$4,0))*120*0.85,2),INDEX(其他调用!$H$5:$L$404,MATCH($K82,其他调用!$B$5:$B$404,0),MATCH(AX$5,其他调用!$H$4:$L$4,0))*120*0.85)</f>
        <v>3.9124120747622402</v>
      </c>
      <c r="AY82" s="14">
        <f>IF(OR(AY$5="大R",AY$5="超R"),MAX(INDEX(其他调用!$H$5:$L$404,MATCH($K82,其他调用!$B$5:$B$404,0),MATCH(AY$5,其他调用!$H$4:$L$4,0))*120*0.85,2),INDEX(其他调用!$H$5:$L$404,MATCH($K82,其他调用!$B$5:$B$404,0),MATCH(AY$5,其他调用!$H$4:$L$4,0))*120*0.85)</f>
        <v>2</v>
      </c>
      <c r="AZ82" s="14">
        <f>IF(OR(AZ$5="大R",AZ$5="超R"),MAX(INDEX(其他调用!$H$5:$L$404,MATCH($K82,其他调用!$B$5:$B$404,0),MATCH(AZ$5,其他调用!$H$4:$L$4,0))*120*0.85,2),INDEX(其他调用!$H$5:$L$404,MATCH($K82,其他调用!$B$5:$B$404,0),MATCH(AZ$5,其他调用!$H$4:$L$4,0))*120*0.85)</f>
        <v>2</v>
      </c>
      <c r="BA82" s="14">
        <f>INDEX(其他调用!$H$5:$L$404,MATCH($K82,其他调用!$B$5:$B$404,0),MATCH(BA$5,其他调用!$H$4:$L$4,0))*INDEX(其他调用!$M$5:$M$404,MATCH($K82,其他调用!$B$5:$B$404,0))*0.6</f>
        <v>29.215141775530441</v>
      </c>
      <c r="BB82" s="14">
        <f>INDEX(其他调用!$H$5:$L$404,MATCH($K82,其他调用!$B$5:$B$404,0),MATCH(BB$5,其他调用!$H$4:$L$4,0))*INDEX(其他调用!$M$5:$M$404,MATCH($K82,其他调用!$B$5:$B$404,0))*0.6</f>
        <v>27.546384186061623</v>
      </c>
      <c r="BC82" s="14">
        <f>INDEX(其他调用!$H$5:$L$404,MATCH($K82,其他调用!$B$5:$B$404,0),MATCH(BC$5,其他调用!$H$4:$L$4,0))*INDEX(其他调用!$M$5:$M$404,MATCH($K82,其他调用!$B$5:$B$404,0))*0.6</f>
        <v>2.2843174150529966</v>
      </c>
      <c r="BD82" s="14">
        <f>INDEX(其他调用!$H$5:$L$404,MATCH($K82,其他调用!$B$5:$B$404,0),MATCH(BD$5,其他调用!$H$4:$L$4,0))*INDEX(其他调用!$M$5:$M$404,MATCH($K82,其他调用!$B$5:$B$404,0))*0.6</f>
        <v>0.39664993586086972</v>
      </c>
      <c r="BE82" s="14">
        <f>INDEX(其他调用!$H$5:$L$404,MATCH($K82,其他调用!$B$5:$B$404,0),MATCH(BE$5,其他调用!$H$4:$L$4,0))*INDEX(其他调用!$M$5:$M$404,MATCH($K82,其他调用!$B$5:$B$404,0))*0.6</f>
        <v>0.11165688512252964</v>
      </c>
      <c r="BF82" s="14">
        <f>IF(OR(BF$5="大R",BF$5="超R"),0,INDEX(其他调用!$H$5:$L$404,MATCH($K82,其他调用!$B$5:$B$404,0),MATCH(BF$5,其他调用!$H$4:$L$4,0))*50*0.4)</f>
        <v>9.8112865950000021</v>
      </c>
      <c r="BG82" s="14">
        <f>IF(OR(BG$5="大R",BG$5="超R"),0,INDEX(其他调用!$H$5:$L$404,MATCH($K82,其他调用!$B$5:$B$404,0),MATCH(BG$5,其他调用!$H$4:$L$4,0))*50*0.4)</f>
        <v>9.2508697024975994</v>
      </c>
      <c r="BH82" s="14">
        <f>IF(OR(BH$5="大R",BH$5="超R"),0,INDEX(其他调用!$H$5:$L$404,MATCH($K82,其他调用!$B$5:$B$404,0),MATCH(BH$5,其他调用!$H$4:$L$4,0))*50*0.4)</f>
        <v>0.76713962250240009</v>
      </c>
      <c r="BI82" s="14">
        <f>IF(OR(BI$5="大R",BI$5="超R"),0,INDEX(其他调用!$H$5:$L$404,MATCH($K82,其他调用!$B$5:$B$404,0),MATCH(BI$5,其他调用!$H$4:$L$4,0))*50*0.4)</f>
        <v>0</v>
      </c>
      <c r="BJ82" s="14">
        <f>IF(OR(BJ$5="大R",BJ$5="超R"),0,INDEX(其他调用!$H$5:$L$404,MATCH($K82,其他调用!$B$5:$B$404,0),MATCH(BJ$5,其他调用!$H$4:$L$4,0))*50*0.4)</f>
        <v>0</v>
      </c>
      <c r="BL82" s="14">
        <f t="shared" si="208"/>
        <v>77</v>
      </c>
      <c r="BM82" s="14">
        <f t="shared" si="115"/>
        <v>96</v>
      </c>
      <c r="BN82" s="14">
        <f>('疲劳值&amp;地图信息'!$S$10*'疲劳值&amp;地图信息'!$R$10+'疲劳值&amp;地图信息'!$S$11*'疲劳值&amp;地图信息'!$R$11+'疲劳值&amp;地图信息'!$S$12*'疲劳值&amp;地图信息'!$R$12+(BM82-'疲劳值&amp;地图信息'!$S$12-'疲劳值&amp;地图信息'!$S$11-'疲劳值&amp;地图信息'!$S$10)*'疲劳值&amp;地图信息'!$R$13)/BM82</f>
        <v>51.371477246638619</v>
      </c>
      <c r="BO82" s="14">
        <f>INDEX(其他调用!$M$5:$M$404,MATCH(BL82,其他调用!$B$5:$B$404,0))*0.6</f>
        <v>59.554150197628459</v>
      </c>
      <c r="BP82" s="14">
        <f>IF(BO82&gt;SUM('疲劳值&amp;地图信息'!$S$10:$S$12),('疲劳值&amp;地图信息'!$S$10*'疲劳值&amp;地图信息'!$R$10+'疲劳值&amp;地图信息'!$S$11*'疲劳值&amp;地图信息'!$R$11+'疲劳值&amp;地图信息'!$S$12*'疲劳值&amp;地图信息'!$R$12+(BO82-'疲劳值&amp;地图信息'!$S$12-'疲劳值&amp;地图信息'!$S$11-'疲劳值&amp;地图信息'!$S$10)*'疲劳值&amp;地图信息'!$R$13)/BO82,('疲劳值&amp;地图信息'!$S$10*'疲劳值&amp;地图信息'!$R$10+'疲劳值&amp;地图信息'!$S$11*'疲劳值&amp;地图信息'!$R$11+'疲劳值&amp;地图信息'!$S$12*'疲劳值&amp;地图信息'!$R$12+(BO82-'疲劳值&amp;地图信息'!$S$12-'疲劳值&amp;地图信息'!$S$11-'疲劳值&amp;地图信息'!$S$10)*'疲劳值&amp;地图信息'!$R$13)/BO82)</f>
        <v>44.014129960577371</v>
      </c>
      <c r="BQ82" s="14">
        <f t="shared" si="209"/>
        <v>20</v>
      </c>
      <c r="BR82" s="14">
        <f>('疲劳值&amp;地图信息'!$S$10*'疲劳值&amp;地图信息'!$R$10+($BQ82-'疲劳值&amp;地图信息'!$S$10)*'疲劳值&amp;地图信息'!$R$11)/$BQ82</f>
        <v>32.067203015074995</v>
      </c>
      <c r="CF82" s="14">
        <v>77</v>
      </c>
      <c r="CG82" s="51">
        <f t="shared" si="116"/>
        <v>8270</v>
      </c>
      <c r="CH82" s="51">
        <f t="shared" si="117"/>
        <v>807</v>
      </c>
      <c r="CI82" s="51">
        <f>INT(SUMPRODUCT($N82:$R82,$BA82:$BE82)/SUM($BA82:$BE82)/10000*$BX$7*$BZ$34/'疲劳值&amp;地图信息'!$R$10*$BY$53)</f>
        <v>2883</v>
      </c>
      <c r="CJ82" s="50">
        <f t="shared" si="118"/>
        <v>0.69147157190635455</v>
      </c>
      <c r="CK82" s="50">
        <f t="shared" si="119"/>
        <v>6.7474916387959868E-2</v>
      </c>
      <c r="CL82" s="50">
        <f t="shared" si="120"/>
        <v>0.24105351170568562</v>
      </c>
      <c r="CM82" s="14">
        <f t="shared" si="121"/>
        <v>8712</v>
      </c>
      <c r="CN82" s="14">
        <f t="shared" si="122"/>
        <v>1229</v>
      </c>
      <c r="CO82" s="14">
        <f>INT(SUMPRODUCT($U82:$Y82,$BA82:$BE82)/SUM($BA82:$BE82)/10000*$BX$7*$BZ$34/'疲劳值&amp;地图信息'!$R$10*$BY$54)</f>
        <v>5235</v>
      </c>
      <c r="CP82" s="50">
        <f t="shared" si="123"/>
        <v>0.57406431207169217</v>
      </c>
      <c r="CQ82" s="50">
        <f t="shared" si="124"/>
        <v>8.0983131259884031E-2</v>
      </c>
      <c r="CR82" s="50">
        <f t="shared" si="125"/>
        <v>0.34495255666842384</v>
      </c>
      <c r="CS82" s="14">
        <f t="shared" si="126"/>
        <v>9251</v>
      </c>
      <c r="CT82" s="14">
        <f t="shared" si="127"/>
        <v>2232</v>
      </c>
      <c r="CU82" s="14">
        <f>INT(SUMPRODUCT($AB82:$AF82,$BA82:$BE82)/SUM($BA82:$BE82)/10000*$BX$7*$BZ$34/'疲劳值&amp;地图信息'!$R$10*$BY$55)</f>
        <v>7122</v>
      </c>
      <c r="CV82" s="50">
        <f t="shared" si="128"/>
        <v>0.49723192690137058</v>
      </c>
      <c r="CW82" s="50">
        <f t="shared" si="129"/>
        <v>0.11996775060467617</v>
      </c>
      <c r="CX82" s="50">
        <f t="shared" si="130"/>
        <v>0.38280032249395324</v>
      </c>
      <c r="CY82" s="14">
        <f t="shared" si="131"/>
        <v>10513</v>
      </c>
      <c r="CZ82" s="14">
        <f t="shared" si="132"/>
        <v>5458</v>
      </c>
      <c r="DA82" s="14">
        <f>INT(SUMPRODUCT($AI82:$AM82,$BA82:$BE82)/SUM($BA82:$BE82)/10000*$BX$7*$BZ$34/'疲劳值&amp;地图信息'!$R$10*$BY$56)</f>
        <v>10734</v>
      </c>
      <c r="DB82" s="50">
        <f t="shared" si="133"/>
        <v>0.39367159707919863</v>
      </c>
      <c r="DC82" s="50">
        <f t="shared" si="134"/>
        <v>0.20438120202209323</v>
      </c>
      <c r="DD82" s="50">
        <f t="shared" si="135"/>
        <v>0.40194720089870811</v>
      </c>
      <c r="DE82" s="14">
        <f t="shared" si="136"/>
        <v>10545</v>
      </c>
      <c r="DF82" s="14">
        <f t="shared" si="137"/>
        <v>11164</v>
      </c>
      <c r="DG82" s="14">
        <f>INT(SUMPRODUCT($AP82:$AT82,$BA82:$BE82)/SUM($BA82:$BE82)/10000*$BX$7*$BZ$34/'疲劳值&amp;地图信息'!$R$10*$BY$57)</f>
        <v>14336</v>
      </c>
      <c r="DH82" s="50">
        <f t="shared" si="138"/>
        <v>0.29255097794423635</v>
      </c>
      <c r="DI82" s="50">
        <f t="shared" si="139"/>
        <v>0.30972395616590376</v>
      </c>
      <c r="DJ82" s="50">
        <f t="shared" si="140"/>
        <v>0.3977250658898599</v>
      </c>
      <c r="DL82" s="14">
        <f t="shared" si="211"/>
        <v>11960</v>
      </c>
      <c r="DM82" s="14">
        <f t="shared" si="212"/>
        <v>15176</v>
      </c>
      <c r="DN82" s="14">
        <f t="shared" si="213"/>
        <v>18605</v>
      </c>
      <c r="DO82" s="14">
        <f t="shared" si="214"/>
        <v>26705</v>
      </c>
      <c r="DP82" s="14">
        <f t="shared" si="215"/>
        <v>36045</v>
      </c>
      <c r="DQ82" s="14">
        <f t="shared" si="216"/>
        <v>824573</v>
      </c>
      <c r="DT82" s="14">
        <f t="shared" si="210"/>
        <v>235575</v>
      </c>
      <c r="DU82" s="50">
        <f t="shared" si="112"/>
        <v>0.22220954055471501</v>
      </c>
      <c r="DW82" s="14">
        <f t="shared" si="141"/>
        <v>1060148</v>
      </c>
      <c r="EB82" s="14">
        <v>77</v>
      </c>
      <c r="EC82" s="51">
        <f t="shared" si="142"/>
        <v>13783</v>
      </c>
      <c r="ED82" s="51">
        <f t="shared" si="143"/>
        <v>1345</v>
      </c>
      <c r="EE82" s="51">
        <f>INT(SUMPRODUCT($N82:$R82,$BF82:$BJ82)/SUM($BF82:$BJ82)/10000*$BX$7*$BZ$46/'疲劳值&amp;地图信息'!$R$10*$BY$53)</f>
        <v>387</v>
      </c>
      <c r="EF82" s="50">
        <f t="shared" si="144"/>
        <v>0.88836609732516925</v>
      </c>
      <c r="EG82" s="50">
        <f t="shared" si="145"/>
        <v>8.6690299709958105E-2</v>
      </c>
      <c r="EH82" s="50">
        <f t="shared" si="146"/>
        <v>2.4943602964872705E-2</v>
      </c>
      <c r="EI82" s="51">
        <f t="shared" si="147"/>
        <v>14520</v>
      </c>
      <c r="EJ82" s="51">
        <f t="shared" si="148"/>
        <v>2049</v>
      </c>
      <c r="EK82" s="14">
        <f>INT(SUMPRODUCT($U82:$Y82,$BF82:$BJ82)/SUM($BF82:$BJ82)/10000*$BX$7*$BZ$46/'疲劳值&amp;地图信息'!$R$10*$BY$54)</f>
        <v>702</v>
      </c>
      <c r="EL82" s="50">
        <f t="shared" si="149"/>
        <v>0.8407156505124197</v>
      </c>
      <c r="EM82" s="50">
        <f t="shared" si="150"/>
        <v>0.11863817960743443</v>
      </c>
      <c r="EN82" s="50">
        <f t="shared" si="151"/>
        <v>4.064616988014591E-2</v>
      </c>
      <c r="EO82" s="51">
        <f t="shared" si="152"/>
        <v>15419</v>
      </c>
      <c r="EP82" s="51">
        <f t="shared" si="153"/>
        <v>3721</v>
      </c>
      <c r="EQ82" s="14">
        <f>INT(SUMPRODUCT($AB82:$AF82,$BF82:$BJ82)/SUM($BF82:$BJ82)/10000*$BX$7*$BZ$46/'疲劳值&amp;地图信息'!$R$10*$BY$55)</f>
        <v>954</v>
      </c>
      <c r="ER82" s="50">
        <f t="shared" si="154"/>
        <v>0.76734348561759724</v>
      </c>
      <c r="ES82" s="50">
        <f t="shared" si="155"/>
        <v>0.18517965561859262</v>
      </c>
      <c r="ET82" s="50">
        <f t="shared" si="156"/>
        <v>4.7476858763810095E-2</v>
      </c>
      <c r="EU82" s="51">
        <f t="shared" si="157"/>
        <v>17522</v>
      </c>
      <c r="EV82" s="51">
        <f t="shared" si="158"/>
        <v>9097</v>
      </c>
      <c r="EW82" s="14">
        <f>INT(SUMPRODUCT($AI82:$AM82,$BF82:$BJ82)/SUM($BF82:$BJ82)/10000*$BX$7*$BZ$46/'疲劳值&amp;地图信息'!$R$10*$BY$56)</f>
        <v>1431</v>
      </c>
      <c r="EX82" s="50">
        <f t="shared" si="159"/>
        <v>0.62467023172905523</v>
      </c>
      <c r="EY82" s="50">
        <f t="shared" si="160"/>
        <v>0.3243137254901961</v>
      </c>
      <c r="EZ82" s="50">
        <f t="shared" si="161"/>
        <v>5.1016042780748665E-2</v>
      </c>
      <c r="FA82" s="51">
        <f t="shared" si="162"/>
        <v>17575</v>
      </c>
      <c r="FB82" s="51">
        <f t="shared" si="163"/>
        <v>18607</v>
      </c>
      <c r="FC82" s="14">
        <f>INT(SUMPRODUCT($AP82:$AT82,$BF82:$BJ82)/SUM($BF82:$BJ82)/10000*$BX$7*$BZ$46/'疲劳值&amp;地图信息'!$R$10*$BY$57)</f>
        <v>1909</v>
      </c>
      <c r="FD82" s="50">
        <f t="shared" si="164"/>
        <v>0.46139508020267256</v>
      </c>
      <c r="FE82" s="50">
        <f t="shared" si="165"/>
        <v>0.48848809430049095</v>
      </c>
      <c r="FF82" s="50">
        <f t="shared" si="166"/>
        <v>5.011682549683652E-2</v>
      </c>
      <c r="FH82" s="14">
        <f t="shared" si="167"/>
        <v>15515</v>
      </c>
      <c r="FI82" s="14">
        <f t="shared" si="168"/>
        <v>17271</v>
      </c>
      <c r="FJ82" s="14">
        <f t="shared" si="169"/>
        <v>20094</v>
      </c>
      <c r="FK82" s="14">
        <f t="shared" si="170"/>
        <v>28050</v>
      </c>
      <c r="FL82" s="14">
        <f t="shared" si="171"/>
        <v>38091</v>
      </c>
      <c r="FM82" s="14">
        <f t="shared" si="172"/>
        <v>1802066</v>
      </c>
      <c r="FP82" s="14">
        <f t="shared" si="173"/>
        <v>334150</v>
      </c>
      <c r="FQ82" s="50">
        <f t="shared" si="113"/>
        <v>0.15642144801836519</v>
      </c>
      <c r="FS82" s="14">
        <f t="shared" si="174"/>
        <v>2136216</v>
      </c>
      <c r="FX82" s="14">
        <v>77</v>
      </c>
      <c r="FY82" s="51">
        <f t="shared" si="175"/>
        <v>19297</v>
      </c>
      <c r="FZ82" s="51">
        <f t="shared" si="176"/>
        <v>1345</v>
      </c>
      <c r="GA82" s="51">
        <f>INT(SUMPRODUCT($N82:$R82,$BF82:$BJ82)/SUM($BF82:$BJ82)/10000*$BX$7*$BZ$46/'疲劳值&amp;地图信息'!$R$10*$BY$53)</f>
        <v>387</v>
      </c>
      <c r="GB82" s="50">
        <f t="shared" si="177"/>
        <v>0.91763754814779586</v>
      </c>
      <c r="GC82" s="50">
        <f t="shared" si="178"/>
        <v>6.395929430786057E-2</v>
      </c>
      <c r="GD82" s="50">
        <f t="shared" si="179"/>
        <v>1.8403157544343525E-2</v>
      </c>
      <c r="GE82" s="51">
        <f t="shared" si="180"/>
        <v>20328</v>
      </c>
      <c r="GF82" s="51">
        <f t="shared" si="181"/>
        <v>2049</v>
      </c>
      <c r="GG82" s="14">
        <f>INT(SUMPRODUCT($U82:$Y82,$BF82:$BJ82)/SUM($BF82:$BJ82)/10000*$BX$7*$BZ$46/'疲劳值&amp;地图信息'!$R$10*$BY$54)</f>
        <v>702</v>
      </c>
      <c r="GH82" s="50">
        <f t="shared" si="182"/>
        <v>0.88080072793448594</v>
      </c>
      <c r="GI82" s="50">
        <f t="shared" si="183"/>
        <v>8.8782009619134281E-2</v>
      </c>
      <c r="GJ82" s="50">
        <f t="shared" si="184"/>
        <v>3.0417262446379826E-2</v>
      </c>
      <c r="GK82" s="51">
        <f t="shared" si="185"/>
        <v>21587</v>
      </c>
      <c r="GL82" s="51">
        <f t="shared" si="186"/>
        <v>3721</v>
      </c>
      <c r="GM82" s="14">
        <f>INT(SUMPRODUCT($AB82:$AF82,$BF82:$BJ82)/SUM($BF82:$BJ82)/10000*$BX$7*$BZ$46/'疲劳值&amp;地图信息'!$R$10*$BY$55)</f>
        <v>954</v>
      </c>
      <c r="GN82" s="50">
        <f t="shared" si="187"/>
        <v>0.82198613966948442</v>
      </c>
      <c r="GO82" s="50">
        <f t="shared" si="188"/>
        <v>0.14168760947376438</v>
      </c>
      <c r="GP82" s="50">
        <f t="shared" si="189"/>
        <v>3.6326250856751202E-2</v>
      </c>
      <c r="GQ82" s="51">
        <f t="shared" si="190"/>
        <v>24531</v>
      </c>
      <c r="GR82" s="51">
        <f t="shared" si="191"/>
        <v>9097</v>
      </c>
      <c r="GS82" s="14">
        <f>INT(SUMPRODUCT($AI82:$AM82,$BF82:$BJ82)/SUM($BF82:$BJ82)/10000*$BX$7*$BZ$46/'疲劳值&amp;地图信息'!$R$10*$BY$56)</f>
        <v>1431</v>
      </c>
      <c r="GT82" s="50">
        <f t="shared" si="192"/>
        <v>0.6997062095325024</v>
      </c>
      <c r="GU82" s="50">
        <f t="shared" si="193"/>
        <v>0.25947688182777601</v>
      </c>
      <c r="GV82" s="50">
        <f t="shared" si="194"/>
        <v>4.0816908639721615E-2</v>
      </c>
      <c r="GW82" s="51">
        <f t="shared" si="195"/>
        <v>24606</v>
      </c>
      <c r="GX82" s="51">
        <f t="shared" si="196"/>
        <v>18607</v>
      </c>
      <c r="GY82" s="14">
        <f>INT(SUMPRODUCT($AP82:$AT82,$BF82:$BJ82)/SUM($BF82:$BJ82)/10000*$BX$7*$BZ$46/'疲劳值&amp;地图信息'!$R$10*$BY$57)</f>
        <v>1909</v>
      </c>
      <c r="GZ82" s="50">
        <f t="shared" si="197"/>
        <v>0.54532157262532688</v>
      </c>
      <c r="HA82" s="50">
        <f t="shared" si="198"/>
        <v>0.41237090554496697</v>
      </c>
      <c r="HB82" s="50">
        <f t="shared" si="199"/>
        <v>4.2307521829706131E-2</v>
      </c>
      <c r="HD82" s="14">
        <f t="shared" si="200"/>
        <v>21029</v>
      </c>
      <c r="HE82" s="14">
        <f t="shared" si="201"/>
        <v>23079</v>
      </c>
      <c r="HF82" s="14">
        <f t="shared" si="202"/>
        <v>26262</v>
      </c>
      <c r="HG82" s="14">
        <f t="shared" si="203"/>
        <v>35059</v>
      </c>
      <c r="HH82" s="14">
        <f t="shared" si="204"/>
        <v>45122</v>
      </c>
      <c r="HI82" s="14">
        <f t="shared" si="205"/>
        <v>2404203</v>
      </c>
      <c r="HL82" s="14">
        <f t="shared" si="206"/>
        <v>430050</v>
      </c>
      <c r="HM82" s="50">
        <f t="shared" si="114"/>
        <v>0.15173310216131022</v>
      </c>
      <c r="HO82" s="14">
        <f t="shared" si="207"/>
        <v>2834253</v>
      </c>
    </row>
    <row r="83" spans="11:223" x14ac:dyDescent="0.2">
      <c r="K83" s="14">
        <v>78</v>
      </c>
      <c r="L83" s="12">
        <f>求节点(节奏总纲!D$4:D$163,标准城池设计!AB$4:AB$163,$K83)*求节点(节奏总纲!D$4:D$163,攻城基础信息!$AC$5:$AC$164,$K83)</f>
        <v>407400.07755308377</v>
      </c>
      <c r="M83" s="12">
        <f>INDEX(其他调用!$AA$5:$AA$404,MATCH(K83,其他调用!$X$5:$X$404,0))*MIN(INDEX(其他调用!$AH$5:$AH$364,MATCH('征服点（新）'!K83,其他调用!$AG$5:$AG$364,0),1)/INDEX(其他调用!$AJ$5:$AJ$364,MATCH(K83,其他调用!$AG$5:$AG$364,0),0),5)*求节点(节奏总纲!D$4:D$163,攻城基础信息!$AC$5:$AC$164,$K83)</f>
        <v>39524.418996676395</v>
      </c>
      <c r="N83" s="12">
        <f>MIN(INDEX(其他调用!$AH$5:$AH$364,MATCH($K83,其他调用!$AG$5:$AG$364,0),1)/INDEX(其他调用!AH$5:AH$364,MATCH($K83,其他调用!$AG$5:$AG$364,0),0),1)*INDEX(其他调用!Y$5:Y$404,MATCH($K83,其他调用!$X$5:$X$404,0),0)</f>
        <v>34719.181074829103</v>
      </c>
      <c r="O83" s="12">
        <f>MIN(INDEX(其他调用!$AH$5:$AH$364,MATCH($K83,其他调用!$AG$5:$AG$364,0),1)/INDEX(其他调用!AI$5:AI$364,MATCH($K83,其他调用!$AG$5:$AG$364,0),0),1)*INDEX(其他调用!Z$5:Z$404,MATCH($K83,其他调用!$X$5:$X$404,0),0)</f>
        <v>23491.725485756655</v>
      </c>
      <c r="P83" s="12">
        <f>MIN(INDEX(其他调用!$AH$5:$AH$364,MATCH($K83,其他调用!$AG$5:$AG$364,0),1)/INDEX(其他调用!AJ$5:AJ$364,MATCH($K83,其他调用!$AG$5:$AG$364,0),0),1)*INDEX(其他调用!AA$5:AA$404,MATCH($K83,其他调用!$X$5:$X$404,0),0)</f>
        <v>13468.638112169234</v>
      </c>
      <c r="Q83" s="12">
        <f>MIN(INDEX(其他调用!$AH$5:$AH$364,MATCH($K83,其他调用!$AG$5:$AG$364,0),1)/INDEX(其他调用!AK$5:AK$364,MATCH($K83,其他调用!$AG$5:$AG$364,0),0),1)*INDEX(其他调用!AB$5:AB$404,MATCH($K83,其他调用!$X$5:$X$404,0),0)</f>
        <v>5836.7974320405101</v>
      </c>
      <c r="R83" s="12">
        <f>MIN(INDEX(其他调用!$AH$5:$AH$364,MATCH($K83,其他调用!$AG$5:$AG$364,0),1)/INDEX(其他调用!AL$5:AL$364,MATCH($K83,其他调用!$AG$5:$AG$364,0),0),1)*INDEX(其他调用!AC$5:AC$404,MATCH($K83,其他调用!$X$5:$X$404,0),0)</f>
        <v>1786.2416601423349</v>
      </c>
      <c r="S83" s="12">
        <f>求节点(节奏总纲!D$4:D$163,标准城池设计!AC$4:AC$163,$K83)*求节点(节奏总纲!D$4:D$163,攻城基础信息!$AD$5:$AD$164,$K83)</f>
        <v>429631.8291525552</v>
      </c>
      <c r="T83" s="12">
        <f>INDEX(其他调用!$AA$5:$AA$404,MATCH($K83,其他调用!$X$5:$X$404,0))*MIN(INDEX(其他调用!AI$5:AI$364,MATCH($K83,其他调用!$AG$5:$AG$364,0),1)/INDEX(其他调用!$AJ$5:$AJ$364,MATCH($K83,其他调用!$AG$5:$AG$364,0),0),5)*求节点(节奏总纲!D$4:D$163,攻城基础信息!$AD$5:$AD$164,$K83)</f>
        <v>60338.535759452185</v>
      </c>
      <c r="U83" s="12">
        <f>MIN(INDEX(其他调用!$AI$5:$AI$364,MATCH($K83,其他调用!$AG$5:$AG$364,0),1)/INDEX(其他调用!AH$5:AH$364,MATCH($K83,其他调用!$AG$5:$AG$364,0),0),1)*INDEX(其他调用!Y$5:Y$404,MATCH($K83,其他调用!$X$5:$X$404,0),0)</f>
        <v>34719.181074829103</v>
      </c>
      <c r="V83" s="12">
        <f>MIN(INDEX(其他调用!$AI$5:$AI$364,MATCH($K83,其他调用!$AG$5:$AG$364,0),1)/INDEX(其他调用!AI$5:AI$364,MATCH($K83,其他调用!$AG$5:$AG$364,0),0),1)*INDEX(其他调用!Z$5:Z$404,MATCH($K83,其他调用!$X$5:$X$404,0),0)</f>
        <v>35862.799612380288</v>
      </c>
      <c r="W83" s="12">
        <f>MIN(INDEX(其他调用!$AI$5:$AI$364,MATCH($K83,其他调用!$AG$5:$AG$364,0),1)/INDEX(其他调用!AJ$5:AJ$364,MATCH($K83,其他调用!$AG$5:$AG$364,0),0),1)*INDEX(其他调用!AA$5:AA$404,MATCH($K83,其他调用!$X$5:$X$404,0),0)</f>
        <v>20561.412994599159</v>
      </c>
      <c r="X83" s="12">
        <f>MIN(INDEX(其他调用!$AI$5:$AI$364,MATCH($K83,其他调用!$AG$5:$AG$364,0),1)/INDEX(其他调用!AK$5:AK$364,MATCH($K83,其他调用!$AG$5:$AG$364,0),0),1)*INDEX(其他调用!AB$5:AB$404,MATCH($K83,其他调用!$X$5:$X$404,0),0)</f>
        <v>8910.5373213321654</v>
      </c>
      <c r="Y83" s="12">
        <f>MIN(INDEX(其他调用!$AI$5:$AI$364,MATCH($K83,其他调用!$AG$5:$AG$364,0),1)/INDEX(其他调用!AL$5:AL$364,MATCH($K83,其他调用!$AG$5:$AG$364,0),0),1)*INDEX(其他调用!AC$5:AC$404,MATCH($K83,其他调用!$X$5:$X$404,0),0)</f>
        <v>2726.9017235796596</v>
      </c>
      <c r="Z83" s="12">
        <f>求节点(节奏总纲!D$4:D$163,标准城池设计!AD$4:AD$163,$K83)*求节点(节奏总纲!D$4:D$163,攻城基础信息!$AE$5:$AE$164,$K83)</f>
        <v>456222.42781466601</v>
      </c>
      <c r="AA83" s="12">
        <f>INDEX(其他调用!$AA$5:$AA$404,MATCH($K83,其他调用!$X$5:$X$404,0))*MIN(INDEX(其他调用!AJ$5:AJ$364,MATCH($K83,其他调用!$AG$5:$AG$364,0),1)/INDEX(其他调用!$AJ$5:$AJ$364,MATCH($K83,其他调用!$AG$5:$AG$364,0),0),5)*求节点(节奏总纲!D$4:D$163,攻城基础信息!$AE$5:$AE$164,$K83)</f>
        <v>109659.21497321082</v>
      </c>
      <c r="AB83" s="12">
        <f>MIN(INDEX(其他调用!$AJ$5:$AJ$364,MATCH($K83,其他调用!$AG$5:$AG$364,0),1)/INDEX(其他调用!AH$5:AH$364,MATCH($K83,其他调用!$AG$5:$AG$364,0),0),1)*INDEX(其他调用!Y$5:Y$404,MATCH($K83,其他调用!$X$5:$X$404,0),0)</f>
        <v>34719.181074829103</v>
      </c>
      <c r="AC83" s="12">
        <f>MIN(INDEX(其他调用!$AJ$5:$AJ$364,MATCH($K83,其他调用!$AG$5:$AG$364,0),1)/INDEX(其他调用!AI$5:AI$364,MATCH($K83,其他调用!$AG$5:$AG$364,0),0),1)*INDEX(其他调用!Z$5:Z$404,MATCH($K83,其他调用!$X$5:$X$404,0),0)</f>
        <v>35862.799612380288</v>
      </c>
      <c r="AD83" s="12">
        <f>MIN(INDEX(其他调用!$AJ$5:$AJ$364,MATCH($K83,其他调用!$AG$5:$AG$364,0),1)/INDEX(其他调用!AJ$5:AJ$364,MATCH($K83,其他调用!$AG$5:$AG$364,0),0),1)*INDEX(其他调用!AA$5:AA$404,MATCH($K83,其他调用!$X$5:$X$404,0),0)</f>
        <v>37368.298374302321</v>
      </c>
      <c r="AE83" s="12">
        <f>MIN(INDEX(其他调用!$AJ$5:$AJ$364,MATCH($K83,其他调用!$AG$5:$AG$364,0),1)/INDEX(其他调用!AK$5:AK$364,MATCH($K83,其他调用!$AG$5:$AG$364,0),0),1)*INDEX(其他调用!AB$5:AB$404,MATCH($K83,其他调用!$X$5:$X$404,0),0)</f>
        <v>16194.004633162036</v>
      </c>
      <c r="AF83" s="12">
        <f>MIN(INDEX(其他调用!$AJ$5:$AJ$364,MATCH($K83,其他调用!$AG$5:$AG$364,0),1)/INDEX(其他调用!AL$5:AL$364,MATCH($K83,其他调用!$AG$5:$AG$364,0),0),1)*INDEX(其他调用!AC$5:AC$404,MATCH($K83,其他调用!$X$5:$X$404,0),0)</f>
        <v>4955.869388494355</v>
      </c>
      <c r="AG83" s="12">
        <f>求节点(节奏总纲!D$4:D$163,标准城池设计!AE$4:AE$163,$K83)*求节点(节奏总纲!D$4:D$163,攻城基础信息!$AF$5:$AF$164,$K83)</f>
        <v>518584.16703081399</v>
      </c>
      <c r="AH83" s="12">
        <f>INDEX(其他调用!$AA$5:$AA$404,MATCH($K83,其他调用!$X$5:$X$404,0))*MIN(INDEX(其他调用!AK$5:AK$364,MATCH($K83,其他调用!$AG$5:$AG$364,0),1)/INDEX(其他调用!$AJ$5:$AJ$364,MATCH($K83,其他调用!$AG$5:$AG$364,0),0),5)*求节点(节奏总纲!D$4:D$163,攻城基础信息!$AF$5:$AF$164,$K83)</f>
        <v>267765.77934449207</v>
      </c>
      <c r="AI83" s="12">
        <f>MIN(INDEX(其他调用!$AK$5:$AK$364,MATCH($K83,其他调用!$AG$5:$AG$364,0),1)/INDEX(其他调用!AH$5:AH$364,MATCH($K83,其他调用!$AG$5:$AG$364,0),0),1)*INDEX(其他调用!Y$5:Y$404,MATCH($K83,其他调用!$X$5:$X$404,0),0)</f>
        <v>34719.181074829103</v>
      </c>
      <c r="AJ83" s="12">
        <f>MIN(INDEX(其他调用!$AK$5:$AK$364,MATCH($K83,其他调用!$AG$5:$AG$364,0),1)/INDEX(其他调用!AI$5:AI$364,MATCH($K83,其他调用!$AG$5:$AG$364,0),0),1)*INDEX(其他调用!Z$5:Z$404,MATCH($K83,其他调用!$X$5:$X$404,0),0)</f>
        <v>35862.799612380288</v>
      </c>
      <c r="AK83" s="12">
        <f>MIN(INDEX(其他调用!$AK$5:$AK$364,MATCH($K83,其他调用!$AG$5:$AG$364,0),1)/INDEX(其他调用!AJ$5:AJ$364,MATCH($K83,其他调用!$AG$5:$AG$364,0),0),1)*INDEX(其他调用!AA$5:AA$404,MATCH($K83,其他调用!$X$5:$X$404,0),0)</f>
        <v>37368.298374302321</v>
      </c>
      <c r="AL83" s="12">
        <f>MIN(INDEX(其他调用!$AK$5:$AK$364,MATCH($K83,其他调用!$AG$5:$AG$364,0),1)/INDEX(其他调用!AK$5:AK$364,MATCH($K83,其他调用!$AG$5:$AG$364,0),0),1)*INDEX(其他调用!AB$5:AB$404,MATCH($K83,其他调用!$X$5:$X$404,0),0)</f>
        <v>39542.506960005689</v>
      </c>
      <c r="AM83" s="12">
        <f>MIN(INDEX(其他调用!$AK$5:$AK$364,MATCH($K83,其他调用!$AG$5:$AG$364,0),1)/INDEX(其他调用!AL$5:AL$364,MATCH($K83,其他调用!$AG$5:$AG$364,0),0),1)*INDEX(其他调用!AC$5:AC$404,MATCH($K83,其他调用!$X$5:$X$404,0),0)</f>
        <v>12101.237725109419</v>
      </c>
      <c r="AN83" s="12">
        <f>求节点(节奏总纲!D$4:D$163,标准城池设计!AF$4:AF$163,$K83)*求节点(节奏总纲!D$4:D$163,攻城基础信息!$AG$5:$AG$164,$K83)</f>
        <v>519362.83515308355</v>
      </c>
      <c r="AO83" s="12">
        <f>INDEX(其他调用!$AA$5:$AA$404,MATCH($K83,其他调用!$X$5:$X$404,0))*MIN(INDEX(其他调用!AL$5:AL$364,MATCH($K83,其他调用!$AG$5:$AG$364,0),1)/INDEX(其他调用!$AJ$5:$AJ$364,MATCH($K83,其他调用!$AG$5:$AG$364,0),0),5)*求节点(节奏总纲!D$4:D$163,攻城基础信息!$AG$5:$AG$164,$K83)</f>
        <v>548296.07486605411</v>
      </c>
      <c r="AP83" s="12">
        <f>MIN(INDEX(其他调用!$AL$5:$AL$364,MATCH($K83,其他调用!$AG$5:$AG$364,0),1)/INDEX(其他调用!AH$5:AH$364,MATCH($K83,其他调用!$AG$5:$AG$364,0),0),1)*INDEX(其他调用!Y$5:Y$404,MATCH($K83,其他调用!$X$5:$X$404,0),0)</f>
        <v>34719.181074829103</v>
      </c>
      <c r="AQ83" s="12">
        <f>MIN(INDEX(其他调用!$AL$5:$AL$364,MATCH($K83,其他调用!$AG$5:$AG$364,0),1)/INDEX(其他调用!AI$5:AI$364,MATCH($K83,其他调用!$AG$5:$AG$364,0),0),1)*INDEX(其他调用!Z$5:Z$404,MATCH($K83,其他调用!$X$5:$X$404,0),0)</f>
        <v>35862.799612380288</v>
      </c>
      <c r="AR83" s="12">
        <f>MIN(INDEX(其他调用!$AL$5:$AL$364,MATCH($K83,其他调用!$AG$5:$AG$364,0),1)/INDEX(其他调用!AJ$5:AJ$364,MATCH($K83,其他调用!$AG$5:$AG$364,0),0),1)*INDEX(其他调用!AA$5:AA$404,MATCH($K83,其他调用!$X$5:$X$404,0),0)</f>
        <v>37368.298374302321</v>
      </c>
      <c r="AS83" s="12">
        <f>MIN(INDEX(其他调用!$AL$5:$AL$364,MATCH($K83,其他调用!$AG$5:$AG$364,0),1)/INDEX(其他调用!AK$5:AK$364,MATCH($K83,其他调用!$AG$5:$AG$364,0),0),1)*INDEX(其他调用!AB$5:AB$404,MATCH($K83,其他调用!$X$5:$X$404,0),0)</f>
        <v>39542.506960005689</v>
      </c>
      <c r="AT83" s="12">
        <f>MIN(INDEX(其他调用!$AL$5:$AL$364,MATCH($K83,其他调用!$AG$5:$AG$364,0),1)/INDEX(其他调用!AL$5:AL$364,MATCH($K83,其他调用!$AG$5:$AG$364,0),0),1)*INDEX(其他调用!AC$5:AC$404,MATCH($K83,其他调用!$X$5:$X$404,0),0)</f>
        <v>43385.233044369277</v>
      </c>
      <c r="AV83" s="14">
        <f>IF(OR(AV$5="大R",AV$5="超R"),MAX(INDEX(其他调用!$H$5:$L$404,MATCH($K83,其他调用!$B$5:$B$404,0),MATCH(AV$5,其他调用!$H$4:$L$4,0))*120*0.85,2),INDEX(其他调用!$H$5:$L$404,MATCH($K83,其他调用!$B$5:$B$404,0),MATCH(AV$5,其他调用!$H$4:$L$4,0))*120*0.85)</f>
        <v>49.951733913000005</v>
      </c>
      <c r="AW83" s="14">
        <f>IF(OR(AW$5="大R",AW$5="超R"),MAX(INDEX(其他调用!$H$5:$L$404,MATCH($K83,其他调用!$B$5:$B$404,0),MATCH(AW$5,其他调用!$H$4:$L$4,0))*120*0.85,2),INDEX(其他调用!$H$5:$L$404,MATCH($K83,其他调用!$B$5:$B$404,0),MATCH(AW$5,其他调用!$H$4:$L$4,0))*120*0.85)</f>
        <v>47.260813061807028</v>
      </c>
      <c r="AX83" s="14">
        <f>IF(OR(AX$5="大R",AX$5="超R"),MAX(INDEX(其他调用!$H$5:$L$404,MATCH($K83,其他调用!$B$5:$B$404,0),MATCH(AX$5,其他调用!$H$4:$L$4,0))*120*0.85,2),INDEX(其他调用!$H$5:$L$404,MATCH($K83,其他调用!$B$5:$B$404,0),MATCH(AX$5,其他调用!$H$4:$L$4,0))*120*0.85)</f>
        <v>3.9143517931929597</v>
      </c>
      <c r="AY83" s="14">
        <f>IF(OR(AY$5="大R",AY$5="超R"),MAX(INDEX(其他调用!$H$5:$L$404,MATCH($K83,其他调用!$B$5:$B$404,0),MATCH(AY$5,其他调用!$H$4:$L$4,0))*120*0.85,2),INDEX(其他调用!$H$5:$L$404,MATCH($K83,其他调用!$B$5:$B$404,0),MATCH(AY$5,其他调用!$H$4:$L$4,0))*120*0.85)</f>
        <v>2</v>
      </c>
      <c r="AZ83" s="14">
        <f>IF(OR(AZ$5="大R",AZ$5="超R"),MAX(INDEX(其他调用!$H$5:$L$404,MATCH($K83,其他调用!$B$5:$B$404,0),MATCH(AZ$5,其他调用!$H$4:$L$4,0))*120*0.85,2),INDEX(其他调用!$H$5:$L$404,MATCH($K83,其他调用!$B$5:$B$404,0),MATCH(AZ$5,其他调用!$H$4:$L$4,0))*120*0.85)</f>
        <v>2</v>
      </c>
      <c r="BA83" s="14">
        <f>INDEX(其他调用!$H$5:$L$404,MATCH($K83,其他调用!$B$5:$B$404,0),MATCH(BA$5,其他调用!$H$4:$L$4,0))*INDEX(其他调用!$M$5:$M$404,MATCH($K83,其他调用!$B$5:$B$404,0))*0.6</f>
        <v>29.223099946963636</v>
      </c>
      <c r="BB83" s="14">
        <f>INDEX(其他调用!$H$5:$L$404,MATCH($K83,其他调用!$B$5:$B$404,0),MATCH(BB$5,其他调用!$H$4:$L$4,0))*INDEX(其他调用!$M$5:$M$404,MATCH($K83,其他调用!$B$5:$B$404,0))*0.6</f>
        <v>27.64883929926037</v>
      </c>
      <c r="BC83" s="14">
        <f>INDEX(其他调用!$H$5:$L$404,MATCH($K83,其他调用!$B$5:$B$404,0),MATCH(BC$5,其他调用!$H$4:$L$4,0))*INDEX(其他调用!$M$5:$M$404,MATCH($K83,其他调用!$B$5:$B$404,0))*0.6</f>
        <v>2.2900004608305338</v>
      </c>
      <c r="BD83" s="14">
        <f>INDEX(其他调用!$H$5:$L$404,MATCH($K83,其他调用!$B$5:$B$404,0),MATCH(BD$5,其他调用!$H$4:$L$4,0))*INDEX(其他调用!$M$5:$M$404,MATCH($K83,其他调用!$B$5:$B$404,0))*0.6</f>
        <v>0.39839279040000009</v>
      </c>
      <c r="BE83" s="14">
        <f>INDEX(其他调用!$H$5:$L$404,MATCH($K83,其他调用!$B$5:$B$404,0),MATCH(BE$5,其他调用!$H$4:$L$4,0))*INDEX(其他调用!$M$5:$M$404,MATCH($K83,其他调用!$B$5:$B$404,0))*0.6</f>
        <v>0.11239477527272725</v>
      </c>
      <c r="BF83" s="14">
        <f>IF(OR(BF$5="大R",BF$5="超R"),0,INDEX(其他调用!$H$5:$L$404,MATCH($K83,其他调用!$B$5:$B$404,0),MATCH(BF$5,其他调用!$H$4:$L$4,0))*50*0.4)</f>
        <v>9.7944576300000019</v>
      </c>
      <c r="BG83" s="14">
        <f>IF(OR(BG$5="大R",BG$5="超R"),0,INDEX(其他调用!$H$5:$L$404,MATCH($K83,其他调用!$B$5:$B$404,0),MATCH(BG$5,其他调用!$H$4:$L$4,0))*50*0.4)</f>
        <v>9.2668260905503992</v>
      </c>
      <c r="BH83" s="14">
        <f>IF(OR(BH$5="大R",BH$5="超R"),0,INDEX(其他调用!$H$5:$L$404,MATCH($K83,其他调用!$B$5:$B$404,0),MATCH(BH$5,其他调用!$H$4:$L$4,0))*50*0.4)</f>
        <v>0.76751995944960005</v>
      </c>
      <c r="BI83" s="14">
        <f>IF(OR(BI$5="大R",BI$5="超R"),0,INDEX(其他调用!$H$5:$L$404,MATCH($K83,其他调用!$B$5:$B$404,0),MATCH(BI$5,其他调用!$H$4:$L$4,0))*50*0.4)</f>
        <v>0</v>
      </c>
      <c r="BJ83" s="14">
        <f>IF(OR(BJ$5="大R",BJ$5="超R"),0,INDEX(其他调用!$H$5:$L$404,MATCH($K83,其他调用!$B$5:$B$404,0),MATCH(BJ$5,其他调用!$H$4:$L$4,0))*50*0.4)</f>
        <v>0</v>
      </c>
      <c r="BL83" s="14">
        <f t="shared" si="208"/>
        <v>78</v>
      </c>
      <c r="BM83" s="14">
        <f t="shared" si="115"/>
        <v>96</v>
      </c>
      <c r="BN83" s="14">
        <f>('疲劳值&amp;地图信息'!$S$10*'疲劳值&amp;地图信息'!$R$10+'疲劳值&amp;地图信息'!$S$11*'疲劳值&amp;地图信息'!$R$11+'疲劳值&amp;地图信息'!$S$12*'疲劳值&amp;地图信息'!$R$12+(BM83-'疲劳值&amp;地图信息'!$S$12-'疲劳值&amp;地图信息'!$S$11-'疲劳值&amp;地图信息'!$S$10)*'疲劳值&amp;地图信息'!$R$13)/BM83</f>
        <v>51.371477246638619</v>
      </c>
      <c r="BO83" s="14">
        <f>INDEX(其他调用!$M$5:$M$404,MATCH(BL83,其他调用!$B$5:$B$404,0))*0.6</f>
        <v>59.672727272727272</v>
      </c>
      <c r="BP83" s="14">
        <f>IF(BO83&gt;SUM('疲劳值&amp;地图信息'!$S$10:$S$12),('疲劳值&amp;地图信息'!$S$10*'疲劳值&amp;地图信息'!$R$10+'疲劳值&amp;地图信息'!$S$11*'疲劳值&amp;地图信息'!$R$11+'疲劳值&amp;地图信息'!$S$12*'疲劳值&amp;地图信息'!$R$12+(BO83-'疲劳值&amp;地图信息'!$S$12-'疲劳值&amp;地图信息'!$S$11-'疲劳值&amp;地图信息'!$S$10)*'疲劳值&amp;地图信息'!$R$13)/BO83,('疲劳值&amp;地图信息'!$S$10*'疲劳值&amp;地图信息'!$R$10+'疲劳值&amp;地图信息'!$S$11*'疲劳值&amp;地图信息'!$R$11+'疲劳值&amp;地图信息'!$S$12*'疲劳值&amp;地图信息'!$R$12+(BO83-'疲劳值&amp;地图信息'!$S$12-'疲劳值&amp;地图信息'!$S$11-'疲劳值&amp;地图信息'!$S$10)*'疲劳值&amp;地图信息'!$R$13)/BO83)</f>
        <v>44.052639582482982</v>
      </c>
      <c r="BQ83" s="14">
        <f t="shared" si="209"/>
        <v>20</v>
      </c>
      <c r="BR83" s="14">
        <f>('疲劳值&amp;地图信息'!$S$10*'疲劳值&amp;地图信息'!$R$10+($BQ83-'疲劳值&amp;地图信息'!$S$10)*'疲劳值&amp;地图信息'!$R$11)/$BQ83</f>
        <v>32.067203015074995</v>
      </c>
      <c r="CF83" s="14">
        <v>78</v>
      </c>
      <c r="CG83" s="51">
        <f t="shared" si="116"/>
        <v>8323</v>
      </c>
      <c r="CH83" s="51">
        <f t="shared" si="117"/>
        <v>807</v>
      </c>
      <c r="CI83" s="51">
        <f>INT(SUMPRODUCT($N83:$R83,$BA83:$BE83)/SUM($BA83:$BE83)/10000*$BX$7*$BZ$34/'疲劳值&amp;地图信息'!$R$10*$BY$53)</f>
        <v>2886</v>
      </c>
      <c r="CJ83" s="50">
        <f t="shared" si="118"/>
        <v>0.69265978695073238</v>
      </c>
      <c r="CK83" s="50">
        <f t="shared" si="119"/>
        <v>6.7160452729693745E-2</v>
      </c>
      <c r="CL83" s="50">
        <f t="shared" si="120"/>
        <v>0.24017976031957392</v>
      </c>
      <c r="CM83" s="14">
        <f t="shared" si="121"/>
        <v>8777</v>
      </c>
      <c r="CN83" s="14">
        <f t="shared" si="122"/>
        <v>1232</v>
      </c>
      <c r="CO83" s="14">
        <f>INT(SUMPRODUCT($U83:$Y83,$BA83:$BE83)/SUM($BA83:$BE83)/10000*$BX$7*$BZ$34/'疲劳值&amp;地图信息'!$R$10*$BY$54)</f>
        <v>5246</v>
      </c>
      <c r="CP83" s="50">
        <f t="shared" si="123"/>
        <v>0.57535234349393638</v>
      </c>
      <c r="CQ83" s="50">
        <f t="shared" si="124"/>
        <v>8.0760406424123243E-2</v>
      </c>
      <c r="CR83" s="50">
        <f t="shared" si="125"/>
        <v>0.34388725008194032</v>
      </c>
      <c r="CS83" s="14">
        <f t="shared" si="126"/>
        <v>9320</v>
      </c>
      <c r="CT83" s="14">
        <f t="shared" si="127"/>
        <v>2240</v>
      </c>
      <c r="CU83" s="14">
        <f>INT(SUMPRODUCT($AB83:$AF83,$BA83:$BE83)/SUM($BA83:$BE83)/10000*$BX$7*$BZ$34/'疲劳值&amp;地图信息'!$R$10*$BY$55)</f>
        <v>7137</v>
      </c>
      <c r="CV83" s="50">
        <f t="shared" si="128"/>
        <v>0.49847569128737229</v>
      </c>
      <c r="CW83" s="50">
        <f t="shared" si="129"/>
        <v>0.11980531636091352</v>
      </c>
      <c r="CX83" s="50">
        <f t="shared" si="130"/>
        <v>0.38171899235171419</v>
      </c>
      <c r="CY83" s="14">
        <f t="shared" si="131"/>
        <v>10594</v>
      </c>
      <c r="CZ83" s="14">
        <f t="shared" si="132"/>
        <v>5470</v>
      </c>
      <c r="DA83" s="14">
        <f>INT(SUMPRODUCT($AI83:$AM83,$BA83:$BE83)/SUM($BA83:$BE83)/10000*$BX$7*$BZ$34/'疲劳值&amp;地图信息'!$R$10*$BY$56)</f>
        <v>10757</v>
      </c>
      <c r="DB83" s="50">
        <f t="shared" si="133"/>
        <v>0.39498900115581076</v>
      </c>
      <c r="DC83" s="50">
        <f t="shared" si="134"/>
        <v>0.20394467022109541</v>
      </c>
      <c r="DD83" s="50">
        <f t="shared" si="135"/>
        <v>0.40106632862309383</v>
      </c>
      <c r="DE83" s="14">
        <f t="shared" si="136"/>
        <v>10610</v>
      </c>
      <c r="DF83" s="14">
        <f t="shared" si="137"/>
        <v>11201</v>
      </c>
      <c r="DG83" s="14">
        <f>INT(SUMPRODUCT($AP83:$AT83,$BA83:$BE83)/SUM($BA83:$BE83)/10000*$BX$7*$BZ$34/'疲劳值&amp;地图信息'!$R$10*$BY$57)</f>
        <v>14367</v>
      </c>
      <c r="DH83" s="50">
        <f t="shared" si="138"/>
        <v>0.29327215434794629</v>
      </c>
      <c r="DI83" s="50">
        <f t="shared" si="139"/>
        <v>0.30960804909060757</v>
      </c>
      <c r="DJ83" s="50">
        <f t="shared" si="140"/>
        <v>0.39711979656144619</v>
      </c>
      <c r="DL83" s="14">
        <f t="shared" si="211"/>
        <v>12016</v>
      </c>
      <c r="DM83" s="14">
        <f t="shared" si="212"/>
        <v>15255</v>
      </c>
      <c r="DN83" s="14">
        <f t="shared" si="213"/>
        <v>18697</v>
      </c>
      <c r="DO83" s="14">
        <f t="shared" si="214"/>
        <v>26821</v>
      </c>
      <c r="DP83" s="14">
        <f t="shared" si="215"/>
        <v>36178</v>
      </c>
      <c r="DQ83" s="14">
        <f t="shared" si="216"/>
        <v>830495</v>
      </c>
      <c r="DT83" s="14">
        <f t="shared" si="210"/>
        <v>235575</v>
      </c>
      <c r="DU83" s="50">
        <f t="shared" si="112"/>
        <v>0.22097517048599061</v>
      </c>
      <c r="DW83" s="14">
        <f t="shared" si="141"/>
        <v>1066070</v>
      </c>
      <c r="EB83" s="14">
        <v>78</v>
      </c>
      <c r="EC83" s="51">
        <f t="shared" si="142"/>
        <v>13872</v>
      </c>
      <c r="ED83" s="51">
        <f t="shared" si="143"/>
        <v>1345</v>
      </c>
      <c r="EE83" s="51">
        <f>INT(SUMPRODUCT($N83:$R83,$BF83:$BJ83)/SUM($BF83:$BJ83)/10000*$BX$7*$BZ$46/'疲劳值&amp;地图信息'!$R$10*$BY$53)</f>
        <v>387</v>
      </c>
      <c r="EF83" s="50">
        <f t="shared" si="144"/>
        <v>0.88900281978979745</v>
      </c>
      <c r="EG83" s="50">
        <f t="shared" si="145"/>
        <v>8.6195847218661886E-2</v>
      </c>
      <c r="EH83" s="50">
        <f t="shared" si="146"/>
        <v>2.480133299154063E-2</v>
      </c>
      <c r="EI83" s="51">
        <f t="shared" si="147"/>
        <v>14629</v>
      </c>
      <c r="EJ83" s="51">
        <f t="shared" si="148"/>
        <v>2054</v>
      </c>
      <c r="EK83" s="14">
        <f>INT(SUMPRODUCT($U83:$Y83,$BF83:$BJ83)/SUM($BF83:$BJ83)/10000*$BX$7*$BZ$46/'疲劳值&amp;地图信息'!$R$10*$BY$54)</f>
        <v>704</v>
      </c>
      <c r="EL83" s="50">
        <f t="shared" si="149"/>
        <v>0.84137574049577268</v>
      </c>
      <c r="EM83" s="50">
        <f t="shared" si="150"/>
        <v>0.11813423822396044</v>
      </c>
      <c r="EN83" s="50">
        <f t="shared" si="151"/>
        <v>4.0490021280266866E-2</v>
      </c>
      <c r="EO83" s="51">
        <f t="shared" si="152"/>
        <v>15534</v>
      </c>
      <c r="EP83" s="51">
        <f t="shared" si="153"/>
        <v>3733</v>
      </c>
      <c r="EQ83" s="14">
        <f>INT(SUMPRODUCT($AB83:$AF83,$BF83:$BJ83)/SUM($BF83:$BJ83)/10000*$BX$7*$BZ$46/'疲劳值&amp;地图信息'!$R$10*$BY$55)</f>
        <v>956</v>
      </c>
      <c r="ER83" s="50">
        <f t="shared" si="154"/>
        <v>0.76813529149977744</v>
      </c>
      <c r="ES83" s="50">
        <f t="shared" si="155"/>
        <v>0.18459180141423132</v>
      </c>
      <c r="ET83" s="50">
        <f t="shared" si="156"/>
        <v>4.7272907085991196E-2</v>
      </c>
      <c r="EU83" s="51">
        <f t="shared" si="157"/>
        <v>17657</v>
      </c>
      <c r="EV83" s="51">
        <f t="shared" si="158"/>
        <v>9117</v>
      </c>
      <c r="EW83" s="14">
        <f>INT(SUMPRODUCT($AI83:$AM83,$BF83:$BJ83)/SUM($BF83:$BJ83)/10000*$BX$7*$BZ$46/'疲劳值&amp;地图信息'!$R$10*$BY$56)</f>
        <v>1434</v>
      </c>
      <c r="EX83" s="50">
        <f t="shared" si="159"/>
        <v>0.62595717526942707</v>
      </c>
      <c r="EY83" s="50">
        <f t="shared" si="160"/>
        <v>0.32320618264322176</v>
      </c>
      <c r="EZ83" s="50">
        <f t="shared" si="161"/>
        <v>5.0836642087351107E-2</v>
      </c>
      <c r="FA83" s="51">
        <f t="shared" si="162"/>
        <v>17684</v>
      </c>
      <c r="FB83" s="51">
        <f t="shared" si="163"/>
        <v>18669</v>
      </c>
      <c r="FC83" s="14">
        <f>INT(SUMPRODUCT($AP83:$AT83,$BF83:$BJ83)/SUM($BF83:$BJ83)/10000*$BX$7*$BZ$46/'疲劳值&amp;地图信息'!$R$10*$BY$57)</f>
        <v>1913</v>
      </c>
      <c r="FD83" s="50">
        <f t="shared" si="164"/>
        <v>0.46213348664610882</v>
      </c>
      <c r="FE83" s="50">
        <f t="shared" si="165"/>
        <v>0.48787435321172845</v>
      </c>
      <c r="FF83" s="50">
        <f t="shared" si="166"/>
        <v>4.9992160142162755E-2</v>
      </c>
      <c r="FH83" s="14">
        <f t="shared" si="167"/>
        <v>15604</v>
      </c>
      <c r="FI83" s="14">
        <f t="shared" si="168"/>
        <v>17387</v>
      </c>
      <c r="FJ83" s="14">
        <f t="shared" si="169"/>
        <v>20223</v>
      </c>
      <c r="FK83" s="14">
        <f t="shared" si="170"/>
        <v>28208</v>
      </c>
      <c r="FL83" s="14">
        <f t="shared" si="171"/>
        <v>38266</v>
      </c>
      <c r="FM83" s="14">
        <f t="shared" si="172"/>
        <v>1813278</v>
      </c>
      <c r="FP83" s="14">
        <f t="shared" si="173"/>
        <v>334150</v>
      </c>
      <c r="FQ83" s="50">
        <f t="shared" si="113"/>
        <v>0.15560475135836918</v>
      </c>
      <c r="FS83" s="14">
        <f t="shared" si="174"/>
        <v>2147428</v>
      </c>
      <c r="FX83" s="14">
        <v>78</v>
      </c>
      <c r="FY83" s="51">
        <f t="shared" si="175"/>
        <v>19420</v>
      </c>
      <c r="FZ83" s="51">
        <f t="shared" si="176"/>
        <v>1345</v>
      </c>
      <c r="GA83" s="51">
        <f>INT(SUMPRODUCT($N83:$R83,$BF83:$BJ83)/SUM($BF83:$BJ83)/10000*$BX$7*$BZ$46/'疲劳值&amp;地图信息'!$R$10*$BY$53)</f>
        <v>387</v>
      </c>
      <c r="GB83" s="50">
        <f t="shared" si="177"/>
        <v>0.9181164901664145</v>
      </c>
      <c r="GC83" s="50">
        <f t="shared" si="178"/>
        <v>6.3587367624810889E-2</v>
      </c>
      <c r="GD83" s="50">
        <f t="shared" si="179"/>
        <v>1.8296142208774582E-2</v>
      </c>
      <c r="GE83" s="51">
        <f t="shared" si="180"/>
        <v>20480</v>
      </c>
      <c r="GF83" s="51">
        <f t="shared" si="181"/>
        <v>2054</v>
      </c>
      <c r="GG83" s="14">
        <f>INT(SUMPRODUCT($U83:$Y83,$BF83:$BJ83)/SUM($BF83:$BJ83)/10000*$BX$7*$BZ$46/'疲劳值&amp;地图信息'!$R$10*$BY$54)</f>
        <v>704</v>
      </c>
      <c r="GH83" s="50">
        <f t="shared" si="182"/>
        <v>0.88131508735691544</v>
      </c>
      <c r="GI83" s="50">
        <f t="shared" si="183"/>
        <v>8.8389706515190639E-2</v>
      </c>
      <c r="GJ83" s="50">
        <f t="shared" si="184"/>
        <v>3.0295206127893968E-2</v>
      </c>
      <c r="GK83" s="51">
        <f t="shared" si="185"/>
        <v>21748</v>
      </c>
      <c r="GL83" s="51">
        <f t="shared" si="186"/>
        <v>3733</v>
      </c>
      <c r="GM83" s="14">
        <f>INT(SUMPRODUCT($AB83:$AF83,$BF83:$BJ83)/SUM($BF83:$BJ83)/10000*$BX$7*$BZ$46/'疲劳值&amp;地图信息'!$R$10*$BY$55)</f>
        <v>956</v>
      </c>
      <c r="GN83" s="50">
        <f t="shared" si="187"/>
        <v>0.82263494345046717</v>
      </c>
      <c r="GO83" s="50">
        <f t="shared" si="188"/>
        <v>0.14120361614404056</v>
      </c>
      <c r="GP83" s="50">
        <f t="shared" si="189"/>
        <v>3.6161440405492302E-2</v>
      </c>
      <c r="GQ83" s="51">
        <f t="shared" si="190"/>
        <v>24721</v>
      </c>
      <c r="GR83" s="51">
        <f t="shared" si="191"/>
        <v>9117</v>
      </c>
      <c r="GS83" s="14">
        <f>INT(SUMPRODUCT($AI83:$AM83,$BF83:$BJ83)/SUM($BF83:$BJ83)/10000*$BX$7*$BZ$46/'疲劳值&amp;地图信息'!$R$10*$BY$56)</f>
        <v>1434</v>
      </c>
      <c r="GT83" s="50">
        <f t="shared" si="192"/>
        <v>0.70086754366069404</v>
      </c>
      <c r="GU83" s="50">
        <f t="shared" si="193"/>
        <v>0.25847697890678156</v>
      </c>
      <c r="GV83" s="50">
        <f t="shared" si="194"/>
        <v>4.065547743252438E-2</v>
      </c>
      <c r="GW83" s="51">
        <f t="shared" si="195"/>
        <v>24758</v>
      </c>
      <c r="GX83" s="51">
        <f t="shared" si="196"/>
        <v>18669</v>
      </c>
      <c r="GY83" s="14">
        <f>INT(SUMPRODUCT($AP83:$AT83,$BF83:$BJ83)/SUM($BF83:$BJ83)/10000*$BX$7*$BZ$46/'疲劳值&amp;地图信息'!$R$10*$BY$57)</f>
        <v>1913</v>
      </c>
      <c r="GZ83" s="50">
        <f t="shared" si="197"/>
        <v>0.54605205116894573</v>
      </c>
      <c r="HA83" s="50">
        <f t="shared" si="198"/>
        <v>0.41175562417291572</v>
      </c>
      <c r="HB83" s="50">
        <f t="shared" si="199"/>
        <v>4.2192324658138512E-2</v>
      </c>
      <c r="HD83" s="14">
        <f t="shared" si="200"/>
        <v>21152</v>
      </c>
      <c r="HE83" s="14">
        <f t="shared" si="201"/>
        <v>23238</v>
      </c>
      <c r="HF83" s="14">
        <f t="shared" si="202"/>
        <v>26437</v>
      </c>
      <c r="HG83" s="14">
        <f t="shared" si="203"/>
        <v>35272</v>
      </c>
      <c r="HH83" s="14">
        <f t="shared" si="204"/>
        <v>45340</v>
      </c>
      <c r="HI83" s="14">
        <f t="shared" si="205"/>
        <v>2419533</v>
      </c>
      <c r="HL83" s="14">
        <f t="shared" si="206"/>
        <v>430050</v>
      </c>
      <c r="HM83" s="50">
        <f t="shared" si="114"/>
        <v>0.15091681835552781</v>
      </c>
      <c r="HO83" s="14">
        <f t="shared" si="207"/>
        <v>2849583</v>
      </c>
    </row>
    <row r="84" spans="11:223" x14ac:dyDescent="0.2">
      <c r="K84" s="14">
        <v>79</v>
      </c>
      <c r="L84" s="12">
        <f>求节点(节奏总纲!D$4:D$163,标准城池设计!AB$4:AB$163,$K84)*求节点(节奏总纲!D$4:D$163,攻城基础信息!$AC$5:$AC$164,$K84)</f>
        <v>410223.75190238695</v>
      </c>
      <c r="M84" s="12">
        <f>INDEX(其他调用!$AA$5:$AA$404,MATCH(K84,其他调用!$X$5:$X$404,0))*MIN(INDEX(其他调用!$AH$5:$AH$364,MATCH('征服点（新）'!K84,其他调用!$AG$5:$AG$364,0),1)/INDEX(其他调用!$AJ$5:$AJ$364,MATCH(K84,其他调用!$AG$5:$AG$364,0),0),5)*求节点(节奏总纲!D$4:D$163,攻城基础信息!$AC$5:$AC$164,$K84)</f>
        <v>39582.078233675471</v>
      </c>
      <c r="N84" s="12">
        <f>MIN(INDEX(其他调用!$AH$5:$AH$364,MATCH($K84,其他调用!$AG$5:$AG$364,0),1)/INDEX(其他调用!AH$5:AH$364,MATCH($K84,其他调用!$AG$5:$AG$364,0),0),1)*INDEX(其他调用!Y$5:Y$404,MATCH($K84,其他调用!$X$5:$X$404,0),0)</f>
        <v>34790.90268117626</v>
      </c>
      <c r="O84" s="12">
        <f>MIN(INDEX(其他调用!$AH$5:$AH$364,MATCH($K84,其他调用!$AG$5:$AG$364,0),1)/INDEX(其他调用!AI$5:AI$364,MATCH($K84,其他调用!$AG$5:$AG$364,0),0),1)*INDEX(其他调用!Z$5:Z$404,MATCH($K84,其他调用!$X$5:$X$404,0),0)</f>
        <v>23520.532139017185</v>
      </c>
      <c r="P84" s="12">
        <f>MIN(INDEX(其他调用!$AH$5:$AH$364,MATCH($K84,其他调用!$AG$5:$AG$364,0),1)/INDEX(其他调用!AJ$5:AJ$364,MATCH($K84,其他调用!$AG$5:$AG$364,0),0),1)*INDEX(其他调用!AA$5:AA$404,MATCH($K84,其他调用!$X$5:$X$404,0),0)</f>
        <v>13461.248827659956</v>
      </c>
      <c r="Q84" s="12">
        <f>MIN(INDEX(其他调用!$AH$5:$AH$364,MATCH($K84,其他调用!$AG$5:$AG$364,0),1)/INDEX(其他调用!AK$5:AK$364,MATCH($K84,其他调用!$AG$5:$AG$364,0),0),1)*INDEX(其他调用!AB$5:AB$404,MATCH($K84,其他调用!$X$5:$X$404,0),0)</f>
        <v>5841.7936334089127</v>
      </c>
      <c r="R84" s="12">
        <f>MIN(INDEX(其他调用!$AH$5:$AH$364,MATCH($K84,其他调用!$AG$5:$AG$364,0),1)/INDEX(其他调用!AL$5:AL$364,MATCH($K84,其他调用!$AG$5:$AG$364,0),0),1)*INDEX(其他调用!AC$5:AC$404,MATCH($K84,其他调用!$X$5:$X$404,0),0)</f>
        <v>1780.1362410318618</v>
      </c>
      <c r="S84" s="12">
        <f>求节点(节奏总纲!D$4:D$163,标准城池设计!AC$4:AC$163,$K84)*求节点(节奏总纲!D$4:D$163,攻城基础信息!$AD$5:$AD$164,$K84)</f>
        <v>432878.61726628302</v>
      </c>
      <c r="T84" s="12">
        <f>INDEX(其他调用!$AA$5:$AA$404,MATCH($K84,其他调用!$X$5:$X$404,0))*MIN(INDEX(其他调用!AI$5:AI$364,MATCH($K84,其他调用!$AG$5:$AG$364,0),1)/INDEX(其他调用!$AJ$5:$AJ$364,MATCH($K84,其他调用!$AG$5:$AG$364,0),0),5)*求节点(节奏总纲!D$4:D$163,攻城基础信息!$AD$5:$AD$164,$K84)</f>
        <v>60471.14393560349</v>
      </c>
      <c r="U84" s="12">
        <f>MIN(INDEX(其他调用!$AI$5:$AI$364,MATCH($K84,其他调用!$AG$5:$AG$364,0),1)/INDEX(其他调用!AH$5:AH$364,MATCH($K84,其他调用!$AG$5:$AG$364,0),0),1)*INDEX(其他调用!Y$5:Y$404,MATCH($K84,其他调用!$X$5:$X$404,0),0)</f>
        <v>34790.90268117626</v>
      </c>
      <c r="V84" s="12">
        <f>MIN(INDEX(其他调用!$AI$5:$AI$364,MATCH($K84,其他调用!$AG$5:$AG$364,0),1)/INDEX(其他调用!AI$5:AI$364,MATCH($K84,其他调用!$AG$5:$AG$364,0),0),1)*INDEX(其他调用!Z$5:Z$404,MATCH($K84,其他调用!$X$5:$X$404,0),0)</f>
        <v>35933.269496962035</v>
      </c>
      <c r="W84" s="12">
        <f>MIN(INDEX(其他调用!$AI$5:$AI$364,MATCH($K84,其他调用!$AG$5:$AG$364,0),1)/INDEX(其他调用!AJ$5:AJ$364,MATCH($K84,其他调用!$AG$5:$AG$364,0),0),1)*INDEX(其他调用!AA$5:AA$404,MATCH($K84,其他调用!$X$5:$X$404,0),0)</f>
        <v>20565.294995497556</v>
      </c>
      <c r="X84" s="12">
        <f>MIN(INDEX(其他调用!$AI$5:$AI$364,MATCH($K84,其他调用!$AG$5:$AG$364,0),1)/INDEX(其他调用!AK$5:AK$364,MATCH($K84,其他调用!$AG$5:$AG$364,0),0),1)*INDEX(其他调用!AB$5:AB$404,MATCH($K84,其他调用!$X$5:$X$404,0),0)</f>
        <v>8924.7447181137995</v>
      </c>
      <c r="Y84" s="12">
        <f>MIN(INDEX(其他调用!$AI$5:$AI$364,MATCH($K84,其他调用!$AG$5:$AG$364,0),1)/INDEX(其他调用!AL$5:AL$364,MATCH($K84,其他调用!$AG$5:$AG$364,0),0),1)*INDEX(其他调用!AC$5:AC$404,MATCH($K84,其他调用!$X$5:$X$404,0),0)</f>
        <v>2719.5862284168411</v>
      </c>
      <c r="Z84" s="12">
        <f>求节点(节奏总纲!D$4:D$163,标准城池设计!AD$4:AD$163,$K84)*求节点(节奏总纲!D$4:D$163,攻城基础信息!$AE$5:$AE$164,$K84)</f>
        <v>459853.42763105629</v>
      </c>
      <c r="AA84" s="12">
        <f>INDEX(其他调用!$AA$5:$AA$404,MATCH($K84,其他调用!$X$5:$X$404,0))*MIN(INDEX(其他调用!AJ$5:AJ$364,MATCH($K84,其他调用!$AG$5:$AG$364,0),1)/INDEX(其他调用!$AJ$5:$AJ$364,MATCH($K84,其他调用!$AG$5:$AG$364,0),0),5)*求节点(节奏总纲!D$4:D$163,攻城基础信息!$AE$5:$AE$164,$K84)</f>
        <v>110092.71832643091</v>
      </c>
      <c r="AB84" s="12">
        <f>MIN(INDEX(其他调用!$AJ$5:$AJ$364,MATCH($K84,其他调用!$AG$5:$AG$364,0),1)/INDEX(其他调用!AH$5:AH$364,MATCH($K84,其他调用!$AG$5:$AG$364,0),0),1)*INDEX(其他调用!Y$5:Y$404,MATCH($K84,其他调用!$X$5:$X$404,0),0)</f>
        <v>34790.90268117626</v>
      </c>
      <c r="AC84" s="12">
        <f>MIN(INDEX(其他调用!$AJ$5:$AJ$364,MATCH($K84,其他调用!$AG$5:$AG$364,0),1)/INDEX(其他调用!AI$5:AI$364,MATCH($K84,其他调用!$AG$5:$AG$364,0),0),1)*INDEX(其他调用!Z$5:Z$404,MATCH($K84,其他调用!$X$5:$X$404,0),0)</f>
        <v>35933.269496962035</v>
      </c>
      <c r="AD84" s="12">
        <f>MIN(INDEX(其他调用!$AJ$5:$AJ$364,MATCH($K84,其他调用!$AG$5:$AG$364,0),1)/INDEX(其他调用!AJ$5:AJ$364,MATCH($K84,其他调用!$AG$5:$AG$364,0),0),1)*INDEX(其他调用!AA$5:AA$404,MATCH($K84,其他调用!$X$5:$X$404,0),0)</f>
        <v>37440.820230725745</v>
      </c>
      <c r="AE84" s="12">
        <f>MIN(INDEX(其他调用!$AJ$5:$AJ$364,MATCH($K84,其他调用!$AG$5:$AG$364,0),1)/INDEX(其他调用!AK$5:AK$364,MATCH($K84,其他调用!$AG$5:$AG$364,0),0),1)*INDEX(其他调用!AB$5:AB$404,MATCH($K84,其他调用!$X$5:$X$404,0),0)</f>
        <v>16248.235810338472</v>
      </c>
      <c r="AF84" s="12">
        <f>MIN(INDEX(其他调用!$AJ$5:$AJ$364,MATCH($K84,其他调用!$AG$5:$AG$364,0),1)/INDEX(其他调用!AL$5:AL$364,MATCH($K84,其他调用!$AG$5:$AG$364,0),0),1)*INDEX(其他调用!AC$5:AC$404,MATCH($K84,其他调用!$X$5:$X$404,0),0)</f>
        <v>4951.2316308813015</v>
      </c>
      <c r="AG84" s="12">
        <f>求节点(节奏总纲!D$4:D$163,标准城池设计!AE$4:AE$163,$K84)*求节点(节奏总纲!D$4:D$163,攻城基础信息!$AF$5:$AF$164,$K84)</f>
        <v>522850.97379812243</v>
      </c>
      <c r="AH84" s="12">
        <f>INDEX(其他调用!$AA$5:$AA$404,MATCH($K84,其他调用!$X$5:$X$404,0))*MIN(INDEX(其他调用!AK$5:AK$364,MATCH($K84,其他调用!$AG$5:$AG$364,0),1)/INDEX(其他调用!$AJ$5:$AJ$364,MATCH($K84,其他调用!$AG$5:$AG$364,0),0),5)*求节点(节奏总纲!D$4:D$163,攻城基础信息!$AF$5:$AF$164,$K84)</f>
        <v>268431.323963631</v>
      </c>
      <c r="AI84" s="12">
        <f>MIN(INDEX(其他调用!$AK$5:$AK$364,MATCH($K84,其他调用!$AG$5:$AG$364,0),1)/INDEX(其他调用!AH$5:AH$364,MATCH($K84,其他调用!$AG$5:$AG$364,0),0),1)*INDEX(其他调用!Y$5:Y$404,MATCH($K84,其他调用!$X$5:$X$404,0),0)</f>
        <v>34790.90268117626</v>
      </c>
      <c r="AJ84" s="12">
        <f>MIN(INDEX(其他调用!$AK$5:$AK$364,MATCH($K84,其他调用!$AG$5:$AG$364,0),1)/INDEX(其他调用!AI$5:AI$364,MATCH($K84,其他调用!$AG$5:$AG$364,0),0),1)*INDEX(其他调用!Z$5:Z$404,MATCH($K84,其他调用!$X$5:$X$404,0),0)</f>
        <v>35933.269496962035</v>
      </c>
      <c r="AK84" s="12">
        <f>MIN(INDEX(其他调用!$AK$5:$AK$364,MATCH($K84,其他调用!$AG$5:$AG$364,0),1)/INDEX(其他调用!AJ$5:AJ$364,MATCH($K84,其他调用!$AG$5:$AG$364,0),0),1)*INDEX(其他调用!AA$5:AA$404,MATCH($K84,其他调用!$X$5:$X$404,0),0)</f>
        <v>37440.820230725745</v>
      </c>
      <c r="AL84" s="12">
        <f>MIN(INDEX(其他调用!$AK$5:$AK$364,MATCH($K84,其他调用!$AG$5:$AG$364,0),1)/INDEX(其他调用!AK$5:AK$364,MATCH($K84,其他调用!$AG$5:$AG$364,0),0),1)*INDEX(其他调用!AB$5:AB$404,MATCH($K84,其他调用!$X$5:$X$404,0),0)</f>
        <v>39616.929411355304</v>
      </c>
      <c r="AM84" s="12">
        <f>MIN(INDEX(其他调用!$AK$5:$AK$364,MATCH($K84,其他调用!$AG$5:$AG$364,0),1)/INDEX(其他调用!AL$5:AL$364,MATCH($K84,其他调用!$AG$5:$AG$364,0),0),1)*INDEX(其他调用!AC$5:AC$404,MATCH($K84,其他调用!$X$5:$X$404,0),0)</f>
        <v>12072.239491692113</v>
      </c>
      <c r="AN84" s="12">
        <f>求节点(节奏总纲!D$4:D$163,标准城池设计!AF$4:AF$163,$K84)*求节点(节奏总纲!D$4:D$163,攻城基础信息!$AG$5:$AG$164,$K84)</f>
        <v>522861.02459585917</v>
      </c>
      <c r="AO84" s="12">
        <f>INDEX(其他调用!$AA$5:$AA$404,MATCH($K84,其他调用!$X$5:$X$404,0))*MIN(INDEX(其他调用!AL$5:AL$364,MATCH($K84,其他调用!$AG$5:$AG$364,0),1)/INDEX(其他调用!$AJ$5:$AJ$364,MATCH($K84,其他调用!$AG$5:$AG$364,0),0),5)*求节点(节奏总纲!D$4:D$163,攻城基础信息!$AG$5:$AG$164,$K84)</f>
        <v>550463.59163215454</v>
      </c>
      <c r="AP84" s="12">
        <f>MIN(INDEX(其他调用!$AL$5:$AL$364,MATCH($K84,其他调用!$AG$5:$AG$364,0),1)/INDEX(其他调用!AH$5:AH$364,MATCH($K84,其他调用!$AG$5:$AG$364,0),0),1)*INDEX(其他调用!Y$5:Y$404,MATCH($K84,其他调用!$X$5:$X$404,0),0)</f>
        <v>34790.90268117626</v>
      </c>
      <c r="AQ84" s="12">
        <f>MIN(INDEX(其他调用!$AL$5:$AL$364,MATCH($K84,其他调用!$AG$5:$AG$364,0),1)/INDEX(其他调用!AI$5:AI$364,MATCH($K84,其他调用!$AG$5:$AG$364,0),0),1)*INDEX(其他调用!Z$5:Z$404,MATCH($K84,其他调用!$X$5:$X$404,0),0)</f>
        <v>35933.269496962035</v>
      </c>
      <c r="AR84" s="12">
        <f>MIN(INDEX(其他调用!$AL$5:$AL$364,MATCH($K84,其他调用!$AG$5:$AG$364,0),1)/INDEX(其他调用!AJ$5:AJ$364,MATCH($K84,其他调用!$AG$5:$AG$364,0),0),1)*INDEX(其他调用!AA$5:AA$404,MATCH($K84,其他调用!$X$5:$X$404,0),0)</f>
        <v>37440.820230725745</v>
      </c>
      <c r="AS84" s="12">
        <f>MIN(INDEX(其他调用!$AL$5:$AL$364,MATCH($K84,其他调用!$AG$5:$AG$364,0),1)/INDEX(其他调用!AK$5:AK$364,MATCH($K84,其他调用!$AG$5:$AG$364,0),0),1)*INDEX(其他调用!AB$5:AB$404,MATCH($K84,其他调用!$X$5:$X$404,0),0)</f>
        <v>39616.929411355304</v>
      </c>
      <c r="AT84" s="12">
        <f>MIN(INDEX(其他调用!$AL$5:$AL$364,MATCH($K84,其他调用!$AG$5:$AG$364,0),1)/INDEX(其他调用!AL$5:AL$364,MATCH($K84,其他调用!$AG$5:$AG$364,0),0),1)*INDEX(其他调用!AC$5:AC$404,MATCH($K84,其他调用!$X$5:$X$404,0),0)</f>
        <v>43457.452671931256</v>
      </c>
      <c r="AV84" s="14">
        <f>IF(OR(AV$5="大R",AV$5="超R"),MAX(INDEX(其他调用!$H$5:$L$404,MATCH($K84,其他调用!$B$5:$B$404,0),MATCH(AV$5,其他调用!$H$4:$L$4,0))*120*0.85,2),INDEX(其他调用!$H$5:$L$404,MATCH($K84,其他调用!$B$5:$B$404,0),MATCH(AV$5,其他调用!$H$4:$L$4,0))*120*0.85)</f>
        <v>49.865906191500002</v>
      </c>
      <c r="AW84" s="14">
        <f>IF(OR(AW$5="大R",AW$5="超R"),MAX(INDEX(其他调用!$H$5:$L$404,MATCH($K84,其他调用!$B$5:$B$404,0),MATCH(AW$5,其他调用!$H$4:$L$4,0))*120*0.85,2),INDEX(其他调用!$H$5:$L$404,MATCH($K84,其他调用!$B$5:$B$404,0),MATCH(AW$5,其他调用!$H$4:$L$4,0))*120*0.85)</f>
        <v>47.342190640876311</v>
      </c>
      <c r="AX84" s="14">
        <f>IF(OR(AX$5="大R",AX$5="超R"),MAX(INDEX(其他调用!$H$5:$L$404,MATCH($K84,其他调用!$B$5:$B$404,0),MATCH(AX$5,其他调用!$H$4:$L$4,0))*120*0.85,2),INDEX(其他调用!$H$5:$L$404,MATCH($K84,其他调用!$B$5:$B$404,0),MATCH(AX$5,其他调用!$H$4:$L$4,0))*120*0.85)</f>
        <v>3.9162915116236801</v>
      </c>
      <c r="AY84" s="14">
        <f>IF(OR(AY$5="大R",AY$5="超R"),MAX(INDEX(其他调用!$H$5:$L$404,MATCH($K84,其他调用!$B$5:$B$404,0),MATCH(AY$5,其他调用!$H$4:$L$4,0))*120*0.85,2),INDEX(其他调用!$H$5:$L$404,MATCH($K84,其他调用!$B$5:$B$404,0),MATCH(AY$5,其他调用!$H$4:$L$4,0))*120*0.85)</f>
        <v>2</v>
      </c>
      <c r="AZ84" s="14">
        <f>IF(OR(AZ$5="大R",AZ$5="超R"),MAX(INDEX(其他调用!$H$5:$L$404,MATCH($K84,其他调用!$B$5:$B$404,0),MATCH(AZ$5,其他调用!$H$4:$L$4,0))*120*0.85,2),INDEX(其他调用!$H$5:$L$404,MATCH($K84,其他调用!$B$5:$B$404,0),MATCH(AZ$5,其他调用!$H$4:$L$4,0))*120*0.85)</f>
        <v>2</v>
      </c>
      <c r="BA84" s="14">
        <f>INDEX(其他调用!$H$5:$L$404,MATCH($K84,其他调用!$B$5:$B$404,0),MATCH(BA$5,其他调用!$H$4:$L$4,0))*INDEX(其他调用!$M$5:$M$404,MATCH($K84,其他调用!$B$5:$B$404,0))*0.6</f>
        <v>29.230858565452181</v>
      </c>
      <c r="BB84" s="14">
        <f>INDEX(其他调用!$H$5:$L$404,MATCH($K84,其他调用!$B$5:$B$404,0),MATCH(BB$5,其他调用!$H$4:$L$4,0))*INDEX(其他调用!$M$5:$M$404,MATCH($K84,其他调用!$B$5:$B$404,0))*0.6</f>
        <v>27.751483618641561</v>
      </c>
      <c r="BC84" s="14">
        <f>INDEX(其他调用!$H$5:$L$404,MATCH($K84,其他调用!$B$5:$B$404,0),MATCH(BC$5,其他调用!$H$4:$L$4,0))*INDEX(其他调用!$M$5:$M$404,MATCH($K84,其他调用!$B$5:$B$404,0))*0.6</f>
        <v>2.2956880165323463</v>
      </c>
      <c r="BD84" s="14">
        <f>INDEX(其他调用!$H$5:$L$404,MATCH($K84,其他调用!$B$5:$B$404,0),MATCH(BD$5,其他调用!$H$4:$L$4,0))*INDEX(其他调用!$M$5:$M$404,MATCH($K84,其他调用!$B$5:$B$404,0))*0.6</f>
        <v>0.40013943276521752</v>
      </c>
      <c r="BE84" s="14">
        <f>INDEX(其他调用!$H$5:$L$404,MATCH($K84,其他调用!$B$5:$B$404,0),MATCH(BE$5,其他调用!$H$4:$L$4,0))*INDEX(其他调用!$M$5:$M$404,MATCH($K84,其他调用!$B$5:$B$404,0))*0.6</f>
        <v>0.11313471443478258</v>
      </c>
      <c r="BF84" s="14">
        <f>IF(OR(BF$5="大R",BF$5="超R"),0,INDEX(其他调用!$H$5:$L$404,MATCH($K84,其他调用!$B$5:$B$404,0),MATCH(BF$5,其他调用!$H$4:$L$4,0))*50*0.4)</f>
        <v>9.7776286650000017</v>
      </c>
      <c r="BG84" s="14">
        <f>IF(OR(BG$5="大R",BG$5="超R"),0,INDEX(其他调用!$H$5:$L$404,MATCH($K84,其他调用!$B$5:$B$404,0),MATCH(BG$5,其他调用!$H$4:$L$4,0))*50*0.4)</f>
        <v>9.2827824786031989</v>
      </c>
      <c r="BH84" s="14">
        <f>IF(OR(BH$5="大R",BH$5="超R"),0,INDEX(其他调用!$H$5:$L$404,MATCH($K84,其他调用!$B$5:$B$404,0),MATCH(BH$5,其他调用!$H$4:$L$4,0))*50*0.4)</f>
        <v>0.76790029639680002</v>
      </c>
      <c r="BI84" s="14">
        <f>IF(OR(BI$5="大R",BI$5="超R"),0,INDEX(其他调用!$H$5:$L$404,MATCH($K84,其他调用!$B$5:$B$404,0),MATCH(BI$5,其他调用!$H$4:$L$4,0))*50*0.4)</f>
        <v>0</v>
      </c>
      <c r="BJ84" s="14">
        <f>IF(OR(BJ$5="大R",BJ$5="超R"),0,INDEX(其他调用!$H$5:$L$404,MATCH($K84,其他调用!$B$5:$B$404,0),MATCH(BJ$5,其他调用!$H$4:$L$4,0))*50*0.4)</f>
        <v>0</v>
      </c>
      <c r="BL84" s="14">
        <f t="shared" si="208"/>
        <v>79</v>
      </c>
      <c r="BM84" s="14">
        <f t="shared" si="115"/>
        <v>96</v>
      </c>
      <c r="BN84" s="14">
        <f>('疲劳值&amp;地图信息'!$S$10*'疲劳值&amp;地图信息'!$R$10+'疲劳值&amp;地图信息'!$S$11*'疲劳值&amp;地图信息'!$R$11+'疲劳值&amp;地图信息'!$S$12*'疲劳值&amp;地图信息'!$R$12+(BM84-'疲劳值&amp;地图信息'!$S$12-'疲劳值&amp;地图信息'!$S$11-'疲劳值&amp;地图信息'!$S$10)*'疲劳值&amp;地图信息'!$R$13)/BM84</f>
        <v>51.371477246638619</v>
      </c>
      <c r="BO84" s="14">
        <f>INDEX(其他调用!$M$5:$M$404,MATCH(BL84,其他调用!$B$5:$B$404,0))*0.6</f>
        <v>59.791304347826085</v>
      </c>
      <c r="BP84" s="14">
        <f>IF(BO84&gt;SUM('疲劳值&amp;地图信息'!$S$10:$S$12),('疲劳值&amp;地图信息'!$S$10*'疲劳值&amp;地图信息'!$R$10+'疲劳值&amp;地图信息'!$S$11*'疲劳值&amp;地图信息'!$R$11+'疲劳值&amp;地图信息'!$S$12*'疲劳值&amp;地图信息'!$R$12+(BO84-'疲劳值&amp;地图信息'!$S$12-'疲劳值&amp;地图信息'!$S$11-'疲劳值&amp;地图信息'!$S$10)*'疲劳值&amp;地图信息'!$R$13)/BO84,('疲劳值&amp;地图信息'!$S$10*'疲劳值&amp;地图信息'!$R$10+'疲劳值&amp;地图信息'!$S$11*'疲劳值&amp;地图信息'!$R$11+'疲劳值&amp;地图信息'!$S$12*'疲劳值&amp;地图信息'!$R$12+(BO84-'疲劳值&amp;地图信息'!$S$12-'疲劳值&amp;地图信息'!$S$11-'疲劳值&amp;地图信息'!$S$10)*'疲劳值&amp;地图信息'!$R$13)/BO84)</f>
        <v>44.090996461163535</v>
      </c>
      <c r="BQ84" s="14">
        <f t="shared" si="209"/>
        <v>20</v>
      </c>
      <c r="BR84" s="14">
        <f>('疲劳值&amp;地图信息'!$S$10*'疲劳值&amp;地图信息'!$R$10+($BQ84-'疲劳值&amp;地图信息'!$S$10)*'疲劳值&amp;地图信息'!$R$11)/$BQ84</f>
        <v>32.067203015074995</v>
      </c>
      <c r="CF84" s="14">
        <v>79</v>
      </c>
      <c r="CG84" s="51">
        <f t="shared" si="116"/>
        <v>8373</v>
      </c>
      <c r="CH84" s="51">
        <f t="shared" si="117"/>
        <v>807</v>
      </c>
      <c r="CI84" s="51">
        <f>INT(SUMPRODUCT($N84:$R84,$BA84:$BE84)/SUM($BA84:$BE84)/10000*$BX$7*$BZ$34/'疲劳值&amp;地图信息'!$R$10*$BY$53)</f>
        <v>2890</v>
      </c>
      <c r="CJ84" s="50">
        <f t="shared" si="118"/>
        <v>0.69370339685169846</v>
      </c>
      <c r="CK84" s="50">
        <f t="shared" si="119"/>
        <v>6.6859983429991721E-2</v>
      </c>
      <c r="CL84" s="50">
        <f t="shared" si="120"/>
        <v>0.23943661971830985</v>
      </c>
      <c r="CM84" s="14">
        <f t="shared" si="121"/>
        <v>8836</v>
      </c>
      <c r="CN84" s="14">
        <f t="shared" si="122"/>
        <v>1234</v>
      </c>
      <c r="CO84" s="14">
        <f>INT(SUMPRODUCT($U84:$Y84,$BA84:$BE84)/SUM($BA84:$BE84)/10000*$BX$7*$BZ$34/'疲劳值&amp;地图信息'!$R$10*$BY$54)</f>
        <v>5257</v>
      </c>
      <c r="CP84" s="50">
        <f t="shared" si="123"/>
        <v>0.5764989887127292</v>
      </c>
      <c r="CQ84" s="50">
        <f t="shared" si="124"/>
        <v>8.0511515626019436E-2</v>
      </c>
      <c r="CR84" s="50">
        <f t="shared" si="125"/>
        <v>0.34298949566125136</v>
      </c>
      <c r="CS84" s="14">
        <f t="shared" si="126"/>
        <v>9386</v>
      </c>
      <c r="CT84" s="14">
        <f t="shared" si="127"/>
        <v>2247</v>
      </c>
      <c r="CU84" s="14">
        <f>INT(SUMPRODUCT($AB84:$AF84,$BA84:$BE84)/SUM($BA84:$BE84)/10000*$BX$7*$BZ$34/'疲劳值&amp;地图信息'!$R$10*$BY$55)</f>
        <v>7151</v>
      </c>
      <c r="CV84" s="50">
        <f t="shared" si="128"/>
        <v>0.49968057921635434</v>
      </c>
      <c r="CW84" s="50">
        <f t="shared" si="129"/>
        <v>0.11962308347529813</v>
      </c>
      <c r="CX84" s="50">
        <f t="shared" si="130"/>
        <v>0.38069633730834751</v>
      </c>
      <c r="CY84" s="14">
        <f t="shared" si="131"/>
        <v>10672</v>
      </c>
      <c r="CZ84" s="14">
        <f t="shared" si="132"/>
        <v>5479</v>
      </c>
      <c r="DA84" s="14">
        <f>INT(SUMPRODUCT($AI84:$AM84,$BA84:$BE84)/SUM($BA84:$BE84)/10000*$BX$7*$BZ$34/'疲劳值&amp;地图信息'!$R$10*$BY$56)</f>
        <v>10779</v>
      </c>
      <c r="DB84" s="50">
        <f t="shared" si="133"/>
        <v>0.39628666914222055</v>
      </c>
      <c r="DC84" s="50">
        <f t="shared" si="134"/>
        <v>0.20345339769773488</v>
      </c>
      <c r="DD84" s="50">
        <f t="shared" si="135"/>
        <v>0.40025993316004455</v>
      </c>
      <c r="DE84" s="14">
        <f t="shared" si="136"/>
        <v>10672</v>
      </c>
      <c r="DF84" s="14">
        <f t="shared" si="137"/>
        <v>11236</v>
      </c>
      <c r="DG84" s="14">
        <f>INT(SUMPRODUCT($AP84:$AT84,$BA84:$BE84)/SUM($BA84:$BE84)/10000*$BX$7*$BZ$34/'疲劳值&amp;地图信息'!$R$10*$BY$57)</f>
        <v>14396</v>
      </c>
      <c r="DH84" s="50">
        <f t="shared" si="138"/>
        <v>0.29396209784045835</v>
      </c>
      <c r="DI84" s="50">
        <f t="shared" si="139"/>
        <v>0.30949757602468048</v>
      </c>
      <c r="DJ84" s="50">
        <f t="shared" si="140"/>
        <v>0.39654032613486118</v>
      </c>
      <c r="DL84" s="14">
        <f t="shared" si="211"/>
        <v>12070</v>
      </c>
      <c r="DM84" s="14">
        <f t="shared" si="212"/>
        <v>15327</v>
      </c>
      <c r="DN84" s="14">
        <f t="shared" si="213"/>
        <v>18784</v>
      </c>
      <c r="DO84" s="14">
        <f t="shared" si="214"/>
        <v>26930</v>
      </c>
      <c r="DP84" s="14">
        <f t="shared" si="215"/>
        <v>36304</v>
      </c>
      <c r="DQ84" s="14">
        <f t="shared" si="216"/>
        <v>836168</v>
      </c>
      <c r="DT84" s="14">
        <f t="shared" si="210"/>
        <v>235575</v>
      </c>
      <c r="DU84" s="50">
        <f t="shared" si="112"/>
        <v>0.21980549441423924</v>
      </c>
      <c r="DW84" s="14">
        <f t="shared" si="141"/>
        <v>1071743</v>
      </c>
      <c r="EB84" s="14">
        <v>79</v>
      </c>
      <c r="EC84" s="51">
        <f t="shared" si="142"/>
        <v>13956</v>
      </c>
      <c r="ED84" s="51">
        <f t="shared" si="143"/>
        <v>1346</v>
      </c>
      <c r="EE84" s="51">
        <f>INT(SUMPRODUCT($N84:$R84,$BF84:$BJ84)/SUM($BF84:$BJ84)/10000*$BX$7*$BZ$46/'疲劳值&amp;地图信息'!$R$10*$BY$53)</f>
        <v>388</v>
      </c>
      <c r="EF84" s="50">
        <f t="shared" si="144"/>
        <v>0.88948374760994264</v>
      </c>
      <c r="EG84" s="50">
        <f t="shared" si="145"/>
        <v>8.5787125557680047E-2</v>
      </c>
      <c r="EH84" s="50">
        <f t="shared" si="146"/>
        <v>2.472912683237731E-2</v>
      </c>
      <c r="EI84" s="51">
        <f t="shared" si="147"/>
        <v>14726</v>
      </c>
      <c r="EJ84" s="51">
        <f t="shared" si="148"/>
        <v>2057</v>
      </c>
      <c r="EK84" s="14">
        <f>INT(SUMPRODUCT($U84:$Y84,$BF84:$BJ84)/SUM($BF84:$BJ84)/10000*$BX$7*$BZ$46/'疲劳值&amp;地图信息'!$R$10*$BY$54)</f>
        <v>705</v>
      </c>
      <c r="EL84" s="50">
        <f t="shared" si="149"/>
        <v>0.84206312900274471</v>
      </c>
      <c r="EM84" s="50">
        <f t="shared" si="150"/>
        <v>0.11762351326623971</v>
      </c>
      <c r="EN84" s="50">
        <f t="shared" si="151"/>
        <v>4.0313357731015555E-2</v>
      </c>
      <c r="EO84" s="51">
        <f t="shared" si="152"/>
        <v>15644</v>
      </c>
      <c r="EP84" s="51">
        <f t="shared" si="153"/>
        <v>3745</v>
      </c>
      <c r="EQ84" s="14">
        <f>INT(SUMPRODUCT($AB84:$AF84,$BF84:$BJ84)/SUM($BF84:$BJ84)/10000*$BX$7*$BZ$46/'疲劳值&amp;地图信息'!$R$10*$BY$55)</f>
        <v>958</v>
      </c>
      <c r="ER84" s="50">
        <f t="shared" si="154"/>
        <v>0.76886027424190295</v>
      </c>
      <c r="ES84" s="50">
        <f t="shared" si="155"/>
        <v>0.18405661768319653</v>
      </c>
      <c r="ET84" s="50">
        <f t="shared" si="156"/>
        <v>4.708310807490048E-2</v>
      </c>
      <c r="EU84" s="51">
        <f t="shared" si="157"/>
        <v>17787</v>
      </c>
      <c r="EV84" s="51">
        <f t="shared" si="158"/>
        <v>9132</v>
      </c>
      <c r="EW84" s="14">
        <f>INT(SUMPRODUCT($AI84:$AM84,$BF84:$BJ84)/SUM($BF84:$BJ84)/10000*$BX$7*$BZ$46/'疲劳值&amp;地图信息'!$R$10*$BY$56)</f>
        <v>1437</v>
      </c>
      <c r="EX84" s="50">
        <f t="shared" si="159"/>
        <v>0.62727465086754131</v>
      </c>
      <c r="EY84" s="50">
        <f t="shared" si="160"/>
        <v>0.32204824375793484</v>
      </c>
      <c r="EZ84" s="50">
        <f t="shared" si="161"/>
        <v>5.0677105374523912E-2</v>
      </c>
      <c r="FA84" s="51">
        <f t="shared" si="162"/>
        <v>17788</v>
      </c>
      <c r="FB84" s="51">
        <f t="shared" si="163"/>
        <v>18727</v>
      </c>
      <c r="FC84" s="14">
        <f>INT(SUMPRODUCT($AP84:$AT84,$BF84:$BJ84)/SUM($BF84:$BJ84)/10000*$BX$7*$BZ$46/'疲劳值&amp;地图信息'!$R$10*$BY$57)</f>
        <v>1917</v>
      </c>
      <c r="FD84" s="50">
        <f t="shared" si="164"/>
        <v>0.46284346378018321</v>
      </c>
      <c r="FE84" s="50">
        <f t="shared" si="165"/>
        <v>0.48727622814321397</v>
      </c>
      <c r="FF84" s="50">
        <f t="shared" si="166"/>
        <v>4.9880308076602833E-2</v>
      </c>
      <c r="FH84" s="14">
        <f t="shared" si="167"/>
        <v>15690</v>
      </c>
      <c r="FI84" s="14">
        <f t="shared" si="168"/>
        <v>17488</v>
      </c>
      <c r="FJ84" s="14">
        <f t="shared" si="169"/>
        <v>20347</v>
      </c>
      <c r="FK84" s="14">
        <f t="shared" si="170"/>
        <v>28356</v>
      </c>
      <c r="FL84" s="14">
        <f t="shared" si="171"/>
        <v>38432</v>
      </c>
      <c r="FM84" s="14">
        <f t="shared" si="172"/>
        <v>1823577</v>
      </c>
      <c r="FP84" s="14">
        <f t="shared" si="173"/>
        <v>334150</v>
      </c>
      <c r="FQ84" s="50">
        <f t="shared" si="113"/>
        <v>0.15486203769058829</v>
      </c>
      <c r="FS84" s="14">
        <f t="shared" si="174"/>
        <v>2157727</v>
      </c>
      <c r="FX84" s="14">
        <v>79</v>
      </c>
      <c r="FY84" s="51">
        <f t="shared" si="175"/>
        <v>19538</v>
      </c>
      <c r="FZ84" s="51">
        <f t="shared" si="176"/>
        <v>1346</v>
      </c>
      <c r="GA84" s="51">
        <f>INT(SUMPRODUCT($N84:$R84,$BF84:$BJ84)/SUM($BF84:$BJ84)/10000*$BX$7*$BZ$46/'疲劳值&amp;地图信息'!$R$10*$BY$53)</f>
        <v>388</v>
      </c>
      <c r="GB84" s="50">
        <f t="shared" si="177"/>
        <v>0.91848439262880788</v>
      </c>
      <c r="GC84" s="50">
        <f t="shared" si="178"/>
        <v>6.3275667544189548E-2</v>
      </c>
      <c r="GD84" s="50">
        <f t="shared" si="179"/>
        <v>1.8239939827002633E-2</v>
      </c>
      <c r="GE84" s="51">
        <f t="shared" si="180"/>
        <v>20617</v>
      </c>
      <c r="GF84" s="51">
        <f t="shared" si="181"/>
        <v>2057</v>
      </c>
      <c r="GG84" s="14">
        <f>INT(SUMPRODUCT($U84:$Y84,$BF84:$BJ84)/SUM($BF84:$BJ84)/10000*$BX$7*$BZ$46/'疲劳值&amp;地图信息'!$R$10*$BY$54)</f>
        <v>705</v>
      </c>
      <c r="GH84" s="50">
        <f t="shared" si="182"/>
        <v>0.88185978869926007</v>
      </c>
      <c r="GI84" s="50">
        <f t="shared" si="183"/>
        <v>8.7984943752940678E-2</v>
      </c>
      <c r="GJ84" s="50">
        <f t="shared" si="184"/>
        <v>3.0155267547799305E-2</v>
      </c>
      <c r="GK84" s="51">
        <f t="shared" si="185"/>
        <v>21902</v>
      </c>
      <c r="GL84" s="51">
        <f t="shared" si="186"/>
        <v>3745</v>
      </c>
      <c r="GM84" s="14">
        <f>INT(SUMPRODUCT($AB84:$AF84,$BF84:$BJ84)/SUM($BF84:$BJ84)/10000*$BX$7*$BZ$46/'疲劳值&amp;地图信息'!$R$10*$BY$55)</f>
        <v>958</v>
      </c>
      <c r="GN84" s="50">
        <f t="shared" si="187"/>
        <v>0.82322871640669049</v>
      </c>
      <c r="GO84" s="50">
        <f t="shared" si="188"/>
        <v>0.14076301447096409</v>
      </c>
      <c r="GP84" s="50">
        <f t="shared" si="189"/>
        <v>3.6008269122345421E-2</v>
      </c>
      <c r="GQ84" s="51">
        <f t="shared" si="190"/>
        <v>24902</v>
      </c>
      <c r="GR84" s="51">
        <f t="shared" si="191"/>
        <v>9132</v>
      </c>
      <c r="GS84" s="14">
        <f>INT(SUMPRODUCT($AI84:$AM84,$BF84:$BJ84)/SUM($BF84:$BJ84)/10000*$BX$7*$BZ$46/'疲劳值&amp;地图信息'!$R$10*$BY$56)</f>
        <v>1437</v>
      </c>
      <c r="GT84" s="50">
        <f t="shared" si="192"/>
        <v>0.70203828479603059</v>
      </c>
      <c r="GU84" s="50">
        <f t="shared" si="193"/>
        <v>0.25744974768120438</v>
      </c>
      <c r="GV84" s="50">
        <f t="shared" si="194"/>
        <v>4.0511967522765077E-2</v>
      </c>
      <c r="GW84" s="51">
        <f t="shared" si="195"/>
        <v>24903</v>
      </c>
      <c r="GX84" s="51">
        <f t="shared" si="196"/>
        <v>18727</v>
      </c>
      <c r="GY84" s="14">
        <f>INT(SUMPRODUCT($AP84:$AT84,$BF84:$BJ84)/SUM($BF84:$BJ84)/10000*$BX$7*$BZ$46/'疲劳值&amp;地图信息'!$R$10*$BY$57)</f>
        <v>1917</v>
      </c>
      <c r="GZ84" s="50">
        <f t="shared" si="197"/>
        <v>0.54675390256218848</v>
      </c>
      <c r="HA84" s="50">
        <f t="shared" si="198"/>
        <v>0.41115770522756712</v>
      </c>
      <c r="HB84" s="50">
        <f t="shared" si="199"/>
        <v>4.2088392210244366E-2</v>
      </c>
      <c r="HD84" s="14">
        <f t="shared" si="200"/>
        <v>21272</v>
      </c>
      <c r="HE84" s="14">
        <f t="shared" si="201"/>
        <v>23379</v>
      </c>
      <c r="HF84" s="14">
        <f t="shared" si="202"/>
        <v>26605</v>
      </c>
      <c r="HG84" s="14">
        <f t="shared" si="203"/>
        <v>35471</v>
      </c>
      <c r="HH84" s="14">
        <f t="shared" si="204"/>
        <v>45547</v>
      </c>
      <c r="HI84" s="14">
        <f t="shared" si="205"/>
        <v>2433789</v>
      </c>
      <c r="HL84" s="14">
        <f t="shared" si="206"/>
        <v>430050</v>
      </c>
      <c r="HM84" s="50">
        <f t="shared" si="114"/>
        <v>0.1501655644748186</v>
      </c>
      <c r="HO84" s="14">
        <f t="shared" si="207"/>
        <v>2863839</v>
      </c>
    </row>
    <row r="85" spans="11:223" x14ac:dyDescent="0.2">
      <c r="K85" s="14">
        <v>80</v>
      </c>
      <c r="L85" s="12">
        <f>求节点(节奏总纲!D$4:D$163,标准城池设计!AB$4:AB$163,$K85)*求节点(节奏总纲!D$4:D$163,攻城基础信息!$AC$5:$AC$164,$K85)</f>
        <v>413055.46597488399</v>
      </c>
      <c r="M85" s="12">
        <f>INDEX(其他调用!$AA$5:$AA$404,MATCH(K85,其他调用!$X$5:$X$404,0))*MIN(INDEX(其他调用!$AH$5:$AH$364,MATCH('征服点（新）'!K85,其他调用!$AG$5:$AG$364,0),1)/INDEX(其他调用!$AJ$5:$AJ$364,MATCH(K85,其他调用!$AG$5:$AG$364,0),0),5)*求节点(节奏总纲!D$4:D$163,攻城基础信息!$AC$5:$AC$164,$K85)</f>
        <v>39637.393499612146</v>
      </c>
      <c r="N85" s="12">
        <f>MIN(INDEX(其他调用!$AH$5:$AH$364,MATCH($K85,其他调用!$AG$5:$AG$364,0),1)/INDEX(其他调用!AH$5:AH$364,MATCH($K85,其他调用!$AG$5:$AG$364,0),0),1)*INDEX(其他调用!Y$5:Y$404,MATCH($K85,其他调用!$X$5:$X$404,0),0)</f>
        <v>34862.624287523409</v>
      </c>
      <c r="O85" s="12">
        <f>MIN(INDEX(其他调用!$AH$5:$AH$364,MATCH($K85,其他调用!$AG$5:$AG$364,0),1)/INDEX(其他调用!AI$5:AI$364,MATCH($K85,其他调用!$AG$5:$AG$364,0),0),1)*INDEX(其他调用!Z$5:Z$404,MATCH($K85,其他调用!$X$5:$X$404,0),0)</f>
        <v>23550.037107494347</v>
      </c>
      <c r="P85" s="12">
        <f>MIN(INDEX(其他调用!$AH$5:$AH$364,MATCH($K85,其他调用!$AG$5:$AG$364,0),1)/INDEX(其他调用!AJ$5:AJ$364,MATCH($K85,其他调用!$AG$5:$AG$364,0),0),1)*INDEX(其他调用!AA$5:AA$404,MATCH($K85,其他调用!$X$5:$X$404,0),0)</f>
        <v>13453.093554606665</v>
      </c>
      <c r="Q85" s="12">
        <f>MIN(INDEX(其他调用!$AH$5:$AH$364,MATCH($K85,其他调用!$AG$5:$AG$364,0),1)/INDEX(其他调用!AK$5:AK$364,MATCH($K85,其他调用!$AG$5:$AG$364,0),0),1)*INDEX(其他调用!AB$5:AB$404,MATCH($K85,其他调用!$X$5:$X$404,0),0)</f>
        <v>5847.0350192690903</v>
      </c>
      <c r="R85" s="12">
        <f>MIN(INDEX(其他调用!$AH$5:$AH$364,MATCH($K85,其他调用!$AG$5:$AG$364,0),1)/INDEX(其他调用!AL$5:AL$364,MATCH($K85,其他调用!$AG$5:$AG$364,0),0),1)*INDEX(其他调用!AC$5:AC$404,MATCH($K85,其他调用!$X$5:$X$404,0),0)</f>
        <v>1774.4749479342329</v>
      </c>
      <c r="S85" s="12">
        <f>求节点(节奏总纲!D$4:D$163,标准城池设计!AC$4:AC$163,$K85)*求节点(节奏总纲!D$4:D$163,攻城基础信息!$AD$5:$AD$164,$K85)</f>
        <v>436134.96237244527</v>
      </c>
      <c r="T85" s="12">
        <f>INDEX(其他调用!$AA$5:$AA$404,MATCH($K85,其他调用!$X$5:$X$404,0))*MIN(INDEX(其他调用!AI$5:AI$364,MATCH($K85,其他调用!$AG$5:$AG$364,0),1)/INDEX(其他调用!$AJ$5:$AJ$364,MATCH($K85,其他调用!$AG$5:$AG$364,0),0),5)*求节点(节奏总纲!D$4:D$163,攻城基础信息!$AD$5:$AD$164,$K85)</f>
        <v>60598.392215254222</v>
      </c>
      <c r="U85" s="12">
        <f>MIN(INDEX(其他调用!$AI$5:$AI$364,MATCH($K85,其他调用!$AG$5:$AG$364,0),1)/INDEX(其他调用!AH$5:AH$364,MATCH($K85,其他调用!$AG$5:$AG$364,0),0),1)*INDEX(其他调用!Y$5:Y$404,MATCH($K85,其他调用!$X$5:$X$404,0),0)</f>
        <v>34862.624287523409</v>
      </c>
      <c r="V85" s="12">
        <f>MIN(INDEX(其他调用!$AI$5:$AI$364,MATCH($K85,其他调用!$AG$5:$AG$364,0),1)/INDEX(其他调用!AI$5:AI$364,MATCH($K85,其他调用!$AG$5:$AG$364,0),0),1)*INDEX(其他调用!Z$5:Z$404,MATCH($K85,其他调用!$X$5:$X$404,0),0)</f>
        <v>36003.739381543783</v>
      </c>
      <c r="W85" s="12">
        <f>MIN(INDEX(其他调用!$AI$5:$AI$364,MATCH($K85,其他调用!$AG$5:$AG$364,0),1)/INDEX(其他调用!AJ$5:AJ$364,MATCH($K85,其他调用!$AG$5:$AG$364,0),0),1)*INDEX(其他调用!AA$5:AA$404,MATCH($K85,其他调用!$X$5:$X$404,0),0)</f>
        <v>20567.342293547641</v>
      </c>
      <c r="X85" s="12">
        <f>MIN(INDEX(其他调用!$AI$5:$AI$364,MATCH($K85,其他调用!$AG$5:$AG$364,0),1)/INDEX(其他调用!AK$5:AK$364,MATCH($K85,其他调用!$AG$5:$AG$364,0),0),1)*INDEX(其他调用!AB$5:AB$404,MATCH($K85,其他调用!$X$5:$X$404,0),0)</f>
        <v>8939.0570395972645</v>
      </c>
      <c r="Y85" s="12">
        <f>MIN(INDEX(其他调用!$AI$5:$AI$364,MATCH($K85,其他调用!$AG$5:$AG$364,0),1)/INDEX(其他调用!AL$5:AL$364,MATCH($K85,其他调用!$AG$5:$AG$364,0),0),1)*INDEX(其他调用!AC$5:AC$404,MATCH($K85,其他调用!$X$5:$X$404,0),0)</f>
        <v>2712.8506538179322</v>
      </c>
      <c r="Z85" s="12">
        <f>求节点(节奏总纲!D$4:D$163,标准城池设计!AD$4:AD$163,$K85)*求节点(节奏总纲!D$4:D$163,攻城基础信息!$AE$5:$AE$164,$K85)</f>
        <v>463495.31064910622</v>
      </c>
      <c r="AA85" s="12">
        <f>INDEX(其他调用!$AA$5:$AA$404,MATCH($K85,其他调用!$X$5:$X$404,0))*MIN(INDEX(其他调用!AJ$5:AJ$364,MATCH($K85,其他调用!$AG$5:$AG$364,0),1)/INDEX(其他调用!$AJ$5:$AJ$364,MATCH($K85,其他调用!$AG$5:$AG$364,0),0),5)*求节点(节奏总纲!D$4:D$163,攻城基础信息!$AE$5:$AE$164,$K85)</f>
        <v>110521.43462451609</v>
      </c>
      <c r="AB85" s="12">
        <f>MIN(INDEX(其他调用!$AJ$5:$AJ$364,MATCH($K85,其他调用!$AG$5:$AG$364,0),1)/INDEX(其他调用!AH$5:AH$364,MATCH($K85,其他调用!$AG$5:$AG$364,0),0),1)*INDEX(其他调用!Y$5:Y$404,MATCH($K85,其他调用!$X$5:$X$404,0),0)</f>
        <v>34862.624287523409</v>
      </c>
      <c r="AC85" s="12">
        <f>MIN(INDEX(其他调用!$AJ$5:$AJ$364,MATCH($K85,其他调用!$AG$5:$AG$364,0),1)/INDEX(其他调用!AI$5:AI$364,MATCH($K85,其他调用!$AG$5:$AG$364,0),0),1)*INDEX(其他调用!Z$5:Z$404,MATCH($K85,其他调用!$X$5:$X$404,0),0)</f>
        <v>36003.739381543783</v>
      </c>
      <c r="AD85" s="12">
        <f>MIN(INDEX(其他调用!$AJ$5:$AJ$364,MATCH($K85,其他调用!$AG$5:$AG$364,0),1)/INDEX(其他调用!AJ$5:AJ$364,MATCH($K85,其他调用!$AG$5:$AG$364,0),0),1)*INDEX(其他调用!AA$5:AA$404,MATCH($K85,其他调用!$X$5:$X$404,0),0)</f>
        <v>37511.427178164682</v>
      </c>
      <c r="AE85" s="12">
        <f>MIN(INDEX(其他调用!$AJ$5:$AJ$364,MATCH($K85,其他调用!$AG$5:$AG$364,0),1)/INDEX(其他调用!AK$5:AK$364,MATCH($K85,其他调用!$AG$5:$AG$364,0),0),1)*INDEX(其他调用!AB$5:AB$404,MATCH($K85,其他调用!$X$5:$X$404,0),0)</f>
        <v>16303.360074262406</v>
      </c>
      <c r="AF85" s="12">
        <f>MIN(INDEX(其他调用!$AJ$5:$AJ$364,MATCH($K85,其他调用!$AG$5:$AG$364,0),1)/INDEX(其他调用!AL$5:AL$364,MATCH($K85,其他调用!$AG$5:$AG$364,0),0),1)*INDEX(其他调用!AC$5:AC$404,MATCH($K85,其他调用!$X$5:$X$404,0),0)</f>
        <v>4947.7904482511931</v>
      </c>
      <c r="AG85" s="12">
        <f>求节点(节奏总纲!D$4:D$163,标准城池设计!AE$4:AE$163,$K85)*求节点(节奏总纲!D$4:D$163,攻城基础信息!$AF$5:$AF$164,$K85)</f>
        <v>527130.71059250215</v>
      </c>
      <c r="AH85" s="12">
        <f>INDEX(其他调用!$AA$5:$AA$404,MATCH($K85,其他调用!$X$5:$X$404,0))*MIN(INDEX(其他调用!AK$5:AK$364,MATCH($K85,其他调用!$AG$5:$AG$364,0),1)/INDEX(其他调用!$AJ$5:$AJ$364,MATCH($K85,其他调用!$AG$5:$AG$364,0),0),5)*求节点(节奏总纲!D$4:D$163,攻城基础信息!$AF$5:$AF$164,$K85)</f>
        <v>269070.00336561416</v>
      </c>
      <c r="AI85" s="12">
        <f>MIN(INDEX(其他调用!$AK$5:$AK$364,MATCH($K85,其他调用!$AG$5:$AG$364,0),1)/INDEX(其他调用!AH$5:AH$364,MATCH($K85,其他调用!$AG$5:$AG$364,0),0),1)*INDEX(其他调用!Y$5:Y$404,MATCH($K85,其他调用!$X$5:$X$404,0),0)</f>
        <v>34862.624287523409</v>
      </c>
      <c r="AJ85" s="12">
        <f>MIN(INDEX(其他调用!$AK$5:$AK$364,MATCH($K85,其他调用!$AG$5:$AG$364,0),1)/INDEX(其他调用!AI$5:AI$364,MATCH($K85,其他调用!$AG$5:$AG$364,0),0),1)*INDEX(其他调用!Z$5:Z$404,MATCH($K85,其他调用!$X$5:$X$404,0),0)</f>
        <v>36003.739381543783</v>
      </c>
      <c r="AK85" s="12">
        <f>MIN(INDEX(其他调用!$AK$5:$AK$364,MATCH($K85,其他调用!$AG$5:$AG$364,0),1)/INDEX(其他调用!AJ$5:AJ$364,MATCH($K85,其他调用!$AG$5:$AG$364,0),0),1)*INDEX(其他调用!AA$5:AA$404,MATCH($K85,其他调用!$X$5:$X$404,0),0)</f>
        <v>37511.427178164682</v>
      </c>
      <c r="AL85" s="12">
        <f>MIN(INDEX(其他调用!$AK$5:$AK$364,MATCH($K85,其他调用!$AG$5:$AG$364,0),1)/INDEX(其他调用!AK$5:AK$364,MATCH($K85,其他调用!$AG$5:$AG$364,0),0),1)*INDEX(其他调用!AB$5:AB$404,MATCH($K85,其他调用!$X$5:$X$404,0),0)</f>
        <v>39691.351862704905</v>
      </c>
      <c r="AM85" s="12">
        <f>MIN(INDEX(其他调用!$AK$5:$AK$364,MATCH($K85,其他调用!$AG$5:$AG$364,0),1)/INDEX(其他调用!AL$5:AL$364,MATCH($K85,其他调用!$AG$5:$AG$364,0),0),1)*INDEX(其他调用!AC$5:AC$404,MATCH($K85,其他调用!$X$5:$X$404,0),0)</f>
        <v>12045.645236928456</v>
      </c>
      <c r="AN85" s="12">
        <f>求节点(节奏总纲!D$4:D$163,标准城池设计!AF$4:AF$163,$K85)*求节点(节奏总纲!D$4:D$163,攻城基础信息!$AG$5:$AG$164,$K85)</f>
        <v>526369.05636204791</v>
      </c>
      <c r="AO85" s="12">
        <f>INDEX(其他调用!$AA$5:$AA$404,MATCH($K85,其他调用!$X$5:$X$404,0))*MIN(INDEX(其他调用!AL$5:AL$364,MATCH($K85,其他调用!$AG$5:$AG$364,0),1)/INDEX(其他调用!$AJ$5:$AJ$364,MATCH($K85,其他调用!$AG$5:$AG$364,0),0),5)*求节点(节奏总纲!D$4:D$163,攻城基础信息!$AG$5:$AG$164,$K85)</f>
        <v>552607.1731225804</v>
      </c>
      <c r="AP85" s="12">
        <f>MIN(INDEX(其他调用!$AL$5:$AL$364,MATCH($K85,其他调用!$AG$5:$AG$364,0),1)/INDEX(其他调用!AH$5:AH$364,MATCH($K85,其他调用!$AG$5:$AG$364,0),0),1)*INDEX(其他调用!Y$5:Y$404,MATCH($K85,其他调用!$X$5:$X$404,0),0)</f>
        <v>34862.624287523409</v>
      </c>
      <c r="AQ85" s="12">
        <f>MIN(INDEX(其他调用!$AL$5:$AL$364,MATCH($K85,其他调用!$AG$5:$AG$364,0),1)/INDEX(其他调用!AI$5:AI$364,MATCH($K85,其他调用!$AG$5:$AG$364,0),0),1)*INDEX(其他调用!Z$5:Z$404,MATCH($K85,其他调用!$X$5:$X$404,0),0)</f>
        <v>36003.739381543783</v>
      </c>
      <c r="AR85" s="12">
        <f>MIN(INDEX(其他调用!$AL$5:$AL$364,MATCH($K85,其他调用!$AG$5:$AG$364,0),1)/INDEX(其他调用!AJ$5:AJ$364,MATCH($K85,其他调用!$AG$5:$AG$364,0),0),1)*INDEX(其他调用!AA$5:AA$404,MATCH($K85,其他调用!$X$5:$X$404,0),0)</f>
        <v>37511.427178164682</v>
      </c>
      <c r="AS85" s="12">
        <f>MIN(INDEX(其他调用!$AL$5:$AL$364,MATCH($K85,其他调用!$AG$5:$AG$364,0),1)/INDEX(其他调用!AK$5:AK$364,MATCH($K85,其他调用!$AG$5:$AG$364,0),0),1)*INDEX(其他调用!AB$5:AB$404,MATCH($K85,其他调用!$X$5:$X$404,0),0)</f>
        <v>39691.351862704905</v>
      </c>
      <c r="AT85" s="12">
        <f>MIN(INDEX(其他调用!$AL$5:$AL$364,MATCH($K85,其他调用!$AG$5:$AG$364,0),1)/INDEX(其他调用!AL$5:AL$364,MATCH($K85,其他调用!$AG$5:$AG$364,0),0),1)*INDEX(其他调用!AC$5:AC$404,MATCH($K85,其他调用!$X$5:$X$404,0),0)</f>
        <v>43529.672299493242</v>
      </c>
      <c r="AV85" s="14">
        <f>IF(OR(AV$5="大R",AV$5="超R"),MAX(INDEX(其他调用!$H$5:$L$404,MATCH($K85,其他调用!$B$5:$B$404,0),MATCH(AV$5,其他调用!$H$4:$L$4,0))*120*0.85,2),INDEX(其他调用!$H$5:$L$404,MATCH($K85,其他调用!$B$5:$B$404,0),MATCH(AV$5,其他调用!$H$4:$L$4,0))*120*0.85)</f>
        <v>49.780078470000007</v>
      </c>
      <c r="AW85" s="14">
        <f>IF(OR(AW$5="大R",AW$5="超R"),MAX(INDEX(其他调用!$H$5:$L$404,MATCH($K85,其他调用!$B$5:$B$404,0),MATCH(AW$5,其他调用!$H$4:$L$4,0))*120*0.85,2),INDEX(其他调用!$H$5:$L$404,MATCH($K85,其他调用!$B$5:$B$404,0),MATCH(AW$5,其他调用!$H$4:$L$4,0))*120*0.85)</f>
        <v>47.423568219945594</v>
      </c>
      <c r="AX85" s="14">
        <f>IF(OR(AX$5="大R",AX$5="超R"),MAX(INDEX(其他调用!$H$5:$L$404,MATCH($K85,其他调用!$B$5:$B$404,0),MATCH(AX$5,其他调用!$H$4:$L$4,0))*120*0.85,2),INDEX(其他调用!$H$5:$L$404,MATCH($K85,其他调用!$B$5:$B$404,0),MATCH(AX$5,其他调用!$H$4:$L$4,0))*120*0.85)</f>
        <v>3.9182312300544</v>
      </c>
      <c r="AY85" s="14">
        <f>IF(OR(AY$5="大R",AY$5="超R"),MAX(INDEX(其他调用!$H$5:$L$404,MATCH($K85,其他调用!$B$5:$B$404,0),MATCH(AY$5,其他调用!$H$4:$L$4,0))*120*0.85,2),INDEX(其他调用!$H$5:$L$404,MATCH($K85,其他调用!$B$5:$B$404,0),MATCH(AY$5,其他调用!$H$4:$L$4,0))*120*0.85)</f>
        <v>2</v>
      </c>
      <c r="AZ85" s="14">
        <f>IF(OR(AZ$5="大R",AZ$5="超R"),MAX(INDEX(其他调用!$H$5:$L$404,MATCH($K85,其他调用!$B$5:$B$404,0),MATCH(AZ$5,其他调用!$H$4:$L$4,0))*120*0.85,2),INDEX(其他调用!$H$5:$L$404,MATCH($K85,其他调用!$B$5:$B$404,0),MATCH(AZ$5,其他调用!$H$4:$L$4,0))*120*0.85)</f>
        <v>2</v>
      </c>
      <c r="BA85" s="14">
        <f>INDEX(其他调用!$H$5:$L$404,MATCH($K85,其他调用!$B$5:$B$404,0),MATCH(BA$5,其他调用!$H$4:$L$4,0))*INDEX(其他调用!$M$5:$M$404,MATCH($K85,其他调用!$B$5:$B$404,0))*0.6</f>
        <v>29.238417630996047</v>
      </c>
      <c r="BB85" s="14">
        <f>INDEX(其他调用!$H$5:$L$404,MATCH($K85,其他调用!$B$5:$B$404,0),MATCH(BB$5,其他调用!$H$4:$L$4,0))*INDEX(其他调用!$M$5:$M$404,MATCH($K85,其他调用!$B$5:$B$404,0))*0.6</f>
        <v>27.854317144205197</v>
      </c>
      <c r="BC85" s="14">
        <f>INDEX(其他调用!$H$5:$L$404,MATCH($K85,其他调用!$B$5:$B$404,0),MATCH(BC$5,其他调用!$H$4:$L$4,0))*INDEX(其他调用!$M$5:$M$404,MATCH($K85,其他调用!$B$5:$B$404,0))*0.6</f>
        <v>2.3013800821584343</v>
      </c>
      <c r="BD85" s="14">
        <f>INDEX(其他调用!$H$5:$L$404,MATCH($K85,其他调用!$B$5:$B$404,0),MATCH(BD$5,其他调用!$H$4:$L$4,0))*INDEX(其他调用!$M$5:$M$404,MATCH($K85,其他调用!$B$5:$B$404,0))*0.6</f>
        <v>0.40188986295652179</v>
      </c>
      <c r="BE85" s="14">
        <f>INDEX(其他调用!$H$5:$L$404,MATCH($K85,其他调用!$B$5:$B$404,0),MATCH(BE$5,其他调用!$H$4:$L$4,0))*INDEX(其他调用!$M$5:$M$404,MATCH($K85,其他调用!$B$5:$B$404,0))*0.6</f>
        <v>0.11387670260869565</v>
      </c>
      <c r="BF85" s="14">
        <f>IF(OR(BF$5="大R",BF$5="超R"),0,INDEX(其他调用!$H$5:$L$404,MATCH($K85,其他调用!$B$5:$B$404,0),MATCH(BF$5,其他调用!$H$4:$L$4,0))*50*0.4)</f>
        <v>9.7607997000000015</v>
      </c>
      <c r="BG85" s="14">
        <f>IF(OR(BG$5="大R",BG$5="超R"),0,INDEX(其他调用!$H$5:$L$404,MATCH($K85,其他调用!$B$5:$B$404,0),MATCH(BG$5,其他调用!$H$4:$L$4,0))*50*0.4)</f>
        <v>9.2987388666560005</v>
      </c>
      <c r="BH85" s="14">
        <f>IF(OR(BH$5="大R",BH$5="超R"),0,INDEX(其他调用!$H$5:$L$404,MATCH($K85,其他调用!$B$5:$B$404,0),MATCH(BH$5,其他调用!$H$4:$L$4,0))*50*0.4)</f>
        <v>0.76828063334400021</v>
      </c>
      <c r="BI85" s="14">
        <f>IF(OR(BI$5="大R",BI$5="超R"),0,INDEX(其他调用!$H$5:$L$404,MATCH($K85,其他调用!$B$5:$B$404,0),MATCH(BI$5,其他调用!$H$4:$L$4,0))*50*0.4)</f>
        <v>0</v>
      </c>
      <c r="BJ85" s="14">
        <f>IF(OR(BJ$5="大R",BJ$5="超R"),0,INDEX(其他调用!$H$5:$L$404,MATCH($K85,其他调用!$B$5:$B$404,0),MATCH(BJ$5,其他调用!$H$4:$L$4,0))*50*0.4)</f>
        <v>0</v>
      </c>
      <c r="BL85" s="14">
        <f t="shared" si="208"/>
        <v>80</v>
      </c>
      <c r="BM85" s="14">
        <f t="shared" si="115"/>
        <v>96</v>
      </c>
      <c r="BN85" s="14">
        <f>('疲劳值&amp;地图信息'!$S$10*'疲劳值&amp;地图信息'!$R$10+'疲劳值&amp;地图信息'!$S$11*'疲劳值&amp;地图信息'!$R$11+'疲劳值&amp;地图信息'!$S$12*'疲劳值&amp;地图信息'!$R$12+(BM85-'疲劳值&amp;地图信息'!$S$12-'疲劳值&amp;地图信息'!$S$11-'疲劳值&amp;地图信息'!$S$10)*'疲劳值&amp;地图信息'!$R$13)/BM85</f>
        <v>51.371477246638619</v>
      </c>
      <c r="BO85" s="14">
        <f>INDEX(其他调用!$M$5:$M$404,MATCH(BL85,其他调用!$B$5:$B$404,0))*0.6</f>
        <v>59.909881422924897</v>
      </c>
      <c r="BP85" s="14">
        <f>IF(BO85&gt;SUM('疲劳值&amp;地图信息'!$S$10:$S$12),('疲劳值&amp;地图信息'!$S$10*'疲劳值&amp;地图信息'!$R$10+'疲劳值&amp;地图信息'!$S$11*'疲劳值&amp;地图信息'!$R$11+'疲劳值&amp;地图信息'!$S$12*'疲劳值&amp;地图信息'!$R$12+(BO85-'疲劳值&amp;地图信息'!$S$12-'疲劳值&amp;地图信息'!$S$11-'疲劳值&amp;地图信息'!$S$10)*'疲劳值&amp;地图信息'!$R$13)/BO85,('疲劳值&amp;地图信息'!$S$10*'疲劳值&amp;地图信息'!$R$10+'疲劳值&amp;地图信息'!$S$11*'疲劳值&amp;地图信息'!$R$11+'疲劳值&amp;地图信息'!$S$12*'疲劳值&amp;地图信息'!$R$12+(BO85-'疲劳值&amp;地图信息'!$S$12-'疲劳值&amp;地图信息'!$S$11-'疲劳值&amp;地图信息'!$S$10)*'疲劳值&amp;地图信息'!$R$13)/BO85)</f>
        <v>44.129201503573462</v>
      </c>
      <c r="BQ85" s="14">
        <f t="shared" si="209"/>
        <v>20</v>
      </c>
      <c r="BR85" s="14">
        <f>('疲劳值&amp;地图信息'!$S$10*'疲劳值&amp;地图信息'!$R$10+($BQ85-'疲劳值&amp;地图信息'!$S$10)*'疲劳值&amp;地图信息'!$R$11)/$BQ85</f>
        <v>32.067203015074995</v>
      </c>
      <c r="CF85" s="14">
        <v>80</v>
      </c>
      <c r="CG85" s="51">
        <f t="shared" si="116"/>
        <v>8424</v>
      </c>
      <c r="CH85" s="51">
        <f t="shared" si="117"/>
        <v>808</v>
      </c>
      <c r="CI85" s="51">
        <f>INT(SUMPRODUCT($N85:$R85,$BA85:$BE85)/SUM($BA85:$BE85)/10000*$BX$7*$BZ$34/'疲劳值&amp;地图信息'!$R$10*$BY$53)</f>
        <v>2894</v>
      </c>
      <c r="CJ85" s="50">
        <f t="shared" si="118"/>
        <v>0.69470559129143983</v>
      </c>
      <c r="CK85" s="50">
        <f t="shared" si="119"/>
        <v>6.6633679696519871E-2</v>
      </c>
      <c r="CL85" s="50">
        <f t="shared" si="120"/>
        <v>0.23866072901204025</v>
      </c>
      <c r="CM85" s="14">
        <f t="shared" si="121"/>
        <v>8894</v>
      </c>
      <c r="CN85" s="14">
        <f t="shared" si="122"/>
        <v>1235</v>
      </c>
      <c r="CO85" s="14">
        <f>INT(SUMPRODUCT($U85:$Y85,$BA85:$BE85)/SUM($BA85:$BE85)/10000*$BX$7*$BZ$34/'疲劳值&amp;地图信息'!$R$10*$BY$54)</f>
        <v>5267</v>
      </c>
      <c r="CP85" s="50">
        <f t="shared" si="123"/>
        <v>0.57768251493894518</v>
      </c>
      <c r="CQ85" s="50">
        <f t="shared" si="124"/>
        <v>8.02156404260847E-2</v>
      </c>
      <c r="CR85" s="50">
        <f t="shared" si="125"/>
        <v>0.34210184463497012</v>
      </c>
      <c r="CS85" s="14">
        <f t="shared" si="126"/>
        <v>9452</v>
      </c>
      <c r="CT85" s="14">
        <f t="shared" si="127"/>
        <v>2254</v>
      </c>
      <c r="CU85" s="14">
        <f>INT(SUMPRODUCT($AB85:$AF85,$BA85:$BE85)/SUM($BA85:$BE85)/10000*$BX$7*$BZ$34/'疲劳值&amp;地图信息'!$R$10*$BY$55)</f>
        <v>7166</v>
      </c>
      <c r="CV85" s="50">
        <f t="shared" si="128"/>
        <v>0.50084781687155577</v>
      </c>
      <c r="CW85" s="50">
        <f t="shared" si="129"/>
        <v>0.11943620178041543</v>
      </c>
      <c r="CX85" s="50">
        <f t="shared" si="130"/>
        <v>0.37971598134802881</v>
      </c>
      <c r="CY85" s="14">
        <f t="shared" si="131"/>
        <v>10750</v>
      </c>
      <c r="CZ85" s="14">
        <f t="shared" si="132"/>
        <v>5487</v>
      </c>
      <c r="DA85" s="14">
        <f>INT(SUMPRODUCT($AI85:$AM85,$BA85:$BE85)/SUM($BA85:$BE85)/10000*$BX$7*$BZ$34/'疲劳值&amp;地图信息'!$R$10*$BY$56)</f>
        <v>10801</v>
      </c>
      <c r="DB85" s="50">
        <f t="shared" si="133"/>
        <v>0.39758857903691103</v>
      </c>
      <c r="DC85" s="50">
        <f t="shared" si="134"/>
        <v>0.20293660773725866</v>
      </c>
      <c r="DD85" s="50">
        <f t="shared" si="135"/>
        <v>0.39947481322583034</v>
      </c>
      <c r="DE85" s="14">
        <f t="shared" si="136"/>
        <v>10735</v>
      </c>
      <c r="DF85" s="14">
        <f t="shared" si="137"/>
        <v>11270</v>
      </c>
      <c r="DG85" s="14">
        <f>INT(SUMPRODUCT($AP85:$AT85,$BA85:$BE85)/SUM($BA85:$BE85)/10000*$BX$7*$BZ$34/'疲劳值&amp;地图信息'!$R$10*$BY$57)</f>
        <v>14426</v>
      </c>
      <c r="DH85" s="50">
        <f t="shared" si="138"/>
        <v>0.29466663006779942</v>
      </c>
      <c r="DI85" s="50">
        <f t="shared" si="139"/>
        <v>0.30935192555790397</v>
      </c>
      <c r="DJ85" s="50">
        <f t="shared" si="140"/>
        <v>0.39598144437429661</v>
      </c>
      <c r="DL85" s="14">
        <f t="shared" si="211"/>
        <v>12126</v>
      </c>
      <c r="DM85" s="14">
        <f t="shared" si="212"/>
        <v>15396</v>
      </c>
      <c r="DN85" s="14">
        <f t="shared" si="213"/>
        <v>18872</v>
      </c>
      <c r="DO85" s="14">
        <f t="shared" si="214"/>
        <v>27038</v>
      </c>
      <c r="DP85" s="14">
        <f t="shared" si="215"/>
        <v>36431</v>
      </c>
      <c r="DQ85" s="14">
        <f t="shared" si="216"/>
        <v>841836</v>
      </c>
      <c r="DT85" s="14">
        <f t="shared" si="210"/>
        <v>235575</v>
      </c>
      <c r="DU85" s="50">
        <f t="shared" si="112"/>
        <v>0.2186491506026948</v>
      </c>
      <c r="DW85" s="14">
        <f t="shared" si="141"/>
        <v>1077411</v>
      </c>
      <c r="EB85" s="14">
        <v>80</v>
      </c>
      <c r="EC85" s="51">
        <f t="shared" si="142"/>
        <v>14040</v>
      </c>
      <c r="ED85" s="51">
        <f t="shared" si="143"/>
        <v>1347</v>
      </c>
      <c r="EE85" s="51">
        <f>INT(SUMPRODUCT($N85:$R85,$BF85:$BJ85)/SUM($BF85:$BJ85)/10000*$BX$7*$BZ$46/'疲劳值&amp;地图信息'!$R$10*$BY$53)</f>
        <v>388</v>
      </c>
      <c r="EF85" s="50">
        <f t="shared" si="144"/>
        <v>0.89001584786053878</v>
      </c>
      <c r="EG85" s="50">
        <f t="shared" si="145"/>
        <v>8.5388272583201266E-2</v>
      </c>
      <c r="EH85" s="50">
        <f t="shared" si="146"/>
        <v>2.4595879556259904E-2</v>
      </c>
      <c r="EI85" s="51">
        <f t="shared" si="147"/>
        <v>14824</v>
      </c>
      <c r="EJ85" s="51">
        <f t="shared" si="148"/>
        <v>2059</v>
      </c>
      <c r="EK85" s="14">
        <f>INT(SUMPRODUCT($U85:$Y85,$BF85:$BJ85)/SUM($BF85:$BJ85)/10000*$BX$7*$BZ$46/'疲劳值&amp;地图信息'!$R$10*$BY$54)</f>
        <v>707</v>
      </c>
      <c r="EL85" s="50">
        <f t="shared" si="149"/>
        <v>0.84275156338828883</v>
      </c>
      <c r="EM85" s="50">
        <f t="shared" si="150"/>
        <v>0.11705514496873223</v>
      </c>
      <c r="EN85" s="50">
        <f t="shared" si="151"/>
        <v>4.0193291642978968E-2</v>
      </c>
      <c r="EO85" s="51">
        <f t="shared" si="152"/>
        <v>15754</v>
      </c>
      <c r="EP85" s="51">
        <f t="shared" si="153"/>
        <v>3756</v>
      </c>
      <c r="EQ85" s="14">
        <f>INT(SUMPRODUCT($AB85:$AF85,$BF85:$BJ85)/SUM($BF85:$BJ85)/10000*$BX$7*$BZ$46/'疲劳值&amp;地图信息'!$R$10*$BY$55)</f>
        <v>960</v>
      </c>
      <c r="ER85" s="50">
        <f t="shared" si="154"/>
        <v>0.76961406936980947</v>
      </c>
      <c r="ES85" s="50">
        <f t="shared" si="155"/>
        <v>0.18348803126526625</v>
      </c>
      <c r="ET85" s="50">
        <f t="shared" si="156"/>
        <v>4.6897899364924278E-2</v>
      </c>
      <c r="EU85" s="51">
        <f t="shared" si="157"/>
        <v>17917</v>
      </c>
      <c r="EV85" s="51">
        <f t="shared" si="158"/>
        <v>9145</v>
      </c>
      <c r="EW85" s="14">
        <f>INT(SUMPRODUCT($AI85:$AM85,$BF85:$BJ85)/SUM($BF85:$BJ85)/10000*$BX$7*$BZ$46/'疲劳值&amp;地图信息'!$R$10*$BY$56)</f>
        <v>1440</v>
      </c>
      <c r="EX85" s="50">
        <f t="shared" si="159"/>
        <v>0.62862255280331203</v>
      </c>
      <c r="EY85" s="50">
        <f t="shared" si="160"/>
        <v>0.32085467686478142</v>
      </c>
      <c r="EZ85" s="50">
        <f t="shared" si="161"/>
        <v>5.0522770331906532E-2</v>
      </c>
      <c r="FA85" s="51">
        <f t="shared" si="162"/>
        <v>17891</v>
      </c>
      <c r="FB85" s="51">
        <f t="shared" si="163"/>
        <v>18783</v>
      </c>
      <c r="FC85" s="14">
        <f>INT(SUMPRODUCT($AP85:$AT85,$BF85:$BJ85)/SUM($BF85:$BJ85)/10000*$BX$7*$BZ$46/'疲劳值&amp;地图信息'!$R$10*$BY$57)</f>
        <v>1921</v>
      </c>
      <c r="FD85" s="50">
        <f t="shared" si="164"/>
        <v>0.4635574556289675</v>
      </c>
      <c r="FE85" s="50">
        <f t="shared" si="165"/>
        <v>0.48666925767586477</v>
      </c>
      <c r="FF85" s="50">
        <f t="shared" si="166"/>
        <v>4.977328669516777E-2</v>
      </c>
      <c r="FH85" s="14">
        <f t="shared" si="167"/>
        <v>15775</v>
      </c>
      <c r="FI85" s="14">
        <f t="shared" si="168"/>
        <v>17590</v>
      </c>
      <c r="FJ85" s="14">
        <f t="shared" si="169"/>
        <v>20470</v>
      </c>
      <c r="FK85" s="14">
        <f t="shared" si="170"/>
        <v>28502</v>
      </c>
      <c r="FL85" s="14">
        <f t="shared" si="171"/>
        <v>38595</v>
      </c>
      <c r="FM85" s="14">
        <f t="shared" si="172"/>
        <v>1833861</v>
      </c>
      <c r="FP85" s="14">
        <f t="shared" si="173"/>
        <v>334150</v>
      </c>
      <c r="FQ85" s="50">
        <f t="shared" si="113"/>
        <v>0.15412744677033466</v>
      </c>
      <c r="FS85" s="14">
        <f t="shared" si="174"/>
        <v>2168011</v>
      </c>
      <c r="FX85" s="14">
        <v>80</v>
      </c>
      <c r="FY85" s="51">
        <f t="shared" si="175"/>
        <v>19656</v>
      </c>
      <c r="FZ85" s="51">
        <f t="shared" si="176"/>
        <v>1347</v>
      </c>
      <c r="GA85" s="51">
        <f>INT(SUMPRODUCT($N85:$R85,$BF85:$BJ85)/SUM($BF85:$BJ85)/10000*$BX$7*$BZ$46/'疲劳值&amp;地图信息'!$R$10*$BY$53)</f>
        <v>388</v>
      </c>
      <c r="GB85" s="50">
        <f t="shared" si="177"/>
        <v>0.91889112243466875</v>
      </c>
      <c r="GC85" s="50">
        <f t="shared" si="178"/>
        <v>6.2970408115562621E-2</v>
      </c>
      <c r="GD85" s="50">
        <f t="shared" si="179"/>
        <v>1.8138469449768595E-2</v>
      </c>
      <c r="GE85" s="51">
        <f t="shared" si="180"/>
        <v>20754</v>
      </c>
      <c r="GF85" s="51">
        <f t="shared" si="181"/>
        <v>2059</v>
      </c>
      <c r="GG85" s="14">
        <f>INT(SUMPRODUCT($U85:$Y85,$BF85:$BJ85)/SUM($BF85:$BJ85)/10000*$BX$7*$BZ$46/'疲劳值&amp;地图信息'!$R$10*$BY$54)</f>
        <v>707</v>
      </c>
      <c r="GH85" s="50">
        <f t="shared" si="182"/>
        <v>0.88239795918367347</v>
      </c>
      <c r="GI85" s="50">
        <f t="shared" si="183"/>
        <v>8.7542517006802725E-2</v>
      </c>
      <c r="GJ85" s="50">
        <f t="shared" si="184"/>
        <v>3.005952380952381E-2</v>
      </c>
      <c r="GK85" s="51">
        <f t="shared" si="185"/>
        <v>22056</v>
      </c>
      <c r="GL85" s="51">
        <f t="shared" si="186"/>
        <v>3756</v>
      </c>
      <c r="GM85" s="14">
        <f>INT(SUMPRODUCT($AB85:$AF85,$BF85:$BJ85)/SUM($BF85:$BJ85)/10000*$BX$7*$BZ$46/'疲劳值&amp;地图信息'!$R$10*$BY$55)</f>
        <v>960</v>
      </c>
      <c r="GN85" s="50">
        <f t="shared" si="187"/>
        <v>0.82384580905423577</v>
      </c>
      <c r="GO85" s="50">
        <f t="shared" si="188"/>
        <v>0.14029583146571045</v>
      </c>
      <c r="GP85" s="50">
        <f t="shared" si="189"/>
        <v>3.5858359480053788E-2</v>
      </c>
      <c r="GQ85" s="51">
        <f t="shared" si="190"/>
        <v>25084</v>
      </c>
      <c r="GR85" s="51">
        <f t="shared" si="191"/>
        <v>9145</v>
      </c>
      <c r="GS85" s="14">
        <f>INT(SUMPRODUCT($AI85:$AM85,$BF85:$BJ85)/SUM($BF85:$BJ85)/10000*$BX$7*$BZ$46/'疲劳值&amp;地图信息'!$R$10*$BY$56)</f>
        <v>1440</v>
      </c>
      <c r="GT85" s="50">
        <f t="shared" si="192"/>
        <v>0.70324371302811961</v>
      </c>
      <c r="GU85" s="50">
        <f t="shared" si="193"/>
        <v>0.25638509630211109</v>
      </c>
      <c r="GV85" s="50">
        <f t="shared" si="194"/>
        <v>4.0371190669769269E-2</v>
      </c>
      <c r="GW85" s="51">
        <f t="shared" si="195"/>
        <v>25048</v>
      </c>
      <c r="GX85" s="51">
        <f t="shared" si="196"/>
        <v>18783</v>
      </c>
      <c r="GY85" s="14">
        <f>INT(SUMPRODUCT($AP85:$AT85,$BF85:$BJ85)/SUM($BF85:$BJ85)/10000*$BX$7*$BZ$46/'疲劳值&amp;地图信息'!$R$10*$BY$57)</f>
        <v>1921</v>
      </c>
      <c r="GZ85" s="50">
        <f t="shared" si="197"/>
        <v>0.54747333449903834</v>
      </c>
      <c r="HA85" s="50">
        <f t="shared" si="198"/>
        <v>0.41053942997027454</v>
      </c>
      <c r="HB85" s="50">
        <f t="shared" si="199"/>
        <v>4.1987235530687186E-2</v>
      </c>
      <c r="HD85" s="14">
        <f t="shared" si="200"/>
        <v>21391</v>
      </c>
      <c r="HE85" s="14">
        <f t="shared" si="201"/>
        <v>23520</v>
      </c>
      <c r="HF85" s="14">
        <f t="shared" si="202"/>
        <v>26772</v>
      </c>
      <c r="HG85" s="14">
        <f t="shared" si="203"/>
        <v>35669</v>
      </c>
      <c r="HH85" s="14">
        <f t="shared" si="204"/>
        <v>45752</v>
      </c>
      <c r="HI85" s="14">
        <f t="shared" si="205"/>
        <v>2447988</v>
      </c>
      <c r="HL85" s="14">
        <f t="shared" si="206"/>
        <v>430050</v>
      </c>
      <c r="HM85" s="50">
        <f t="shared" si="114"/>
        <v>0.14942471225188828</v>
      </c>
      <c r="HO85" s="14">
        <f t="shared" si="207"/>
        <v>2878038</v>
      </c>
    </row>
    <row r="86" spans="11:223" x14ac:dyDescent="0.2">
      <c r="K86" s="14">
        <v>81</v>
      </c>
      <c r="L86" s="12">
        <f>求节点(节奏总纲!D$4:D$163,标准城池设计!AB$4:AB$163,$K86)*求节点(节奏总纲!D$4:D$163,攻城基础信息!$AC$5:$AC$164,$K86)</f>
        <v>415895.21977057494</v>
      </c>
      <c r="M86" s="12">
        <f>INDEX(其他调用!$AA$5:$AA$404,MATCH(K86,其他调用!$X$5:$X$404,0))*MIN(INDEX(其他调用!$AH$5:$AH$364,MATCH('征服点（新）'!K86,其他调用!$AG$5:$AG$364,0),1)/INDEX(其他调用!$AJ$5:$AJ$364,MATCH(K86,其他调用!$AG$5:$AG$364,0),0),5)*求节点(节奏总纲!D$4:D$163,攻城基础信息!$AC$5:$AC$164,$K86)</f>
        <v>39696.848728827659</v>
      </c>
      <c r="N86" s="12">
        <f>MIN(INDEX(其他调用!$AH$5:$AH$364,MATCH($K86,其他调用!$AG$5:$AG$364,0),1)/INDEX(其他调用!AH$5:AH$364,MATCH($K86,其他调用!$AG$5:$AG$364,0),0),1)*INDEX(其他调用!Y$5:Y$404,MATCH($K86,其他调用!$X$5:$X$404,0),0)</f>
        <v>34934.345893870566</v>
      </c>
      <c r="O86" s="12">
        <f>MIN(INDEX(其他调用!$AH$5:$AH$364,MATCH($K86,其他调用!$AG$5:$AG$364,0),1)/INDEX(其他调用!AI$5:AI$364,MATCH($K86,其他调用!$AG$5:$AG$364,0),0),1)*INDEX(其他调用!Z$5:Z$404,MATCH($K86,其他调用!$X$5:$X$404,0),0)</f>
        <v>23580.195219610574</v>
      </c>
      <c r="P86" s="12">
        <f>MIN(INDEX(其他调用!$AH$5:$AH$364,MATCH($K86,其他调用!$AG$5:$AG$364,0),1)/INDEX(其他调用!AJ$5:AJ$364,MATCH($K86,其他调用!$AG$5:$AG$364,0),0),1)*INDEX(其他调用!AA$5:AA$404,MATCH($K86,其他调用!$X$5:$X$404,0),0)</f>
        <v>13446.373161103378</v>
      </c>
      <c r="Q86" s="12">
        <f>MIN(INDEX(其他调用!$AH$5:$AH$364,MATCH($K86,其他调用!$AG$5:$AG$364,0),1)/INDEX(其他调用!AK$5:AK$364,MATCH($K86,其他调用!$AG$5:$AG$364,0),0),1)*INDEX(其他调用!AB$5:AB$404,MATCH($K86,其他调用!$X$5:$X$404,0),0)</f>
        <v>5852.2893439892832</v>
      </c>
      <c r="R86" s="12">
        <f>MIN(INDEX(其他调用!$AH$5:$AH$364,MATCH($K86,其他调用!$AG$5:$AG$364,0),1)/INDEX(其他调用!AL$5:AL$364,MATCH($K86,其他调用!$AG$5:$AG$364,0),0),1)*INDEX(其他调用!AC$5:AC$404,MATCH($K86,其他调用!$X$5:$X$404,0),0)</f>
        <v>1769.2239182102676</v>
      </c>
      <c r="S86" s="12">
        <f>求节点(节奏总纲!D$4:D$163,标准城池设计!AC$4:AC$163,$K86)*求节点(节奏总纲!D$4:D$163,攻城基础信息!$AD$5:$AD$164,$K86)</f>
        <v>439400.86447104206</v>
      </c>
      <c r="T86" s="12">
        <f>INDEX(其他调用!$AA$5:$AA$404,MATCH($K86,其他调用!$X$5:$X$404,0))*MIN(INDEX(其他调用!AI$5:AI$364,MATCH($K86,其他调用!$AG$5:$AG$364,0),1)/INDEX(其他调用!$AJ$5:$AJ$364,MATCH($K86,其他调用!$AG$5:$AG$364,0),0),5)*求节点(节奏总纲!D$4:D$163,攻城基础信息!$AD$5:$AD$164,$K86)</f>
        <v>60730.304177401471</v>
      </c>
      <c r="U86" s="12">
        <f>MIN(INDEX(其他调用!$AI$5:$AI$364,MATCH($K86,其他调用!$AG$5:$AG$364,0),1)/INDEX(其他调用!AH$5:AH$364,MATCH($K86,其他调用!$AG$5:$AG$364,0),0),1)*INDEX(其他调用!Y$5:Y$404,MATCH($K86,其他调用!$X$5:$X$404,0),0)</f>
        <v>34934.345893870566</v>
      </c>
      <c r="V86" s="12">
        <f>MIN(INDEX(其他调用!$AI$5:$AI$364,MATCH($K86,其他调用!$AG$5:$AG$364,0),1)/INDEX(其他调用!AI$5:AI$364,MATCH($K86,其他调用!$AG$5:$AG$364,0),0),1)*INDEX(其他调用!Z$5:Z$404,MATCH($K86,其他调用!$X$5:$X$404,0),0)</f>
        <v>36074.20926612553</v>
      </c>
      <c r="W86" s="12">
        <f>MIN(INDEX(其他调用!$AI$5:$AI$364,MATCH($K86,其他调用!$AG$5:$AG$364,0),1)/INDEX(其他调用!AJ$5:AJ$364,MATCH($K86,其他调用!$AG$5:$AG$364,0),0),1)*INDEX(其他调用!AA$5:AA$404,MATCH($K86,其他调用!$X$5:$X$404,0),0)</f>
        <v>20570.961129306033</v>
      </c>
      <c r="X86" s="12">
        <f>MIN(INDEX(其他调用!$AI$5:$AI$364,MATCH($K86,其他调用!$AG$5:$AG$364,0),1)/INDEX(其他调用!AK$5:AK$364,MATCH($K86,其他调用!$AG$5:$AG$364,0),0),1)*INDEX(其他调用!AB$5:AB$404,MATCH($K86,其他调用!$X$5:$X$404,0),0)</f>
        <v>8953.1366689199313</v>
      </c>
      <c r="Y86" s="12">
        <f>MIN(INDEX(其他调用!$AI$5:$AI$364,MATCH($K86,其他调用!$AG$5:$AG$364,0),1)/INDEX(其他调用!AL$5:AL$364,MATCH($K86,其他调用!$AG$5:$AG$364,0),0),1)*INDEX(其他调用!AC$5:AC$404,MATCH($K86,其他调用!$X$5:$X$404,0),0)</f>
        <v>2706.650783411359</v>
      </c>
      <c r="Z86" s="12">
        <f>求节点(节奏总纲!D$4:D$163,标准城池设计!AD$4:AD$163,$K86)*求节点(节奏总纲!D$4:D$163,攻城基础信息!$AE$5:$AE$164,$K86)</f>
        <v>467148.07686881576</v>
      </c>
      <c r="AA86" s="12">
        <f>INDEX(其他调用!$AA$5:$AA$404,MATCH($K86,其他调用!$X$5:$X$404,0))*MIN(INDEX(其他调用!AJ$5:AJ$364,MATCH($K86,其他调用!$AG$5:$AG$364,0),1)/INDEX(其他调用!$AJ$5:$AJ$364,MATCH($K86,其他调用!$AG$5:$AG$364,0),0),5)*求节点(节奏总纲!D$4:D$163,攻城基础信息!$AE$5:$AE$164,$K86)</f>
        <v>110950.98326746903</v>
      </c>
      <c r="AB86" s="12">
        <f>MIN(INDEX(其他调用!$AJ$5:$AJ$364,MATCH($K86,其他调用!$AG$5:$AG$364,0),1)/INDEX(其他调用!AH$5:AH$364,MATCH($K86,其他调用!$AG$5:$AG$364,0),0),1)*INDEX(其他调用!Y$5:Y$404,MATCH($K86,其他调用!$X$5:$X$404,0),0)</f>
        <v>34934.345893870566</v>
      </c>
      <c r="AC86" s="12">
        <f>MIN(INDEX(其他调用!$AJ$5:$AJ$364,MATCH($K86,其他调用!$AG$5:$AG$364,0),1)/INDEX(其他调用!AI$5:AI$364,MATCH($K86,其他调用!$AG$5:$AG$364,0),0),1)*INDEX(其他调用!Z$5:Z$404,MATCH($K86,其他调用!$X$5:$X$404,0),0)</f>
        <v>36074.20926612553</v>
      </c>
      <c r="AD86" s="12">
        <f>MIN(INDEX(其他调用!$AJ$5:$AJ$364,MATCH($K86,其他调用!$AG$5:$AG$364,0),1)/INDEX(其他调用!AJ$5:AJ$364,MATCH($K86,其他调用!$AG$5:$AG$364,0),0),1)*INDEX(其他调用!AA$5:AA$404,MATCH($K86,其他调用!$X$5:$X$404,0),0)</f>
        <v>37582.034125603612</v>
      </c>
      <c r="AE86" s="12">
        <f>MIN(INDEX(其他调用!$AJ$5:$AJ$364,MATCH($K86,其他调用!$AG$5:$AG$364,0),1)/INDEX(其他调用!AK$5:AK$364,MATCH($K86,其他调用!$AG$5:$AG$364,0),0),1)*INDEX(其他调用!AB$5:AB$404,MATCH($K86,其他调用!$X$5:$X$404,0),0)</f>
        <v>16356.896778302988</v>
      </c>
      <c r="AF86" s="12">
        <f>MIN(INDEX(其他调用!$AJ$5:$AJ$364,MATCH($K86,其他调用!$AG$5:$AG$364,0),1)/INDEX(其他调用!AL$5:AL$364,MATCH($K86,其他调用!$AG$5:$AG$364,0),0),1)*INDEX(其他调用!AC$5:AC$404,MATCH($K86,其他调用!$X$5:$X$404,0),0)</f>
        <v>4944.904687187508</v>
      </c>
      <c r="AG86" s="12">
        <f>求节点(节奏总纲!D$4:D$163,标准城池设计!AE$4:AE$163,$K86)*求节点(节奏总纲!D$4:D$163,攻城基础信息!$AF$5:$AF$164,$K86)</f>
        <v>531423.37741395342</v>
      </c>
      <c r="AH86" s="12">
        <f>INDEX(其他调用!$AA$5:$AA$404,MATCH($K86,其他调用!$X$5:$X$404,0))*MIN(INDEX(其他调用!AK$5:AK$364,MATCH($K86,其他调用!$AG$5:$AG$364,0),1)/INDEX(其他调用!$AJ$5:$AJ$364,MATCH($K86,其他调用!$AG$5:$AG$364,0),0),5)*求节点(节奏总纲!D$4:D$163,攻城基础信息!$AF$5:$AF$164,$K86)</f>
        <v>269734.65357882268</v>
      </c>
      <c r="AI86" s="12">
        <f>MIN(INDEX(其他调用!$AK$5:$AK$364,MATCH($K86,其他调用!$AG$5:$AG$364,0),1)/INDEX(其他调用!AH$5:AH$364,MATCH($K86,其他调用!$AG$5:$AG$364,0),0),1)*INDEX(其他调用!Y$5:Y$404,MATCH($K86,其他调用!$X$5:$X$404,0),0)</f>
        <v>34934.345893870566</v>
      </c>
      <c r="AJ86" s="12">
        <f>MIN(INDEX(其他调用!$AK$5:$AK$364,MATCH($K86,其他调用!$AG$5:$AG$364,0),1)/INDEX(其他调用!AI$5:AI$364,MATCH($K86,其他调用!$AG$5:$AG$364,0),0),1)*INDEX(其他调用!Z$5:Z$404,MATCH($K86,其他调用!$X$5:$X$404,0),0)</f>
        <v>36074.20926612553</v>
      </c>
      <c r="AK86" s="12">
        <f>MIN(INDEX(其他调用!$AK$5:$AK$364,MATCH($K86,其他调用!$AG$5:$AG$364,0),1)/INDEX(其他调用!AJ$5:AJ$364,MATCH($K86,其他调用!$AG$5:$AG$364,0),0),1)*INDEX(其他调用!AA$5:AA$404,MATCH($K86,其他调用!$X$5:$X$404,0),0)</f>
        <v>37582.034125603612</v>
      </c>
      <c r="AL86" s="12">
        <f>MIN(INDEX(其他调用!$AK$5:$AK$364,MATCH($K86,其他调用!$AG$5:$AG$364,0),1)/INDEX(其他调用!AK$5:AK$364,MATCH($K86,其他调用!$AG$5:$AG$364,0),0),1)*INDEX(其他调用!AB$5:AB$404,MATCH($K86,其他调用!$X$5:$X$404,0),0)</f>
        <v>39765.505056265036</v>
      </c>
      <c r="AM86" s="12">
        <f>MIN(INDEX(其他调用!$AK$5:$AK$364,MATCH($K86,其他调用!$AG$5:$AG$364,0),1)/INDEX(其他调用!AL$5:AL$364,MATCH($K86,其他调用!$AG$5:$AG$364,0),0),1)*INDEX(其他调用!AC$5:AC$404,MATCH($K86,其他调用!$X$5:$X$404,0),0)</f>
        <v>12021.634360494165</v>
      </c>
      <c r="AN86" s="12">
        <f>求节点(节奏总纲!D$4:D$163,标准城池设计!AF$4:AF$163,$K86)*求节点(节奏总纲!D$4:D$163,攻城基础信息!$AG$5:$AG$164,$K86)</f>
        <v>529886.93045164982</v>
      </c>
      <c r="AO86" s="12">
        <f>INDEX(其他调用!$AA$5:$AA$404,MATCH($K86,其他调用!$X$5:$X$404,0))*MIN(INDEX(其他调用!AL$5:AL$364,MATCH($K86,其他调用!$AG$5:$AG$364,0),1)/INDEX(其他调用!$AJ$5:$AJ$364,MATCH($K86,其他调用!$AG$5:$AG$364,0),0),5)*求节点(节奏总纲!D$4:D$163,攻城基础信息!$AG$5:$AG$164,$K86)</f>
        <v>554754.91633734514</v>
      </c>
      <c r="AP86" s="12">
        <f>MIN(INDEX(其他调用!$AL$5:$AL$364,MATCH($K86,其他调用!$AG$5:$AG$364,0),1)/INDEX(其他调用!AH$5:AH$364,MATCH($K86,其他调用!$AG$5:$AG$364,0),0),1)*INDEX(其他调用!Y$5:Y$404,MATCH($K86,其他调用!$X$5:$X$404,0),0)</f>
        <v>34934.345893870566</v>
      </c>
      <c r="AQ86" s="12">
        <f>MIN(INDEX(其他调用!$AL$5:$AL$364,MATCH($K86,其他调用!$AG$5:$AG$364,0),1)/INDEX(其他调用!AI$5:AI$364,MATCH($K86,其他调用!$AG$5:$AG$364,0),0),1)*INDEX(其他调用!Z$5:Z$404,MATCH($K86,其他调用!$X$5:$X$404,0),0)</f>
        <v>36074.20926612553</v>
      </c>
      <c r="AR86" s="12">
        <f>MIN(INDEX(其他调用!$AL$5:$AL$364,MATCH($K86,其他调用!$AG$5:$AG$364,0),1)/INDEX(其他调用!AJ$5:AJ$364,MATCH($K86,其他调用!$AG$5:$AG$364,0),0),1)*INDEX(其他调用!AA$5:AA$404,MATCH($K86,其他调用!$X$5:$X$404,0),0)</f>
        <v>37582.034125603612</v>
      </c>
      <c r="AS86" s="12">
        <f>MIN(INDEX(其他调用!$AL$5:$AL$364,MATCH($K86,其他调用!$AG$5:$AG$364,0),1)/INDEX(其他调用!AK$5:AK$364,MATCH($K86,其他调用!$AG$5:$AG$364,0),0),1)*INDEX(其他调用!AB$5:AB$404,MATCH($K86,其他调用!$X$5:$X$404,0),0)</f>
        <v>39765.505056265036</v>
      </c>
      <c r="AT86" s="12">
        <f>MIN(INDEX(其他调用!$AL$5:$AL$364,MATCH($K86,其他调用!$AG$5:$AG$364,0),1)/INDEX(其他调用!AL$5:AL$364,MATCH($K86,其他调用!$AG$5:$AG$364,0),0),1)*INDEX(其他调用!AC$5:AC$404,MATCH($K86,其他调用!$X$5:$X$404,0),0)</f>
        <v>43601.891927055229</v>
      </c>
      <c r="AV86" s="14">
        <f>IF(OR(AV$5="大R",AV$5="超R"),MAX(INDEX(其他调用!$H$5:$L$404,MATCH($K86,其他调用!$B$5:$B$404,0),MATCH(AV$5,其他调用!$H$4:$L$4,0))*120*0.85,2),INDEX(其他调用!$H$5:$L$404,MATCH($K86,其他调用!$B$5:$B$404,0),MATCH(AV$5,其他调用!$H$4:$L$4,0))*120*0.85)</f>
        <v>49.694250748499996</v>
      </c>
      <c r="AW86" s="14">
        <f>IF(OR(AW$5="大R",AW$5="超R"),MAX(INDEX(其他调用!$H$5:$L$404,MATCH($K86,其他调用!$B$5:$B$404,0),MATCH(AW$5,其他调用!$H$4:$L$4,0))*120*0.85,2),INDEX(其他调用!$H$5:$L$404,MATCH($K86,其他调用!$B$5:$B$404,0),MATCH(AW$5,其他调用!$H$4:$L$4,0))*120*0.85)</f>
        <v>47.504945799014877</v>
      </c>
      <c r="AX86" s="14">
        <f>IF(OR(AX$5="大R",AX$5="超R"),MAX(INDEX(其他调用!$H$5:$L$404,MATCH($K86,其他调用!$B$5:$B$404,0),MATCH(AX$5,其他调用!$H$4:$L$4,0))*120*0.85,2),INDEX(其他调用!$H$5:$L$404,MATCH($K86,其他调用!$B$5:$B$404,0),MATCH(AX$5,其他调用!$H$4:$L$4,0))*120*0.85)</f>
        <v>3.9201709484851204</v>
      </c>
      <c r="AY86" s="14">
        <f>IF(OR(AY$5="大R",AY$5="超R"),MAX(INDEX(其他调用!$H$5:$L$404,MATCH($K86,其他调用!$B$5:$B$404,0),MATCH(AY$5,其他调用!$H$4:$L$4,0))*120*0.85,2),INDEX(其他调用!$H$5:$L$404,MATCH($K86,其他调用!$B$5:$B$404,0),MATCH(AY$5,其他调用!$H$4:$L$4,0))*120*0.85)</f>
        <v>2</v>
      </c>
      <c r="AZ86" s="14">
        <f>IF(OR(AZ$5="大R",AZ$5="超R"),MAX(INDEX(其他调用!$H$5:$L$404,MATCH($K86,其他调用!$B$5:$B$404,0),MATCH(AZ$5,其他调用!$H$4:$L$4,0))*120*0.85,2),INDEX(其他调用!$H$5:$L$404,MATCH($K86,其他调用!$B$5:$B$404,0),MATCH(AZ$5,其他调用!$H$4:$L$4,0))*120*0.85)</f>
        <v>2</v>
      </c>
      <c r="BA86" s="14">
        <f>INDEX(其他调用!$H$5:$L$404,MATCH($K86,其他调用!$B$5:$B$404,0),MATCH(BA$5,其他调用!$H$4:$L$4,0))*INDEX(其他调用!$M$5:$M$404,MATCH($K86,其他调用!$B$5:$B$404,0))*0.6</f>
        <v>29.231912205</v>
      </c>
      <c r="BB86" s="14">
        <f>INDEX(其他调用!$H$5:$L$404,MATCH($K86,其他调用!$B$5:$B$404,0),MATCH(BB$5,其他调用!$H$4:$L$4,0))*INDEX(其他调用!$M$5:$M$404,MATCH($K86,其他调用!$B$5:$B$404,0))*0.6</f>
        <v>27.944085764126395</v>
      </c>
      <c r="BC86" s="14">
        <f>INDEX(其他调用!$H$5:$L$404,MATCH($K86,其他调用!$B$5:$B$404,0),MATCH(BC$5,其他调用!$H$4:$L$4,0))*INDEX(其他调用!$M$5:$M$404,MATCH($K86,其他调用!$B$5:$B$404,0))*0.6</f>
        <v>2.3059829108735999</v>
      </c>
      <c r="BD86" s="14">
        <f>INDEX(其他调用!$H$5:$L$404,MATCH($K86,其他调用!$B$5:$B$404,0),MATCH(BD$5,其他调用!$H$4:$L$4,0))*INDEX(其他调用!$M$5:$M$404,MATCH($K86,其他调用!$B$5:$B$404,0))*0.6</f>
        <v>0.4034527200000001</v>
      </c>
      <c r="BE86" s="14">
        <f>INDEX(其他调用!$H$5:$L$404,MATCH($K86,其他调用!$B$5:$B$404,0),MATCH(BE$5,其他调用!$H$4:$L$4,0))*INDEX(其他调用!$M$5:$M$404,MATCH($K86,其他调用!$B$5:$B$404,0))*0.6</f>
        <v>0.11456639999999998</v>
      </c>
      <c r="BF86" s="14">
        <f>IF(OR(BF$5="大R",BF$5="超R"),0,INDEX(其他调用!$H$5:$L$404,MATCH($K86,其他调用!$B$5:$B$404,0),MATCH(BF$5,其他调用!$H$4:$L$4,0))*50*0.4)</f>
        <v>9.7439707350000013</v>
      </c>
      <c r="BG86" s="14">
        <f>IF(OR(BG$5="大R",BG$5="超R"),0,INDEX(其他调用!$H$5:$L$404,MATCH($K86,其他调用!$B$5:$B$404,0),MATCH(BG$5,其他调用!$H$4:$L$4,0))*50*0.4)</f>
        <v>9.3146952547088002</v>
      </c>
      <c r="BH86" s="14">
        <f>IF(OR(BH$5="大R",BH$5="超R"),0,INDEX(其他调用!$H$5:$L$404,MATCH($K86,其他调用!$B$5:$B$404,0),MATCH(BH$5,其他调用!$H$4:$L$4,0))*50*0.4)</f>
        <v>0.76866097029120006</v>
      </c>
      <c r="BI86" s="14">
        <f>IF(OR(BI$5="大R",BI$5="超R"),0,INDEX(其他调用!$H$5:$L$404,MATCH($K86,其他调用!$B$5:$B$404,0),MATCH(BI$5,其他调用!$H$4:$L$4,0))*50*0.4)</f>
        <v>0</v>
      </c>
      <c r="BJ86" s="14">
        <f>IF(OR(BJ$5="大R",BJ$5="超R"),0,INDEX(其他调用!$H$5:$L$404,MATCH($K86,其他调用!$B$5:$B$404,0),MATCH(BJ$5,其他调用!$H$4:$L$4,0))*50*0.4)</f>
        <v>0</v>
      </c>
      <c r="BL86" s="14">
        <f t="shared" si="208"/>
        <v>81</v>
      </c>
      <c r="BM86" s="14">
        <f t="shared" si="115"/>
        <v>96</v>
      </c>
      <c r="BN86" s="14">
        <f>('疲劳值&amp;地图信息'!$S$10*'疲劳值&amp;地图信息'!$R$10+'疲劳值&amp;地图信息'!$S$11*'疲劳值&amp;地图信息'!$R$11+'疲劳值&amp;地图信息'!$S$12*'疲劳值&amp;地图信息'!$R$12+(BM86-'疲劳值&amp;地图信息'!$S$12-'疲劳值&amp;地图信息'!$S$11-'疲劳值&amp;地图信息'!$S$10)*'疲劳值&amp;地图信息'!$R$13)/BM86</f>
        <v>51.371477246638619</v>
      </c>
      <c r="BO86" s="14">
        <f>INDEX(其他调用!$M$5:$M$404,MATCH(BL86,其他调用!$B$5:$B$404,0))*0.6</f>
        <v>60</v>
      </c>
      <c r="BP86" s="14">
        <f>IF(BO86&gt;SUM('疲劳值&amp;地图信息'!$S$10:$S$12),('疲劳值&amp;地图信息'!$S$10*'疲劳值&amp;地图信息'!$R$10+'疲劳值&amp;地图信息'!$S$11*'疲劳值&amp;地图信息'!$R$11+'疲劳值&amp;地图信息'!$S$12*'疲劳值&amp;地图信息'!$R$12+(BO86-'疲劳值&amp;地图信息'!$S$12-'疲劳值&amp;地图信息'!$S$11-'疲劳值&amp;地图信息'!$S$10)*'疲劳值&amp;地图信息'!$R$13)/BO86,('疲劳值&amp;地图信息'!$S$10*'疲劳值&amp;地图信息'!$R$10+'疲劳值&amp;地图信息'!$S$11*'疲劳值&amp;地图信息'!$R$11+'疲劳值&amp;地图信息'!$S$12*'疲劳值&amp;地图信息'!$R$12+(BO86-'疲劳值&amp;地图信息'!$S$12-'疲劳值&amp;地图信息'!$S$11-'疲劳值&amp;地图信息'!$S$10)*'疲劳值&amp;地图信息'!$R$13)/BO86)</f>
        <v>44.158136341605953</v>
      </c>
      <c r="BQ86" s="14">
        <f t="shared" si="209"/>
        <v>20</v>
      </c>
      <c r="BR86" s="14">
        <f>('疲劳值&amp;地图信息'!$S$10*'疲劳值&amp;地图信息'!$R$10+($BQ86-'疲劳值&amp;地图信息'!$S$10)*'疲劳值&amp;地图信息'!$R$11)/$BQ86</f>
        <v>32.067203015074995</v>
      </c>
      <c r="CF86" s="14">
        <v>81</v>
      </c>
      <c r="CG86" s="51">
        <f t="shared" si="116"/>
        <v>8476</v>
      </c>
      <c r="CH86" s="51">
        <f t="shared" si="117"/>
        <v>809</v>
      </c>
      <c r="CI86" s="51">
        <f>INT(SUMPRODUCT($N86:$R86,$BA86:$BE86)/SUM($BA86:$BE86)/10000*$BX$7*$BZ$34/'疲劳值&amp;地图信息'!$R$10*$BY$53)</f>
        <v>2898</v>
      </c>
      <c r="CJ86" s="50">
        <f t="shared" si="118"/>
        <v>0.69572354920791268</v>
      </c>
      <c r="CK86" s="50">
        <f t="shared" si="119"/>
        <v>6.6404005581548062E-2</v>
      </c>
      <c r="CL86" s="50">
        <f t="shared" si="120"/>
        <v>0.23787244521053927</v>
      </c>
      <c r="CM86" s="14">
        <f t="shared" si="121"/>
        <v>8955</v>
      </c>
      <c r="CN86" s="14">
        <f t="shared" si="122"/>
        <v>1237</v>
      </c>
      <c r="CO86" s="14">
        <f>INT(SUMPRODUCT($U86:$Y86,$BA86:$BE86)/SUM($BA86:$BE86)/10000*$BX$7*$BZ$34/'疲劳值&amp;地图信息'!$R$10*$BY$54)</f>
        <v>5277</v>
      </c>
      <c r="CP86" s="50">
        <f t="shared" si="123"/>
        <v>0.57889973495377856</v>
      </c>
      <c r="CQ86" s="50">
        <f t="shared" si="124"/>
        <v>7.9966384381666561E-2</v>
      </c>
      <c r="CR86" s="50">
        <f t="shared" si="125"/>
        <v>0.34113388066455491</v>
      </c>
      <c r="CS86" s="14">
        <f t="shared" si="126"/>
        <v>9521</v>
      </c>
      <c r="CT86" s="14">
        <f t="shared" si="127"/>
        <v>2261</v>
      </c>
      <c r="CU86" s="14">
        <f>INT(SUMPRODUCT($AB86:$AF86,$BA86:$BE86)/SUM($BA86:$BE86)/10000*$BX$7*$BZ$34/'疲劳值&amp;地图信息'!$R$10*$BY$55)</f>
        <v>7180</v>
      </c>
      <c r="CV86" s="50">
        <f t="shared" si="128"/>
        <v>0.50210948212213902</v>
      </c>
      <c r="CW86" s="50">
        <f t="shared" si="129"/>
        <v>0.11923847695390781</v>
      </c>
      <c r="CX86" s="50">
        <f t="shared" si="130"/>
        <v>0.37865204092395316</v>
      </c>
      <c r="CY86" s="14">
        <f t="shared" si="131"/>
        <v>10831</v>
      </c>
      <c r="CZ86" s="14">
        <f t="shared" si="132"/>
        <v>5497</v>
      </c>
      <c r="DA86" s="14">
        <f>INT(SUMPRODUCT($AI86:$AM86,$BA86:$BE86)/SUM($BA86:$BE86)/10000*$BX$7*$BZ$34/'疲劳值&amp;地图信息'!$R$10*$BY$56)</f>
        <v>10823</v>
      </c>
      <c r="DB86" s="50">
        <f t="shared" si="133"/>
        <v>0.39891716695517659</v>
      </c>
      <c r="DC86" s="50">
        <f t="shared" si="134"/>
        <v>0.20246031453721777</v>
      </c>
      <c r="DD86" s="50">
        <f t="shared" si="135"/>
        <v>0.39862251850760561</v>
      </c>
      <c r="DE86" s="14">
        <f t="shared" si="136"/>
        <v>10799</v>
      </c>
      <c r="DF86" s="14">
        <f t="shared" si="137"/>
        <v>11306</v>
      </c>
      <c r="DG86" s="14">
        <f>INT(SUMPRODUCT($AP86:$AT86,$BA86:$BE86)/SUM($BA86:$BE86)/10000*$BX$7*$BZ$34/'疲劳值&amp;地图信息'!$R$10*$BY$57)</f>
        <v>14455</v>
      </c>
      <c r="DH86" s="50">
        <f t="shared" si="138"/>
        <v>0.29537746170678336</v>
      </c>
      <c r="DI86" s="50">
        <f t="shared" si="139"/>
        <v>0.30924507658643324</v>
      </c>
      <c r="DJ86" s="50">
        <f t="shared" si="140"/>
        <v>0.3953774617067834</v>
      </c>
      <c r="DL86" s="14">
        <f t="shared" si="211"/>
        <v>12183</v>
      </c>
      <c r="DM86" s="14">
        <f t="shared" si="212"/>
        <v>15469</v>
      </c>
      <c r="DN86" s="14">
        <f t="shared" si="213"/>
        <v>18962</v>
      </c>
      <c r="DO86" s="14">
        <f t="shared" si="214"/>
        <v>27151</v>
      </c>
      <c r="DP86" s="14">
        <f t="shared" si="215"/>
        <v>36560</v>
      </c>
      <c r="DQ86" s="14">
        <f t="shared" si="216"/>
        <v>847268</v>
      </c>
      <c r="DT86" s="14">
        <f t="shared" si="210"/>
        <v>235575</v>
      </c>
      <c r="DU86" s="50">
        <f t="shared" si="112"/>
        <v>0.21755231367797548</v>
      </c>
      <c r="DW86" s="14">
        <f t="shared" si="141"/>
        <v>1082843</v>
      </c>
      <c r="EB86" s="14">
        <v>81</v>
      </c>
      <c r="EC86" s="51">
        <f t="shared" si="142"/>
        <v>14127</v>
      </c>
      <c r="ED86" s="51">
        <f t="shared" si="143"/>
        <v>1348</v>
      </c>
      <c r="EE86" s="51">
        <f>INT(SUMPRODUCT($N86:$R86,$BF86:$BJ86)/SUM($BF86:$BJ86)/10000*$BX$7*$BZ$46/'疲劳值&amp;地图信息'!$R$10*$BY$53)</f>
        <v>389</v>
      </c>
      <c r="EF86" s="50">
        <f t="shared" si="144"/>
        <v>0.89050680786686842</v>
      </c>
      <c r="EG86" s="50">
        <f t="shared" si="145"/>
        <v>8.4972264246091778E-2</v>
      </c>
      <c r="EH86" s="50">
        <f t="shared" si="146"/>
        <v>2.4520927887039839E-2</v>
      </c>
      <c r="EI86" s="51">
        <f t="shared" si="147"/>
        <v>14925</v>
      </c>
      <c r="EJ86" s="51">
        <f t="shared" si="148"/>
        <v>2062</v>
      </c>
      <c r="EK86" s="14">
        <f>INT(SUMPRODUCT($U86:$Y86,$BF86:$BJ86)/SUM($BF86:$BJ86)/10000*$BX$7*$BZ$46/'疲劳值&amp;地图信息'!$R$10*$BY$54)</f>
        <v>708</v>
      </c>
      <c r="EL86" s="50">
        <f t="shared" si="149"/>
        <v>0.84345860412545914</v>
      </c>
      <c r="EM86" s="50">
        <f t="shared" si="150"/>
        <v>0.11653009324667986</v>
      </c>
      <c r="EN86" s="50">
        <f t="shared" si="151"/>
        <v>4.0011302627860977E-2</v>
      </c>
      <c r="EO86" s="51">
        <f t="shared" si="152"/>
        <v>15868</v>
      </c>
      <c r="EP86" s="51">
        <f t="shared" si="153"/>
        <v>3768</v>
      </c>
      <c r="EQ86" s="14">
        <f>INT(SUMPRODUCT($AB86:$AF86,$BF86:$BJ86)/SUM($BF86:$BJ86)/10000*$BX$7*$BZ$46/'疲劳值&amp;地图信息'!$R$10*$BY$55)</f>
        <v>962</v>
      </c>
      <c r="ER86" s="50">
        <f t="shared" si="154"/>
        <v>0.77036605495679189</v>
      </c>
      <c r="ES86" s="50">
        <f t="shared" si="155"/>
        <v>0.18293038159044567</v>
      </c>
      <c r="ET86" s="50">
        <f t="shared" si="156"/>
        <v>4.6703563452762407E-2</v>
      </c>
      <c r="EU86" s="51">
        <f t="shared" si="157"/>
        <v>18051</v>
      </c>
      <c r="EV86" s="51">
        <f t="shared" si="158"/>
        <v>9162</v>
      </c>
      <c r="EW86" s="14">
        <f>INT(SUMPRODUCT($AI86:$AM86,$BF86:$BJ86)/SUM($BF86:$BJ86)/10000*$BX$7*$BZ$46/'疲劳值&amp;地图信息'!$R$10*$BY$56)</f>
        <v>1443</v>
      </c>
      <c r="EX86" s="50">
        <f t="shared" si="159"/>
        <v>0.62992043551088772</v>
      </c>
      <c r="EY86" s="50">
        <f t="shared" si="160"/>
        <v>0.31972361809045224</v>
      </c>
      <c r="EZ86" s="50">
        <f t="shared" si="161"/>
        <v>5.0355946398659965E-2</v>
      </c>
      <c r="FA86" s="51">
        <f t="shared" si="162"/>
        <v>17999</v>
      </c>
      <c r="FB86" s="51">
        <f t="shared" si="163"/>
        <v>18844</v>
      </c>
      <c r="FC86" s="14">
        <f>INT(SUMPRODUCT($AP86:$AT86,$BF86:$BJ86)/SUM($BF86:$BJ86)/10000*$BX$7*$BZ$46/'疲劳值&amp;地图信息'!$R$10*$BY$57)</f>
        <v>1925</v>
      </c>
      <c r="FD86" s="50">
        <f t="shared" si="164"/>
        <v>0.4642746595130004</v>
      </c>
      <c r="FE86" s="50">
        <f t="shared" si="165"/>
        <v>0.48607098638052004</v>
      </c>
      <c r="FF86" s="50">
        <f t="shared" si="166"/>
        <v>4.9654354106479573E-2</v>
      </c>
      <c r="FH86" s="14">
        <f t="shared" si="167"/>
        <v>15864</v>
      </c>
      <c r="FI86" s="14">
        <f t="shared" si="168"/>
        <v>17695</v>
      </c>
      <c r="FJ86" s="14">
        <f t="shared" si="169"/>
        <v>20598</v>
      </c>
      <c r="FK86" s="14">
        <f t="shared" si="170"/>
        <v>28656</v>
      </c>
      <c r="FL86" s="14">
        <f t="shared" si="171"/>
        <v>38768</v>
      </c>
      <c r="FM86" s="14">
        <f t="shared" si="172"/>
        <v>1844545</v>
      </c>
      <c r="FP86" s="14">
        <f t="shared" si="173"/>
        <v>334150</v>
      </c>
      <c r="FQ86" s="50">
        <f t="shared" si="113"/>
        <v>0.15337162842894486</v>
      </c>
      <c r="FS86" s="14">
        <f t="shared" si="174"/>
        <v>2178695</v>
      </c>
      <c r="FX86" s="14">
        <v>81</v>
      </c>
      <c r="FY86" s="51">
        <f t="shared" si="175"/>
        <v>19778</v>
      </c>
      <c r="FZ86" s="51">
        <f t="shared" si="176"/>
        <v>1348</v>
      </c>
      <c r="GA86" s="51">
        <f>INT(SUMPRODUCT($N86:$R86,$BF86:$BJ86)/SUM($BF86:$BJ86)/10000*$BX$7*$BZ$46/'疲劳值&amp;地图信息'!$R$10*$BY$53)</f>
        <v>389</v>
      </c>
      <c r="GB86" s="50">
        <f t="shared" si="177"/>
        <v>0.91926562863118755</v>
      </c>
      <c r="GC86" s="50">
        <f t="shared" si="178"/>
        <v>6.2653962351847545E-2</v>
      </c>
      <c r="GD86" s="50">
        <f t="shared" si="179"/>
        <v>1.8080409016964907E-2</v>
      </c>
      <c r="GE86" s="51">
        <f t="shared" si="180"/>
        <v>20896</v>
      </c>
      <c r="GF86" s="51">
        <f t="shared" si="181"/>
        <v>2062</v>
      </c>
      <c r="GG86" s="14">
        <f>INT(SUMPRODUCT($U86:$Y86,$BF86:$BJ86)/SUM($BF86:$BJ86)/10000*$BX$7*$BZ$46/'疲劳值&amp;地图信息'!$R$10*$BY$54)</f>
        <v>708</v>
      </c>
      <c r="GH86" s="50">
        <f t="shared" si="182"/>
        <v>0.88295444942111045</v>
      </c>
      <c r="GI86" s="50">
        <f t="shared" si="183"/>
        <v>8.7129214907462185E-2</v>
      </c>
      <c r="GJ86" s="50">
        <f t="shared" si="184"/>
        <v>2.9916335671427364E-2</v>
      </c>
      <c r="GK86" s="51">
        <f t="shared" si="185"/>
        <v>22215</v>
      </c>
      <c r="GL86" s="51">
        <f t="shared" si="186"/>
        <v>3768</v>
      </c>
      <c r="GM86" s="14">
        <f>INT(SUMPRODUCT($AB86:$AF86,$BF86:$BJ86)/SUM($BF86:$BJ86)/10000*$BX$7*$BZ$46/'疲劳值&amp;地图信息'!$R$10*$BY$55)</f>
        <v>962</v>
      </c>
      <c r="GN86" s="50">
        <f t="shared" si="187"/>
        <v>0.82445722768602714</v>
      </c>
      <c r="GO86" s="50">
        <f t="shared" si="188"/>
        <v>0.13984041566153274</v>
      </c>
      <c r="GP86" s="50">
        <f t="shared" si="189"/>
        <v>3.5702356652440155E-2</v>
      </c>
      <c r="GQ86" s="51">
        <f t="shared" si="190"/>
        <v>25272</v>
      </c>
      <c r="GR86" s="51">
        <f t="shared" si="191"/>
        <v>9162</v>
      </c>
      <c r="GS86" s="14">
        <f>INT(SUMPRODUCT($AI86:$AM86,$BF86:$BJ86)/SUM($BF86:$BJ86)/10000*$BX$7*$BZ$46/'疲劳值&amp;地图信息'!$R$10*$BY$56)</f>
        <v>1443</v>
      </c>
      <c r="GT86" s="50">
        <f t="shared" si="192"/>
        <v>0.70440672297014806</v>
      </c>
      <c r="GU86" s="50">
        <f t="shared" si="193"/>
        <v>0.25537252278618616</v>
      </c>
      <c r="GV86" s="50">
        <f t="shared" si="194"/>
        <v>4.0220754243665856E-2</v>
      </c>
      <c r="GW86" s="51">
        <f t="shared" si="195"/>
        <v>25199</v>
      </c>
      <c r="GX86" s="51">
        <f t="shared" si="196"/>
        <v>18844</v>
      </c>
      <c r="GY86" s="14">
        <f>INT(SUMPRODUCT($AP86:$AT86,$BF86:$BJ86)/SUM($BF86:$BJ86)/10000*$BX$7*$BZ$46/'疲劳值&amp;地图信息'!$R$10*$BY$57)</f>
        <v>1925</v>
      </c>
      <c r="GZ86" s="50">
        <f t="shared" si="197"/>
        <v>0.54818569439610165</v>
      </c>
      <c r="HA86" s="50">
        <f t="shared" si="198"/>
        <v>0.40993734772015317</v>
      </c>
      <c r="HB86" s="50">
        <f t="shared" si="199"/>
        <v>4.1876957883745215E-2</v>
      </c>
      <c r="HD86" s="14">
        <f t="shared" si="200"/>
        <v>21515</v>
      </c>
      <c r="HE86" s="14">
        <f t="shared" si="201"/>
        <v>23666</v>
      </c>
      <c r="HF86" s="14">
        <f t="shared" si="202"/>
        <v>26945</v>
      </c>
      <c r="HG86" s="14">
        <f t="shared" si="203"/>
        <v>35877</v>
      </c>
      <c r="HH86" s="14">
        <f t="shared" si="204"/>
        <v>45968</v>
      </c>
      <c r="HI86" s="14">
        <f t="shared" si="205"/>
        <v>2462742</v>
      </c>
      <c r="HL86" s="14">
        <f t="shared" si="206"/>
        <v>430050</v>
      </c>
      <c r="HM86" s="50">
        <f t="shared" si="114"/>
        <v>0.14866260692092623</v>
      </c>
      <c r="HO86" s="14">
        <f t="shared" si="207"/>
        <v>2892792</v>
      </c>
    </row>
    <row r="87" spans="11:223" x14ac:dyDescent="0.2">
      <c r="K87" s="14">
        <v>82</v>
      </c>
      <c r="L87" s="12">
        <f>求节点(节奏总纲!D$4:D$163,标准城池设计!AB$4:AB$163,$K87)*求节点(节奏总纲!D$4:D$163,攻城基础信息!$AC$5:$AC$164,$K87)</f>
        <v>418743.01328945981</v>
      </c>
      <c r="M87" s="12">
        <f>INDEX(其他调用!$AA$5:$AA$404,MATCH(K87,其他调用!$X$5:$X$404,0))*MIN(INDEX(其他调用!$AH$5:$AH$364,MATCH('征服点（新）'!K87,其他调用!$AG$5:$AG$364,0),1)/INDEX(其他调用!$AJ$5:$AJ$364,MATCH(K87,其他调用!$AG$5:$AG$364,0),0),5)*求节点(节奏总纲!D$4:D$163,攻城基础信息!$AC$5:$AC$164,$K87)</f>
        <v>39760.18022338616</v>
      </c>
      <c r="N87" s="12">
        <f>MIN(INDEX(其他调用!$AH$5:$AH$364,MATCH($K87,其他调用!$AG$5:$AG$364,0),1)/INDEX(其他调用!AH$5:AH$364,MATCH($K87,其他调用!$AG$5:$AG$364,0),0),1)*INDEX(其他调用!Y$5:Y$404,MATCH($K87,其他调用!$X$5:$X$404,0),0)</f>
        <v>35006.067500217723</v>
      </c>
      <c r="O87" s="12">
        <f>MIN(INDEX(其他调用!$AH$5:$AH$364,MATCH($K87,其他调用!$AG$5:$AG$364,0),1)/INDEX(其他调用!AI$5:AI$364,MATCH($K87,其他调用!$AG$5:$AG$364,0),0),1)*INDEX(其他调用!Z$5:Z$404,MATCH($K87,其他调用!$X$5:$X$404,0),0)</f>
        <v>23610.965117544678</v>
      </c>
      <c r="P87" s="12">
        <f>MIN(INDEX(其他调用!$AH$5:$AH$364,MATCH($K87,其他调用!$AG$5:$AG$364,0),1)/INDEX(其他调用!AJ$5:AJ$364,MATCH($K87,其他调用!$AG$5:$AG$364,0),0),1)*INDEX(其他调用!AA$5:AA$404,MATCH($K87,其他调用!$X$5:$X$404,0),0)</f>
        <v>13440.989926459304</v>
      </c>
      <c r="Q87" s="12">
        <f>MIN(INDEX(其他调用!$AH$5:$AH$364,MATCH($K87,其他调用!$AG$5:$AG$364,0),1)/INDEX(其他调用!AK$5:AK$364,MATCH($K87,其他调用!$AG$5:$AG$364,0),0),1)*INDEX(其他调用!AB$5:AB$404,MATCH($K87,其他调用!$X$5:$X$404,0),0)</f>
        <v>5853.2352686480308</v>
      </c>
      <c r="R87" s="12">
        <f>MIN(INDEX(其他调用!$AH$5:$AH$364,MATCH($K87,其他调用!$AG$5:$AG$364,0),1)/INDEX(其他调用!AL$5:AL$364,MATCH($K87,其他调用!$AG$5:$AG$364,0),0),1)*INDEX(其他调用!AC$5:AC$404,MATCH($K87,其他调用!$X$5:$X$404,0),0)</f>
        <v>1764.3526463989172</v>
      </c>
      <c r="S87" s="12">
        <f>求节点(节奏总纲!D$4:D$163,标准城池设计!AC$4:AC$163,$K87)*求节点(节奏总纲!D$4:D$163,攻城基础信息!$AD$5:$AD$164,$K87)</f>
        <v>442676.32356207335</v>
      </c>
      <c r="T87" s="12">
        <f>INDEX(其他调用!$AA$5:$AA$404,MATCH($K87,其他调用!$X$5:$X$404,0))*MIN(INDEX(其他调用!AI$5:AI$364,MATCH($K87,其他调用!$AG$5:$AG$364,0),1)/INDEX(其他调用!$AJ$5:$AJ$364,MATCH($K87,其他调用!$AG$5:$AG$364,0),0),5)*求节点(节奏总纲!D$4:D$163,攻城基础信息!$AD$5:$AD$164,$K87)</f>
        <v>60866.591009475706</v>
      </c>
      <c r="U87" s="12">
        <f>MIN(INDEX(其他调用!$AI$5:$AI$364,MATCH($K87,其他调用!$AG$5:$AG$364,0),1)/INDEX(其他调用!AH$5:AH$364,MATCH($K87,其他调用!$AG$5:$AG$364,0),0),1)*INDEX(其他调用!Y$5:Y$404,MATCH($K87,其他调用!$X$5:$X$404,0),0)</f>
        <v>35006.067500217723</v>
      </c>
      <c r="V87" s="12">
        <f>MIN(INDEX(其他调用!$AI$5:$AI$364,MATCH($K87,其他调用!$AG$5:$AG$364,0),1)/INDEX(其他调用!AI$5:AI$364,MATCH($K87,其他调用!$AG$5:$AG$364,0),0),1)*INDEX(其他调用!Z$5:Z$404,MATCH($K87,其他调用!$X$5:$X$404,0),0)</f>
        <v>36144.67915070727</v>
      </c>
      <c r="W87" s="12">
        <f>MIN(INDEX(其他调用!$AI$5:$AI$364,MATCH($K87,其他调用!$AG$5:$AG$364,0),1)/INDEX(其他调用!AJ$5:AJ$364,MATCH($K87,其他调用!$AG$5:$AG$364,0),0),1)*INDEX(其他调用!AA$5:AA$404,MATCH($K87,其他调用!$X$5:$X$404,0),0)</f>
        <v>20576.044475147693</v>
      </c>
      <c r="X87" s="12">
        <f>MIN(INDEX(其他调用!$AI$5:$AI$364,MATCH($K87,其他调用!$AG$5:$AG$364,0),1)/INDEX(其他调用!AK$5:AK$364,MATCH($K87,其他调用!$AG$5:$AG$364,0),0),1)*INDEX(其他调用!AB$5:AB$404,MATCH($K87,其他调用!$X$5:$X$404,0),0)</f>
        <v>8960.3838608731785</v>
      </c>
      <c r="Y87" s="12">
        <f>MIN(INDEX(其他调用!$AI$5:$AI$364,MATCH($K87,其他调用!$AG$5:$AG$364,0),1)/INDEX(其他调用!AL$5:AL$364,MATCH($K87,其他调用!$AG$5:$AG$364,0),0),1)*INDEX(其他调用!AC$5:AC$404,MATCH($K87,其他调用!$X$5:$X$404,0),0)</f>
        <v>2700.9467844837436</v>
      </c>
      <c r="Z87" s="12">
        <f>求节点(节奏总纲!D$4:D$163,标准城池设计!AD$4:AD$163,$K87)*求节点(节奏总纲!D$4:D$163,攻城基础信息!$AE$5:$AE$164,$K87)</f>
        <v>470811.72629018489</v>
      </c>
      <c r="AA87" s="12">
        <f>INDEX(其他调用!$AA$5:$AA$404,MATCH($K87,其他调用!$X$5:$X$404,0))*MIN(INDEX(其他调用!AJ$5:AJ$364,MATCH($K87,其他调用!$AG$5:$AG$364,0),1)/INDEX(其他调用!$AJ$5:$AJ$364,MATCH($K87,其他调用!$AG$5:$AG$364,0),0),5)*求节点(节奏总纲!D$4:D$163,攻城基础信息!$AE$5:$AE$164,$K87)</f>
        <v>111381.36425528975</v>
      </c>
      <c r="AB87" s="12">
        <f>MIN(INDEX(其他调用!$AJ$5:$AJ$364,MATCH($K87,其他调用!$AG$5:$AG$364,0),1)/INDEX(其他调用!AH$5:AH$364,MATCH($K87,其他调用!$AG$5:$AG$364,0),0),1)*INDEX(其他调用!Y$5:Y$404,MATCH($K87,其他调用!$X$5:$X$404,0),0)</f>
        <v>35006.067500217723</v>
      </c>
      <c r="AC87" s="12">
        <f>MIN(INDEX(其他调用!$AJ$5:$AJ$364,MATCH($K87,其他调用!$AG$5:$AG$364,0),1)/INDEX(其他调用!AI$5:AI$364,MATCH($K87,其他调用!$AG$5:$AG$364,0),0),1)*INDEX(其他调用!Z$5:Z$404,MATCH($K87,其他调用!$X$5:$X$404,0),0)</f>
        <v>36144.67915070727</v>
      </c>
      <c r="AD87" s="12">
        <f>MIN(INDEX(其他调用!$AJ$5:$AJ$364,MATCH($K87,其他调用!$AG$5:$AG$364,0),1)/INDEX(其他调用!AJ$5:AJ$364,MATCH($K87,其他调用!$AG$5:$AG$364,0),0),1)*INDEX(其他调用!AA$5:AA$404,MATCH($K87,其他调用!$X$5:$X$404,0),0)</f>
        <v>37652.641073042549</v>
      </c>
      <c r="AE87" s="12">
        <f>MIN(INDEX(其他调用!$AJ$5:$AJ$364,MATCH($K87,其他调用!$AG$5:$AG$364,0),1)/INDEX(其他调用!AK$5:AK$364,MATCH($K87,其他调用!$AG$5:$AG$364,0),0),1)*INDEX(其他调用!AB$5:AB$404,MATCH($K87,其他调用!$X$5:$X$404,0),0)</f>
        <v>16396.840403297163</v>
      </c>
      <c r="AF87" s="12">
        <f>MIN(INDEX(其他调用!$AJ$5:$AJ$364,MATCH($K87,其他调用!$AG$5:$AG$364,0),1)/INDEX(其他调用!AL$5:AL$364,MATCH($K87,其他调用!$AG$5:$AG$364,0),0),1)*INDEX(其他调用!AC$5:AC$404,MATCH($K87,其他调用!$X$5:$X$404,0),0)</f>
        <v>4942.5330488757527</v>
      </c>
      <c r="AG87" s="12">
        <f>求节点(节奏总纲!D$4:D$163,标准城池设计!AE$4:AE$163,$K87)*求节点(节奏总纲!D$4:D$163,攻城基础信息!$AF$5:$AF$164,$K87)</f>
        <v>535728.97426247585</v>
      </c>
      <c r="AH87" s="12">
        <f>INDEX(其他调用!$AA$5:$AA$404,MATCH($K87,其他调用!$X$5:$X$404,0))*MIN(INDEX(其他调用!AK$5:AK$364,MATCH($K87,其他调用!$AG$5:$AG$364,0),1)/INDEX(其他调用!$AJ$5:$AJ$364,MATCH($K87,其他调用!$AG$5:$AG$364,0),0),5)*求节点(节奏总纲!D$4:D$163,攻城基础信息!$AF$5:$AF$164,$K87)</f>
        <v>270586.02464734972</v>
      </c>
      <c r="AI87" s="12">
        <f>MIN(INDEX(其他调用!$AK$5:$AK$364,MATCH($K87,其他调用!$AG$5:$AG$364,0),1)/INDEX(其他调用!AH$5:AH$364,MATCH($K87,其他调用!$AG$5:$AG$364,0),0),1)*INDEX(其他调用!Y$5:Y$404,MATCH($K87,其他调用!$X$5:$X$404,0),0)</f>
        <v>35006.067500217723</v>
      </c>
      <c r="AJ87" s="12">
        <f>MIN(INDEX(其他调用!$AK$5:$AK$364,MATCH($K87,其他调用!$AG$5:$AG$364,0),1)/INDEX(其他调用!AI$5:AI$364,MATCH($K87,其他调用!$AG$5:$AG$364,0),0),1)*INDEX(其他调用!Z$5:Z$404,MATCH($K87,其他调用!$X$5:$X$404,0),0)</f>
        <v>36144.67915070727</v>
      </c>
      <c r="AK87" s="12">
        <f>MIN(INDEX(其他调用!$AK$5:$AK$364,MATCH($K87,其他调用!$AG$5:$AG$364,0),1)/INDEX(其他调用!AJ$5:AJ$364,MATCH($K87,其他调用!$AG$5:$AG$364,0),0),1)*INDEX(其他调用!AA$5:AA$404,MATCH($K87,其他调用!$X$5:$X$404,0),0)</f>
        <v>37652.641073042549</v>
      </c>
      <c r="AL87" s="12">
        <f>MIN(INDEX(其他调用!$AK$5:$AK$364,MATCH($K87,其他调用!$AG$5:$AG$364,0),1)/INDEX(其他调用!AK$5:AK$364,MATCH($K87,其他调用!$AG$5:$AG$364,0),0),1)*INDEX(其他调用!AB$5:AB$404,MATCH($K87,其他调用!$X$5:$X$404,0),0)</f>
        <v>39833.915585160503</v>
      </c>
      <c r="AM87" s="12">
        <f>MIN(INDEX(其他调用!$AK$5:$AK$364,MATCH($K87,其他调用!$AG$5:$AG$364,0),1)/INDEX(其他调用!AL$5:AL$364,MATCH($K87,其他调用!$AG$5:$AG$364,0),0),1)*INDEX(其他调用!AC$5:AC$404,MATCH($K87,其他调用!$X$5:$X$404,0),0)</f>
        <v>12007.218427654694</v>
      </c>
      <c r="AN87" s="12">
        <f>求节点(节奏总纲!D$4:D$163,标准城池设计!AF$4:AF$163,$K87)*求节点(节奏总纲!D$4:D$163,攻城基础信息!$AG$5:$AG$164,$K87)</f>
        <v>533414.64686466497</v>
      </c>
      <c r="AO87" s="12">
        <f>INDEX(其他调用!$AA$5:$AA$404,MATCH($K87,其他调用!$X$5:$X$404,0))*MIN(INDEX(其他调用!AL$5:AL$364,MATCH($K87,其他调用!$AG$5:$AG$364,0),1)/INDEX(其他调用!$AJ$5:$AJ$364,MATCH($K87,其他调用!$AG$5:$AG$364,0),0),5)*求节点(节奏总纲!D$4:D$163,攻城基础信息!$AG$5:$AG$164,$K87)</f>
        <v>556906.82127644878</v>
      </c>
      <c r="AP87" s="12">
        <f>MIN(INDEX(其他调用!$AL$5:$AL$364,MATCH($K87,其他调用!$AG$5:$AG$364,0),1)/INDEX(其他调用!AH$5:AH$364,MATCH($K87,其他调用!$AG$5:$AG$364,0),0),1)*INDEX(其他调用!Y$5:Y$404,MATCH($K87,其他调用!$X$5:$X$404,0),0)</f>
        <v>35006.067500217723</v>
      </c>
      <c r="AQ87" s="12">
        <f>MIN(INDEX(其他调用!$AL$5:$AL$364,MATCH($K87,其他调用!$AG$5:$AG$364,0),1)/INDEX(其他调用!AI$5:AI$364,MATCH($K87,其他调用!$AG$5:$AG$364,0),0),1)*INDEX(其他调用!Z$5:Z$404,MATCH($K87,其他调用!$X$5:$X$404,0),0)</f>
        <v>36144.67915070727</v>
      </c>
      <c r="AR87" s="12">
        <f>MIN(INDEX(其他调用!$AL$5:$AL$364,MATCH($K87,其他调用!$AG$5:$AG$364,0),1)/INDEX(其他调用!AJ$5:AJ$364,MATCH($K87,其他调用!$AG$5:$AG$364,0),0),1)*INDEX(其他调用!AA$5:AA$404,MATCH($K87,其他调用!$X$5:$X$404,0),0)</f>
        <v>37652.641073042549</v>
      </c>
      <c r="AS87" s="12">
        <f>MIN(INDEX(其他调用!$AL$5:$AL$364,MATCH($K87,其他调用!$AG$5:$AG$364,0),1)/INDEX(其他调用!AK$5:AK$364,MATCH($K87,其他调用!$AG$5:$AG$364,0),0),1)*INDEX(其他调用!AB$5:AB$404,MATCH($K87,其他调用!$X$5:$X$404,0),0)</f>
        <v>39833.915585160503</v>
      </c>
      <c r="AT87" s="12">
        <f>MIN(INDEX(其他调用!$AL$5:$AL$364,MATCH($K87,其他调用!$AG$5:$AG$364,0),1)/INDEX(其他调用!AL$5:AL$364,MATCH($K87,其他调用!$AG$5:$AG$364,0),0),1)*INDEX(其他调用!AC$5:AC$404,MATCH($K87,其他调用!$X$5:$X$404,0),0)</f>
        <v>43674.111554617208</v>
      </c>
      <c r="AV87" s="14">
        <f>IF(OR(AV$5="大R",AV$5="超R"),MAX(INDEX(其他调用!$H$5:$L$404,MATCH($K87,其他调用!$B$5:$B$404,0),MATCH(AV$5,其他调用!$H$4:$L$4,0))*120*0.85,2),INDEX(其他调用!$H$5:$L$404,MATCH($K87,其他调用!$B$5:$B$404,0),MATCH(AV$5,其他调用!$H$4:$L$4,0))*120*0.85)</f>
        <v>49.608423027000001</v>
      </c>
      <c r="AW87" s="14">
        <f>IF(OR(AW$5="大R",AW$5="超R"),MAX(INDEX(其他调用!$H$5:$L$404,MATCH($K87,其他调用!$B$5:$B$404,0),MATCH(AW$5,其他调用!$H$4:$L$4,0))*120*0.85,2),INDEX(其他调用!$H$5:$L$404,MATCH($K87,其他调用!$B$5:$B$404,0),MATCH(AW$5,其他调用!$H$4:$L$4,0))*120*0.85)</f>
        <v>47.586323378084153</v>
      </c>
      <c r="AX87" s="14">
        <f>IF(OR(AX$5="大R",AX$5="超R"),MAX(INDEX(其他调用!$H$5:$L$404,MATCH($K87,其他调用!$B$5:$B$404,0),MATCH(AX$5,其他调用!$H$4:$L$4,0))*120*0.85,2),INDEX(其他调用!$H$5:$L$404,MATCH($K87,其他调用!$B$5:$B$404,0),MATCH(AX$5,其他调用!$H$4:$L$4,0))*120*0.85)</f>
        <v>3.9221106669158399</v>
      </c>
      <c r="AY87" s="14">
        <f>IF(OR(AY$5="大R",AY$5="超R"),MAX(INDEX(其他调用!$H$5:$L$404,MATCH($K87,其他调用!$B$5:$B$404,0),MATCH(AY$5,其他调用!$H$4:$L$4,0))*120*0.85,2),INDEX(其他调用!$H$5:$L$404,MATCH($K87,其他调用!$B$5:$B$404,0),MATCH(AY$5,其他调用!$H$4:$L$4,0))*120*0.85)</f>
        <v>2</v>
      </c>
      <c r="AZ87" s="14">
        <f>IF(OR(AZ$5="大R",AZ$5="超R"),MAX(INDEX(其他调用!$H$5:$L$404,MATCH($K87,其他调用!$B$5:$B$404,0),MATCH(AZ$5,其他调用!$H$4:$L$4,0))*120*0.85,2),INDEX(其他调用!$H$5:$L$404,MATCH($K87,其他调用!$B$5:$B$404,0),MATCH(AZ$5,其他调用!$H$4:$L$4,0))*120*0.85)</f>
        <v>2</v>
      </c>
      <c r="BA87" s="14">
        <f>INDEX(其他调用!$H$5:$L$404,MATCH($K87,其他调用!$B$5:$B$404,0),MATCH(BA$5,其他调用!$H$4:$L$4,0))*INDEX(其他调用!$M$5:$M$404,MATCH($K87,其他调用!$B$5:$B$404,0))*0.6</f>
        <v>29.181425309999998</v>
      </c>
      <c r="BB87" s="14">
        <f>INDEX(其他调用!$H$5:$L$404,MATCH($K87,其他调用!$B$5:$B$404,0),MATCH(BB$5,其他调用!$H$4:$L$4,0))*INDEX(其他调用!$M$5:$M$404,MATCH($K87,其他调用!$B$5:$B$404,0))*0.6</f>
        <v>27.991954928284795</v>
      </c>
      <c r="BC87" s="14">
        <f>INDEX(其他调用!$H$5:$L$404,MATCH($K87,其他调用!$B$5:$B$404,0),MATCH(BC$5,其他调用!$H$4:$L$4,0))*INDEX(其他调用!$M$5:$M$404,MATCH($K87,其他调用!$B$5:$B$404,0))*0.6</f>
        <v>2.3071239217152</v>
      </c>
      <c r="BD87" s="14">
        <f>INDEX(其他调用!$H$5:$L$404,MATCH($K87,其他调用!$B$5:$B$404,0),MATCH(BD$5,其他调用!$H$4:$L$4,0))*INDEX(其他调用!$M$5:$M$404,MATCH($K87,其他调用!$B$5:$B$404,0))*0.6</f>
        <v>0.40441104000000005</v>
      </c>
      <c r="BE87" s="14">
        <f>INDEX(其他调用!$H$5:$L$404,MATCH($K87,其他调用!$B$5:$B$404,0),MATCH(BE$5,其他调用!$H$4:$L$4,0))*INDEX(其他调用!$M$5:$M$404,MATCH($K87,其他调用!$B$5:$B$404,0))*0.6</f>
        <v>0.11508479999999999</v>
      </c>
      <c r="BF87" s="14">
        <f>IF(OR(BF$5="大R",BF$5="超R"),0,INDEX(其他调用!$H$5:$L$404,MATCH($K87,其他调用!$B$5:$B$404,0),MATCH(BF$5,其他调用!$H$4:$L$4,0))*50*0.4)</f>
        <v>9.7271417700000011</v>
      </c>
      <c r="BG87" s="14">
        <f>IF(OR(BG$5="大R",BG$5="超R"),0,INDEX(其他调用!$H$5:$L$404,MATCH($K87,其他调用!$B$5:$B$404,0),MATCH(BG$5,其他调用!$H$4:$L$4,0))*50*0.4)</f>
        <v>9.3306516427616</v>
      </c>
      <c r="BH87" s="14">
        <f>IF(OR(BH$5="大R",BH$5="超R"),0,INDEX(其他调用!$H$5:$L$404,MATCH($K87,其他调用!$B$5:$B$404,0),MATCH(BH$5,其他调用!$H$4:$L$4,0))*50*0.4)</f>
        <v>0.76904130723840014</v>
      </c>
      <c r="BI87" s="14">
        <f>IF(OR(BI$5="大R",BI$5="超R"),0,INDEX(其他调用!$H$5:$L$404,MATCH($K87,其他调用!$B$5:$B$404,0),MATCH(BI$5,其他调用!$H$4:$L$4,0))*50*0.4)</f>
        <v>0</v>
      </c>
      <c r="BJ87" s="14">
        <f>IF(OR(BJ$5="大R",BJ$5="超R"),0,INDEX(其他调用!$H$5:$L$404,MATCH($K87,其他调用!$B$5:$B$404,0),MATCH(BJ$5,其他调用!$H$4:$L$4,0))*50*0.4)</f>
        <v>0</v>
      </c>
      <c r="BL87" s="14">
        <f t="shared" si="208"/>
        <v>82</v>
      </c>
      <c r="BM87" s="14">
        <f t="shared" si="115"/>
        <v>96</v>
      </c>
      <c r="BN87" s="14">
        <f>('疲劳值&amp;地图信息'!$S$10*'疲劳值&amp;地图信息'!$R$10+'疲劳值&amp;地图信息'!$S$11*'疲劳值&amp;地图信息'!$R$11+'疲劳值&amp;地图信息'!$S$12*'疲劳值&amp;地图信息'!$R$12+(BM87-'疲劳值&amp;地图信息'!$S$12-'疲劳值&amp;地图信息'!$S$11-'疲劳值&amp;地图信息'!$S$10)*'疲劳值&amp;地图信息'!$R$13)/BM87</f>
        <v>51.371477246638619</v>
      </c>
      <c r="BO87" s="14">
        <f>INDEX(其他调用!$M$5:$M$404,MATCH(BL87,其他调用!$B$5:$B$404,0))*0.6</f>
        <v>60</v>
      </c>
      <c r="BP87" s="14">
        <f>IF(BO87&gt;SUM('疲劳值&amp;地图信息'!$S$10:$S$12),('疲劳值&amp;地图信息'!$S$10*'疲劳值&amp;地图信息'!$R$10+'疲劳值&amp;地图信息'!$S$11*'疲劳值&amp;地图信息'!$R$11+'疲劳值&amp;地图信息'!$S$12*'疲劳值&amp;地图信息'!$R$12+(BO87-'疲劳值&amp;地图信息'!$S$12-'疲劳值&amp;地图信息'!$S$11-'疲劳值&amp;地图信息'!$S$10)*'疲劳值&amp;地图信息'!$R$13)/BO87,('疲劳值&amp;地图信息'!$S$10*'疲劳值&amp;地图信息'!$R$10+'疲劳值&amp;地图信息'!$S$11*'疲劳值&amp;地图信息'!$R$11+'疲劳值&amp;地图信息'!$S$12*'疲劳值&amp;地图信息'!$R$12+(BO87-'疲劳值&amp;地图信息'!$S$12-'疲劳值&amp;地图信息'!$S$11-'疲劳值&amp;地图信息'!$S$10)*'疲劳值&amp;地图信息'!$R$13)/BO87)</f>
        <v>44.158136341605953</v>
      </c>
      <c r="BQ87" s="14">
        <f t="shared" si="209"/>
        <v>20</v>
      </c>
      <c r="BR87" s="14">
        <f>('疲劳值&amp;地图信息'!$S$10*'疲劳值&amp;地图信息'!$R$10+($BQ87-'疲劳值&amp;地图信息'!$S$10)*'疲劳值&amp;地图信息'!$R$11)/$BQ87</f>
        <v>32.067203015074995</v>
      </c>
      <c r="CF87" s="14">
        <v>82</v>
      </c>
      <c r="CG87" s="51">
        <f t="shared" si="116"/>
        <v>8534</v>
      </c>
      <c r="CH87" s="51">
        <f t="shared" si="117"/>
        <v>810</v>
      </c>
      <c r="CI87" s="51">
        <f>INT(SUMPRODUCT($N87:$R87,$BA87:$BE87)/SUM($BA87:$BE87)/10000*$BX$7*$BZ$34/'疲劳值&amp;地图信息'!$R$10*$BY$53)</f>
        <v>2902</v>
      </c>
      <c r="CJ87" s="50">
        <f t="shared" si="118"/>
        <v>0.69688061407806634</v>
      </c>
      <c r="CK87" s="50">
        <f t="shared" si="119"/>
        <v>6.6144047035766776E-2</v>
      </c>
      <c r="CL87" s="50">
        <f t="shared" si="120"/>
        <v>0.23697533888616693</v>
      </c>
      <c r="CM87" s="14">
        <f t="shared" si="121"/>
        <v>9022</v>
      </c>
      <c r="CN87" s="14">
        <f t="shared" si="122"/>
        <v>1240</v>
      </c>
      <c r="CO87" s="14">
        <f>INT(SUMPRODUCT($U87:$Y87,$BA87:$BE87)/SUM($BA87:$BE87)/10000*$BX$7*$BZ$34/'疲劳值&amp;地图信息'!$R$10*$BY$54)</f>
        <v>5288</v>
      </c>
      <c r="CP87" s="50">
        <f t="shared" si="123"/>
        <v>0.58019292604501604</v>
      </c>
      <c r="CQ87" s="50">
        <f t="shared" si="124"/>
        <v>7.9742765273311894E-2</v>
      </c>
      <c r="CR87" s="50">
        <f t="shared" si="125"/>
        <v>0.34006430868167203</v>
      </c>
      <c r="CS87" s="14">
        <f t="shared" si="126"/>
        <v>9595</v>
      </c>
      <c r="CT87" s="14">
        <f t="shared" si="127"/>
        <v>2270</v>
      </c>
      <c r="CU87" s="14">
        <f>INT(SUMPRODUCT($AB87:$AF87,$BA87:$BE87)/SUM($BA87:$BE87)/10000*$BX$7*$BZ$34/'疲劳值&amp;地图信息'!$R$10*$BY$55)</f>
        <v>7195</v>
      </c>
      <c r="CV87" s="50">
        <f t="shared" si="128"/>
        <v>0.5034102833158447</v>
      </c>
      <c r="CW87" s="50">
        <f t="shared" si="129"/>
        <v>0.11909758656873033</v>
      </c>
      <c r="CX87" s="50">
        <f t="shared" si="130"/>
        <v>0.37749213011542498</v>
      </c>
      <c r="CY87" s="14">
        <f t="shared" si="131"/>
        <v>10918</v>
      </c>
      <c r="CZ87" s="14">
        <f t="shared" si="132"/>
        <v>5514</v>
      </c>
      <c r="DA87" s="14">
        <f>INT(SUMPRODUCT($AI87:$AM87,$BA87:$BE87)/SUM($BA87:$BE87)/10000*$BX$7*$BZ$34/'疲劳值&amp;地图信息'!$R$10*$BY$56)</f>
        <v>10845</v>
      </c>
      <c r="DB87" s="50">
        <f t="shared" si="133"/>
        <v>0.40026395864647873</v>
      </c>
      <c r="DC87" s="50">
        <f t="shared" si="134"/>
        <v>0.20214833009495178</v>
      </c>
      <c r="DD87" s="50">
        <f t="shared" si="135"/>
        <v>0.39758771125856951</v>
      </c>
      <c r="DE87" s="14">
        <f t="shared" si="136"/>
        <v>10871</v>
      </c>
      <c r="DF87" s="14">
        <f t="shared" si="137"/>
        <v>11350</v>
      </c>
      <c r="DG87" s="14">
        <f>INT(SUMPRODUCT($AP87:$AT87,$BA87:$BE87)/SUM($BA87:$BE87)/10000*$BX$7*$BZ$34/'疲劳值&amp;地图信息'!$R$10*$BY$57)</f>
        <v>14484</v>
      </c>
      <c r="DH87" s="50">
        <f t="shared" si="138"/>
        <v>0.29617218362620895</v>
      </c>
      <c r="DI87" s="50">
        <f t="shared" si="139"/>
        <v>0.3092221768151478</v>
      </c>
      <c r="DJ87" s="50">
        <f t="shared" si="140"/>
        <v>0.39460563955864325</v>
      </c>
      <c r="DL87" s="14">
        <f t="shared" si="211"/>
        <v>12246</v>
      </c>
      <c r="DM87" s="14">
        <f t="shared" si="212"/>
        <v>15550</v>
      </c>
      <c r="DN87" s="14">
        <f t="shared" si="213"/>
        <v>19060</v>
      </c>
      <c r="DO87" s="14">
        <f t="shared" si="214"/>
        <v>27277</v>
      </c>
      <c r="DP87" s="14">
        <f t="shared" si="215"/>
        <v>36705</v>
      </c>
      <c r="DQ87" s="14">
        <f t="shared" si="216"/>
        <v>851859</v>
      </c>
      <c r="DT87" s="14">
        <f t="shared" si="210"/>
        <v>235575</v>
      </c>
      <c r="DU87" s="50">
        <f t="shared" si="112"/>
        <v>0.21663383708804396</v>
      </c>
      <c r="DW87" s="14">
        <f t="shared" si="141"/>
        <v>1087434</v>
      </c>
      <c r="EB87" s="14">
        <v>82</v>
      </c>
      <c r="EC87" s="51">
        <f t="shared" si="142"/>
        <v>14224</v>
      </c>
      <c r="ED87" s="51">
        <f t="shared" si="143"/>
        <v>1350</v>
      </c>
      <c r="EE87" s="51">
        <f>INT(SUMPRODUCT($N87:$R87,$BF87:$BJ87)/SUM($BF87:$BJ87)/10000*$BX$7*$BZ$46/'疲劳值&amp;地图信息'!$R$10*$BY$53)</f>
        <v>389</v>
      </c>
      <c r="EF87" s="50">
        <f t="shared" si="144"/>
        <v>0.89106057758566681</v>
      </c>
      <c r="EG87" s="50">
        <f t="shared" si="145"/>
        <v>8.4570569441834248E-2</v>
      </c>
      <c r="EH87" s="50">
        <f t="shared" si="146"/>
        <v>2.4368852972498904E-2</v>
      </c>
      <c r="EI87" s="51">
        <f t="shared" si="147"/>
        <v>15037</v>
      </c>
      <c r="EJ87" s="51">
        <f t="shared" si="148"/>
        <v>2067</v>
      </c>
      <c r="EK87" s="14">
        <f>INT(SUMPRODUCT($U87:$Y87,$BF87:$BJ87)/SUM($BF87:$BJ87)/10000*$BX$7*$BZ$46/'疲劳值&amp;地图信息'!$R$10*$BY$54)</f>
        <v>709</v>
      </c>
      <c r="EL87" s="50">
        <f t="shared" si="149"/>
        <v>0.84415876045584681</v>
      </c>
      <c r="EM87" s="50">
        <f t="shared" si="150"/>
        <v>0.11603884803233594</v>
      </c>
      <c r="EN87" s="50">
        <f t="shared" si="151"/>
        <v>3.9802391511817213E-2</v>
      </c>
      <c r="EO87" s="51">
        <f t="shared" si="152"/>
        <v>15992</v>
      </c>
      <c r="EP87" s="51">
        <f t="shared" si="153"/>
        <v>3783</v>
      </c>
      <c r="EQ87" s="14">
        <f>INT(SUMPRODUCT($AB87:$AF87,$BF87:$BJ87)/SUM($BF87:$BJ87)/10000*$BX$7*$BZ$46/'疲劳值&amp;地图信息'!$R$10*$BY$55)</f>
        <v>964</v>
      </c>
      <c r="ER87" s="50">
        <f t="shared" si="154"/>
        <v>0.77110757510005301</v>
      </c>
      <c r="ES87" s="50">
        <f t="shared" si="155"/>
        <v>0.18240995226385071</v>
      </c>
      <c r="ET87" s="50">
        <f t="shared" si="156"/>
        <v>4.6482472636096242E-2</v>
      </c>
      <c r="EU87" s="51">
        <f t="shared" si="157"/>
        <v>18198</v>
      </c>
      <c r="EV87" s="51">
        <f t="shared" si="158"/>
        <v>9191</v>
      </c>
      <c r="EW87" s="14">
        <f>INT(SUMPRODUCT($AI87:$AM87,$BF87:$BJ87)/SUM($BF87:$BJ87)/10000*$BX$7*$BZ$46/'疲劳值&amp;地图信息'!$R$10*$BY$56)</f>
        <v>1446</v>
      </c>
      <c r="EX87" s="50">
        <f t="shared" si="159"/>
        <v>0.63110802843766256</v>
      </c>
      <c r="EY87" s="50">
        <f t="shared" si="160"/>
        <v>0.31874458123807875</v>
      </c>
      <c r="EZ87" s="50">
        <f t="shared" si="161"/>
        <v>5.014739032425871E-2</v>
      </c>
      <c r="FA87" s="51">
        <f t="shared" si="162"/>
        <v>18119</v>
      </c>
      <c r="FB87" s="51">
        <f t="shared" si="163"/>
        <v>18917</v>
      </c>
      <c r="FC87" s="14">
        <f>INT(SUMPRODUCT($AP87:$AT87,$BF87:$BJ87)/SUM($BF87:$BJ87)/10000*$BX$7*$BZ$46/'疲劳值&amp;地图信息'!$R$10*$BY$57)</f>
        <v>1928</v>
      </c>
      <c r="FD87" s="50">
        <f t="shared" si="164"/>
        <v>0.46501899188994972</v>
      </c>
      <c r="FE87" s="50">
        <f t="shared" si="165"/>
        <v>0.48549943537624474</v>
      </c>
      <c r="FF87" s="50">
        <f t="shared" si="166"/>
        <v>4.9481572733805566E-2</v>
      </c>
      <c r="FH87" s="14">
        <f t="shared" si="167"/>
        <v>15963</v>
      </c>
      <c r="FI87" s="14">
        <f t="shared" si="168"/>
        <v>17813</v>
      </c>
      <c r="FJ87" s="14">
        <f t="shared" si="169"/>
        <v>20739</v>
      </c>
      <c r="FK87" s="14">
        <f t="shared" si="170"/>
        <v>28835</v>
      </c>
      <c r="FL87" s="14">
        <f t="shared" si="171"/>
        <v>38964</v>
      </c>
      <c r="FM87" s="14">
        <f t="shared" si="172"/>
        <v>1856493</v>
      </c>
      <c r="FP87" s="14">
        <f t="shared" si="173"/>
        <v>334150</v>
      </c>
      <c r="FQ87" s="50">
        <f t="shared" si="113"/>
        <v>0.15253512324920127</v>
      </c>
      <c r="FS87" s="14">
        <f t="shared" si="174"/>
        <v>2190643</v>
      </c>
      <c r="FX87" s="14">
        <v>82</v>
      </c>
      <c r="FY87" s="51">
        <f t="shared" si="175"/>
        <v>19913</v>
      </c>
      <c r="FZ87" s="51">
        <f t="shared" si="176"/>
        <v>1350</v>
      </c>
      <c r="GA87" s="51">
        <f>INT(SUMPRODUCT($N87:$R87,$BF87:$BJ87)/SUM($BF87:$BJ87)/10000*$BX$7*$BZ$46/'疲劳值&amp;地图信息'!$R$10*$BY$53)</f>
        <v>389</v>
      </c>
      <c r="GB87" s="50">
        <f t="shared" si="177"/>
        <v>0.91968409384814331</v>
      </c>
      <c r="GC87" s="50">
        <f t="shared" si="178"/>
        <v>6.2349898392758174E-2</v>
      </c>
      <c r="GD87" s="50">
        <f t="shared" si="179"/>
        <v>1.7966007759098467E-2</v>
      </c>
      <c r="GE87" s="51">
        <f t="shared" si="180"/>
        <v>21052</v>
      </c>
      <c r="GF87" s="51">
        <f t="shared" si="181"/>
        <v>2067</v>
      </c>
      <c r="GG87" s="14">
        <f>INT(SUMPRODUCT($U87:$Y87,$BF87:$BJ87)/SUM($BF87:$BJ87)/10000*$BX$7*$BZ$46/'疲劳值&amp;地图信息'!$R$10*$BY$54)</f>
        <v>709</v>
      </c>
      <c r="GH87" s="50">
        <f t="shared" si="182"/>
        <v>0.88349840523753564</v>
      </c>
      <c r="GI87" s="50">
        <f t="shared" si="183"/>
        <v>8.6746684572771529E-2</v>
      </c>
      <c r="GJ87" s="50">
        <f t="shared" si="184"/>
        <v>2.9754910189692799E-2</v>
      </c>
      <c r="GK87" s="51">
        <f t="shared" si="185"/>
        <v>22390</v>
      </c>
      <c r="GL87" s="51">
        <f t="shared" si="186"/>
        <v>3783</v>
      </c>
      <c r="GM87" s="14">
        <f>INT(SUMPRODUCT($AB87:$AF87,$BF87:$BJ87)/SUM($BF87:$BJ87)/10000*$BX$7*$BZ$46/'疲劳值&amp;地图信息'!$R$10*$BY$55)</f>
        <v>964</v>
      </c>
      <c r="GN87" s="50">
        <f t="shared" si="187"/>
        <v>0.82507277886280728</v>
      </c>
      <c r="GO87" s="50">
        <f t="shared" si="188"/>
        <v>0.1394037660758374</v>
      </c>
      <c r="GP87" s="50">
        <f t="shared" si="189"/>
        <v>3.5523455061355347E-2</v>
      </c>
      <c r="GQ87" s="51">
        <f t="shared" si="190"/>
        <v>25477</v>
      </c>
      <c r="GR87" s="51">
        <f t="shared" si="191"/>
        <v>9191</v>
      </c>
      <c r="GS87" s="14">
        <f>INT(SUMPRODUCT($AI87:$AM87,$BF87:$BJ87)/SUM($BF87:$BJ87)/10000*$BX$7*$BZ$46/'疲劳值&amp;地图信息'!$R$10*$BY$56)</f>
        <v>1446</v>
      </c>
      <c r="GT87" s="50">
        <f t="shared" si="192"/>
        <v>0.70546048623802404</v>
      </c>
      <c r="GU87" s="50">
        <f t="shared" si="193"/>
        <v>0.25449964002879771</v>
      </c>
      <c r="GV87" s="50">
        <f t="shared" si="194"/>
        <v>4.0039873733178272E-2</v>
      </c>
      <c r="GW87" s="51">
        <f t="shared" si="195"/>
        <v>25367</v>
      </c>
      <c r="GX87" s="51">
        <f t="shared" si="196"/>
        <v>18917</v>
      </c>
      <c r="GY87" s="14">
        <f>INT(SUMPRODUCT($AP87:$AT87,$BF87:$BJ87)/SUM($BF87:$BJ87)/10000*$BX$7*$BZ$46/'疲劳值&amp;地图信息'!$R$10*$BY$57)</f>
        <v>1928</v>
      </c>
      <c r="GZ87" s="50">
        <f t="shared" si="197"/>
        <v>0.54892668570933956</v>
      </c>
      <c r="HA87" s="50">
        <f t="shared" si="198"/>
        <v>0.40935254912144031</v>
      </c>
      <c r="HB87" s="50">
        <f t="shared" si="199"/>
        <v>4.1720765169220117E-2</v>
      </c>
      <c r="HD87" s="14">
        <f t="shared" si="200"/>
        <v>21652</v>
      </c>
      <c r="HE87" s="14">
        <f t="shared" si="201"/>
        <v>23828</v>
      </c>
      <c r="HF87" s="14">
        <f t="shared" si="202"/>
        <v>27137</v>
      </c>
      <c r="HG87" s="14">
        <f t="shared" si="203"/>
        <v>36114</v>
      </c>
      <c r="HH87" s="14">
        <f t="shared" si="204"/>
        <v>46212</v>
      </c>
      <c r="HI87" s="14">
        <f t="shared" si="205"/>
        <v>2479094</v>
      </c>
      <c r="HL87" s="14">
        <f t="shared" si="206"/>
        <v>430050</v>
      </c>
      <c r="HM87" s="50">
        <f t="shared" si="114"/>
        <v>0.14782698965743876</v>
      </c>
      <c r="HO87" s="14">
        <f t="shared" si="207"/>
        <v>2909144</v>
      </c>
    </row>
    <row r="88" spans="11:223" x14ac:dyDescent="0.2">
      <c r="K88" s="14">
        <v>83</v>
      </c>
      <c r="L88" s="12">
        <f>求节点(节奏总纲!D$4:D$163,标准城池设计!AB$4:AB$163,$K88)*求节点(节奏总纲!D$4:D$163,攻城基础信息!$AC$5:$AC$164,$K88)</f>
        <v>421598.84653153858</v>
      </c>
      <c r="M88" s="12">
        <f>INDEX(其他调用!$AA$5:$AA$404,MATCH(K88,其他调用!$X$5:$X$404,0))*MIN(INDEX(其他调用!$AH$5:$AH$364,MATCH('征服点（新）'!K88,其他调用!$AG$5:$AG$364,0),1)/INDEX(其他调用!$AJ$5:$AJ$364,MATCH(K88,其他调用!$AG$5:$AG$364,0),0),5)*求节点(节奏总纲!D$4:D$163,攻城基础信息!$AC$5:$AC$164,$K88)</f>
        <v>39827.147698928369</v>
      </c>
      <c r="N88" s="12">
        <f>MIN(INDEX(其他调用!$AH$5:$AH$364,MATCH($K88,其他调用!$AG$5:$AG$364,0),1)/INDEX(其他调用!AH$5:AH$364,MATCH($K88,其他调用!$AG$5:$AG$364,0),0),1)*INDEX(其他调用!Y$5:Y$404,MATCH($K88,其他调用!$X$5:$X$404,0),0)</f>
        <v>35077.78910656488</v>
      </c>
      <c r="O88" s="12">
        <f>MIN(INDEX(其他调用!$AH$5:$AH$364,MATCH($K88,其他调用!$AG$5:$AG$364,0),1)/INDEX(其他调用!AI$5:AI$364,MATCH($K88,其他调用!$AG$5:$AG$364,0),0),1)*INDEX(其他调用!Z$5:Z$404,MATCH($K88,其他调用!$X$5:$X$404,0),0)</f>
        <v>23642.308863065631</v>
      </c>
      <c r="P88" s="12">
        <f>MIN(INDEX(其他调用!$AH$5:$AH$364,MATCH($K88,其他调用!$AG$5:$AG$364,0),1)/INDEX(其他调用!AJ$5:AJ$364,MATCH($K88,其他调用!$AG$5:$AG$364,0),0),1)*INDEX(其他调用!AA$5:AA$404,MATCH($K88,其他调用!$X$5:$X$404,0),0)</f>
        <v>13436.854806543319</v>
      </c>
      <c r="Q88" s="12">
        <f>MIN(INDEX(其他调用!$AH$5:$AH$364,MATCH($K88,其他调用!$AG$5:$AG$364,0),1)/INDEX(其他调用!AK$5:AK$364,MATCH($K88,其他调用!$AG$5:$AG$364,0),0),1)*INDEX(其他调用!AB$5:AB$404,MATCH($K88,其他调用!$X$5:$X$404,0),0)</f>
        <v>5854.5432165552465</v>
      </c>
      <c r="R88" s="12">
        <f>MIN(INDEX(其他调用!$AH$5:$AH$364,MATCH($K88,其他调用!$AG$5:$AG$364,0),1)/INDEX(其他调用!AL$5:AL$364,MATCH($K88,其他调用!$AG$5:$AG$364,0),0),1)*INDEX(其他调用!AC$5:AC$404,MATCH($K88,其他调用!$X$5:$X$404,0),0)</f>
        <v>1759.8335782368297</v>
      </c>
      <c r="S88" s="12">
        <f>求节点(节奏总纲!D$4:D$163,标准城池设计!AC$4:AC$163,$K88)*求节点(节奏总纲!D$4:D$163,攻城基础信息!$AD$5:$AD$164,$K88)</f>
        <v>445961.33964553912</v>
      </c>
      <c r="T88" s="12">
        <f>INDEX(其他调用!$AA$5:$AA$404,MATCH($K88,其他调用!$X$5:$X$404,0))*MIN(INDEX(其他调用!AI$5:AI$364,MATCH($K88,其他调用!$AG$5:$AG$364,0),1)/INDEX(其他调用!$AJ$5:$AJ$364,MATCH($K88,其他调用!$AG$5:$AG$364,0),0),5)*求节点(节奏总纲!D$4:D$163,攻城基础信息!$AD$5:$AD$164,$K88)</f>
        <v>61006.989542396761</v>
      </c>
      <c r="U88" s="12">
        <f>MIN(INDEX(其他调用!$AI$5:$AI$364,MATCH($K88,其他调用!$AG$5:$AG$364,0),1)/INDEX(其他调用!AH$5:AH$364,MATCH($K88,其他调用!$AG$5:$AG$364,0),0),1)*INDEX(其他调用!Y$5:Y$404,MATCH($K88,其他调用!$X$5:$X$404,0),0)</f>
        <v>35077.78910656488</v>
      </c>
      <c r="V88" s="12">
        <f>MIN(INDEX(其他调用!$AI$5:$AI$364,MATCH($K88,其他调用!$AG$5:$AG$364,0),1)/INDEX(其他调用!AI$5:AI$364,MATCH($K88,其他调用!$AG$5:$AG$364,0),0),1)*INDEX(其他调用!Z$5:Z$404,MATCH($K88,其他调用!$X$5:$X$404,0),0)</f>
        <v>36215.149035289018</v>
      </c>
      <c r="W88" s="12">
        <f>MIN(INDEX(其他调用!$AI$5:$AI$364,MATCH($K88,其他调用!$AG$5:$AG$364,0),1)/INDEX(其他调用!AJ$5:AJ$364,MATCH($K88,其他调用!$AG$5:$AG$364,0),0),1)*INDEX(其他调用!AA$5:AA$404,MATCH($K88,其他调用!$X$5:$X$404,0),0)</f>
        <v>20582.494806364171</v>
      </c>
      <c r="X88" s="12">
        <f>MIN(INDEX(其他调用!$AI$5:$AI$364,MATCH($K88,其他调用!$AG$5:$AG$364,0),1)/INDEX(其他调用!AK$5:AK$364,MATCH($K88,其他调用!$AG$5:$AG$364,0),0),1)*INDEX(其他调用!AB$5:AB$404,MATCH($K88,其他调用!$X$5:$X$404,0),0)</f>
        <v>8967.9547098851399</v>
      </c>
      <c r="Y88" s="12">
        <f>MIN(INDEX(其他调用!$AI$5:$AI$364,MATCH($K88,其他调用!$AG$5:$AG$364,0),1)/INDEX(其他调用!AL$5:AL$364,MATCH($K88,其他调用!$AG$5:$AG$364,0),0),1)*INDEX(其他调用!AC$5:AC$404,MATCH($K88,其他调用!$X$5:$X$404,0),0)</f>
        <v>2695.7026778681852</v>
      </c>
      <c r="Z88" s="12">
        <f>求节点(节奏总纲!D$4:D$163,标准城池设计!AD$4:AD$163,$K88)*求节点(节奏总纲!D$4:D$163,攻城基础信息!$AE$5:$AE$164,$K88)</f>
        <v>474486.25891321362</v>
      </c>
      <c r="AA88" s="12">
        <f>INDEX(其他调用!$AA$5:$AA$404,MATCH($K88,其他调用!$X$5:$X$404,0))*MIN(INDEX(其他调用!AJ$5:AJ$364,MATCH($K88,其他调用!$AG$5:$AG$364,0),1)/INDEX(其他调用!$AJ$5:$AJ$364,MATCH($K88,其他调用!$AG$5:$AG$364,0),0),5)*求节点(节奏总纲!D$4:D$163,攻城基础信息!$AE$5:$AE$164,$K88)</f>
        <v>111812.57758797823</v>
      </c>
      <c r="AB88" s="12">
        <f>MIN(INDEX(其他调用!$AJ$5:$AJ$364,MATCH($K88,其他调用!$AG$5:$AG$364,0),1)/INDEX(其他调用!AH$5:AH$364,MATCH($K88,其他调用!$AG$5:$AG$364,0),0),1)*INDEX(其他调用!Y$5:Y$404,MATCH($K88,其他调用!$X$5:$X$404,0),0)</f>
        <v>35077.78910656488</v>
      </c>
      <c r="AC88" s="12">
        <f>MIN(INDEX(其他调用!$AJ$5:$AJ$364,MATCH($K88,其他调用!$AG$5:$AG$364,0),1)/INDEX(其他调用!AI$5:AI$364,MATCH($K88,其他调用!$AG$5:$AG$364,0),0),1)*INDEX(其他调用!Z$5:Z$404,MATCH($K88,其他调用!$X$5:$X$404,0),0)</f>
        <v>36215.149035289018</v>
      </c>
      <c r="AD88" s="12">
        <f>MIN(INDEX(其他调用!$AJ$5:$AJ$364,MATCH($K88,其他调用!$AG$5:$AG$364,0),1)/INDEX(其他调用!AJ$5:AJ$364,MATCH($K88,其他调用!$AG$5:$AG$364,0),0),1)*INDEX(其他调用!AA$5:AA$404,MATCH($K88,其他调用!$X$5:$X$404,0),0)</f>
        <v>37723.248020481478</v>
      </c>
      <c r="AE88" s="12">
        <f>MIN(INDEX(其他调用!$AJ$5:$AJ$364,MATCH($K88,其他调用!$AG$5:$AG$364,0),1)/INDEX(其他调用!AK$5:AK$364,MATCH($K88,其他调用!$AG$5:$AG$364,0),0),1)*INDEX(其他调用!AB$5:AB$404,MATCH($K88,其他调用!$X$5:$X$404,0),0)</f>
        <v>16436.315565246183</v>
      </c>
      <c r="AF88" s="12">
        <f>MIN(INDEX(其他调用!$AJ$5:$AJ$364,MATCH($K88,其他调用!$AG$5:$AG$364,0),1)/INDEX(其他调用!AL$5:AL$364,MATCH($K88,其他调用!$AG$5:$AG$364,0),0),1)*INDEX(其他调用!AC$5:AC$404,MATCH($K88,其他调用!$X$5:$X$404,0),0)</f>
        <v>4940.6382298833169</v>
      </c>
      <c r="AG88" s="12">
        <f>求节点(节奏总纲!D$4:D$163,标准城池设计!AE$4:AE$163,$K88)*求节点(节奏总纲!D$4:D$163,攻城基础信息!$AF$5:$AF$164,$K88)</f>
        <v>540047.50113807002</v>
      </c>
      <c r="AH88" s="12">
        <f>INDEX(其他调用!$AA$5:$AA$404,MATCH($K88,其他调用!$X$5:$X$404,0))*MIN(INDEX(其他调用!AK$5:AK$364,MATCH($K88,其他调用!$AG$5:$AG$364,0),1)/INDEX(其他调用!$AJ$5:$AJ$364,MATCH($K88,其他调用!$AG$5:$AG$364,0),0),5)*求节点(节奏总纲!D$4:D$163,攻城基础信息!$AF$5:$AF$164,$K88)</f>
        <v>271446.59743589361</v>
      </c>
      <c r="AI88" s="12">
        <f>MIN(INDEX(其他调用!$AK$5:$AK$364,MATCH($K88,其他调用!$AG$5:$AG$364,0),1)/INDEX(其他调用!AH$5:AH$364,MATCH($K88,其他调用!$AG$5:$AG$364,0),0),1)*INDEX(其他调用!Y$5:Y$404,MATCH($K88,其他调用!$X$5:$X$404,0),0)</f>
        <v>35077.78910656488</v>
      </c>
      <c r="AJ88" s="12">
        <f>MIN(INDEX(其他调用!$AK$5:$AK$364,MATCH($K88,其他调用!$AG$5:$AG$364,0),1)/INDEX(其他调用!AI$5:AI$364,MATCH($K88,其他调用!$AG$5:$AG$364,0),0),1)*INDEX(其他调用!Z$5:Z$404,MATCH($K88,其他调用!$X$5:$X$404,0),0)</f>
        <v>36215.149035289018</v>
      </c>
      <c r="AK88" s="12">
        <f>MIN(INDEX(其他调用!$AK$5:$AK$364,MATCH($K88,其他调用!$AG$5:$AG$364,0),1)/INDEX(其他调用!AJ$5:AJ$364,MATCH($K88,其他调用!$AG$5:$AG$364,0),0),1)*INDEX(其他调用!AA$5:AA$404,MATCH($K88,其他调用!$X$5:$X$404,0),0)</f>
        <v>37723.248020481478</v>
      </c>
      <c r="AL88" s="12">
        <f>MIN(INDEX(其他调用!$AK$5:$AK$364,MATCH($K88,其他调用!$AG$5:$AG$364,0),1)/INDEX(其他调用!AK$5:AK$364,MATCH($K88,其他调用!$AG$5:$AG$364,0),0),1)*INDEX(其他调用!AB$5:AB$404,MATCH($K88,其他调用!$X$5:$X$404,0),0)</f>
        <v>39902.32611405597</v>
      </c>
      <c r="AM88" s="12">
        <f>MIN(INDEX(其他调用!$AK$5:$AK$364,MATCH($K88,其他调用!$AG$5:$AG$364,0),1)/INDEX(其他调用!AL$5:AL$364,MATCH($K88,其他调用!$AG$5:$AG$364,0),0),1)*INDEX(其他调用!AC$5:AC$404,MATCH($K88,其他调用!$X$5:$X$404,0),0)</f>
        <v>11994.352206112777</v>
      </c>
      <c r="AN88" s="12">
        <f>求节点(节奏总纲!D$4:D$163,标准城池设计!AF$4:AF$163,$K88)*求节点(节奏总纲!D$4:D$163,攻城基础信息!$AG$5:$AG$164,$K88)</f>
        <v>536952.20560109324</v>
      </c>
      <c r="AO88" s="12">
        <f>INDEX(其他调用!$AA$5:$AA$404,MATCH($K88,其他调用!$X$5:$X$404,0))*MIN(INDEX(其他调用!AL$5:AL$364,MATCH($K88,其他调用!$AG$5:$AG$364,0),1)/INDEX(其他调用!$AJ$5:$AJ$364,MATCH($K88,其他调用!$AG$5:$AG$364,0),0),5)*求节点(节奏总纲!D$4:D$163,攻城基础信息!$AG$5:$AG$164,$K88)</f>
        <v>559062.8879398912</v>
      </c>
      <c r="AP88" s="12">
        <f>MIN(INDEX(其他调用!$AL$5:$AL$364,MATCH($K88,其他调用!$AG$5:$AG$364,0),1)/INDEX(其他调用!AH$5:AH$364,MATCH($K88,其他调用!$AG$5:$AG$364,0),0),1)*INDEX(其他调用!Y$5:Y$404,MATCH($K88,其他调用!$X$5:$X$404,0),0)</f>
        <v>35077.78910656488</v>
      </c>
      <c r="AQ88" s="12">
        <f>MIN(INDEX(其他调用!$AL$5:$AL$364,MATCH($K88,其他调用!$AG$5:$AG$364,0),1)/INDEX(其他调用!AI$5:AI$364,MATCH($K88,其他调用!$AG$5:$AG$364,0),0),1)*INDEX(其他调用!Z$5:Z$404,MATCH($K88,其他调用!$X$5:$X$404,0),0)</f>
        <v>36215.149035289018</v>
      </c>
      <c r="AR88" s="12">
        <f>MIN(INDEX(其他调用!$AL$5:$AL$364,MATCH($K88,其他调用!$AG$5:$AG$364,0),1)/INDEX(其他调用!AJ$5:AJ$364,MATCH($K88,其他调用!$AG$5:$AG$364,0),0),1)*INDEX(其他调用!AA$5:AA$404,MATCH($K88,其他调用!$X$5:$X$404,0),0)</f>
        <v>37723.248020481478</v>
      </c>
      <c r="AS88" s="12">
        <f>MIN(INDEX(其他调用!$AL$5:$AL$364,MATCH($K88,其他调用!$AG$5:$AG$364,0),1)/INDEX(其他调用!AK$5:AK$364,MATCH($K88,其他调用!$AG$5:$AG$364,0),0),1)*INDEX(其他调用!AB$5:AB$404,MATCH($K88,其他调用!$X$5:$X$404,0),0)</f>
        <v>39902.32611405597</v>
      </c>
      <c r="AT88" s="12">
        <f>MIN(INDEX(其他调用!$AL$5:$AL$364,MATCH($K88,其他调用!$AG$5:$AG$364,0),1)/INDEX(其他调用!AL$5:AL$364,MATCH($K88,其他调用!$AG$5:$AG$364,0),0),1)*INDEX(其他调用!AC$5:AC$404,MATCH($K88,其他调用!$X$5:$X$404,0),0)</f>
        <v>43746.331182179194</v>
      </c>
      <c r="AV88" s="14">
        <f>IF(OR(AV$5="大R",AV$5="超R"),MAX(INDEX(其他调用!$H$5:$L$404,MATCH($K88,其他调用!$B$5:$B$404,0),MATCH(AV$5,其他调用!$H$4:$L$4,0))*120*0.85,2),INDEX(其他调用!$H$5:$L$404,MATCH($K88,其他调用!$B$5:$B$404,0),MATCH(AV$5,其他调用!$H$4:$L$4,0))*120*0.85)</f>
        <v>49.522595305500005</v>
      </c>
      <c r="AW88" s="14">
        <f>IF(OR(AW$5="大R",AW$5="超R"),MAX(INDEX(其他调用!$H$5:$L$404,MATCH($K88,其他调用!$B$5:$B$404,0),MATCH(AW$5,其他调用!$H$4:$L$4,0))*120*0.85,2),INDEX(其他调用!$H$5:$L$404,MATCH($K88,其他调用!$B$5:$B$404,0),MATCH(AW$5,其他调用!$H$4:$L$4,0))*120*0.85)</f>
        <v>47.667700957153428</v>
      </c>
      <c r="AX88" s="14">
        <f>IF(OR(AX$5="大R",AX$5="超R"),MAX(INDEX(其他调用!$H$5:$L$404,MATCH($K88,其他调用!$B$5:$B$404,0),MATCH(AX$5,其他调用!$H$4:$L$4,0))*120*0.85,2),INDEX(其他调用!$H$5:$L$404,MATCH($K88,其他调用!$B$5:$B$404,0),MATCH(AX$5,其他调用!$H$4:$L$4,0))*120*0.85)</f>
        <v>3.9240503853465603</v>
      </c>
      <c r="AY88" s="14">
        <f>IF(OR(AY$5="大R",AY$5="超R"),MAX(INDEX(其他调用!$H$5:$L$404,MATCH($K88,其他调用!$B$5:$B$404,0),MATCH(AY$5,其他调用!$H$4:$L$4,0))*120*0.85,2),INDEX(其他调用!$H$5:$L$404,MATCH($K88,其他调用!$B$5:$B$404,0),MATCH(AY$5,其他调用!$H$4:$L$4,0))*120*0.85)</f>
        <v>2</v>
      </c>
      <c r="AZ88" s="14">
        <f>IF(OR(AZ$5="大R",AZ$5="超R"),MAX(INDEX(其他调用!$H$5:$L$404,MATCH($K88,其他调用!$B$5:$B$404,0),MATCH(AZ$5,其他调用!$H$4:$L$4,0))*120*0.85,2),INDEX(其他调用!$H$5:$L$404,MATCH($K88,其他调用!$B$5:$B$404,0),MATCH(AZ$5,其他调用!$H$4:$L$4,0))*120*0.85)</f>
        <v>2</v>
      </c>
      <c r="BA88" s="14">
        <f>INDEX(其他调用!$H$5:$L$404,MATCH($K88,其他调用!$B$5:$B$404,0),MATCH(BA$5,其他调用!$H$4:$L$4,0))*INDEX(其他调用!$M$5:$M$404,MATCH($K88,其他调用!$B$5:$B$404,0))*0.6</f>
        <v>29.130938415000003</v>
      </c>
      <c r="BB88" s="14">
        <f>INDEX(其他调用!$H$5:$L$404,MATCH($K88,其他调用!$B$5:$B$404,0),MATCH(BB$5,其他调用!$H$4:$L$4,0))*INDEX(其他调用!$M$5:$M$404,MATCH($K88,其他调用!$B$5:$B$404,0))*0.6</f>
        <v>28.039824092443194</v>
      </c>
      <c r="BC88" s="14">
        <f>INDEX(其他调用!$H$5:$L$404,MATCH($K88,其他调用!$B$5:$B$404,0),MATCH(BC$5,其他调用!$H$4:$L$4,0))*INDEX(其他调用!$M$5:$M$404,MATCH($K88,其他调用!$B$5:$B$404,0))*0.6</f>
        <v>2.3082649325567997</v>
      </c>
      <c r="BD88" s="14">
        <f>INDEX(其他调用!$H$5:$L$404,MATCH($K88,其他调用!$B$5:$B$404,0),MATCH(BD$5,其他调用!$H$4:$L$4,0))*INDEX(其他调用!$M$5:$M$404,MATCH($K88,其他调用!$B$5:$B$404,0))*0.6</f>
        <v>0.40536936000000012</v>
      </c>
      <c r="BE88" s="14">
        <f>INDEX(其他调用!$H$5:$L$404,MATCH($K88,其他调用!$B$5:$B$404,0),MATCH(BE$5,其他调用!$H$4:$L$4,0))*INDEX(其他调用!$M$5:$M$404,MATCH($K88,其他调用!$B$5:$B$404,0))*0.6</f>
        <v>0.11560319999999999</v>
      </c>
      <c r="BF88" s="14">
        <f>IF(OR(BF$5="大R",BF$5="超R"),0,INDEX(其他调用!$H$5:$L$404,MATCH($K88,其他调用!$B$5:$B$404,0),MATCH(BF$5,其他调用!$H$4:$L$4,0))*50*0.4)</f>
        <v>9.7103128050000009</v>
      </c>
      <c r="BG88" s="14">
        <f>IF(OR(BG$5="大R",BG$5="超R"),0,INDEX(其他调用!$H$5:$L$404,MATCH($K88,其他调用!$B$5:$B$404,0),MATCH(BG$5,其他调用!$H$4:$L$4,0))*50*0.4)</f>
        <v>9.3466080308143997</v>
      </c>
      <c r="BH88" s="14">
        <f>IF(OR(BH$5="大R",BH$5="超R"),0,INDEX(其他调用!$H$5:$L$404,MATCH($K88,其他调用!$B$5:$B$404,0),MATCH(BH$5,其他调用!$H$4:$L$4,0))*50*0.4)</f>
        <v>0.7694216441856</v>
      </c>
      <c r="BI88" s="14">
        <f>IF(OR(BI$5="大R",BI$5="超R"),0,INDEX(其他调用!$H$5:$L$404,MATCH($K88,其他调用!$B$5:$B$404,0),MATCH(BI$5,其他调用!$H$4:$L$4,0))*50*0.4)</f>
        <v>0</v>
      </c>
      <c r="BJ88" s="14">
        <f>IF(OR(BJ$5="大R",BJ$5="超R"),0,INDEX(其他调用!$H$5:$L$404,MATCH($K88,其他调用!$B$5:$B$404,0),MATCH(BJ$5,其他调用!$H$4:$L$4,0))*50*0.4)</f>
        <v>0</v>
      </c>
      <c r="BL88" s="14">
        <f t="shared" si="208"/>
        <v>83</v>
      </c>
      <c r="BM88" s="14">
        <f t="shared" si="115"/>
        <v>96</v>
      </c>
      <c r="BN88" s="14">
        <f>('疲劳值&amp;地图信息'!$S$10*'疲劳值&amp;地图信息'!$R$10+'疲劳值&amp;地图信息'!$S$11*'疲劳值&amp;地图信息'!$R$11+'疲劳值&amp;地图信息'!$S$12*'疲劳值&amp;地图信息'!$R$12+(BM88-'疲劳值&amp;地图信息'!$S$12-'疲劳值&amp;地图信息'!$S$11-'疲劳值&amp;地图信息'!$S$10)*'疲劳值&amp;地图信息'!$R$13)/BM88</f>
        <v>51.371477246638619</v>
      </c>
      <c r="BO88" s="14">
        <f>INDEX(其他调用!$M$5:$M$404,MATCH(BL88,其他调用!$B$5:$B$404,0))*0.6</f>
        <v>60</v>
      </c>
      <c r="BP88" s="14">
        <f>IF(BO88&gt;SUM('疲劳值&amp;地图信息'!$S$10:$S$12),('疲劳值&amp;地图信息'!$S$10*'疲劳值&amp;地图信息'!$R$10+'疲劳值&amp;地图信息'!$S$11*'疲劳值&amp;地图信息'!$R$11+'疲劳值&amp;地图信息'!$S$12*'疲劳值&amp;地图信息'!$R$12+(BO88-'疲劳值&amp;地图信息'!$S$12-'疲劳值&amp;地图信息'!$S$11-'疲劳值&amp;地图信息'!$S$10)*'疲劳值&amp;地图信息'!$R$13)/BO88,('疲劳值&amp;地图信息'!$S$10*'疲劳值&amp;地图信息'!$R$10+'疲劳值&amp;地图信息'!$S$11*'疲劳值&amp;地图信息'!$R$11+'疲劳值&amp;地图信息'!$S$12*'疲劳值&amp;地图信息'!$R$12+(BO88-'疲劳值&amp;地图信息'!$S$12-'疲劳值&amp;地图信息'!$S$11-'疲劳值&amp;地图信息'!$S$10)*'疲劳值&amp;地图信息'!$R$13)/BO88)</f>
        <v>44.158136341605953</v>
      </c>
      <c r="BQ88" s="14">
        <f t="shared" si="209"/>
        <v>20</v>
      </c>
      <c r="BR88" s="14">
        <f>('疲劳值&amp;地图信息'!$S$10*'疲劳值&amp;地图信息'!$R$10+($BQ88-'疲劳值&amp;地图信息'!$S$10)*'疲劳值&amp;地图信息'!$R$11)/$BQ88</f>
        <v>32.067203015074995</v>
      </c>
      <c r="CF88" s="14">
        <v>83</v>
      </c>
      <c r="CG88" s="51">
        <f t="shared" si="116"/>
        <v>8592</v>
      </c>
      <c r="CH88" s="51">
        <f t="shared" si="117"/>
        <v>811</v>
      </c>
      <c r="CI88" s="51">
        <f>INT(SUMPRODUCT($N88:$R88,$BA88:$BE88)/SUM($BA88:$BE88)/10000*$BX$7*$BZ$34/'疲劳值&amp;地图信息'!$R$10*$BY$53)</f>
        <v>2905</v>
      </c>
      <c r="CJ88" s="50">
        <f t="shared" si="118"/>
        <v>0.69808254793630165</v>
      </c>
      <c r="CK88" s="50">
        <f t="shared" si="119"/>
        <v>6.5892102697432564E-2</v>
      </c>
      <c r="CL88" s="50">
        <f t="shared" si="120"/>
        <v>0.23602534936626585</v>
      </c>
      <c r="CM88" s="14">
        <f t="shared" si="121"/>
        <v>9089</v>
      </c>
      <c r="CN88" s="14">
        <f t="shared" si="122"/>
        <v>1243</v>
      </c>
      <c r="CO88" s="14">
        <f>INT(SUMPRODUCT($U88:$Y88,$BA88:$BE88)/SUM($BA88:$BE88)/10000*$BX$7*$BZ$34/'疲劳值&amp;地图信息'!$R$10*$BY$54)</f>
        <v>5298</v>
      </c>
      <c r="CP88" s="50">
        <f t="shared" si="123"/>
        <v>0.58150991682661546</v>
      </c>
      <c r="CQ88" s="50">
        <f t="shared" si="124"/>
        <v>7.952655150351888E-2</v>
      </c>
      <c r="CR88" s="50">
        <f t="shared" si="125"/>
        <v>0.33896353166986565</v>
      </c>
      <c r="CS88" s="14">
        <f t="shared" si="126"/>
        <v>9670</v>
      </c>
      <c r="CT88" s="14">
        <f t="shared" si="127"/>
        <v>2278</v>
      </c>
      <c r="CU88" s="14">
        <f>INT(SUMPRODUCT($AB88:$AF88,$BA88:$BE88)/SUM($BA88:$BE88)/10000*$BX$7*$BZ$34/'疲劳值&amp;地图信息'!$R$10*$BY$55)</f>
        <v>7209</v>
      </c>
      <c r="CV88" s="50">
        <f t="shared" si="128"/>
        <v>0.50477632197108102</v>
      </c>
      <c r="CW88" s="50">
        <f t="shared" si="129"/>
        <v>0.11891214699587618</v>
      </c>
      <c r="CX88" s="50">
        <f t="shared" si="130"/>
        <v>0.37631153103304277</v>
      </c>
      <c r="CY88" s="14">
        <f t="shared" si="131"/>
        <v>11006</v>
      </c>
      <c r="CZ88" s="14">
        <f t="shared" si="132"/>
        <v>5532</v>
      </c>
      <c r="DA88" s="14">
        <f>INT(SUMPRODUCT($AI88:$AM88,$BA88:$BE88)/SUM($BA88:$BE88)/10000*$BX$7*$BZ$34/'疲劳值&amp;地图信息'!$R$10*$BY$56)</f>
        <v>10866</v>
      </c>
      <c r="DB88" s="50">
        <f t="shared" si="133"/>
        <v>0.40162020143044813</v>
      </c>
      <c r="DC88" s="50">
        <f t="shared" si="134"/>
        <v>0.20186834038826448</v>
      </c>
      <c r="DD88" s="50">
        <f t="shared" si="135"/>
        <v>0.39651145818128741</v>
      </c>
      <c r="DE88" s="14">
        <f t="shared" si="136"/>
        <v>10943</v>
      </c>
      <c r="DF88" s="14">
        <f t="shared" si="137"/>
        <v>11394</v>
      </c>
      <c r="DG88" s="14">
        <f>INT(SUMPRODUCT($AP88:$AT88,$BA88:$BE88)/SUM($BA88:$BE88)/10000*$BX$7*$BZ$34/'疲劳值&amp;地图信息'!$R$10*$BY$57)</f>
        <v>14514</v>
      </c>
      <c r="DH88" s="50">
        <f t="shared" si="138"/>
        <v>0.29695259287400616</v>
      </c>
      <c r="DI88" s="50">
        <f t="shared" si="139"/>
        <v>0.30919106672817565</v>
      </c>
      <c r="DJ88" s="50">
        <f t="shared" si="140"/>
        <v>0.39385634039781825</v>
      </c>
      <c r="DL88" s="14">
        <f t="shared" si="211"/>
        <v>12308</v>
      </c>
      <c r="DM88" s="14">
        <f t="shared" si="212"/>
        <v>15630</v>
      </c>
      <c r="DN88" s="14">
        <f t="shared" si="213"/>
        <v>19157</v>
      </c>
      <c r="DO88" s="14">
        <f t="shared" si="214"/>
        <v>27404</v>
      </c>
      <c r="DP88" s="14">
        <f t="shared" si="215"/>
        <v>36851</v>
      </c>
      <c r="DQ88" s="14">
        <f t="shared" si="216"/>
        <v>856394</v>
      </c>
      <c r="DT88" s="14">
        <f t="shared" si="210"/>
        <v>235575</v>
      </c>
      <c r="DU88" s="50">
        <f t="shared" si="112"/>
        <v>0.21573414629902496</v>
      </c>
      <c r="DW88" s="14">
        <f t="shared" si="141"/>
        <v>1091969</v>
      </c>
      <c r="EB88" s="14">
        <v>83</v>
      </c>
      <c r="EC88" s="51">
        <f t="shared" si="142"/>
        <v>14321</v>
      </c>
      <c r="ED88" s="51">
        <f t="shared" si="143"/>
        <v>1352</v>
      </c>
      <c r="EE88" s="51">
        <f>INT(SUMPRODUCT($N88:$R88,$BF88:$BJ88)/SUM($BF88:$BJ88)/10000*$BX$7*$BZ$46/'疲劳值&amp;地图信息'!$R$10*$BY$53)</f>
        <v>390</v>
      </c>
      <c r="EF88" s="50">
        <f t="shared" si="144"/>
        <v>0.8915520139450912</v>
      </c>
      <c r="EG88" s="50">
        <f t="shared" si="145"/>
        <v>8.416858619186951E-2</v>
      </c>
      <c r="EH88" s="50">
        <f t="shared" si="146"/>
        <v>2.4279399863039283E-2</v>
      </c>
      <c r="EI88" s="51">
        <f t="shared" si="147"/>
        <v>15148</v>
      </c>
      <c r="EJ88" s="51">
        <f t="shared" si="148"/>
        <v>2072</v>
      </c>
      <c r="EK88" s="14">
        <f>INT(SUMPRODUCT($U88:$Y88,$BF88:$BJ88)/SUM($BF88:$BJ88)/10000*$BX$7*$BZ$46/'疲劳值&amp;地图信息'!$R$10*$BY$54)</f>
        <v>711</v>
      </c>
      <c r="EL88" s="50">
        <f t="shared" si="149"/>
        <v>0.84479393229602362</v>
      </c>
      <c r="EM88" s="50">
        <f t="shared" si="150"/>
        <v>0.1155540683732084</v>
      </c>
      <c r="EN88" s="50">
        <f t="shared" si="151"/>
        <v>3.9651999330767941E-2</v>
      </c>
      <c r="EO88" s="51">
        <f t="shared" si="152"/>
        <v>16117</v>
      </c>
      <c r="EP88" s="51">
        <f t="shared" si="153"/>
        <v>3798</v>
      </c>
      <c r="EQ88" s="14">
        <f>INT(SUMPRODUCT($AB88:$AF88,$BF88:$BJ88)/SUM($BF88:$BJ88)/10000*$BX$7*$BZ$46/'疲劳值&amp;地图信息'!$R$10*$BY$55)</f>
        <v>966</v>
      </c>
      <c r="ER88" s="50">
        <f t="shared" si="154"/>
        <v>0.771850007183564</v>
      </c>
      <c r="ES88" s="50">
        <f t="shared" si="155"/>
        <v>0.18188784062065994</v>
      </c>
      <c r="ET88" s="50">
        <f t="shared" si="156"/>
        <v>4.6262152195776063E-2</v>
      </c>
      <c r="EU88" s="51">
        <f t="shared" si="157"/>
        <v>18344</v>
      </c>
      <c r="EV88" s="51">
        <f t="shared" si="158"/>
        <v>9220</v>
      </c>
      <c r="EW88" s="14">
        <f>INT(SUMPRODUCT($AI88:$AM88,$BF88:$BJ88)/SUM($BF88:$BJ88)/10000*$BX$7*$BZ$46/'疲劳值&amp;地图信息'!$R$10*$BY$56)</f>
        <v>1449</v>
      </c>
      <c r="EX88" s="50">
        <f t="shared" si="159"/>
        <v>0.63226829352359282</v>
      </c>
      <c r="EY88" s="50">
        <f t="shared" si="160"/>
        <v>0.3177885775342088</v>
      </c>
      <c r="EZ88" s="50">
        <f t="shared" si="161"/>
        <v>4.9943128942198323E-2</v>
      </c>
      <c r="FA88" s="51">
        <f t="shared" si="162"/>
        <v>18239</v>
      </c>
      <c r="FB88" s="51">
        <f t="shared" si="163"/>
        <v>18990</v>
      </c>
      <c r="FC88" s="14">
        <f>INT(SUMPRODUCT($AP88:$AT88,$BF88:$BJ88)/SUM($BF88:$BJ88)/10000*$BX$7*$BZ$46/'疲劳值&amp;地图信息'!$R$10*$BY$57)</f>
        <v>1932</v>
      </c>
      <c r="FD88" s="50">
        <f t="shared" si="164"/>
        <v>0.46574397998008221</v>
      </c>
      <c r="FE88" s="50">
        <f t="shared" si="165"/>
        <v>0.48492122264497844</v>
      </c>
      <c r="FF88" s="50">
        <f t="shared" si="166"/>
        <v>4.933479737493935E-2</v>
      </c>
      <c r="FH88" s="14">
        <f t="shared" si="167"/>
        <v>16063</v>
      </c>
      <c r="FI88" s="14">
        <f t="shared" si="168"/>
        <v>17931</v>
      </c>
      <c r="FJ88" s="14">
        <f t="shared" si="169"/>
        <v>20881</v>
      </c>
      <c r="FK88" s="14">
        <f t="shared" si="170"/>
        <v>29013</v>
      </c>
      <c r="FL88" s="14">
        <f t="shared" si="171"/>
        <v>39161</v>
      </c>
      <c r="FM88" s="14">
        <f t="shared" si="172"/>
        <v>1868497</v>
      </c>
      <c r="FP88" s="14">
        <f t="shared" si="173"/>
        <v>334150</v>
      </c>
      <c r="FQ88" s="50">
        <f t="shared" si="113"/>
        <v>0.15170383633873244</v>
      </c>
      <c r="FS88" s="14">
        <f t="shared" si="174"/>
        <v>2202647</v>
      </c>
      <c r="FX88" s="14">
        <v>83</v>
      </c>
      <c r="FY88" s="51">
        <f t="shared" si="175"/>
        <v>20049</v>
      </c>
      <c r="FZ88" s="51">
        <f t="shared" si="176"/>
        <v>1352</v>
      </c>
      <c r="GA88" s="51">
        <f>INT(SUMPRODUCT($N88:$R88,$BF88:$BJ88)/SUM($BF88:$BJ88)/10000*$BX$7*$BZ$46/'疲劳值&amp;地图信息'!$R$10*$BY$53)</f>
        <v>390</v>
      </c>
      <c r="GB88" s="50">
        <f t="shared" si="177"/>
        <v>0.9200587398467257</v>
      </c>
      <c r="GC88" s="50">
        <f t="shared" si="178"/>
        <v>6.2043963104033775E-2</v>
      </c>
      <c r="GD88" s="50">
        <f t="shared" si="179"/>
        <v>1.789729704924051E-2</v>
      </c>
      <c r="GE88" s="51">
        <f t="shared" si="180"/>
        <v>21208</v>
      </c>
      <c r="GF88" s="51">
        <f t="shared" si="181"/>
        <v>2072</v>
      </c>
      <c r="GG88" s="14">
        <f>INT(SUMPRODUCT($U88:$Y88,$BF88:$BJ88)/SUM($BF88:$BJ88)/10000*$BX$7*$BZ$46/'疲劳值&amp;地图信息'!$R$10*$BY$54)</f>
        <v>711</v>
      </c>
      <c r="GH88" s="50">
        <f t="shared" si="182"/>
        <v>0.88399816597890879</v>
      </c>
      <c r="GI88" s="50">
        <f t="shared" si="183"/>
        <v>8.6365720478512778E-2</v>
      </c>
      <c r="GJ88" s="50">
        <f t="shared" si="184"/>
        <v>2.9636113542578467E-2</v>
      </c>
      <c r="GK88" s="51">
        <f t="shared" si="185"/>
        <v>22564</v>
      </c>
      <c r="GL88" s="51">
        <f t="shared" si="186"/>
        <v>3798</v>
      </c>
      <c r="GM88" s="14">
        <f>INT(SUMPRODUCT($AB88:$AF88,$BF88:$BJ88)/SUM($BF88:$BJ88)/10000*$BX$7*$BZ$46/'疲劳值&amp;地图信息'!$R$10*$BY$55)</f>
        <v>966</v>
      </c>
      <c r="GN88" s="50">
        <f t="shared" si="187"/>
        <v>0.82567330210772838</v>
      </c>
      <c r="GO88" s="50">
        <f t="shared" si="188"/>
        <v>0.13897833723653397</v>
      </c>
      <c r="GP88" s="50">
        <f t="shared" si="189"/>
        <v>3.5348360655737703E-2</v>
      </c>
      <c r="GQ88" s="51">
        <f t="shared" si="190"/>
        <v>25682</v>
      </c>
      <c r="GR88" s="51">
        <f t="shared" si="191"/>
        <v>9220</v>
      </c>
      <c r="GS88" s="14">
        <f>INT(SUMPRODUCT($AI88:$AM88,$BF88:$BJ88)/SUM($BF88:$BJ88)/10000*$BX$7*$BZ$46/'疲劳值&amp;地图信息'!$R$10*$BY$56)</f>
        <v>1449</v>
      </c>
      <c r="GT88" s="50">
        <f t="shared" si="192"/>
        <v>0.70650050892685212</v>
      </c>
      <c r="GU88" s="50">
        <f t="shared" si="193"/>
        <v>0.25363813925339057</v>
      </c>
      <c r="GV88" s="50">
        <f t="shared" si="194"/>
        <v>3.9861351819757362E-2</v>
      </c>
      <c r="GW88" s="51">
        <f t="shared" si="195"/>
        <v>25535</v>
      </c>
      <c r="GX88" s="51">
        <f t="shared" si="196"/>
        <v>18990</v>
      </c>
      <c r="GY88" s="14">
        <f>INT(SUMPRODUCT($AP88:$AT88,$BF88:$BJ88)/SUM($BF88:$BJ88)/10000*$BX$7*$BZ$46/'疲劳值&amp;地图信息'!$R$10*$BY$57)</f>
        <v>1932</v>
      </c>
      <c r="GZ88" s="50">
        <f t="shared" si="197"/>
        <v>0.54964806164840607</v>
      </c>
      <c r="HA88" s="50">
        <f t="shared" si="198"/>
        <v>0.40876509460361193</v>
      </c>
      <c r="HB88" s="50">
        <f t="shared" si="199"/>
        <v>4.1586843747982008E-2</v>
      </c>
      <c r="HD88" s="14">
        <f t="shared" si="200"/>
        <v>21791</v>
      </c>
      <c r="HE88" s="14">
        <f t="shared" si="201"/>
        <v>23991</v>
      </c>
      <c r="HF88" s="14">
        <f t="shared" si="202"/>
        <v>27328</v>
      </c>
      <c r="HG88" s="14">
        <f t="shared" si="203"/>
        <v>36351</v>
      </c>
      <c r="HH88" s="14">
        <f t="shared" si="204"/>
        <v>46457</v>
      </c>
      <c r="HI88" s="14">
        <f t="shared" si="205"/>
        <v>2495595</v>
      </c>
      <c r="HL88" s="14">
        <f t="shared" si="206"/>
        <v>430050</v>
      </c>
      <c r="HM88" s="50">
        <f t="shared" si="114"/>
        <v>0.14699322713452931</v>
      </c>
      <c r="HO88" s="14">
        <f t="shared" si="207"/>
        <v>2925645</v>
      </c>
    </row>
    <row r="89" spans="11:223" x14ac:dyDescent="0.2">
      <c r="K89" s="14">
        <v>84</v>
      </c>
      <c r="L89" s="12">
        <f>求节点(节奏总纲!D$4:D$163,标准城池设计!AB$4:AB$163,$K89)*求节点(节奏总纲!D$4:D$163,攻城基础信息!$AC$5:$AC$164,$K89)</f>
        <v>424375.63194052974</v>
      </c>
      <c r="M89" s="12">
        <f>INDEX(其他调用!$AA$5:$AA$404,MATCH(K89,其他调用!$X$5:$X$404,0))*MIN(INDEX(其他调用!$AH$5:$AH$364,MATCH('征服点（新）'!K89,其他调用!$AG$5:$AG$364,0),1)/INDEX(其他调用!$AJ$5:$AJ$364,MATCH(K89,其他调用!$AG$5:$AG$364,0),0),5)*求节点(节奏总纲!D$4:D$163,攻城基础信息!$AC$5:$AC$164,$K89)</f>
        <v>39913.171421956482</v>
      </c>
      <c r="N89" s="12">
        <f>MIN(INDEX(其他调用!$AH$5:$AH$364,MATCH($K89,其他调用!$AG$5:$AG$364,0),1)/INDEX(其他调用!AH$5:AH$364,MATCH($K89,其他调用!$AG$5:$AG$364,0),0),1)*INDEX(其他调用!Y$5:Y$404,MATCH($K89,其他调用!$X$5:$X$404,0),0)</f>
        <v>35146.275357795632</v>
      </c>
      <c r="O89" s="12">
        <f>MIN(INDEX(其他调用!$AH$5:$AH$364,MATCH($K89,其他调用!$AG$5:$AG$364,0),1)/INDEX(其他调用!AI$5:AI$364,MATCH($K89,其他调用!$AG$5:$AG$364,0),0),1)*INDEX(其他调用!Z$5:Z$404,MATCH($K89,其他调用!$X$5:$X$404,0),0)</f>
        <v>23670.465953123447</v>
      </c>
      <c r="P89" s="12">
        <f>MIN(INDEX(其他调用!$AH$5:$AH$364,MATCH($K89,其他调用!$AG$5:$AG$364,0),1)/INDEX(其他调用!AJ$5:AJ$364,MATCH($K89,其他调用!$AG$5:$AG$364,0),0),1)*INDEX(其他调用!AA$5:AA$404,MATCH($K89,其他调用!$X$5:$X$404,0),0)</f>
        <v>13440.137638174621</v>
      </c>
      <c r="Q89" s="12">
        <f>MIN(INDEX(其他调用!$AH$5:$AH$364,MATCH($K89,其他调用!$AG$5:$AG$364,0),1)/INDEX(其他调用!AK$5:AK$364,MATCH($K89,其他调用!$AG$5:$AG$364,0),0),1)*INDEX(其他调用!AB$5:AB$404,MATCH($K89,其他调用!$X$5:$X$404,0),0)</f>
        <v>5858.6017010870519</v>
      </c>
      <c r="R89" s="12">
        <f>MIN(INDEX(其他调用!$AH$5:$AH$364,MATCH($K89,其他调用!$AG$5:$AG$364,0),1)/INDEX(其他调用!AL$5:AL$364,MATCH($K89,其他调用!$AG$5:$AG$364,0),0),1)*INDEX(其他调用!AC$5:AC$404,MATCH($K89,其他调用!$X$5:$X$404,0),0)</f>
        <v>1761.2787802166629</v>
      </c>
      <c r="S89" s="12">
        <f>求节点(节奏总纲!D$4:D$163,标准城池设计!AC$4:AC$163,$K89)*求节点(节奏总纲!D$4:D$163,攻城基础信息!$AD$5:$AD$164,$K89)</f>
        <v>449015.85904060263</v>
      </c>
      <c r="T89" s="12">
        <f>INDEX(其他调用!$AA$5:$AA$404,MATCH($K89,其他调用!$X$5:$X$404,0))*MIN(INDEX(其他调用!AI$5:AI$364,MATCH($K89,其他调用!$AG$5:$AG$364,0),1)/INDEX(其他调用!$AJ$5:$AJ$364,MATCH($K89,其他调用!$AG$5:$AG$364,0),0),5)*求节点(节奏总纲!D$4:D$163,攻城基础信息!$AD$5:$AD$164,$K89)</f>
        <v>61180.622589275488</v>
      </c>
      <c r="U89" s="12">
        <f>MIN(INDEX(其他调用!$AI$5:$AI$364,MATCH($K89,其他调用!$AG$5:$AG$364,0),1)/INDEX(其他调用!AH$5:AH$364,MATCH($K89,其他调用!$AG$5:$AG$364,0),0),1)*INDEX(其他调用!Y$5:Y$404,MATCH($K89,其他调用!$X$5:$X$404,0),0)</f>
        <v>35146.275357795632</v>
      </c>
      <c r="V89" s="12">
        <f>MIN(INDEX(其他调用!$AI$5:$AI$364,MATCH($K89,其他调用!$AG$5:$AG$364,0),1)/INDEX(其他调用!AI$5:AI$364,MATCH($K89,其他调用!$AG$5:$AG$364,0),0),1)*INDEX(其他调用!Z$5:Z$404,MATCH($K89,其他调用!$X$5:$X$404,0),0)</f>
        <v>36283.106363071209</v>
      </c>
      <c r="W89" s="12">
        <f>MIN(INDEX(其他调用!$AI$5:$AI$364,MATCH($K89,其他调用!$AG$5:$AG$364,0),1)/INDEX(其他调用!AJ$5:AJ$364,MATCH($K89,其他调用!$AG$5:$AG$364,0),0),1)*INDEX(其他调用!AA$5:AA$404,MATCH($K89,其他调用!$X$5:$X$404,0),0)</f>
        <v>20601.619943854897</v>
      </c>
      <c r="X89" s="12">
        <f>MIN(INDEX(其他调用!$AI$5:$AI$364,MATCH($K89,其他调用!$AG$5:$AG$364,0),1)/INDEX(其他调用!AK$5:AK$364,MATCH($K89,其他调用!$AG$5:$AG$364,0),0),1)*INDEX(其他调用!AB$5:AB$404,MATCH($K89,其他调用!$X$5:$X$404,0),0)</f>
        <v>8980.316191509608</v>
      </c>
      <c r="Y89" s="12">
        <f>MIN(INDEX(其他调用!$AI$5:$AI$364,MATCH($K89,其他调用!$AG$5:$AG$364,0),1)/INDEX(其他调用!AL$5:AL$364,MATCH($K89,其他调用!$AG$5:$AG$364,0),0),1)*INDEX(其他调用!AC$5:AC$404,MATCH($K89,其他调用!$X$5:$X$404,0),0)</f>
        <v>2699.7637243042495</v>
      </c>
      <c r="Z89" s="12">
        <f>求节点(节奏总纲!D$4:D$163,标准城池设计!AD$4:AD$163,$K89)*求节点(节奏总纲!D$4:D$163,攻城基础信息!$AE$5:$AE$164,$K89)</f>
        <v>478032.15319855988</v>
      </c>
      <c r="AA89" s="12">
        <f>INDEX(其他调用!$AA$5:$AA$404,MATCH($K89,其他调用!$X$5:$X$404,0))*MIN(INDEX(其他调用!AJ$5:AJ$364,MATCH($K89,其他调用!$AG$5:$AG$364,0),1)/INDEX(其他调用!$AJ$5:$AJ$364,MATCH($K89,其他调用!$AG$5:$AG$364,0),0),5)*求节点(节奏总纲!D$4:D$163,攻城基础信息!$AE$5:$AE$164,$K89)</f>
        <v>112234.93369887964</v>
      </c>
      <c r="AB89" s="12">
        <f>MIN(INDEX(其他调用!$AJ$5:$AJ$364,MATCH($K89,其他调用!$AG$5:$AG$364,0),1)/INDEX(其他调用!AH$5:AH$364,MATCH($K89,其他调用!$AG$5:$AG$364,0),0),1)*INDEX(其他调用!Y$5:Y$404,MATCH($K89,其他调用!$X$5:$X$404,0),0)</f>
        <v>35146.275357795632</v>
      </c>
      <c r="AC89" s="12">
        <f>MIN(INDEX(其他调用!$AJ$5:$AJ$364,MATCH($K89,其他调用!$AG$5:$AG$364,0),1)/INDEX(其他调用!AI$5:AI$364,MATCH($K89,其他调用!$AG$5:$AG$364,0),0),1)*INDEX(其他调用!Z$5:Z$404,MATCH($K89,其他调用!$X$5:$X$404,0),0)</f>
        <v>36283.106363071209</v>
      </c>
      <c r="AD89" s="12">
        <f>MIN(INDEX(其他调用!$AJ$5:$AJ$364,MATCH($K89,其他调用!$AG$5:$AG$364,0),1)/INDEX(其他调用!AJ$5:AJ$364,MATCH($K89,其他调用!$AG$5:$AG$364,0),0),1)*INDEX(其他调用!AA$5:AA$404,MATCH($K89,其他调用!$X$5:$X$404,0),0)</f>
        <v>37793.362516277928</v>
      </c>
      <c r="AE89" s="12">
        <f>MIN(INDEX(其他调用!$AJ$5:$AJ$364,MATCH($K89,其他调用!$AG$5:$AG$364,0),1)/INDEX(其他调用!AK$5:AK$364,MATCH($K89,其他调用!$AG$5:$AG$364,0),0),1)*INDEX(其他调用!AB$5:AB$404,MATCH($K89,其他调用!$X$5:$X$404,0),0)</f>
        <v>16474.255241164126</v>
      </c>
      <c r="AF89" s="12">
        <f>MIN(INDEX(其他调用!$AJ$5:$AJ$364,MATCH($K89,其他调用!$AG$5:$AG$364,0),1)/INDEX(其他调用!AL$5:AL$364,MATCH($K89,其他调用!$AG$5:$AG$364,0),0),1)*INDEX(其他调用!AC$5:AC$404,MATCH($K89,其他调用!$X$5:$X$404,0),0)</f>
        <v>4952.6760234872609</v>
      </c>
      <c r="AG89" s="12">
        <f>求节点(节奏总纲!D$4:D$163,标准城池设计!AE$4:AE$163,$K89)*求节点(节奏总纲!D$4:D$163,攻城基础信息!$AF$5:$AF$164,$K89)</f>
        <v>544060.35555738816</v>
      </c>
      <c r="AH89" s="12">
        <f>INDEX(其他调用!$AA$5:$AA$404,MATCH($K89,其他调用!$X$5:$X$404,0))*MIN(INDEX(其他调用!AK$5:AK$364,MATCH($K89,其他调用!$AG$5:$AG$364,0),1)/INDEX(其他调用!$AJ$5:$AJ$364,MATCH($K89,其他调用!$AG$5:$AG$364,0),0),5)*求节点(节奏总纲!D$4:D$163,攻城基础信息!$AF$5:$AF$164,$K89)</f>
        <v>272310.51791692589</v>
      </c>
      <c r="AI89" s="12">
        <f>MIN(INDEX(其他调用!$AK$5:$AK$364,MATCH($K89,其他调用!$AG$5:$AG$364,0),1)/INDEX(其他调用!AH$5:AH$364,MATCH($K89,其他调用!$AG$5:$AG$364,0),0),1)*INDEX(其他调用!Y$5:Y$404,MATCH($K89,其他调用!$X$5:$X$404,0),0)</f>
        <v>35146.275357795632</v>
      </c>
      <c r="AJ89" s="12">
        <f>MIN(INDEX(其他调用!$AK$5:$AK$364,MATCH($K89,其他调用!$AG$5:$AG$364,0),1)/INDEX(其他调用!AI$5:AI$364,MATCH($K89,其他调用!$AG$5:$AG$364,0),0),1)*INDEX(其他调用!Z$5:Z$404,MATCH($K89,其他调用!$X$5:$X$404,0),0)</f>
        <v>36283.106363071209</v>
      </c>
      <c r="AK89" s="12">
        <f>MIN(INDEX(其他调用!$AK$5:$AK$364,MATCH($K89,其他调用!$AG$5:$AG$364,0),1)/INDEX(其他调用!AJ$5:AJ$364,MATCH($K89,其他调用!$AG$5:$AG$364,0),0),1)*INDEX(其他调用!AA$5:AA$404,MATCH($K89,其他调用!$X$5:$X$404,0),0)</f>
        <v>37793.362516277928</v>
      </c>
      <c r="AL89" s="12">
        <f>MIN(INDEX(其他调用!$AK$5:$AK$364,MATCH($K89,其他调用!$AG$5:$AG$364,0),1)/INDEX(其他调用!AK$5:AK$364,MATCH($K89,其他调用!$AG$5:$AG$364,0),0),1)*INDEX(其他调用!AB$5:AB$404,MATCH($K89,其他调用!$X$5:$X$404,0),0)</f>
        <v>39970.736642951444</v>
      </c>
      <c r="AM89" s="12">
        <f>MIN(INDEX(其他调用!$AK$5:$AK$364,MATCH($K89,其他调用!$AG$5:$AG$364,0),1)/INDEX(其他调用!AL$5:AL$364,MATCH($K89,其他调用!$AG$5:$AG$364,0),0),1)*INDEX(其他调用!AC$5:AC$404,MATCH($K89,其他调用!$X$5:$X$404,0),0)</f>
        <v>12016.452708467361</v>
      </c>
      <c r="AN89" s="12">
        <f>求节点(节奏总纲!D$4:D$163,标准城池设计!AF$4:AF$163,$K89)*求节点(节奏总纲!D$4:D$163,攻城基础信息!$AG$5:$AG$164,$K89)</f>
        <v>540175.27614573378</v>
      </c>
      <c r="AO89" s="12">
        <f>INDEX(其他调用!$AA$5:$AA$404,MATCH($K89,其他调用!$X$5:$X$404,0))*MIN(INDEX(其他调用!AL$5:AL$364,MATCH($K89,其他调用!$AG$5:$AG$364,0),1)/INDEX(其他调用!$AJ$5:$AJ$364,MATCH($K89,其他调用!$AG$5:$AG$364,0),0),5)*求节点(节奏总纲!D$4:D$163,攻城基础信息!$AG$5:$AG$164,$K89)</f>
        <v>561174.66849439824</v>
      </c>
      <c r="AP89" s="12">
        <f>MIN(INDEX(其他调用!$AL$5:$AL$364,MATCH($K89,其他调用!$AG$5:$AG$364,0),1)/INDEX(其他调用!AH$5:AH$364,MATCH($K89,其他调用!$AG$5:$AG$364,0),0),1)*INDEX(其他调用!Y$5:Y$404,MATCH($K89,其他调用!$X$5:$X$404,0),0)</f>
        <v>35146.275357795632</v>
      </c>
      <c r="AQ89" s="12">
        <f>MIN(INDEX(其他调用!$AL$5:$AL$364,MATCH($K89,其他调用!$AG$5:$AG$364,0),1)/INDEX(其他调用!AI$5:AI$364,MATCH($K89,其他调用!$AG$5:$AG$364,0),0),1)*INDEX(其他调用!Z$5:Z$404,MATCH($K89,其他调用!$X$5:$X$404,0),0)</f>
        <v>36283.106363071209</v>
      </c>
      <c r="AR89" s="12">
        <f>MIN(INDEX(其他调用!$AL$5:$AL$364,MATCH($K89,其他调用!$AG$5:$AG$364,0),1)/INDEX(其他调用!AJ$5:AJ$364,MATCH($K89,其他调用!$AG$5:$AG$364,0),0),1)*INDEX(其他调用!AA$5:AA$404,MATCH($K89,其他调用!$X$5:$X$404,0),0)</f>
        <v>37793.362516277928</v>
      </c>
      <c r="AS89" s="12">
        <f>MIN(INDEX(其他调用!$AL$5:$AL$364,MATCH($K89,其他调用!$AG$5:$AG$364,0),1)/INDEX(其他调用!AK$5:AK$364,MATCH($K89,其他调用!$AG$5:$AG$364,0),0),1)*INDEX(其他调用!AB$5:AB$404,MATCH($K89,其他调用!$X$5:$X$404,0),0)</f>
        <v>39970.736642951444</v>
      </c>
      <c r="AT89" s="12">
        <f>MIN(INDEX(其他调用!$AL$5:$AL$364,MATCH($K89,其他调用!$AG$5:$AG$364,0),1)/INDEX(其他调用!AL$5:AL$364,MATCH($K89,其他调用!$AG$5:$AG$364,0),0),1)*INDEX(其他调用!AC$5:AC$404,MATCH($K89,其他调用!$X$5:$X$404,0),0)</f>
        <v>43815.43658664151</v>
      </c>
      <c r="AV89" s="14">
        <f>IF(OR(AV$5="大R",AV$5="超R"),MAX(INDEX(其他调用!$H$5:$L$404,MATCH($K89,其他调用!$B$5:$B$404,0),MATCH(AV$5,其他调用!$H$4:$L$4,0))*120*0.85,2),INDEX(其他调用!$H$5:$L$404,MATCH($K89,其他调用!$B$5:$B$404,0),MATCH(AV$5,其他调用!$H$4:$L$4,0))*120*0.85)</f>
        <v>49.436767584000002</v>
      </c>
      <c r="AW89" s="14">
        <f>IF(OR(AW$5="大R",AW$5="超R"),MAX(INDEX(其他调用!$H$5:$L$404,MATCH($K89,其他调用!$B$5:$B$404,0),MATCH(AW$5,其他调用!$H$4:$L$4,0))*120*0.85,2),INDEX(其他调用!$H$5:$L$404,MATCH($K89,其他调用!$B$5:$B$404,0),MATCH(AW$5,其他调用!$H$4:$L$4,0))*120*0.85)</f>
        <v>47.749078536222711</v>
      </c>
      <c r="AX89" s="14">
        <f>IF(OR(AX$5="大R",AX$5="超R"),MAX(INDEX(其他调用!$H$5:$L$404,MATCH($K89,其他调用!$B$5:$B$404,0),MATCH(AX$5,其他调用!$H$4:$L$4,0))*120*0.85,2),INDEX(其他调用!$H$5:$L$404,MATCH($K89,其他调用!$B$5:$B$404,0),MATCH(AX$5,其他调用!$H$4:$L$4,0))*120*0.85)</f>
        <v>3.9259901037772802</v>
      </c>
      <c r="AY89" s="14">
        <f>IF(OR(AY$5="大R",AY$5="超R"),MAX(INDEX(其他调用!$H$5:$L$404,MATCH($K89,其他调用!$B$5:$B$404,0),MATCH(AY$5,其他调用!$H$4:$L$4,0))*120*0.85,2),INDEX(其他调用!$H$5:$L$404,MATCH($K89,其他调用!$B$5:$B$404,0),MATCH(AY$5,其他调用!$H$4:$L$4,0))*120*0.85)</f>
        <v>2</v>
      </c>
      <c r="AZ89" s="14">
        <f>IF(OR(AZ$5="大R",AZ$5="超R"),MAX(INDEX(其他调用!$H$5:$L$404,MATCH($K89,其他调用!$B$5:$B$404,0),MATCH(AZ$5,其他调用!$H$4:$L$4,0))*120*0.85,2),INDEX(其他调用!$H$5:$L$404,MATCH($K89,其他调用!$B$5:$B$404,0),MATCH(AZ$5,其他调用!$H$4:$L$4,0))*120*0.85)</f>
        <v>2</v>
      </c>
      <c r="BA89" s="14">
        <f>INDEX(其他调用!$H$5:$L$404,MATCH($K89,其他调用!$B$5:$B$404,0),MATCH(BA$5,其他调用!$H$4:$L$4,0))*INDEX(其他调用!$M$5:$M$404,MATCH($K89,其他调用!$B$5:$B$404,0))*0.6</f>
        <v>29.08045152</v>
      </c>
      <c r="BB89" s="14">
        <f>INDEX(其他调用!$H$5:$L$404,MATCH($K89,其他调用!$B$5:$B$404,0),MATCH(BB$5,其他调用!$H$4:$L$4,0))*INDEX(其他调用!$M$5:$M$404,MATCH($K89,其他调用!$B$5:$B$404,0))*0.6</f>
        <v>28.087693256601593</v>
      </c>
      <c r="BC89" s="14">
        <f>INDEX(其他调用!$H$5:$L$404,MATCH($K89,其他调用!$B$5:$B$404,0),MATCH(BC$5,其他调用!$H$4:$L$4,0))*INDEX(其他调用!$M$5:$M$404,MATCH($K89,其他调用!$B$5:$B$404,0))*0.6</f>
        <v>2.3094059433984002</v>
      </c>
      <c r="BD89" s="14">
        <f>INDEX(其他调用!$H$5:$L$404,MATCH($K89,其他调用!$B$5:$B$404,0),MATCH(BD$5,其他调用!$H$4:$L$4,0))*INDEX(其他调用!$M$5:$M$404,MATCH($K89,其他调用!$B$5:$B$404,0))*0.6</f>
        <v>0.40632768000000008</v>
      </c>
      <c r="BE89" s="14">
        <f>INDEX(其他调用!$H$5:$L$404,MATCH($K89,其他调用!$B$5:$B$404,0),MATCH(BE$5,其他调用!$H$4:$L$4,0))*INDEX(其他调用!$M$5:$M$404,MATCH($K89,其他调用!$B$5:$B$404,0))*0.6</f>
        <v>0.11612159999999996</v>
      </c>
      <c r="BF89" s="14">
        <f>IF(OR(BF$5="大R",BF$5="超R"),0,INDEX(其他调用!$H$5:$L$404,MATCH($K89,其他调用!$B$5:$B$404,0),MATCH(BF$5,其他调用!$H$4:$L$4,0))*50*0.4)</f>
        <v>9.6934838400000007</v>
      </c>
      <c r="BG89" s="14">
        <f>IF(OR(BG$5="大R",BG$5="超R"),0,INDEX(其他调用!$H$5:$L$404,MATCH($K89,其他调用!$B$5:$B$404,0),MATCH(BG$5,其他调用!$H$4:$L$4,0))*50*0.4)</f>
        <v>9.3625644188671995</v>
      </c>
      <c r="BH89" s="14">
        <f>IF(OR(BH$5="大R",BH$5="超R"),0,INDEX(其他调用!$H$5:$L$404,MATCH($K89,其他调用!$B$5:$B$404,0),MATCH(BH$5,其他调用!$H$4:$L$4,0))*50*0.4)</f>
        <v>0.76980198113280007</v>
      </c>
      <c r="BI89" s="14">
        <f>IF(OR(BI$5="大R",BI$5="超R"),0,INDEX(其他调用!$H$5:$L$404,MATCH($K89,其他调用!$B$5:$B$404,0),MATCH(BI$5,其他调用!$H$4:$L$4,0))*50*0.4)</f>
        <v>0</v>
      </c>
      <c r="BJ89" s="14">
        <f>IF(OR(BJ$5="大R",BJ$5="超R"),0,INDEX(其他调用!$H$5:$L$404,MATCH($K89,其他调用!$B$5:$B$404,0),MATCH(BJ$5,其他调用!$H$4:$L$4,0))*50*0.4)</f>
        <v>0</v>
      </c>
      <c r="BL89" s="14">
        <f t="shared" si="208"/>
        <v>84</v>
      </c>
      <c r="BM89" s="14">
        <f t="shared" si="115"/>
        <v>96</v>
      </c>
      <c r="BN89" s="14">
        <f>('疲劳值&amp;地图信息'!$S$10*'疲劳值&amp;地图信息'!$R$10+'疲劳值&amp;地图信息'!$S$11*'疲劳值&amp;地图信息'!$R$11+'疲劳值&amp;地图信息'!$S$12*'疲劳值&amp;地图信息'!$R$12+(BM89-'疲劳值&amp;地图信息'!$S$12-'疲劳值&amp;地图信息'!$S$11-'疲劳值&amp;地图信息'!$S$10)*'疲劳值&amp;地图信息'!$R$13)/BM89</f>
        <v>51.371477246638619</v>
      </c>
      <c r="BO89" s="14">
        <f>INDEX(其他调用!$M$5:$M$404,MATCH(BL89,其他调用!$B$5:$B$404,0))*0.6</f>
        <v>60</v>
      </c>
      <c r="BP89" s="14">
        <f>IF(BO89&gt;SUM('疲劳值&amp;地图信息'!$S$10:$S$12),('疲劳值&amp;地图信息'!$S$10*'疲劳值&amp;地图信息'!$R$10+'疲劳值&amp;地图信息'!$S$11*'疲劳值&amp;地图信息'!$R$11+'疲劳值&amp;地图信息'!$S$12*'疲劳值&amp;地图信息'!$R$12+(BO89-'疲劳值&amp;地图信息'!$S$12-'疲劳值&amp;地图信息'!$S$11-'疲劳值&amp;地图信息'!$S$10)*'疲劳值&amp;地图信息'!$R$13)/BO89,('疲劳值&amp;地图信息'!$S$10*'疲劳值&amp;地图信息'!$R$10+'疲劳值&amp;地图信息'!$S$11*'疲劳值&amp;地图信息'!$R$11+'疲劳值&amp;地图信息'!$S$12*'疲劳值&amp;地图信息'!$R$12+(BO89-'疲劳值&amp;地图信息'!$S$12-'疲劳值&amp;地图信息'!$S$11-'疲劳值&amp;地图信息'!$S$10)*'疲劳值&amp;地图信息'!$R$13)/BO89)</f>
        <v>44.158136341605953</v>
      </c>
      <c r="BQ89" s="14">
        <f t="shared" si="209"/>
        <v>20</v>
      </c>
      <c r="BR89" s="14">
        <f>('疲劳值&amp;地图信息'!$S$10*'疲劳值&amp;地图信息'!$R$10+($BQ89-'疲劳值&amp;地图信息'!$S$10)*'疲劳值&amp;地图信息'!$R$11)/$BQ89</f>
        <v>32.067203015074995</v>
      </c>
      <c r="CF89" s="14">
        <v>84</v>
      </c>
      <c r="CG89" s="51">
        <f t="shared" si="116"/>
        <v>8649</v>
      </c>
      <c r="CH89" s="51">
        <f t="shared" si="117"/>
        <v>813</v>
      </c>
      <c r="CI89" s="51">
        <f>INT(SUMPRODUCT($N89:$R89,$BA89:$BE89)/SUM($BA89:$BE89)/10000*$BX$7*$BZ$34/'疲劳值&amp;地图信息'!$R$10*$BY$53)</f>
        <v>2909</v>
      </c>
      <c r="CJ89" s="50">
        <f t="shared" si="118"/>
        <v>0.69913507396330132</v>
      </c>
      <c r="CK89" s="50">
        <f t="shared" si="119"/>
        <v>6.5718211947296101E-2</v>
      </c>
      <c r="CL89" s="50">
        <f t="shared" si="120"/>
        <v>0.23514671408940263</v>
      </c>
      <c r="CM89" s="14">
        <f t="shared" si="121"/>
        <v>9151</v>
      </c>
      <c r="CN89" s="14">
        <f t="shared" si="122"/>
        <v>1246</v>
      </c>
      <c r="CO89" s="14">
        <f>INT(SUMPRODUCT($U89:$Y89,$BA89:$BE89)/SUM($BA89:$BE89)/10000*$BX$7*$BZ$34/'疲劳值&amp;地图信息'!$R$10*$BY$54)</f>
        <v>5308</v>
      </c>
      <c r="CP89" s="50">
        <f t="shared" si="123"/>
        <v>0.58268067494428522</v>
      </c>
      <c r="CQ89" s="50">
        <f t="shared" si="124"/>
        <v>7.9337790512575612E-2</v>
      </c>
      <c r="CR89" s="50">
        <f t="shared" si="125"/>
        <v>0.33798153454313912</v>
      </c>
      <c r="CS89" s="14">
        <f t="shared" si="126"/>
        <v>9742</v>
      </c>
      <c r="CT89" s="14">
        <f t="shared" si="127"/>
        <v>2287</v>
      </c>
      <c r="CU89" s="14">
        <f>INT(SUMPRODUCT($AB89:$AF89,$BA89:$BE89)/SUM($BA89:$BE89)/10000*$BX$7*$BZ$34/'疲劳值&amp;地图信息'!$R$10*$BY$55)</f>
        <v>7223</v>
      </c>
      <c r="CV89" s="50">
        <f t="shared" si="128"/>
        <v>0.50602534801579058</v>
      </c>
      <c r="CW89" s="50">
        <f t="shared" si="129"/>
        <v>0.11879285269062954</v>
      </c>
      <c r="CX89" s="50">
        <f t="shared" si="130"/>
        <v>0.37518179929357987</v>
      </c>
      <c r="CY89" s="14">
        <f t="shared" si="131"/>
        <v>11088</v>
      </c>
      <c r="CZ89" s="14">
        <f t="shared" si="132"/>
        <v>5550</v>
      </c>
      <c r="DA89" s="14">
        <f>INT(SUMPRODUCT($AI89:$AM89,$BA89:$BE89)/SUM($BA89:$BE89)/10000*$BX$7*$BZ$34/'疲劳值&amp;地图信息'!$R$10*$BY$56)</f>
        <v>10887</v>
      </c>
      <c r="DB89" s="50">
        <f t="shared" si="133"/>
        <v>0.40283378746594006</v>
      </c>
      <c r="DC89" s="50">
        <f t="shared" si="134"/>
        <v>0.20163487738419619</v>
      </c>
      <c r="DD89" s="50">
        <f t="shared" si="135"/>
        <v>0.39553133514986377</v>
      </c>
      <c r="DE89" s="14">
        <f t="shared" si="136"/>
        <v>11009</v>
      </c>
      <c r="DF89" s="14">
        <f t="shared" si="137"/>
        <v>11437</v>
      </c>
      <c r="DG89" s="14">
        <f>INT(SUMPRODUCT($AP89:$AT89,$BA89:$BE89)/SUM($BA89:$BE89)/10000*$BX$7*$BZ$34/'疲劳值&amp;地图信息'!$R$10*$BY$57)</f>
        <v>14542</v>
      </c>
      <c r="DH89" s="50">
        <f t="shared" si="138"/>
        <v>0.29763707148264301</v>
      </c>
      <c r="DI89" s="50">
        <f t="shared" si="139"/>
        <v>0.30920839191089</v>
      </c>
      <c r="DJ89" s="50">
        <f t="shared" si="140"/>
        <v>0.39315453660646699</v>
      </c>
      <c r="DL89" s="14">
        <f t="shared" si="211"/>
        <v>12371</v>
      </c>
      <c r="DM89" s="14">
        <f t="shared" si="212"/>
        <v>15705</v>
      </c>
      <c r="DN89" s="14">
        <f t="shared" si="213"/>
        <v>19252</v>
      </c>
      <c r="DO89" s="14">
        <f t="shared" si="214"/>
        <v>27525</v>
      </c>
      <c r="DP89" s="14">
        <f t="shared" si="215"/>
        <v>36988</v>
      </c>
      <c r="DQ89" s="14">
        <f t="shared" si="216"/>
        <v>860811</v>
      </c>
      <c r="DT89" s="14">
        <f t="shared" si="210"/>
        <v>235575</v>
      </c>
      <c r="DU89" s="50">
        <f t="shared" si="112"/>
        <v>0.2148650201662553</v>
      </c>
      <c r="DW89" s="14">
        <f t="shared" si="141"/>
        <v>1096386</v>
      </c>
      <c r="EB89" s="14">
        <v>84</v>
      </c>
      <c r="EC89" s="51">
        <f t="shared" si="142"/>
        <v>14415</v>
      </c>
      <c r="ED89" s="51">
        <f t="shared" si="143"/>
        <v>1355</v>
      </c>
      <c r="EE89" s="51">
        <f>INT(SUMPRODUCT($N89:$R89,$BF89:$BJ89)/SUM($BF89:$BJ89)/10000*$BX$7*$BZ$46/'疲劳值&amp;地图信息'!$R$10*$BY$53)</f>
        <v>390</v>
      </c>
      <c r="EF89" s="50">
        <f t="shared" si="144"/>
        <v>0.89201732673267331</v>
      </c>
      <c r="EG89" s="50">
        <f t="shared" si="145"/>
        <v>8.3849009900990104E-2</v>
      </c>
      <c r="EH89" s="50">
        <f t="shared" si="146"/>
        <v>2.4133663366336634E-2</v>
      </c>
      <c r="EI89" s="51">
        <f t="shared" si="147"/>
        <v>15252</v>
      </c>
      <c r="EJ89" s="51">
        <f t="shared" si="148"/>
        <v>2078</v>
      </c>
      <c r="EK89" s="14">
        <f>INT(SUMPRODUCT($U89:$Y89,$BF89:$BJ89)/SUM($BF89:$BJ89)/10000*$BX$7*$BZ$46/'疲劳值&amp;地图信息'!$R$10*$BY$54)</f>
        <v>712</v>
      </c>
      <c r="EL89" s="50">
        <f t="shared" si="149"/>
        <v>0.84536082474226804</v>
      </c>
      <c r="EM89" s="50">
        <f t="shared" si="150"/>
        <v>0.11517570114178029</v>
      </c>
      <c r="EN89" s="50">
        <f t="shared" si="151"/>
        <v>3.946347411595167E-2</v>
      </c>
      <c r="EO89" s="51">
        <f t="shared" si="152"/>
        <v>16238</v>
      </c>
      <c r="EP89" s="51">
        <f t="shared" si="153"/>
        <v>3812</v>
      </c>
      <c r="EQ89" s="14">
        <f>INT(SUMPRODUCT($AB89:$AF89,$BF89:$BJ89)/SUM($BF89:$BJ89)/10000*$BX$7*$BZ$46/'疲劳值&amp;地图信息'!$R$10*$BY$55)</f>
        <v>968</v>
      </c>
      <c r="ER89" s="50">
        <f t="shared" si="154"/>
        <v>0.77257588733466553</v>
      </c>
      <c r="ES89" s="50">
        <f t="shared" si="155"/>
        <v>0.18136835093729184</v>
      </c>
      <c r="ET89" s="50">
        <f t="shared" si="156"/>
        <v>4.6055761728042627E-2</v>
      </c>
      <c r="EU89" s="51">
        <f t="shared" si="157"/>
        <v>18481</v>
      </c>
      <c r="EV89" s="51">
        <f t="shared" si="158"/>
        <v>9250</v>
      </c>
      <c r="EW89" s="14">
        <f>INT(SUMPRODUCT($AI89:$AM89,$BF89:$BJ89)/SUM($BF89:$BJ89)/10000*$BX$7*$BZ$46/'疲劳值&amp;地图信息'!$R$10*$BY$56)</f>
        <v>1452</v>
      </c>
      <c r="EX89" s="50">
        <f t="shared" si="159"/>
        <v>0.63327964911078372</v>
      </c>
      <c r="EY89" s="50">
        <f t="shared" si="160"/>
        <v>0.31696535654319297</v>
      </c>
      <c r="EZ89" s="50">
        <f t="shared" si="161"/>
        <v>4.9754994346023367E-2</v>
      </c>
      <c r="FA89" s="51">
        <f t="shared" si="162"/>
        <v>18349</v>
      </c>
      <c r="FB89" s="51">
        <f t="shared" si="163"/>
        <v>19062</v>
      </c>
      <c r="FC89" s="14">
        <f>INT(SUMPRODUCT($AP89:$AT89,$BF89:$BJ89)/SUM($BF89:$BJ89)/10000*$BX$7*$BZ$46/'疲劳值&amp;地图信息'!$R$10*$BY$57)</f>
        <v>1936</v>
      </c>
      <c r="FD89" s="50">
        <f t="shared" si="164"/>
        <v>0.46633796731644089</v>
      </c>
      <c r="FE89" s="50">
        <f t="shared" si="165"/>
        <v>0.48445878974254708</v>
      </c>
      <c r="FF89" s="50">
        <f t="shared" si="166"/>
        <v>4.920324294101202E-2</v>
      </c>
      <c r="FH89" s="14">
        <f t="shared" si="167"/>
        <v>16160</v>
      </c>
      <c r="FI89" s="14">
        <f t="shared" si="168"/>
        <v>18042</v>
      </c>
      <c r="FJ89" s="14">
        <f t="shared" si="169"/>
        <v>21018</v>
      </c>
      <c r="FK89" s="14">
        <f t="shared" si="170"/>
        <v>29183</v>
      </c>
      <c r="FL89" s="14">
        <f t="shared" si="171"/>
        <v>39347</v>
      </c>
      <c r="FM89" s="14">
        <f t="shared" si="172"/>
        <v>1879963</v>
      </c>
      <c r="FP89" s="14">
        <f t="shared" si="173"/>
        <v>334150</v>
      </c>
      <c r="FQ89" s="50">
        <f t="shared" si="113"/>
        <v>0.1509182232343155</v>
      </c>
      <c r="FS89" s="14">
        <f t="shared" si="174"/>
        <v>2214113</v>
      </c>
      <c r="FX89" s="14">
        <v>84</v>
      </c>
      <c r="FY89" s="51">
        <f t="shared" si="175"/>
        <v>20181</v>
      </c>
      <c r="FZ89" s="51">
        <f t="shared" si="176"/>
        <v>1355</v>
      </c>
      <c r="GA89" s="51">
        <f>INT(SUMPRODUCT($N89:$R89,$BF89:$BJ89)/SUM($BF89:$BJ89)/10000*$BX$7*$BZ$46/'疲劳值&amp;地图信息'!$R$10*$BY$53)</f>
        <v>390</v>
      </c>
      <c r="GB89" s="50">
        <f t="shared" si="177"/>
        <v>0.92041412022256686</v>
      </c>
      <c r="GC89" s="50">
        <f t="shared" si="178"/>
        <v>6.1798777706832071E-2</v>
      </c>
      <c r="GD89" s="50">
        <f t="shared" si="179"/>
        <v>1.7787102070601114E-2</v>
      </c>
      <c r="GE89" s="51">
        <f t="shared" si="180"/>
        <v>21353</v>
      </c>
      <c r="GF89" s="51">
        <f t="shared" si="181"/>
        <v>2078</v>
      </c>
      <c r="GG89" s="14">
        <f>INT(SUMPRODUCT($U89:$Y89,$BF89:$BJ89)/SUM($BF89:$BJ89)/10000*$BX$7*$BZ$46/'疲劳值&amp;地图信息'!$R$10*$BY$54)</f>
        <v>712</v>
      </c>
      <c r="GH89" s="50">
        <f t="shared" si="182"/>
        <v>0.88443855361802592</v>
      </c>
      <c r="GI89" s="50">
        <f t="shared" si="183"/>
        <v>8.6070496624280332E-2</v>
      </c>
      <c r="GJ89" s="50">
        <f t="shared" si="184"/>
        <v>2.949094975769374E-2</v>
      </c>
      <c r="GK89" s="51">
        <f t="shared" si="185"/>
        <v>22733</v>
      </c>
      <c r="GL89" s="51">
        <f t="shared" si="186"/>
        <v>3812</v>
      </c>
      <c r="GM89" s="14">
        <f>INT(SUMPRODUCT($AB89:$AF89,$BF89:$BJ89)/SUM($BF89:$BJ89)/10000*$BX$7*$BZ$46/'疲劳值&amp;地图信息'!$R$10*$BY$55)</f>
        <v>968</v>
      </c>
      <c r="GN89" s="50">
        <f t="shared" si="187"/>
        <v>0.8262639479518773</v>
      </c>
      <c r="GO89" s="50">
        <f t="shared" si="188"/>
        <v>0.13855268418565769</v>
      </c>
      <c r="GP89" s="50">
        <f t="shared" si="189"/>
        <v>3.5183367862465016E-2</v>
      </c>
      <c r="GQ89" s="51">
        <f t="shared" si="190"/>
        <v>25873</v>
      </c>
      <c r="GR89" s="51">
        <f t="shared" si="191"/>
        <v>9250</v>
      </c>
      <c r="GS89" s="14">
        <f>INT(SUMPRODUCT($AI89:$AM89,$BF89:$BJ89)/SUM($BF89:$BJ89)/10000*$BX$7*$BZ$46/'疲劳值&amp;地图信息'!$R$10*$BY$56)</f>
        <v>1452</v>
      </c>
      <c r="GT89" s="50">
        <f t="shared" si="192"/>
        <v>0.70739576213260424</v>
      </c>
      <c r="GU89" s="50">
        <f t="shared" si="193"/>
        <v>0.25290498974709502</v>
      </c>
      <c r="GV89" s="50">
        <f t="shared" si="194"/>
        <v>3.9699248120300755E-2</v>
      </c>
      <c r="GW89" s="51">
        <f t="shared" si="195"/>
        <v>25688</v>
      </c>
      <c r="GX89" s="51">
        <f t="shared" si="196"/>
        <v>19062</v>
      </c>
      <c r="GY89" s="14">
        <f>INT(SUMPRODUCT($AP89:$AT89,$BF89:$BJ89)/SUM($BF89:$BJ89)/10000*$BX$7*$BZ$46/'疲劳值&amp;地图信息'!$R$10*$BY$57)</f>
        <v>1936</v>
      </c>
      <c r="GZ89" s="50">
        <f t="shared" si="197"/>
        <v>0.55022919076382637</v>
      </c>
      <c r="HA89" s="50">
        <f t="shared" si="198"/>
        <v>0.40830227477188025</v>
      </c>
      <c r="HB89" s="50">
        <f t="shared" si="199"/>
        <v>4.1468534464293362E-2</v>
      </c>
      <c r="HD89" s="14">
        <f t="shared" si="200"/>
        <v>21926</v>
      </c>
      <c r="HE89" s="14">
        <f t="shared" si="201"/>
        <v>24143</v>
      </c>
      <c r="HF89" s="14">
        <f t="shared" si="202"/>
        <v>27513</v>
      </c>
      <c r="HG89" s="14">
        <f t="shared" si="203"/>
        <v>36575</v>
      </c>
      <c r="HH89" s="14">
        <f t="shared" si="204"/>
        <v>46686</v>
      </c>
      <c r="HI89" s="14">
        <f t="shared" si="205"/>
        <v>2511294</v>
      </c>
      <c r="HL89" s="14">
        <f t="shared" si="206"/>
        <v>430050</v>
      </c>
      <c r="HM89" s="50">
        <f t="shared" si="114"/>
        <v>0.14620867195404549</v>
      </c>
      <c r="HO89" s="14">
        <f t="shared" si="207"/>
        <v>2941344</v>
      </c>
    </row>
    <row r="90" spans="11:223" x14ac:dyDescent="0.2">
      <c r="K90" s="14">
        <v>85</v>
      </c>
      <c r="L90" s="12">
        <f>求节点(节奏总纲!D$4:D$163,标准城池设计!AB$4:AB$163,$K90)*求节点(节奏总纲!D$4:D$163,攻城基础信息!$AC$5:$AC$164,$K90)</f>
        <v>427088.92319948168</v>
      </c>
      <c r="M90" s="12">
        <f>INDEX(其他调用!$AA$5:$AA$404,MATCH(K90,其他调用!$X$5:$X$404,0))*MIN(INDEX(其他调用!$AH$5:$AH$364,MATCH('征服点（新）'!K90,其他调用!$AG$5:$AG$364,0),1)/INDEX(其他调用!$AJ$5:$AJ$364,MATCH(K90,其他调用!$AG$5:$AG$364,0),0),5)*求节点(节奏总纲!D$4:D$163,攻城基础信息!$AC$5:$AC$164,$K90)</f>
        <v>40030.190905460222</v>
      </c>
      <c r="N90" s="12">
        <f>MIN(INDEX(其他调用!$AH$5:$AH$364,MATCH($K90,其他调用!$AG$5:$AG$364,0),1)/INDEX(其他调用!AH$5:AH$364,MATCH($K90,其他调用!$AG$5:$AG$364,0),0),1)*INDEX(其他调用!Y$5:Y$404,MATCH($K90,其他调用!$X$5:$X$404,0),0)</f>
        <v>35212.130432839527</v>
      </c>
      <c r="O90" s="12">
        <f>MIN(INDEX(其他调用!$AH$5:$AH$364,MATCH($K90,其他调用!$AG$5:$AG$364,0),1)/INDEX(其他调用!AI$5:AI$364,MATCH($K90,其他调用!$AG$5:$AG$364,0),0),1)*INDEX(其他调用!Z$5:Z$404,MATCH($K90,其他调用!$X$5:$X$404,0),0)</f>
        <v>23699.797593981104</v>
      </c>
      <c r="P90" s="12">
        <f>MIN(INDEX(其他调用!$AH$5:$AH$364,MATCH($K90,其他调用!$AG$5:$AG$364,0),1)/INDEX(其他调用!AJ$5:AJ$364,MATCH($K90,其他调用!$AG$5:$AG$364,0),0),1)*INDEX(其他调用!AA$5:AA$404,MATCH($K90,其他调用!$X$5:$X$404,0),0)</f>
        <v>13454.625913260683</v>
      </c>
      <c r="Q90" s="12">
        <f>MIN(INDEX(其他调用!$AH$5:$AH$364,MATCH($K90,其他调用!$AG$5:$AG$364,0),1)/INDEX(其他调用!AK$5:AK$364,MATCH($K90,其他调用!$AG$5:$AG$364,0),0),1)*INDEX(其他调用!AB$5:AB$404,MATCH($K90,其他调用!$X$5:$X$404,0),0)</f>
        <v>5864.8107994464453</v>
      </c>
      <c r="R90" s="12">
        <f>MIN(INDEX(其他调用!$AH$5:$AH$364,MATCH($K90,其他调用!$AG$5:$AG$364,0),1)/INDEX(其他调用!AL$5:AL$364,MATCH($K90,其他调用!$AG$5:$AG$364,0),0),1)*INDEX(其他调用!AC$5:AC$404,MATCH($K90,其他调用!$X$5:$X$404,0),0)</f>
        <v>1764.8048808614571</v>
      </c>
      <c r="S90" s="12">
        <f>求节点(节奏总纲!D$4:D$163,标准城池设计!AC$4:AC$163,$K90)*求节点(节奏总纲!D$4:D$163,攻城基础信息!$AD$5:$AD$164,$K90)</f>
        <v>451883.13446202362</v>
      </c>
      <c r="T90" s="12">
        <f>INDEX(其他调用!$AA$5:$AA$404,MATCH($K90,其他调用!$X$5:$X$404,0))*MIN(INDEX(其他调用!AI$5:AI$364,MATCH($K90,其他调用!$AG$5:$AG$364,0),1)/INDEX(其他调用!$AJ$5:$AJ$364,MATCH($K90,其他调用!$AG$5:$AG$364,0),0),5)*求节点(节奏总纲!D$4:D$163,攻城基础信息!$AD$5:$AD$164,$K90)</f>
        <v>61396.52920554766</v>
      </c>
      <c r="U90" s="12">
        <f>MIN(INDEX(其他调用!$AI$5:$AI$364,MATCH($K90,其他调用!$AG$5:$AG$364,0),1)/INDEX(其他调用!AH$5:AH$364,MATCH($K90,其他调用!$AG$5:$AG$364,0),0),1)*INDEX(其他调用!Y$5:Y$404,MATCH($K90,其他调用!$X$5:$X$404,0),0)</f>
        <v>35212.130432839527</v>
      </c>
      <c r="V90" s="12">
        <f>MIN(INDEX(其他调用!$AI$5:$AI$364,MATCH($K90,其他调用!$AG$5:$AG$364,0),1)/INDEX(其他调用!AI$5:AI$364,MATCH($K90,其他调用!$AG$5:$AG$364,0),0),1)*INDEX(其他调用!Z$5:Z$404,MATCH($K90,其他调用!$X$5:$X$404,0),0)</f>
        <v>36349.697121877864</v>
      </c>
      <c r="W90" s="12">
        <f>MIN(INDEX(其他调用!$AI$5:$AI$364,MATCH($K90,其他调用!$AG$5:$AG$364,0),1)/INDEX(其他调用!AJ$5:AJ$364,MATCH($K90,其他调用!$AG$5:$AG$364,0),0),1)*INDEX(其他调用!AA$5:AA$404,MATCH($K90,其他调用!$X$5:$X$404,0),0)</f>
        <v>20636.107751375977</v>
      </c>
      <c r="X90" s="12">
        <f>MIN(INDEX(其他调用!$AI$5:$AI$364,MATCH($K90,其他调用!$AG$5:$AG$364,0),1)/INDEX(其他调用!AK$5:AK$364,MATCH($K90,其他调用!$AG$5:$AG$364,0),0),1)*INDEX(其他调用!AB$5:AB$404,MATCH($K90,其他调用!$X$5:$X$404,0),0)</f>
        <v>8995.1863677999409</v>
      </c>
      <c r="Y90" s="12">
        <f>MIN(INDEX(其他调用!$AI$5:$AI$364,MATCH($K90,其他调用!$AG$5:$AG$364,0),1)/INDEX(其他调用!AL$5:AL$364,MATCH($K90,其他调用!$AG$5:$AG$364,0),0),1)*INDEX(其他调用!AC$5:AC$404,MATCH($K90,其他调用!$X$5:$X$404,0),0)</f>
        <v>2706.7793572556725</v>
      </c>
      <c r="Z90" s="12">
        <f>求节点(节奏总纲!D$4:D$163,标准城池设计!AD$4:AD$163,$K90)*求节点(节奏总纲!D$4:D$163,攻城基础信息!$AE$5:$AE$164,$K90)</f>
        <v>481474.35411483212</v>
      </c>
      <c r="AA90" s="12">
        <f>INDEX(其他调用!$AA$5:$AA$404,MATCH($K90,其他调用!$X$5:$X$404,0))*MIN(INDEX(其他调用!AJ$5:AJ$364,MATCH($K90,其他调用!$AG$5:$AG$364,0),1)/INDEX(其他调用!$AJ$5:$AJ$364,MATCH($K90,其他调用!$AG$5:$AG$364,0),0),5)*求节点(节奏总纲!D$4:D$163,攻城基础信息!$AE$5:$AE$164,$K90)</f>
        <v>112638.95326965742</v>
      </c>
      <c r="AB90" s="12">
        <f>MIN(INDEX(其他调用!$AJ$5:$AJ$364,MATCH($K90,其他调用!$AG$5:$AG$364,0),1)/INDEX(其他调用!AH$5:AH$364,MATCH($K90,其他调用!$AG$5:$AG$364,0),0),1)*INDEX(其他调用!Y$5:Y$404,MATCH($K90,其他调用!$X$5:$X$404,0),0)</f>
        <v>35212.130432839527</v>
      </c>
      <c r="AC90" s="12">
        <f>MIN(INDEX(其他调用!$AJ$5:$AJ$364,MATCH($K90,其他调用!$AG$5:$AG$364,0),1)/INDEX(其他调用!AI$5:AI$364,MATCH($K90,其他调用!$AG$5:$AG$364,0),0),1)*INDEX(其他调用!Z$5:Z$404,MATCH($K90,其他调用!$X$5:$X$404,0),0)</f>
        <v>36349.697121877864</v>
      </c>
      <c r="AD90" s="12">
        <f>MIN(INDEX(其他调用!$AJ$5:$AJ$364,MATCH($K90,其他调用!$AG$5:$AG$364,0),1)/INDEX(其他调用!AJ$5:AJ$364,MATCH($K90,其他调用!$AG$5:$AG$364,0),0),1)*INDEX(其他调用!AA$5:AA$404,MATCH($K90,其他调用!$X$5:$X$404,0),0)</f>
        <v>37859.299324444932</v>
      </c>
      <c r="AE90" s="12">
        <f>MIN(INDEX(其他调用!$AJ$5:$AJ$364,MATCH($K90,其他调用!$AG$5:$AG$364,0),1)/INDEX(其他调用!AK$5:AK$364,MATCH($K90,其他调用!$AG$5:$AG$364,0),0),1)*INDEX(其他调用!AB$5:AB$404,MATCH($K90,其他调用!$X$5:$X$404,0),0)</f>
        <v>16502.697954511175</v>
      </c>
      <c r="AF90" s="12">
        <f>MIN(INDEX(其他调用!$AJ$5:$AJ$364,MATCH($K90,其他调用!$AG$5:$AG$364,0),1)/INDEX(其他调用!AL$5:AL$364,MATCH($K90,其他调用!$AG$5:$AG$364,0),0),1)*INDEX(其他调用!AC$5:AC$404,MATCH($K90,其他调用!$X$5:$X$404,0),0)</f>
        <v>4965.8962400377177</v>
      </c>
      <c r="AG90" s="12">
        <f>求节点(节奏总纲!D$4:D$163,标准城池设计!AE$4:AE$163,$K90)*求节点(节奏总纲!D$4:D$163,攻城基础信息!$AF$5:$AF$164,$K90)</f>
        <v>547824.91052406747</v>
      </c>
      <c r="AH90" s="12">
        <f>INDEX(其他调用!$AA$5:$AA$404,MATCH($K90,其他调用!$X$5:$X$404,0))*MIN(INDEX(其他调用!AK$5:AK$364,MATCH($K90,其他调用!$AG$5:$AG$364,0),1)/INDEX(其他调用!$AJ$5:$AJ$364,MATCH($K90,其他调用!$AG$5:$AG$364,0),0),5)*求节点(节奏总纲!D$4:D$163,攻城基础信息!$AF$5:$AF$164,$K90)</f>
        <v>273286.68558790145</v>
      </c>
      <c r="AI90" s="12">
        <f>MIN(INDEX(其他调用!$AK$5:$AK$364,MATCH($K90,其他调用!$AG$5:$AG$364,0),1)/INDEX(其他调用!AH$5:AH$364,MATCH($K90,其他调用!$AG$5:$AG$364,0),0),1)*INDEX(其他调用!Y$5:Y$404,MATCH($K90,其他调用!$X$5:$X$404,0),0)</f>
        <v>35212.130432839527</v>
      </c>
      <c r="AJ90" s="12">
        <f>MIN(INDEX(其他调用!$AK$5:$AK$364,MATCH($K90,其他调用!$AG$5:$AG$364,0),1)/INDEX(其他调用!AI$5:AI$364,MATCH($K90,其他调用!$AG$5:$AG$364,0),0),1)*INDEX(其他调用!Z$5:Z$404,MATCH($K90,其他调用!$X$5:$X$404,0),0)</f>
        <v>36349.697121877864</v>
      </c>
      <c r="AK90" s="12">
        <f>MIN(INDEX(其他调用!$AK$5:$AK$364,MATCH($K90,其他调用!$AG$5:$AG$364,0),1)/INDEX(其他调用!AJ$5:AJ$364,MATCH($K90,其他调用!$AG$5:$AG$364,0),0),1)*INDEX(其他调用!AA$5:AA$404,MATCH($K90,其他调用!$X$5:$X$404,0),0)</f>
        <v>37859.299324444932</v>
      </c>
      <c r="AL90" s="12">
        <f>MIN(INDEX(其他调用!$AK$5:$AK$364,MATCH($K90,其他调用!$AG$5:$AG$364,0),1)/INDEX(其他调用!AK$5:AK$364,MATCH($K90,其他调用!$AG$5:$AG$364,0),0),1)*INDEX(其他调用!AB$5:AB$404,MATCH($K90,其他调用!$X$5:$X$404,0),0)</f>
        <v>40039.147171846911</v>
      </c>
      <c r="AM90" s="12">
        <f>MIN(INDEX(其他调用!$AK$5:$AK$364,MATCH($K90,其他调用!$AG$5:$AG$364,0),1)/INDEX(其他调用!AL$5:AL$364,MATCH($K90,其他调用!$AG$5:$AG$364,0),0),1)*INDEX(其他调用!AC$5:AC$404,MATCH($K90,其他调用!$X$5:$X$404,0),0)</f>
        <v>12048.348151499626</v>
      </c>
      <c r="AN90" s="12">
        <f>求节点(节奏总纲!D$4:D$163,标准城池设计!AF$4:AF$163,$K90)*求节点(节奏总纲!D$4:D$163,攻城基础信息!$AG$5:$AG$164,$K90)</f>
        <v>543142.43025163712</v>
      </c>
      <c r="AO90" s="12">
        <f>INDEX(其他调用!$AA$5:$AA$404,MATCH($K90,其他调用!$X$5:$X$404,0))*MIN(INDEX(其他调用!AL$5:AL$364,MATCH($K90,其他调用!$AG$5:$AG$364,0),1)/INDEX(其他调用!$AJ$5:$AJ$364,MATCH($K90,其他调用!$AG$5:$AG$364,0),0),5)*求节点(节奏总纲!D$4:D$163,攻城基础信息!$AG$5:$AG$164,$K90)</f>
        <v>563194.76634828711</v>
      </c>
      <c r="AP90" s="12">
        <f>MIN(INDEX(其他调用!$AL$5:$AL$364,MATCH($K90,其他调用!$AG$5:$AG$364,0),1)/INDEX(其他调用!AH$5:AH$364,MATCH($K90,其他调用!$AG$5:$AG$364,0),0),1)*INDEX(其他调用!Y$5:Y$404,MATCH($K90,其他调用!$X$5:$X$404,0),0)</f>
        <v>35212.130432839527</v>
      </c>
      <c r="AQ90" s="12">
        <f>MIN(INDEX(其他调用!$AL$5:$AL$364,MATCH($K90,其他调用!$AG$5:$AG$364,0),1)/INDEX(其他调用!AI$5:AI$364,MATCH($K90,其他调用!$AG$5:$AG$364,0),0),1)*INDEX(其他调用!Z$5:Z$404,MATCH($K90,其他调用!$X$5:$X$404,0),0)</f>
        <v>36349.697121877864</v>
      </c>
      <c r="AR90" s="12">
        <f>MIN(INDEX(其他调用!$AL$5:$AL$364,MATCH($K90,其他调用!$AG$5:$AG$364,0),1)/INDEX(其他调用!AJ$5:AJ$364,MATCH($K90,其他调用!$AG$5:$AG$364,0),0),1)*INDEX(其他调用!AA$5:AA$404,MATCH($K90,其他调用!$X$5:$X$404,0),0)</f>
        <v>37859.299324444932</v>
      </c>
      <c r="AS90" s="12">
        <f>MIN(INDEX(其他调用!$AL$5:$AL$364,MATCH($K90,其他调用!$AG$5:$AG$364,0),1)/INDEX(其他调用!AK$5:AK$364,MATCH($K90,其他调用!$AG$5:$AG$364,0),0),1)*INDEX(其他调用!AB$5:AB$404,MATCH($K90,其他调用!$X$5:$X$404,0),0)</f>
        <v>40039.147171846911</v>
      </c>
      <c r="AT90" s="12">
        <f>MIN(INDEX(其他调用!$AL$5:$AL$364,MATCH($K90,其他调用!$AG$5:$AG$364,0),1)/INDEX(其他调用!AL$5:AL$364,MATCH($K90,其他调用!$AG$5:$AG$364,0),0),1)*INDEX(其他调用!AC$5:AC$404,MATCH($K90,其他调用!$X$5:$X$404,0),0)</f>
        <v>43883.606692508809</v>
      </c>
      <c r="AV90" s="14">
        <f>IF(OR(AV$5="大R",AV$5="超R"),MAX(INDEX(其他调用!$H$5:$L$404,MATCH($K90,其他调用!$B$5:$B$404,0),MATCH(AV$5,其他调用!$H$4:$L$4,0))*120*0.85,2),INDEX(其他调用!$H$5:$L$404,MATCH($K90,其他调用!$B$5:$B$404,0),MATCH(AV$5,其他调用!$H$4:$L$4,0))*120*0.85)</f>
        <v>49.350939862499999</v>
      </c>
      <c r="AW90" s="14">
        <f>IF(OR(AW$5="大R",AW$5="超R"),MAX(INDEX(其他调用!$H$5:$L$404,MATCH($K90,其他调用!$B$5:$B$404,0),MATCH(AW$5,其他调用!$H$4:$L$4,0))*120*0.85,2),INDEX(其他调用!$H$5:$L$404,MATCH($K90,其他调用!$B$5:$B$404,0),MATCH(AW$5,其他调用!$H$4:$L$4,0))*120*0.85)</f>
        <v>47.830456115291994</v>
      </c>
      <c r="AX90" s="14">
        <f>IF(OR(AX$5="大R",AX$5="超R"),MAX(INDEX(其他调用!$H$5:$L$404,MATCH($K90,其他调用!$B$5:$B$404,0),MATCH(AX$5,其他调用!$H$4:$L$4,0))*120*0.85,2),INDEX(其他调用!$H$5:$L$404,MATCH($K90,其他调用!$B$5:$B$404,0),MATCH(AX$5,其他调用!$H$4:$L$4,0))*120*0.85)</f>
        <v>3.9279298222080006</v>
      </c>
      <c r="AY90" s="14">
        <f>IF(OR(AY$5="大R",AY$5="超R"),MAX(INDEX(其他调用!$H$5:$L$404,MATCH($K90,其他调用!$B$5:$B$404,0),MATCH(AY$5,其他调用!$H$4:$L$4,0))*120*0.85,2),INDEX(其他调用!$H$5:$L$404,MATCH($K90,其他调用!$B$5:$B$404,0),MATCH(AY$5,其他调用!$H$4:$L$4,0))*120*0.85)</f>
        <v>2</v>
      </c>
      <c r="AZ90" s="14">
        <f>IF(OR(AZ$5="大R",AZ$5="超R"),MAX(INDEX(其他调用!$H$5:$L$404,MATCH($K90,其他调用!$B$5:$B$404,0),MATCH(AZ$5,其他调用!$H$4:$L$4,0))*120*0.85,2),INDEX(其他调用!$H$5:$L$404,MATCH($K90,其他调用!$B$5:$B$404,0),MATCH(AZ$5,其他调用!$H$4:$L$4,0))*120*0.85)</f>
        <v>2</v>
      </c>
      <c r="BA90" s="14">
        <f>INDEX(其他调用!$H$5:$L$404,MATCH($K90,其他调用!$B$5:$B$404,0),MATCH(BA$5,其他调用!$H$4:$L$4,0))*INDEX(其他调用!$M$5:$M$404,MATCH($K90,其他调用!$B$5:$B$404,0))*0.6</f>
        <v>29.029964624999998</v>
      </c>
      <c r="BB90" s="14">
        <f>INDEX(其他调用!$H$5:$L$404,MATCH($K90,其他调用!$B$5:$B$404,0),MATCH(BB$5,其他调用!$H$4:$L$4,0))*INDEX(其他调用!$M$5:$M$404,MATCH($K90,其他调用!$B$5:$B$404,0))*0.6</f>
        <v>28.135562420759992</v>
      </c>
      <c r="BC90" s="14">
        <f>INDEX(其他调用!$H$5:$L$404,MATCH($K90,其他调用!$B$5:$B$404,0),MATCH(BC$5,其他调用!$H$4:$L$4,0))*INDEX(其他调用!$M$5:$M$404,MATCH($K90,其他调用!$B$5:$B$404,0))*0.6</f>
        <v>2.3105469542400003</v>
      </c>
      <c r="BD90" s="14">
        <f>INDEX(其他调用!$H$5:$L$404,MATCH($K90,其他调用!$B$5:$B$404,0),MATCH(BD$5,其他调用!$H$4:$L$4,0))*INDEX(其他调用!$M$5:$M$404,MATCH($K90,其他调用!$B$5:$B$404,0))*0.6</f>
        <v>0.40728600000000009</v>
      </c>
      <c r="BE90" s="14">
        <f>INDEX(其他调用!$H$5:$L$404,MATCH($K90,其他调用!$B$5:$B$404,0),MATCH(BE$5,其他调用!$H$4:$L$4,0))*INDEX(其他调用!$M$5:$M$404,MATCH($K90,其他调用!$B$5:$B$404,0))*0.6</f>
        <v>0.11663999999999999</v>
      </c>
      <c r="BF90" s="14">
        <f>IF(OR(BF$5="大R",BF$5="超R"),0,INDEX(其他调用!$H$5:$L$404,MATCH($K90,其他调用!$B$5:$B$404,0),MATCH(BF$5,其他调用!$H$4:$L$4,0))*50*0.4)</f>
        <v>9.6766548750000005</v>
      </c>
      <c r="BG90" s="14">
        <f>IF(OR(BG$5="大R",BG$5="超R"),0,INDEX(其他调用!$H$5:$L$404,MATCH($K90,其他调用!$B$5:$B$404,0),MATCH(BG$5,其他调用!$H$4:$L$4,0))*50*0.4)</f>
        <v>9.3785208069199992</v>
      </c>
      <c r="BH90" s="14">
        <f>IF(OR(BH$5="大R",BH$5="超R"),0,INDEX(其他调用!$H$5:$L$404,MATCH($K90,其他调用!$B$5:$B$404,0),MATCH(BH$5,其他调用!$H$4:$L$4,0))*50*0.4)</f>
        <v>0.77018231808000015</v>
      </c>
      <c r="BI90" s="14">
        <f>IF(OR(BI$5="大R",BI$5="超R"),0,INDEX(其他调用!$H$5:$L$404,MATCH($K90,其他调用!$B$5:$B$404,0),MATCH(BI$5,其他调用!$H$4:$L$4,0))*50*0.4)</f>
        <v>0</v>
      </c>
      <c r="BJ90" s="14">
        <f>IF(OR(BJ$5="大R",BJ$5="超R"),0,INDEX(其他调用!$H$5:$L$404,MATCH($K90,其他调用!$B$5:$B$404,0),MATCH(BJ$5,其他调用!$H$4:$L$4,0))*50*0.4)</f>
        <v>0</v>
      </c>
      <c r="BL90" s="14">
        <f t="shared" si="208"/>
        <v>85</v>
      </c>
      <c r="BM90" s="14">
        <f t="shared" si="115"/>
        <v>96</v>
      </c>
      <c r="BN90" s="14">
        <f>('疲劳值&amp;地图信息'!$S$10*'疲劳值&amp;地图信息'!$R$10+'疲劳值&amp;地图信息'!$S$11*'疲劳值&amp;地图信息'!$R$11+'疲劳值&amp;地图信息'!$S$12*'疲劳值&amp;地图信息'!$R$12+(BM90-'疲劳值&amp;地图信息'!$S$12-'疲劳值&amp;地图信息'!$S$11-'疲劳值&amp;地图信息'!$S$10)*'疲劳值&amp;地图信息'!$R$13)/BM90</f>
        <v>51.371477246638619</v>
      </c>
      <c r="BO90" s="14">
        <f>INDEX(其他调用!$M$5:$M$404,MATCH(BL90,其他调用!$B$5:$B$404,0))*0.6</f>
        <v>60</v>
      </c>
      <c r="BP90" s="14">
        <f>IF(BO90&gt;SUM('疲劳值&amp;地图信息'!$S$10:$S$12),('疲劳值&amp;地图信息'!$S$10*'疲劳值&amp;地图信息'!$R$10+'疲劳值&amp;地图信息'!$S$11*'疲劳值&amp;地图信息'!$R$11+'疲劳值&amp;地图信息'!$S$12*'疲劳值&amp;地图信息'!$R$12+(BO90-'疲劳值&amp;地图信息'!$S$12-'疲劳值&amp;地图信息'!$S$11-'疲劳值&amp;地图信息'!$S$10)*'疲劳值&amp;地图信息'!$R$13)/BO90,('疲劳值&amp;地图信息'!$S$10*'疲劳值&amp;地图信息'!$R$10+'疲劳值&amp;地图信息'!$S$11*'疲劳值&amp;地图信息'!$R$11+'疲劳值&amp;地图信息'!$S$12*'疲劳值&amp;地图信息'!$R$12+(BO90-'疲劳值&amp;地图信息'!$S$12-'疲劳值&amp;地图信息'!$S$11-'疲劳值&amp;地图信息'!$S$10)*'疲劳值&amp;地图信息'!$R$13)/BO90)</f>
        <v>44.158136341605953</v>
      </c>
      <c r="BQ90" s="14">
        <f t="shared" si="209"/>
        <v>20</v>
      </c>
      <c r="BR90" s="14">
        <f>('疲劳值&amp;地图信息'!$S$10*'疲劳值&amp;地图信息'!$R$10+($BQ90-'疲劳值&amp;地图信息'!$S$10)*'疲劳值&amp;地图信息'!$R$11)/$BQ90</f>
        <v>32.067203015074995</v>
      </c>
      <c r="CF90" s="14">
        <v>85</v>
      </c>
      <c r="CG90" s="51">
        <f t="shared" si="116"/>
        <v>8704</v>
      </c>
      <c r="CH90" s="51">
        <f t="shared" si="117"/>
        <v>815</v>
      </c>
      <c r="CI90" s="51">
        <f>INT(SUMPRODUCT($N90:$R90,$BA90:$BE90)/SUM($BA90:$BE90)/10000*$BX$7*$BZ$34/'疲劳值&amp;地图信息'!$R$10*$BY$53)</f>
        <v>2913</v>
      </c>
      <c r="CJ90" s="50">
        <f t="shared" si="118"/>
        <v>0.7001287001287001</v>
      </c>
      <c r="CK90" s="50">
        <f t="shared" si="119"/>
        <v>6.5556628056628055E-2</v>
      </c>
      <c r="CL90" s="50">
        <f t="shared" si="120"/>
        <v>0.2343146718146718</v>
      </c>
      <c r="CM90" s="14">
        <f t="shared" si="121"/>
        <v>9209</v>
      </c>
      <c r="CN90" s="14">
        <f t="shared" si="122"/>
        <v>1251</v>
      </c>
      <c r="CO90" s="14">
        <f>INT(SUMPRODUCT($U90:$Y90,$BA90:$BE90)/SUM($BA90:$BE90)/10000*$BX$7*$BZ$34/'疲劳值&amp;地图信息'!$R$10*$BY$54)</f>
        <v>5318</v>
      </c>
      <c r="CP90" s="50">
        <f t="shared" si="123"/>
        <v>0.58366079350995059</v>
      </c>
      <c r="CQ90" s="50">
        <f t="shared" si="124"/>
        <v>7.9287615667384972E-2</v>
      </c>
      <c r="CR90" s="50">
        <f t="shared" si="125"/>
        <v>0.33705159082266445</v>
      </c>
      <c r="CS90" s="14">
        <f t="shared" si="126"/>
        <v>9813</v>
      </c>
      <c r="CT90" s="14">
        <f t="shared" si="127"/>
        <v>2295</v>
      </c>
      <c r="CU90" s="14">
        <f>INT(SUMPRODUCT($AB90:$AF90,$BA90:$BE90)/SUM($BA90:$BE90)/10000*$BX$7*$BZ$34/'疲劳值&amp;地图信息'!$R$10*$BY$55)</f>
        <v>7236</v>
      </c>
      <c r="CV90" s="50">
        <f t="shared" si="128"/>
        <v>0.50728908188585609</v>
      </c>
      <c r="CW90" s="50">
        <f t="shared" si="129"/>
        <v>0.11864143920595534</v>
      </c>
      <c r="CX90" s="50">
        <f t="shared" si="130"/>
        <v>0.37406947890818859</v>
      </c>
      <c r="CY90" s="14">
        <f t="shared" si="131"/>
        <v>11165</v>
      </c>
      <c r="CZ90" s="14">
        <f t="shared" si="132"/>
        <v>5569</v>
      </c>
      <c r="DA90" s="14">
        <f>INT(SUMPRODUCT($AI90:$AM90,$BA90:$BE90)/SUM($BA90:$BE90)/10000*$BX$7*$BZ$34/'疲劳值&amp;地图信息'!$R$10*$BY$56)</f>
        <v>10908</v>
      </c>
      <c r="DB90" s="50">
        <f t="shared" si="133"/>
        <v>0.40391433326097964</v>
      </c>
      <c r="DC90" s="50">
        <f t="shared" si="134"/>
        <v>0.2014687793936763</v>
      </c>
      <c r="DD90" s="50">
        <f t="shared" si="135"/>
        <v>0.39461688734534406</v>
      </c>
      <c r="DE90" s="14">
        <f t="shared" si="136"/>
        <v>11069</v>
      </c>
      <c r="DF90" s="14">
        <f t="shared" si="137"/>
        <v>11478</v>
      </c>
      <c r="DG90" s="14">
        <f>INT(SUMPRODUCT($AP90:$AT90,$BA90:$BE90)/SUM($BA90:$BE90)/10000*$BX$7*$BZ$34/'疲劳值&amp;地图信息'!$R$10*$BY$57)</f>
        <v>14569</v>
      </c>
      <c r="DH90" s="50">
        <f t="shared" si="138"/>
        <v>0.29822717965297985</v>
      </c>
      <c r="DI90" s="50">
        <f t="shared" si="139"/>
        <v>0.30924668606530875</v>
      </c>
      <c r="DJ90" s="50">
        <f t="shared" si="140"/>
        <v>0.3925261342817114</v>
      </c>
      <c r="DL90" s="14">
        <f t="shared" si="211"/>
        <v>12432</v>
      </c>
      <c r="DM90" s="14">
        <f t="shared" si="212"/>
        <v>15778</v>
      </c>
      <c r="DN90" s="14">
        <f t="shared" si="213"/>
        <v>19344</v>
      </c>
      <c r="DO90" s="14">
        <f t="shared" si="214"/>
        <v>27642</v>
      </c>
      <c r="DP90" s="14">
        <f t="shared" si="215"/>
        <v>37116</v>
      </c>
      <c r="DQ90" s="14">
        <f t="shared" si="216"/>
        <v>865106</v>
      </c>
      <c r="DT90" s="14">
        <f t="shared" si="210"/>
        <v>235575</v>
      </c>
      <c r="DU90" s="50">
        <f t="shared" si="112"/>
        <v>0.21402658899354127</v>
      </c>
      <c r="DW90" s="14">
        <f t="shared" si="141"/>
        <v>1100681</v>
      </c>
      <c r="EB90" s="14">
        <v>85</v>
      </c>
      <c r="EC90" s="51">
        <f t="shared" si="142"/>
        <v>14507</v>
      </c>
      <c r="ED90" s="51">
        <f t="shared" si="143"/>
        <v>1359</v>
      </c>
      <c r="EE90" s="51">
        <f>INT(SUMPRODUCT($N90:$R90,$BF90:$BJ90)/SUM($BF90:$BJ90)/10000*$BX$7*$BZ$46/'疲劳值&amp;地图信息'!$R$10*$BY$53)</f>
        <v>391</v>
      </c>
      <c r="EF90" s="50">
        <f t="shared" si="144"/>
        <v>0.89235406286522734</v>
      </c>
      <c r="EG90" s="50">
        <f t="shared" si="145"/>
        <v>8.3594759180660644E-2</v>
      </c>
      <c r="EH90" s="50">
        <f t="shared" si="146"/>
        <v>2.4051177954112074E-2</v>
      </c>
      <c r="EI90" s="51">
        <f t="shared" si="147"/>
        <v>15349</v>
      </c>
      <c r="EJ90" s="51">
        <f t="shared" si="148"/>
        <v>2085</v>
      </c>
      <c r="EK90" s="14">
        <f>INT(SUMPRODUCT($U90:$Y90,$BF90:$BJ90)/SUM($BF90:$BJ90)/10000*$BX$7*$BZ$46/'疲劳值&amp;地图信息'!$R$10*$BY$54)</f>
        <v>714</v>
      </c>
      <c r="EL90" s="50">
        <f t="shared" si="149"/>
        <v>0.84576812871941809</v>
      </c>
      <c r="EM90" s="50">
        <f t="shared" si="150"/>
        <v>0.11488869296892219</v>
      </c>
      <c r="EN90" s="50">
        <f t="shared" si="151"/>
        <v>3.9343178311659684E-2</v>
      </c>
      <c r="EO90" s="51">
        <f t="shared" si="152"/>
        <v>16355</v>
      </c>
      <c r="EP90" s="51">
        <f t="shared" si="153"/>
        <v>3826</v>
      </c>
      <c r="EQ90" s="14">
        <f>INT(SUMPRODUCT($AB90:$AF90,$BF90:$BJ90)/SUM($BF90:$BJ90)/10000*$BX$7*$BZ$46/'疲劳值&amp;地图信息'!$R$10*$BY$55)</f>
        <v>970</v>
      </c>
      <c r="ER90" s="50">
        <f t="shared" si="154"/>
        <v>0.77324949174979907</v>
      </c>
      <c r="ES90" s="50">
        <f t="shared" si="155"/>
        <v>0.18088979244480166</v>
      </c>
      <c r="ET90" s="50">
        <f t="shared" si="156"/>
        <v>4.5860715805399271E-2</v>
      </c>
      <c r="EU90" s="51">
        <f t="shared" si="157"/>
        <v>18608</v>
      </c>
      <c r="EV90" s="51">
        <f t="shared" si="158"/>
        <v>9283</v>
      </c>
      <c r="EW90" s="14">
        <f>INT(SUMPRODUCT($AI90:$AM90,$BF90:$BJ90)/SUM($BF90:$BJ90)/10000*$BX$7*$BZ$46/'疲劳值&amp;地图信息'!$R$10*$BY$56)</f>
        <v>1455</v>
      </c>
      <c r="EX90" s="50">
        <f t="shared" si="159"/>
        <v>0.63408982484836096</v>
      </c>
      <c r="EY90" s="50">
        <f t="shared" si="160"/>
        <v>0.31632931234239758</v>
      </c>
      <c r="EZ90" s="50">
        <f t="shared" si="161"/>
        <v>4.9580862809241462E-2</v>
      </c>
      <c r="FA90" s="51">
        <f t="shared" si="162"/>
        <v>18449</v>
      </c>
      <c r="FB90" s="51">
        <f t="shared" si="163"/>
        <v>19131</v>
      </c>
      <c r="FC90" s="14">
        <f>INT(SUMPRODUCT($AP90:$AT90,$BF90:$BJ90)/SUM($BF90:$BJ90)/10000*$BX$7*$BZ$46/'疲劳值&amp;地图信息'!$R$10*$BY$57)</f>
        <v>1940</v>
      </c>
      <c r="FD90" s="50">
        <f t="shared" si="164"/>
        <v>0.46682692307692308</v>
      </c>
      <c r="FE90" s="50">
        <f t="shared" si="165"/>
        <v>0.48408400809716601</v>
      </c>
      <c r="FF90" s="50">
        <f t="shared" si="166"/>
        <v>4.908906882591093E-2</v>
      </c>
      <c r="FH90" s="14">
        <f t="shared" si="167"/>
        <v>16257</v>
      </c>
      <c r="FI90" s="14">
        <f t="shared" si="168"/>
        <v>18148</v>
      </c>
      <c r="FJ90" s="14">
        <f t="shared" si="169"/>
        <v>21151</v>
      </c>
      <c r="FK90" s="14">
        <f t="shared" si="170"/>
        <v>29346</v>
      </c>
      <c r="FL90" s="14">
        <f t="shared" si="171"/>
        <v>39520</v>
      </c>
      <c r="FM90" s="14">
        <f t="shared" si="172"/>
        <v>1891136</v>
      </c>
      <c r="FP90" s="14">
        <f t="shared" si="173"/>
        <v>334150</v>
      </c>
      <c r="FQ90" s="50">
        <f t="shared" si="113"/>
        <v>0.15016047375483421</v>
      </c>
      <c r="FS90" s="14">
        <f t="shared" si="174"/>
        <v>2225286</v>
      </c>
      <c r="FX90" s="14">
        <v>85</v>
      </c>
      <c r="FY90" s="51">
        <f t="shared" si="175"/>
        <v>20310</v>
      </c>
      <c r="FZ90" s="51">
        <f t="shared" si="176"/>
        <v>1359</v>
      </c>
      <c r="GA90" s="51">
        <f>INT(SUMPRODUCT($N90:$R90,$BF90:$BJ90)/SUM($BF90:$BJ90)/10000*$BX$7*$BZ$46/'疲劳值&amp;地图信息'!$R$10*$BY$53)</f>
        <v>391</v>
      </c>
      <c r="GB90" s="50">
        <f t="shared" si="177"/>
        <v>0.92067089755213061</v>
      </c>
      <c r="GC90" s="50">
        <f t="shared" si="178"/>
        <v>6.1604714415231188E-2</v>
      </c>
      <c r="GD90" s="50">
        <f t="shared" si="179"/>
        <v>1.7724388032638261E-2</v>
      </c>
      <c r="GE90" s="51">
        <f t="shared" si="180"/>
        <v>21489</v>
      </c>
      <c r="GF90" s="51">
        <f t="shared" si="181"/>
        <v>2085</v>
      </c>
      <c r="GG90" s="14">
        <f>INT(SUMPRODUCT($U90:$Y90,$BF90:$BJ90)/SUM($BF90:$BJ90)/10000*$BX$7*$BZ$46/'疲劳值&amp;地图信息'!$R$10*$BY$54)</f>
        <v>714</v>
      </c>
      <c r="GH90" s="50">
        <f t="shared" si="182"/>
        <v>0.88475790513833996</v>
      </c>
      <c r="GI90" s="50">
        <f t="shared" si="183"/>
        <v>8.5844861660079055E-2</v>
      </c>
      <c r="GJ90" s="50">
        <f t="shared" si="184"/>
        <v>2.9397233201581028E-2</v>
      </c>
      <c r="GK90" s="51">
        <f t="shared" si="185"/>
        <v>22897</v>
      </c>
      <c r="GL90" s="51">
        <f t="shared" si="186"/>
        <v>3826</v>
      </c>
      <c r="GM90" s="14">
        <f>INT(SUMPRODUCT($AB90:$AF90,$BF90:$BJ90)/SUM($BF90:$BJ90)/10000*$BX$7*$BZ$46/'疲劳值&amp;地图信息'!$R$10*$BY$55)</f>
        <v>970</v>
      </c>
      <c r="GN90" s="50">
        <f t="shared" si="187"/>
        <v>0.82681544072509294</v>
      </c>
      <c r="GO90" s="50">
        <f t="shared" si="188"/>
        <v>0.13815765716968187</v>
      </c>
      <c r="GP90" s="50">
        <f t="shared" si="189"/>
        <v>3.5026902105225147E-2</v>
      </c>
      <c r="GQ90" s="51">
        <f t="shared" si="190"/>
        <v>26052</v>
      </c>
      <c r="GR90" s="51">
        <f t="shared" si="191"/>
        <v>9283</v>
      </c>
      <c r="GS90" s="14">
        <f>INT(SUMPRODUCT($AI90:$AM90,$BF90:$BJ90)/SUM($BF90:$BJ90)/10000*$BX$7*$BZ$46/'疲劳值&amp;地图信息'!$R$10*$BY$56)</f>
        <v>1455</v>
      </c>
      <c r="GT90" s="50">
        <f t="shared" si="192"/>
        <v>0.70812720848056532</v>
      </c>
      <c r="GU90" s="50">
        <f t="shared" si="193"/>
        <v>0.25232400108725195</v>
      </c>
      <c r="GV90" s="50">
        <f t="shared" si="194"/>
        <v>3.9548790432182658E-2</v>
      </c>
      <c r="GW90" s="51">
        <f t="shared" si="195"/>
        <v>25829</v>
      </c>
      <c r="GX90" s="51">
        <f t="shared" si="196"/>
        <v>19131</v>
      </c>
      <c r="GY90" s="14">
        <f>INT(SUMPRODUCT($AP90:$AT90,$BF90:$BJ90)/SUM($BF90:$BJ90)/10000*$BX$7*$BZ$46/'疲劳值&amp;地图信息'!$R$10*$BY$57)</f>
        <v>1940</v>
      </c>
      <c r="GZ90" s="50">
        <f t="shared" si="197"/>
        <v>0.55072494669509597</v>
      </c>
      <c r="HA90" s="50">
        <f t="shared" si="198"/>
        <v>0.40791044776119401</v>
      </c>
      <c r="HB90" s="50">
        <f t="shared" si="199"/>
        <v>4.136460554371002E-2</v>
      </c>
      <c r="HD90" s="14">
        <f t="shared" si="200"/>
        <v>22060</v>
      </c>
      <c r="HE90" s="14">
        <f t="shared" si="201"/>
        <v>24288</v>
      </c>
      <c r="HF90" s="14">
        <f t="shared" si="202"/>
        <v>27693</v>
      </c>
      <c r="HG90" s="14">
        <f t="shared" si="203"/>
        <v>36790</v>
      </c>
      <c r="HH90" s="14">
        <f t="shared" si="204"/>
        <v>46900</v>
      </c>
      <c r="HI90" s="14">
        <f t="shared" si="205"/>
        <v>2526544</v>
      </c>
      <c r="HL90" s="14">
        <f t="shared" si="206"/>
        <v>430050</v>
      </c>
      <c r="HM90" s="50">
        <f t="shared" si="114"/>
        <v>0.14545453315538082</v>
      </c>
      <c r="HO90" s="14">
        <f t="shared" si="207"/>
        <v>2956594</v>
      </c>
    </row>
    <row r="91" spans="11:223" x14ac:dyDescent="0.2">
      <c r="K91" s="14">
        <v>86</v>
      </c>
      <c r="L91" s="12">
        <f>求节点(节奏总纲!D$4:D$163,标准城池设计!AB$4:AB$163,$K91)*求节点(节奏总纲!D$4:D$163,攻城基础信息!$AC$5:$AC$164,$K91)</f>
        <v>429809.33986042126</v>
      </c>
      <c r="M91" s="12">
        <f>INDEX(其他调用!$AA$5:$AA$404,MATCH(K91,其他调用!$X$5:$X$404,0))*MIN(INDEX(其他调用!$AH$5:$AH$364,MATCH('征服点（新）'!K91,其他调用!$AG$5:$AG$364,0),1)/INDEX(其他调用!$AJ$5:$AJ$364,MATCH(K91,其他调用!$AG$5:$AG$364,0),0),5)*求节点(节奏总纲!D$4:D$163,攻城基础信息!$AC$5:$AC$164,$K91)</f>
        <v>40148.359320082884</v>
      </c>
      <c r="N91" s="12">
        <f>MIN(INDEX(其他调用!$AH$5:$AH$364,MATCH($K91,其他调用!$AG$5:$AG$364,0),1)/INDEX(其他调用!AH$5:AH$364,MATCH($K91,其他调用!$AG$5:$AG$364,0),0),1)*INDEX(其他调用!Y$5:Y$404,MATCH($K91,其他调用!$X$5:$X$404,0),0)</f>
        <v>35277.985507883423</v>
      </c>
      <c r="O91" s="12">
        <f>MIN(INDEX(其他调用!$AH$5:$AH$364,MATCH($K91,其他调用!$AG$5:$AG$364,0),1)/INDEX(其他调用!AI$5:AI$364,MATCH($K91,其他调用!$AG$5:$AG$364,0),0),1)*INDEX(其他调用!Z$5:Z$404,MATCH($K91,其他调用!$X$5:$X$404,0),0)</f>
        <v>23729.647700721984</v>
      </c>
      <c r="P91" s="12">
        <f>MIN(INDEX(其他调用!$AH$5:$AH$364,MATCH($K91,其他调用!$AG$5:$AG$364,0),1)/INDEX(其他调用!AJ$5:AJ$364,MATCH($K91,其他调用!$AG$5:$AG$364,0),0),1)*INDEX(其他调用!AA$5:AA$404,MATCH($K91,其他调用!$X$5:$X$404,0),0)</f>
        <v>13469.446182565942</v>
      </c>
      <c r="Q91" s="12">
        <f>MIN(INDEX(其他调用!$AH$5:$AH$364,MATCH($K91,其他调用!$AG$5:$AG$364,0),1)/INDEX(其他调用!AK$5:AK$364,MATCH($K91,其他调用!$AG$5:$AG$364,0),0),1)*INDEX(其他调用!AB$5:AB$404,MATCH($K91,其他调用!$X$5:$X$404,0),0)</f>
        <v>5871.1615006403827</v>
      </c>
      <c r="R91" s="12">
        <f>MIN(INDEX(其他调用!$AH$5:$AH$364,MATCH($K91,其他调用!$AG$5:$AG$364,0),1)/INDEX(其他调用!AL$5:AL$364,MATCH($K91,其他调用!$AG$5:$AG$364,0),0),1)*INDEX(其他调用!AC$5:AC$404,MATCH($K91,其他调用!$X$5:$X$404,0),0)</f>
        <v>1768.3032225961392</v>
      </c>
      <c r="S91" s="12">
        <f>求节点(节奏总纲!D$4:D$163,标准城池设计!AC$4:AC$163,$K91)*求节点(节奏总纲!D$4:D$163,攻城基础信息!$AD$5:$AD$164,$K91)</f>
        <v>454757.9358573528</v>
      </c>
      <c r="T91" s="12">
        <f>INDEX(其他调用!$AA$5:$AA$404,MATCH($K91,其他调用!$X$5:$X$404,0))*MIN(INDEX(其他调用!AI$5:AI$364,MATCH($K91,其他调用!$AG$5:$AG$364,0),1)/INDEX(其他调用!$AJ$5:$AJ$364,MATCH($K91,其他调用!$AG$5:$AG$364,0),0),5)*求节点(节奏总纲!D$4:D$163,攻城基础信息!$AD$5:$AD$164,$K91)</f>
        <v>61612.975859427446</v>
      </c>
      <c r="U91" s="12">
        <f>MIN(INDEX(其他调用!$AI$5:$AI$364,MATCH($K91,其他调用!$AG$5:$AG$364,0),1)/INDEX(其他调用!AH$5:AH$364,MATCH($K91,其他调用!$AG$5:$AG$364,0),0),1)*INDEX(其他调用!Y$5:Y$404,MATCH($K91,其他调用!$X$5:$X$404,0),0)</f>
        <v>35277.985507883423</v>
      </c>
      <c r="V91" s="12">
        <f>MIN(INDEX(其他调用!$AI$5:$AI$364,MATCH($K91,其他调用!$AG$5:$AG$364,0),1)/INDEX(其他调用!AI$5:AI$364,MATCH($K91,其他调用!$AG$5:$AG$364,0),0),1)*INDEX(其他调用!Z$5:Z$404,MATCH($K91,其他调用!$X$5:$X$404,0),0)</f>
        <v>36416.287880684518</v>
      </c>
      <c r="W91" s="12">
        <f>MIN(INDEX(其他调用!$AI$5:$AI$364,MATCH($K91,其他调用!$AG$5:$AG$364,0),1)/INDEX(其他调用!AJ$5:AJ$364,MATCH($K91,其他调用!$AG$5:$AG$364,0),0),1)*INDEX(其他调用!AA$5:AA$404,MATCH($K91,其他调用!$X$5:$X$404,0),0)</f>
        <v>20670.64947461418</v>
      </c>
      <c r="X91" s="12">
        <f>MIN(INDEX(其他调用!$AI$5:$AI$364,MATCH($K91,其他调用!$AG$5:$AG$364,0),1)/INDEX(其他调用!AK$5:AK$364,MATCH($K91,其他调用!$AG$5:$AG$364,0),0),1)*INDEX(其他调用!AB$5:AB$404,MATCH($K91,其他调用!$X$5:$X$404,0),0)</f>
        <v>9010.0750798254267</v>
      </c>
      <c r="Y91" s="12">
        <f>MIN(INDEX(其他调用!$AI$5:$AI$364,MATCH($K91,其他调用!$AG$5:$AG$364,0),1)/INDEX(其他调用!AL$5:AL$364,MATCH($K91,其他调用!$AG$5:$AG$364,0),0),1)*INDEX(其他调用!AC$5:AC$404,MATCH($K91,其他调用!$X$5:$X$404,0),0)</f>
        <v>2713.6955435054315</v>
      </c>
      <c r="Z91" s="12">
        <f>求节点(节奏总纲!D$4:D$163,标准城池设计!AD$4:AD$163,$K91)*求节点(节奏总纲!D$4:D$163,攻城基础信息!$AE$5:$AE$164,$K91)</f>
        <v>484926.00779257406</v>
      </c>
      <c r="AA91" s="12">
        <f>INDEX(其他调用!$AA$5:$AA$404,MATCH($K91,其他调用!$X$5:$X$404,0))*MIN(INDEX(其他调用!AJ$5:AJ$364,MATCH($K91,其他调用!$AG$5:$AG$364,0),1)/INDEX(其他调用!$AJ$5:$AJ$364,MATCH($K91,其他调用!$AG$5:$AG$364,0),0),5)*求节点(节奏总纲!D$4:D$163,攻城基础信息!$AE$5:$AE$164,$K91)</f>
        <v>113043.6980788345</v>
      </c>
      <c r="AB91" s="12">
        <f>MIN(INDEX(其他调用!$AJ$5:$AJ$364,MATCH($K91,其他调用!$AG$5:$AG$364,0),1)/INDEX(其他调用!AH$5:AH$364,MATCH($K91,其他调用!$AG$5:$AG$364,0),0),1)*INDEX(其他调用!Y$5:Y$404,MATCH($K91,其他调用!$X$5:$X$404,0),0)</f>
        <v>35277.985507883423</v>
      </c>
      <c r="AC91" s="12">
        <f>MIN(INDEX(其他调用!$AJ$5:$AJ$364,MATCH($K91,其他调用!$AG$5:$AG$364,0),1)/INDEX(其他调用!AI$5:AI$364,MATCH($K91,其他调用!$AG$5:$AG$364,0),0),1)*INDEX(其他调用!Z$5:Z$404,MATCH($K91,其他调用!$X$5:$X$404,0),0)</f>
        <v>36416.287880684518</v>
      </c>
      <c r="AD91" s="12">
        <f>MIN(INDEX(其他调用!$AJ$5:$AJ$364,MATCH($K91,其他调用!$AG$5:$AG$364,0),1)/INDEX(其他调用!AJ$5:AJ$364,MATCH($K91,其他调用!$AG$5:$AG$364,0),0),1)*INDEX(其他调用!AA$5:AA$404,MATCH($K91,其他调用!$X$5:$X$404,0),0)</f>
        <v>37925.236132611928</v>
      </c>
      <c r="AE91" s="12">
        <f>MIN(INDEX(其他调用!$AJ$5:$AJ$364,MATCH($K91,其他调用!$AG$5:$AG$364,0),1)/INDEX(其他调用!AK$5:AK$364,MATCH($K91,其他调用!$AG$5:$AG$364,0),0),1)*INDEX(其他调用!AB$5:AB$404,MATCH($K91,其他调用!$X$5:$X$404,0),0)</f>
        <v>16531.131515465826</v>
      </c>
      <c r="AF91" s="12">
        <f>MIN(INDEX(其他调用!$AJ$5:$AJ$364,MATCH($K91,其他调用!$AG$5:$AG$364,0),1)/INDEX(其他调用!AL$5:AL$364,MATCH($K91,其他调用!$AG$5:$AG$364,0),0),1)*INDEX(其他调用!AC$5:AC$404,MATCH($K91,其他调用!$X$5:$X$404,0),0)</f>
        <v>4978.9216543899192</v>
      </c>
      <c r="AG91" s="12">
        <f>求节点(节奏总纲!D$4:D$163,标准城池设计!AE$4:AE$163,$K91)*求节点(节奏总纲!D$4:D$163,攻城基础信息!$AF$5:$AF$164,$K91)</f>
        <v>551599.65792073798</v>
      </c>
      <c r="AH91" s="12">
        <f>INDEX(其他调用!$AA$5:$AA$404,MATCH($K91,其他调用!$X$5:$X$404,0))*MIN(INDEX(其他调用!AK$5:AK$364,MATCH($K91,其他调用!$AG$5:$AG$364,0),1)/INDEX(其他调用!$AJ$5:$AJ$364,MATCH($K91,其他调用!$AG$5:$AG$364,0),0),5)*求节点(节奏总纲!D$4:D$163,攻城基础信息!$AF$5:$AF$164,$K91)</f>
        <v>274264.74946136778</v>
      </c>
      <c r="AI91" s="12">
        <f>MIN(INDEX(其他调用!$AK$5:$AK$364,MATCH($K91,其他调用!$AG$5:$AG$364,0),1)/INDEX(其他调用!AH$5:AH$364,MATCH($K91,其他调用!$AG$5:$AG$364,0),0),1)*INDEX(其他调用!Y$5:Y$404,MATCH($K91,其他调用!$X$5:$X$404,0),0)</f>
        <v>35277.985507883423</v>
      </c>
      <c r="AJ91" s="12">
        <f>MIN(INDEX(其他调用!$AK$5:$AK$364,MATCH($K91,其他调用!$AG$5:$AG$364,0),1)/INDEX(其他调用!AI$5:AI$364,MATCH($K91,其他调用!$AG$5:$AG$364,0),0),1)*INDEX(其他调用!Z$5:Z$404,MATCH($K91,其他调用!$X$5:$X$404,0),0)</f>
        <v>36416.287880684518</v>
      </c>
      <c r="AK91" s="12">
        <f>MIN(INDEX(其他调用!$AK$5:$AK$364,MATCH($K91,其他调用!$AG$5:$AG$364,0),1)/INDEX(其他调用!AJ$5:AJ$364,MATCH($K91,其他调用!$AG$5:$AG$364,0),0),1)*INDEX(其他调用!AA$5:AA$404,MATCH($K91,其他调用!$X$5:$X$404,0),0)</f>
        <v>37925.236132611928</v>
      </c>
      <c r="AL91" s="12">
        <f>MIN(INDEX(其他调用!$AK$5:$AK$364,MATCH($K91,其他调用!$AG$5:$AG$364,0),1)/INDEX(其他调用!AK$5:AK$364,MATCH($K91,其他调用!$AG$5:$AG$364,0),0),1)*INDEX(其他调用!AB$5:AB$404,MATCH($K91,其他调用!$X$5:$X$404,0),0)</f>
        <v>40107.557700742378</v>
      </c>
      <c r="AM91" s="12">
        <f>MIN(INDEX(其他调用!$AK$5:$AK$364,MATCH($K91,其他调用!$AG$5:$AG$364,0),1)/INDEX(其他调用!AL$5:AL$364,MATCH($K91,其他调用!$AG$5:$AG$364,0),0),1)*INDEX(其他调用!AC$5:AC$404,MATCH($K91,其他调用!$X$5:$X$404,0),0)</f>
        <v>12079.777319180823</v>
      </c>
      <c r="AN91" s="12">
        <f>求节点(节奏总纲!D$4:D$163,标准城池设计!AF$4:AF$163,$K91)*求节点(节奏总纲!D$4:D$163,攻城基础信息!$AG$5:$AG$164,$K91)</f>
        <v>546116.85548005649</v>
      </c>
      <c r="AO91" s="12">
        <f>INDEX(其他调用!$AA$5:$AA$404,MATCH($K91,其他调用!$X$5:$X$404,0))*MIN(INDEX(其他调用!AL$5:AL$364,MATCH($K91,其他调用!$AG$5:$AG$364,0),1)/INDEX(其他调用!$AJ$5:$AJ$364,MATCH($K91,其他调用!$AG$5:$AG$364,0),0),5)*求节点(节奏总纲!D$4:D$163,攻城基础信息!$AG$5:$AG$164,$K91)</f>
        <v>565218.49039417249</v>
      </c>
      <c r="AP91" s="12">
        <f>MIN(INDEX(其他调用!$AL$5:$AL$364,MATCH($K91,其他调用!$AG$5:$AG$364,0),1)/INDEX(其他调用!AH$5:AH$364,MATCH($K91,其他调用!$AG$5:$AG$364,0),0),1)*INDEX(其他调用!Y$5:Y$404,MATCH($K91,其他调用!$X$5:$X$404,0),0)</f>
        <v>35277.985507883423</v>
      </c>
      <c r="AQ91" s="12">
        <f>MIN(INDEX(其他调用!$AL$5:$AL$364,MATCH($K91,其他调用!$AG$5:$AG$364,0),1)/INDEX(其他调用!AI$5:AI$364,MATCH($K91,其他调用!$AG$5:$AG$364,0),0),1)*INDEX(其他调用!Z$5:Z$404,MATCH($K91,其他调用!$X$5:$X$404,0),0)</f>
        <v>36416.287880684518</v>
      </c>
      <c r="AR91" s="12">
        <f>MIN(INDEX(其他调用!$AL$5:$AL$364,MATCH($K91,其他调用!$AG$5:$AG$364,0),1)/INDEX(其他调用!AJ$5:AJ$364,MATCH($K91,其他调用!$AG$5:$AG$364,0),0),1)*INDEX(其他调用!AA$5:AA$404,MATCH($K91,其他调用!$X$5:$X$404,0),0)</f>
        <v>37925.236132611928</v>
      </c>
      <c r="AS91" s="12">
        <f>MIN(INDEX(其他调用!$AL$5:$AL$364,MATCH($K91,其他调用!$AG$5:$AG$364,0),1)/INDEX(其他调用!AK$5:AK$364,MATCH($K91,其他调用!$AG$5:$AG$364,0),0),1)*INDEX(其他调用!AB$5:AB$404,MATCH($K91,其他调用!$X$5:$X$404,0),0)</f>
        <v>40107.557700742378</v>
      </c>
      <c r="AT91" s="12">
        <f>MIN(INDEX(其他调用!$AL$5:$AL$364,MATCH($K91,其他调用!$AG$5:$AG$364,0),1)/INDEX(其他调用!AL$5:AL$364,MATCH($K91,其他调用!$AG$5:$AG$364,0),0),1)*INDEX(其他调用!AC$5:AC$404,MATCH($K91,其他调用!$X$5:$X$404,0),0)</f>
        <v>43951.776798376108</v>
      </c>
      <c r="AV91" s="14">
        <f>IF(OR(AV$5="大R",AV$5="超R"),MAX(INDEX(其他调用!$H$5:$L$404,MATCH($K91,其他调用!$B$5:$B$404,0),MATCH(AV$5,其他调用!$H$4:$L$4,0))*120*0.85,2),INDEX(其他调用!$H$5:$L$404,MATCH($K91,其他调用!$B$5:$B$404,0),MATCH(AV$5,其他调用!$H$4:$L$4,0))*120*0.85)</f>
        <v>49.265112140999996</v>
      </c>
      <c r="AW91" s="14">
        <f>IF(OR(AW$5="大R",AW$5="超R"),MAX(INDEX(其他调用!$H$5:$L$404,MATCH($K91,其他调用!$B$5:$B$404,0),MATCH(AW$5,其他调用!$H$4:$L$4,0))*120*0.85,2),INDEX(其他调用!$H$5:$L$404,MATCH($K91,其他调用!$B$5:$B$404,0),MATCH(AW$5,其他调用!$H$4:$L$4,0))*120*0.85)</f>
        <v>47.91183369436127</v>
      </c>
      <c r="AX91" s="14">
        <f>IF(OR(AX$5="大R",AX$5="超R"),MAX(INDEX(其他调用!$H$5:$L$404,MATCH($K91,其他调用!$B$5:$B$404,0),MATCH(AX$5,其他调用!$H$4:$L$4,0))*120*0.85,2),INDEX(其他调用!$H$5:$L$404,MATCH($K91,其他调用!$B$5:$B$404,0),MATCH(AX$5,其他调用!$H$4:$L$4,0))*120*0.85)</f>
        <v>3.9298695406387201</v>
      </c>
      <c r="AY91" s="14">
        <f>IF(OR(AY$5="大R",AY$5="超R"),MAX(INDEX(其他调用!$H$5:$L$404,MATCH($K91,其他调用!$B$5:$B$404,0),MATCH(AY$5,其他调用!$H$4:$L$4,0))*120*0.85,2),INDEX(其他调用!$H$5:$L$404,MATCH($K91,其他调用!$B$5:$B$404,0),MATCH(AY$5,其他调用!$H$4:$L$4,0))*120*0.85)</f>
        <v>2</v>
      </c>
      <c r="AZ91" s="14">
        <f>IF(OR(AZ$5="大R",AZ$5="超R"),MAX(INDEX(其他调用!$H$5:$L$404,MATCH($K91,其他调用!$B$5:$B$404,0),MATCH(AZ$5,其他调用!$H$4:$L$4,0))*120*0.85,2),INDEX(其他调用!$H$5:$L$404,MATCH($K91,其他调用!$B$5:$B$404,0),MATCH(AZ$5,其他调用!$H$4:$L$4,0))*120*0.85)</f>
        <v>2</v>
      </c>
      <c r="BA91" s="14">
        <f>INDEX(其他调用!$H$5:$L$404,MATCH($K91,其他调用!$B$5:$B$404,0),MATCH(BA$5,其他调用!$H$4:$L$4,0))*INDEX(其他调用!$M$5:$M$404,MATCH($K91,其他调用!$B$5:$B$404,0))*0.6</f>
        <v>28.979477729999996</v>
      </c>
      <c r="BB91" s="14">
        <f>INDEX(其他调用!$H$5:$L$404,MATCH($K91,其他调用!$B$5:$B$404,0),MATCH(BB$5,其他调用!$H$4:$L$4,0))*INDEX(其他调用!$M$5:$M$404,MATCH($K91,其他调用!$B$5:$B$404,0))*0.6</f>
        <v>28.183431584918399</v>
      </c>
      <c r="BC91" s="14">
        <f>INDEX(其他调用!$H$5:$L$404,MATCH($K91,其他调用!$B$5:$B$404,0),MATCH(BC$5,其他调用!$H$4:$L$4,0))*INDEX(其他调用!$M$5:$M$404,MATCH($K91,其他调用!$B$5:$B$404,0))*0.6</f>
        <v>2.3116879650816</v>
      </c>
      <c r="BD91" s="14">
        <f>INDEX(其他调用!$H$5:$L$404,MATCH($K91,其他调用!$B$5:$B$404,0),MATCH(BD$5,其他调用!$H$4:$L$4,0))*INDEX(其他调用!$M$5:$M$404,MATCH($K91,其他调用!$B$5:$B$404,0))*0.6</f>
        <v>0.4082443200000001</v>
      </c>
      <c r="BE91" s="14">
        <f>INDEX(其他调用!$H$5:$L$404,MATCH($K91,其他调用!$B$5:$B$404,0),MATCH(BE$5,其他调用!$H$4:$L$4,0))*INDEX(其他调用!$M$5:$M$404,MATCH($K91,其他调用!$B$5:$B$404,0))*0.6</f>
        <v>0.1171584</v>
      </c>
      <c r="BF91" s="14">
        <f>IF(OR(BF$5="大R",BF$5="超R"),0,INDEX(其他调用!$H$5:$L$404,MATCH($K91,其他调用!$B$5:$B$404,0),MATCH(BF$5,其他调用!$H$4:$L$4,0))*50*0.4)</f>
        <v>9.6598259100000003</v>
      </c>
      <c r="BG91" s="14">
        <f>IF(OR(BG$5="大R",BG$5="超R"),0,INDEX(其他调用!$H$5:$L$404,MATCH($K91,其他调用!$B$5:$B$404,0),MATCH(BG$5,其他调用!$H$4:$L$4,0))*50*0.4)</f>
        <v>9.394477194972799</v>
      </c>
      <c r="BH91" s="14">
        <f>IF(OR(BH$5="大R",BH$5="超R"),0,INDEX(其他调用!$H$5:$L$404,MATCH($K91,其他调用!$B$5:$B$404,0),MATCH(BH$5,其他调用!$H$4:$L$4,0))*50*0.4)</f>
        <v>0.77056265502720001</v>
      </c>
      <c r="BI91" s="14">
        <f>IF(OR(BI$5="大R",BI$5="超R"),0,INDEX(其他调用!$H$5:$L$404,MATCH($K91,其他调用!$B$5:$B$404,0),MATCH(BI$5,其他调用!$H$4:$L$4,0))*50*0.4)</f>
        <v>0</v>
      </c>
      <c r="BJ91" s="14">
        <f>IF(OR(BJ$5="大R",BJ$5="超R"),0,INDEX(其他调用!$H$5:$L$404,MATCH($K91,其他调用!$B$5:$B$404,0),MATCH(BJ$5,其他调用!$H$4:$L$4,0))*50*0.4)</f>
        <v>0</v>
      </c>
      <c r="BL91" s="14">
        <f t="shared" si="208"/>
        <v>86</v>
      </c>
      <c r="BM91" s="14">
        <f t="shared" si="115"/>
        <v>96</v>
      </c>
      <c r="BN91" s="14">
        <f>('疲劳值&amp;地图信息'!$S$10*'疲劳值&amp;地图信息'!$R$10+'疲劳值&amp;地图信息'!$S$11*'疲劳值&amp;地图信息'!$R$11+'疲劳值&amp;地图信息'!$S$12*'疲劳值&amp;地图信息'!$R$12+(BM91-'疲劳值&amp;地图信息'!$S$12-'疲劳值&amp;地图信息'!$S$11-'疲劳值&amp;地图信息'!$S$10)*'疲劳值&amp;地图信息'!$R$13)/BM91</f>
        <v>51.371477246638619</v>
      </c>
      <c r="BO91" s="14">
        <f>INDEX(其他调用!$M$5:$M$404,MATCH(BL91,其他调用!$B$5:$B$404,0))*0.6</f>
        <v>60</v>
      </c>
      <c r="BP91" s="14">
        <f>IF(BO91&gt;SUM('疲劳值&amp;地图信息'!$S$10:$S$12),('疲劳值&amp;地图信息'!$S$10*'疲劳值&amp;地图信息'!$R$10+'疲劳值&amp;地图信息'!$S$11*'疲劳值&amp;地图信息'!$R$11+'疲劳值&amp;地图信息'!$S$12*'疲劳值&amp;地图信息'!$R$12+(BO91-'疲劳值&amp;地图信息'!$S$12-'疲劳值&amp;地图信息'!$S$11-'疲劳值&amp;地图信息'!$S$10)*'疲劳值&amp;地图信息'!$R$13)/BO91,('疲劳值&amp;地图信息'!$S$10*'疲劳值&amp;地图信息'!$R$10+'疲劳值&amp;地图信息'!$S$11*'疲劳值&amp;地图信息'!$R$11+'疲劳值&amp;地图信息'!$S$12*'疲劳值&amp;地图信息'!$R$12+(BO91-'疲劳值&amp;地图信息'!$S$12-'疲劳值&amp;地图信息'!$S$11-'疲劳值&amp;地图信息'!$S$10)*'疲劳值&amp;地图信息'!$R$13)/BO91)</f>
        <v>44.158136341605953</v>
      </c>
      <c r="BQ91" s="14">
        <f t="shared" si="209"/>
        <v>20</v>
      </c>
      <c r="BR91" s="14">
        <f>('疲劳值&amp;地图信息'!$S$10*'疲劳值&amp;地图信息'!$R$10+($BQ91-'疲劳值&amp;地图信息'!$S$10)*'疲劳值&amp;地图信息'!$R$11)/$BQ91</f>
        <v>32.067203015074995</v>
      </c>
      <c r="CF91" s="14">
        <v>86</v>
      </c>
      <c r="CG91" s="51">
        <f t="shared" si="116"/>
        <v>8760</v>
      </c>
      <c r="CH91" s="51">
        <f t="shared" si="117"/>
        <v>818</v>
      </c>
      <c r="CI91" s="51">
        <f>INT(SUMPRODUCT($N91:$R91,$BA91:$BE91)/SUM($BA91:$BE91)/10000*$BX$7*$BZ$34/'疲劳值&amp;地图信息'!$R$10*$BY$53)</f>
        <v>2916</v>
      </c>
      <c r="CJ91" s="50">
        <f t="shared" si="118"/>
        <v>0.70113654554186011</v>
      </c>
      <c r="CK91" s="50">
        <f t="shared" si="119"/>
        <v>6.5471426284616621E-2</v>
      </c>
      <c r="CL91" s="50">
        <f t="shared" si="120"/>
        <v>0.23339202817352328</v>
      </c>
      <c r="CM91" s="14">
        <f t="shared" si="121"/>
        <v>9268</v>
      </c>
      <c r="CN91" s="14">
        <f t="shared" si="122"/>
        <v>1255</v>
      </c>
      <c r="CO91" s="14">
        <f>INT(SUMPRODUCT($U91:$Y91,$BA91:$BE91)/SUM($BA91:$BE91)/10000*$BX$7*$BZ$34/'疲劳值&amp;地图信息'!$R$10*$BY$54)</f>
        <v>5328</v>
      </c>
      <c r="CP91" s="50">
        <f t="shared" si="123"/>
        <v>0.58469497192606146</v>
      </c>
      <c r="CQ91" s="50">
        <f t="shared" si="124"/>
        <v>7.9174815469055582E-2</v>
      </c>
      <c r="CR91" s="50">
        <f t="shared" si="125"/>
        <v>0.33613021260488296</v>
      </c>
      <c r="CS91" s="14">
        <f t="shared" si="126"/>
        <v>9883</v>
      </c>
      <c r="CT91" s="14">
        <f t="shared" si="127"/>
        <v>2303</v>
      </c>
      <c r="CU91" s="14">
        <f>INT(SUMPRODUCT($AB91:$AF91,$BA91:$BE91)/SUM($BA91:$BE91)/10000*$BX$7*$BZ$34/'疲劳值&amp;地图信息'!$R$10*$BY$55)</f>
        <v>7250</v>
      </c>
      <c r="CV91" s="50">
        <f t="shared" si="128"/>
        <v>0.50848940111133978</v>
      </c>
      <c r="CW91" s="50">
        <f t="shared" si="129"/>
        <v>0.11849145914797284</v>
      </c>
      <c r="CX91" s="50">
        <f t="shared" si="130"/>
        <v>0.3730191397406874</v>
      </c>
      <c r="CY91" s="14">
        <f t="shared" si="131"/>
        <v>11242</v>
      </c>
      <c r="CZ91" s="14">
        <f t="shared" si="132"/>
        <v>5589</v>
      </c>
      <c r="DA91" s="14">
        <f>INT(SUMPRODUCT($AI91:$AM91,$BA91:$BE91)/SUM($BA91:$BE91)/10000*$BX$7*$BZ$34/'疲劳值&amp;地图信息'!$R$10*$BY$56)</f>
        <v>10928</v>
      </c>
      <c r="DB91" s="50">
        <f t="shared" si="133"/>
        <v>0.40498577038077743</v>
      </c>
      <c r="DC91" s="50">
        <f t="shared" si="134"/>
        <v>0.20134010591159623</v>
      </c>
      <c r="DD91" s="50">
        <f t="shared" si="135"/>
        <v>0.39367412370762633</v>
      </c>
      <c r="DE91" s="14">
        <f t="shared" si="136"/>
        <v>11130</v>
      </c>
      <c r="DF91" s="14">
        <f t="shared" si="137"/>
        <v>11519</v>
      </c>
      <c r="DG91" s="14">
        <f>INT(SUMPRODUCT($AP91:$AT91,$BA91:$BE91)/SUM($BA91:$BE91)/10000*$BX$7*$BZ$34/'疲劳值&amp;地图信息'!$R$10*$BY$57)</f>
        <v>14596</v>
      </c>
      <c r="DH91" s="50">
        <f t="shared" si="138"/>
        <v>0.29883205799436163</v>
      </c>
      <c r="DI91" s="50">
        <f t="shared" si="139"/>
        <v>0.3092764129413344</v>
      </c>
      <c r="DJ91" s="50">
        <f t="shared" si="140"/>
        <v>0.39189152906430391</v>
      </c>
      <c r="DL91" s="14">
        <f t="shared" si="211"/>
        <v>12494</v>
      </c>
      <c r="DM91" s="14">
        <f t="shared" si="212"/>
        <v>15851</v>
      </c>
      <c r="DN91" s="14">
        <f t="shared" si="213"/>
        <v>19436</v>
      </c>
      <c r="DO91" s="14">
        <f t="shared" si="214"/>
        <v>27759</v>
      </c>
      <c r="DP91" s="14">
        <f t="shared" si="215"/>
        <v>37245</v>
      </c>
      <c r="DQ91" s="14">
        <f t="shared" si="216"/>
        <v>869431</v>
      </c>
      <c r="DT91" s="14">
        <f t="shared" si="210"/>
        <v>235575</v>
      </c>
      <c r="DU91" s="50">
        <f t="shared" si="112"/>
        <v>0.21318888766214844</v>
      </c>
      <c r="DW91" s="14">
        <f t="shared" si="141"/>
        <v>1105006</v>
      </c>
      <c r="EB91" s="14">
        <v>86</v>
      </c>
      <c r="EC91" s="51">
        <f t="shared" si="142"/>
        <v>14600</v>
      </c>
      <c r="ED91" s="51">
        <f t="shared" si="143"/>
        <v>1363</v>
      </c>
      <c r="EE91" s="51">
        <f>INT(SUMPRODUCT($N91:$R91,$BF91:$BJ91)/SUM($BF91:$BJ91)/10000*$BX$7*$BZ$46/'疲劳值&amp;地图信息'!$R$10*$BY$53)</f>
        <v>391</v>
      </c>
      <c r="EF91" s="50">
        <f t="shared" si="144"/>
        <v>0.89274795157148101</v>
      </c>
      <c r="EG91" s="50">
        <f t="shared" si="145"/>
        <v>8.3343524519995105E-2</v>
      </c>
      <c r="EH91" s="50">
        <f t="shared" si="146"/>
        <v>2.390852390852391E-2</v>
      </c>
      <c r="EI91" s="51">
        <f t="shared" si="147"/>
        <v>15447</v>
      </c>
      <c r="EJ91" s="51">
        <f t="shared" si="148"/>
        <v>2092</v>
      </c>
      <c r="EK91" s="14">
        <f>INT(SUMPRODUCT($U91:$Y91,$BF91:$BJ91)/SUM($BF91:$BJ91)/10000*$BX$7*$BZ$46/'疲劳值&amp;地图信息'!$R$10*$BY$54)</f>
        <v>715</v>
      </c>
      <c r="EL91" s="50">
        <f t="shared" si="149"/>
        <v>0.84622548482524373</v>
      </c>
      <c r="EM91" s="50">
        <f t="shared" si="150"/>
        <v>0.11460501807822943</v>
      </c>
      <c r="EN91" s="50">
        <f t="shared" si="151"/>
        <v>3.9169497096526791E-2</v>
      </c>
      <c r="EO91" s="51">
        <f t="shared" si="152"/>
        <v>16472</v>
      </c>
      <c r="EP91" s="51">
        <f t="shared" si="153"/>
        <v>3839</v>
      </c>
      <c r="EQ91" s="14">
        <f>INT(SUMPRODUCT($AB91:$AF91,$BF91:$BJ91)/SUM($BF91:$BJ91)/10000*$BX$7*$BZ$46/'疲劳值&amp;地图信息'!$R$10*$BY$55)</f>
        <v>971</v>
      </c>
      <c r="ER91" s="50">
        <f t="shared" si="154"/>
        <v>0.77398740719857151</v>
      </c>
      <c r="ES91" s="50">
        <f t="shared" si="155"/>
        <v>0.1803871816558594</v>
      </c>
      <c r="ET91" s="50">
        <f t="shared" si="156"/>
        <v>4.5625411145569027E-2</v>
      </c>
      <c r="EU91" s="51">
        <f t="shared" si="157"/>
        <v>18737</v>
      </c>
      <c r="EV91" s="51">
        <f t="shared" si="158"/>
        <v>9316</v>
      </c>
      <c r="EW91" s="14">
        <f>INT(SUMPRODUCT($AI91:$AM91,$BF91:$BJ91)/SUM($BF91:$BJ91)/10000*$BX$7*$BZ$46/'疲劳值&amp;地图信息'!$R$10*$BY$56)</f>
        <v>1457</v>
      </c>
      <c r="EX91" s="50">
        <f t="shared" si="159"/>
        <v>0.63493730938664861</v>
      </c>
      <c r="EY91" s="50">
        <f t="shared" si="160"/>
        <v>0.31568959674686548</v>
      </c>
      <c r="EZ91" s="50">
        <f t="shared" si="161"/>
        <v>4.9373093866485938E-2</v>
      </c>
      <c r="FA91" s="51">
        <f t="shared" si="162"/>
        <v>18550</v>
      </c>
      <c r="FB91" s="51">
        <f t="shared" si="163"/>
        <v>19199</v>
      </c>
      <c r="FC91" s="14">
        <f>INT(SUMPRODUCT($AP91:$AT91,$BF91:$BJ91)/SUM($BF91:$BJ91)/10000*$BX$7*$BZ$46/'疲劳值&amp;地图信息'!$R$10*$BY$57)</f>
        <v>1943</v>
      </c>
      <c r="FD91" s="50">
        <f t="shared" si="164"/>
        <v>0.46734858409755115</v>
      </c>
      <c r="FE91" s="50">
        <f t="shared" si="165"/>
        <v>0.48369948604252744</v>
      </c>
      <c r="FF91" s="50">
        <f t="shared" si="166"/>
        <v>4.8951929859921396E-2</v>
      </c>
      <c r="FH91" s="14">
        <f t="shared" si="167"/>
        <v>16354</v>
      </c>
      <c r="FI91" s="14">
        <f t="shared" si="168"/>
        <v>18254</v>
      </c>
      <c r="FJ91" s="14">
        <f t="shared" si="169"/>
        <v>21282</v>
      </c>
      <c r="FK91" s="14">
        <f t="shared" si="170"/>
        <v>29510</v>
      </c>
      <c r="FL91" s="14">
        <f t="shared" si="171"/>
        <v>39692</v>
      </c>
      <c r="FM91" s="14">
        <f t="shared" si="172"/>
        <v>1902303</v>
      </c>
      <c r="FP91" s="14">
        <f t="shared" si="173"/>
        <v>334150</v>
      </c>
      <c r="FQ91" s="50">
        <f t="shared" si="113"/>
        <v>0.14941069631241971</v>
      </c>
      <c r="FS91" s="14">
        <f t="shared" si="174"/>
        <v>2236453</v>
      </c>
      <c r="FX91" s="14">
        <v>86</v>
      </c>
      <c r="FY91" s="51">
        <f t="shared" si="175"/>
        <v>20440</v>
      </c>
      <c r="FZ91" s="51">
        <f t="shared" si="176"/>
        <v>1363</v>
      </c>
      <c r="GA91" s="51">
        <f>INT(SUMPRODUCT($N91:$R91,$BF91:$BJ91)/SUM($BF91:$BJ91)/10000*$BX$7*$BZ$46/'疲劳值&amp;地图信息'!$R$10*$BY$53)</f>
        <v>391</v>
      </c>
      <c r="GB91" s="50">
        <f t="shared" si="177"/>
        <v>0.92096963143191857</v>
      </c>
      <c r="GC91" s="50">
        <f t="shared" si="178"/>
        <v>6.1412994503018833E-2</v>
      </c>
      <c r="GD91" s="50">
        <f t="shared" si="179"/>
        <v>1.7617374065062631E-2</v>
      </c>
      <c r="GE91" s="51">
        <f t="shared" si="180"/>
        <v>21626</v>
      </c>
      <c r="GF91" s="51">
        <f t="shared" si="181"/>
        <v>2092</v>
      </c>
      <c r="GG91" s="14">
        <f>INT(SUMPRODUCT($U91:$Y91,$BF91:$BJ91)/SUM($BF91:$BJ91)/10000*$BX$7*$BZ$46/'疲劳值&amp;地图信息'!$R$10*$BY$54)</f>
        <v>715</v>
      </c>
      <c r="GH91" s="50">
        <f t="shared" si="182"/>
        <v>0.8851143944665002</v>
      </c>
      <c r="GI91" s="50">
        <f t="shared" si="183"/>
        <v>8.5621904800884052E-2</v>
      </c>
      <c r="GJ91" s="50">
        <f t="shared" si="184"/>
        <v>2.9263700732615725E-2</v>
      </c>
      <c r="GK91" s="51">
        <f t="shared" si="185"/>
        <v>23061</v>
      </c>
      <c r="GL91" s="51">
        <f t="shared" si="186"/>
        <v>3839</v>
      </c>
      <c r="GM91" s="14">
        <f>INT(SUMPRODUCT($AB91:$AF91,$BF91:$BJ91)/SUM($BF91:$BJ91)/10000*$BX$7*$BZ$46/'疲劳值&amp;地图信息'!$R$10*$BY$55)</f>
        <v>971</v>
      </c>
      <c r="GN91" s="50">
        <f t="shared" si="187"/>
        <v>0.82741918122779945</v>
      </c>
      <c r="GO91" s="50">
        <f t="shared" si="188"/>
        <v>0.13774173872483944</v>
      </c>
      <c r="GP91" s="50">
        <f t="shared" si="189"/>
        <v>3.4839080047361054E-2</v>
      </c>
      <c r="GQ91" s="51">
        <f t="shared" si="190"/>
        <v>26232</v>
      </c>
      <c r="GR91" s="51">
        <f t="shared" si="191"/>
        <v>9316</v>
      </c>
      <c r="GS91" s="14">
        <f>INT(SUMPRODUCT($AI91:$AM91,$BF91:$BJ91)/SUM($BF91:$BJ91)/10000*$BX$7*$BZ$46/'疲劳值&amp;地图信息'!$R$10*$BY$56)</f>
        <v>1457</v>
      </c>
      <c r="GT91" s="50">
        <f t="shared" si="192"/>
        <v>0.70887717875962708</v>
      </c>
      <c r="GU91" s="50">
        <f t="shared" si="193"/>
        <v>0.25174976354546685</v>
      </c>
      <c r="GV91" s="50">
        <f t="shared" si="194"/>
        <v>3.9373057694906094E-2</v>
      </c>
      <c r="GW91" s="51">
        <f t="shared" si="195"/>
        <v>25971</v>
      </c>
      <c r="GX91" s="51">
        <f t="shared" si="196"/>
        <v>19199</v>
      </c>
      <c r="GY91" s="14">
        <f>INT(SUMPRODUCT($AP91:$AT91,$BF91:$BJ91)/SUM($BF91:$BJ91)/10000*$BX$7*$BZ$46/'疲劳值&amp;地图信息'!$R$10*$BY$57)</f>
        <v>1943</v>
      </c>
      <c r="GZ91" s="50">
        <f t="shared" si="197"/>
        <v>0.55124912444548213</v>
      </c>
      <c r="HA91" s="50">
        <f t="shared" si="198"/>
        <v>0.40750960456774138</v>
      </c>
      <c r="HB91" s="50">
        <f t="shared" si="199"/>
        <v>4.1241270986776477E-2</v>
      </c>
      <c r="HD91" s="14">
        <f t="shared" si="200"/>
        <v>22194</v>
      </c>
      <c r="HE91" s="14">
        <f t="shared" si="201"/>
        <v>24433</v>
      </c>
      <c r="HF91" s="14">
        <f t="shared" si="202"/>
        <v>27871</v>
      </c>
      <c r="HG91" s="14">
        <f t="shared" si="203"/>
        <v>37005</v>
      </c>
      <c r="HH91" s="14">
        <f t="shared" si="204"/>
        <v>47113</v>
      </c>
      <c r="HI91" s="14">
        <f t="shared" si="205"/>
        <v>2541785</v>
      </c>
      <c r="HL91" s="14">
        <f t="shared" si="206"/>
        <v>430050</v>
      </c>
      <c r="HM91" s="50">
        <f t="shared" si="114"/>
        <v>0.14470857231306583</v>
      </c>
      <c r="HO91" s="14">
        <f t="shared" si="207"/>
        <v>2971835</v>
      </c>
    </row>
    <row r="92" spans="11:223" x14ac:dyDescent="0.2">
      <c r="K92" s="14">
        <v>87</v>
      </c>
      <c r="L92" s="12">
        <f>求节点(节奏总纲!D$4:D$163,标准城池设计!AB$4:AB$163,$K92)*求节点(节奏总纲!D$4:D$163,攻城基础信息!$AC$5:$AC$164,$K92)</f>
        <v>432536.88192334864</v>
      </c>
      <c r="M92" s="12">
        <f>INDEX(其他调用!$AA$5:$AA$404,MATCH(K92,其他调用!$X$5:$X$404,0))*MIN(INDEX(其他调用!$AH$5:$AH$364,MATCH('征服点（新）'!K92,其他调用!$AG$5:$AG$364,0),1)/INDEX(其他调用!$AJ$5:$AJ$364,MATCH(K92,其他调用!$AG$5:$AG$364,0),0),5)*求节点(节奏总纲!D$4:D$163,攻城基础信息!$AC$5:$AC$164,$K92)</f>
        <v>40267.623161700249</v>
      </c>
      <c r="N92" s="12">
        <f>MIN(INDEX(其他调用!$AH$5:$AH$364,MATCH($K92,其他调用!$AG$5:$AG$364,0),1)/INDEX(其他调用!AH$5:AH$364,MATCH($K92,其他调用!$AG$5:$AG$364,0),0),1)*INDEX(其他调用!Y$5:Y$404,MATCH($K92,其他调用!$X$5:$X$404,0),0)</f>
        <v>35343.840582927318</v>
      </c>
      <c r="O92" s="12">
        <f>MIN(INDEX(其他调用!$AH$5:$AH$364,MATCH($K92,其他调用!$AG$5:$AG$364,0),1)/INDEX(其他调用!AI$5:AI$364,MATCH($K92,其他调用!$AG$5:$AG$364,0),0),1)*INDEX(其他调用!Z$5:Z$404,MATCH($K92,其他调用!$X$5:$X$404,0),0)</f>
        <v>23759.98552725885</v>
      </c>
      <c r="P92" s="12">
        <f>MIN(INDEX(其他调用!$AH$5:$AH$364,MATCH($K92,其他调用!$AG$5:$AG$364,0),1)/INDEX(其他调用!AJ$5:AJ$364,MATCH($K92,其他调用!$AG$5:$AG$364,0),0),1)*INDEX(其他调用!AA$5:AA$404,MATCH($K92,其他调用!$X$5:$X$404,0),0)</f>
        <v>13484.578694712607</v>
      </c>
      <c r="Q92" s="12">
        <f>MIN(INDEX(其他调用!$AH$5:$AH$364,MATCH($K92,其他调用!$AG$5:$AG$364,0),1)/INDEX(其他调用!AK$5:AK$364,MATCH($K92,其他调用!$AG$5:$AG$364,0),0),1)*INDEX(其他调用!AB$5:AB$404,MATCH($K92,其他调用!$X$5:$X$404,0),0)</f>
        <v>5876.9708226332859</v>
      </c>
      <c r="R92" s="12">
        <f>MIN(INDEX(其他调用!$AH$5:$AH$364,MATCH($K92,其他调用!$AG$5:$AG$364,0),1)/INDEX(其他调用!AL$5:AL$364,MATCH($K92,其他调用!$AG$5:$AG$364,0),0),1)*INDEX(其他调用!AC$5:AC$404,MATCH($K92,其他调用!$X$5:$X$404,0),0)</f>
        <v>1771.7753730902584</v>
      </c>
      <c r="S92" s="12">
        <f>求节点(节奏总纲!D$4:D$163,标准城池设计!AC$4:AC$163,$K92)*求节点(节奏总纲!D$4:D$163,攻城基础信息!$AD$5:$AD$164,$K92)</f>
        <v>457640.26322659029</v>
      </c>
      <c r="T92" s="12">
        <f>INDEX(其他调用!$AA$5:$AA$404,MATCH($K92,其他调用!$X$5:$X$404,0))*MIN(INDEX(其他调用!AI$5:AI$364,MATCH($K92,其他调用!$AG$5:$AG$364,0),1)/INDEX(其他调用!$AJ$5:$AJ$364,MATCH($K92,其他调用!$AG$5:$AG$364,0),0),5)*求节点(节奏总纲!D$4:D$163,攻城基础信息!$AD$5:$AD$164,$K92)</f>
        <v>61829.953861868336</v>
      </c>
      <c r="U92" s="12">
        <f>MIN(INDEX(其他调用!$AI$5:$AI$364,MATCH($K92,其他调用!$AG$5:$AG$364,0),1)/INDEX(其他调用!AH$5:AH$364,MATCH($K92,其他调用!$AG$5:$AG$364,0),0),1)*INDEX(其他调用!Y$5:Y$404,MATCH($K92,其他调用!$X$5:$X$404,0),0)</f>
        <v>35343.840582927318</v>
      </c>
      <c r="V92" s="12">
        <f>MIN(INDEX(其他调用!$AI$5:$AI$364,MATCH($K92,其他调用!$AG$5:$AG$364,0),1)/INDEX(其他调用!AI$5:AI$364,MATCH($K92,其他调用!$AG$5:$AG$364,0),0),1)*INDEX(其他调用!Z$5:Z$404,MATCH($K92,其他调用!$X$5:$X$404,0),0)</f>
        <v>36482.878639491173</v>
      </c>
      <c r="W92" s="12">
        <f>MIN(INDEX(其他调用!$AI$5:$AI$364,MATCH($K92,其他调用!$AG$5:$AG$364,0),1)/INDEX(其他调用!AJ$5:AJ$364,MATCH($K92,其他调用!$AG$5:$AG$364,0),0),1)*INDEX(其他调用!AA$5:AA$404,MATCH($K92,其他调用!$X$5:$X$404,0),0)</f>
        <v>20705.241905954332</v>
      </c>
      <c r="X92" s="12">
        <f>MIN(INDEX(其他调用!$AI$5:$AI$364,MATCH($K92,其他调用!$AG$5:$AG$364,0),1)/INDEX(其他调用!AK$5:AK$364,MATCH($K92,其他调用!$AG$5:$AG$364,0),0),1)*INDEX(其他调用!AB$5:AB$404,MATCH($K92,其他调用!$X$5:$X$404,0),0)</f>
        <v>9023.9454499658004</v>
      </c>
      <c r="Y92" s="12">
        <f>MIN(INDEX(其他调用!$AI$5:$AI$364,MATCH($K92,其他调用!$AG$5:$AG$364,0),1)/INDEX(其他调用!AL$5:AL$364,MATCH($K92,其他调用!$AG$5:$AG$364,0),0),1)*INDEX(其他调用!AC$5:AC$404,MATCH($K92,其他调用!$X$5:$X$404,0),0)</f>
        <v>2720.5178992526276</v>
      </c>
      <c r="Z92" s="12">
        <f>求节点(节奏总纲!D$4:D$163,标准城池设计!AD$4:AD$163,$K92)*求节点(节奏总纲!D$4:D$163,攻城基础信息!$AE$5:$AE$164,$K92)</f>
        <v>488387.11423178576</v>
      </c>
      <c r="AA92" s="12">
        <f>INDEX(其他调用!$AA$5:$AA$404,MATCH($K92,其他调用!$X$5:$X$404,0))*MIN(INDEX(其他调用!AJ$5:AJ$364,MATCH($K92,其他调用!$AG$5:$AG$364,0),1)/INDEX(其他调用!$AJ$5:$AJ$364,MATCH($K92,其他调用!$AG$5:$AG$364,0),0),5)*求节点(节奏总纲!D$4:D$163,攻城基础信息!$AE$5:$AE$164,$K92)</f>
        <v>113449.16812641095</v>
      </c>
      <c r="AB92" s="12">
        <f>MIN(INDEX(其他调用!$AJ$5:$AJ$364,MATCH($K92,其他调用!$AG$5:$AG$364,0),1)/INDEX(其他调用!AH$5:AH$364,MATCH($K92,其他调用!$AG$5:$AG$364,0),0),1)*INDEX(其他调用!Y$5:Y$404,MATCH($K92,其他调用!$X$5:$X$404,0),0)</f>
        <v>35343.840582927318</v>
      </c>
      <c r="AC92" s="12">
        <f>MIN(INDEX(其他调用!$AJ$5:$AJ$364,MATCH($K92,其他调用!$AG$5:$AG$364,0),1)/INDEX(其他调用!AI$5:AI$364,MATCH($K92,其他调用!$AG$5:$AG$364,0),0),1)*INDEX(其他调用!Z$5:Z$404,MATCH($K92,其他调用!$X$5:$X$404,0),0)</f>
        <v>36482.878639491173</v>
      </c>
      <c r="AD92" s="12">
        <f>MIN(INDEX(其他调用!$AJ$5:$AJ$364,MATCH($K92,其他调用!$AG$5:$AG$364,0),1)/INDEX(其他调用!AJ$5:AJ$364,MATCH($K92,其他调用!$AG$5:$AG$364,0),0),1)*INDEX(其他调用!AA$5:AA$404,MATCH($K92,其他调用!$X$5:$X$404,0),0)</f>
        <v>37991.172940778939</v>
      </c>
      <c r="AE92" s="12">
        <f>MIN(INDEX(其他调用!$AJ$5:$AJ$364,MATCH($K92,其他调用!$AG$5:$AG$364,0),1)/INDEX(其他调用!AK$5:AK$364,MATCH($K92,其他调用!$AG$5:$AG$364,0),0),1)*INDEX(其他调用!AB$5:AB$404,MATCH($K92,其他调用!$X$5:$X$404,0),0)</f>
        <v>16557.655967265764</v>
      </c>
      <c r="AF92" s="12">
        <f>MIN(INDEX(其他调用!$AJ$5:$AJ$364,MATCH($K92,其他调用!$AG$5:$AG$364,0),1)/INDEX(其他调用!AL$5:AL$364,MATCH($K92,其他调用!$AG$5:$AG$364,0),0),1)*INDEX(其他调用!AC$5:AC$404,MATCH($K92,其他调用!$X$5:$X$404,0),0)</f>
        <v>4991.7632678934597</v>
      </c>
      <c r="AG92" s="12">
        <f>求节点(节奏总纲!D$4:D$163,标准城池设计!AE$4:AE$163,$K92)*求节点(节奏总纲!D$4:D$163,攻城基础信息!$AF$5:$AF$164,$K92)</f>
        <v>555384.59774739959</v>
      </c>
      <c r="AH92" s="12">
        <f>INDEX(其他调用!$AA$5:$AA$404,MATCH($K92,其他调用!$X$5:$X$404,0))*MIN(INDEX(其他调用!AK$5:AK$364,MATCH($K92,其他调用!$AG$5:$AG$364,0),1)/INDEX(其他调用!$AJ$5:$AJ$364,MATCH($K92,其他调用!$AG$5:$AG$364,0),0),5)*求节点(节奏总纲!D$4:D$163,攻城基础信息!$AF$5:$AF$164,$K92)</f>
        <v>275272.23039674549</v>
      </c>
      <c r="AI92" s="12">
        <f>MIN(INDEX(其他调用!$AK$5:$AK$364,MATCH($K92,其他调用!$AG$5:$AG$364,0),1)/INDEX(其他调用!AH$5:AH$364,MATCH($K92,其他调用!$AG$5:$AG$364,0),0),1)*INDEX(其他调用!Y$5:Y$404,MATCH($K92,其他调用!$X$5:$X$404,0),0)</f>
        <v>35343.840582927318</v>
      </c>
      <c r="AJ92" s="12">
        <f>MIN(INDEX(其他调用!$AK$5:$AK$364,MATCH($K92,其他调用!$AG$5:$AG$364,0),1)/INDEX(其他调用!AI$5:AI$364,MATCH($K92,其他调用!$AG$5:$AG$364,0),0),1)*INDEX(其他调用!Z$5:Z$404,MATCH($K92,其他调用!$X$5:$X$404,0),0)</f>
        <v>36482.878639491173</v>
      </c>
      <c r="AK92" s="12">
        <f>MIN(INDEX(其他调用!$AK$5:$AK$364,MATCH($K92,其他调用!$AG$5:$AG$364,0),1)/INDEX(其他调用!AJ$5:AJ$364,MATCH($K92,其他调用!$AG$5:$AG$364,0),0),1)*INDEX(其他调用!AA$5:AA$404,MATCH($K92,其他调用!$X$5:$X$404,0),0)</f>
        <v>37991.172940778939</v>
      </c>
      <c r="AL92" s="12">
        <f>MIN(INDEX(其他调用!$AK$5:$AK$364,MATCH($K92,其他调用!$AG$5:$AG$364,0),1)/INDEX(其他调用!AK$5:AK$364,MATCH($K92,其他调用!$AG$5:$AG$364,0),0),1)*INDEX(其他调用!AB$5:AB$404,MATCH($K92,其他调用!$X$5:$X$404,0),0)</f>
        <v>40175.375135167342</v>
      </c>
      <c r="AM92" s="12">
        <f>MIN(INDEX(其他调用!$AK$5:$AK$364,MATCH($K92,其他调用!$AG$5:$AG$364,0),1)/INDEX(其他调用!AL$5:AL$364,MATCH($K92,其他调用!$AG$5:$AG$364,0),0),1)*INDEX(其他调用!AC$5:AC$404,MATCH($K92,其他调用!$X$5:$X$404,0),0)</f>
        <v>12111.977822829806</v>
      </c>
      <c r="AN92" s="12">
        <f>求节点(节奏总纲!D$4:D$163,标准城池设计!AF$4:AF$163,$K92)*求节点(节奏总纲!D$4:D$163,攻城基础信息!$AG$5:$AG$164,$K92)</f>
        <v>549098.55183099187</v>
      </c>
      <c r="AO92" s="12">
        <f>INDEX(其他调用!$AA$5:$AA$404,MATCH($K92,其他调用!$X$5:$X$404,0))*MIN(INDEX(其他调用!AL$5:AL$364,MATCH($K92,其他调用!$AG$5:$AG$364,0),1)/INDEX(其他调用!$AJ$5:$AJ$364,MATCH($K92,其他调用!$AG$5:$AG$364,0),0),5)*求节点(节奏总纲!D$4:D$163,攻城基础信息!$AG$5:$AG$164,$K92)</f>
        <v>567245.84063205484</v>
      </c>
      <c r="AP92" s="12">
        <f>MIN(INDEX(其他调用!$AL$5:$AL$364,MATCH($K92,其他调用!$AG$5:$AG$364,0),1)/INDEX(其他调用!AH$5:AH$364,MATCH($K92,其他调用!$AG$5:$AG$364,0),0),1)*INDEX(其他调用!Y$5:Y$404,MATCH($K92,其他调用!$X$5:$X$404,0),0)</f>
        <v>35343.840582927318</v>
      </c>
      <c r="AQ92" s="12">
        <f>MIN(INDEX(其他调用!$AL$5:$AL$364,MATCH($K92,其他调用!$AG$5:$AG$364,0),1)/INDEX(其他调用!AI$5:AI$364,MATCH($K92,其他调用!$AG$5:$AG$364,0),0),1)*INDEX(其他调用!Z$5:Z$404,MATCH($K92,其他调用!$X$5:$X$404,0),0)</f>
        <v>36482.878639491173</v>
      </c>
      <c r="AR92" s="12">
        <f>MIN(INDEX(其他调用!$AL$5:$AL$364,MATCH($K92,其他调用!$AG$5:$AG$364,0),1)/INDEX(其他调用!AJ$5:AJ$364,MATCH($K92,其他调用!$AG$5:$AG$364,0),0),1)*INDEX(其他调用!AA$5:AA$404,MATCH($K92,其他调用!$X$5:$X$404,0),0)</f>
        <v>37991.172940778939</v>
      </c>
      <c r="AS92" s="12">
        <f>MIN(INDEX(其他调用!$AL$5:$AL$364,MATCH($K92,其他调用!$AG$5:$AG$364,0),1)/INDEX(其他调用!AK$5:AK$364,MATCH($K92,其他调用!$AG$5:$AG$364,0),0),1)*INDEX(其他调用!AB$5:AB$404,MATCH($K92,其他调用!$X$5:$X$404,0),0)</f>
        <v>40175.375135167342</v>
      </c>
      <c r="AT92" s="12">
        <f>MIN(INDEX(其他调用!$AL$5:$AL$364,MATCH($K92,其他调用!$AG$5:$AG$364,0),1)/INDEX(其他调用!AL$5:AL$364,MATCH($K92,其他调用!$AG$5:$AG$364,0),0),1)*INDEX(其他调用!AC$5:AC$404,MATCH($K92,其他调用!$X$5:$X$404,0),0)</f>
        <v>44019.946904243407</v>
      </c>
      <c r="AV92" s="14">
        <f>IF(OR(AV$5="大R",AV$5="超R"),MAX(INDEX(其他调用!$H$5:$L$404,MATCH($K92,其他调用!$B$5:$B$404,0),MATCH(AV$5,其他调用!$H$4:$L$4,0))*120*0.85,2),INDEX(其他调用!$H$5:$L$404,MATCH($K92,其他调用!$B$5:$B$404,0),MATCH(AV$5,其他调用!$H$4:$L$4,0))*120*0.85)</f>
        <v>49.1792844195</v>
      </c>
      <c r="AW92" s="14">
        <f>IF(OR(AW$5="大R",AW$5="超R"),MAX(INDEX(其他调用!$H$5:$L$404,MATCH($K92,其他调用!$B$5:$B$404,0),MATCH(AW$5,其他调用!$H$4:$L$4,0))*120*0.85,2),INDEX(其他调用!$H$5:$L$404,MATCH($K92,其他调用!$B$5:$B$404,0),MATCH(AW$5,其他调用!$H$4:$L$4,0))*120*0.85)</f>
        <v>47.993211273430553</v>
      </c>
      <c r="AX92" s="14">
        <f>IF(OR(AX$5="大R",AX$5="超R"),MAX(INDEX(其他调用!$H$5:$L$404,MATCH($K92,其他调用!$B$5:$B$404,0),MATCH(AX$5,其他调用!$H$4:$L$4,0))*120*0.85,2),INDEX(其他调用!$H$5:$L$404,MATCH($K92,其他调用!$B$5:$B$404,0),MATCH(AX$5,其他调用!$H$4:$L$4,0))*120*0.85)</f>
        <v>3.93180925906944</v>
      </c>
      <c r="AY92" s="14">
        <f>IF(OR(AY$5="大R",AY$5="超R"),MAX(INDEX(其他调用!$H$5:$L$404,MATCH($K92,其他调用!$B$5:$B$404,0),MATCH(AY$5,其他调用!$H$4:$L$4,0))*120*0.85,2),INDEX(其他调用!$H$5:$L$404,MATCH($K92,其他调用!$B$5:$B$404,0),MATCH(AY$5,其他调用!$H$4:$L$4,0))*120*0.85)</f>
        <v>2</v>
      </c>
      <c r="AZ92" s="14">
        <f>IF(OR(AZ$5="大R",AZ$5="超R"),MAX(INDEX(其他调用!$H$5:$L$404,MATCH($K92,其他调用!$B$5:$B$404,0),MATCH(AZ$5,其他调用!$H$4:$L$4,0))*120*0.85,2),INDEX(其他调用!$H$5:$L$404,MATCH($K92,其他调用!$B$5:$B$404,0),MATCH(AZ$5,其他调用!$H$4:$L$4,0))*120*0.85)</f>
        <v>2</v>
      </c>
      <c r="BA92" s="14">
        <f>INDEX(其他调用!$H$5:$L$404,MATCH($K92,其他调用!$B$5:$B$404,0),MATCH(BA$5,其他调用!$H$4:$L$4,0))*INDEX(其他调用!$M$5:$M$404,MATCH($K92,其他调用!$B$5:$B$404,0))*0.6</f>
        <v>28.928990835</v>
      </c>
      <c r="BB92" s="14">
        <f>INDEX(其他调用!$H$5:$L$404,MATCH($K92,其他调用!$B$5:$B$404,0),MATCH(BB$5,其他调用!$H$4:$L$4,0))*INDEX(其他调用!$M$5:$M$404,MATCH($K92,其他调用!$B$5:$B$404,0))*0.6</f>
        <v>28.231300749076798</v>
      </c>
      <c r="BC92" s="14">
        <f>INDEX(其他调用!$H$5:$L$404,MATCH($K92,其他调用!$B$5:$B$404,0),MATCH(BC$5,其他调用!$H$4:$L$4,0))*INDEX(其他调用!$M$5:$M$404,MATCH($K92,其他调用!$B$5:$B$404,0))*0.6</f>
        <v>2.3128289759232001</v>
      </c>
      <c r="BD92" s="14">
        <f>INDEX(其他调用!$H$5:$L$404,MATCH($K92,其他调用!$B$5:$B$404,0),MATCH(BD$5,其他调用!$H$4:$L$4,0))*INDEX(其他调用!$M$5:$M$404,MATCH($K92,其他调用!$B$5:$B$404,0))*0.6</f>
        <v>0.40920264000000012</v>
      </c>
      <c r="BE92" s="14">
        <f>INDEX(其他调用!$H$5:$L$404,MATCH($K92,其他调用!$B$5:$B$404,0),MATCH(BE$5,其他调用!$H$4:$L$4,0))*INDEX(其他调用!$M$5:$M$404,MATCH($K92,其他调用!$B$5:$B$404,0))*0.6</f>
        <v>0.11767679999999997</v>
      </c>
      <c r="BF92" s="14">
        <f>IF(OR(BF$5="大R",BF$5="超R"),0,INDEX(其他调用!$H$5:$L$404,MATCH($K92,其他调用!$B$5:$B$404,0),MATCH(BF$5,其他调用!$H$4:$L$4,0))*50*0.4)</f>
        <v>9.6429969450000002</v>
      </c>
      <c r="BG92" s="14">
        <f>IF(OR(BG$5="大R",BG$5="超R"),0,INDEX(其他调用!$H$5:$L$404,MATCH($K92,其他调用!$B$5:$B$404,0),MATCH(BG$5,其他调用!$H$4:$L$4,0))*50*0.4)</f>
        <v>9.4104335830255987</v>
      </c>
      <c r="BH92" s="14">
        <f>IF(OR(BH$5="大R",BH$5="超R"),0,INDEX(其他调用!$H$5:$L$404,MATCH($K92,其他调用!$B$5:$B$404,0),MATCH(BH$5,其他调用!$H$4:$L$4,0))*50*0.4)</f>
        <v>0.77094299197440008</v>
      </c>
      <c r="BI92" s="14">
        <f>IF(OR(BI$5="大R",BI$5="超R"),0,INDEX(其他调用!$H$5:$L$404,MATCH($K92,其他调用!$B$5:$B$404,0),MATCH(BI$5,其他调用!$H$4:$L$4,0))*50*0.4)</f>
        <v>0</v>
      </c>
      <c r="BJ92" s="14">
        <f>IF(OR(BJ$5="大R",BJ$5="超R"),0,INDEX(其他调用!$H$5:$L$404,MATCH($K92,其他调用!$B$5:$B$404,0),MATCH(BJ$5,其他调用!$H$4:$L$4,0))*50*0.4)</f>
        <v>0</v>
      </c>
      <c r="BL92" s="14">
        <f t="shared" si="208"/>
        <v>87</v>
      </c>
      <c r="BM92" s="14">
        <f t="shared" si="115"/>
        <v>96</v>
      </c>
      <c r="BN92" s="14">
        <f>('疲劳值&amp;地图信息'!$S$10*'疲劳值&amp;地图信息'!$R$10+'疲劳值&amp;地图信息'!$S$11*'疲劳值&amp;地图信息'!$R$11+'疲劳值&amp;地图信息'!$S$12*'疲劳值&amp;地图信息'!$R$12+(BM92-'疲劳值&amp;地图信息'!$S$12-'疲劳值&amp;地图信息'!$S$11-'疲劳值&amp;地图信息'!$S$10)*'疲劳值&amp;地图信息'!$R$13)/BM92</f>
        <v>51.371477246638619</v>
      </c>
      <c r="BO92" s="14">
        <f>INDEX(其他调用!$M$5:$M$404,MATCH(BL92,其他调用!$B$5:$B$404,0))*0.6</f>
        <v>60</v>
      </c>
      <c r="BP92" s="14">
        <f>IF(BO92&gt;SUM('疲劳值&amp;地图信息'!$S$10:$S$12),('疲劳值&amp;地图信息'!$S$10*'疲劳值&amp;地图信息'!$R$10+'疲劳值&amp;地图信息'!$S$11*'疲劳值&amp;地图信息'!$R$11+'疲劳值&amp;地图信息'!$S$12*'疲劳值&amp;地图信息'!$R$12+(BO92-'疲劳值&amp;地图信息'!$S$12-'疲劳值&amp;地图信息'!$S$11-'疲劳值&amp;地图信息'!$S$10)*'疲劳值&amp;地图信息'!$R$13)/BO92,('疲劳值&amp;地图信息'!$S$10*'疲劳值&amp;地图信息'!$R$10+'疲劳值&amp;地图信息'!$S$11*'疲劳值&amp;地图信息'!$R$11+'疲劳值&amp;地图信息'!$S$12*'疲劳值&amp;地图信息'!$R$12+(BO92-'疲劳值&amp;地图信息'!$S$12-'疲劳值&amp;地图信息'!$S$11-'疲劳值&amp;地图信息'!$S$10)*'疲劳值&amp;地图信息'!$R$13)/BO92)</f>
        <v>44.158136341605953</v>
      </c>
      <c r="BQ92" s="14">
        <f t="shared" si="209"/>
        <v>20</v>
      </c>
      <c r="BR92" s="14">
        <f>('疲劳值&amp;地图信息'!$S$10*'疲劳值&amp;地图信息'!$R$10+($BQ92-'疲劳值&amp;地图信息'!$S$10)*'疲劳值&amp;地图信息'!$R$11)/$BQ92</f>
        <v>32.067203015074995</v>
      </c>
      <c r="CF92" s="14">
        <v>87</v>
      </c>
      <c r="CG92" s="51">
        <f t="shared" si="116"/>
        <v>8815</v>
      </c>
      <c r="CH92" s="51">
        <f t="shared" si="117"/>
        <v>820</v>
      </c>
      <c r="CI92" s="51">
        <f>INT(SUMPRODUCT($N92:$R92,$BA92:$BE92)/SUM($BA92:$BE92)/10000*$BX$7*$BZ$34/'疲劳值&amp;地图信息'!$R$10*$BY$53)</f>
        <v>2920</v>
      </c>
      <c r="CJ92" s="50">
        <f t="shared" si="118"/>
        <v>0.70211071286340099</v>
      </c>
      <c r="CK92" s="50">
        <f t="shared" si="119"/>
        <v>6.5312624452409401E-2</v>
      </c>
      <c r="CL92" s="50">
        <f t="shared" si="120"/>
        <v>0.23257666268418956</v>
      </c>
      <c r="CM92" s="14">
        <f t="shared" si="121"/>
        <v>9327</v>
      </c>
      <c r="CN92" s="14">
        <f t="shared" si="122"/>
        <v>1260</v>
      </c>
      <c r="CO92" s="14">
        <f>INT(SUMPRODUCT($U92:$Y92,$BA92:$BE92)/SUM($BA92:$BE92)/10000*$BX$7*$BZ$34/'疲劳值&amp;地图信息'!$R$10*$BY$54)</f>
        <v>5337</v>
      </c>
      <c r="CP92" s="50">
        <f t="shared" si="123"/>
        <v>0.58571966842501888</v>
      </c>
      <c r="CQ92" s="50">
        <f t="shared" si="124"/>
        <v>7.9125847776940469E-2</v>
      </c>
      <c r="CR92" s="50">
        <f t="shared" si="125"/>
        <v>0.33515448379804069</v>
      </c>
      <c r="CS92" s="14">
        <f t="shared" si="126"/>
        <v>9953</v>
      </c>
      <c r="CT92" s="14">
        <f t="shared" si="127"/>
        <v>2312</v>
      </c>
      <c r="CU92" s="14">
        <f>INT(SUMPRODUCT($AB92:$AF92,$BA92:$BE92)/SUM($BA92:$BE92)/10000*$BX$7*$BZ$34/'疲劳值&amp;地图信息'!$R$10*$BY$55)</f>
        <v>7263</v>
      </c>
      <c r="CV92" s="50">
        <f t="shared" si="128"/>
        <v>0.50967841048750517</v>
      </c>
      <c r="CW92" s="50">
        <f t="shared" si="129"/>
        <v>0.11839410077836952</v>
      </c>
      <c r="CX92" s="50">
        <f t="shared" si="130"/>
        <v>0.37192748873412534</v>
      </c>
      <c r="CY92" s="14">
        <f t="shared" si="131"/>
        <v>11319</v>
      </c>
      <c r="CZ92" s="14">
        <f t="shared" si="132"/>
        <v>5610</v>
      </c>
      <c r="DA92" s="14">
        <f>INT(SUMPRODUCT($AI92:$AM92,$BA92:$BE92)/SUM($BA92:$BE92)/10000*$BX$7*$BZ$34/'疲劳值&amp;地图信息'!$R$10*$BY$56)</f>
        <v>10949</v>
      </c>
      <c r="DB92" s="50">
        <f t="shared" si="133"/>
        <v>0.406019083148002</v>
      </c>
      <c r="DC92" s="50">
        <f t="shared" si="134"/>
        <v>0.20123394791591936</v>
      </c>
      <c r="DD92" s="50">
        <f t="shared" si="135"/>
        <v>0.39274696893607863</v>
      </c>
      <c r="DE92" s="14">
        <f t="shared" si="136"/>
        <v>11191</v>
      </c>
      <c r="DF92" s="14">
        <f t="shared" si="137"/>
        <v>11561</v>
      </c>
      <c r="DG92" s="14">
        <f>INT(SUMPRODUCT($AP92:$AT92,$BA92:$BE92)/SUM($BA92:$BE92)/10000*$BX$7*$BZ$34/'疲劳值&amp;地图信息'!$R$10*$BY$57)</f>
        <v>14624</v>
      </c>
      <c r="DH92" s="50">
        <f t="shared" si="138"/>
        <v>0.29941673801369861</v>
      </c>
      <c r="DI92" s="50">
        <f t="shared" si="139"/>
        <v>0.30931613869863012</v>
      </c>
      <c r="DJ92" s="50">
        <f t="shared" si="140"/>
        <v>0.39126712328767121</v>
      </c>
      <c r="DL92" s="14">
        <f t="shared" si="211"/>
        <v>12555</v>
      </c>
      <c r="DM92" s="14">
        <f t="shared" si="212"/>
        <v>15924</v>
      </c>
      <c r="DN92" s="14">
        <f t="shared" si="213"/>
        <v>19528</v>
      </c>
      <c r="DO92" s="14">
        <f t="shared" si="214"/>
        <v>27878</v>
      </c>
      <c r="DP92" s="14">
        <f t="shared" si="215"/>
        <v>37376</v>
      </c>
      <c r="DQ92" s="14">
        <f t="shared" si="216"/>
        <v>873729</v>
      </c>
      <c r="DT92" s="14">
        <f t="shared" si="210"/>
        <v>235575</v>
      </c>
      <c r="DU92" s="50">
        <f t="shared" si="112"/>
        <v>0.21236288699941586</v>
      </c>
      <c r="DW92" s="14">
        <f t="shared" si="141"/>
        <v>1109304</v>
      </c>
      <c r="EB92" s="14">
        <v>87</v>
      </c>
      <c r="EC92" s="51">
        <f t="shared" si="142"/>
        <v>14692</v>
      </c>
      <c r="ED92" s="51">
        <f t="shared" si="143"/>
        <v>1367</v>
      </c>
      <c r="EE92" s="51">
        <f>INT(SUMPRODUCT($N92:$R92,$BF92:$BJ92)/SUM($BF92:$BJ92)/10000*$BX$7*$BZ$46/'疲劳值&amp;地图信息'!$R$10*$BY$53)</f>
        <v>392</v>
      </c>
      <c r="EF92" s="50">
        <f t="shared" si="144"/>
        <v>0.89307640872895266</v>
      </c>
      <c r="EG92" s="50">
        <f t="shared" si="145"/>
        <v>8.3095252568232927E-2</v>
      </c>
      <c r="EH92" s="50">
        <f t="shared" si="146"/>
        <v>2.3828338702814419E-2</v>
      </c>
      <c r="EI92" s="51">
        <f t="shared" si="147"/>
        <v>15545</v>
      </c>
      <c r="EJ92" s="51">
        <f t="shared" si="148"/>
        <v>2100</v>
      </c>
      <c r="EK92" s="14">
        <f>INT(SUMPRODUCT($U92:$Y92,$BF92:$BJ92)/SUM($BF92:$BJ92)/10000*$BX$7*$BZ$46/'疲劳值&amp;地图信息'!$R$10*$BY$54)</f>
        <v>716</v>
      </c>
      <c r="EL92" s="50">
        <f t="shared" si="149"/>
        <v>0.84663144708893856</v>
      </c>
      <c r="EM92" s="50">
        <f t="shared" si="150"/>
        <v>0.1143728555089592</v>
      </c>
      <c r="EN92" s="50">
        <f t="shared" si="151"/>
        <v>3.8995697402102285E-2</v>
      </c>
      <c r="EO92" s="51">
        <f t="shared" si="152"/>
        <v>16589</v>
      </c>
      <c r="EP92" s="51">
        <f t="shared" si="153"/>
        <v>3853</v>
      </c>
      <c r="EQ92" s="14">
        <f>INT(SUMPRODUCT($AB92:$AF92,$BF92:$BJ92)/SUM($BF92:$BJ92)/10000*$BX$7*$BZ$46/'疲劳值&amp;地图信息'!$R$10*$BY$55)</f>
        <v>973</v>
      </c>
      <c r="ER92" s="50">
        <f t="shared" si="154"/>
        <v>0.77464394116273638</v>
      </c>
      <c r="ES92" s="50">
        <f t="shared" si="155"/>
        <v>0.17992061639038057</v>
      </c>
      <c r="ET92" s="50">
        <f t="shared" si="156"/>
        <v>4.5435442446883023E-2</v>
      </c>
      <c r="EU92" s="51">
        <f t="shared" si="157"/>
        <v>18865</v>
      </c>
      <c r="EV92" s="51">
        <f t="shared" si="158"/>
        <v>9350</v>
      </c>
      <c r="EW92" s="14">
        <f>INT(SUMPRODUCT($AI92:$AM92,$BF92:$BJ92)/SUM($BF92:$BJ92)/10000*$BX$7*$BZ$46/'疲劳值&amp;地图信息'!$R$10*$BY$56)</f>
        <v>1460</v>
      </c>
      <c r="EX92" s="50">
        <f t="shared" si="159"/>
        <v>0.63572030328559392</v>
      </c>
      <c r="EY92" s="50">
        <f t="shared" si="160"/>
        <v>0.31508003369839932</v>
      </c>
      <c r="EZ92" s="50">
        <f t="shared" si="161"/>
        <v>4.9199663016006742E-2</v>
      </c>
      <c r="FA92" s="51">
        <f t="shared" si="162"/>
        <v>18652</v>
      </c>
      <c r="FB92" s="51">
        <f t="shared" si="163"/>
        <v>19268</v>
      </c>
      <c r="FC92" s="14">
        <f>INT(SUMPRODUCT($AP92:$AT92,$BF92:$BJ92)/SUM($BF92:$BJ92)/10000*$BX$7*$BZ$46/'疲劳值&amp;地图信息'!$R$10*$BY$57)</f>
        <v>1947</v>
      </c>
      <c r="FD92" s="50">
        <f t="shared" si="164"/>
        <v>0.46785561993628816</v>
      </c>
      <c r="FE92" s="50">
        <f t="shared" si="165"/>
        <v>0.48330699576090502</v>
      </c>
      <c r="FF92" s="50">
        <f t="shared" si="166"/>
        <v>4.8837384302806833E-2</v>
      </c>
      <c r="FH92" s="14">
        <f t="shared" si="167"/>
        <v>16451</v>
      </c>
      <c r="FI92" s="14">
        <f t="shared" si="168"/>
        <v>18361</v>
      </c>
      <c r="FJ92" s="14">
        <f t="shared" si="169"/>
        <v>21415</v>
      </c>
      <c r="FK92" s="14">
        <f t="shared" si="170"/>
        <v>29675</v>
      </c>
      <c r="FL92" s="14">
        <f t="shared" si="171"/>
        <v>39867</v>
      </c>
      <c r="FM92" s="14">
        <f t="shared" si="172"/>
        <v>1913535</v>
      </c>
      <c r="FP92" s="14">
        <f t="shared" si="173"/>
        <v>334150</v>
      </c>
      <c r="FQ92" s="50">
        <f t="shared" si="113"/>
        <v>0.14866406992082964</v>
      </c>
      <c r="FS92" s="14">
        <f t="shared" si="174"/>
        <v>2247685</v>
      </c>
      <c r="FX92" s="14">
        <v>87</v>
      </c>
      <c r="FY92" s="51">
        <f t="shared" si="175"/>
        <v>20569</v>
      </c>
      <c r="FZ92" s="51">
        <f t="shared" si="176"/>
        <v>1367</v>
      </c>
      <c r="GA92" s="51">
        <f>INT(SUMPRODUCT($N92:$R92,$BF92:$BJ92)/SUM($BF92:$BJ92)/10000*$BX$7*$BZ$46/'疲劳值&amp;地图信息'!$R$10*$BY$53)</f>
        <v>392</v>
      </c>
      <c r="GB92" s="50">
        <f t="shared" si="177"/>
        <v>0.9212199928341096</v>
      </c>
      <c r="GC92" s="50">
        <f t="shared" si="178"/>
        <v>6.1223575779290579E-2</v>
      </c>
      <c r="GD92" s="50">
        <f t="shared" si="179"/>
        <v>1.7556431386599784E-2</v>
      </c>
      <c r="GE92" s="51">
        <f t="shared" si="180"/>
        <v>21763</v>
      </c>
      <c r="GF92" s="51">
        <f t="shared" si="181"/>
        <v>2100</v>
      </c>
      <c r="GG92" s="14">
        <f>INT(SUMPRODUCT($U92:$Y92,$BF92:$BJ92)/SUM($BF92:$BJ92)/10000*$BX$7*$BZ$46/'疲劳值&amp;地图信息'!$R$10*$BY$54)</f>
        <v>716</v>
      </c>
      <c r="GH92" s="50">
        <f t="shared" si="182"/>
        <v>0.88543065218275763</v>
      </c>
      <c r="GI92" s="50">
        <f t="shared" si="183"/>
        <v>8.5438789210301472E-2</v>
      </c>
      <c r="GJ92" s="50">
        <f t="shared" si="184"/>
        <v>2.9130558606940884E-2</v>
      </c>
      <c r="GK92" s="51">
        <f t="shared" si="185"/>
        <v>23225</v>
      </c>
      <c r="GL92" s="51">
        <f t="shared" si="186"/>
        <v>3853</v>
      </c>
      <c r="GM92" s="14">
        <f>INT(SUMPRODUCT($AB92:$AF92,$BF92:$BJ92)/SUM($BF92:$BJ92)/10000*$BX$7*$BZ$46/'疲劳值&amp;地图信息'!$R$10*$BY$55)</f>
        <v>973</v>
      </c>
      <c r="GN92" s="50">
        <f t="shared" si="187"/>
        <v>0.82795622259455992</v>
      </c>
      <c r="GO92" s="50">
        <f t="shared" si="188"/>
        <v>0.13735695697123096</v>
      </c>
      <c r="GP92" s="50">
        <f t="shared" si="189"/>
        <v>3.468682043420912E-2</v>
      </c>
      <c r="GQ92" s="51">
        <f t="shared" si="190"/>
        <v>26412</v>
      </c>
      <c r="GR92" s="51">
        <f t="shared" si="191"/>
        <v>9350</v>
      </c>
      <c r="GS92" s="14">
        <f>INT(SUMPRODUCT($AI92:$AM92,$BF92:$BJ92)/SUM($BF92:$BJ92)/10000*$BX$7*$BZ$46/'疲劳值&amp;地图信息'!$R$10*$BY$56)</f>
        <v>1460</v>
      </c>
      <c r="GT92" s="50">
        <f t="shared" si="192"/>
        <v>0.70958035570361611</v>
      </c>
      <c r="GU92" s="50">
        <f t="shared" si="193"/>
        <v>0.25119552952554941</v>
      </c>
      <c r="GV92" s="50">
        <f t="shared" si="194"/>
        <v>3.9224114770834456E-2</v>
      </c>
      <c r="GW92" s="51">
        <f t="shared" si="195"/>
        <v>26113</v>
      </c>
      <c r="GX92" s="51">
        <f t="shared" si="196"/>
        <v>19268</v>
      </c>
      <c r="GY92" s="14">
        <f>INT(SUMPRODUCT($AP92:$AT92,$BF92:$BJ92)/SUM($BF92:$BJ92)/10000*$BX$7*$BZ$46/'疲劳值&amp;地图信息'!$R$10*$BY$57)</f>
        <v>1947</v>
      </c>
      <c r="GZ92" s="50">
        <f t="shared" si="197"/>
        <v>0.55174526707234617</v>
      </c>
      <c r="HA92" s="50">
        <f t="shared" si="198"/>
        <v>0.40711629479377959</v>
      </c>
      <c r="HB92" s="50">
        <f t="shared" si="199"/>
        <v>4.1138438133874237E-2</v>
      </c>
      <c r="HD92" s="14">
        <f t="shared" si="200"/>
        <v>22328</v>
      </c>
      <c r="HE92" s="14">
        <f t="shared" si="201"/>
        <v>24579</v>
      </c>
      <c r="HF92" s="14">
        <f t="shared" si="202"/>
        <v>28051</v>
      </c>
      <c r="HG92" s="14">
        <f t="shared" si="203"/>
        <v>37222</v>
      </c>
      <c r="HH92" s="14">
        <f t="shared" si="204"/>
        <v>47328</v>
      </c>
      <c r="HI92" s="14">
        <f t="shared" si="205"/>
        <v>2557091</v>
      </c>
      <c r="HL92" s="14">
        <f t="shared" si="206"/>
        <v>430050</v>
      </c>
      <c r="HM92" s="50">
        <f t="shared" si="114"/>
        <v>0.14396709094080259</v>
      </c>
      <c r="HO92" s="14">
        <f t="shared" si="207"/>
        <v>2987141</v>
      </c>
    </row>
    <row r="93" spans="11:223" x14ac:dyDescent="0.2">
      <c r="K93" s="14">
        <v>88</v>
      </c>
      <c r="L93" s="12">
        <f>求节点(节奏总纲!D$4:D$163,标准城池设计!AB$4:AB$163,$K93)*求节点(节奏总纲!D$4:D$163,攻城基础信息!$AC$5:$AC$164,$K93)</f>
        <v>435271.54938826396</v>
      </c>
      <c r="M93" s="12">
        <f>INDEX(其他调用!$AA$5:$AA$404,MATCH(K93,其他调用!$X$5:$X$404,0))*MIN(INDEX(其他调用!$AH$5:$AH$364,MATCH('征服点（新）'!K93,其他调用!$AG$5:$AG$364,0),1)/INDEX(其他调用!$AJ$5:$AJ$364,MATCH(K93,其他调用!$AG$5:$AG$364,0),0),5)*求节点(节奏总纲!D$4:D$163,攻城基础信息!$AC$5:$AC$164,$K93)</f>
        <v>40387.933087829391</v>
      </c>
      <c r="N93" s="12">
        <f>MIN(INDEX(其他调用!$AH$5:$AH$364,MATCH($K93,其他调用!$AG$5:$AG$364,0),1)/INDEX(其他调用!AH$5:AH$364,MATCH($K93,其他调用!$AG$5:$AG$364,0),0),1)*INDEX(其他调用!Y$5:Y$404,MATCH($K93,其他调用!$X$5:$X$404,0),0)</f>
        <v>35409.695657971213</v>
      </c>
      <c r="O93" s="12">
        <f>MIN(INDEX(其他调用!$AH$5:$AH$364,MATCH($K93,其他调用!$AG$5:$AG$364,0),1)/INDEX(其他调用!AI$5:AI$364,MATCH($K93,其他调用!$AG$5:$AG$364,0),0),1)*INDEX(其他调用!Z$5:Z$404,MATCH($K93,其他调用!$X$5:$X$404,0),0)</f>
        <v>23790.782711454591</v>
      </c>
      <c r="P93" s="12">
        <f>MIN(INDEX(其他调用!$AH$5:$AH$364,MATCH($K93,其他调用!$AG$5:$AG$364,0),1)/INDEX(其他调用!AJ$5:AJ$364,MATCH($K93,其他调用!$AG$5:$AG$364,0),0),1)*INDEX(其他调用!AA$5:AA$404,MATCH($K93,其他调用!$X$5:$X$404,0),0)</f>
        <v>13500.005234618464</v>
      </c>
      <c r="Q93" s="12">
        <f>MIN(INDEX(其他调用!$AH$5:$AH$364,MATCH($K93,其他调用!$AG$5:$AG$364,0),1)/INDEX(其他调用!AK$5:AK$364,MATCH($K93,其他调用!$AG$5:$AG$364,0),0),1)*INDEX(其他调用!AB$5:AB$404,MATCH($K93,其他调用!$X$5:$X$404,0),0)</f>
        <v>5878.4929634885639</v>
      </c>
      <c r="R93" s="12">
        <f>MIN(INDEX(其他调用!$AH$5:$AH$364,MATCH($K93,其他调用!$AG$5:$AG$364,0),1)/INDEX(其他调用!AL$5:AL$364,MATCH($K93,其他调用!$AG$5:$AG$364,0),0),1)*INDEX(其他调用!AC$5:AC$404,MATCH($K93,其他调用!$X$5:$X$404,0),0)</f>
        <v>1775.2227841500762</v>
      </c>
      <c r="S93" s="12">
        <f>求节点(节奏总纲!D$4:D$163,标准城池设计!AC$4:AC$163,$K93)*求节点(节奏总纲!D$4:D$163,攻城基础信息!$AD$5:$AD$164,$K93)</f>
        <v>460530.11656973616</v>
      </c>
      <c r="T93" s="12">
        <f>INDEX(其他调用!$AA$5:$AA$404,MATCH($K93,其他调用!$X$5:$X$404,0))*MIN(INDEX(其他调用!AI$5:AI$364,MATCH($K93,其他调用!$AG$5:$AG$364,0),1)/INDEX(其他调用!$AJ$5:$AJ$364,MATCH($K93,其他调用!$AG$5:$AG$364,0),0),5)*求节点(节奏总纲!D$4:D$163,攻城基础信息!$AD$5:$AD$164,$K93)</f>
        <v>62047.455199672455</v>
      </c>
      <c r="U93" s="12">
        <f>MIN(INDEX(其他调用!$AI$5:$AI$364,MATCH($K93,其他调用!$AG$5:$AG$364,0),1)/INDEX(其他调用!AH$5:AH$364,MATCH($K93,其他调用!$AG$5:$AG$364,0),0),1)*INDEX(其他调用!Y$5:Y$404,MATCH($K93,其他调用!$X$5:$X$404,0),0)</f>
        <v>35409.695657971213</v>
      </c>
      <c r="V93" s="12">
        <f>MIN(INDEX(其他调用!$AI$5:$AI$364,MATCH($K93,其他调用!$AG$5:$AG$364,0),1)/INDEX(其他调用!AI$5:AI$364,MATCH($K93,其他调用!$AG$5:$AG$364,0),0),1)*INDEX(其他调用!Z$5:Z$404,MATCH($K93,其他调用!$X$5:$X$404,0),0)</f>
        <v>36549.469398297835</v>
      </c>
      <c r="W93" s="12">
        <f>MIN(INDEX(其他调用!$AI$5:$AI$364,MATCH($K93,其他调用!$AG$5:$AG$364,0),1)/INDEX(其他调用!AJ$5:AJ$364,MATCH($K93,其他调用!$AG$5:$AG$364,0),0),1)*INDEX(其他调用!AA$5:AA$404,MATCH($K93,其他调用!$X$5:$X$404,0),0)</f>
        <v>20739.882087274967</v>
      </c>
      <c r="X93" s="12">
        <f>MIN(INDEX(其他调用!$AI$5:$AI$364,MATCH($K93,其他调用!$AG$5:$AG$364,0),1)/INDEX(其他调用!AK$5:AK$364,MATCH($K93,其他调用!$AG$5:$AG$364,0),0),1)*INDEX(其他调用!AB$5:AB$404,MATCH($K93,其他调用!$X$5:$X$404,0),0)</f>
        <v>9031.0521214456494</v>
      </c>
      <c r="Y93" s="12">
        <f>MIN(INDEX(其他调用!$AI$5:$AI$364,MATCH($K93,其他调用!$AG$5:$AG$364,0),1)/INDEX(其他调用!AL$5:AL$364,MATCH($K93,其他调用!$AG$5:$AG$364,0),0),1)*INDEX(其他调用!AC$5:AC$404,MATCH($K93,其他调用!$X$5:$X$404,0),0)</f>
        <v>2727.2516256144336</v>
      </c>
      <c r="Z93" s="12">
        <f>求节点(节奏总纲!D$4:D$163,标准城池设计!AD$4:AD$163,$K93)*求节点(节奏总纲!D$4:D$163,攻城基础信息!$AE$5:$AE$164,$K93)</f>
        <v>491857.67343246716</v>
      </c>
      <c r="AA93" s="12">
        <f>INDEX(其他调用!$AA$5:$AA$404,MATCH($K93,其他调用!$X$5:$X$404,0))*MIN(INDEX(其他调用!AJ$5:AJ$364,MATCH($K93,其他调用!$AG$5:$AG$364,0),1)/INDEX(其他调用!$AJ$5:$AJ$364,MATCH($K93,其他调用!$AG$5:$AG$364,0),0),5)*求节点(节奏总纲!D$4:D$163,攻城基础信息!$AE$5:$AE$164,$K93)</f>
        <v>113855.36341238671</v>
      </c>
      <c r="AB93" s="12">
        <f>MIN(INDEX(其他调用!$AJ$5:$AJ$364,MATCH($K93,其他调用!$AG$5:$AG$364,0),1)/INDEX(其他调用!AH$5:AH$364,MATCH($K93,其他调用!$AG$5:$AG$364,0),0),1)*INDEX(其他调用!Y$5:Y$404,MATCH($K93,其他调用!$X$5:$X$404,0),0)</f>
        <v>35409.695657971213</v>
      </c>
      <c r="AC93" s="12">
        <f>MIN(INDEX(其他调用!$AJ$5:$AJ$364,MATCH($K93,其他调用!$AG$5:$AG$364,0),1)/INDEX(其他调用!AI$5:AI$364,MATCH($K93,其他调用!$AG$5:$AG$364,0),0),1)*INDEX(其他调用!Z$5:Z$404,MATCH($K93,其他调用!$X$5:$X$404,0),0)</f>
        <v>36549.469398297835</v>
      </c>
      <c r="AD93" s="12">
        <f>MIN(INDEX(其他调用!$AJ$5:$AJ$364,MATCH($K93,其他调用!$AG$5:$AG$364,0),1)/INDEX(其他调用!AJ$5:AJ$364,MATCH($K93,其他调用!$AG$5:$AG$364,0),0),1)*INDEX(其他调用!AA$5:AA$404,MATCH($K93,其他调用!$X$5:$X$404,0),0)</f>
        <v>38057.109748945935</v>
      </c>
      <c r="AE93" s="12">
        <f>MIN(INDEX(其他调用!$AJ$5:$AJ$364,MATCH($K93,其他调用!$AG$5:$AG$364,0),1)/INDEX(其他调用!AK$5:AK$364,MATCH($K93,其他调用!$AG$5:$AG$364,0),0),1)*INDEX(其他调用!AB$5:AB$404,MATCH($K93,其他调用!$X$5:$X$404,0),0)</f>
        <v>16571.730749866889</v>
      </c>
      <c r="AF93" s="12">
        <f>MIN(INDEX(其他调用!$AJ$5:$AJ$364,MATCH($K93,其他调用!$AG$5:$AG$364,0),1)/INDEX(其他调用!AL$5:AL$364,MATCH($K93,其他调用!$AG$5:$AG$364,0),0),1)*INDEX(其他调用!AC$5:AC$404,MATCH($K93,其他调用!$X$5:$X$404,0),0)</f>
        <v>5004.4312688104073</v>
      </c>
      <c r="AG93" s="12">
        <f>求节点(节奏总纲!D$4:D$163,标准城池设计!AE$4:AE$163,$K93)*求节点(节奏总纲!D$4:D$163,攻城基础信息!$AF$5:$AF$164,$K93)</f>
        <v>559179.73000405228</v>
      </c>
      <c r="AH93" s="12">
        <f>INDEX(其他调用!$AA$5:$AA$404,MATCH($K93,其他调用!$X$5:$X$404,0))*MIN(INDEX(其他调用!AK$5:AK$364,MATCH($K93,其他调用!$AG$5:$AG$364,0),1)/INDEX(其他调用!$AJ$5:$AJ$364,MATCH($K93,其他调用!$AG$5:$AG$364,0),0),5)*求节点(节奏总纲!D$4:D$163,攻城基础信息!$AF$5:$AF$164,$K93)</f>
        <v>276461.87443168781</v>
      </c>
      <c r="AI93" s="12">
        <f>MIN(INDEX(其他调用!$AK$5:$AK$364,MATCH($K93,其他调用!$AG$5:$AG$364,0),1)/INDEX(其他调用!AH$5:AH$364,MATCH($K93,其他调用!$AG$5:$AG$364,0),0),1)*INDEX(其他调用!Y$5:Y$404,MATCH($K93,其他调用!$X$5:$X$404,0),0)</f>
        <v>35409.695657971213</v>
      </c>
      <c r="AJ93" s="12">
        <f>MIN(INDEX(其他调用!$AK$5:$AK$364,MATCH($K93,其他调用!$AG$5:$AG$364,0),1)/INDEX(其他调用!AI$5:AI$364,MATCH($K93,其他调用!$AG$5:$AG$364,0),0),1)*INDEX(其他调用!Z$5:Z$404,MATCH($K93,其他调用!$X$5:$X$404,0),0)</f>
        <v>36549.469398297835</v>
      </c>
      <c r="AK93" s="12">
        <f>MIN(INDEX(其他调用!$AK$5:$AK$364,MATCH($K93,其他调用!$AG$5:$AG$364,0),1)/INDEX(其他调用!AJ$5:AJ$364,MATCH($K93,其他调用!$AG$5:$AG$364,0),0),1)*INDEX(其他调用!AA$5:AA$404,MATCH($K93,其他调用!$X$5:$X$404,0),0)</f>
        <v>38057.109748945935</v>
      </c>
      <c r="AL93" s="12">
        <f>MIN(INDEX(其他调用!$AK$5:$AK$364,MATCH($K93,其他调用!$AG$5:$AG$364,0),1)/INDEX(其他调用!AK$5:AK$364,MATCH($K93,其他调用!$AG$5:$AG$364,0),0),1)*INDEX(其他调用!AB$5:AB$404,MATCH($K93,其他调用!$X$5:$X$404,0),0)</f>
        <v>40239.226404217057</v>
      </c>
      <c r="AM93" s="12">
        <f>MIN(INDEX(其他调用!$AK$5:$AK$364,MATCH($K93,其他调用!$AG$5:$AG$364,0),1)/INDEX(其他调用!AL$5:AL$364,MATCH($K93,其他调用!$AG$5:$AG$364,0),0),1)*INDEX(其他调用!AC$5:AC$404,MATCH($K93,其他调用!$X$5:$X$404,0),0)</f>
        <v>12151.684449231276</v>
      </c>
      <c r="AN93" s="12">
        <f>求节点(节奏总纲!D$4:D$163,标准城池设计!AF$4:AF$163,$K93)*求节点(节奏总纲!D$4:D$163,攻城基础信息!$AG$5:$AG$164,$K93)</f>
        <v>552087.51930444303</v>
      </c>
      <c r="AO93" s="12">
        <f>INDEX(其他调用!$AA$5:$AA$404,MATCH($K93,其他调用!$X$5:$X$404,0))*MIN(INDEX(其他调用!AL$5:AL$364,MATCH($K93,其他调用!$AG$5:$AG$364,0),1)/INDEX(其他调用!$AJ$5:$AJ$364,MATCH($K93,其他调用!$AG$5:$AG$364,0),0),5)*求节点(节奏总纲!D$4:D$163,攻城基础信息!$AG$5:$AG$164,$K93)</f>
        <v>569276.81706193346</v>
      </c>
      <c r="AP93" s="12">
        <f>MIN(INDEX(其他调用!$AL$5:$AL$364,MATCH($K93,其他调用!$AG$5:$AG$364,0),1)/INDEX(其他调用!AH$5:AH$364,MATCH($K93,其他调用!$AG$5:$AG$364,0),0),1)*INDEX(其他调用!Y$5:Y$404,MATCH($K93,其他调用!$X$5:$X$404,0),0)</f>
        <v>35409.695657971213</v>
      </c>
      <c r="AQ93" s="12">
        <f>MIN(INDEX(其他调用!$AL$5:$AL$364,MATCH($K93,其他调用!$AG$5:$AG$364,0),1)/INDEX(其他调用!AI$5:AI$364,MATCH($K93,其他调用!$AG$5:$AG$364,0),0),1)*INDEX(其他调用!Z$5:Z$404,MATCH($K93,其他调用!$X$5:$X$404,0),0)</f>
        <v>36549.469398297835</v>
      </c>
      <c r="AR93" s="12">
        <f>MIN(INDEX(其他调用!$AL$5:$AL$364,MATCH($K93,其他调用!$AG$5:$AG$364,0),1)/INDEX(其他调用!AJ$5:AJ$364,MATCH($K93,其他调用!$AG$5:$AG$364,0),0),1)*INDEX(其他调用!AA$5:AA$404,MATCH($K93,其他调用!$X$5:$X$404,0),0)</f>
        <v>38057.109748945935</v>
      </c>
      <c r="AS93" s="12">
        <f>MIN(INDEX(其他调用!$AL$5:$AL$364,MATCH($K93,其他调用!$AG$5:$AG$364,0),1)/INDEX(其他调用!AK$5:AK$364,MATCH($K93,其他调用!$AG$5:$AG$364,0),0),1)*INDEX(其他调用!AB$5:AB$404,MATCH($K93,其他调用!$X$5:$X$404,0),0)</f>
        <v>40239.226404217057</v>
      </c>
      <c r="AT93" s="12">
        <f>MIN(INDEX(其他调用!$AL$5:$AL$364,MATCH($K93,其他调用!$AG$5:$AG$364,0),1)/INDEX(其他调用!AL$5:AL$364,MATCH($K93,其他调用!$AG$5:$AG$364,0),0),1)*INDEX(其他调用!AC$5:AC$404,MATCH($K93,其他调用!$X$5:$X$404,0),0)</f>
        <v>44088.117010110705</v>
      </c>
      <c r="AV93" s="14">
        <f>IF(OR(AV$5="大R",AV$5="超R"),MAX(INDEX(其他调用!$H$5:$L$404,MATCH($K93,其他调用!$B$5:$B$404,0),MATCH(AV$5,其他调用!$H$4:$L$4,0))*120*0.85,2),INDEX(其他调用!$H$5:$L$404,MATCH($K93,其他调用!$B$5:$B$404,0),MATCH(AV$5,其他调用!$H$4:$L$4,0))*120*0.85)</f>
        <v>49.093456698000004</v>
      </c>
      <c r="AW93" s="14">
        <f>IF(OR(AW$5="大R",AW$5="超R"),MAX(INDEX(其他调用!$H$5:$L$404,MATCH($K93,其他调用!$B$5:$B$404,0),MATCH(AW$5,其他调用!$H$4:$L$4,0))*120*0.85,2),INDEX(其他调用!$H$5:$L$404,MATCH($K93,其他调用!$B$5:$B$404,0),MATCH(AW$5,其他调用!$H$4:$L$4,0))*120*0.85)</f>
        <v>48.074588852499836</v>
      </c>
      <c r="AX93" s="14">
        <f>IF(OR(AX$5="大R",AX$5="超R"),MAX(INDEX(其他调用!$H$5:$L$404,MATCH($K93,其他调用!$B$5:$B$404,0),MATCH(AX$5,其他调用!$H$4:$L$4,0))*120*0.85,2),INDEX(其他调用!$H$5:$L$404,MATCH($K93,其他调用!$B$5:$B$404,0),MATCH(AX$5,其他调用!$H$4:$L$4,0))*120*0.85)</f>
        <v>3.9337489775001604</v>
      </c>
      <c r="AY93" s="14">
        <f>IF(OR(AY$5="大R",AY$5="超R"),MAX(INDEX(其他调用!$H$5:$L$404,MATCH($K93,其他调用!$B$5:$B$404,0),MATCH(AY$5,其他调用!$H$4:$L$4,0))*120*0.85,2),INDEX(其他调用!$H$5:$L$404,MATCH($K93,其他调用!$B$5:$B$404,0),MATCH(AY$5,其他调用!$H$4:$L$4,0))*120*0.85)</f>
        <v>2</v>
      </c>
      <c r="AZ93" s="14">
        <f>IF(OR(AZ$5="大R",AZ$5="超R"),MAX(INDEX(其他调用!$H$5:$L$404,MATCH($K93,其他调用!$B$5:$B$404,0),MATCH(AZ$5,其他调用!$H$4:$L$4,0))*120*0.85,2),INDEX(其他调用!$H$5:$L$404,MATCH($K93,其他调用!$B$5:$B$404,0),MATCH(AZ$5,其他调用!$H$4:$L$4,0))*120*0.85)</f>
        <v>2</v>
      </c>
      <c r="BA93" s="14">
        <f>INDEX(其他调用!$H$5:$L$404,MATCH($K93,其他调用!$B$5:$B$404,0),MATCH(BA$5,其他调用!$H$4:$L$4,0))*INDEX(其他调用!$M$5:$M$404,MATCH($K93,其他调用!$B$5:$B$404,0))*0.6</f>
        <v>28.878503939999998</v>
      </c>
      <c r="BB93" s="14">
        <f>INDEX(其他调用!$H$5:$L$404,MATCH($K93,其他调用!$B$5:$B$404,0),MATCH(BB$5,其他调用!$H$4:$L$4,0))*INDEX(其他调用!$M$5:$M$404,MATCH($K93,其他调用!$B$5:$B$404,0))*0.6</f>
        <v>28.279169913235197</v>
      </c>
      <c r="BC93" s="14">
        <f>INDEX(其他调用!$H$5:$L$404,MATCH($K93,其他调用!$B$5:$B$404,0),MATCH(BC$5,其他调用!$H$4:$L$4,0))*INDEX(其他调用!$M$5:$M$404,MATCH($K93,其他调用!$B$5:$B$404,0))*0.6</f>
        <v>2.3139699867648003</v>
      </c>
      <c r="BD93" s="14">
        <f>INDEX(其他调用!$H$5:$L$404,MATCH($K93,其他调用!$B$5:$B$404,0),MATCH(BD$5,其他调用!$H$4:$L$4,0))*INDEX(其他调用!$M$5:$M$404,MATCH($K93,其他调用!$B$5:$B$404,0))*0.6</f>
        <v>0.41016096000000013</v>
      </c>
      <c r="BE93" s="14">
        <f>INDEX(其他调用!$H$5:$L$404,MATCH($K93,其他调用!$B$5:$B$404,0),MATCH(BE$5,其他调用!$H$4:$L$4,0))*INDEX(其他调用!$M$5:$M$404,MATCH($K93,其他调用!$B$5:$B$404,0))*0.6</f>
        <v>0.11819519999999996</v>
      </c>
      <c r="BF93" s="14">
        <f>IF(OR(BF$5="大R",BF$5="超R"),0,INDEX(其他调用!$H$5:$L$404,MATCH($K93,其他调用!$B$5:$B$404,0),MATCH(BF$5,其他调用!$H$4:$L$4,0))*50*0.4)</f>
        <v>9.62616798</v>
      </c>
      <c r="BG93" s="14">
        <f>IF(OR(BG$5="大R",BG$5="超R"),0,INDEX(其他调用!$H$5:$L$404,MATCH($K93,其他调用!$B$5:$B$404,0),MATCH(BG$5,其他调用!$H$4:$L$4,0))*50*0.4)</f>
        <v>9.4263899710783985</v>
      </c>
      <c r="BH93" s="14">
        <f>IF(OR(BH$5="大R",BH$5="超R"),0,INDEX(其他调用!$H$5:$L$404,MATCH($K93,其他调用!$B$5:$B$404,0),MATCH(BH$5,其他调用!$H$4:$L$4,0))*50*0.4)</f>
        <v>0.77132332892160016</v>
      </c>
      <c r="BI93" s="14">
        <f>IF(OR(BI$5="大R",BI$5="超R"),0,INDEX(其他调用!$H$5:$L$404,MATCH($K93,其他调用!$B$5:$B$404,0),MATCH(BI$5,其他调用!$H$4:$L$4,0))*50*0.4)</f>
        <v>0</v>
      </c>
      <c r="BJ93" s="14">
        <f>IF(OR(BJ$5="大R",BJ$5="超R"),0,INDEX(其他调用!$H$5:$L$404,MATCH($K93,其他调用!$B$5:$B$404,0),MATCH(BJ$5,其他调用!$H$4:$L$4,0))*50*0.4)</f>
        <v>0</v>
      </c>
      <c r="BL93" s="14">
        <f t="shared" si="208"/>
        <v>88</v>
      </c>
      <c r="BM93" s="14">
        <f t="shared" si="115"/>
        <v>96</v>
      </c>
      <c r="BN93" s="14">
        <f>('疲劳值&amp;地图信息'!$S$10*'疲劳值&amp;地图信息'!$R$10+'疲劳值&amp;地图信息'!$S$11*'疲劳值&amp;地图信息'!$R$11+'疲劳值&amp;地图信息'!$S$12*'疲劳值&amp;地图信息'!$R$12+(BM93-'疲劳值&amp;地图信息'!$S$12-'疲劳值&amp;地图信息'!$S$11-'疲劳值&amp;地图信息'!$S$10)*'疲劳值&amp;地图信息'!$R$13)/BM93</f>
        <v>51.371477246638619</v>
      </c>
      <c r="BO93" s="14">
        <f>INDEX(其他调用!$M$5:$M$404,MATCH(BL93,其他调用!$B$5:$B$404,0))*0.6</f>
        <v>60</v>
      </c>
      <c r="BP93" s="14">
        <f>IF(BO93&gt;SUM('疲劳值&amp;地图信息'!$S$10:$S$12),('疲劳值&amp;地图信息'!$S$10*'疲劳值&amp;地图信息'!$R$10+'疲劳值&amp;地图信息'!$S$11*'疲劳值&amp;地图信息'!$R$11+'疲劳值&amp;地图信息'!$S$12*'疲劳值&amp;地图信息'!$R$12+(BO93-'疲劳值&amp;地图信息'!$S$12-'疲劳值&amp;地图信息'!$S$11-'疲劳值&amp;地图信息'!$S$10)*'疲劳值&amp;地图信息'!$R$13)/BO93,('疲劳值&amp;地图信息'!$S$10*'疲劳值&amp;地图信息'!$R$10+'疲劳值&amp;地图信息'!$S$11*'疲劳值&amp;地图信息'!$R$11+'疲劳值&amp;地图信息'!$S$12*'疲劳值&amp;地图信息'!$R$12+(BO93-'疲劳值&amp;地图信息'!$S$12-'疲劳值&amp;地图信息'!$S$11-'疲劳值&amp;地图信息'!$S$10)*'疲劳值&amp;地图信息'!$R$13)/BO93)</f>
        <v>44.158136341605953</v>
      </c>
      <c r="BQ93" s="14">
        <f t="shared" si="209"/>
        <v>20</v>
      </c>
      <c r="BR93" s="14">
        <f>('疲劳值&amp;地图信息'!$S$10*'疲劳值&amp;地图信息'!$R$10+($BQ93-'疲劳值&amp;地图信息'!$S$10)*'疲劳值&amp;地图信息'!$R$11)/$BQ93</f>
        <v>32.067203015074995</v>
      </c>
      <c r="CF93" s="14">
        <v>88</v>
      </c>
      <c r="CG93" s="51">
        <f t="shared" si="116"/>
        <v>8871</v>
      </c>
      <c r="CH93" s="51">
        <f t="shared" si="117"/>
        <v>823</v>
      </c>
      <c r="CI93" s="51">
        <f>INT(SUMPRODUCT($N93:$R93,$BA93:$BE93)/SUM($BA93:$BE93)/10000*$BX$7*$BZ$34/'疲劳值&amp;地图信息'!$R$10*$BY$53)</f>
        <v>2924</v>
      </c>
      <c r="CJ93" s="50">
        <f t="shared" si="118"/>
        <v>0.70304327151688062</v>
      </c>
      <c r="CK93" s="50">
        <f t="shared" si="119"/>
        <v>6.5224282770645112E-2</v>
      </c>
      <c r="CL93" s="50">
        <f t="shared" si="120"/>
        <v>0.23173244571247426</v>
      </c>
      <c r="CM93" s="14">
        <f t="shared" si="121"/>
        <v>9386</v>
      </c>
      <c r="CN93" s="14">
        <f t="shared" si="122"/>
        <v>1264</v>
      </c>
      <c r="CO93" s="14">
        <f>INT(SUMPRODUCT($U93:$Y93,$BA93:$BE93)/SUM($BA93:$BE93)/10000*$BX$7*$BZ$34/'疲劳值&amp;地图信息'!$R$10*$BY$54)</f>
        <v>5347</v>
      </c>
      <c r="CP93" s="50">
        <f t="shared" si="123"/>
        <v>0.58673501281490281</v>
      </c>
      <c r="CQ93" s="50">
        <f t="shared" si="124"/>
        <v>7.9014815277864595E-2</v>
      </c>
      <c r="CR93" s="50">
        <f t="shared" si="125"/>
        <v>0.33425017190723261</v>
      </c>
      <c r="CS93" s="14">
        <f t="shared" si="126"/>
        <v>10024</v>
      </c>
      <c r="CT93" s="14">
        <f t="shared" si="127"/>
        <v>2320</v>
      </c>
      <c r="CU93" s="14">
        <f>INT(SUMPRODUCT($AB93:$AF93,$BA93:$BE93)/SUM($BA93:$BE93)/10000*$BX$7*$BZ$34/'疲劳值&amp;地图信息'!$R$10*$BY$55)</f>
        <v>7277</v>
      </c>
      <c r="CV93" s="50">
        <f t="shared" si="128"/>
        <v>0.51088119871566184</v>
      </c>
      <c r="CW93" s="50">
        <f t="shared" si="129"/>
        <v>0.11824066051679323</v>
      </c>
      <c r="CX93" s="50">
        <f t="shared" si="130"/>
        <v>0.37087814076754499</v>
      </c>
      <c r="CY93" s="14">
        <f t="shared" si="131"/>
        <v>11396</v>
      </c>
      <c r="CZ93" s="14">
        <f t="shared" si="132"/>
        <v>5634</v>
      </c>
      <c r="DA93" s="14">
        <f>INT(SUMPRODUCT($AI93:$AM93,$BA93:$BE93)/SUM($BA93:$BE93)/10000*$BX$7*$BZ$34/'疲劳值&amp;地图信息'!$R$10*$BY$56)</f>
        <v>10969</v>
      </c>
      <c r="DB93" s="50">
        <f t="shared" si="133"/>
        <v>0.40701453623343692</v>
      </c>
      <c r="DC93" s="50">
        <f t="shared" si="134"/>
        <v>0.20122147219543554</v>
      </c>
      <c r="DD93" s="50">
        <f t="shared" si="135"/>
        <v>0.39176399157112757</v>
      </c>
      <c r="DE93" s="14">
        <f t="shared" si="136"/>
        <v>11252</v>
      </c>
      <c r="DF93" s="14">
        <f t="shared" si="137"/>
        <v>11602</v>
      </c>
      <c r="DG93" s="14">
        <f>INT(SUMPRODUCT($AP93:$AT93,$BA93:$BE93)/SUM($BA93:$BE93)/10000*$BX$7*$BZ$34/'疲劳值&amp;地图信息'!$R$10*$BY$57)</f>
        <v>14651</v>
      </c>
      <c r="DH93" s="50">
        <f t="shared" si="138"/>
        <v>0.30001333155579257</v>
      </c>
      <c r="DI93" s="50">
        <f t="shared" si="139"/>
        <v>0.30934542061058523</v>
      </c>
      <c r="DJ93" s="50">
        <f t="shared" si="140"/>
        <v>0.3906412478336222</v>
      </c>
      <c r="DL93" s="14">
        <f t="shared" si="211"/>
        <v>12618</v>
      </c>
      <c r="DM93" s="14">
        <f t="shared" si="212"/>
        <v>15997</v>
      </c>
      <c r="DN93" s="14">
        <f t="shared" si="213"/>
        <v>19621</v>
      </c>
      <c r="DO93" s="14">
        <f t="shared" si="214"/>
        <v>27999</v>
      </c>
      <c r="DP93" s="14">
        <f t="shared" si="215"/>
        <v>37505</v>
      </c>
      <c r="DQ93" s="14">
        <f t="shared" si="216"/>
        <v>878090</v>
      </c>
      <c r="DT93" s="14">
        <f t="shared" si="210"/>
        <v>235575</v>
      </c>
      <c r="DU93" s="50">
        <f t="shared" si="112"/>
        <v>0.21153129531771223</v>
      </c>
      <c r="DW93" s="14">
        <f t="shared" si="141"/>
        <v>1113665</v>
      </c>
      <c r="EB93" s="14">
        <v>88</v>
      </c>
      <c r="EC93" s="51">
        <f t="shared" si="142"/>
        <v>14785</v>
      </c>
      <c r="ED93" s="51">
        <f t="shared" si="143"/>
        <v>1371</v>
      </c>
      <c r="EE93" s="51">
        <f>INT(SUMPRODUCT($N93:$R93,$BF93:$BJ93)/SUM($BF93:$BJ93)/10000*$BX$7*$BZ$46/'疲劳值&amp;地图信息'!$R$10*$BY$53)</f>
        <v>392</v>
      </c>
      <c r="EF93" s="50">
        <f t="shared" si="144"/>
        <v>0.89346144549190232</v>
      </c>
      <c r="EG93" s="50">
        <f t="shared" si="145"/>
        <v>8.2849891225525746E-2</v>
      </c>
      <c r="EH93" s="50">
        <f t="shared" si="146"/>
        <v>2.3688663282571912E-2</v>
      </c>
      <c r="EI93" s="51">
        <f t="shared" si="147"/>
        <v>15643</v>
      </c>
      <c r="EJ93" s="51">
        <f t="shared" si="148"/>
        <v>2107</v>
      </c>
      <c r="EK93" s="14">
        <f>INT(SUMPRODUCT($U93:$Y93,$BF93:$BJ93)/SUM($BF93:$BJ93)/10000*$BX$7*$BZ$46/'疲劳值&amp;地图信息'!$R$10*$BY$54)</f>
        <v>718</v>
      </c>
      <c r="EL93" s="50">
        <f t="shared" si="149"/>
        <v>0.84703270521983975</v>
      </c>
      <c r="EM93" s="50">
        <f t="shared" si="150"/>
        <v>0.11408923543426468</v>
      </c>
      <c r="EN93" s="50">
        <f t="shared" si="151"/>
        <v>3.8878059345895603E-2</v>
      </c>
      <c r="EO93" s="51">
        <f t="shared" si="152"/>
        <v>16707</v>
      </c>
      <c r="EP93" s="51">
        <f t="shared" si="153"/>
        <v>3867</v>
      </c>
      <c r="EQ93" s="14">
        <f>INT(SUMPRODUCT($AB93:$AF93,$BF93:$BJ93)/SUM($BF93:$BJ93)/10000*$BX$7*$BZ$46/'疲劳值&amp;地图信息'!$R$10*$BY$55)</f>
        <v>975</v>
      </c>
      <c r="ER93" s="50">
        <f t="shared" si="154"/>
        <v>0.77530279827370174</v>
      </c>
      <c r="ES93" s="50">
        <f t="shared" si="155"/>
        <v>0.17945148266740915</v>
      </c>
      <c r="ET93" s="50">
        <f t="shared" si="156"/>
        <v>4.5245719058889043E-2</v>
      </c>
      <c r="EU93" s="51">
        <f t="shared" si="157"/>
        <v>18994</v>
      </c>
      <c r="EV93" s="51">
        <f t="shared" si="158"/>
        <v>9391</v>
      </c>
      <c r="EW93" s="14">
        <f>INT(SUMPRODUCT($AI93:$AM93,$BF93:$BJ93)/SUM($BF93:$BJ93)/10000*$BX$7*$BZ$46/'疲劳值&amp;地图信息'!$R$10*$BY$56)</f>
        <v>1463</v>
      </c>
      <c r="EX93" s="50">
        <f t="shared" si="159"/>
        <v>0.63635754489413021</v>
      </c>
      <c r="EY93" s="50">
        <f t="shared" si="160"/>
        <v>0.31462744572500673</v>
      </c>
      <c r="EZ93" s="50">
        <f t="shared" si="161"/>
        <v>4.9015009380863041E-2</v>
      </c>
      <c r="FA93" s="51">
        <f t="shared" si="162"/>
        <v>18753</v>
      </c>
      <c r="FB93" s="51">
        <f t="shared" si="163"/>
        <v>19337</v>
      </c>
      <c r="FC93" s="14">
        <f>INT(SUMPRODUCT($AP93:$AT93,$BF93:$BJ93)/SUM($BF93:$BJ93)/10000*$BX$7*$BZ$46/'疲劳值&amp;地图信息'!$R$10*$BY$57)</f>
        <v>1951</v>
      </c>
      <c r="FD93" s="50">
        <f t="shared" si="164"/>
        <v>0.46834494642990937</v>
      </c>
      <c r="FE93" s="50">
        <f t="shared" si="165"/>
        <v>0.48292999675332782</v>
      </c>
      <c r="FF93" s="50">
        <f t="shared" si="166"/>
        <v>4.872505681676282E-2</v>
      </c>
      <c r="FH93" s="14">
        <f t="shared" si="167"/>
        <v>16548</v>
      </c>
      <c r="FI93" s="14">
        <f t="shared" si="168"/>
        <v>18468</v>
      </c>
      <c r="FJ93" s="14">
        <f t="shared" si="169"/>
        <v>21549</v>
      </c>
      <c r="FK93" s="14">
        <f t="shared" si="170"/>
        <v>29848</v>
      </c>
      <c r="FL93" s="14">
        <f t="shared" si="171"/>
        <v>40041</v>
      </c>
      <c r="FM93" s="14">
        <f t="shared" si="172"/>
        <v>1924786</v>
      </c>
      <c r="FP93" s="14">
        <f t="shared" si="173"/>
        <v>334150</v>
      </c>
      <c r="FQ93" s="50">
        <f t="shared" si="113"/>
        <v>0.14792362421954408</v>
      </c>
      <c r="FS93" s="14">
        <f t="shared" si="174"/>
        <v>2258936</v>
      </c>
      <c r="FX93" s="14">
        <v>88</v>
      </c>
      <c r="FY93" s="51">
        <f t="shared" si="175"/>
        <v>20699</v>
      </c>
      <c r="FZ93" s="51">
        <f t="shared" si="176"/>
        <v>1371</v>
      </c>
      <c r="GA93" s="51">
        <f>INT(SUMPRODUCT($N93:$R93,$BF93:$BJ93)/SUM($BF93:$BJ93)/10000*$BX$7*$BZ$46/'疲劳值&amp;地图信息'!$R$10*$BY$53)</f>
        <v>392</v>
      </c>
      <c r="GB93" s="50">
        <f t="shared" si="177"/>
        <v>0.9215118867420532</v>
      </c>
      <c r="GC93" s="50">
        <f t="shared" si="178"/>
        <v>6.1036417059923423E-2</v>
      </c>
      <c r="GD93" s="50">
        <f t="shared" si="179"/>
        <v>1.745169619802333E-2</v>
      </c>
      <c r="GE93" s="51">
        <f t="shared" si="180"/>
        <v>21901</v>
      </c>
      <c r="GF93" s="51">
        <f t="shared" si="181"/>
        <v>2107</v>
      </c>
      <c r="GG93" s="14">
        <f>INT(SUMPRODUCT($U93:$Y93,$BF93:$BJ93)/SUM($BF93:$BJ93)/10000*$BX$7*$BZ$46/'疲劳值&amp;地图信息'!$R$10*$BY$54)</f>
        <v>718</v>
      </c>
      <c r="GH93" s="50">
        <f t="shared" si="182"/>
        <v>0.88574779584243302</v>
      </c>
      <c r="GI93" s="50">
        <f t="shared" si="183"/>
        <v>8.5213944835395933E-2</v>
      </c>
      <c r="GJ93" s="50">
        <f t="shared" si="184"/>
        <v>2.9038259322170995E-2</v>
      </c>
      <c r="GK93" s="51">
        <f t="shared" si="185"/>
        <v>23390</v>
      </c>
      <c r="GL93" s="51">
        <f t="shared" si="186"/>
        <v>3867</v>
      </c>
      <c r="GM93" s="14">
        <f>INT(SUMPRODUCT($AB93:$AF93,$BF93:$BJ93)/SUM($BF93:$BJ93)/10000*$BX$7*$BZ$46/'疲劳值&amp;地图信息'!$R$10*$BY$55)</f>
        <v>975</v>
      </c>
      <c r="GN93" s="50">
        <f t="shared" si="187"/>
        <v>0.82849249079059228</v>
      </c>
      <c r="GO93" s="50">
        <f t="shared" si="188"/>
        <v>0.13697223009351092</v>
      </c>
      <c r="GP93" s="50">
        <f t="shared" si="189"/>
        <v>3.4535279115896857E-2</v>
      </c>
      <c r="GQ93" s="51">
        <f t="shared" si="190"/>
        <v>26592</v>
      </c>
      <c r="GR93" s="51">
        <f t="shared" si="191"/>
        <v>9391</v>
      </c>
      <c r="GS93" s="14">
        <f>INT(SUMPRODUCT($AI93:$AM93,$BF93:$BJ93)/SUM($BF93:$BJ93)/10000*$BX$7*$BZ$46/'疲劳值&amp;地图信息'!$R$10*$BY$56)</f>
        <v>1463</v>
      </c>
      <c r="GT93" s="50">
        <f t="shared" si="192"/>
        <v>0.71014260535170648</v>
      </c>
      <c r="GU93" s="50">
        <f t="shared" si="193"/>
        <v>0.25078780110025101</v>
      </c>
      <c r="GV93" s="50">
        <f t="shared" si="194"/>
        <v>3.9069593548042514E-2</v>
      </c>
      <c r="GW93" s="51">
        <f t="shared" si="195"/>
        <v>26255</v>
      </c>
      <c r="GX93" s="51">
        <f t="shared" si="196"/>
        <v>19337</v>
      </c>
      <c r="GY93" s="14">
        <f>INT(SUMPRODUCT($AP93:$AT93,$BF93:$BJ93)/SUM($BF93:$BJ93)/10000*$BX$7*$BZ$46/'疲劳值&amp;地图信息'!$R$10*$BY$57)</f>
        <v>1951</v>
      </c>
      <c r="GZ93" s="50">
        <f t="shared" si="197"/>
        <v>0.55223692236501698</v>
      </c>
      <c r="HA93" s="50">
        <f t="shared" si="198"/>
        <v>0.40672654228803401</v>
      </c>
      <c r="HB93" s="50">
        <f t="shared" si="199"/>
        <v>4.103653534694908E-2</v>
      </c>
      <c r="HD93" s="14">
        <f t="shared" si="200"/>
        <v>22462</v>
      </c>
      <c r="HE93" s="14">
        <f t="shared" si="201"/>
        <v>24726</v>
      </c>
      <c r="HF93" s="14">
        <f t="shared" si="202"/>
        <v>28232</v>
      </c>
      <c r="HG93" s="14">
        <f t="shared" si="203"/>
        <v>37446</v>
      </c>
      <c r="HH93" s="14">
        <f t="shared" si="204"/>
        <v>47543</v>
      </c>
      <c r="HI93" s="14">
        <f t="shared" si="205"/>
        <v>2572465</v>
      </c>
      <c r="HL93" s="14">
        <f t="shared" si="206"/>
        <v>430050</v>
      </c>
      <c r="HM93" s="50">
        <f t="shared" si="114"/>
        <v>0.14322992557905623</v>
      </c>
      <c r="HO93" s="14">
        <f t="shared" si="207"/>
        <v>3002515</v>
      </c>
    </row>
    <row r="94" spans="11:223" x14ac:dyDescent="0.2">
      <c r="K94" s="14">
        <v>89</v>
      </c>
      <c r="L94" s="12">
        <f>求节点(节奏总纲!D$4:D$163,标准城池设计!AB$4:AB$163,$K94)*求节点(节奏总纲!D$4:D$163,攻城基础信息!$AC$5:$AC$164,$K94)</f>
        <v>438013.34225516691</v>
      </c>
      <c r="M94" s="12">
        <f>INDEX(其他调用!$AA$5:$AA$404,MATCH(K94,其他调用!$X$5:$X$404,0))*MIN(INDEX(其他调用!$AH$5:$AH$364,MATCH('征服点（新）'!K94,其他调用!$AG$5:$AG$364,0),1)/INDEX(其他调用!$AJ$5:$AJ$364,MATCH(K94,其他调用!$AG$5:$AG$364,0),0),5)*求节点(节奏总纲!D$4:D$163,攻城基础信息!$AC$5:$AC$164,$K94)</f>
        <v>40509.243520722266</v>
      </c>
      <c r="N94" s="12">
        <f>MIN(INDEX(其他调用!$AH$5:$AH$364,MATCH($K94,其他调用!$AG$5:$AG$364,0),1)/INDEX(其他调用!AH$5:AH$364,MATCH($K94,其他调用!$AG$5:$AG$364,0),0),1)*INDEX(其他调用!Y$5:Y$404,MATCH($K94,其他调用!$X$5:$X$404,0),0)</f>
        <v>35475.550733015101</v>
      </c>
      <c r="O94" s="12">
        <f>MIN(INDEX(其他调用!$AH$5:$AH$364,MATCH($K94,其他调用!$AG$5:$AG$364,0),1)/INDEX(其他调用!AI$5:AI$364,MATCH($K94,其他调用!$AG$5:$AG$364,0),0),1)*INDEX(其他调用!Z$5:Z$404,MATCH($K94,其他调用!$X$5:$X$404,0),0)</f>
        <v>23822.013048461242</v>
      </c>
      <c r="P94" s="12">
        <f>MIN(INDEX(其他调用!$AH$5:$AH$364,MATCH($K94,其他调用!$AG$5:$AG$364,0),1)/INDEX(其他调用!AJ$5:AJ$364,MATCH($K94,其他调用!$AG$5:$AG$364,0),0),1)*INDEX(其他调用!AA$5:AA$404,MATCH($K94,其他调用!$X$5:$X$404,0),0)</f>
        <v>13515.708976976424</v>
      </c>
      <c r="Q94" s="12">
        <f>MIN(INDEX(其他调用!$AH$5:$AH$364,MATCH($K94,其他调用!$AG$5:$AG$364,0),1)/INDEX(其他调用!AK$5:AK$364,MATCH($K94,其他调用!$AG$5:$AG$364,0),0),1)*INDEX(其他调用!AB$5:AB$404,MATCH($K94,其他调用!$X$5:$X$404,0),0)</f>
        <v>5880.299921546778</v>
      </c>
      <c r="R94" s="12">
        <f>MIN(INDEX(其他调用!$AH$5:$AH$364,MATCH($K94,其他调用!$AG$5:$AG$364,0),1)/INDEX(其他调用!AL$5:AL$364,MATCH($K94,其他调用!$AG$5:$AG$364,0),0),1)*INDEX(其他调用!AC$5:AC$404,MATCH($K94,其他调用!$X$5:$X$404,0),0)</f>
        <v>1778.6468022284</v>
      </c>
      <c r="S94" s="12">
        <f>求节点(节奏总纲!D$4:D$163,标准城池设计!AC$4:AC$163,$K94)*求节点(节奏总纲!D$4:D$163,攻城基础信息!$AD$5:$AD$164,$K94)</f>
        <v>463427.49588679033</v>
      </c>
      <c r="T94" s="12">
        <f>INDEX(其他调用!$AA$5:$AA$404,MATCH($K94,其他调用!$X$5:$X$404,0))*MIN(INDEX(其他调用!AI$5:AI$364,MATCH($K94,其他调用!$AG$5:$AG$364,0),1)/INDEX(其他调用!$AJ$5:$AJ$364,MATCH($K94,其他调用!$AG$5:$AG$364,0),0),5)*求节点(节奏总纲!D$4:D$163,攻城基础信息!$AD$5:$AD$164,$K94)</f>
        <v>62265.47247103339</v>
      </c>
      <c r="U94" s="12">
        <f>MIN(INDEX(其他调用!$AI$5:$AI$364,MATCH($K94,其他调用!$AG$5:$AG$364,0),1)/INDEX(其他调用!AH$5:AH$364,MATCH($K94,其他调用!$AG$5:$AG$364,0),0),1)*INDEX(其他调用!Y$5:Y$404,MATCH($K94,其他调用!$X$5:$X$404,0),0)</f>
        <v>35475.550733015101</v>
      </c>
      <c r="V94" s="12">
        <f>MIN(INDEX(其他调用!$AI$5:$AI$364,MATCH($K94,其他调用!$AG$5:$AG$364,0),1)/INDEX(其他调用!AI$5:AI$364,MATCH($K94,其他调用!$AG$5:$AG$364,0),0),1)*INDEX(其他调用!Z$5:Z$404,MATCH($K94,其他调用!$X$5:$X$404,0),0)</f>
        <v>36616.060157104483</v>
      </c>
      <c r="W94" s="12">
        <f>MIN(INDEX(其他调用!$AI$5:$AI$364,MATCH($K94,其他调用!$AG$5:$AG$364,0),1)/INDEX(其他调用!AJ$5:AJ$364,MATCH($K94,其他调用!$AG$5:$AG$364,0),0),1)*INDEX(其他调用!AA$5:AA$404,MATCH($K94,其他调用!$X$5:$X$404,0),0)</f>
        <v>20774.56728615355</v>
      </c>
      <c r="X94" s="12">
        <f>MIN(INDEX(其他调用!$AI$5:$AI$364,MATCH($K94,其他调用!$AG$5:$AG$364,0),1)/INDEX(其他调用!AK$5:AK$364,MATCH($K94,其他调用!$AG$5:$AG$364,0),0),1)*INDEX(其他调用!AB$5:AB$404,MATCH($K94,其他调用!$X$5:$X$404,0),0)</f>
        <v>9038.4223714075069</v>
      </c>
      <c r="Y94" s="12">
        <f>MIN(INDEX(其他调用!$AI$5:$AI$364,MATCH($K94,其他调用!$AG$5:$AG$364,0),1)/INDEX(其他调用!AL$5:AL$364,MATCH($K94,其他调用!$AG$5:$AG$364,0),0),1)*INDEX(其他调用!AC$5:AC$404,MATCH($K94,其他调用!$X$5:$X$404,0),0)</f>
        <v>2733.901546277737</v>
      </c>
      <c r="Z94" s="12">
        <f>求节点(节奏总纲!D$4:D$163,标准城池设计!AD$4:AD$163,$K94)*求节点(节奏总纲!D$4:D$163,攻城基础信息!$AE$5:$AE$164,$K94)</f>
        <v>495337.68539461825</v>
      </c>
      <c r="AA94" s="12">
        <f>INDEX(其他调用!$AA$5:$AA$404,MATCH($K94,其他调用!$X$5:$X$404,0))*MIN(INDEX(其他调用!AJ$5:AJ$364,MATCH($K94,其他调用!$AG$5:$AG$364,0),1)/INDEX(其他调用!$AJ$5:$AJ$364,MATCH($K94,其他调用!$AG$5:$AG$364,0),0),5)*求节点(节奏总纲!D$4:D$163,攻城基础信息!$AE$5:$AE$164,$K94)</f>
        <v>114262.2839367618</v>
      </c>
      <c r="AB94" s="12">
        <f>MIN(INDEX(其他调用!$AJ$5:$AJ$364,MATCH($K94,其他调用!$AG$5:$AG$364,0),1)/INDEX(其他调用!AH$5:AH$364,MATCH($K94,其他调用!$AG$5:$AG$364,0),0),1)*INDEX(其他调用!Y$5:Y$404,MATCH($K94,其他调用!$X$5:$X$404,0),0)</f>
        <v>35475.550733015101</v>
      </c>
      <c r="AC94" s="12">
        <f>MIN(INDEX(其他调用!$AJ$5:$AJ$364,MATCH($K94,其他调用!$AG$5:$AG$364,0),1)/INDEX(其他调用!AI$5:AI$364,MATCH($K94,其他调用!$AG$5:$AG$364,0),0),1)*INDEX(其他调用!Z$5:Z$404,MATCH($K94,其他调用!$X$5:$X$404,0),0)</f>
        <v>36616.060157104483</v>
      </c>
      <c r="AD94" s="12">
        <f>MIN(INDEX(其他调用!$AJ$5:$AJ$364,MATCH($K94,其他调用!$AG$5:$AG$364,0),1)/INDEX(其他调用!AJ$5:AJ$364,MATCH($K94,其他调用!$AG$5:$AG$364,0),0),1)*INDEX(其他调用!AA$5:AA$404,MATCH($K94,其他调用!$X$5:$X$404,0),0)</f>
        <v>38123.046557112939</v>
      </c>
      <c r="AE94" s="12">
        <f>MIN(INDEX(其他调用!$AJ$5:$AJ$364,MATCH($K94,其他调用!$AG$5:$AG$364,0),1)/INDEX(其他调用!AK$5:AK$364,MATCH($K94,其他调用!$AG$5:$AG$364,0),0),1)*INDEX(其他调用!AB$5:AB$404,MATCH($K94,其他调用!$X$5:$X$404,0),0)</f>
        <v>16586.251454569658</v>
      </c>
      <c r="AF94" s="12">
        <f>MIN(INDEX(其他调用!$AJ$5:$AJ$364,MATCH($K94,其他调用!$AG$5:$AG$364,0),1)/INDEX(其他调用!AL$5:AL$364,MATCH($K94,其他调用!$AG$5:$AG$364,0),0),1)*INDEX(其他调用!AC$5:AC$404,MATCH($K94,其他调用!$X$5:$X$404,0),0)</f>
        <v>5016.9351060696199</v>
      </c>
      <c r="AG94" s="12">
        <f>求节点(节奏总纲!D$4:D$163,标准城池设计!AE$4:AE$163,$K94)*求节点(节奏总纲!D$4:D$163,攻城基础信息!$AF$5:$AF$164,$K94)</f>
        <v>562985.05469069618</v>
      </c>
      <c r="AH94" s="12">
        <f>INDEX(其他调用!$AA$5:$AA$404,MATCH($K94,其他调用!$X$5:$X$404,0))*MIN(INDEX(其他调用!AK$5:AK$364,MATCH($K94,其他调用!$AG$5:$AG$364,0),1)/INDEX(其他调用!$AJ$5:$AJ$364,MATCH($K94,其他调用!$AG$5:$AG$364,0),0),5)*求节点(节奏总纲!D$4:D$163,攻城基础信息!$AF$5:$AF$164,$K94)</f>
        <v>277646.92445678683</v>
      </c>
      <c r="AI94" s="12">
        <f>MIN(INDEX(其他调用!$AK$5:$AK$364,MATCH($K94,其他调用!$AG$5:$AG$364,0),1)/INDEX(其他调用!AH$5:AH$364,MATCH($K94,其他调用!$AG$5:$AG$364,0),0),1)*INDEX(其他调用!Y$5:Y$404,MATCH($K94,其他调用!$X$5:$X$404,0),0)</f>
        <v>35475.550733015101</v>
      </c>
      <c r="AJ94" s="12">
        <f>MIN(INDEX(其他调用!$AK$5:$AK$364,MATCH($K94,其他调用!$AG$5:$AG$364,0),1)/INDEX(其他调用!AI$5:AI$364,MATCH($K94,其他调用!$AG$5:$AG$364,0),0),1)*INDEX(其他调用!Z$5:Z$404,MATCH($K94,其他调用!$X$5:$X$404,0),0)</f>
        <v>36616.060157104483</v>
      </c>
      <c r="AK94" s="12">
        <f>MIN(INDEX(其他调用!$AK$5:$AK$364,MATCH($K94,其他调用!$AG$5:$AG$364,0),1)/INDEX(其他调用!AJ$5:AJ$364,MATCH($K94,其他调用!$AG$5:$AG$364,0),0),1)*INDEX(其他调用!AA$5:AA$404,MATCH($K94,其他调用!$X$5:$X$404,0),0)</f>
        <v>38123.046557112939</v>
      </c>
      <c r="AL94" s="12">
        <f>MIN(INDEX(其他调用!$AK$5:$AK$364,MATCH($K94,其他调用!$AG$5:$AG$364,0),1)/INDEX(其他调用!AK$5:AK$364,MATCH($K94,其他调用!$AG$5:$AG$364,0),0),1)*INDEX(其他调用!AB$5:AB$404,MATCH($K94,其他调用!$X$5:$X$404,0),0)</f>
        <v>40303.077673266765</v>
      </c>
      <c r="AM94" s="12">
        <f>MIN(INDEX(其他调用!$AK$5:$AK$364,MATCH($K94,其他调用!$AG$5:$AG$364,0),1)/INDEX(其他调用!AL$5:AL$364,MATCH($K94,其他调用!$AG$5:$AG$364,0),0),1)*INDEX(其他调用!AC$5:AC$404,MATCH($K94,其他调用!$X$5:$X$404,0),0)</f>
        <v>12190.694552985055</v>
      </c>
      <c r="AN94" s="12">
        <f>求节点(节奏总纲!D$4:D$163,标准城池设计!AF$4:AF$163,$K94)*求节点(节奏总纲!D$4:D$163,攻城基础信息!$AG$5:$AG$164,$K94)</f>
        <v>555083.75790041022</v>
      </c>
      <c r="AO94" s="12">
        <f>INDEX(其他调用!$AA$5:$AA$404,MATCH($K94,其他调用!$X$5:$X$404,0))*MIN(INDEX(其他调用!AL$5:AL$364,MATCH($K94,其他调用!$AG$5:$AG$364,0),1)/INDEX(其他调用!$AJ$5:$AJ$364,MATCH($K94,其他调用!$AG$5:$AG$364,0),0),5)*求节点(节奏总纲!D$4:D$163,攻城基础信息!$AG$5:$AG$164,$K94)</f>
        <v>571311.41968380904</v>
      </c>
      <c r="AP94" s="12">
        <f>MIN(INDEX(其他调用!$AL$5:$AL$364,MATCH($K94,其他调用!$AG$5:$AG$364,0),1)/INDEX(其他调用!AH$5:AH$364,MATCH($K94,其他调用!$AG$5:$AG$364,0),0),1)*INDEX(其他调用!Y$5:Y$404,MATCH($K94,其他调用!$X$5:$X$404,0),0)</f>
        <v>35475.550733015101</v>
      </c>
      <c r="AQ94" s="12">
        <f>MIN(INDEX(其他调用!$AL$5:$AL$364,MATCH($K94,其他调用!$AG$5:$AG$364,0),1)/INDEX(其他调用!AI$5:AI$364,MATCH($K94,其他调用!$AG$5:$AG$364,0),0),1)*INDEX(其他调用!Z$5:Z$404,MATCH($K94,其他调用!$X$5:$X$404,0),0)</f>
        <v>36616.060157104483</v>
      </c>
      <c r="AR94" s="12">
        <f>MIN(INDEX(其他调用!$AL$5:$AL$364,MATCH($K94,其他调用!$AG$5:$AG$364,0),1)/INDEX(其他调用!AJ$5:AJ$364,MATCH($K94,其他调用!$AG$5:$AG$364,0),0),1)*INDEX(其他调用!AA$5:AA$404,MATCH($K94,其他调用!$X$5:$X$404,0),0)</f>
        <v>38123.046557112939</v>
      </c>
      <c r="AS94" s="12">
        <f>MIN(INDEX(其他调用!$AL$5:$AL$364,MATCH($K94,其他调用!$AG$5:$AG$364,0),1)/INDEX(其他调用!AK$5:AK$364,MATCH($K94,其他调用!$AG$5:$AG$364,0),0),1)*INDEX(其他调用!AB$5:AB$404,MATCH($K94,其他调用!$X$5:$X$404,0),0)</f>
        <v>40303.077673266765</v>
      </c>
      <c r="AT94" s="12">
        <f>MIN(INDEX(其他调用!$AL$5:$AL$364,MATCH($K94,其他调用!$AG$5:$AG$364,0),1)/INDEX(其他调用!AL$5:AL$364,MATCH($K94,其他调用!$AG$5:$AG$364,0),0),1)*INDEX(其他调用!AC$5:AC$404,MATCH($K94,其他调用!$X$5:$X$404,0),0)</f>
        <v>44156.287115978004</v>
      </c>
      <c r="AV94" s="14">
        <f>IF(OR(AV$5="大R",AV$5="超R"),MAX(INDEX(其他调用!$H$5:$L$404,MATCH($K94,其他调用!$B$5:$B$404,0),MATCH(AV$5,其他调用!$H$4:$L$4,0))*120*0.85,2),INDEX(其他调用!$H$5:$L$404,MATCH($K94,其他调用!$B$5:$B$404,0),MATCH(AV$5,其他调用!$H$4:$L$4,0))*120*0.85)</f>
        <v>49.007628976499994</v>
      </c>
      <c r="AW94" s="14">
        <f>IF(OR(AW$5="大R",AW$5="超R"),MAX(INDEX(其他调用!$H$5:$L$404,MATCH($K94,其他调用!$B$5:$B$404,0),MATCH(AW$5,其他调用!$H$4:$L$4,0))*120*0.85,2),INDEX(其他调用!$H$5:$L$404,MATCH($K94,其他调用!$B$5:$B$404,0),MATCH(AW$5,其他调用!$H$4:$L$4,0))*120*0.85)</f>
        <v>48.155966431569119</v>
      </c>
      <c r="AX94" s="14">
        <f>IF(OR(AX$5="大R",AX$5="超R"),MAX(INDEX(其他调用!$H$5:$L$404,MATCH($K94,其他调用!$B$5:$B$404,0),MATCH(AX$5,其他调用!$H$4:$L$4,0))*120*0.85,2),INDEX(其他调用!$H$5:$L$404,MATCH($K94,其他调用!$B$5:$B$404,0),MATCH(AX$5,其他调用!$H$4:$L$4,0))*120*0.85)</f>
        <v>3.9356886959308803</v>
      </c>
      <c r="AY94" s="14">
        <f>IF(OR(AY$5="大R",AY$5="超R"),MAX(INDEX(其他调用!$H$5:$L$404,MATCH($K94,其他调用!$B$5:$B$404,0),MATCH(AY$5,其他调用!$H$4:$L$4,0))*120*0.85,2),INDEX(其他调用!$H$5:$L$404,MATCH($K94,其他调用!$B$5:$B$404,0),MATCH(AY$5,其他调用!$H$4:$L$4,0))*120*0.85)</f>
        <v>2</v>
      </c>
      <c r="AZ94" s="14">
        <f>IF(OR(AZ$5="大R",AZ$5="超R"),MAX(INDEX(其他调用!$H$5:$L$404,MATCH($K94,其他调用!$B$5:$B$404,0),MATCH(AZ$5,其他调用!$H$4:$L$4,0))*120*0.85,2),INDEX(其他调用!$H$5:$L$404,MATCH($K94,其他调用!$B$5:$B$404,0),MATCH(AZ$5,其他调用!$H$4:$L$4,0))*120*0.85)</f>
        <v>2</v>
      </c>
      <c r="BA94" s="14">
        <f>INDEX(其他调用!$H$5:$L$404,MATCH($K94,其他调用!$B$5:$B$404,0),MATCH(BA$5,其他调用!$H$4:$L$4,0))*INDEX(其他调用!$M$5:$M$404,MATCH($K94,其他调用!$B$5:$B$404,0))*0.6</f>
        <v>28.828017044999996</v>
      </c>
      <c r="BB94" s="14">
        <f>INDEX(其他调用!$H$5:$L$404,MATCH($K94,其他调用!$B$5:$B$404,0),MATCH(BB$5,其他调用!$H$4:$L$4,0))*INDEX(其他调用!$M$5:$M$404,MATCH($K94,其他调用!$B$5:$B$404,0))*0.6</f>
        <v>28.3270390773936</v>
      </c>
      <c r="BC94" s="14">
        <f>INDEX(其他调用!$H$5:$L$404,MATCH($K94,其他调用!$B$5:$B$404,0),MATCH(BC$5,其他调用!$H$4:$L$4,0))*INDEX(其他调用!$M$5:$M$404,MATCH($K94,其他调用!$B$5:$B$404,0))*0.6</f>
        <v>2.3151109976063999</v>
      </c>
      <c r="BD94" s="14">
        <f>INDEX(其他调用!$H$5:$L$404,MATCH($K94,其他调用!$B$5:$B$404,0),MATCH(BD$5,其他调用!$H$4:$L$4,0))*INDEX(其他调用!$M$5:$M$404,MATCH($K94,其他调用!$B$5:$B$404,0))*0.6</f>
        <v>0.41111928000000003</v>
      </c>
      <c r="BE94" s="14">
        <f>INDEX(其他调用!$H$5:$L$404,MATCH($K94,其他调用!$B$5:$B$404,0),MATCH(BE$5,其他调用!$H$4:$L$4,0))*INDEX(其他调用!$M$5:$M$404,MATCH($K94,其他调用!$B$5:$B$404,0))*0.6</f>
        <v>0.11871359999999997</v>
      </c>
      <c r="BF94" s="14">
        <f>IF(OR(BF$5="大R",BF$5="超R"),0,INDEX(其他调用!$H$5:$L$404,MATCH($K94,其他调用!$B$5:$B$404,0),MATCH(BF$5,其他调用!$H$4:$L$4,0))*50*0.4)</f>
        <v>9.6093390149999998</v>
      </c>
      <c r="BG94" s="14">
        <f>IF(OR(BG$5="大R",BG$5="超R"),0,INDEX(其他调用!$H$5:$L$404,MATCH($K94,其他调用!$B$5:$B$404,0),MATCH(BG$5,其他调用!$H$4:$L$4,0))*50*0.4)</f>
        <v>9.4423463591312</v>
      </c>
      <c r="BH94" s="14">
        <f>IF(OR(BH$5="大R",BH$5="超R"),0,INDEX(其他调用!$H$5:$L$404,MATCH($K94,其他调用!$B$5:$B$404,0),MATCH(BH$5,其他调用!$H$4:$L$4,0))*50*0.4)</f>
        <v>0.77170366586880013</v>
      </c>
      <c r="BI94" s="14">
        <f>IF(OR(BI$5="大R",BI$5="超R"),0,INDEX(其他调用!$H$5:$L$404,MATCH($K94,其他调用!$B$5:$B$404,0),MATCH(BI$5,其他调用!$H$4:$L$4,0))*50*0.4)</f>
        <v>0</v>
      </c>
      <c r="BJ94" s="14">
        <f>IF(OR(BJ$5="大R",BJ$5="超R"),0,INDEX(其他调用!$H$5:$L$404,MATCH($K94,其他调用!$B$5:$B$404,0),MATCH(BJ$5,其他调用!$H$4:$L$4,0))*50*0.4)</f>
        <v>0</v>
      </c>
      <c r="BL94" s="14">
        <f t="shared" si="208"/>
        <v>89</v>
      </c>
      <c r="BM94" s="14">
        <f t="shared" si="115"/>
        <v>96</v>
      </c>
      <c r="BN94" s="14">
        <f>('疲劳值&amp;地图信息'!$S$10*'疲劳值&amp;地图信息'!$R$10+'疲劳值&amp;地图信息'!$S$11*'疲劳值&amp;地图信息'!$R$11+'疲劳值&amp;地图信息'!$S$12*'疲劳值&amp;地图信息'!$R$12+(BM94-'疲劳值&amp;地图信息'!$S$12-'疲劳值&amp;地图信息'!$S$11-'疲劳值&amp;地图信息'!$S$10)*'疲劳值&amp;地图信息'!$R$13)/BM94</f>
        <v>51.371477246638619</v>
      </c>
      <c r="BO94" s="14">
        <f>INDEX(其他调用!$M$5:$M$404,MATCH(BL94,其他调用!$B$5:$B$404,0))*0.6</f>
        <v>60</v>
      </c>
      <c r="BP94" s="14">
        <f>IF(BO94&gt;SUM('疲劳值&amp;地图信息'!$S$10:$S$12),('疲劳值&amp;地图信息'!$S$10*'疲劳值&amp;地图信息'!$R$10+'疲劳值&amp;地图信息'!$S$11*'疲劳值&amp;地图信息'!$R$11+'疲劳值&amp;地图信息'!$S$12*'疲劳值&amp;地图信息'!$R$12+(BO94-'疲劳值&amp;地图信息'!$S$12-'疲劳值&amp;地图信息'!$S$11-'疲劳值&amp;地图信息'!$S$10)*'疲劳值&amp;地图信息'!$R$13)/BO94,('疲劳值&amp;地图信息'!$S$10*'疲劳值&amp;地图信息'!$R$10+'疲劳值&amp;地图信息'!$S$11*'疲劳值&amp;地图信息'!$R$11+'疲劳值&amp;地图信息'!$S$12*'疲劳值&amp;地图信息'!$R$12+(BO94-'疲劳值&amp;地图信息'!$S$12-'疲劳值&amp;地图信息'!$S$11-'疲劳值&amp;地图信息'!$S$10)*'疲劳值&amp;地图信息'!$R$13)/BO94)</f>
        <v>44.158136341605953</v>
      </c>
      <c r="BQ94" s="14">
        <f t="shared" si="209"/>
        <v>20</v>
      </c>
      <c r="BR94" s="14">
        <f>('疲劳值&amp;地图信息'!$S$10*'疲劳值&amp;地图信息'!$R$10+($BQ94-'疲劳值&amp;地图信息'!$S$10)*'疲劳值&amp;地图信息'!$R$11)/$BQ94</f>
        <v>32.067203015074995</v>
      </c>
      <c r="CF94" s="14">
        <v>89</v>
      </c>
      <c r="CG94" s="51">
        <f t="shared" si="116"/>
        <v>8927</v>
      </c>
      <c r="CH94" s="51">
        <f t="shared" si="117"/>
        <v>825</v>
      </c>
      <c r="CI94" s="51">
        <f>INT(SUMPRODUCT($N94:$R94,$BA94:$BE94)/SUM($BA94:$BE94)/10000*$BX$7*$BZ$34/'疲劳值&amp;地图信息'!$R$10*$BY$53)</f>
        <v>2928</v>
      </c>
      <c r="CJ94" s="50">
        <f t="shared" si="118"/>
        <v>0.70402208201892746</v>
      </c>
      <c r="CK94" s="50">
        <f t="shared" si="119"/>
        <v>6.506309148264984E-2</v>
      </c>
      <c r="CL94" s="50">
        <f t="shared" si="120"/>
        <v>0.23091482649842271</v>
      </c>
      <c r="CM94" s="14">
        <f t="shared" si="121"/>
        <v>9445</v>
      </c>
      <c r="CN94" s="14">
        <f t="shared" si="122"/>
        <v>1269</v>
      </c>
      <c r="CO94" s="14">
        <f>INT(SUMPRODUCT($U94:$Y94,$BA94:$BE94)/SUM($BA94:$BE94)/10000*$BX$7*$BZ$34/'疲劳值&amp;地图信息'!$R$10*$BY$54)</f>
        <v>5357</v>
      </c>
      <c r="CP94" s="50">
        <f t="shared" si="123"/>
        <v>0.58770456101051582</v>
      </c>
      <c r="CQ94" s="50">
        <f t="shared" si="124"/>
        <v>7.8962105656150833E-2</v>
      </c>
      <c r="CR94" s="50">
        <f t="shared" si="125"/>
        <v>0.33333333333333331</v>
      </c>
      <c r="CS94" s="14">
        <f t="shared" si="126"/>
        <v>10095</v>
      </c>
      <c r="CT94" s="14">
        <f t="shared" si="127"/>
        <v>2328</v>
      </c>
      <c r="CU94" s="14">
        <f>INT(SUMPRODUCT($AB94:$AF94,$BA94:$BE94)/SUM($BA94:$BE94)/10000*$BX$7*$BZ$34/'疲劳值&amp;地图信息'!$R$10*$BY$55)</f>
        <v>7290</v>
      </c>
      <c r="CV94" s="50">
        <f t="shared" si="128"/>
        <v>0.51209861512707355</v>
      </c>
      <c r="CW94" s="50">
        <f t="shared" si="129"/>
        <v>0.11809465834728351</v>
      </c>
      <c r="CX94" s="50">
        <f t="shared" si="130"/>
        <v>0.369806726525643</v>
      </c>
      <c r="CY94" s="14">
        <f t="shared" si="131"/>
        <v>11474</v>
      </c>
      <c r="CZ94" s="14">
        <f t="shared" si="132"/>
        <v>5658</v>
      </c>
      <c r="DA94" s="14">
        <f>INT(SUMPRODUCT($AI94:$AM94,$BA94:$BE94)/SUM($BA94:$BE94)/10000*$BX$7*$BZ$34/'疲劳值&amp;地图信息'!$R$10*$BY$56)</f>
        <v>10989</v>
      </c>
      <c r="DB94" s="50">
        <f t="shared" si="133"/>
        <v>0.40802247430745708</v>
      </c>
      <c r="DC94" s="50">
        <f t="shared" si="134"/>
        <v>0.20120194872159597</v>
      </c>
      <c r="DD94" s="50">
        <f t="shared" si="135"/>
        <v>0.390775576970947</v>
      </c>
      <c r="DE94" s="14">
        <f t="shared" si="136"/>
        <v>11313</v>
      </c>
      <c r="DF94" s="14">
        <f t="shared" si="137"/>
        <v>11644</v>
      </c>
      <c r="DG94" s="14">
        <f>INT(SUMPRODUCT($AP94:$AT94,$BA94:$BE94)/SUM($BA94:$BE94)/10000*$BX$7*$BZ$34/'疲劳值&amp;地图信息'!$R$10*$BY$57)</f>
        <v>14678</v>
      </c>
      <c r="DH94" s="50">
        <f t="shared" si="138"/>
        <v>0.30059784774810683</v>
      </c>
      <c r="DI94" s="50">
        <f t="shared" si="139"/>
        <v>0.30939285239803377</v>
      </c>
      <c r="DJ94" s="50">
        <f t="shared" si="140"/>
        <v>0.39000929985385946</v>
      </c>
      <c r="DL94" s="14">
        <f t="shared" si="211"/>
        <v>12680</v>
      </c>
      <c r="DM94" s="14">
        <f t="shared" si="212"/>
        <v>16071</v>
      </c>
      <c r="DN94" s="14">
        <f t="shared" si="213"/>
        <v>19713</v>
      </c>
      <c r="DO94" s="14">
        <f t="shared" si="214"/>
        <v>28121</v>
      </c>
      <c r="DP94" s="14">
        <f t="shared" si="215"/>
        <v>37635</v>
      </c>
      <c r="DQ94" s="14">
        <f t="shared" si="216"/>
        <v>882449</v>
      </c>
      <c r="DT94" s="14">
        <f t="shared" si="210"/>
        <v>235575</v>
      </c>
      <c r="DU94" s="50">
        <f t="shared" si="112"/>
        <v>0.21070656801642898</v>
      </c>
      <c r="DW94" s="14">
        <f t="shared" si="141"/>
        <v>1118024</v>
      </c>
      <c r="EB94" s="14">
        <v>89</v>
      </c>
      <c r="EC94" s="51">
        <f t="shared" si="142"/>
        <v>14878</v>
      </c>
      <c r="ED94" s="51">
        <f t="shared" si="143"/>
        <v>1376</v>
      </c>
      <c r="EE94" s="51">
        <f>INT(SUMPRODUCT($N94:$R94,$BF94:$BJ94)/SUM($BF94:$BJ94)/10000*$BX$7*$BZ$46/'疲劳值&amp;地图信息'!$R$10*$BY$53)</f>
        <v>393</v>
      </c>
      <c r="EF94" s="50">
        <f t="shared" si="144"/>
        <v>0.89373460683606654</v>
      </c>
      <c r="EG94" s="50">
        <f t="shared" si="145"/>
        <v>8.2657535892352973E-2</v>
      </c>
      <c r="EH94" s="50">
        <f t="shared" si="146"/>
        <v>2.3607857271580466E-2</v>
      </c>
      <c r="EI94" s="51">
        <f t="shared" si="147"/>
        <v>15742</v>
      </c>
      <c r="EJ94" s="51">
        <f t="shared" si="148"/>
        <v>2115</v>
      </c>
      <c r="EK94" s="14">
        <f>INT(SUMPRODUCT($U94:$Y94,$BF94:$BJ94)/SUM($BF94:$BJ94)/10000*$BX$7*$BZ$46/'疲劳值&amp;地图信息'!$R$10*$BY$54)</f>
        <v>719</v>
      </c>
      <c r="EL94" s="50">
        <f t="shared" si="149"/>
        <v>0.84743755383290265</v>
      </c>
      <c r="EM94" s="50">
        <f t="shared" si="150"/>
        <v>0.11385658914728682</v>
      </c>
      <c r="EN94" s="50">
        <f t="shared" si="151"/>
        <v>3.8705857019810511E-2</v>
      </c>
      <c r="EO94" s="51">
        <f t="shared" si="152"/>
        <v>16826</v>
      </c>
      <c r="EP94" s="51">
        <f t="shared" si="153"/>
        <v>3881</v>
      </c>
      <c r="EQ94" s="14">
        <f>INT(SUMPRODUCT($AB94:$AF94,$BF94:$BJ94)/SUM($BF94:$BJ94)/10000*$BX$7*$BZ$46/'疲劳值&amp;地图信息'!$R$10*$BY$55)</f>
        <v>977</v>
      </c>
      <c r="ER94" s="50">
        <f t="shared" si="154"/>
        <v>0.77596384430916809</v>
      </c>
      <c r="ES94" s="50">
        <f t="shared" si="155"/>
        <v>0.17897989300866998</v>
      </c>
      <c r="ET94" s="50">
        <f t="shared" si="156"/>
        <v>4.5056262682161966E-2</v>
      </c>
      <c r="EU94" s="51">
        <f t="shared" si="157"/>
        <v>19123</v>
      </c>
      <c r="EV94" s="51">
        <f t="shared" si="158"/>
        <v>9431</v>
      </c>
      <c r="EW94" s="14">
        <f>INT(SUMPRODUCT($AI94:$AM94,$BF94:$BJ94)/SUM($BF94:$BJ94)/10000*$BX$7*$BZ$46/'疲劳值&amp;地图信息'!$R$10*$BY$56)</f>
        <v>1466</v>
      </c>
      <c r="EX94" s="50">
        <f t="shared" si="159"/>
        <v>0.63700866089273822</v>
      </c>
      <c r="EY94" s="50">
        <f t="shared" si="160"/>
        <v>0.31415722851432376</v>
      </c>
      <c r="EZ94" s="50">
        <f t="shared" si="161"/>
        <v>4.8834110592938039E-2</v>
      </c>
      <c r="FA94" s="51">
        <f t="shared" si="162"/>
        <v>18855</v>
      </c>
      <c r="FB94" s="51">
        <f t="shared" si="163"/>
        <v>19406</v>
      </c>
      <c r="FC94" s="14">
        <f>INT(SUMPRODUCT($AP94:$AT94,$BF94:$BJ94)/SUM($BF94:$BJ94)/10000*$BX$7*$BZ$46/'疲劳值&amp;地图信息'!$R$10*$BY$57)</f>
        <v>1954</v>
      </c>
      <c r="FD94" s="50">
        <f t="shared" si="164"/>
        <v>0.46885490488623649</v>
      </c>
      <c r="FE94" s="50">
        <f t="shared" si="165"/>
        <v>0.48255626010195202</v>
      </c>
      <c r="FF94" s="50">
        <f t="shared" si="166"/>
        <v>4.8588835011811514E-2</v>
      </c>
      <c r="FH94" s="14">
        <f t="shared" si="167"/>
        <v>16647</v>
      </c>
      <c r="FI94" s="14">
        <f t="shared" si="168"/>
        <v>18576</v>
      </c>
      <c r="FJ94" s="14">
        <f t="shared" si="169"/>
        <v>21684</v>
      </c>
      <c r="FK94" s="14">
        <f t="shared" si="170"/>
        <v>30020</v>
      </c>
      <c r="FL94" s="14">
        <f t="shared" si="171"/>
        <v>40215</v>
      </c>
      <c r="FM94" s="14">
        <f t="shared" si="172"/>
        <v>1936186</v>
      </c>
      <c r="FP94" s="14">
        <f t="shared" si="173"/>
        <v>334150</v>
      </c>
      <c r="FQ94" s="50">
        <f t="shared" si="113"/>
        <v>0.14718085781135479</v>
      </c>
      <c r="FS94" s="14">
        <f t="shared" si="174"/>
        <v>2270336</v>
      </c>
      <c r="FX94" s="14">
        <v>89</v>
      </c>
      <c r="FY94" s="51">
        <f t="shared" si="175"/>
        <v>20830</v>
      </c>
      <c r="FZ94" s="51">
        <f t="shared" si="176"/>
        <v>1376</v>
      </c>
      <c r="GA94" s="51">
        <f>INT(SUMPRODUCT($N94:$R94,$BF94:$BJ94)/SUM($BF94:$BJ94)/10000*$BX$7*$BZ$46/'疲劳值&amp;地图信息'!$R$10*$BY$53)</f>
        <v>393</v>
      </c>
      <c r="GB94" s="50">
        <f t="shared" si="177"/>
        <v>0.9217222000973494</v>
      </c>
      <c r="GC94" s="50">
        <f t="shared" si="178"/>
        <v>6.0887649896013099E-2</v>
      </c>
      <c r="GD94" s="50">
        <f t="shared" si="179"/>
        <v>1.7390150006637461E-2</v>
      </c>
      <c r="GE94" s="51">
        <f t="shared" si="180"/>
        <v>22038</v>
      </c>
      <c r="GF94" s="51">
        <f t="shared" si="181"/>
        <v>2115</v>
      </c>
      <c r="GG94" s="14">
        <f>INT(SUMPRODUCT($U94:$Y94,$BF94:$BJ94)/SUM($BF94:$BJ94)/10000*$BX$7*$BZ$46/'疲劳值&amp;地图信息'!$R$10*$BY$54)</f>
        <v>719</v>
      </c>
      <c r="GH94" s="50">
        <f t="shared" si="182"/>
        <v>0.88605660984239309</v>
      </c>
      <c r="GI94" s="50">
        <f t="shared" si="183"/>
        <v>8.5035381151495656E-2</v>
      </c>
      <c r="GJ94" s="50">
        <f t="shared" si="184"/>
        <v>2.890800900611129E-2</v>
      </c>
      <c r="GK94" s="51">
        <f t="shared" si="185"/>
        <v>23556</v>
      </c>
      <c r="GL94" s="51">
        <f t="shared" si="186"/>
        <v>3881</v>
      </c>
      <c r="GM94" s="14">
        <f>INT(SUMPRODUCT($AB94:$AF94,$BF94:$BJ94)/SUM($BF94:$BJ94)/10000*$BX$7*$BZ$46/'疲劳值&amp;地图信息'!$R$10*$BY$55)</f>
        <v>977</v>
      </c>
      <c r="GN94" s="50">
        <f t="shared" si="187"/>
        <v>0.82902794397128177</v>
      </c>
      <c r="GO94" s="50">
        <f t="shared" si="188"/>
        <v>0.13658759766312381</v>
      </c>
      <c r="GP94" s="50">
        <f t="shared" si="189"/>
        <v>3.4384458365594422E-2</v>
      </c>
      <c r="GQ94" s="51">
        <f t="shared" si="190"/>
        <v>26773</v>
      </c>
      <c r="GR94" s="51">
        <f t="shared" si="191"/>
        <v>9431</v>
      </c>
      <c r="GS94" s="14">
        <f>INT(SUMPRODUCT($AI94:$AM94,$BF94:$BJ94)/SUM($BF94:$BJ94)/10000*$BX$7*$BZ$46/'疲劳值&amp;地图信息'!$R$10*$BY$56)</f>
        <v>1466</v>
      </c>
      <c r="GT94" s="50">
        <f t="shared" si="192"/>
        <v>0.71072471462702413</v>
      </c>
      <c r="GU94" s="50">
        <f t="shared" si="193"/>
        <v>0.25035837536501193</v>
      </c>
      <c r="GV94" s="50">
        <f t="shared" si="194"/>
        <v>3.8916910007963899E-2</v>
      </c>
      <c r="GW94" s="51">
        <f t="shared" si="195"/>
        <v>26397</v>
      </c>
      <c r="GX94" s="51">
        <f t="shared" si="196"/>
        <v>19406</v>
      </c>
      <c r="GY94" s="14">
        <f>INT(SUMPRODUCT($AP94:$AT94,$BF94:$BJ94)/SUM($BF94:$BJ94)/10000*$BX$7*$BZ$46/'疲劳值&amp;地图信息'!$R$10*$BY$57)</f>
        <v>1954</v>
      </c>
      <c r="GZ94" s="50">
        <f t="shared" si="197"/>
        <v>0.55273572460581699</v>
      </c>
      <c r="HA94" s="50">
        <f t="shared" si="198"/>
        <v>0.40634880750465902</v>
      </c>
      <c r="HB94" s="50">
        <f t="shared" si="199"/>
        <v>4.0915467889524049E-2</v>
      </c>
      <c r="HD94" s="14">
        <f t="shared" si="200"/>
        <v>22599</v>
      </c>
      <c r="HE94" s="14">
        <f t="shared" si="201"/>
        <v>24872</v>
      </c>
      <c r="HF94" s="14">
        <f t="shared" si="202"/>
        <v>28414</v>
      </c>
      <c r="HG94" s="14">
        <f t="shared" si="203"/>
        <v>37670</v>
      </c>
      <c r="HH94" s="14">
        <f t="shared" si="204"/>
        <v>47757</v>
      </c>
      <c r="HI94" s="14">
        <f t="shared" si="205"/>
        <v>2587941</v>
      </c>
      <c r="HL94" s="14">
        <f t="shared" si="206"/>
        <v>430050</v>
      </c>
      <c r="HM94" s="50">
        <f t="shared" si="114"/>
        <v>0.14249545475781736</v>
      </c>
      <c r="HO94" s="14">
        <f t="shared" si="207"/>
        <v>3017991</v>
      </c>
    </row>
    <row r="95" spans="11:223" x14ac:dyDescent="0.2">
      <c r="K95" s="14">
        <v>90</v>
      </c>
      <c r="L95" s="12">
        <f>求节点(节奏总纲!D$4:D$163,标准城池设计!AB$4:AB$163,$K95)*求节点(节奏总纲!D$4:D$163,攻城基础信息!$AC$5:$AC$164,$K95)</f>
        <v>440458.42401150777</v>
      </c>
      <c r="M95" s="12">
        <f>INDEX(其他调用!$AA$5:$AA$404,MATCH(K95,其他调用!$X$5:$X$404,0))*MIN(INDEX(其他调用!$AH$5:$AH$364,MATCH('征服点（新）'!K95,其他调用!$AG$5:$AG$364,0),1)/INDEX(其他调用!$AJ$5:$AJ$364,MATCH(K95,其他调用!$AG$5:$AG$364,0),0),5)*求节点(节奏总纲!D$4:D$163,攻城基础信息!$AC$5:$AC$164,$K95)</f>
        <v>40604.686995099728</v>
      </c>
      <c r="N95" s="12">
        <f>MIN(INDEX(其他调用!$AH$5:$AH$364,MATCH($K95,其他调用!$AG$5:$AG$364,0),1)/INDEX(其他调用!AH$5:AH$364,MATCH($K95,其他调用!$AG$5:$AG$364,0),0),1)*INDEX(其他调用!Y$5:Y$404,MATCH($K95,其他调用!$X$5:$X$404,0),0)</f>
        <v>35539.532253545593</v>
      </c>
      <c r="O95" s="12">
        <f>MIN(INDEX(其他调用!$AH$5:$AH$364,MATCH($K95,其他调用!$AG$5:$AG$364,0),1)/INDEX(其他调用!AI$5:AI$364,MATCH($K95,其他调用!$AG$5:$AG$364,0),0),1)*INDEX(其他调用!Z$5:Z$404,MATCH($K95,其他调用!$X$5:$X$404,0),0)</f>
        <v>23821.841852325655</v>
      </c>
      <c r="P95" s="12">
        <f>MIN(INDEX(其他调用!$AH$5:$AH$364,MATCH($K95,其他调用!$AG$5:$AG$364,0),1)/INDEX(其他调用!AJ$5:AJ$364,MATCH($K95,其他调用!$AG$5:$AG$364,0),0),1)*INDEX(其他调用!AA$5:AA$404,MATCH($K95,其他调用!$X$5:$X$404,0),0)</f>
        <v>13523.553924650681</v>
      </c>
      <c r="Q95" s="12">
        <f>MIN(INDEX(其他调用!$AH$5:$AH$364,MATCH($K95,其他调用!$AG$5:$AG$364,0),1)/INDEX(其他调用!AK$5:AK$364,MATCH($K95,其他调用!$AG$5:$AG$364,0),0),1)*INDEX(其他调用!AB$5:AB$404,MATCH($K95,其他调用!$X$5:$X$404,0),0)</f>
        <v>5878.8450860725616</v>
      </c>
      <c r="R95" s="12">
        <f>MIN(INDEX(其他调用!$AH$5:$AH$364,MATCH($K95,其他调用!$AG$5:$AG$364,0),1)/INDEX(其他调用!AL$5:AL$364,MATCH($K95,其他调用!$AG$5:$AG$364,0),0),1)*INDEX(其他调用!AC$5:AC$404,MATCH($K95,其他调用!$X$5:$X$404,0),0)</f>
        <v>1780.2432268081566</v>
      </c>
      <c r="S95" s="12">
        <f>求节点(节奏总纲!D$4:D$163,标准城池设计!AC$4:AC$163,$K95)*求节点(节奏总纲!D$4:D$163,攻城基础信息!$AD$5:$AD$164,$K95)</f>
        <v>466121.43148470955</v>
      </c>
      <c r="T95" s="12">
        <f>INDEX(其他调用!$AA$5:$AA$404,MATCH($K95,其他调用!$X$5:$X$404,0))*MIN(INDEX(其他调用!AI$5:AI$364,MATCH($K95,其他调用!$AG$5:$AG$364,0),1)/INDEX(其他调用!$AJ$5:$AJ$364,MATCH($K95,其他调用!$AG$5:$AG$364,0),0),5)*求节点(节奏总纲!D$4:D$163,攻城基础信息!$AD$5:$AD$164,$K95)</f>
        <v>62522.200101821574</v>
      </c>
      <c r="U95" s="12">
        <f>MIN(INDEX(其他调用!$AI$5:$AI$364,MATCH($K95,其他调用!$AG$5:$AG$364,0),1)/INDEX(其他调用!AH$5:AH$364,MATCH($K95,其他调用!$AG$5:$AG$364,0),0),1)*INDEX(其他调用!Y$5:Y$404,MATCH($K95,其他调用!$X$5:$X$404,0),0)</f>
        <v>35539.532253545593</v>
      </c>
      <c r="V95" s="12">
        <f>MIN(INDEX(其他调用!$AI$5:$AI$364,MATCH($K95,其他调用!$AG$5:$AG$364,0),1)/INDEX(其他调用!AI$5:AI$364,MATCH($K95,其他调用!$AG$5:$AG$364,0),0),1)*INDEX(其他调用!Z$5:Z$404,MATCH($K95,其他调用!$X$5:$X$404,0),0)</f>
        <v>36680.345873982391</v>
      </c>
      <c r="W95" s="12">
        <f>MIN(INDEX(其他调用!$AI$5:$AI$364,MATCH($K95,其他调用!$AG$5:$AG$364,0),1)/INDEX(其他调用!AJ$5:AJ$364,MATCH($K95,其他调用!$AG$5:$AG$364,0),0),1)*INDEX(其他调用!AA$5:AA$404,MATCH($K95,其他调用!$X$5:$X$404,0),0)</f>
        <v>20823.269605965044</v>
      </c>
      <c r="X95" s="12">
        <f>MIN(INDEX(其他调用!$AI$5:$AI$364,MATCH($K95,其他调用!$AG$5:$AG$364,0),1)/INDEX(其他调用!AK$5:AK$364,MATCH($K95,其他调用!$AG$5:$AG$364,0),0),1)*INDEX(其他调用!AB$5:AB$404,MATCH($K95,其他调用!$X$5:$X$404,0),0)</f>
        <v>9052.11580336519</v>
      </c>
      <c r="Y95" s="12">
        <f>MIN(INDEX(其他调用!$AI$5:$AI$364,MATCH($K95,其他调用!$AG$5:$AG$364,0),1)/INDEX(其他调用!AL$5:AL$364,MATCH($K95,其他调用!$AG$5:$AG$364,0),0),1)*INDEX(其他调用!AC$5:AC$404,MATCH($K95,其他调用!$X$5:$X$404,0),0)</f>
        <v>2741.1791961318313</v>
      </c>
      <c r="Z95" s="12">
        <f>求节点(节奏总纲!D$4:D$163,标准城池设计!AD$4:AD$163,$K95)*求节点(节奏总纲!D$4:D$163,攻城基础信息!$AE$5:$AE$164,$K95)</f>
        <v>498586.9118925808</v>
      </c>
      <c r="AA95" s="12">
        <f>INDEX(其他调用!$AA$5:$AA$404,MATCH($K95,其他调用!$X$5:$X$404,0))*MIN(INDEX(其他调用!AJ$5:AJ$364,MATCH($K95,其他调用!$AG$5:$AG$364,0),1)/INDEX(其他调用!$AJ$5:$AJ$364,MATCH($K95,其他调用!$AG$5:$AG$364,0),0),5)*求节点(节奏总纲!D$4:D$163,攻城基础信息!$AE$5:$AE$164,$K95)</f>
        <v>114663.03346354396</v>
      </c>
      <c r="AB95" s="12">
        <f>MIN(INDEX(其他调用!$AJ$5:$AJ$364,MATCH($K95,其他调用!$AG$5:$AG$364,0),1)/INDEX(其他调用!AH$5:AH$364,MATCH($K95,其他调用!$AG$5:$AG$364,0),0),1)*INDEX(其他调用!Y$5:Y$404,MATCH($K95,其他调用!$X$5:$X$404,0),0)</f>
        <v>35539.532253545593</v>
      </c>
      <c r="AC95" s="12">
        <f>MIN(INDEX(其他调用!$AJ$5:$AJ$364,MATCH($K95,其他调用!$AG$5:$AG$364,0),1)/INDEX(其他调用!AI$5:AI$364,MATCH($K95,其他调用!$AG$5:$AG$364,0),0),1)*INDEX(其他调用!Z$5:Z$404,MATCH($K95,其他调用!$X$5:$X$404,0),0)</f>
        <v>36680.345873982391</v>
      </c>
      <c r="AD95" s="12">
        <f>MIN(INDEX(其他调用!$AJ$5:$AJ$364,MATCH($K95,其他调用!$AG$5:$AG$364,0),1)/INDEX(其他调用!AJ$5:AJ$364,MATCH($K95,其他调用!$AG$5:$AG$364,0),0),1)*INDEX(其他调用!AA$5:AA$404,MATCH($K95,其他调用!$X$5:$X$404,0),0)</f>
        <v>38188.983365279943</v>
      </c>
      <c r="AE95" s="12">
        <f>MIN(INDEX(其他调用!$AJ$5:$AJ$364,MATCH($K95,其他调用!$AG$5:$AG$364,0),1)/INDEX(其他调用!AK$5:AK$364,MATCH($K95,其他调用!$AG$5:$AG$364,0),0),1)*INDEX(其他调用!AB$5:AB$404,MATCH($K95,其他调用!$X$5:$X$404,0),0)</f>
        <v>16601.192145938217</v>
      </c>
      <c r="AF95" s="12">
        <f>MIN(INDEX(其他调用!$AJ$5:$AJ$364,MATCH($K95,其他调用!$AG$5:$AG$364,0),1)/INDEX(其他调用!AL$5:AL$364,MATCH($K95,其他调用!$AG$5:$AG$364,0),0),1)*INDEX(其他调用!AC$5:AC$404,MATCH($K95,其他调用!$X$5:$X$404,0),0)</f>
        <v>5027.2050788960851</v>
      </c>
      <c r="AG95" s="12">
        <f>求节点(节奏总纲!D$4:D$163,标准城池设计!AE$4:AE$163,$K95)*求节点(节奏总纲!D$4:D$163,攻城基础信息!$AF$5:$AF$164,$K95)</f>
        <v>566463.47179084586</v>
      </c>
      <c r="AH95" s="12">
        <f>INDEX(其他调用!$AA$5:$AA$404,MATCH($K95,其他调用!$X$5:$X$404,0))*MIN(INDEX(其他调用!AK$5:AK$364,MATCH($K95,其他调用!$AG$5:$AG$364,0),1)/INDEX(其他调用!$AJ$5:$AJ$364,MATCH($K95,其他调用!$AG$5:$AG$364,0),0),5)*求节点(节奏总纲!D$4:D$163,攻城基础信息!$AF$5:$AF$164,$K95)</f>
        <v>278810.97233524919</v>
      </c>
      <c r="AI95" s="12">
        <f>MIN(INDEX(其他调用!$AK$5:$AK$364,MATCH($K95,其他调用!$AG$5:$AG$364,0),1)/INDEX(其他调用!AH$5:AH$364,MATCH($K95,其他调用!$AG$5:$AG$364,0),0),1)*INDEX(其他调用!Y$5:Y$404,MATCH($K95,其他调用!$X$5:$X$404,0),0)</f>
        <v>35539.532253545593</v>
      </c>
      <c r="AJ95" s="12">
        <f>MIN(INDEX(其他调用!$AK$5:$AK$364,MATCH($K95,其他调用!$AG$5:$AG$364,0),1)/INDEX(其他调用!AI$5:AI$364,MATCH($K95,其他调用!$AG$5:$AG$364,0),0),1)*INDEX(其他调用!Z$5:Z$404,MATCH($K95,其他调用!$X$5:$X$404,0),0)</f>
        <v>36680.345873982391</v>
      </c>
      <c r="AK95" s="12">
        <f>MIN(INDEX(其他调用!$AK$5:$AK$364,MATCH($K95,其他调用!$AG$5:$AG$364,0),1)/INDEX(其他调用!AJ$5:AJ$364,MATCH($K95,其他调用!$AG$5:$AG$364,0),0),1)*INDEX(其他调用!AA$5:AA$404,MATCH($K95,其他调用!$X$5:$X$404,0),0)</f>
        <v>38188.983365279943</v>
      </c>
      <c r="AL95" s="12">
        <f>MIN(INDEX(其他调用!$AK$5:$AK$364,MATCH($K95,其他调用!$AG$5:$AG$364,0),1)/INDEX(其他调用!AK$5:AK$364,MATCH($K95,其他调用!$AG$5:$AG$364,0),0),1)*INDEX(其他调用!AB$5:AB$404,MATCH($K95,其他调用!$X$5:$X$404,0),0)</f>
        <v>40366.928942316474</v>
      </c>
      <c r="AM95" s="12">
        <f>MIN(INDEX(其他调用!$AK$5:$AK$364,MATCH($K95,其他调用!$AG$5:$AG$364,0),1)/INDEX(其他调用!AL$5:AL$364,MATCH($K95,其他调用!$AG$5:$AG$364,0),0),1)*INDEX(其他调用!AC$5:AC$404,MATCH($K95,其他调用!$X$5:$X$404,0),0)</f>
        <v>12223.991410635048</v>
      </c>
      <c r="AN95" s="12">
        <f>求节点(节奏总纲!D$4:D$163,标准城池设计!AF$4:AF$163,$K95)*求节点(节奏总纲!D$4:D$163,攻城基础信息!$AG$5:$AG$164,$K95)</f>
        <v>558055.59810460976</v>
      </c>
      <c r="AO95" s="12">
        <f>INDEX(其他调用!$AA$5:$AA$404,MATCH($K95,其他调用!$X$5:$X$404,0))*MIN(INDEX(其他调用!AL$5:AL$364,MATCH($K95,其他调用!$AG$5:$AG$364,0),1)/INDEX(其他调用!$AJ$5:$AJ$364,MATCH($K95,其他调用!$AG$5:$AG$364,0),0),5)*求节点(节奏总纲!D$4:D$163,攻城基础信息!$AG$5:$AG$164,$K95)</f>
        <v>573315.1673177199</v>
      </c>
      <c r="AP95" s="12">
        <f>MIN(INDEX(其他调用!$AL$5:$AL$364,MATCH($K95,其他调用!$AG$5:$AG$364,0),1)/INDEX(其他调用!AH$5:AH$364,MATCH($K95,其他调用!$AG$5:$AG$364,0),0),1)*INDEX(其他调用!Y$5:Y$404,MATCH($K95,其他调用!$X$5:$X$404,0),0)</f>
        <v>35539.532253545593</v>
      </c>
      <c r="AQ95" s="12">
        <f>MIN(INDEX(其他调用!$AL$5:$AL$364,MATCH($K95,其他调用!$AG$5:$AG$364,0),1)/INDEX(其他调用!AI$5:AI$364,MATCH($K95,其他调用!$AG$5:$AG$364,0),0),1)*INDEX(其他调用!Z$5:Z$404,MATCH($K95,其他调用!$X$5:$X$404,0),0)</f>
        <v>36680.345873982391</v>
      </c>
      <c r="AR95" s="12">
        <f>MIN(INDEX(其他调用!$AL$5:$AL$364,MATCH($K95,其他调用!$AG$5:$AG$364,0),1)/INDEX(其他调用!AJ$5:AJ$364,MATCH($K95,其他调用!$AG$5:$AG$364,0),0),1)*INDEX(其他调用!AA$5:AA$404,MATCH($K95,其他调用!$X$5:$X$404,0),0)</f>
        <v>38188.983365279943</v>
      </c>
      <c r="AS95" s="12">
        <f>MIN(INDEX(其他调用!$AL$5:$AL$364,MATCH($K95,其他调用!$AG$5:$AG$364,0),1)/INDEX(其他调用!AK$5:AK$364,MATCH($K95,其他调用!$AG$5:$AG$364,0),0),1)*INDEX(其他调用!AB$5:AB$404,MATCH($K95,其他调用!$X$5:$X$404,0),0)</f>
        <v>40366.928942316474</v>
      </c>
      <c r="AT95" s="12">
        <f>MIN(INDEX(其他调用!$AL$5:$AL$364,MATCH($K95,其他调用!$AG$5:$AG$364,0),1)/INDEX(其他调用!AL$5:AL$364,MATCH($K95,其他调用!$AG$5:$AG$364,0),0),1)*INDEX(其他调用!AC$5:AC$404,MATCH($K95,其他调用!$X$5:$X$404,0),0)</f>
        <v>44219.207796379953</v>
      </c>
      <c r="AV95" s="14">
        <f>IF(OR(AV$5="大R",AV$5="超R"),MAX(INDEX(其他调用!$H$5:$L$404,MATCH($K95,其他调用!$B$5:$B$404,0),MATCH(AV$5,其他调用!$H$4:$L$4,0))*120*0.85,2),INDEX(其他调用!$H$5:$L$404,MATCH($K95,其他调用!$B$5:$B$404,0),MATCH(AV$5,其他调用!$H$4:$L$4,0))*120*0.85)</f>
        <v>48.921801254999991</v>
      </c>
      <c r="AW95" s="14">
        <f>IF(OR(AW$5="大R",AW$5="超R"),MAX(INDEX(其他调用!$H$5:$L$404,MATCH($K95,其他调用!$B$5:$B$404,0),MATCH(AW$5,其他调用!$H$4:$L$4,0))*120*0.85,2),INDEX(其他调用!$H$5:$L$404,MATCH($K95,其他调用!$B$5:$B$404,0),MATCH(AW$5,其他调用!$H$4:$L$4,0))*120*0.85)</f>
        <v>48.237344010638395</v>
      </c>
      <c r="AX95" s="14">
        <f>IF(OR(AX$5="大R",AX$5="超R"),MAX(INDEX(其他调用!$H$5:$L$404,MATCH($K95,其他调用!$B$5:$B$404,0),MATCH(AX$5,其他调用!$H$4:$L$4,0))*120*0.85,2),INDEX(其他调用!$H$5:$L$404,MATCH($K95,其他调用!$B$5:$B$404,0),MATCH(AX$5,其他调用!$H$4:$L$4,0))*120*0.85)</f>
        <v>3.9376284143615998</v>
      </c>
      <c r="AY95" s="14">
        <f>IF(OR(AY$5="大R",AY$5="超R"),MAX(INDEX(其他调用!$H$5:$L$404,MATCH($K95,其他调用!$B$5:$B$404,0),MATCH(AY$5,其他调用!$H$4:$L$4,0))*120*0.85,2),INDEX(其他调用!$H$5:$L$404,MATCH($K95,其他调用!$B$5:$B$404,0),MATCH(AY$5,其他调用!$H$4:$L$4,0))*120*0.85)</f>
        <v>2</v>
      </c>
      <c r="AZ95" s="14">
        <f>IF(OR(AZ$5="大R",AZ$5="超R"),MAX(INDEX(其他调用!$H$5:$L$404,MATCH($K95,其他调用!$B$5:$B$404,0),MATCH(AZ$5,其他调用!$H$4:$L$4,0))*120*0.85,2),INDEX(其他调用!$H$5:$L$404,MATCH($K95,其他调用!$B$5:$B$404,0),MATCH(AZ$5,其他调用!$H$4:$L$4,0))*120*0.85)</f>
        <v>2</v>
      </c>
      <c r="BA95" s="14">
        <f>INDEX(其他调用!$H$5:$L$404,MATCH($K95,其他调用!$B$5:$B$404,0),MATCH(BA$5,其他调用!$H$4:$L$4,0))*INDEX(其他调用!$M$5:$M$404,MATCH($K95,其他调用!$B$5:$B$404,0))*0.6</f>
        <v>28.777530149999997</v>
      </c>
      <c r="BB95" s="14">
        <f>INDEX(其他调用!$H$5:$L$404,MATCH($K95,其他调用!$B$5:$B$404,0),MATCH(BB$5,其他调用!$H$4:$L$4,0))*INDEX(其他调用!$M$5:$M$404,MATCH($K95,其他调用!$B$5:$B$404,0))*0.6</f>
        <v>28.374908241551999</v>
      </c>
      <c r="BC95" s="14">
        <f>INDEX(其他调用!$H$5:$L$404,MATCH($K95,其他调用!$B$5:$B$404,0),MATCH(BC$5,其他调用!$H$4:$L$4,0))*INDEX(其他调用!$M$5:$M$404,MATCH($K95,其他调用!$B$5:$B$404,0))*0.6</f>
        <v>2.3162520084480001</v>
      </c>
      <c r="BD95" s="14">
        <f>INDEX(其他调用!$H$5:$L$404,MATCH($K95,其他调用!$B$5:$B$404,0),MATCH(BD$5,其他调用!$H$4:$L$4,0))*INDEX(其他调用!$M$5:$M$404,MATCH($K95,其他调用!$B$5:$B$404,0))*0.6</f>
        <v>0.4120776000000001</v>
      </c>
      <c r="BE95" s="14">
        <f>INDEX(其他调用!$H$5:$L$404,MATCH($K95,其他调用!$B$5:$B$404,0),MATCH(BE$5,其他调用!$H$4:$L$4,0))*INDEX(其他调用!$M$5:$M$404,MATCH($K95,其他调用!$B$5:$B$404,0))*0.6</f>
        <v>0.11923199999999998</v>
      </c>
      <c r="BF95" s="14">
        <f>IF(OR(BF$5="大R",BF$5="超R"),0,INDEX(其他调用!$H$5:$L$404,MATCH($K95,其他调用!$B$5:$B$404,0),MATCH(BF$5,其他调用!$H$4:$L$4,0))*50*0.4)</f>
        <v>9.5925100500000013</v>
      </c>
      <c r="BG95" s="14">
        <f>IF(OR(BG$5="大R",BG$5="超R"),0,INDEX(其他调用!$H$5:$L$404,MATCH($K95,其他调用!$B$5:$B$404,0),MATCH(BG$5,其他调用!$H$4:$L$4,0))*50*0.4)</f>
        <v>9.4583027471839998</v>
      </c>
      <c r="BH95" s="14">
        <f>IF(OR(BH$5="大R",BH$5="超R"),0,INDEX(其他调用!$H$5:$L$404,MATCH($K95,其他调用!$B$5:$B$404,0),MATCH(BH$5,其他调用!$H$4:$L$4,0))*50*0.4)</f>
        <v>0.77208400281600009</v>
      </c>
      <c r="BI95" s="14">
        <f>IF(OR(BI$5="大R",BI$5="超R"),0,INDEX(其他调用!$H$5:$L$404,MATCH($K95,其他调用!$B$5:$B$404,0),MATCH(BI$5,其他调用!$H$4:$L$4,0))*50*0.4)</f>
        <v>0</v>
      </c>
      <c r="BJ95" s="14">
        <f>IF(OR(BJ$5="大R",BJ$5="超R"),0,INDEX(其他调用!$H$5:$L$404,MATCH($K95,其他调用!$B$5:$B$404,0),MATCH(BJ$5,其他调用!$H$4:$L$4,0))*50*0.4)</f>
        <v>0</v>
      </c>
      <c r="BL95" s="14">
        <f t="shared" si="208"/>
        <v>90</v>
      </c>
      <c r="BM95" s="14">
        <f t="shared" si="115"/>
        <v>96</v>
      </c>
      <c r="BN95" s="14">
        <f>('疲劳值&amp;地图信息'!$S$10*'疲劳值&amp;地图信息'!$R$10+'疲劳值&amp;地图信息'!$S$11*'疲劳值&amp;地图信息'!$R$11+'疲劳值&amp;地图信息'!$S$12*'疲劳值&amp;地图信息'!$R$12+(BM95-'疲劳值&amp;地图信息'!$S$12-'疲劳值&amp;地图信息'!$S$11-'疲劳值&amp;地图信息'!$S$10)*'疲劳值&amp;地图信息'!$R$13)/BM95</f>
        <v>51.371477246638619</v>
      </c>
      <c r="BO95" s="14">
        <f>INDEX(其他调用!$M$5:$M$404,MATCH(BL95,其他调用!$B$5:$B$404,0))*0.6</f>
        <v>60</v>
      </c>
      <c r="BP95" s="14">
        <f>IF(BO95&gt;SUM('疲劳值&amp;地图信息'!$S$10:$S$12),('疲劳值&amp;地图信息'!$S$10*'疲劳值&amp;地图信息'!$R$10+'疲劳值&amp;地图信息'!$S$11*'疲劳值&amp;地图信息'!$R$11+'疲劳值&amp;地图信息'!$S$12*'疲劳值&amp;地图信息'!$R$12+(BO95-'疲劳值&amp;地图信息'!$S$12-'疲劳值&amp;地图信息'!$S$11-'疲劳值&amp;地图信息'!$S$10)*'疲劳值&amp;地图信息'!$R$13)/BO95,('疲劳值&amp;地图信息'!$S$10*'疲劳值&amp;地图信息'!$R$10+'疲劳值&amp;地图信息'!$S$11*'疲劳值&amp;地图信息'!$R$11+'疲劳值&amp;地图信息'!$S$12*'疲劳值&amp;地图信息'!$R$12+(BO95-'疲劳值&amp;地图信息'!$S$12-'疲劳值&amp;地图信息'!$S$11-'疲劳值&amp;地图信息'!$S$10)*'疲劳值&amp;地图信息'!$R$13)/BO95)</f>
        <v>44.158136341605953</v>
      </c>
      <c r="BQ95" s="14">
        <f t="shared" si="209"/>
        <v>20</v>
      </c>
      <c r="BR95" s="14">
        <f>('疲劳值&amp;地图信息'!$S$10*'疲劳值&amp;地图信息'!$R$10+($BQ95-'疲劳值&amp;地图信息'!$S$10)*'疲劳值&amp;地图信息'!$R$11)/$BQ95</f>
        <v>32.067203015074995</v>
      </c>
      <c r="CF95" s="14">
        <v>90</v>
      </c>
      <c r="CG95" s="51">
        <f t="shared" si="116"/>
        <v>8977</v>
      </c>
      <c r="CH95" s="51">
        <f t="shared" si="117"/>
        <v>827</v>
      </c>
      <c r="CI95" s="51">
        <f>INT(SUMPRODUCT($N95:$R95,$BA95:$BE95)/SUM($BA95:$BE95)/10000*$BX$7*$BZ$34/'疲劳值&amp;地图信息'!$R$10*$BY$53)</f>
        <v>2930</v>
      </c>
      <c r="CJ95" s="50">
        <f t="shared" si="118"/>
        <v>0.7049630909376472</v>
      </c>
      <c r="CK95" s="50">
        <f t="shared" si="119"/>
        <v>6.494424375687137E-2</v>
      </c>
      <c r="CL95" s="50">
        <f t="shared" si="120"/>
        <v>0.23009266530548139</v>
      </c>
      <c r="CM95" s="14">
        <f t="shared" si="121"/>
        <v>9500</v>
      </c>
      <c r="CN95" s="14">
        <f t="shared" si="122"/>
        <v>1274</v>
      </c>
      <c r="CO95" s="14">
        <f>INT(SUMPRODUCT($U95:$Y95,$BA95:$BE95)/SUM($BA95:$BE95)/10000*$BX$7*$BZ$34/'疲劳值&amp;地图信息'!$R$10*$BY$54)</f>
        <v>5367</v>
      </c>
      <c r="CP95" s="50">
        <f t="shared" si="123"/>
        <v>0.58856328604175701</v>
      </c>
      <c r="CQ95" s="50">
        <f t="shared" si="124"/>
        <v>7.8929434359705106E-2</v>
      </c>
      <c r="CR95" s="50">
        <f t="shared" si="125"/>
        <v>0.33250727959853787</v>
      </c>
      <c r="CS95" s="14">
        <f t="shared" si="126"/>
        <v>10161</v>
      </c>
      <c r="CT95" s="14">
        <f t="shared" si="127"/>
        <v>2336</v>
      </c>
      <c r="CU95" s="14">
        <f>INT(SUMPRODUCT($AB95:$AF95,$BA95:$BE95)/SUM($BA95:$BE95)/10000*$BX$7*$BZ$34/'疲劳值&amp;地图信息'!$R$10*$BY$55)</f>
        <v>7303</v>
      </c>
      <c r="CV95" s="50">
        <f t="shared" si="128"/>
        <v>0.51318181818181818</v>
      </c>
      <c r="CW95" s="50">
        <f t="shared" si="129"/>
        <v>0.11797979797979798</v>
      </c>
      <c r="CX95" s="50">
        <f t="shared" si="130"/>
        <v>0.36883838383838385</v>
      </c>
      <c r="CY95" s="14">
        <f t="shared" si="131"/>
        <v>11545</v>
      </c>
      <c r="CZ95" s="14">
        <f t="shared" si="132"/>
        <v>5682</v>
      </c>
      <c r="DA95" s="14">
        <f>INT(SUMPRODUCT($AI95:$AM95,$BA95:$BE95)/SUM($BA95:$BE95)/10000*$BX$7*$BZ$34/'疲劳值&amp;地图信息'!$R$10*$BY$56)</f>
        <v>11009</v>
      </c>
      <c r="DB95" s="50">
        <f t="shared" si="133"/>
        <v>0.40887519478679701</v>
      </c>
      <c r="DC95" s="50">
        <f t="shared" si="134"/>
        <v>0.20123246918827029</v>
      </c>
      <c r="DD95" s="50">
        <f t="shared" si="135"/>
        <v>0.38989233602493273</v>
      </c>
      <c r="DE95" s="14">
        <f t="shared" si="136"/>
        <v>11373</v>
      </c>
      <c r="DF95" s="14">
        <f t="shared" si="137"/>
        <v>11684</v>
      </c>
      <c r="DG95" s="14">
        <f>INT(SUMPRODUCT($AP95:$AT95,$BA95:$BE95)/SUM($BA95:$BE95)/10000*$BX$7*$BZ$34/'疲劳值&amp;地图信息'!$R$10*$BY$57)</f>
        <v>14705</v>
      </c>
      <c r="DH95" s="50">
        <f t="shared" si="138"/>
        <v>0.30117578518086968</v>
      </c>
      <c r="DI95" s="50">
        <f t="shared" si="139"/>
        <v>0.30941157777660083</v>
      </c>
      <c r="DJ95" s="50">
        <f t="shared" si="140"/>
        <v>0.38941263704252954</v>
      </c>
      <c r="DL95" s="14">
        <f t="shared" si="211"/>
        <v>12734</v>
      </c>
      <c r="DM95" s="14">
        <f t="shared" si="212"/>
        <v>16141</v>
      </c>
      <c r="DN95" s="14">
        <f t="shared" si="213"/>
        <v>19800</v>
      </c>
      <c r="DO95" s="14">
        <f t="shared" si="214"/>
        <v>28236</v>
      </c>
      <c r="DP95" s="14">
        <f t="shared" si="215"/>
        <v>37762</v>
      </c>
      <c r="DQ95" s="14">
        <f t="shared" si="216"/>
        <v>886452</v>
      </c>
      <c r="DT95" s="14">
        <f t="shared" si="210"/>
        <v>235575</v>
      </c>
      <c r="DU95" s="50">
        <f t="shared" si="112"/>
        <v>0.20995484065891462</v>
      </c>
      <c r="DW95" s="14">
        <f t="shared" si="141"/>
        <v>1122027</v>
      </c>
      <c r="EB95" s="14">
        <v>90</v>
      </c>
      <c r="EC95" s="51">
        <f t="shared" si="142"/>
        <v>14961</v>
      </c>
      <c r="ED95" s="51">
        <f t="shared" si="143"/>
        <v>1379</v>
      </c>
      <c r="EE95" s="51">
        <f>INT(SUMPRODUCT($N95:$R95,$BF95:$BJ95)/SUM($BF95:$BJ95)/10000*$BX$7*$BZ$46/'疲劳值&amp;地图信息'!$R$10*$BY$53)</f>
        <v>393</v>
      </c>
      <c r="EF95" s="50">
        <f t="shared" si="144"/>
        <v>0.89410147612502244</v>
      </c>
      <c r="EG95" s="50">
        <f t="shared" si="145"/>
        <v>8.2412000239048586E-2</v>
      </c>
      <c r="EH95" s="50">
        <f t="shared" si="146"/>
        <v>2.3486523635929003E-2</v>
      </c>
      <c r="EI95" s="51">
        <f t="shared" si="147"/>
        <v>15833</v>
      </c>
      <c r="EJ95" s="51">
        <f t="shared" si="148"/>
        <v>2123</v>
      </c>
      <c r="EK95" s="14">
        <f>INT(SUMPRODUCT($U95:$Y95,$BF95:$BJ95)/SUM($BF95:$BJ95)/10000*$BX$7*$BZ$46/'疲劳值&amp;地图信息'!$R$10*$BY$54)</f>
        <v>720</v>
      </c>
      <c r="EL95" s="50">
        <f t="shared" si="149"/>
        <v>0.84777254230027843</v>
      </c>
      <c r="EM95" s="50">
        <f t="shared" si="150"/>
        <v>0.11367530520454058</v>
      </c>
      <c r="EN95" s="50">
        <f t="shared" si="151"/>
        <v>3.8552152495180979E-2</v>
      </c>
      <c r="EO95" s="51">
        <f t="shared" si="152"/>
        <v>16936</v>
      </c>
      <c r="EP95" s="51">
        <f t="shared" si="153"/>
        <v>3894</v>
      </c>
      <c r="EQ95" s="14">
        <f>INT(SUMPRODUCT($AB95:$AF95,$BF95:$BJ95)/SUM($BF95:$BJ95)/10000*$BX$7*$BZ$46/'疲劳值&amp;地图信息'!$R$10*$BY$55)</f>
        <v>979</v>
      </c>
      <c r="ER95" s="50">
        <f t="shared" si="154"/>
        <v>0.7765601357237838</v>
      </c>
      <c r="ES95" s="50">
        <f t="shared" si="155"/>
        <v>0.17855013985052043</v>
      </c>
      <c r="ET95" s="50">
        <f t="shared" si="156"/>
        <v>4.4889724425695811E-2</v>
      </c>
      <c r="EU95" s="51">
        <f t="shared" si="157"/>
        <v>19242</v>
      </c>
      <c r="EV95" s="51">
        <f t="shared" si="158"/>
        <v>9470</v>
      </c>
      <c r="EW95" s="14">
        <f>INT(SUMPRODUCT($AI95:$AM95,$BF95:$BJ95)/SUM($BF95:$BJ95)/10000*$BX$7*$BZ$46/'疲劳值&amp;地图信息'!$R$10*$BY$56)</f>
        <v>1468</v>
      </c>
      <c r="EX95" s="50">
        <f t="shared" si="159"/>
        <v>0.63757455268389662</v>
      </c>
      <c r="EY95" s="50">
        <f t="shared" si="160"/>
        <v>0.31378396288933069</v>
      </c>
      <c r="EZ95" s="50">
        <f t="shared" si="161"/>
        <v>4.8641484426772699E-2</v>
      </c>
      <c r="FA95" s="51">
        <f t="shared" si="162"/>
        <v>18956</v>
      </c>
      <c r="FB95" s="51">
        <f t="shared" si="163"/>
        <v>19474</v>
      </c>
      <c r="FC95" s="14">
        <f>INT(SUMPRODUCT($AP95:$AT95,$BF95:$BJ95)/SUM($BF95:$BJ95)/10000*$BX$7*$BZ$46/'疲劳值&amp;地图信息'!$R$10*$BY$57)</f>
        <v>1958</v>
      </c>
      <c r="FD95" s="50">
        <f t="shared" si="164"/>
        <v>0.46934733089036346</v>
      </c>
      <c r="FE95" s="50">
        <f t="shared" si="165"/>
        <v>0.48217292265029216</v>
      </c>
      <c r="FF95" s="50">
        <f t="shared" si="166"/>
        <v>4.8479746459344358E-2</v>
      </c>
      <c r="FH95" s="14">
        <f t="shared" si="167"/>
        <v>16733</v>
      </c>
      <c r="FI95" s="14">
        <f t="shared" si="168"/>
        <v>18676</v>
      </c>
      <c r="FJ95" s="14">
        <f t="shared" si="169"/>
        <v>21809</v>
      </c>
      <c r="FK95" s="14">
        <f t="shared" si="170"/>
        <v>30180</v>
      </c>
      <c r="FL95" s="14">
        <f t="shared" si="171"/>
        <v>40388</v>
      </c>
      <c r="FM95" s="14">
        <f t="shared" si="172"/>
        <v>1946500</v>
      </c>
      <c r="FP95" s="14">
        <f t="shared" si="173"/>
        <v>334150</v>
      </c>
      <c r="FQ95" s="50">
        <f t="shared" si="113"/>
        <v>0.14651524784600881</v>
      </c>
      <c r="FS95" s="14">
        <f t="shared" si="174"/>
        <v>2280650</v>
      </c>
      <c r="FX95" s="14">
        <v>90</v>
      </c>
      <c r="FY95" s="51">
        <f t="shared" si="175"/>
        <v>20946</v>
      </c>
      <c r="FZ95" s="51">
        <f t="shared" si="176"/>
        <v>1379</v>
      </c>
      <c r="GA95" s="51">
        <f>INT(SUMPRODUCT($N95:$R95,$BF95:$BJ95)/SUM($BF95:$BJ95)/10000*$BX$7*$BZ$46/'疲劳值&amp;地图信息'!$R$10*$BY$53)</f>
        <v>393</v>
      </c>
      <c r="GB95" s="50">
        <f t="shared" si="177"/>
        <v>0.92200017607183726</v>
      </c>
      <c r="GC95" s="50">
        <f t="shared" si="178"/>
        <v>6.0700765912492294E-2</v>
      </c>
      <c r="GD95" s="50">
        <f t="shared" si="179"/>
        <v>1.7299058015670395E-2</v>
      </c>
      <c r="GE95" s="51">
        <f t="shared" si="180"/>
        <v>22167</v>
      </c>
      <c r="GF95" s="51">
        <f t="shared" si="181"/>
        <v>2123</v>
      </c>
      <c r="GG95" s="14">
        <f>INT(SUMPRODUCT($U95:$Y95,$BF95:$BJ95)/SUM($BF95:$BJ95)/10000*$BX$7*$BZ$46/'疲劳值&amp;地图信息'!$R$10*$BY$54)</f>
        <v>720</v>
      </c>
      <c r="GH95" s="50">
        <f t="shared" si="182"/>
        <v>0.88632546981207516</v>
      </c>
      <c r="GI95" s="50">
        <f t="shared" si="183"/>
        <v>8.4886045581767294E-2</v>
      </c>
      <c r="GJ95" s="50">
        <f t="shared" si="184"/>
        <v>2.8788484606157537E-2</v>
      </c>
      <c r="GK95" s="51">
        <f t="shared" si="185"/>
        <v>23710</v>
      </c>
      <c r="GL95" s="51">
        <f t="shared" si="186"/>
        <v>3894</v>
      </c>
      <c r="GM95" s="14">
        <f>INT(SUMPRODUCT($AB95:$AF95,$BF95:$BJ95)/SUM($BF95:$BJ95)/10000*$BX$7*$BZ$46/'疲劳值&amp;地图信息'!$R$10*$BY$55)</f>
        <v>979</v>
      </c>
      <c r="GN95" s="50">
        <f t="shared" si="187"/>
        <v>0.82951404681104157</v>
      </c>
      <c r="GO95" s="50">
        <f t="shared" si="188"/>
        <v>0.13623482489591715</v>
      </c>
      <c r="GP95" s="50">
        <f t="shared" si="189"/>
        <v>3.4251128293041319E-2</v>
      </c>
      <c r="GQ95" s="51">
        <f t="shared" si="190"/>
        <v>26938</v>
      </c>
      <c r="GR95" s="51">
        <f t="shared" si="191"/>
        <v>9470</v>
      </c>
      <c r="GS95" s="14">
        <f>INT(SUMPRODUCT($AI95:$AM95,$BF95:$BJ95)/SUM($BF95:$BJ95)/10000*$BX$7*$BZ$46/'疲劳值&amp;地图信息'!$R$10*$BY$56)</f>
        <v>1468</v>
      </c>
      <c r="GT95" s="50">
        <f t="shared" si="192"/>
        <v>0.71121554546414611</v>
      </c>
      <c r="GU95" s="50">
        <f t="shared" si="193"/>
        <v>0.25002640194318304</v>
      </c>
      <c r="GV95" s="50">
        <f t="shared" si="194"/>
        <v>3.8758052592670823E-2</v>
      </c>
      <c r="GW95" s="51">
        <f t="shared" si="195"/>
        <v>26539</v>
      </c>
      <c r="GX95" s="51">
        <f t="shared" si="196"/>
        <v>19474</v>
      </c>
      <c r="GY95" s="14">
        <f>INT(SUMPRODUCT($AP95:$AT95,$BF95:$BJ95)/SUM($BF95:$BJ95)/10000*$BX$7*$BZ$46/'疲劳值&amp;地图信息'!$R$10*$BY$57)</f>
        <v>1958</v>
      </c>
      <c r="GZ95" s="50">
        <f t="shared" si="197"/>
        <v>0.5532300765045548</v>
      </c>
      <c r="HA95" s="50">
        <f t="shared" si="198"/>
        <v>0.40595359696483291</v>
      </c>
      <c r="HB95" s="50">
        <f t="shared" si="199"/>
        <v>4.0816326530612242E-2</v>
      </c>
      <c r="HD95" s="14">
        <f t="shared" si="200"/>
        <v>22718</v>
      </c>
      <c r="HE95" s="14">
        <f t="shared" si="201"/>
        <v>25010</v>
      </c>
      <c r="HF95" s="14">
        <f t="shared" si="202"/>
        <v>28583</v>
      </c>
      <c r="HG95" s="14">
        <f t="shared" si="203"/>
        <v>37876</v>
      </c>
      <c r="HH95" s="14">
        <f t="shared" si="204"/>
        <v>47971</v>
      </c>
      <c r="HI95" s="14">
        <f t="shared" si="205"/>
        <v>2602064</v>
      </c>
      <c r="HL95" s="14">
        <f t="shared" si="206"/>
        <v>430050</v>
      </c>
      <c r="HM95" s="50">
        <f t="shared" si="114"/>
        <v>0.1418317385164278</v>
      </c>
      <c r="HO95" s="14">
        <f t="shared" si="207"/>
        <v>3032114</v>
      </c>
    </row>
    <row r="96" spans="11:223" x14ac:dyDescent="0.2">
      <c r="K96" s="14">
        <v>91</v>
      </c>
      <c r="L96" s="12">
        <f>求节点(节奏总纲!D$4:D$163,标准城池设计!AB$4:AB$163,$K96)*求节点(节奏总纲!D$4:D$163,攻城基础信息!$AC$5:$AC$164,$K96)</f>
        <v>442593.01692471682</v>
      </c>
      <c r="M96" s="12">
        <f>INDEX(其他调用!$AA$5:$AA$404,MATCH(K96,其他调用!$X$5:$X$404,0))*MIN(INDEX(其他调用!$AH$5:$AH$364,MATCH('征服点（新）'!K96,其他调用!$AG$5:$AG$364,0),1)/INDEX(其他调用!$AJ$5:$AJ$364,MATCH(K96,其他调用!$AG$5:$AG$364,0),0),5)*求节点(节奏总纲!D$4:D$163,攻城基础信息!$AC$5:$AC$164,$K96)</f>
        <v>40755.70375059612</v>
      </c>
      <c r="N96" s="12">
        <f>MIN(INDEX(其他调用!$AH$5:$AH$364,MATCH($K96,其他调用!$AG$5:$AG$364,0),1)/INDEX(其他调用!AH$5:AH$364,MATCH($K96,其他调用!$AG$5:$AG$364,0),0),1)*INDEX(其他调用!Y$5:Y$404,MATCH($K96,其他调用!$X$5:$X$404,0),0)</f>
        <v>35601.566336930016</v>
      </c>
      <c r="O96" s="12">
        <f>MIN(INDEX(其他调用!$AH$5:$AH$364,MATCH($K96,其他调用!$AG$5:$AG$364,0),1)/INDEX(其他调用!AI$5:AI$364,MATCH($K96,其他调用!$AG$5:$AG$364,0),0),1)*INDEX(其他调用!Z$5:Z$404,MATCH($K96,其他调用!$X$5:$X$404,0),0)</f>
        <v>23793.340932734376</v>
      </c>
      <c r="P96" s="12">
        <f>MIN(INDEX(其他调用!$AH$5:$AH$364,MATCH($K96,其他调用!$AG$5:$AG$364,0),1)/INDEX(其他调用!AJ$5:AJ$364,MATCH($K96,其他调用!$AG$5:$AG$364,0),0),1)*INDEX(其他调用!AA$5:AA$404,MATCH($K96,其他调用!$X$5:$X$404,0),0)</f>
        <v>13550.692927642391</v>
      </c>
      <c r="Q96" s="12">
        <f>MIN(INDEX(其他调用!$AH$5:$AH$364,MATCH($K96,其他调用!$AG$5:$AG$364,0),1)/INDEX(其他调用!AK$5:AK$364,MATCH($K96,其他调用!$AG$5:$AG$364,0),0),1)*INDEX(其他调用!AB$5:AB$404,MATCH($K96,其他调用!$X$5:$X$404,0),0)</f>
        <v>5874.1613528148737</v>
      </c>
      <c r="R96" s="12">
        <f>MIN(INDEX(其他调用!$AH$5:$AH$364,MATCH($K96,其他调用!$AG$5:$AG$364,0),1)/INDEX(其他调用!AL$5:AL$364,MATCH($K96,其他调用!$AG$5:$AG$364,0),0),1)*INDEX(其他调用!AC$5:AC$404,MATCH($K96,其他调用!$X$5:$X$404,0),0)</f>
        <v>1780.6029759722423</v>
      </c>
      <c r="S96" s="12">
        <f>求节点(节奏总纲!D$4:D$163,标准城池设计!AC$4:AC$163,$K96)*求节点(节奏总纲!D$4:D$163,攻城基础信息!$AD$5:$AD$164,$K96)</f>
        <v>468602.27816192439</v>
      </c>
      <c r="T96" s="12">
        <f>INDEX(其他调用!$AA$5:$AA$404,MATCH($K96,其他调用!$X$5:$X$404,0))*MIN(INDEX(其他调用!AI$5:AI$364,MATCH($K96,其他调用!$AG$5:$AG$364,0),1)/INDEX(其他调用!$AJ$5:$AJ$364,MATCH($K96,其他调用!$AG$5:$AG$364,0),0),5)*求节点(节奏总纲!D$4:D$163,攻城基础信息!$AD$5:$AD$164,$K96)</f>
        <v>62936.52897271519</v>
      </c>
      <c r="U96" s="12">
        <f>MIN(INDEX(其他调用!$AI$5:$AI$364,MATCH($K96,其他调用!$AG$5:$AG$364,0),1)/INDEX(其他调用!AH$5:AH$364,MATCH($K96,其他调用!$AG$5:$AG$364,0),0),1)*INDEX(其他调用!Y$5:Y$404,MATCH($K96,其他调用!$X$5:$X$404,0),0)</f>
        <v>35601.566336930016</v>
      </c>
      <c r="V96" s="12">
        <f>MIN(INDEX(其他调用!$AI$5:$AI$364,MATCH($K96,其他调用!$AG$5:$AG$364,0),1)/INDEX(其他调用!AI$5:AI$364,MATCH($K96,其他调用!$AG$5:$AG$364,0),0),1)*INDEX(其他调用!Z$5:Z$404,MATCH($K96,其他调用!$X$5:$X$404,0),0)</f>
        <v>36742.594365060482</v>
      </c>
      <c r="W96" s="12">
        <f>MIN(INDEX(其他调用!$AI$5:$AI$364,MATCH($K96,其他调用!$AG$5:$AG$364,0),1)/INDEX(其他调用!AJ$5:AJ$364,MATCH($K96,其他调用!$AG$5:$AG$364,0),0),1)*INDEX(其他调用!AA$5:AA$404,MATCH($K96,其他调用!$X$5:$X$404,0),0)</f>
        <v>20925.502434207338</v>
      </c>
      <c r="X96" s="12">
        <f>MIN(INDEX(其他调用!$AI$5:$AI$364,MATCH($K96,其他调用!$AG$5:$AG$364,0),1)/INDEX(其他调用!AK$5:AK$364,MATCH($K96,其他调用!$AG$5:$AG$364,0),0),1)*INDEX(其他调用!AB$5:AB$404,MATCH($K96,其他调用!$X$5:$X$404,0),0)</f>
        <v>9071.1064255988877</v>
      </c>
      <c r="Y96" s="12">
        <f>MIN(INDEX(其他调用!$AI$5:$AI$364,MATCH($K96,其他调用!$AG$5:$AG$364,0),1)/INDEX(其他调用!AL$5:AL$364,MATCH($K96,其他调用!$AG$5:$AG$364,0),0),1)*INDEX(其他调用!AC$5:AC$404,MATCH($K96,其他调用!$X$5:$X$404,0),0)</f>
        <v>2749.6757624886009</v>
      </c>
      <c r="Z96" s="12">
        <f>求节点(节奏总纲!D$4:D$163,标准城池设计!AD$4:AD$163,$K96)*求节点(节奏总纲!D$4:D$163,攻城基础信息!$AE$5:$AE$164,$K96)</f>
        <v>501594.31550721923</v>
      </c>
      <c r="AA96" s="12">
        <f>INDEX(其他调用!$AA$5:$AA$404,MATCH($K96,其他调用!$X$5:$X$404,0))*MIN(INDEX(其他调用!AJ$5:AJ$364,MATCH($K96,其他调用!$AG$5:$AG$364,0),1)/INDEX(其他调用!$AJ$5:$AJ$364,MATCH($K96,其他调用!$AG$5:$AG$364,0),0),5)*求节点(节奏总纲!D$4:D$163,攻城基础信息!$AE$5:$AE$164,$K96)</f>
        <v>115046.18930073247</v>
      </c>
      <c r="AB96" s="12">
        <f>MIN(INDEX(其他调用!$AJ$5:$AJ$364,MATCH($K96,其他调用!$AG$5:$AG$364,0),1)/INDEX(其他调用!AH$5:AH$364,MATCH($K96,其他调用!$AG$5:$AG$364,0),0),1)*INDEX(其他调用!Y$5:Y$404,MATCH($K96,其他调用!$X$5:$X$404,0),0)</f>
        <v>35601.566336930016</v>
      </c>
      <c r="AC96" s="12">
        <f>MIN(INDEX(其他调用!$AJ$5:$AJ$364,MATCH($K96,其他调用!$AG$5:$AG$364,0),1)/INDEX(其他调用!AI$5:AI$364,MATCH($K96,其他调用!$AG$5:$AG$364,0),0),1)*INDEX(其他调用!Z$5:Z$404,MATCH($K96,其他调用!$X$5:$X$404,0),0)</f>
        <v>36742.594365060482</v>
      </c>
      <c r="AD96" s="12">
        <f>MIN(INDEX(其他调用!$AJ$5:$AJ$364,MATCH($K96,其他调用!$AG$5:$AG$364,0),1)/INDEX(其他调用!AJ$5:AJ$364,MATCH($K96,其他调用!$AG$5:$AG$364,0),0),1)*INDEX(其他调用!AA$5:AA$404,MATCH($K96,其他调用!$X$5:$X$404,0),0)</f>
        <v>38251.224742667851</v>
      </c>
      <c r="AE96" s="12">
        <f>MIN(INDEX(其他调用!$AJ$5:$AJ$364,MATCH($K96,其他调用!$AG$5:$AG$364,0),1)/INDEX(其他调用!AK$5:AK$364,MATCH($K96,其他调用!$AG$5:$AG$364,0),0),1)*INDEX(其他调用!AB$5:AB$404,MATCH($K96,其他调用!$X$5:$X$404,0),0)</f>
        <v>16581.725176788343</v>
      </c>
      <c r="AF96" s="12">
        <f>MIN(INDEX(其他调用!$AJ$5:$AJ$364,MATCH($K96,其他调用!$AG$5:$AG$364,0),1)/INDEX(其他调用!AL$5:AL$364,MATCH($K96,其他调用!$AG$5:$AG$364,0),0),1)*INDEX(其他调用!AC$5:AC$404,MATCH($K96,其他调用!$X$5:$X$404,0),0)</f>
        <v>5026.3292788841582</v>
      </c>
      <c r="AG96" s="12">
        <f>求节点(节奏总纲!D$4:D$163,标准城池设计!AE$4:AE$163,$K96)*求节点(节奏总纲!D$4:D$163,攻城基础信息!$AF$5:$AF$164,$K96)</f>
        <v>569599.60538552364</v>
      </c>
      <c r="AH96" s="12">
        <f>INDEX(其他调用!$AA$5:$AA$404,MATCH($K96,其他调用!$X$5:$X$404,0))*MIN(INDEX(其他调用!AK$5:AK$364,MATCH($K96,其他调用!$AG$5:$AG$364,0),1)/INDEX(其他调用!$AJ$5:$AJ$364,MATCH($K96,其他调用!$AG$5:$AG$364,0),0),5)*求节点(节奏总纲!D$4:D$163,攻城基础信息!$AF$5:$AF$164,$K96)</f>
        <v>280514.06860151916</v>
      </c>
      <c r="AI96" s="12">
        <f>MIN(INDEX(其他调用!$AK$5:$AK$364,MATCH($K96,其他调用!$AG$5:$AG$364,0),1)/INDEX(其他调用!AH$5:AH$364,MATCH($K96,其他调用!$AG$5:$AG$364,0),0),1)*INDEX(其他调用!Y$5:Y$404,MATCH($K96,其他调用!$X$5:$X$404,0),0)</f>
        <v>35601.566336930016</v>
      </c>
      <c r="AJ96" s="12">
        <f>MIN(INDEX(其他调用!$AK$5:$AK$364,MATCH($K96,其他调用!$AG$5:$AG$364,0),1)/INDEX(其他调用!AI$5:AI$364,MATCH($K96,其他调用!$AG$5:$AG$364,0),0),1)*INDEX(其他调用!Z$5:Z$404,MATCH($K96,其他调用!$X$5:$X$404,0),0)</f>
        <v>36742.594365060482</v>
      </c>
      <c r="AK96" s="12">
        <f>MIN(INDEX(其他调用!$AK$5:$AK$364,MATCH($K96,其他调用!$AG$5:$AG$364,0),1)/INDEX(其他调用!AJ$5:AJ$364,MATCH($K96,其他调用!$AG$5:$AG$364,0),0),1)*INDEX(其他调用!AA$5:AA$404,MATCH($K96,其他调用!$X$5:$X$404,0),0)</f>
        <v>38251.224742667851</v>
      </c>
      <c r="AL96" s="12">
        <f>MIN(INDEX(其他调用!$AK$5:$AK$364,MATCH($K96,其他调用!$AG$5:$AG$364,0),1)/INDEX(其他调用!AK$5:AK$364,MATCH($K96,其他调用!$AG$5:$AG$364,0),0),1)*INDEX(其他调用!AB$5:AB$404,MATCH($K96,其他调用!$X$5:$X$404,0),0)</f>
        <v>40430.780211366182</v>
      </c>
      <c r="AM96" s="12">
        <f>MIN(INDEX(其他调用!$AK$5:$AK$364,MATCH($K96,其他调用!$AG$5:$AG$364,0),1)/INDEX(其他调用!AL$5:AL$364,MATCH($K96,其他调用!$AG$5:$AG$364,0),0),1)*INDEX(其他调用!AC$5:AC$404,MATCH($K96,其他调用!$X$5:$X$404,0),0)</f>
        <v>12255.56521881041</v>
      </c>
      <c r="AN96" s="12">
        <f>求节点(节奏总纲!D$4:D$163,标准城池设计!AF$4:AF$163,$K96)*求节点(节奏总纲!D$4:D$163,攻城基础信息!$AG$5:$AG$164,$K96)</f>
        <v>561001.43804318516</v>
      </c>
      <c r="AO96" s="12">
        <f>INDEX(其他调用!$AA$5:$AA$404,MATCH($K96,其他调用!$X$5:$X$404,0))*MIN(INDEX(其他调用!AL$5:AL$364,MATCH($K96,其他调用!$AG$5:$AG$364,0),1)/INDEX(其他调用!$AJ$5:$AJ$364,MATCH($K96,其他调用!$AG$5:$AG$364,0),0),5)*求节点(节奏总纲!D$4:D$163,攻城基础信息!$AG$5:$AG$164,$K96)</f>
        <v>575230.94650366239</v>
      </c>
      <c r="AP96" s="12">
        <f>MIN(INDEX(其他调用!$AL$5:$AL$364,MATCH($K96,其他调用!$AG$5:$AG$364,0),1)/INDEX(其他调用!AH$5:AH$364,MATCH($K96,其他调用!$AG$5:$AG$364,0),0),1)*INDEX(其他调用!Y$5:Y$404,MATCH($K96,其他调用!$X$5:$X$404,0),0)</f>
        <v>35601.566336930016</v>
      </c>
      <c r="AQ96" s="12">
        <f>MIN(INDEX(其他调用!$AL$5:$AL$364,MATCH($K96,其他调用!$AG$5:$AG$364,0),1)/INDEX(其他调用!AI$5:AI$364,MATCH($K96,其他调用!$AG$5:$AG$364,0),0),1)*INDEX(其他调用!Z$5:Z$404,MATCH($K96,其他调用!$X$5:$X$404,0),0)</f>
        <v>36742.594365060482</v>
      </c>
      <c r="AR96" s="12">
        <f>MIN(INDEX(其他调用!$AL$5:$AL$364,MATCH($K96,其他调用!$AG$5:$AG$364,0),1)/INDEX(其他调用!AJ$5:AJ$364,MATCH($K96,其他调用!$AG$5:$AG$364,0),0),1)*INDEX(其他调用!AA$5:AA$404,MATCH($K96,其他调用!$X$5:$X$404,0),0)</f>
        <v>38251.224742667851</v>
      </c>
      <c r="AS96" s="12">
        <f>MIN(INDEX(其他调用!$AL$5:$AL$364,MATCH($K96,其他调用!$AG$5:$AG$364,0),1)/INDEX(其他调用!AK$5:AK$364,MATCH($K96,其他调用!$AG$5:$AG$364,0),0),1)*INDEX(其他调用!AB$5:AB$404,MATCH($K96,其他调用!$X$5:$X$404,0),0)</f>
        <v>40430.780211366182</v>
      </c>
      <c r="AT96" s="12">
        <f>MIN(INDEX(其他调用!$AL$5:$AL$364,MATCH($K96,其他调用!$AG$5:$AG$364,0),1)/INDEX(其他调用!AL$5:AL$364,MATCH($K96,其他调用!$AG$5:$AG$364,0),0),1)*INDEX(其他调用!AC$5:AC$404,MATCH($K96,其他调用!$X$5:$X$404,0),0)</f>
        <v>44280.867341189813</v>
      </c>
      <c r="AV96" s="14">
        <f>IF(OR(AV$5="大R",AV$5="超R"),MAX(INDEX(其他调用!$H$5:$L$404,MATCH($K96,其他调用!$B$5:$B$404,0),MATCH(AV$5,其他调用!$H$4:$L$4,0))*120*0.85,2),INDEX(其他调用!$H$5:$L$404,MATCH($K96,其他调用!$B$5:$B$404,0),MATCH(AV$5,其他调用!$H$4:$L$4,0))*120*0.85)</f>
        <v>48.921801254999991</v>
      </c>
      <c r="AW96" s="14">
        <f>IF(OR(AW$5="大R",AW$5="超R"),MAX(INDEX(其他调用!$H$5:$L$404,MATCH($K96,其他调用!$B$5:$B$404,0),MATCH(AW$5,其他调用!$H$4:$L$4,0))*120*0.85,2),INDEX(其他调用!$H$5:$L$404,MATCH($K96,其他调用!$B$5:$B$404,0),MATCH(AW$5,其他调用!$H$4:$L$4,0))*120*0.85)</f>
        <v>48.237344010638395</v>
      </c>
      <c r="AX96" s="14">
        <f>IF(OR(AX$5="大R",AX$5="超R"),MAX(INDEX(其他调用!$H$5:$L$404,MATCH($K96,其他调用!$B$5:$B$404,0),MATCH(AX$5,其他调用!$H$4:$L$4,0))*120*0.85,2),INDEX(其他调用!$H$5:$L$404,MATCH($K96,其他调用!$B$5:$B$404,0),MATCH(AX$5,其他调用!$H$4:$L$4,0))*120*0.85)</f>
        <v>3.9376284143615998</v>
      </c>
      <c r="AY96" s="14">
        <f>IF(OR(AY$5="大R",AY$5="超R"),MAX(INDEX(其他调用!$H$5:$L$404,MATCH($K96,其他调用!$B$5:$B$404,0),MATCH(AY$5,其他调用!$H$4:$L$4,0))*120*0.85,2),INDEX(其他调用!$H$5:$L$404,MATCH($K96,其他调用!$B$5:$B$404,0),MATCH(AY$5,其他调用!$H$4:$L$4,0))*120*0.85)</f>
        <v>2</v>
      </c>
      <c r="AZ96" s="14">
        <f>IF(OR(AZ$5="大R",AZ$5="超R"),MAX(INDEX(其他调用!$H$5:$L$404,MATCH($K96,其他调用!$B$5:$B$404,0),MATCH(AZ$5,其他调用!$H$4:$L$4,0))*120*0.85,2),INDEX(其他调用!$H$5:$L$404,MATCH($K96,其他调用!$B$5:$B$404,0),MATCH(AZ$5,其他调用!$H$4:$L$4,0))*120*0.85)</f>
        <v>2</v>
      </c>
      <c r="BA96" s="14">
        <f>INDEX(其他调用!$H$5:$L$404,MATCH($K96,其他调用!$B$5:$B$404,0),MATCH(BA$5,其他调用!$H$4:$L$4,0))*INDEX(其他调用!$M$5:$M$404,MATCH($K96,其他调用!$B$5:$B$404,0))*0.6</f>
        <v>28.777530149999997</v>
      </c>
      <c r="BB96" s="14">
        <f>INDEX(其他调用!$H$5:$L$404,MATCH($K96,其他调用!$B$5:$B$404,0),MATCH(BB$5,其他调用!$H$4:$L$4,0))*INDEX(其他调用!$M$5:$M$404,MATCH($K96,其他调用!$B$5:$B$404,0))*0.6</f>
        <v>28.374908241551999</v>
      </c>
      <c r="BC96" s="14">
        <f>INDEX(其他调用!$H$5:$L$404,MATCH($K96,其他调用!$B$5:$B$404,0),MATCH(BC$5,其他调用!$H$4:$L$4,0))*INDEX(其他调用!$M$5:$M$404,MATCH($K96,其他调用!$B$5:$B$404,0))*0.6</f>
        <v>2.3162520084480001</v>
      </c>
      <c r="BD96" s="14">
        <f>INDEX(其他调用!$H$5:$L$404,MATCH($K96,其他调用!$B$5:$B$404,0),MATCH(BD$5,其他调用!$H$4:$L$4,0))*INDEX(其他调用!$M$5:$M$404,MATCH($K96,其他调用!$B$5:$B$404,0))*0.6</f>
        <v>0.4120776000000001</v>
      </c>
      <c r="BE96" s="14">
        <f>INDEX(其他调用!$H$5:$L$404,MATCH($K96,其他调用!$B$5:$B$404,0),MATCH(BE$5,其他调用!$H$4:$L$4,0))*INDEX(其他调用!$M$5:$M$404,MATCH($K96,其他调用!$B$5:$B$404,0))*0.6</f>
        <v>0.11923199999999998</v>
      </c>
      <c r="BF96" s="14">
        <f>IF(OR(BF$5="大R",BF$5="超R"),0,INDEX(其他调用!$H$5:$L$404,MATCH($K96,其他调用!$B$5:$B$404,0),MATCH(BF$5,其他调用!$H$4:$L$4,0))*50*0.4)</f>
        <v>9.5925100500000013</v>
      </c>
      <c r="BG96" s="14">
        <f>IF(OR(BG$5="大R",BG$5="超R"),0,INDEX(其他调用!$H$5:$L$404,MATCH($K96,其他调用!$B$5:$B$404,0),MATCH(BG$5,其他调用!$H$4:$L$4,0))*50*0.4)</f>
        <v>9.4583027471839998</v>
      </c>
      <c r="BH96" s="14">
        <f>IF(OR(BH$5="大R",BH$5="超R"),0,INDEX(其他调用!$H$5:$L$404,MATCH($K96,其他调用!$B$5:$B$404,0),MATCH(BH$5,其他调用!$H$4:$L$4,0))*50*0.4)</f>
        <v>0.77208400281600009</v>
      </c>
      <c r="BI96" s="14">
        <f>IF(OR(BI$5="大R",BI$5="超R"),0,INDEX(其他调用!$H$5:$L$404,MATCH($K96,其他调用!$B$5:$B$404,0),MATCH(BI$5,其他调用!$H$4:$L$4,0))*50*0.4)</f>
        <v>0</v>
      </c>
      <c r="BJ96" s="14">
        <f>IF(OR(BJ$5="大R",BJ$5="超R"),0,INDEX(其他调用!$H$5:$L$404,MATCH($K96,其他调用!$B$5:$B$404,0),MATCH(BJ$5,其他调用!$H$4:$L$4,0))*50*0.4)</f>
        <v>0</v>
      </c>
      <c r="BL96" s="14">
        <f t="shared" si="208"/>
        <v>91</v>
      </c>
      <c r="BM96" s="14">
        <f t="shared" si="115"/>
        <v>96</v>
      </c>
      <c r="BN96" s="14">
        <f>('疲劳值&amp;地图信息'!$S$10*'疲劳值&amp;地图信息'!$R$10+'疲劳值&amp;地图信息'!$S$11*'疲劳值&amp;地图信息'!$R$11+'疲劳值&amp;地图信息'!$S$12*'疲劳值&amp;地图信息'!$R$12+(BM96-'疲劳值&amp;地图信息'!$S$12-'疲劳值&amp;地图信息'!$S$11-'疲劳值&amp;地图信息'!$S$10)*'疲劳值&amp;地图信息'!$R$13)/BM96</f>
        <v>51.371477246638619</v>
      </c>
      <c r="BO96" s="14">
        <f>INDEX(其他调用!$M$5:$M$404,MATCH(BL96,其他调用!$B$5:$B$404,0))*0.6</f>
        <v>60</v>
      </c>
      <c r="BP96" s="14">
        <f>IF(BO96&gt;SUM('疲劳值&amp;地图信息'!$S$10:$S$12),('疲劳值&amp;地图信息'!$S$10*'疲劳值&amp;地图信息'!$R$10+'疲劳值&amp;地图信息'!$S$11*'疲劳值&amp;地图信息'!$R$11+'疲劳值&amp;地图信息'!$S$12*'疲劳值&amp;地图信息'!$R$12+(BO96-'疲劳值&amp;地图信息'!$S$12-'疲劳值&amp;地图信息'!$S$11-'疲劳值&amp;地图信息'!$S$10)*'疲劳值&amp;地图信息'!$R$13)/BO96,('疲劳值&amp;地图信息'!$S$10*'疲劳值&amp;地图信息'!$R$10+'疲劳值&amp;地图信息'!$S$11*'疲劳值&amp;地图信息'!$R$11+'疲劳值&amp;地图信息'!$S$12*'疲劳值&amp;地图信息'!$R$12+(BO96-'疲劳值&amp;地图信息'!$S$12-'疲劳值&amp;地图信息'!$S$11-'疲劳值&amp;地图信息'!$S$10)*'疲劳值&amp;地图信息'!$R$13)/BO96)</f>
        <v>44.158136341605953</v>
      </c>
      <c r="BQ96" s="14">
        <f t="shared" si="209"/>
        <v>20</v>
      </c>
      <c r="BR96" s="14">
        <f>('疲劳值&amp;地图信息'!$S$10*'疲劳值&amp;地图信息'!$R$10+($BQ96-'疲劳值&amp;地图信息'!$S$10)*'疲劳值&amp;地图信息'!$R$11)/$BQ96</f>
        <v>32.067203015074995</v>
      </c>
      <c r="CF96" s="14">
        <v>91</v>
      </c>
      <c r="CG96" s="51">
        <f t="shared" si="116"/>
        <v>9020</v>
      </c>
      <c r="CH96" s="51">
        <f t="shared" si="117"/>
        <v>830</v>
      </c>
      <c r="CI96" s="51">
        <f>INT(SUMPRODUCT($N96:$R96,$BA96:$BE96)/SUM($BA96:$BE96)/10000*$BX$7*$BZ$34/'疲劳值&amp;地图信息'!$R$10*$BY$53)</f>
        <v>2931</v>
      </c>
      <c r="CJ96" s="50">
        <f t="shared" si="118"/>
        <v>0.70573507550269932</v>
      </c>
      <c r="CK96" s="50">
        <f t="shared" si="119"/>
        <v>6.49401455285189E-2</v>
      </c>
      <c r="CL96" s="50">
        <f t="shared" si="120"/>
        <v>0.22932477896878178</v>
      </c>
      <c r="CM96" s="14">
        <f t="shared" si="121"/>
        <v>9550</v>
      </c>
      <c r="CN96" s="14">
        <f t="shared" si="122"/>
        <v>1282</v>
      </c>
      <c r="CO96" s="14">
        <f>INT(SUMPRODUCT($U96:$Y96,$BA96:$BE96)/SUM($BA96:$BE96)/10000*$BX$7*$BZ$34/'疲劳值&amp;地图信息'!$R$10*$BY$54)</f>
        <v>5376</v>
      </c>
      <c r="CP96" s="50">
        <f t="shared" si="123"/>
        <v>0.58921520236920044</v>
      </c>
      <c r="CQ96" s="50">
        <f t="shared" si="124"/>
        <v>7.9096742349457058E-2</v>
      </c>
      <c r="CR96" s="50">
        <f t="shared" si="125"/>
        <v>0.33168805528134254</v>
      </c>
      <c r="CS96" s="14">
        <f t="shared" si="126"/>
        <v>10223</v>
      </c>
      <c r="CT96" s="14">
        <f t="shared" si="127"/>
        <v>2344</v>
      </c>
      <c r="CU96" s="14">
        <f>INT(SUMPRODUCT($AB96:$AF96,$BA96:$BE96)/SUM($BA96:$BE96)/10000*$BX$7*$BZ$34/'疲劳值&amp;地图信息'!$R$10*$BY$55)</f>
        <v>7316</v>
      </c>
      <c r="CV96" s="50">
        <f t="shared" si="128"/>
        <v>0.51415782326610671</v>
      </c>
      <c r="CW96" s="50">
        <f t="shared" si="129"/>
        <v>0.1178896544787004</v>
      </c>
      <c r="CX96" s="50">
        <f t="shared" si="130"/>
        <v>0.36795252225519287</v>
      </c>
      <c r="CY96" s="14">
        <f t="shared" si="131"/>
        <v>11609</v>
      </c>
      <c r="CZ96" s="14">
        <f t="shared" si="132"/>
        <v>5717</v>
      </c>
      <c r="DA96" s="14">
        <f>INT(SUMPRODUCT($AI96:$AM96,$BA96:$BE96)/SUM($BA96:$BE96)/10000*$BX$7*$BZ$34/'疲劳值&amp;地图信息'!$R$10*$BY$56)</f>
        <v>11028</v>
      </c>
      <c r="DB96" s="50">
        <f t="shared" si="133"/>
        <v>0.40943076814558793</v>
      </c>
      <c r="DC96" s="50">
        <f t="shared" si="134"/>
        <v>0.20162939973196023</v>
      </c>
      <c r="DD96" s="50">
        <f t="shared" si="135"/>
        <v>0.38893983212245187</v>
      </c>
      <c r="DE96" s="14">
        <f t="shared" si="136"/>
        <v>11433</v>
      </c>
      <c r="DF96" s="14">
        <f t="shared" si="137"/>
        <v>11723</v>
      </c>
      <c r="DG96" s="14">
        <f>INT(SUMPRODUCT($AP96:$AT96,$BA96:$BE96)/SUM($BA96:$BE96)/10000*$BX$7*$BZ$34/'疲劳值&amp;地图信息'!$R$10*$BY$57)</f>
        <v>14730</v>
      </c>
      <c r="DH96" s="50">
        <f t="shared" si="138"/>
        <v>0.30177374227947001</v>
      </c>
      <c r="DI96" s="50">
        <f t="shared" si="139"/>
        <v>0.3094282848545637</v>
      </c>
      <c r="DJ96" s="50">
        <f t="shared" si="140"/>
        <v>0.38879797286596635</v>
      </c>
      <c r="DL96" s="14">
        <f t="shared" si="211"/>
        <v>12781</v>
      </c>
      <c r="DM96" s="14">
        <f t="shared" si="212"/>
        <v>16208</v>
      </c>
      <c r="DN96" s="14">
        <f t="shared" si="213"/>
        <v>19883</v>
      </c>
      <c r="DO96" s="14">
        <f t="shared" si="214"/>
        <v>28354</v>
      </c>
      <c r="DP96" s="14">
        <f t="shared" si="215"/>
        <v>37886</v>
      </c>
      <c r="DQ96" s="14">
        <f t="shared" si="216"/>
        <v>889961</v>
      </c>
      <c r="DT96" s="14">
        <f t="shared" si="210"/>
        <v>235575</v>
      </c>
      <c r="DU96" s="50">
        <f t="shared" si="112"/>
        <v>0.20930028004435219</v>
      </c>
      <c r="DW96" s="14">
        <f t="shared" si="141"/>
        <v>1125536</v>
      </c>
      <c r="EB96" s="14">
        <v>91</v>
      </c>
      <c r="EC96" s="51">
        <f t="shared" si="142"/>
        <v>15034</v>
      </c>
      <c r="ED96" s="51">
        <f t="shared" si="143"/>
        <v>1384</v>
      </c>
      <c r="EE96" s="51">
        <f>INT(SUMPRODUCT($N96:$R96,$BF96:$BJ96)/SUM($BF96:$BJ96)/10000*$BX$7*$BZ$46/'疲劳值&amp;地图信息'!$R$10*$BY$53)</f>
        <v>393</v>
      </c>
      <c r="EF96" s="50">
        <f t="shared" si="144"/>
        <v>0.8942954018202367</v>
      </c>
      <c r="EG96" s="50">
        <f t="shared" si="145"/>
        <v>8.2327047766343461E-2</v>
      </c>
      <c r="EH96" s="50">
        <f t="shared" si="146"/>
        <v>2.3377550413419785E-2</v>
      </c>
      <c r="EI96" s="51">
        <f t="shared" si="147"/>
        <v>15917</v>
      </c>
      <c r="EJ96" s="51">
        <f t="shared" si="148"/>
        <v>2137</v>
      </c>
      <c r="EK96" s="14">
        <f>INT(SUMPRODUCT($U96:$Y96,$BF96:$BJ96)/SUM($BF96:$BJ96)/10000*$BX$7*$BZ$46/'疲劳值&amp;地图信息'!$R$10*$BY$54)</f>
        <v>721</v>
      </c>
      <c r="EL96" s="50">
        <f t="shared" si="149"/>
        <v>0.84777629826897472</v>
      </c>
      <c r="EM96" s="50">
        <f t="shared" si="150"/>
        <v>0.11382157123834886</v>
      </c>
      <c r="EN96" s="50">
        <f t="shared" si="151"/>
        <v>3.8402130492676434E-2</v>
      </c>
      <c r="EO96" s="51">
        <f t="shared" si="152"/>
        <v>17038</v>
      </c>
      <c r="EP96" s="51">
        <f t="shared" si="153"/>
        <v>3907</v>
      </c>
      <c r="EQ96" s="14">
        <f>INT(SUMPRODUCT($AB96:$AF96,$BF96:$BJ96)/SUM($BF96:$BJ96)/10000*$BX$7*$BZ$46/'疲劳值&amp;地图信息'!$R$10*$BY$55)</f>
        <v>980</v>
      </c>
      <c r="ER96" s="50">
        <f t="shared" si="154"/>
        <v>0.77710376282782212</v>
      </c>
      <c r="ES96" s="50">
        <f t="shared" si="155"/>
        <v>0.17819840364880274</v>
      </c>
      <c r="ET96" s="50">
        <f t="shared" si="156"/>
        <v>4.4697833523375141E-2</v>
      </c>
      <c r="EU96" s="51">
        <f t="shared" si="157"/>
        <v>19348</v>
      </c>
      <c r="EV96" s="51">
        <f t="shared" si="158"/>
        <v>9528</v>
      </c>
      <c r="EW96" s="14">
        <f>INT(SUMPRODUCT($AI96:$AM96,$BF96:$BJ96)/SUM($BF96:$BJ96)/10000*$BX$7*$BZ$46/'疲劳值&amp;地图信息'!$R$10*$BY$56)</f>
        <v>1471</v>
      </c>
      <c r="EX96" s="50">
        <f t="shared" si="159"/>
        <v>0.63755890203314991</v>
      </c>
      <c r="EY96" s="50">
        <f t="shared" si="160"/>
        <v>0.31396843180545031</v>
      </c>
      <c r="EZ96" s="50">
        <f t="shared" si="161"/>
        <v>4.8472666161399808E-2</v>
      </c>
      <c r="FA96" s="51">
        <f t="shared" si="162"/>
        <v>19056</v>
      </c>
      <c r="FB96" s="51">
        <f t="shared" si="163"/>
        <v>19539</v>
      </c>
      <c r="FC96" s="14">
        <f>INT(SUMPRODUCT($AP96:$AT96,$BF96:$BJ96)/SUM($BF96:$BJ96)/10000*$BX$7*$BZ$46/'疲劳值&amp;地图信息'!$R$10*$BY$57)</f>
        <v>1961</v>
      </c>
      <c r="FD96" s="50">
        <f t="shared" si="164"/>
        <v>0.46986882335536051</v>
      </c>
      <c r="FE96" s="50">
        <f t="shared" si="165"/>
        <v>0.48177828188184241</v>
      </c>
      <c r="FF96" s="50">
        <f t="shared" si="166"/>
        <v>4.8352894762797118E-2</v>
      </c>
      <c r="FH96" s="14">
        <f t="shared" si="167"/>
        <v>16811</v>
      </c>
      <c r="FI96" s="14">
        <f t="shared" si="168"/>
        <v>18775</v>
      </c>
      <c r="FJ96" s="14">
        <f t="shared" si="169"/>
        <v>21925</v>
      </c>
      <c r="FK96" s="14">
        <f t="shared" si="170"/>
        <v>30347</v>
      </c>
      <c r="FL96" s="14">
        <f t="shared" si="171"/>
        <v>40556</v>
      </c>
      <c r="FM96" s="14">
        <f t="shared" si="172"/>
        <v>1956219</v>
      </c>
      <c r="FP96" s="14">
        <f t="shared" si="173"/>
        <v>334150</v>
      </c>
      <c r="FQ96" s="50">
        <f t="shared" si="113"/>
        <v>0.1458935219608718</v>
      </c>
      <c r="FS96" s="14">
        <f t="shared" si="174"/>
        <v>2290369</v>
      </c>
      <c r="FX96" s="14">
        <v>91</v>
      </c>
      <c r="FY96" s="51">
        <f t="shared" si="175"/>
        <v>21048</v>
      </c>
      <c r="FZ96" s="51">
        <f t="shared" si="176"/>
        <v>1384</v>
      </c>
      <c r="GA96" s="51">
        <f>INT(SUMPRODUCT($N96:$R96,$BF96:$BJ96)/SUM($BF96:$BJ96)/10000*$BX$7*$BZ$46/'疲劳值&amp;地图信息'!$R$10*$BY$53)</f>
        <v>393</v>
      </c>
      <c r="GB96" s="50">
        <f t="shared" si="177"/>
        <v>0.9221467688937568</v>
      </c>
      <c r="GC96" s="50">
        <f t="shared" si="178"/>
        <v>6.0635268346111722E-2</v>
      </c>
      <c r="GD96" s="50">
        <f t="shared" si="179"/>
        <v>1.7217962760131433E-2</v>
      </c>
      <c r="GE96" s="51">
        <f t="shared" si="180"/>
        <v>22285</v>
      </c>
      <c r="GF96" s="51">
        <f t="shared" si="181"/>
        <v>2137</v>
      </c>
      <c r="GG96" s="14">
        <f>INT(SUMPRODUCT($U96:$Y96,$BF96:$BJ96)/SUM($BF96:$BJ96)/10000*$BX$7*$BZ$46/'疲劳值&amp;地图信息'!$R$10*$BY$54)</f>
        <v>721</v>
      </c>
      <c r="GH96" s="50">
        <f t="shared" si="182"/>
        <v>0.88633019130573121</v>
      </c>
      <c r="GI96" s="50">
        <f t="shared" si="183"/>
        <v>8.4993835262299644E-2</v>
      </c>
      <c r="GJ96" s="50">
        <f t="shared" si="184"/>
        <v>2.8675973431969138E-2</v>
      </c>
      <c r="GK96" s="51">
        <f t="shared" si="185"/>
        <v>23853</v>
      </c>
      <c r="GL96" s="51">
        <f t="shared" si="186"/>
        <v>3907</v>
      </c>
      <c r="GM96" s="14">
        <f>INT(SUMPRODUCT($AB96:$AF96,$BF96:$BJ96)/SUM($BF96:$BJ96)/10000*$BX$7*$BZ$46/'疲劳值&amp;地图信息'!$R$10*$BY$55)</f>
        <v>980</v>
      </c>
      <c r="GN96" s="50">
        <f t="shared" si="187"/>
        <v>0.82995824634655535</v>
      </c>
      <c r="GO96" s="50">
        <f t="shared" si="188"/>
        <v>0.13594293667362561</v>
      </c>
      <c r="GP96" s="50">
        <f t="shared" si="189"/>
        <v>3.409881697981907E-2</v>
      </c>
      <c r="GQ96" s="51">
        <f t="shared" si="190"/>
        <v>27088</v>
      </c>
      <c r="GR96" s="51">
        <f t="shared" si="191"/>
        <v>9528</v>
      </c>
      <c r="GS96" s="14">
        <f>INT(SUMPRODUCT($AI96:$AM96,$BF96:$BJ96)/SUM($BF96:$BJ96)/10000*$BX$7*$BZ$46/'疲劳值&amp;地图信息'!$R$10*$BY$56)</f>
        <v>1471</v>
      </c>
      <c r="GT96" s="50">
        <f t="shared" si="192"/>
        <v>0.71121379998424661</v>
      </c>
      <c r="GU96" s="50">
        <f t="shared" si="193"/>
        <v>0.25016409798618949</v>
      </c>
      <c r="GV96" s="50">
        <f t="shared" si="194"/>
        <v>3.8622102029563891E-2</v>
      </c>
      <c r="GW96" s="51">
        <f t="shared" si="195"/>
        <v>26679</v>
      </c>
      <c r="GX96" s="51">
        <f t="shared" si="196"/>
        <v>19539</v>
      </c>
      <c r="GY96" s="14">
        <f>INT(SUMPRODUCT($AP96:$AT96,$BF96:$BJ96)/SUM($BF96:$BJ96)/10000*$BX$7*$BZ$46/'疲劳值&amp;地图信息'!$R$10*$BY$57)</f>
        <v>1961</v>
      </c>
      <c r="GZ96" s="50">
        <f t="shared" si="197"/>
        <v>0.55374748334336532</v>
      </c>
      <c r="HA96" s="50">
        <f t="shared" si="198"/>
        <v>0.40555013595134809</v>
      </c>
      <c r="HB96" s="50">
        <f t="shared" si="199"/>
        <v>4.0702380705286534E-2</v>
      </c>
      <c r="HD96" s="14">
        <f t="shared" si="200"/>
        <v>22825</v>
      </c>
      <c r="HE96" s="14">
        <f t="shared" si="201"/>
        <v>25143</v>
      </c>
      <c r="HF96" s="14">
        <f t="shared" si="202"/>
        <v>28740</v>
      </c>
      <c r="HG96" s="14">
        <f t="shared" si="203"/>
        <v>38087</v>
      </c>
      <c r="HH96" s="14">
        <f t="shared" si="204"/>
        <v>48179</v>
      </c>
      <c r="HI96" s="14">
        <f t="shared" si="205"/>
        <v>2615171</v>
      </c>
      <c r="HL96" s="14">
        <f t="shared" si="206"/>
        <v>430050</v>
      </c>
      <c r="HM96" s="50">
        <f t="shared" si="114"/>
        <v>0.14122127753617883</v>
      </c>
      <c r="HO96" s="14">
        <f t="shared" si="207"/>
        <v>3045221</v>
      </c>
    </row>
    <row r="97" spans="11:223" x14ac:dyDescent="0.2">
      <c r="K97" s="14">
        <v>92</v>
      </c>
      <c r="L97" s="12">
        <f>求节点(节奏总纲!D$4:D$163,标准城池设计!AB$4:AB$163,$K97)*求节点(节奏总纲!D$4:D$163,攻城基础信息!$AC$5:$AC$164,$K97)</f>
        <v>444732.32490427291</v>
      </c>
      <c r="M97" s="12">
        <f>INDEX(其他调用!$AA$5:$AA$404,MATCH(K97,其他调用!$X$5:$X$404,0))*MIN(INDEX(其他调用!$AH$5:$AH$364,MATCH('征服点（新）'!K97,其他调用!$AG$5:$AG$364,0),1)/INDEX(其他调用!$AJ$5:$AJ$364,MATCH(K97,其他调用!$AG$5:$AG$364,0),0),5)*求节点(节奏总纲!D$4:D$163,攻城基础信息!$AC$5:$AC$164,$K97)</f>
        <v>40916.156894850166</v>
      </c>
      <c r="N97" s="12">
        <f>MIN(INDEX(其他调用!$AH$5:$AH$364,MATCH($K97,其他调用!$AG$5:$AG$364,0),1)/INDEX(其他调用!AH$5:AH$364,MATCH($K97,其他调用!$AG$5:$AG$364,0),0),1)*INDEX(其他调用!Y$5:Y$404,MATCH($K97,其他调用!$X$5:$X$404,0),0)</f>
        <v>35663.60042031444</v>
      </c>
      <c r="O97" s="12">
        <f>MIN(INDEX(其他调用!$AH$5:$AH$364,MATCH($K97,其他调用!$AG$5:$AG$364,0),1)/INDEX(其他调用!AI$5:AI$364,MATCH($K97,其他调用!$AG$5:$AG$364,0),0),1)*INDEX(其他调用!Z$5:Z$404,MATCH($K97,其他调用!$X$5:$X$404,0),0)</f>
        <v>23767.250843350001</v>
      </c>
      <c r="P97" s="12">
        <f>MIN(INDEX(其他调用!$AH$5:$AH$364,MATCH($K97,其他调用!$AG$5:$AG$364,0),1)/INDEX(其他调用!AJ$5:AJ$364,MATCH($K97,其他调用!$AG$5:$AG$364,0),0),1)*INDEX(其他调用!AA$5:AA$404,MATCH($K97,其他调用!$X$5:$X$404,0),0)</f>
        <v>13580.871608825288</v>
      </c>
      <c r="Q97" s="12">
        <f>MIN(INDEX(其他调用!$AH$5:$AH$364,MATCH($K97,其他调用!$AG$5:$AG$364,0),1)/INDEX(其他调用!AK$5:AK$364,MATCH($K97,其他调用!$AG$5:$AG$364,0),0),1)*INDEX(其他调用!AB$5:AB$404,MATCH($K97,其他调用!$X$5:$X$404,0),0)</f>
        <v>5869.9562107305273</v>
      </c>
      <c r="R97" s="12">
        <f>MIN(INDEX(其他调用!$AH$5:$AH$364,MATCH($K97,其他调用!$AG$5:$AG$364,0),1)/INDEX(其他调用!AL$5:AL$364,MATCH($K97,其他调用!$AG$5:$AG$364,0),0),1)*INDEX(其他调用!AC$5:AC$404,MATCH($K97,其他调用!$X$5:$X$404,0),0)</f>
        <v>1781.0313833535142</v>
      </c>
      <c r="S97" s="12">
        <f>求节点(节奏总纲!D$4:D$163,标准城池设计!AC$4:AC$163,$K97)*求节点(节奏总纲!D$4:D$163,攻城基础信息!$AD$5:$AD$164,$K97)</f>
        <v>471088.8717153066</v>
      </c>
      <c r="T97" s="12">
        <f>INDEX(其他调用!$AA$5:$AA$404,MATCH($K97,其他调用!$X$5:$X$404,0))*MIN(INDEX(其他调用!AI$5:AI$364,MATCH($K97,其他调用!$AG$5:$AG$364,0),1)/INDEX(其他调用!$AJ$5:$AJ$364,MATCH($K97,其他调用!$AG$5:$AG$364,0),0),5)*求节点(节奏总纲!D$4:D$163,攻城基础信息!$AD$5:$AD$164,$K97)</f>
        <v>63360.82934949208</v>
      </c>
      <c r="U97" s="12">
        <f>MIN(INDEX(其他调用!$AI$5:$AI$364,MATCH($K97,其他调用!$AG$5:$AG$364,0),1)/INDEX(其他调用!AH$5:AH$364,MATCH($K97,其他调用!$AG$5:$AG$364,0),0),1)*INDEX(其他调用!Y$5:Y$404,MATCH($K97,其他调用!$X$5:$X$404,0),0)</f>
        <v>35663.60042031444</v>
      </c>
      <c r="V97" s="12">
        <f>MIN(INDEX(其他调用!$AI$5:$AI$364,MATCH($K97,其他调用!$AG$5:$AG$364,0),1)/INDEX(其他调用!AI$5:AI$364,MATCH($K97,其他调用!$AG$5:$AG$364,0),0),1)*INDEX(其他调用!Z$5:Z$404,MATCH($K97,其他调用!$X$5:$X$404,0),0)</f>
        <v>36804.842856138574</v>
      </c>
      <c r="W97" s="12">
        <f>MIN(INDEX(其他调用!$AI$5:$AI$364,MATCH($K97,其他调用!$AG$5:$AG$364,0),1)/INDEX(其他调用!AJ$5:AJ$364,MATCH($K97,其他调用!$AG$5:$AG$364,0),0),1)*INDEX(其他调用!AA$5:AA$404,MATCH($K97,其他调用!$X$5:$X$404,0),0)</f>
        <v>21030.696764496119</v>
      </c>
      <c r="X97" s="12">
        <f>MIN(INDEX(其他调用!$AI$5:$AI$364,MATCH($K97,其他调用!$AG$5:$AG$364,0),1)/INDEX(其他调用!AK$5:AK$364,MATCH($K97,其他调用!$AG$5:$AG$364,0),0),1)*INDEX(其他调用!AB$5:AB$404,MATCH($K97,其他调用!$X$5:$X$404,0),0)</f>
        <v>9089.9371295523561</v>
      </c>
      <c r="Y97" s="12">
        <f>MIN(INDEX(其他调用!$AI$5:$AI$364,MATCH($K97,其他调用!$AG$5:$AG$364,0),1)/INDEX(其他调用!AL$5:AL$364,MATCH($K97,其他调用!$AG$5:$AG$364,0),0),1)*INDEX(其他调用!AC$5:AC$404,MATCH($K97,其他调用!$X$5:$X$404,0),0)</f>
        <v>2758.0211366565359</v>
      </c>
      <c r="Z97" s="12">
        <f>求节点(节奏总纲!D$4:D$163,标准城池设计!AD$4:AD$163,$K97)*求节点(节奏总纲!D$4:D$163,攻城基础信息!$AE$5:$AE$164,$K97)</f>
        <v>504609.07335549936</v>
      </c>
      <c r="AA97" s="12">
        <f>INDEX(其他调用!$AA$5:$AA$404,MATCH($K97,其他调用!$X$5:$X$404,0))*MIN(INDEX(其他调用!AJ$5:AJ$364,MATCH($K97,其他调用!$AG$5:$AG$364,0),1)/INDEX(其他调用!$AJ$5:$AJ$364,MATCH($K97,其他调用!$AG$5:$AG$364,0),0),5)*求节点(节奏总纲!D$4:D$163,攻城基础信息!$AE$5:$AE$164,$K97)</f>
        <v>115428.65683511821</v>
      </c>
      <c r="AB97" s="12">
        <f>MIN(INDEX(其他调用!$AJ$5:$AJ$364,MATCH($K97,其他调用!$AG$5:$AG$364,0),1)/INDEX(其他调用!AH$5:AH$364,MATCH($K97,其他调用!$AG$5:$AG$364,0),0),1)*INDEX(其他调用!Y$5:Y$404,MATCH($K97,其他调用!$X$5:$X$404,0),0)</f>
        <v>35663.60042031444</v>
      </c>
      <c r="AC97" s="12">
        <f>MIN(INDEX(其他调用!$AJ$5:$AJ$364,MATCH($K97,其他调用!$AG$5:$AG$364,0),1)/INDEX(其他调用!AI$5:AI$364,MATCH($K97,其他调用!$AG$5:$AG$364,0),0),1)*INDEX(其他调用!Z$5:Z$404,MATCH($K97,其他调用!$X$5:$X$404,0),0)</f>
        <v>36804.842856138574</v>
      </c>
      <c r="AD97" s="12">
        <f>MIN(INDEX(其他调用!$AJ$5:$AJ$364,MATCH($K97,其他调用!$AG$5:$AG$364,0),1)/INDEX(其他调用!AJ$5:AJ$364,MATCH($K97,其他调用!$AG$5:$AG$364,0),0),1)*INDEX(其他调用!AA$5:AA$404,MATCH($K97,其他调用!$X$5:$X$404,0),0)</f>
        <v>38313.025646213595</v>
      </c>
      <c r="AE97" s="12">
        <f>MIN(INDEX(其他调用!$AJ$5:$AJ$364,MATCH($K97,其他调用!$AG$5:$AG$364,0),1)/INDEX(其他调用!AK$5:AK$364,MATCH($K97,其他调用!$AG$5:$AG$364,0),0),1)*INDEX(其他调用!AB$5:AB$404,MATCH($K97,其他调用!$X$5:$X$404,0),0)</f>
        <v>16559.745892724954</v>
      </c>
      <c r="AF97" s="12">
        <f>MIN(INDEX(其他调用!$AJ$5:$AJ$364,MATCH($K97,其他调用!$AG$5:$AG$364,0),1)/INDEX(其他调用!AL$5:AL$364,MATCH($K97,其他调用!$AG$5:$AG$364,0),0),1)*INDEX(其他调用!AC$5:AC$404,MATCH($K97,其他调用!$X$5:$X$404,0),0)</f>
        <v>5024.4714060025472</v>
      </c>
      <c r="AG97" s="12">
        <f>求节点(节奏总纲!D$4:D$163,标准城池设计!AE$4:AE$163,$K97)*求节点(节奏总纲!D$4:D$163,攻城基础信息!$AF$5:$AF$164,$K97)</f>
        <v>572743.13665323041</v>
      </c>
      <c r="AH97" s="12">
        <f>INDEX(其他调用!$AA$5:$AA$404,MATCH($K97,其他调用!$X$5:$X$404,0))*MIN(INDEX(其他调用!AK$5:AK$364,MATCH($K97,其他调用!$AG$5:$AG$364,0),1)/INDEX(其他调用!$AJ$5:$AJ$364,MATCH($K97,其他调用!$AG$5:$AG$364,0),0),5)*求节点(节奏总纲!D$4:D$163,攻城基础信息!$AF$5:$AF$164,$K97)</f>
        <v>282265.25642950792</v>
      </c>
      <c r="AI97" s="12">
        <f>MIN(INDEX(其他调用!$AK$5:$AK$364,MATCH($K97,其他调用!$AG$5:$AG$364,0),1)/INDEX(其他调用!AH$5:AH$364,MATCH($K97,其他调用!$AG$5:$AG$364,0),0),1)*INDEX(其他调用!Y$5:Y$404,MATCH($K97,其他调用!$X$5:$X$404,0),0)</f>
        <v>35663.60042031444</v>
      </c>
      <c r="AJ97" s="12">
        <f>MIN(INDEX(其他调用!$AK$5:$AK$364,MATCH($K97,其他调用!$AG$5:$AG$364,0),1)/INDEX(其他调用!AI$5:AI$364,MATCH($K97,其他调用!$AG$5:$AG$364,0),0),1)*INDEX(其他调用!Z$5:Z$404,MATCH($K97,其他调用!$X$5:$X$404,0),0)</f>
        <v>36804.842856138574</v>
      </c>
      <c r="AK97" s="12">
        <f>MIN(INDEX(其他调用!$AK$5:$AK$364,MATCH($K97,其他调用!$AG$5:$AG$364,0),1)/INDEX(其他调用!AJ$5:AJ$364,MATCH($K97,其他调用!$AG$5:$AG$364,0),0),1)*INDEX(其他调用!AA$5:AA$404,MATCH($K97,其他调用!$X$5:$X$404,0),0)</f>
        <v>38313.025646213595</v>
      </c>
      <c r="AL97" s="12">
        <f>MIN(INDEX(其他调用!$AK$5:$AK$364,MATCH($K97,其他调用!$AG$5:$AG$364,0),1)/INDEX(其他调用!AK$5:AK$364,MATCH($K97,其他调用!$AG$5:$AG$364,0),0),1)*INDEX(其他调用!AB$5:AB$404,MATCH($K97,其他调用!$X$5:$X$404,0),0)</f>
        <v>40494.63148041589</v>
      </c>
      <c r="AM97" s="12">
        <f>MIN(INDEX(其他调用!$AK$5:$AK$364,MATCH($K97,其他调用!$AG$5:$AG$364,0),1)/INDEX(其他调用!AL$5:AL$364,MATCH($K97,其他调用!$AG$5:$AG$364,0),0),1)*INDEX(其他调用!AC$5:AC$404,MATCH($K97,其他调用!$X$5:$X$404,0),0)</f>
        <v>12286.669088282706</v>
      </c>
      <c r="AN97" s="12">
        <f>求节点(节奏总纲!D$4:D$163,标准城池设计!AF$4:AF$163,$K97)*求节点(节奏总纲!D$4:D$163,攻城基础信息!$AG$5:$AG$164,$K97)</f>
        <v>563954.07537991717</v>
      </c>
      <c r="AO97" s="12">
        <f>INDEX(其他调用!$AA$5:$AA$404,MATCH($K97,其他调用!$X$5:$X$404,0))*MIN(INDEX(其他调用!AL$5:AL$364,MATCH($K97,其他调用!$AG$5:$AG$364,0),1)/INDEX(其他调用!$AJ$5:$AJ$364,MATCH($K97,其他调用!$AG$5:$AG$364,0),0),5)*求节点(节奏总纲!D$4:D$163,攻城基础信息!$AG$5:$AG$164,$K97)</f>
        <v>577143.28417559096</v>
      </c>
      <c r="AP97" s="12">
        <f>MIN(INDEX(其他调用!$AL$5:$AL$364,MATCH($K97,其他调用!$AG$5:$AG$364,0),1)/INDEX(其他调用!AH$5:AH$364,MATCH($K97,其他调用!$AG$5:$AG$364,0),0),1)*INDEX(其他调用!Y$5:Y$404,MATCH($K97,其他调用!$X$5:$X$404,0),0)</f>
        <v>35663.60042031444</v>
      </c>
      <c r="AQ97" s="12">
        <f>MIN(INDEX(其他调用!$AL$5:$AL$364,MATCH($K97,其他调用!$AG$5:$AG$364,0),1)/INDEX(其他调用!AI$5:AI$364,MATCH($K97,其他调用!$AG$5:$AG$364,0),0),1)*INDEX(其他调用!Z$5:Z$404,MATCH($K97,其他调用!$X$5:$X$404,0),0)</f>
        <v>36804.842856138574</v>
      </c>
      <c r="AR97" s="12">
        <f>MIN(INDEX(其他调用!$AL$5:$AL$364,MATCH($K97,其他调用!$AG$5:$AG$364,0),1)/INDEX(其他调用!AJ$5:AJ$364,MATCH($K97,其他调用!$AG$5:$AG$364,0),0),1)*INDEX(其他调用!AA$5:AA$404,MATCH($K97,其他调用!$X$5:$X$404,0),0)</f>
        <v>38313.025646213595</v>
      </c>
      <c r="AS97" s="12">
        <f>MIN(INDEX(其他调用!$AL$5:$AL$364,MATCH($K97,其他调用!$AG$5:$AG$364,0),1)/INDEX(其他调用!AK$5:AK$364,MATCH($K97,其他调用!$AG$5:$AG$364,0),0),1)*INDEX(其他调用!AB$5:AB$404,MATCH($K97,其他调用!$X$5:$X$404,0),0)</f>
        <v>40494.63148041589</v>
      </c>
      <c r="AT97" s="12">
        <f>MIN(INDEX(其他调用!$AL$5:$AL$364,MATCH($K97,其他调用!$AG$5:$AG$364,0),1)/INDEX(其他调用!AL$5:AL$364,MATCH($K97,其他调用!$AG$5:$AG$364,0),0),1)*INDEX(其他调用!AC$5:AC$404,MATCH($K97,其他调用!$X$5:$X$404,0),0)</f>
        <v>44342.526885999672</v>
      </c>
      <c r="AV97" s="14">
        <f>IF(OR(AV$5="大R",AV$5="超R"),MAX(INDEX(其他调用!$H$5:$L$404,MATCH($K97,其他调用!$B$5:$B$404,0),MATCH(AV$5,其他调用!$H$4:$L$4,0))*120*0.85,2),INDEX(其他调用!$H$5:$L$404,MATCH($K97,其他调用!$B$5:$B$404,0),MATCH(AV$5,其他调用!$H$4:$L$4,0))*120*0.85)</f>
        <v>48.921801254999991</v>
      </c>
      <c r="AW97" s="14">
        <f>IF(OR(AW$5="大R",AW$5="超R"),MAX(INDEX(其他调用!$H$5:$L$404,MATCH($K97,其他调用!$B$5:$B$404,0),MATCH(AW$5,其他调用!$H$4:$L$4,0))*120*0.85,2),INDEX(其他调用!$H$5:$L$404,MATCH($K97,其他调用!$B$5:$B$404,0),MATCH(AW$5,其他调用!$H$4:$L$4,0))*120*0.85)</f>
        <v>48.237344010638395</v>
      </c>
      <c r="AX97" s="14">
        <f>IF(OR(AX$5="大R",AX$5="超R"),MAX(INDEX(其他调用!$H$5:$L$404,MATCH($K97,其他调用!$B$5:$B$404,0),MATCH(AX$5,其他调用!$H$4:$L$4,0))*120*0.85,2),INDEX(其他调用!$H$5:$L$404,MATCH($K97,其他调用!$B$5:$B$404,0),MATCH(AX$5,其他调用!$H$4:$L$4,0))*120*0.85)</f>
        <v>3.9376284143615998</v>
      </c>
      <c r="AY97" s="14">
        <f>IF(OR(AY$5="大R",AY$5="超R"),MAX(INDEX(其他调用!$H$5:$L$404,MATCH($K97,其他调用!$B$5:$B$404,0),MATCH(AY$5,其他调用!$H$4:$L$4,0))*120*0.85,2),INDEX(其他调用!$H$5:$L$404,MATCH($K97,其他调用!$B$5:$B$404,0),MATCH(AY$5,其他调用!$H$4:$L$4,0))*120*0.85)</f>
        <v>2</v>
      </c>
      <c r="AZ97" s="14">
        <f>IF(OR(AZ$5="大R",AZ$5="超R"),MAX(INDEX(其他调用!$H$5:$L$404,MATCH($K97,其他调用!$B$5:$B$404,0),MATCH(AZ$5,其他调用!$H$4:$L$4,0))*120*0.85,2),INDEX(其他调用!$H$5:$L$404,MATCH($K97,其他调用!$B$5:$B$404,0),MATCH(AZ$5,其他调用!$H$4:$L$4,0))*120*0.85)</f>
        <v>2</v>
      </c>
      <c r="BA97" s="14">
        <f>INDEX(其他调用!$H$5:$L$404,MATCH($K97,其他调用!$B$5:$B$404,0),MATCH(BA$5,其他调用!$H$4:$L$4,0))*INDEX(其他调用!$M$5:$M$404,MATCH($K97,其他调用!$B$5:$B$404,0))*0.6</f>
        <v>28.777530149999997</v>
      </c>
      <c r="BB97" s="14">
        <f>INDEX(其他调用!$H$5:$L$404,MATCH($K97,其他调用!$B$5:$B$404,0),MATCH(BB$5,其他调用!$H$4:$L$4,0))*INDEX(其他调用!$M$5:$M$404,MATCH($K97,其他调用!$B$5:$B$404,0))*0.6</f>
        <v>28.374908241551999</v>
      </c>
      <c r="BC97" s="14">
        <f>INDEX(其他调用!$H$5:$L$404,MATCH($K97,其他调用!$B$5:$B$404,0),MATCH(BC$5,其他调用!$H$4:$L$4,0))*INDEX(其他调用!$M$5:$M$404,MATCH($K97,其他调用!$B$5:$B$404,0))*0.6</f>
        <v>2.3162520084480001</v>
      </c>
      <c r="BD97" s="14">
        <f>INDEX(其他调用!$H$5:$L$404,MATCH($K97,其他调用!$B$5:$B$404,0),MATCH(BD$5,其他调用!$H$4:$L$4,0))*INDEX(其他调用!$M$5:$M$404,MATCH($K97,其他调用!$B$5:$B$404,0))*0.6</f>
        <v>0.4120776000000001</v>
      </c>
      <c r="BE97" s="14">
        <f>INDEX(其他调用!$H$5:$L$404,MATCH($K97,其他调用!$B$5:$B$404,0),MATCH(BE$5,其他调用!$H$4:$L$4,0))*INDEX(其他调用!$M$5:$M$404,MATCH($K97,其他调用!$B$5:$B$404,0))*0.6</f>
        <v>0.11923199999999998</v>
      </c>
      <c r="BF97" s="14">
        <f>IF(OR(BF$5="大R",BF$5="超R"),0,INDEX(其他调用!$H$5:$L$404,MATCH($K97,其他调用!$B$5:$B$404,0),MATCH(BF$5,其他调用!$H$4:$L$4,0))*50*0.4)</f>
        <v>9.5925100500000013</v>
      </c>
      <c r="BG97" s="14">
        <f>IF(OR(BG$5="大R",BG$5="超R"),0,INDEX(其他调用!$H$5:$L$404,MATCH($K97,其他调用!$B$5:$B$404,0),MATCH(BG$5,其他调用!$H$4:$L$4,0))*50*0.4)</f>
        <v>9.4583027471839998</v>
      </c>
      <c r="BH97" s="14">
        <f>IF(OR(BH$5="大R",BH$5="超R"),0,INDEX(其他调用!$H$5:$L$404,MATCH($K97,其他调用!$B$5:$B$404,0),MATCH(BH$5,其他调用!$H$4:$L$4,0))*50*0.4)</f>
        <v>0.77208400281600009</v>
      </c>
      <c r="BI97" s="14">
        <f>IF(OR(BI$5="大R",BI$5="超R"),0,INDEX(其他调用!$H$5:$L$404,MATCH($K97,其他调用!$B$5:$B$404,0),MATCH(BI$5,其他调用!$H$4:$L$4,0))*50*0.4)</f>
        <v>0</v>
      </c>
      <c r="BJ97" s="14">
        <f>IF(OR(BJ$5="大R",BJ$5="超R"),0,INDEX(其他调用!$H$5:$L$404,MATCH($K97,其他调用!$B$5:$B$404,0),MATCH(BJ$5,其他调用!$H$4:$L$4,0))*50*0.4)</f>
        <v>0</v>
      </c>
      <c r="BL97" s="14">
        <f t="shared" si="208"/>
        <v>92</v>
      </c>
      <c r="BM97" s="14">
        <f t="shared" si="115"/>
        <v>96</v>
      </c>
      <c r="BN97" s="14">
        <f>('疲劳值&amp;地图信息'!$S$10*'疲劳值&amp;地图信息'!$R$10+'疲劳值&amp;地图信息'!$S$11*'疲劳值&amp;地图信息'!$R$11+'疲劳值&amp;地图信息'!$S$12*'疲劳值&amp;地图信息'!$R$12+(BM97-'疲劳值&amp;地图信息'!$S$12-'疲劳值&amp;地图信息'!$S$11-'疲劳值&amp;地图信息'!$S$10)*'疲劳值&amp;地图信息'!$R$13)/BM97</f>
        <v>51.371477246638619</v>
      </c>
      <c r="BO97" s="14">
        <f>INDEX(其他调用!$M$5:$M$404,MATCH(BL97,其他调用!$B$5:$B$404,0))*0.6</f>
        <v>60</v>
      </c>
      <c r="BP97" s="14">
        <f>IF(BO97&gt;SUM('疲劳值&amp;地图信息'!$S$10:$S$12),('疲劳值&amp;地图信息'!$S$10*'疲劳值&amp;地图信息'!$R$10+'疲劳值&amp;地图信息'!$S$11*'疲劳值&amp;地图信息'!$R$11+'疲劳值&amp;地图信息'!$S$12*'疲劳值&amp;地图信息'!$R$12+(BO97-'疲劳值&amp;地图信息'!$S$12-'疲劳值&amp;地图信息'!$S$11-'疲劳值&amp;地图信息'!$S$10)*'疲劳值&amp;地图信息'!$R$13)/BO97,('疲劳值&amp;地图信息'!$S$10*'疲劳值&amp;地图信息'!$R$10+'疲劳值&amp;地图信息'!$S$11*'疲劳值&amp;地图信息'!$R$11+'疲劳值&amp;地图信息'!$S$12*'疲劳值&amp;地图信息'!$R$12+(BO97-'疲劳值&amp;地图信息'!$S$12-'疲劳值&amp;地图信息'!$S$11-'疲劳值&amp;地图信息'!$S$10)*'疲劳值&amp;地图信息'!$R$13)/BO97)</f>
        <v>44.158136341605953</v>
      </c>
      <c r="BQ97" s="14">
        <f t="shared" si="209"/>
        <v>20</v>
      </c>
      <c r="BR97" s="14">
        <f>('疲劳值&amp;地图信息'!$S$10*'疲劳值&amp;地图信息'!$R$10+($BQ97-'疲劳值&amp;地图信息'!$S$10)*'疲劳值&amp;地图信息'!$R$11)/$BQ97</f>
        <v>32.067203015074995</v>
      </c>
      <c r="CF97" s="14">
        <v>92</v>
      </c>
      <c r="CG97" s="51">
        <f t="shared" si="116"/>
        <v>9064</v>
      </c>
      <c r="CH97" s="51">
        <f t="shared" si="117"/>
        <v>833</v>
      </c>
      <c r="CI97" s="51">
        <f>INT(SUMPRODUCT($N97:$R97,$BA97:$BE97)/SUM($BA97:$BE97)/10000*$BX$7*$BZ$34/'疲劳值&amp;地图信息'!$R$10*$BY$53)</f>
        <v>2933</v>
      </c>
      <c r="CJ97" s="50">
        <f t="shared" si="118"/>
        <v>0.70646921278254093</v>
      </c>
      <c r="CK97" s="50">
        <f t="shared" si="119"/>
        <v>6.4925954793452839E-2</v>
      </c>
      <c r="CL97" s="50">
        <f t="shared" si="120"/>
        <v>0.22860483242400623</v>
      </c>
      <c r="CM97" s="14">
        <f t="shared" si="121"/>
        <v>9601</v>
      </c>
      <c r="CN97" s="14">
        <f t="shared" si="122"/>
        <v>1291</v>
      </c>
      <c r="CO97" s="14">
        <f>INT(SUMPRODUCT($U97:$Y97,$BA97:$BE97)/SUM($BA97:$BE97)/10000*$BX$7*$BZ$34/'疲劳值&amp;地图信息'!$R$10*$BY$54)</f>
        <v>5386</v>
      </c>
      <c r="CP97" s="50">
        <f t="shared" si="123"/>
        <v>0.58981447352254579</v>
      </c>
      <c r="CQ97" s="50">
        <f t="shared" si="124"/>
        <v>7.930949748126305E-2</v>
      </c>
      <c r="CR97" s="50">
        <f t="shared" si="125"/>
        <v>0.33087602899619117</v>
      </c>
      <c r="CS97" s="14">
        <f t="shared" si="126"/>
        <v>10284</v>
      </c>
      <c r="CT97" s="14">
        <f t="shared" si="127"/>
        <v>2352</v>
      </c>
      <c r="CU97" s="14">
        <f>INT(SUMPRODUCT($AB97:$AF97,$BA97:$BE97)/SUM($BA97:$BE97)/10000*$BX$7*$BZ$34/'疲劳值&amp;地图信息'!$R$10*$BY$55)</f>
        <v>7328</v>
      </c>
      <c r="CV97" s="50">
        <f t="shared" si="128"/>
        <v>0.51512722901222197</v>
      </c>
      <c r="CW97" s="50">
        <f t="shared" si="129"/>
        <v>0.11781206171107994</v>
      </c>
      <c r="CX97" s="50">
        <f t="shared" si="130"/>
        <v>0.36706070927669804</v>
      </c>
      <c r="CY97" s="14">
        <f t="shared" si="131"/>
        <v>11673</v>
      </c>
      <c r="CZ97" s="14">
        <f t="shared" si="132"/>
        <v>5752</v>
      </c>
      <c r="DA97" s="14">
        <f>INT(SUMPRODUCT($AI97:$AM97,$BA97:$BE97)/SUM($BA97:$BE97)/10000*$BX$7*$BZ$34/'疲劳值&amp;地图信息'!$R$10*$BY$56)</f>
        <v>11047</v>
      </c>
      <c r="DB97" s="50">
        <f t="shared" si="133"/>
        <v>0.40998173644282104</v>
      </c>
      <c r="DC97" s="50">
        <f t="shared" si="134"/>
        <v>0.20202304017982578</v>
      </c>
      <c r="DD97" s="50">
        <f t="shared" si="135"/>
        <v>0.3879952233773532</v>
      </c>
      <c r="DE97" s="14">
        <f t="shared" si="136"/>
        <v>11494</v>
      </c>
      <c r="DF97" s="14">
        <f t="shared" si="137"/>
        <v>11762</v>
      </c>
      <c r="DG97" s="14">
        <f>INT(SUMPRODUCT($AP97:$AT97,$BA97:$BE97)/SUM($BA97:$BE97)/10000*$BX$7*$BZ$34/'疲劳值&amp;地图信息'!$R$10*$BY$57)</f>
        <v>14755</v>
      </c>
      <c r="DH97" s="50">
        <f t="shared" si="138"/>
        <v>0.3023861513772329</v>
      </c>
      <c r="DI97" s="50">
        <f t="shared" si="139"/>
        <v>0.30943674199573806</v>
      </c>
      <c r="DJ97" s="50">
        <f t="shared" si="140"/>
        <v>0.38817710662702903</v>
      </c>
      <c r="DL97" s="14">
        <f t="shared" si="211"/>
        <v>12830</v>
      </c>
      <c r="DM97" s="14">
        <f t="shared" si="212"/>
        <v>16278</v>
      </c>
      <c r="DN97" s="14">
        <f t="shared" si="213"/>
        <v>19964</v>
      </c>
      <c r="DO97" s="14">
        <f t="shared" si="214"/>
        <v>28472</v>
      </c>
      <c r="DP97" s="14">
        <f t="shared" si="215"/>
        <v>38011</v>
      </c>
      <c r="DQ97" s="14">
        <f t="shared" si="216"/>
        <v>893608</v>
      </c>
      <c r="DT97" s="14">
        <f t="shared" si="210"/>
        <v>235575</v>
      </c>
      <c r="DU97" s="50">
        <f t="shared" si="112"/>
        <v>0.20862428853427656</v>
      </c>
      <c r="DW97" s="14">
        <f t="shared" si="141"/>
        <v>1129183</v>
      </c>
      <c r="EB97" s="14">
        <v>92</v>
      </c>
      <c r="EC97" s="51">
        <f t="shared" si="142"/>
        <v>15107</v>
      </c>
      <c r="ED97" s="51">
        <f t="shared" si="143"/>
        <v>1389</v>
      </c>
      <c r="EE97" s="51">
        <f>INT(SUMPRODUCT($N97:$R97,$BF97:$BJ97)/SUM($BF97:$BJ97)/10000*$BX$7*$BZ$46/'疲劳值&amp;地图信息'!$R$10*$BY$53)</f>
        <v>394</v>
      </c>
      <c r="EF97" s="50">
        <f t="shared" si="144"/>
        <v>0.8944345766725873</v>
      </c>
      <c r="EG97" s="50">
        <f t="shared" si="145"/>
        <v>8.2238010657193605E-2</v>
      </c>
      <c r="EH97" s="50">
        <f t="shared" si="146"/>
        <v>2.3327412670219063E-2</v>
      </c>
      <c r="EI97" s="51">
        <f t="shared" si="147"/>
        <v>16002</v>
      </c>
      <c r="EJ97" s="51">
        <f t="shared" si="148"/>
        <v>2152</v>
      </c>
      <c r="EK97" s="14">
        <f>INT(SUMPRODUCT($U97:$Y97,$BF97:$BJ97)/SUM($BF97:$BJ97)/10000*$BX$7*$BZ$46/'疲劳值&amp;地图信息'!$R$10*$BY$54)</f>
        <v>723</v>
      </c>
      <c r="EL97" s="50">
        <f t="shared" si="149"/>
        <v>0.84769825713831648</v>
      </c>
      <c r="EM97" s="50">
        <f t="shared" si="150"/>
        <v>0.11400116543942364</v>
      </c>
      <c r="EN97" s="50">
        <f t="shared" si="151"/>
        <v>3.8300577422259896E-2</v>
      </c>
      <c r="EO97" s="51">
        <f t="shared" si="152"/>
        <v>17140</v>
      </c>
      <c r="EP97" s="51">
        <f t="shared" si="153"/>
        <v>3920</v>
      </c>
      <c r="EQ97" s="14">
        <f>INT(SUMPRODUCT($AB97:$AF97,$BF97:$BJ97)/SUM($BF97:$BJ97)/10000*$BX$7*$BZ$46/'疲劳值&amp;地图信息'!$R$10*$BY$55)</f>
        <v>982</v>
      </c>
      <c r="ER97" s="50">
        <f t="shared" si="154"/>
        <v>0.77760638780509939</v>
      </c>
      <c r="ES97" s="50">
        <f t="shared" si="155"/>
        <v>0.17784230106160964</v>
      </c>
      <c r="ET97" s="50">
        <f t="shared" si="156"/>
        <v>4.4551311133290993E-2</v>
      </c>
      <c r="EU97" s="51">
        <f t="shared" si="157"/>
        <v>19455</v>
      </c>
      <c r="EV97" s="51">
        <f t="shared" si="158"/>
        <v>9588</v>
      </c>
      <c r="EW97" s="14">
        <f>INT(SUMPRODUCT($AI97:$AM97,$BF97:$BJ97)/SUM($BF97:$BJ97)/10000*$BX$7*$BZ$46/'疲劳值&amp;地图信息'!$R$10*$BY$56)</f>
        <v>1473</v>
      </c>
      <c r="EX97" s="50">
        <f t="shared" si="159"/>
        <v>0.63753440817931573</v>
      </c>
      <c r="EY97" s="50">
        <f t="shared" si="160"/>
        <v>0.3141958316948486</v>
      </c>
      <c r="EZ97" s="50">
        <f t="shared" si="161"/>
        <v>4.8269760125835628E-2</v>
      </c>
      <c r="FA97" s="51">
        <f t="shared" si="162"/>
        <v>19156</v>
      </c>
      <c r="FB97" s="51">
        <f t="shared" si="163"/>
        <v>19604</v>
      </c>
      <c r="FC97" s="14">
        <f>INT(SUMPRODUCT($AP97:$AT97,$BF97:$BJ97)/SUM($BF97:$BJ97)/10000*$BX$7*$BZ$46/'疲劳值&amp;地图信息'!$R$10*$BY$57)</f>
        <v>1965</v>
      </c>
      <c r="FD97" s="50">
        <f t="shared" si="164"/>
        <v>0.47037446286065071</v>
      </c>
      <c r="FE97" s="50">
        <f t="shared" si="165"/>
        <v>0.48137507673419277</v>
      </c>
      <c r="FF97" s="50">
        <f t="shared" si="166"/>
        <v>4.8250460405156535E-2</v>
      </c>
      <c r="FH97" s="14">
        <f t="shared" si="167"/>
        <v>16890</v>
      </c>
      <c r="FI97" s="14">
        <f t="shared" si="168"/>
        <v>18877</v>
      </c>
      <c r="FJ97" s="14">
        <f t="shared" si="169"/>
        <v>22042</v>
      </c>
      <c r="FK97" s="14">
        <f t="shared" si="170"/>
        <v>30516</v>
      </c>
      <c r="FL97" s="14">
        <f t="shared" si="171"/>
        <v>40725</v>
      </c>
      <c r="FM97" s="14">
        <f t="shared" si="172"/>
        <v>1966140</v>
      </c>
      <c r="FP97" s="14">
        <f t="shared" si="173"/>
        <v>334150</v>
      </c>
      <c r="FQ97" s="50">
        <f t="shared" si="113"/>
        <v>0.14526429276308639</v>
      </c>
      <c r="FS97" s="14">
        <f t="shared" si="174"/>
        <v>2300290</v>
      </c>
      <c r="FX97" s="14">
        <v>92</v>
      </c>
      <c r="FY97" s="51">
        <f t="shared" si="175"/>
        <v>21149</v>
      </c>
      <c r="FZ97" s="51">
        <f t="shared" si="176"/>
        <v>1389</v>
      </c>
      <c r="GA97" s="51">
        <f>INT(SUMPRODUCT($N97:$R97,$BF97:$BJ97)/SUM($BF97:$BJ97)/10000*$BX$7*$BZ$46/'疲劳值&amp;地图信息'!$R$10*$BY$53)</f>
        <v>394</v>
      </c>
      <c r="GB97" s="50">
        <f t="shared" si="177"/>
        <v>0.92224838653410079</v>
      </c>
      <c r="GC97" s="50">
        <f t="shared" si="178"/>
        <v>6.0570381998953426E-2</v>
      </c>
      <c r="GD97" s="50">
        <f t="shared" si="179"/>
        <v>1.7181231466945751E-2</v>
      </c>
      <c r="GE97" s="51">
        <f t="shared" si="180"/>
        <v>22403</v>
      </c>
      <c r="GF97" s="51">
        <f t="shared" si="181"/>
        <v>2152</v>
      </c>
      <c r="GG97" s="14">
        <f>INT(SUMPRODUCT($U97:$Y97,$BF97:$BJ97)/SUM($BF97:$BJ97)/10000*$BX$7*$BZ$46/'疲劳值&amp;地图信息'!$R$10*$BY$54)</f>
        <v>723</v>
      </c>
      <c r="GH97" s="50">
        <f t="shared" si="182"/>
        <v>0.88626473613418788</v>
      </c>
      <c r="GI97" s="50">
        <f t="shared" si="183"/>
        <v>8.5133317509296619E-2</v>
      </c>
      <c r="GJ97" s="50">
        <f t="shared" si="184"/>
        <v>2.8601946356515546E-2</v>
      </c>
      <c r="GK97" s="51">
        <f t="shared" si="185"/>
        <v>23997</v>
      </c>
      <c r="GL97" s="51">
        <f t="shared" si="186"/>
        <v>3920</v>
      </c>
      <c r="GM97" s="14">
        <f>INT(SUMPRODUCT($AB97:$AF97,$BF97:$BJ97)/SUM($BF97:$BJ97)/10000*$BX$7*$BZ$46/'疲劳值&amp;地图信息'!$R$10*$BY$55)</f>
        <v>982</v>
      </c>
      <c r="GN97" s="50">
        <f t="shared" si="187"/>
        <v>0.83037475345167655</v>
      </c>
      <c r="GO97" s="50">
        <f t="shared" si="188"/>
        <v>0.1356448320011073</v>
      </c>
      <c r="GP97" s="50">
        <f t="shared" si="189"/>
        <v>3.3980414547216169E-2</v>
      </c>
      <c r="GQ97" s="51">
        <f t="shared" si="190"/>
        <v>27237</v>
      </c>
      <c r="GR97" s="51">
        <f t="shared" si="191"/>
        <v>9588</v>
      </c>
      <c r="GS97" s="14">
        <f>INT(SUMPRODUCT($AI97:$AM97,$BF97:$BJ97)/SUM($BF97:$BJ97)/10000*$BX$7*$BZ$46/'疲劳值&amp;地图信息'!$R$10*$BY$56)</f>
        <v>1473</v>
      </c>
      <c r="GT97" s="50">
        <f t="shared" si="192"/>
        <v>0.71118596271345758</v>
      </c>
      <c r="GU97" s="50">
        <f t="shared" si="193"/>
        <v>0.25035249882500393</v>
      </c>
      <c r="GV97" s="50">
        <f t="shared" si="194"/>
        <v>3.8461538461538464E-2</v>
      </c>
      <c r="GW97" s="51">
        <f t="shared" si="195"/>
        <v>26819</v>
      </c>
      <c r="GX97" s="51">
        <f t="shared" si="196"/>
        <v>19604</v>
      </c>
      <c r="GY97" s="14">
        <f>INT(SUMPRODUCT($AP97:$AT97,$BF97:$BJ97)/SUM($BF97:$BJ97)/10000*$BX$7*$BZ$46/'疲劳值&amp;地图信息'!$R$10*$BY$57)</f>
        <v>1965</v>
      </c>
      <c r="GZ97" s="50">
        <f t="shared" si="197"/>
        <v>0.55424898735223604</v>
      </c>
      <c r="HA97" s="50">
        <f t="shared" si="198"/>
        <v>0.40514177068694718</v>
      </c>
      <c r="HB97" s="50">
        <f t="shared" si="199"/>
        <v>4.0609241960816729E-2</v>
      </c>
      <c r="HD97" s="14">
        <f t="shared" si="200"/>
        <v>22932</v>
      </c>
      <c r="HE97" s="14">
        <f t="shared" si="201"/>
        <v>25278</v>
      </c>
      <c r="HF97" s="14">
        <f t="shared" si="202"/>
        <v>28899</v>
      </c>
      <c r="HG97" s="14">
        <f t="shared" si="203"/>
        <v>38298</v>
      </c>
      <c r="HH97" s="14">
        <f t="shared" si="204"/>
        <v>48388</v>
      </c>
      <c r="HI97" s="14">
        <f t="shared" si="205"/>
        <v>2628383</v>
      </c>
      <c r="HL97" s="14">
        <f t="shared" si="206"/>
        <v>430050</v>
      </c>
      <c r="HM97" s="50">
        <f t="shared" si="114"/>
        <v>0.14061122149806779</v>
      </c>
      <c r="HO97" s="14">
        <f t="shared" si="207"/>
        <v>3058433</v>
      </c>
    </row>
    <row r="98" spans="11:223" x14ac:dyDescent="0.2">
      <c r="K98" s="14">
        <v>93</v>
      </c>
      <c r="L98" s="12">
        <f>求节点(节奏总纲!D$4:D$163,标准城池设计!AB$4:AB$163,$K98)*求节点(节奏总纲!D$4:D$163,攻城基础信息!$AC$5:$AC$164,$K98)</f>
        <v>446876.34795017604</v>
      </c>
      <c r="M98" s="12">
        <f>INDEX(其他调用!$AA$5:$AA$404,MATCH(K98,其他调用!$X$5:$X$404,0))*MIN(INDEX(其他调用!$AH$5:$AH$364,MATCH('征服点（新）'!K98,其他调用!$AG$5:$AG$364,0),1)/INDEX(其他调用!$AJ$5:$AJ$364,MATCH(K98,其他调用!$AG$5:$AG$364,0),0),5)*求节点(节奏总纲!D$4:D$163,攻城基础信息!$AC$5:$AC$164,$K98)</f>
        <v>41076.220861958733</v>
      </c>
      <c r="N98" s="12">
        <f>MIN(INDEX(其他调用!$AH$5:$AH$364,MATCH($K98,其他调用!$AG$5:$AG$364,0),1)/INDEX(其他调用!AH$5:AH$364,MATCH($K98,其他调用!$AG$5:$AG$364,0),0),1)*INDEX(其他调用!Y$5:Y$404,MATCH($K98,其他调用!$X$5:$X$404,0),0)</f>
        <v>35725.634503698857</v>
      </c>
      <c r="O98" s="12">
        <f>MIN(INDEX(其他调用!$AH$5:$AH$364,MATCH($K98,其他调用!$AG$5:$AG$364,0),1)/INDEX(其他调用!AI$5:AI$364,MATCH($K98,其他调用!$AG$5:$AG$364,0),0),1)*INDEX(其他调用!Z$5:Z$404,MATCH($K98,其他调用!$X$5:$X$404,0),0)</f>
        <v>23743.43568580885</v>
      </c>
      <c r="P98" s="12">
        <f>MIN(INDEX(其他调用!$AH$5:$AH$364,MATCH($K98,其他调用!$AG$5:$AG$364,0),1)/INDEX(其他调用!AJ$5:AJ$364,MATCH($K98,其他调用!$AG$5:$AG$364,0),0),1)*INDEX(其他调用!AA$5:AA$404,MATCH($K98,其他调用!$X$5:$X$404,0),0)</f>
        <v>13610.818711334856</v>
      </c>
      <c r="Q98" s="12">
        <f>MIN(INDEX(其他调用!$AH$5:$AH$364,MATCH($K98,其他调用!$AG$5:$AG$364,0),1)/INDEX(其他调用!AK$5:AK$364,MATCH($K98,其他调用!$AG$5:$AG$364,0),0),1)*INDEX(其他调用!AB$5:AB$404,MATCH($K98,其他调用!$X$5:$X$404,0),0)</f>
        <v>5866.203354272433</v>
      </c>
      <c r="R98" s="12">
        <f>MIN(INDEX(其他调用!$AH$5:$AH$364,MATCH($K98,其他调用!$AG$5:$AG$364,0),1)/INDEX(其他调用!AL$5:AL$364,MATCH($K98,其他调用!$AG$5:$AG$364,0),0),1)*INDEX(其他调用!AC$5:AC$404,MATCH($K98,其他调用!$X$5:$X$404,0),0)</f>
        <v>1781.5248982483881</v>
      </c>
      <c r="S98" s="12">
        <f>求节点(节奏总纲!D$4:D$163,标准城池设计!AC$4:AC$163,$K98)*求节点(节奏总纲!D$4:D$163,攻城基础信息!$AD$5:$AD$164,$K98)</f>
        <v>473581.21214485599</v>
      </c>
      <c r="T98" s="12">
        <f>INDEX(其他调用!$AA$5:$AA$404,MATCH($K98,其他调用!$X$5:$X$404,0))*MIN(INDEX(其他调用!AI$5:AI$364,MATCH($K98,其他调用!$AG$5:$AG$364,0),1)/INDEX(其他调用!$AJ$5:$AJ$364,MATCH($K98,其他调用!$AG$5:$AG$364,0),0),5)*求节点(节奏总纲!D$4:D$163,攻城基础信息!$AD$5:$AD$164,$K98)</f>
        <v>63780.187785603135</v>
      </c>
      <c r="U98" s="12">
        <f>MIN(INDEX(其他调用!$AI$5:$AI$364,MATCH($K98,其他调用!$AG$5:$AG$364,0),1)/INDEX(其他调用!AH$5:AH$364,MATCH($K98,其他调用!$AG$5:$AG$364,0),0),1)*INDEX(其他调用!Y$5:Y$404,MATCH($K98,其他调用!$X$5:$X$404,0),0)</f>
        <v>35725.634503698857</v>
      </c>
      <c r="V98" s="12">
        <f>MIN(INDEX(其他调用!$AI$5:$AI$364,MATCH($K98,其他调用!$AG$5:$AG$364,0),1)/INDEX(其他调用!AI$5:AI$364,MATCH($K98,其他调用!$AG$5:$AG$364,0),0),1)*INDEX(其他调用!Z$5:Z$404,MATCH($K98,其他调用!$X$5:$X$404,0),0)</f>
        <v>36867.091347216665</v>
      </c>
      <c r="W98" s="12">
        <f>MIN(INDEX(其他调用!$AI$5:$AI$364,MATCH($K98,其他调用!$AG$5:$AG$364,0),1)/INDEX(其他调用!AJ$5:AJ$364,MATCH($K98,其他调用!$AG$5:$AG$364,0),0),1)*INDEX(其他调用!AA$5:AA$404,MATCH($K98,其他调用!$X$5:$X$404,0),0)</f>
        <v>21133.895843098315</v>
      </c>
      <c r="X98" s="12">
        <f>MIN(INDEX(其他调用!$AI$5:$AI$364,MATCH($K98,其他调用!$AG$5:$AG$364,0),1)/INDEX(其他调用!AK$5:AK$364,MATCH($K98,其他调用!$AG$5:$AG$364,0),0),1)*INDEX(其他调用!AB$5:AB$404,MATCH($K98,其他调用!$X$5:$X$404,0),0)</f>
        <v>9108.6167050614458</v>
      </c>
      <c r="Y98" s="12">
        <f>MIN(INDEX(其他调用!$AI$5:$AI$364,MATCH($K98,其他调用!$AG$5:$AG$364,0),1)/INDEX(其他调用!AL$5:AL$364,MATCH($K98,其他调用!$AG$5:$AG$364,0),0),1)*INDEX(其他调用!AC$5:AC$404,MATCH($K98,其他调用!$X$5:$X$404,0),0)</f>
        <v>2766.2231376363143</v>
      </c>
      <c r="Z98" s="12">
        <f>求节点(节奏总纲!D$4:D$163,标准城池设计!AD$4:AD$163,$K98)*求节点(节奏总纲!D$4:D$163,攻城基础信息!$AE$5:$AE$164,$K98)</f>
        <v>507631.1854374212</v>
      </c>
      <c r="AA98" s="12">
        <f>INDEX(其他调用!$AA$5:$AA$404,MATCH($K98,其他调用!$X$5:$X$404,0))*MIN(INDEX(其他调用!AJ$5:AJ$364,MATCH($K98,其他调用!$AG$5:$AG$364,0),1)/INDEX(其他调用!$AJ$5:$AJ$364,MATCH($K98,其他调用!$AG$5:$AG$364,0),0),5)*求节点(节奏总纲!D$4:D$163,攻城基础信息!$AE$5:$AE$164,$K98)</f>
        <v>115811.7585964585</v>
      </c>
      <c r="AB98" s="12">
        <f>MIN(INDEX(其他调用!$AJ$5:$AJ$364,MATCH($K98,其他调用!$AG$5:$AG$364,0),1)/INDEX(其他调用!AH$5:AH$364,MATCH($K98,其他调用!$AG$5:$AG$364,0),0),1)*INDEX(其他调用!Y$5:Y$404,MATCH($K98,其他调用!$X$5:$X$404,0),0)</f>
        <v>35725.634503698857</v>
      </c>
      <c r="AC98" s="12">
        <f>MIN(INDEX(其他调用!$AJ$5:$AJ$364,MATCH($K98,其他调用!$AG$5:$AG$364,0),1)/INDEX(其他调用!AI$5:AI$364,MATCH($K98,其他调用!$AG$5:$AG$364,0),0),1)*INDEX(其他调用!Z$5:Z$404,MATCH($K98,其他调用!$X$5:$X$404,0),0)</f>
        <v>36867.091347216665</v>
      </c>
      <c r="AD98" s="12">
        <f>MIN(INDEX(其他调用!$AJ$5:$AJ$364,MATCH($K98,其他调用!$AG$5:$AG$364,0),1)/INDEX(其他调用!AJ$5:AJ$364,MATCH($K98,其他调用!$AG$5:$AG$364,0),0),1)*INDEX(其他调用!AA$5:AA$404,MATCH($K98,其他调用!$X$5:$X$404,0),0)</f>
        <v>38374.826549759346</v>
      </c>
      <c r="AE98" s="12">
        <f>MIN(INDEX(其他调用!$AJ$5:$AJ$364,MATCH($K98,其他调用!$AG$5:$AG$364,0),1)/INDEX(其他调用!AK$5:AK$364,MATCH($K98,其他调用!$AG$5:$AG$364,0),0),1)*INDEX(其他调用!AB$5:AB$404,MATCH($K98,其他调用!$X$5:$X$404,0),0)</f>
        <v>16539.382457452728</v>
      </c>
      <c r="AF98" s="12">
        <f>MIN(INDEX(其他调用!$AJ$5:$AJ$364,MATCH($K98,其他调用!$AG$5:$AG$364,0),1)/INDEX(其他调用!AL$5:AL$364,MATCH($K98,其他调用!$AG$5:$AG$364,0),0),1)*INDEX(其他调用!AC$5:AC$404,MATCH($K98,其他调用!$X$5:$X$404,0),0)</f>
        <v>5022.894685051222</v>
      </c>
      <c r="AG98" s="12">
        <f>求节点(节奏总纲!D$4:D$163,标准城池设计!AE$4:AE$163,$K98)*求节点(节奏总纲!D$4:D$163,攻城基础信息!$AF$5:$AF$164,$K98)</f>
        <v>575894.06559396605</v>
      </c>
      <c r="AH98" s="12">
        <f>INDEX(其他调用!$AA$5:$AA$404,MATCH($K98,其他调用!$X$5:$X$404,0))*MIN(INDEX(其他调用!AK$5:AK$364,MATCH($K98,其他调用!$AG$5:$AG$364,0),1)/INDEX(其他调用!$AJ$5:$AJ$364,MATCH($K98,其他调用!$AG$5:$AG$364,0),0),5)*求节点(节奏总纲!D$4:D$163,攻城基础信息!$AF$5:$AF$164,$K98)</f>
        <v>283997.85937008657</v>
      </c>
      <c r="AI98" s="12">
        <f>MIN(INDEX(其他调用!$AK$5:$AK$364,MATCH($K98,其他调用!$AG$5:$AG$364,0),1)/INDEX(其他调用!AH$5:AH$364,MATCH($K98,其他调用!$AG$5:$AG$364,0),0),1)*INDEX(其他调用!Y$5:Y$404,MATCH($K98,其他调用!$X$5:$X$404,0),0)</f>
        <v>35725.634503698857</v>
      </c>
      <c r="AJ98" s="12">
        <f>MIN(INDEX(其他调用!$AK$5:$AK$364,MATCH($K98,其他调用!$AG$5:$AG$364,0),1)/INDEX(其他调用!AI$5:AI$364,MATCH($K98,其他调用!$AG$5:$AG$364,0),0),1)*INDEX(其他调用!Z$5:Z$404,MATCH($K98,其他调用!$X$5:$X$404,0),0)</f>
        <v>36867.091347216665</v>
      </c>
      <c r="AK98" s="12">
        <f>MIN(INDEX(其他调用!$AK$5:$AK$364,MATCH($K98,其他调用!$AG$5:$AG$364,0),1)/INDEX(其他调用!AJ$5:AJ$364,MATCH($K98,其他调用!$AG$5:$AG$364,0),0),1)*INDEX(其他调用!AA$5:AA$404,MATCH($K98,其他调用!$X$5:$X$404,0),0)</f>
        <v>38374.826549759346</v>
      </c>
      <c r="AL98" s="12">
        <f>MIN(INDEX(其他调用!$AK$5:$AK$364,MATCH($K98,其他调用!$AG$5:$AG$364,0),1)/INDEX(其他调用!AK$5:AK$364,MATCH($K98,其他调用!$AG$5:$AG$364,0),0),1)*INDEX(其他调用!AB$5:AB$404,MATCH($K98,其他调用!$X$5:$X$404,0),0)</f>
        <v>40558.482749465606</v>
      </c>
      <c r="AM98" s="12">
        <f>MIN(INDEX(其他调用!$AK$5:$AK$364,MATCH($K98,其他调用!$AG$5:$AG$364,0),1)/INDEX(其他调用!AL$5:AL$364,MATCH($K98,其他调用!$AG$5:$AG$364,0),0),1)*INDEX(其他调用!AC$5:AC$404,MATCH($K98,其他调用!$X$5:$X$404,0),0)</f>
        <v>12317.327322232321</v>
      </c>
      <c r="AN98" s="12">
        <f>求节点(节奏总纲!D$4:D$163,标准城池设计!AF$4:AF$163,$K98)*求节点(节奏总纲!D$4:D$163,攻城基础信息!$AG$5:$AG$164,$K98)</f>
        <v>566913.51011480542</v>
      </c>
      <c r="AO98" s="12">
        <f>INDEX(其他调用!$AA$5:$AA$404,MATCH($K98,其他调用!$X$5:$X$404,0))*MIN(INDEX(其他调用!AL$5:AL$364,MATCH($K98,其他调用!$AG$5:$AG$364,0),1)/INDEX(其他调用!$AJ$5:$AJ$364,MATCH($K98,其他调用!$AG$5:$AG$364,0),0),5)*求节点(节奏总纲!D$4:D$163,攻城基础信息!$AG$5:$AG$164,$K98)</f>
        <v>579058.79298229248</v>
      </c>
      <c r="AP98" s="12">
        <f>MIN(INDEX(其他调用!$AL$5:$AL$364,MATCH($K98,其他调用!$AG$5:$AG$364,0),1)/INDEX(其他调用!AH$5:AH$364,MATCH($K98,其他调用!$AG$5:$AG$364,0),0),1)*INDEX(其他调用!Y$5:Y$404,MATCH($K98,其他调用!$X$5:$X$404,0),0)</f>
        <v>35725.634503698857</v>
      </c>
      <c r="AQ98" s="12">
        <f>MIN(INDEX(其他调用!$AL$5:$AL$364,MATCH($K98,其他调用!$AG$5:$AG$364,0),1)/INDEX(其他调用!AI$5:AI$364,MATCH($K98,其他调用!$AG$5:$AG$364,0),0),1)*INDEX(其他调用!Z$5:Z$404,MATCH($K98,其他调用!$X$5:$X$404,0),0)</f>
        <v>36867.091347216665</v>
      </c>
      <c r="AR98" s="12">
        <f>MIN(INDEX(其他调用!$AL$5:$AL$364,MATCH($K98,其他调用!$AG$5:$AG$364,0),1)/INDEX(其他调用!AJ$5:AJ$364,MATCH($K98,其他调用!$AG$5:$AG$364,0),0),1)*INDEX(其他调用!AA$5:AA$404,MATCH($K98,其他调用!$X$5:$X$404,0),0)</f>
        <v>38374.826549759346</v>
      </c>
      <c r="AS98" s="12">
        <f>MIN(INDEX(其他调用!$AL$5:$AL$364,MATCH($K98,其他调用!$AG$5:$AG$364,0),1)/INDEX(其他调用!AK$5:AK$364,MATCH($K98,其他调用!$AG$5:$AG$364,0),0),1)*INDEX(其他调用!AB$5:AB$404,MATCH($K98,其他调用!$X$5:$X$404,0),0)</f>
        <v>40558.482749465606</v>
      </c>
      <c r="AT98" s="12">
        <f>MIN(INDEX(其他调用!$AL$5:$AL$364,MATCH($K98,其他调用!$AG$5:$AG$364,0),1)/INDEX(其他调用!AL$5:AL$364,MATCH($K98,其他调用!$AG$5:$AG$364,0),0),1)*INDEX(其他调用!AC$5:AC$404,MATCH($K98,其他调用!$X$5:$X$404,0),0)</f>
        <v>44404.186430809532</v>
      </c>
      <c r="AV98" s="14">
        <f>IF(OR(AV$5="大R",AV$5="超R"),MAX(INDEX(其他调用!$H$5:$L$404,MATCH($K98,其他调用!$B$5:$B$404,0),MATCH(AV$5,其他调用!$H$4:$L$4,0))*120*0.85,2),INDEX(其他调用!$H$5:$L$404,MATCH($K98,其他调用!$B$5:$B$404,0),MATCH(AV$5,其他调用!$H$4:$L$4,0))*120*0.85)</f>
        <v>48.921801254999991</v>
      </c>
      <c r="AW98" s="14">
        <f>IF(OR(AW$5="大R",AW$5="超R"),MAX(INDEX(其他调用!$H$5:$L$404,MATCH($K98,其他调用!$B$5:$B$404,0),MATCH(AW$5,其他调用!$H$4:$L$4,0))*120*0.85,2),INDEX(其他调用!$H$5:$L$404,MATCH($K98,其他调用!$B$5:$B$404,0),MATCH(AW$5,其他调用!$H$4:$L$4,0))*120*0.85)</f>
        <v>48.237344010638395</v>
      </c>
      <c r="AX98" s="14">
        <f>IF(OR(AX$5="大R",AX$5="超R"),MAX(INDEX(其他调用!$H$5:$L$404,MATCH($K98,其他调用!$B$5:$B$404,0),MATCH(AX$5,其他调用!$H$4:$L$4,0))*120*0.85,2),INDEX(其他调用!$H$5:$L$404,MATCH($K98,其他调用!$B$5:$B$404,0),MATCH(AX$5,其他调用!$H$4:$L$4,0))*120*0.85)</f>
        <v>3.9376284143615998</v>
      </c>
      <c r="AY98" s="14">
        <f>IF(OR(AY$5="大R",AY$5="超R"),MAX(INDEX(其他调用!$H$5:$L$404,MATCH($K98,其他调用!$B$5:$B$404,0),MATCH(AY$5,其他调用!$H$4:$L$4,0))*120*0.85,2),INDEX(其他调用!$H$5:$L$404,MATCH($K98,其他调用!$B$5:$B$404,0),MATCH(AY$5,其他调用!$H$4:$L$4,0))*120*0.85)</f>
        <v>2</v>
      </c>
      <c r="AZ98" s="14">
        <f>IF(OR(AZ$5="大R",AZ$5="超R"),MAX(INDEX(其他调用!$H$5:$L$404,MATCH($K98,其他调用!$B$5:$B$404,0),MATCH(AZ$5,其他调用!$H$4:$L$4,0))*120*0.85,2),INDEX(其他调用!$H$5:$L$404,MATCH($K98,其他调用!$B$5:$B$404,0),MATCH(AZ$5,其他调用!$H$4:$L$4,0))*120*0.85)</f>
        <v>2</v>
      </c>
      <c r="BA98" s="14">
        <f>INDEX(其他调用!$H$5:$L$404,MATCH($K98,其他调用!$B$5:$B$404,0),MATCH(BA$5,其他调用!$H$4:$L$4,0))*INDEX(其他调用!$M$5:$M$404,MATCH($K98,其他调用!$B$5:$B$404,0))*0.6</f>
        <v>28.777530149999997</v>
      </c>
      <c r="BB98" s="14">
        <f>INDEX(其他调用!$H$5:$L$404,MATCH($K98,其他调用!$B$5:$B$404,0),MATCH(BB$5,其他调用!$H$4:$L$4,0))*INDEX(其他调用!$M$5:$M$404,MATCH($K98,其他调用!$B$5:$B$404,0))*0.6</f>
        <v>28.374908241551999</v>
      </c>
      <c r="BC98" s="14">
        <f>INDEX(其他调用!$H$5:$L$404,MATCH($K98,其他调用!$B$5:$B$404,0),MATCH(BC$5,其他调用!$H$4:$L$4,0))*INDEX(其他调用!$M$5:$M$404,MATCH($K98,其他调用!$B$5:$B$404,0))*0.6</f>
        <v>2.3162520084480001</v>
      </c>
      <c r="BD98" s="14">
        <f>INDEX(其他调用!$H$5:$L$404,MATCH($K98,其他调用!$B$5:$B$404,0),MATCH(BD$5,其他调用!$H$4:$L$4,0))*INDEX(其他调用!$M$5:$M$404,MATCH($K98,其他调用!$B$5:$B$404,0))*0.6</f>
        <v>0.4120776000000001</v>
      </c>
      <c r="BE98" s="14">
        <f>INDEX(其他调用!$H$5:$L$404,MATCH($K98,其他调用!$B$5:$B$404,0),MATCH(BE$5,其他调用!$H$4:$L$4,0))*INDEX(其他调用!$M$5:$M$404,MATCH($K98,其他调用!$B$5:$B$404,0))*0.6</f>
        <v>0.11923199999999998</v>
      </c>
      <c r="BF98" s="14">
        <f>IF(OR(BF$5="大R",BF$5="超R"),0,INDEX(其他调用!$H$5:$L$404,MATCH($K98,其他调用!$B$5:$B$404,0),MATCH(BF$5,其他调用!$H$4:$L$4,0))*50*0.4)</f>
        <v>9.5925100500000013</v>
      </c>
      <c r="BG98" s="14">
        <f>IF(OR(BG$5="大R",BG$5="超R"),0,INDEX(其他调用!$H$5:$L$404,MATCH($K98,其他调用!$B$5:$B$404,0),MATCH(BG$5,其他调用!$H$4:$L$4,0))*50*0.4)</f>
        <v>9.4583027471839998</v>
      </c>
      <c r="BH98" s="14">
        <f>IF(OR(BH$5="大R",BH$5="超R"),0,INDEX(其他调用!$H$5:$L$404,MATCH($K98,其他调用!$B$5:$B$404,0),MATCH(BH$5,其他调用!$H$4:$L$4,0))*50*0.4)</f>
        <v>0.77208400281600009</v>
      </c>
      <c r="BI98" s="14">
        <f>IF(OR(BI$5="大R",BI$5="超R"),0,INDEX(其他调用!$H$5:$L$404,MATCH($K98,其他调用!$B$5:$B$404,0),MATCH(BI$5,其他调用!$H$4:$L$4,0))*50*0.4)</f>
        <v>0</v>
      </c>
      <c r="BJ98" s="14">
        <f>IF(OR(BJ$5="大R",BJ$5="超R"),0,INDEX(其他调用!$H$5:$L$404,MATCH($K98,其他调用!$B$5:$B$404,0),MATCH(BJ$5,其他调用!$H$4:$L$4,0))*50*0.4)</f>
        <v>0</v>
      </c>
      <c r="BL98" s="14">
        <f t="shared" si="208"/>
        <v>93</v>
      </c>
      <c r="BM98" s="14">
        <f t="shared" si="115"/>
        <v>96</v>
      </c>
      <c r="BN98" s="14">
        <f>('疲劳值&amp;地图信息'!$S$10*'疲劳值&amp;地图信息'!$R$10+'疲劳值&amp;地图信息'!$S$11*'疲劳值&amp;地图信息'!$R$11+'疲劳值&amp;地图信息'!$S$12*'疲劳值&amp;地图信息'!$R$12+(BM98-'疲劳值&amp;地图信息'!$S$12-'疲劳值&amp;地图信息'!$S$11-'疲劳值&amp;地图信息'!$S$10)*'疲劳值&amp;地图信息'!$R$13)/BM98</f>
        <v>51.371477246638619</v>
      </c>
      <c r="BO98" s="14">
        <f>INDEX(其他调用!$M$5:$M$404,MATCH(BL98,其他调用!$B$5:$B$404,0))*0.6</f>
        <v>60</v>
      </c>
      <c r="BP98" s="14">
        <f>IF(BO98&gt;SUM('疲劳值&amp;地图信息'!$S$10:$S$12),('疲劳值&amp;地图信息'!$S$10*'疲劳值&amp;地图信息'!$R$10+'疲劳值&amp;地图信息'!$S$11*'疲劳值&amp;地图信息'!$R$11+'疲劳值&amp;地图信息'!$S$12*'疲劳值&amp;地图信息'!$R$12+(BO98-'疲劳值&amp;地图信息'!$S$12-'疲劳值&amp;地图信息'!$S$11-'疲劳值&amp;地图信息'!$S$10)*'疲劳值&amp;地图信息'!$R$13)/BO98,('疲劳值&amp;地图信息'!$S$10*'疲劳值&amp;地图信息'!$R$10+'疲劳值&amp;地图信息'!$S$11*'疲劳值&amp;地图信息'!$R$11+'疲劳值&amp;地图信息'!$S$12*'疲劳值&amp;地图信息'!$R$12+(BO98-'疲劳值&amp;地图信息'!$S$12-'疲劳值&amp;地图信息'!$S$11-'疲劳值&amp;地图信息'!$S$10)*'疲劳值&amp;地图信息'!$R$13)/BO98)</f>
        <v>44.158136341605953</v>
      </c>
      <c r="BQ98" s="14">
        <f t="shared" si="209"/>
        <v>20</v>
      </c>
      <c r="BR98" s="14">
        <f>('疲劳值&amp;地图信息'!$S$10*'疲劳值&amp;地图信息'!$R$10+($BQ98-'疲劳值&amp;地图信息'!$S$10)*'疲劳值&amp;地图信息'!$R$11)/$BQ98</f>
        <v>32.067203015074995</v>
      </c>
      <c r="CF98" s="14">
        <v>93</v>
      </c>
      <c r="CG98" s="51">
        <f t="shared" si="116"/>
        <v>9107</v>
      </c>
      <c r="CH98" s="51">
        <f t="shared" si="117"/>
        <v>837</v>
      </c>
      <c r="CI98" s="51">
        <f>INT(SUMPRODUCT($N98:$R98,$BA98:$BE98)/SUM($BA98:$BE98)/10000*$BX$7*$BZ$34/'疲劳值&amp;地图信息'!$R$10*$BY$53)</f>
        <v>2935</v>
      </c>
      <c r="CJ98" s="50">
        <f t="shared" si="118"/>
        <v>0.70712011802158548</v>
      </c>
      <c r="CK98" s="50">
        <f t="shared" si="119"/>
        <v>6.4989517819706494E-2</v>
      </c>
      <c r="CL98" s="50">
        <f t="shared" si="120"/>
        <v>0.22789036415870798</v>
      </c>
      <c r="CM98" s="14">
        <f t="shared" si="121"/>
        <v>9652</v>
      </c>
      <c r="CN98" s="14">
        <f t="shared" si="122"/>
        <v>1299</v>
      </c>
      <c r="CO98" s="14">
        <f>INT(SUMPRODUCT($U98:$Y98,$BA98:$BE98)/SUM($BA98:$BE98)/10000*$BX$7*$BZ$34/'疲劳值&amp;地图信息'!$R$10*$BY$54)</f>
        <v>5396</v>
      </c>
      <c r="CP98" s="50">
        <f t="shared" si="123"/>
        <v>0.59044472991986297</v>
      </c>
      <c r="CQ98" s="50">
        <f t="shared" si="124"/>
        <v>7.9464121857221515E-2</v>
      </c>
      <c r="CR98" s="50">
        <f t="shared" si="125"/>
        <v>0.33009114822291552</v>
      </c>
      <c r="CS98" s="14">
        <f t="shared" si="126"/>
        <v>10346</v>
      </c>
      <c r="CT98" s="14">
        <f t="shared" si="127"/>
        <v>2360</v>
      </c>
      <c r="CU98" s="14">
        <f>INT(SUMPRODUCT($AB98:$AF98,$BA98:$BE98)/SUM($BA98:$BE98)/10000*$BX$7*$BZ$34/'疲劳值&amp;地图信息'!$R$10*$BY$55)</f>
        <v>7341</v>
      </c>
      <c r="CV98" s="50">
        <f t="shared" si="128"/>
        <v>0.51608719509153489</v>
      </c>
      <c r="CW98" s="50">
        <f t="shared" si="129"/>
        <v>0.11772335012720107</v>
      </c>
      <c r="CX98" s="50">
        <f t="shared" si="130"/>
        <v>0.36618945478126402</v>
      </c>
      <c r="CY98" s="14">
        <f t="shared" si="131"/>
        <v>11737</v>
      </c>
      <c r="CZ98" s="14">
        <f t="shared" si="132"/>
        <v>5788</v>
      </c>
      <c r="DA98" s="14">
        <f>INT(SUMPRODUCT($AI98:$AM98,$BA98:$BE98)/SUM($BA98:$BE98)/10000*$BX$7*$BZ$34/'疲劳值&amp;地图信息'!$R$10*$BY$56)</f>
        <v>11066</v>
      </c>
      <c r="DB98" s="50">
        <f t="shared" si="133"/>
        <v>0.41051379804833688</v>
      </c>
      <c r="DC98" s="50">
        <f t="shared" si="134"/>
        <v>0.202441327690532</v>
      </c>
      <c r="DD98" s="50">
        <f t="shared" si="135"/>
        <v>0.3870448742611311</v>
      </c>
      <c r="DE98" s="14">
        <f t="shared" si="136"/>
        <v>11554</v>
      </c>
      <c r="DF98" s="14">
        <f t="shared" si="137"/>
        <v>11801</v>
      </c>
      <c r="DG98" s="14">
        <f>INT(SUMPRODUCT($AP98:$AT98,$BA98:$BE98)/SUM($BA98:$BE98)/10000*$BX$7*$BZ$34/'疲劳值&amp;地图信息'!$R$10*$BY$57)</f>
        <v>14781</v>
      </c>
      <c r="DH98" s="50">
        <f t="shared" si="138"/>
        <v>0.30296832389343403</v>
      </c>
      <c r="DI98" s="50">
        <f t="shared" si="139"/>
        <v>0.30944514369624504</v>
      </c>
      <c r="DJ98" s="50">
        <f t="shared" si="140"/>
        <v>0.38758653241032098</v>
      </c>
      <c r="DL98" s="14">
        <f t="shared" si="211"/>
        <v>12879</v>
      </c>
      <c r="DM98" s="14">
        <f t="shared" si="212"/>
        <v>16347</v>
      </c>
      <c r="DN98" s="14">
        <f t="shared" si="213"/>
        <v>20047</v>
      </c>
      <c r="DO98" s="14">
        <f t="shared" si="214"/>
        <v>28591</v>
      </c>
      <c r="DP98" s="14">
        <f t="shared" si="215"/>
        <v>38136</v>
      </c>
      <c r="DQ98" s="14">
        <f t="shared" si="216"/>
        <v>897233</v>
      </c>
      <c r="DT98" s="14">
        <f t="shared" si="210"/>
        <v>235575</v>
      </c>
      <c r="DU98" s="50">
        <f t="shared" si="112"/>
        <v>0.20795668815898194</v>
      </c>
      <c r="DW98" s="14">
        <f t="shared" si="141"/>
        <v>1132808</v>
      </c>
      <c r="EB98" s="14">
        <v>93</v>
      </c>
      <c r="EC98" s="51">
        <f t="shared" si="142"/>
        <v>15179</v>
      </c>
      <c r="ED98" s="51">
        <f t="shared" si="143"/>
        <v>1395</v>
      </c>
      <c r="EE98" s="51">
        <f>INT(SUMPRODUCT($N98:$R98,$BF98:$BJ98)/SUM($BF98:$BJ98)/10000*$BX$7*$BZ$46/'疲劳值&amp;地图信息'!$R$10*$BY$53)</f>
        <v>394</v>
      </c>
      <c r="EF98" s="50">
        <f t="shared" si="144"/>
        <v>0.89456624233851956</v>
      </c>
      <c r="EG98" s="50">
        <f t="shared" si="145"/>
        <v>8.2213578500707207E-2</v>
      </c>
      <c r="EH98" s="50">
        <f t="shared" si="146"/>
        <v>2.3220179160773222E-2</v>
      </c>
      <c r="EI98" s="51">
        <f t="shared" si="147"/>
        <v>16086</v>
      </c>
      <c r="EJ98" s="51">
        <f t="shared" si="148"/>
        <v>2166</v>
      </c>
      <c r="EK98" s="14">
        <f>INT(SUMPRODUCT($U98:$Y98,$BF98:$BJ98)/SUM($BF98:$BJ98)/10000*$BX$7*$BZ$46/'疲劳值&amp;地图信息'!$R$10*$BY$54)</f>
        <v>724</v>
      </c>
      <c r="EL98" s="50">
        <f t="shared" si="149"/>
        <v>0.8477023608768971</v>
      </c>
      <c r="EM98" s="50">
        <f t="shared" si="150"/>
        <v>0.1141441821247892</v>
      </c>
      <c r="EN98" s="50">
        <f t="shared" si="151"/>
        <v>3.8153456998313656E-2</v>
      </c>
      <c r="EO98" s="51">
        <f t="shared" si="152"/>
        <v>17243</v>
      </c>
      <c r="EP98" s="51">
        <f t="shared" si="153"/>
        <v>3933</v>
      </c>
      <c r="EQ98" s="14">
        <f>INT(SUMPRODUCT($AB98:$AF98,$BF98:$BJ98)/SUM($BF98:$BJ98)/10000*$BX$7*$BZ$46/'疲劳值&amp;地图信息'!$R$10*$BY$55)</f>
        <v>984</v>
      </c>
      <c r="ER98" s="50">
        <f t="shared" si="154"/>
        <v>0.7781137184115523</v>
      </c>
      <c r="ES98" s="50">
        <f t="shared" si="155"/>
        <v>0.17748194945848375</v>
      </c>
      <c r="ET98" s="50">
        <f t="shared" si="156"/>
        <v>4.4404332129963899E-2</v>
      </c>
      <c r="EU98" s="51">
        <f t="shared" si="157"/>
        <v>19562</v>
      </c>
      <c r="EV98" s="51">
        <f t="shared" si="158"/>
        <v>9647</v>
      </c>
      <c r="EW98" s="14">
        <f>INT(SUMPRODUCT($AI98:$AM98,$BF98:$BJ98)/SUM($BF98:$BJ98)/10000*$BX$7*$BZ$46/'疲劳值&amp;地图信息'!$R$10*$BY$56)</f>
        <v>1476</v>
      </c>
      <c r="EX98" s="50">
        <f t="shared" si="159"/>
        <v>0.63751018412905325</v>
      </c>
      <c r="EY98" s="50">
        <f t="shared" si="160"/>
        <v>0.31438813752647876</v>
      </c>
      <c r="EZ98" s="50">
        <f t="shared" si="161"/>
        <v>4.8101678344467984E-2</v>
      </c>
      <c r="FA98" s="51">
        <f t="shared" si="162"/>
        <v>19257</v>
      </c>
      <c r="FB98" s="51">
        <f t="shared" si="163"/>
        <v>19669</v>
      </c>
      <c r="FC98" s="14">
        <f>INT(SUMPRODUCT($AP98:$AT98,$BF98:$BJ98)/SUM($BF98:$BJ98)/10000*$BX$7*$BZ$46/'疲劳值&amp;地图信息'!$R$10*$BY$57)</f>
        <v>1968</v>
      </c>
      <c r="FD98" s="50">
        <f t="shared" si="164"/>
        <v>0.47090037658336187</v>
      </c>
      <c r="FE98" s="50">
        <f t="shared" si="165"/>
        <v>0.48097520418643319</v>
      </c>
      <c r="FF98" s="50">
        <f t="shared" si="166"/>
        <v>4.8124419230204919E-2</v>
      </c>
      <c r="FH98" s="14">
        <f t="shared" si="167"/>
        <v>16968</v>
      </c>
      <c r="FI98" s="14">
        <f t="shared" si="168"/>
        <v>18976</v>
      </c>
      <c r="FJ98" s="14">
        <f t="shared" si="169"/>
        <v>22160</v>
      </c>
      <c r="FK98" s="14">
        <f t="shared" si="170"/>
        <v>30685</v>
      </c>
      <c r="FL98" s="14">
        <f t="shared" si="171"/>
        <v>40894</v>
      </c>
      <c r="FM98" s="14">
        <f t="shared" si="172"/>
        <v>1975872</v>
      </c>
      <c r="FP98" s="14">
        <f t="shared" si="173"/>
        <v>334150</v>
      </c>
      <c r="FQ98" s="50">
        <f t="shared" si="113"/>
        <v>0.14465230201270809</v>
      </c>
      <c r="FS98" s="14">
        <f t="shared" si="174"/>
        <v>2310022</v>
      </c>
      <c r="FX98" s="14">
        <v>93</v>
      </c>
      <c r="FY98" s="51">
        <f t="shared" si="175"/>
        <v>21251</v>
      </c>
      <c r="FZ98" s="51">
        <f t="shared" si="176"/>
        <v>1395</v>
      </c>
      <c r="GA98" s="51">
        <f>INT(SUMPRODUCT($N98:$R98,$BF98:$BJ98)/SUM($BF98:$BJ98)/10000*$BX$7*$BZ$46/'疲劳值&amp;地图信息'!$R$10*$BY$53)</f>
        <v>394</v>
      </c>
      <c r="GB98" s="50">
        <f t="shared" si="177"/>
        <v>0.9223524305555556</v>
      </c>
      <c r="GC98" s="50">
        <f t="shared" si="178"/>
        <v>6.0546875E-2</v>
      </c>
      <c r="GD98" s="50">
        <f t="shared" si="179"/>
        <v>1.7100694444444446E-2</v>
      </c>
      <c r="GE98" s="51">
        <f t="shared" si="180"/>
        <v>22521</v>
      </c>
      <c r="GF98" s="51">
        <f t="shared" si="181"/>
        <v>2166</v>
      </c>
      <c r="GG98" s="14">
        <f>INT(SUMPRODUCT($U98:$Y98,$BF98:$BJ98)/SUM($BF98:$BJ98)/10000*$BX$7*$BZ$46/'疲劳值&amp;地图信息'!$R$10*$BY$54)</f>
        <v>724</v>
      </c>
      <c r="GH98" s="50">
        <f t="shared" si="182"/>
        <v>0.88626972570933849</v>
      </c>
      <c r="GI98" s="50">
        <f t="shared" si="183"/>
        <v>8.5238676163866045E-2</v>
      </c>
      <c r="GJ98" s="50">
        <f t="shared" si="184"/>
        <v>2.8491598126795484E-2</v>
      </c>
      <c r="GK98" s="51">
        <f t="shared" si="185"/>
        <v>24141</v>
      </c>
      <c r="GL98" s="51">
        <f t="shared" si="186"/>
        <v>3933</v>
      </c>
      <c r="GM98" s="14">
        <f>INT(SUMPRODUCT($AB98:$AF98,$BF98:$BJ98)/SUM($BF98:$BJ98)/10000*$BX$7*$BZ$46/'疲劳值&amp;地图信息'!$R$10*$BY$55)</f>
        <v>984</v>
      </c>
      <c r="GN98" s="50">
        <f t="shared" si="187"/>
        <v>0.83078670245715469</v>
      </c>
      <c r="GO98" s="50">
        <f t="shared" si="188"/>
        <v>0.13534998967582076</v>
      </c>
      <c r="GP98" s="50">
        <f t="shared" si="189"/>
        <v>3.3863307867024572E-2</v>
      </c>
      <c r="GQ98" s="51">
        <f t="shared" si="190"/>
        <v>27387</v>
      </c>
      <c r="GR98" s="51">
        <f t="shared" si="191"/>
        <v>9647</v>
      </c>
      <c r="GS98" s="14">
        <f>INT(SUMPRODUCT($AI98:$AM98,$BF98:$BJ98)/SUM($BF98:$BJ98)/10000*$BX$7*$BZ$46/'疲劳值&amp;地图信息'!$R$10*$BY$56)</f>
        <v>1476</v>
      </c>
      <c r="GT98" s="50">
        <f t="shared" si="192"/>
        <v>0.71116593092703195</v>
      </c>
      <c r="GU98" s="50">
        <f t="shared" si="193"/>
        <v>0.25050636198390031</v>
      </c>
      <c r="GV98" s="50">
        <f t="shared" si="194"/>
        <v>3.8327707089067777E-2</v>
      </c>
      <c r="GW98" s="51">
        <f t="shared" si="195"/>
        <v>26960</v>
      </c>
      <c r="GX98" s="51">
        <f t="shared" si="196"/>
        <v>19669</v>
      </c>
      <c r="GY98" s="14">
        <f>INT(SUMPRODUCT($AP98:$AT98,$BF98:$BJ98)/SUM($BF98:$BJ98)/10000*$BX$7*$BZ$46/'疲劳值&amp;地图信息'!$R$10*$BY$57)</f>
        <v>1968</v>
      </c>
      <c r="GZ98" s="50">
        <f t="shared" si="197"/>
        <v>0.55476675514949481</v>
      </c>
      <c r="HA98" s="50">
        <f t="shared" si="198"/>
        <v>0.40473691791674382</v>
      </c>
      <c r="HB98" s="50">
        <f t="shared" si="199"/>
        <v>4.0496326933761345E-2</v>
      </c>
      <c r="HD98" s="14">
        <f t="shared" si="200"/>
        <v>23040</v>
      </c>
      <c r="HE98" s="14">
        <f t="shared" si="201"/>
        <v>25411</v>
      </c>
      <c r="HF98" s="14">
        <f t="shared" si="202"/>
        <v>29058</v>
      </c>
      <c r="HG98" s="14">
        <f t="shared" si="203"/>
        <v>38510</v>
      </c>
      <c r="HH98" s="14">
        <f t="shared" si="204"/>
        <v>48597</v>
      </c>
      <c r="HI98" s="14">
        <f t="shared" si="205"/>
        <v>2641551</v>
      </c>
      <c r="HL98" s="14">
        <f t="shared" si="206"/>
        <v>430050</v>
      </c>
      <c r="HM98" s="50">
        <f t="shared" si="114"/>
        <v>0.14000841906224148</v>
      </c>
      <c r="HO98" s="14">
        <f t="shared" si="207"/>
        <v>3071601</v>
      </c>
    </row>
    <row r="99" spans="11:223" x14ac:dyDescent="0.2">
      <c r="K99" s="14">
        <v>94</v>
      </c>
      <c r="L99" s="12">
        <f>求节点(节奏总纲!D$4:D$163,标准城池设计!AB$4:AB$163,$K99)*求节点(节奏总纲!D$4:D$163,攻城基础信息!$AC$5:$AC$164,$K99)</f>
        <v>449025.08606242627</v>
      </c>
      <c r="M99" s="12">
        <f>INDEX(其他调用!$AA$5:$AA$404,MATCH(K99,其他调用!$X$5:$X$404,0))*MIN(INDEX(其他调用!$AH$5:$AH$364,MATCH('征服点（新）'!K99,其他调用!$AG$5:$AG$364,0),1)/INDEX(其他调用!$AJ$5:$AJ$364,MATCH(K99,其他调用!$AG$5:$AG$364,0),0),5)*求节点(节奏总纲!D$4:D$163,攻城基础信息!$AC$5:$AC$164,$K99)</f>
        <v>41235.924271975513</v>
      </c>
      <c r="N99" s="12">
        <f>MIN(INDEX(其他调用!$AH$5:$AH$364,MATCH($K99,其他调用!$AG$5:$AG$364,0),1)/INDEX(其他调用!AH$5:AH$364,MATCH($K99,其他调用!$AG$5:$AG$364,0),0),1)*INDEX(其他调用!Y$5:Y$404,MATCH($K99,其他调用!$X$5:$X$404,0),0)</f>
        <v>35787.668587083273</v>
      </c>
      <c r="O99" s="12">
        <f>MIN(INDEX(其他调用!$AH$5:$AH$364,MATCH($K99,其他调用!$AG$5:$AG$364,0),1)/INDEX(其他调用!AI$5:AI$364,MATCH($K99,其他调用!$AG$5:$AG$364,0),0),1)*INDEX(其他调用!Z$5:Z$404,MATCH($K99,其他调用!$X$5:$X$404,0),0)</f>
        <v>23721.769587474893</v>
      </c>
      <c r="P99" s="12">
        <f>MIN(INDEX(其他调用!$AH$5:$AH$364,MATCH($K99,其他调用!$AG$5:$AG$364,0),1)/INDEX(其他调用!AJ$5:AJ$364,MATCH($K99,其他调用!$AG$5:$AG$364,0),0),1)*INDEX(其他调用!AA$5:AA$404,MATCH($K99,其他调用!$X$5:$X$404,0),0)</f>
        <v>13640.544881699709</v>
      </c>
      <c r="Q99" s="12">
        <f>MIN(INDEX(其他调用!$AH$5:$AH$364,MATCH($K99,其他调用!$AG$5:$AG$364,0),1)/INDEX(其他调用!AK$5:AK$364,MATCH($K99,其他调用!$AG$5:$AG$364,0),0),1)*INDEX(其他调用!AB$5:AB$404,MATCH($K99,其他调用!$X$5:$X$404,0),0)</f>
        <v>5857.9175913793479</v>
      </c>
      <c r="R99" s="12">
        <f>MIN(INDEX(其他调用!$AH$5:$AH$364,MATCH($K99,其他调用!$AG$5:$AG$364,0),1)/INDEX(其他调用!AL$5:AL$364,MATCH($K99,其他调用!$AG$5:$AG$364,0),0),1)*INDEX(其他调用!AC$5:AC$404,MATCH($K99,其他调用!$X$5:$X$404,0),0)</f>
        <v>1782.0802106400645</v>
      </c>
      <c r="S99" s="12">
        <f>求节点(节奏总纲!D$4:D$163,标准城池设计!AC$4:AC$163,$K99)*求节点(节奏总纲!D$4:D$163,攻城基础信息!$AD$5:$AD$164,$K99)</f>
        <v>476079.29945057275</v>
      </c>
      <c r="T99" s="12">
        <f>INDEX(其他调用!$AA$5:$AA$404,MATCH($K99,其他调用!$X$5:$X$404,0))*MIN(INDEX(其他调用!AI$5:AI$364,MATCH($K99,其他调用!$AG$5:$AG$364,0),1)/INDEX(其他调用!$AJ$5:$AJ$364,MATCH($K99,其他调用!$AG$5:$AG$364,0),0),5)*求节点(节奏总纲!D$4:D$163,攻城基础信息!$AD$5:$AD$164,$K99)</f>
        <v>64194.850867703317</v>
      </c>
      <c r="U99" s="12">
        <f>MIN(INDEX(其他调用!$AI$5:$AI$364,MATCH($K99,其他调用!$AG$5:$AG$364,0),1)/INDEX(其他调用!AH$5:AH$364,MATCH($K99,其他调用!$AG$5:$AG$364,0),0),1)*INDEX(其他调用!Y$5:Y$404,MATCH($K99,其他调用!$X$5:$X$404,0),0)</f>
        <v>35787.668587083273</v>
      </c>
      <c r="V99" s="12">
        <f>MIN(INDEX(其他调用!$AI$5:$AI$364,MATCH($K99,其他调用!$AG$5:$AG$364,0),1)/INDEX(其他调用!AI$5:AI$364,MATCH($K99,其他调用!$AG$5:$AG$364,0),0),1)*INDEX(其他调用!Z$5:Z$404,MATCH($K99,其他调用!$X$5:$X$404,0),0)</f>
        <v>36929.339838294756</v>
      </c>
      <c r="W99" s="12">
        <f>MIN(INDEX(其他调用!$AI$5:$AI$364,MATCH($K99,其他调用!$AG$5:$AG$364,0),1)/INDEX(其他调用!AJ$5:AJ$364,MATCH($K99,其他调用!$AG$5:$AG$364,0),0),1)*INDEX(其他调用!AA$5:AA$404,MATCH($K99,其他调用!$X$5:$X$404,0),0)</f>
        <v>21235.191399117783</v>
      </c>
      <c r="X99" s="12">
        <f>MIN(INDEX(其他调用!$AI$5:$AI$364,MATCH($K99,其他调用!$AG$5:$AG$364,0),1)/INDEX(其他调用!AK$5:AK$364,MATCH($K99,其他调用!$AG$5:$AG$364,0),0),1)*INDEX(其他调用!AB$5:AB$404,MATCH($K99,其他调用!$X$5:$X$404,0),0)</f>
        <v>9119.4305163049394</v>
      </c>
      <c r="Y99" s="12">
        <f>MIN(INDEX(其他调用!$AI$5:$AI$364,MATCH($K99,其他调用!$AG$5:$AG$364,0),1)/INDEX(其他调用!AL$5:AL$364,MATCH($K99,其他调用!$AG$5:$AG$364,0),0),1)*INDEX(其他调用!AC$5:AC$404,MATCH($K99,其他调用!$X$5:$X$404,0),0)</f>
        <v>2774.2890544124966</v>
      </c>
      <c r="Z99" s="12">
        <f>求节点(节奏总纲!D$4:D$163,标准城池设计!AD$4:AD$163,$K99)*求节点(节奏总纲!D$4:D$163,攻城基础信息!$AE$5:$AE$164,$K99)</f>
        <v>510660.65175298479</v>
      </c>
      <c r="AA99" s="12">
        <f>INDEX(其他调用!$AA$5:$AA$404,MATCH($K99,其他调用!$X$5:$X$404,0))*MIN(INDEX(其他调用!AJ$5:AJ$364,MATCH($K99,其他调用!$AG$5:$AG$364,0),1)/INDEX(其他调用!$AJ$5:$AJ$364,MATCH($K99,其他调用!$AG$5:$AG$364,0),0),5)*求节点(节奏总纲!D$4:D$163,攻城基础信息!$AE$5:$AE$164,$K99)</f>
        <v>116195.49458475337</v>
      </c>
      <c r="AB99" s="12">
        <f>MIN(INDEX(其他调用!$AJ$5:$AJ$364,MATCH($K99,其他调用!$AG$5:$AG$364,0),1)/INDEX(其他调用!AH$5:AH$364,MATCH($K99,其他调用!$AG$5:$AG$364,0),0),1)*INDEX(其他调用!Y$5:Y$404,MATCH($K99,其他调用!$X$5:$X$404,0),0)</f>
        <v>35787.668587083273</v>
      </c>
      <c r="AC99" s="12">
        <f>MIN(INDEX(其他调用!$AJ$5:$AJ$364,MATCH($K99,其他调用!$AG$5:$AG$364,0),1)/INDEX(其他调用!AI$5:AI$364,MATCH($K99,其他调用!$AG$5:$AG$364,0),0),1)*INDEX(其他调用!Z$5:Z$404,MATCH($K99,其他调用!$X$5:$X$404,0),0)</f>
        <v>36929.339838294756</v>
      </c>
      <c r="AD99" s="12">
        <f>MIN(INDEX(其他调用!$AJ$5:$AJ$364,MATCH($K99,其他调用!$AG$5:$AG$364,0),1)/INDEX(其他调用!AJ$5:AJ$364,MATCH($K99,其他调用!$AG$5:$AG$364,0),0),1)*INDEX(其他调用!AA$5:AA$404,MATCH($K99,其他调用!$X$5:$X$404,0),0)</f>
        <v>38436.627453305089</v>
      </c>
      <c r="AE99" s="12">
        <f>MIN(INDEX(其他调用!$AJ$5:$AJ$364,MATCH($K99,其他调用!$AG$5:$AG$364,0),1)/INDEX(其他调用!AK$5:AK$364,MATCH($K99,其他调用!$AG$5:$AG$364,0),0),1)*INDEX(其他调用!AB$5:AB$404,MATCH($K99,其他调用!$X$5:$X$404,0),0)</f>
        <v>16506.569060454854</v>
      </c>
      <c r="AF99" s="12">
        <f>MIN(INDEX(其他调用!$AJ$5:$AJ$364,MATCH($K99,其他调用!$AG$5:$AG$364,0),1)/INDEX(其他调用!AL$5:AL$364,MATCH($K99,其他调用!$AG$5:$AG$364,0),0),1)*INDEX(其他调用!AC$5:AC$404,MATCH($K99,其他调用!$X$5:$X$404,0),0)</f>
        <v>5021.5848224784686</v>
      </c>
      <c r="AG99" s="12">
        <f>求节点(节奏总纲!D$4:D$163,标准城池设计!AE$4:AE$163,$K99)*求节点(节奏总纲!D$4:D$163,攻城基础信息!$AF$5:$AF$164,$K99)</f>
        <v>579052.39220773079</v>
      </c>
      <c r="AH99" s="12">
        <f>INDEX(其他调用!$AA$5:$AA$404,MATCH($K99,其他调用!$X$5:$X$404,0))*MIN(INDEX(其他调用!AK$5:AK$364,MATCH($K99,其他调用!$AG$5:$AG$364,0),1)/INDEX(其他调用!$AJ$5:$AJ$364,MATCH($K99,其他调用!$AG$5:$AG$364,0),0),5)*求节点(节奏总纲!D$4:D$163,攻城基础信息!$AF$5:$AF$164,$K99)</f>
        <v>285932.00441462419</v>
      </c>
      <c r="AI99" s="12">
        <f>MIN(INDEX(其他调用!$AK$5:$AK$364,MATCH($K99,其他调用!$AG$5:$AG$364,0),1)/INDEX(其他调用!AH$5:AH$364,MATCH($K99,其他调用!$AG$5:$AG$364,0),0),1)*INDEX(其他调用!Y$5:Y$404,MATCH($K99,其他调用!$X$5:$X$404,0),0)</f>
        <v>35787.668587083273</v>
      </c>
      <c r="AJ99" s="12">
        <f>MIN(INDEX(其他调用!$AK$5:$AK$364,MATCH($K99,其他调用!$AG$5:$AG$364,0),1)/INDEX(其他调用!AI$5:AI$364,MATCH($K99,其他调用!$AG$5:$AG$364,0),0),1)*INDEX(其他调用!Z$5:Z$404,MATCH($K99,其他调用!$X$5:$X$404,0),0)</f>
        <v>36929.339838294756</v>
      </c>
      <c r="AK99" s="12">
        <f>MIN(INDEX(其他调用!$AK$5:$AK$364,MATCH($K99,其他调用!$AG$5:$AG$364,0),1)/INDEX(其他调用!AJ$5:AJ$364,MATCH($K99,其他调用!$AG$5:$AG$364,0),0),1)*INDEX(其他调用!AA$5:AA$404,MATCH($K99,其他调用!$X$5:$X$404,0),0)</f>
        <v>38436.627453305089</v>
      </c>
      <c r="AL99" s="12">
        <f>MIN(INDEX(其他调用!$AK$5:$AK$364,MATCH($K99,其他调用!$AG$5:$AG$364,0),1)/INDEX(其他调用!AK$5:AK$364,MATCH($K99,其他调用!$AG$5:$AG$364,0),0),1)*INDEX(其他调用!AB$5:AB$404,MATCH($K99,其他调用!$X$5:$X$404,0),0)</f>
        <v>40619.099684813264</v>
      </c>
      <c r="AM99" s="12">
        <f>MIN(INDEX(其他调用!$AK$5:$AK$364,MATCH($K99,其他调用!$AG$5:$AG$364,0),1)/INDEX(其他调用!AL$5:AL$364,MATCH($K99,其他调用!$AG$5:$AG$364,0),0),1)*INDEX(其他调用!AC$5:AC$404,MATCH($K99,其他调用!$X$5:$X$404,0),0)</f>
        <v>12357.035173872624</v>
      </c>
      <c r="AN99" s="12">
        <f>求节点(节奏总纲!D$4:D$163,标准城池设计!AF$4:AF$163,$K99)*求节点(节奏总纲!D$4:D$163,攻城基础信息!$AG$5:$AG$164,$K99)</f>
        <v>569879.74224785028</v>
      </c>
      <c r="AO99" s="12">
        <f>INDEX(其他调用!$AA$5:$AA$404,MATCH($K99,其他调用!$X$5:$X$404,0))*MIN(INDEX(其他调用!AL$5:AL$364,MATCH($K99,其他调用!$AG$5:$AG$364,0),1)/INDEX(其他调用!$AJ$5:$AJ$364,MATCH($K99,其他调用!$AG$5:$AG$364,0),0),5)*求节点(节奏总纲!D$4:D$163,攻城基础信息!$AG$5:$AG$164,$K99)</f>
        <v>580977.47292376682</v>
      </c>
      <c r="AP99" s="12">
        <f>MIN(INDEX(其他调用!$AL$5:$AL$364,MATCH($K99,其他调用!$AG$5:$AG$364,0),1)/INDEX(其他调用!AH$5:AH$364,MATCH($K99,其他调用!$AG$5:$AG$364,0),0),1)*INDEX(其他调用!Y$5:Y$404,MATCH($K99,其他调用!$X$5:$X$404,0),0)</f>
        <v>35787.668587083273</v>
      </c>
      <c r="AQ99" s="12">
        <f>MIN(INDEX(其他调用!$AL$5:$AL$364,MATCH($K99,其他调用!$AG$5:$AG$364,0),1)/INDEX(其他调用!AI$5:AI$364,MATCH($K99,其他调用!$AG$5:$AG$364,0),0),1)*INDEX(其他调用!Z$5:Z$404,MATCH($K99,其他调用!$X$5:$X$404,0),0)</f>
        <v>36929.339838294756</v>
      </c>
      <c r="AR99" s="12">
        <f>MIN(INDEX(其他调用!$AL$5:$AL$364,MATCH($K99,其他调用!$AG$5:$AG$364,0),1)/INDEX(其他调用!AJ$5:AJ$364,MATCH($K99,其他调用!$AG$5:$AG$364,0),0),1)*INDEX(其他调用!AA$5:AA$404,MATCH($K99,其他调用!$X$5:$X$404,0),0)</f>
        <v>38436.627453305089</v>
      </c>
      <c r="AS99" s="12">
        <f>MIN(INDEX(其他调用!$AL$5:$AL$364,MATCH($K99,其他调用!$AG$5:$AG$364,0),1)/INDEX(其他调用!AK$5:AK$364,MATCH($K99,其他调用!$AG$5:$AG$364,0),0),1)*INDEX(其他调用!AB$5:AB$404,MATCH($K99,其他调用!$X$5:$X$404,0),0)</f>
        <v>40619.099684813264</v>
      </c>
      <c r="AT99" s="12">
        <f>MIN(INDEX(其他调用!$AL$5:$AL$364,MATCH($K99,其他调用!$AG$5:$AG$364,0),1)/INDEX(其他调用!AL$5:AL$364,MATCH($K99,其他调用!$AG$5:$AG$364,0),0),1)*INDEX(其他调用!AC$5:AC$404,MATCH($K99,其他调用!$X$5:$X$404,0),0)</f>
        <v>44465.845975619392</v>
      </c>
      <c r="AV99" s="14">
        <f>IF(OR(AV$5="大R",AV$5="超R"),MAX(INDEX(其他调用!$H$5:$L$404,MATCH($K99,其他调用!$B$5:$B$404,0),MATCH(AV$5,其他调用!$H$4:$L$4,0))*120*0.85,2),INDEX(其他调用!$H$5:$L$404,MATCH($K99,其他调用!$B$5:$B$404,0),MATCH(AV$5,其他调用!$H$4:$L$4,0))*120*0.85)</f>
        <v>48.921801254999991</v>
      </c>
      <c r="AW99" s="14">
        <f>IF(OR(AW$5="大R",AW$5="超R"),MAX(INDEX(其他调用!$H$5:$L$404,MATCH($K99,其他调用!$B$5:$B$404,0),MATCH(AW$5,其他调用!$H$4:$L$4,0))*120*0.85,2),INDEX(其他调用!$H$5:$L$404,MATCH($K99,其他调用!$B$5:$B$404,0),MATCH(AW$5,其他调用!$H$4:$L$4,0))*120*0.85)</f>
        <v>48.237344010638395</v>
      </c>
      <c r="AX99" s="14">
        <f>IF(OR(AX$5="大R",AX$5="超R"),MAX(INDEX(其他调用!$H$5:$L$404,MATCH($K99,其他调用!$B$5:$B$404,0),MATCH(AX$5,其他调用!$H$4:$L$4,0))*120*0.85,2),INDEX(其他调用!$H$5:$L$404,MATCH($K99,其他调用!$B$5:$B$404,0),MATCH(AX$5,其他调用!$H$4:$L$4,0))*120*0.85)</f>
        <v>3.9376284143615998</v>
      </c>
      <c r="AY99" s="14">
        <f>IF(OR(AY$5="大R",AY$5="超R"),MAX(INDEX(其他调用!$H$5:$L$404,MATCH($K99,其他调用!$B$5:$B$404,0),MATCH(AY$5,其他调用!$H$4:$L$4,0))*120*0.85,2),INDEX(其他调用!$H$5:$L$404,MATCH($K99,其他调用!$B$5:$B$404,0),MATCH(AY$5,其他调用!$H$4:$L$4,0))*120*0.85)</f>
        <v>2</v>
      </c>
      <c r="AZ99" s="14">
        <f>IF(OR(AZ$5="大R",AZ$5="超R"),MAX(INDEX(其他调用!$H$5:$L$404,MATCH($K99,其他调用!$B$5:$B$404,0),MATCH(AZ$5,其他调用!$H$4:$L$4,0))*120*0.85,2),INDEX(其他调用!$H$5:$L$404,MATCH($K99,其他调用!$B$5:$B$404,0),MATCH(AZ$5,其他调用!$H$4:$L$4,0))*120*0.85)</f>
        <v>2</v>
      </c>
      <c r="BA99" s="14">
        <f>INDEX(其他调用!$H$5:$L$404,MATCH($K99,其他调用!$B$5:$B$404,0),MATCH(BA$5,其他调用!$H$4:$L$4,0))*INDEX(其他调用!$M$5:$M$404,MATCH($K99,其他调用!$B$5:$B$404,0))*0.6</f>
        <v>28.777530149999997</v>
      </c>
      <c r="BB99" s="14">
        <f>INDEX(其他调用!$H$5:$L$404,MATCH($K99,其他调用!$B$5:$B$404,0),MATCH(BB$5,其他调用!$H$4:$L$4,0))*INDEX(其他调用!$M$5:$M$404,MATCH($K99,其他调用!$B$5:$B$404,0))*0.6</f>
        <v>28.374908241551999</v>
      </c>
      <c r="BC99" s="14">
        <f>INDEX(其他调用!$H$5:$L$404,MATCH($K99,其他调用!$B$5:$B$404,0),MATCH(BC$5,其他调用!$H$4:$L$4,0))*INDEX(其他调用!$M$5:$M$404,MATCH($K99,其他调用!$B$5:$B$404,0))*0.6</f>
        <v>2.3162520084480001</v>
      </c>
      <c r="BD99" s="14">
        <f>INDEX(其他调用!$H$5:$L$404,MATCH($K99,其他调用!$B$5:$B$404,0),MATCH(BD$5,其他调用!$H$4:$L$4,0))*INDEX(其他调用!$M$5:$M$404,MATCH($K99,其他调用!$B$5:$B$404,0))*0.6</f>
        <v>0.4120776000000001</v>
      </c>
      <c r="BE99" s="14">
        <f>INDEX(其他调用!$H$5:$L$404,MATCH($K99,其他调用!$B$5:$B$404,0),MATCH(BE$5,其他调用!$H$4:$L$4,0))*INDEX(其他调用!$M$5:$M$404,MATCH($K99,其他调用!$B$5:$B$404,0))*0.6</f>
        <v>0.11923199999999998</v>
      </c>
      <c r="BF99" s="14">
        <f>IF(OR(BF$5="大R",BF$5="超R"),0,INDEX(其他调用!$H$5:$L$404,MATCH($K99,其他调用!$B$5:$B$404,0),MATCH(BF$5,其他调用!$H$4:$L$4,0))*50*0.4)</f>
        <v>9.5925100500000013</v>
      </c>
      <c r="BG99" s="14">
        <f>IF(OR(BG$5="大R",BG$5="超R"),0,INDEX(其他调用!$H$5:$L$404,MATCH($K99,其他调用!$B$5:$B$404,0),MATCH(BG$5,其他调用!$H$4:$L$4,0))*50*0.4)</f>
        <v>9.4583027471839998</v>
      </c>
      <c r="BH99" s="14">
        <f>IF(OR(BH$5="大R",BH$5="超R"),0,INDEX(其他调用!$H$5:$L$404,MATCH($K99,其他调用!$B$5:$B$404,0),MATCH(BH$5,其他调用!$H$4:$L$4,0))*50*0.4)</f>
        <v>0.77208400281600009</v>
      </c>
      <c r="BI99" s="14">
        <f>IF(OR(BI$5="大R",BI$5="超R"),0,INDEX(其他调用!$H$5:$L$404,MATCH($K99,其他调用!$B$5:$B$404,0),MATCH(BI$5,其他调用!$H$4:$L$4,0))*50*0.4)</f>
        <v>0</v>
      </c>
      <c r="BJ99" s="14">
        <f>IF(OR(BJ$5="大R",BJ$5="超R"),0,INDEX(其他调用!$H$5:$L$404,MATCH($K99,其他调用!$B$5:$B$404,0),MATCH(BJ$5,其他调用!$H$4:$L$4,0))*50*0.4)</f>
        <v>0</v>
      </c>
      <c r="BL99" s="14">
        <f t="shared" si="208"/>
        <v>94</v>
      </c>
      <c r="BM99" s="14">
        <f t="shared" si="115"/>
        <v>96</v>
      </c>
      <c r="BN99" s="14">
        <f>('疲劳值&amp;地图信息'!$S$10*'疲劳值&amp;地图信息'!$R$10+'疲劳值&amp;地图信息'!$S$11*'疲劳值&amp;地图信息'!$R$11+'疲劳值&amp;地图信息'!$S$12*'疲劳值&amp;地图信息'!$R$12+(BM99-'疲劳值&amp;地图信息'!$S$12-'疲劳值&amp;地图信息'!$S$11-'疲劳值&amp;地图信息'!$S$10)*'疲劳值&amp;地图信息'!$R$13)/BM99</f>
        <v>51.371477246638619</v>
      </c>
      <c r="BO99" s="14">
        <f>INDEX(其他调用!$M$5:$M$404,MATCH(BL99,其他调用!$B$5:$B$404,0))*0.6</f>
        <v>60</v>
      </c>
      <c r="BP99" s="14">
        <f>IF(BO99&gt;SUM('疲劳值&amp;地图信息'!$S$10:$S$12),('疲劳值&amp;地图信息'!$S$10*'疲劳值&amp;地图信息'!$R$10+'疲劳值&amp;地图信息'!$S$11*'疲劳值&amp;地图信息'!$R$11+'疲劳值&amp;地图信息'!$S$12*'疲劳值&amp;地图信息'!$R$12+(BO99-'疲劳值&amp;地图信息'!$S$12-'疲劳值&amp;地图信息'!$S$11-'疲劳值&amp;地图信息'!$S$10)*'疲劳值&amp;地图信息'!$R$13)/BO99,('疲劳值&amp;地图信息'!$S$10*'疲劳值&amp;地图信息'!$R$10+'疲劳值&amp;地图信息'!$S$11*'疲劳值&amp;地图信息'!$R$11+'疲劳值&amp;地图信息'!$S$12*'疲劳值&amp;地图信息'!$R$12+(BO99-'疲劳值&amp;地图信息'!$S$12-'疲劳值&amp;地图信息'!$S$11-'疲劳值&amp;地图信息'!$S$10)*'疲劳值&amp;地图信息'!$R$13)/BO99)</f>
        <v>44.158136341605953</v>
      </c>
      <c r="BQ99" s="14">
        <f t="shared" si="209"/>
        <v>20</v>
      </c>
      <c r="BR99" s="14">
        <f>('疲劳值&amp;地图信息'!$S$10*'疲劳值&amp;地图信息'!$R$10+($BQ99-'疲劳值&amp;地图信息'!$S$10)*'疲劳值&amp;地图信息'!$R$11)/$BQ99</f>
        <v>32.067203015074995</v>
      </c>
      <c r="CF99" s="14">
        <v>94</v>
      </c>
      <c r="CG99" s="51">
        <f t="shared" si="116"/>
        <v>9151</v>
      </c>
      <c r="CH99" s="51">
        <f t="shared" si="117"/>
        <v>840</v>
      </c>
      <c r="CI99" s="51">
        <f>INT(SUMPRODUCT($N99:$R99,$BA99:$BE99)/SUM($BA99:$BE99)/10000*$BX$7*$BZ$34/'疲劳值&amp;地图信息'!$R$10*$BY$53)</f>
        <v>2937</v>
      </c>
      <c r="CJ99" s="50">
        <f t="shared" si="118"/>
        <v>0.70784344059405946</v>
      </c>
      <c r="CK99" s="50">
        <f t="shared" si="119"/>
        <v>6.4975247524752477E-2</v>
      </c>
      <c r="CL99" s="50">
        <f t="shared" si="120"/>
        <v>0.22718131188118812</v>
      </c>
      <c r="CM99" s="14">
        <f t="shared" si="121"/>
        <v>9703</v>
      </c>
      <c r="CN99" s="14">
        <f t="shared" si="122"/>
        <v>1308</v>
      </c>
      <c r="CO99" s="14">
        <f>INT(SUMPRODUCT($U99:$Y99,$BA99:$BE99)/SUM($BA99:$BE99)/10000*$BX$7*$BZ$34/'疲劳值&amp;地图信息'!$R$10*$BY$54)</f>
        <v>5405</v>
      </c>
      <c r="CP99" s="50">
        <f t="shared" si="123"/>
        <v>0.59106968810916183</v>
      </c>
      <c r="CQ99" s="50">
        <f t="shared" si="124"/>
        <v>7.9678362573099418E-2</v>
      </c>
      <c r="CR99" s="50">
        <f t="shared" si="125"/>
        <v>0.32925194931773877</v>
      </c>
      <c r="CS99" s="14">
        <f t="shared" si="126"/>
        <v>10407</v>
      </c>
      <c r="CT99" s="14">
        <f t="shared" si="127"/>
        <v>2368</v>
      </c>
      <c r="CU99" s="14">
        <f>INT(SUMPRODUCT($AB99:$AF99,$BA99:$BE99)/SUM($BA99:$BE99)/10000*$BX$7*$BZ$34/'疲劳值&amp;地图信息'!$R$10*$BY$55)</f>
        <v>7353</v>
      </c>
      <c r="CV99" s="50">
        <f t="shared" si="128"/>
        <v>0.51704093799682038</v>
      </c>
      <c r="CW99" s="50">
        <f t="shared" si="129"/>
        <v>0.11764705882352941</v>
      </c>
      <c r="CX99" s="50">
        <f t="shared" si="130"/>
        <v>0.36531200317965024</v>
      </c>
      <c r="CY99" s="14">
        <f t="shared" si="131"/>
        <v>11801</v>
      </c>
      <c r="CZ99" s="14">
        <f t="shared" si="132"/>
        <v>5827</v>
      </c>
      <c r="DA99" s="14">
        <f>INT(SUMPRODUCT($AI99:$AM99,$BA99:$BE99)/SUM($BA99:$BE99)/10000*$BX$7*$BZ$34/'疲劳值&amp;地图信息'!$R$10*$BY$56)</f>
        <v>11085</v>
      </c>
      <c r="DB99" s="50">
        <f t="shared" si="133"/>
        <v>0.4109985024205064</v>
      </c>
      <c r="DC99" s="50">
        <f t="shared" si="134"/>
        <v>0.20293943509908405</v>
      </c>
      <c r="DD99" s="50">
        <f t="shared" si="135"/>
        <v>0.38606206248040958</v>
      </c>
      <c r="DE99" s="14">
        <f t="shared" si="136"/>
        <v>11614</v>
      </c>
      <c r="DF99" s="14">
        <f t="shared" si="137"/>
        <v>11841</v>
      </c>
      <c r="DG99" s="14">
        <f>INT(SUMPRODUCT($AP99:$AT99,$BA99:$BE99)/SUM($BA99:$BE99)/10000*$BX$7*$BZ$34/'疲劳值&amp;地图信息'!$R$10*$BY$57)</f>
        <v>14806</v>
      </c>
      <c r="DH99" s="50">
        <f t="shared" si="138"/>
        <v>0.30354669245445753</v>
      </c>
      <c r="DI99" s="50">
        <f t="shared" si="139"/>
        <v>0.30947962677399965</v>
      </c>
      <c r="DJ99" s="50">
        <f t="shared" si="140"/>
        <v>0.38697368077154282</v>
      </c>
      <c r="DL99" s="14">
        <f t="shared" si="211"/>
        <v>12928</v>
      </c>
      <c r="DM99" s="14">
        <f t="shared" si="212"/>
        <v>16416</v>
      </c>
      <c r="DN99" s="14">
        <f t="shared" si="213"/>
        <v>20128</v>
      </c>
      <c r="DO99" s="14">
        <f t="shared" si="214"/>
        <v>28713</v>
      </c>
      <c r="DP99" s="14">
        <f t="shared" si="215"/>
        <v>38261</v>
      </c>
      <c r="DQ99" s="14">
        <f t="shared" si="216"/>
        <v>900853</v>
      </c>
      <c r="DT99" s="14">
        <f t="shared" si="210"/>
        <v>235575</v>
      </c>
      <c r="DU99" s="50">
        <f t="shared" si="112"/>
        <v>0.20729425885317856</v>
      </c>
      <c r="DW99" s="14">
        <f t="shared" si="141"/>
        <v>1136428</v>
      </c>
      <c r="EB99" s="14">
        <v>94</v>
      </c>
      <c r="EC99" s="51">
        <f t="shared" si="142"/>
        <v>15252</v>
      </c>
      <c r="ED99" s="51">
        <f t="shared" si="143"/>
        <v>1400</v>
      </c>
      <c r="EE99" s="51">
        <f>INT(SUMPRODUCT($N99:$R99,$BF99:$BJ99)/SUM($BF99:$BJ99)/10000*$BX$7*$BZ$46/'疲劳值&amp;地图信息'!$R$10*$BY$53)</f>
        <v>394</v>
      </c>
      <c r="EF99" s="50">
        <f t="shared" si="144"/>
        <v>0.89475536782822951</v>
      </c>
      <c r="EG99" s="50">
        <f t="shared" si="145"/>
        <v>8.2130705150768507E-2</v>
      </c>
      <c r="EH99" s="50">
        <f t="shared" si="146"/>
        <v>2.3113927021001995E-2</v>
      </c>
      <c r="EI99" s="51">
        <f t="shared" si="147"/>
        <v>16171</v>
      </c>
      <c r="EJ99" s="51">
        <f t="shared" si="148"/>
        <v>2180</v>
      </c>
      <c r="EK99" s="14">
        <f>INT(SUMPRODUCT($U99:$Y99,$BF99:$BJ99)/SUM($BF99:$BJ99)/10000*$BX$7*$BZ$46/'疲劳值&amp;地图信息'!$R$10*$BY$54)</f>
        <v>725</v>
      </c>
      <c r="EL99" s="50">
        <f t="shared" si="149"/>
        <v>0.84771440553575172</v>
      </c>
      <c r="EM99" s="50">
        <f t="shared" si="150"/>
        <v>0.1142797232124135</v>
      </c>
      <c r="EN99" s="50">
        <f t="shared" si="151"/>
        <v>3.8005871251834765E-2</v>
      </c>
      <c r="EO99" s="51">
        <f t="shared" si="152"/>
        <v>17346</v>
      </c>
      <c r="EP99" s="51">
        <f t="shared" si="153"/>
        <v>3947</v>
      </c>
      <c r="EQ99" s="14">
        <f>INT(SUMPRODUCT($AB99:$AF99,$BF99:$BJ99)/SUM($BF99:$BJ99)/10000*$BX$7*$BZ$46/'疲劳值&amp;地图信息'!$R$10*$BY$55)</f>
        <v>985</v>
      </c>
      <c r="ER99" s="50">
        <f t="shared" si="154"/>
        <v>0.77861567465661186</v>
      </c>
      <c r="ES99" s="50">
        <f t="shared" si="155"/>
        <v>0.17717030254062305</v>
      </c>
      <c r="ET99" s="50">
        <f t="shared" si="156"/>
        <v>4.4214022802765061E-2</v>
      </c>
      <c r="EU99" s="51">
        <f t="shared" si="157"/>
        <v>19669</v>
      </c>
      <c r="EV99" s="51">
        <f t="shared" si="158"/>
        <v>9712</v>
      </c>
      <c r="EW99" s="14">
        <f>INT(SUMPRODUCT($AI99:$AM99,$BF99:$BJ99)/SUM($BF99:$BJ99)/10000*$BX$7*$BZ$46/'疲劳值&amp;地图信息'!$R$10*$BY$56)</f>
        <v>1478</v>
      </c>
      <c r="EX99" s="50">
        <f t="shared" si="159"/>
        <v>0.63738293528630219</v>
      </c>
      <c r="EY99" s="50">
        <f t="shared" si="160"/>
        <v>0.31472179915097703</v>
      </c>
      <c r="EZ99" s="50">
        <f t="shared" si="161"/>
        <v>4.7895265562720765E-2</v>
      </c>
      <c r="FA99" s="51">
        <f t="shared" si="162"/>
        <v>19358</v>
      </c>
      <c r="FB99" s="51">
        <f t="shared" si="163"/>
        <v>19735</v>
      </c>
      <c r="FC99" s="14">
        <f>INT(SUMPRODUCT($AP99:$AT99,$BF99:$BJ99)/SUM($BF99:$BJ99)/10000*$BX$7*$BZ$46/'疲劳值&amp;地图信息'!$R$10*$BY$57)</f>
        <v>1971</v>
      </c>
      <c r="FD99" s="50">
        <f t="shared" si="164"/>
        <v>0.47141048120007795</v>
      </c>
      <c r="FE99" s="50">
        <f t="shared" si="165"/>
        <v>0.48059127216052988</v>
      </c>
      <c r="FF99" s="50">
        <f t="shared" si="166"/>
        <v>4.7998246639392166E-2</v>
      </c>
      <c r="FH99" s="14">
        <f t="shared" si="167"/>
        <v>17046</v>
      </c>
      <c r="FI99" s="14">
        <f t="shared" si="168"/>
        <v>19076</v>
      </c>
      <c r="FJ99" s="14">
        <f t="shared" si="169"/>
        <v>22278</v>
      </c>
      <c r="FK99" s="14">
        <f t="shared" si="170"/>
        <v>30859</v>
      </c>
      <c r="FL99" s="14">
        <f t="shared" si="171"/>
        <v>41064</v>
      </c>
      <c r="FM99" s="14">
        <f t="shared" si="172"/>
        <v>1985665</v>
      </c>
      <c r="FP99" s="14">
        <f t="shared" si="173"/>
        <v>334150</v>
      </c>
      <c r="FQ99" s="50">
        <f t="shared" si="113"/>
        <v>0.1440416584943196</v>
      </c>
      <c r="FS99" s="14">
        <f t="shared" si="174"/>
        <v>2319815</v>
      </c>
      <c r="FX99" s="14">
        <v>94</v>
      </c>
      <c r="FY99" s="51">
        <f t="shared" si="175"/>
        <v>21353</v>
      </c>
      <c r="FZ99" s="51">
        <f t="shared" si="176"/>
        <v>1400</v>
      </c>
      <c r="GA99" s="51">
        <f>INT(SUMPRODUCT($N99:$R99,$BF99:$BJ99)/SUM($BF99:$BJ99)/10000*$BX$7*$BZ$46/'疲劳值&amp;地图信息'!$R$10*$BY$53)</f>
        <v>394</v>
      </c>
      <c r="GB99" s="50">
        <f t="shared" si="177"/>
        <v>0.92249535576964614</v>
      </c>
      <c r="GC99" s="50">
        <f t="shared" si="178"/>
        <v>6.0482999956797859E-2</v>
      </c>
      <c r="GD99" s="50">
        <f t="shared" si="179"/>
        <v>1.7021644273555969E-2</v>
      </c>
      <c r="GE99" s="51">
        <f t="shared" si="180"/>
        <v>22640</v>
      </c>
      <c r="GF99" s="51">
        <f t="shared" si="181"/>
        <v>2180</v>
      </c>
      <c r="GG99" s="14">
        <f>INT(SUMPRODUCT($U99:$Y99,$BF99:$BJ99)/SUM($BF99:$BJ99)/10000*$BX$7*$BZ$46/'疲劳值&amp;地图信息'!$R$10*$BY$54)</f>
        <v>725</v>
      </c>
      <c r="GH99" s="50">
        <f t="shared" si="182"/>
        <v>0.88627911528674885</v>
      </c>
      <c r="GI99" s="50">
        <f t="shared" si="183"/>
        <v>8.5339596789978475E-2</v>
      </c>
      <c r="GJ99" s="50">
        <f t="shared" si="184"/>
        <v>2.8381287923272658E-2</v>
      </c>
      <c r="GK99" s="51">
        <f t="shared" si="185"/>
        <v>24285</v>
      </c>
      <c r="GL99" s="51">
        <f t="shared" si="186"/>
        <v>3947</v>
      </c>
      <c r="GM99" s="14">
        <f>INT(SUMPRODUCT($AB99:$AF99,$BF99:$BJ99)/SUM($BF99:$BJ99)/10000*$BX$7*$BZ$46/'疲劳值&amp;地图信息'!$R$10*$BY$55)</f>
        <v>985</v>
      </c>
      <c r="GN99" s="50">
        <f t="shared" si="187"/>
        <v>0.83119416777903277</v>
      </c>
      <c r="GO99" s="50">
        <f t="shared" si="188"/>
        <v>0.13509258308519012</v>
      </c>
      <c r="GP99" s="50">
        <f t="shared" si="189"/>
        <v>3.3713249135777119E-2</v>
      </c>
      <c r="GQ99" s="51">
        <f t="shared" si="190"/>
        <v>27537</v>
      </c>
      <c r="GR99" s="51">
        <f t="shared" si="191"/>
        <v>9712</v>
      </c>
      <c r="GS99" s="14">
        <f>INT(SUMPRODUCT($AI99:$AM99,$BF99:$BJ99)/SUM($BF99:$BJ99)/10000*$BX$7*$BZ$46/'疲劳值&amp;地图信息'!$R$10*$BY$56)</f>
        <v>1478</v>
      </c>
      <c r="GT99" s="50">
        <f t="shared" si="192"/>
        <v>0.71105430319931828</v>
      </c>
      <c r="GU99" s="50">
        <f t="shared" si="193"/>
        <v>0.2507811087871511</v>
      </c>
      <c r="GV99" s="50">
        <f t="shared" si="194"/>
        <v>3.8164588013530613E-2</v>
      </c>
      <c r="GW99" s="51">
        <f t="shared" si="195"/>
        <v>27101</v>
      </c>
      <c r="GX99" s="51">
        <f t="shared" si="196"/>
        <v>19735</v>
      </c>
      <c r="GY99" s="14">
        <f>INT(SUMPRODUCT($AP99:$AT99,$BF99:$BJ99)/SUM($BF99:$BJ99)/10000*$BX$7*$BZ$46/'疲劳值&amp;地图信息'!$R$10*$BY$57)</f>
        <v>1971</v>
      </c>
      <c r="GZ99" s="50">
        <f t="shared" si="197"/>
        <v>0.55526871145532408</v>
      </c>
      <c r="HA99" s="50">
        <f t="shared" si="198"/>
        <v>0.40434773700493781</v>
      </c>
      <c r="HB99" s="50">
        <f t="shared" si="199"/>
        <v>4.0383551539738154E-2</v>
      </c>
      <c r="HD99" s="14">
        <f t="shared" si="200"/>
        <v>23147</v>
      </c>
      <c r="HE99" s="14">
        <f t="shared" si="201"/>
        <v>25545</v>
      </c>
      <c r="HF99" s="14">
        <f t="shared" si="202"/>
        <v>29217</v>
      </c>
      <c r="HG99" s="14">
        <f t="shared" si="203"/>
        <v>38727</v>
      </c>
      <c r="HH99" s="14">
        <f t="shared" si="204"/>
        <v>48807</v>
      </c>
      <c r="HI99" s="14">
        <f t="shared" si="205"/>
        <v>2654729</v>
      </c>
      <c r="HL99" s="14">
        <f t="shared" si="206"/>
        <v>430050</v>
      </c>
      <c r="HM99" s="50">
        <f t="shared" si="114"/>
        <v>0.13941031107901083</v>
      </c>
      <c r="HO99" s="14">
        <f t="shared" si="207"/>
        <v>3084779</v>
      </c>
    </row>
    <row r="100" spans="11:223" x14ac:dyDescent="0.2">
      <c r="K100" s="14">
        <v>95</v>
      </c>
      <c r="L100" s="12">
        <f>求节点(节奏总纲!D$4:D$163,标准城池设计!AB$4:AB$163,$K100)*求节点(节奏总纲!D$4:D$163,攻城基础信息!$AC$5:$AC$164,$K100)</f>
        <v>451178.53924102354</v>
      </c>
      <c r="M100" s="12">
        <f>INDEX(其他调用!$AA$5:$AA$404,MATCH(K100,其他调用!$X$5:$X$404,0))*MIN(INDEX(其他调用!$AH$5:$AH$364,MATCH('征服点（新）'!K100,其他调用!$AG$5:$AG$364,0),1)/INDEX(其他调用!$AJ$5:$AJ$364,MATCH(K100,其他调用!$AG$5:$AG$364,0),0),5)*求节点(节奏总纲!D$4:D$163,攻城基础信息!$AC$5:$AC$164,$K100)</f>
        <v>41395.294017073546</v>
      </c>
      <c r="N100" s="12">
        <f>MIN(INDEX(其他调用!$AH$5:$AH$364,MATCH($K100,其他调用!$AG$5:$AG$364,0),1)/INDEX(其他调用!AH$5:AH$364,MATCH($K100,其他调用!$AG$5:$AG$364,0),0),1)*INDEX(其他调用!Y$5:Y$404,MATCH($K100,其他调用!$X$5:$X$404,0),0)</f>
        <v>35849.702670467697</v>
      </c>
      <c r="O100" s="12">
        <f>MIN(INDEX(其他调用!$AH$5:$AH$364,MATCH($K100,其他调用!$AG$5:$AG$364,0),1)/INDEX(其他调用!AI$5:AI$364,MATCH($K100,其他调用!$AG$5:$AG$364,0),0),1)*INDEX(其他调用!Z$5:Z$404,MATCH($K100,其他调用!$X$5:$X$404,0),0)</f>
        <v>23702.135793638663</v>
      </c>
      <c r="P100" s="12">
        <f>MIN(INDEX(其他调用!$AH$5:$AH$364,MATCH($K100,其他调用!$AG$5:$AG$364,0),1)/INDEX(其他调用!AJ$5:AJ$364,MATCH($K100,其他调用!$AG$5:$AG$364,0),0),1)*INDEX(其他调用!AA$5:AA$404,MATCH($K100,其他调用!$X$5:$X$404,0),0)</f>
        <v>13670.060123684787</v>
      </c>
      <c r="Q100" s="12">
        <f>MIN(INDEX(其他调用!$AH$5:$AH$364,MATCH($K100,其他调用!$AG$5:$AG$364,0),1)/INDEX(其他调用!AK$5:AK$364,MATCH($K100,其他调用!$AG$5:$AG$364,0),0),1)*INDEX(其他调用!AB$5:AB$404,MATCH($K100,其他调用!$X$5:$X$404,0),0)</f>
        <v>5848.8844117567269</v>
      </c>
      <c r="R100" s="12">
        <f>MIN(INDEX(其他调用!$AH$5:$AH$364,MATCH($K100,其他调用!$AG$5:$AG$364,0),1)/INDEX(其他调用!AL$5:AL$364,MATCH($K100,其他调用!$AG$5:$AG$364,0),0),1)*INDEX(其他调用!AC$5:AC$404,MATCH($K100,其他调用!$X$5:$X$404,0),0)</f>
        <v>1782.6942311444805</v>
      </c>
      <c r="S100" s="12">
        <f>求节点(节奏总纲!D$4:D$163,标准城池设计!AC$4:AC$163,$K100)*求节点(节奏总纲!D$4:D$163,攻城基础信息!$AD$5:$AD$164,$K100)</f>
        <v>478583.13363245677</v>
      </c>
      <c r="T100" s="12">
        <f>INDEX(其他调用!$AA$5:$AA$404,MATCH($K100,其他调用!$X$5:$X$404,0))*MIN(INDEX(其他调用!AI$5:AI$364,MATCH($K100,其他调用!$AG$5:$AG$364,0),1)/INDEX(其他调用!$AJ$5:$AJ$364,MATCH($K100,其他调用!$AG$5:$AG$364,0),0),5)*求节点(节奏总纲!D$4:D$163,攻城基础信息!$AD$5:$AD$164,$K100)</f>
        <v>64605.050295252717</v>
      </c>
      <c r="U100" s="12">
        <f>MIN(INDEX(其他调用!$AI$5:$AI$364,MATCH($K100,其他调用!$AG$5:$AG$364,0),1)/INDEX(其他调用!AH$5:AH$364,MATCH($K100,其他调用!$AG$5:$AG$364,0),0),1)*INDEX(其他调用!Y$5:Y$404,MATCH($K100,其他调用!$X$5:$X$404,0),0)</f>
        <v>35849.702670467697</v>
      </c>
      <c r="V100" s="12">
        <f>MIN(INDEX(其他调用!$AI$5:$AI$364,MATCH($K100,其他调用!$AG$5:$AG$364,0),1)/INDEX(其他调用!AI$5:AI$364,MATCH($K100,其他调用!$AG$5:$AG$364,0),0),1)*INDEX(其他调用!Z$5:Z$404,MATCH($K100,其他调用!$X$5:$X$404,0),0)</f>
        <v>36991.588329372855</v>
      </c>
      <c r="W100" s="12">
        <f>MIN(INDEX(其他调用!$AI$5:$AI$364,MATCH($K100,其他调用!$AG$5:$AG$364,0),1)/INDEX(其他调用!AJ$5:AJ$364,MATCH($K100,其他调用!$AG$5:$AG$364,0),0),1)*INDEX(其他调用!AA$5:AA$404,MATCH($K100,其他调用!$X$5:$X$404,0),0)</f>
        <v>21334.669623690217</v>
      </c>
      <c r="X100" s="12">
        <f>MIN(INDEX(其他调用!$AI$5:$AI$364,MATCH($K100,其他调用!$AG$5:$AG$364,0),1)/INDEX(其他调用!AK$5:AK$364,MATCH($K100,其他调用!$AG$5:$AG$364,0),0),1)*INDEX(其他调用!AB$5:AB$404,MATCH($K100,其他调用!$X$5:$X$404,0),0)</f>
        <v>9128.2712338463152</v>
      </c>
      <c r="Y100" s="12">
        <f>MIN(INDEX(其他调用!$AI$5:$AI$364,MATCH($K100,其他调用!$AG$5:$AG$364,0),1)/INDEX(其他调用!AL$5:AL$364,MATCH($K100,其他调用!$AG$5:$AG$364,0),0),1)*INDEX(其他调用!AC$5:AC$404,MATCH($K100,其他调用!$X$5:$X$404,0),0)</f>
        <v>2782.2256901145238</v>
      </c>
      <c r="Z100" s="12">
        <f>求节点(节奏总纲!D$4:D$163,标准城池设计!AD$4:AD$163,$K100)*求节点(节奏总纲!D$4:D$163,攻城基础信息!$AE$5:$AE$164,$K100)</f>
        <v>513697.47230219003</v>
      </c>
      <c r="AA100" s="12">
        <f>INDEX(其他调用!$AA$5:$AA$404,MATCH($K100,其他调用!$X$5:$X$404,0))*MIN(INDEX(其他调用!AJ$5:AJ$364,MATCH($K100,其他调用!$AG$5:$AG$364,0),1)/INDEX(其他调用!$AJ$5:$AJ$364,MATCH($K100,其他调用!$AG$5:$AG$364,0),0),5)*求节点(节奏总纲!D$4:D$163,攻城基础信息!$AE$5:$AE$164,$K100)</f>
        <v>116579.86480000278</v>
      </c>
      <c r="AB100" s="12">
        <f>MIN(INDEX(其他调用!$AJ$5:$AJ$364,MATCH($K100,其他调用!$AG$5:$AG$364,0),1)/INDEX(其他调用!AH$5:AH$364,MATCH($K100,其他调用!$AG$5:$AG$364,0),0),1)*INDEX(其他调用!Y$5:Y$404,MATCH($K100,其他调用!$X$5:$X$404,0),0)</f>
        <v>35849.702670467697</v>
      </c>
      <c r="AC100" s="12">
        <f>MIN(INDEX(其他调用!$AJ$5:$AJ$364,MATCH($K100,其他调用!$AG$5:$AG$364,0),1)/INDEX(其他调用!AI$5:AI$364,MATCH($K100,其他调用!$AG$5:$AG$364,0),0),1)*INDEX(其他调用!Z$5:Z$404,MATCH($K100,其他调用!$X$5:$X$404,0),0)</f>
        <v>36991.588329372855</v>
      </c>
      <c r="AD100" s="12">
        <f>MIN(INDEX(其他调用!$AJ$5:$AJ$364,MATCH($K100,其他调用!$AG$5:$AG$364,0),1)/INDEX(其他调用!AJ$5:AJ$364,MATCH($K100,其他调用!$AG$5:$AG$364,0),0),1)*INDEX(其他调用!AA$5:AA$404,MATCH($K100,其他调用!$X$5:$X$404,0),0)</f>
        <v>38498.428356850833</v>
      </c>
      <c r="AE100" s="12">
        <f>MIN(INDEX(其他调用!$AJ$5:$AJ$364,MATCH($K100,其他调用!$AG$5:$AG$364,0),1)/INDEX(其他调用!AK$5:AK$364,MATCH($K100,其他调用!$AG$5:$AG$364,0),0),1)*INDEX(其他调用!AB$5:AB$404,MATCH($K100,其他调用!$X$5:$X$404,0),0)</f>
        <v>16471.972724054285</v>
      </c>
      <c r="AF100" s="12">
        <f>MIN(INDEX(其他调用!$AJ$5:$AJ$364,MATCH($K100,其他调用!$AG$5:$AG$364,0),1)/INDEX(其他调用!AL$5:AL$364,MATCH($K100,其他调用!$AG$5:$AG$364,0),0),1)*INDEX(其他调用!AC$5:AC$404,MATCH($K100,其他调用!$X$5:$X$404,0),0)</f>
        <v>5020.5284774846687</v>
      </c>
      <c r="AG100" s="12">
        <f>求节点(节奏总纲!D$4:D$163,标准城池设计!AE$4:AE$163,$K100)*求节点(节奏总纲!D$4:D$163,攻城基础信息!$AF$5:$AF$164,$K100)</f>
        <v>582218.11649452441</v>
      </c>
      <c r="AH100" s="12">
        <f>INDEX(其他调用!$AA$5:$AA$404,MATCH($K100,其他调用!$X$5:$X$404,0))*MIN(INDEX(其他调用!AK$5:AK$364,MATCH($K100,其他调用!$AG$5:$AG$364,0),1)/INDEX(其他调用!$AJ$5:$AJ$364,MATCH($K100,其他调用!$AG$5:$AG$364,0),0),5)*求节点(节奏总纲!D$4:D$163,攻城基础信息!$AF$5:$AF$164,$K100)</f>
        <v>287903.17201766628</v>
      </c>
      <c r="AI100" s="12">
        <f>MIN(INDEX(其他调用!$AK$5:$AK$364,MATCH($K100,其他调用!$AG$5:$AG$364,0),1)/INDEX(其他调用!AH$5:AH$364,MATCH($K100,其他调用!$AG$5:$AG$364,0),0),1)*INDEX(其他调用!Y$5:Y$404,MATCH($K100,其他调用!$X$5:$X$404,0),0)</f>
        <v>35849.702670467697</v>
      </c>
      <c r="AJ100" s="12">
        <f>MIN(INDEX(其他调用!$AK$5:$AK$364,MATCH($K100,其他调用!$AG$5:$AG$364,0),1)/INDEX(其他调用!AI$5:AI$364,MATCH($K100,其他调用!$AG$5:$AG$364,0),0),1)*INDEX(其他调用!Z$5:Z$404,MATCH($K100,其他调用!$X$5:$X$404,0),0)</f>
        <v>36991.588329372855</v>
      </c>
      <c r="AK100" s="12">
        <f>MIN(INDEX(其他调用!$AK$5:$AK$364,MATCH($K100,其他调用!$AG$5:$AG$364,0),1)/INDEX(其他调用!AJ$5:AJ$364,MATCH($K100,其他调用!$AG$5:$AG$364,0),0),1)*INDEX(其他调用!AA$5:AA$404,MATCH($K100,其他调用!$X$5:$X$404,0),0)</f>
        <v>38498.428356850833</v>
      </c>
      <c r="AL100" s="12">
        <f>MIN(INDEX(其他调用!$AK$5:$AK$364,MATCH($K100,其他调用!$AG$5:$AG$364,0),1)/INDEX(其他调用!AK$5:AK$364,MATCH($K100,其他调用!$AG$5:$AG$364,0),0),1)*INDEX(其他调用!AB$5:AB$404,MATCH($K100,其他调用!$X$5:$X$404,0),0)</f>
        <v>40678.83596176203</v>
      </c>
      <c r="AM100" s="12">
        <f>MIN(INDEX(其他调用!$AK$5:$AK$364,MATCH($K100,其他调用!$AG$5:$AG$364,0),1)/INDEX(其他调用!AL$5:AL$364,MATCH($K100,其他调用!$AG$5:$AG$364,0),0),1)*INDEX(其他调用!AC$5:AC$404,MATCH($K100,其他调用!$X$5:$X$404,0),0)</f>
        <v>12398.591097635466</v>
      </c>
      <c r="AN100" s="12">
        <f>求节点(节奏总纲!D$4:D$163,标准城池设计!AF$4:AF$163,$K100)*求节点(节奏总纲!D$4:D$163,攻城基础信息!$AG$5:$AG$164,$K100)</f>
        <v>572852.77177905163</v>
      </c>
      <c r="AO100" s="12">
        <f>INDEX(其他调用!$AA$5:$AA$404,MATCH($K100,其他调用!$X$5:$X$404,0))*MIN(INDEX(其他调用!AL$5:AL$364,MATCH($K100,其他调用!$AG$5:$AG$364,0),1)/INDEX(其他调用!$AJ$5:$AJ$364,MATCH($K100,其他调用!$AG$5:$AG$364,0),0),5)*求节点(节奏总纲!D$4:D$163,攻城基础信息!$AG$5:$AG$164,$K100)</f>
        <v>582899.32400001388</v>
      </c>
      <c r="AP100" s="12">
        <f>MIN(INDEX(其他调用!$AL$5:$AL$364,MATCH($K100,其他调用!$AG$5:$AG$364,0),1)/INDEX(其他调用!AH$5:AH$364,MATCH($K100,其他调用!$AG$5:$AG$364,0),0),1)*INDEX(其他调用!Y$5:Y$404,MATCH($K100,其他调用!$X$5:$X$404,0),0)</f>
        <v>35849.702670467697</v>
      </c>
      <c r="AQ100" s="12">
        <f>MIN(INDEX(其他调用!$AL$5:$AL$364,MATCH($K100,其他调用!$AG$5:$AG$364,0),1)/INDEX(其他调用!AI$5:AI$364,MATCH($K100,其他调用!$AG$5:$AG$364,0),0),1)*INDEX(其他调用!Z$5:Z$404,MATCH($K100,其他调用!$X$5:$X$404,0),0)</f>
        <v>36991.588329372855</v>
      </c>
      <c r="AR100" s="12">
        <f>MIN(INDEX(其他调用!$AL$5:$AL$364,MATCH($K100,其他调用!$AG$5:$AG$364,0),1)/INDEX(其他调用!AJ$5:AJ$364,MATCH($K100,其他调用!$AG$5:$AG$364,0),0),1)*INDEX(其他调用!AA$5:AA$404,MATCH($K100,其他调用!$X$5:$X$404,0),0)</f>
        <v>38498.428356850833</v>
      </c>
      <c r="AS100" s="12">
        <f>MIN(INDEX(其他调用!$AL$5:$AL$364,MATCH($K100,其他调用!$AG$5:$AG$364,0),1)/INDEX(其他调用!AK$5:AK$364,MATCH($K100,其他调用!$AG$5:$AG$364,0),0),1)*INDEX(其他调用!AB$5:AB$404,MATCH($K100,其他调用!$X$5:$X$404,0),0)</f>
        <v>40678.83596176203</v>
      </c>
      <c r="AT100" s="12">
        <f>MIN(INDEX(其他调用!$AL$5:$AL$364,MATCH($K100,其他调用!$AG$5:$AG$364,0),1)/INDEX(其他调用!AL$5:AL$364,MATCH($K100,其他调用!$AG$5:$AG$364,0),0),1)*INDEX(其他调用!AC$5:AC$404,MATCH($K100,其他调用!$X$5:$X$404,0),0)</f>
        <v>44527.505520429251</v>
      </c>
      <c r="AV100" s="14">
        <f>IF(OR(AV$5="大R",AV$5="超R"),MAX(INDEX(其他调用!$H$5:$L$404,MATCH($K100,其他调用!$B$5:$B$404,0),MATCH(AV$5,其他调用!$H$4:$L$4,0))*120*0.85,2),INDEX(其他调用!$H$5:$L$404,MATCH($K100,其他调用!$B$5:$B$404,0),MATCH(AV$5,其他调用!$H$4:$L$4,0))*120*0.85)</f>
        <v>48.921801254999991</v>
      </c>
      <c r="AW100" s="14">
        <f>IF(OR(AW$5="大R",AW$5="超R"),MAX(INDEX(其他调用!$H$5:$L$404,MATCH($K100,其他调用!$B$5:$B$404,0),MATCH(AW$5,其他调用!$H$4:$L$4,0))*120*0.85,2),INDEX(其他调用!$H$5:$L$404,MATCH($K100,其他调用!$B$5:$B$404,0),MATCH(AW$5,其他调用!$H$4:$L$4,0))*120*0.85)</f>
        <v>48.237344010638395</v>
      </c>
      <c r="AX100" s="14">
        <f>IF(OR(AX$5="大R",AX$5="超R"),MAX(INDEX(其他调用!$H$5:$L$404,MATCH($K100,其他调用!$B$5:$B$404,0),MATCH(AX$5,其他调用!$H$4:$L$4,0))*120*0.85,2),INDEX(其他调用!$H$5:$L$404,MATCH($K100,其他调用!$B$5:$B$404,0),MATCH(AX$5,其他调用!$H$4:$L$4,0))*120*0.85)</f>
        <v>3.9376284143615998</v>
      </c>
      <c r="AY100" s="14">
        <f>IF(OR(AY$5="大R",AY$5="超R"),MAX(INDEX(其他调用!$H$5:$L$404,MATCH($K100,其他调用!$B$5:$B$404,0),MATCH(AY$5,其他调用!$H$4:$L$4,0))*120*0.85,2),INDEX(其他调用!$H$5:$L$404,MATCH($K100,其他调用!$B$5:$B$404,0),MATCH(AY$5,其他调用!$H$4:$L$4,0))*120*0.85)</f>
        <v>2</v>
      </c>
      <c r="AZ100" s="14">
        <f>IF(OR(AZ$5="大R",AZ$5="超R"),MAX(INDEX(其他调用!$H$5:$L$404,MATCH($K100,其他调用!$B$5:$B$404,0),MATCH(AZ$5,其他调用!$H$4:$L$4,0))*120*0.85,2),INDEX(其他调用!$H$5:$L$404,MATCH($K100,其他调用!$B$5:$B$404,0),MATCH(AZ$5,其他调用!$H$4:$L$4,0))*120*0.85)</f>
        <v>2</v>
      </c>
      <c r="BA100" s="14">
        <f>INDEX(其他调用!$H$5:$L$404,MATCH($K100,其他调用!$B$5:$B$404,0),MATCH(BA$5,其他调用!$H$4:$L$4,0))*INDEX(其他调用!$M$5:$M$404,MATCH($K100,其他调用!$B$5:$B$404,0))*0.6</f>
        <v>28.777530149999997</v>
      </c>
      <c r="BB100" s="14">
        <f>INDEX(其他调用!$H$5:$L$404,MATCH($K100,其他调用!$B$5:$B$404,0),MATCH(BB$5,其他调用!$H$4:$L$4,0))*INDEX(其他调用!$M$5:$M$404,MATCH($K100,其他调用!$B$5:$B$404,0))*0.6</f>
        <v>28.374908241551999</v>
      </c>
      <c r="BC100" s="14">
        <f>INDEX(其他调用!$H$5:$L$404,MATCH($K100,其他调用!$B$5:$B$404,0),MATCH(BC$5,其他调用!$H$4:$L$4,0))*INDEX(其他调用!$M$5:$M$404,MATCH($K100,其他调用!$B$5:$B$404,0))*0.6</f>
        <v>2.3162520084480001</v>
      </c>
      <c r="BD100" s="14">
        <f>INDEX(其他调用!$H$5:$L$404,MATCH($K100,其他调用!$B$5:$B$404,0),MATCH(BD$5,其他调用!$H$4:$L$4,0))*INDEX(其他调用!$M$5:$M$404,MATCH($K100,其他调用!$B$5:$B$404,0))*0.6</f>
        <v>0.4120776000000001</v>
      </c>
      <c r="BE100" s="14">
        <f>INDEX(其他调用!$H$5:$L$404,MATCH($K100,其他调用!$B$5:$B$404,0),MATCH(BE$5,其他调用!$H$4:$L$4,0))*INDEX(其他调用!$M$5:$M$404,MATCH($K100,其他调用!$B$5:$B$404,0))*0.6</f>
        <v>0.11923199999999998</v>
      </c>
      <c r="BF100" s="14">
        <f>IF(OR(BF$5="大R",BF$5="超R"),0,INDEX(其他调用!$H$5:$L$404,MATCH($K100,其他调用!$B$5:$B$404,0),MATCH(BF$5,其他调用!$H$4:$L$4,0))*50*0.4)</f>
        <v>9.5925100500000013</v>
      </c>
      <c r="BG100" s="14">
        <f>IF(OR(BG$5="大R",BG$5="超R"),0,INDEX(其他调用!$H$5:$L$404,MATCH($K100,其他调用!$B$5:$B$404,0),MATCH(BG$5,其他调用!$H$4:$L$4,0))*50*0.4)</f>
        <v>9.4583027471839998</v>
      </c>
      <c r="BH100" s="14">
        <f>IF(OR(BH$5="大R",BH$5="超R"),0,INDEX(其他调用!$H$5:$L$404,MATCH($K100,其他调用!$B$5:$B$404,0),MATCH(BH$5,其他调用!$H$4:$L$4,0))*50*0.4)</f>
        <v>0.77208400281600009</v>
      </c>
      <c r="BI100" s="14">
        <f>IF(OR(BI$5="大R",BI$5="超R"),0,INDEX(其他调用!$H$5:$L$404,MATCH($K100,其他调用!$B$5:$B$404,0),MATCH(BI$5,其他调用!$H$4:$L$4,0))*50*0.4)</f>
        <v>0</v>
      </c>
      <c r="BJ100" s="14">
        <f>IF(OR(BJ$5="大R",BJ$5="超R"),0,INDEX(其他调用!$H$5:$L$404,MATCH($K100,其他调用!$B$5:$B$404,0),MATCH(BJ$5,其他调用!$H$4:$L$4,0))*50*0.4)</f>
        <v>0</v>
      </c>
      <c r="BL100" s="14">
        <f t="shared" si="208"/>
        <v>95</v>
      </c>
      <c r="BM100" s="14">
        <f t="shared" si="115"/>
        <v>96</v>
      </c>
      <c r="BN100" s="14">
        <f>('疲劳值&amp;地图信息'!$S$10*'疲劳值&amp;地图信息'!$R$10+'疲劳值&amp;地图信息'!$S$11*'疲劳值&amp;地图信息'!$R$11+'疲劳值&amp;地图信息'!$S$12*'疲劳值&amp;地图信息'!$R$12+(BM100-'疲劳值&amp;地图信息'!$S$12-'疲劳值&amp;地图信息'!$S$11-'疲劳值&amp;地图信息'!$S$10)*'疲劳值&amp;地图信息'!$R$13)/BM100</f>
        <v>51.371477246638619</v>
      </c>
      <c r="BO100" s="14">
        <f>INDEX(其他调用!$M$5:$M$404,MATCH(BL100,其他调用!$B$5:$B$404,0))*0.6</f>
        <v>60</v>
      </c>
      <c r="BP100" s="14">
        <f>IF(BO100&gt;SUM('疲劳值&amp;地图信息'!$S$10:$S$12),('疲劳值&amp;地图信息'!$S$10*'疲劳值&amp;地图信息'!$R$10+'疲劳值&amp;地图信息'!$S$11*'疲劳值&amp;地图信息'!$R$11+'疲劳值&amp;地图信息'!$S$12*'疲劳值&amp;地图信息'!$R$12+(BO100-'疲劳值&amp;地图信息'!$S$12-'疲劳值&amp;地图信息'!$S$11-'疲劳值&amp;地图信息'!$S$10)*'疲劳值&amp;地图信息'!$R$13)/BO100,('疲劳值&amp;地图信息'!$S$10*'疲劳值&amp;地图信息'!$R$10+'疲劳值&amp;地图信息'!$S$11*'疲劳值&amp;地图信息'!$R$11+'疲劳值&amp;地图信息'!$S$12*'疲劳值&amp;地图信息'!$R$12+(BO100-'疲劳值&amp;地图信息'!$S$12-'疲劳值&amp;地图信息'!$S$11-'疲劳值&amp;地图信息'!$S$10)*'疲劳值&amp;地图信息'!$R$13)/BO100)</f>
        <v>44.158136341605953</v>
      </c>
      <c r="BQ100" s="14">
        <f t="shared" si="209"/>
        <v>20</v>
      </c>
      <c r="BR100" s="14">
        <f>('疲劳值&amp;地图信息'!$S$10*'疲劳值&amp;地图信息'!$R$10+($BQ100-'疲劳值&amp;地图信息'!$S$10)*'疲劳值&amp;地图信息'!$R$11)/$BQ100</f>
        <v>32.067203015074995</v>
      </c>
      <c r="CF100" s="14">
        <v>95</v>
      </c>
      <c r="CG100" s="51">
        <f t="shared" si="116"/>
        <v>9195</v>
      </c>
      <c r="CH100" s="51">
        <f t="shared" si="117"/>
        <v>843</v>
      </c>
      <c r="CI100" s="51">
        <f>INT(SUMPRODUCT($N100:$R100,$BA100:$BE100)/SUM($BA100:$BE100)/10000*$BX$7*$BZ$34/'疲劳值&amp;地图信息'!$R$10*$BY$53)</f>
        <v>2940</v>
      </c>
      <c r="CJ100" s="50">
        <f t="shared" si="118"/>
        <v>0.7085067036523347</v>
      </c>
      <c r="CK100" s="50">
        <f t="shared" si="119"/>
        <v>6.4956079519186319E-2</v>
      </c>
      <c r="CL100" s="50">
        <f t="shared" si="120"/>
        <v>0.22653721682847897</v>
      </c>
      <c r="CM100" s="14">
        <f t="shared" si="121"/>
        <v>9754</v>
      </c>
      <c r="CN100" s="14">
        <f t="shared" si="122"/>
        <v>1316</v>
      </c>
      <c r="CO100" s="14">
        <f>INT(SUMPRODUCT($U100:$Y100,$BA100:$BE100)/SUM($BA100:$BE100)/10000*$BX$7*$BZ$34/'疲劳值&amp;地图信息'!$R$10*$BY$54)</f>
        <v>5415</v>
      </c>
      <c r="CP100" s="50">
        <f t="shared" si="123"/>
        <v>0.59168941461935087</v>
      </c>
      <c r="CQ100" s="50">
        <f t="shared" si="124"/>
        <v>7.9830148619957533E-2</v>
      </c>
      <c r="CR100" s="50">
        <f t="shared" si="125"/>
        <v>0.32848043676069155</v>
      </c>
      <c r="CS100" s="14">
        <f t="shared" si="126"/>
        <v>10469</v>
      </c>
      <c r="CT100" s="14">
        <f t="shared" si="127"/>
        <v>2376</v>
      </c>
      <c r="CU100" s="14">
        <f>INT(SUMPRODUCT($AB100:$AF100,$BA100:$BE100)/SUM($BA100:$BE100)/10000*$BX$7*$BZ$34/'疲劳值&amp;地图信息'!$R$10*$BY$55)</f>
        <v>7366</v>
      </c>
      <c r="CV100" s="50">
        <f t="shared" si="128"/>
        <v>0.51798525555390629</v>
      </c>
      <c r="CW100" s="50">
        <f t="shared" si="129"/>
        <v>0.11755974469348375</v>
      </c>
      <c r="CX100" s="50">
        <f t="shared" si="130"/>
        <v>0.36445499975260998</v>
      </c>
      <c r="CY100" s="14">
        <f t="shared" si="131"/>
        <v>11866</v>
      </c>
      <c r="CZ100" s="14">
        <f t="shared" si="132"/>
        <v>5867</v>
      </c>
      <c r="DA100" s="14">
        <f>INT(SUMPRODUCT($AI100:$AM100,$BA100:$BE100)/SUM($BA100:$BE100)/10000*$BX$7*$BZ$34/'疲劳值&amp;地图信息'!$R$10*$BY$56)</f>
        <v>11104</v>
      </c>
      <c r="DB100" s="50">
        <f t="shared" si="133"/>
        <v>0.41148524465096925</v>
      </c>
      <c r="DC100" s="50">
        <f t="shared" si="134"/>
        <v>0.2034538960363422</v>
      </c>
      <c r="DD100" s="50">
        <f t="shared" si="135"/>
        <v>0.38506085931268857</v>
      </c>
      <c r="DE100" s="14">
        <f t="shared" si="136"/>
        <v>11675</v>
      </c>
      <c r="DF100" s="14">
        <f t="shared" si="137"/>
        <v>11880</v>
      </c>
      <c r="DG100" s="14">
        <f>INT(SUMPRODUCT($AP100:$AT100,$BA100:$BE100)/SUM($BA100:$BE100)/10000*$BX$7*$BZ$34/'疲劳值&amp;地图信息'!$R$10*$BY$57)</f>
        <v>14831</v>
      </c>
      <c r="DH100" s="50">
        <f t="shared" si="138"/>
        <v>0.30414734538633875</v>
      </c>
      <c r="DI100" s="50">
        <f t="shared" si="139"/>
        <v>0.30948783410618452</v>
      </c>
      <c r="DJ100" s="50">
        <f t="shared" si="140"/>
        <v>0.38636482050747667</v>
      </c>
      <c r="DL100" s="14">
        <f t="shared" si="211"/>
        <v>12978</v>
      </c>
      <c r="DM100" s="14">
        <f t="shared" si="212"/>
        <v>16485</v>
      </c>
      <c r="DN100" s="14">
        <f t="shared" si="213"/>
        <v>20211</v>
      </c>
      <c r="DO100" s="14">
        <f t="shared" si="214"/>
        <v>28837</v>
      </c>
      <c r="DP100" s="14">
        <f t="shared" si="215"/>
        <v>38386</v>
      </c>
      <c r="DQ100" s="14">
        <f t="shared" si="216"/>
        <v>904508</v>
      </c>
      <c r="DT100" s="14">
        <f t="shared" si="210"/>
        <v>235575</v>
      </c>
      <c r="DU100" s="50">
        <f t="shared" si="112"/>
        <v>0.2066296927504401</v>
      </c>
      <c r="DW100" s="14">
        <f t="shared" si="141"/>
        <v>1140083</v>
      </c>
      <c r="EB100" s="14">
        <v>95</v>
      </c>
      <c r="EC100" s="51">
        <f t="shared" si="142"/>
        <v>15326</v>
      </c>
      <c r="ED100" s="51">
        <f t="shared" si="143"/>
        <v>1406</v>
      </c>
      <c r="EE100" s="51">
        <f>INT(SUMPRODUCT($N100:$R100,$BF100:$BJ100)/SUM($BF100:$BJ100)/10000*$BX$7*$BZ$46/'疲劳值&amp;地图信息'!$R$10*$BY$53)</f>
        <v>394</v>
      </c>
      <c r="EF100" s="50">
        <f t="shared" si="144"/>
        <v>0.894896648370898</v>
      </c>
      <c r="EG100" s="50">
        <f t="shared" si="145"/>
        <v>8.2097395772509629E-2</v>
      </c>
      <c r="EH100" s="50">
        <f t="shared" si="146"/>
        <v>2.3005955856592316E-2</v>
      </c>
      <c r="EI100" s="51">
        <f t="shared" si="147"/>
        <v>16256</v>
      </c>
      <c r="EJ100" s="51">
        <f t="shared" si="148"/>
        <v>2194</v>
      </c>
      <c r="EK100" s="14">
        <f>INT(SUMPRODUCT($U100:$Y100,$BF100:$BJ100)/SUM($BF100:$BJ100)/10000*$BX$7*$BZ$46/'疲劳值&amp;地图信息'!$R$10*$BY$54)</f>
        <v>727</v>
      </c>
      <c r="EL100" s="50">
        <f t="shared" si="149"/>
        <v>0.84768211920529801</v>
      </c>
      <c r="EM100" s="50">
        <f t="shared" si="150"/>
        <v>0.11440788444490796</v>
      </c>
      <c r="EN100" s="50">
        <f t="shared" si="151"/>
        <v>3.7909996349794021E-2</v>
      </c>
      <c r="EO100" s="51">
        <f t="shared" si="152"/>
        <v>17449</v>
      </c>
      <c r="EP100" s="51">
        <f t="shared" si="153"/>
        <v>3960</v>
      </c>
      <c r="EQ100" s="14">
        <f>INT(SUMPRODUCT($AB100:$AF100,$BF100:$BJ100)/SUM($BF100:$BJ100)/10000*$BX$7*$BZ$46/'疲劳值&amp;地图信息'!$R$10*$BY$55)</f>
        <v>987</v>
      </c>
      <c r="ER100" s="50">
        <f t="shared" si="154"/>
        <v>0.77911234148955166</v>
      </c>
      <c r="ES100" s="50">
        <f t="shared" si="155"/>
        <v>0.17681728880157171</v>
      </c>
      <c r="ET100" s="50">
        <f t="shared" si="156"/>
        <v>4.4070369708876588E-2</v>
      </c>
      <c r="EU100" s="51">
        <f t="shared" si="157"/>
        <v>19777</v>
      </c>
      <c r="EV100" s="51">
        <f t="shared" si="158"/>
        <v>9779</v>
      </c>
      <c r="EW100" s="14">
        <f>INT(SUMPRODUCT($AI100:$AM100,$BF100:$BJ100)/SUM($BF100:$BJ100)/10000*$BX$7*$BZ$46/'疲劳值&amp;地图信息'!$R$10*$BY$56)</f>
        <v>1481</v>
      </c>
      <c r="EX100" s="50">
        <f t="shared" si="159"/>
        <v>0.6372072043045397</v>
      </c>
      <c r="EY100" s="50">
        <f t="shared" si="160"/>
        <v>0.31507555498276252</v>
      </c>
      <c r="EZ100" s="50">
        <f t="shared" si="161"/>
        <v>4.7717240712697749E-2</v>
      </c>
      <c r="FA100" s="51">
        <f t="shared" si="162"/>
        <v>19459</v>
      </c>
      <c r="FB100" s="51">
        <f t="shared" si="163"/>
        <v>19800</v>
      </c>
      <c r="FC100" s="14">
        <f>INT(SUMPRODUCT($AP100:$AT100,$BF100:$BJ100)/SUM($BF100:$BJ100)/10000*$BX$7*$BZ$46/'疲劳值&amp;地图信息'!$R$10*$BY$57)</f>
        <v>1975</v>
      </c>
      <c r="FD100" s="50">
        <f t="shared" si="164"/>
        <v>0.47191637968666633</v>
      </c>
      <c r="FE100" s="50">
        <f t="shared" si="165"/>
        <v>0.48018625406218168</v>
      </c>
      <c r="FF100" s="50">
        <f t="shared" si="166"/>
        <v>4.7897366251151964E-2</v>
      </c>
      <c r="FH100" s="14">
        <f t="shared" si="167"/>
        <v>17126</v>
      </c>
      <c r="FI100" s="14">
        <f t="shared" si="168"/>
        <v>19177</v>
      </c>
      <c r="FJ100" s="14">
        <f t="shared" si="169"/>
        <v>22396</v>
      </c>
      <c r="FK100" s="14">
        <f t="shared" si="170"/>
        <v>31037</v>
      </c>
      <c r="FL100" s="14">
        <f t="shared" si="171"/>
        <v>41234</v>
      </c>
      <c r="FM100" s="14">
        <f t="shared" si="172"/>
        <v>1995611</v>
      </c>
      <c r="FP100" s="14">
        <f t="shared" si="173"/>
        <v>334150</v>
      </c>
      <c r="FQ100" s="50">
        <f t="shared" si="113"/>
        <v>0.14342672917951671</v>
      </c>
      <c r="FS100" s="14">
        <f t="shared" si="174"/>
        <v>2329761</v>
      </c>
      <c r="FX100" s="14">
        <v>95</v>
      </c>
      <c r="FY100" s="51">
        <f t="shared" si="175"/>
        <v>21456</v>
      </c>
      <c r="FZ100" s="51">
        <f t="shared" si="176"/>
        <v>1406</v>
      </c>
      <c r="GA100" s="51">
        <f>INT(SUMPRODUCT($N100:$R100,$BF100:$BJ100)/SUM($BF100:$BJ100)/10000*$BX$7*$BZ$46/'疲劳值&amp;地图信息'!$R$10*$BY$53)</f>
        <v>394</v>
      </c>
      <c r="GB100" s="50">
        <f t="shared" si="177"/>
        <v>0.92260061919504643</v>
      </c>
      <c r="GC100" s="50">
        <f t="shared" si="178"/>
        <v>6.0457516339869281E-2</v>
      </c>
      <c r="GD100" s="50">
        <f t="shared" si="179"/>
        <v>1.6941864465084281E-2</v>
      </c>
      <c r="GE100" s="51">
        <f t="shared" si="180"/>
        <v>22759</v>
      </c>
      <c r="GF100" s="51">
        <f t="shared" si="181"/>
        <v>2194</v>
      </c>
      <c r="GG100" s="14">
        <f>INT(SUMPRODUCT($U100:$Y100,$BF100:$BJ100)/SUM($BF100:$BJ100)/10000*$BX$7*$BZ$46/'疲劳值&amp;地图信息'!$R$10*$BY$54)</f>
        <v>727</v>
      </c>
      <c r="GH100" s="50">
        <f t="shared" si="182"/>
        <v>0.88625389408099686</v>
      </c>
      <c r="GI100" s="50">
        <f t="shared" si="183"/>
        <v>8.5436137071651097E-2</v>
      </c>
      <c r="GJ100" s="50">
        <f t="shared" si="184"/>
        <v>2.8309968847352023E-2</v>
      </c>
      <c r="GK100" s="51">
        <f t="shared" si="185"/>
        <v>24429</v>
      </c>
      <c r="GL100" s="51">
        <f t="shared" si="186"/>
        <v>3960</v>
      </c>
      <c r="GM100" s="14">
        <f>INT(SUMPRODUCT($AB100:$AF100,$BF100:$BJ100)/SUM($BF100:$BJ100)/10000*$BX$7*$BZ$46/'疲劳值&amp;地图信息'!$R$10*$BY$55)</f>
        <v>987</v>
      </c>
      <c r="GN100" s="50">
        <f t="shared" si="187"/>
        <v>0.83159722222222221</v>
      </c>
      <c r="GO100" s="50">
        <f t="shared" si="188"/>
        <v>0.13480392156862744</v>
      </c>
      <c r="GP100" s="50">
        <f t="shared" si="189"/>
        <v>3.3598856209150325E-2</v>
      </c>
      <c r="GQ100" s="51">
        <f t="shared" si="190"/>
        <v>27688</v>
      </c>
      <c r="GR100" s="51">
        <f t="shared" si="191"/>
        <v>9779</v>
      </c>
      <c r="GS100" s="14">
        <f>INT(SUMPRODUCT($AI100:$AM100,$BF100:$BJ100)/SUM($BF100:$BJ100)/10000*$BX$7*$BZ$46/'疲劳值&amp;地图信息'!$R$10*$BY$56)</f>
        <v>1481</v>
      </c>
      <c r="GT100" s="50">
        <f t="shared" si="192"/>
        <v>0.71089658005545853</v>
      </c>
      <c r="GU100" s="50">
        <f t="shared" si="193"/>
        <v>0.25107836089144503</v>
      </c>
      <c r="GV100" s="50">
        <f t="shared" si="194"/>
        <v>3.8025059053096437E-2</v>
      </c>
      <c r="GW100" s="51">
        <f t="shared" si="195"/>
        <v>27242</v>
      </c>
      <c r="GX100" s="51">
        <f t="shared" si="196"/>
        <v>19800</v>
      </c>
      <c r="GY100" s="14">
        <f>INT(SUMPRODUCT($AP100:$AT100,$BF100:$BJ100)/SUM($BF100:$BJ100)/10000*$BX$7*$BZ$46/'疲劳值&amp;地图信息'!$R$10*$BY$57)</f>
        <v>1975</v>
      </c>
      <c r="GZ100" s="50">
        <f t="shared" si="197"/>
        <v>0.55576636677071223</v>
      </c>
      <c r="HA100" s="50">
        <f t="shared" si="198"/>
        <v>0.40394148968725135</v>
      </c>
      <c r="HB100" s="50">
        <f t="shared" si="199"/>
        <v>4.0292143542036439E-2</v>
      </c>
      <c r="HD100" s="14">
        <f t="shared" si="200"/>
        <v>23256</v>
      </c>
      <c r="HE100" s="14">
        <f t="shared" si="201"/>
        <v>25680</v>
      </c>
      <c r="HF100" s="14">
        <f t="shared" si="202"/>
        <v>29376</v>
      </c>
      <c r="HG100" s="14">
        <f t="shared" si="203"/>
        <v>38948</v>
      </c>
      <c r="HH100" s="14">
        <f t="shared" si="204"/>
        <v>49017</v>
      </c>
      <c r="HI100" s="14">
        <f t="shared" si="205"/>
        <v>2668062</v>
      </c>
      <c r="HL100" s="14">
        <f t="shared" si="206"/>
        <v>430050</v>
      </c>
      <c r="HM100" s="50">
        <f t="shared" si="114"/>
        <v>0.1388103464303421</v>
      </c>
      <c r="HO100" s="14">
        <f t="shared" si="207"/>
        <v>3098112</v>
      </c>
    </row>
    <row r="101" spans="11:223" x14ac:dyDescent="0.2">
      <c r="K101" s="14">
        <v>96</v>
      </c>
      <c r="L101" s="12">
        <f>求节点(节奏总纲!D$4:D$163,标准城池设计!AB$4:AB$163,$K101)*求节点(节奏总纲!D$4:D$163,攻城基础信息!$AC$5:$AC$164,$K101)</f>
        <v>453336.70748596784</v>
      </c>
      <c r="M101" s="12">
        <f>INDEX(其他调用!$AA$5:$AA$404,MATCH(K101,其他调用!$X$5:$X$404,0))*MIN(INDEX(其他调用!$AH$5:$AH$364,MATCH('征服点（新）'!K101,其他调用!$AG$5:$AG$364,0),1)/INDEX(其他调用!$AJ$5:$AJ$364,MATCH(K101,其他调用!$AG$5:$AG$364,0),0),5)*求节点(节奏总纲!D$4:D$163,攻城基础信息!$AC$5:$AC$164,$K101)</f>
        <v>41554.355390003147</v>
      </c>
      <c r="N101" s="12">
        <f>MIN(INDEX(其他调用!$AH$5:$AH$364,MATCH($K101,其他调用!$AG$5:$AG$364,0),1)/INDEX(其他调用!AH$5:AH$364,MATCH($K101,其他调用!$AG$5:$AG$364,0),0),1)*INDEX(其他调用!Y$5:Y$404,MATCH($K101,其他调用!$X$5:$X$404,0),0)</f>
        <v>35911.736753852121</v>
      </c>
      <c r="O101" s="12">
        <f>MIN(INDEX(其他调用!$AH$5:$AH$364,MATCH($K101,其他调用!$AG$5:$AG$364,0),1)/INDEX(其他调用!AI$5:AI$364,MATCH($K101,其他调用!$AG$5:$AG$364,0),0),1)*INDEX(其他调用!Z$5:Z$404,MATCH($K101,其他调用!$X$5:$X$404,0),0)</f>
        <v>23679.963954466766</v>
      </c>
      <c r="P101" s="12">
        <f>MIN(INDEX(其他调用!$AH$5:$AH$364,MATCH($K101,其他调用!$AG$5:$AG$364,0),1)/INDEX(其他调用!AJ$5:AJ$364,MATCH($K101,其他调用!$AG$5:$AG$364,0),0),1)*INDEX(其他调用!AA$5:AA$404,MATCH($K101,其他调用!$X$5:$X$404,0),0)</f>
        <v>13699.373846077118</v>
      </c>
      <c r="Q101" s="12">
        <f>MIN(INDEX(其他调用!$AH$5:$AH$364,MATCH($K101,其他调用!$AG$5:$AG$364,0),1)/INDEX(其他调用!AK$5:AK$364,MATCH($K101,其他调用!$AG$5:$AG$364,0),0),1)*INDEX(其他调用!AB$5:AB$404,MATCH($K101,其他调用!$X$5:$X$404,0),0)</f>
        <v>5840.4448963210352</v>
      </c>
      <c r="R101" s="12">
        <f>MIN(INDEX(其他调用!$AH$5:$AH$364,MATCH($K101,其他调用!$AG$5:$AG$364,0),1)/INDEX(其他调用!AL$5:AL$364,MATCH($K101,其他调用!$AG$5:$AG$364,0),0),1)*INDEX(其他调用!AC$5:AC$404,MATCH($K101,其他调用!$X$5:$X$404,0),0)</f>
        <v>1783.2259594331499</v>
      </c>
      <c r="S101" s="12">
        <f>求节点(节奏总纲!D$4:D$163,标准城池设计!AC$4:AC$163,$K101)*求节点(节奏总纲!D$4:D$163,攻城基础信息!$AD$5:$AD$164,$K101)</f>
        <v>481092.71469050815</v>
      </c>
      <c r="T101" s="12">
        <f>INDEX(其他调用!$AA$5:$AA$404,MATCH($K101,其他调用!$X$5:$X$404,0))*MIN(INDEX(其他调用!AI$5:AI$364,MATCH($K101,其他调用!$AG$5:$AG$364,0),1)/INDEX(其他调用!$AJ$5:$AJ$364,MATCH($K101,其他调用!$AG$5:$AG$364,0),0),5)*求节点(节奏总纲!D$4:D$163,攻城基础信息!$AD$5:$AD$164,$K101)</f>
        <v>65022.142435621354</v>
      </c>
      <c r="U101" s="12">
        <f>MIN(INDEX(其他调用!$AI$5:$AI$364,MATCH($K101,其他调用!$AG$5:$AG$364,0),1)/INDEX(其他调用!AH$5:AH$364,MATCH($K101,其他调用!$AG$5:$AG$364,0),0),1)*INDEX(其他调用!Y$5:Y$404,MATCH($K101,其他调用!$X$5:$X$404,0),0)</f>
        <v>35911.736753852121</v>
      </c>
      <c r="V101" s="12">
        <f>MIN(INDEX(其他调用!$AI$5:$AI$364,MATCH($K101,其他调用!$AG$5:$AG$364,0),1)/INDEX(其他调用!AI$5:AI$364,MATCH($K101,其他调用!$AG$5:$AG$364,0),0),1)*INDEX(其他调用!Z$5:Z$404,MATCH($K101,其他调用!$X$5:$X$404,0),0)</f>
        <v>37053.203561139424</v>
      </c>
      <c r="W101" s="12">
        <f>MIN(INDEX(其他调用!$AI$5:$AI$364,MATCH($K101,其他调用!$AG$5:$AG$364,0),1)/INDEX(其他调用!AJ$5:AJ$364,MATCH($K101,其他调用!$AG$5:$AG$364,0),0),1)*INDEX(其他调用!AA$5:AA$404,MATCH($K101,其他调用!$X$5:$X$404,0),0)</f>
        <v>21436.083634033359</v>
      </c>
      <c r="X101" s="12">
        <f>MIN(INDEX(其他调用!$AI$5:$AI$364,MATCH($K101,其他调用!$AG$5:$AG$364,0),1)/INDEX(其他调用!AK$5:AK$364,MATCH($K101,其他调用!$AG$5:$AG$364,0),0),1)*INDEX(其他调用!AB$5:AB$404,MATCH($K101,其他调用!$X$5:$X$404,0),0)</f>
        <v>9138.8312096725203</v>
      </c>
      <c r="Y101" s="12">
        <f>MIN(INDEX(其他调用!$AI$5:$AI$364,MATCH($K101,其他调用!$AG$5:$AG$364,0),1)/INDEX(其他调用!AL$5:AL$364,MATCH($K101,其他调用!$AG$5:$AG$364,0),0),1)*INDEX(其他调用!AC$5:AC$404,MATCH($K101,其他调用!$X$5:$X$404,0),0)</f>
        <v>2790.3013111606124</v>
      </c>
      <c r="Z101" s="12">
        <f>求节点(节奏总纲!D$4:D$163,标准城池设计!AD$4:AD$163,$K101)*求节点(节奏总纲!D$4:D$163,攻城基础信息!$AE$5:$AE$164,$K101)</f>
        <v>516741.64708503714</v>
      </c>
      <c r="AA101" s="12">
        <f>INDEX(其他调用!$AA$5:$AA$404,MATCH($K101,其他调用!$X$5:$X$404,0))*MIN(INDEX(其他调用!AJ$5:AJ$364,MATCH($K101,其他调用!$AG$5:$AG$364,0),1)/INDEX(其他调用!$AJ$5:$AJ$364,MATCH($K101,其他调用!$AG$5:$AG$364,0),0),5)*求节点(节奏总纲!D$4:D$163,攻城基础信息!$AE$5:$AE$164,$K101)</f>
        <v>116964.86924220677</v>
      </c>
      <c r="AB101" s="12">
        <f>MIN(INDEX(其他调用!$AJ$5:$AJ$364,MATCH($K101,其他调用!$AG$5:$AG$364,0),1)/INDEX(其他调用!AH$5:AH$364,MATCH($K101,其他调用!$AG$5:$AG$364,0),0),1)*INDEX(其他调用!Y$5:Y$404,MATCH($K101,其他调用!$X$5:$X$404,0),0)</f>
        <v>35911.736753852121</v>
      </c>
      <c r="AC101" s="12">
        <f>MIN(INDEX(其他调用!$AJ$5:$AJ$364,MATCH($K101,其他调用!$AG$5:$AG$364,0),1)/INDEX(其他调用!AI$5:AI$364,MATCH($K101,其他调用!$AG$5:$AG$364,0),0),1)*INDEX(其他调用!Z$5:Z$404,MATCH($K101,其他调用!$X$5:$X$404,0),0)</f>
        <v>37053.203561139424</v>
      </c>
      <c r="AD101" s="12">
        <f>MIN(INDEX(其他调用!$AJ$5:$AJ$364,MATCH($K101,其他调用!$AG$5:$AG$364,0),1)/INDEX(其他调用!AJ$5:AJ$364,MATCH($K101,其他调用!$AG$5:$AG$364,0),0),1)*INDEX(其他调用!AA$5:AA$404,MATCH($K101,其他调用!$X$5:$X$404,0),0)</f>
        <v>38560.229260396576</v>
      </c>
      <c r="AE101" s="12">
        <f>MIN(INDEX(其他调用!$AJ$5:$AJ$364,MATCH($K101,其他调用!$AG$5:$AG$364,0),1)/INDEX(其他调用!AK$5:AK$364,MATCH($K101,其他调用!$AG$5:$AG$364,0),0),1)*INDEX(其他调用!AB$5:AB$404,MATCH($K101,其他调用!$X$5:$X$404,0),0)</f>
        <v>16439.35677026158</v>
      </c>
      <c r="AF101" s="12">
        <f>MIN(INDEX(其他调用!$AJ$5:$AJ$364,MATCH($K101,其他调用!$AG$5:$AG$364,0),1)/INDEX(其他调用!AL$5:AL$364,MATCH($K101,其他调用!$AG$5:$AG$364,0),0),1)*INDEX(其他调用!AC$5:AC$404,MATCH($K101,其他调用!$X$5:$X$404,0),0)</f>
        <v>5019.3244298186037</v>
      </c>
      <c r="AG101" s="12">
        <f>求节点(节奏总纲!D$4:D$163,标准城池设计!AE$4:AE$163,$K101)*求节点(节奏总纲!D$4:D$163,攻城基础信息!$AF$5:$AF$164,$K101)</f>
        <v>585391.23845434724</v>
      </c>
      <c r="AH101" s="12">
        <f>INDEX(其他调用!$AA$5:$AA$404,MATCH($K101,其他调用!$X$5:$X$404,0))*MIN(INDEX(其他调用!AK$5:AK$364,MATCH($K101,其他调用!$AG$5:$AG$364,0),1)/INDEX(其他调用!$AJ$5:$AJ$364,MATCH($K101,其他调用!$AG$5:$AG$364,0),0),5)*求节点(节奏总纲!D$4:D$163,攻城基础信息!$AF$5:$AF$164,$K101)</f>
        <v>289852.08129522123</v>
      </c>
      <c r="AI101" s="12">
        <f>MIN(INDEX(其他调用!$AK$5:$AK$364,MATCH($K101,其他调用!$AG$5:$AG$364,0),1)/INDEX(其他调用!AH$5:AH$364,MATCH($K101,其他调用!$AG$5:$AG$364,0),0),1)*INDEX(其他调用!Y$5:Y$404,MATCH($K101,其他调用!$X$5:$X$404,0),0)</f>
        <v>35911.736753852121</v>
      </c>
      <c r="AJ101" s="12">
        <f>MIN(INDEX(其他调用!$AK$5:$AK$364,MATCH($K101,其他调用!$AG$5:$AG$364,0),1)/INDEX(其他调用!AI$5:AI$364,MATCH($K101,其他调用!$AG$5:$AG$364,0),0),1)*INDEX(其他调用!Z$5:Z$404,MATCH($K101,其他调用!$X$5:$X$404,0),0)</f>
        <v>37053.203561139424</v>
      </c>
      <c r="AK101" s="12">
        <f>MIN(INDEX(其他调用!$AK$5:$AK$364,MATCH($K101,其他调用!$AG$5:$AG$364,0),1)/INDEX(其他调用!AJ$5:AJ$364,MATCH($K101,其他调用!$AG$5:$AG$364,0),0),1)*INDEX(其他调用!AA$5:AA$404,MATCH($K101,其他调用!$X$5:$X$404,0),0)</f>
        <v>38560.229260396576</v>
      </c>
      <c r="AL101" s="12">
        <f>MIN(INDEX(其他调用!$AK$5:$AK$364,MATCH($K101,其他调用!$AG$5:$AG$364,0),1)/INDEX(其他调用!AK$5:AK$364,MATCH($K101,其他调用!$AG$5:$AG$364,0),0),1)*INDEX(其他调用!AB$5:AB$404,MATCH($K101,其他调用!$X$5:$X$404,0),0)</f>
        <v>40738.572238710811</v>
      </c>
      <c r="AM101" s="12">
        <f>MIN(INDEX(其他调用!$AK$5:$AK$364,MATCH($K101,其他调用!$AG$5:$AG$364,0),1)/INDEX(其他调用!AL$5:AL$364,MATCH($K101,其他调用!$AG$5:$AG$364,0),0),1)*INDEX(其他调用!AC$5:AC$404,MATCH($K101,其他调用!$X$5:$X$404,0),0)</f>
        <v>12438.449614013547</v>
      </c>
      <c r="AN101" s="12">
        <f>求节点(节奏总纲!D$4:D$163,标准城池设计!AF$4:AF$163,$K101)*求节点(节奏总纲!D$4:D$163,攻城基础信息!$AG$5:$AG$164,$K101)</f>
        <v>575832.59870840947</v>
      </c>
      <c r="AO101" s="12">
        <f>INDEX(其他调用!$AA$5:$AA$404,MATCH($K101,其他调用!$X$5:$X$404,0))*MIN(INDEX(其他调用!AL$5:AL$364,MATCH($K101,其他调用!$AG$5:$AG$364,0),1)/INDEX(其他调用!$AJ$5:$AJ$364,MATCH($K101,其他调用!$AG$5:$AG$364,0),0),5)*求节点(节奏总纲!D$4:D$163,攻城基础信息!$AG$5:$AG$164,$K101)</f>
        <v>584824.34621103387</v>
      </c>
      <c r="AP101" s="12">
        <f>MIN(INDEX(其他调用!$AL$5:$AL$364,MATCH($K101,其他调用!$AG$5:$AG$364,0),1)/INDEX(其他调用!AH$5:AH$364,MATCH($K101,其他调用!$AG$5:$AG$364,0),0),1)*INDEX(其他调用!Y$5:Y$404,MATCH($K101,其他调用!$X$5:$X$404,0),0)</f>
        <v>35911.736753852121</v>
      </c>
      <c r="AQ101" s="12">
        <f>MIN(INDEX(其他调用!$AL$5:$AL$364,MATCH($K101,其他调用!$AG$5:$AG$364,0),1)/INDEX(其他调用!AI$5:AI$364,MATCH($K101,其他调用!$AG$5:$AG$364,0),0),1)*INDEX(其他调用!Z$5:Z$404,MATCH($K101,其他调用!$X$5:$X$404,0),0)</f>
        <v>37053.203561139424</v>
      </c>
      <c r="AR101" s="12">
        <f>MIN(INDEX(其他调用!$AL$5:$AL$364,MATCH($K101,其他调用!$AG$5:$AG$364,0),1)/INDEX(其他调用!AJ$5:AJ$364,MATCH($K101,其他调用!$AG$5:$AG$364,0),0),1)*INDEX(其他调用!AA$5:AA$404,MATCH($K101,其他调用!$X$5:$X$404,0),0)</f>
        <v>38560.229260396576</v>
      </c>
      <c r="AS101" s="12">
        <f>MIN(INDEX(其他调用!$AL$5:$AL$364,MATCH($K101,其他调用!$AG$5:$AG$364,0),1)/INDEX(其他调用!AK$5:AK$364,MATCH($K101,其他调用!$AG$5:$AG$364,0),0),1)*INDEX(其他调用!AB$5:AB$404,MATCH($K101,其他调用!$X$5:$X$404,0),0)</f>
        <v>40738.572238710811</v>
      </c>
      <c r="AT101" s="12">
        <f>MIN(INDEX(其他调用!$AL$5:$AL$364,MATCH($K101,其他调用!$AG$5:$AG$364,0),1)/INDEX(其他调用!AL$5:AL$364,MATCH($K101,其他调用!$AG$5:$AG$364,0),0),1)*INDEX(其他调用!AC$5:AC$404,MATCH($K101,其他调用!$X$5:$X$404,0),0)</f>
        <v>44588.451677461082</v>
      </c>
      <c r="AV101" s="14">
        <f>IF(OR(AV$5="大R",AV$5="超R"),MAX(INDEX(其他调用!$H$5:$L$404,MATCH($K101,其他调用!$B$5:$B$404,0),MATCH(AV$5,其他调用!$H$4:$L$4,0))*120*0.85,2),INDEX(其他调用!$H$5:$L$404,MATCH($K101,其他调用!$B$5:$B$404,0),MATCH(AV$5,其他调用!$H$4:$L$4,0))*120*0.85)</f>
        <v>48.921801254999991</v>
      </c>
      <c r="AW101" s="14">
        <f>IF(OR(AW$5="大R",AW$5="超R"),MAX(INDEX(其他调用!$H$5:$L$404,MATCH($K101,其他调用!$B$5:$B$404,0),MATCH(AW$5,其他调用!$H$4:$L$4,0))*120*0.85,2),INDEX(其他调用!$H$5:$L$404,MATCH($K101,其他调用!$B$5:$B$404,0),MATCH(AW$5,其他调用!$H$4:$L$4,0))*120*0.85)</f>
        <v>48.237344010638395</v>
      </c>
      <c r="AX101" s="14">
        <f>IF(OR(AX$5="大R",AX$5="超R"),MAX(INDEX(其他调用!$H$5:$L$404,MATCH($K101,其他调用!$B$5:$B$404,0),MATCH(AX$5,其他调用!$H$4:$L$4,0))*120*0.85,2),INDEX(其他调用!$H$5:$L$404,MATCH($K101,其他调用!$B$5:$B$404,0),MATCH(AX$5,其他调用!$H$4:$L$4,0))*120*0.85)</f>
        <v>3.9376284143615998</v>
      </c>
      <c r="AY101" s="14">
        <f>IF(OR(AY$5="大R",AY$5="超R"),MAX(INDEX(其他调用!$H$5:$L$404,MATCH($K101,其他调用!$B$5:$B$404,0),MATCH(AY$5,其他调用!$H$4:$L$4,0))*120*0.85,2),INDEX(其他调用!$H$5:$L$404,MATCH($K101,其他调用!$B$5:$B$404,0),MATCH(AY$5,其他调用!$H$4:$L$4,0))*120*0.85)</f>
        <v>2</v>
      </c>
      <c r="AZ101" s="14">
        <f>IF(OR(AZ$5="大R",AZ$5="超R"),MAX(INDEX(其他调用!$H$5:$L$404,MATCH($K101,其他调用!$B$5:$B$404,0),MATCH(AZ$5,其他调用!$H$4:$L$4,0))*120*0.85,2),INDEX(其他调用!$H$5:$L$404,MATCH($K101,其他调用!$B$5:$B$404,0),MATCH(AZ$5,其他调用!$H$4:$L$4,0))*120*0.85)</f>
        <v>2</v>
      </c>
      <c r="BA101" s="14">
        <f>INDEX(其他调用!$H$5:$L$404,MATCH($K101,其他调用!$B$5:$B$404,0),MATCH(BA$5,其他调用!$H$4:$L$4,0))*INDEX(其他调用!$M$5:$M$404,MATCH($K101,其他调用!$B$5:$B$404,0))*0.6</f>
        <v>28.777530149999997</v>
      </c>
      <c r="BB101" s="14">
        <f>INDEX(其他调用!$H$5:$L$404,MATCH($K101,其他调用!$B$5:$B$404,0),MATCH(BB$5,其他调用!$H$4:$L$4,0))*INDEX(其他调用!$M$5:$M$404,MATCH($K101,其他调用!$B$5:$B$404,0))*0.6</f>
        <v>28.374908241551999</v>
      </c>
      <c r="BC101" s="14">
        <f>INDEX(其他调用!$H$5:$L$404,MATCH($K101,其他调用!$B$5:$B$404,0),MATCH(BC$5,其他调用!$H$4:$L$4,0))*INDEX(其他调用!$M$5:$M$404,MATCH($K101,其他调用!$B$5:$B$404,0))*0.6</f>
        <v>2.3162520084480001</v>
      </c>
      <c r="BD101" s="14">
        <f>INDEX(其他调用!$H$5:$L$404,MATCH($K101,其他调用!$B$5:$B$404,0),MATCH(BD$5,其他调用!$H$4:$L$4,0))*INDEX(其他调用!$M$5:$M$404,MATCH($K101,其他调用!$B$5:$B$404,0))*0.6</f>
        <v>0.4120776000000001</v>
      </c>
      <c r="BE101" s="14">
        <f>INDEX(其他调用!$H$5:$L$404,MATCH($K101,其他调用!$B$5:$B$404,0),MATCH(BE$5,其他调用!$H$4:$L$4,0))*INDEX(其他调用!$M$5:$M$404,MATCH($K101,其他调用!$B$5:$B$404,0))*0.6</f>
        <v>0.11923199999999998</v>
      </c>
      <c r="BF101" s="14">
        <f>IF(OR(BF$5="大R",BF$5="超R"),0,INDEX(其他调用!$H$5:$L$404,MATCH($K101,其他调用!$B$5:$B$404,0),MATCH(BF$5,其他调用!$H$4:$L$4,0))*50*0.4)</f>
        <v>9.5925100500000013</v>
      </c>
      <c r="BG101" s="14">
        <f>IF(OR(BG$5="大R",BG$5="超R"),0,INDEX(其他调用!$H$5:$L$404,MATCH($K101,其他调用!$B$5:$B$404,0),MATCH(BG$5,其他调用!$H$4:$L$4,0))*50*0.4)</f>
        <v>9.4583027471839998</v>
      </c>
      <c r="BH101" s="14">
        <f>IF(OR(BH$5="大R",BH$5="超R"),0,INDEX(其他调用!$H$5:$L$404,MATCH($K101,其他调用!$B$5:$B$404,0),MATCH(BH$5,其他调用!$H$4:$L$4,0))*50*0.4)</f>
        <v>0.77208400281600009</v>
      </c>
      <c r="BI101" s="14">
        <f>IF(OR(BI$5="大R",BI$5="超R"),0,INDEX(其他调用!$H$5:$L$404,MATCH($K101,其他调用!$B$5:$B$404,0),MATCH(BI$5,其他调用!$H$4:$L$4,0))*50*0.4)</f>
        <v>0</v>
      </c>
      <c r="BJ101" s="14">
        <f>IF(OR(BJ$5="大R",BJ$5="超R"),0,INDEX(其他调用!$H$5:$L$404,MATCH($K101,其他调用!$B$5:$B$404,0),MATCH(BJ$5,其他调用!$H$4:$L$4,0))*50*0.4)</f>
        <v>0</v>
      </c>
      <c r="BL101" s="14">
        <f t="shared" si="208"/>
        <v>96</v>
      </c>
      <c r="BM101" s="14">
        <f t="shared" si="115"/>
        <v>96</v>
      </c>
      <c r="BN101" s="14">
        <f>('疲劳值&amp;地图信息'!$S$10*'疲劳值&amp;地图信息'!$R$10+'疲劳值&amp;地图信息'!$S$11*'疲劳值&amp;地图信息'!$R$11+'疲劳值&amp;地图信息'!$S$12*'疲劳值&amp;地图信息'!$R$12+(BM101-'疲劳值&amp;地图信息'!$S$12-'疲劳值&amp;地图信息'!$S$11-'疲劳值&amp;地图信息'!$S$10)*'疲劳值&amp;地图信息'!$R$13)/BM101</f>
        <v>51.371477246638619</v>
      </c>
      <c r="BO101" s="14">
        <f>INDEX(其他调用!$M$5:$M$404,MATCH(BL101,其他调用!$B$5:$B$404,0))*0.6</f>
        <v>60</v>
      </c>
      <c r="BP101" s="14">
        <f>IF(BO101&gt;SUM('疲劳值&amp;地图信息'!$S$10:$S$12),('疲劳值&amp;地图信息'!$S$10*'疲劳值&amp;地图信息'!$R$10+'疲劳值&amp;地图信息'!$S$11*'疲劳值&amp;地图信息'!$R$11+'疲劳值&amp;地图信息'!$S$12*'疲劳值&amp;地图信息'!$R$12+(BO101-'疲劳值&amp;地图信息'!$S$12-'疲劳值&amp;地图信息'!$S$11-'疲劳值&amp;地图信息'!$S$10)*'疲劳值&amp;地图信息'!$R$13)/BO101,('疲劳值&amp;地图信息'!$S$10*'疲劳值&amp;地图信息'!$R$10+'疲劳值&amp;地图信息'!$S$11*'疲劳值&amp;地图信息'!$R$11+'疲劳值&amp;地图信息'!$S$12*'疲劳值&amp;地图信息'!$R$12+(BO101-'疲劳值&amp;地图信息'!$S$12-'疲劳值&amp;地图信息'!$S$11-'疲劳值&amp;地图信息'!$S$10)*'疲劳值&amp;地图信息'!$R$13)/BO101)</f>
        <v>44.158136341605953</v>
      </c>
      <c r="BQ101" s="14">
        <f t="shared" si="209"/>
        <v>20</v>
      </c>
      <c r="BR101" s="14">
        <f>('疲劳值&amp;地图信息'!$S$10*'疲劳值&amp;地图信息'!$R$10+($BQ101-'疲劳值&amp;地图信息'!$S$10)*'疲劳值&amp;地图信息'!$R$11)/$BQ101</f>
        <v>32.067203015074995</v>
      </c>
      <c r="CF101" s="14">
        <v>96</v>
      </c>
      <c r="CG101" s="51">
        <f t="shared" si="116"/>
        <v>9239</v>
      </c>
      <c r="CH101" s="51">
        <f t="shared" si="117"/>
        <v>846</v>
      </c>
      <c r="CI101" s="51">
        <f>INT(SUMPRODUCT($N101:$R101,$BA101:$BE101)/SUM($BA101:$BE101)/10000*$BX$7*$BZ$34/'疲劳值&amp;地图信息'!$R$10*$BY$53)</f>
        <v>2942</v>
      </c>
      <c r="CJ101" s="50">
        <f t="shared" si="118"/>
        <v>0.70921931373301605</v>
      </c>
      <c r="CK101" s="50">
        <f t="shared" si="119"/>
        <v>6.4942043448222922E-2</v>
      </c>
      <c r="CL101" s="50">
        <f t="shared" si="120"/>
        <v>0.22583864281876104</v>
      </c>
      <c r="CM101" s="14">
        <f t="shared" si="121"/>
        <v>9805</v>
      </c>
      <c r="CN101" s="14">
        <f t="shared" si="122"/>
        <v>1325</v>
      </c>
      <c r="CO101" s="14">
        <f>INT(SUMPRODUCT($U101:$Y101,$BA101:$BE101)/SUM($BA101:$BE101)/10000*$BX$7*$BZ$34/'疲劳值&amp;地图信息'!$R$10*$BY$54)</f>
        <v>5424</v>
      </c>
      <c r="CP101" s="50">
        <f t="shared" si="123"/>
        <v>0.59230397487012199</v>
      </c>
      <c r="CQ101" s="50">
        <f t="shared" si="124"/>
        <v>8.0041077685151618E-2</v>
      </c>
      <c r="CR101" s="50">
        <f t="shared" si="125"/>
        <v>0.32765494744472634</v>
      </c>
      <c r="CS101" s="14">
        <f t="shared" si="126"/>
        <v>10531</v>
      </c>
      <c r="CT101" s="14">
        <f t="shared" si="127"/>
        <v>2383</v>
      </c>
      <c r="CU101" s="14">
        <f>INT(SUMPRODUCT($AB101:$AF101,$BA101:$BE101)/SUM($BA101:$BE101)/10000*$BX$7*$BZ$34/'疲劳值&amp;地图信息'!$R$10*$BY$55)</f>
        <v>7378</v>
      </c>
      <c r="CV101" s="50">
        <f t="shared" si="128"/>
        <v>0.51897299428346144</v>
      </c>
      <c r="CW101" s="50">
        <f t="shared" si="129"/>
        <v>0.11743544253893159</v>
      </c>
      <c r="CX101" s="50">
        <f t="shared" si="130"/>
        <v>0.36359156317760694</v>
      </c>
      <c r="CY101" s="14">
        <f t="shared" si="131"/>
        <v>11931</v>
      </c>
      <c r="CZ101" s="14">
        <f t="shared" si="132"/>
        <v>5907</v>
      </c>
      <c r="DA101" s="14">
        <f>INT(SUMPRODUCT($AI101:$AM101,$BA101:$BE101)/SUM($BA101:$BE101)/10000*$BX$7*$BZ$34/'疲劳值&amp;地图信息'!$R$10*$BY$56)</f>
        <v>11122</v>
      </c>
      <c r="DB101" s="50">
        <f t="shared" si="133"/>
        <v>0.411982044198895</v>
      </c>
      <c r="DC101" s="50">
        <f t="shared" si="134"/>
        <v>0.20397099447513811</v>
      </c>
      <c r="DD101" s="50">
        <f t="shared" si="135"/>
        <v>0.38404696132596683</v>
      </c>
      <c r="DE101" s="14">
        <f t="shared" si="136"/>
        <v>11736</v>
      </c>
      <c r="DF101" s="14">
        <f t="shared" si="137"/>
        <v>11919</v>
      </c>
      <c r="DG101" s="14">
        <f>INT(SUMPRODUCT($AP101:$AT101,$BA101:$BE101)/SUM($BA101:$BE101)/10000*$BX$7*$BZ$34/'疲劳值&amp;地图信息'!$R$10*$BY$57)</f>
        <v>14856</v>
      </c>
      <c r="DH101" s="50">
        <f t="shared" si="138"/>
        <v>0.30474409908857208</v>
      </c>
      <c r="DI101" s="50">
        <f t="shared" si="139"/>
        <v>0.30949598815922724</v>
      </c>
      <c r="DJ101" s="50">
        <f t="shared" si="140"/>
        <v>0.38575991275220067</v>
      </c>
      <c r="DL101" s="14">
        <f t="shared" si="211"/>
        <v>13027</v>
      </c>
      <c r="DM101" s="14">
        <f t="shared" si="212"/>
        <v>16554</v>
      </c>
      <c r="DN101" s="14">
        <f t="shared" si="213"/>
        <v>20292</v>
      </c>
      <c r="DO101" s="14">
        <f t="shared" si="214"/>
        <v>28960</v>
      </c>
      <c r="DP101" s="14">
        <f t="shared" si="215"/>
        <v>38511</v>
      </c>
      <c r="DQ101" s="14">
        <f t="shared" si="216"/>
        <v>908130</v>
      </c>
      <c r="DT101" s="14">
        <f t="shared" si="210"/>
        <v>235575</v>
      </c>
      <c r="DU101" s="50">
        <f t="shared" si="112"/>
        <v>0.20597531706165489</v>
      </c>
      <c r="DW101" s="14">
        <f t="shared" si="141"/>
        <v>1143705</v>
      </c>
      <c r="EB101" s="14">
        <v>96</v>
      </c>
      <c r="EC101" s="51">
        <f t="shared" si="142"/>
        <v>15399</v>
      </c>
      <c r="ED101" s="51">
        <f t="shared" si="143"/>
        <v>1411</v>
      </c>
      <c r="EE101" s="51">
        <f>INT(SUMPRODUCT($N101:$R101,$BF101:$BJ101)/SUM($BF101:$BJ101)/10000*$BX$7*$BZ$46/'疲劳值&amp;地图信息'!$R$10*$BY$53)</f>
        <v>395</v>
      </c>
      <c r="EF101" s="50">
        <f t="shared" si="144"/>
        <v>0.89503051438535308</v>
      </c>
      <c r="EG101" s="50">
        <f t="shared" si="145"/>
        <v>8.2011043301365882E-2</v>
      </c>
      <c r="EH101" s="50">
        <f t="shared" si="146"/>
        <v>2.2958442313281022E-2</v>
      </c>
      <c r="EI101" s="51">
        <f t="shared" si="147"/>
        <v>16342</v>
      </c>
      <c r="EJ101" s="51">
        <f t="shared" si="148"/>
        <v>2208</v>
      </c>
      <c r="EK101" s="14">
        <f>INT(SUMPRODUCT($U101:$Y101,$BF101:$BJ101)/SUM($BF101:$BJ101)/10000*$BX$7*$BZ$46/'疲劳值&amp;地图信息'!$R$10*$BY$54)</f>
        <v>728</v>
      </c>
      <c r="EL101" s="50">
        <f t="shared" si="149"/>
        <v>0.8477020437804752</v>
      </c>
      <c r="EM101" s="50">
        <f t="shared" si="150"/>
        <v>0.11453470276999689</v>
      </c>
      <c r="EN101" s="50">
        <f t="shared" si="151"/>
        <v>3.776325344952796E-2</v>
      </c>
      <c r="EO101" s="51">
        <f t="shared" si="152"/>
        <v>17553</v>
      </c>
      <c r="EP101" s="51">
        <f t="shared" si="153"/>
        <v>3973</v>
      </c>
      <c r="EQ101" s="14">
        <f>INT(SUMPRODUCT($AB101:$AF101,$BF101:$BJ101)/SUM($BF101:$BJ101)/10000*$BX$7*$BZ$46/'疲劳值&amp;地图信息'!$R$10*$BY$55)</f>
        <v>989</v>
      </c>
      <c r="ER101" s="50">
        <f t="shared" si="154"/>
        <v>0.77961359093937377</v>
      </c>
      <c r="ES101" s="50">
        <f t="shared" si="155"/>
        <v>0.17646013768598712</v>
      </c>
      <c r="ET101" s="50">
        <f t="shared" si="156"/>
        <v>4.3926271374639128E-2</v>
      </c>
      <c r="EU101" s="51">
        <f t="shared" si="157"/>
        <v>19885</v>
      </c>
      <c r="EV101" s="51">
        <f t="shared" si="158"/>
        <v>9845</v>
      </c>
      <c r="EW101" s="14">
        <f>INT(SUMPRODUCT($AI101:$AM101,$BF101:$BJ101)/SUM($BF101:$BJ101)/10000*$BX$7*$BZ$46/'疲劳值&amp;地图信息'!$R$10*$BY$56)</f>
        <v>1483</v>
      </c>
      <c r="EX101" s="50">
        <f t="shared" si="159"/>
        <v>0.63707429596642429</v>
      </c>
      <c r="EY101" s="50">
        <f t="shared" si="160"/>
        <v>0.31541344952423672</v>
      </c>
      <c r="EZ101" s="50">
        <f t="shared" si="161"/>
        <v>4.7512254509339061E-2</v>
      </c>
      <c r="FA101" s="51">
        <f t="shared" si="162"/>
        <v>19560</v>
      </c>
      <c r="FB101" s="51">
        <f t="shared" si="163"/>
        <v>19865</v>
      </c>
      <c r="FC101" s="14">
        <f>INT(SUMPRODUCT($AP101:$AT101,$BF101:$BJ101)/SUM($BF101:$BJ101)/10000*$BX$7*$BZ$46/'疲劳值&amp;地图信息'!$R$10*$BY$57)</f>
        <v>1978</v>
      </c>
      <c r="FD101" s="50">
        <f t="shared" si="164"/>
        <v>0.47242953409173249</v>
      </c>
      <c r="FE101" s="50">
        <f t="shared" si="165"/>
        <v>0.47979615003743692</v>
      </c>
      <c r="FF101" s="50">
        <f t="shared" si="166"/>
        <v>4.7774315870830614E-2</v>
      </c>
      <c r="FH101" s="14">
        <f t="shared" si="167"/>
        <v>17205</v>
      </c>
      <c r="FI101" s="14">
        <f t="shared" si="168"/>
        <v>19278</v>
      </c>
      <c r="FJ101" s="14">
        <f t="shared" si="169"/>
        <v>22515</v>
      </c>
      <c r="FK101" s="14">
        <f t="shared" si="170"/>
        <v>31213</v>
      </c>
      <c r="FL101" s="14">
        <f t="shared" si="171"/>
        <v>41403</v>
      </c>
      <c r="FM101" s="14">
        <f t="shared" si="172"/>
        <v>2005506</v>
      </c>
      <c r="FP101" s="14">
        <f t="shared" si="173"/>
        <v>334150</v>
      </c>
      <c r="FQ101" s="50">
        <f t="shared" si="113"/>
        <v>0.14282014108056912</v>
      </c>
      <c r="FS101" s="14">
        <f t="shared" si="174"/>
        <v>2339656</v>
      </c>
      <c r="FX101" s="14">
        <v>96</v>
      </c>
      <c r="FY101" s="51">
        <f t="shared" si="175"/>
        <v>21559</v>
      </c>
      <c r="FZ101" s="51">
        <f t="shared" si="176"/>
        <v>1411</v>
      </c>
      <c r="GA101" s="51">
        <f>INT(SUMPRODUCT($N101:$R101,$BF101:$BJ101)/SUM($BF101:$BJ101)/10000*$BX$7*$BZ$46/'疲劳值&amp;地图信息'!$R$10*$BY$53)</f>
        <v>395</v>
      </c>
      <c r="GB101" s="50">
        <f t="shared" si="177"/>
        <v>0.92270490049218912</v>
      </c>
      <c r="GC101" s="50">
        <f t="shared" si="178"/>
        <v>6.0389471431628504E-2</v>
      </c>
      <c r="GD101" s="50">
        <f t="shared" si="179"/>
        <v>1.6905628076182323E-2</v>
      </c>
      <c r="GE101" s="51">
        <f t="shared" si="180"/>
        <v>22879</v>
      </c>
      <c r="GF101" s="51">
        <f t="shared" si="181"/>
        <v>2208</v>
      </c>
      <c r="GG101" s="14">
        <f>INT(SUMPRODUCT($U101:$Y101,$BF101:$BJ101)/SUM($BF101:$BJ101)/10000*$BX$7*$BZ$46/'疲劳值&amp;地图信息'!$R$10*$BY$54)</f>
        <v>728</v>
      </c>
      <c r="GH101" s="50">
        <f t="shared" si="182"/>
        <v>0.88626767383304283</v>
      </c>
      <c r="GI101" s="50">
        <f t="shared" si="183"/>
        <v>8.553166763509587E-2</v>
      </c>
      <c r="GJ101" s="50">
        <f t="shared" si="184"/>
        <v>2.8200658531861322E-2</v>
      </c>
      <c r="GK101" s="51">
        <f t="shared" si="185"/>
        <v>24574</v>
      </c>
      <c r="GL101" s="51">
        <f t="shared" si="186"/>
        <v>3973</v>
      </c>
      <c r="GM101" s="14">
        <f>INT(SUMPRODUCT($AB101:$AF101,$BF101:$BJ101)/SUM($BF101:$BJ101)/10000*$BX$7*$BZ$46/'疲劳值&amp;地图信息'!$R$10*$BY$55)</f>
        <v>989</v>
      </c>
      <c r="GN101" s="50">
        <f t="shared" si="187"/>
        <v>0.83200162513542797</v>
      </c>
      <c r="GO101" s="50">
        <f t="shared" si="188"/>
        <v>0.1345138136511376</v>
      </c>
      <c r="GP101" s="50">
        <f t="shared" si="189"/>
        <v>3.3484561213434454E-2</v>
      </c>
      <c r="GQ101" s="51">
        <f t="shared" si="190"/>
        <v>27839</v>
      </c>
      <c r="GR101" s="51">
        <f t="shared" si="191"/>
        <v>9845</v>
      </c>
      <c r="GS101" s="14">
        <f>INT(SUMPRODUCT($AI101:$AM101,$BF101:$BJ101)/SUM($BF101:$BJ101)/10000*$BX$7*$BZ$46/'疲劳值&amp;地图信息'!$R$10*$BY$56)</f>
        <v>1483</v>
      </c>
      <c r="GT101" s="50">
        <f t="shared" si="192"/>
        <v>0.71077692955804628</v>
      </c>
      <c r="GU101" s="50">
        <f t="shared" si="193"/>
        <v>0.25135956289733702</v>
      </c>
      <c r="GV101" s="50">
        <f t="shared" si="194"/>
        <v>3.7863507544616641E-2</v>
      </c>
      <c r="GW101" s="51">
        <f t="shared" si="195"/>
        <v>27384</v>
      </c>
      <c r="GX101" s="51">
        <f t="shared" si="196"/>
        <v>19865</v>
      </c>
      <c r="GY101" s="14">
        <f>INT(SUMPRODUCT($AP101:$AT101,$BF101:$BJ101)/SUM($BF101:$BJ101)/10000*$BX$7*$BZ$46/'疲劳值&amp;地图信息'!$R$10*$BY$57)</f>
        <v>1978</v>
      </c>
      <c r="GZ101" s="50">
        <f t="shared" si="197"/>
        <v>0.5562800901944055</v>
      </c>
      <c r="HA101" s="50">
        <f t="shared" si="198"/>
        <v>0.40353870843236433</v>
      </c>
      <c r="HB101" s="50">
        <f t="shared" si="199"/>
        <v>4.0181201373230141E-2</v>
      </c>
      <c r="HD101" s="14">
        <f t="shared" si="200"/>
        <v>23365</v>
      </c>
      <c r="HE101" s="14">
        <f t="shared" si="201"/>
        <v>25815</v>
      </c>
      <c r="HF101" s="14">
        <f t="shared" si="202"/>
        <v>29536</v>
      </c>
      <c r="HG101" s="14">
        <f t="shared" si="203"/>
        <v>39167</v>
      </c>
      <c r="HH101" s="14">
        <f t="shared" si="204"/>
        <v>49227</v>
      </c>
      <c r="HI101" s="14">
        <f t="shared" si="205"/>
        <v>2681394</v>
      </c>
      <c r="HL101" s="14">
        <f t="shared" si="206"/>
        <v>430050</v>
      </c>
      <c r="HM101" s="50">
        <f t="shared" si="114"/>
        <v>0.13821556807707289</v>
      </c>
      <c r="HO101" s="14">
        <f t="shared" si="207"/>
        <v>3111444</v>
      </c>
    </row>
    <row r="102" spans="11:223" x14ac:dyDescent="0.2">
      <c r="K102" s="14">
        <v>97</v>
      </c>
      <c r="L102" s="12">
        <f>求节点(节奏总纲!D$4:D$163,标准城池设计!AB$4:AB$163,$K102)*求节点(节奏总纲!D$4:D$163,攻城基础信息!$AC$5:$AC$164,$K102)</f>
        <v>458203.64181286073</v>
      </c>
      <c r="M102" s="12">
        <f>INDEX(其他调用!$AA$5:$AA$404,MATCH(K102,其他调用!$X$5:$X$404,0))*MIN(INDEX(其他调用!$AH$5:$AH$364,MATCH('征服点（新）'!K102,其他调用!$AG$5:$AG$364,0),1)/INDEX(其他调用!$AJ$5:$AJ$364,MATCH(K102,其他调用!$AG$5:$AG$364,0),0),5)*求节点(节奏总纲!D$4:D$163,攻城基础信息!$AC$5:$AC$164,$K102)</f>
        <v>41701.909962698817</v>
      </c>
      <c r="N102" s="12">
        <f>MIN(INDEX(其他调用!$AH$5:$AH$364,MATCH($K102,其他调用!$AG$5:$AG$364,0),1)/INDEX(其他调用!AH$5:AH$364,MATCH($K102,其他调用!$AG$5:$AG$364,0),0),1)*INDEX(其他调用!Y$5:Y$404,MATCH($K102,其他调用!$X$5:$X$404,0),0)</f>
        <v>35969.493361756999</v>
      </c>
      <c r="O102" s="12">
        <f>MIN(INDEX(其他调用!$AH$5:$AH$364,MATCH($K102,其他调用!$AG$5:$AG$364,0),1)/INDEX(其他调用!AI$5:AI$364,MATCH($K102,其他调用!$AG$5:$AG$364,0),0),1)*INDEX(其他调用!Z$5:Z$404,MATCH($K102,其他调用!$X$5:$X$404,0),0)</f>
        <v>23642.946291842378</v>
      </c>
      <c r="P102" s="12">
        <f>MIN(INDEX(其他调用!$AH$5:$AH$364,MATCH($K102,其他调用!$AG$5:$AG$364,0),1)/INDEX(其他调用!AJ$5:AJ$364,MATCH($K102,其他调用!$AG$5:$AG$364,0),0),1)*INDEX(其他调用!AA$5:AA$404,MATCH($K102,其他调用!$X$5:$X$404,0),0)</f>
        <v>13726.344717569125</v>
      </c>
      <c r="Q102" s="12">
        <f>MIN(INDEX(其他调用!$AH$5:$AH$364,MATCH($K102,其他调用!$AG$5:$AG$364,0),1)/INDEX(其他调用!AK$5:AK$364,MATCH($K102,其他调用!$AG$5:$AG$364,0),0),1)*INDEX(其他调用!AB$5:AB$404,MATCH($K102,其他调用!$X$5:$X$404,0),0)</f>
        <v>5833.7544699223081</v>
      </c>
      <c r="R102" s="12">
        <f>MIN(INDEX(其他调用!$AH$5:$AH$364,MATCH($K102,其他调用!$AG$5:$AG$364,0),1)/INDEX(其他调用!AL$5:AL$364,MATCH($K102,其他调用!$AG$5:$AG$364,0),0),1)*INDEX(其他调用!AC$5:AC$404,MATCH($K102,其他调用!$X$5:$X$404,0),0)</f>
        <v>1783.924797934395</v>
      </c>
      <c r="S102" s="12">
        <f>求节点(节奏总纲!D$4:D$163,标准城池设计!AC$4:AC$163,$K102)*求节点(节奏总纲!D$4:D$163,攻城基础信息!$AD$5:$AD$164,$K102)</f>
        <v>486469.20415036869</v>
      </c>
      <c r="T102" s="12">
        <f>INDEX(其他调用!$AA$5:$AA$404,MATCH($K102,其他调用!$X$5:$X$404,0))*MIN(INDEX(其他调用!AI$5:AI$364,MATCH($K102,其他调用!$AG$5:$AG$364,0),1)/INDEX(其他调用!$AJ$5:$AJ$364,MATCH($K102,其他调用!$AG$5:$AG$364,0),0),5)*求节点(节奏总纲!D$4:D$163,攻城基础信息!$AD$5:$AD$164,$K102)</f>
        <v>65458.358555527426</v>
      </c>
      <c r="U102" s="12">
        <f>MIN(INDEX(其他调用!$AI$5:$AI$364,MATCH($K102,其他调用!$AG$5:$AG$364,0),1)/INDEX(其他调用!AH$5:AH$364,MATCH($K102,其他调用!$AG$5:$AG$364,0),0),1)*INDEX(其他调用!Y$5:Y$404,MATCH($K102,其他调用!$X$5:$X$404,0),0)</f>
        <v>35969.493361756999</v>
      </c>
      <c r="V102" s="12">
        <f>MIN(INDEX(其他调用!$AI$5:$AI$364,MATCH($K102,其他调用!$AG$5:$AG$364,0),1)/INDEX(其他调用!AI$5:AI$364,MATCH($K102,其他调用!$AG$5:$AG$364,0),0),1)*INDEX(其他调用!Z$5:Z$404,MATCH($K102,其他调用!$X$5:$X$404,0),0)</f>
        <v>37111.692415642494</v>
      </c>
      <c r="W102" s="12">
        <f>MIN(INDEX(其他调用!$AI$5:$AI$364,MATCH($K102,其他调用!$AG$5:$AG$364,0),1)/INDEX(其他调用!AJ$5:AJ$364,MATCH($K102,其他调用!$AG$5:$AG$364,0),0),1)*INDEX(其他调用!AA$5:AA$404,MATCH($K102,其他调用!$X$5:$X$404,0),0)</f>
        <v>21545.871519628145</v>
      </c>
      <c r="X102" s="12">
        <f>MIN(INDEX(其他调用!$AI$5:$AI$364,MATCH($K102,其他调用!$AG$5:$AG$364,0),1)/INDEX(其他调用!AK$5:AK$364,MATCH($K102,其他调用!$AG$5:$AG$364,0),0),1)*INDEX(其他调用!AB$5:AB$404,MATCH($K102,其他调用!$X$5:$X$404,0),0)</f>
        <v>9157.0863818624966</v>
      </c>
      <c r="Y102" s="12">
        <f>MIN(INDEX(其他调用!$AI$5:$AI$364,MATCH($K102,其他调用!$AG$5:$AG$364,0),1)/INDEX(其他调用!AL$5:AL$364,MATCH($K102,其他调用!$AG$5:$AG$364,0),0),1)*INDEX(其他调用!AC$5:AC$404,MATCH($K102,其他调用!$X$5:$X$404,0),0)</f>
        <v>2800.1784370005207</v>
      </c>
      <c r="Z102" s="12">
        <f>求节点(节奏总纲!D$4:D$163,标准城池设计!AD$4:AD$163,$K102)*求节点(节奏总纲!D$4:D$163,攻城基础信息!$AE$5:$AE$164,$K102)</f>
        <v>522566.12353275373</v>
      </c>
      <c r="AA102" s="12">
        <f>INDEX(其他调用!$AA$5:$AA$404,MATCH($K102,其他调用!$X$5:$X$404,0))*MIN(INDEX(其他调用!AJ$5:AJ$364,MATCH($K102,其他调用!$AG$5:$AG$364,0),1)/INDEX(其他调用!$AJ$5:$AJ$364,MATCH($K102,其他调用!$AG$5:$AG$364,0),0),5)*求节点(节奏总纲!D$4:D$163,攻城基础信息!$AE$5:$AE$164,$K102)</f>
        <v>117332.56428328021</v>
      </c>
      <c r="AB102" s="12">
        <f>MIN(INDEX(其他调用!$AJ$5:$AJ$364,MATCH($K102,其他调用!$AG$5:$AG$364,0),1)/INDEX(其他调用!AH$5:AH$364,MATCH($K102,其他调用!$AG$5:$AG$364,0),0),1)*INDEX(其他调用!Y$5:Y$404,MATCH($K102,其他调用!$X$5:$X$404,0),0)</f>
        <v>35969.493361756999</v>
      </c>
      <c r="AC102" s="12">
        <f>MIN(INDEX(其他调用!$AJ$5:$AJ$364,MATCH($K102,其他调用!$AG$5:$AG$364,0),1)/INDEX(其他调用!AI$5:AI$364,MATCH($K102,其他调用!$AG$5:$AG$364,0),0),1)*INDEX(其他调用!Z$5:Z$404,MATCH($K102,其他调用!$X$5:$X$404,0),0)</f>
        <v>37111.692415642494</v>
      </c>
      <c r="AD102" s="12">
        <f>MIN(INDEX(其他调用!$AJ$5:$AJ$364,MATCH($K102,其他调用!$AG$5:$AG$364,0),1)/INDEX(其他调用!AJ$5:AJ$364,MATCH($K102,其他调用!$AG$5:$AG$364,0),0),1)*INDEX(其他调用!AA$5:AA$404,MATCH($K102,其他调用!$X$5:$X$404,0),0)</f>
        <v>38620.466673810195</v>
      </c>
      <c r="AE102" s="12">
        <f>MIN(INDEX(其他调用!$AJ$5:$AJ$364,MATCH($K102,其他调用!$AG$5:$AG$364,0),1)/INDEX(其他调用!AK$5:AK$364,MATCH($K102,其他调用!$AG$5:$AG$364,0),0),1)*INDEX(其他调用!AB$5:AB$404,MATCH($K102,其他调用!$X$5:$X$404,0),0)</f>
        <v>16413.861426665804</v>
      </c>
      <c r="AF102" s="12">
        <f>MIN(INDEX(其他调用!$AJ$5:$AJ$364,MATCH($K102,其他调用!$AG$5:$AG$364,0),1)/INDEX(其他调用!AL$5:AL$364,MATCH($K102,其他调用!$AG$5:$AG$364,0),0),1)*INDEX(其他调用!AC$5:AC$404,MATCH($K102,其他调用!$X$5:$X$404,0),0)</f>
        <v>5019.2538235634574</v>
      </c>
      <c r="AG102" s="12">
        <f>求节点(节奏总纲!D$4:D$163,标准城池设计!AE$4:AE$163,$K102)*求节点(节奏总纲!D$4:D$163,攻城基础信息!$AF$5:$AF$164,$K102)</f>
        <v>592098.30908088479</v>
      </c>
      <c r="AH102" s="12">
        <f>INDEX(其他调用!$AA$5:$AA$404,MATCH($K102,其他调用!$X$5:$X$404,0))*MIN(INDEX(其他调用!AK$5:AK$364,MATCH($K102,其他调用!$AG$5:$AG$364,0),1)/INDEX(其他调用!$AJ$5:$AJ$364,MATCH($K102,其他调用!$AG$5:$AG$364,0),0),5)*求节点(节奏总纲!D$4:D$163,攻城基础信息!$AF$5:$AF$164,$K102)</f>
        <v>291641.92581678927</v>
      </c>
      <c r="AI102" s="12">
        <f>MIN(INDEX(其他调用!$AK$5:$AK$364,MATCH($K102,其他调用!$AG$5:$AG$364,0),1)/INDEX(其他调用!AH$5:AH$364,MATCH($K102,其他调用!$AG$5:$AG$364,0),0),1)*INDEX(其他调用!Y$5:Y$404,MATCH($K102,其他调用!$X$5:$X$404,0),0)</f>
        <v>35969.493361756999</v>
      </c>
      <c r="AJ102" s="12">
        <f>MIN(INDEX(其他调用!$AK$5:$AK$364,MATCH($K102,其他调用!$AG$5:$AG$364,0),1)/INDEX(其他调用!AI$5:AI$364,MATCH($K102,其他调用!$AG$5:$AG$364,0),0),1)*INDEX(其他调用!Z$5:Z$404,MATCH($K102,其他调用!$X$5:$X$404,0),0)</f>
        <v>37111.692415642494</v>
      </c>
      <c r="AK102" s="12">
        <f>MIN(INDEX(其他调用!$AK$5:$AK$364,MATCH($K102,其他调用!$AG$5:$AG$364,0),1)/INDEX(其他调用!AJ$5:AJ$364,MATCH($K102,其他调用!$AG$5:$AG$364,0),0),1)*INDEX(其他调用!AA$5:AA$404,MATCH($K102,其他调用!$X$5:$X$404,0),0)</f>
        <v>38620.466673810195</v>
      </c>
      <c r="AL102" s="12">
        <f>MIN(INDEX(其他调用!$AK$5:$AK$364,MATCH($K102,其他调用!$AG$5:$AG$364,0),1)/INDEX(其他调用!AK$5:AK$364,MATCH($K102,其他调用!$AG$5:$AG$364,0),0),1)*INDEX(其他调用!AB$5:AB$404,MATCH($K102,其他调用!$X$5:$X$404,0),0)</f>
        <v>40798.308515659584</v>
      </c>
      <c r="AM102" s="12">
        <f>MIN(INDEX(其他调用!$AK$5:$AK$364,MATCH($K102,其他调用!$AG$5:$AG$364,0),1)/INDEX(其他调用!AL$5:AL$364,MATCH($K102,其他调用!$AG$5:$AG$364,0),0),1)*INDEX(其他调用!AC$5:AC$404,MATCH($K102,其他调用!$X$5:$X$404,0),0)</f>
        <v>12475.861754228476</v>
      </c>
      <c r="AN102" s="12">
        <f>求节点(节奏总纲!D$4:D$163,标准城池设计!AF$4:AF$163,$K102)*求节点(节奏总纲!D$4:D$163,攻城基础信息!$AG$5:$AG$164,$K102)</f>
        <v>582808.20575503376</v>
      </c>
      <c r="AO102" s="12">
        <f>INDEX(其他调用!$AA$5:$AA$404,MATCH($K102,其他调用!$X$5:$X$404,0))*MIN(INDEX(其他调用!AL$5:AL$364,MATCH($K102,其他调用!$AG$5:$AG$364,0),1)/INDEX(其他调用!$AJ$5:$AJ$364,MATCH($K102,其他调用!$AG$5:$AG$364,0),0),5)*求节点(节奏总纲!D$4:D$163,攻城基础信息!$AG$5:$AG$164,$K102)</f>
        <v>586662.82141640107</v>
      </c>
      <c r="AP102" s="12">
        <f>MIN(INDEX(其他调用!$AL$5:$AL$364,MATCH($K102,其他调用!$AG$5:$AG$364,0),1)/INDEX(其他调用!AH$5:AH$364,MATCH($K102,其他调用!$AG$5:$AG$364,0),0),1)*INDEX(其他调用!Y$5:Y$404,MATCH($K102,其他调用!$X$5:$X$404,0),0)</f>
        <v>35969.493361756999</v>
      </c>
      <c r="AQ102" s="12">
        <f>MIN(INDEX(其他调用!$AL$5:$AL$364,MATCH($K102,其他调用!$AG$5:$AG$364,0),1)/INDEX(其他调用!AI$5:AI$364,MATCH($K102,其他调用!$AG$5:$AG$364,0),0),1)*INDEX(其他调用!Z$5:Z$404,MATCH($K102,其他调用!$X$5:$X$404,0),0)</f>
        <v>37111.692415642494</v>
      </c>
      <c r="AR102" s="12">
        <f>MIN(INDEX(其他调用!$AL$5:$AL$364,MATCH($K102,其他调用!$AG$5:$AG$364,0),1)/INDEX(其他调用!AJ$5:AJ$364,MATCH($K102,其他调用!$AG$5:$AG$364,0),0),1)*INDEX(其他调用!AA$5:AA$404,MATCH($K102,其他调用!$X$5:$X$404,0),0)</f>
        <v>38620.466673810195</v>
      </c>
      <c r="AS102" s="12">
        <f>MIN(INDEX(其他调用!$AL$5:$AL$364,MATCH($K102,其他调用!$AG$5:$AG$364,0),1)/INDEX(其他调用!AK$5:AK$364,MATCH($K102,其他调用!$AG$5:$AG$364,0),0),1)*INDEX(其他调用!AB$5:AB$404,MATCH($K102,其他调用!$X$5:$X$404,0),0)</f>
        <v>40798.308515659584</v>
      </c>
      <c r="AT102" s="12">
        <f>MIN(INDEX(其他调用!$AL$5:$AL$364,MATCH($K102,其他调用!$AG$5:$AG$364,0),1)/INDEX(其他调用!AL$5:AL$364,MATCH($K102,其他调用!$AG$5:$AG$364,0),0),1)*INDEX(其他调用!AC$5:AC$404,MATCH($K102,其他调用!$X$5:$X$404,0),0)</f>
        <v>44648.075860847515</v>
      </c>
      <c r="AV102" s="14">
        <f>IF(OR(AV$5="大R",AV$5="超R"),MAX(INDEX(其他调用!$H$5:$L$404,MATCH($K102,其他调用!$B$5:$B$404,0),MATCH(AV$5,其他调用!$H$4:$L$4,0))*120*0.85,2),INDEX(其他调用!$H$5:$L$404,MATCH($K102,其他调用!$B$5:$B$404,0),MATCH(AV$5,其他调用!$H$4:$L$4,0))*120*0.85)</f>
        <v>48.921801254999991</v>
      </c>
      <c r="AW102" s="14">
        <f>IF(OR(AW$5="大R",AW$5="超R"),MAX(INDEX(其他调用!$H$5:$L$404,MATCH($K102,其他调用!$B$5:$B$404,0),MATCH(AW$5,其他调用!$H$4:$L$4,0))*120*0.85,2),INDEX(其他调用!$H$5:$L$404,MATCH($K102,其他调用!$B$5:$B$404,0),MATCH(AW$5,其他调用!$H$4:$L$4,0))*120*0.85)</f>
        <v>48.237344010638395</v>
      </c>
      <c r="AX102" s="14">
        <f>IF(OR(AX$5="大R",AX$5="超R"),MAX(INDEX(其他调用!$H$5:$L$404,MATCH($K102,其他调用!$B$5:$B$404,0),MATCH(AX$5,其他调用!$H$4:$L$4,0))*120*0.85,2),INDEX(其他调用!$H$5:$L$404,MATCH($K102,其他调用!$B$5:$B$404,0),MATCH(AX$5,其他调用!$H$4:$L$4,0))*120*0.85)</f>
        <v>3.9376284143615998</v>
      </c>
      <c r="AY102" s="14">
        <f>IF(OR(AY$5="大R",AY$5="超R"),MAX(INDEX(其他调用!$H$5:$L$404,MATCH($K102,其他调用!$B$5:$B$404,0),MATCH(AY$5,其他调用!$H$4:$L$4,0))*120*0.85,2),INDEX(其他调用!$H$5:$L$404,MATCH($K102,其他调用!$B$5:$B$404,0),MATCH(AY$5,其他调用!$H$4:$L$4,0))*120*0.85)</f>
        <v>2</v>
      </c>
      <c r="AZ102" s="14">
        <f>IF(OR(AZ$5="大R",AZ$5="超R"),MAX(INDEX(其他调用!$H$5:$L$404,MATCH($K102,其他调用!$B$5:$B$404,0),MATCH(AZ$5,其他调用!$H$4:$L$4,0))*120*0.85,2),INDEX(其他调用!$H$5:$L$404,MATCH($K102,其他调用!$B$5:$B$404,0),MATCH(AZ$5,其他调用!$H$4:$L$4,0))*120*0.85)</f>
        <v>2</v>
      </c>
      <c r="BA102" s="14">
        <f>INDEX(其他调用!$H$5:$L$404,MATCH($K102,其他调用!$B$5:$B$404,0),MATCH(BA$5,其他调用!$H$4:$L$4,0))*INDEX(其他调用!$M$5:$M$404,MATCH($K102,其他调用!$B$5:$B$404,0))*0.6</f>
        <v>28.777530149999997</v>
      </c>
      <c r="BB102" s="14">
        <f>INDEX(其他调用!$H$5:$L$404,MATCH($K102,其他调用!$B$5:$B$404,0),MATCH(BB$5,其他调用!$H$4:$L$4,0))*INDEX(其他调用!$M$5:$M$404,MATCH($K102,其他调用!$B$5:$B$404,0))*0.6</f>
        <v>28.374908241551999</v>
      </c>
      <c r="BC102" s="14">
        <f>INDEX(其他调用!$H$5:$L$404,MATCH($K102,其他调用!$B$5:$B$404,0),MATCH(BC$5,其他调用!$H$4:$L$4,0))*INDEX(其他调用!$M$5:$M$404,MATCH($K102,其他调用!$B$5:$B$404,0))*0.6</f>
        <v>2.3162520084480001</v>
      </c>
      <c r="BD102" s="14">
        <f>INDEX(其他调用!$H$5:$L$404,MATCH($K102,其他调用!$B$5:$B$404,0),MATCH(BD$5,其他调用!$H$4:$L$4,0))*INDEX(其他调用!$M$5:$M$404,MATCH($K102,其他调用!$B$5:$B$404,0))*0.6</f>
        <v>0.4120776000000001</v>
      </c>
      <c r="BE102" s="14">
        <f>INDEX(其他调用!$H$5:$L$404,MATCH($K102,其他调用!$B$5:$B$404,0),MATCH(BE$5,其他调用!$H$4:$L$4,0))*INDEX(其他调用!$M$5:$M$404,MATCH($K102,其他调用!$B$5:$B$404,0))*0.6</f>
        <v>0.11923199999999998</v>
      </c>
      <c r="BF102" s="14">
        <f>IF(OR(BF$5="大R",BF$5="超R"),0,INDEX(其他调用!$H$5:$L$404,MATCH($K102,其他调用!$B$5:$B$404,0),MATCH(BF$5,其他调用!$H$4:$L$4,0))*50*0.4)</f>
        <v>9.5925100500000013</v>
      </c>
      <c r="BG102" s="14">
        <f>IF(OR(BG$5="大R",BG$5="超R"),0,INDEX(其他调用!$H$5:$L$404,MATCH($K102,其他调用!$B$5:$B$404,0),MATCH(BG$5,其他调用!$H$4:$L$4,0))*50*0.4)</f>
        <v>9.4583027471839998</v>
      </c>
      <c r="BH102" s="14">
        <f>IF(OR(BH$5="大R",BH$5="超R"),0,INDEX(其他调用!$H$5:$L$404,MATCH($K102,其他调用!$B$5:$B$404,0),MATCH(BH$5,其他调用!$H$4:$L$4,0))*50*0.4)</f>
        <v>0.77208400281600009</v>
      </c>
      <c r="BI102" s="14">
        <f>IF(OR(BI$5="大R",BI$5="超R"),0,INDEX(其他调用!$H$5:$L$404,MATCH($K102,其他调用!$B$5:$B$404,0),MATCH(BI$5,其他调用!$H$4:$L$4,0))*50*0.4)</f>
        <v>0</v>
      </c>
      <c r="BJ102" s="14">
        <f>IF(OR(BJ$5="大R",BJ$5="超R"),0,INDEX(其他调用!$H$5:$L$404,MATCH($K102,其他调用!$B$5:$B$404,0),MATCH(BJ$5,其他调用!$H$4:$L$4,0))*50*0.4)</f>
        <v>0</v>
      </c>
      <c r="BL102" s="14">
        <f t="shared" si="208"/>
        <v>97</v>
      </c>
      <c r="BM102" s="14">
        <f t="shared" si="115"/>
        <v>96</v>
      </c>
      <c r="BN102" s="14">
        <f>('疲劳值&amp;地图信息'!$S$10*'疲劳值&amp;地图信息'!$R$10+'疲劳值&amp;地图信息'!$S$11*'疲劳值&amp;地图信息'!$R$11+'疲劳值&amp;地图信息'!$S$12*'疲劳值&amp;地图信息'!$R$12+(BM102-'疲劳值&amp;地图信息'!$S$12-'疲劳值&amp;地图信息'!$S$11-'疲劳值&amp;地图信息'!$S$10)*'疲劳值&amp;地图信息'!$R$13)/BM102</f>
        <v>51.371477246638619</v>
      </c>
      <c r="BO102" s="14">
        <f>INDEX(其他调用!$M$5:$M$404,MATCH(BL102,其他调用!$B$5:$B$404,0))*0.6</f>
        <v>60</v>
      </c>
      <c r="BP102" s="14">
        <f>IF(BO102&gt;SUM('疲劳值&amp;地图信息'!$S$10:$S$12),('疲劳值&amp;地图信息'!$S$10*'疲劳值&amp;地图信息'!$R$10+'疲劳值&amp;地图信息'!$S$11*'疲劳值&amp;地图信息'!$R$11+'疲劳值&amp;地图信息'!$S$12*'疲劳值&amp;地图信息'!$R$12+(BO102-'疲劳值&amp;地图信息'!$S$12-'疲劳值&amp;地图信息'!$S$11-'疲劳值&amp;地图信息'!$S$10)*'疲劳值&amp;地图信息'!$R$13)/BO102,('疲劳值&amp;地图信息'!$S$10*'疲劳值&amp;地图信息'!$R$10+'疲劳值&amp;地图信息'!$S$11*'疲劳值&amp;地图信息'!$R$11+'疲劳值&amp;地图信息'!$S$12*'疲劳值&amp;地图信息'!$R$12+(BO102-'疲劳值&amp;地图信息'!$S$12-'疲劳值&amp;地图信息'!$S$11-'疲劳值&amp;地图信息'!$S$10)*'疲劳值&amp;地图信息'!$R$13)/BO102)</f>
        <v>44.158136341605953</v>
      </c>
      <c r="BQ102" s="14">
        <f t="shared" si="209"/>
        <v>20</v>
      </c>
      <c r="BR102" s="14">
        <f>('疲劳值&amp;地图信息'!$S$10*'疲劳值&amp;地图信息'!$R$10+($BQ102-'疲劳值&amp;地图信息'!$S$10)*'疲劳值&amp;地图信息'!$R$11)/$BQ102</f>
        <v>32.067203015074995</v>
      </c>
      <c r="CF102" s="14">
        <v>97</v>
      </c>
      <c r="CG102" s="51">
        <f t="shared" si="116"/>
        <v>9338</v>
      </c>
      <c r="CH102" s="51">
        <f t="shared" si="117"/>
        <v>849</v>
      </c>
      <c r="CI102" s="51">
        <f>INT(SUMPRODUCT($N102:$R102,$BA102:$BE102)/SUM($BA102:$BE102)/10000*$BX$7*$BZ$34/'疲劳值&amp;地图信息'!$R$10*$BY$53)</f>
        <v>2943</v>
      </c>
      <c r="CJ102" s="50">
        <f t="shared" si="118"/>
        <v>0.71119573495811117</v>
      </c>
      <c r="CK102" s="50">
        <f t="shared" si="119"/>
        <v>6.4661081492764658E-2</v>
      </c>
      <c r="CL102" s="50">
        <f t="shared" si="120"/>
        <v>0.22414318354912413</v>
      </c>
      <c r="CM102" s="14">
        <f t="shared" si="121"/>
        <v>9914</v>
      </c>
      <c r="CN102" s="14">
        <f t="shared" si="122"/>
        <v>1334</v>
      </c>
      <c r="CO102" s="14">
        <f>INT(SUMPRODUCT($U102:$Y102,$BA102:$BE102)/SUM($BA102:$BE102)/10000*$BX$7*$BZ$34/'疲劳值&amp;地图信息'!$R$10*$BY$54)</f>
        <v>5434</v>
      </c>
      <c r="CP102" s="50">
        <f t="shared" si="123"/>
        <v>0.59429325020980694</v>
      </c>
      <c r="CQ102" s="50">
        <f t="shared" si="124"/>
        <v>7.9966430883587097E-2</v>
      </c>
      <c r="CR102" s="50">
        <f t="shared" si="125"/>
        <v>0.32574031890660593</v>
      </c>
      <c r="CS102" s="14">
        <f t="shared" si="126"/>
        <v>10650</v>
      </c>
      <c r="CT102" s="14">
        <f t="shared" si="127"/>
        <v>2391</v>
      </c>
      <c r="CU102" s="14">
        <f>INT(SUMPRODUCT($AB102:$AF102,$BA102:$BE102)/SUM($BA102:$BE102)/10000*$BX$7*$BZ$34/'疲劳值&amp;地图信息'!$R$10*$BY$55)</f>
        <v>7390</v>
      </c>
      <c r="CV102" s="50">
        <f t="shared" si="128"/>
        <v>0.52126670255983554</v>
      </c>
      <c r="CW102" s="50">
        <f t="shared" si="129"/>
        <v>0.11702804561695462</v>
      </c>
      <c r="CX102" s="50">
        <f t="shared" si="130"/>
        <v>0.36170525182320984</v>
      </c>
      <c r="CY102" s="14">
        <f t="shared" si="131"/>
        <v>12067</v>
      </c>
      <c r="CZ102" s="14">
        <f t="shared" si="132"/>
        <v>5944</v>
      </c>
      <c r="DA102" s="14">
        <f>INT(SUMPRODUCT($AI102:$AM102,$BA102:$BE102)/SUM($BA102:$BE102)/10000*$BX$7*$BZ$34/'疲劳值&amp;地图信息'!$R$10*$BY$56)</f>
        <v>11140</v>
      </c>
      <c r="DB102" s="50">
        <f t="shared" si="133"/>
        <v>0.41394806353126823</v>
      </c>
      <c r="DC102" s="50">
        <f t="shared" si="134"/>
        <v>0.20390381119001064</v>
      </c>
      <c r="DD102" s="50">
        <f t="shared" si="135"/>
        <v>0.38214812527872116</v>
      </c>
      <c r="DE102" s="14">
        <f t="shared" si="136"/>
        <v>11878</v>
      </c>
      <c r="DF102" s="14">
        <f t="shared" si="137"/>
        <v>11956</v>
      </c>
      <c r="DG102" s="14">
        <f>INT(SUMPRODUCT($AP102:$AT102,$BA102:$BE102)/SUM($BA102:$BE102)/10000*$BX$7*$BZ$34/'疲劳值&amp;地图信息'!$R$10*$BY$57)</f>
        <v>14880</v>
      </c>
      <c r="DH102" s="50">
        <f t="shared" si="138"/>
        <v>0.30681407242857883</v>
      </c>
      <c r="DI102" s="50">
        <f t="shared" si="139"/>
        <v>0.30882884744536859</v>
      </c>
      <c r="DJ102" s="50">
        <f t="shared" si="140"/>
        <v>0.38435708012605257</v>
      </c>
      <c r="DL102" s="14">
        <f t="shared" si="211"/>
        <v>13130</v>
      </c>
      <c r="DM102" s="14">
        <f t="shared" si="212"/>
        <v>16682</v>
      </c>
      <c r="DN102" s="14">
        <f t="shared" si="213"/>
        <v>20431</v>
      </c>
      <c r="DO102" s="14">
        <f t="shared" si="214"/>
        <v>29151</v>
      </c>
      <c r="DP102" s="14">
        <f t="shared" si="215"/>
        <v>38714</v>
      </c>
      <c r="DQ102" s="14">
        <f t="shared" si="216"/>
        <v>915150</v>
      </c>
      <c r="DT102" s="14">
        <f t="shared" si="210"/>
        <v>235575</v>
      </c>
      <c r="DU102" s="50">
        <f t="shared" si="112"/>
        <v>0.20471876425731603</v>
      </c>
      <c r="DW102" s="14">
        <f t="shared" si="141"/>
        <v>1150725</v>
      </c>
      <c r="EB102" s="14">
        <v>97</v>
      </c>
      <c r="EC102" s="51">
        <f t="shared" si="142"/>
        <v>15564</v>
      </c>
      <c r="ED102" s="51">
        <f t="shared" si="143"/>
        <v>1416</v>
      </c>
      <c r="EE102" s="51">
        <f>INT(SUMPRODUCT($N102:$R102,$BF102:$BJ102)/SUM($BF102:$BJ102)/10000*$BX$7*$BZ$46/'疲劳值&amp;地图信息'!$R$10*$BY$53)</f>
        <v>395</v>
      </c>
      <c r="EF102" s="50">
        <f t="shared" si="144"/>
        <v>0.89576978417266184</v>
      </c>
      <c r="EG102" s="50">
        <f t="shared" si="145"/>
        <v>8.1496402877697841E-2</v>
      </c>
      <c r="EH102" s="50">
        <f t="shared" si="146"/>
        <v>2.2733812949640289E-2</v>
      </c>
      <c r="EI102" s="51">
        <f t="shared" si="147"/>
        <v>16524</v>
      </c>
      <c r="EJ102" s="51">
        <f t="shared" si="148"/>
        <v>2223</v>
      </c>
      <c r="EK102" s="14">
        <f>INT(SUMPRODUCT($U102:$Y102,$BF102:$BJ102)/SUM($BF102:$BJ102)/10000*$BX$7*$BZ$46/'疲劳值&amp;地图信息'!$R$10*$BY$54)</f>
        <v>729</v>
      </c>
      <c r="EL102" s="50">
        <f t="shared" si="149"/>
        <v>0.84842883548983361</v>
      </c>
      <c r="EM102" s="50">
        <f t="shared" si="150"/>
        <v>0.11414048059149723</v>
      </c>
      <c r="EN102" s="50">
        <f t="shared" si="151"/>
        <v>3.7430683918669133E-2</v>
      </c>
      <c r="EO102" s="51">
        <f t="shared" si="152"/>
        <v>17750</v>
      </c>
      <c r="EP102" s="51">
        <f t="shared" si="153"/>
        <v>3985</v>
      </c>
      <c r="EQ102" s="14">
        <f>INT(SUMPRODUCT($AB102:$AF102,$BF102:$BJ102)/SUM($BF102:$BJ102)/10000*$BX$7*$BZ$46/'疲劳值&amp;地图信息'!$R$10*$BY$55)</f>
        <v>990</v>
      </c>
      <c r="ER102" s="50">
        <f t="shared" si="154"/>
        <v>0.78107810781078113</v>
      </c>
      <c r="ES102" s="50">
        <f t="shared" si="155"/>
        <v>0.17535753575357535</v>
      </c>
      <c r="ET102" s="50">
        <f t="shared" si="156"/>
        <v>4.3564356435643561E-2</v>
      </c>
      <c r="EU102" s="51">
        <f t="shared" si="157"/>
        <v>20112</v>
      </c>
      <c r="EV102" s="51">
        <f t="shared" si="158"/>
        <v>9906</v>
      </c>
      <c r="EW102" s="14">
        <f>INT(SUMPRODUCT($AI102:$AM102,$BF102:$BJ102)/SUM($BF102:$BJ102)/10000*$BX$7*$BZ$46/'疲劳值&amp;地图信息'!$R$10*$BY$56)</f>
        <v>1486</v>
      </c>
      <c r="EX102" s="50">
        <f t="shared" si="159"/>
        <v>0.63839512442864399</v>
      </c>
      <c r="EY102" s="50">
        <f t="shared" si="160"/>
        <v>0.3144362620619604</v>
      </c>
      <c r="EZ102" s="50">
        <f t="shared" si="161"/>
        <v>4.7168613509395635E-2</v>
      </c>
      <c r="FA102" s="51">
        <f t="shared" si="162"/>
        <v>19797</v>
      </c>
      <c r="FB102" s="51">
        <f t="shared" si="163"/>
        <v>19928</v>
      </c>
      <c r="FC102" s="14">
        <f>INT(SUMPRODUCT($AP102:$AT102,$BF102:$BJ102)/SUM($BF102:$BJ102)/10000*$BX$7*$BZ$46/'疲劳值&amp;地图信息'!$R$10*$BY$57)</f>
        <v>1981</v>
      </c>
      <c r="FD102" s="50">
        <f t="shared" si="164"/>
        <v>0.47467990217234929</v>
      </c>
      <c r="FE102" s="50">
        <f t="shared" si="165"/>
        <v>0.47782093703543854</v>
      </c>
      <c r="FF102" s="50">
        <f t="shared" si="166"/>
        <v>4.7499160792212149E-2</v>
      </c>
      <c r="FH102" s="14">
        <f t="shared" si="167"/>
        <v>17375</v>
      </c>
      <c r="FI102" s="14">
        <f t="shared" si="168"/>
        <v>19476</v>
      </c>
      <c r="FJ102" s="14">
        <f t="shared" si="169"/>
        <v>22725</v>
      </c>
      <c r="FK102" s="14">
        <f t="shared" si="170"/>
        <v>31504</v>
      </c>
      <c r="FL102" s="14">
        <f t="shared" si="171"/>
        <v>41706</v>
      </c>
      <c r="FM102" s="14">
        <f t="shared" si="172"/>
        <v>2025389</v>
      </c>
      <c r="FP102" s="14">
        <f t="shared" si="173"/>
        <v>334150</v>
      </c>
      <c r="FQ102" s="50">
        <f t="shared" si="113"/>
        <v>0.14161664630251927</v>
      </c>
      <c r="FS102" s="14">
        <f t="shared" si="174"/>
        <v>2359539</v>
      </c>
      <c r="FX102" s="14">
        <v>97</v>
      </c>
      <c r="FY102" s="51">
        <f t="shared" si="175"/>
        <v>21790</v>
      </c>
      <c r="FZ102" s="51">
        <f t="shared" si="176"/>
        <v>1416</v>
      </c>
      <c r="GA102" s="51">
        <f>INT(SUMPRODUCT($N102:$R102,$BF102:$BJ102)/SUM($BF102:$BJ102)/10000*$BX$7*$BZ$46/'疲劳值&amp;地图信息'!$R$10*$BY$53)</f>
        <v>395</v>
      </c>
      <c r="GB102" s="50">
        <f t="shared" si="177"/>
        <v>0.92326596330663957</v>
      </c>
      <c r="GC102" s="50">
        <f t="shared" si="178"/>
        <v>5.9997457734841747E-2</v>
      </c>
      <c r="GD102" s="50">
        <f t="shared" si="179"/>
        <v>1.6736578958518707E-2</v>
      </c>
      <c r="GE102" s="51">
        <f t="shared" si="180"/>
        <v>23134</v>
      </c>
      <c r="GF102" s="51">
        <f t="shared" si="181"/>
        <v>2223</v>
      </c>
      <c r="GG102" s="14">
        <f>INT(SUMPRODUCT($U102:$Y102,$BF102:$BJ102)/SUM($BF102:$BJ102)/10000*$BX$7*$BZ$46/'疲劳值&amp;地图信息'!$R$10*$BY$54)</f>
        <v>729</v>
      </c>
      <c r="GH102" s="50">
        <f t="shared" si="182"/>
        <v>0.88683585064785708</v>
      </c>
      <c r="GI102" s="50">
        <f t="shared" si="183"/>
        <v>8.5218124664571029E-2</v>
      </c>
      <c r="GJ102" s="50">
        <f t="shared" si="184"/>
        <v>2.7946024687571878E-2</v>
      </c>
      <c r="GK102" s="51">
        <f t="shared" si="185"/>
        <v>24851</v>
      </c>
      <c r="GL102" s="51">
        <f t="shared" si="186"/>
        <v>3985</v>
      </c>
      <c r="GM102" s="14">
        <f>INT(SUMPRODUCT($AB102:$AF102,$BF102:$BJ102)/SUM($BF102:$BJ102)/10000*$BX$7*$BZ$46/'疲劳值&amp;地图信息'!$R$10*$BY$55)</f>
        <v>990</v>
      </c>
      <c r="GN102" s="50">
        <f t="shared" si="187"/>
        <v>0.83319922215516662</v>
      </c>
      <c r="GO102" s="50">
        <f t="shared" si="188"/>
        <v>0.13360826124857506</v>
      </c>
      <c r="GP102" s="50">
        <f t="shared" si="189"/>
        <v>3.3192516596258298E-2</v>
      </c>
      <c r="GQ102" s="51">
        <f t="shared" si="190"/>
        <v>28158</v>
      </c>
      <c r="GR102" s="51">
        <f t="shared" si="191"/>
        <v>9906</v>
      </c>
      <c r="GS102" s="14">
        <f>INT(SUMPRODUCT($AI102:$AM102,$BF102:$BJ102)/SUM($BF102:$BJ102)/10000*$BX$7*$BZ$46/'疲劳值&amp;地图信息'!$R$10*$BY$56)</f>
        <v>1486</v>
      </c>
      <c r="GT102" s="50">
        <f t="shared" si="192"/>
        <v>0.71195954487989888</v>
      </c>
      <c r="GU102" s="50">
        <f t="shared" si="193"/>
        <v>0.25046776232616941</v>
      </c>
      <c r="GV102" s="50">
        <f t="shared" si="194"/>
        <v>3.7572692793931731E-2</v>
      </c>
      <c r="GW102" s="51">
        <f t="shared" si="195"/>
        <v>27716</v>
      </c>
      <c r="GX102" s="51">
        <f t="shared" si="196"/>
        <v>19928</v>
      </c>
      <c r="GY102" s="14">
        <f>INT(SUMPRODUCT($AP102:$AT102,$BF102:$BJ102)/SUM($BF102:$BJ102)/10000*$BX$7*$BZ$46/'疲劳值&amp;地图信息'!$R$10*$BY$57)</f>
        <v>1981</v>
      </c>
      <c r="GZ102" s="50">
        <f t="shared" si="197"/>
        <v>0.55850881612090675</v>
      </c>
      <c r="HA102" s="50">
        <f t="shared" si="198"/>
        <v>0.40157178841309826</v>
      </c>
      <c r="HB102" s="50">
        <f t="shared" si="199"/>
        <v>3.9919395465994961E-2</v>
      </c>
      <c r="HD102" s="14">
        <f t="shared" si="200"/>
        <v>23601</v>
      </c>
      <c r="HE102" s="14">
        <f t="shared" si="201"/>
        <v>26086</v>
      </c>
      <c r="HF102" s="14">
        <f t="shared" si="202"/>
        <v>29826</v>
      </c>
      <c r="HG102" s="14">
        <f t="shared" si="203"/>
        <v>39550</v>
      </c>
      <c r="HH102" s="14">
        <f t="shared" si="204"/>
        <v>49625</v>
      </c>
      <c r="HI102" s="14">
        <f t="shared" si="205"/>
        <v>2708716</v>
      </c>
      <c r="HL102" s="14">
        <f t="shared" si="206"/>
        <v>430050</v>
      </c>
      <c r="HM102" s="50">
        <f t="shared" si="114"/>
        <v>0.13701244374381524</v>
      </c>
      <c r="HO102" s="14">
        <f t="shared" si="207"/>
        <v>3138766</v>
      </c>
    </row>
    <row r="103" spans="11:223" x14ac:dyDescent="0.2">
      <c r="K103" s="14">
        <v>98</v>
      </c>
      <c r="L103" s="12">
        <f>求节点(节奏总纲!D$4:D$163,标准城池设计!AB$4:AB$163,$K103)*求节点(节奏总纲!D$4:D$163,攻城基础信息!$AC$5:$AC$164,$K103)</f>
        <v>463099.62559608492</v>
      </c>
      <c r="M103" s="12">
        <f>INDEX(其他调用!$AA$5:$AA$404,MATCH(K103,其他调用!$X$5:$X$404,0))*MIN(INDEX(其他调用!$AH$5:$AH$364,MATCH('征服点（新）'!K103,其他调用!$AG$5:$AG$364,0),1)/INDEX(其他调用!$AJ$5:$AJ$364,MATCH(K103,其他调用!$AG$5:$AG$364,0),0),5)*求节点(节奏总纲!D$4:D$163,攻城基础信息!$AC$5:$AC$164,$K103)</f>
        <v>41828.44382589445</v>
      </c>
      <c r="N103" s="12">
        <f>MIN(INDEX(其他调用!$AH$5:$AH$364,MATCH($K103,其他调用!$AG$5:$AG$364,0),1)/INDEX(其他调用!AH$5:AH$364,MATCH($K103,其他调用!$AG$5:$AG$364,0),0),1)*INDEX(其他调用!Y$5:Y$404,MATCH($K103,其他调用!$X$5:$X$404,0),0)</f>
        <v>36027.224754792085</v>
      </c>
      <c r="O103" s="12">
        <f>MIN(INDEX(其他调用!$AH$5:$AH$364,MATCH($K103,其他调用!$AG$5:$AG$364,0),1)/INDEX(其他调用!AI$5:AI$364,MATCH($K103,其他调用!$AG$5:$AG$364,0),0),1)*INDEX(其他调用!Z$5:Z$404,MATCH($K103,其他调用!$X$5:$X$404,0),0)</f>
        <v>23608.42239912607</v>
      </c>
      <c r="P103" s="12">
        <f>MIN(INDEX(其他调用!$AH$5:$AH$364,MATCH($K103,其他调用!$AG$5:$AG$364,0),1)/INDEX(其他调用!AJ$5:AJ$364,MATCH($K103,其他调用!$AG$5:$AG$364,0),0),1)*INDEX(其他调用!AA$5:AA$404,MATCH($K103,其他调用!$X$5:$X$404,0),0)</f>
        <v>13746.331623006387</v>
      </c>
      <c r="Q103" s="12">
        <f>MIN(INDEX(其他调用!$AH$5:$AH$364,MATCH($K103,其他调用!$AG$5:$AG$364,0),1)/INDEX(其他调用!AK$5:AK$364,MATCH($K103,其他调用!$AG$5:$AG$364,0),0),1)*INDEX(其他调用!AB$5:AB$404,MATCH($K103,其他调用!$X$5:$X$404,0),0)</f>
        <v>5827.5645435446868</v>
      </c>
      <c r="R103" s="12">
        <f>MIN(INDEX(其他调用!$AH$5:$AH$364,MATCH($K103,其他调用!$AG$5:$AG$364,0),1)/INDEX(其他调用!AL$5:AL$364,MATCH($K103,其他调用!$AG$5:$AG$364,0),0),1)*INDEX(其他调用!AC$5:AC$404,MATCH($K103,其他调用!$X$5:$X$404,0),0)</f>
        <v>1784.6753724895821</v>
      </c>
      <c r="S103" s="12">
        <f>求节点(节奏总纲!D$4:D$163,标准城池设计!AC$4:AC$163,$K103)*求节点(节奏总纲!D$4:D$163,攻城基础信息!$AD$5:$AD$164,$K103)</f>
        <v>491877.13873206463</v>
      </c>
      <c r="T103" s="12">
        <f>INDEX(其他调用!$AA$5:$AA$404,MATCH($K103,其他调用!$X$5:$X$404,0))*MIN(INDEX(其他调用!AI$5:AI$364,MATCH($K103,其他调用!$AG$5:$AG$364,0),1)/INDEX(其他调用!$AJ$5:$AJ$364,MATCH($K103,其他调用!$AG$5:$AG$364,0),0),5)*求节点(节奏总纲!D$4:D$163,攻城基础信息!$AD$5:$AD$164,$K103)</f>
        <v>65856.617311038615</v>
      </c>
      <c r="U103" s="12">
        <f>MIN(INDEX(其他调用!$AI$5:$AI$364,MATCH($K103,其他调用!$AG$5:$AG$364,0),1)/INDEX(其他调用!AH$5:AH$364,MATCH($K103,其他调用!$AG$5:$AG$364,0),0),1)*INDEX(其他调用!Y$5:Y$404,MATCH($K103,其他调用!$X$5:$X$404,0),0)</f>
        <v>36027.224754792085</v>
      </c>
      <c r="V103" s="12">
        <f>MIN(INDEX(其他调用!$AI$5:$AI$364,MATCH($K103,其他调用!$AG$5:$AG$364,0),1)/INDEX(其他调用!AI$5:AI$364,MATCH($K103,其他调用!$AG$5:$AG$364,0),0),1)*INDEX(其他调用!Z$5:Z$404,MATCH($K103,其他调用!$X$5:$X$404,0),0)</f>
        <v>37170.181270145564</v>
      </c>
      <c r="W103" s="12">
        <f>MIN(INDEX(其他调用!$AI$5:$AI$364,MATCH($K103,其他调用!$AG$5:$AG$364,0),1)/INDEX(其他调用!AJ$5:AJ$364,MATCH($K103,其他调用!$AG$5:$AG$364,0),0),1)*INDEX(其他调用!AA$5:AA$404,MATCH($K103,其他调用!$X$5:$X$404,0),0)</f>
        <v>21642.853960694803</v>
      </c>
      <c r="X103" s="12">
        <f>MIN(INDEX(其他调用!$AI$5:$AI$364,MATCH($K103,其他调用!$AG$5:$AG$364,0),1)/INDEX(其他调用!AK$5:AK$364,MATCH($K103,其他调用!$AG$5:$AG$364,0),0),1)*INDEX(其他调用!AB$5:AB$404,MATCH($K103,其他调用!$X$5:$X$404,0),0)</f>
        <v>9175.1844653138505</v>
      </c>
      <c r="Y103" s="12">
        <f>MIN(INDEX(其他调用!$AI$5:$AI$364,MATCH($K103,其他调用!$AG$5:$AG$364,0),1)/INDEX(其他调用!AL$5:AL$364,MATCH($K103,其他调用!$AG$5:$AG$364,0),0),1)*INDEX(其他调用!AC$5:AC$404,MATCH($K103,其他调用!$X$5:$X$404,0),0)</f>
        <v>2809.8746278894923</v>
      </c>
      <c r="Z103" s="12">
        <f>求节点(节奏总纲!D$4:D$163,标准城池设计!AD$4:AD$163,$K103)*求节点(节奏总纲!D$4:D$163,攻城基础信息!$AE$5:$AE$164,$K103)</f>
        <v>528422.7591459878</v>
      </c>
      <c r="AA103" s="12">
        <f>INDEX(其他调用!$AA$5:$AA$404,MATCH($K103,其他调用!$X$5:$X$404,0))*MIN(INDEX(其他调用!AJ$5:AJ$364,MATCH($K103,其他调用!$AG$5:$AG$364,0),1)/INDEX(其他调用!$AJ$5:$AJ$364,MATCH($K103,其他调用!$AG$5:$AG$364,0),0),5)*求节点(节奏总纲!D$4:D$163,攻城基础信息!$AE$5:$AE$164,$K103)</f>
        <v>117694.08451486216</v>
      </c>
      <c r="AB103" s="12">
        <f>MIN(INDEX(其他调用!$AJ$5:$AJ$364,MATCH($K103,其他调用!$AG$5:$AG$364,0),1)/INDEX(其他调用!AH$5:AH$364,MATCH($K103,其他调用!$AG$5:$AG$364,0),0),1)*INDEX(其他调用!Y$5:Y$404,MATCH($K103,其他调用!$X$5:$X$404,0),0)</f>
        <v>36027.224754792085</v>
      </c>
      <c r="AC103" s="12">
        <f>MIN(INDEX(其他调用!$AJ$5:$AJ$364,MATCH($K103,其他调用!$AG$5:$AG$364,0),1)/INDEX(其他调用!AI$5:AI$364,MATCH($K103,其他调用!$AG$5:$AG$364,0),0),1)*INDEX(其他调用!Z$5:Z$404,MATCH($K103,其他调用!$X$5:$X$404,0),0)</f>
        <v>37170.181270145564</v>
      </c>
      <c r="AD103" s="12">
        <f>MIN(INDEX(其他调用!$AJ$5:$AJ$364,MATCH($K103,其他调用!$AG$5:$AG$364,0),1)/INDEX(其他调用!AJ$5:AJ$364,MATCH($K103,其他调用!$AG$5:$AG$364,0),0),1)*INDEX(其他调用!AA$5:AA$404,MATCH($K103,其他调用!$X$5:$X$404,0),0)</f>
        <v>38678.510789011882</v>
      </c>
      <c r="AE103" s="12">
        <f>MIN(INDEX(其他调用!$AJ$5:$AJ$364,MATCH($K103,其他调用!$AG$5:$AG$364,0),1)/INDEX(其他调用!AK$5:AK$364,MATCH($K103,其他调用!$AG$5:$AG$364,0),0),1)*INDEX(其他调用!AB$5:AB$404,MATCH($K103,其他调用!$X$5:$X$404,0),0)</f>
        <v>16397.212307457772</v>
      </c>
      <c r="AF103" s="12">
        <f>MIN(INDEX(其他调用!$AJ$5:$AJ$364,MATCH($K103,其他调用!$AG$5:$AG$364,0),1)/INDEX(其他调用!AL$5:AL$364,MATCH($K103,其他调用!$AG$5:$AG$364,0),0),1)*INDEX(其他调用!AC$5:AC$404,MATCH($K103,其他调用!$X$5:$X$404,0),0)</f>
        <v>5021.6004926138421</v>
      </c>
      <c r="AG103" s="12">
        <f>求节点(节奏总纲!D$4:D$163,标准城池设计!AE$4:AE$163,$K103)*求节点(节奏总纲!D$4:D$163,攻城基础信息!$AF$5:$AF$164,$K103)</f>
        <v>598844.42833652825</v>
      </c>
      <c r="AH103" s="12">
        <f>INDEX(其他调用!$AA$5:$AA$404,MATCH($K103,其他调用!$X$5:$X$404,0))*MIN(INDEX(其他调用!AK$5:AK$364,MATCH($K103,其他调用!$AG$5:$AG$364,0),1)/INDEX(其他调用!$AJ$5:$AJ$364,MATCH($K103,其他调用!$AG$5:$AG$364,0),0),5)*求节点(节奏总纲!D$4:D$163,攻城基础信息!$AF$5:$AF$164,$K103)</f>
        <v>293266.32398033654</v>
      </c>
      <c r="AI103" s="12">
        <f>MIN(INDEX(其他调用!$AK$5:$AK$364,MATCH($K103,其他调用!$AG$5:$AG$364,0),1)/INDEX(其他调用!AH$5:AH$364,MATCH($K103,其他调用!$AG$5:$AG$364,0),0),1)*INDEX(其他调用!Y$5:Y$404,MATCH($K103,其他调用!$X$5:$X$404,0),0)</f>
        <v>36027.224754792085</v>
      </c>
      <c r="AJ103" s="12">
        <f>MIN(INDEX(其他调用!$AK$5:$AK$364,MATCH($K103,其他调用!$AG$5:$AG$364,0),1)/INDEX(其他调用!AI$5:AI$364,MATCH($K103,其他调用!$AG$5:$AG$364,0),0),1)*INDEX(其他调用!Z$5:Z$404,MATCH($K103,其他调用!$X$5:$X$404,0),0)</f>
        <v>37170.181270145564</v>
      </c>
      <c r="AK103" s="12">
        <f>MIN(INDEX(其他调用!$AK$5:$AK$364,MATCH($K103,其他调用!$AG$5:$AG$364,0),1)/INDEX(其他调用!AJ$5:AJ$364,MATCH($K103,其他调用!$AG$5:$AG$364,0),0),1)*INDEX(其他调用!AA$5:AA$404,MATCH($K103,其他调用!$X$5:$X$404,0),0)</f>
        <v>38678.510789011882</v>
      </c>
      <c r="AL103" s="12">
        <f>MIN(INDEX(其他调用!$AK$5:$AK$364,MATCH($K103,其他调用!$AG$5:$AG$364,0),1)/INDEX(其他调用!AK$5:AK$364,MATCH($K103,其他调用!$AG$5:$AG$364,0),0),1)*INDEX(其他调用!AB$5:AB$404,MATCH($K103,其他调用!$X$5:$X$404,0),0)</f>
        <v>40858.044792608358</v>
      </c>
      <c r="AM103" s="12">
        <f>MIN(INDEX(其他调用!$AK$5:$AK$364,MATCH($K103,其他调用!$AG$5:$AG$364,0),1)/INDEX(其他调用!AL$5:AL$364,MATCH($K103,其他调用!$AG$5:$AG$364,0),0),1)*INDEX(其他调用!AC$5:AC$404,MATCH($K103,其他调用!$X$5:$X$404,0),0)</f>
        <v>12512.662153217594</v>
      </c>
      <c r="AN103" s="12">
        <f>求节点(节奏总纲!D$4:D$163,标准城池设计!AF$4:AF$163,$K103)*求节点(节奏总纲!D$4:D$163,攻城基础信息!$AG$5:$AG$164,$K103)</f>
        <v>589826.48545907543</v>
      </c>
      <c r="AO103" s="12">
        <f>INDEX(其他调用!$AA$5:$AA$404,MATCH($K103,其他调用!$X$5:$X$404,0))*MIN(INDEX(其他调用!AL$5:AL$364,MATCH($K103,其他调用!$AG$5:$AG$364,0),1)/INDEX(其他调用!$AJ$5:$AJ$364,MATCH($K103,其他调用!$AG$5:$AG$364,0),0),5)*求节点(节奏总纲!D$4:D$163,攻城基础信息!$AG$5:$AG$164,$K103)</f>
        <v>588470.42257431091</v>
      </c>
      <c r="AP103" s="12">
        <f>MIN(INDEX(其他调用!$AL$5:$AL$364,MATCH($K103,其他调用!$AG$5:$AG$364,0),1)/INDEX(其他调用!AH$5:AH$364,MATCH($K103,其他调用!$AG$5:$AG$364,0),0),1)*INDEX(其他调用!Y$5:Y$404,MATCH($K103,其他调用!$X$5:$X$404,0),0)</f>
        <v>36027.224754792085</v>
      </c>
      <c r="AQ103" s="12">
        <f>MIN(INDEX(其他调用!$AL$5:$AL$364,MATCH($K103,其他调用!$AG$5:$AG$364,0),1)/INDEX(其他调用!AI$5:AI$364,MATCH($K103,其他调用!$AG$5:$AG$364,0),0),1)*INDEX(其他调用!Z$5:Z$404,MATCH($K103,其他调用!$X$5:$X$404,0),0)</f>
        <v>37170.181270145564</v>
      </c>
      <c r="AR103" s="12">
        <f>MIN(INDEX(其他调用!$AL$5:$AL$364,MATCH($K103,其他调用!$AG$5:$AG$364,0),1)/INDEX(其他调用!AJ$5:AJ$364,MATCH($K103,其他调用!$AG$5:$AG$364,0),0),1)*INDEX(其他调用!AA$5:AA$404,MATCH($K103,其他调用!$X$5:$X$404,0),0)</f>
        <v>38678.510789011882</v>
      </c>
      <c r="AS103" s="12">
        <f>MIN(INDEX(其他调用!$AL$5:$AL$364,MATCH($K103,其他调用!$AG$5:$AG$364,0),1)/INDEX(其他调用!AK$5:AK$364,MATCH($K103,其他调用!$AG$5:$AG$364,0),0),1)*INDEX(其他调用!AB$5:AB$404,MATCH($K103,其他调用!$X$5:$X$404,0),0)</f>
        <v>40858.044792608358</v>
      </c>
      <c r="AT103" s="12">
        <f>MIN(INDEX(其他调用!$AL$5:$AL$364,MATCH($K103,其他调用!$AG$5:$AG$364,0),1)/INDEX(其他调用!AL$5:AL$364,MATCH($K103,其他调用!$AG$5:$AG$364,0),0),1)*INDEX(其他调用!AC$5:AC$404,MATCH($K103,其他调用!$X$5:$X$404,0),0)</f>
        <v>44707.700044233949</v>
      </c>
      <c r="AV103" s="14">
        <f>IF(OR(AV$5="大R",AV$5="超R"),MAX(INDEX(其他调用!$H$5:$L$404,MATCH($K103,其他调用!$B$5:$B$404,0),MATCH(AV$5,其他调用!$H$4:$L$4,0))*120*0.85,2),INDEX(其他调用!$H$5:$L$404,MATCH($K103,其他调用!$B$5:$B$404,0),MATCH(AV$5,其他调用!$H$4:$L$4,0))*120*0.85)</f>
        <v>48.921801254999991</v>
      </c>
      <c r="AW103" s="14">
        <f>IF(OR(AW$5="大R",AW$5="超R"),MAX(INDEX(其他调用!$H$5:$L$404,MATCH($K103,其他调用!$B$5:$B$404,0),MATCH(AW$5,其他调用!$H$4:$L$4,0))*120*0.85,2),INDEX(其他调用!$H$5:$L$404,MATCH($K103,其他调用!$B$5:$B$404,0),MATCH(AW$5,其他调用!$H$4:$L$4,0))*120*0.85)</f>
        <v>48.237344010638395</v>
      </c>
      <c r="AX103" s="14">
        <f>IF(OR(AX$5="大R",AX$5="超R"),MAX(INDEX(其他调用!$H$5:$L$404,MATCH($K103,其他调用!$B$5:$B$404,0),MATCH(AX$5,其他调用!$H$4:$L$4,0))*120*0.85,2),INDEX(其他调用!$H$5:$L$404,MATCH($K103,其他调用!$B$5:$B$404,0),MATCH(AX$5,其他调用!$H$4:$L$4,0))*120*0.85)</f>
        <v>3.9376284143615998</v>
      </c>
      <c r="AY103" s="14">
        <f>IF(OR(AY$5="大R",AY$5="超R"),MAX(INDEX(其他调用!$H$5:$L$404,MATCH($K103,其他调用!$B$5:$B$404,0),MATCH(AY$5,其他调用!$H$4:$L$4,0))*120*0.85,2),INDEX(其他调用!$H$5:$L$404,MATCH($K103,其他调用!$B$5:$B$404,0),MATCH(AY$5,其他调用!$H$4:$L$4,0))*120*0.85)</f>
        <v>2</v>
      </c>
      <c r="AZ103" s="14">
        <f>IF(OR(AZ$5="大R",AZ$5="超R"),MAX(INDEX(其他调用!$H$5:$L$404,MATCH($K103,其他调用!$B$5:$B$404,0),MATCH(AZ$5,其他调用!$H$4:$L$4,0))*120*0.85,2),INDEX(其他调用!$H$5:$L$404,MATCH($K103,其他调用!$B$5:$B$404,0),MATCH(AZ$5,其他调用!$H$4:$L$4,0))*120*0.85)</f>
        <v>2</v>
      </c>
      <c r="BA103" s="14">
        <f>INDEX(其他调用!$H$5:$L$404,MATCH($K103,其他调用!$B$5:$B$404,0),MATCH(BA$5,其他调用!$H$4:$L$4,0))*INDEX(其他调用!$M$5:$M$404,MATCH($K103,其他调用!$B$5:$B$404,0))*0.6</f>
        <v>28.777530149999997</v>
      </c>
      <c r="BB103" s="14">
        <f>INDEX(其他调用!$H$5:$L$404,MATCH($K103,其他调用!$B$5:$B$404,0),MATCH(BB$5,其他调用!$H$4:$L$4,0))*INDEX(其他调用!$M$5:$M$404,MATCH($K103,其他调用!$B$5:$B$404,0))*0.6</f>
        <v>28.374908241551999</v>
      </c>
      <c r="BC103" s="14">
        <f>INDEX(其他调用!$H$5:$L$404,MATCH($K103,其他调用!$B$5:$B$404,0),MATCH(BC$5,其他调用!$H$4:$L$4,0))*INDEX(其他调用!$M$5:$M$404,MATCH($K103,其他调用!$B$5:$B$404,0))*0.6</f>
        <v>2.3162520084480001</v>
      </c>
      <c r="BD103" s="14">
        <f>INDEX(其他调用!$H$5:$L$404,MATCH($K103,其他调用!$B$5:$B$404,0),MATCH(BD$5,其他调用!$H$4:$L$4,0))*INDEX(其他调用!$M$5:$M$404,MATCH($K103,其他调用!$B$5:$B$404,0))*0.6</f>
        <v>0.4120776000000001</v>
      </c>
      <c r="BE103" s="14">
        <f>INDEX(其他调用!$H$5:$L$404,MATCH($K103,其他调用!$B$5:$B$404,0),MATCH(BE$5,其他调用!$H$4:$L$4,0))*INDEX(其他调用!$M$5:$M$404,MATCH($K103,其他调用!$B$5:$B$404,0))*0.6</f>
        <v>0.11923199999999998</v>
      </c>
      <c r="BF103" s="14">
        <f>IF(OR(BF$5="大R",BF$5="超R"),0,INDEX(其他调用!$H$5:$L$404,MATCH($K103,其他调用!$B$5:$B$404,0),MATCH(BF$5,其他调用!$H$4:$L$4,0))*50*0.4)</f>
        <v>9.5925100500000013</v>
      </c>
      <c r="BG103" s="14">
        <f>IF(OR(BG$5="大R",BG$5="超R"),0,INDEX(其他调用!$H$5:$L$404,MATCH($K103,其他调用!$B$5:$B$404,0),MATCH(BG$5,其他调用!$H$4:$L$4,0))*50*0.4)</f>
        <v>9.4583027471839998</v>
      </c>
      <c r="BH103" s="14">
        <f>IF(OR(BH$5="大R",BH$5="超R"),0,INDEX(其他调用!$H$5:$L$404,MATCH($K103,其他调用!$B$5:$B$404,0),MATCH(BH$5,其他调用!$H$4:$L$4,0))*50*0.4)</f>
        <v>0.77208400281600009</v>
      </c>
      <c r="BI103" s="14">
        <f>IF(OR(BI$5="大R",BI$5="超R"),0,INDEX(其他调用!$H$5:$L$404,MATCH($K103,其他调用!$B$5:$B$404,0),MATCH(BI$5,其他调用!$H$4:$L$4,0))*50*0.4)</f>
        <v>0</v>
      </c>
      <c r="BJ103" s="14">
        <f>IF(OR(BJ$5="大R",BJ$5="超R"),0,INDEX(其他调用!$H$5:$L$404,MATCH($K103,其他调用!$B$5:$B$404,0),MATCH(BJ$5,其他调用!$H$4:$L$4,0))*50*0.4)</f>
        <v>0</v>
      </c>
      <c r="BL103" s="14">
        <f t="shared" si="208"/>
        <v>98</v>
      </c>
      <c r="BM103" s="14">
        <f t="shared" si="115"/>
        <v>96</v>
      </c>
      <c r="BN103" s="14">
        <f>('疲劳值&amp;地图信息'!$S$10*'疲劳值&amp;地图信息'!$R$10+'疲劳值&amp;地图信息'!$S$11*'疲劳值&amp;地图信息'!$R$11+'疲劳值&amp;地图信息'!$S$12*'疲劳值&amp;地图信息'!$R$12+(BM103-'疲劳值&amp;地图信息'!$S$12-'疲劳值&amp;地图信息'!$S$11-'疲劳值&amp;地图信息'!$S$10)*'疲劳值&amp;地图信息'!$R$13)/BM103</f>
        <v>51.371477246638619</v>
      </c>
      <c r="BO103" s="14">
        <f>INDEX(其他调用!$M$5:$M$404,MATCH(BL103,其他调用!$B$5:$B$404,0))*0.6</f>
        <v>60</v>
      </c>
      <c r="BP103" s="14">
        <f>IF(BO103&gt;SUM('疲劳值&amp;地图信息'!$S$10:$S$12),('疲劳值&amp;地图信息'!$S$10*'疲劳值&amp;地图信息'!$R$10+'疲劳值&amp;地图信息'!$S$11*'疲劳值&amp;地图信息'!$R$11+'疲劳值&amp;地图信息'!$S$12*'疲劳值&amp;地图信息'!$R$12+(BO103-'疲劳值&amp;地图信息'!$S$12-'疲劳值&amp;地图信息'!$S$11-'疲劳值&amp;地图信息'!$S$10)*'疲劳值&amp;地图信息'!$R$13)/BO103,('疲劳值&amp;地图信息'!$S$10*'疲劳值&amp;地图信息'!$R$10+'疲劳值&amp;地图信息'!$S$11*'疲劳值&amp;地图信息'!$R$11+'疲劳值&amp;地图信息'!$S$12*'疲劳值&amp;地图信息'!$R$12+(BO103-'疲劳值&amp;地图信息'!$S$12-'疲劳值&amp;地图信息'!$S$11-'疲劳值&amp;地图信息'!$S$10)*'疲劳值&amp;地图信息'!$R$13)/BO103)</f>
        <v>44.158136341605953</v>
      </c>
      <c r="BQ103" s="14">
        <f t="shared" si="209"/>
        <v>20</v>
      </c>
      <c r="BR103" s="14">
        <f>('疲劳值&amp;地图信息'!$S$10*'疲劳值&amp;地图信息'!$R$10+($BQ103-'疲劳值&amp;地图信息'!$S$10)*'疲劳值&amp;地图信息'!$R$11)/$BQ103</f>
        <v>32.067203015074995</v>
      </c>
      <c r="CF103" s="14">
        <v>98</v>
      </c>
      <c r="CG103" s="51">
        <f t="shared" si="116"/>
        <v>9438</v>
      </c>
      <c r="CH103" s="51">
        <f t="shared" si="117"/>
        <v>852</v>
      </c>
      <c r="CI103" s="51">
        <f>INT(SUMPRODUCT($N103:$R103,$BA103:$BE103)/SUM($BA103:$BE103)/10000*$BX$7*$BZ$34/'疲劳值&amp;地图信息'!$R$10*$BY$53)</f>
        <v>2944</v>
      </c>
      <c r="CJ103" s="50">
        <f t="shared" si="118"/>
        <v>0.71316306483300584</v>
      </c>
      <c r="CK103" s="50">
        <f t="shared" si="119"/>
        <v>6.4379628230315858E-2</v>
      </c>
      <c r="CL103" s="50">
        <f t="shared" si="120"/>
        <v>0.22245730693667826</v>
      </c>
      <c r="CM103" s="14">
        <f t="shared" si="121"/>
        <v>10025</v>
      </c>
      <c r="CN103" s="14">
        <f t="shared" si="122"/>
        <v>1342</v>
      </c>
      <c r="CO103" s="14">
        <f>INT(SUMPRODUCT($U103:$Y103,$BA103:$BE103)/SUM($BA103:$BE103)/10000*$BX$7*$BZ$34/'疲劳值&amp;地图信息'!$R$10*$BY$54)</f>
        <v>5443</v>
      </c>
      <c r="CP103" s="50">
        <f t="shared" si="123"/>
        <v>0.59637120761451512</v>
      </c>
      <c r="CQ103" s="50">
        <f t="shared" si="124"/>
        <v>7.9833432480666267E-2</v>
      </c>
      <c r="CR103" s="50">
        <f t="shared" si="125"/>
        <v>0.32379535990481856</v>
      </c>
      <c r="CS103" s="14">
        <f t="shared" si="126"/>
        <v>10769</v>
      </c>
      <c r="CT103" s="14">
        <f t="shared" si="127"/>
        <v>2398</v>
      </c>
      <c r="CU103" s="14">
        <f>INT(SUMPRODUCT($AB103:$AF103,$BA103:$BE103)/SUM($BA103:$BE103)/10000*$BX$7*$BZ$34/'疲劳值&amp;地图信息'!$R$10*$BY$55)</f>
        <v>7401</v>
      </c>
      <c r="CV103" s="50">
        <f t="shared" si="128"/>
        <v>0.52358031894204593</v>
      </c>
      <c r="CW103" s="50">
        <f t="shared" si="129"/>
        <v>0.11658887592376507</v>
      </c>
      <c r="CX103" s="50">
        <f t="shared" si="130"/>
        <v>0.35983080513418902</v>
      </c>
      <c r="CY103" s="14">
        <f t="shared" si="131"/>
        <v>12205</v>
      </c>
      <c r="CZ103" s="14">
        <f t="shared" si="132"/>
        <v>5977</v>
      </c>
      <c r="DA103" s="14">
        <f>INT(SUMPRODUCT($AI103:$AM103,$BA103:$BE103)/SUM($BA103:$BE103)/10000*$BX$7*$BZ$34/'疲劳值&amp;地图信息'!$R$10*$BY$56)</f>
        <v>11158</v>
      </c>
      <c r="DB103" s="50">
        <f t="shared" si="133"/>
        <v>0.41598500340831629</v>
      </c>
      <c r="DC103" s="50">
        <f t="shared" si="134"/>
        <v>0.20371506475800955</v>
      </c>
      <c r="DD103" s="50">
        <f t="shared" si="135"/>
        <v>0.38029993183367417</v>
      </c>
      <c r="DE103" s="14">
        <f t="shared" si="136"/>
        <v>12021</v>
      </c>
      <c r="DF103" s="14">
        <f t="shared" si="137"/>
        <v>11993</v>
      </c>
      <c r="DG103" s="14">
        <f>INT(SUMPRODUCT($AP103:$AT103,$BA103:$BE103)/SUM($BA103:$BE103)/10000*$BX$7*$BZ$34/'疲劳值&amp;地图信息'!$R$10*$BY$57)</f>
        <v>14903</v>
      </c>
      <c r="DH103" s="50">
        <f t="shared" si="138"/>
        <v>0.30888814656833774</v>
      </c>
      <c r="DI103" s="50">
        <f t="shared" si="139"/>
        <v>0.30816866664953618</v>
      </c>
      <c r="DJ103" s="50">
        <f t="shared" si="140"/>
        <v>0.38294318678212608</v>
      </c>
      <c r="DL103" s="14">
        <f t="shared" si="211"/>
        <v>13234</v>
      </c>
      <c r="DM103" s="14">
        <f t="shared" si="212"/>
        <v>16810</v>
      </c>
      <c r="DN103" s="14">
        <f t="shared" si="213"/>
        <v>20568</v>
      </c>
      <c r="DO103" s="14">
        <f t="shared" si="214"/>
        <v>29340</v>
      </c>
      <c r="DP103" s="14">
        <f t="shared" si="215"/>
        <v>38917</v>
      </c>
      <c r="DQ103" s="14">
        <f t="shared" si="216"/>
        <v>922195</v>
      </c>
      <c r="DT103" s="14">
        <f t="shared" si="210"/>
        <v>235575</v>
      </c>
      <c r="DU103" s="50">
        <f t="shared" si="112"/>
        <v>0.20347305596102852</v>
      </c>
      <c r="DW103" s="14">
        <f t="shared" si="141"/>
        <v>1157770</v>
      </c>
      <c r="EB103" s="14">
        <v>98</v>
      </c>
      <c r="EC103" s="51">
        <f t="shared" si="142"/>
        <v>15730</v>
      </c>
      <c r="ED103" s="51">
        <f t="shared" si="143"/>
        <v>1420</v>
      </c>
      <c r="EE103" s="51">
        <f>INT(SUMPRODUCT($N103:$R103,$BF103:$BJ103)/SUM($BF103:$BJ103)/10000*$BX$7*$BZ$46/'疲劳值&amp;地图信息'!$R$10*$BY$53)</f>
        <v>395</v>
      </c>
      <c r="EF103" s="50">
        <f t="shared" si="144"/>
        <v>0.89655172413793105</v>
      </c>
      <c r="EG103" s="50">
        <f t="shared" si="145"/>
        <v>8.0934739241949272E-2</v>
      </c>
      <c r="EH103" s="50">
        <f t="shared" si="146"/>
        <v>2.2513536620119692E-2</v>
      </c>
      <c r="EI103" s="51">
        <f t="shared" si="147"/>
        <v>16708</v>
      </c>
      <c r="EJ103" s="51">
        <f t="shared" si="148"/>
        <v>2237</v>
      </c>
      <c r="EK103" s="14">
        <f>INT(SUMPRODUCT($U103:$Y103,$BF103:$BJ103)/SUM($BF103:$BJ103)/10000*$BX$7*$BZ$46/'疲劳值&amp;地图信息'!$R$10*$BY$54)</f>
        <v>730</v>
      </c>
      <c r="EL103" s="50">
        <f t="shared" si="149"/>
        <v>0.84919949174078779</v>
      </c>
      <c r="EM103" s="50">
        <f t="shared" si="150"/>
        <v>0.11369758576874206</v>
      </c>
      <c r="EN103" s="50">
        <f t="shared" si="151"/>
        <v>3.710292249047014E-2</v>
      </c>
      <c r="EO103" s="51">
        <f t="shared" si="152"/>
        <v>17949</v>
      </c>
      <c r="EP103" s="51">
        <f t="shared" si="153"/>
        <v>3997</v>
      </c>
      <c r="EQ103" s="14">
        <f>INT(SUMPRODUCT($AB103:$AF103,$BF103:$BJ103)/SUM($BF103:$BJ103)/10000*$BX$7*$BZ$46/'疲劳值&amp;地图信息'!$R$10*$BY$55)</f>
        <v>992</v>
      </c>
      <c r="ER103" s="50">
        <f t="shared" si="154"/>
        <v>0.78250065393669888</v>
      </c>
      <c r="ES103" s="50">
        <f t="shared" si="155"/>
        <v>0.17425233237422619</v>
      </c>
      <c r="ET103" s="50">
        <f t="shared" si="156"/>
        <v>4.3247013689074895E-2</v>
      </c>
      <c r="EU103" s="51">
        <f t="shared" si="157"/>
        <v>20342</v>
      </c>
      <c r="EV103" s="51">
        <f t="shared" si="158"/>
        <v>9961</v>
      </c>
      <c r="EW103" s="14">
        <f>INT(SUMPRODUCT($AI103:$AM103,$BF103:$BJ103)/SUM($BF103:$BJ103)/10000*$BX$7*$BZ$46/'疲劳值&amp;地图信息'!$R$10*$BY$56)</f>
        <v>1488</v>
      </c>
      <c r="EX103" s="50">
        <f t="shared" si="159"/>
        <v>0.63986662892013468</v>
      </c>
      <c r="EY103" s="50">
        <f t="shared" si="160"/>
        <v>0.31332767135352774</v>
      </c>
      <c r="EZ103" s="50">
        <f t="shared" si="161"/>
        <v>4.6805699726337642E-2</v>
      </c>
      <c r="FA103" s="51">
        <f t="shared" si="162"/>
        <v>20035</v>
      </c>
      <c r="FB103" s="51">
        <f t="shared" si="163"/>
        <v>19989</v>
      </c>
      <c r="FC103" s="14">
        <f>INT(SUMPRODUCT($AP103:$AT103,$BF103:$BJ103)/SUM($BF103:$BJ103)/10000*$BX$7*$BZ$46/'疲劳值&amp;地图信息'!$R$10*$BY$57)</f>
        <v>1984</v>
      </c>
      <c r="FD103" s="50">
        <f t="shared" si="164"/>
        <v>0.47693296514949535</v>
      </c>
      <c r="FE103" s="50">
        <f t="shared" si="165"/>
        <v>0.47583793563130833</v>
      </c>
      <c r="FF103" s="50">
        <f t="shared" si="166"/>
        <v>4.7229099219196345E-2</v>
      </c>
      <c r="FH103" s="14">
        <f t="shared" si="167"/>
        <v>17545</v>
      </c>
      <c r="FI103" s="14">
        <f t="shared" si="168"/>
        <v>19675</v>
      </c>
      <c r="FJ103" s="14">
        <f t="shared" si="169"/>
        <v>22938</v>
      </c>
      <c r="FK103" s="14">
        <f t="shared" si="170"/>
        <v>31791</v>
      </c>
      <c r="FL103" s="14">
        <f t="shared" si="171"/>
        <v>42008</v>
      </c>
      <c r="FM103" s="14">
        <f t="shared" si="172"/>
        <v>2045322</v>
      </c>
      <c r="FP103" s="14">
        <f t="shared" si="173"/>
        <v>334150</v>
      </c>
      <c r="FQ103" s="50">
        <f t="shared" si="113"/>
        <v>0.14043031395200281</v>
      </c>
      <c r="FS103" s="14">
        <f t="shared" si="174"/>
        <v>2379472</v>
      </c>
      <c r="FX103" s="14">
        <v>98</v>
      </c>
      <c r="FY103" s="51">
        <f t="shared" si="175"/>
        <v>22023</v>
      </c>
      <c r="FZ103" s="51">
        <f t="shared" si="176"/>
        <v>1420</v>
      </c>
      <c r="GA103" s="51">
        <f>INT(SUMPRODUCT($N103:$R103,$BF103:$BJ103)/SUM($BF103:$BJ103)/10000*$BX$7*$BZ$46/'疲劳值&amp;地图信息'!$R$10*$BY$53)</f>
        <v>395</v>
      </c>
      <c r="GB103" s="50">
        <f t="shared" si="177"/>
        <v>0.92386106216964514</v>
      </c>
      <c r="GC103" s="50">
        <f t="shared" si="178"/>
        <v>5.9568755768101347E-2</v>
      </c>
      <c r="GD103" s="50">
        <f t="shared" si="179"/>
        <v>1.6570182062253545E-2</v>
      </c>
      <c r="GE103" s="51">
        <f t="shared" si="180"/>
        <v>23391</v>
      </c>
      <c r="GF103" s="51">
        <f t="shared" si="181"/>
        <v>2237</v>
      </c>
      <c r="GG103" s="14">
        <f>INT(SUMPRODUCT($U103:$Y103,$BF103:$BJ103)/SUM($BF103:$BJ103)/10000*$BX$7*$BZ$46/'疲劳值&amp;地图信息'!$R$10*$BY$54)</f>
        <v>730</v>
      </c>
      <c r="GH103" s="50">
        <f t="shared" si="182"/>
        <v>0.88743455497382195</v>
      </c>
      <c r="GI103" s="50">
        <f t="shared" si="183"/>
        <v>8.4869868730556186E-2</v>
      </c>
      <c r="GJ103" s="50">
        <f t="shared" si="184"/>
        <v>2.7695576295621822E-2</v>
      </c>
      <c r="GK103" s="51">
        <f t="shared" si="185"/>
        <v>25129</v>
      </c>
      <c r="GL103" s="51">
        <f t="shared" si="186"/>
        <v>3997</v>
      </c>
      <c r="GM103" s="14">
        <f>INT(SUMPRODUCT($AB103:$AF103,$BF103:$BJ103)/SUM($BF103:$BJ103)/10000*$BX$7*$BZ$46/'疲劳值&amp;地图信息'!$R$10*$BY$55)</f>
        <v>992</v>
      </c>
      <c r="GN103" s="50">
        <f t="shared" si="187"/>
        <v>0.83435155056776678</v>
      </c>
      <c r="GO103" s="50">
        <f t="shared" si="188"/>
        <v>0.13271133541403812</v>
      </c>
      <c r="GP103" s="50">
        <f t="shared" si="189"/>
        <v>3.2937114018195102E-2</v>
      </c>
      <c r="GQ103" s="51">
        <f t="shared" si="190"/>
        <v>28478</v>
      </c>
      <c r="GR103" s="51">
        <f t="shared" si="191"/>
        <v>9961</v>
      </c>
      <c r="GS103" s="14">
        <f>INT(SUMPRODUCT($AI103:$AM103,$BF103:$BJ103)/SUM($BF103:$BJ103)/10000*$BX$7*$BZ$46/'疲劳值&amp;地图信息'!$R$10*$BY$56)</f>
        <v>1488</v>
      </c>
      <c r="GT103" s="50">
        <f t="shared" si="192"/>
        <v>0.71325168432389108</v>
      </c>
      <c r="GU103" s="50">
        <f t="shared" si="193"/>
        <v>0.24948030155032935</v>
      </c>
      <c r="GV103" s="50">
        <f t="shared" si="194"/>
        <v>3.7268014125779549E-2</v>
      </c>
      <c r="GW103" s="51">
        <f t="shared" si="195"/>
        <v>28049</v>
      </c>
      <c r="GX103" s="51">
        <f t="shared" si="196"/>
        <v>19989</v>
      </c>
      <c r="GY103" s="14">
        <f>INT(SUMPRODUCT($AP103:$AT103,$BF103:$BJ103)/SUM($BF103:$BJ103)/10000*$BX$7*$BZ$46/'疲劳值&amp;地图信息'!$R$10*$BY$57)</f>
        <v>1984</v>
      </c>
      <c r="GZ103" s="50">
        <f t="shared" si="197"/>
        <v>0.56073327735796252</v>
      </c>
      <c r="HA103" s="50">
        <f t="shared" si="198"/>
        <v>0.39960417416336813</v>
      </c>
      <c r="HB103" s="50">
        <f t="shared" si="199"/>
        <v>3.9662548478669388E-2</v>
      </c>
      <c r="HD103" s="14">
        <f t="shared" si="200"/>
        <v>23838</v>
      </c>
      <c r="HE103" s="14">
        <f t="shared" si="201"/>
        <v>26358</v>
      </c>
      <c r="HF103" s="14">
        <f t="shared" si="202"/>
        <v>30118</v>
      </c>
      <c r="HG103" s="14">
        <f t="shared" si="203"/>
        <v>39927</v>
      </c>
      <c r="HH103" s="14">
        <f t="shared" si="204"/>
        <v>50022</v>
      </c>
      <c r="HI103" s="14">
        <f t="shared" si="205"/>
        <v>2736129</v>
      </c>
      <c r="HL103" s="14">
        <f t="shared" si="206"/>
        <v>430050</v>
      </c>
      <c r="HM103" s="50">
        <f t="shared" si="114"/>
        <v>0.13582618038967476</v>
      </c>
      <c r="HO103" s="14">
        <f t="shared" si="207"/>
        <v>3166179</v>
      </c>
    </row>
    <row r="104" spans="11:223" x14ac:dyDescent="0.2">
      <c r="K104" s="14">
        <v>99</v>
      </c>
      <c r="L104" s="12">
        <f>求节点(节奏总纲!D$4:D$163,标准城池设计!AB$4:AB$163,$K104)*求节点(节奏总纲!D$4:D$163,攻城基础信息!$AC$5:$AC$164,$K104)</f>
        <v>468008.74366045214</v>
      </c>
      <c r="M104" s="12">
        <f>INDEX(其他调用!$AA$5:$AA$404,MATCH(K104,其他调用!$X$5:$X$404,0))*MIN(INDEX(其他调用!$AH$5:$AH$364,MATCH('征服点（新）'!K104,其他调用!$AG$5:$AG$364,0),1)/INDEX(其他调用!$AJ$5:$AJ$364,MATCH(K104,其他调用!$AG$5:$AG$364,0),0),5)*求节点(节奏总纲!D$4:D$163,攻城基础信息!$AC$5:$AC$164,$K104)</f>
        <v>41955.221874017829</v>
      </c>
      <c r="N104" s="12">
        <f>MIN(INDEX(其他调用!$AH$5:$AH$364,MATCH($K104,其他调用!$AG$5:$AG$364,0),1)/INDEX(其他调用!AH$5:AH$364,MATCH($K104,其他调用!$AG$5:$AG$364,0),0),1)*INDEX(其他调用!Y$5:Y$404,MATCH($K104,其他调用!$X$5:$X$404,0),0)</f>
        <v>36084.956147827164</v>
      </c>
      <c r="O104" s="12">
        <f>MIN(INDEX(其他调用!$AH$5:$AH$364,MATCH($K104,其他调用!$AG$5:$AG$364,0),1)/INDEX(其他调用!AI$5:AI$364,MATCH($K104,其他调用!$AG$5:$AG$364,0),0),1)*INDEX(其他调用!Z$5:Z$404,MATCH($K104,其他调用!$X$5:$X$404,0),0)</f>
        <v>23576.231814437142</v>
      </c>
      <c r="P104" s="12">
        <f>MIN(INDEX(其他调用!$AH$5:$AH$364,MATCH($K104,其他调用!$AG$5:$AG$364,0),1)/INDEX(其他调用!AJ$5:AJ$364,MATCH($K104,其他调用!$AG$5:$AG$364,0),0),1)*INDEX(其他调用!AA$5:AA$404,MATCH($K104,其他调用!$X$5:$X$404,0),0)</f>
        <v>13766.335855377893</v>
      </c>
      <c r="Q104" s="12">
        <f>MIN(INDEX(其他调用!$AH$5:$AH$364,MATCH($K104,其他调用!$AG$5:$AG$364,0),1)/INDEX(其他调用!AK$5:AK$364,MATCH($K104,其他调用!$AG$5:$AG$364,0),0),1)*INDEX(其他调用!AB$5:AB$404,MATCH($K104,其他调用!$X$5:$X$404,0),0)</f>
        <v>5821.8423751146083</v>
      </c>
      <c r="R104" s="12">
        <f>MIN(INDEX(其他调用!$AH$5:$AH$364,MATCH($K104,其他调用!$AG$5:$AG$364,0),1)/INDEX(其他调用!AL$5:AL$364,MATCH($K104,其他调用!$AG$5:$AG$364,0),0),1)*INDEX(其他调用!AC$5:AC$404,MATCH($K104,其他调用!$X$5:$X$404,0),0)</f>
        <v>1785.4731637534317</v>
      </c>
      <c r="S104" s="12">
        <f>求节点(节奏总纲!D$4:D$163,标准城池设计!AC$4:AC$163,$K104)*求节点(节奏总纲!D$4:D$163,攻城基础信息!$AD$5:$AD$164,$K104)</f>
        <v>497299.6784114496</v>
      </c>
      <c r="T104" s="12">
        <f>INDEX(其他调用!$AA$5:$AA$404,MATCH($K104,其他调用!$X$5:$X$404,0))*MIN(INDEX(其他调用!AI$5:AI$364,MATCH($K104,其他调用!$AG$5:$AG$364,0),1)/INDEX(其他调用!$AJ$5:$AJ$364,MATCH($K104,其他调用!$AG$5:$AG$364,0),0),5)*求节点(节奏总纲!D$4:D$163,攻城基础信息!$AD$5:$AD$164,$K104)</f>
        <v>66250.498699193515</v>
      </c>
      <c r="U104" s="12">
        <f>MIN(INDEX(其他调用!$AI$5:$AI$364,MATCH($K104,其他调用!$AG$5:$AG$364,0),1)/INDEX(其他调用!AH$5:AH$364,MATCH($K104,其他调用!$AG$5:$AG$364,0),0),1)*INDEX(其他调用!Y$5:Y$404,MATCH($K104,其他调用!$X$5:$X$404,0),0)</f>
        <v>36084.956147827164</v>
      </c>
      <c r="V104" s="12">
        <f>MIN(INDEX(其他调用!$AI$5:$AI$364,MATCH($K104,其他调用!$AG$5:$AG$364,0),1)/INDEX(其他调用!AI$5:AI$364,MATCH($K104,其他调用!$AG$5:$AG$364,0),0),1)*INDEX(其他调用!Z$5:Z$404,MATCH($K104,其他调用!$X$5:$X$404,0),0)</f>
        <v>37228.670124648634</v>
      </c>
      <c r="W104" s="12">
        <f>MIN(INDEX(其他调用!$AI$5:$AI$364,MATCH($K104,其他调用!$AG$5:$AG$364,0),1)/INDEX(其他调用!AJ$5:AJ$364,MATCH($K104,其他调用!$AG$5:$AG$364,0),0),1)*INDEX(其他调用!AA$5:AA$404,MATCH($K104,其他调用!$X$5:$X$404,0),0)</f>
        <v>21738.095401282502</v>
      </c>
      <c r="X104" s="12">
        <f>MIN(INDEX(其他调用!$AI$5:$AI$364,MATCH($K104,其他调用!$AG$5:$AG$364,0),1)/INDEX(其他调用!AK$5:AK$364,MATCH($K104,其他调用!$AG$5:$AG$364,0),0),1)*INDEX(其他调用!AB$5:AB$404,MATCH($K104,其他调用!$X$5:$X$404,0),0)</f>
        <v>9193.1336189237882</v>
      </c>
      <c r="Y104" s="12">
        <f>MIN(INDEX(其他调用!$AI$5:$AI$364,MATCH($K104,其他调用!$AG$5:$AG$364,0),1)/INDEX(其他调用!AL$5:AL$364,MATCH($K104,其他调用!$AG$5:$AG$364,0),0),1)*INDEX(其他调用!AC$5:AC$404,MATCH($K104,其他调用!$X$5:$X$404,0),0)</f>
        <v>2819.3984498016857</v>
      </c>
      <c r="Z104" s="12">
        <f>求节点(节奏总纲!D$4:D$163,标准城池设计!AD$4:AD$163,$K104)*求节点(节奏总纲!D$4:D$163,攻城基础信息!$AE$5:$AE$164,$K104)</f>
        <v>534295.23280812975</v>
      </c>
      <c r="AA104" s="12">
        <f>INDEX(其他调用!$AA$5:$AA$404,MATCH($K104,其他调用!$X$5:$X$404,0))*MIN(INDEX(其他调用!AJ$5:AJ$364,MATCH($K104,其他调用!$AG$5:$AG$364,0),1)/INDEX(其他调用!$AJ$5:$AJ$364,MATCH($K104,其他调用!$AG$5:$AG$364,0),0),5)*求节点(节奏总纲!D$4:D$163,攻城基础信息!$AE$5:$AE$164,$K104)</f>
        <v>118056.16052919853</v>
      </c>
      <c r="AB104" s="12">
        <f>MIN(INDEX(其他调用!$AJ$5:$AJ$364,MATCH($K104,其他调用!$AG$5:$AG$364,0),1)/INDEX(其他调用!AH$5:AH$364,MATCH($K104,其他调用!$AG$5:$AG$364,0),0),1)*INDEX(其他调用!Y$5:Y$404,MATCH($K104,其他调用!$X$5:$X$404,0),0)</f>
        <v>36084.956147827164</v>
      </c>
      <c r="AC104" s="12">
        <f>MIN(INDEX(其他调用!$AJ$5:$AJ$364,MATCH($K104,其他调用!$AG$5:$AG$364,0),1)/INDEX(其他调用!AI$5:AI$364,MATCH($K104,其他调用!$AG$5:$AG$364,0),0),1)*INDEX(其他调用!Z$5:Z$404,MATCH($K104,其他调用!$X$5:$X$404,0),0)</f>
        <v>37228.670124648634</v>
      </c>
      <c r="AD104" s="12">
        <f>MIN(INDEX(其他调用!$AJ$5:$AJ$364,MATCH($K104,其他调用!$AG$5:$AG$364,0),1)/INDEX(其他调用!AJ$5:AJ$364,MATCH($K104,其他调用!$AG$5:$AG$364,0),0),1)*INDEX(其他调用!AA$5:AA$404,MATCH($K104,其他调用!$X$5:$X$404,0),0)</f>
        <v>38736.554904213575</v>
      </c>
      <c r="AE104" s="12">
        <f>MIN(INDEX(其他调用!$AJ$5:$AJ$364,MATCH($K104,其他调用!$AG$5:$AG$364,0),1)/INDEX(其他调用!AK$5:AK$364,MATCH($K104,其他调用!$AG$5:$AG$364,0),0),1)*INDEX(其他调用!AB$5:AB$404,MATCH($K104,其他调用!$X$5:$X$404,0),0)</f>
        <v>16381.854923233208</v>
      </c>
      <c r="AF104" s="12">
        <f>MIN(INDEX(其他调用!$AJ$5:$AJ$364,MATCH($K104,其他调用!$AG$5:$AG$364,0),1)/INDEX(其他调用!AL$5:AL$364,MATCH($K104,其他调用!$AG$5:$AG$364,0),0),1)*INDEX(其他调用!AC$5:AC$404,MATCH($K104,其他调用!$X$5:$X$404,0),0)</f>
        <v>5024.0732148573716</v>
      </c>
      <c r="AG104" s="12">
        <f>求节点(节奏总纲!D$4:D$163,标准城池设计!AE$4:AE$163,$K104)*求节点(节奏总纲!D$4:D$163,攻城基础信息!$AF$5:$AF$164,$K104)</f>
        <v>605608.83982488478</v>
      </c>
      <c r="AH104" s="12">
        <f>INDEX(其他调用!$AA$5:$AA$404,MATCH($K104,其他调用!$X$5:$X$404,0))*MIN(INDEX(其他调用!AK$5:AK$364,MATCH($K104,其他调用!$AG$5:$AG$364,0),1)/INDEX(其他调用!$AJ$5:$AJ$364,MATCH($K104,其他调用!$AG$5:$AG$364,0),0),5)*求节点(节奏总纲!D$4:D$163,攻城基础信息!$AF$5:$AF$164,$K104)</f>
        <v>294874.79611331131</v>
      </c>
      <c r="AI104" s="12">
        <f>MIN(INDEX(其他调用!$AK$5:$AK$364,MATCH($K104,其他调用!$AG$5:$AG$364,0),1)/INDEX(其他调用!AH$5:AH$364,MATCH($K104,其他调用!$AG$5:$AG$364,0),0),1)*INDEX(其他调用!Y$5:Y$404,MATCH($K104,其他调用!$X$5:$X$404,0),0)</f>
        <v>36084.956147827164</v>
      </c>
      <c r="AJ104" s="12">
        <f>MIN(INDEX(其他调用!$AK$5:$AK$364,MATCH($K104,其他调用!$AG$5:$AG$364,0),1)/INDEX(其他调用!AI$5:AI$364,MATCH($K104,其他调用!$AG$5:$AG$364,0),0),1)*INDEX(其他调用!Z$5:Z$404,MATCH($K104,其他调用!$X$5:$X$404,0),0)</f>
        <v>37228.670124648634</v>
      </c>
      <c r="AK104" s="12">
        <f>MIN(INDEX(其他调用!$AK$5:$AK$364,MATCH($K104,其他调用!$AG$5:$AG$364,0),1)/INDEX(其他调用!AJ$5:AJ$364,MATCH($K104,其他调用!$AG$5:$AG$364,0),0),1)*INDEX(其他调用!AA$5:AA$404,MATCH($K104,其他调用!$X$5:$X$404,0),0)</f>
        <v>38736.554904213575</v>
      </c>
      <c r="AL104" s="12">
        <f>MIN(INDEX(其他调用!$AK$5:$AK$364,MATCH($K104,其他调用!$AG$5:$AG$364,0),1)/INDEX(其他调用!AK$5:AK$364,MATCH($K104,其他调用!$AG$5:$AG$364,0),0),1)*INDEX(其他调用!AB$5:AB$404,MATCH($K104,其他调用!$X$5:$X$404,0),0)</f>
        <v>40917.781069557132</v>
      </c>
      <c r="AM104" s="12">
        <f>MIN(INDEX(其他调用!$AK$5:$AK$364,MATCH($K104,其他调用!$AG$5:$AG$364,0),1)/INDEX(其他调用!AL$5:AL$364,MATCH($K104,其他调用!$AG$5:$AG$364,0),0),1)*INDEX(其他调用!AC$5:AC$404,MATCH($K104,其他调用!$X$5:$X$404,0),0)</f>
        <v>12548.879772546958</v>
      </c>
      <c r="AN104" s="12">
        <f>求节点(节奏总纲!D$4:D$163,标准城池设计!AF$4:AF$163,$K104)*求节点(节奏总纲!D$4:D$163,攻城基础信息!$AG$5:$AG$164,$K104)</f>
        <v>596863.95988410176</v>
      </c>
      <c r="AO104" s="12">
        <f>INDEX(其他调用!$AA$5:$AA$404,MATCH($K104,其他调用!$X$5:$X$404,0))*MIN(INDEX(其他调用!AL$5:AL$364,MATCH($K104,其他调用!$AG$5:$AG$364,0),1)/INDEX(其他调用!$AJ$5:$AJ$364,MATCH($K104,其他调用!$AG$5:$AG$364,0),0),5)*求节点(节奏总纲!D$4:D$163,攻城基础信息!$AG$5:$AG$164,$K104)</f>
        <v>590280.8026459926</v>
      </c>
      <c r="AP104" s="12">
        <f>MIN(INDEX(其他调用!$AL$5:$AL$364,MATCH($K104,其他调用!$AG$5:$AG$364,0),1)/INDEX(其他调用!AH$5:AH$364,MATCH($K104,其他调用!$AG$5:$AG$364,0),0),1)*INDEX(其他调用!Y$5:Y$404,MATCH($K104,其他调用!$X$5:$X$404,0),0)</f>
        <v>36084.956147827164</v>
      </c>
      <c r="AQ104" s="12">
        <f>MIN(INDEX(其他调用!$AL$5:$AL$364,MATCH($K104,其他调用!$AG$5:$AG$364,0),1)/INDEX(其他调用!AI$5:AI$364,MATCH($K104,其他调用!$AG$5:$AG$364,0),0),1)*INDEX(其他调用!Z$5:Z$404,MATCH($K104,其他调用!$X$5:$X$404,0),0)</f>
        <v>37228.670124648634</v>
      </c>
      <c r="AR104" s="12">
        <f>MIN(INDEX(其他调用!$AL$5:$AL$364,MATCH($K104,其他调用!$AG$5:$AG$364,0),1)/INDEX(其他调用!AJ$5:AJ$364,MATCH($K104,其他调用!$AG$5:$AG$364,0),0),1)*INDEX(其他调用!AA$5:AA$404,MATCH($K104,其他调用!$X$5:$X$404,0),0)</f>
        <v>38736.554904213575</v>
      </c>
      <c r="AS104" s="12">
        <f>MIN(INDEX(其他调用!$AL$5:$AL$364,MATCH($K104,其他调用!$AG$5:$AG$364,0),1)/INDEX(其他调用!AK$5:AK$364,MATCH($K104,其他调用!$AG$5:$AG$364,0),0),1)*INDEX(其他调用!AB$5:AB$404,MATCH($K104,其他调用!$X$5:$X$404,0),0)</f>
        <v>40917.781069557132</v>
      </c>
      <c r="AT104" s="12">
        <f>MIN(INDEX(其他调用!$AL$5:$AL$364,MATCH($K104,其他调用!$AG$5:$AG$364,0),1)/INDEX(其他调用!AL$5:AL$364,MATCH($K104,其他调用!$AG$5:$AG$364,0),0),1)*INDEX(其他调用!AC$5:AC$404,MATCH($K104,其他调用!$X$5:$X$404,0),0)</f>
        <v>44767.324227620382</v>
      </c>
      <c r="AV104" s="14">
        <f>IF(OR(AV$5="大R",AV$5="超R"),MAX(INDEX(其他调用!$H$5:$L$404,MATCH($K104,其他调用!$B$5:$B$404,0),MATCH(AV$5,其他调用!$H$4:$L$4,0))*120*0.85,2),INDEX(其他调用!$H$5:$L$404,MATCH($K104,其他调用!$B$5:$B$404,0),MATCH(AV$5,其他调用!$H$4:$L$4,0))*120*0.85)</f>
        <v>48.921801254999991</v>
      </c>
      <c r="AW104" s="14">
        <f>IF(OR(AW$5="大R",AW$5="超R"),MAX(INDEX(其他调用!$H$5:$L$404,MATCH($K104,其他调用!$B$5:$B$404,0),MATCH(AW$5,其他调用!$H$4:$L$4,0))*120*0.85,2),INDEX(其他调用!$H$5:$L$404,MATCH($K104,其他调用!$B$5:$B$404,0),MATCH(AW$5,其他调用!$H$4:$L$4,0))*120*0.85)</f>
        <v>48.237344010638395</v>
      </c>
      <c r="AX104" s="14">
        <f>IF(OR(AX$5="大R",AX$5="超R"),MAX(INDEX(其他调用!$H$5:$L$404,MATCH($K104,其他调用!$B$5:$B$404,0),MATCH(AX$5,其他调用!$H$4:$L$4,0))*120*0.85,2),INDEX(其他调用!$H$5:$L$404,MATCH($K104,其他调用!$B$5:$B$404,0),MATCH(AX$5,其他调用!$H$4:$L$4,0))*120*0.85)</f>
        <v>3.9376284143615998</v>
      </c>
      <c r="AY104" s="14">
        <f>IF(OR(AY$5="大R",AY$5="超R"),MAX(INDEX(其他调用!$H$5:$L$404,MATCH($K104,其他调用!$B$5:$B$404,0),MATCH(AY$5,其他调用!$H$4:$L$4,0))*120*0.85,2),INDEX(其他调用!$H$5:$L$404,MATCH($K104,其他调用!$B$5:$B$404,0),MATCH(AY$5,其他调用!$H$4:$L$4,0))*120*0.85)</f>
        <v>2</v>
      </c>
      <c r="AZ104" s="14">
        <f>IF(OR(AZ$5="大R",AZ$5="超R"),MAX(INDEX(其他调用!$H$5:$L$404,MATCH($K104,其他调用!$B$5:$B$404,0),MATCH(AZ$5,其他调用!$H$4:$L$4,0))*120*0.85,2),INDEX(其他调用!$H$5:$L$404,MATCH($K104,其他调用!$B$5:$B$404,0),MATCH(AZ$5,其他调用!$H$4:$L$4,0))*120*0.85)</f>
        <v>2</v>
      </c>
      <c r="BA104" s="14">
        <f>INDEX(其他调用!$H$5:$L$404,MATCH($K104,其他调用!$B$5:$B$404,0),MATCH(BA$5,其他调用!$H$4:$L$4,0))*INDEX(其他调用!$M$5:$M$404,MATCH($K104,其他调用!$B$5:$B$404,0))*0.6</f>
        <v>28.777530149999997</v>
      </c>
      <c r="BB104" s="14">
        <f>INDEX(其他调用!$H$5:$L$404,MATCH($K104,其他调用!$B$5:$B$404,0),MATCH(BB$5,其他调用!$H$4:$L$4,0))*INDEX(其他调用!$M$5:$M$404,MATCH($K104,其他调用!$B$5:$B$404,0))*0.6</f>
        <v>28.374908241551999</v>
      </c>
      <c r="BC104" s="14">
        <f>INDEX(其他调用!$H$5:$L$404,MATCH($K104,其他调用!$B$5:$B$404,0),MATCH(BC$5,其他调用!$H$4:$L$4,0))*INDEX(其他调用!$M$5:$M$404,MATCH($K104,其他调用!$B$5:$B$404,0))*0.6</f>
        <v>2.3162520084480001</v>
      </c>
      <c r="BD104" s="14">
        <f>INDEX(其他调用!$H$5:$L$404,MATCH($K104,其他调用!$B$5:$B$404,0),MATCH(BD$5,其他调用!$H$4:$L$4,0))*INDEX(其他调用!$M$5:$M$404,MATCH($K104,其他调用!$B$5:$B$404,0))*0.6</f>
        <v>0.4120776000000001</v>
      </c>
      <c r="BE104" s="14">
        <f>INDEX(其他调用!$H$5:$L$404,MATCH($K104,其他调用!$B$5:$B$404,0),MATCH(BE$5,其他调用!$H$4:$L$4,0))*INDEX(其他调用!$M$5:$M$404,MATCH($K104,其他调用!$B$5:$B$404,0))*0.6</f>
        <v>0.11923199999999998</v>
      </c>
      <c r="BF104" s="14">
        <f>IF(OR(BF$5="大R",BF$5="超R"),0,INDEX(其他调用!$H$5:$L$404,MATCH($K104,其他调用!$B$5:$B$404,0),MATCH(BF$5,其他调用!$H$4:$L$4,0))*50*0.4)</f>
        <v>9.5925100500000013</v>
      </c>
      <c r="BG104" s="14">
        <f>IF(OR(BG$5="大R",BG$5="超R"),0,INDEX(其他调用!$H$5:$L$404,MATCH($K104,其他调用!$B$5:$B$404,0),MATCH(BG$5,其他调用!$H$4:$L$4,0))*50*0.4)</f>
        <v>9.4583027471839998</v>
      </c>
      <c r="BH104" s="14">
        <f>IF(OR(BH$5="大R",BH$5="超R"),0,INDEX(其他调用!$H$5:$L$404,MATCH($K104,其他调用!$B$5:$B$404,0),MATCH(BH$5,其他调用!$H$4:$L$4,0))*50*0.4)</f>
        <v>0.77208400281600009</v>
      </c>
      <c r="BI104" s="14">
        <f>IF(OR(BI$5="大R",BI$5="超R"),0,INDEX(其他调用!$H$5:$L$404,MATCH($K104,其他调用!$B$5:$B$404,0),MATCH(BI$5,其他调用!$H$4:$L$4,0))*50*0.4)</f>
        <v>0</v>
      </c>
      <c r="BJ104" s="14">
        <f>IF(OR(BJ$5="大R",BJ$5="超R"),0,INDEX(其他调用!$H$5:$L$404,MATCH($K104,其他调用!$B$5:$B$404,0),MATCH(BJ$5,其他调用!$H$4:$L$4,0))*50*0.4)</f>
        <v>0</v>
      </c>
      <c r="BL104" s="14">
        <f t="shared" si="208"/>
        <v>99</v>
      </c>
      <c r="BM104" s="14">
        <f t="shared" si="115"/>
        <v>96</v>
      </c>
      <c r="BN104" s="14">
        <f>('疲劳值&amp;地图信息'!$S$10*'疲劳值&amp;地图信息'!$R$10+'疲劳值&amp;地图信息'!$S$11*'疲劳值&amp;地图信息'!$R$11+'疲劳值&amp;地图信息'!$S$12*'疲劳值&amp;地图信息'!$R$12+(BM104-'疲劳值&amp;地图信息'!$S$12-'疲劳值&amp;地图信息'!$S$11-'疲劳值&amp;地图信息'!$S$10)*'疲劳值&amp;地图信息'!$R$13)/BM104</f>
        <v>51.371477246638619</v>
      </c>
      <c r="BO104" s="14">
        <f>INDEX(其他调用!$M$5:$M$404,MATCH(BL104,其他调用!$B$5:$B$404,0))*0.6</f>
        <v>60</v>
      </c>
      <c r="BP104" s="14">
        <f>IF(BO104&gt;SUM('疲劳值&amp;地图信息'!$S$10:$S$12),('疲劳值&amp;地图信息'!$S$10*'疲劳值&amp;地图信息'!$R$10+'疲劳值&amp;地图信息'!$S$11*'疲劳值&amp;地图信息'!$R$11+'疲劳值&amp;地图信息'!$S$12*'疲劳值&amp;地图信息'!$R$12+(BO104-'疲劳值&amp;地图信息'!$S$12-'疲劳值&amp;地图信息'!$S$11-'疲劳值&amp;地图信息'!$S$10)*'疲劳值&amp;地图信息'!$R$13)/BO104,('疲劳值&amp;地图信息'!$S$10*'疲劳值&amp;地图信息'!$R$10+'疲劳值&amp;地图信息'!$S$11*'疲劳值&amp;地图信息'!$R$11+'疲劳值&amp;地图信息'!$S$12*'疲劳值&amp;地图信息'!$R$12+(BO104-'疲劳值&amp;地图信息'!$S$12-'疲劳值&amp;地图信息'!$S$11-'疲劳值&amp;地图信息'!$S$10)*'疲劳值&amp;地图信息'!$R$13)/BO104)</f>
        <v>44.158136341605953</v>
      </c>
      <c r="BQ104" s="14">
        <f t="shared" si="209"/>
        <v>20</v>
      </c>
      <c r="BR104" s="14">
        <f>('疲劳值&amp;地图信息'!$S$10*'疲劳值&amp;地图信息'!$R$10+($BQ104-'疲劳值&amp;地图信息'!$S$10)*'疲劳值&amp;地图信息'!$R$11)/$BQ104</f>
        <v>32.067203015074995</v>
      </c>
      <c r="CF104" s="14">
        <v>99</v>
      </c>
      <c r="CG104" s="51">
        <f t="shared" si="116"/>
        <v>9538</v>
      </c>
      <c r="CH104" s="51">
        <f t="shared" si="117"/>
        <v>855</v>
      </c>
      <c r="CI104" s="51">
        <f>INT(SUMPRODUCT($N104:$R104,$BA104:$BE104)/SUM($BA104:$BE104)/10000*$BX$7*$BZ$34/'疲劳值&amp;地图信息'!$R$10*$BY$53)</f>
        <v>2945</v>
      </c>
      <c r="CJ104" s="50">
        <f t="shared" si="118"/>
        <v>0.71509971509971515</v>
      </c>
      <c r="CK104" s="50">
        <f t="shared" si="119"/>
        <v>6.4102564102564097E-2</v>
      </c>
      <c r="CL104" s="50">
        <f t="shared" si="120"/>
        <v>0.22079772079772081</v>
      </c>
      <c r="CM104" s="14">
        <f t="shared" si="121"/>
        <v>10135</v>
      </c>
      <c r="CN104" s="14">
        <f t="shared" si="122"/>
        <v>1350</v>
      </c>
      <c r="CO104" s="14">
        <f>INT(SUMPRODUCT($U104:$Y104,$BA104:$BE104)/SUM($BA104:$BE104)/10000*$BX$7*$BZ$34/'疲劳值&amp;地图信息'!$R$10*$BY$54)</f>
        <v>5452</v>
      </c>
      <c r="CP104" s="50">
        <f t="shared" si="123"/>
        <v>0.59839404853279798</v>
      </c>
      <c r="CQ104" s="50">
        <f t="shared" si="124"/>
        <v>7.9707150026569057E-2</v>
      </c>
      <c r="CR104" s="50">
        <f t="shared" si="125"/>
        <v>0.32189880144063293</v>
      </c>
      <c r="CS104" s="14">
        <f t="shared" si="126"/>
        <v>10889</v>
      </c>
      <c r="CT104" s="14">
        <f t="shared" si="127"/>
        <v>2406</v>
      </c>
      <c r="CU104" s="14">
        <f>INT(SUMPRODUCT($AB104:$AF104,$BA104:$BE104)/SUM($BA104:$BE104)/10000*$BX$7*$BZ$34/'疲劳值&amp;地图信息'!$R$10*$BY$55)</f>
        <v>7413</v>
      </c>
      <c r="CV104" s="50">
        <f t="shared" si="128"/>
        <v>0.52583542592234889</v>
      </c>
      <c r="CW104" s="50">
        <f t="shared" si="129"/>
        <v>0.11618698087695577</v>
      </c>
      <c r="CX104" s="50">
        <f t="shared" si="130"/>
        <v>0.35797759320069539</v>
      </c>
      <c r="CY104" s="14">
        <f t="shared" si="131"/>
        <v>12343</v>
      </c>
      <c r="CZ104" s="14">
        <f t="shared" si="132"/>
        <v>6009</v>
      </c>
      <c r="DA104" s="14">
        <f>INT(SUMPRODUCT($AI104:$AM104,$BA104:$BE104)/SUM($BA104:$BE104)/10000*$BX$7*$BZ$34/'疲劳值&amp;地图信息'!$R$10*$BY$56)</f>
        <v>11176</v>
      </c>
      <c r="DB104" s="50">
        <f t="shared" si="133"/>
        <v>0.41801002438363588</v>
      </c>
      <c r="DC104" s="50">
        <f t="shared" si="134"/>
        <v>0.20350176104036846</v>
      </c>
      <c r="DD104" s="50">
        <f t="shared" si="135"/>
        <v>0.37848821457599569</v>
      </c>
      <c r="DE104" s="14">
        <f t="shared" si="136"/>
        <v>12164</v>
      </c>
      <c r="DF104" s="14">
        <f t="shared" si="137"/>
        <v>12030</v>
      </c>
      <c r="DG104" s="14">
        <f>INT(SUMPRODUCT($AP104:$AT104,$BA104:$BE104)/SUM($BA104:$BE104)/10000*$BX$7*$BZ$34/'疲劳值&amp;地图信息'!$R$10*$BY$57)</f>
        <v>14927</v>
      </c>
      <c r="DH104" s="50">
        <f t="shared" si="138"/>
        <v>0.31093274711791619</v>
      </c>
      <c r="DI104" s="50">
        <f t="shared" si="139"/>
        <v>0.30750747680274021</v>
      </c>
      <c r="DJ104" s="50">
        <f t="shared" si="140"/>
        <v>0.38155977607934355</v>
      </c>
      <c r="DL104" s="14">
        <f t="shared" si="211"/>
        <v>13338</v>
      </c>
      <c r="DM104" s="14">
        <f t="shared" si="212"/>
        <v>16937</v>
      </c>
      <c r="DN104" s="14">
        <f t="shared" si="213"/>
        <v>20708</v>
      </c>
      <c r="DO104" s="14">
        <f t="shared" si="214"/>
        <v>29528</v>
      </c>
      <c r="DP104" s="14">
        <f t="shared" si="215"/>
        <v>39121</v>
      </c>
      <c r="DQ104" s="14">
        <f t="shared" si="216"/>
        <v>929217</v>
      </c>
      <c r="DT104" s="14">
        <f t="shared" si="210"/>
        <v>235575</v>
      </c>
      <c r="DU104" s="50">
        <f t="shared" si="112"/>
        <v>0.20224640965940699</v>
      </c>
      <c r="DW104" s="14">
        <f t="shared" si="141"/>
        <v>1164792</v>
      </c>
      <c r="EB104" s="14">
        <v>99</v>
      </c>
      <c r="EC104" s="51">
        <f t="shared" si="142"/>
        <v>15897</v>
      </c>
      <c r="ED104" s="51">
        <f t="shared" si="143"/>
        <v>1425</v>
      </c>
      <c r="EE104" s="51">
        <f>INT(SUMPRODUCT($N104:$R104,$BF104:$BJ104)/SUM($BF104:$BJ104)/10000*$BX$7*$BZ$46/'疲劳值&amp;地图信息'!$R$10*$BY$53)</f>
        <v>395</v>
      </c>
      <c r="EF104" s="50">
        <f t="shared" si="144"/>
        <v>0.89727380482022912</v>
      </c>
      <c r="EG104" s="50">
        <f t="shared" si="145"/>
        <v>8.0431224247897504E-2</v>
      </c>
      <c r="EH104" s="50">
        <f t="shared" si="146"/>
        <v>2.2294970931873343E-2</v>
      </c>
      <c r="EI104" s="51">
        <f t="shared" si="147"/>
        <v>16892</v>
      </c>
      <c r="EJ104" s="51">
        <f t="shared" si="148"/>
        <v>2250</v>
      </c>
      <c r="EK104" s="14">
        <f>INT(SUMPRODUCT($U104:$Y104,$BF104:$BJ104)/SUM($BF104:$BJ104)/10000*$BX$7*$BZ$46/'疲劳值&amp;地图信息'!$R$10*$BY$54)</f>
        <v>732</v>
      </c>
      <c r="EL104" s="50">
        <f t="shared" si="149"/>
        <v>0.84995471470262651</v>
      </c>
      <c r="EM104" s="50">
        <f t="shared" si="150"/>
        <v>0.11321324343363189</v>
      </c>
      <c r="EN104" s="50">
        <f t="shared" si="151"/>
        <v>3.6832041863741574E-2</v>
      </c>
      <c r="EO104" s="51">
        <f t="shared" si="152"/>
        <v>18149</v>
      </c>
      <c r="EP104" s="51">
        <f t="shared" si="153"/>
        <v>4010</v>
      </c>
      <c r="EQ104" s="14">
        <f>INT(SUMPRODUCT($AB104:$AF104,$BF104:$BJ104)/SUM($BF104:$BJ104)/10000*$BX$7*$BZ$46/'疲劳值&amp;地图信息'!$R$10*$BY$55)</f>
        <v>993</v>
      </c>
      <c r="ER104" s="50">
        <f t="shared" si="154"/>
        <v>0.78390635798203179</v>
      </c>
      <c r="ES104" s="50">
        <f t="shared" si="155"/>
        <v>0.17320317899101589</v>
      </c>
      <c r="ET104" s="50">
        <f t="shared" si="156"/>
        <v>4.2890463026952312E-2</v>
      </c>
      <c r="EU104" s="51">
        <f t="shared" si="157"/>
        <v>20571</v>
      </c>
      <c r="EV104" s="51">
        <f t="shared" si="158"/>
        <v>10016</v>
      </c>
      <c r="EW104" s="14">
        <f>INT(SUMPRODUCT($AI104:$AM104,$BF104:$BJ104)/SUM($BF104:$BJ104)/10000*$BX$7*$BZ$46/'疲劳值&amp;地图信息'!$R$10*$BY$56)</f>
        <v>1490</v>
      </c>
      <c r="EX104" s="50">
        <f t="shared" si="159"/>
        <v>0.64130062038220537</v>
      </c>
      <c r="EY104" s="50">
        <f t="shared" si="160"/>
        <v>0.31224865168189048</v>
      </c>
      <c r="EZ104" s="50">
        <f t="shared" si="161"/>
        <v>4.6450727935904233E-2</v>
      </c>
      <c r="FA104" s="51">
        <f t="shared" si="162"/>
        <v>20274</v>
      </c>
      <c r="FB104" s="51">
        <f t="shared" si="163"/>
        <v>20051</v>
      </c>
      <c r="FC104" s="14">
        <f>INT(SUMPRODUCT($AP104:$AT104,$BF104:$BJ104)/SUM($BF104:$BJ104)/10000*$BX$7*$BZ$46/'疲劳值&amp;地图信息'!$R$10*$BY$57)</f>
        <v>1987</v>
      </c>
      <c r="FD104" s="50">
        <f t="shared" si="164"/>
        <v>0.47915484968803174</v>
      </c>
      <c r="FE104" s="50">
        <f t="shared" si="165"/>
        <v>0.47388447721686522</v>
      </c>
      <c r="FF104" s="50">
        <f t="shared" si="166"/>
        <v>4.6960673095103045E-2</v>
      </c>
      <c r="FH104" s="14">
        <f t="shared" si="167"/>
        <v>17717</v>
      </c>
      <c r="FI104" s="14">
        <f t="shared" si="168"/>
        <v>19874</v>
      </c>
      <c r="FJ104" s="14">
        <f t="shared" si="169"/>
        <v>23152</v>
      </c>
      <c r="FK104" s="14">
        <f t="shared" si="170"/>
        <v>32077</v>
      </c>
      <c r="FL104" s="14">
        <f t="shared" si="171"/>
        <v>42312</v>
      </c>
      <c r="FM104" s="14">
        <f t="shared" si="172"/>
        <v>2065358</v>
      </c>
      <c r="FP104" s="14">
        <f t="shared" si="173"/>
        <v>334150</v>
      </c>
      <c r="FQ104" s="50">
        <f t="shared" si="113"/>
        <v>0.13925771449813878</v>
      </c>
      <c r="FS104" s="14">
        <f t="shared" si="174"/>
        <v>2399508</v>
      </c>
      <c r="FX104" s="14">
        <v>99</v>
      </c>
      <c r="FY104" s="51">
        <f t="shared" si="175"/>
        <v>22256</v>
      </c>
      <c r="FZ104" s="51">
        <f t="shared" si="176"/>
        <v>1425</v>
      </c>
      <c r="GA104" s="51">
        <f>INT(SUMPRODUCT($N104:$R104,$BF104:$BJ104)/SUM($BF104:$BJ104)/10000*$BX$7*$BZ$46/'疲劳值&amp;地图信息'!$R$10*$BY$53)</f>
        <v>395</v>
      </c>
      <c r="GB104" s="50">
        <f t="shared" si="177"/>
        <v>0.9244060475161987</v>
      </c>
      <c r="GC104" s="50">
        <f t="shared" si="178"/>
        <v>5.9187572686492773E-2</v>
      </c>
      <c r="GD104" s="50">
        <f t="shared" si="179"/>
        <v>1.6406379797308523E-2</v>
      </c>
      <c r="GE104" s="51">
        <f t="shared" si="180"/>
        <v>23649</v>
      </c>
      <c r="GF104" s="51">
        <f t="shared" si="181"/>
        <v>2250</v>
      </c>
      <c r="GG104" s="14">
        <f>INT(SUMPRODUCT($U104:$Y104,$BF104:$BJ104)/SUM($BF104:$BJ104)/10000*$BX$7*$BZ$46/'疲劳值&amp;地图信息'!$R$10*$BY$54)</f>
        <v>732</v>
      </c>
      <c r="GH104" s="50">
        <f t="shared" si="182"/>
        <v>0.88802523375014086</v>
      </c>
      <c r="GI104" s="50">
        <f t="shared" si="183"/>
        <v>8.4488002703616089E-2</v>
      </c>
      <c r="GJ104" s="50">
        <f t="shared" si="184"/>
        <v>2.74867635462431E-2</v>
      </c>
      <c r="GK104" s="51">
        <f t="shared" si="185"/>
        <v>25409</v>
      </c>
      <c r="GL104" s="51">
        <f t="shared" si="186"/>
        <v>4010</v>
      </c>
      <c r="GM104" s="14">
        <f>INT(SUMPRODUCT($AB104:$AF104,$BF104:$BJ104)/SUM($BF104:$BJ104)/10000*$BX$7*$BZ$46/'疲劳值&amp;地图信息'!$R$10*$BY$55)</f>
        <v>993</v>
      </c>
      <c r="GN104" s="50">
        <f t="shared" si="187"/>
        <v>0.83549256872287259</v>
      </c>
      <c r="GO104" s="50">
        <f t="shared" si="188"/>
        <v>0.13185584637643036</v>
      </c>
      <c r="GP104" s="50">
        <f t="shared" si="189"/>
        <v>3.2651584900697091E-2</v>
      </c>
      <c r="GQ104" s="51">
        <f t="shared" si="190"/>
        <v>28800</v>
      </c>
      <c r="GR104" s="51">
        <f t="shared" si="191"/>
        <v>10016</v>
      </c>
      <c r="GS104" s="14">
        <f>INT(SUMPRODUCT($AI104:$AM104,$BF104:$BJ104)/SUM($BF104:$BJ104)/10000*$BX$7*$BZ$46/'疲劳值&amp;地图信息'!$R$10*$BY$56)</f>
        <v>1490</v>
      </c>
      <c r="GT104" s="50">
        <f t="shared" si="192"/>
        <v>0.71453381630526469</v>
      </c>
      <c r="GU104" s="50">
        <f t="shared" si="193"/>
        <v>0.24849898278171983</v>
      </c>
      <c r="GV104" s="50">
        <f t="shared" si="194"/>
        <v>3.6967200913015433E-2</v>
      </c>
      <c r="GW104" s="51">
        <f t="shared" si="195"/>
        <v>28384</v>
      </c>
      <c r="GX104" s="51">
        <f t="shared" si="196"/>
        <v>20051</v>
      </c>
      <c r="GY104" s="14">
        <f>INT(SUMPRODUCT($AP104:$AT104,$BF104:$BJ104)/SUM($BF104:$BJ104)/10000*$BX$7*$BZ$46/'疲劳值&amp;地图信息'!$R$10*$BY$57)</f>
        <v>1987</v>
      </c>
      <c r="GZ104" s="50">
        <f t="shared" si="197"/>
        <v>0.56292888025068422</v>
      </c>
      <c r="HA104" s="50">
        <f t="shared" si="198"/>
        <v>0.39766371821823809</v>
      </c>
      <c r="HB104" s="50">
        <f t="shared" si="199"/>
        <v>3.9407401531077704E-2</v>
      </c>
      <c r="HD104" s="14">
        <f t="shared" si="200"/>
        <v>24076</v>
      </c>
      <c r="HE104" s="14">
        <f t="shared" si="201"/>
        <v>26631</v>
      </c>
      <c r="HF104" s="14">
        <f t="shared" si="202"/>
        <v>30412</v>
      </c>
      <c r="HG104" s="14">
        <f t="shared" si="203"/>
        <v>40306</v>
      </c>
      <c r="HH104" s="14">
        <f t="shared" si="204"/>
        <v>50422</v>
      </c>
      <c r="HI104" s="14">
        <f t="shared" si="205"/>
        <v>2763657</v>
      </c>
      <c r="HL104" s="14">
        <f t="shared" si="206"/>
        <v>430050</v>
      </c>
      <c r="HM104" s="50">
        <f t="shared" si="114"/>
        <v>0.13465543332559937</v>
      </c>
      <c r="HO104" s="14">
        <f t="shared" si="207"/>
        <v>3193707</v>
      </c>
    </row>
    <row r="105" spans="11:223" x14ac:dyDescent="0.2">
      <c r="K105" s="14">
        <v>100</v>
      </c>
      <c r="L105" s="12">
        <f>求节点(节奏总纲!D$4:D$163,标准城池设计!AB$4:AB$163,$K105)*求节点(节奏总纲!D$4:D$163,攻城基础信息!$AC$5:$AC$164,$K105)</f>
        <v>472930.99600596231</v>
      </c>
      <c r="M105" s="12">
        <f>INDEX(其他调用!$AA$5:$AA$404,MATCH(K105,其他调用!$X$5:$X$404,0))*MIN(INDEX(其他调用!$AH$5:$AH$364,MATCH('征服点（新）'!K105,其他调用!$AG$5:$AG$364,0),1)/INDEX(其他调用!$AJ$5:$AJ$364,MATCH(K105,其他调用!$AG$5:$AG$364,0),0),5)*求节点(节奏总纲!D$4:D$163,攻城基础信息!$AC$5:$AC$164,$K105)</f>
        <v>42082.242018245328</v>
      </c>
      <c r="N105" s="12">
        <f>MIN(INDEX(其他调用!$AH$5:$AH$364,MATCH($K105,其他调用!$AG$5:$AG$364,0),1)/INDEX(其他调用!AH$5:AH$364,MATCH($K105,其他调用!$AG$5:$AG$364,0),0),1)*INDEX(其他调用!Y$5:Y$404,MATCH($K105,其他调用!$X$5:$X$404,0),0)</f>
        <v>36142.687540862244</v>
      </c>
      <c r="O105" s="12">
        <f>MIN(INDEX(其他调用!$AH$5:$AH$364,MATCH($K105,其他调用!$AG$5:$AG$364,0),1)/INDEX(其他调用!AI$5:AI$364,MATCH($K105,其他调用!$AG$5:$AG$364,0),0),1)*INDEX(其他调用!Z$5:Z$404,MATCH($K105,其他调用!$X$5:$X$404,0),0)</f>
        <v>23546.25213551713</v>
      </c>
      <c r="P105" s="12">
        <f>MIN(INDEX(其他调用!$AH$5:$AH$364,MATCH($K105,其他调用!$AG$5:$AG$364,0),1)/INDEX(其他调用!AJ$5:AJ$364,MATCH($K105,其他调用!$AG$5:$AG$364,0),0),1)*INDEX(其他调用!AA$5:AA$404,MATCH($K105,其他调用!$X$5:$X$404,0),0)</f>
        <v>13786.3566488457</v>
      </c>
      <c r="Q105" s="12">
        <f>MIN(INDEX(其他调用!$AH$5:$AH$364,MATCH($K105,其他调用!$AG$5:$AG$364,0),1)/INDEX(其他调用!AK$5:AK$364,MATCH($K105,其他调用!$AG$5:$AG$364,0),0),1)*INDEX(其他调用!AB$5:AB$404,MATCH($K105,其他调用!$X$5:$X$404,0),0)</f>
        <v>5816.5640835988925</v>
      </c>
      <c r="R105" s="12">
        <f>MIN(INDEX(其他调用!$AH$5:$AH$364,MATCH($K105,其他调用!$AG$5:$AG$364,0),1)/INDEX(其他调用!AL$5:AL$364,MATCH($K105,其他调用!$AG$5:$AG$364,0),0),1)*INDEX(其他调用!AC$5:AC$404,MATCH($K105,其他调用!$X$5:$X$404,0),0)</f>
        <v>1786.3159710811867</v>
      </c>
      <c r="S105" s="12">
        <f>求节点(节奏总纲!D$4:D$163,标准城池设计!AC$4:AC$163,$K105)*求节点(节奏总纲!D$4:D$163,攻城基础信息!$AD$5:$AD$164,$K105)</f>
        <v>502736.82318852341</v>
      </c>
      <c r="T105" s="12">
        <f>INDEX(其他调用!$AA$5:$AA$404,MATCH($K105,其他调用!$X$5:$X$404,0))*MIN(INDEX(其他调用!AI$5:AI$364,MATCH($K105,其他调用!$AG$5:$AG$364,0),1)/INDEX(其他调用!$AJ$5:$AJ$364,MATCH($K105,其他调用!$AG$5:$AG$364,0),0),5)*求节点(节奏总纲!D$4:D$163,攻城基础信息!$AD$5:$AD$164,$K105)</f>
        <v>66640.212603796186</v>
      </c>
      <c r="U105" s="12">
        <f>MIN(INDEX(其他调用!$AI$5:$AI$364,MATCH($K105,其他调用!$AG$5:$AG$364,0),1)/INDEX(其他调用!AH$5:AH$364,MATCH($K105,其他调用!$AG$5:$AG$364,0),0),1)*INDEX(其他调用!Y$5:Y$404,MATCH($K105,其他调用!$X$5:$X$404,0),0)</f>
        <v>36142.687540862244</v>
      </c>
      <c r="V105" s="12">
        <f>MIN(INDEX(其他调用!$AI$5:$AI$364,MATCH($K105,其他调用!$AG$5:$AG$364,0),1)/INDEX(其他调用!AI$5:AI$364,MATCH($K105,其他调用!$AG$5:$AG$364,0),0),1)*INDEX(其他调用!Z$5:Z$404,MATCH($K105,其他调用!$X$5:$X$404,0),0)</f>
        <v>37287.158979151704</v>
      </c>
      <c r="W105" s="12">
        <f>MIN(INDEX(其他调用!$AI$5:$AI$364,MATCH($K105,其他调用!$AG$5:$AG$364,0),1)/INDEX(其他调用!AJ$5:AJ$364,MATCH($K105,其他调用!$AG$5:$AG$364,0),0),1)*INDEX(其他调用!AA$5:AA$404,MATCH($K105,其他调用!$X$5:$X$404,0),0)</f>
        <v>21831.672792350524</v>
      </c>
      <c r="X105" s="12">
        <f>MIN(INDEX(其他调用!$AI$5:$AI$364,MATCH($K105,其他调用!$AG$5:$AG$364,0),1)/INDEX(其他调用!AK$5:AK$364,MATCH($K105,其他调用!$AG$5:$AG$364,0),0),1)*INDEX(其他调用!AB$5:AB$404,MATCH($K105,其他调用!$X$5:$X$404,0),0)</f>
        <v>9210.9414461942961</v>
      </c>
      <c r="Y105" s="12">
        <f>MIN(INDEX(其他调用!$AI$5:$AI$364,MATCH($K105,其他调用!$AG$5:$AG$364,0),1)/INDEX(其他调用!AL$5:AL$364,MATCH($K105,其他调用!$AG$5:$AG$364,0),0),1)*INDEX(其他调用!AC$5:AC$404,MATCH($K105,其他调用!$X$5:$X$404,0),0)</f>
        <v>2828.7579363950067</v>
      </c>
      <c r="Z105" s="12">
        <f>求节点(节奏总纲!D$4:D$163,标准城池设计!AD$4:AD$163,$K105)*求节点(节奏总纲!D$4:D$163,攻城基础信息!$AE$5:$AE$164,$K105)</f>
        <v>540183.54451917938</v>
      </c>
      <c r="AA105" s="12">
        <f>INDEX(其他调用!$AA$5:$AA$404,MATCH($K105,其他调用!$X$5:$X$404,0))*MIN(INDEX(其他调用!AJ$5:AJ$364,MATCH($K105,其他调用!$AG$5:$AG$364,0),1)/INDEX(其他调用!$AJ$5:$AJ$364,MATCH($K105,其他调用!$AG$5:$AG$364,0),0),5)*求节点(节奏总纲!D$4:D$163,攻城基础信息!$AE$5:$AE$164,$K105)</f>
        <v>118418.79232628921</v>
      </c>
      <c r="AB105" s="12">
        <f>MIN(INDEX(其他调用!$AJ$5:$AJ$364,MATCH($K105,其他调用!$AG$5:$AG$364,0),1)/INDEX(其他调用!AH$5:AH$364,MATCH($K105,其他调用!$AG$5:$AG$364,0),0),1)*INDEX(其他调用!Y$5:Y$404,MATCH($K105,其他调用!$X$5:$X$404,0),0)</f>
        <v>36142.687540862244</v>
      </c>
      <c r="AC105" s="12">
        <f>MIN(INDEX(其他调用!$AJ$5:$AJ$364,MATCH($K105,其他调用!$AG$5:$AG$364,0),1)/INDEX(其他调用!AI$5:AI$364,MATCH($K105,其他调用!$AG$5:$AG$364,0),0),1)*INDEX(其他调用!Z$5:Z$404,MATCH($K105,其他调用!$X$5:$X$404,0),0)</f>
        <v>37287.158979151704</v>
      </c>
      <c r="AD105" s="12">
        <f>MIN(INDEX(其他调用!$AJ$5:$AJ$364,MATCH($K105,其他调用!$AG$5:$AG$364,0),1)/INDEX(其他调用!AJ$5:AJ$364,MATCH($K105,其他调用!$AG$5:$AG$364,0),0),1)*INDEX(其他调用!AA$5:AA$404,MATCH($K105,其他调用!$X$5:$X$404,0),0)</f>
        <v>38794.599019415255</v>
      </c>
      <c r="AE105" s="12">
        <f>MIN(INDEX(其他调用!$AJ$5:$AJ$364,MATCH($K105,其他调用!$AG$5:$AG$364,0),1)/INDEX(其他调用!AK$5:AK$364,MATCH($K105,其他调用!$AG$5:$AG$364,0),0),1)*INDEX(其他调用!AB$5:AB$404,MATCH($K105,其他调用!$X$5:$X$404,0),0)</f>
        <v>16367.723325425852</v>
      </c>
      <c r="AF105" s="12">
        <f>MIN(INDEX(其他调用!$AJ$5:$AJ$364,MATCH($K105,其他调用!$AG$5:$AG$364,0),1)/INDEX(其他调用!AL$5:AL$364,MATCH($K105,其他调用!$AG$5:$AG$364,0),0),1)*INDEX(其他调用!AC$5:AC$404,MATCH($K105,其他调用!$X$5:$X$404,0),0)</f>
        <v>5026.6661152911847</v>
      </c>
      <c r="AG105" s="12">
        <f>求节点(节奏总纲!D$4:D$163,标准城池设计!AE$4:AE$163,$K105)*求节点(节奏总纲!D$4:D$163,攻城基础信息!$AF$5:$AF$164,$K105)</f>
        <v>612391.5435459544</v>
      </c>
      <c r="AH105" s="12">
        <f>INDEX(其他调用!$AA$5:$AA$404,MATCH($K105,其他调用!$X$5:$X$404,0))*MIN(INDEX(其他调用!AK$5:AK$364,MATCH($K105,其他调用!$AG$5:$AG$364,0),1)/INDEX(其他调用!$AJ$5:$AJ$364,MATCH($K105,其他调用!$AG$5:$AG$364,0),0),5)*求节点(节奏总纲!D$4:D$163,攻城基础信息!$AF$5:$AF$164,$K105)</f>
        <v>296468.1171733177</v>
      </c>
      <c r="AI105" s="12">
        <f>MIN(INDEX(其他调用!$AK$5:$AK$364,MATCH($K105,其他调用!$AG$5:$AG$364,0),1)/INDEX(其他调用!AH$5:AH$364,MATCH($K105,其他调用!$AG$5:$AG$364,0),0),1)*INDEX(其他调用!Y$5:Y$404,MATCH($K105,其他调用!$X$5:$X$404,0),0)</f>
        <v>36142.687540862244</v>
      </c>
      <c r="AJ105" s="12">
        <f>MIN(INDEX(其他调用!$AK$5:$AK$364,MATCH($K105,其他调用!$AG$5:$AG$364,0),1)/INDEX(其他调用!AI$5:AI$364,MATCH($K105,其他调用!$AG$5:$AG$364,0),0),1)*INDEX(其他调用!Z$5:Z$404,MATCH($K105,其他调用!$X$5:$X$404,0),0)</f>
        <v>37287.158979151704</v>
      </c>
      <c r="AK105" s="12">
        <f>MIN(INDEX(其他调用!$AK$5:$AK$364,MATCH($K105,其他调用!$AG$5:$AG$364,0),1)/INDEX(其他调用!AJ$5:AJ$364,MATCH($K105,其他调用!$AG$5:$AG$364,0),0),1)*INDEX(其他调用!AA$5:AA$404,MATCH($K105,其他调用!$X$5:$X$404,0),0)</f>
        <v>38794.599019415255</v>
      </c>
      <c r="AL105" s="12">
        <f>MIN(INDEX(其他调用!$AK$5:$AK$364,MATCH($K105,其他调用!$AG$5:$AG$364,0),1)/INDEX(其他调用!AK$5:AK$364,MATCH($K105,其他调用!$AG$5:$AG$364,0),0),1)*INDEX(其他调用!AB$5:AB$404,MATCH($K105,其他调用!$X$5:$X$404,0),0)</f>
        <v>40977.517346505905</v>
      </c>
      <c r="AM105" s="12">
        <f>MIN(INDEX(其他调用!$AK$5:$AK$364,MATCH($K105,其他调用!$AG$5:$AG$364,0),1)/INDEX(其他调用!AL$5:AL$364,MATCH($K105,其他调用!$AG$5:$AG$364,0),0),1)*INDEX(其他调用!AC$5:AC$404,MATCH($K105,其他调用!$X$5:$X$404,0),0)</f>
        <v>12584.541774020903</v>
      </c>
      <c r="AN105" s="12">
        <f>求节点(节奏总纲!D$4:D$163,标准城池设计!AF$4:AF$163,$K105)*求节点(节奏总纲!D$4:D$163,攻城基础信息!$AG$5:$AG$164,$K105)</f>
        <v>603920.62903011253</v>
      </c>
      <c r="AO105" s="12">
        <f>INDEX(其他调用!$AA$5:$AA$404,MATCH($K105,其他调用!$X$5:$X$404,0))*MIN(INDEX(其他调用!AL$5:AL$364,MATCH($K105,其他调用!$AG$5:$AG$364,0),1)/INDEX(其他调用!$AJ$5:$AJ$364,MATCH($K105,其他调用!$AG$5:$AG$364,0),0),5)*求节点(节奏总纲!D$4:D$163,攻城基础信息!$AG$5:$AG$164,$K105)</f>
        <v>592093.96163144615</v>
      </c>
      <c r="AP105" s="12">
        <f>MIN(INDEX(其他调用!$AL$5:$AL$364,MATCH($K105,其他调用!$AG$5:$AG$364,0),1)/INDEX(其他调用!AH$5:AH$364,MATCH($K105,其他调用!$AG$5:$AG$364,0),0),1)*INDEX(其他调用!Y$5:Y$404,MATCH($K105,其他调用!$X$5:$X$404,0),0)</f>
        <v>36142.687540862244</v>
      </c>
      <c r="AQ105" s="12">
        <f>MIN(INDEX(其他调用!$AL$5:$AL$364,MATCH($K105,其他调用!$AG$5:$AG$364,0),1)/INDEX(其他调用!AI$5:AI$364,MATCH($K105,其他调用!$AG$5:$AG$364,0),0),1)*INDEX(其他调用!Z$5:Z$404,MATCH($K105,其他调用!$X$5:$X$404,0),0)</f>
        <v>37287.158979151704</v>
      </c>
      <c r="AR105" s="12">
        <f>MIN(INDEX(其他调用!$AL$5:$AL$364,MATCH($K105,其他调用!$AG$5:$AG$364,0),1)/INDEX(其他调用!AJ$5:AJ$364,MATCH($K105,其他调用!$AG$5:$AG$364,0),0),1)*INDEX(其他调用!AA$5:AA$404,MATCH($K105,其他调用!$X$5:$X$404,0),0)</f>
        <v>38794.599019415255</v>
      </c>
      <c r="AS105" s="12">
        <f>MIN(INDEX(其他调用!$AL$5:$AL$364,MATCH($K105,其他调用!$AG$5:$AG$364,0),1)/INDEX(其他调用!AK$5:AK$364,MATCH($K105,其他调用!$AG$5:$AG$364,0),0),1)*INDEX(其他调用!AB$5:AB$404,MATCH($K105,其他调用!$X$5:$X$404,0),0)</f>
        <v>40977.517346505905</v>
      </c>
      <c r="AT105" s="12">
        <f>MIN(INDEX(其他调用!$AL$5:$AL$364,MATCH($K105,其他调用!$AG$5:$AG$364,0),1)/INDEX(其他调用!AL$5:AL$364,MATCH($K105,其他调用!$AG$5:$AG$364,0),0),1)*INDEX(其他调用!AC$5:AC$404,MATCH($K105,其他调用!$X$5:$X$404,0),0)</f>
        <v>44826.948411006822</v>
      </c>
      <c r="AV105" s="14">
        <f>IF(OR(AV$5="大R",AV$5="超R"),MAX(INDEX(其他调用!$H$5:$L$404,MATCH($K105,其他调用!$B$5:$B$404,0),MATCH(AV$5,其他调用!$H$4:$L$4,0))*120*0.85,2),INDEX(其他调用!$H$5:$L$404,MATCH($K105,其他调用!$B$5:$B$404,0),MATCH(AV$5,其他调用!$H$4:$L$4,0))*120*0.85)</f>
        <v>48.921801254999991</v>
      </c>
      <c r="AW105" s="14">
        <f>IF(OR(AW$5="大R",AW$5="超R"),MAX(INDEX(其他调用!$H$5:$L$404,MATCH($K105,其他调用!$B$5:$B$404,0),MATCH(AW$5,其他调用!$H$4:$L$4,0))*120*0.85,2),INDEX(其他调用!$H$5:$L$404,MATCH($K105,其他调用!$B$5:$B$404,0),MATCH(AW$5,其他调用!$H$4:$L$4,0))*120*0.85)</f>
        <v>48.237344010638395</v>
      </c>
      <c r="AX105" s="14">
        <f>IF(OR(AX$5="大R",AX$5="超R"),MAX(INDEX(其他调用!$H$5:$L$404,MATCH($K105,其他调用!$B$5:$B$404,0),MATCH(AX$5,其他调用!$H$4:$L$4,0))*120*0.85,2),INDEX(其他调用!$H$5:$L$404,MATCH($K105,其他调用!$B$5:$B$404,0),MATCH(AX$5,其他调用!$H$4:$L$4,0))*120*0.85)</f>
        <v>3.9376284143615998</v>
      </c>
      <c r="AY105" s="14">
        <f>IF(OR(AY$5="大R",AY$5="超R"),MAX(INDEX(其他调用!$H$5:$L$404,MATCH($K105,其他调用!$B$5:$B$404,0),MATCH(AY$5,其他调用!$H$4:$L$4,0))*120*0.85,2),INDEX(其他调用!$H$5:$L$404,MATCH($K105,其他调用!$B$5:$B$404,0),MATCH(AY$5,其他调用!$H$4:$L$4,0))*120*0.85)</f>
        <v>2</v>
      </c>
      <c r="AZ105" s="14">
        <f>IF(OR(AZ$5="大R",AZ$5="超R"),MAX(INDEX(其他调用!$H$5:$L$404,MATCH($K105,其他调用!$B$5:$B$404,0),MATCH(AZ$5,其他调用!$H$4:$L$4,0))*120*0.85,2),INDEX(其他调用!$H$5:$L$404,MATCH($K105,其他调用!$B$5:$B$404,0),MATCH(AZ$5,其他调用!$H$4:$L$4,0))*120*0.85)</f>
        <v>2</v>
      </c>
      <c r="BA105" s="14">
        <f>INDEX(其他调用!$H$5:$L$404,MATCH($K105,其他调用!$B$5:$B$404,0),MATCH(BA$5,其他调用!$H$4:$L$4,0))*INDEX(其他调用!$M$5:$M$404,MATCH($K105,其他调用!$B$5:$B$404,0))*0.6</f>
        <v>28.777530149999997</v>
      </c>
      <c r="BB105" s="14">
        <f>INDEX(其他调用!$H$5:$L$404,MATCH($K105,其他调用!$B$5:$B$404,0),MATCH(BB$5,其他调用!$H$4:$L$4,0))*INDEX(其他调用!$M$5:$M$404,MATCH($K105,其他调用!$B$5:$B$404,0))*0.6</f>
        <v>28.374908241551999</v>
      </c>
      <c r="BC105" s="14">
        <f>INDEX(其他调用!$H$5:$L$404,MATCH($K105,其他调用!$B$5:$B$404,0),MATCH(BC$5,其他调用!$H$4:$L$4,0))*INDEX(其他调用!$M$5:$M$404,MATCH($K105,其他调用!$B$5:$B$404,0))*0.6</f>
        <v>2.3162520084480001</v>
      </c>
      <c r="BD105" s="14">
        <f>INDEX(其他调用!$H$5:$L$404,MATCH($K105,其他调用!$B$5:$B$404,0),MATCH(BD$5,其他调用!$H$4:$L$4,0))*INDEX(其他调用!$M$5:$M$404,MATCH($K105,其他调用!$B$5:$B$404,0))*0.6</f>
        <v>0.4120776000000001</v>
      </c>
      <c r="BE105" s="14">
        <f>INDEX(其他调用!$H$5:$L$404,MATCH($K105,其他调用!$B$5:$B$404,0),MATCH(BE$5,其他调用!$H$4:$L$4,0))*INDEX(其他调用!$M$5:$M$404,MATCH($K105,其他调用!$B$5:$B$404,0))*0.6</f>
        <v>0.11923199999999998</v>
      </c>
      <c r="BF105" s="14">
        <f>IF(OR(BF$5="大R",BF$5="超R"),0,INDEX(其他调用!$H$5:$L$404,MATCH($K105,其他调用!$B$5:$B$404,0),MATCH(BF$5,其他调用!$H$4:$L$4,0))*50*0.4)</f>
        <v>9.5925100500000013</v>
      </c>
      <c r="BG105" s="14">
        <f>IF(OR(BG$5="大R",BG$5="超R"),0,INDEX(其他调用!$H$5:$L$404,MATCH($K105,其他调用!$B$5:$B$404,0),MATCH(BG$5,其他调用!$H$4:$L$4,0))*50*0.4)</f>
        <v>9.4583027471839998</v>
      </c>
      <c r="BH105" s="14">
        <f>IF(OR(BH$5="大R",BH$5="超R"),0,INDEX(其他调用!$H$5:$L$404,MATCH($K105,其他调用!$B$5:$B$404,0),MATCH(BH$5,其他调用!$H$4:$L$4,0))*50*0.4)</f>
        <v>0.77208400281600009</v>
      </c>
      <c r="BI105" s="14">
        <f>IF(OR(BI$5="大R",BI$5="超R"),0,INDEX(其他调用!$H$5:$L$404,MATCH($K105,其他调用!$B$5:$B$404,0),MATCH(BI$5,其他调用!$H$4:$L$4,0))*50*0.4)</f>
        <v>0</v>
      </c>
      <c r="BJ105" s="14">
        <f>IF(OR(BJ$5="大R",BJ$5="超R"),0,INDEX(其他调用!$H$5:$L$404,MATCH($K105,其他调用!$B$5:$B$404,0),MATCH(BJ$5,其他调用!$H$4:$L$4,0))*50*0.4)</f>
        <v>0</v>
      </c>
      <c r="BL105" s="14">
        <f t="shared" si="208"/>
        <v>100</v>
      </c>
      <c r="BM105" s="14">
        <f t="shared" si="115"/>
        <v>96</v>
      </c>
      <c r="BN105" s="14">
        <f>('疲劳值&amp;地图信息'!$S$10*'疲劳值&amp;地图信息'!$R$10+'疲劳值&amp;地图信息'!$S$11*'疲劳值&amp;地图信息'!$R$11+'疲劳值&amp;地图信息'!$S$12*'疲劳值&amp;地图信息'!$R$12+(BM105-'疲劳值&amp;地图信息'!$S$12-'疲劳值&amp;地图信息'!$S$11-'疲劳值&amp;地图信息'!$S$10)*'疲劳值&amp;地图信息'!$R$13)/BM105</f>
        <v>51.371477246638619</v>
      </c>
      <c r="BO105" s="14">
        <f>INDEX(其他调用!$M$5:$M$404,MATCH(BL105,其他调用!$B$5:$B$404,0))*0.6</f>
        <v>60</v>
      </c>
      <c r="BP105" s="14">
        <f>IF(BO105&gt;SUM('疲劳值&amp;地图信息'!$S$10:$S$12),('疲劳值&amp;地图信息'!$S$10*'疲劳值&amp;地图信息'!$R$10+'疲劳值&amp;地图信息'!$S$11*'疲劳值&amp;地图信息'!$R$11+'疲劳值&amp;地图信息'!$S$12*'疲劳值&amp;地图信息'!$R$12+(BO105-'疲劳值&amp;地图信息'!$S$12-'疲劳值&amp;地图信息'!$S$11-'疲劳值&amp;地图信息'!$S$10)*'疲劳值&amp;地图信息'!$R$13)/BO105,('疲劳值&amp;地图信息'!$S$10*'疲劳值&amp;地图信息'!$R$10+'疲劳值&amp;地图信息'!$S$11*'疲劳值&amp;地图信息'!$R$11+'疲劳值&amp;地图信息'!$S$12*'疲劳值&amp;地图信息'!$R$12+(BO105-'疲劳值&amp;地图信息'!$S$12-'疲劳值&amp;地图信息'!$S$11-'疲劳值&amp;地图信息'!$S$10)*'疲劳值&amp;地图信息'!$R$13)/BO105)</f>
        <v>44.158136341605953</v>
      </c>
      <c r="BQ105" s="14">
        <f t="shared" si="209"/>
        <v>20</v>
      </c>
      <c r="BR105" s="14">
        <f>('疲劳值&amp;地图信息'!$S$10*'疲劳值&amp;地图信息'!$R$10+($BQ105-'疲劳值&amp;地图信息'!$S$10)*'疲劳值&amp;地图信息'!$R$11)/$BQ105</f>
        <v>32.067203015074995</v>
      </c>
      <c r="CF105" s="14">
        <v>100</v>
      </c>
      <c r="CG105" s="51">
        <f t="shared" si="116"/>
        <v>9638</v>
      </c>
      <c r="CH105" s="51">
        <f t="shared" si="117"/>
        <v>857</v>
      </c>
      <c r="CI105" s="51">
        <f>INT(SUMPRODUCT($N105:$R105,$BA105:$BE105)/SUM($BA105:$BE105)/10000*$BX$7*$BZ$34/'疲劳值&amp;地图信息'!$R$10*$BY$53)</f>
        <v>2947</v>
      </c>
      <c r="CJ105" s="50">
        <f t="shared" si="118"/>
        <v>0.71700639785746167</v>
      </c>
      <c r="CK105" s="50">
        <f t="shared" si="119"/>
        <v>6.3755393542627589E-2</v>
      </c>
      <c r="CL105" s="50">
        <f t="shared" si="120"/>
        <v>0.21923820859991072</v>
      </c>
      <c r="CM105" s="14">
        <f t="shared" si="121"/>
        <v>10246</v>
      </c>
      <c r="CN105" s="14">
        <f t="shared" si="122"/>
        <v>1358</v>
      </c>
      <c r="CO105" s="14">
        <f>INT(SUMPRODUCT($U105:$Y105,$BA105:$BE105)/SUM($BA105:$BE105)/10000*$BX$7*$BZ$34/'疲劳值&amp;地图信息'!$R$10*$BY$54)</f>
        <v>5461</v>
      </c>
      <c r="CP105" s="50">
        <f t="shared" si="123"/>
        <v>0.60041019630823322</v>
      </c>
      <c r="CQ105" s="50">
        <f t="shared" si="124"/>
        <v>7.9578083797245819E-2</v>
      </c>
      <c r="CR105" s="50">
        <f t="shared" si="125"/>
        <v>0.32001171989452093</v>
      </c>
      <c r="CS105" s="14">
        <f t="shared" si="126"/>
        <v>11009</v>
      </c>
      <c r="CT105" s="14">
        <f t="shared" si="127"/>
        <v>2413</v>
      </c>
      <c r="CU105" s="14">
        <f>INT(SUMPRODUCT($AB105:$AF105,$BA105:$BE105)/SUM($BA105:$BE105)/10000*$BX$7*$BZ$34/'疲劳值&amp;地图信息'!$R$10*$BY$55)</f>
        <v>7425</v>
      </c>
      <c r="CV105" s="50">
        <f t="shared" si="128"/>
        <v>0.52808557586223437</v>
      </c>
      <c r="CW105" s="50">
        <f t="shared" si="129"/>
        <v>0.11574806926656113</v>
      </c>
      <c r="CX105" s="50">
        <f t="shared" si="130"/>
        <v>0.35616635487120452</v>
      </c>
      <c r="CY105" s="14">
        <f t="shared" si="131"/>
        <v>12481</v>
      </c>
      <c r="CZ105" s="14">
        <f t="shared" si="132"/>
        <v>6042</v>
      </c>
      <c r="DA105" s="14">
        <f>INT(SUMPRODUCT($AI105:$AM105,$BA105:$BE105)/SUM($BA105:$BE105)/10000*$BX$7*$BZ$34/'疲劳值&amp;地图信息'!$R$10*$BY$56)</f>
        <v>11193</v>
      </c>
      <c r="DB105" s="50">
        <f t="shared" si="133"/>
        <v>0.42000942253331541</v>
      </c>
      <c r="DC105" s="50">
        <f t="shared" si="134"/>
        <v>0.20332480818414322</v>
      </c>
      <c r="DD105" s="50">
        <f t="shared" si="135"/>
        <v>0.37666576928254142</v>
      </c>
      <c r="DE105" s="14">
        <f t="shared" si="136"/>
        <v>12308</v>
      </c>
      <c r="DF105" s="14">
        <f t="shared" si="137"/>
        <v>12067</v>
      </c>
      <c r="DG105" s="14">
        <f>INT(SUMPRODUCT($AP105:$AT105,$BA105:$BE105)/SUM($BA105:$BE105)/10000*$BX$7*$BZ$34/'疲劳值&amp;地图信息'!$R$10*$BY$57)</f>
        <v>14950</v>
      </c>
      <c r="DH105" s="50">
        <f t="shared" si="138"/>
        <v>0.31298156389065479</v>
      </c>
      <c r="DI105" s="50">
        <f t="shared" si="139"/>
        <v>0.30685314685314685</v>
      </c>
      <c r="DJ105" s="50">
        <f t="shared" si="140"/>
        <v>0.38016528925619836</v>
      </c>
      <c r="DL105" s="14">
        <f t="shared" si="211"/>
        <v>13442</v>
      </c>
      <c r="DM105" s="14">
        <f t="shared" si="212"/>
        <v>17065</v>
      </c>
      <c r="DN105" s="14">
        <f t="shared" si="213"/>
        <v>20847</v>
      </c>
      <c r="DO105" s="14">
        <f t="shared" si="214"/>
        <v>29716</v>
      </c>
      <c r="DP105" s="14">
        <f t="shared" si="215"/>
        <v>39325</v>
      </c>
      <c r="DQ105" s="14">
        <f t="shared" si="216"/>
        <v>936266</v>
      </c>
      <c r="DT105" s="14">
        <f t="shared" si="210"/>
        <v>235575</v>
      </c>
      <c r="DU105" s="50">
        <f t="shared" si="112"/>
        <v>0.20102983254554158</v>
      </c>
      <c r="DW105" s="14">
        <f t="shared" si="141"/>
        <v>1171841</v>
      </c>
      <c r="EB105" s="14">
        <v>100</v>
      </c>
      <c r="EC105" s="51">
        <f t="shared" si="142"/>
        <v>16064</v>
      </c>
      <c r="ED105" s="51">
        <f t="shared" si="143"/>
        <v>1429</v>
      </c>
      <c r="EE105" s="51">
        <f>INT(SUMPRODUCT($N105:$R105,$BF105:$BJ105)/SUM($BF105:$BJ105)/10000*$BX$7*$BZ$46/'疲劳值&amp;地图信息'!$R$10*$BY$53)</f>
        <v>395</v>
      </c>
      <c r="EF105" s="50">
        <f t="shared" si="144"/>
        <v>0.89803220035778175</v>
      </c>
      <c r="EG105" s="50">
        <f t="shared" si="145"/>
        <v>7.9885957066189631E-2</v>
      </c>
      <c r="EH105" s="50">
        <f t="shared" si="146"/>
        <v>2.2081842576028621E-2</v>
      </c>
      <c r="EI105" s="51">
        <f t="shared" si="147"/>
        <v>17077</v>
      </c>
      <c r="EJ105" s="51">
        <f t="shared" si="148"/>
        <v>2263</v>
      </c>
      <c r="EK105" s="14">
        <f>INT(SUMPRODUCT($U105:$Y105,$BF105:$BJ105)/SUM($BF105:$BJ105)/10000*$BX$7*$BZ$46/'疲劳值&amp;地图信息'!$R$10*$BY$54)</f>
        <v>733</v>
      </c>
      <c r="EL105" s="50">
        <f t="shared" si="149"/>
        <v>0.85074478154735211</v>
      </c>
      <c r="EM105" s="50">
        <f t="shared" si="150"/>
        <v>0.11273850445872566</v>
      </c>
      <c r="EN105" s="50">
        <f t="shared" si="151"/>
        <v>3.6516713993922187E-2</v>
      </c>
      <c r="EO105" s="51">
        <f t="shared" si="152"/>
        <v>18349</v>
      </c>
      <c r="EP105" s="51">
        <f t="shared" si="153"/>
        <v>4022</v>
      </c>
      <c r="EQ105" s="14">
        <f>INT(SUMPRODUCT($AB105:$AF105,$BF105:$BJ105)/SUM($BF105:$BJ105)/10000*$BX$7*$BZ$46/'疲劳值&amp;地图信息'!$R$10*$BY$55)</f>
        <v>995</v>
      </c>
      <c r="ER105" s="50">
        <f t="shared" si="154"/>
        <v>0.7852863134468886</v>
      </c>
      <c r="ES105" s="50">
        <f t="shared" si="155"/>
        <v>0.17213044594710264</v>
      </c>
      <c r="ET105" s="50">
        <f t="shared" si="156"/>
        <v>4.2583240606008731E-2</v>
      </c>
      <c r="EU105" s="51">
        <f t="shared" si="157"/>
        <v>20802</v>
      </c>
      <c r="EV105" s="51">
        <f t="shared" si="158"/>
        <v>10070</v>
      </c>
      <c r="EW105" s="14">
        <f>INT(SUMPRODUCT($AI105:$AM105,$BF105:$BJ105)/SUM($BF105:$BJ105)/10000*$BX$7*$BZ$46/'疲劳值&amp;地图信息'!$R$10*$BY$56)</f>
        <v>1493</v>
      </c>
      <c r="EX105" s="50">
        <f t="shared" si="159"/>
        <v>0.64273134558937128</v>
      </c>
      <c r="EY105" s="50">
        <f t="shared" si="160"/>
        <v>0.31113857562181368</v>
      </c>
      <c r="EZ105" s="50">
        <f t="shared" si="161"/>
        <v>4.6130078788815081E-2</v>
      </c>
      <c r="FA105" s="51">
        <f t="shared" si="162"/>
        <v>20514</v>
      </c>
      <c r="FB105" s="51">
        <f t="shared" si="163"/>
        <v>20112</v>
      </c>
      <c r="FC105" s="14">
        <f>INT(SUMPRODUCT($AP105:$AT105,$BF105:$BJ105)/SUM($BF105:$BJ105)/10000*$BX$7*$BZ$46/'疲劳值&amp;地图信息'!$R$10*$BY$57)</f>
        <v>1991</v>
      </c>
      <c r="FD105" s="50">
        <f t="shared" si="164"/>
        <v>0.48135720487129552</v>
      </c>
      <c r="FE105" s="50">
        <f t="shared" si="165"/>
        <v>0.4719243494380177</v>
      </c>
      <c r="FF105" s="50">
        <f t="shared" si="166"/>
        <v>4.6718445690686818E-2</v>
      </c>
      <c r="FH105" s="14">
        <f t="shared" si="167"/>
        <v>17888</v>
      </c>
      <c r="FI105" s="14">
        <f t="shared" si="168"/>
        <v>20073</v>
      </c>
      <c r="FJ105" s="14">
        <f t="shared" si="169"/>
        <v>23366</v>
      </c>
      <c r="FK105" s="14">
        <f t="shared" si="170"/>
        <v>32365</v>
      </c>
      <c r="FL105" s="14">
        <f t="shared" si="171"/>
        <v>42617</v>
      </c>
      <c r="FM105" s="14">
        <f t="shared" si="172"/>
        <v>2085352</v>
      </c>
      <c r="FP105" s="14">
        <f t="shared" si="173"/>
        <v>334150</v>
      </c>
      <c r="FQ105" s="50">
        <f t="shared" si="113"/>
        <v>0.13810693274897065</v>
      </c>
      <c r="FS105" s="14">
        <f t="shared" si="174"/>
        <v>2419502</v>
      </c>
      <c r="FX105" s="14">
        <v>100</v>
      </c>
      <c r="FY105" s="51">
        <f t="shared" si="175"/>
        <v>22490</v>
      </c>
      <c r="FZ105" s="51">
        <f t="shared" si="176"/>
        <v>1429</v>
      </c>
      <c r="GA105" s="51">
        <f>INT(SUMPRODUCT($N105:$R105,$BF105:$BJ105)/SUM($BF105:$BJ105)/10000*$BX$7*$BZ$46/'疲劳值&amp;地图信息'!$R$10*$BY$53)</f>
        <v>395</v>
      </c>
      <c r="GB105" s="50">
        <f t="shared" si="177"/>
        <v>0.92498149214444358</v>
      </c>
      <c r="GC105" s="50">
        <f t="shared" si="178"/>
        <v>5.8772723533766558E-2</v>
      </c>
      <c r="GD105" s="50">
        <f t="shared" si="179"/>
        <v>1.6245784321789917E-2</v>
      </c>
      <c r="GE105" s="51">
        <f t="shared" si="180"/>
        <v>23908</v>
      </c>
      <c r="GF105" s="51">
        <f t="shared" si="181"/>
        <v>2263</v>
      </c>
      <c r="GG105" s="14">
        <f>INT(SUMPRODUCT($U105:$Y105,$BF105:$BJ105)/SUM($BF105:$BJ105)/10000*$BX$7*$BZ$46/'疲劳值&amp;地图信息'!$R$10*$BY$54)</f>
        <v>733</v>
      </c>
      <c r="GH105" s="50">
        <f t="shared" si="182"/>
        <v>0.8886410942610764</v>
      </c>
      <c r="GI105" s="50">
        <f t="shared" si="183"/>
        <v>8.4113886410942612E-2</v>
      </c>
      <c r="GJ105" s="50">
        <f t="shared" si="184"/>
        <v>2.7245019327980971E-2</v>
      </c>
      <c r="GK105" s="51">
        <f t="shared" si="185"/>
        <v>25689</v>
      </c>
      <c r="GL105" s="51">
        <f t="shared" si="186"/>
        <v>4022</v>
      </c>
      <c r="GM105" s="14">
        <f>INT(SUMPRODUCT($AB105:$AF105,$BF105:$BJ105)/SUM($BF105:$BJ105)/10000*$BX$7*$BZ$46/'疲劳值&amp;地图信息'!$R$10*$BY$55)</f>
        <v>995</v>
      </c>
      <c r="GN105" s="50">
        <f t="shared" si="187"/>
        <v>0.8366117371197811</v>
      </c>
      <c r="GO105" s="50">
        <f t="shared" si="188"/>
        <v>0.13098417247443497</v>
      </c>
      <c r="GP105" s="50">
        <f t="shared" si="189"/>
        <v>3.2404090405783889E-2</v>
      </c>
      <c r="GQ105" s="51">
        <f t="shared" si="190"/>
        <v>29123</v>
      </c>
      <c r="GR105" s="51">
        <f t="shared" si="191"/>
        <v>10070</v>
      </c>
      <c r="GS105" s="14">
        <f>INT(SUMPRODUCT($AI105:$AM105,$BF105:$BJ105)/SUM($BF105:$BJ105)/10000*$BX$7*$BZ$46/'疲劳值&amp;地图信息'!$R$10*$BY$56)</f>
        <v>1493</v>
      </c>
      <c r="GT105" s="50">
        <f t="shared" si="192"/>
        <v>0.71579904635501157</v>
      </c>
      <c r="GU105" s="50">
        <f t="shared" si="193"/>
        <v>0.24750528437300301</v>
      </c>
      <c r="GV105" s="50">
        <f t="shared" si="194"/>
        <v>3.6695669271985448E-2</v>
      </c>
      <c r="GW105" s="51">
        <f t="shared" si="195"/>
        <v>28720</v>
      </c>
      <c r="GX105" s="51">
        <f t="shared" si="196"/>
        <v>20112</v>
      </c>
      <c r="GY105" s="14">
        <f>INT(SUMPRODUCT($AP105:$AT105,$BF105:$BJ105)/SUM($BF105:$BJ105)/10000*$BX$7*$BZ$46/'疲劳值&amp;地图信息'!$R$10*$BY$57)</f>
        <v>1991</v>
      </c>
      <c r="GZ105" s="50">
        <f t="shared" si="197"/>
        <v>0.56509847903508259</v>
      </c>
      <c r="HA105" s="50">
        <f t="shared" si="198"/>
        <v>0.39572634437164278</v>
      </c>
      <c r="HB105" s="50">
        <f t="shared" si="199"/>
        <v>3.9175176593274699E-2</v>
      </c>
      <c r="HD105" s="14">
        <f t="shared" si="200"/>
        <v>24314</v>
      </c>
      <c r="HE105" s="14">
        <f t="shared" si="201"/>
        <v>26904</v>
      </c>
      <c r="HF105" s="14">
        <f t="shared" si="202"/>
        <v>30706</v>
      </c>
      <c r="HG105" s="14">
        <f t="shared" si="203"/>
        <v>40686</v>
      </c>
      <c r="HH105" s="14">
        <f t="shared" si="204"/>
        <v>50823</v>
      </c>
      <c r="HI105" s="14">
        <f t="shared" si="205"/>
        <v>2791188</v>
      </c>
      <c r="HL105" s="14">
        <f t="shared" si="206"/>
        <v>430050</v>
      </c>
      <c r="HM105" s="50">
        <f t="shared" si="114"/>
        <v>0.13350457184473796</v>
      </c>
      <c r="HO105" s="14">
        <f t="shared" si="207"/>
        <v>3221238</v>
      </c>
    </row>
    <row r="106" spans="11:223" x14ac:dyDescent="0.2">
      <c r="K106" s="14">
        <v>101</v>
      </c>
      <c r="L106" s="12">
        <f>求节点(节奏总纲!D$4:D$163,标准城池设计!AB$4:AB$163,$K106)*求节点(节奏总纲!D$4:D$163,攻城基础信息!$AC$5:$AC$164,$K106)</f>
        <v>477866.38263261534</v>
      </c>
      <c r="M106" s="12">
        <f>INDEX(其他调用!$AA$5:$AA$404,MATCH(K106,其他调用!$X$5:$X$404,0))*MIN(INDEX(其他调用!$AH$5:$AH$364,MATCH('征服点（新）'!K106,其他调用!$AG$5:$AG$364,0),1)/INDEX(其他调用!$AJ$5:$AJ$364,MATCH(K106,其他调用!$AG$5:$AG$364,0),0),5)*求节点(节奏总纲!D$4:D$163,攻城基础信息!$AC$5:$AC$164,$K106)</f>
        <v>42209.502291065408</v>
      </c>
      <c r="N106" s="12">
        <f>MIN(INDEX(其他调用!$AH$5:$AH$364,MATCH($K106,其他调用!$AG$5:$AG$364,0),1)/INDEX(其他调用!AH$5:AH$364,MATCH($K106,其他调用!$AG$5:$AG$364,0),0),1)*INDEX(其他调用!Y$5:Y$404,MATCH($K106,其他调用!$X$5:$X$404,0),0)</f>
        <v>36200.418933897337</v>
      </c>
      <c r="O106" s="12">
        <f>MIN(INDEX(其他调用!$AH$5:$AH$364,MATCH($K106,其他调用!$AG$5:$AG$364,0),1)/INDEX(其他调用!AI$5:AI$364,MATCH($K106,其他调用!$AG$5:$AG$364,0),0),1)*INDEX(其他调用!Z$5:Z$404,MATCH($K106,其他调用!$X$5:$X$404,0),0)</f>
        <v>23518.369374388083</v>
      </c>
      <c r="P106" s="12">
        <f>MIN(INDEX(其他调用!$AH$5:$AH$364,MATCH($K106,其他调用!$AG$5:$AG$364,0),1)/INDEX(其他调用!AJ$5:AJ$364,MATCH($K106,其他调用!$AG$5:$AG$364,0),0),1)*INDEX(其他调用!AA$5:AA$404,MATCH($K106,其他调用!$X$5:$X$404,0),0)</f>
        <v>13806.393282049241</v>
      </c>
      <c r="Q106" s="12">
        <f>MIN(INDEX(其他调用!$AH$5:$AH$364,MATCH($K106,其他调用!$AG$5:$AG$364,0),1)/INDEX(其他调用!AK$5:AK$364,MATCH($K106,其他调用!$AG$5:$AG$364,0),0),1)*INDEX(其他调用!AB$5:AB$404,MATCH($K106,其他调用!$X$5:$X$404,0),0)</f>
        <v>5809.8904422571222</v>
      </c>
      <c r="R106" s="12">
        <f>MIN(INDEX(其他调用!$AH$5:$AH$364,MATCH($K106,其他调用!$AG$5:$AG$364,0),1)/INDEX(其他调用!AL$5:AL$364,MATCH($K106,其他调用!$AG$5:$AG$364,0),0),1)*INDEX(其他调用!AC$5:AC$404,MATCH($K106,其他调用!$X$5:$X$404,0),0)</f>
        <v>1787.2017284909043</v>
      </c>
      <c r="S106" s="12">
        <f>求节点(节奏总纲!D$4:D$163,标准城池设计!AC$4:AC$163,$K106)*求节点(节奏总纲!D$4:D$163,攻城基础信息!$AD$5:$AD$164,$K106)</f>
        <v>508188.5730632862</v>
      </c>
      <c r="T106" s="12">
        <f>INDEX(其他调用!$AA$5:$AA$404,MATCH($K106,其他调用!$X$5:$X$404,0))*MIN(INDEX(其他调用!AI$5:AI$364,MATCH($K106,其他调用!$AG$5:$AG$364,0),1)/INDEX(其他调用!$AJ$5:$AJ$364,MATCH($K106,其他调用!$AG$5:$AG$364,0),0),5)*求节点(节奏总纲!D$4:D$163,攻城基础信息!$AD$5:$AD$164,$K106)</f>
        <v>67025.956719288384</v>
      </c>
      <c r="U106" s="12">
        <f>MIN(INDEX(其他调用!$AI$5:$AI$364,MATCH($K106,其他调用!$AG$5:$AG$364,0),1)/INDEX(其他调用!AH$5:AH$364,MATCH($K106,其他调用!$AG$5:$AG$364,0),0),1)*INDEX(其他调用!Y$5:Y$404,MATCH($K106,其他调用!$X$5:$X$404,0),0)</f>
        <v>36200.418933897337</v>
      </c>
      <c r="V106" s="12">
        <f>MIN(INDEX(其他调用!$AI$5:$AI$364,MATCH($K106,其他调用!$AG$5:$AG$364,0),1)/INDEX(其他调用!AI$5:AI$364,MATCH($K106,其他调用!$AG$5:$AG$364,0),0),1)*INDEX(其他调用!Z$5:Z$404,MATCH($K106,其他调用!$X$5:$X$404,0),0)</f>
        <v>37345.647833654773</v>
      </c>
      <c r="W106" s="12">
        <f>MIN(INDEX(其他调用!$AI$5:$AI$364,MATCH($K106,其他调用!$AG$5:$AG$364,0),1)/INDEX(其他调用!AJ$5:AJ$364,MATCH($K106,其他调用!$AG$5:$AG$364,0),0),1)*INDEX(其他调用!AA$5:AA$404,MATCH($K106,其他调用!$X$5:$X$404,0),0)</f>
        <v>21923.658615799064</v>
      </c>
      <c r="X106" s="12">
        <f>MIN(INDEX(其他调用!$AI$5:$AI$364,MATCH($K106,其他调用!$AG$5:$AG$364,0),1)/INDEX(其他调用!AK$5:AK$364,MATCH($K106,其他调用!$AG$5:$AG$364,0),0),1)*INDEX(其他调用!AB$5:AB$404,MATCH($K106,其他调用!$X$5:$X$404,0),0)</f>
        <v>9225.7298520423738</v>
      </c>
      <c r="Y106" s="12">
        <f>MIN(INDEX(其他调用!$AI$5:$AI$364,MATCH($K106,其他调用!$AG$5:$AG$364,0),1)/INDEX(其他调用!AL$5:AL$364,MATCH($K106,其他调用!$AG$5:$AG$364,0),0),1)*INDEX(其他调用!AC$5:AC$404,MATCH($K106,其他调用!$X$5:$X$404,0),0)</f>
        <v>2837.9606297282676</v>
      </c>
      <c r="Z106" s="12">
        <f>求节点(节奏总纲!D$4:D$163,标准城池设计!AD$4:AD$163,$K106)*求节点(节奏总纲!D$4:D$163,攻城基础信息!$AE$5:$AE$164,$K106)</f>
        <v>546087.6942791366</v>
      </c>
      <c r="AA106" s="12">
        <f>INDEX(其他调用!$AA$5:$AA$404,MATCH($K106,其他调用!$X$5:$X$404,0))*MIN(INDEX(其他调用!AJ$5:AJ$364,MATCH($K106,其他调用!$AG$5:$AG$364,0),1)/INDEX(其他调用!$AJ$5:$AJ$364,MATCH($K106,其他调用!$AG$5:$AG$364,0),0),5)*求节点(节奏总纲!D$4:D$163,攻城基础信息!$AE$5:$AE$164,$K106)</f>
        <v>118781.97990613431</v>
      </c>
      <c r="AB106" s="12">
        <f>MIN(INDEX(其他调用!$AJ$5:$AJ$364,MATCH($K106,其他调用!$AG$5:$AG$364,0),1)/INDEX(其他调用!AH$5:AH$364,MATCH($K106,其他调用!$AG$5:$AG$364,0),0),1)*INDEX(其他调用!Y$5:Y$404,MATCH($K106,其他调用!$X$5:$X$404,0),0)</f>
        <v>36200.418933897337</v>
      </c>
      <c r="AC106" s="12">
        <f>MIN(INDEX(其他调用!$AJ$5:$AJ$364,MATCH($K106,其他调用!$AG$5:$AG$364,0),1)/INDEX(其他调用!AI$5:AI$364,MATCH($K106,其他调用!$AG$5:$AG$364,0),0),1)*INDEX(其他调用!Z$5:Z$404,MATCH($K106,其他调用!$X$5:$X$404,0),0)</f>
        <v>37345.647833654773</v>
      </c>
      <c r="AD106" s="12">
        <f>MIN(INDEX(其他调用!$AJ$5:$AJ$364,MATCH($K106,其他调用!$AG$5:$AG$364,0),1)/INDEX(其他调用!AJ$5:AJ$364,MATCH($K106,其他调用!$AG$5:$AG$364,0),0),1)*INDEX(其他调用!AA$5:AA$404,MATCH($K106,其他调用!$X$5:$X$404,0),0)</f>
        <v>38852.643134616948</v>
      </c>
      <c r="AE106" s="12">
        <f>MIN(INDEX(其他调用!$AJ$5:$AJ$364,MATCH($K106,其他调用!$AG$5:$AG$364,0),1)/INDEX(其他调用!AK$5:AK$364,MATCH($K106,其他调用!$AG$5:$AG$364,0),0),1)*INDEX(其他调用!AB$5:AB$404,MATCH($K106,其他调用!$X$5:$X$404,0),0)</f>
        <v>16349.642907661213</v>
      </c>
      <c r="AF106" s="12">
        <f>MIN(INDEX(其他调用!$AJ$5:$AJ$364,MATCH($K106,其他调用!$AG$5:$AG$364,0),1)/INDEX(其他调用!AL$5:AL$364,MATCH($K106,其他调用!$AG$5:$AG$364,0),0),1)*INDEX(其他调用!AC$5:AC$404,MATCH($K106,其他调用!$X$5:$X$404,0),0)</f>
        <v>5029.3736784181528</v>
      </c>
      <c r="AG106" s="12">
        <f>求节点(节奏总纲!D$4:D$163,标准城池设计!AE$4:AE$163,$K106)*求节点(节奏总纲!D$4:D$163,攻城基础信息!$AF$5:$AF$164,$K106)</f>
        <v>619192.53949973674</v>
      </c>
      <c r="AH106" s="12">
        <f>INDEX(其他调用!$AA$5:$AA$404,MATCH($K106,其他调用!$X$5:$X$404,0))*MIN(INDEX(其他调用!AK$5:AK$364,MATCH($K106,其他调用!$AG$5:$AG$364,0),1)/INDEX(其他调用!$AJ$5:$AJ$364,MATCH($K106,其他调用!$AG$5:$AG$364,0),0),5)*求节点(节奏总纲!D$4:D$163,攻城基础信息!$AF$5:$AF$164,$K106)</f>
        <v>298107.38277467765</v>
      </c>
      <c r="AI106" s="12">
        <f>MIN(INDEX(其他调用!$AK$5:$AK$364,MATCH($K106,其他调用!$AG$5:$AG$364,0),1)/INDEX(其他调用!AH$5:AH$364,MATCH($K106,其他调用!$AG$5:$AG$364,0),0),1)*INDEX(其他调用!Y$5:Y$404,MATCH($K106,其他调用!$X$5:$X$404,0),0)</f>
        <v>36200.418933897337</v>
      </c>
      <c r="AJ106" s="12">
        <f>MIN(INDEX(其他调用!$AK$5:$AK$364,MATCH($K106,其他调用!$AG$5:$AG$364,0),1)/INDEX(其他调用!AI$5:AI$364,MATCH($K106,其他调用!$AG$5:$AG$364,0),0),1)*INDEX(其他调用!Z$5:Z$404,MATCH($K106,其他调用!$X$5:$X$404,0),0)</f>
        <v>37345.647833654773</v>
      </c>
      <c r="AK106" s="12">
        <f>MIN(INDEX(其他调用!$AK$5:$AK$364,MATCH($K106,其他调用!$AG$5:$AG$364,0),1)/INDEX(其他调用!AJ$5:AJ$364,MATCH($K106,其他调用!$AG$5:$AG$364,0),0),1)*INDEX(其他调用!AA$5:AA$404,MATCH($K106,其他调用!$X$5:$X$404,0),0)</f>
        <v>38852.643134616948</v>
      </c>
      <c r="AL106" s="12">
        <f>MIN(INDEX(其他调用!$AK$5:$AK$364,MATCH($K106,其他调用!$AG$5:$AG$364,0),1)/INDEX(其他调用!AK$5:AK$364,MATCH($K106,其他调用!$AG$5:$AG$364,0),0),1)*INDEX(其他调用!AB$5:AB$404,MATCH($K106,其他调用!$X$5:$X$404,0),0)</f>
        <v>41032.732914159373</v>
      </c>
      <c r="AM106" s="12">
        <f>MIN(INDEX(其他调用!$AK$5:$AK$364,MATCH($K106,其他调用!$AG$5:$AG$364,0),1)/INDEX(其他调用!AL$5:AL$364,MATCH($K106,其他调用!$AG$5:$AG$364,0),0),1)*INDEX(其他调用!AC$5:AC$404,MATCH($K106,其他调用!$X$5:$X$404,0),0)</f>
        <v>12622.229613059853</v>
      </c>
      <c r="AN106" s="12">
        <f>求节点(节奏总纲!D$4:D$163,标准城池设计!AF$4:AF$163,$K106)*求节点(节奏总纲!D$4:D$163,攻城基础信息!$AG$5:$AG$164,$K106)</f>
        <v>610996.49289710785</v>
      </c>
      <c r="AO106" s="12">
        <f>INDEX(其他调用!$AA$5:$AA$404,MATCH($K106,其他调用!$X$5:$X$404,0))*MIN(INDEX(其他调用!AL$5:AL$364,MATCH($K106,其他调用!$AG$5:$AG$364,0),1)/INDEX(其他调用!$AJ$5:$AJ$364,MATCH($K106,其他调用!$AG$5:$AG$364,0),0),5)*求节点(节奏总纲!D$4:D$163,攻城基础信息!$AG$5:$AG$164,$K106)</f>
        <v>593909.89953067154</v>
      </c>
      <c r="AP106" s="12">
        <f>MIN(INDEX(其他调用!$AL$5:$AL$364,MATCH($K106,其他调用!$AG$5:$AG$364,0),1)/INDEX(其他调用!AH$5:AH$364,MATCH($K106,其他调用!$AG$5:$AG$364,0),0),1)*INDEX(其他调用!Y$5:Y$404,MATCH($K106,其他调用!$X$5:$X$404,0),0)</f>
        <v>36200.418933897337</v>
      </c>
      <c r="AQ106" s="12">
        <f>MIN(INDEX(其他调用!$AL$5:$AL$364,MATCH($K106,其他调用!$AG$5:$AG$364,0),1)/INDEX(其他调用!AI$5:AI$364,MATCH($K106,其他调用!$AG$5:$AG$364,0),0),1)*INDEX(其他调用!Z$5:Z$404,MATCH($K106,其他调用!$X$5:$X$404,0),0)</f>
        <v>37345.647833654773</v>
      </c>
      <c r="AR106" s="12">
        <f>MIN(INDEX(其他调用!$AL$5:$AL$364,MATCH($K106,其他调用!$AG$5:$AG$364,0),1)/INDEX(其他调用!AJ$5:AJ$364,MATCH($K106,其他调用!$AG$5:$AG$364,0),0),1)*INDEX(其他调用!AA$5:AA$404,MATCH($K106,其他调用!$X$5:$X$404,0),0)</f>
        <v>38852.643134616948</v>
      </c>
      <c r="AS106" s="12">
        <f>MIN(INDEX(其他调用!$AL$5:$AL$364,MATCH($K106,其他调用!$AG$5:$AG$364,0),1)/INDEX(其他调用!AK$5:AK$364,MATCH($K106,其他调用!$AG$5:$AG$364,0),0),1)*INDEX(其他调用!AB$5:AB$404,MATCH($K106,其他调用!$X$5:$X$404,0),0)</f>
        <v>41032.732914159373</v>
      </c>
      <c r="AT106" s="12">
        <f>MIN(INDEX(其他调用!$AL$5:$AL$364,MATCH($K106,其他调用!$AG$5:$AG$364,0),1)/INDEX(其他调用!AL$5:AL$364,MATCH($K106,其他调用!$AG$5:$AG$364,0),0),1)*INDEX(其他调用!AC$5:AC$404,MATCH($K106,其他调用!$X$5:$X$404,0),0)</f>
        <v>44886.572594393256</v>
      </c>
      <c r="AV106" s="14">
        <f>IF(OR(AV$5="大R",AV$5="超R"),MAX(INDEX(其他调用!$H$5:$L$404,MATCH($K106,其他调用!$B$5:$B$404,0),MATCH(AV$5,其他调用!$H$4:$L$4,0))*120*0.85,2),INDEX(其他调用!$H$5:$L$404,MATCH($K106,其他调用!$B$5:$B$404,0),MATCH(AV$5,其他调用!$H$4:$L$4,0))*120*0.85)</f>
        <v>48.921801254999991</v>
      </c>
      <c r="AW106" s="14">
        <f>IF(OR(AW$5="大R",AW$5="超R"),MAX(INDEX(其他调用!$H$5:$L$404,MATCH($K106,其他调用!$B$5:$B$404,0),MATCH(AW$5,其他调用!$H$4:$L$4,0))*120*0.85,2),INDEX(其他调用!$H$5:$L$404,MATCH($K106,其他调用!$B$5:$B$404,0),MATCH(AW$5,其他调用!$H$4:$L$4,0))*120*0.85)</f>
        <v>48.237344010638395</v>
      </c>
      <c r="AX106" s="14">
        <f>IF(OR(AX$5="大R",AX$5="超R"),MAX(INDEX(其他调用!$H$5:$L$404,MATCH($K106,其他调用!$B$5:$B$404,0),MATCH(AX$5,其他调用!$H$4:$L$4,0))*120*0.85,2),INDEX(其他调用!$H$5:$L$404,MATCH($K106,其他调用!$B$5:$B$404,0),MATCH(AX$5,其他调用!$H$4:$L$4,0))*120*0.85)</f>
        <v>3.9376284143615998</v>
      </c>
      <c r="AY106" s="14">
        <f>IF(OR(AY$5="大R",AY$5="超R"),MAX(INDEX(其他调用!$H$5:$L$404,MATCH($K106,其他调用!$B$5:$B$404,0),MATCH(AY$5,其他调用!$H$4:$L$4,0))*120*0.85,2),INDEX(其他调用!$H$5:$L$404,MATCH($K106,其他调用!$B$5:$B$404,0),MATCH(AY$5,其他调用!$H$4:$L$4,0))*120*0.85)</f>
        <v>2</v>
      </c>
      <c r="AZ106" s="14">
        <f>IF(OR(AZ$5="大R",AZ$5="超R"),MAX(INDEX(其他调用!$H$5:$L$404,MATCH($K106,其他调用!$B$5:$B$404,0),MATCH(AZ$5,其他调用!$H$4:$L$4,0))*120*0.85,2),INDEX(其他调用!$H$5:$L$404,MATCH($K106,其他调用!$B$5:$B$404,0),MATCH(AZ$5,其他调用!$H$4:$L$4,0))*120*0.85)</f>
        <v>2</v>
      </c>
      <c r="BA106" s="14">
        <f>INDEX(其他调用!$H$5:$L$404,MATCH($K106,其他调用!$B$5:$B$404,0),MATCH(BA$5,其他调用!$H$4:$L$4,0))*INDEX(其他调用!$M$5:$M$404,MATCH($K106,其他调用!$B$5:$B$404,0))*0.6</f>
        <v>28.777530149999997</v>
      </c>
      <c r="BB106" s="14">
        <f>INDEX(其他调用!$H$5:$L$404,MATCH($K106,其他调用!$B$5:$B$404,0),MATCH(BB$5,其他调用!$H$4:$L$4,0))*INDEX(其他调用!$M$5:$M$404,MATCH($K106,其他调用!$B$5:$B$404,0))*0.6</f>
        <v>28.374908241551999</v>
      </c>
      <c r="BC106" s="14">
        <f>INDEX(其他调用!$H$5:$L$404,MATCH($K106,其他调用!$B$5:$B$404,0),MATCH(BC$5,其他调用!$H$4:$L$4,0))*INDEX(其他调用!$M$5:$M$404,MATCH($K106,其他调用!$B$5:$B$404,0))*0.6</f>
        <v>2.3162520084480001</v>
      </c>
      <c r="BD106" s="14">
        <f>INDEX(其他调用!$H$5:$L$404,MATCH($K106,其他调用!$B$5:$B$404,0),MATCH(BD$5,其他调用!$H$4:$L$4,0))*INDEX(其他调用!$M$5:$M$404,MATCH($K106,其他调用!$B$5:$B$404,0))*0.6</f>
        <v>0.4120776000000001</v>
      </c>
      <c r="BE106" s="14">
        <f>INDEX(其他调用!$H$5:$L$404,MATCH($K106,其他调用!$B$5:$B$404,0),MATCH(BE$5,其他调用!$H$4:$L$4,0))*INDEX(其他调用!$M$5:$M$404,MATCH($K106,其他调用!$B$5:$B$404,0))*0.6</f>
        <v>0.11923199999999998</v>
      </c>
      <c r="BF106" s="14">
        <f>IF(OR(BF$5="大R",BF$5="超R"),0,INDEX(其他调用!$H$5:$L$404,MATCH($K106,其他调用!$B$5:$B$404,0),MATCH(BF$5,其他调用!$H$4:$L$4,0))*50*0.4)</f>
        <v>9.5925100500000013</v>
      </c>
      <c r="BG106" s="14">
        <f>IF(OR(BG$5="大R",BG$5="超R"),0,INDEX(其他调用!$H$5:$L$404,MATCH($K106,其他调用!$B$5:$B$404,0),MATCH(BG$5,其他调用!$H$4:$L$4,0))*50*0.4)</f>
        <v>9.4583027471839998</v>
      </c>
      <c r="BH106" s="14">
        <f>IF(OR(BH$5="大R",BH$5="超R"),0,INDEX(其他调用!$H$5:$L$404,MATCH($K106,其他调用!$B$5:$B$404,0),MATCH(BH$5,其他调用!$H$4:$L$4,0))*50*0.4)</f>
        <v>0.77208400281600009</v>
      </c>
      <c r="BI106" s="14">
        <f>IF(OR(BI$5="大R",BI$5="超R"),0,INDEX(其他调用!$H$5:$L$404,MATCH($K106,其他调用!$B$5:$B$404,0),MATCH(BI$5,其他调用!$H$4:$L$4,0))*50*0.4)</f>
        <v>0</v>
      </c>
      <c r="BJ106" s="14">
        <f>IF(OR(BJ$5="大R",BJ$5="超R"),0,INDEX(其他调用!$H$5:$L$404,MATCH($K106,其他调用!$B$5:$B$404,0),MATCH(BJ$5,其他调用!$H$4:$L$4,0))*50*0.4)</f>
        <v>0</v>
      </c>
      <c r="BL106" s="14">
        <f t="shared" si="208"/>
        <v>101</v>
      </c>
      <c r="BM106" s="14">
        <f t="shared" si="115"/>
        <v>96</v>
      </c>
      <c r="BN106" s="14">
        <f>('疲劳值&amp;地图信息'!$S$10*'疲劳值&amp;地图信息'!$R$10+'疲劳值&amp;地图信息'!$S$11*'疲劳值&amp;地图信息'!$R$11+'疲劳值&amp;地图信息'!$S$12*'疲劳值&amp;地图信息'!$R$12+(BM106-'疲劳值&amp;地图信息'!$S$12-'疲劳值&amp;地图信息'!$S$11-'疲劳值&amp;地图信息'!$S$10)*'疲劳值&amp;地图信息'!$R$13)/BM106</f>
        <v>51.371477246638619</v>
      </c>
      <c r="BO106" s="14">
        <f>INDEX(其他调用!$M$5:$M$404,MATCH(BL106,其他调用!$B$5:$B$404,0))*0.6</f>
        <v>60</v>
      </c>
      <c r="BP106" s="14">
        <f>IF(BO106&gt;SUM('疲劳值&amp;地图信息'!$S$10:$S$12),('疲劳值&amp;地图信息'!$S$10*'疲劳值&amp;地图信息'!$R$10+'疲劳值&amp;地图信息'!$S$11*'疲劳值&amp;地图信息'!$R$11+'疲劳值&amp;地图信息'!$S$12*'疲劳值&amp;地图信息'!$R$12+(BO106-'疲劳值&amp;地图信息'!$S$12-'疲劳值&amp;地图信息'!$S$11-'疲劳值&amp;地图信息'!$S$10)*'疲劳值&amp;地图信息'!$R$13)/BO106,('疲劳值&amp;地图信息'!$S$10*'疲劳值&amp;地图信息'!$R$10+'疲劳值&amp;地图信息'!$S$11*'疲劳值&amp;地图信息'!$R$11+'疲劳值&amp;地图信息'!$S$12*'疲劳值&amp;地图信息'!$R$12+(BO106-'疲劳值&amp;地图信息'!$S$12-'疲劳值&amp;地图信息'!$S$11-'疲劳值&amp;地图信息'!$S$10)*'疲劳值&amp;地图信息'!$R$13)/BO106)</f>
        <v>44.158136341605953</v>
      </c>
      <c r="BQ106" s="14">
        <f t="shared" si="209"/>
        <v>20</v>
      </c>
      <c r="BR106" s="14">
        <f>('疲劳值&amp;地图信息'!$S$10*'疲劳值&amp;地图信息'!$R$10+($BQ106-'疲劳值&amp;地图信息'!$S$10)*'疲劳值&amp;地图信息'!$R$11)/$BQ106</f>
        <v>32.067203015074995</v>
      </c>
      <c r="CF106" s="14">
        <v>101</v>
      </c>
      <c r="CG106" s="51">
        <f t="shared" si="116"/>
        <v>9739</v>
      </c>
      <c r="CH106" s="51">
        <f t="shared" si="117"/>
        <v>860</v>
      </c>
      <c r="CI106" s="51">
        <f>INT(SUMPRODUCT($N106:$R106,$BA106:$BE106)/SUM($BA106:$BE106)/10000*$BX$7*$BZ$34/'疲劳值&amp;地图信息'!$R$10*$BY$53)</f>
        <v>2948</v>
      </c>
      <c r="CJ106" s="50">
        <f t="shared" si="118"/>
        <v>0.71890455451391455</v>
      </c>
      <c r="CK106" s="50">
        <f t="shared" si="119"/>
        <v>6.3482689894441571E-2</v>
      </c>
      <c r="CL106" s="50">
        <f t="shared" si="120"/>
        <v>0.21761275559164392</v>
      </c>
      <c r="CM106" s="14">
        <f t="shared" si="121"/>
        <v>10357</v>
      </c>
      <c r="CN106" s="14">
        <f t="shared" si="122"/>
        <v>1366</v>
      </c>
      <c r="CO106" s="14">
        <f>INT(SUMPRODUCT($U106:$Y106,$BA106:$BE106)/SUM($BA106:$BE106)/10000*$BX$7*$BZ$34/'疲劳值&amp;地图信息'!$R$10*$BY$54)</f>
        <v>5470</v>
      </c>
      <c r="CP106" s="50">
        <f t="shared" si="123"/>
        <v>0.60239632408538357</v>
      </c>
      <c r="CQ106" s="50">
        <f t="shared" si="124"/>
        <v>7.9450939335776183E-2</v>
      </c>
      <c r="CR106" s="50">
        <f t="shared" si="125"/>
        <v>0.31815273657884025</v>
      </c>
      <c r="CS106" s="14">
        <f t="shared" si="126"/>
        <v>11129</v>
      </c>
      <c r="CT106" s="14">
        <f t="shared" si="127"/>
        <v>2420</v>
      </c>
      <c r="CU106" s="14">
        <f>INT(SUMPRODUCT($AB106:$AF106,$BA106:$BE106)/SUM($BA106:$BE106)/10000*$BX$7*$BZ$34/'疲劳值&amp;地图信息'!$R$10*$BY$55)</f>
        <v>7436</v>
      </c>
      <c r="CV106" s="50">
        <f t="shared" si="128"/>
        <v>0.53033118894448417</v>
      </c>
      <c r="CW106" s="50">
        <f t="shared" si="129"/>
        <v>0.11532046700023826</v>
      </c>
      <c r="CX106" s="50">
        <f t="shared" si="130"/>
        <v>0.3543483440552776</v>
      </c>
      <c r="CY106" s="14">
        <f t="shared" si="131"/>
        <v>12619</v>
      </c>
      <c r="CZ106" s="14">
        <f t="shared" si="132"/>
        <v>6075</v>
      </c>
      <c r="DA106" s="14">
        <f>INT(SUMPRODUCT($AI106:$AM106,$BA106:$BE106)/SUM($BA106:$BE106)/10000*$BX$7*$BZ$34/'疲劳值&amp;地图信息'!$R$10*$BY$56)</f>
        <v>11211</v>
      </c>
      <c r="DB106" s="50">
        <f t="shared" si="133"/>
        <v>0.42196957030596888</v>
      </c>
      <c r="DC106" s="50">
        <f t="shared" si="134"/>
        <v>0.20314328707573984</v>
      </c>
      <c r="DD106" s="50">
        <f t="shared" si="135"/>
        <v>0.37488714261829126</v>
      </c>
      <c r="DE106" s="14">
        <f t="shared" si="136"/>
        <v>12452</v>
      </c>
      <c r="DF106" s="14">
        <f t="shared" si="137"/>
        <v>12104</v>
      </c>
      <c r="DG106" s="14">
        <f>INT(SUMPRODUCT($AP106:$AT106,$BA106:$BE106)/SUM($BA106:$BE106)/10000*$BX$7*$BZ$34/'疲劳值&amp;地图信息'!$R$10*$BY$57)</f>
        <v>14974</v>
      </c>
      <c r="DH106" s="50">
        <f t="shared" si="138"/>
        <v>0.31500126486213004</v>
      </c>
      <c r="DI106" s="50">
        <f t="shared" si="139"/>
        <v>0.30619782443713633</v>
      </c>
      <c r="DJ106" s="50">
        <f t="shared" si="140"/>
        <v>0.37880091070073363</v>
      </c>
      <c r="DL106" s="14">
        <f t="shared" si="211"/>
        <v>13547</v>
      </c>
      <c r="DM106" s="14">
        <f t="shared" si="212"/>
        <v>17193</v>
      </c>
      <c r="DN106" s="14">
        <f t="shared" si="213"/>
        <v>20985</v>
      </c>
      <c r="DO106" s="14">
        <f t="shared" si="214"/>
        <v>29905</v>
      </c>
      <c r="DP106" s="14">
        <f t="shared" si="215"/>
        <v>39530</v>
      </c>
      <c r="DQ106" s="14">
        <f t="shared" si="216"/>
        <v>943341</v>
      </c>
      <c r="DT106" s="14">
        <f t="shared" si="210"/>
        <v>235575</v>
      </c>
      <c r="DU106" s="50">
        <f t="shared" si="112"/>
        <v>0.19982339708681535</v>
      </c>
      <c r="DW106" s="14">
        <f t="shared" si="141"/>
        <v>1178916</v>
      </c>
      <c r="EB106" s="14">
        <v>101</v>
      </c>
      <c r="EC106" s="51">
        <f t="shared" si="142"/>
        <v>16232</v>
      </c>
      <c r="ED106" s="51">
        <f t="shared" si="143"/>
        <v>1433</v>
      </c>
      <c r="EE106" s="51">
        <f>INT(SUMPRODUCT($N106:$R106,$BF106:$BJ106)/SUM($BF106:$BJ106)/10000*$BX$7*$BZ$46/'疲劳值&amp;地图信息'!$R$10*$BY$53)</f>
        <v>396</v>
      </c>
      <c r="EF106" s="50">
        <f t="shared" si="144"/>
        <v>0.89873207463595595</v>
      </c>
      <c r="EG106" s="50">
        <f t="shared" si="145"/>
        <v>7.9342229112452242E-2</v>
      </c>
      <c r="EH106" s="50">
        <f t="shared" si="146"/>
        <v>2.1925696251591829E-2</v>
      </c>
      <c r="EI106" s="51">
        <f t="shared" si="147"/>
        <v>17262</v>
      </c>
      <c r="EJ106" s="51">
        <f t="shared" si="148"/>
        <v>2276</v>
      </c>
      <c r="EK106" s="14">
        <f>INT(SUMPRODUCT($U106:$Y106,$BF106:$BJ106)/SUM($BF106:$BJ106)/10000*$BX$7*$BZ$46/'疲劳值&amp;地图信息'!$R$10*$BY$54)</f>
        <v>734</v>
      </c>
      <c r="EL106" s="50">
        <f t="shared" si="149"/>
        <v>0.85151933701657456</v>
      </c>
      <c r="EM106" s="50">
        <f t="shared" si="150"/>
        <v>0.11227308602999211</v>
      </c>
      <c r="EN106" s="50">
        <f t="shared" si="151"/>
        <v>3.620757695343331E-2</v>
      </c>
      <c r="EO106" s="51">
        <f t="shared" si="152"/>
        <v>18549</v>
      </c>
      <c r="EP106" s="51">
        <f t="shared" si="153"/>
        <v>4034</v>
      </c>
      <c r="EQ106" s="14">
        <f>INT(SUMPRODUCT($AB106:$AF106,$BF106:$BJ106)/SUM($BF106:$BJ106)/10000*$BX$7*$BZ$46/'疲劳值&amp;地图信息'!$R$10*$BY$55)</f>
        <v>997</v>
      </c>
      <c r="ER106" s="50">
        <f t="shared" si="154"/>
        <v>0.7866412213740458</v>
      </c>
      <c r="ES106" s="50">
        <f t="shared" si="155"/>
        <v>0.17107718405428329</v>
      </c>
      <c r="ET106" s="50">
        <f t="shared" si="156"/>
        <v>4.2281594571670911E-2</v>
      </c>
      <c r="EU106" s="51">
        <f t="shared" si="157"/>
        <v>21033</v>
      </c>
      <c r="EV106" s="51">
        <f t="shared" si="158"/>
        <v>10126</v>
      </c>
      <c r="EW106" s="14">
        <f>INT(SUMPRODUCT($AI106:$AM106,$BF106:$BJ106)/SUM($BF106:$BJ106)/10000*$BX$7*$BZ$46/'疲劳值&amp;地图信息'!$R$10*$BY$56)</f>
        <v>1495</v>
      </c>
      <c r="EX106" s="50">
        <f t="shared" si="159"/>
        <v>0.64411710663318433</v>
      </c>
      <c r="EY106" s="50">
        <f t="shared" si="160"/>
        <v>0.31009983462975438</v>
      </c>
      <c r="EZ106" s="50">
        <f t="shared" si="161"/>
        <v>4.5783058737061309E-2</v>
      </c>
      <c r="FA106" s="51">
        <f t="shared" si="162"/>
        <v>20754</v>
      </c>
      <c r="FB106" s="51">
        <f t="shared" si="163"/>
        <v>20174</v>
      </c>
      <c r="FC106" s="14">
        <f>INT(SUMPRODUCT($AP106:$AT106,$BF106:$BJ106)/SUM($BF106:$BJ106)/10000*$BX$7*$BZ$46/'疲劳值&amp;地图信息'!$R$10*$BY$57)</f>
        <v>1994</v>
      </c>
      <c r="FD106" s="50">
        <f t="shared" si="164"/>
        <v>0.48352826056567727</v>
      </c>
      <c r="FE106" s="50">
        <f t="shared" si="165"/>
        <v>0.47001537672988214</v>
      </c>
      <c r="FF106" s="50">
        <f t="shared" si="166"/>
        <v>4.6456362704440611E-2</v>
      </c>
      <c r="FH106" s="14">
        <f t="shared" si="167"/>
        <v>18061</v>
      </c>
      <c r="FI106" s="14">
        <f t="shared" si="168"/>
        <v>20272</v>
      </c>
      <c r="FJ106" s="14">
        <f t="shared" si="169"/>
        <v>23580</v>
      </c>
      <c r="FK106" s="14">
        <f t="shared" si="170"/>
        <v>32654</v>
      </c>
      <c r="FL106" s="14">
        <f t="shared" si="171"/>
        <v>42922</v>
      </c>
      <c r="FM106" s="14">
        <f t="shared" si="172"/>
        <v>2105445</v>
      </c>
      <c r="FP106" s="14">
        <f t="shared" si="173"/>
        <v>334150</v>
      </c>
      <c r="FQ106" s="50">
        <f t="shared" si="113"/>
        <v>0.13696945599576979</v>
      </c>
      <c r="FS106" s="14">
        <f t="shared" si="174"/>
        <v>2439595</v>
      </c>
      <c r="FX106" s="14">
        <v>101</v>
      </c>
      <c r="FY106" s="51">
        <f t="shared" si="175"/>
        <v>22725</v>
      </c>
      <c r="FZ106" s="51">
        <f t="shared" si="176"/>
        <v>1433</v>
      </c>
      <c r="GA106" s="51">
        <f>INT(SUMPRODUCT($N106:$R106,$BF106:$BJ106)/SUM($BF106:$BJ106)/10000*$BX$7*$BZ$46/'疲劳值&amp;地图信息'!$R$10*$BY$53)</f>
        <v>396</v>
      </c>
      <c r="GB106" s="50">
        <f t="shared" si="177"/>
        <v>0.92551111835138877</v>
      </c>
      <c r="GC106" s="50">
        <f t="shared" si="178"/>
        <v>5.8361163150606826E-2</v>
      </c>
      <c r="GD106" s="50">
        <f t="shared" si="179"/>
        <v>1.6127718498004397E-2</v>
      </c>
      <c r="GE106" s="51">
        <f t="shared" si="180"/>
        <v>24167</v>
      </c>
      <c r="GF106" s="51">
        <f t="shared" si="181"/>
        <v>2276</v>
      </c>
      <c r="GG106" s="14">
        <f>INT(SUMPRODUCT($U106:$Y106,$BF106:$BJ106)/SUM($BF106:$BJ106)/10000*$BX$7*$BZ$46/'疲劳值&amp;地图信息'!$R$10*$BY$54)</f>
        <v>734</v>
      </c>
      <c r="GH106" s="50">
        <f t="shared" si="182"/>
        <v>0.88924458181550581</v>
      </c>
      <c r="GI106" s="50">
        <f t="shared" si="183"/>
        <v>8.3747286308275382E-2</v>
      </c>
      <c r="GJ106" s="50">
        <f t="shared" si="184"/>
        <v>2.7008131876218863E-2</v>
      </c>
      <c r="GK106" s="51">
        <f t="shared" si="185"/>
        <v>25969</v>
      </c>
      <c r="GL106" s="51">
        <f t="shared" si="186"/>
        <v>4034</v>
      </c>
      <c r="GM106" s="14">
        <f>INT(SUMPRODUCT($AB106:$AF106,$BF106:$BJ106)/SUM($BF106:$BJ106)/10000*$BX$7*$BZ$46/'疲劳值&amp;地图信息'!$R$10*$BY$55)</f>
        <v>997</v>
      </c>
      <c r="GN106" s="50">
        <f t="shared" si="187"/>
        <v>0.83770967741935487</v>
      </c>
      <c r="GO106" s="50">
        <f t="shared" si="188"/>
        <v>0.13012903225806452</v>
      </c>
      <c r="GP106" s="50">
        <f t="shared" si="189"/>
        <v>3.2161290322580645E-2</v>
      </c>
      <c r="GQ106" s="51">
        <f t="shared" si="190"/>
        <v>29446</v>
      </c>
      <c r="GR106" s="51">
        <f t="shared" si="191"/>
        <v>10126</v>
      </c>
      <c r="GS106" s="14">
        <f>INT(SUMPRODUCT($AI106:$AM106,$BF106:$BJ106)/SUM($BF106:$BJ106)/10000*$BX$7*$BZ$46/'疲劳值&amp;地图信息'!$R$10*$BY$56)</f>
        <v>1495</v>
      </c>
      <c r="GT106" s="50">
        <f t="shared" si="192"/>
        <v>0.71702340078408455</v>
      </c>
      <c r="GU106" s="50">
        <f t="shared" si="193"/>
        <v>0.24657267392310128</v>
      </c>
      <c r="GV106" s="50">
        <f t="shared" si="194"/>
        <v>3.6403925292814179E-2</v>
      </c>
      <c r="GW106" s="51">
        <f t="shared" si="195"/>
        <v>29056</v>
      </c>
      <c r="GX106" s="51">
        <f t="shared" si="196"/>
        <v>20174</v>
      </c>
      <c r="GY106" s="14">
        <f>INT(SUMPRODUCT($AP106:$AT106,$BF106:$BJ106)/SUM($BF106:$BJ106)/10000*$BX$7*$BZ$46/'疲劳值&amp;地图信息'!$R$10*$BY$57)</f>
        <v>1994</v>
      </c>
      <c r="GZ106" s="50">
        <f t="shared" si="197"/>
        <v>0.56723410901140092</v>
      </c>
      <c r="HA106" s="50">
        <f t="shared" si="198"/>
        <v>0.39383882555052319</v>
      </c>
      <c r="HB106" s="50">
        <f t="shared" si="199"/>
        <v>3.8927065438075899E-2</v>
      </c>
      <c r="HD106" s="14">
        <f t="shared" si="200"/>
        <v>24554</v>
      </c>
      <c r="HE106" s="14">
        <f t="shared" si="201"/>
        <v>27177</v>
      </c>
      <c r="HF106" s="14">
        <f t="shared" si="202"/>
        <v>31000</v>
      </c>
      <c r="HG106" s="14">
        <f t="shared" si="203"/>
        <v>41067</v>
      </c>
      <c r="HH106" s="14">
        <f t="shared" si="204"/>
        <v>51224</v>
      </c>
      <c r="HI106" s="14">
        <f t="shared" si="205"/>
        <v>2818820</v>
      </c>
      <c r="HL106" s="14">
        <f t="shared" si="206"/>
        <v>430050</v>
      </c>
      <c r="HM106" s="50">
        <f t="shared" si="114"/>
        <v>0.13236910064114599</v>
      </c>
      <c r="HO106" s="14">
        <f t="shared" si="207"/>
        <v>3248870</v>
      </c>
    </row>
    <row r="107" spans="11:223" x14ac:dyDescent="0.2">
      <c r="K107" s="14">
        <v>102</v>
      </c>
      <c r="L107" s="12">
        <f>求节点(节奏总纲!D$4:D$163,标准城池设计!AB$4:AB$163,$K107)*求节点(节奏总纲!D$4:D$163,攻城基础信息!$AC$5:$AC$164,$K107)</f>
        <v>482814.90354041138</v>
      </c>
      <c r="M107" s="12">
        <f>INDEX(其他调用!$AA$5:$AA$404,MATCH(K107,其他调用!$X$5:$X$404,0))*MIN(INDEX(其他调用!$AH$5:$AH$364,MATCH('征服点（新）'!K107,其他调用!$AG$5:$AG$364,0),1)/INDEX(其他调用!$AJ$5:$AJ$364,MATCH(K107,其他调用!$AG$5:$AG$364,0),0),5)*求节点(节奏总纲!D$4:D$163,攻城基础信息!$AC$5:$AC$164,$K107)</f>
        <v>42337.0008375978</v>
      </c>
      <c r="N107" s="12">
        <f>MIN(INDEX(其他调用!$AH$5:$AH$364,MATCH($K107,其他调用!$AG$5:$AG$364,0),1)/INDEX(其他调用!AH$5:AH$364,MATCH($K107,其他调用!$AG$5:$AG$364,0),0),1)*INDEX(其他调用!Y$5:Y$404,MATCH($K107,其他调用!$X$5:$X$404,0),0)</f>
        <v>36258.150326932417</v>
      </c>
      <c r="O107" s="12">
        <f>MIN(INDEX(其他调用!$AH$5:$AH$364,MATCH($K107,其他调用!$AG$5:$AG$364,0),1)/INDEX(其他调用!AI$5:AI$364,MATCH($K107,其他调用!$AG$5:$AG$364,0),0),1)*INDEX(其他调用!Z$5:Z$404,MATCH($K107,其他调用!$X$5:$X$404,0),0)</f>
        <v>23492.477246541253</v>
      </c>
      <c r="P107" s="12">
        <f>MIN(INDEX(其他调用!$AH$5:$AH$364,MATCH($K107,其他调用!$AG$5:$AG$364,0),1)/INDEX(其他调用!AJ$5:AJ$364,MATCH($K107,其他调用!$AG$5:$AG$364,0),0),1)*INDEX(其他调用!AA$5:AA$404,MATCH($K107,其他调用!$X$5:$X$404,0),0)</f>
        <v>13826.445074922622</v>
      </c>
      <c r="Q107" s="12">
        <f>MIN(INDEX(其他调用!$AH$5:$AH$364,MATCH($K107,其他调用!$AG$5:$AG$364,0),1)/INDEX(其他调用!AK$5:AK$364,MATCH($K107,其他调用!$AG$5:$AG$364,0),0),1)*INDEX(其他调用!AB$5:AB$404,MATCH($K107,其他调用!$X$5:$X$404,0),0)</f>
        <v>5803.5908120728373</v>
      </c>
      <c r="R107" s="12">
        <f>MIN(INDEX(其他调用!$AH$5:$AH$364,MATCH($K107,其他调用!$AG$5:$AG$364,0),1)/INDEX(其他调用!AL$5:AL$364,MATCH($K107,其他调用!$AG$5:$AG$364,0),0),1)*INDEX(其他调用!AC$5:AC$404,MATCH($K107,其他调用!$X$5:$X$404,0),0)</f>
        <v>1788.1284945182254</v>
      </c>
      <c r="S107" s="12">
        <f>求节点(节奏总纲!D$4:D$163,标准城池设计!AC$4:AC$163,$K107)*求节点(节奏总纲!D$4:D$163,攻城基础信息!$AD$5:$AD$164,$K107)</f>
        <v>513654.92803573789</v>
      </c>
      <c r="T107" s="12">
        <f>INDEX(其他调用!$AA$5:$AA$404,MATCH($K107,其他调用!$X$5:$X$404,0))*MIN(INDEX(其他调用!AI$5:AI$364,MATCH($K107,其他调用!$AG$5:$AG$364,0),1)/INDEX(其他调用!$AJ$5:$AJ$364,MATCH($K107,其他调用!$AG$5:$AG$364,0),0),5)*求节点(节奏总纲!D$4:D$163,攻城基础信息!$AD$5:$AD$164,$K107)</f>
        <v>67407.917422983068</v>
      </c>
      <c r="U107" s="12">
        <f>MIN(INDEX(其他调用!$AI$5:$AI$364,MATCH($K107,其他调用!$AG$5:$AG$364,0),1)/INDEX(其他调用!AH$5:AH$364,MATCH($K107,其他调用!$AG$5:$AG$364,0),0),1)*INDEX(其他调用!Y$5:Y$404,MATCH($K107,其他调用!$X$5:$X$404,0),0)</f>
        <v>36258.150326932417</v>
      </c>
      <c r="V107" s="12">
        <f>MIN(INDEX(其他调用!$AI$5:$AI$364,MATCH($K107,其他调用!$AG$5:$AG$364,0),1)/INDEX(其他调用!AI$5:AI$364,MATCH($K107,其他调用!$AG$5:$AG$364,0),0),1)*INDEX(其他调用!Z$5:Z$404,MATCH($K107,其他调用!$X$5:$X$404,0),0)</f>
        <v>37404.136688157843</v>
      </c>
      <c r="W107" s="12">
        <f>MIN(INDEX(其他调用!$AI$5:$AI$364,MATCH($K107,其他调用!$AG$5:$AG$364,0),1)/INDEX(其他调用!AJ$5:AJ$364,MATCH($K107,其他调用!$AG$5:$AG$364,0),0),1)*INDEX(其他调用!AA$5:AA$404,MATCH($K107,其他调用!$X$5:$X$404,0),0)</f>
        <v>22014.121204261413</v>
      </c>
      <c r="X107" s="12">
        <f>MIN(INDEX(其他调用!$AI$5:$AI$364,MATCH($K107,其他调用!$AG$5:$AG$364,0),1)/INDEX(其他调用!AK$5:AK$364,MATCH($K107,其他调用!$AG$5:$AG$364,0),0),1)*INDEX(其他调用!AB$5:AB$404,MATCH($K107,其他调用!$X$5:$X$404,0),0)</f>
        <v>9240.332628133945</v>
      </c>
      <c r="Y107" s="12">
        <f>MIN(INDEX(其他调用!$AI$5:$AI$364,MATCH($K107,其他调用!$AG$5:$AG$364,0),1)/INDEX(其他调用!AL$5:AL$364,MATCH($K107,其他调用!$AG$5:$AG$364,0),0),1)*INDEX(其他调用!AC$5:AC$404,MATCH($K107,其他调用!$X$5:$X$404,0),0)</f>
        <v>2847.0136172972866</v>
      </c>
      <c r="Z107" s="12">
        <f>求节点(节奏总纲!D$4:D$163,标准城池设计!AD$4:AD$163,$K107)*求节点(节奏总纲!D$4:D$163,攻城基础信息!$AE$5:$AE$164,$K107)</f>
        <v>552007.68208800163</v>
      </c>
      <c r="AA107" s="12">
        <f>INDEX(其他调用!$AA$5:$AA$404,MATCH($K107,其他调用!$X$5:$X$404,0))*MIN(INDEX(其他调用!AJ$5:AJ$364,MATCH($K107,其他调用!$AG$5:$AG$364,0),1)/INDEX(其他调用!$AJ$5:$AJ$364,MATCH($K107,其他调用!$AG$5:$AG$364,0),0),5)*求节点(节奏总纲!D$4:D$163,攻城基础信息!$AE$5:$AE$164,$K107)</f>
        <v>119145.72326873377</v>
      </c>
      <c r="AB107" s="12">
        <f>MIN(INDEX(其他调用!$AJ$5:$AJ$364,MATCH($K107,其他调用!$AG$5:$AG$364,0),1)/INDEX(其他调用!AH$5:AH$364,MATCH($K107,其他调用!$AG$5:$AG$364,0),0),1)*INDEX(其他调用!Y$5:Y$404,MATCH($K107,其他调用!$X$5:$X$404,0),0)</f>
        <v>36258.150326932417</v>
      </c>
      <c r="AC107" s="12">
        <f>MIN(INDEX(其他调用!$AJ$5:$AJ$364,MATCH($K107,其他调用!$AG$5:$AG$364,0),1)/INDEX(其他调用!AI$5:AI$364,MATCH($K107,其他调用!$AG$5:$AG$364,0),0),1)*INDEX(其他调用!Z$5:Z$404,MATCH($K107,其他调用!$X$5:$X$404,0),0)</f>
        <v>37404.136688157843</v>
      </c>
      <c r="AD107" s="12">
        <f>MIN(INDEX(其他调用!$AJ$5:$AJ$364,MATCH($K107,其他调用!$AG$5:$AG$364,0),1)/INDEX(其他调用!AJ$5:AJ$364,MATCH($K107,其他调用!$AG$5:$AG$364,0),0),1)*INDEX(其他调用!AA$5:AA$404,MATCH($K107,其他调用!$X$5:$X$404,0),0)</f>
        <v>38910.687249818635</v>
      </c>
      <c r="AE107" s="12">
        <f>MIN(INDEX(其他调用!$AJ$5:$AJ$364,MATCH($K107,其他调用!$AG$5:$AG$364,0),1)/INDEX(其他调用!AK$5:AK$364,MATCH($K107,其他调用!$AG$5:$AG$364,0),0),1)*INDEX(其他调用!AB$5:AB$404,MATCH($K107,其他调用!$X$5:$X$404,0),0)</f>
        <v>16332.593504028433</v>
      </c>
      <c r="AF107" s="12">
        <f>MIN(INDEX(其他调用!$AJ$5:$AJ$364,MATCH($K107,其他调用!$AG$5:$AG$364,0),1)/INDEX(其他调用!AL$5:AL$364,MATCH($K107,其他调用!$AG$5:$AG$364,0),0),1)*INDEX(其他调用!AC$5:AC$404,MATCH($K107,其他调用!$X$5:$X$404,0),0)</f>
        <v>5032.1907211624384</v>
      </c>
      <c r="AG107" s="12">
        <f>求节点(节奏总纲!D$4:D$163,标准城池设计!AE$4:AE$163,$K107)*求节点(节奏总纲!D$4:D$163,攻城基础信息!$AF$5:$AF$164,$K107)</f>
        <v>626011.8276862324</v>
      </c>
      <c r="AH107" s="12">
        <f>INDEX(其他调用!$AA$5:$AA$404,MATCH($K107,其他调用!$X$5:$X$404,0))*MIN(INDEX(其他调用!AK$5:AK$364,MATCH($K107,其他调用!$AG$5:$AG$364,0),1)/INDEX(其他调用!$AJ$5:$AJ$364,MATCH($K107,其他调用!$AG$5:$AG$364,0),0),5)*求节点(节奏总纲!D$4:D$163,攻城基础信息!$AF$5:$AF$164,$K107)</f>
        <v>299733.90795597073</v>
      </c>
      <c r="AI107" s="12">
        <f>MIN(INDEX(其他调用!$AK$5:$AK$364,MATCH($K107,其他调用!$AG$5:$AG$364,0),1)/INDEX(其他调用!AH$5:AH$364,MATCH($K107,其他调用!$AG$5:$AG$364,0),0),1)*INDEX(其他调用!Y$5:Y$404,MATCH($K107,其他调用!$X$5:$X$404,0),0)</f>
        <v>36258.150326932417</v>
      </c>
      <c r="AJ107" s="12">
        <f>MIN(INDEX(其他调用!$AK$5:$AK$364,MATCH($K107,其他调用!$AG$5:$AG$364,0),1)/INDEX(其他调用!AI$5:AI$364,MATCH($K107,其他调用!$AG$5:$AG$364,0),0),1)*INDEX(其他调用!Z$5:Z$404,MATCH($K107,其他调用!$X$5:$X$404,0),0)</f>
        <v>37404.136688157843</v>
      </c>
      <c r="AK107" s="12">
        <f>MIN(INDEX(其他调用!$AK$5:$AK$364,MATCH($K107,其他调用!$AG$5:$AG$364,0),1)/INDEX(其他调用!AJ$5:AJ$364,MATCH($K107,其他调用!$AG$5:$AG$364,0),0),1)*INDEX(其他调用!AA$5:AA$404,MATCH($K107,其他调用!$X$5:$X$404,0),0)</f>
        <v>38910.687249818635</v>
      </c>
      <c r="AL107" s="12">
        <f>MIN(INDEX(其他调用!$AK$5:$AK$364,MATCH($K107,其他调用!$AG$5:$AG$364,0),1)/INDEX(其他调用!AK$5:AK$364,MATCH($K107,其他调用!$AG$5:$AG$364,0),0),1)*INDEX(其他调用!AB$5:AB$404,MATCH($K107,其他调用!$X$5:$X$404,0),0)</f>
        <v>41087.770032475892</v>
      </c>
      <c r="AM107" s="12">
        <f>MIN(INDEX(其他调用!$AK$5:$AK$364,MATCH($K107,其他调用!$AG$5:$AG$364,0),1)/INDEX(其他调用!AL$5:AL$364,MATCH($K107,其他调用!$AG$5:$AG$364,0),0),1)*INDEX(其他调用!AC$5:AC$404,MATCH($K107,其他调用!$X$5:$X$404,0),0)</f>
        <v>12659.440465452319</v>
      </c>
      <c r="AN107" s="12">
        <f>求节点(节奏总纲!D$4:D$163,标准城池设计!AF$4:AF$163,$K107)*求节点(节奏总纲!D$4:D$163,攻城基础信息!$AG$5:$AG$164,$K107)</f>
        <v>618091.55148508784</v>
      </c>
      <c r="AO107" s="12">
        <f>INDEX(其他调用!$AA$5:$AA$404,MATCH($K107,其他调用!$X$5:$X$404,0))*MIN(INDEX(其他调用!AL$5:AL$364,MATCH($K107,其他调用!$AG$5:$AG$364,0),1)/INDEX(其他调用!$AJ$5:$AJ$364,MATCH($K107,其他调用!$AG$5:$AG$364,0),0),5)*求节点(节奏总纲!D$4:D$163,攻城基础信息!$AG$5:$AG$164,$K107)</f>
        <v>595728.61634366889</v>
      </c>
      <c r="AP107" s="12">
        <f>MIN(INDEX(其他调用!$AL$5:$AL$364,MATCH($K107,其他调用!$AG$5:$AG$364,0),1)/INDEX(其他调用!AH$5:AH$364,MATCH($K107,其他调用!$AG$5:$AG$364,0),0),1)*INDEX(其他调用!Y$5:Y$404,MATCH($K107,其他调用!$X$5:$X$404,0),0)</f>
        <v>36258.150326932417</v>
      </c>
      <c r="AQ107" s="12">
        <f>MIN(INDEX(其他调用!$AL$5:$AL$364,MATCH($K107,其他调用!$AG$5:$AG$364,0),1)/INDEX(其他调用!AI$5:AI$364,MATCH($K107,其他调用!$AG$5:$AG$364,0),0),1)*INDEX(其他调用!Z$5:Z$404,MATCH($K107,其他调用!$X$5:$X$404,0),0)</f>
        <v>37404.136688157843</v>
      </c>
      <c r="AR107" s="12">
        <f>MIN(INDEX(其他调用!$AL$5:$AL$364,MATCH($K107,其他调用!$AG$5:$AG$364,0),1)/INDEX(其他调用!AJ$5:AJ$364,MATCH($K107,其他调用!$AG$5:$AG$364,0),0),1)*INDEX(其他调用!AA$5:AA$404,MATCH($K107,其他调用!$X$5:$X$404,0),0)</f>
        <v>38910.687249818635</v>
      </c>
      <c r="AS107" s="12">
        <f>MIN(INDEX(其他调用!$AL$5:$AL$364,MATCH($K107,其他调用!$AG$5:$AG$364,0),1)/INDEX(其他调用!AK$5:AK$364,MATCH($K107,其他调用!$AG$5:$AG$364,0),0),1)*INDEX(其他调用!AB$5:AB$404,MATCH($K107,其他调用!$X$5:$X$404,0),0)</f>
        <v>41087.770032475892</v>
      </c>
      <c r="AT107" s="12">
        <f>MIN(INDEX(其他调用!$AL$5:$AL$364,MATCH($K107,其他调用!$AG$5:$AG$364,0),1)/INDEX(其他调用!AL$5:AL$364,MATCH($K107,其他调用!$AG$5:$AG$364,0),0),1)*INDEX(其他调用!AC$5:AC$404,MATCH($K107,其他调用!$X$5:$X$404,0),0)</f>
        <v>44946.196777779696</v>
      </c>
      <c r="AV107" s="14">
        <f>IF(OR(AV$5="大R",AV$5="超R"),MAX(INDEX(其他调用!$H$5:$L$404,MATCH($K107,其他调用!$B$5:$B$404,0),MATCH(AV$5,其他调用!$H$4:$L$4,0))*120*0.85,2),INDEX(其他调用!$H$5:$L$404,MATCH($K107,其他调用!$B$5:$B$404,0),MATCH(AV$5,其他调用!$H$4:$L$4,0))*120*0.85)</f>
        <v>48.921801254999991</v>
      </c>
      <c r="AW107" s="14">
        <f>IF(OR(AW$5="大R",AW$5="超R"),MAX(INDEX(其他调用!$H$5:$L$404,MATCH($K107,其他调用!$B$5:$B$404,0),MATCH(AW$5,其他调用!$H$4:$L$4,0))*120*0.85,2),INDEX(其他调用!$H$5:$L$404,MATCH($K107,其他调用!$B$5:$B$404,0),MATCH(AW$5,其他调用!$H$4:$L$4,0))*120*0.85)</f>
        <v>48.237344010638395</v>
      </c>
      <c r="AX107" s="14">
        <f>IF(OR(AX$5="大R",AX$5="超R"),MAX(INDEX(其他调用!$H$5:$L$404,MATCH($K107,其他调用!$B$5:$B$404,0),MATCH(AX$5,其他调用!$H$4:$L$4,0))*120*0.85,2),INDEX(其他调用!$H$5:$L$404,MATCH($K107,其他调用!$B$5:$B$404,0),MATCH(AX$5,其他调用!$H$4:$L$4,0))*120*0.85)</f>
        <v>3.9376284143615998</v>
      </c>
      <c r="AY107" s="14">
        <f>IF(OR(AY$5="大R",AY$5="超R"),MAX(INDEX(其他调用!$H$5:$L$404,MATCH($K107,其他调用!$B$5:$B$404,0),MATCH(AY$5,其他调用!$H$4:$L$4,0))*120*0.85,2),INDEX(其他调用!$H$5:$L$404,MATCH($K107,其他调用!$B$5:$B$404,0),MATCH(AY$5,其他调用!$H$4:$L$4,0))*120*0.85)</f>
        <v>2</v>
      </c>
      <c r="AZ107" s="14">
        <f>IF(OR(AZ$5="大R",AZ$5="超R"),MAX(INDEX(其他调用!$H$5:$L$404,MATCH($K107,其他调用!$B$5:$B$404,0),MATCH(AZ$5,其他调用!$H$4:$L$4,0))*120*0.85,2),INDEX(其他调用!$H$5:$L$404,MATCH($K107,其他调用!$B$5:$B$404,0),MATCH(AZ$5,其他调用!$H$4:$L$4,0))*120*0.85)</f>
        <v>2</v>
      </c>
      <c r="BA107" s="14">
        <f>INDEX(其他调用!$H$5:$L$404,MATCH($K107,其他调用!$B$5:$B$404,0),MATCH(BA$5,其他调用!$H$4:$L$4,0))*INDEX(其他调用!$M$5:$M$404,MATCH($K107,其他调用!$B$5:$B$404,0))*0.6</f>
        <v>28.777530149999997</v>
      </c>
      <c r="BB107" s="14">
        <f>INDEX(其他调用!$H$5:$L$404,MATCH($K107,其他调用!$B$5:$B$404,0),MATCH(BB$5,其他调用!$H$4:$L$4,0))*INDEX(其他调用!$M$5:$M$404,MATCH($K107,其他调用!$B$5:$B$404,0))*0.6</f>
        <v>28.374908241551999</v>
      </c>
      <c r="BC107" s="14">
        <f>INDEX(其他调用!$H$5:$L$404,MATCH($K107,其他调用!$B$5:$B$404,0),MATCH(BC$5,其他调用!$H$4:$L$4,0))*INDEX(其他调用!$M$5:$M$404,MATCH($K107,其他调用!$B$5:$B$404,0))*0.6</f>
        <v>2.3162520084480001</v>
      </c>
      <c r="BD107" s="14">
        <f>INDEX(其他调用!$H$5:$L$404,MATCH($K107,其他调用!$B$5:$B$404,0),MATCH(BD$5,其他调用!$H$4:$L$4,0))*INDEX(其他调用!$M$5:$M$404,MATCH($K107,其他调用!$B$5:$B$404,0))*0.6</f>
        <v>0.4120776000000001</v>
      </c>
      <c r="BE107" s="14">
        <f>INDEX(其他调用!$H$5:$L$404,MATCH($K107,其他调用!$B$5:$B$404,0),MATCH(BE$5,其他调用!$H$4:$L$4,0))*INDEX(其他调用!$M$5:$M$404,MATCH($K107,其他调用!$B$5:$B$404,0))*0.6</f>
        <v>0.11923199999999998</v>
      </c>
      <c r="BF107" s="14">
        <f>IF(OR(BF$5="大R",BF$5="超R"),0,INDEX(其他调用!$H$5:$L$404,MATCH($K107,其他调用!$B$5:$B$404,0),MATCH(BF$5,其他调用!$H$4:$L$4,0))*50*0.4)</f>
        <v>9.5925100500000013</v>
      </c>
      <c r="BG107" s="14">
        <f>IF(OR(BG$5="大R",BG$5="超R"),0,INDEX(其他调用!$H$5:$L$404,MATCH($K107,其他调用!$B$5:$B$404,0),MATCH(BG$5,其他调用!$H$4:$L$4,0))*50*0.4)</f>
        <v>9.4583027471839998</v>
      </c>
      <c r="BH107" s="14">
        <f>IF(OR(BH$5="大R",BH$5="超R"),0,INDEX(其他调用!$H$5:$L$404,MATCH($K107,其他调用!$B$5:$B$404,0),MATCH(BH$5,其他调用!$H$4:$L$4,0))*50*0.4)</f>
        <v>0.77208400281600009</v>
      </c>
      <c r="BI107" s="14">
        <f>IF(OR(BI$5="大R",BI$5="超R"),0,INDEX(其他调用!$H$5:$L$404,MATCH($K107,其他调用!$B$5:$B$404,0),MATCH(BI$5,其他调用!$H$4:$L$4,0))*50*0.4)</f>
        <v>0</v>
      </c>
      <c r="BJ107" s="14">
        <f>IF(OR(BJ$5="大R",BJ$5="超R"),0,INDEX(其他调用!$H$5:$L$404,MATCH($K107,其他调用!$B$5:$B$404,0),MATCH(BJ$5,其他调用!$H$4:$L$4,0))*50*0.4)</f>
        <v>0</v>
      </c>
      <c r="BL107" s="14">
        <f t="shared" si="208"/>
        <v>102</v>
      </c>
      <c r="BM107" s="14">
        <f t="shared" si="115"/>
        <v>96</v>
      </c>
      <c r="BN107" s="14">
        <f>('疲劳值&amp;地图信息'!$S$10*'疲劳值&amp;地图信息'!$R$10+'疲劳值&amp;地图信息'!$S$11*'疲劳值&amp;地图信息'!$R$11+'疲劳值&amp;地图信息'!$S$12*'疲劳值&amp;地图信息'!$R$12+(BM107-'疲劳值&amp;地图信息'!$S$12-'疲劳值&amp;地图信息'!$S$11-'疲劳值&amp;地图信息'!$S$10)*'疲劳值&amp;地图信息'!$R$13)/BM107</f>
        <v>51.371477246638619</v>
      </c>
      <c r="BO107" s="14">
        <f>INDEX(其他调用!$M$5:$M$404,MATCH(BL107,其他调用!$B$5:$B$404,0))*0.6</f>
        <v>60</v>
      </c>
      <c r="BP107" s="14">
        <f>IF(BO107&gt;SUM('疲劳值&amp;地图信息'!$S$10:$S$12),('疲劳值&amp;地图信息'!$S$10*'疲劳值&amp;地图信息'!$R$10+'疲劳值&amp;地图信息'!$S$11*'疲劳值&amp;地图信息'!$R$11+'疲劳值&amp;地图信息'!$S$12*'疲劳值&amp;地图信息'!$R$12+(BO107-'疲劳值&amp;地图信息'!$S$12-'疲劳值&amp;地图信息'!$S$11-'疲劳值&amp;地图信息'!$S$10)*'疲劳值&amp;地图信息'!$R$13)/BO107,('疲劳值&amp;地图信息'!$S$10*'疲劳值&amp;地图信息'!$R$10+'疲劳值&amp;地图信息'!$S$11*'疲劳值&amp;地图信息'!$R$11+'疲劳值&amp;地图信息'!$S$12*'疲劳值&amp;地图信息'!$R$12+(BO107-'疲劳值&amp;地图信息'!$S$12-'疲劳值&amp;地图信息'!$S$11-'疲劳值&amp;地图信息'!$S$10)*'疲劳值&amp;地图信息'!$R$13)/BO107)</f>
        <v>44.158136341605953</v>
      </c>
      <c r="BQ107" s="14">
        <f t="shared" si="209"/>
        <v>20</v>
      </c>
      <c r="BR107" s="14">
        <f>('疲劳值&amp;地图信息'!$S$10*'疲劳值&amp;地图信息'!$R$10+($BQ107-'疲劳值&amp;地图信息'!$S$10)*'疲劳值&amp;地图信息'!$R$11)/$BQ107</f>
        <v>32.067203015074995</v>
      </c>
      <c r="CF107" s="14">
        <v>102</v>
      </c>
      <c r="CG107" s="51">
        <f t="shared" si="116"/>
        <v>9840</v>
      </c>
      <c r="CH107" s="51">
        <f t="shared" si="117"/>
        <v>862</v>
      </c>
      <c r="CI107" s="51">
        <f>INT(SUMPRODUCT($N107:$R107,$BA107:$BE107)/SUM($BA107:$BE107)/10000*$BX$7*$BZ$34/'疲劳值&amp;地图信息'!$R$10*$BY$53)</f>
        <v>2950</v>
      </c>
      <c r="CJ107" s="50">
        <f t="shared" si="118"/>
        <v>0.72077351303838266</v>
      </c>
      <c r="CK107" s="50">
        <f t="shared" si="119"/>
        <v>6.3140931731614419E-2</v>
      </c>
      <c r="CL107" s="50">
        <f t="shared" si="120"/>
        <v>0.21608555523000292</v>
      </c>
      <c r="CM107" s="14">
        <f t="shared" si="121"/>
        <v>10468</v>
      </c>
      <c r="CN107" s="14">
        <f t="shared" si="122"/>
        <v>1373</v>
      </c>
      <c r="CO107" s="14">
        <f>INT(SUMPRODUCT($U107:$Y107,$BA107:$BE107)/SUM($BA107:$BE107)/10000*$BX$7*$BZ$34/'疲劳值&amp;地图信息'!$R$10*$BY$54)</f>
        <v>5478</v>
      </c>
      <c r="CP107" s="50">
        <f t="shared" si="123"/>
        <v>0.60442288815751488</v>
      </c>
      <c r="CQ107" s="50">
        <f t="shared" si="124"/>
        <v>7.9277094520468855E-2</v>
      </c>
      <c r="CR107" s="50">
        <f t="shared" si="125"/>
        <v>0.31630001732201629</v>
      </c>
      <c r="CS107" s="14">
        <f t="shared" si="126"/>
        <v>11250</v>
      </c>
      <c r="CT107" s="14">
        <f t="shared" si="127"/>
        <v>2428</v>
      </c>
      <c r="CU107" s="14">
        <f>INT(SUMPRODUCT($AB107:$AF107,$BA107:$BE107)/SUM($BA107:$BE107)/10000*$BX$7*$BZ$34/'疲劳值&amp;地图信息'!$R$10*$BY$55)</f>
        <v>7448</v>
      </c>
      <c r="CV107" s="50">
        <f t="shared" si="128"/>
        <v>0.53251917069014487</v>
      </c>
      <c r="CW107" s="50">
        <f t="shared" si="129"/>
        <v>0.11492947079428192</v>
      </c>
      <c r="CX107" s="50">
        <f t="shared" si="130"/>
        <v>0.35255135851557323</v>
      </c>
      <c r="CY107" s="14">
        <f t="shared" si="131"/>
        <v>12758</v>
      </c>
      <c r="CZ107" s="14">
        <f t="shared" si="132"/>
        <v>6108</v>
      </c>
      <c r="DA107" s="14">
        <f>INT(SUMPRODUCT($AI107:$AM107,$BA107:$BE107)/SUM($BA107:$BE107)/10000*$BX$7*$BZ$34/'疲劳值&amp;地图信息'!$R$10*$BY$56)</f>
        <v>11229</v>
      </c>
      <c r="DB107" s="50">
        <f t="shared" si="133"/>
        <v>0.42392423990696126</v>
      </c>
      <c r="DC107" s="50">
        <f t="shared" si="134"/>
        <v>0.20295730187738828</v>
      </c>
      <c r="DD107" s="50">
        <f t="shared" si="135"/>
        <v>0.37311845821565043</v>
      </c>
      <c r="DE107" s="14">
        <f t="shared" si="136"/>
        <v>12597</v>
      </c>
      <c r="DF107" s="14">
        <f t="shared" si="137"/>
        <v>12141</v>
      </c>
      <c r="DG107" s="14">
        <f>INT(SUMPRODUCT($AP107:$AT107,$BA107:$BE107)/SUM($BA107:$BE107)/10000*$BX$7*$BZ$34/'疲劳值&amp;地图信息'!$R$10*$BY$57)</f>
        <v>14998</v>
      </c>
      <c r="DH107" s="50">
        <f t="shared" si="138"/>
        <v>0.31701731427420976</v>
      </c>
      <c r="DI107" s="50">
        <f t="shared" si="139"/>
        <v>0.30554157439098045</v>
      </c>
      <c r="DJ107" s="50">
        <f t="shared" si="140"/>
        <v>0.37744111133480973</v>
      </c>
      <c r="DL107" s="14">
        <f t="shared" si="211"/>
        <v>13652</v>
      </c>
      <c r="DM107" s="14">
        <f t="shared" si="212"/>
        <v>17319</v>
      </c>
      <c r="DN107" s="14">
        <f t="shared" si="213"/>
        <v>21126</v>
      </c>
      <c r="DO107" s="14">
        <f t="shared" si="214"/>
        <v>30095</v>
      </c>
      <c r="DP107" s="14">
        <f t="shared" si="215"/>
        <v>39736</v>
      </c>
      <c r="DQ107" s="14">
        <f t="shared" si="216"/>
        <v>950368</v>
      </c>
      <c r="DT107" s="14">
        <f t="shared" si="210"/>
        <v>235575</v>
      </c>
      <c r="DU107" s="50">
        <f t="shared" si="112"/>
        <v>0.19863939497935398</v>
      </c>
      <c r="DW107" s="14">
        <f t="shared" si="141"/>
        <v>1185943</v>
      </c>
      <c r="EB107" s="14">
        <v>102</v>
      </c>
      <c r="EC107" s="51">
        <f t="shared" si="142"/>
        <v>16400</v>
      </c>
      <c r="ED107" s="51">
        <f t="shared" si="143"/>
        <v>1438</v>
      </c>
      <c r="EE107" s="51">
        <f>INT(SUMPRODUCT($N107:$R107,$BF107:$BJ107)/SUM($BF107:$BJ107)/10000*$BX$7*$BZ$46/'疲劳值&amp;地图信息'!$R$10*$BY$53)</f>
        <v>396</v>
      </c>
      <c r="EF107" s="50">
        <f t="shared" si="144"/>
        <v>0.89941866842162987</v>
      </c>
      <c r="EG107" s="50">
        <f t="shared" si="145"/>
        <v>7.88636612920917E-2</v>
      </c>
      <c r="EH107" s="50">
        <f t="shared" si="146"/>
        <v>2.1717670286278381E-2</v>
      </c>
      <c r="EI107" s="51">
        <f t="shared" si="147"/>
        <v>17448</v>
      </c>
      <c r="EJ107" s="51">
        <f t="shared" si="148"/>
        <v>2289</v>
      </c>
      <c r="EK107" s="14">
        <f>INT(SUMPRODUCT($U107:$Y107,$BF107:$BJ107)/SUM($BF107:$BJ107)/10000*$BX$7*$BZ$46/'疲劳值&amp;地图信息'!$R$10*$BY$54)</f>
        <v>735</v>
      </c>
      <c r="EL107" s="50">
        <f t="shared" si="149"/>
        <v>0.85228604923798357</v>
      </c>
      <c r="EM107" s="50">
        <f t="shared" si="150"/>
        <v>0.11181125439624853</v>
      </c>
      <c r="EN107" s="50">
        <f t="shared" si="151"/>
        <v>3.5902696365767879E-2</v>
      </c>
      <c r="EO107" s="51">
        <f t="shared" si="152"/>
        <v>18751</v>
      </c>
      <c r="EP107" s="51">
        <f t="shared" si="153"/>
        <v>4047</v>
      </c>
      <c r="EQ107" s="14">
        <f>INT(SUMPRODUCT($AB107:$AF107,$BF107:$BJ107)/SUM($BF107:$BJ107)/10000*$BX$7*$BZ$46/'疲劳值&amp;地图信息'!$R$10*$BY$55)</f>
        <v>998</v>
      </c>
      <c r="ER107" s="50">
        <f t="shared" si="154"/>
        <v>0.78798957808034964</v>
      </c>
      <c r="ES107" s="50">
        <f t="shared" si="155"/>
        <v>0.17007060010085728</v>
      </c>
      <c r="ET107" s="50">
        <f t="shared" si="156"/>
        <v>4.1939821818793077E-2</v>
      </c>
      <c r="EU107" s="51">
        <f t="shared" si="157"/>
        <v>21264</v>
      </c>
      <c r="EV107" s="51">
        <f t="shared" si="158"/>
        <v>10181</v>
      </c>
      <c r="EW107" s="14">
        <f>INT(SUMPRODUCT($AI107:$AM107,$BF107:$BJ107)/SUM($BF107:$BJ107)/10000*$BX$7*$BZ$46/'疲劳值&amp;地图信息'!$R$10*$BY$56)</f>
        <v>1497</v>
      </c>
      <c r="EX107" s="50">
        <f t="shared" si="159"/>
        <v>0.64549814826057916</v>
      </c>
      <c r="EY107" s="50">
        <f t="shared" si="160"/>
        <v>0.30905834496994716</v>
      </c>
      <c r="EZ107" s="50">
        <f t="shared" si="161"/>
        <v>4.5443506769473618E-2</v>
      </c>
      <c r="FA107" s="51">
        <f t="shared" si="162"/>
        <v>20995</v>
      </c>
      <c r="FB107" s="51">
        <f t="shared" si="163"/>
        <v>20236</v>
      </c>
      <c r="FC107" s="14">
        <f>INT(SUMPRODUCT($AP107:$AT107,$BF107:$BJ107)/SUM($BF107:$BJ107)/10000*$BX$7*$BZ$46/'疲劳值&amp;地图信息'!$R$10*$BY$57)</f>
        <v>1997</v>
      </c>
      <c r="FD107" s="50">
        <f t="shared" si="164"/>
        <v>0.48568057740353476</v>
      </c>
      <c r="FE107" s="50">
        <f t="shared" si="165"/>
        <v>0.46812251318589804</v>
      </c>
      <c r="FF107" s="50">
        <f t="shared" si="166"/>
        <v>4.6196909410567227E-2</v>
      </c>
      <c r="FH107" s="14">
        <f t="shared" si="167"/>
        <v>18234</v>
      </c>
      <c r="FI107" s="14">
        <f t="shared" si="168"/>
        <v>20472</v>
      </c>
      <c r="FJ107" s="14">
        <f t="shared" si="169"/>
        <v>23796</v>
      </c>
      <c r="FK107" s="14">
        <f t="shared" si="170"/>
        <v>32942</v>
      </c>
      <c r="FL107" s="14">
        <f t="shared" si="171"/>
        <v>43228</v>
      </c>
      <c r="FM107" s="14">
        <f t="shared" si="172"/>
        <v>2125594</v>
      </c>
      <c r="FP107" s="14">
        <f t="shared" si="173"/>
        <v>334150</v>
      </c>
      <c r="FQ107" s="50">
        <f t="shared" si="113"/>
        <v>0.13584747030585298</v>
      </c>
      <c r="FS107" s="14">
        <f t="shared" si="174"/>
        <v>2459744</v>
      </c>
      <c r="FX107" s="14">
        <v>102</v>
      </c>
      <c r="FY107" s="51">
        <f t="shared" si="175"/>
        <v>22960</v>
      </c>
      <c r="FZ107" s="51">
        <f t="shared" si="176"/>
        <v>1438</v>
      </c>
      <c r="GA107" s="51">
        <f>INT(SUMPRODUCT($N107:$R107,$BF107:$BJ107)/SUM($BF107:$BJ107)/10000*$BX$7*$BZ$46/'疲劳值&amp;地图信息'!$R$10*$BY$53)</f>
        <v>396</v>
      </c>
      <c r="GB107" s="50">
        <f t="shared" si="177"/>
        <v>0.9260304912478825</v>
      </c>
      <c r="GC107" s="50">
        <f t="shared" si="178"/>
        <v>5.7997902718399615E-2</v>
      </c>
      <c r="GD107" s="50">
        <f t="shared" si="179"/>
        <v>1.5971606033717833E-2</v>
      </c>
      <c r="GE107" s="51">
        <f t="shared" si="180"/>
        <v>24427</v>
      </c>
      <c r="GF107" s="51">
        <f t="shared" si="181"/>
        <v>2289</v>
      </c>
      <c r="GG107" s="14">
        <f>INT(SUMPRODUCT($U107:$Y107,$BF107:$BJ107)/SUM($BF107:$BJ107)/10000*$BX$7*$BZ$46/'疲劳值&amp;地图信息'!$R$10*$BY$54)</f>
        <v>735</v>
      </c>
      <c r="GH107" s="50">
        <f t="shared" si="182"/>
        <v>0.88984007868565806</v>
      </c>
      <c r="GI107" s="50">
        <f t="shared" si="183"/>
        <v>8.3384940439328259E-2</v>
      </c>
      <c r="GJ107" s="50">
        <f t="shared" si="184"/>
        <v>2.6774980875013659E-2</v>
      </c>
      <c r="GK107" s="51">
        <f t="shared" si="185"/>
        <v>26251</v>
      </c>
      <c r="GL107" s="51">
        <f t="shared" si="186"/>
        <v>4047</v>
      </c>
      <c r="GM107" s="14">
        <f>INT(SUMPRODUCT($AB107:$AF107,$BF107:$BJ107)/SUM($BF107:$BJ107)/10000*$BX$7*$BZ$46/'疲劳值&amp;地图信息'!$R$10*$BY$55)</f>
        <v>998</v>
      </c>
      <c r="GN107" s="50">
        <f t="shared" si="187"/>
        <v>0.83879729038854811</v>
      </c>
      <c r="GO107" s="50">
        <f t="shared" si="188"/>
        <v>0.12931365030674846</v>
      </c>
      <c r="GP107" s="50">
        <f t="shared" si="189"/>
        <v>3.1889059304703475E-2</v>
      </c>
      <c r="GQ107" s="51">
        <f t="shared" si="190"/>
        <v>29770</v>
      </c>
      <c r="GR107" s="51">
        <f t="shared" si="191"/>
        <v>10181</v>
      </c>
      <c r="GS107" s="14">
        <f>INT(SUMPRODUCT($AI107:$AM107,$BF107:$BJ107)/SUM($BF107:$BJ107)/10000*$BX$7*$BZ$46/'疲劳值&amp;地图信息'!$R$10*$BY$56)</f>
        <v>1497</v>
      </c>
      <c r="GT107" s="50">
        <f t="shared" si="192"/>
        <v>0.7182493727079714</v>
      </c>
      <c r="GU107" s="50">
        <f t="shared" si="193"/>
        <v>0.2456330824165219</v>
      </c>
      <c r="GV107" s="50">
        <f t="shared" si="194"/>
        <v>3.6117544875506662E-2</v>
      </c>
      <c r="GW107" s="51">
        <f t="shared" si="195"/>
        <v>29394</v>
      </c>
      <c r="GX107" s="51">
        <f t="shared" si="196"/>
        <v>20236</v>
      </c>
      <c r="GY107" s="14">
        <f>INT(SUMPRODUCT($AP107:$AT107,$BF107:$BJ107)/SUM($BF107:$BJ107)/10000*$BX$7*$BZ$46/'疲劳值&amp;地图信息'!$R$10*$BY$57)</f>
        <v>1997</v>
      </c>
      <c r="GZ107" s="50">
        <f t="shared" si="197"/>
        <v>0.56935324539485155</v>
      </c>
      <c r="HA107" s="50">
        <f t="shared" si="198"/>
        <v>0.39196544443798786</v>
      </c>
      <c r="HB107" s="50">
        <f t="shared" si="199"/>
        <v>3.8681310167160594E-2</v>
      </c>
      <c r="HD107" s="14">
        <f t="shared" si="200"/>
        <v>24794</v>
      </c>
      <c r="HE107" s="14">
        <f t="shared" si="201"/>
        <v>27451</v>
      </c>
      <c r="HF107" s="14">
        <f t="shared" si="202"/>
        <v>31296</v>
      </c>
      <c r="HG107" s="14">
        <f t="shared" si="203"/>
        <v>41448</v>
      </c>
      <c r="HH107" s="14">
        <f t="shared" si="204"/>
        <v>51627</v>
      </c>
      <c r="HI107" s="14">
        <f t="shared" si="205"/>
        <v>2846512</v>
      </c>
      <c r="HL107" s="14">
        <f t="shared" si="206"/>
        <v>430050</v>
      </c>
      <c r="HM107" s="50">
        <f t="shared" si="114"/>
        <v>0.13125037768246106</v>
      </c>
      <c r="HO107" s="14">
        <f t="shared" si="207"/>
        <v>3276562</v>
      </c>
    </row>
    <row r="108" spans="11:223" x14ac:dyDescent="0.2">
      <c r="K108" s="14">
        <v>103</v>
      </c>
      <c r="L108" s="12">
        <f>求节点(节奏总纲!D$4:D$163,标准城池设计!AB$4:AB$163,$K108)*求节点(节奏总纲!D$4:D$163,攻城基础信息!$AC$5:$AC$164,$K108)</f>
        <v>487681.48243597499</v>
      </c>
      <c r="M108" s="12">
        <f>INDEX(其他调用!$AA$5:$AA$404,MATCH(K108,其他调用!$X$5:$X$404,0))*MIN(INDEX(其他调用!$AH$5:$AH$364,MATCH('征服点（新）'!K108,其他调用!$AG$5:$AG$364,0),1)/INDEX(其他调用!$AJ$5:$AJ$364,MATCH(K108,其他调用!$AG$5:$AG$364,0),0),5)*求节点(节奏总纲!D$4:D$163,攻城基础信息!$AC$5:$AC$164,$K108)</f>
        <v>42464.778881887018</v>
      </c>
      <c r="N108" s="12">
        <f>MIN(INDEX(其他调用!$AH$5:$AH$364,MATCH($K108,其他调用!$AG$5:$AG$364,0),1)/INDEX(其他调用!AH$5:AH$364,MATCH($K108,其他调用!$AG$5:$AG$364,0),0),1)*INDEX(其他调用!Y$5:Y$404,MATCH($K108,其他调用!$X$5:$X$404,0),0)</f>
        <v>36315.75266643901</v>
      </c>
      <c r="O108" s="12">
        <f>MIN(INDEX(其他调用!$AH$5:$AH$364,MATCH($K108,其他调用!$AG$5:$AG$364,0),1)/INDEX(其他调用!AI$5:AI$364,MATCH($K108,其他调用!$AG$5:$AG$364,0),0),1)*INDEX(其他调用!Z$5:Z$404,MATCH($K108,其他调用!$X$5:$X$404,0),0)</f>
        <v>23459.722436441865</v>
      </c>
      <c r="P108" s="12">
        <f>MIN(INDEX(其他调用!$AH$5:$AH$364,MATCH($K108,其他调用!$AG$5:$AG$364,0),1)/INDEX(其他调用!AJ$5:AJ$364,MATCH($K108,其他调用!$AG$5:$AG$364,0),0),1)*INDEX(其他调用!AA$5:AA$404,MATCH($K108,其他调用!$X$5:$X$404,0),0)</f>
        <v>13846.571275844264</v>
      </c>
      <c r="Q108" s="12">
        <f>MIN(INDEX(其他调用!$AH$5:$AH$364,MATCH($K108,其他调用!$AG$5:$AG$364,0),1)/INDEX(其他调用!AK$5:AK$364,MATCH($K108,其他调用!$AG$5:$AG$364,0),0),1)*INDEX(其他调用!AB$5:AB$404,MATCH($K108,其他调用!$X$5:$X$404,0),0)</f>
        <v>5797.7409399632252</v>
      </c>
      <c r="R108" s="12">
        <f>MIN(INDEX(其他调用!$AH$5:$AH$364,MATCH($K108,其他调用!$AG$5:$AG$364,0),1)/INDEX(其他调用!AL$5:AL$364,MATCH($K108,其他调用!$AG$5:$AG$364,0),0),1)*INDEX(其他调用!AC$5:AC$404,MATCH($K108,其他调用!$X$5:$X$404,0),0)</f>
        <v>1788.775818892876</v>
      </c>
      <c r="S108" s="12">
        <f>求节点(节奏总纲!D$4:D$163,标准城池设计!AC$4:AC$163,$K108)*求节点(节奏总纲!D$4:D$163,攻城基础信息!$AD$5:$AD$164,$K108)</f>
        <v>519036.06351094955</v>
      </c>
      <c r="T108" s="12">
        <f>INDEX(其他调用!$AA$5:$AA$404,MATCH($K108,其他调用!$X$5:$X$404,0))*MIN(INDEX(其他调用!AI$5:AI$364,MATCH($K108,其他调用!$AG$5:$AG$364,0),1)/INDEX(其他调用!$AJ$5:$AJ$364,MATCH($K108,其他调用!$AG$5:$AG$364,0),0),5)*求节点(节奏总纲!D$4:D$163,攻城基础信息!$AD$5:$AD$164,$K108)</f>
        <v>67808.085217480359</v>
      </c>
      <c r="U108" s="12">
        <f>MIN(INDEX(其他调用!$AI$5:$AI$364,MATCH($K108,其他调用!$AG$5:$AG$364,0),1)/INDEX(其他调用!AH$5:AH$364,MATCH($K108,其他调用!$AG$5:$AG$364,0),0),1)*INDEX(其他调用!Y$5:Y$404,MATCH($K108,其他调用!$X$5:$X$404,0),0)</f>
        <v>36315.75266643901</v>
      </c>
      <c r="V108" s="12">
        <f>MIN(INDEX(其他调用!$AI$5:$AI$364,MATCH($K108,其他调用!$AG$5:$AG$364,0),1)/INDEX(其他调用!AI$5:AI$364,MATCH($K108,其他调用!$AG$5:$AG$364,0),0),1)*INDEX(其他调用!Z$5:Z$404,MATCH($K108,其他调用!$X$5:$X$404,0),0)</f>
        <v>37460.665050753625</v>
      </c>
      <c r="W108" s="12">
        <f>MIN(INDEX(其他调用!$AI$5:$AI$364,MATCH($K108,其他调用!$AG$5:$AG$364,0),1)/INDEX(其他调用!AJ$5:AJ$364,MATCH($K108,其他调用!$AG$5:$AG$364,0),0),1)*INDEX(其他调用!AA$5:AA$404,MATCH($K108,其他调用!$X$5:$X$404,0),0)</f>
        <v>22110.311410166018</v>
      </c>
      <c r="X108" s="12">
        <f>MIN(INDEX(其他调用!$AI$5:$AI$364,MATCH($K108,其他调用!$AG$5:$AG$364,0),1)/INDEX(其他调用!AK$5:AK$364,MATCH($K108,其他调用!$AG$5:$AG$364,0),0),1)*INDEX(其他调用!AB$5:AB$404,MATCH($K108,其他调用!$X$5:$X$404,0),0)</f>
        <v>9257.8772827094308</v>
      </c>
      <c r="Y108" s="12">
        <f>MIN(INDEX(其他调用!$AI$5:$AI$364,MATCH($K108,其他调用!$AG$5:$AG$364,0),1)/INDEX(其他调用!AL$5:AL$364,MATCH($K108,其他调用!$AG$5:$AG$364,0),0),1)*INDEX(其他调用!AC$5:AC$404,MATCH($K108,其他调用!$X$5:$X$404,0),0)</f>
        <v>2856.3309725414115</v>
      </c>
      <c r="Z108" s="12">
        <f>求节点(节奏总纲!D$4:D$163,标准城池设计!AD$4:AD$163,$K108)*求节点(节奏总纲!D$4:D$163,攻城基础信息!$AE$5:$AE$164,$K108)</f>
        <v>557833.40861210017</v>
      </c>
      <c r="AA108" s="12">
        <f>INDEX(其他调用!$AA$5:$AA$404,MATCH($K108,其他调用!$X$5:$X$404,0))*MIN(INDEX(其他调用!AJ$5:AJ$364,MATCH($K108,其他调用!$AG$5:$AG$364,0),1)/INDEX(其他调用!$AJ$5:$AJ$364,MATCH($K108,其他调用!$AG$5:$AG$364,0),0),5)*求节点(节奏总纲!D$4:D$163,攻城基础信息!$AE$5:$AE$164,$K108)</f>
        <v>119509.6264452187</v>
      </c>
      <c r="AB108" s="12">
        <f>MIN(INDEX(其他调用!$AJ$5:$AJ$364,MATCH($K108,其他调用!$AG$5:$AG$364,0),1)/INDEX(其他调用!AH$5:AH$364,MATCH($K108,其他调用!$AG$5:$AG$364,0),0),1)*INDEX(其他调用!Y$5:Y$404,MATCH($K108,其他调用!$X$5:$X$404,0),0)</f>
        <v>36315.75266643901</v>
      </c>
      <c r="AC108" s="12">
        <f>MIN(INDEX(其他调用!$AJ$5:$AJ$364,MATCH($K108,其他调用!$AG$5:$AG$364,0),1)/INDEX(其他调用!AI$5:AI$364,MATCH($K108,其他调用!$AG$5:$AG$364,0),0),1)*INDEX(其他调用!Z$5:Z$404,MATCH($K108,其他调用!$X$5:$X$404,0),0)</f>
        <v>37460.665050753625</v>
      </c>
      <c r="AD108" s="12">
        <f>MIN(INDEX(其他调用!$AJ$5:$AJ$364,MATCH($K108,其他调用!$AG$5:$AG$364,0),1)/INDEX(其他调用!AJ$5:AJ$364,MATCH($K108,其他调用!$AG$5:$AG$364,0),0),1)*INDEX(其他调用!AA$5:AA$404,MATCH($K108,其他调用!$X$5:$X$404,0),0)</f>
        <v>38968.731365020321</v>
      </c>
      <c r="AE108" s="12">
        <f>MIN(INDEX(其他调用!$AJ$5:$AJ$364,MATCH($K108,其他调用!$AG$5:$AG$364,0),1)/INDEX(其他调用!AK$5:AK$364,MATCH($K108,其他调用!$AG$5:$AG$364,0),0),1)*INDEX(其他调用!AB$5:AB$404,MATCH($K108,其他调用!$X$5:$X$404,0),0)</f>
        <v>16316.718753873005</v>
      </c>
      <c r="AF108" s="12">
        <f>MIN(INDEX(其他调用!$AJ$5:$AJ$364,MATCH($K108,其他调用!$AG$5:$AG$364,0),1)/INDEX(其他调用!AL$5:AL$364,MATCH($K108,其他调用!$AG$5:$AG$364,0),0),1)*INDEX(其他调用!AC$5:AC$404,MATCH($K108,其他调用!$X$5:$X$404,0),0)</f>
        <v>5034.1938787608296</v>
      </c>
      <c r="AG108" s="12">
        <f>求节点(节奏总纲!D$4:D$163,标准城池设计!AE$4:AE$163,$K108)*求节点(节奏总纲!D$4:D$163,攻城基础信息!$AF$5:$AF$164,$K108)</f>
        <v>632734.01562594366</v>
      </c>
      <c r="AH108" s="12">
        <f>INDEX(其他调用!$AA$5:$AA$404,MATCH($K108,其他调用!$X$5:$X$404,0))*MIN(INDEX(其他调用!AK$5:AK$364,MATCH($K108,其他调用!$AG$5:$AG$364,0),1)/INDEX(其他调用!$AJ$5:$AJ$364,MATCH($K108,其他调用!$AG$5:$AG$364,0),0),5)*求节点(节奏总纲!D$4:D$163,攻城基础信息!$AF$5:$AF$164,$K108)</f>
        <v>301344.99390888633</v>
      </c>
      <c r="AI108" s="12">
        <f>MIN(INDEX(其他调用!$AK$5:$AK$364,MATCH($K108,其他调用!$AG$5:$AG$364,0),1)/INDEX(其他调用!AH$5:AH$364,MATCH($K108,其他调用!$AG$5:$AG$364,0),0),1)*INDEX(其他调用!Y$5:Y$404,MATCH($K108,其他调用!$X$5:$X$404,0),0)</f>
        <v>36315.75266643901</v>
      </c>
      <c r="AJ108" s="12">
        <f>MIN(INDEX(其他调用!$AK$5:$AK$364,MATCH($K108,其他调用!$AG$5:$AG$364,0),1)/INDEX(其他调用!AI$5:AI$364,MATCH($K108,其他调用!$AG$5:$AG$364,0),0),1)*INDEX(其他调用!Z$5:Z$404,MATCH($K108,其他调用!$X$5:$X$404,0),0)</f>
        <v>37460.665050753625</v>
      </c>
      <c r="AK108" s="12">
        <f>MIN(INDEX(其他调用!$AK$5:$AK$364,MATCH($K108,其他调用!$AG$5:$AG$364,0),1)/INDEX(其他调用!AJ$5:AJ$364,MATCH($K108,其他调用!$AG$5:$AG$364,0),0),1)*INDEX(其他调用!AA$5:AA$404,MATCH($K108,其他调用!$X$5:$X$404,0),0)</f>
        <v>38968.731365020321</v>
      </c>
      <c r="AL108" s="12">
        <f>MIN(INDEX(其他调用!$AK$5:$AK$364,MATCH($K108,其他调用!$AG$5:$AG$364,0),1)/INDEX(其他调用!AK$5:AK$364,MATCH($K108,其他调用!$AG$5:$AG$364,0),0),1)*INDEX(其他调用!AB$5:AB$404,MATCH($K108,其他调用!$X$5:$X$404,0),0)</f>
        <v>41142.807150792396</v>
      </c>
      <c r="AM108" s="12">
        <f>MIN(INDEX(其他调用!$AK$5:$AK$364,MATCH($K108,其他调用!$AG$5:$AG$364,0),1)/INDEX(其他调用!AL$5:AL$364,MATCH($K108,其他调用!$AG$5:$AG$364,0),0),1)*INDEX(其他调用!AC$5:AC$404,MATCH($K108,其他调用!$X$5:$X$404,0),0)</f>
        <v>12693.781822058636</v>
      </c>
      <c r="AN108" s="12">
        <f>求节点(节奏总纲!D$4:D$163,标准城池设计!AF$4:AF$163,$K108)*求节点(节奏总纲!D$4:D$163,攻城基础信息!$AG$5:$AG$164,$K108)</f>
        <v>625075.94285462785</v>
      </c>
      <c r="AO108" s="12">
        <f>INDEX(其他调用!$AA$5:$AA$404,MATCH($K108,其他调用!$X$5:$X$404,0))*MIN(INDEX(其他调用!AL$5:AL$364,MATCH($K108,其他调用!$AG$5:$AG$364,0),1)/INDEX(其他调用!$AJ$5:$AJ$364,MATCH($K108,其他调用!$AG$5:$AG$364,0),0),5)*求节点(节奏总纲!D$4:D$163,攻城基础信息!$AG$5:$AG$164,$K108)</f>
        <v>597548.13222609356</v>
      </c>
      <c r="AP108" s="12">
        <f>MIN(INDEX(其他调用!$AL$5:$AL$364,MATCH($K108,其他调用!$AG$5:$AG$364,0),1)/INDEX(其他调用!AH$5:AH$364,MATCH($K108,其他调用!$AG$5:$AG$364,0),0),1)*INDEX(其他调用!Y$5:Y$404,MATCH($K108,其他调用!$X$5:$X$404,0),0)</f>
        <v>36315.75266643901</v>
      </c>
      <c r="AQ108" s="12">
        <f>MIN(INDEX(其他调用!$AL$5:$AL$364,MATCH($K108,其他调用!$AG$5:$AG$364,0),1)/INDEX(其他调用!AI$5:AI$364,MATCH($K108,其他调用!$AG$5:$AG$364,0),0),1)*INDEX(其他调用!Z$5:Z$404,MATCH($K108,其他调用!$X$5:$X$404,0),0)</f>
        <v>37460.665050753625</v>
      </c>
      <c r="AR108" s="12">
        <f>MIN(INDEX(其他调用!$AL$5:$AL$364,MATCH($K108,其他调用!$AG$5:$AG$364,0),1)/INDEX(其他调用!AJ$5:AJ$364,MATCH($K108,其他调用!$AG$5:$AG$364,0),0),1)*INDEX(其他调用!AA$5:AA$404,MATCH($K108,其他调用!$X$5:$X$404,0),0)</f>
        <v>38968.731365020321</v>
      </c>
      <c r="AS108" s="12">
        <f>MIN(INDEX(其他调用!$AL$5:$AL$364,MATCH($K108,其他调用!$AG$5:$AG$364,0),1)/INDEX(其他调用!AK$5:AK$364,MATCH($K108,其他调用!$AG$5:$AG$364,0),0),1)*INDEX(其他调用!AB$5:AB$404,MATCH($K108,其他调用!$X$5:$X$404,0),0)</f>
        <v>41142.807150792396</v>
      </c>
      <c r="AT108" s="12">
        <f>MIN(INDEX(其他调用!$AL$5:$AL$364,MATCH($K108,其他调用!$AG$5:$AG$364,0),1)/INDEX(其他调用!AL$5:AL$364,MATCH($K108,其他调用!$AG$5:$AG$364,0),0),1)*INDEX(其他调用!AC$5:AC$404,MATCH($K108,其他调用!$X$5:$X$404,0),0)</f>
        <v>45004.090162799519</v>
      </c>
      <c r="AV108" s="14">
        <f>IF(OR(AV$5="大R",AV$5="超R"),MAX(INDEX(其他调用!$H$5:$L$404,MATCH($K108,其他调用!$B$5:$B$404,0),MATCH(AV$5,其他调用!$H$4:$L$4,0))*120*0.85,2),INDEX(其他调用!$H$5:$L$404,MATCH($K108,其他调用!$B$5:$B$404,0),MATCH(AV$5,其他调用!$H$4:$L$4,0))*120*0.85)</f>
        <v>48.921801254999991</v>
      </c>
      <c r="AW108" s="14">
        <f>IF(OR(AW$5="大R",AW$5="超R"),MAX(INDEX(其他调用!$H$5:$L$404,MATCH($K108,其他调用!$B$5:$B$404,0),MATCH(AW$5,其他调用!$H$4:$L$4,0))*120*0.85,2),INDEX(其他调用!$H$5:$L$404,MATCH($K108,其他调用!$B$5:$B$404,0),MATCH(AW$5,其他调用!$H$4:$L$4,0))*120*0.85)</f>
        <v>48.237344010638395</v>
      </c>
      <c r="AX108" s="14">
        <f>IF(OR(AX$5="大R",AX$5="超R"),MAX(INDEX(其他调用!$H$5:$L$404,MATCH($K108,其他调用!$B$5:$B$404,0),MATCH(AX$5,其他调用!$H$4:$L$4,0))*120*0.85,2),INDEX(其他调用!$H$5:$L$404,MATCH($K108,其他调用!$B$5:$B$404,0),MATCH(AX$5,其他调用!$H$4:$L$4,0))*120*0.85)</f>
        <v>3.9376284143615998</v>
      </c>
      <c r="AY108" s="14">
        <f>IF(OR(AY$5="大R",AY$5="超R"),MAX(INDEX(其他调用!$H$5:$L$404,MATCH($K108,其他调用!$B$5:$B$404,0),MATCH(AY$5,其他调用!$H$4:$L$4,0))*120*0.85,2),INDEX(其他调用!$H$5:$L$404,MATCH($K108,其他调用!$B$5:$B$404,0),MATCH(AY$5,其他调用!$H$4:$L$4,0))*120*0.85)</f>
        <v>2</v>
      </c>
      <c r="AZ108" s="14">
        <f>IF(OR(AZ$5="大R",AZ$5="超R"),MAX(INDEX(其他调用!$H$5:$L$404,MATCH($K108,其他调用!$B$5:$B$404,0),MATCH(AZ$5,其他调用!$H$4:$L$4,0))*120*0.85,2),INDEX(其他调用!$H$5:$L$404,MATCH($K108,其他调用!$B$5:$B$404,0),MATCH(AZ$5,其他调用!$H$4:$L$4,0))*120*0.85)</f>
        <v>2</v>
      </c>
      <c r="BA108" s="14">
        <f>INDEX(其他调用!$H$5:$L$404,MATCH($K108,其他调用!$B$5:$B$404,0),MATCH(BA$5,其他调用!$H$4:$L$4,0))*INDEX(其他调用!$M$5:$M$404,MATCH($K108,其他调用!$B$5:$B$404,0))*0.6</f>
        <v>28.777530149999997</v>
      </c>
      <c r="BB108" s="14">
        <f>INDEX(其他调用!$H$5:$L$404,MATCH($K108,其他调用!$B$5:$B$404,0),MATCH(BB$5,其他调用!$H$4:$L$4,0))*INDEX(其他调用!$M$5:$M$404,MATCH($K108,其他调用!$B$5:$B$404,0))*0.6</f>
        <v>28.374908241551999</v>
      </c>
      <c r="BC108" s="14">
        <f>INDEX(其他调用!$H$5:$L$404,MATCH($K108,其他调用!$B$5:$B$404,0),MATCH(BC$5,其他调用!$H$4:$L$4,0))*INDEX(其他调用!$M$5:$M$404,MATCH($K108,其他调用!$B$5:$B$404,0))*0.6</f>
        <v>2.3162520084480001</v>
      </c>
      <c r="BD108" s="14">
        <f>INDEX(其他调用!$H$5:$L$404,MATCH($K108,其他调用!$B$5:$B$404,0),MATCH(BD$5,其他调用!$H$4:$L$4,0))*INDEX(其他调用!$M$5:$M$404,MATCH($K108,其他调用!$B$5:$B$404,0))*0.6</f>
        <v>0.4120776000000001</v>
      </c>
      <c r="BE108" s="14">
        <f>INDEX(其他调用!$H$5:$L$404,MATCH($K108,其他调用!$B$5:$B$404,0),MATCH(BE$5,其他调用!$H$4:$L$4,0))*INDEX(其他调用!$M$5:$M$404,MATCH($K108,其他调用!$B$5:$B$404,0))*0.6</f>
        <v>0.11923199999999998</v>
      </c>
      <c r="BF108" s="14">
        <f>IF(OR(BF$5="大R",BF$5="超R"),0,INDEX(其他调用!$H$5:$L$404,MATCH($K108,其他调用!$B$5:$B$404,0),MATCH(BF$5,其他调用!$H$4:$L$4,0))*50*0.4)</f>
        <v>9.5925100500000013</v>
      </c>
      <c r="BG108" s="14">
        <f>IF(OR(BG$5="大R",BG$5="超R"),0,INDEX(其他调用!$H$5:$L$404,MATCH($K108,其他调用!$B$5:$B$404,0),MATCH(BG$5,其他调用!$H$4:$L$4,0))*50*0.4)</f>
        <v>9.4583027471839998</v>
      </c>
      <c r="BH108" s="14">
        <f>IF(OR(BH$5="大R",BH$5="超R"),0,INDEX(其他调用!$H$5:$L$404,MATCH($K108,其他调用!$B$5:$B$404,0),MATCH(BH$5,其他调用!$H$4:$L$4,0))*50*0.4)</f>
        <v>0.77208400281600009</v>
      </c>
      <c r="BI108" s="14">
        <f>IF(OR(BI$5="大R",BI$5="超R"),0,INDEX(其他调用!$H$5:$L$404,MATCH($K108,其他调用!$B$5:$B$404,0),MATCH(BI$5,其他调用!$H$4:$L$4,0))*50*0.4)</f>
        <v>0</v>
      </c>
      <c r="BJ108" s="14">
        <f>IF(OR(BJ$5="大R",BJ$5="超R"),0,INDEX(其他调用!$H$5:$L$404,MATCH($K108,其他调用!$B$5:$B$404,0),MATCH(BJ$5,其他调用!$H$4:$L$4,0))*50*0.4)</f>
        <v>0</v>
      </c>
      <c r="BL108" s="14">
        <f t="shared" si="208"/>
        <v>103</v>
      </c>
      <c r="BM108" s="14">
        <f t="shared" si="115"/>
        <v>96</v>
      </c>
      <c r="BN108" s="14">
        <f>('疲劳值&amp;地图信息'!$S$10*'疲劳值&amp;地图信息'!$R$10+'疲劳值&amp;地图信息'!$S$11*'疲劳值&amp;地图信息'!$R$11+'疲劳值&amp;地图信息'!$S$12*'疲劳值&amp;地图信息'!$R$12+(BM108-'疲劳值&amp;地图信息'!$S$12-'疲劳值&amp;地图信息'!$S$11-'疲劳值&amp;地图信息'!$S$10)*'疲劳值&amp;地图信息'!$R$13)/BM108</f>
        <v>51.371477246638619</v>
      </c>
      <c r="BO108" s="14">
        <f>INDEX(其他调用!$M$5:$M$404,MATCH(BL108,其他调用!$B$5:$B$404,0))*0.6</f>
        <v>60</v>
      </c>
      <c r="BP108" s="14">
        <f>IF(BO108&gt;SUM('疲劳值&amp;地图信息'!$S$10:$S$12),('疲劳值&amp;地图信息'!$S$10*'疲劳值&amp;地图信息'!$R$10+'疲劳值&amp;地图信息'!$S$11*'疲劳值&amp;地图信息'!$R$11+'疲劳值&amp;地图信息'!$S$12*'疲劳值&amp;地图信息'!$R$12+(BO108-'疲劳值&amp;地图信息'!$S$12-'疲劳值&amp;地图信息'!$S$11-'疲劳值&amp;地图信息'!$S$10)*'疲劳值&amp;地图信息'!$R$13)/BO108,('疲劳值&amp;地图信息'!$S$10*'疲劳值&amp;地图信息'!$R$10+'疲劳值&amp;地图信息'!$S$11*'疲劳值&amp;地图信息'!$R$11+'疲劳值&amp;地图信息'!$S$12*'疲劳值&amp;地图信息'!$R$12+(BO108-'疲劳值&amp;地图信息'!$S$12-'疲劳值&amp;地图信息'!$S$11-'疲劳值&amp;地图信息'!$S$10)*'疲劳值&amp;地图信息'!$R$13)/BO108)</f>
        <v>44.158136341605953</v>
      </c>
      <c r="BQ108" s="14">
        <f t="shared" si="209"/>
        <v>20</v>
      </c>
      <c r="BR108" s="14">
        <f>('疲劳值&amp;地图信息'!$S$10*'疲劳值&amp;地图信息'!$R$10+($BQ108-'疲劳值&amp;地图信息'!$S$10)*'疲劳值&amp;地图信息'!$R$11)/$BQ108</f>
        <v>32.067203015074995</v>
      </c>
      <c r="CF108" s="14">
        <v>103</v>
      </c>
      <c r="CG108" s="51">
        <f t="shared" si="116"/>
        <v>9939</v>
      </c>
      <c r="CH108" s="51">
        <f t="shared" si="117"/>
        <v>865</v>
      </c>
      <c r="CI108" s="51">
        <f>INT(SUMPRODUCT($N108:$R108,$BA108:$BE108)/SUM($BA108:$BE108)/10000*$BX$7*$BZ$34/'疲劳值&amp;地图信息'!$R$10*$BY$53)</f>
        <v>2951</v>
      </c>
      <c r="CJ108" s="50">
        <f t="shared" si="118"/>
        <v>0.7225736095965104</v>
      </c>
      <c r="CK108" s="50">
        <f t="shared" si="119"/>
        <v>6.2886223191566698E-2</v>
      </c>
      <c r="CL108" s="50">
        <f t="shared" si="120"/>
        <v>0.21454016721192293</v>
      </c>
      <c r="CM108" s="14">
        <f t="shared" si="121"/>
        <v>10578</v>
      </c>
      <c r="CN108" s="14">
        <f t="shared" si="122"/>
        <v>1382</v>
      </c>
      <c r="CO108" s="14">
        <f>INT(SUMPRODUCT($U108:$Y108,$BA108:$BE108)/SUM($BA108:$BE108)/10000*$BX$7*$BZ$34/'疲劳值&amp;地图信息'!$R$10*$BY$54)</f>
        <v>5487</v>
      </c>
      <c r="CP108" s="50">
        <f t="shared" si="123"/>
        <v>0.60629334556084136</v>
      </c>
      <c r="CQ108" s="50">
        <f t="shared" si="124"/>
        <v>7.9211325729351745E-2</v>
      </c>
      <c r="CR108" s="50">
        <f t="shared" si="125"/>
        <v>0.31449532870980684</v>
      </c>
      <c r="CS108" s="14">
        <f t="shared" si="126"/>
        <v>11369</v>
      </c>
      <c r="CT108" s="14">
        <f t="shared" si="127"/>
        <v>2435</v>
      </c>
      <c r="CU108" s="14">
        <f>INT(SUMPRODUCT($AB108:$AF108,$BA108:$BE108)/SUM($BA108:$BE108)/10000*$BX$7*$BZ$34/'疲劳值&amp;地图信息'!$R$10*$BY$55)</f>
        <v>7459</v>
      </c>
      <c r="CV108" s="50">
        <f t="shared" si="128"/>
        <v>0.53468466349997645</v>
      </c>
      <c r="CW108" s="50">
        <f t="shared" si="129"/>
        <v>0.1145181771151766</v>
      </c>
      <c r="CX108" s="50">
        <f t="shared" si="130"/>
        <v>0.3507971593848469</v>
      </c>
      <c r="CY108" s="14">
        <f t="shared" si="131"/>
        <v>12895</v>
      </c>
      <c r="CZ108" s="14">
        <f t="shared" si="132"/>
        <v>6141</v>
      </c>
      <c r="DA108" s="14">
        <f>INT(SUMPRODUCT($AI108:$AM108,$BA108:$BE108)/SUM($BA108:$BE108)/10000*$BX$7*$BZ$34/'疲劳值&amp;地图信息'!$R$10*$BY$56)</f>
        <v>11246</v>
      </c>
      <c r="DB108" s="50">
        <f t="shared" si="133"/>
        <v>0.42583052638531138</v>
      </c>
      <c r="DC108" s="50">
        <f t="shared" si="134"/>
        <v>0.2027937388547652</v>
      </c>
      <c r="DD108" s="50">
        <f t="shared" si="135"/>
        <v>0.37137573475992336</v>
      </c>
      <c r="DE108" s="14">
        <f t="shared" si="136"/>
        <v>12739</v>
      </c>
      <c r="DF108" s="14">
        <f t="shared" si="137"/>
        <v>12178</v>
      </c>
      <c r="DG108" s="14">
        <f>INT(SUMPRODUCT($AP108:$AT108,$BA108:$BE108)/SUM($BA108:$BE108)/10000*$BX$7*$BZ$34/'疲劳值&amp;地图信息'!$R$10*$BY$57)</f>
        <v>15021</v>
      </c>
      <c r="DH108" s="50">
        <f t="shared" si="138"/>
        <v>0.3189694025739897</v>
      </c>
      <c r="DI108" s="50">
        <f t="shared" si="139"/>
        <v>0.30492263007661874</v>
      </c>
      <c r="DJ108" s="50">
        <f t="shared" si="140"/>
        <v>0.37610796734939156</v>
      </c>
      <c r="DL108" s="14">
        <f t="shared" si="211"/>
        <v>13755</v>
      </c>
      <c r="DM108" s="14">
        <f t="shared" si="212"/>
        <v>17447</v>
      </c>
      <c r="DN108" s="14">
        <f t="shared" si="213"/>
        <v>21263</v>
      </c>
      <c r="DO108" s="14">
        <f t="shared" si="214"/>
        <v>30282</v>
      </c>
      <c r="DP108" s="14">
        <f t="shared" si="215"/>
        <v>39938</v>
      </c>
      <c r="DQ108" s="14">
        <f t="shared" si="216"/>
        <v>957382</v>
      </c>
      <c r="DT108" s="14">
        <f t="shared" si="210"/>
        <v>235575</v>
      </c>
      <c r="DU108" s="50">
        <f t="shared" si="112"/>
        <v>0.19747149310494846</v>
      </c>
      <c r="DW108" s="14">
        <f t="shared" si="141"/>
        <v>1192957</v>
      </c>
      <c r="EB108" s="14">
        <v>103</v>
      </c>
      <c r="EC108" s="51">
        <f t="shared" si="142"/>
        <v>16565</v>
      </c>
      <c r="ED108" s="51">
        <f t="shared" si="143"/>
        <v>1442</v>
      </c>
      <c r="EE108" s="51">
        <f>INT(SUMPRODUCT($N108:$R108,$BF108:$BJ108)/SUM($BF108:$BJ108)/10000*$BX$7*$BZ$46/'疲劳值&amp;地图信息'!$R$10*$BY$53)</f>
        <v>396</v>
      </c>
      <c r="EF108" s="50">
        <f t="shared" si="144"/>
        <v>0.90012497962288762</v>
      </c>
      <c r="EG108" s="50">
        <f t="shared" si="145"/>
        <v>7.8356789653860781E-2</v>
      </c>
      <c r="EH108" s="50">
        <f t="shared" si="146"/>
        <v>2.1518230723251645E-2</v>
      </c>
      <c r="EI108" s="51">
        <f t="shared" si="147"/>
        <v>17631</v>
      </c>
      <c r="EJ108" s="51">
        <f t="shared" si="148"/>
        <v>2303</v>
      </c>
      <c r="EK108" s="14">
        <f>INT(SUMPRODUCT($U108:$Y108,$BF108:$BJ108)/SUM($BF108:$BJ108)/10000*$BX$7*$BZ$46/'疲劳值&amp;地图信息'!$R$10*$BY$54)</f>
        <v>736</v>
      </c>
      <c r="EL108" s="50">
        <f t="shared" si="149"/>
        <v>0.85297532656023223</v>
      </c>
      <c r="EM108" s="50">
        <f t="shared" si="150"/>
        <v>0.11141751330430576</v>
      </c>
      <c r="EN108" s="50">
        <f t="shared" si="151"/>
        <v>3.5607160135462022E-2</v>
      </c>
      <c r="EO108" s="51">
        <f t="shared" si="152"/>
        <v>18948</v>
      </c>
      <c r="EP108" s="51">
        <f t="shared" si="153"/>
        <v>4059</v>
      </c>
      <c r="EQ108" s="14">
        <f>INT(SUMPRODUCT($AB108:$AF108,$BF108:$BJ108)/SUM($BF108:$BJ108)/10000*$BX$7*$BZ$46/'疲劳值&amp;地图信息'!$R$10*$BY$55)</f>
        <v>1000</v>
      </c>
      <c r="ER108" s="50">
        <f t="shared" si="154"/>
        <v>0.78926979630940974</v>
      </c>
      <c r="ES108" s="50">
        <f t="shared" si="155"/>
        <v>0.16907568625817471</v>
      </c>
      <c r="ET108" s="50">
        <f t="shared" si="156"/>
        <v>4.1654517432415543E-2</v>
      </c>
      <c r="EU108" s="51">
        <f t="shared" si="157"/>
        <v>21493</v>
      </c>
      <c r="EV108" s="51">
        <f t="shared" si="158"/>
        <v>10236</v>
      </c>
      <c r="EW108" s="14">
        <f>INT(SUMPRODUCT($AI108:$AM108,$BF108:$BJ108)/SUM($BF108:$BJ108)/10000*$BX$7*$BZ$46/'疲劳值&amp;地图信息'!$R$10*$BY$56)</f>
        <v>1500</v>
      </c>
      <c r="EX108" s="50">
        <f t="shared" si="159"/>
        <v>0.64681452947726381</v>
      </c>
      <c r="EY108" s="50">
        <f t="shared" si="160"/>
        <v>0.30804417827801017</v>
      </c>
      <c r="EZ108" s="50">
        <f t="shared" si="161"/>
        <v>4.5141292244725989E-2</v>
      </c>
      <c r="FA108" s="51">
        <f t="shared" si="162"/>
        <v>21233</v>
      </c>
      <c r="FB108" s="51">
        <f t="shared" si="163"/>
        <v>20298</v>
      </c>
      <c r="FC108" s="14">
        <f>INT(SUMPRODUCT($AP108:$AT108,$BF108:$BJ108)/SUM($BF108:$BJ108)/10000*$BX$7*$BZ$46/'疲劳值&amp;地图信息'!$R$10*$BY$57)</f>
        <v>2000</v>
      </c>
      <c r="FD108" s="50">
        <f t="shared" si="164"/>
        <v>0.48776733821874069</v>
      </c>
      <c r="FE108" s="50">
        <f t="shared" si="165"/>
        <v>0.46628839218028534</v>
      </c>
      <c r="FF108" s="50">
        <f t="shared" si="166"/>
        <v>4.5944269600974016E-2</v>
      </c>
      <c r="FH108" s="14">
        <f t="shared" si="167"/>
        <v>18403</v>
      </c>
      <c r="FI108" s="14">
        <f t="shared" si="168"/>
        <v>20670</v>
      </c>
      <c r="FJ108" s="14">
        <f t="shared" si="169"/>
        <v>24007</v>
      </c>
      <c r="FK108" s="14">
        <f t="shared" si="170"/>
        <v>33229</v>
      </c>
      <c r="FL108" s="14">
        <f t="shared" si="171"/>
        <v>43531</v>
      </c>
      <c r="FM108" s="14">
        <f t="shared" si="172"/>
        <v>2145424</v>
      </c>
      <c r="FP108" s="14">
        <f t="shared" si="173"/>
        <v>334150</v>
      </c>
      <c r="FQ108" s="50">
        <f t="shared" si="113"/>
        <v>0.1347610516967834</v>
      </c>
      <c r="FS108" s="14">
        <f t="shared" si="174"/>
        <v>2479574</v>
      </c>
      <c r="FX108" s="14">
        <v>103</v>
      </c>
      <c r="FY108" s="51">
        <f t="shared" si="175"/>
        <v>23192</v>
      </c>
      <c r="FZ108" s="51">
        <f t="shared" si="176"/>
        <v>1442</v>
      </c>
      <c r="GA108" s="51">
        <f>INT(SUMPRODUCT($N108:$R108,$BF108:$BJ108)/SUM($BF108:$BJ108)/10000*$BX$7*$BZ$46/'疲劳值&amp;地图信息'!$R$10*$BY$53)</f>
        <v>396</v>
      </c>
      <c r="GB108" s="50">
        <f t="shared" si="177"/>
        <v>0.92656811825809027</v>
      </c>
      <c r="GC108" s="50">
        <f t="shared" si="178"/>
        <v>5.761086695964842E-2</v>
      </c>
      <c r="GD108" s="50">
        <f t="shared" si="179"/>
        <v>1.5821014782261285E-2</v>
      </c>
      <c r="GE108" s="51">
        <f t="shared" si="180"/>
        <v>24683</v>
      </c>
      <c r="GF108" s="51">
        <f t="shared" si="181"/>
        <v>2303</v>
      </c>
      <c r="GG108" s="14">
        <f>INT(SUMPRODUCT($U108:$Y108,$BF108:$BJ108)/SUM($BF108:$BJ108)/10000*$BX$7*$BZ$46/'疲劳值&amp;地图信息'!$R$10*$BY$54)</f>
        <v>736</v>
      </c>
      <c r="GH108" s="50">
        <f t="shared" si="182"/>
        <v>0.89037587475651103</v>
      </c>
      <c r="GI108" s="50">
        <f t="shared" si="183"/>
        <v>8.3074814226967747E-2</v>
      </c>
      <c r="GJ108" s="50">
        <f t="shared" si="184"/>
        <v>2.6549311016521176E-2</v>
      </c>
      <c r="GK108" s="51">
        <f t="shared" si="185"/>
        <v>26528</v>
      </c>
      <c r="GL108" s="51">
        <f t="shared" si="186"/>
        <v>4059</v>
      </c>
      <c r="GM108" s="14">
        <f>INT(SUMPRODUCT($AB108:$AF108,$BF108:$BJ108)/SUM($BF108:$BJ108)/10000*$BX$7*$BZ$46/'疲劳值&amp;地图信息'!$R$10*$BY$55)</f>
        <v>1000</v>
      </c>
      <c r="GN108" s="50">
        <f t="shared" si="187"/>
        <v>0.83983917434387567</v>
      </c>
      <c r="GO108" s="50">
        <f t="shared" si="188"/>
        <v>0.12850223193085764</v>
      </c>
      <c r="GP108" s="50">
        <f t="shared" si="189"/>
        <v>3.165859372526672E-2</v>
      </c>
      <c r="GQ108" s="51">
        <f t="shared" si="190"/>
        <v>30090</v>
      </c>
      <c r="GR108" s="51">
        <f t="shared" si="191"/>
        <v>10236</v>
      </c>
      <c r="GS108" s="14">
        <f>INT(SUMPRODUCT($AI108:$AM108,$BF108:$BJ108)/SUM($BF108:$BJ108)/10000*$BX$7*$BZ$46/'疲劳值&amp;地图信息'!$R$10*$BY$56)</f>
        <v>1500</v>
      </c>
      <c r="GT108" s="50">
        <f t="shared" si="192"/>
        <v>0.71940898006024956</v>
      </c>
      <c r="GU108" s="50">
        <f t="shared" si="193"/>
        <v>0.24472815951800317</v>
      </c>
      <c r="GV108" s="50">
        <f t="shared" si="194"/>
        <v>3.5862860421747238E-2</v>
      </c>
      <c r="GW108" s="51">
        <f t="shared" si="195"/>
        <v>29726</v>
      </c>
      <c r="GX108" s="51">
        <f t="shared" si="196"/>
        <v>20298</v>
      </c>
      <c r="GY108" s="14">
        <f>INT(SUMPRODUCT($AP108:$AT108,$BF108:$BJ108)/SUM($BF108:$BJ108)/10000*$BX$7*$BZ$46/'疲劳值&amp;地图信息'!$R$10*$BY$57)</f>
        <v>2000</v>
      </c>
      <c r="GZ108" s="50">
        <f t="shared" si="197"/>
        <v>0.57139012763340002</v>
      </c>
      <c r="HA108" s="50">
        <f t="shared" si="198"/>
        <v>0.39016607719514068</v>
      </c>
      <c r="HB108" s="50">
        <f t="shared" si="199"/>
        <v>3.8443795171459329E-2</v>
      </c>
      <c r="HD108" s="14">
        <f t="shared" si="200"/>
        <v>25030</v>
      </c>
      <c r="HE108" s="14">
        <f t="shared" si="201"/>
        <v>27722</v>
      </c>
      <c r="HF108" s="14">
        <f t="shared" si="202"/>
        <v>31587</v>
      </c>
      <c r="HG108" s="14">
        <f t="shared" si="203"/>
        <v>41826</v>
      </c>
      <c r="HH108" s="14">
        <f t="shared" si="204"/>
        <v>52024</v>
      </c>
      <c r="HI108" s="14">
        <f t="shared" si="205"/>
        <v>2873826</v>
      </c>
      <c r="HL108" s="14">
        <f t="shared" si="206"/>
        <v>430050</v>
      </c>
      <c r="HM108" s="50">
        <f t="shared" si="114"/>
        <v>0.13016529676053218</v>
      </c>
      <c r="HO108" s="14">
        <f t="shared" si="207"/>
        <v>3303876</v>
      </c>
    </row>
    <row r="109" spans="11:223" x14ac:dyDescent="0.2">
      <c r="K109" s="14">
        <v>104</v>
      </c>
      <c r="L109" s="12">
        <f>求节点(节奏总纲!D$4:D$163,标准城池设计!AB$4:AB$163,$K109)*求节点(节奏总纲!D$4:D$163,攻城基础信息!$AC$5:$AC$164,$K109)</f>
        <v>489651.49744033458</v>
      </c>
      <c r="M109" s="12">
        <f>INDEX(其他调用!$AA$5:$AA$404,MATCH(K109,其他调用!$X$5:$X$404,0))*MIN(INDEX(其他调用!$AH$5:$AH$364,MATCH('征服点（新）'!K109,其他调用!$AG$5:$AG$364,0),1)/INDEX(其他调用!$AJ$5:$AJ$364,MATCH(K109,其他调用!$AG$5:$AG$364,0),0),5)*求节点(节奏总纲!D$4:D$163,攻城基础信息!$AC$5:$AC$164,$K109)</f>
        <v>42566.258335198072</v>
      </c>
      <c r="N109" s="12">
        <f>MIN(INDEX(其他调用!$AH$5:$AH$364,MATCH($K109,其他调用!$AG$5:$AG$364,0),1)/INDEX(其他调用!AH$5:AH$364,MATCH($K109,其他调用!$AG$5:$AG$364,0),0),1)*INDEX(其他调用!Y$5:Y$404,MATCH($K109,其他调用!$X$5:$X$404,0),0)</f>
        <v>36369.412105297808</v>
      </c>
      <c r="O109" s="12">
        <f>MIN(INDEX(其他调用!$AH$5:$AH$364,MATCH($K109,其他调用!$AG$5:$AG$364,0),1)/INDEX(其他调用!AI$5:AI$364,MATCH($K109,其他调用!$AG$5:$AG$364,0),0),1)*INDEX(其他调用!Z$5:Z$404,MATCH($K109,其他调用!$X$5:$X$404,0),0)</f>
        <v>23422.971758603515</v>
      </c>
      <c r="P109" s="12">
        <f>MIN(INDEX(其他调用!$AH$5:$AH$364,MATCH($K109,其他调用!$AG$5:$AG$364,0),1)/INDEX(其他调用!AJ$5:AJ$364,MATCH($K109,其他调用!$AG$5:$AG$364,0),0),1)*INDEX(其他调用!AA$5:AA$404,MATCH($K109,其他调用!$X$5:$X$404,0),0)</f>
        <v>13859.473771491737</v>
      </c>
      <c r="Q109" s="12">
        <f>MIN(INDEX(其他调用!$AH$5:$AH$364,MATCH($K109,其他调用!$AG$5:$AG$364,0),1)/INDEX(其他调用!AK$5:AK$364,MATCH($K109,其他调用!$AG$5:$AG$364,0),0),1)*INDEX(其他调用!AB$5:AB$404,MATCH($K109,其他调用!$X$5:$X$404,0),0)</f>
        <v>5793.0492808393374</v>
      </c>
      <c r="R109" s="12">
        <f>MIN(INDEX(其他调用!$AH$5:$AH$364,MATCH($K109,其他调用!$AG$5:$AG$364,0),1)/INDEX(其他调用!AL$5:AL$364,MATCH($K109,其他调用!$AG$5:$AG$364,0),0),1)*INDEX(其他调用!AC$5:AC$404,MATCH($K109,其他调用!$X$5:$X$404,0),0)</f>
        <v>1789.3299665987793</v>
      </c>
      <c r="S109" s="12">
        <f>求节点(节奏总纲!D$4:D$163,标准城池设计!AC$4:AC$163,$K109)*求节点(节奏总纲!D$4:D$163,攻城基础信息!$AD$5:$AD$164,$K109)</f>
        <v>521376.76267554582</v>
      </c>
      <c r="T109" s="12">
        <f>INDEX(其他调用!$AA$5:$AA$404,MATCH($K109,其他调用!$X$5:$X$404,0))*MIN(INDEX(其他调用!AI$5:AI$364,MATCH($K109,其他调用!$AG$5:$AG$364,0),1)/INDEX(其他调用!$AJ$5:$AJ$364,MATCH($K109,其他调用!$AG$5:$AG$364,0),0),5)*求节点(节奏总纲!D$4:D$163,攻城基础信息!$AD$5:$AD$164,$K109)</f>
        <v>68175.771800679737</v>
      </c>
      <c r="U109" s="12">
        <f>MIN(INDEX(其他调用!$AI$5:$AI$364,MATCH($K109,其他调用!$AG$5:$AG$364,0),1)/INDEX(其他调用!AH$5:AH$364,MATCH($K109,其他调用!$AG$5:$AG$364,0),0),1)*INDEX(其他调用!Y$5:Y$404,MATCH($K109,其他调用!$X$5:$X$404,0),0)</f>
        <v>36369.412105297808</v>
      </c>
      <c r="V109" s="12">
        <f>MIN(INDEX(其他调用!$AI$5:$AI$364,MATCH($K109,其他调用!$AG$5:$AG$364,0),1)/INDEX(其他调用!AI$5:AI$364,MATCH($K109,其他调用!$AG$5:$AG$364,0),0),1)*INDEX(其他调用!Z$5:Z$404,MATCH($K109,其他调用!$X$5:$X$404,0),0)</f>
        <v>37515.140864233741</v>
      </c>
      <c r="W109" s="12">
        <f>MIN(INDEX(其他调用!$AI$5:$AI$364,MATCH($K109,其他调用!$AG$5:$AG$364,0),1)/INDEX(其他调用!AJ$5:AJ$364,MATCH($K109,其他调用!$AG$5:$AG$364,0),0),1)*INDEX(其他调用!AA$5:AA$404,MATCH($K109,其他调用!$X$5:$X$404,0),0)</f>
        <v>22197.871226595562</v>
      </c>
      <c r="X109" s="12">
        <f>MIN(INDEX(其他调用!$AI$5:$AI$364,MATCH($K109,其他调用!$AG$5:$AG$364,0),1)/INDEX(其他调用!AK$5:AK$364,MATCH($K109,其他调用!$AG$5:$AG$364,0),0),1)*INDEX(其他调用!AB$5:AB$404,MATCH($K109,其他调用!$X$5:$X$404,0),0)</f>
        <v>9278.3726182955015</v>
      </c>
      <c r="Y109" s="12">
        <f>MIN(INDEX(其他调用!$AI$5:$AI$364,MATCH($K109,其他调用!$AG$5:$AG$364,0),1)/INDEX(其他调用!AL$5:AL$364,MATCH($K109,其他调用!$AG$5:$AG$364,0),0),1)*INDEX(其他调用!AC$5:AC$404,MATCH($K109,其他调用!$X$5:$X$404,0),0)</f>
        <v>2865.8603375078305</v>
      </c>
      <c r="Z109" s="12">
        <f>求节点(节奏总纲!D$4:D$163,标准城池设计!AD$4:AD$163,$K109)*求节点(节奏总纲!D$4:D$163,攻城基础信息!$AE$5:$AE$164,$K109)</f>
        <v>560305.48973436968</v>
      </c>
      <c r="AA109" s="12">
        <f>INDEX(其他调用!$AA$5:$AA$404,MATCH($K109,其他调用!$X$5:$X$404,0))*MIN(INDEX(其他调用!AJ$5:AJ$364,MATCH($K109,其他调用!$AG$5:$AG$364,0),1)/INDEX(其他调用!$AJ$5:$AJ$364,MATCH($K109,其他调用!$AG$5:$AG$364,0),0),5)*求节点(节奏总纲!D$4:D$163,攻城基础信息!$AE$5:$AE$164,$K109)</f>
        <v>119855.33308860424</v>
      </c>
      <c r="AB109" s="12">
        <f>MIN(INDEX(其他调用!$AJ$5:$AJ$364,MATCH($K109,其他调用!$AG$5:$AG$364,0),1)/INDEX(其他调用!AH$5:AH$364,MATCH($K109,其他调用!$AG$5:$AG$364,0),0),1)*INDEX(其他调用!Y$5:Y$404,MATCH($K109,其他调用!$X$5:$X$404,0),0)</f>
        <v>36369.412105297808</v>
      </c>
      <c r="AC109" s="12">
        <f>MIN(INDEX(其他调用!$AJ$5:$AJ$364,MATCH($K109,其他调用!$AG$5:$AG$364,0),1)/INDEX(其他调用!AI$5:AI$364,MATCH($K109,其他调用!$AG$5:$AG$364,0),0),1)*INDEX(其他调用!Z$5:Z$404,MATCH($K109,其他调用!$X$5:$X$404,0),0)</f>
        <v>37515.140864233741</v>
      </c>
      <c r="AD109" s="12">
        <f>MIN(INDEX(其他调用!$AJ$5:$AJ$364,MATCH($K109,其他调用!$AG$5:$AG$364,0),1)/INDEX(其他调用!AJ$5:AJ$364,MATCH($K109,其他调用!$AG$5:$AG$364,0),0),1)*INDEX(其他调用!AA$5:AA$404,MATCH($K109,其他调用!$X$5:$X$404,0),0)</f>
        <v>39024.61504212892</v>
      </c>
      <c r="AE109" s="12">
        <f>MIN(INDEX(其他调用!$AJ$5:$AJ$364,MATCH($K109,其他调用!$AG$5:$AG$364,0),1)/INDEX(其他调用!AK$5:AK$364,MATCH($K109,其他调用!$AG$5:$AG$364,0),0),1)*INDEX(其他调用!AB$5:AB$404,MATCH($K109,其他调用!$X$5:$X$404,0),0)</f>
        <v>16311.695655419113</v>
      </c>
      <c r="AF109" s="12">
        <f>MIN(INDEX(其他调用!$AJ$5:$AJ$364,MATCH($K109,其他调用!$AG$5:$AG$364,0),1)/INDEX(其他调用!AL$5:AL$364,MATCH($K109,其他调用!$AG$5:$AG$364,0),0),1)*INDEX(其他调用!AC$5:AC$404,MATCH($K109,其他调用!$X$5:$X$404,0),0)</f>
        <v>5038.2802609356913</v>
      </c>
      <c r="AG109" s="12">
        <f>求节点(节奏总纲!D$4:D$163,标准城池设计!AE$4:AE$163,$K109)*求节点(节奏总纲!D$4:D$163,攻城基础信息!$AF$5:$AF$164,$K109)</f>
        <v>635942.96982526348</v>
      </c>
      <c r="AH109" s="12">
        <f>INDEX(其他调用!$AA$5:$AA$404,MATCH($K109,其他调用!$X$5:$X$404,0))*MIN(INDEX(其他调用!AK$5:AK$364,MATCH($K109,其他调用!$AG$5:$AG$364,0),1)/INDEX(其他调用!$AJ$5:$AJ$364,MATCH($K109,其他调用!$AG$5:$AG$364,0),0),5)*求节点(节奏总纲!D$4:D$163,攻城基础信息!$AF$5:$AF$164,$K109)</f>
        <v>302714.16606317391</v>
      </c>
      <c r="AI109" s="12">
        <f>MIN(INDEX(其他调用!$AK$5:$AK$364,MATCH($K109,其他调用!$AG$5:$AG$364,0),1)/INDEX(其他调用!AH$5:AH$364,MATCH($K109,其他调用!$AG$5:$AG$364,0),0),1)*INDEX(其他调用!Y$5:Y$404,MATCH($K109,其他调用!$X$5:$X$404,0),0)</f>
        <v>36369.412105297808</v>
      </c>
      <c r="AJ109" s="12">
        <f>MIN(INDEX(其他调用!$AK$5:$AK$364,MATCH($K109,其他调用!$AG$5:$AG$364,0),1)/INDEX(其他调用!AI$5:AI$364,MATCH($K109,其他调用!$AG$5:$AG$364,0),0),1)*INDEX(其他调用!Z$5:Z$404,MATCH($K109,其他调用!$X$5:$X$404,0),0)</f>
        <v>37515.140864233741</v>
      </c>
      <c r="AK109" s="12">
        <f>MIN(INDEX(其他调用!$AK$5:$AK$364,MATCH($K109,其他调用!$AG$5:$AG$364,0),1)/INDEX(其他调用!AJ$5:AJ$364,MATCH($K109,其他调用!$AG$5:$AG$364,0),0),1)*INDEX(其他调用!AA$5:AA$404,MATCH($K109,其他调用!$X$5:$X$404,0),0)</f>
        <v>39024.61504212892</v>
      </c>
      <c r="AL109" s="12">
        <f>MIN(INDEX(其他调用!$AK$5:$AK$364,MATCH($K109,其他调用!$AG$5:$AG$364,0),1)/INDEX(其他调用!AK$5:AK$364,MATCH($K109,其他调用!$AG$5:$AG$364,0),0),1)*INDEX(其他调用!AB$5:AB$404,MATCH($K109,其他调用!$X$5:$X$404,0),0)</f>
        <v>41197.844269108915</v>
      </c>
      <c r="AM109" s="12">
        <f>MIN(INDEX(其他调用!$AK$5:$AK$364,MATCH($K109,其他调用!$AG$5:$AG$364,0),1)/INDEX(其他调用!AL$5:AL$364,MATCH($K109,其他调用!$AG$5:$AG$364,0),0),1)*INDEX(其他调用!AC$5:AC$404,MATCH($K109,其他调用!$X$5:$X$404,0),0)</f>
        <v>12724.997447165821</v>
      </c>
      <c r="AN109" s="12">
        <f>求节点(节奏总纲!D$4:D$163,标准城池设计!AF$4:AF$163,$K109)*求节点(节奏总纲!D$4:D$163,攻城基础信息!$AG$5:$AG$164,$K109)</f>
        <v>628105.20717532665</v>
      </c>
      <c r="AO109" s="12">
        <f>INDEX(其他调用!$AA$5:$AA$404,MATCH($K109,其他调用!$X$5:$X$404,0))*MIN(INDEX(其他调用!AL$5:AL$364,MATCH($K109,其他调用!$AG$5:$AG$364,0),1)/INDEX(其他调用!$AJ$5:$AJ$364,MATCH($K109,其他调用!$AG$5:$AG$364,0),0),5)*求节点(节奏总纲!D$4:D$163,攻城基础信息!$AG$5:$AG$164,$K109)</f>
        <v>599276.66544302122</v>
      </c>
      <c r="AP109" s="12">
        <f>MIN(INDEX(其他调用!$AL$5:$AL$364,MATCH($K109,其他调用!$AG$5:$AG$364,0),1)/INDEX(其他调用!AH$5:AH$364,MATCH($K109,其他调用!$AG$5:$AG$364,0),0),1)*INDEX(其他调用!Y$5:Y$404,MATCH($K109,其他调用!$X$5:$X$404,0),0)</f>
        <v>36369.412105297808</v>
      </c>
      <c r="AQ109" s="12">
        <f>MIN(INDEX(其他调用!$AL$5:$AL$364,MATCH($K109,其他调用!$AG$5:$AG$364,0),1)/INDEX(其他调用!AI$5:AI$364,MATCH($K109,其他调用!$AG$5:$AG$364,0),0),1)*INDEX(其他调用!Z$5:Z$404,MATCH($K109,其他调用!$X$5:$X$404,0),0)</f>
        <v>37515.140864233741</v>
      </c>
      <c r="AR109" s="12">
        <f>MIN(INDEX(其他调用!$AL$5:$AL$364,MATCH($K109,其他调用!$AG$5:$AG$364,0),1)/INDEX(其他调用!AJ$5:AJ$364,MATCH($K109,其他调用!$AG$5:$AG$364,0),0),1)*INDEX(其他调用!AA$5:AA$404,MATCH($K109,其他调用!$X$5:$X$404,0),0)</f>
        <v>39024.61504212892</v>
      </c>
      <c r="AS109" s="12">
        <f>MIN(INDEX(其他调用!$AL$5:$AL$364,MATCH($K109,其他调用!$AG$5:$AG$364,0),1)/INDEX(其他调用!AK$5:AK$364,MATCH($K109,其他调用!$AG$5:$AG$364,0),0),1)*INDEX(其他调用!AB$5:AB$404,MATCH($K109,其他调用!$X$5:$X$404,0),0)</f>
        <v>41197.844269108915</v>
      </c>
      <c r="AT109" s="12">
        <f>MIN(INDEX(其他调用!$AL$5:$AL$364,MATCH($K109,其他调用!$AG$5:$AG$364,0),1)/INDEX(其他调用!AL$5:AL$364,MATCH($K109,其他调用!$AG$5:$AG$364,0),0),1)*INDEX(其他调用!AC$5:AC$404,MATCH($K109,其他调用!$X$5:$X$404,0),0)</f>
        <v>45059.992336524971</v>
      </c>
      <c r="AV109" s="14">
        <f>IF(OR(AV$5="大R",AV$5="超R"),MAX(INDEX(其他调用!$H$5:$L$404,MATCH($K109,其他调用!$B$5:$B$404,0),MATCH(AV$5,其他调用!$H$4:$L$4,0))*120*0.85,2),INDEX(其他调用!$H$5:$L$404,MATCH($K109,其他调用!$B$5:$B$404,0),MATCH(AV$5,其他调用!$H$4:$L$4,0))*120*0.85)</f>
        <v>48.921801254999991</v>
      </c>
      <c r="AW109" s="14">
        <f>IF(OR(AW$5="大R",AW$5="超R"),MAX(INDEX(其他调用!$H$5:$L$404,MATCH($K109,其他调用!$B$5:$B$404,0),MATCH(AW$5,其他调用!$H$4:$L$4,0))*120*0.85,2),INDEX(其他调用!$H$5:$L$404,MATCH($K109,其他调用!$B$5:$B$404,0),MATCH(AW$5,其他调用!$H$4:$L$4,0))*120*0.85)</f>
        <v>48.237344010638395</v>
      </c>
      <c r="AX109" s="14">
        <f>IF(OR(AX$5="大R",AX$5="超R"),MAX(INDEX(其他调用!$H$5:$L$404,MATCH($K109,其他调用!$B$5:$B$404,0),MATCH(AX$5,其他调用!$H$4:$L$4,0))*120*0.85,2),INDEX(其他调用!$H$5:$L$404,MATCH($K109,其他调用!$B$5:$B$404,0),MATCH(AX$5,其他调用!$H$4:$L$4,0))*120*0.85)</f>
        <v>3.9376284143615998</v>
      </c>
      <c r="AY109" s="14">
        <f>IF(OR(AY$5="大R",AY$5="超R"),MAX(INDEX(其他调用!$H$5:$L$404,MATCH($K109,其他调用!$B$5:$B$404,0),MATCH(AY$5,其他调用!$H$4:$L$4,0))*120*0.85,2),INDEX(其他调用!$H$5:$L$404,MATCH($K109,其他调用!$B$5:$B$404,0),MATCH(AY$5,其他调用!$H$4:$L$4,0))*120*0.85)</f>
        <v>2</v>
      </c>
      <c r="AZ109" s="14">
        <f>IF(OR(AZ$5="大R",AZ$5="超R"),MAX(INDEX(其他调用!$H$5:$L$404,MATCH($K109,其他调用!$B$5:$B$404,0),MATCH(AZ$5,其他调用!$H$4:$L$4,0))*120*0.85,2),INDEX(其他调用!$H$5:$L$404,MATCH($K109,其他调用!$B$5:$B$404,0),MATCH(AZ$5,其他调用!$H$4:$L$4,0))*120*0.85)</f>
        <v>2</v>
      </c>
      <c r="BA109" s="14">
        <f>INDEX(其他调用!$H$5:$L$404,MATCH($K109,其他调用!$B$5:$B$404,0),MATCH(BA$5,其他调用!$H$4:$L$4,0))*INDEX(其他调用!$M$5:$M$404,MATCH($K109,其他调用!$B$5:$B$404,0))*0.6</f>
        <v>28.777530149999997</v>
      </c>
      <c r="BB109" s="14">
        <f>INDEX(其他调用!$H$5:$L$404,MATCH($K109,其他调用!$B$5:$B$404,0),MATCH(BB$5,其他调用!$H$4:$L$4,0))*INDEX(其他调用!$M$5:$M$404,MATCH($K109,其他调用!$B$5:$B$404,0))*0.6</f>
        <v>28.374908241551999</v>
      </c>
      <c r="BC109" s="14">
        <f>INDEX(其他调用!$H$5:$L$404,MATCH($K109,其他调用!$B$5:$B$404,0),MATCH(BC$5,其他调用!$H$4:$L$4,0))*INDEX(其他调用!$M$5:$M$404,MATCH($K109,其他调用!$B$5:$B$404,0))*0.6</f>
        <v>2.3162520084480001</v>
      </c>
      <c r="BD109" s="14">
        <f>INDEX(其他调用!$H$5:$L$404,MATCH($K109,其他调用!$B$5:$B$404,0),MATCH(BD$5,其他调用!$H$4:$L$4,0))*INDEX(其他调用!$M$5:$M$404,MATCH($K109,其他调用!$B$5:$B$404,0))*0.6</f>
        <v>0.4120776000000001</v>
      </c>
      <c r="BE109" s="14">
        <f>INDEX(其他调用!$H$5:$L$404,MATCH($K109,其他调用!$B$5:$B$404,0),MATCH(BE$5,其他调用!$H$4:$L$4,0))*INDEX(其他调用!$M$5:$M$404,MATCH($K109,其他调用!$B$5:$B$404,0))*0.6</f>
        <v>0.11923199999999998</v>
      </c>
      <c r="BF109" s="14">
        <f>IF(OR(BF$5="大R",BF$5="超R"),0,INDEX(其他调用!$H$5:$L$404,MATCH($K109,其他调用!$B$5:$B$404,0),MATCH(BF$5,其他调用!$H$4:$L$4,0))*50*0.4)</f>
        <v>9.5925100500000013</v>
      </c>
      <c r="BG109" s="14">
        <f>IF(OR(BG$5="大R",BG$5="超R"),0,INDEX(其他调用!$H$5:$L$404,MATCH($K109,其他调用!$B$5:$B$404,0),MATCH(BG$5,其他调用!$H$4:$L$4,0))*50*0.4)</f>
        <v>9.4583027471839998</v>
      </c>
      <c r="BH109" s="14">
        <f>IF(OR(BH$5="大R",BH$5="超R"),0,INDEX(其他调用!$H$5:$L$404,MATCH($K109,其他调用!$B$5:$B$404,0),MATCH(BH$5,其他调用!$H$4:$L$4,0))*50*0.4)</f>
        <v>0.77208400281600009</v>
      </c>
      <c r="BI109" s="14">
        <f>IF(OR(BI$5="大R",BI$5="超R"),0,INDEX(其他调用!$H$5:$L$404,MATCH($K109,其他调用!$B$5:$B$404,0),MATCH(BI$5,其他调用!$H$4:$L$4,0))*50*0.4)</f>
        <v>0</v>
      </c>
      <c r="BJ109" s="14">
        <f>IF(OR(BJ$5="大R",BJ$5="超R"),0,INDEX(其他调用!$H$5:$L$404,MATCH($K109,其他调用!$B$5:$B$404,0),MATCH(BJ$5,其他调用!$H$4:$L$4,0))*50*0.4)</f>
        <v>0</v>
      </c>
      <c r="BL109" s="14">
        <f t="shared" si="208"/>
        <v>104</v>
      </c>
      <c r="BM109" s="14">
        <f t="shared" si="115"/>
        <v>96</v>
      </c>
      <c r="BN109" s="14">
        <f>('疲劳值&amp;地图信息'!$S$10*'疲劳值&amp;地图信息'!$R$10+'疲劳值&amp;地图信息'!$S$11*'疲劳值&amp;地图信息'!$R$11+'疲劳值&amp;地图信息'!$S$12*'疲劳值&amp;地图信息'!$R$12+(BM109-'疲劳值&amp;地图信息'!$S$12-'疲劳值&amp;地图信息'!$S$11-'疲劳值&amp;地图信息'!$S$10)*'疲劳值&amp;地图信息'!$R$13)/BM109</f>
        <v>51.371477246638619</v>
      </c>
      <c r="BO109" s="14">
        <f>INDEX(其他调用!$M$5:$M$404,MATCH(BL109,其他调用!$B$5:$B$404,0))*0.6</f>
        <v>60</v>
      </c>
      <c r="BP109" s="14">
        <f>IF(BO109&gt;SUM('疲劳值&amp;地图信息'!$S$10:$S$12),('疲劳值&amp;地图信息'!$S$10*'疲劳值&amp;地图信息'!$R$10+'疲劳值&amp;地图信息'!$S$11*'疲劳值&amp;地图信息'!$R$11+'疲劳值&amp;地图信息'!$S$12*'疲劳值&amp;地图信息'!$R$12+(BO109-'疲劳值&amp;地图信息'!$S$12-'疲劳值&amp;地图信息'!$S$11-'疲劳值&amp;地图信息'!$S$10)*'疲劳值&amp;地图信息'!$R$13)/BO109,('疲劳值&amp;地图信息'!$S$10*'疲劳值&amp;地图信息'!$R$10+'疲劳值&amp;地图信息'!$S$11*'疲劳值&amp;地图信息'!$R$11+'疲劳值&amp;地图信息'!$S$12*'疲劳值&amp;地图信息'!$R$12+(BO109-'疲劳值&amp;地图信息'!$S$12-'疲劳值&amp;地图信息'!$S$11-'疲劳值&amp;地图信息'!$S$10)*'疲劳值&amp;地图信息'!$R$13)/BO109)</f>
        <v>44.158136341605953</v>
      </c>
      <c r="BQ109" s="14">
        <f t="shared" si="209"/>
        <v>20</v>
      </c>
      <c r="BR109" s="14">
        <f>('疲劳值&amp;地图信息'!$S$10*'疲劳值&amp;地图信息'!$R$10+($BQ109-'疲劳值&amp;地图信息'!$S$10)*'疲劳值&amp;地图信息'!$R$11)/$BQ109</f>
        <v>32.067203015074995</v>
      </c>
      <c r="CF109" s="14">
        <v>104</v>
      </c>
      <c r="CG109" s="51">
        <f t="shared" si="116"/>
        <v>9979</v>
      </c>
      <c r="CH109" s="51">
        <f t="shared" si="117"/>
        <v>867</v>
      </c>
      <c r="CI109" s="51">
        <f>INT(SUMPRODUCT($N109:$R109,$BA109:$BE109)/SUM($BA109:$BE109)/10000*$BX$7*$BZ$34/'疲劳值&amp;地图信息'!$R$10*$BY$53)</f>
        <v>2952</v>
      </c>
      <c r="CJ109" s="50">
        <f t="shared" si="118"/>
        <v>0.72322075663139584</v>
      </c>
      <c r="CK109" s="50">
        <f t="shared" si="119"/>
        <v>6.2835193506305259E-2</v>
      </c>
      <c r="CL109" s="50">
        <f t="shared" si="120"/>
        <v>0.2139440498622989</v>
      </c>
      <c r="CM109" s="14">
        <f t="shared" si="121"/>
        <v>10626</v>
      </c>
      <c r="CN109" s="14">
        <f t="shared" si="122"/>
        <v>1389</v>
      </c>
      <c r="CO109" s="14">
        <f>INT(SUMPRODUCT($U109:$Y109,$BA109:$BE109)/SUM($BA109:$BE109)/10000*$BX$7*$BZ$34/'疲劳值&amp;地图信息'!$R$10*$BY$54)</f>
        <v>5496</v>
      </c>
      <c r="CP109" s="50">
        <f t="shared" si="123"/>
        <v>0.60681857118382732</v>
      </c>
      <c r="CQ109" s="50">
        <f t="shared" si="124"/>
        <v>7.9321569299297581E-2</v>
      </c>
      <c r="CR109" s="50">
        <f t="shared" si="125"/>
        <v>0.31385985951687512</v>
      </c>
      <c r="CS109" s="14">
        <f t="shared" si="126"/>
        <v>11419</v>
      </c>
      <c r="CT109" s="14">
        <f t="shared" si="127"/>
        <v>2442</v>
      </c>
      <c r="CU109" s="14">
        <f>INT(SUMPRODUCT($AB109:$AF109,$BA109:$BE109)/SUM($BA109:$BE109)/10000*$BX$7*$BZ$34/'疲劳值&amp;地图信息'!$R$10*$BY$55)</f>
        <v>7470</v>
      </c>
      <c r="CV109" s="50">
        <f t="shared" si="128"/>
        <v>0.53532417608175897</v>
      </c>
      <c r="CW109" s="50">
        <f t="shared" si="129"/>
        <v>0.11448127138905818</v>
      </c>
      <c r="CX109" s="50">
        <f t="shared" si="130"/>
        <v>0.35019455252918286</v>
      </c>
      <c r="CY109" s="14">
        <f t="shared" si="131"/>
        <v>12961</v>
      </c>
      <c r="CZ109" s="14">
        <f t="shared" si="132"/>
        <v>6169</v>
      </c>
      <c r="DA109" s="14">
        <f>INT(SUMPRODUCT($AI109:$AM109,$BA109:$BE109)/SUM($BA109:$BE109)/10000*$BX$7*$BZ$34/'疲劳值&amp;地图信息'!$R$10*$BY$56)</f>
        <v>11262</v>
      </c>
      <c r="DB109" s="50">
        <f t="shared" si="133"/>
        <v>0.42646091076599107</v>
      </c>
      <c r="DC109" s="50">
        <f t="shared" si="134"/>
        <v>0.20298104764411687</v>
      </c>
      <c r="DD109" s="50">
        <f t="shared" si="135"/>
        <v>0.37055804158989208</v>
      </c>
      <c r="DE109" s="14">
        <f t="shared" si="136"/>
        <v>12801</v>
      </c>
      <c r="DF109" s="14">
        <f t="shared" si="137"/>
        <v>12214</v>
      </c>
      <c r="DG109" s="14">
        <f>INT(SUMPRODUCT($AP109:$AT109,$BA109:$BE109)/SUM($BA109:$BE109)/10000*$BX$7*$BZ$34/'疲劳值&amp;地图信息'!$R$10*$BY$57)</f>
        <v>15043</v>
      </c>
      <c r="DH109" s="50">
        <f t="shared" si="138"/>
        <v>0.31956163562833889</v>
      </c>
      <c r="DI109" s="50">
        <f t="shared" si="139"/>
        <v>0.3049078835688252</v>
      </c>
      <c r="DJ109" s="50">
        <f t="shared" si="140"/>
        <v>0.37553048080283591</v>
      </c>
      <c r="DL109" s="14">
        <f t="shared" si="211"/>
        <v>13798</v>
      </c>
      <c r="DM109" s="14">
        <f t="shared" si="212"/>
        <v>17511</v>
      </c>
      <c r="DN109" s="14">
        <f t="shared" si="213"/>
        <v>21331</v>
      </c>
      <c r="DO109" s="14">
        <f t="shared" si="214"/>
        <v>30392</v>
      </c>
      <c r="DP109" s="14">
        <f t="shared" si="215"/>
        <v>40058</v>
      </c>
      <c r="DQ109" s="14">
        <f t="shared" si="216"/>
        <v>960653</v>
      </c>
      <c r="DT109" s="14">
        <f t="shared" si="210"/>
        <v>235575</v>
      </c>
      <c r="DU109" s="50">
        <f t="shared" si="112"/>
        <v>0.19693152141564985</v>
      </c>
      <c r="DW109" s="14">
        <f t="shared" si="141"/>
        <v>1196228</v>
      </c>
      <c r="EB109" s="14">
        <v>104</v>
      </c>
      <c r="EC109" s="51">
        <f t="shared" si="142"/>
        <v>16632</v>
      </c>
      <c r="ED109" s="51">
        <f t="shared" si="143"/>
        <v>1445</v>
      </c>
      <c r="EE109" s="51">
        <f>INT(SUMPRODUCT($N109:$R109,$BF109:$BJ109)/SUM($BF109:$BJ109)/10000*$BX$7*$BZ$46/'疲劳值&amp;地图信息'!$R$10*$BY$53)</f>
        <v>396</v>
      </c>
      <c r="EF109" s="50">
        <f t="shared" si="144"/>
        <v>0.90034103827207279</v>
      </c>
      <c r="EG109" s="50">
        <f t="shared" si="145"/>
        <v>7.8222270340496947E-2</v>
      </c>
      <c r="EH109" s="50">
        <f t="shared" si="146"/>
        <v>2.1436691387430304E-2</v>
      </c>
      <c r="EI109" s="51">
        <f t="shared" si="147"/>
        <v>17710</v>
      </c>
      <c r="EJ109" s="51">
        <f t="shared" si="148"/>
        <v>2315</v>
      </c>
      <c r="EK109" s="14">
        <f>INT(SUMPRODUCT($U109:$Y109,$BF109:$BJ109)/SUM($BF109:$BJ109)/10000*$BX$7*$BZ$46/'疲劳值&amp;地图信息'!$R$10*$BY$54)</f>
        <v>737</v>
      </c>
      <c r="EL109" s="50">
        <f t="shared" si="149"/>
        <v>0.85300067430883342</v>
      </c>
      <c r="EM109" s="50">
        <f t="shared" si="150"/>
        <v>0.11150178210191697</v>
      </c>
      <c r="EN109" s="50">
        <f t="shared" si="151"/>
        <v>3.5497543589249593E-2</v>
      </c>
      <c r="EO109" s="51">
        <f t="shared" si="152"/>
        <v>19032</v>
      </c>
      <c r="EP109" s="51">
        <f t="shared" si="153"/>
        <v>4071</v>
      </c>
      <c r="EQ109" s="14">
        <f>INT(SUMPRODUCT($AB109:$AF109,$BF109:$BJ109)/SUM($BF109:$BJ109)/10000*$BX$7*$BZ$46/'疲劳值&amp;地图信息'!$R$10*$BY$55)</f>
        <v>1001</v>
      </c>
      <c r="ER109" s="50">
        <f t="shared" si="154"/>
        <v>0.78957849319615003</v>
      </c>
      <c r="ES109" s="50">
        <f t="shared" si="155"/>
        <v>0.16889312977099236</v>
      </c>
      <c r="ET109" s="50">
        <f t="shared" si="156"/>
        <v>4.1528377032857618E-2</v>
      </c>
      <c r="EU109" s="51">
        <f t="shared" si="157"/>
        <v>21602</v>
      </c>
      <c r="EV109" s="51">
        <f t="shared" si="158"/>
        <v>10282</v>
      </c>
      <c r="EW109" s="14">
        <f>INT(SUMPRODUCT($AI109:$AM109,$BF109:$BJ109)/SUM($BF109:$BJ109)/10000*$BX$7*$BZ$46/'疲劳值&amp;地图信息'!$R$10*$BY$56)</f>
        <v>1502</v>
      </c>
      <c r="EX109" s="50">
        <f t="shared" si="159"/>
        <v>0.64703768046486554</v>
      </c>
      <c r="EY109" s="50">
        <f t="shared" si="160"/>
        <v>0.30797340202480084</v>
      </c>
      <c r="EZ109" s="50">
        <f t="shared" si="161"/>
        <v>4.4988917510333674E-2</v>
      </c>
      <c r="FA109" s="51">
        <f t="shared" si="162"/>
        <v>21335</v>
      </c>
      <c r="FB109" s="51">
        <f t="shared" si="163"/>
        <v>20356</v>
      </c>
      <c r="FC109" s="14">
        <f>INT(SUMPRODUCT($AP109:$AT109,$BF109:$BJ109)/SUM($BF109:$BJ109)/10000*$BX$7*$BZ$46/'疲劳值&amp;地图信息'!$R$10*$BY$57)</f>
        <v>2003</v>
      </c>
      <c r="FD109" s="50">
        <f t="shared" si="164"/>
        <v>0.48828214400146475</v>
      </c>
      <c r="FE109" s="50">
        <f t="shared" si="165"/>
        <v>0.46587632169176546</v>
      </c>
      <c r="FF109" s="50">
        <f t="shared" si="166"/>
        <v>4.5841534306769807E-2</v>
      </c>
      <c r="FH109" s="14">
        <f t="shared" si="167"/>
        <v>18473</v>
      </c>
      <c r="FI109" s="14">
        <f t="shared" si="168"/>
        <v>20762</v>
      </c>
      <c r="FJ109" s="14">
        <f t="shared" si="169"/>
        <v>24104</v>
      </c>
      <c r="FK109" s="14">
        <f t="shared" si="170"/>
        <v>33386</v>
      </c>
      <c r="FL109" s="14">
        <f t="shared" si="171"/>
        <v>43694</v>
      </c>
      <c r="FM109" s="14">
        <f t="shared" si="172"/>
        <v>2154308</v>
      </c>
      <c r="FP109" s="14">
        <f t="shared" si="173"/>
        <v>334150</v>
      </c>
      <c r="FQ109" s="50">
        <f t="shared" si="113"/>
        <v>0.13427994364381476</v>
      </c>
      <c r="FS109" s="14">
        <f t="shared" si="174"/>
        <v>2488458</v>
      </c>
      <c r="FX109" s="14">
        <v>104</v>
      </c>
      <c r="FY109" s="51">
        <f t="shared" si="175"/>
        <v>23286</v>
      </c>
      <c r="FZ109" s="51">
        <f t="shared" si="176"/>
        <v>1445</v>
      </c>
      <c r="GA109" s="51">
        <f>INT(SUMPRODUCT($N109:$R109,$BF109:$BJ109)/SUM($BF109:$BJ109)/10000*$BX$7*$BZ$46/'疲劳值&amp;地图信息'!$R$10*$BY$53)</f>
        <v>396</v>
      </c>
      <c r="GB109" s="50">
        <f t="shared" si="177"/>
        <v>0.926732200421857</v>
      </c>
      <c r="GC109" s="50">
        <f t="shared" si="178"/>
        <v>5.7507860070840133E-2</v>
      </c>
      <c r="GD109" s="50">
        <f t="shared" si="179"/>
        <v>1.5759939507302902E-2</v>
      </c>
      <c r="GE109" s="51">
        <f t="shared" si="180"/>
        <v>24794</v>
      </c>
      <c r="GF109" s="51">
        <f t="shared" si="181"/>
        <v>2315</v>
      </c>
      <c r="GG109" s="14">
        <f>INT(SUMPRODUCT($U109:$Y109,$BF109:$BJ109)/SUM($BF109:$BJ109)/10000*$BX$7*$BZ$46/'疲劳值&amp;地图信息'!$R$10*$BY$54)</f>
        <v>737</v>
      </c>
      <c r="GH109" s="50">
        <f t="shared" si="182"/>
        <v>0.89039718451483152</v>
      </c>
      <c r="GI109" s="50">
        <f t="shared" si="183"/>
        <v>8.3135818429936073E-2</v>
      </c>
      <c r="GJ109" s="50">
        <f t="shared" si="184"/>
        <v>2.6466997055232349E-2</v>
      </c>
      <c r="GK109" s="51">
        <f t="shared" si="185"/>
        <v>26646</v>
      </c>
      <c r="GL109" s="51">
        <f t="shared" si="186"/>
        <v>4071</v>
      </c>
      <c r="GM109" s="14">
        <f>INT(SUMPRODUCT($AB109:$AF109,$BF109:$BJ109)/SUM($BF109:$BJ109)/10000*$BX$7*$BZ$46/'疲劳值&amp;地图信息'!$R$10*$BY$55)</f>
        <v>1001</v>
      </c>
      <c r="GN109" s="50">
        <f t="shared" si="187"/>
        <v>0.84009080017655591</v>
      </c>
      <c r="GO109" s="50">
        <f t="shared" si="188"/>
        <v>0.12834983290245286</v>
      </c>
      <c r="GP109" s="50">
        <f t="shared" si="189"/>
        <v>3.1559366920991233E-2</v>
      </c>
      <c r="GQ109" s="51">
        <f t="shared" si="190"/>
        <v>30243</v>
      </c>
      <c r="GR109" s="51">
        <f t="shared" si="191"/>
        <v>10282</v>
      </c>
      <c r="GS109" s="14">
        <f>INT(SUMPRODUCT($AI109:$AM109,$BF109:$BJ109)/SUM($BF109:$BJ109)/10000*$BX$7*$BZ$46/'疲劳值&amp;地图信息'!$R$10*$BY$56)</f>
        <v>1502</v>
      </c>
      <c r="GT109" s="50">
        <f t="shared" si="192"/>
        <v>0.71960882289956452</v>
      </c>
      <c r="GU109" s="50">
        <f t="shared" si="193"/>
        <v>0.2446522473647893</v>
      </c>
      <c r="GV109" s="50">
        <f t="shared" si="194"/>
        <v>3.573892973564613E-2</v>
      </c>
      <c r="GW109" s="51">
        <f t="shared" si="195"/>
        <v>29870</v>
      </c>
      <c r="GX109" s="51">
        <f t="shared" si="196"/>
        <v>20356</v>
      </c>
      <c r="GY109" s="14">
        <f>INT(SUMPRODUCT($AP109:$AT109,$BF109:$BJ109)/SUM($BF109:$BJ109)/10000*$BX$7*$BZ$46/'疲劳值&amp;地图信息'!$R$10*$BY$57)</f>
        <v>2003</v>
      </c>
      <c r="GZ109" s="50">
        <f t="shared" si="197"/>
        <v>0.57190449750138816</v>
      </c>
      <c r="HA109" s="50">
        <f t="shared" si="198"/>
        <v>0.38974516073445786</v>
      </c>
      <c r="HB109" s="50">
        <f t="shared" si="199"/>
        <v>3.8350341764154014E-2</v>
      </c>
      <c r="HD109" s="14">
        <f t="shared" si="200"/>
        <v>25127</v>
      </c>
      <c r="HE109" s="14">
        <f t="shared" si="201"/>
        <v>27846</v>
      </c>
      <c r="HF109" s="14">
        <f t="shared" si="202"/>
        <v>31718</v>
      </c>
      <c r="HG109" s="14">
        <f t="shared" si="203"/>
        <v>42027</v>
      </c>
      <c r="HH109" s="14">
        <f t="shared" si="204"/>
        <v>52229</v>
      </c>
      <c r="HI109" s="14">
        <f t="shared" si="205"/>
        <v>2885880</v>
      </c>
      <c r="HL109" s="14">
        <f t="shared" si="206"/>
        <v>430050</v>
      </c>
      <c r="HM109" s="50">
        <f t="shared" si="114"/>
        <v>0.12969212257194815</v>
      </c>
      <c r="HO109" s="14">
        <f t="shared" si="207"/>
        <v>3315930</v>
      </c>
    </row>
    <row r="110" spans="11:223" x14ac:dyDescent="0.2">
      <c r="K110" s="14">
        <v>105</v>
      </c>
      <c r="L110" s="12">
        <f>求节点(节奏总纲!D$4:D$163,标准城池设计!AB$4:AB$163,$K110)*求节点(节奏总纲!D$4:D$163,攻城基础信息!$AC$5:$AC$164,$K110)</f>
        <v>491625.17669556063</v>
      </c>
      <c r="M110" s="12">
        <f>INDEX(其他调用!$AA$5:$AA$404,MATCH(K110,其他调用!$X$5:$X$404,0))*MIN(INDEX(其他调用!$AH$5:$AH$364,MATCH('征服点（新）'!K110,其他调用!$AG$5:$AG$364,0),1)/INDEX(其他调用!$AJ$5:$AJ$364,MATCH(K110,其他调用!$AG$5:$AG$364,0),0),5)*求节点(节奏总纲!D$4:D$163,攻城基础信息!$AC$5:$AC$164,$K110)</f>
        <v>42655.56851689922</v>
      </c>
      <c r="N110" s="12">
        <f>MIN(INDEX(其他调用!$AH$5:$AH$364,MATCH($K110,其他调用!$AG$5:$AG$364,0),1)/INDEX(其他调用!AH$5:AH$364,MATCH($K110,其他调用!$AG$5:$AG$364,0),0),1)*INDEX(其他调用!Y$5:Y$404,MATCH($K110,其他调用!$X$5:$X$404,0),0)</f>
        <v>36423.071544156599</v>
      </c>
      <c r="O110" s="12">
        <f>MIN(INDEX(其他调用!$AH$5:$AH$364,MATCH($K110,其他调用!$AG$5:$AG$364,0),1)/INDEX(其他调用!AI$5:AI$364,MATCH($K110,其他调用!$AG$5:$AG$364,0),0),1)*INDEX(其他调用!Z$5:Z$404,MATCH($K110,其他调用!$X$5:$X$404,0),0)</f>
        <v>23388.385305217937</v>
      </c>
      <c r="P110" s="12">
        <f>MIN(INDEX(其他调用!$AH$5:$AH$364,MATCH($K110,其他调用!$AG$5:$AG$364,0),1)/INDEX(其他调用!AJ$5:AJ$364,MATCH($K110,其他调用!$AG$5:$AG$364,0),0),1)*INDEX(其他调用!AA$5:AA$404,MATCH($K110,其他调用!$X$5:$X$404,0),0)</f>
        <v>13868.382258159359</v>
      </c>
      <c r="Q110" s="12">
        <f>MIN(INDEX(其他调用!$AH$5:$AH$364,MATCH($K110,其他调用!$AG$5:$AG$364,0),1)/INDEX(其他调用!AK$5:AK$364,MATCH($K110,其他调用!$AG$5:$AG$364,0),0),1)*INDEX(其他调用!AB$5:AB$404,MATCH($K110,其他调用!$X$5:$X$404,0),0)</f>
        <v>5788.7198552450682</v>
      </c>
      <c r="R110" s="12">
        <f>MIN(INDEX(其他调用!$AH$5:$AH$364,MATCH($K110,其他调用!$AG$5:$AG$364,0),1)/INDEX(其他调用!AL$5:AL$364,MATCH($K110,其他调用!$AG$5:$AG$364,0),0),1)*INDEX(其他调用!AC$5:AC$404,MATCH($K110,其他调用!$X$5:$X$404,0),0)</f>
        <v>1789.9290893550215</v>
      </c>
      <c r="S110" s="12">
        <f>求节点(节奏总纲!D$4:D$163,标准城池设计!AC$4:AC$163,$K110)*求节点(节奏总纲!D$4:D$163,攻城基础信息!$AD$5:$AD$164,$K110)</f>
        <v>523722.07151758397</v>
      </c>
      <c r="T110" s="12">
        <f>INDEX(其他调用!$AA$5:$AA$404,MATCH($K110,其他调用!$X$5:$X$404,0))*MIN(INDEX(其他调用!AI$5:AI$364,MATCH($K110,其他调用!$AG$5:$AG$364,0),1)/INDEX(其他调用!$AJ$5:$AJ$364,MATCH($K110,其他调用!$AG$5:$AG$364,0),0),5)*求节点(节奏总纲!D$4:D$163,攻城基础信息!$AD$5:$AD$164,$K110)</f>
        <v>68519.196064053831</v>
      </c>
      <c r="U110" s="12">
        <f>MIN(INDEX(其他调用!$AI$5:$AI$364,MATCH($K110,其他调用!$AG$5:$AG$364,0),1)/INDEX(其他调用!AH$5:AH$364,MATCH($K110,其他调用!$AG$5:$AG$364,0),0),1)*INDEX(其他调用!Y$5:Y$404,MATCH($K110,其他调用!$X$5:$X$404,0),0)</f>
        <v>36423.071544156599</v>
      </c>
      <c r="V110" s="12">
        <f>MIN(INDEX(其他调用!$AI$5:$AI$364,MATCH($K110,其他调用!$AG$5:$AG$364,0),1)/INDEX(其他调用!AI$5:AI$364,MATCH($K110,其他调用!$AG$5:$AG$364,0),0),1)*INDEX(其他调用!Z$5:Z$404,MATCH($K110,其他调用!$X$5:$X$404,0),0)</f>
        <v>37569.616677713857</v>
      </c>
      <c r="W110" s="12">
        <f>MIN(INDEX(其他调用!$AI$5:$AI$364,MATCH($K110,其他调用!$AG$5:$AG$364,0),1)/INDEX(其他调用!AJ$5:AJ$364,MATCH($K110,其他调用!$AG$5:$AG$364,0),0),1)*INDEX(其他调用!AA$5:AA$404,MATCH($K110,其他调用!$X$5:$X$404,0),0)</f>
        <v>22277.288430972334</v>
      </c>
      <c r="X110" s="12">
        <f>MIN(INDEX(其他调用!$AI$5:$AI$364,MATCH($K110,其他调用!$AG$5:$AG$364,0),1)/INDEX(其他调用!AK$5:AK$364,MATCH($K110,其他调用!$AG$5:$AG$364,0),0),1)*INDEX(其他调用!AB$5:AB$404,MATCH($K110,其他调用!$X$5:$X$404,0),0)</f>
        <v>9298.6319140085634</v>
      </c>
      <c r="Y110" s="12">
        <f>MIN(INDEX(其他调用!$AI$5:$AI$364,MATCH($K110,其他调用!$AG$5:$AG$364,0),1)/INDEX(其他调用!AL$5:AL$364,MATCH($K110,其他调用!$AG$5:$AG$364,0),0),1)*INDEX(其他调用!AC$5:AC$404,MATCH($K110,其他调用!$X$5:$X$404,0),0)</f>
        <v>2875.2284046028103</v>
      </c>
      <c r="Z110" s="12">
        <f>求节点(节奏总纲!D$4:D$163,标准城池设计!AD$4:AD$163,$K110)*求节点(节奏总纲!D$4:D$163,攻城基础信息!$AE$5:$AE$164,$K110)</f>
        <v>562782.39832578867</v>
      </c>
      <c r="AA110" s="12">
        <f>INDEX(其他调用!$AA$5:$AA$404,MATCH($K110,其他调用!$X$5:$X$404,0))*MIN(INDEX(其他调用!AJ$5:AJ$364,MATCH($K110,其他调用!$AG$5:$AG$364,0),1)/INDEX(其他调用!$AJ$5:$AJ$364,MATCH($K110,其他调用!$AG$5:$AG$364,0),0),5)*求节点(节奏总纲!D$4:D$163,攻城基础信息!$AE$5:$AE$164,$K110)</f>
        <v>120198.43170666767</v>
      </c>
      <c r="AB110" s="12">
        <f>MIN(INDEX(其他调用!$AJ$5:$AJ$364,MATCH($K110,其他调用!$AG$5:$AG$364,0),1)/INDEX(其他调用!AH$5:AH$364,MATCH($K110,其他调用!$AG$5:$AG$364,0),0),1)*INDEX(其他调用!Y$5:Y$404,MATCH($K110,其他调用!$X$5:$X$404,0),0)</f>
        <v>36423.071544156599</v>
      </c>
      <c r="AC110" s="12">
        <f>MIN(INDEX(其他调用!$AJ$5:$AJ$364,MATCH($K110,其他调用!$AG$5:$AG$364,0),1)/INDEX(其他调用!AI$5:AI$364,MATCH($K110,其他调用!$AG$5:$AG$364,0),0),1)*INDEX(其他调用!Z$5:Z$404,MATCH($K110,其他调用!$X$5:$X$404,0),0)</f>
        <v>37569.616677713857</v>
      </c>
      <c r="AD110" s="12">
        <f>MIN(INDEX(其他调用!$AJ$5:$AJ$364,MATCH($K110,其他调用!$AG$5:$AG$364,0),1)/INDEX(其他调用!AJ$5:AJ$364,MATCH($K110,其他调用!$AG$5:$AG$364,0),0),1)*INDEX(其他调用!AA$5:AA$404,MATCH($K110,其他调用!$X$5:$X$404,0),0)</f>
        <v>39079.488463010792</v>
      </c>
      <c r="AE110" s="12">
        <f>MIN(INDEX(其他调用!$AJ$5:$AJ$364,MATCH($K110,其他调用!$AG$5:$AG$364,0),1)/INDEX(其他调用!AK$5:AK$364,MATCH($K110,其他调用!$AG$5:$AG$364,0),0),1)*INDEX(其他调用!AB$5:AB$404,MATCH($K110,其他调用!$X$5:$X$404,0),0)</f>
        <v>16311.93938756311</v>
      </c>
      <c r="AF110" s="12">
        <f>MIN(INDEX(其他调用!$AJ$5:$AJ$364,MATCH($K110,其他调用!$AG$5:$AG$364,0),1)/INDEX(其他调用!AL$5:AL$364,MATCH($K110,其他调用!$AG$5:$AG$364,0),0),1)*INDEX(其他调用!AC$5:AC$404,MATCH($K110,其他调用!$X$5:$X$404,0),0)</f>
        <v>5043.8120247156221</v>
      </c>
      <c r="AG110" s="12">
        <f>求节点(节奏总纲!D$4:D$163,标准城池设计!AE$4:AE$163,$K110)*求节点(节奏总纲!D$4:D$163,攻城基础信息!$AF$5:$AF$164,$K110)</f>
        <v>639158.57761635107</v>
      </c>
      <c r="AH110" s="12">
        <f>INDEX(其他调用!$AA$5:$AA$404,MATCH($K110,其他调用!$X$5:$X$404,0))*MIN(INDEX(其他调用!AK$5:AK$364,MATCH($K110,其他调用!$AG$5:$AG$364,0),1)/INDEX(其他调用!$AJ$5:$AJ$364,MATCH($K110,其他调用!$AG$5:$AG$364,0),0),5)*求节点(节奏总纲!D$4:D$163,攻城基础信息!$AF$5:$AF$164,$K110)</f>
        <v>303981.73560712859</v>
      </c>
      <c r="AI110" s="12">
        <f>MIN(INDEX(其他调用!$AK$5:$AK$364,MATCH($K110,其他调用!$AG$5:$AG$364,0),1)/INDEX(其他调用!AH$5:AH$364,MATCH($K110,其他调用!$AG$5:$AG$364,0),0),1)*INDEX(其他调用!Y$5:Y$404,MATCH($K110,其他调用!$X$5:$X$404,0),0)</f>
        <v>36423.071544156599</v>
      </c>
      <c r="AJ110" s="12">
        <f>MIN(INDEX(其他调用!$AK$5:$AK$364,MATCH($K110,其他调用!$AG$5:$AG$364,0),1)/INDEX(其他调用!AI$5:AI$364,MATCH($K110,其他调用!$AG$5:$AG$364,0),0),1)*INDEX(其他调用!Z$5:Z$404,MATCH($K110,其他调用!$X$5:$X$404,0),0)</f>
        <v>37569.616677713857</v>
      </c>
      <c r="AK110" s="12">
        <f>MIN(INDEX(其他调用!$AK$5:$AK$364,MATCH($K110,其他调用!$AG$5:$AG$364,0),1)/INDEX(其他调用!AJ$5:AJ$364,MATCH($K110,其他调用!$AG$5:$AG$364,0),0),1)*INDEX(其他调用!AA$5:AA$404,MATCH($K110,其他调用!$X$5:$X$404,0),0)</f>
        <v>39079.488463010792</v>
      </c>
      <c r="AL110" s="12">
        <f>MIN(INDEX(其他调用!$AK$5:$AK$364,MATCH($K110,其他调用!$AG$5:$AG$364,0),1)/INDEX(其他调用!AK$5:AK$364,MATCH($K110,其他调用!$AG$5:$AG$364,0),0),1)*INDEX(其他调用!AB$5:AB$404,MATCH($K110,其他调用!$X$5:$X$404,0),0)</f>
        <v>41252.881387425427</v>
      </c>
      <c r="AM110" s="12">
        <f>MIN(INDEX(其他调用!$AK$5:$AK$364,MATCH($K110,其他调用!$AG$5:$AG$364,0),1)/INDEX(其他调用!AL$5:AL$364,MATCH($K110,其他调用!$AG$5:$AG$364,0),0),1)*INDEX(其他调用!AC$5:AC$404,MATCH($K110,其他调用!$X$5:$X$404,0),0)</f>
        <v>12755.796490680073</v>
      </c>
      <c r="AN110" s="12">
        <f>求节点(节奏总纲!D$4:D$163,标准城池设计!AF$4:AF$163,$K110)*求节点(节奏总纲!D$4:D$163,攻城基础信息!$AG$5:$AG$164,$K110)</f>
        <v>631140.6348391053</v>
      </c>
      <c r="AO110" s="12">
        <f>INDEX(其他调用!$AA$5:$AA$404,MATCH($K110,其他调用!$X$5:$X$404,0))*MIN(INDEX(其他调用!AL$5:AL$364,MATCH($K110,其他调用!$AG$5:$AG$364,0),1)/INDEX(其他调用!$AJ$5:$AJ$364,MATCH($K110,其他调用!$AG$5:$AG$364,0),0),5)*求节点(节奏总纲!D$4:D$163,攻城基础信息!$AG$5:$AG$164,$K110)</f>
        <v>600992.15853333834</v>
      </c>
      <c r="AP110" s="12">
        <f>MIN(INDEX(其他调用!$AL$5:$AL$364,MATCH($K110,其他调用!$AG$5:$AG$364,0),1)/INDEX(其他调用!AH$5:AH$364,MATCH($K110,其他调用!$AG$5:$AG$364,0),0),1)*INDEX(其他调用!Y$5:Y$404,MATCH($K110,其他调用!$X$5:$X$404,0),0)</f>
        <v>36423.071544156599</v>
      </c>
      <c r="AQ110" s="12">
        <f>MIN(INDEX(其他调用!$AL$5:$AL$364,MATCH($K110,其他调用!$AG$5:$AG$364,0),1)/INDEX(其他调用!AI$5:AI$364,MATCH($K110,其他调用!$AG$5:$AG$364,0),0),1)*INDEX(其他调用!Z$5:Z$404,MATCH($K110,其他调用!$X$5:$X$404,0),0)</f>
        <v>37569.616677713857</v>
      </c>
      <c r="AR110" s="12">
        <f>MIN(INDEX(其他调用!$AL$5:$AL$364,MATCH($K110,其他调用!$AG$5:$AG$364,0),1)/INDEX(其他调用!AJ$5:AJ$364,MATCH($K110,其他调用!$AG$5:$AG$364,0),0),1)*INDEX(其他调用!AA$5:AA$404,MATCH($K110,其他调用!$X$5:$X$404,0),0)</f>
        <v>39079.488463010792</v>
      </c>
      <c r="AS110" s="12">
        <f>MIN(INDEX(其他调用!$AL$5:$AL$364,MATCH($K110,其他调用!$AG$5:$AG$364,0),1)/INDEX(其他调用!AK$5:AK$364,MATCH($K110,其他调用!$AG$5:$AG$364,0),0),1)*INDEX(其他调用!AB$5:AB$404,MATCH($K110,其他调用!$X$5:$X$404,0),0)</f>
        <v>41252.881387425427</v>
      </c>
      <c r="AT110" s="12">
        <f>MIN(INDEX(其他调用!$AL$5:$AL$364,MATCH($K110,其他调用!$AG$5:$AG$364,0),1)/INDEX(其他调用!AL$5:AL$364,MATCH($K110,其他调用!$AG$5:$AG$364,0),0),1)*INDEX(其他调用!AC$5:AC$404,MATCH($K110,其他调用!$X$5:$X$404,0),0)</f>
        <v>45115.894510250415</v>
      </c>
      <c r="AV110" s="14">
        <f>IF(OR(AV$5="大R",AV$5="超R"),MAX(INDEX(其他调用!$H$5:$L$404,MATCH($K110,其他调用!$B$5:$B$404,0),MATCH(AV$5,其他调用!$H$4:$L$4,0))*120*0.85,2),INDEX(其他调用!$H$5:$L$404,MATCH($K110,其他调用!$B$5:$B$404,0),MATCH(AV$5,其他调用!$H$4:$L$4,0))*120*0.85)</f>
        <v>48.921801254999991</v>
      </c>
      <c r="AW110" s="14">
        <f>IF(OR(AW$5="大R",AW$5="超R"),MAX(INDEX(其他调用!$H$5:$L$404,MATCH($K110,其他调用!$B$5:$B$404,0),MATCH(AW$5,其他调用!$H$4:$L$4,0))*120*0.85,2),INDEX(其他调用!$H$5:$L$404,MATCH($K110,其他调用!$B$5:$B$404,0),MATCH(AW$5,其他调用!$H$4:$L$4,0))*120*0.85)</f>
        <v>48.237344010638395</v>
      </c>
      <c r="AX110" s="14">
        <f>IF(OR(AX$5="大R",AX$5="超R"),MAX(INDEX(其他调用!$H$5:$L$404,MATCH($K110,其他调用!$B$5:$B$404,0),MATCH(AX$5,其他调用!$H$4:$L$4,0))*120*0.85,2),INDEX(其他调用!$H$5:$L$404,MATCH($K110,其他调用!$B$5:$B$404,0),MATCH(AX$5,其他调用!$H$4:$L$4,0))*120*0.85)</f>
        <v>3.9376284143615998</v>
      </c>
      <c r="AY110" s="14">
        <f>IF(OR(AY$5="大R",AY$5="超R"),MAX(INDEX(其他调用!$H$5:$L$404,MATCH($K110,其他调用!$B$5:$B$404,0),MATCH(AY$5,其他调用!$H$4:$L$4,0))*120*0.85,2),INDEX(其他调用!$H$5:$L$404,MATCH($K110,其他调用!$B$5:$B$404,0),MATCH(AY$5,其他调用!$H$4:$L$4,0))*120*0.85)</f>
        <v>2</v>
      </c>
      <c r="AZ110" s="14">
        <f>IF(OR(AZ$5="大R",AZ$5="超R"),MAX(INDEX(其他调用!$H$5:$L$404,MATCH($K110,其他调用!$B$5:$B$404,0),MATCH(AZ$5,其他调用!$H$4:$L$4,0))*120*0.85,2),INDEX(其他调用!$H$5:$L$404,MATCH($K110,其他调用!$B$5:$B$404,0),MATCH(AZ$5,其他调用!$H$4:$L$4,0))*120*0.85)</f>
        <v>2</v>
      </c>
      <c r="BA110" s="14">
        <f>INDEX(其他调用!$H$5:$L$404,MATCH($K110,其他调用!$B$5:$B$404,0),MATCH(BA$5,其他调用!$H$4:$L$4,0))*INDEX(其他调用!$M$5:$M$404,MATCH($K110,其他调用!$B$5:$B$404,0))*0.6</f>
        <v>28.777530149999997</v>
      </c>
      <c r="BB110" s="14">
        <f>INDEX(其他调用!$H$5:$L$404,MATCH($K110,其他调用!$B$5:$B$404,0),MATCH(BB$5,其他调用!$H$4:$L$4,0))*INDEX(其他调用!$M$5:$M$404,MATCH($K110,其他调用!$B$5:$B$404,0))*0.6</f>
        <v>28.374908241551999</v>
      </c>
      <c r="BC110" s="14">
        <f>INDEX(其他调用!$H$5:$L$404,MATCH($K110,其他调用!$B$5:$B$404,0),MATCH(BC$5,其他调用!$H$4:$L$4,0))*INDEX(其他调用!$M$5:$M$404,MATCH($K110,其他调用!$B$5:$B$404,0))*0.6</f>
        <v>2.3162520084480001</v>
      </c>
      <c r="BD110" s="14">
        <f>INDEX(其他调用!$H$5:$L$404,MATCH($K110,其他调用!$B$5:$B$404,0),MATCH(BD$5,其他调用!$H$4:$L$4,0))*INDEX(其他调用!$M$5:$M$404,MATCH($K110,其他调用!$B$5:$B$404,0))*0.6</f>
        <v>0.4120776000000001</v>
      </c>
      <c r="BE110" s="14">
        <f>INDEX(其他调用!$H$5:$L$404,MATCH($K110,其他调用!$B$5:$B$404,0),MATCH(BE$5,其他调用!$H$4:$L$4,0))*INDEX(其他调用!$M$5:$M$404,MATCH($K110,其他调用!$B$5:$B$404,0))*0.6</f>
        <v>0.11923199999999998</v>
      </c>
      <c r="BF110" s="14">
        <f>IF(OR(BF$5="大R",BF$5="超R"),0,INDEX(其他调用!$H$5:$L$404,MATCH($K110,其他调用!$B$5:$B$404,0),MATCH(BF$5,其他调用!$H$4:$L$4,0))*50*0.4)</f>
        <v>9.5925100500000013</v>
      </c>
      <c r="BG110" s="14">
        <f>IF(OR(BG$5="大R",BG$5="超R"),0,INDEX(其他调用!$H$5:$L$404,MATCH($K110,其他调用!$B$5:$B$404,0),MATCH(BG$5,其他调用!$H$4:$L$4,0))*50*0.4)</f>
        <v>9.4583027471839998</v>
      </c>
      <c r="BH110" s="14">
        <f>IF(OR(BH$5="大R",BH$5="超R"),0,INDEX(其他调用!$H$5:$L$404,MATCH($K110,其他调用!$B$5:$B$404,0),MATCH(BH$5,其他调用!$H$4:$L$4,0))*50*0.4)</f>
        <v>0.77208400281600009</v>
      </c>
      <c r="BI110" s="14">
        <f>IF(OR(BI$5="大R",BI$5="超R"),0,INDEX(其他调用!$H$5:$L$404,MATCH($K110,其他调用!$B$5:$B$404,0),MATCH(BI$5,其他调用!$H$4:$L$4,0))*50*0.4)</f>
        <v>0</v>
      </c>
      <c r="BJ110" s="14">
        <f>IF(OR(BJ$5="大R",BJ$5="超R"),0,INDEX(其他调用!$H$5:$L$404,MATCH($K110,其他调用!$B$5:$B$404,0),MATCH(BJ$5,其他调用!$H$4:$L$4,0))*50*0.4)</f>
        <v>0</v>
      </c>
      <c r="BL110" s="14">
        <f t="shared" si="208"/>
        <v>105</v>
      </c>
      <c r="BM110" s="14">
        <f t="shared" si="115"/>
        <v>96</v>
      </c>
      <c r="BN110" s="14">
        <f>('疲劳值&amp;地图信息'!$S$10*'疲劳值&amp;地图信息'!$R$10+'疲劳值&amp;地图信息'!$S$11*'疲劳值&amp;地图信息'!$R$11+'疲劳值&amp;地图信息'!$S$12*'疲劳值&amp;地图信息'!$R$12+(BM110-'疲劳值&amp;地图信息'!$S$12-'疲劳值&amp;地图信息'!$S$11-'疲劳值&amp;地图信息'!$S$10)*'疲劳值&amp;地图信息'!$R$13)/BM110</f>
        <v>51.371477246638619</v>
      </c>
      <c r="BO110" s="14">
        <f>INDEX(其他调用!$M$5:$M$404,MATCH(BL110,其他调用!$B$5:$B$404,0))*0.6</f>
        <v>60</v>
      </c>
      <c r="BP110" s="14">
        <f>IF(BO110&gt;SUM('疲劳值&amp;地图信息'!$S$10:$S$12),('疲劳值&amp;地图信息'!$S$10*'疲劳值&amp;地图信息'!$R$10+'疲劳值&amp;地图信息'!$S$11*'疲劳值&amp;地图信息'!$R$11+'疲劳值&amp;地图信息'!$S$12*'疲劳值&amp;地图信息'!$R$12+(BO110-'疲劳值&amp;地图信息'!$S$12-'疲劳值&amp;地图信息'!$S$11-'疲劳值&amp;地图信息'!$S$10)*'疲劳值&amp;地图信息'!$R$13)/BO110,('疲劳值&amp;地图信息'!$S$10*'疲劳值&amp;地图信息'!$R$10+'疲劳值&amp;地图信息'!$S$11*'疲劳值&amp;地图信息'!$R$11+'疲劳值&amp;地图信息'!$S$12*'疲劳值&amp;地图信息'!$R$12+(BO110-'疲劳值&amp;地图信息'!$S$12-'疲劳值&amp;地图信息'!$S$11-'疲劳值&amp;地图信息'!$S$10)*'疲劳值&amp;地图信息'!$R$13)/BO110)</f>
        <v>44.158136341605953</v>
      </c>
      <c r="BQ110" s="14">
        <f t="shared" si="209"/>
        <v>20</v>
      </c>
      <c r="BR110" s="14">
        <f>('疲劳值&amp;地图信息'!$S$10*'疲劳值&amp;地图信息'!$R$10+($BQ110-'疲劳值&amp;地图信息'!$S$10)*'疲劳值&amp;地图信息'!$R$11)/$BQ110</f>
        <v>32.067203015074995</v>
      </c>
      <c r="CF110" s="14">
        <v>105</v>
      </c>
      <c r="CG110" s="51">
        <f t="shared" si="116"/>
        <v>10019</v>
      </c>
      <c r="CH110" s="51">
        <f t="shared" si="117"/>
        <v>869</v>
      </c>
      <c r="CI110" s="51">
        <f>INT(SUMPRODUCT($N110:$R110,$BA110:$BE110)/SUM($BA110:$BE110)/10000*$BX$7*$BZ$34/'疲劳值&amp;地图信息'!$R$10*$BY$53)</f>
        <v>2953</v>
      </c>
      <c r="CJ110" s="50">
        <f t="shared" si="118"/>
        <v>0.72386388266743729</v>
      </c>
      <c r="CK110" s="50">
        <f t="shared" si="119"/>
        <v>6.2784480890109101E-2</v>
      </c>
      <c r="CL110" s="50">
        <f t="shared" si="120"/>
        <v>0.21335163644245358</v>
      </c>
      <c r="CM110" s="14">
        <f t="shared" si="121"/>
        <v>10674</v>
      </c>
      <c r="CN110" s="14">
        <f t="shared" si="122"/>
        <v>1396</v>
      </c>
      <c r="CO110" s="14">
        <f>INT(SUMPRODUCT($U110:$Y110,$BA110:$BE110)/SUM($BA110:$BE110)/10000*$BX$7*$BZ$34/'疲劳值&amp;地图信息'!$R$10*$BY$54)</f>
        <v>5504</v>
      </c>
      <c r="CP110" s="50">
        <f t="shared" si="123"/>
        <v>0.60737453055650392</v>
      </c>
      <c r="CQ110" s="50">
        <f t="shared" si="124"/>
        <v>7.9435529759872545E-2</v>
      </c>
      <c r="CR110" s="50">
        <f t="shared" si="125"/>
        <v>0.31318993968362352</v>
      </c>
      <c r="CS110" s="14">
        <f t="shared" si="126"/>
        <v>11470</v>
      </c>
      <c r="CT110" s="14">
        <f t="shared" si="127"/>
        <v>2449</v>
      </c>
      <c r="CU110" s="14">
        <f>INT(SUMPRODUCT($AB110:$AF110,$BA110:$BE110)/SUM($BA110:$BE110)/10000*$BX$7*$BZ$34/'疲劳值&amp;地图信息'!$R$10*$BY$55)</f>
        <v>7481</v>
      </c>
      <c r="CV110" s="50">
        <f t="shared" si="128"/>
        <v>0.53598130841121494</v>
      </c>
      <c r="CW110" s="50">
        <f t="shared" si="129"/>
        <v>0.1144392523364486</v>
      </c>
      <c r="CX110" s="50">
        <f t="shared" si="130"/>
        <v>0.34957943925233642</v>
      </c>
      <c r="CY110" s="14">
        <f t="shared" si="131"/>
        <v>13026</v>
      </c>
      <c r="CZ110" s="14">
        <f t="shared" si="132"/>
        <v>6195</v>
      </c>
      <c r="DA110" s="14">
        <f>INT(SUMPRODUCT($AI110:$AM110,$BA110:$BE110)/SUM($BA110:$BE110)/10000*$BX$7*$BZ$34/'疲劳值&amp;地图信息'!$R$10*$BY$56)</f>
        <v>11279</v>
      </c>
      <c r="DB110" s="50">
        <f t="shared" si="133"/>
        <v>0.42708196721311475</v>
      </c>
      <c r="DC110" s="50">
        <f t="shared" si="134"/>
        <v>0.20311475409836066</v>
      </c>
      <c r="DD110" s="50">
        <f t="shared" si="135"/>
        <v>0.36980327868852458</v>
      </c>
      <c r="DE110" s="14">
        <f t="shared" si="136"/>
        <v>12863</v>
      </c>
      <c r="DF110" s="14">
        <f t="shared" si="137"/>
        <v>12248</v>
      </c>
      <c r="DG110" s="14">
        <f>INT(SUMPRODUCT($AP110:$AT110,$BA110:$BE110)/SUM($BA110:$BE110)/10000*$BX$7*$BZ$34/'疲劳值&amp;地图信息'!$R$10*$BY$57)</f>
        <v>15065</v>
      </c>
      <c r="DH110" s="50">
        <f t="shared" si="138"/>
        <v>0.32016626841895657</v>
      </c>
      <c r="DI110" s="50">
        <f t="shared" si="139"/>
        <v>0.30485862206292313</v>
      </c>
      <c r="DJ110" s="50">
        <f t="shared" si="140"/>
        <v>0.3749751095181203</v>
      </c>
      <c r="DL110" s="14">
        <f t="shared" si="211"/>
        <v>13841</v>
      </c>
      <c r="DM110" s="14">
        <f t="shared" si="212"/>
        <v>17574</v>
      </c>
      <c r="DN110" s="14">
        <f t="shared" si="213"/>
        <v>21400</v>
      </c>
      <c r="DO110" s="14">
        <f t="shared" si="214"/>
        <v>30500</v>
      </c>
      <c r="DP110" s="14">
        <f t="shared" si="215"/>
        <v>40176</v>
      </c>
      <c r="DQ110" s="14">
        <f t="shared" si="216"/>
        <v>963896</v>
      </c>
      <c r="DT110" s="14">
        <f t="shared" si="210"/>
        <v>235575</v>
      </c>
      <c r="DU110" s="50">
        <f t="shared" si="112"/>
        <v>0.19639907926077413</v>
      </c>
      <c r="DW110" s="14">
        <f t="shared" si="141"/>
        <v>1199471</v>
      </c>
      <c r="EB110" s="14">
        <v>105</v>
      </c>
      <c r="EC110" s="51">
        <f t="shared" si="142"/>
        <v>16699</v>
      </c>
      <c r="ED110" s="51">
        <f t="shared" si="143"/>
        <v>1448</v>
      </c>
      <c r="EE110" s="51">
        <f>INT(SUMPRODUCT($N110:$R110,$BF110:$BJ110)/SUM($BF110:$BJ110)/10000*$BX$7*$BZ$46/'疲劳值&amp;地图信息'!$R$10*$BY$53)</f>
        <v>396</v>
      </c>
      <c r="EF110" s="50">
        <f t="shared" si="144"/>
        <v>0.9005554656743785</v>
      </c>
      <c r="EG110" s="50">
        <f t="shared" si="145"/>
        <v>7.8088766650488056E-2</v>
      </c>
      <c r="EH110" s="50">
        <f t="shared" si="146"/>
        <v>2.1355767675133475E-2</v>
      </c>
      <c r="EI110" s="51">
        <f t="shared" si="147"/>
        <v>17790</v>
      </c>
      <c r="EJ110" s="51">
        <f t="shared" si="148"/>
        <v>2327</v>
      </c>
      <c r="EK110" s="14">
        <f>INT(SUMPRODUCT($U110:$Y110,$BF110:$BJ110)/SUM($BF110:$BJ110)/10000*$BX$7*$BZ$46/'疲劳值&amp;地图信息'!$R$10*$BY$54)</f>
        <v>739</v>
      </c>
      <c r="EL110" s="50">
        <f t="shared" si="149"/>
        <v>0.85299194476409668</v>
      </c>
      <c r="EM110" s="50">
        <f t="shared" si="150"/>
        <v>0.11157460682777139</v>
      </c>
      <c r="EN110" s="50">
        <f t="shared" si="151"/>
        <v>3.5433448408131951E-2</v>
      </c>
      <c r="EO110" s="51">
        <f t="shared" si="152"/>
        <v>19117</v>
      </c>
      <c r="EP110" s="51">
        <f t="shared" si="153"/>
        <v>4082</v>
      </c>
      <c r="EQ110" s="14">
        <f>INT(SUMPRODUCT($AB110:$AF110,$BF110:$BJ110)/SUM($BF110:$BJ110)/10000*$BX$7*$BZ$46/'疲劳值&amp;地图信息'!$R$10*$BY$55)</f>
        <v>1003</v>
      </c>
      <c r="ER110" s="50">
        <f t="shared" si="154"/>
        <v>0.78989339723989749</v>
      </c>
      <c r="ES110" s="50">
        <f t="shared" si="155"/>
        <v>0.16866374679778531</v>
      </c>
      <c r="ET110" s="50">
        <f t="shared" si="156"/>
        <v>4.1442855962317164E-2</v>
      </c>
      <c r="EU110" s="51">
        <f t="shared" si="157"/>
        <v>21711</v>
      </c>
      <c r="EV110" s="51">
        <f t="shared" si="158"/>
        <v>10325</v>
      </c>
      <c r="EW110" s="14">
        <f>INT(SUMPRODUCT($AI110:$AM110,$BF110:$BJ110)/SUM($BF110:$BJ110)/10000*$BX$7*$BZ$46/'疲劳值&amp;地图信息'!$R$10*$BY$56)</f>
        <v>1504</v>
      </c>
      <c r="EX110" s="50">
        <f t="shared" si="159"/>
        <v>0.64731663685152052</v>
      </c>
      <c r="EY110" s="50">
        <f t="shared" si="160"/>
        <v>0.30784138342277878</v>
      </c>
      <c r="EZ110" s="50">
        <f t="shared" si="161"/>
        <v>4.4841979725700656E-2</v>
      </c>
      <c r="FA110" s="51">
        <f t="shared" si="162"/>
        <v>21439</v>
      </c>
      <c r="FB110" s="51">
        <f t="shared" si="163"/>
        <v>20414</v>
      </c>
      <c r="FC110" s="14">
        <f>INT(SUMPRODUCT($AP110:$AT110,$BF110:$BJ110)/SUM($BF110:$BJ110)/10000*$BX$7*$BZ$46/'疲劳值&amp;地图信息'!$R$10*$BY$57)</f>
        <v>2006</v>
      </c>
      <c r="FD110" s="50">
        <f t="shared" si="164"/>
        <v>0.48881643448323037</v>
      </c>
      <c r="FE110" s="50">
        <f t="shared" si="165"/>
        <v>0.46544608860211129</v>
      </c>
      <c r="FF110" s="50">
        <f t="shared" si="166"/>
        <v>4.5737476914658334E-2</v>
      </c>
      <c r="FH110" s="14">
        <f t="shared" si="167"/>
        <v>18543</v>
      </c>
      <c r="FI110" s="14">
        <f t="shared" si="168"/>
        <v>20856</v>
      </c>
      <c r="FJ110" s="14">
        <f t="shared" si="169"/>
        <v>24202</v>
      </c>
      <c r="FK110" s="14">
        <f t="shared" si="170"/>
        <v>33540</v>
      </c>
      <c r="FL110" s="14">
        <f t="shared" si="171"/>
        <v>43859</v>
      </c>
      <c r="FM110" s="14">
        <f t="shared" si="172"/>
        <v>2163291</v>
      </c>
      <c r="FP110" s="14">
        <f t="shared" si="173"/>
        <v>334150</v>
      </c>
      <c r="FQ110" s="50">
        <f t="shared" si="113"/>
        <v>0.13379695456269036</v>
      </c>
      <c r="FS110" s="14">
        <f t="shared" si="174"/>
        <v>2497441</v>
      </c>
      <c r="FX110" s="14">
        <v>105</v>
      </c>
      <c r="FY110" s="51">
        <f t="shared" si="175"/>
        <v>23379</v>
      </c>
      <c r="FZ110" s="51">
        <f t="shared" si="176"/>
        <v>1448</v>
      </c>
      <c r="GA110" s="51">
        <f>INT(SUMPRODUCT($N110:$R110,$BF110:$BJ110)/SUM($BF110:$BJ110)/10000*$BX$7*$BZ$46/'疲劳值&amp;地图信息'!$R$10*$BY$53)</f>
        <v>396</v>
      </c>
      <c r="GB110" s="50">
        <f t="shared" si="177"/>
        <v>0.92689212226935735</v>
      </c>
      <c r="GC110" s="50">
        <f t="shared" si="178"/>
        <v>5.7407921341632639E-2</v>
      </c>
      <c r="GD110" s="50">
        <f t="shared" si="179"/>
        <v>1.569995638901003E-2</v>
      </c>
      <c r="GE110" s="51">
        <f t="shared" si="180"/>
        <v>24906</v>
      </c>
      <c r="GF110" s="51">
        <f t="shared" si="181"/>
        <v>2327</v>
      </c>
      <c r="GG110" s="14">
        <f>INT(SUMPRODUCT($U110:$Y110,$BF110:$BJ110)/SUM($BF110:$BJ110)/10000*$BX$7*$BZ$46/'疲劳值&amp;地图信息'!$R$10*$BY$54)</f>
        <v>739</v>
      </c>
      <c r="GH110" s="50">
        <f t="shared" si="182"/>
        <v>0.89039039039039036</v>
      </c>
      <c r="GI110" s="50">
        <f t="shared" si="183"/>
        <v>8.3190333190333185E-2</v>
      </c>
      <c r="GJ110" s="50">
        <f t="shared" si="184"/>
        <v>2.6419276419276418E-2</v>
      </c>
      <c r="GK110" s="51">
        <f t="shared" si="185"/>
        <v>26763</v>
      </c>
      <c r="GL110" s="51">
        <f t="shared" si="186"/>
        <v>4082</v>
      </c>
      <c r="GM110" s="14">
        <f>INT(SUMPRODUCT($AB110:$AF110,$BF110:$BJ110)/SUM($BF110:$BJ110)/10000*$BX$7*$BZ$46/'疲劳值&amp;地图信息'!$R$10*$BY$55)</f>
        <v>1003</v>
      </c>
      <c r="GN110" s="50">
        <f t="shared" si="187"/>
        <v>0.84033534287867373</v>
      </c>
      <c r="GO110" s="50">
        <f t="shared" si="188"/>
        <v>0.12817131374026627</v>
      </c>
      <c r="GP110" s="50">
        <f t="shared" si="189"/>
        <v>3.1493343381060038E-2</v>
      </c>
      <c r="GQ110" s="51">
        <f t="shared" si="190"/>
        <v>30396</v>
      </c>
      <c r="GR110" s="51">
        <f t="shared" si="191"/>
        <v>10325</v>
      </c>
      <c r="GS110" s="14">
        <f>INT(SUMPRODUCT($AI110:$AM110,$BF110:$BJ110)/SUM($BF110:$BJ110)/10000*$BX$7*$BZ$46/'疲劳值&amp;地图信息'!$R$10*$BY$56)</f>
        <v>1504</v>
      </c>
      <c r="GT110" s="50">
        <f t="shared" si="192"/>
        <v>0.71985790408525752</v>
      </c>
      <c r="GU110" s="50">
        <f t="shared" si="193"/>
        <v>0.24452338661930137</v>
      </c>
      <c r="GV110" s="50">
        <f t="shared" si="194"/>
        <v>3.5618709295441087E-2</v>
      </c>
      <c r="GW110" s="51">
        <f t="shared" si="195"/>
        <v>30014</v>
      </c>
      <c r="GX110" s="51">
        <f t="shared" si="196"/>
        <v>20414</v>
      </c>
      <c r="GY110" s="14">
        <f>INT(SUMPRODUCT($AP110:$AT110,$BF110:$BJ110)/SUM($BF110:$BJ110)/10000*$BX$7*$BZ$46/'疲劳值&amp;地图信息'!$R$10*$BY$57)</f>
        <v>2006</v>
      </c>
      <c r="GZ110" s="50">
        <f t="shared" si="197"/>
        <v>0.57241484532936648</v>
      </c>
      <c r="HA110" s="50">
        <f t="shared" si="198"/>
        <v>0.38932753556852423</v>
      </c>
      <c r="HB110" s="50">
        <f t="shared" si="199"/>
        <v>3.8257619102109321E-2</v>
      </c>
      <c r="HD110" s="14">
        <f t="shared" si="200"/>
        <v>25223</v>
      </c>
      <c r="HE110" s="14">
        <f t="shared" si="201"/>
        <v>27972</v>
      </c>
      <c r="HF110" s="14">
        <f t="shared" si="202"/>
        <v>31848</v>
      </c>
      <c r="HG110" s="14">
        <f t="shared" si="203"/>
        <v>42225</v>
      </c>
      <c r="HH110" s="14">
        <f t="shared" si="204"/>
        <v>52434</v>
      </c>
      <c r="HI110" s="14">
        <f t="shared" si="205"/>
        <v>2897973</v>
      </c>
      <c r="HL110" s="14">
        <f t="shared" si="206"/>
        <v>430050</v>
      </c>
      <c r="HM110" s="50">
        <f t="shared" si="114"/>
        <v>0.12922086175486167</v>
      </c>
      <c r="HO110" s="14">
        <f t="shared" si="207"/>
        <v>3328023</v>
      </c>
    </row>
    <row r="111" spans="11:223" x14ac:dyDescent="0.2">
      <c r="K111" s="14">
        <v>106</v>
      </c>
      <c r="L111" s="12">
        <f>求节点(节奏总纲!D$4:D$163,标准城池设计!AB$4:AB$163,$K111)*求节点(节奏总纲!D$4:D$163,攻城基础信息!$AC$5:$AC$164,$K111)</f>
        <v>493602.52020165313</v>
      </c>
      <c r="M111" s="12">
        <f>INDEX(其他调用!$AA$5:$AA$404,MATCH(K111,其他调用!$X$5:$X$404,0))*MIN(INDEX(其他调用!$AH$5:$AH$364,MATCH('征服点（新）'!K111,其他调用!$AG$5:$AG$364,0),1)/INDEX(其他调用!$AJ$5:$AJ$364,MATCH(K111,其他调用!$AG$5:$AG$364,0),0),5)*求节点(节奏总纲!D$4:D$163,攻城基础信息!$AC$5:$AC$164,$K111)</f>
        <v>42745.803753788103</v>
      </c>
      <c r="N111" s="12">
        <f>MIN(INDEX(其他调用!$AH$5:$AH$364,MATCH($K111,其他调用!$AG$5:$AG$364,0),1)/INDEX(其他调用!AH$5:AH$364,MATCH($K111,其他调用!$AG$5:$AG$364,0),0),1)*INDEX(其他调用!Y$5:Y$404,MATCH($K111,其他调用!$X$5:$X$404,0),0)</f>
        <v>36476.730983015397</v>
      </c>
      <c r="O111" s="12">
        <f>MIN(INDEX(其他调用!$AH$5:$AH$364,MATCH($K111,其他调用!$AG$5:$AG$364,0),1)/INDEX(其他调用!AI$5:AI$364,MATCH($K111,其他调用!$AG$5:$AG$364,0),0),1)*INDEX(其他调用!Z$5:Z$404,MATCH($K111,其他调用!$X$5:$X$404,0),0)</f>
        <v>23355.856444311154</v>
      </c>
      <c r="P111" s="12">
        <f>MIN(INDEX(其他调用!$AH$5:$AH$364,MATCH($K111,其他调用!$AG$5:$AG$364,0),1)/INDEX(其他调用!AJ$5:AJ$364,MATCH($K111,其他调用!$AG$5:$AG$364,0),0),1)*INDEX(其他调用!AA$5:AA$404,MATCH($K111,其他调用!$X$5:$X$404,0),0)</f>
        <v>13877.565228506537</v>
      </c>
      <c r="Q111" s="12">
        <f>MIN(INDEX(其他调用!$AH$5:$AH$364,MATCH($K111,其他调用!$AG$5:$AG$364,0),1)/INDEX(其他调用!AK$5:AK$364,MATCH($K111,其他调用!$AG$5:$AG$364,0),0),1)*INDEX(其他调用!AB$5:AB$404,MATCH($K111,其他调用!$X$5:$X$404,0),0)</f>
        <v>5784.7356915516411</v>
      </c>
      <c r="R111" s="12">
        <f>MIN(INDEX(其他调用!$AH$5:$AH$364,MATCH($K111,其他调用!$AG$5:$AG$364,0),1)/INDEX(其他调用!AL$5:AL$364,MATCH($K111,其他调用!$AG$5:$AG$364,0),0),1)*INDEX(其他调用!AC$5:AC$404,MATCH($K111,其他调用!$X$5:$X$404,0),0)</f>
        <v>1790.5712317395137</v>
      </c>
      <c r="S111" s="12">
        <f>求节点(节奏总纲!D$4:D$163,标准城池设计!AC$4:AC$163,$K111)*求节点(节奏总纲!D$4:D$163,攻城基础信息!$AD$5:$AD$164,$K111)</f>
        <v>526071.9900370643</v>
      </c>
      <c r="T111" s="12">
        <f>INDEX(其他调用!$AA$5:$AA$404,MATCH($K111,其他调用!$X$5:$X$404,0))*MIN(INDEX(其他调用!AI$5:AI$364,MATCH($K111,其他调用!$AG$5:$AG$364,0),1)/INDEX(其他调用!$AJ$5:$AJ$364,MATCH($K111,其他调用!$AG$5:$AG$364,0),0),5)*求节点(节奏总纲!D$4:D$163,攻城基础信息!$AD$5:$AD$164,$K111)</f>
        <v>68859.477616573611</v>
      </c>
      <c r="U111" s="12">
        <f>MIN(INDEX(其他调用!$AI$5:$AI$364,MATCH($K111,其他调用!$AG$5:$AG$364,0),1)/INDEX(其他调用!AH$5:AH$364,MATCH($K111,其他调用!$AG$5:$AG$364,0),0),1)*INDEX(其他调用!Y$5:Y$404,MATCH($K111,其他调用!$X$5:$X$404,0),0)</f>
        <v>36476.730983015397</v>
      </c>
      <c r="V111" s="12">
        <f>MIN(INDEX(其他调用!$AI$5:$AI$364,MATCH($K111,其他调用!$AG$5:$AG$364,0),1)/INDEX(其他调用!AI$5:AI$364,MATCH($K111,其他调用!$AG$5:$AG$364,0),0),1)*INDEX(其他调用!Z$5:Z$404,MATCH($K111,其他调用!$X$5:$X$404,0),0)</f>
        <v>37624.09249119398</v>
      </c>
      <c r="W111" s="12">
        <f>MIN(INDEX(其他调用!$AI$5:$AI$364,MATCH($K111,其他调用!$AG$5:$AG$364,0),1)/INDEX(其他调用!AJ$5:AJ$364,MATCH($K111,其他调用!$AG$5:$AG$364,0),0),1)*INDEX(其他调用!AA$5:AA$404,MATCH($K111,其他调用!$X$5:$X$404,0),0)</f>
        <v>22355.454999257123</v>
      </c>
      <c r="X111" s="12">
        <f>MIN(INDEX(其他调用!$AI$5:$AI$364,MATCH($K111,其他调用!$AG$5:$AG$364,0),1)/INDEX(其他调用!AK$5:AK$364,MATCH($K111,其他调用!$AG$5:$AG$364,0),0),1)*INDEX(其他调用!AB$5:AB$404,MATCH($K111,其他调用!$X$5:$X$404,0),0)</f>
        <v>9318.6662289604192</v>
      </c>
      <c r="Y111" s="12">
        <f>MIN(INDEX(其他调用!$AI$5:$AI$364,MATCH($K111,其他调用!$AG$5:$AG$364,0),1)/INDEX(其他调用!AL$5:AL$364,MATCH($K111,其他调用!$AG$5:$AG$364,0),0),1)*INDEX(其他调用!AC$5:AC$404,MATCH($K111,其他调用!$X$5:$X$404,0),0)</f>
        <v>2884.4421867239107</v>
      </c>
      <c r="Z111" s="12">
        <f>求节点(节奏总纲!D$4:D$163,标准城池设计!AD$4:AD$163,$K111)*求节点(节奏总纲!D$4:D$163,攻城基础信息!$AE$5:$AE$164,$K111)</f>
        <v>565264.13438635727</v>
      </c>
      <c r="AA111" s="12">
        <f>INDEX(其他调用!$AA$5:$AA$404,MATCH($K111,其他调用!$X$5:$X$404,0))*MIN(INDEX(其他调用!AJ$5:AJ$364,MATCH($K111,其他调用!$AG$5:$AG$364,0),1)/INDEX(其他调用!$AJ$5:$AJ$364,MATCH($K111,其他调用!$AG$5:$AG$364,0),0),5)*求节点(节奏总纲!D$4:D$163,攻城基础信息!$AE$5:$AE$164,$K111)</f>
        <v>120542.02056152943</v>
      </c>
      <c r="AB111" s="12">
        <f>MIN(INDEX(其他调用!$AJ$5:$AJ$364,MATCH($K111,其他调用!$AG$5:$AG$364,0),1)/INDEX(其他调用!AH$5:AH$364,MATCH($K111,其他调用!$AG$5:$AG$364,0),0),1)*INDEX(其他调用!Y$5:Y$404,MATCH($K111,其他调用!$X$5:$X$404,0),0)</f>
        <v>36476.730983015397</v>
      </c>
      <c r="AC111" s="12">
        <f>MIN(INDEX(其他调用!$AJ$5:$AJ$364,MATCH($K111,其他调用!$AG$5:$AG$364,0),1)/INDEX(其他调用!AI$5:AI$364,MATCH($K111,其他调用!$AG$5:$AG$364,0),0),1)*INDEX(其他调用!Z$5:Z$404,MATCH($K111,其他调用!$X$5:$X$404,0),0)</f>
        <v>37624.09249119398</v>
      </c>
      <c r="AD111" s="12">
        <f>MIN(INDEX(其他调用!$AJ$5:$AJ$364,MATCH($K111,其他调用!$AG$5:$AG$364,0),1)/INDEX(其他调用!AJ$5:AJ$364,MATCH($K111,其他调用!$AG$5:$AG$364,0),0),1)*INDEX(其他调用!AA$5:AA$404,MATCH($K111,其他调用!$X$5:$X$404,0),0)</f>
        <v>39134.361883892656</v>
      </c>
      <c r="AE111" s="12">
        <f>MIN(INDEX(其他调用!$AJ$5:$AJ$364,MATCH($K111,其他调用!$AG$5:$AG$364,0),1)/INDEX(其他调用!AK$5:AK$364,MATCH($K111,其他调用!$AG$5:$AG$364,0),0),1)*INDEX(其他调用!AB$5:AB$404,MATCH($K111,其他调用!$X$5:$X$404,0),0)</f>
        <v>16312.799560172884</v>
      </c>
      <c r="AF111" s="12">
        <f>MIN(INDEX(其他调用!$AJ$5:$AJ$364,MATCH($K111,其他调用!$AG$5:$AG$364,0),1)/INDEX(其他调用!AL$5:AL$364,MATCH($K111,其他调用!$AG$5:$AG$364,0),0),1)*INDEX(其他调用!AC$5:AC$404,MATCH($K111,其他调用!$X$5:$X$404,0),0)</f>
        <v>5049.362867907239</v>
      </c>
      <c r="AG111" s="12">
        <f>求节点(节奏总纲!D$4:D$163,标准城池设计!AE$4:AE$163,$K111)*求节点(节奏总纲!D$4:D$163,攻城基础信息!$AF$5:$AF$164,$K111)</f>
        <v>642380.83899920655</v>
      </c>
      <c r="AH111" s="12">
        <f>INDEX(其他调用!$AA$5:$AA$404,MATCH($K111,其他调用!$X$5:$X$404,0))*MIN(INDEX(其他调用!AK$5:AK$364,MATCH($K111,其他调用!$AG$5:$AG$364,0),1)/INDEX(其他调用!$AJ$5:$AJ$364,MATCH($K111,其他调用!$AG$5:$AG$364,0),0),5)*求节点(节奏总纲!D$4:D$163,攻城基础信息!$AF$5:$AF$164,$K111)</f>
        <v>305241.28881164006</v>
      </c>
      <c r="AI111" s="12">
        <f>MIN(INDEX(其他调用!$AK$5:$AK$364,MATCH($K111,其他调用!$AG$5:$AG$364,0),1)/INDEX(其他调用!AH$5:AH$364,MATCH($K111,其他调用!$AG$5:$AG$364,0),0),1)*INDEX(其他调用!Y$5:Y$404,MATCH($K111,其他调用!$X$5:$X$404,0),0)</f>
        <v>36476.730983015397</v>
      </c>
      <c r="AJ111" s="12">
        <f>MIN(INDEX(其他调用!$AK$5:$AK$364,MATCH($K111,其他调用!$AG$5:$AG$364,0),1)/INDEX(其他调用!AI$5:AI$364,MATCH($K111,其他调用!$AG$5:$AG$364,0),0),1)*INDEX(其他调用!Z$5:Z$404,MATCH($K111,其他调用!$X$5:$X$404,0),0)</f>
        <v>37624.09249119398</v>
      </c>
      <c r="AK111" s="12">
        <f>MIN(INDEX(其他调用!$AK$5:$AK$364,MATCH($K111,其他调用!$AG$5:$AG$364,0),1)/INDEX(其他调用!AJ$5:AJ$364,MATCH($K111,其他调用!$AG$5:$AG$364,0),0),1)*INDEX(其他调用!AA$5:AA$404,MATCH($K111,其他调用!$X$5:$X$404,0),0)</f>
        <v>39134.361883892656</v>
      </c>
      <c r="AL111" s="12">
        <f>MIN(INDEX(其他调用!$AK$5:$AK$364,MATCH($K111,其他调用!$AG$5:$AG$364,0),1)/INDEX(其他调用!AK$5:AK$364,MATCH($K111,其他调用!$AG$5:$AG$364,0),0),1)*INDEX(其他调用!AB$5:AB$404,MATCH($K111,其他调用!$X$5:$X$404,0),0)</f>
        <v>41307.918505741938</v>
      </c>
      <c r="AM111" s="12">
        <f>MIN(INDEX(其他调用!$AK$5:$AK$364,MATCH($K111,其他调用!$AG$5:$AG$364,0),1)/INDEX(其他调用!AL$5:AL$364,MATCH($K111,其他调用!$AG$5:$AG$364,0),0),1)*INDEX(其他调用!AC$5:AC$404,MATCH($K111,其他调用!$X$5:$X$404,0),0)</f>
        <v>12786.197064706721</v>
      </c>
      <c r="AN111" s="12">
        <f>求节点(节奏总纲!D$4:D$163,标准城池设计!AF$4:AF$163,$K111)*求节点(节奏总纲!D$4:D$163,攻城基础信息!$AG$5:$AG$164,$K111)</f>
        <v>634182.22584596393</v>
      </c>
      <c r="AO111" s="12">
        <f>INDEX(其他调用!$AA$5:$AA$404,MATCH($K111,其他调用!$X$5:$X$404,0))*MIN(INDEX(其他调用!AL$5:AL$364,MATCH($K111,其他调用!$AG$5:$AG$364,0),1)/INDEX(其他调用!$AJ$5:$AJ$364,MATCH($K111,其他调用!$AG$5:$AG$364,0),0),5)*求节点(节奏总纲!D$4:D$163,攻城基础信息!$AG$5:$AG$164,$K111)</f>
        <v>602710.10280764708</v>
      </c>
      <c r="AP111" s="12">
        <f>MIN(INDEX(其他调用!$AL$5:$AL$364,MATCH($K111,其他调用!$AG$5:$AG$364,0),1)/INDEX(其他调用!AH$5:AH$364,MATCH($K111,其他调用!$AG$5:$AG$364,0),0),1)*INDEX(其他调用!Y$5:Y$404,MATCH($K111,其他调用!$X$5:$X$404,0),0)</f>
        <v>36476.730983015397</v>
      </c>
      <c r="AQ111" s="12">
        <f>MIN(INDEX(其他调用!$AL$5:$AL$364,MATCH($K111,其他调用!$AG$5:$AG$364,0),1)/INDEX(其他调用!AI$5:AI$364,MATCH($K111,其他调用!$AG$5:$AG$364,0),0),1)*INDEX(其他调用!Z$5:Z$404,MATCH($K111,其他调用!$X$5:$X$404,0),0)</f>
        <v>37624.09249119398</v>
      </c>
      <c r="AR111" s="12">
        <f>MIN(INDEX(其他调用!$AL$5:$AL$364,MATCH($K111,其他调用!$AG$5:$AG$364,0),1)/INDEX(其他调用!AJ$5:AJ$364,MATCH($K111,其他调用!$AG$5:$AG$364,0),0),1)*INDEX(其他调用!AA$5:AA$404,MATCH($K111,其他调用!$X$5:$X$404,0),0)</f>
        <v>39134.361883892656</v>
      </c>
      <c r="AS111" s="12">
        <f>MIN(INDEX(其他调用!$AL$5:$AL$364,MATCH($K111,其他调用!$AG$5:$AG$364,0),1)/INDEX(其他调用!AK$5:AK$364,MATCH($K111,其他调用!$AG$5:$AG$364,0),0),1)*INDEX(其他调用!AB$5:AB$404,MATCH($K111,其他调用!$X$5:$X$404,0),0)</f>
        <v>41307.918505741938</v>
      </c>
      <c r="AT111" s="12">
        <f>MIN(INDEX(其他调用!$AL$5:$AL$364,MATCH($K111,其他调用!$AG$5:$AG$364,0),1)/INDEX(其他调用!AL$5:AL$364,MATCH($K111,其他调用!$AG$5:$AG$364,0),0),1)*INDEX(其他调用!AC$5:AC$404,MATCH($K111,其他调用!$X$5:$X$404,0),0)</f>
        <v>45171.796683975866</v>
      </c>
      <c r="AV111" s="14">
        <f>IF(OR(AV$5="大R",AV$5="超R"),MAX(INDEX(其他调用!$H$5:$L$404,MATCH($K111,其他调用!$B$5:$B$404,0),MATCH(AV$5,其他调用!$H$4:$L$4,0))*120*0.85,2),INDEX(其他调用!$H$5:$L$404,MATCH($K111,其他调用!$B$5:$B$404,0),MATCH(AV$5,其他调用!$H$4:$L$4,0))*120*0.85)</f>
        <v>48.921801254999991</v>
      </c>
      <c r="AW111" s="14">
        <f>IF(OR(AW$5="大R",AW$5="超R"),MAX(INDEX(其他调用!$H$5:$L$404,MATCH($K111,其他调用!$B$5:$B$404,0),MATCH(AW$5,其他调用!$H$4:$L$4,0))*120*0.85,2),INDEX(其他调用!$H$5:$L$404,MATCH($K111,其他调用!$B$5:$B$404,0),MATCH(AW$5,其他调用!$H$4:$L$4,0))*120*0.85)</f>
        <v>48.237344010638395</v>
      </c>
      <c r="AX111" s="14">
        <f>IF(OR(AX$5="大R",AX$5="超R"),MAX(INDEX(其他调用!$H$5:$L$404,MATCH($K111,其他调用!$B$5:$B$404,0),MATCH(AX$5,其他调用!$H$4:$L$4,0))*120*0.85,2),INDEX(其他调用!$H$5:$L$404,MATCH($K111,其他调用!$B$5:$B$404,0),MATCH(AX$5,其他调用!$H$4:$L$4,0))*120*0.85)</f>
        <v>3.9376284143615998</v>
      </c>
      <c r="AY111" s="14">
        <f>IF(OR(AY$5="大R",AY$5="超R"),MAX(INDEX(其他调用!$H$5:$L$404,MATCH($K111,其他调用!$B$5:$B$404,0),MATCH(AY$5,其他调用!$H$4:$L$4,0))*120*0.85,2),INDEX(其他调用!$H$5:$L$404,MATCH($K111,其他调用!$B$5:$B$404,0),MATCH(AY$5,其他调用!$H$4:$L$4,0))*120*0.85)</f>
        <v>2</v>
      </c>
      <c r="AZ111" s="14">
        <f>IF(OR(AZ$5="大R",AZ$5="超R"),MAX(INDEX(其他调用!$H$5:$L$404,MATCH($K111,其他调用!$B$5:$B$404,0),MATCH(AZ$5,其他调用!$H$4:$L$4,0))*120*0.85,2),INDEX(其他调用!$H$5:$L$404,MATCH($K111,其他调用!$B$5:$B$404,0),MATCH(AZ$5,其他调用!$H$4:$L$4,0))*120*0.85)</f>
        <v>2</v>
      </c>
      <c r="BA111" s="14">
        <f>INDEX(其他调用!$H$5:$L$404,MATCH($K111,其他调用!$B$5:$B$404,0),MATCH(BA$5,其他调用!$H$4:$L$4,0))*INDEX(其他调用!$M$5:$M$404,MATCH($K111,其他调用!$B$5:$B$404,0))*0.6</f>
        <v>28.777530149999997</v>
      </c>
      <c r="BB111" s="14">
        <f>INDEX(其他调用!$H$5:$L$404,MATCH($K111,其他调用!$B$5:$B$404,0),MATCH(BB$5,其他调用!$H$4:$L$4,0))*INDEX(其他调用!$M$5:$M$404,MATCH($K111,其他调用!$B$5:$B$404,0))*0.6</f>
        <v>28.374908241551999</v>
      </c>
      <c r="BC111" s="14">
        <f>INDEX(其他调用!$H$5:$L$404,MATCH($K111,其他调用!$B$5:$B$404,0),MATCH(BC$5,其他调用!$H$4:$L$4,0))*INDEX(其他调用!$M$5:$M$404,MATCH($K111,其他调用!$B$5:$B$404,0))*0.6</f>
        <v>2.3162520084480001</v>
      </c>
      <c r="BD111" s="14">
        <f>INDEX(其他调用!$H$5:$L$404,MATCH($K111,其他调用!$B$5:$B$404,0),MATCH(BD$5,其他调用!$H$4:$L$4,0))*INDEX(其他调用!$M$5:$M$404,MATCH($K111,其他调用!$B$5:$B$404,0))*0.6</f>
        <v>0.4120776000000001</v>
      </c>
      <c r="BE111" s="14">
        <f>INDEX(其他调用!$H$5:$L$404,MATCH($K111,其他调用!$B$5:$B$404,0),MATCH(BE$5,其他调用!$H$4:$L$4,0))*INDEX(其他调用!$M$5:$M$404,MATCH($K111,其他调用!$B$5:$B$404,0))*0.6</f>
        <v>0.11923199999999998</v>
      </c>
      <c r="BF111" s="14">
        <f>IF(OR(BF$5="大R",BF$5="超R"),0,INDEX(其他调用!$H$5:$L$404,MATCH($K111,其他调用!$B$5:$B$404,0),MATCH(BF$5,其他调用!$H$4:$L$4,0))*50*0.4)</f>
        <v>9.5925100500000013</v>
      </c>
      <c r="BG111" s="14">
        <f>IF(OR(BG$5="大R",BG$5="超R"),0,INDEX(其他调用!$H$5:$L$404,MATCH($K111,其他调用!$B$5:$B$404,0),MATCH(BG$5,其他调用!$H$4:$L$4,0))*50*0.4)</f>
        <v>9.4583027471839998</v>
      </c>
      <c r="BH111" s="14">
        <f>IF(OR(BH$5="大R",BH$5="超R"),0,INDEX(其他调用!$H$5:$L$404,MATCH($K111,其他调用!$B$5:$B$404,0),MATCH(BH$5,其他调用!$H$4:$L$4,0))*50*0.4)</f>
        <v>0.77208400281600009</v>
      </c>
      <c r="BI111" s="14">
        <f>IF(OR(BI$5="大R",BI$5="超R"),0,INDEX(其他调用!$H$5:$L$404,MATCH($K111,其他调用!$B$5:$B$404,0),MATCH(BI$5,其他调用!$H$4:$L$4,0))*50*0.4)</f>
        <v>0</v>
      </c>
      <c r="BJ111" s="14">
        <f>IF(OR(BJ$5="大R",BJ$5="超R"),0,INDEX(其他调用!$H$5:$L$404,MATCH($K111,其他调用!$B$5:$B$404,0),MATCH(BJ$5,其他调用!$H$4:$L$4,0))*50*0.4)</f>
        <v>0</v>
      </c>
      <c r="BL111" s="14">
        <f t="shared" si="208"/>
        <v>106</v>
      </c>
      <c r="BM111" s="14">
        <f t="shared" si="115"/>
        <v>96</v>
      </c>
      <c r="BN111" s="14">
        <f>('疲劳值&amp;地图信息'!$S$10*'疲劳值&amp;地图信息'!$R$10+'疲劳值&amp;地图信息'!$S$11*'疲劳值&amp;地图信息'!$R$11+'疲劳值&amp;地图信息'!$S$12*'疲劳值&amp;地图信息'!$R$12+(BM111-'疲劳值&amp;地图信息'!$S$12-'疲劳值&amp;地图信息'!$S$11-'疲劳值&amp;地图信息'!$S$10)*'疲劳值&amp;地图信息'!$R$13)/BM111</f>
        <v>51.371477246638619</v>
      </c>
      <c r="BO111" s="14">
        <f>INDEX(其他调用!$M$5:$M$404,MATCH(BL111,其他调用!$B$5:$B$404,0))*0.6</f>
        <v>60</v>
      </c>
      <c r="BP111" s="14">
        <f>IF(BO111&gt;SUM('疲劳值&amp;地图信息'!$S$10:$S$12),('疲劳值&amp;地图信息'!$S$10*'疲劳值&amp;地图信息'!$R$10+'疲劳值&amp;地图信息'!$S$11*'疲劳值&amp;地图信息'!$R$11+'疲劳值&amp;地图信息'!$S$12*'疲劳值&amp;地图信息'!$R$12+(BO111-'疲劳值&amp;地图信息'!$S$12-'疲劳值&amp;地图信息'!$S$11-'疲劳值&amp;地图信息'!$S$10)*'疲劳值&amp;地图信息'!$R$13)/BO111,('疲劳值&amp;地图信息'!$S$10*'疲劳值&amp;地图信息'!$R$10+'疲劳值&amp;地图信息'!$S$11*'疲劳值&amp;地图信息'!$R$11+'疲劳值&amp;地图信息'!$S$12*'疲劳值&amp;地图信息'!$R$12+(BO111-'疲劳值&amp;地图信息'!$S$12-'疲劳值&amp;地图信息'!$S$11-'疲劳值&amp;地图信息'!$S$10)*'疲劳值&amp;地图信息'!$R$13)/BO111)</f>
        <v>44.158136341605953</v>
      </c>
      <c r="BQ111" s="14">
        <f t="shared" si="209"/>
        <v>20</v>
      </c>
      <c r="BR111" s="14">
        <f>('疲劳值&amp;地图信息'!$S$10*'疲劳值&amp;地图信息'!$R$10+($BQ111-'疲劳值&amp;地图信息'!$S$10)*'疲劳值&amp;地图信息'!$R$11)/$BQ111</f>
        <v>32.067203015074995</v>
      </c>
      <c r="CF111" s="14">
        <v>106</v>
      </c>
      <c r="CG111" s="51">
        <f t="shared" si="116"/>
        <v>10060</v>
      </c>
      <c r="CH111" s="51">
        <f t="shared" si="117"/>
        <v>871</v>
      </c>
      <c r="CI111" s="51">
        <f>INT(SUMPRODUCT($N111:$R111,$BA111:$BE111)/SUM($BA111:$BE111)/10000*$BX$7*$BZ$34/'疲劳值&amp;地图信息'!$R$10*$BY$53)</f>
        <v>2954</v>
      </c>
      <c r="CJ111" s="50">
        <f t="shared" si="118"/>
        <v>0.72452286640259278</v>
      </c>
      <c r="CK111" s="50">
        <f t="shared" si="119"/>
        <v>6.2729564277997835E-2</v>
      </c>
      <c r="CL111" s="50">
        <f t="shared" si="120"/>
        <v>0.21274756931940944</v>
      </c>
      <c r="CM111" s="14">
        <f t="shared" si="121"/>
        <v>10722</v>
      </c>
      <c r="CN111" s="14">
        <f t="shared" si="122"/>
        <v>1403</v>
      </c>
      <c r="CO111" s="14">
        <f>INT(SUMPRODUCT($U111:$Y111,$BA111:$BE111)/SUM($BA111:$BE111)/10000*$BX$7*$BZ$34/'疲劳值&amp;地图信息'!$R$10*$BY$54)</f>
        <v>5512</v>
      </c>
      <c r="CP111" s="50">
        <f t="shared" si="123"/>
        <v>0.60792651811532572</v>
      </c>
      <c r="CQ111" s="50">
        <f t="shared" si="124"/>
        <v>7.9548676078698186E-2</v>
      </c>
      <c r="CR111" s="50">
        <f t="shared" si="125"/>
        <v>0.31252480580597608</v>
      </c>
      <c r="CS111" s="14">
        <f t="shared" si="126"/>
        <v>11520</v>
      </c>
      <c r="CT111" s="14">
        <f t="shared" si="127"/>
        <v>2456</v>
      </c>
      <c r="CU111" s="14">
        <f>INT(SUMPRODUCT($AB111:$AF111,$BA111:$BE111)/SUM($BA111:$BE111)/10000*$BX$7*$BZ$34/'疲劳值&amp;地图信息'!$R$10*$BY$55)</f>
        <v>7492</v>
      </c>
      <c r="CV111" s="50">
        <f t="shared" si="128"/>
        <v>0.53661263275572946</v>
      </c>
      <c r="CW111" s="50">
        <f t="shared" si="129"/>
        <v>0.11440283212222843</v>
      </c>
      <c r="CX111" s="50">
        <f t="shared" si="130"/>
        <v>0.34898453512204208</v>
      </c>
      <c r="CY111" s="14">
        <f t="shared" si="131"/>
        <v>13092</v>
      </c>
      <c r="CZ111" s="14">
        <f t="shared" si="132"/>
        <v>6221</v>
      </c>
      <c r="DA111" s="14">
        <f>INT(SUMPRODUCT($AI111:$AM111,$BA111:$BE111)/SUM($BA111:$BE111)/10000*$BX$7*$BZ$34/'疲劳值&amp;地图信息'!$R$10*$BY$56)</f>
        <v>11295</v>
      </c>
      <c r="DB111" s="50">
        <f t="shared" si="133"/>
        <v>0.42773131207527443</v>
      </c>
      <c r="DC111" s="50">
        <f t="shared" si="134"/>
        <v>0.20324751698902246</v>
      </c>
      <c r="DD111" s="50">
        <f t="shared" si="135"/>
        <v>0.36902117093570308</v>
      </c>
      <c r="DE111" s="14">
        <f t="shared" si="136"/>
        <v>12925</v>
      </c>
      <c r="DF111" s="14">
        <f t="shared" si="137"/>
        <v>12284</v>
      </c>
      <c r="DG111" s="14">
        <f>INT(SUMPRODUCT($AP111:$AT111,$BA111:$BE111)/SUM($BA111:$BE111)/10000*$BX$7*$BZ$34/'疲劳值&amp;地图信息'!$R$10*$BY$57)</f>
        <v>15087</v>
      </c>
      <c r="DH111" s="50">
        <f t="shared" si="138"/>
        <v>0.32075143934881872</v>
      </c>
      <c r="DI111" s="50">
        <f t="shared" si="139"/>
        <v>0.30484415326583286</v>
      </c>
      <c r="DJ111" s="50">
        <f t="shared" si="140"/>
        <v>0.37440440738534841</v>
      </c>
      <c r="DL111" s="14">
        <f t="shared" si="211"/>
        <v>13885</v>
      </c>
      <c r="DM111" s="14">
        <f t="shared" si="212"/>
        <v>17637</v>
      </c>
      <c r="DN111" s="14">
        <f t="shared" si="213"/>
        <v>21468</v>
      </c>
      <c r="DO111" s="14">
        <f t="shared" si="214"/>
        <v>30608</v>
      </c>
      <c r="DP111" s="14">
        <f t="shared" si="215"/>
        <v>40296</v>
      </c>
      <c r="DQ111" s="14">
        <f t="shared" si="216"/>
        <v>967167</v>
      </c>
      <c r="DT111" s="14">
        <f t="shared" si="210"/>
        <v>235575</v>
      </c>
      <c r="DU111" s="50">
        <f t="shared" si="112"/>
        <v>0.19586494859246623</v>
      </c>
      <c r="DW111" s="14">
        <f t="shared" si="141"/>
        <v>1202742</v>
      </c>
      <c r="EB111" s="14">
        <v>106</v>
      </c>
      <c r="EC111" s="51">
        <f t="shared" si="142"/>
        <v>16767</v>
      </c>
      <c r="ED111" s="51">
        <f t="shared" si="143"/>
        <v>1452</v>
      </c>
      <c r="EE111" s="51">
        <f>INT(SUMPRODUCT($N111:$R111,$BF111:$BJ111)/SUM($BF111:$BJ111)/10000*$BX$7*$BZ$46/'疲劳值&amp;地图信息'!$R$10*$BY$53)</f>
        <v>396</v>
      </c>
      <c r="EF111" s="50">
        <f t="shared" si="144"/>
        <v>0.90072522159548751</v>
      </c>
      <c r="EG111" s="50">
        <f t="shared" si="145"/>
        <v>7.8001611603545531E-2</v>
      </c>
      <c r="EH111" s="50">
        <f t="shared" si="146"/>
        <v>2.1273166800966962E-2</v>
      </c>
      <c r="EI111" s="51">
        <f t="shared" si="147"/>
        <v>17870</v>
      </c>
      <c r="EJ111" s="51">
        <f t="shared" si="148"/>
        <v>2339</v>
      </c>
      <c r="EK111" s="14">
        <f>INT(SUMPRODUCT($U111:$Y111,$BF111:$BJ111)/SUM($BF111:$BJ111)/10000*$BX$7*$BZ$46/'疲劳值&amp;地图信息'!$R$10*$BY$54)</f>
        <v>740</v>
      </c>
      <c r="EL111" s="50">
        <f t="shared" si="149"/>
        <v>0.85302401069263445</v>
      </c>
      <c r="EM111" s="50">
        <f t="shared" si="150"/>
        <v>0.11165210749916464</v>
      </c>
      <c r="EN111" s="50">
        <f t="shared" si="151"/>
        <v>3.5323881808200869E-2</v>
      </c>
      <c r="EO111" s="51">
        <f t="shared" si="152"/>
        <v>19201</v>
      </c>
      <c r="EP111" s="51">
        <f t="shared" si="153"/>
        <v>4094</v>
      </c>
      <c r="EQ111" s="14">
        <f>INT(SUMPRODUCT($AB111:$AF111,$BF111:$BJ111)/SUM($BF111:$BJ111)/10000*$BX$7*$BZ$46/'疲劳值&amp;地图信息'!$R$10*$BY$55)</f>
        <v>1004</v>
      </c>
      <c r="ER111" s="50">
        <f t="shared" si="154"/>
        <v>0.79019712745380466</v>
      </c>
      <c r="ES111" s="50">
        <f t="shared" si="155"/>
        <v>0.16848429976542245</v>
      </c>
      <c r="ET111" s="50">
        <f t="shared" si="156"/>
        <v>4.1318572780772875E-2</v>
      </c>
      <c r="EU111" s="51">
        <f t="shared" si="157"/>
        <v>21820</v>
      </c>
      <c r="EV111" s="51">
        <f t="shared" si="158"/>
        <v>10368</v>
      </c>
      <c r="EW111" s="14">
        <f>INT(SUMPRODUCT($AI111:$AM111,$BF111:$BJ111)/SUM($BF111:$BJ111)/10000*$BX$7*$BZ$46/'疲劳值&amp;地图信息'!$R$10*$BY$56)</f>
        <v>1506</v>
      </c>
      <c r="EX111" s="50">
        <f t="shared" si="159"/>
        <v>0.64759304327179912</v>
      </c>
      <c r="EY111" s="50">
        <f t="shared" si="160"/>
        <v>0.30771057161512433</v>
      </c>
      <c r="EZ111" s="50">
        <f t="shared" si="161"/>
        <v>4.4696385113076512E-2</v>
      </c>
      <c r="FA111" s="51">
        <f t="shared" si="162"/>
        <v>21542</v>
      </c>
      <c r="FB111" s="51">
        <f t="shared" si="163"/>
        <v>20473</v>
      </c>
      <c r="FC111" s="14">
        <f>INT(SUMPRODUCT($AP111:$AT111,$BF111:$BJ111)/SUM($BF111:$BJ111)/10000*$BX$7*$BZ$46/'疲劳值&amp;地图信息'!$R$10*$BY$57)</f>
        <v>2009</v>
      </c>
      <c r="FD111" s="50">
        <f t="shared" si="164"/>
        <v>0.48932400508813373</v>
      </c>
      <c r="FE111" s="50">
        <f t="shared" si="165"/>
        <v>0.46504179538433582</v>
      </c>
      <c r="FF111" s="50">
        <f t="shared" si="166"/>
        <v>4.5634199527530436E-2</v>
      </c>
      <c r="FH111" s="14">
        <f t="shared" si="167"/>
        <v>18615</v>
      </c>
      <c r="FI111" s="14">
        <f t="shared" si="168"/>
        <v>20949</v>
      </c>
      <c r="FJ111" s="14">
        <f t="shared" si="169"/>
        <v>24299</v>
      </c>
      <c r="FK111" s="14">
        <f t="shared" si="170"/>
        <v>33694</v>
      </c>
      <c r="FL111" s="14">
        <f t="shared" si="171"/>
        <v>44024</v>
      </c>
      <c r="FM111" s="14">
        <f t="shared" si="172"/>
        <v>2172319</v>
      </c>
      <c r="FP111" s="14">
        <f t="shared" si="173"/>
        <v>334150</v>
      </c>
      <c r="FQ111" s="50">
        <f t="shared" si="113"/>
        <v>0.13331503401797509</v>
      </c>
      <c r="FS111" s="14">
        <f t="shared" si="174"/>
        <v>2506469</v>
      </c>
      <c r="FX111" s="14">
        <v>106</v>
      </c>
      <c r="FY111" s="51">
        <f t="shared" si="175"/>
        <v>23473</v>
      </c>
      <c r="FZ111" s="51">
        <f t="shared" si="176"/>
        <v>1452</v>
      </c>
      <c r="GA111" s="51">
        <f>INT(SUMPRODUCT($N111:$R111,$BF111:$BJ111)/SUM($BF111:$BJ111)/10000*$BX$7*$BZ$46/'疲劳值&amp;地图信息'!$R$10*$BY$53)</f>
        <v>396</v>
      </c>
      <c r="GB111" s="50">
        <f t="shared" si="177"/>
        <v>0.9270171004304727</v>
      </c>
      <c r="GC111" s="50">
        <f t="shared" si="178"/>
        <v>5.7343706804628566E-2</v>
      </c>
      <c r="GD111" s="50">
        <f t="shared" si="179"/>
        <v>1.56391927648987E-2</v>
      </c>
      <c r="GE111" s="51">
        <f t="shared" si="180"/>
        <v>25018</v>
      </c>
      <c r="GF111" s="51">
        <f t="shared" si="181"/>
        <v>2339</v>
      </c>
      <c r="GG111" s="14">
        <f>INT(SUMPRODUCT($U111:$Y111,$BF111:$BJ111)/SUM($BF111:$BJ111)/10000*$BX$7*$BZ$46/'疲劳值&amp;地图信息'!$R$10*$BY$54)</f>
        <v>740</v>
      </c>
      <c r="GH111" s="50">
        <f t="shared" si="182"/>
        <v>0.89041534683418155</v>
      </c>
      <c r="GI111" s="50">
        <f t="shared" si="183"/>
        <v>8.3247321778125785E-2</v>
      </c>
      <c r="GJ111" s="50">
        <f t="shared" si="184"/>
        <v>2.6337331387692637E-2</v>
      </c>
      <c r="GK111" s="51">
        <f t="shared" si="185"/>
        <v>26881</v>
      </c>
      <c r="GL111" s="51">
        <f t="shared" si="186"/>
        <v>4094</v>
      </c>
      <c r="GM111" s="14">
        <f>INT(SUMPRODUCT($AB111:$AF111,$BF111:$BJ111)/SUM($BF111:$BJ111)/10000*$BX$7*$BZ$46/'疲劳值&amp;地图信息'!$R$10*$BY$55)</f>
        <v>1004</v>
      </c>
      <c r="GN111" s="50">
        <f t="shared" si="187"/>
        <v>0.84058288251665159</v>
      </c>
      <c r="GO111" s="50">
        <f t="shared" si="188"/>
        <v>0.12802151411864035</v>
      </c>
      <c r="GP111" s="50">
        <f t="shared" si="189"/>
        <v>3.1395603364708091E-2</v>
      </c>
      <c r="GQ111" s="51">
        <f t="shared" si="190"/>
        <v>30549</v>
      </c>
      <c r="GR111" s="51">
        <f t="shared" si="191"/>
        <v>10368</v>
      </c>
      <c r="GS111" s="14">
        <f>INT(SUMPRODUCT($AI111:$AM111,$BF111:$BJ111)/SUM($BF111:$BJ111)/10000*$BX$7*$BZ$46/'疲劳值&amp;地图信息'!$R$10*$BY$56)</f>
        <v>1506</v>
      </c>
      <c r="GT111" s="50">
        <f t="shared" si="192"/>
        <v>0.72010466020790609</v>
      </c>
      <c r="GU111" s="50">
        <f t="shared" si="193"/>
        <v>0.24439572873205573</v>
      </c>
      <c r="GV111" s="50">
        <f t="shared" si="194"/>
        <v>3.549961106003819E-2</v>
      </c>
      <c r="GW111" s="51">
        <f t="shared" si="195"/>
        <v>30159</v>
      </c>
      <c r="GX111" s="51">
        <f t="shared" si="196"/>
        <v>20473</v>
      </c>
      <c r="GY111" s="14">
        <f>INT(SUMPRODUCT($AP111:$AT111,$BF111:$BJ111)/SUM($BF111:$BJ111)/10000*$BX$7*$BZ$46/'疲劳值&amp;地图信息'!$R$10*$BY$57)</f>
        <v>2009</v>
      </c>
      <c r="GZ111" s="50">
        <f t="shared" si="197"/>
        <v>0.57291844759788002</v>
      </c>
      <c r="HA111" s="50">
        <f t="shared" si="198"/>
        <v>0.38891738378830187</v>
      </c>
      <c r="HB111" s="50">
        <f t="shared" si="199"/>
        <v>3.8164168613818127E-2</v>
      </c>
      <c r="HD111" s="14">
        <f t="shared" si="200"/>
        <v>25321</v>
      </c>
      <c r="HE111" s="14">
        <f t="shared" si="201"/>
        <v>28097</v>
      </c>
      <c r="HF111" s="14">
        <f t="shared" si="202"/>
        <v>31979</v>
      </c>
      <c r="HG111" s="14">
        <f t="shared" si="203"/>
        <v>42423</v>
      </c>
      <c r="HH111" s="14">
        <f t="shared" si="204"/>
        <v>52641</v>
      </c>
      <c r="HI111" s="14">
        <f t="shared" si="205"/>
        <v>2910123</v>
      </c>
      <c r="HL111" s="14">
        <f t="shared" si="206"/>
        <v>430050</v>
      </c>
      <c r="HM111" s="50">
        <f t="shared" si="114"/>
        <v>0.12875081620023873</v>
      </c>
      <c r="HO111" s="14">
        <f t="shared" si="207"/>
        <v>3340173</v>
      </c>
    </row>
    <row r="112" spans="11:223" x14ac:dyDescent="0.2">
      <c r="K112" s="14">
        <v>107</v>
      </c>
      <c r="L112" s="12">
        <f>求节点(节奏总纲!D$4:D$163,标准城池设计!AB$4:AB$163,$K112)*求节点(节奏总纲!D$4:D$163,攻城基础信息!$AC$5:$AC$164,$K112)</f>
        <v>495583.52795861172</v>
      </c>
      <c r="M112" s="12">
        <f>INDEX(其他调用!$AA$5:$AA$404,MATCH(K112,其他调用!$X$5:$X$404,0))*MIN(INDEX(其他调用!$AH$5:$AH$364,MATCH('征服点（新）'!K112,其他调用!$AG$5:$AG$364,0),1)/INDEX(其他调用!$AJ$5:$AJ$364,MATCH(K112,其他调用!$AG$5:$AG$364,0),0),5)*求节点(节奏总纲!D$4:D$163,攻城基础信息!$AC$5:$AC$164,$K112)</f>
        <v>42836.931774294753</v>
      </c>
      <c r="N112" s="12">
        <f>MIN(INDEX(其他调用!$AH$5:$AH$364,MATCH($K112,其他调用!$AG$5:$AG$364,0),1)/INDEX(其他调用!AH$5:AH$364,MATCH($K112,其他调用!$AG$5:$AG$364,0),0),1)*INDEX(其他调用!Y$5:Y$404,MATCH($K112,其他调用!$X$5:$X$404,0),0)</f>
        <v>36530.390421874195</v>
      </c>
      <c r="O112" s="12">
        <f>MIN(INDEX(其他调用!$AH$5:$AH$364,MATCH($K112,其他调用!$AG$5:$AG$364,0),1)/INDEX(其他调用!AI$5:AI$364,MATCH($K112,其他调用!$AG$5:$AG$364,0),0),1)*INDEX(其他调用!Z$5:Z$404,MATCH($K112,其他调用!$X$5:$X$404,0),0)</f>
        <v>23325.285435772676</v>
      </c>
      <c r="P112" s="12">
        <f>MIN(INDEX(其他调用!$AH$5:$AH$364,MATCH($K112,其他调用!$AG$5:$AG$364,0),1)/INDEX(其他调用!AJ$5:AJ$364,MATCH($K112,其他调用!$AG$5:$AG$364,0),0),1)*INDEX(其他调用!AA$5:AA$404,MATCH($K112,其他调用!$X$5:$X$404,0),0)</f>
        <v>13887.011028179177</v>
      </c>
      <c r="Q112" s="12">
        <f>MIN(INDEX(其他调用!$AH$5:$AH$364,MATCH($K112,其他调用!$AG$5:$AG$364,0),1)/INDEX(其他调用!AK$5:AK$364,MATCH($K112,其他调用!$AG$5:$AG$364,0),0),1)*INDEX(其他调用!AB$5:AB$404,MATCH($K112,其他调用!$X$5:$X$404,0),0)</f>
        <v>5781.0808620495845</v>
      </c>
      <c r="R112" s="12">
        <f>MIN(INDEX(其他调用!$AH$5:$AH$364,MATCH($K112,其他调用!$AG$5:$AG$364,0),1)/INDEX(其他调用!AL$5:AL$364,MATCH($K112,其他调用!$AG$5:$AG$364,0),0),1)*INDEX(其他调用!AC$5:AC$404,MATCH($K112,其他调用!$X$5:$X$404,0),0)</f>
        <v>1791.2545500677347</v>
      </c>
      <c r="S112" s="12">
        <f>求节点(节奏总纲!D$4:D$163,标准城池设计!AC$4:AC$163,$K112)*求节点(节奏总纲!D$4:D$163,攻城基础信息!$AD$5:$AD$164,$K112)</f>
        <v>528426.51823398657</v>
      </c>
      <c r="T112" s="12">
        <f>INDEX(其他调用!$AA$5:$AA$404,MATCH($K112,其他调用!$X$5:$X$404,0))*MIN(INDEX(其他调用!AI$5:AI$364,MATCH($K112,其他调用!$AG$5:$AG$364,0),1)/INDEX(其他调用!$AJ$5:$AJ$364,MATCH($K112,其他调用!$AG$5:$AG$364,0),0),5)*求节点(节奏总纲!D$4:D$163,攻城基础信息!$AD$5:$AD$164,$K112)</f>
        <v>69196.763497910957</v>
      </c>
      <c r="U112" s="12">
        <f>MIN(INDEX(其他调用!$AI$5:$AI$364,MATCH($K112,其他调用!$AG$5:$AG$364,0),1)/INDEX(其他调用!AH$5:AH$364,MATCH($K112,其他调用!$AG$5:$AG$364,0),0),1)*INDEX(其他调用!Y$5:Y$404,MATCH($K112,其他调用!$X$5:$X$404,0),0)</f>
        <v>36530.390421874195</v>
      </c>
      <c r="V112" s="12">
        <f>MIN(INDEX(其他调用!$AI$5:$AI$364,MATCH($K112,其他调用!$AG$5:$AG$364,0),1)/INDEX(其他调用!AI$5:AI$364,MATCH($K112,其他调用!$AG$5:$AG$364,0),0),1)*INDEX(其他调用!Z$5:Z$404,MATCH($K112,其他调用!$X$5:$X$404,0),0)</f>
        <v>37678.568304674096</v>
      </c>
      <c r="W112" s="12">
        <f>MIN(INDEX(其他调用!$AI$5:$AI$364,MATCH($K112,其他调用!$AG$5:$AG$364,0),1)/INDEX(其他调用!AJ$5:AJ$364,MATCH($K112,其他调用!$AG$5:$AG$364,0),0),1)*INDEX(其他调用!AA$5:AA$404,MATCH($K112,其他调用!$X$5:$X$404,0),0)</f>
        <v>22432.42403244265</v>
      </c>
      <c r="X112" s="12">
        <f>MIN(INDEX(其他调用!$AI$5:$AI$364,MATCH($K112,其他调用!$AG$5:$AG$364,0),1)/INDEX(其他调用!AK$5:AK$364,MATCH($K112,其他调用!$AG$5:$AG$364,0),0),1)*INDEX(其他调用!AB$5:AB$404,MATCH($K112,其他调用!$X$5:$X$404,0),0)</f>
        <v>9338.4859420205339</v>
      </c>
      <c r="Y112" s="12">
        <f>MIN(INDEX(其他调用!$AI$5:$AI$364,MATCH($K112,其他调用!$AG$5:$AG$364,0),1)/INDEX(其他调用!AL$5:AL$364,MATCH($K112,其他调用!$AG$5:$AG$364,0),0),1)*INDEX(其他调用!AC$5:AC$404,MATCH($K112,其他调用!$X$5:$X$404,0),0)</f>
        <v>2893.5082960346917</v>
      </c>
      <c r="Z112" s="12">
        <f>求节点(节奏总纲!D$4:D$163,标准城池设计!AD$4:AD$163,$K112)*求节点(节奏总纲!D$4:D$163,攻城基础信息!$AE$5:$AE$164,$K112)</f>
        <v>567750.69791607524</v>
      </c>
      <c r="AA112" s="12">
        <f>INDEX(其他调用!$AA$5:$AA$404,MATCH($K112,其他调用!$X$5:$X$404,0))*MIN(INDEX(其他调用!AJ$5:AJ$364,MATCH($K112,其他调用!$AG$5:$AG$364,0),1)/INDEX(其他调用!$AJ$5:$AJ$364,MATCH($K112,其他调用!$AG$5:$AG$364,0),0),5)*求节点(节奏总纲!D$4:D$163,攻城基础信息!$AE$5:$AE$164,$K112)</f>
        <v>120886.09965318952</v>
      </c>
      <c r="AB112" s="12">
        <f>MIN(INDEX(其他调用!$AJ$5:$AJ$364,MATCH($K112,其他调用!$AG$5:$AG$364,0),1)/INDEX(其他调用!AH$5:AH$364,MATCH($K112,其他调用!$AG$5:$AG$364,0),0),1)*INDEX(其他调用!Y$5:Y$404,MATCH($K112,其他调用!$X$5:$X$404,0),0)</f>
        <v>36530.390421874195</v>
      </c>
      <c r="AC112" s="12">
        <f>MIN(INDEX(其他调用!$AJ$5:$AJ$364,MATCH($K112,其他调用!$AG$5:$AG$364,0),1)/INDEX(其他调用!AI$5:AI$364,MATCH($K112,其他调用!$AG$5:$AG$364,0),0),1)*INDEX(其他调用!Z$5:Z$404,MATCH($K112,其他调用!$X$5:$X$404,0),0)</f>
        <v>37678.568304674096</v>
      </c>
      <c r="AD112" s="12">
        <f>MIN(INDEX(其他调用!$AJ$5:$AJ$364,MATCH($K112,其他调用!$AG$5:$AG$364,0),1)/INDEX(其他调用!AJ$5:AJ$364,MATCH($K112,其他调用!$AG$5:$AG$364,0),0),1)*INDEX(其他调用!AA$5:AA$404,MATCH($K112,其他调用!$X$5:$X$404,0),0)</f>
        <v>39189.235304774527</v>
      </c>
      <c r="AE112" s="12">
        <f>MIN(INDEX(其他调用!$AJ$5:$AJ$364,MATCH($K112,其他调用!$AG$5:$AG$364,0),1)/INDEX(其他调用!AK$5:AK$364,MATCH($K112,其他调用!$AG$5:$AG$364,0),0),1)*INDEX(其他调用!AB$5:AB$404,MATCH($K112,其他调用!$X$5:$X$404,0),0)</f>
        <v>16314.247735460704</v>
      </c>
      <c r="AF112" s="12">
        <f>MIN(INDEX(其他调用!$AJ$5:$AJ$364,MATCH($K112,其他调用!$AG$5:$AG$364,0),1)/INDEX(其他调用!AL$5:AL$364,MATCH($K112,其他调用!$AG$5:$AG$364,0),0),1)*INDEX(其他调用!AC$5:AC$404,MATCH($K112,其他调用!$X$5:$X$404,0),0)</f>
        <v>5054.9319728276059</v>
      </c>
      <c r="AG112" s="12">
        <f>求节点(节奏总纲!D$4:D$163,标准城池设计!AE$4:AE$163,$K112)*求节点(节奏总纲!D$4:D$163,攻城基础信息!$AF$5:$AF$164,$K112)</f>
        <v>645609.75397382968</v>
      </c>
      <c r="AH112" s="12">
        <f>INDEX(其他调用!$AA$5:$AA$404,MATCH($K112,其他调用!$X$5:$X$404,0))*MIN(INDEX(其他调用!AK$5:AK$364,MATCH($K112,其他调用!$AG$5:$AG$364,0),1)/INDEX(其他调用!$AJ$5:$AJ$364,MATCH($K112,其他调用!$AG$5:$AG$364,0),0),5)*求节点(节奏总纲!D$4:D$163,攻城基础信息!$AF$5:$AF$164,$K112)</f>
        <v>306493.2233836269</v>
      </c>
      <c r="AI112" s="12">
        <f>MIN(INDEX(其他调用!$AK$5:$AK$364,MATCH($K112,其他调用!$AG$5:$AG$364,0),1)/INDEX(其他调用!AH$5:AH$364,MATCH($K112,其他调用!$AG$5:$AG$364,0),0),1)*INDEX(其他调用!Y$5:Y$404,MATCH($K112,其他调用!$X$5:$X$404,0),0)</f>
        <v>36530.390421874195</v>
      </c>
      <c r="AJ112" s="12">
        <f>MIN(INDEX(其他调用!$AK$5:$AK$364,MATCH($K112,其他调用!$AG$5:$AG$364,0),1)/INDEX(其他调用!AI$5:AI$364,MATCH($K112,其他调用!$AG$5:$AG$364,0),0),1)*INDEX(其他调用!Z$5:Z$404,MATCH($K112,其他调用!$X$5:$X$404,0),0)</f>
        <v>37678.568304674096</v>
      </c>
      <c r="AK112" s="12">
        <f>MIN(INDEX(其他调用!$AK$5:$AK$364,MATCH($K112,其他调用!$AG$5:$AG$364,0),1)/INDEX(其他调用!AJ$5:AJ$364,MATCH($K112,其他调用!$AG$5:$AG$364,0),0),1)*INDEX(其他调用!AA$5:AA$404,MATCH($K112,其他调用!$X$5:$X$404,0),0)</f>
        <v>39189.235304774527</v>
      </c>
      <c r="AL112" s="12">
        <f>MIN(INDEX(其他调用!$AK$5:$AK$364,MATCH($K112,其他调用!$AG$5:$AG$364,0),1)/INDEX(其他调用!AK$5:AK$364,MATCH($K112,其他调用!$AG$5:$AG$364,0),0),1)*INDEX(其他调用!AB$5:AB$404,MATCH($K112,其他调用!$X$5:$X$404,0),0)</f>
        <v>41362.95562405845</v>
      </c>
      <c r="AM112" s="12">
        <f>MIN(INDEX(其他调用!$AK$5:$AK$364,MATCH($K112,其他调用!$AG$5:$AG$364,0),1)/INDEX(其他调用!AL$5:AL$364,MATCH($K112,其他调用!$AG$5:$AG$364,0),0),1)*INDEX(其他调用!AC$5:AC$404,MATCH($K112,其他调用!$X$5:$X$404,0),0)</f>
        <v>12816.216246381404</v>
      </c>
      <c r="AN112" s="12">
        <f>求节点(节奏总纲!D$4:D$163,标准城池设计!AF$4:AF$163,$K112)*求节点(节奏总纲!D$4:D$163,攻城基础信息!$AG$5:$AG$164,$K112)</f>
        <v>637229.9801959024</v>
      </c>
      <c r="AO112" s="12">
        <f>INDEX(其他调用!$AA$5:$AA$404,MATCH($K112,其他调用!$X$5:$X$404,0))*MIN(INDEX(其他调用!AL$5:AL$364,MATCH($K112,其他调用!$AG$5:$AG$364,0),1)/INDEX(其他调用!$AJ$5:$AJ$364,MATCH($K112,其他调用!$AG$5:$AG$364,0),0),5)*求节点(节奏总纲!D$4:D$163,攻城基础信息!$AG$5:$AG$164,$K112)</f>
        <v>604430.49826594768</v>
      </c>
      <c r="AP112" s="12">
        <f>MIN(INDEX(其他调用!$AL$5:$AL$364,MATCH($K112,其他调用!$AG$5:$AG$364,0),1)/INDEX(其他调用!AH$5:AH$364,MATCH($K112,其他调用!$AG$5:$AG$364,0),0),1)*INDEX(其他调用!Y$5:Y$404,MATCH($K112,其他调用!$X$5:$X$404,0),0)</f>
        <v>36530.390421874195</v>
      </c>
      <c r="AQ112" s="12">
        <f>MIN(INDEX(其他调用!$AL$5:$AL$364,MATCH($K112,其他调用!$AG$5:$AG$364,0),1)/INDEX(其他调用!AI$5:AI$364,MATCH($K112,其他调用!$AG$5:$AG$364,0),0),1)*INDEX(其他调用!Z$5:Z$404,MATCH($K112,其他调用!$X$5:$X$404,0),0)</f>
        <v>37678.568304674096</v>
      </c>
      <c r="AR112" s="12">
        <f>MIN(INDEX(其他调用!$AL$5:$AL$364,MATCH($K112,其他调用!$AG$5:$AG$364,0),1)/INDEX(其他调用!AJ$5:AJ$364,MATCH($K112,其他调用!$AG$5:$AG$364,0),0),1)*INDEX(其他调用!AA$5:AA$404,MATCH($K112,其他调用!$X$5:$X$404,0),0)</f>
        <v>39189.235304774527</v>
      </c>
      <c r="AS112" s="12">
        <f>MIN(INDEX(其他调用!$AL$5:$AL$364,MATCH($K112,其他调用!$AG$5:$AG$364,0),1)/INDEX(其他调用!AK$5:AK$364,MATCH($K112,其他调用!$AG$5:$AG$364,0),0),1)*INDEX(其他调用!AB$5:AB$404,MATCH($K112,其他调用!$X$5:$X$404,0),0)</f>
        <v>41362.95562405845</v>
      </c>
      <c r="AT112" s="12">
        <f>MIN(INDEX(其他调用!$AL$5:$AL$364,MATCH($K112,其他调用!$AG$5:$AG$364,0),1)/INDEX(其他调用!AL$5:AL$364,MATCH($K112,其他调用!$AG$5:$AG$364,0),0),1)*INDEX(其他调用!AC$5:AC$404,MATCH($K112,其他调用!$X$5:$X$404,0),0)</f>
        <v>45227.698857701311</v>
      </c>
      <c r="AV112" s="14">
        <f>IF(OR(AV$5="大R",AV$5="超R"),MAX(INDEX(其他调用!$H$5:$L$404,MATCH($K112,其他调用!$B$5:$B$404,0),MATCH(AV$5,其他调用!$H$4:$L$4,0))*120*0.85,2),INDEX(其他调用!$H$5:$L$404,MATCH($K112,其他调用!$B$5:$B$404,0),MATCH(AV$5,其他调用!$H$4:$L$4,0))*120*0.85)</f>
        <v>48.921801254999991</v>
      </c>
      <c r="AW112" s="14">
        <f>IF(OR(AW$5="大R",AW$5="超R"),MAX(INDEX(其他调用!$H$5:$L$404,MATCH($K112,其他调用!$B$5:$B$404,0),MATCH(AW$5,其他调用!$H$4:$L$4,0))*120*0.85,2),INDEX(其他调用!$H$5:$L$404,MATCH($K112,其他调用!$B$5:$B$404,0),MATCH(AW$5,其他调用!$H$4:$L$4,0))*120*0.85)</f>
        <v>48.237344010638395</v>
      </c>
      <c r="AX112" s="14">
        <f>IF(OR(AX$5="大R",AX$5="超R"),MAX(INDEX(其他调用!$H$5:$L$404,MATCH($K112,其他调用!$B$5:$B$404,0),MATCH(AX$5,其他调用!$H$4:$L$4,0))*120*0.85,2),INDEX(其他调用!$H$5:$L$404,MATCH($K112,其他调用!$B$5:$B$404,0),MATCH(AX$5,其他调用!$H$4:$L$4,0))*120*0.85)</f>
        <v>3.9376284143615998</v>
      </c>
      <c r="AY112" s="14">
        <f>IF(OR(AY$5="大R",AY$5="超R"),MAX(INDEX(其他调用!$H$5:$L$404,MATCH($K112,其他调用!$B$5:$B$404,0),MATCH(AY$5,其他调用!$H$4:$L$4,0))*120*0.85,2),INDEX(其他调用!$H$5:$L$404,MATCH($K112,其他调用!$B$5:$B$404,0),MATCH(AY$5,其他调用!$H$4:$L$4,0))*120*0.85)</f>
        <v>2</v>
      </c>
      <c r="AZ112" s="14">
        <f>IF(OR(AZ$5="大R",AZ$5="超R"),MAX(INDEX(其他调用!$H$5:$L$404,MATCH($K112,其他调用!$B$5:$B$404,0),MATCH(AZ$5,其他调用!$H$4:$L$4,0))*120*0.85,2),INDEX(其他调用!$H$5:$L$404,MATCH($K112,其他调用!$B$5:$B$404,0),MATCH(AZ$5,其他调用!$H$4:$L$4,0))*120*0.85)</f>
        <v>2</v>
      </c>
      <c r="BA112" s="14">
        <f>INDEX(其他调用!$H$5:$L$404,MATCH($K112,其他调用!$B$5:$B$404,0),MATCH(BA$5,其他调用!$H$4:$L$4,0))*INDEX(其他调用!$M$5:$M$404,MATCH($K112,其他调用!$B$5:$B$404,0))*0.6</f>
        <v>28.777530149999997</v>
      </c>
      <c r="BB112" s="14">
        <f>INDEX(其他调用!$H$5:$L$404,MATCH($K112,其他调用!$B$5:$B$404,0),MATCH(BB$5,其他调用!$H$4:$L$4,0))*INDEX(其他调用!$M$5:$M$404,MATCH($K112,其他调用!$B$5:$B$404,0))*0.6</f>
        <v>28.374908241551999</v>
      </c>
      <c r="BC112" s="14">
        <f>INDEX(其他调用!$H$5:$L$404,MATCH($K112,其他调用!$B$5:$B$404,0),MATCH(BC$5,其他调用!$H$4:$L$4,0))*INDEX(其他调用!$M$5:$M$404,MATCH($K112,其他调用!$B$5:$B$404,0))*0.6</f>
        <v>2.3162520084480001</v>
      </c>
      <c r="BD112" s="14">
        <f>INDEX(其他调用!$H$5:$L$404,MATCH($K112,其他调用!$B$5:$B$404,0),MATCH(BD$5,其他调用!$H$4:$L$4,0))*INDEX(其他调用!$M$5:$M$404,MATCH($K112,其他调用!$B$5:$B$404,0))*0.6</f>
        <v>0.4120776000000001</v>
      </c>
      <c r="BE112" s="14">
        <f>INDEX(其他调用!$H$5:$L$404,MATCH($K112,其他调用!$B$5:$B$404,0),MATCH(BE$5,其他调用!$H$4:$L$4,0))*INDEX(其他调用!$M$5:$M$404,MATCH($K112,其他调用!$B$5:$B$404,0))*0.6</f>
        <v>0.11923199999999998</v>
      </c>
      <c r="BF112" s="14">
        <f>IF(OR(BF$5="大R",BF$5="超R"),0,INDEX(其他调用!$H$5:$L$404,MATCH($K112,其他调用!$B$5:$B$404,0),MATCH(BF$5,其他调用!$H$4:$L$4,0))*50*0.4)</f>
        <v>9.5925100500000013</v>
      </c>
      <c r="BG112" s="14">
        <f>IF(OR(BG$5="大R",BG$5="超R"),0,INDEX(其他调用!$H$5:$L$404,MATCH($K112,其他调用!$B$5:$B$404,0),MATCH(BG$5,其他调用!$H$4:$L$4,0))*50*0.4)</f>
        <v>9.4583027471839998</v>
      </c>
      <c r="BH112" s="14">
        <f>IF(OR(BH$5="大R",BH$5="超R"),0,INDEX(其他调用!$H$5:$L$404,MATCH($K112,其他调用!$B$5:$B$404,0),MATCH(BH$5,其他调用!$H$4:$L$4,0))*50*0.4)</f>
        <v>0.77208400281600009</v>
      </c>
      <c r="BI112" s="14">
        <f>IF(OR(BI$5="大R",BI$5="超R"),0,INDEX(其他调用!$H$5:$L$404,MATCH($K112,其他调用!$B$5:$B$404,0),MATCH(BI$5,其他调用!$H$4:$L$4,0))*50*0.4)</f>
        <v>0</v>
      </c>
      <c r="BJ112" s="14">
        <f>IF(OR(BJ$5="大R",BJ$5="超R"),0,INDEX(其他调用!$H$5:$L$404,MATCH($K112,其他调用!$B$5:$B$404,0),MATCH(BJ$5,其他调用!$H$4:$L$4,0))*50*0.4)</f>
        <v>0</v>
      </c>
      <c r="BL112" s="14">
        <f t="shared" si="208"/>
        <v>107</v>
      </c>
      <c r="BM112" s="14">
        <f t="shared" si="115"/>
        <v>96</v>
      </c>
      <c r="BN112" s="14">
        <f>('疲劳值&amp;地图信息'!$S$10*'疲劳值&amp;地图信息'!$R$10+'疲劳值&amp;地图信息'!$S$11*'疲劳值&amp;地图信息'!$R$11+'疲劳值&amp;地图信息'!$S$12*'疲劳值&amp;地图信息'!$R$12+(BM112-'疲劳值&amp;地图信息'!$S$12-'疲劳值&amp;地图信息'!$S$11-'疲劳值&amp;地图信息'!$S$10)*'疲劳值&amp;地图信息'!$R$13)/BM112</f>
        <v>51.371477246638619</v>
      </c>
      <c r="BO112" s="14">
        <f>INDEX(其他调用!$M$5:$M$404,MATCH(BL112,其他调用!$B$5:$B$404,0))*0.6</f>
        <v>60</v>
      </c>
      <c r="BP112" s="14">
        <f>IF(BO112&gt;SUM('疲劳值&amp;地图信息'!$S$10:$S$12),('疲劳值&amp;地图信息'!$S$10*'疲劳值&amp;地图信息'!$R$10+'疲劳值&amp;地图信息'!$S$11*'疲劳值&amp;地图信息'!$R$11+'疲劳值&amp;地图信息'!$S$12*'疲劳值&amp;地图信息'!$R$12+(BO112-'疲劳值&amp;地图信息'!$S$12-'疲劳值&amp;地图信息'!$S$11-'疲劳值&amp;地图信息'!$S$10)*'疲劳值&amp;地图信息'!$R$13)/BO112,('疲劳值&amp;地图信息'!$S$10*'疲劳值&amp;地图信息'!$R$10+'疲劳值&amp;地图信息'!$S$11*'疲劳值&amp;地图信息'!$R$11+'疲劳值&amp;地图信息'!$S$12*'疲劳值&amp;地图信息'!$R$12+(BO112-'疲劳值&amp;地图信息'!$S$12-'疲劳值&amp;地图信息'!$S$11-'疲劳值&amp;地图信息'!$S$10)*'疲劳值&amp;地图信息'!$R$13)/BO112)</f>
        <v>44.158136341605953</v>
      </c>
      <c r="BQ112" s="14">
        <f t="shared" si="209"/>
        <v>20</v>
      </c>
      <c r="BR112" s="14">
        <f>('疲劳值&amp;地图信息'!$S$10*'疲劳值&amp;地图信息'!$R$10+($BQ112-'疲劳值&amp;地图信息'!$S$10)*'疲劳值&amp;地图信息'!$R$11)/$BQ112</f>
        <v>32.067203015074995</v>
      </c>
      <c r="CF112" s="14">
        <v>107</v>
      </c>
      <c r="CG112" s="51">
        <f t="shared" si="116"/>
        <v>10100</v>
      </c>
      <c r="CH112" s="51">
        <f t="shared" si="117"/>
        <v>873</v>
      </c>
      <c r="CI112" s="51">
        <f>INT(SUMPRODUCT($N112:$R112,$BA112:$BE112)/SUM($BA112:$BE112)/10000*$BX$7*$BZ$34/'疲劳值&amp;地图信息'!$R$10*$BY$53)</f>
        <v>2955</v>
      </c>
      <c r="CJ112" s="50">
        <f t="shared" si="118"/>
        <v>0.72515795519816195</v>
      </c>
      <c r="CK112" s="50">
        <f t="shared" si="119"/>
        <v>6.2679494543365882E-2</v>
      </c>
      <c r="CL112" s="50">
        <f t="shared" si="120"/>
        <v>0.21216255025847214</v>
      </c>
      <c r="CM112" s="14">
        <f t="shared" si="121"/>
        <v>10770</v>
      </c>
      <c r="CN112" s="14">
        <f t="shared" si="122"/>
        <v>1410</v>
      </c>
      <c r="CO112" s="14">
        <f>INT(SUMPRODUCT($U112:$Y112,$BA112:$BE112)/SUM($BA112:$BE112)/10000*$BX$7*$BZ$34/'疲劳值&amp;地图信息'!$R$10*$BY$54)</f>
        <v>5521</v>
      </c>
      <c r="CP112" s="50">
        <f t="shared" si="123"/>
        <v>0.60844020111858088</v>
      </c>
      <c r="CQ112" s="50">
        <f t="shared" si="124"/>
        <v>7.9656516580984119E-2</v>
      </c>
      <c r="CR112" s="50">
        <f t="shared" si="125"/>
        <v>0.31190328230043501</v>
      </c>
      <c r="CS112" s="14">
        <f t="shared" si="126"/>
        <v>11571</v>
      </c>
      <c r="CT112" s="14">
        <f t="shared" si="127"/>
        <v>2463</v>
      </c>
      <c r="CU112" s="14">
        <f>INT(SUMPRODUCT($AB112:$AF112,$BA112:$BE112)/SUM($BA112:$BE112)/10000*$BX$7*$BZ$34/'疲劳值&amp;地图信息'!$R$10*$BY$55)</f>
        <v>7503</v>
      </c>
      <c r="CV112" s="50">
        <f t="shared" si="128"/>
        <v>0.5372614570274411</v>
      </c>
      <c r="CW112" s="50">
        <f t="shared" si="129"/>
        <v>0.11436133166179134</v>
      </c>
      <c r="CX112" s="50">
        <f t="shared" si="130"/>
        <v>0.34837721131076754</v>
      </c>
      <c r="CY112" s="14">
        <f t="shared" si="131"/>
        <v>13158</v>
      </c>
      <c r="CZ112" s="14">
        <f t="shared" si="132"/>
        <v>6246</v>
      </c>
      <c r="DA112" s="14">
        <f>INT(SUMPRODUCT($AI112:$AM112,$BA112:$BE112)/SUM($BA112:$BE112)/10000*$BX$7*$BZ$34/'疲劳值&amp;地图信息'!$R$10*$BY$56)</f>
        <v>11312</v>
      </c>
      <c r="DB112" s="50">
        <f t="shared" si="133"/>
        <v>0.42837609063680165</v>
      </c>
      <c r="DC112" s="50">
        <f t="shared" si="134"/>
        <v>0.20334678994660763</v>
      </c>
      <c r="DD112" s="50">
        <f t="shared" si="135"/>
        <v>0.36827711941659069</v>
      </c>
      <c r="DE112" s="14">
        <f t="shared" si="136"/>
        <v>12987</v>
      </c>
      <c r="DF112" s="14">
        <f t="shared" si="137"/>
        <v>12319</v>
      </c>
      <c r="DG112" s="14">
        <f>INT(SUMPRODUCT($AP112:$AT112,$BA112:$BE112)/SUM($BA112:$BE112)/10000*$BX$7*$BZ$34/'疲劳值&amp;地图信息'!$R$10*$BY$57)</f>
        <v>15109</v>
      </c>
      <c r="DH112" s="50">
        <f t="shared" si="138"/>
        <v>0.32134108623036001</v>
      </c>
      <c r="DI112" s="50">
        <f t="shared" si="139"/>
        <v>0.30481256959049857</v>
      </c>
      <c r="DJ112" s="50">
        <f t="shared" si="140"/>
        <v>0.37384634417914142</v>
      </c>
      <c r="DL112" s="14">
        <f t="shared" si="211"/>
        <v>13928</v>
      </c>
      <c r="DM112" s="14">
        <f t="shared" si="212"/>
        <v>17701</v>
      </c>
      <c r="DN112" s="14">
        <f t="shared" si="213"/>
        <v>21537</v>
      </c>
      <c r="DO112" s="14">
        <f t="shared" si="214"/>
        <v>30716</v>
      </c>
      <c r="DP112" s="14">
        <f t="shared" si="215"/>
        <v>40415</v>
      </c>
      <c r="DQ112" s="14">
        <f t="shared" si="216"/>
        <v>970438</v>
      </c>
      <c r="DT112" s="14">
        <f t="shared" si="210"/>
        <v>235575</v>
      </c>
      <c r="DU112" s="50">
        <f t="shared" si="112"/>
        <v>0.19533371530820978</v>
      </c>
      <c r="DW112" s="14">
        <f t="shared" si="141"/>
        <v>1206013</v>
      </c>
      <c r="EB112" s="14">
        <v>107</v>
      </c>
      <c r="EC112" s="51">
        <f t="shared" si="142"/>
        <v>16834</v>
      </c>
      <c r="ED112" s="51">
        <f t="shared" si="143"/>
        <v>1455</v>
      </c>
      <c r="EE112" s="51">
        <f>INT(SUMPRODUCT($N112:$R112,$BF112:$BJ112)/SUM($BF112:$BJ112)/10000*$BX$7*$BZ$46/'疲劳值&amp;地图信息'!$R$10*$BY$53)</f>
        <v>397</v>
      </c>
      <c r="EF112" s="50">
        <f t="shared" si="144"/>
        <v>0.9008883656213208</v>
      </c>
      <c r="EG112" s="50">
        <f t="shared" si="145"/>
        <v>7.7865781868778766E-2</v>
      </c>
      <c r="EH112" s="50">
        <f t="shared" si="146"/>
        <v>2.1245852509900461E-2</v>
      </c>
      <c r="EI112" s="51">
        <f t="shared" si="147"/>
        <v>17950</v>
      </c>
      <c r="EJ112" s="51">
        <f t="shared" si="148"/>
        <v>2350</v>
      </c>
      <c r="EK112" s="14">
        <f>INT(SUMPRODUCT($U112:$Y112,$BF112:$BJ112)/SUM($BF112:$BJ112)/10000*$BX$7*$BZ$46/'疲劳值&amp;地图信息'!$R$10*$BY$54)</f>
        <v>741</v>
      </c>
      <c r="EL112" s="50">
        <f t="shared" si="149"/>
        <v>0.85309633572548837</v>
      </c>
      <c r="EM112" s="50">
        <f t="shared" si="150"/>
        <v>0.11168670690556533</v>
      </c>
      <c r="EN112" s="50">
        <f t="shared" si="151"/>
        <v>3.5216957368946346E-2</v>
      </c>
      <c r="EO112" s="51">
        <f t="shared" si="152"/>
        <v>19285</v>
      </c>
      <c r="EP112" s="51">
        <f t="shared" si="153"/>
        <v>4106</v>
      </c>
      <c r="EQ112" s="14">
        <f>INT(SUMPRODUCT($AB112:$AF112,$BF112:$BJ112)/SUM($BF112:$BJ112)/10000*$BX$7*$BZ$46/'疲劳值&amp;地图信息'!$R$10*$BY$55)</f>
        <v>1006</v>
      </c>
      <c r="ER112" s="50">
        <f t="shared" si="154"/>
        <v>0.79046604090666883</v>
      </c>
      <c r="ES112" s="50">
        <f t="shared" si="155"/>
        <v>0.16829938107144321</v>
      </c>
      <c r="ET112" s="50">
        <f t="shared" si="156"/>
        <v>4.1234578021887937E-2</v>
      </c>
      <c r="EU112" s="51">
        <f t="shared" si="157"/>
        <v>21930</v>
      </c>
      <c r="EV112" s="51">
        <f t="shared" si="158"/>
        <v>10411</v>
      </c>
      <c r="EW112" s="14">
        <f>INT(SUMPRODUCT($AI112:$AM112,$BF112:$BJ112)/SUM($BF112:$BJ112)/10000*$BX$7*$BZ$46/'疲劳值&amp;地图信息'!$R$10*$BY$56)</f>
        <v>1509</v>
      </c>
      <c r="EX112" s="50">
        <f t="shared" si="159"/>
        <v>0.64785819793205313</v>
      </c>
      <c r="EY112" s="50">
        <f t="shared" si="160"/>
        <v>0.30756277695716394</v>
      </c>
      <c r="EZ112" s="50">
        <f t="shared" si="161"/>
        <v>4.4579025110782863E-2</v>
      </c>
      <c r="FA112" s="51">
        <f t="shared" si="162"/>
        <v>21645</v>
      </c>
      <c r="FB112" s="51">
        <f t="shared" si="163"/>
        <v>20531</v>
      </c>
      <c r="FC112" s="14">
        <f>INT(SUMPRODUCT($AP112:$AT112,$BF112:$BJ112)/SUM($BF112:$BJ112)/10000*$BX$7*$BZ$46/'疲劳值&amp;地图信息'!$R$10*$BY$57)</f>
        <v>2012</v>
      </c>
      <c r="FD112" s="50">
        <f t="shared" si="164"/>
        <v>0.4898388702815244</v>
      </c>
      <c r="FE112" s="50">
        <f t="shared" si="165"/>
        <v>0.46462840590205484</v>
      </c>
      <c r="FF112" s="50">
        <f t="shared" si="166"/>
        <v>4.5532723816420748E-2</v>
      </c>
      <c r="FH112" s="14">
        <f t="shared" si="167"/>
        <v>18686</v>
      </c>
      <c r="FI112" s="14">
        <f t="shared" si="168"/>
        <v>21041</v>
      </c>
      <c r="FJ112" s="14">
        <f t="shared" si="169"/>
        <v>24397</v>
      </c>
      <c r="FK112" s="14">
        <f t="shared" si="170"/>
        <v>33850</v>
      </c>
      <c r="FL112" s="14">
        <f t="shared" si="171"/>
        <v>44188</v>
      </c>
      <c r="FM112" s="14">
        <f t="shared" si="172"/>
        <v>2181257</v>
      </c>
      <c r="FP112" s="14">
        <f t="shared" si="173"/>
        <v>334150</v>
      </c>
      <c r="FQ112" s="50">
        <f t="shared" si="113"/>
        <v>0.13284132547933594</v>
      </c>
      <c r="FS112" s="14">
        <f t="shared" si="174"/>
        <v>2515407</v>
      </c>
      <c r="FX112" s="14">
        <v>107</v>
      </c>
      <c r="FY112" s="51">
        <f t="shared" si="175"/>
        <v>23568</v>
      </c>
      <c r="FZ112" s="51">
        <f t="shared" si="176"/>
        <v>1455</v>
      </c>
      <c r="GA112" s="51">
        <f>INT(SUMPRODUCT($N112:$R112,$BF112:$BJ112)/SUM($BF112:$BJ112)/10000*$BX$7*$BZ$46/'疲劳值&amp;地图信息'!$R$10*$BY$53)</f>
        <v>397</v>
      </c>
      <c r="GB112" s="50">
        <f t="shared" si="177"/>
        <v>0.92714398111723051</v>
      </c>
      <c r="GC112" s="50">
        <f t="shared" si="178"/>
        <v>5.7238394964594805E-2</v>
      </c>
      <c r="GD112" s="50">
        <f t="shared" si="179"/>
        <v>1.5617623918174665E-2</v>
      </c>
      <c r="GE112" s="51">
        <f t="shared" si="180"/>
        <v>25130</v>
      </c>
      <c r="GF112" s="51">
        <f t="shared" si="181"/>
        <v>2350</v>
      </c>
      <c r="GG112" s="14">
        <f>INT(SUMPRODUCT($U112:$Y112,$BF112:$BJ112)/SUM($BF112:$BJ112)/10000*$BX$7*$BZ$46/'疲劳值&amp;地图信息'!$R$10*$BY$54)</f>
        <v>741</v>
      </c>
      <c r="GH112" s="50">
        <f t="shared" si="182"/>
        <v>0.89047163459834877</v>
      </c>
      <c r="GI112" s="50">
        <f t="shared" si="183"/>
        <v>8.3271322773820919E-2</v>
      </c>
      <c r="GJ112" s="50">
        <f t="shared" si="184"/>
        <v>2.6257042627830338E-2</v>
      </c>
      <c r="GK112" s="51">
        <f t="shared" si="185"/>
        <v>27000</v>
      </c>
      <c r="GL112" s="51">
        <f t="shared" si="186"/>
        <v>4106</v>
      </c>
      <c r="GM112" s="14">
        <f>INT(SUMPRODUCT($AB112:$AF112,$BF112:$BJ112)/SUM($BF112:$BJ112)/10000*$BX$7*$BZ$46/'疲劳值&amp;地图信息'!$R$10*$BY$55)</f>
        <v>1006</v>
      </c>
      <c r="GN112" s="50">
        <f t="shared" si="187"/>
        <v>0.84080717488789236</v>
      </c>
      <c r="GO112" s="50">
        <f t="shared" si="188"/>
        <v>0.12786497259591431</v>
      </c>
      <c r="GP112" s="50">
        <f t="shared" si="189"/>
        <v>3.1327852516193321E-2</v>
      </c>
      <c r="GQ112" s="51">
        <f t="shared" si="190"/>
        <v>30702</v>
      </c>
      <c r="GR112" s="51">
        <f t="shared" si="191"/>
        <v>10411</v>
      </c>
      <c r="GS112" s="14">
        <f>INT(SUMPRODUCT($AI112:$AM112,$BF112:$BJ112)/SUM($BF112:$BJ112)/10000*$BX$7*$BZ$46/'疲劳值&amp;地图信息'!$R$10*$BY$56)</f>
        <v>1509</v>
      </c>
      <c r="GT112" s="50">
        <f t="shared" si="192"/>
        <v>0.72033222279573927</v>
      </c>
      <c r="GU112" s="50">
        <f t="shared" si="193"/>
        <v>0.24426352587865421</v>
      </c>
      <c r="GV112" s="50">
        <f t="shared" si="194"/>
        <v>3.5404251325606491E-2</v>
      </c>
      <c r="GW112" s="51">
        <f t="shared" si="195"/>
        <v>30304</v>
      </c>
      <c r="GX112" s="51">
        <f t="shared" si="196"/>
        <v>20531</v>
      </c>
      <c r="GY112" s="14">
        <f>INT(SUMPRODUCT($AP112:$AT112,$BF112:$BJ112)/SUM($BF112:$BJ112)/10000*$BX$7*$BZ$46/'疲劳值&amp;地图信息'!$R$10*$BY$57)</f>
        <v>2012</v>
      </c>
      <c r="GZ112" s="50">
        <f t="shared" si="197"/>
        <v>0.57342895528601434</v>
      </c>
      <c r="HA112" s="50">
        <f t="shared" si="198"/>
        <v>0.38849887410827483</v>
      </c>
      <c r="HB112" s="50">
        <f t="shared" si="199"/>
        <v>3.8072170605710824E-2</v>
      </c>
      <c r="HD112" s="14">
        <f t="shared" si="200"/>
        <v>25420</v>
      </c>
      <c r="HE112" s="14">
        <f t="shared" si="201"/>
        <v>28221</v>
      </c>
      <c r="HF112" s="14">
        <f t="shared" si="202"/>
        <v>32112</v>
      </c>
      <c r="HG112" s="14">
        <f t="shared" si="203"/>
        <v>42622</v>
      </c>
      <c r="HH112" s="14">
        <f t="shared" si="204"/>
        <v>52847</v>
      </c>
      <c r="HI112" s="14">
        <f t="shared" si="205"/>
        <v>2922281</v>
      </c>
      <c r="HL112" s="14">
        <f t="shared" si="206"/>
        <v>430050</v>
      </c>
      <c r="HM112" s="50">
        <f t="shared" si="114"/>
        <v>0.12828387172985006</v>
      </c>
      <c r="HO112" s="14">
        <f t="shared" si="207"/>
        <v>3352331</v>
      </c>
    </row>
    <row r="113" spans="11:223" x14ac:dyDescent="0.2">
      <c r="K113" s="14">
        <v>108</v>
      </c>
      <c r="L113" s="12">
        <f>求节点(节奏总纲!D$4:D$163,标准城池设计!AB$4:AB$163,$K113)*求节点(节奏总纲!D$4:D$163,攻城基础信息!$AC$5:$AC$164,$K113)</f>
        <v>497568.19996643678</v>
      </c>
      <c r="M113" s="12">
        <f>INDEX(其他调用!$AA$5:$AA$404,MATCH(K113,其他调用!$X$5:$X$404,0))*MIN(INDEX(其他调用!$AH$5:$AH$364,MATCH('征服点（新）'!K113,其他调用!$AG$5:$AG$364,0),1)/INDEX(其他调用!$AJ$5:$AJ$364,MATCH(K113,其他调用!$AG$5:$AG$364,0),0),5)*求节点(节奏总纲!D$4:D$163,攻城基础信息!$AC$5:$AC$164,$K113)</f>
        <v>42928.922108319064</v>
      </c>
      <c r="N113" s="12">
        <f>MIN(INDEX(其他调用!$AH$5:$AH$364,MATCH($K113,其他调用!$AG$5:$AG$364,0),1)/INDEX(其他调用!AH$5:AH$364,MATCH($K113,其他调用!$AG$5:$AG$364,0),0),1)*INDEX(其他调用!Y$5:Y$404,MATCH($K113,其他调用!$X$5:$X$404,0),0)</f>
        <v>36584.049860732986</v>
      </c>
      <c r="O113" s="12">
        <f>MIN(INDEX(其他调用!$AH$5:$AH$364,MATCH($K113,其他调用!$AG$5:$AG$364,0),1)/INDEX(其他调用!AI$5:AI$364,MATCH($K113,其他调用!$AG$5:$AG$364,0),0),1)*INDEX(其他调用!Z$5:Z$404,MATCH($K113,其他调用!$X$5:$X$404,0),0)</f>
        <v>23296.578883413476</v>
      </c>
      <c r="P113" s="12">
        <f>MIN(INDEX(其他调用!$AH$5:$AH$364,MATCH($K113,其他调用!$AG$5:$AG$364,0),1)/INDEX(其他调用!AJ$5:AJ$364,MATCH($K113,其他调用!$AG$5:$AG$364,0),0),1)*INDEX(其他调用!AA$5:AA$404,MATCH($K113,其他调用!$X$5:$X$404,0),0)</f>
        <v>13896.708653394804</v>
      </c>
      <c r="Q113" s="12">
        <f>MIN(INDEX(其他调用!$AH$5:$AH$364,MATCH($K113,其他调用!$AG$5:$AG$364,0),1)/INDEX(其他调用!AK$5:AK$364,MATCH($K113,其他调用!$AG$5:$AG$364,0),0),1)*INDEX(其他调用!AB$5:AB$404,MATCH($K113,其他调用!$X$5:$X$404,0),0)</f>
        <v>5773.7989102362044</v>
      </c>
      <c r="R113" s="12">
        <f>MIN(INDEX(其他调用!$AH$5:$AH$364,MATCH($K113,其他调用!$AG$5:$AG$364,0),1)/INDEX(其他调用!AL$5:AL$364,MATCH($K113,其他调用!$AG$5:$AG$364,0),0),1)*INDEX(其他调用!AC$5:AC$404,MATCH($K113,其他调用!$X$5:$X$404,0),0)</f>
        <v>1791.977304523944</v>
      </c>
      <c r="S113" s="12">
        <f>求节点(节奏总纲!D$4:D$163,标准城池设计!AC$4:AC$163,$K113)*求节点(节奏总纲!D$4:D$163,攻城基础信息!$AD$5:$AD$164,$K113)</f>
        <v>530785.65610835084</v>
      </c>
      <c r="T113" s="12">
        <f>INDEX(其他调用!$AA$5:$AA$404,MATCH($K113,其他调用!$X$5:$X$404,0))*MIN(INDEX(其他调用!AI$5:AI$364,MATCH($K113,其他调用!$AG$5:$AG$364,0),1)/INDEX(其他调用!$AJ$5:$AJ$364,MATCH($K113,其他调用!$AG$5:$AG$364,0),0),5)*求节点(节奏总纲!D$4:D$163,攻城基础信息!$AD$5:$AD$164,$K113)</f>
        <v>69531.192539660406</v>
      </c>
      <c r="U113" s="12">
        <f>MIN(INDEX(其他调用!$AI$5:$AI$364,MATCH($K113,其他调用!$AG$5:$AG$364,0),1)/INDEX(其他调用!AH$5:AH$364,MATCH($K113,其他调用!$AG$5:$AG$364,0),0),1)*INDEX(其他调用!Y$5:Y$404,MATCH($K113,其他调用!$X$5:$X$404,0),0)</f>
        <v>36584.049860732986</v>
      </c>
      <c r="V113" s="12">
        <f>MIN(INDEX(其他调用!$AI$5:$AI$364,MATCH($K113,其他调用!$AG$5:$AG$364,0),1)/INDEX(其他调用!AI$5:AI$364,MATCH($K113,其他调用!$AG$5:$AG$364,0),0),1)*INDEX(其他调用!Z$5:Z$404,MATCH($K113,其他调用!$X$5:$X$404,0),0)</f>
        <v>37733.044118154219</v>
      </c>
      <c r="W113" s="12">
        <f>MIN(INDEX(其他调用!$AI$5:$AI$364,MATCH($K113,其他调用!$AG$5:$AG$364,0),1)/INDEX(其他调用!AJ$5:AJ$364,MATCH($K113,其他调用!$AG$5:$AG$364,0),0),1)*INDEX(其他调用!AA$5:AA$404,MATCH($K113,其他调用!$X$5:$X$404,0),0)</f>
        <v>22508.245667307623</v>
      </c>
      <c r="X113" s="12">
        <f>MIN(INDEX(其他调用!$AI$5:$AI$364,MATCH($K113,其他调用!$AG$5:$AG$364,0),1)/INDEX(其他调用!AK$5:AK$364,MATCH($K113,其他调用!$AG$5:$AG$364,0),0),1)*INDEX(其他调用!AB$5:AB$404,MATCH($K113,其他调用!$X$5:$X$404,0),0)</f>
        <v>9351.7168378918486</v>
      </c>
      <c r="Y113" s="12">
        <f>MIN(INDEX(其他调用!$AI$5:$AI$364,MATCH($K113,其他调用!$AG$5:$AG$364,0),1)/INDEX(其他调用!AL$5:AL$364,MATCH($K113,其他调用!$AG$5:$AG$364,0),0),1)*INDEX(其他调用!AC$5:AC$404,MATCH($K113,其他调用!$X$5:$X$404,0),0)</f>
        <v>2902.4329721852141</v>
      </c>
      <c r="Z113" s="12">
        <f>求节点(节奏总纲!D$4:D$163,标准城池设计!AD$4:AD$163,$K113)*求节点(节奏总纲!D$4:D$163,攻城基础信息!$AE$5:$AE$164,$K113)</f>
        <v>570242.08891494269</v>
      </c>
      <c r="AA113" s="12">
        <f>INDEX(其他调用!$AA$5:$AA$404,MATCH($K113,其他调用!$X$5:$X$404,0))*MIN(INDEX(其他调用!AJ$5:AJ$364,MATCH($K113,其他调用!$AG$5:$AG$364,0),1)/INDEX(其他调用!$AJ$5:$AJ$364,MATCH($K113,其他调用!$AG$5:$AG$364,0),0),5)*求节点(节奏总纲!D$4:D$163,攻城基础信息!$AE$5:$AE$164,$K113)</f>
        <v>121230.66898164792</v>
      </c>
      <c r="AB113" s="12">
        <f>MIN(INDEX(其他调用!$AJ$5:$AJ$364,MATCH($K113,其他调用!$AG$5:$AG$364,0),1)/INDEX(其他调用!AH$5:AH$364,MATCH($K113,其他调用!$AG$5:$AG$364,0),0),1)*INDEX(其他调用!Y$5:Y$404,MATCH($K113,其他调用!$X$5:$X$404,0),0)</f>
        <v>36584.049860732986</v>
      </c>
      <c r="AC113" s="12">
        <f>MIN(INDEX(其他调用!$AJ$5:$AJ$364,MATCH($K113,其他调用!$AG$5:$AG$364,0),1)/INDEX(其他调用!AI$5:AI$364,MATCH($K113,其他调用!$AG$5:$AG$364,0),0),1)*INDEX(其他调用!Z$5:Z$404,MATCH($K113,其他调用!$X$5:$X$404,0),0)</f>
        <v>37733.044118154219</v>
      </c>
      <c r="AD113" s="12">
        <f>MIN(INDEX(其他调用!$AJ$5:$AJ$364,MATCH($K113,其他调用!$AG$5:$AG$364,0),1)/INDEX(其他调用!AJ$5:AJ$364,MATCH($K113,其他调用!$AG$5:$AG$364,0),0),1)*INDEX(其他调用!AA$5:AA$404,MATCH($K113,其他调用!$X$5:$X$404,0),0)</f>
        <v>39244.108725656391</v>
      </c>
      <c r="AE113" s="12">
        <f>MIN(INDEX(其他调用!$AJ$5:$AJ$364,MATCH($K113,其他调用!$AG$5:$AG$364,0),1)/INDEX(其他调用!AK$5:AK$364,MATCH($K113,其他调用!$AG$5:$AG$364,0),0),1)*INDEX(其他调用!AB$5:AB$404,MATCH($K113,其他调用!$X$5:$X$404,0),0)</f>
        <v>16305.126475975543</v>
      </c>
      <c r="AF113" s="12">
        <f>MIN(INDEX(其他调用!$AJ$5:$AJ$364,MATCH($K113,其他调用!$AG$5:$AG$364,0),1)/INDEX(其他调用!AL$5:AL$364,MATCH($K113,其他调用!$AG$5:$AG$364,0),0),1)*INDEX(其他调用!AC$5:AC$404,MATCH($K113,其他调用!$X$5:$X$404,0),0)</f>
        <v>5060.5185678600865</v>
      </c>
      <c r="AG113" s="12">
        <f>求节点(节奏总纲!D$4:D$163,标准城池设计!AE$4:AE$163,$K113)*求节点(节奏总纲!D$4:D$163,攻城基础信息!$AF$5:$AF$164,$K113)</f>
        <v>648845.32254022057</v>
      </c>
      <c r="AH113" s="12">
        <f>INDEX(其他调用!$AA$5:$AA$404,MATCH($K113,其他调用!$X$5:$X$404,0))*MIN(INDEX(其他调用!AK$5:AK$364,MATCH($K113,其他调用!$AG$5:$AG$364,0),1)/INDEX(其他调用!$AJ$5:$AJ$364,MATCH($K113,其他调用!$AG$5:$AG$364,0),0),5)*求节点(节奏总纲!D$4:D$163,攻城基础信息!$AF$5:$AF$164,$K113)</f>
        <v>307936.59230573068</v>
      </c>
      <c r="AI113" s="12">
        <f>MIN(INDEX(其他调用!$AK$5:$AK$364,MATCH($K113,其他调用!$AG$5:$AG$364,0),1)/INDEX(其他调用!AH$5:AH$364,MATCH($K113,其他调用!$AG$5:$AG$364,0),0),1)*INDEX(其他调用!Y$5:Y$404,MATCH($K113,其他调用!$X$5:$X$404,0),0)</f>
        <v>36584.049860732986</v>
      </c>
      <c r="AJ113" s="12">
        <f>MIN(INDEX(其他调用!$AK$5:$AK$364,MATCH($K113,其他调用!$AG$5:$AG$364,0),1)/INDEX(其他调用!AI$5:AI$364,MATCH($K113,其他调用!$AG$5:$AG$364,0),0),1)*INDEX(其他调用!Z$5:Z$404,MATCH($K113,其他调用!$X$5:$X$404,0),0)</f>
        <v>37733.044118154219</v>
      </c>
      <c r="AK113" s="12">
        <f>MIN(INDEX(其他调用!$AK$5:$AK$364,MATCH($K113,其他调用!$AG$5:$AG$364,0),1)/INDEX(其他调用!AJ$5:AJ$364,MATCH($K113,其他调用!$AG$5:$AG$364,0),0),1)*INDEX(其他调用!AA$5:AA$404,MATCH($K113,其他调用!$X$5:$X$404,0),0)</f>
        <v>39244.108725656391</v>
      </c>
      <c r="AL113" s="12">
        <f>MIN(INDEX(其他调用!$AK$5:$AK$364,MATCH($K113,其他调用!$AG$5:$AG$364,0),1)/INDEX(其他调用!AK$5:AK$364,MATCH($K113,其他调用!$AG$5:$AG$364,0),0),1)*INDEX(其他调用!AB$5:AB$404,MATCH($K113,其他调用!$X$5:$X$404,0),0)</f>
        <v>41416.459434748598</v>
      </c>
      <c r="AM113" s="12">
        <f>MIN(INDEX(其他调用!$AK$5:$AK$364,MATCH($K113,其他调用!$AG$5:$AG$364,0),1)/INDEX(其他调用!AL$5:AL$364,MATCH($K113,其他调用!$AG$5:$AG$364,0),0),1)*INDEX(其他调用!AC$5:AC$404,MATCH($K113,其他调用!$X$5:$X$404,0),0)</f>
        <v>12854.163522949893</v>
      </c>
      <c r="AN113" s="12">
        <f>求节点(节奏总纲!D$4:D$163,标准城池设计!AF$4:AF$163,$K113)*求节点(节奏总纲!D$4:D$163,攻城基础信息!$AG$5:$AG$164,$K113)</f>
        <v>640283.89788892085</v>
      </c>
      <c r="AO113" s="12">
        <f>INDEX(其他调用!$AA$5:$AA$404,MATCH($K113,其他调用!$X$5:$X$404,0))*MIN(INDEX(其他调用!AL$5:AL$364,MATCH($K113,其他调用!$AG$5:$AG$364,0),1)/INDEX(其他调用!$AJ$5:$AJ$364,MATCH($K113,其他调用!$AG$5:$AG$364,0),0),5)*求节点(节奏总纲!D$4:D$163,攻城基础信息!$AG$5:$AG$164,$K113)</f>
        <v>606153.34490823967</v>
      </c>
      <c r="AP113" s="12">
        <f>MIN(INDEX(其他调用!$AL$5:$AL$364,MATCH($K113,其他调用!$AG$5:$AG$364,0),1)/INDEX(其他调用!AH$5:AH$364,MATCH($K113,其他调用!$AG$5:$AG$364,0),0),1)*INDEX(其他调用!Y$5:Y$404,MATCH($K113,其他调用!$X$5:$X$404,0),0)</f>
        <v>36584.049860732986</v>
      </c>
      <c r="AQ113" s="12">
        <f>MIN(INDEX(其他调用!$AL$5:$AL$364,MATCH($K113,其他调用!$AG$5:$AG$364,0),1)/INDEX(其他调用!AI$5:AI$364,MATCH($K113,其他调用!$AG$5:$AG$364,0),0),1)*INDEX(其他调用!Z$5:Z$404,MATCH($K113,其他调用!$X$5:$X$404,0),0)</f>
        <v>37733.044118154219</v>
      </c>
      <c r="AR113" s="12">
        <f>MIN(INDEX(其他调用!$AL$5:$AL$364,MATCH($K113,其他调用!$AG$5:$AG$364,0),1)/INDEX(其他调用!AJ$5:AJ$364,MATCH($K113,其他调用!$AG$5:$AG$364,0),0),1)*INDEX(其他调用!AA$5:AA$404,MATCH($K113,其他调用!$X$5:$X$404,0),0)</f>
        <v>39244.108725656391</v>
      </c>
      <c r="AS113" s="12">
        <f>MIN(INDEX(其他调用!$AL$5:$AL$364,MATCH($K113,其他调用!$AG$5:$AG$364,0),1)/INDEX(其他调用!AK$5:AK$364,MATCH($K113,其他调用!$AG$5:$AG$364,0),0),1)*INDEX(其他调用!AB$5:AB$404,MATCH($K113,其他调用!$X$5:$X$404,0),0)</f>
        <v>41416.459434748598</v>
      </c>
      <c r="AT113" s="12">
        <f>MIN(INDEX(其他调用!$AL$5:$AL$364,MATCH($K113,其他调用!$AG$5:$AG$364,0),1)/INDEX(其他调用!AL$5:AL$364,MATCH($K113,其他调用!$AG$5:$AG$364,0),0),1)*INDEX(其他调用!AC$5:AC$404,MATCH($K113,其他调用!$X$5:$X$404,0),0)</f>
        <v>45283.601031426755</v>
      </c>
      <c r="AV113" s="14">
        <f>IF(OR(AV$5="大R",AV$5="超R"),MAX(INDEX(其他调用!$H$5:$L$404,MATCH($K113,其他调用!$B$5:$B$404,0),MATCH(AV$5,其他调用!$H$4:$L$4,0))*120*0.85,2),INDEX(其他调用!$H$5:$L$404,MATCH($K113,其他调用!$B$5:$B$404,0),MATCH(AV$5,其他调用!$H$4:$L$4,0))*120*0.85)</f>
        <v>48.921801254999991</v>
      </c>
      <c r="AW113" s="14">
        <f>IF(OR(AW$5="大R",AW$5="超R"),MAX(INDEX(其他调用!$H$5:$L$404,MATCH($K113,其他调用!$B$5:$B$404,0),MATCH(AW$5,其他调用!$H$4:$L$4,0))*120*0.85,2),INDEX(其他调用!$H$5:$L$404,MATCH($K113,其他调用!$B$5:$B$404,0),MATCH(AW$5,其他调用!$H$4:$L$4,0))*120*0.85)</f>
        <v>48.237344010638395</v>
      </c>
      <c r="AX113" s="14">
        <f>IF(OR(AX$5="大R",AX$5="超R"),MAX(INDEX(其他调用!$H$5:$L$404,MATCH($K113,其他调用!$B$5:$B$404,0),MATCH(AX$5,其他调用!$H$4:$L$4,0))*120*0.85,2),INDEX(其他调用!$H$5:$L$404,MATCH($K113,其他调用!$B$5:$B$404,0),MATCH(AX$5,其他调用!$H$4:$L$4,0))*120*0.85)</f>
        <v>3.9376284143615998</v>
      </c>
      <c r="AY113" s="14">
        <f>IF(OR(AY$5="大R",AY$5="超R"),MAX(INDEX(其他调用!$H$5:$L$404,MATCH($K113,其他调用!$B$5:$B$404,0),MATCH(AY$5,其他调用!$H$4:$L$4,0))*120*0.85,2),INDEX(其他调用!$H$5:$L$404,MATCH($K113,其他调用!$B$5:$B$404,0),MATCH(AY$5,其他调用!$H$4:$L$4,0))*120*0.85)</f>
        <v>2</v>
      </c>
      <c r="AZ113" s="14">
        <f>IF(OR(AZ$5="大R",AZ$5="超R"),MAX(INDEX(其他调用!$H$5:$L$404,MATCH($K113,其他调用!$B$5:$B$404,0),MATCH(AZ$5,其他调用!$H$4:$L$4,0))*120*0.85,2),INDEX(其他调用!$H$5:$L$404,MATCH($K113,其他调用!$B$5:$B$404,0),MATCH(AZ$5,其他调用!$H$4:$L$4,0))*120*0.85)</f>
        <v>2</v>
      </c>
      <c r="BA113" s="14">
        <f>INDEX(其他调用!$H$5:$L$404,MATCH($K113,其他调用!$B$5:$B$404,0),MATCH(BA$5,其他调用!$H$4:$L$4,0))*INDEX(其他调用!$M$5:$M$404,MATCH($K113,其他调用!$B$5:$B$404,0))*0.6</f>
        <v>28.777530149999997</v>
      </c>
      <c r="BB113" s="14">
        <f>INDEX(其他调用!$H$5:$L$404,MATCH($K113,其他调用!$B$5:$B$404,0),MATCH(BB$5,其他调用!$H$4:$L$4,0))*INDEX(其他调用!$M$5:$M$404,MATCH($K113,其他调用!$B$5:$B$404,0))*0.6</f>
        <v>28.374908241551999</v>
      </c>
      <c r="BC113" s="14">
        <f>INDEX(其他调用!$H$5:$L$404,MATCH($K113,其他调用!$B$5:$B$404,0),MATCH(BC$5,其他调用!$H$4:$L$4,0))*INDEX(其他调用!$M$5:$M$404,MATCH($K113,其他调用!$B$5:$B$404,0))*0.6</f>
        <v>2.3162520084480001</v>
      </c>
      <c r="BD113" s="14">
        <f>INDEX(其他调用!$H$5:$L$404,MATCH($K113,其他调用!$B$5:$B$404,0),MATCH(BD$5,其他调用!$H$4:$L$4,0))*INDEX(其他调用!$M$5:$M$404,MATCH($K113,其他调用!$B$5:$B$404,0))*0.6</f>
        <v>0.4120776000000001</v>
      </c>
      <c r="BE113" s="14">
        <f>INDEX(其他调用!$H$5:$L$404,MATCH($K113,其他调用!$B$5:$B$404,0),MATCH(BE$5,其他调用!$H$4:$L$4,0))*INDEX(其他调用!$M$5:$M$404,MATCH($K113,其他调用!$B$5:$B$404,0))*0.6</f>
        <v>0.11923199999999998</v>
      </c>
      <c r="BF113" s="14">
        <f>IF(OR(BF$5="大R",BF$5="超R"),0,INDEX(其他调用!$H$5:$L$404,MATCH($K113,其他调用!$B$5:$B$404,0),MATCH(BF$5,其他调用!$H$4:$L$4,0))*50*0.4)</f>
        <v>9.5925100500000013</v>
      </c>
      <c r="BG113" s="14">
        <f>IF(OR(BG$5="大R",BG$5="超R"),0,INDEX(其他调用!$H$5:$L$404,MATCH($K113,其他调用!$B$5:$B$404,0),MATCH(BG$5,其他调用!$H$4:$L$4,0))*50*0.4)</f>
        <v>9.4583027471839998</v>
      </c>
      <c r="BH113" s="14">
        <f>IF(OR(BH$5="大R",BH$5="超R"),0,INDEX(其他调用!$H$5:$L$404,MATCH($K113,其他调用!$B$5:$B$404,0),MATCH(BH$5,其他调用!$H$4:$L$4,0))*50*0.4)</f>
        <v>0.77208400281600009</v>
      </c>
      <c r="BI113" s="14">
        <f>IF(OR(BI$5="大R",BI$5="超R"),0,INDEX(其他调用!$H$5:$L$404,MATCH($K113,其他调用!$B$5:$B$404,0),MATCH(BI$5,其他调用!$H$4:$L$4,0))*50*0.4)</f>
        <v>0</v>
      </c>
      <c r="BJ113" s="14">
        <f>IF(OR(BJ$5="大R",BJ$5="超R"),0,INDEX(其他调用!$H$5:$L$404,MATCH($K113,其他调用!$B$5:$B$404,0),MATCH(BJ$5,其他调用!$H$4:$L$4,0))*50*0.4)</f>
        <v>0</v>
      </c>
      <c r="BL113" s="14">
        <f t="shared" si="208"/>
        <v>108</v>
      </c>
      <c r="BM113" s="14">
        <f t="shared" si="115"/>
        <v>96</v>
      </c>
      <c r="BN113" s="14">
        <f>('疲劳值&amp;地图信息'!$S$10*'疲劳值&amp;地图信息'!$R$10+'疲劳值&amp;地图信息'!$S$11*'疲劳值&amp;地图信息'!$R$11+'疲劳值&amp;地图信息'!$S$12*'疲劳值&amp;地图信息'!$R$12+(BM113-'疲劳值&amp;地图信息'!$S$12-'疲劳值&amp;地图信息'!$S$11-'疲劳值&amp;地图信息'!$S$10)*'疲劳值&amp;地图信息'!$R$13)/BM113</f>
        <v>51.371477246638619</v>
      </c>
      <c r="BO113" s="14">
        <f>INDEX(其他调用!$M$5:$M$404,MATCH(BL113,其他调用!$B$5:$B$404,0))*0.6</f>
        <v>60</v>
      </c>
      <c r="BP113" s="14">
        <f>IF(BO113&gt;SUM('疲劳值&amp;地图信息'!$S$10:$S$12),('疲劳值&amp;地图信息'!$S$10*'疲劳值&amp;地图信息'!$R$10+'疲劳值&amp;地图信息'!$S$11*'疲劳值&amp;地图信息'!$R$11+'疲劳值&amp;地图信息'!$S$12*'疲劳值&amp;地图信息'!$R$12+(BO113-'疲劳值&amp;地图信息'!$S$12-'疲劳值&amp;地图信息'!$S$11-'疲劳值&amp;地图信息'!$S$10)*'疲劳值&amp;地图信息'!$R$13)/BO113,('疲劳值&amp;地图信息'!$S$10*'疲劳值&amp;地图信息'!$R$10+'疲劳值&amp;地图信息'!$S$11*'疲劳值&amp;地图信息'!$R$11+'疲劳值&amp;地图信息'!$S$12*'疲劳值&amp;地图信息'!$R$12+(BO113-'疲劳值&amp;地图信息'!$S$12-'疲劳值&amp;地图信息'!$S$11-'疲劳值&amp;地图信息'!$S$10)*'疲劳值&amp;地图信息'!$R$13)/BO113)</f>
        <v>44.158136341605953</v>
      </c>
      <c r="BQ113" s="14">
        <f t="shared" si="209"/>
        <v>20</v>
      </c>
      <c r="BR113" s="14">
        <f>('疲劳值&amp;地图信息'!$S$10*'疲劳值&amp;地图信息'!$R$10+($BQ113-'疲劳值&amp;地图信息'!$S$10)*'疲劳值&amp;地图信息'!$R$11)/$BQ113</f>
        <v>32.067203015074995</v>
      </c>
      <c r="CF113" s="14">
        <v>108</v>
      </c>
      <c r="CG113" s="51">
        <f t="shared" si="116"/>
        <v>10141</v>
      </c>
      <c r="CH113" s="51">
        <f t="shared" si="117"/>
        <v>874</v>
      </c>
      <c r="CI113" s="51">
        <f>INT(SUMPRODUCT($N113:$R113,$BA113:$BE113)/SUM($BA113:$BE113)/10000*$BX$7*$BZ$34/'疲劳值&amp;地图信息'!$R$10*$BY$53)</f>
        <v>2957</v>
      </c>
      <c r="CJ113" s="50">
        <f t="shared" si="118"/>
        <v>0.72580876037789865</v>
      </c>
      <c r="CK113" s="50">
        <f t="shared" si="119"/>
        <v>6.2553678786143721E-2</v>
      </c>
      <c r="CL113" s="50">
        <f t="shared" si="120"/>
        <v>0.21163756083595764</v>
      </c>
      <c r="CM113" s="14">
        <f t="shared" si="121"/>
        <v>10818</v>
      </c>
      <c r="CN113" s="14">
        <f t="shared" si="122"/>
        <v>1417</v>
      </c>
      <c r="CO113" s="14">
        <f>INT(SUMPRODUCT($U113:$Y113,$BA113:$BE113)/SUM($BA113:$BE113)/10000*$BX$7*$BZ$34/'疲劳值&amp;地图信息'!$R$10*$BY$54)</f>
        <v>5529</v>
      </c>
      <c r="CP113" s="50">
        <f t="shared" si="123"/>
        <v>0.60898446295879305</v>
      </c>
      <c r="CQ113" s="50">
        <f t="shared" si="124"/>
        <v>7.9768070254447196E-2</v>
      </c>
      <c r="CR113" s="50">
        <f t="shared" si="125"/>
        <v>0.31124746678675974</v>
      </c>
      <c r="CS113" s="14">
        <f t="shared" si="126"/>
        <v>11622</v>
      </c>
      <c r="CT113" s="14">
        <f t="shared" si="127"/>
        <v>2470</v>
      </c>
      <c r="CU113" s="14">
        <f>INT(SUMPRODUCT($AB113:$AF113,$BA113:$BE113)/SUM($BA113:$BE113)/10000*$BX$7*$BZ$34/'疲劳值&amp;地图信息'!$R$10*$BY$55)</f>
        <v>7514</v>
      </c>
      <c r="CV113" s="50">
        <f t="shared" si="128"/>
        <v>0.53790613718411551</v>
      </c>
      <c r="CW113" s="50">
        <f t="shared" si="129"/>
        <v>0.11432009626955475</v>
      </c>
      <c r="CX113" s="50">
        <f t="shared" si="130"/>
        <v>0.34777376654632974</v>
      </c>
      <c r="CY113" s="14">
        <f t="shared" si="131"/>
        <v>13224</v>
      </c>
      <c r="CZ113" s="14">
        <f t="shared" si="132"/>
        <v>6276</v>
      </c>
      <c r="DA113" s="14">
        <f>INT(SUMPRODUCT($AI113:$AM113,$BA113:$BE113)/SUM($BA113:$BE113)/10000*$BX$7*$BZ$34/'疲劳值&amp;地图信息'!$R$10*$BY$56)</f>
        <v>11328</v>
      </c>
      <c r="DB113" s="50">
        <f t="shared" si="133"/>
        <v>0.42896068509147528</v>
      </c>
      <c r="DC113" s="50">
        <f t="shared" si="134"/>
        <v>0.20358115998442974</v>
      </c>
      <c r="DD113" s="50">
        <f t="shared" si="135"/>
        <v>0.367458154924095</v>
      </c>
      <c r="DE113" s="14">
        <f t="shared" si="136"/>
        <v>13049</v>
      </c>
      <c r="DF113" s="14">
        <f t="shared" si="137"/>
        <v>12354</v>
      </c>
      <c r="DG113" s="14">
        <f>INT(SUMPRODUCT($AP113:$AT113,$BA113:$BE113)/SUM($BA113:$BE113)/10000*$BX$7*$BZ$34/'疲劳值&amp;地图信息'!$R$10*$BY$57)</f>
        <v>15131</v>
      </c>
      <c r="DH113" s="50">
        <f t="shared" si="138"/>
        <v>0.32192727093304385</v>
      </c>
      <c r="DI113" s="50">
        <f t="shared" si="139"/>
        <v>0.30478117136231314</v>
      </c>
      <c r="DJ113" s="50">
        <f t="shared" si="140"/>
        <v>0.37329155770464301</v>
      </c>
      <c r="DL113" s="14">
        <f t="shared" si="211"/>
        <v>13972</v>
      </c>
      <c r="DM113" s="14">
        <f t="shared" si="212"/>
        <v>17764</v>
      </c>
      <c r="DN113" s="14">
        <f t="shared" si="213"/>
        <v>21606</v>
      </c>
      <c r="DO113" s="14">
        <f t="shared" si="214"/>
        <v>30828</v>
      </c>
      <c r="DP113" s="14">
        <f t="shared" si="215"/>
        <v>40534</v>
      </c>
      <c r="DQ113" s="14">
        <f t="shared" si="216"/>
        <v>973712</v>
      </c>
      <c r="DT113" s="14">
        <f t="shared" si="210"/>
        <v>235575</v>
      </c>
      <c r="DU113" s="50">
        <f t="shared" si="112"/>
        <v>0.1948048726232896</v>
      </c>
      <c r="DW113" s="14">
        <f t="shared" si="141"/>
        <v>1209287</v>
      </c>
      <c r="EB113" s="14">
        <v>108</v>
      </c>
      <c r="EC113" s="51">
        <f t="shared" si="142"/>
        <v>16901</v>
      </c>
      <c r="ED113" s="51">
        <f t="shared" si="143"/>
        <v>1458</v>
      </c>
      <c r="EE113" s="51">
        <f>INT(SUMPRODUCT($N113:$R113,$BF113:$BJ113)/SUM($BF113:$BJ113)/10000*$BX$7*$BZ$46/'疲劳值&amp;地图信息'!$R$10*$BY$53)</f>
        <v>397</v>
      </c>
      <c r="EF113" s="50">
        <f t="shared" si="144"/>
        <v>0.90109831520580086</v>
      </c>
      <c r="EG113" s="50">
        <f t="shared" si="145"/>
        <v>7.7735124760076782E-2</v>
      </c>
      <c r="EH113" s="50">
        <f t="shared" si="146"/>
        <v>2.1166560034122414E-2</v>
      </c>
      <c r="EI113" s="51">
        <f t="shared" si="147"/>
        <v>18030</v>
      </c>
      <c r="EJ113" s="51">
        <f t="shared" si="148"/>
        <v>2361</v>
      </c>
      <c r="EK113" s="14">
        <f>INT(SUMPRODUCT($U113:$Y113,$BF113:$BJ113)/SUM($BF113:$BJ113)/10000*$BX$7*$BZ$46/'疲劳值&amp;地图信息'!$R$10*$BY$54)</f>
        <v>742</v>
      </c>
      <c r="EL113" s="50">
        <f t="shared" si="149"/>
        <v>0.85316803104149908</v>
      </c>
      <c r="EM113" s="50">
        <f t="shared" si="150"/>
        <v>0.11172100506317134</v>
      </c>
      <c r="EN113" s="50">
        <f t="shared" si="151"/>
        <v>3.5110963895329576E-2</v>
      </c>
      <c r="EO113" s="51">
        <f t="shared" si="152"/>
        <v>19370</v>
      </c>
      <c r="EP113" s="51">
        <f t="shared" si="153"/>
        <v>4118</v>
      </c>
      <c r="EQ113" s="14">
        <f>INT(SUMPRODUCT($AB113:$AF113,$BF113:$BJ113)/SUM($BF113:$BJ113)/10000*$BX$7*$BZ$46/'疲劳值&amp;地图信息'!$R$10*$BY$55)</f>
        <v>1007</v>
      </c>
      <c r="ER113" s="50">
        <f t="shared" si="154"/>
        <v>0.79077362727087164</v>
      </c>
      <c r="ES113" s="50">
        <f t="shared" si="155"/>
        <v>0.1681159420289855</v>
      </c>
      <c r="ET113" s="50">
        <f t="shared" si="156"/>
        <v>4.1110430700142885E-2</v>
      </c>
      <c r="EU113" s="51">
        <f t="shared" si="157"/>
        <v>22040</v>
      </c>
      <c r="EV113" s="51">
        <f t="shared" si="158"/>
        <v>10460</v>
      </c>
      <c r="EW113" s="14">
        <f>INT(SUMPRODUCT($AI113:$AM113,$BF113:$BJ113)/SUM($BF113:$BJ113)/10000*$BX$7*$BZ$46/'疲劳值&amp;地图信息'!$R$10*$BY$56)</f>
        <v>1511</v>
      </c>
      <c r="EX113" s="50">
        <f t="shared" si="159"/>
        <v>0.64802563876392927</v>
      </c>
      <c r="EY113" s="50">
        <f t="shared" si="160"/>
        <v>0.30754755814295376</v>
      </c>
      <c r="EZ113" s="50">
        <f t="shared" si="161"/>
        <v>4.4426803093116932E-2</v>
      </c>
      <c r="FA113" s="51">
        <f t="shared" si="162"/>
        <v>21749</v>
      </c>
      <c r="FB113" s="51">
        <f t="shared" si="163"/>
        <v>20590</v>
      </c>
      <c r="FC113" s="14">
        <f>INT(SUMPRODUCT($AP113:$AT113,$BF113:$BJ113)/SUM($BF113:$BJ113)/10000*$BX$7*$BZ$46/'疲劳值&amp;地图信息'!$R$10*$BY$57)</f>
        <v>2015</v>
      </c>
      <c r="FD113" s="50">
        <f t="shared" si="164"/>
        <v>0.49035036298868195</v>
      </c>
      <c r="FE113" s="50">
        <f t="shared" si="165"/>
        <v>0.46421968706317357</v>
      </c>
      <c r="FF113" s="50">
        <f t="shared" si="166"/>
        <v>4.5429949948144477E-2</v>
      </c>
      <c r="FH113" s="14">
        <f t="shared" si="167"/>
        <v>18756</v>
      </c>
      <c r="FI113" s="14">
        <f t="shared" si="168"/>
        <v>21133</v>
      </c>
      <c r="FJ113" s="14">
        <f t="shared" si="169"/>
        <v>24495</v>
      </c>
      <c r="FK113" s="14">
        <f t="shared" si="170"/>
        <v>34011</v>
      </c>
      <c r="FL113" s="14">
        <f t="shared" si="171"/>
        <v>44354</v>
      </c>
      <c r="FM113" s="14">
        <f t="shared" si="172"/>
        <v>2190159</v>
      </c>
      <c r="FP113" s="14">
        <f t="shared" si="173"/>
        <v>334150</v>
      </c>
      <c r="FQ113" s="50">
        <f t="shared" si="113"/>
        <v>0.13237285926564457</v>
      </c>
      <c r="FS113" s="14">
        <f t="shared" si="174"/>
        <v>2524309</v>
      </c>
      <c r="FX113" s="14">
        <v>108</v>
      </c>
      <c r="FY113" s="51">
        <f t="shared" si="175"/>
        <v>23662</v>
      </c>
      <c r="FZ113" s="51">
        <f t="shared" si="176"/>
        <v>1458</v>
      </c>
      <c r="GA113" s="51">
        <f>INT(SUMPRODUCT($N113:$R113,$BF113:$BJ113)/SUM($BF113:$BJ113)/10000*$BX$7*$BZ$46/'疲劳值&amp;地图信息'!$R$10*$BY$53)</f>
        <v>397</v>
      </c>
      <c r="GB113" s="50">
        <f t="shared" si="177"/>
        <v>0.92730336638319555</v>
      </c>
      <c r="GC113" s="50">
        <f t="shared" si="178"/>
        <v>5.7138378336011285E-2</v>
      </c>
      <c r="GD113" s="50">
        <f t="shared" si="179"/>
        <v>1.5558255280793196E-2</v>
      </c>
      <c r="GE113" s="51">
        <f t="shared" si="180"/>
        <v>25242</v>
      </c>
      <c r="GF113" s="51">
        <f t="shared" si="181"/>
        <v>2361</v>
      </c>
      <c r="GG113" s="14">
        <f>INT(SUMPRODUCT($U113:$Y113,$BF113:$BJ113)/SUM($BF113:$BJ113)/10000*$BX$7*$BZ$46/'疲劳值&amp;地图信息'!$R$10*$BY$54)</f>
        <v>742</v>
      </c>
      <c r="GH113" s="50">
        <f t="shared" si="182"/>
        <v>0.89052742988181333</v>
      </c>
      <c r="GI113" s="50">
        <f t="shared" si="183"/>
        <v>8.3295113776680196E-2</v>
      </c>
      <c r="GJ113" s="50">
        <f t="shared" si="184"/>
        <v>2.6177456341506439E-2</v>
      </c>
      <c r="GK113" s="51">
        <f t="shared" si="185"/>
        <v>27118</v>
      </c>
      <c r="GL113" s="51">
        <f t="shared" si="186"/>
        <v>4118</v>
      </c>
      <c r="GM113" s="14">
        <f>INT(SUMPRODUCT($AB113:$AF113,$BF113:$BJ113)/SUM($BF113:$BJ113)/10000*$BX$7*$BZ$46/'疲劳值&amp;地图信息'!$R$10*$BY$55)</f>
        <v>1007</v>
      </c>
      <c r="GN113" s="50">
        <f t="shared" si="187"/>
        <v>0.84105077070992151</v>
      </c>
      <c r="GO113" s="50">
        <f t="shared" si="188"/>
        <v>0.12771764413981329</v>
      </c>
      <c r="GP113" s="50">
        <f t="shared" si="189"/>
        <v>3.1231585150265175E-2</v>
      </c>
      <c r="GQ113" s="51">
        <f t="shared" si="190"/>
        <v>30856</v>
      </c>
      <c r="GR113" s="51">
        <f t="shared" si="191"/>
        <v>10460</v>
      </c>
      <c r="GS113" s="14">
        <f>INT(SUMPRODUCT($AI113:$AM113,$BF113:$BJ113)/SUM($BF113:$BJ113)/10000*$BX$7*$BZ$46/'疲劳值&amp;地图信息'!$R$10*$BY$56)</f>
        <v>1511</v>
      </c>
      <c r="GT113" s="50">
        <f t="shared" si="192"/>
        <v>0.72048007098325817</v>
      </c>
      <c r="GU113" s="50">
        <f t="shared" si="193"/>
        <v>0.24423844770822145</v>
      </c>
      <c r="GV113" s="50">
        <f t="shared" si="194"/>
        <v>3.5281481308520324E-2</v>
      </c>
      <c r="GW113" s="51">
        <f t="shared" si="195"/>
        <v>30449</v>
      </c>
      <c r="GX113" s="51">
        <f t="shared" si="196"/>
        <v>20590</v>
      </c>
      <c r="GY113" s="14">
        <f>INT(SUMPRODUCT($AP113:$AT113,$BF113:$BJ113)/SUM($BF113:$BJ113)/10000*$BX$7*$BZ$46/'疲劳值&amp;地图信息'!$R$10*$BY$57)</f>
        <v>2015</v>
      </c>
      <c r="GZ113" s="50">
        <f t="shared" si="197"/>
        <v>0.5739246805141931</v>
      </c>
      <c r="HA113" s="50">
        <f t="shared" si="198"/>
        <v>0.38809514833942776</v>
      </c>
      <c r="HB113" s="50">
        <f t="shared" si="199"/>
        <v>3.7980171146379159E-2</v>
      </c>
      <c r="HD113" s="14">
        <f t="shared" si="200"/>
        <v>25517</v>
      </c>
      <c r="HE113" s="14">
        <f t="shared" si="201"/>
        <v>28345</v>
      </c>
      <c r="HF113" s="14">
        <f t="shared" si="202"/>
        <v>32243</v>
      </c>
      <c r="HG113" s="14">
        <f t="shared" si="203"/>
        <v>42827</v>
      </c>
      <c r="HH113" s="14">
        <f t="shared" si="204"/>
        <v>53054</v>
      </c>
      <c r="HI113" s="14">
        <f t="shared" si="205"/>
        <v>2934348</v>
      </c>
      <c r="HL113" s="14">
        <f t="shared" si="206"/>
        <v>430050</v>
      </c>
      <c r="HM113" s="50">
        <f t="shared" si="114"/>
        <v>0.12782375925797126</v>
      </c>
      <c r="HO113" s="14">
        <f t="shared" si="207"/>
        <v>3364398</v>
      </c>
    </row>
    <row r="114" spans="11:223" x14ac:dyDescent="0.2">
      <c r="K114" s="14">
        <v>109</v>
      </c>
      <c r="L114" s="12">
        <f>求节点(节奏总纲!D$4:D$163,标准城池设计!AB$4:AB$163,$K114)*求节点(节奏总纲!D$4:D$163,攻城基础信息!$AC$5:$AC$164,$K114)</f>
        <v>499556.53622512816</v>
      </c>
      <c r="M114" s="12">
        <f>INDEX(其他调用!$AA$5:$AA$404,MATCH(K114,其他调用!$X$5:$X$404,0))*MIN(INDEX(其他调用!$AH$5:$AH$364,MATCH('征服点（新）'!K114,其他调用!$AG$5:$AG$364,0),1)/INDEX(其他调用!$AJ$5:$AJ$364,MATCH(K114,其他调用!$AG$5:$AG$364,0),0),5)*求节点(节奏总纲!D$4:D$163,攻城基础信息!$AC$5:$AC$164,$K114)</f>
        <v>43021.745963258429</v>
      </c>
      <c r="N114" s="12">
        <f>MIN(INDEX(其他调用!$AH$5:$AH$364,MATCH($K114,其他调用!$AG$5:$AG$364,0),1)/INDEX(其他调用!AH$5:AH$364,MATCH($K114,其他调用!$AG$5:$AG$364,0),0),1)*INDEX(其他调用!Y$5:Y$404,MATCH($K114,其他调用!$X$5:$X$404,0),0)</f>
        <v>36637.709299591785</v>
      </c>
      <c r="O114" s="12">
        <f>MIN(INDEX(其他调用!$AH$5:$AH$364,MATCH($K114,其他调用!$AG$5:$AG$364,0),1)/INDEX(其他调用!AI$5:AI$364,MATCH($K114,其他调用!$AG$5:$AG$364,0),0),1)*INDEX(其他调用!Z$5:Z$404,MATCH($K114,其他调用!$X$5:$X$404,0),0)</f>
        <v>23269.649238483016</v>
      </c>
      <c r="P114" s="12">
        <f>MIN(INDEX(其他调用!$AH$5:$AH$364,MATCH($K114,其他调用!$AG$5:$AG$364,0),1)/INDEX(其他调用!AJ$5:AJ$364,MATCH($K114,其他调用!$AG$5:$AG$364,0),0),1)*INDEX(其他调用!AA$5:AA$404,MATCH($K114,其他调用!$X$5:$X$404,0),0)</f>
        <v>13906.647706171965</v>
      </c>
      <c r="Q114" s="12">
        <f>MIN(INDEX(其他调用!$AH$5:$AH$364,MATCH($K114,其他调用!$AG$5:$AG$364,0),1)/INDEX(其他调用!AK$5:AK$364,MATCH($K114,其他调用!$AG$5:$AG$364,0),0),1)*INDEX(其他调用!AB$5:AB$404,MATCH($K114,其他调用!$X$5:$X$404,0),0)</f>
        <v>5764.1232154250138</v>
      </c>
      <c r="R114" s="12">
        <f>MIN(INDEX(其他调用!$AH$5:$AH$364,MATCH($K114,其他调用!$AG$5:$AG$364,0),1)/INDEX(其他调用!AL$5:AL$364,MATCH($K114,其他调用!$AG$5:$AG$364,0),0),1)*INDEX(其他调用!AC$5:AC$404,MATCH($K114,其他调用!$X$5:$X$404,0),0)</f>
        <v>1792.6673796449718</v>
      </c>
      <c r="S114" s="12">
        <f>求节点(节奏总纲!D$4:D$163,标准城池设计!AC$4:AC$163,$K114)*求节点(节奏总纲!D$4:D$163,攻城基础信息!$AD$5:$AD$164,$K114)</f>
        <v>533149.40366015711</v>
      </c>
      <c r="T114" s="12">
        <f>INDEX(其他调用!$AA$5:$AA$404,MATCH($K114,其他调用!$X$5:$X$404,0))*MIN(INDEX(其他调用!AI$5:AI$364,MATCH($K114,其他调用!$AG$5:$AG$364,0),1)/INDEX(其他调用!$AJ$5:$AJ$364,MATCH($K114,其他调用!$AG$5:$AG$364,0),0),5)*求节点(节奏总纲!D$4:D$163,攻城基础信息!$AD$5:$AD$164,$K114)</f>
        <v>69862.895930197425</v>
      </c>
      <c r="U114" s="12">
        <f>MIN(INDEX(其他调用!$AI$5:$AI$364,MATCH($K114,其他调用!$AG$5:$AG$364,0),1)/INDEX(其他调用!AH$5:AH$364,MATCH($K114,其他调用!$AG$5:$AG$364,0),0),1)*INDEX(其他调用!Y$5:Y$404,MATCH($K114,其他调用!$X$5:$X$404,0),0)</f>
        <v>36637.709299591785</v>
      </c>
      <c r="V114" s="12">
        <f>MIN(INDEX(其他调用!$AI$5:$AI$364,MATCH($K114,其他调用!$AG$5:$AG$364,0),1)/INDEX(其他调用!AI$5:AI$364,MATCH($K114,其他调用!$AG$5:$AG$364,0),0),1)*INDEX(其他调用!Z$5:Z$404,MATCH($K114,其他调用!$X$5:$X$404,0),0)</f>
        <v>37787.519931634335</v>
      </c>
      <c r="W114" s="12">
        <f>MIN(INDEX(其他调用!$AI$5:$AI$364,MATCH($K114,其他调用!$AG$5:$AG$364,0),1)/INDEX(其他调用!AJ$5:AJ$364,MATCH($K114,其他调用!$AG$5:$AG$364,0),0),1)*INDEX(其他调用!AA$5:AA$404,MATCH($K114,其他调用!$X$5:$X$404,0),0)</f>
        <v>22582.967280406159</v>
      </c>
      <c r="X114" s="12">
        <f>MIN(INDEX(其他调用!$AI$5:$AI$364,MATCH($K114,其他调用!$AG$5:$AG$364,0),1)/INDEX(其他调用!AK$5:AK$364,MATCH($K114,其他调用!$AG$5:$AG$364,0),0),1)*INDEX(其他调用!AB$5:AB$404,MATCH($K114,其他调用!$X$5:$X$404,0),0)</f>
        <v>9360.3439681873078</v>
      </c>
      <c r="Y114" s="12">
        <f>MIN(INDEX(其他调用!$AI$5:$AI$364,MATCH($K114,其他调用!$AG$5:$AG$364,0),1)/INDEX(其他调用!AL$5:AL$364,MATCH($K114,其他调用!$AG$5:$AG$364,0),0),1)*INDEX(其他调用!AC$5:AC$404,MATCH($K114,其他调用!$X$5:$X$404,0),0)</f>
        <v>2911.107668399954</v>
      </c>
      <c r="Z114" s="12">
        <f>求节点(节奏总纲!D$4:D$163,标准城池设计!AD$4:AD$163,$K114)*求节点(节奏总纲!D$4:D$163,攻城基础信息!$AE$5:$AE$164,$K114)</f>
        <v>572738.30738295964</v>
      </c>
      <c r="AA114" s="12">
        <f>INDEX(其他调用!$AA$5:$AA$404,MATCH($K114,其他调用!$X$5:$X$404,0))*MIN(INDEX(其他调用!AJ$5:AJ$364,MATCH($K114,其他调用!$AG$5:$AG$364,0),1)/INDEX(其他调用!$AJ$5:$AJ$364,MATCH($K114,其他调用!$AG$5:$AG$364,0),0),5)*求节点(节奏总纲!D$4:D$163,攻城基础信息!$AE$5:$AE$164,$K114)</f>
        <v>121575.72854690468</v>
      </c>
      <c r="AB114" s="12">
        <f>MIN(INDEX(其他调用!$AJ$5:$AJ$364,MATCH($K114,其他调用!$AG$5:$AG$364,0),1)/INDEX(其他调用!AH$5:AH$364,MATCH($K114,其他调用!$AG$5:$AG$364,0),0),1)*INDEX(其他调用!Y$5:Y$404,MATCH($K114,其他调用!$X$5:$X$404,0),0)</f>
        <v>36637.709299591785</v>
      </c>
      <c r="AC114" s="12">
        <f>MIN(INDEX(其他调用!$AJ$5:$AJ$364,MATCH($K114,其他调用!$AG$5:$AG$364,0),1)/INDEX(其他调用!AI$5:AI$364,MATCH($K114,其他调用!$AG$5:$AG$364,0),0),1)*INDEX(其他调用!Z$5:Z$404,MATCH($K114,其他调用!$X$5:$X$404,0),0)</f>
        <v>37787.519931634335</v>
      </c>
      <c r="AD114" s="12">
        <f>MIN(INDEX(其他调用!$AJ$5:$AJ$364,MATCH($K114,其他调用!$AG$5:$AG$364,0),1)/INDEX(其他调用!AJ$5:AJ$364,MATCH($K114,其他调用!$AG$5:$AG$364,0),0),1)*INDEX(其他调用!AA$5:AA$404,MATCH($K114,其他调用!$X$5:$X$404,0),0)</f>
        <v>39298.982146538263</v>
      </c>
      <c r="AE114" s="12">
        <f>MIN(INDEX(其他调用!$AJ$5:$AJ$364,MATCH($K114,其他调用!$AG$5:$AG$364,0),1)/INDEX(其他调用!AK$5:AK$364,MATCH($K114,其他调用!$AG$5:$AG$364,0),0),1)*INDEX(其他调用!AB$5:AB$404,MATCH($K114,其他调用!$X$5:$X$404,0),0)</f>
        <v>16288.913052201626</v>
      </c>
      <c r="AF114" s="12">
        <f>MIN(INDEX(其他调用!$AJ$5:$AJ$364,MATCH($K114,其他调用!$AG$5:$AG$364,0),1)/INDEX(其他调用!AL$5:AL$364,MATCH($K114,其他调用!$AG$5:$AG$364,0),0),1)*INDEX(其他调用!AC$5:AC$404,MATCH($K114,其他调用!$X$5:$X$404,0),0)</f>
        <v>5065.922775629283</v>
      </c>
      <c r="AG114" s="12">
        <f>求节点(节奏总纲!D$4:D$163,标准城池设计!AE$4:AE$163,$K114)*求节点(节奏总纲!D$4:D$163,攻城基础信息!$AF$5:$AF$164,$K114)</f>
        <v>652087.54469837924</v>
      </c>
      <c r="AH114" s="12">
        <f>INDEX(其他调用!$AA$5:$AA$404,MATCH($K114,其他调用!$X$5:$X$404,0))*MIN(INDEX(其他调用!AK$5:AK$364,MATCH($K114,其他调用!$AG$5:$AG$364,0),1)/INDEX(其他调用!$AJ$5:$AJ$364,MATCH($K114,其他调用!$AG$5:$AG$364,0),0),5)*求节点(节奏总纲!D$4:D$163,攻城基础信息!$AF$5:$AF$164,$K114)</f>
        <v>309511.47862179764</v>
      </c>
      <c r="AI114" s="12">
        <f>MIN(INDEX(其他调用!$AK$5:$AK$364,MATCH($K114,其他调用!$AG$5:$AG$364,0),1)/INDEX(其他调用!AH$5:AH$364,MATCH($K114,其他调用!$AG$5:$AG$364,0),0),1)*INDEX(其他调用!Y$5:Y$404,MATCH($K114,其他调用!$X$5:$X$404,0),0)</f>
        <v>36637.709299591785</v>
      </c>
      <c r="AJ114" s="12">
        <f>MIN(INDEX(其他调用!$AK$5:$AK$364,MATCH($K114,其他调用!$AG$5:$AG$364,0),1)/INDEX(其他调用!AI$5:AI$364,MATCH($K114,其他调用!$AG$5:$AG$364,0),0),1)*INDEX(其他调用!Z$5:Z$404,MATCH($K114,其他调用!$X$5:$X$404,0),0)</f>
        <v>37787.519931634335</v>
      </c>
      <c r="AK114" s="12">
        <f>MIN(INDEX(其他调用!$AK$5:$AK$364,MATCH($K114,其他调用!$AG$5:$AG$364,0),1)/INDEX(其他调用!AJ$5:AJ$364,MATCH($K114,其他调用!$AG$5:$AG$364,0),0),1)*INDEX(其他调用!AA$5:AA$404,MATCH($K114,其他调用!$X$5:$X$404,0),0)</f>
        <v>39298.982146538263</v>
      </c>
      <c r="AL114" s="12">
        <f>MIN(INDEX(其他调用!$AK$5:$AK$364,MATCH($K114,其他调用!$AG$5:$AG$364,0),1)/INDEX(其他调用!AK$5:AK$364,MATCH($K114,其他调用!$AG$5:$AG$364,0),0),1)*INDEX(其他调用!AB$5:AB$404,MATCH($K114,其他调用!$X$5:$X$404,0),0)</f>
        <v>41468.849285848541</v>
      </c>
      <c r="AM114" s="12">
        <f>MIN(INDEX(其他调用!$AK$5:$AK$364,MATCH($K114,其他调用!$AG$5:$AG$364,0),1)/INDEX(其他调用!AL$5:AL$364,MATCH($K114,其他调用!$AG$5:$AG$364,0),0),1)*INDEX(其他调用!AC$5:AC$404,MATCH($K114,其他调用!$X$5:$X$404,0),0)</f>
        <v>12896.99241459969</v>
      </c>
      <c r="AN114" s="12">
        <f>求节点(节奏总纲!D$4:D$163,标准城池设计!AF$4:AF$163,$K114)*求节点(节奏总纲!D$4:D$163,攻城基础信息!$AG$5:$AG$164,$K114)</f>
        <v>643343.97892501927</v>
      </c>
      <c r="AO114" s="12">
        <f>INDEX(其他调用!$AA$5:$AA$404,MATCH($K114,其他调用!$X$5:$X$404,0))*MIN(INDEX(其他调用!AL$5:AL$364,MATCH($K114,其他调用!$AG$5:$AG$364,0),1)/INDEX(其他调用!$AJ$5:$AJ$364,MATCH($K114,其他调用!$AG$5:$AG$364,0),0),5)*求节点(节奏总纲!D$4:D$163,攻城基础信息!$AG$5:$AG$164,$K114)</f>
        <v>607878.6427345234</v>
      </c>
      <c r="AP114" s="12">
        <f>MIN(INDEX(其他调用!$AL$5:$AL$364,MATCH($K114,其他调用!$AG$5:$AG$364,0),1)/INDEX(其他调用!AH$5:AH$364,MATCH($K114,其他调用!$AG$5:$AG$364,0),0),1)*INDEX(其他调用!Y$5:Y$404,MATCH($K114,其他调用!$X$5:$X$404,0),0)</f>
        <v>36637.709299591785</v>
      </c>
      <c r="AQ114" s="12">
        <f>MIN(INDEX(其他调用!$AL$5:$AL$364,MATCH($K114,其他调用!$AG$5:$AG$364,0),1)/INDEX(其他调用!AI$5:AI$364,MATCH($K114,其他调用!$AG$5:$AG$364,0),0),1)*INDEX(其他调用!Z$5:Z$404,MATCH($K114,其他调用!$X$5:$X$404,0),0)</f>
        <v>37787.519931634335</v>
      </c>
      <c r="AR114" s="12">
        <f>MIN(INDEX(其他调用!$AL$5:$AL$364,MATCH($K114,其他调用!$AG$5:$AG$364,0),1)/INDEX(其他调用!AJ$5:AJ$364,MATCH($K114,其他调用!$AG$5:$AG$364,0),0),1)*INDEX(其他调用!AA$5:AA$404,MATCH($K114,其他调用!$X$5:$X$404,0),0)</f>
        <v>39298.982146538263</v>
      </c>
      <c r="AS114" s="12">
        <f>MIN(INDEX(其他调用!$AL$5:$AL$364,MATCH($K114,其他调用!$AG$5:$AG$364,0),1)/INDEX(其他调用!AK$5:AK$364,MATCH($K114,其他调用!$AG$5:$AG$364,0),0),1)*INDEX(其他调用!AB$5:AB$404,MATCH($K114,其他调用!$X$5:$X$404,0),0)</f>
        <v>41468.849285848541</v>
      </c>
      <c r="AT114" s="12">
        <f>MIN(INDEX(其他调用!$AL$5:$AL$364,MATCH($K114,其他调用!$AG$5:$AG$364,0),1)/INDEX(其他调用!AL$5:AL$364,MATCH($K114,其他调用!$AG$5:$AG$364,0),0),1)*INDEX(其他调用!AC$5:AC$404,MATCH($K114,其他调用!$X$5:$X$404,0),0)</f>
        <v>45339.44638485169</v>
      </c>
      <c r="AV114" s="14">
        <f>IF(OR(AV$5="大R",AV$5="超R"),MAX(INDEX(其他调用!$H$5:$L$404,MATCH($K114,其他调用!$B$5:$B$404,0),MATCH(AV$5,其他调用!$H$4:$L$4,0))*120*0.85,2),INDEX(其他调用!$H$5:$L$404,MATCH($K114,其他调用!$B$5:$B$404,0),MATCH(AV$5,其他调用!$H$4:$L$4,0))*120*0.85)</f>
        <v>48.921801254999991</v>
      </c>
      <c r="AW114" s="14">
        <f>IF(OR(AW$5="大R",AW$5="超R"),MAX(INDEX(其他调用!$H$5:$L$404,MATCH($K114,其他调用!$B$5:$B$404,0),MATCH(AW$5,其他调用!$H$4:$L$4,0))*120*0.85,2),INDEX(其他调用!$H$5:$L$404,MATCH($K114,其他调用!$B$5:$B$404,0),MATCH(AW$5,其他调用!$H$4:$L$4,0))*120*0.85)</f>
        <v>48.237344010638395</v>
      </c>
      <c r="AX114" s="14">
        <f>IF(OR(AX$5="大R",AX$5="超R"),MAX(INDEX(其他调用!$H$5:$L$404,MATCH($K114,其他调用!$B$5:$B$404,0),MATCH(AX$5,其他调用!$H$4:$L$4,0))*120*0.85,2),INDEX(其他调用!$H$5:$L$404,MATCH($K114,其他调用!$B$5:$B$404,0),MATCH(AX$5,其他调用!$H$4:$L$4,0))*120*0.85)</f>
        <v>3.9376284143615998</v>
      </c>
      <c r="AY114" s="14">
        <f>IF(OR(AY$5="大R",AY$5="超R"),MAX(INDEX(其他调用!$H$5:$L$404,MATCH($K114,其他调用!$B$5:$B$404,0),MATCH(AY$5,其他调用!$H$4:$L$4,0))*120*0.85,2),INDEX(其他调用!$H$5:$L$404,MATCH($K114,其他调用!$B$5:$B$404,0),MATCH(AY$5,其他调用!$H$4:$L$4,0))*120*0.85)</f>
        <v>2</v>
      </c>
      <c r="AZ114" s="14">
        <f>IF(OR(AZ$5="大R",AZ$5="超R"),MAX(INDEX(其他调用!$H$5:$L$404,MATCH($K114,其他调用!$B$5:$B$404,0),MATCH(AZ$5,其他调用!$H$4:$L$4,0))*120*0.85,2),INDEX(其他调用!$H$5:$L$404,MATCH($K114,其他调用!$B$5:$B$404,0),MATCH(AZ$5,其他调用!$H$4:$L$4,0))*120*0.85)</f>
        <v>2</v>
      </c>
      <c r="BA114" s="14">
        <f>INDEX(其他调用!$H$5:$L$404,MATCH($K114,其他调用!$B$5:$B$404,0),MATCH(BA$5,其他调用!$H$4:$L$4,0))*INDEX(其他调用!$M$5:$M$404,MATCH($K114,其他调用!$B$5:$B$404,0))*0.6</f>
        <v>28.777530149999997</v>
      </c>
      <c r="BB114" s="14">
        <f>INDEX(其他调用!$H$5:$L$404,MATCH($K114,其他调用!$B$5:$B$404,0),MATCH(BB$5,其他调用!$H$4:$L$4,0))*INDEX(其他调用!$M$5:$M$404,MATCH($K114,其他调用!$B$5:$B$404,0))*0.6</f>
        <v>28.374908241551999</v>
      </c>
      <c r="BC114" s="14">
        <f>INDEX(其他调用!$H$5:$L$404,MATCH($K114,其他调用!$B$5:$B$404,0),MATCH(BC$5,其他调用!$H$4:$L$4,0))*INDEX(其他调用!$M$5:$M$404,MATCH($K114,其他调用!$B$5:$B$404,0))*0.6</f>
        <v>2.3162520084480001</v>
      </c>
      <c r="BD114" s="14">
        <f>INDEX(其他调用!$H$5:$L$404,MATCH($K114,其他调用!$B$5:$B$404,0),MATCH(BD$5,其他调用!$H$4:$L$4,0))*INDEX(其他调用!$M$5:$M$404,MATCH($K114,其他调用!$B$5:$B$404,0))*0.6</f>
        <v>0.4120776000000001</v>
      </c>
      <c r="BE114" s="14">
        <f>INDEX(其他调用!$H$5:$L$404,MATCH($K114,其他调用!$B$5:$B$404,0),MATCH(BE$5,其他调用!$H$4:$L$4,0))*INDEX(其他调用!$M$5:$M$404,MATCH($K114,其他调用!$B$5:$B$404,0))*0.6</f>
        <v>0.11923199999999998</v>
      </c>
      <c r="BF114" s="14">
        <f>IF(OR(BF$5="大R",BF$5="超R"),0,INDEX(其他调用!$H$5:$L$404,MATCH($K114,其他调用!$B$5:$B$404,0),MATCH(BF$5,其他调用!$H$4:$L$4,0))*50*0.4)</f>
        <v>9.5925100500000013</v>
      </c>
      <c r="BG114" s="14">
        <f>IF(OR(BG$5="大R",BG$5="超R"),0,INDEX(其他调用!$H$5:$L$404,MATCH($K114,其他调用!$B$5:$B$404,0),MATCH(BG$5,其他调用!$H$4:$L$4,0))*50*0.4)</f>
        <v>9.4583027471839998</v>
      </c>
      <c r="BH114" s="14">
        <f>IF(OR(BH$5="大R",BH$5="超R"),0,INDEX(其他调用!$H$5:$L$404,MATCH($K114,其他调用!$B$5:$B$404,0),MATCH(BH$5,其他调用!$H$4:$L$4,0))*50*0.4)</f>
        <v>0.77208400281600009</v>
      </c>
      <c r="BI114" s="14">
        <f>IF(OR(BI$5="大R",BI$5="超R"),0,INDEX(其他调用!$H$5:$L$404,MATCH($K114,其他调用!$B$5:$B$404,0),MATCH(BI$5,其他调用!$H$4:$L$4,0))*50*0.4)</f>
        <v>0</v>
      </c>
      <c r="BJ114" s="14">
        <f>IF(OR(BJ$5="大R",BJ$5="超R"),0,INDEX(其他调用!$H$5:$L$404,MATCH($K114,其他调用!$B$5:$B$404,0),MATCH(BJ$5,其他调用!$H$4:$L$4,0))*50*0.4)</f>
        <v>0</v>
      </c>
      <c r="BL114" s="14">
        <f t="shared" si="208"/>
        <v>109</v>
      </c>
      <c r="BM114" s="14">
        <f t="shared" si="115"/>
        <v>96</v>
      </c>
      <c r="BN114" s="14">
        <f>('疲劳值&amp;地图信息'!$S$10*'疲劳值&amp;地图信息'!$R$10+'疲劳值&amp;地图信息'!$S$11*'疲劳值&amp;地图信息'!$R$11+'疲劳值&amp;地图信息'!$S$12*'疲劳值&amp;地图信息'!$R$12+(BM114-'疲劳值&amp;地图信息'!$S$12-'疲劳值&amp;地图信息'!$S$11-'疲劳值&amp;地图信息'!$S$10)*'疲劳值&amp;地图信息'!$R$13)/BM114</f>
        <v>51.371477246638619</v>
      </c>
      <c r="BO114" s="14">
        <f>INDEX(其他调用!$M$5:$M$404,MATCH(BL114,其他调用!$B$5:$B$404,0))*0.6</f>
        <v>60</v>
      </c>
      <c r="BP114" s="14">
        <f>IF(BO114&gt;SUM('疲劳值&amp;地图信息'!$S$10:$S$12),('疲劳值&amp;地图信息'!$S$10*'疲劳值&amp;地图信息'!$R$10+'疲劳值&amp;地图信息'!$S$11*'疲劳值&amp;地图信息'!$R$11+'疲劳值&amp;地图信息'!$S$12*'疲劳值&amp;地图信息'!$R$12+(BO114-'疲劳值&amp;地图信息'!$S$12-'疲劳值&amp;地图信息'!$S$11-'疲劳值&amp;地图信息'!$S$10)*'疲劳值&amp;地图信息'!$R$13)/BO114,('疲劳值&amp;地图信息'!$S$10*'疲劳值&amp;地图信息'!$R$10+'疲劳值&amp;地图信息'!$S$11*'疲劳值&amp;地图信息'!$R$11+'疲劳值&amp;地图信息'!$S$12*'疲劳值&amp;地图信息'!$R$12+(BO114-'疲劳值&amp;地图信息'!$S$12-'疲劳值&amp;地图信息'!$S$11-'疲劳值&amp;地图信息'!$S$10)*'疲劳值&amp;地图信息'!$R$13)/BO114)</f>
        <v>44.158136341605953</v>
      </c>
      <c r="BQ114" s="14">
        <f t="shared" si="209"/>
        <v>20</v>
      </c>
      <c r="BR114" s="14">
        <f>('疲劳值&amp;地图信息'!$S$10*'疲劳值&amp;地图信息'!$R$10+($BQ114-'疲劳值&amp;地图信息'!$S$10)*'疲劳值&amp;地图信息'!$R$11)/$BQ114</f>
        <v>32.067203015074995</v>
      </c>
      <c r="CF114" s="14">
        <v>109</v>
      </c>
      <c r="CG114" s="51">
        <f t="shared" si="116"/>
        <v>10181</v>
      </c>
      <c r="CH114" s="51">
        <f t="shared" si="117"/>
        <v>876</v>
      </c>
      <c r="CI114" s="51">
        <f>INT(SUMPRODUCT($N114:$R114,$BA114:$BE114)/SUM($BA114:$BE114)/10000*$BX$7*$BZ$34/'疲劳值&amp;地图信息'!$R$10*$BY$53)</f>
        <v>2958</v>
      </c>
      <c r="CJ114" s="50">
        <f t="shared" si="118"/>
        <v>0.72643596146985367</v>
      </c>
      <c r="CK114" s="50">
        <f t="shared" si="119"/>
        <v>6.2504459507670349E-2</v>
      </c>
      <c r="CL114" s="50">
        <f t="shared" si="120"/>
        <v>0.21105957902247591</v>
      </c>
      <c r="CM114" s="14">
        <f t="shared" si="121"/>
        <v>10866</v>
      </c>
      <c r="CN114" s="14">
        <f t="shared" si="122"/>
        <v>1423</v>
      </c>
      <c r="CO114" s="14">
        <f>INT(SUMPRODUCT($U114:$Y114,$BA114:$BE114)/SUM($BA114:$BE114)/10000*$BX$7*$BZ$34/'疲劳值&amp;地图信息'!$R$10*$BY$54)</f>
        <v>5537</v>
      </c>
      <c r="CP114" s="50">
        <f t="shared" si="123"/>
        <v>0.60955907101985862</v>
      </c>
      <c r="CQ114" s="50">
        <f t="shared" si="124"/>
        <v>7.9827218669359365E-2</v>
      </c>
      <c r="CR114" s="50">
        <f t="shared" si="125"/>
        <v>0.310613710310782</v>
      </c>
      <c r="CS114" s="14">
        <f t="shared" si="126"/>
        <v>11673</v>
      </c>
      <c r="CT114" s="14">
        <f t="shared" si="127"/>
        <v>2477</v>
      </c>
      <c r="CU114" s="14">
        <f>INT(SUMPRODUCT($AB114:$AF114,$BA114:$BE114)/SUM($BA114:$BE114)/10000*$BX$7*$BZ$34/'疲劳值&amp;地图信息'!$R$10*$BY$55)</f>
        <v>7525</v>
      </c>
      <c r="CV114" s="50">
        <f t="shared" si="128"/>
        <v>0.53854671280276811</v>
      </c>
      <c r="CW114" s="50">
        <f t="shared" si="129"/>
        <v>0.11427912341407151</v>
      </c>
      <c r="CX114" s="50">
        <f t="shared" si="130"/>
        <v>0.34717416378316035</v>
      </c>
      <c r="CY114" s="14">
        <f t="shared" si="131"/>
        <v>13290</v>
      </c>
      <c r="CZ114" s="14">
        <f t="shared" si="132"/>
        <v>6308</v>
      </c>
      <c r="DA114" s="14">
        <f>INT(SUMPRODUCT($AI114:$AM114,$BA114:$BE114)/SUM($BA114:$BE114)/10000*$BX$7*$BZ$34/'疲劳值&amp;地图信息'!$R$10*$BY$56)</f>
        <v>11345</v>
      </c>
      <c r="DB114" s="50">
        <f t="shared" si="133"/>
        <v>0.42949940212649063</v>
      </c>
      <c r="DC114" s="50">
        <f t="shared" si="134"/>
        <v>0.20385870794687005</v>
      </c>
      <c r="DD114" s="50">
        <f t="shared" si="135"/>
        <v>0.36664188992663932</v>
      </c>
      <c r="DE114" s="14">
        <f t="shared" si="136"/>
        <v>13112</v>
      </c>
      <c r="DF114" s="14">
        <f t="shared" si="137"/>
        <v>12389</v>
      </c>
      <c r="DG114" s="14">
        <f>INT(SUMPRODUCT($AP114:$AT114,$BA114:$BE114)/SUM($BA114:$BE114)/10000*$BX$7*$BZ$34/'疲劳值&amp;地图信息'!$R$10*$BY$57)</f>
        <v>15153</v>
      </c>
      <c r="DH114" s="50">
        <f t="shared" si="138"/>
        <v>0.32252668864072415</v>
      </c>
      <c r="DI114" s="50">
        <f t="shared" si="139"/>
        <v>0.30474246076646827</v>
      </c>
      <c r="DJ114" s="50">
        <f t="shared" si="140"/>
        <v>0.37273085059280758</v>
      </c>
      <c r="DL114" s="14">
        <f t="shared" si="211"/>
        <v>14015</v>
      </c>
      <c r="DM114" s="14">
        <f t="shared" si="212"/>
        <v>17826</v>
      </c>
      <c r="DN114" s="14">
        <f t="shared" si="213"/>
        <v>21675</v>
      </c>
      <c r="DO114" s="14">
        <f t="shared" si="214"/>
        <v>30943</v>
      </c>
      <c r="DP114" s="14">
        <f t="shared" si="215"/>
        <v>40654</v>
      </c>
      <c r="DQ114" s="14">
        <f t="shared" si="216"/>
        <v>976931</v>
      </c>
      <c r="DT114" s="14">
        <f t="shared" si="210"/>
        <v>235575</v>
      </c>
      <c r="DU114" s="50">
        <f t="shared" si="112"/>
        <v>0.19428769837015239</v>
      </c>
      <c r="DW114" s="14">
        <f t="shared" si="141"/>
        <v>1212506</v>
      </c>
      <c r="EB114" s="14">
        <v>109</v>
      </c>
      <c r="EC114" s="51">
        <f t="shared" si="142"/>
        <v>16969</v>
      </c>
      <c r="ED114" s="51">
        <f t="shared" si="143"/>
        <v>1461</v>
      </c>
      <c r="EE114" s="51">
        <f>INT(SUMPRODUCT($N114:$R114,$BF114:$BJ114)/SUM($BF114:$BJ114)/10000*$BX$7*$BZ$46/'疲劳值&amp;地图信息'!$R$10*$BY$53)</f>
        <v>397</v>
      </c>
      <c r="EF114" s="50">
        <f t="shared" si="144"/>
        <v>0.90131194561002814</v>
      </c>
      <c r="EG114" s="50">
        <f t="shared" si="145"/>
        <v>7.7601317257130722E-2</v>
      </c>
      <c r="EH114" s="50">
        <f t="shared" si="146"/>
        <v>2.1086737132841132E-2</v>
      </c>
      <c r="EI114" s="51">
        <f t="shared" si="147"/>
        <v>18110</v>
      </c>
      <c r="EJ114" s="51">
        <f t="shared" si="148"/>
        <v>2373</v>
      </c>
      <c r="EK114" s="14">
        <f>INT(SUMPRODUCT($U114:$Y114,$BF114:$BJ114)/SUM($BF114:$BJ114)/10000*$BX$7*$BZ$46/'疲劳值&amp;地图信息'!$R$10*$BY$54)</f>
        <v>743</v>
      </c>
      <c r="EL114" s="50">
        <f t="shared" si="149"/>
        <v>0.85319890700084799</v>
      </c>
      <c r="EM114" s="50">
        <f t="shared" si="150"/>
        <v>0.11179685291623481</v>
      </c>
      <c r="EN114" s="50">
        <f t="shared" si="151"/>
        <v>3.5004240082917179E-2</v>
      </c>
      <c r="EO114" s="51">
        <f t="shared" si="152"/>
        <v>19455</v>
      </c>
      <c r="EP114" s="51">
        <f t="shared" si="153"/>
        <v>4129</v>
      </c>
      <c r="EQ114" s="14">
        <f>INT(SUMPRODUCT($AB114:$AF114,$BF114:$BJ114)/SUM($BF114:$BJ114)/10000*$BX$7*$BZ$46/'疲劳值&amp;地图信息'!$R$10*$BY$55)</f>
        <v>1008</v>
      </c>
      <c r="ER114" s="50">
        <f t="shared" si="154"/>
        <v>0.79111093038386471</v>
      </c>
      <c r="ES114" s="50">
        <f t="shared" si="155"/>
        <v>0.16790013012361743</v>
      </c>
      <c r="ET114" s="50">
        <f t="shared" si="156"/>
        <v>4.098893949251789E-2</v>
      </c>
      <c r="EU114" s="51">
        <f t="shared" si="157"/>
        <v>22150</v>
      </c>
      <c r="EV114" s="51">
        <f t="shared" si="158"/>
        <v>10513</v>
      </c>
      <c r="EW114" s="14">
        <f>INT(SUMPRODUCT($AI114:$AM114,$BF114:$BJ114)/SUM($BF114:$BJ114)/10000*$BX$7*$BZ$46/'疲劳值&amp;地图信息'!$R$10*$BY$56)</f>
        <v>1513</v>
      </c>
      <c r="EX114" s="50">
        <f t="shared" si="159"/>
        <v>0.64811563670411987</v>
      </c>
      <c r="EY114" s="50">
        <f t="shared" si="160"/>
        <v>0.30761352996254682</v>
      </c>
      <c r="EZ114" s="50">
        <f t="shared" si="161"/>
        <v>4.4270833333333336E-2</v>
      </c>
      <c r="FA114" s="51">
        <f t="shared" si="162"/>
        <v>21853</v>
      </c>
      <c r="FB114" s="51">
        <f t="shared" si="163"/>
        <v>20648</v>
      </c>
      <c r="FC114" s="14">
        <f>INT(SUMPRODUCT($AP114:$AT114,$BF114:$BJ114)/SUM($BF114:$BJ114)/10000*$BX$7*$BZ$46/'疲劳值&amp;地图信息'!$R$10*$BY$57)</f>
        <v>2017</v>
      </c>
      <c r="FD114" s="50">
        <f t="shared" si="164"/>
        <v>0.49088009344534794</v>
      </c>
      <c r="FE114" s="50">
        <f t="shared" si="165"/>
        <v>0.46381239049373285</v>
      </c>
      <c r="FF114" s="50">
        <f t="shared" si="166"/>
        <v>4.5307516060919178E-2</v>
      </c>
      <c r="FH114" s="14">
        <f t="shared" si="167"/>
        <v>18827</v>
      </c>
      <c r="FI114" s="14">
        <f t="shared" si="168"/>
        <v>21226</v>
      </c>
      <c r="FJ114" s="14">
        <f t="shared" si="169"/>
        <v>24592</v>
      </c>
      <c r="FK114" s="14">
        <f t="shared" si="170"/>
        <v>34176</v>
      </c>
      <c r="FL114" s="14">
        <f t="shared" si="171"/>
        <v>44518</v>
      </c>
      <c r="FM114" s="14">
        <f t="shared" si="172"/>
        <v>2199158</v>
      </c>
      <c r="FP114" s="14">
        <f t="shared" si="173"/>
        <v>334150</v>
      </c>
      <c r="FQ114" s="50">
        <f t="shared" si="113"/>
        <v>0.13190263481582185</v>
      </c>
      <c r="FS114" s="14">
        <f t="shared" si="174"/>
        <v>2533308</v>
      </c>
      <c r="FX114" s="14">
        <v>109</v>
      </c>
      <c r="FY114" s="51">
        <f t="shared" si="175"/>
        <v>23757</v>
      </c>
      <c r="FZ114" s="51">
        <f t="shared" si="176"/>
        <v>1461</v>
      </c>
      <c r="GA114" s="51">
        <f>INT(SUMPRODUCT($N114:$R114,$BF114:$BJ114)/SUM($BF114:$BJ114)/10000*$BX$7*$BZ$46/'疲劳值&amp;地图信息'!$R$10*$BY$53)</f>
        <v>397</v>
      </c>
      <c r="GB114" s="50">
        <f t="shared" si="177"/>
        <v>0.92746437634198708</v>
      </c>
      <c r="GC114" s="50">
        <f t="shared" si="178"/>
        <v>5.7036892445832522E-2</v>
      </c>
      <c r="GD114" s="50">
        <f t="shared" si="179"/>
        <v>1.5498731212180364E-2</v>
      </c>
      <c r="GE114" s="51">
        <f t="shared" si="180"/>
        <v>25354</v>
      </c>
      <c r="GF114" s="51">
        <f t="shared" si="181"/>
        <v>2373</v>
      </c>
      <c r="GG114" s="14">
        <f>INT(SUMPRODUCT($U114:$Y114,$BF114:$BJ114)/SUM($BF114:$BJ114)/10000*$BX$7*$BZ$46/'疲劳值&amp;地图信息'!$R$10*$BY$54)</f>
        <v>743</v>
      </c>
      <c r="GH114" s="50">
        <f t="shared" si="182"/>
        <v>0.89055145767474531</v>
      </c>
      <c r="GI114" s="50">
        <f t="shared" si="183"/>
        <v>8.3350895679662806E-2</v>
      </c>
      <c r="GJ114" s="50">
        <f t="shared" si="184"/>
        <v>2.6097646645591849E-2</v>
      </c>
      <c r="GK114" s="51">
        <f t="shared" si="185"/>
        <v>27237</v>
      </c>
      <c r="GL114" s="51">
        <f t="shared" si="186"/>
        <v>4129</v>
      </c>
      <c r="GM114" s="14">
        <f>INT(SUMPRODUCT($AB114:$AF114,$BF114:$BJ114)/SUM($BF114:$BJ114)/10000*$BX$7*$BZ$46/'疲劳值&amp;地图信息'!$R$10*$BY$55)</f>
        <v>1008</v>
      </c>
      <c r="GN114" s="50">
        <f t="shared" si="187"/>
        <v>0.84132328411688395</v>
      </c>
      <c r="GO114" s="50">
        <f t="shared" si="188"/>
        <v>0.12754061901525915</v>
      </c>
      <c r="GP114" s="50">
        <f t="shared" si="189"/>
        <v>3.1136096867856924E-2</v>
      </c>
      <c r="GQ114" s="51">
        <f t="shared" si="190"/>
        <v>31010</v>
      </c>
      <c r="GR114" s="51">
        <f t="shared" si="191"/>
        <v>10513</v>
      </c>
      <c r="GS114" s="14">
        <f>INT(SUMPRODUCT($AI114:$AM114,$BF114:$BJ114)/SUM($BF114:$BJ114)/10000*$BX$7*$BZ$46/'疲劳值&amp;地图信息'!$R$10*$BY$56)</f>
        <v>1513</v>
      </c>
      <c r="GT114" s="50">
        <f t="shared" si="192"/>
        <v>0.72055953155497721</v>
      </c>
      <c r="GU114" s="50">
        <f t="shared" si="193"/>
        <v>0.24428385537689376</v>
      </c>
      <c r="GV114" s="50">
        <f t="shared" si="194"/>
        <v>3.5156613068129006E-2</v>
      </c>
      <c r="GW114" s="51">
        <f t="shared" si="195"/>
        <v>30595</v>
      </c>
      <c r="GX114" s="51">
        <f t="shared" si="196"/>
        <v>20648</v>
      </c>
      <c r="GY114" s="14">
        <f>INT(SUMPRODUCT($AP114:$AT114,$BF114:$BJ114)/SUM($BF114:$BJ114)/10000*$BX$7*$BZ$46/'疲劳值&amp;地图信息'!$R$10*$BY$57)</f>
        <v>2017</v>
      </c>
      <c r="GZ114" s="50">
        <f t="shared" si="197"/>
        <v>0.57444611340593321</v>
      </c>
      <c r="HA114" s="50">
        <f t="shared" si="198"/>
        <v>0.38768306421329329</v>
      </c>
      <c r="HB114" s="50">
        <f t="shared" si="199"/>
        <v>3.7870822380773564E-2</v>
      </c>
      <c r="HD114" s="14">
        <f t="shared" si="200"/>
        <v>25615</v>
      </c>
      <c r="HE114" s="14">
        <f t="shared" si="201"/>
        <v>28470</v>
      </c>
      <c r="HF114" s="14">
        <f t="shared" si="202"/>
        <v>32374</v>
      </c>
      <c r="HG114" s="14">
        <f t="shared" si="203"/>
        <v>43036</v>
      </c>
      <c r="HH114" s="14">
        <f t="shared" si="204"/>
        <v>53260</v>
      </c>
      <c r="HI114" s="14">
        <f t="shared" si="205"/>
        <v>2946517</v>
      </c>
      <c r="HL114" s="14">
        <f t="shared" si="206"/>
        <v>430050</v>
      </c>
      <c r="HM114" s="50">
        <f t="shared" si="114"/>
        <v>0.1273630880121733</v>
      </c>
      <c r="HO114" s="14">
        <f t="shared" si="207"/>
        <v>3376567</v>
      </c>
    </row>
    <row r="115" spans="11:223" x14ac:dyDescent="0.2">
      <c r="K115" s="14">
        <v>110</v>
      </c>
      <c r="L115" s="12">
        <f>求节点(节奏总纲!D$4:D$163,标准城池设计!AB$4:AB$163,$K115)*求节点(节奏总纲!D$4:D$163,攻城基础信息!$AC$5:$AC$164,$K115)</f>
        <v>501548.53673468577</v>
      </c>
      <c r="M115" s="12">
        <f>INDEX(其他调用!$AA$5:$AA$404,MATCH(K115,其他调用!$X$5:$X$404,0))*MIN(INDEX(其他调用!$AH$5:$AH$364,MATCH('征服点（新）'!K115,其他调用!$AG$5:$AG$364,0),1)/INDEX(其他调用!$AJ$5:$AJ$364,MATCH(K115,其他调用!$AG$5:$AG$364,0),0),5)*求节点(节奏总纲!D$4:D$163,攻城基础信息!$AC$5:$AC$164,$K115)</f>
        <v>43115.37611013405</v>
      </c>
      <c r="N115" s="12">
        <f>MIN(INDEX(其他调用!$AH$5:$AH$364,MATCH($K115,其他调用!$AG$5:$AG$364,0),1)/INDEX(其他调用!AH$5:AH$364,MATCH($K115,其他调用!$AG$5:$AG$364,0),0),1)*INDEX(其他调用!Y$5:Y$404,MATCH($K115,其他调用!$X$5:$X$404,0),0)</f>
        <v>36691.368738450576</v>
      </c>
      <c r="O115" s="12">
        <f>MIN(INDEX(其他调用!$AH$5:$AH$364,MATCH($K115,其他调用!$AG$5:$AG$364,0),1)/INDEX(其他调用!AI$5:AI$364,MATCH($K115,其他调用!$AG$5:$AG$364,0),0),1)*INDEX(其他调用!Z$5:Z$404,MATCH($K115,其他调用!$X$5:$X$404,0),0)</f>
        <v>23245.327286410302</v>
      </c>
      <c r="P115" s="12">
        <f>MIN(INDEX(其他调用!$AH$5:$AH$364,MATCH($K115,其他调用!$AG$5:$AG$364,0),1)/INDEX(其他调用!AJ$5:AJ$364,MATCH($K115,其他调用!$AG$5:$AG$364,0),0),1)*INDEX(其他调用!AA$5:AA$404,MATCH($K115,其他调用!$X$5:$X$404,0),0)</f>
        <v>13916.818353206585</v>
      </c>
      <c r="Q115" s="12">
        <f>MIN(INDEX(其他调用!$AH$5:$AH$364,MATCH($K115,其他调用!$AG$5:$AG$364,0),1)/INDEX(其他调用!AK$5:AK$364,MATCH($K115,其他调用!$AG$5:$AG$364,0),0),1)*INDEX(其他调用!AB$5:AB$404,MATCH($K115,其他调用!$X$5:$X$404,0),0)</f>
        <v>5754.9397088998294</v>
      </c>
      <c r="R115" s="12">
        <f>MIN(INDEX(其他调用!$AH$5:$AH$364,MATCH($K115,其他调用!$AG$5:$AG$364,0),1)/INDEX(其他调用!AL$5:AL$364,MATCH($K115,其他调用!$AG$5:$AG$364,0),0),1)*INDEX(其他调用!AC$5:AC$404,MATCH($K115,其他调用!$X$5:$X$404,0),0)</f>
        <v>1792.1510435206364</v>
      </c>
      <c r="S115" s="12">
        <f>求节点(节奏总纲!D$4:D$163,标准城池设计!AC$4:AC$163,$K115)*求节点(节奏总纲!D$4:D$163,攻城基础信息!$AD$5:$AD$164,$K115)</f>
        <v>535517.76088940538</v>
      </c>
      <c r="T115" s="12">
        <f>INDEX(其他调用!$AA$5:$AA$404,MATCH($K115,其他调用!$X$5:$X$404,0))*MIN(INDEX(其他调用!AI$5:AI$364,MATCH($K115,其他调用!$AG$5:$AG$364,0),1)/INDEX(其他调用!$AJ$5:$AJ$364,MATCH($K115,其他调用!$AG$5:$AG$364,0),0),5)*求节点(节奏总纲!D$4:D$163,攻城基础信息!$AD$5:$AD$164,$K115)</f>
        <v>70188.977345219188</v>
      </c>
      <c r="U115" s="12">
        <f>MIN(INDEX(其他调用!$AI$5:$AI$364,MATCH($K115,其他调用!$AG$5:$AG$364,0),1)/INDEX(其他调用!AH$5:AH$364,MATCH($K115,其他调用!$AG$5:$AG$364,0),0),1)*INDEX(其他调用!Y$5:Y$404,MATCH($K115,其他调用!$X$5:$X$404,0),0)</f>
        <v>36691.368738450576</v>
      </c>
      <c r="V115" s="12">
        <f>MIN(INDEX(其他调用!$AI$5:$AI$364,MATCH($K115,其他调用!$AG$5:$AG$364,0),1)/INDEX(其他调用!AI$5:AI$364,MATCH($K115,其他调用!$AG$5:$AG$364,0),0),1)*INDEX(其他调用!Z$5:Z$404,MATCH($K115,其他调用!$X$5:$X$404,0),0)</f>
        <v>37841.853591173167</v>
      </c>
      <c r="W115" s="12">
        <f>MIN(INDEX(其他调用!$AI$5:$AI$364,MATCH($K115,其他调用!$AG$5:$AG$364,0),1)/INDEX(其他调用!AJ$5:AJ$364,MATCH($K115,其他调用!$AG$5:$AG$364,0),0),1)*INDEX(其他调用!AA$5:AA$404,MATCH($K115,其他调用!$X$5:$X$404,0),0)</f>
        <v>22655.658751893712</v>
      </c>
      <c r="X115" s="12">
        <f>MIN(INDEX(其他调用!$AI$5:$AI$364,MATCH($K115,其他调用!$AG$5:$AG$364,0),1)/INDEX(其他调用!AK$5:AK$364,MATCH($K115,其他调用!$AG$5:$AG$364,0),0),1)*INDEX(其他调用!AB$5:AB$404,MATCH($K115,其他调用!$X$5:$X$404,0),0)</f>
        <v>9368.6607724182632</v>
      </c>
      <c r="Y115" s="12">
        <f>MIN(INDEX(其他调用!$AI$5:$AI$364,MATCH($K115,其他调用!$AG$5:$AG$364,0),1)/INDEX(其他调用!AL$5:AL$364,MATCH($K115,其他调用!$AG$5:$AG$364,0),0),1)*INDEX(其他调用!AC$5:AC$404,MATCH($K115,其他调用!$X$5:$X$404,0),0)</f>
        <v>2917.5032283509354</v>
      </c>
      <c r="Z115" s="12">
        <f>求节点(节奏总纲!D$4:D$163,标准城池设计!AD$4:AD$163,$K115)*求节点(节奏总纲!D$4:D$163,攻城基础信息!$AE$5:$AE$164,$K115)</f>
        <v>575239.35332012607</v>
      </c>
      <c r="AA115" s="12">
        <f>INDEX(其他调用!$AA$5:$AA$404,MATCH($K115,其他调用!$X$5:$X$404,0))*MIN(INDEX(其他调用!AJ$5:AJ$364,MATCH($K115,其他调用!$AG$5:$AG$364,0),1)/INDEX(其他调用!$AJ$5:$AJ$364,MATCH($K115,其他调用!$AG$5:$AG$364,0),0),5)*求节点(节奏总纲!D$4:D$163,攻城基础信息!$AE$5:$AE$164,$K115)</f>
        <v>121921.27834895978</v>
      </c>
      <c r="AB115" s="12">
        <f>MIN(INDEX(其他调用!$AJ$5:$AJ$364,MATCH($K115,其他调用!$AG$5:$AG$364,0),1)/INDEX(其他调用!AH$5:AH$364,MATCH($K115,其他调用!$AG$5:$AG$364,0),0),1)*INDEX(其他调用!Y$5:Y$404,MATCH($K115,其他调用!$X$5:$X$404,0),0)</f>
        <v>36691.368738450576</v>
      </c>
      <c r="AC115" s="12">
        <f>MIN(INDEX(其他调用!$AJ$5:$AJ$364,MATCH($K115,其他调用!$AG$5:$AG$364,0),1)/INDEX(其他调用!AI$5:AI$364,MATCH($K115,其他调用!$AG$5:$AG$364,0),0),1)*INDEX(其他调用!Z$5:Z$404,MATCH($K115,其他调用!$X$5:$X$404,0),0)</f>
        <v>37841.853591173167</v>
      </c>
      <c r="AD115" s="12">
        <f>MIN(INDEX(其他调用!$AJ$5:$AJ$364,MATCH($K115,其他调用!$AG$5:$AG$364,0),1)/INDEX(其他调用!AJ$5:AJ$364,MATCH($K115,其他调用!$AG$5:$AG$364,0),0),1)*INDEX(其他调用!AA$5:AA$404,MATCH($K115,其他调用!$X$5:$X$404,0),0)</f>
        <v>39353.855567420134</v>
      </c>
      <c r="AE115" s="12">
        <f>MIN(INDEX(其他调用!$AJ$5:$AJ$364,MATCH($K115,其他调用!$AG$5:$AG$364,0),1)/INDEX(其他调用!AK$5:AK$364,MATCH($K115,其他调用!$AG$5:$AG$364,0),0),1)*INDEX(其他调用!AB$5:AB$404,MATCH($K115,其他调用!$X$5:$X$404,0),0)</f>
        <v>16273.76749162437</v>
      </c>
      <c r="AF115" s="12">
        <f>MIN(INDEX(其他调用!$AJ$5:$AJ$364,MATCH($K115,其他调用!$AG$5:$AG$364,0),1)/INDEX(其他调用!AL$5:AL$364,MATCH($K115,其他调用!$AG$5:$AG$364,0),0),1)*INDEX(其他调用!AC$5:AC$404,MATCH($K115,其他调用!$X$5:$X$404,0),0)</f>
        <v>5067.8288335538982</v>
      </c>
      <c r="AG115" s="12">
        <f>求节点(节奏总纲!D$4:D$163,标准城池设计!AE$4:AE$163,$K115)*求节点(节奏总纲!D$4:D$163,攻城基础信息!$AF$5:$AF$164,$K115)</f>
        <v>655336.42044830555</v>
      </c>
      <c r="AH115" s="12">
        <f>INDEX(其他调用!$AA$5:$AA$404,MATCH($K115,其他调用!$X$5:$X$404,0))*MIN(INDEX(其他调用!AK$5:AK$364,MATCH($K115,其他调用!$AG$5:$AG$364,0),1)/INDEX(其他调用!$AJ$5:$AJ$364,MATCH($K115,其他调用!$AG$5:$AG$364,0),0),5)*求节点(节奏总纲!D$4:D$163,攻城基础信息!$AF$5:$AF$164,$K115)</f>
        <v>311072.5624422892</v>
      </c>
      <c r="AI115" s="12">
        <f>MIN(INDEX(其他调用!$AK$5:$AK$364,MATCH($K115,其他调用!$AG$5:$AG$364,0),1)/INDEX(其他调用!AH$5:AH$364,MATCH($K115,其他调用!$AG$5:$AG$364,0),0),1)*INDEX(其他调用!Y$5:Y$404,MATCH($K115,其他调用!$X$5:$X$404,0),0)</f>
        <v>36691.368738450576</v>
      </c>
      <c r="AJ115" s="12">
        <f>MIN(INDEX(其他调用!$AK$5:$AK$364,MATCH($K115,其他调用!$AG$5:$AG$364,0),1)/INDEX(其他调用!AI$5:AI$364,MATCH($K115,其他调用!$AG$5:$AG$364,0),0),1)*INDEX(其他调用!Z$5:Z$404,MATCH($K115,其他调用!$X$5:$X$404,0),0)</f>
        <v>37841.853591173167</v>
      </c>
      <c r="AK115" s="12">
        <f>MIN(INDEX(其他调用!$AK$5:$AK$364,MATCH($K115,其他调用!$AG$5:$AG$364,0),1)/INDEX(其他调用!AJ$5:AJ$364,MATCH($K115,其他调用!$AG$5:$AG$364,0),0),1)*INDEX(其他调用!AA$5:AA$404,MATCH($K115,其他调用!$X$5:$X$404,0),0)</f>
        <v>39353.855567420134</v>
      </c>
      <c r="AL115" s="12">
        <f>MIN(INDEX(其他调用!$AK$5:$AK$364,MATCH($K115,其他调用!$AG$5:$AG$364,0),1)/INDEX(其他调用!AK$5:AK$364,MATCH($K115,其他调用!$AG$5:$AG$364,0),0),1)*INDEX(其他调用!AB$5:AB$404,MATCH($K115,其他调用!$X$5:$X$404,0),0)</f>
        <v>41521.239136948483</v>
      </c>
      <c r="AM115" s="12">
        <f>MIN(INDEX(其他调用!$AK$5:$AK$364,MATCH($K115,其他调用!$AG$5:$AG$364,0),1)/INDEX(其他调用!AL$5:AL$364,MATCH($K115,其他调用!$AG$5:$AG$364,0),0),1)*INDEX(其他调用!AC$5:AC$404,MATCH($K115,其他调用!$X$5:$X$404,0),0)</f>
        <v>12930.167093232245</v>
      </c>
      <c r="AN115" s="12">
        <f>求节点(节奏总纲!D$4:D$163,标准城池设计!AF$4:AF$163,$K115)*求节点(节奏总纲!D$4:D$163,攻城基础信息!$AG$5:$AG$164,$K115)</f>
        <v>646410.22330419754</v>
      </c>
      <c r="AO115" s="12">
        <f>INDEX(其他调用!$AA$5:$AA$404,MATCH($K115,其他调用!$X$5:$X$404,0))*MIN(INDEX(其他调用!AL$5:AL$364,MATCH($K115,其他调用!$AG$5:$AG$364,0),1)/INDEX(其他调用!$AJ$5:$AJ$364,MATCH($K115,其他调用!$AG$5:$AG$364,0),0),5)*求节点(节奏总纲!D$4:D$163,攻城基础信息!$AG$5:$AG$164,$K115)</f>
        <v>609606.39174479886</v>
      </c>
      <c r="AP115" s="12">
        <f>MIN(INDEX(其他调用!$AL$5:$AL$364,MATCH($K115,其他调用!$AG$5:$AG$364,0),1)/INDEX(其他调用!AH$5:AH$364,MATCH($K115,其他调用!$AG$5:$AG$364,0),0),1)*INDEX(其他调用!Y$5:Y$404,MATCH($K115,其他调用!$X$5:$X$404,0),0)</f>
        <v>36691.368738450576</v>
      </c>
      <c r="AQ115" s="12">
        <f>MIN(INDEX(其他调用!$AL$5:$AL$364,MATCH($K115,其他调用!$AG$5:$AG$364,0),1)/INDEX(其他调用!AI$5:AI$364,MATCH($K115,其他调用!$AG$5:$AG$364,0),0),1)*INDEX(其他调用!Z$5:Z$404,MATCH($K115,其他调用!$X$5:$X$404,0),0)</f>
        <v>37841.853591173167</v>
      </c>
      <c r="AR115" s="12">
        <f>MIN(INDEX(其他调用!$AL$5:$AL$364,MATCH($K115,其他调用!$AG$5:$AG$364,0),1)/INDEX(其他调用!AJ$5:AJ$364,MATCH($K115,其他调用!$AG$5:$AG$364,0),0),1)*INDEX(其他调用!AA$5:AA$404,MATCH($K115,其他调用!$X$5:$X$404,0),0)</f>
        <v>39353.855567420134</v>
      </c>
      <c r="AS115" s="12">
        <f>MIN(INDEX(其他调用!$AL$5:$AL$364,MATCH($K115,其他调用!$AG$5:$AG$364,0),1)/INDEX(其他调用!AK$5:AK$364,MATCH($K115,其他调用!$AG$5:$AG$364,0),0),1)*INDEX(其他调用!AB$5:AB$404,MATCH($K115,其他调用!$X$5:$X$404,0),0)</f>
        <v>41521.239136948483</v>
      </c>
      <c r="AT115" s="12">
        <f>MIN(INDEX(其他调用!$AL$5:$AL$364,MATCH($K115,其他调用!$AG$5:$AG$364,0),1)/INDEX(其他调用!AL$5:AL$364,MATCH($K115,其他调用!$AG$5:$AG$364,0),0),1)*INDEX(其他调用!AC$5:AC$404,MATCH($K115,其他调用!$X$5:$X$404,0),0)</f>
        <v>45394.274478247462</v>
      </c>
      <c r="AV115" s="14">
        <f>IF(OR(AV$5="大R",AV$5="超R"),MAX(INDEX(其他调用!$H$5:$L$404,MATCH($K115,其他调用!$B$5:$B$404,0),MATCH(AV$5,其他调用!$H$4:$L$4,0))*120*0.85,2),INDEX(其他调用!$H$5:$L$404,MATCH($K115,其他调用!$B$5:$B$404,0),MATCH(AV$5,其他调用!$H$4:$L$4,0))*120*0.85)</f>
        <v>48.921801254999991</v>
      </c>
      <c r="AW115" s="14">
        <f>IF(OR(AW$5="大R",AW$5="超R"),MAX(INDEX(其他调用!$H$5:$L$404,MATCH($K115,其他调用!$B$5:$B$404,0),MATCH(AW$5,其他调用!$H$4:$L$4,0))*120*0.85,2),INDEX(其他调用!$H$5:$L$404,MATCH($K115,其他调用!$B$5:$B$404,0),MATCH(AW$5,其他调用!$H$4:$L$4,0))*120*0.85)</f>
        <v>48.237344010638395</v>
      </c>
      <c r="AX115" s="14">
        <f>IF(OR(AX$5="大R",AX$5="超R"),MAX(INDEX(其他调用!$H$5:$L$404,MATCH($K115,其他调用!$B$5:$B$404,0),MATCH(AX$5,其他调用!$H$4:$L$4,0))*120*0.85,2),INDEX(其他调用!$H$5:$L$404,MATCH($K115,其他调用!$B$5:$B$404,0),MATCH(AX$5,其他调用!$H$4:$L$4,0))*120*0.85)</f>
        <v>3.9376284143615998</v>
      </c>
      <c r="AY115" s="14">
        <f>IF(OR(AY$5="大R",AY$5="超R"),MAX(INDEX(其他调用!$H$5:$L$404,MATCH($K115,其他调用!$B$5:$B$404,0),MATCH(AY$5,其他调用!$H$4:$L$4,0))*120*0.85,2),INDEX(其他调用!$H$5:$L$404,MATCH($K115,其他调用!$B$5:$B$404,0),MATCH(AY$5,其他调用!$H$4:$L$4,0))*120*0.85)</f>
        <v>2</v>
      </c>
      <c r="AZ115" s="14">
        <f>IF(OR(AZ$5="大R",AZ$5="超R"),MAX(INDEX(其他调用!$H$5:$L$404,MATCH($K115,其他调用!$B$5:$B$404,0),MATCH(AZ$5,其他调用!$H$4:$L$4,0))*120*0.85,2),INDEX(其他调用!$H$5:$L$404,MATCH($K115,其他调用!$B$5:$B$404,0),MATCH(AZ$5,其他调用!$H$4:$L$4,0))*120*0.85)</f>
        <v>2</v>
      </c>
      <c r="BA115" s="14">
        <f>INDEX(其他调用!$H$5:$L$404,MATCH($K115,其他调用!$B$5:$B$404,0),MATCH(BA$5,其他调用!$H$4:$L$4,0))*INDEX(其他调用!$M$5:$M$404,MATCH($K115,其他调用!$B$5:$B$404,0))*0.6</f>
        <v>28.777530149999997</v>
      </c>
      <c r="BB115" s="14">
        <f>INDEX(其他调用!$H$5:$L$404,MATCH($K115,其他调用!$B$5:$B$404,0),MATCH(BB$5,其他调用!$H$4:$L$4,0))*INDEX(其他调用!$M$5:$M$404,MATCH($K115,其他调用!$B$5:$B$404,0))*0.6</f>
        <v>28.374908241551999</v>
      </c>
      <c r="BC115" s="14">
        <f>INDEX(其他调用!$H$5:$L$404,MATCH($K115,其他调用!$B$5:$B$404,0),MATCH(BC$5,其他调用!$H$4:$L$4,0))*INDEX(其他调用!$M$5:$M$404,MATCH($K115,其他调用!$B$5:$B$404,0))*0.6</f>
        <v>2.3162520084480001</v>
      </c>
      <c r="BD115" s="14">
        <f>INDEX(其他调用!$H$5:$L$404,MATCH($K115,其他调用!$B$5:$B$404,0),MATCH(BD$5,其他调用!$H$4:$L$4,0))*INDEX(其他调用!$M$5:$M$404,MATCH($K115,其他调用!$B$5:$B$404,0))*0.6</f>
        <v>0.4120776000000001</v>
      </c>
      <c r="BE115" s="14">
        <f>INDEX(其他调用!$H$5:$L$404,MATCH($K115,其他调用!$B$5:$B$404,0),MATCH(BE$5,其他调用!$H$4:$L$4,0))*INDEX(其他调用!$M$5:$M$404,MATCH($K115,其他调用!$B$5:$B$404,0))*0.6</f>
        <v>0.11923199999999998</v>
      </c>
      <c r="BF115" s="14">
        <f>IF(OR(BF$5="大R",BF$5="超R"),0,INDEX(其他调用!$H$5:$L$404,MATCH($K115,其他调用!$B$5:$B$404,0),MATCH(BF$5,其他调用!$H$4:$L$4,0))*50*0.4)</f>
        <v>9.5925100500000013</v>
      </c>
      <c r="BG115" s="14">
        <f>IF(OR(BG$5="大R",BG$5="超R"),0,INDEX(其他调用!$H$5:$L$404,MATCH($K115,其他调用!$B$5:$B$404,0),MATCH(BG$5,其他调用!$H$4:$L$4,0))*50*0.4)</f>
        <v>9.4583027471839998</v>
      </c>
      <c r="BH115" s="14">
        <f>IF(OR(BH$5="大R",BH$5="超R"),0,INDEX(其他调用!$H$5:$L$404,MATCH($K115,其他调用!$B$5:$B$404,0),MATCH(BH$5,其他调用!$H$4:$L$4,0))*50*0.4)</f>
        <v>0.77208400281600009</v>
      </c>
      <c r="BI115" s="14">
        <f>IF(OR(BI$5="大R",BI$5="超R"),0,INDEX(其他调用!$H$5:$L$404,MATCH($K115,其他调用!$B$5:$B$404,0),MATCH(BI$5,其他调用!$H$4:$L$4,0))*50*0.4)</f>
        <v>0</v>
      </c>
      <c r="BJ115" s="14">
        <f>IF(OR(BJ$5="大R",BJ$5="超R"),0,INDEX(其他调用!$H$5:$L$404,MATCH($K115,其他调用!$B$5:$B$404,0),MATCH(BJ$5,其他调用!$H$4:$L$4,0))*50*0.4)</f>
        <v>0</v>
      </c>
      <c r="BL115" s="14">
        <f t="shared" si="208"/>
        <v>110</v>
      </c>
      <c r="BM115" s="14">
        <f t="shared" si="115"/>
        <v>96</v>
      </c>
      <c r="BN115" s="14">
        <f>('疲劳值&amp;地图信息'!$S$10*'疲劳值&amp;地图信息'!$R$10+'疲劳值&amp;地图信息'!$S$11*'疲劳值&amp;地图信息'!$R$11+'疲劳值&amp;地图信息'!$S$12*'疲劳值&amp;地图信息'!$R$12+(BM115-'疲劳值&amp;地图信息'!$S$12-'疲劳值&amp;地图信息'!$S$11-'疲劳值&amp;地图信息'!$S$10)*'疲劳值&amp;地图信息'!$R$13)/BM115</f>
        <v>51.371477246638619</v>
      </c>
      <c r="BO115" s="14">
        <f>INDEX(其他调用!$M$5:$M$404,MATCH(BL115,其他调用!$B$5:$B$404,0))*0.6</f>
        <v>60</v>
      </c>
      <c r="BP115" s="14">
        <f>IF(BO115&gt;SUM('疲劳值&amp;地图信息'!$S$10:$S$12),('疲劳值&amp;地图信息'!$S$10*'疲劳值&amp;地图信息'!$R$10+'疲劳值&amp;地图信息'!$S$11*'疲劳值&amp;地图信息'!$R$11+'疲劳值&amp;地图信息'!$S$12*'疲劳值&amp;地图信息'!$R$12+(BO115-'疲劳值&amp;地图信息'!$S$12-'疲劳值&amp;地图信息'!$S$11-'疲劳值&amp;地图信息'!$S$10)*'疲劳值&amp;地图信息'!$R$13)/BO115,('疲劳值&amp;地图信息'!$S$10*'疲劳值&amp;地图信息'!$R$10+'疲劳值&amp;地图信息'!$S$11*'疲劳值&amp;地图信息'!$R$11+'疲劳值&amp;地图信息'!$S$12*'疲劳值&amp;地图信息'!$R$12+(BO115-'疲劳值&amp;地图信息'!$S$12-'疲劳值&amp;地图信息'!$S$11-'疲劳值&amp;地图信息'!$S$10)*'疲劳值&amp;地图信息'!$R$13)/BO115)</f>
        <v>44.158136341605953</v>
      </c>
      <c r="BQ115" s="14">
        <f t="shared" si="209"/>
        <v>20</v>
      </c>
      <c r="BR115" s="14">
        <f>('疲劳值&amp;地图信息'!$S$10*'疲劳值&amp;地图信息'!$R$10+($BQ115-'疲劳值&amp;地图信息'!$S$10)*'疲劳值&amp;地图信息'!$R$11)/$BQ115</f>
        <v>32.067203015074995</v>
      </c>
      <c r="CF115" s="14">
        <v>110</v>
      </c>
      <c r="CG115" s="51">
        <f t="shared" si="116"/>
        <v>10222</v>
      </c>
      <c r="CH115" s="51">
        <f t="shared" si="117"/>
        <v>878</v>
      </c>
      <c r="CI115" s="51">
        <f>INT(SUMPRODUCT($N115:$R115,$BA115:$BE115)/SUM($BA115:$BE115)/10000*$BX$7*$BZ$34/'疲劳值&amp;地图信息'!$R$10*$BY$53)</f>
        <v>2959</v>
      </c>
      <c r="CJ115" s="50">
        <f t="shared" si="118"/>
        <v>0.72707873959741087</v>
      </c>
      <c r="CK115" s="50">
        <f t="shared" si="119"/>
        <v>6.2451098940180666E-2</v>
      </c>
      <c r="CL115" s="50">
        <f t="shared" si="120"/>
        <v>0.21047016146240843</v>
      </c>
      <c r="CM115" s="14">
        <f t="shared" si="121"/>
        <v>10914</v>
      </c>
      <c r="CN115" s="14">
        <f t="shared" si="122"/>
        <v>1430</v>
      </c>
      <c r="CO115" s="14">
        <f>INT(SUMPRODUCT($U115:$Y115,$BA115:$BE115)/SUM($BA115:$BE115)/10000*$BX$7*$BZ$34/'疲劳值&amp;地图信息'!$R$10*$BY$54)</f>
        <v>5546</v>
      </c>
      <c r="CP115" s="50">
        <f t="shared" si="123"/>
        <v>0.61006148686416994</v>
      </c>
      <c r="CQ115" s="50">
        <f t="shared" si="124"/>
        <v>7.9932923420905536E-2</v>
      </c>
      <c r="CR115" s="50">
        <f t="shared" si="125"/>
        <v>0.31000558971492453</v>
      </c>
      <c r="CS115" s="14">
        <f t="shared" si="126"/>
        <v>11724</v>
      </c>
      <c r="CT115" s="14">
        <f t="shared" si="127"/>
        <v>2484</v>
      </c>
      <c r="CU115" s="14">
        <f>INT(SUMPRODUCT($AB115:$AF115,$BA115:$BE115)/SUM($BA115:$BE115)/10000*$BX$7*$BZ$34/'疲劳值&amp;地图信息'!$R$10*$BY$55)</f>
        <v>7536</v>
      </c>
      <c r="CV115" s="50">
        <f t="shared" si="128"/>
        <v>0.53918322295805743</v>
      </c>
      <c r="CW115" s="50">
        <f t="shared" si="129"/>
        <v>0.11423841059602649</v>
      </c>
      <c r="CX115" s="50">
        <f t="shared" si="130"/>
        <v>0.34657836644591611</v>
      </c>
      <c r="CY115" s="14">
        <f t="shared" si="131"/>
        <v>13356</v>
      </c>
      <c r="CZ115" s="14">
        <f t="shared" si="132"/>
        <v>6340</v>
      </c>
      <c r="DA115" s="14">
        <f>INT(SUMPRODUCT($AI115:$AM115,$BA115:$BE115)/SUM($BA115:$BE115)/10000*$BX$7*$BZ$34/'疲劳值&amp;地图信息'!$R$10*$BY$56)</f>
        <v>11361</v>
      </c>
      <c r="DB115" s="50">
        <f t="shared" si="133"/>
        <v>0.43004797630163893</v>
      </c>
      <c r="DC115" s="50">
        <f t="shared" si="134"/>
        <v>0.20414077341662104</v>
      </c>
      <c r="DD115" s="50">
        <f t="shared" si="135"/>
        <v>0.36581125028174005</v>
      </c>
      <c r="DE115" s="14">
        <f t="shared" si="136"/>
        <v>13174</v>
      </c>
      <c r="DF115" s="14">
        <f t="shared" si="137"/>
        <v>12424</v>
      </c>
      <c r="DG115" s="14">
        <f>INT(SUMPRODUCT($AP115:$AT115,$BA115:$BE115)/SUM($BA115:$BE115)/10000*$BX$7*$BZ$34/'疲劳值&amp;地图信息'!$R$10*$BY$57)</f>
        <v>15174</v>
      </c>
      <c r="DH115" s="50">
        <f t="shared" si="138"/>
        <v>0.32311390169724319</v>
      </c>
      <c r="DI115" s="50">
        <f t="shared" si="139"/>
        <v>0.30471892475228096</v>
      </c>
      <c r="DJ115" s="50">
        <f t="shared" si="140"/>
        <v>0.37216717355047579</v>
      </c>
      <c r="DL115" s="14">
        <f t="shared" si="211"/>
        <v>14059</v>
      </c>
      <c r="DM115" s="14">
        <f t="shared" si="212"/>
        <v>17890</v>
      </c>
      <c r="DN115" s="14">
        <f t="shared" si="213"/>
        <v>21744</v>
      </c>
      <c r="DO115" s="14">
        <f t="shared" si="214"/>
        <v>31057</v>
      </c>
      <c r="DP115" s="14">
        <f t="shared" si="215"/>
        <v>40772</v>
      </c>
      <c r="DQ115" s="14">
        <f t="shared" si="216"/>
        <v>980234</v>
      </c>
      <c r="DT115" s="14">
        <f t="shared" si="210"/>
        <v>235575</v>
      </c>
      <c r="DU115" s="50">
        <f t="shared" si="112"/>
        <v>0.19375987511196249</v>
      </c>
      <c r="DW115" s="14">
        <f t="shared" si="141"/>
        <v>1215809</v>
      </c>
      <c r="EB115" s="14">
        <v>110</v>
      </c>
      <c r="EC115" s="51">
        <f t="shared" si="142"/>
        <v>17037</v>
      </c>
      <c r="ED115" s="51">
        <f t="shared" si="143"/>
        <v>1464</v>
      </c>
      <c r="EE115" s="51">
        <f>INT(SUMPRODUCT($N115:$R115,$BF115:$BJ115)/SUM($BF115:$BJ115)/10000*$BX$7*$BZ$46/'疲劳值&amp;地图信息'!$R$10*$BY$53)</f>
        <v>397</v>
      </c>
      <c r="EF115" s="50">
        <f t="shared" si="144"/>
        <v>0.90152397079055979</v>
      </c>
      <c r="EG115" s="50">
        <f t="shared" si="145"/>
        <v>7.746851518679225E-2</v>
      </c>
      <c r="EH115" s="50">
        <f t="shared" si="146"/>
        <v>2.1007514022647899E-2</v>
      </c>
      <c r="EI115" s="51">
        <f t="shared" si="147"/>
        <v>18190</v>
      </c>
      <c r="EJ115" s="51">
        <f t="shared" si="148"/>
        <v>2384</v>
      </c>
      <c r="EK115" s="14">
        <f>INT(SUMPRODUCT($U115:$Y115,$BF115:$BJ115)/SUM($BF115:$BJ115)/10000*$BX$7*$BZ$46/'疲劳值&amp;地图信息'!$R$10*$BY$54)</f>
        <v>744</v>
      </c>
      <c r="EL115" s="50">
        <f t="shared" si="149"/>
        <v>0.85326953748006384</v>
      </c>
      <c r="EM115" s="50">
        <f t="shared" si="150"/>
        <v>0.11183037808424805</v>
      </c>
      <c r="EN115" s="50">
        <f t="shared" si="151"/>
        <v>3.490008443568815E-2</v>
      </c>
      <c r="EO115" s="51">
        <f t="shared" si="152"/>
        <v>19540</v>
      </c>
      <c r="EP115" s="51">
        <f t="shared" si="153"/>
        <v>4141</v>
      </c>
      <c r="EQ115" s="14">
        <f>INT(SUMPRODUCT($AB115:$AF115,$BF115:$BJ115)/SUM($BF115:$BJ115)/10000*$BX$7*$BZ$46/'疲劳值&amp;地图信息'!$R$10*$BY$55)</f>
        <v>1010</v>
      </c>
      <c r="ER115" s="50">
        <f t="shared" si="154"/>
        <v>0.791381475031388</v>
      </c>
      <c r="ES115" s="50">
        <f t="shared" si="155"/>
        <v>0.16771293183751165</v>
      </c>
      <c r="ET115" s="50">
        <f t="shared" si="156"/>
        <v>4.0905593131100398E-2</v>
      </c>
      <c r="EU115" s="51">
        <f t="shared" si="157"/>
        <v>22261</v>
      </c>
      <c r="EV115" s="51">
        <f t="shared" si="158"/>
        <v>10566</v>
      </c>
      <c r="EW115" s="14">
        <f>INT(SUMPRODUCT($AI115:$AM115,$BF115:$BJ115)/SUM($BF115:$BJ115)/10000*$BX$7*$BZ$46/'疲劳值&amp;地图信息'!$R$10*$BY$56)</f>
        <v>1515</v>
      </c>
      <c r="EX115" s="50">
        <f t="shared" si="159"/>
        <v>0.64821501368586565</v>
      </c>
      <c r="EY115" s="50">
        <f t="shared" si="160"/>
        <v>0.30766990856676957</v>
      </c>
      <c r="EZ115" s="50">
        <f t="shared" si="161"/>
        <v>4.4115077747364742E-2</v>
      </c>
      <c r="FA115" s="51">
        <f t="shared" si="162"/>
        <v>21957</v>
      </c>
      <c r="FB115" s="51">
        <f t="shared" si="163"/>
        <v>20707</v>
      </c>
      <c r="FC115" s="14">
        <f>INT(SUMPRODUCT($AP115:$AT115,$BF115:$BJ115)/SUM($BF115:$BJ115)/10000*$BX$7*$BZ$46/'疲劳值&amp;地图信息'!$R$10*$BY$57)</f>
        <v>2020</v>
      </c>
      <c r="FD115" s="50">
        <f t="shared" si="164"/>
        <v>0.49138394056037954</v>
      </c>
      <c r="FE115" s="50">
        <f t="shared" si="165"/>
        <v>0.46340972160057292</v>
      </c>
      <c r="FF115" s="50">
        <f t="shared" si="166"/>
        <v>4.5206337839047532E-2</v>
      </c>
      <c r="FH115" s="14">
        <f t="shared" si="167"/>
        <v>18898</v>
      </c>
      <c r="FI115" s="14">
        <f t="shared" si="168"/>
        <v>21318</v>
      </c>
      <c r="FJ115" s="14">
        <f t="shared" si="169"/>
        <v>24691</v>
      </c>
      <c r="FK115" s="14">
        <f t="shared" si="170"/>
        <v>34342</v>
      </c>
      <c r="FL115" s="14">
        <f t="shared" si="171"/>
        <v>44684</v>
      </c>
      <c r="FM115" s="14">
        <f t="shared" si="172"/>
        <v>2208123</v>
      </c>
      <c r="FP115" s="14">
        <f t="shared" si="173"/>
        <v>334150</v>
      </c>
      <c r="FQ115" s="50">
        <f t="shared" si="113"/>
        <v>0.13143749707446839</v>
      </c>
      <c r="FS115" s="14">
        <f t="shared" si="174"/>
        <v>2542273</v>
      </c>
      <c r="FX115" s="14">
        <v>110</v>
      </c>
      <c r="FY115" s="51">
        <f t="shared" si="175"/>
        <v>23851</v>
      </c>
      <c r="FZ115" s="51">
        <f t="shared" si="176"/>
        <v>1464</v>
      </c>
      <c r="GA115" s="51">
        <f>INT(SUMPRODUCT($N115:$R115,$BF115:$BJ115)/SUM($BF115:$BJ115)/10000*$BX$7*$BZ$46/'疲劳值&amp;地图信息'!$R$10*$BY$53)</f>
        <v>397</v>
      </c>
      <c r="GB115" s="50">
        <f t="shared" si="177"/>
        <v>0.92762134411947728</v>
      </c>
      <c r="GC115" s="50">
        <f t="shared" si="178"/>
        <v>5.6938394523957686E-2</v>
      </c>
      <c r="GD115" s="50">
        <f t="shared" si="179"/>
        <v>1.5440261356565028E-2</v>
      </c>
      <c r="GE115" s="51">
        <f t="shared" si="180"/>
        <v>25467</v>
      </c>
      <c r="GF115" s="51">
        <f t="shared" si="181"/>
        <v>2384</v>
      </c>
      <c r="GG115" s="14">
        <f>INT(SUMPRODUCT($U115:$Y115,$BF115:$BJ115)/SUM($BF115:$BJ115)/10000*$BX$7*$BZ$46/'疲劳值&amp;地图信息'!$R$10*$BY$54)</f>
        <v>744</v>
      </c>
      <c r="GH115" s="50">
        <f t="shared" si="182"/>
        <v>0.89061024654659904</v>
      </c>
      <c r="GI115" s="50">
        <f t="shared" si="183"/>
        <v>8.3371218744535763E-2</v>
      </c>
      <c r="GJ115" s="50">
        <f t="shared" si="184"/>
        <v>2.6018534708865185E-2</v>
      </c>
      <c r="GK115" s="51">
        <f t="shared" si="185"/>
        <v>27356</v>
      </c>
      <c r="GL115" s="51">
        <f t="shared" si="186"/>
        <v>4141</v>
      </c>
      <c r="GM115" s="14">
        <f>INT(SUMPRODUCT($AB115:$AF115,$BF115:$BJ115)/SUM($BF115:$BJ115)/10000*$BX$7*$BZ$46/'疲劳值&amp;地图信息'!$R$10*$BY$55)</f>
        <v>1010</v>
      </c>
      <c r="GN115" s="50">
        <f t="shared" si="187"/>
        <v>0.84154182176146675</v>
      </c>
      <c r="GO115" s="50">
        <f t="shared" si="188"/>
        <v>0.12738794721136987</v>
      </c>
      <c r="GP115" s="50">
        <f t="shared" si="189"/>
        <v>3.1070231027163379E-2</v>
      </c>
      <c r="GQ115" s="51">
        <f t="shared" si="190"/>
        <v>31165</v>
      </c>
      <c r="GR115" s="51">
        <f t="shared" si="191"/>
        <v>10566</v>
      </c>
      <c r="GS115" s="14">
        <f>INT(SUMPRODUCT($AI115:$AM115,$BF115:$BJ115)/SUM($BF115:$BJ115)/10000*$BX$7*$BZ$46/'疲劳值&amp;地图信息'!$R$10*$BY$56)</f>
        <v>1515</v>
      </c>
      <c r="GT115" s="50">
        <f t="shared" si="192"/>
        <v>0.72064468390140124</v>
      </c>
      <c r="GU115" s="50">
        <f t="shared" si="193"/>
        <v>0.24432317439763215</v>
      </c>
      <c r="GV115" s="50">
        <f t="shared" si="194"/>
        <v>3.5032141700966565E-2</v>
      </c>
      <c r="GW115" s="51">
        <f t="shared" si="195"/>
        <v>30740</v>
      </c>
      <c r="GX115" s="51">
        <f t="shared" si="196"/>
        <v>20707</v>
      </c>
      <c r="GY115" s="14">
        <f>INT(SUMPRODUCT($AP115:$AT115,$BF115:$BJ115)/SUM($BF115:$BJ115)/10000*$BX$7*$BZ$46/'疲劳值&amp;地图信息'!$R$10*$BY$57)</f>
        <v>2020</v>
      </c>
      <c r="GZ115" s="50">
        <f t="shared" si="197"/>
        <v>0.57493407148334486</v>
      </c>
      <c r="HA115" s="50">
        <f t="shared" si="198"/>
        <v>0.38728561542633771</v>
      </c>
      <c r="HB115" s="50">
        <f t="shared" si="199"/>
        <v>3.7780313090317395E-2</v>
      </c>
      <c r="HD115" s="14">
        <f t="shared" si="200"/>
        <v>25712</v>
      </c>
      <c r="HE115" s="14">
        <f t="shared" si="201"/>
        <v>28595</v>
      </c>
      <c r="HF115" s="14">
        <f t="shared" si="202"/>
        <v>32507</v>
      </c>
      <c r="HG115" s="14">
        <f t="shared" si="203"/>
        <v>43246</v>
      </c>
      <c r="HH115" s="14">
        <f t="shared" si="204"/>
        <v>53467</v>
      </c>
      <c r="HI115" s="14">
        <f t="shared" si="205"/>
        <v>2958650</v>
      </c>
      <c r="HL115" s="14">
        <f t="shared" si="206"/>
        <v>430050</v>
      </c>
      <c r="HM115" s="50">
        <f t="shared" si="114"/>
        <v>0.12690707350901526</v>
      </c>
      <c r="HO115" s="14">
        <f t="shared" si="207"/>
        <v>3388700</v>
      </c>
    </row>
    <row r="116" spans="11:223" x14ac:dyDescent="0.2">
      <c r="K116" s="14">
        <v>111</v>
      </c>
      <c r="L116" s="12">
        <f>求节点(节奏总纲!D$4:D$163,标准城池设计!AB$4:AB$163,$K116)*求节点(节奏总纲!D$4:D$163,攻城基础信息!$AC$5:$AC$164,$K116)</f>
        <v>503474.99336178642</v>
      </c>
      <c r="M116" s="12">
        <f>INDEX(其他调用!$AA$5:$AA$404,MATCH(K116,其他调用!$X$5:$X$404,0))*MIN(INDEX(其他调用!$AH$5:$AH$364,MATCH('征服点（新）'!K116,其他调用!$AG$5:$AG$364,0),1)/INDEX(其他调用!$AJ$5:$AJ$364,MATCH(K116,其他调用!$AG$5:$AG$364,0),0),5)*求节点(节奏总纲!D$4:D$163,攻城基础信息!$AC$5:$AC$164,$K116)</f>
        <v>43207.797506305564</v>
      </c>
      <c r="N116" s="12">
        <f>MIN(INDEX(其他调用!$AH$5:$AH$364,MATCH($K116,其他调用!$AG$5:$AG$364,0),1)/INDEX(其他调用!AH$5:AH$364,MATCH($K116,其他调用!$AG$5:$AG$364,0),0),1)*INDEX(其他调用!Y$5:Y$404,MATCH($K116,其他调用!$X$5:$X$404,0),0)</f>
        <v>36743.290546376091</v>
      </c>
      <c r="O116" s="12">
        <f>MIN(INDEX(其他调用!$AH$5:$AH$364,MATCH($K116,其他调用!$AG$5:$AG$364,0),1)/INDEX(其他调用!AI$5:AI$364,MATCH($K116,其他调用!$AG$5:$AG$364,0),0),1)*INDEX(其他调用!Z$5:Z$404,MATCH($K116,其他调用!$X$5:$X$404,0),0)</f>
        <v>23253.948983974991</v>
      </c>
      <c r="P116" s="12">
        <f>MIN(INDEX(其他调用!$AH$5:$AH$364,MATCH($K116,其他调用!$AG$5:$AG$364,0),1)/INDEX(其他调用!AJ$5:AJ$364,MATCH($K116,其他调用!$AG$5:$AG$364,0),0),1)*INDEX(其他调用!AA$5:AA$404,MATCH($K116,其他调用!$X$5:$X$404,0),0)</f>
        <v>13927.334899255629</v>
      </c>
      <c r="Q116" s="12">
        <f>MIN(INDEX(其他调用!$AH$5:$AH$364,MATCH($K116,其他调用!$AG$5:$AG$364,0),1)/INDEX(其他调用!AK$5:AK$364,MATCH($K116,其他调用!$AG$5:$AG$364,0),0),1)*INDEX(其他调用!AB$5:AB$404,MATCH($K116,其他调用!$X$5:$X$404,0),0)</f>
        <v>5746.9659698292726</v>
      </c>
      <c r="R116" s="12">
        <f>MIN(INDEX(其他调用!$AH$5:$AH$364,MATCH($K116,其他调用!$AG$5:$AG$364,0),1)/INDEX(其他调用!AL$5:AL$364,MATCH($K116,其他调用!$AG$5:$AG$364,0),0),1)*INDEX(其他调用!AC$5:AC$404,MATCH($K116,其他调用!$X$5:$X$404,0),0)</f>
        <v>1791.935386653772</v>
      </c>
      <c r="S116" s="12">
        <f>求节点(节奏总纲!D$4:D$163,标准城池设计!AC$4:AC$163,$K116)*求节点(节奏总纲!D$4:D$163,攻城基础信息!$AD$5:$AD$164,$K116)</f>
        <v>537800.58652536757</v>
      </c>
      <c r="T116" s="12">
        <f>INDEX(其他调用!$AA$5:$AA$404,MATCH($K116,其他调用!$X$5:$X$404,0))*MIN(INDEX(其他调用!AI$5:AI$364,MATCH($K116,其他调用!$AG$5:$AG$364,0),1)/INDEX(其他调用!$AJ$5:$AJ$364,MATCH($K116,其他调用!$AG$5:$AG$364,0),0),5)*求节点(节奏总纲!D$4:D$163,攻城基础信息!$AD$5:$AD$164,$K116)</f>
        <v>70405.970958329766</v>
      </c>
      <c r="U116" s="12">
        <f>MIN(INDEX(其他调用!$AI$5:$AI$364,MATCH($K116,其他调用!$AG$5:$AG$364,0),1)/INDEX(其他调用!AH$5:AH$364,MATCH($K116,其他调用!$AG$5:$AG$364,0),0),1)*INDEX(其他调用!Y$5:Y$404,MATCH($K116,其他调用!$X$5:$X$404,0),0)</f>
        <v>36743.290546376091</v>
      </c>
      <c r="V116" s="12">
        <f>MIN(INDEX(其他调用!$AI$5:$AI$364,MATCH($K116,其他调用!$AG$5:$AG$364,0),1)/INDEX(其他调用!AI$5:AI$364,MATCH($K116,其他调用!$AG$5:$AG$364,0),0),1)*INDEX(其他调用!Z$5:Z$404,MATCH($K116,其他调用!$X$5:$X$404,0),0)</f>
        <v>37891.698983112867</v>
      </c>
      <c r="W116" s="12">
        <f>MIN(INDEX(其他调用!$AI$5:$AI$364,MATCH($K116,其他调用!$AG$5:$AG$364,0),1)/INDEX(其他调用!AJ$5:AJ$364,MATCH($K116,其他调用!$AG$5:$AG$364,0),0),1)*INDEX(其他调用!AA$5:AA$404,MATCH($K116,其他调用!$X$5:$X$404,0),0)</f>
        <v>22694.226344233921</v>
      </c>
      <c r="X116" s="12">
        <f>MIN(INDEX(其他调用!$AI$5:$AI$364,MATCH($K116,其他调用!$AG$5:$AG$364,0),1)/INDEX(其他调用!AK$5:AK$364,MATCH($K116,其他调用!$AG$5:$AG$364,0),0),1)*INDEX(其他调用!AB$5:AB$404,MATCH($K116,其他调用!$X$5:$X$404,0),0)</f>
        <v>9364.5300737965317</v>
      </c>
      <c r="Y116" s="12">
        <f>MIN(INDEX(其他调用!$AI$5:$AI$364,MATCH($K116,其他调用!$AG$5:$AG$364,0),1)/INDEX(其他调用!AL$5:AL$364,MATCH($K116,其他调用!$AG$5:$AG$364,0),0),1)*INDEX(其他调用!AC$5:AC$404,MATCH($K116,其他调用!$X$5:$X$404,0),0)</f>
        <v>2919.9116380217529</v>
      </c>
      <c r="Z116" s="12">
        <f>求节点(节奏总纲!D$4:D$163,标准城池设计!AD$4:AD$163,$K116)*求节点(节奏总纲!D$4:D$163,攻城基础信息!$AE$5:$AE$164,$K116)</f>
        <v>577758.10573699279</v>
      </c>
      <c r="AA116" s="12">
        <f>INDEX(其他调用!$AA$5:$AA$404,MATCH($K116,其他调用!$X$5:$X$404,0))*MIN(INDEX(其他调用!AJ$5:AJ$364,MATCH($K116,其他调用!$AG$5:$AG$364,0),1)/INDEX(其他调用!$AJ$5:$AJ$364,MATCH($K116,其他调用!$AG$5:$AG$364,0),0),5)*求节点(节奏总纲!D$4:D$163,攻城基础信息!$AE$5:$AE$164,$K116)</f>
        <v>122253.60988857318</v>
      </c>
      <c r="AB116" s="12">
        <f>MIN(INDEX(其他调用!$AJ$5:$AJ$364,MATCH($K116,其他调用!$AG$5:$AG$364,0),1)/INDEX(其他调用!AH$5:AH$364,MATCH($K116,其他调用!$AG$5:$AG$364,0),0),1)*INDEX(其他调用!Y$5:Y$404,MATCH($K116,其他调用!$X$5:$X$404,0),0)</f>
        <v>36743.290546376091</v>
      </c>
      <c r="AC116" s="12">
        <f>MIN(INDEX(其他调用!$AJ$5:$AJ$364,MATCH($K116,其他调用!$AG$5:$AG$364,0),1)/INDEX(其他调用!AI$5:AI$364,MATCH($K116,其他调用!$AG$5:$AG$364,0),0),1)*INDEX(其他调用!Z$5:Z$404,MATCH($K116,其他调用!$X$5:$X$404,0),0)</f>
        <v>37891.698983112867</v>
      </c>
      <c r="AD116" s="12">
        <f>MIN(INDEX(其他调用!$AJ$5:$AJ$364,MATCH($K116,其他调用!$AG$5:$AG$364,0),1)/INDEX(其他调用!AJ$5:AJ$364,MATCH($K116,其他调用!$AG$5:$AG$364,0),0),1)*INDEX(其他调用!AA$5:AA$404,MATCH($K116,其他调用!$X$5:$X$404,0),0)</f>
        <v>39406.474428895111</v>
      </c>
      <c r="AE116" s="12">
        <f>MIN(INDEX(其他调用!$AJ$5:$AJ$364,MATCH($K116,其他调用!$AG$5:$AG$364,0),1)/INDEX(其他调用!AK$5:AK$364,MATCH($K116,其他调用!$AG$5:$AG$364,0),0),1)*INDEX(其他调用!AB$5:AB$404,MATCH($K116,其他调用!$X$5:$X$404,0),0)</f>
        <v>16260.660720229511</v>
      </c>
      <c r="AF116" s="12">
        <f>MIN(INDEX(其他调用!$AJ$5:$AJ$364,MATCH($K116,其他调用!$AG$5:$AG$364,0),1)/INDEX(其他调用!AL$5:AL$364,MATCH($K116,其他调用!$AG$5:$AG$364,0),0),1)*INDEX(其他调用!AC$5:AC$404,MATCH($K116,其他调用!$X$5:$X$404,0),0)</f>
        <v>5070.1628490443072</v>
      </c>
      <c r="AG116" s="12">
        <f>求节点(节奏总纲!D$4:D$163,标准城池设计!AE$4:AE$163,$K116)*求节点(节奏总纲!D$4:D$163,攻城基础信息!$AF$5:$AF$164,$K116)</f>
        <v>658378.61982678284</v>
      </c>
      <c r="AH116" s="12">
        <f>INDEX(其他调用!$AA$5:$AA$404,MATCH($K116,其他调用!$X$5:$X$404,0))*MIN(INDEX(其他调用!AK$5:AK$364,MATCH($K116,其他调用!$AG$5:$AG$364,0),1)/INDEX(其他调用!$AJ$5:$AJ$364,MATCH($K116,其他调用!$AG$5:$AG$364,0),0),5)*求节点(节奏总纲!D$4:D$163,攻城基础信息!$AF$5:$AF$164,$K116)</f>
        <v>312565.78729510645</v>
      </c>
      <c r="AI116" s="12">
        <f>MIN(INDEX(其他调用!$AK$5:$AK$364,MATCH($K116,其他调用!$AG$5:$AG$364,0),1)/INDEX(其他调用!AH$5:AH$364,MATCH($K116,其他调用!$AG$5:$AG$364,0),0),1)*INDEX(其他调用!Y$5:Y$404,MATCH($K116,其他调用!$X$5:$X$404,0),0)</f>
        <v>36743.290546376091</v>
      </c>
      <c r="AJ116" s="12">
        <f>MIN(INDEX(其他调用!$AK$5:$AK$364,MATCH($K116,其他调用!$AG$5:$AG$364,0),1)/INDEX(其他调用!AI$5:AI$364,MATCH($K116,其他调用!$AG$5:$AG$364,0),0),1)*INDEX(其他调用!Z$5:Z$404,MATCH($K116,其他调用!$X$5:$X$404,0),0)</f>
        <v>37891.698983112867</v>
      </c>
      <c r="AK116" s="12">
        <f>MIN(INDEX(其他调用!$AK$5:$AK$364,MATCH($K116,其他调用!$AG$5:$AG$364,0),1)/INDEX(其他调用!AJ$5:AJ$364,MATCH($K116,其他调用!$AG$5:$AG$364,0),0),1)*INDEX(其他调用!AA$5:AA$404,MATCH($K116,其他调用!$X$5:$X$404,0),0)</f>
        <v>39406.474428895111</v>
      </c>
      <c r="AL116" s="12">
        <f>MIN(INDEX(其他调用!$AK$5:$AK$364,MATCH($K116,其他调用!$AG$5:$AG$364,0),1)/INDEX(其他调用!AK$5:AK$364,MATCH($K116,其他调用!$AG$5:$AG$364,0),0),1)*INDEX(其他调用!AB$5:AB$404,MATCH($K116,其他调用!$X$5:$X$404,0),0)</f>
        <v>41573.628988048426</v>
      </c>
      <c r="AM116" s="12">
        <f>MIN(INDEX(其他调用!$AK$5:$AK$364,MATCH($K116,其他调用!$AG$5:$AG$364,0),1)/INDEX(其他调用!AL$5:AL$364,MATCH($K116,其他调用!$AG$5:$AG$364,0),0),1)*INDEX(其他调用!AC$5:AC$404,MATCH($K116,其他调用!$X$5:$X$404,0),0)</f>
        <v>12962.884646681165</v>
      </c>
      <c r="AN116" s="12">
        <f>求节点(节奏总纲!D$4:D$163,标准城池设计!AF$4:AF$163,$K116)*求节点(节奏总纲!D$4:D$163,攻城基础信息!$AG$5:$AG$164,$K116)</f>
        <v>649411.5227236693</v>
      </c>
      <c r="AO116" s="12">
        <f>INDEX(其他调用!$AA$5:$AA$404,MATCH($K116,其他调用!$X$5:$X$404,0))*MIN(INDEX(其他调用!AL$5:AL$364,MATCH($K116,其他调用!$AG$5:$AG$364,0),1)/INDEX(其他调用!$AJ$5:$AJ$364,MATCH($K116,其他调用!$AG$5:$AG$364,0),0),5)*求节点(节奏总纲!D$4:D$163,攻城基础信息!$AG$5:$AG$164,$K116)</f>
        <v>611268.04944286589</v>
      </c>
      <c r="AP116" s="12">
        <f>MIN(INDEX(其他调用!$AL$5:$AL$364,MATCH($K116,其他调用!$AG$5:$AG$364,0),1)/INDEX(其他调用!AH$5:AH$364,MATCH($K116,其他调用!$AG$5:$AG$364,0),0),1)*INDEX(其他调用!Y$5:Y$404,MATCH($K116,其他调用!$X$5:$X$404,0),0)</f>
        <v>36743.290546376091</v>
      </c>
      <c r="AQ116" s="12">
        <f>MIN(INDEX(其他调用!$AL$5:$AL$364,MATCH($K116,其他调用!$AG$5:$AG$364,0),1)/INDEX(其他调用!AI$5:AI$364,MATCH($K116,其他调用!$AG$5:$AG$364,0),0),1)*INDEX(其他调用!Z$5:Z$404,MATCH($K116,其他调用!$X$5:$X$404,0),0)</f>
        <v>37891.698983112867</v>
      </c>
      <c r="AR116" s="12">
        <f>MIN(INDEX(其他调用!$AL$5:$AL$364,MATCH($K116,其他调用!$AG$5:$AG$364,0),1)/INDEX(其他调用!AJ$5:AJ$364,MATCH($K116,其他调用!$AG$5:$AG$364,0),0),1)*INDEX(其他调用!AA$5:AA$404,MATCH($K116,其他调用!$X$5:$X$404,0),0)</f>
        <v>39406.474428895111</v>
      </c>
      <c r="AS116" s="12">
        <f>MIN(INDEX(其他调用!$AL$5:$AL$364,MATCH($K116,其他调用!$AG$5:$AG$364,0),1)/INDEX(其他调用!AK$5:AK$364,MATCH($K116,其他调用!$AG$5:$AG$364,0),0),1)*INDEX(其他调用!AB$5:AB$404,MATCH($K116,其他调用!$X$5:$X$404,0),0)</f>
        <v>41573.628988048426</v>
      </c>
      <c r="AT116" s="12">
        <f>MIN(INDEX(其他调用!$AL$5:$AL$364,MATCH($K116,其他调用!$AG$5:$AG$364,0),1)/INDEX(其他调用!AL$5:AL$364,MATCH($K116,其他调用!$AG$5:$AG$364,0),0),1)*INDEX(其他调用!AC$5:AC$404,MATCH($K116,其他调用!$X$5:$X$404,0),0)</f>
        <v>45449.102571643241</v>
      </c>
      <c r="AV116" s="14">
        <f>IF(OR(AV$5="大R",AV$5="超R"),MAX(INDEX(其他调用!$H$5:$L$404,MATCH($K116,其他调用!$B$5:$B$404,0),MATCH(AV$5,其他调用!$H$4:$L$4,0))*120*0.85,2),INDEX(其他调用!$H$5:$L$404,MATCH($K116,其他调用!$B$5:$B$404,0),MATCH(AV$5,其他调用!$H$4:$L$4,0))*120*0.85)</f>
        <v>48.921801254999991</v>
      </c>
      <c r="AW116" s="14">
        <f>IF(OR(AW$5="大R",AW$5="超R"),MAX(INDEX(其他调用!$H$5:$L$404,MATCH($K116,其他调用!$B$5:$B$404,0),MATCH(AW$5,其他调用!$H$4:$L$4,0))*120*0.85,2),INDEX(其他调用!$H$5:$L$404,MATCH($K116,其他调用!$B$5:$B$404,0),MATCH(AW$5,其他调用!$H$4:$L$4,0))*120*0.85)</f>
        <v>48.237344010638395</v>
      </c>
      <c r="AX116" s="14">
        <f>IF(OR(AX$5="大R",AX$5="超R"),MAX(INDEX(其他调用!$H$5:$L$404,MATCH($K116,其他调用!$B$5:$B$404,0),MATCH(AX$5,其他调用!$H$4:$L$4,0))*120*0.85,2),INDEX(其他调用!$H$5:$L$404,MATCH($K116,其他调用!$B$5:$B$404,0),MATCH(AX$5,其他调用!$H$4:$L$4,0))*120*0.85)</f>
        <v>3.9376284143615998</v>
      </c>
      <c r="AY116" s="14">
        <f>IF(OR(AY$5="大R",AY$5="超R"),MAX(INDEX(其他调用!$H$5:$L$404,MATCH($K116,其他调用!$B$5:$B$404,0),MATCH(AY$5,其他调用!$H$4:$L$4,0))*120*0.85,2),INDEX(其他调用!$H$5:$L$404,MATCH($K116,其他调用!$B$5:$B$404,0),MATCH(AY$5,其他调用!$H$4:$L$4,0))*120*0.85)</f>
        <v>2</v>
      </c>
      <c r="AZ116" s="14">
        <f>IF(OR(AZ$5="大R",AZ$5="超R"),MAX(INDEX(其他调用!$H$5:$L$404,MATCH($K116,其他调用!$B$5:$B$404,0),MATCH(AZ$5,其他调用!$H$4:$L$4,0))*120*0.85,2),INDEX(其他调用!$H$5:$L$404,MATCH($K116,其他调用!$B$5:$B$404,0),MATCH(AZ$5,其他调用!$H$4:$L$4,0))*120*0.85)</f>
        <v>2</v>
      </c>
      <c r="BA116" s="14">
        <f>INDEX(其他调用!$H$5:$L$404,MATCH($K116,其他调用!$B$5:$B$404,0),MATCH(BA$5,其他调用!$H$4:$L$4,0))*INDEX(其他调用!$M$5:$M$404,MATCH($K116,其他调用!$B$5:$B$404,0))*0.6</f>
        <v>28.777530149999997</v>
      </c>
      <c r="BB116" s="14">
        <f>INDEX(其他调用!$H$5:$L$404,MATCH($K116,其他调用!$B$5:$B$404,0),MATCH(BB$5,其他调用!$H$4:$L$4,0))*INDEX(其他调用!$M$5:$M$404,MATCH($K116,其他调用!$B$5:$B$404,0))*0.6</f>
        <v>28.374908241551999</v>
      </c>
      <c r="BC116" s="14">
        <f>INDEX(其他调用!$H$5:$L$404,MATCH($K116,其他调用!$B$5:$B$404,0),MATCH(BC$5,其他调用!$H$4:$L$4,0))*INDEX(其他调用!$M$5:$M$404,MATCH($K116,其他调用!$B$5:$B$404,0))*0.6</f>
        <v>2.3162520084480001</v>
      </c>
      <c r="BD116" s="14">
        <f>INDEX(其他调用!$H$5:$L$404,MATCH($K116,其他调用!$B$5:$B$404,0),MATCH(BD$5,其他调用!$H$4:$L$4,0))*INDEX(其他调用!$M$5:$M$404,MATCH($K116,其他调用!$B$5:$B$404,0))*0.6</f>
        <v>0.4120776000000001</v>
      </c>
      <c r="BE116" s="14">
        <f>INDEX(其他调用!$H$5:$L$404,MATCH($K116,其他调用!$B$5:$B$404,0),MATCH(BE$5,其他调用!$H$4:$L$4,0))*INDEX(其他调用!$M$5:$M$404,MATCH($K116,其他调用!$B$5:$B$404,0))*0.6</f>
        <v>0.11923199999999998</v>
      </c>
      <c r="BF116" s="14">
        <f>IF(OR(BF$5="大R",BF$5="超R"),0,INDEX(其他调用!$H$5:$L$404,MATCH($K116,其他调用!$B$5:$B$404,0),MATCH(BF$5,其他调用!$H$4:$L$4,0))*50*0.4)</f>
        <v>9.5925100500000013</v>
      </c>
      <c r="BG116" s="14">
        <f>IF(OR(BG$5="大R",BG$5="超R"),0,INDEX(其他调用!$H$5:$L$404,MATCH($K116,其他调用!$B$5:$B$404,0),MATCH(BG$5,其他调用!$H$4:$L$4,0))*50*0.4)</f>
        <v>9.4583027471839998</v>
      </c>
      <c r="BH116" s="14">
        <f>IF(OR(BH$5="大R",BH$5="超R"),0,INDEX(其他调用!$H$5:$L$404,MATCH($K116,其他调用!$B$5:$B$404,0),MATCH(BH$5,其他调用!$H$4:$L$4,0))*50*0.4)</f>
        <v>0.77208400281600009</v>
      </c>
      <c r="BI116" s="14">
        <f>IF(OR(BI$5="大R",BI$5="超R"),0,INDEX(其他调用!$H$5:$L$404,MATCH($K116,其他调用!$B$5:$B$404,0),MATCH(BI$5,其他调用!$H$4:$L$4,0))*50*0.4)</f>
        <v>0</v>
      </c>
      <c r="BJ116" s="14">
        <f>IF(OR(BJ$5="大R",BJ$5="超R"),0,INDEX(其他调用!$H$5:$L$404,MATCH($K116,其他调用!$B$5:$B$404,0),MATCH(BJ$5,其他调用!$H$4:$L$4,0))*50*0.4)</f>
        <v>0</v>
      </c>
      <c r="BL116" s="14">
        <f t="shared" si="208"/>
        <v>111</v>
      </c>
      <c r="BM116" s="14">
        <f t="shared" si="115"/>
        <v>96</v>
      </c>
      <c r="BN116" s="14">
        <f>('疲劳值&amp;地图信息'!$S$10*'疲劳值&amp;地图信息'!$R$10+'疲劳值&amp;地图信息'!$S$11*'疲劳值&amp;地图信息'!$R$11+'疲劳值&amp;地图信息'!$S$12*'疲劳值&amp;地图信息'!$R$12+(BM116-'疲劳值&amp;地图信息'!$S$12-'疲劳值&amp;地图信息'!$S$11-'疲劳值&amp;地图信息'!$S$10)*'疲劳值&amp;地图信息'!$R$13)/BM116</f>
        <v>51.371477246638619</v>
      </c>
      <c r="BO116" s="14">
        <f>INDEX(其他调用!$M$5:$M$404,MATCH(BL116,其他调用!$B$5:$B$404,0))*0.6</f>
        <v>60</v>
      </c>
      <c r="BP116" s="14">
        <f>IF(BO116&gt;SUM('疲劳值&amp;地图信息'!$S$10:$S$12),('疲劳值&amp;地图信息'!$S$10*'疲劳值&amp;地图信息'!$R$10+'疲劳值&amp;地图信息'!$S$11*'疲劳值&amp;地图信息'!$R$11+'疲劳值&amp;地图信息'!$S$12*'疲劳值&amp;地图信息'!$R$12+(BO116-'疲劳值&amp;地图信息'!$S$12-'疲劳值&amp;地图信息'!$S$11-'疲劳值&amp;地图信息'!$S$10)*'疲劳值&amp;地图信息'!$R$13)/BO116,('疲劳值&amp;地图信息'!$S$10*'疲劳值&amp;地图信息'!$R$10+'疲劳值&amp;地图信息'!$S$11*'疲劳值&amp;地图信息'!$R$11+'疲劳值&amp;地图信息'!$S$12*'疲劳值&amp;地图信息'!$R$12+(BO116-'疲劳值&amp;地图信息'!$S$12-'疲劳值&amp;地图信息'!$S$11-'疲劳值&amp;地图信息'!$S$10)*'疲劳值&amp;地图信息'!$R$13)/BO116)</f>
        <v>44.158136341605953</v>
      </c>
      <c r="BQ116" s="14">
        <f t="shared" si="209"/>
        <v>20</v>
      </c>
      <c r="BR116" s="14">
        <f>('疲劳值&amp;地图信息'!$S$10*'疲劳值&amp;地图信息'!$R$10+($BQ116-'疲劳值&amp;地图信息'!$S$10)*'疲劳值&amp;地图信息'!$R$11)/$BQ116</f>
        <v>32.067203015074995</v>
      </c>
      <c r="CF116" s="14">
        <v>111</v>
      </c>
      <c r="CG116" s="51">
        <f t="shared" si="116"/>
        <v>10261</v>
      </c>
      <c r="CH116" s="51">
        <f t="shared" si="117"/>
        <v>880</v>
      </c>
      <c r="CI116" s="51">
        <f>INT(SUMPRODUCT($N116:$R116,$BA116:$BE116)/SUM($BA116:$BE116)/10000*$BX$7*$BZ$34/'疲劳值&amp;地图信息'!$R$10*$BY$53)</f>
        <v>2962</v>
      </c>
      <c r="CJ116" s="50">
        <f t="shared" si="118"/>
        <v>0.72757569311494008</v>
      </c>
      <c r="CK116" s="50">
        <f t="shared" si="119"/>
        <v>6.2398071332340634E-2</v>
      </c>
      <c r="CL116" s="50">
        <f t="shared" si="120"/>
        <v>0.21002623555271929</v>
      </c>
      <c r="CM116" s="14">
        <f t="shared" si="121"/>
        <v>10961</v>
      </c>
      <c r="CN116" s="14">
        <f t="shared" si="122"/>
        <v>1434</v>
      </c>
      <c r="CO116" s="14">
        <f>INT(SUMPRODUCT($U116:$Y116,$BA116:$BE116)/SUM($BA116:$BE116)/10000*$BX$7*$BZ$34/'疲劳值&amp;地图信息'!$R$10*$BY$54)</f>
        <v>5553</v>
      </c>
      <c r="CP116" s="50">
        <f t="shared" si="123"/>
        <v>0.61070871406284821</v>
      </c>
      <c r="CQ116" s="50">
        <f t="shared" si="124"/>
        <v>7.9897481613550259E-2</v>
      </c>
      <c r="CR116" s="50">
        <f t="shared" si="125"/>
        <v>0.30939380432360153</v>
      </c>
      <c r="CS116" s="14">
        <f t="shared" si="126"/>
        <v>11775</v>
      </c>
      <c r="CT116" s="14">
        <f t="shared" si="127"/>
        <v>2491</v>
      </c>
      <c r="CU116" s="14">
        <f>INT(SUMPRODUCT($AB116:$AF116,$BA116:$BE116)/SUM($BA116:$BE116)/10000*$BX$7*$BZ$34/'疲劳值&amp;地图信息'!$R$10*$BY$55)</f>
        <v>7546</v>
      </c>
      <c r="CV116" s="50">
        <f t="shared" si="128"/>
        <v>0.53984045479552545</v>
      </c>
      <c r="CW116" s="50">
        <f t="shared" si="129"/>
        <v>0.11420319090408949</v>
      </c>
      <c r="CX116" s="50">
        <f t="shared" si="130"/>
        <v>0.34595635430038513</v>
      </c>
      <c r="CY116" s="14">
        <f t="shared" si="131"/>
        <v>13418</v>
      </c>
      <c r="CZ116" s="14">
        <f t="shared" si="132"/>
        <v>6370</v>
      </c>
      <c r="DA116" s="14">
        <f>INT(SUMPRODUCT($AI116:$AM116,$BA116:$BE116)/SUM($BA116:$BE116)/10000*$BX$7*$BZ$34/'疲劳值&amp;地图信息'!$R$10*$BY$56)</f>
        <v>11377</v>
      </c>
      <c r="DB116" s="50">
        <f t="shared" si="133"/>
        <v>0.43054708807957642</v>
      </c>
      <c r="DC116" s="50">
        <f t="shared" si="134"/>
        <v>0.2043959570030483</v>
      </c>
      <c r="DD116" s="50">
        <f t="shared" si="135"/>
        <v>0.36505695491737528</v>
      </c>
      <c r="DE116" s="14">
        <f t="shared" si="136"/>
        <v>13235</v>
      </c>
      <c r="DF116" s="14">
        <f t="shared" si="137"/>
        <v>12458</v>
      </c>
      <c r="DG116" s="14">
        <f>INT(SUMPRODUCT($AP116:$AT116,$BA116:$BE116)/SUM($BA116:$BE116)/10000*$BX$7*$BZ$34/'疲劳值&amp;地图信息'!$R$10*$BY$57)</f>
        <v>15195</v>
      </c>
      <c r="DH116" s="50">
        <f t="shared" si="138"/>
        <v>0.32368910193699862</v>
      </c>
      <c r="DI116" s="50">
        <f t="shared" si="139"/>
        <v>0.3046859714341616</v>
      </c>
      <c r="DJ116" s="50">
        <f t="shared" si="140"/>
        <v>0.37162492662883978</v>
      </c>
      <c r="DL116" s="14">
        <f t="shared" si="211"/>
        <v>14103</v>
      </c>
      <c r="DM116" s="14">
        <f t="shared" si="212"/>
        <v>17948</v>
      </c>
      <c r="DN116" s="14">
        <f t="shared" si="213"/>
        <v>21812</v>
      </c>
      <c r="DO116" s="14">
        <f t="shared" si="214"/>
        <v>31165</v>
      </c>
      <c r="DP116" s="14">
        <f t="shared" si="215"/>
        <v>40888</v>
      </c>
      <c r="DQ116" s="14">
        <f t="shared" si="216"/>
        <v>983362</v>
      </c>
      <c r="DT116" s="14">
        <f t="shared" si="210"/>
        <v>235575</v>
      </c>
      <c r="DU116" s="50">
        <f t="shared" si="112"/>
        <v>0.19326265426350991</v>
      </c>
      <c r="DW116" s="14">
        <f t="shared" si="141"/>
        <v>1218937</v>
      </c>
      <c r="EB116" s="14">
        <v>111</v>
      </c>
      <c r="EC116" s="51">
        <f t="shared" si="142"/>
        <v>17102</v>
      </c>
      <c r="ED116" s="51">
        <f t="shared" si="143"/>
        <v>1467</v>
      </c>
      <c r="EE116" s="51">
        <f>INT(SUMPRODUCT($N116:$R116,$BF116:$BJ116)/SUM($BF116:$BJ116)/10000*$BX$7*$BZ$46/'疲劳值&amp;地图信息'!$R$10*$BY$53)</f>
        <v>397</v>
      </c>
      <c r="EF116" s="50">
        <f t="shared" si="144"/>
        <v>0.90171886533797319</v>
      </c>
      <c r="EG116" s="50">
        <f t="shared" si="145"/>
        <v>7.7348940208794681E-2</v>
      </c>
      <c r="EH116" s="50">
        <f t="shared" si="146"/>
        <v>2.0932194453232099E-2</v>
      </c>
      <c r="EI116" s="51">
        <f t="shared" si="147"/>
        <v>18268</v>
      </c>
      <c r="EJ116" s="51">
        <f t="shared" si="148"/>
        <v>2391</v>
      </c>
      <c r="EK116" s="14">
        <f>INT(SUMPRODUCT($U116:$Y116,$BF116:$BJ116)/SUM($BF116:$BJ116)/10000*$BX$7*$BZ$46/'疲劳值&amp;地图信息'!$R$10*$BY$54)</f>
        <v>745</v>
      </c>
      <c r="EL116" s="50">
        <f t="shared" si="149"/>
        <v>0.85348532984488878</v>
      </c>
      <c r="EM116" s="50">
        <f t="shared" si="150"/>
        <v>0.11170809194543076</v>
      </c>
      <c r="EN116" s="50">
        <f t="shared" si="151"/>
        <v>3.480657820968043E-2</v>
      </c>
      <c r="EO116" s="51">
        <f t="shared" si="152"/>
        <v>19625</v>
      </c>
      <c r="EP116" s="51">
        <f t="shared" si="153"/>
        <v>4152</v>
      </c>
      <c r="EQ116" s="14">
        <f>INT(SUMPRODUCT($AB116:$AF116,$BF116:$BJ116)/SUM($BF116:$BJ116)/10000*$BX$7*$BZ$46/'疲劳值&amp;地图信息'!$R$10*$BY$55)</f>
        <v>1011</v>
      </c>
      <c r="ER116" s="50">
        <f t="shared" si="154"/>
        <v>0.79171373245118604</v>
      </c>
      <c r="ES116" s="50">
        <f t="shared" si="155"/>
        <v>0.16750040342101016</v>
      </c>
      <c r="ET116" s="50">
        <f t="shared" si="156"/>
        <v>4.0785864127803773E-2</v>
      </c>
      <c r="EU116" s="51">
        <f t="shared" si="157"/>
        <v>22364</v>
      </c>
      <c r="EV116" s="51">
        <f t="shared" si="158"/>
        <v>10617</v>
      </c>
      <c r="EW116" s="14">
        <f>INT(SUMPRODUCT($AI116:$AM116,$BF116:$BJ116)/SUM($BF116:$BJ116)/10000*$BX$7*$BZ$46/'疲劳值&amp;地图信息'!$R$10*$BY$56)</f>
        <v>1517</v>
      </c>
      <c r="EX116" s="50">
        <f t="shared" si="159"/>
        <v>0.64826946489651571</v>
      </c>
      <c r="EY116" s="50">
        <f t="shared" si="160"/>
        <v>0.30775697141863295</v>
      </c>
      <c r="EZ116" s="50">
        <f t="shared" si="161"/>
        <v>4.3973563684851294E-2</v>
      </c>
      <c r="FA116" s="51">
        <f t="shared" si="162"/>
        <v>22059</v>
      </c>
      <c r="FB116" s="51">
        <f t="shared" si="163"/>
        <v>20764</v>
      </c>
      <c r="FC116" s="14">
        <f>INT(SUMPRODUCT($AP116:$AT116,$BF116:$BJ116)/SUM($BF116:$BJ116)/10000*$BX$7*$BZ$46/'疲劳值&amp;地图信息'!$R$10*$BY$57)</f>
        <v>2023</v>
      </c>
      <c r="FD116" s="50">
        <f t="shared" si="164"/>
        <v>0.49188333407661777</v>
      </c>
      <c r="FE116" s="50">
        <f t="shared" si="165"/>
        <v>0.46300673415689247</v>
      </c>
      <c r="FF116" s="50">
        <f t="shared" si="166"/>
        <v>4.5109931766489766E-2</v>
      </c>
      <c r="FH116" s="14">
        <f t="shared" si="167"/>
        <v>18966</v>
      </c>
      <c r="FI116" s="14">
        <f t="shared" si="168"/>
        <v>21404</v>
      </c>
      <c r="FJ116" s="14">
        <f t="shared" si="169"/>
        <v>24788</v>
      </c>
      <c r="FK116" s="14">
        <f t="shared" si="170"/>
        <v>34498</v>
      </c>
      <c r="FL116" s="14">
        <f t="shared" si="171"/>
        <v>44846</v>
      </c>
      <c r="FM116" s="14">
        <f t="shared" si="172"/>
        <v>2216616</v>
      </c>
      <c r="FP116" s="14">
        <f t="shared" si="173"/>
        <v>334150</v>
      </c>
      <c r="FQ116" s="50">
        <f t="shared" si="113"/>
        <v>0.13099986435447233</v>
      </c>
      <c r="FS116" s="14">
        <f t="shared" si="174"/>
        <v>2550766</v>
      </c>
      <c r="FX116" s="14">
        <v>111</v>
      </c>
      <c r="FY116" s="51">
        <f t="shared" si="175"/>
        <v>23943</v>
      </c>
      <c r="FZ116" s="51">
        <f t="shared" si="176"/>
        <v>1467</v>
      </c>
      <c r="GA116" s="51">
        <f>INT(SUMPRODUCT($N116:$R116,$BF116:$BJ116)/SUM($BF116:$BJ116)/10000*$BX$7*$BZ$46/'疲劳值&amp;地图信息'!$R$10*$BY$53)</f>
        <v>397</v>
      </c>
      <c r="GB116" s="50">
        <f t="shared" si="177"/>
        <v>0.92777153485488428</v>
      </c>
      <c r="GC116" s="50">
        <f t="shared" si="178"/>
        <v>5.6845042042856592E-2</v>
      </c>
      <c r="GD116" s="50">
        <f t="shared" si="179"/>
        <v>1.5383423102259076E-2</v>
      </c>
      <c r="GE116" s="51">
        <f t="shared" si="180"/>
        <v>25575</v>
      </c>
      <c r="GF116" s="51">
        <f t="shared" si="181"/>
        <v>2391</v>
      </c>
      <c r="GG116" s="14">
        <f>INT(SUMPRODUCT($U116:$Y116,$BF116:$BJ116)/SUM($BF116:$BJ116)/10000*$BX$7*$BZ$46/'疲劳值&amp;地图信息'!$R$10*$BY$54)</f>
        <v>745</v>
      </c>
      <c r="GH116" s="50">
        <f t="shared" si="182"/>
        <v>0.89077357110515132</v>
      </c>
      <c r="GI116" s="50">
        <f t="shared" si="183"/>
        <v>8.3278186061091566E-2</v>
      </c>
      <c r="GJ116" s="50">
        <f t="shared" si="184"/>
        <v>2.5948242833757098E-2</v>
      </c>
      <c r="GK116" s="51">
        <f t="shared" si="185"/>
        <v>27476</v>
      </c>
      <c r="GL116" s="51">
        <f t="shared" si="186"/>
        <v>4152</v>
      </c>
      <c r="GM116" s="14">
        <f>INT(SUMPRODUCT($AB116:$AF116,$BF116:$BJ116)/SUM($BF116:$BJ116)/10000*$BX$7*$BZ$46/'疲劳值&amp;地图信息'!$R$10*$BY$55)</f>
        <v>1011</v>
      </c>
      <c r="GN116" s="50">
        <f t="shared" si="187"/>
        <v>0.84181500658721164</v>
      </c>
      <c r="GO116" s="50">
        <f t="shared" si="188"/>
        <v>0.12720977971138822</v>
      </c>
      <c r="GP116" s="50">
        <f t="shared" si="189"/>
        <v>3.0975213701400165E-2</v>
      </c>
      <c r="GQ116" s="51">
        <f t="shared" si="190"/>
        <v>31310</v>
      </c>
      <c r="GR116" s="51">
        <f t="shared" si="191"/>
        <v>10617</v>
      </c>
      <c r="GS116" s="14">
        <f>INT(SUMPRODUCT($AI116:$AM116,$BF116:$BJ116)/SUM($BF116:$BJ116)/10000*$BX$7*$BZ$46/'疲劳值&amp;地图信息'!$R$10*$BY$56)</f>
        <v>1517</v>
      </c>
      <c r="GT116" s="50">
        <f t="shared" si="192"/>
        <v>0.72069790995304295</v>
      </c>
      <c r="GU116" s="50">
        <f t="shared" si="193"/>
        <v>0.24438357425651414</v>
      </c>
      <c r="GV116" s="50">
        <f t="shared" si="194"/>
        <v>3.4918515790442868E-2</v>
      </c>
      <c r="GW116" s="51">
        <f t="shared" si="195"/>
        <v>30883</v>
      </c>
      <c r="GX116" s="51">
        <f t="shared" si="196"/>
        <v>20764</v>
      </c>
      <c r="GY116" s="14">
        <f>INT(SUMPRODUCT($AP116:$AT116,$BF116:$BJ116)/SUM($BF116:$BJ116)/10000*$BX$7*$BZ$46/'疲劳值&amp;地图信息'!$R$10*$BY$57)</f>
        <v>2023</v>
      </c>
      <c r="GZ116" s="50">
        <f t="shared" si="197"/>
        <v>0.57542388671511091</v>
      </c>
      <c r="HA116" s="50">
        <f t="shared" si="198"/>
        <v>0.3868828023104155</v>
      </c>
      <c r="HB116" s="50">
        <f t="shared" si="199"/>
        <v>3.7693310974473634E-2</v>
      </c>
      <c r="HD116" s="14">
        <f t="shared" si="200"/>
        <v>25807</v>
      </c>
      <c r="HE116" s="14">
        <f t="shared" si="201"/>
        <v>28711</v>
      </c>
      <c r="HF116" s="14">
        <f t="shared" si="202"/>
        <v>32639</v>
      </c>
      <c r="HG116" s="14">
        <f t="shared" si="203"/>
        <v>43444</v>
      </c>
      <c r="HH116" s="14">
        <f t="shared" si="204"/>
        <v>53670</v>
      </c>
      <c r="HI116" s="14">
        <f t="shared" si="205"/>
        <v>2970215</v>
      </c>
      <c r="HL116" s="14">
        <f t="shared" si="206"/>
        <v>430050</v>
      </c>
      <c r="HM116" s="50">
        <f t="shared" si="114"/>
        <v>0.1264754364733337</v>
      </c>
      <c r="HO116" s="14">
        <f t="shared" si="207"/>
        <v>3400265</v>
      </c>
    </row>
    <row r="117" spans="11:223" x14ac:dyDescent="0.2">
      <c r="K117" s="14">
        <v>112</v>
      </c>
      <c r="L117" s="12">
        <f>求节点(节奏总纲!D$4:D$163,标准城池设计!AB$4:AB$163,$K117)*求节点(节奏总纲!D$4:D$163,攻城基础信息!$AC$5:$AC$164,$K117)</f>
        <v>505352.45752232883</v>
      </c>
      <c r="M117" s="12">
        <f>INDEX(其他调用!$AA$5:$AA$404,MATCH(K117,其他调用!$X$5:$X$404,0))*MIN(INDEX(其他调用!$AH$5:$AH$364,MATCH('征服点（新）'!K117,其他调用!$AG$5:$AG$364,0),1)/INDEX(其他调用!$AJ$5:$AJ$364,MATCH(K117,其他调用!$AG$5:$AG$364,0),0),5)*求节点(节奏总纲!D$4:D$163,攻城基础信息!$AC$5:$AC$164,$K117)</f>
        <v>43296.118948080642</v>
      </c>
      <c r="N117" s="12">
        <f>MIN(INDEX(其他调用!$AH$5:$AH$364,MATCH($K117,其他调用!$AG$5:$AG$364,0),1)/INDEX(其他调用!AH$5:AH$364,MATCH($K117,其他调用!$AG$5:$AG$364,0),0),1)*INDEX(其他调用!Y$5:Y$404,MATCH($K117,其他调用!$X$5:$X$404,0),0)</f>
        <v>36793.898982923871</v>
      </c>
      <c r="O117" s="12">
        <f>MIN(INDEX(其他调用!$AH$5:$AH$364,MATCH($K117,其他调用!$AG$5:$AG$364,0),1)/INDEX(其他调用!AI$5:AI$364,MATCH($K117,其他调用!$AG$5:$AG$364,0),0),1)*INDEX(其他调用!Z$5:Z$404,MATCH($K117,其他调用!$X$5:$X$404,0),0)</f>
        <v>23265.349811468834</v>
      </c>
      <c r="P117" s="12">
        <f>MIN(INDEX(其他调用!$AH$5:$AH$364,MATCH($K117,其他调用!$AG$5:$AG$364,0),1)/INDEX(其他调用!AJ$5:AJ$364,MATCH($K117,其他调用!$AG$5:$AG$364,0),0),1)*INDEX(其他调用!AA$5:AA$404,MATCH($K117,其他调用!$X$5:$X$404,0),0)</f>
        <v>13937.080321791957</v>
      </c>
      <c r="Q117" s="12">
        <f>MIN(INDEX(其他调用!$AH$5:$AH$364,MATCH($K117,其他调用!$AG$5:$AG$364,0),1)/INDEX(其他调用!AK$5:AK$364,MATCH($K117,其他调用!$AG$5:$AG$364,0),0),1)*INDEX(其他调用!AB$5:AB$404,MATCH($K117,其他调用!$X$5:$X$404,0),0)</f>
        <v>5739.9711266755021</v>
      </c>
      <c r="R117" s="12">
        <f>MIN(INDEX(其他调用!$AH$5:$AH$364,MATCH($K117,其他调用!$AG$5:$AG$364,0),1)/INDEX(其他调用!AL$5:AL$364,MATCH($K117,其他调用!$AG$5:$AG$364,0),0),1)*INDEX(其他调用!AC$5:AC$404,MATCH($K117,其他调用!$X$5:$X$404,0),0)</f>
        <v>1791.9529601015236</v>
      </c>
      <c r="S117" s="12">
        <f>求节点(节奏总纲!D$4:D$163,标准城池设计!AC$4:AC$163,$K117)*求节点(节奏总纲!D$4:D$163,攻城基础信息!$AD$5:$AD$164,$K117)</f>
        <v>540019.42281063553</v>
      </c>
      <c r="T117" s="12">
        <f>INDEX(其他调用!$AA$5:$AA$404,MATCH($K117,其他调用!$X$5:$X$404,0))*MIN(INDEX(其他调用!AI$5:AI$364,MATCH($K117,其他调用!$AG$5:$AG$364,0),1)/INDEX(其他调用!$AJ$5:$AJ$364,MATCH($K117,其他调用!$AG$5:$AG$364,0),0),5)*求节点(节奏总纲!D$4:D$163,攻城基础信息!$AD$5:$AD$164,$K117)</f>
        <v>70608.077318758558</v>
      </c>
      <c r="U117" s="12">
        <f>MIN(INDEX(其他调用!$AI$5:$AI$364,MATCH($K117,其他调用!$AG$5:$AG$364,0),1)/INDEX(其他调用!AH$5:AH$364,MATCH($K117,其他调用!$AG$5:$AG$364,0),0),1)*INDEX(其他调用!Y$5:Y$404,MATCH($K117,其他调用!$X$5:$X$404,0),0)</f>
        <v>36793.898982923871</v>
      </c>
      <c r="V117" s="12">
        <f>MIN(INDEX(其他调用!$AI$5:$AI$364,MATCH($K117,其他调用!$AG$5:$AG$364,0),1)/INDEX(其他调用!AI$5:AI$364,MATCH($K117,其他调用!$AG$5:$AG$364,0),0),1)*INDEX(其他调用!Z$5:Z$404,MATCH($K117,其他调用!$X$5:$X$404,0),0)</f>
        <v>37941.544375052574</v>
      </c>
      <c r="W117" s="12">
        <f>MIN(INDEX(其他调用!$AI$5:$AI$364,MATCH($K117,其他调用!$AG$5:$AG$364,0),1)/INDEX(其他调用!AJ$5:AJ$364,MATCH($K117,其他调用!$AG$5:$AG$364,0),0),1)*INDEX(其他调用!AA$5:AA$404,MATCH($K117,其他调用!$X$5:$X$404,0),0)</f>
        <v>22728.837338489888</v>
      </c>
      <c r="X117" s="12">
        <f>MIN(INDEX(其他调用!$AI$5:$AI$364,MATCH($K117,其他调用!$AG$5:$AG$364,0),1)/INDEX(其他调用!AK$5:AK$364,MATCH($K117,其他调用!$AG$5:$AG$364,0),0),1)*INDEX(其他调用!AB$5:AB$404,MATCH($K117,其他调用!$X$5:$X$404,0),0)</f>
        <v>9360.8465369783989</v>
      </c>
      <c r="Y117" s="12">
        <f>MIN(INDEX(其他调用!$AI$5:$AI$364,MATCH($K117,其他调用!$AG$5:$AG$364,0),1)/INDEX(其他调用!AL$5:AL$364,MATCH($K117,其他调用!$AG$5:$AG$364,0),0),1)*INDEX(其他调用!AC$5:AC$404,MATCH($K117,其他调用!$X$5:$X$404,0),0)</f>
        <v>2922.3486130512788</v>
      </c>
      <c r="Z117" s="12">
        <f>求节点(节奏总纲!D$4:D$163,标准城池设计!AD$4:AD$163,$K117)*求节点(节奏总纲!D$4:D$163,攻城基础信息!$AE$5:$AE$164,$K117)</f>
        <v>580291.33153689536</v>
      </c>
      <c r="AA117" s="12">
        <f>INDEX(其他调用!$AA$5:$AA$404,MATCH($K117,其他调用!$X$5:$X$404,0))*MIN(INDEX(其他调用!AJ$5:AJ$364,MATCH($K117,其他调用!$AG$5:$AG$364,0),1)/INDEX(其他调用!$AJ$5:$AJ$364,MATCH($K117,其他调用!$AG$5:$AG$364,0),0),5)*求节点(节奏总纲!D$4:D$163,攻城基础信息!$AE$5:$AE$164,$K117)</f>
        <v>122571.5855597612</v>
      </c>
      <c r="AB117" s="12">
        <f>MIN(INDEX(其他调用!$AJ$5:$AJ$364,MATCH($K117,其他调用!$AG$5:$AG$364,0),1)/INDEX(其他调用!AH$5:AH$364,MATCH($K117,其他调用!$AG$5:$AG$364,0),0),1)*INDEX(其他调用!Y$5:Y$404,MATCH($K117,其他调用!$X$5:$X$404,0),0)</f>
        <v>36793.898982923871</v>
      </c>
      <c r="AC117" s="12">
        <f>MIN(INDEX(其他调用!$AJ$5:$AJ$364,MATCH($K117,其他调用!$AG$5:$AG$364,0),1)/INDEX(其他调用!AI$5:AI$364,MATCH($K117,其他调用!$AG$5:$AG$364,0),0),1)*INDEX(其他调用!Z$5:Z$404,MATCH($K117,其他调用!$X$5:$X$404,0),0)</f>
        <v>37941.544375052574</v>
      </c>
      <c r="AD117" s="12">
        <f>MIN(INDEX(其他调用!$AJ$5:$AJ$364,MATCH($K117,其他调用!$AG$5:$AG$364,0),1)/INDEX(其他调用!AJ$5:AJ$364,MATCH($K117,其他调用!$AG$5:$AG$364,0),0),1)*INDEX(其他调用!AA$5:AA$404,MATCH($K117,其他调用!$X$5:$X$404,0),0)</f>
        <v>39455.962211400867</v>
      </c>
      <c r="AE117" s="12">
        <f>MIN(INDEX(其他调用!$AJ$5:$AJ$364,MATCH($K117,其他调用!$AG$5:$AG$364,0),1)/INDEX(其他调用!AK$5:AK$364,MATCH($K117,其他调用!$AG$5:$AG$364,0),0),1)*INDEX(其他调用!AB$5:AB$404,MATCH($K117,其他调用!$X$5:$X$404,0),0)</f>
        <v>16249.894428356254</v>
      </c>
      <c r="AF117" s="12">
        <f>MIN(INDEX(其他调用!$AJ$5:$AJ$364,MATCH($K117,其他调用!$AG$5:$AG$364,0),1)/INDEX(其他调用!AL$5:AL$364,MATCH($K117,其他调用!$AG$5:$AG$364,0),0),1)*INDEX(其他调用!AC$5:AC$404,MATCH($K117,其他调用!$X$5:$X$404,0),0)</f>
        <v>5073.0301215113468</v>
      </c>
      <c r="AG117" s="12">
        <f>求节点(节奏总纲!D$4:D$163,标准城池设计!AE$4:AE$163,$K117)*求节点(节奏总纲!D$4:D$163,攻城基础信息!$AF$5:$AF$164,$K117)</f>
        <v>661265.22384204424</v>
      </c>
      <c r="AH117" s="12">
        <f>INDEX(其他调用!$AA$5:$AA$404,MATCH($K117,其他调用!$X$5:$X$404,0))*MIN(INDEX(其他调用!AK$5:AK$364,MATCH($K117,其他调用!$AG$5:$AG$364,0),1)/INDEX(其他调用!$AJ$5:$AJ$364,MATCH($K117,其他调用!$AG$5:$AG$364,0),0),5)*求节点(节奏总纲!D$4:D$163,攻城基础信息!$AF$5:$AF$164,$K117)</f>
        <v>313981.55552023556</v>
      </c>
      <c r="AI117" s="12">
        <f>MIN(INDEX(其他调用!$AK$5:$AK$364,MATCH($K117,其他调用!$AG$5:$AG$364,0),1)/INDEX(其他调用!AH$5:AH$364,MATCH($K117,其他调用!$AG$5:$AG$364,0),0),1)*INDEX(其他调用!Y$5:Y$404,MATCH($K117,其他调用!$X$5:$X$404,0),0)</f>
        <v>36793.898982923871</v>
      </c>
      <c r="AJ117" s="12">
        <f>MIN(INDEX(其他调用!$AK$5:$AK$364,MATCH($K117,其他调用!$AG$5:$AG$364,0),1)/INDEX(其他调用!AI$5:AI$364,MATCH($K117,其他调用!$AG$5:$AG$364,0),0),1)*INDEX(其他调用!Z$5:Z$404,MATCH($K117,其他调用!$X$5:$X$404,0),0)</f>
        <v>37941.544375052574</v>
      </c>
      <c r="AK117" s="12">
        <f>MIN(INDEX(其他调用!$AK$5:$AK$364,MATCH($K117,其他调用!$AG$5:$AG$364,0),1)/INDEX(其他调用!AJ$5:AJ$364,MATCH($K117,其他调用!$AG$5:$AG$364,0),0),1)*INDEX(其他调用!AA$5:AA$404,MATCH($K117,其他调用!$X$5:$X$404,0),0)</f>
        <v>39455.962211400867</v>
      </c>
      <c r="AL117" s="12">
        <f>MIN(INDEX(其他调用!$AK$5:$AK$364,MATCH($K117,其他调用!$AG$5:$AG$364,0),1)/INDEX(其他调用!AK$5:AK$364,MATCH($K117,其他调用!$AG$5:$AG$364,0),0),1)*INDEX(其他调用!AB$5:AB$404,MATCH($K117,其他调用!$X$5:$X$404,0),0)</f>
        <v>41626.018839148368</v>
      </c>
      <c r="AM117" s="12">
        <f>MIN(INDEX(其他调用!$AK$5:$AK$364,MATCH($K117,其他调用!$AG$5:$AG$364,0),1)/INDEX(其他调用!AL$5:AL$364,MATCH($K117,其他调用!$AG$5:$AG$364,0),0),1)*INDEX(其他调用!AC$5:AC$404,MATCH($K117,其他调用!$X$5:$X$404,0),0)</f>
        <v>12995.164266489281</v>
      </c>
      <c r="AN117" s="12">
        <f>求节点(节奏总纲!D$4:D$163,标准城池设计!AF$4:AF$163,$K117)*求节点(节奏总纲!D$4:D$163,攻城基础信息!$AG$5:$AG$164,$K117)</f>
        <v>652364.78384338657</v>
      </c>
      <c r="AO117" s="12">
        <f>INDEX(其他调用!$AA$5:$AA$404,MATCH($K117,其他调用!$X$5:$X$404,0))*MIN(INDEX(其他调用!AL$5:AL$364,MATCH($K117,其他调用!$AG$5:$AG$364,0),1)/INDEX(其他调用!$AJ$5:$AJ$364,MATCH($K117,其他调用!$AG$5:$AG$364,0),0),5)*求节点(节奏总纲!D$4:D$163,攻城基础信息!$AG$5:$AG$164,$K117)</f>
        <v>612857.92779880599</v>
      </c>
      <c r="AP117" s="12">
        <f>MIN(INDEX(其他调用!$AL$5:$AL$364,MATCH($K117,其他调用!$AG$5:$AG$364,0),1)/INDEX(其他调用!AH$5:AH$364,MATCH($K117,其他调用!$AG$5:$AG$364,0),0),1)*INDEX(其他调用!Y$5:Y$404,MATCH($K117,其他调用!$X$5:$X$404,0),0)</f>
        <v>36793.898982923871</v>
      </c>
      <c r="AQ117" s="12">
        <f>MIN(INDEX(其他调用!$AL$5:$AL$364,MATCH($K117,其他调用!$AG$5:$AG$364,0),1)/INDEX(其他调用!AI$5:AI$364,MATCH($K117,其他调用!$AG$5:$AG$364,0),0),1)*INDEX(其他调用!Z$5:Z$404,MATCH($K117,其他调用!$X$5:$X$404,0),0)</f>
        <v>37941.544375052574</v>
      </c>
      <c r="AR117" s="12">
        <f>MIN(INDEX(其他调用!$AL$5:$AL$364,MATCH($K117,其他调用!$AG$5:$AG$364,0),1)/INDEX(其他调用!AJ$5:AJ$364,MATCH($K117,其他调用!$AG$5:$AG$364,0),0),1)*INDEX(其他调用!AA$5:AA$404,MATCH($K117,其他调用!$X$5:$X$404,0),0)</f>
        <v>39455.962211400867</v>
      </c>
      <c r="AS117" s="12">
        <f>MIN(INDEX(其他调用!$AL$5:$AL$364,MATCH($K117,其他调用!$AG$5:$AG$364,0),1)/INDEX(其他调用!AK$5:AK$364,MATCH($K117,其他调用!$AG$5:$AG$364,0),0),1)*INDEX(其他调用!AB$5:AB$404,MATCH($K117,其他调用!$X$5:$X$404,0),0)</f>
        <v>41626.018839148368</v>
      </c>
      <c r="AT117" s="12">
        <f>MIN(INDEX(其他调用!$AL$5:$AL$364,MATCH($K117,其他调用!$AG$5:$AG$364,0),1)/INDEX(其他调用!AL$5:AL$364,MATCH($K117,其他调用!$AG$5:$AG$364,0),0),1)*INDEX(其他调用!AC$5:AC$404,MATCH($K117,其他调用!$X$5:$X$404,0),0)</f>
        <v>45503.930665039014</v>
      </c>
      <c r="AV117" s="14">
        <f>IF(OR(AV$5="大R",AV$5="超R"),MAX(INDEX(其他调用!$H$5:$L$404,MATCH($K117,其他调用!$B$5:$B$404,0),MATCH(AV$5,其他调用!$H$4:$L$4,0))*120*0.85,2),INDEX(其他调用!$H$5:$L$404,MATCH($K117,其他调用!$B$5:$B$404,0),MATCH(AV$5,其他调用!$H$4:$L$4,0))*120*0.85)</f>
        <v>48.921801254999991</v>
      </c>
      <c r="AW117" s="14">
        <f>IF(OR(AW$5="大R",AW$5="超R"),MAX(INDEX(其他调用!$H$5:$L$404,MATCH($K117,其他调用!$B$5:$B$404,0),MATCH(AW$5,其他调用!$H$4:$L$4,0))*120*0.85,2),INDEX(其他调用!$H$5:$L$404,MATCH($K117,其他调用!$B$5:$B$404,0),MATCH(AW$5,其他调用!$H$4:$L$4,0))*120*0.85)</f>
        <v>48.237344010638395</v>
      </c>
      <c r="AX117" s="14">
        <f>IF(OR(AX$5="大R",AX$5="超R"),MAX(INDEX(其他调用!$H$5:$L$404,MATCH($K117,其他调用!$B$5:$B$404,0),MATCH(AX$5,其他调用!$H$4:$L$4,0))*120*0.85,2),INDEX(其他调用!$H$5:$L$404,MATCH($K117,其他调用!$B$5:$B$404,0),MATCH(AX$5,其他调用!$H$4:$L$4,0))*120*0.85)</f>
        <v>3.9376284143615998</v>
      </c>
      <c r="AY117" s="14">
        <f>IF(OR(AY$5="大R",AY$5="超R"),MAX(INDEX(其他调用!$H$5:$L$404,MATCH($K117,其他调用!$B$5:$B$404,0),MATCH(AY$5,其他调用!$H$4:$L$4,0))*120*0.85,2),INDEX(其他调用!$H$5:$L$404,MATCH($K117,其他调用!$B$5:$B$404,0),MATCH(AY$5,其他调用!$H$4:$L$4,0))*120*0.85)</f>
        <v>2</v>
      </c>
      <c r="AZ117" s="14">
        <f>IF(OR(AZ$5="大R",AZ$5="超R"),MAX(INDEX(其他调用!$H$5:$L$404,MATCH($K117,其他调用!$B$5:$B$404,0),MATCH(AZ$5,其他调用!$H$4:$L$4,0))*120*0.85,2),INDEX(其他调用!$H$5:$L$404,MATCH($K117,其他调用!$B$5:$B$404,0),MATCH(AZ$5,其他调用!$H$4:$L$4,0))*120*0.85)</f>
        <v>2</v>
      </c>
      <c r="BA117" s="14">
        <f>INDEX(其他调用!$H$5:$L$404,MATCH($K117,其他调用!$B$5:$B$404,0),MATCH(BA$5,其他调用!$H$4:$L$4,0))*INDEX(其他调用!$M$5:$M$404,MATCH($K117,其他调用!$B$5:$B$404,0))*0.6</f>
        <v>28.777530149999997</v>
      </c>
      <c r="BB117" s="14">
        <f>INDEX(其他调用!$H$5:$L$404,MATCH($K117,其他调用!$B$5:$B$404,0),MATCH(BB$5,其他调用!$H$4:$L$4,0))*INDEX(其他调用!$M$5:$M$404,MATCH($K117,其他调用!$B$5:$B$404,0))*0.6</f>
        <v>28.374908241551999</v>
      </c>
      <c r="BC117" s="14">
        <f>INDEX(其他调用!$H$5:$L$404,MATCH($K117,其他调用!$B$5:$B$404,0),MATCH(BC$5,其他调用!$H$4:$L$4,0))*INDEX(其他调用!$M$5:$M$404,MATCH($K117,其他调用!$B$5:$B$404,0))*0.6</f>
        <v>2.3162520084480001</v>
      </c>
      <c r="BD117" s="14">
        <f>INDEX(其他调用!$H$5:$L$404,MATCH($K117,其他调用!$B$5:$B$404,0),MATCH(BD$5,其他调用!$H$4:$L$4,0))*INDEX(其他调用!$M$5:$M$404,MATCH($K117,其他调用!$B$5:$B$404,0))*0.6</f>
        <v>0.4120776000000001</v>
      </c>
      <c r="BE117" s="14">
        <f>INDEX(其他调用!$H$5:$L$404,MATCH($K117,其他调用!$B$5:$B$404,0),MATCH(BE$5,其他调用!$H$4:$L$4,0))*INDEX(其他调用!$M$5:$M$404,MATCH($K117,其他调用!$B$5:$B$404,0))*0.6</f>
        <v>0.11923199999999998</v>
      </c>
      <c r="BF117" s="14">
        <f>IF(OR(BF$5="大R",BF$5="超R"),0,INDEX(其他调用!$H$5:$L$404,MATCH($K117,其他调用!$B$5:$B$404,0),MATCH(BF$5,其他调用!$H$4:$L$4,0))*50*0.4)</f>
        <v>9.5925100500000013</v>
      </c>
      <c r="BG117" s="14">
        <f>IF(OR(BG$5="大R",BG$5="超R"),0,INDEX(其他调用!$H$5:$L$404,MATCH($K117,其他调用!$B$5:$B$404,0),MATCH(BG$5,其他调用!$H$4:$L$4,0))*50*0.4)</f>
        <v>9.4583027471839998</v>
      </c>
      <c r="BH117" s="14">
        <f>IF(OR(BH$5="大R",BH$5="超R"),0,INDEX(其他调用!$H$5:$L$404,MATCH($K117,其他调用!$B$5:$B$404,0),MATCH(BH$5,其他调用!$H$4:$L$4,0))*50*0.4)</f>
        <v>0.77208400281600009</v>
      </c>
      <c r="BI117" s="14">
        <f>IF(OR(BI$5="大R",BI$5="超R"),0,INDEX(其他调用!$H$5:$L$404,MATCH($K117,其他调用!$B$5:$B$404,0),MATCH(BI$5,其他调用!$H$4:$L$4,0))*50*0.4)</f>
        <v>0</v>
      </c>
      <c r="BJ117" s="14">
        <f>IF(OR(BJ$5="大R",BJ$5="超R"),0,INDEX(其他调用!$H$5:$L$404,MATCH($K117,其他调用!$B$5:$B$404,0),MATCH(BJ$5,其他调用!$H$4:$L$4,0))*50*0.4)</f>
        <v>0</v>
      </c>
      <c r="BL117" s="14">
        <f t="shared" si="208"/>
        <v>112</v>
      </c>
      <c r="BM117" s="14">
        <f t="shared" si="115"/>
        <v>96</v>
      </c>
      <c r="BN117" s="14">
        <f>('疲劳值&amp;地图信息'!$S$10*'疲劳值&amp;地图信息'!$R$10+'疲劳值&amp;地图信息'!$S$11*'疲劳值&amp;地图信息'!$R$11+'疲劳值&amp;地图信息'!$S$12*'疲劳值&amp;地图信息'!$R$12+(BM117-'疲劳值&amp;地图信息'!$S$12-'疲劳值&amp;地图信息'!$S$11-'疲劳值&amp;地图信息'!$S$10)*'疲劳值&amp;地图信息'!$R$13)/BM117</f>
        <v>51.371477246638619</v>
      </c>
      <c r="BO117" s="14">
        <f>INDEX(其他调用!$M$5:$M$404,MATCH(BL117,其他调用!$B$5:$B$404,0))*0.6</f>
        <v>60</v>
      </c>
      <c r="BP117" s="14">
        <f>IF(BO117&gt;SUM('疲劳值&amp;地图信息'!$S$10:$S$12),('疲劳值&amp;地图信息'!$S$10*'疲劳值&amp;地图信息'!$R$10+'疲劳值&amp;地图信息'!$S$11*'疲劳值&amp;地图信息'!$R$11+'疲劳值&amp;地图信息'!$S$12*'疲劳值&amp;地图信息'!$R$12+(BO117-'疲劳值&amp;地图信息'!$S$12-'疲劳值&amp;地图信息'!$S$11-'疲劳值&amp;地图信息'!$S$10)*'疲劳值&amp;地图信息'!$R$13)/BO117,('疲劳值&amp;地图信息'!$S$10*'疲劳值&amp;地图信息'!$R$10+'疲劳值&amp;地图信息'!$S$11*'疲劳值&amp;地图信息'!$R$11+'疲劳值&amp;地图信息'!$S$12*'疲劳值&amp;地图信息'!$R$12+(BO117-'疲劳值&amp;地图信息'!$S$12-'疲劳值&amp;地图信息'!$S$11-'疲劳值&amp;地图信息'!$S$10)*'疲劳值&amp;地图信息'!$R$13)/BO117)</f>
        <v>44.158136341605953</v>
      </c>
      <c r="BQ117" s="14">
        <f t="shared" si="209"/>
        <v>20</v>
      </c>
      <c r="BR117" s="14">
        <f>('疲劳值&amp;地图信息'!$S$10*'疲劳值&amp;地图信息'!$R$10+($BQ117-'疲劳值&amp;地图信息'!$S$10)*'疲劳值&amp;地图信息'!$R$11)/$BQ117</f>
        <v>32.067203015074995</v>
      </c>
      <c r="CF117" s="14">
        <v>112</v>
      </c>
      <c r="CG117" s="51">
        <f t="shared" si="116"/>
        <v>10299</v>
      </c>
      <c r="CH117" s="51">
        <f t="shared" si="117"/>
        <v>882</v>
      </c>
      <c r="CI117" s="51">
        <f>INT(SUMPRODUCT($N117:$R117,$BA117:$BE117)/SUM($BA117:$BE117)/10000*$BX$7*$BZ$34/'疲劳值&amp;地图信息'!$R$10*$BY$53)</f>
        <v>2965</v>
      </c>
      <c r="CJ117" s="50">
        <f t="shared" si="118"/>
        <v>0.72805033224939908</v>
      </c>
      <c r="CK117" s="50">
        <f t="shared" si="119"/>
        <v>6.2349780856779301E-2</v>
      </c>
      <c r="CL117" s="50">
        <f t="shared" si="120"/>
        <v>0.20959988689382159</v>
      </c>
      <c r="CM117" s="14">
        <f t="shared" si="121"/>
        <v>11006</v>
      </c>
      <c r="CN117" s="14">
        <f t="shared" si="122"/>
        <v>1439</v>
      </c>
      <c r="CO117" s="14">
        <f>INT(SUMPRODUCT($U117:$Y117,$BA117:$BE117)/SUM($BA117:$BE117)/10000*$BX$7*$BZ$34/'疲劳值&amp;地图信息'!$R$10*$BY$54)</f>
        <v>5561</v>
      </c>
      <c r="CP117" s="50">
        <f t="shared" si="123"/>
        <v>0.61124069754526267</v>
      </c>
      <c r="CQ117" s="50">
        <f t="shared" si="124"/>
        <v>7.9917805176052431E-2</v>
      </c>
      <c r="CR117" s="50">
        <f t="shared" si="125"/>
        <v>0.30884149727868487</v>
      </c>
      <c r="CS117" s="14">
        <f t="shared" si="126"/>
        <v>11827</v>
      </c>
      <c r="CT117" s="14">
        <f t="shared" si="127"/>
        <v>2498</v>
      </c>
      <c r="CU117" s="14">
        <f>INT(SUMPRODUCT($AB117:$AF117,$BA117:$BE117)/SUM($BA117:$BE117)/10000*$BX$7*$BZ$34/'疲劳值&amp;地图信息'!$R$10*$BY$55)</f>
        <v>7556</v>
      </c>
      <c r="CV117" s="50">
        <f t="shared" si="128"/>
        <v>0.54051460170924548</v>
      </c>
      <c r="CW117" s="50">
        <f t="shared" si="129"/>
        <v>0.11416297244184452</v>
      </c>
      <c r="CX117" s="50">
        <f t="shared" si="130"/>
        <v>0.34532242584890999</v>
      </c>
      <c r="CY117" s="14">
        <f t="shared" si="131"/>
        <v>13477</v>
      </c>
      <c r="CZ117" s="14">
        <f t="shared" si="132"/>
        <v>6399</v>
      </c>
      <c r="DA117" s="14">
        <f>INT(SUMPRODUCT($AI117:$AM117,$BA117:$BE117)/SUM($BA117:$BE117)/10000*$BX$7*$BZ$34/'疲劳值&amp;地图信息'!$R$10*$BY$56)</f>
        <v>11392</v>
      </c>
      <c r="DB117" s="50">
        <f t="shared" si="133"/>
        <v>0.4310157349366765</v>
      </c>
      <c r="DC117" s="50">
        <f t="shared" si="134"/>
        <v>0.20465012152999873</v>
      </c>
      <c r="DD117" s="50">
        <f t="shared" si="135"/>
        <v>0.36433414353332483</v>
      </c>
      <c r="DE117" s="14">
        <f t="shared" si="136"/>
        <v>13296</v>
      </c>
      <c r="DF117" s="14">
        <f t="shared" si="137"/>
        <v>12490</v>
      </c>
      <c r="DG117" s="14">
        <f>INT(SUMPRODUCT($AP117:$AT117,$BA117:$BE117)/SUM($BA117:$BE117)/10000*$BX$7*$BZ$34/'疲劳值&amp;地图信息'!$R$10*$BY$57)</f>
        <v>15216</v>
      </c>
      <c r="DH117" s="50">
        <f t="shared" si="138"/>
        <v>0.32427686454319299</v>
      </c>
      <c r="DI117" s="50">
        <f t="shared" si="139"/>
        <v>0.30461928686405543</v>
      </c>
      <c r="DJ117" s="50">
        <f t="shared" si="140"/>
        <v>0.37110384859275158</v>
      </c>
      <c r="DL117" s="14">
        <f t="shared" si="211"/>
        <v>14146</v>
      </c>
      <c r="DM117" s="14">
        <f t="shared" si="212"/>
        <v>18006</v>
      </c>
      <c r="DN117" s="14">
        <f t="shared" si="213"/>
        <v>21881</v>
      </c>
      <c r="DO117" s="14">
        <f t="shared" si="214"/>
        <v>31268</v>
      </c>
      <c r="DP117" s="14">
        <f t="shared" si="215"/>
        <v>41002</v>
      </c>
      <c r="DQ117" s="14">
        <f t="shared" si="216"/>
        <v>986461</v>
      </c>
      <c r="DT117" s="14">
        <f t="shared" si="210"/>
        <v>235575</v>
      </c>
      <c r="DU117" s="50">
        <f t="shared" si="112"/>
        <v>0.19277255334540064</v>
      </c>
      <c r="DW117" s="14">
        <f t="shared" si="141"/>
        <v>1222036</v>
      </c>
      <c r="EB117" s="14">
        <v>112</v>
      </c>
      <c r="EC117" s="51">
        <f t="shared" si="142"/>
        <v>17166</v>
      </c>
      <c r="ED117" s="51">
        <f t="shared" si="143"/>
        <v>1470</v>
      </c>
      <c r="EE117" s="51">
        <f>INT(SUMPRODUCT($N117:$R117,$BF117:$BJ117)/SUM($BF117:$BJ117)/10000*$BX$7*$BZ$46/'疲劳值&amp;地图信息'!$R$10*$BY$53)</f>
        <v>398</v>
      </c>
      <c r="EF117" s="50">
        <f t="shared" si="144"/>
        <v>0.90185982977829149</v>
      </c>
      <c r="EG117" s="50">
        <f t="shared" si="145"/>
        <v>7.7230219607019021E-2</v>
      </c>
      <c r="EH117" s="50">
        <f t="shared" si="146"/>
        <v>2.0909950614689504E-2</v>
      </c>
      <c r="EI117" s="51">
        <f t="shared" si="147"/>
        <v>18343</v>
      </c>
      <c r="EJ117" s="51">
        <f t="shared" si="148"/>
        <v>2398</v>
      </c>
      <c r="EK117" s="14">
        <f>INT(SUMPRODUCT($U117:$Y117,$BF117:$BJ117)/SUM($BF117:$BJ117)/10000*$BX$7*$BZ$46/'疲劳值&amp;地图信息'!$R$10*$BY$54)</f>
        <v>746</v>
      </c>
      <c r="EL117" s="50">
        <f t="shared" si="149"/>
        <v>0.85367896867873594</v>
      </c>
      <c r="EM117" s="50">
        <f t="shared" si="150"/>
        <v>0.11160236422022618</v>
      </c>
      <c r="EN117" s="50">
        <f t="shared" si="151"/>
        <v>3.4718667101037839E-2</v>
      </c>
      <c r="EO117" s="51">
        <f t="shared" si="152"/>
        <v>19711</v>
      </c>
      <c r="EP117" s="51">
        <f t="shared" si="153"/>
        <v>4163</v>
      </c>
      <c r="EQ117" s="14">
        <f>INT(SUMPRODUCT($AB117:$AF117,$BF117:$BJ117)/SUM($BF117:$BJ117)/10000*$BX$7*$BZ$46/'疲劳值&amp;地图信息'!$R$10*$BY$55)</f>
        <v>1013</v>
      </c>
      <c r="ER117" s="50">
        <f t="shared" si="154"/>
        <v>0.79201993008397964</v>
      </c>
      <c r="ES117" s="50">
        <f t="shared" si="155"/>
        <v>0.1672760879173866</v>
      </c>
      <c r="ET117" s="50">
        <f t="shared" si="156"/>
        <v>4.0703981998633822E-2</v>
      </c>
      <c r="EU117" s="51">
        <f t="shared" si="157"/>
        <v>22462</v>
      </c>
      <c r="EV117" s="51">
        <f t="shared" si="158"/>
        <v>10665</v>
      </c>
      <c r="EW117" s="14">
        <f>INT(SUMPRODUCT($AI117:$AM117,$BF117:$BJ117)/SUM($BF117:$BJ117)/10000*$BX$7*$BZ$46/'疲劳值&amp;地图信息'!$R$10*$BY$56)</f>
        <v>1519</v>
      </c>
      <c r="EX117" s="50">
        <f t="shared" si="159"/>
        <v>0.64832881140680021</v>
      </c>
      <c r="EY117" s="50">
        <f t="shared" si="160"/>
        <v>0.30782774346244879</v>
      </c>
      <c r="EZ117" s="50">
        <f t="shared" si="161"/>
        <v>4.3843445130751023E-2</v>
      </c>
      <c r="FA117" s="51">
        <f t="shared" si="162"/>
        <v>22160</v>
      </c>
      <c r="FB117" s="51">
        <f t="shared" si="163"/>
        <v>20818</v>
      </c>
      <c r="FC117" s="14">
        <f>INT(SUMPRODUCT($AP117:$AT117,$BF117:$BJ117)/SUM($BF117:$BJ117)/10000*$BX$7*$BZ$46/'疲劳值&amp;地图信息'!$R$10*$BY$57)</f>
        <v>2026</v>
      </c>
      <c r="FD117" s="50">
        <f t="shared" si="164"/>
        <v>0.49240067549551153</v>
      </c>
      <c r="FE117" s="50">
        <f t="shared" si="165"/>
        <v>0.4625811039018754</v>
      </c>
      <c r="FF117" s="50">
        <f t="shared" si="166"/>
        <v>4.5018220602613103E-2</v>
      </c>
      <c r="FH117" s="14">
        <f t="shared" si="167"/>
        <v>19034</v>
      </c>
      <c r="FI117" s="14">
        <f t="shared" si="168"/>
        <v>21487</v>
      </c>
      <c r="FJ117" s="14">
        <f t="shared" si="169"/>
        <v>24887</v>
      </c>
      <c r="FK117" s="14">
        <f t="shared" si="170"/>
        <v>34646</v>
      </c>
      <c r="FL117" s="14">
        <f t="shared" si="171"/>
        <v>45004</v>
      </c>
      <c r="FM117" s="14">
        <f t="shared" si="172"/>
        <v>2224949</v>
      </c>
      <c r="FP117" s="14">
        <f t="shared" si="173"/>
        <v>334150</v>
      </c>
      <c r="FQ117" s="50">
        <f t="shared" si="113"/>
        <v>0.13057329943077622</v>
      </c>
      <c r="FS117" s="14">
        <f t="shared" si="174"/>
        <v>2559099</v>
      </c>
      <c r="FX117" s="14">
        <v>112</v>
      </c>
      <c r="FY117" s="51">
        <f t="shared" si="175"/>
        <v>24032</v>
      </c>
      <c r="FZ117" s="51">
        <f t="shared" si="176"/>
        <v>1470</v>
      </c>
      <c r="GA117" s="51">
        <f>INT(SUMPRODUCT($N117:$R117,$BF117:$BJ117)/SUM($BF117:$BJ117)/10000*$BX$7*$BZ$46/'疲劳值&amp;地图信息'!$R$10*$BY$53)</f>
        <v>398</v>
      </c>
      <c r="GB117" s="50">
        <f t="shared" si="177"/>
        <v>0.92787644787644785</v>
      </c>
      <c r="GC117" s="50">
        <f t="shared" si="178"/>
        <v>5.675675675675676E-2</v>
      </c>
      <c r="GD117" s="50">
        <f t="shared" si="179"/>
        <v>1.5366795366795367E-2</v>
      </c>
      <c r="GE117" s="51">
        <f t="shared" si="180"/>
        <v>25681</v>
      </c>
      <c r="GF117" s="51">
        <f t="shared" si="181"/>
        <v>2398</v>
      </c>
      <c r="GG117" s="14">
        <f>INT(SUMPRODUCT($U117:$Y117,$BF117:$BJ117)/SUM($BF117:$BJ117)/10000*$BX$7*$BZ$46/'疲劳值&amp;地图信息'!$R$10*$BY$54)</f>
        <v>746</v>
      </c>
      <c r="GH117" s="50">
        <f t="shared" si="182"/>
        <v>0.89092801387684306</v>
      </c>
      <c r="GI117" s="50">
        <f t="shared" si="183"/>
        <v>8.3191673894189078E-2</v>
      </c>
      <c r="GJ117" s="50">
        <f t="shared" si="184"/>
        <v>2.588031222896791E-2</v>
      </c>
      <c r="GK117" s="51">
        <f t="shared" si="185"/>
        <v>27596</v>
      </c>
      <c r="GL117" s="51">
        <f t="shared" si="186"/>
        <v>4163</v>
      </c>
      <c r="GM117" s="14">
        <f>INT(SUMPRODUCT($AB117:$AF117,$BF117:$BJ117)/SUM($BF117:$BJ117)/10000*$BX$7*$BZ$46/'疲劳值&amp;地图信息'!$R$10*$BY$55)</f>
        <v>1013</v>
      </c>
      <c r="GN117" s="50">
        <f t="shared" si="187"/>
        <v>0.84206029537409988</v>
      </c>
      <c r="GO117" s="50">
        <f t="shared" si="188"/>
        <v>0.12702917124374466</v>
      </c>
      <c r="GP117" s="50">
        <f t="shared" si="189"/>
        <v>3.0910533382155499E-2</v>
      </c>
      <c r="GQ117" s="51">
        <f t="shared" si="190"/>
        <v>31447</v>
      </c>
      <c r="GR117" s="51">
        <f t="shared" si="191"/>
        <v>10665</v>
      </c>
      <c r="GS117" s="14">
        <f>INT(SUMPRODUCT($AI117:$AM117,$BF117:$BJ117)/SUM($BF117:$BJ117)/10000*$BX$7*$BZ$46/'疲劳值&amp;地图信息'!$R$10*$BY$56)</f>
        <v>1519</v>
      </c>
      <c r="GT117" s="50">
        <f t="shared" si="192"/>
        <v>0.72074900873232339</v>
      </c>
      <c r="GU117" s="50">
        <f t="shared" si="193"/>
        <v>0.24443629529462996</v>
      </c>
      <c r="GV117" s="50">
        <f t="shared" si="194"/>
        <v>3.4814695973046685E-2</v>
      </c>
      <c r="GW117" s="51">
        <f t="shared" si="195"/>
        <v>31024</v>
      </c>
      <c r="GX117" s="51">
        <f t="shared" si="196"/>
        <v>20818</v>
      </c>
      <c r="GY117" s="14">
        <f>INT(SUMPRODUCT($AP117:$AT117,$BF117:$BJ117)/SUM($BF117:$BJ117)/10000*$BX$7*$BZ$46/'疲劳值&amp;地图信息'!$R$10*$BY$57)</f>
        <v>2026</v>
      </c>
      <c r="GZ117" s="50">
        <f t="shared" si="197"/>
        <v>0.57592633845696883</v>
      </c>
      <c r="HA117" s="50">
        <f t="shared" si="198"/>
        <v>0.38646320635627829</v>
      </c>
      <c r="HB117" s="50">
        <f t="shared" si="199"/>
        <v>3.7610455186752802E-2</v>
      </c>
      <c r="HD117" s="14">
        <f t="shared" si="200"/>
        <v>25900</v>
      </c>
      <c r="HE117" s="14">
        <f t="shared" si="201"/>
        <v>28825</v>
      </c>
      <c r="HF117" s="14">
        <f t="shared" si="202"/>
        <v>32772</v>
      </c>
      <c r="HG117" s="14">
        <f t="shared" si="203"/>
        <v>43631</v>
      </c>
      <c r="HH117" s="14">
        <f t="shared" si="204"/>
        <v>53868</v>
      </c>
      <c r="HI117" s="14">
        <f t="shared" si="205"/>
        <v>2981558</v>
      </c>
      <c r="HL117" s="14">
        <f t="shared" si="206"/>
        <v>430050</v>
      </c>
      <c r="HM117" s="50">
        <f t="shared" si="114"/>
        <v>0.12605492776426835</v>
      </c>
      <c r="HO117" s="14">
        <f t="shared" si="207"/>
        <v>3411608</v>
      </c>
    </row>
    <row r="118" spans="11:223" x14ac:dyDescent="0.2">
      <c r="K118" s="14">
        <v>113</v>
      </c>
      <c r="L118" s="12">
        <f>求节点(节奏总纲!D$4:D$163,标准城池设计!AB$4:AB$163,$K118)*求节点(节奏总纲!D$4:D$163,攻城基础信息!$AC$5:$AC$164,$K118)</f>
        <v>507233.14449465339</v>
      </c>
      <c r="M118" s="12">
        <f>INDEX(其他调用!$AA$5:$AA$404,MATCH(K118,其他调用!$X$5:$X$404,0))*MIN(INDEX(其他调用!$AH$5:$AH$364,MATCH('征服点（新）'!K118,其他调用!$AG$5:$AG$364,0),1)/INDEX(其他调用!$AJ$5:$AJ$364,MATCH(K118,其他调用!$AG$5:$AG$364,0),0),5)*求节点(节奏总纲!D$4:D$163,攻城基础信息!$AC$5:$AC$164,$K118)</f>
        <v>43385.097376833706</v>
      </c>
      <c r="N118" s="12">
        <f>MIN(INDEX(其他调用!$AH$5:$AH$364,MATCH($K118,其他调用!$AG$5:$AG$364,0),1)/INDEX(其他调用!AH$5:AH$364,MATCH($K118,其他调用!$AG$5:$AG$364,0),0),1)*INDEX(其他调用!Y$5:Y$404,MATCH($K118,其他调用!$X$5:$X$404,0),0)</f>
        <v>36844.507419471651</v>
      </c>
      <c r="O118" s="12">
        <f>MIN(INDEX(其他调用!$AH$5:$AH$364,MATCH($K118,其他调用!$AG$5:$AG$364,0),1)/INDEX(其他调用!AI$5:AI$364,MATCH($K118,其他调用!$AG$5:$AG$364,0),0),1)*INDEX(其他调用!Z$5:Z$404,MATCH($K118,其他调用!$X$5:$X$404,0),0)</f>
        <v>23277.216887381943</v>
      </c>
      <c r="P118" s="12">
        <f>MIN(INDEX(其他调用!$AH$5:$AH$364,MATCH($K118,其他调用!$AG$5:$AG$364,0),1)/INDEX(其他调用!AJ$5:AJ$364,MATCH($K118,其他调用!$AG$5:$AG$364,0),0),1)*INDEX(其他调用!AA$5:AA$404,MATCH($K118,其他调用!$X$5:$X$404,0),0)</f>
        <v>13947.010831462674</v>
      </c>
      <c r="Q118" s="12">
        <f>MIN(INDEX(其他调用!$AH$5:$AH$364,MATCH($K118,其他调用!$AG$5:$AG$364,0),1)/INDEX(其他调用!AK$5:AK$364,MATCH($K118,其他调用!$AG$5:$AG$364,0),0),1)*INDEX(其他调用!AB$5:AB$404,MATCH($K118,其他调用!$X$5:$X$404,0),0)</f>
        <v>5733.3688860920201</v>
      </c>
      <c r="R118" s="12">
        <f>MIN(INDEX(其他调用!$AH$5:$AH$364,MATCH($K118,其他调用!$AG$5:$AG$364,0),1)/INDEX(其他调用!AL$5:AL$364,MATCH($K118,其他调用!$AG$5:$AG$364,0),0),1)*INDEX(其他调用!AC$5:AC$404,MATCH($K118,其他调用!$X$5:$X$404,0),0)</f>
        <v>1792.0246216896981</v>
      </c>
      <c r="S118" s="12">
        <f>求节点(节奏总纲!D$4:D$163,标准城池设计!AC$4:AC$163,$K118)*求节点(节奏总纲!D$4:D$163,攻城基础信息!$AD$5:$AD$164,$K118)</f>
        <v>542242.27416315919</v>
      </c>
      <c r="T118" s="12">
        <f>INDEX(其他调用!$AA$5:$AA$404,MATCH($K118,其他调用!$X$5:$X$404,0))*MIN(INDEX(其他调用!AI$5:AI$364,MATCH($K118,其他调用!$AG$5:$AG$364,0),1)/INDEX(其他调用!$AJ$5:$AJ$364,MATCH($K118,其他调用!$AG$5:$AG$364,0),0),5)*求节点(节奏总纲!D$4:D$163,攻城基础信息!$AD$5:$AD$164,$K118)</f>
        <v>70810.017902771186</v>
      </c>
      <c r="U118" s="12">
        <f>MIN(INDEX(其他调用!$AI$5:$AI$364,MATCH($K118,其他调用!$AG$5:$AG$364,0),1)/INDEX(其他调用!AH$5:AH$364,MATCH($K118,其他调用!$AG$5:$AG$364,0),0),1)*INDEX(其他调用!Y$5:Y$404,MATCH($K118,其他调用!$X$5:$X$404,0),0)</f>
        <v>36844.507419471651</v>
      </c>
      <c r="V118" s="12">
        <f>MIN(INDEX(其他调用!$AI$5:$AI$364,MATCH($K118,其他调用!$AG$5:$AG$364,0),1)/INDEX(其他调用!AI$5:AI$364,MATCH($K118,其他调用!$AG$5:$AG$364,0),0),1)*INDEX(其他调用!Z$5:Z$404,MATCH($K118,其他调用!$X$5:$X$404,0),0)</f>
        <v>37991.389766992274</v>
      </c>
      <c r="W118" s="12">
        <f>MIN(INDEX(其他调用!$AI$5:$AI$364,MATCH($K118,其他调用!$AG$5:$AG$364,0),1)/INDEX(其他调用!AJ$5:AJ$364,MATCH($K118,其他调用!$AG$5:$AG$364,0),0),1)*INDEX(其他调用!AA$5:AA$404,MATCH($K118,其他调用!$X$5:$X$404,0),0)</f>
        <v>22763.302294519155</v>
      </c>
      <c r="X118" s="12">
        <f>MIN(INDEX(其他调用!$AI$5:$AI$364,MATCH($K118,其他调用!$AG$5:$AG$364,0),1)/INDEX(其他调用!AK$5:AK$364,MATCH($K118,其他调用!$AG$5:$AG$364,0),0),1)*INDEX(其他调用!AB$5:AB$404,MATCH($K118,其他调用!$X$5:$X$404,0),0)</f>
        <v>9357.5900024174662</v>
      </c>
      <c r="Y118" s="12">
        <f>MIN(INDEX(其他调用!$AI$5:$AI$364,MATCH($K118,其他调用!$AG$5:$AG$364,0),1)/INDEX(其他调用!AL$5:AL$364,MATCH($K118,其他调用!$AG$5:$AG$364,0),0),1)*INDEX(其他调用!AC$5:AC$404,MATCH($K118,其他调用!$X$5:$X$404,0),0)</f>
        <v>2924.8129707278554</v>
      </c>
      <c r="Z118" s="12">
        <f>求节点(节奏总纲!D$4:D$163,标准城池设计!AD$4:AD$163,$K118)*求节点(节奏总纲!D$4:D$163,攻城基础信息!$AE$5:$AE$164,$K118)</f>
        <v>582829.27195607626</v>
      </c>
      <c r="AA118" s="12">
        <f>INDEX(其他调用!$AA$5:$AA$404,MATCH($K118,其他调用!$X$5:$X$404,0))*MIN(INDEX(其他调用!AJ$5:AJ$364,MATCH($K118,其他调用!$AG$5:$AG$364,0),1)/INDEX(其他调用!$AJ$5:$AJ$364,MATCH($K118,其他调用!$AG$5:$AG$364,0),0),5)*求节点(节奏总纲!D$4:D$163,攻城基础信息!$AE$5:$AE$164,$K118)</f>
        <v>122889.97374511434</v>
      </c>
      <c r="AB118" s="12">
        <f>MIN(INDEX(其他调用!$AJ$5:$AJ$364,MATCH($K118,其他调用!$AG$5:$AG$364,0),1)/INDEX(其他调用!AH$5:AH$364,MATCH($K118,其他调用!$AG$5:$AG$364,0),0),1)*INDEX(其他调用!Y$5:Y$404,MATCH($K118,其他调用!$X$5:$X$404,0),0)</f>
        <v>36844.507419471651</v>
      </c>
      <c r="AC118" s="12">
        <f>MIN(INDEX(其他调用!$AJ$5:$AJ$364,MATCH($K118,其他调用!$AG$5:$AG$364,0),1)/INDEX(其他调用!AI$5:AI$364,MATCH($K118,其他调用!$AG$5:$AG$364,0),0),1)*INDEX(其他调用!Z$5:Z$404,MATCH($K118,其他调用!$X$5:$X$404,0),0)</f>
        <v>37991.389766992274</v>
      </c>
      <c r="AD118" s="12">
        <f>MIN(INDEX(其他调用!$AJ$5:$AJ$364,MATCH($K118,其他调用!$AG$5:$AG$364,0),1)/INDEX(其他调用!AJ$5:AJ$364,MATCH($K118,其他调用!$AG$5:$AG$364,0),0),1)*INDEX(其他调用!AA$5:AA$404,MATCH($K118,其他调用!$X$5:$X$404,0),0)</f>
        <v>39505.449993906623</v>
      </c>
      <c r="AE118" s="12">
        <f>MIN(INDEX(其他调用!$AJ$5:$AJ$364,MATCH($K118,其他调用!$AG$5:$AG$364,0),1)/INDEX(其他调用!AK$5:AK$364,MATCH($K118,其他调用!$AG$5:$AG$364,0),0),1)*INDEX(其他调用!AB$5:AB$404,MATCH($K118,其他调用!$X$5:$X$404,0),0)</f>
        <v>16239.990099898318</v>
      </c>
      <c r="AF118" s="12">
        <f>MIN(INDEX(其他调用!$AJ$5:$AJ$364,MATCH($K118,其他调用!$AG$5:$AG$364,0),1)/INDEX(其他调用!AL$5:AL$364,MATCH($K118,其他调用!$AG$5:$AG$364,0),0),1)*INDEX(其他调用!AC$5:AC$404,MATCH($K118,其他调用!$X$5:$X$404,0),0)</f>
        <v>5075.9793575486374</v>
      </c>
      <c r="AG118" s="12">
        <f>求节点(节奏总纲!D$4:D$163,标准城池设计!AE$4:AE$163,$K118)*求节点(节奏总纲!D$4:D$163,攻城基础信息!$AF$5:$AF$164,$K118)</f>
        <v>664157.20006392931</v>
      </c>
      <c r="AH118" s="12">
        <f>INDEX(其他调用!$AA$5:$AA$404,MATCH($K118,其他调用!$X$5:$X$404,0))*MIN(INDEX(其他调用!AK$5:AK$364,MATCH($K118,其他调用!$AG$5:$AG$364,0),1)/INDEX(其他调用!$AJ$5:$AJ$364,MATCH($K118,其他调用!$AG$5:$AG$364,0),0),5)*求节点(节奏总纲!D$4:D$163,攻城基础信息!$AF$5:$AF$164,$K118)</f>
        <v>315385.57093792997</v>
      </c>
      <c r="AI118" s="12">
        <f>MIN(INDEX(其他调用!$AK$5:$AK$364,MATCH($K118,其他调用!$AG$5:$AG$364,0),1)/INDEX(其他调用!AH$5:AH$364,MATCH($K118,其他调用!$AG$5:$AG$364,0),0),1)*INDEX(其他调用!Y$5:Y$404,MATCH($K118,其他调用!$X$5:$X$404,0),0)</f>
        <v>36844.507419471651</v>
      </c>
      <c r="AJ118" s="12">
        <f>MIN(INDEX(其他调用!$AK$5:$AK$364,MATCH($K118,其他调用!$AG$5:$AG$364,0),1)/INDEX(其他调用!AI$5:AI$364,MATCH($K118,其他调用!$AG$5:$AG$364,0),0),1)*INDEX(其他调用!Z$5:Z$404,MATCH($K118,其他调用!$X$5:$X$404,0),0)</f>
        <v>37991.389766992274</v>
      </c>
      <c r="AK118" s="12">
        <f>MIN(INDEX(其他调用!$AK$5:$AK$364,MATCH($K118,其他调用!$AG$5:$AG$364,0),1)/INDEX(其他调用!AJ$5:AJ$364,MATCH($K118,其他调用!$AG$5:$AG$364,0),0),1)*INDEX(其他调用!AA$5:AA$404,MATCH($K118,其他调用!$X$5:$X$404,0),0)</f>
        <v>39505.449993906623</v>
      </c>
      <c r="AL118" s="12">
        <f>MIN(INDEX(其他调用!$AK$5:$AK$364,MATCH($K118,其他调用!$AG$5:$AG$364,0),1)/INDEX(其他调用!AK$5:AK$364,MATCH($K118,其他调用!$AG$5:$AG$364,0),0),1)*INDEX(其他调用!AB$5:AB$404,MATCH($K118,其他调用!$X$5:$X$404,0),0)</f>
        <v>41678.408690248318</v>
      </c>
      <c r="AM118" s="12">
        <f>MIN(INDEX(其他调用!$AK$5:$AK$364,MATCH($K118,其他调用!$AG$5:$AG$364,0),1)/INDEX(其他调用!AL$5:AL$364,MATCH($K118,其他调用!$AG$5:$AG$364,0),0),1)*INDEX(其他调用!AC$5:AC$404,MATCH($K118,其他调用!$X$5:$X$404,0),0)</f>
        <v>13027.024084731484</v>
      </c>
      <c r="AN118" s="12">
        <f>求节点(节奏总纲!D$4:D$163,标准城池设计!AF$4:AF$163,$K118)*求节点(节奏总纲!D$4:D$163,攻城基础信息!$AG$5:$AG$164,$K118)</f>
        <v>655323.62835300062</v>
      </c>
      <c r="AO118" s="12">
        <f>INDEX(其他调用!$AA$5:$AA$404,MATCH($K118,其他调用!$X$5:$X$404,0))*MIN(INDEX(其他调用!AL$5:AL$364,MATCH($K118,其他调用!$AG$5:$AG$364,0),1)/INDEX(其他调用!$AJ$5:$AJ$364,MATCH($K118,其他调用!$AG$5:$AG$364,0),0),5)*求节点(节奏总纲!D$4:D$163,攻城基础信息!$AG$5:$AG$164,$K118)</f>
        <v>614449.86872557178</v>
      </c>
      <c r="AP118" s="12">
        <f>MIN(INDEX(其他调用!$AL$5:$AL$364,MATCH($K118,其他调用!$AG$5:$AG$364,0),1)/INDEX(其他调用!AH$5:AH$364,MATCH($K118,其他调用!$AG$5:$AG$364,0),0),1)*INDEX(其他调用!Y$5:Y$404,MATCH($K118,其他调用!$X$5:$X$404,0),0)</f>
        <v>36844.507419471651</v>
      </c>
      <c r="AQ118" s="12">
        <f>MIN(INDEX(其他调用!$AL$5:$AL$364,MATCH($K118,其他调用!$AG$5:$AG$364,0),1)/INDEX(其他调用!AI$5:AI$364,MATCH($K118,其他调用!$AG$5:$AG$364,0),0),1)*INDEX(其他调用!Z$5:Z$404,MATCH($K118,其他调用!$X$5:$X$404,0),0)</f>
        <v>37991.389766992274</v>
      </c>
      <c r="AR118" s="12">
        <f>MIN(INDEX(其他调用!$AL$5:$AL$364,MATCH($K118,其他调用!$AG$5:$AG$364,0),1)/INDEX(其他调用!AJ$5:AJ$364,MATCH($K118,其他调用!$AG$5:$AG$364,0),0),1)*INDEX(其他调用!AA$5:AA$404,MATCH($K118,其他调用!$X$5:$X$404,0),0)</f>
        <v>39505.449993906623</v>
      </c>
      <c r="AS118" s="12">
        <f>MIN(INDEX(其他调用!$AL$5:$AL$364,MATCH($K118,其他调用!$AG$5:$AG$364,0),1)/INDEX(其他调用!AK$5:AK$364,MATCH($K118,其他调用!$AG$5:$AG$364,0),0),1)*INDEX(其他调用!AB$5:AB$404,MATCH($K118,其他调用!$X$5:$X$404,0),0)</f>
        <v>41678.408690248318</v>
      </c>
      <c r="AT118" s="12">
        <f>MIN(INDEX(其他调用!$AL$5:$AL$364,MATCH($K118,其他调用!$AG$5:$AG$364,0),1)/INDEX(其他调用!AL$5:AL$364,MATCH($K118,其他调用!$AG$5:$AG$364,0),0),1)*INDEX(其他调用!AC$5:AC$404,MATCH($K118,其他调用!$X$5:$X$404,0),0)</f>
        <v>45558.758758434793</v>
      </c>
      <c r="AV118" s="14">
        <f>IF(OR(AV$5="大R",AV$5="超R"),MAX(INDEX(其他调用!$H$5:$L$404,MATCH($K118,其他调用!$B$5:$B$404,0),MATCH(AV$5,其他调用!$H$4:$L$4,0))*120*0.85,2),INDEX(其他调用!$H$5:$L$404,MATCH($K118,其他调用!$B$5:$B$404,0),MATCH(AV$5,其他调用!$H$4:$L$4,0))*120*0.85)</f>
        <v>48.921801254999991</v>
      </c>
      <c r="AW118" s="14">
        <f>IF(OR(AW$5="大R",AW$5="超R"),MAX(INDEX(其他调用!$H$5:$L$404,MATCH($K118,其他调用!$B$5:$B$404,0),MATCH(AW$5,其他调用!$H$4:$L$4,0))*120*0.85,2),INDEX(其他调用!$H$5:$L$404,MATCH($K118,其他调用!$B$5:$B$404,0),MATCH(AW$5,其他调用!$H$4:$L$4,0))*120*0.85)</f>
        <v>48.237344010638395</v>
      </c>
      <c r="AX118" s="14">
        <f>IF(OR(AX$5="大R",AX$5="超R"),MAX(INDEX(其他调用!$H$5:$L$404,MATCH($K118,其他调用!$B$5:$B$404,0),MATCH(AX$5,其他调用!$H$4:$L$4,0))*120*0.85,2),INDEX(其他调用!$H$5:$L$404,MATCH($K118,其他调用!$B$5:$B$404,0),MATCH(AX$5,其他调用!$H$4:$L$4,0))*120*0.85)</f>
        <v>3.9376284143615998</v>
      </c>
      <c r="AY118" s="14">
        <f>IF(OR(AY$5="大R",AY$5="超R"),MAX(INDEX(其他调用!$H$5:$L$404,MATCH($K118,其他调用!$B$5:$B$404,0),MATCH(AY$5,其他调用!$H$4:$L$4,0))*120*0.85,2),INDEX(其他调用!$H$5:$L$404,MATCH($K118,其他调用!$B$5:$B$404,0),MATCH(AY$5,其他调用!$H$4:$L$4,0))*120*0.85)</f>
        <v>2</v>
      </c>
      <c r="AZ118" s="14">
        <f>IF(OR(AZ$5="大R",AZ$5="超R"),MAX(INDEX(其他调用!$H$5:$L$404,MATCH($K118,其他调用!$B$5:$B$404,0),MATCH(AZ$5,其他调用!$H$4:$L$4,0))*120*0.85,2),INDEX(其他调用!$H$5:$L$404,MATCH($K118,其他调用!$B$5:$B$404,0),MATCH(AZ$5,其他调用!$H$4:$L$4,0))*120*0.85)</f>
        <v>2</v>
      </c>
      <c r="BA118" s="14">
        <f>INDEX(其他调用!$H$5:$L$404,MATCH($K118,其他调用!$B$5:$B$404,0),MATCH(BA$5,其他调用!$H$4:$L$4,0))*INDEX(其他调用!$M$5:$M$404,MATCH($K118,其他调用!$B$5:$B$404,0))*0.6</f>
        <v>28.777530149999997</v>
      </c>
      <c r="BB118" s="14">
        <f>INDEX(其他调用!$H$5:$L$404,MATCH($K118,其他调用!$B$5:$B$404,0),MATCH(BB$5,其他调用!$H$4:$L$4,0))*INDEX(其他调用!$M$5:$M$404,MATCH($K118,其他调用!$B$5:$B$404,0))*0.6</f>
        <v>28.374908241551999</v>
      </c>
      <c r="BC118" s="14">
        <f>INDEX(其他调用!$H$5:$L$404,MATCH($K118,其他调用!$B$5:$B$404,0),MATCH(BC$5,其他调用!$H$4:$L$4,0))*INDEX(其他调用!$M$5:$M$404,MATCH($K118,其他调用!$B$5:$B$404,0))*0.6</f>
        <v>2.3162520084480001</v>
      </c>
      <c r="BD118" s="14">
        <f>INDEX(其他调用!$H$5:$L$404,MATCH($K118,其他调用!$B$5:$B$404,0),MATCH(BD$5,其他调用!$H$4:$L$4,0))*INDEX(其他调用!$M$5:$M$404,MATCH($K118,其他调用!$B$5:$B$404,0))*0.6</f>
        <v>0.4120776000000001</v>
      </c>
      <c r="BE118" s="14">
        <f>INDEX(其他调用!$H$5:$L$404,MATCH($K118,其他调用!$B$5:$B$404,0),MATCH(BE$5,其他调用!$H$4:$L$4,0))*INDEX(其他调用!$M$5:$M$404,MATCH($K118,其他调用!$B$5:$B$404,0))*0.6</f>
        <v>0.11923199999999998</v>
      </c>
      <c r="BF118" s="14">
        <f>IF(OR(BF$5="大R",BF$5="超R"),0,INDEX(其他调用!$H$5:$L$404,MATCH($K118,其他调用!$B$5:$B$404,0),MATCH(BF$5,其他调用!$H$4:$L$4,0))*50*0.4)</f>
        <v>9.5925100500000013</v>
      </c>
      <c r="BG118" s="14">
        <f>IF(OR(BG$5="大R",BG$5="超R"),0,INDEX(其他调用!$H$5:$L$404,MATCH($K118,其他调用!$B$5:$B$404,0),MATCH(BG$5,其他调用!$H$4:$L$4,0))*50*0.4)</f>
        <v>9.4583027471839998</v>
      </c>
      <c r="BH118" s="14">
        <f>IF(OR(BH$5="大R",BH$5="超R"),0,INDEX(其他调用!$H$5:$L$404,MATCH($K118,其他调用!$B$5:$B$404,0),MATCH(BH$5,其他调用!$H$4:$L$4,0))*50*0.4)</f>
        <v>0.77208400281600009</v>
      </c>
      <c r="BI118" s="14">
        <f>IF(OR(BI$5="大R",BI$5="超R"),0,INDEX(其他调用!$H$5:$L$404,MATCH($K118,其他调用!$B$5:$B$404,0),MATCH(BI$5,其他调用!$H$4:$L$4,0))*50*0.4)</f>
        <v>0</v>
      </c>
      <c r="BJ118" s="14">
        <f>IF(OR(BJ$5="大R",BJ$5="超R"),0,INDEX(其他调用!$H$5:$L$404,MATCH($K118,其他调用!$B$5:$B$404,0),MATCH(BJ$5,其他调用!$H$4:$L$4,0))*50*0.4)</f>
        <v>0</v>
      </c>
      <c r="BL118" s="14">
        <f t="shared" si="208"/>
        <v>113</v>
      </c>
      <c r="BM118" s="14">
        <f t="shared" si="115"/>
        <v>96</v>
      </c>
      <c r="BN118" s="14">
        <f>('疲劳值&amp;地图信息'!$S$10*'疲劳值&amp;地图信息'!$R$10+'疲劳值&amp;地图信息'!$S$11*'疲劳值&amp;地图信息'!$R$11+'疲劳值&amp;地图信息'!$S$12*'疲劳值&amp;地图信息'!$R$12+(BM118-'疲劳值&amp;地图信息'!$S$12-'疲劳值&amp;地图信息'!$S$11-'疲劳值&amp;地图信息'!$S$10)*'疲劳值&amp;地图信息'!$R$13)/BM118</f>
        <v>51.371477246638619</v>
      </c>
      <c r="BO118" s="14">
        <f>INDEX(其他调用!$M$5:$M$404,MATCH(BL118,其他调用!$B$5:$B$404,0))*0.6</f>
        <v>60</v>
      </c>
      <c r="BP118" s="14">
        <f>IF(BO118&gt;SUM('疲劳值&amp;地图信息'!$S$10:$S$12),('疲劳值&amp;地图信息'!$S$10*'疲劳值&amp;地图信息'!$R$10+'疲劳值&amp;地图信息'!$S$11*'疲劳值&amp;地图信息'!$R$11+'疲劳值&amp;地图信息'!$S$12*'疲劳值&amp;地图信息'!$R$12+(BO118-'疲劳值&amp;地图信息'!$S$12-'疲劳值&amp;地图信息'!$S$11-'疲劳值&amp;地图信息'!$S$10)*'疲劳值&amp;地图信息'!$R$13)/BO118,('疲劳值&amp;地图信息'!$S$10*'疲劳值&amp;地图信息'!$R$10+'疲劳值&amp;地图信息'!$S$11*'疲劳值&amp;地图信息'!$R$11+'疲劳值&amp;地图信息'!$S$12*'疲劳值&amp;地图信息'!$R$12+(BO118-'疲劳值&amp;地图信息'!$S$12-'疲劳值&amp;地图信息'!$S$11-'疲劳值&amp;地图信息'!$S$10)*'疲劳值&amp;地图信息'!$R$13)/BO118)</f>
        <v>44.158136341605953</v>
      </c>
      <c r="BQ118" s="14">
        <f t="shared" si="209"/>
        <v>20</v>
      </c>
      <c r="BR118" s="14">
        <f>('疲劳值&amp;地图信息'!$S$10*'疲劳值&amp;地图信息'!$R$10+($BQ118-'疲劳值&amp;地图信息'!$S$10)*'疲劳值&amp;地图信息'!$R$11)/$BQ118</f>
        <v>32.067203015074995</v>
      </c>
      <c r="CF118" s="14">
        <v>113</v>
      </c>
      <c r="CG118" s="51">
        <f t="shared" si="116"/>
        <v>10338</v>
      </c>
      <c r="CH118" s="51">
        <f t="shared" si="117"/>
        <v>884</v>
      </c>
      <c r="CI118" s="51">
        <f>INT(SUMPRODUCT($N118:$R118,$BA118:$BE118)/SUM($BA118:$BE118)/10000*$BX$7*$BZ$34/'疲劳值&amp;地图信息'!$R$10*$BY$53)</f>
        <v>2969</v>
      </c>
      <c r="CJ118" s="50">
        <f t="shared" si="118"/>
        <v>0.72848988795715597</v>
      </c>
      <c r="CK118" s="50">
        <f t="shared" si="119"/>
        <v>6.2293002607286312E-2</v>
      </c>
      <c r="CL118" s="50">
        <f t="shared" si="120"/>
        <v>0.20921710943555774</v>
      </c>
      <c r="CM118" s="14">
        <f t="shared" si="121"/>
        <v>11051</v>
      </c>
      <c r="CN118" s="14">
        <f t="shared" si="122"/>
        <v>1443</v>
      </c>
      <c r="CO118" s="14">
        <f>INT(SUMPRODUCT($U118:$Y118,$BA118:$BE118)/SUM($BA118:$BE118)/10000*$BX$7*$BZ$34/'疲劳值&amp;地图信息'!$R$10*$BY$54)</f>
        <v>5568</v>
      </c>
      <c r="CP118" s="50">
        <f t="shared" si="123"/>
        <v>0.61183700586867451</v>
      </c>
      <c r="CQ118" s="50">
        <f t="shared" si="124"/>
        <v>7.9891484885394756E-2</v>
      </c>
      <c r="CR118" s="50">
        <f t="shared" si="125"/>
        <v>0.30827150924593066</v>
      </c>
      <c r="CS118" s="14">
        <f t="shared" si="126"/>
        <v>11878</v>
      </c>
      <c r="CT118" s="14">
        <f t="shared" si="127"/>
        <v>2504</v>
      </c>
      <c r="CU118" s="14">
        <f>INT(SUMPRODUCT($AB118:$AF118,$BA118:$BE118)/SUM($BA118:$BE118)/10000*$BX$7*$BZ$34/'疲劳值&amp;地图信息'!$R$10*$BY$55)</f>
        <v>7566</v>
      </c>
      <c r="CV118" s="50">
        <f t="shared" si="128"/>
        <v>0.5411882631674868</v>
      </c>
      <c r="CW118" s="50">
        <f t="shared" si="129"/>
        <v>0.11408784399489703</v>
      </c>
      <c r="CX118" s="50">
        <f t="shared" si="130"/>
        <v>0.34472389283761617</v>
      </c>
      <c r="CY118" s="14">
        <f t="shared" si="131"/>
        <v>13536</v>
      </c>
      <c r="CZ118" s="14">
        <f t="shared" si="132"/>
        <v>6427</v>
      </c>
      <c r="DA118" s="14">
        <f>INT(SUMPRODUCT($AI118:$AM118,$BA118:$BE118)/SUM($BA118:$BE118)/10000*$BX$7*$BZ$34/'疲劳值&amp;地图信息'!$R$10*$BY$56)</f>
        <v>11407</v>
      </c>
      <c r="DB118" s="50">
        <f t="shared" si="133"/>
        <v>0.43149505897354162</v>
      </c>
      <c r="DC118" s="50">
        <f t="shared" si="134"/>
        <v>0.20487727127829136</v>
      </c>
      <c r="DD118" s="50">
        <f t="shared" si="135"/>
        <v>0.36362766974816702</v>
      </c>
      <c r="DE118" s="14">
        <f t="shared" si="136"/>
        <v>13356</v>
      </c>
      <c r="DF118" s="14">
        <f t="shared" si="137"/>
        <v>12523</v>
      </c>
      <c r="DG118" s="14">
        <f>INT(SUMPRODUCT($AP118:$AT118,$BA118:$BE118)/SUM($BA118:$BE118)/10000*$BX$7*$BZ$34/'疲劳值&amp;地图信息'!$R$10*$BY$57)</f>
        <v>15236</v>
      </c>
      <c r="DH118" s="50">
        <f t="shared" si="138"/>
        <v>0.32484494709959871</v>
      </c>
      <c r="DI118" s="50">
        <f t="shared" si="139"/>
        <v>0.30458470144716038</v>
      </c>
      <c r="DJ118" s="50">
        <f t="shared" si="140"/>
        <v>0.37057035145324091</v>
      </c>
      <c r="DL118" s="14">
        <f t="shared" si="211"/>
        <v>14191</v>
      </c>
      <c r="DM118" s="14">
        <f t="shared" si="212"/>
        <v>18062</v>
      </c>
      <c r="DN118" s="14">
        <f t="shared" si="213"/>
        <v>21948</v>
      </c>
      <c r="DO118" s="14">
        <f t="shared" si="214"/>
        <v>31370</v>
      </c>
      <c r="DP118" s="14">
        <f t="shared" si="215"/>
        <v>41115</v>
      </c>
      <c r="DQ118" s="14">
        <f t="shared" si="216"/>
        <v>989555</v>
      </c>
      <c r="DT118" s="14">
        <f t="shared" si="210"/>
        <v>235575</v>
      </c>
      <c r="DU118" s="50">
        <f t="shared" si="112"/>
        <v>0.19228571661782831</v>
      </c>
      <c r="DW118" s="14">
        <f t="shared" si="141"/>
        <v>1225130</v>
      </c>
      <c r="EB118" s="14">
        <v>113</v>
      </c>
      <c r="EC118" s="51">
        <f t="shared" si="142"/>
        <v>17230</v>
      </c>
      <c r="ED118" s="51">
        <f t="shared" si="143"/>
        <v>1473</v>
      </c>
      <c r="EE118" s="51">
        <f>INT(SUMPRODUCT($N118:$R118,$BF118:$BJ118)/SUM($BF118:$BJ118)/10000*$BX$7*$BZ$46/'疲劳值&amp;地图信息'!$R$10*$BY$53)</f>
        <v>398</v>
      </c>
      <c r="EF118" s="50">
        <f t="shared" si="144"/>
        <v>0.90204701324537984</v>
      </c>
      <c r="EG118" s="50">
        <f t="shared" si="145"/>
        <v>7.7116381341291035E-2</v>
      </c>
      <c r="EH118" s="50">
        <f t="shared" si="146"/>
        <v>2.0836605413329146E-2</v>
      </c>
      <c r="EI118" s="51">
        <f t="shared" si="147"/>
        <v>18419</v>
      </c>
      <c r="EJ118" s="51">
        <f t="shared" si="148"/>
        <v>2405</v>
      </c>
      <c r="EK118" s="14">
        <f>INT(SUMPRODUCT($U118:$Y118,$BF118:$BJ118)/SUM($BF118:$BJ118)/10000*$BX$7*$BZ$46/'疲劳值&amp;地图信息'!$R$10*$BY$54)</f>
        <v>747</v>
      </c>
      <c r="EL118" s="50">
        <f t="shared" si="149"/>
        <v>0.85387789161374072</v>
      </c>
      <c r="EM118" s="50">
        <f t="shared" si="150"/>
        <v>0.11149228130360206</v>
      </c>
      <c r="EN118" s="50">
        <f t="shared" si="151"/>
        <v>3.4629827082657272E-2</v>
      </c>
      <c r="EO118" s="51">
        <f t="shared" si="152"/>
        <v>19798</v>
      </c>
      <c r="EP118" s="51">
        <f t="shared" si="153"/>
        <v>4174</v>
      </c>
      <c r="EQ118" s="14">
        <f>INT(SUMPRODUCT($AB118:$AF118,$BF118:$BJ118)/SUM($BF118:$BJ118)/10000*$BX$7*$BZ$46/'疲劳值&amp;地图信息'!$R$10*$BY$55)</f>
        <v>1014</v>
      </c>
      <c r="ER118" s="50">
        <f t="shared" si="154"/>
        <v>0.79236372368526375</v>
      </c>
      <c r="ES118" s="50">
        <f t="shared" si="155"/>
        <v>0.16705354998799327</v>
      </c>
      <c r="ET118" s="50">
        <f t="shared" si="156"/>
        <v>4.0582726326742979E-2</v>
      </c>
      <c r="EU118" s="51">
        <f t="shared" si="157"/>
        <v>22560</v>
      </c>
      <c r="EV118" s="51">
        <f t="shared" si="158"/>
        <v>10713</v>
      </c>
      <c r="EW118" s="14">
        <f>INT(SUMPRODUCT($AI118:$AM118,$BF118:$BJ118)/SUM($BF118:$BJ118)/10000*$BX$7*$BZ$46/'疲劳值&amp;地图信息'!$R$10*$BY$56)</f>
        <v>1521</v>
      </c>
      <c r="EX118" s="50">
        <f t="shared" si="159"/>
        <v>0.64838765304362822</v>
      </c>
      <c r="EY118" s="50">
        <f t="shared" si="160"/>
        <v>0.3078979134333506</v>
      </c>
      <c r="EZ118" s="50">
        <f t="shared" si="161"/>
        <v>4.3714433523021214E-2</v>
      </c>
      <c r="FA118" s="51">
        <f t="shared" si="162"/>
        <v>22260</v>
      </c>
      <c r="FB118" s="51">
        <f t="shared" si="163"/>
        <v>20872</v>
      </c>
      <c r="FC118" s="14">
        <f>INT(SUMPRODUCT($AP118:$AT118,$BF118:$BJ118)/SUM($BF118:$BJ118)/10000*$BX$7*$BZ$46/'疲劳值&amp;地图信息'!$R$10*$BY$57)</f>
        <v>2029</v>
      </c>
      <c r="FD118" s="50">
        <f t="shared" si="164"/>
        <v>0.49290316866322714</v>
      </c>
      <c r="FE118" s="50">
        <f t="shared" si="165"/>
        <v>0.46216868537012024</v>
      </c>
      <c r="FF118" s="50">
        <f t="shared" si="166"/>
        <v>4.4928145966652643E-2</v>
      </c>
      <c r="FH118" s="14">
        <f t="shared" si="167"/>
        <v>19101</v>
      </c>
      <c r="FI118" s="14">
        <f t="shared" si="168"/>
        <v>21571</v>
      </c>
      <c r="FJ118" s="14">
        <f t="shared" si="169"/>
        <v>24986</v>
      </c>
      <c r="FK118" s="14">
        <f t="shared" si="170"/>
        <v>34794</v>
      </c>
      <c r="FL118" s="14">
        <f t="shared" si="171"/>
        <v>45161</v>
      </c>
      <c r="FM118" s="14">
        <f t="shared" si="172"/>
        <v>2233278</v>
      </c>
      <c r="FP118" s="14">
        <f t="shared" si="173"/>
        <v>334150</v>
      </c>
      <c r="FQ118" s="50">
        <f t="shared" si="113"/>
        <v>0.13014970624297936</v>
      </c>
      <c r="FS118" s="14">
        <f t="shared" si="174"/>
        <v>2567428</v>
      </c>
      <c r="FX118" s="14">
        <v>113</v>
      </c>
      <c r="FY118" s="51">
        <f t="shared" si="175"/>
        <v>24122</v>
      </c>
      <c r="FZ118" s="51">
        <f t="shared" si="176"/>
        <v>1473</v>
      </c>
      <c r="GA118" s="51">
        <f>INT(SUMPRODUCT($N118:$R118,$BF118:$BJ118)/SUM($BF118:$BJ118)/10000*$BX$7*$BZ$46/'疲劳值&amp;地图信息'!$R$10*$BY$53)</f>
        <v>398</v>
      </c>
      <c r="GB118" s="50">
        <f t="shared" si="177"/>
        <v>0.92801908206055472</v>
      </c>
      <c r="GC118" s="50">
        <f t="shared" si="178"/>
        <v>5.6669103220097716E-2</v>
      </c>
      <c r="GD118" s="50">
        <f t="shared" si="179"/>
        <v>1.5311814719347517E-2</v>
      </c>
      <c r="GE118" s="51">
        <f t="shared" si="180"/>
        <v>25787</v>
      </c>
      <c r="GF118" s="51">
        <f t="shared" si="181"/>
        <v>2405</v>
      </c>
      <c r="GG118" s="14">
        <f>INT(SUMPRODUCT($U118:$Y118,$BF118:$BJ118)/SUM($BF118:$BJ118)/10000*$BX$7*$BZ$46/'疲劳值&amp;地图信息'!$R$10*$BY$54)</f>
        <v>747</v>
      </c>
      <c r="GH118" s="50">
        <f t="shared" si="182"/>
        <v>0.89108123984933829</v>
      </c>
      <c r="GI118" s="50">
        <f t="shared" si="183"/>
        <v>8.310584332561595E-2</v>
      </c>
      <c r="GJ118" s="50">
        <f t="shared" si="184"/>
        <v>2.5812916825045787E-2</v>
      </c>
      <c r="GK118" s="51">
        <f t="shared" si="185"/>
        <v>27717</v>
      </c>
      <c r="GL118" s="51">
        <f t="shared" si="186"/>
        <v>4174</v>
      </c>
      <c r="GM118" s="14">
        <f>INT(SUMPRODUCT($AB118:$AF118,$BF118:$BJ118)/SUM($BF118:$BJ118)/10000*$BX$7*$BZ$46/'疲劳值&amp;地图信息'!$R$10*$BY$55)</f>
        <v>1014</v>
      </c>
      <c r="GN118" s="50">
        <f t="shared" si="187"/>
        <v>0.84233399179456014</v>
      </c>
      <c r="GO118" s="50">
        <f t="shared" si="188"/>
        <v>0.12685002279288862</v>
      </c>
      <c r="GP118" s="50">
        <f t="shared" si="189"/>
        <v>3.0815985412551285E-2</v>
      </c>
      <c r="GQ118" s="51">
        <f t="shared" si="190"/>
        <v>31584</v>
      </c>
      <c r="GR118" s="51">
        <f t="shared" si="191"/>
        <v>10713</v>
      </c>
      <c r="GS118" s="14">
        <f>INT(SUMPRODUCT($AI118:$AM118,$BF118:$BJ118)/SUM($BF118:$BJ118)/10000*$BX$7*$BZ$46/'疲劳值&amp;地图信息'!$R$10*$BY$56)</f>
        <v>1521</v>
      </c>
      <c r="GT118" s="50">
        <f t="shared" si="192"/>
        <v>0.72079967136793099</v>
      </c>
      <c r="GU118" s="50">
        <f t="shared" si="193"/>
        <v>0.24448856634259894</v>
      </c>
      <c r="GV118" s="50">
        <f t="shared" si="194"/>
        <v>3.471176228947008E-2</v>
      </c>
      <c r="GW118" s="51">
        <f t="shared" si="195"/>
        <v>31164</v>
      </c>
      <c r="GX118" s="51">
        <f t="shared" si="196"/>
        <v>20872</v>
      </c>
      <c r="GY118" s="14">
        <f>INT(SUMPRODUCT($AP118:$AT118,$BF118:$BJ118)/SUM($BF118:$BJ118)/10000*$BX$7*$BZ$46/'疲劳值&amp;地图信息'!$R$10*$BY$57)</f>
        <v>2029</v>
      </c>
      <c r="GZ118" s="50">
        <f t="shared" si="197"/>
        <v>0.57641727550171096</v>
      </c>
      <c r="HA118" s="50">
        <f t="shared" si="198"/>
        <v>0.38605382410061961</v>
      </c>
      <c r="HB118" s="50">
        <f t="shared" si="199"/>
        <v>3.7528900397669471E-2</v>
      </c>
      <c r="HD118" s="14">
        <f t="shared" si="200"/>
        <v>25993</v>
      </c>
      <c r="HE118" s="14">
        <f t="shared" si="201"/>
        <v>28939</v>
      </c>
      <c r="HF118" s="14">
        <f t="shared" si="202"/>
        <v>32905</v>
      </c>
      <c r="HG118" s="14">
        <f t="shared" si="203"/>
        <v>43818</v>
      </c>
      <c r="HH118" s="14">
        <f t="shared" si="204"/>
        <v>54065</v>
      </c>
      <c r="HI118" s="14">
        <f t="shared" si="205"/>
        <v>2992898</v>
      </c>
      <c r="HL118" s="14">
        <f t="shared" si="206"/>
        <v>430050</v>
      </c>
      <c r="HM118" s="50">
        <f t="shared" si="114"/>
        <v>0.12563731613801904</v>
      </c>
      <c r="HO118" s="14">
        <f t="shared" si="207"/>
        <v>3422948</v>
      </c>
    </row>
    <row r="119" spans="11:223" x14ac:dyDescent="0.2">
      <c r="K119" s="14">
        <v>114</v>
      </c>
      <c r="L119" s="12">
        <f>求节点(节奏总纲!D$4:D$163,标准城池设计!AB$4:AB$163,$K119)*求节点(节奏总纲!D$4:D$163,攻城基础信息!$AC$5:$AC$164,$K119)</f>
        <v>509117.05427876022</v>
      </c>
      <c r="M119" s="12">
        <f>INDEX(其他调用!$AA$5:$AA$404,MATCH(K119,其他调用!$X$5:$X$404,0))*MIN(INDEX(其他调用!$AH$5:$AH$364,MATCH('征服点（新）'!K119,其他调用!$AG$5:$AG$364,0),1)/INDEX(其他调用!$AJ$5:$AJ$364,MATCH(K119,其他调用!$AG$5:$AG$364,0),0),5)*求节点(节奏总纲!D$4:D$163,攻城基础信息!$AC$5:$AC$164,$K119)</f>
        <v>43474.712596401681</v>
      </c>
      <c r="N119" s="12">
        <f>MIN(INDEX(其他调用!$AH$5:$AH$364,MATCH($K119,其他调用!$AG$5:$AG$364,0),1)/INDEX(其他调用!AH$5:AH$364,MATCH($K119,其他调用!$AG$5:$AG$364,0),0),1)*INDEX(其他调用!Y$5:Y$404,MATCH($K119,其他调用!$X$5:$X$404,0),0)</f>
        <v>36895.115856019431</v>
      </c>
      <c r="O119" s="12">
        <f>MIN(INDEX(其他调用!$AH$5:$AH$364,MATCH($K119,其他调用!$AG$5:$AG$364,0),1)/INDEX(其他调用!AI$5:AI$364,MATCH($K119,其他调用!$AG$5:$AG$364,0),0),1)*INDEX(其他调用!Z$5:Z$404,MATCH($K119,其他调用!$X$5:$X$404,0),0)</f>
        <v>23289.531655218554</v>
      </c>
      <c r="P119" s="12">
        <f>MIN(INDEX(其他调用!$AH$5:$AH$364,MATCH($K119,其他调用!$AG$5:$AG$364,0),1)/INDEX(其他调用!AJ$5:AJ$364,MATCH($K119,其他调用!$AG$5:$AG$364,0),0),1)*INDEX(其他调用!AA$5:AA$404,MATCH($K119,其他调用!$X$5:$X$404,0),0)</f>
        <v>13957.119201529344</v>
      </c>
      <c r="Q119" s="12">
        <f>MIN(INDEX(其他调用!$AH$5:$AH$364,MATCH($K119,其他调用!$AG$5:$AG$364,0),1)/INDEX(其他调用!AK$5:AK$364,MATCH($K119,其他调用!$AG$5:$AG$364,0),0),1)*INDEX(其他调用!AB$5:AB$404,MATCH($K119,其他调用!$X$5:$X$404,0),0)</f>
        <v>5727.1418102958842</v>
      </c>
      <c r="R119" s="12">
        <f>MIN(INDEX(其他调用!$AH$5:$AH$364,MATCH($K119,其他调用!$AG$5:$AG$364,0),1)/INDEX(其他调用!AL$5:AL$364,MATCH($K119,其他调用!$AG$5:$AG$364,0),0),1)*INDEX(其他调用!AC$5:AC$404,MATCH($K119,其他调用!$X$5:$X$404,0),0)</f>
        <v>1792.1481624553471</v>
      </c>
      <c r="S119" s="12">
        <f>求节点(节奏总纲!D$4:D$163,标准城池设计!AC$4:AC$163,$K119)*求节点(节奏总纲!D$4:D$163,攻城基础信息!$AD$5:$AD$164,$K119)</f>
        <v>544469.14058293891</v>
      </c>
      <c r="T119" s="12">
        <f>INDEX(其他调用!$AA$5:$AA$404,MATCH($K119,其他调用!$X$5:$X$404,0))*MIN(INDEX(其他调用!AI$5:AI$364,MATCH($K119,其他调用!$AG$5:$AG$364,0),1)/INDEX(其他调用!$AJ$5:$AJ$364,MATCH($K119,其他调用!$AG$5:$AG$364,0),0),5)*求节点(节奏总纲!D$4:D$163,攻城基础信息!$AD$5:$AD$164,$K119)</f>
        <v>71011.808645628946</v>
      </c>
      <c r="U119" s="12">
        <f>MIN(INDEX(其他调用!$AI$5:$AI$364,MATCH($K119,其他调用!$AG$5:$AG$364,0),1)/INDEX(其他调用!AH$5:AH$364,MATCH($K119,其他调用!$AG$5:$AG$364,0),0),1)*INDEX(其他调用!Y$5:Y$404,MATCH($K119,其他调用!$X$5:$X$404,0),0)</f>
        <v>36895.115856019431</v>
      </c>
      <c r="V119" s="12">
        <f>MIN(INDEX(其他调用!$AI$5:$AI$364,MATCH($K119,其他调用!$AG$5:$AG$364,0),1)/INDEX(其他调用!AI$5:AI$364,MATCH($K119,其他调用!$AG$5:$AG$364,0),0),1)*INDEX(其他调用!Z$5:Z$404,MATCH($K119,其他调用!$X$5:$X$404,0),0)</f>
        <v>38041.235158931966</v>
      </c>
      <c r="W119" s="12">
        <f>MIN(INDEX(其他调用!$AI$5:$AI$364,MATCH($K119,其他调用!$AG$5:$AG$364,0),1)/INDEX(其他调用!AJ$5:AJ$364,MATCH($K119,其他调用!$AG$5:$AG$364,0),0),1)*INDEX(其他调用!AA$5:AA$404,MATCH($K119,其他调用!$X$5:$X$404,0),0)</f>
        <v>22797.626914393182</v>
      </c>
      <c r="X119" s="12">
        <f>MIN(INDEX(其他调用!$AI$5:$AI$364,MATCH($K119,其他调用!$AG$5:$AG$364,0),1)/INDEX(其他调用!AK$5:AK$364,MATCH($K119,其他调用!$AG$5:$AG$364,0),0),1)*INDEX(其他调用!AB$5:AB$404,MATCH($K119,其他调用!$X$5:$X$404,0),0)</f>
        <v>9354.7415044389181</v>
      </c>
      <c r="Y119" s="12">
        <f>MIN(INDEX(其他调用!$AI$5:$AI$364,MATCH($K119,其他调用!$AG$5:$AG$364,0),1)/INDEX(其他调用!AL$5:AL$364,MATCH($K119,其他调用!$AG$5:$AG$364,0),0),1)*INDEX(其他调用!AC$5:AC$404,MATCH($K119,其他调用!$X$5:$X$404,0),0)</f>
        <v>2927.3035927425094</v>
      </c>
      <c r="Z119" s="12">
        <f>求节点(节奏总纲!D$4:D$163,标准城池设计!AD$4:AD$163,$K119)*求节点(节奏总纲!D$4:D$163,攻城基础信息!$AE$5:$AE$164,$K119)</f>
        <v>585371.92699453572</v>
      </c>
      <c r="AA119" s="12">
        <f>INDEX(其他调用!$AA$5:$AA$404,MATCH($K119,其他调用!$X$5:$X$404,0))*MIN(INDEX(其他调用!AJ$5:AJ$364,MATCH($K119,其他调用!$AG$5:$AG$364,0),1)/INDEX(其他调用!$AJ$5:$AJ$364,MATCH($K119,其他调用!$AG$5:$AG$364,0),0),5)*求节点(节奏总纲!D$4:D$163,攻城基础信息!$AE$5:$AE$164,$K119)</f>
        <v>123208.77444463265</v>
      </c>
      <c r="AB119" s="12">
        <f>MIN(INDEX(其他调用!$AJ$5:$AJ$364,MATCH($K119,其他调用!$AG$5:$AG$364,0),1)/INDEX(其他调用!AH$5:AH$364,MATCH($K119,其他调用!$AG$5:$AG$364,0),0),1)*INDEX(其他调用!Y$5:Y$404,MATCH($K119,其他调用!$X$5:$X$404,0),0)</f>
        <v>36895.115856019431</v>
      </c>
      <c r="AC119" s="12">
        <f>MIN(INDEX(其他调用!$AJ$5:$AJ$364,MATCH($K119,其他调用!$AG$5:$AG$364,0),1)/INDEX(其他调用!AI$5:AI$364,MATCH($K119,其他调用!$AG$5:$AG$364,0),0),1)*INDEX(其他调用!Z$5:Z$404,MATCH($K119,其他调用!$X$5:$X$404,0),0)</f>
        <v>38041.235158931966</v>
      </c>
      <c r="AD119" s="12">
        <f>MIN(INDEX(其他调用!$AJ$5:$AJ$364,MATCH($K119,其他调用!$AG$5:$AG$364,0),1)/INDEX(其他调用!AJ$5:AJ$364,MATCH($K119,其他调用!$AG$5:$AG$364,0),0),1)*INDEX(其他调用!AA$5:AA$404,MATCH($K119,其他调用!$X$5:$X$404,0),0)</f>
        <v>39554.937776412386</v>
      </c>
      <c r="AE119" s="12">
        <f>MIN(INDEX(其他调用!$AJ$5:$AJ$364,MATCH($K119,其他调用!$AG$5:$AG$364,0),1)/INDEX(其他调用!AK$5:AK$364,MATCH($K119,其他调用!$AG$5:$AG$364,0),0),1)*INDEX(其他调用!AB$5:AB$404,MATCH($K119,其他调用!$X$5:$X$404,0),0)</f>
        <v>16230.909450004612</v>
      </c>
      <c r="AF119" s="12">
        <f>MIN(INDEX(其他调用!$AJ$5:$AJ$364,MATCH($K119,其他调用!$AG$5:$AG$364,0),1)/INDEX(其他调用!AL$5:AL$364,MATCH($K119,其他调用!$AG$5:$AG$364,0),0),1)*INDEX(其他调用!AC$5:AC$404,MATCH($K119,其他调用!$X$5:$X$404,0),0)</f>
        <v>5079.0072097589809</v>
      </c>
      <c r="AG119" s="12">
        <f>求节点(节奏总纲!D$4:D$163,标准城池设计!AE$4:AE$163,$K119)*求节点(节奏总纲!D$4:D$163,攻城基础信息!$AF$5:$AF$164,$K119)</f>
        <v>667054.54849243828</v>
      </c>
      <c r="AH119" s="12">
        <f>INDEX(其他调用!$AA$5:$AA$404,MATCH($K119,其他调用!$X$5:$X$404,0))*MIN(INDEX(其他调用!AK$5:AK$364,MATCH($K119,其他调用!$AG$5:$AG$364,0),1)/INDEX(其他调用!$AJ$5:$AJ$364,MATCH($K119,其他调用!$AG$5:$AG$364,0),0),5)*求节点(节奏总纲!D$4:D$163,攻城基础信息!$AF$5:$AF$164,$K119)</f>
        <v>316778.33954485663</v>
      </c>
      <c r="AI119" s="12">
        <f>MIN(INDEX(其他调用!$AK$5:$AK$364,MATCH($K119,其他调用!$AG$5:$AG$364,0),1)/INDEX(其他调用!AH$5:AH$364,MATCH($K119,其他调用!$AG$5:$AG$364,0),0),1)*INDEX(其他调用!Y$5:Y$404,MATCH($K119,其他调用!$X$5:$X$404,0),0)</f>
        <v>36895.115856019431</v>
      </c>
      <c r="AJ119" s="12">
        <f>MIN(INDEX(其他调用!$AK$5:$AK$364,MATCH($K119,其他调用!$AG$5:$AG$364,0),1)/INDEX(其他调用!AI$5:AI$364,MATCH($K119,其他调用!$AG$5:$AG$364,0),0),1)*INDEX(其他调用!Z$5:Z$404,MATCH($K119,其他调用!$X$5:$X$404,0),0)</f>
        <v>38041.235158931966</v>
      </c>
      <c r="AK119" s="12">
        <f>MIN(INDEX(其他调用!$AK$5:$AK$364,MATCH($K119,其他调用!$AG$5:$AG$364,0),1)/INDEX(其他调用!AJ$5:AJ$364,MATCH($K119,其他调用!$AG$5:$AG$364,0),0),1)*INDEX(其他调用!AA$5:AA$404,MATCH($K119,其他调用!$X$5:$X$404,0),0)</f>
        <v>39554.937776412386</v>
      </c>
      <c r="AL119" s="12">
        <f>MIN(INDEX(其他调用!$AK$5:$AK$364,MATCH($K119,其他调用!$AG$5:$AG$364,0),1)/INDEX(其他调用!AK$5:AK$364,MATCH($K119,其他调用!$AG$5:$AG$364,0),0),1)*INDEX(其他调用!AB$5:AB$404,MATCH($K119,其他调用!$X$5:$X$404,0),0)</f>
        <v>41730.79854134826</v>
      </c>
      <c r="AM119" s="12">
        <f>MIN(INDEX(其他调用!$AK$5:$AK$364,MATCH($K119,其他调用!$AG$5:$AG$364,0),1)/INDEX(其他调用!AL$5:AL$364,MATCH($K119,其他调用!$AG$5:$AG$364,0),0),1)*INDEX(其他调用!AC$5:AC$404,MATCH($K119,其他调用!$X$5:$X$404,0),0)</f>
        <v>13058.481246129259</v>
      </c>
      <c r="AN119" s="12">
        <f>求节点(节奏总纲!D$4:D$163,标准城池设计!AF$4:AF$163,$K119)*求节点(节奏总纲!D$4:D$163,攻城基础信息!$AG$5:$AG$164,$K119)</f>
        <v>658288.05625251145</v>
      </c>
      <c r="AO119" s="12">
        <f>INDEX(其他调用!$AA$5:$AA$404,MATCH($K119,其他调用!$X$5:$X$404,0))*MIN(INDEX(其他调用!AL$5:AL$364,MATCH($K119,其他调用!$AG$5:$AG$364,0),1)/INDEX(其他调用!$AJ$5:$AJ$364,MATCH($K119,其他调用!$AG$5:$AG$364,0),0),5)*求节点(节奏总纲!D$4:D$163,攻城基础信息!$AG$5:$AG$164,$K119)</f>
        <v>616043.87222316326</v>
      </c>
      <c r="AP119" s="12">
        <f>MIN(INDEX(其他调用!$AL$5:$AL$364,MATCH($K119,其他调用!$AG$5:$AG$364,0),1)/INDEX(其他调用!AH$5:AH$364,MATCH($K119,其他调用!$AG$5:$AG$364,0),0),1)*INDEX(其他调用!Y$5:Y$404,MATCH($K119,其他调用!$X$5:$X$404,0),0)</f>
        <v>36895.115856019431</v>
      </c>
      <c r="AQ119" s="12">
        <f>MIN(INDEX(其他调用!$AL$5:$AL$364,MATCH($K119,其他调用!$AG$5:$AG$364,0),1)/INDEX(其他调用!AI$5:AI$364,MATCH($K119,其他调用!$AG$5:$AG$364,0),0),1)*INDEX(其他调用!Z$5:Z$404,MATCH($K119,其他调用!$X$5:$X$404,0),0)</f>
        <v>38041.235158931966</v>
      </c>
      <c r="AR119" s="12">
        <f>MIN(INDEX(其他调用!$AL$5:$AL$364,MATCH($K119,其他调用!$AG$5:$AG$364,0),1)/INDEX(其他调用!AJ$5:AJ$364,MATCH($K119,其他调用!$AG$5:$AG$364,0),0),1)*INDEX(其他调用!AA$5:AA$404,MATCH($K119,其他调用!$X$5:$X$404,0),0)</f>
        <v>39554.937776412386</v>
      </c>
      <c r="AS119" s="12">
        <f>MIN(INDEX(其他调用!$AL$5:$AL$364,MATCH($K119,其他调用!$AG$5:$AG$364,0),1)/INDEX(其他调用!AK$5:AK$364,MATCH($K119,其他调用!$AG$5:$AG$364,0),0),1)*INDEX(其他调用!AB$5:AB$404,MATCH($K119,其他调用!$X$5:$X$404,0),0)</f>
        <v>41730.79854134826</v>
      </c>
      <c r="AT119" s="12">
        <f>MIN(INDEX(其他调用!$AL$5:$AL$364,MATCH($K119,其他调用!$AG$5:$AG$364,0),1)/INDEX(其他调用!AL$5:AL$364,MATCH($K119,其他调用!$AG$5:$AG$364,0),0),1)*INDEX(其他调用!AC$5:AC$404,MATCH($K119,其他调用!$X$5:$X$404,0),0)</f>
        <v>45613.586851830565</v>
      </c>
      <c r="AV119" s="14">
        <f>IF(OR(AV$5="大R",AV$5="超R"),MAX(INDEX(其他调用!$H$5:$L$404,MATCH($K119,其他调用!$B$5:$B$404,0),MATCH(AV$5,其他调用!$H$4:$L$4,0))*120*0.85,2),INDEX(其他调用!$H$5:$L$404,MATCH($K119,其他调用!$B$5:$B$404,0),MATCH(AV$5,其他调用!$H$4:$L$4,0))*120*0.85)</f>
        <v>48.921801254999991</v>
      </c>
      <c r="AW119" s="14">
        <f>IF(OR(AW$5="大R",AW$5="超R"),MAX(INDEX(其他调用!$H$5:$L$404,MATCH($K119,其他调用!$B$5:$B$404,0),MATCH(AW$5,其他调用!$H$4:$L$4,0))*120*0.85,2),INDEX(其他调用!$H$5:$L$404,MATCH($K119,其他调用!$B$5:$B$404,0),MATCH(AW$5,其他调用!$H$4:$L$4,0))*120*0.85)</f>
        <v>48.237344010638395</v>
      </c>
      <c r="AX119" s="14">
        <f>IF(OR(AX$5="大R",AX$5="超R"),MAX(INDEX(其他调用!$H$5:$L$404,MATCH($K119,其他调用!$B$5:$B$404,0),MATCH(AX$5,其他调用!$H$4:$L$4,0))*120*0.85,2),INDEX(其他调用!$H$5:$L$404,MATCH($K119,其他调用!$B$5:$B$404,0),MATCH(AX$5,其他调用!$H$4:$L$4,0))*120*0.85)</f>
        <v>3.9376284143615998</v>
      </c>
      <c r="AY119" s="14">
        <f>IF(OR(AY$5="大R",AY$5="超R"),MAX(INDEX(其他调用!$H$5:$L$404,MATCH($K119,其他调用!$B$5:$B$404,0),MATCH(AY$5,其他调用!$H$4:$L$4,0))*120*0.85,2),INDEX(其他调用!$H$5:$L$404,MATCH($K119,其他调用!$B$5:$B$404,0),MATCH(AY$5,其他调用!$H$4:$L$4,0))*120*0.85)</f>
        <v>2</v>
      </c>
      <c r="AZ119" s="14">
        <f>IF(OR(AZ$5="大R",AZ$5="超R"),MAX(INDEX(其他调用!$H$5:$L$404,MATCH($K119,其他调用!$B$5:$B$404,0),MATCH(AZ$5,其他调用!$H$4:$L$4,0))*120*0.85,2),INDEX(其他调用!$H$5:$L$404,MATCH($K119,其他调用!$B$5:$B$404,0),MATCH(AZ$5,其他调用!$H$4:$L$4,0))*120*0.85)</f>
        <v>2</v>
      </c>
      <c r="BA119" s="14">
        <f>INDEX(其他调用!$H$5:$L$404,MATCH($K119,其他调用!$B$5:$B$404,0),MATCH(BA$5,其他调用!$H$4:$L$4,0))*INDEX(其他调用!$M$5:$M$404,MATCH($K119,其他调用!$B$5:$B$404,0))*0.6</f>
        <v>28.777530149999997</v>
      </c>
      <c r="BB119" s="14">
        <f>INDEX(其他调用!$H$5:$L$404,MATCH($K119,其他调用!$B$5:$B$404,0),MATCH(BB$5,其他调用!$H$4:$L$4,0))*INDEX(其他调用!$M$5:$M$404,MATCH($K119,其他调用!$B$5:$B$404,0))*0.6</f>
        <v>28.374908241551999</v>
      </c>
      <c r="BC119" s="14">
        <f>INDEX(其他调用!$H$5:$L$404,MATCH($K119,其他调用!$B$5:$B$404,0),MATCH(BC$5,其他调用!$H$4:$L$4,0))*INDEX(其他调用!$M$5:$M$404,MATCH($K119,其他调用!$B$5:$B$404,0))*0.6</f>
        <v>2.3162520084480001</v>
      </c>
      <c r="BD119" s="14">
        <f>INDEX(其他调用!$H$5:$L$404,MATCH($K119,其他调用!$B$5:$B$404,0),MATCH(BD$5,其他调用!$H$4:$L$4,0))*INDEX(其他调用!$M$5:$M$404,MATCH($K119,其他调用!$B$5:$B$404,0))*0.6</f>
        <v>0.4120776000000001</v>
      </c>
      <c r="BE119" s="14">
        <f>INDEX(其他调用!$H$5:$L$404,MATCH($K119,其他调用!$B$5:$B$404,0),MATCH(BE$5,其他调用!$H$4:$L$4,0))*INDEX(其他调用!$M$5:$M$404,MATCH($K119,其他调用!$B$5:$B$404,0))*0.6</f>
        <v>0.11923199999999998</v>
      </c>
      <c r="BF119" s="14">
        <f>IF(OR(BF$5="大R",BF$5="超R"),0,INDEX(其他调用!$H$5:$L$404,MATCH($K119,其他调用!$B$5:$B$404,0),MATCH(BF$5,其他调用!$H$4:$L$4,0))*50*0.4)</f>
        <v>9.5925100500000013</v>
      </c>
      <c r="BG119" s="14">
        <f>IF(OR(BG$5="大R",BG$5="超R"),0,INDEX(其他调用!$H$5:$L$404,MATCH($K119,其他调用!$B$5:$B$404,0),MATCH(BG$5,其他调用!$H$4:$L$4,0))*50*0.4)</f>
        <v>9.4583027471839998</v>
      </c>
      <c r="BH119" s="14">
        <f>IF(OR(BH$5="大R",BH$5="超R"),0,INDEX(其他调用!$H$5:$L$404,MATCH($K119,其他调用!$B$5:$B$404,0),MATCH(BH$5,其他调用!$H$4:$L$4,0))*50*0.4)</f>
        <v>0.77208400281600009</v>
      </c>
      <c r="BI119" s="14">
        <f>IF(OR(BI$5="大R",BI$5="超R"),0,INDEX(其他调用!$H$5:$L$404,MATCH($K119,其他调用!$B$5:$B$404,0),MATCH(BI$5,其他调用!$H$4:$L$4,0))*50*0.4)</f>
        <v>0</v>
      </c>
      <c r="BJ119" s="14">
        <f>IF(OR(BJ$5="大R",BJ$5="超R"),0,INDEX(其他调用!$H$5:$L$404,MATCH($K119,其他调用!$B$5:$B$404,0),MATCH(BJ$5,其他调用!$H$4:$L$4,0))*50*0.4)</f>
        <v>0</v>
      </c>
      <c r="BL119" s="14">
        <f t="shared" si="208"/>
        <v>114</v>
      </c>
      <c r="BM119" s="14">
        <f t="shared" si="115"/>
        <v>96</v>
      </c>
      <c r="BN119" s="14">
        <f>('疲劳值&amp;地图信息'!$S$10*'疲劳值&amp;地图信息'!$R$10+'疲劳值&amp;地图信息'!$S$11*'疲劳值&amp;地图信息'!$R$11+'疲劳值&amp;地图信息'!$S$12*'疲劳值&amp;地图信息'!$R$12+(BM119-'疲劳值&amp;地图信息'!$S$12-'疲劳值&amp;地图信息'!$S$11-'疲劳值&amp;地图信息'!$S$10)*'疲劳值&amp;地图信息'!$R$13)/BM119</f>
        <v>51.371477246638619</v>
      </c>
      <c r="BO119" s="14">
        <f>INDEX(其他调用!$M$5:$M$404,MATCH(BL119,其他调用!$B$5:$B$404,0))*0.6</f>
        <v>60</v>
      </c>
      <c r="BP119" s="14">
        <f>IF(BO119&gt;SUM('疲劳值&amp;地图信息'!$S$10:$S$12),('疲劳值&amp;地图信息'!$S$10*'疲劳值&amp;地图信息'!$R$10+'疲劳值&amp;地图信息'!$S$11*'疲劳值&amp;地图信息'!$R$11+'疲劳值&amp;地图信息'!$S$12*'疲劳值&amp;地图信息'!$R$12+(BO119-'疲劳值&amp;地图信息'!$S$12-'疲劳值&amp;地图信息'!$S$11-'疲劳值&amp;地图信息'!$S$10)*'疲劳值&amp;地图信息'!$R$13)/BO119,('疲劳值&amp;地图信息'!$S$10*'疲劳值&amp;地图信息'!$R$10+'疲劳值&amp;地图信息'!$S$11*'疲劳值&amp;地图信息'!$R$11+'疲劳值&amp;地图信息'!$S$12*'疲劳值&amp;地图信息'!$R$12+(BO119-'疲劳值&amp;地图信息'!$S$12-'疲劳值&amp;地图信息'!$S$11-'疲劳值&amp;地图信息'!$S$10)*'疲劳值&amp;地图信息'!$R$13)/BO119)</f>
        <v>44.158136341605953</v>
      </c>
      <c r="BQ119" s="14">
        <f t="shared" si="209"/>
        <v>20</v>
      </c>
      <c r="BR119" s="14">
        <f>('疲劳值&amp;地图信息'!$S$10*'疲劳值&amp;地图信息'!$R$10+($BQ119-'疲劳值&amp;地图信息'!$S$10)*'疲劳值&amp;地图信息'!$R$11)/$BQ119</f>
        <v>32.067203015074995</v>
      </c>
      <c r="CF119" s="14">
        <v>114</v>
      </c>
      <c r="CG119" s="51">
        <f t="shared" si="116"/>
        <v>10376</v>
      </c>
      <c r="CH119" s="51">
        <f t="shared" si="117"/>
        <v>886</v>
      </c>
      <c r="CI119" s="51">
        <f>INT(SUMPRODUCT($N119:$R119,$BA119:$BE119)/SUM($BA119:$BE119)/10000*$BX$7*$BZ$34/'疲劳值&amp;地图信息'!$R$10*$BY$53)</f>
        <v>2972</v>
      </c>
      <c r="CJ119" s="50">
        <f t="shared" si="118"/>
        <v>0.72895883096810454</v>
      </c>
      <c r="CK119" s="50">
        <f t="shared" si="119"/>
        <v>6.2245328087677389E-2</v>
      </c>
      <c r="CL119" s="50">
        <f t="shared" si="120"/>
        <v>0.20879584094421808</v>
      </c>
      <c r="CM119" s="14">
        <f t="shared" si="121"/>
        <v>11096</v>
      </c>
      <c r="CN119" s="14">
        <f t="shared" si="122"/>
        <v>1447</v>
      </c>
      <c r="CO119" s="14">
        <f>INT(SUMPRODUCT($U119:$Y119,$BA119:$BE119)/SUM($BA119:$BE119)/10000*$BX$7*$BZ$34/'疲劳值&amp;地图信息'!$R$10*$BY$54)</f>
        <v>5576</v>
      </c>
      <c r="CP119" s="50">
        <f t="shared" si="123"/>
        <v>0.61239582758430378</v>
      </c>
      <c r="CQ119" s="50">
        <f t="shared" si="124"/>
        <v>7.9860919476792316E-2</v>
      </c>
      <c r="CR119" s="50">
        <f t="shared" si="125"/>
        <v>0.30774325293890392</v>
      </c>
      <c r="CS119" s="14">
        <f t="shared" si="126"/>
        <v>11930</v>
      </c>
      <c r="CT119" s="14">
        <f t="shared" si="127"/>
        <v>2511</v>
      </c>
      <c r="CU119" s="14">
        <f>INT(SUMPRODUCT($AB119:$AF119,$BA119:$BE119)/SUM($BA119:$BE119)/10000*$BX$7*$BZ$34/'疲劳值&amp;地图信息'!$R$10*$BY$55)</f>
        <v>7576</v>
      </c>
      <c r="CV119" s="50">
        <f t="shared" si="128"/>
        <v>0.54185402189217424</v>
      </c>
      <c r="CW119" s="50">
        <f t="shared" si="129"/>
        <v>0.11404823545442158</v>
      </c>
      <c r="CX119" s="50">
        <f t="shared" si="130"/>
        <v>0.3440977426534042</v>
      </c>
      <c r="CY119" s="14">
        <f t="shared" si="131"/>
        <v>13595</v>
      </c>
      <c r="CZ119" s="14">
        <f t="shared" si="132"/>
        <v>6456</v>
      </c>
      <c r="DA119" s="14">
        <f>INT(SUMPRODUCT($AI119:$AM119,$BA119:$BE119)/SUM($BA119:$BE119)/10000*$BX$7*$BZ$34/'疲劳值&amp;地图信息'!$R$10*$BY$56)</f>
        <v>11422</v>
      </c>
      <c r="DB119" s="50">
        <f t="shared" si="133"/>
        <v>0.43195755091665872</v>
      </c>
      <c r="DC119" s="50">
        <f t="shared" si="134"/>
        <v>0.20512820512820512</v>
      </c>
      <c r="DD119" s="50">
        <f t="shared" si="135"/>
        <v>0.36291424395513616</v>
      </c>
      <c r="DE119" s="14">
        <f t="shared" si="136"/>
        <v>13416</v>
      </c>
      <c r="DF119" s="14">
        <f t="shared" si="137"/>
        <v>12555</v>
      </c>
      <c r="DG119" s="14">
        <f>INT(SUMPRODUCT($AP119:$AT119,$BA119:$BE119)/SUM($BA119:$BE119)/10000*$BX$7*$BZ$34/'疲劳值&amp;地图信息'!$R$10*$BY$57)</f>
        <v>15256</v>
      </c>
      <c r="DH119" s="50">
        <f t="shared" si="138"/>
        <v>0.32541780871758796</v>
      </c>
      <c r="DI119" s="50">
        <f t="shared" si="139"/>
        <v>0.30453343682538142</v>
      </c>
      <c r="DJ119" s="50">
        <f t="shared" si="140"/>
        <v>0.37004875445703056</v>
      </c>
      <c r="DL119" s="14">
        <f t="shared" si="211"/>
        <v>14234</v>
      </c>
      <c r="DM119" s="14">
        <f t="shared" si="212"/>
        <v>18119</v>
      </c>
      <c r="DN119" s="14">
        <f t="shared" si="213"/>
        <v>22017</v>
      </c>
      <c r="DO119" s="14">
        <f t="shared" si="214"/>
        <v>31473</v>
      </c>
      <c r="DP119" s="14">
        <f t="shared" si="215"/>
        <v>41227</v>
      </c>
      <c r="DQ119" s="14">
        <f t="shared" si="216"/>
        <v>992626</v>
      </c>
      <c r="DT119" s="14">
        <f t="shared" si="210"/>
        <v>235575</v>
      </c>
      <c r="DU119" s="50">
        <f t="shared" si="112"/>
        <v>0.19180492443826377</v>
      </c>
      <c r="DW119" s="14">
        <f t="shared" si="141"/>
        <v>1228201</v>
      </c>
      <c r="EB119" s="14">
        <v>114</v>
      </c>
      <c r="EC119" s="51">
        <f t="shared" si="142"/>
        <v>17294</v>
      </c>
      <c r="ED119" s="51">
        <f t="shared" si="143"/>
        <v>1476</v>
      </c>
      <c r="EE119" s="51">
        <f>INT(SUMPRODUCT($N119:$R119,$BF119:$BJ119)/SUM($BF119:$BJ119)/10000*$BX$7*$BZ$46/'疲劳值&amp;地图信息'!$R$10*$BY$53)</f>
        <v>399</v>
      </c>
      <c r="EF119" s="50">
        <f t="shared" si="144"/>
        <v>0.90218582085659138</v>
      </c>
      <c r="EG119" s="50">
        <f t="shared" si="145"/>
        <v>7.6999321821691266E-2</v>
      </c>
      <c r="EH119" s="50">
        <f t="shared" si="146"/>
        <v>2.0814857321717357E-2</v>
      </c>
      <c r="EI119" s="51">
        <f t="shared" si="147"/>
        <v>18494</v>
      </c>
      <c r="EJ119" s="51">
        <f t="shared" si="148"/>
        <v>2412</v>
      </c>
      <c r="EK119" s="14">
        <f>INT(SUMPRODUCT($U119:$Y119,$BF119:$BJ119)/SUM($BF119:$BJ119)/10000*$BX$7*$BZ$46/'疲劳值&amp;地图信息'!$R$10*$BY$54)</f>
        <v>748</v>
      </c>
      <c r="EL119" s="50">
        <f t="shared" si="149"/>
        <v>0.8540685323727718</v>
      </c>
      <c r="EM119" s="50">
        <f t="shared" si="150"/>
        <v>0.1113881961762261</v>
      </c>
      <c r="EN119" s="50">
        <f t="shared" si="151"/>
        <v>3.4543271451002125E-2</v>
      </c>
      <c r="EO119" s="51">
        <f t="shared" si="152"/>
        <v>19884</v>
      </c>
      <c r="EP119" s="51">
        <f t="shared" si="153"/>
        <v>4185</v>
      </c>
      <c r="EQ119" s="14">
        <f>INT(SUMPRODUCT($AB119:$AF119,$BF119:$BJ119)/SUM($BF119:$BJ119)/10000*$BX$7*$BZ$46/'疲劳值&amp;地图信息'!$R$10*$BY$55)</f>
        <v>1015</v>
      </c>
      <c r="ER119" s="50">
        <f t="shared" si="154"/>
        <v>0.79269653962685382</v>
      </c>
      <c r="ES119" s="50">
        <f t="shared" si="155"/>
        <v>0.16683941955031095</v>
      </c>
      <c r="ET119" s="50">
        <f t="shared" si="156"/>
        <v>4.0464040822835272E-2</v>
      </c>
      <c r="EU119" s="51">
        <f t="shared" si="157"/>
        <v>22659</v>
      </c>
      <c r="EV119" s="51">
        <f t="shared" si="158"/>
        <v>10760</v>
      </c>
      <c r="EW119" s="14">
        <f>INT(SUMPRODUCT($AI119:$AM119,$BF119:$BJ119)/SUM($BF119:$BJ119)/10000*$BX$7*$BZ$46/'疲劳值&amp;地图信息'!$R$10*$BY$56)</f>
        <v>1523</v>
      </c>
      <c r="EX119" s="50">
        <f t="shared" si="159"/>
        <v>0.64847461507641235</v>
      </c>
      <c r="EY119" s="50">
        <f t="shared" si="160"/>
        <v>0.3079388701276401</v>
      </c>
      <c r="EZ119" s="50">
        <f t="shared" si="161"/>
        <v>4.3586514795947572E-2</v>
      </c>
      <c r="FA119" s="51">
        <f t="shared" si="162"/>
        <v>22361</v>
      </c>
      <c r="FB119" s="51">
        <f t="shared" si="163"/>
        <v>20926</v>
      </c>
      <c r="FC119" s="14">
        <f>INT(SUMPRODUCT($AP119:$AT119,$BF119:$BJ119)/SUM($BF119:$BJ119)/10000*$BX$7*$BZ$46/'疲劳值&amp;地图信息'!$R$10*$BY$57)</f>
        <v>2031</v>
      </c>
      <c r="FD119" s="50">
        <f t="shared" si="164"/>
        <v>0.49342424643629462</v>
      </c>
      <c r="FE119" s="50">
        <f t="shared" si="165"/>
        <v>0.46175912440972683</v>
      </c>
      <c r="FF119" s="50">
        <f t="shared" si="166"/>
        <v>4.4816629153978549E-2</v>
      </c>
      <c r="FH119" s="14">
        <f t="shared" si="167"/>
        <v>19169</v>
      </c>
      <c r="FI119" s="14">
        <f t="shared" si="168"/>
        <v>21654</v>
      </c>
      <c r="FJ119" s="14">
        <f t="shared" si="169"/>
        <v>25084</v>
      </c>
      <c r="FK119" s="14">
        <f t="shared" si="170"/>
        <v>34942</v>
      </c>
      <c r="FL119" s="14">
        <f t="shared" si="171"/>
        <v>45318</v>
      </c>
      <c r="FM119" s="14">
        <f t="shared" si="172"/>
        <v>2241604</v>
      </c>
      <c r="FP119" s="14">
        <f t="shared" si="173"/>
        <v>334150</v>
      </c>
      <c r="FQ119" s="50">
        <f t="shared" si="113"/>
        <v>0.12972900362379328</v>
      </c>
      <c r="FS119" s="14">
        <f t="shared" si="174"/>
        <v>2575754</v>
      </c>
      <c r="FX119" s="14">
        <v>114</v>
      </c>
      <c r="FY119" s="51">
        <f t="shared" si="175"/>
        <v>24211</v>
      </c>
      <c r="FZ119" s="51">
        <f t="shared" si="176"/>
        <v>1476</v>
      </c>
      <c r="GA119" s="51">
        <f>INT(SUMPRODUCT($N119:$R119,$BF119:$BJ119)/SUM($BF119:$BJ119)/10000*$BX$7*$BZ$46/'疲劳值&amp;地图信息'!$R$10*$BY$53)</f>
        <v>399</v>
      </c>
      <c r="GB119" s="50">
        <f t="shared" si="177"/>
        <v>0.92812236448669783</v>
      </c>
      <c r="GC119" s="50">
        <f t="shared" si="178"/>
        <v>5.6582074676071459E-2</v>
      </c>
      <c r="GD119" s="50">
        <f t="shared" si="179"/>
        <v>1.5295560837230698E-2</v>
      </c>
      <c r="GE119" s="51">
        <f t="shared" si="180"/>
        <v>25892</v>
      </c>
      <c r="GF119" s="51">
        <f t="shared" si="181"/>
        <v>2412</v>
      </c>
      <c r="GG119" s="14">
        <f>INT(SUMPRODUCT($U119:$Y119,$BF119:$BJ119)/SUM($BF119:$BJ119)/10000*$BX$7*$BZ$46/'疲劳值&amp;地图信息'!$R$10*$BY$54)</f>
        <v>748</v>
      </c>
      <c r="GH119" s="50">
        <f t="shared" si="182"/>
        <v>0.89122951948230755</v>
      </c>
      <c r="GI119" s="50">
        <f t="shared" si="183"/>
        <v>8.302354399008674E-2</v>
      </c>
      <c r="GJ119" s="50">
        <f t="shared" si="184"/>
        <v>2.5746936527605672E-2</v>
      </c>
      <c r="GK119" s="51">
        <f t="shared" si="185"/>
        <v>27838</v>
      </c>
      <c r="GL119" s="51">
        <f t="shared" si="186"/>
        <v>4185</v>
      </c>
      <c r="GM119" s="14">
        <f>INT(SUMPRODUCT($AB119:$AF119,$BF119:$BJ119)/SUM($BF119:$BJ119)/10000*$BX$7*$BZ$46/'疲劳值&amp;地图信息'!$R$10*$BY$55)</f>
        <v>1015</v>
      </c>
      <c r="GN119" s="50">
        <f t="shared" si="187"/>
        <v>0.84260548459349838</v>
      </c>
      <c r="GO119" s="50">
        <f t="shared" si="188"/>
        <v>0.12667231672619408</v>
      </c>
      <c r="GP119" s="50">
        <f t="shared" si="189"/>
        <v>3.0722198680307525E-2</v>
      </c>
      <c r="GQ119" s="51">
        <f t="shared" si="190"/>
        <v>31722</v>
      </c>
      <c r="GR119" s="51">
        <f t="shared" si="191"/>
        <v>10760</v>
      </c>
      <c r="GS119" s="14">
        <f>INT(SUMPRODUCT($AI119:$AM119,$BF119:$BJ119)/SUM($BF119:$BJ119)/10000*$BX$7*$BZ$46/'疲劳值&amp;地图信息'!$R$10*$BY$56)</f>
        <v>1523</v>
      </c>
      <c r="GT119" s="50">
        <f t="shared" si="192"/>
        <v>0.72087262811044195</v>
      </c>
      <c r="GU119" s="50">
        <f t="shared" si="193"/>
        <v>0.24451766844676742</v>
      </c>
      <c r="GV119" s="50">
        <f t="shared" si="194"/>
        <v>3.4609703442790594E-2</v>
      </c>
      <c r="GW119" s="51">
        <f t="shared" si="195"/>
        <v>31305</v>
      </c>
      <c r="GX119" s="51">
        <f t="shared" si="196"/>
        <v>20926</v>
      </c>
      <c r="GY119" s="14">
        <f>INT(SUMPRODUCT($AP119:$AT119,$BF119:$BJ119)/SUM($BF119:$BJ119)/10000*$BX$7*$BZ$46/'疲劳值&amp;地图信息'!$R$10*$BY$57)</f>
        <v>2031</v>
      </c>
      <c r="GZ119" s="50">
        <f t="shared" si="197"/>
        <v>0.57692307692307687</v>
      </c>
      <c r="HA119" s="50">
        <f t="shared" si="198"/>
        <v>0.38564741439681544</v>
      </c>
      <c r="HB119" s="50">
        <f t="shared" si="199"/>
        <v>3.7429508680107623E-2</v>
      </c>
      <c r="HD119" s="14">
        <f t="shared" si="200"/>
        <v>26086</v>
      </c>
      <c r="HE119" s="14">
        <f t="shared" si="201"/>
        <v>29052</v>
      </c>
      <c r="HF119" s="14">
        <f t="shared" si="202"/>
        <v>33038</v>
      </c>
      <c r="HG119" s="14">
        <f t="shared" si="203"/>
        <v>44005</v>
      </c>
      <c r="HH119" s="14">
        <f t="shared" si="204"/>
        <v>54262</v>
      </c>
      <c r="HI119" s="14">
        <f t="shared" si="205"/>
        <v>3004190</v>
      </c>
      <c r="HL119" s="14">
        <f t="shared" si="206"/>
        <v>430050</v>
      </c>
      <c r="HM119" s="50">
        <f t="shared" si="114"/>
        <v>0.12522421263510994</v>
      </c>
      <c r="HO119" s="14">
        <f t="shared" si="207"/>
        <v>3434240</v>
      </c>
    </row>
    <row r="120" spans="11:223" x14ac:dyDescent="0.2">
      <c r="K120" s="14">
        <v>115</v>
      </c>
      <c r="L120" s="12">
        <f>求节点(节奏总纲!D$4:D$163,标准城池设计!AB$4:AB$163,$K120)*求节点(节奏总纲!D$4:D$163,攻城基础信息!$AC$5:$AC$164,$K120)</f>
        <v>511004.18687464937</v>
      </c>
      <c r="M120" s="12">
        <f>INDEX(其他调用!$AA$5:$AA$404,MATCH(K120,其他调用!$X$5:$X$404,0))*MIN(INDEX(其他调用!$AH$5:$AH$364,MATCH('征服点（新）'!K120,其他调用!$AG$5:$AG$364,0),1)/INDEX(其他调用!$AJ$5:$AJ$364,MATCH(K120,其他调用!$AG$5:$AG$364,0),0),5)*求节点(节奏总纲!D$4:D$163,攻城基础信息!$AC$5:$AC$164,$K120)</f>
        <v>43564.945448527033</v>
      </c>
      <c r="N120" s="12">
        <f>MIN(INDEX(其他调用!$AH$5:$AH$364,MATCH($K120,其他调用!$AG$5:$AG$364,0),1)/INDEX(其他调用!AH$5:AH$364,MATCH($K120,其他调用!$AG$5:$AG$364,0),0),1)*INDEX(其他调用!Y$5:Y$404,MATCH($K120,其他调用!$X$5:$X$404,0),0)</f>
        <v>36945.724292567218</v>
      </c>
      <c r="O120" s="12">
        <f>MIN(INDEX(其他调用!$AH$5:$AH$364,MATCH($K120,其他调用!$AG$5:$AG$364,0),1)/INDEX(其他调用!AI$5:AI$364,MATCH($K120,其他调用!$AG$5:$AG$364,0),0),1)*INDEX(其他调用!Z$5:Z$404,MATCH($K120,其他调用!$X$5:$X$404,0),0)</f>
        <v>23302.276530311345</v>
      </c>
      <c r="P120" s="12">
        <f>MIN(INDEX(其他调用!$AH$5:$AH$364,MATCH($K120,其他调用!$AG$5:$AG$364,0),1)/INDEX(其他调用!AJ$5:AJ$364,MATCH($K120,其他调用!$AG$5:$AG$364,0),0),1)*INDEX(其他调用!AA$5:AA$404,MATCH($K120,其他调用!$X$5:$X$404,0),0)</f>
        <v>13967.398576644458</v>
      </c>
      <c r="Q120" s="12">
        <f>MIN(INDEX(其他调用!$AH$5:$AH$364,MATCH($K120,其他调用!$AG$5:$AG$364,0),1)/INDEX(其他调用!AK$5:AK$364,MATCH($K120,其他调用!$AG$5:$AG$364,0),0),1)*INDEX(其他调用!AB$5:AB$404,MATCH($K120,其他调用!$X$5:$X$404,0),0)</f>
        <v>5721.2734791236335</v>
      </c>
      <c r="R120" s="12">
        <f>MIN(INDEX(其他调用!$AH$5:$AH$364,MATCH($K120,其他调用!$AG$5:$AG$364,0),1)/INDEX(其他调用!AL$5:AL$364,MATCH($K120,其他调用!$AG$5:$AG$364,0),0),1)*INDEX(其他调用!AC$5:AC$404,MATCH($K120,其他调用!$X$5:$X$404,0),0)</f>
        <v>1792.3214921056037</v>
      </c>
      <c r="S120" s="12">
        <f>求节点(节奏总纲!D$4:D$163,标准城池设计!AC$4:AC$163,$K120)*求节点(节奏总纲!D$4:D$163,攻城基础信息!$AD$5:$AD$164,$K120)</f>
        <v>546700.02206997434</v>
      </c>
      <c r="T120" s="12">
        <f>INDEX(其他调用!$AA$5:$AA$404,MATCH($K120,其他调用!$X$5:$X$404,0))*MIN(INDEX(其他调用!AI$5:AI$364,MATCH($K120,其他调用!$AG$5:$AG$364,0),1)/INDEX(其他调用!$AJ$5:$AJ$364,MATCH($K120,其他调用!$AG$5:$AG$364,0),0),5)*求节点(节奏总纲!D$4:D$163,攻城基础信息!$AD$5:$AD$164,$K120)</f>
        <v>71213.464663660547</v>
      </c>
      <c r="U120" s="12">
        <f>MIN(INDEX(其他调用!$AI$5:$AI$364,MATCH($K120,其他调用!$AG$5:$AG$364,0),1)/INDEX(其他调用!AH$5:AH$364,MATCH($K120,其他调用!$AG$5:$AG$364,0),0),1)*INDEX(其他调用!Y$5:Y$404,MATCH($K120,其他调用!$X$5:$X$404,0),0)</f>
        <v>36945.724292567218</v>
      </c>
      <c r="V120" s="12">
        <f>MIN(INDEX(其他调用!$AI$5:$AI$364,MATCH($K120,其他调用!$AG$5:$AG$364,0),1)/INDEX(其他调用!AI$5:AI$364,MATCH($K120,其他调用!$AG$5:$AG$364,0),0),1)*INDEX(其他调用!Z$5:Z$404,MATCH($K120,其他调用!$X$5:$X$404,0),0)</f>
        <v>38091.080550871673</v>
      </c>
      <c r="W120" s="12">
        <f>MIN(INDEX(其他调用!$AI$5:$AI$364,MATCH($K120,其他调用!$AG$5:$AG$364,0),1)/INDEX(其他调用!AJ$5:AJ$364,MATCH($K120,其他调用!$AG$5:$AG$364,0),0),1)*INDEX(其他调用!AA$5:AA$404,MATCH($K120,其他调用!$X$5:$X$404,0),0)</f>
        <v>22831.816607147004</v>
      </c>
      <c r="X120" s="12">
        <f>MIN(INDEX(其他调用!$AI$5:$AI$364,MATCH($K120,其他调用!$AG$5:$AG$364,0),1)/INDEX(其他调用!AK$5:AK$364,MATCH($K120,其他调用!$AG$5:$AG$364,0),0),1)*INDEX(其他调用!AB$5:AB$404,MATCH($K120,其他调用!$X$5:$X$404,0),0)</f>
        <v>9352.2831841508651</v>
      </c>
      <c r="Y120" s="12">
        <f>MIN(INDEX(其他调用!$AI$5:$AI$364,MATCH($K120,其他调用!$AG$5:$AG$364,0),1)/INDEX(其他调用!AL$5:AL$364,MATCH($K120,其他调用!$AG$5:$AG$364,0),0),1)*INDEX(其他调用!AC$5:AC$404,MATCH($K120,其他调用!$X$5:$X$404,0),0)</f>
        <v>2929.8194208641494</v>
      </c>
      <c r="Z120" s="12">
        <f>求节点(节奏总纲!D$4:D$163,标准城池设计!AD$4:AD$163,$K120)*求节点(节奏总纲!D$4:D$163,攻城基础信息!$AE$5:$AE$164,$K120)</f>
        <v>587919.29665227374</v>
      </c>
      <c r="AA120" s="12">
        <f>INDEX(其他调用!$AA$5:$AA$404,MATCH($K120,其他调用!$X$5:$X$404,0))*MIN(INDEX(其他调用!AJ$5:AJ$364,MATCH($K120,其他调用!$AG$5:$AG$364,0),1)/INDEX(其他调用!$AJ$5:$AJ$364,MATCH($K120,其他调用!$AG$5:$AG$364,0),0),5)*求节点(节奏总纲!D$4:D$163,攻城基础信息!$AE$5:$AE$164,$K120)</f>
        <v>123527.98765831611</v>
      </c>
      <c r="AB120" s="12">
        <f>MIN(INDEX(其他调用!$AJ$5:$AJ$364,MATCH($K120,其他调用!$AG$5:$AG$364,0),1)/INDEX(其他调用!AH$5:AH$364,MATCH($K120,其他调用!$AG$5:$AG$364,0),0),1)*INDEX(其他调用!Y$5:Y$404,MATCH($K120,其他调用!$X$5:$X$404,0),0)</f>
        <v>36945.724292567218</v>
      </c>
      <c r="AC120" s="12">
        <f>MIN(INDEX(其他调用!$AJ$5:$AJ$364,MATCH($K120,其他调用!$AG$5:$AG$364,0),1)/INDEX(其他调用!AI$5:AI$364,MATCH($K120,其他调用!$AG$5:$AG$364,0),0),1)*INDEX(其他调用!Z$5:Z$404,MATCH($K120,其他调用!$X$5:$X$404,0),0)</f>
        <v>38091.080550871673</v>
      </c>
      <c r="AD120" s="12">
        <f>MIN(INDEX(其他调用!$AJ$5:$AJ$364,MATCH($K120,其他调用!$AG$5:$AG$364,0),1)/INDEX(其他调用!AJ$5:AJ$364,MATCH($K120,其他调用!$AG$5:$AG$364,0),0),1)*INDEX(其他调用!AA$5:AA$404,MATCH($K120,其他调用!$X$5:$X$404,0),0)</f>
        <v>39604.425558918141</v>
      </c>
      <c r="AE120" s="12">
        <f>MIN(INDEX(其他调用!$AJ$5:$AJ$364,MATCH($K120,其他调用!$AG$5:$AG$364,0),1)/INDEX(其他调用!AK$5:AK$364,MATCH($K120,其他调用!$AG$5:$AG$364,0),0),1)*INDEX(其他调用!AB$5:AB$404,MATCH($K120,其他调用!$X$5:$X$404,0),0)</f>
        <v>16222.616428019212</v>
      </c>
      <c r="AF120" s="12">
        <f>MIN(INDEX(其他调用!$AJ$5:$AJ$364,MATCH($K120,其他调用!$AG$5:$AG$364,0),1)/INDEX(其他调用!AL$5:AL$364,MATCH($K120,其他调用!$AG$5:$AG$364,0),0),1)*INDEX(其他调用!AC$5:AC$404,MATCH($K120,其他调用!$X$5:$X$404,0),0)</f>
        <v>5082.1105105743109</v>
      </c>
      <c r="AG120" s="12">
        <f>求节点(节奏总纲!D$4:D$163,标准城池设计!AE$4:AE$163,$K120)*求节点(节奏总纲!D$4:D$163,攻城基础信息!$AF$5:$AF$164,$K120)</f>
        <v>669957.26912757102</v>
      </c>
      <c r="AH120" s="12">
        <f>INDEX(其他调用!$AA$5:$AA$404,MATCH($K120,其他调用!$X$5:$X$404,0))*MIN(INDEX(其他调用!AK$5:AK$364,MATCH($K120,其他调用!$AG$5:$AG$364,0),1)/INDEX(其他调用!$AJ$5:$AJ$364,MATCH($K120,其他调用!$AG$5:$AG$364,0),0),5)*求节点(节奏总纲!D$4:D$163,攻城基础信息!$AF$5:$AF$164,$K120)</f>
        <v>318160.34133389458</v>
      </c>
      <c r="AI120" s="12">
        <f>MIN(INDEX(其他调用!$AK$5:$AK$364,MATCH($K120,其他调用!$AG$5:$AG$364,0),1)/INDEX(其他调用!AH$5:AH$364,MATCH($K120,其他调用!$AG$5:$AG$364,0),0),1)*INDEX(其他调用!Y$5:Y$404,MATCH($K120,其他调用!$X$5:$X$404,0),0)</f>
        <v>36945.724292567218</v>
      </c>
      <c r="AJ120" s="12">
        <f>MIN(INDEX(其他调用!$AK$5:$AK$364,MATCH($K120,其他调用!$AG$5:$AG$364,0),1)/INDEX(其他调用!AI$5:AI$364,MATCH($K120,其他调用!$AG$5:$AG$364,0),0),1)*INDEX(其他调用!Z$5:Z$404,MATCH($K120,其他调用!$X$5:$X$404,0),0)</f>
        <v>38091.080550871673</v>
      </c>
      <c r="AK120" s="12">
        <f>MIN(INDEX(其他调用!$AK$5:$AK$364,MATCH($K120,其他调用!$AG$5:$AG$364,0),1)/INDEX(其他调用!AJ$5:AJ$364,MATCH($K120,其他调用!$AG$5:$AG$364,0),0),1)*INDEX(其他调用!AA$5:AA$404,MATCH($K120,其他调用!$X$5:$X$404,0),0)</f>
        <v>39604.425558918141</v>
      </c>
      <c r="AL120" s="12">
        <f>MIN(INDEX(其他调用!$AK$5:$AK$364,MATCH($K120,其他调用!$AG$5:$AG$364,0),1)/INDEX(其他调用!AK$5:AK$364,MATCH($K120,其他调用!$AG$5:$AG$364,0),0),1)*INDEX(其他调用!AB$5:AB$404,MATCH($K120,其他调用!$X$5:$X$404,0),0)</f>
        <v>41783.188392448203</v>
      </c>
      <c r="AM120" s="12">
        <f>MIN(INDEX(其他调用!$AK$5:$AK$364,MATCH($K120,其他调用!$AG$5:$AG$364,0),1)/INDEX(其他调用!AL$5:AL$364,MATCH($K120,其他调用!$AG$5:$AG$364,0),0),1)*INDEX(其他调用!AC$5:AC$404,MATCH($K120,其他调用!$X$5:$X$404,0),0)</f>
        <v>13089.551974354064</v>
      </c>
      <c r="AN120" s="12">
        <f>求节点(节奏总纲!D$4:D$163,标准城池设计!AF$4:AF$163,$K120)*求节点(节奏总纲!D$4:D$163,攻城基础信息!$AG$5:$AG$164,$K120)</f>
        <v>661258.06754191918</v>
      </c>
      <c r="AO120" s="12">
        <f>INDEX(其他调用!$AA$5:$AA$404,MATCH($K120,其他调用!$X$5:$X$404,0))*MIN(INDEX(其他调用!AL$5:AL$364,MATCH($K120,其他调用!$AG$5:$AG$364,0),1)/INDEX(其他调用!$AJ$5:$AJ$364,MATCH($K120,其他调用!$AG$5:$AG$364,0),0),5)*求节点(节奏总纲!D$4:D$163,攻城基础信息!$AG$5:$AG$164,$K120)</f>
        <v>617639.93829158053</v>
      </c>
      <c r="AP120" s="12">
        <f>MIN(INDEX(其他调用!$AL$5:$AL$364,MATCH($K120,其他调用!$AG$5:$AG$364,0),1)/INDEX(其他调用!AH$5:AH$364,MATCH($K120,其他调用!$AG$5:$AG$364,0),0),1)*INDEX(其他调用!Y$5:Y$404,MATCH($K120,其他调用!$X$5:$X$404,0),0)</f>
        <v>36945.724292567218</v>
      </c>
      <c r="AQ120" s="12">
        <f>MIN(INDEX(其他调用!$AL$5:$AL$364,MATCH($K120,其他调用!$AG$5:$AG$364,0),1)/INDEX(其他调用!AI$5:AI$364,MATCH($K120,其他调用!$AG$5:$AG$364,0),0),1)*INDEX(其他调用!Z$5:Z$404,MATCH($K120,其他调用!$X$5:$X$404,0),0)</f>
        <v>38091.080550871673</v>
      </c>
      <c r="AR120" s="12">
        <f>MIN(INDEX(其他调用!$AL$5:$AL$364,MATCH($K120,其他调用!$AG$5:$AG$364,0),1)/INDEX(其他调用!AJ$5:AJ$364,MATCH($K120,其他调用!$AG$5:$AG$364,0),0),1)*INDEX(其他调用!AA$5:AA$404,MATCH($K120,其他调用!$X$5:$X$404,0),0)</f>
        <v>39604.425558918141</v>
      </c>
      <c r="AS120" s="12">
        <f>MIN(INDEX(其他调用!$AL$5:$AL$364,MATCH($K120,其他调用!$AG$5:$AG$364,0),1)/INDEX(其他调用!AK$5:AK$364,MATCH($K120,其他调用!$AG$5:$AG$364,0),0),1)*INDEX(其他调用!AB$5:AB$404,MATCH($K120,其他调用!$X$5:$X$404,0),0)</f>
        <v>41783.188392448203</v>
      </c>
      <c r="AT120" s="12">
        <f>MIN(INDEX(其他调用!$AL$5:$AL$364,MATCH($K120,其他调用!$AG$5:$AG$364,0),1)/INDEX(其他调用!AL$5:AL$364,MATCH($K120,其他调用!$AG$5:$AG$364,0),0),1)*INDEX(其他调用!AC$5:AC$404,MATCH($K120,其他调用!$X$5:$X$404,0),0)</f>
        <v>45668.414945226345</v>
      </c>
      <c r="AV120" s="14">
        <f>IF(OR(AV$5="大R",AV$5="超R"),MAX(INDEX(其他调用!$H$5:$L$404,MATCH($K120,其他调用!$B$5:$B$404,0),MATCH(AV$5,其他调用!$H$4:$L$4,0))*120*0.85,2),INDEX(其他调用!$H$5:$L$404,MATCH($K120,其他调用!$B$5:$B$404,0),MATCH(AV$5,其他调用!$H$4:$L$4,0))*120*0.85)</f>
        <v>48.921801254999991</v>
      </c>
      <c r="AW120" s="14">
        <f>IF(OR(AW$5="大R",AW$5="超R"),MAX(INDEX(其他调用!$H$5:$L$404,MATCH($K120,其他调用!$B$5:$B$404,0),MATCH(AW$5,其他调用!$H$4:$L$4,0))*120*0.85,2),INDEX(其他调用!$H$5:$L$404,MATCH($K120,其他调用!$B$5:$B$404,0),MATCH(AW$5,其他调用!$H$4:$L$4,0))*120*0.85)</f>
        <v>48.237344010638395</v>
      </c>
      <c r="AX120" s="14">
        <f>IF(OR(AX$5="大R",AX$5="超R"),MAX(INDEX(其他调用!$H$5:$L$404,MATCH($K120,其他调用!$B$5:$B$404,0),MATCH(AX$5,其他调用!$H$4:$L$4,0))*120*0.85,2),INDEX(其他调用!$H$5:$L$404,MATCH($K120,其他调用!$B$5:$B$404,0),MATCH(AX$5,其他调用!$H$4:$L$4,0))*120*0.85)</f>
        <v>3.9376284143615998</v>
      </c>
      <c r="AY120" s="14">
        <f>IF(OR(AY$5="大R",AY$5="超R"),MAX(INDEX(其他调用!$H$5:$L$404,MATCH($K120,其他调用!$B$5:$B$404,0),MATCH(AY$5,其他调用!$H$4:$L$4,0))*120*0.85,2),INDEX(其他调用!$H$5:$L$404,MATCH($K120,其他调用!$B$5:$B$404,0),MATCH(AY$5,其他调用!$H$4:$L$4,0))*120*0.85)</f>
        <v>2</v>
      </c>
      <c r="AZ120" s="14">
        <f>IF(OR(AZ$5="大R",AZ$5="超R"),MAX(INDEX(其他调用!$H$5:$L$404,MATCH($K120,其他调用!$B$5:$B$404,0),MATCH(AZ$5,其他调用!$H$4:$L$4,0))*120*0.85,2),INDEX(其他调用!$H$5:$L$404,MATCH($K120,其他调用!$B$5:$B$404,0),MATCH(AZ$5,其他调用!$H$4:$L$4,0))*120*0.85)</f>
        <v>2</v>
      </c>
      <c r="BA120" s="14">
        <f>INDEX(其他调用!$H$5:$L$404,MATCH($K120,其他调用!$B$5:$B$404,0),MATCH(BA$5,其他调用!$H$4:$L$4,0))*INDEX(其他调用!$M$5:$M$404,MATCH($K120,其他调用!$B$5:$B$404,0))*0.6</f>
        <v>28.777530149999997</v>
      </c>
      <c r="BB120" s="14">
        <f>INDEX(其他调用!$H$5:$L$404,MATCH($K120,其他调用!$B$5:$B$404,0),MATCH(BB$5,其他调用!$H$4:$L$4,0))*INDEX(其他调用!$M$5:$M$404,MATCH($K120,其他调用!$B$5:$B$404,0))*0.6</f>
        <v>28.374908241551999</v>
      </c>
      <c r="BC120" s="14">
        <f>INDEX(其他调用!$H$5:$L$404,MATCH($K120,其他调用!$B$5:$B$404,0),MATCH(BC$5,其他调用!$H$4:$L$4,0))*INDEX(其他调用!$M$5:$M$404,MATCH($K120,其他调用!$B$5:$B$404,0))*0.6</f>
        <v>2.3162520084480001</v>
      </c>
      <c r="BD120" s="14">
        <f>INDEX(其他调用!$H$5:$L$404,MATCH($K120,其他调用!$B$5:$B$404,0),MATCH(BD$5,其他调用!$H$4:$L$4,0))*INDEX(其他调用!$M$5:$M$404,MATCH($K120,其他调用!$B$5:$B$404,0))*0.6</f>
        <v>0.4120776000000001</v>
      </c>
      <c r="BE120" s="14">
        <f>INDEX(其他调用!$H$5:$L$404,MATCH($K120,其他调用!$B$5:$B$404,0),MATCH(BE$5,其他调用!$H$4:$L$4,0))*INDEX(其他调用!$M$5:$M$404,MATCH($K120,其他调用!$B$5:$B$404,0))*0.6</f>
        <v>0.11923199999999998</v>
      </c>
      <c r="BF120" s="14">
        <f>IF(OR(BF$5="大R",BF$5="超R"),0,INDEX(其他调用!$H$5:$L$404,MATCH($K120,其他调用!$B$5:$B$404,0),MATCH(BF$5,其他调用!$H$4:$L$4,0))*50*0.4)</f>
        <v>9.5925100500000013</v>
      </c>
      <c r="BG120" s="14">
        <f>IF(OR(BG$5="大R",BG$5="超R"),0,INDEX(其他调用!$H$5:$L$404,MATCH($K120,其他调用!$B$5:$B$404,0),MATCH(BG$5,其他调用!$H$4:$L$4,0))*50*0.4)</f>
        <v>9.4583027471839998</v>
      </c>
      <c r="BH120" s="14">
        <f>IF(OR(BH$5="大R",BH$5="超R"),0,INDEX(其他调用!$H$5:$L$404,MATCH($K120,其他调用!$B$5:$B$404,0),MATCH(BH$5,其他调用!$H$4:$L$4,0))*50*0.4)</f>
        <v>0.77208400281600009</v>
      </c>
      <c r="BI120" s="14">
        <f>IF(OR(BI$5="大R",BI$5="超R"),0,INDEX(其他调用!$H$5:$L$404,MATCH($K120,其他调用!$B$5:$B$404,0),MATCH(BI$5,其他调用!$H$4:$L$4,0))*50*0.4)</f>
        <v>0</v>
      </c>
      <c r="BJ120" s="14">
        <f>IF(OR(BJ$5="大R",BJ$5="超R"),0,INDEX(其他调用!$H$5:$L$404,MATCH($K120,其他调用!$B$5:$B$404,0),MATCH(BJ$5,其他调用!$H$4:$L$4,0))*50*0.4)</f>
        <v>0</v>
      </c>
      <c r="BL120" s="14">
        <f t="shared" si="208"/>
        <v>115</v>
      </c>
      <c r="BM120" s="14">
        <f t="shared" si="115"/>
        <v>96</v>
      </c>
      <c r="BN120" s="14">
        <f>('疲劳值&amp;地图信息'!$S$10*'疲劳值&amp;地图信息'!$R$10+'疲劳值&amp;地图信息'!$S$11*'疲劳值&amp;地图信息'!$R$11+'疲劳值&amp;地图信息'!$S$12*'疲劳值&amp;地图信息'!$R$12+(BM120-'疲劳值&amp;地图信息'!$S$12-'疲劳值&amp;地图信息'!$S$11-'疲劳值&amp;地图信息'!$S$10)*'疲劳值&amp;地图信息'!$R$13)/BM120</f>
        <v>51.371477246638619</v>
      </c>
      <c r="BO120" s="14">
        <f>INDEX(其他调用!$M$5:$M$404,MATCH(BL120,其他调用!$B$5:$B$404,0))*0.6</f>
        <v>60</v>
      </c>
      <c r="BP120" s="14">
        <f>IF(BO120&gt;SUM('疲劳值&amp;地图信息'!$S$10:$S$12),('疲劳值&amp;地图信息'!$S$10*'疲劳值&amp;地图信息'!$R$10+'疲劳值&amp;地图信息'!$S$11*'疲劳值&amp;地图信息'!$R$11+'疲劳值&amp;地图信息'!$S$12*'疲劳值&amp;地图信息'!$R$12+(BO120-'疲劳值&amp;地图信息'!$S$12-'疲劳值&amp;地图信息'!$S$11-'疲劳值&amp;地图信息'!$S$10)*'疲劳值&amp;地图信息'!$R$13)/BO120,('疲劳值&amp;地图信息'!$S$10*'疲劳值&amp;地图信息'!$R$10+'疲劳值&amp;地图信息'!$S$11*'疲劳值&amp;地图信息'!$R$11+'疲劳值&amp;地图信息'!$S$12*'疲劳值&amp;地图信息'!$R$12+(BO120-'疲劳值&amp;地图信息'!$S$12-'疲劳值&amp;地图信息'!$S$11-'疲劳值&amp;地图信息'!$S$10)*'疲劳值&amp;地图信息'!$R$13)/BO120)</f>
        <v>44.158136341605953</v>
      </c>
      <c r="BQ120" s="14">
        <f t="shared" si="209"/>
        <v>20</v>
      </c>
      <c r="BR120" s="14">
        <f>('疲劳值&amp;地图信息'!$S$10*'疲劳值&amp;地图信息'!$R$10+($BQ120-'疲劳值&amp;地图信息'!$S$10)*'疲劳值&amp;地图信息'!$R$11)/$BQ120</f>
        <v>32.067203015074995</v>
      </c>
      <c r="CF120" s="14">
        <v>115</v>
      </c>
      <c r="CG120" s="51">
        <f t="shared" si="116"/>
        <v>10414</v>
      </c>
      <c r="CH120" s="51">
        <f t="shared" si="117"/>
        <v>887</v>
      </c>
      <c r="CI120" s="51">
        <f>INT(SUMPRODUCT($N120:$R120,$BA120:$BE120)/SUM($BA120:$BE120)/10000*$BX$7*$BZ$34/'疲劳值&amp;地图信息'!$R$10*$BY$53)</f>
        <v>2975</v>
      </c>
      <c r="CJ120" s="50">
        <f t="shared" si="118"/>
        <v>0.72947604370972263</v>
      </c>
      <c r="CK120" s="50">
        <f t="shared" si="119"/>
        <v>6.2132249929952366E-2</v>
      </c>
      <c r="CL120" s="50">
        <f t="shared" si="120"/>
        <v>0.20839170636032503</v>
      </c>
      <c r="CM120" s="14">
        <f t="shared" si="121"/>
        <v>11142</v>
      </c>
      <c r="CN120" s="14">
        <f t="shared" si="122"/>
        <v>1451</v>
      </c>
      <c r="CO120" s="14">
        <f>INT(SUMPRODUCT($U120:$Y120,$BA120:$BE120)/SUM($BA120:$BE120)/10000*$BX$7*$BZ$34/'疲劳值&amp;地图信息'!$R$10*$BY$54)</f>
        <v>5583</v>
      </c>
      <c r="CP120" s="50">
        <f t="shared" si="123"/>
        <v>0.613006161971831</v>
      </c>
      <c r="CQ120" s="50">
        <f t="shared" si="124"/>
        <v>7.983054577464789E-2</v>
      </c>
      <c r="CR120" s="50">
        <f t="shared" si="125"/>
        <v>0.30716329225352113</v>
      </c>
      <c r="CS120" s="14">
        <f t="shared" si="126"/>
        <v>11982</v>
      </c>
      <c r="CT120" s="14">
        <f t="shared" si="127"/>
        <v>2517</v>
      </c>
      <c r="CU120" s="14">
        <f>INT(SUMPRODUCT($AB120:$AF120,$BA120:$BE120)/SUM($BA120:$BE120)/10000*$BX$7*$BZ$34/'疲劳值&amp;地图信息'!$R$10*$BY$55)</f>
        <v>7586</v>
      </c>
      <c r="CV120" s="50">
        <f t="shared" si="128"/>
        <v>0.5425401856463663</v>
      </c>
      <c r="CW120" s="50">
        <f t="shared" si="129"/>
        <v>0.11396875707493774</v>
      </c>
      <c r="CX120" s="50">
        <f t="shared" si="130"/>
        <v>0.34349105727869594</v>
      </c>
      <c r="CY120" s="14">
        <f t="shared" si="131"/>
        <v>13654</v>
      </c>
      <c r="CZ120" s="14">
        <f t="shared" si="132"/>
        <v>6484</v>
      </c>
      <c r="DA120" s="14">
        <f>INT(SUMPRODUCT($AI120:$AM120,$BA120:$BE120)/SUM($BA120:$BE120)/10000*$BX$7*$BZ$34/'疲劳值&amp;地图信息'!$R$10*$BY$56)</f>
        <v>11438</v>
      </c>
      <c r="DB120" s="50">
        <f t="shared" si="133"/>
        <v>0.43241702558905498</v>
      </c>
      <c r="DC120" s="50">
        <f t="shared" si="134"/>
        <v>0.20534583227767925</v>
      </c>
      <c r="DD120" s="50">
        <f t="shared" si="135"/>
        <v>0.36223714213326574</v>
      </c>
      <c r="DE120" s="14">
        <f t="shared" si="136"/>
        <v>13477</v>
      </c>
      <c r="DF120" s="14">
        <f t="shared" si="137"/>
        <v>12588</v>
      </c>
      <c r="DG120" s="14">
        <f>INT(SUMPRODUCT($AP120:$AT120,$BA120:$BE120)/SUM($BA120:$BE120)/10000*$BX$7*$BZ$34/'疲劳值&amp;地图信息'!$R$10*$BY$57)</f>
        <v>15277</v>
      </c>
      <c r="DH120" s="50">
        <f t="shared" si="138"/>
        <v>0.325988099269508</v>
      </c>
      <c r="DI120" s="50">
        <f t="shared" si="139"/>
        <v>0.3044845435634464</v>
      </c>
      <c r="DJ120" s="50">
        <f t="shared" si="140"/>
        <v>0.3695273571670456</v>
      </c>
      <c r="DL120" s="14">
        <f t="shared" si="211"/>
        <v>14276</v>
      </c>
      <c r="DM120" s="14">
        <f t="shared" si="212"/>
        <v>18176</v>
      </c>
      <c r="DN120" s="14">
        <f t="shared" si="213"/>
        <v>22085</v>
      </c>
      <c r="DO120" s="14">
        <f t="shared" si="214"/>
        <v>31576</v>
      </c>
      <c r="DP120" s="14">
        <f t="shared" si="215"/>
        <v>41342</v>
      </c>
      <c r="DQ120" s="14">
        <f t="shared" si="216"/>
        <v>995665</v>
      </c>
      <c r="DT120" s="14">
        <f t="shared" si="210"/>
        <v>235575</v>
      </c>
      <c r="DU120" s="50">
        <f t="shared" si="112"/>
        <v>0.19133150320002598</v>
      </c>
      <c r="DW120" s="14">
        <f t="shared" si="141"/>
        <v>1231240</v>
      </c>
      <c r="EB120" s="14">
        <v>115</v>
      </c>
      <c r="EC120" s="51">
        <f t="shared" si="142"/>
        <v>17358</v>
      </c>
      <c r="ED120" s="51">
        <f t="shared" si="143"/>
        <v>1479</v>
      </c>
      <c r="EE120" s="51">
        <f>INT(SUMPRODUCT($N120:$R120,$BF120:$BJ120)/SUM($BF120:$BJ120)/10000*$BX$7*$BZ$46/'疲劳值&amp;地图信息'!$R$10*$BY$53)</f>
        <v>399</v>
      </c>
      <c r="EF120" s="50">
        <f t="shared" si="144"/>
        <v>0.90237055520898313</v>
      </c>
      <c r="EG120" s="50">
        <f t="shared" si="145"/>
        <v>7.6887086712414218E-2</v>
      </c>
      <c r="EH120" s="50">
        <f t="shared" si="146"/>
        <v>2.074235807860262E-2</v>
      </c>
      <c r="EI120" s="51">
        <f t="shared" si="147"/>
        <v>18570</v>
      </c>
      <c r="EJ120" s="51">
        <f t="shared" si="148"/>
        <v>2419</v>
      </c>
      <c r="EK120" s="14">
        <f>INT(SUMPRODUCT($U120:$Y120,$BF120:$BJ120)/SUM($BF120:$BJ120)/10000*$BX$7*$BZ$46/'疲劳值&amp;地图信息'!$R$10*$BY$54)</f>
        <v>749</v>
      </c>
      <c r="EL120" s="50">
        <f t="shared" si="149"/>
        <v>0.854264421749931</v>
      </c>
      <c r="EM120" s="50">
        <f t="shared" si="150"/>
        <v>0.11127978654890054</v>
      </c>
      <c r="EN120" s="50">
        <f t="shared" si="151"/>
        <v>3.4455791701168463E-2</v>
      </c>
      <c r="EO120" s="51">
        <f t="shared" si="152"/>
        <v>19970</v>
      </c>
      <c r="EP120" s="51">
        <f t="shared" si="153"/>
        <v>4196</v>
      </c>
      <c r="EQ120" s="14">
        <f>INT(SUMPRODUCT($AB120:$AF120,$BF120:$BJ120)/SUM($BF120:$BJ120)/10000*$BX$7*$BZ$46/'疲劳值&amp;地图信息'!$R$10*$BY$55)</f>
        <v>1017</v>
      </c>
      <c r="ER120" s="50">
        <f t="shared" si="154"/>
        <v>0.79299527459000119</v>
      </c>
      <c r="ES120" s="50">
        <f t="shared" si="155"/>
        <v>0.16662033911765875</v>
      </c>
      <c r="ET120" s="50">
        <f t="shared" si="156"/>
        <v>4.038438629234007E-2</v>
      </c>
      <c r="EU120" s="51">
        <f t="shared" si="157"/>
        <v>22757</v>
      </c>
      <c r="EV120" s="51">
        <f t="shared" si="158"/>
        <v>10807</v>
      </c>
      <c r="EW120" s="14">
        <f>INT(SUMPRODUCT($AI120:$AM120,$BF120:$BJ120)/SUM($BF120:$BJ120)/10000*$BX$7*$BZ$46/'疲劳值&amp;地图信息'!$R$10*$BY$56)</f>
        <v>1525</v>
      </c>
      <c r="EX120" s="50">
        <f t="shared" si="159"/>
        <v>0.6485508278947818</v>
      </c>
      <c r="EY120" s="50">
        <f t="shared" si="160"/>
        <v>0.30798825842856736</v>
      </c>
      <c r="EZ120" s="50">
        <f t="shared" si="161"/>
        <v>4.3460913676650802E-2</v>
      </c>
      <c r="FA120" s="51">
        <f t="shared" si="162"/>
        <v>22462</v>
      </c>
      <c r="FB120" s="51">
        <f t="shared" si="163"/>
        <v>20980</v>
      </c>
      <c r="FC120" s="14">
        <f>INT(SUMPRODUCT($AP120:$AT120,$BF120:$BJ120)/SUM($BF120:$BJ120)/10000*$BX$7*$BZ$46/'疲劳值&amp;地图信息'!$R$10*$BY$57)</f>
        <v>2034</v>
      </c>
      <c r="FD120" s="50">
        <f t="shared" si="164"/>
        <v>0.49393086463189373</v>
      </c>
      <c r="FE120" s="50">
        <f t="shared" si="165"/>
        <v>0.46134224645967103</v>
      </c>
      <c r="FF120" s="50">
        <f t="shared" si="166"/>
        <v>4.4726888908435215E-2</v>
      </c>
      <c r="FH120" s="14">
        <f t="shared" si="167"/>
        <v>19236</v>
      </c>
      <c r="FI120" s="14">
        <f t="shared" si="168"/>
        <v>21738</v>
      </c>
      <c r="FJ120" s="14">
        <f t="shared" si="169"/>
        <v>25183</v>
      </c>
      <c r="FK120" s="14">
        <f t="shared" si="170"/>
        <v>35089</v>
      </c>
      <c r="FL120" s="14">
        <f t="shared" si="171"/>
        <v>45476</v>
      </c>
      <c r="FM120" s="14">
        <f t="shared" si="172"/>
        <v>2249934</v>
      </c>
      <c r="FP120" s="14">
        <f t="shared" si="173"/>
        <v>334150</v>
      </c>
      <c r="FQ120" s="50">
        <f t="shared" si="113"/>
        <v>0.12931081187763246</v>
      </c>
      <c r="FS120" s="14">
        <f t="shared" si="174"/>
        <v>2584084</v>
      </c>
      <c r="FX120" s="14">
        <v>115</v>
      </c>
      <c r="FY120" s="51">
        <f t="shared" si="175"/>
        <v>24301</v>
      </c>
      <c r="FZ120" s="51">
        <f t="shared" si="176"/>
        <v>1479</v>
      </c>
      <c r="GA120" s="51">
        <f>INT(SUMPRODUCT($N120:$R120,$BF120:$BJ120)/SUM($BF120:$BJ120)/10000*$BX$7*$BZ$46/'疲劳值&amp;地图信息'!$R$10*$BY$53)</f>
        <v>399</v>
      </c>
      <c r="GB120" s="50">
        <f t="shared" si="177"/>
        <v>0.92826311165437947</v>
      </c>
      <c r="GC120" s="50">
        <f t="shared" si="178"/>
        <v>5.6495664463883266E-2</v>
      </c>
      <c r="GD120" s="50">
        <f t="shared" si="179"/>
        <v>1.524122388173727E-2</v>
      </c>
      <c r="GE120" s="51">
        <f t="shared" si="180"/>
        <v>25999</v>
      </c>
      <c r="GF120" s="51">
        <f t="shared" si="181"/>
        <v>2419</v>
      </c>
      <c r="GG120" s="14">
        <f>INT(SUMPRODUCT($U120:$Y120,$BF120:$BJ120)/SUM($BF120:$BJ120)/10000*$BX$7*$BZ$46/'疲劳值&amp;地图信息'!$R$10*$BY$54)</f>
        <v>749</v>
      </c>
      <c r="GH120" s="50">
        <f t="shared" si="182"/>
        <v>0.89138409846744604</v>
      </c>
      <c r="GI120" s="50">
        <f t="shared" si="183"/>
        <v>8.2936195014914116E-2</v>
      </c>
      <c r="GJ120" s="50">
        <f t="shared" si="184"/>
        <v>2.5679706517639799E-2</v>
      </c>
      <c r="GK120" s="51">
        <f t="shared" si="185"/>
        <v>27959</v>
      </c>
      <c r="GL120" s="51">
        <f t="shared" si="186"/>
        <v>4196</v>
      </c>
      <c r="GM120" s="14">
        <f>INT(SUMPRODUCT($AB120:$AF120,$BF120:$BJ120)/SUM($BF120:$BJ120)/10000*$BX$7*$BZ$46/'疲劳值&amp;地图信息'!$R$10*$BY$55)</f>
        <v>1017</v>
      </c>
      <c r="GN120" s="50">
        <f t="shared" si="187"/>
        <v>0.84284939105269507</v>
      </c>
      <c r="GO120" s="50">
        <f t="shared" si="188"/>
        <v>0.12649222235620403</v>
      </c>
      <c r="GP120" s="50">
        <f t="shared" si="189"/>
        <v>3.0658386591100928E-2</v>
      </c>
      <c r="GQ120" s="51">
        <f t="shared" si="190"/>
        <v>31860</v>
      </c>
      <c r="GR120" s="51">
        <f t="shared" si="191"/>
        <v>10807</v>
      </c>
      <c r="GS120" s="14">
        <f>INT(SUMPRODUCT($AI120:$AM120,$BF120:$BJ120)/SUM($BF120:$BJ120)/10000*$BX$7*$BZ$46/'疲劳值&amp;地图信息'!$R$10*$BY$56)</f>
        <v>1525</v>
      </c>
      <c r="GT120" s="50">
        <f t="shared" si="192"/>
        <v>0.72094496741491676</v>
      </c>
      <c r="GU120" s="50">
        <f t="shared" si="193"/>
        <v>0.24454652425778423</v>
      </c>
      <c r="GV120" s="50">
        <f t="shared" si="194"/>
        <v>3.4508508327299056E-2</v>
      </c>
      <c r="GW120" s="51">
        <f t="shared" si="195"/>
        <v>31447</v>
      </c>
      <c r="GX120" s="51">
        <f t="shared" si="196"/>
        <v>20980</v>
      </c>
      <c r="GY120" s="14">
        <f>INT(SUMPRODUCT($AP120:$AT120,$BF120:$BJ120)/SUM($BF120:$BJ120)/10000*$BX$7*$BZ$46/'疲劳值&amp;地图信息'!$R$10*$BY$57)</f>
        <v>2034</v>
      </c>
      <c r="GZ120" s="50">
        <f t="shared" si="197"/>
        <v>0.57742237564495691</v>
      </c>
      <c r="HA120" s="50">
        <f t="shared" si="198"/>
        <v>0.385229797469749</v>
      </c>
      <c r="HB120" s="50">
        <f t="shared" si="199"/>
        <v>3.7347826885294061E-2</v>
      </c>
      <c r="HD120" s="14">
        <f t="shared" si="200"/>
        <v>26179</v>
      </c>
      <c r="HE120" s="14">
        <f t="shared" si="201"/>
        <v>29167</v>
      </c>
      <c r="HF120" s="14">
        <f t="shared" si="202"/>
        <v>33172</v>
      </c>
      <c r="HG120" s="14">
        <f t="shared" si="203"/>
        <v>44192</v>
      </c>
      <c r="HH120" s="14">
        <f t="shared" si="204"/>
        <v>54461</v>
      </c>
      <c r="HI120" s="14">
        <f t="shared" si="205"/>
        <v>3015587</v>
      </c>
      <c r="HL120" s="14">
        <f t="shared" si="206"/>
        <v>430050</v>
      </c>
      <c r="HM120" s="50">
        <f t="shared" si="114"/>
        <v>0.12481001335892318</v>
      </c>
      <c r="HO120" s="14">
        <f t="shared" si="207"/>
        <v>3445637</v>
      </c>
    </row>
    <row r="121" spans="11:223" x14ac:dyDescent="0.2">
      <c r="K121" s="14">
        <v>116</v>
      </c>
      <c r="L121" s="12">
        <f>求节点(节奏总纲!D$4:D$163,标准城池设计!AB$4:AB$163,$K121)*求节点(节奏总纲!D$4:D$163,攻城基础信息!$AC$5:$AC$164,$K121)</f>
        <v>512894.54228232062</v>
      </c>
      <c r="M121" s="12">
        <f>INDEX(其他调用!$AA$5:$AA$404,MATCH(K121,其他调用!$X$5:$X$404,0))*MIN(INDEX(其他调用!$AH$5:$AH$364,MATCH('征服点（新）'!K121,其他调用!$AG$5:$AG$364,0),1)/INDEX(其他调用!$AJ$5:$AJ$364,MATCH(K121,其他调用!$AG$5:$AG$364,0),0),5)*求节点(节奏总纲!D$4:D$163,攻城基础信息!$AC$5:$AC$164,$K121)</f>
        <v>43655.777747029417</v>
      </c>
      <c r="N121" s="12">
        <f>MIN(INDEX(其他调用!$AH$5:$AH$364,MATCH($K121,其他调用!$AG$5:$AG$364,0),1)/INDEX(其他调用!AH$5:AH$364,MATCH($K121,其他调用!$AG$5:$AG$364,0),0),1)*INDEX(其他调用!Y$5:Y$404,MATCH($K121,其他调用!$X$5:$X$404,0),0)</f>
        <v>36996.332729114991</v>
      </c>
      <c r="O121" s="12">
        <f>MIN(INDEX(其他调用!$AH$5:$AH$364,MATCH($K121,其他调用!$AG$5:$AG$364,0),1)/INDEX(其他调用!AI$5:AI$364,MATCH($K121,其他调用!$AG$5:$AG$364,0),0),1)*INDEX(其他调用!Z$5:Z$404,MATCH($K121,其他调用!$X$5:$X$404,0),0)</f>
        <v>23315.434837023666</v>
      </c>
      <c r="P121" s="12">
        <f>MIN(INDEX(其他调用!$AH$5:$AH$364,MATCH($K121,其他调用!$AG$5:$AG$364,0),1)/INDEX(其他调用!AJ$5:AJ$364,MATCH($K121,其他调用!$AG$5:$AG$364,0),0),1)*INDEX(其他调用!AA$5:AA$404,MATCH($K121,其他调用!$X$5:$X$404,0),0)</f>
        <v>13977.842449296277</v>
      </c>
      <c r="Q121" s="12">
        <f>MIN(INDEX(其他调用!$AH$5:$AH$364,MATCH($K121,其他调用!$AG$5:$AG$364,0),1)/INDEX(其他调用!AK$5:AK$364,MATCH($K121,其他调用!$AG$5:$AG$364,0),0),1)*INDEX(其他调用!AB$5:AB$404,MATCH($K121,其他调用!$X$5:$X$404,0),0)</f>
        <v>5711.4051812731013</v>
      </c>
      <c r="R121" s="12">
        <f>MIN(INDEX(其他调用!$AH$5:$AH$364,MATCH($K121,其他调用!$AG$5:$AG$364,0),1)/INDEX(其他调用!AL$5:AL$364,MATCH($K121,其他调用!$AG$5:$AG$364,0),0),1)*INDEX(其他调用!AC$5:AC$404,MATCH($K121,其他调用!$X$5:$X$404,0),0)</f>
        <v>1792.7516969096976</v>
      </c>
      <c r="S121" s="12">
        <f>求节点(节奏总纲!D$4:D$163,标准城池设计!AC$4:AC$163,$K121)*求节点(节奏总纲!D$4:D$163,攻城基础信息!$AD$5:$AD$164,$K121)</f>
        <v>548934.91862426582</v>
      </c>
      <c r="T121" s="12">
        <f>INDEX(其他调用!$AA$5:$AA$404,MATCH($K121,其他调用!$X$5:$X$404,0))*MIN(INDEX(其他调用!AI$5:AI$364,MATCH($K121,其他调用!$AG$5:$AG$364,0),1)/INDEX(其他调用!$AJ$5:$AJ$364,MATCH($K121,其他调用!$AG$5:$AG$364,0),0),5)*求节点(节奏总纲!D$4:D$163,攻城基础信息!$AD$5:$AD$164,$K121)</f>
        <v>71415.000306202171</v>
      </c>
      <c r="U121" s="12">
        <f>MIN(INDEX(其他调用!$AI$5:$AI$364,MATCH($K121,其他调用!$AG$5:$AG$364,0),1)/INDEX(其他调用!AH$5:AH$364,MATCH($K121,其他调用!$AG$5:$AG$364,0),0),1)*INDEX(其他调用!Y$5:Y$404,MATCH($K121,其他调用!$X$5:$X$404,0),0)</f>
        <v>36996.332729114991</v>
      </c>
      <c r="V121" s="12">
        <f>MIN(INDEX(其他调用!$AI$5:$AI$364,MATCH($K121,其他调用!$AG$5:$AG$364,0),1)/INDEX(其他调用!AI$5:AI$364,MATCH($K121,其他调用!$AG$5:$AG$364,0),0),1)*INDEX(其他调用!Z$5:Z$404,MATCH($K121,其他调用!$X$5:$X$404,0),0)</f>
        <v>38140.925942811373</v>
      </c>
      <c r="W121" s="12">
        <f>MIN(INDEX(其他调用!$AI$5:$AI$364,MATCH($K121,其他调用!$AG$5:$AG$364,0),1)/INDEX(其他调用!AJ$5:AJ$364,MATCH($K121,其他调用!$AG$5:$AG$364,0),0),1)*INDEX(其他调用!AA$5:AA$404,MATCH($K121,其他调用!$X$5:$X$404,0),0)</f>
        <v>22865.876507364806</v>
      </c>
      <c r="X121" s="12">
        <f>MIN(INDEX(其他调用!$AI$5:$AI$364,MATCH($K121,其他调用!$AG$5:$AG$364,0),1)/INDEX(其他调用!AK$5:AK$364,MATCH($K121,其他调用!$AG$5:$AG$364,0),0),1)*INDEX(其他调用!AB$5:AB$404,MATCH($K121,其他调用!$X$5:$X$404,0),0)</f>
        <v>9343.0932586516028</v>
      </c>
      <c r="Y121" s="12">
        <f>MIN(INDEX(其他调用!$AI$5:$AI$364,MATCH($K121,其他调用!$AG$5:$AG$364,0),1)/INDEX(其他调用!AL$5:AL$364,MATCH($K121,其他调用!$AG$5:$AG$364,0),0),1)*INDEX(其他调用!AC$5:AC$404,MATCH($K121,其他调用!$X$5:$X$404,0),0)</f>
        <v>2932.7014565090949</v>
      </c>
      <c r="Z121" s="12">
        <f>求节点(节奏总纲!D$4:D$163,标准城池设计!AD$4:AD$163,$K121)*求节点(节奏总纲!D$4:D$163,攻城基础信息!$AE$5:$AE$164,$K121)</f>
        <v>590471.38092929008</v>
      </c>
      <c r="AA121" s="12">
        <f>INDEX(其他调用!$AA$5:$AA$404,MATCH($K121,其他调用!$X$5:$X$404,0))*MIN(INDEX(其他调用!AJ$5:AJ$364,MATCH($K121,其他调用!$AG$5:$AG$364,0),1)/INDEX(其他调用!$AJ$5:$AJ$364,MATCH($K121,其他调用!$AG$5:$AG$364,0),0),5)*求节点(节奏总纲!D$4:D$163,攻城基础信息!$AE$5:$AE$164,$K121)</f>
        <v>123847.6133861647</v>
      </c>
      <c r="AB121" s="12">
        <f>MIN(INDEX(其他调用!$AJ$5:$AJ$364,MATCH($K121,其他调用!$AG$5:$AG$364,0),1)/INDEX(其他调用!AH$5:AH$364,MATCH($K121,其他调用!$AG$5:$AG$364,0),0),1)*INDEX(其他调用!Y$5:Y$404,MATCH($K121,其他调用!$X$5:$X$404,0),0)</f>
        <v>36996.332729114991</v>
      </c>
      <c r="AC121" s="12">
        <f>MIN(INDEX(其他调用!$AJ$5:$AJ$364,MATCH($K121,其他调用!$AG$5:$AG$364,0),1)/INDEX(其他调用!AI$5:AI$364,MATCH($K121,其他调用!$AG$5:$AG$364,0),0),1)*INDEX(其他调用!Z$5:Z$404,MATCH($K121,其他调用!$X$5:$X$404,0),0)</f>
        <v>38140.925942811373</v>
      </c>
      <c r="AD121" s="12">
        <f>MIN(INDEX(其他调用!$AJ$5:$AJ$364,MATCH($K121,其他调用!$AG$5:$AG$364,0),1)/INDEX(其他调用!AJ$5:AJ$364,MATCH($K121,其他调用!$AG$5:$AG$364,0),0),1)*INDEX(其他调用!AA$5:AA$404,MATCH($K121,其他调用!$X$5:$X$404,0),0)</f>
        <v>39653.913341423904</v>
      </c>
      <c r="AE121" s="12">
        <f>MIN(INDEX(其他调用!$AJ$5:$AJ$364,MATCH($K121,其他调用!$AG$5:$AG$364,0),1)/INDEX(其他调用!AK$5:AK$364,MATCH($K121,其他调用!$AG$5:$AG$364,0),0),1)*INDEX(其他调用!AB$5:AB$404,MATCH($K121,其他调用!$X$5:$X$404,0),0)</f>
        <v>16202.755678317531</v>
      </c>
      <c r="AF121" s="12">
        <f>MIN(INDEX(其他调用!$AJ$5:$AJ$364,MATCH($K121,其他调用!$AG$5:$AG$364,0),1)/INDEX(其他调用!AL$5:AL$364,MATCH($K121,其他调用!$AG$5:$AG$364,0),0),1)*INDEX(其他调用!AC$5:AC$404,MATCH($K121,其他调用!$X$5:$X$404,0),0)</f>
        <v>5085.8793615553204</v>
      </c>
      <c r="AG121" s="12">
        <f>求节点(节奏总纲!D$4:D$163,标准城池设计!AE$4:AE$163,$K121)*求节点(节奏总纲!D$4:D$163,攻城基础信息!$AF$5:$AF$164,$K121)</f>
        <v>672865.36196932732</v>
      </c>
      <c r="AH121" s="12">
        <f>INDEX(其他调用!$AA$5:$AA$404,MATCH($K121,其他调用!$X$5:$X$404,0))*MIN(INDEX(其他调用!AK$5:AK$364,MATCH($K121,其他调用!$AG$5:$AG$364,0),1)/INDEX(其他调用!$AJ$5:$AJ$364,MATCH($K121,其他调用!$AG$5:$AG$364,0),0),5)*求节点(节奏总纲!D$4:D$163,攻城基础信息!$AF$5:$AF$164,$K121)</f>
        <v>319750.76849986869</v>
      </c>
      <c r="AI121" s="12">
        <f>MIN(INDEX(其他调用!$AK$5:$AK$364,MATCH($K121,其他调用!$AG$5:$AG$364,0),1)/INDEX(其他调用!AH$5:AH$364,MATCH($K121,其他调用!$AG$5:$AG$364,0),0),1)*INDEX(其他调用!Y$5:Y$404,MATCH($K121,其他调用!$X$5:$X$404,0),0)</f>
        <v>36996.332729114991</v>
      </c>
      <c r="AJ121" s="12">
        <f>MIN(INDEX(其他调用!$AK$5:$AK$364,MATCH($K121,其他调用!$AG$5:$AG$364,0),1)/INDEX(其他调用!AI$5:AI$364,MATCH($K121,其他调用!$AG$5:$AG$364,0),0),1)*INDEX(其他调用!Z$5:Z$404,MATCH($K121,其他调用!$X$5:$X$404,0),0)</f>
        <v>38140.925942811373</v>
      </c>
      <c r="AK121" s="12">
        <f>MIN(INDEX(其他调用!$AK$5:$AK$364,MATCH($K121,其他调用!$AG$5:$AG$364,0),1)/INDEX(其他调用!AJ$5:AJ$364,MATCH($K121,其他调用!$AG$5:$AG$364,0),0),1)*INDEX(其他调用!AA$5:AA$404,MATCH($K121,其他调用!$X$5:$X$404,0),0)</f>
        <v>39653.913341423904</v>
      </c>
      <c r="AL121" s="12">
        <f>MIN(INDEX(其他调用!$AK$5:$AK$364,MATCH($K121,其他调用!$AG$5:$AG$364,0),1)/INDEX(其他调用!AK$5:AK$364,MATCH($K121,其他调用!$AG$5:$AG$364,0),0),1)*INDEX(其他调用!AB$5:AB$404,MATCH($K121,其他调用!$X$5:$X$404,0),0)</f>
        <v>41832.405472388418</v>
      </c>
      <c r="AM121" s="12">
        <f>MIN(INDEX(其他调用!$AK$5:$AK$364,MATCH($K121,其他调用!$AG$5:$AG$364,0),1)/INDEX(其他调用!AL$5:AL$364,MATCH($K121,其他调用!$AG$5:$AG$364,0),0),1)*INDEX(其他调用!AC$5:AC$404,MATCH($K121,其他调用!$X$5:$X$404,0),0)</f>
        <v>13130.764411941451</v>
      </c>
      <c r="AN121" s="12">
        <f>求节点(节奏总纲!D$4:D$163,标准城池设计!AF$4:AF$163,$K121)*求节点(节奏总纲!D$4:D$163,攻城基础信息!$AG$5:$AG$164,$K121)</f>
        <v>664233.66222122358</v>
      </c>
      <c r="AO121" s="12">
        <f>INDEX(其他调用!$AA$5:$AA$404,MATCH($K121,其他调用!$X$5:$X$404,0))*MIN(INDEX(其他调用!AL$5:AL$364,MATCH($K121,其他调用!$AG$5:$AG$364,0),1)/INDEX(其他调用!$AJ$5:$AJ$364,MATCH($K121,其他调用!$AG$5:$AG$364,0),0),5)*求节点(节奏总纲!D$4:D$163,攻城基础信息!$AG$5:$AG$164,$K121)</f>
        <v>619238.06693082349</v>
      </c>
      <c r="AP121" s="12">
        <f>MIN(INDEX(其他调用!$AL$5:$AL$364,MATCH($K121,其他调用!$AG$5:$AG$364,0),1)/INDEX(其他调用!AH$5:AH$364,MATCH($K121,其他调用!$AG$5:$AG$364,0),0),1)*INDEX(其他调用!Y$5:Y$404,MATCH($K121,其他调用!$X$5:$X$404,0),0)</f>
        <v>36996.332729114991</v>
      </c>
      <c r="AQ121" s="12">
        <f>MIN(INDEX(其他调用!$AL$5:$AL$364,MATCH($K121,其他调用!$AG$5:$AG$364,0),1)/INDEX(其他调用!AI$5:AI$364,MATCH($K121,其他调用!$AG$5:$AG$364,0),0),1)*INDEX(其他调用!Z$5:Z$404,MATCH($K121,其他调用!$X$5:$X$404,0),0)</f>
        <v>38140.925942811373</v>
      </c>
      <c r="AR121" s="12">
        <f>MIN(INDEX(其他调用!$AL$5:$AL$364,MATCH($K121,其他调用!$AG$5:$AG$364,0),1)/INDEX(其他调用!AJ$5:AJ$364,MATCH($K121,其他调用!$AG$5:$AG$364,0),0),1)*INDEX(其他调用!AA$5:AA$404,MATCH($K121,其他调用!$X$5:$X$404,0),0)</f>
        <v>39653.913341423904</v>
      </c>
      <c r="AS121" s="12">
        <f>MIN(INDEX(其他调用!$AL$5:$AL$364,MATCH($K121,其他调用!$AG$5:$AG$364,0),1)/INDEX(其他调用!AK$5:AK$364,MATCH($K121,其他调用!$AG$5:$AG$364,0),0),1)*INDEX(其他调用!AB$5:AB$404,MATCH($K121,其他调用!$X$5:$X$404,0),0)</f>
        <v>41832.405472388418</v>
      </c>
      <c r="AT121" s="12">
        <f>MIN(INDEX(其他调用!$AL$5:$AL$364,MATCH($K121,其他调用!$AG$5:$AG$364,0),1)/INDEX(其他调用!AL$5:AL$364,MATCH($K121,其他调用!$AG$5:$AG$364,0),0),1)*INDEX(其他调用!AC$5:AC$404,MATCH($K121,其他调用!$X$5:$X$404,0),0)</f>
        <v>45721.918108427417</v>
      </c>
      <c r="AV121" s="14">
        <f>IF(OR(AV$5="大R",AV$5="超R"),MAX(INDEX(其他调用!$H$5:$L$404,MATCH($K121,其他调用!$B$5:$B$404,0),MATCH(AV$5,其他调用!$H$4:$L$4,0))*120*0.85,2),INDEX(其他调用!$H$5:$L$404,MATCH($K121,其他调用!$B$5:$B$404,0),MATCH(AV$5,其他调用!$H$4:$L$4,0))*120*0.85)</f>
        <v>48.921801254999991</v>
      </c>
      <c r="AW121" s="14">
        <f>IF(OR(AW$5="大R",AW$5="超R"),MAX(INDEX(其他调用!$H$5:$L$404,MATCH($K121,其他调用!$B$5:$B$404,0),MATCH(AW$5,其他调用!$H$4:$L$4,0))*120*0.85,2),INDEX(其他调用!$H$5:$L$404,MATCH($K121,其他调用!$B$5:$B$404,0),MATCH(AW$5,其他调用!$H$4:$L$4,0))*120*0.85)</f>
        <v>48.237344010638395</v>
      </c>
      <c r="AX121" s="14">
        <f>IF(OR(AX$5="大R",AX$5="超R"),MAX(INDEX(其他调用!$H$5:$L$404,MATCH($K121,其他调用!$B$5:$B$404,0),MATCH(AX$5,其他调用!$H$4:$L$4,0))*120*0.85,2),INDEX(其他调用!$H$5:$L$404,MATCH($K121,其他调用!$B$5:$B$404,0),MATCH(AX$5,其他调用!$H$4:$L$4,0))*120*0.85)</f>
        <v>3.9376284143615998</v>
      </c>
      <c r="AY121" s="14">
        <f>IF(OR(AY$5="大R",AY$5="超R"),MAX(INDEX(其他调用!$H$5:$L$404,MATCH($K121,其他调用!$B$5:$B$404,0),MATCH(AY$5,其他调用!$H$4:$L$4,0))*120*0.85,2),INDEX(其他调用!$H$5:$L$404,MATCH($K121,其他调用!$B$5:$B$404,0),MATCH(AY$5,其他调用!$H$4:$L$4,0))*120*0.85)</f>
        <v>2</v>
      </c>
      <c r="AZ121" s="14">
        <f>IF(OR(AZ$5="大R",AZ$5="超R"),MAX(INDEX(其他调用!$H$5:$L$404,MATCH($K121,其他调用!$B$5:$B$404,0),MATCH(AZ$5,其他调用!$H$4:$L$4,0))*120*0.85,2),INDEX(其他调用!$H$5:$L$404,MATCH($K121,其他调用!$B$5:$B$404,0),MATCH(AZ$5,其他调用!$H$4:$L$4,0))*120*0.85)</f>
        <v>2</v>
      </c>
      <c r="BA121" s="14">
        <f>INDEX(其他调用!$H$5:$L$404,MATCH($K121,其他调用!$B$5:$B$404,0),MATCH(BA$5,其他调用!$H$4:$L$4,0))*INDEX(其他调用!$M$5:$M$404,MATCH($K121,其他调用!$B$5:$B$404,0))*0.6</f>
        <v>28.777530149999997</v>
      </c>
      <c r="BB121" s="14">
        <f>INDEX(其他调用!$H$5:$L$404,MATCH($K121,其他调用!$B$5:$B$404,0),MATCH(BB$5,其他调用!$H$4:$L$4,0))*INDEX(其他调用!$M$5:$M$404,MATCH($K121,其他调用!$B$5:$B$404,0))*0.6</f>
        <v>28.374908241551999</v>
      </c>
      <c r="BC121" s="14">
        <f>INDEX(其他调用!$H$5:$L$404,MATCH($K121,其他调用!$B$5:$B$404,0),MATCH(BC$5,其他调用!$H$4:$L$4,0))*INDEX(其他调用!$M$5:$M$404,MATCH($K121,其他调用!$B$5:$B$404,0))*0.6</f>
        <v>2.3162520084480001</v>
      </c>
      <c r="BD121" s="14">
        <f>INDEX(其他调用!$H$5:$L$404,MATCH($K121,其他调用!$B$5:$B$404,0),MATCH(BD$5,其他调用!$H$4:$L$4,0))*INDEX(其他调用!$M$5:$M$404,MATCH($K121,其他调用!$B$5:$B$404,0))*0.6</f>
        <v>0.4120776000000001</v>
      </c>
      <c r="BE121" s="14">
        <f>INDEX(其他调用!$H$5:$L$404,MATCH($K121,其他调用!$B$5:$B$404,0),MATCH(BE$5,其他调用!$H$4:$L$4,0))*INDEX(其他调用!$M$5:$M$404,MATCH($K121,其他调用!$B$5:$B$404,0))*0.6</f>
        <v>0.11923199999999998</v>
      </c>
      <c r="BF121" s="14">
        <f>IF(OR(BF$5="大R",BF$5="超R"),0,INDEX(其他调用!$H$5:$L$404,MATCH($K121,其他调用!$B$5:$B$404,0),MATCH(BF$5,其他调用!$H$4:$L$4,0))*50*0.4)</f>
        <v>9.5925100500000013</v>
      </c>
      <c r="BG121" s="14">
        <f>IF(OR(BG$5="大R",BG$5="超R"),0,INDEX(其他调用!$H$5:$L$404,MATCH($K121,其他调用!$B$5:$B$404,0),MATCH(BG$5,其他调用!$H$4:$L$4,0))*50*0.4)</f>
        <v>9.4583027471839998</v>
      </c>
      <c r="BH121" s="14">
        <f>IF(OR(BH$5="大R",BH$5="超R"),0,INDEX(其他调用!$H$5:$L$404,MATCH($K121,其他调用!$B$5:$B$404,0),MATCH(BH$5,其他调用!$H$4:$L$4,0))*50*0.4)</f>
        <v>0.77208400281600009</v>
      </c>
      <c r="BI121" s="14">
        <f>IF(OR(BI$5="大R",BI$5="超R"),0,INDEX(其他调用!$H$5:$L$404,MATCH($K121,其他调用!$B$5:$B$404,0),MATCH(BI$5,其他调用!$H$4:$L$4,0))*50*0.4)</f>
        <v>0</v>
      </c>
      <c r="BJ121" s="14">
        <f>IF(OR(BJ$5="大R",BJ$5="超R"),0,INDEX(其他调用!$H$5:$L$404,MATCH($K121,其他调用!$B$5:$B$404,0),MATCH(BJ$5,其他调用!$H$4:$L$4,0))*50*0.4)</f>
        <v>0</v>
      </c>
      <c r="BL121" s="14">
        <f t="shared" si="208"/>
        <v>116</v>
      </c>
      <c r="BM121" s="14">
        <f t="shared" si="115"/>
        <v>96</v>
      </c>
      <c r="BN121" s="14">
        <f>('疲劳值&amp;地图信息'!$S$10*'疲劳值&amp;地图信息'!$R$10+'疲劳值&amp;地图信息'!$S$11*'疲劳值&amp;地图信息'!$R$11+'疲劳值&amp;地图信息'!$S$12*'疲劳值&amp;地图信息'!$R$12+(BM121-'疲劳值&amp;地图信息'!$S$12-'疲劳值&amp;地图信息'!$S$11-'疲劳值&amp;地图信息'!$S$10)*'疲劳值&amp;地图信息'!$R$13)/BM121</f>
        <v>51.371477246638619</v>
      </c>
      <c r="BO121" s="14">
        <f>INDEX(其他调用!$M$5:$M$404,MATCH(BL121,其他调用!$B$5:$B$404,0))*0.6</f>
        <v>60</v>
      </c>
      <c r="BP121" s="14">
        <f>IF(BO121&gt;SUM('疲劳值&amp;地图信息'!$S$10:$S$12),('疲劳值&amp;地图信息'!$S$10*'疲劳值&amp;地图信息'!$R$10+'疲劳值&amp;地图信息'!$S$11*'疲劳值&amp;地图信息'!$R$11+'疲劳值&amp;地图信息'!$S$12*'疲劳值&amp;地图信息'!$R$12+(BO121-'疲劳值&amp;地图信息'!$S$12-'疲劳值&amp;地图信息'!$S$11-'疲劳值&amp;地图信息'!$S$10)*'疲劳值&amp;地图信息'!$R$13)/BO121,('疲劳值&amp;地图信息'!$S$10*'疲劳值&amp;地图信息'!$R$10+'疲劳值&amp;地图信息'!$S$11*'疲劳值&amp;地图信息'!$R$11+'疲劳值&amp;地图信息'!$S$12*'疲劳值&amp;地图信息'!$R$12+(BO121-'疲劳值&amp;地图信息'!$S$12-'疲劳值&amp;地图信息'!$S$11-'疲劳值&amp;地图信息'!$S$10)*'疲劳值&amp;地图信息'!$R$13)/BO121)</f>
        <v>44.158136341605953</v>
      </c>
      <c r="BQ121" s="14">
        <f t="shared" si="209"/>
        <v>20</v>
      </c>
      <c r="BR121" s="14">
        <f>('疲劳值&amp;地图信息'!$S$10*'疲劳值&amp;地图信息'!$R$10+($BQ121-'疲劳值&amp;地图信息'!$S$10)*'疲劳值&amp;地图信息'!$R$11)/$BQ121</f>
        <v>32.067203015074995</v>
      </c>
      <c r="CF121" s="14">
        <v>116</v>
      </c>
      <c r="CG121" s="51">
        <f t="shared" si="116"/>
        <v>10453</v>
      </c>
      <c r="CH121" s="51">
        <f t="shared" si="117"/>
        <v>889</v>
      </c>
      <c r="CI121" s="51">
        <f>INT(SUMPRODUCT($N121:$R121,$BA121:$BE121)/SUM($BA121:$BE121)/10000*$BX$7*$BZ$34/'疲劳值&amp;地图信息'!$R$10*$BY$53)</f>
        <v>2978</v>
      </c>
      <c r="CJ121" s="50">
        <f t="shared" si="118"/>
        <v>0.72995810055865917</v>
      </c>
      <c r="CK121" s="50">
        <f t="shared" si="119"/>
        <v>6.2081005586592179E-2</v>
      </c>
      <c r="CL121" s="50">
        <f t="shared" si="120"/>
        <v>0.20796089385474861</v>
      </c>
      <c r="CM121" s="14">
        <f t="shared" si="121"/>
        <v>11188</v>
      </c>
      <c r="CN121" s="14">
        <f t="shared" si="122"/>
        <v>1455</v>
      </c>
      <c r="CO121" s="14">
        <f>INT(SUMPRODUCT($U121:$Y121,$BA121:$BE121)/SUM($BA121:$BE121)/10000*$BX$7*$BZ$34/'疲劳值&amp;地图信息'!$R$10*$BY$54)</f>
        <v>5591</v>
      </c>
      <c r="CP121" s="50">
        <f t="shared" si="123"/>
        <v>0.61357902818909726</v>
      </c>
      <c r="CQ121" s="50">
        <f t="shared" si="124"/>
        <v>7.9795985521553148E-2</v>
      </c>
      <c r="CR121" s="50">
        <f t="shared" si="125"/>
        <v>0.30662498628934959</v>
      </c>
      <c r="CS121" s="14">
        <f t="shared" si="126"/>
        <v>12034</v>
      </c>
      <c r="CT121" s="14">
        <f t="shared" si="127"/>
        <v>2524</v>
      </c>
      <c r="CU121" s="14">
        <f>INT(SUMPRODUCT($AB121:$AF121,$BA121:$BE121)/SUM($BA121:$BE121)/10000*$BX$7*$BZ$34/'疲劳值&amp;地图信息'!$R$10*$BY$55)</f>
        <v>7596</v>
      </c>
      <c r="CV121" s="50">
        <f t="shared" si="128"/>
        <v>0.54319761668321753</v>
      </c>
      <c r="CW121" s="50">
        <f t="shared" si="129"/>
        <v>0.11392976437663627</v>
      </c>
      <c r="CX121" s="50">
        <f t="shared" si="130"/>
        <v>0.34287261894014626</v>
      </c>
      <c r="CY121" s="14">
        <f t="shared" si="131"/>
        <v>13713</v>
      </c>
      <c r="CZ121" s="14">
        <f t="shared" si="132"/>
        <v>6516</v>
      </c>
      <c r="DA121" s="14">
        <f>INT(SUMPRODUCT($AI121:$AM121,$BA121:$BE121)/SUM($BA121:$BE121)/10000*$BX$7*$BZ$34/'疲劳值&amp;地图信息'!$R$10*$BY$56)</f>
        <v>11453</v>
      </c>
      <c r="DB121" s="50">
        <f t="shared" si="133"/>
        <v>0.432832523199293</v>
      </c>
      <c r="DC121" s="50">
        <f t="shared" si="134"/>
        <v>0.20566883403825517</v>
      </c>
      <c r="DD121" s="50">
        <f t="shared" si="135"/>
        <v>0.36149864276245186</v>
      </c>
      <c r="DE121" s="14">
        <f t="shared" si="136"/>
        <v>13537</v>
      </c>
      <c r="DF121" s="14">
        <f t="shared" si="137"/>
        <v>12620</v>
      </c>
      <c r="DG121" s="14">
        <f>INT(SUMPRODUCT($AP121:$AT121,$BA121:$BE121)/SUM($BA121:$BE121)/10000*$BX$7*$BZ$34/'疲劳值&amp;地图信息'!$R$10*$BY$57)</f>
        <v>15297</v>
      </c>
      <c r="DH121" s="50">
        <f t="shared" si="138"/>
        <v>0.32655473536932506</v>
      </c>
      <c r="DI121" s="50">
        <f t="shared" si="139"/>
        <v>0.3044338302696965</v>
      </c>
      <c r="DJ121" s="50">
        <f t="shared" si="140"/>
        <v>0.36901143436097844</v>
      </c>
      <c r="DL121" s="14">
        <f t="shared" si="211"/>
        <v>14320</v>
      </c>
      <c r="DM121" s="14">
        <f t="shared" si="212"/>
        <v>18234</v>
      </c>
      <c r="DN121" s="14">
        <f t="shared" si="213"/>
        <v>22154</v>
      </c>
      <c r="DO121" s="14">
        <f t="shared" si="214"/>
        <v>31682</v>
      </c>
      <c r="DP121" s="14">
        <f t="shared" si="215"/>
        <v>41454</v>
      </c>
      <c r="DQ121" s="14">
        <f t="shared" si="216"/>
        <v>998794</v>
      </c>
      <c r="DT121" s="14">
        <f t="shared" si="210"/>
        <v>235575</v>
      </c>
      <c r="DU121" s="50">
        <f t="shared" si="112"/>
        <v>0.19084649727917666</v>
      </c>
      <c r="DW121" s="14">
        <f t="shared" si="141"/>
        <v>1234369</v>
      </c>
      <c r="EB121" s="14">
        <v>116</v>
      </c>
      <c r="EC121" s="51">
        <f t="shared" si="142"/>
        <v>17422</v>
      </c>
      <c r="ED121" s="51">
        <f t="shared" si="143"/>
        <v>1482</v>
      </c>
      <c r="EE121" s="51">
        <f>INT(SUMPRODUCT($N121:$R121,$BF121:$BJ121)/SUM($BF121:$BJ121)/10000*$BX$7*$BZ$46/'疲劳值&amp;地图信息'!$R$10*$BY$53)</f>
        <v>400</v>
      </c>
      <c r="EF121" s="50">
        <f t="shared" si="144"/>
        <v>0.90250725238292584</v>
      </c>
      <c r="EG121" s="50">
        <f t="shared" si="145"/>
        <v>7.6771653543307089E-2</v>
      </c>
      <c r="EH121" s="50">
        <f t="shared" si="146"/>
        <v>2.0721094073767096E-2</v>
      </c>
      <c r="EI121" s="51">
        <f t="shared" si="147"/>
        <v>18646</v>
      </c>
      <c r="EJ121" s="51">
        <f t="shared" si="148"/>
        <v>2425</v>
      </c>
      <c r="EK121" s="14">
        <f>INT(SUMPRODUCT($U121:$Y121,$BF121:$BJ121)/SUM($BF121:$BJ121)/10000*$BX$7*$BZ$46/'疲劳值&amp;地图信息'!$R$10*$BY$54)</f>
        <v>750</v>
      </c>
      <c r="EL121" s="50">
        <f t="shared" si="149"/>
        <v>0.85449796068007877</v>
      </c>
      <c r="EM121" s="50">
        <f t="shared" si="150"/>
        <v>0.11113147885064846</v>
      </c>
      <c r="EN121" s="50">
        <f t="shared" si="151"/>
        <v>3.4370560469272719E-2</v>
      </c>
      <c r="EO121" s="51">
        <f t="shared" si="152"/>
        <v>20057</v>
      </c>
      <c r="EP121" s="51">
        <f t="shared" si="153"/>
        <v>4206</v>
      </c>
      <c r="EQ121" s="14">
        <f>INT(SUMPRODUCT($AB121:$AF121,$BF121:$BJ121)/SUM($BF121:$BJ121)/10000*$BX$7*$BZ$46/'疲劳值&amp;地图信息'!$R$10*$BY$55)</f>
        <v>1018</v>
      </c>
      <c r="ER121" s="50">
        <f t="shared" si="154"/>
        <v>0.7933626043273605</v>
      </c>
      <c r="ES121" s="50">
        <f t="shared" si="155"/>
        <v>0.16637000118666193</v>
      </c>
      <c r="ET121" s="50">
        <f t="shared" si="156"/>
        <v>4.026739448597761E-2</v>
      </c>
      <c r="EU121" s="51">
        <f t="shared" si="157"/>
        <v>22856</v>
      </c>
      <c r="EV121" s="51">
        <f t="shared" si="158"/>
        <v>10861</v>
      </c>
      <c r="EW121" s="14">
        <f>INT(SUMPRODUCT($AI121:$AM121,$BF121:$BJ121)/SUM($BF121:$BJ121)/10000*$BX$7*$BZ$46/'疲劳值&amp;地图信息'!$R$10*$BY$56)</f>
        <v>1527</v>
      </c>
      <c r="EX121" s="50">
        <f t="shared" si="159"/>
        <v>0.64850754738395189</v>
      </c>
      <c r="EY121" s="50">
        <f t="shared" si="160"/>
        <v>0.30816592895244582</v>
      </c>
      <c r="EZ121" s="50">
        <f t="shared" si="161"/>
        <v>4.3326523663602318E-2</v>
      </c>
      <c r="FA121" s="51">
        <f t="shared" si="162"/>
        <v>22563</v>
      </c>
      <c r="FB121" s="51">
        <f t="shared" si="163"/>
        <v>21034</v>
      </c>
      <c r="FC121" s="14">
        <f>INT(SUMPRODUCT($AP121:$AT121,$BF121:$BJ121)/SUM($BF121:$BJ121)/10000*$BX$7*$BZ$46/'疲劳值&amp;地图信息'!$R$10*$BY$57)</f>
        <v>2037</v>
      </c>
      <c r="FD121" s="50">
        <f t="shared" si="164"/>
        <v>0.4944339746680107</v>
      </c>
      <c r="FE121" s="50">
        <f t="shared" si="165"/>
        <v>0.46092825524827979</v>
      </c>
      <c r="FF121" s="50">
        <f t="shared" si="166"/>
        <v>4.4637770083709512E-2</v>
      </c>
      <c r="FH121" s="14">
        <f t="shared" si="167"/>
        <v>19304</v>
      </c>
      <c r="FI121" s="14">
        <f t="shared" si="168"/>
        <v>21821</v>
      </c>
      <c r="FJ121" s="14">
        <f t="shared" si="169"/>
        <v>25281</v>
      </c>
      <c r="FK121" s="14">
        <f t="shared" si="170"/>
        <v>35244</v>
      </c>
      <c r="FL121" s="14">
        <f t="shared" si="171"/>
        <v>45634</v>
      </c>
      <c r="FM121" s="14">
        <f t="shared" si="172"/>
        <v>2258276</v>
      </c>
      <c r="FP121" s="14">
        <f t="shared" si="173"/>
        <v>334150</v>
      </c>
      <c r="FQ121" s="50">
        <f t="shared" si="113"/>
        <v>0.12889471097728536</v>
      </c>
      <c r="FS121" s="14">
        <f t="shared" si="174"/>
        <v>2592426</v>
      </c>
      <c r="FX121" s="14">
        <v>116</v>
      </c>
      <c r="FY121" s="51">
        <f t="shared" si="175"/>
        <v>24391</v>
      </c>
      <c r="FZ121" s="51">
        <f t="shared" si="176"/>
        <v>1482</v>
      </c>
      <c r="GA121" s="51">
        <f>INT(SUMPRODUCT($N121:$R121,$BF121:$BJ121)/SUM($BF121:$BJ121)/10000*$BX$7*$BZ$46/'疲劳值&amp;地图信息'!$R$10*$BY$53)</f>
        <v>400</v>
      </c>
      <c r="GB121" s="50">
        <f t="shared" si="177"/>
        <v>0.92836752559662006</v>
      </c>
      <c r="GC121" s="50">
        <f t="shared" si="178"/>
        <v>5.6407718951014346E-2</v>
      </c>
      <c r="GD121" s="50">
        <f t="shared" si="179"/>
        <v>1.5224755452365546E-2</v>
      </c>
      <c r="GE121" s="51">
        <f t="shared" si="180"/>
        <v>26105</v>
      </c>
      <c r="GF121" s="51">
        <f t="shared" si="181"/>
        <v>2425</v>
      </c>
      <c r="GG121" s="14">
        <f>INT(SUMPRODUCT($U121:$Y121,$BF121:$BJ121)/SUM($BF121:$BJ121)/10000*$BX$7*$BZ$46/'疲劳值&amp;地图信息'!$R$10*$BY$54)</f>
        <v>750</v>
      </c>
      <c r="GH121" s="50">
        <f t="shared" si="182"/>
        <v>0.89156420765027322</v>
      </c>
      <c r="GI121" s="50">
        <f t="shared" si="183"/>
        <v>8.2821038251366122E-2</v>
      </c>
      <c r="GJ121" s="50">
        <f t="shared" si="184"/>
        <v>2.5614754098360656E-2</v>
      </c>
      <c r="GK121" s="51">
        <f t="shared" si="185"/>
        <v>28080</v>
      </c>
      <c r="GL121" s="51">
        <f t="shared" si="186"/>
        <v>4206</v>
      </c>
      <c r="GM121" s="14">
        <f>INT(SUMPRODUCT($AB121:$AF121,$BF121:$BJ121)/SUM($BF121:$BJ121)/10000*$BX$7*$BZ$46/'疲劳值&amp;地图信息'!$R$10*$BY$55)</f>
        <v>1018</v>
      </c>
      <c r="GN121" s="50">
        <f t="shared" si="187"/>
        <v>0.84314196492913762</v>
      </c>
      <c r="GO121" s="50">
        <f t="shared" si="188"/>
        <v>0.12629113619985588</v>
      </c>
      <c r="GP121" s="50">
        <f t="shared" si="189"/>
        <v>3.0566898871006484E-2</v>
      </c>
      <c r="GQ121" s="51">
        <f t="shared" si="190"/>
        <v>31999</v>
      </c>
      <c r="GR121" s="51">
        <f t="shared" si="191"/>
        <v>10861</v>
      </c>
      <c r="GS121" s="14">
        <f>INT(SUMPRODUCT($AI121:$AM121,$BF121:$BJ121)/SUM($BF121:$BJ121)/10000*$BX$7*$BZ$46/'疲劳值&amp;地图信息'!$R$10*$BY$56)</f>
        <v>1527</v>
      </c>
      <c r="GT121" s="50">
        <f t="shared" si="192"/>
        <v>0.72090927523824544</v>
      </c>
      <c r="GU121" s="50">
        <f t="shared" si="193"/>
        <v>0.2446887602225877</v>
      </c>
      <c r="GV121" s="50">
        <f t="shared" si="194"/>
        <v>3.4401964539166871E-2</v>
      </c>
      <c r="GW121" s="51">
        <f t="shared" si="195"/>
        <v>31588</v>
      </c>
      <c r="GX121" s="51">
        <f t="shared" si="196"/>
        <v>21034</v>
      </c>
      <c r="GY121" s="14">
        <f>INT(SUMPRODUCT($AP121:$AT121,$BF121:$BJ121)/SUM($BF121:$BJ121)/10000*$BX$7*$BZ$46/'疲劳值&amp;地图信息'!$R$10*$BY$57)</f>
        <v>2037</v>
      </c>
      <c r="GZ121" s="50">
        <f t="shared" si="197"/>
        <v>0.57791031669075543</v>
      </c>
      <c r="HA121" s="50">
        <f t="shared" si="198"/>
        <v>0.38482226165864725</v>
      </c>
      <c r="HB121" s="50">
        <f t="shared" si="199"/>
        <v>3.7267421650597342E-2</v>
      </c>
      <c r="HD121" s="14">
        <f t="shared" si="200"/>
        <v>26273</v>
      </c>
      <c r="HE121" s="14">
        <f t="shared" si="201"/>
        <v>29280</v>
      </c>
      <c r="HF121" s="14">
        <f t="shared" si="202"/>
        <v>33304</v>
      </c>
      <c r="HG121" s="14">
        <f t="shared" si="203"/>
        <v>44387</v>
      </c>
      <c r="HH121" s="14">
        <f t="shared" si="204"/>
        <v>54659</v>
      </c>
      <c r="HI121" s="14">
        <f t="shared" si="205"/>
        <v>3026942</v>
      </c>
      <c r="HL121" s="14">
        <f t="shared" si="206"/>
        <v>430050</v>
      </c>
      <c r="HM121" s="50">
        <f t="shared" si="114"/>
        <v>0.12440005646527386</v>
      </c>
      <c r="HO121" s="14">
        <f t="shared" si="207"/>
        <v>3456992</v>
      </c>
    </row>
    <row r="122" spans="11:223" x14ac:dyDescent="0.2">
      <c r="K122" s="14">
        <v>117</v>
      </c>
      <c r="L122" s="12">
        <f>求节点(节奏总纲!D$4:D$163,标准城池设计!AB$4:AB$163,$K122)*求节点(节奏总纲!D$4:D$163,攻城基础信息!$AC$5:$AC$164,$K122)</f>
        <v>514788.12050177419</v>
      </c>
      <c r="M122" s="12">
        <f>INDEX(其他调用!$AA$5:$AA$404,MATCH(K122,其他调用!$X$5:$X$404,0))*MIN(INDEX(其他调用!$AH$5:$AH$364,MATCH('征服点（新）'!K122,其他调用!$AG$5:$AG$364,0),1)/INDEX(其他调用!$AJ$5:$AJ$364,MATCH(K122,其他调用!$AG$5:$AG$364,0),0),5)*求节点(节奏总纲!D$4:D$163,攻城基础信息!$AC$5:$AC$164,$K122)</f>
        <v>43747.192216924836</v>
      </c>
      <c r="N122" s="12">
        <f>MIN(INDEX(其他调用!$AH$5:$AH$364,MATCH($K122,其他调用!$AG$5:$AG$364,0),1)/INDEX(其他调用!AH$5:AH$364,MATCH($K122,其他调用!$AG$5:$AG$364,0),0),1)*INDEX(其他调用!Y$5:Y$404,MATCH($K122,其他调用!$X$5:$X$404,0),0)</f>
        <v>37046.941165662778</v>
      </c>
      <c r="O122" s="12">
        <f>MIN(INDEX(其他调用!$AH$5:$AH$364,MATCH($K122,其他调用!$AG$5:$AG$364,0),1)/INDEX(其他调用!AI$5:AI$364,MATCH($K122,其他调用!$AG$5:$AG$364,0),0),1)*INDEX(其他调用!Z$5:Z$404,MATCH($K122,其他调用!$X$5:$X$404,0),0)</f>
        <v>23328.990750759152</v>
      </c>
      <c r="P122" s="12">
        <f>MIN(INDEX(其他调用!$AH$5:$AH$364,MATCH($K122,其他调用!$AG$5:$AG$364,0),1)/INDEX(其他调用!AJ$5:AJ$364,MATCH($K122,其他调用!$AG$5:$AG$364,0),0),1)*INDEX(其他调用!AA$5:AA$404,MATCH($K122,其他调用!$X$5:$X$404,0),0)</f>
        <v>13988.444638023968</v>
      </c>
      <c r="Q122" s="12">
        <f>MIN(INDEX(其他调用!$AH$5:$AH$364,MATCH($K122,其他调用!$AG$5:$AG$364,0),1)/INDEX(其他调用!AK$5:AK$364,MATCH($K122,其他调用!$AG$5:$AG$364,0),0),1)*INDEX(其他调用!AB$5:AB$404,MATCH($K122,其他调用!$X$5:$X$404,0),0)</f>
        <v>5701.1278252434695</v>
      </c>
      <c r="R122" s="12">
        <f>MIN(INDEX(其他调用!$AH$5:$AH$364,MATCH($K122,其他调用!$AG$5:$AG$364,0),1)/INDEX(其他调用!AL$5:AL$364,MATCH($K122,其他调用!$AG$5:$AG$364,0),0),1)*INDEX(其他调用!AC$5:AC$404,MATCH($K122,其他调用!$X$5:$X$404,0),0)</f>
        <v>1793.8378003697617</v>
      </c>
      <c r="S122" s="12">
        <f>求节点(节奏总纲!D$4:D$163,标准城池设计!AC$4:AC$163,$K122)*求节点(节奏总纲!D$4:D$163,攻城基础信息!$AD$5:$AD$164,$K122)</f>
        <v>551173.83024581312</v>
      </c>
      <c r="T122" s="12">
        <f>INDEX(其他调用!$AA$5:$AA$404,MATCH($K122,其他调用!$X$5:$X$404,0))*MIN(INDEX(其他调用!AI$5:AI$364,MATCH($K122,其他调用!$AG$5:$AG$364,0),1)/INDEX(其他调用!$AJ$5:$AJ$364,MATCH($K122,其他调用!$AG$5:$AG$364,0),0),5)*求节点(节奏总纲!D$4:D$163,攻城基础信息!$AD$5:$AD$164,$K122)</f>
        <v>71616.429203634136</v>
      </c>
      <c r="U122" s="12">
        <f>MIN(INDEX(其他调用!$AI$5:$AI$364,MATCH($K122,其他调用!$AG$5:$AG$364,0),1)/INDEX(其他调用!AH$5:AH$364,MATCH($K122,其他调用!$AG$5:$AG$364,0),0),1)*INDEX(其他调用!Y$5:Y$404,MATCH($K122,其他调用!$X$5:$X$404,0),0)</f>
        <v>37046.941165662778</v>
      </c>
      <c r="V122" s="12">
        <f>MIN(INDEX(其他调用!$AI$5:$AI$364,MATCH($K122,其他调用!$AG$5:$AG$364,0),1)/INDEX(其他调用!AI$5:AI$364,MATCH($K122,其他调用!$AG$5:$AG$364,0),0),1)*INDEX(其他调用!Z$5:Z$404,MATCH($K122,其他调用!$X$5:$X$404,0),0)</f>
        <v>38190.771334751073</v>
      </c>
      <c r="W122" s="12">
        <f>MIN(INDEX(其他调用!$AI$5:$AI$364,MATCH($K122,其他调用!$AG$5:$AG$364,0),1)/INDEX(其他调用!AJ$5:AJ$364,MATCH($K122,其他调用!$AG$5:$AG$364,0),0),1)*INDEX(其他调用!AA$5:AA$404,MATCH($K122,其他调用!$X$5:$X$404,0),0)</f>
        <v>22899.811492368728</v>
      </c>
      <c r="X122" s="12">
        <f>MIN(INDEX(其他调用!$AI$5:$AI$364,MATCH($K122,其他调用!$AG$5:$AG$364,0),1)/INDEX(其他调用!AK$5:AK$364,MATCH($K122,其他调用!$AG$5:$AG$364,0),0),1)*INDEX(其他调用!AB$5:AB$404,MATCH($K122,其他调用!$X$5:$X$404,0),0)</f>
        <v>9333.042798560622</v>
      </c>
      <c r="Y122" s="12">
        <f>MIN(INDEX(其他调用!$AI$5:$AI$364,MATCH($K122,其他调用!$AG$5:$AG$364,0),1)/INDEX(其他调用!AL$5:AL$364,MATCH($K122,其他调用!$AG$5:$AG$364,0),0),1)*INDEX(其他调用!AC$5:AC$404,MATCH($K122,其他调用!$X$5:$X$404,0),0)</f>
        <v>2936.6057870859713</v>
      </c>
      <c r="Z122" s="12">
        <f>求节点(节奏总纲!D$4:D$163,标准城池设计!AD$4:AD$163,$K122)*求节点(节奏总纲!D$4:D$163,攻城基础信息!$AE$5:$AE$164,$K122)</f>
        <v>593028.17982558499</v>
      </c>
      <c r="AA122" s="12">
        <f>INDEX(其他调用!$AA$5:$AA$404,MATCH($K122,其他调用!$X$5:$X$404,0))*MIN(INDEX(其他调用!AJ$5:AJ$364,MATCH($K122,其他调用!$AG$5:$AG$364,0),1)/INDEX(其他调用!$AJ$5:$AJ$364,MATCH($K122,其他调用!$AG$5:$AG$364,0),0),5)*求节点(节奏总纲!D$4:D$163,攻城基础信息!$AE$5:$AE$164,$K122)</f>
        <v>124167.65162817843</v>
      </c>
      <c r="AB122" s="12">
        <f>MIN(INDEX(其他调用!$AJ$5:$AJ$364,MATCH($K122,其他调用!$AG$5:$AG$364,0),1)/INDEX(其他调用!AH$5:AH$364,MATCH($K122,其他调用!$AG$5:$AG$364,0),0),1)*INDEX(其他调用!Y$5:Y$404,MATCH($K122,其他调用!$X$5:$X$404,0),0)</f>
        <v>37046.941165662778</v>
      </c>
      <c r="AC122" s="12">
        <f>MIN(INDEX(其他调用!$AJ$5:$AJ$364,MATCH($K122,其他调用!$AG$5:$AG$364,0),1)/INDEX(其他调用!AI$5:AI$364,MATCH($K122,其他调用!$AG$5:$AG$364,0),0),1)*INDEX(其他调用!Z$5:Z$404,MATCH($K122,其他调用!$X$5:$X$404,0),0)</f>
        <v>38190.771334751073</v>
      </c>
      <c r="AD122" s="12">
        <f>MIN(INDEX(其他调用!$AJ$5:$AJ$364,MATCH($K122,其他调用!$AG$5:$AG$364,0),1)/INDEX(其他调用!AJ$5:AJ$364,MATCH($K122,其他调用!$AG$5:$AG$364,0),0),1)*INDEX(其他调用!AA$5:AA$404,MATCH($K122,其他调用!$X$5:$X$404,0),0)</f>
        <v>39703.401123929667</v>
      </c>
      <c r="AE122" s="12">
        <f>MIN(INDEX(其他调用!$AJ$5:$AJ$364,MATCH($K122,其他调用!$AG$5:$AG$364,0),1)/INDEX(其他调用!AK$5:AK$364,MATCH($K122,其他调用!$AG$5:$AG$364,0),0),1)*INDEX(其他调用!AB$5:AB$404,MATCH($K122,其他调用!$X$5:$X$404,0),0)</f>
        <v>16181.510579750448</v>
      </c>
      <c r="AF122" s="12">
        <f>MIN(INDEX(其他调用!$AJ$5:$AJ$364,MATCH($K122,其他调用!$AG$5:$AG$364,0),1)/INDEX(其他调用!AL$5:AL$364,MATCH($K122,其他调用!$AG$5:$AG$364,0),0),1)*INDEX(其他调用!AC$5:AC$404,MATCH($K122,其他调用!$X$5:$X$404,0),0)</f>
        <v>5091.449663084858</v>
      </c>
      <c r="AG122" s="12">
        <f>求节点(节奏总纲!D$4:D$163,标准城池设计!AE$4:AE$163,$K122)*求节点(节奏总纲!D$4:D$163,攻城基础信息!$AF$5:$AF$164,$K122)</f>
        <v>675778.82701770752</v>
      </c>
      <c r="AH122" s="12">
        <f>INDEX(其他调用!$AA$5:$AA$404,MATCH($K122,其他调用!$X$5:$X$404,0))*MIN(INDEX(其他调用!AK$5:AK$364,MATCH($K122,其他调用!$AG$5:$AG$364,0),1)/INDEX(其他调用!$AJ$5:$AJ$364,MATCH($K122,其他调用!$AG$5:$AG$364,0),0),5)*求节点(节奏总纲!D$4:D$163,攻城基础信息!$AF$5:$AF$164,$K122)</f>
        <v>321370.68632571591</v>
      </c>
      <c r="AI122" s="12">
        <f>MIN(INDEX(其他调用!$AK$5:$AK$364,MATCH($K122,其他调用!$AG$5:$AG$364,0),1)/INDEX(其他调用!AH$5:AH$364,MATCH($K122,其他调用!$AG$5:$AG$364,0),0),1)*INDEX(其他调用!Y$5:Y$404,MATCH($K122,其他调用!$X$5:$X$404,0),0)</f>
        <v>37046.941165662778</v>
      </c>
      <c r="AJ122" s="12">
        <f>MIN(INDEX(其他调用!$AK$5:$AK$364,MATCH($K122,其他调用!$AG$5:$AG$364,0),1)/INDEX(其他调用!AI$5:AI$364,MATCH($K122,其他调用!$AG$5:$AG$364,0),0),1)*INDEX(其他调用!Z$5:Z$404,MATCH($K122,其他调用!$X$5:$X$404,0),0)</f>
        <v>38190.771334751073</v>
      </c>
      <c r="AK122" s="12">
        <f>MIN(INDEX(其他调用!$AK$5:$AK$364,MATCH($K122,其他调用!$AG$5:$AG$364,0),1)/INDEX(其他调用!AJ$5:AJ$364,MATCH($K122,其他调用!$AG$5:$AG$364,0),0),1)*INDEX(其他调用!AA$5:AA$404,MATCH($K122,其他调用!$X$5:$X$404,0),0)</f>
        <v>39703.401123929667</v>
      </c>
      <c r="AL122" s="12">
        <f>MIN(INDEX(其他调用!$AK$5:$AK$364,MATCH($K122,其他调用!$AG$5:$AG$364,0),1)/INDEX(其他调用!AK$5:AK$364,MATCH($K122,其他调用!$AG$5:$AG$364,0),0),1)*INDEX(其他调用!AB$5:AB$404,MATCH($K122,其他调用!$X$5:$X$404,0),0)</f>
        <v>41880.981822652873</v>
      </c>
      <c r="AM122" s="12">
        <f>MIN(INDEX(其他调用!$AK$5:$AK$364,MATCH($K122,其他调用!$AG$5:$AG$364,0),1)/INDEX(其他调用!AL$5:AL$364,MATCH($K122,其他调用!$AG$5:$AG$364,0),0),1)*INDEX(其他调用!AC$5:AC$404,MATCH($K122,其他调用!$X$5:$X$404,0),0)</f>
        <v>13177.688803507093</v>
      </c>
      <c r="AN122" s="12">
        <f>求节点(节奏总纲!D$4:D$163,标准城池设计!AF$4:AF$163,$K122)*求节点(节奏总纲!D$4:D$163,攻城基础信息!$AG$5:$AG$164,$K122)</f>
        <v>667214.84029042488</v>
      </c>
      <c r="AO122" s="12">
        <f>INDEX(其他调用!$AA$5:$AA$404,MATCH($K122,其他调用!$X$5:$X$404,0))*MIN(INDEX(其他调用!AL$5:AL$364,MATCH($K122,其他调用!$AG$5:$AG$364,0),1)/INDEX(其他调用!$AJ$5:$AJ$364,MATCH($K122,其他调用!$AG$5:$AG$364,0),0),5)*求节点(节奏总纲!D$4:D$163,攻城基础信息!$AG$5:$AG$164,$K122)</f>
        <v>620838.25814089214</v>
      </c>
      <c r="AP122" s="12">
        <f>MIN(INDEX(其他调用!$AL$5:$AL$364,MATCH($K122,其他调用!$AG$5:$AG$364,0),1)/INDEX(其他调用!AH$5:AH$364,MATCH($K122,其他调用!$AG$5:$AG$364,0),0),1)*INDEX(其他调用!Y$5:Y$404,MATCH($K122,其他调用!$X$5:$X$404,0),0)</f>
        <v>37046.941165662778</v>
      </c>
      <c r="AQ122" s="12">
        <f>MIN(INDEX(其他调用!$AL$5:$AL$364,MATCH($K122,其他调用!$AG$5:$AG$364,0),1)/INDEX(其他调用!AI$5:AI$364,MATCH($K122,其他调用!$AG$5:$AG$364,0),0),1)*INDEX(其他调用!Z$5:Z$404,MATCH($K122,其他调用!$X$5:$X$404,0),0)</f>
        <v>38190.771334751073</v>
      </c>
      <c r="AR122" s="12">
        <f>MIN(INDEX(其他调用!$AL$5:$AL$364,MATCH($K122,其他调用!$AG$5:$AG$364,0),1)/INDEX(其他调用!AJ$5:AJ$364,MATCH($K122,其他调用!$AG$5:$AG$364,0),0),1)*INDEX(其他调用!AA$5:AA$404,MATCH($K122,其他调用!$X$5:$X$404,0),0)</f>
        <v>39703.401123929667</v>
      </c>
      <c r="AS122" s="12">
        <f>MIN(INDEX(其他调用!$AL$5:$AL$364,MATCH($K122,其他调用!$AG$5:$AG$364,0),1)/INDEX(其他调用!AK$5:AK$364,MATCH($K122,其他调用!$AG$5:$AG$364,0),0),1)*INDEX(其他调用!AB$5:AB$404,MATCH($K122,其他调用!$X$5:$X$404,0),0)</f>
        <v>41880.981822652873</v>
      </c>
      <c r="AT122" s="12">
        <f>MIN(INDEX(其他调用!$AL$5:$AL$364,MATCH($K122,其他调用!$AG$5:$AG$364,0),1)/INDEX(其他调用!AL$5:AL$364,MATCH($K122,其他调用!$AG$5:$AG$364,0),0),1)*INDEX(其他调用!AC$5:AC$404,MATCH($K122,其他调用!$X$5:$X$404,0),0)</f>
        <v>45771.45430638831</v>
      </c>
      <c r="AV122" s="14">
        <f>IF(OR(AV$5="大R",AV$5="超R"),MAX(INDEX(其他调用!$H$5:$L$404,MATCH($K122,其他调用!$B$5:$B$404,0),MATCH(AV$5,其他调用!$H$4:$L$4,0))*120*0.85,2),INDEX(其他调用!$H$5:$L$404,MATCH($K122,其他调用!$B$5:$B$404,0),MATCH(AV$5,其他调用!$H$4:$L$4,0))*120*0.85)</f>
        <v>48.921801254999991</v>
      </c>
      <c r="AW122" s="14">
        <f>IF(OR(AW$5="大R",AW$5="超R"),MAX(INDEX(其他调用!$H$5:$L$404,MATCH($K122,其他调用!$B$5:$B$404,0),MATCH(AW$5,其他调用!$H$4:$L$4,0))*120*0.85,2),INDEX(其他调用!$H$5:$L$404,MATCH($K122,其他调用!$B$5:$B$404,0),MATCH(AW$5,其他调用!$H$4:$L$4,0))*120*0.85)</f>
        <v>48.237344010638395</v>
      </c>
      <c r="AX122" s="14">
        <f>IF(OR(AX$5="大R",AX$5="超R"),MAX(INDEX(其他调用!$H$5:$L$404,MATCH($K122,其他调用!$B$5:$B$404,0),MATCH(AX$5,其他调用!$H$4:$L$4,0))*120*0.85,2),INDEX(其他调用!$H$5:$L$404,MATCH($K122,其他调用!$B$5:$B$404,0),MATCH(AX$5,其他调用!$H$4:$L$4,0))*120*0.85)</f>
        <v>3.9376284143615998</v>
      </c>
      <c r="AY122" s="14">
        <f>IF(OR(AY$5="大R",AY$5="超R"),MAX(INDEX(其他调用!$H$5:$L$404,MATCH($K122,其他调用!$B$5:$B$404,0),MATCH(AY$5,其他调用!$H$4:$L$4,0))*120*0.85,2),INDEX(其他调用!$H$5:$L$404,MATCH($K122,其他调用!$B$5:$B$404,0),MATCH(AY$5,其他调用!$H$4:$L$4,0))*120*0.85)</f>
        <v>2</v>
      </c>
      <c r="AZ122" s="14">
        <f>IF(OR(AZ$5="大R",AZ$5="超R"),MAX(INDEX(其他调用!$H$5:$L$404,MATCH($K122,其他调用!$B$5:$B$404,0),MATCH(AZ$5,其他调用!$H$4:$L$4,0))*120*0.85,2),INDEX(其他调用!$H$5:$L$404,MATCH($K122,其他调用!$B$5:$B$404,0),MATCH(AZ$5,其他调用!$H$4:$L$4,0))*120*0.85)</f>
        <v>2</v>
      </c>
      <c r="BA122" s="14">
        <f>INDEX(其他调用!$H$5:$L$404,MATCH($K122,其他调用!$B$5:$B$404,0),MATCH(BA$5,其他调用!$H$4:$L$4,0))*INDEX(其他调用!$M$5:$M$404,MATCH($K122,其他调用!$B$5:$B$404,0))*0.6</f>
        <v>28.777530149999997</v>
      </c>
      <c r="BB122" s="14">
        <f>INDEX(其他调用!$H$5:$L$404,MATCH($K122,其他调用!$B$5:$B$404,0),MATCH(BB$5,其他调用!$H$4:$L$4,0))*INDEX(其他调用!$M$5:$M$404,MATCH($K122,其他调用!$B$5:$B$404,0))*0.6</f>
        <v>28.374908241551999</v>
      </c>
      <c r="BC122" s="14">
        <f>INDEX(其他调用!$H$5:$L$404,MATCH($K122,其他调用!$B$5:$B$404,0),MATCH(BC$5,其他调用!$H$4:$L$4,0))*INDEX(其他调用!$M$5:$M$404,MATCH($K122,其他调用!$B$5:$B$404,0))*0.6</f>
        <v>2.3162520084480001</v>
      </c>
      <c r="BD122" s="14">
        <f>INDEX(其他调用!$H$5:$L$404,MATCH($K122,其他调用!$B$5:$B$404,0),MATCH(BD$5,其他调用!$H$4:$L$4,0))*INDEX(其他调用!$M$5:$M$404,MATCH($K122,其他调用!$B$5:$B$404,0))*0.6</f>
        <v>0.4120776000000001</v>
      </c>
      <c r="BE122" s="14">
        <f>INDEX(其他调用!$H$5:$L$404,MATCH($K122,其他调用!$B$5:$B$404,0),MATCH(BE$5,其他调用!$H$4:$L$4,0))*INDEX(其他调用!$M$5:$M$404,MATCH($K122,其他调用!$B$5:$B$404,0))*0.6</f>
        <v>0.11923199999999998</v>
      </c>
      <c r="BF122" s="14">
        <f>IF(OR(BF$5="大R",BF$5="超R"),0,INDEX(其他调用!$H$5:$L$404,MATCH($K122,其他调用!$B$5:$B$404,0),MATCH(BF$5,其他调用!$H$4:$L$4,0))*50*0.4)</f>
        <v>9.5925100500000013</v>
      </c>
      <c r="BG122" s="14">
        <f>IF(OR(BG$5="大R",BG$5="超R"),0,INDEX(其他调用!$H$5:$L$404,MATCH($K122,其他调用!$B$5:$B$404,0),MATCH(BG$5,其他调用!$H$4:$L$4,0))*50*0.4)</f>
        <v>9.4583027471839998</v>
      </c>
      <c r="BH122" s="14">
        <f>IF(OR(BH$5="大R",BH$5="超R"),0,INDEX(其他调用!$H$5:$L$404,MATCH($K122,其他调用!$B$5:$B$404,0),MATCH(BH$5,其他调用!$H$4:$L$4,0))*50*0.4)</f>
        <v>0.77208400281600009</v>
      </c>
      <c r="BI122" s="14">
        <f>IF(OR(BI$5="大R",BI$5="超R"),0,INDEX(其他调用!$H$5:$L$404,MATCH($K122,其他调用!$B$5:$B$404,0),MATCH(BI$5,其他调用!$H$4:$L$4,0))*50*0.4)</f>
        <v>0</v>
      </c>
      <c r="BJ122" s="14">
        <f>IF(OR(BJ$5="大R",BJ$5="超R"),0,INDEX(其他调用!$H$5:$L$404,MATCH($K122,其他调用!$B$5:$B$404,0),MATCH(BJ$5,其他调用!$H$4:$L$4,0))*50*0.4)</f>
        <v>0</v>
      </c>
      <c r="BL122" s="14">
        <f t="shared" si="208"/>
        <v>117</v>
      </c>
      <c r="BM122" s="14">
        <f t="shared" si="115"/>
        <v>96</v>
      </c>
      <c r="BN122" s="14">
        <f>('疲劳值&amp;地图信息'!$S$10*'疲劳值&amp;地图信息'!$R$10+'疲劳值&amp;地图信息'!$S$11*'疲劳值&amp;地图信息'!$R$11+'疲劳值&amp;地图信息'!$S$12*'疲劳值&amp;地图信息'!$R$12+(BM122-'疲劳值&amp;地图信息'!$S$12-'疲劳值&amp;地图信息'!$S$11-'疲劳值&amp;地图信息'!$S$10)*'疲劳值&amp;地图信息'!$R$13)/BM122</f>
        <v>51.371477246638619</v>
      </c>
      <c r="BO122" s="14">
        <f>INDEX(其他调用!$M$5:$M$404,MATCH(BL122,其他调用!$B$5:$B$404,0))*0.6</f>
        <v>60</v>
      </c>
      <c r="BP122" s="14">
        <f>IF(BO122&gt;SUM('疲劳值&amp;地图信息'!$S$10:$S$12),('疲劳值&amp;地图信息'!$S$10*'疲劳值&amp;地图信息'!$R$10+'疲劳值&amp;地图信息'!$S$11*'疲劳值&amp;地图信息'!$R$11+'疲劳值&amp;地图信息'!$S$12*'疲劳值&amp;地图信息'!$R$12+(BO122-'疲劳值&amp;地图信息'!$S$12-'疲劳值&amp;地图信息'!$S$11-'疲劳值&amp;地图信息'!$S$10)*'疲劳值&amp;地图信息'!$R$13)/BO122,('疲劳值&amp;地图信息'!$S$10*'疲劳值&amp;地图信息'!$R$10+'疲劳值&amp;地图信息'!$S$11*'疲劳值&amp;地图信息'!$R$11+'疲劳值&amp;地图信息'!$S$12*'疲劳值&amp;地图信息'!$R$12+(BO122-'疲劳值&amp;地图信息'!$S$12-'疲劳值&amp;地图信息'!$S$11-'疲劳值&amp;地图信息'!$S$10)*'疲劳值&amp;地图信息'!$R$13)/BO122)</f>
        <v>44.158136341605953</v>
      </c>
      <c r="BQ122" s="14">
        <f t="shared" si="209"/>
        <v>20</v>
      </c>
      <c r="BR122" s="14">
        <f>('疲劳值&amp;地图信息'!$S$10*'疲劳值&amp;地图信息'!$R$10+($BQ122-'疲劳值&amp;地图信息'!$S$10)*'疲劳值&amp;地图信息'!$R$11)/$BQ122</f>
        <v>32.067203015074995</v>
      </c>
      <c r="CF122" s="14">
        <v>117</v>
      </c>
      <c r="CG122" s="51">
        <f t="shared" si="116"/>
        <v>10492</v>
      </c>
      <c r="CH122" s="51">
        <f t="shared" si="117"/>
        <v>891</v>
      </c>
      <c r="CI122" s="51">
        <f>INT(SUMPRODUCT($N122:$R122,$BA122:$BE122)/SUM($BA122:$BE122)/10000*$BX$7*$BZ$34/'疲劳值&amp;地图信息'!$R$10*$BY$53)</f>
        <v>2981</v>
      </c>
      <c r="CJ122" s="50">
        <f t="shared" si="118"/>
        <v>0.73043720412141466</v>
      </c>
      <c r="CK122" s="50">
        <f t="shared" si="119"/>
        <v>6.2030075187969921E-2</v>
      </c>
      <c r="CL122" s="50">
        <f t="shared" si="120"/>
        <v>0.20753272069061543</v>
      </c>
      <c r="CM122" s="14">
        <f t="shared" si="121"/>
        <v>11233</v>
      </c>
      <c r="CN122" s="14">
        <f t="shared" si="122"/>
        <v>1459</v>
      </c>
      <c r="CO122" s="14">
        <f>INT(SUMPRODUCT($U122:$Y122,$BA122:$BE122)/SUM($BA122:$BE122)/10000*$BX$7*$BZ$34/'疲劳值&amp;地图信息'!$R$10*$BY$54)</f>
        <v>5598</v>
      </c>
      <c r="CP122" s="50">
        <f t="shared" si="123"/>
        <v>0.61416074357572448</v>
      </c>
      <c r="CQ122" s="50">
        <f t="shared" si="124"/>
        <v>7.9770366320393651E-2</v>
      </c>
      <c r="CR122" s="50">
        <f t="shared" si="125"/>
        <v>0.30606889010388189</v>
      </c>
      <c r="CS122" s="14">
        <f t="shared" si="126"/>
        <v>12086</v>
      </c>
      <c r="CT122" s="14">
        <f t="shared" si="127"/>
        <v>2530</v>
      </c>
      <c r="CU122" s="14">
        <f>INT(SUMPRODUCT($AB122:$AF122,$BA122:$BE122)/SUM($BA122:$BE122)/10000*$BX$7*$BZ$34/'疲劳值&amp;地图信息'!$R$10*$BY$55)</f>
        <v>7606</v>
      </c>
      <c r="CV122" s="50">
        <f t="shared" si="128"/>
        <v>0.5438754387543876</v>
      </c>
      <c r="CW122" s="50">
        <f t="shared" si="129"/>
        <v>0.11385113851138512</v>
      </c>
      <c r="CX122" s="50">
        <f t="shared" si="130"/>
        <v>0.34227342273422734</v>
      </c>
      <c r="CY122" s="14">
        <f t="shared" si="131"/>
        <v>13773</v>
      </c>
      <c r="CZ122" s="14">
        <f t="shared" si="132"/>
        <v>6549</v>
      </c>
      <c r="DA122" s="14">
        <f>INT(SUMPRODUCT($AI122:$AM122,$BA122:$BE122)/SUM($BA122:$BE122)/10000*$BX$7*$BZ$34/'疲劳值&amp;地图信息'!$R$10*$BY$56)</f>
        <v>11468</v>
      </c>
      <c r="DB122" s="50">
        <f t="shared" si="133"/>
        <v>0.43324944951242528</v>
      </c>
      <c r="DC122" s="50">
        <f t="shared" si="134"/>
        <v>0.20600817867253854</v>
      </c>
      <c r="DD122" s="50">
        <f t="shared" si="135"/>
        <v>0.36074237181503616</v>
      </c>
      <c r="DE122" s="14">
        <f t="shared" si="136"/>
        <v>13598</v>
      </c>
      <c r="DF122" s="14">
        <f t="shared" si="137"/>
        <v>12653</v>
      </c>
      <c r="DG122" s="14">
        <f>INT(SUMPRODUCT($AP122:$AT122,$BA122:$BE122)/SUM($BA122:$BE122)/10000*$BX$7*$BZ$34/'疲劳值&amp;地图信息'!$R$10*$BY$57)</f>
        <v>15317</v>
      </c>
      <c r="DH122" s="50">
        <f t="shared" si="138"/>
        <v>0.32712663587374902</v>
      </c>
      <c r="DI122" s="50">
        <f t="shared" si="139"/>
        <v>0.30439280215550424</v>
      </c>
      <c r="DJ122" s="50">
        <f t="shared" si="140"/>
        <v>0.36848056197074675</v>
      </c>
      <c r="DL122" s="14">
        <f t="shared" si="211"/>
        <v>14364</v>
      </c>
      <c r="DM122" s="14">
        <f t="shared" si="212"/>
        <v>18290</v>
      </c>
      <c r="DN122" s="14">
        <f t="shared" si="213"/>
        <v>22222</v>
      </c>
      <c r="DO122" s="14">
        <f t="shared" si="214"/>
        <v>31790</v>
      </c>
      <c r="DP122" s="14">
        <f t="shared" si="215"/>
        <v>41568</v>
      </c>
      <c r="DQ122" s="14">
        <f t="shared" si="216"/>
        <v>1001865</v>
      </c>
      <c r="DT122" s="14">
        <f t="shared" si="210"/>
        <v>235575</v>
      </c>
      <c r="DU122" s="50">
        <f t="shared" si="112"/>
        <v>0.1903728665632273</v>
      </c>
      <c r="DW122" s="14">
        <f t="shared" si="141"/>
        <v>1237440</v>
      </c>
      <c r="EB122" s="14">
        <v>117</v>
      </c>
      <c r="EC122" s="51">
        <f t="shared" si="142"/>
        <v>17486</v>
      </c>
      <c r="ED122" s="51">
        <f t="shared" si="143"/>
        <v>1486</v>
      </c>
      <c r="EE122" s="51">
        <f>INT(SUMPRODUCT($N122:$R122,$BF122:$BJ122)/SUM($BF122:$BJ122)/10000*$BX$7*$BZ$46/'疲劳值&amp;地图信息'!$R$10*$BY$53)</f>
        <v>400</v>
      </c>
      <c r="EF122" s="50">
        <f t="shared" si="144"/>
        <v>0.9026429898823044</v>
      </c>
      <c r="EG122" s="50">
        <f t="shared" si="145"/>
        <v>7.6708651662192859E-2</v>
      </c>
      <c r="EH122" s="50">
        <f t="shared" si="146"/>
        <v>2.0648358455502787E-2</v>
      </c>
      <c r="EI122" s="51">
        <f t="shared" si="147"/>
        <v>18722</v>
      </c>
      <c r="EJ122" s="51">
        <f t="shared" si="148"/>
        <v>2432</v>
      </c>
      <c r="EK122" s="14">
        <f>INT(SUMPRODUCT($U122:$Y122,$BF122:$BJ122)/SUM($BF122:$BJ122)/10000*$BX$7*$BZ$46/'疲劳值&amp;地图信息'!$R$10*$BY$54)</f>
        <v>751</v>
      </c>
      <c r="EL122" s="50">
        <f t="shared" si="149"/>
        <v>0.8546907098835882</v>
      </c>
      <c r="EM122" s="50">
        <f t="shared" si="150"/>
        <v>0.11102488016434604</v>
      </c>
      <c r="EN122" s="50">
        <f t="shared" si="151"/>
        <v>3.4284409952065741E-2</v>
      </c>
      <c r="EO122" s="51">
        <f t="shared" si="152"/>
        <v>20144</v>
      </c>
      <c r="EP122" s="51">
        <f t="shared" si="153"/>
        <v>4217</v>
      </c>
      <c r="EQ122" s="14">
        <f>INT(SUMPRODUCT($AB122:$AF122,$BF122:$BJ122)/SUM($BF122:$BJ122)/10000*$BX$7*$BZ$46/'疲劳值&amp;地图信息'!$R$10*$BY$55)</f>
        <v>1019</v>
      </c>
      <c r="ER122" s="50">
        <f t="shared" si="154"/>
        <v>0.79369582348305756</v>
      </c>
      <c r="ES122" s="50">
        <f t="shared" si="155"/>
        <v>0.16615445232466508</v>
      </c>
      <c r="ET122" s="50">
        <f t="shared" si="156"/>
        <v>4.0149724192277386E-2</v>
      </c>
      <c r="EU122" s="51">
        <f t="shared" si="157"/>
        <v>22955</v>
      </c>
      <c r="EV122" s="51">
        <f t="shared" si="158"/>
        <v>10916</v>
      </c>
      <c r="EW122" s="14">
        <f>INT(SUMPRODUCT($AI122:$AM122,$BF122:$BJ122)/SUM($BF122:$BJ122)/10000*$BX$7*$BZ$46/'疲劳值&amp;地图信息'!$R$10*$BY$56)</f>
        <v>1529</v>
      </c>
      <c r="EX122" s="50">
        <f t="shared" si="159"/>
        <v>0.64844632768361576</v>
      </c>
      <c r="EY122" s="50">
        <f t="shared" si="160"/>
        <v>0.30836158192090396</v>
      </c>
      <c r="EZ122" s="50">
        <f t="shared" si="161"/>
        <v>4.3192090395480227E-2</v>
      </c>
      <c r="FA122" s="51">
        <f t="shared" si="162"/>
        <v>22664</v>
      </c>
      <c r="FB122" s="51">
        <f t="shared" si="163"/>
        <v>21089</v>
      </c>
      <c r="FC122" s="14">
        <f>INT(SUMPRODUCT($AP122:$AT122,$BF122:$BJ122)/SUM($BF122:$BJ122)/10000*$BX$7*$BZ$46/'疲劳值&amp;地图信息'!$R$10*$BY$57)</f>
        <v>2039</v>
      </c>
      <c r="FD122" s="50">
        <f t="shared" si="164"/>
        <v>0.49493361285814114</v>
      </c>
      <c r="FE122" s="50">
        <f t="shared" si="165"/>
        <v>0.46053895877009082</v>
      </c>
      <c r="FF122" s="50">
        <f t="shared" si="166"/>
        <v>4.4527428371767992E-2</v>
      </c>
      <c r="FH122" s="14">
        <f t="shared" si="167"/>
        <v>19372</v>
      </c>
      <c r="FI122" s="14">
        <f t="shared" si="168"/>
        <v>21905</v>
      </c>
      <c r="FJ122" s="14">
        <f t="shared" si="169"/>
        <v>25380</v>
      </c>
      <c r="FK122" s="14">
        <f t="shared" si="170"/>
        <v>35400</v>
      </c>
      <c r="FL122" s="14">
        <f t="shared" si="171"/>
        <v>45792</v>
      </c>
      <c r="FM122" s="14">
        <f t="shared" si="172"/>
        <v>2266673</v>
      </c>
      <c r="FP122" s="14">
        <f t="shared" si="173"/>
        <v>334150</v>
      </c>
      <c r="FQ122" s="50">
        <f t="shared" si="113"/>
        <v>0.12847856236275979</v>
      </c>
      <c r="FS122" s="14">
        <f t="shared" si="174"/>
        <v>2600823</v>
      </c>
      <c r="FX122" s="14">
        <v>117</v>
      </c>
      <c r="FY122" s="51">
        <f t="shared" si="175"/>
        <v>24481</v>
      </c>
      <c r="FZ122" s="51">
        <f t="shared" si="176"/>
        <v>1486</v>
      </c>
      <c r="GA122" s="51">
        <f>INT(SUMPRODUCT($N122:$R122,$BF122:$BJ122)/SUM($BF122:$BJ122)/10000*$BX$7*$BZ$46/'疲劳值&amp;地图信息'!$R$10*$BY$53)</f>
        <v>400</v>
      </c>
      <c r="GB122" s="50">
        <f t="shared" si="177"/>
        <v>0.9284711950544241</v>
      </c>
      <c r="GC122" s="50">
        <f t="shared" si="178"/>
        <v>5.63583266962491E-2</v>
      </c>
      <c r="GD122" s="50">
        <f t="shared" si="179"/>
        <v>1.517047824932681E-2</v>
      </c>
      <c r="GE122" s="51">
        <f t="shared" si="180"/>
        <v>26211</v>
      </c>
      <c r="GF122" s="51">
        <f t="shared" si="181"/>
        <v>2432</v>
      </c>
      <c r="GG122" s="14">
        <f>INT(SUMPRODUCT($U122:$Y122,$BF122:$BJ122)/SUM($BF122:$BJ122)/10000*$BX$7*$BZ$46/'疲劳值&amp;地图信息'!$R$10*$BY$54)</f>
        <v>751</v>
      </c>
      <c r="GH122" s="50">
        <f t="shared" si="182"/>
        <v>0.89171259440702189</v>
      </c>
      <c r="GI122" s="50">
        <f t="shared" si="183"/>
        <v>8.273797373613663E-2</v>
      </c>
      <c r="GJ122" s="50">
        <f t="shared" si="184"/>
        <v>2.5549431856841533E-2</v>
      </c>
      <c r="GK122" s="51">
        <f t="shared" si="185"/>
        <v>28202</v>
      </c>
      <c r="GL122" s="51">
        <f t="shared" si="186"/>
        <v>4217</v>
      </c>
      <c r="GM122" s="14">
        <f>INT(SUMPRODUCT($AB122:$AF122,$BF122:$BJ122)/SUM($BF122:$BJ122)/10000*$BX$7*$BZ$46/'疲劳值&amp;地图信息'!$R$10*$BY$55)</f>
        <v>1019</v>
      </c>
      <c r="GN122" s="50">
        <f t="shared" si="187"/>
        <v>0.8434116873018721</v>
      </c>
      <c r="GO122" s="50">
        <f t="shared" si="188"/>
        <v>0.12611400203361445</v>
      </c>
      <c r="GP122" s="50">
        <f t="shared" si="189"/>
        <v>3.0474310664513428E-2</v>
      </c>
      <c r="GQ122" s="51">
        <f t="shared" si="190"/>
        <v>32137</v>
      </c>
      <c r="GR122" s="51">
        <f t="shared" si="191"/>
        <v>10916</v>
      </c>
      <c r="GS122" s="14">
        <f>INT(SUMPRODUCT($AI122:$AM122,$BF122:$BJ122)/SUM($BF122:$BJ122)/10000*$BX$7*$BZ$46/'疲劳值&amp;地图信息'!$R$10*$BY$56)</f>
        <v>1529</v>
      </c>
      <c r="GT122" s="50">
        <f t="shared" si="192"/>
        <v>0.72085146471670181</v>
      </c>
      <c r="GU122" s="50">
        <f t="shared" si="193"/>
        <v>0.24485218249517743</v>
      </c>
      <c r="GV122" s="50">
        <f t="shared" si="194"/>
        <v>3.4296352788120765E-2</v>
      </c>
      <c r="GW122" s="51">
        <f t="shared" si="195"/>
        <v>31730</v>
      </c>
      <c r="GX122" s="51">
        <f t="shared" si="196"/>
        <v>21089</v>
      </c>
      <c r="GY122" s="14">
        <f>INT(SUMPRODUCT($AP122:$AT122,$BF122:$BJ122)/SUM($BF122:$BJ122)/10000*$BX$7*$BZ$46/'疲劳值&amp;地图信息'!$R$10*$BY$57)</f>
        <v>2039</v>
      </c>
      <c r="GZ122" s="50">
        <f t="shared" si="197"/>
        <v>0.57840242079550841</v>
      </c>
      <c r="HA122" s="50">
        <f t="shared" si="198"/>
        <v>0.38442888913194062</v>
      </c>
      <c r="HB122" s="50">
        <f t="shared" si="199"/>
        <v>3.7168690072550949E-2</v>
      </c>
      <c r="HD122" s="14">
        <f t="shared" si="200"/>
        <v>26367</v>
      </c>
      <c r="HE122" s="14">
        <f t="shared" si="201"/>
        <v>29394</v>
      </c>
      <c r="HF122" s="14">
        <f t="shared" si="202"/>
        <v>33438</v>
      </c>
      <c r="HG122" s="14">
        <f t="shared" si="203"/>
        <v>44582</v>
      </c>
      <c r="HH122" s="14">
        <f t="shared" si="204"/>
        <v>54858</v>
      </c>
      <c r="HI122" s="14">
        <f t="shared" si="205"/>
        <v>3038356</v>
      </c>
      <c r="HL122" s="14">
        <f t="shared" si="206"/>
        <v>430050</v>
      </c>
      <c r="HM122" s="50">
        <f t="shared" si="114"/>
        <v>0.12399067467880058</v>
      </c>
      <c r="HO122" s="14">
        <f t="shared" si="207"/>
        <v>3468406</v>
      </c>
    </row>
    <row r="123" spans="11:223" x14ac:dyDescent="0.2">
      <c r="K123" s="14">
        <v>118</v>
      </c>
      <c r="L123" s="12">
        <f>求节点(节奏总纲!D$4:D$163,标准城池设计!AB$4:AB$163,$K123)*求节点(节奏总纲!D$4:D$163,攻城基础信息!$AC$5:$AC$164,$K123)</f>
        <v>516684.92153301003</v>
      </c>
      <c r="M123" s="12">
        <f>INDEX(其他调用!$AA$5:$AA$404,MATCH(K123,其他调用!$X$5:$X$404,0))*MIN(INDEX(其他调用!$AH$5:$AH$364,MATCH('征服点（新）'!K123,其他调用!$AG$5:$AG$364,0),1)/INDEX(其他调用!$AJ$5:$AJ$364,MATCH(K123,其他调用!$AG$5:$AG$364,0),0),5)*求节点(节奏总纲!D$4:D$163,攻城基础信息!$AC$5:$AC$164,$K123)</f>
        <v>43839.172438063601</v>
      </c>
      <c r="N123" s="12">
        <f>MIN(INDEX(其他调用!$AH$5:$AH$364,MATCH($K123,其他调用!$AG$5:$AG$364,0),1)/INDEX(其他调用!AH$5:AH$364,MATCH($K123,其他调用!$AG$5:$AG$364,0),0),1)*INDEX(其他调用!Y$5:Y$404,MATCH($K123,其他调用!$X$5:$X$404,0),0)</f>
        <v>37097.549602210551</v>
      </c>
      <c r="O123" s="12">
        <f>MIN(INDEX(其他调用!$AH$5:$AH$364,MATCH($K123,其他调用!$AG$5:$AG$364,0),1)/INDEX(其他调用!AI$5:AI$364,MATCH($K123,其他调用!$AG$5:$AG$364,0),0),1)*INDEX(其他调用!Z$5:Z$404,MATCH($K123,其他调用!$X$5:$X$404,0),0)</f>
        <v>23342.929244354662</v>
      </c>
      <c r="P123" s="12">
        <f>MIN(INDEX(其他调用!$AH$5:$AH$364,MATCH($K123,其他调用!$AG$5:$AG$364,0),1)/INDEX(其他调用!AJ$5:AJ$364,MATCH($K123,其他调用!$AG$5:$AG$364,0),0),1)*INDEX(其他调用!AA$5:AA$404,MATCH($K123,其他调用!$X$5:$X$404,0),0)</f>
        <v>13999.19926724976</v>
      </c>
      <c r="Q123" s="12">
        <f>MIN(INDEX(其他调用!$AH$5:$AH$364,MATCH($K123,其他调用!$AG$5:$AG$364,0),1)/INDEX(其他调用!AK$5:AK$364,MATCH($K123,其他调用!$AG$5:$AG$364,0),0),1)*INDEX(其他调用!AB$5:AB$404,MATCH($K123,其他调用!$X$5:$X$404,0),0)</f>
        <v>5691.310447196176</v>
      </c>
      <c r="R123" s="12">
        <f>MIN(INDEX(其他调用!$AH$5:$AH$364,MATCH($K123,其他调用!$AG$5:$AG$364,0),1)/INDEX(其他调用!AL$5:AL$364,MATCH($K123,其他调用!$AG$5:$AG$364,0),0),1)*INDEX(其他调用!AC$5:AC$404,MATCH($K123,其他调用!$X$5:$X$404,0),0)</f>
        <v>1794.9432382118619</v>
      </c>
      <c r="S123" s="12">
        <f>求节点(节奏总纲!D$4:D$163,标准城池设计!AC$4:AC$163,$K123)*求节点(节奏总纲!D$4:D$163,攻城基础信息!$AD$5:$AD$164,$K123)</f>
        <v>553416.75693461637</v>
      </c>
      <c r="T123" s="12">
        <f>INDEX(其他调用!$AA$5:$AA$404,MATCH($K123,其他调用!$X$5:$X$404,0))*MIN(INDEX(其他调用!AI$5:AI$364,MATCH($K123,其他调用!$AG$5:$AG$364,0),1)/INDEX(其他调用!$AJ$5:$AJ$364,MATCH($K123,其他调用!$AG$5:$AG$364,0),0),5)*求节点(节奏总纲!D$4:D$163,攻城基础信息!$AD$5:$AD$164,$K123)</f>
        <v>71817.764311851803</v>
      </c>
      <c r="U123" s="12">
        <f>MIN(INDEX(其他调用!$AI$5:$AI$364,MATCH($K123,其他调用!$AG$5:$AG$364,0),1)/INDEX(其他调用!AH$5:AH$364,MATCH($K123,其他调用!$AG$5:$AG$364,0),0),1)*INDEX(其他调用!Y$5:Y$404,MATCH($K123,其他调用!$X$5:$X$404,0),0)</f>
        <v>37097.549602210551</v>
      </c>
      <c r="V123" s="12">
        <f>MIN(INDEX(其他调用!$AI$5:$AI$364,MATCH($K123,其他调用!$AG$5:$AG$364,0),1)/INDEX(其他调用!AI$5:AI$364,MATCH($K123,其他调用!$AG$5:$AG$364,0),0),1)*INDEX(其他调用!Z$5:Z$404,MATCH($K123,其他调用!$X$5:$X$404,0),0)</f>
        <v>38240.616726690772</v>
      </c>
      <c r="W123" s="12">
        <f>MIN(INDEX(其他调用!$AI$5:$AI$364,MATCH($K123,其他调用!$AG$5:$AG$364,0),1)/INDEX(其他调用!AJ$5:AJ$364,MATCH($K123,其他调用!$AG$5:$AG$364,0),0),1)*INDEX(其他调用!AA$5:AA$404,MATCH($K123,其他调用!$X$5:$X$404,0),0)</f>
        <v>22933.626198131773</v>
      </c>
      <c r="X123" s="12">
        <f>MIN(INDEX(其他调用!$AI$5:$AI$364,MATCH($K123,其他调用!$AG$5:$AG$364,0),1)/INDEX(其他调用!AK$5:AK$364,MATCH($K123,其他调用!$AG$5:$AG$364,0),0),1)*INDEX(其他调用!AB$5:AB$404,MATCH($K123,其他调用!$X$5:$X$404,0),0)</f>
        <v>9323.5608610035379</v>
      </c>
      <c r="Y123" s="12">
        <f>MIN(INDEX(其他调用!$AI$5:$AI$364,MATCH($K123,其他调用!$AG$5:$AG$364,0),1)/INDEX(其他调用!AL$5:AL$364,MATCH($K123,其他调用!$AG$5:$AG$364,0),0),1)*INDEX(其他调用!AC$5:AC$404,MATCH($K123,其他调用!$X$5:$X$404,0),0)</f>
        <v>2940.493701544553</v>
      </c>
      <c r="Z123" s="12">
        <f>求节点(节奏总纲!D$4:D$163,标准城池设计!AD$4:AD$163,$K123)*求节点(节奏总纲!D$4:D$163,攻城基础信息!$AE$5:$AE$164,$K123)</f>
        <v>595589.69334115856</v>
      </c>
      <c r="AA123" s="12">
        <f>INDEX(其他调用!$AA$5:$AA$404,MATCH($K123,其他调用!$X$5:$X$404,0))*MIN(INDEX(其他调用!AJ$5:AJ$364,MATCH($K123,其他调用!$AG$5:$AG$364,0),1)/INDEX(其他调用!$AJ$5:$AJ$364,MATCH($K123,其他调用!$AG$5:$AG$364,0),0),5)*求节点(节奏总纲!D$4:D$163,攻城基础信息!$AE$5:$AE$164,$K123)</f>
        <v>124488.10238435731</v>
      </c>
      <c r="AB123" s="12">
        <f>MIN(INDEX(其他调用!$AJ$5:$AJ$364,MATCH($K123,其他调用!$AG$5:$AG$364,0),1)/INDEX(其他调用!AH$5:AH$364,MATCH($K123,其他调用!$AG$5:$AG$364,0),0),1)*INDEX(其他调用!Y$5:Y$404,MATCH($K123,其他调用!$X$5:$X$404,0),0)</f>
        <v>37097.549602210551</v>
      </c>
      <c r="AC123" s="12">
        <f>MIN(INDEX(其他调用!$AJ$5:$AJ$364,MATCH($K123,其他调用!$AG$5:$AG$364,0),1)/INDEX(其他调用!AI$5:AI$364,MATCH($K123,其他调用!$AG$5:$AG$364,0),0),1)*INDEX(其他调用!Z$5:Z$404,MATCH($K123,其他调用!$X$5:$X$404,0),0)</f>
        <v>38240.616726690772</v>
      </c>
      <c r="AD123" s="12">
        <f>MIN(INDEX(其他调用!$AJ$5:$AJ$364,MATCH($K123,其他调用!$AG$5:$AG$364,0),1)/INDEX(其他调用!AJ$5:AJ$364,MATCH($K123,其他调用!$AG$5:$AG$364,0),0),1)*INDEX(其他调用!AA$5:AA$404,MATCH($K123,其他调用!$X$5:$X$404,0),0)</f>
        <v>39752.888906435423</v>
      </c>
      <c r="AE123" s="12">
        <f>MIN(INDEX(其他调用!$AJ$5:$AJ$364,MATCH($K123,其他调用!$AG$5:$AG$364,0),1)/INDEX(其他调用!AK$5:AK$364,MATCH($K123,其他调用!$AG$5:$AG$364,0),0),1)*INDEX(其他调用!AB$5:AB$404,MATCH($K123,其他调用!$X$5:$X$404,0),0)</f>
        <v>16161.355204701826</v>
      </c>
      <c r="AF123" s="12">
        <f>MIN(INDEX(其他调用!$AJ$5:$AJ$364,MATCH($K123,其他调用!$AG$5:$AG$364,0),1)/INDEX(其他调用!AL$5:AL$364,MATCH($K123,其他调用!$AG$5:$AG$364,0),0),1)*INDEX(其他调用!AC$5:AC$404,MATCH($K123,其他调用!$X$5:$X$404,0),0)</f>
        <v>5097.0186065514608</v>
      </c>
      <c r="AG123" s="12">
        <f>求节点(节奏总纲!D$4:D$163,标准城池设计!AE$4:AE$163,$K123)*求节点(节奏总纲!D$4:D$163,攻城基础信息!$AF$5:$AF$164,$K123)</f>
        <v>678697.6642727115</v>
      </c>
      <c r="AH123" s="12">
        <f>INDEX(其他调用!$AA$5:$AA$404,MATCH($K123,其他调用!$X$5:$X$404,0))*MIN(INDEX(其他调用!AK$5:AK$364,MATCH($K123,其他调用!$AG$5:$AG$364,0),1)/INDEX(其他调用!$AJ$5:$AJ$364,MATCH($K123,其他调用!$AG$5:$AG$364,0),0),5)*求节点(节奏总纲!D$4:D$163,攻城基础信息!$AF$5:$AF$164,$K123)</f>
        <v>322976.07871661783</v>
      </c>
      <c r="AI123" s="12">
        <f>MIN(INDEX(其他调用!$AK$5:$AK$364,MATCH($K123,其他调用!$AG$5:$AG$364,0),1)/INDEX(其他调用!AH$5:AH$364,MATCH($K123,其他调用!$AG$5:$AG$364,0),0),1)*INDEX(其他调用!Y$5:Y$404,MATCH($K123,其他调用!$X$5:$X$404,0),0)</f>
        <v>37097.549602210551</v>
      </c>
      <c r="AJ123" s="12">
        <f>MIN(INDEX(其他调用!$AK$5:$AK$364,MATCH($K123,其他调用!$AG$5:$AG$364,0),1)/INDEX(其他调用!AI$5:AI$364,MATCH($K123,其他调用!$AG$5:$AG$364,0),0),1)*INDEX(其他调用!Z$5:Z$404,MATCH($K123,其他调用!$X$5:$X$404,0),0)</f>
        <v>38240.616726690772</v>
      </c>
      <c r="AK123" s="12">
        <f>MIN(INDEX(其他调用!$AK$5:$AK$364,MATCH($K123,其他调用!$AG$5:$AG$364,0),1)/INDEX(其他调用!AJ$5:AJ$364,MATCH($K123,其他调用!$AG$5:$AG$364,0),0),1)*INDEX(其他调用!AA$5:AA$404,MATCH($K123,其他调用!$X$5:$X$404,0),0)</f>
        <v>39752.888906435423</v>
      </c>
      <c r="AL123" s="12">
        <f>MIN(INDEX(其他调用!$AK$5:$AK$364,MATCH($K123,其他调用!$AG$5:$AG$364,0),1)/INDEX(其他调用!AK$5:AK$364,MATCH($K123,其他调用!$AG$5:$AG$364,0),0),1)*INDEX(其他调用!AB$5:AB$404,MATCH($K123,其他调用!$X$5:$X$404,0),0)</f>
        <v>41929.558172917328</v>
      </c>
      <c r="AM123" s="12">
        <f>MIN(INDEX(其他调用!$AK$5:$AK$364,MATCH($K123,其他调用!$AG$5:$AG$364,0),1)/INDEX(其他调用!AL$5:AL$364,MATCH($K123,其他调用!$AG$5:$AG$364,0),0),1)*INDEX(其他调用!AC$5:AC$404,MATCH($K123,其他调用!$X$5:$X$404,0),0)</f>
        <v>13223.874821442274</v>
      </c>
      <c r="AN123" s="12">
        <f>求节点(节奏总纲!D$4:D$163,标准城池设计!AF$4:AF$163,$K123)*求节点(节奏总纲!D$4:D$163,攻城基础信息!$AG$5:$AG$164,$K123)</f>
        <v>670201.60174952296</v>
      </c>
      <c r="AO123" s="12">
        <f>INDEX(其他调用!$AA$5:$AA$404,MATCH($K123,其他调用!$X$5:$X$404,0))*MIN(INDEX(其他调用!AL$5:AL$364,MATCH($K123,其他调用!$AG$5:$AG$364,0),1)/INDEX(其他调用!$AJ$5:$AJ$364,MATCH($K123,其他调用!$AG$5:$AG$364,0),0),5)*求节点(节奏总纲!D$4:D$163,攻城基础信息!$AG$5:$AG$164,$K123)</f>
        <v>622440.51192178659</v>
      </c>
      <c r="AP123" s="12">
        <f>MIN(INDEX(其他调用!$AL$5:$AL$364,MATCH($K123,其他调用!$AG$5:$AG$364,0),1)/INDEX(其他调用!AH$5:AH$364,MATCH($K123,其他调用!$AG$5:$AG$364,0),0),1)*INDEX(其他调用!Y$5:Y$404,MATCH($K123,其他调用!$X$5:$X$404,0),0)</f>
        <v>37097.549602210551</v>
      </c>
      <c r="AQ123" s="12">
        <f>MIN(INDEX(其他调用!$AL$5:$AL$364,MATCH($K123,其他调用!$AG$5:$AG$364,0),1)/INDEX(其他调用!AI$5:AI$364,MATCH($K123,其他调用!$AG$5:$AG$364,0),0),1)*INDEX(其他调用!Z$5:Z$404,MATCH($K123,其他调用!$X$5:$X$404,0),0)</f>
        <v>38240.616726690772</v>
      </c>
      <c r="AR123" s="12">
        <f>MIN(INDEX(其他调用!$AL$5:$AL$364,MATCH($K123,其他调用!$AG$5:$AG$364,0),1)/INDEX(其他调用!AJ$5:AJ$364,MATCH($K123,其他调用!$AG$5:$AG$364,0),0),1)*INDEX(其他调用!AA$5:AA$404,MATCH($K123,其他调用!$X$5:$X$404,0),0)</f>
        <v>39752.888906435423</v>
      </c>
      <c r="AS123" s="12">
        <f>MIN(INDEX(其他调用!$AL$5:$AL$364,MATCH($K123,其他调用!$AG$5:$AG$364,0),1)/INDEX(其他调用!AK$5:AK$364,MATCH($K123,其他调用!$AG$5:$AG$364,0),0),1)*INDEX(其他调用!AB$5:AB$404,MATCH($K123,其他调用!$X$5:$X$404,0),0)</f>
        <v>41929.558172917328</v>
      </c>
      <c r="AT123" s="12">
        <f>MIN(INDEX(其他调用!$AL$5:$AL$364,MATCH($K123,其他调用!$AG$5:$AG$364,0),1)/INDEX(其他调用!AL$5:AL$364,MATCH($K123,其他调用!$AG$5:$AG$364,0),0),1)*INDEX(其他调用!AC$5:AC$404,MATCH($K123,其他调用!$X$5:$X$404,0),0)</f>
        <v>45820.990504349204</v>
      </c>
      <c r="AV123" s="14">
        <f>IF(OR(AV$5="大R",AV$5="超R"),MAX(INDEX(其他调用!$H$5:$L$404,MATCH($K123,其他调用!$B$5:$B$404,0),MATCH(AV$5,其他调用!$H$4:$L$4,0))*120*0.85,2),INDEX(其他调用!$H$5:$L$404,MATCH($K123,其他调用!$B$5:$B$404,0),MATCH(AV$5,其他调用!$H$4:$L$4,0))*120*0.85)</f>
        <v>48.921801254999991</v>
      </c>
      <c r="AW123" s="14">
        <f>IF(OR(AW$5="大R",AW$5="超R"),MAX(INDEX(其他调用!$H$5:$L$404,MATCH($K123,其他调用!$B$5:$B$404,0),MATCH(AW$5,其他调用!$H$4:$L$4,0))*120*0.85,2),INDEX(其他调用!$H$5:$L$404,MATCH($K123,其他调用!$B$5:$B$404,0),MATCH(AW$5,其他调用!$H$4:$L$4,0))*120*0.85)</f>
        <v>48.237344010638395</v>
      </c>
      <c r="AX123" s="14">
        <f>IF(OR(AX$5="大R",AX$5="超R"),MAX(INDEX(其他调用!$H$5:$L$404,MATCH($K123,其他调用!$B$5:$B$404,0),MATCH(AX$5,其他调用!$H$4:$L$4,0))*120*0.85,2),INDEX(其他调用!$H$5:$L$404,MATCH($K123,其他调用!$B$5:$B$404,0),MATCH(AX$5,其他调用!$H$4:$L$4,0))*120*0.85)</f>
        <v>3.9376284143615998</v>
      </c>
      <c r="AY123" s="14">
        <f>IF(OR(AY$5="大R",AY$5="超R"),MAX(INDEX(其他调用!$H$5:$L$404,MATCH($K123,其他调用!$B$5:$B$404,0),MATCH(AY$5,其他调用!$H$4:$L$4,0))*120*0.85,2),INDEX(其他调用!$H$5:$L$404,MATCH($K123,其他调用!$B$5:$B$404,0),MATCH(AY$5,其他调用!$H$4:$L$4,0))*120*0.85)</f>
        <v>2</v>
      </c>
      <c r="AZ123" s="14">
        <f>IF(OR(AZ$5="大R",AZ$5="超R"),MAX(INDEX(其他调用!$H$5:$L$404,MATCH($K123,其他调用!$B$5:$B$404,0),MATCH(AZ$5,其他调用!$H$4:$L$4,0))*120*0.85,2),INDEX(其他调用!$H$5:$L$404,MATCH($K123,其他调用!$B$5:$B$404,0),MATCH(AZ$5,其他调用!$H$4:$L$4,0))*120*0.85)</f>
        <v>2</v>
      </c>
      <c r="BA123" s="14">
        <f>INDEX(其他调用!$H$5:$L$404,MATCH($K123,其他调用!$B$5:$B$404,0),MATCH(BA$5,其他调用!$H$4:$L$4,0))*INDEX(其他调用!$M$5:$M$404,MATCH($K123,其他调用!$B$5:$B$404,0))*0.6</f>
        <v>28.777530149999997</v>
      </c>
      <c r="BB123" s="14">
        <f>INDEX(其他调用!$H$5:$L$404,MATCH($K123,其他调用!$B$5:$B$404,0),MATCH(BB$5,其他调用!$H$4:$L$4,0))*INDEX(其他调用!$M$5:$M$404,MATCH($K123,其他调用!$B$5:$B$404,0))*0.6</f>
        <v>28.374908241551999</v>
      </c>
      <c r="BC123" s="14">
        <f>INDEX(其他调用!$H$5:$L$404,MATCH($K123,其他调用!$B$5:$B$404,0),MATCH(BC$5,其他调用!$H$4:$L$4,0))*INDEX(其他调用!$M$5:$M$404,MATCH($K123,其他调用!$B$5:$B$404,0))*0.6</f>
        <v>2.3162520084480001</v>
      </c>
      <c r="BD123" s="14">
        <f>INDEX(其他调用!$H$5:$L$404,MATCH($K123,其他调用!$B$5:$B$404,0),MATCH(BD$5,其他调用!$H$4:$L$4,0))*INDEX(其他调用!$M$5:$M$404,MATCH($K123,其他调用!$B$5:$B$404,0))*0.6</f>
        <v>0.4120776000000001</v>
      </c>
      <c r="BE123" s="14">
        <f>INDEX(其他调用!$H$5:$L$404,MATCH($K123,其他调用!$B$5:$B$404,0),MATCH(BE$5,其他调用!$H$4:$L$4,0))*INDEX(其他调用!$M$5:$M$404,MATCH($K123,其他调用!$B$5:$B$404,0))*0.6</f>
        <v>0.11923199999999998</v>
      </c>
      <c r="BF123" s="14">
        <f>IF(OR(BF$5="大R",BF$5="超R"),0,INDEX(其他调用!$H$5:$L$404,MATCH($K123,其他调用!$B$5:$B$404,0),MATCH(BF$5,其他调用!$H$4:$L$4,0))*50*0.4)</f>
        <v>9.5925100500000013</v>
      </c>
      <c r="BG123" s="14">
        <f>IF(OR(BG$5="大R",BG$5="超R"),0,INDEX(其他调用!$H$5:$L$404,MATCH($K123,其他调用!$B$5:$B$404,0),MATCH(BG$5,其他调用!$H$4:$L$4,0))*50*0.4)</f>
        <v>9.4583027471839998</v>
      </c>
      <c r="BH123" s="14">
        <f>IF(OR(BH$5="大R",BH$5="超R"),0,INDEX(其他调用!$H$5:$L$404,MATCH($K123,其他调用!$B$5:$B$404,0),MATCH(BH$5,其他调用!$H$4:$L$4,0))*50*0.4)</f>
        <v>0.77208400281600009</v>
      </c>
      <c r="BI123" s="14">
        <f>IF(OR(BI$5="大R",BI$5="超R"),0,INDEX(其他调用!$H$5:$L$404,MATCH($K123,其他调用!$B$5:$B$404,0),MATCH(BI$5,其他调用!$H$4:$L$4,0))*50*0.4)</f>
        <v>0</v>
      </c>
      <c r="BJ123" s="14">
        <f>IF(OR(BJ$5="大R",BJ$5="超R"),0,INDEX(其他调用!$H$5:$L$404,MATCH($K123,其他调用!$B$5:$B$404,0),MATCH(BJ$5,其他调用!$H$4:$L$4,0))*50*0.4)</f>
        <v>0</v>
      </c>
      <c r="BL123" s="14">
        <f t="shared" si="208"/>
        <v>118</v>
      </c>
      <c r="BM123" s="14">
        <f t="shared" si="115"/>
        <v>96</v>
      </c>
      <c r="BN123" s="14">
        <f>('疲劳值&amp;地图信息'!$S$10*'疲劳值&amp;地图信息'!$R$10+'疲劳值&amp;地图信息'!$S$11*'疲劳值&amp;地图信息'!$R$11+'疲劳值&amp;地图信息'!$S$12*'疲劳值&amp;地图信息'!$R$12+(BM123-'疲劳值&amp;地图信息'!$S$12-'疲劳值&amp;地图信息'!$S$11-'疲劳值&amp;地图信息'!$S$10)*'疲劳值&amp;地图信息'!$R$13)/BM123</f>
        <v>51.371477246638619</v>
      </c>
      <c r="BO123" s="14">
        <f>INDEX(其他调用!$M$5:$M$404,MATCH(BL123,其他调用!$B$5:$B$404,0))*0.6</f>
        <v>60</v>
      </c>
      <c r="BP123" s="14">
        <f>IF(BO123&gt;SUM('疲劳值&amp;地图信息'!$S$10:$S$12),('疲劳值&amp;地图信息'!$S$10*'疲劳值&amp;地图信息'!$R$10+'疲劳值&amp;地图信息'!$S$11*'疲劳值&amp;地图信息'!$R$11+'疲劳值&amp;地图信息'!$S$12*'疲劳值&amp;地图信息'!$R$12+(BO123-'疲劳值&amp;地图信息'!$S$12-'疲劳值&amp;地图信息'!$S$11-'疲劳值&amp;地图信息'!$S$10)*'疲劳值&amp;地图信息'!$R$13)/BO123,('疲劳值&amp;地图信息'!$S$10*'疲劳值&amp;地图信息'!$R$10+'疲劳值&amp;地图信息'!$S$11*'疲劳值&amp;地图信息'!$R$11+'疲劳值&amp;地图信息'!$S$12*'疲劳值&amp;地图信息'!$R$12+(BO123-'疲劳值&amp;地图信息'!$S$12-'疲劳值&amp;地图信息'!$S$11-'疲劳值&amp;地图信息'!$S$10)*'疲劳值&amp;地图信息'!$R$13)/BO123)</f>
        <v>44.158136341605953</v>
      </c>
      <c r="BQ123" s="14">
        <f t="shared" si="209"/>
        <v>20</v>
      </c>
      <c r="BR123" s="14">
        <f>('疲劳值&amp;地图信息'!$S$10*'疲劳值&amp;地图信息'!$R$10+($BQ123-'疲劳值&amp;地图信息'!$S$10)*'疲劳值&amp;地图信息'!$R$11)/$BQ123</f>
        <v>32.067203015074995</v>
      </c>
      <c r="CF123" s="14">
        <v>118</v>
      </c>
      <c r="CG123" s="51">
        <f t="shared" si="116"/>
        <v>10530</v>
      </c>
      <c r="CH123" s="51">
        <f t="shared" si="117"/>
        <v>893</v>
      </c>
      <c r="CI123" s="51">
        <f>INT(SUMPRODUCT($N123:$R123,$BA123:$BE123)/SUM($BA123:$BE123)/10000*$BX$7*$BZ$34/'疲劳值&amp;地图信息'!$R$10*$BY$53)</f>
        <v>2984</v>
      </c>
      <c r="CJ123" s="50">
        <f t="shared" si="118"/>
        <v>0.7308947039633511</v>
      </c>
      <c r="CK123" s="50">
        <f t="shared" si="119"/>
        <v>6.1983757895467478E-2</v>
      </c>
      <c r="CL123" s="50">
        <f t="shared" si="120"/>
        <v>0.20712153814118137</v>
      </c>
      <c r="CM123" s="14">
        <f t="shared" si="121"/>
        <v>11279</v>
      </c>
      <c r="CN123" s="14">
        <f t="shared" si="122"/>
        <v>1463</v>
      </c>
      <c r="CO123" s="14">
        <f>INT(SUMPRODUCT($U123:$Y123,$BA123:$BE123)/SUM($BA123:$BE123)/10000*$BX$7*$BZ$34/'疲劳值&amp;地图信息'!$R$10*$BY$54)</f>
        <v>5605</v>
      </c>
      <c r="CP123" s="50">
        <f t="shared" si="123"/>
        <v>0.61475990625170329</v>
      </c>
      <c r="CQ123" s="50">
        <f t="shared" si="124"/>
        <v>7.9740557039297971E-2</v>
      </c>
      <c r="CR123" s="50">
        <f t="shared" si="125"/>
        <v>0.30549953670899876</v>
      </c>
      <c r="CS123" s="14">
        <f t="shared" si="126"/>
        <v>12138</v>
      </c>
      <c r="CT123" s="14">
        <f t="shared" si="127"/>
        <v>2537</v>
      </c>
      <c r="CU123" s="14">
        <f>INT(SUMPRODUCT($AB123:$AF123,$BA123:$BE123)/SUM($BA123:$BE123)/10000*$BX$7*$BZ$34/'疲劳值&amp;地图信息'!$R$10*$BY$55)</f>
        <v>7616</v>
      </c>
      <c r="CV123" s="50">
        <f t="shared" si="128"/>
        <v>0.54452469606567677</v>
      </c>
      <c r="CW123" s="50">
        <f t="shared" si="129"/>
        <v>0.11381274954017316</v>
      </c>
      <c r="CX123" s="50">
        <f t="shared" si="130"/>
        <v>0.34166255439415011</v>
      </c>
      <c r="CY123" s="14">
        <f t="shared" si="131"/>
        <v>13832</v>
      </c>
      <c r="CZ123" s="14">
        <f t="shared" si="132"/>
        <v>6582</v>
      </c>
      <c r="DA123" s="14">
        <f>INT(SUMPRODUCT($AI123:$AM123,$BA123:$BE123)/SUM($BA123:$BE123)/10000*$BX$7*$BZ$34/'疲劳值&amp;地图信息'!$R$10*$BY$56)</f>
        <v>11483</v>
      </c>
      <c r="DB123" s="50">
        <f t="shared" si="133"/>
        <v>0.43364579741041476</v>
      </c>
      <c r="DC123" s="50">
        <f t="shared" si="134"/>
        <v>0.20635169451672572</v>
      </c>
      <c r="DD123" s="50">
        <f t="shared" si="135"/>
        <v>0.3600025080728595</v>
      </c>
      <c r="DE123" s="14">
        <f t="shared" si="136"/>
        <v>13659</v>
      </c>
      <c r="DF123" s="14">
        <f t="shared" si="137"/>
        <v>12686</v>
      </c>
      <c r="DG123" s="14">
        <f>INT(SUMPRODUCT($AP123:$AT123,$BA123:$BE123)/SUM($BA123:$BE123)/10000*$BX$7*$BZ$34/'疲劳值&amp;地图信息'!$R$10*$BY$57)</f>
        <v>15338</v>
      </c>
      <c r="DH123" s="50">
        <f t="shared" si="138"/>
        <v>0.32768754648177917</v>
      </c>
      <c r="DI123" s="50">
        <f t="shared" si="139"/>
        <v>0.30434469687882348</v>
      </c>
      <c r="DJ123" s="50">
        <f t="shared" si="140"/>
        <v>0.36796775663939735</v>
      </c>
      <c r="DL123" s="14">
        <f t="shared" si="211"/>
        <v>14407</v>
      </c>
      <c r="DM123" s="14">
        <f t="shared" si="212"/>
        <v>18347</v>
      </c>
      <c r="DN123" s="14">
        <f t="shared" si="213"/>
        <v>22291</v>
      </c>
      <c r="DO123" s="14">
        <f t="shared" si="214"/>
        <v>31897</v>
      </c>
      <c r="DP123" s="14">
        <f t="shared" si="215"/>
        <v>41683</v>
      </c>
      <c r="DQ123" s="14">
        <f t="shared" si="216"/>
        <v>1004937</v>
      </c>
      <c r="DT123" s="14">
        <f t="shared" si="210"/>
        <v>235575</v>
      </c>
      <c r="DU123" s="50">
        <f t="shared" si="112"/>
        <v>0.18990142779755456</v>
      </c>
      <c r="DW123" s="14">
        <f t="shared" si="141"/>
        <v>1240512</v>
      </c>
      <c r="EB123" s="14">
        <v>118</v>
      </c>
      <c r="EC123" s="51">
        <f t="shared" si="142"/>
        <v>17551</v>
      </c>
      <c r="ED123" s="51">
        <f t="shared" si="143"/>
        <v>1489</v>
      </c>
      <c r="EE123" s="51">
        <f>INT(SUMPRODUCT($N123:$R123,$BF123:$BJ123)/SUM($BF123:$BJ123)/10000*$BX$7*$BZ$46/'疲劳值&amp;地图信息'!$R$10*$BY$53)</f>
        <v>400</v>
      </c>
      <c r="EF123" s="50">
        <f t="shared" si="144"/>
        <v>0.9028292181069959</v>
      </c>
      <c r="EG123" s="50">
        <f t="shared" si="145"/>
        <v>7.6594650205761311E-2</v>
      </c>
      <c r="EH123" s="50">
        <f t="shared" si="146"/>
        <v>2.0576131687242798E-2</v>
      </c>
      <c r="EI123" s="51">
        <f t="shared" si="147"/>
        <v>18798</v>
      </c>
      <c r="EJ123" s="51">
        <f t="shared" si="148"/>
        <v>2439</v>
      </c>
      <c r="EK123" s="14">
        <f>INT(SUMPRODUCT($U123:$Y123,$BF123:$BJ123)/SUM($BF123:$BJ123)/10000*$BX$7*$BZ$46/'疲劳值&amp;地图信息'!$R$10*$BY$54)</f>
        <v>752</v>
      </c>
      <c r="EL123" s="50">
        <f t="shared" si="149"/>
        <v>0.85488198644776936</v>
      </c>
      <c r="EM123" s="50">
        <f t="shared" si="150"/>
        <v>0.11091909591159216</v>
      </c>
      <c r="EN123" s="50">
        <f t="shared" si="151"/>
        <v>3.4198917640638503E-2</v>
      </c>
      <c r="EO123" s="51">
        <f t="shared" si="152"/>
        <v>20231</v>
      </c>
      <c r="EP123" s="51">
        <f t="shared" si="153"/>
        <v>4228</v>
      </c>
      <c r="EQ123" s="14">
        <f>INT(SUMPRODUCT($AB123:$AF123,$BF123:$BJ123)/SUM($BF123:$BJ123)/10000*$BX$7*$BZ$46/'疲劳值&amp;地图信息'!$R$10*$BY$55)</f>
        <v>1021</v>
      </c>
      <c r="ER123" s="50">
        <f t="shared" si="154"/>
        <v>0.79399529042386185</v>
      </c>
      <c r="ES123" s="50">
        <f t="shared" si="155"/>
        <v>0.16593406593406593</v>
      </c>
      <c r="ET123" s="50">
        <f t="shared" si="156"/>
        <v>4.0070643642072211E-2</v>
      </c>
      <c r="EU123" s="51">
        <f t="shared" si="157"/>
        <v>23054</v>
      </c>
      <c r="EV123" s="51">
        <f t="shared" si="158"/>
        <v>10971</v>
      </c>
      <c r="EW123" s="14">
        <f>INT(SUMPRODUCT($AI123:$AM123,$BF123:$BJ123)/SUM($BF123:$BJ123)/10000*$BX$7*$BZ$46/'疲劳值&amp;地图信息'!$R$10*$BY$56)</f>
        <v>1532</v>
      </c>
      <c r="EX123" s="50">
        <f t="shared" si="159"/>
        <v>0.6483674100739657</v>
      </c>
      <c r="EY123" s="50">
        <f t="shared" si="160"/>
        <v>0.30854684028461343</v>
      </c>
      <c r="EZ123" s="50">
        <f t="shared" si="161"/>
        <v>4.3085749641420819E-2</v>
      </c>
      <c r="FA123" s="51">
        <f t="shared" si="162"/>
        <v>22765</v>
      </c>
      <c r="FB123" s="51">
        <f t="shared" si="163"/>
        <v>21143</v>
      </c>
      <c r="FC123" s="14">
        <f>INT(SUMPRODUCT($AP123:$AT123,$BF123:$BJ123)/SUM($BF123:$BJ123)/10000*$BX$7*$BZ$46/'疲劳值&amp;地图信息'!$R$10*$BY$57)</f>
        <v>2042</v>
      </c>
      <c r="FD123" s="50">
        <f t="shared" si="164"/>
        <v>0.49542981501632211</v>
      </c>
      <c r="FE123" s="50">
        <f t="shared" si="165"/>
        <v>0.46013057671381935</v>
      </c>
      <c r="FF123" s="50">
        <f t="shared" si="166"/>
        <v>4.4439608269858544E-2</v>
      </c>
      <c r="FH123" s="14">
        <f t="shared" si="167"/>
        <v>19440</v>
      </c>
      <c r="FI123" s="14">
        <f t="shared" si="168"/>
        <v>21989</v>
      </c>
      <c r="FJ123" s="14">
        <f t="shared" si="169"/>
        <v>25480</v>
      </c>
      <c r="FK123" s="14">
        <f t="shared" si="170"/>
        <v>35557</v>
      </c>
      <c r="FL123" s="14">
        <f t="shared" si="171"/>
        <v>45950</v>
      </c>
      <c r="FM123" s="14">
        <f t="shared" si="172"/>
        <v>2275075</v>
      </c>
      <c r="FP123" s="14">
        <f t="shared" si="173"/>
        <v>334150</v>
      </c>
      <c r="FQ123" s="50">
        <f t="shared" si="113"/>
        <v>0.12806484684149508</v>
      </c>
      <c r="FS123" s="14">
        <f t="shared" si="174"/>
        <v>2609225</v>
      </c>
      <c r="FX123" s="14">
        <v>118</v>
      </c>
      <c r="FY123" s="51">
        <f t="shared" si="175"/>
        <v>24571</v>
      </c>
      <c r="FZ123" s="51">
        <f t="shared" si="176"/>
        <v>1489</v>
      </c>
      <c r="GA123" s="51">
        <f>INT(SUMPRODUCT($N123:$R123,$BF123:$BJ123)/SUM($BF123:$BJ123)/10000*$BX$7*$BZ$46/'疲劳值&amp;地图信息'!$R$10*$BY$53)</f>
        <v>400</v>
      </c>
      <c r="GB123" s="50">
        <f t="shared" si="177"/>
        <v>0.92860922146636438</v>
      </c>
      <c r="GC123" s="50">
        <f t="shared" si="178"/>
        <v>5.6273620559334846E-2</v>
      </c>
      <c r="GD123" s="50">
        <f t="shared" si="179"/>
        <v>1.5117157974300832E-2</v>
      </c>
      <c r="GE123" s="51">
        <f t="shared" si="180"/>
        <v>26318</v>
      </c>
      <c r="GF123" s="51">
        <f t="shared" si="181"/>
        <v>2439</v>
      </c>
      <c r="GG123" s="14">
        <f>INT(SUMPRODUCT($U123:$Y123,$BF123:$BJ123)/SUM($BF123:$BJ123)/10000*$BX$7*$BZ$46/'疲劳值&amp;地图信息'!$R$10*$BY$54)</f>
        <v>752</v>
      </c>
      <c r="GH123" s="50">
        <f t="shared" si="182"/>
        <v>0.89186349927140873</v>
      </c>
      <c r="GI123" s="50">
        <f t="shared" si="183"/>
        <v>8.2652750008471998E-2</v>
      </c>
      <c r="GJ123" s="50">
        <f t="shared" si="184"/>
        <v>2.5483750720119287E-2</v>
      </c>
      <c r="GK123" s="51">
        <f t="shared" si="185"/>
        <v>28324</v>
      </c>
      <c r="GL123" s="51">
        <f t="shared" si="186"/>
        <v>4228</v>
      </c>
      <c r="GM123" s="14">
        <f>INT(SUMPRODUCT($AB123:$AF123,$BF123:$BJ123)/SUM($BF123:$BJ123)/10000*$BX$7*$BZ$46/'疲劳值&amp;地图信息'!$R$10*$BY$55)</f>
        <v>1021</v>
      </c>
      <c r="GN123" s="50">
        <f t="shared" si="187"/>
        <v>0.84365412682810592</v>
      </c>
      <c r="GO123" s="50">
        <f t="shared" si="188"/>
        <v>0.12593453072409377</v>
      </c>
      <c r="GP123" s="50">
        <f t="shared" si="189"/>
        <v>3.0411342447800315E-2</v>
      </c>
      <c r="GQ123" s="51">
        <f t="shared" si="190"/>
        <v>32276</v>
      </c>
      <c r="GR123" s="51">
        <f t="shared" si="191"/>
        <v>10971</v>
      </c>
      <c r="GS123" s="14">
        <f>INT(SUMPRODUCT($AI123:$AM123,$BF123:$BJ123)/SUM($BF123:$BJ123)/10000*$BX$7*$BZ$46/'疲劳值&amp;地图信息'!$R$10*$BY$56)</f>
        <v>1532</v>
      </c>
      <c r="GT123" s="50">
        <f t="shared" si="192"/>
        <v>0.72078429621027718</v>
      </c>
      <c r="GU123" s="50">
        <f t="shared" si="193"/>
        <v>0.24500323812501396</v>
      </c>
      <c r="GV123" s="50">
        <f t="shared" si="194"/>
        <v>3.4212465664708903E-2</v>
      </c>
      <c r="GW123" s="51">
        <f t="shared" si="195"/>
        <v>31872</v>
      </c>
      <c r="GX123" s="51">
        <f t="shared" si="196"/>
        <v>21143</v>
      </c>
      <c r="GY123" s="14">
        <f>INT(SUMPRODUCT($AP123:$AT123,$BF123:$BJ123)/SUM($BF123:$BJ123)/10000*$BX$7*$BZ$46/'疲劳值&amp;地图信息'!$R$10*$BY$57)</f>
        <v>2042</v>
      </c>
      <c r="GZ123" s="50">
        <f t="shared" si="197"/>
        <v>0.5788909675427284</v>
      </c>
      <c r="HA123" s="50">
        <f t="shared" si="198"/>
        <v>0.3840201972501226</v>
      </c>
      <c r="HB123" s="50">
        <f t="shared" si="199"/>
        <v>3.7088835207148951E-2</v>
      </c>
      <c r="HD123" s="14">
        <f t="shared" si="200"/>
        <v>26460</v>
      </c>
      <c r="HE123" s="14">
        <f t="shared" si="201"/>
        <v>29509</v>
      </c>
      <c r="HF123" s="14">
        <f t="shared" si="202"/>
        <v>33573</v>
      </c>
      <c r="HG123" s="14">
        <f t="shared" si="203"/>
        <v>44779</v>
      </c>
      <c r="HH123" s="14">
        <f t="shared" si="204"/>
        <v>55057</v>
      </c>
      <c r="HI123" s="14">
        <f t="shared" si="205"/>
        <v>3049776</v>
      </c>
      <c r="HL123" s="14">
        <f t="shared" si="206"/>
        <v>430050</v>
      </c>
      <c r="HM123" s="50">
        <f t="shared" si="114"/>
        <v>0.12358376539516631</v>
      </c>
      <c r="HO123" s="14">
        <f t="shared" si="207"/>
        <v>3479826</v>
      </c>
    </row>
    <row r="124" spans="11:223" x14ac:dyDescent="0.2">
      <c r="K124" s="14">
        <v>119</v>
      </c>
      <c r="L124" s="12">
        <f>求节点(节奏总纲!D$4:D$163,标准城池设计!AB$4:AB$163,$K124)*求节点(节奏总纲!D$4:D$163,攻城基础信息!$AC$5:$AC$164,$K124)</f>
        <v>518489.16534374841</v>
      </c>
      <c r="M124" s="12">
        <f>INDEX(其他调用!$AA$5:$AA$404,MATCH(K124,其他调用!$X$5:$X$404,0))*MIN(INDEX(其他调用!$AH$5:$AH$364,MATCH('征服点（新）'!K124,其他调用!$AG$5:$AG$364,0),1)/INDEX(其他调用!$AJ$5:$AJ$364,MATCH(K124,其他调用!$AG$5:$AG$364,0),0),5)*求节点(节奏总纲!D$4:D$163,攻城基础信息!$AC$5:$AC$164,$K124)</f>
        <v>43936.127559170578</v>
      </c>
      <c r="N124" s="12">
        <f>MIN(INDEX(其他调用!$AH$5:$AH$364,MATCH($K124,其他调用!$AG$5:$AG$364,0),1)/INDEX(其他调用!AH$5:AH$364,MATCH($K124,其他调用!$AG$5:$AG$364,0),0),1)*INDEX(其他调用!Y$5:Y$404,MATCH($K124,其他调用!$X$5:$X$404,0),0)</f>
        <v>37145.762646290299</v>
      </c>
      <c r="O124" s="12">
        <f>MIN(INDEX(其他调用!$AH$5:$AH$364,MATCH($K124,其他调用!$AG$5:$AG$364,0),1)/INDEX(其他调用!AI$5:AI$364,MATCH($K124,其他调用!$AG$5:$AG$364,0),0),1)*INDEX(其他调用!Z$5:Z$404,MATCH($K124,其他调用!$X$5:$X$404,0),0)</f>
        <v>23350.716361686045</v>
      </c>
      <c r="P124" s="12">
        <f>MIN(INDEX(其他调用!$AH$5:$AH$364,MATCH($K124,其他调用!$AG$5:$AG$364,0),1)/INDEX(其他调用!AJ$5:AJ$364,MATCH($K124,其他调用!$AG$5:$AG$364,0),0),1)*INDEX(其他调用!AA$5:AA$404,MATCH($K124,其他调用!$X$5:$X$404,0),0)</f>
        <v>14012.22496505148</v>
      </c>
      <c r="Q124" s="12">
        <f>MIN(INDEX(其他调用!$AH$5:$AH$364,MATCH($K124,其他调用!$AG$5:$AG$364,0),1)/INDEX(其他调用!AK$5:AK$364,MATCH($K124,其他调用!$AG$5:$AG$364,0),0),1)*INDEX(其他调用!AB$5:AB$404,MATCH($K124,其他调用!$X$5:$X$404,0),0)</f>
        <v>5684.1101506075665</v>
      </c>
      <c r="R124" s="12">
        <f>MIN(INDEX(其他调用!$AH$5:$AH$364,MATCH($K124,其他调用!$AG$5:$AG$364,0),1)/INDEX(其他调用!AL$5:AL$364,MATCH($K124,其他调用!$AG$5:$AG$364,0),0),1)*INDEX(其他调用!AC$5:AC$404,MATCH($K124,其他调用!$X$5:$X$404,0),0)</f>
        <v>1796.7555036869589</v>
      </c>
      <c r="S124" s="12">
        <f>求节点(节奏总纲!D$4:D$163,标准城池设计!AC$4:AC$163,$K124)*求节点(节奏总纲!D$4:D$163,攻城基础信息!$AD$5:$AD$164,$K124)</f>
        <v>555513.65428192751</v>
      </c>
      <c r="T124" s="12">
        <f>INDEX(其他调用!$AA$5:$AA$404,MATCH($K124,其他调用!$X$5:$X$404,0))*MIN(INDEX(其他调用!AI$5:AI$364,MATCH($K124,其他调用!$AG$5:$AG$364,0),1)/INDEX(其他调用!$AJ$5:$AJ$364,MATCH($K124,其他调用!$AG$5:$AG$364,0),0),5)*求节点(节奏总纲!D$4:D$163,攻城基础信息!$AD$5:$AD$164,$K124)</f>
        <v>72042.479368223139</v>
      </c>
      <c r="U124" s="12">
        <f>MIN(INDEX(其他调用!$AI$5:$AI$364,MATCH($K124,其他调用!$AG$5:$AG$364,0),1)/INDEX(其他调用!AH$5:AH$364,MATCH($K124,其他调用!$AG$5:$AG$364,0),0),1)*INDEX(其他调用!Y$5:Y$404,MATCH($K124,其他调用!$X$5:$X$404,0),0)</f>
        <v>37145.762646290299</v>
      </c>
      <c r="V124" s="12">
        <f>MIN(INDEX(其他调用!$AI$5:$AI$364,MATCH($K124,其他调用!$AG$5:$AG$364,0),1)/INDEX(其他调用!AI$5:AI$364,MATCH($K124,其他调用!$AG$5:$AG$364,0),0),1)*INDEX(其他调用!Z$5:Z$404,MATCH($K124,其他调用!$X$5:$X$404,0),0)</f>
        <v>38288.388057287288</v>
      </c>
      <c r="W124" s="12">
        <f>MIN(INDEX(其他调用!$AI$5:$AI$364,MATCH($K124,其他调用!$AG$5:$AG$364,0),1)/INDEX(其他调用!AJ$5:AJ$364,MATCH($K124,其他调用!$AG$5:$AG$364,0),0),1)*INDEX(其他调用!AA$5:AA$404,MATCH($K124,其他调用!$X$5:$X$404,0),0)</f>
        <v>22975.976355406394</v>
      </c>
      <c r="X124" s="12">
        <f>MIN(INDEX(其他调用!$AI$5:$AI$364,MATCH($K124,其他调用!$AG$5:$AG$364,0),1)/INDEX(其他调用!AK$5:AK$364,MATCH($K124,其他调用!$AG$5:$AG$364,0),0),1)*INDEX(其他调用!AB$5:AB$404,MATCH($K124,其他调用!$X$5:$X$404,0),0)</f>
        <v>9320.2885871169801</v>
      </c>
      <c r="Y124" s="12">
        <f>MIN(INDEX(其他调用!$AI$5:$AI$364,MATCH($K124,其他调用!$AG$5:$AG$364,0),1)/INDEX(其他调用!AL$5:AL$364,MATCH($K124,其他调用!$AG$5:$AG$364,0),0),1)*INDEX(其他调用!AC$5:AC$404,MATCH($K124,其他调用!$X$5:$X$404,0),0)</f>
        <v>2946.1568075107057</v>
      </c>
      <c r="Z124" s="12">
        <f>求节点(节奏总纲!D$4:D$163,标准城池设计!AD$4:AD$163,$K124)*求节点(节奏总纲!D$4:D$163,攻城基础信息!$AE$5:$AE$164,$K124)</f>
        <v>597826.67980542406</v>
      </c>
      <c r="AA124" s="12">
        <f>INDEX(其他调用!$AA$5:$AA$404,MATCH($K124,其他调用!$X$5:$X$404,0))*MIN(INDEX(其他调用!AJ$5:AJ$364,MATCH($K124,其他调用!$AG$5:$AG$364,0),1)/INDEX(其他调用!$AJ$5:$AJ$364,MATCH($K124,其他调用!$AG$5:$AG$364,0),0),5)*求节点(节奏总纲!D$4:D$163,攻城基础信息!$AE$5:$AE$164,$K124)</f>
        <v>124800.71883069306</v>
      </c>
      <c r="AB124" s="12">
        <f>MIN(INDEX(其他调用!$AJ$5:$AJ$364,MATCH($K124,其他调用!$AG$5:$AG$364,0),1)/INDEX(其他调用!AH$5:AH$364,MATCH($K124,其他调用!$AG$5:$AG$364,0),0),1)*INDEX(其他调用!Y$5:Y$404,MATCH($K124,其他调用!$X$5:$X$404,0),0)</f>
        <v>37145.762646290299</v>
      </c>
      <c r="AC124" s="12">
        <f>MIN(INDEX(其他调用!$AJ$5:$AJ$364,MATCH($K124,其他调用!$AG$5:$AG$364,0),1)/INDEX(其他调用!AI$5:AI$364,MATCH($K124,其他调用!$AG$5:$AG$364,0),0),1)*INDEX(其他调用!Z$5:Z$404,MATCH($K124,其他调用!$X$5:$X$404,0),0)</f>
        <v>38288.388057287288</v>
      </c>
      <c r="AD124" s="12">
        <f>MIN(INDEX(其他调用!$AJ$5:$AJ$364,MATCH($K124,其他调用!$AG$5:$AG$364,0),1)/INDEX(其他调用!AJ$5:AJ$364,MATCH($K124,其他调用!$AG$5:$AG$364,0),0),1)*INDEX(其他调用!AA$5:AA$404,MATCH($K124,其他调用!$X$5:$X$404,0),0)</f>
        <v>39801.772372877283</v>
      </c>
      <c r="AE124" s="12">
        <f>MIN(INDEX(其他调用!$AJ$5:$AJ$364,MATCH($K124,其他调用!$AG$5:$AG$364,0),1)/INDEX(其他调用!AK$5:AK$364,MATCH($K124,其他调用!$AG$5:$AG$364,0),0),1)*INDEX(其他调用!AB$5:AB$404,MATCH($K124,其他调用!$X$5:$X$404,0),0)</f>
        <v>16145.73409441492</v>
      </c>
      <c r="AF124" s="12">
        <f>MIN(INDEX(其他调用!$AJ$5:$AJ$364,MATCH($K124,其他调用!$AG$5:$AG$364,0),1)/INDEX(其他调用!AL$5:AL$364,MATCH($K124,其他调用!$AG$5:$AG$364,0),0),1)*INDEX(其他调用!AC$5:AC$404,MATCH($K124,其他调用!$X$5:$X$404,0),0)</f>
        <v>5103.6900810420339</v>
      </c>
      <c r="AG124" s="12">
        <f>求节点(节奏总纲!D$4:D$163,标准城池设计!AE$4:AE$163,$K124)*求节点(节奏总纲!D$4:D$163,攻城基础信息!$AF$5:$AF$164,$K124)</f>
        <v>681368.17993859481</v>
      </c>
      <c r="AH124" s="12">
        <f>INDEX(其他调用!$AA$5:$AA$404,MATCH($K124,其他调用!$X$5:$X$404,0))*MIN(INDEX(其他调用!AK$5:AK$364,MATCH($K124,其他调用!$AG$5:$AG$364,0),1)/INDEX(其他调用!$AJ$5:$AJ$364,MATCH($K124,其他调用!$AG$5:$AG$364,0),0),5)*求节点(节奏总纲!D$4:D$163,攻城基础信息!$AF$5:$AF$164,$K124)</f>
        <v>324475.88527280668</v>
      </c>
      <c r="AI124" s="12">
        <f>MIN(INDEX(其他调用!$AK$5:$AK$364,MATCH($K124,其他调用!$AG$5:$AG$364,0),1)/INDEX(其他调用!AH$5:AH$364,MATCH($K124,其他调用!$AG$5:$AG$364,0),0),1)*INDEX(其他调用!Y$5:Y$404,MATCH($K124,其他调用!$X$5:$X$404,0),0)</f>
        <v>37145.762646290299</v>
      </c>
      <c r="AJ124" s="12">
        <f>MIN(INDEX(其他调用!$AK$5:$AK$364,MATCH($K124,其他调用!$AG$5:$AG$364,0),1)/INDEX(其他调用!AI$5:AI$364,MATCH($K124,其他调用!$AG$5:$AG$364,0),0),1)*INDEX(其他调用!Z$5:Z$404,MATCH($K124,其他调用!$X$5:$X$404,0),0)</f>
        <v>38288.388057287288</v>
      </c>
      <c r="AK124" s="12">
        <f>MIN(INDEX(其他调用!$AK$5:$AK$364,MATCH($K124,其他调用!$AG$5:$AG$364,0),1)/INDEX(其他调用!AJ$5:AJ$364,MATCH($K124,其他调用!$AG$5:$AG$364,0),0),1)*INDEX(其他调用!AA$5:AA$404,MATCH($K124,其他调用!$X$5:$X$404,0),0)</f>
        <v>39801.772372877283</v>
      </c>
      <c r="AL124" s="12">
        <f>MIN(INDEX(其他调用!$AK$5:$AK$364,MATCH($K124,其他调用!$AG$5:$AG$364,0),1)/INDEX(其他调用!AK$5:AK$364,MATCH($K124,其他调用!$AG$5:$AG$364,0),0),1)*INDEX(其他调用!AB$5:AB$404,MATCH($K124,其他调用!$X$5:$X$404,0),0)</f>
        <v>41978.134523181783</v>
      </c>
      <c r="AM124" s="12">
        <f>MIN(INDEX(其他调用!$AK$5:$AK$364,MATCH($K124,其他调用!$AG$5:$AG$364,0),1)/INDEX(其他调用!AL$5:AL$364,MATCH($K124,其他调用!$AG$5:$AG$364,0),0),1)*INDEX(其他调用!AC$5:AC$404,MATCH($K124,其他调用!$X$5:$X$404,0),0)</f>
        <v>13269.349509522854</v>
      </c>
      <c r="AN124" s="12">
        <f>求节点(节奏总纲!D$4:D$163,标准城池设计!AF$4:AF$163,$K124)*求节点(节奏总纲!D$4:D$163,攻城基础信息!$AG$5:$AG$164,$K124)</f>
        <v>673154.07796762232</v>
      </c>
      <c r="AO124" s="12">
        <f>INDEX(其他调用!$AA$5:$AA$404,MATCH($K124,其他调用!$X$5:$X$404,0))*MIN(INDEX(其他调用!AL$5:AL$364,MATCH($K124,其他调用!$AG$5:$AG$364,0),1)/INDEX(其他调用!$AJ$5:$AJ$364,MATCH($K124,其他调用!$AG$5:$AG$364,0),0),5)*求节点(节奏总纲!D$4:D$163,攻城基础信息!$AG$5:$AG$164,$K124)</f>
        <v>624003.59415346524</v>
      </c>
      <c r="AP124" s="12">
        <f>MIN(INDEX(其他调用!$AL$5:$AL$364,MATCH($K124,其他调用!$AG$5:$AG$364,0),1)/INDEX(其他调用!AH$5:AH$364,MATCH($K124,其他调用!$AG$5:$AG$364,0),0),1)*INDEX(其他调用!Y$5:Y$404,MATCH($K124,其他调用!$X$5:$X$404,0),0)</f>
        <v>37145.762646290299</v>
      </c>
      <c r="AQ124" s="12">
        <f>MIN(INDEX(其他调用!$AL$5:$AL$364,MATCH($K124,其他调用!$AG$5:$AG$364,0),1)/INDEX(其他调用!AI$5:AI$364,MATCH($K124,其他调用!$AG$5:$AG$364,0),0),1)*INDEX(其他调用!Z$5:Z$404,MATCH($K124,其他调用!$X$5:$X$404,0),0)</f>
        <v>38288.388057287288</v>
      </c>
      <c r="AR124" s="12">
        <f>MIN(INDEX(其他调用!$AL$5:$AL$364,MATCH($K124,其他调用!$AG$5:$AG$364,0),1)/INDEX(其他调用!AJ$5:AJ$364,MATCH($K124,其他调用!$AG$5:$AG$364,0),0),1)*INDEX(其他调用!AA$5:AA$404,MATCH($K124,其他调用!$X$5:$X$404,0),0)</f>
        <v>39801.772372877283</v>
      </c>
      <c r="AS124" s="12">
        <f>MIN(INDEX(其他调用!$AL$5:$AL$364,MATCH($K124,其他调用!$AG$5:$AG$364,0),1)/INDEX(其他调用!AK$5:AK$364,MATCH($K124,其他调用!$AG$5:$AG$364,0),0),1)*INDEX(其他调用!AB$5:AB$404,MATCH($K124,其他调用!$X$5:$X$404,0),0)</f>
        <v>41978.134523181783</v>
      </c>
      <c r="AT124" s="12">
        <f>MIN(INDEX(其他调用!$AL$5:$AL$364,MATCH($K124,其他调用!$AG$5:$AG$364,0),1)/INDEX(其他调用!AL$5:AL$364,MATCH($K124,其他调用!$AG$5:$AG$364,0),0),1)*INDEX(其他调用!AC$5:AC$404,MATCH($K124,其他调用!$X$5:$X$404,0),0)</f>
        <v>45870.52670231009</v>
      </c>
      <c r="AV124" s="14">
        <f>IF(OR(AV$5="大R",AV$5="超R"),MAX(INDEX(其他调用!$H$5:$L$404,MATCH($K124,其他调用!$B$5:$B$404,0),MATCH(AV$5,其他调用!$H$4:$L$4,0))*120*0.85,2),INDEX(其他调用!$H$5:$L$404,MATCH($K124,其他调用!$B$5:$B$404,0),MATCH(AV$5,其他调用!$H$4:$L$4,0))*120*0.85)</f>
        <v>48.921801254999991</v>
      </c>
      <c r="AW124" s="14">
        <f>IF(OR(AW$5="大R",AW$5="超R"),MAX(INDEX(其他调用!$H$5:$L$404,MATCH($K124,其他调用!$B$5:$B$404,0),MATCH(AW$5,其他调用!$H$4:$L$4,0))*120*0.85,2),INDEX(其他调用!$H$5:$L$404,MATCH($K124,其他调用!$B$5:$B$404,0),MATCH(AW$5,其他调用!$H$4:$L$4,0))*120*0.85)</f>
        <v>48.237344010638395</v>
      </c>
      <c r="AX124" s="14">
        <f>IF(OR(AX$5="大R",AX$5="超R"),MAX(INDEX(其他调用!$H$5:$L$404,MATCH($K124,其他调用!$B$5:$B$404,0),MATCH(AX$5,其他调用!$H$4:$L$4,0))*120*0.85,2),INDEX(其他调用!$H$5:$L$404,MATCH($K124,其他调用!$B$5:$B$404,0),MATCH(AX$5,其他调用!$H$4:$L$4,0))*120*0.85)</f>
        <v>3.9376284143615998</v>
      </c>
      <c r="AY124" s="14">
        <f>IF(OR(AY$5="大R",AY$5="超R"),MAX(INDEX(其他调用!$H$5:$L$404,MATCH($K124,其他调用!$B$5:$B$404,0),MATCH(AY$5,其他调用!$H$4:$L$4,0))*120*0.85,2),INDEX(其他调用!$H$5:$L$404,MATCH($K124,其他调用!$B$5:$B$404,0),MATCH(AY$5,其他调用!$H$4:$L$4,0))*120*0.85)</f>
        <v>2</v>
      </c>
      <c r="AZ124" s="14">
        <f>IF(OR(AZ$5="大R",AZ$5="超R"),MAX(INDEX(其他调用!$H$5:$L$404,MATCH($K124,其他调用!$B$5:$B$404,0),MATCH(AZ$5,其他调用!$H$4:$L$4,0))*120*0.85,2),INDEX(其他调用!$H$5:$L$404,MATCH($K124,其他调用!$B$5:$B$404,0),MATCH(AZ$5,其他调用!$H$4:$L$4,0))*120*0.85)</f>
        <v>2</v>
      </c>
      <c r="BA124" s="14">
        <f>INDEX(其他调用!$H$5:$L$404,MATCH($K124,其他调用!$B$5:$B$404,0),MATCH(BA$5,其他调用!$H$4:$L$4,0))*INDEX(其他调用!$M$5:$M$404,MATCH($K124,其他调用!$B$5:$B$404,0))*0.6</f>
        <v>28.777530149999997</v>
      </c>
      <c r="BB124" s="14">
        <f>INDEX(其他调用!$H$5:$L$404,MATCH($K124,其他调用!$B$5:$B$404,0),MATCH(BB$5,其他调用!$H$4:$L$4,0))*INDEX(其他调用!$M$5:$M$404,MATCH($K124,其他调用!$B$5:$B$404,0))*0.6</f>
        <v>28.374908241551999</v>
      </c>
      <c r="BC124" s="14">
        <f>INDEX(其他调用!$H$5:$L$404,MATCH($K124,其他调用!$B$5:$B$404,0),MATCH(BC$5,其他调用!$H$4:$L$4,0))*INDEX(其他调用!$M$5:$M$404,MATCH($K124,其他调用!$B$5:$B$404,0))*0.6</f>
        <v>2.3162520084480001</v>
      </c>
      <c r="BD124" s="14">
        <f>INDEX(其他调用!$H$5:$L$404,MATCH($K124,其他调用!$B$5:$B$404,0),MATCH(BD$5,其他调用!$H$4:$L$4,0))*INDEX(其他调用!$M$5:$M$404,MATCH($K124,其他调用!$B$5:$B$404,0))*0.6</f>
        <v>0.4120776000000001</v>
      </c>
      <c r="BE124" s="14">
        <f>INDEX(其他调用!$H$5:$L$404,MATCH($K124,其他调用!$B$5:$B$404,0),MATCH(BE$5,其他调用!$H$4:$L$4,0))*INDEX(其他调用!$M$5:$M$404,MATCH($K124,其他调用!$B$5:$B$404,0))*0.6</f>
        <v>0.11923199999999998</v>
      </c>
      <c r="BF124" s="14">
        <f>IF(OR(BF$5="大R",BF$5="超R"),0,INDEX(其他调用!$H$5:$L$404,MATCH($K124,其他调用!$B$5:$B$404,0),MATCH(BF$5,其他调用!$H$4:$L$4,0))*50*0.4)</f>
        <v>9.5925100500000013</v>
      </c>
      <c r="BG124" s="14">
        <f>IF(OR(BG$5="大R",BG$5="超R"),0,INDEX(其他调用!$H$5:$L$404,MATCH($K124,其他调用!$B$5:$B$404,0),MATCH(BG$5,其他调用!$H$4:$L$4,0))*50*0.4)</f>
        <v>9.4583027471839998</v>
      </c>
      <c r="BH124" s="14">
        <f>IF(OR(BH$5="大R",BH$5="超R"),0,INDEX(其他调用!$H$5:$L$404,MATCH($K124,其他调用!$B$5:$B$404,0),MATCH(BH$5,其他调用!$H$4:$L$4,0))*50*0.4)</f>
        <v>0.77208400281600009</v>
      </c>
      <c r="BI124" s="14">
        <f>IF(OR(BI$5="大R",BI$5="超R"),0,INDEX(其他调用!$H$5:$L$404,MATCH($K124,其他调用!$B$5:$B$404,0),MATCH(BI$5,其他调用!$H$4:$L$4,0))*50*0.4)</f>
        <v>0</v>
      </c>
      <c r="BJ124" s="14">
        <f>IF(OR(BJ$5="大R",BJ$5="超R"),0,INDEX(其他调用!$H$5:$L$404,MATCH($K124,其他调用!$B$5:$B$404,0),MATCH(BJ$5,其他调用!$H$4:$L$4,0))*50*0.4)</f>
        <v>0</v>
      </c>
      <c r="BL124" s="14">
        <f t="shared" si="208"/>
        <v>119</v>
      </c>
      <c r="BM124" s="14">
        <f t="shared" si="115"/>
        <v>96</v>
      </c>
      <c r="BN124" s="14">
        <f>('疲劳值&amp;地图信息'!$S$10*'疲劳值&amp;地图信息'!$R$10+'疲劳值&amp;地图信息'!$S$11*'疲劳值&amp;地图信息'!$R$11+'疲劳值&amp;地图信息'!$S$12*'疲劳值&amp;地图信息'!$R$12+(BM124-'疲劳值&amp;地图信息'!$S$12-'疲劳值&amp;地图信息'!$S$11-'疲劳值&amp;地图信息'!$S$10)*'疲劳值&amp;地图信息'!$R$13)/BM124</f>
        <v>51.371477246638619</v>
      </c>
      <c r="BO124" s="14">
        <f>INDEX(其他调用!$M$5:$M$404,MATCH(BL124,其他调用!$B$5:$B$404,0))*0.6</f>
        <v>60</v>
      </c>
      <c r="BP124" s="14">
        <f>IF(BO124&gt;SUM('疲劳值&amp;地图信息'!$S$10:$S$12),('疲劳值&amp;地图信息'!$S$10*'疲劳值&amp;地图信息'!$R$10+'疲劳值&amp;地图信息'!$S$11*'疲劳值&amp;地图信息'!$R$11+'疲劳值&amp;地图信息'!$S$12*'疲劳值&amp;地图信息'!$R$12+(BO124-'疲劳值&amp;地图信息'!$S$12-'疲劳值&amp;地图信息'!$S$11-'疲劳值&amp;地图信息'!$S$10)*'疲劳值&amp;地图信息'!$R$13)/BO124,('疲劳值&amp;地图信息'!$S$10*'疲劳值&amp;地图信息'!$R$10+'疲劳值&amp;地图信息'!$S$11*'疲劳值&amp;地图信息'!$R$11+'疲劳值&amp;地图信息'!$S$12*'疲劳值&amp;地图信息'!$R$12+(BO124-'疲劳值&amp;地图信息'!$S$12-'疲劳值&amp;地图信息'!$S$11-'疲劳值&amp;地图信息'!$S$10)*'疲劳值&amp;地图信息'!$R$13)/BO124)</f>
        <v>44.158136341605953</v>
      </c>
      <c r="BQ124" s="14">
        <f t="shared" si="209"/>
        <v>20</v>
      </c>
      <c r="BR124" s="14">
        <f>('疲劳值&amp;地图信息'!$S$10*'疲劳值&amp;地图信息'!$R$10+($BQ124-'疲劳值&amp;地图信息'!$S$10)*'疲劳值&amp;地图信息'!$R$11)/$BQ124</f>
        <v>32.067203015074995</v>
      </c>
      <c r="CF124" s="14">
        <v>119</v>
      </c>
      <c r="CG124" s="51">
        <f t="shared" si="116"/>
        <v>10567</v>
      </c>
      <c r="CH124" s="51">
        <f t="shared" si="117"/>
        <v>895</v>
      </c>
      <c r="CI124" s="51">
        <f>INT(SUMPRODUCT($N124:$R124,$BA124:$BE124)/SUM($BA124:$BE124)/10000*$BX$7*$BZ$34/'疲劳值&amp;地图信息'!$R$10*$BY$53)</f>
        <v>2987</v>
      </c>
      <c r="CJ124" s="50">
        <f t="shared" si="118"/>
        <v>0.73133088795072321</v>
      </c>
      <c r="CK124" s="50">
        <f t="shared" si="119"/>
        <v>6.1942002906775553E-2</v>
      </c>
      <c r="CL124" s="50">
        <f t="shared" si="120"/>
        <v>0.2067271091425012</v>
      </c>
      <c r="CM124" s="14">
        <f t="shared" si="121"/>
        <v>11322</v>
      </c>
      <c r="CN124" s="14">
        <f t="shared" si="122"/>
        <v>1468</v>
      </c>
      <c r="CO124" s="14">
        <f>INT(SUMPRODUCT($U124:$Y124,$BA124:$BE124)/SUM($BA124:$BE124)/10000*$BX$7*$BZ$34/'疲劳值&amp;地图信息'!$R$10*$BY$54)</f>
        <v>5613</v>
      </c>
      <c r="CP124" s="50">
        <f t="shared" si="123"/>
        <v>0.6152257784056947</v>
      </c>
      <c r="CQ124" s="50">
        <f t="shared" si="124"/>
        <v>7.9769602782155086E-2</v>
      </c>
      <c r="CR124" s="50">
        <f t="shared" si="125"/>
        <v>0.30500461881215019</v>
      </c>
      <c r="CS124" s="14">
        <f t="shared" si="126"/>
        <v>12184</v>
      </c>
      <c r="CT124" s="14">
        <f t="shared" si="127"/>
        <v>2543</v>
      </c>
      <c r="CU124" s="14">
        <f>INT(SUMPRODUCT($AB124:$AF124,$BA124:$BE124)/SUM($BA124:$BE124)/10000*$BX$7*$BZ$34/'疲劳值&amp;地图信息'!$R$10*$BY$55)</f>
        <v>7626</v>
      </c>
      <c r="CV124" s="50">
        <f t="shared" si="128"/>
        <v>0.5450722498098689</v>
      </c>
      <c r="CW124" s="50">
        <f t="shared" si="129"/>
        <v>0.11376549009081555</v>
      </c>
      <c r="CX124" s="50">
        <f t="shared" si="130"/>
        <v>0.34116226009931555</v>
      </c>
      <c r="CY124" s="14">
        <f t="shared" si="131"/>
        <v>13887</v>
      </c>
      <c r="CZ124" s="14">
        <f t="shared" si="132"/>
        <v>6613</v>
      </c>
      <c r="DA124" s="14">
        <f>INT(SUMPRODUCT($AI124:$AM124,$BA124:$BE124)/SUM($BA124:$BE124)/10000*$BX$7*$BZ$34/'疲劳值&amp;地图信息'!$R$10*$BY$56)</f>
        <v>11498</v>
      </c>
      <c r="DB124" s="50">
        <f t="shared" si="133"/>
        <v>0.43399587474217138</v>
      </c>
      <c r="DC124" s="50">
        <f t="shared" si="134"/>
        <v>0.20666916682292644</v>
      </c>
      <c r="DD124" s="50">
        <f t="shared" si="135"/>
        <v>0.35933495843490221</v>
      </c>
      <c r="DE124" s="14">
        <f t="shared" si="136"/>
        <v>13719</v>
      </c>
      <c r="DF124" s="14">
        <f t="shared" si="137"/>
        <v>12718</v>
      </c>
      <c r="DG124" s="14">
        <f>INT(SUMPRODUCT($AP124:$AT124,$BA124:$BE124)/SUM($BA124:$BE124)/10000*$BX$7*$BZ$34/'疲劳值&amp;地图信息'!$R$10*$BY$57)</f>
        <v>15357</v>
      </c>
      <c r="DH124" s="50">
        <f t="shared" si="138"/>
        <v>0.32825285926209502</v>
      </c>
      <c r="DI124" s="50">
        <f t="shared" si="139"/>
        <v>0.30430205292625734</v>
      </c>
      <c r="DJ124" s="50">
        <f t="shared" si="140"/>
        <v>0.36744508781164759</v>
      </c>
      <c r="DL124" s="14">
        <f t="shared" si="211"/>
        <v>14449</v>
      </c>
      <c r="DM124" s="14">
        <f t="shared" si="212"/>
        <v>18403</v>
      </c>
      <c r="DN124" s="14">
        <f t="shared" si="213"/>
        <v>22353</v>
      </c>
      <c r="DO124" s="14">
        <f t="shared" si="214"/>
        <v>31998</v>
      </c>
      <c r="DP124" s="14">
        <f t="shared" si="215"/>
        <v>41794</v>
      </c>
      <c r="DQ124" s="14">
        <f t="shared" si="216"/>
        <v>1007933</v>
      </c>
      <c r="DT124" s="14">
        <f t="shared" si="210"/>
        <v>235575</v>
      </c>
      <c r="DU124" s="50">
        <f t="shared" si="112"/>
        <v>0.18944389581731683</v>
      </c>
      <c r="DW124" s="14">
        <f t="shared" si="141"/>
        <v>1243508</v>
      </c>
      <c r="EB124" s="14">
        <v>119</v>
      </c>
      <c r="EC124" s="51">
        <f t="shared" si="142"/>
        <v>17612</v>
      </c>
      <c r="ED124" s="51">
        <f t="shared" si="143"/>
        <v>1492</v>
      </c>
      <c r="EE124" s="51">
        <f>INT(SUMPRODUCT($N124:$R124,$BF124:$BJ124)/SUM($BF124:$BJ124)/10000*$BX$7*$BZ$46/'疲劳值&amp;地图信息'!$R$10*$BY$53)</f>
        <v>401</v>
      </c>
      <c r="EF124" s="50">
        <f t="shared" si="144"/>
        <v>0.90294796206101002</v>
      </c>
      <c r="EG124" s="50">
        <f t="shared" si="145"/>
        <v>7.6493206870033331E-2</v>
      </c>
      <c r="EH124" s="50">
        <f t="shared" si="146"/>
        <v>2.0558831068956677E-2</v>
      </c>
      <c r="EI124" s="51">
        <f t="shared" si="147"/>
        <v>18870</v>
      </c>
      <c r="EJ124" s="51">
        <f t="shared" si="148"/>
        <v>2447</v>
      </c>
      <c r="EK124" s="14">
        <f>INT(SUMPRODUCT($U124:$Y124,$BF124:$BJ124)/SUM($BF124:$BJ124)/10000*$BX$7*$BZ$46/'疲劳值&amp;地图信息'!$R$10*$BY$54)</f>
        <v>753</v>
      </c>
      <c r="EL124" s="50">
        <f t="shared" si="149"/>
        <v>0.85500679655641143</v>
      </c>
      <c r="EM124" s="50">
        <f t="shared" si="150"/>
        <v>0.11087449025826915</v>
      </c>
      <c r="EN124" s="50">
        <f t="shared" si="151"/>
        <v>3.4118713185319435E-2</v>
      </c>
      <c r="EO124" s="51">
        <f t="shared" si="152"/>
        <v>20307</v>
      </c>
      <c r="EP124" s="51">
        <f t="shared" si="153"/>
        <v>4239</v>
      </c>
      <c r="EQ124" s="14">
        <f>INT(SUMPRODUCT($AB124:$AF124,$BF124:$BJ124)/SUM($BF124:$BJ124)/10000*$BX$7*$BZ$46/'疲劳值&amp;地图信息'!$R$10*$BY$55)</f>
        <v>1022</v>
      </c>
      <c r="ER124" s="50">
        <f t="shared" si="154"/>
        <v>0.79423498122653313</v>
      </c>
      <c r="ES124" s="50">
        <f t="shared" si="155"/>
        <v>0.16579317897371715</v>
      </c>
      <c r="ET124" s="50">
        <f t="shared" si="156"/>
        <v>3.9971839799749685E-2</v>
      </c>
      <c r="EU124" s="51">
        <f t="shared" si="157"/>
        <v>23145</v>
      </c>
      <c r="EV124" s="51">
        <f t="shared" si="158"/>
        <v>11022</v>
      </c>
      <c r="EW124" s="14">
        <f>INT(SUMPRODUCT($AI124:$AM124,$BF124:$BJ124)/SUM($BF124:$BJ124)/10000*$BX$7*$BZ$46/'疲劳值&amp;地图信息'!$R$10*$BY$56)</f>
        <v>1533</v>
      </c>
      <c r="EX124" s="50">
        <f t="shared" si="159"/>
        <v>0.64831932773109247</v>
      </c>
      <c r="EY124" s="50">
        <f t="shared" si="160"/>
        <v>0.30873949579831933</v>
      </c>
      <c r="EZ124" s="50">
        <f t="shared" si="161"/>
        <v>4.2941176470588233E-2</v>
      </c>
      <c r="FA124" s="51">
        <f t="shared" si="162"/>
        <v>22866</v>
      </c>
      <c r="FB124" s="51">
        <f t="shared" si="163"/>
        <v>21196</v>
      </c>
      <c r="FC124" s="14">
        <f>INT(SUMPRODUCT($AP124:$AT124,$BF124:$BJ124)/SUM($BF124:$BJ124)/10000*$BX$7*$BZ$46/'疲劳值&amp;地图信息'!$R$10*$BY$57)</f>
        <v>2045</v>
      </c>
      <c r="FD124" s="50">
        <f t="shared" si="164"/>
        <v>0.49593337237295854</v>
      </c>
      <c r="FE124" s="50">
        <f t="shared" si="165"/>
        <v>0.45971327564144271</v>
      </c>
      <c r="FF124" s="50">
        <f t="shared" si="166"/>
        <v>4.4353351985598713E-2</v>
      </c>
      <c r="FH124" s="14">
        <f t="shared" si="167"/>
        <v>19505</v>
      </c>
      <c r="FI124" s="14">
        <f t="shared" si="168"/>
        <v>22070</v>
      </c>
      <c r="FJ124" s="14">
        <f t="shared" si="169"/>
        <v>25568</v>
      </c>
      <c r="FK124" s="14">
        <f t="shared" si="170"/>
        <v>35700</v>
      </c>
      <c r="FL124" s="14">
        <f t="shared" si="171"/>
        <v>46107</v>
      </c>
      <c r="FM124" s="14">
        <f t="shared" si="172"/>
        <v>2283109</v>
      </c>
      <c r="FP124" s="14">
        <f t="shared" si="173"/>
        <v>334150</v>
      </c>
      <c r="FQ124" s="50">
        <f t="shared" si="113"/>
        <v>0.12767173596499237</v>
      </c>
      <c r="FS124" s="14">
        <f t="shared" si="174"/>
        <v>2617259</v>
      </c>
      <c r="FX124" s="14">
        <v>119</v>
      </c>
      <c r="FY124" s="51">
        <f t="shared" si="175"/>
        <v>24657</v>
      </c>
      <c r="FZ124" s="51">
        <f t="shared" si="176"/>
        <v>1492</v>
      </c>
      <c r="GA124" s="51">
        <f>INT(SUMPRODUCT($N124:$R124,$BF124:$BJ124)/SUM($BF124:$BJ124)/10000*$BX$7*$BZ$46/'疲劳值&amp;地图信息'!$R$10*$BY$53)</f>
        <v>401</v>
      </c>
      <c r="GB124" s="50">
        <f t="shared" si="177"/>
        <v>0.92870056497175146</v>
      </c>
      <c r="GC124" s="50">
        <f t="shared" si="178"/>
        <v>5.6195856873822975E-2</v>
      </c>
      <c r="GD124" s="50">
        <f t="shared" si="179"/>
        <v>1.5103578154425612E-2</v>
      </c>
      <c r="GE124" s="51">
        <f t="shared" si="180"/>
        <v>26418</v>
      </c>
      <c r="GF124" s="51">
        <f t="shared" si="181"/>
        <v>2447</v>
      </c>
      <c r="GG124" s="14">
        <f>INT(SUMPRODUCT($U124:$Y124,$BF124:$BJ124)/SUM($BF124:$BJ124)/10000*$BX$7*$BZ$46/'疲劳值&amp;地图信息'!$R$10*$BY$54)</f>
        <v>753</v>
      </c>
      <c r="GH124" s="50">
        <f t="shared" si="182"/>
        <v>0.89195759335539204</v>
      </c>
      <c r="GI124" s="50">
        <f t="shared" si="183"/>
        <v>8.261867783104869E-2</v>
      </c>
      <c r="GJ124" s="50">
        <f t="shared" si="184"/>
        <v>2.5423728813559324E-2</v>
      </c>
      <c r="GK124" s="51">
        <f t="shared" si="185"/>
        <v>28430</v>
      </c>
      <c r="GL124" s="51">
        <f t="shared" si="186"/>
        <v>4239</v>
      </c>
      <c r="GM124" s="14">
        <f>INT(SUMPRODUCT($AB124:$AF124,$BF124:$BJ124)/SUM($BF124:$BJ124)/10000*$BX$7*$BZ$46/'疲劳值&amp;地图信息'!$R$10*$BY$55)</f>
        <v>1022</v>
      </c>
      <c r="GN124" s="50">
        <f t="shared" si="187"/>
        <v>0.84384553738387102</v>
      </c>
      <c r="GO124" s="50">
        <f t="shared" si="188"/>
        <v>0.12581995191594195</v>
      </c>
      <c r="GP124" s="50">
        <f t="shared" si="189"/>
        <v>3.0334510700186994E-2</v>
      </c>
      <c r="GQ124" s="51">
        <f t="shared" si="190"/>
        <v>32403</v>
      </c>
      <c r="GR124" s="51">
        <f t="shared" si="191"/>
        <v>11022</v>
      </c>
      <c r="GS124" s="14">
        <f>INT(SUMPRODUCT($AI124:$AM124,$BF124:$BJ124)/SUM($BF124:$BJ124)/10000*$BX$7*$BZ$46/'疲劳值&amp;地图信息'!$R$10*$BY$56)</f>
        <v>1533</v>
      </c>
      <c r="GT124" s="50">
        <f t="shared" si="192"/>
        <v>0.72073935673295075</v>
      </c>
      <c r="GU124" s="50">
        <f t="shared" si="193"/>
        <v>0.24516215134125183</v>
      </c>
      <c r="GV124" s="50">
        <f t="shared" si="194"/>
        <v>3.4098491925797413E-2</v>
      </c>
      <c r="GW124" s="51">
        <f t="shared" si="195"/>
        <v>32012</v>
      </c>
      <c r="GX124" s="51">
        <f t="shared" si="196"/>
        <v>21196</v>
      </c>
      <c r="GY124" s="14">
        <f>INT(SUMPRODUCT($AP124:$AT124,$BF124:$BJ124)/SUM($BF124:$BJ124)/10000*$BX$7*$BZ$46/'疲劳值&amp;地图信息'!$R$10*$BY$57)</f>
        <v>2045</v>
      </c>
      <c r="GZ124" s="50">
        <f t="shared" si="197"/>
        <v>0.57937125585941029</v>
      </c>
      <c r="HA124" s="50">
        <f t="shared" si="198"/>
        <v>0.38361717915769278</v>
      </c>
      <c r="HB124" s="50">
        <f t="shared" si="199"/>
        <v>3.7011564982896858E-2</v>
      </c>
      <c r="HD124" s="14">
        <f t="shared" si="200"/>
        <v>26550</v>
      </c>
      <c r="HE124" s="14">
        <f t="shared" si="201"/>
        <v>29618</v>
      </c>
      <c r="HF124" s="14">
        <f t="shared" si="202"/>
        <v>33691</v>
      </c>
      <c r="HG124" s="14">
        <f t="shared" si="203"/>
        <v>44958</v>
      </c>
      <c r="HH124" s="14">
        <f t="shared" si="204"/>
        <v>55253</v>
      </c>
      <c r="HI124" s="14">
        <f t="shared" si="205"/>
        <v>3060652</v>
      </c>
      <c r="HL124" s="14">
        <f t="shared" si="206"/>
        <v>430050</v>
      </c>
      <c r="HM124" s="50">
        <f t="shared" si="114"/>
        <v>0.12319871475708898</v>
      </c>
      <c r="HO124" s="14">
        <f t="shared" si="207"/>
        <v>3490702</v>
      </c>
    </row>
    <row r="125" spans="11:223" x14ac:dyDescent="0.2">
      <c r="K125" s="14">
        <v>120</v>
      </c>
      <c r="L125" s="12">
        <f>求节点(节奏总纲!D$4:D$163,标准城池设计!AB$4:AB$163,$K125)*求节点(节奏总纲!D$4:D$163,攻城基础信息!$AC$5:$AC$164,$K125)</f>
        <v>520224.49293694471</v>
      </c>
      <c r="M125" s="12">
        <f>INDEX(其他调用!$AA$5:$AA$404,MATCH(K125,其他调用!$X$5:$X$404,0))*MIN(INDEX(其他调用!$AH$5:$AH$364,MATCH('征服点（新）'!K125,其他调用!$AG$5:$AG$364,0),1)/INDEX(其他调用!$AJ$5:$AJ$364,MATCH(K125,其他调用!$AG$5:$AG$364,0),0),5)*求节点(节奏总纲!D$4:D$163,攻城基础信息!$AC$5:$AC$164,$K125)</f>
        <v>44020.419830177598</v>
      </c>
      <c r="N125" s="12">
        <f>MIN(INDEX(其他调用!$AH$5:$AH$364,MATCH($K125,其他调用!$AG$5:$AG$364,0),1)/INDEX(其他调用!AH$5:AH$364,MATCH($K125,其他调用!$AG$5:$AG$364,0),0),1)*INDEX(其他调用!Y$5:Y$404,MATCH($K125,其他调用!$X$5:$X$404,0),0)</f>
        <v>37192.181701105161</v>
      </c>
      <c r="O125" s="12">
        <f>MIN(INDEX(其他调用!$AH$5:$AH$364,MATCH($K125,其他调用!$AG$5:$AG$364,0),1)/INDEX(其他调用!AI$5:AI$364,MATCH($K125,其他调用!$AG$5:$AG$364,0),0),1)*INDEX(其他调用!Z$5:Z$404,MATCH($K125,其他调用!$X$5:$X$404,0),0)</f>
        <v>23365.095412073148</v>
      </c>
      <c r="P125" s="12">
        <f>MIN(INDEX(其他调用!$AH$5:$AH$364,MATCH($K125,其他调用!$AG$5:$AG$364,0),1)/INDEX(其他调用!AJ$5:AJ$364,MATCH($K125,其他调用!$AG$5:$AG$364,0),0),1)*INDEX(其他调用!AA$5:AA$404,MATCH($K125,其他调用!$X$5:$X$404,0),0)</f>
        <v>14021.717883493282</v>
      </c>
      <c r="Q125" s="12">
        <f>MIN(INDEX(其他调用!$AH$5:$AH$364,MATCH($K125,其他调用!$AG$5:$AG$364,0),1)/INDEX(其他调用!AK$5:AK$364,MATCH($K125,其他调用!$AG$5:$AG$364,0),0),1)*INDEX(其他调用!AB$5:AB$404,MATCH($K125,其他调用!$X$5:$X$404,0),0)</f>
        <v>5678.8825370702525</v>
      </c>
      <c r="R125" s="12">
        <f>MIN(INDEX(其他调用!$AH$5:$AH$364,MATCH($K125,其他调用!$AG$5:$AG$364,0),1)/INDEX(其他调用!AL$5:AL$364,MATCH($K125,其他调用!$AG$5:$AG$364,0),0),1)*INDEX(其他调用!AC$5:AC$404,MATCH($K125,其他调用!$X$5:$X$404,0),0)</f>
        <v>1799.0803386405616</v>
      </c>
      <c r="S125" s="12">
        <f>求节点(节奏总纲!D$4:D$163,标准城池设计!AC$4:AC$163,$K125)*求节点(节奏总纲!D$4:D$163,攻城基础信息!$AD$5:$AD$164,$K125)</f>
        <v>557501.56700478226</v>
      </c>
      <c r="T125" s="12">
        <f>INDEX(其他调用!$AA$5:$AA$404,MATCH($K125,其他调用!$X$5:$X$404,0))*MIN(INDEX(其他调用!AI$5:AI$364,MATCH($K125,其他调用!$AG$5:$AG$364,0),1)/INDEX(其他调用!$AJ$5:$AJ$364,MATCH($K125,其他调用!$AG$5:$AG$364,0),0),5)*求节点(节奏总纲!D$4:D$163,攻城基础信息!$AD$5:$AD$164,$K125)</f>
        <v>72226.141536753508</v>
      </c>
      <c r="U125" s="12">
        <f>MIN(INDEX(其他调用!$AI$5:$AI$364,MATCH($K125,其他调用!$AG$5:$AG$364,0),1)/INDEX(其他调用!AH$5:AH$364,MATCH($K125,其他调用!$AG$5:$AG$364,0),0),1)*INDEX(其他调用!Y$5:Y$404,MATCH($K125,其他调用!$X$5:$X$404,0),0)</f>
        <v>37192.181701105161</v>
      </c>
      <c r="V125" s="12">
        <f>MIN(INDEX(其他调用!$AI$5:$AI$364,MATCH($K125,其他调用!$AG$5:$AG$364,0),1)/INDEX(其他调用!AI$5:AI$364,MATCH($K125,其他调用!$AG$5:$AG$364,0),0),1)*INDEX(其他调用!Z$5:Z$404,MATCH($K125,其他调用!$X$5:$X$404,0),0)</f>
        <v>38336.087996490533</v>
      </c>
      <c r="W125" s="12">
        <f>MIN(INDEX(其他调用!$AI$5:$AI$364,MATCH($K125,其他调用!$AG$5:$AG$364,0),1)/INDEX(其他调用!AJ$5:AJ$364,MATCH($K125,其他调用!$AG$5:$AG$364,0),0),1)*INDEX(其他调用!AA$5:AA$404,MATCH($K125,其他调用!$X$5:$X$404,0),0)</f>
        <v>23006.018214922777</v>
      </c>
      <c r="X125" s="12">
        <f>MIN(INDEX(其他调用!$AI$5:$AI$364,MATCH($K125,其他调用!$AG$5:$AG$364,0),1)/INDEX(其他调用!AK$5:AK$364,MATCH($K125,其他调用!$AG$5:$AG$364,0),0),1)*INDEX(其他调用!AB$5:AB$404,MATCH($K125,其他调用!$X$5:$X$404,0),0)</f>
        <v>9317.5797840040523</v>
      </c>
      <c r="Y125" s="12">
        <f>MIN(INDEX(其他调用!$AI$5:$AI$364,MATCH($K125,其他调用!$AG$5:$AG$364,0),1)/INDEX(其他调用!AL$5:AL$364,MATCH($K125,其他调用!$AG$5:$AG$364,0),0),1)*INDEX(其他调用!AC$5:AC$404,MATCH($K125,其他调用!$X$5:$X$404,0),0)</f>
        <v>2951.8262587210629</v>
      </c>
      <c r="Z125" s="12">
        <f>求节点(节奏总纲!D$4:D$163,标准城池设计!AD$4:AD$163,$K125)*求节点(节奏总纲!D$4:D$163,攻城基础信息!$AE$5:$AE$164,$K125)</f>
        <v>599820.53402473417</v>
      </c>
      <c r="AA125" s="12">
        <f>INDEX(其他调用!$AA$5:$AA$404,MATCH($K125,其他调用!$X$5:$X$404,0))*MIN(INDEX(其他调用!AJ$5:AJ$364,MATCH($K125,其他调用!$AG$5:$AG$364,0),1)/INDEX(其他调用!$AJ$5:$AJ$364,MATCH($K125,其他调用!$AG$5:$AG$364,0),0),5)*求节点(节奏总纲!D$4:D$163,攻城基础信息!$AE$5:$AE$164,$K125)</f>
        <v>125104.46942530875</v>
      </c>
      <c r="AB125" s="12">
        <f>MIN(INDEX(其他调用!$AJ$5:$AJ$364,MATCH($K125,其他调用!$AG$5:$AG$364,0),1)/INDEX(其他调用!AH$5:AH$364,MATCH($K125,其他调用!$AG$5:$AG$364,0),0),1)*INDEX(其他调用!Y$5:Y$404,MATCH($K125,其他调用!$X$5:$X$404,0),0)</f>
        <v>37192.181701105161</v>
      </c>
      <c r="AC125" s="12">
        <f>MIN(INDEX(其他调用!$AJ$5:$AJ$364,MATCH($K125,其他调用!$AG$5:$AG$364,0),1)/INDEX(其他调用!AI$5:AI$364,MATCH($K125,其他调用!$AG$5:$AG$364,0),0),1)*INDEX(其他调用!Z$5:Z$404,MATCH($K125,其他调用!$X$5:$X$404,0),0)</f>
        <v>38336.087996490533</v>
      </c>
      <c r="AD125" s="12">
        <f>MIN(INDEX(其他调用!$AJ$5:$AJ$364,MATCH($K125,其他调用!$AG$5:$AG$364,0),1)/INDEX(其他调用!AJ$5:AJ$364,MATCH($K125,其他调用!$AG$5:$AG$364,0),0),1)*INDEX(其他调用!AA$5:AA$404,MATCH($K125,其他调用!$X$5:$X$404,0),0)</f>
        <v>39849.224133097348</v>
      </c>
      <c r="AE125" s="12">
        <f>MIN(INDEX(其他调用!$AJ$5:$AJ$364,MATCH($K125,其他调用!$AG$5:$AG$364,0),1)/INDEX(其他调用!AK$5:AK$364,MATCH($K125,其他调用!$AG$5:$AG$364,0),0),1)*INDEX(其他调用!AB$5:AB$404,MATCH($K125,其他调用!$X$5:$X$404,0),0)</f>
        <v>16139.182440095299</v>
      </c>
      <c r="AF125" s="12">
        <f>MIN(INDEX(其他调用!$AJ$5:$AJ$364,MATCH($K125,其他调用!$AG$5:$AG$364,0),1)/INDEX(其他调用!AL$5:AL$364,MATCH($K125,其他调用!$AG$5:$AG$364,0),0),1)*INDEX(其他调用!AC$5:AC$404,MATCH($K125,其他调用!$X$5:$X$404,0),0)</f>
        <v>5112.9224139029347</v>
      </c>
      <c r="AG125" s="12">
        <f>求节点(节奏总纲!D$4:D$163,标准城池设计!AE$4:AE$163,$K125)*求节点(节奏总纲!D$4:D$163,攻城基础信息!$AF$5:$AF$164,$K125)</f>
        <v>683853.03870340565</v>
      </c>
      <c r="AH125" s="12">
        <f>INDEX(其他调用!$AA$5:$AA$404,MATCH($K125,其他调用!$X$5:$X$404,0))*MIN(INDEX(其他调用!AK$5:AK$364,MATCH($K125,其他调用!$AG$5:$AG$364,0),1)/INDEX(其他调用!$AJ$5:$AJ$364,MATCH($K125,其他调用!$AG$5:$AG$364,0),0),5)*求节点(节奏总纲!D$4:D$163,攻城基础信息!$AF$5:$AF$164,$K125)</f>
        <v>325774.20727653045</v>
      </c>
      <c r="AI125" s="12">
        <f>MIN(INDEX(其他调用!$AK$5:$AK$364,MATCH($K125,其他调用!$AG$5:$AG$364,0),1)/INDEX(其他调用!AH$5:AH$364,MATCH($K125,其他调用!$AG$5:$AG$364,0),0),1)*INDEX(其他调用!Y$5:Y$404,MATCH($K125,其他调用!$X$5:$X$404,0),0)</f>
        <v>37192.181701105161</v>
      </c>
      <c r="AJ125" s="12">
        <f>MIN(INDEX(其他调用!$AK$5:$AK$364,MATCH($K125,其他调用!$AG$5:$AG$364,0),1)/INDEX(其他调用!AI$5:AI$364,MATCH($K125,其他调用!$AG$5:$AG$364,0),0),1)*INDEX(其他调用!Z$5:Z$404,MATCH($K125,其他调用!$X$5:$X$404,0),0)</f>
        <v>38336.087996490533</v>
      </c>
      <c r="AK125" s="12">
        <f>MIN(INDEX(其他调用!$AK$5:$AK$364,MATCH($K125,其他调用!$AG$5:$AG$364,0),1)/INDEX(其他调用!AJ$5:AJ$364,MATCH($K125,其他调用!$AG$5:$AG$364,0),0),1)*INDEX(其他调用!AA$5:AA$404,MATCH($K125,其他调用!$X$5:$X$404,0),0)</f>
        <v>39849.224133097348</v>
      </c>
      <c r="AL125" s="12">
        <f>MIN(INDEX(其他调用!$AK$5:$AK$364,MATCH($K125,其他调用!$AG$5:$AG$364,0),1)/INDEX(其他调用!AK$5:AK$364,MATCH($K125,其他调用!$AG$5:$AG$364,0),0),1)*INDEX(其他调用!AB$5:AB$404,MATCH($K125,其他调用!$X$5:$X$404,0),0)</f>
        <v>42026.710873446238</v>
      </c>
      <c r="AM125" s="12">
        <f>MIN(INDEX(其他调用!$AK$5:$AK$364,MATCH($K125,其他调用!$AG$5:$AG$364,0),1)/INDEX(其他调用!AL$5:AL$364,MATCH($K125,其他调用!$AG$5:$AG$364,0),0),1)*INDEX(其他调用!AC$5:AC$404,MATCH($K125,其他调用!$X$5:$X$404,0),0)</f>
        <v>13314.138606775216</v>
      </c>
      <c r="AN125" s="12">
        <f>求节点(节奏总纲!D$4:D$163,标准城池设计!AF$4:AF$163,$K125)*求节点(节奏总纲!D$4:D$163,攻城基础信息!$AG$5:$AG$164,$K125)</f>
        <v>676081.96566574229</v>
      </c>
      <c r="AO125" s="12">
        <f>INDEX(其他调用!$AA$5:$AA$404,MATCH($K125,其他调用!$X$5:$X$404,0))*MIN(INDEX(其他调用!AL$5:AL$364,MATCH($K125,其他调用!$AG$5:$AG$364,0),1)/INDEX(其他调用!$AJ$5:$AJ$364,MATCH($K125,其他调用!$AG$5:$AG$364,0),0),5)*求节点(节奏总纲!D$4:D$163,攻城基础信息!$AG$5:$AG$164,$K125)</f>
        <v>625522.34712654375</v>
      </c>
      <c r="AP125" s="12">
        <f>MIN(INDEX(其他调用!$AL$5:$AL$364,MATCH($K125,其他调用!$AG$5:$AG$364,0),1)/INDEX(其他调用!AH$5:AH$364,MATCH($K125,其他调用!$AG$5:$AG$364,0),0),1)*INDEX(其他调用!Y$5:Y$404,MATCH($K125,其他调用!$X$5:$X$404,0),0)</f>
        <v>37192.181701105161</v>
      </c>
      <c r="AQ125" s="12">
        <f>MIN(INDEX(其他调用!$AL$5:$AL$364,MATCH($K125,其他调用!$AG$5:$AG$364,0),1)/INDEX(其他调用!AI$5:AI$364,MATCH($K125,其他调用!$AG$5:$AG$364,0),0),1)*INDEX(其他调用!Z$5:Z$404,MATCH($K125,其他调用!$X$5:$X$404,0),0)</f>
        <v>38336.087996490533</v>
      </c>
      <c r="AR125" s="12">
        <f>MIN(INDEX(其他调用!$AL$5:$AL$364,MATCH($K125,其他调用!$AG$5:$AG$364,0),1)/INDEX(其他调用!AJ$5:AJ$364,MATCH($K125,其他调用!$AG$5:$AG$364,0),0),1)*INDEX(其他调用!AA$5:AA$404,MATCH($K125,其他调用!$X$5:$X$404,0),0)</f>
        <v>39849.224133097348</v>
      </c>
      <c r="AS125" s="12">
        <f>MIN(INDEX(其他调用!$AL$5:$AL$364,MATCH($K125,其他调用!$AG$5:$AG$364,0),1)/INDEX(其他调用!AK$5:AK$364,MATCH($K125,其他调用!$AG$5:$AG$364,0),0),1)*INDEX(其他调用!AB$5:AB$404,MATCH($K125,其他调用!$X$5:$X$404,0),0)</f>
        <v>42026.710873446238</v>
      </c>
      <c r="AT125" s="12">
        <f>MIN(INDEX(其他调用!$AL$5:$AL$364,MATCH($K125,其他调用!$AG$5:$AG$364,0),1)/INDEX(其他调用!AL$5:AL$364,MATCH($K125,其他调用!$AG$5:$AG$364,0),0),1)*INDEX(其他调用!AC$5:AC$404,MATCH($K125,其他调用!$X$5:$X$404,0),0)</f>
        <v>45920.06290027099</v>
      </c>
      <c r="AV125" s="14">
        <f>IF(OR(AV$5="大R",AV$5="超R"),MAX(INDEX(其他调用!$H$5:$L$404,MATCH($K125,其他调用!$B$5:$B$404,0),MATCH(AV$5,其他调用!$H$4:$L$4,0))*120*0.85,2),INDEX(其他调用!$H$5:$L$404,MATCH($K125,其他调用!$B$5:$B$404,0),MATCH(AV$5,其他调用!$H$4:$L$4,0))*120*0.85)</f>
        <v>48.921801254999991</v>
      </c>
      <c r="AW125" s="14">
        <f>IF(OR(AW$5="大R",AW$5="超R"),MAX(INDEX(其他调用!$H$5:$L$404,MATCH($K125,其他调用!$B$5:$B$404,0),MATCH(AW$5,其他调用!$H$4:$L$4,0))*120*0.85,2),INDEX(其他调用!$H$5:$L$404,MATCH($K125,其他调用!$B$5:$B$404,0),MATCH(AW$5,其他调用!$H$4:$L$4,0))*120*0.85)</f>
        <v>48.237344010638395</v>
      </c>
      <c r="AX125" s="14">
        <f>IF(OR(AX$5="大R",AX$5="超R"),MAX(INDEX(其他调用!$H$5:$L$404,MATCH($K125,其他调用!$B$5:$B$404,0),MATCH(AX$5,其他调用!$H$4:$L$4,0))*120*0.85,2),INDEX(其他调用!$H$5:$L$404,MATCH($K125,其他调用!$B$5:$B$404,0),MATCH(AX$5,其他调用!$H$4:$L$4,0))*120*0.85)</f>
        <v>3.9376284143615998</v>
      </c>
      <c r="AY125" s="14">
        <f>IF(OR(AY$5="大R",AY$5="超R"),MAX(INDEX(其他调用!$H$5:$L$404,MATCH($K125,其他调用!$B$5:$B$404,0),MATCH(AY$5,其他调用!$H$4:$L$4,0))*120*0.85,2),INDEX(其他调用!$H$5:$L$404,MATCH($K125,其他调用!$B$5:$B$404,0),MATCH(AY$5,其他调用!$H$4:$L$4,0))*120*0.85)</f>
        <v>2</v>
      </c>
      <c r="AZ125" s="14">
        <f>IF(OR(AZ$5="大R",AZ$5="超R"),MAX(INDEX(其他调用!$H$5:$L$404,MATCH($K125,其他调用!$B$5:$B$404,0),MATCH(AZ$5,其他调用!$H$4:$L$4,0))*120*0.85,2),INDEX(其他调用!$H$5:$L$404,MATCH($K125,其他调用!$B$5:$B$404,0),MATCH(AZ$5,其他调用!$H$4:$L$4,0))*120*0.85)</f>
        <v>2</v>
      </c>
      <c r="BA125" s="14">
        <f>INDEX(其他调用!$H$5:$L$404,MATCH($K125,其他调用!$B$5:$B$404,0),MATCH(BA$5,其他调用!$H$4:$L$4,0))*INDEX(其他调用!$M$5:$M$404,MATCH($K125,其他调用!$B$5:$B$404,0))*0.6</f>
        <v>28.777530149999997</v>
      </c>
      <c r="BB125" s="14">
        <f>INDEX(其他调用!$H$5:$L$404,MATCH($K125,其他调用!$B$5:$B$404,0),MATCH(BB$5,其他调用!$H$4:$L$4,0))*INDEX(其他调用!$M$5:$M$404,MATCH($K125,其他调用!$B$5:$B$404,0))*0.6</f>
        <v>28.374908241551999</v>
      </c>
      <c r="BC125" s="14">
        <f>INDEX(其他调用!$H$5:$L$404,MATCH($K125,其他调用!$B$5:$B$404,0),MATCH(BC$5,其他调用!$H$4:$L$4,0))*INDEX(其他调用!$M$5:$M$404,MATCH($K125,其他调用!$B$5:$B$404,0))*0.6</f>
        <v>2.3162520084480001</v>
      </c>
      <c r="BD125" s="14">
        <f>INDEX(其他调用!$H$5:$L$404,MATCH($K125,其他调用!$B$5:$B$404,0),MATCH(BD$5,其他调用!$H$4:$L$4,0))*INDEX(其他调用!$M$5:$M$404,MATCH($K125,其他调用!$B$5:$B$404,0))*0.6</f>
        <v>0.4120776000000001</v>
      </c>
      <c r="BE125" s="14">
        <f>INDEX(其他调用!$H$5:$L$404,MATCH($K125,其他调用!$B$5:$B$404,0),MATCH(BE$5,其他调用!$H$4:$L$4,0))*INDEX(其他调用!$M$5:$M$404,MATCH($K125,其他调用!$B$5:$B$404,0))*0.6</f>
        <v>0.11923199999999998</v>
      </c>
      <c r="BF125" s="14">
        <f>IF(OR(BF$5="大R",BF$5="超R"),0,INDEX(其他调用!$H$5:$L$404,MATCH($K125,其他调用!$B$5:$B$404,0),MATCH(BF$5,其他调用!$H$4:$L$4,0))*50*0.4)</f>
        <v>9.5925100500000013</v>
      </c>
      <c r="BG125" s="14">
        <f>IF(OR(BG$5="大R",BG$5="超R"),0,INDEX(其他调用!$H$5:$L$404,MATCH($K125,其他调用!$B$5:$B$404,0),MATCH(BG$5,其他调用!$H$4:$L$4,0))*50*0.4)</f>
        <v>9.4583027471839998</v>
      </c>
      <c r="BH125" s="14">
        <f>IF(OR(BH$5="大R",BH$5="超R"),0,INDEX(其他调用!$H$5:$L$404,MATCH($K125,其他调用!$B$5:$B$404,0),MATCH(BH$5,其他调用!$H$4:$L$4,0))*50*0.4)</f>
        <v>0.77208400281600009</v>
      </c>
      <c r="BI125" s="14">
        <f>IF(OR(BI$5="大R",BI$5="超R"),0,INDEX(其他调用!$H$5:$L$404,MATCH($K125,其他调用!$B$5:$B$404,0),MATCH(BI$5,其他调用!$H$4:$L$4,0))*50*0.4)</f>
        <v>0</v>
      </c>
      <c r="BJ125" s="14">
        <f>IF(OR(BJ$5="大R",BJ$5="超R"),0,INDEX(其他调用!$H$5:$L$404,MATCH($K125,其他调用!$B$5:$B$404,0),MATCH(BJ$5,其他调用!$H$4:$L$4,0))*50*0.4)</f>
        <v>0</v>
      </c>
      <c r="BL125" s="14">
        <f t="shared" si="208"/>
        <v>120</v>
      </c>
      <c r="BM125" s="14">
        <f t="shared" si="115"/>
        <v>96</v>
      </c>
      <c r="BN125" s="14">
        <f>('疲劳值&amp;地图信息'!$S$10*'疲劳值&amp;地图信息'!$R$10+'疲劳值&amp;地图信息'!$S$11*'疲劳值&amp;地图信息'!$R$11+'疲劳值&amp;地图信息'!$S$12*'疲劳值&amp;地图信息'!$R$12+(BM125-'疲劳值&amp;地图信息'!$S$12-'疲劳值&amp;地图信息'!$S$11-'疲劳值&amp;地图信息'!$S$10)*'疲劳值&amp;地图信息'!$R$13)/BM125</f>
        <v>51.371477246638619</v>
      </c>
      <c r="BO125" s="14">
        <f>INDEX(其他调用!$M$5:$M$404,MATCH(BL125,其他调用!$B$5:$B$404,0))*0.6</f>
        <v>60</v>
      </c>
      <c r="BP125" s="14">
        <f>IF(BO125&gt;SUM('疲劳值&amp;地图信息'!$S$10:$S$12),('疲劳值&amp;地图信息'!$S$10*'疲劳值&amp;地图信息'!$R$10+'疲劳值&amp;地图信息'!$S$11*'疲劳值&amp;地图信息'!$R$11+'疲劳值&amp;地图信息'!$S$12*'疲劳值&amp;地图信息'!$R$12+(BO125-'疲劳值&amp;地图信息'!$S$12-'疲劳值&amp;地图信息'!$S$11-'疲劳值&amp;地图信息'!$S$10)*'疲劳值&amp;地图信息'!$R$13)/BO125,('疲劳值&amp;地图信息'!$S$10*'疲劳值&amp;地图信息'!$R$10+'疲劳值&amp;地图信息'!$S$11*'疲劳值&amp;地图信息'!$R$11+'疲劳值&amp;地图信息'!$S$12*'疲劳值&amp;地图信息'!$R$12+(BO125-'疲劳值&amp;地图信息'!$S$12-'疲劳值&amp;地图信息'!$S$11-'疲劳值&amp;地图信息'!$S$10)*'疲劳值&amp;地图信息'!$R$13)/BO125)</f>
        <v>44.158136341605953</v>
      </c>
      <c r="BQ125" s="14">
        <f t="shared" si="209"/>
        <v>20</v>
      </c>
      <c r="BR125" s="14">
        <f>('疲劳值&amp;地图信息'!$S$10*'疲劳值&amp;地图信息'!$R$10+($BQ125-'疲劳值&amp;地图信息'!$S$10)*'疲劳值&amp;地图信息'!$R$11)/$BQ125</f>
        <v>32.067203015074995</v>
      </c>
      <c r="CF125" s="14">
        <v>120</v>
      </c>
      <c r="CG125" s="51">
        <f t="shared" si="116"/>
        <v>10602</v>
      </c>
      <c r="CH125" s="51">
        <f t="shared" si="117"/>
        <v>897</v>
      </c>
      <c r="CI125" s="51">
        <f>INT(SUMPRODUCT($N125:$R125,$BA125:$BE125)/SUM($BA125:$BE125)/10000*$BX$7*$BZ$34/'疲劳值&amp;地图信息'!$R$10*$BY$53)</f>
        <v>2990</v>
      </c>
      <c r="CJ125" s="50">
        <f t="shared" si="118"/>
        <v>0.73172751742701359</v>
      </c>
      <c r="CK125" s="50">
        <f t="shared" si="119"/>
        <v>6.1909034439919942E-2</v>
      </c>
      <c r="CL125" s="50">
        <f t="shared" si="120"/>
        <v>0.20636344813306645</v>
      </c>
      <c r="CM125" s="14">
        <f t="shared" si="121"/>
        <v>11362</v>
      </c>
      <c r="CN125" s="14">
        <f t="shared" si="122"/>
        <v>1472</v>
      </c>
      <c r="CO125" s="14">
        <f>INT(SUMPRODUCT($U125:$Y125,$BA125:$BE125)/SUM($BA125:$BE125)/10000*$BX$7*$BZ$34/'疲劳值&amp;地图信息'!$R$10*$BY$54)</f>
        <v>5620</v>
      </c>
      <c r="CP125" s="50">
        <f t="shared" si="123"/>
        <v>0.61569307467215784</v>
      </c>
      <c r="CQ125" s="50">
        <f t="shared" si="124"/>
        <v>7.9765904410967814E-2</v>
      </c>
      <c r="CR125" s="50">
        <f t="shared" si="125"/>
        <v>0.30454102091687441</v>
      </c>
      <c r="CS125" s="14">
        <f t="shared" si="126"/>
        <v>12225</v>
      </c>
      <c r="CT125" s="14">
        <f t="shared" si="127"/>
        <v>2549</v>
      </c>
      <c r="CU125" s="14">
        <f>INT(SUMPRODUCT($AB125:$AF125,$BA125:$BE125)/SUM($BA125:$BE125)/10000*$BX$7*$BZ$34/'疲劳值&amp;地图信息'!$R$10*$BY$55)</f>
        <v>7635</v>
      </c>
      <c r="CV125" s="50">
        <f t="shared" si="128"/>
        <v>0.54553973849792492</v>
      </c>
      <c r="CW125" s="50">
        <f t="shared" si="129"/>
        <v>0.11374894015797224</v>
      </c>
      <c r="CX125" s="50">
        <f t="shared" si="130"/>
        <v>0.34071132134410281</v>
      </c>
      <c r="CY125" s="14">
        <f t="shared" si="131"/>
        <v>13937</v>
      </c>
      <c r="CZ125" s="14">
        <f t="shared" si="132"/>
        <v>6639</v>
      </c>
      <c r="DA125" s="14">
        <f>INT(SUMPRODUCT($AI125:$AM125,$BA125:$BE125)/SUM($BA125:$BE125)/10000*$BX$7*$BZ$34/'疲劳值&amp;地图信息'!$R$10*$BY$56)</f>
        <v>11512</v>
      </c>
      <c r="DB125" s="50">
        <f t="shared" si="133"/>
        <v>0.43433682373472948</v>
      </c>
      <c r="DC125" s="50">
        <f t="shared" si="134"/>
        <v>0.20689977561705311</v>
      </c>
      <c r="DD125" s="50">
        <f t="shared" si="135"/>
        <v>0.35876340064821738</v>
      </c>
      <c r="DE125" s="14">
        <f t="shared" si="136"/>
        <v>13779</v>
      </c>
      <c r="DF125" s="14">
        <f t="shared" si="137"/>
        <v>12748</v>
      </c>
      <c r="DG125" s="14">
        <f>INT(SUMPRODUCT($AP125:$AT125,$BA125:$BE125)/SUM($BA125:$BE125)/10000*$BX$7*$BZ$34/'疲劳值&amp;地图信息'!$R$10*$BY$57)</f>
        <v>15376</v>
      </c>
      <c r="DH125" s="50">
        <f t="shared" si="138"/>
        <v>0.32883087129799776</v>
      </c>
      <c r="DI125" s="50">
        <f t="shared" si="139"/>
        <v>0.30422642770207381</v>
      </c>
      <c r="DJ125" s="50">
        <f t="shared" si="140"/>
        <v>0.36694270099992843</v>
      </c>
      <c r="DL125" s="14">
        <f t="shared" si="211"/>
        <v>14489</v>
      </c>
      <c r="DM125" s="14">
        <f t="shared" si="212"/>
        <v>18454</v>
      </c>
      <c r="DN125" s="14">
        <f t="shared" si="213"/>
        <v>22409</v>
      </c>
      <c r="DO125" s="14">
        <f t="shared" si="214"/>
        <v>32088</v>
      </c>
      <c r="DP125" s="14">
        <f t="shared" si="215"/>
        <v>41903</v>
      </c>
      <c r="DQ125" s="14">
        <f t="shared" si="216"/>
        <v>1010712</v>
      </c>
      <c r="DT125" s="14">
        <f t="shared" si="210"/>
        <v>235575</v>
      </c>
      <c r="DU125" s="50">
        <f t="shared" si="112"/>
        <v>0.18902146937262446</v>
      </c>
      <c r="DW125" s="14">
        <f t="shared" si="141"/>
        <v>1246287</v>
      </c>
      <c r="EB125" s="14">
        <v>120</v>
      </c>
      <c r="EC125" s="51">
        <f t="shared" si="142"/>
        <v>17671</v>
      </c>
      <c r="ED125" s="51">
        <f t="shared" si="143"/>
        <v>1495</v>
      </c>
      <c r="EE125" s="51">
        <f>INT(SUMPRODUCT($N125:$R125,$BF125:$BJ125)/SUM($BF125:$BJ125)/10000*$BX$7*$BZ$46/'疲劳值&amp;地图信息'!$R$10*$BY$53)</f>
        <v>401</v>
      </c>
      <c r="EF125" s="50">
        <f t="shared" si="144"/>
        <v>0.90310216180303571</v>
      </c>
      <c r="EG125" s="50">
        <f t="shared" si="145"/>
        <v>7.6404149844125316E-2</v>
      </c>
      <c r="EH125" s="50">
        <f t="shared" si="146"/>
        <v>2.0493688352838962E-2</v>
      </c>
      <c r="EI125" s="51">
        <f t="shared" si="147"/>
        <v>18937</v>
      </c>
      <c r="EJ125" s="51">
        <f t="shared" si="148"/>
        <v>2453</v>
      </c>
      <c r="EK125" s="14">
        <f>INT(SUMPRODUCT($U125:$Y125,$BF125:$BJ125)/SUM($BF125:$BJ125)/10000*$BX$7*$BZ$46/'疲劳值&amp;地图信息'!$R$10*$BY$54)</f>
        <v>754</v>
      </c>
      <c r="EL125" s="50">
        <f t="shared" si="149"/>
        <v>0.85517521676300579</v>
      </c>
      <c r="EM125" s="50">
        <f t="shared" si="150"/>
        <v>0.11077492774566473</v>
      </c>
      <c r="EN125" s="50">
        <f t="shared" si="151"/>
        <v>3.4049855491329481E-2</v>
      </c>
      <c r="EO125" s="51">
        <f t="shared" si="152"/>
        <v>20375</v>
      </c>
      <c r="EP125" s="51">
        <f t="shared" si="153"/>
        <v>4249</v>
      </c>
      <c r="EQ125" s="14">
        <f>INT(SUMPRODUCT($AB125:$AF125,$BF125:$BJ125)/SUM($BF125:$BJ125)/10000*$BX$7*$BZ$46/'疲劳值&amp;地图信息'!$R$10*$BY$55)</f>
        <v>1023</v>
      </c>
      <c r="ER125" s="50">
        <f t="shared" si="154"/>
        <v>0.79443989550434746</v>
      </c>
      <c r="ES125" s="50">
        <f t="shared" si="155"/>
        <v>0.16567239833118882</v>
      </c>
      <c r="ET125" s="50">
        <f t="shared" si="156"/>
        <v>3.9887706164463681E-2</v>
      </c>
      <c r="EU125" s="51">
        <f t="shared" si="157"/>
        <v>23229</v>
      </c>
      <c r="EV125" s="51">
        <f t="shared" si="158"/>
        <v>11066</v>
      </c>
      <c r="EW125" s="14">
        <f>INT(SUMPRODUCT($AI125:$AM125,$BF125:$BJ125)/SUM($BF125:$BJ125)/10000*$BX$7*$BZ$46/'疲劳值&amp;地图信息'!$R$10*$BY$56)</f>
        <v>1535</v>
      </c>
      <c r="EX125" s="50">
        <f t="shared" si="159"/>
        <v>0.64831147083449625</v>
      </c>
      <c r="EY125" s="50">
        <f t="shared" si="160"/>
        <v>0.30884733463578007</v>
      </c>
      <c r="EZ125" s="50">
        <f t="shared" si="161"/>
        <v>4.2841194529723695E-2</v>
      </c>
      <c r="FA125" s="51">
        <f t="shared" si="162"/>
        <v>22965</v>
      </c>
      <c r="FB125" s="51">
        <f t="shared" si="163"/>
        <v>21248</v>
      </c>
      <c r="FC125" s="14">
        <f>INT(SUMPRODUCT($AP125:$AT125,$BF125:$BJ125)/SUM($BF125:$BJ125)/10000*$BX$7*$BZ$46/'疲劳值&amp;地图信息'!$R$10*$BY$57)</f>
        <v>2047</v>
      </c>
      <c r="FD125" s="50">
        <f t="shared" si="164"/>
        <v>0.49643320363164722</v>
      </c>
      <c r="FE125" s="50">
        <f t="shared" si="165"/>
        <v>0.4593169044530912</v>
      </c>
      <c r="FF125" s="50">
        <f t="shared" si="166"/>
        <v>4.4249891915261567E-2</v>
      </c>
      <c r="FH125" s="14">
        <f t="shared" si="167"/>
        <v>19567</v>
      </c>
      <c r="FI125" s="14">
        <f t="shared" si="168"/>
        <v>22144</v>
      </c>
      <c r="FJ125" s="14">
        <f t="shared" si="169"/>
        <v>25647</v>
      </c>
      <c r="FK125" s="14">
        <f t="shared" si="170"/>
        <v>35830</v>
      </c>
      <c r="FL125" s="14">
        <f t="shared" si="171"/>
        <v>46260</v>
      </c>
      <c r="FM125" s="14">
        <f t="shared" si="172"/>
        <v>2290588</v>
      </c>
      <c r="FP125" s="14">
        <f t="shared" si="173"/>
        <v>334150</v>
      </c>
      <c r="FQ125" s="50">
        <f t="shared" si="113"/>
        <v>0.12730794464056985</v>
      </c>
      <c r="FS125" s="14">
        <f t="shared" si="174"/>
        <v>2624738</v>
      </c>
      <c r="FX125" s="14">
        <v>120</v>
      </c>
      <c r="FY125" s="51">
        <f t="shared" si="175"/>
        <v>24739</v>
      </c>
      <c r="FZ125" s="51">
        <f t="shared" si="176"/>
        <v>1495</v>
      </c>
      <c r="GA125" s="51">
        <f>INT(SUMPRODUCT($N125:$R125,$BF125:$BJ125)/SUM($BF125:$BJ125)/10000*$BX$7*$BZ$46/'疲劳值&amp;地图信息'!$R$10*$BY$53)</f>
        <v>401</v>
      </c>
      <c r="GB125" s="50">
        <f t="shared" si="177"/>
        <v>0.92881546836868778</v>
      </c>
      <c r="GC125" s="50">
        <f t="shared" si="178"/>
        <v>5.6129153369626435E-2</v>
      </c>
      <c r="GD125" s="50">
        <f t="shared" si="179"/>
        <v>1.5055378261685752E-2</v>
      </c>
      <c r="GE125" s="51">
        <f t="shared" si="180"/>
        <v>26512</v>
      </c>
      <c r="GF125" s="51">
        <f t="shared" si="181"/>
        <v>2453</v>
      </c>
      <c r="GG125" s="14">
        <f>INT(SUMPRODUCT($U125:$Y125,$BF125:$BJ125)/SUM($BF125:$BJ125)/10000*$BX$7*$BZ$46/'疲劳值&amp;地图信息'!$R$10*$BY$54)</f>
        <v>754</v>
      </c>
      <c r="GH125" s="50">
        <f t="shared" si="182"/>
        <v>0.89208923584239042</v>
      </c>
      <c r="GI125" s="50">
        <f t="shared" si="183"/>
        <v>8.253978936034187E-2</v>
      </c>
      <c r="GJ125" s="50">
        <f t="shared" si="184"/>
        <v>2.5370974797267742E-2</v>
      </c>
      <c r="GK125" s="51">
        <f t="shared" si="185"/>
        <v>28525</v>
      </c>
      <c r="GL125" s="51">
        <f t="shared" si="186"/>
        <v>4249</v>
      </c>
      <c r="GM125" s="14">
        <f>INT(SUMPRODUCT($AB125:$AF125,$BF125:$BJ125)/SUM($BF125:$BJ125)/10000*$BX$7*$BZ$46/'疲劳值&amp;地图信息'!$R$10*$BY$55)</f>
        <v>1023</v>
      </c>
      <c r="GN125" s="50">
        <f t="shared" si="187"/>
        <v>0.84400982335710273</v>
      </c>
      <c r="GO125" s="50">
        <f t="shared" si="188"/>
        <v>0.12572121785957333</v>
      </c>
      <c r="GP125" s="50">
        <f t="shared" si="189"/>
        <v>3.0268958783323963E-2</v>
      </c>
      <c r="GQ125" s="51">
        <f t="shared" si="190"/>
        <v>32521</v>
      </c>
      <c r="GR125" s="51">
        <f t="shared" si="191"/>
        <v>11066</v>
      </c>
      <c r="GS125" s="14">
        <f>INT(SUMPRODUCT($AI125:$AM125,$BF125:$BJ125)/SUM($BF125:$BJ125)/10000*$BX$7*$BZ$46/'疲劳值&amp;地图信息'!$R$10*$BY$56)</f>
        <v>1535</v>
      </c>
      <c r="GT125" s="50">
        <f t="shared" si="192"/>
        <v>0.72073489650281464</v>
      </c>
      <c r="GU125" s="50">
        <f t="shared" si="193"/>
        <v>0.24524622135543636</v>
      </c>
      <c r="GV125" s="50">
        <f t="shared" si="194"/>
        <v>3.4018882141749036E-2</v>
      </c>
      <c r="GW125" s="51">
        <f t="shared" si="195"/>
        <v>32151</v>
      </c>
      <c r="GX125" s="51">
        <f t="shared" si="196"/>
        <v>21248</v>
      </c>
      <c r="GY125" s="14">
        <f>INT(SUMPRODUCT($AP125:$AT125,$BF125:$BJ125)/SUM($BF125:$BJ125)/10000*$BX$7*$BZ$46/'疲劳值&amp;地图信息'!$R$10*$BY$57)</f>
        <v>2047</v>
      </c>
      <c r="GZ125" s="50">
        <f t="shared" si="197"/>
        <v>0.57986148685207228</v>
      </c>
      <c r="HA125" s="50">
        <f t="shared" si="198"/>
        <v>0.38321970926667387</v>
      </c>
      <c r="HB125" s="50">
        <f t="shared" si="199"/>
        <v>3.6918803881253834E-2</v>
      </c>
      <c r="HD125" s="14">
        <f t="shared" si="200"/>
        <v>26635</v>
      </c>
      <c r="HE125" s="14">
        <f t="shared" si="201"/>
        <v>29719</v>
      </c>
      <c r="HF125" s="14">
        <f t="shared" si="202"/>
        <v>33797</v>
      </c>
      <c r="HG125" s="14">
        <f t="shared" si="203"/>
        <v>45122</v>
      </c>
      <c r="HH125" s="14">
        <f t="shared" si="204"/>
        <v>55446</v>
      </c>
      <c r="HI125" s="14">
        <f t="shared" si="205"/>
        <v>3070813</v>
      </c>
      <c r="HL125" s="14">
        <f t="shared" si="206"/>
        <v>430050</v>
      </c>
      <c r="HM125" s="50">
        <f t="shared" si="114"/>
        <v>0.12284113945618552</v>
      </c>
      <c r="HO125" s="14">
        <f t="shared" si="207"/>
        <v>3500863</v>
      </c>
    </row>
    <row r="126" spans="11:223" x14ac:dyDescent="0.2">
      <c r="K126" s="14">
        <v>121</v>
      </c>
      <c r="L126" s="12">
        <f>求节点(节奏总纲!D$4:D$163,标准城池设计!AB$4:AB$163,$K126)*求节点(节奏总纲!D$4:D$163,攻城基础信息!$AC$5:$AC$164,$K126)</f>
        <v>521962.52651225298</v>
      </c>
      <c r="M126" s="12">
        <f>INDEX(其他调用!$AA$5:$AA$404,MATCH(K126,其他调用!$X$5:$X$404,0))*MIN(INDEX(其他调用!$AH$5:$AH$364,MATCH('征服点（新）'!K126,其他调用!$AG$5:$AG$364,0),1)/INDEX(其他调用!$AJ$5:$AJ$364,MATCH(K126,其他调用!$AG$5:$AG$364,0),0),5)*求节点(节奏总纲!D$4:D$163,攻城基础信息!$AC$5:$AC$164,$K126)</f>
        <v>44105.304803171792</v>
      </c>
      <c r="N126" s="12">
        <f>MIN(INDEX(其他调用!$AH$5:$AH$364,MATCH($K126,其他调用!$AG$5:$AG$364,0),1)/INDEX(其他调用!AH$5:AH$364,MATCH($K126,其他调用!$AG$5:$AG$364,0),0),1)*INDEX(其他调用!Y$5:Y$404,MATCH($K126,其他调用!$X$5:$X$404,0),0)</f>
        <v>37238.600755920022</v>
      </c>
      <c r="O126" s="12">
        <f>MIN(INDEX(其他调用!$AH$5:$AH$364,MATCH($K126,其他调用!$AG$5:$AG$364,0),1)/INDEX(其他调用!AI$5:AI$364,MATCH($K126,其他调用!$AG$5:$AG$364,0),0),1)*INDEX(其他调用!Z$5:Z$404,MATCH($K126,其他调用!$X$5:$X$404,0),0)</f>
        <v>23379.812871138853</v>
      </c>
      <c r="P126" s="12">
        <f>MIN(INDEX(其他调用!$AH$5:$AH$364,MATCH($K126,其他调用!$AG$5:$AG$364,0),1)/INDEX(其他调用!AJ$5:AJ$364,MATCH($K126,其他调用!$AG$5:$AG$364,0),0),1)*INDEX(其他调用!AA$5:AA$404,MATCH($K126,其他调用!$X$5:$X$404,0),0)</f>
        <v>14031.375872249742</v>
      </c>
      <c r="Q126" s="12">
        <f>MIN(INDEX(其他调用!$AH$5:$AH$364,MATCH($K126,其他调用!$AG$5:$AG$364,0),1)/INDEX(其他调用!AK$5:AK$364,MATCH($K126,其他调用!$AG$5:$AG$364,0),0),1)*INDEX(其他调用!AB$5:AB$404,MATCH($K126,其他调用!$X$5:$X$404,0),0)</f>
        <v>5673.9613825878705</v>
      </c>
      <c r="R126" s="12">
        <f>MIN(INDEX(其他调用!$AH$5:$AH$364,MATCH($K126,其他调用!$AG$5:$AG$364,0),1)/INDEX(其他调用!AL$5:AL$364,MATCH($K126,其他调用!$AG$5:$AG$364,0),0),1)*INDEX(其他调用!AC$5:AC$404,MATCH($K126,其他调用!$X$5:$X$404,0),0)</f>
        <v>1801.3968286620027</v>
      </c>
      <c r="S126" s="12">
        <f>求节点(节奏总纲!D$4:D$163,标准城池设计!AC$4:AC$163,$K126)*求节点(节奏总纲!D$4:D$163,攻城基础信息!$AD$5:$AD$164,$K126)</f>
        <v>559492.69769385399</v>
      </c>
      <c r="T126" s="12">
        <f>INDEX(其他调用!$AA$5:$AA$404,MATCH($K126,其他调用!$X$5:$X$404,0))*MIN(INDEX(其他调用!AI$5:AI$364,MATCH($K126,其他调用!$AG$5:$AG$364,0),1)/INDEX(其他调用!$AJ$5:$AJ$364,MATCH($K126,其他调用!$AG$5:$AG$364,0),0),5)*求节点(节奏总纲!D$4:D$163,攻城基础信息!$AD$5:$AD$164,$K126)</f>
        <v>72409.846722678994</v>
      </c>
      <c r="U126" s="12">
        <f>MIN(INDEX(其他调用!$AI$5:$AI$364,MATCH($K126,其他调用!$AG$5:$AG$364,0),1)/INDEX(其他调用!AH$5:AH$364,MATCH($K126,其他调用!$AG$5:$AG$364,0),0),1)*INDEX(其他调用!Y$5:Y$404,MATCH($K126,其他调用!$X$5:$X$404,0),0)</f>
        <v>37238.600755920022</v>
      </c>
      <c r="V126" s="12">
        <f>MIN(INDEX(其他调用!$AI$5:$AI$364,MATCH($K126,其他调用!$AG$5:$AG$364,0),1)/INDEX(其他调用!AI$5:AI$364,MATCH($K126,其他调用!$AG$5:$AG$364,0),0),1)*INDEX(其他调用!Z$5:Z$404,MATCH($K126,其他调用!$X$5:$X$404,0),0)</f>
        <v>38383.78793569377</v>
      </c>
      <c r="W126" s="12">
        <f>MIN(INDEX(其他调用!$AI$5:$AI$364,MATCH($K126,其他调用!$AG$5:$AG$364,0),1)/INDEX(其他调用!AJ$5:AJ$364,MATCH($K126,其他调用!$AG$5:$AG$364,0),0),1)*INDEX(其他调用!AA$5:AA$404,MATCH($K126,其他调用!$X$5:$X$404,0),0)</f>
        <v>23035.999428006104</v>
      </c>
      <c r="X126" s="12">
        <f>MIN(INDEX(其他调用!$AI$5:$AI$364,MATCH($K126,其他调用!$AG$5:$AG$364,0),1)/INDEX(其他调用!AK$5:AK$364,MATCH($K126,其他调用!$AG$5:$AG$364,0),0),1)*INDEX(其他调用!AB$5:AB$404,MATCH($K126,其他调用!$X$5:$X$404,0),0)</f>
        <v>9315.2212836321123</v>
      </c>
      <c r="Y126" s="12">
        <f>MIN(INDEX(其他调用!$AI$5:$AI$364,MATCH($K126,其他调用!$AG$5:$AG$364,0),1)/INDEX(其他调用!AL$5:AL$364,MATCH($K126,其他调用!$AG$5:$AG$364,0),0),1)*INDEX(其他调用!AC$5:AC$404,MATCH($K126,其他调用!$X$5:$X$404,0),0)</f>
        <v>2957.4417143752576</v>
      </c>
      <c r="Z126" s="12">
        <f>求节点(节奏总纲!D$4:D$163,标准城池设计!AD$4:AD$163,$K126)*求节点(节奏总纲!D$4:D$163,攻城基础信息!$AE$5:$AE$164,$K126)</f>
        <v>601817.49092669622</v>
      </c>
      <c r="AA126" s="12">
        <f>INDEX(其他调用!$AA$5:$AA$404,MATCH($K126,其他调用!$X$5:$X$404,0))*MIN(INDEX(其他调用!AJ$5:AJ$364,MATCH($K126,其他调用!$AG$5:$AG$364,0),1)/INDEX(其他调用!$AJ$5:$AJ$364,MATCH($K126,其他调用!$AG$5:$AG$364,0),0),5)*求节点(节奏总纲!D$4:D$163,攻城基础信息!$AE$5:$AE$164,$K126)</f>
        <v>125408.58907416492</v>
      </c>
      <c r="AB126" s="12">
        <f>MIN(INDEX(其他调用!$AJ$5:$AJ$364,MATCH($K126,其他调用!$AG$5:$AG$364,0),1)/INDEX(其他调用!AH$5:AH$364,MATCH($K126,其他调用!$AG$5:$AG$364,0),0),1)*INDEX(其他调用!Y$5:Y$404,MATCH($K126,其他调用!$X$5:$X$404,0),0)</f>
        <v>37238.600755920022</v>
      </c>
      <c r="AC126" s="12">
        <f>MIN(INDEX(其他调用!$AJ$5:$AJ$364,MATCH($K126,其他调用!$AG$5:$AG$364,0),1)/INDEX(其他调用!AI$5:AI$364,MATCH($K126,其他调用!$AG$5:$AG$364,0),0),1)*INDEX(其他调用!Z$5:Z$404,MATCH($K126,其他调用!$X$5:$X$404,0),0)</f>
        <v>38383.78793569377</v>
      </c>
      <c r="AD126" s="12">
        <f>MIN(INDEX(其他调用!$AJ$5:$AJ$364,MATCH($K126,其他调用!$AG$5:$AG$364,0),1)/INDEX(其他调用!AJ$5:AJ$364,MATCH($K126,其他调用!$AG$5:$AG$364,0),0),1)*INDEX(其他调用!AA$5:AA$404,MATCH($K126,其他调用!$X$5:$X$404,0),0)</f>
        <v>39896.675893317406</v>
      </c>
      <c r="AE126" s="12">
        <f>MIN(INDEX(其他调用!$AJ$5:$AJ$364,MATCH($K126,其他调用!$AG$5:$AG$364,0),1)/INDEX(其他调用!AK$5:AK$364,MATCH($K126,其他调用!$AG$5:$AG$364,0),0),1)*INDEX(其他调用!AB$5:AB$404,MATCH($K126,其他调用!$X$5:$X$404,0),0)</f>
        <v>16133.28588538564</v>
      </c>
      <c r="AF126" s="12">
        <f>MIN(INDEX(其他调用!$AJ$5:$AJ$364,MATCH($K126,其他调用!$AG$5:$AG$364,0),1)/INDEX(其他调用!AL$5:AL$364,MATCH($K126,其他调用!$AG$5:$AG$364,0),0),1)*INDEX(其他调用!AC$5:AC$404,MATCH($K126,其他调用!$X$5:$X$404,0),0)</f>
        <v>5122.0739920820324</v>
      </c>
      <c r="AG126" s="12">
        <f>求节点(节奏总纲!D$4:D$163,标准城池设计!AE$4:AE$163,$K126)*求节点(节奏总纲!D$4:D$163,攻城基础信息!$AF$5:$AF$164,$K126)</f>
        <v>686341.95986099588</v>
      </c>
      <c r="AH126" s="12">
        <f>INDEX(其他调用!$AA$5:$AA$404,MATCH($K126,其他调用!$X$5:$X$404,0))*MIN(INDEX(其他调用!AK$5:AK$364,MATCH($K126,其他调用!$AG$5:$AG$364,0),1)/INDEX(其他调用!$AJ$5:$AJ$364,MATCH($K126,其他调用!$AG$5:$AG$364,0),0),5)*求节点(节奏总纲!D$4:D$163,攻城基础信息!$AF$5:$AF$164,$K126)</f>
        <v>327063.09446828888</v>
      </c>
      <c r="AI126" s="12">
        <f>MIN(INDEX(其他调用!$AK$5:$AK$364,MATCH($K126,其他调用!$AG$5:$AG$364,0),1)/INDEX(其他调用!AH$5:AH$364,MATCH($K126,其他调用!$AG$5:$AG$364,0),0),1)*INDEX(其他调用!Y$5:Y$404,MATCH($K126,其他调用!$X$5:$X$404,0),0)</f>
        <v>37238.600755920022</v>
      </c>
      <c r="AJ126" s="12">
        <f>MIN(INDEX(其他调用!$AK$5:$AK$364,MATCH($K126,其他调用!$AG$5:$AG$364,0),1)/INDEX(其他调用!AI$5:AI$364,MATCH($K126,其他调用!$AG$5:$AG$364,0),0),1)*INDEX(其他调用!Z$5:Z$404,MATCH($K126,其他调用!$X$5:$X$404,0),0)</f>
        <v>38383.78793569377</v>
      </c>
      <c r="AK126" s="12">
        <f>MIN(INDEX(其他调用!$AK$5:$AK$364,MATCH($K126,其他调用!$AG$5:$AG$364,0),1)/INDEX(其他调用!AJ$5:AJ$364,MATCH($K126,其他调用!$AG$5:$AG$364,0),0),1)*INDEX(其他调用!AA$5:AA$404,MATCH($K126,其他调用!$X$5:$X$404,0),0)</f>
        <v>39896.675893317406</v>
      </c>
      <c r="AL126" s="12">
        <f>MIN(INDEX(其他调用!$AK$5:$AK$364,MATCH($K126,其他调用!$AG$5:$AG$364,0),1)/INDEX(其他调用!AK$5:AK$364,MATCH($K126,其他调用!$AG$5:$AG$364,0),0),1)*INDEX(其他调用!AB$5:AB$404,MATCH($K126,其他调用!$X$5:$X$404,0),0)</f>
        <v>42075.287223710693</v>
      </c>
      <c r="AM126" s="12">
        <f>MIN(INDEX(其他调用!$AK$5:$AK$364,MATCH($K126,其他调用!$AG$5:$AG$364,0),1)/INDEX(其他调用!AL$5:AL$364,MATCH($K126,其他调用!$AG$5:$AG$364,0),0),1)*INDEX(其他调用!AC$5:AC$404,MATCH($K126,其他调用!$X$5:$X$404,0),0)</f>
        <v>13358.266625224345</v>
      </c>
      <c r="AN126" s="12">
        <f>求节点(节奏总纲!D$4:D$163,标准城池设计!AF$4:AF$163,$K126)*求节点(节奏总纲!D$4:D$163,攻城基础信息!$AG$5:$AG$164,$K126)</f>
        <v>679015.03852520406</v>
      </c>
      <c r="AO126" s="12">
        <f>INDEX(其他调用!$AA$5:$AA$404,MATCH($K126,其他调用!$X$5:$X$404,0))*MIN(INDEX(其他调用!AL$5:AL$364,MATCH($K126,其他调用!$AG$5:$AG$364,0),1)/INDEX(其他调用!$AJ$5:$AJ$364,MATCH($K126,其他调用!$AG$5:$AG$364,0),0),5)*求节点(节奏总纲!D$4:D$163,攻城基础信息!$AG$5:$AG$164,$K126)</f>
        <v>627042.94537082466</v>
      </c>
      <c r="AP126" s="12">
        <f>MIN(INDEX(其他调用!$AL$5:$AL$364,MATCH($K126,其他调用!$AG$5:$AG$364,0),1)/INDEX(其他调用!AH$5:AH$364,MATCH($K126,其他调用!$AG$5:$AG$364,0),0),1)*INDEX(其他调用!Y$5:Y$404,MATCH($K126,其他调用!$X$5:$X$404,0),0)</f>
        <v>37238.600755920022</v>
      </c>
      <c r="AQ126" s="12">
        <f>MIN(INDEX(其他调用!$AL$5:$AL$364,MATCH($K126,其他调用!$AG$5:$AG$364,0),1)/INDEX(其他调用!AI$5:AI$364,MATCH($K126,其他调用!$AG$5:$AG$364,0),0),1)*INDEX(其他调用!Z$5:Z$404,MATCH($K126,其他调用!$X$5:$X$404,0),0)</f>
        <v>38383.78793569377</v>
      </c>
      <c r="AR126" s="12">
        <f>MIN(INDEX(其他调用!$AL$5:$AL$364,MATCH($K126,其他调用!$AG$5:$AG$364,0),1)/INDEX(其他调用!AJ$5:AJ$364,MATCH($K126,其他调用!$AG$5:$AG$364,0),0),1)*INDEX(其他调用!AA$5:AA$404,MATCH($K126,其他调用!$X$5:$X$404,0),0)</f>
        <v>39896.675893317406</v>
      </c>
      <c r="AS126" s="12">
        <f>MIN(INDEX(其他调用!$AL$5:$AL$364,MATCH($K126,其他调用!$AG$5:$AG$364,0),1)/INDEX(其他调用!AK$5:AK$364,MATCH($K126,其他调用!$AG$5:$AG$364,0),0),1)*INDEX(其他调用!AB$5:AB$404,MATCH($K126,其他调用!$X$5:$X$404,0),0)</f>
        <v>42075.287223710693</v>
      </c>
      <c r="AT126" s="12">
        <f>MIN(INDEX(其他调用!$AL$5:$AL$364,MATCH($K126,其他调用!$AG$5:$AG$364,0),1)/INDEX(其他调用!AL$5:AL$364,MATCH($K126,其他调用!$AG$5:$AG$364,0),0),1)*INDEX(其他调用!AC$5:AC$404,MATCH($K126,其他调用!$X$5:$X$404,0),0)</f>
        <v>45969.599098231876</v>
      </c>
      <c r="AV126" s="14">
        <f>IF(OR(AV$5="大R",AV$5="超R"),MAX(INDEX(其他调用!$H$5:$L$404,MATCH($K126,其他调用!$B$5:$B$404,0),MATCH(AV$5,其他调用!$H$4:$L$4,0))*120*0.85,2),INDEX(其他调用!$H$5:$L$404,MATCH($K126,其他调用!$B$5:$B$404,0),MATCH(AV$5,其他调用!$H$4:$L$4,0))*120*0.85)</f>
        <v>48.921801254999991</v>
      </c>
      <c r="AW126" s="14">
        <f>IF(OR(AW$5="大R",AW$5="超R"),MAX(INDEX(其他调用!$H$5:$L$404,MATCH($K126,其他调用!$B$5:$B$404,0),MATCH(AW$5,其他调用!$H$4:$L$4,0))*120*0.85,2),INDEX(其他调用!$H$5:$L$404,MATCH($K126,其他调用!$B$5:$B$404,0),MATCH(AW$5,其他调用!$H$4:$L$4,0))*120*0.85)</f>
        <v>48.237344010638395</v>
      </c>
      <c r="AX126" s="14">
        <f>IF(OR(AX$5="大R",AX$5="超R"),MAX(INDEX(其他调用!$H$5:$L$404,MATCH($K126,其他调用!$B$5:$B$404,0),MATCH(AX$5,其他调用!$H$4:$L$4,0))*120*0.85,2),INDEX(其他调用!$H$5:$L$404,MATCH($K126,其他调用!$B$5:$B$404,0),MATCH(AX$5,其他调用!$H$4:$L$4,0))*120*0.85)</f>
        <v>3.9376284143615998</v>
      </c>
      <c r="AY126" s="14">
        <f>IF(OR(AY$5="大R",AY$5="超R"),MAX(INDEX(其他调用!$H$5:$L$404,MATCH($K126,其他调用!$B$5:$B$404,0),MATCH(AY$5,其他调用!$H$4:$L$4,0))*120*0.85,2),INDEX(其他调用!$H$5:$L$404,MATCH($K126,其他调用!$B$5:$B$404,0),MATCH(AY$5,其他调用!$H$4:$L$4,0))*120*0.85)</f>
        <v>2</v>
      </c>
      <c r="AZ126" s="14">
        <f>IF(OR(AZ$5="大R",AZ$5="超R"),MAX(INDEX(其他调用!$H$5:$L$404,MATCH($K126,其他调用!$B$5:$B$404,0),MATCH(AZ$5,其他调用!$H$4:$L$4,0))*120*0.85,2),INDEX(其他调用!$H$5:$L$404,MATCH($K126,其他调用!$B$5:$B$404,0),MATCH(AZ$5,其他调用!$H$4:$L$4,0))*120*0.85)</f>
        <v>2</v>
      </c>
      <c r="BA126" s="14">
        <f>INDEX(其他调用!$H$5:$L$404,MATCH($K126,其他调用!$B$5:$B$404,0),MATCH(BA$5,其他调用!$H$4:$L$4,0))*INDEX(其他调用!$M$5:$M$404,MATCH($K126,其他调用!$B$5:$B$404,0))*0.6</f>
        <v>28.777530149999997</v>
      </c>
      <c r="BB126" s="14">
        <f>INDEX(其他调用!$H$5:$L$404,MATCH($K126,其他调用!$B$5:$B$404,0),MATCH(BB$5,其他调用!$H$4:$L$4,0))*INDEX(其他调用!$M$5:$M$404,MATCH($K126,其他调用!$B$5:$B$404,0))*0.6</f>
        <v>28.374908241551999</v>
      </c>
      <c r="BC126" s="14">
        <f>INDEX(其他调用!$H$5:$L$404,MATCH($K126,其他调用!$B$5:$B$404,0),MATCH(BC$5,其他调用!$H$4:$L$4,0))*INDEX(其他调用!$M$5:$M$404,MATCH($K126,其他调用!$B$5:$B$404,0))*0.6</f>
        <v>2.3162520084480001</v>
      </c>
      <c r="BD126" s="14">
        <f>INDEX(其他调用!$H$5:$L$404,MATCH($K126,其他调用!$B$5:$B$404,0),MATCH(BD$5,其他调用!$H$4:$L$4,0))*INDEX(其他调用!$M$5:$M$404,MATCH($K126,其他调用!$B$5:$B$404,0))*0.6</f>
        <v>0.4120776000000001</v>
      </c>
      <c r="BE126" s="14">
        <f>INDEX(其他调用!$H$5:$L$404,MATCH($K126,其他调用!$B$5:$B$404,0),MATCH(BE$5,其他调用!$H$4:$L$4,0))*INDEX(其他调用!$M$5:$M$404,MATCH($K126,其他调用!$B$5:$B$404,0))*0.6</f>
        <v>0.11923199999999998</v>
      </c>
      <c r="BF126" s="14">
        <f>IF(OR(BF$5="大R",BF$5="超R"),0,INDEX(其他调用!$H$5:$L$404,MATCH($K126,其他调用!$B$5:$B$404,0),MATCH(BF$5,其他调用!$H$4:$L$4,0))*50*0.4)</f>
        <v>9.5925100500000013</v>
      </c>
      <c r="BG126" s="14">
        <f>IF(OR(BG$5="大R",BG$5="超R"),0,INDEX(其他调用!$H$5:$L$404,MATCH($K126,其他调用!$B$5:$B$404,0),MATCH(BG$5,其他调用!$H$4:$L$4,0))*50*0.4)</f>
        <v>9.4583027471839998</v>
      </c>
      <c r="BH126" s="14">
        <f>IF(OR(BH$5="大R",BH$5="超R"),0,INDEX(其他调用!$H$5:$L$404,MATCH($K126,其他调用!$B$5:$B$404,0),MATCH(BH$5,其他调用!$H$4:$L$4,0))*50*0.4)</f>
        <v>0.77208400281600009</v>
      </c>
      <c r="BI126" s="14">
        <f>IF(OR(BI$5="大R",BI$5="超R"),0,INDEX(其他调用!$H$5:$L$404,MATCH($K126,其他调用!$B$5:$B$404,0),MATCH(BI$5,其他调用!$H$4:$L$4,0))*50*0.4)</f>
        <v>0</v>
      </c>
      <c r="BJ126" s="14">
        <f>IF(OR(BJ$5="大R",BJ$5="超R"),0,INDEX(其他调用!$H$5:$L$404,MATCH($K126,其他调用!$B$5:$B$404,0),MATCH(BJ$5,其他调用!$H$4:$L$4,0))*50*0.4)</f>
        <v>0</v>
      </c>
      <c r="BL126" s="14">
        <f t="shared" si="208"/>
        <v>121</v>
      </c>
      <c r="BM126" s="14">
        <f t="shared" si="115"/>
        <v>96</v>
      </c>
      <c r="BN126" s="14">
        <f>('疲劳值&amp;地图信息'!$S$10*'疲劳值&amp;地图信息'!$R$10+'疲劳值&amp;地图信息'!$S$11*'疲劳值&amp;地图信息'!$R$11+'疲劳值&amp;地图信息'!$S$12*'疲劳值&amp;地图信息'!$R$12+(BM126-'疲劳值&amp;地图信息'!$S$12-'疲劳值&amp;地图信息'!$S$11-'疲劳值&amp;地图信息'!$S$10)*'疲劳值&amp;地图信息'!$R$13)/BM126</f>
        <v>51.371477246638619</v>
      </c>
      <c r="BO126" s="14">
        <f>INDEX(其他调用!$M$5:$M$404,MATCH(BL126,其他调用!$B$5:$B$404,0))*0.6</f>
        <v>60</v>
      </c>
      <c r="BP126" s="14">
        <f>IF(BO126&gt;SUM('疲劳值&amp;地图信息'!$S$10:$S$12),('疲劳值&amp;地图信息'!$S$10*'疲劳值&amp;地图信息'!$R$10+'疲劳值&amp;地图信息'!$S$11*'疲劳值&amp;地图信息'!$R$11+'疲劳值&amp;地图信息'!$S$12*'疲劳值&amp;地图信息'!$R$12+(BO126-'疲劳值&amp;地图信息'!$S$12-'疲劳值&amp;地图信息'!$S$11-'疲劳值&amp;地图信息'!$S$10)*'疲劳值&amp;地图信息'!$R$13)/BO126,('疲劳值&amp;地图信息'!$S$10*'疲劳值&amp;地图信息'!$R$10+'疲劳值&amp;地图信息'!$S$11*'疲劳值&amp;地图信息'!$R$11+'疲劳值&amp;地图信息'!$S$12*'疲劳值&amp;地图信息'!$R$12+(BO126-'疲劳值&amp;地图信息'!$S$12-'疲劳值&amp;地图信息'!$S$11-'疲劳值&amp;地图信息'!$S$10)*'疲劳值&amp;地图信息'!$R$13)/BO126)</f>
        <v>44.158136341605953</v>
      </c>
      <c r="BQ126" s="14">
        <f t="shared" si="209"/>
        <v>20</v>
      </c>
      <c r="BR126" s="14">
        <f>('疲劳值&amp;地图信息'!$S$10*'疲劳值&amp;地图信息'!$R$10+($BQ126-'疲劳值&amp;地图信息'!$S$10)*'疲劳值&amp;地图信息'!$R$11)/$BQ126</f>
        <v>32.067203015074995</v>
      </c>
      <c r="CF126" s="14">
        <v>121</v>
      </c>
      <c r="CG126" s="51">
        <f t="shared" si="116"/>
        <v>10638</v>
      </c>
      <c r="CH126" s="51">
        <f t="shared" si="117"/>
        <v>898</v>
      </c>
      <c r="CI126" s="51">
        <f>INT(SUMPRODUCT($N126:$R126,$BA126:$BE126)/SUM($BA126:$BE126)/10000*$BX$7*$BZ$34/'疲劳值&amp;地图信息'!$R$10*$BY$53)</f>
        <v>2993</v>
      </c>
      <c r="CJ126" s="50">
        <f t="shared" si="118"/>
        <v>0.73219079083212879</v>
      </c>
      <c r="CK126" s="50">
        <f t="shared" si="119"/>
        <v>6.1807419643471674E-2</v>
      </c>
      <c r="CL126" s="50">
        <f t="shared" si="120"/>
        <v>0.20600178952439949</v>
      </c>
      <c r="CM126" s="14">
        <f t="shared" si="121"/>
        <v>11403</v>
      </c>
      <c r="CN126" s="14">
        <f t="shared" si="122"/>
        <v>1475</v>
      </c>
      <c r="CO126" s="14">
        <f>INT(SUMPRODUCT($U126:$Y126,$BA126:$BE126)/SUM($BA126:$BE126)/10000*$BX$7*$BZ$34/'疲劳值&amp;地图信息'!$R$10*$BY$54)</f>
        <v>5627</v>
      </c>
      <c r="CP126" s="50">
        <f t="shared" si="123"/>
        <v>0.61621183463928664</v>
      </c>
      <c r="CQ126" s="50">
        <f t="shared" si="124"/>
        <v>7.9708186976492845E-2</v>
      </c>
      <c r="CR126" s="50">
        <f t="shared" si="125"/>
        <v>0.30407997838422046</v>
      </c>
      <c r="CS126" s="14">
        <f t="shared" si="126"/>
        <v>12265</v>
      </c>
      <c r="CT126" s="14">
        <f t="shared" si="127"/>
        <v>2555</v>
      </c>
      <c r="CU126" s="14">
        <f>INT(SUMPRODUCT($AB126:$AF126,$BA126:$BE126)/SUM($BA126:$BE126)/10000*$BX$7*$BZ$34/'疲劳值&amp;地图信息'!$R$10*$BY$55)</f>
        <v>7645</v>
      </c>
      <c r="CV126" s="50">
        <f t="shared" si="128"/>
        <v>0.54596038281771642</v>
      </c>
      <c r="CW126" s="50">
        <f t="shared" si="129"/>
        <v>0.11373247273536613</v>
      </c>
      <c r="CX126" s="50">
        <f t="shared" si="130"/>
        <v>0.34030714444691745</v>
      </c>
      <c r="CY126" s="14">
        <f t="shared" si="131"/>
        <v>13988</v>
      </c>
      <c r="CZ126" s="14">
        <f t="shared" si="132"/>
        <v>6665</v>
      </c>
      <c r="DA126" s="14">
        <f>INT(SUMPRODUCT($AI126:$AM126,$BA126:$BE126)/SUM($BA126:$BE126)/10000*$BX$7*$BZ$34/'疲劳值&amp;地图信息'!$R$10*$BY$56)</f>
        <v>11527</v>
      </c>
      <c r="DB126" s="50">
        <f t="shared" si="133"/>
        <v>0.43467992541951522</v>
      </c>
      <c r="DC126" s="50">
        <f t="shared" si="134"/>
        <v>0.20711622125543816</v>
      </c>
      <c r="DD126" s="50">
        <f t="shared" si="135"/>
        <v>0.35820385332504662</v>
      </c>
      <c r="DE126" s="14">
        <f t="shared" si="136"/>
        <v>13839</v>
      </c>
      <c r="DF126" s="14">
        <f t="shared" si="137"/>
        <v>12779</v>
      </c>
      <c r="DG126" s="14">
        <f>INT(SUMPRODUCT($AP126:$AT126,$BA126:$BE126)/SUM($BA126:$BE126)/10000*$BX$7*$BZ$34/'疲劳值&amp;地图信息'!$R$10*$BY$57)</f>
        <v>15395</v>
      </c>
      <c r="DH126" s="50">
        <f t="shared" si="138"/>
        <v>0.32939804346273771</v>
      </c>
      <c r="DI126" s="50">
        <f t="shared" si="139"/>
        <v>0.30416775759883846</v>
      </c>
      <c r="DJ126" s="50">
        <f t="shared" si="140"/>
        <v>0.36643419893842383</v>
      </c>
      <c r="DL126" s="14">
        <f t="shared" si="211"/>
        <v>14529</v>
      </c>
      <c r="DM126" s="14">
        <f t="shared" si="212"/>
        <v>18505</v>
      </c>
      <c r="DN126" s="14">
        <f t="shared" si="213"/>
        <v>22465</v>
      </c>
      <c r="DO126" s="14">
        <f t="shared" si="214"/>
        <v>32180</v>
      </c>
      <c r="DP126" s="14">
        <f t="shared" si="215"/>
        <v>42013</v>
      </c>
      <c r="DQ126" s="14">
        <f t="shared" si="216"/>
        <v>1013490</v>
      </c>
      <c r="DT126" s="14">
        <f t="shared" si="210"/>
        <v>235575</v>
      </c>
      <c r="DU126" s="50">
        <f t="shared" si="112"/>
        <v>0.18860107360305509</v>
      </c>
      <c r="DW126" s="14">
        <f t="shared" si="141"/>
        <v>1249065</v>
      </c>
      <c r="EB126" s="14">
        <v>121</v>
      </c>
      <c r="EC126" s="51">
        <f t="shared" si="142"/>
        <v>17730</v>
      </c>
      <c r="ED126" s="51">
        <f t="shared" si="143"/>
        <v>1498</v>
      </c>
      <c r="EE126" s="51">
        <f>INT(SUMPRODUCT($N126:$R126,$BF126:$BJ126)/SUM($BF126:$BJ126)/10000*$BX$7*$BZ$46/'疲劳值&amp;地图信息'!$R$10*$BY$53)</f>
        <v>402</v>
      </c>
      <c r="EF126" s="50">
        <f t="shared" si="144"/>
        <v>0.90320937340804885</v>
      </c>
      <c r="EG126" s="50">
        <f t="shared" si="145"/>
        <v>7.6311767702496175E-2</v>
      </c>
      <c r="EH126" s="50">
        <f t="shared" si="146"/>
        <v>2.0478858889454915E-2</v>
      </c>
      <c r="EI126" s="51">
        <f t="shared" si="147"/>
        <v>19005</v>
      </c>
      <c r="EJ126" s="51">
        <f t="shared" si="148"/>
        <v>2459</v>
      </c>
      <c r="EK126" s="14">
        <f>INT(SUMPRODUCT($U126:$Y126,$BF126:$BJ126)/SUM($BF126:$BJ126)/10000*$BX$7*$BZ$46/'疲劳值&amp;地图信息'!$R$10*$BY$54)</f>
        <v>755</v>
      </c>
      <c r="EL126" s="50">
        <f t="shared" si="149"/>
        <v>0.85534902560871329</v>
      </c>
      <c r="EM126" s="50">
        <f t="shared" si="150"/>
        <v>0.11067104730185877</v>
      </c>
      <c r="EN126" s="50">
        <f t="shared" si="151"/>
        <v>3.3979927089427965E-2</v>
      </c>
      <c r="EO126" s="51">
        <f t="shared" si="152"/>
        <v>20443</v>
      </c>
      <c r="EP126" s="51">
        <f t="shared" si="153"/>
        <v>4259</v>
      </c>
      <c r="EQ126" s="14">
        <f>INT(SUMPRODUCT($AB126:$AF126,$BF126:$BJ126)/SUM($BF126:$BJ126)/10000*$BX$7*$BZ$46/'疲劳值&amp;地图信息'!$R$10*$BY$55)</f>
        <v>1025</v>
      </c>
      <c r="ER126" s="50">
        <f t="shared" si="154"/>
        <v>0.79461266373848483</v>
      </c>
      <c r="ES126" s="50">
        <f t="shared" si="155"/>
        <v>0.16554592451510086</v>
      </c>
      <c r="ET126" s="50">
        <f t="shared" si="156"/>
        <v>3.9841411746414271E-2</v>
      </c>
      <c r="EU126" s="51">
        <f t="shared" si="157"/>
        <v>23314</v>
      </c>
      <c r="EV126" s="51">
        <f t="shared" si="158"/>
        <v>11109</v>
      </c>
      <c r="EW126" s="14">
        <f>INT(SUMPRODUCT($AI126:$AM126,$BF126:$BJ126)/SUM($BF126:$BJ126)/10000*$BX$7*$BZ$46/'疲劳值&amp;地图信息'!$R$10*$BY$56)</f>
        <v>1537</v>
      </c>
      <c r="EX126" s="50">
        <f t="shared" si="159"/>
        <v>0.64833147942157954</v>
      </c>
      <c r="EY126" s="50">
        <f t="shared" si="160"/>
        <v>0.30892658509454951</v>
      </c>
      <c r="EZ126" s="50">
        <f t="shared" si="161"/>
        <v>4.2741935483870966E-2</v>
      </c>
      <c r="FA126" s="51">
        <f t="shared" si="162"/>
        <v>23065</v>
      </c>
      <c r="FB126" s="51">
        <f t="shared" si="163"/>
        <v>21299</v>
      </c>
      <c r="FC126" s="14">
        <f>INT(SUMPRODUCT($AP126:$AT126,$BF126:$BJ126)/SUM($BF126:$BJ126)/10000*$BX$7*$BZ$46/'疲劳值&amp;地图信息'!$R$10*$BY$57)</f>
        <v>2050</v>
      </c>
      <c r="FD126" s="50">
        <f t="shared" si="164"/>
        <v>0.49694057827379667</v>
      </c>
      <c r="FE126" s="50">
        <f t="shared" si="165"/>
        <v>0.45889171370707116</v>
      </c>
      <c r="FF126" s="50">
        <f t="shared" si="166"/>
        <v>4.4167708019132161E-2</v>
      </c>
      <c r="FH126" s="14">
        <f t="shared" si="167"/>
        <v>19630</v>
      </c>
      <c r="FI126" s="14">
        <f t="shared" si="168"/>
        <v>22219</v>
      </c>
      <c r="FJ126" s="14">
        <f t="shared" si="169"/>
        <v>25727</v>
      </c>
      <c r="FK126" s="14">
        <f t="shared" si="170"/>
        <v>35960</v>
      </c>
      <c r="FL126" s="14">
        <f t="shared" si="171"/>
        <v>46414</v>
      </c>
      <c r="FM126" s="14">
        <f t="shared" si="172"/>
        <v>2298171</v>
      </c>
      <c r="FP126" s="14">
        <f t="shared" si="173"/>
        <v>334150</v>
      </c>
      <c r="FQ126" s="50">
        <f t="shared" si="113"/>
        <v>0.12694120511898055</v>
      </c>
      <c r="FS126" s="14">
        <f t="shared" si="174"/>
        <v>2632321</v>
      </c>
      <c r="FX126" s="14">
        <v>121</v>
      </c>
      <c r="FY126" s="51">
        <f t="shared" si="175"/>
        <v>24822</v>
      </c>
      <c r="FZ126" s="51">
        <f t="shared" si="176"/>
        <v>1498</v>
      </c>
      <c r="GA126" s="51">
        <f>INT(SUMPRODUCT($N126:$R126,$BF126:$BJ126)/SUM($BF126:$BJ126)/10000*$BX$7*$BZ$46/'疲劳值&amp;地图信息'!$R$10*$BY$53)</f>
        <v>402</v>
      </c>
      <c r="GB126" s="50">
        <f t="shared" si="177"/>
        <v>0.92889753760946037</v>
      </c>
      <c r="GC126" s="50">
        <f t="shared" si="178"/>
        <v>5.6058678242646508E-2</v>
      </c>
      <c r="GD126" s="50">
        <f t="shared" si="179"/>
        <v>1.5043784147893122E-2</v>
      </c>
      <c r="GE126" s="51">
        <f t="shared" si="180"/>
        <v>26607</v>
      </c>
      <c r="GF126" s="51">
        <f t="shared" si="181"/>
        <v>2459</v>
      </c>
      <c r="GG126" s="14">
        <f>INT(SUMPRODUCT($U126:$Y126,$BF126:$BJ126)/SUM($BF126:$BJ126)/10000*$BX$7*$BZ$46/'疲劳值&amp;地图信息'!$R$10*$BY$54)</f>
        <v>755</v>
      </c>
      <c r="GH126" s="50">
        <f t="shared" si="182"/>
        <v>0.89222360081821539</v>
      </c>
      <c r="GI126" s="50">
        <f t="shared" si="183"/>
        <v>8.2458670064719491E-2</v>
      </c>
      <c r="GJ126" s="50">
        <f t="shared" si="184"/>
        <v>2.5317729117065157E-2</v>
      </c>
      <c r="GK126" s="51">
        <f t="shared" si="185"/>
        <v>28620</v>
      </c>
      <c r="GL126" s="51">
        <f t="shared" si="186"/>
        <v>4259</v>
      </c>
      <c r="GM126" s="14">
        <f>INT(SUMPRODUCT($AB126:$AF126,$BF126:$BJ126)/SUM($BF126:$BJ126)/10000*$BX$7*$BZ$46/'疲劳值&amp;地图信息'!$R$10*$BY$55)</f>
        <v>1025</v>
      </c>
      <c r="GN126" s="50">
        <f t="shared" si="187"/>
        <v>0.84414818310523831</v>
      </c>
      <c r="GO126" s="50">
        <f t="shared" si="188"/>
        <v>0.12561939594148183</v>
      </c>
      <c r="GP126" s="50">
        <f t="shared" si="189"/>
        <v>3.023242095327985E-2</v>
      </c>
      <c r="GQ126" s="51">
        <f t="shared" si="190"/>
        <v>32639</v>
      </c>
      <c r="GR126" s="51">
        <f t="shared" si="191"/>
        <v>11109</v>
      </c>
      <c r="GS126" s="14">
        <f>INT(SUMPRODUCT($AI126:$AM126,$BF126:$BJ126)/SUM($BF126:$BJ126)/10000*$BX$7*$BZ$46/'疲劳值&amp;地图信息'!$R$10*$BY$56)</f>
        <v>1537</v>
      </c>
      <c r="GT126" s="50">
        <f t="shared" si="192"/>
        <v>0.72074638401236613</v>
      </c>
      <c r="GU126" s="50">
        <f t="shared" si="193"/>
        <v>0.24531301755548196</v>
      </c>
      <c r="GV126" s="50">
        <f t="shared" si="194"/>
        <v>3.3940598432151928E-2</v>
      </c>
      <c r="GW126" s="51">
        <f t="shared" si="195"/>
        <v>32291</v>
      </c>
      <c r="GX126" s="51">
        <f t="shared" si="196"/>
        <v>21299</v>
      </c>
      <c r="GY126" s="14">
        <f>INT(SUMPRODUCT($AP126:$AT126,$BF126:$BJ126)/SUM($BF126:$BJ126)/10000*$BX$7*$BZ$46/'疲劳值&amp;地图信息'!$R$10*$BY$57)</f>
        <v>2050</v>
      </c>
      <c r="GZ126" s="50">
        <f t="shared" si="197"/>
        <v>0.58035585909417686</v>
      </c>
      <c r="HA126" s="50">
        <f t="shared" si="198"/>
        <v>0.38280014378145222</v>
      </c>
      <c r="HB126" s="50">
        <f t="shared" si="199"/>
        <v>3.6843997124370954E-2</v>
      </c>
      <c r="HD126" s="14">
        <f t="shared" si="200"/>
        <v>26722</v>
      </c>
      <c r="HE126" s="14">
        <f t="shared" si="201"/>
        <v>29821</v>
      </c>
      <c r="HF126" s="14">
        <f t="shared" si="202"/>
        <v>33904</v>
      </c>
      <c r="HG126" s="14">
        <f t="shared" si="203"/>
        <v>45285</v>
      </c>
      <c r="HH126" s="14">
        <f t="shared" si="204"/>
        <v>55640</v>
      </c>
      <c r="HI126" s="14">
        <f t="shared" si="205"/>
        <v>3081125</v>
      </c>
      <c r="HL126" s="14">
        <f t="shared" si="206"/>
        <v>430050</v>
      </c>
      <c r="HM126" s="50">
        <f t="shared" si="114"/>
        <v>0.12248036625915826</v>
      </c>
      <c r="HO126" s="14">
        <f t="shared" si="207"/>
        <v>3511175</v>
      </c>
    </row>
    <row r="127" spans="11:223" x14ac:dyDescent="0.2">
      <c r="K127" s="14">
        <v>122</v>
      </c>
      <c r="L127" s="12">
        <f>求节点(节奏总纲!D$4:D$163,标准城池设计!AB$4:AB$163,$K127)*求节点(节奏总纲!D$4:D$163,攻城基础信息!$AC$5:$AC$164,$K127)</f>
        <v>523703.26606967318</v>
      </c>
      <c r="M127" s="12">
        <f>INDEX(其他调用!$AA$5:$AA$404,MATCH(K127,其他调用!$X$5:$X$404,0))*MIN(INDEX(其他调用!$AH$5:$AH$364,MATCH('征服点（新）'!K127,其他调用!$AG$5:$AG$364,0),1)/INDEX(其他调用!$AJ$5:$AJ$364,MATCH(K127,其他调用!$AG$5:$AG$364,0),0),5)*求节点(节奏总纲!D$4:D$163,攻城基础信息!$AC$5:$AC$164,$K127)</f>
        <v>44190.764981584114</v>
      </c>
      <c r="N127" s="12">
        <f>MIN(INDEX(其他调用!$AH$5:$AH$364,MATCH($K127,其他调用!$AG$5:$AG$364,0),1)/INDEX(其他调用!AH$5:AH$364,MATCH($K127,其他调用!$AG$5:$AG$364,0),0),1)*INDEX(其他调用!Y$5:Y$404,MATCH($K127,其他调用!$X$5:$X$404,0),0)</f>
        <v>37285.019810734884</v>
      </c>
      <c r="O127" s="12">
        <f>MIN(INDEX(其他调用!$AH$5:$AH$364,MATCH($K127,其他调用!$AG$5:$AG$364,0),1)/INDEX(其他调用!AI$5:AI$364,MATCH($K127,其他调用!$AG$5:$AG$364,0),0),1)*INDEX(其他调用!Z$5:Z$404,MATCH($K127,其他调用!$X$5:$X$404,0),0)</f>
        <v>23394.855977537089</v>
      </c>
      <c r="P127" s="12">
        <f>MIN(INDEX(其他调用!$AH$5:$AH$364,MATCH($K127,其他调用!$AG$5:$AG$364,0),1)/INDEX(其他调用!AJ$5:AJ$364,MATCH($K127,其他调用!$AG$5:$AG$364,0),0),1)*INDEX(其他调用!AA$5:AA$404,MATCH($K127,其他调用!$X$5:$X$404,0),0)</f>
        <v>14041.192760067346</v>
      </c>
      <c r="Q127" s="12">
        <f>MIN(INDEX(其他调用!$AH$5:$AH$364,MATCH($K127,其他调用!$AG$5:$AG$364,0),1)/INDEX(其他调用!AK$5:AK$364,MATCH($K127,其他调用!$AG$5:$AG$364,0),0),1)*INDEX(其他调用!AB$5:AB$404,MATCH($K127,其他调用!$X$5:$X$404,0),0)</f>
        <v>5669.3338868420497</v>
      </c>
      <c r="R127" s="12">
        <f>MIN(INDEX(其他调用!$AH$5:$AH$364,MATCH($K127,其他调用!$AG$5:$AG$364,0),1)/INDEX(其他调用!AL$5:AL$364,MATCH($K127,其他调用!$AG$5:$AG$364,0),0),1)*INDEX(其他调用!AC$5:AC$404,MATCH($K127,其他调用!$X$5:$X$404,0),0)</f>
        <v>1803.7052685949518</v>
      </c>
      <c r="S127" s="12">
        <f>求节点(节奏总纲!D$4:D$163,标准城池设计!AC$4:AC$163,$K127)*求节点(节奏总纲!D$4:D$163,攻城基础信息!$AD$5:$AD$164,$K127)</f>
        <v>561487.04634914291</v>
      </c>
      <c r="T127" s="12">
        <f>INDEX(其他调用!$AA$5:$AA$404,MATCH($K127,其他调用!$X$5:$X$404,0))*MIN(INDEX(其他调用!AI$5:AI$364,MATCH($K127,其他调用!$AG$5:$AG$364,0),1)/INDEX(其他调用!$AJ$5:$AJ$364,MATCH($K127,其他调用!$AG$5:$AG$364,0),0),5)*求节点(节奏总纲!D$4:D$163,攻城基础信息!$AD$5:$AD$164,$K127)</f>
        <v>72593.601354196711</v>
      </c>
      <c r="U127" s="12">
        <f>MIN(INDEX(其他调用!$AI$5:$AI$364,MATCH($K127,其他调用!$AG$5:$AG$364,0),1)/INDEX(其他调用!AH$5:AH$364,MATCH($K127,其他调用!$AG$5:$AG$364,0),0),1)*INDEX(其他调用!Y$5:Y$404,MATCH($K127,其他调用!$X$5:$X$404,0),0)</f>
        <v>37285.019810734884</v>
      </c>
      <c r="V127" s="12">
        <f>MIN(INDEX(其他调用!$AI$5:$AI$364,MATCH($K127,其他调用!$AG$5:$AG$364,0),1)/INDEX(其他调用!AI$5:AI$364,MATCH($K127,其他调用!$AG$5:$AG$364,0),0),1)*INDEX(其他调用!Z$5:Z$404,MATCH($K127,其他调用!$X$5:$X$404,0),0)</f>
        <v>38431.487874897008</v>
      </c>
      <c r="W127" s="12">
        <f>MIN(INDEX(其他调用!$AI$5:$AI$364,MATCH($K127,其他调用!$AG$5:$AG$364,0),1)/INDEX(其他调用!AJ$5:AJ$364,MATCH($K127,其他调用!$AG$5:$AG$364,0),0),1)*INDEX(其他调用!AA$5:AA$404,MATCH($K127,其他调用!$X$5:$X$404,0),0)</f>
        <v>23065.922261959964</v>
      </c>
      <c r="X127" s="12">
        <f>MIN(INDEX(其他调用!$AI$5:$AI$364,MATCH($K127,其他调用!$AG$5:$AG$364,0),1)/INDEX(其他调用!AK$5:AK$364,MATCH($K127,其他调用!$AG$5:$AG$364,0),0),1)*INDEX(其他调用!AB$5:AB$404,MATCH($K127,其他调用!$X$5:$X$404,0),0)</f>
        <v>9313.1984544001698</v>
      </c>
      <c r="Y127" s="12">
        <f>MIN(INDEX(其他调用!$AI$5:$AI$364,MATCH($K127,其他调用!$AG$5:$AG$364,0),1)/INDEX(其他调用!AL$5:AL$364,MATCH($K127,其他调用!$AG$5:$AG$364,0),0),1)*INDEX(其他调用!AC$5:AC$404,MATCH($K127,其他调用!$X$5:$X$404,0),0)</f>
        <v>2963.0050822476728</v>
      </c>
      <c r="Z127" s="12">
        <f>求节点(节奏总纲!D$4:D$163,标准城池设计!AD$4:AD$163,$K127)*求节点(节奏总纲!D$4:D$163,攻城基础信息!$AE$5:$AE$164,$K127)</f>
        <v>603817.55051131034</v>
      </c>
      <c r="AA127" s="12">
        <f>INDEX(其他调用!$AA$5:$AA$404,MATCH($K127,其他调用!$X$5:$X$404,0))*MIN(INDEX(其他调用!AJ$5:AJ$364,MATCH($K127,其他调用!$AG$5:$AG$364,0),1)/INDEX(其他调用!$AJ$5:$AJ$364,MATCH($K127,其他调用!$AG$5:$AG$364,0),0),5)*求节点(节奏总纲!D$4:D$163,攻城基础信息!$AE$5:$AE$164,$K127)</f>
        <v>125713.07777726163</v>
      </c>
      <c r="AB127" s="12">
        <f>MIN(INDEX(其他调用!$AJ$5:$AJ$364,MATCH($K127,其他调用!$AG$5:$AG$364,0),1)/INDEX(其他调用!AH$5:AH$364,MATCH($K127,其他调用!$AG$5:$AG$364,0),0),1)*INDEX(其他调用!Y$5:Y$404,MATCH($K127,其他调用!$X$5:$X$404,0),0)</f>
        <v>37285.019810734884</v>
      </c>
      <c r="AC127" s="12">
        <f>MIN(INDEX(其他调用!$AJ$5:$AJ$364,MATCH($K127,其他调用!$AG$5:$AG$364,0),1)/INDEX(其他调用!AI$5:AI$364,MATCH($K127,其他调用!$AG$5:$AG$364,0),0),1)*INDEX(其他调用!Z$5:Z$404,MATCH($K127,其他调用!$X$5:$X$404,0),0)</f>
        <v>38431.487874897008</v>
      </c>
      <c r="AD127" s="12">
        <f>MIN(INDEX(其他调用!$AJ$5:$AJ$364,MATCH($K127,其他调用!$AG$5:$AG$364,0),1)/INDEX(其他调用!AJ$5:AJ$364,MATCH($K127,其他调用!$AG$5:$AG$364,0),0),1)*INDEX(其他调用!AA$5:AA$404,MATCH($K127,其他调用!$X$5:$X$404,0),0)</f>
        <v>39944.127653537464</v>
      </c>
      <c r="AE127" s="12">
        <f>MIN(INDEX(其他调用!$AJ$5:$AJ$364,MATCH($K127,其他调用!$AG$5:$AG$364,0),1)/INDEX(其他调用!AK$5:AK$364,MATCH($K127,其他调用!$AG$5:$AG$364,0),0),1)*INDEX(其他调用!AB$5:AB$404,MATCH($K127,其他调用!$X$5:$X$404,0),0)</f>
        <v>16128.017067793495</v>
      </c>
      <c r="AF127" s="12">
        <f>MIN(INDEX(其他调用!$AJ$5:$AJ$364,MATCH($K127,其他调用!$AG$5:$AG$364,0),1)/INDEX(其他调用!AL$5:AL$364,MATCH($K127,其他调用!$AG$5:$AG$364,0),0),1)*INDEX(其他调用!AC$5:AC$404,MATCH($K127,其他调用!$X$5:$X$404,0),0)</f>
        <v>5131.1476688088196</v>
      </c>
      <c r="AG127" s="12">
        <f>求节点(节奏总纲!D$4:D$163,标准城池设计!AE$4:AE$163,$K127)*求节点(节奏总纲!D$4:D$163,攻城基础信息!$AF$5:$AF$164,$K127)</f>
        <v>688834.94341136562</v>
      </c>
      <c r="AH127" s="12">
        <f>INDEX(其他调用!$AA$5:$AA$404,MATCH($K127,其他调用!$X$5:$X$404,0))*MIN(INDEX(其他调用!AK$5:AK$364,MATCH($K127,其他调用!$AG$5:$AG$364,0),1)/INDEX(其他调用!$AJ$5:$AJ$364,MATCH($K127,其他调用!$AG$5:$AG$364,0),0),5)*求节点(节奏总纲!D$4:D$163,攻城基础信息!$AF$5:$AF$164,$K127)</f>
        <v>328342.93983534246</v>
      </c>
      <c r="AI127" s="12">
        <f>MIN(INDEX(其他调用!$AK$5:$AK$364,MATCH($K127,其他调用!$AG$5:$AG$364,0),1)/INDEX(其他调用!AH$5:AH$364,MATCH($K127,其他调用!$AG$5:$AG$364,0),0),1)*INDEX(其他调用!Y$5:Y$404,MATCH($K127,其他调用!$X$5:$X$404,0),0)</f>
        <v>37285.019810734884</v>
      </c>
      <c r="AJ127" s="12">
        <f>MIN(INDEX(其他调用!$AK$5:$AK$364,MATCH($K127,其他调用!$AG$5:$AG$364,0),1)/INDEX(其他调用!AI$5:AI$364,MATCH($K127,其他调用!$AG$5:$AG$364,0),0),1)*INDEX(其他调用!Z$5:Z$404,MATCH($K127,其他调用!$X$5:$X$404,0),0)</f>
        <v>38431.487874897008</v>
      </c>
      <c r="AK127" s="12">
        <f>MIN(INDEX(其他调用!$AK$5:$AK$364,MATCH($K127,其他调用!$AG$5:$AG$364,0),1)/INDEX(其他调用!AJ$5:AJ$364,MATCH($K127,其他调用!$AG$5:$AG$364,0),0),1)*INDEX(其他调用!AA$5:AA$404,MATCH($K127,其他调用!$X$5:$X$404,0),0)</f>
        <v>39944.127653537464</v>
      </c>
      <c r="AL127" s="12">
        <f>MIN(INDEX(其他调用!$AK$5:$AK$364,MATCH($K127,其他调用!$AG$5:$AG$364,0),1)/INDEX(其他调用!AK$5:AK$364,MATCH($K127,其他调用!$AG$5:$AG$364,0),0),1)*INDEX(其他调用!AB$5:AB$404,MATCH($K127,其他调用!$X$5:$X$404,0),0)</f>
        <v>42123.863573975148</v>
      </c>
      <c r="AM127" s="12">
        <f>MIN(INDEX(其他调用!$AK$5:$AK$364,MATCH($K127,其他调用!$AG$5:$AG$364,0),1)/INDEX(其他调用!AL$5:AL$364,MATCH($K127,其他调用!$AG$5:$AG$364,0),0),1)*INDEX(其他调用!AC$5:AC$404,MATCH($K127,其他调用!$X$5:$X$404,0),0)</f>
        <v>13401.756922148048</v>
      </c>
      <c r="AN127" s="12">
        <f>求节点(节奏总纲!D$4:D$163,标准城池设计!AF$4:AF$163,$K127)*求节点(节奏总纲!D$4:D$163,攻城基础信息!$AG$5:$AG$164,$K127)</f>
        <v>681953.29654600797</v>
      </c>
      <c r="AO127" s="12">
        <f>INDEX(其他调用!$AA$5:$AA$404,MATCH($K127,其他调用!$X$5:$X$404,0))*MIN(INDEX(其他调用!AL$5:AL$364,MATCH($K127,其他调用!$AG$5:$AG$364,0),1)/INDEX(其他调用!$AJ$5:$AJ$364,MATCH($K127,其他调用!$AG$5:$AG$364,0),0),5)*求节点(节奏总纲!D$4:D$163,攻城基础信息!$AG$5:$AG$164,$K127)</f>
        <v>628565.38888630806</v>
      </c>
      <c r="AP127" s="12">
        <f>MIN(INDEX(其他调用!$AL$5:$AL$364,MATCH($K127,其他调用!$AG$5:$AG$364,0),1)/INDEX(其他调用!AH$5:AH$364,MATCH($K127,其他调用!$AG$5:$AG$364,0),0),1)*INDEX(其他调用!Y$5:Y$404,MATCH($K127,其他调用!$X$5:$X$404,0),0)</f>
        <v>37285.019810734884</v>
      </c>
      <c r="AQ127" s="12">
        <f>MIN(INDEX(其他调用!$AL$5:$AL$364,MATCH($K127,其他调用!$AG$5:$AG$364,0),1)/INDEX(其他调用!AI$5:AI$364,MATCH($K127,其他调用!$AG$5:$AG$364,0),0),1)*INDEX(其他调用!Z$5:Z$404,MATCH($K127,其他调用!$X$5:$X$404,0),0)</f>
        <v>38431.487874897008</v>
      </c>
      <c r="AR127" s="12">
        <f>MIN(INDEX(其他调用!$AL$5:$AL$364,MATCH($K127,其他调用!$AG$5:$AG$364,0),1)/INDEX(其他调用!AJ$5:AJ$364,MATCH($K127,其他调用!$AG$5:$AG$364,0),0),1)*INDEX(其他调用!AA$5:AA$404,MATCH($K127,其他调用!$X$5:$X$404,0),0)</f>
        <v>39944.127653537464</v>
      </c>
      <c r="AS127" s="12">
        <f>MIN(INDEX(其他调用!$AL$5:$AL$364,MATCH($K127,其他调用!$AG$5:$AG$364,0),1)/INDEX(其他调用!AK$5:AK$364,MATCH($K127,其他调用!$AG$5:$AG$364,0),0),1)*INDEX(其他调用!AB$5:AB$404,MATCH($K127,其他调用!$X$5:$X$404,0),0)</f>
        <v>42123.863573975148</v>
      </c>
      <c r="AT127" s="12">
        <f>MIN(INDEX(其他调用!$AL$5:$AL$364,MATCH($K127,其他调用!$AG$5:$AG$364,0),1)/INDEX(其他调用!AL$5:AL$364,MATCH($K127,其他调用!$AG$5:$AG$364,0),0),1)*INDEX(其他调用!AC$5:AC$404,MATCH($K127,其他调用!$X$5:$X$404,0),0)</f>
        <v>46019.13529619277</v>
      </c>
      <c r="AV127" s="14">
        <f>IF(OR(AV$5="大R",AV$5="超R"),MAX(INDEX(其他调用!$H$5:$L$404,MATCH($K127,其他调用!$B$5:$B$404,0),MATCH(AV$5,其他调用!$H$4:$L$4,0))*120*0.85,2),INDEX(其他调用!$H$5:$L$404,MATCH($K127,其他调用!$B$5:$B$404,0),MATCH(AV$5,其他调用!$H$4:$L$4,0))*120*0.85)</f>
        <v>48.921801254999991</v>
      </c>
      <c r="AW127" s="14">
        <f>IF(OR(AW$5="大R",AW$5="超R"),MAX(INDEX(其他调用!$H$5:$L$404,MATCH($K127,其他调用!$B$5:$B$404,0),MATCH(AW$5,其他调用!$H$4:$L$4,0))*120*0.85,2),INDEX(其他调用!$H$5:$L$404,MATCH($K127,其他调用!$B$5:$B$404,0),MATCH(AW$5,其他调用!$H$4:$L$4,0))*120*0.85)</f>
        <v>48.237344010638395</v>
      </c>
      <c r="AX127" s="14">
        <f>IF(OR(AX$5="大R",AX$5="超R"),MAX(INDEX(其他调用!$H$5:$L$404,MATCH($K127,其他调用!$B$5:$B$404,0),MATCH(AX$5,其他调用!$H$4:$L$4,0))*120*0.85,2),INDEX(其他调用!$H$5:$L$404,MATCH($K127,其他调用!$B$5:$B$404,0),MATCH(AX$5,其他调用!$H$4:$L$4,0))*120*0.85)</f>
        <v>3.9376284143615998</v>
      </c>
      <c r="AY127" s="14">
        <f>IF(OR(AY$5="大R",AY$5="超R"),MAX(INDEX(其他调用!$H$5:$L$404,MATCH($K127,其他调用!$B$5:$B$404,0),MATCH(AY$5,其他调用!$H$4:$L$4,0))*120*0.85,2),INDEX(其他调用!$H$5:$L$404,MATCH($K127,其他调用!$B$5:$B$404,0),MATCH(AY$5,其他调用!$H$4:$L$4,0))*120*0.85)</f>
        <v>2</v>
      </c>
      <c r="AZ127" s="14">
        <f>IF(OR(AZ$5="大R",AZ$5="超R"),MAX(INDEX(其他调用!$H$5:$L$404,MATCH($K127,其他调用!$B$5:$B$404,0),MATCH(AZ$5,其他调用!$H$4:$L$4,0))*120*0.85,2),INDEX(其他调用!$H$5:$L$404,MATCH($K127,其他调用!$B$5:$B$404,0),MATCH(AZ$5,其他调用!$H$4:$L$4,0))*120*0.85)</f>
        <v>2</v>
      </c>
      <c r="BA127" s="14">
        <f>INDEX(其他调用!$H$5:$L$404,MATCH($K127,其他调用!$B$5:$B$404,0),MATCH(BA$5,其他调用!$H$4:$L$4,0))*INDEX(其他调用!$M$5:$M$404,MATCH($K127,其他调用!$B$5:$B$404,0))*0.6</f>
        <v>28.777530149999997</v>
      </c>
      <c r="BB127" s="14">
        <f>INDEX(其他调用!$H$5:$L$404,MATCH($K127,其他调用!$B$5:$B$404,0),MATCH(BB$5,其他调用!$H$4:$L$4,0))*INDEX(其他调用!$M$5:$M$404,MATCH($K127,其他调用!$B$5:$B$404,0))*0.6</f>
        <v>28.374908241551999</v>
      </c>
      <c r="BC127" s="14">
        <f>INDEX(其他调用!$H$5:$L$404,MATCH($K127,其他调用!$B$5:$B$404,0),MATCH(BC$5,其他调用!$H$4:$L$4,0))*INDEX(其他调用!$M$5:$M$404,MATCH($K127,其他调用!$B$5:$B$404,0))*0.6</f>
        <v>2.3162520084480001</v>
      </c>
      <c r="BD127" s="14">
        <f>INDEX(其他调用!$H$5:$L$404,MATCH($K127,其他调用!$B$5:$B$404,0),MATCH(BD$5,其他调用!$H$4:$L$4,0))*INDEX(其他调用!$M$5:$M$404,MATCH($K127,其他调用!$B$5:$B$404,0))*0.6</f>
        <v>0.4120776000000001</v>
      </c>
      <c r="BE127" s="14">
        <f>INDEX(其他调用!$H$5:$L$404,MATCH($K127,其他调用!$B$5:$B$404,0),MATCH(BE$5,其他调用!$H$4:$L$4,0))*INDEX(其他调用!$M$5:$M$404,MATCH($K127,其他调用!$B$5:$B$404,0))*0.6</f>
        <v>0.11923199999999998</v>
      </c>
      <c r="BF127" s="14">
        <f>IF(OR(BF$5="大R",BF$5="超R"),0,INDEX(其他调用!$H$5:$L$404,MATCH($K127,其他调用!$B$5:$B$404,0),MATCH(BF$5,其他调用!$H$4:$L$4,0))*50*0.4)</f>
        <v>9.5925100500000013</v>
      </c>
      <c r="BG127" s="14">
        <f>IF(OR(BG$5="大R",BG$5="超R"),0,INDEX(其他调用!$H$5:$L$404,MATCH($K127,其他调用!$B$5:$B$404,0),MATCH(BG$5,其他调用!$H$4:$L$4,0))*50*0.4)</f>
        <v>9.4583027471839998</v>
      </c>
      <c r="BH127" s="14">
        <f>IF(OR(BH$5="大R",BH$5="超R"),0,INDEX(其他调用!$H$5:$L$404,MATCH($K127,其他调用!$B$5:$B$404,0),MATCH(BH$5,其他调用!$H$4:$L$4,0))*50*0.4)</f>
        <v>0.77208400281600009</v>
      </c>
      <c r="BI127" s="14">
        <f>IF(OR(BI$5="大R",BI$5="超R"),0,INDEX(其他调用!$H$5:$L$404,MATCH($K127,其他调用!$B$5:$B$404,0),MATCH(BI$5,其他调用!$H$4:$L$4,0))*50*0.4)</f>
        <v>0</v>
      </c>
      <c r="BJ127" s="14">
        <f>IF(OR(BJ$5="大R",BJ$5="超R"),0,INDEX(其他调用!$H$5:$L$404,MATCH($K127,其他调用!$B$5:$B$404,0),MATCH(BJ$5,其他调用!$H$4:$L$4,0))*50*0.4)</f>
        <v>0</v>
      </c>
      <c r="BL127" s="14">
        <f t="shared" si="208"/>
        <v>122</v>
      </c>
      <c r="BM127" s="14">
        <f t="shared" si="115"/>
        <v>96</v>
      </c>
      <c r="BN127" s="14">
        <f>('疲劳值&amp;地图信息'!$S$10*'疲劳值&amp;地图信息'!$R$10+'疲劳值&amp;地图信息'!$S$11*'疲劳值&amp;地图信息'!$R$11+'疲劳值&amp;地图信息'!$S$12*'疲劳值&amp;地图信息'!$R$12+(BM127-'疲劳值&amp;地图信息'!$S$12-'疲劳值&amp;地图信息'!$S$11-'疲劳值&amp;地图信息'!$S$10)*'疲劳值&amp;地图信息'!$R$13)/BM127</f>
        <v>51.371477246638619</v>
      </c>
      <c r="BO127" s="14">
        <f>INDEX(其他调用!$M$5:$M$404,MATCH(BL127,其他调用!$B$5:$B$404,0))*0.6</f>
        <v>60</v>
      </c>
      <c r="BP127" s="14">
        <f>IF(BO127&gt;SUM('疲劳值&amp;地图信息'!$S$10:$S$12),('疲劳值&amp;地图信息'!$S$10*'疲劳值&amp;地图信息'!$R$10+'疲劳值&amp;地图信息'!$S$11*'疲劳值&amp;地图信息'!$R$11+'疲劳值&amp;地图信息'!$S$12*'疲劳值&amp;地图信息'!$R$12+(BO127-'疲劳值&amp;地图信息'!$S$12-'疲劳值&amp;地图信息'!$S$11-'疲劳值&amp;地图信息'!$S$10)*'疲劳值&amp;地图信息'!$R$13)/BO127,('疲劳值&amp;地图信息'!$S$10*'疲劳值&amp;地图信息'!$R$10+'疲劳值&amp;地图信息'!$S$11*'疲劳值&amp;地图信息'!$R$11+'疲劳值&amp;地图信息'!$S$12*'疲劳值&amp;地图信息'!$R$12+(BO127-'疲劳值&amp;地图信息'!$S$12-'疲劳值&amp;地图信息'!$S$11-'疲劳值&amp;地图信息'!$S$10)*'疲劳值&amp;地图信息'!$R$13)/BO127)</f>
        <v>44.158136341605953</v>
      </c>
      <c r="BQ127" s="14">
        <f t="shared" si="209"/>
        <v>20</v>
      </c>
      <c r="BR127" s="14">
        <f>('疲劳值&amp;地图信息'!$S$10*'疲劳值&amp;地图信息'!$R$10+($BQ127-'疲劳值&amp;地图信息'!$S$10)*'疲劳值&amp;地图信息'!$R$11)/$BQ127</f>
        <v>32.067203015074995</v>
      </c>
      <c r="CF127" s="14">
        <v>122</v>
      </c>
      <c r="CG127" s="51">
        <f t="shared" si="116"/>
        <v>10673</v>
      </c>
      <c r="CH127" s="51">
        <f t="shared" si="117"/>
        <v>900</v>
      </c>
      <c r="CI127" s="51">
        <f>INT(SUMPRODUCT($N127:$R127,$BA127:$BE127)/SUM($BA127:$BE127)/10000*$BX$7*$BZ$34/'疲劳值&amp;地图信息'!$R$10*$BY$53)</f>
        <v>2996</v>
      </c>
      <c r="CJ127" s="50">
        <f t="shared" si="118"/>
        <v>0.73258288146063555</v>
      </c>
      <c r="CK127" s="50">
        <f t="shared" si="119"/>
        <v>6.1775001715972271E-2</v>
      </c>
      <c r="CL127" s="50">
        <f t="shared" si="120"/>
        <v>0.20564211682339215</v>
      </c>
      <c r="CM127" s="14">
        <f t="shared" si="121"/>
        <v>11443</v>
      </c>
      <c r="CN127" s="14">
        <f t="shared" si="122"/>
        <v>1479</v>
      </c>
      <c r="CO127" s="14">
        <f>INT(SUMPRODUCT($U127:$Y127,$BA127:$BE127)/SUM($BA127:$BE127)/10000*$BX$7*$BZ$34/'疲劳值&amp;地图信息'!$R$10*$BY$54)</f>
        <v>5634</v>
      </c>
      <c r="CP127" s="50">
        <f t="shared" si="123"/>
        <v>0.61667385212330239</v>
      </c>
      <c r="CQ127" s="50">
        <f t="shared" si="124"/>
        <v>7.9704677732269885E-2</v>
      </c>
      <c r="CR127" s="50">
        <f t="shared" si="125"/>
        <v>0.3036214701444277</v>
      </c>
      <c r="CS127" s="14">
        <f t="shared" si="126"/>
        <v>12306</v>
      </c>
      <c r="CT127" s="14">
        <f t="shared" si="127"/>
        <v>2562</v>
      </c>
      <c r="CU127" s="14">
        <f>INT(SUMPRODUCT($AB127:$AF127,$BA127:$BE127)/SUM($BA127:$BE127)/10000*$BX$7*$BZ$34/'疲劳值&amp;地图信息'!$R$10*$BY$55)</f>
        <v>7654</v>
      </c>
      <c r="CV127" s="50">
        <f t="shared" si="128"/>
        <v>0.54639907645857388</v>
      </c>
      <c r="CW127" s="50">
        <f t="shared" si="129"/>
        <v>0.11375543912618773</v>
      </c>
      <c r="CX127" s="50">
        <f t="shared" si="130"/>
        <v>0.33984548441523843</v>
      </c>
      <c r="CY127" s="14">
        <f t="shared" si="131"/>
        <v>14039</v>
      </c>
      <c r="CZ127" s="14">
        <f t="shared" si="132"/>
        <v>6692</v>
      </c>
      <c r="DA127" s="14">
        <f>INT(SUMPRODUCT($AI127:$AM127,$BA127:$BE127)/SUM($BA127:$BE127)/10000*$BX$7*$BZ$34/'疲劳值&amp;地图信息'!$R$10*$BY$56)</f>
        <v>11541</v>
      </c>
      <c r="DB127" s="50">
        <f t="shared" si="133"/>
        <v>0.43502107089737235</v>
      </c>
      <c r="DC127" s="50">
        <f t="shared" si="134"/>
        <v>0.20736241943480416</v>
      </c>
      <c r="DD127" s="50">
        <f t="shared" si="135"/>
        <v>0.35761650966782349</v>
      </c>
      <c r="DE127" s="14">
        <f t="shared" si="136"/>
        <v>13899</v>
      </c>
      <c r="DF127" s="14">
        <f t="shared" si="137"/>
        <v>12810</v>
      </c>
      <c r="DG127" s="14">
        <f>INT(SUMPRODUCT($AP127:$AT127,$BA127:$BE127)/SUM($BA127:$BE127)/10000*$BX$7*$BZ$34/'疲劳值&amp;地图信息'!$R$10*$BY$57)</f>
        <v>15415</v>
      </c>
      <c r="DH127" s="50">
        <f t="shared" si="138"/>
        <v>0.32995442028297406</v>
      </c>
      <c r="DI127" s="50">
        <f t="shared" si="139"/>
        <v>0.30410217453233312</v>
      </c>
      <c r="DJ127" s="50">
        <f t="shared" si="140"/>
        <v>0.36594340518469282</v>
      </c>
      <c r="DL127" s="14">
        <f t="shared" si="211"/>
        <v>14569</v>
      </c>
      <c r="DM127" s="14">
        <f t="shared" si="212"/>
        <v>18556</v>
      </c>
      <c r="DN127" s="14">
        <f t="shared" si="213"/>
        <v>22522</v>
      </c>
      <c r="DO127" s="14">
        <f t="shared" si="214"/>
        <v>32272</v>
      </c>
      <c r="DP127" s="14">
        <f t="shared" si="215"/>
        <v>42124</v>
      </c>
      <c r="DQ127" s="14">
        <f t="shared" si="216"/>
        <v>1016272</v>
      </c>
      <c r="DT127" s="14">
        <f t="shared" si="210"/>
        <v>235575</v>
      </c>
      <c r="DU127" s="50">
        <f t="shared" si="112"/>
        <v>0.18818194236196595</v>
      </c>
      <c r="DW127" s="14">
        <f t="shared" si="141"/>
        <v>1251847</v>
      </c>
      <c r="EB127" s="14">
        <v>122</v>
      </c>
      <c r="EC127" s="51">
        <f t="shared" si="142"/>
        <v>17789</v>
      </c>
      <c r="ED127" s="51">
        <f t="shared" si="143"/>
        <v>1501</v>
      </c>
      <c r="EE127" s="51">
        <f>INT(SUMPRODUCT($N127:$R127,$BF127:$BJ127)/SUM($BF127:$BJ127)/10000*$BX$7*$BZ$46/'疲劳值&amp;地图信息'!$R$10*$BY$53)</f>
        <v>402</v>
      </c>
      <c r="EF127" s="50">
        <f t="shared" si="144"/>
        <v>0.90336177127767625</v>
      </c>
      <c r="EG127" s="50">
        <f t="shared" si="145"/>
        <v>7.6223847247613247E-2</v>
      </c>
      <c r="EH127" s="50">
        <f t="shared" si="146"/>
        <v>2.0414381474710544E-2</v>
      </c>
      <c r="EI127" s="51">
        <f t="shared" si="147"/>
        <v>19073</v>
      </c>
      <c r="EJ127" s="51">
        <f t="shared" si="148"/>
        <v>2465</v>
      </c>
      <c r="EK127" s="14">
        <f>INT(SUMPRODUCT($U127:$Y127,$BF127:$BJ127)/SUM($BF127:$BJ127)/10000*$BX$7*$BZ$46/'疲劳值&amp;地图信息'!$R$10*$BY$54)</f>
        <v>756</v>
      </c>
      <c r="EL127" s="50">
        <f t="shared" si="149"/>
        <v>0.85552166502197902</v>
      </c>
      <c r="EM127" s="50">
        <f t="shared" si="150"/>
        <v>0.11056786579348704</v>
      </c>
      <c r="EN127" s="50">
        <f t="shared" si="151"/>
        <v>3.3910469184533956E-2</v>
      </c>
      <c r="EO127" s="51">
        <f t="shared" si="152"/>
        <v>20510</v>
      </c>
      <c r="EP127" s="51">
        <f t="shared" si="153"/>
        <v>4270</v>
      </c>
      <c r="EQ127" s="14">
        <f>INT(SUMPRODUCT($AB127:$AF127,$BF127:$BJ127)/SUM($BF127:$BJ127)/10000*$BX$7*$BZ$46/'疲劳值&amp;地图信息'!$R$10*$BY$55)</f>
        <v>1026</v>
      </c>
      <c r="ER127" s="50">
        <f t="shared" si="154"/>
        <v>0.79477640858715026</v>
      </c>
      <c r="ES127" s="50">
        <f t="shared" si="155"/>
        <v>0.16546539564442378</v>
      </c>
      <c r="ET127" s="50">
        <f t="shared" si="156"/>
        <v>3.9758195768425944E-2</v>
      </c>
      <c r="EU127" s="51">
        <f t="shared" si="157"/>
        <v>23398</v>
      </c>
      <c r="EV127" s="51">
        <f t="shared" si="158"/>
        <v>11153</v>
      </c>
      <c r="EW127" s="14">
        <f>INT(SUMPRODUCT($AI127:$AM127,$BF127:$BJ127)/SUM($BF127:$BJ127)/10000*$BX$7*$BZ$46/'疲劳值&amp;地图信息'!$R$10*$BY$56)</f>
        <v>1539</v>
      </c>
      <c r="EX127" s="50">
        <f t="shared" si="159"/>
        <v>0.64832363535605431</v>
      </c>
      <c r="EY127" s="50">
        <f t="shared" si="160"/>
        <v>0.30903297312274869</v>
      </c>
      <c r="EZ127" s="50">
        <f t="shared" si="161"/>
        <v>4.2643391521197005E-2</v>
      </c>
      <c r="FA127" s="51">
        <f t="shared" si="162"/>
        <v>23165</v>
      </c>
      <c r="FB127" s="51">
        <f t="shared" si="163"/>
        <v>21351</v>
      </c>
      <c r="FC127" s="14">
        <f>INT(SUMPRODUCT($AP127:$AT127,$BF127:$BJ127)/SUM($BF127:$BJ127)/10000*$BX$7*$BZ$46/'疲劳值&amp;地图信息'!$R$10*$BY$57)</f>
        <v>2052</v>
      </c>
      <c r="FD127" s="50">
        <f t="shared" si="164"/>
        <v>0.49744459714825634</v>
      </c>
      <c r="FE127" s="50">
        <f t="shared" si="165"/>
        <v>0.45849080913932316</v>
      </c>
      <c r="FF127" s="50">
        <f t="shared" si="166"/>
        <v>4.4064593712420545E-2</v>
      </c>
      <c r="FH127" s="14">
        <f t="shared" si="167"/>
        <v>19692</v>
      </c>
      <c r="FI127" s="14">
        <f t="shared" si="168"/>
        <v>22294</v>
      </c>
      <c r="FJ127" s="14">
        <f t="shared" si="169"/>
        <v>25806</v>
      </c>
      <c r="FK127" s="14">
        <f t="shared" si="170"/>
        <v>36090</v>
      </c>
      <c r="FL127" s="14">
        <f t="shared" si="171"/>
        <v>46568</v>
      </c>
      <c r="FM127" s="14">
        <f t="shared" si="172"/>
        <v>2305701</v>
      </c>
      <c r="FP127" s="14">
        <f t="shared" si="173"/>
        <v>334150</v>
      </c>
      <c r="FQ127" s="50">
        <f t="shared" si="113"/>
        <v>0.12657911374543487</v>
      </c>
      <c r="FS127" s="14">
        <f t="shared" si="174"/>
        <v>2639851</v>
      </c>
      <c r="FX127" s="14">
        <v>122</v>
      </c>
      <c r="FY127" s="51">
        <f t="shared" si="175"/>
        <v>24905</v>
      </c>
      <c r="FZ127" s="51">
        <f t="shared" si="176"/>
        <v>1501</v>
      </c>
      <c r="GA127" s="51">
        <f>INT(SUMPRODUCT($N127:$R127,$BF127:$BJ127)/SUM($BF127:$BJ127)/10000*$BX$7*$BZ$46/'疲劳值&amp;地图信息'!$R$10*$BY$53)</f>
        <v>402</v>
      </c>
      <c r="GB127" s="50">
        <f t="shared" si="177"/>
        <v>0.92901372724559828</v>
      </c>
      <c r="GC127" s="50">
        <f t="shared" si="178"/>
        <v>5.5990749030140258E-2</v>
      </c>
      <c r="GD127" s="50">
        <f t="shared" si="179"/>
        <v>1.4995523724261415E-2</v>
      </c>
      <c r="GE127" s="51">
        <f t="shared" si="180"/>
        <v>26702</v>
      </c>
      <c r="GF127" s="51">
        <f t="shared" si="181"/>
        <v>2465</v>
      </c>
      <c r="GG127" s="14">
        <f>INT(SUMPRODUCT($U127:$Y127,$BF127:$BJ127)/SUM($BF127:$BJ127)/10000*$BX$7*$BZ$46/'疲劳值&amp;地图信息'!$R$10*$BY$54)</f>
        <v>756</v>
      </c>
      <c r="GH127" s="50">
        <f t="shared" si="182"/>
        <v>0.89235704976105334</v>
      </c>
      <c r="GI127" s="50">
        <f t="shared" si="183"/>
        <v>8.2378103799752703E-2</v>
      </c>
      <c r="GJ127" s="50">
        <f t="shared" si="184"/>
        <v>2.5264846439193932E-2</v>
      </c>
      <c r="GK127" s="51">
        <f t="shared" si="185"/>
        <v>28715</v>
      </c>
      <c r="GL127" s="51">
        <f t="shared" si="186"/>
        <v>4270</v>
      </c>
      <c r="GM127" s="14">
        <f>INT(SUMPRODUCT($AB127:$AF127,$BF127:$BJ127)/SUM($BF127:$BJ127)/10000*$BX$7*$BZ$46/'疲劳值&amp;地图信息'!$R$10*$BY$55)</f>
        <v>1026</v>
      </c>
      <c r="GN127" s="50">
        <f t="shared" si="187"/>
        <v>0.84428567228249685</v>
      </c>
      <c r="GO127" s="50">
        <f t="shared" si="188"/>
        <v>0.12554761694745817</v>
      </c>
      <c r="GP127" s="50">
        <f t="shared" si="189"/>
        <v>3.0166710770044985E-2</v>
      </c>
      <c r="GQ127" s="51">
        <f t="shared" si="190"/>
        <v>32758</v>
      </c>
      <c r="GR127" s="51">
        <f t="shared" si="191"/>
        <v>11153</v>
      </c>
      <c r="GS127" s="14">
        <f>INT(SUMPRODUCT($AI127:$AM127,$BF127:$BJ127)/SUM($BF127:$BJ127)/10000*$BX$7*$BZ$46/'疲劳值&amp;地图信息'!$R$10*$BY$56)</f>
        <v>1539</v>
      </c>
      <c r="GT127" s="50">
        <f t="shared" si="192"/>
        <v>0.72074807480748071</v>
      </c>
      <c r="GU127" s="50">
        <f t="shared" si="193"/>
        <v>0.2453905390539054</v>
      </c>
      <c r="GV127" s="50">
        <f t="shared" si="194"/>
        <v>3.3861386138613864E-2</v>
      </c>
      <c r="GW127" s="51">
        <f t="shared" si="195"/>
        <v>32431</v>
      </c>
      <c r="GX127" s="51">
        <f t="shared" si="196"/>
        <v>21351</v>
      </c>
      <c r="GY127" s="14">
        <f>INT(SUMPRODUCT($AP127:$AT127,$BF127:$BJ127)/SUM($BF127:$BJ127)/10000*$BX$7*$BZ$46/'疲劳值&amp;地图信息'!$R$10*$BY$57)</f>
        <v>2052</v>
      </c>
      <c r="GZ127" s="50">
        <f t="shared" si="197"/>
        <v>0.58084679585915389</v>
      </c>
      <c r="HA127" s="50">
        <f t="shared" si="198"/>
        <v>0.38240140416233837</v>
      </c>
      <c r="HB127" s="50">
        <f t="shared" si="199"/>
        <v>3.6751799978507721E-2</v>
      </c>
      <c r="HD127" s="14">
        <f t="shared" si="200"/>
        <v>26808</v>
      </c>
      <c r="HE127" s="14">
        <f t="shared" si="201"/>
        <v>29923</v>
      </c>
      <c r="HF127" s="14">
        <f t="shared" si="202"/>
        <v>34011</v>
      </c>
      <c r="HG127" s="14">
        <f t="shared" si="203"/>
        <v>45450</v>
      </c>
      <c r="HH127" s="14">
        <f t="shared" si="204"/>
        <v>55834</v>
      </c>
      <c r="HI127" s="14">
        <f t="shared" si="205"/>
        <v>3091392</v>
      </c>
      <c r="HL127" s="14">
        <f t="shared" si="206"/>
        <v>430050</v>
      </c>
      <c r="HM127" s="50">
        <f t="shared" si="114"/>
        <v>0.12212326654819247</v>
      </c>
      <c r="HO127" s="14">
        <f t="shared" si="207"/>
        <v>3521442</v>
      </c>
    </row>
    <row r="128" spans="11:223" x14ac:dyDescent="0.2">
      <c r="K128" s="14">
        <v>123</v>
      </c>
      <c r="L128" s="12">
        <f>求节点(节奏总纲!D$4:D$163,标准城池设计!AB$4:AB$163,$K128)*求节点(节奏总纲!D$4:D$163,攻城基础信息!$AC$5:$AC$164,$K128)</f>
        <v>525446.71160920523</v>
      </c>
      <c r="M128" s="12">
        <f>INDEX(其他调用!$AA$5:$AA$404,MATCH(K128,其他调用!$X$5:$X$404,0))*MIN(INDEX(其他调用!$AH$5:$AH$364,MATCH('征服点（新）'!K128,其他调用!$AG$5:$AG$364,0),1)/INDEX(其他调用!$AJ$5:$AJ$364,MATCH(K128,其他调用!$AG$5:$AG$364,0),0),5)*求节点(节奏总纲!D$4:D$163,攻城基础信息!$AC$5:$AC$164,$K128)</f>
        <v>44276.783730270232</v>
      </c>
      <c r="N128" s="12">
        <f>MIN(INDEX(其他调用!$AH$5:$AH$364,MATCH($K128,其他调用!$AG$5:$AG$364,0),1)/INDEX(其他调用!AH$5:AH$364,MATCH($K128,其他调用!$AG$5:$AG$364,0),0),1)*INDEX(其他调用!Y$5:Y$404,MATCH($K128,其他调用!$X$5:$X$404,0),0)</f>
        <v>37331.438865549746</v>
      </c>
      <c r="O128" s="12">
        <f>MIN(INDEX(其他调用!$AH$5:$AH$364,MATCH($K128,其他调用!$AG$5:$AG$364,0),1)/INDEX(其他调用!AI$5:AI$364,MATCH($K128,其他调用!$AG$5:$AG$364,0),0),1)*INDEX(其他调用!Z$5:Z$404,MATCH($K128,其他调用!$X$5:$X$404,0),0)</f>
        <v>23410.212603594737</v>
      </c>
      <c r="P128" s="12">
        <f>MIN(INDEX(其他调用!$AH$5:$AH$364,MATCH($K128,其他调用!$AG$5:$AG$364,0),1)/INDEX(其他调用!AJ$5:AJ$364,MATCH($K128,其他调用!$AG$5:$AG$364,0),0),1)*INDEX(其他调用!AA$5:AA$404,MATCH($K128,其他调用!$X$5:$X$404,0),0)</f>
        <v>14051.16267952759</v>
      </c>
      <c r="Q128" s="12">
        <f>MIN(INDEX(其他调用!$AH$5:$AH$364,MATCH($K128,其他调用!$AG$5:$AG$364,0),1)/INDEX(其他调用!AK$5:AK$364,MATCH($K128,其他调用!$AG$5:$AG$364,0),0),1)*INDEX(其他调用!AB$5:AB$404,MATCH($K128,其他调用!$X$5:$X$404,0),0)</f>
        <v>5664.9879525914766</v>
      </c>
      <c r="R128" s="12">
        <f>MIN(INDEX(其他调用!$AH$5:$AH$364,MATCH($K128,其他调用!$AG$5:$AG$364,0),1)/INDEX(其他调用!AL$5:AL$364,MATCH($K128,其他调用!$AG$5:$AG$364,0),0),1)*INDEX(其他调用!AC$5:AC$404,MATCH($K128,其他调用!$X$5:$X$404,0),0)</f>
        <v>1806.0059395548431</v>
      </c>
      <c r="S128" s="12">
        <f>求节点(节奏总纲!D$4:D$163,标准城池设计!AC$4:AC$163,$K128)*求节点(节奏总纲!D$4:D$163,攻城基础信息!$AD$5:$AD$164,$K128)</f>
        <v>563484.6129706488</v>
      </c>
      <c r="T128" s="12">
        <f>INDEX(其他调用!$AA$5:$AA$404,MATCH($K128,其他调用!$X$5:$X$404,0))*MIN(INDEX(其他调用!AI$5:AI$364,MATCH($K128,其他调用!$AG$5:$AG$364,0),1)/INDEX(其他调用!$AJ$5:$AJ$364,MATCH($K128,其他调用!$AG$5:$AG$364,0),0),5)*求节点(节奏总纲!D$4:D$163,攻城基础信息!$AD$5:$AD$164,$K128)</f>
        <v>72777.411543018243</v>
      </c>
      <c r="U128" s="12">
        <f>MIN(INDEX(其他调用!$AI$5:$AI$364,MATCH($K128,其他调用!$AG$5:$AG$364,0),1)/INDEX(其他调用!AH$5:AH$364,MATCH($K128,其他调用!$AG$5:$AG$364,0),0),1)*INDEX(其他调用!Y$5:Y$404,MATCH($K128,其他调用!$X$5:$X$404,0),0)</f>
        <v>37331.438865549746</v>
      </c>
      <c r="V128" s="12">
        <f>MIN(INDEX(其他调用!$AI$5:$AI$364,MATCH($K128,其他调用!$AG$5:$AG$364,0),1)/INDEX(其他调用!AI$5:AI$364,MATCH($K128,其他调用!$AG$5:$AG$364,0),0),1)*INDEX(其他调用!Z$5:Z$404,MATCH($K128,其他调用!$X$5:$X$404,0),0)</f>
        <v>38479.187814100253</v>
      </c>
      <c r="W128" s="12">
        <f>MIN(INDEX(其他调用!$AI$5:$AI$364,MATCH($K128,其他调用!$AG$5:$AG$364,0),1)/INDEX(其他调用!AJ$5:AJ$364,MATCH($K128,其他调用!$AG$5:$AG$364,0),0),1)*INDEX(其他调用!AA$5:AA$404,MATCH($K128,其他调用!$X$5:$X$404,0),0)</f>
        <v>23095.788872459663</v>
      </c>
      <c r="X128" s="12">
        <f>MIN(INDEX(其他调用!$AI$5:$AI$364,MATCH($K128,其他调用!$AG$5:$AG$364,0),1)/INDEX(其他调用!AK$5:AK$364,MATCH($K128,其他调用!$AG$5:$AG$364,0),0),1)*INDEX(其他调用!AB$5:AB$404,MATCH($K128,其他调用!$X$5:$X$404,0),0)</f>
        <v>9311.4974683702894</v>
      </c>
      <c r="Y128" s="12">
        <f>MIN(INDEX(其他调用!$AI$5:$AI$364,MATCH($K128,其他调用!$AG$5:$AG$364,0),1)/INDEX(其他调用!AL$5:AL$364,MATCH($K128,其他调用!$AG$5:$AG$364,0),0),1)*INDEX(其他调用!AC$5:AC$404,MATCH($K128,其他调用!$X$5:$X$404,0),0)</f>
        <v>2968.5181812847081</v>
      </c>
      <c r="Z128" s="12">
        <f>求节点(节奏总纲!D$4:D$163,标准城池设计!AD$4:AD$163,$K128)*求节点(节奏总纲!D$4:D$163,攻城基础信息!$AE$5:$AE$164,$K128)</f>
        <v>605820.71277857653</v>
      </c>
      <c r="AA128" s="12">
        <f>INDEX(其他调用!$AA$5:$AA$404,MATCH($K128,其他调用!$X$5:$X$404,0))*MIN(INDEX(其他调用!AJ$5:AJ$364,MATCH($K128,其他调用!$AG$5:$AG$364,0),1)/INDEX(其他调用!$AJ$5:$AJ$364,MATCH($K128,其他调用!$AG$5:$AG$364,0),0),5)*求节点(节奏总纲!D$4:D$163,攻城基础信息!$AE$5:$AE$164,$K128)</f>
        <v>126017.93553459886</v>
      </c>
      <c r="AB128" s="12">
        <f>MIN(INDEX(其他调用!$AJ$5:$AJ$364,MATCH($K128,其他调用!$AG$5:$AG$364,0),1)/INDEX(其他调用!AH$5:AH$364,MATCH($K128,其他调用!$AG$5:$AG$364,0),0),1)*INDEX(其他调用!Y$5:Y$404,MATCH($K128,其他调用!$X$5:$X$404,0),0)</f>
        <v>37331.438865549746</v>
      </c>
      <c r="AC128" s="12">
        <f>MIN(INDEX(其他调用!$AJ$5:$AJ$364,MATCH($K128,其他调用!$AG$5:$AG$364,0),1)/INDEX(其他调用!AI$5:AI$364,MATCH($K128,其他调用!$AG$5:$AG$364,0),0),1)*INDEX(其他调用!Z$5:Z$404,MATCH($K128,其他调用!$X$5:$X$404,0),0)</f>
        <v>38479.187814100253</v>
      </c>
      <c r="AD128" s="12">
        <f>MIN(INDEX(其他调用!$AJ$5:$AJ$364,MATCH($K128,其他调用!$AG$5:$AG$364,0),1)/INDEX(其他调用!AJ$5:AJ$364,MATCH($K128,其他调用!$AG$5:$AG$364,0),0),1)*INDEX(其他调用!AA$5:AA$404,MATCH($K128,其他调用!$X$5:$X$404,0),0)</f>
        <v>39991.579413757529</v>
      </c>
      <c r="AE128" s="12">
        <f>MIN(INDEX(其他调用!$AJ$5:$AJ$364,MATCH($K128,其他调用!$AG$5:$AG$364,0),1)/INDEX(其他调用!AK$5:AK$364,MATCH($K128,其他调用!$AG$5:$AG$364,0),0),1)*INDEX(其他调用!AB$5:AB$404,MATCH($K128,其他调用!$X$5:$X$404,0),0)</f>
        <v>16123.350127753165</v>
      </c>
      <c r="AF128" s="12">
        <f>MIN(INDEX(其他调用!$AJ$5:$AJ$364,MATCH($K128,其他调用!$AG$5:$AG$364,0),1)/INDEX(其他调用!AL$5:AL$364,MATCH($K128,其他调用!$AG$5:$AG$364,0),0),1)*INDEX(其他调用!AC$5:AC$404,MATCH($K128,其他调用!$X$5:$X$404,0),0)</f>
        <v>5140.1461644634192</v>
      </c>
      <c r="AG128" s="12">
        <f>求节点(节奏总纲!D$4:D$163,标准城池设计!AE$4:AE$163,$K128)*求节点(节奏总纲!D$4:D$163,攻城基础信息!$AF$5:$AF$164,$K128)</f>
        <v>691331.98935451487</v>
      </c>
      <c r="AH128" s="12">
        <f>INDEX(其他调用!$AA$5:$AA$404,MATCH($K128,其他调用!$X$5:$X$404,0))*MIN(INDEX(其他调用!AK$5:AK$364,MATCH($K128,其他调用!$AG$5:$AG$364,0),1)/INDEX(其他调用!$AJ$5:$AJ$364,MATCH($K128,其他调用!$AG$5:$AG$364,0),0),5)*求节点(节奏总纲!D$4:D$163,攻城基础信息!$AF$5:$AF$164,$K128)</f>
        <v>329614.11701664503</v>
      </c>
      <c r="AI128" s="12">
        <f>MIN(INDEX(其他调用!$AK$5:$AK$364,MATCH($K128,其他调用!$AG$5:$AG$364,0),1)/INDEX(其他调用!AH$5:AH$364,MATCH($K128,其他调用!$AG$5:$AG$364,0),0),1)*INDEX(其他调用!Y$5:Y$404,MATCH($K128,其他调用!$X$5:$X$404,0),0)</f>
        <v>37331.438865549746</v>
      </c>
      <c r="AJ128" s="12">
        <f>MIN(INDEX(其他调用!$AK$5:$AK$364,MATCH($K128,其他调用!$AG$5:$AG$364,0),1)/INDEX(其他调用!AI$5:AI$364,MATCH($K128,其他调用!$AG$5:$AG$364,0),0),1)*INDEX(其他调用!Z$5:Z$404,MATCH($K128,其他调用!$X$5:$X$404,0),0)</f>
        <v>38479.187814100253</v>
      </c>
      <c r="AK128" s="12">
        <f>MIN(INDEX(其他调用!$AK$5:$AK$364,MATCH($K128,其他调用!$AG$5:$AG$364,0),1)/INDEX(其他调用!AJ$5:AJ$364,MATCH($K128,其他调用!$AG$5:$AG$364,0),0),1)*INDEX(其他调用!AA$5:AA$404,MATCH($K128,其他调用!$X$5:$X$404,0),0)</f>
        <v>39991.579413757529</v>
      </c>
      <c r="AL128" s="12">
        <f>MIN(INDEX(其他调用!$AK$5:$AK$364,MATCH($K128,其他调用!$AG$5:$AG$364,0),1)/INDEX(其他调用!AK$5:AK$364,MATCH($K128,其他调用!$AG$5:$AG$364,0),0),1)*INDEX(其他调用!AB$5:AB$404,MATCH($K128,其他调用!$X$5:$X$404,0),0)</f>
        <v>42172.439924239603</v>
      </c>
      <c r="AM128" s="12">
        <f>MIN(INDEX(其他调用!$AK$5:$AK$364,MATCH($K128,其他调用!$AG$5:$AG$364,0),1)/INDEX(其他调用!AL$5:AL$364,MATCH($K128,其他调用!$AG$5:$AG$364,0),0),1)*INDEX(其他调用!AC$5:AC$404,MATCH($K128,其他调用!$X$5:$X$404,0),0)</f>
        <v>13444.631767284711</v>
      </c>
      <c r="AN128" s="12">
        <f>求节点(节奏总纲!D$4:D$163,标准城池设计!AF$4:AF$163,$K128)*求节点(节奏总纲!D$4:D$163,攻城基础信息!$AG$5:$AG$164,$K128)</f>
        <v>684896.73972815392</v>
      </c>
      <c r="AO128" s="12">
        <f>INDEX(其他调用!$AA$5:$AA$404,MATCH($K128,其他调用!$X$5:$X$404,0))*MIN(INDEX(其他调用!AL$5:AL$364,MATCH($K128,其他调用!$AG$5:$AG$364,0),1)/INDEX(其他调用!$AJ$5:$AJ$364,MATCH($K128,其他调用!$AG$5:$AG$364,0),0),5)*求节点(节奏总纲!D$4:D$163,攻城基础信息!$AG$5:$AG$164,$K128)</f>
        <v>630089.67767299432</v>
      </c>
      <c r="AP128" s="12">
        <f>MIN(INDEX(其他调用!$AL$5:$AL$364,MATCH($K128,其他调用!$AG$5:$AG$364,0),1)/INDEX(其他调用!AH$5:AH$364,MATCH($K128,其他调用!$AG$5:$AG$364,0),0),1)*INDEX(其他调用!Y$5:Y$404,MATCH($K128,其他调用!$X$5:$X$404,0),0)</f>
        <v>37331.438865549746</v>
      </c>
      <c r="AQ128" s="12">
        <f>MIN(INDEX(其他调用!$AL$5:$AL$364,MATCH($K128,其他调用!$AG$5:$AG$364,0),1)/INDEX(其他调用!AI$5:AI$364,MATCH($K128,其他调用!$AG$5:$AG$364,0),0),1)*INDEX(其他调用!Z$5:Z$404,MATCH($K128,其他调用!$X$5:$X$404,0),0)</f>
        <v>38479.187814100253</v>
      </c>
      <c r="AR128" s="12">
        <f>MIN(INDEX(其他调用!$AL$5:$AL$364,MATCH($K128,其他调用!$AG$5:$AG$364,0),1)/INDEX(其他调用!AJ$5:AJ$364,MATCH($K128,其他调用!$AG$5:$AG$364,0),0),1)*INDEX(其他调用!AA$5:AA$404,MATCH($K128,其他调用!$X$5:$X$404,0),0)</f>
        <v>39991.579413757529</v>
      </c>
      <c r="AS128" s="12">
        <f>MIN(INDEX(其他调用!$AL$5:$AL$364,MATCH($K128,其他调用!$AG$5:$AG$364,0),1)/INDEX(其他调用!AK$5:AK$364,MATCH($K128,其他调用!$AG$5:$AG$364,0),0),1)*INDEX(其他调用!AB$5:AB$404,MATCH($K128,其他调用!$X$5:$X$404,0),0)</f>
        <v>42172.439924239603</v>
      </c>
      <c r="AT128" s="12">
        <f>MIN(INDEX(其他调用!$AL$5:$AL$364,MATCH($K128,其他调用!$AG$5:$AG$364,0),1)/INDEX(其他调用!AL$5:AL$364,MATCH($K128,其他调用!$AG$5:$AG$364,0),0),1)*INDEX(其他调用!AC$5:AC$404,MATCH($K128,其他调用!$X$5:$X$404,0),0)</f>
        <v>46068.671494153656</v>
      </c>
      <c r="AV128" s="14">
        <f>IF(OR(AV$5="大R",AV$5="超R"),MAX(INDEX(其他调用!$H$5:$L$404,MATCH($K128,其他调用!$B$5:$B$404,0),MATCH(AV$5,其他调用!$H$4:$L$4,0))*120*0.85,2),INDEX(其他调用!$H$5:$L$404,MATCH($K128,其他调用!$B$5:$B$404,0),MATCH(AV$5,其他调用!$H$4:$L$4,0))*120*0.85)</f>
        <v>48.921801254999991</v>
      </c>
      <c r="AW128" s="14">
        <f>IF(OR(AW$5="大R",AW$5="超R"),MAX(INDEX(其他调用!$H$5:$L$404,MATCH($K128,其他调用!$B$5:$B$404,0),MATCH(AW$5,其他调用!$H$4:$L$4,0))*120*0.85,2),INDEX(其他调用!$H$5:$L$404,MATCH($K128,其他调用!$B$5:$B$404,0),MATCH(AW$5,其他调用!$H$4:$L$4,0))*120*0.85)</f>
        <v>48.237344010638395</v>
      </c>
      <c r="AX128" s="14">
        <f>IF(OR(AX$5="大R",AX$5="超R"),MAX(INDEX(其他调用!$H$5:$L$404,MATCH($K128,其他调用!$B$5:$B$404,0),MATCH(AX$5,其他调用!$H$4:$L$4,0))*120*0.85,2),INDEX(其他调用!$H$5:$L$404,MATCH($K128,其他调用!$B$5:$B$404,0),MATCH(AX$5,其他调用!$H$4:$L$4,0))*120*0.85)</f>
        <v>3.9376284143615998</v>
      </c>
      <c r="AY128" s="14">
        <f>IF(OR(AY$5="大R",AY$5="超R"),MAX(INDEX(其他调用!$H$5:$L$404,MATCH($K128,其他调用!$B$5:$B$404,0),MATCH(AY$5,其他调用!$H$4:$L$4,0))*120*0.85,2),INDEX(其他调用!$H$5:$L$404,MATCH($K128,其他调用!$B$5:$B$404,0),MATCH(AY$5,其他调用!$H$4:$L$4,0))*120*0.85)</f>
        <v>2</v>
      </c>
      <c r="AZ128" s="14">
        <f>IF(OR(AZ$5="大R",AZ$5="超R"),MAX(INDEX(其他调用!$H$5:$L$404,MATCH($K128,其他调用!$B$5:$B$404,0),MATCH(AZ$5,其他调用!$H$4:$L$4,0))*120*0.85,2),INDEX(其他调用!$H$5:$L$404,MATCH($K128,其他调用!$B$5:$B$404,0),MATCH(AZ$5,其他调用!$H$4:$L$4,0))*120*0.85)</f>
        <v>2</v>
      </c>
      <c r="BA128" s="14">
        <f>INDEX(其他调用!$H$5:$L$404,MATCH($K128,其他调用!$B$5:$B$404,0),MATCH(BA$5,其他调用!$H$4:$L$4,0))*INDEX(其他调用!$M$5:$M$404,MATCH($K128,其他调用!$B$5:$B$404,0))*0.6</f>
        <v>28.777530149999997</v>
      </c>
      <c r="BB128" s="14">
        <f>INDEX(其他调用!$H$5:$L$404,MATCH($K128,其他调用!$B$5:$B$404,0),MATCH(BB$5,其他调用!$H$4:$L$4,0))*INDEX(其他调用!$M$5:$M$404,MATCH($K128,其他调用!$B$5:$B$404,0))*0.6</f>
        <v>28.374908241551999</v>
      </c>
      <c r="BC128" s="14">
        <f>INDEX(其他调用!$H$5:$L$404,MATCH($K128,其他调用!$B$5:$B$404,0),MATCH(BC$5,其他调用!$H$4:$L$4,0))*INDEX(其他调用!$M$5:$M$404,MATCH($K128,其他调用!$B$5:$B$404,0))*0.6</f>
        <v>2.3162520084480001</v>
      </c>
      <c r="BD128" s="14">
        <f>INDEX(其他调用!$H$5:$L$404,MATCH($K128,其他调用!$B$5:$B$404,0),MATCH(BD$5,其他调用!$H$4:$L$4,0))*INDEX(其他调用!$M$5:$M$404,MATCH($K128,其他调用!$B$5:$B$404,0))*0.6</f>
        <v>0.4120776000000001</v>
      </c>
      <c r="BE128" s="14">
        <f>INDEX(其他调用!$H$5:$L$404,MATCH($K128,其他调用!$B$5:$B$404,0),MATCH(BE$5,其他调用!$H$4:$L$4,0))*INDEX(其他调用!$M$5:$M$404,MATCH($K128,其他调用!$B$5:$B$404,0))*0.6</f>
        <v>0.11923199999999998</v>
      </c>
      <c r="BF128" s="14">
        <f>IF(OR(BF$5="大R",BF$5="超R"),0,INDEX(其他调用!$H$5:$L$404,MATCH($K128,其他调用!$B$5:$B$404,0),MATCH(BF$5,其他调用!$H$4:$L$4,0))*50*0.4)</f>
        <v>9.5925100500000013</v>
      </c>
      <c r="BG128" s="14">
        <f>IF(OR(BG$5="大R",BG$5="超R"),0,INDEX(其他调用!$H$5:$L$404,MATCH($K128,其他调用!$B$5:$B$404,0),MATCH(BG$5,其他调用!$H$4:$L$4,0))*50*0.4)</f>
        <v>9.4583027471839998</v>
      </c>
      <c r="BH128" s="14">
        <f>IF(OR(BH$5="大R",BH$5="超R"),0,INDEX(其他调用!$H$5:$L$404,MATCH($K128,其他调用!$B$5:$B$404,0),MATCH(BH$5,其他调用!$H$4:$L$4,0))*50*0.4)</f>
        <v>0.77208400281600009</v>
      </c>
      <c r="BI128" s="14">
        <f>IF(OR(BI$5="大R",BI$5="超R"),0,INDEX(其他调用!$H$5:$L$404,MATCH($K128,其他调用!$B$5:$B$404,0),MATCH(BI$5,其他调用!$H$4:$L$4,0))*50*0.4)</f>
        <v>0</v>
      </c>
      <c r="BJ128" s="14">
        <f>IF(OR(BJ$5="大R",BJ$5="超R"),0,INDEX(其他调用!$H$5:$L$404,MATCH($K128,其他调用!$B$5:$B$404,0),MATCH(BJ$5,其他调用!$H$4:$L$4,0))*50*0.4)</f>
        <v>0</v>
      </c>
      <c r="BL128" s="14">
        <f t="shared" si="208"/>
        <v>123</v>
      </c>
      <c r="BM128" s="14">
        <f t="shared" si="115"/>
        <v>96</v>
      </c>
      <c r="BN128" s="14">
        <f>('疲劳值&amp;地图信息'!$S$10*'疲劳值&amp;地图信息'!$R$10+'疲劳值&amp;地图信息'!$S$11*'疲劳值&amp;地图信息'!$R$11+'疲劳值&amp;地图信息'!$S$12*'疲劳值&amp;地图信息'!$R$12+(BM128-'疲劳值&amp;地图信息'!$S$12-'疲劳值&amp;地图信息'!$S$11-'疲劳值&amp;地图信息'!$S$10)*'疲劳值&amp;地图信息'!$R$13)/BM128</f>
        <v>51.371477246638619</v>
      </c>
      <c r="BO128" s="14">
        <f>INDEX(其他调用!$M$5:$M$404,MATCH(BL128,其他调用!$B$5:$B$404,0))*0.6</f>
        <v>60</v>
      </c>
      <c r="BP128" s="14">
        <f>IF(BO128&gt;SUM('疲劳值&amp;地图信息'!$S$10:$S$12),('疲劳值&amp;地图信息'!$S$10*'疲劳值&amp;地图信息'!$R$10+'疲劳值&amp;地图信息'!$S$11*'疲劳值&amp;地图信息'!$R$11+'疲劳值&amp;地图信息'!$S$12*'疲劳值&amp;地图信息'!$R$12+(BO128-'疲劳值&amp;地图信息'!$S$12-'疲劳值&amp;地图信息'!$S$11-'疲劳值&amp;地图信息'!$S$10)*'疲劳值&amp;地图信息'!$R$13)/BO128,('疲劳值&amp;地图信息'!$S$10*'疲劳值&amp;地图信息'!$R$10+'疲劳值&amp;地图信息'!$S$11*'疲劳值&amp;地图信息'!$R$11+'疲劳值&amp;地图信息'!$S$12*'疲劳值&amp;地图信息'!$R$12+(BO128-'疲劳值&amp;地图信息'!$S$12-'疲劳值&amp;地图信息'!$S$11-'疲劳值&amp;地图信息'!$S$10)*'疲劳值&amp;地图信息'!$R$13)/BO128)</f>
        <v>44.158136341605953</v>
      </c>
      <c r="BQ128" s="14">
        <f t="shared" si="209"/>
        <v>20</v>
      </c>
      <c r="BR128" s="14">
        <f>('疲劳值&amp;地图信息'!$S$10*'疲劳值&amp;地图信息'!$R$10+($BQ128-'疲劳值&amp;地图信息'!$S$10)*'疲劳值&amp;地图信息'!$R$11)/$BQ128</f>
        <v>32.067203015074995</v>
      </c>
      <c r="CF128" s="14">
        <v>123</v>
      </c>
      <c r="CG128" s="51">
        <f t="shared" si="116"/>
        <v>10709</v>
      </c>
      <c r="CH128" s="51">
        <f t="shared" si="117"/>
        <v>902</v>
      </c>
      <c r="CI128" s="51">
        <f>INT(SUMPRODUCT($N128:$R128,$BA128:$BE128)/SUM($BA128:$BE128)/10000*$BX$7*$BZ$34/'疲劳值&amp;地图信息'!$R$10*$BY$53)</f>
        <v>2999</v>
      </c>
      <c r="CJ128" s="50">
        <f t="shared" si="118"/>
        <v>0.73299110198494177</v>
      </c>
      <c r="CK128" s="50">
        <f t="shared" si="119"/>
        <v>6.1738535249828884E-2</v>
      </c>
      <c r="CL128" s="50">
        <f t="shared" si="120"/>
        <v>0.20527036276522931</v>
      </c>
      <c r="CM128" s="14">
        <f t="shared" si="121"/>
        <v>11484</v>
      </c>
      <c r="CN128" s="14">
        <f t="shared" si="122"/>
        <v>1483</v>
      </c>
      <c r="CO128" s="14">
        <f>INT(SUMPRODUCT($U128:$Y128,$BA128:$BE128)/SUM($BA128:$BE128)/10000*$BX$7*$BZ$34/'疲劳值&amp;地图信息'!$R$10*$BY$54)</f>
        <v>5641</v>
      </c>
      <c r="CP128" s="50">
        <f t="shared" si="123"/>
        <v>0.61715391229578676</v>
      </c>
      <c r="CQ128" s="50">
        <f t="shared" si="124"/>
        <v>7.9696904557179704E-2</v>
      </c>
      <c r="CR128" s="50">
        <f t="shared" si="125"/>
        <v>0.30314918314703354</v>
      </c>
      <c r="CS128" s="14">
        <f t="shared" si="126"/>
        <v>12347</v>
      </c>
      <c r="CT128" s="14">
        <f t="shared" si="127"/>
        <v>2568</v>
      </c>
      <c r="CU128" s="14">
        <f>INT(SUMPRODUCT($AB128:$AF128,$BA128:$BE128)/SUM($BA128:$BE128)/10000*$BX$7*$BZ$34/'疲劳值&amp;地图信息'!$R$10*$BY$55)</f>
        <v>7664</v>
      </c>
      <c r="CV128" s="50">
        <f t="shared" si="128"/>
        <v>0.5468355551618761</v>
      </c>
      <c r="CW128" s="50">
        <f t="shared" si="129"/>
        <v>0.11373400062004517</v>
      </c>
      <c r="CX128" s="50">
        <f t="shared" si="130"/>
        <v>0.33943044421807872</v>
      </c>
      <c r="CY128" s="14">
        <f t="shared" si="131"/>
        <v>14090</v>
      </c>
      <c r="CZ128" s="14">
        <f t="shared" si="132"/>
        <v>6717</v>
      </c>
      <c r="DA128" s="14">
        <f>INT(SUMPRODUCT($AI128:$AM128,$BA128:$BE128)/SUM($BA128:$BE128)/10000*$BX$7*$BZ$34/'疲劳值&amp;地图信息'!$R$10*$BY$56)</f>
        <v>11555</v>
      </c>
      <c r="DB128" s="50">
        <f t="shared" si="133"/>
        <v>0.43538718249799147</v>
      </c>
      <c r="DC128" s="50">
        <f t="shared" si="134"/>
        <v>0.20755824732711203</v>
      </c>
      <c r="DD128" s="50">
        <f t="shared" si="135"/>
        <v>0.3570545701748965</v>
      </c>
      <c r="DE128" s="14">
        <f t="shared" si="136"/>
        <v>13959</v>
      </c>
      <c r="DF128" s="14">
        <f t="shared" si="137"/>
        <v>12842</v>
      </c>
      <c r="DG128" s="14">
        <f>INT(SUMPRODUCT($AP128:$AT128,$BA128:$BE128)/SUM($BA128:$BE128)/10000*$BX$7*$BZ$34/'疲劳值&amp;地图信息'!$R$10*$BY$57)</f>
        <v>15434</v>
      </c>
      <c r="DH128" s="50">
        <f t="shared" si="138"/>
        <v>0.33050787261749731</v>
      </c>
      <c r="DI128" s="50">
        <f t="shared" si="139"/>
        <v>0.30406061323546824</v>
      </c>
      <c r="DJ128" s="50">
        <f t="shared" si="140"/>
        <v>0.36543151414703445</v>
      </c>
      <c r="DL128" s="14">
        <f t="shared" si="211"/>
        <v>14610</v>
      </c>
      <c r="DM128" s="14">
        <f t="shared" si="212"/>
        <v>18608</v>
      </c>
      <c r="DN128" s="14">
        <f t="shared" si="213"/>
        <v>22579</v>
      </c>
      <c r="DO128" s="14">
        <f t="shared" si="214"/>
        <v>32362</v>
      </c>
      <c r="DP128" s="14">
        <f t="shared" si="215"/>
        <v>42235</v>
      </c>
      <c r="DQ128" s="14">
        <f t="shared" si="216"/>
        <v>1019110</v>
      </c>
      <c r="DT128" s="14">
        <f t="shared" si="210"/>
        <v>235575</v>
      </c>
      <c r="DU128" s="50">
        <f t="shared" si="112"/>
        <v>0.18775628942722675</v>
      </c>
      <c r="DW128" s="14">
        <f t="shared" si="141"/>
        <v>1254685</v>
      </c>
      <c r="EB128" s="14">
        <v>123</v>
      </c>
      <c r="EC128" s="51">
        <f t="shared" si="142"/>
        <v>17848</v>
      </c>
      <c r="ED128" s="51">
        <f t="shared" si="143"/>
        <v>1504</v>
      </c>
      <c r="EE128" s="51">
        <f>INT(SUMPRODUCT($N128:$R128,$BF128:$BJ128)/SUM($BF128:$BJ128)/10000*$BX$7*$BZ$46/'疲劳值&amp;地图信息'!$R$10*$BY$53)</f>
        <v>402</v>
      </c>
      <c r="EF128" s="50">
        <f t="shared" si="144"/>
        <v>0.90351321251392125</v>
      </c>
      <c r="EG128" s="50">
        <f t="shared" si="145"/>
        <v>7.6136478687860693E-2</v>
      </c>
      <c r="EH128" s="50">
        <f t="shared" si="146"/>
        <v>2.0350308798218083E-2</v>
      </c>
      <c r="EI128" s="51">
        <f t="shared" si="147"/>
        <v>19140</v>
      </c>
      <c r="EJ128" s="51">
        <f t="shared" si="148"/>
        <v>2472</v>
      </c>
      <c r="EK128" s="14">
        <f>INT(SUMPRODUCT($U128:$Y128,$BF128:$BJ128)/SUM($BF128:$BJ128)/10000*$BX$7*$BZ$46/'疲劳值&amp;地图信息'!$R$10*$BY$54)</f>
        <v>757</v>
      </c>
      <c r="EL128" s="50">
        <f t="shared" si="149"/>
        <v>0.85564844204032364</v>
      </c>
      <c r="EM128" s="50">
        <f t="shared" si="150"/>
        <v>0.11051008091555277</v>
      </c>
      <c r="EN128" s="50">
        <f t="shared" si="151"/>
        <v>3.3841477044123561E-2</v>
      </c>
      <c r="EO128" s="51">
        <f t="shared" si="152"/>
        <v>20579</v>
      </c>
      <c r="EP128" s="51">
        <f t="shared" si="153"/>
        <v>4280</v>
      </c>
      <c r="EQ128" s="14">
        <f>INT(SUMPRODUCT($AB128:$AF128,$BF128:$BJ128)/SUM($BF128:$BJ128)/10000*$BX$7*$BZ$46/'疲劳值&amp;地图信息'!$R$10*$BY$55)</f>
        <v>1027</v>
      </c>
      <c r="ER128" s="50">
        <f t="shared" si="154"/>
        <v>0.79498570655953027</v>
      </c>
      <c r="ES128" s="50">
        <f t="shared" si="155"/>
        <v>0.16534033840686085</v>
      </c>
      <c r="ET128" s="50">
        <f t="shared" si="156"/>
        <v>3.9673955033608897E-2</v>
      </c>
      <c r="EU128" s="51">
        <f t="shared" si="157"/>
        <v>23483</v>
      </c>
      <c r="EV128" s="51">
        <f t="shared" si="158"/>
        <v>11196</v>
      </c>
      <c r="EW128" s="14">
        <f>INT(SUMPRODUCT($AI128:$AM128,$BF128:$BJ128)/SUM($BF128:$BJ128)/10000*$BX$7*$BZ$46/'疲劳值&amp;地图信息'!$R$10*$BY$56)</f>
        <v>1541</v>
      </c>
      <c r="EX128" s="50">
        <f t="shared" si="159"/>
        <v>0.64834345665378246</v>
      </c>
      <c r="EY128" s="50">
        <f t="shared" si="160"/>
        <v>0.3091109884041966</v>
      </c>
      <c r="EZ128" s="50">
        <f t="shared" si="161"/>
        <v>4.2545554942020981E-2</v>
      </c>
      <c r="FA128" s="51">
        <f t="shared" si="162"/>
        <v>23265</v>
      </c>
      <c r="FB128" s="51">
        <f t="shared" si="163"/>
        <v>21403</v>
      </c>
      <c r="FC128" s="14">
        <f>INT(SUMPRODUCT($AP128:$AT128,$BF128:$BJ128)/SUM($BF128:$BJ128)/10000*$BX$7*$BZ$46/'疲劳值&amp;地图信息'!$R$10*$BY$57)</f>
        <v>2055</v>
      </c>
      <c r="FD128" s="50">
        <f t="shared" si="164"/>
        <v>0.49793463604648674</v>
      </c>
      <c r="FE128" s="50">
        <f t="shared" si="165"/>
        <v>0.45808274297455215</v>
      </c>
      <c r="FF128" s="50">
        <f t="shared" si="166"/>
        <v>4.3982620978961114E-2</v>
      </c>
      <c r="FH128" s="14">
        <f t="shared" si="167"/>
        <v>19754</v>
      </c>
      <c r="FI128" s="14">
        <f t="shared" si="168"/>
        <v>22369</v>
      </c>
      <c r="FJ128" s="14">
        <f t="shared" si="169"/>
        <v>25886</v>
      </c>
      <c r="FK128" s="14">
        <f t="shared" si="170"/>
        <v>36220</v>
      </c>
      <c r="FL128" s="14">
        <f t="shared" si="171"/>
        <v>46723</v>
      </c>
      <c r="FM128" s="14">
        <f t="shared" si="172"/>
        <v>2313237</v>
      </c>
      <c r="FP128" s="14">
        <f t="shared" si="173"/>
        <v>334150</v>
      </c>
      <c r="FQ128" s="50">
        <f t="shared" si="113"/>
        <v>0.12621879611858788</v>
      </c>
      <c r="FS128" s="14">
        <f t="shared" si="174"/>
        <v>2647387</v>
      </c>
      <c r="FX128" s="14">
        <v>123</v>
      </c>
      <c r="FY128" s="51">
        <f t="shared" si="175"/>
        <v>24988</v>
      </c>
      <c r="FZ128" s="51">
        <f t="shared" si="176"/>
        <v>1504</v>
      </c>
      <c r="GA128" s="51">
        <f>INT(SUMPRODUCT($N128:$R128,$BF128:$BJ128)/SUM($BF128:$BJ128)/10000*$BX$7*$BZ$46/'疲劳值&amp;地图信息'!$R$10*$BY$53)</f>
        <v>402</v>
      </c>
      <c r="GB128" s="50">
        <f t="shared" si="177"/>
        <v>0.9291291737934112</v>
      </c>
      <c r="GC128" s="50">
        <f t="shared" si="178"/>
        <v>5.5923254257455195E-2</v>
      </c>
      <c r="GD128" s="50">
        <f t="shared" si="179"/>
        <v>1.4947571949133636E-2</v>
      </c>
      <c r="GE128" s="51">
        <f t="shared" si="180"/>
        <v>26797</v>
      </c>
      <c r="GF128" s="51">
        <f t="shared" si="181"/>
        <v>2472</v>
      </c>
      <c r="GG128" s="14">
        <f>INT(SUMPRODUCT($U128:$Y128,$BF128:$BJ128)/SUM($BF128:$BJ128)/10000*$BX$7*$BZ$46/'疲劳值&amp;地图信息'!$R$10*$BY$54)</f>
        <v>757</v>
      </c>
      <c r="GH128" s="50">
        <f t="shared" si="182"/>
        <v>0.89245986811430089</v>
      </c>
      <c r="GI128" s="50">
        <f t="shared" si="183"/>
        <v>8.2328648504629315E-2</v>
      </c>
      <c r="GJ128" s="50">
        <f t="shared" si="184"/>
        <v>2.5211483381069738E-2</v>
      </c>
      <c r="GK128" s="51">
        <f t="shared" si="185"/>
        <v>28810</v>
      </c>
      <c r="GL128" s="51">
        <f t="shared" si="186"/>
        <v>4280</v>
      </c>
      <c r="GM128" s="14">
        <f>INT(SUMPRODUCT($AB128:$AF128,$BF128:$BJ128)/SUM($BF128:$BJ128)/10000*$BX$7*$BZ$46/'疲劳值&amp;地图信息'!$R$10*$BY$55)</f>
        <v>1027</v>
      </c>
      <c r="GN128" s="50">
        <f t="shared" si="187"/>
        <v>0.84444704985784214</v>
      </c>
      <c r="GO128" s="50">
        <f t="shared" si="188"/>
        <v>0.12545065509863118</v>
      </c>
      <c r="GP128" s="50">
        <f t="shared" si="189"/>
        <v>3.0102295043526687E-2</v>
      </c>
      <c r="GQ128" s="51">
        <f t="shared" si="190"/>
        <v>32877</v>
      </c>
      <c r="GR128" s="51">
        <f t="shared" si="191"/>
        <v>11196</v>
      </c>
      <c r="GS128" s="14">
        <f>INT(SUMPRODUCT($AI128:$AM128,$BF128:$BJ128)/SUM($BF128:$BJ128)/10000*$BX$7*$BZ$46/'疲劳值&amp;地图信息'!$R$10*$BY$56)</f>
        <v>1541</v>
      </c>
      <c r="GT128" s="50">
        <f t="shared" si="192"/>
        <v>0.72076555443504187</v>
      </c>
      <c r="GU128" s="50">
        <f t="shared" si="193"/>
        <v>0.2454509580391985</v>
      </c>
      <c r="GV128" s="50">
        <f t="shared" si="194"/>
        <v>3.3783487525759638E-2</v>
      </c>
      <c r="GW128" s="51">
        <f t="shared" si="195"/>
        <v>32571</v>
      </c>
      <c r="GX128" s="51">
        <f t="shared" si="196"/>
        <v>21403</v>
      </c>
      <c r="GY128" s="14">
        <f>INT(SUMPRODUCT($AP128:$AT128,$BF128:$BJ128)/SUM($BF128:$BJ128)/10000*$BX$7*$BZ$46/'疲劳值&amp;地图信息'!$R$10*$BY$57)</f>
        <v>2055</v>
      </c>
      <c r="GZ128" s="50">
        <f t="shared" si="197"/>
        <v>0.58132395723643115</v>
      </c>
      <c r="HA128" s="50">
        <f t="shared" si="198"/>
        <v>0.38199860786378481</v>
      </c>
      <c r="HB128" s="50">
        <f t="shared" si="199"/>
        <v>3.6677434899784041E-2</v>
      </c>
      <c r="HD128" s="14">
        <f t="shared" si="200"/>
        <v>26894</v>
      </c>
      <c r="HE128" s="14">
        <f t="shared" si="201"/>
        <v>30026</v>
      </c>
      <c r="HF128" s="14">
        <f t="shared" si="202"/>
        <v>34117</v>
      </c>
      <c r="HG128" s="14">
        <f t="shared" si="203"/>
        <v>45614</v>
      </c>
      <c r="HH128" s="14">
        <f t="shared" si="204"/>
        <v>56029</v>
      </c>
      <c r="HI128" s="14">
        <f t="shared" si="205"/>
        <v>3101703</v>
      </c>
      <c r="HL128" s="14">
        <f t="shared" si="206"/>
        <v>430050</v>
      </c>
      <c r="HM128" s="50">
        <f t="shared" si="114"/>
        <v>0.12176672604227985</v>
      </c>
      <c r="HO128" s="14">
        <f t="shared" si="207"/>
        <v>3531753</v>
      </c>
    </row>
    <row r="129" spans="11:223" x14ac:dyDescent="0.2">
      <c r="K129" s="14">
        <v>124</v>
      </c>
      <c r="L129" s="12">
        <f>求节点(节奏总纲!D$4:D$163,标准城池设计!AB$4:AB$163,$K129)*求节点(节奏总纲!D$4:D$163,攻城基础信息!$AC$5:$AC$164,$K129)</f>
        <v>527192.86313084932</v>
      </c>
      <c r="M129" s="12">
        <f>INDEX(其他调用!$AA$5:$AA$404,MATCH(K129,其他调用!$X$5:$X$404,0))*MIN(INDEX(其他调用!$AH$5:$AH$364,MATCH('征服点（新）'!K129,其他调用!$AG$5:$AG$364,0),1)/INDEX(其他调用!$AJ$5:$AJ$364,MATCH(K129,其他调用!$AG$5:$AG$364,0),0),5)*求节点(节奏总纲!D$4:D$163,攻城基础信息!$AC$5:$AC$164,$K129)</f>
        <v>44363.345223141099</v>
      </c>
      <c r="N129" s="12">
        <f>MIN(INDEX(其他调用!$AH$5:$AH$364,MATCH($K129,其他调用!$AG$5:$AG$364,0),1)/INDEX(其他调用!AH$5:AH$364,MATCH($K129,其他调用!$AG$5:$AG$364,0),0),1)*INDEX(其他调用!Y$5:Y$404,MATCH($K129,其他调用!$X$5:$X$404,0),0)</f>
        <v>37377.8579203646</v>
      </c>
      <c r="O129" s="12">
        <f>MIN(INDEX(其他调用!$AH$5:$AH$364,MATCH($K129,其他调用!$AG$5:$AG$364,0),1)/INDEX(其他调用!AI$5:AI$364,MATCH($K129,其他调用!$AG$5:$AG$364,0),0),1)*INDEX(其他调用!Z$5:Z$404,MATCH($K129,其他调用!$X$5:$X$404,0),0)</f>
        <v>23425.871216462117</v>
      </c>
      <c r="P129" s="12">
        <f>MIN(INDEX(其他调用!$AH$5:$AH$364,MATCH($K129,其他调用!$AG$5:$AG$364,0),1)/INDEX(其他调用!AJ$5:AJ$364,MATCH($K129,其他调用!$AG$5:$AG$364,0),0),1)*INDEX(其他调用!AA$5:AA$404,MATCH($K129,其他调用!$X$5:$X$404,0),0)</f>
        <v>14061.280048575652</v>
      </c>
      <c r="Q129" s="12">
        <f>MIN(INDEX(其他调用!$AH$5:$AH$364,MATCH($K129,其他调用!$AG$5:$AG$364,0),1)/INDEX(其他调用!AK$5:AK$364,MATCH($K129,其他调用!$AG$5:$AG$364,0),0),1)*INDEX(其他调用!AB$5:AB$404,MATCH($K129,其他调用!$X$5:$X$404,0),0)</f>
        <v>5659.7727191466793</v>
      </c>
      <c r="R129" s="12">
        <f>MIN(INDEX(其他调用!$AH$5:$AH$364,MATCH($K129,其他调用!$AG$5:$AG$364,0),1)/INDEX(其他调用!AL$5:AL$364,MATCH($K129,其他调用!$AG$5:$AG$364,0),0),1)*INDEX(其他调用!AC$5:AC$404,MATCH($K129,其他调用!$X$5:$X$404,0),0)</f>
        <v>1807.3464233452403</v>
      </c>
      <c r="S129" s="12">
        <f>求节点(节奏总纲!D$4:D$163,标准城池设计!AC$4:AC$163,$K129)*求节点(节奏总纲!D$4:D$163,攻城基础信息!$AD$5:$AD$164,$K129)</f>
        <v>565485.39755837177</v>
      </c>
      <c r="T129" s="12">
        <f>INDEX(其他调用!$AA$5:$AA$404,MATCH($K129,其他调用!$X$5:$X$404,0))*MIN(INDEX(其他调用!AI$5:AI$364,MATCH($K129,其他调用!$AG$5:$AG$364,0),1)/INDEX(其他调用!$AJ$5:$AJ$364,MATCH($K129,其他调用!$AG$5:$AG$364,0),0),5)*求节点(节奏总纲!D$4:D$163,攻城基础信息!$AD$5:$AD$164,$K129)</f>
        <v>72961.283103610345</v>
      </c>
      <c r="U129" s="12">
        <f>MIN(INDEX(其他调用!$AI$5:$AI$364,MATCH($K129,其他调用!$AG$5:$AG$364,0),1)/INDEX(其他调用!AH$5:AH$364,MATCH($K129,其他调用!$AG$5:$AG$364,0),0),1)*INDEX(其他调用!Y$5:Y$404,MATCH($K129,其他调用!$X$5:$X$404,0),0)</f>
        <v>37377.8579203646</v>
      </c>
      <c r="V129" s="12">
        <f>MIN(INDEX(其他调用!$AI$5:$AI$364,MATCH($K129,其他调用!$AG$5:$AG$364,0),1)/INDEX(其他调用!AI$5:AI$364,MATCH($K129,其他调用!$AG$5:$AG$364,0),0),1)*INDEX(其他调用!Z$5:Z$404,MATCH($K129,其他调用!$X$5:$X$404,0),0)</f>
        <v>38526.88775330349</v>
      </c>
      <c r="W129" s="12">
        <f>MIN(INDEX(其他调用!$AI$5:$AI$364,MATCH($K129,其他调用!$AG$5:$AG$364,0),1)/INDEX(其他调用!AJ$5:AJ$364,MATCH($K129,其他调用!$AG$5:$AG$364,0),0),1)*INDEX(其他调用!AA$5:AA$404,MATCH($K129,其他调用!$X$5:$X$404,0),0)</f>
        <v>23125.601310338614</v>
      </c>
      <c r="X129" s="12">
        <f>MIN(INDEX(其他调用!$AI$5:$AI$364,MATCH($K129,其他调用!$AG$5:$AG$364,0),1)/INDEX(其他调用!AK$5:AK$364,MATCH($K129,其他调用!$AG$5:$AG$364,0),0),1)*INDEX(其他调用!AB$5:AB$404,MATCH($K129,其他调用!$X$5:$X$404,0),0)</f>
        <v>9308.2313244572179</v>
      </c>
      <c r="Y129" s="12">
        <f>MIN(INDEX(其他调用!$AI$5:$AI$364,MATCH($K129,其他调用!$AG$5:$AG$364,0),1)/INDEX(其他调用!AL$5:AL$364,MATCH($K129,其他调用!$AG$5:$AG$364,0),0),1)*INDEX(其他调用!AC$5:AC$404,MATCH($K129,其他调用!$X$5:$X$404,0),0)</f>
        <v>2972.4159302397406</v>
      </c>
      <c r="Z129" s="12">
        <f>求节点(节奏总纲!D$4:D$163,标准城池设计!AD$4:AD$163,$K129)*求节点(节奏总纲!D$4:D$163,攻城基础信息!$AE$5:$AE$164,$K129)</f>
        <v>607826.97772849479</v>
      </c>
      <c r="AA129" s="12">
        <f>INDEX(其他调用!$AA$5:$AA$404,MATCH($K129,其他调用!$X$5:$X$404,0))*MIN(INDEX(其他调用!AJ$5:AJ$364,MATCH($K129,其他调用!$AG$5:$AG$364,0),1)/INDEX(其他调用!$AJ$5:$AJ$364,MATCH($K129,其他调用!$AG$5:$AG$364,0),0),5)*求节点(节奏总纲!D$4:D$163,攻城基础信息!$AE$5:$AE$164,$K129)</f>
        <v>126323.16234617661</v>
      </c>
      <c r="AB129" s="12">
        <f>MIN(INDEX(其他调用!$AJ$5:$AJ$364,MATCH($K129,其他调用!$AG$5:$AG$364,0),1)/INDEX(其他调用!AH$5:AH$364,MATCH($K129,其他调用!$AG$5:$AG$364,0),0),1)*INDEX(其他调用!Y$5:Y$404,MATCH($K129,其他调用!$X$5:$X$404,0),0)</f>
        <v>37377.8579203646</v>
      </c>
      <c r="AC129" s="12">
        <f>MIN(INDEX(其他调用!$AJ$5:$AJ$364,MATCH($K129,其他调用!$AG$5:$AG$364,0),1)/INDEX(其他调用!AI$5:AI$364,MATCH($K129,其他调用!$AG$5:$AG$364,0),0),1)*INDEX(其他调用!Z$5:Z$404,MATCH($K129,其他调用!$X$5:$X$404,0),0)</f>
        <v>38526.88775330349</v>
      </c>
      <c r="AD129" s="12">
        <f>MIN(INDEX(其他调用!$AJ$5:$AJ$364,MATCH($K129,其他调用!$AG$5:$AG$364,0),1)/INDEX(其他调用!AJ$5:AJ$364,MATCH($K129,其他调用!$AG$5:$AG$364,0),0),1)*INDEX(其他调用!AA$5:AA$404,MATCH($K129,其他调用!$X$5:$X$404,0),0)</f>
        <v>40039.031173977593</v>
      </c>
      <c r="AE129" s="12">
        <f>MIN(INDEX(其他调用!$AJ$5:$AJ$364,MATCH($K129,其他调用!$AG$5:$AG$364,0),1)/INDEX(其他调用!AK$5:AK$364,MATCH($K129,其他调用!$AG$5:$AG$364,0),0),1)*INDEX(其他调用!AB$5:AB$404,MATCH($K129,其他调用!$X$5:$X$404,0),0)</f>
        <v>16116.01614907717</v>
      </c>
      <c r="AF129" s="12">
        <f>MIN(INDEX(其他调用!$AJ$5:$AJ$364,MATCH($K129,其他调用!$AG$5:$AG$364,0),1)/INDEX(其他调用!AL$5:AL$364,MATCH($K129,其他调用!$AG$5:$AG$364,0),0),1)*INDEX(其他调用!AC$5:AC$404,MATCH($K129,其他调用!$X$5:$X$404,0),0)</f>
        <v>5146.3593311924114</v>
      </c>
      <c r="AG129" s="12">
        <f>求节点(节奏总纲!D$4:D$163,标准城池设计!AE$4:AE$163,$K129)*求节点(节奏总纲!D$4:D$163,攻城基础信息!$AF$5:$AF$164,$K129)</f>
        <v>693833.09769044351</v>
      </c>
      <c r="AH129" s="12">
        <f>INDEX(其他调用!$AA$5:$AA$404,MATCH($K129,其他调用!$X$5:$X$404,0))*MIN(INDEX(其他调用!AK$5:AK$364,MATCH($K129,其他调用!$AG$5:$AG$364,0),1)/INDEX(其他调用!$AJ$5:$AJ$364,MATCH($K129,其他调用!$AG$5:$AG$364,0),0),5)*求节点(节奏总纲!D$4:D$163,攻城基础信息!$AF$5:$AF$164,$K129)</f>
        <v>330932.52507952607</v>
      </c>
      <c r="AI129" s="12">
        <f>MIN(INDEX(其他调用!$AK$5:$AK$364,MATCH($K129,其他调用!$AG$5:$AG$364,0),1)/INDEX(其他调用!AH$5:AH$364,MATCH($K129,其他调用!$AG$5:$AG$364,0),0),1)*INDEX(其他调用!Y$5:Y$404,MATCH($K129,其他调用!$X$5:$X$404,0),0)</f>
        <v>37377.8579203646</v>
      </c>
      <c r="AJ129" s="12">
        <f>MIN(INDEX(其他调用!$AK$5:$AK$364,MATCH($K129,其他调用!$AG$5:$AG$364,0),1)/INDEX(其他调用!AI$5:AI$364,MATCH($K129,其他调用!$AG$5:$AG$364,0),0),1)*INDEX(其他调用!Z$5:Z$404,MATCH($K129,其他调用!$X$5:$X$404,0),0)</f>
        <v>38526.88775330349</v>
      </c>
      <c r="AK129" s="12">
        <f>MIN(INDEX(其他调用!$AK$5:$AK$364,MATCH($K129,其他调用!$AG$5:$AG$364,0),1)/INDEX(其他调用!AJ$5:AJ$364,MATCH($K129,其他调用!$AG$5:$AG$364,0),0),1)*INDEX(其他调用!AA$5:AA$404,MATCH($K129,其他调用!$X$5:$X$404,0),0)</f>
        <v>40039.031173977593</v>
      </c>
      <c r="AL129" s="12">
        <f>MIN(INDEX(其他调用!$AK$5:$AK$364,MATCH($K129,其他调用!$AG$5:$AG$364,0),1)/INDEX(其他调用!AK$5:AK$364,MATCH($K129,其他调用!$AG$5:$AG$364,0),0),1)*INDEX(其他调用!AB$5:AB$404,MATCH($K129,其他调用!$X$5:$X$404,0),0)</f>
        <v>42219.604222866808</v>
      </c>
      <c r="AM129" s="12">
        <f>MIN(INDEX(其他调用!$AK$5:$AK$364,MATCH($K129,其他调用!$AG$5:$AG$364,0),1)/INDEX(其他调用!AL$5:AL$364,MATCH($K129,其他调用!$AG$5:$AG$364,0),0),1)*INDEX(其他调用!AC$5:AC$404,MATCH($K129,其他调用!$X$5:$X$404,0),0)</f>
        <v>13482.069770949118</v>
      </c>
      <c r="AN129" s="12">
        <f>求节点(节奏总纲!D$4:D$163,标准城池设计!AF$4:AF$163,$K129)*求节点(节奏总纲!D$4:D$163,攻城基础信息!$AG$5:$AG$164,$K129)</f>
        <v>687845.36807164189</v>
      </c>
      <c r="AO129" s="12">
        <f>INDEX(其他调用!$AA$5:$AA$404,MATCH($K129,其他调用!$X$5:$X$404,0))*MIN(INDEX(其他调用!AL$5:AL$364,MATCH($K129,其他调用!$AG$5:$AG$364,0),1)/INDEX(其他调用!$AJ$5:$AJ$364,MATCH($K129,其他调用!$AG$5:$AG$364,0),0),5)*求节点(节奏总纲!D$4:D$163,攻城基础信息!$AG$5:$AG$164,$K129)</f>
        <v>631615.81173088308</v>
      </c>
      <c r="AP129" s="12">
        <f>MIN(INDEX(其他调用!$AL$5:$AL$364,MATCH($K129,其他调用!$AG$5:$AG$364,0),1)/INDEX(其他调用!AH$5:AH$364,MATCH($K129,其他调用!$AG$5:$AG$364,0),0),1)*INDEX(其他调用!Y$5:Y$404,MATCH($K129,其他调用!$X$5:$X$404,0),0)</f>
        <v>37377.8579203646</v>
      </c>
      <c r="AQ129" s="12">
        <f>MIN(INDEX(其他调用!$AL$5:$AL$364,MATCH($K129,其他调用!$AG$5:$AG$364,0),1)/INDEX(其他调用!AI$5:AI$364,MATCH($K129,其他调用!$AG$5:$AG$364,0),0),1)*INDEX(其他调用!Z$5:Z$404,MATCH($K129,其他调用!$X$5:$X$404,0),0)</f>
        <v>38526.88775330349</v>
      </c>
      <c r="AR129" s="12">
        <f>MIN(INDEX(其他调用!$AL$5:$AL$364,MATCH($K129,其他调用!$AG$5:$AG$364,0),1)/INDEX(其他调用!AJ$5:AJ$364,MATCH($K129,其他调用!$AG$5:$AG$364,0),0),1)*INDEX(其他调用!AA$5:AA$404,MATCH($K129,其他调用!$X$5:$X$404,0),0)</f>
        <v>40039.031173977593</v>
      </c>
      <c r="AS129" s="12">
        <f>MIN(INDEX(其他调用!$AL$5:$AL$364,MATCH($K129,其他调用!$AG$5:$AG$364,0),1)/INDEX(其他调用!AK$5:AK$364,MATCH($K129,其他调用!$AG$5:$AG$364,0),0),1)*INDEX(其他调用!AB$5:AB$404,MATCH($K129,其他调用!$X$5:$X$404,0),0)</f>
        <v>42219.604222866808</v>
      </c>
      <c r="AT129" s="12">
        <f>MIN(INDEX(其他调用!$AL$5:$AL$364,MATCH($K129,其他调用!$AG$5:$AG$364,0),1)/INDEX(其他调用!AL$5:AL$364,MATCH($K129,其他调用!$AG$5:$AG$364,0),0),1)*INDEX(其他调用!AC$5:AC$404,MATCH($K129,其他调用!$X$5:$X$404,0),0)</f>
        <v>46117.169253117449</v>
      </c>
      <c r="AV129" s="14">
        <f>IF(OR(AV$5="大R",AV$5="超R"),MAX(INDEX(其他调用!$H$5:$L$404,MATCH($K129,其他调用!$B$5:$B$404,0),MATCH(AV$5,其他调用!$H$4:$L$4,0))*120*0.85,2),INDEX(其他调用!$H$5:$L$404,MATCH($K129,其他调用!$B$5:$B$404,0),MATCH(AV$5,其他调用!$H$4:$L$4,0))*120*0.85)</f>
        <v>48.921801254999991</v>
      </c>
      <c r="AW129" s="14">
        <f>IF(OR(AW$5="大R",AW$5="超R"),MAX(INDEX(其他调用!$H$5:$L$404,MATCH($K129,其他调用!$B$5:$B$404,0),MATCH(AW$5,其他调用!$H$4:$L$4,0))*120*0.85,2),INDEX(其他调用!$H$5:$L$404,MATCH($K129,其他调用!$B$5:$B$404,0),MATCH(AW$5,其他调用!$H$4:$L$4,0))*120*0.85)</f>
        <v>48.237344010638395</v>
      </c>
      <c r="AX129" s="14">
        <f>IF(OR(AX$5="大R",AX$5="超R"),MAX(INDEX(其他调用!$H$5:$L$404,MATCH($K129,其他调用!$B$5:$B$404,0),MATCH(AX$5,其他调用!$H$4:$L$4,0))*120*0.85,2),INDEX(其他调用!$H$5:$L$404,MATCH($K129,其他调用!$B$5:$B$404,0),MATCH(AX$5,其他调用!$H$4:$L$4,0))*120*0.85)</f>
        <v>3.9376284143615998</v>
      </c>
      <c r="AY129" s="14">
        <f>IF(OR(AY$5="大R",AY$5="超R"),MAX(INDEX(其他调用!$H$5:$L$404,MATCH($K129,其他调用!$B$5:$B$404,0),MATCH(AY$5,其他调用!$H$4:$L$4,0))*120*0.85,2),INDEX(其他调用!$H$5:$L$404,MATCH($K129,其他调用!$B$5:$B$404,0),MATCH(AY$5,其他调用!$H$4:$L$4,0))*120*0.85)</f>
        <v>2</v>
      </c>
      <c r="AZ129" s="14">
        <f>IF(OR(AZ$5="大R",AZ$5="超R"),MAX(INDEX(其他调用!$H$5:$L$404,MATCH($K129,其他调用!$B$5:$B$404,0),MATCH(AZ$5,其他调用!$H$4:$L$4,0))*120*0.85,2),INDEX(其他调用!$H$5:$L$404,MATCH($K129,其他调用!$B$5:$B$404,0),MATCH(AZ$5,其他调用!$H$4:$L$4,0))*120*0.85)</f>
        <v>2</v>
      </c>
      <c r="BA129" s="14">
        <f>INDEX(其他调用!$H$5:$L$404,MATCH($K129,其他调用!$B$5:$B$404,0),MATCH(BA$5,其他调用!$H$4:$L$4,0))*INDEX(其他调用!$M$5:$M$404,MATCH($K129,其他调用!$B$5:$B$404,0))*0.6</f>
        <v>28.777530149999997</v>
      </c>
      <c r="BB129" s="14">
        <f>INDEX(其他调用!$H$5:$L$404,MATCH($K129,其他调用!$B$5:$B$404,0),MATCH(BB$5,其他调用!$H$4:$L$4,0))*INDEX(其他调用!$M$5:$M$404,MATCH($K129,其他调用!$B$5:$B$404,0))*0.6</f>
        <v>28.374908241551999</v>
      </c>
      <c r="BC129" s="14">
        <f>INDEX(其他调用!$H$5:$L$404,MATCH($K129,其他调用!$B$5:$B$404,0),MATCH(BC$5,其他调用!$H$4:$L$4,0))*INDEX(其他调用!$M$5:$M$404,MATCH($K129,其他调用!$B$5:$B$404,0))*0.6</f>
        <v>2.3162520084480001</v>
      </c>
      <c r="BD129" s="14">
        <f>INDEX(其他调用!$H$5:$L$404,MATCH($K129,其他调用!$B$5:$B$404,0),MATCH(BD$5,其他调用!$H$4:$L$4,0))*INDEX(其他调用!$M$5:$M$404,MATCH($K129,其他调用!$B$5:$B$404,0))*0.6</f>
        <v>0.4120776000000001</v>
      </c>
      <c r="BE129" s="14">
        <f>INDEX(其他调用!$H$5:$L$404,MATCH($K129,其他调用!$B$5:$B$404,0),MATCH(BE$5,其他调用!$H$4:$L$4,0))*INDEX(其他调用!$M$5:$M$404,MATCH($K129,其他调用!$B$5:$B$404,0))*0.6</f>
        <v>0.11923199999999998</v>
      </c>
      <c r="BF129" s="14">
        <f>IF(OR(BF$5="大R",BF$5="超R"),0,INDEX(其他调用!$H$5:$L$404,MATCH($K129,其他调用!$B$5:$B$404,0),MATCH(BF$5,其他调用!$H$4:$L$4,0))*50*0.4)</f>
        <v>9.5925100500000013</v>
      </c>
      <c r="BG129" s="14">
        <f>IF(OR(BG$5="大R",BG$5="超R"),0,INDEX(其他调用!$H$5:$L$404,MATCH($K129,其他调用!$B$5:$B$404,0),MATCH(BG$5,其他调用!$H$4:$L$4,0))*50*0.4)</f>
        <v>9.4583027471839998</v>
      </c>
      <c r="BH129" s="14">
        <f>IF(OR(BH$5="大R",BH$5="超R"),0,INDEX(其他调用!$H$5:$L$404,MATCH($K129,其他调用!$B$5:$B$404,0),MATCH(BH$5,其他调用!$H$4:$L$4,0))*50*0.4)</f>
        <v>0.77208400281600009</v>
      </c>
      <c r="BI129" s="14">
        <f>IF(OR(BI$5="大R",BI$5="超R"),0,INDEX(其他调用!$H$5:$L$404,MATCH($K129,其他调用!$B$5:$B$404,0),MATCH(BI$5,其他调用!$H$4:$L$4,0))*50*0.4)</f>
        <v>0</v>
      </c>
      <c r="BJ129" s="14">
        <f>IF(OR(BJ$5="大R",BJ$5="超R"),0,INDEX(其他调用!$H$5:$L$404,MATCH($K129,其他调用!$B$5:$B$404,0),MATCH(BJ$5,其他调用!$H$4:$L$4,0))*50*0.4)</f>
        <v>0</v>
      </c>
      <c r="BL129" s="14">
        <f t="shared" si="208"/>
        <v>124</v>
      </c>
      <c r="BM129" s="14">
        <f t="shared" si="115"/>
        <v>96</v>
      </c>
      <c r="BN129" s="14">
        <f>('疲劳值&amp;地图信息'!$S$10*'疲劳值&amp;地图信息'!$R$10+'疲劳值&amp;地图信息'!$S$11*'疲劳值&amp;地图信息'!$R$11+'疲劳值&amp;地图信息'!$S$12*'疲劳值&amp;地图信息'!$R$12+(BM129-'疲劳值&amp;地图信息'!$S$12-'疲劳值&amp;地图信息'!$S$11-'疲劳值&amp;地图信息'!$S$10)*'疲劳值&amp;地图信息'!$R$13)/BM129</f>
        <v>51.371477246638619</v>
      </c>
      <c r="BO129" s="14">
        <f>INDEX(其他调用!$M$5:$M$404,MATCH(BL129,其他调用!$B$5:$B$404,0))*0.6</f>
        <v>60</v>
      </c>
      <c r="BP129" s="14">
        <f>IF(BO129&gt;SUM('疲劳值&amp;地图信息'!$S$10:$S$12),('疲劳值&amp;地图信息'!$S$10*'疲劳值&amp;地图信息'!$R$10+'疲劳值&amp;地图信息'!$S$11*'疲劳值&amp;地图信息'!$R$11+'疲劳值&amp;地图信息'!$S$12*'疲劳值&amp;地图信息'!$R$12+(BO129-'疲劳值&amp;地图信息'!$S$12-'疲劳值&amp;地图信息'!$S$11-'疲劳值&amp;地图信息'!$S$10)*'疲劳值&amp;地图信息'!$R$13)/BO129,('疲劳值&amp;地图信息'!$S$10*'疲劳值&amp;地图信息'!$R$10+'疲劳值&amp;地图信息'!$S$11*'疲劳值&amp;地图信息'!$R$11+'疲劳值&amp;地图信息'!$S$12*'疲劳值&amp;地图信息'!$R$12+(BO129-'疲劳值&amp;地图信息'!$S$12-'疲劳值&amp;地图信息'!$S$11-'疲劳值&amp;地图信息'!$S$10)*'疲劳值&amp;地图信息'!$R$13)/BO129)</f>
        <v>44.158136341605953</v>
      </c>
      <c r="BQ129" s="14">
        <f t="shared" si="209"/>
        <v>20</v>
      </c>
      <c r="BR129" s="14">
        <f>('疲劳值&amp;地图信息'!$S$10*'疲劳值&amp;地图信息'!$R$10+($BQ129-'疲劳值&amp;地图信息'!$S$10)*'疲劳值&amp;地图信息'!$R$11)/$BQ129</f>
        <v>32.067203015074995</v>
      </c>
      <c r="CF129" s="14">
        <v>124</v>
      </c>
      <c r="CG129" s="51">
        <f t="shared" si="116"/>
        <v>10744</v>
      </c>
      <c r="CH129" s="51">
        <f t="shared" si="117"/>
        <v>904</v>
      </c>
      <c r="CI129" s="51">
        <f>INT(SUMPRODUCT($N129:$R129,$BA129:$BE129)/SUM($BA129:$BE129)/10000*$BX$7*$BZ$34/'疲劳值&amp;地图信息'!$R$10*$BY$53)</f>
        <v>3002</v>
      </c>
      <c r="CJ129" s="50">
        <f t="shared" si="118"/>
        <v>0.7333788395904437</v>
      </c>
      <c r="CK129" s="50">
        <f t="shared" si="119"/>
        <v>6.1706484641638228E-2</v>
      </c>
      <c r="CL129" s="50">
        <f t="shared" si="120"/>
        <v>0.20491467576791808</v>
      </c>
      <c r="CM129" s="14">
        <f t="shared" si="121"/>
        <v>11525</v>
      </c>
      <c r="CN129" s="14">
        <f t="shared" si="122"/>
        <v>1487</v>
      </c>
      <c r="CO129" s="14">
        <f>INT(SUMPRODUCT($U129:$Y129,$BA129:$BE129)/SUM($BA129:$BE129)/10000*$BX$7*$BZ$34/'疲劳值&amp;地图信息'!$R$10*$BY$54)</f>
        <v>5648</v>
      </c>
      <c r="CP129" s="50">
        <f t="shared" si="123"/>
        <v>0.61763129689174701</v>
      </c>
      <c r="CQ129" s="50">
        <f t="shared" si="124"/>
        <v>7.9689174705251872E-2</v>
      </c>
      <c r="CR129" s="50">
        <f t="shared" si="125"/>
        <v>0.30267952840300105</v>
      </c>
      <c r="CS129" s="14">
        <f t="shared" si="126"/>
        <v>12388</v>
      </c>
      <c r="CT129" s="14">
        <f t="shared" si="127"/>
        <v>2574</v>
      </c>
      <c r="CU129" s="14">
        <f>INT(SUMPRODUCT($AB129:$AF129,$BA129:$BE129)/SUM($BA129:$BE129)/10000*$BX$7*$BZ$34/'疲劳值&amp;地图信息'!$R$10*$BY$55)</f>
        <v>7673</v>
      </c>
      <c r="CV129" s="50">
        <f t="shared" si="128"/>
        <v>0.54729401369560415</v>
      </c>
      <c r="CW129" s="50">
        <f t="shared" si="129"/>
        <v>0.11371769383697813</v>
      </c>
      <c r="CX129" s="50">
        <f t="shared" si="130"/>
        <v>0.33898829246741774</v>
      </c>
      <c r="CY129" s="14">
        <f t="shared" si="131"/>
        <v>14141</v>
      </c>
      <c r="CZ129" s="14">
        <f t="shared" si="132"/>
        <v>6744</v>
      </c>
      <c r="DA129" s="14">
        <f>INT(SUMPRODUCT($AI129:$AM129,$BA129:$BE129)/SUM($BA129:$BE129)/10000*$BX$7*$BZ$34/'疲劳值&amp;地图信息'!$R$10*$BY$56)</f>
        <v>11570</v>
      </c>
      <c r="DB129" s="50">
        <f t="shared" si="133"/>
        <v>0.43571098443999384</v>
      </c>
      <c r="DC129" s="50">
        <f t="shared" si="134"/>
        <v>0.20779540902788476</v>
      </c>
      <c r="DD129" s="50">
        <f t="shared" si="135"/>
        <v>0.35649360653212142</v>
      </c>
      <c r="DE129" s="14">
        <f t="shared" si="136"/>
        <v>14019</v>
      </c>
      <c r="DF129" s="14">
        <f t="shared" si="137"/>
        <v>12873</v>
      </c>
      <c r="DG129" s="14">
        <f>INT(SUMPRODUCT($AP129:$AT129,$BA129:$BE129)/SUM($BA129:$BE129)/10000*$BX$7*$BZ$34/'疲劳值&amp;地图信息'!$R$10*$BY$57)</f>
        <v>15453</v>
      </c>
      <c r="DH129" s="50">
        <f t="shared" si="138"/>
        <v>0.33106624158696424</v>
      </c>
      <c r="DI129" s="50">
        <f t="shared" si="139"/>
        <v>0.30400283386468296</v>
      </c>
      <c r="DJ129" s="50">
        <f t="shared" si="140"/>
        <v>0.3649309245483528</v>
      </c>
      <c r="DL129" s="14">
        <f t="shared" si="211"/>
        <v>14650</v>
      </c>
      <c r="DM129" s="14">
        <f t="shared" si="212"/>
        <v>18660</v>
      </c>
      <c r="DN129" s="14">
        <f t="shared" si="213"/>
        <v>22635</v>
      </c>
      <c r="DO129" s="14">
        <f t="shared" si="214"/>
        <v>32455</v>
      </c>
      <c r="DP129" s="14">
        <f t="shared" si="215"/>
        <v>42345</v>
      </c>
      <c r="DQ129" s="14">
        <f t="shared" si="216"/>
        <v>1021917</v>
      </c>
      <c r="DT129" s="14">
        <f t="shared" si="210"/>
        <v>235575</v>
      </c>
      <c r="DU129" s="50">
        <f t="shared" si="112"/>
        <v>0.1873371759025107</v>
      </c>
      <c r="DW129" s="14">
        <f t="shared" si="141"/>
        <v>1257492</v>
      </c>
      <c r="EB129" s="14">
        <v>124</v>
      </c>
      <c r="EC129" s="51">
        <f t="shared" si="142"/>
        <v>17908</v>
      </c>
      <c r="ED129" s="51">
        <f t="shared" si="143"/>
        <v>1506</v>
      </c>
      <c r="EE129" s="51">
        <f>INT(SUMPRODUCT($N129:$R129,$BF129:$BJ129)/SUM($BF129:$BJ129)/10000*$BX$7*$BZ$46/'疲劳值&amp;地图信息'!$R$10*$BY$53)</f>
        <v>403</v>
      </c>
      <c r="EF129" s="50">
        <f t="shared" si="144"/>
        <v>0.90366856739163348</v>
      </c>
      <c r="EG129" s="50">
        <f t="shared" si="145"/>
        <v>7.5995357521320084E-2</v>
      </c>
      <c r="EH129" s="50">
        <f t="shared" si="146"/>
        <v>2.0336075087046476E-2</v>
      </c>
      <c r="EI129" s="51">
        <f t="shared" si="147"/>
        <v>19208</v>
      </c>
      <c r="EJ129" s="51">
        <f t="shared" si="148"/>
        <v>2478</v>
      </c>
      <c r="EK129" s="14">
        <f>INT(SUMPRODUCT($U129:$Y129,$BF129:$BJ129)/SUM($BF129:$BJ129)/10000*$BX$7*$BZ$46/'疲劳值&amp;地图信息'!$R$10*$BY$54)</f>
        <v>758</v>
      </c>
      <c r="EL129" s="50">
        <f t="shared" si="149"/>
        <v>0.85581892710746743</v>
      </c>
      <c r="EM129" s="50">
        <f t="shared" si="150"/>
        <v>0.11040812689360185</v>
      </c>
      <c r="EN129" s="50">
        <f t="shared" si="151"/>
        <v>3.3772945998930673E-2</v>
      </c>
      <c r="EO129" s="51">
        <f t="shared" si="152"/>
        <v>20647</v>
      </c>
      <c r="EP129" s="51">
        <f t="shared" si="153"/>
        <v>4291</v>
      </c>
      <c r="EQ129" s="14">
        <f>INT(SUMPRODUCT($AB129:$AF129,$BF129:$BJ129)/SUM($BF129:$BJ129)/10000*$BX$7*$BZ$46/'疲劳值&amp;地图信息'!$R$10*$BY$55)</f>
        <v>1029</v>
      </c>
      <c r="ER129" s="50">
        <f t="shared" si="154"/>
        <v>0.79512458119921436</v>
      </c>
      <c r="ES129" s="50">
        <f t="shared" si="155"/>
        <v>0.16524819963800208</v>
      </c>
      <c r="ET129" s="50">
        <f t="shared" si="156"/>
        <v>3.9627219162783535E-2</v>
      </c>
      <c r="EU129" s="51">
        <f t="shared" si="157"/>
        <v>23568</v>
      </c>
      <c r="EV129" s="51">
        <f t="shared" si="158"/>
        <v>11241</v>
      </c>
      <c r="EW129" s="14">
        <f>INT(SUMPRODUCT($AI129:$AM129,$BF129:$BJ129)/SUM($BF129:$BJ129)/10000*$BX$7*$BZ$46/'疲劳值&amp;地图信息'!$R$10*$BY$56)</f>
        <v>1543</v>
      </c>
      <c r="EX129" s="50">
        <f t="shared" si="159"/>
        <v>0.64832746478873238</v>
      </c>
      <c r="EY129" s="50">
        <f t="shared" si="160"/>
        <v>0.30922645246478875</v>
      </c>
      <c r="EZ129" s="50">
        <f t="shared" si="161"/>
        <v>4.2446082746478875E-2</v>
      </c>
      <c r="FA129" s="51">
        <f t="shared" si="162"/>
        <v>23365</v>
      </c>
      <c r="FB129" s="51">
        <f t="shared" si="163"/>
        <v>21455</v>
      </c>
      <c r="FC129" s="14">
        <f>INT(SUMPRODUCT($AP129:$AT129,$BF129:$BJ129)/SUM($BF129:$BJ129)/10000*$BX$7*$BZ$46/'疲劳值&amp;地图信息'!$R$10*$BY$57)</f>
        <v>2058</v>
      </c>
      <c r="FD129" s="50">
        <f t="shared" si="164"/>
        <v>0.49842143436153419</v>
      </c>
      <c r="FE129" s="50">
        <f t="shared" si="165"/>
        <v>0.45767737531464653</v>
      </c>
      <c r="FF129" s="50">
        <f t="shared" si="166"/>
        <v>4.3901190323819277E-2</v>
      </c>
      <c r="FH129" s="14">
        <f t="shared" si="167"/>
        <v>19817</v>
      </c>
      <c r="FI129" s="14">
        <f t="shared" si="168"/>
        <v>22444</v>
      </c>
      <c r="FJ129" s="14">
        <f t="shared" si="169"/>
        <v>25967</v>
      </c>
      <c r="FK129" s="14">
        <f t="shared" si="170"/>
        <v>36352</v>
      </c>
      <c r="FL129" s="14">
        <f t="shared" si="171"/>
        <v>46878</v>
      </c>
      <c r="FM129" s="14">
        <f t="shared" si="172"/>
        <v>2320830</v>
      </c>
      <c r="FP129" s="14">
        <f t="shared" si="173"/>
        <v>334150</v>
      </c>
      <c r="FQ129" s="50">
        <f t="shared" si="113"/>
        <v>0.12585782190449646</v>
      </c>
      <c r="FS129" s="14">
        <f t="shared" si="174"/>
        <v>2654980</v>
      </c>
      <c r="FX129" s="14">
        <v>124</v>
      </c>
      <c r="FY129" s="51">
        <f t="shared" si="175"/>
        <v>25071</v>
      </c>
      <c r="FZ129" s="51">
        <f t="shared" si="176"/>
        <v>1506</v>
      </c>
      <c r="GA129" s="51">
        <f>INT(SUMPRODUCT($N129:$R129,$BF129:$BJ129)/SUM($BF129:$BJ129)/10000*$BX$7*$BZ$46/'疲劳值&amp;地图信息'!$R$10*$BY$53)</f>
        <v>403</v>
      </c>
      <c r="GB129" s="50">
        <f t="shared" si="177"/>
        <v>0.92924388435878424</v>
      </c>
      <c r="GC129" s="50">
        <f t="shared" si="178"/>
        <v>5.5819125277983689E-2</v>
      </c>
      <c r="GD129" s="50">
        <f t="shared" si="179"/>
        <v>1.4936990363232023E-2</v>
      </c>
      <c r="GE129" s="51">
        <f t="shared" si="180"/>
        <v>26892</v>
      </c>
      <c r="GF129" s="51">
        <f t="shared" si="181"/>
        <v>2478</v>
      </c>
      <c r="GG129" s="14">
        <f>INT(SUMPRODUCT($U129:$Y129,$BF129:$BJ129)/SUM($BF129:$BJ129)/10000*$BX$7*$BZ$46/'疲劳值&amp;地图信息'!$R$10*$BY$54)</f>
        <v>758</v>
      </c>
      <c r="GH129" s="50">
        <f t="shared" si="182"/>
        <v>0.89259160913436009</v>
      </c>
      <c r="GI129" s="50">
        <f t="shared" si="183"/>
        <v>8.2249070631970261E-2</v>
      </c>
      <c r="GJ129" s="50">
        <f t="shared" si="184"/>
        <v>2.5159320233669676E-2</v>
      </c>
      <c r="GK129" s="51">
        <f t="shared" si="185"/>
        <v>28906</v>
      </c>
      <c r="GL129" s="51">
        <f t="shared" si="186"/>
        <v>4291</v>
      </c>
      <c r="GM129" s="14">
        <f>INT(SUMPRODUCT($AB129:$AF129,$BF129:$BJ129)/SUM($BF129:$BJ129)/10000*$BX$7*$BZ$46/'疲劳值&amp;地图信息'!$R$10*$BY$55)</f>
        <v>1029</v>
      </c>
      <c r="GN129" s="50">
        <f t="shared" si="187"/>
        <v>0.8445626132180214</v>
      </c>
      <c r="GO129" s="50">
        <f t="shared" si="188"/>
        <v>0.12537252381230643</v>
      </c>
      <c r="GP129" s="50">
        <f t="shared" si="189"/>
        <v>3.0064862969672181E-2</v>
      </c>
      <c r="GQ129" s="51">
        <f t="shared" si="190"/>
        <v>32996</v>
      </c>
      <c r="GR129" s="51">
        <f t="shared" si="191"/>
        <v>11241</v>
      </c>
      <c r="GS129" s="14">
        <f>INT(SUMPRODUCT($AI129:$AM129,$BF129:$BJ129)/SUM($BF129:$BJ129)/10000*$BX$7*$BZ$46/'疲劳值&amp;地图信息'!$R$10*$BY$56)</f>
        <v>1543</v>
      </c>
      <c r="GT129" s="50">
        <f t="shared" si="192"/>
        <v>0.7207514198339886</v>
      </c>
      <c r="GU129" s="50">
        <f t="shared" si="193"/>
        <v>0.24554390563564876</v>
      </c>
      <c r="GV129" s="50">
        <f t="shared" si="194"/>
        <v>3.3704674530362605E-2</v>
      </c>
      <c r="GW129" s="51">
        <f t="shared" si="195"/>
        <v>32711</v>
      </c>
      <c r="GX129" s="51">
        <f t="shared" si="196"/>
        <v>21455</v>
      </c>
      <c r="GY129" s="14">
        <f>INT(SUMPRODUCT($AP129:$AT129,$BF129:$BJ129)/SUM($BF129:$BJ129)/10000*$BX$7*$BZ$46/'疲劳值&amp;地图信息'!$R$10*$BY$57)</f>
        <v>2058</v>
      </c>
      <c r="GZ129" s="50">
        <f t="shared" si="197"/>
        <v>0.58179780876494025</v>
      </c>
      <c r="HA129" s="50">
        <f t="shared" si="198"/>
        <v>0.38159860557768926</v>
      </c>
      <c r="HB129" s="50">
        <f t="shared" si="199"/>
        <v>3.660358565737052E-2</v>
      </c>
      <c r="HD129" s="14">
        <f t="shared" si="200"/>
        <v>26980</v>
      </c>
      <c r="HE129" s="14">
        <f t="shared" si="201"/>
        <v>30128</v>
      </c>
      <c r="HF129" s="14">
        <f t="shared" si="202"/>
        <v>34226</v>
      </c>
      <c r="HG129" s="14">
        <f t="shared" si="203"/>
        <v>45780</v>
      </c>
      <c r="HH129" s="14">
        <f t="shared" si="204"/>
        <v>56224</v>
      </c>
      <c r="HI129" s="14">
        <f t="shared" si="205"/>
        <v>3111982</v>
      </c>
      <c r="HL129" s="14">
        <f t="shared" si="206"/>
        <v>430050</v>
      </c>
      <c r="HM129" s="50">
        <f t="shared" si="114"/>
        <v>0.12141335820794391</v>
      </c>
      <c r="HO129" s="14">
        <f t="shared" si="207"/>
        <v>3542032</v>
      </c>
    </row>
    <row r="130" spans="11:223" x14ac:dyDescent="0.2">
      <c r="K130" s="14">
        <v>125</v>
      </c>
      <c r="L130" s="12">
        <f>求节点(节奏总纲!D$4:D$163,标准城池设计!AB$4:AB$163,$K130)*求节点(节奏总纲!D$4:D$163,攻城基础信息!$AC$5:$AC$164,$K130)</f>
        <v>528941.72063460515</v>
      </c>
      <c r="M130" s="12">
        <f>INDEX(其他调用!$AA$5:$AA$404,MATCH(K130,其他调用!$X$5:$X$404,0))*MIN(INDEX(其他调用!$AH$5:$AH$364,MATCH('征服点（新）'!K130,其他调用!$AG$5:$AG$364,0),1)/INDEX(其他调用!$AJ$5:$AJ$364,MATCH(K130,其他调用!$AG$5:$AG$364,0),0),5)*求节点(节奏总纲!D$4:D$163,攻城基础信息!$AC$5:$AC$164,$K130)</f>
        <v>44450.434394567885</v>
      </c>
      <c r="N130" s="12">
        <f>MIN(INDEX(其他调用!$AH$5:$AH$364,MATCH($K130,其他调用!$AG$5:$AG$364,0),1)/INDEX(其他调用!AH$5:AH$364,MATCH($K130,其他调用!$AG$5:$AG$364,0),0),1)*INDEX(其他调用!Y$5:Y$404,MATCH($K130,其他调用!$X$5:$X$404,0),0)</f>
        <v>37424.276975179462</v>
      </c>
      <c r="O130" s="12">
        <f>MIN(INDEX(其他调用!$AH$5:$AH$364,MATCH($K130,其他调用!$AG$5:$AG$364,0),1)/INDEX(其他调用!AI$5:AI$364,MATCH($K130,其他调用!$AG$5:$AG$364,0),0),1)*INDEX(其他调用!Z$5:Z$404,MATCH($K130,其他调用!$X$5:$X$404,0),0)</f>
        <v>23441.820842087011</v>
      </c>
      <c r="P130" s="12">
        <f>MIN(INDEX(其他调用!$AH$5:$AH$364,MATCH($K130,其他调用!$AG$5:$AG$364,0),1)/INDEX(其他调用!AJ$5:AJ$364,MATCH($K130,其他调用!$AG$5:$AG$364,0),0),1)*INDEX(其他调用!AA$5:AA$404,MATCH($K130,其他调用!$X$5:$X$404,0),0)</f>
        <v>14071.539553380315</v>
      </c>
      <c r="Q130" s="12">
        <f>MIN(INDEX(其他调用!$AH$5:$AH$364,MATCH($K130,其他调用!$AG$5:$AG$364,0),1)/INDEX(其他调用!AK$5:AK$364,MATCH($K130,其他调用!$AG$5:$AG$364,0),0),1)*INDEX(其他调用!AB$5:AB$404,MATCH($K130,其他调用!$X$5:$X$404,0),0)</f>
        <v>5654.6990085909783</v>
      </c>
      <c r="R130" s="12">
        <f>MIN(INDEX(其他调用!$AH$5:$AH$364,MATCH($K130,其他调用!$AG$5:$AG$364,0),1)/INDEX(其他调用!AL$5:AL$364,MATCH($K130,其他调用!$AG$5:$AG$364,0),0),1)*INDEX(其他调用!AC$5:AC$404,MATCH($K130,其他调用!$X$5:$X$404,0),0)</f>
        <v>1808.4810120864818</v>
      </c>
      <c r="S130" s="12">
        <f>求节点(节奏总纲!D$4:D$163,标准城池设计!AC$4:AC$163,$K130)*求节点(节奏总纲!D$4:D$163,攻城基础信息!$AD$5:$AD$164,$K130)</f>
        <v>567489.40011231171</v>
      </c>
      <c r="T130" s="12">
        <f>INDEX(其他调用!$AA$5:$AA$404,MATCH($K130,其他调用!$X$5:$X$404,0))*MIN(INDEX(其他调用!AI$5:AI$364,MATCH($K130,其他调用!$AG$5:$AG$364,0),1)/INDEX(其他调用!$AJ$5:$AJ$364,MATCH($K130,其他调用!$AG$5:$AG$364,0),0),5)*求节点(节奏总纲!D$4:D$163,攻城基础信息!$AD$5:$AD$164,$K130)</f>
        <v>73145.22157104846</v>
      </c>
      <c r="U130" s="12">
        <f>MIN(INDEX(其他调用!$AI$5:$AI$364,MATCH($K130,其他调用!$AG$5:$AG$364,0),1)/INDEX(其他调用!AH$5:AH$364,MATCH($K130,其他调用!$AG$5:$AG$364,0),0),1)*INDEX(其他调用!Y$5:Y$404,MATCH($K130,其他调用!$X$5:$X$404,0),0)</f>
        <v>37424.276975179462</v>
      </c>
      <c r="V130" s="12">
        <f>MIN(INDEX(其他调用!$AI$5:$AI$364,MATCH($K130,其他调用!$AG$5:$AG$364,0),1)/INDEX(其他调用!AI$5:AI$364,MATCH($K130,其他调用!$AG$5:$AG$364,0),0),1)*INDEX(其他调用!Z$5:Z$404,MATCH($K130,其他调用!$X$5:$X$404,0),0)</f>
        <v>38574.587692506728</v>
      </c>
      <c r="W130" s="12">
        <f>MIN(INDEX(其他调用!$AI$5:$AI$364,MATCH($K130,其他调用!$AG$5:$AG$364,0),1)/INDEX(其他调用!AJ$5:AJ$364,MATCH($K130,其他调用!$AG$5:$AG$364,0),0),1)*INDEX(其他调用!AA$5:AA$404,MATCH($K130,其他调用!$X$5:$X$404,0),0)</f>
        <v>23155.361527885496</v>
      </c>
      <c r="X130" s="12">
        <f>MIN(INDEX(其他调用!$AI$5:$AI$364,MATCH($K130,其他调用!$AG$5:$AG$364,0),1)/INDEX(其他调用!AK$5:AK$364,MATCH($K130,其他调用!$AG$5:$AG$364,0),0),1)*INDEX(其他调用!AB$5:AB$404,MATCH($K130,其他调用!$X$5:$X$404,0),0)</f>
        <v>9305.0656879861981</v>
      </c>
      <c r="Y130" s="12">
        <f>MIN(INDEX(其他调用!$AI$5:$AI$364,MATCH($K130,其他调用!$AG$5:$AG$364,0),1)/INDEX(其他调用!AL$5:AL$364,MATCH($K130,其他调用!$AG$5:$AG$364,0),0),1)*INDEX(其他调用!AC$5:AC$404,MATCH($K130,其他调用!$X$5:$X$404,0),0)</f>
        <v>2975.9381688352028</v>
      </c>
      <c r="Z130" s="12">
        <f>求节点(节奏总纲!D$4:D$163,标准城池设计!AD$4:AD$163,$K130)*求节点(节奏总纲!D$4:D$163,攻城基础信息!$AE$5:$AE$164,$K130)</f>
        <v>609836.345361065</v>
      </c>
      <c r="AA130" s="12">
        <f>INDEX(其他调用!$AA$5:$AA$404,MATCH($K130,其他调用!$X$5:$X$404,0))*MIN(INDEX(其他调用!AJ$5:AJ$364,MATCH($K130,其他调用!$AG$5:$AG$364,0),1)/INDEX(其他调用!$AJ$5:$AJ$364,MATCH($K130,其他调用!$AG$5:$AG$364,0),0),5)*求节点(节奏总纲!D$4:D$163,攻城基础信息!$AE$5:$AE$164,$K130)</f>
        <v>126628.75821199486</v>
      </c>
      <c r="AB130" s="12">
        <f>MIN(INDEX(其他调用!$AJ$5:$AJ$364,MATCH($K130,其他调用!$AG$5:$AG$364,0),1)/INDEX(其他调用!AH$5:AH$364,MATCH($K130,其他调用!$AG$5:$AG$364,0),0),1)*INDEX(其他调用!Y$5:Y$404,MATCH($K130,其他调用!$X$5:$X$404,0),0)</f>
        <v>37424.276975179462</v>
      </c>
      <c r="AC130" s="12">
        <f>MIN(INDEX(其他调用!$AJ$5:$AJ$364,MATCH($K130,其他调用!$AG$5:$AG$364,0),1)/INDEX(其他调用!AI$5:AI$364,MATCH($K130,其他调用!$AG$5:$AG$364,0),0),1)*INDEX(其他调用!Z$5:Z$404,MATCH($K130,其他调用!$X$5:$X$404,0),0)</f>
        <v>38574.587692506728</v>
      </c>
      <c r="AD130" s="12">
        <f>MIN(INDEX(其他调用!$AJ$5:$AJ$364,MATCH($K130,其他调用!$AG$5:$AG$364,0),1)/INDEX(其他调用!AJ$5:AJ$364,MATCH($K130,其他调用!$AG$5:$AG$364,0),0),1)*INDEX(其他调用!AA$5:AA$404,MATCH($K130,其他调用!$X$5:$X$404,0),0)</f>
        <v>40086.482934197658</v>
      </c>
      <c r="AE130" s="12">
        <f>MIN(INDEX(其他调用!$AJ$5:$AJ$364,MATCH($K130,其他调用!$AG$5:$AG$364,0),1)/INDEX(其他调用!AK$5:AK$364,MATCH($K130,其他调用!$AG$5:$AG$364,0),0),1)*INDEX(其他调用!AB$5:AB$404,MATCH($K130,其他调用!$X$5:$X$404,0),0)</f>
        <v>16108.897995561083</v>
      </c>
      <c r="AF130" s="12">
        <f>MIN(INDEX(其他调用!$AJ$5:$AJ$364,MATCH($K130,其他调用!$AG$5:$AG$364,0),1)/INDEX(其他调用!AL$5:AL$364,MATCH($K130,其他调用!$AG$5:$AG$364,0),0),1)*INDEX(其他调用!AC$5:AC$404,MATCH($K130,其他调用!$X$5:$X$404,0),0)</f>
        <v>5151.9340121109981</v>
      </c>
      <c r="AG130" s="12">
        <f>求节点(节奏总纲!D$4:D$163,标准城池设计!AE$4:AE$163,$K130)*求节点(节奏总纲!D$4:D$163,攻城基础信息!$AF$5:$AF$164,$K130)</f>
        <v>696338.26841915154</v>
      </c>
      <c r="AH130" s="12">
        <f>INDEX(其他调用!$AA$5:$AA$404,MATCH($K130,其他调用!$X$5:$X$404,0))*MIN(INDEX(其他调用!AK$5:AK$364,MATCH($K130,其他调用!$AG$5:$AG$364,0),1)/INDEX(其他调用!$AJ$5:$AJ$364,MATCH($K130,其他调用!$AG$5:$AG$364,0),0),5)*求节点(节奏总纲!D$4:D$163,攻城基础信息!$AF$5:$AF$164,$K130)</f>
        <v>332249.00258074317</v>
      </c>
      <c r="AI130" s="12">
        <f>MIN(INDEX(其他调用!$AK$5:$AK$364,MATCH($K130,其他调用!$AG$5:$AG$364,0),1)/INDEX(其他调用!AH$5:AH$364,MATCH($K130,其他调用!$AG$5:$AG$364,0),0),1)*INDEX(其他调用!Y$5:Y$404,MATCH($K130,其他调用!$X$5:$X$404,0),0)</f>
        <v>37424.276975179462</v>
      </c>
      <c r="AJ130" s="12">
        <f>MIN(INDEX(其他调用!$AK$5:$AK$364,MATCH($K130,其他调用!$AG$5:$AG$364,0),1)/INDEX(其他调用!AI$5:AI$364,MATCH($K130,其他调用!$AG$5:$AG$364,0),0),1)*INDEX(其他调用!Z$5:Z$404,MATCH($K130,其他调用!$X$5:$X$404,0),0)</f>
        <v>38574.587692506728</v>
      </c>
      <c r="AK130" s="12">
        <f>MIN(INDEX(其他调用!$AK$5:$AK$364,MATCH($K130,其他调用!$AG$5:$AG$364,0),1)/INDEX(其他调用!AJ$5:AJ$364,MATCH($K130,其他调用!$AG$5:$AG$364,0),0),1)*INDEX(其他调用!AA$5:AA$404,MATCH($K130,其他调用!$X$5:$X$404,0),0)</f>
        <v>40086.482934197658</v>
      </c>
      <c r="AL130" s="12">
        <f>MIN(INDEX(其他调用!$AK$5:$AK$364,MATCH($K130,其他调用!$AG$5:$AG$364,0),1)/INDEX(其他调用!AK$5:AK$364,MATCH($K130,其他调用!$AG$5:$AG$364,0),0),1)*INDEX(其他调用!AB$5:AB$404,MATCH($K130,其他调用!$X$5:$X$404,0),0)</f>
        <v>42266.585942032245</v>
      </c>
      <c r="AM130" s="12">
        <f>MIN(INDEX(其他调用!$AK$5:$AK$364,MATCH($K130,其他调用!$AG$5:$AG$364,0),1)/INDEX(其他调用!AL$5:AL$364,MATCH($K130,其他调用!$AG$5:$AG$364,0),0),1)*INDEX(其他调用!AC$5:AC$404,MATCH($K130,其他调用!$X$5:$X$404,0),0)</f>
        <v>13517.663452246845</v>
      </c>
      <c r="AN130" s="12">
        <f>求节点(节奏总纲!D$4:D$163,标准城池设计!AF$4:AF$163,$K130)*求节点(节奏总纲!D$4:D$163,攻城基础信息!$AG$5:$AG$164,$K130)</f>
        <v>690799.18157647189</v>
      </c>
      <c r="AO130" s="12">
        <f>INDEX(其他调用!$AA$5:$AA$404,MATCH($K130,其他调用!$X$5:$X$404,0))*MIN(INDEX(其他调用!AL$5:AL$364,MATCH($K130,其他调用!$AG$5:$AG$364,0),1)/INDEX(其他调用!$AJ$5:$AJ$364,MATCH($K130,其他调用!$AG$5:$AG$364,0),0),5)*求节点(节奏总纲!D$4:D$163,攻城基础信息!$AG$5:$AG$164,$K130)</f>
        <v>633143.79105997435</v>
      </c>
      <c r="AP130" s="12">
        <f>MIN(INDEX(其他调用!$AL$5:$AL$364,MATCH($K130,其他调用!$AG$5:$AG$364,0),1)/INDEX(其他调用!AH$5:AH$364,MATCH($K130,其他调用!$AG$5:$AG$364,0),0),1)*INDEX(其他调用!Y$5:Y$404,MATCH($K130,其他调用!$X$5:$X$404,0),0)</f>
        <v>37424.276975179462</v>
      </c>
      <c r="AQ130" s="12">
        <f>MIN(INDEX(其他调用!$AL$5:$AL$364,MATCH($K130,其他调用!$AG$5:$AG$364,0),1)/INDEX(其他调用!AI$5:AI$364,MATCH($K130,其他调用!$AG$5:$AG$364,0),0),1)*INDEX(其他调用!Z$5:Z$404,MATCH($K130,其他调用!$X$5:$X$404,0),0)</f>
        <v>38574.587692506728</v>
      </c>
      <c r="AR130" s="12">
        <f>MIN(INDEX(其他调用!$AL$5:$AL$364,MATCH($K130,其他调用!$AG$5:$AG$364,0),1)/INDEX(其他调用!AJ$5:AJ$364,MATCH($K130,其他调用!$AG$5:$AG$364,0),0),1)*INDEX(其他调用!AA$5:AA$404,MATCH($K130,其他调用!$X$5:$X$404,0),0)</f>
        <v>40086.482934197658</v>
      </c>
      <c r="AS130" s="12">
        <f>MIN(INDEX(其他调用!$AL$5:$AL$364,MATCH($K130,其他调用!$AG$5:$AG$364,0),1)/INDEX(其他调用!AK$5:AK$364,MATCH($K130,其他调用!$AG$5:$AG$364,0),0),1)*INDEX(其他调用!AB$5:AB$404,MATCH($K130,其他调用!$X$5:$X$404,0),0)</f>
        <v>42266.585942032245</v>
      </c>
      <c r="AT130" s="12">
        <f>MIN(INDEX(其他调用!$AL$5:$AL$364,MATCH($K130,其他调用!$AG$5:$AG$364,0),1)/INDEX(其他调用!AL$5:AL$364,MATCH($K130,其他调用!$AG$5:$AG$364,0),0),1)*INDEX(其他调用!AC$5:AC$404,MATCH($K130,其他调用!$X$5:$X$404,0),0)</f>
        <v>46165.426643449122</v>
      </c>
      <c r="AV130" s="14">
        <f>IF(OR(AV$5="大R",AV$5="超R"),MAX(INDEX(其他调用!$H$5:$L$404,MATCH($K130,其他调用!$B$5:$B$404,0),MATCH(AV$5,其他调用!$H$4:$L$4,0))*120*0.85,2),INDEX(其他调用!$H$5:$L$404,MATCH($K130,其他调用!$B$5:$B$404,0),MATCH(AV$5,其他调用!$H$4:$L$4,0))*120*0.85)</f>
        <v>48.921801254999991</v>
      </c>
      <c r="AW130" s="14">
        <f>IF(OR(AW$5="大R",AW$5="超R"),MAX(INDEX(其他调用!$H$5:$L$404,MATCH($K130,其他调用!$B$5:$B$404,0),MATCH(AW$5,其他调用!$H$4:$L$4,0))*120*0.85,2),INDEX(其他调用!$H$5:$L$404,MATCH($K130,其他调用!$B$5:$B$404,0),MATCH(AW$5,其他调用!$H$4:$L$4,0))*120*0.85)</f>
        <v>48.237344010638395</v>
      </c>
      <c r="AX130" s="14">
        <f>IF(OR(AX$5="大R",AX$5="超R"),MAX(INDEX(其他调用!$H$5:$L$404,MATCH($K130,其他调用!$B$5:$B$404,0),MATCH(AX$5,其他调用!$H$4:$L$4,0))*120*0.85,2),INDEX(其他调用!$H$5:$L$404,MATCH($K130,其他调用!$B$5:$B$404,0),MATCH(AX$5,其他调用!$H$4:$L$4,0))*120*0.85)</f>
        <v>3.9376284143615998</v>
      </c>
      <c r="AY130" s="14">
        <f>IF(OR(AY$5="大R",AY$5="超R"),MAX(INDEX(其他调用!$H$5:$L$404,MATCH($K130,其他调用!$B$5:$B$404,0),MATCH(AY$5,其他调用!$H$4:$L$4,0))*120*0.85,2),INDEX(其他调用!$H$5:$L$404,MATCH($K130,其他调用!$B$5:$B$404,0),MATCH(AY$5,其他调用!$H$4:$L$4,0))*120*0.85)</f>
        <v>2</v>
      </c>
      <c r="AZ130" s="14">
        <f>IF(OR(AZ$5="大R",AZ$5="超R"),MAX(INDEX(其他调用!$H$5:$L$404,MATCH($K130,其他调用!$B$5:$B$404,0),MATCH(AZ$5,其他调用!$H$4:$L$4,0))*120*0.85,2),INDEX(其他调用!$H$5:$L$404,MATCH($K130,其他调用!$B$5:$B$404,0),MATCH(AZ$5,其他调用!$H$4:$L$4,0))*120*0.85)</f>
        <v>2</v>
      </c>
      <c r="BA130" s="14">
        <f>INDEX(其他调用!$H$5:$L$404,MATCH($K130,其他调用!$B$5:$B$404,0),MATCH(BA$5,其他调用!$H$4:$L$4,0))*INDEX(其他调用!$M$5:$M$404,MATCH($K130,其他调用!$B$5:$B$404,0))*0.6</f>
        <v>28.777530149999997</v>
      </c>
      <c r="BB130" s="14">
        <f>INDEX(其他调用!$H$5:$L$404,MATCH($K130,其他调用!$B$5:$B$404,0),MATCH(BB$5,其他调用!$H$4:$L$4,0))*INDEX(其他调用!$M$5:$M$404,MATCH($K130,其他调用!$B$5:$B$404,0))*0.6</f>
        <v>28.374908241551999</v>
      </c>
      <c r="BC130" s="14">
        <f>INDEX(其他调用!$H$5:$L$404,MATCH($K130,其他调用!$B$5:$B$404,0),MATCH(BC$5,其他调用!$H$4:$L$4,0))*INDEX(其他调用!$M$5:$M$404,MATCH($K130,其他调用!$B$5:$B$404,0))*0.6</f>
        <v>2.3162520084480001</v>
      </c>
      <c r="BD130" s="14">
        <f>INDEX(其他调用!$H$5:$L$404,MATCH($K130,其他调用!$B$5:$B$404,0),MATCH(BD$5,其他调用!$H$4:$L$4,0))*INDEX(其他调用!$M$5:$M$404,MATCH($K130,其他调用!$B$5:$B$404,0))*0.6</f>
        <v>0.4120776000000001</v>
      </c>
      <c r="BE130" s="14">
        <f>INDEX(其他调用!$H$5:$L$404,MATCH($K130,其他调用!$B$5:$B$404,0),MATCH(BE$5,其他调用!$H$4:$L$4,0))*INDEX(其他调用!$M$5:$M$404,MATCH($K130,其他调用!$B$5:$B$404,0))*0.6</f>
        <v>0.11923199999999998</v>
      </c>
      <c r="BF130" s="14">
        <f>IF(OR(BF$5="大R",BF$5="超R"),0,INDEX(其他调用!$H$5:$L$404,MATCH($K130,其他调用!$B$5:$B$404,0),MATCH(BF$5,其他调用!$H$4:$L$4,0))*50*0.4)</f>
        <v>9.5925100500000013</v>
      </c>
      <c r="BG130" s="14">
        <f>IF(OR(BG$5="大R",BG$5="超R"),0,INDEX(其他调用!$H$5:$L$404,MATCH($K130,其他调用!$B$5:$B$404,0),MATCH(BG$5,其他调用!$H$4:$L$4,0))*50*0.4)</f>
        <v>9.4583027471839998</v>
      </c>
      <c r="BH130" s="14">
        <f>IF(OR(BH$5="大R",BH$5="超R"),0,INDEX(其他调用!$H$5:$L$404,MATCH($K130,其他调用!$B$5:$B$404,0),MATCH(BH$5,其他调用!$H$4:$L$4,0))*50*0.4)</f>
        <v>0.77208400281600009</v>
      </c>
      <c r="BI130" s="14">
        <f>IF(OR(BI$5="大R",BI$5="超R"),0,INDEX(其他调用!$H$5:$L$404,MATCH($K130,其他调用!$B$5:$B$404,0),MATCH(BI$5,其他调用!$H$4:$L$4,0))*50*0.4)</f>
        <v>0</v>
      </c>
      <c r="BJ130" s="14">
        <f>IF(OR(BJ$5="大R",BJ$5="超R"),0,INDEX(其他调用!$H$5:$L$404,MATCH($K130,其他调用!$B$5:$B$404,0),MATCH(BJ$5,其他调用!$H$4:$L$4,0))*50*0.4)</f>
        <v>0</v>
      </c>
      <c r="BL130" s="14">
        <f t="shared" si="208"/>
        <v>125</v>
      </c>
      <c r="BM130" s="14">
        <f t="shared" si="115"/>
        <v>96</v>
      </c>
      <c r="BN130" s="14">
        <f>('疲劳值&amp;地图信息'!$S$10*'疲劳值&amp;地图信息'!$R$10+'疲劳值&amp;地图信息'!$S$11*'疲劳值&amp;地图信息'!$R$11+'疲劳值&amp;地图信息'!$S$12*'疲劳值&amp;地图信息'!$R$12+(BM130-'疲劳值&amp;地图信息'!$S$12-'疲劳值&amp;地图信息'!$S$11-'疲劳值&amp;地图信息'!$S$10)*'疲劳值&amp;地图信息'!$R$13)/BM130</f>
        <v>51.371477246638619</v>
      </c>
      <c r="BO130" s="14">
        <f>INDEX(其他调用!$M$5:$M$404,MATCH(BL130,其他调用!$B$5:$B$404,0))*0.6</f>
        <v>60</v>
      </c>
      <c r="BP130" s="14">
        <f>IF(BO130&gt;SUM('疲劳值&amp;地图信息'!$S$10:$S$12),('疲劳值&amp;地图信息'!$S$10*'疲劳值&amp;地图信息'!$R$10+'疲劳值&amp;地图信息'!$S$11*'疲劳值&amp;地图信息'!$R$11+'疲劳值&amp;地图信息'!$S$12*'疲劳值&amp;地图信息'!$R$12+(BO130-'疲劳值&amp;地图信息'!$S$12-'疲劳值&amp;地图信息'!$S$11-'疲劳值&amp;地图信息'!$S$10)*'疲劳值&amp;地图信息'!$R$13)/BO130,('疲劳值&amp;地图信息'!$S$10*'疲劳值&amp;地图信息'!$R$10+'疲劳值&amp;地图信息'!$S$11*'疲劳值&amp;地图信息'!$R$11+'疲劳值&amp;地图信息'!$S$12*'疲劳值&amp;地图信息'!$R$12+(BO130-'疲劳值&amp;地图信息'!$S$12-'疲劳值&amp;地图信息'!$S$11-'疲劳值&amp;地图信息'!$S$10)*'疲劳值&amp;地图信息'!$R$13)/BO130)</f>
        <v>44.158136341605953</v>
      </c>
      <c r="BQ130" s="14">
        <f t="shared" si="209"/>
        <v>20</v>
      </c>
      <c r="BR130" s="14">
        <f>('疲劳值&amp;地图信息'!$S$10*'疲劳值&amp;地图信息'!$R$10+($BQ130-'疲劳值&amp;地图信息'!$S$10)*'疲劳值&amp;地图信息'!$R$11)/$BQ130</f>
        <v>32.067203015074995</v>
      </c>
      <c r="CF130" s="14">
        <v>125</v>
      </c>
      <c r="CG130" s="51">
        <f t="shared" si="116"/>
        <v>10780</v>
      </c>
      <c r="CH130" s="51">
        <f t="shared" si="117"/>
        <v>905</v>
      </c>
      <c r="CI130" s="51">
        <f>INT(SUMPRODUCT($N130:$R130,$BA130:$BE130)/SUM($BA130:$BE130)/10000*$BX$7*$BZ$34/'疲劳值&amp;地图信息'!$R$10*$BY$53)</f>
        <v>3005</v>
      </c>
      <c r="CJ130" s="50">
        <f t="shared" si="118"/>
        <v>0.73383253914227364</v>
      </c>
      <c r="CK130" s="50">
        <f t="shared" si="119"/>
        <v>6.160653505786249E-2</v>
      </c>
      <c r="CL130" s="50">
        <f t="shared" si="120"/>
        <v>0.20456092579986385</v>
      </c>
      <c r="CM130" s="14">
        <f t="shared" si="121"/>
        <v>11566</v>
      </c>
      <c r="CN130" s="14">
        <f t="shared" si="122"/>
        <v>1490</v>
      </c>
      <c r="CO130" s="14">
        <f>INT(SUMPRODUCT($U130:$Y130,$BA130:$BE130)/SUM($BA130:$BE130)/10000*$BX$7*$BZ$34/'疲劳值&amp;地图信息'!$R$10*$BY$54)</f>
        <v>5655</v>
      </c>
      <c r="CP130" s="50">
        <f t="shared" si="123"/>
        <v>0.61813906258350704</v>
      </c>
      <c r="CQ130" s="50">
        <f t="shared" si="124"/>
        <v>7.9632301854524079E-2</v>
      </c>
      <c r="CR130" s="50">
        <f t="shared" si="125"/>
        <v>0.30222863556196888</v>
      </c>
      <c r="CS130" s="14">
        <f t="shared" si="126"/>
        <v>12429</v>
      </c>
      <c r="CT130" s="14">
        <f t="shared" si="127"/>
        <v>2580</v>
      </c>
      <c r="CU130" s="14">
        <f>INT(SUMPRODUCT($AB130:$AF130,$BA130:$BE130)/SUM($BA130:$BE130)/10000*$BX$7*$BZ$34/'疲劳值&amp;地图信息'!$R$10*$BY$55)</f>
        <v>7683</v>
      </c>
      <c r="CV130" s="50">
        <f t="shared" si="128"/>
        <v>0.54772607086197778</v>
      </c>
      <c r="CW130" s="50">
        <f t="shared" si="129"/>
        <v>0.11369645690111052</v>
      </c>
      <c r="CX130" s="50">
        <f t="shared" si="130"/>
        <v>0.3385774722369117</v>
      </c>
      <c r="CY130" s="14">
        <f t="shared" si="131"/>
        <v>14192</v>
      </c>
      <c r="CZ130" s="14">
        <f t="shared" si="132"/>
        <v>6771</v>
      </c>
      <c r="DA130" s="14">
        <f>INT(SUMPRODUCT($AI130:$AM130,$BA130:$BE130)/SUM($BA130:$BE130)/10000*$BX$7*$BZ$34/'疲劳值&amp;地图信息'!$R$10*$BY$56)</f>
        <v>11584</v>
      </c>
      <c r="DB130" s="50">
        <f t="shared" si="133"/>
        <v>0.43604633299536055</v>
      </c>
      <c r="DC130" s="50">
        <f t="shared" si="134"/>
        <v>0.20803760715273298</v>
      </c>
      <c r="DD130" s="50">
        <f t="shared" si="135"/>
        <v>0.3559160598519065</v>
      </c>
      <c r="DE130" s="14">
        <f t="shared" si="136"/>
        <v>14079</v>
      </c>
      <c r="DF130" s="14">
        <f t="shared" si="137"/>
        <v>12904</v>
      </c>
      <c r="DG130" s="14">
        <f>INT(SUMPRODUCT($AP130:$AT130,$BA130:$BE130)/SUM($BA130:$BE130)/10000*$BX$7*$BZ$34/'疲劳值&amp;地图信息'!$R$10*$BY$57)</f>
        <v>15472</v>
      </c>
      <c r="DH130" s="50">
        <f t="shared" si="138"/>
        <v>0.33162171711223648</v>
      </c>
      <c r="DI130" s="50">
        <f t="shared" si="139"/>
        <v>0.3039453539041338</v>
      </c>
      <c r="DJ130" s="50">
        <f t="shared" si="140"/>
        <v>0.36443292898362972</v>
      </c>
      <c r="DL130" s="14">
        <f t="shared" si="211"/>
        <v>14690</v>
      </c>
      <c r="DM130" s="14">
        <f t="shared" si="212"/>
        <v>18711</v>
      </c>
      <c r="DN130" s="14">
        <f t="shared" si="213"/>
        <v>22692</v>
      </c>
      <c r="DO130" s="14">
        <f t="shared" si="214"/>
        <v>32547</v>
      </c>
      <c r="DP130" s="14">
        <f t="shared" si="215"/>
        <v>42455</v>
      </c>
      <c r="DQ130" s="14">
        <f t="shared" si="216"/>
        <v>1024699</v>
      </c>
      <c r="DT130" s="14">
        <f t="shared" si="210"/>
        <v>235575</v>
      </c>
      <c r="DU130" s="50">
        <f t="shared" si="112"/>
        <v>0.1869236372407905</v>
      </c>
      <c r="DW130" s="14">
        <f t="shared" si="141"/>
        <v>1260274</v>
      </c>
      <c r="EB130" s="14">
        <v>125</v>
      </c>
      <c r="EC130" s="51">
        <f t="shared" si="142"/>
        <v>17967</v>
      </c>
      <c r="ED130" s="51">
        <f t="shared" si="143"/>
        <v>1509</v>
      </c>
      <c r="EE130" s="51">
        <f>INT(SUMPRODUCT($N130:$R130,$BF130:$BJ130)/SUM($BF130:$BJ130)/10000*$BX$7*$BZ$46/'疲劳值&amp;地图信息'!$R$10*$BY$53)</f>
        <v>403</v>
      </c>
      <c r="EF130" s="50">
        <f t="shared" si="144"/>
        <v>0.90381809950198699</v>
      </c>
      <c r="EG130" s="50">
        <f t="shared" si="145"/>
        <v>7.5909250968358571E-2</v>
      </c>
      <c r="EH130" s="50">
        <f t="shared" si="146"/>
        <v>2.0272649529654411E-2</v>
      </c>
      <c r="EI130" s="51">
        <f t="shared" si="147"/>
        <v>19276</v>
      </c>
      <c r="EJ130" s="51">
        <f t="shared" si="148"/>
        <v>2484</v>
      </c>
      <c r="EK130" s="14">
        <f>INT(SUMPRODUCT($U130:$Y130,$BF130:$BJ130)/SUM($BF130:$BJ130)/10000*$BX$7*$BZ$46/'疲劳值&amp;地图信息'!$R$10*$BY$54)</f>
        <v>759</v>
      </c>
      <c r="EL130" s="50">
        <f t="shared" si="149"/>
        <v>0.85598827656645504</v>
      </c>
      <c r="EM130" s="50">
        <f t="shared" si="150"/>
        <v>0.11030685199165149</v>
      </c>
      <c r="EN130" s="50">
        <f t="shared" si="151"/>
        <v>3.3704871441893512E-2</v>
      </c>
      <c r="EO130" s="51">
        <f t="shared" si="152"/>
        <v>20715</v>
      </c>
      <c r="EP130" s="51">
        <f t="shared" si="153"/>
        <v>4301</v>
      </c>
      <c r="EQ130" s="14">
        <f>INT(SUMPRODUCT($AB130:$AF130,$BF130:$BJ130)/SUM($BF130:$BJ130)/10000*$BX$7*$BZ$46/'疲劳值&amp;地图信息'!$R$10*$BY$55)</f>
        <v>1030</v>
      </c>
      <c r="ER130" s="50">
        <f t="shared" si="154"/>
        <v>0.79532365814328498</v>
      </c>
      <c r="ES130" s="50">
        <f t="shared" si="155"/>
        <v>0.16513092221454351</v>
      </c>
      <c r="ET130" s="50">
        <f t="shared" si="156"/>
        <v>3.9545419642171543E-2</v>
      </c>
      <c r="EU130" s="51">
        <f t="shared" si="157"/>
        <v>23653</v>
      </c>
      <c r="EV130" s="51">
        <f t="shared" si="158"/>
        <v>11286</v>
      </c>
      <c r="EW130" s="14">
        <f>INT(SUMPRODUCT($AI130:$AM130,$BF130:$BJ130)/SUM($BF130:$BJ130)/10000*$BX$7*$BZ$46/'疲劳值&amp;地图信息'!$R$10*$BY$56)</f>
        <v>1545</v>
      </c>
      <c r="EX130" s="50">
        <f t="shared" si="159"/>
        <v>0.64831158864159633</v>
      </c>
      <c r="EY130" s="50">
        <f t="shared" si="160"/>
        <v>0.30934108102181779</v>
      </c>
      <c r="EZ130" s="50">
        <f t="shared" si="161"/>
        <v>4.2347330336585901E-2</v>
      </c>
      <c r="FA130" s="51">
        <f t="shared" si="162"/>
        <v>23465</v>
      </c>
      <c r="FB130" s="51">
        <f t="shared" si="163"/>
        <v>21507</v>
      </c>
      <c r="FC130" s="14">
        <f>INT(SUMPRODUCT($AP130:$AT130,$BF130:$BJ130)/SUM($BF130:$BJ130)/10000*$BX$7*$BZ$46/'疲劳值&amp;地图信息'!$R$10*$BY$57)</f>
        <v>2060</v>
      </c>
      <c r="FD130" s="50">
        <f t="shared" si="164"/>
        <v>0.49891563191018878</v>
      </c>
      <c r="FE130" s="50">
        <f t="shared" si="165"/>
        <v>0.45728440210920224</v>
      </c>
      <c r="FF130" s="50">
        <f t="shared" si="166"/>
        <v>4.3799965980608944E-2</v>
      </c>
      <c r="FH130" s="14">
        <f t="shared" si="167"/>
        <v>19879</v>
      </c>
      <c r="FI130" s="14">
        <f t="shared" si="168"/>
        <v>22519</v>
      </c>
      <c r="FJ130" s="14">
        <f t="shared" si="169"/>
        <v>26046</v>
      </c>
      <c r="FK130" s="14">
        <f t="shared" si="170"/>
        <v>36484</v>
      </c>
      <c r="FL130" s="14">
        <f t="shared" si="171"/>
        <v>47032</v>
      </c>
      <c r="FM130" s="14">
        <f t="shared" si="172"/>
        <v>2328364</v>
      </c>
      <c r="FP130" s="14">
        <f t="shared" si="173"/>
        <v>334150</v>
      </c>
      <c r="FQ130" s="50">
        <f t="shared" si="113"/>
        <v>0.12550168750286383</v>
      </c>
      <c r="FS130" s="14">
        <f t="shared" si="174"/>
        <v>2662514</v>
      </c>
      <c r="FX130" s="14">
        <v>125</v>
      </c>
      <c r="FY130" s="51">
        <f t="shared" si="175"/>
        <v>25154</v>
      </c>
      <c r="FZ130" s="51">
        <f t="shared" si="176"/>
        <v>1509</v>
      </c>
      <c r="GA130" s="51">
        <f>INT(SUMPRODUCT($N130:$R130,$BF130:$BJ130)/SUM($BF130:$BJ130)/10000*$BX$7*$BZ$46/'疲劳值&amp;地图信息'!$R$10*$BY$53)</f>
        <v>403</v>
      </c>
      <c r="GB130" s="50">
        <f t="shared" si="177"/>
        <v>0.92935786595728964</v>
      </c>
      <c r="GC130" s="50">
        <f t="shared" si="178"/>
        <v>5.5752604743959211E-2</v>
      </c>
      <c r="GD130" s="50">
        <f t="shared" si="179"/>
        <v>1.4889529298751201E-2</v>
      </c>
      <c r="GE130" s="51">
        <f t="shared" si="180"/>
        <v>26987</v>
      </c>
      <c r="GF130" s="51">
        <f t="shared" si="181"/>
        <v>2484</v>
      </c>
      <c r="GG130" s="14">
        <f>INT(SUMPRODUCT($U130:$Y130,$BF130:$BJ130)/SUM($BF130:$BJ130)/10000*$BX$7*$BZ$46/'疲劳值&amp;地图信息'!$R$10*$BY$54)</f>
        <v>759</v>
      </c>
      <c r="GH130" s="50">
        <f t="shared" si="182"/>
        <v>0.89272246113132647</v>
      </c>
      <c r="GI130" s="50">
        <f t="shared" si="183"/>
        <v>8.217002977174992E-2</v>
      </c>
      <c r="GJ130" s="50">
        <f t="shared" si="184"/>
        <v>2.5107509096923587E-2</v>
      </c>
      <c r="GK130" s="51">
        <f t="shared" si="185"/>
        <v>29001</v>
      </c>
      <c r="GL130" s="51">
        <f t="shared" si="186"/>
        <v>4301</v>
      </c>
      <c r="GM130" s="14">
        <f>INT(SUMPRODUCT($AB130:$AF130,$BF130:$BJ130)/SUM($BF130:$BJ130)/10000*$BX$7*$BZ$46/'疲劳值&amp;地图信息'!$R$10*$BY$55)</f>
        <v>1030</v>
      </c>
      <c r="GN130" s="50">
        <f t="shared" si="187"/>
        <v>0.84472212513107303</v>
      </c>
      <c r="GO130" s="50">
        <f t="shared" si="188"/>
        <v>0.12527670977513689</v>
      </c>
      <c r="GP130" s="50">
        <f t="shared" si="189"/>
        <v>3.0001165093790048E-2</v>
      </c>
      <c r="GQ130" s="51">
        <f t="shared" si="190"/>
        <v>33115</v>
      </c>
      <c r="GR130" s="51">
        <f t="shared" si="191"/>
        <v>11286</v>
      </c>
      <c r="GS130" s="14">
        <f>INT(SUMPRODUCT($AI130:$AM130,$BF130:$BJ130)/SUM($BF130:$BJ130)/10000*$BX$7*$BZ$46/'疲劳值&amp;地图信息'!$R$10*$BY$56)</f>
        <v>1545</v>
      </c>
      <c r="GT130" s="50">
        <f t="shared" si="192"/>
        <v>0.72073738736777959</v>
      </c>
      <c r="GU130" s="50">
        <f t="shared" si="193"/>
        <v>0.24563618160449224</v>
      </c>
      <c r="GV130" s="50">
        <f t="shared" si="194"/>
        <v>3.36264310277282E-2</v>
      </c>
      <c r="GW130" s="51">
        <f t="shared" si="195"/>
        <v>32851</v>
      </c>
      <c r="GX130" s="51">
        <f t="shared" si="196"/>
        <v>21507</v>
      </c>
      <c r="GY130" s="14">
        <f>INT(SUMPRODUCT($AP130:$AT130,$BF130:$BJ130)/SUM($BF130:$BJ130)/10000*$BX$7*$BZ$46/'疲劳值&amp;地图信息'!$R$10*$BY$57)</f>
        <v>2060</v>
      </c>
      <c r="GZ130" s="50">
        <f t="shared" si="197"/>
        <v>0.58227870537771631</v>
      </c>
      <c r="HA130" s="50">
        <f t="shared" si="198"/>
        <v>0.38120812506646817</v>
      </c>
      <c r="HB130" s="50">
        <f t="shared" si="199"/>
        <v>3.6513169555815517E-2</v>
      </c>
      <c r="HD130" s="14">
        <f t="shared" si="200"/>
        <v>27066</v>
      </c>
      <c r="HE130" s="14">
        <f t="shared" si="201"/>
        <v>30230</v>
      </c>
      <c r="HF130" s="14">
        <f t="shared" si="202"/>
        <v>34332</v>
      </c>
      <c r="HG130" s="14">
        <f t="shared" si="203"/>
        <v>45946</v>
      </c>
      <c r="HH130" s="14">
        <f t="shared" si="204"/>
        <v>56418</v>
      </c>
      <c r="HI130" s="14">
        <f t="shared" si="205"/>
        <v>3122247</v>
      </c>
      <c r="HL130" s="14">
        <f t="shared" si="206"/>
        <v>430050</v>
      </c>
      <c r="HM130" s="50">
        <f t="shared" si="114"/>
        <v>0.12106251250951146</v>
      </c>
      <c r="HO130" s="14">
        <f t="shared" si="207"/>
        <v>3552297</v>
      </c>
    </row>
    <row r="131" spans="11:223" x14ac:dyDescent="0.2">
      <c r="K131" s="14">
        <v>126</v>
      </c>
      <c r="L131" s="12">
        <f>求节点(节奏总纲!D$4:D$163,标准城池设计!AB$4:AB$163,$K131)*求节点(节奏总纲!D$4:D$163,攻城基础信息!$AC$5:$AC$164,$K131)</f>
        <v>530693.2841204732</v>
      </c>
      <c r="M131" s="12">
        <f>INDEX(其他调用!$AA$5:$AA$404,MATCH(K131,其他调用!$X$5:$X$404,0))*MIN(INDEX(其他调用!$AH$5:$AH$364,MATCH('征服点（新）'!K131,其他调用!$AG$5:$AG$364,0),1)/INDEX(其他调用!$AJ$5:$AJ$364,MATCH(K131,其他调用!$AG$5:$AG$364,0),0),5)*求节点(节奏总纲!D$4:D$163,攻城基础信息!$AC$5:$AC$164,$K131)</f>
        <v>44538.036894248115</v>
      </c>
      <c r="N131" s="12">
        <f>MIN(INDEX(其他调用!$AH$5:$AH$364,MATCH($K131,其他调用!$AG$5:$AG$364,0),1)/INDEX(其他调用!AH$5:AH$364,MATCH($K131,其他调用!$AG$5:$AG$364,0),0),1)*INDEX(其他调用!Y$5:Y$404,MATCH($K131,其他调用!$X$5:$X$404,0),0)</f>
        <v>37470.696029994324</v>
      </c>
      <c r="O131" s="12">
        <f>MIN(INDEX(其他调用!$AH$5:$AH$364,MATCH($K131,其他调用!$AG$5:$AG$364,0),1)/INDEX(其他调用!AI$5:AI$364,MATCH($K131,其他调用!$AG$5:$AG$364,0),0),1)*INDEX(其他调用!Z$5:Z$404,MATCH($K131,其他调用!$X$5:$X$404,0),0)</f>
        <v>23458.051031775634</v>
      </c>
      <c r="P131" s="12">
        <f>MIN(INDEX(其他调用!$AH$5:$AH$364,MATCH($K131,其他调用!$AG$5:$AG$364,0),1)/INDEX(其他调用!AJ$5:AJ$364,MATCH($K131,其他调用!$AG$5:$AG$364,0),0),1)*INDEX(其他调用!AA$5:AA$404,MATCH($K131,其他调用!$X$5:$X$404,0),0)</f>
        <v>14081.936132414688</v>
      </c>
      <c r="Q131" s="12">
        <f>MIN(INDEX(其他调用!$AH$5:$AH$364,MATCH($K131,其他调用!$AG$5:$AG$364,0),1)/INDEX(其他调用!AK$5:AK$364,MATCH($K131,其他调用!$AG$5:$AG$364,0),0),1)*INDEX(其他调用!AB$5:AB$404,MATCH($K131,其他调用!$X$5:$X$404,0),0)</f>
        <v>5649.90434315733</v>
      </c>
      <c r="R131" s="12">
        <f>MIN(INDEX(其他调用!$AH$5:$AH$364,MATCH($K131,其他调用!$AG$5:$AG$364,0),1)/INDEX(其他调用!AL$5:AL$364,MATCH($K131,其他调用!$AG$5:$AG$364,0),0),1)*INDEX(其他调用!AC$5:AC$404,MATCH($K131,其他调用!$X$5:$X$404,0),0)</f>
        <v>1809.6319467525066</v>
      </c>
      <c r="S131" s="12">
        <f>求节点(节奏总纲!D$4:D$163,标准城池设计!AC$4:AC$163,$K131)*求节点(节奏总纲!D$4:D$163,攻城基础信息!$AD$5:$AD$164,$K131)</f>
        <v>569496.62063246884</v>
      </c>
      <c r="T131" s="12">
        <f>INDEX(其他调用!$AA$5:$AA$404,MATCH($K131,其他调用!$X$5:$X$404,0))*MIN(INDEX(其他调用!AI$5:AI$364,MATCH($K131,其他调用!$AG$5:$AG$364,0),1)/INDEX(其他调用!$AJ$5:$AJ$364,MATCH($K131,其他调用!$AG$5:$AG$364,0),0),5)*求节点(节奏总纲!D$4:D$163,攻城基础信息!$AD$5:$AD$164,$K131)</f>
        <v>73329.23221759891</v>
      </c>
      <c r="U131" s="12">
        <f>MIN(INDEX(其他调用!$AI$5:$AI$364,MATCH($K131,其他调用!$AG$5:$AG$364,0),1)/INDEX(其他调用!AH$5:AH$364,MATCH($K131,其他调用!$AG$5:$AG$364,0),0),1)*INDEX(其他调用!Y$5:Y$404,MATCH($K131,其他调用!$X$5:$X$404,0),0)</f>
        <v>37470.696029994324</v>
      </c>
      <c r="V131" s="12">
        <f>MIN(INDEX(其他调用!$AI$5:$AI$364,MATCH($K131,其他调用!$AG$5:$AG$364,0),1)/INDEX(其他调用!AI$5:AI$364,MATCH($K131,其他调用!$AG$5:$AG$364,0),0),1)*INDEX(其他调用!Z$5:Z$404,MATCH($K131,其他调用!$X$5:$X$404,0),0)</f>
        <v>38622.287631709973</v>
      </c>
      <c r="W131" s="12">
        <f>MIN(INDEX(其他调用!$AI$5:$AI$364,MATCH($K131,其他调用!$AG$5:$AG$364,0),1)/INDEX(其他调用!AJ$5:AJ$364,MATCH($K131,其他调用!$AG$5:$AG$364,0),0),1)*INDEX(其他调用!AA$5:AA$404,MATCH($K131,其他调用!$X$5:$X$404,0),0)</f>
        <v>23185.071384693008</v>
      </c>
      <c r="X131" s="12">
        <f>MIN(INDEX(其他调用!$AI$5:$AI$364,MATCH($K131,其他调用!$AG$5:$AG$364,0),1)/INDEX(其他调用!AK$5:AK$364,MATCH($K131,其他调用!$AG$5:$AG$364,0),0),1)*INDEX(其他调用!AB$5:AB$404,MATCH($K131,其他调用!$X$5:$X$404,0),0)</f>
        <v>9302.2319005737318</v>
      </c>
      <c r="Y131" s="12">
        <f>MIN(INDEX(其他调用!$AI$5:$AI$364,MATCH($K131,其他调用!$AG$5:$AG$364,0),1)/INDEX(其他调用!AL$5:AL$364,MATCH($K131,其他调用!$AG$5:$AG$364,0),0),1)*INDEX(其他调用!AC$5:AC$404,MATCH($K131,其他调用!$X$5:$X$404,0),0)</f>
        <v>2979.4515094341223</v>
      </c>
      <c r="Z131" s="12">
        <f>求节点(节奏总纲!D$4:D$163,标准城池设计!AD$4:AD$163,$K131)*求节点(节奏总纲!D$4:D$163,攻城基础信息!$AE$5:$AE$164,$K131)</f>
        <v>611848.81567628728</v>
      </c>
      <c r="AA131" s="12">
        <f>INDEX(其他调用!$AA$5:$AA$404,MATCH($K131,其他调用!$X$5:$X$404,0))*MIN(INDEX(其他调用!AJ$5:AJ$364,MATCH($K131,其他调用!$AG$5:$AG$364,0),1)/INDEX(其他调用!$AJ$5:$AJ$364,MATCH($K131,其他调用!$AG$5:$AG$364,0),0),5)*求节点(节奏总纲!D$4:D$163,攻城基础信息!$AE$5:$AE$164,$K131)</f>
        <v>126934.72313205364</v>
      </c>
      <c r="AB131" s="12">
        <f>MIN(INDEX(其他调用!$AJ$5:$AJ$364,MATCH($K131,其他调用!$AG$5:$AG$364,0),1)/INDEX(其他调用!AH$5:AH$364,MATCH($K131,其他调用!$AG$5:$AG$364,0),0),1)*INDEX(其他调用!Y$5:Y$404,MATCH($K131,其他调用!$X$5:$X$404,0),0)</f>
        <v>37470.696029994324</v>
      </c>
      <c r="AC131" s="12">
        <f>MIN(INDEX(其他调用!$AJ$5:$AJ$364,MATCH($K131,其他调用!$AG$5:$AG$364,0),1)/INDEX(其他调用!AI$5:AI$364,MATCH($K131,其他调用!$AG$5:$AG$364,0),0),1)*INDEX(其他调用!Z$5:Z$404,MATCH($K131,其他调用!$X$5:$X$404,0),0)</f>
        <v>38622.287631709973</v>
      </c>
      <c r="AD131" s="12">
        <f>MIN(INDEX(其他调用!$AJ$5:$AJ$364,MATCH($K131,其他调用!$AG$5:$AG$364,0),1)/INDEX(其他调用!AJ$5:AJ$364,MATCH($K131,其他调用!$AG$5:$AG$364,0),0),1)*INDEX(其他调用!AA$5:AA$404,MATCH($K131,其他调用!$X$5:$X$404,0),0)</f>
        <v>40133.934694417716</v>
      </c>
      <c r="AE131" s="12">
        <f>MIN(INDEX(其他调用!$AJ$5:$AJ$364,MATCH($K131,其他调用!$AG$5:$AG$364,0),1)/INDEX(其他调用!AK$5:AK$364,MATCH($K131,其他调用!$AG$5:$AG$364,0),0),1)*INDEX(其他调用!AB$5:AB$404,MATCH($K131,其他调用!$X$5:$X$404,0),0)</f>
        <v>16102.394571725776</v>
      </c>
      <c r="AF131" s="12">
        <f>MIN(INDEX(其他调用!$AJ$5:$AJ$364,MATCH($K131,其他调用!$AG$5:$AG$364,0),1)/INDEX(其他调用!AL$5:AL$364,MATCH($K131,其他调用!$AG$5:$AG$364,0),0),1)*INDEX(其他调用!AC$5:AC$404,MATCH($K131,其他调用!$X$5:$X$404,0),0)</f>
        <v>5157.504599436309</v>
      </c>
      <c r="AG131" s="12">
        <f>求节点(节奏总纲!D$4:D$163,标准城池设计!AE$4:AE$163,$K131)*求节点(节奏总纲!D$4:D$163,攻城基础信息!$AF$5:$AF$164,$K131)</f>
        <v>698847.5015406392</v>
      </c>
      <c r="AH131" s="12">
        <f>INDEX(其他调用!$AA$5:$AA$404,MATCH($K131,其他调用!$X$5:$X$404,0))*MIN(INDEX(其他调用!AK$5:AK$364,MATCH($K131,其他调用!$AG$5:$AG$364,0),1)/INDEX(其他调用!$AJ$5:$AJ$364,MATCH($K131,其他调用!$AG$5:$AG$364,0),0),5)*求节点(节奏总纲!D$4:D$163,攻城基础信息!$AF$5:$AF$164,$K131)</f>
        <v>333556.66276086681</v>
      </c>
      <c r="AI131" s="12">
        <f>MIN(INDEX(其他调用!$AK$5:$AK$364,MATCH($K131,其他调用!$AG$5:$AG$364,0),1)/INDEX(其他调用!AH$5:AH$364,MATCH($K131,其他调用!$AG$5:$AG$364,0),0),1)*INDEX(其他调用!Y$5:Y$404,MATCH($K131,其他调用!$X$5:$X$404,0),0)</f>
        <v>37470.696029994324</v>
      </c>
      <c r="AJ131" s="12">
        <f>MIN(INDEX(其他调用!$AK$5:$AK$364,MATCH($K131,其他调用!$AG$5:$AG$364,0),1)/INDEX(其他调用!AI$5:AI$364,MATCH($K131,其他调用!$AG$5:$AG$364,0),0),1)*INDEX(其他调用!Z$5:Z$404,MATCH($K131,其他调用!$X$5:$X$404,0),0)</f>
        <v>38622.287631709973</v>
      </c>
      <c r="AK131" s="12">
        <f>MIN(INDEX(其他调用!$AK$5:$AK$364,MATCH($K131,其他调用!$AG$5:$AG$364,0),1)/INDEX(其他调用!AJ$5:AJ$364,MATCH($K131,其他调用!$AG$5:$AG$364,0),0),1)*INDEX(其他调用!AA$5:AA$404,MATCH($K131,其他调用!$X$5:$X$404,0),0)</f>
        <v>40133.934694417716</v>
      </c>
      <c r="AL131" s="12">
        <f>MIN(INDEX(其他调用!$AK$5:$AK$364,MATCH($K131,其他调用!$AG$5:$AG$364,0),1)/INDEX(其他调用!AK$5:AK$364,MATCH($K131,其他调用!$AG$5:$AG$364,0),0),1)*INDEX(其他调用!AB$5:AB$404,MATCH($K131,其他调用!$X$5:$X$404,0),0)</f>
        <v>42313.567661197689</v>
      </c>
      <c r="AM131" s="12">
        <f>MIN(INDEX(其他调用!$AK$5:$AK$364,MATCH($K131,其他调用!$AG$5:$AG$364,0),1)/INDEX(其他调用!AL$5:AL$364,MATCH($K131,其他调用!$AG$5:$AG$364,0),0),1)*INDEX(其他调用!AC$5:AC$404,MATCH($K131,其他调用!$X$5:$X$404,0),0)</f>
        <v>13552.792962506412</v>
      </c>
      <c r="AN131" s="12">
        <f>求节点(节奏总纲!D$4:D$163,标准城池设计!AF$4:AF$163,$K131)*求节点(节奏总纲!D$4:D$163,攻城基础信息!$AG$5:$AG$164,$K131)</f>
        <v>693758.18024264381</v>
      </c>
      <c r="AO131" s="12">
        <f>INDEX(其他调用!$AA$5:$AA$404,MATCH($K131,其他调用!$X$5:$X$404,0))*MIN(INDEX(其他调用!AL$5:AL$364,MATCH($K131,其他调用!$AG$5:$AG$364,0),1)/INDEX(其他调用!$AJ$5:$AJ$364,MATCH($K131,其他调用!$AG$5:$AG$364,0),0),5)*求节点(节奏总纲!D$4:D$163,攻城基础信息!$AG$5:$AG$164,$K131)</f>
        <v>634673.61566026823</v>
      </c>
      <c r="AP131" s="12">
        <f>MIN(INDEX(其他调用!$AL$5:$AL$364,MATCH($K131,其他调用!$AG$5:$AG$364,0),1)/INDEX(其他调用!AH$5:AH$364,MATCH($K131,其他调用!$AG$5:$AG$364,0),0),1)*INDEX(其他调用!Y$5:Y$404,MATCH($K131,其他调用!$X$5:$X$404,0),0)</f>
        <v>37470.696029994324</v>
      </c>
      <c r="AQ131" s="12">
        <f>MIN(INDEX(其他调用!$AL$5:$AL$364,MATCH($K131,其他调用!$AG$5:$AG$364,0),1)/INDEX(其他调用!AI$5:AI$364,MATCH($K131,其他调用!$AG$5:$AG$364,0),0),1)*INDEX(其他调用!Z$5:Z$404,MATCH($K131,其他调用!$X$5:$X$404,0),0)</f>
        <v>38622.287631709973</v>
      </c>
      <c r="AR131" s="12">
        <f>MIN(INDEX(其他调用!$AL$5:$AL$364,MATCH($K131,其他调用!$AG$5:$AG$364,0),1)/INDEX(其他调用!AJ$5:AJ$364,MATCH($K131,其他调用!$AG$5:$AG$364,0),0),1)*INDEX(其他调用!AA$5:AA$404,MATCH($K131,其他调用!$X$5:$X$404,0),0)</f>
        <v>40133.934694417716</v>
      </c>
      <c r="AS131" s="12">
        <f>MIN(INDEX(其他调用!$AL$5:$AL$364,MATCH($K131,其他调用!$AG$5:$AG$364,0),1)/INDEX(其他调用!AK$5:AK$364,MATCH($K131,其他调用!$AG$5:$AG$364,0),0),1)*INDEX(其他调用!AB$5:AB$404,MATCH($K131,其他调用!$X$5:$X$404,0),0)</f>
        <v>42313.567661197689</v>
      </c>
      <c r="AT131" s="12">
        <f>MIN(INDEX(其他调用!$AL$5:$AL$364,MATCH($K131,其他调用!$AG$5:$AG$364,0),1)/INDEX(其他调用!AL$5:AL$364,MATCH($K131,其他调用!$AG$5:$AG$364,0),0),1)*INDEX(其他调用!AC$5:AC$404,MATCH($K131,其他调用!$X$5:$X$404,0),0)</f>
        <v>46213.684033780795</v>
      </c>
      <c r="AV131" s="14">
        <f>IF(OR(AV$5="大R",AV$5="超R"),MAX(INDEX(其他调用!$H$5:$L$404,MATCH($K131,其他调用!$B$5:$B$404,0),MATCH(AV$5,其他调用!$H$4:$L$4,0))*120*0.85,2),INDEX(其他调用!$H$5:$L$404,MATCH($K131,其他调用!$B$5:$B$404,0),MATCH(AV$5,其他调用!$H$4:$L$4,0))*120*0.85)</f>
        <v>48.921801254999991</v>
      </c>
      <c r="AW131" s="14">
        <f>IF(OR(AW$5="大R",AW$5="超R"),MAX(INDEX(其他调用!$H$5:$L$404,MATCH($K131,其他调用!$B$5:$B$404,0),MATCH(AW$5,其他调用!$H$4:$L$4,0))*120*0.85,2),INDEX(其他调用!$H$5:$L$404,MATCH($K131,其他调用!$B$5:$B$404,0),MATCH(AW$5,其他调用!$H$4:$L$4,0))*120*0.85)</f>
        <v>48.237344010638395</v>
      </c>
      <c r="AX131" s="14">
        <f>IF(OR(AX$5="大R",AX$5="超R"),MAX(INDEX(其他调用!$H$5:$L$404,MATCH($K131,其他调用!$B$5:$B$404,0),MATCH(AX$5,其他调用!$H$4:$L$4,0))*120*0.85,2),INDEX(其他调用!$H$5:$L$404,MATCH($K131,其他调用!$B$5:$B$404,0),MATCH(AX$5,其他调用!$H$4:$L$4,0))*120*0.85)</f>
        <v>3.9376284143615998</v>
      </c>
      <c r="AY131" s="14">
        <f>IF(OR(AY$5="大R",AY$5="超R"),MAX(INDEX(其他调用!$H$5:$L$404,MATCH($K131,其他调用!$B$5:$B$404,0),MATCH(AY$5,其他调用!$H$4:$L$4,0))*120*0.85,2),INDEX(其他调用!$H$5:$L$404,MATCH($K131,其他调用!$B$5:$B$404,0),MATCH(AY$5,其他调用!$H$4:$L$4,0))*120*0.85)</f>
        <v>2</v>
      </c>
      <c r="AZ131" s="14">
        <f>IF(OR(AZ$5="大R",AZ$5="超R"),MAX(INDEX(其他调用!$H$5:$L$404,MATCH($K131,其他调用!$B$5:$B$404,0),MATCH(AZ$5,其他调用!$H$4:$L$4,0))*120*0.85,2),INDEX(其他调用!$H$5:$L$404,MATCH($K131,其他调用!$B$5:$B$404,0),MATCH(AZ$5,其他调用!$H$4:$L$4,0))*120*0.85)</f>
        <v>2</v>
      </c>
      <c r="BA131" s="14">
        <f>INDEX(其他调用!$H$5:$L$404,MATCH($K131,其他调用!$B$5:$B$404,0),MATCH(BA$5,其他调用!$H$4:$L$4,0))*INDEX(其他调用!$M$5:$M$404,MATCH($K131,其他调用!$B$5:$B$404,0))*0.6</f>
        <v>28.777530149999997</v>
      </c>
      <c r="BB131" s="14">
        <f>INDEX(其他调用!$H$5:$L$404,MATCH($K131,其他调用!$B$5:$B$404,0),MATCH(BB$5,其他调用!$H$4:$L$4,0))*INDEX(其他调用!$M$5:$M$404,MATCH($K131,其他调用!$B$5:$B$404,0))*0.6</f>
        <v>28.374908241551999</v>
      </c>
      <c r="BC131" s="14">
        <f>INDEX(其他调用!$H$5:$L$404,MATCH($K131,其他调用!$B$5:$B$404,0),MATCH(BC$5,其他调用!$H$4:$L$4,0))*INDEX(其他调用!$M$5:$M$404,MATCH($K131,其他调用!$B$5:$B$404,0))*0.6</f>
        <v>2.3162520084480001</v>
      </c>
      <c r="BD131" s="14">
        <f>INDEX(其他调用!$H$5:$L$404,MATCH($K131,其他调用!$B$5:$B$404,0),MATCH(BD$5,其他调用!$H$4:$L$4,0))*INDEX(其他调用!$M$5:$M$404,MATCH($K131,其他调用!$B$5:$B$404,0))*0.6</f>
        <v>0.4120776000000001</v>
      </c>
      <c r="BE131" s="14">
        <f>INDEX(其他调用!$H$5:$L$404,MATCH($K131,其他调用!$B$5:$B$404,0),MATCH(BE$5,其他调用!$H$4:$L$4,0))*INDEX(其他调用!$M$5:$M$404,MATCH($K131,其他调用!$B$5:$B$404,0))*0.6</f>
        <v>0.11923199999999998</v>
      </c>
      <c r="BF131" s="14">
        <f>IF(OR(BF$5="大R",BF$5="超R"),0,INDEX(其他调用!$H$5:$L$404,MATCH($K131,其他调用!$B$5:$B$404,0),MATCH(BF$5,其他调用!$H$4:$L$4,0))*50*0.4)</f>
        <v>9.5925100500000013</v>
      </c>
      <c r="BG131" s="14">
        <f>IF(OR(BG$5="大R",BG$5="超R"),0,INDEX(其他调用!$H$5:$L$404,MATCH($K131,其他调用!$B$5:$B$404,0),MATCH(BG$5,其他调用!$H$4:$L$4,0))*50*0.4)</f>
        <v>9.4583027471839998</v>
      </c>
      <c r="BH131" s="14">
        <f>IF(OR(BH$5="大R",BH$5="超R"),0,INDEX(其他调用!$H$5:$L$404,MATCH($K131,其他调用!$B$5:$B$404,0),MATCH(BH$5,其他调用!$H$4:$L$4,0))*50*0.4)</f>
        <v>0.77208400281600009</v>
      </c>
      <c r="BI131" s="14">
        <f>IF(OR(BI$5="大R",BI$5="超R"),0,INDEX(其他调用!$H$5:$L$404,MATCH($K131,其他调用!$B$5:$B$404,0),MATCH(BI$5,其他调用!$H$4:$L$4,0))*50*0.4)</f>
        <v>0</v>
      </c>
      <c r="BJ131" s="14">
        <f>IF(OR(BJ$5="大R",BJ$5="超R"),0,INDEX(其他调用!$H$5:$L$404,MATCH($K131,其他调用!$B$5:$B$404,0),MATCH(BJ$5,其他调用!$H$4:$L$4,0))*50*0.4)</f>
        <v>0</v>
      </c>
      <c r="BL131" s="14">
        <f t="shared" si="208"/>
        <v>126</v>
      </c>
      <c r="BM131" s="14">
        <f t="shared" si="115"/>
        <v>96</v>
      </c>
      <c r="BN131" s="14">
        <f>('疲劳值&amp;地图信息'!$S$10*'疲劳值&amp;地图信息'!$R$10+'疲劳值&amp;地图信息'!$S$11*'疲劳值&amp;地图信息'!$R$11+'疲劳值&amp;地图信息'!$S$12*'疲劳值&amp;地图信息'!$R$12+(BM131-'疲劳值&amp;地图信息'!$S$12-'疲劳值&amp;地图信息'!$S$11-'疲劳值&amp;地图信息'!$S$10)*'疲劳值&amp;地图信息'!$R$13)/BM131</f>
        <v>51.371477246638619</v>
      </c>
      <c r="BO131" s="14">
        <f>INDEX(其他调用!$M$5:$M$404,MATCH(BL131,其他调用!$B$5:$B$404,0))*0.6</f>
        <v>60</v>
      </c>
      <c r="BP131" s="14">
        <f>IF(BO131&gt;SUM('疲劳值&amp;地图信息'!$S$10:$S$12),('疲劳值&amp;地图信息'!$S$10*'疲劳值&amp;地图信息'!$R$10+'疲劳值&amp;地图信息'!$S$11*'疲劳值&amp;地图信息'!$R$11+'疲劳值&amp;地图信息'!$S$12*'疲劳值&amp;地图信息'!$R$12+(BO131-'疲劳值&amp;地图信息'!$S$12-'疲劳值&amp;地图信息'!$S$11-'疲劳值&amp;地图信息'!$S$10)*'疲劳值&amp;地图信息'!$R$13)/BO131,('疲劳值&amp;地图信息'!$S$10*'疲劳值&amp;地图信息'!$R$10+'疲劳值&amp;地图信息'!$S$11*'疲劳值&amp;地图信息'!$R$11+'疲劳值&amp;地图信息'!$S$12*'疲劳值&amp;地图信息'!$R$12+(BO131-'疲劳值&amp;地图信息'!$S$12-'疲劳值&amp;地图信息'!$S$11-'疲劳值&amp;地图信息'!$S$10)*'疲劳值&amp;地图信息'!$R$13)/BO131)</f>
        <v>44.158136341605953</v>
      </c>
      <c r="BQ131" s="14">
        <f t="shared" si="209"/>
        <v>20</v>
      </c>
      <c r="BR131" s="14">
        <f>('疲劳值&amp;地图信息'!$S$10*'疲劳值&amp;地图信息'!$R$10+($BQ131-'疲劳值&amp;地图信息'!$S$10)*'疲劳值&amp;地图信息'!$R$11)/$BQ131</f>
        <v>32.067203015074995</v>
      </c>
      <c r="CF131" s="14">
        <v>126</v>
      </c>
      <c r="CG131" s="51">
        <f t="shared" si="116"/>
        <v>10816</v>
      </c>
      <c r="CH131" s="51">
        <f t="shared" si="117"/>
        <v>907</v>
      </c>
      <c r="CI131" s="51">
        <f>INT(SUMPRODUCT($N131:$R131,$BA131:$BE131)/SUM($BA131:$BE131)/10000*$BX$7*$BZ$34/'疲劳值&amp;地图信息'!$R$10*$BY$53)</f>
        <v>3008</v>
      </c>
      <c r="CJ131" s="50">
        <f t="shared" si="118"/>
        <v>0.73423392845020707</v>
      </c>
      <c r="CK131" s="50">
        <f t="shared" si="119"/>
        <v>6.1570837010386258E-2</v>
      </c>
      <c r="CL131" s="50">
        <f t="shared" si="120"/>
        <v>0.20419523453940669</v>
      </c>
      <c r="CM131" s="14">
        <f t="shared" si="121"/>
        <v>11607</v>
      </c>
      <c r="CN131" s="14">
        <f t="shared" si="122"/>
        <v>1494</v>
      </c>
      <c r="CO131" s="14">
        <f>INT(SUMPRODUCT($U131:$Y131,$BA131:$BE131)/SUM($BA131:$BE131)/10000*$BX$7*$BZ$34/'疲劳值&amp;地图信息'!$R$10*$BY$54)</f>
        <v>5662</v>
      </c>
      <c r="CP131" s="50">
        <f t="shared" si="123"/>
        <v>0.61861109630656075</v>
      </c>
      <c r="CQ131" s="50">
        <f t="shared" si="124"/>
        <v>7.9624793476522945E-2</v>
      </c>
      <c r="CR131" s="50">
        <f t="shared" si="125"/>
        <v>0.30176411021691629</v>
      </c>
      <c r="CS131" s="14">
        <f t="shared" si="126"/>
        <v>12470</v>
      </c>
      <c r="CT131" s="14">
        <f t="shared" si="127"/>
        <v>2587</v>
      </c>
      <c r="CU131" s="14">
        <f>INT(SUMPRODUCT($AB131:$AF131,$BA131:$BE131)/SUM($BA131:$BE131)/10000*$BX$7*$BZ$34/'疲劳值&amp;地图信息'!$R$10*$BY$55)</f>
        <v>7692</v>
      </c>
      <c r="CV131" s="50">
        <f t="shared" si="128"/>
        <v>0.54815596289946811</v>
      </c>
      <c r="CW131" s="50">
        <f t="shared" si="129"/>
        <v>0.11371928436414787</v>
      </c>
      <c r="CX131" s="50">
        <f t="shared" si="130"/>
        <v>0.33812475273638404</v>
      </c>
      <c r="CY131" s="14">
        <f t="shared" si="131"/>
        <v>14243</v>
      </c>
      <c r="CZ131" s="14">
        <f t="shared" si="132"/>
        <v>6798</v>
      </c>
      <c r="DA131" s="14">
        <f>INT(SUMPRODUCT($AI131:$AM131,$BA131:$BE131)/SUM($BA131:$BE131)/10000*$BX$7*$BZ$34/'疲劳值&amp;地图信息'!$R$10*$BY$56)</f>
        <v>11598</v>
      </c>
      <c r="DB131" s="50">
        <f t="shared" si="133"/>
        <v>0.43637979104751984</v>
      </c>
      <c r="DC131" s="50">
        <f t="shared" si="134"/>
        <v>0.20827843990318332</v>
      </c>
      <c r="DD131" s="50">
        <f t="shared" si="135"/>
        <v>0.35534176904929687</v>
      </c>
      <c r="DE131" s="14">
        <f t="shared" si="136"/>
        <v>14139</v>
      </c>
      <c r="DF131" s="14">
        <f t="shared" si="137"/>
        <v>12935</v>
      </c>
      <c r="DG131" s="14">
        <f>INT(SUMPRODUCT($AP131:$AT131,$BA131:$BE131)/SUM($BA131:$BE131)/10000*$BX$7*$BZ$34/'疲劳值&amp;地图信息'!$R$10*$BY$57)</f>
        <v>15491</v>
      </c>
      <c r="DH131" s="50">
        <f t="shared" si="138"/>
        <v>0.33217432162574884</v>
      </c>
      <c r="DI131" s="50">
        <f t="shared" si="139"/>
        <v>0.30388817103253846</v>
      </c>
      <c r="DJ131" s="50">
        <f t="shared" si="140"/>
        <v>0.36393750734171265</v>
      </c>
      <c r="DL131" s="14">
        <f t="shared" si="211"/>
        <v>14731</v>
      </c>
      <c r="DM131" s="14">
        <f t="shared" si="212"/>
        <v>18763</v>
      </c>
      <c r="DN131" s="14">
        <f t="shared" si="213"/>
        <v>22749</v>
      </c>
      <c r="DO131" s="14">
        <f t="shared" si="214"/>
        <v>32639</v>
      </c>
      <c r="DP131" s="14">
        <f t="shared" si="215"/>
        <v>42565</v>
      </c>
      <c r="DQ131" s="14">
        <f t="shared" si="216"/>
        <v>1027537</v>
      </c>
      <c r="DT131" s="14">
        <f t="shared" si="210"/>
        <v>235575</v>
      </c>
      <c r="DU131" s="50">
        <f t="shared" si="112"/>
        <v>0.18650365129933055</v>
      </c>
      <c r="DW131" s="14">
        <f t="shared" si="141"/>
        <v>1263112</v>
      </c>
      <c r="EB131" s="14">
        <v>126</v>
      </c>
      <c r="EC131" s="51">
        <f t="shared" si="142"/>
        <v>18027</v>
      </c>
      <c r="ED131" s="51">
        <f t="shared" si="143"/>
        <v>1512</v>
      </c>
      <c r="EE131" s="51">
        <f>INT(SUMPRODUCT($N131:$R131,$BF131:$BJ131)/SUM($BF131:$BJ131)/10000*$BX$7*$BZ$46/'疲劳值&amp;地图信息'!$R$10*$BY$53)</f>
        <v>404</v>
      </c>
      <c r="EF131" s="50">
        <f t="shared" si="144"/>
        <v>0.90392618964047533</v>
      </c>
      <c r="EG131" s="50">
        <f t="shared" si="145"/>
        <v>7.5816075816075815E-2</v>
      </c>
      <c r="EH131" s="50">
        <f t="shared" si="146"/>
        <v>2.0257734543448831E-2</v>
      </c>
      <c r="EI131" s="51">
        <f t="shared" si="147"/>
        <v>19345</v>
      </c>
      <c r="EJ131" s="51">
        <f t="shared" si="148"/>
        <v>2490</v>
      </c>
      <c r="EK131" s="14">
        <f>INT(SUMPRODUCT($U131:$Y131,$BF131:$BJ131)/SUM($BF131:$BJ131)/10000*$BX$7*$BZ$46/'疲劳值&amp;地图信息'!$R$10*$BY$54)</f>
        <v>760</v>
      </c>
      <c r="EL131" s="50">
        <f t="shared" si="149"/>
        <v>0.85616286789112639</v>
      </c>
      <c r="EM131" s="50">
        <f t="shared" si="150"/>
        <v>0.11020137198495242</v>
      </c>
      <c r="EN131" s="50">
        <f t="shared" si="151"/>
        <v>3.3635760123921221E-2</v>
      </c>
      <c r="EO131" s="51">
        <f t="shared" si="152"/>
        <v>20783</v>
      </c>
      <c r="EP131" s="51">
        <f t="shared" si="153"/>
        <v>4311</v>
      </c>
      <c r="EQ131" s="14">
        <f>INT(SUMPRODUCT($AB131:$AF131,$BF131:$BJ131)/SUM($BF131:$BJ131)/10000*$BX$7*$BZ$46/'疲劳值&amp;地图信息'!$R$10*$BY$55)</f>
        <v>1031</v>
      </c>
      <c r="ER131" s="50">
        <f t="shared" si="154"/>
        <v>0.79552153110047852</v>
      </c>
      <c r="ES131" s="50">
        <f t="shared" si="155"/>
        <v>0.16501435406698564</v>
      </c>
      <c r="ET131" s="50">
        <f t="shared" si="156"/>
        <v>3.9464114832535882E-2</v>
      </c>
      <c r="EU131" s="51">
        <f t="shared" si="157"/>
        <v>23739</v>
      </c>
      <c r="EV131" s="51">
        <f t="shared" si="158"/>
        <v>11330</v>
      </c>
      <c r="EW131" s="14">
        <f>INT(SUMPRODUCT($AI131:$AM131,$BF131:$BJ131)/SUM($BF131:$BJ131)/10000*$BX$7*$BZ$46/'疲劳值&amp;地图信息'!$R$10*$BY$56)</f>
        <v>1547</v>
      </c>
      <c r="EX131" s="50">
        <f t="shared" si="159"/>
        <v>0.6483231374262618</v>
      </c>
      <c r="EY131" s="50">
        <f t="shared" si="160"/>
        <v>0.30942757264583787</v>
      </c>
      <c r="EZ131" s="50">
        <f t="shared" si="161"/>
        <v>4.224928992790037E-2</v>
      </c>
      <c r="FA131" s="51">
        <f t="shared" si="162"/>
        <v>23566</v>
      </c>
      <c r="FB131" s="51">
        <f t="shared" si="163"/>
        <v>21559</v>
      </c>
      <c r="FC131" s="14">
        <f>INT(SUMPRODUCT($AP131:$AT131,$BF131:$BJ131)/SUM($BF131:$BJ131)/10000*$BX$7*$BZ$46/'疲劳值&amp;地图信息'!$R$10*$BY$57)</f>
        <v>2063</v>
      </c>
      <c r="FD131" s="50">
        <f t="shared" si="164"/>
        <v>0.49940662880393322</v>
      </c>
      <c r="FE131" s="50">
        <f t="shared" si="165"/>
        <v>0.45687462914300248</v>
      </c>
      <c r="FF131" s="50">
        <f t="shared" si="166"/>
        <v>4.3718742053064336E-2</v>
      </c>
      <c r="FH131" s="14">
        <f t="shared" si="167"/>
        <v>19943</v>
      </c>
      <c r="FI131" s="14">
        <f t="shared" si="168"/>
        <v>22595</v>
      </c>
      <c r="FJ131" s="14">
        <f t="shared" si="169"/>
        <v>26125</v>
      </c>
      <c r="FK131" s="14">
        <f t="shared" si="170"/>
        <v>36616</v>
      </c>
      <c r="FL131" s="14">
        <f t="shared" si="171"/>
        <v>47188</v>
      </c>
      <c r="FM131" s="14">
        <f t="shared" si="172"/>
        <v>2336048</v>
      </c>
      <c r="FP131" s="14">
        <f t="shared" si="173"/>
        <v>334150</v>
      </c>
      <c r="FQ131" s="50">
        <f t="shared" si="113"/>
        <v>0.1251405326496387</v>
      </c>
      <c r="FS131" s="14">
        <f t="shared" si="174"/>
        <v>2670198</v>
      </c>
      <c r="FX131" s="14">
        <v>126</v>
      </c>
      <c r="FY131" s="51">
        <f t="shared" si="175"/>
        <v>25237</v>
      </c>
      <c r="FZ131" s="51">
        <f t="shared" si="176"/>
        <v>1512</v>
      </c>
      <c r="GA131" s="51">
        <f>INT(SUMPRODUCT($N131:$R131,$BF131:$BJ131)/SUM($BF131:$BJ131)/10000*$BX$7*$BZ$46/'疲劳值&amp;地图信息'!$R$10*$BY$53)</f>
        <v>404</v>
      </c>
      <c r="GB131" s="50">
        <f t="shared" si="177"/>
        <v>0.92943689463411039</v>
      </c>
      <c r="GC131" s="50">
        <f t="shared" si="178"/>
        <v>5.5684454756380508E-2</v>
      </c>
      <c r="GD131" s="50">
        <f t="shared" si="179"/>
        <v>1.4878650609509079E-2</v>
      </c>
      <c r="GE131" s="51">
        <f t="shared" si="180"/>
        <v>27083</v>
      </c>
      <c r="GF131" s="51">
        <f t="shared" si="181"/>
        <v>2490</v>
      </c>
      <c r="GG131" s="14">
        <f>INT(SUMPRODUCT($U131:$Y131,$BF131:$BJ131)/SUM($BF131:$BJ131)/10000*$BX$7*$BZ$46/'疲劳值&amp;地图信息'!$R$10*$BY$54)</f>
        <v>760</v>
      </c>
      <c r="GH131" s="50">
        <f t="shared" si="182"/>
        <v>0.89285596545016976</v>
      </c>
      <c r="GI131" s="50">
        <f t="shared" si="183"/>
        <v>8.2088814162792997E-2</v>
      </c>
      <c r="GJ131" s="50">
        <f t="shared" si="184"/>
        <v>2.5055220387037221E-2</v>
      </c>
      <c r="GK131" s="51">
        <f t="shared" si="185"/>
        <v>29097</v>
      </c>
      <c r="GL131" s="51">
        <f t="shared" si="186"/>
        <v>4311</v>
      </c>
      <c r="GM131" s="14">
        <f>INT(SUMPRODUCT($AB131:$AF131,$BF131:$BJ131)/SUM($BF131:$BJ131)/10000*$BX$7*$BZ$46/'疲劳值&amp;地图信息'!$R$10*$BY$55)</f>
        <v>1031</v>
      </c>
      <c r="GN131" s="50">
        <f t="shared" si="187"/>
        <v>0.84488515926710994</v>
      </c>
      <c r="GO131" s="50">
        <f t="shared" si="188"/>
        <v>0.12517785069252882</v>
      </c>
      <c r="GP131" s="50">
        <f t="shared" si="189"/>
        <v>2.9936990040361218E-2</v>
      </c>
      <c r="GQ131" s="51">
        <f t="shared" si="190"/>
        <v>33234</v>
      </c>
      <c r="GR131" s="51">
        <f t="shared" si="191"/>
        <v>11330</v>
      </c>
      <c r="GS131" s="14">
        <f>INT(SUMPRODUCT($AI131:$AM131,$BF131:$BJ131)/SUM($BF131:$BJ131)/10000*$BX$7*$BZ$46/'疲劳值&amp;地图信息'!$R$10*$BY$56)</f>
        <v>1547</v>
      </c>
      <c r="GT131" s="50">
        <f t="shared" si="192"/>
        <v>0.72073908611827975</v>
      </c>
      <c r="GU131" s="50">
        <f t="shared" si="193"/>
        <v>0.24571143544924204</v>
      </c>
      <c r="GV131" s="50">
        <f t="shared" si="194"/>
        <v>3.3549478432478151E-2</v>
      </c>
      <c r="GW131" s="51">
        <f t="shared" si="195"/>
        <v>32992</v>
      </c>
      <c r="GX131" s="51">
        <f t="shared" si="196"/>
        <v>21559</v>
      </c>
      <c r="GY131" s="14">
        <f>INT(SUMPRODUCT($AP131:$AT131,$BF131:$BJ131)/SUM($BF131:$BJ131)/10000*$BX$7*$BZ$46/'疲劳值&amp;地图信息'!$R$10*$BY$57)</f>
        <v>2063</v>
      </c>
      <c r="GZ131" s="50">
        <f t="shared" si="197"/>
        <v>0.58275338255555165</v>
      </c>
      <c r="HA131" s="50">
        <f t="shared" si="198"/>
        <v>0.38080686755926096</v>
      </c>
      <c r="HB131" s="50">
        <f t="shared" si="199"/>
        <v>3.643974988518741E-2</v>
      </c>
      <c r="HD131" s="14">
        <f t="shared" si="200"/>
        <v>27153</v>
      </c>
      <c r="HE131" s="14">
        <f t="shared" si="201"/>
        <v>30333</v>
      </c>
      <c r="HF131" s="14">
        <f t="shared" si="202"/>
        <v>34439</v>
      </c>
      <c r="HG131" s="14">
        <f t="shared" si="203"/>
        <v>46111</v>
      </c>
      <c r="HH131" s="14">
        <f t="shared" si="204"/>
        <v>56614</v>
      </c>
      <c r="HI131" s="14">
        <f t="shared" si="205"/>
        <v>3132615</v>
      </c>
      <c r="HL131" s="14">
        <f t="shared" si="206"/>
        <v>430050</v>
      </c>
      <c r="HM131" s="50">
        <f t="shared" si="114"/>
        <v>0.12071019868553456</v>
      </c>
      <c r="HO131" s="14">
        <f t="shared" si="207"/>
        <v>3562665</v>
      </c>
    </row>
    <row r="132" spans="11:223" x14ac:dyDescent="0.2">
      <c r="K132" s="14">
        <v>127</v>
      </c>
      <c r="L132" s="12">
        <f>求节点(节奏总纲!D$4:D$163,标准城池设计!AB$4:AB$163,$K132)*求节点(节奏总纲!D$4:D$163,攻城基础信息!$AC$5:$AC$164,$K132)</f>
        <v>532447.55358845298</v>
      </c>
      <c r="M132" s="12">
        <f>INDEX(其他调用!$AA$5:$AA$404,MATCH(K132,其他调用!$X$5:$X$404,0))*MIN(INDEX(其他调用!$AH$5:$AH$364,MATCH('征服点（新）'!K132,其他调用!$AG$5:$AG$364,0),1)/INDEX(其他调用!$AJ$5:$AJ$364,MATCH(K132,其他调用!$AG$5:$AG$364,0),0),5)*求节点(节奏总纲!D$4:D$163,攻城基础信息!$AC$5:$AC$164,$K132)</f>
        <v>44626.139045248427</v>
      </c>
      <c r="N132" s="12">
        <f>MIN(INDEX(其他调用!$AH$5:$AH$364,MATCH($K132,其他调用!$AG$5:$AG$364,0),1)/INDEX(其他调用!AH$5:AH$364,MATCH($K132,其他调用!$AG$5:$AG$364,0),0),1)*INDEX(其他调用!Y$5:Y$404,MATCH($K132,其他调用!$X$5:$X$404,0),0)</f>
        <v>37517.115084809178</v>
      </c>
      <c r="O132" s="12">
        <f>MIN(INDEX(其他调用!$AH$5:$AH$364,MATCH($K132,其他调用!$AG$5:$AG$364,0),1)/INDEX(其他调用!AI$5:AI$364,MATCH($K132,其他调用!$AG$5:$AG$364,0),0),1)*INDEX(其他调用!Z$5:Z$404,MATCH($K132,其他调用!$X$5:$X$404,0),0)</f>
        <v>23467.186724325467</v>
      </c>
      <c r="P132" s="12">
        <f>MIN(INDEX(其他调用!$AH$5:$AH$364,MATCH($K132,其他调用!$AG$5:$AG$364,0),1)/INDEX(其他调用!AJ$5:AJ$364,MATCH($K132,其他调用!$AG$5:$AG$364,0),0),1)*INDEX(其他调用!AA$5:AA$404,MATCH($K132,其他调用!$X$5:$X$404,0),0)</f>
        <v>14092.464961657402</v>
      </c>
      <c r="Q132" s="12">
        <f>MIN(INDEX(其他调用!$AH$5:$AH$364,MATCH($K132,其他调用!$AG$5:$AG$364,0),1)/INDEX(其他调用!AK$5:AK$364,MATCH($K132,其他调用!$AG$5:$AG$364,0),0),1)*INDEX(其他调用!AB$5:AB$404,MATCH($K132,其他调用!$X$5:$X$404,0),0)</f>
        <v>5645.3776814436069</v>
      </c>
      <c r="R132" s="12">
        <f>MIN(INDEX(其他调用!$AH$5:$AH$364,MATCH($K132,其他调用!$AG$5:$AG$364,0),1)/INDEX(其他调用!AL$5:AL$364,MATCH($K132,其他调用!$AG$5:$AG$364,0),0),1)*INDEX(其他调用!AC$5:AC$404,MATCH($K132,其他调用!$X$5:$X$404,0),0)</f>
        <v>1810.7986537844886</v>
      </c>
      <c r="S132" s="12">
        <f>求节点(节奏总纲!D$4:D$163,标准城池设计!AC$4:AC$163,$K132)*求节点(节奏总纲!D$4:D$163,攻城基础信息!$AD$5:$AD$164,$K132)</f>
        <v>571507.05911884294</v>
      </c>
      <c r="T132" s="12">
        <f>INDEX(其他调用!$AA$5:$AA$404,MATCH($K132,其他调用!$X$5:$X$404,0))*MIN(INDEX(其他调用!AI$5:AI$364,MATCH($K132,其他调用!$AG$5:$AG$364,0),1)/INDEX(其他调用!$AJ$5:$AJ$364,MATCH($K132,其他调用!$AG$5:$AG$364,0),0),5)*求节点(节奏总纲!D$4:D$163,攻城基础信息!$AD$5:$AD$164,$K132)</f>
        <v>73533.252828678233</v>
      </c>
      <c r="U132" s="12">
        <f>MIN(INDEX(其他调用!$AI$5:$AI$364,MATCH($K132,其他调用!$AG$5:$AG$364,0),1)/INDEX(其他调用!AH$5:AH$364,MATCH($K132,其他调用!$AG$5:$AG$364,0),0),1)*INDEX(其他调用!Y$5:Y$404,MATCH($K132,其他调用!$X$5:$X$404,0),0)</f>
        <v>37517.115084809178</v>
      </c>
      <c r="V132" s="12">
        <f>MIN(INDEX(其他调用!$AI$5:$AI$364,MATCH($K132,其他调用!$AG$5:$AG$364,0),1)/INDEX(其他调用!AI$5:AI$364,MATCH($K132,其他调用!$AG$5:$AG$364,0),0),1)*INDEX(其他调用!Z$5:Z$404,MATCH($K132,其他调用!$X$5:$X$404,0),0)</f>
        <v>38668.336797587268</v>
      </c>
      <c r="W132" s="12">
        <f>MIN(INDEX(其他调用!$AI$5:$AI$364,MATCH($K132,其他调用!$AG$5:$AG$364,0),1)/INDEX(其他调用!AJ$5:AJ$364,MATCH($K132,其他调用!$AG$5:$AG$364,0),0),1)*INDEX(其他调用!AA$5:AA$404,MATCH($K132,其他调用!$X$5:$X$404,0),0)</f>
        <v>23221.02720905629</v>
      </c>
      <c r="X132" s="12">
        <f>MIN(INDEX(其他调用!$AI$5:$AI$364,MATCH($K132,其他调用!$AG$5:$AG$364,0),1)/INDEX(其他调用!AK$5:AK$364,MATCH($K132,其他调用!$AG$5:$AG$364,0),0),1)*INDEX(其他调用!AB$5:AB$404,MATCH($K132,其他调用!$X$5:$X$404,0),0)</f>
        <v>9302.2384020732425</v>
      </c>
      <c r="Y132" s="12">
        <f>MIN(INDEX(其他调用!$AI$5:$AI$364,MATCH($K132,其他调用!$AG$5:$AG$364,0),1)/INDEX(其他调用!AL$5:AL$364,MATCH($K132,其他调用!$AG$5:$AG$364,0),0),1)*INDEX(其他调用!AC$5:AC$404,MATCH($K132,其他调用!$X$5:$X$404,0),0)</f>
        <v>2983.7650775827656</v>
      </c>
      <c r="Z132" s="12">
        <f>求节点(节奏总纲!D$4:D$163,标准城池设计!AD$4:AD$163,$K132)*求节点(节奏总纲!D$4:D$163,攻城基础信息!$AE$5:$AE$164,$K132)</f>
        <v>613864.38867416163</v>
      </c>
      <c r="AA132" s="12">
        <f>INDEX(其他调用!$AA$5:$AA$404,MATCH($K132,其他调用!$X$5:$X$404,0))*MIN(INDEX(其他调用!AJ$5:AJ$364,MATCH($K132,其他调用!$AG$5:$AG$364,0),1)/INDEX(其他调用!$AJ$5:$AJ$364,MATCH($K132,其他调用!$AG$5:$AG$364,0),0),5)*求节点(节奏总纲!D$4:D$163,攻城基础信息!$AE$5:$AE$164,$K132)</f>
        <v>127241.05710635294</v>
      </c>
      <c r="AB132" s="12">
        <f>MIN(INDEX(其他调用!$AJ$5:$AJ$364,MATCH($K132,其他调用!$AG$5:$AG$364,0),1)/INDEX(其他调用!AH$5:AH$364,MATCH($K132,其他调用!$AG$5:$AG$364,0),0),1)*INDEX(其他调用!Y$5:Y$404,MATCH($K132,其他调用!$X$5:$X$404,0),0)</f>
        <v>37517.115084809178</v>
      </c>
      <c r="AC132" s="12">
        <f>MIN(INDEX(其他调用!$AJ$5:$AJ$364,MATCH($K132,其他调用!$AG$5:$AG$364,0),1)/INDEX(其他调用!AI$5:AI$364,MATCH($K132,其他调用!$AG$5:$AG$364,0),0),1)*INDEX(其他调用!Z$5:Z$404,MATCH($K132,其他调用!$X$5:$X$404,0),0)</f>
        <v>38668.336797587268</v>
      </c>
      <c r="AD132" s="12">
        <f>MIN(INDEX(其他调用!$AJ$5:$AJ$364,MATCH($K132,其他调用!$AG$5:$AG$364,0),1)/INDEX(其他调用!AJ$5:AJ$364,MATCH($K132,其他调用!$AG$5:$AG$364,0),0),1)*INDEX(其他调用!AA$5:AA$404,MATCH($K132,其他调用!$X$5:$X$404,0),0)</f>
        <v>40181.386454637781</v>
      </c>
      <c r="AE132" s="12">
        <f>MIN(INDEX(其他调用!$AJ$5:$AJ$364,MATCH($K132,其他调用!$AG$5:$AG$364,0),1)/INDEX(其他调用!AK$5:AK$364,MATCH($K132,其他调用!$AG$5:$AG$364,0),0),1)*INDEX(其他调用!AB$5:AB$404,MATCH($K132,其他调用!$X$5:$X$404,0),0)</f>
        <v>16096.481553628379</v>
      </c>
      <c r="AF132" s="12">
        <f>MIN(INDEX(其他调用!$AJ$5:$AJ$364,MATCH($K132,其他调用!$AG$5:$AG$364,0),1)/INDEX(其他调用!AL$5:AL$364,MATCH($K132,其他调用!$AG$5:$AG$364,0),0),1)*INDEX(其他调用!AC$5:AC$404,MATCH($K132,其他调用!$X$5:$X$404,0),0)</f>
        <v>5163.0712368076083</v>
      </c>
      <c r="AG132" s="12">
        <f>求节点(节奏总纲!D$4:D$163,标准城池设计!AE$4:AE$163,$K132)*求节点(节奏总纲!D$4:D$163,攻城基础信息!$AF$5:$AF$164,$K132)</f>
        <v>701360.79705490614</v>
      </c>
      <c r="AH132" s="12">
        <f>INDEX(其他调用!$AA$5:$AA$404,MATCH($K132,其他调用!$X$5:$X$404,0))*MIN(INDEX(其他调用!AK$5:AK$364,MATCH($K132,其他调用!$AG$5:$AG$364,0),1)/INDEX(其他调用!$AJ$5:$AJ$364,MATCH($K132,其他调用!$AG$5:$AG$364,0),0),5)*求节点(节奏总纲!D$4:D$163,攻城基础信息!$AF$5:$AF$164,$K132)</f>
        <v>334855.85435584112</v>
      </c>
      <c r="AI132" s="12">
        <f>MIN(INDEX(其他调用!$AK$5:$AK$364,MATCH($K132,其他调用!$AG$5:$AG$364,0),1)/INDEX(其他调用!AH$5:AH$364,MATCH($K132,其他调用!$AG$5:$AG$364,0),0),1)*INDEX(其他调用!Y$5:Y$404,MATCH($K132,其他调用!$X$5:$X$404,0),0)</f>
        <v>37517.115084809178</v>
      </c>
      <c r="AJ132" s="12">
        <f>MIN(INDEX(其他调用!$AK$5:$AK$364,MATCH($K132,其他调用!$AG$5:$AG$364,0),1)/INDEX(其他调用!AI$5:AI$364,MATCH($K132,其他调用!$AG$5:$AG$364,0),0),1)*INDEX(其他调用!Z$5:Z$404,MATCH($K132,其他调用!$X$5:$X$404,0),0)</f>
        <v>38668.336797587268</v>
      </c>
      <c r="AK132" s="12">
        <f>MIN(INDEX(其他调用!$AK$5:$AK$364,MATCH($K132,其他调用!$AG$5:$AG$364,0),1)/INDEX(其他调用!AJ$5:AJ$364,MATCH($K132,其他调用!$AG$5:$AG$364,0),0),1)*INDEX(其他调用!AA$5:AA$404,MATCH($K132,其他调用!$X$5:$X$404,0),0)</f>
        <v>40181.386454637781</v>
      </c>
      <c r="AL132" s="12">
        <f>MIN(INDEX(其他调用!$AK$5:$AK$364,MATCH($K132,其他调用!$AG$5:$AG$364,0),1)/INDEX(其他调用!AK$5:AK$364,MATCH($K132,其他调用!$AG$5:$AG$364,0),0),1)*INDEX(其他调用!AB$5:AB$404,MATCH($K132,其他调用!$X$5:$X$404,0),0)</f>
        <v>42360.549380363125</v>
      </c>
      <c r="AM132" s="12">
        <f>MIN(INDEX(其他调用!$AK$5:$AK$364,MATCH($K132,其他调用!$AG$5:$AG$364,0),1)/INDEX(其他调用!AL$5:AL$364,MATCH($K132,其他调用!$AG$5:$AG$364,0),0),1)*INDEX(其他调用!AC$5:AC$404,MATCH($K132,其他调用!$X$5:$X$404,0),0)</f>
        <v>13587.474588930943</v>
      </c>
      <c r="AN132" s="12">
        <f>求节点(节奏总纲!D$4:D$163,标准城池设计!AF$4:AF$163,$K132)*求节点(节奏总纲!D$4:D$163,攻城基础信息!$AG$5:$AG$164,$K132)</f>
        <v>696722.36407015787</v>
      </c>
      <c r="AO132" s="12">
        <f>INDEX(其他调用!$AA$5:$AA$404,MATCH($K132,其他调用!$X$5:$X$404,0))*MIN(INDEX(其他调用!AL$5:AL$364,MATCH($K132,其他调用!$AG$5:$AG$364,0),1)/INDEX(其他调用!$AJ$5:$AJ$364,MATCH($K132,其他调用!$AG$5:$AG$364,0),0),5)*求节点(节奏总纲!D$4:D$163,攻城基础信息!$AG$5:$AG$164,$K132)</f>
        <v>636205.28553176462</v>
      </c>
      <c r="AP132" s="12">
        <f>MIN(INDEX(其他调用!$AL$5:$AL$364,MATCH($K132,其他调用!$AG$5:$AG$364,0),1)/INDEX(其他调用!AH$5:AH$364,MATCH($K132,其他调用!$AG$5:$AG$364,0),0),1)*INDEX(其他调用!Y$5:Y$404,MATCH($K132,其他调用!$X$5:$X$404,0),0)</f>
        <v>37517.115084809178</v>
      </c>
      <c r="AQ132" s="12">
        <f>MIN(INDEX(其他调用!$AL$5:$AL$364,MATCH($K132,其他调用!$AG$5:$AG$364,0),1)/INDEX(其他调用!AI$5:AI$364,MATCH($K132,其他调用!$AG$5:$AG$364,0),0),1)*INDEX(其他调用!Z$5:Z$404,MATCH($K132,其他调用!$X$5:$X$404,0),0)</f>
        <v>38668.336797587268</v>
      </c>
      <c r="AR132" s="12">
        <f>MIN(INDEX(其他调用!$AL$5:$AL$364,MATCH($K132,其他调用!$AG$5:$AG$364,0),1)/INDEX(其他调用!AJ$5:AJ$364,MATCH($K132,其他调用!$AG$5:$AG$364,0),0),1)*INDEX(其他调用!AA$5:AA$404,MATCH($K132,其他调用!$X$5:$X$404,0),0)</f>
        <v>40181.386454637781</v>
      </c>
      <c r="AS132" s="12">
        <f>MIN(INDEX(其他调用!$AL$5:$AL$364,MATCH($K132,其他调用!$AG$5:$AG$364,0),1)/INDEX(其他调用!AK$5:AK$364,MATCH($K132,其他调用!$AG$5:$AG$364,0),0),1)*INDEX(其他调用!AB$5:AB$404,MATCH($K132,其他调用!$X$5:$X$404,0),0)</f>
        <v>42360.549380363125</v>
      </c>
      <c r="AT132" s="12">
        <f>MIN(INDEX(其他调用!$AL$5:$AL$364,MATCH($K132,其他调用!$AG$5:$AG$364,0),1)/INDEX(其他调用!AL$5:AL$364,MATCH($K132,其他调用!$AG$5:$AG$364,0),0),1)*INDEX(其他调用!AC$5:AC$404,MATCH($K132,其他调用!$X$5:$X$404,0),0)</f>
        <v>46261.941424112476</v>
      </c>
      <c r="AV132" s="14">
        <f>IF(OR(AV$5="大R",AV$5="超R"),MAX(INDEX(其他调用!$H$5:$L$404,MATCH($K132,其他调用!$B$5:$B$404,0),MATCH(AV$5,其他调用!$H$4:$L$4,0))*120*0.85,2),INDEX(其他调用!$H$5:$L$404,MATCH($K132,其他调用!$B$5:$B$404,0),MATCH(AV$5,其他调用!$H$4:$L$4,0))*120*0.85)</f>
        <v>48.921801254999991</v>
      </c>
      <c r="AW132" s="14">
        <f>IF(OR(AW$5="大R",AW$5="超R"),MAX(INDEX(其他调用!$H$5:$L$404,MATCH($K132,其他调用!$B$5:$B$404,0),MATCH(AW$5,其他调用!$H$4:$L$4,0))*120*0.85,2),INDEX(其他调用!$H$5:$L$404,MATCH($K132,其他调用!$B$5:$B$404,0),MATCH(AW$5,其他调用!$H$4:$L$4,0))*120*0.85)</f>
        <v>48.237344010638395</v>
      </c>
      <c r="AX132" s="14">
        <f>IF(OR(AX$5="大R",AX$5="超R"),MAX(INDEX(其他调用!$H$5:$L$404,MATCH($K132,其他调用!$B$5:$B$404,0),MATCH(AX$5,其他调用!$H$4:$L$4,0))*120*0.85,2),INDEX(其他调用!$H$5:$L$404,MATCH($K132,其他调用!$B$5:$B$404,0),MATCH(AX$5,其他调用!$H$4:$L$4,0))*120*0.85)</f>
        <v>3.9376284143615998</v>
      </c>
      <c r="AY132" s="14">
        <f>IF(OR(AY$5="大R",AY$5="超R"),MAX(INDEX(其他调用!$H$5:$L$404,MATCH($K132,其他调用!$B$5:$B$404,0),MATCH(AY$5,其他调用!$H$4:$L$4,0))*120*0.85,2),INDEX(其他调用!$H$5:$L$404,MATCH($K132,其他调用!$B$5:$B$404,0),MATCH(AY$5,其他调用!$H$4:$L$4,0))*120*0.85)</f>
        <v>2</v>
      </c>
      <c r="AZ132" s="14">
        <f>IF(OR(AZ$5="大R",AZ$5="超R"),MAX(INDEX(其他调用!$H$5:$L$404,MATCH($K132,其他调用!$B$5:$B$404,0),MATCH(AZ$5,其他调用!$H$4:$L$4,0))*120*0.85,2),INDEX(其他调用!$H$5:$L$404,MATCH($K132,其他调用!$B$5:$B$404,0),MATCH(AZ$5,其他调用!$H$4:$L$4,0))*120*0.85)</f>
        <v>2</v>
      </c>
      <c r="BA132" s="14">
        <f>INDEX(其他调用!$H$5:$L$404,MATCH($K132,其他调用!$B$5:$B$404,0),MATCH(BA$5,其他调用!$H$4:$L$4,0))*INDEX(其他调用!$M$5:$M$404,MATCH($K132,其他调用!$B$5:$B$404,0))*0.6</f>
        <v>28.777530149999997</v>
      </c>
      <c r="BB132" s="14">
        <f>INDEX(其他调用!$H$5:$L$404,MATCH($K132,其他调用!$B$5:$B$404,0),MATCH(BB$5,其他调用!$H$4:$L$4,0))*INDEX(其他调用!$M$5:$M$404,MATCH($K132,其他调用!$B$5:$B$404,0))*0.6</f>
        <v>28.374908241551999</v>
      </c>
      <c r="BC132" s="14">
        <f>INDEX(其他调用!$H$5:$L$404,MATCH($K132,其他调用!$B$5:$B$404,0),MATCH(BC$5,其他调用!$H$4:$L$4,0))*INDEX(其他调用!$M$5:$M$404,MATCH($K132,其他调用!$B$5:$B$404,0))*0.6</f>
        <v>2.3162520084480001</v>
      </c>
      <c r="BD132" s="14">
        <f>INDEX(其他调用!$H$5:$L$404,MATCH($K132,其他调用!$B$5:$B$404,0),MATCH(BD$5,其他调用!$H$4:$L$4,0))*INDEX(其他调用!$M$5:$M$404,MATCH($K132,其他调用!$B$5:$B$404,0))*0.6</f>
        <v>0.4120776000000001</v>
      </c>
      <c r="BE132" s="14">
        <f>INDEX(其他调用!$H$5:$L$404,MATCH($K132,其他调用!$B$5:$B$404,0),MATCH(BE$5,其他调用!$H$4:$L$4,0))*INDEX(其他调用!$M$5:$M$404,MATCH($K132,其他调用!$B$5:$B$404,0))*0.6</f>
        <v>0.11923199999999998</v>
      </c>
      <c r="BF132" s="14">
        <f>IF(OR(BF$5="大R",BF$5="超R"),0,INDEX(其他调用!$H$5:$L$404,MATCH($K132,其他调用!$B$5:$B$404,0),MATCH(BF$5,其他调用!$H$4:$L$4,0))*50*0.4)</f>
        <v>9.5925100500000013</v>
      </c>
      <c r="BG132" s="14">
        <f>IF(OR(BG$5="大R",BG$5="超R"),0,INDEX(其他调用!$H$5:$L$404,MATCH($K132,其他调用!$B$5:$B$404,0),MATCH(BG$5,其他调用!$H$4:$L$4,0))*50*0.4)</f>
        <v>9.4583027471839998</v>
      </c>
      <c r="BH132" s="14">
        <f>IF(OR(BH$5="大R",BH$5="超R"),0,INDEX(其他调用!$H$5:$L$404,MATCH($K132,其他调用!$B$5:$B$404,0),MATCH(BH$5,其他调用!$H$4:$L$4,0))*50*0.4)</f>
        <v>0.77208400281600009</v>
      </c>
      <c r="BI132" s="14">
        <f>IF(OR(BI$5="大R",BI$5="超R"),0,INDEX(其他调用!$H$5:$L$404,MATCH($K132,其他调用!$B$5:$B$404,0),MATCH(BI$5,其他调用!$H$4:$L$4,0))*50*0.4)</f>
        <v>0</v>
      </c>
      <c r="BJ132" s="14">
        <f>IF(OR(BJ$5="大R",BJ$5="超R"),0,INDEX(其他调用!$H$5:$L$404,MATCH($K132,其他调用!$B$5:$B$404,0),MATCH(BJ$5,其他调用!$H$4:$L$4,0))*50*0.4)</f>
        <v>0</v>
      </c>
      <c r="BL132" s="14">
        <f t="shared" si="208"/>
        <v>127</v>
      </c>
      <c r="BM132" s="14">
        <f t="shared" si="115"/>
        <v>96</v>
      </c>
      <c r="BN132" s="14">
        <f>('疲劳值&amp;地图信息'!$S$10*'疲劳值&amp;地图信息'!$R$10+'疲劳值&amp;地图信息'!$S$11*'疲劳值&amp;地图信息'!$R$11+'疲劳值&amp;地图信息'!$S$12*'疲劳值&amp;地图信息'!$R$12+(BM132-'疲劳值&amp;地图信息'!$S$12-'疲劳值&amp;地图信息'!$S$11-'疲劳值&amp;地图信息'!$S$10)*'疲劳值&amp;地图信息'!$R$13)/BM132</f>
        <v>51.371477246638619</v>
      </c>
      <c r="BO132" s="14">
        <f>INDEX(其他调用!$M$5:$M$404,MATCH(BL132,其他调用!$B$5:$B$404,0))*0.6</f>
        <v>60</v>
      </c>
      <c r="BP132" s="14">
        <f>IF(BO132&gt;SUM('疲劳值&amp;地图信息'!$S$10:$S$12),('疲劳值&amp;地图信息'!$S$10*'疲劳值&amp;地图信息'!$R$10+'疲劳值&amp;地图信息'!$S$11*'疲劳值&amp;地图信息'!$R$11+'疲劳值&amp;地图信息'!$S$12*'疲劳值&amp;地图信息'!$R$12+(BO132-'疲劳值&amp;地图信息'!$S$12-'疲劳值&amp;地图信息'!$S$11-'疲劳值&amp;地图信息'!$S$10)*'疲劳值&amp;地图信息'!$R$13)/BO132,('疲劳值&amp;地图信息'!$S$10*'疲劳值&amp;地图信息'!$R$10+'疲劳值&amp;地图信息'!$S$11*'疲劳值&amp;地图信息'!$R$11+'疲劳值&amp;地图信息'!$S$12*'疲劳值&amp;地图信息'!$R$12+(BO132-'疲劳值&amp;地图信息'!$S$12-'疲劳值&amp;地图信息'!$S$11-'疲劳值&amp;地图信息'!$S$10)*'疲劳值&amp;地图信息'!$R$13)/BO132)</f>
        <v>44.158136341605953</v>
      </c>
      <c r="BQ132" s="14">
        <f t="shared" si="209"/>
        <v>20</v>
      </c>
      <c r="BR132" s="14">
        <f>('疲劳值&amp;地图信息'!$S$10*'疲劳值&amp;地图信息'!$R$10+($BQ132-'疲劳值&amp;地图信息'!$S$10)*'疲劳值&amp;地图信息'!$R$11)/$BQ132</f>
        <v>32.067203015074995</v>
      </c>
      <c r="CF132" s="14">
        <v>127</v>
      </c>
      <c r="CG132" s="51">
        <f t="shared" si="116"/>
        <v>10851</v>
      </c>
      <c r="CH132" s="51">
        <f t="shared" si="117"/>
        <v>909</v>
      </c>
      <c r="CI132" s="51">
        <f>INT(SUMPRODUCT($N132:$R132,$BA132:$BE132)/SUM($BA132:$BE132)/10000*$BX$7*$BZ$34/'疲劳值&amp;地图信息'!$R$10*$BY$53)</f>
        <v>3011</v>
      </c>
      <c r="CJ132" s="50">
        <f t="shared" si="118"/>
        <v>0.73461512422990993</v>
      </c>
      <c r="CK132" s="50">
        <f t="shared" si="119"/>
        <v>6.1539503080360165E-2</v>
      </c>
      <c r="CL132" s="50">
        <f t="shared" si="120"/>
        <v>0.20384537268972988</v>
      </c>
      <c r="CM132" s="14">
        <f t="shared" si="121"/>
        <v>11648</v>
      </c>
      <c r="CN132" s="14">
        <f t="shared" si="122"/>
        <v>1498</v>
      </c>
      <c r="CO132" s="14">
        <f>INT(SUMPRODUCT($U132:$Y132,$BA132:$BE132)/SUM($BA132:$BE132)/10000*$BX$7*$BZ$34/'疲劳值&amp;地图信息'!$R$10*$BY$54)</f>
        <v>5669</v>
      </c>
      <c r="CP132" s="50">
        <f t="shared" si="123"/>
        <v>0.61908052086101517</v>
      </c>
      <c r="CQ132" s="50">
        <f t="shared" si="124"/>
        <v>7.9617326601116131E-2</v>
      </c>
      <c r="CR132" s="50">
        <f t="shared" si="125"/>
        <v>0.30130215253786874</v>
      </c>
      <c r="CS132" s="14">
        <f t="shared" si="126"/>
        <v>12511</v>
      </c>
      <c r="CT132" s="14">
        <f t="shared" si="127"/>
        <v>2593</v>
      </c>
      <c r="CU132" s="14">
        <f>INT(SUMPRODUCT($AB132:$AF132,$BA132:$BE132)/SUM($BA132:$BE132)/10000*$BX$7*$BZ$34/'疲劳值&amp;地图信息'!$R$10*$BY$55)</f>
        <v>7701</v>
      </c>
      <c r="CV132" s="50">
        <f t="shared" si="128"/>
        <v>0.54860776145582113</v>
      </c>
      <c r="CW132" s="50">
        <f t="shared" si="129"/>
        <v>0.11370313527735146</v>
      </c>
      <c r="CX132" s="50">
        <f t="shared" si="130"/>
        <v>0.33768910326682744</v>
      </c>
      <c r="CY132" s="14">
        <f t="shared" si="131"/>
        <v>14294</v>
      </c>
      <c r="CZ132" s="14">
        <f t="shared" si="132"/>
        <v>6824</v>
      </c>
      <c r="DA132" s="14">
        <f>INT(SUMPRODUCT($AI132:$AM132,$BA132:$BE132)/SUM($BA132:$BE132)/10000*$BX$7*$BZ$34/'疲劳值&amp;地图信息'!$R$10*$BY$56)</f>
        <v>11612</v>
      </c>
      <c r="DB132" s="50">
        <f t="shared" si="133"/>
        <v>0.4367247173846624</v>
      </c>
      <c r="DC132" s="50">
        <f t="shared" si="134"/>
        <v>0.20849373663305837</v>
      </c>
      <c r="DD132" s="50">
        <f t="shared" si="135"/>
        <v>0.35478154598227923</v>
      </c>
      <c r="DE132" s="14">
        <f t="shared" si="136"/>
        <v>14200</v>
      </c>
      <c r="DF132" s="14">
        <f t="shared" si="137"/>
        <v>12966</v>
      </c>
      <c r="DG132" s="14">
        <f>INT(SUMPRODUCT($AP132:$AT132,$BA132:$BE132)/SUM($BA132:$BE132)/10000*$BX$7*$BZ$34/'疲劳值&amp;地图信息'!$R$10*$BY$57)</f>
        <v>15510</v>
      </c>
      <c r="DH132" s="50">
        <f t="shared" si="138"/>
        <v>0.3327397131877402</v>
      </c>
      <c r="DI132" s="50">
        <f t="shared" si="139"/>
        <v>0.30382416346424218</v>
      </c>
      <c r="DJ132" s="50">
        <f t="shared" si="140"/>
        <v>0.36343612334801761</v>
      </c>
      <c r="DL132" s="14">
        <f t="shared" si="211"/>
        <v>14771</v>
      </c>
      <c r="DM132" s="14">
        <f t="shared" si="212"/>
        <v>18815</v>
      </c>
      <c r="DN132" s="14">
        <f t="shared" si="213"/>
        <v>22805</v>
      </c>
      <c r="DO132" s="14">
        <f t="shared" si="214"/>
        <v>32730</v>
      </c>
      <c r="DP132" s="14">
        <f t="shared" si="215"/>
        <v>42676</v>
      </c>
      <c r="DQ132" s="14">
        <f t="shared" si="216"/>
        <v>1030344</v>
      </c>
      <c r="DT132" s="14">
        <f t="shared" si="210"/>
        <v>235575</v>
      </c>
      <c r="DU132" s="50">
        <f t="shared" si="112"/>
        <v>0.18609010529109682</v>
      </c>
      <c r="DW132" s="14">
        <f t="shared" si="141"/>
        <v>1265919</v>
      </c>
      <c r="EB132" s="14">
        <v>127</v>
      </c>
      <c r="EC132" s="51">
        <f t="shared" si="142"/>
        <v>18086</v>
      </c>
      <c r="ED132" s="51">
        <f t="shared" si="143"/>
        <v>1515</v>
      </c>
      <c r="EE132" s="51">
        <f>INT(SUMPRODUCT($N132:$R132,$BF132:$BJ132)/SUM($BF132:$BJ132)/10000*$BX$7*$BZ$46/'疲劳值&amp;地图信息'!$R$10*$BY$53)</f>
        <v>404</v>
      </c>
      <c r="EF132" s="50">
        <f t="shared" si="144"/>
        <v>0.90407398150462381</v>
      </c>
      <c r="EG132" s="50">
        <f t="shared" si="145"/>
        <v>7.5731067233191701E-2</v>
      </c>
      <c r="EH132" s="50">
        <f t="shared" si="146"/>
        <v>2.0194951262184454E-2</v>
      </c>
      <c r="EI132" s="51">
        <f t="shared" si="147"/>
        <v>19413</v>
      </c>
      <c r="EJ132" s="51">
        <f t="shared" si="148"/>
        <v>2497</v>
      </c>
      <c r="EK132" s="14">
        <f>INT(SUMPRODUCT($U132:$Y132,$BF132:$BJ132)/SUM($BF132:$BJ132)/10000*$BX$7*$BZ$46/'疲劳值&amp;地图信息'!$R$10*$BY$54)</f>
        <v>761</v>
      </c>
      <c r="EL132" s="50">
        <f t="shared" si="149"/>
        <v>0.85629217943628422</v>
      </c>
      <c r="EM132" s="50">
        <f t="shared" si="150"/>
        <v>0.1101407083939835</v>
      </c>
      <c r="EN132" s="50">
        <f t="shared" si="151"/>
        <v>3.3567112169732259E-2</v>
      </c>
      <c r="EO132" s="51">
        <f t="shared" si="152"/>
        <v>20852</v>
      </c>
      <c r="EP132" s="51">
        <f t="shared" si="153"/>
        <v>4322</v>
      </c>
      <c r="EQ132" s="14">
        <f>INT(SUMPRODUCT($AB132:$AF132,$BF132:$BJ132)/SUM($BF132:$BJ132)/10000*$BX$7*$BZ$46/'疲劳值&amp;地图信息'!$R$10*$BY$55)</f>
        <v>1032</v>
      </c>
      <c r="ER132" s="50">
        <f t="shared" si="154"/>
        <v>0.79569564221933908</v>
      </c>
      <c r="ES132" s="50">
        <f t="shared" si="155"/>
        <v>0.16492406319163549</v>
      </c>
      <c r="ET132" s="50">
        <f t="shared" si="156"/>
        <v>3.9380294589025415E-2</v>
      </c>
      <c r="EU132" s="51">
        <f t="shared" si="157"/>
        <v>23824</v>
      </c>
      <c r="EV132" s="51">
        <f t="shared" si="158"/>
        <v>11374</v>
      </c>
      <c r="EW132" s="14">
        <f>INT(SUMPRODUCT($AI132:$AM132,$BF132:$BJ132)/SUM($BF132:$BJ132)/10000*$BX$7*$BZ$46/'疲劳值&amp;地图信息'!$R$10*$BY$56)</f>
        <v>1549</v>
      </c>
      <c r="EX132" s="50">
        <f t="shared" si="159"/>
        <v>0.64832503333605462</v>
      </c>
      <c r="EY132" s="50">
        <f t="shared" si="160"/>
        <v>0.30952186573053581</v>
      </c>
      <c r="EZ132" s="50">
        <f t="shared" si="161"/>
        <v>4.2153100933409529E-2</v>
      </c>
      <c r="FA132" s="51">
        <f t="shared" si="162"/>
        <v>23666</v>
      </c>
      <c r="FB132" s="51">
        <f t="shared" si="163"/>
        <v>21611</v>
      </c>
      <c r="FC132" s="14">
        <f>INT(SUMPRODUCT($AP132:$AT132,$BF132:$BJ132)/SUM($BF132:$BJ132)/10000*$BX$7*$BZ$46/'疲劳值&amp;地图信息'!$R$10*$BY$57)</f>
        <v>2065</v>
      </c>
      <c r="FD132" s="50">
        <f t="shared" si="164"/>
        <v>0.4998943855350429</v>
      </c>
      <c r="FE132" s="50">
        <f t="shared" si="165"/>
        <v>0.45648684043766635</v>
      </c>
      <c r="FF132" s="50">
        <f t="shared" si="166"/>
        <v>4.361877402729078E-2</v>
      </c>
      <c r="FH132" s="14">
        <f t="shared" si="167"/>
        <v>20005</v>
      </c>
      <c r="FI132" s="14">
        <f t="shared" si="168"/>
        <v>22671</v>
      </c>
      <c r="FJ132" s="14">
        <f t="shared" si="169"/>
        <v>26206</v>
      </c>
      <c r="FK132" s="14">
        <f t="shared" si="170"/>
        <v>36747</v>
      </c>
      <c r="FL132" s="14">
        <f t="shared" si="171"/>
        <v>47342</v>
      </c>
      <c r="FM132" s="14">
        <f t="shared" si="172"/>
        <v>2343636</v>
      </c>
      <c r="FP132" s="14">
        <f t="shared" si="173"/>
        <v>334150</v>
      </c>
      <c r="FQ132" s="50">
        <f t="shared" si="113"/>
        <v>0.12478592389384364</v>
      </c>
      <c r="FS132" s="14">
        <f t="shared" si="174"/>
        <v>2677786</v>
      </c>
      <c r="FX132" s="14">
        <v>127</v>
      </c>
      <c r="FY132" s="51">
        <f t="shared" si="175"/>
        <v>25321</v>
      </c>
      <c r="FZ132" s="51">
        <f t="shared" si="176"/>
        <v>1515</v>
      </c>
      <c r="GA132" s="51">
        <f>INT(SUMPRODUCT($N132:$R132,$BF132:$BJ132)/SUM($BF132:$BJ132)/10000*$BX$7*$BZ$46/'疲劳值&amp;地图信息'!$R$10*$BY$53)</f>
        <v>404</v>
      </c>
      <c r="GB132" s="50">
        <f t="shared" si="177"/>
        <v>0.92955212922173269</v>
      </c>
      <c r="GC132" s="50">
        <f t="shared" si="178"/>
        <v>5.5616740088105729E-2</v>
      </c>
      <c r="GD132" s="50">
        <f t="shared" si="179"/>
        <v>1.4831130690161527E-2</v>
      </c>
      <c r="GE132" s="51">
        <f t="shared" si="180"/>
        <v>27178</v>
      </c>
      <c r="GF132" s="51">
        <f t="shared" si="181"/>
        <v>2497</v>
      </c>
      <c r="GG132" s="14">
        <f>INT(SUMPRODUCT($U132:$Y132,$BF132:$BJ132)/SUM($BF132:$BJ132)/10000*$BX$7*$BZ$46/'疲劳值&amp;地图信息'!$R$10*$BY$54)</f>
        <v>761</v>
      </c>
      <c r="GH132" s="50">
        <f t="shared" si="182"/>
        <v>0.8929557103430148</v>
      </c>
      <c r="GI132" s="50">
        <f t="shared" si="183"/>
        <v>8.204100407412275E-2</v>
      </c>
      <c r="GJ132" s="50">
        <f t="shared" si="184"/>
        <v>2.5003285582862401E-2</v>
      </c>
      <c r="GK132" s="51">
        <f t="shared" si="185"/>
        <v>29193</v>
      </c>
      <c r="GL132" s="51">
        <f t="shared" si="186"/>
        <v>4322</v>
      </c>
      <c r="GM132" s="14">
        <f>INT(SUMPRODUCT($AB132:$AF132,$BF132:$BJ132)/SUM($BF132:$BJ132)/10000*$BX$7*$BZ$46/'疲劳值&amp;地图信息'!$R$10*$BY$55)</f>
        <v>1032</v>
      </c>
      <c r="GN132" s="50">
        <f t="shared" si="187"/>
        <v>0.84502272266767009</v>
      </c>
      <c r="GO132" s="50">
        <f t="shared" si="188"/>
        <v>0.12510492951631111</v>
      </c>
      <c r="GP132" s="50">
        <f t="shared" si="189"/>
        <v>2.9872347816018757E-2</v>
      </c>
      <c r="GQ132" s="51">
        <f t="shared" si="190"/>
        <v>33354</v>
      </c>
      <c r="GR132" s="51">
        <f t="shared" si="191"/>
        <v>11374</v>
      </c>
      <c r="GS132" s="14">
        <f>INT(SUMPRODUCT($AI132:$AM132,$BF132:$BJ132)/SUM($BF132:$BJ132)/10000*$BX$7*$BZ$46/'疲劳值&amp;地图信息'!$R$10*$BY$56)</f>
        <v>1549</v>
      </c>
      <c r="GT132" s="50">
        <f t="shared" si="192"/>
        <v>0.72074680726926987</v>
      </c>
      <c r="GU132" s="50">
        <f t="shared" si="193"/>
        <v>0.24578084145471832</v>
      </c>
      <c r="GV132" s="50">
        <f t="shared" si="194"/>
        <v>3.3472351276011843E-2</v>
      </c>
      <c r="GW132" s="51">
        <f t="shared" si="195"/>
        <v>33133</v>
      </c>
      <c r="GX132" s="51">
        <f t="shared" si="196"/>
        <v>21611</v>
      </c>
      <c r="GY132" s="14">
        <f>INT(SUMPRODUCT($AP132:$AT132,$BF132:$BJ132)/SUM($BF132:$BJ132)/10000*$BX$7*$BZ$46/'疲劳值&amp;地图信息'!$R$10*$BY$57)</f>
        <v>2065</v>
      </c>
      <c r="GZ132" s="50">
        <f t="shared" si="197"/>
        <v>0.58323505078420668</v>
      </c>
      <c r="HA132" s="50">
        <f t="shared" si="198"/>
        <v>0.38041507507613231</v>
      </c>
      <c r="HB132" s="50">
        <f t="shared" si="199"/>
        <v>3.6349874139660968E-2</v>
      </c>
      <c r="HD132" s="14">
        <f t="shared" si="200"/>
        <v>27240</v>
      </c>
      <c r="HE132" s="14">
        <f t="shared" si="201"/>
        <v>30436</v>
      </c>
      <c r="HF132" s="14">
        <f t="shared" si="202"/>
        <v>34547</v>
      </c>
      <c r="HG132" s="14">
        <f t="shared" si="203"/>
        <v>46277</v>
      </c>
      <c r="HH132" s="14">
        <f t="shared" si="204"/>
        <v>56809</v>
      </c>
      <c r="HI132" s="14">
        <f t="shared" si="205"/>
        <v>3142986</v>
      </c>
      <c r="HL132" s="14">
        <f t="shared" si="206"/>
        <v>430050</v>
      </c>
      <c r="HM132" s="50">
        <f t="shared" si="114"/>
        <v>0.12035982844841193</v>
      </c>
      <c r="HO132" s="14">
        <f t="shared" si="207"/>
        <v>3573036</v>
      </c>
    </row>
    <row r="133" spans="11:223" x14ac:dyDescent="0.2">
      <c r="K133" s="14">
        <v>128</v>
      </c>
      <c r="L133" s="12">
        <f>求节点(节奏总纲!D$4:D$163,标准城池设计!AB$4:AB$163,$K133)*求节点(节奏总纲!D$4:D$163,攻城基础信息!$AC$5:$AC$164,$K133)</f>
        <v>534159.8332248996</v>
      </c>
      <c r="M133" s="12">
        <f>INDEX(其他调用!$AA$5:$AA$404,MATCH(K133,其他调用!$X$5:$X$404,0))*MIN(INDEX(其他调用!$AH$5:$AH$364,MATCH('征服点（新）'!K133,其他调用!$AG$5:$AG$364,0),1)/INDEX(其他调用!$AJ$5:$AJ$364,MATCH(K133,其他调用!$AG$5:$AG$364,0),0),5)*求节点(节奏总纲!D$4:D$163,攻城基础信息!$AC$5:$AC$164,$K133)</f>
        <v>44706.578453132344</v>
      </c>
      <c r="N133" s="12">
        <f>MIN(INDEX(其他调用!$AH$5:$AH$364,MATCH($K133,其他调用!$AG$5:$AG$364,0),1)/INDEX(其他调用!AH$5:AH$364,MATCH($K133,其他调用!$AG$5:$AG$364,0),0),1)*INDEX(其他调用!Y$5:Y$404,MATCH($K133,其他调用!$X$5:$X$404,0),0)</f>
        <v>37561.477227734547</v>
      </c>
      <c r="O133" s="12">
        <f>MIN(INDEX(其他调用!$AH$5:$AH$364,MATCH($K133,其他调用!$AG$5:$AG$364,0),1)/INDEX(其他调用!AI$5:AI$364,MATCH($K133,其他调用!$AG$5:$AG$364,0),0),1)*INDEX(其他调用!Z$5:Z$404,MATCH($K133,其他调用!$X$5:$X$404,0),0)</f>
        <v>23489.256611418339</v>
      </c>
      <c r="P133" s="12">
        <f>MIN(INDEX(其他调用!$AH$5:$AH$364,MATCH($K133,其他调用!$AG$5:$AG$364,0),1)/INDEX(其他调用!AJ$5:AJ$364,MATCH($K133,其他调用!$AG$5:$AG$364,0),0),1)*INDEX(其他调用!AA$5:AA$404,MATCH($K133,其他调用!$X$5:$X$404,0),0)</f>
        <v>14101.70937538906</v>
      </c>
      <c r="Q133" s="12">
        <f>MIN(INDEX(其他调用!$AH$5:$AH$364,MATCH($K133,其他调用!$AG$5:$AG$364,0),1)/INDEX(其他调用!AK$5:AK$364,MATCH($K133,其他调用!$AG$5:$AG$364,0),0),1)*INDEX(其他调用!AB$5:AB$404,MATCH($K133,其他调用!$X$5:$X$404,0),0)</f>
        <v>5646.5563648356365</v>
      </c>
      <c r="R133" s="12">
        <f>MIN(INDEX(其他调用!$AH$5:$AH$364,MATCH($K133,其他调用!$AG$5:$AG$364,0),1)/INDEX(其他调用!AL$5:AL$364,MATCH($K133,其他调用!$AG$5:$AG$364,0),0),1)*INDEX(其他调用!AC$5:AC$404,MATCH($K133,其他调用!$X$5:$X$404,0),0)</f>
        <v>1813.7304766092941</v>
      </c>
      <c r="S133" s="12">
        <f>求节点(节奏总纲!D$4:D$163,标准城池设计!AC$4:AC$163,$K133)*求节点(节奏总纲!D$4:D$163,攻城基础信息!$AD$5:$AD$164,$K133)</f>
        <v>573449.7960013214</v>
      </c>
      <c r="T133" s="12">
        <f>INDEX(其他调用!$AA$5:$AA$404,MATCH($K133,其他调用!$X$5:$X$404,0))*MIN(INDEX(其他调用!AI$5:AI$364,MATCH($K133,其他调用!$AG$5:$AG$364,0),1)/INDEX(其他调用!$AJ$5:$AJ$364,MATCH($K133,其他调用!$AG$5:$AG$364,0),0),5)*求节点(节奏总纲!D$4:D$163,攻城基础信息!$AD$5:$AD$164,$K133)</f>
        <v>73679.857786654262</v>
      </c>
      <c r="U133" s="12">
        <f>MIN(INDEX(其他调用!$AI$5:$AI$364,MATCH($K133,其他调用!$AG$5:$AG$364,0),1)/INDEX(其他调用!AH$5:AH$364,MATCH($K133,其他调用!$AG$5:$AG$364,0),0),1)*INDEX(其他调用!Y$5:Y$404,MATCH($K133,其他调用!$X$5:$X$404,0),0)</f>
        <v>37561.477227734547</v>
      </c>
      <c r="V133" s="12">
        <f>MIN(INDEX(其他调用!$AI$5:$AI$364,MATCH($K133,其他调用!$AG$5:$AG$364,0),1)/INDEX(其他调用!AI$5:AI$364,MATCH($K133,其他调用!$AG$5:$AG$364,0),0),1)*INDEX(其他调用!Z$5:Z$404,MATCH($K133,其他调用!$X$5:$X$404,0),0)</f>
        <v>38712.089954678064</v>
      </c>
      <c r="W133" s="12">
        <f>MIN(INDEX(其他调用!$AI$5:$AI$364,MATCH($K133,其他调用!$AG$5:$AG$364,0),1)/INDEX(其他调用!AJ$5:AJ$364,MATCH($K133,其他调用!$AG$5:$AG$364,0),0),1)*INDEX(其他调用!AA$5:AA$404,MATCH($K133,其他调用!$X$5:$X$404,0),0)</f>
        <v>23240.694709317373</v>
      </c>
      <c r="X133" s="12">
        <f>MIN(INDEX(其他调用!$AI$5:$AI$364,MATCH($K133,其他调用!$AG$5:$AG$364,0),1)/INDEX(其他调用!AK$5:AK$364,MATCH($K133,其他调用!$AG$5:$AG$364,0),0),1)*INDEX(其他调用!AB$5:AB$404,MATCH($K133,其他调用!$X$5:$X$404,0),0)</f>
        <v>9305.9564015073429</v>
      </c>
      <c r="Y133" s="12">
        <f>MIN(INDEX(其他调用!$AI$5:$AI$364,MATCH($K133,其他调用!$AG$5:$AG$364,0),1)/INDEX(其他调用!AL$5:AL$364,MATCH($K133,其他调用!$AG$5:$AG$364,0),0),1)*INDEX(其他调用!AC$5:AC$404,MATCH($K133,其他调用!$X$5:$X$404,0),0)</f>
        <v>2989.1664315127282</v>
      </c>
      <c r="Z133" s="12">
        <f>求节点(节奏总纲!D$4:D$163,标准城池设计!AD$4:AD$163,$K133)*求节点(节奏总纲!D$4:D$163,攻城基础信息!$AE$5:$AE$164,$K133)</f>
        <v>615750.47244926309</v>
      </c>
      <c r="AA133" s="12">
        <f>INDEX(其他调用!$AA$5:$AA$404,MATCH($K133,其他调用!$X$5:$X$404,0))*MIN(INDEX(其他调用!AJ$5:AJ$364,MATCH($K133,其他调用!$AG$5:$AG$364,0),1)/INDEX(其他调用!$AJ$5:$AJ$364,MATCH($K133,其他调用!$AG$5:$AG$364,0),0),5)*求节点(节奏总纲!D$4:D$163,攻城基础信息!$AE$5:$AE$164,$K133)</f>
        <v>127528.73946936012</v>
      </c>
      <c r="AB133" s="12">
        <f>MIN(INDEX(其他调用!$AJ$5:$AJ$364,MATCH($K133,其他调用!$AG$5:$AG$364,0),1)/INDEX(其他调用!AH$5:AH$364,MATCH($K133,其他调用!$AG$5:$AG$364,0),0),1)*INDEX(其他调用!Y$5:Y$404,MATCH($K133,其他调用!$X$5:$X$404,0),0)</f>
        <v>37561.477227734547</v>
      </c>
      <c r="AC133" s="12">
        <f>MIN(INDEX(其他调用!$AJ$5:$AJ$364,MATCH($K133,其他调用!$AG$5:$AG$364,0),1)/INDEX(其他调用!AI$5:AI$364,MATCH($K133,其他调用!$AG$5:$AG$364,0),0),1)*INDEX(其他调用!Z$5:Z$404,MATCH($K133,其他调用!$X$5:$X$404,0),0)</f>
        <v>38712.089954678064</v>
      </c>
      <c r="AD133" s="12">
        <f>MIN(INDEX(其他调用!$AJ$5:$AJ$364,MATCH($K133,其他调用!$AG$5:$AG$364,0),1)/INDEX(其他调用!AJ$5:AJ$364,MATCH($K133,其他调用!$AG$5:$AG$364,0),0),1)*INDEX(其他调用!AA$5:AA$404,MATCH($K133,其他调用!$X$5:$X$404,0),0)</f>
        <v>40226.143069569269</v>
      </c>
      <c r="AE133" s="12">
        <f>MIN(INDEX(其他调用!$AJ$5:$AJ$364,MATCH($K133,其他调用!$AG$5:$AG$364,0),1)/INDEX(其他调用!AK$5:AK$364,MATCH($K133,其他调用!$AG$5:$AG$364,0),0),1)*INDEX(其他调用!AB$5:AB$404,MATCH($K133,其他调用!$X$5:$X$404,0),0)</f>
        <v>16107.209284760815</v>
      </c>
      <c r="AF133" s="12">
        <f>MIN(INDEX(其他调用!$AJ$5:$AJ$364,MATCH($K133,其他调用!$AG$5:$AG$364,0),1)/INDEX(其他调用!AL$5:AL$364,MATCH($K133,其他调用!$AG$5:$AG$364,0),0),1)*INDEX(其他调用!AC$5:AC$404,MATCH($K133,其他调用!$X$5:$X$404,0),0)</f>
        <v>5173.7969986146163</v>
      </c>
      <c r="AG133" s="12">
        <f>求节点(节奏总纲!D$4:D$163,标准城池设计!AE$4:AE$163,$K133)*求节点(节奏总纲!D$4:D$163,攻城基础信息!$AF$5:$AF$164,$K133)</f>
        <v>703669.63616803277</v>
      </c>
      <c r="AH133" s="12">
        <f>INDEX(其他调用!$AA$5:$AA$404,MATCH($K133,其他调用!$X$5:$X$404,0))*MIN(INDEX(其他调用!AK$5:AK$364,MATCH($K133,其他调用!$AG$5:$AG$364,0),1)/INDEX(其他调用!$AJ$5:$AJ$364,MATCH($K133,其他调用!$AG$5:$AG$364,0),0),5)*求节点(节奏总纲!D$4:D$163,攻城基础信息!$AF$5:$AF$164,$K133)</f>
        <v>335761.39041337819</v>
      </c>
      <c r="AI133" s="12">
        <f>MIN(INDEX(其他调用!$AK$5:$AK$364,MATCH($K133,其他调用!$AG$5:$AG$364,0),1)/INDEX(其他调用!AH$5:AH$364,MATCH($K133,其他调用!$AG$5:$AG$364,0),0),1)*INDEX(其他调用!Y$5:Y$404,MATCH($K133,其他调用!$X$5:$X$404,0),0)</f>
        <v>37561.477227734547</v>
      </c>
      <c r="AJ133" s="12">
        <f>MIN(INDEX(其他调用!$AK$5:$AK$364,MATCH($K133,其他调用!$AG$5:$AG$364,0),1)/INDEX(其他调用!AI$5:AI$364,MATCH($K133,其他调用!$AG$5:$AG$364,0),0),1)*INDEX(其他调用!Z$5:Z$404,MATCH($K133,其他调用!$X$5:$X$404,0),0)</f>
        <v>38712.089954678064</v>
      </c>
      <c r="AK133" s="12">
        <f>MIN(INDEX(其他调用!$AK$5:$AK$364,MATCH($K133,其他调用!$AG$5:$AG$364,0),1)/INDEX(其他调用!AJ$5:AJ$364,MATCH($K133,其他调用!$AG$5:$AG$364,0),0),1)*INDEX(其他调用!AA$5:AA$404,MATCH($K133,其他调用!$X$5:$X$404,0),0)</f>
        <v>40226.143069569269</v>
      </c>
      <c r="AL133" s="12">
        <f>MIN(INDEX(其他调用!$AK$5:$AK$364,MATCH($K133,其他调用!$AG$5:$AG$364,0),1)/INDEX(其他调用!AK$5:AK$364,MATCH($K133,其他调用!$AG$5:$AG$364,0),0),1)*INDEX(其他调用!AB$5:AB$404,MATCH($K133,其他调用!$X$5:$X$404,0),0)</f>
        <v>42407.531099528569</v>
      </c>
      <c r="AM133" s="12">
        <f>MIN(INDEX(其他调用!$AK$5:$AK$364,MATCH($K133,其他调用!$AG$5:$AG$364,0),1)/INDEX(其他调用!AL$5:AL$364,MATCH($K133,其他调用!$AG$5:$AG$364,0),0),1)*INDEX(其他调用!AC$5:AC$404,MATCH($K133,其他调用!$X$5:$X$404,0),0)</f>
        <v>13621.723865535225</v>
      </c>
      <c r="AN133" s="12">
        <f>求节点(节奏总纲!D$4:D$163,标准城池设计!AF$4:AF$163,$K133)*求节点(节奏总纲!D$4:D$163,攻城基础信息!$AG$5:$AG$164,$K133)</f>
        <v>699533.61617709615</v>
      </c>
      <c r="AO133" s="12">
        <f>INDEX(其他调用!$AA$5:$AA$404,MATCH($K133,其他调用!$X$5:$X$404,0))*MIN(INDEX(其他调用!AL$5:AL$364,MATCH($K133,其他调用!$AG$5:$AG$364,0),1)/INDEX(其他调用!$AJ$5:$AJ$364,MATCH($K133,其他调用!$AG$5:$AG$364,0),0),5)*求节点(节奏总纲!D$4:D$163,攻城基础信息!$AG$5:$AG$164,$K133)</f>
        <v>637643.69734680059</v>
      </c>
      <c r="AP133" s="12">
        <f>MIN(INDEX(其他调用!$AL$5:$AL$364,MATCH($K133,其他调用!$AG$5:$AG$364,0),1)/INDEX(其他调用!AH$5:AH$364,MATCH($K133,其他调用!$AG$5:$AG$364,0),0),1)*INDEX(其他调用!Y$5:Y$404,MATCH($K133,其他调用!$X$5:$X$404,0),0)</f>
        <v>37561.477227734547</v>
      </c>
      <c r="AQ133" s="12">
        <f>MIN(INDEX(其他调用!$AL$5:$AL$364,MATCH($K133,其他调用!$AG$5:$AG$364,0),1)/INDEX(其他调用!AI$5:AI$364,MATCH($K133,其他调用!$AG$5:$AG$364,0),0),1)*INDEX(其他调用!Z$5:Z$404,MATCH($K133,其他调用!$X$5:$X$404,0),0)</f>
        <v>38712.089954678064</v>
      </c>
      <c r="AR133" s="12">
        <f>MIN(INDEX(其他调用!$AL$5:$AL$364,MATCH($K133,其他调用!$AG$5:$AG$364,0),1)/INDEX(其他调用!AJ$5:AJ$364,MATCH($K133,其他调用!$AG$5:$AG$364,0),0),1)*INDEX(其他调用!AA$5:AA$404,MATCH($K133,其他调用!$X$5:$X$404,0),0)</f>
        <v>40226.143069569269</v>
      </c>
      <c r="AS133" s="12">
        <f>MIN(INDEX(其他调用!$AL$5:$AL$364,MATCH($K133,其他调用!$AG$5:$AG$364,0),1)/INDEX(其他调用!AK$5:AK$364,MATCH($K133,其他调用!$AG$5:$AG$364,0),0),1)*INDEX(其他调用!AB$5:AB$404,MATCH($K133,其他调用!$X$5:$X$404,0),0)</f>
        <v>42407.531099528569</v>
      </c>
      <c r="AT133" s="12">
        <f>MIN(INDEX(其他调用!$AL$5:$AL$364,MATCH($K133,其他调用!$AG$5:$AG$364,0),1)/INDEX(其他调用!AL$5:AL$364,MATCH($K133,其他调用!$AG$5:$AG$364,0),0),1)*INDEX(其他调用!AC$5:AC$404,MATCH($K133,其他调用!$X$5:$X$404,0),0)</f>
        <v>46310.198814444157</v>
      </c>
      <c r="AV133" s="14">
        <f>IF(OR(AV$5="大R",AV$5="超R"),MAX(INDEX(其他调用!$H$5:$L$404,MATCH($K133,其他调用!$B$5:$B$404,0),MATCH(AV$5,其他调用!$H$4:$L$4,0))*120*0.85,2),INDEX(其他调用!$H$5:$L$404,MATCH($K133,其他调用!$B$5:$B$404,0),MATCH(AV$5,其他调用!$H$4:$L$4,0))*120*0.85)</f>
        <v>48.921801254999991</v>
      </c>
      <c r="AW133" s="14">
        <f>IF(OR(AW$5="大R",AW$5="超R"),MAX(INDEX(其他调用!$H$5:$L$404,MATCH($K133,其他调用!$B$5:$B$404,0),MATCH(AW$5,其他调用!$H$4:$L$4,0))*120*0.85,2),INDEX(其他调用!$H$5:$L$404,MATCH($K133,其他调用!$B$5:$B$404,0),MATCH(AW$5,其他调用!$H$4:$L$4,0))*120*0.85)</f>
        <v>48.237344010638395</v>
      </c>
      <c r="AX133" s="14">
        <f>IF(OR(AX$5="大R",AX$5="超R"),MAX(INDEX(其他调用!$H$5:$L$404,MATCH($K133,其他调用!$B$5:$B$404,0),MATCH(AX$5,其他调用!$H$4:$L$4,0))*120*0.85,2),INDEX(其他调用!$H$5:$L$404,MATCH($K133,其他调用!$B$5:$B$404,0),MATCH(AX$5,其他调用!$H$4:$L$4,0))*120*0.85)</f>
        <v>3.9376284143615998</v>
      </c>
      <c r="AY133" s="14">
        <f>IF(OR(AY$5="大R",AY$5="超R"),MAX(INDEX(其他调用!$H$5:$L$404,MATCH($K133,其他调用!$B$5:$B$404,0),MATCH(AY$5,其他调用!$H$4:$L$4,0))*120*0.85,2),INDEX(其他调用!$H$5:$L$404,MATCH($K133,其他调用!$B$5:$B$404,0),MATCH(AY$5,其他调用!$H$4:$L$4,0))*120*0.85)</f>
        <v>2</v>
      </c>
      <c r="AZ133" s="14">
        <f>IF(OR(AZ$5="大R",AZ$5="超R"),MAX(INDEX(其他调用!$H$5:$L$404,MATCH($K133,其他调用!$B$5:$B$404,0),MATCH(AZ$5,其他调用!$H$4:$L$4,0))*120*0.85,2),INDEX(其他调用!$H$5:$L$404,MATCH($K133,其他调用!$B$5:$B$404,0),MATCH(AZ$5,其他调用!$H$4:$L$4,0))*120*0.85)</f>
        <v>2</v>
      </c>
      <c r="BA133" s="14">
        <f>INDEX(其他调用!$H$5:$L$404,MATCH($K133,其他调用!$B$5:$B$404,0),MATCH(BA$5,其他调用!$H$4:$L$4,0))*INDEX(其他调用!$M$5:$M$404,MATCH($K133,其他调用!$B$5:$B$404,0))*0.6</f>
        <v>28.777530149999997</v>
      </c>
      <c r="BB133" s="14">
        <f>INDEX(其他调用!$H$5:$L$404,MATCH($K133,其他调用!$B$5:$B$404,0),MATCH(BB$5,其他调用!$H$4:$L$4,0))*INDEX(其他调用!$M$5:$M$404,MATCH($K133,其他调用!$B$5:$B$404,0))*0.6</f>
        <v>28.374908241551999</v>
      </c>
      <c r="BC133" s="14">
        <f>INDEX(其他调用!$H$5:$L$404,MATCH($K133,其他调用!$B$5:$B$404,0),MATCH(BC$5,其他调用!$H$4:$L$4,0))*INDEX(其他调用!$M$5:$M$404,MATCH($K133,其他调用!$B$5:$B$404,0))*0.6</f>
        <v>2.3162520084480001</v>
      </c>
      <c r="BD133" s="14">
        <f>INDEX(其他调用!$H$5:$L$404,MATCH($K133,其他调用!$B$5:$B$404,0),MATCH(BD$5,其他调用!$H$4:$L$4,0))*INDEX(其他调用!$M$5:$M$404,MATCH($K133,其他调用!$B$5:$B$404,0))*0.6</f>
        <v>0.4120776000000001</v>
      </c>
      <c r="BE133" s="14">
        <f>INDEX(其他调用!$H$5:$L$404,MATCH($K133,其他调用!$B$5:$B$404,0),MATCH(BE$5,其他调用!$H$4:$L$4,0))*INDEX(其他调用!$M$5:$M$404,MATCH($K133,其他调用!$B$5:$B$404,0))*0.6</f>
        <v>0.11923199999999998</v>
      </c>
      <c r="BF133" s="14">
        <f>IF(OR(BF$5="大R",BF$5="超R"),0,INDEX(其他调用!$H$5:$L$404,MATCH($K133,其他调用!$B$5:$B$404,0),MATCH(BF$5,其他调用!$H$4:$L$4,0))*50*0.4)</f>
        <v>9.5925100500000013</v>
      </c>
      <c r="BG133" s="14">
        <f>IF(OR(BG$5="大R",BG$5="超R"),0,INDEX(其他调用!$H$5:$L$404,MATCH($K133,其他调用!$B$5:$B$404,0),MATCH(BG$5,其他调用!$H$4:$L$4,0))*50*0.4)</f>
        <v>9.4583027471839998</v>
      </c>
      <c r="BH133" s="14">
        <f>IF(OR(BH$5="大R",BH$5="超R"),0,INDEX(其他调用!$H$5:$L$404,MATCH($K133,其他调用!$B$5:$B$404,0),MATCH(BH$5,其他调用!$H$4:$L$4,0))*50*0.4)</f>
        <v>0.77208400281600009</v>
      </c>
      <c r="BI133" s="14">
        <f>IF(OR(BI$5="大R",BI$5="超R"),0,INDEX(其他调用!$H$5:$L$404,MATCH($K133,其他调用!$B$5:$B$404,0),MATCH(BI$5,其他调用!$H$4:$L$4,0))*50*0.4)</f>
        <v>0</v>
      </c>
      <c r="BJ133" s="14">
        <f>IF(OR(BJ$5="大R",BJ$5="超R"),0,INDEX(其他调用!$H$5:$L$404,MATCH($K133,其他调用!$B$5:$B$404,0),MATCH(BJ$5,其他调用!$H$4:$L$4,0))*50*0.4)</f>
        <v>0</v>
      </c>
      <c r="BL133" s="14">
        <f t="shared" si="208"/>
        <v>128</v>
      </c>
      <c r="BM133" s="14">
        <f t="shared" si="115"/>
        <v>96</v>
      </c>
      <c r="BN133" s="14">
        <f>('疲劳值&amp;地图信息'!$S$10*'疲劳值&amp;地图信息'!$R$10+'疲劳值&amp;地图信息'!$S$11*'疲劳值&amp;地图信息'!$R$11+'疲劳值&amp;地图信息'!$S$12*'疲劳值&amp;地图信息'!$R$12+(BM133-'疲劳值&amp;地图信息'!$S$12-'疲劳值&amp;地图信息'!$S$11-'疲劳值&amp;地图信息'!$S$10)*'疲劳值&amp;地图信息'!$R$13)/BM133</f>
        <v>51.371477246638619</v>
      </c>
      <c r="BO133" s="14">
        <f>INDEX(其他调用!$M$5:$M$404,MATCH(BL133,其他调用!$B$5:$B$404,0))*0.6</f>
        <v>60</v>
      </c>
      <c r="BP133" s="14">
        <f>IF(BO133&gt;SUM('疲劳值&amp;地图信息'!$S$10:$S$12),('疲劳值&amp;地图信息'!$S$10*'疲劳值&amp;地图信息'!$R$10+'疲劳值&amp;地图信息'!$S$11*'疲劳值&amp;地图信息'!$R$11+'疲劳值&amp;地图信息'!$S$12*'疲劳值&amp;地图信息'!$R$12+(BO133-'疲劳值&amp;地图信息'!$S$12-'疲劳值&amp;地图信息'!$S$11-'疲劳值&amp;地图信息'!$S$10)*'疲劳值&amp;地图信息'!$R$13)/BO133,('疲劳值&amp;地图信息'!$S$10*'疲劳值&amp;地图信息'!$R$10+'疲劳值&amp;地图信息'!$S$11*'疲劳值&amp;地图信息'!$R$11+'疲劳值&amp;地图信息'!$S$12*'疲劳值&amp;地图信息'!$R$12+(BO133-'疲劳值&amp;地图信息'!$S$12-'疲劳值&amp;地图信息'!$S$11-'疲劳值&amp;地图信息'!$S$10)*'疲劳值&amp;地图信息'!$R$13)/BO133)</f>
        <v>44.158136341605953</v>
      </c>
      <c r="BQ133" s="14">
        <f t="shared" si="209"/>
        <v>20</v>
      </c>
      <c r="BR133" s="14">
        <f>('疲劳值&amp;地图信息'!$S$10*'疲劳值&amp;地图信息'!$R$10+($BQ133-'疲劳值&amp;地图信息'!$S$10)*'疲劳值&amp;地图信息'!$R$11)/$BQ133</f>
        <v>32.067203015074995</v>
      </c>
      <c r="CF133" s="14">
        <v>128</v>
      </c>
      <c r="CG133" s="51">
        <f t="shared" si="116"/>
        <v>10886</v>
      </c>
      <c r="CH133" s="51">
        <f t="shared" si="117"/>
        <v>911</v>
      </c>
      <c r="CI133" s="51">
        <f>INT(SUMPRODUCT($N133:$R133,$BA133:$BE133)/SUM($BA133:$BE133)/10000*$BX$7*$BZ$34/'疲劳值&amp;地图信息'!$R$10*$BY$53)</f>
        <v>3014</v>
      </c>
      <c r="CJ133" s="50">
        <f t="shared" si="118"/>
        <v>0.73499426102221321</v>
      </c>
      <c r="CK133" s="50">
        <f t="shared" si="119"/>
        <v>6.1508338397137263E-2</v>
      </c>
      <c r="CL133" s="50">
        <f t="shared" si="120"/>
        <v>0.20349740058064952</v>
      </c>
      <c r="CM133" s="14">
        <f t="shared" si="121"/>
        <v>11687</v>
      </c>
      <c r="CN133" s="14">
        <f t="shared" si="122"/>
        <v>1501</v>
      </c>
      <c r="CO133" s="14">
        <f>INT(SUMPRODUCT($U133:$Y133,$BA133:$BE133)/SUM($BA133:$BE133)/10000*$BX$7*$BZ$34/'疲劳值&amp;地图信息'!$R$10*$BY$54)</f>
        <v>5675</v>
      </c>
      <c r="CP133" s="50">
        <f t="shared" si="123"/>
        <v>0.61957270847691248</v>
      </c>
      <c r="CQ133" s="50">
        <f t="shared" si="124"/>
        <v>7.9573768753644705E-2</v>
      </c>
      <c r="CR133" s="50">
        <f t="shared" si="125"/>
        <v>0.30085352276944283</v>
      </c>
      <c r="CS133" s="14">
        <f t="shared" si="126"/>
        <v>12549</v>
      </c>
      <c r="CT133" s="14">
        <f t="shared" si="127"/>
        <v>2599</v>
      </c>
      <c r="CU133" s="14">
        <f>INT(SUMPRODUCT($AB133:$AF133,$BA133:$BE133)/SUM($BA133:$BE133)/10000*$BX$7*$BZ$34/'疲劳值&amp;地图信息'!$R$10*$BY$55)</f>
        <v>7710</v>
      </c>
      <c r="CV133" s="50">
        <f t="shared" si="128"/>
        <v>0.54899816256890366</v>
      </c>
      <c r="CW133" s="50">
        <f t="shared" si="129"/>
        <v>0.11370198617551842</v>
      </c>
      <c r="CX133" s="50">
        <f t="shared" si="130"/>
        <v>0.33729985125557793</v>
      </c>
      <c r="CY133" s="14">
        <f t="shared" si="131"/>
        <v>14341</v>
      </c>
      <c r="CZ133" s="14">
        <f t="shared" si="132"/>
        <v>6843</v>
      </c>
      <c r="DA133" s="14">
        <f>INT(SUMPRODUCT($AI133:$AM133,$BA133:$BE133)/SUM($BA133:$BE133)/10000*$BX$7*$BZ$34/'疲劳值&amp;地图信息'!$R$10*$BY$56)</f>
        <v>11626</v>
      </c>
      <c r="DB133" s="50">
        <f t="shared" si="133"/>
        <v>0.43709234989332518</v>
      </c>
      <c r="DC133" s="50">
        <f t="shared" si="134"/>
        <v>0.20856446205425175</v>
      </c>
      <c r="DD133" s="50">
        <f t="shared" si="135"/>
        <v>0.35434318805242304</v>
      </c>
      <c r="DE133" s="14">
        <f t="shared" si="136"/>
        <v>14257</v>
      </c>
      <c r="DF133" s="14">
        <f t="shared" si="137"/>
        <v>12996</v>
      </c>
      <c r="DG133" s="14">
        <f>INT(SUMPRODUCT($AP133:$AT133,$BA133:$BE133)/SUM($BA133:$BE133)/10000*$BX$7*$BZ$34/'疲劳值&amp;地图信息'!$R$10*$BY$57)</f>
        <v>15528</v>
      </c>
      <c r="DH133" s="50">
        <f t="shared" si="138"/>
        <v>0.33325541712442441</v>
      </c>
      <c r="DI133" s="50">
        <f t="shared" si="139"/>
        <v>0.30377971529417264</v>
      </c>
      <c r="DJ133" s="50">
        <f t="shared" si="140"/>
        <v>0.36296486758140295</v>
      </c>
      <c r="DL133" s="14">
        <f t="shared" si="211"/>
        <v>14811</v>
      </c>
      <c r="DM133" s="14">
        <f t="shared" si="212"/>
        <v>18863</v>
      </c>
      <c r="DN133" s="14">
        <f t="shared" si="213"/>
        <v>22858</v>
      </c>
      <c r="DO133" s="14">
        <f t="shared" si="214"/>
        <v>32810</v>
      </c>
      <c r="DP133" s="14">
        <f t="shared" si="215"/>
        <v>42781</v>
      </c>
      <c r="DQ133" s="14">
        <f t="shared" si="216"/>
        <v>1033025</v>
      </c>
      <c r="DT133" s="14">
        <f t="shared" si="210"/>
        <v>235575</v>
      </c>
      <c r="DU133" s="50">
        <f t="shared" si="112"/>
        <v>0.18569683115245153</v>
      </c>
      <c r="DW133" s="14">
        <f t="shared" si="141"/>
        <v>1268600</v>
      </c>
      <c r="EB133" s="14">
        <v>128</v>
      </c>
      <c r="EC133" s="51">
        <f t="shared" si="142"/>
        <v>18144</v>
      </c>
      <c r="ED133" s="51">
        <f t="shared" si="143"/>
        <v>1518</v>
      </c>
      <c r="EE133" s="51">
        <f>INT(SUMPRODUCT($N133:$R133,$BF133:$BJ133)/SUM($BF133:$BJ133)/10000*$BX$7*$BZ$46/'疲劳值&amp;地图信息'!$R$10*$BY$53)</f>
        <v>404</v>
      </c>
      <c r="EF133" s="50">
        <f t="shared" si="144"/>
        <v>0.90421608691318645</v>
      </c>
      <c r="EG133" s="50">
        <f t="shared" si="145"/>
        <v>7.5650353832353232E-2</v>
      </c>
      <c r="EH133" s="50">
        <f t="shared" si="146"/>
        <v>2.0133559254460281E-2</v>
      </c>
      <c r="EI133" s="51">
        <f t="shared" si="147"/>
        <v>19479</v>
      </c>
      <c r="EJ133" s="51">
        <f t="shared" si="148"/>
        <v>2502</v>
      </c>
      <c r="EK133" s="14">
        <f>INT(SUMPRODUCT($U133:$Y133,$BF133:$BJ133)/SUM($BF133:$BJ133)/10000*$BX$7*$BZ$46/'疲劳值&amp;地图信息'!$R$10*$BY$54)</f>
        <v>762</v>
      </c>
      <c r="EL133" s="50">
        <f t="shared" si="149"/>
        <v>0.85648331354702545</v>
      </c>
      <c r="EM133" s="50">
        <f t="shared" si="150"/>
        <v>0.11001187178472498</v>
      </c>
      <c r="EN133" s="50">
        <f t="shared" si="151"/>
        <v>3.3504814668249575E-2</v>
      </c>
      <c r="EO133" s="51">
        <f t="shared" si="152"/>
        <v>20916</v>
      </c>
      <c r="EP133" s="51">
        <f t="shared" si="153"/>
        <v>4332</v>
      </c>
      <c r="EQ133" s="14">
        <f>INT(SUMPRODUCT($AB133:$AF133,$BF133:$BJ133)/SUM($BF133:$BJ133)/10000*$BX$7*$BZ$46/'疲劳值&amp;地图信息'!$R$10*$BY$55)</f>
        <v>1034</v>
      </c>
      <c r="ER133" s="50">
        <f t="shared" si="154"/>
        <v>0.79582984552164981</v>
      </c>
      <c r="ES133" s="50">
        <f t="shared" si="155"/>
        <v>0.16482763868807548</v>
      </c>
      <c r="ET133" s="50">
        <f t="shared" si="156"/>
        <v>3.9342515790274715E-2</v>
      </c>
      <c r="EU133" s="51">
        <f t="shared" si="157"/>
        <v>23902</v>
      </c>
      <c r="EV133" s="51">
        <f t="shared" si="158"/>
        <v>11405</v>
      </c>
      <c r="EW133" s="14">
        <f>INT(SUMPRODUCT($AI133:$AM133,$BF133:$BJ133)/SUM($BF133:$BJ133)/10000*$BX$7*$BZ$46/'疲劳值&amp;地图信息'!$R$10*$BY$56)</f>
        <v>1551</v>
      </c>
      <c r="EX133" s="50">
        <f t="shared" si="159"/>
        <v>0.64848879483422861</v>
      </c>
      <c r="EY133" s="50">
        <f t="shared" si="160"/>
        <v>0.3094307884312768</v>
      </c>
      <c r="EZ133" s="50">
        <f t="shared" si="161"/>
        <v>4.2080416734494544E-2</v>
      </c>
      <c r="FA133" s="51">
        <f t="shared" si="162"/>
        <v>23762</v>
      </c>
      <c r="FB133" s="51">
        <f t="shared" si="163"/>
        <v>21660</v>
      </c>
      <c r="FC133" s="14">
        <f>INT(SUMPRODUCT($AP133:$AT133,$BF133:$BJ133)/SUM($BF133:$BJ133)/10000*$BX$7*$BZ$46/'疲劳值&amp;地图信息'!$R$10*$BY$57)</f>
        <v>2068</v>
      </c>
      <c r="FD133" s="50">
        <f t="shared" si="164"/>
        <v>0.50035797009896821</v>
      </c>
      <c r="FE133" s="50">
        <f t="shared" si="165"/>
        <v>0.45609602021478207</v>
      </c>
      <c r="FF133" s="50">
        <f t="shared" si="166"/>
        <v>4.3546009686249734E-2</v>
      </c>
      <c r="FH133" s="14">
        <f t="shared" si="167"/>
        <v>20066</v>
      </c>
      <c r="FI133" s="14">
        <f t="shared" si="168"/>
        <v>22743</v>
      </c>
      <c r="FJ133" s="14">
        <f t="shared" si="169"/>
        <v>26282</v>
      </c>
      <c r="FK133" s="14">
        <f t="shared" si="170"/>
        <v>36858</v>
      </c>
      <c r="FL133" s="14">
        <f t="shared" si="171"/>
        <v>47490</v>
      </c>
      <c r="FM133" s="14">
        <f t="shared" si="172"/>
        <v>2350911</v>
      </c>
      <c r="FP133" s="14">
        <f t="shared" si="173"/>
        <v>334150</v>
      </c>
      <c r="FQ133" s="50">
        <f t="shared" si="113"/>
        <v>0.12444782446283344</v>
      </c>
      <c r="FS133" s="14">
        <f t="shared" si="174"/>
        <v>2685061</v>
      </c>
      <c r="FX133" s="14">
        <v>128</v>
      </c>
      <c r="FY133" s="51">
        <f t="shared" si="175"/>
        <v>25402</v>
      </c>
      <c r="FZ133" s="51">
        <f t="shared" si="176"/>
        <v>1518</v>
      </c>
      <c r="GA133" s="51">
        <f>INT(SUMPRODUCT($N133:$R133,$BF133:$BJ133)/SUM($BF133:$BJ133)/10000*$BX$7*$BZ$46/'疲劳值&amp;地图信息'!$R$10*$BY$53)</f>
        <v>404</v>
      </c>
      <c r="GB133" s="50">
        <f t="shared" si="177"/>
        <v>0.92965890791977746</v>
      </c>
      <c r="GC133" s="50">
        <f t="shared" si="178"/>
        <v>5.5555555555555552E-2</v>
      </c>
      <c r="GD133" s="50">
        <f t="shared" si="179"/>
        <v>1.4785536524666959E-2</v>
      </c>
      <c r="GE133" s="51">
        <f t="shared" si="180"/>
        <v>27271</v>
      </c>
      <c r="GF133" s="51">
        <f t="shared" si="181"/>
        <v>2502</v>
      </c>
      <c r="GG133" s="14">
        <f>INT(SUMPRODUCT($U133:$Y133,$BF133:$BJ133)/SUM($BF133:$BJ133)/10000*$BX$7*$BZ$46/'疲劳值&amp;地图信息'!$R$10*$BY$54)</f>
        <v>762</v>
      </c>
      <c r="GH133" s="50">
        <f t="shared" si="182"/>
        <v>0.89310627149173083</v>
      </c>
      <c r="GI133" s="50">
        <f t="shared" si="183"/>
        <v>8.1938758801375466E-2</v>
      </c>
      <c r="GJ133" s="50">
        <f t="shared" si="184"/>
        <v>2.4954969706893728E-2</v>
      </c>
      <c r="GK133" s="51">
        <f t="shared" si="185"/>
        <v>29282</v>
      </c>
      <c r="GL133" s="51">
        <f t="shared" si="186"/>
        <v>4332</v>
      </c>
      <c r="GM133" s="14">
        <f>INT(SUMPRODUCT($AB133:$AF133,$BF133:$BJ133)/SUM($BF133:$BJ133)/10000*$BX$7*$BZ$46/'疲劳值&amp;地图信息'!$R$10*$BY$55)</f>
        <v>1034</v>
      </c>
      <c r="GN133" s="50">
        <f t="shared" si="187"/>
        <v>0.84512814592472874</v>
      </c>
      <c r="GO133" s="50">
        <f t="shared" si="188"/>
        <v>0.12502886169475871</v>
      </c>
      <c r="GP133" s="50">
        <f t="shared" si="189"/>
        <v>2.9842992380512582E-2</v>
      </c>
      <c r="GQ133" s="51">
        <f t="shared" si="190"/>
        <v>33463</v>
      </c>
      <c r="GR133" s="51">
        <f t="shared" si="191"/>
        <v>11405</v>
      </c>
      <c r="GS133" s="14">
        <f>INT(SUMPRODUCT($AI133:$AM133,$BF133:$BJ133)/SUM($BF133:$BJ133)/10000*$BX$7*$BZ$46/'疲劳值&amp;地图信息'!$R$10*$BY$56)</f>
        <v>1551</v>
      </c>
      <c r="GT133" s="50">
        <f t="shared" si="192"/>
        <v>0.72089015273918011</v>
      </c>
      <c r="GU133" s="50">
        <f t="shared" si="193"/>
        <v>0.24569680518753098</v>
      </c>
      <c r="GV133" s="50">
        <f t="shared" si="194"/>
        <v>3.3413042073288955E-2</v>
      </c>
      <c r="GW133" s="51">
        <f t="shared" si="195"/>
        <v>33267</v>
      </c>
      <c r="GX133" s="51">
        <f t="shared" si="196"/>
        <v>21660</v>
      </c>
      <c r="GY133" s="14">
        <f>INT(SUMPRODUCT($AP133:$AT133,$BF133:$BJ133)/SUM($BF133:$BJ133)/10000*$BX$7*$BZ$46/'疲劳值&amp;地图信息'!$R$10*$BY$57)</f>
        <v>2068</v>
      </c>
      <c r="GZ133" s="50">
        <f t="shared" si="197"/>
        <v>0.58368277919115708</v>
      </c>
      <c r="HA133" s="50">
        <f t="shared" si="198"/>
        <v>0.38003333625756647</v>
      </c>
      <c r="HB133" s="50">
        <f t="shared" si="199"/>
        <v>3.628388455127643E-2</v>
      </c>
      <c r="HD133" s="14">
        <f t="shared" si="200"/>
        <v>27324</v>
      </c>
      <c r="HE133" s="14">
        <f t="shared" si="201"/>
        <v>30535</v>
      </c>
      <c r="HF133" s="14">
        <f t="shared" si="202"/>
        <v>34648</v>
      </c>
      <c r="HG133" s="14">
        <f t="shared" si="203"/>
        <v>46419</v>
      </c>
      <c r="HH133" s="14">
        <f t="shared" si="204"/>
        <v>56995</v>
      </c>
      <c r="HI133" s="14">
        <f t="shared" si="205"/>
        <v>3152925</v>
      </c>
      <c r="HL133" s="14">
        <f t="shared" si="206"/>
        <v>430050</v>
      </c>
      <c r="HM133" s="50">
        <f t="shared" si="114"/>
        <v>0.12002595608398049</v>
      </c>
      <c r="HO133" s="14">
        <f t="shared" si="207"/>
        <v>3582975</v>
      </c>
    </row>
    <row r="134" spans="11:223" x14ac:dyDescent="0.2">
      <c r="K134" s="14">
        <v>129</v>
      </c>
      <c r="L134" s="12">
        <f>求节点(节奏总纲!D$4:D$163,标准城池设计!AB$4:AB$163,$K134)*求节点(节奏总纲!D$4:D$163,攻城基础信息!$AC$5:$AC$164,$K134)</f>
        <v>535874.6357586534</v>
      </c>
      <c r="M134" s="12">
        <f>INDEX(其他调用!$AA$5:$AA$404,MATCH(K134,其他调用!$X$5:$X$404,0))*MIN(INDEX(其他调用!$AH$5:$AH$364,MATCH('征服点（新）'!K134,其他调用!$AG$5:$AG$364,0),1)/INDEX(其他调用!$AJ$5:$AJ$364,MATCH(K134,其他调用!$AG$5:$AG$364,0),0),5)*求节点(节奏总纲!D$4:D$163,攻城基础信息!$AC$5:$AC$164,$K134)</f>
        <v>44758.47013798359</v>
      </c>
      <c r="N134" s="12">
        <f>MIN(INDEX(其他调用!$AH$5:$AH$364,MATCH($K134,其他调用!$AG$5:$AG$364,0),1)/INDEX(其他调用!AH$5:AH$364,MATCH($K134,其他调用!$AG$5:$AG$364,0),0),1)*INDEX(其他调用!Y$5:Y$404,MATCH($K134,其他调用!$X$5:$X$404,0),0)</f>
        <v>37605.839370659909</v>
      </c>
      <c r="O134" s="12">
        <f>MIN(INDEX(其他调用!$AH$5:$AH$364,MATCH($K134,其他调用!$AG$5:$AG$364,0),1)/INDEX(其他调用!AI$5:AI$364,MATCH($K134,其他调用!$AG$5:$AG$364,0),0),1)*INDEX(其他调用!Z$5:Z$404,MATCH($K134,其他调用!$X$5:$X$404,0),0)</f>
        <v>23511.425591171304</v>
      </c>
      <c r="P134" s="12">
        <f>MIN(INDEX(其他调用!$AH$5:$AH$364,MATCH($K134,其他调用!$AG$5:$AG$364,0),1)/INDEX(其他调用!AJ$5:AJ$364,MATCH($K134,其他调用!$AG$5:$AG$364,0),0),1)*INDEX(其他调用!AA$5:AA$404,MATCH($K134,其他调用!$X$5:$X$404,0),0)</f>
        <v>14101.938194335444</v>
      </c>
      <c r="Q134" s="12">
        <f>MIN(INDEX(其他调用!$AH$5:$AH$364,MATCH($K134,其他调用!$AG$5:$AG$364,0),1)/INDEX(其他调用!AK$5:AK$364,MATCH($K134,其他调用!$AG$5:$AG$364,0),0),1)*INDEX(其他调用!AB$5:AB$404,MATCH($K134,其他调用!$X$5:$X$404,0),0)</f>
        <v>5647.8545583981995</v>
      </c>
      <c r="R134" s="12">
        <f>MIN(INDEX(其他调用!$AH$5:$AH$364,MATCH($K134,其他调用!$AG$5:$AG$364,0),1)/INDEX(其他调用!AL$5:AL$364,MATCH($K134,其他调用!$AG$5:$AG$364,0),0),1)*INDEX(其他调用!AC$5:AC$404,MATCH($K134,其他调用!$X$5:$X$404,0),0)</f>
        <v>1816.6406092964987</v>
      </c>
      <c r="S134" s="12">
        <f>求节点(节奏总纲!D$4:D$163,标准城池设计!AC$4:AC$163,$K134)*求节点(节奏总纲!D$4:D$163,攻城基础信息!$AD$5:$AD$164,$K134)</f>
        <v>575395.48084608058</v>
      </c>
      <c r="T134" s="12">
        <f>INDEX(其他调用!$AA$5:$AA$404,MATCH($K134,其他调用!$X$5:$X$404,0))*MIN(INDEX(其他调用!AI$5:AI$364,MATCH($K134,其他调用!$AG$5:$AG$364,0),1)/INDEX(其他调用!$AJ$5:$AJ$364,MATCH($K134,其他调用!$AG$5:$AG$364,0),0),5)*求节点(节奏总纲!D$4:D$163,攻城基础信息!$AD$5:$AD$164,$K134)</f>
        <v>73779.118151042989</v>
      </c>
      <c r="U134" s="12">
        <f>MIN(INDEX(其他调用!$AI$5:$AI$364,MATCH($K134,其他调用!$AG$5:$AG$364,0),1)/INDEX(其他调用!AH$5:AH$364,MATCH($K134,其他调用!$AG$5:$AG$364,0),0),1)*INDEX(其他调用!Y$5:Y$404,MATCH($K134,其他调用!$X$5:$X$404,0),0)</f>
        <v>37605.839370659909</v>
      </c>
      <c r="V134" s="12">
        <f>MIN(INDEX(其他调用!$AI$5:$AI$364,MATCH($K134,其他调用!$AG$5:$AG$364,0),1)/INDEX(其他调用!AI$5:AI$364,MATCH($K134,其他调用!$AG$5:$AG$364,0),0),1)*INDEX(其他调用!Z$5:Z$404,MATCH($K134,其他调用!$X$5:$X$404,0),0)</f>
        <v>38755.84311176886</v>
      </c>
      <c r="W134" s="12">
        <f>MIN(INDEX(其他调用!$AI$5:$AI$364,MATCH($K134,其他调用!$AG$5:$AG$364,0),1)/INDEX(其他调用!AJ$5:AJ$364,MATCH($K134,其他调用!$AG$5:$AG$364,0),0),1)*INDEX(其他调用!AA$5:AA$404,MATCH($K134,其他调用!$X$5:$X$404,0),0)</f>
        <v>23245.400501650227</v>
      </c>
      <c r="X134" s="12">
        <f>MIN(INDEX(其他调用!$AI$5:$AI$364,MATCH($K134,其他调用!$AG$5:$AG$364,0),1)/INDEX(其他调用!AK$5:AK$364,MATCH($K134,其他调用!$AG$5:$AG$364,0),0),1)*INDEX(其他调用!AB$5:AB$404,MATCH($K134,其他调用!$X$5:$X$404,0),0)</f>
        <v>9309.8295692270949</v>
      </c>
      <c r="Y134" s="12">
        <f>MIN(INDEX(其他调用!$AI$5:$AI$364,MATCH($K134,其他调用!$AG$5:$AG$364,0),1)/INDEX(其他调用!AL$5:AL$364,MATCH($K134,其他调用!$AG$5:$AG$364,0),0),1)*INDEX(其他调用!AC$5:AC$404,MATCH($K134,其他调用!$X$5:$X$404,0),0)</f>
        <v>2994.5201821705355</v>
      </c>
      <c r="Z134" s="12">
        <f>求节点(节奏总纲!D$4:D$163,标准城池设计!AD$4:AD$163,$K134)*求节点(节奏总纲!D$4:D$163,攻城基础信息!$AE$5:$AE$164,$K134)</f>
        <v>617639.26342306251</v>
      </c>
      <c r="AA134" s="12">
        <f>INDEX(其他调用!$AA$5:$AA$404,MATCH($K134,其他调用!$X$5:$X$404,0))*MIN(INDEX(其他调用!AJ$5:AJ$364,MATCH($K134,其他调用!$AG$5:$AG$364,0),1)/INDEX(其他调用!$AJ$5:$AJ$364,MATCH($K134,其他调用!$AG$5:$AG$364,0),0),5)*求节点(节奏总纲!D$4:D$163,攻城基础信息!$AE$5:$AE$164,$K134)</f>
        <v>127811.46619214005</v>
      </c>
      <c r="AB134" s="12">
        <f>MIN(INDEX(其他调用!$AJ$5:$AJ$364,MATCH($K134,其他调用!$AG$5:$AG$364,0),1)/INDEX(其他调用!AH$5:AH$364,MATCH($K134,其他调用!$AG$5:$AG$364,0),0),1)*INDEX(其他调用!Y$5:Y$404,MATCH($K134,其他调用!$X$5:$X$404,0),0)</f>
        <v>37605.839370659909</v>
      </c>
      <c r="AC134" s="12">
        <f>MIN(INDEX(其他调用!$AJ$5:$AJ$364,MATCH($K134,其他调用!$AG$5:$AG$364,0),1)/INDEX(其他调用!AI$5:AI$364,MATCH($K134,其他调用!$AG$5:$AG$364,0),0),1)*INDEX(其他调用!Z$5:Z$404,MATCH($K134,其他调用!$X$5:$X$404,0),0)</f>
        <v>38755.84311176886</v>
      </c>
      <c r="AD134" s="12">
        <f>MIN(INDEX(其他调用!$AJ$5:$AJ$364,MATCH($K134,其他调用!$AG$5:$AG$364,0),1)/INDEX(其他调用!AJ$5:AJ$364,MATCH($K134,其他调用!$AG$5:$AG$364,0),0),1)*INDEX(其他调用!AA$5:AA$404,MATCH($K134,其他调用!$X$5:$X$404,0),0)</f>
        <v>40269.235995163806</v>
      </c>
      <c r="AE134" s="12">
        <f>MIN(INDEX(其他调用!$AJ$5:$AJ$364,MATCH($K134,其他调用!$AG$5:$AG$364,0),1)/INDEX(其他调用!AK$5:AK$364,MATCH($K134,其他调用!$AG$5:$AG$364,0),0),1)*INDEX(其他调用!AB$5:AB$404,MATCH($K134,其他调用!$X$5:$X$404,0),0)</f>
        <v>16127.909862054015</v>
      </c>
      <c r="AF134" s="12">
        <f>MIN(INDEX(其他调用!$AJ$5:$AJ$364,MATCH($K134,其他调用!$AG$5:$AG$364,0),1)/INDEX(其他调用!AL$5:AL$364,MATCH($K134,其他调用!$AG$5:$AG$364,0),0),1)*INDEX(其他调用!AC$5:AC$404,MATCH($K134,其他调用!$X$5:$X$404,0),0)</f>
        <v>5187.5655960216964</v>
      </c>
      <c r="AG134" s="12">
        <f>求节点(节奏总纲!D$4:D$163,标准城池设计!AE$4:AE$163,$K134)*求节点(节奏总纲!D$4:D$163,攻城基础信息!$AF$5:$AF$164,$K134)</f>
        <v>705981.9206721473</v>
      </c>
      <c r="AH134" s="12">
        <f>INDEX(其他调用!$AA$5:$AA$404,MATCH($K134,其他调用!$X$5:$X$404,0))*MIN(INDEX(其他调用!AK$5:AK$364,MATCH($K134,其他调用!$AG$5:$AG$364,0),1)/INDEX(其他调用!$AJ$5:$AJ$364,MATCH($K134,其他调用!$AG$5:$AG$364,0),0),5)*求节点(节奏总纲!D$4:D$163,攻城基础信息!$AF$5:$AF$164,$K134)</f>
        <v>336446.17165160784</v>
      </c>
      <c r="AI134" s="12">
        <f>MIN(INDEX(其他调用!$AK$5:$AK$364,MATCH($K134,其他调用!$AG$5:$AG$364,0),1)/INDEX(其他调用!AH$5:AH$364,MATCH($K134,其他调用!$AG$5:$AG$364,0),0),1)*INDEX(其他调用!Y$5:Y$404,MATCH($K134,其他调用!$X$5:$X$404,0),0)</f>
        <v>37605.839370659909</v>
      </c>
      <c r="AJ134" s="12">
        <f>MIN(INDEX(其他调用!$AK$5:$AK$364,MATCH($K134,其他调用!$AG$5:$AG$364,0),1)/INDEX(其他调用!AI$5:AI$364,MATCH($K134,其他调用!$AG$5:$AG$364,0),0),1)*INDEX(其他调用!Z$5:Z$404,MATCH($K134,其他调用!$X$5:$X$404,0),0)</f>
        <v>38755.84311176886</v>
      </c>
      <c r="AK134" s="12">
        <f>MIN(INDEX(其他调用!$AK$5:$AK$364,MATCH($K134,其他调用!$AG$5:$AG$364,0),1)/INDEX(其他调用!AJ$5:AJ$364,MATCH($K134,其他调用!$AG$5:$AG$364,0),0),1)*INDEX(其他调用!AA$5:AA$404,MATCH($K134,其他调用!$X$5:$X$404,0),0)</f>
        <v>40269.235995163806</v>
      </c>
      <c r="AL134" s="12">
        <f>MIN(INDEX(其他调用!$AK$5:$AK$364,MATCH($K134,其他调用!$AG$5:$AG$364,0),1)/INDEX(其他调用!AK$5:AK$364,MATCH($K134,其他调用!$AG$5:$AG$364,0),0),1)*INDEX(其他调用!AB$5:AB$404,MATCH($K134,其他调用!$X$5:$X$404,0),0)</f>
        <v>42454.512818693998</v>
      </c>
      <c r="AM134" s="12">
        <f>MIN(INDEX(其他调用!$AK$5:$AK$364,MATCH($K134,其他调用!$AG$5:$AG$364,0),1)/INDEX(其他调用!AL$5:AL$364,MATCH($K134,其他调用!$AG$5:$AG$364,0),0),1)*INDEX(其他调用!AC$5:AC$404,MATCH($K134,其他调用!$X$5:$X$404,0),0)</f>
        <v>13655.555616186361</v>
      </c>
      <c r="AN134" s="12">
        <f>求节点(节奏总纲!D$4:D$163,标准城池设计!AF$4:AF$163,$K134)*求节点(节奏总纲!D$4:D$163,攻城基础信息!$AG$5:$AG$164,$K134)</f>
        <v>702349.47583522904</v>
      </c>
      <c r="AO134" s="12">
        <f>INDEX(其他调用!$AA$5:$AA$404,MATCH($K134,其他调用!$X$5:$X$404,0))*MIN(INDEX(其他调用!AL$5:AL$364,MATCH($K134,其他调用!$AG$5:$AG$364,0),1)/INDEX(其他调用!$AJ$5:$AJ$364,MATCH($K134,其他调用!$AG$5:$AG$364,0),0),5)*求节点(节奏总纲!D$4:D$163,攻城基础信息!$AG$5:$AG$164,$K134)</f>
        <v>639057.33096070017</v>
      </c>
      <c r="AP134" s="12">
        <f>MIN(INDEX(其他调用!$AL$5:$AL$364,MATCH($K134,其他调用!$AG$5:$AG$364,0),1)/INDEX(其他调用!AH$5:AH$364,MATCH($K134,其他调用!$AG$5:$AG$364,0),0),1)*INDEX(其他调用!Y$5:Y$404,MATCH($K134,其他调用!$X$5:$X$404,0),0)</f>
        <v>37605.839370659909</v>
      </c>
      <c r="AQ134" s="12">
        <f>MIN(INDEX(其他调用!$AL$5:$AL$364,MATCH($K134,其他调用!$AG$5:$AG$364,0),1)/INDEX(其他调用!AI$5:AI$364,MATCH($K134,其他调用!$AG$5:$AG$364,0),0),1)*INDEX(其他调用!Z$5:Z$404,MATCH($K134,其他调用!$X$5:$X$404,0),0)</f>
        <v>38755.84311176886</v>
      </c>
      <c r="AR134" s="12">
        <f>MIN(INDEX(其他调用!$AL$5:$AL$364,MATCH($K134,其他调用!$AG$5:$AG$364,0),1)/INDEX(其他调用!AJ$5:AJ$364,MATCH($K134,其他调用!$AG$5:$AG$364,0),0),1)*INDEX(其他调用!AA$5:AA$404,MATCH($K134,其他调用!$X$5:$X$404,0),0)</f>
        <v>40269.235995163806</v>
      </c>
      <c r="AS134" s="12">
        <f>MIN(INDEX(其他调用!$AL$5:$AL$364,MATCH($K134,其他调用!$AG$5:$AG$364,0),1)/INDEX(其他调用!AK$5:AK$364,MATCH($K134,其他调用!$AG$5:$AG$364,0),0),1)*INDEX(其他调用!AB$5:AB$404,MATCH($K134,其他调用!$X$5:$X$404,0),0)</f>
        <v>42454.512818693998</v>
      </c>
      <c r="AT134" s="12">
        <f>MIN(INDEX(其他调用!$AL$5:$AL$364,MATCH($K134,其他调用!$AG$5:$AG$364,0),1)/INDEX(其他调用!AL$5:AL$364,MATCH($K134,其他调用!$AG$5:$AG$364,0),0),1)*INDEX(其他调用!AC$5:AC$404,MATCH($K134,其他调用!$X$5:$X$404,0),0)</f>
        <v>46358.456204775837</v>
      </c>
      <c r="AV134" s="14">
        <f>IF(OR(AV$5="大R",AV$5="超R"),MAX(INDEX(其他调用!$H$5:$L$404,MATCH($K134,其他调用!$B$5:$B$404,0),MATCH(AV$5,其他调用!$H$4:$L$4,0))*120*0.85,2),INDEX(其他调用!$H$5:$L$404,MATCH($K134,其他调用!$B$5:$B$404,0),MATCH(AV$5,其他调用!$H$4:$L$4,0))*120*0.85)</f>
        <v>48.921801254999991</v>
      </c>
      <c r="AW134" s="14">
        <f>IF(OR(AW$5="大R",AW$5="超R"),MAX(INDEX(其他调用!$H$5:$L$404,MATCH($K134,其他调用!$B$5:$B$404,0),MATCH(AW$5,其他调用!$H$4:$L$4,0))*120*0.85,2),INDEX(其他调用!$H$5:$L$404,MATCH($K134,其他调用!$B$5:$B$404,0),MATCH(AW$5,其他调用!$H$4:$L$4,0))*120*0.85)</f>
        <v>48.237344010638395</v>
      </c>
      <c r="AX134" s="14">
        <f>IF(OR(AX$5="大R",AX$5="超R"),MAX(INDEX(其他调用!$H$5:$L$404,MATCH($K134,其他调用!$B$5:$B$404,0),MATCH(AX$5,其他调用!$H$4:$L$4,0))*120*0.85,2),INDEX(其他调用!$H$5:$L$404,MATCH($K134,其他调用!$B$5:$B$404,0),MATCH(AX$5,其他调用!$H$4:$L$4,0))*120*0.85)</f>
        <v>3.9376284143615998</v>
      </c>
      <c r="AY134" s="14">
        <f>IF(OR(AY$5="大R",AY$5="超R"),MAX(INDEX(其他调用!$H$5:$L$404,MATCH($K134,其他调用!$B$5:$B$404,0),MATCH(AY$5,其他调用!$H$4:$L$4,0))*120*0.85,2),INDEX(其他调用!$H$5:$L$404,MATCH($K134,其他调用!$B$5:$B$404,0),MATCH(AY$5,其他调用!$H$4:$L$4,0))*120*0.85)</f>
        <v>2</v>
      </c>
      <c r="AZ134" s="14">
        <f>IF(OR(AZ$5="大R",AZ$5="超R"),MAX(INDEX(其他调用!$H$5:$L$404,MATCH($K134,其他调用!$B$5:$B$404,0),MATCH(AZ$5,其他调用!$H$4:$L$4,0))*120*0.85,2),INDEX(其他调用!$H$5:$L$404,MATCH($K134,其他调用!$B$5:$B$404,0),MATCH(AZ$5,其他调用!$H$4:$L$4,0))*120*0.85)</f>
        <v>2</v>
      </c>
      <c r="BA134" s="14">
        <f>INDEX(其他调用!$H$5:$L$404,MATCH($K134,其他调用!$B$5:$B$404,0),MATCH(BA$5,其他调用!$H$4:$L$4,0))*INDEX(其他调用!$M$5:$M$404,MATCH($K134,其他调用!$B$5:$B$404,0))*0.6</f>
        <v>28.777530149999997</v>
      </c>
      <c r="BB134" s="14">
        <f>INDEX(其他调用!$H$5:$L$404,MATCH($K134,其他调用!$B$5:$B$404,0),MATCH(BB$5,其他调用!$H$4:$L$4,0))*INDEX(其他调用!$M$5:$M$404,MATCH($K134,其他调用!$B$5:$B$404,0))*0.6</f>
        <v>28.374908241551999</v>
      </c>
      <c r="BC134" s="14">
        <f>INDEX(其他调用!$H$5:$L$404,MATCH($K134,其他调用!$B$5:$B$404,0),MATCH(BC$5,其他调用!$H$4:$L$4,0))*INDEX(其他调用!$M$5:$M$404,MATCH($K134,其他调用!$B$5:$B$404,0))*0.6</f>
        <v>2.3162520084480001</v>
      </c>
      <c r="BD134" s="14">
        <f>INDEX(其他调用!$H$5:$L$404,MATCH($K134,其他调用!$B$5:$B$404,0),MATCH(BD$5,其他调用!$H$4:$L$4,0))*INDEX(其他调用!$M$5:$M$404,MATCH($K134,其他调用!$B$5:$B$404,0))*0.6</f>
        <v>0.4120776000000001</v>
      </c>
      <c r="BE134" s="14">
        <f>INDEX(其他调用!$H$5:$L$404,MATCH($K134,其他调用!$B$5:$B$404,0),MATCH(BE$5,其他调用!$H$4:$L$4,0))*INDEX(其他调用!$M$5:$M$404,MATCH($K134,其他调用!$B$5:$B$404,0))*0.6</f>
        <v>0.11923199999999998</v>
      </c>
      <c r="BF134" s="14">
        <f>IF(OR(BF$5="大R",BF$5="超R"),0,INDEX(其他调用!$H$5:$L$404,MATCH($K134,其他调用!$B$5:$B$404,0),MATCH(BF$5,其他调用!$H$4:$L$4,0))*50*0.4)</f>
        <v>9.5925100500000013</v>
      </c>
      <c r="BG134" s="14">
        <f>IF(OR(BG$5="大R",BG$5="超R"),0,INDEX(其他调用!$H$5:$L$404,MATCH($K134,其他调用!$B$5:$B$404,0),MATCH(BG$5,其他调用!$H$4:$L$4,0))*50*0.4)</f>
        <v>9.4583027471839998</v>
      </c>
      <c r="BH134" s="14">
        <f>IF(OR(BH$5="大R",BH$5="超R"),0,INDEX(其他调用!$H$5:$L$404,MATCH($K134,其他调用!$B$5:$B$404,0),MATCH(BH$5,其他调用!$H$4:$L$4,0))*50*0.4)</f>
        <v>0.77208400281600009</v>
      </c>
      <c r="BI134" s="14">
        <f>IF(OR(BI$5="大R",BI$5="超R"),0,INDEX(其他调用!$H$5:$L$404,MATCH($K134,其他调用!$B$5:$B$404,0),MATCH(BI$5,其他调用!$H$4:$L$4,0))*50*0.4)</f>
        <v>0</v>
      </c>
      <c r="BJ134" s="14">
        <f>IF(OR(BJ$5="大R",BJ$5="超R"),0,INDEX(其他调用!$H$5:$L$404,MATCH($K134,其他调用!$B$5:$B$404,0),MATCH(BJ$5,其他调用!$H$4:$L$4,0))*50*0.4)</f>
        <v>0</v>
      </c>
      <c r="BL134" s="14">
        <f t="shared" si="208"/>
        <v>129</v>
      </c>
      <c r="BM134" s="14">
        <f t="shared" si="115"/>
        <v>96</v>
      </c>
      <c r="BN134" s="14">
        <f>('疲劳值&amp;地图信息'!$S$10*'疲劳值&amp;地图信息'!$R$10+'疲劳值&amp;地图信息'!$S$11*'疲劳值&amp;地图信息'!$R$11+'疲劳值&amp;地图信息'!$S$12*'疲劳值&amp;地图信息'!$R$12+(BM134-'疲劳值&amp;地图信息'!$S$12-'疲劳值&amp;地图信息'!$S$11-'疲劳值&amp;地图信息'!$S$10)*'疲劳值&amp;地图信息'!$R$13)/BM134</f>
        <v>51.371477246638619</v>
      </c>
      <c r="BO134" s="14">
        <f>INDEX(其他调用!$M$5:$M$404,MATCH(BL134,其他调用!$B$5:$B$404,0))*0.6</f>
        <v>60</v>
      </c>
      <c r="BP134" s="14">
        <f>IF(BO134&gt;SUM('疲劳值&amp;地图信息'!$S$10:$S$12),('疲劳值&amp;地图信息'!$S$10*'疲劳值&amp;地图信息'!$R$10+'疲劳值&amp;地图信息'!$S$11*'疲劳值&amp;地图信息'!$R$11+'疲劳值&amp;地图信息'!$S$12*'疲劳值&amp;地图信息'!$R$12+(BO134-'疲劳值&amp;地图信息'!$S$12-'疲劳值&amp;地图信息'!$S$11-'疲劳值&amp;地图信息'!$S$10)*'疲劳值&amp;地图信息'!$R$13)/BO134,('疲劳值&amp;地图信息'!$S$10*'疲劳值&amp;地图信息'!$R$10+'疲劳值&amp;地图信息'!$S$11*'疲劳值&amp;地图信息'!$R$11+'疲劳值&amp;地图信息'!$S$12*'疲劳值&amp;地图信息'!$R$12+(BO134-'疲劳值&amp;地图信息'!$S$12-'疲劳值&amp;地图信息'!$S$11-'疲劳值&amp;地图信息'!$S$10)*'疲劳值&amp;地图信息'!$R$13)/BO134)</f>
        <v>44.158136341605953</v>
      </c>
      <c r="BQ134" s="14">
        <f t="shared" si="209"/>
        <v>20</v>
      </c>
      <c r="BR134" s="14">
        <f>('疲劳值&amp;地图信息'!$S$10*'疲劳值&amp;地图信息'!$R$10+($BQ134-'疲劳值&amp;地图信息'!$S$10)*'疲劳值&amp;地图信息'!$R$11)/$BQ134</f>
        <v>32.067203015074995</v>
      </c>
      <c r="CF134" s="14">
        <v>129</v>
      </c>
      <c r="CG134" s="51">
        <f t="shared" si="116"/>
        <v>10921</v>
      </c>
      <c r="CH134" s="51">
        <f t="shared" si="117"/>
        <v>912</v>
      </c>
      <c r="CI134" s="51">
        <f>INT(SUMPRODUCT($N134:$R134,$BA134:$BE134)/SUM($BA134:$BE134)/10000*$BX$7*$BZ$34/'疲劳值&amp;地图信息'!$R$10*$BY$53)</f>
        <v>3017</v>
      </c>
      <c r="CJ134" s="50">
        <f t="shared" si="118"/>
        <v>0.73542087542087542</v>
      </c>
      <c r="CK134" s="50">
        <f t="shared" si="119"/>
        <v>6.1414141414141414E-2</v>
      </c>
      <c r="CL134" s="50">
        <f t="shared" si="120"/>
        <v>0.20316498316498316</v>
      </c>
      <c r="CM134" s="14">
        <f t="shared" si="121"/>
        <v>11727</v>
      </c>
      <c r="CN134" s="14">
        <f t="shared" si="122"/>
        <v>1503</v>
      </c>
      <c r="CO134" s="14">
        <f>INT(SUMPRODUCT($U134:$Y134,$BA134:$BE134)/SUM($BA134:$BE134)/10000*$BX$7*$BZ$34/'疲劳值&amp;地图信息'!$R$10*$BY$54)</f>
        <v>5681</v>
      </c>
      <c r="CP134" s="50">
        <f t="shared" si="123"/>
        <v>0.62011527682301304</v>
      </c>
      <c r="CQ134" s="50">
        <f t="shared" si="124"/>
        <v>7.947755274707842E-2</v>
      </c>
      <c r="CR134" s="50">
        <f t="shared" si="125"/>
        <v>0.3004071704299085</v>
      </c>
      <c r="CS134" s="14">
        <f t="shared" si="126"/>
        <v>12588</v>
      </c>
      <c r="CT134" s="14">
        <f t="shared" si="127"/>
        <v>2604</v>
      </c>
      <c r="CU134" s="14">
        <f>INT(SUMPRODUCT($AB134:$AF134,$BA134:$BE134)/SUM($BA134:$BE134)/10000*$BX$7*$BZ$34/'疲劳值&amp;地图信息'!$R$10*$BY$55)</f>
        <v>7719</v>
      </c>
      <c r="CV134" s="50">
        <f t="shared" si="128"/>
        <v>0.54943040460913972</v>
      </c>
      <c r="CW134" s="50">
        <f t="shared" si="129"/>
        <v>0.11365719523373052</v>
      </c>
      <c r="CX134" s="50">
        <f t="shared" si="130"/>
        <v>0.33691240015712975</v>
      </c>
      <c r="CY134" s="14">
        <f t="shared" si="131"/>
        <v>14388</v>
      </c>
      <c r="CZ134" s="14">
        <f t="shared" si="132"/>
        <v>6857</v>
      </c>
      <c r="DA134" s="14">
        <f>INT(SUMPRODUCT($AI134:$AM134,$BA134:$BE134)/SUM($BA134:$BE134)/10000*$BX$7*$BZ$34/'疲劳值&amp;地图信息'!$R$10*$BY$56)</f>
        <v>11639</v>
      </c>
      <c r="DB134" s="50">
        <f t="shared" si="133"/>
        <v>0.43753801240724971</v>
      </c>
      <c r="DC134" s="50">
        <f t="shared" si="134"/>
        <v>0.20852086120909866</v>
      </c>
      <c r="DD134" s="50">
        <f t="shared" si="135"/>
        <v>0.35394112638365161</v>
      </c>
      <c r="DE134" s="14">
        <f t="shared" si="136"/>
        <v>14314</v>
      </c>
      <c r="DF134" s="14">
        <f t="shared" si="137"/>
        <v>13024</v>
      </c>
      <c r="DG134" s="14">
        <f>INT(SUMPRODUCT($AP134:$AT134,$BA134:$BE134)/SUM($BA134:$BE134)/10000*$BX$7*$BZ$34/'疲劳值&amp;地图信息'!$R$10*$BY$57)</f>
        <v>15546</v>
      </c>
      <c r="DH134" s="50">
        <f t="shared" si="138"/>
        <v>0.33378416192519356</v>
      </c>
      <c r="DI134" s="50">
        <f t="shared" si="139"/>
        <v>0.30370301277865869</v>
      </c>
      <c r="DJ134" s="50">
        <f t="shared" si="140"/>
        <v>0.36251282529614776</v>
      </c>
      <c r="DL134" s="14">
        <f t="shared" si="211"/>
        <v>14850</v>
      </c>
      <c r="DM134" s="14">
        <f t="shared" si="212"/>
        <v>18911</v>
      </c>
      <c r="DN134" s="14">
        <f t="shared" si="213"/>
        <v>22911</v>
      </c>
      <c r="DO134" s="14">
        <f t="shared" si="214"/>
        <v>32884</v>
      </c>
      <c r="DP134" s="14">
        <f t="shared" si="215"/>
        <v>42884</v>
      </c>
      <c r="DQ134" s="14">
        <f t="shared" si="216"/>
        <v>1035675</v>
      </c>
      <c r="DT134" s="14">
        <f t="shared" si="210"/>
        <v>235575</v>
      </c>
      <c r="DU134" s="50">
        <f t="shared" ref="DU134:DU197" si="217">DT134/(DQ134+DT134)</f>
        <v>0.18530973451327434</v>
      </c>
      <c r="DW134" s="14">
        <f t="shared" si="141"/>
        <v>1271250</v>
      </c>
      <c r="EB134" s="14">
        <v>129</v>
      </c>
      <c r="EC134" s="51">
        <f t="shared" si="142"/>
        <v>18203</v>
      </c>
      <c r="ED134" s="51">
        <f t="shared" si="143"/>
        <v>1520</v>
      </c>
      <c r="EE134" s="51">
        <f>INT(SUMPRODUCT($N134:$R134,$BF134:$BJ134)/SUM($BF134:$BJ134)/10000*$BX$7*$BZ$46/'疲劳值&amp;地图信息'!$R$10*$BY$53)</f>
        <v>405</v>
      </c>
      <c r="EF134" s="50">
        <f t="shared" si="144"/>
        <v>0.90436208267090623</v>
      </c>
      <c r="EG134" s="50">
        <f t="shared" si="145"/>
        <v>7.5516693163751994E-2</v>
      </c>
      <c r="EH134" s="50">
        <f t="shared" si="146"/>
        <v>2.0121224165341813E-2</v>
      </c>
      <c r="EI134" s="51">
        <f t="shared" si="147"/>
        <v>19545</v>
      </c>
      <c r="EJ134" s="51">
        <f t="shared" si="148"/>
        <v>2506</v>
      </c>
      <c r="EK134" s="14">
        <f>INT(SUMPRODUCT($U134:$Y134,$BF134:$BJ134)/SUM($BF134:$BJ134)/10000*$BX$7*$BZ$46/'疲劳值&amp;地图信息'!$R$10*$BY$54)</f>
        <v>762</v>
      </c>
      <c r="EL134" s="50">
        <f t="shared" si="149"/>
        <v>0.85674834524174814</v>
      </c>
      <c r="EM134" s="50">
        <f t="shared" si="150"/>
        <v>0.10984964713102179</v>
      </c>
      <c r="EN134" s="50">
        <f t="shared" si="151"/>
        <v>3.3402007627230085E-2</v>
      </c>
      <c r="EO134" s="51">
        <f t="shared" si="152"/>
        <v>20980</v>
      </c>
      <c r="EP134" s="51">
        <f t="shared" si="153"/>
        <v>4341</v>
      </c>
      <c r="EQ134" s="14">
        <f>INT(SUMPRODUCT($AB134:$AF134,$BF134:$BJ134)/SUM($BF134:$BJ134)/10000*$BX$7*$BZ$46/'疲劳值&amp;地图信息'!$R$10*$BY$55)</f>
        <v>1035</v>
      </c>
      <c r="ER134" s="50">
        <f t="shared" si="154"/>
        <v>0.79602367582334188</v>
      </c>
      <c r="ES134" s="50">
        <f t="shared" si="155"/>
        <v>0.16470632872970101</v>
      </c>
      <c r="ET134" s="50">
        <f t="shared" si="156"/>
        <v>3.926999544695705E-2</v>
      </c>
      <c r="EU134" s="51">
        <f t="shared" si="157"/>
        <v>23981</v>
      </c>
      <c r="EV134" s="51">
        <f t="shared" si="158"/>
        <v>11428</v>
      </c>
      <c r="EW134" s="14">
        <f>INT(SUMPRODUCT($AI134:$AM134,$BF134:$BJ134)/SUM($BF134:$BJ134)/10000*$BX$7*$BZ$46/'疲劳值&amp;地图信息'!$R$10*$BY$56)</f>
        <v>1552</v>
      </c>
      <c r="EX134" s="50">
        <f t="shared" si="159"/>
        <v>0.64881902545926784</v>
      </c>
      <c r="EY134" s="50">
        <f t="shared" si="160"/>
        <v>0.30919076864803441</v>
      </c>
      <c r="EZ134" s="50">
        <f t="shared" si="161"/>
        <v>4.199020589269771E-2</v>
      </c>
      <c r="FA134" s="51">
        <f t="shared" si="162"/>
        <v>23857</v>
      </c>
      <c r="FB134" s="51">
        <f t="shared" si="163"/>
        <v>21708</v>
      </c>
      <c r="FC134" s="14">
        <f>INT(SUMPRODUCT($AP134:$AT134,$BF134:$BJ134)/SUM($BF134:$BJ134)/10000*$BX$7*$BZ$46/'疲劳值&amp;地图信息'!$R$10*$BY$57)</f>
        <v>2070</v>
      </c>
      <c r="FD134" s="50">
        <f t="shared" si="164"/>
        <v>0.50082922221055948</v>
      </c>
      <c r="FE134" s="50">
        <f t="shared" si="165"/>
        <v>0.45571533536265352</v>
      </c>
      <c r="FF134" s="50">
        <f t="shared" si="166"/>
        <v>4.3455442426787026E-2</v>
      </c>
      <c r="FH134" s="14">
        <f t="shared" si="167"/>
        <v>20128</v>
      </c>
      <c r="FI134" s="14">
        <f t="shared" si="168"/>
        <v>22813</v>
      </c>
      <c r="FJ134" s="14">
        <f t="shared" si="169"/>
        <v>26356</v>
      </c>
      <c r="FK134" s="14">
        <f t="shared" si="170"/>
        <v>36961</v>
      </c>
      <c r="FL134" s="14">
        <f t="shared" si="171"/>
        <v>47635</v>
      </c>
      <c r="FM134" s="14">
        <f t="shared" si="172"/>
        <v>2358108</v>
      </c>
      <c r="FP134" s="14">
        <f t="shared" si="173"/>
        <v>334150</v>
      </c>
      <c r="FQ134" s="50">
        <f t="shared" ref="FQ134:FQ197" si="218">FP134/(FM134+FP134)</f>
        <v>0.12411514795387367</v>
      </c>
      <c r="FS134" s="14">
        <f t="shared" si="174"/>
        <v>2692258</v>
      </c>
      <c r="FX134" s="14">
        <v>129</v>
      </c>
      <c r="FY134" s="51">
        <f t="shared" si="175"/>
        <v>25484</v>
      </c>
      <c r="FZ134" s="51">
        <f t="shared" si="176"/>
        <v>1520</v>
      </c>
      <c r="GA134" s="51">
        <f>INT(SUMPRODUCT($N134:$R134,$BF134:$BJ134)/SUM($BF134:$BJ134)/10000*$BX$7*$BZ$46/'疲劳值&amp;地图信息'!$R$10*$BY$53)</f>
        <v>405</v>
      </c>
      <c r="GB134" s="50">
        <f t="shared" si="177"/>
        <v>0.92976759458572</v>
      </c>
      <c r="GC134" s="50">
        <f t="shared" si="178"/>
        <v>5.5456237002444453E-2</v>
      </c>
      <c r="GD134" s="50">
        <f t="shared" si="179"/>
        <v>1.4776168411835528E-2</v>
      </c>
      <c r="GE134" s="51">
        <f t="shared" si="180"/>
        <v>27363</v>
      </c>
      <c r="GF134" s="51">
        <f t="shared" si="181"/>
        <v>2506</v>
      </c>
      <c r="GG134" s="14">
        <f>INT(SUMPRODUCT($U134:$Y134,$BF134:$BJ134)/SUM($BF134:$BJ134)/10000*$BX$7*$BZ$46/'疲劳值&amp;地图信息'!$R$10*$BY$54)</f>
        <v>762</v>
      </c>
      <c r="GH134" s="50">
        <f t="shared" si="182"/>
        <v>0.89331069831216736</v>
      </c>
      <c r="GI134" s="50">
        <f t="shared" si="183"/>
        <v>8.1812542848748004E-2</v>
      </c>
      <c r="GJ134" s="50">
        <f t="shared" si="184"/>
        <v>2.4876758839084589E-2</v>
      </c>
      <c r="GK134" s="51">
        <f t="shared" si="185"/>
        <v>29372</v>
      </c>
      <c r="GL134" s="51">
        <f t="shared" si="186"/>
        <v>4341</v>
      </c>
      <c r="GM134" s="14">
        <f>INT(SUMPRODUCT($AB134:$AF134,$BF134:$BJ134)/SUM($BF134:$BJ134)/10000*$BX$7*$BZ$46/'疲劳值&amp;地图信息'!$R$10*$BY$55)</f>
        <v>1035</v>
      </c>
      <c r="GN134" s="50">
        <f t="shared" si="187"/>
        <v>0.84528605962933123</v>
      </c>
      <c r="GO134" s="50">
        <f t="shared" si="188"/>
        <v>0.12492805341314608</v>
      </c>
      <c r="GP134" s="50">
        <f t="shared" si="189"/>
        <v>2.9785886957522736E-2</v>
      </c>
      <c r="GQ134" s="51">
        <f t="shared" si="190"/>
        <v>33573</v>
      </c>
      <c r="GR134" s="51">
        <f t="shared" si="191"/>
        <v>11428</v>
      </c>
      <c r="GS134" s="14">
        <f>INT(SUMPRODUCT($AI134:$AM134,$BF134:$BJ134)/SUM($BF134:$BJ134)/10000*$BX$7*$BZ$46/'疲劳值&amp;地图信息'!$R$10*$BY$56)</f>
        <v>1552</v>
      </c>
      <c r="GT134" s="50">
        <f t="shared" si="192"/>
        <v>0.72117801215818533</v>
      </c>
      <c r="GU134" s="50">
        <f t="shared" si="193"/>
        <v>0.245483642300174</v>
      </c>
      <c r="GV134" s="50">
        <f t="shared" si="194"/>
        <v>3.333834554164071E-2</v>
      </c>
      <c r="GW134" s="51">
        <f t="shared" si="195"/>
        <v>33401</v>
      </c>
      <c r="GX134" s="51">
        <f t="shared" si="196"/>
        <v>21708</v>
      </c>
      <c r="GY134" s="14">
        <f>INT(SUMPRODUCT($AP134:$AT134,$BF134:$BJ134)/SUM($BF134:$BJ134)/10000*$BX$7*$BZ$46/'疲劳值&amp;地图信息'!$R$10*$BY$57)</f>
        <v>2070</v>
      </c>
      <c r="GZ134" s="50">
        <f t="shared" si="197"/>
        <v>0.58414802637331886</v>
      </c>
      <c r="HA134" s="50">
        <f t="shared" si="198"/>
        <v>0.37964987145630391</v>
      </c>
      <c r="HB134" s="50">
        <f t="shared" si="199"/>
        <v>3.6202102170377233E-2</v>
      </c>
      <c r="HD134" s="14">
        <f t="shared" si="200"/>
        <v>27409</v>
      </c>
      <c r="HE134" s="14">
        <f t="shared" si="201"/>
        <v>30631</v>
      </c>
      <c r="HF134" s="14">
        <f t="shared" si="202"/>
        <v>34748</v>
      </c>
      <c r="HG134" s="14">
        <f t="shared" si="203"/>
        <v>46553</v>
      </c>
      <c r="HH134" s="14">
        <f t="shared" si="204"/>
        <v>57179</v>
      </c>
      <c r="HI134" s="14">
        <f t="shared" si="205"/>
        <v>3162744</v>
      </c>
      <c r="HL134" s="14">
        <f t="shared" si="206"/>
        <v>430050</v>
      </c>
      <c r="HM134" s="50">
        <f t="shared" ref="HM134:HM197" si="219">HL134/(HI134+HL134)</f>
        <v>0.11969792868725565</v>
      </c>
      <c r="HO134" s="14">
        <f t="shared" si="207"/>
        <v>3592794</v>
      </c>
    </row>
    <row r="135" spans="11:223" x14ac:dyDescent="0.2">
      <c r="K135" s="14">
        <v>130</v>
      </c>
      <c r="L135" s="12">
        <f>求节点(节奏总纲!D$4:D$163,标准城池设计!AB$4:AB$163,$K135)*求节点(节奏总纲!D$4:D$163,攻城基础信息!$AC$5:$AC$164,$K135)</f>
        <v>537591.96118971473</v>
      </c>
      <c r="M135" s="12">
        <f>INDEX(其他调用!$AA$5:$AA$404,MATCH(K135,其他调用!$X$5:$X$404,0))*MIN(INDEX(其他调用!$AH$5:$AH$364,MATCH('征服点（新）'!K135,其他调用!$AG$5:$AG$364,0),1)/INDEX(其他调用!$AJ$5:$AJ$364,MATCH(K135,其他调用!$AG$5:$AG$364,0),0),5)*求节点(节奏总纲!D$4:D$163,攻城基础信息!$AC$5:$AC$164,$K135)</f>
        <v>44811.479319258688</v>
      </c>
      <c r="N135" s="12">
        <f>MIN(INDEX(其他调用!$AH$5:$AH$364,MATCH($K135,其他调用!$AG$5:$AG$364,0),1)/INDEX(其他调用!AH$5:AH$364,MATCH($K135,其他调用!$AG$5:$AG$364,0),0),1)*INDEX(其他调用!Y$5:Y$404,MATCH($K135,其他调用!$X$5:$X$404,0),0)</f>
        <v>37650.201513585271</v>
      </c>
      <c r="O135" s="12">
        <f>MIN(INDEX(其他调用!$AH$5:$AH$364,MATCH($K135,其他调用!$AG$5:$AG$364,0),1)/INDEX(其他调用!AI$5:AI$364,MATCH($K135,其他调用!$AG$5:$AG$364,0),0),1)*INDEX(其他调用!Z$5:Z$404,MATCH($K135,其他调用!$X$5:$X$404,0),0)</f>
        <v>23533.690089781681</v>
      </c>
      <c r="P135" s="12">
        <f>MIN(INDEX(其他调用!$AH$5:$AH$364,MATCH($K135,其他调用!$AG$5:$AG$364,0),1)/INDEX(其他调用!AJ$5:AJ$364,MATCH($K135,其他调用!$AG$5:$AG$364,0),0),1)*INDEX(其他调用!AA$5:AA$404,MATCH($K135,其他调用!$X$5:$X$404,0),0)</f>
        <v>14102.518175468047</v>
      </c>
      <c r="Q135" s="12">
        <f>MIN(INDEX(其他调用!$AH$5:$AH$364,MATCH($K135,其他调用!$AG$5:$AG$364,0),1)/INDEX(其他调用!AK$5:AK$364,MATCH($K135,其他调用!$AG$5:$AG$364,0),0),1)*INDEX(其他调用!AB$5:AB$404,MATCH($K135,其他调用!$X$5:$X$404,0),0)</f>
        <v>5649.2677132821073</v>
      </c>
      <c r="R135" s="12">
        <f>MIN(INDEX(其他调用!$AH$5:$AH$364,MATCH($K135,其他调用!$AG$5:$AG$364,0),1)/INDEX(其他调用!AL$5:AL$364,MATCH($K135,其他调用!$AG$5:$AG$364,0),0),1)*INDEX(其他调用!AC$5:AC$404,MATCH($K135,其他调用!$X$5:$X$404,0),0)</f>
        <v>1819.5297871268106</v>
      </c>
      <c r="S135" s="12">
        <f>求节点(节奏总纲!D$4:D$163,标准城池设计!AC$4:AC$163,$K135)*求节点(节奏总纲!D$4:D$163,攻城基础信息!$AD$5:$AD$164,$K135)</f>
        <v>577344.11365312024</v>
      </c>
      <c r="T135" s="12">
        <f>INDEX(其他调用!$AA$5:$AA$404,MATCH($K135,其他调用!$X$5:$X$404,0))*MIN(INDEX(其他调用!AI$5:AI$364,MATCH($K135,其他调用!$AG$5:$AG$364,0),1)/INDEX(其他调用!$AJ$5:$AJ$364,MATCH($K135,其他调用!$AG$5:$AG$364,0),0),5)*求节点(节奏总纲!D$4:D$163,攻城基础信息!$AD$5:$AD$164,$K135)</f>
        <v>73879.926996766182</v>
      </c>
      <c r="U135" s="12">
        <f>MIN(INDEX(其他调用!$AI$5:$AI$364,MATCH($K135,其他调用!$AG$5:$AG$364,0),1)/INDEX(其他调用!AH$5:AH$364,MATCH($K135,其他调用!$AG$5:$AG$364,0),0),1)*INDEX(其他调用!Y$5:Y$404,MATCH($K135,其他调用!$X$5:$X$404,0),0)</f>
        <v>37650.201513585271</v>
      </c>
      <c r="V135" s="12">
        <f>MIN(INDEX(其他调用!$AI$5:$AI$364,MATCH($K135,其他调用!$AG$5:$AG$364,0),1)/INDEX(其他调用!AI$5:AI$364,MATCH($K135,其他调用!$AG$5:$AG$364,0),0),1)*INDEX(其他调用!Z$5:Z$404,MATCH($K135,其他调用!$X$5:$X$404,0),0)</f>
        <v>38799.596268859648</v>
      </c>
      <c r="W135" s="12">
        <f>MIN(INDEX(其他调用!$AI$5:$AI$364,MATCH($K135,其他调用!$AG$5:$AG$364,0),1)/INDEX(其他调用!AJ$5:AJ$364,MATCH($K135,其他调用!$AG$5:$AG$364,0),0),1)*INDEX(其他调用!AA$5:AA$404,MATCH($K135,其他调用!$X$5:$X$404,0),0)</f>
        <v>23250.582866305238</v>
      </c>
      <c r="X135" s="12">
        <f>MIN(INDEX(其他调用!$AI$5:$AI$364,MATCH($K135,其他调用!$AG$5:$AG$364,0),1)/INDEX(其他调用!AK$5:AK$364,MATCH($K135,其他调用!$AG$5:$AG$364,0),0),1)*INDEX(其他调用!AB$5:AB$404,MATCH($K135,其他调用!$X$5:$X$404,0),0)</f>
        <v>9313.8519991483026</v>
      </c>
      <c r="Y135" s="12">
        <f>MIN(INDEX(其他调用!$AI$5:$AI$364,MATCH($K135,其他调用!$AG$5:$AG$364,0),1)/INDEX(其他调用!AL$5:AL$364,MATCH($K135,其他调用!$AG$5:$AG$364,0),0),1)*INDEX(其他调用!AC$5:AC$404,MATCH($K135,其他调用!$X$5:$X$404,0),0)</f>
        <v>2999.8279432742925</v>
      </c>
      <c r="Z135" s="12">
        <f>求节点(节奏总纲!D$4:D$163,标准城池设计!AD$4:AD$163,$K135)*求节点(节奏总纲!D$4:D$163,攻城基础信息!$AE$5:$AE$164,$K135)</f>
        <v>619530.76159555989</v>
      </c>
      <c r="AA135" s="12">
        <f>INDEX(其他调用!$AA$5:$AA$404,MATCH($K135,其他调用!$X$5:$X$404,0))*MIN(INDEX(其他调用!AJ$5:AJ$364,MATCH($K135,其他调用!$AG$5:$AG$364,0),1)/INDEX(其他调用!$AJ$5:$AJ$364,MATCH($K135,其他调用!$AG$5:$AG$364,0),0),5)*求节点(节奏总纲!D$4:D$163,攻城基础信息!$AE$5:$AE$164,$K135)</f>
        <v>128094.50562425971</v>
      </c>
      <c r="AB135" s="12">
        <f>MIN(INDEX(其他调用!$AJ$5:$AJ$364,MATCH($K135,其他调用!$AG$5:$AG$364,0),1)/INDEX(其他调用!AH$5:AH$364,MATCH($K135,其他调用!$AG$5:$AG$364,0),0),1)*INDEX(其他调用!Y$5:Y$404,MATCH($K135,其他调用!$X$5:$X$404,0),0)</f>
        <v>37650.201513585271</v>
      </c>
      <c r="AC135" s="12">
        <f>MIN(INDEX(其他调用!$AJ$5:$AJ$364,MATCH($K135,其他调用!$AG$5:$AG$364,0),1)/INDEX(其他调用!AI$5:AI$364,MATCH($K135,其他调用!$AG$5:$AG$364,0),0),1)*INDEX(其他调用!Z$5:Z$404,MATCH($K135,其他调用!$X$5:$X$404,0),0)</f>
        <v>38799.596268859648</v>
      </c>
      <c r="AD135" s="12">
        <f>MIN(INDEX(其他调用!$AJ$5:$AJ$364,MATCH($K135,其他调用!$AG$5:$AG$364,0),1)/INDEX(其他调用!AJ$5:AJ$364,MATCH($K135,其他调用!$AG$5:$AG$364,0),0),1)*INDEX(其他调用!AA$5:AA$404,MATCH($K135,其他调用!$X$5:$X$404,0),0)</f>
        <v>40312.328920758344</v>
      </c>
      <c r="AE135" s="12">
        <f>MIN(INDEX(其他调用!$AJ$5:$AJ$364,MATCH($K135,其他调用!$AG$5:$AG$364,0),1)/INDEX(其他调用!AK$5:AK$364,MATCH($K135,其他调用!$AG$5:$AG$364,0),0),1)*INDEX(其他调用!AB$5:AB$404,MATCH($K135,其他调用!$X$5:$X$404,0),0)</f>
        <v>16148.544209317453</v>
      </c>
      <c r="AF135" s="12">
        <f>MIN(INDEX(其他调用!$AJ$5:$AJ$364,MATCH($K135,其他调用!$AG$5:$AG$364,0),1)/INDEX(其他调用!AL$5:AL$364,MATCH($K135,其他调用!$AG$5:$AG$364,0),0),1)*INDEX(其他调用!AC$5:AC$404,MATCH($K135,其他调用!$X$5:$X$404,0),0)</f>
        <v>5201.1621149595867</v>
      </c>
      <c r="AG135" s="12">
        <f>求节点(节奏总纲!D$4:D$163,标准城池设计!AE$4:AE$163,$K135)*求节点(节奏总纲!D$4:D$163,攻城基础信息!$AF$5:$AF$164,$K135)</f>
        <v>708297.65056724998</v>
      </c>
      <c r="AH135" s="12">
        <f>INDEX(其他调用!$AA$5:$AA$404,MATCH($K135,其他调用!$X$5:$X$404,0))*MIN(INDEX(其他调用!AK$5:AK$364,MATCH($K135,其他调用!$AG$5:$AG$364,0),1)/INDEX(其他调用!$AJ$5:$AJ$364,MATCH($K135,其他调用!$AG$5:$AG$364,0),0),5)*求节点(节奏总纲!D$4:D$163,攻城基础信息!$AF$5:$AF$164,$K135)</f>
        <v>337133.04806621873</v>
      </c>
      <c r="AI135" s="12">
        <f>MIN(INDEX(其他调用!$AK$5:$AK$364,MATCH($K135,其他调用!$AG$5:$AG$364,0),1)/INDEX(其他调用!AH$5:AH$364,MATCH($K135,其他调用!$AG$5:$AG$364,0),0),1)*INDEX(其他调用!Y$5:Y$404,MATCH($K135,其他调用!$X$5:$X$404,0),0)</f>
        <v>37650.201513585271</v>
      </c>
      <c r="AJ135" s="12">
        <f>MIN(INDEX(其他调用!$AK$5:$AK$364,MATCH($K135,其他调用!$AG$5:$AG$364,0),1)/INDEX(其他调用!AI$5:AI$364,MATCH($K135,其他调用!$AG$5:$AG$364,0),0),1)*INDEX(其他调用!Z$5:Z$404,MATCH($K135,其他调用!$X$5:$X$404,0),0)</f>
        <v>38799.596268859648</v>
      </c>
      <c r="AK135" s="12">
        <f>MIN(INDEX(其他调用!$AK$5:$AK$364,MATCH($K135,其他调用!$AG$5:$AG$364,0),1)/INDEX(其他调用!AJ$5:AJ$364,MATCH($K135,其他调用!$AG$5:$AG$364,0),0),1)*INDEX(其他调用!AA$5:AA$404,MATCH($K135,其他调用!$X$5:$X$404,0),0)</f>
        <v>40312.328920758344</v>
      </c>
      <c r="AL135" s="12">
        <f>MIN(INDEX(其他调用!$AK$5:$AK$364,MATCH($K135,其他调用!$AG$5:$AG$364,0),1)/INDEX(其他调用!AK$5:AK$364,MATCH($K135,其他调用!$AG$5:$AG$364,0),0),1)*INDEX(其他调用!AB$5:AB$404,MATCH($K135,其他调用!$X$5:$X$404,0),0)</f>
        <v>42501.494537859442</v>
      </c>
      <c r="AM135" s="12">
        <f>MIN(INDEX(其他调用!$AK$5:$AK$364,MATCH($K135,其他调用!$AG$5:$AG$364,0),1)/INDEX(其他调用!AL$5:AL$364,MATCH($K135,其他调用!$AG$5:$AG$364,0),0),1)*INDEX(其他调用!AC$5:AC$404,MATCH($K135,其他调用!$X$5:$X$404,0),0)</f>
        <v>13688.983994726277</v>
      </c>
      <c r="AN135" s="12">
        <f>求节点(节奏总纲!D$4:D$163,标准城池设计!AF$4:AF$163,$K135)*求节点(节奏总纲!D$4:D$163,攻城基础信息!$AG$5:$AG$164,$K135)</f>
        <v>705169.9430445563</v>
      </c>
      <c r="AO135" s="12">
        <f>INDEX(其他调用!$AA$5:$AA$404,MATCH($K135,其他调用!$X$5:$X$404,0))*MIN(INDEX(其他调用!AL$5:AL$364,MATCH($K135,其他调用!$AG$5:$AG$364,0),1)/INDEX(其他调用!$AJ$5:$AJ$364,MATCH($K135,其他调用!$AG$5:$AG$364,0),0),5)*求节点(节奏总纲!D$4:D$163,攻城基础信息!$AG$5:$AG$164,$K135)</f>
        <v>640472.52812129853</v>
      </c>
      <c r="AP135" s="12">
        <f>MIN(INDEX(其他调用!$AL$5:$AL$364,MATCH($K135,其他调用!$AG$5:$AG$364,0),1)/INDEX(其他调用!AH$5:AH$364,MATCH($K135,其他调用!$AG$5:$AG$364,0),0),1)*INDEX(其他调用!Y$5:Y$404,MATCH($K135,其他调用!$X$5:$X$404,0),0)</f>
        <v>37650.201513585271</v>
      </c>
      <c r="AQ135" s="12">
        <f>MIN(INDEX(其他调用!$AL$5:$AL$364,MATCH($K135,其他调用!$AG$5:$AG$364,0),1)/INDEX(其他调用!AI$5:AI$364,MATCH($K135,其他调用!$AG$5:$AG$364,0),0),1)*INDEX(其他调用!Z$5:Z$404,MATCH($K135,其他调用!$X$5:$X$404,0),0)</f>
        <v>38799.596268859648</v>
      </c>
      <c r="AR135" s="12">
        <f>MIN(INDEX(其他调用!$AL$5:$AL$364,MATCH($K135,其他调用!$AG$5:$AG$364,0),1)/INDEX(其他调用!AJ$5:AJ$364,MATCH($K135,其他调用!$AG$5:$AG$364,0),0),1)*INDEX(其他调用!AA$5:AA$404,MATCH($K135,其他调用!$X$5:$X$404,0),0)</f>
        <v>40312.328920758344</v>
      </c>
      <c r="AS135" s="12">
        <f>MIN(INDEX(其他调用!$AL$5:$AL$364,MATCH($K135,其他调用!$AG$5:$AG$364,0),1)/INDEX(其他调用!AK$5:AK$364,MATCH($K135,其他调用!$AG$5:$AG$364,0),0),1)*INDEX(其他调用!AB$5:AB$404,MATCH($K135,其他调用!$X$5:$X$404,0),0)</f>
        <v>42501.494537859442</v>
      </c>
      <c r="AT135" s="12">
        <f>MIN(INDEX(其他调用!$AL$5:$AL$364,MATCH($K135,其他调用!$AG$5:$AG$364,0),1)/INDEX(其他调用!AL$5:AL$364,MATCH($K135,其他调用!$AG$5:$AG$364,0),0),1)*INDEX(其他调用!AC$5:AC$404,MATCH($K135,其他调用!$X$5:$X$404,0),0)</f>
        <v>46406.713595107518</v>
      </c>
      <c r="AV135" s="14">
        <f>IF(OR(AV$5="大R",AV$5="超R"),MAX(INDEX(其他调用!$H$5:$L$404,MATCH($K135,其他调用!$B$5:$B$404,0),MATCH(AV$5,其他调用!$H$4:$L$4,0))*120*0.85,2),INDEX(其他调用!$H$5:$L$404,MATCH($K135,其他调用!$B$5:$B$404,0),MATCH(AV$5,其他调用!$H$4:$L$4,0))*120*0.85)</f>
        <v>48.921801254999991</v>
      </c>
      <c r="AW135" s="14">
        <f>IF(OR(AW$5="大R",AW$5="超R"),MAX(INDEX(其他调用!$H$5:$L$404,MATCH($K135,其他调用!$B$5:$B$404,0),MATCH(AW$5,其他调用!$H$4:$L$4,0))*120*0.85,2),INDEX(其他调用!$H$5:$L$404,MATCH($K135,其他调用!$B$5:$B$404,0),MATCH(AW$5,其他调用!$H$4:$L$4,0))*120*0.85)</f>
        <v>48.237344010638395</v>
      </c>
      <c r="AX135" s="14">
        <f>IF(OR(AX$5="大R",AX$5="超R"),MAX(INDEX(其他调用!$H$5:$L$404,MATCH($K135,其他调用!$B$5:$B$404,0),MATCH(AX$5,其他调用!$H$4:$L$4,0))*120*0.85,2),INDEX(其他调用!$H$5:$L$404,MATCH($K135,其他调用!$B$5:$B$404,0),MATCH(AX$5,其他调用!$H$4:$L$4,0))*120*0.85)</f>
        <v>3.9376284143615998</v>
      </c>
      <c r="AY135" s="14">
        <f>IF(OR(AY$5="大R",AY$5="超R"),MAX(INDEX(其他调用!$H$5:$L$404,MATCH($K135,其他调用!$B$5:$B$404,0),MATCH(AY$5,其他调用!$H$4:$L$4,0))*120*0.85,2),INDEX(其他调用!$H$5:$L$404,MATCH($K135,其他调用!$B$5:$B$404,0),MATCH(AY$5,其他调用!$H$4:$L$4,0))*120*0.85)</f>
        <v>2</v>
      </c>
      <c r="AZ135" s="14">
        <f>IF(OR(AZ$5="大R",AZ$5="超R"),MAX(INDEX(其他调用!$H$5:$L$404,MATCH($K135,其他调用!$B$5:$B$404,0),MATCH(AZ$5,其他调用!$H$4:$L$4,0))*120*0.85,2),INDEX(其他调用!$H$5:$L$404,MATCH($K135,其他调用!$B$5:$B$404,0),MATCH(AZ$5,其他调用!$H$4:$L$4,0))*120*0.85)</f>
        <v>2</v>
      </c>
      <c r="BA135" s="14">
        <f>INDEX(其他调用!$H$5:$L$404,MATCH($K135,其他调用!$B$5:$B$404,0),MATCH(BA$5,其他调用!$H$4:$L$4,0))*INDEX(其他调用!$M$5:$M$404,MATCH($K135,其他调用!$B$5:$B$404,0))*0.6</f>
        <v>28.777530149999997</v>
      </c>
      <c r="BB135" s="14">
        <f>INDEX(其他调用!$H$5:$L$404,MATCH($K135,其他调用!$B$5:$B$404,0),MATCH(BB$5,其他调用!$H$4:$L$4,0))*INDEX(其他调用!$M$5:$M$404,MATCH($K135,其他调用!$B$5:$B$404,0))*0.6</f>
        <v>28.374908241551999</v>
      </c>
      <c r="BC135" s="14">
        <f>INDEX(其他调用!$H$5:$L$404,MATCH($K135,其他调用!$B$5:$B$404,0),MATCH(BC$5,其他调用!$H$4:$L$4,0))*INDEX(其他调用!$M$5:$M$404,MATCH($K135,其他调用!$B$5:$B$404,0))*0.6</f>
        <v>2.3162520084480001</v>
      </c>
      <c r="BD135" s="14">
        <f>INDEX(其他调用!$H$5:$L$404,MATCH($K135,其他调用!$B$5:$B$404,0),MATCH(BD$5,其他调用!$H$4:$L$4,0))*INDEX(其他调用!$M$5:$M$404,MATCH($K135,其他调用!$B$5:$B$404,0))*0.6</f>
        <v>0.4120776000000001</v>
      </c>
      <c r="BE135" s="14">
        <f>INDEX(其他调用!$H$5:$L$404,MATCH($K135,其他调用!$B$5:$B$404,0),MATCH(BE$5,其他调用!$H$4:$L$4,0))*INDEX(其他调用!$M$5:$M$404,MATCH($K135,其他调用!$B$5:$B$404,0))*0.6</f>
        <v>0.11923199999999998</v>
      </c>
      <c r="BF135" s="14">
        <f>IF(OR(BF$5="大R",BF$5="超R"),0,INDEX(其他调用!$H$5:$L$404,MATCH($K135,其他调用!$B$5:$B$404,0),MATCH(BF$5,其他调用!$H$4:$L$4,0))*50*0.4)</f>
        <v>9.5925100500000013</v>
      </c>
      <c r="BG135" s="14">
        <f>IF(OR(BG$5="大R",BG$5="超R"),0,INDEX(其他调用!$H$5:$L$404,MATCH($K135,其他调用!$B$5:$B$404,0),MATCH(BG$5,其他调用!$H$4:$L$4,0))*50*0.4)</f>
        <v>9.4583027471839998</v>
      </c>
      <c r="BH135" s="14">
        <f>IF(OR(BH$5="大R",BH$5="超R"),0,INDEX(其他调用!$H$5:$L$404,MATCH($K135,其他调用!$B$5:$B$404,0),MATCH(BH$5,其他调用!$H$4:$L$4,0))*50*0.4)</f>
        <v>0.77208400281600009</v>
      </c>
      <c r="BI135" s="14">
        <f>IF(OR(BI$5="大R",BI$5="超R"),0,INDEX(其他调用!$H$5:$L$404,MATCH($K135,其他调用!$B$5:$B$404,0),MATCH(BI$5,其他调用!$H$4:$L$4,0))*50*0.4)</f>
        <v>0</v>
      </c>
      <c r="BJ135" s="14">
        <f>IF(OR(BJ$5="大R",BJ$5="超R"),0,INDEX(其他调用!$H$5:$L$404,MATCH($K135,其他调用!$B$5:$B$404,0),MATCH(BJ$5,其他调用!$H$4:$L$4,0))*50*0.4)</f>
        <v>0</v>
      </c>
      <c r="BL135" s="14">
        <f t="shared" si="208"/>
        <v>130</v>
      </c>
      <c r="BM135" s="14">
        <f t="shared" ref="BM135:BM198" si="220">120*0.8</f>
        <v>96</v>
      </c>
      <c r="BN135" s="14">
        <f>('疲劳值&amp;地图信息'!$S$10*'疲劳值&amp;地图信息'!$R$10+'疲劳值&amp;地图信息'!$S$11*'疲劳值&amp;地图信息'!$R$11+'疲劳值&amp;地图信息'!$S$12*'疲劳值&amp;地图信息'!$R$12+(BM135-'疲劳值&amp;地图信息'!$S$12-'疲劳值&amp;地图信息'!$S$11-'疲劳值&amp;地图信息'!$S$10)*'疲劳值&amp;地图信息'!$R$13)/BM135</f>
        <v>51.371477246638619</v>
      </c>
      <c r="BO135" s="14">
        <f>INDEX(其他调用!$M$5:$M$404,MATCH(BL135,其他调用!$B$5:$B$404,0))*0.6</f>
        <v>60</v>
      </c>
      <c r="BP135" s="14">
        <f>IF(BO135&gt;SUM('疲劳值&amp;地图信息'!$S$10:$S$12),('疲劳值&amp;地图信息'!$S$10*'疲劳值&amp;地图信息'!$R$10+'疲劳值&amp;地图信息'!$S$11*'疲劳值&amp;地图信息'!$R$11+'疲劳值&amp;地图信息'!$S$12*'疲劳值&amp;地图信息'!$R$12+(BO135-'疲劳值&amp;地图信息'!$S$12-'疲劳值&amp;地图信息'!$S$11-'疲劳值&amp;地图信息'!$S$10)*'疲劳值&amp;地图信息'!$R$13)/BO135,('疲劳值&amp;地图信息'!$S$10*'疲劳值&amp;地图信息'!$R$10+'疲劳值&amp;地图信息'!$S$11*'疲劳值&amp;地图信息'!$R$11+'疲劳值&amp;地图信息'!$S$12*'疲劳值&amp;地图信息'!$R$12+(BO135-'疲劳值&amp;地图信息'!$S$12-'疲劳值&amp;地图信息'!$S$11-'疲劳值&amp;地图信息'!$S$10)*'疲劳值&amp;地图信息'!$R$13)/BO135)</f>
        <v>44.158136341605953</v>
      </c>
      <c r="BQ135" s="14">
        <f t="shared" si="209"/>
        <v>20</v>
      </c>
      <c r="BR135" s="14">
        <f>('疲劳值&amp;地图信息'!$S$10*'疲劳值&amp;地图信息'!$R$10+($BQ135-'疲劳值&amp;地图信息'!$S$10)*'疲劳值&amp;地图信息'!$R$11)/$BQ135</f>
        <v>32.067203015074995</v>
      </c>
      <c r="CF135" s="14">
        <v>130</v>
      </c>
      <c r="CG135" s="51">
        <f t="shared" ref="CG135:CG198" si="221">INT(INDEX($L$6:$AT$365,MATCH($CF135,$K$6:$K$365,0),MATCH(CG$4,$L$4:$AT$4,0))*$BX$34/$BP135/10000*$BX$5)</f>
        <v>10956</v>
      </c>
      <c r="CH135" s="51">
        <f t="shared" ref="CH135:CH198" si="222">INT(INDEX($L$6:$AT$365,MATCH($CF135,$K$6:$K$365,0),MATCH(CG$4,$L$4:$AT$4,0)+1)*$BY$34/$BP135/10000*$BX$6)</f>
        <v>913</v>
      </c>
      <c r="CI135" s="51">
        <f>INT(SUMPRODUCT($N135:$R135,$BA135:$BE135)/SUM($BA135:$BE135)/10000*$BX$7*$BZ$34/'疲劳值&amp;地图信息'!$R$10*$BY$53)</f>
        <v>3021</v>
      </c>
      <c r="CJ135" s="50">
        <f t="shared" ref="CJ135:CJ198" si="223">CG135/SUM(CG135:CI135)</f>
        <v>0.73579583613163202</v>
      </c>
      <c r="CK135" s="50">
        <f t="shared" ref="CK135:CK198" si="224">CH135/SUM(CG135:CI135)</f>
        <v>6.1316319677635997E-2</v>
      </c>
      <c r="CL135" s="50">
        <f t="shared" ref="CL135:CL198" si="225">CI135/SUM(CG135:CI135)</f>
        <v>0.20288784419073203</v>
      </c>
      <c r="CM135" s="14">
        <f t="shared" ref="CM135:CM198" si="226">INT(INDEX($L$6:$AT$365,MATCH($CF135,$K$6:$K$365,0),MATCH(CM$4,$L$4:$AT$4,0))*$BX$34/$BP135/10000*$BX$5)</f>
        <v>11767</v>
      </c>
      <c r="CN135" s="14">
        <f t="shared" ref="CN135:CN198" si="227">INT(INDEX($L$6:$AT$365,MATCH($CF135,$K$6:$K$365,0),MATCH(CM$4,$L$4:$AT$4,0)+1)*$BY$34/$BP135/10000*$BX$6)</f>
        <v>1505</v>
      </c>
      <c r="CO135" s="14">
        <f>INT(SUMPRODUCT($U135:$Y135,$BA135:$BE135)/SUM($BA135:$BE135)/10000*$BX$7*$BZ$34/'疲劳值&amp;地图信息'!$R$10*$BY$54)</f>
        <v>5688</v>
      </c>
      <c r="CP135" s="50">
        <f t="shared" ref="CP135:CP198" si="228">CM135/SUM(CM135:CO135)</f>
        <v>0.62062236286919836</v>
      </c>
      <c r="CQ135" s="50">
        <f t="shared" ref="CQ135:CQ198" si="229">CN135/SUM(CM135:CO135)</f>
        <v>7.937763713080169E-2</v>
      </c>
      <c r="CR135" s="50">
        <f t="shared" ref="CR135:CR198" si="230">CO135/SUM(CM135:CO135)</f>
        <v>0.3</v>
      </c>
      <c r="CS135" s="14">
        <f t="shared" ref="CS135:CS198" si="231">INT(INDEX($L$6:$AT$365,MATCH($CF135,$K$6:$K$365,0),MATCH(CS$4,$L$4:$AT$4,0))*$BX$34/$BP135/10000*$BX$5)</f>
        <v>12626</v>
      </c>
      <c r="CT135" s="14">
        <f t="shared" ref="CT135:CT198" si="232">INT(INDEX($L$6:$AT$365,MATCH($CF135,$K$6:$K$365,0),MATCH(CS$4,$L$4:$AT$4,0)+1)*$BY$34/$BP135/10000*$BX$6)</f>
        <v>2610</v>
      </c>
      <c r="CU135" s="14">
        <f>INT(SUMPRODUCT($AB135:$AF135,$BA135:$BE135)/SUM($BA135:$BE135)/10000*$BX$7*$BZ$34/'疲劳值&amp;地图信息'!$R$10*$BY$55)</f>
        <v>7728</v>
      </c>
      <c r="CV135" s="50">
        <f t="shared" ref="CV135:CV198" si="233">CS135/SUM(CS135:CU135)</f>
        <v>0.54981710503396619</v>
      </c>
      <c r="CW135" s="50">
        <f t="shared" ref="CW135:CW198" si="234">CT135/SUM(CS135:CU135)</f>
        <v>0.11365615746385647</v>
      </c>
      <c r="CX135" s="50">
        <f t="shared" ref="CX135:CX198" si="235">CU135/SUM(CS135:CU135)</f>
        <v>0.33652673750217732</v>
      </c>
      <c r="CY135" s="14">
        <f t="shared" ref="CY135:CY198" si="236">INT(INDEX($L$6:$AT$365,MATCH($CF135,$K$6:$K$365,0),MATCH(CY$4,$L$4:$AT$4,0))*$BX$34/$BP135/10000*$BX$5)</f>
        <v>14436</v>
      </c>
      <c r="CZ135" s="14">
        <f t="shared" ref="CZ135:CZ198" si="237">INT(INDEX($L$6:$AT$365,MATCH($CF135,$K$6:$K$365,0),MATCH(CY$4,$L$4:$AT$4,0)+1)*$BY$34/$BP135/10000*$BX$6)</f>
        <v>6871</v>
      </c>
      <c r="DA135" s="14">
        <f>INT(SUMPRODUCT($AI135:$AM135,$BA135:$BE135)/SUM($BA135:$BE135)/10000*$BX$7*$BZ$34/'疲劳值&amp;地图信息'!$R$10*$BY$56)</f>
        <v>11653</v>
      </c>
      <c r="DB135" s="50">
        <f t="shared" ref="DB135:DB198" si="238">CY135/SUM(CY135:DA135)</f>
        <v>0.43798543689320391</v>
      </c>
      <c r="DC135" s="50">
        <f t="shared" ref="DC135:DC198" si="239">CZ135/SUM(CY135:DA135)</f>
        <v>0.20846480582524271</v>
      </c>
      <c r="DD135" s="50">
        <f t="shared" ref="DD135:DD198" si="240">DA135/SUM(CY135:DA135)</f>
        <v>0.35354975728155341</v>
      </c>
      <c r="DE135" s="14">
        <f t="shared" ref="DE135:DE198" si="241">INT(INDEX($L$6:$AT$365,MATCH($CF135,$K$6:$K$365,0),MATCH(DE$4,$L$4:$AT$4,0))*$BX$34/$BP135/10000*$BX$5)</f>
        <v>14372</v>
      </c>
      <c r="DF135" s="14">
        <f t="shared" ref="DF135:DF198" si="242">INT(INDEX($L$6:$AT$365,MATCH($CF135,$K$6:$K$365,0),MATCH(DE$4,$L$4:$AT$4,0)+1)*$BY$34/$BP135/10000*$BX$6)</f>
        <v>13053</v>
      </c>
      <c r="DG135" s="14">
        <f>INT(SUMPRODUCT($AP135:$AT135,$BA135:$BE135)/SUM($BA135:$BE135)/10000*$BX$7*$BZ$34/'疲劳值&amp;地图信息'!$R$10*$BY$57)</f>
        <v>15563</v>
      </c>
      <c r="DH135" s="50">
        <f t="shared" ref="DH135:DH198" si="243">DE135/SUM(DE135:DG135)</f>
        <v>0.33432585837908252</v>
      </c>
      <c r="DI135" s="50">
        <f t="shared" ref="DI135:DI198" si="244">DF135/SUM(DE135:DG135)</f>
        <v>0.30364287708197635</v>
      </c>
      <c r="DJ135" s="50">
        <f t="shared" ref="DJ135:DJ198" si="245">DG135/SUM(DE135:DG135)</f>
        <v>0.36203126453894108</v>
      </c>
      <c r="DL135" s="14">
        <f t="shared" si="211"/>
        <v>14890</v>
      </c>
      <c r="DM135" s="14">
        <f t="shared" si="212"/>
        <v>18960</v>
      </c>
      <c r="DN135" s="14">
        <f t="shared" si="213"/>
        <v>22964</v>
      </c>
      <c r="DO135" s="14">
        <f t="shared" si="214"/>
        <v>32960</v>
      </c>
      <c r="DP135" s="14">
        <f t="shared" si="215"/>
        <v>42988</v>
      </c>
      <c r="DQ135" s="14">
        <f t="shared" si="216"/>
        <v>1038383</v>
      </c>
      <c r="DT135" s="14">
        <f t="shared" si="210"/>
        <v>235575</v>
      </c>
      <c r="DU135" s="50">
        <f t="shared" si="217"/>
        <v>0.18491582925025785</v>
      </c>
      <c r="DW135" s="14">
        <f t="shared" ref="DW135:DW198" si="246">DQ135+DT135</f>
        <v>1273958</v>
      </c>
      <c r="EB135" s="14">
        <v>130</v>
      </c>
      <c r="EC135" s="51">
        <f t="shared" ref="EC135:EC198" si="247">INT(INDEX($L$6:$AT$365,MATCH($CF135,$K$6:$K$365,0),MATCH(EC$4,$L$4:$AT$4,0))*$BX$46/$BP135/10000*$BX$5)</f>
        <v>18261</v>
      </c>
      <c r="ED135" s="51">
        <f t="shared" ref="ED135:ED198" si="248">INT(INDEX($L$6:$AT$365,MATCH($CF135,$K$6:$K$365,0),MATCH(EC$4,$L$4:$AT$4,0)+1)*$BY$46/$BP135/10000*$BX$6)</f>
        <v>1522</v>
      </c>
      <c r="EE135" s="51">
        <f>INT(SUMPRODUCT($N135:$R135,$BF135:$BJ135)/SUM($BF135:$BJ135)/10000*$BX$7*$BZ$46/'疲劳值&amp;地图信息'!$R$10*$BY$53)</f>
        <v>405</v>
      </c>
      <c r="EF135" s="50">
        <f t="shared" ref="EF135:EF198" si="249">EC135/SUM(EC135:EE135)</f>
        <v>0.90454725579552209</v>
      </c>
      <c r="EG135" s="50">
        <f t="shared" ref="EG135:EG198" si="250">ED135/SUM(EC135:EE135)</f>
        <v>7.5391321577174555E-2</v>
      </c>
      <c r="EH135" s="50">
        <f t="shared" ref="EH135:EH198" si="251">EE135/SUM(EC135:EE135)</f>
        <v>2.0061422627303347E-2</v>
      </c>
      <c r="EI135" s="51">
        <f t="shared" ref="EI135:EI198" si="252">INT(INDEX($L$6:$AT$365,MATCH($CF135,$K$6:$K$365,0),MATCH(EI$4,$L$4:$AT$4,0))*$BX$46/$BP135/10000*$BX$5)</f>
        <v>19611</v>
      </c>
      <c r="EJ135" s="51">
        <f t="shared" ref="EJ135:EJ198" si="253">INT(INDEX($L$6:$AT$365,MATCH($CF135,$K$6:$K$365,0),MATCH(EI$4,$L$4:$AT$4,0)+1)*$BY$46/$BP135/10000*$BX$6)</f>
        <v>2509</v>
      </c>
      <c r="EK135" s="14">
        <f>INT(SUMPRODUCT($U135:$Y135,$BF135:$BJ135)/SUM($BF135:$BJ135)/10000*$BX$7*$BZ$46/'疲劳值&amp;地图信息'!$R$10*$BY$54)</f>
        <v>763</v>
      </c>
      <c r="EL135" s="50">
        <f t="shared" ref="EL135:EL198" si="254">EI135/SUM(EI135:EK135)</f>
        <v>0.85701175545164532</v>
      </c>
      <c r="EM135" s="50">
        <f t="shared" ref="EM135:EM198" si="255">EJ135/SUM(EI135:EK135)</f>
        <v>0.10964471441681597</v>
      </c>
      <c r="EN135" s="50">
        <f t="shared" ref="EN135:EN198" si="256">EK135/SUM(EI135:EK135)</f>
        <v>3.33435301315387E-2</v>
      </c>
      <c r="EO135" s="51">
        <f t="shared" ref="EO135:EO198" si="257">INT(INDEX($L$6:$AT$365,MATCH($CF135,$K$6:$K$365,0),MATCH(EO$4,$L$4:$AT$4,0))*$BX$46/$BP135/10000*$BX$5)</f>
        <v>21044</v>
      </c>
      <c r="EP135" s="51">
        <f t="shared" ref="EP135:EP198" si="258">INT(INDEX($L$6:$AT$365,MATCH($CF135,$K$6:$K$365,0),MATCH(EO$4,$L$4:$AT$4,0)+1)*$BY$46/$BP135/10000*$BX$6)</f>
        <v>4351</v>
      </c>
      <c r="EQ135" s="14">
        <f>INT(SUMPRODUCT($AB135:$AF135,$BF135:$BJ135)/SUM($BF135:$BJ135)/10000*$BX$7*$BZ$46/'疲劳值&amp;地图信息'!$R$10*$BY$55)</f>
        <v>1036</v>
      </c>
      <c r="ER135" s="50">
        <f t="shared" ref="ER135:ER198" si="259">EO135/SUM(EO135:EQ135)</f>
        <v>0.79618629639438543</v>
      </c>
      <c r="ES135" s="50">
        <f t="shared" ref="ES135:ES198" si="260">EP135/SUM(EO135:EQ135)</f>
        <v>0.1646173054367977</v>
      </c>
      <c r="ET135" s="50">
        <f t="shared" ref="ET135:ET198" si="261">EQ135/SUM(EO135:EQ135)</f>
        <v>3.9196398168816919E-2</v>
      </c>
      <c r="EU135" s="51">
        <f t="shared" ref="EU135:EU198" si="262">INT(INDEX($L$6:$AT$365,MATCH($CF135,$K$6:$K$365,0),MATCH(EU$4,$L$4:$AT$4,0))*$BX$46/$BP135/10000*$BX$5)</f>
        <v>24060</v>
      </c>
      <c r="EV135" s="51">
        <f t="shared" ref="EV135:EV198" si="263">INT(INDEX($L$6:$AT$365,MATCH($CF135,$K$6:$K$365,0),MATCH(EU$4,$L$4:$AT$4,0)+1)*$BY$46/$BP135/10000*$BX$6)</f>
        <v>11452</v>
      </c>
      <c r="EW135" s="14">
        <f>INT(SUMPRODUCT($AI135:$AM135,$BF135:$BJ135)/SUM($BF135:$BJ135)/10000*$BX$7*$BZ$46/'疲劳值&amp;地图信息'!$R$10*$BY$56)</f>
        <v>1554</v>
      </c>
      <c r="EX135" s="50">
        <f t="shared" ref="EX135:EX198" si="264">EU135/SUM(EU135:EW135)</f>
        <v>0.64911239410780774</v>
      </c>
      <c r="EY135" s="50">
        <f t="shared" ref="EY135:EY198" si="265">EV135/SUM(EU135:EW135)</f>
        <v>0.30896239140991744</v>
      </c>
      <c r="EZ135" s="50">
        <f t="shared" ref="EZ135:EZ198" si="266">EW135/SUM(EU135:EW135)</f>
        <v>4.1925214482274861E-2</v>
      </c>
      <c r="FA135" s="51">
        <f t="shared" ref="FA135:FA198" si="267">INT(INDEX($L$6:$AT$365,MATCH($CF135,$K$6:$K$365,0),MATCH(FA$4,$L$4:$AT$4,0))*$BX$46/$BP135/10000*$BX$5)</f>
        <v>23953</v>
      </c>
      <c r="FB135" s="51">
        <f t="shared" ref="FB135:FB198" si="268">INT(INDEX($L$6:$AT$365,MATCH($CF135,$K$6:$K$365,0),MATCH(FA$4,$L$4:$AT$4,0)+1)*$BY$46/$BP135/10000*$BX$6)</f>
        <v>21756</v>
      </c>
      <c r="FC135" s="14">
        <f>INT(SUMPRODUCT($AP135:$AT135,$BF135:$BJ135)/SUM($BF135:$BJ135)/10000*$BX$7*$BZ$46/'疲劳值&amp;地图信息'!$R$10*$BY$57)</f>
        <v>2072</v>
      </c>
      <c r="FD135" s="50">
        <f t="shared" ref="FD135:FD198" si="269">FA135/SUM(FA135:FC135)</f>
        <v>0.50130805131746925</v>
      </c>
      <c r="FE135" s="50">
        <f t="shared" ref="FE135:FE198" si="270">FB135/SUM(FA135:FC135)</f>
        <v>0.45532743140578891</v>
      </c>
      <c r="FF135" s="50">
        <f t="shared" ref="FF135:FF198" si="271">FC135/SUM(FA135:FC135)</f>
        <v>4.3364517276741801E-2</v>
      </c>
      <c r="FH135" s="14">
        <f t="shared" ref="FH135:FH198" si="272">SUM(EC135:EE135)</f>
        <v>20188</v>
      </c>
      <c r="FI135" s="14">
        <f t="shared" ref="FI135:FI198" si="273">SUM(EI135:EK135)</f>
        <v>22883</v>
      </c>
      <c r="FJ135" s="14">
        <f t="shared" ref="FJ135:FJ198" si="274">SUM(EO135:EQ135)</f>
        <v>26431</v>
      </c>
      <c r="FK135" s="14">
        <f t="shared" ref="FK135:FK198" si="275">SUM(EU135:EW135)</f>
        <v>37066</v>
      </c>
      <c r="FL135" s="14">
        <f t="shared" ref="FL135:FL198" si="276">SUM(FA135:FC135)</f>
        <v>47781</v>
      </c>
      <c r="FM135" s="14">
        <f t="shared" ref="FM135:FM198" si="277">INT(SUMPRODUCT(FH135:FL135,$AV135:$AZ135))</f>
        <v>2365217</v>
      </c>
      <c r="FP135" s="14">
        <f t="shared" ref="FP135:FP198" si="278">SUM($BX$11:$BX$27)+SUM($BY$11:$BY$27)*(($BX$46+$BY$46+$BZ$46)/60-($BX$46+$BY$46)/60/2)</f>
        <v>334150</v>
      </c>
      <c r="FQ135" s="50">
        <f t="shared" si="218"/>
        <v>0.12378828073396467</v>
      </c>
      <c r="FS135" s="14">
        <f t="shared" ref="FS135:FS198" si="279">FM135+FP135</f>
        <v>2699367</v>
      </c>
      <c r="FX135" s="14">
        <v>130</v>
      </c>
      <c r="FY135" s="51">
        <f t="shared" ref="FY135:FY198" si="280">INT(INDEX($L$6:$AT$365,MATCH($CF135,$K$6:$K$365,0),MATCH(FY$4,$L$4:$AT$4,0))*$BX$47/$BP135/10000*$BX$5)</f>
        <v>25565</v>
      </c>
      <c r="FZ135" s="51">
        <f t="shared" ref="FZ135:FZ198" si="281">INT(INDEX($L$6:$AT$365,MATCH($CF135,$K$6:$K$365,0),MATCH(FY$4,$L$4:$AT$4,0)+1)*$BY$46/$BP135/10000*$BX$6)</f>
        <v>1522</v>
      </c>
      <c r="GA135" s="51">
        <f>INT(SUMPRODUCT($N135:$R135,$BF135:$BJ135)/SUM($BF135:$BJ135)/10000*$BX$7*$BZ$46/'疲劳值&amp;地图信息'!$R$10*$BY$53)</f>
        <v>405</v>
      </c>
      <c r="GB135" s="50">
        <f t="shared" ref="GB135:GB198" si="282">FY135/SUM(FY135:GA135)</f>
        <v>0.92990688200203697</v>
      </c>
      <c r="GC135" s="50">
        <f t="shared" ref="GC135:GC198" si="283">FZ135/SUM(FY135:GA135)</f>
        <v>5.5361559726465878E-2</v>
      </c>
      <c r="GD135" s="50">
        <f t="shared" ref="GD135:GD198" si="284">GA135/SUM(FY135:GA135)</f>
        <v>1.4731558271497162E-2</v>
      </c>
      <c r="GE135" s="51">
        <f t="shared" ref="GE135:GE198" si="285">INT(INDEX($L$6:$AT$365,MATCH($CF135,$K$6:$K$365,0),MATCH(GE$4,$L$4:$AT$4,0))*$BX$47/$BP135/10000*$BX$5)</f>
        <v>27456</v>
      </c>
      <c r="GF135" s="51">
        <f t="shared" ref="GF135:GF198" si="286">INT(INDEX($L$6:$AT$365,MATCH($CF135,$K$6:$K$365,0),MATCH(GE$4,$L$4:$AT$4,0)+1)*$BY$46/$BP135/10000*$BX$6)</f>
        <v>2509</v>
      </c>
      <c r="GG135" s="14">
        <f>INT(SUMPRODUCT($U135:$Y135,$BF135:$BJ135)/SUM($BF135:$BJ135)/10000*$BX$7*$BZ$46/'疲劳值&amp;地图信息'!$R$10*$BY$54)</f>
        <v>763</v>
      </c>
      <c r="GH135" s="50">
        <f t="shared" ref="GH135:GH198" si="287">GE135/SUM(GE135:GG135)</f>
        <v>0.89351731319968764</v>
      </c>
      <c r="GI135" s="50">
        <f t="shared" ref="GI135:GI198" si="288">GF135/SUM(GE135:GG135)</f>
        <v>8.165191356417599E-2</v>
      </c>
      <c r="GJ135" s="50">
        <f t="shared" ref="GJ135:GJ198" si="289">GG135/SUM(GE135:GG135)</f>
        <v>2.4830773236136423E-2</v>
      </c>
      <c r="GK135" s="51">
        <f t="shared" ref="GK135:GK198" si="290">INT(INDEX($L$6:$AT$365,MATCH($CF135,$K$6:$K$365,0),MATCH(GK$4,$L$4:$AT$4,0))*$BX$47/$BP135/10000*$BX$5)</f>
        <v>29462</v>
      </c>
      <c r="GL135" s="51">
        <f t="shared" ref="GL135:GL198" si="291">INT(INDEX($L$6:$AT$365,MATCH($CF135,$K$6:$K$365,0),MATCH(GK$4,$L$4:$AT$4,0)+1)*$BY$46/$BP135/10000*$BX$6)</f>
        <v>4351</v>
      </c>
      <c r="GM135" s="14">
        <f>INT(SUMPRODUCT($AB135:$AF135,$BF135:$BJ135)/SUM($BF135:$BJ135)/10000*$BX$7*$BZ$46/'疲劳值&amp;地图信息'!$R$10*$BY$55)</f>
        <v>1036</v>
      </c>
      <c r="GN135" s="50">
        <f t="shared" ref="GN135:GN198" si="292">GK135/SUM(GK135:GM135)</f>
        <v>0.84541880685242043</v>
      </c>
      <c r="GO135" s="50">
        <f t="shared" ref="GO135:GO198" si="293">GL135/SUM(GK135:GM135)</f>
        <v>0.12485293695658412</v>
      </c>
      <c r="GP135" s="50">
        <f t="shared" ref="GP135:GP198" si="294">GM135/SUM(GK135:GM135)</f>
        <v>2.9728256190995436E-2</v>
      </c>
      <c r="GQ135" s="51">
        <f t="shared" ref="GQ135:GQ198" si="295">INT(INDEX($L$6:$AT$365,MATCH($CF135,$K$6:$K$365,0),MATCH(GQ$4,$L$4:$AT$4,0))*$BX$47/$BP135/10000*$BX$5)</f>
        <v>33684</v>
      </c>
      <c r="GR135" s="51">
        <f t="shared" ref="GR135:GR198" si="296">INT(INDEX($L$6:$AT$365,MATCH($CF135,$K$6:$K$365,0),MATCH(GQ$4,$L$4:$AT$4,0)+1)*$BY$46/$BP135/10000*$BX$6)</f>
        <v>11452</v>
      </c>
      <c r="GS135" s="14">
        <f>INT(SUMPRODUCT($AI135:$AM135,$BF135:$BJ135)/SUM($BF135:$BJ135)/10000*$BX$7*$BZ$46/'疲劳值&amp;地图信息'!$R$10*$BY$56)</f>
        <v>1554</v>
      </c>
      <c r="GT135" s="50">
        <f t="shared" ref="GT135:GT198" si="297">GQ135/SUM(GQ135:GS135)</f>
        <v>0.72143928035982008</v>
      </c>
      <c r="GU135" s="50">
        <f t="shared" ref="GU135:GU198" si="298">GR135/SUM(GQ135:GS135)</f>
        <v>0.24527736131934033</v>
      </c>
      <c r="GV135" s="50">
        <f t="shared" ref="GV135:GV198" si="299">GS135/SUM(GQ135:GS135)</f>
        <v>3.3283358320839583E-2</v>
      </c>
      <c r="GW135" s="51">
        <f t="shared" ref="GW135:GW198" si="300">INT(INDEX($L$6:$AT$365,MATCH($CF135,$K$6:$K$365,0),MATCH(GW$4,$L$4:$AT$4,0))*$BX$47/$BP135/10000*$BX$5)</f>
        <v>33535</v>
      </c>
      <c r="GX135" s="51">
        <f t="shared" ref="GX135:GX198" si="301">INT(INDEX($L$6:$AT$365,MATCH($CF135,$K$6:$K$365,0),MATCH(GW$4,$L$4:$AT$4,0)+1)*$BY$46/$BP135/10000*$BX$6)</f>
        <v>21756</v>
      </c>
      <c r="GY135" s="14">
        <f>INT(SUMPRODUCT($AP135:$AT135,$BF135:$BJ135)/SUM($BF135:$BJ135)/10000*$BX$7*$BZ$46/'疲劳值&amp;地图信息'!$R$10*$BY$57)</f>
        <v>2072</v>
      </c>
      <c r="GZ135" s="50">
        <f t="shared" ref="GZ135:GZ198" si="302">GW135/SUM(GW135:GY135)</f>
        <v>0.58461028886215849</v>
      </c>
      <c r="HA135" s="50">
        <f t="shared" ref="HA135:HA198" si="303">GX135/SUM(GW135:GY135)</f>
        <v>0.37926886669107263</v>
      </c>
      <c r="HB135" s="50">
        <f t="shared" ref="HB135:HB198" si="304">GY135/SUM(GW135:GY135)</f>
        <v>3.6120844446768822E-2</v>
      </c>
      <c r="HD135" s="14">
        <f t="shared" ref="HD135:HD198" si="305">SUM(FY135:GA135)</f>
        <v>27492</v>
      </c>
      <c r="HE135" s="14">
        <f t="shared" ref="HE135:HE198" si="306">SUM(GE135:GG135)</f>
        <v>30728</v>
      </c>
      <c r="HF135" s="14">
        <f t="shared" ref="HF135:HF198" si="307">SUM(GK135:GM135)</f>
        <v>34849</v>
      </c>
      <c r="HG135" s="14">
        <f t="shared" ref="HG135:HG198" si="308">SUM(GQ135:GS135)</f>
        <v>46690</v>
      </c>
      <c r="HH135" s="14">
        <f t="shared" ref="HH135:HH198" si="309">SUM(GW135:GY135)</f>
        <v>57363</v>
      </c>
      <c r="HI135" s="14">
        <f t="shared" ref="HI135:HI198" si="310">INT(SUMPRODUCT(HD135:HH135,$AV135:$AZ135))</f>
        <v>3172523</v>
      </c>
      <c r="HL135" s="14">
        <f t="shared" ref="HL135:HL198" si="311">SUM($BX$11:$BX$27)+SUM($BY$11:$BY$27)*(60-($BX$46+$BY$46)/60/2)</f>
        <v>430050</v>
      </c>
      <c r="HM135" s="50">
        <f t="shared" si="219"/>
        <v>0.11937301478693145</v>
      </c>
      <c r="HO135" s="14">
        <f t="shared" ref="HO135:HO198" si="312">HI135+HL135</f>
        <v>3602573</v>
      </c>
    </row>
    <row r="136" spans="11:223" x14ac:dyDescent="0.2">
      <c r="K136" s="14">
        <v>131</v>
      </c>
      <c r="L136" s="12">
        <f>求节点(节奏总纲!D$4:D$163,标准城池设计!AB$4:AB$163,$K136)*求节点(节奏总纲!D$4:D$163,攻城基础信息!$AC$5:$AC$164,$K136)</f>
        <v>539311.80951808312</v>
      </c>
      <c r="M136" s="12">
        <f>INDEX(其他调用!$AA$5:$AA$404,MATCH(K136,其他调用!$X$5:$X$404,0))*MIN(INDEX(其他调用!$AH$5:$AH$364,MATCH('征服点（新）'!K136,其他调用!$AG$5:$AG$364,0),1)/INDEX(其他调用!$AJ$5:$AJ$364,MATCH(K136,其他调用!$AG$5:$AG$364,0),0),5)*求节点(节奏总纲!D$4:D$163,攻城基础信息!$AC$5:$AC$164,$K136)</f>
        <v>44865.567275448077</v>
      </c>
      <c r="N136" s="12">
        <f>MIN(INDEX(其他调用!$AH$5:$AH$364,MATCH($K136,其他调用!$AG$5:$AG$364,0),1)/INDEX(其他调用!AH$5:AH$364,MATCH($K136,其他调用!$AG$5:$AG$364,0),0),1)*INDEX(其他调用!Y$5:Y$404,MATCH($K136,其他调用!$X$5:$X$404,0),0)</f>
        <v>37694.56365651064</v>
      </c>
      <c r="O136" s="12">
        <f>MIN(INDEX(其他调用!$AH$5:$AH$364,MATCH($K136,其他调用!$AG$5:$AG$364,0),1)/INDEX(其他调用!AI$5:AI$364,MATCH($K136,其他调用!$AG$5:$AG$364,0),0),1)*INDEX(其他调用!Z$5:Z$404,MATCH($K136,其他调用!$X$5:$X$404,0),0)</f>
        <v>23556.046703258893</v>
      </c>
      <c r="P136" s="12">
        <f>MIN(INDEX(其他调用!$AH$5:$AH$364,MATCH($K136,其他调用!$AG$5:$AG$364,0),1)/INDEX(其他调用!AJ$5:AJ$364,MATCH($K136,其他调用!$AG$5:$AG$364,0),0),1)*INDEX(其他调用!AA$5:AA$404,MATCH($K136,其他调用!$X$5:$X$404,0),0)</f>
        <v>14103.435945167412</v>
      </c>
      <c r="Q136" s="12">
        <f>MIN(INDEX(其他调用!$AH$5:$AH$364,MATCH($K136,其他调用!$AG$5:$AG$364,0),1)/INDEX(其他调用!AK$5:AK$364,MATCH($K136,其他调用!$AG$5:$AG$364,0),0),1)*INDEX(其他调用!AB$5:AB$404,MATCH($K136,其他调用!$X$5:$X$404,0),0)</f>
        <v>5650.7915085996638</v>
      </c>
      <c r="R136" s="12">
        <f>MIN(INDEX(其他调用!$AH$5:$AH$364,MATCH($K136,其他调用!$AG$5:$AG$364,0),1)/INDEX(其他调用!AL$5:AL$364,MATCH($K136,其他调用!$AG$5:$AG$364,0),0),1)*INDEX(其他调用!AC$5:AC$404,MATCH($K136,其他调用!$X$5:$X$404,0),0)</f>
        <v>1822.0264749491098</v>
      </c>
      <c r="S136" s="12">
        <f>求节点(节奏总纲!D$4:D$163,标准城池设计!AC$4:AC$163,$K136)*求节点(节奏总纲!D$4:D$163,攻城基础信息!$AD$5:$AD$164,$K136)</f>
        <v>579295.6944224406</v>
      </c>
      <c r="T136" s="12">
        <f>INDEX(其他调用!$AA$5:$AA$404,MATCH($K136,其他调用!$X$5:$X$404,0))*MIN(INDEX(其他调用!AI$5:AI$364,MATCH($K136,其他调用!$AG$5:$AG$364,0),1)/INDEX(其他调用!$AJ$5:$AJ$364,MATCH($K136,其他调用!$AG$5:$AG$364,0),0),5)*求节点(节奏总纲!D$4:D$163,攻城基础信息!$AD$5:$AD$164,$K136)</f>
        <v>73982.231773747379</v>
      </c>
      <c r="U136" s="12">
        <f>MIN(INDEX(其他调用!$AI$5:$AI$364,MATCH($K136,其他调用!$AG$5:$AG$364,0),1)/INDEX(其他调用!AH$5:AH$364,MATCH($K136,其他调用!$AG$5:$AG$364,0),0),1)*INDEX(其他调用!Y$5:Y$404,MATCH($K136,其他调用!$X$5:$X$404,0),0)</f>
        <v>37694.56365651064</v>
      </c>
      <c r="V136" s="12">
        <f>MIN(INDEX(其他调用!$AI$5:$AI$364,MATCH($K136,其他调用!$AG$5:$AG$364,0),1)/INDEX(其他调用!AI$5:AI$364,MATCH($K136,其他调用!$AG$5:$AG$364,0),0),1)*INDEX(其他调用!Z$5:Z$404,MATCH($K136,其他调用!$X$5:$X$404,0),0)</f>
        <v>38843.349425950444</v>
      </c>
      <c r="W136" s="12">
        <f>MIN(INDEX(其他调用!$AI$5:$AI$364,MATCH($K136,其他调用!$AG$5:$AG$364,0),1)/INDEX(其他调用!AJ$5:AJ$364,MATCH($K136,其他调用!$AG$5:$AG$364,0),0),1)*INDEX(其他调用!AA$5:AA$404,MATCH($K136,其他调用!$X$5:$X$404,0),0)</f>
        <v>23256.223653558045</v>
      </c>
      <c r="X136" s="12">
        <f>MIN(INDEX(其他调用!$AI$5:$AI$364,MATCH($K136,其他调用!$AG$5:$AG$364,0),1)/INDEX(其他调用!AK$5:AK$364,MATCH($K136,其他调用!$AG$5:$AG$364,0),0),1)*INDEX(其他调用!AB$5:AB$404,MATCH($K136,其他调用!$X$5:$X$404,0),0)</f>
        <v>9318.0180811648679</v>
      </c>
      <c r="Y136" s="12">
        <f>MIN(INDEX(其他调用!$AI$5:$AI$364,MATCH($K136,其他调用!$AG$5:$AG$364,0),1)/INDEX(其他调用!AL$5:AL$364,MATCH($K136,其他调用!$AG$5:$AG$364,0),0),1)*INDEX(其他调用!AC$5:AC$404,MATCH($K136,其他调用!$X$5:$X$404,0),0)</f>
        <v>3004.4774456993146</v>
      </c>
      <c r="Z136" s="12">
        <f>求节点(节奏总纲!D$4:D$163,标准城池设计!AD$4:AD$163,$K136)*求节点(节奏总纲!D$4:D$163,攻城基础信息!$AE$5:$AE$164,$K136)</f>
        <v>621424.96696675511</v>
      </c>
      <c r="AA136" s="12">
        <f>INDEX(其他调用!$AA$5:$AA$404,MATCH($K136,其他调用!$X$5:$X$404,0))*MIN(INDEX(其他调用!AJ$5:AJ$364,MATCH($K136,其他调用!$AG$5:$AG$364,0),1)/INDEX(其他调用!$AJ$5:$AJ$364,MATCH($K136,其他调用!$AG$5:$AG$364,0),0),5)*求节点(节奏总纲!D$4:D$163,攻城基础信息!$AE$5:$AE$164,$K136)</f>
        <v>128377.85776571911</v>
      </c>
      <c r="AB136" s="12">
        <f>MIN(INDEX(其他调用!$AJ$5:$AJ$364,MATCH($K136,其他调用!$AG$5:$AG$364,0),1)/INDEX(其他调用!AH$5:AH$364,MATCH($K136,其他调用!$AG$5:$AG$364,0),0),1)*INDEX(其他调用!Y$5:Y$404,MATCH($K136,其他调用!$X$5:$X$404,0),0)</f>
        <v>37694.56365651064</v>
      </c>
      <c r="AC136" s="12">
        <f>MIN(INDEX(其他调用!$AJ$5:$AJ$364,MATCH($K136,其他调用!$AG$5:$AG$364,0),1)/INDEX(其他调用!AI$5:AI$364,MATCH($K136,其他调用!$AG$5:$AG$364,0),0),1)*INDEX(其他调用!Z$5:Z$404,MATCH($K136,其他调用!$X$5:$X$404,0),0)</f>
        <v>38843.349425950444</v>
      </c>
      <c r="AD136" s="12">
        <f>MIN(INDEX(其他调用!$AJ$5:$AJ$364,MATCH($K136,其他调用!$AG$5:$AG$364,0),1)/INDEX(其他调用!AJ$5:AJ$364,MATCH($K136,其他调用!$AG$5:$AG$364,0),0),1)*INDEX(其他调用!AA$5:AA$404,MATCH($K136,其他调用!$X$5:$X$404,0),0)</f>
        <v>40355.421846352881</v>
      </c>
      <c r="AE136" s="12">
        <f>MIN(INDEX(其他调用!$AJ$5:$AJ$364,MATCH($K136,其他调用!$AG$5:$AG$364,0),1)/INDEX(其他调用!AK$5:AK$364,MATCH($K136,其他调用!$AG$5:$AG$364,0),0),1)*INDEX(其他调用!AB$5:AB$404,MATCH($K136,其他调用!$X$5:$X$404,0),0)</f>
        <v>16169.114815845067</v>
      </c>
      <c r="AF136" s="12">
        <f>MIN(INDEX(其他调用!$AJ$5:$AJ$364,MATCH($K136,其他调用!$AG$5:$AG$364,0),1)/INDEX(其他调用!AL$5:AL$364,MATCH($K136,其他调用!$AG$5:$AG$364,0),0),1)*INDEX(其他调用!AC$5:AC$404,MATCH($K136,其他调用!$X$5:$X$404,0),0)</f>
        <v>5213.5272069633129</v>
      </c>
      <c r="AG136" s="12">
        <f>求节点(节奏总纲!D$4:D$163,标准城池设计!AE$4:AE$163,$K136)*求节点(节奏总纲!D$4:D$163,攻城基础信息!$AF$5:$AF$164,$K136)</f>
        <v>710616.82585334044</v>
      </c>
      <c r="AH136" s="12">
        <f>INDEX(其他调用!$AA$5:$AA$404,MATCH($K136,其他调用!$X$5:$X$404,0))*MIN(INDEX(其他调用!AK$5:AK$364,MATCH($K136,其他调用!$AG$5:$AG$364,0),1)/INDEX(其他调用!$AJ$5:$AJ$364,MATCH($K136,其他调用!$AG$5:$AG$364,0),0),5)*求节点(节奏总纲!D$4:D$163,攻城基础信息!$AF$5:$AF$164,$K136)</f>
        <v>337821.97079333034</v>
      </c>
      <c r="AI136" s="12">
        <f>MIN(INDEX(其他调用!$AK$5:$AK$364,MATCH($K136,其他调用!$AG$5:$AG$364,0),1)/INDEX(其他调用!AH$5:AH$364,MATCH($K136,其他调用!$AG$5:$AG$364,0),0),1)*INDEX(其他调用!Y$5:Y$404,MATCH($K136,其他调用!$X$5:$X$404,0),0)</f>
        <v>37694.56365651064</v>
      </c>
      <c r="AJ136" s="12">
        <f>MIN(INDEX(其他调用!$AK$5:$AK$364,MATCH($K136,其他调用!$AG$5:$AG$364,0),1)/INDEX(其他调用!AI$5:AI$364,MATCH($K136,其他调用!$AG$5:$AG$364,0),0),1)*INDEX(其他调用!Z$5:Z$404,MATCH($K136,其他调用!$X$5:$X$404,0),0)</f>
        <v>38843.349425950444</v>
      </c>
      <c r="AK136" s="12">
        <f>MIN(INDEX(其他调用!$AK$5:$AK$364,MATCH($K136,其他调用!$AG$5:$AG$364,0),1)/INDEX(其他调用!AJ$5:AJ$364,MATCH($K136,其他调用!$AG$5:$AG$364,0),0),1)*INDEX(其他调用!AA$5:AA$404,MATCH($K136,其他调用!$X$5:$X$404,0),0)</f>
        <v>40355.421846352881</v>
      </c>
      <c r="AL136" s="12">
        <f>MIN(INDEX(其他调用!$AK$5:$AK$364,MATCH($K136,其他调用!$AG$5:$AG$364,0),1)/INDEX(其他调用!AK$5:AK$364,MATCH($K136,其他调用!$AG$5:$AG$364,0),0),1)*INDEX(其他调用!AB$5:AB$404,MATCH($K136,其他调用!$X$5:$X$404,0),0)</f>
        <v>42548.476257024879</v>
      </c>
      <c r="AM136" s="12">
        <f>MIN(INDEX(其他调用!$AK$5:$AK$364,MATCH($K136,其他调用!$AG$5:$AG$364,0),1)/INDEX(其他调用!AL$5:AL$364,MATCH($K136,其他调用!$AG$5:$AG$364,0),0),1)*INDEX(其他调用!AC$5:AC$404,MATCH($K136,其他调用!$X$5:$X$404,0),0)</f>
        <v>13719.219704188741</v>
      </c>
      <c r="AN136" s="12">
        <f>求节点(节奏总纲!D$4:D$163,标准城池设计!AF$4:AF$163,$K136)*求节点(节奏总纲!D$4:D$163,攻城基础信息!$AG$5:$AG$164,$K136)</f>
        <v>707995.0178050783</v>
      </c>
      <c r="AO136" s="12">
        <f>INDEX(其他调用!$AA$5:$AA$404,MATCH($K136,其他调用!$X$5:$X$404,0))*MIN(INDEX(其他调用!AL$5:AL$364,MATCH($K136,其他调用!$AG$5:$AG$364,0),1)/INDEX(其他调用!$AJ$5:$AJ$364,MATCH($K136,其他调用!$AG$5:$AG$364,0),0),5)*求节点(节奏总纲!D$4:D$163,攻城基础信息!$AG$5:$AG$164,$K136)</f>
        <v>641889.28882859543</v>
      </c>
      <c r="AP136" s="12">
        <f>MIN(INDEX(其他调用!$AL$5:$AL$364,MATCH($K136,其他调用!$AG$5:$AG$364,0),1)/INDEX(其他调用!AH$5:AH$364,MATCH($K136,其他调用!$AG$5:$AG$364,0),0),1)*INDEX(其他调用!Y$5:Y$404,MATCH($K136,其他调用!$X$5:$X$404,0),0)</f>
        <v>37694.56365651064</v>
      </c>
      <c r="AQ136" s="12">
        <f>MIN(INDEX(其他调用!$AL$5:$AL$364,MATCH($K136,其他调用!$AG$5:$AG$364,0),1)/INDEX(其他调用!AI$5:AI$364,MATCH($K136,其他调用!$AG$5:$AG$364,0),0),1)*INDEX(其他调用!Z$5:Z$404,MATCH($K136,其他调用!$X$5:$X$404,0),0)</f>
        <v>38843.349425950444</v>
      </c>
      <c r="AR136" s="12">
        <f>MIN(INDEX(其他调用!$AL$5:$AL$364,MATCH($K136,其他调用!$AG$5:$AG$364,0),1)/INDEX(其他调用!AJ$5:AJ$364,MATCH($K136,其他调用!$AG$5:$AG$364,0),0),1)*INDEX(其他调用!AA$5:AA$404,MATCH($K136,其他调用!$X$5:$X$404,0),0)</f>
        <v>40355.421846352881</v>
      </c>
      <c r="AS136" s="12">
        <f>MIN(INDEX(其他调用!$AL$5:$AL$364,MATCH($K136,其他调用!$AG$5:$AG$364,0),1)/INDEX(其他调用!AK$5:AK$364,MATCH($K136,其他调用!$AG$5:$AG$364,0),0),1)*INDEX(其他调用!AB$5:AB$404,MATCH($K136,其他调用!$X$5:$X$404,0),0)</f>
        <v>42548.476257024879</v>
      </c>
      <c r="AT136" s="12">
        <f>MIN(INDEX(其他调用!$AL$5:$AL$364,MATCH($K136,其他调用!$AG$5:$AG$364,0),1)/INDEX(其他调用!AL$5:AL$364,MATCH($K136,其他调用!$AG$5:$AG$364,0),0),1)*INDEX(其他调用!AC$5:AC$404,MATCH($K136,其他调用!$X$5:$X$404,0),0)</f>
        <v>46454.178278228836</v>
      </c>
      <c r="AV136" s="14">
        <f>IF(OR(AV$5="大R",AV$5="超R"),MAX(INDEX(其他调用!$H$5:$L$404,MATCH($K136,其他调用!$B$5:$B$404,0),MATCH(AV$5,其他调用!$H$4:$L$4,0))*120*0.85,2),INDEX(其他调用!$H$5:$L$404,MATCH($K136,其他调用!$B$5:$B$404,0),MATCH(AV$5,其他调用!$H$4:$L$4,0))*120*0.85)</f>
        <v>48.921801254999991</v>
      </c>
      <c r="AW136" s="14">
        <f>IF(OR(AW$5="大R",AW$5="超R"),MAX(INDEX(其他调用!$H$5:$L$404,MATCH($K136,其他调用!$B$5:$B$404,0),MATCH(AW$5,其他调用!$H$4:$L$4,0))*120*0.85,2),INDEX(其他调用!$H$5:$L$404,MATCH($K136,其他调用!$B$5:$B$404,0),MATCH(AW$5,其他调用!$H$4:$L$4,0))*120*0.85)</f>
        <v>48.237344010638395</v>
      </c>
      <c r="AX136" s="14">
        <f>IF(OR(AX$5="大R",AX$5="超R"),MAX(INDEX(其他调用!$H$5:$L$404,MATCH($K136,其他调用!$B$5:$B$404,0),MATCH(AX$5,其他调用!$H$4:$L$4,0))*120*0.85,2),INDEX(其他调用!$H$5:$L$404,MATCH($K136,其他调用!$B$5:$B$404,0),MATCH(AX$5,其他调用!$H$4:$L$4,0))*120*0.85)</f>
        <v>3.9376284143615998</v>
      </c>
      <c r="AY136" s="14">
        <f>IF(OR(AY$5="大R",AY$5="超R"),MAX(INDEX(其他调用!$H$5:$L$404,MATCH($K136,其他调用!$B$5:$B$404,0),MATCH(AY$5,其他调用!$H$4:$L$4,0))*120*0.85,2),INDEX(其他调用!$H$5:$L$404,MATCH($K136,其他调用!$B$5:$B$404,0),MATCH(AY$5,其他调用!$H$4:$L$4,0))*120*0.85)</f>
        <v>2</v>
      </c>
      <c r="AZ136" s="14">
        <f>IF(OR(AZ$5="大R",AZ$5="超R"),MAX(INDEX(其他调用!$H$5:$L$404,MATCH($K136,其他调用!$B$5:$B$404,0),MATCH(AZ$5,其他调用!$H$4:$L$4,0))*120*0.85,2),INDEX(其他调用!$H$5:$L$404,MATCH($K136,其他调用!$B$5:$B$404,0),MATCH(AZ$5,其他调用!$H$4:$L$4,0))*120*0.85)</f>
        <v>2</v>
      </c>
      <c r="BA136" s="14">
        <f>INDEX(其他调用!$H$5:$L$404,MATCH($K136,其他调用!$B$5:$B$404,0),MATCH(BA$5,其他调用!$H$4:$L$4,0))*INDEX(其他调用!$M$5:$M$404,MATCH($K136,其他调用!$B$5:$B$404,0))*0.6</f>
        <v>28.777530149999997</v>
      </c>
      <c r="BB136" s="14">
        <f>INDEX(其他调用!$H$5:$L$404,MATCH($K136,其他调用!$B$5:$B$404,0),MATCH(BB$5,其他调用!$H$4:$L$4,0))*INDEX(其他调用!$M$5:$M$404,MATCH($K136,其他调用!$B$5:$B$404,0))*0.6</f>
        <v>28.374908241551999</v>
      </c>
      <c r="BC136" s="14">
        <f>INDEX(其他调用!$H$5:$L$404,MATCH($K136,其他调用!$B$5:$B$404,0),MATCH(BC$5,其他调用!$H$4:$L$4,0))*INDEX(其他调用!$M$5:$M$404,MATCH($K136,其他调用!$B$5:$B$404,0))*0.6</f>
        <v>2.3162520084480001</v>
      </c>
      <c r="BD136" s="14">
        <f>INDEX(其他调用!$H$5:$L$404,MATCH($K136,其他调用!$B$5:$B$404,0),MATCH(BD$5,其他调用!$H$4:$L$4,0))*INDEX(其他调用!$M$5:$M$404,MATCH($K136,其他调用!$B$5:$B$404,0))*0.6</f>
        <v>0.4120776000000001</v>
      </c>
      <c r="BE136" s="14">
        <f>INDEX(其他调用!$H$5:$L$404,MATCH($K136,其他调用!$B$5:$B$404,0),MATCH(BE$5,其他调用!$H$4:$L$4,0))*INDEX(其他调用!$M$5:$M$404,MATCH($K136,其他调用!$B$5:$B$404,0))*0.6</f>
        <v>0.11923199999999998</v>
      </c>
      <c r="BF136" s="14">
        <f>IF(OR(BF$5="大R",BF$5="超R"),0,INDEX(其他调用!$H$5:$L$404,MATCH($K136,其他调用!$B$5:$B$404,0),MATCH(BF$5,其他调用!$H$4:$L$4,0))*50*0.4)</f>
        <v>9.5925100500000013</v>
      </c>
      <c r="BG136" s="14">
        <f>IF(OR(BG$5="大R",BG$5="超R"),0,INDEX(其他调用!$H$5:$L$404,MATCH($K136,其他调用!$B$5:$B$404,0),MATCH(BG$5,其他调用!$H$4:$L$4,0))*50*0.4)</f>
        <v>9.4583027471839998</v>
      </c>
      <c r="BH136" s="14">
        <f>IF(OR(BH$5="大R",BH$5="超R"),0,INDEX(其他调用!$H$5:$L$404,MATCH($K136,其他调用!$B$5:$B$404,0),MATCH(BH$5,其他调用!$H$4:$L$4,0))*50*0.4)</f>
        <v>0.77208400281600009</v>
      </c>
      <c r="BI136" s="14">
        <f>IF(OR(BI$5="大R",BI$5="超R"),0,INDEX(其他调用!$H$5:$L$404,MATCH($K136,其他调用!$B$5:$B$404,0),MATCH(BI$5,其他调用!$H$4:$L$4,0))*50*0.4)</f>
        <v>0</v>
      </c>
      <c r="BJ136" s="14">
        <f>IF(OR(BJ$5="大R",BJ$5="超R"),0,INDEX(其他调用!$H$5:$L$404,MATCH($K136,其他调用!$B$5:$B$404,0),MATCH(BJ$5,其他调用!$H$4:$L$4,0))*50*0.4)</f>
        <v>0</v>
      </c>
      <c r="BL136" s="14">
        <f t="shared" ref="BL136:BL199" si="313">BL135+1</f>
        <v>131</v>
      </c>
      <c r="BM136" s="14">
        <f t="shared" si="220"/>
        <v>96</v>
      </c>
      <c r="BN136" s="14">
        <f>('疲劳值&amp;地图信息'!$S$10*'疲劳值&amp;地图信息'!$R$10+'疲劳值&amp;地图信息'!$S$11*'疲劳值&amp;地图信息'!$R$11+'疲劳值&amp;地图信息'!$S$12*'疲劳值&amp;地图信息'!$R$12+(BM136-'疲劳值&amp;地图信息'!$S$12-'疲劳值&amp;地图信息'!$S$11-'疲劳值&amp;地图信息'!$S$10)*'疲劳值&amp;地图信息'!$R$13)/BM136</f>
        <v>51.371477246638619</v>
      </c>
      <c r="BO136" s="14">
        <f>INDEX(其他调用!$M$5:$M$404,MATCH(BL136,其他调用!$B$5:$B$404,0))*0.6</f>
        <v>60</v>
      </c>
      <c r="BP136" s="14">
        <f>IF(BO136&gt;SUM('疲劳值&amp;地图信息'!$S$10:$S$12),('疲劳值&amp;地图信息'!$S$10*'疲劳值&amp;地图信息'!$R$10+'疲劳值&amp;地图信息'!$S$11*'疲劳值&amp;地图信息'!$R$11+'疲劳值&amp;地图信息'!$S$12*'疲劳值&amp;地图信息'!$R$12+(BO136-'疲劳值&amp;地图信息'!$S$12-'疲劳值&amp;地图信息'!$S$11-'疲劳值&amp;地图信息'!$S$10)*'疲劳值&amp;地图信息'!$R$13)/BO136,('疲劳值&amp;地图信息'!$S$10*'疲劳值&amp;地图信息'!$R$10+'疲劳值&amp;地图信息'!$S$11*'疲劳值&amp;地图信息'!$R$11+'疲劳值&amp;地图信息'!$S$12*'疲劳值&amp;地图信息'!$R$12+(BO136-'疲劳值&amp;地图信息'!$S$12-'疲劳值&amp;地图信息'!$S$11-'疲劳值&amp;地图信息'!$S$10)*'疲劳值&amp;地图信息'!$R$13)/BO136)</f>
        <v>44.158136341605953</v>
      </c>
      <c r="BQ136" s="14">
        <f t="shared" ref="BQ136:BQ199" si="314">50*0.4</f>
        <v>20</v>
      </c>
      <c r="BR136" s="14">
        <f>('疲劳值&amp;地图信息'!$S$10*'疲劳值&amp;地图信息'!$R$10+($BQ136-'疲劳值&amp;地图信息'!$S$10)*'疲劳值&amp;地图信息'!$R$11)/$BQ136</f>
        <v>32.067203015074995</v>
      </c>
      <c r="CF136" s="14">
        <v>131</v>
      </c>
      <c r="CG136" s="51">
        <f t="shared" si="221"/>
        <v>10991</v>
      </c>
      <c r="CH136" s="51">
        <f t="shared" si="222"/>
        <v>914</v>
      </c>
      <c r="CI136" s="51">
        <f>INT(SUMPRODUCT($N136:$R136,$BA136:$BE136)/SUM($BA136:$BE136)/10000*$BX$7*$BZ$34/'疲劳值&amp;地图信息'!$R$10*$BY$53)</f>
        <v>3024</v>
      </c>
      <c r="CJ136" s="50">
        <f t="shared" si="223"/>
        <v>0.73621809900194257</v>
      </c>
      <c r="CK136" s="50">
        <f t="shared" si="224"/>
        <v>6.122312278116418E-2</v>
      </c>
      <c r="CL136" s="50">
        <f t="shared" si="225"/>
        <v>0.2025587782168933</v>
      </c>
      <c r="CM136" s="14">
        <f t="shared" si="226"/>
        <v>11806</v>
      </c>
      <c r="CN136" s="14">
        <f t="shared" si="227"/>
        <v>1507</v>
      </c>
      <c r="CO136" s="14">
        <f>INT(SUMPRODUCT($U136:$Y136,$BA136:$BE136)/SUM($BA136:$BE136)/10000*$BX$7*$BZ$34/'疲劳值&amp;地图信息'!$R$10*$BY$54)</f>
        <v>5694</v>
      </c>
      <c r="CP136" s="50">
        <f t="shared" si="228"/>
        <v>0.62113958015467985</v>
      </c>
      <c r="CQ136" s="50">
        <f t="shared" si="229"/>
        <v>7.9286578628926185E-2</v>
      </c>
      <c r="CR136" s="50">
        <f t="shared" si="230"/>
        <v>0.29957384121639397</v>
      </c>
      <c r="CS136" s="14">
        <f t="shared" si="231"/>
        <v>12665</v>
      </c>
      <c r="CT136" s="14">
        <f t="shared" si="232"/>
        <v>2616</v>
      </c>
      <c r="CU136" s="14">
        <f>INT(SUMPRODUCT($AB136:$AF136,$BA136:$BE136)/SUM($BA136:$BE136)/10000*$BX$7*$BZ$34/'疲劳值&amp;地图信息'!$R$10*$BY$55)</f>
        <v>7737</v>
      </c>
      <c r="CV136" s="50">
        <f t="shared" si="233"/>
        <v>0.55022156573116687</v>
      </c>
      <c r="CW136" s="50">
        <f t="shared" si="234"/>
        <v>0.11365018681032235</v>
      </c>
      <c r="CX136" s="50">
        <f t="shared" si="235"/>
        <v>0.33612824745851072</v>
      </c>
      <c r="CY136" s="14">
        <f t="shared" si="236"/>
        <v>14483</v>
      </c>
      <c r="CZ136" s="14">
        <f t="shared" si="237"/>
        <v>6885</v>
      </c>
      <c r="DA136" s="14">
        <f>INT(SUMPRODUCT($AI136:$AM136,$BA136:$BE136)/SUM($BA136:$BE136)/10000*$BX$7*$BZ$34/'疲劳值&amp;地图信息'!$R$10*$BY$56)</f>
        <v>11666</v>
      </c>
      <c r="DB136" s="50">
        <f t="shared" si="238"/>
        <v>0.43842707513470969</v>
      </c>
      <c r="DC136" s="50">
        <f t="shared" si="239"/>
        <v>0.20842162620330568</v>
      </c>
      <c r="DD136" s="50">
        <f t="shared" si="240"/>
        <v>0.35315129866198464</v>
      </c>
      <c r="DE136" s="14">
        <f t="shared" si="241"/>
        <v>14429</v>
      </c>
      <c r="DF136" s="14">
        <f t="shared" si="242"/>
        <v>13082</v>
      </c>
      <c r="DG136" s="14">
        <f>INT(SUMPRODUCT($AP136:$AT136,$BA136:$BE136)/SUM($BA136:$BE136)/10000*$BX$7*$BZ$34/'疲劳值&amp;地图信息'!$R$10*$BY$57)</f>
        <v>15581</v>
      </c>
      <c r="DH136" s="50">
        <f t="shared" si="243"/>
        <v>0.33484173396454098</v>
      </c>
      <c r="DI136" s="50">
        <f t="shared" si="244"/>
        <v>0.3035830316532071</v>
      </c>
      <c r="DJ136" s="50">
        <f t="shared" si="245"/>
        <v>0.36157523438225192</v>
      </c>
      <c r="DL136" s="14">
        <f t="shared" si="211"/>
        <v>14929</v>
      </c>
      <c r="DM136" s="14">
        <f t="shared" si="212"/>
        <v>19007</v>
      </c>
      <c r="DN136" s="14">
        <f t="shared" si="213"/>
        <v>23018</v>
      </c>
      <c r="DO136" s="14">
        <f t="shared" si="214"/>
        <v>33034</v>
      </c>
      <c r="DP136" s="14">
        <f t="shared" si="215"/>
        <v>43092</v>
      </c>
      <c r="DQ136" s="14">
        <f t="shared" si="216"/>
        <v>1041007</v>
      </c>
      <c r="DT136" s="14">
        <f t="shared" si="210"/>
        <v>235575</v>
      </c>
      <c r="DU136" s="50">
        <f t="shared" si="217"/>
        <v>0.18453573683476659</v>
      </c>
      <c r="DW136" s="14">
        <f t="shared" si="246"/>
        <v>1276582</v>
      </c>
      <c r="EB136" s="14">
        <v>131</v>
      </c>
      <c r="EC136" s="51">
        <f t="shared" si="247"/>
        <v>18319</v>
      </c>
      <c r="ED136" s="51">
        <f t="shared" si="248"/>
        <v>1524</v>
      </c>
      <c r="EE136" s="51">
        <f>INT(SUMPRODUCT($N136:$R136,$BF136:$BJ136)/SUM($BF136:$BJ136)/10000*$BX$7*$BZ$46/'疲劳值&amp;地图信息'!$R$10*$BY$53)</f>
        <v>406</v>
      </c>
      <c r="EF136" s="50">
        <f t="shared" si="249"/>
        <v>0.90468665119265146</v>
      </c>
      <c r="EG136" s="50">
        <f t="shared" si="250"/>
        <v>7.52629759494296E-2</v>
      </c>
      <c r="EH136" s="50">
        <f t="shared" si="251"/>
        <v>2.005037285791891E-2</v>
      </c>
      <c r="EI136" s="51">
        <f t="shared" si="252"/>
        <v>19677</v>
      </c>
      <c r="EJ136" s="51">
        <f t="shared" si="253"/>
        <v>2513</v>
      </c>
      <c r="EK136" s="14">
        <f>INT(SUMPRODUCT($U136:$Y136,$BF136:$BJ136)/SUM($BF136:$BJ136)/10000*$BX$7*$BZ$46/'疲劳值&amp;地图信息'!$R$10*$BY$54)</f>
        <v>764</v>
      </c>
      <c r="EL136" s="50">
        <f t="shared" si="254"/>
        <v>0.8572362115535419</v>
      </c>
      <c r="EM136" s="50">
        <f t="shared" si="255"/>
        <v>0.10947982922366473</v>
      </c>
      <c r="EN136" s="50">
        <f t="shared" si="256"/>
        <v>3.3283959222793411E-2</v>
      </c>
      <c r="EO136" s="51">
        <f t="shared" si="257"/>
        <v>21109</v>
      </c>
      <c r="EP136" s="51">
        <f t="shared" si="258"/>
        <v>4360</v>
      </c>
      <c r="EQ136" s="14">
        <f>INT(SUMPRODUCT($AB136:$AF136,$BF136:$BJ136)/SUM($BF136:$BJ136)/10000*$BX$7*$BZ$46/'疲劳值&amp;地图信息'!$R$10*$BY$55)</f>
        <v>1037</v>
      </c>
      <c r="ER136" s="50">
        <f t="shared" si="259"/>
        <v>0.79638572398702179</v>
      </c>
      <c r="ES136" s="50">
        <f t="shared" si="260"/>
        <v>0.16449105862823513</v>
      </c>
      <c r="ET136" s="50">
        <f t="shared" si="261"/>
        <v>3.9123217384743079E-2</v>
      </c>
      <c r="EU136" s="51">
        <f t="shared" si="262"/>
        <v>24138</v>
      </c>
      <c r="EV136" s="51">
        <f t="shared" si="263"/>
        <v>11475</v>
      </c>
      <c r="EW136" s="14">
        <f>INT(SUMPRODUCT($AI136:$AM136,$BF136:$BJ136)/SUM($BF136:$BJ136)/10000*$BX$7*$BZ$46/'疲劳值&amp;地图信息'!$R$10*$BY$56)</f>
        <v>1556</v>
      </c>
      <c r="EX136" s="50">
        <f t="shared" si="264"/>
        <v>0.64941214452904306</v>
      </c>
      <c r="EY136" s="50">
        <f t="shared" si="265"/>
        <v>0.30872501277946673</v>
      </c>
      <c r="EZ136" s="50">
        <f t="shared" si="266"/>
        <v>4.1862842691490224E-2</v>
      </c>
      <c r="FA136" s="51">
        <f t="shared" si="267"/>
        <v>24049</v>
      </c>
      <c r="FB136" s="51">
        <f t="shared" si="268"/>
        <v>21804</v>
      </c>
      <c r="FC136" s="14">
        <f>INT(SUMPRODUCT($AP136:$AT136,$BF136:$BJ136)/SUM($BF136:$BJ136)/10000*$BX$7*$BZ$46/'疲劳值&amp;地图信息'!$R$10*$BY$57)</f>
        <v>2075</v>
      </c>
      <c r="FD136" s="50">
        <f t="shared" si="269"/>
        <v>0.50177349357369383</v>
      </c>
      <c r="FE136" s="50">
        <f t="shared" si="270"/>
        <v>0.45493239859789686</v>
      </c>
      <c r="FF136" s="50">
        <f t="shared" si="271"/>
        <v>4.3294107828409284E-2</v>
      </c>
      <c r="FH136" s="14">
        <f t="shared" si="272"/>
        <v>20249</v>
      </c>
      <c r="FI136" s="14">
        <f t="shared" si="273"/>
        <v>22954</v>
      </c>
      <c r="FJ136" s="14">
        <f t="shared" si="274"/>
        <v>26506</v>
      </c>
      <c r="FK136" s="14">
        <f t="shared" si="275"/>
        <v>37169</v>
      </c>
      <c r="FL136" s="14">
        <f t="shared" si="276"/>
        <v>47928</v>
      </c>
      <c r="FM136" s="14">
        <f t="shared" si="277"/>
        <v>2372422</v>
      </c>
      <c r="FP136" s="14">
        <f t="shared" si="278"/>
        <v>334150</v>
      </c>
      <c r="FQ136" s="50">
        <f t="shared" si="218"/>
        <v>0.12345875151298395</v>
      </c>
      <c r="FS136" s="14">
        <f t="shared" si="279"/>
        <v>2706572</v>
      </c>
      <c r="FX136" s="14">
        <v>131</v>
      </c>
      <c r="FY136" s="51">
        <f t="shared" si="280"/>
        <v>25647</v>
      </c>
      <c r="FZ136" s="51">
        <f t="shared" si="281"/>
        <v>1524</v>
      </c>
      <c r="GA136" s="51">
        <f>INT(SUMPRODUCT($N136:$R136,$BF136:$BJ136)/SUM($BF136:$BJ136)/10000*$BX$7*$BZ$46/'疲劳值&amp;地图信息'!$R$10*$BY$53)</f>
        <v>406</v>
      </c>
      <c r="GB136" s="50">
        <f t="shared" si="282"/>
        <v>0.93001414221996592</v>
      </c>
      <c r="GC136" s="50">
        <f t="shared" si="283"/>
        <v>5.5263444174493234E-2</v>
      </c>
      <c r="GD136" s="50">
        <f t="shared" si="284"/>
        <v>1.4722413605540849E-2</v>
      </c>
      <c r="GE136" s="51">
        <f t="shared" si="285"/>
        <v>27549</v>
      </c>
      <c r="GF136" s="51">
        <f t="shared" si="286"/>
        <v>2513</v>
      </c>
      <c r="GG136" s="14">
        <f>INT(SUMPRODUCT($U136:$Y136,$BF136:$BJ136)/SUM($BF136:$BJ136)/10000*$BX$7*$BZ$46/'疲劳值&amp;地图信息'!$R$10*$BY$54)</f>
        <v>764</v>
      </c>
      <c r="GH136" s="50">
        <f t="shared" si="287"/>
        <v>0.89369363524297674</v>
      </c>
      <c r="GI136" s="50">
        <f t="shared" si="288"/>
        <v>8.1522091740738337E-2</v>
      </c>
      <c r="GJ136" s="50">
        <f t="shared" si="289"/>
        <v>2.4784273016284955E-2</v>
      </c>
      <c r="GK136" s="51">
        <f t="shared" si="290"/>
        <v>29552</v>
      </c>
      <c r="GL136" s="51">
        <f t="shared" si="291"/>
        <v>4360</v>
      </c>
      <c r="GM136" s="14">
        <f>INT(SUMPRODUCT($AB136:$AF136,$BF136:$BJ136)/SUM($BF136:$BJ136)/10000*$BX$7*$BZ$46/'疲劳值&amp;地图信息'!$R$10*$BY$55)</f>
        <v>1037</v>
      </c>
      <c r="GN136" s="50">
        <f t="shared" si="292"/>
        <v>0.84557498068614267</v>
      </c>
      <c r="GO136" s="50">
        <f t="shared" si="293"/>
        <v>0.124753211822942</v>
      </c>
      <c r="GP136" s="50">
        <f t="shared" si="294"/>
        <v>2.9671807490915334E-2</v>
      </c>
      <c r="GQ136" s="51">
        <f t="shared" si="295"/>
        <v>33794</v>
      </c>
      <c r="GR136" s="51">
        <f t="shared" si="296"/>
        <v>11475</v>
      </c>
      <c r="GS136" s="14">
        <f>INT(SUMPRODUCT($AI136:$AM136,$BF136:$BJ136)/SUM($BF136:$BJ136)/10000*$BX$7*$BZ$46/'疲劳值&amp;地图信息'!$R$10*$BY$56)</f>
        <v>1556</v>
      </c>
      <c r="GT136" s="50">
        <f t="shared" si="297"/>
        <v>0.72170848905499196</v>
      </c>
      <c r="GU136" s="50">
        <f t="shared" si="298"/>
        <v>0.24506139882541378</v>
      </c>
      <c r="GV136" s="50">
        <f t="shared" si="299"/>
        <v>3.3230112119594236E-2</v>
      </c>
      <c r="GW136" s="51">
        <f t="shared" si="300"/>
        <v>33669</v>
      </c>
      <c r="GX136" s="51">
        <f t="shared" si="301"/>
        <v>21804</v>
      </c>
      <c r="GY136" s="14">
        <f>INT(SUMPRODUCT($AP136:$AT136,$BF136:$BJ136)/SUM($BF136:$BJ136)/10000*$BX$7*$BZ$46/'疲劳值&amp;地图信息'!$R$10*$BY$57)</f>
        <v>2075</v>
      </c>
      <c r="GZ136" s="50">
        <f t="shared" si="302"/>
        <v>0.58505942865086535</v>
      </c>
      <c r="HA136" s="50">
        <f t="shared" si="303"/>
        <v>0.37888371446444707</v>
      </c>
      <c r="HB136" s="50">
        <f t="shared" si="304"/>
        <v>3.6056856884687565E-2</v>
      </c>
      <c r="HD136" s="14">
        <f t="shared" si="305"/>
        <v>27577</v>
      </c>
      <c r="HE136" s="14">
        <f t="shared" si="306"/>
        <v>30826</v>
      </c>
      <c r="HF136" s="14">
        <f t="shared" si="307"/>
        <v>34949</v>
      </c>
      <c r="HG136" s="14">
        <f t="shared" si="308"/>
        <v>46825</v>
      </c>
      <c r="HH136" s="14">
        <f t="shared" si="309"/>
        <v>57548</v>
      </c>
      <c r="HI136" s="14">
        <f t="shared" si="310"/>
        <v>3182443</v>
      </c>
      <c r="HL136" s="14">
        <f t="shared" si="311"/>
        <v>430050</v>
      </c>
      <c r="HM136" s="50">
        <f t="shared" si="219"/>
        <v>0.11904521337480792</v>
      </c>
      <c r="HO136" s="14">
        <f t="shared" si="312"/>
        <v>3612493</v>
      </c>
    </row>
    <row r="137" spans="11:223" x14ac:dyDescent="0.2">
      <c r="K137" s="14">
        <v>132</v>
      </c>
      <c r="L137" s="12">
        <f>求节点(节奏总纲!D$4:D$163,标准城池设计!AB$4:AB$163,$K137)*求节点(节奏总纲!D$4:D$163,攻城基础信息!$AC$5:$AC$164,$K137)</f>
        <v>541034.18074375903</v>
      </c>
      <c r="M137" s="12">
        <f>INDEX(其他调用!$AA$5:$AA$404,MATCH(K137,其他调用!$X$5:$X$404,0))*MIN(INDEX(其他调用!$AH$5:$AH$364,MATCH('征服点（新）'!K137,其他调用!$AG$5:$AG$364,0),1)/INDEX(其他调用!$AJ$5:$AJ$364,MATCH(K137,其他调用!$AG$5:$AG$364,0),0),5)*求节点(节奏总纲!D$4:D$163,攻城基础信息!$AC$5:$AC$164,$K137)</f>
        <v>44920.697226615201</v>
      </c>
      <c r="N137" s="12">
        <f>MIN(INDEX(其他调用!$AH$5:$AH$364,MATCH($K137,其他调用!$AG$5:$AG$364,0),1)/INDEX(其他调用!AH$5:AH$364,MATCH($K137,其他调用!$AG$5:$AG$364,0),0),1)*INDEX(其他调用!Y$5:Y$404,MATCH($K137,其他调用!$X$5:$X$404,0),0)</f>
        <v>37738.925799435994</v>
      </c>
      <c r="O137" s="12">
        <f>MIN(INDEX(其他调用!$AH$5:$AH$364,MATCH($K137,其他调用!$AG$5:$AG$364,0),1)/INDEX(其他调用!AI$5:AI$364,MATCH($K137,其他调用!$AG$5:$AG$364,0),0),1)*INDEX(其他调用!Z$5:Z$404,MATCH($K137,其他调用!$X$5:$X$404,0),0)</f>
        <v>23578.492187456843</v>
      </c>
      <c r="P137" s="12">
        <f>MIN(INDEX(其他调用!$AH$5:$AH$364,MATCH($K137,其他调用!$AG$5:$AG$364,0),1)/INDEX(其他调用!AJ$5:AJ$364,MATCH($K137,其他调用!$AG$5:$AG$364,0),0),1)*INDEX(其他调用!AA$5:AA$404,MATCH($K137,其他调用!$X$5:$X$404,0),0)</f>
        <v>14104.678800393795</v>
      </c>
      <c r="Q137" s="12">
        <f>MIN(INDEX(其他调用!$AH$5:$AH$364,MATCH($K137,其他调用!$AG$5:$AG$364,0),1)/INDEX(其他调用!AK$5:AK$364,MATCH($K137,其他调用!$AG$5:$AG$364,0),0),1)*INDEX(其他调用!AB$5:AB$404,MATCH($K137,其他调用!$X$5:$X$404,0),0)</f>
        <v>5642.9509878531298</v>
      </c>
      <c r="R137" s="12">
        <f>MIN(INDEX(其他调用!$AH$5:$AH$364,MATCH($K137,其他调用!$AG$5:$AG$364,0),1)/INDEX(其他调用!AL$5:AL$364,MATCH($K137,其他调用!$AG$5:$AG$364,0),0),1)*INDEX(其他调用!AC$5:AC$404,MATCH($K137,其他调用!$X$5:$X$404,0),0)</f>
        <v>1823.9103128614656</v>
      </c>
      <c r="S137" s="12">
        <f>求节点(节奏总纲!D$4:D$163,标准城池设计!AC$4:AC$163,$K137)*求节点(节奏总纲!D$4:D$163,攻城基础信息!$AD$5:$AD$164,$K137)</f>
        <v>581250.22315404157</v>
      </c>
      <c r="T137" s="12">
        <f>INDEX(其他调用!$AA$5:$AA$404,MATCH($K137,其他调用!$X$5:$X$404,0))*MIN(INDEX(其他调用!AI$5:AI$364,MATCH($K137,其他调用!$AG$5:$AG$364,0),1)/INDEX(其他调用!$AJ$5:$AJ$364,MATCH($K137,其他调用!$AG$5:$AG$364,0),0),5)*求节点(节奏总纲!D$4:D$163,攻城基础信息!$AD$5:$AD$164,$K137)</f>
        <v>74085.982566874794</v>
      </c>
      <c r="U137" s="12">
        <f>MIN(INDEX(其他调用!$AI$5:$AI$364,MATCH($K137,其他调用!$AG$5:$AG$364,0),1)/INDEX(其他调用!AH$5:AH$364,MATCH($K137,其他调用!$AG$5:$AG$364,0),0),1)*INDEX(其他调用!Y$5:Y$404,MATCH($K137,其他调用!$X$5:$X$404,0),0)</f>
        <v>37738.925799435994</v>
      </c>
      <c r="V137" s="12">
        <f>MIN(INDEX(其他调用!$AI$5:$AI$364,MATCH($K137,其他调用!$AG$5:$AG$364,0),1)/INDEX(其他调用!AI$5:AI$364,MATCH($K137,其他调用!$AG$5:$AG$364,0),0),1)*INDEX(其他调用!Z$5:Z$404,MATCH($K137,其他调用!$X$5:$X$404,0),0)</f>
        <v>38887.10258304124</v>
      </c>
      <c r="W137" s="12">
        <f>MIN(INDEX(其他调用!$AI$5:$AI$364,MATCH($K137,其他调用!$AG$5:$AG$364,0),1)/INDEX(其他调用!AJ$5:AJ$364,MATCH($K137,其他调用!$AG$5:$AG$364,0),0),1)*INDEX(其他调用!AA$5:AA$404,MATCH($K137,其他调用!$X$5:$X$404,0),0)</f>
        <v>23262.305623747361</v>
      </c>
      <c r="X137" s="12">
        <f>MIN(INDEX(其他调用!$AI$5:$AI$364,MATCH($K137,其他调用!$AG$5:$AG$364,0),1)/INDEX(其他调用!AK$5:AK$364,MATCH($K137,其他调用!$AG$5:$AG$364,0),0),1)*INDEX(其他调用!AB$5:AB$404,MATCH($K137,其他调用!$X$5:$X$404,0),0)</f>
        <v>9306.7025741558646</v>
      </c>
      <c r="Y137" s="12">
        <f>MIN(INDEX(其他调用!$AI$5:$AI$364,MATCH($K137,其他调用!$AG$5:$AG$364,0),1)/INDEX(其他调用!AL$5:AL$364,MATCH($K137,其他调用!$AG$5:$AG$364,0),0),1)*INDEX(其他调用!AC$5:AC$404,MATCH($K137,其他调用!$X$5:$X$404,0),0)</f>
        <v>3008.1053052341404</v>
      </c>
      <c r="Z137" s="12">
        <f>求节点(节奏总纲!D$4:D$163,标准城池设计!AD$4:AD$163,$K137)*求节点(节奏总纲!D$4:D$163,攻城基础信息!$AE$5:$AE$164,$K137)</f>
        <v>623321.8795366484</v>
      </c>
      <c r="AA137" s="12">
        <f>INDEX(其他调用!$AA$5:$AA$404,MATCH($K137,其他调用!$X$5:$X$404,0))*MIN(INDEX(其他调用!AJ$5:AJ$364,MATCH($K137,其他调用!$AG$5:$AG$364,0),1)/INDEX(其他调用!$AJ$5:$AJ$364,MATCH($K137,其他调用!$AG$5:$AG$364,0),0),5)*求节点(节奏总纲!D$4:D$163,攻城基础信息!$AE$5:$AE$164,$K137)</f>
        <v>128661.52261651824</v>
      </c>
      <c r="AB137" s="12">
        <f>MIN(INDEX(其他调用!$AJ$5:$AJ$364,MATCH($K137,其他调用!$AG$5:$AG$364,0),1)/INDEX(其他调用!AH$5:AH$364,MATCH($K137,其他调用!$AG$5:$AG$364,0),0),1)*INDEX(其他调用!Y$5:Y$404,MATCH($K137,其他调用!$X$5:$X$404,0),0)</f>
        <v>37738.925799435994</v>
      </c>
      <c r="AC137" s="12">
        <f>MIN(INDEX(其他调用!$AJ$5:$AJ$364,MATCH($K137,其他调用!$AG$5:$AG$364,0),1)/INDEX(其他调用!AI$5:AI$364,MATCH($K137,其他调用!$AG$5:$AG$364,0),0),1)*INDEX(其他调用!Z$5:Z$404,MATCH($K137,其他调用!$X$5:$X$404,0),0)</f>
        <v>38887.10258304124</v>
      </c>
      <c r="AD137" s="12">
        <f>MIN(INDEX(其他调用!$AJ$5:$AJ$364,MATCH($K137,其他调用!$AG$5:$AG$364,0),1)/INDEX(其他调用!AJ$5:AJ$364,MATCH($K137,其他调用!$AG$5:$AG$364,0),0),1)*INDEX(其他调用!AA$5:AA$404,MATCH($K137,其他调用!$X$5:$X$404,0),0)</f>
        <v>40398.514771947419</v>
      </c>
      <c r="AE137" s="12">
        <f>MIN(INDEX(其他调用!$AJ$5:$AJ$364,MATCH($K137,其他调用!$AG$5:$AG$364,0),1)/INDEX(其他调用!AK$5:AK$364,MATCH($K137,其他调用!$AG$5:$AG$364,0),0),1)*INDEX(其他调用!AB$5:AB$404,MATCH($K137,其他调用!$X$5:$X$404,0),0)</f>
        <v>16162.497712021293</v>
      </c>
      <c r="AF137" s="12">
        <f>MIN(INDEX(其他调用!$AJ$5:$AJ$364,MATCH($K137,其他调用!$AG$5:$AG$364,0),1)/INDEX(其他调用!AL$5:AL$364,MATCH($K137,其他调用!$AG$5:$AG$364,0),0),1)*INDEX(其他调用!AC$5:AC$404,MATCH($K137,其他调用!$X$5:$X$404,0),0)</f>
        <v>5224.0301788924089</v>
      </c>
      <c r="AG137" s="12">
        <f>求节点(节奏总纲!D$4:D$163,标准城池设计!AE$4:AE$163,$K137)*求节点(节奏总纲!D$4:D$163,攻城基础信息!$AF$5:$AF$164,$K137)</f>
        <v>712939.44653041917</v>
      </c>
      <c r="AH137" s="12">
        <f>INDEX(其他调用!$AA$5:$AA$404,MATCH($K137,其他调用!$X$5:$X$404,0))*MIN(INDEX(其他调用!AK$5:AK$364,MATCH($K137,其他调用!$AG$5:$AG$364,0),1)/INDEX(其他调用!$AJ$5:$AJ$364,MATCH($K137,其他调用!$AG$5:$AG$364,0),0),5)*求节点(节奏总纲!D$4:D$163,攻城基础信息!$AF$5:$AF$164,$K137)</f>
        <v>339064.27233258582</v>
      </c>
      <c r="AI137" s="12">
        <f>MIN(INDEX(其他调用!$AK$5:$AK$364,MATCH($K137,其他调用!$AG$5:$AG$364,0),1)/INDEX(其他调用!AH$5:AH$364,MATCH($K137,其他调用!$AG$5:$AG$364,0),0),1)*INDEX(其他调用!Y$5:Y$404,MATCH($K137,其他调用!$X$5:$X$404,0),0)</f>
        <v>37738.925799435994</v>
      </c>
      <c r="AJ137" s="12">
        <f>MIN(INDEX(其他调用!$AK$5:$AK$364,MATCH($K137,其他调用!$AG$5:$AG$364,0),1)/INDEX(其他调用!AI$5:AI$364,MATCH($K137,其他调用!$AG$5:$AG$364,0),0),1)*INDEX(其他调用!Z$5:Z$404,MATCH($K137,其他调用!$X$5:$X$404,0),0)</f>
        <v>38887.10258304124</v>
      </c>
      <c r="AK137" s="12">
        <f>MIN(INDEX(其他调用!$AK$5:$AK$364,MATCH($K137,其他调用!$AG$5:$AG$364,0),1)/INDEX(其他调用!AJ$5:AJ$364,MATCH($K137,其他调用!$AG$5:$AG$364,0),0),1)*INDEX(其他调用!AA$5:AA$404,MATCH($K137,其他调用!$X$5:$X$404,0),0)</f>
        <v>40398.514771947419</v>
      </c>
      <c r="AL137" s="12">
        <f>MIN(INDEX(其他调用!$AK$5:$AK$364,MATCH($K137,其他调用!$AG$5:$AG$364,0),1)/INDEX(其他调用!AK$5:AK$364,MATCH($K137,其他调用!$AG$5:$AG$364,0),0),1)*INDEX(其他调用!AB$5:AB$404,MATCH($K137,其他调用!$X$5:$X$404,0),0)</f>
        <v>42593.352032195027</v>
      </c>
      <c r="AM137" s="12">
        <f>MIN(INDEX(其他调用!$AK$5:$AK$364,MATCH($K137,其他调用!$AG$5:$AG$364,0),1)/INDEX(其他调用!AL$5:AL$364,MATCH($K137,其他调用!$AG$5:$AG$364,0),0),1)*INDEX(其他调用!AC$5:AC$404,MATCH($K137,其他调用!$X$5:$X$404,0),0)</f>
        <v>13766.990746169022</v>
      </c>
      <c r="AN137" s="12">
        <f>求节点(节奏总纲!D$4:D$163,标准城池设计!AF$4:AF$163,$K137)*求节点(节奏总纲!D$4:D$163,攻城基础信息!$AG$5:$AG$164,$K137)</f>
        <v>710824.70011679479</v>
      </c>
      <c r="AO137" s="12">
        <f>INDEX(其他调用!$AA$5:$AA$404,MATCH($K137,其他调用!$X$5:$X$404,0))*MIN(INDEX(其他调用!AL$5:AL$364,MATCH($K137,其他调用!$AG$5:$AG$364,0),1)/INDEX(其他调用!$AJ$5:$AJ$364,MATCH($K137,其他调用!$AG$5:$AG$364,0),0),5)*求节点(节奏总纲!D$4:D$163,攻城基础信息!$AG$5:$AG$164,$K137)</f>
        <v>643307.6130825911</v>
      </c>
      <c r="AP137" s="12">
        <f>MIN(INDEX(其他调用!$AL$5:$AL$364,MATCH($K137,其他调用!$AG$5:$AG$364,0),1)/INDEX(其他调用!AH$5:AH$364,MATCH($K137,其他调用!$AG$5:$AG$364,0),0),1)*INDEX(其他调用!Y$5:Y$404,MATCH($K137,其他调用!$X$5:$X$404,0),0)</f>
        <v>37738.925799435994</v>
      </c>
      <c r="AQ137" s="12">
        <f>MIN(INDEX(其他调用!$AL$5:$AL$364,MATCH($K137,其他调用!$AG$5:$AG$364,0),1)/INDEX(其他调用!AI$5:AI$364,MATCH($K137,其他调用!$AG$5:$AG$364,0),0),1)*INDEX(其他调用!Z$5:Z$404,MATCH($K137,其他调用!$X$5:$X$404,0),0)</f>
        <v>38887.10258304124</v>
      </c>
      <c r="AR137" s="12">
        <f>MIN(INDEX(其他调用!$AL$5:$AL$364,MATCH($K137,其他调用!$AG$5:$AG$364,0),1)/INDEX(其他调用!AJ$5:AJ$364,MATCH($K137,其他调用!$AG$5:$AG$364,0),0),1)*INDEX(其他调用!AA$5:AA$404,MATCH($K137,其他调用!$X$5:$X$404,0),0)</f>
        <v>40398.514771947419</v>
      </c>
      <c r="AS137" s="12">
        <f>MIN(INDEX(其他调用!$AL$5:$AL$364,MATCH($K137,其他调用!$AG$5:$AG$364,0),1)/INDEX(其他调用!AK$5:AK$364,MATCH($K137,其他调用!$AG$5:$AG$364,0),0),1)*INDEX(其他调用!AB$5:AB$404,MATCH($K137,其他调用!$X$5:$X$404,0),0)</f>
        <v>42593.352032195027</v>
      </c>
      <c r="AT137" s="12">
        <f>MIN(INDEX(其他调用!$AL$5:$AL$364,MATCH($K137,其他调用!$AG$5:$AG$364,0),1)/INDEX(其他调用!AL$5:AL$364,MATCH($K137,其他调用!$AG$5:$AG$364,0),0),1)*INDEX(其他调用!AC$5:AC$404,MATCH($K137,其他调用!$X$5:$X$404,0),0)</f>
        <v>46500.353255880982</v>
      </c>
      <c r="AV137" s="14">
        <f>IF(OR(AV$5="大R",AV$5="超R"),MAX(INDEX(其他调用!$H$5:$L$404,MATCH($K137,其他调用!$B$5:$B$404,0),MATCH(AV$5,其他调用!$H$4:$L$4,0))*120*0.85,2),INDEX(其他调用!$H$5:$L$404,MATCH($K137,其他调用!$B$5:$B$404,0),MATCH(AV$5,其他调用!$H$4:$L$4,0))*120*0.85)</f>
        <v>48.921801254999991</v>
      </c>
      <c r="AW137" s="14">
        <f>IF(OR(AW$5="大R",AW$5="超R"),MAX(INDEX(其他调用!$H$5:$L$404,MATCH($K137,其他调用!$B$5:$B$404,0),MATCH(AW$5,其他调用!$H$4:$L$4,0))*120*0.85,2),INDEX(其他调用!$H$5:$L$404,MATCH($K137,其他调用!$B$5:$B$404,0),MATCH(AW$5,其他调用!$H$4:$L$4,0))*120*0.85)</f>
        <v>48.237344010638395</v>
      </c>
      <c r="AX137" s="14">
        <f>IF(OR(AX$5="大R",AX$5="超R"),MAX(INDEX(其他调用!$H$5:$L$404,MATCH($K137,其他调用!$B$5:$B$404,0),MATCH(AX$5,其他调用!$H$4:$L$4,0))*120*0.85,2),INDEX(其他调用!$H$5:$L$404,MATCH($K137,其他调用!$B$5:$B$404,0),MATCH(AX$5,其他调用!$H$4:$L$4,0))*120*0.85)</f>
        <v>3.9376284143615998</v>
      </c>
      <c r="AY137" s="14">
        <f>IF(OR(AY$5="大R",AY$5="超R"),MAX(INDEX(其他调用!$H$5:$L$404,MATCH($K137,其他调用!$B$5:$B$404,0),MATCH(AY$5,其他调用!$H$4:$L$4,0))*120*0.85,2),INDEX(其他调用!$H$5:$L$404,MATCH($K137,其他调用!$B$5:$B$404,0),MATCH(AY$5,其他调用!$H$4:$L$4,0))*120*0.85)</f>
        <v>2</v>
      </c>
      <c r="AZ137" s="14">
        <f>IF(OR(AZ$5="大R",AZ$5="超R"),MAX(INDEX(其他调用!$H$5:$L$404,MATCH($K137,其他调用!$B$5:$B$404,0),MATCH(AZ$5,其他调用!$H$4:$L$4,0))*120*0.85,2),INDEX(其他调用!$H$5:$L$404,MATCH($K137,其他调用!$B$5:$B$404,0),MATCH(AZ$5,其他调用!$H$4:$L$4,0))*120*0.85)</f>
        <v>2</v>
      </c>
      <c r="BA137" s="14">
        <f>INDEX(其他调用!$H$5:$L$404,MATCH($K137,其他调用!$B$5:$B$404,0),MATCH(BA$5,其他调用!$H$4:$L$4,0))*INDEX(其他调用!$M$5:$M$404,MATCH($K137,其他调用!$B$5:$B$404,0))*0.6</f>
        <v>28.777530149999997</v>
      </c>
      <c r="BB137" s="14">
        <f>INDEX(其他调用!$H$5:$L$404,MATCH($K137,其他调用!$B$5:$B$404,0),MATCH(BB$5,其他调用!$H$4:$L$4,0))*INDEX(其他调用!$M$5:$M$404,MATCH($K137,其他调用!$B$5:$B$404,0))*0.6</f>
        <v>28.374908241551999</v>
      </c>
      <c r="BC137" s="14">
        <f>INDEX(其他调用!$H$5:$L$404,MATCH($K137,其他调用!$B$5:$B$404,0),MATCH(BC$5,其他调用!$H$4:$L$4,0))*INDEX(其他调用!$M$5:$M$404,MATCH($K137,其他调用!$B$5:$B$404,0))*0.6</f>
        <v>2.3162520084480001</v>
      </c>
      <c r="BD137" s="14">
        <f>INDEX(其他调用!$H$5:$L$404,MATCH($K137,其他调用!$B$5:$B$404,0),MATCH(BD$5,其他调用!$H$4:$L$4,0))*INDEX(其他调用!$M$5:$M$404,MATCH($K137,其他调用!$B$5:$B$404,0))*0.6</f>
        <v>0.4120776000000001</v>
      </c>
      <c r="BE137" s="14">
        <f>INDEX(其他调用!$H$5:$L$404,MATCH($K137,其他调用!$B$5:$B$404,0),MATCH(BE$5,其他调用!$H$4:$L$4,0))*INDEX(其他调用!$M$5:$M$404,MATCH($K137,其他调用!$B$5:$B$404,0))*0.6</f>
        <v>0.11923199999999998</v>
      </c>
      <c r="BF137" s="14">
        <f>IF(OR(BF$5="大R",BF$5="超R"),0,INDEX(其他调用!$H$5:$L$404,MATCH($K137,其他调用!$B$5:$B$404,0),MATCH(BF$5,其他调用!$H$4:$L$4,0))*50*0.4)</f>
        <v>9.5925100500000013</v>
      </c>
      <c r="BG137" s="14">
        <f>IF(OR(BG$5="大R",BG$5="超R"),0,INDEX(其他调用!$H$5:$L$404,MATCH($K137,其他调用!$B$5:$B$404,0),MATCH(BG$5,其他调用!$H$4:$L$4,0))*50*0.4)</f>
        <v>9.4583027471839998</v>
      </c>
      <c r="BH137" s="14">
        <f>IF(OR(BH$5="大R",BH$5="超R"),0,INDEX(其他调用!$H$5:$L$404,MATCH($K137,其他调用!$B$5:$B$404,0),MATCH(BH$5,其他调用!$H$4:$L$4,0))*50*0.4)</f>
        <v>0.77208400281600009</v>
      </c>
      <c r="BI137" s="14">
        <f>IF(OR(BI$5="大R",BI$5="超R"),0,INDEX(其他调用!$H$5:$L$404,MATCH($K137,其他调用!$B$5:$B$404,0),MATCH(BI$5,其他调用!$H$4:$L$4,0))*50*0.4)</f>
        <v>0</v>
      </c>
      <c r="BJ137" s="14">
        <f>IF(OR(BJ$5="大R",BJ$5="超R"),0,INDEX(其他调用!$H$5:$L$404,MATCH($K137,其他调用!$B$5:$B$404,0),MATCH(BJ$5,其他调用!$H$4:$L$4,0))*50*0.4)</f>
        <v>0</v>
      </c>
      <c r="BL137" s="14">
        <f t="shared" si="313"/>
        <v>132</v>
      </c>
      <c r="BM137" s="14">
        <f t="shared" si="220"/>
        <v>96</v>
      </c>
      <c r="BN137" s="14">
        <f>('疲劳值&amp;地图信息'!$S$10*'疲劳值&amp;地图信息'!$R$10+'疲劳值&amp;地图信息'!$S$11*'疲劳值&amp;地图信息'!$R$11+'疲劳值&amp;地图信息'!$S$12*'疲劳值&amp;地图信息'!$R$12+(BM137-'疲劳值&amp;地图信息'!$S$12-'疲劳值&amp;地图信息'!$S$11-'疲劳值&amp;地图信息'!$S$10)*'疲劳值&amp;地图信息'!$R$13)/BM137</f>
        <v>51.371477246638619</v>
      </c>
      <c r="BO137" s="14">
        <f>INDEX(其他调用!$M$5:$M$404,MATCH(BL137,其他调用!$B$5:$B$404,0))*0.6</f>
        <v>60</v>
      </c>
      <c r="BP137" s="14">
        <f>IF(BO137&gt;SUM('疲劳值&amp;地图信息'!$S$10:$S$12),('疲劳值&amp;地图信息'!$S$10*'疲劳值&amp;地图信息'!$R$10+'疲劳值&amp;地图信息'!$S$11*'疲劳值&amp;地图信息'!$R$11+'疲劳值&amp;地图信息'!$S$12*'疲劳值&amp;地图信息'!$R$12+(BO137-'疲劳值&amp;地图信息'!$S$12-'疲劳值&amp;地图信息'!$S$11-'疲劳值&amp;地图信息'!$S$10)*'疲劳值&amp;地图信息'!$R$13)/BO137,('疲劳值&amp;地图信息'!$S$10*'疲劳值&amp;地图信息'!$R$10+'疲劳值&amp;地图信息'!$S$11*'疲劳值&amp;地图信息'!$R$11+'疲劳值&amp;地图信息'!$S$12*'疲劳值&amp;地图信息'!$R$12+(BO137-'疲劳值&amp;地图信息'!$S$12-'疲劳值&amp;地图信息'!$S$11-'疲劳值&amp;地图信息'!$S$10)*'疲劳值&amp;地图信息'!$R$13)/BO137)</f>
        <v>44.158136341605953</v>
      </c>
      <c r="BQ137" s="14">
        <f t="shared" si="314"/>
        <v>20</v>
      </c>
      <c r="BR137" s="14">
        <f>('疲劳值&amp;地图信息'!$S$10*'疲劳值&amp;地图信息'!$R$10+($BQ137-'疲劳值&amp;地图信息'!$S$10)*'疲劳值&amp;地图信息'!$R$11)/$BQ137</f>
        <v>32.067203015074995</v>
      </c>
      <c r="CF137" s="14">
        <v>132</v>
      </c>
      <c r="CG137" s="51">
        <f t="shared" si="221"/>
        <v>11026</v>
      </c>
      <c r="CH137" s="51">
        <f t="shared" si="222"/>
        <v>915</v>
      </c>
      <c r="CI137" s="51">
        <f>INT(SUMPRODUCT($N137:$R137,$BA137:$BE137)/SUM($BA137:$BE137)/10000*$BX$7*$BZ$34/'疲劳值&amp;地图信息'!$R$10*$BY$53)</f>
        <v>3027</v>
      </c>
      <c r="CJ137" s="50">
        <f t="shared" si="223"/>
        <v>0.73663816141101013</v>
      </c>
      <c r="CK137" s="50">
        <f t="shared" si="224"/>
        <v>6.1130411544628539E-2</v>
      </c>
      <c r="CL137" s="50">
        <f t="shared" si="225"/>
        <v>0.20223142704436131</v>
      </c>
      <c r="CM137" s="14">
        <f t="shared" si="226"/>
        <v>11846</v>
      </c>
      <c r="CN137" s="14">
        <f t="shared" si="227"/>
        <v>1509</v>
      </c>
      <c r="CO137" s="14">
        <f>INT(SUMPRODUCT($U137:$Y137,$BA137:$BE137)/SUM($BA137:$BE137)/10000*$BX$7*$BZ$34/'疲劳值&amp;地图信息'!$R$10*$BY$54)</f>
        <v>5701</v>
      </c>
      <c r="CP137" s="50">
        <f t="shared" si="228"/>
        <v>0.62164147774979006</v>
      </c>
      <c r="CQ137" s="50">
        <f t="shared" si="229"/>
        <v>7.9187657430730474E-2</v>
      </c>
      <c r="CR137" s="50">
        <f t="shared" si="230"/>
        <v>0.29917086481947941</v>
      </c>
      <c r="CS137" s="14">
        <f t="shared" si="231"/>
        <v>12704</v>
      </c>
      <c r="CT137" s="14">
        <f t="shared" si="232"/>
        <v>2622</v>
      </c>
      <c r="CU137" s="14">
        <f>INT(SUMPRODUCT($AB137:$AF137,$BA137:$BE137)/SUM($BA137:$BE137)/10000*$BX$7*$BZ$34/'疲劳值&amp;地图信息'!$R$10*$BY$55)</f>
        <v>7746</v>
      </c>
      <c r="CV137" s="50">
        <f t="shared" si="233"/>
        <v>0.55062413314840497</v>
      </c>
      <c r="CW137" s="50">
        <f t="shared" si="234"/>
        <v>0.11364424410540916</v>
      </c>
      <c r="CX137" s="50">
        <f t="shared" si="235"/>
        <v>0.33573162274618584</v>
      </c>
      <c r="CY137" s="14">
        <f t="shared" si="236"/>
        <v>14530</v>
      </c>
      <c r="CZ137" s="14">
        <f t="shared" si="237"/>
        <v>6910</v>
      </c>
      <c r="DA137" s="14">
        <f>INT(SUMPRODUCT($AI137:$AM137,$BA137:$BE137)/SUM($BA137:$BE137)/10000*$BX$7*$BZ$34/'疲劳值&amp;地图信息'!$R$10*$BY$56)</f>
        <v>11679</v>
      </c>
      <c r="DB137" s="50">
        <f t="shared" si="238"/>
        <v>0.43872097587487546</v>
      </c>
      <c r="DC137" s="50">
        <f t="shared" si="239"/>
        <v>0.20864156526465172</v>
      </c>
      <c r="DD137" s="50">
        <f t="shared" si="240"/>
        <v>0.35263745886047282</v>
      </c>
      <c r="DE137" s="14">
        <f t="shared" si="241"/>
        <v>14487</v>
      </c>
      <c r="DF137" s="14">
        <f t="shared" si="242"/>
        <v>13111</v>
      </c>
      <c r="DG137" s="14">
        <f>INT(SUMPRODUCT($AP137:$AT137,$BA137:$BE137)/SUM($BA137:$BE137)/10000*$BX$7*$BZ$34/'疲劳值&amp;地图信息'!$R$10*$BY$57)</f>
        <v>15599</v>
      </c>
      <c r="DH137" s="50">
        <f t="shared" si="243"/>
        <v>0.33537051184110006</v>
      </c>
      <c r="DI137" s="50">
        <f t="shared" si="244"/>
        <v>0.30351644790147464</v>
      </c>
      <c r="DJ137" s="50">
        <f t="shared" si="245"/>
        <v>0.3611130402574253</v>
      </c>
      <c r="DL137" s="14">
        <f t="shared" si="211"/>
        <v>14968</v>
      </c>
      <c r="DM137" s="14">
        <f t="shared" si="212"/>
        <v>19056</v>
      </c>
      <c r="DN137" s="14">
        <f t="shared" si="213"/>
        <v>23072</v>
      </c>
      <c r="DO137" s="14">
        <f t="shared" si="214"/>
        <v>33119</v>
      </c>
      <c r="DP137" s="14">
        <f t="shared" si="215"/>
        <v>43197</v>
      </c>
      <c r="DQ137" s="14">
        <f t="shared" si="216"/>
        <v>1043692</v>
      </c>
      <c r="DT137" s="14">
        <f t="shared" si="210"/>
        <v>235575</v>
      </c>
      <c r="DU137" s="50">
        <f t="shared" si="217"/>
        <v>0.18414842249506944</v>
      </c>
      <c r="DW137" s="14">
        <f t="shared" si="246"/>
        <v>1279267</v>
      </c>
      <c r="EB137" s="14">
        <v>132</v>
      </c>
      <c r="EC137" s="51">
        <f t="shared" si="247"/>
        <v>18378</v>
      </c>
      <c r="ED137" s="51">
        <f t="shared" si="248"/>
        <v>1525</v>
      </c>
      <c r="EE137" s="51">
        <f>INT(SUMPRODUCT($N137:$R137,$BF137:$BJ137)/SUM($BF137:$BJ137)/10000*$BX$7*$BZ$46/'疲劳值&amp;地图信息'!$R$10*$BY$53)</f>
        <v>406</v>
      </c>
      <c r="EF137" s="50">
        <f t="shared" si="249"/>
        <v>0.90491900142793835</v>
      </c>
      <c r="EG137" s="50">
        <f t="shared" si="250"/>
        <v>7.5089861637697569E-2</v>
      </c>
      <c r="EH137" s="50">
        <f t="shared" si="251"/>
        <v>1.9991136934364075E-2</v>
      </c>
      <c r="EI137" s="51">
        <f t="shared" si="252"/>
        <v>19744</v>
      </c>
      <c r="EJ137" s="51">
        <f t="shared" si="253"/>
        <v>2516</v>
      </c>
      <c r="EK137" s="14">
        <f>INT(SUMPRODUCT($U137:$Y137,$BF137:$BJ137)/SUM($BF137:$BJ137)/10000*$BX$7*$BZ$46/'疲劳值&amp;地图信息'!$R$10*$BY$54)</f>
        <v>765</v>
      </c>
      <c r="EL137" s="50">
        <f t="shared" si="254"/>
        <v>0.85750271444082515</v>
      </c>
      <c r="EM137" s="50">
        <f t="shared" si="255"/>
        <v>0.10927252985884908</v>
      </c>
      <c r="EN137" s="50">
        <f t="shared" si="256"/>
        <v>3.322475570032573E-2</v>
      </c>
      <c r="EO137" s="51">
        <f t="shared" si="257"/>
        <v>21173</v>
      </c>
      <c r="EP137" s="51">
        <f t="shared" si="258"/>
        <v>4370</v>
      </c>
      <c r="EQ137" s="14">
        <f>INT(SUMPRODUCT($AB137:$AF137,$BF137:$BJ137)/SUM($BF137:$BJ137)/10000*$BX$7*$BZ$46/'疲劳值&amp;地图信息'!$R$10*$BY$55)</f>
        <v>1038</v>
      </c>
      <c r="ER137" s="50">
        <f t="shared" si="259"/>
        <v>0.7965464053271134</v>
      </c>
      <c r="ES137" s="50">
        <f t="shared" si="260"/>
        <v>0.16440314510364545</v>
      </c>
      <c r="ET137" s="50">
        <f t="shared" si="261"/>
        <v>3.905044956924119E-2</v>
      </c>
      <c r="EU137" s="51">
        <f t="shared" si="262"/>
        <v>24217</v>
      </c>
      <c r="EV137" s="51">
        <f t="shared" si="263"/>
        <v>11517</v>
      </c>
      <c r="EW137" s="14">
        <f>INT(SUMPRODUCT($AI137:$AM137,$BF137:$BJ137)/SUM($BF137:$BJ137)/10000*$BX$7*$BZ$46/'疲劳值&amp;地图信息'!$R$10*$BY$56)</f>
        <v>1558</v>
      </c>
      <c r="EX137" s="50">
        <f t="shared" si="264"/>
        <v>0.64938860881690441</v>
      </c>
      <c r="EY137" s="50">
        <f t="shared" si="265"/>
        <v>0.30883299367156497</v>
      </c>
      <c r="EZ137" s="50">
        <f t="shared" si="266"/>
        <v>4.1778397511530625E-2</v>
      </c>
      <c r="FA137" s="51">
        <f t="shared" si="267"/>
        <v>24145</v>
      </c>
      <c r="FB137" s="51">
        <f t="shared" si="268"/>
        <v>21852</v>
      </c>
      <c r="FC137" s="14">
        <f>INT(SUMPRODUCT($AP137:$AT137,$BF137:$BJ137)/SUM($BF137:$BJ137)/10000*$BX$7*$BZ$46/'疲劳值&amp;地图信息'!$R$10*$BY$57)</f>
        <v>2077</v>
      </c>
      <c r="FD137" s="50">
        <f t="shared" si="269"/>
        <v>0.50224653658942464</v>
      </c>
      <c r="FE137" s="50">
        <f t="shared" si="270"/>
        <v>0.45454923659358487</v>
      </c>
      <c r="FF137" s="50">
        <f t="shared" si="271"/>
        <v>4.3204226816990474E-2</v>
      </c>
      <c r="FH137" s="14">
        <f t="shared" si="272"/>
        <v>20309</v>
      </c>
      <c r="FI137" s="14">
        <f t="shared" si="273"/>
        <v>23025</v>
      </c>
      <c r="FJ137" s="14">
        <f t="shared" si="274"/>
        <v>26581</v>
      </c>
      <c r="FK137" s="14">
        <f t="shared" si="275"/>
        <v>37292</v>
      </c>
      <c r="FL137" s="14">
        <f t="shared" si="276"/>
        <v>48074</v>
      </c>
      <c r="FM137" s="14">
        <f t="shared" si="277"/>
        <v>2379615</v>
      </c>
      <c r="FP137" s="14">
        <f t="shared" si="278"/>
        <v>334150</v>
      </c>
      <c r="FQ137" s="50">
        <f t="shared" si="218"/>
        <v>0.12313151654620057</v>
      </c>
      <c r="FS137" s="14">
        <f t="shared" si="279"/>
        <v>2713765</v>
      </c>
      <c r="FX137" s="14">
        <v>132</v>
      </c>
      <c r="FY137" s="51">
        <f t="shared" si="280"/>
        <v>25729</v>
      </c>
      <c r="FZ137" s="51">
        <f t="shared" si="281"/>
        <v>1525</v>
      </c>
      <c r="GA137" s="51">
        <f>INT(SUMPRODUCT($N137:$R137,$BF137:$BJ137)/SUM($BF137:$BJ137)/10000*$BX$7*$BZ$46/'疲劳值&amp;地图信息'!$R$10*$BY$53)</f>
        <v>406</v>
      </c>
      <c r="GB137" s="50">
        <f t="shared" si="282"/>
        <v>0.93018799710773681</v>
      </c>
      <c r="GC137" s="50">
        <f t="shared" si="283"/>
        <v>5.5133767172812723E-2</v>
      </c>
      <c r="GD137" s="50">
        <f t="shared" si="284"/>
        <v>1.4678235719450469E-2</v>
      </c>
      <c r="GE137" s="51">
        <f t="shared" si="285"/>
        <v>27642</v>
      </c>
      <c r="GF137" s="51">
        <f t="shared" si="286"/>
        <v>2516</v>
      </c>
      <c r="GG137" s="14">
        <f>INT(SUMPRODUCT($U137:$Y137,$BF137:$BJ137)/SUM($BF137:$BJ137)/10000*$BX$7*$BZ$46/'疲劳值&amp;地图信息'!$R$10*$BY$54)</f>
        <v>765</v>
      </c>
      <c r="GH137" s="50">
        <f t="shared" si="287"/>
        <v>0.89389774601429361</v>
      </c>
      <c r="GI137" s="50">
        <f t="shared" si="288"/>
        <v>8.1363386476085764E-2</v>
      </c>
      <c r="GJ137" s="50">
        <f t="shared" si="289"/>
        <v>2.473886750962067E-2</v>
      </c>
      <c r="GK137" s="51">
        <f t="shared" si="290"/>
        <v>29642</v>
      </c>
      <c r="GL137" s="51">
        <f t="shared" si="291"/>
        <v>4370</v>
      </c>
      <c r="GM137" s="14">
        <f>INT(SUMPRODUCT($AB137:$AF137,$BF137:$BJ137)/SUM($BF137:$BJ137)/10000*$BX$7*$BZ$46/'疲劳值&amp;地图信息'!$R$10*$BY$55)</f>
        <v>1038</v>
      </c>
      <c r="GN137" s="50">
        <f t="shared" si="292"/>
        <v>0.84570613409415119</v>
      </c>
      <c r="GO137" s="50">
        <f t="shared" si="293"/>
        <v>0.12467902995720399</v>
      </c>
      <c r="GP137" s="50">
        <f t="shared" si="294"/>
        <v>2.9614835948644794E-2</v>
      </c>
      <c r="GQ137" s="51">
        <f t="shared" si="295"/>
        <v>33904</v>
      </c>
      <c r="GR137" s="51">
        <f t="shared" si="296"/>
        <v>11517</v>
      </c>
      <c r="GS137" s="14">
        <f>INT(SUMPRODUCT($AI137:$AM137,$BF137:$BJ137)/SUM($BF137:$BJ137)/10000*$BX$7*$BZ$46/'疲劳值&amp;地图信息'!$R$10*$BY$56)</f>
        <v>1558</v>
      </c>
      <c r="GT137" s="50">
        <f t="shared" si="297"/>
        <v>0.72168415675088871</v>
      </c>
      <c r="GU137" s="50">
        <f t="shared" si="298"/>
        <v>0.2451520892313587</v>
      </c>
      <c r="GV137" s="50">
        <f t="shared" si="299"/>
        <v>3.3163754017752615E-2</v>
      </c>
      <c r="GW137" s="51">
        <f t="shared" si="300"/>
        <v>33804</v>
      </c>
      <c r="GX137" s="51">
        <f t="shared" si="301"/>
        <v>21852</v>
      </c>
      <c r="GY137" s="14">
        <f>INT(SUMPRODUCT($AP137:$AT137,$BF137:$BJ137)/SUM($BF137:$BJ137)/10000*$BX$7*$BZ$46/'疲劳值&amp;地图信息'!$R$10*$BY$57)</f>
        <v>2077</v>
      </c>
      <c r="GZ137" s="50">
        <f t="shared" si="302"/>
        <v>0.58552301110283544</v>
      </c>
      <c r="HA137" s="50">
        <f t="shared" si="303"/>
        <v>0.37850103060641227</v>
      </c>
      <c r="HB137" s="50">
        <f t="shared" si="304"/>
        <v>3.5975958290752258E-2</v>
      </c>
      <c r="HD137" s="14">
        <f t="shared" si="305"/>
        <v>27660</v>
      </c>
      <c r="HE137" s="14">
        <f t="shared" si="306"/>
        <v>30923</v>
      </c>
      <c r="HF137" s="14">
        <f t="shared" si="307"/>
        <v>35050</v>
      </c>
      <c r="HG137" s="14">
        <f t="shared" si="308"/>
        <v>46979</v>
      </c>
      <c r="HH137" s="14">
        <f t="shared" si="309"/>
        <v>57733</v>
      </c>
      <c r="HI137" s="14">
        <f t="shared" si="310"/>
        <v>3192258</v>
      </c>
      <c r="HL137" s="14">
        <f t="shared" si="311"/>
        <v>430050</v>
      </c>
      <c r="HM137" s="50">
        <f t="shared" si="219"/>
        <v>0.11872264865384169</v>
      </c>
      <c r="HO137" s="14">
        <f t="shared" si="312"/>
        <v>3622308</v>
      </c>
    </row>
    <row r="138" spans="11:223" x14ac:dyDescent="0.2">
      <c r="K138" s="14">
        <v>133</v>
      </c>
      <c r="L138" s="12">
        <f>求节点(节奏总纲!D$4:D$163,标准城池设计!AB$4:AB$163,$K138)*求节点(节奏总纲!D$4:D$163,攻城基础信息!$AC$5:$AC$164,$K138)</f>
        <v>542759.07486674236</v>
      </c>
      <c r="M138" s="12">
        <f>INDEX(其他调用!$AA$5:$AA$404,MATCH(K138,其他调用!$X$5:$X$404,0))*MIN(INDEX(其他调用!$AH$5:$AH$364,MATCH('征服点（新）'!K138,其他调用!$AG$5:$AG$364,0),1)/INDEX(其他调用!$AJ$5:$AJ$364,MATCH(K138,其他调用!$AG$5:$AG$364,0),0),5)*求节点(节奏总纲!D$4:D$163,攻城基础信息!$AC$5:$AC$164,$K138)</f>
        <v>44976.834214210241</v>
      </c>
      <c r="N138" s="12">
        <f>MIN(INDEX(其他调用!$AH$5:$AH$364,MATCH($K138,其他调用!$AG$5:$AG$364,0),1)/INDEX(其他调用!AH$5:AH$364,MATCH($K138,其他调用!$AG$5:$AG$364,0),0),1)*INDEX(其他调用!Y$5:Y$404,MATCH($K138,其他调用!$X$5:$X$404,0),0)</f>
        <v>37783.287942361363</v>
      </c>
      <c r="O138" s="12">
        <f>MIN(INDEX(其他调用!$AH$5:$AH$364,MATCH($K138,其他调用!$AG$5:$AG$364,0),1)/INDEX(其他调用!AI$5:AI$364,MATCH($K138,其他调用!$AG$5:$AG$364,0),0),1)*INDEX(其他调用!Z$5:Z$404,MATCH($K138,其他调用!$X$5:$X$404,0),0)</f>
        <v>23601.023448800381</v>
      </c>
      <c r="P138" s="12">
        <f>MIN(INDEX(其他调用!$AH$5:$AH$364,MATCH($K138,其他调用!$AG$5:$AG$364,0),1)/INDEX(其他调用!AJ$5:AJ$364,MATCH($K138,其他调用!$AG$5:$AG$364,0),0),1)*INDEX(其他调用!AA$5:AA$404,MATCH($K138,其他调用!$X$5:$X$404,0),0)</f>
        <v>14106.234667177268</v>
      </c>
      <c r="Q138" s="12">
        <f>MIN(INDEX(其他调用!$AH$5:$AH$364,MATCH($K138,其他调用!$AG$5:$AG$364,0),1)/INDEX(其他调用!AK$5:AK$364,MATCH($K138,其他调用!$AG$5:$AG$364,0),0),1)*INDEX(其他调用!AB$5:AB$404,MATCH($K138,其他调用!$X$5:$X$404,0),0)</f>
        <v>5622.6254333401912</v>
      </c>
      <c r="R138" s="12">
        <f>MIN(INDEX(其他调用!$AH$5:$AH$364,MATCH($K138,其他调用!$AG$5:$AG$364,0),1)/INDEX(其他调用!AL$5:AL$364,MATCH($K138,其他调用!$AG$5:$AG$364,0),0),1)*INDEX(其他调用!AC$5:AC$404,MATCH($K138,其他调用!$X$5:$X$404,0),0)</f>
        <v>1825.7926350438229</v>
      </c>
      <c r="S138" s="12">
        <f>求节点(节奏总纲!D$4:D$163,标准城池设计!AC$4:AC$163,$K138)*求节点(节奏总纲!D$4:D$163,攻城基础信息!$AD$5:$AD$164,$K138)</f>
        <v>583207.69984792313</v>
      </c>
      <c r="T138" s="12">
        <f>INDEX(其他调用!$AA$5:$AA$404,MATCH($K138,其他调用!$X$5:$X$404,0))*MIN(INDEX(其他调用!AI$5:AI$364,MATCH($K138,其他调用!$AG$5:$AG$364,0),1)/INDEX(其他调用!$AJ$5:$AJ$364,MATCH($K138,其他调用!$AG$5:$AG$364,0),0),5)*求节点(节奏总纲!D$4:D$163,攻城基础信息!$AD$5:$AD$164,$K138)</f>
        <v>74191.131932893128</v>
      </c>
      <c r="U138" s="12">
        <f>MIN(INDEX(其他调用!$AI$5:$AI$364,MATCH($K138,其他调用!$AG$5:$AG$364,0),1)/INDEX(其他调用!AH$5:AH$364,MATCH($K138,其他调用!$AG$5:$AG$364,0),0),1)*INDEX(其他调用!Y$5:Y$404,MATCH($K138,其他调用!$X$5:$X$404,0),0)</f>
        <v>37783.287942361363</v>
      </c>
      <c r="V138" s="12">
        <f>MIN(INDEX(其他调用!$AI$5:$AI$364,MATCH($K138,其他调用!$AG$5:$AG$364,0),1)/INDEX(其他调用!AI$5:AI$364,MATCH($K138,其他调用!$AG$5:$AG$364,0),0),1)*INDEX(其他调用!Z$5:Z$404,MATCH($K138,其他调用!$X$5:$X$404,0),0)</f>
        <v>38930.855740132036</v>
      </c>
      <c r="W138" s="12">
        <f>MIN(INDEX(其他调用!$AI$5:$AI$364,MATCH($K138,其他调用!$AG$5:$AG$364,0),1)/INDEX(其他调用!AJ$5:AJ$364,MATCH($K138,其他调用!$AG$5:$AG$364,0),0),1)*INDEX(其他调用!AA$5:AA$404,MATCH($K138,其他调用!$X$5:$X$404,0),0)</f>
        <v>23268.812390940668</v>
      </c>
      <c r="X138" s="12">
        <f>MIN(INDEX(其他调用!$AI$5:$AI$364,MATCH($K138,其他调用!$AG$5:$AG$364,0),1)/INDEX(其他调用!AK$5:AK$364,MATCH($K138,其他调用!$AG$5:$AG$364,0),0),1)*INDEX(其他调用!AB$5:AB$404,MATCH($K138,其他调用!$X$5:$X$404,0),0)</f>
        <v>9274.7511607294527</v>
      </c>
      <c r="Y138" s="12">
        <f>MIN(INDEX(其他调用!$AI$5:$AI$364,MATCH($K138,其他调用!$AG$5:$AG$364,0),1)/INDEX(其他调用!AL$5:AL$364,MATCH($K138,其他调用!$AG$5:$AG$364,0),0),1)*INDEX(其他调用!AC$5:AC$404,MATCH($K138,其他调用!$X$5:$X$404,0),0)</f>
        <v>3011.7198027655663</v>
      </c>
      <c r="Z138" s="12">
        <f>求节点(节奏总纲!D$4:D$163,标准城池设计!AD$4:AD$163,$K138)*求节点(节奏总纲!D$4:D$163,攻城基础信息!$AE$5:$AE$164,$K138)</f>
        <v>625221.49930523965</v>
      </c>
      <c r="AA138" s="12">
        <f>INDEX(其他调用!$AA$5:$AA$404,MATCH($K138,其他调用!$X$5:$X$404,0))*MIN(INDEX(其他调用!AJ$5:AJ$364,MATCH($K138,其他调用!$AG$5:$AG$364,0),1)/INDEX(其他调用!$AJ$5:$AJ$364,MATCH($K138,其他调用!$AG$5:$AG$364,0),0),5)*求节点(节奏总纲!D$4:D$163,攻城基础信息!$AE$5:$AE$164,$K138)</f>
        <v>128945.50017665711</v>
      </c>
      <c r="AB138" s="12">
        <f>MIN(INDEX(其他调用!$AJ$5:$AJ$364,MATCH($K138,其他调用!$AG$5:$AG$364,0),1)/INDEX(其他调用!AH$5:AH$364,MATCH($K138,其他调用!$AG$5:$AG$364,0),0),1)*INDEX(其他调用!Y$5:Y$404,MATCH($K138,其他调用!$X$5:$X$404,0),0)</f>
        <v>37783.287942361363</v>
      </c>
      <c r="AC138" s="12">
        <f>MIN(INDEX(其他调用!$AJ$5:$AJ$364,MATCH($K138,其他调用!$AG$5:$AG$364,0),1)/INDEX(其他调用!AI$5:AI$364,MATCH($K138,其他调用!$AG$5:$AG$364,0),0),1)*INDEX(其他调用!Z$5:Z$404,MATCH($K138,其他调用!$X$5:$X$404,0),0)</f>
        <v>38930.855740132036</v>
      </c>
      <c r="AD138" s="12">
        <f>MIN(INDEX(其他调用!$AJ$5:$AJ$364,MATCH($K138,其他调用!$AG$5:$AG$364,0),1)/INDEX(其他调用!AJ$5:AJ$364,MATCH($K138,其他调用!$AG$5:$AG$364,0),0),1)*INDEX(其他调用!AA$5:AA$404,MATCH($K138,其他调用!$X$5:$X$404,0),0)</f>
        <v>40441.607697541949</v>
      </c>
      <c r="AE138" s="12">
        <f>MIN(INDEX(其他调用!$AJ$5:$AJ$364,MATCH($K138,其他调用!$AG$5:$AG$364,0),1)/INDEX(其他调用!AK$5:AK$364,MATCH($K138,其他调用!$AG$5:$AG$364,0),0),1)*INDEX(其他调用!AB$5:AB$404,MATCH($K138,其他调用!$X$5:$X$404,0),0)</f>
        <v>16119.681642221492</v>
      </c>
      <c r="AF138" s="12">
        <f>MIN(INDEX(其他调用!$AJ$5:$AJ$364,MATCH($K138,其他调用!$AG$5:$AG$364,0),1)/INDEX(其他调用!AL$5:AL$364,MATCH($K138,其他调用!$AG$5:$AG$364,0),0),1)*INDEX(其他调用!AC$5:AC$404,MATCH($K138,其他调用!$X$5:$X$404,0),0)</f>
        <v>5234.4223122355752</v>
      </c>
      <c r="AG138" s="12">
        <f>求节点(节奏总纲!D$4:D$163,标准城池设计!AE$4:AE$163,$K138)*求节点(节奏总纲!D$4:D$163,攻城基础信息!$AF$5:$AF$164,$K138)</f>
        <v>715265.51259848592</v>
      </c>
      <c r="AH138" s="12">
        <f>INDEX(其他调用!$AA$5:$AA$404,MATCH($K138,其他调用!$X$5:$X$404,0))*MIN(INDEX(其他调用!AK$5:AK$364,MATCH($K138,其他调用!$AG$5:$AG$364,0),1)/INDEX(其他调用!$AJ$5:$AJ$364,MATCH($K138,其他调用!$AG$5:$AG$364,0),0),5)*求节点(节奏总纲!D$4:D$163,攻城基础信息!$AF$5:$AF$164,$K138)</f>
        <v>341050.94212802628</v>
      </c>
      <c r="AI138" s="12">
        <f>MIN(INDEX(其他调用!$AK$5:$AK$364,MATCH($K138,其他调用!$AG$5:$AG$364,0),1)/INDEX(其他调用!AH$5:AH$364,MATCH($K138,其他调用!$AG$5:$AG$364,0),0),1)*INDEX(其他调用!Y$5:Y$404,MATCH($K138,其他调用!$X$5:$X$404,0),0)</f>
        <v>37783.287942361363</v>
      </c>
      <c r="AJ138" s="12">
        <f>MIN(INDEX(其他调用!$AK$5:$AK$364,MATCH($K138,其他调用!$AG$5:$AG$364,0),1)/INDEX(其他调用!AI$5:AI$364,MATCH($K138,其他调用!$AG$5:$AG$364,0),0),1)*INDEX(其他调用!Z$5:Z$404,MATCH($K138,其他调用!$X$5:$X$404,0),0)</f>
        <v>38930.855740132036</v>
      </c>
      <c r="AK138" s="12">
        <f>MIN(INDEX(其他调用!$AK$5:$AK$364,MATCH($K138,其他调用!$AG$5:$AG$364,0),1)/INDEX(其他调用!AJ$5:AJ$364,MATCH($K138,其他调用!$AG$5:$AG$364,0),0),1)*INDEX(其他调用!AA$5:AA$404,MATCH($K138,其他调用!$X$5:$X$404,0),0)</f>
        <v>40441.607697541949</v>
      </c>
      <c r="AL138" s="12">
        <f>MIN(INDEX(其他调用!$AK$5:$AK$364,MATCH($K138,其他调用!$AG$5:$AG$364,0),1)/INDEX(其他调用!AK$5:AK$364,MATCH($K138,其他调用!$AG$5:$AG$364,0),0),1)*INDEX(其他调用!AB$5:AB$404,MATCH($K138,其他调用!$X$5:$X$404,0),0)</f>
        <v>42635.319598990718</v>
      </c>
      <c r="AM138" s="12">
        <f>MIN(INDEX(其他调用!$AK$5:$AK$364,MATCH($K138,其他调用!$AG$5:$AG$364,0),1)/INDEX(其他调用!AL$5:AL$364,MATCH($K138,其他调用!$AG$5:$AG$364,0),0),1)*INDEX(其他调用!AC$5:AC$404,MATCH($K138,其他调用!$X$5:$X$404,0),0)</f>
        <v>13844.644897558655</v>
      </c>
      <c r="AN138" s="12">
        <f>求节点(节奏总纲!D$4:D$163,标准城池设计!AF$4:AF$163,$K138)*求节点(节奏总纲!D$4:D$163,攻城基础信息!$AG$5:$AG$164,$K138)</f>
        <v>713658.98997970589</v>
      </c>
      <c r="AO138" s="12">
        <f>INDEX(其他调用!$AA$5:$AA$404,MATCH($K138,其他调用!$X$5:$X$404,0))*MIN(INDEX(其他调用!AL$5:AL$364,MATCH($K138,其他调用!$AG$5:$AG$364,0),1)/INDEX(其他调用!$AJ$5:$AJ$364,MATCH($K138,其他调用!$AG$5:$AG$364,0),0),5)*求节点(节奏总纲!D$4:D$163,攻城基础信息!$AG$5:$AG$164,$K138)</f>
        <v>644727.50088328554</v>
      </c>
      <c r="AP138" s="12">
        <f>MIN(INDEX(其他调用!$AL$5:$AL$364,MATCH($K138,其他调用!$AG$5:$AG$364,0),1)/INDEX(其他调用!AH$5:AH$364,MATCH($K138,其他调用!$AG$5:$AG$364,0),0),1)*INDEX(其他调用!Y$5:Y$404,MATCH($K138,其他调用!$X$5:$X$404,0),0)</f>
        <v>37783.287942361363</v>
      </c>
      <c r="AQ138" s="12">
        <f>MIN(INDEX(其他调用!$AL$5:$AL$364,MATCH($K138,其他调用!$AG$5:$AG$364,0),1)/INDEX(其他调用!AI$5:AI$364,MATCH($K138,其他调用!$AG$5:$AG$364,0),0),1)*INDEX(其他调用!Z$5:Z$404,MATCH($K138,其他调用!$X$5:$X$404,0),0)</f>
        <v>38930.855740132036</v>
      </c>
      <c r="AR138" s="12">
        <f>MIN(INDEX(其他调用!$AL$5:$AL$364,MATCH($K138,其他调用!$AG$5:$AG$364,0),1)/INDEX(其他调用!AJ$5:AJ$364,MATCH($K138,其他调用!$AG$5:$AG$364,0),0),1)*INDEX(其他调用!AA$5:AA$404,MATCH($K138,其他调用!$X$5:$X$404,0),0)</f>
        <v>40441.607697541949</v>
      </c>
      <c r="AS138" s="12">
        <f>MIN(INDEX(其他调用!$AL$5:$AL$364,MATCH($K138,其他调用!$AG$5:$AG$364,0),1)/INDEX(其他调用!AK$5:AK$364,MATCH($K138,其他调用!$AG$5:$AG$364,0),0),1)*INDEX(其他调用!AB$5:AB$404,MATCH($K138,其他调用!$X$5:$X$404,0),0)</f>
        <v>42635.319598990718</v>
      </c>
      <c r="AT138" s="12">
        <f>MIN(INDEX(其他调用!$AL$5:$AL$364,MATCH($K138,其他调用!$AG$5:$AG$364,0),1)/INDEX(其他调用!AL$5:AL$364,MATCH($K138,其他调用!$AG$5:$AG$364,0),0),1)*INDEX(其他调用!AC$5:AC$404,MATCH($K138,其他调用!$X$5:$X$404,0),0)</f>
        <v>46546.528233533129</v>
      </c>
      <c r="AV138" s="14">
        <f>IF(OR(AV$5="大R",AV$5="超R"),MAX(INDEX(其他调用!$H$5:$L$404,MATCH($K138,其他调用!$B$5:$B$404,0),MATCH(AV$5,其他调用!$H$4:$L$4,0))*120*0.85,2),INDEX(其他调用!$H$5:$L$404,MATCH($K138,其他调用!$B$5:$B$404,0),MATCH(AV$5,其他调用!$H$4:$L$4,0))*120*0.85)</f>
        <v>48.921801254999991</v>
      </c>
      <c r="AW138" s="14">
        <f>IF(OR(AW$5="大R",AW$5="超R"),MAX(INDEX(其他调用!$H$5:$L$404,MATCH($K138,其他调用!$B$5:$B$404,0),MATCH(AW$5,其他调用!$H$4:$L$4,0))*120*0.85,2),INDEX(其他调用!$H$5:$L$404,MATCH($K138,其他调用!$B$5:$B$404,0),MATCH(AW$5,其他调用!$H$4:$L$4,0))*120*0.85)</f>
        <v>48.237344010638395</v>
      </c>
      <c r="AX138" s="14">
        <f>IF(OR(AX$5="大R",AX$5="超R"),MAX(INDEX(其他调用!$H$5:$L$404,MATCH($K138,其他调用!$B$5:$B$404,0),MATCH(AX$5,其他调用!$H$4:$L$4,0))*120*0.85,2),INDEX(其他调用!$H$5:$L$404,MATCH($K138,其他调用!$B$5:$B$404,0),MATCH(AX$5,其他调用!$H$4:$L$4,0))*120*0.85)</f>
        <v>3.9376284143615998</v>
      </c>
      <c r="AY138" s="14">
        <f>IF(OR(AY$5="大R",AY$5="超R"),MAX(INDEX(其他调用!$H$5:$L$404,MATCH($K138,其他调用!$B$5:$B$404,0),MATCH(AY$5,其他调用!$H$4:$L$4,0))*120*0.85,2),INDEX(其他调用!$H$5:$L$404,MATCH($K138,其他调用!$B$5:$B$404,0),MATCH(AY$5,其他调用!$H$4:$L$4,0))*120*0.85)</f>
        <v>2</v>
      </c>
      <c r="AZ138" s="14">
        <f>IF(OR(AZ$5="大R",AZ$5="超R"),MAX(INDEX(其他调用!$H$5:$L$404,MATCH($K138,其他调用!$B$5:$B$404,0),MATCH(AZ$5,其他调用!$H$4:$L$4,0))*120*0.85,2),INDEX(其他调用!$H$5:$L$404,MATCH($K138,其他调用!$B$5:$B$404,0),MATCH(AZ$5,其他调用!$H$4:$L$4,0))*120*0.85)</f>
        <v>2</v>
      </c>
      <c r="BA138" s="14">
        <f>INDEX(其他调用!$H$5:$L$404,MATCH($K138,其他调用!$B$5:$B$404,0),MATCH(BA$5,其他调用!$H$4:$L$4,0))*INDEX(其他调用!$M$5:$M$404,MATCH($K138,其他调用!$B$5:$B$404,0))*0.6</f>
        <v>28.777530149999997</v>
      </c>
      <c r="BB138" s="14">
        <f>INDEX(其他调用!$H$5:$L$404,MATCH($K138,其他调用!$B$5:$B$404,0),MATCH(BB$5,其他调用!$H$4:$L$4,0))*INDEX(其他调用!$M$5:$M$404,MATCH($K138,其他调用!$B$5:$B$404,0))*0.6</f>
        <v>28.374908241551999</v>
      </c>
      <c r="BC138" s="14">
        <f>INDEX(其他调用!$H$5:$L$404,MATCH($K138,其他调用!$B$5:$B$404,0),MATCH(BC$5,其他调用!$H$4:$L$4,0))*INDEX(其他调用!$M$5:$M$404,MATCH($K138,其他调用!$B$5:$B$404,0))*0.6</f>
        <v>2.3162520084480001</v>
      </c>
      <c r="BD138" s="14">
        <f>INDEX(其他调用!$H$5:$L$404,MATCH($K138,其他调用!$B$5:$B$404,0),MATCH(BD$5,其他调用!$H$4:$L$4,0))*INDEX(其他调用!$M$5:$M$404,MATCH($K138,其他调用!$B$5:$B$404,0))*0.6</f>
        <v>0.4120776000000001</v>
      </c>
      <c r="BE138" s="14">
        <f>INDEX(其他调用!$H$5:$L$404,MATCH($K138,其他调用!$B$5:$B$404,0),MATCH(BE$5,其他调用!$H$4:$L$4,0))*INDEX(其他调用!$M$5:$M$404,MATCH($K138,其他调用!$B$5:$B$404,0))*0.6</f>
        <v>0.11923199999999998</v>
      </c>
      <c r="BF138" s="14">
        <f>IF(OR(BF$5="大R",BF$5="超R"),0,INDEX(其他调用!$H$5:$L$404,MATCH($K138,其他调用!$B$5:$B$404,0),MATCH(BF$5,其他调用!$H$4:$L$4,0))*50*0.4)</f>
        <v>9.5925100500000013</v>
      </c>
      <c r="BG138" s="14">
        <f>IF(OR(BG$5="大R",BG$5="超R"),0,INDEX(其他调用!$H$5:$L$404,MATCH($K138,其他调用!$B$5:$B$404,0),MATCH(BG$5,其他调用!$H$4:$L$4,0))*50*0.4)</f>
        <v>9.4583027471839998</v>
      </c>
      <c r="BH138" s="14">
        <f>IF(OR(BH$5="大R",BH$5="超R"),0,INDEX(其他调用!$H$5:$L$404,MATCH($K138,其他调用!$B$5:$B$404,0),MATCH(BH$5,其他调用!$H$4:$L$4,0))*50*0.4)</f>
        <v>0.77208400281600009</v>
      </c>
      <c r="BI138" s="14">
        <f>IF(OR(BI$5="大R",BI$5="超R"),0,INDEX(其他调用!$H$5:$L$404,MATCH($K138,其他调用!$B$5:$B$404,0),MATCH(BI$5,其他调用!$H$4:$L$4,0))*50*0.4)</f>
        <v>0</v>
      </c>
      <c r="BJ138" s="14">
        <f>IF(OR(BJ$5="大R",BJ$5="超R"),0,INDEX(其他调用!$H$5:$L$404,MATCH($K138,其他调用!$B$5:$B$404,0),MATCH(BJ$5,其他调用!$H$4:$L$4,0))*50*0.4)</f>
        <v>0</v>
      </c>
      <c r="BL138" s="14">
        <f t="shared" si="313"/>
        <v>133</v>
      </c>
      <c r="BM138" s="14">
        <f t="shared" si="220"/>
        <v>96</v>
      </c>
      <c r="BN138" s="14">
        <f>('疲劳值&amp;地图信息'!$S$10*'疲劳值&amp;地图信息'!$R$10+'疲劳值&amp;地图信息'!$S$11*'疲劳值&amp;地图信息'!$R$11+'疲劳值&amp;地图信息'!$S$12*'疲劳值&amp;地图信息'!$R$12+(BM138-'疲劳值&amp;地图信息'!$S$12-'疲劳值&amp;地图信息'!$S$11-'疲劳值&amp;地图信息'!$S$10)*'疲劳值&amp;地图信息'!$R$13)/BM138</f>
        <v>51.371477246638619</v>
      </c>
      <c r="BO138" s="14">
        <f>INDEX(其他调用!$M$5:$M$404,MATCH(BL138,其他调用!$B$5:$B$404,0))*0.6</f>
        <v>60</v>
      </c>
      <c r="BP138" s="14">
        <f>IF(BO138&gt;SUM('疲劳值&amp;地图信息'!$S$10:$S$12),('疲劳值&amp;地图信息'!$S$10*'疲劳值&amp;地图信息'!$R$10+'疲劳值&amp;地图信息'!$S$11*'疲劳值&amp;地图信息'!$R$11+'疲劳值&amp;地图信息'!$S$12*'疲劳值&amp;地图信息'!$R$12+(BO138-'疲劳值&amp;地图信息'!$S$12-'疲劳值&amp;地图信息'!$S$11-'疲劳值&amp;地图信息'!$S$10)*'疲劳值&amp;地图信息'!$R$13)/BO138,('疲劳值&amp;地图信息'!$S$10*'疲劳值&amp;地图信息'!$R$10+'疲劳值&amp;地图信息'!$S$11*'疲劳值&amp;地图信息'!$R$11+'疲劳值&amp;地图信息'!$S$12*'疲劳值&amp;地图信息'!$R$12+(BO138-'疲劳值&amp;地图信息'!$S$12-'疲劳值&amp;地图信息'!$S$11-'疲劳值&amp;地图信息'!$S$10)*'疲劳值&amp;地图信息'!$R$13)/BO138)</f>
        <v>44.158136341605953</v>
      </c>
      <c r="BQ138" s="14">
        <f t="shared" si="314"/>
        <v>20</v>
      </c>
      <c r="BR138" s="14">
        <f>('疲劳值&amp;地图信息'!$S$10*'疲劳值&amp;地图信息'!$R$10+($BQ138-'疲劳值&amp;地图信息'!$S$10)*'疲劳值&amp;地图信息'!$R$11)/$BQ138</f>
        <v>32.067203015074995</v>
      </c>
      <c r="CF138" s="14">
        <v>133</v>
      </c>
      <c r="CG138" s="51">
        <f t="shared" si="221"/>
        <v>11062</v>
      </c>
      <c r="CH138" s="51">
        <f t="shared" si="222"/>
        <v>916</v>
      </c>
      <c r="CI138" s="51">
        <f>INT(SUMPRODUCT($N138:$R138,$BA138:$BE138)/SUM($BA138:$BE138)/10000*$BX$7*$BZ$34/'疲劳值&amp;地图信息'!$R$10*$BY$53)</f>
        <v>3030</v>
      </c>
      <c r="CJ138" s="50">
        <f t="shared" si="223"/>
        <v>0.73707356076759056</v>
      </c>
      <c r="CK138" s="50">
        <f t="shared" si="224"/>
        <v>6.1034115138592748E-2</v>
      </c>
      <c r="CL138" s="50">
        <f t="shared" si="225"/>
        <v>0.20189232409381663</v>
      </c>
      <c r="CM138" s="14">
        <f t="shared" si="226"/>
        <v>11886</v>
      </c>
      <c r="CN138" s="14">
        <f t="shared" si="227"/>
        <v>1512</v>
      </c>
      <c r="CO138" s="14">
        <f>INT(SUMPRODUCT($U138:$Y138,$BA138:$BE138)/SUM($BA138:$BE138)/10000*$BX$7*$BZ$34/'疲劳值&amp;地图信息'!$R$10*$BY$54)</f>
        <v>5707</v>
      </c>
      <c r="CP138" s="50">
        <f t="shared" si="228"/>
        <v>0.62214080083747714</v>
      </c>
      <c r="CQ138" s="50">
        <f t="shared" si="229"/>
        <v>7.9141585972258566E-2</v>
      </c>
      <c r="CR138" s="50">
        <f t="shared" si="230"/>
        <v>0.29871761319026435</v>
      </c>
      <c r="CS138" s="14">
        <f t="shared" si="231"/>
        <v>12742</v>
      </c>
      <c r="CT138" s="14">
        <f t="shared" si="232"/>
        <v>2628</v>
      </c>
      <c r="CU138" s="14">
        <f>INT(SUMPRODUCT($AB138:$AF138,$BA138:$BE138)/SUM($BA138:$BE138)/10000*$BX$7*$BZ$34/'疲劳值&amp;地图信息'!$R$10*$BY$55)</f>
        <v>7755</v>
      </c>
      <c r="CV138" s="50">
        <f t="shared" si="233"/>
        <v>0.55100540540540544</v>
      </c>
      <c r="CW138" s="50">
        <f t="shared" si="234"/>
        <v>0.11364324324324325</v>
      </c>
      <c r="CX138" s="50">
        <f t="shared" si="235"/>
        <v>0.33535135135135136</v>
      </c>
      <c r="CY138" s="14">
        <f t="shared" si="236"/>
        <v>14578</v>
      </c>
      <c r="CZ138" s="14">
        <f t="shared" si="237"/>
        <v>6951</v>
      </c>
      <c r="DA138" s="14">
        <f>INT(SUMPRODUCT($AI138:$AM138,$BA138:$BE138)/SUM($BA138:$BE138)/10000*$BX$7*$BZ$34/'疲劳值&amp;地图信息'!$R$10*$BY$56)</f>
        <v>11693</v>
      </c>
      <c r="DB138" s="50">
        <f t="shared" si="238"/>
        <v>0.43880561073987118</v>
      </c>
      <c r="DC138" s="50">
        <f t="shared" si="239"/>
        <v>0.20922882427307207</v>
      </c>
      <c r="DD138" s="50">
        <f t="shared" si="240"/>
        <v>0.35196556498705678</v>
      </c>
      <c r="DE138" s="14">
        <f t="shared" si="241"/>
        <v>14545</v>
      </c>
      <c r="DF138" s="14">
        <f t="shared" si="242"/>
        <v>13140</v>
      </c>
      <c r="DG138" s="14">
        <f>INT(SUMPRODUCT($AP138:$AT138,$BA138:$BE138)/SUM($BA138:$BE138)/10000*$BX$7*$BZ$34/'疲劳值&amp;地图信息'!$R$10*$BY$57)</f>
        <v>15617</v>
      </c>
      <c r="DH138" s="50">
        <f t="shared" si="243"/>
        <v>0.33589672532446541</v>
      </c>
      <c r="DI138" s="50">
        <f t="shared" si="244"/>
        <v>0.30345018705833449</v>
      </c>
      <c r="DJ138" s="50">
        <f t="shared" si="245"/>
        <v>0.36065308761720011</v>
      </c>
      <c r="DL138" s="14">
        <f t="shared" si="211"/>
        <v>15008</v>
      </c>
      <c r="DM138" s="14">
        <f t="shared" si="212"/>
        <v>19105</v>
      </c>
      <c r="DN138" s="14">
        <f t="shared" si="213"/>
        <v>23125</v>
      </c>
      <c r="DO138" s="14">
        <f t="shared" si="214"/>
        <v>33222</v>
      </c>
      <c r="DP138" s="14">
        <f t="shared" si="215"/>
        <v>43302</v>
      </c>
      <c r="DQ138" s="14">
        <f t="shared" si="216"/>
        <v>1046412</v>
      </c>
      <c r="DT138" s="14">
        <f t="shared" si="210"/>
        <v>235575</v>
      </c>
      <c r="DU138" s="50">
        <f t="shared" si="217"/>
        <v>0.18375771361176049</v>
      </c>
      <c r="DW138" s="14">
        <f t="shared" si="246"/>
        <v>1281987</v>
      </c>
      <c r="EB138" s="14">
        <v>133</v>
      </c>
      <c r="EC138" s="51">
        <f t="shared" si="247"/>
        <v>18436</v>
      </c>
      <c r="ED138" s="51">
        <f t="shared" si="248"/>
        <v>1527</v>
      </c>
      <c r="EE138" s="51">
        <f>INT(SUMPRODUCT($N138:$R138,$BF138:$BJ138)/SUM($BF138:$BJ138)/10000*$BX$7*$BZ$46/'疲劳值&amp;地图信息'!$R$10*$BY$53)</f>
        <v>407</v>
      </c>
      <c r="EF138" s="50">
        <f t="shared" si="249"/>
        <v>0.90505645557191949</v>
      </c>
      <c r="EG138" s="50">
        <f t="shared" si="250"/>
        <v>7.4963181148748156E-2</v>
      </c>
      <c r="EH138" s="50">
        <f t="shared" si="251"/>
        <v>1.998036327933235E-2</v>
      </c>
      <c r="EI138" s="51">
        <f t="shared" si="252"/>
        <v>19810</v>
      </c>
      <c r="EJ138" s="51">
        <f t="shared" si="253"/>
        <v>2520</v>
      </c>
      <c r="EK138" s="14">
        <f>INT(SUMPRODUCT($U138:$Y138,$BF138:$BJ138)/SUM($BF138:$BJ138)/10000*$BX$7*$BZ$46/'疲劳值&amp;地图信息'!$R$10*$BY$54)</f>
        <v>766</v>
      </c>
      <c r="EL138" s="50">
        <f t="shared" si="254"/>
        <v>0.85772428126082434</v>
      </c>
      <c r="EM138" s="50">
        <f t="shared" si="255"/>
        <v>0.10910980256321441</v>
      </c>
      <c r="EN138" s="50">
        <f t="shared" si="256"/>
        <v>3.3165916175961208E-2</v>
      </c>
      <c r="EO138" s="51">
        <f t="shared" si="257"/>
        <v>21238</v>
      </c>
      <c r="EP138" s="51">
        <f t="shared" si="258"/>
        <v>4380</v>
      </c>
      <c r="EQ138" s="14">
        <f>INT(SUMPRODUCT($AB138:$AF138,$BF138:$BJ138)/SUM($BF138:$BJ138)/10000*$BX$7*$BZ$46/'疲劳值&amp;地图信息'!$R$10*$BY$55)</f>
        <v>1039</v>
      </c>
      <c r="ER138" s="50">
        <f t="shared" si="259"/>
        <v>0.79671380875567388</v>
      </c>
      <c r="ES138" s="50">
        <f t="shared" si="260"/>
        <v>0.16430956221630341</v>
      </c>
      <c r="ET138" s="50">
        <f t="shared" si="261"/>
        <v>3.8976629028022659E-2</v>
      </c>
      <c r="EU138" s="51">
        <f t="shared" si="262"/>
        <v>24296</v>
      </c>
      <c r="EV138" s="51">
        <f t="shared" si="263"/>
        <v>11585</v>
      </c>
      <c r="EW138" s="14">
        <f>INT(SUMPRODUCT($AI138:$AM138,$BF138:$BJ138)/SUM($BF138:$BJ138)/10000*$BX$7*$BZ$46/'疲劳值&amp;地图信息'!$R$10*$BY$56)</f>
        <v>1559</v>
      </c>
      <c r="EX138" s="50">
        <f t="shared" si="264"/>
        <v>0.64893162393162396</v>
      </c>
      <c r="EY138" s="50">
        <f t="shared" si="265"/>
        <v>0.30942841880341881</v>
      </c>
      <c r="EZ138" s="50">
        <f t="shared" si="266"/>
        <v>4.1639957264957263E-2</v>
      </c>
      <c r="FA138" s="51">
        <f t="shared" si="267"/>
        <v>24242</v>
      </c>
      <c r="FB138" s="51">
        <f t="shared" si="268"/>
        <v>21900</v>
      </c>
      <c r="FC138" s="14">
        <f>INT(SUMPRODUCT($AP138:$AT138,$BF138:$BJ138)/SUM($BF138:$BJ138)/10000*$BX$7*$BZ$46/'疲劳值&amp;地图信息'!$R$10*$BY$57)</f>
        <v>2079</v>
      </c>
      <c r="FD138" s="50">
        <f t="shared" si="269"/>
        <v>0.50272702764355781</v>
      </c>
      <c r="FE138" s="50">
        <f t="shared" si="270"/>
        <v>0.45415897637958563</v>
      </c>
      <c r="FF138" s="50">
        <f t="shared" si="271"/>
        <v>4.3113995976856556E-2</v>
      </c>
      <c r="FH138" s="14">
        <f t="shared" si="272"/>
        <v>20370</v>
      </c>
      <c r="FI138" s="14">
        <f t="shared" si="273"/>
        <v>23096</v>
      </c>
      <c r="FJ138" s="14">
        <f t="shared" si="274"/>
        <v>26657</v>
      </c>
      <c r="FK138" s="14">
        <f t="shared" si="275"/>
        <v>37440</v>
      </c>
      <c r="FL138" s="14">
        <f t="shared" si="276"/>
        <v>48221</v>
      </c>
      <c r="FM138" s="14">
        <f t="shared" si="277"/>
        <v>2386914</v>
      </c>
      <c r="FP138" s="14">
        <f t="shared" si="278"/>
        <v>334150</v>
      </c>
      <c r="FQ138" s="50">
        <f t="shared" si="218"/>
        <v>0.12280122775502524</v>
      </c>
      <c r="FS138" s="14">
        <f t="shared" si="279"/>
        <v>2721064</v>
      </c>
      <c r="FX138" s="14">
        <v>133</v>
      </c>
      <c r="FY138" s="51">
        <f t="shared" si="280"/>
        <v>25811</v>
      </c>
      <c r="FZ138" s="51">
        <f t="shared" si="281"/>
        <v>1527</v>
      </c>
      <c r="GA138" s="51">
        <f>INT(SUMPRODUCT($N138:$R138,$BF138:$BJ138)/SUM($BF138:$BJ138)/10000*$BX$7*$BZ$46/'疲劳值&amp;地图信息'!$R$10*$BY$53)</f>
        <v>407</v>
      </c>
      <c r="GB138" s="50">
        <f t="shared" si="282"/>
        <v>0.93029374662101283</v>
      </c>
      <c r="GC138" s="50">
        <f t="shared" si="283"/>
        <v>5.503694359344026E-2</v>
      </c>
      <c r="GD138" s="50">
        <f t="shared" si="284"/>
        <v>1.4669309785546945E-2</v>
      </c>
      <c r="GE138" s="51">
        <f t="shared" si="285"/>
        <v>27735</v>
      </c>
      <c r="GF138" s="51">
        <f t="shared" si="286"/>
        <v>2520</v>
      </c>
      <c r="GG138" s="14">
        <f>INT(SUMPRODUCT($U138:$Y138,$BF138:$BJ138)/SUM($BF138:$BJ138)/10000*$BX$7*$BZ$46/'疲劳值&amp;地图信息'!$R$10*$BY$54)</f>
        <v>766</v>
      </c>
      <c r="GH138" s="50">
        <f t="shared" si="287"/>
        <v>0.8940717578414622</v>
      </c>
      <c r="GI138" s="50">
        <f t="shared" si="288"/>
        <v>8.1235292221398414E-2</v>
      </c>
      <c r="GJ138" s="50">
        <f t="shared" si="289"/>
        <v>2.4692949937139358E-2</v>
      </c>
      <c r="GK138" s="51">
        <f t="shared" si="290"/>
        <v>29733</v>
      </c>
      <c r="GL138" s="51">
        <f t="shared" si="291"/>
        <v>4380</v>
      </c>
      <c r="GM138" s="14">
        <f>INT(SUMPRODUCT($AB138:$AF138,$BF138:$BJ138)/SUM($BF138:$BJ138)/10000*$BX$7*$BZ$46/'疲劳值&amp;地图信息'!$R$10*$BY$55)</f>
        <v>1039</v>
      </c>
      <c r="GN138" s="50">
        <f t="shared" si="292"/>
        <v>0.84584091943559403</v>
      </c>
      <c r="GO138" s="50">
        <f t="shared" si="293"/>
        <v>0.12460172963131542</v>
      </c>
      <c r="GP138" s="50">
        <f t="shared" si="294"/>
        <v>2.9557350933090577E-2</v>
      </c>
      <c r="GQ138" s="51">
        <f t="shared" si="295"/>
        <v>34015</v>
      </c>
      <c r="GR138" s="51">
        <f t="shared" si="296"/>
        <v>11585</v>
      </c>
      <c r="GS138" s="14">
        <f>INT(SUMPRODUCT($AI138:$AM138,$BF138:$BJ138)/SUM($BF138:$BJ138)/10000*$BX$7*$BZ$46/'疲劳值&amp;地图信息'!$R$10*$BY$56)</f>
        <v>1559</v>
      </c>
      <c r="GT138" s="50">
        <f t="shared" si="297"/>
        <v>0.72128331813651692</v>
      </c>
      <c r="GU138" s="50">
        <f t="shared" si="298"/>
        <v>0.24565830488347928</v>
      </c>
      <c r="GV138" s="50">
        <f t="shared" si="299"/>
        <v>3.3058376980003815E-2</v>
      </c>
      <c r="GW138" s="51">
        <f t="shared" si="300"/>
        <v>33939</v>
      </c>
      <c r="GX138" s="51">
        <f t="shared" si="301"/>
        <v>21900</v>
      </c>
      <c r="GY138" s="14">
        <f>INT(SUMPRODUCT($AP138:$AT138,$BF138:$BJ138)/SUM($BF138:$BJ138)/10000*$BX$7*$BZ$46/'疲劳值&amp;地图信息'!$R$10*$BY$57)</f>
        <v>2079</v>
      </c>
      <c r="GZ138" s="50">
        <f t="shared" si="302"/>
        <v>0.58598363203149284</v>
      </c>
      <c r="HA138" s="50">
        <f t="shared" si="303"/>
        <v>0.37812079146379363</v>
      </c>
      <c r="HB138" s="50">
        <f t="shared" si="304"/>
        <v>3.5895576504713561E-2</v>
      </c>
      <c r="HD138" s="14">
        <f t="shared" si="305"/>
        <v>27745</v>
      </c>
      <c r="HE138" s="14">
        <f t="shared" si="306"/>
        <v>31021</v>
      </c>
      <c r="HF138" s="14">
        <f t="shared" si="307"/>
        <v>35152</v>
      </c>
      <c r="HG138" s="14">
        <f t="shared" si="308"/>
        <v>47159</v>
      </c>
      <c r="HH138" s="14">
        <f t="shared" si="309"/>
        <v>57918</v>
      </c>
      <c r="HI138" s="14">
        <f t="shared" si="310"/>
        <v>3202275</v>
      </c>
      <c r="HL138" s="14">
        <f t="shared" si="311"/>
        <v>430050</v>
      </c>
      <c r="HM138" s="50">
        <f t="shared" si="219"/>
        <v>0.11839524271644195</v>
      </c>
      <c r="HO138" s="14">
        <f t="shared" si="312"/>
        <v>3632325</v>
      </c>
    </row>
    <row r="139" spans="11:223" x14ac:dyDescent="0.2">
      <c r="K139" s="14">
        <v>134</v>
      </c>
      <c r="L139" s="12">
        <f>求节点(节奏总纲!D$4:D$163,标准城池设计!AB$4:AB$163,$K139)*求节点(节奏总纲!D$4:D$163,攻城基础信息!$AC$5:$AC$164,$K139)</f>
        <v>544486.49188703287</v>
      </c>
      <c r="M139" s="12">
        <f>INDEX(其他调用!$AA$5:$AA$404,MATCH(K139,其他调用!$X$5:$X$404,0))*MIN(INDEX(其他调用!$AH$5:$AH$364,MATCH('征服点（新）'!K139,其他调用!$AG$5:$AG$364,0),1)/INDEX(其他调用!$AJ$5:$AJ$364,MATCH(K139,其他调用!$AG$5:$AG$364,0),0),5)*求节点(节奏总纲!D$4:D$163,攻城基础信息!$AC$5:$AC$164,$K139)</f>
        <v>45033.944989702301</v>
      </c>
      <c r="N139" s="12">
        <f>MIN(INDEX(其他调用!$AH$5:$AH$364,MATCH($K139,其他调用!$AG$5:$AG$364,0),1)/INDEX(其他调用!AH$5:AH$364,MATCH($K139,其他调用!$AG$5:$AG$364,0),0),1)*INDEX(其他调用!Y$5:Y$404,MATCH($K139,其他调用!$X$5:$X$404,0),0)</f>
        <v>37827.650085286732</v>
      </c>
      <c r="O139" s="12">
        <f>MIN(INDEX(其他调用!$AH$5:$AH$364,MATCH($K139,其他调用!$AG$5:$AG$364,0),1)/INDEX(其他调用!AI$5:AI$364,MATCH($K139,其他调用!$AG$5:$AG$364,0),0),1)*INDEX(其他调用!Z$5:Z$404,MATCH($K139,其他调用!$X$5:$X$404,0),0)</f>
        <v>23623.637535649894</v>
      </c>
      <c r="P139" s="12">
        <f>MIN(INDEX(其他调用!$AH$5:$AH$364,MATCH($K139,其他调用!$AG$5:$AG$364,0),1)/INDEX(其他调用!AJ$5:AJ$364,MATCH($K139,其他调用!$AG$5:$AG$364,0),0),1)*INDEX(其他调用!AA$5:AA$404,MATCH($K139,其他调用!$X$5:$X$404,0),0)</f>
        <v>14108.092062153557</v>
      </c>
      <c r="Q139" s="12">
        <f>MIN(INDEX(其他调用!$AH$5:$AH$364,MATCH($K139,其他调用!$AG$5:$AG$364,0),1)/INDEX(其他调用!AK$5:AK$364,MATCH($K139,其他调用!$AG$5:$AG$364,0),0),1)*INDEX(其他调用!AB$5:AB$404,MATCH($K139,其他调用!$X$5:$X$404,0),0)</f>
        <v>5603.0633175463245</v>
      </c>
      <c r="R139" s="12">
        <f>MIN(INDEX(其他调用!$AH$5:$AH$364,MATCH($K139,其他调用!$AG$5:$AG$364,0),1)/INDEX(其他调用!AL$5:AL$364,MATCH($K139,其他调用!$AG$5:$AG$364,0),0),1)*INDEX(其他调用!AC$5:AC$404,MATCH($K139,其他调用!$X$5:$X$404,0),0)</f>
        <v>1827.6734927379418</v>
      </c>
      <c r="S139" s="12">
        <f>求节点(节奏总纲!D$4:D$163,标准城池设计!AC$4:AC$163,$K139)*求节点(节奏总纲!D$4:D$163,攻城基础信息!$AD$5:$AD$164,$K139)</f>
        <v>585168.1245040854</v>
      </c>
      <c r="T139" s="12">
        <f>INDEX(其他调用!$AA$5:$AA$404,MATCH($K139,其他调用!$X$5:$X$404,0))*MIN(INDEX(其他调用!AI$5:AI$364,MATCH($K139,其他调用!$AG$5:$AG$364,0),1)/INDEX(其他调用!$AJ$5:$AJ$364,MATCH($K139,其他调用!$AG$5:$AG$364,0),0),5)*求节点(节奏总纲!D$4:D$163,攻城基础信息!$AD$5:$AD$164,$K139)</f>
        <v>74297.634749262972</v>
      </c>
      <c r="U139" s="12">
        <f>MIN(INDEX(其他调用!$AI$5:$AI$364,MATCH($K139,其他调用!$AG$5:$AG$364,0),1)/INDEX(其他调用!AH$5:AH$364,MATCH($K139,其他调用!$AG$5:$AG$364,0),0),1)*INDEX(其他调用!Y$5:Y$404,MATCH($K139,其他调用!$X$5:$X$404,0),0)</f>
        <v>37827.650085286732</v>
      </c>
      <c r="V139" s="12">
        <f>MIN(INDEX(其他调用!$AI$5:$AI$364,MATCH($K139,其他调用!$AG$5:$AG$364,0),1)/INDEX(其他调用!AI$5:AI$364,MATCH($K139,其他调用!$AG$5:$AG$364,0),0),1)*INDEX(其他调用!Z$5:Z$404,MATCH($K139,其他调用!$X$5:$X$404,0),0)</f>
        <v>38974.608897222832</v>
      </c>
      <c r="W139" s="12">
        <f>MIN(INDEX(其他调用!$AI$5:$AI$364,MATCH($K139,其他调用!$AG$5:$AG$364,0),1)/INDEX(其他调用!AJ$5:AJ$364,MATCH($K139,其他调用!$AG$5:$AG$364,0),0),1)*INDEX(其他调用!AA$5:AA$404,MATCH($K139,其他调用!$X$5:$X$404,0),0)</f>
        <v>23275.728370733406</v>
      </c>
      <c r="X139" s="12">
        <f>MIN(INDEX(其他调用!$AI$5:$AI$364,MATCH($K139,其他调用!$AG$5:$AG$364,0),1)/INDEX(其他调用!AK$5:AK$364,MATCH($K139,其他调用!$AG$5:$AG$364,0),0),1)*INDEX(其他调用!AB$5:AB$404,MATCH($K139,其他调用!$X$5:$X$404,0),0)</f>
        <v>9244.0125318633</v>
      </c>
      <c r="Y139" s="12">
        <f>MIN(INDEX(其他调用!$AI$5:$AI$364,MATCH($K139,其他调用!$AG$5:$AG$364,0),1)/INDEX(其他调用!AL$5:AL$364,MATCH($K139,其他调用!$AG$5:$AG$364,0),0),1)*INDEX(其他调用!AC$5:AC$404,MATCH($K139,其他调用!$X$5:$X$404,0),0)</f>
        <v>3015.3213900182232</v>
      </c>
      <c r="Z139" s="12">
        <f>求节点(节奏总纲!D$4:D$163,标准城池设计!AD$4:AD$163,$K139)*求节点(节奏总纲!D$4:D$163,攻城基础信息!$AE$5:$AE$164,$K139)</f>
        <v>627123.82627252885</v>
      </c>
      <c r="AA139" s="12">
        <f>INDEX(其他调用!$AA$5:$AA$404,MATCH($K139,其他调用!$X$5:$X$404,0))*MIN(INDEX(其他调用!AJ$5:AJ$364,MATCH($K139,其他调用!$AG$5:$AG$364,0),1)/INDEX(其他调用!$AJ$5:$AJ$364,MATCH($K139,其他调用!$AG$5:$AG$364,0),0),5)*求节点(节奏总纲!D$4:D$163,攻城基础信息!$AE$5:$AE$164,$K139)</f>
        <v>129229.79044613571</v>
      </c>
      <c r="AB139" s="12">
        <f>MIN(INDEX(其他调用!$AJ$5:$AJ$364,MATCH($K139,其他调用!$AG$5:$AG$364,0),1)/INDEX(其他调用!AH$5:AH$364,MATCH($K139,其他调用!$AG$5:$AG$364,0),0),1)*INDEX(其他调用!Y$5:Y$404,MATCH($K139,其他调用!$X$5:$X$404,0),0)</f>
        <v>37827.650085286732</v>
      </c>
      <c r="AC139" s="12">
        <f>MIN(INDEX(其他调用!$AJ$5:$AJ$364,MATCH($K139,其他调用!$AG$5:$AG$364,0),1)/INDEX(其他调用!AI$5:AI$364,MATCH($K139,其他调用!$AG$5:$AG$364,0),0),1)*INDEX(其他调用!Z$5:Z$404,MATCH($K139,其他调用!$X$5:$X$404,0),0)</f>
        <v>38974.608897222832</v>
      </c>
      <c r="AD139" s="12">
        <f>MIN(INDEX(其他调用!$AJ$5:$AJ$364,MATCH($K139,其他调用!$AG$5:$AG$364,0),1)/INDEX(其他调用!AJ$5:AJ$364,MATCH($K139,其他调用!$AG$5:$AG$364,0),0),1)*INDEX(其他调用!AA$5:AA$404,MATCH($K139,其他调用!$X$5:$X$404,0),0)</f>
        <v>40484.700623136487</v>
      </c>
      <c r="AE139" s="12">
        <f>MIN(INDEX(其他调用!$AJ$5:$AJ$364,MATCH($K139,其他调用!$AG$5:$AG$364,0),1)/INDEX(其他调用!AK$5:AK$364,MATCH($K139,其他调用!$AG$5:$AG$364,0),0),1)*INDEX(其他调用!AB$5:AB$404,MATCH($K139,其他调用!$X$5:$X$404,0),0)</f>
        <v>16078.598011977723</v>
      </c>
      <c r="AF139" s="12">
        <f>MIN(INDEX(其他调用!$AJ$5:$AJ$364,MATCH($K139,其他调用!$AG$5:$AG$364,0),1)/INDEX(其他调用!AL$5:AL$364,MATCH($K139,其他调用!$AG$5:$AG$364,0),0),1)*INDEX(其他调用!AC$5:AC$404,MATCH($K139,其他调用!$X$5:$X$404,0),0)</f>
        <v>5244.7073540745669</v>
      </c>
      <c r="AG139" s="12">
        <f>求节点(节奏总纲!D$4:D$163,标准城池设计!AE$4:AE$163,$K139)*求节点(节奏总纲!D$4:D$163,攻城基础信息!$AF$5:$AF$164,$K139)</f>
        <v>717595.02405754046</v>
      </c>
      <c r="AH139" s="12">
        <f>INDEX(其他调用!$AA$5:$AA$404,MATCH($K139,其他调用!$X$5:$X$404,0))*MIN(INDEX(其他调用!AK$5:AK$364,MATCH($K139,其他调用!$AG$5:$AG$364,0),1)/INDEX(其他调用!$AJ$5:$AJ$364,MATCH($K139,其他调用!$AG$5:$AG$364,0),0),5)*求节点(节奏总纲!D$4:D$163,攻城基础信息!$AF$5:$AF$164,$K139)</f>
        <v>343013.54341563949</v>
      </c>
      <c r="AI139" s="12">
        <f>MIN(INDEX(其他调用!$AK$5:$AK$364,MATCH($K139,其他调用!$AG$5:$AG$364,0),1)/INDEX(其他调用!AH$5:AH$364,MATCH($K139,其他调用!$AG$5:$AG$364,0),0),1)*INDEX(其他调用!Y$5:Y$404,MATCH($K139,其他调用!$X$5:$X$404,0),0)</f>
        <v>37827.650085286732</v>
      </c>
      <c r="AJ139" s="12">
        <f>MIN(INDEX(其他调用!$AK$5:$AK$364,MATCH($K139,其他调用!$AG$5:$AG$364,0),1)/INDEX(其他调用!AI$5:AI$364,MATCH($K139,其他调用!$AG$5:$AG$364,0),0),1)*INDEX(其他调用!Z$5:Z$404,MATCH($K139,其他调用!$X$5:$X$404,0),0)</f>
        <v>38974.608897222832</v>
      </c>
      <c r="AK139" s="12">
        <f>MIN(INDEX(其他调用!$AK$5:$AK$364,MATCH($K139,其他调用!$AG$5:$AG$364,0),1)/INDEX(其他调用!AJ$5:AJ$364,MATCH($K139,其他调用!$AG$5:$AG$364,0),0),1)*INDEX(其他调用!AA$5:AA$404,MATCH($K139,其他调用!$X$5:$X$404,0),0)</f>
        <v>40484.700623136487</v>
      </c>
      <c r="AL139" s="12">
        <f>MIN(INDEX(其他调用!$AK$5:$AK$364,MATCH($K139,其他调用!$AG$5:$AG$364,0),1)/INDEX(其他调用!AK$5:AK$364,MATCH($K139,其他调用!$AG$5:$AG$364,0),0),1)*INDEX(其他调用!AB$5:AB$404,MATCH($K139,其他调用!$X$5:$X$404,0),0)</f>
        <v>42677.287165786409</v>
      </c>
      <c r="AM139" s="12">
        <f>MIN(INDEX(其他调用!$AK$5:$AK$364,MATCH($K139,其他调用!$AG$5:$AG$364,0),1)/INDEX(其他调用!AL$5:AL$364,MATCH($K139,其他调用!$AG$5:$AG$364,0),0),1)*INDEX(其他调用!AC$5:AC$404,MATCH($K139,其他调用!$X$5:$X$404,0),0)</f>
        <v>13920.982518725232</v>
      </c>
      <c r="AN139" s="12">
        <f>求节点(节奏总纲!D$4:D$163,标准城池设计!AF$4:AF$163,$K139)*求节点(节奏总纲!D$4:D$163,攻城基础信息!$AG$5:$AG$164,$K139)</f>
        <v>716497.8873938116</v>
      </c>
      <c r="AO139" s="12">
        <f>INDEX(其他调用!$AA$5:$AA$404,MATCH($K139,其他调用!$X$5:$X$404,0))*MIN(INDEX(其他调用!AL$5:AL$364,MATCH($K139,其他调用!$AG$5:$AG$364,0),1)/INDEX(其他调用!$AJ$5:$AJ$364,MATCH($K139,其他调用!$AG$5:$AG$364,0),0),5)*求节点(节奏总纲!D$4:D$163,攻城基础信息!$AG$5:$AG$164,$K139)</f>
        <v>646148.95223067852</v>
      </c>
      <c r="AP139" s="12">
        <f>MIN(INDEX(其他调用!$AL$5:$AL$364,MATCH($K139,其他调用!$AG$5:$AG$364,0),1)/INDEX(其他调用!AH$5:AH$364,MATCH($K139,其他调用!$AG$5:$AG$364,0),0),1)*INDEX(其他调用!Y$5:Y$404,MATCH($K139,其他调用!$X$5:$X$404,0),0)</f>
        <v>37827.650085286732</v>
      </c>
      <c r="AQ139" s="12">
        <f>MIN(INDEX(其他调用!$AL$5:$AL$364,MATCH($K139,其他调用!$AG$5:$AG$364,0),1)/INDEX(其他调用!AI$5:AI$364,MATCH($K139,其他调用!$AG$5:$AG$364,0),0),1)*INDEX(其他调用!Z$5:Z$404,MATCH($K139,其他调用!$X$5:$X$404,0),0)</f>
        <v>38974.608897222832</v>
      </c>
      <c r="AR139" s="12">
        <f>MIN(INDEX(其他调用!$AL$5:$AL$364,MATCH($K139,其他调用!$AG$5:$AG$364,0),1)/INDEX(其他调用!AJ$5:AJ$364,MATCH($K139,其他调用!$AG$5:$AG$364,0),0),1)*INDEX(其他调用!AA$5:AA$404,MATCH($K139,其他调用!$X$5:$X$404,0),0)</f>
        <v>40484.700623136487</v>
      </c>
      <c r="AS139" s="12">
        <f>MIN(INDEX(其他调用!$AL$5:$AL$364,MATCH($K139,其他调用!$AG$5:$AG$364,0),1)/INDEX(其他调用!AK$5:AK$364,MATCH($K139,其他调用!$AG$5:$AG$364,0),0),1)*INDEX(其他调用!AB$5:AB$404,MATCH($K139,其他调用!$X$5:$X$404,0),0)</f>
        <v>42677.287165786409</v>
      </c>
      <c r="AT139" s="12">
        <f>MIN(INDEX(其他调用!$AL$5:$AL$364,MATCH($K139,其他调用!$AG$5:$AG$364,0),1)/INDEX(其他调用!AL$5:AL$364,MATCH($K139,其他调用!$AG$5:$AG$364,0),0),1)*INDEX(其他调用!AC$5:AC$404,MATCH($K139,其他调用!$X$5:$X$404,0),0)</f>
        <v>46592.70321118529</v>
      </c>
      <c r="AV139" s="14">
        <f>IF(OR(AV$5="大R",AV$5="超R"),MAX(INDEX(其他调用!$H$5:$L$404,MATCH($K139,其他调用!$B$5:$B$404,0),MATCH(AV$5,其他调用!$H$4:$L$4,0))*120*0.85,2),INDEX(其他调用!$H$5:$L$404,MATCH($K139,其他调用!$B$5:$B$404,0),MATCH(AV$5,其他调用!$H$4:$L$4,0))*120*0.85)</f>
        <v>48.921801254999991</v>
      </c>
      <c r="AW139" s="14">
        <f>IF(OR(AW$5="大R",AW$5="超R"),MAX(INDEX(其他调用!$H$5:$L$404,MATCH($K139,其他调用!$B$5:$B$404,0),MATCH(AW$5,其他调用!$H$4:$L$4,0))*120*0.85,2),INDEX(其他调用!$H$5:$L$404,MATCH($K139,其他调用!$B$5:$B$404,0),MATCH(AW$5,其他调用!$H$4:$L$4,0))*120*0.85)</f>
        <v>48.237344010638395</v>
      </c>
      <c r="AX139" s="14">
        <f>IF(OR(AX$5="大R",AX$5="超R"),MAX(INDEX(其他调用!$H$5:$L$404,MATCH($K139,其他调用!$B$5:$B$404,0),MATCH(AX$5,其他调用!$H$4:$L$4,0))*120*0.85,2),INDEX(其他调用!$H$5:$L$404,MATCH($K139,其他调用!$B$5:$B$404,0),MATCH(AX$5,其他调用!$H$4:$L$4,0))*120*0.85)</f>
        <v>3.9376284143615998</v>
      </c>
      <c r="AY139" s="14">
        <f>IF(OR(AY$5="大R",AY$5="超R"),MAX(INDEX(其他调用!$H$5:$L$404,MATCH($K139,其他调用!$B$5:$B$404,0),MATCH(AY$5,其他调用!$H$4:$L$4,0))*120*0.85,2),INDEX(其他调用!$H$5:$L$404,MATCH($K139,其他调用!$B$5:$B$404,0),MATCH(AY$5,其他调用!$H$4:$L$4,0))*120*0.85)</f>
        <v>2</v>
      </c>
      <c r="AZ139" s="14">
        <f>IF(OR(AZ$5="大R",AZ$5="超R"),MAX(INDEX(其他调用!$H$5:$L$404,MATCH($K139,其他调用!$B$5:$B$404,0),MATCH(AZ$5,其他调用!$H$4:$L$4,0))*120*0.85,2),INDEX(其他调用!$H$5:$L$404,MATCH($K139,其他调用!$B$5:$B$404,0),MATCH(AZ$5,其他调用!$H$4:$L$4,0))*120*0.85)</f>
        <v>2</v>
      </c>
      <c r="BA139" s="14">
        <f>INDEX(其他调用!$H$5:$L$404,MATCH($K139,其他调用!$B$5:$B$404,0),MATCH(BA$5,其他调用!$H$4:$L$4,0))*INDEX(其他调用!$M$5:$M$404,MATCH($K139,其他调用!$B$5:$B$404,0))*0.6</f>
        <v>28.777530149999997</v>
      </c>
      <c r="BB139" s="14">
        <f>INDEX(其他调用!$H$5:$L$404,MATCH($K139,其他调用!$B$5:$B$404,0),MATCH(BB$5,其他调用!$H$4:$L$4,0))*INDEX(其他调用!$M$5:$M$404,MATCH($K139,其他调用!$B$5:$B$404,0))*0.6</f>
        <v>28.374908241551999</v>
      </c>
      <c r="BC139" s="14">
        <f>INDEX(其他调用!$H$5:$L$404,MATCH($K139,其他调用!$B$5:$B$404,0),MATCH(BC$5,其他调用!$H$4:$L$4,0))*INDEX(其他调用!$M$5:$M$404,MATCH($K139,其他调用!$B$5:$B$404,0))*0.6</f>
        <v>2.3162520084480001</v>
      </c>
      <c r="BD139" s="14">
        <f>INDEX(其他调用!$H$5:$L$404,MATCH($K139,其他调用!$B$5:$B$404,0),MATCH(BD$5,其他调用!$H$4:$L$4,0))*INDEX(其他调用!$M$5:$M$404,MATCH($K139,其他调用!$B$5:$B$404,0))*0.6</f>
        <v>0.4120776000000001</v>
      </c>
      <c r="BE139" s="14">
        <f>INDEX(其他调用!$H$5:$L$404,MATCH($K139,其他调用!$B$5:$B$404,0),MATCH(BE$5,其他调用!$H$4:$L$4,0))*INDEX(其他调用!$M$5:$M$404,MATCH($K139,其他调用!$B$5:$B$404,0))*0.6</f>
        <v>0.11923199999999998</v>
      </c>
      <c r="BF139" s="14">
        <f>IF(OR(BF$5="大R",BF$5="超R"),0,INDEX(其他调用!$H$5:$L$404,MATCH($K139,其他调用!$B$5:$B$404,0),MATCH(BF$5,其他调用!$H$4:$L$4,0))*50*0.4)</f>
        <v>9.5925100500000013</v>
      </c>
      <c r="BG139" s="14">
        <f>IF(OR(BG$5="大R",BG$5="超R"),0,INDEX(其他调用!$H$5:$L$404,MATCH($K139,其他调用!$B$5:$B$404,0),MATCH(BG$5,其他调用!$H$4:$L$4,0))*50*0.4)</f>
        <v>9.4583027471839998</v>
      </c>
      <c r="BH139" s="14">
        <f>IF(OR(BH$5="大R",BH$5="超R"),0,INDEX(其他调用!$H$5:$L$404,MATCH($K139,其他调用!$B$5:$B$404,0),MATCH(BH$5,其他调用!$H$4:$L$4,0))*50*0.4)</f>
        <v>0.77208400281600009</v>
      </c>
      <c r="BI139" s="14">
        <f>IF(OR(BI$5="大R",BI$5="超R"),0,INDEX(其他调用!$H$5:$L$404,MATCH($K139,其他调用!$B$5:$B$404,0),MATCH(BI$5,其他调用!$H$4:$L$4,0))*50*0.4)</f>
        <v>0</v>
      </c>
      <c r="BJ139" s="14">
        <f>IF(OR(BJ$5="大R",BJ$5="超R"),0,INDEX(其他调用!$H$5:$L$404,MATCH($K139,其他调用!$B$5:$B$404,0),MATCH(BJ$5,其他调用!$H$4:$L$4,0))*50*0.4)</f>
        <v>0</v>
      </c>
      <c r="BL139" s="14">
        <f t="shared" si="313"/>
        <v>134</v>
      </c>
      <c r="BM139" s="14">
        <f t="shared" si="220"/>
        <v>96</v>
      </c>
      <c r="BN139" s="14">
        <f>('疲劳值&amp;地图信息'!$S$10*'疲劳值&amp;地图信息'!$R$10+'疲劳值&amp;地图信息'!$S$11*'疲劳值&amp;地图信息'!$R$11+'疲劳值&amp;地图信息'!$S$12*'疲劳值&amp;地图信息'!$R$12+(BM139-'疲劳值&amp;地图信息'!$S$12-'疲劳值&amp;地图信息'!$S$11-'疲劳值&amp;地图信息'!$S$10)*'疲劳值&amp;地图信息'!$R$13)/BM139</f>
        <v>51.371477246638619</v>
      </c>
      <c r="BO139" s="14">
        <f>INDEX(其他调用!$M$5:$M$404,MATCH(BL139,其他调用!$B$5:$B$404,0))*0.6</f>
        <v>60</v>
      </c>
      <c r="BP139" s="14">
        <f>IF(BO139&gt;SUM('疲劳值&amp;地图信息'!$S$10:$S$12),('疲劳值&amp;地图信息'!$S$10*'疲劳值&amp;地图信息'!$R$10+'疲劳值&amp;地图信息'!$S$11*'疲劳值&amp;地图信息'!$R$11+'疲劳值&amp;地图信息'!$S$12*'疲劳值&amp;地图信息'!$R$12+(BO139-'疲劳值&amp;地图信息'!$S$12-'疲劳值&amp;地图信息'!$S$11-'疲劳值&amp;地图信息'!$S$10)*'疲劳值&amp;地图信息'!$R$13)/BO139,('疲劳值&amp;地图信息'!$S$10*'疲劳值&amp;地图信息'!$R$10+'疲劳值&amp;地图信息'!$S$11*'疲劳值&amp;地图信息'!$R$11+'疲劳值&amp;地图信息'!$S$12*'疲劳值&amp;地图信息'!$R$12+(BO139-'疲劳值&amp;地图信息'!$S$12-'疲劳值&amp;地图信息'!$S$11-'疲劳值&amp;地图信息'!$S$10)*'疲劳值&amp;地图信息'!$R$13)/BO139)</f>
        <v>44.158136341605953</v>
      </c>
      <c r="BQ139" s="14">
        <f t="shared" si="314"/>
        <v>20</v>
      </c>
      <c r="BR139" s="14">
        <f>('疲劳值&amp;地图信息'!$S$10*'疲劳值&amp;地图信息'!$R$10+($BQ139-'疲劳值&amp;地图信息'!$S$10)*'疲劳值&amp;地图信息'!$R$11)/$BQ139</f>
        <v>32.067203015074995</v>
      </c>
      <c r="CF139" s="14">
        <v>134</v>
      </c>
      <c r="CG139" s="51">
        <f t="shared" si="221"/>
        <v>11097</v>
      </c>
      <c r="CH139" s="51">
        <f t="shared" si="222"/>
        <v>917</v>
      </c>
      <c r="CI139" s="51">
        <f>INT(SUMPRODUCT($N139:$R139,$BA139:$BE139)/SUM($BA139:$BE139)/10000*$BX$7*$BZ$34/'疲劳值&amp;地图信息'!$R$10*$BY$53)</f>
        <v>3034</v>
      </c>
      <c r="CJ139" s="50">
        <f t="shared" si="223"/>
        <v>0.73744019138755978</v>
      </c>
      <c r="CK139" s="50">
        <f t="shared" si="224"/>
        <v>6.0938330675172778E-2</v>
      </c>
      <c r="CL139" s="50">
        <f t="shared" si="225"/>
        <v>0.20162147793726742</v>
      </c>
      <c r="CM139" s="14">
        <f t="shared" si="226"/>
        <v>11926</v>
      </c>
      <c r="CN139" s="14">
        <f t="shared" si="227"/>
        <v>1514</v>
      </c>
      <c r="CO139" s="14">
        <f>INT(SUMPRODUCT($U139:$Y139,$BA139:$BE139)/SUM($BA139:$BE139)/10000*$BX$7*$BZ$34/'疲劳值&amp;地图信息'!$R$10*$BY$54)</f>
        <v>5714</v>
      </c>
      <c r="CP139" s="50">
        <f t="shared" si="228"/>
        <v>0.62263756917615121</v>
      </c>
      <c r="CQ139" s="50">
        <f t="shared" si="229"/>
        <v>7.9043541818941215E-2</v>
      </c>
      <c r="CR139" s="50">
        <f t="shared" si="230"/>
        <v>0.29831888900490761</v>
      </c>
      <c r="CS139" s="14">
        <f t="shared" si="231"/>
        <v>12781</v>
      </c>
      <c r="CT139" s="14">
        <f t="shared" si="232"/>
        <v>2633</v>
      </c>
      <c r="CU139" s="14">
        <f>INT(SUMPRODUCT($AB139:$AF139,$BA139:$BE139)/SUM($BA139:$BE139)/10000*$BX$7*$BZ$34/'疲劳值&amp;地图信息'!$R$10*$BY$55)</f>
        <v>7763</v>
      </c>
      <c r="CV139" s="50">
        <f t="shared" si="233"/>
        <v>0.55145187038874743</v>
      </c>
      <c r="CW139" s="50">
        <f t="shared" si="234"/>
        <v>0.11360400396945247</v>
      </c>
      <c r="CX139" s="50">
        <f t="shared" si="235"/>
        <v>0.33494412564180004</v>
      </c>
      <c r="CY139" s="14">
        <f t="shared" si="236"/>
        <v>14625</v>
      </c>
      <c r="CZ139" s="14">
        <f t="shared" si="237"/>
        <v>6991</v>
      </c>
      <c r="DA139" s="14">
        <f>INT(SUMPRODUCT($AI139:$AM139,$BA139:$BE139)/SUM($BA139:$BE139)/10000*$BX$7*$BZ$34/'疲劳值&amp;地图信息'!$R$10*$BY$56)</f>
        <v>11706</v>
      </c>
      <c r="DB139" s="50">
        <f t="shared" si="238"/>
        <v>0.4388992257367505</v>
      </c>
      <c r="DC139" s="50">
        <f t="shared" si="239"/>
        <v>0.20980133245303403</v>
      </c>
      <c r="DD139" s="50">
        <f t="shared" si="240"/>
        <v>0.3512994418102155</v>
      </c>
      <c r="DE139" s="14">
        <f t="shared" si="241"/>
        <v>14603</v>
      </c>
      <c r="DF139" s="14">
        <f t="shared" si="242"/>
        <v>13169</v>
      </c>
      <c r="DG139" s="14">
        <f>INT(SUMPRODUCT($AP139:$AT139,$BA139:$BE139)/SUM($BA139:$BE139)/10000*$BX$7*$BZ$34/'疲劳值&amp;地图信息'!$R$10*$BY$57)</f>
        <v>15635</v>
      </c>
      <c r="DH139" s="50">
        <f t="shared" si="243"/>
        <v>0.3364203930241666</v>
      </c>
      <c r="DI139" s="50">
        <f t="shared" si="244"/>
        <v>0.30338424678047321</v>
      </c>
      <c r="DJ139" s="50">
        <f t="shared" si="245"/>
        <v>0.36019536019536019</v>
      </c>
      <c r="DL139" s="14">
        <f t="shared" si="211"/>
        <v>15048</v>
      </c>
      <c r="DM139" s="14">
        <f t="shared" si="212"/>
        <v>19154</v>
      </c>
      <c r="DN139" s="14">
        <f t="shared" si="213"/>
        <v>23177</v>
      </c>
      <c r="DO139" s="14">
        <f t="shared" si="214"/>
        <v>33322</v>
      </c>
      <c r="DP139" s="14">
        <f t="shared" si="215"/>
        <v>43407</v>
      </c>
      <c r="DQ139" s="14">
        <f t="shared" si="216"/>
        <v>1049127</v>
      </c>
      <c r="DT139" s="14">
        <f t="shared" ref="DT139:DT202" si="315">SUM($BX$11:$BX$27)/2+SUM($BY$11:$BY$27)*(60-($BX$34+$BY$34)/60/2)/2</f>
        <v>235575</v>
      </c>
      <c r="DU139" s="50">
        <f t="shared" si="217"/>
        <v>0.18336937281953325</v>
      </c>
      <c r="DW139" s="14">
        <f t="shared" si="246"/>
        <v>1284702</v>
      </c>
      <c r="EB139" s="14">
        <v>134</v>
      </c>
      <c r="EC139" s="51">
        <f t="shared" si="247"/>
        <v>18495</v>
      </c>
      <c r="ED139" s="51">
        <f t="shared" si="248"/>
        <v>1529</v>
      </c>
      <c r="EE139" s="51">
        <f>INT(SUMPRODUCT($N139:$R139,$BF139:$BJ139)/SUM($BF139:$BJ139)/10000*$BX$7*$BZ$46/'疲劳值&amp;地图信息'!$R$10*$BY$53)</f>
        <v>407</v>
      </c>
      <c r="EF139" s="50">
        <f t="shared" si="249"/>
        <v>0.90524203416377069</v>
      </c>
      <c r="EG139" s="50">
        <f t="shared" si="250"/>
        <v>7.4837257109294703E-2</v>
      </c>
      <c r="EH139" s="50">
        <f t="shared" si="251"/>
        <v>1.992070872693456E-2</v>
      </c>
      <c r="EI139" s="51">
        <f t="shared" si="252"/>
        <v>19877</v>
      </c>
      <c r="EJ139" s="51">
        <f t="shared" si="253"/>
        <v>2523</v>
      </c>
      <c r="EK139" s="14">
        <f>INT(SUMPRODUCT($U139:$Y139,$BF139:$BJ139)/SUM($BF139:$BJ139)/10000*$BX$7*$BZ$46/'疲劳值&amp;地图信息'!$R$10*$BY$54)</f>
        <v>767</v>
      </c>
      <c r="EL139" s="50">
        <f t="shared" si="254"/>
        <v>0.85798765485388695</v>
      </c>
      <c r="EM139" s="50">
        <f t="shared" si="255"/>
        <v>0.10890490784305262</v>
      </c>
      <c r="EN139" s="50">
        <f t="shared" si="256"/>
        <v>3.3107437303060386E-2</v>
      </c>
      <c r="EO139" s="51">
        <f t="shared" si="257"/>
        <v>21302</v>
      </c>
      <c r="EP139" s="51">
        <f t="shared" si="258"/>
        <v>4389</v>
      </c>
      <c r="EQ139" s="14">
        <f>INT(SUMPRODUCT($AB139:$AF139,$BF139:$BJ139)/SUM($BF139:$BJ139)/10000*$BX$7*$BZ$46/'疲劳值&amp;地图信息'!$R$10*$BY$55)</f>
        <v>1041</v>
      </c>
      <c r="ER139" s="50">
        <f t="shared" si="259"/>
        <v>0.79687266197815354</v>
      </c>
      <c r="ES139" s="50">
        <f t="shared" si="260"/>
        <v>0.16418524614693999</v>
      </c>
      <c r="ET139" s="50">
        <f t="shared" si="261"/>
        <v>3.8942091874906479E-2</v>
      </c>
      <c r="EU139" s="51">
        <f t="shared" si="262"/>
        <v>24375</v>
      </c>
      <c r="EV139" s="51">
        <f t="shared" si="263"/>
        <v>11651</v>
      </c>
      <c r="EW139" s="14">
        <f>INT(SUMPRODUCT($AI139:$AM139,$BF139:$BJ139)/SUM($BF139:$BJ139)/10000*$BX$7*$BZ$46/'疲劳值&amp;地图信息'!$R$10*$BY$56)</f>
        <v>1561</v>
      </c>
      <c r="EX139" s="50">
        <f t="shared" si="264"/>
        <v>0.64849549046212784</v>
      </c>
      <c r="EY139" s="50">
        <f t="shared" si="265"/>
        <v>0.3099741932050975</v>
      </c>
      <c r="EZ139" s="50">
        <f t="shared" si="266"/>
        <v>4.1530316332774632E-2</v>
      </c>
      <c r="FA139" s="51">
        <f t="shared" si="267"/>
        <v>24338</v>
      </c>
      <c r="FB139" s="51">
        <f t="shared" si="268"/>
        <v>21948</v>
      </c>
      <c r="FC139" s="14">
        <f>INT(SUMPRODUCT($AP139:$AT139,$BF139:$BJ139)/SUM($BF139:$BJ139)/10000*$BX$7*$BZ$46/'疲劳值&amp;地图信息'!$R$10*$BY$57)</f>
        <v>2082</v>
      </c>
      <c r="FD139" s="50">
        <f t="shared" si="269"/>
        <v>0.50318392325504468</v>
      </c>
      <c r="FE139" s="50">
        <f t="shared" si="270"/>
        <v>0.45377108832285806</v>
      </c>
      <c r="FF139" s="50">
        <f t="shared" si="271"/>
        <v>4.3044988422097252E-2</v>
      </c>
      <c r="FH139" s="14">
        <f t="shared" si="272"/>
        <v>20431</v>
      </c>
      <c r="FI139" s="14">
        <f t="shared" si="273"/>
        <v>23167</v>
      </c>
      <c r="FJ139" s="14">
        <f t="shared" si="274"/>
        <v>26732</v>
      </c>
      <c r="FK139" s="14">
        <f t="shared" si="275"/>
        <v>37587</v>
      </c>
      <c r="FL139" s="14">
        <f t="shared" si="276"/>
        <v>48368</v>
      </c>
      <c r="FM139" s="14">
        <f t="shared" si="277"/>
        <v>2394206</v>
      </c>
      <c r="FP139" s="14">
        <f t="shared" si="278"/>
        <v>334150</v>
      </c>
      <c r="FQ139" s="50">
        <f t="shared" si="218"/>
        <v>0.12247302038297055</v>
      </c>
      <c r="FS139" s="14">
        <f t="shared" si="279"/>
        <v>2728356</v>
      </c>
      <c r="FX139" s="14">
        <v>134</v>
      </c>
      <c r="FY139" s="51">
        <f t="shared" si="280"/>
        <v>25893</v>
      </c>
      <c r="FZ139" s="51">
        <f t="shared" si="281"/>
        <v>1529</v>
      </c>
      <c r="GA139" s="51">
        <f>INT(SUMPRODUCT($N139:$R139,$BF139:$BJ139)/SUM($BF139:$BJ139)/10000*$BX$7*$BZ$46/'疲劳值&amp;地图信息'!$R$10*$BY$53)</f>
        <v>407</v>
      </c>
      <c r="GB139" s="50">
        <f t="shared" si="282"/>
        <v>0.93043228287038704</v>
      </c>
      <c r="GC139" s="50">
        <f t="shared" si="283"/>
        <v>5.4942685687592079E-2</v>
      </c>
      <c r="GD139" s="50">
        <f t="shared" si="284"/>
        <v>1.4625031442020913E-2</v>
      </c>
      <c r="GE139" s="51">
        <f t="shared" si="285"/>
        <v>27828</v>
      </c>
      <c r="GF139" s="51">
        <f t="shared" si="286"/>
        <v>2523</v>
      </c>
      <c r="GG139" s="14">
        <f>INT(SUMPRODUCT($U139:$Y139,$BF139:$BJ139)/SUM($BF139:$BJ139)/10000*$BX$7*$BZ$46/'疲劳值&amp;地图信息'!$R$10*$BY$54)</f>
        <v>767</v>
      </c>
      <c r="GH139" s="50">
        <f t="shared" si="287"/>
        <v>0.89427341088758916</v>
      </c>
      <c r="GI139" s="50">
        <f t="shared" si="288"/>
        <v>8.1078475480429332E-2</v>
      </c>
      <c r="GJ139" s="50">
        <f t="shared" si="289"/>
        <v>2.4648113631981491E-2</v>
      </c>
      <c r="GK139" s="51">
        <f t="shared" si="290"/>
        <v>29823</v>
      </c>
      <c r="GL139" s="51">
        <f t="shared" si="291"/>
        <v>4389</v>
      </c>
      <c r="GM139" s="14">
        <f>INT(SUMPRODUCT($AB139:$AF139,$BF139:$BJ139)/SUM($BF139:$BJ139)/10000*$BX$7*$BZ$46/'疲劳值&amp;地图信息'!$R$10*$BY$55)</f>
        <v>1041</v>
      </c>
      <c r="GN139" s="50">
        <f t="shared" si="292"/>
        <v>0.84597055569738744</v>
      </c>
      <c r="GO139" s="50">
        <f t="shared" si="293"/>
        <v>0.12450004254957026</v>
      </c>
      <c r="GP139" s="50">
        <f t="shared" si="294"/>
        <v>2.9529401753042295E-2</v>
      </c>
      <c r="GQ139" s="51">
        <f t="shared" si="295"/>
        <v>34126</v>
      </c>
      <c r="GR139" s="51">
        <f t="shared" si="296"/>
        <v>11651</v>
      </c>
      <c r="GS139" s="14">
        <f>INT(SUMPRODUCT($AI139:$AM139,$BF139:$BJ139)/SUM($BF139:$BJ139)/10000*$BX$7*$BZ$46/'疲劳值&amp;地图信息'!$R$10*$BY$56)</f>
        <v>1561</v>
      </c>
      <c r="GT139" s="50">
        <f t="shared" si="297"/>
        <v>0.72090075626346695</v>
      </c>
      <c r="GU139" s="50">
        <f t="shared" si="298"/>
        <v>0.24612362161477039</v>
      </c>
      <c r="GV139" s="50">
        <f t="shared" si="299"/>
        <v>3.2975622121762645E-2</v>
      </c>
      <c r="GW139" s="51">
        <f t="shared" si="300"/>
        <v>34074</v>
      </c>
      <c r="GX139" s="51">
        <f t="shared" si="301"/>
        <v>21948</v>
      </c>
      <c r="GY139" s="14">
        <f>INT(SUMPRODUCT($AP139:$AT139,$BF139:$BJ139)/SUM($BF139:$BJ139)/10000*$BX$7*$BZ$46/'疲劳值&amp;地图信息'!$R$10*$BY$57)</f>
        <v>2082</v>
      </c>
      <c r="GZ139" s="50">
        <f t="shared" si="302"/>
        <v>0.58643122676579928</v>
      </c>
      <c r="HA139" s="50">
        <f t="shared" si="303"/>
        <v>0.37773647253201159</v>
      </c>
      <c r="HB139" s="50">
        <f t="shared" si="304"/>
        <v>3.5832300702189179E-2</v>
      </c>
      <c r="HD139" s="14">
        <f t="shared" si="305"/>
        <v>27829</v>
      </c>
      <c r="HE139" s="14">
        <f t="shared" si="306"/>
        <v>31118</v>
      </c>
      <c r="HF139" s="14">
        <f t="shared" si="307"/>
        <v>35253</v>
      </c>
      <c r="HG139" s="14">
        <f t="shared" si="308"/>
        <v>47338</v>
      </c>
      <c r="HH139" s="14">
        <f t="shared" si="309"/>
        <v>58104</v>
      </c>
      <c r="HI139" s="14">
        <f t="shared" si="310"/>
        <v>3212191</v>
      </c>
      <c r="HL139" s="14">
        <f t="shared" si="311"/>
        <v>430050</v>
      </c>
      <c r="HM139" s="50">
        <f t="shared" si="219"/>
        <v>0.11807291170463459</v>
      </c>
      <c r="HO139" s="14">
        <f t="shared" si="312"/>
        <v>3642241</v>
      </c>
    </row>
    <row r="140" spans="11:223" x14ac:dyDescent="0.2">
      <c r="K140" s="14">
        <v>135</v>
      </c>
      <c r="L140" s="12">
        <f>求节点(节奏总纲!D$4:D$163,标准城池设计!AB$4:AB$163,$K140)*求节点(节奏总纲!D$4:D$163,攻城基础信息!$AC$5:$AC$164,$K140)</f>
        <v>546216.43180463067</v>
      </c>
      <c r="M140" s="12">
        <f>INDEX(其他调用!$AA$5:$AA$404,MATCH(K140,其他调用!$X$5:$X$404,0))*MIN(INDEX(其他调用!$AH$5:$AH$364,MATCH('征服点（新）'!K140,其他调用!$AG$5:$AG$364,0),1)/INDEX(其他调用!$AJ$5:$AJ$364,MATCH(K140,其他调用!$AG$5:$AG$364,0),0),5)*求节点(节奏总纲!D$4:D$163,攻城基础信息!$AC$5:$AC$164,$K140)</f>
        <v>45091.997911284278</v>
      </c>
      <c r="N140" s="12">
        <f>MIN(INDEX(其他调用!$AH$5:$AH$364,MATCH($K140,其他调用!$AG$5:$AG$364,0),1)/INDEX(其他调用!AH$5:AH$364,MATCH($K140,其他调用!$AG$5:$AG$364,0),0),1)*INDEX(其他调用!Y$5:Y$404,MATCH($K140,其他调用!$X$5:$X$404,0),0)</f>
        <v>37872.012228212094</v>
      </c>
      <c r="O140" s="12">
        <f>MIN(INDEX(其他调用!$AH$5:$AH$364,MATCH($K140,其他调用!$AG$5:$AG$364,0),1)/INDEX(其他调用!AI$5:AI$364,MATCH($K140,其他调用!$AG$5:$AG$364,0),0),1)*INDEX(其他调用!Z$5:Z$404,MATCH($K140,其他调用!$X$5:$X$404,0),0)</f>
        <v>23646.331630253484</v>
      </c>
      <c r="P140" s="12">
        <f>MIN(INDEX(其他调用!$AH$5:$AH$364,MATCH($K140,其他调用!$AG$5:$AG$364,0),1)/INDEX(其他调用!AJ$5:AJ$364,MATCH($K140,其他调用!$AG$5:$AG$364,0),0),1)*INDEX(其他调用!AA$5:AA$404,MATCH($K140,其他调用!$X$5:$X$404,0),0)</f>
        <v>14110.240056888008</v>
      </c>
      <c r="Q140" s="12">
        <f>MIN(INDEX(其他调用!$AH$5:$AH$364,MATCH($K140,其他调用!$AG$5:$AG$364,0),1)/INDEX(其他调用!AK$5:AK$364,MATCH($K140,其他调用!$AG$5:$AG$364,0),0),1)*INDEX(其他调用!AB$5:AB$404,MATCH($K140,其他调用!$X$5:$X$404,0),0)</f>
        <v>5584.2292044272008</v>
      </c>
      <c r="R140" s="12">
        <f>MIN(INDEX(其他调用!$AH$5:$AH$364,MATCH($K140,其他调用!$AG$5:$AG$364,0),1)/INDEX(其他调用!AL$5:AL$364,MATCH($K140,其他调用!$AG$5:$AG$364,0),0),1)*INDEX(其他调用!AC$5:AC$404,MATCH($K140,其他调用!$X$5:$X$404,0),0)</f>
        <v>1829.552934901569</v>
      </c>
      <c r="S140" s="12">
        <f>求节点(节奏总纲!D$4:D$163,标准城池设计!AC$4:AC$163,$K140)*求节点(节奏总纲!D$4:D$163,攻城基础信息!$AD$5:$AD$164,$K140)</f>
        <v>587131.49712252815</v>
      </c>
      <c r="T140" s="12">
        <f>INDEX(其他调用!$AA$5:$AA$404,MATCH($K140,其他调用!$X$5:$X$404,0))*MIN(INDEX(其他调用!AI$5:AI$364,MATCH($K140,其他调用!$AG$5:$AG$364,0),1)/INDEX(其他调用!$AJ$5:$AJ$364,MATCH($K140,其他调用!$AG$5:$AG$364,0),0),5)*求节点(节奏总纲!D$4:D$163,攻城基础信息!$AD$5:$AD$164,$K140)</f>
        <v>74405.448073976091</v>
      </c>
      <c r="U140" s="12">
        <f>MIN(INDEX(其他调用!$AI$5:$AI$364,MATCH($K140,其他调用!$AG$5:$AG$364,0),1)/INDEX(其他调用!AH$5:AH$364,MATCH($K140,其他调用!$AG$5:$AG$364,0),0),1)*INDEX(其他调用!Y$5:Y$404,MATCH($K140,其他调用!$X$5:$X$404,0),0)</f>
        <v>37872.012228212094</v>
      </c>
      <c r="V140" s="12">
        <f>MIN(INDEX(其他调用!$AI$5:$AI$364,MATCH($K140,其他调用!$AG$5:$AG$364,0),1)/INDEX(其他调用!AI$5:AI$364,MATCH($K140,其他调用!$AG$5:$AG$364,0),0),1)*INDEX(其他调用!Z$5:Z$404,MATCH($K140,其他调用!$X$5:$X$404,0),0)</f>
        <v>39018.362054313628</v>
      </c>
      <c r="W140" s="12">
        <f>MIN(INDEX(其他调用!$AI$5:$AI$364,MATCH($K140,其他调用!$AG$5:$AG$364,0),1)/INDEX(其他调用!AJ$5:AJ$364,MATCH($K140,其他调用!$AG$5:$AG$364,0),0),1)*INDEX(其他调用!AA$5:AA$404,MATCH($K140,其他调用!$X$5:$X$404,0),0)</f>
        <v>23283.03873183197</v>
      </c>
      <c r="X140" s="12">
        <f>MIN(INDEX(其他调用!$AI$5:$AI$364,MATCH($K140,其他调用!$AG$5:$AG$364,0),1)/INDEX(其他调用!AK$5:AK$364,MATCH($K140,其他调用!$AG$5:$AG$364,0),0),1)*INDEX(其他调用!AB$5:AB$404,MATCH($K140,其他调用!$X$5:$X$404,0),0)</f>
        <v>9214.4303945159772</v>
      </c>
      <c r="Y140" s="12">
        <f>MIN(INDEX(其他调用!$AI$5:$AI$364,MATCH($K140,其他调用!$AG$5:$AG$364,0),1)/INDEX(其他调用!AL$5:AL$364,MATCH($K140,其他调用!$AG$5:$AG$364,0),0),1)*INDEX(其他调用!AC$5:AC$404,MATCH($K140,其他调用!$X$5:$X$404,0),0)</f>
        <v>3018.9104985819004</v>
      </c>
      <c r="Z140" s="12">
        <f>求节点(节奏总纲!D$4:D$163,标准城池设计!AD$4:AD$163,$K140)*求节点(节奏总纲!D$4:D$163,攻城基础信息!$AE$5:$AE$164,$K140)</f>
        <v>629028.86043851578</v>
      </c>
      <c r="AA140" s="12">
        <f>INDEX(其他调用!$AA$5:$AA$404,MATCH($K140,其他调用!$X$5:$X$404,0))*MIN(INDEX(其他调用!AJ$5:AJ$364,MATCH($K140,其他调用!$AG$5:$AG$364,0),1)/INDEX(其他调用!$AJ$5:$AJ$364,MATCH($K140,其他调用!$AG$5:$AG$364,0),0),5)*求节点(节奏总纲!D$4:D$163,攻城基础信息!$AE$5:$AE$164,$K140)</f>
        <v>129514.39342495406</v>
      </c>
      <c r="AB140" s="12">
        <f>MIN(INDEX(其他调用!$AJ$5:$AJ$364,MATCH($K140,其他调用!$AG$5:$AG$364,0),1)/INDEX(其他调用!AH$5:AH$364,MATCH($K140,其他调用!$AG$5:$AG$364,0),0),1)*INDEX(其他调用!Y$5:Y$404,MATCH($K140,其他调用!$X$5:$X$404,0),0)</f>
        <v>37872.012228212094</v>
      </c>
      <c r="AC140" s="12">
        <f>MIN(INDEX(其他调用!$AJ$5:$AJ$364,MATCH($K140,其他调用!$AG$5:$AG$364,0),1)/INDEX(其他调用!AI$5:AI$364,MATCH($K140,其他调用!$AG$5:$AG$364,0),0),1)*INDEX(其他调用!Z$5:Z$404,MATCH($K140,其他调用!$X$5:$X$404,0),0)</f>
        <v>39018.362054313628</v>
      </c>
      <c r="AD140" s="12">
        <f>MIN(INDEX(其他调用!$AJ$5:$AJ$364,MATCH($K140,其他调用!$AG$5:$AG$364,0),1)/INDEX(其他调用!AJ$5:AJ$364,MATCH($K140,其他调用!$AG$5:$AG$364,0),0),1)*INDEX(其他调用!AA$5:AA$404,MATCH($K140,其他调用!$X$5:$X$404,0),0)</f>
        <v>40527.793548731024</v>
      </c>
      <c r="AE140" s="12">
        <f>MIN(INDEX(其他调用!$AJ$5:$AJ$364,MATCH($K140,其他调用!$AG$5:$AG$364,0),1)/INDEX(其他调用!AK$5:AK$364,MATCH($K140,其他调用!$AG$5:$AG$364,0),0),1)*INDEX(其他调用!AB$5:AB$404,MATCH($K140,其他调用!$X$5:$X$404,0),0)</f>
        <v>16039.166407756624</v>
      </c>
      <c r="AF140" s="12">
        <f>MIN(INDEX(其他调用!$AJ$5:$AJ$364,MATCH($K140,其他调用!$AG$5:$AG$364,0),1)/INDEX(其他调用!AL$5:AL$364,MATCH($K140,其他调用!$AG$5:$AG$364,0),0),1)*INDEX(其他调用!AC$5:AC$404,MATCH($K140,其他调用!$X$5:$X$404,0),0)</f>
        <v>5254.8888844715293</v>
      </c>
      <c r="AG140" s="12">
        <f>求节点(节奏总纲!D$4:D$163,标准城池设计!AE$4:AE$163,$K140)*求节点(节奏总纲!D$4:D$163,攻城基础信息!$AF$5:$AF$164,$K140)</f>
        <v>719927.98090758314</v>
      </c>
      <c r="AH140" s="12">
        <f>INDEX(其他调用!$AA$5:$AA$404,MATCH($K140,其他调用!$X$5:$X$404,0))*MIN(INDEX(其他调用!AK$5:AK$364,MATCH($K140,其他调用!$AG$5:$AG$364,0),1)/INDEX(其他调用!$AJ$5:$AJ$364,MATCH($K140,其他调用!$AG$5:$AG$364,0),0),5)*求节点(节奏总纲!D$4:D$163,攻城基础信息!$AF$5:$AF$164,$K140)</f>
        <v>344952.98718147835</v>
      </c>
      <c r="AI140" s="12">
        <f>MIN(INDEX(其他调用!$AK$5:$AK$364,MATCH($K140,其他调用!$AG$5:$AG$364,0),1)/INDEX(其他调用!AH$5:AH$364,MATCH($K140,其他调用!$AG$5:$AG$364,0),0),1)*INDEX(其他调用!Y$5:Y$404,MATCH($K140,其他调用!$X$5:$X$404,0),0)</f>
        <v>37872.012228212094</v>
      </c>
      <c r="AJ140" s="12">
        <f>MIN(INDEX(其他调用!$AK$5:$AK$364,MATCH($K140,其他调用!$AG$5:$AG$364,0),1)/INDEX(其他调用!AI$5:AI$364,MATCH($K140,其他调用!$AG$5:$AG$364,0),0),1)*INDEX(其他调用!Z$5:Z$404,MATCH($K140,其他调用!$X$5:$X$404,0),0)</f>
        <v>39018.362054313628</v>
      </c>
      <c r="AK140" s="12">
        <f>MIN(INDEX(其他调用!$AK$5:$AK$364,MATCH($K140,其他调用!$AG$5:$AG$364,0),1)/INDEX(其他调用!AJ$5:AJ$364,MATCH($K140,其他调用!$AG$5:$AG$364,0),0),1)*INDEX(其他调用!AA$5:AA$404,MATCH($K140,其他调用!$X$5:$X$404,0),0)</f>
        <v>40527.793548731024</v>
      </c>
      <c r="AL140" s="12">
        <f>MIN(INDEX(其他调用!$AK$5:$AK$364,MATCH($K140,其他调用!$AG$5:$AG$364,0),1)/INDEX(其他调用!AK$5:AK$364,MATCH($K140,其他调用!$AG$5:$AG$364,0),0),1)*INDEX(其他调用!AB$5:AB$404,MATCH($K140,其他调用!$X$5:$X$404,0),0)</f>
        <v>42719.2547325821</v>
      </c>
      <c r="AM140" s="12">
        <f>MIN(INDEX(其他调用!$AK$5:$AK$364,MATCH($K140,其他调用!$AG$5:$AG$364,0),1)/INDEX(其他调用!AL$5:AL$364,MATCH($K140,其他调用!$AG$5:$AG$364,0),0),1)*INDEX(其他调用!AC$5:AC$404,MATCH($K140,其他调用!$X$5:$X$404,0),0)</f>
        <v>13996.04762119005</v>
      </c>
      <c r="AN140" s="12">
        <f>求节点(节奏总纲!D$4:D$163,标准城池设计!AF$4:AF$163,$K140)*求节点(节奏总纲!D$4:D$163,攻城基础信息!$AG$5:$AG$164,$K140)</f>
        <v>719341.39235911169</v>
      </c>
      <c r="AO140" s="12">
        <f>INDEX(其他调用!$AA$5:$AA$404,MATCH($K140,其他调用!$X$5:$X$404,0))*MIN(INDEX(其他调用!AL$5:AL$364,MATCH($K140,其他调用!$AG$5:$AG$364,0),1)/INDEX(其他调用!$AJ$5:$AJ$364,MATCH($K140,其他调用!$AG$5:$AG$364,0),0),5)*求节点(节奏总纲!D$4:D$163,攻城基础信息!$AG$5:$AG$164,$K140)</f>
        <v>647571.96712477028</v>
      </c>
      <c r="AP140" s="12">
        <f>MIN(INDEX(其他调用!$AL$5:$AL$364,MATCH($K140,其他调用!$AG$5:$AG$364,0),1)/INDEX(其他调用!AH$5:AH$364,MATCH($K140,其他调用!$AG$5:$AG$364,0),0),1)*INDEX(其他调用!Y$5:Y$404,MATCH($K140,其他调用!$X$5:$X$404,0),0)</f>
        <v>37872.012228212094</v>
      </c>
      <c r="AQ140" s="12">
        <f>MIN(INDEX(其他调用!$AL$5:$AL$364,MATCH($K140,其他调用!$AG$5:$AG$364,0),1)/INDEX(其他调用!AI$5:AI$364,MATCH($K140,其他调用!$AG$5:$AG$364,0),0),1)*INDEX(其他调用!Z$5:Z$404,MATCH($K140,其他调用!$X$5:$X$404,0),0)</f>
        <v>39018.362054313628</v>
      </c>
      <c r="AR140" s="12">
        <f>MIN(INDEX(其他调用!$AL$5:$AL$364,MATCH($K140,其他调用!$AG$5:$AG$364,0),1)/INDEX(其他调用!AJ$5:AJ$364,MATCH($K140,其他调用!$AG$5:$AG$364,0),0),1)*INDEX(其他调用!AA$5:AA$404,MATCH($K140,其他调用!$X$5:$X$404,0),0)</f>
        <v>40527.793548731024</v>
      </c>
      <c r="AS140" s="12">
        <f>MIN(INDEX(其他调用!$AL$5:$AL$364,MATCH($K140,其他调用!$AG$5:$AG$364,0),1)/INDEX(其他调用!AK$5:AK$364,MATCH($K140,其他调用!$AG$5:$AG$364,0),0),1)*INDEX(其他调用!AB$5:AB$404,MATCH($K140,其他调用!$X$5:$X$404,0),0)</f>
        <v>42719.2547325821</v>
      </c>
      <c r="AT140" s="12">
        <f>MIN(INDEX(其他调用!$AL$5:$AL$364,MATCH($K140,其他调用!$AG$5:$AG$364,0),1)/INDEX(其他调用!AL$5:AL$364,MATCH($K140,其他调用!$AG$5:$AG$364,0),0),1)*INDEX(其他调用!AC$5:AC$404,MATCH($K140,其他调用!$X$5:$X$404,0),0)</f>
        <v>46638.878188837436</v>
      </c>
      <c r="AV140" s="14">
        <f>IF(OR(AV$5="大R",AV$5="超R"),MAX(INDEX(其他调用!$H$5:$L$404,MATCH($K140,其他调用!$B$5:$B$404,0),MATCH(AV$5,其他调用!$H$4:$L$4,0))*120*0.85,2),INDEX(其他调用!$H$5:$L$404,MATCH($K140,其他调用!$B$5:$B$404,0),MATCH(AV$5,其他调用!$H$4:$L$4,0))*120*0.85)</f>
        <v>48.921801254999991</v>
      </c>
      <c r="AW140" s="14">
        <f>IF(OR(AW$5="大R",AW$5="超R"),MAX(INDEX(其他调用!$H$5:$L$404,MATCH($K140,其他调用!$B$5:$B$404,0),MATCH(AW$5,其他调用!$H$4:$L$4,0))*120*0.85,2),INDEX(其他调用!$H$5:$L$404,MATCH($K140,其他调用!$B$5:$B$404,0),MATCH(AW$5,其他调用!$H$4:$L$4,0))*120*0.85)</f>
        <v>48.237344010638395</v>
      </c>
      <c r="AX140" s="14">
        <f>IF(OR(AX$5="大R",AX$5="超R"),MAX(INDEX(其他调用!$H$5:$L$404,MATCH($K140,其他调用!$B$5:$B$404,0),MATCH(AX$5,其他调用!$H$4:$L$4,0))*120*0.85,2),INDEX(其他调用!$H$5:$L$404,MATCH($K140,其他调用!$B$5:$B$404,0),MATCH(AX$5,其他调用!$H$4:$L$4,0))*120*0.85)</f>
        <v>3.9376284143615998</v>
      </c>
      <c r="AY140" s="14">
        <f>IF(OR(AY$5="大R",AY$5="超R"),MAX(INDEX(其他调用!$H$5:$L$404,MATCH($K140,其他调用!$B$5:$B$404,0),MATCH(AY$5,其他调用!$H$4:$L$4,0))*120*0.85,2),INDEX(其他调用!$H$5:$L$404,MATCH($K140,其他调用!$B$5:$B$404,0),MATCH(AY$5,其他调用!$H$4:$L$4,0))*120*0.85)</f>
        <v>2</v>
      </c>
      <c r="AZ140" s="14">
        <f>IF(OR(AZ$5="大R",AZ$5="超R"),MAX(INDEX(其他调用!$H$5:$L$404,MATCH($K140,其他调用!$B$5:$B$404,0),MATCH(AZ$5,其他调用!$H$4:$L$4,0))*120*0.85,2),INDEX(其他调用!$H$5:$L$404,MATCH($K140,其他调用!$B$5:$B$404,0),MATCH(AZ$5,其他调用!$H$4:$L$4,0))*120*0.85)</f>
        <v>2</v>
      </c>
      <c r="BA140" s="14">
        <f>INDEX(其他调用!$H$5:$L$404,MATCH($K140,其他调用!$B$5:$B$404,0),MATCH(BA$5,其他调用!$H$4:$L$4,0))*INDEX(其他调用!$M$5:$M$404,MATCH($K140,其他调用!$B$5:$B$404,0))*0.6</f>
        <v>28.777530149999997</v>
      </c>
      <c r="BB140" s="14">
        <f>INDEX(其他调用!$H$5:$L$404,MATCH($K140,其他调用!$B$5:$B$404,0),MATCH(BB$5,其他调用!$H$4:$L$4,0))*INDEX(其他调用!$M$5:$M$404,MATCH($K140,其他调用!$B$5:$B$404,0))*0.6</f>
        <v>28.374908241551999</v>
      </c>
      <c r="BC140" s="14">
        <f>INDEX(其他调用!$H$5:$L$404,MATCH($K140,其他调用!$B$5:$B$404,0),MATCH(BC$5,其他调用!$H$4:$L$4,0))*INDEX(其他调用!$M$5:$M$404,MATCH($K140,其他调用!$B$5:$B$404,0))*0.6</f>
        <v>2.3162520084480001</v>
      </c>
      <c r="BD140" s="14">
        <f>INDEX(其他调用!$H$5:$L$404,MATCH($K140,其他调用!$B$5:$B$404,0),MATCH(BD$5,其他调用!$H$4:$L$4,0))*INDEX(其他调用!$M$5:$M$404,MATCH($K140,其他调用!$B$5:$B$404,0))*0.6</f>
        <v>0.4120776000000001</v>
      </c>
      <c r="BE140" s="14">
        <f>INDEX(其他调用!$H$5:$L$404,MATCH($K140,其他调用!$B$5:$B$404,0),MATCH(BE$5,其他调用!$H$4:$L$4,0))*INDEX(其他调用!$M$5:$M$404,MATCH($K140,其他调用!$B$5:$B$404,0))*0.6</f>
        <v>0.11923199999999998</v>
      </c>
      <c r="BF140" s="14">
        <f>IF(OR(BF$5="大R",BF$5="超R"),0,INDEX(其他调用!$H$5:$L$404,MATCH($K140,其他调用!$B$5:$B$404,0),MATCH(BF$5,其他调用!$H$4:$L$4,0))*50*0.4)</f>
        <v>9.5925100500000013</v>
      </c>
      <c r="BG140" s="14">
        <f>IF(OR(BG$5="大R",BG$5="超R"),0,INDEX(其他调用!$H$5:$L$404,MATCH($K140,其他调用!$B$5:$B$404,0),MATCH(BG$5,其他调用!$H$4:$L$4,0))*50*0.4)</f>
        <v>9.4583027471839998</v>
      </c>
      <c r="BH140" s="14">
        <f>IF(OR(BH$5="大R",BH$5="超R"),0,INDEX(其他调用!$H$5:$L$404,MATCH($K140,其他调用!$B$5:$B$404,0),MATCH(BH$5,其他调用!$H$4:$L$4,0))*50*0.4)</f>
        <v>0.77208400281600009</v>
      </c>
      <c r="BI140" s="14">
        <f>IF(OR(BI$5="大R",BI$5="超R"),0,INDEX(其他调用!$H$5:$L$404,MATCH($K140,其他调用!$B$5:$B$404,0),MATCH(BI$5,其他调用!$H$4:$L$4,0))*50*0.4)</f>
        <v>0</v>
      </c>
      <c r="BJ140" s="14">
        <f>IF(OR(BJ$5="大R",BJ$5="超R"),0,INDEX(其他调用!$H$5:$L$404,MATCH($K140,其他调用!$B$5:$B$404,0),MATCH(BJ$5,其他调用!$H$4:$L$4,0))*50*0.4)</f>
        <v>0</v>
      </c>
      <c r="BL140" s="14">
        <f t="shared" si="313"/>
        <v>135</v>
      </c>
      <c r="BM140" s="14">
        <f t="shared" si="220"/>
        <v>96</v>
      </c>
      <c r="BN140" s="14">
        <f>('疲劳值&amp;地图信息'!$S$10*'疲劳值&amp;地图信息'!$R$10+'疲劳值&amp;地图信息'!$S$11*'疲劳值&amp;地图信息'!$R$11+'疲劳值&amp;地图信息'!$S$12*'疲劳值&amp;地图信息'!$R$12+(BM140-'疲劳值&amp;地图信息'!$S$12-'疲劳值&amp;地图信息'!$S$11-'疲劳值&amp;地图信息'!$S$10)*'疲劳值&amp;地图信息'!$R$13)/BM140</f>
        <v>51.371477246638619</v>
      </c>
      <c r="BO140" s="14">
        <f>INDEX(其他调用!$M$5:$M$404,MATCH(BL140,其他调用!$B$5:$B$404,0))*0.6</f>
        <v>60</v>
      </c>
      <c r="BP140" s="14">
        <f>IF(BO140&gt;SUM('疲劳值&amp;地图信息'!$S$10:$S$12),('疲劳值&amp;地图信息'!$S$10*'疲劳值&amp;地图信息'!$R$10+'疲劳值&amp;地图信息'!$S$11*'疲劳值&amp;地图信息'!$R$11+'疲劳值&amp;地图信息'!$S$12*'疲劳值&amp;地图信息'!$R$12+(BO140-'疲劳值&amp;地图信息'!$S$12-'疲劳值&amp;地图信息'!$S$11-'疲劳值&amp;地图信息'!$S$10)*'疲劳值&amp;地图信息'!$R$13)/BO140,('疲劳值&amp;地图信息'!$S$10*'疲劳值&amp;地图信息'!$R$10+'疲劳值&amp;地图信息'!$S$11*'疲劳值&amp;地图信息'!$R$11+'疲劳值&amp;地图信息'!$S$12*'疲劳值&amp;地图信息'!$R$12+(BO140-'疲劳值&amp;地图信息'!$S$12-'疲劳值&amp;地图信息'!$S$11-'疲劳值&amp;地图信息'!$S$10)*'疲劳值&amp;地图信息'!$R$13)/BO140)</f>
        <v>44.158136341605953</v>
      </c>
      <c r="BQ140" s="14">
        <f t="shared" si="314"/>
        <v>20</v>
      </c>
      <c r="BR140" s="14">
        <f>('疲劳值&amp;地图信息'!$S$10*'疲劳值&amp;地图信息'!$R$10+($BQ140-'疲劳值&amp;地图信息'!$S$10)*'疲劳值&amp;地图信息'!$R$11)/$BQ140</f>
        <v>32.067203015074995</v>
      </c>
      <c r="CF140" s="14">
        <v>135</v>
      </c>
      <c r="CG140" s="51">
        <f t="shared" si="221"/>
        <v>11132</v>
      </c>
      <c r="CH140" s="51">
        <f t="shared" si="222"/>
        <v>919</v>
      </c>
      <c r="CI140" s="51">
        <f>INT(SUMPRODUCT($N140:$R140,$BA140:$BE140)/SUM($BA140:$BE140)/10000*$BX$7*$BZ$34/'疲劳值&amp;地图信息'!$R$10*$BY$53)</f>
        <v>3037</v>
      </c>
      <c r="CJ140" s="50">
        <f t="shared" si="223"/>
        <v>0.73780487804878048</v>
      </c>
      <c r="CK140" s="50">
        <f t="shared" si="224"/>
        <v>6.0909331919406152E-2</v>
      </c>
      <c r="CL140" s="50">
        <f t="shared" si="225"/>
        <v>0.20128579003181335</v>
      </c>
      <c r="CM140" s="14">
        <f t="shared" si="226"/>
        <v>11966</v>
      </c>
      <c r="CN140" s="14">
        <f t="shared" si="227"/>
        <v>1516</v>
      </c>
      <c r="CO140" s="14">
        <f>INT(SUMPRODUCT($U140:$Y140,$BA140:$BE140)/SUM($BA140:$BE140)/10000*$BX$7*$BZ$34/'疲劳值&amp;地图信息'!$R$10*$BY$54)</f>
        <v>5720</v>
      </c>
      <c r="CP140" s="50">
        <f t="shared" si="228"/>
        <v>0.62316425372357043</v>
      </c>
      <c r="CQ140" s="50">
        <f t="shared" si="229"/>
        <v>7.8950109363607954E-2</v>
      </c>
      <c r="CR140" s="50">
        <f t="shared" si="230"/>
        <v>0.29788563691282161</v>
      </c>
      <c r="CS140" s="14">
        <f t="shared" si="231"/>
        <v>12820</v>
      </c>
      <c r="CT140" s="14">
        <f t="shared" si="232"/>
        <v>2639</v>
      </c>
      <c r="CU140" s="14">
        <f>INT(SUMPRODUCT($AB140:$AF140,$BA140:$BE140)/SUM($BA140:$BE140)/10000*$BX$7*$BZ$34/'疲劳值&amp;地图信息'!$R$10*$BY$55)</f>
        <v>7772</v>
      </c>
      <c r="CV140" s="50">
        <f t="shared" si="233"/>
        <v>0.5518488226938143</v>
      </c>
      <c r="CW140" s="50">
        <f t="shared" si="234"/>
        <v>0.11359820928931169</v>
      </c>
      <c r="CX140" s="50">
        <f t="shared" si="235"/>
        <v>0.33455296801687401</v>
      </c>
      <c r="CY140" s="14">
        <f t="shared" si="236"/>
        <v>14673</v>
      </c>
      <c r="CZ140" s="14">
        <f t="shared" si="237"/>
        <v>7030</v>
      </c>
      <c r="DA140" s="14">
        <f>INT(SUMPRODUCT($AI140:$AM140,$BA140:$BE140)/SUM($BA140:$BE140)/10000*$BX$7*$BZ$34/'疲劳值&amp;地图信息'!$R$10*$BY$56)</f>
        <v>11720</v>
      </c>
      <c r="DB140" s="50">
        <f t="shared" si="238"/>
        <v>0.43900906561349967</v>
      </c>
      <c r="DC140" s="50">
        <f t="shared" si="239"/>
        <v>0.21033420099931185</v>
      </c>
      <c r="DD140" s="50">
        <f t="shared" si="240"/>
        <v>0.35065673338718845</v>
      </c>
      <c r="DE140" s="14">
        <f t="shared" si="241"/>
        <v>14661</v>
      </c>
      <c r="DF140" s="14">
        <f t="shared" si="242"/>
        <v>13198</v>
      </c>
      <c r="DG140" s="14">
        <f>INT(SUMPRODUCT($AP140:$AT140,$BA140:$BE140)/SUM($BA140:$BE140)/10000*$BX$7*$BZ$34/'疲劳值&amp;地图信息'!$R$10*$BY$57)</f>
        <v>15653</v>
      </c>
      <c r="DH140" s="50">
        <f t="shared" si="243"/>
        <v>0.3369415333701048</v>
      </c>
      <c r="DI140" s="50">
        <f t="shared" si="244"/>
        <v>0.30331862474719617</v>
      </c>
      <c r="DJ140" s="50">
        <f t="shared" si="245"/>
        <v>0.35973984188269903</v>
      </c>
      <c r="DL140" s="14">
        <f t="shared" si="211"/>
        <v>15088</v>
      </c>
      <c r="DM140" s="14">
        <f t="shared" si="212"/>
        <v>19202</v>
      </c>
      <c r="DN140" s="14">
        <f t="shared" si="213"/>
        <v>23231</v>
      </c>
      <c r="DO140" s="14">
        <f t="shared" si="214"/>
        <v>33423</v>
      </c>
      <c r="DP140" s="14">
        <f t="shared" si="215"/>
        <v>43512</v>
      </c>
      <c r="DQ140" s="14">
        <f t="shared" si="216"/>
        <v>1051820</v>
      </c>
      <c r="DT140" s="14">
        <f t="shared" si="315"/>
        <v>235575</v>
      </c>
      <c r="DU140" s="50">
        <f t="shared" si="217"/>
        <v>0.18298579689994135</v>
      </c>
      <c r="DW140" s="14">
        <f t="shared" si="246"/>
        <v>1287395</v>
      </c>
      <c r="EB140" s="14">
        <v>135</v>
      </c>
      <c r="EC140" s="51">
        <f t="shared" si="247"/>
        <v>18554</v>
      </c>
      <c r="ED140" s="51">
        <f t="shared" si="248"/>
        <v>1531</v>
      </c>
      <c r="EE140" s="51">
        <f>INT(SUMPRODUCT($N140:$R140,$BF140:$BJ140)/SUM($BF140:$BJ140)/10000*$BX$7*$BZ$46/'疲劳值&amp;地图信息'!$R$10*$BY$53)</f>
        <v>408</v>
      </c>
      <c r="EF140" s="50">
        <f t="shared" si="249"/>
        <v>0.9053823256721808</v>
      </c>
      <c r="EG140" s="50">
        <f t="shared" si="250"/>
        <v>7.4708437027277613E-2</v>
      </c>
      <c r="EH140" s="50">
        <f t="shared" si="251"/>
        <v>1.9909237300541647E-2</v>
      </c>
      <c r="EI140" s="51">
        <f t="shared" si="252"/>
        <v>19944</v>
      </c>
      <c r="EJ140" s="51">
        <f t="shared" si="253"/>
        <v>2527</v>
      </c>
      <c r="EK140" s="14">
        <f>INT(SUMPRODUCT($U140:$Y140,$BF140:$BJ140)/SUM($BF140:$BJ140)/10000*$BX$7*$BZ$46/'疲劳值&amp;地图信息'!$R$10*$BY$54)</f>
        <v>768</v>
      </c>
      <c r="EL140" s="50">
        <f t="shared" si="254"/>
        <v>0.8582124876285554</v>
      </c>
      <c r="EM140" s="50">
        <f t="shared" si="255"/>
        <v>0.10873961874435217</v>
      </c>
      <c r="EN140" s="50">
        <f t="shared" si="256"/>
        <v>3.3047893627092387E-2</v>
      </c>
      <c r="EO140" s="51">
        <f t="shared" si="257"/>
        <v>21367</v>
      </c>
      <c r="EP140" s="51">
        <f t="shared" si="258"/>
        <v>4399</v>
      </c>
      <c r="EQ140" s="14">
        <f>INT(SUMPRODUCT($AB140:$AF140,$BF140:$BJ140)/SUM($BF140:$BJ140)/10000*$BX$7*$BZ$46/'疲劳值&amp;地图信息'!$R$10*$BY$55)</f>
        <v>1042</v>
      </c>
      <c r="ER140" s="50">
        <f t="shared" si="259"/>
        <v>0.79703819755296923</v>
      </c>
      <c r="ES140" s="50">
        <f t="shared" si="260"/>
        <v>0.16409280811698002</v>
      </c>
      <c r="ET140" s="50">
        <f t="shared" si="261"/>
        <v>3.8868994330050734E-2</v>
      </c>
      <c r="EU140" s="51">
        <f t="shared" si="262"/>
        <v>24455</v>
      </c>
      <c r="EV140" s="51">
        <f t="shared" si="263"/>
        <v>11717</v>
      </c>
      <c r="EW140" s="14">
        <f>INT(SUMPRODUCT($AI140:$AM140,$BF140:$BJ140)/SUM($BF140:$BJ140)/10000*$BX$7*$BZ$46/'疲劳值&amp;地图信息'!$R$10*$BY$56)</f>
        <v>1563</v>
      </c>
      <c r="EX140" s="50">
        <f t="shared" si="264"/>
        <v>0.64807208162183649</v>
      </c>
      <c r="EY140" s="50">
        <f t="shared" si="265"/>
        <v>0.31050748641844439</v>
      </c>
      <c r="EZ140" s="50">
        <f t="shared" si="266"/>
        <v>4.1420431959719096E-2</v>
      </c>
      <c r="FA140" s="51">
        <f t="shared" si="267"/>
        <v>24435</v>
      </c>
      <c r="FB140" s="51">
        <f t="shared" si="268"/>
        <v>21997</v>
      </c>
      <c r="FC140" s="14">
        <f>INT(SUMPRODUCT($AP140:$AT140,$BF140:$BJ140)/SUM($BF140:$BJ140)/10000*$BX$7*$BZ$46/'疲劳值&amp;地图信息'!$R$10*$BY$57)</f>
        <v>2084</v>
      </c>
      <c r="FD140" s="50">
        <f t="shared" si="269"/>
        <v>0.50364828097947067</v>
      </c>
      <c r="FE140" s="50">
        <f t="shared" si="270"/>
        <v>0.45339681754472749</v>
      </c>
      <c r="FF140" s="50">
        <f t="shared" si="271"/>
        <v>4.2954901475801797E-2</v>
      </c>
      <c r="FH140" s="14">
        <f t="shared" si="272"/>
        <v>20493</v>
      </c>
      <c r="FI140" s="14">
        <f t="shared" si="273"/>
        <v>23239</v>
      </c>
      <c r="FJ140" s="14">
        <f t="shared" si="274"/>
        <v>26808</v>
      </c>
      <c r="FK140" s="14">
        <f t="shared" si="275"/>
        <v>37735</v>
      </c>
      <c r="FL140" s="14">
        <f t="shared" si="276"/>
        <v>48516</v>
      </c>
      <c r="FM140" s="14">
        <f t="shared" si="277"/>
        <v>2401604</v>
      </c>
      <c r="FP140" s="14">
        <f t="shared" si="278"/>
        <v>334150</v>
      </c>
      <c r="FQ140" s="50">
        <f t="shared" si="218"/>
        <v>0.1221418300037211</v>
      </c>
      <c r="FS140" s="14">
        <f t="shared" si="279"/>
        <v>2735754</v>
      </c>
      <c r="FX140" s="14">
        <v>135</v>
      </c>
      <c r="FY140" s="51">
        <f t="shared" si="280"/>
        <v>25976</v>
      </c>
      <c r="FZ140" s="51">
        <f t="shared" si="281"/>
        <v>1531</v>
      </c>
      <c r="GA140" s="51">
        <f>INT(SUMPRODUCT($N140:$R140,$BF140:$BJ140)/SUM($BF140:$BJ140)/10000*$BX$7*$BZ$46/'疲劳值&amp;地图信息'!$R$10*$BY$53)</f>
        <v>408</v>
      </c>
      <c r="GB140" s="50">
        <f t="shared" si="282"/>
        <v>0.93053913666487553</v>
      </c>
      <c r="GC140" s="50">
        <f t="shared" si="283"/>
        <v>5.4845065377037434E-2</v>
      </c>
      <c r="GD140" s="50">
        <f t="shared" si="284"/>
        <v>1.461579795808705E-2</v>
      </c>
      <c r="GE140" s="51">
        <f t="shared" si="285"/>
        <v>27921</v>
      </c>
      <c r="GF140" s="51">
        <f t="shared" si="286"/>
        <v>2527</v>
      </c>
      <c r="GG140" s="14">
        <f>INT(SUMPRODUCT($U140:$Y140,$BF140:$BJ140)/SUM($BF140:$BJ140)/10000*$BX$7*$BZ$46/'疲劳值&amp;地图信息'!$R$10*$BY$54)</f>
        <v>768</v>
      </c>
      <c r="GH140" s="50">
        <f t="shared" si="287"/>
        <v>0.89444515633008714</v>
      </c>
      <c r="GI140" s="50">
        <f t="shared" si="288"/>
        <v>8.0952075858534089E-2</v>
      </c>
      <c r="GJ140" s="50">
        <f t="shared" si="289"/>
        <v>2.4602767811378781E-2</v>
      </c>
      <c r="GK140" s="51">
        <f t="shared" si="290"/>
        <v>29914</v>
      </c>
      <c r="GL140" s="51">
        <f t="shared" si="291"/>
        <v>4399</v>
      </c>
      <c r="GM140" s="14">
        <f>INT(SUMPRODUCT($AB140:$AF140,$BF140:$BJ140)/SUM($BF140:$BJ140)/10000*$BX$7*$BZ$46/'疲劳值&amp;地图信息'!$R$10*$BY$55)</f>
        <v>1042</v>
      </c>
      <c r="GN140" s="50">
        <f t="shared" si="292"/>
        <v>0.84610380427096588</v>
      </c>
      <c r="GO140" s="50">
        <f t="shared" si="293"/>
        <v>0.12442370244661292</v>
      </c>
      <c r="GP140" s="50">
        <f t="shared" si="294"/>
        <v>2.9472493282421158E-2</v>
      </c>
      <c r="GQ140" s="51">
        <f t="shared" si="295"/>
        <v>34237</v>
      </c>
      <c r="GR140" s="51">
        <f t="shared" si="296"/>
        <v>11717</v>
      </c>
      <c r="GS140" s="14">
        <f>INT(SUMPRODUCT($AI140:$AM140,$BF140:$BJ140)/SUM($BF140:$BJ140)/10000*$BX$7*$BZ$46/'疲劳值&amp;地图信息'!$R$10*$BY$56)</f>
        <v>1563</v>
      </c>
      <c r="GT140" s="50">
        <f t="shared" si="297"/>
        <v>0.72052107666729803</v>
      </c>
      <c r="GU140" s="50">
        <f t="shared" si="298"/>
        <v>0.24658543258202328</v>
      </c>
      <c r="GV140" s="50">
        <f t="shared" si="299"/>
        <v>3.2893490750678704E-2</v>
      </c>
      <c r="GW140" s="51">
        <f t="shared" si="300"/>
        <v>34209</v>
      </c>
      <c r="GX140" s="51">
        <f t="shared" si="301"/>
        <v>21997</v>
      </c>
      <c r="GY140" s="14">
        <f>INT(SUMPRODUCT($AP140:$AT140,$BF140:$BJ140)/SUM($BF140:$BJ140)/10000*$BX$7*$BZ$46/'疲劳值&amp;地图信息'!$R$10*$BY$57)</f>
        <v>2084</v>
      </c>
      <c r="GZ140" s="50">
        <f t="shared" si="302"/>
        <v>0.58687596500257333</v>
      </c>
      <c r="HA140" s="50">
        <f t="shared" si="303"/>
        <v>0.3773717618802539</v>
      </c>
      <c r="HB140" s="50">
        <f t="shared" si="304"/>
        <v>3.5752273117172759E-2</v>
      </c>
      <c r="HD140" s="14">
        <f t="shared" si="305"/>
        <v>27915</v>
      </c>
      <c r="HE140" s="14">
        <f t="shared" si="306"/>
        <v>31216</v>
      </c>
      <c r="HF140" s="14">
        <f t="shared" si="307"/>
        <v>35355</v>
      </c>
      <c r="HG140" s="14">
        <f t="shared" si="308"/>
        <v>47517</v>
      </c>
      <c r="HH140" s="14">
        <f t="shared" si="309"/>
        <v>58290</v>
      </c>
      <c r="HI140" s="14">
        <f t="shared" si="310"/>
        <v>3222257</v>
      </c>
      <c r="HL140" s="14">
        <f t="shared" si="311"/>
        <v>430050</v>
      </c>
      <c r="HM140" s="50">
        <f t="shared" si="219"/>
        <v>0.11774749493949989</v>
      </c>
      <c r="HO140" s="14">
        <f t="shared" si="312"/>
        <v>3652307</v>
      </c>
    </row>
    <row r="141" spans="11:223" x14ac:dyDescent="0.2">
      <c r="K141" s="14">
        <v>136</v>
      </c>
      <c r="L141" s="12">
        <f>求节点(节奏总纲!D$4:D$163,标准城池设计!AB$4:AB$163,$K141)*求节点(节奏总纲!D$4:D$163,攻城基础信息!$AC$5:$AC$164,$K141)</f>
        <v>547948.89461953589</v>
      </c>
      <c r="M141" s="12">
        <f>INDEX(其他调用!$AA$5:$AA$404,MATCH(K141,其他调用!$X$5:$X$404,0))*MIN(INDEX(其他调用!$AH$5:$AH$364,MATCH('征服点（新）'!K141,其他调用!$AG$5:$AG$364,0),1)/INDEX(其他调用!$AJ$5:$AJ$364,MATCH(K141,其他调用!$AG$5:$AG$364,0),0),5)*求节点(节奏总纲!D$4:D$163,攻城基础信息!$AC$5:$AC$164,$K141)</f>
        <v>45150.962847975992</v>
      </c>
      <c r="N141" s="12">
        <f>MIN(INDEX(其他调用!$AH$5:$AH$364,MATCH($K141,其他调用!$AG$5:$AG$364,0),1)/INDEX(其他调用!AH$5:AH$364,MATCH($K141,其他调用!$AG$5:$AG$364,0),0),1)*INDEX(其他调用!Y$5:Y$404,MATCH($K141,其他调用!$X$5:$X$404,0),0)</f>
        <v>37916.374371137455</v>
      </c>
      <c r="O141" s="12">
        <f>MIN(INDEX(其他调用!$AH$5:$AH$364,MATCH($K141,其他调用!$AG$5:$AG$364,0),1)/INDEX(其他调用!AI$5:AI$364,MATCH($K141,其他调用!$AG$5:$AG$364,0),0),1)*INDEX(其他调用!Z$5:Z$404,MATCH($K141,其他调用!$X$5:$X$404,0),0)</f>
        <v>23667.101021248884</v>
      </c>
      <c r="P141" s="12">
        <f>MIN(INDEX(其他调用!$AH$5:$AH$364,MATCH($K141,其他调用!$AG$5:$AG$364,0),1)/INDEX(其他调用!AJ$5:AJ$364,MATCH($K141,其他调用!$AG$5:$AG$364,0),0),1)*INDEX(其他调用!AA$5:AA$404,MATCH($K141,其他调用!$X$5:$X$404,0),0)</f>
        <v>14112.668244754759</v>
      </c>
      <c r="Q141" s="12">
        <f>MIN(INDEX(其他调用!$AH$5:$AH$364,MATCH($K141,其他调用!$AG$5:$AG$364,0),1)/INDEX(其他调用!AK$5:AK$364,MATCH($K141,其他调用!$AG$5:$AG$364,0),0),1)*INDEX(其他调用!AB$5:AB$404,MATCH($K141,其他调用!$X$5:$X$404,0),0)</f>
        <v>5566.089817606633</v>
      </c>
      <c r="R141" s="12">
        <f>MIN(INDEX(其他调用!$AH$5:$AH$364,MATCH($K141,其他调用!$AG$5:$AG$364,0),1)/INDEX(其他调用!AL$5:AL$364,MATCH($K141,其他调用!$AG$5:$AG$364,0),0),1)*INDEX(其他调用!AC$5:AC$404,MATCH($K141,其他调用!$X$5:$X$404,0),0)</f>
        <v>1831.4310083342987</v>
      </c>
      <c r="S141" s="12">
        <f>求节点(节奏总纲!D$4:D$163,标准城池设计!AC$4:AC$163,$K141)*求节点(节奏总纲!D$4:D$163,攻城基础信息!$AD$5:$AD$164,$K141)</f>
        <v>589097.81770325149</v>
      </c>
      <c r="T141" s="12">
        <f>INDEX(其他调用!$AA$5:$AA$404,MATCH($K141,其他调用!$X$5:$X$404,0))*MIN(INDEX(其他调用!AI$5:AI$364,MATCH($K141,其他调用!$AG$5:$AG$364,0),1)/INDEX(其他调用!$AJ$5:$AJ$364,MATCH($K141,其他调用!$AG$5:$AG$364,0),0),5)*求节点(节奏总纲!D$4:D$163,攻城基础信息!$AD$5:$AD$164,$K141)</f>
        <v>74518.935828558693</v>
      </c>
      <c r="U141" s="12">
        <f>MIN(INDEX(其他调用!$AI$5:$AI$364,MATCH($K141,其他调用!$AG$5:$AG$364,0),1)/INDEX(其他调用!AH$5:AH$364,MATCH($K141,其他调用!$AG$5:$AG$364,0),0),1)*INDEX(其他调用!Y$5:Y$404,MATCH($K141,其他调用!$X$5:$X$404,0),0)</f>
        <v>37916.374371137455</v>
      </c>
      <c r="V141" s="12">
        <f>MIN(INDEX(其他调用!$AI$5:$AI$364,MATCH($K141,其他调用!$AG$5:$AG$364,0),1)/INDEX(其他调用!AI$5:AI$364,MATCH($K141,其他调用!$AG$5:$AG$364,0),0),1)*INDEX(其他调用!Z$5:Z$404,MATCH($K141,其他调用!$X$5:$X$404,0),0)</f>
        <v>39061.120095903381</v>
      </c>
      <c r="W141" s="12">
        <f>MIN(INDEX(其他调用!$AI$5:$AI$364,MATCH($K141,其他调用!$AG$5:$AG$364,0),1)/INDEX(其他调用!AJ$5:AJ$364,MATCH($K141,其他调用!$AG$5:$AG$364,0),0),1)*INDEX(其他调用!AA$5:AA$404,MATCH($K141,其他调用!$X$5:$X$404,0),0)</f>
        <v>23292.106147139704</v>
      </c>
      <c r="X141" s="12">
        <f>MIN(INDEX(其他调用!$AI$5:$AI$364,MATCH($K141,其他调用!$AG$5:$AG$364,0),1)/INDEX(其他调用!AK$5:AK$364,MATCH($K141,其他调用!$AG$5:$AG$364,0),0),1)*INDEX(其他调用!AB$5:AB$404,MATCH($K141,其他调用!$X$5:$X$404,0),0)</f>
        <v>9186.494900026617</v>
      </c>
      <c r="Y141" s="12">
        <f>MIN(INDEX(其他调用!$AI$5:$AI$364,MATCH($K141,其他调用!$AG$5:$AG$364,0),1)/INDEX(其他调用!AL$5:AL$364,MATCH($K141,其他调用!$AG$5:$AG$364,0),0),1)*INDEX(其他调用!AC$5:AC$404,MATCH($K141,其他调用!$X$5:$X$404,0),0)</f>
        <v>3022.6662107741536</v>
      </c>
      <c r="Z141" s="12">
        <f>求节点(节奏总纲!D$4:D$163,标准城池设计!AD$4:AD$163,$K141)*求节点(节奏总纲!D$4:D$163,攻城基础信息!$AE$5:$AE$164,$K141)</f>
        <v>630936.60180320102</v>
      </c>
      <c r="AA141" s="12">
        <f>INDEX(其他调用!$AA$5:$AA$404,MATCH($K141,其他调用!$X$5:$X$404,0))*MIN(INDEX(其他调用!AJ$5:AJ$364,MATCH($K141,其他调用!$AG$5:$AG$364,0),1)/INDEX(其他调用!$AJ$5:$AJ$364,MATCH($K141,其他调用!$AG$5:$AG$364,0),0),5)*求节点(节奏总纲!D$4:D$163,攻城基础信息!$AE$5:$AE$164,$K141)</f>
        <v>129799.30911311218</v>
      </c>
      <c r="AB141" s="12">
        <f>MIN(INDEX(其他调用!$AJ$5:$AJ$364,MATCH($K141,其他调用!$AG$5:$AG$364,0),1)/INDEX(其他调用!AH$5:AH$364,MATCH($K141,其他调用!$AG$5:$AG$364,0),0),1)*INDEX(其他调用!Y$5:Y$404,MATCH($K141,其他调用!$X$5:$X$404,0),0)</f>
        <v>37916.374371137455</v>
      </c>
      <c r="AC141" s="12">
        <f>MIN(INDEX(其他调用!$AJ$5:$AJ$364,MATCH($K141,其他调用!$AG$5:$AG$364,0),1)/INDEX(其他调用!AI$5:AI$364,MATCH($K141,其他调用!$AG$5:$AG$364,0),0),1)*INDEX(其他调用!Z$5:Z$404,MATCH($K141,其他调用!$X$5:$X$404,0),0)</f>
        <v>39061.120095903381</v>
      </c>
      <c r="AD141" s="12">
        <f>MIN(INDEX(其他调用!$AJ$5:$AJ$364,MATCH($K141,其他调用!$AG$5:$AG$364,0),1)/INDEX(其他调用!AJ$5:AJ$364,MATCH($K141,其他调用!$AG$5:$AG$364,0),0),1)*INDEX(其他调用!AA$5:AA$404,MATCH($K141,其他调用!$X$5:$X$404,0),0)</f>
        <v>40570.886474325562</v>
      </c>
      <c r="AE141" s="12">
        <f>MIN(INDEX(其他调用!$AJ$5:$AJ$364,MATCH($K141,其他调用!$AG$5:$AG$364,0),1)/INDEX(其他调用!AK$5:AK$364,MATCH($K141,其他调用!$AG$5:$AG$364,0),0),1)*INDEX(其他调用!AB$5:AB$404,MATCH($K141,其他调用!$X$5:$X$404,0),0)</f>
        <v>16001.311316869433</v>
      </c>
      <c r="AF141" s="12">
        <f>MIN(INDEX(其他调用!$AJ$5:$AJ$364,MATCH($K141,其他调用!$AG$5:$AG$364,0),1)/INDEX(其他调用!AL$5:AL$364,MATCH($K141,其他调用!$AG$5:$AG$364,0),0),1)*INDEX(其他调用!AC$5:AC$404,MATCH($K141,其他调用!$X$5:$X$404,0),0)</f>
        <v>5264.9703256722169</v>
      </c>
      <c r="AG141" s="12">
        <f>求节点(节奏总纲!D$4:D$163,标准城池设计!AE$4:AE$163,$K141)*求节点(节奏总纲!D$4:D$163,攻城基础信息!$AF$5:$AF$164,$K141)</f>
        <v>722264.38314861397</v>
      </c>
      <c r="AH141" s="12">
        <f>INDEX(其他调用!$AA$5:$AA$404,MATCH($K141,其他调用!$X$5:$X$404,0))*MIN(INDEX(其他调用!AK$5:AK$364,MATCH($K141,其他调用!$AG$5:$AG$364,0),1)/INDEX(其他调用!$AJ$5:$AJ$364,MATCH($K141,其他调用!$AG$5:$AG$364,0),0),5)*求节点(节奏总纲!D$4:D$163,攻城基础信息!$AF$5:$AF$164,$K141)</f>
        <v>346870.14091401</v>
      </c>
      <c r="AI141" s="12">
        <f>MIN(INDEX(其他调用!$AK$5:$AK$364,MATCH($K141,其他调用!$AG$5:$AG$364,0),1)/INDEX(其他调用!AH$5:AH$364,MATCH($K141,其他调用!$AG$5:$AG$364,0),0),1)*INDEX(其他调用!Y$5:Y$404,MATCH($K141,其他调用!$X$5:$X$404,0),0)</f>
        <v>37916.374371137455</v>
      </c>
      <c r="AJ141" s="12">
        <f>MIN(INDEX(其他调用!$AK$5:$AK$364,MATCH($K141,其他调用!$AG$5:$AG$364,0),1)/INDEX(其他调用!AI$5:AI$364,MATCH($K141,其他调用!$AG$5:$AG$364,0),0),1)*INDEX(其他调用!Z$5:Z$404,MATCH($K141,其他调用!$X$5:$X$404,0),0)</f>
        <v>39061.120095903381</v>
      </c>
      <c r="AK141" s="12">
        <f>MIN(INDEX(其他调用!$AK$5:$AK$364,MATCH($K141,其他调用!$AG$5:$AG$364,0),1)/INDEX(其他调用!AJ$5:AJ$364,MATCH($K141,其他调用!$AG$5:$AG$364,0),0),1)*INDEX(其他调用!AA$5:AA$404,MATCH($K141,其他调用!$X$5:$X$404,0),0)</f>
        <v>40570.886474325562</v>
      </c>
      <c r="AL141" s="12">
        <f>MIN(INDEX(其他调用!$AK$5:$AK$364,MATCH($K141,其他调用!$AG$5:$AG$364,0),1)/INDEX(其他调用!AK$5:AK$364,MATCH($K141,其他调用!$AG$5:$AG$364,0),0),1)*INDEX(其他调用!AB$5:AB$404,MATCH($K141,其他调用!$X$5:$X$404,0),0)</f>
        <v>42761.22229937779</v>
      </c>
      <c r="AM141" s="12">
        <f>MIN(INDEX(其他调用!$AK$5:$AK$364,MATCH($K141,其他调用!$AG$5:$AG$364,0),1)/INDEX(其他调用!AL$5:AL$364,MATCH($K141,其他调用!$AG$5:$AG$364,0),0),1)*INDEX(其他调用!AC$5:AC$404,MATCH($K141,其他调用!$X$5:$X$404,0),0)</f>
        <v>14069.882276357328</v>
      </c>
      <c r="AN141" s="12">
        <f>求节点(节奏总纲!D$4:D$163,标准城池设计!AF$4:AF$163,$K141)*求节点(节奏总纲!D$4:D$163,攻城基础信息!$AG$5:$AG$164,$K141)</f>
        <v>722189.50487560651</v>
      </c>
      <c r="AO141" s="12">
        <f>INDEX(其他调用!$AA$5:$AA$404,MATCH($K141,其他调用!$X$5:$X$404,0))*MIN(INDEX(其他调用!AL$5:AL$364,MATCH($K141,其他调用!$AG$5:$AG$364,0),1)/INDEX(其他调用!$AJ$5:$AJ$364,MATCH($K141,其他调用!$AG$5:$AG$364,0),0),5)*求节点(节奏总纲!D$4:D$163,攻城基础信息!$AG$5:$AG$164,$K141)</f>
        <v>648996.54556556081</v>
      </c>
      <c r="AP141" s="12">
        <f>MIN(INDEX(其他调用!$AL$5:$AL$364,MATCH($K141,其他调用!$AG$5:$AG$364,0),1)/INDEX(其他调用!AH$5:AH$364,MATCH($K141,其他调用!$AG$5:$AG$364,0),0),1)*INDEX(其他调用!Y$5:Y$404,MATCH($K141,其他调用!$X$5:$X$404,0),0)</f>
        <v>37916.374371137455</v>
      </c>
      <c r="AQ141" s="12">
        <f>MIN(INDEX(其他调用!$AL$5:$AL$364,MATCH($K141,其他调用!$AG$5:$AG$364,0),1)/INDEX(其他调用!AI$5:AI$364,MATCH($K141,其他调用!$AG$5:$AG$364,0),0),1)*INDEX(其他调用!Z$5:Z$404,MATCH($K141,其他调用!$X$5:$X$404,0),0)</f>
        <v>39061.120095903381</v>
      </c>
      <c r="AR141" s="12">
        <f>MIN(INDEX(其他调用!$AL$5:$AL$364,MATCH($K141,其他调用!$AG$5:$AG$364,0),1)/INDEX(其他调用!AJ$5:AJ$364,MATCH($K141,其他调用!$AG$5:$AG$364,0),0),1)*INDEX(其他调用!AA$5:AA$404,MATCH($K141,其他调用!$X$5:$X$404,0),0)</f>
        <v>40570.886474325562</v>
      </c>
      <c r="AS141" s="12">
        <f>MIN(INDEX(其他调用!$AL$5:$AL$364,MATCH($K141,其他调用!$AG$5:$AG$364,0),1)/INDEX(其他调用!AK$5:AK$364,MATCH($K141,其他调用!$AG$5:$AG$364,0),0),1)*INDEX(其他调用!AB$5:AB$404,MATCH($K141,其他调用!$X$5:$X$404,0),0)</f>
        <v>42761.22229937779</v>
      </c>
      <c r="AT141" s="12">
        <f>MIN(INDEX(其他调用!$AL$5:$AL$364,MATCH($K141,其他调用!$AG$5:$AG$364,0),1)/INDEX(其他调用!AL$5:AL$364,MATCH($K141,其他调用!$AG$5:$AG$364,0),0),1)*INDEX(其他调用!AC$5:AC$404,MATCH($K141,其他调用!$X$5:$X$404,0),0)</f>
        <v>46685.05316648959</v>
      </c>
      <c r="AV141" s="14">
        <f>IF(OR(AV$5="大R",AV$5="超R"),MAX(INDEX(其他调用!$H$5:$L$404,MATCH($K141,其他调用!$B$5:$B$404,0),MATCH(AV$5,其他调用!$H$4:$L$4,0))*120*0.85,2),INDEX(其他调用!$H$5:$L$404,MATCH($K141,其他调用!$B$5:$B$404,0),MATCH(AV$5,其他调用!$H$4:$L$4,0))*120*0.85)</f>
        <v>48.921801254999991</v>
      </c>
      <c r="AW141" s="14">
        <f>IF(OR(AW$5="大R",AW$5="超R"),MAX(INDEX(其他调用!$H$5:$L$404,MATCH($K141,其他调用!$B$5:$B$404,0),MATCH(AW$5,其他调用!$H$4:$L$4,0))*120*0.85,2),INDEX(其他调用!$H$5:$L$404,MATCH($K141,其他调用!$B$5:$B$404,0),MATCH(AW$5,其他调用!$H$4:$L$4,0))*120*0.85)</f>
        <v>48.237344010638395</v>
      </c>
      <c r="AX141" s="14">
        <f>IF(OR(AX$5="大R",AX$5="超R"),MAX(INDEX(其他调用!$H$5:$L$404,MATCH($K141,其他调用!$B$5:$B$404,0),MATCH(AX$5,其他调用!$H$4:$L$4,0))*120*0.85,2),INDEX(其他调用!$H$5:$L$404,MATCH($K141,其他调用!$B$5:$B$404,0),MATCH(AX$5,其他调用!$H$4:$L$4,0))*120*0.85)</f>
        <v>3.9376284143615998</v>
      </c>
      <c r="AY141" s="14">
        <f>IF(OR(AY$5="大R",AY$5="超R"),MAX(INDEX(其他调用!$H$5:$L$404,MATCH($K141,其他调用!$B$5:$B$404,0),MATCH(AY$5,其他调用!$H$4:$L$4,0))*120*0.85,2),INDEX(其他调用!$H$5:$L$404,MATCH($K141,其他调用!$B$5:$B$404,0),MATCH(AY$5,其他调用!$H$4:$L$4,0))*120*0.85)</f>
        <v>2</v>
      </c>
      <c r="AZ141" s="14">
        <f>IF(OR(AZ$5="大R",AZ$5="超R"),MAX(INDEX(其他调用!$H$5:$L$404,MATCH($K141,其他调用!$B$5:$B$404,0),MATCH(AZ$5,其他调用!$H$4:$L$4,0))*120*0.85,2),INDEX(其他调用!$H$5:$L$404,MATCH($K141,其他调用!$B$5:$B$404,0),MATCH(AZ$5,其他调用!$H$4:$L$4,0))*120*0.85)</f>
        <v>2</v>
      </c>
      <c r="BA141" s="14">
        <f>INDEX(其他调用!$H$5:$L$404,MATCH($K141,其他调用!$B$5:$B$404,0),MATCH(BA$5,其他调用!$H$4:$L$4,0))*INDEX(其他调用!$M$5:$M$404,MATCH($K141,其他调用!$B$5:$B$404,0))*0.6</f>
        <v>28.777530149999997</v>
      </c>
      <c r="BB141" s="14">
        <f>INDEX(其他调用!$H$5:$L$404,MATCH($K141,其他调用!$B$5:$B$404,0),MATCH(BB$5,其他调用!$H$4:$L$4,0))*INDEX(其他调用!$M$5:$M$404,MATCH($K141,其他调用!$B$5:$B$404,0))*0.6</f>
        <v>28.374908241551999</v>
      </c>
      <c r="BC141" s="14">
        <f>INDEX(其他调用!$H$5:$L$404,MATCH($K141,其他调用!$B$5:$B$404,0),MATCH(BC$5,其他调用!$H$4:$L$4,0))*INDEX(其他调用!$M$5:$M$404,MATCH($K141,其他调用!$B$5:$B$404,0))*0.6</f>
        <v>2.3162520084480001</v>
      </c>
      <c r="BD141" s="14">
        <f>INDEX(其他调用!$H$5:$L$404,MATCH($K141,其他调用!$B$5:$B$404,0),MATCH(BD$5,其他调用!$H$4:$L$4,0))*INDEX(其他调用!$M$5:$M$404,MATCH($K141,其他调用!$B$5:$B$404,0))*0.6</f>
        <v>0.4120776000000001</v>
      </c>
      <c r="BE141" s="14">
        <f>INDEX(其他调用!$H$5:$L$404,MATCH($K141,其他调用!$B$5:$B$404,0),MATCH(BE$5,其他调用!$H$4:$L$4,0))*INDEX(其他调用!$M$5:$M$404,MATCH($K141,其他调用!$B$5:$B$404,0))*0.6</f>
        <v>0.11923199999999998</v>
      </c>
      <c r="BF141" s="14">
        <f>IF(OR(BF$5="大R",BF$5="超R"),0,INDEX(其他调用!$H$5:$L$404,MATCH($K141,其他调用!$B$5:$B$404,0),MATCH(BF$5,其他调用!$H$4:$L$4,0))*50*0.4)</f>
        <v>9.5925100500000013</v>
      </c>
      <c r="BG141" s="14">
        <f>IF(OR(BG$5="大R",BG$5="超R"),0,INDEX(其他调用!$H$5:$L$404,MATCH($K141,其他调用!$B$5:$B$404,0),MATCH(BG$5,其他调用!$H$4:$L$4,0))*50*0.4)</f>
        <v>9.4583027471839998</v>
      </c>
      <c r="BH141" s="14">
        <f>IF(OR(BH$5="大R",BH$5="超R"),0,INDEX(其他调用!$H$5:$L$404,MATCH($K141,其他调用!$B$5:$B$404,0),MATCH(BH$5,其他调用!$H$4:$L$4,0))*50*0.4)</f>
        <v>0.77208400281600009</v>
      </c>
      <c r="BI141" s="14">
        <f>IF(OR(BI$5="大R",BI$5="超R"),0,INDEX(其他调用!$H$5:$L$404,MATCH($K141,其他调用!$B$5:$B$404,0),MATCH(BI$5,其他调用!$H$4:$L$4,0))*50*0.4)</f>
        <v>0</v>
      </c>
      <c r="BJ141" s="14">
        <f>IF(OR(BJ$5="大R",BJ$5="超R"),0,INDEX(其他调用!$H$5:$L$404,MATCH($K141,其他调用!$B$5:$B$404,0),MATCH(BJ$5,其他调用!$H$4:$L$4,0))*50*0.4)</f>
        <v>0</v>
      </c>
      <c r="BL141" s="14">
        <f t="shared" si="313"/>
        <v>136</v>
      </c>
      <c r="BM141" s="14">
        <f t="shared" si="220"/>
        <v>96</v>
      </c>
      <c r="BN141" s="14">
        <f>('疲劳值&amp;地图信息'!$S$10*'疲劳值&amp;地图信息'!$R$10+'疲劳值&amp;地图信息'!$S$11*'疲劳值&amp;地图信息'!$R$11+'疲劳值&amp;地图信息'!$S$12*'疲劳值&amp;地图信息'!$R$12+(BM141-'疲劳值&amp;地图信息'!$S$12-'疲劳值&amp;地图信息'!$S$11-'疲劳值&amp;地图信息'!$S$10)*'疲劳值&amp;地图信息'!$R$13)/BM141</f>
        <v>51.371477246638619</v>
      </c>
      <c r="BO141" s="14">
        <f>INDEX(其他调用!$M$5:$M$404,MATCH(BL141,其他调用!$B$5:$B$404,0))*0.6</f>
        <v>60</v>
      </c>
      <c r="BP141" s="14">
        <f>IF(BO141&gt;SUM('疲劳值&amp;地图信息'!$S$10:$S$12),('疲劳值&amp;地图信息'!$S$10*'疲劳值&amp;地图信息'!$R$10+'疲劳值&amp;地图信息'!$S$11*'疲劳值&amp;地图信息'!$R$11+'疲劳值&amp;地图信息'!$S$12*'疲劳值&amp;地图信息'!$R$12+(BO141-'疲劳值&amp;地图信息'!$S$12-'疲劳值&amp;地图信息'!$S$11-'疲劳值&amp;地图信息'!$S$10)*'疲劳值&amp;地图信息'!$R$13)/BO141,('疲劳值&amp;地图信息'!$S$10*'疲劳值&amp;地图信息'!$R$10+'疲劳值&amp;地图信息'!$S$11*'疲劳值&amp;地图信息'!$R$11+'疲劳值&amp;地图信息'!$S$12*'疲劳值&amp;地图信息'!$R$12+(BO141-'疲劳值&amp;地图信息'!$S$12-'疲劳值&amp;地图信息'!$S$11-'疲劳值&amp;地图信息'!$S$10)*'疲劳值&amp;地图信息'!$R$13)/BO141)</f>
        <v>44.158136341605953</v>
      </c>
      <c r="BQ141" s="14">
        <f t="shared" si="314"/>
        <v>20</v>
      </c>
      <c r="BR141" s="14">
        <f>('疲劳值&amp;地图信息'!$S$10*'疲劳值&amp;地图信息'!$R$10+($BQ141-'疲劳值&amp;地图信息'!$S$10)*'疲劳值&amp;地图信息'!$R$11)/$BQ141</f>
        <v>32.067203015074995</v>
      </c>
      <c r="CF141" s="14">
        <v>136</v>
      </c>
      <c r="CG141" s="51">
        <f t="shared" si="221"/>
        <v>11167</v>
      </c>
      <c r="CH141" s="51">
        <f t="shared" si="222"/>
        <v>920</v>
      </c>
      <c r="CI141" s="51">
        <f>INT(SUMPRODUCT($N141:$R141,$BA141:$BE141)/SUM($BA141:$BE141)/10000*$BX$7*$BZ$34/'疲劳值&amp;地图信息'!$R$10*$BY$53)</f>
        <v>3040</v>
      </c>
      <c r="CJ141" s="50">
        <f t="shared" si="223"/>
        <v>0.7382164341905203</v>
      </c>
      <c r="CK141" s="50">
        <f t="shared" si="224"/>
        <v>6.0818404177959938E-2</v>
      </c>
      <c r="CL141" s="50">
        <f t="shared" si="225"/>
        <v>0.20096516163151981</v>
      </c>
      <c r="CM141" s="14">
        <f t="shared" si="226"/>
        <v>12006</v>
      </c>
      <c r="CN141" s="14">
        <f t="shared" si="227"/>
        <v>1518</v>
      </c>
      <c r="CO141" s="14">
        <f>INT(SUMPRODUCT($U141:$Y141,$BA141:$BE141)/SUM($BA141:$BE141)/10000*$BX$7*$BZ$34/'疲劳值&amp;地图信息'!$R$10*$BY$54)</f>
        <v>5726</v>
      </c>
      <c r="CP141" s="50">
        <f t="shared" si="228"/>
        <v>0.62368831168831174</v>
      </c>
      <c r="CQ141" s="50">
        <f t="shared" si="229"/>
        <v>7.8857142857142862E-2</v>
      </c>
      <c r="CR141" s="50">
        <f t="shared" si="230"/>
        <v>0.29745454545454547</v>
      </c>
      <c r="CS141" s="14">
        <f t="shared" si="231"/>
        <v>12859</v>
      </c>
      <c r="CT141" s="14">
        <f t="shared" si="232"/>
        <v>2645</v>
      </c>
      <c r="CU141" s="14">
        <f>INT(SUMPRODUCT($AB141:$AF141,$BA141:$BE141)/SUM($BA141:$BE141)/10000*$BX$7*$BZ$34/'疲劳值&amp;地图信息'!$R$10*$BY$55)</f>
        <v>7781</v>
      </c>
      <c r="CV141" s="50">
        <f t="shared" si="233"/>
        <v>0.55224393386300197</v>
      </c>
      <c r="CW141" s="50">
        <f t="shared" si="234"/>
        <v>0.11359244148593516</v>
      </c>
      <c r="CX141" s="50">
        <f t="shared" si="235"/>
        <v>0.33416362465106292</v>
      </c>
      <c r="CY141" s="14">
        <f t="shared" si="236"/>
        <v>14720</v>
      </c>
      <c r="CZ141" s="14">
        <f t="shared" si="237"/>
        <v>7069</v>
      </c>
      <c r="DA141" s="14">
        <f>INT(SUMPRODUCT($AI141:$AM141,$BA141:$BE141)/SUM($BA141:$BE141)/10000*$BX$7*$BZ$34/'疲劳值&amp;地图信息'!$R$10*$BY$56)</f>
        <v>11733</v>
      </c>
      <c r="DB141" s="50">
        <f t="shared" si="238"/>
        <v>0.43911461130004176</v>
      </c>
      <c r="DC141" s="50">
        <f t="shared" si="239"/>
        <v>0.21087643935326056</v>
      </c>
      <c r="DD141" s="50">
        <f t="shared" si="240"/>
        <v>0.35000894934669768</v>
      </c>
      <c r="DE141" s="14">
        <f t="shared" si="241"/>
        <v>14719</v>
      </c>
      <c r="DF141" s="14">
        <f t="shared" si="242"/>
        <v>13227</v>
      </c>
      <c r="DG141" s="14">
        <f>INT(SUMPRODUCT($AP141:$AT141,$BA141:$BE141)/SUM($BA141:$BE141)/10000*$BX$7*$BZ$34/'疲劳值&amp;地图信息'!$R$10*$BY$57)</f>
        <v>15670</v>
      </c>
      <c r="DH141" s="50">
        <f t="shared" si="243"/>
        <v>0.33746790168745416</v>
      </c>
      <c r="DI141" s="50">
        <f t="shared" si="244"/>
        <v>0.30326027146001466</v>
      </c>
      <c r="DJ141" s="50">
        <f t="shared" si="245"/>
        <v>0.35927182685253117</v>
      </c>
      <c r="DL141" s="14">
        <f t="shared" si="211"/>
        <v>15127</v>
      </c>
      <c r="DM141" s="14">
        <f t="shared" si="212"/>
        <v>19250</v>
      </c>
      <c r="DN141" s="14">
        <f t="shared" si="213"/>
        <v>23285</v>
      </c>
      <c r="DO141" s="14">
        <f t="shared" si="214"/>
        <v>33522</v>
      </c>
      <c r="DP141" s="14">
        <f t="shared" si="215"/>
        <v>43616</v>
      </c>
      <c r="DQ141" s="14">
        <f t="shared" si="216"/>
        <v>1054482</v>
      </c>
      <c r="DT141" s="14">
        <f t="shared" si="315"/>
        <v>235575</v>
      </c>
      <c r="DU141" s="50">
        <f t="shared" si="217"/>
        <v>0.18260821033489219</v>
      </c>
      <c r="DW141" s="14">
        <f t="shared" si="246"/>
        <v>1290057</v>
      </c>
      <c r="EB141" s="14">
        <v>136</v>
      </c>
      <c r="EC141" s="51">
        <f t="shared" si="247"/>
        <v>18613</v>
      </c>
      <c r="ED141" s="51">
        <f t="shared" si="248"/>
        <v>1533</v>
      </c>
      <c r="EE141" s="51">
        <f>INT(SUMPRODUCT($N141:$R141,$BF141:$BJ141)/SUM($BF141:$BJ141)/10000*$BX$7*$BZ$46/'疲劳值&amp;地图信息'!$R$10*$BY$53)</f>
        <v>408</v>
      </c>
      <c r="EF141" s="50">
        <f t="shared" si="249"/>
        <v>0.90556582660309426</v>
      </c>
      <c r="EG141" s="50">
        <f t="shared" si="250"/>
        <v>7.458402257468133E-2</v>
      </c>
      <c r="EH141" s="50">
        <f t="shared" si="251"/>
        <v>1.9850150822224386E-2</v>
      </c>
      <c r="EI141" s="51">
        <f t="shared" si="252"/>
        <v>20010</v>
      </c>
      <c r="EJ141" s="51">
        <f t="shared" si="253"/>
        <v>2531</v>
      </c>
      <c r="EK141" s="14">
        <f>INT(SUMPRODUCT($U141:$Y141,$BF141:$BJ141)/SUM($BF141:$BJ141)/10000*$BX$7*$BZ$46/'疲劳值&amp;地图信息'!$R$10*$BY$54)</f>
        <v>768</v>
      </c>
      <c r="EL141" s="50">
        <f t="shared" si="254"/>
        <v>0.85846668668754555</v>
      </c>
      <c r="EM141" s="50">
        <f t="shared" si="255"/>
        <v>0.10858466686687546</v>
      </c>
      <c r="EN141" s="50">
        <f t="shared" si="256"/>
        <v>3.2948646445578961E-2</v>
      </c>
      <c r="EO141" s="51">
        <f t="shared" si="257"/>
        <v>21432</v>
      </c>
      <c r="EP141" s="51">
        <f t="shared" si="258"/>
        <v>4409</v>
      </c>
      <c r="EQ141" s="14">
        <f>INT(SUMPRODUCT($AB141:$AF141,$BF141:$BJ141)/SUM($BF141:$BJ141)/10000*$BX$7*$BZ$46/'疲劳值&amp;地图信息'!$R$10*$BY$55)</f>
        <v>1043</v>
      </c>
      <c r="ER141" s="50">
        <f t="shared" si="259"/>
        <v>0.79720279720279719</v>
      </c>
      <c r="ES141" s="50">
        <f t="shared" si="260"/>
        <v>0.16400089272429699</v>
      </c>
      <c r="ET141" s="50">
        <f t="shared" si="261"/>
        <v>3.8796310072905821E-2</v>
      </c>
      <c r="EU141" s="51">
        <f t="shared" si="262"/>
        <v>24534</v>
      </c>
      <c r="EV141" s="51">
        <f t="shared" si="263"/>
        <v>11782</v>
      </c>
      <c r="EW141" s="14">
        <f>INT(SUMPRODUCT($AI141:$AM141,$BF141:$BJ141)/SUM($BF141:$BJ141)/10000*$BX$7*$BZ$46/'疲劳值&amp;地图信息'!$R$10*$BY$56)</f>
        <v>1565</v>
      </c>
      <c r="EX141" s="50">
        <f t="shared" si="264"/>
        <v>0.64765977666904251</v>
      </c>
      <c r="EY141" s="50">
        <f t="shared" si="265"/>
        <v>0.31102663604445502</v>
      </c>
      <c r="EZ141" s="50">
        <f t="shared" si="266"/>
        <v>4.1313587286502466E-2</v>
      </c>
      <c r="FA141" s="51">
        <f t="shared" si="267"/>
        <v>24531</v>
      </c>
      <c r="FB141" s="51">
        <f t="shared" si="268"/>
        <v>22045</v>
      </c>
      <c r="FC141" s="14">
        <f>INT(SUMPRODUCT($AP141:$AT141,$BF141:$BJ141)/SUM($BF141:$BJ141)/10000*$BX$7*$BZ$46/'疲劳值&amp;地图信息'!$R$10*$BY$57)</f>
        <v>2087</v>
      </c>
      <c r="FD141" s="50">
        <f t="shared" si="269"/>
        <v>0.50409962394426977</v>
      </c>
      <c r="FE141" s="50">
        <f t="shared" si="270"/>
        <v>0.45301358321517377</v>
      </c>
      <c r="FF141" s="50">
        <f t="shared" si="271"/>
        <v>4.2886792840556479E-2</v>
      </c>
      <c r="FH141" s="14">
        <f t="shared" si="272"/>
        <v>20554</v>
      </c>
      <c r="FI141" s="14">
        <f t="shared" si="273"/>
        <v>23309</v>
      </c>
      <c r="FJ141" s="14">
        <f t="shared" si="274"/>
        <v>26884</v>
      </c>
      <c r="FK141" s="14">
        <f t="shared" si="275"/>
        <v>37881</v>
      </c>
      <c r="FL141" s="14">
        <f t="shared" si="276"/>
        <v>48663</v>
      </c>
      <c r="FM141" s="14">
        <f t="shared" si="277"/>
        <v>2408850</v>
      </c>
      <c r="FP141" s="14">
        <f t="shared" si="278"/>
        <v>334150</v>
      </c>
      <c r="FQ141" s="50">
        <f t="shared" si="218"/>
        <v>0.12181917608457893</v>
      </c>
      <c r="FS141" s="14">
        <f t="shared" si="279"/>
        <v>2743000</v>
      </c>
      <c r="FX141" s="14">
        <v>136</v>
      </c>
      <c r="FY141" s="51">
        <f t="shared" si="280"/>
        <v>26058</v>
      </c>
      <c r="FZ141" s="51">
        <f t="shared" si="281"/>
        <v>1533</v>
      </c>
      <c r="GA141" s="51">
        <f>INT(SUMPRODUCT($N141:$R141,$BF141:$BJ141)/SUM($BF141:$BJ141)/10000*$BX$7*$BZ$46/'疲劳值&amp;地图信息'!$R$10*$BY$53)</f>
        <v>408</v>
      </c>
      <c r="GB141" s="50">
        <f t="shared" si="282"/>
        <v>0.93067609557484199</v>
      </c>
      <c r="GC141" s="50">
        <f t="shared" si="283"/>
        <v>5.4751955426979533E-2</v>
      </c>
      <c r="GD141" s="50">
        <f t="shared" si="284"/>
        <v>1.4571948998178506E-2</v>
      </c>
      <c r="GE141" s="51">
        <f t="shared" si="285"/>
        <v>28015</v>
      </c>
      <c r="GF141" s="51">
        <f t="shared" si="286"/>
        <v>2531</v>
      </c>
      <c r="GG141" s="14">
        <f>INT(SUMPRODUCT($U141:$Y141,$BF141:$BJ141)/SUM($BF141:$BJ141)/10000*$BX$7*$BZ$46/'疲劳值&amp;地图信息'!$R$10*$BY$54)</f>
        <v>768</v>
      </c>
      <c r="GH141" s="50">
        <f t="shared" si="287"/>
        <v>0.89464776138468416</v>
      </c>
      <c r="GI141" s="50">
        <f t="shared" si="288"/>
        <v>8.0826467394775503E-2</v>
      </c>
      <c r="GJ141" s="50">
        <f t="shared" si="289"/>
        <v>2.4525771220540334E-2</v>
      </c>
      <c r="GK141" s="51">
        <f t="shared" si="290"/>
        <v>30005</v>
      </c>
      <c r="GL141" s="51">
        <f t="shared" si="291"/>
        <v>4409</v>
      </c>
      <c r="GM141" s="14">
        <f>INT(SUMPRODUCT($AB141:$AF141,$BF141:$BJ141)/SUM($BF141:$BJ141)/10000*$BX$7*$BZ$46/'疲劳值&amp;地图信息'!$R$10*$BY$55)</f>
        <v>1043</v>
      </c>
      <c r="GN141" s="50">
        <f t="shared" si="292"/>
        <v>0.8462362862058268</v>
      </c>
      <c r="GO141" s="50">
        <f t="shared" si="293"/>
        <v>0.12434780156245594</v>
      </c>
      <c r="GP141" s="50">
        <f t="shared" si="294"/>
        <v>2.941591223171729E-2</v>
      </c>
      <c r="GQ141" s="51">
        <f t="shared" si="295"/>
        <v>34348</v>
      </c>
      <c r="GR141" s="51">
        <f t="shared" si="296"/>
        <v>11782</v>
      </c>
      <c r="GS141" s="14">
        <f>INT(SUMPRODUCT($AI141:$AM141,$BF141:$BJ141)/SUM($BF141:$BJ141)/10000*$BX$7*$BZ$46/'疲劳值&amp;地图信息'!$R$10*$BY$56)</f>
        <v>1565</v>
      </c>
      <c r="GT141" s="50">
        <f t="shared" si="297"/>
        <v>0.72015934584337982</v>
      </c>
      <c r="GU141" s="50">
        <f t="shared" si="298"/>
        <v>0.24702799035538317</v>
      </c>
      <c r="GV141" s="50">
        <f t="shared" si="299"/>
        <v>3.2812663801237027E-2</v>
      </c>
      <c r="GW141" s="51">
        <f t="shared" si="300"/>
        <v>34344</v>
      </c>
      <c r="GX141" s="51">
        <f t="shared" si="301"/>
        <v>22045</v>
      </c>
      <c r="GY141" s="14">
        <f>INT(SUMPRODUCT($AP141:$AT141,$BF141:$BJ141)/SUM($BF141:$BJ141)/10000*$BX$7*$BZ$46/'疲劳值&amp;地图信息'!$R$10*$BY$57)</f>
        <v>2087</v>
      </c>
      <c r="GZ141" s="50">
        <f t="shared" si="302"/>
        <v>0.58731787399958957</v>
      </c>
      <c r="HA141" s="50">
        <f t="shared" si="303"/>
        <v>0.3769922703331281</v>
      </c>
      <c r="HB141" s="50">
        <f t="shared" si="304"/>
        <v>3.5689855667282305E-2</v>
      </c>
      <c r="HD141" s="14">
        <f t="shared" si="305"/>
        <v>27999</v>
      </c>
      <c r="HE141" s="14">
        <f t="shared" si="306"/>
        <v>31314</v>
      </c>
      <c r="HF141" s="14">
        <f t="shared" si="307"/>
        <v>35457</v>
      </c>
      <c r="HG141" s="14">
        <f t="shared" si="308"/>
        <v>47695</v>
      </c>
      <c r="HH141" s="14">
        <f t="shared" si="309"/>
        <v>58476</v>
      </c>
      <c r="HI141" s="14">
        <f t="shared" si="310"/>
        <v>3232224</v>
      </c>
      <c r="HL141" s="14">
        <f t="shared" si="311"/>
        <v>430050</v>
      </c>
      <c r="HM141" s="50">
        <f t="shared" si="219"/>
        <v>0.11742704123175929</v>
      </c>
      <c r="HO141" s="14">
        <f t="shared" si="312"/>
        <v>3662274</v>
      </c>
    </row>
    <row r="142" spans="11:223" x14ac:dyDescent="0.2">
      <c r="K142" s="14">
        <v>137</v>
      </c>
      <c r="L142" s="12">
        <f>求节点(节奏总纲!D$4:D$163,标准城池设计!AB$4:AB$163,$K142)*求节点(节奏总纲!D$4:D$163,攻城基础信息!$AC$5:$AC$164,$K142)</f>
        <v>549653.45662225923</v>
      </c>
      <c r="M142" s="12">
        <f>INDEX(其他调用!$AA$5:$AA$404,MATCH(K142,其他调用!$X$5:$X$404,0))*MIN(INDEX(其他调用!$AH$5:$AH$364,MATCH('征服点（新）'!K142,其他调用!$AG$5:$AG$364,0),1)/INDEX(其他调用!$AJ$5:$AJ$364,MATCH(K142,其他调用!$AG$5:$AG$364,0),0),5)*求节点(节奏总纲!D$4:D$163,攻城基础信息!$AC$5:$AC$164,$K142)</f>
        <v>45224.567948913886</v>
      </c>
      <c r="N142" s="12">
        <f>MIN(INDEX(其他调用!$AH$5:$AH$364,MATCH($K142,其他调用!$AG$5:$AG$364,0),1)/INDEX(其他调用!AH$5:AH$364,MATCH($K142,其他调用!$AG$5:$AG$364,0),0),1)*INDEX(其他调用!Y$5:Y$404,MATCH($K142,其他调用!$X$5:$X$404,0),0)</f>
        <v>37957.31915127817</v>
      </c>
      <c r="O142" s="12">
        <f>MIN(INDEX(其他调用!$AH$5:$AH$364,MATCH($K142,其他调用!$AG$5:$AG$364,0),1)/INDEX(其他调用!AI$5:AI$364,MATCH($K142,其他调用!$AG$5:$AG$364,0),0),1)*INDEX(其他调用!Z$5:Z$404,MATCH($K142,其他调用!$X$5:$X$404,0),0)</f>
        <v>23700.326644445624</v>
      </c>
      <c r="P142" s="12">
        <f>MIN(INDEX(其他调用!$AH$5:$AH$364,MATCH($K142,其他调用!$AG$5:$AG$364,0),1)/INDEX(其他调用!AJ$5:AJ$364,MATCH($K142,其他调用!$AG$5:$AG$364,0),0),1)*INDEX(其他调用!AA$5:AA$404,MATCH($K142,其他调用!$X$5:$X$404,0),0)</f>
        <v>14120.532643623668</v>
      </c>
      <c r="Q142" s="12">
        <f>MIN(INDEX(其他调用!$AH$5:$AH$364,MATCH($K142,其他调用!$AG$5:$AG$364,0),1)/INDEX(其他调用!AK$5:AK$364,MATCH($K142,其他调用!$AG$5:$AG$364,0),0),1)*INDEX(其他调用!AB$5:AB$404,MATCH($K142,其他调用!$X$5:$X$404,0),0)</f>
        <v>5551.8391227906368</v>
      </c>
      <c r="R142" s="12">
        <f>MIN(INDEX(其他调用!$AH$5:$AH$364,MATCH($K142,其他调用!$AG$5:$AG$364,0),1)/INDEX(其他调用!AL$5:AL$364,MATCH($K142,其他调用!$AG$5:$AG$364,0),0),1)*INDEX(其他调用!AC$5:AC$404,MATCH($K142,其他调用!$X$5:$X$404,0),0)</f>
        <v>1834.3734051517824</v>
      </c>
      <c r="S142" s="12">
        <f>求节点(节奏总纲!D$4:D$163,标准城池设计!AC$4:AC$163,$K142)*求节点(节奏总纲!D$4:D$163,攻城基础信息!$AD$5:$AD$164,$K142)</f>
        <v>590969.71825088363</v>
      </c>
      <c r="T142" s="12">
        <f>INDEX(其他调用!$AA$5:$AA$404,MATCH($K142,其他调用!$X$5:$X$404,0))*MIN(INDEX(其他调用!AI$5:AI$364,MATCH($K142,其他调用!$AG$5:$AG$364,0),1)/INDEX(其他调用!$AJ$5:$AJ$364,MATCH($K142,其他调用!$AG$5:$AG$364,0),0),5)*求节点(节奏总纲!D$4:D$163,攻城基础信息!$AD$5:$AD$164,$K142)</f>
        <v>74616.015384657163</v>
      </c>
      <c r="U142" s="12">
        <f>MIN(INDEX(其他调用!$AI$5:$AI$364,MATCH($K142,其他调用!$AG$5:$AG$364,0),1)/INDEX(其他调用!AH$5:AH$364,MATCH($K142,其他调用!$AG$5:$AG$364,0),0),1)*INDEX(其他调用!Y$5:Y$404,MATCH($K142,其他调用!$X$5:$X$404,0),0)</f>
        <v>37957.31915127817</v>
      </c>
      <c r="V142" s="12">
        <f>MIN(INDEX(其他调用!$AI$5:$AI$364,MATCH($K142,其他调用!$AG$5:$AG$364,0),1)/INDEX(其他调用!AI$5:AI$364,MATCH($K142,其他调用!$AG$5:$AG$364,0),0),1)*INDEX(其他调用!Z$5:Z$404,MATCH($K142,其他调用!$X$5:$X$404,0),0)</f>
        <v>39103.169311003337</v>
      </c>
      <c r="W142" s="12">
        <f>MIN(INDEX(其他调用!$AI$5:$AI$364,MATCH($K142,其他调用!$AG$5:$AG$364,0),1)/INDEX(其他调用!AJ$5:AJ$364,MATCH($K142,其他调用!$AG$5:$AG$364,0),0),1)*INDEX(其他调用!AA$5:AA$404,MATCH($K142,其他调用!$X$5:$X$404,0),0)</f>
        <v>23297.467035314839</v>
      </c>
      <c r="X142" s="12">
        <f>MIN(INDEX(其他调用!$AI$5:$AI$364,MATCH($K142,其他调用!$AG$5:$AG$364,0),1)/INDEX(其他调用!AK$5:AK$364,MATCH($K142,其他调用!$AG$5:$AG$364,0),0),1)*INDEX(其他调用!AB$5:AB$404,MATCH($K142,其他调用!$X$5:$X$404,0),0)</f>
        <v>9159.9794577857647</v>
      </c>
      <c r="Y142" s="12">
        <f>MIN(INDEX(其他调用!$AI$5:$AI$364,MATCH($K142,其他调用!$AG$5:$AG$364,0),1)/INDEX(其他调用!AL$5:AL$364,MATCH($K142,其他调用!$AG$5:$AG$364,0),0),1)*INDEX(其他调用!AC$5:AC$404,MATCH($K142,其他调用!$X$5:$X$404,0),0)</f>
        <v>3026.5327105971505</v>
      </c>
      <c r="Z142" s="12">
        <f>求节点(节奏总纲!D$4:D$163,标准城池设计!AD$4:AD$163,$K142)*求节点(节奏总纲!D$4:D$163,攻城基础信息!$AE$5:$AE$164,$K142)</f>
        <v>632750.45681436395</v>
      </c>
      <c r="AA142" s="12">
        <f>INDEX(其他调用!$AA$5:$AA$404,MATCH($K142,其他调用!$X$5:$X$404,0))*MIN(INDEX(其他调用!AJ$5:AJ$364,MATCH($K142,其他调用!$AG$5:$AG$364,0),1)/INDEX(其他调用!$AJ$5:$AJ$364,MATCH($K142,其他调用!$AG$5:$AG$364,0),0),5)*求节点(节奏总纲!D$4:D$163,攻城基础信息!$AE$5:$AE$164,$K142)</f>
        <v>130074.02998195816</v>
      </c>
      <c r="AB142" s="12">
        <f>MIN(INDEX(其他调用!$AJ$5:$AJ$364,MATCH($K142,其他调用!$AG$5:$AG$364,0),1)/INDEX(其他调用!AH$5:AH$364,MATCH($K142,其他调用!$AG$5:$AG$364,0),0),1)*INDEX(其他调用!Y$5:Y$404,MATCH($K142,其他调用!$X$5:$X$404,0),0)</f>
        <v>37957.31915127817</v>
      </c>
      <c r="AC142" s="12">
        <f>MIN(INDEX(其他调用!$AJ$5:$AJ$364,MATCH($K142,其他调用!$AG$5:$AG$364,0),1)/INDEX(其他调用!AI$5:AI$364,MATCH($K142,其他调用!$AG$5:$AG$364,0),0),1)*INDEX(其他调用!Z$5:Z$404,MATCH($K142,其他调用!$X$5:$X$404,0),0)</f>
        <v>39103.169311003337</v>
      </c>
      <c r="AD142" s="12">
        <f>MIN(INDEX(其他调用!$AJ$5:$AJ$364,MATCH($K142,其他调用!$AG$5:$AG$364,0),1)/INDEX(其他调用!AJ$5:AJ$364,MATCH($K142,其他调用!$AG$5:$AG$364,0),0),1)*INDEX(其他调用!AA$5:AA$404,MATCH($K142,其他调用!$X$5:$X$404,0),0)</f>
        <v>40613.203613635284</v>
      </c>
      <c r="AE142" s="12">
        <f>MIN(INDEX(其他调用!$AJ$5:$AJ$364,MATCH($K142,其他调用!$AG$5:$AG$364,0),1)/INDEX(其他调用!AK$5:AK$364,MATCH($K142,其他调用!$AG$5:$AG$364,0),0),1)*INDEX(其他调用!AB$5:AB$404,MATCH($K142,其他调用!$X$5:$X$404,0),0)</f>
        <v>15968.092593579344</v>
      </c>
      <c r="AF142" s="12">
        <f>MIN(INDEX(其他调用!$AJ$5:$AJ$364,MATCH($K142,其他调用!$AG$5:$AG$364,0),1)/INDEX(其他调用!AL$5:AL$364,MATCH($K142,其他调用!$AG$5:$AG$364,0),0),1)*INDEX(其他调用!AC$5:AC$404,MATCH($K142,其他调用!$X$5:$X$404,0),0)</f>
        <v>5275.9894040192812</v>
      </c>
      <c r="AG142" s="12">
        <f>求节点(节奏总纲!D$4:D$163,标准城池设计!AE$4:AE$163,$K142)*求节点(节奏总纲!D$4:D$163,攻城基础信息!$AF$5:$AF$164,$K142)</f>
        <v>724408.88880829664</v>
      </c>
      <c r="AH142" s="12">
        <f>INDEX(其他调用!$AA$5:$AA$404,MATCH($K142,其他调用!$X$5:$X$404,0))*MIN(INDEX(其他调用!AK$5:AK$364,MATCH($K142,其他调用!$AG$5:$AG$364,0),1)/INDEX(其他调用!$AJ$5:$AJ$364,MATCH($K142,其他调用!$AG$5:$AG$364,0),0),5)*求节点(节奏总纲!D$4:D$163,攻城基础信息!$AF$5:$AF$164,$K142)</f>
        <v>348669.28340675973</v>
      </c>
      <c r="AI142" s="12">
        <f>MIN(INDEX(其他调用!$AK$5:$AK$364,MATCH($K142,其他调用!$AG$5:$AG$364,0),1)/INDEX(其他调用!AH$5:AH$364,MATCH($K142,其他调用!$AG$5:$AG$364,0),0),1)*INDEX(其他调用!Y$5:Y$404,MATCH($K142,其他调用!$X$5:$X$404,0),0)</f>
        <v>37957.31915127817</v>
      </c>
      <c r="AJ142" s="12">
        <f>MIN(INDEX(其他调用!$AK$5:$AK$364,MATCH($K142,其他调用!$AG$5:$AG$364,0),1)/INDEX(其他调用!AI$5:AI$364,MATCH($K142,其他调用!$AG$5:$AG$364,0),0),1)*INDEX(其他调用!Z$5:Z$404,MATCH($K142,其他调用!$X$5:$X$404,0),0)</f>
        <v>39103.169311003337</v>
      </c>
      <c r="AK142" s="12">
        <f>MIN(INDEX(其他调用!$AK$5:$AK$364,MATCH($K142,其他调用!$AG$5:$AG$364,0),1)/INDEX(其他调用!AJ$5:AJ$364,MATCH($K142,其他调用!$AG$5:$AG$364,0),0),1)*INDEX(其他调用!AA$5:AA$404,MATCH($K142,其他调用!$X$5:$X$404,0),0)</f>
        <v>40613.203613635284</v>
      </c>
      <c r="AL142" s="12">
        <f>MIN(INDEX(其他调用!$AK$5:$AK$364,MATCH($K142,其他调用!$AG$5:$AG$364,0),1)/INDEX(其他调用!AK$5:AK$364,MATCH($K142,其他调用!$AG$5:$AG$364,0),0),1)*INDEX(其他调用!AB$5:AB$404,MATCH($K142,其他调用!$X$5:$X$404,0),0)</f>
        <v>42803.189866173481</v>
      </c>
      <c r="AM142" s="12">
        <f>MIN(INDEX(其他调用!$AK$5:$AK$364,MATCH($K142,其他调用!$AG$5:$AG$364,0),1)/INDEX(其他调用!AL$5:AL$364,MATCH($K142,其他调用!$AG$5:$AG$364,0),0),1)*INDEX(其他调用!AC$5:AC$404,MATCH($K142,其他调用!$X$5:$X$404,0),0)</f>
        <v>14142.526721254177</v>
      </c>
      <c r="AN142" s="12">
        <f>求节点(节奏总纲!D$4:D$163,标准城池设计!AF$4:AF$163,$K142)*求节点(节奏总纲!D$4:D$163,攻城基础信息!$AG$5:$AG$164,$K142)</f>
        <v>725120.3053794367</v>
      </c>
      <c r="AO142" s="12">
        <f>INDEX(其他调用!$AA$5:$AA$404,MATCH($K142,其他调用!$X$5:$X$404,0))*MIN(INDEX(其他调用!AL$5:AL$364,MATCH($K142,其他调用!$AG$5:$AG$364,0),1)/INDEX(其他调用!$AJ$5:$AJ$364,MATCH($K142,其他调用!$AG$5:$AG$364,0),0),5)*求节点(节奏总纲!D$4:D$163,攻城基础信息!$AG$5:$AG$164,$K142)</f>
        <v>650370.14990979072</v>
      </c>
      <c r="AP142" s="12">
        <f>MIN(INDEX(其他调用!$AL$5:$AL$364,MATCH($K142,其他调用!$AG$5:$AG$364,0),1)/INDEX(其他调用!AH$5:AH$364,MATCH($K142,其他调用!$AG$5:$AG$364,0),0),1)*INDEX(其他调用!Y$5:Y$404,MATCH($K142,其他调用!$X$5:$X$404,0),0)</f>
        <v>37957.31915127817</v>
      </c>
      <c r="AQ142" s="12">
        <f>MIN(INDEX(其他调用!$AL$5:$AL$364,MATCH($K142,其他调用!$AG$5:$AG$364,0),1)/INDEX(其他调用!AI$5:AI$364,MATCH($K142,其他调用!$AG$5:$AG$364,0),0),1)*INDEX(其他调用!Z$5:Z$404,MATCH($K142,其他调用!$X$5:$X$404,0),0)</f>
        <v>39103.169311003337</v>
      </c>
      <c r="AR142" s="12">
        <f>MIN(INDEX(其他调用!$AL$5:$AL$364,MATCH($K142,其他调用!$AG$5:$AG$364,0),1)/INDEX(其他调用!AJ$5:AJ$364,MATCH($K142,其他调用!$AG$5:$AG$364,0),0),1)*INDEX(其他调用!AA$5:AA$404,MATCH($K142,其他调用!$X$5:$X$404,0),0)</f>
        <v>40613.203613635284</v>
      </c>
      <c r="AS142" s="12">
        <f>MIN(INDEX(其他调用!$AL$5:$AL$364,MATCH($K142,其他调用!$AG$5:$AG$364,0),1)/INDEX(其他调用!AK$5:AK$364,MATCH($K142,其他调用!$AG$5:$AG$364,0),0),1)*INDEX(其他调用!AB$5:AB$404,MATCH($K142,其他调用!$X$5:$X$404,0),0)</f>
        <v>42803.189866173481</v>
      </c>
      <c r="AT142" s="12">
        <f>MIN(INDEX(其他调用!$AL$5:$AL$364,MATCH($K142,其他调用!$AG$5:$AG$364,0),1)/INDEX(其他调用!AL$5:AL$364,MATCH($K142,其他调用!$AG$5:$AG$364,0),0),1)*INDEX(其他调用!AC$5:AC$404,MATCH($K142,其他调用!$X$5:$X$404,0),0)</f>
        <v>46731.228144141736</v>
      </c>
      <c r="AV142" s="14">
        <f>IF(OR(AV$5="大R",AV$5="超R"),MAX(INDEX(其他调用!$H$5:$L$404,MATCH($K142,其他调用!$B$5:$B$404,0),MATCH(AV$5,其他调用!$H$4:$L$4,0))*120*0.85,2),INDEX(其他调用!$H$5:$L$404,MATCH($K142,其他调用!$B$5:$B$404,0),MATCH(AV$5,其他调用!$H$4:$L$4,0))*120*0.85)</f>
        <v>48.921801254999991</v>
      </c>
      <c r="AW142" s="14">
        <f>IF(OR(AW$5="大R",AW$5="超R"),MAX(INDEX(其他调用!$H$5:$L$404,MATCH($K142,其他调用!$B$5:$B$404,0),MATCH(AW$5,其他调用!$H$4:$L$4,0))*120*0.85,2),INDEX(其他调用!$H$5:$L$404,MATCH($K142,其他调用!$B$5:$B$404,0),MATCH(AW$5,其他调用!$H$4:$L$4,0))*120*0.85)</f>
        <v>48.237344010638395</v>
      </c>
      <c r="AX142" s="14">
        <f>IF(OR(AX$5="大R",AX$5="超R"),MAX(INDEX(其他调用!$H$5:$L$404,MATCH($K142,其他调用!$B$5:$B$404,0),MATCH(AX$5,其他调用!$H$4:$L$4,0))*120*0.85,2),INDEX(其他调用!$H$5:$L$404,MATCH($K142,其他调用!$B$5:$B$404,0),MATCH(AX$5,其他调用!$H$4:$L$4,0))*120*0.85)</f>
        <v>3.9376284143615998</v>
      </c>
      <c r="AY142" s="14">
        <f>IF(OR(AY$5="大R",AY$5="超R"),MAX(INDEX(其他调用!$H$5:$L$404,MATCH($K142,其他调用!$B$5:$B$404,0),MATCH(AY$5,其他调用!$H$4:$L$4,0))*120*0.85,2),INDEX(其他调用!$H$5:$L$404,MATCH($K142,其他调用!$B$5:$B$404,0),MATCH(AY$5,其他调用!$H$4:$L$4,0))*120*0.85)</f>
        <v>2</v>
      </c>
      <c r="AZ142" s="14">
        <f>IF(OR(AZ$5="大R",AZ$5="超R"),MAX(INDEX(其他调用!$H$5:$L$404,MATCH($K142,其他调用!$B$5:$B$404,0),MATCH(AZ$5,其他调用!$H$4:$L$4,0))*120*0.85,2),INDEX(其他调用!$H$5:$L$404,MATCH($K142,其他调用!$B$5:$B$404,0),MATCH(AZ$5,其他调用!$H$4:$L$4,0))*120*0.85)</f>
        <v>2</v>
      </c>
      <c r="BA142" s="14">
        <f>INDEX(其他调用!$H$5:$L$404,MATCH($K142,其他调用!$B$5:$B$404,0),MATCH(BA$5,其他调用!$H$4:$L$4,0))*INDEX(其他调用!$M$5:$M$404,MATCH($K142,其他调用!$B$5:$B$404,0))*0.6</f>
        <v>28.777530149999997</v>
      </c>
      <c r="BB142" s="14">
        <f>INDEX(其他调用!$H$5:$L$404,MATCH($K142,其他调用!$B$5:$B$404,0),MATCH(BB$5,其他调用!$H$4:$L$4,0))*INDEX(其他调用!$M$5:$M$404,MATCH($K142,其他调用!$B$5:$B$404,0))*0.6</f>
        <v>28.374908241551999</v>
      </c>
      <c r="BC142" s="14">
        <f>INDEX(其他调用!$H$5:$L$404,MATCH($K142,其他调用!$B$5:$B$404,0),MATCH(BC$5,其他调用!$H$4:$L$4,0))*INDEX(其他调用!$M$5:$M$404,MATCH($K142,其他调用!$B$5:$B$404,0))*0.6</f>
        <v>2.3162520084480001</v>
      </c>
      <c r="BD142" s="14">
        <f>INDEX(其他调用!$H$5:$L$404,MATCH($K142,其他调用!$B$5:$B$404,0),MATCH(BD$5,其他调用!$H$4:$L$4,0))*INDEX(其他调用!$M$5:$M$404,MATCH($K142,其他调用!$B$5:$B$404,0))*0.6</f>
        <v>0.4120776000000001</v>
      </c>
      <c r="BE142" s="14">
        <f>INDEX(其他调用!$H$5:$L$404,MATCH($K142,其他调用!$B$5:$B$404,0),MATCH(BE$5,其他调用!$H$4:$L$4,0))*INDEX(其他调用!$M$5:$M$404,MATCH($K142,其他调用!$B$5:$B$404,0))*0.6</f>
        <v>0.11923199999999998</v>
      </c>
      <c r="BF142" s="14">
        <f>IF(OR(BF$5="大R",BF$5="超R"),0,INDEX(其他调用!$H$5:$L$404,MATCH($K142,其他调用!$B$5:$B$404,0),MATCH(BF$5,其他调用!$H$4:$L$4,0))*50*0.4)</f>
        <v>9.5925100500000013</v>
      </c>
      <c r="BG142" s="14">
        <f>IF(OR(BG$5="大R",BG$5="超R"),0,INDEX(其他调用!$H$5:$L$404,MATCH($K142,其他调用!$B$5:$B$404,0),MATCH(BG$5,其他调用!$H$4:$L$4,0))*50*0.4)</f>
        <v>9.4583027471839998</v>
      </c>
      <c r="BH142" s="14">
        <f>IF(OR(BH$5="大R",BH$5="超R"),0,INDEX(其他调用!$H$5:$L$404,MATCH($K142,其他调用!$B$5:$B$404,0),MATCH(BH$5,其他调用!$H$4:$L$4,0))*50*0.4)</f>
        <v>0.77208400281600009</v>
      </c>
      <c r="BI142" s="14">
        <f>IF(OR(BI$5="大R",BI$5="超R"),0,INDEX(其他调用!$H$5:$L$404,MATCH($K142,其他调用!$B$5:$B$404,0),MATCH(BI$5,其他调用!$H$4:$L$4,0))*50*0.4)</f>
        <v>0</v>
      </c>
      <c r="BJ142" s="14">
        <f>IF(OR(BJ$5="大R",BJ$5="超R"),0,INDEX(其他调用!$H$5:$L$404,MATCH($K142,其他调用!$B$5:$B$404,0),MATCH(BJ$5,其他调用!$H$4:$L$4,0))*50*0.4)</f>
        <v>0</v>
      </c>
      <c r="BL142" s="14">
        <f t="shared" si="313"/>
        <v>137</v>
      </c>
      <c r="BM142" s="14">
        <f t="shared" si="220"/>
        <v>96</v>
      </c>
      <c r="BN142" s="14">
        <f>('疲劳值&amp;地图信息'!$S$10*'疲劳值&amp;地图信息'!$R$10+'疲劳值&amp;地图信息'!$S$11*'疲劳值&amp;地图信息'!$R$11+'疲劳值&amp;地图信息'!$S$12*'疲劳值&amp;地图信息'!$R$12+(BM142-'疲劳值&amp;地图信息'!$S$12-'疲劳值&amp;地图信息'!$S$11-'疲劳值&amp;地图信息'!$S$10)*'疲劳值&amp;地图信息'!$R$13)/BM142</f>
        <v>51.371477246638619</v>
      </c>
      <c r="BO142" s="14">
        <f>INDEX(其他调用!$M$5:$M$404,MATCH(BL142,其他调用!$B$5:$B$404,0))*0.6</f>
        <v>60</v>
      </c>
      <c r="BP142" s="14">
        <f>IF(BO142&gt;SUM('疲劳值&amp;地图信息'!$S$10:$S$12),('疲劳值&amp;地图信息'!$S$10*'疲劳值&amp;地图信息'!$R$10+'疲劳值&amp;地图信息'!$S$11*'疲劳值&amp;地图信息'!$R$11+'疲劳值&amp;地图信息'!$S$12*'疲劳值&amp;地图信息'!$R$12+(BO142-'疲劳值&amp;地图信息'!$S$12-'疲劳值&amp;地图信息'!$S$11-'疲劳值&amp;地图信息'!$S$10)*'疲劳值&amp;地图信息'!$R$13)/BO142,('疲劳值&amp;地图信息'!$S$10*'疲劳值&amp;地图信息'!$R$10+'疲劳值&amp;地图信息'!$S$11*'疲劳值&amp;地图信息'!$R$11+'疲劳值&amp;地图信息'!$S$12*'疲劳值&amp;地图信息'!$R$12+(BO142-'疲劳值&amp;地图信息'!$S$12-'疲劳值&amp;地图信息'!$S$11-'疲劳值&amp;地图信息'!$S$10)*'疲劳值&amp;地图信息'!$R$13)/BO142)</f>
        <v>44.158136341605953</v>
      </c>
      <c r="BQ142" s="14">
        <f t="shared" si="314"/>
        <v>20</v>
      </c>
      <c r="BR142" s="14">
        <f>('疲劳值&amp;地图信息'!$S$10*'疲劳值&amp;地图信息'!$R$10+($BQ142-'疲劳值&amp;地图信息'!$S$10)*'疲劳值&amp;地图信息'!$R$11)/$BQ142</f>
        <v>32.067203015074995</v>
      </c>
      <c r="CF142" s="14">
        <v>137</v>
      </c>
      <c r="CG142" s="51">
        <f t="shared" si="221"/>
        <v>11202</v>
      </c>
      <c r="CH142" s="51">
        <f t="shared" si="222"/>
        <v>921</v>
      </c>
      <c r="CI142" s="51">
        <f>INT(SUMPRODUCT($N142:$R142,$BA142:$BE142)/SUM($BA142:$BE142)/10000*$BX$7*$BZ$34/'疲劳值&amp;地图信息'!$R$10*$BY$53)</f>
        <v>3044</v>
      </c>
      <c r="CJ142" s="50">
        <f t="shared" si="223"/>
        <v>0.73857717412804114</v>
      </c>
      <c r="CK142" s="50">
        <f t="shared" si="224"/>
        <v>6.0723940133183885E-2</v>
      </c>
      <c r="CL142" s="50">
        <f t="shared" si="225"/>
        <v>0.20069888573877498</v>
      </c>
      <c r="CM142" s="14">
        <f t="shared" si="226"/>
        <v>12044</v>
      </c>
      <c r="CN142" s="14">
        <f t="shared" si="227"/>
        <v>1520</v>
      </c>
      <c r="CO142" s="14">
        <f>INT(SUMPRODUCT($U142:$Y142,$BA142:$BE142)/SUM($BA142:$BE142)/10000*$BX$7*$BZ$34/'疲劳值&amp;地图信息'!$R$10*$BY$54)</f>
        <v>5732</v>
      </c>
      <c r="CP142" s="50">
        <f t="shared" si="228"/>
        <v>0.62417081260364837</v>
      </c>
      <c r="CQ142" s="50">
        <f t="shared" si="229"/>
        <v>7.8772802653399671E-2</v>
      </c>
      <c r="CR142" s="50">
        <f t="shared" si="230"/>
        <v>0.29705638474295193</v>
      </c>
      <c r="CS142" s="14">
        <f t="shared" si="231"/>
        <v>12896</v>
      </c>
      <c r="CT142" s="14">
        <f t="shared" si="232"/>
        <v>2651</v>
      </c>
      <c r="CU142" s="14">
        <f>INT(SUMPRODUCT($AB142:$AF142,$BA142:$BE142)/SUM($BA142:$BE142)/10000*$BX$7*$BZ$34/'疲劳值&amp;地图信息'!$R$10*$BY$55)</f>
        <v>7789</v>
      </c>
      <c r="CV142" s="50">
        <f t="shared" si="233"/>
        <v>0.55262255742200894</v>
      </c>
      <c r="CW142" s="50">
        <f t="shared" si="234"/>
        <v>0.11360130270826191</v>
      </c>
      <c r="CX142" s="50">
        <f t="shared" si="235"/>
        <v>0.33377613986972915</v>
      </c>
      <c r="CY142" s="14">
        <f t="shared" si="236"/>
        <v>14764</v>
      </c>
      <c r="CZ142" s="14">
        <f t="shared" si="237"/>
        <v>7106</v>
      </c>
      <c r="DA142" s="14">
        <f>INT(SUMPRODUCT($AI142:$AM142,$BA142:$BE142)/SUM($BA142:$BE142)/10000*$BX$7*$BZ$34/'疲劳值&amp;地图信息'!$R$10*$BY$56)</f>
        <v>11746</v>
      </c>
      <c r="DB142" s="50">
        <f t="shared" si="238"/>
        <v>0.43919562113279392</v>
      </c>
      <c r="DC142" s="50">
        <f t="shared" si="239"/>
        <v>0.21138743455497383</v>
      </c>
      <c r="DD142" s="50">
        <f t="shared" si="240"/>
        <v>0.34941694431223225</v>
      </c>
      <c r="DE142" s="14">
        <f t="shared" si="241"/>
        <v>14778</v>
      </c>
      <c r="DF142" s="14">
        <f t="shared" si="242"/>
        <v>13255</v>
      </c>
      <c r="DG142" s="14">
        <f>INT(SUMPRODUCT($AP142:$AT142,$BA142:$BE142)/SUM($BA142:$BE142)/10000*$BX$7*$BZ$34/'疲劳值&amp;地图信息'!$R$10*$BY$57)</f>
        <v>15687</v>
      </c>
      <c r="DH142" s="50">
        <f t="shared" si="243"/>
        <v>0.33801463860933212</v>
      </c>
      <c r="DI142" s="50">
        <f t="shared" si="244"/>
        <v>0.30317932296431838</v>
      </c>
      <c r="DJ142" s="50">
        <f t="shared" si="245"/>
        <v>0.35880603842634951</v>
      </c>
      <c r="DL142" s="14">
        <f t="shared" si="211"/>
        <v>15167</v>
      </c>
      <c r="DM142" s="14">
        <f t="shared" si="212"/>
        <v>19296</v>
      </c>
      <c r="DN142" s="14">
        <f t="shared" si="213"/>
        <v>23336</v>
      </c>
      <c r="DO142" s="14">
        <f t="shared" si="214"/>
        <v>33616</v>
      </c>
      <c r="DP142" s="14">
        <f t="shared" si="215"/>
        <v>43720</v>
      </c>
      <c r="DQ142" s="14">
        <f t="shared" si="216"/>
        <v>1057108</v>
      </c>
      <c r="DT142" s="14">
        <f t="shared" si="315"/>
        <v>235575</v>
      </c>
      <c r="DU142" s="50">
        <f t="shared" si="217"/>
        <v>0.18223725383562714</v>
      </c>
      <c r="DW142" s="14">
        <f t="shared" si="246"/>
        <v>1292683</v>
      </c>
      <c r="EB142" s="14">
        <v>137</v>
      </c>
      <c r="EC142" s="51">
        <f t="shared" si="247"/>
        <v>18671</v>
      </c>
      <c r="ED142" s="51">
        <f t="shared" si="248"/>
        <v>1536</v>
      </c>
      <c r="EE142" s="51">
        <f>INT(SUMPRODUCT($N142:$R142,$BF142:$BJ142)/SUM($BF142:$BJ142)/10000*$BX$7*$BZ$46/'疲劳值&amp;地图信息'!$R$10*$BY$53)</f>
        <v>408</v>
      </c>
      <c r="EF142" s="50">
        <f t="shared" si="249"/>
        <v>0.90569973320397767</v>
      </c>
      <c r="EG142" s="50">
        <f t="shared" si="250"/>
        <v>7.4508852777104048E-2</v>
      </c>
      <c r="EH142" s="50">
        <f t="shared" si="251"/>
        <v>1.9791414018918263E-2</v>
      </c>
      <c r="EI142" s="51">
        <f t="shared" si="252"/>
        <v>20074</v>
      </c>
      <c r="EJ142" s="51">
        <f t="shared" si="253"/>
        <v>2534</v>
      </c>
      <c r="EK142" s="14">
        <f>INT(SUMPRODUCT($U142:$Y142,$BF142:$BJ142)/SUM($BF142:$BJ142)/10000*$BX$7*$BZ$46/'疲劳值&amp;地图信息'!$R$10*$BY$54)</f>
        <v>769</v>
      </c>
      <c r="EL142" s="50">
        <f t="shared" si="254"/>
        <v>0.85870727638276934</v>
      </c>
      <c r="EM142" s="50">
        <f t="shared" si="255"/>
        <v>0.1083971424904821</v>
      </c>
      <c r="EN142" s="50">
        <f t="shared" si="256"/>
        <v>3.2895581126748515E-2</v>
      </c>
      <c r="EO142" s="51">
        <f t="shared" si="257"/>
        <v>21493</v>
      </c>
      <c r="EP142" s="51">
        <f t="shared" si="258"/>
        <v>4418</v>
      </c>
      <c r="EQ142" s="14">
        <f>INT(SUMPRODUCT($AB142:$AF142,$BF142:$BJ142)/SUM($BF142:$BJ142)/10000*$BX$7*$BZ$46/'疲劳值&amp;地图信息'!$R$10*$BY$55)</f>
        <v>1044</v>
      </c>
      <c r="ER142" s="50">
        <f t="shared" si="259"/>
        <v>0.79736598033759976</v>
      </c>
      <c r="ES142" s="50">
        <f t="shared" si="260"/>
        <v>0.16390280096457058</v>
      </c>
      <c r="ET142" s="50">
        <f t="shared" si="261"/>
        <v>3.8731218697829715E-2</v>
      </c>
      <c r="EU142" s="51">
        <f t="shared" si="262"/>
        <v>24607</v>
      </c>
      <c r="EV142" s="51">
        <f t="shared" si="263"/>
        <v>11843</v>
      </c>
      <c r="EW142" s="14">
        <f>INT(SUMPRODUCT($AI142:$AM142,$BF142:$BJ142)/SUM($BF142:$BJ142)/10000*$BX$7*$BZ$46/'疲劳值&amp;地图信息'!$R$10*$BY$56)</f>
        <v>1566</v>
      </c>
      <c r="EX142" s="50">
        <f t="shared" si="264"/>
        <v>0.64728009259259256</v>
      </c>
      <c r="EY142" s="50">
        <f t="shared" si="265"/>
        <v>0.31152672558922556</v>
      </c>
      <c r="EZ142" s="50">
        <f t="shared" si="266"/>
        <v>4.1193181818181816E-2</v>
      </c>
      <c r="FA142" s="51">
        <f t="shared" si="267"/>
        <v>24631</v>
      </c>
      <c r="FB142" s="51">
        <f t="shared" si="268"/>
        <v>22092</v>
      </c>
      <c r="FC142" s="14">
        <f>INT(SUMPRODUCT($AP142:$AT142,$BF142:$BJ142)/SUM($BF142:$BJ142)/10000*$BX$7*$BZ$46/'疲劳值&amp;地图信息'!$R$10*$BY$57)</f>
        <v>2089</v>
      </c>
      <c r="FD142" s="50">
        <f t="shared" si="269"/>
        <v>0.50460952224862743</v>
      </c>
      <c r="FE142" s="50">
        <f t="shared" si="270"/>
        <v>0.452593624518561</v>
      </c>
      <c r="FF142" s="50">
        <f t="shared" si="271"/>
        <v>4.2796853232811606E-2</v>
      </c>
      <c r="FH142" s="14">
        <f t="shared" si="272"/>
        <v>20615</v>
      </c>
      <c r="FI142" s="14">
        <f t="shared" si="273"/>
        <v>23377</v>
      </c>
      <c r="FJ142" s="14">
        <f t="shared" si="274"/>
        <v>26955</v>
      </c>
      <c r="FK142" s="14">
        <f t="shared" si="275"/>
        <v>38016</v>
      </c>
      <c r="FL142" s="14">
        <f t="shared" si="276"/>
        <v>48812</v>
      </c>
      <c r="FM142" s="14">
        <f t="shared" si="277"/>
        <v>2415962</v>
      </c>
      <c r="FP142" s="14">
        <f t="shared" si="278"/>
        <v>334150</v>
      </c>
      <c r="FQ142" s="50">
        <f t="shared" si="218"/>
        <v>0.12150414237674684</v>
      </c>
      <c r="FS142" s="14">
        <f t="shared" si="279"/>
        <v>2750112</v>
      </c>
      <c r="FX142" s="14">
        <v>137</v>
      </c>
      <c r="FY142" s="51">
        <f t="shared" si="280"/>
        <v>26139</v>
      </c>
      <c r="FZ142" s="51">
        <f t="shared" si="281"/>
        <v>1536</v>
      </c>
      <c r="GA142" s="51">
        <f>INT(SUMPRODUCT($N142:$R142,$BF142:$BJ142)/SUM($BF142:$BJ142)/10000*$BX$7*$BZ$46/'疲劳值&amp;地图信息'!$R$10*$BY$53)</f>
        <v>408</v>
      </c>
      <c r="GB142" s="50">
        <f t="shared" si="282"/>
        <v>0.93077662642880032</v>
      </c>
      <c r="GC142" s="50">
        <f t="shared" si="283"/>
        <v>5.4695011216750349E-2</v>
      </c>
      <c r="GD142" s="50">
        <f t="shared" si="284"/>
        <v>1.4528362354449311E-2</v>
      </c>
      <c r="GE142" s="51">
        <f t="shared" si="285"/>
        <v>28104</v>
      </c>
      <c r="GF142" s="51">
        <f t="shared" si="286"/>
        <v>2534</v>
      </c>
      <c r="GG142" s="14">
        <f>INT(SUMPRODUCT($U142:$Y142,$BF142:$BJ142)/SUM($BF142:$BJ142)/10000*$BX$7*$BZ$46/'疲劳值&amp;地图信息'!$R$10*$BY$54)</f>
        <v>769</v>
      </c>
      <c r="GH142" s="50">
        <f t="shared" si="287"/>
        <v>0.89483236221224571</v>
      </c>
      <c r="GI142" s="50">
        <f t="shared" si="288"/>
        <v>8.0682650364568412E-2</v>
      </c>
      <c r="GJ142" s="50">
        <f t="shared" si="289"/>
        <v>2.4484987423185913E-2</v>
      </c>
      <c r="GK142" s="51">
        <f t="shared" si="290"/>
        <v>30091</v>
      </c>
      <c r="GL142" s="51">
        <f t="shared" si="291"/>
        <v>4418</v>
      </c>
      <c r="GM142" s="14">
        <f>INT(SUMPRODUCT($AB142:$AF142,$BF142:$BJ142)/SUM($BF142:$BJ142)/10000*$BX$7*$BZ$46/'疲劳值&amp;地图信息'!$R$10*$BY$55)</f>
        <v>1044</v>
      </c>
      <c r="GN142" s="50">
        <f t="shared" si="292"/>
        <v>0.84637020785868988</v>
      </c>
      <c r="GO142" s="50">
        <f t="shared" si="293"/>
        <v>0.12426518155992462</v>
      </c>
      <c r="GP142" s="50">
        <f t="shared" si="294"/>
        <v>2.9364610581385536E-2</v>
      </c>
      <c r="GQ142" s="51">
        <f t="shared" si="295"/>
        <v>34450</v>
      </c>
      <c r="GR142" s="51">
        <f t="shared" si="296"/>
        <v>11843</v>
      </c>
      <c r="GS142" s="14">
        <f>INT(SUMPRODUCT($AI142:$AM142,$BF142:$BJ142)/SUM($BF142:$BJ142)/10000*$BX$7*$BZ$46/'疲劳值&amp;地图信息'!$R$10*$BY$56)</f>
        <v>1566</v>
      </c>
      <c r="GT142" s="50">
        <f t="shared" si="297"/>
        <v>0.71982281284606864</v>
      </c>
      <c r="GU142" s="50">
        <f t="shared" si="298"/>
        <v>0.24745606886896926</v>
      </c>
      <c r="GV142" s="50">
        <f t="shared" si="299"/>
        <v>3.2721118284962075E-2</v>
      </c>
      <c r="GW142" s="51">
        <f t="shared" si="300"/>
        <v>34484</v>
      </c>
      <c r="GX142" s="51">
        <f t="shared" si="301"/>
        <v>22092</v>
      </c>
      <c r="GY142" s="14">
        <f>INT(SUMPRODUCT($AP142:$AT142,$BF142:$BJ142)/SUM($BF142:$BJ142)/10000*$BX$7*$BZ$46/'疲劳值&amp;地图信息'!$R$10*$BY$57)</f>
        <v>2089</v>
      </c>
      <c r="GZ142" s="50">
        <f t="shared" si="302"/>
        <v>0.58781215375436802</v>
      </c>
      <c r="HA142" s="50">
        <f t="shared" si="303"/>
        <v>0.3765788800818205</v>
      </c>
      <c r="HB142" s="50">
        <f t="shared" si="304"/>
        <v>3.560896616381147E-2</v>
      </c>
      <c r="HD142" s="14">
        <f t="shared" si="305"/>
        <v>28083</v>
      </c>
      <c r="HE142" s="14">
        <f t="shared" si="306"/>
        <v>31407</v>
      </c>
      <c r="HF142" s="14">
        <f t="shared" si="307"/>
        <v>35553</v>
      </c>
      <c r="HG142" s="14">
        <f t="shared" si="308"/>
        <v>47859</v>
      </c>
      <c r="HH142" s="14">
        <f t="shared" si="309"/>
        <v>58665</v>
      </c>
      <c r="HI142" s="14">
        <f t="shared" si="310"/>
        <v>3241903</v>
      </c>
      <c r="HL142" s="14">
        <f t="shared" si="311"/>
        <v>430050</v>
      </c>
      <c r="HM142" s="50">
        <f t="shared" si="219"/>
        <v>0.11711751212501903</v>
      </c>
      <c r="HO142" s="14">
        <f t="shared" si="312"/>
        <v>3671953</v>
      </c>
    </row>
    <row r="143" spans="11:223" x14ac:dyDescent="0.2">
      <c r="K143" s="14">
        <v>138</v>
      </c>
      <c r="L143" s="12">
        <f>求节点(节奏总纲!D$4:D$163,标准城池设计!AB$4:AB$163,$K143)*求节点(节奏总纲!D$4:D$163,攻城基础信息!$AC$5:$AC$164,$K143)</f>
        <v>551353.39859107847</v>
      </c>
      <c r="M143" s="12">
        <f>INDEX(其他调用!$AA$5:$AA$404,MATCH(K143,其他调用!$X$5:$X$404,0))*MIN(INDEX(其他调用!$AH$5:$AH$364,MATCH('征服点（新）'!K143,其他调用!$AG$5:$AG$364,0),1)/INDEX(其他调用!$AJ$5:$AJ$364,MATCH(K143,其他调用!$AG$5:$AG$364,0),0),5)*求节点(节奏总纲!D$4:D$163,攻城基础信息!$AC$5:$AC$164,$K143)</f>
        <v>45293.718316016217</v>
      </c>
      <c r="N143" s="12">
        <f>MIN(INDEX(其他调用!$AH$5:$AH$364,MATCH($K143,其他调用!$AG$5:$AG$364,0),1)/INDEX(其他调用!AH$5:AH$364,MATCH($K143,其他调用!$AG$5:$AG$364,0),0),1)*INDEX(其他调用!Y$5:Y$404,MATCH($K143,其他调用!$X$5:$X$404,0),0)</f>
        <v>37997.477879375612</v>
      </c>
      <c r="O143" s="12">
        <f>MIN(INDEX(其他调用!$AH$5:$AH$364,MATCH($K143,其他调用!$AG$5:$AG$364,0),1)/INDEX(其他调用!AI$5:AI$364,MATCH($K143,其他调用!$AG$5:$AG$364,0),0),1)*INDEX(其他调用!Z$5:Z$404,MATCH($K143,其他调用!$X$5:$X$404,0),0)</f>
        <v>23736.532585820725</v>
      </c>
      <c r="P143" s="12">
        <f>MIN(INDEX(其他调用!$AH$5:$AH$364,MATCH($K143,其他调用!$AG$5:$AG$364,0),1)/INDEX(其他调用!AJ$5:AJ$364,MATCH($K143,其他调用!$AG$5:$AG$364,0),0),1)*INDEX(其他调用!AA$5:AA$404,MATCH($K143,其他调用!$X$5:$X$404,0),0)</f>
        <v>14127.19100063157</v>
      </c>
      <c r="Q143" s="12">
        <f>MIN(INDEX(其他调用!$AH$5:$AH$364,MATCH($K143,其他调用!$AG$5:$AG$364,0),1)/INDEX(其他调用!AK$5:AK$364,MATCH($K143,其他调用!$AG$5:$AG$364,0),0),1)*INDEX(其他调用!AB$5:AB$404,MATCH($K143,其他调用!$X$5:$X$404,0),0)</f>
        <v>5538.864911108476</v>
      </c>
      <c r="R143" s="12">
        <f>MIN(INDEX(其他调用!$AH$5:$AH$364,MATCH($K143,其他调用!$AG$5:$AG$364,0),1)/INDEX(其他调用!AL$5:AL$364,MATCH($K143,其他调用!$AG$5:$AG$364,0),0),1)*INDEX(其他调用!AC$5:AC$404,MATCH($K143,其他调用!$X$5:$X$404,0),0)</f>
        <v>1837.5363363232304</v>
      </c>
      <c r="S143" s="12">
        <f>求节点(节奏总纲!D$4:D$163,标准城池设计!AC$4:AC$163,$K143)*求节点(节奏总纲!D$4:D$163,攻城基础信息!$AD$5:$AD$164,$K143)</f>
        <v>592821.84791061655</v>
      </c>
      <c r="T143" s="12">
        <f>INDEX(其他调用!$AA$5:$AA$404,MATCH($K143,其他调用!$X$5:$X$404,0))*MIN(INDEX(其他调用!AI$5:AI$364,MATCH($K143,其他调用!$AG$5:$AG$364,0),1)/INDEX(其他调用!$AJ$5:$AJ$364,MATCH($K143,其他调用!$AG$5:$AG$364,0),0),5)*求节点(节奏总纲!D$4:D$163,攻城基础信息!$AD$5:$AD$164,$K143)</f>
        <v>74696.356552067009</v>
      </c>
      <c r="U143" s="12">
        <f>MIN(INDEX(其他调用!$AI$5:$AI$364,MATCH($K143,其他调用!$AG$5:$AG$364,0),1)/INDEX(其他调用!AH$5:AH$364,MATCH($K143,其他调用!$AG$5:$AG$364,0),0),1)*INDEX(其他调用!Y$5:Y$404,MATCH($K143,其他调用!$X$5:$X$404,0),0)</f>
        <v>37997.477879375612</v>
      </c>
      <c r="V143" s="12">
        <f>MIN(INDEX(其他调用!$AI$5:$AI$364,MATCH($K143,其他调用!$AG$5:$AG$364,0),1)/INDEX(其他调用!AI$5:AI$364,MATCH($K143,其他调用!$AG$5:$AG$364,0),0),1)*INDEX(其他调用!Z$5:Z$404,MATCH($K143,其他调用!$X$5:$X$404,0),0)</f>
        <v>39145.218526103286</v>
      </c>
      <c r="W143" s="12">
        <f>MIN(INDEX(其他调用!$AI$5:$AI$364,MATCH($K143,其他调用!$AG$5:$AG$364,0),1)/INDEX(其他调用!AJ$5:AJ$364,MATCH($K143,其他调用!$AG$5:$AG$364,0),0),1)*INDEX(其他调用!AA$5:AA$404,MATCH($K143,其他调用!$X$5:$X$404,0),0)</f>
        <v>23297.925966241182</v>
      </c>
      <c r="X143" s="12">
        <f>MIN(INDEX(其他调用!$AI$5:$AI$364,MATCH($K143,其他调用!$AG$5:$AG$364,0),1)/INDEX(其他调用!AK$5:AK$364,MATCH($K143,其他调用!$AG$5:$AG$364,0),0),1)*INDEX(其他调用!AB$5:AB$404,MATCH($K143,其他调用!$X$5:$X$404,0),0)</f>
        <v>9134.4460926625306</v>
      </c>
      <c r="Y143" s="12">
        <f>MIN(INDEX(其他调用!$AI$5:$AI$364,MATCH($K143,其他调用!$AG$5:$AG$364,0),1)/INDEX(其他调用!AL$5:AL$364,MATCH($K143,其他调用!$AG$5:$AG$364,0),0),1)*INDEX(其他调用!AC$5:AC$404,MATCH($K143,其他调用!$X$5:$X$404,0),0)</f>
        <v>3030.3820145153259</v>
      </c>
      <c r="Z143" s="12">
        <f>求节点(节奏总纲!D$4:D$163,标准城池设计!AD$4:AD$163,$K143)*求节点(节奏总纲!D$4:D$163,攻城基础信息!$AE$5:$AE$164,$K143)</f>
        <v>634544.50082418055</v>
      </c>
      <c r="AA143" s="12">
        <f>INDEX(其他调用!$AA$5:$AA$404,MATCH($K143,其他调用!$X$5:$X$404,0))*MIN(INDEX(其他调用!AJ$5:AJ$364,MATCH($K143,其他调用!$AG$5:$AG$364,0),1)/INDEX(其他调用!$AJ$5:$AJ$364,MATCH($K143,其他调用!$AG$5:$AG$364,0),0),5)*求节点(节奏总纲!D$4:D$163,攻城基础信息!$AE$5:$AE$164,$K143)</f>
        <v>130344.52953388324</v>
      </c>
      <c r="AB143" s="12">
        <f>MIN(INDEX(其他调用!$AJ$5:$AJ$364,MATCH($K143,其他调用!$AG$5:$AG$364,0),1)/INDEX(其他调用!AH$5:AH$364,MATCH($K143,其他调用!$AG$5:$AG$364,0),0),1)*INDEX(其他调用!Y$5:Y$404,MATCH($K143,其他调用!$X$5:$X$404,0),0)</f>
        <v>37997.477879375612</v>
      </c>
      <c r="AC143" s="12">
        <f>MIN(INDEX(其他调用!$AJ$5:$AJ$364,MATCH($K143,其他调用!$AG$5:$AG$364,0),1)/INDEX(其他调用!AI$5:AI$364,MATCH($K143,其他调用!$AG$5:$AG$364,0),0),1)*INDEX(其他调用!Z$5:Z$404,MATCH($K143,其他调用!$X$5:$X$404,0),0)</f>
        <v>39145.218526103286</v>
      </c>
      <c r="AD143" s="12">
        <f>MIN(INDEX(其他调用!$AJ$5:$AJ$364,MATCH($K143,其他调用!$AG$5:$AG$364,0),1)/INDEX(其他调用!AJ$5:AJ$364,MATCH($K143,其他调用!$AG$5:$AG$364,0),0),1)*INDEX(其他调用!AA$5:AA$404,MATCH($K143,其他调用!$X$5:$X$404,0),0)</f>
        <v>40654.689724634438</v>
      </c>
      <c r="AE143" s="12">
        <f>MIN(INDEX(其他调用!$AJ$5:$AJ$364,MATCH($K143,其他调用!$AG$5:$AG$364,0),1)/INDEX(其他调用!AK$5:AK$364,MATCH($K143,其他调用!$AG$5:$AG$364,0),0),1)*INDEX(其他调用!AB$5:AB$404,MATCH($K143,其他调用!$X$5:$X$404,0),0)</f>
        <v>15939.533512197368</v>
      </c>
      <c r="AF143" s="12">
        <f>MIN(INDEX(其他调用!$AJ$5:$AJ$364,MATCH($K143,其他调用!$AG$5:$AG$364,0),1)/INDEX(其他调用!AL$5:AL$364,MATCH($K143,其他调用!$AG$5:$AG$364,0),0),1)*INDEX(其他调用!AC$5:AC$404,MATCH($K143,其他调用!$X$5:$X$404,0),0)</f>
        <v>5287.9917605433884</v>
      </c>
      <c r="AG143" s="12">
        <f>求节点(节奏总纲!D$4:D$163,标准城池设计!AE$4:AE$163,$K143)*求节点(节奏总纲!D$4:D$163,攻城基础信息!$AF$5:$AF$164,$K143)</f>
        <v>726511.34359125094</v>
      </c>
      <c r="AH143" s="12">
        <f>INDEX(其他调用!$AA$5:$AA$404,MATCH($K143,其他调用!$X$5:$X$404,0))*MIN(INDEX(其他调用!AK$5:AK$364,MATCH($K143,其他调用!$AG$5:$AG$364,0),1)/INDEX(其他调用!$AJ$5:$AJ$364,MATCH($K143,其他调用!$AG$5:$AG$364,0),0),5)*求节点(节奏总纲!D$4:D$163,攻城基础信息!$AF$5:$AF$164,$K143)</f>
        <v>350363.57143902703</v>
      </c>
      <c r="AI143" s="12">
        <f>MIN(INDEX(其他调用!$AK$5:$AK$364,MATCH($K143,其他调用!$AG$5:$AG$364,0),1)/INDEX(其他调用!AH$5:AH$364,MATCH($K143,其他调用!$AG$5:$AG$364,0),0),1)*INDEX(其他调用!Y$5:Y$404,MATCH($K143,其他调用!$X$5:$X$404,0),0)</f>
        <v>37997.477879375612</v>
      </c>
      <c r="AJ143" s="12">
        <f>MIN(INDEX(其他调用!$AK$5:$AK$364,MATCH($K143,其他调用!$AG$5:$AG$364,0),1)/INDEX(其他调用!AI$5:AI$364,MATCH($K143,其他调用!$AG$5:$AG$364,0),0),1)*INDEX(其他调用!Z$5:Z$404,MATCH($K143,其他调用!$X$5:$X$404,0),0)</f>
        <v>39145.218526103286</v>
      </c>
      <c r="AK143" s="12">
        <f>MIN(INDEX(其他调用!$AK$5:$AK$364,MATCH($K143,其他调用!$AG$5:$AG$364,0),1)/INDEX(其他调用!AJ$5:AJ$364,MATCH($K143,其他调用!$AG$5:$AG$364,0),0),1)*INDEX(其他调用!AA$5:AA$404,MATCH($K143,其他调用!$X$5:$X$404,0),0)</f>
        <v>40654.689724634438</v>
      </c>
      <c r="AL143" s="12">
        <f>MIN(INDEX(其他调用!$AK$5:$AK$364,MATCH($K143,其他调用!$AG$5:$AG$364,0),1)/INDEX(其他调用!AK$5:AK$364,MATCH($K143,其他调用!$AG$5:$AG$364,0),0),1)*INDEX(其他调用!AB$5:AB$404,MATCH($K143,其他调用!$X$5:$X$404,0),0)</f>
        <v>42845.157432969172</v>
      </c>
      <c r="AM143" s="12">
        <f>MIN(INDEX(其他调用!$AK$5:$AK$364,MATCH($K143,其他调用!$AG$5:$AG$364,0),1)/INDEX(其他调用!AL$5:AL$364,MATCH($K143,其他调用!$AG$5:$AG$364,0),0),1)*INDEX(其他调用!AC$5:AC$404,MATCH($K143,其他调用!$X$5:$X$404,0),0)</f>
        <v>14214.019457429647</v>
      </c>
      <c r="AN143" s="12">
        <f>求节点(节奏总纲!D$4:D$163,标准城池设计!AF$4:AF$163,$K143)*求节点(节奏总纲!D$4:D$163,攻城基础信息!$AG$5:$AG$164,$K143)</f>
        <v>728073.68302057288</v>
      </c>
      <c r="AO143" s="12">
        <f>INDEX(其他调用!$AA$5:$AA$404,MATCH($K143,其他调用!$X$5:$X$404,0))*MIN(INDEX(其他调用!AL$5:AL$364,MATCH($K143,其他调用!$AG$5:$AG$364,0),1)/INDEX(其他调用!$AJ$5:$AJ$364,MATCH($K143,其他调用!$AG$5:$AG$364,0),0),5)*求节点(节奏总纲!D$4:D$163,攻城基础信息!$AG$5:$AG$164,$K143)</f>
        <v>651722.64766941615</v>
      </c>
      <c r="AP143" s="12">
        <f>MIN(INDEX(其他调用!$AL$5:$AL$364,MATCH($K143,其他调用!$AG$5:$AG$364,0),1)/INDEX(其他调用!AH$5:AH$364,MATCH($K143,其他调用!$AG$5:$AG$364,0),0),1)*INDEX(其他调用!Y$5:Y$404,MATCH($K143,其他调用!$X$5:$X$404,0),0)</f>
        <v>37997.477879375612</v>
      </c>
      <c r="AQ143" s="12">
        <f>MIN(INDEX(其他调用!$AL$5:$AL$364,MATCH($K143,其他调用!$AG$5:$AG$364,0),1)/INDEX(其他调用!AI$5:AI$364,MATCH($K143,其他调用!$AG$5:$AG$364,0),0),1)*INDEX(其他调用!Z$5:Z$404,MATCH($K143,其他调用!$X$5:$X$404,0),0)</f>
        <v>39145.218526103286</v>
      </c>
      <c r="AR143" s="12">
        <f>MIN(INDEX(其他调用!$AL$5:$AL$364,MATCH($K143,其他调用!$AG$5:$AG$364,0),1)/INDEX(其他调用!AJ$5:AJ$364,MATCH($K143,其他调用!$AG$5:$AG$364,0),0),1)*INDEX(其他调用!AA$5:AA$404,MATCH($K143,其他调用!$X$5:$X$404,0),0)</f>
        <v>40654.689724634438</v>
      </c>
      <c r="AS143" s="12">
        <f>MIN(INDEX(其他调用!$AL$5:$AL$364,MATCH($K143,其他调用!$AG$5:$AG$364,0),1)/INDEX(其他调用!AK$5:AK$364,MATCH($K143,其他调用!$AG$5:$AG$364,0),0),1)*INDEX(其他调用!AB$5:AB$404,MATCH($K143,其他调用!$X$5:$X$404,0),0)</f>
        <v>42845.157432969172</v>
      </c>
      <c r="AT143" s="12">
        <f>MIN(INDEX(其他调用!$AL$5:$AL$364,MATCH($K143,其他调用!$AG$5:$AG$364,0),1)/INDEX(其他调用!AL$5:AL$364,MATCH($K143,其他调用!$AG$5:$AG$364,0),0),1)*INDEX(其他调用!AC$5:AC$404,MATCH($K143,其他调用!$X$5:$X$404,0),0)</f>
        <v>46777.40312179389</v>
      </c>
      <c r="AV143" s="14">
        <f>IF(OR(AV$5="大R",AV$5="超R"),MAX(INDEX(其他调用!$H$5:$L$404,MATCH($K143,其他调用!$B$5:$B$404,0),MATCH(AV$5,其他调用!$H$4:$L$4,0))*120*0.85,2),INDEX(其他调用!$H$5:$L$404,MATCH($K143,其他调用!$B$5:$B$404,0),MATCH(AV$5,其他调用!$H$4:$L$4,0))*120*0.85)</f>
        <v>48.921801254999991</v>
      </c>
      <c r="AW143" s="14">
        <f>IF(OR(AW$5="大R",AW$5="超R"),MAX(INDEX(其他调用!$H$5:$L$404,MATCH($K143,其他调用!$B$5:$B$404,0),MATCH(AW$5,其他调用!$H$4:$L$4,0))*120*0.85,2),INDEX(其他调用!$H$5:$L$404,MATCH($K143,其他调用!$B$5:$B$404,0),MATCH(AW$5,其他调用!$H$4:$L$4,0))*120*0.85)</f>
        <v>48.237344010638395</v>
      </c>
      <c r="AX143" s="14">
        <f>IF(OR(AX$5="大R",AX$5="超R"),MAX(INDEX(其他调用!$H$5:$L$404,MATCH($K143,其他调用!$B$5:$B$404,0),MATCH(AX$5,其他调用!$H$4:$L$4,0))*120*0.85,2),INDEX(其他调用!$H$5:$L$404,MATCH($K143,其他调用!$B$5:$B$404,0),MATCH(AX$5,其他调用!$H$4:$L$4,0))*120*0.85)</f>
        <v>3.9376284143615998</v>
      </c>
      <c r="AY143" s="14">
        <f>IF(OR(AY$5="大R",AY$5="超R"),MAX(INDEX(其他调用!$H$5:$L$404,MATCH($K143,其他调用!$B$5:$B$404,0),MATCH(AY$5,其他调用!$H$4:$L$4,0))*120*0.85,2),INDEX(其他调用!$H$5:$L$404,MATCH($K143,其他调用!$B$5:$B$404,0),MATCH(AY$5,其他调用!$H$4:$L$4,0))*120*0.85)</f>
        <v>2</v>
      </c>
      <c r="AZ143" s="14">
        <f>IF(OR(AZ$5="大R",AZ$5="超R"),MAX(INDEX(其他调用!$H$5:$L$404,MATCH($K143,其他调用!$B$5:$B$404,0),MATCH(AZ$5,其他调用!$H$4:$L$4,0))*120*0.85,2),INDEX(其他调用!$H$5:$L$404,MATCH($K143,其他调用!$B$5:$B$404,0),MATCH(AZ$5,其他调用!$H$4:$L$4,0))*120*0.85)</f>
        <v>2</v>
      </c>
      <c r="BA143" s="14">
        <f>INDEX(其他调用!$H$5:$L$404,MATCH($K143,其他调用!$B$5:$B$404,0),MATCH(BA$5,其他调用!$H$4:$L$4,0))*INDEX(其他调用!$M$5:$M$404,MATCH($K143,其他调用!$B$5:$B$404,0))*0.6</f>
        <v>28.777530149999997</v>
      </c>
      <c r="BB143" s="14">
        <f>INDEX(其他调用!$H$5:$L$404,MATCH($K143,其他调用!$B$5:$B$404,0),MATCH(BB$5,其他调用!$H$4:$L$4,0))*INDEX(其他调用!$M$5:$M$404,MATCH($K143,其他调用!$B$5:$B$404,0))*0.6</f>
        <v>28.374908241551999</v>
      </c>
      <c r="BC143" s="14">
        <f>INDEX(其他调用!$H$5:$L$404,MATCH($K143,其他调用!$B$5:$B$404,0),MATCH(BC$5,其他调用!$H$4:$L$4,0))*INDEX(其他调用!$M$5:$M$404,MATCH($K143,其他调用!$B$5:$B$404,0))*0.6</f>
        <v>2.3162520084480001</v>
      </c>
      <c r="BD143" s="14">
        <f>INDEX(其他调用!$H$5:$L$404,MATCH($K143,其他调用!$B$5:$B$404,0),MATCH(BD$5,其他调用!$H$4:$L$4,0))*INDEX(其他调用!$M$5:$M$404,MATCH($K143,其他调用!$B$5:$B$404,0))*0.6</f>
        <v>0.4120776000000001</v>
      </c>
      <c r="BE143" s="14">
        <f>INDEX(其他调用!$H$5:$L$404,MATCH($K143,其他调用!$B$5:$B$404,0),MATCH(BE$5,其他调用!$H$4:$L$4,0))*INDEX(其他调用!$M$5:$M$404,MATCH($K143,其他调用!$B$5:$B$404,0))*0.6</f>
        <v>0.11923199999999998</v>
      </c>
      <c r="BF143" s="14">
        <f>IF(OR(BF$5="大R",BF$5="超R"),0,INDEX(其他调用!$H$5:$L$404,MATCH($K143,其他调用!$B$5:$B$404,0),MATCH(BF$5,其他调用!$H$4:$L$4,0))*50*0.4)</f>
        <v>9.5925100500000013</v>
      </c>
      <c r="BG143" s="14">
        <f>IF(OR(BG$5="大R",BG$5="超R"),0,INDEX(其他调用!$H$5:$L$404,MATCH($K143,其他调用!$B$5:$B$404,0),MATCH(BG$5,其他调用!$H$4:$L$4,0))*50*0.4)</f>
        <v>9.4583027471839998</v>
      </c>
      <c r="BH143" s="14">
        <f>IF(OR(BH$5="大R",BH$5="超R"),0,INDEX(其他调用!$H$5:$L$404,MATCH($K143,其他调用!$B$5:$B$404,0),MATCH(BH$5,其他调用!$H$4:$L$4,0))*50*0.4)</f>
        <v>0.77208400281600009</v>
      </c>
      <c r="BI143" s="14">
        <f>IF(OR(BI$5="大R",BI$5="超R"),0,INDEX(其他调用!$H$5:$L$404,MATCH($K143,其他调用!$B$5:$B$404,0),MATCH(BI$5,其他调用!$H$4:$L$4,0))*50*0.4)</f>
        <v>0</v>
      </c>
      <c r="BJ143" s="14">
        <f>IF(OR(BJ$5="大R",BJ$5="超R"),0,INDEX(其他调用!$H$5:$L$404,MATCH($K143,其他调用!$B$5:$B$404,0),MATCH(BJ$5,其他调用!$H$4:$L$4,0))*50*0.4)</f>
        <v>0</v>
      </c>
      <c r="BL143" s="14">
        <f t="shared" si="313"/>
        <v>138</v>
      </c>
      <c r="BM143" s="14">
        <f t="shared" si="220"/>
        <v>96</v>
      </c>
      <c r="BN143" s="14">
        <f>('疲劳值&amp;地图信息'!$S$10*'疲劳值&amp;地图信息'!$R$10+'疲劳值&amp;地图信息'!$S$11*'疲劳值&amp;地图信息'!$R$11+'疲劳值&amp;地图信息'!$S$12*'疲劳值&amp;地图信息'!$R$12+(BM143-'疲劳值&amp;地图信息'!$S$12-'疲劳值&amp;地图信息'!$S$11-'疲劳值&amp;地图信息'!$S$10)*'疲劳值&amp;地图信息'!$R$13)/BM143</f>
        <v>51.371477246638619</v>
      </c>
      <c r="BO143" s="14">
        <f>INDEX(其他调用!$M$5:$M$404,MATCH(BL143,其他调用!$B$5:$B$404,0))*0.6</f>
        <v>60</v>
      </c>
      <c r="BP143" s="14">
        <f>IF(BO143&gt;SUM('疲劳值&amp;地图信息'!$S$10:$S$12),('疲劳值&amp;地图信息'!$S$10*'疲劳值&amp;地图信息'!$R$10+'疲劳值&amp;地图信息'!$S$11*'疲劳值&amp;地图信息'!$R$11+'疲劳值&amp;地图信息'!$S$12*'疲劳值&amp;地图信息'!$R$12+(BO143-'疲劳值&amp;地图信息'!$S$12-'疲劳值&amp;地图信息'!$S$11-'疲劳值&amp;地图信息'!$S$10)*'疲劳值&amp;地图信息'!$R$13)/BO143,('疲劳值&amp;地图信息'!$S$10*'疲劳值&amp;地图信息'!$R$10+'疲劳值&amp;地图信息'!$S$11*'疲劳值&amp;地图信息'!$R$11+'疲劳值&amp;地图信息'!$S$12*'疲劳值&amp;地图信息'!$R$12+(BO143-'疲劳值&amp;地图信息'!$S$12-'疲劳值&amp;地图信息'!$S$11-'疲劳值&amp;地图信息'!$S$10)*'疲劳值&amp;地图信息'!$R$13)/BO143)</f>
        <v>44.158136341605953</v>
      </c>
      <c r="BQ143" s="14">
        <f t="shared" si="314"/>
        <v>20</v>
      </c>
      <c r="BR143" s="14">
        <f>('疲劳值&amp;地图信息'!$S$10*'疲劳值&amp;地图信息'!$R$10+($BQ143-'疲劳值&amp;地图信息'!$S$10)*'疲劳值&amp;地图信息'!$R$11)/$BQ143</f>
        <v>32.067203015074995</v>
      </c>
      <c r="CF143" s="14">
        <v>138</v>
      </c>
      <c r="CG143" s="51">
        <f t="shared" si="221"/>
        <v>11237</v>
      </c>
      <c r="CH143" s="51">
        <f t="shared" si="222"/>
        <v>923</v>
      </c>
      <c r="CI143" s="51">
        <f>INT(SUMPRODUCT($N143:$R143,$BA143:$BE143)/SUM($BA143:$BE143)/10000*$BX$7*$BZ$34/'疲劳值&amp;地图信息'!$R$10*$BY$53)</f>
        <v>3047</v>
      </c>
      <c r="CJ143" s="50">
        <f t="shared" si="223"/>
        <v>0.7389360163082791</v>
      </c>
      <c r="CK143" s="50">
        <f t="shared" si="224"/>
        <v>6.0695732228578943E-2</v>
      </c>
      <c r="CL143" s="50">
        <f t="shared" si="225"/>
        <v>0.20036825146314197</v>
      </c>
      <c r="CM143" s="14">
        <f t="shared" si="226"/>
        <v>12082</v>
      </c>
      <c r="CN143" s="14">
        <f t="shared" si="227"/>
        <v>1522</v>
      </c>
      <c r="CO143" s="14">
        <f>INT(SUMPRODUCT($U143:$Y143,$BA143:$BE143)/SUM($BA143:$BE143)/10000*$BX$7*$BZ$34/'疲劳值&amp;地图信息'!$R$10*$BY$54)</f>
        <v>5738</v>
      </c>
      <c r="CP143" s="50">
        <f t="shared" si="228"/>
        <v>0.62465101850894422</v>
      </c>
      <c r="CQ143" s="50">
        <f t="shared" si="229"/>
        <v>7.8688863612863202E-2</v>
      </c>
      <c r="CR143" s="50">
        <f t="shared" si="230"/>
        <v>0.29666011787819252</v>
      </c>
      <c r="CS143" s="14">
        <f t="shared" si="231"/>
        <v>12932</v>
      </c>
      <c r="CT143" s="14">
        <f t="shared" si="232"/>
        <v>2656</v>
      </c>
      <c r="CU143" s="14">
        <f>INT(SUMPRODUCT($AB143:$AF143,$BA143:$BE143)/SUM($BA143:$BE143)/10000*$BX$7*$BZ$34/'疲劳值&amp;地图信息'!$R$10*$BY$55)</f>
        <v>7798</v>
      </c>
      <c r="CV143" s="50">
        <f t="shared" si="233"/>
        <v>0.55298041563328482</v>
      </c>
      <c r="CW143" s="50">
        <f t="shared" si="234"/>
        <v>0.11357222269734028</v>
      </c>
      <c r="CX143" s="50">
        <f t="shared" si="235"/>
        <v>0.33344736166937483</v>
      </c>
      <c r="CY143" s="14">
        <f t="shared" si="236"/>
        <v>14807</v>
      </c>
      <c r="CZ143" s="14">
        <f t="shared" si="237"/>
        <v>7140</v>
      </c>
      <c r="DA143" s="14">
        <f>INT(SUMPRODUCT($AI143:$AM143,$BA143:$BE143)/SUM($BA143:$BE143)/10000*$BX$7*$BZ$34/'疲劳值&amp;地图信息'!$R$10*$BY$56)</f>
        <v>11758</v>
      </c>
      <c r="DB143" s="50">
        <f t="shared" si="238"/>
        <v>0.4393116748256935</v>
      </c>
      <c r="DC143" s="50">
        <f t="shared" si="239"/>
        <v>0.21183800623052959</v>
      </c>
      <c r="DD143" s="50">
        <f t="shared" si="240"/>
        <v>0.34885031894377688</v>
      </c>
      <c r="DE143" s="14">
        <f t="shared" si="241"/>
        <v>14839</v>
      </c>
      <c r="DF143" s="14">
        <f t="shared" si="242"/>
        <v>13282</v>
      </c>
      <c r="DG143" s="14">
        <f>INT(SUMPRODUCT($AP143:$AT143,$BA143:$BE143)/SUM($BA143:$BE143)/10000*$BX$7*$BZ$34/'疲劳值&amp;地图信息'!$R$10*$BY$57)</f>
        <v>15704</v>
      </c>
      <c r="DH143" s="50">
        <f t="shared" si="243"/>
        <v>0.33859669138619508</v>
      </c>
      <c r="DI143" s="50">
        <f t="shared" si="244"/>
        <v>0.30306902452937823</v>
      </c>
      <c r="DJ143" s="50">
        <f t="shared" si="245"/>
        <v>0.35833428408442669</v>
      </c>
      <c r="DL143" s="14">
        <f t="shared" ref="DL143:DL206" si="316">SUM(CG143:CI143)</f>
        <v>15207</v>
      </c>
      <c r="DM143" s="14">
        <f t="shared" ref="DM143:DM206" si="317">SUM(CM143:CO143)</f>
        <v>19342</v>
      </c>
      <c r="DN143" s="14">
        <f t="shared" ref="DN143:DN206" si="318">SUM(CS143:CU143)</f>
        <v>23386</v>
      </c>
      <c r="DO143" s="14">
        <f t="shared" ref="DO143:DO206" si="319">SUM(CY143:DA143)</f>
        <v>33705</v>
      </c>
      <c r="DP143" s="14">
        <f t="shared" ref="DP143:DP206" si="320">SUM(DE143:DG143)</f>
        <v>43825</v>
      </c>
      <c r="DQ143" s="14">
        <f t="shared" ref="DQ143:DQ206" si="321">INT(SUMPRODUCT(DL143:DP143,$BA143:$BE143))</f>
        <v>1059729</v>
      </c>
      <c r="DT143" s="14">
        <f t="shared" si="315"/>
        <v>235575</v>
      </c>
      <c r="DU143" s="50">
        <f t="shared" si="217"/>
        <v>0.18186850345555947</v>
      </c>
      <c r="DW143" s="14">
        <f t="shared" si="246"/>
        <v>1295304</v>
      </c>
      <c r="EB143" s="14">
        <v>138</v>
      </c>
      <c r="EC143" s="51">
        <f t="shared" si="247"/>
        <v>18728</v>
      </c>
      <c r="ED143" s="51">
        <f t="shared" si="248"/>
        <v>1538</v>
      </c>
      <c r="EE143" s="51">
        <f>INT(SUMPRODUCT($N143:$R143,$BF143:$BJ143)/SUM($BF143:$BJ143)/10000*$BX$7*$BZ$46/'疲劳值&amp;地图信息'!$R$10*$BY$53)</f>
        <v>409</v>
      </c>
      <c r="EF143" s="50">
        <f t="shared" si="249"/>
        <v>0.90582829504232165</v>
      </c>
      <c r="EG143" s="50">
        <f t="shared" si="250"/>
        <v>7.4389359129383312E-2</v>
      </c>
      <c r="EH143" s="50">
        <f t="shared" si="251"/>
        <v>1.9782345828295043E-2</v>
      </c>
      <c r="EI143" s="51">
        <f t="shared" si="252"/>
        <v>20137</v>
      </c>
      <c r="EJ143" s="51">
        <f t="shared" si="253"/>
        <v>2537</v>
      </c>
      <c r="EK143" s="14">
        <f>INT(SUMPRODUCT($U143:$Y143,$BF143:$BJ143)/SUM($BF143:$BJ143)/10000*$BX$7*$BZ$46/'疲劳值&amp;地图信息'!$R$10*$BY$54)</f>
        <v>770</v>
      </c>
      <c r="EL143" s="50">
        <f t="shared" si="254"/>
        <v>0.85894045384746631</v>
      </c>
      <c r="EM143" s="50">
        <f t="shared" si="255"/>
        <v>0.10821532161747142</v>
      </c>
      <c r="EN143" s="50">
        <f t="shared" si="256"/>
        <v>3.2844224535062277E-2</v>
      </c>
      <c r="EO143" s="51">
        <f t="shared" si="257"/>
        <v>21554</v>
      </c>
      <c r="EP143" s="51">
        <f t="shared" si="258"/>
        <v>4427</v>
      </c>
      <c r="EQ143" s="14">
        <f>INT(SUMPRODUCT($AB143:$AF143,$BF143:$BJ143)/SUM($BF143:$BJ143)/10000*$BX$7*$BZ$46/'疲劳值&amp;地图信息'!$R$10*$BY$55)</f>
        <v>1045</v>
      </c>
      <c r="ER143" s="50">
        <f t="shared" si="259"/>
        <v>0.79752830607563086</v>
      </c>
      <c r="ES143" s="50">
        <f t="shared" si="260"/>
        <v>0.16380522459853475</v>
      </c>
      <c r="ET143" s="50">
        <f t="shared" si="261"/>
        <v>3.8666469325834382E-2</v>
      </c>
      <c r="EU143" s="51">
        <f t="shared" si="262"/>
        <v>24678</v>
      </c>
      <c r="EV143" s="51">
        <f t="shared" si="263"/>
        <v>11901</v>
      </c>
      <c r="EW143" s="14">
        <f>INT(SUMPRODUCT($AI143:$AM143,$BF143:$BJ143)/SUM($BF143:$BJ143)/10000*$BX$7*$BZ$46/'疲劳值&amp;地图信息'!$R$10*$BY$56)</f>
        <v>1568</v>
      </c>
      <c r="EX143" s="50">
        <f t="shared" si="264"/>
        <v>0.64691849948881952</v>
      </c>
      <c r="EY143" s="50">
        <f t="shared" si="265"/>
        <v>0.31197735077463495</v>
      </c>
      <c r="EZ143" s="50">
        <f t="shared" si="266"/>
        <v>4.110414973654547E-2</v>
      </c>
      <c r="FA143" s="51">
        <f t="shared" si="267"/>
        <v>24731</v>
      </c>
      <c r="FB143" s="51">
        <f t="shared" si="268"/>
        <v>22138</v>
      </c>
      <c r="FC143" s="14">
        <f>INT(SUMPRODUCT($AP143:$AT143,$BF143:$BJ143)/SUM($BF143:$BJ143)/10000*$BX$7*$BZ$46/'疲劳值&amp;地图信息'!$R$10*$BY$57)</f>
        <v>2091</v>
      </c>
      <c r="FD143" s="50">
        <f t="shared" si="269"/>
        <v>0.50512663398692814</v>
      </c>
      <c r="FE143" s="50">
        <f t="shared" si="270"/>
        <v>0.45216503267973857</v>
      </c>
      <c r="FF143" s="50">
        <f t="shared" si="271"/>
        <v>4.2708333333333334E-2</v>
      </c>
      <c r="FH143" s="14">
        <f t="shared" si="272"/>
        <v>20675</v>
      </c>
      <c r="FI143" s="14">
        <f t="shared" si="273"/>
        <v>23444</v>
      </c>
      <c r="FJ143" s="14">
        <f t="shared" si="274"/>
        <v>27026</v>
      </c>
      <c r="FK143" s="14">
        <f t="shared" si="275"/>
        <v>38147</v>
      </c>
      <c r="FL143" s="14">
        <f t="shared" si="276"/>
        <v>48960</v>
      </c>
      <c r="FM143" s="14">
        <f t="shared" si="277"/>
        <v>2422966</v>
      </c>
      <c r="FP143" s="14">
        <f t="shared" si="278"/>
        <v>334150</v>
      </c>
      <c r="FQ143" s="50">
        <f t="shared" si="218"/>
        <v>0.12119548107515245</v>
      </c>
      <c r="FS143" s="14">
        <f t="shared" si="279"/>
        <v>2757116</v>
      </c>
      <c r="FX143" s="14">
        <v>138</v>
      </c>
      <c r="FY143" s="51">
        <f t="shared" si="280"/>
        <v>26220</v>
      </c>
      <c r="FZ143" s="51">
        <f t="shared" si="281"/>
        <v>1538</v>
      </c>
      <c r="GA143" s="51">
        <f>INT(SUMPRODUCT($N143:$R143,$BF143:$BJ143)/SUM($BF143:$BJ143)/10000*$BX$7*$BZ$46/'疲劳值&amp;地图信息'!$R$10*$BY$53)</f>
        <v>409</v>
      </c>
      <c r="GB143" s="50">
        <f t="shared" si="282"/>
        <v>0.93087655767387367</v>
      </c>
      <c r="GC143" s="50">
        <f t="shared" si="283"/>
        <v>5.4602904107643693E-2</v>
      </c>
      <c r="GD143" s="50">
        <f t="shared" si="284"/>
        <v>1.4520538218482622E-2</v>
      </c>
      <c r="GE143" s="51">
        <f t="shared" si="285"/>
        <v>28192</v>
      </c>
      <c r="GF143" s="51">
        <f t="shared" si="286"/>
        <v>2537</v>
      </c>
      <c r="GG143" s="14">
        <f>INT(SUMPRODUCT($U143:$Y143,$BF143:$BJ143)/SUM($BF143:$BJ143)/10000*$BX$7*$BZ$46/'疲劳值&amp;地图信息'!$R$10*$BY$54)</f>
        <v>770</v>
      </c>
      <c r="GH143" s="50">
        <f t="shared" si="287"/>
        <v>0.89501254008063746</v>
      </c>
      <c r="GI143" s="50">
        <f t="shared" si="288"/>
        <v>8.0542239436172572E-2</v>
      </c>
      <c r="GJ143" s="50">
        <f t="shared" si="289"/>
        <v>2.4445220483189943E-2</v>
      </c>
      <c r="GK143" s="51">
        <f t="shared" si="290"/>
        <v>30176</v>
      </c>
      <c r="GL143" s="51">
        <f t="shared" si="291"/>
        <v>4427</v>
      </c>
      <c r="GM143" s="14">
        <f>INT(SUMPRODUCT($AB143:$AF143,$BF143:$BJ143)/SUM($BF143:$BJ143)/10000*$BX$7*$BZ$46/'疲劳值&amp;地图信息'!$R$10*$BY$55)</f>
        <v>1045</v>
      </c>
      <c r="GN143" s="50">
        <f t="shared" si="292"/>
        <v>0.84649910233393177</v>
      </c>
      <c r="GO143" s="50">
        <f t="shared" si="293"/>
        <v>0.12418649012567325</v>
      </c>
      <c r="GP143" s="50">
        <f t="shared" si="294"/>
        <v>2.9314407540394972E-2</v>
      </c>
      <c r="GQ143" s="51">
        <f t="shared" si="295"/>
        <v>34550</v>
      </c>
      <c r="GR143" s="51">
        <f t="shared" si="296"/>
        <v>11901</v>
      </c>
      <c r="GS143" s="14">
        <f>INT(SUMPRODUCT($AI143:$AM143,$BF143:$BJ143)/SUM($BF143:$BJ143)/10000*$BX$7*$BZ$46/'疲劳值&amp;地图信息'!$R$10*$BY$56)</f>
        <v>1568</v>
      </c>
      <c r="GT143" s="50">
        <f t="shared" si="297"/>
        <v>0.71950686186717761</v>
      </c>
      <c r="GU143" s="50">
        <f t="shared" si="298"/>
        <v>0.24783939690539161</v>
      </c>
      <c r="GV143" s="50">
        <f t="shared" si="299"/>
        <v>3.265374122743081E-2</v>
      </c>
      <c r="GW143" s="51">
        <f t="shared" si="300"/>
        <v>34624</v>
      </c>
      <c r="GX143" s="51">
        <f t="shared" si="301"/>
        <v>22138</v>
      </c>
      <c r="GY143" s="14">
        <f>INT(SUMPRODUCT($AP143:$AT143,$BF143:$BJ143)/SUM($BF143:$BJ143)/10000*$BX$7*$BZ$46/'疲劳值&amp;地图信息'!$R$10*$BY$57)</f>
        <v>2091</v>
      </c>
      <c r="GZ143" s="50">
        <f t="shared" si="302"/>
        <v>0.58831325505921528</v>
      </c>
      <c r="HA143" s="50">
        <f t="shared" si="303"/>
        <v>0.37615754506992</v>
      </c>
      <c r="HB143" s="50">
        <f t="shared" si="304"/>
        <v>3.5529199870864697E-2</v>
      </c>
      <c r="HD143" s="14">
        <f t="shared" si="305"/>
        <v>28167</v>
      </c>
      <c r="HE143" s="14">
        <f t="shared" si="306"/>
        <v>31499</v>
      </c>
      <c r="HF143" s="14">
        <f t="shared" si="307"/>
        <v>35648</v>
      </c>
      <c r="HG143" s="14">
        <f t="shared" si="308"/>
        <v>48019</v>
      </c>
      <c r="HH143" s="14">
        <f t="shared" si="309"/>
        <v>58853</v>
      </c>
      <c r="HI143" s="14">
        <f t="shared" si="310"/>
        <v>3251521</v>
      </c>
      <c r="HL143" s="14">
        <f t="shared" si="311"/>
        <v>430050</v>
      </c>
      <c r="HM143" s="50">
        <f t="shared" si="219"/>
        <v>0.11681154594057809</v>
      </c>
      <c r="HO143" s="14">
        <f t="shared" si="312"/>
        <v>3681571</v>
      </c>
    </row>
    <row r="144" spans="11:223" x14ac:dyDescent="0.2">
      <c r="K144" s="14">
        <v>139</v>
      </c>
      <c r="L144" s="12">
        <f>求节点(节奏总纲!D$4:D$163,标准城池设计!AB$4:AB$163,$K144)*求节点(节奏总纲!D$4:D$163,攻城基础信息!$AC$5:$AC$164,$K144)</f>
        <v>553055.70354924852</v>
      </c>
      <c r="M144" s="12">
        <f>INDEX(其他调用!$AA$5:$AA$404,MATCH(K144,其他调用!$X$5:$X$404,0))*MIN(INDEX(其他调用!$AH$5:$AH$364,MATCH('征服点（新）'!K144,其他调用!$AG$5:$AG$364,0),1)/INDEX(其他调用!$AJ$5:$AJ$364,MATCH(K144,其他调用!$AG$5:$AG$364,0),0),5)*求节点(节奏总纲!D$4:D$163,攻城基础信息!$AC$5:$AC$164,$K144)</f>
        <v>45363.457162014471</v>
      </c>
      <c r="N144" s="12">
        <f>MIN(INDEX(其他调用!$AH$5:$AH$364,MATCH($K144,其他调用!$AG$5:$AG$364,0),1)/INDEX(其他调用!AH$5:AH$364,MATCH($K144,其他调用!$AG$5:$AG$364,0),0),1)*INDEX(其他调用!Y$5:Y$404,MATCH($K144,其他调用!$X$5:$X$404,0),0)</f>
        <v>38037.636607473047</v>
      </c>
      <c r="O144" s="12">
        <f>MIN(INDEX(其他调用!$AH$5:$AH$364,MATCH($K144,其他调用!$AG$5:$AG$364,0),1)/INDEX(其他调用!AI$5:AI$364,MATCH($K144,其他调用!$AG$5:$AG$364,0),0),1)*INDEX(其他调用!Z$5:Z$404,MATCH($K144,其他调用!$X$5:$X$404,0),0)</f>
        <v>23772.52670603658</v>
      </c>
      <c r="P144" s="12">
        <f>MIN(INDEX(其他调用!$AH$5:$AH$364,MATCH($K144,其他调用!$AG$5:$AG$364,0),1)/INDEX(其他调用!AJ$5:AJ$364,MATCH($K144,其他调用!$AG$5:$AG$364,0),0),1)*INDEX(其他调用!AA$5:AA$404,MATCH($K144,其他调用!$X$5:$X$404,0),0)</f>
        <v>14134.018665460064</v>
      </c>
      <c r="Q144" s="12">
        <f>MIN(INDEX(其他调用!$AH$5:$AH$364,MATCH($K144,其他调用!$AG$5:$AG$364,0),1)/INDEX(其他调用!AK$5:AK$364,MATCH($K144,其他调用!$AG$5:$AG$364,0),0),1)*INDEX(其他调用!AB$5:AB$404,MATCH($K144,其他调用!$X$5:$X$404,0),0)</f>
        <v>5526.3918490804308</v>
      </c>
      <c r="R144" s="12">
        <f>MIN(INDEX(其他调用!$AH$5:$AH$364,MATCH($K144,其他调用!$AG$5:$AG$364,0),1)/INDEX(其他调用!AL$5:AL$364,MATCH($K144,其他调用!$AG$5:$AG$364,0),0),1)*INDEX(其他调用!AC$5:AC$404,MATCH($K144,其他调用!$X$5:$X$404,0),0)</f>
        <v>1843.7012430403759</v>
      </c>
      <c r="S144" s="12">
        <f>求节点(节奏总纲!D$4:D$163,标准城池设计!AC$4:AC$163,$K144)*求节点(节奏总纲!D$4:D$163,攻城基础信息!$AD$5:$AD$164,$K144)</f>
        <v>594676.5697222664</v>
      </c>
      <c r="T144" s="12">
        <f>INDEX(其他调用!$AA$5:$AA$404,MATCH($K144,其他调用!$X$5:$X$404,0))*MIN(INDEX(其他调用!AI$5:AI$364,MATCH($K144,其他调用!$AG$5:$AG$364,0),1)/INDEX(其他调用!$AJ$5:$AJ$364,MATCH($K144,其他调用!$AG$5:$AG$364,0),0),5)*求节点(节奏总纲!D$4:D$163,攻城基础信息!$AD$5:$AD$164,$K144)</f>
        <v>74778.333975877249</v>
      </c>
      <c r="U144" s="12">
        <f>MIN(INDEX(其他调用!$AI$5:$AI$364,MATCH($K144,其他调用!$AG$5:$AG$364,0),1)/INDEX(其他调用!AH$5:AH$364,MATCH($K144,其他调用!$AG$5:$AG$364,0),0),1)*INDEX(其他调用!Y$5:Y$404,MATCH($K144,其他调用!$X$5:$X$404,0),0)</f>
        <v>38037.636607473047</v>
      </c>
      <c r="V144" s="12">
        <f>MIN(INDEX(其他调用!$AI$5:$AI$364,MATCH($K144,其他调用!$AG$5:$AG$364,0),1)/INDEX(其他调用!AI$5:AI$364,MATCH($K144,其他调用!$AG$5:$AG$364,0),0),1)*INDEX(其他调用!Z$5:Z$404,MATCH($K144,其他调用!$X$5:$X$404,0),0)</f>
        <v>39187.267741203243</v>
      </c>
      <c r="W144" s="12">
        <f>MIN(INDEX(其他调用!$AI$5:$AI$364,MATCH($K144,其他调用!$AG$5:$AG$364,0),1)/INDEX(其他调用!AJ$5:AJ$364,MATCH($K144,其他调用!$AG$5:$AG$364,0),0),1)*INDEX(其他调用!AA$5:AA$404,MATCH($K144,其他调用!$X$5:$X$404,0),0)</f>
        <v>23298.893741989232</v>
      </c>
      <c r="X144" s="12">
        <f>MIN(INDEX(其他调用!$AI$5:$AI$364,MATCH($K144,其他调用!$AG$5:$AG$364,0),1)/INDEX(其他调用!AK$5:AK$364,MATCH($K144,其他调用!$AG$5:$AG$364,0),0),1)*INDEX(其他调用!AB$5:AB$404,MATCH($K144,其他调用!$X$5:$X$404,0),0)</f>
        <v>9109.8518769452367</v>
      </c>
      <c r="Y144" s="12">
        <f>MIN(INDEX(其他调用!$AI$5:$AI$364,MATCH($K144,其他调用!$AG$5:$AG$364,0),1)/INDEX(其他调用!AL$5:AL$364,MATCH($K144,其他调用!$AG$5:$AG$364,0),0),1)*INDEX(其他调用!AC$5:AC$404,MATCH($K144,其他调用!$X$5:$X$404,0),0)</f>
        <v>3039.206355270011</v>
      </c>
      <c r="Z144" s="12">
        <f>求节点(节奏总纲!D$4:D$163,标准城池设计!AD$4:AD$163,$K144)*求节点(节奏总纲!D$4:D$163,攻城基础信息!$AE$5:$AE$164,$K144)</f>
        <v>636340.92105958413</v>
      </c>
      <c r="AA144" s="12">
        <f>INDEX(其他调用!$AA$5:$AA$404,MATCH($K144,其他调用!$X$5:$X$404,0))*MIN(INDEX(其他调用!AJ$5:AJ$364,MATCH($K144,其他调用!$AG$5:$AG$364,0),1)/INDEX(其他调用!$AJ$5:$AJ$364,MATCH($K144,其他调用!$AG$5:$AG$364,0),0),5)*求节点(节奏总纲!D$4:D$163,攻城基础信息!$AE$5:$AE$164,$K144)</f>
        <v>130615.30997472203</v>
      </c>
      <c r="AB144" s="12">
        <f>MIN(INDEX(其他调用!$AJ$5:$AJ$364,MATCH($K144,其他调用!$AG$5:$AG$364,0),1)/INDEX(其他调用!AH$5:AH$364,MATCH($K144,其他调用!$AG$5:$AG$364,0),0),1)*INDEX(其他调用!Y$5:Y$404,MATCH($K144,其他调用!$X$5:$X$404,0),0)</f>
        <v>38037.636607473047</v>
      </c>
      <c r="AC144" s="12">
        <f>MIN(INDEX(其他调用!$AJ$5:$AJ$364,MATCH($K144,其他调用!$AG$5:$AG$364,0),1)/INDEX(其他调用!AI$5:AI$364,MATCH($K144,其他调用!$AG$5:$AG$364,0),0),1)*INDEX(其他调用!Z$5:Z$404,MATCH($K144,其他调用!$X$5:$X$404,0),0)</f>
        <v>39187.267741203243</v>
      </c>
      <c r="AD144" s="12">
        <f>MIN(INDEX(其他调用!$AJ$5:$AJ$364,MATCH($K144,其他调用!$AG$5:$AG$364,0),1)/INDEX(其他调用!AJ$5:AJ$364,MATCH($K144,其他调用!$AG$5:$AG$364,0),0),1)*INDEX(其他调用!AA$5:AA$404,MATCH($K144,其他调用!$X$5:$X$404,0),0)</f>
        <v>40696.175835633599</v>
      </c>
      <c r="AE144" s="12">
        <f>MIN(INDEX(其他调用!$AJ$5:$AJ$364,MATCH($K144,其他调用!$AG$5:$AG$364,0),1)/INDEX(其他调用!AK$5:AK$364,MATCH($K144,其他调用!$AG$5:$AG$364,0),0),1)*INDEX(其他调用!AB$5:AB$404,MATCH($K144,其他调用!$X$5:$X$404,0),0)</f>
        <v>15912.177544833383</v>
      </c>
      <c r="AF144" s="12">
        <f>MIN(INDEX(其他调用!$AJ$5:$AJ$364,MATCH($K144,其他调用!$AG$5:$AG$364,0),1)/INDEX(其他调用!AL$5:AL$364,MATCH($K144,其他调用!$AG$5:$AG$364,0),0),1)*INDEX(其他调用!AC$5:AC$404,MATCH($K144,其他调用!$X$5:$X$404,0),0)</f>
        <v>5308.5814976674292</v>
      </c>
      <c r="AG144" s="12">
        <f>求节点(节奏总纲!D$4:D$163,标准城池设计!AE$4:AE$163,$K144)*求节点(节奏总纲!D$4:D$163,攻城基础信息!$AF$5:$AF$164,$K144)</f>
        <v>728616.6212993958</v>
      </c>
      <c r="AH144" s="12">
        <f>INDEX(其他调用!$AA$5:$AA$404,MATCH($K144,其他调用!$X$5:$X$404,0))*MIN(INDEX(其他调用!AK$5:AK$364,MATCH($K144,其他调用!$AG$5:$AG$364,0),1)/INDEX(其他调用!$AJ$5:$AJ$364,MATCH($K144,其他调用!$AG$5:$AG$364,0),0),5)*求节点(节奏总纲!D$4:D$163,攻城基础信息!$AF$5:$AF$164,$K144)</f>
        <v>352039.50622005167</v>
      </c>
      <c r="AI144" s="12">
        <f>MIN(INDEX(其他调用!$AK$5:$AK$364,MATCH($K144,其他调用!$AG$5:$AG$364,0),1)/INDEX(其他调用!AH$5:AH$364,MATCH($K144,其他调用!$AG$5:$AG$364,0),0),1)*INDEX(其他调用!Y$5:Y$404,MATCH($K144,其他调用!$X$5:$X$404,0),0)</f>
        <v>38037.636607473047</v>
      </c>
      <c r="AJ144" s="12">
        <f>MIN(INDEX(其他调用!$AK$5:$AK$364,MATCH($K144,其他调用!$AG$5:$AG$364,0),1)/INDEX(其他调用!AI$5:AI$364,MATCH($K144,其他调用!$AG$5:$AG$364,0),0),1)*INDEX(其他调用!Z$5:Z$404,MATCH($K144,其他调用!$X$5:$X$404,0),0)</f>
        <v>39187.267741203243</v>
      </c>
      <c r="AK144" s="12">
        <f>MIN(INDEX(其他调用!$AK$5:$AK$364,MATCH($K144,其他调用!$AG$5:$AG$364,0),1)/INDEX(其他调用!AJ$5:AJ$364,MATCH($K144,其他调用!$AG$5:$AG$364,0),0),1)*INDEX(其他调用!AA$5:AA$404,MATCH($K144,其他调用!$X$5:$X$404,0),0)</f>
        <v>40696.175835633599</v>
      </c>
      <c r="AL144" s="12">
        <f>MIN(INDEX(其他调用!$AK$5:$AK$364,MATCH($K144,其他调用!$AG$5:$AG$364,0),1)/INDEX(其他调用!AK$5:AK$364,MATCH($K144,其他调用!$AG$5:$AG$364,0),0),1)*INDEX(其他调用!AB$5:AB$404,MATCH($K144,其他调用!$X$5:$X$404,0),0)</f>
        <v>42887.124999764863</v>
      </c>
      <c r="AM144" s="12">
        <f>MIN(INDEX(其他调用!$AK$5:$AK$364,MATCH($K144,其他调用!$AG$5:$AG$364,0),1)/INDEX(其他调用!AL$5:AL$364,MATCH($K144,其他调用!$AG$5:$AG$364,0),0),1)*INDEX(其他调用!AC$5:AC$404,MATCH($K144,其他调用!$X$5:$X$404,0),0)</f>
        <v>14307.897056856647</v>
      </c>
      <c r="AN144" s="12">
        <f>求节点(节奏总纲!D$4:D$163,标准城池设计!AF$4:AF$163,$K144)*求节点(节奏总纲!D$4:D$163,攻城基础信息!$AG$5:$AG$164,$K144)</f>
        <v>731031.67896508228</v>
      </c>
      <c r="AO144" s="12">
        <f>INDEX(其他调用!$AA$5:$AA$404,MATCH($K144,其他调用!$X$5:$X$404,0))*MIN(INDEX(其他调用!AL$5:AL$364,MATCH($K144,其他调用!$AG$5:$AG$364,0),1)/INDEX(其他调用!$AJ$5:$AJ$364,MATCH($K144,其他调用!$AG$5:$AG$364,0),0),5)*求节点(节奏总纲!D$4:D$163,攻城基础信息!$AG$5:$AG$164,$K144)</f>
        <v>653076.54987361014</v>
      </c>
      <c r="AP144" s="12">
        <f>MIN(INDEX(其他调用!$AL$5:$AL$364,MATCH($K144,其他调用!$AG$5:$AG$364,0),1)/INDEX(其他调用!AH$5:AH$364,MATCH($K144,其他调用!$AG$5:$AG$364,0),0),1)*INDEX(其他调用!Y$5:Y$404,MATCH($K144,其他调用!$X$5:$X$404,0),0)</f>
        <v>38037.636607473047</v>
      </c>
      <c r="AQ144" s="12">
        <f>MIN(INDEX(其他调用!$AL$5:$AL$364,MATCH($K144,其他调用!$AG$5:$AG$364,0),1)/INDEX(其他调用!AI$5:AI$364,MATCH($K144,其他调用!$AG$5:$AG$364,0),0),1)*INDEX(其他调用!Z$5:Z$404,MATCH($K144,其他调用!$X$5:$X$404,0),0)</f>
        <v>39187.267741203243</v>
      </c>
      <c r="AR144" s="12">
        <f>MIN(INDEX(其他调用!$AL$5:$AL$364,MATCH($K144,其他调用!$AG$5:$AG$364,0),1)/INDEX(其他调用!AJ$5:AJ$364,MATCH($K144,其他调用!$AG$5:$AG$364,0),0),1)*INDEX(其他调用!AA$5:AA$404,MATCH($K144,其他调用!$X$5:$X$404,0),0)</f>
        <v>40696.175835633599</v>
      </c>
      <c r="AS144" s="12">
        <f>MIN(INDEX(其他调用!$AL$5:$AL$364,MATCH($K144,其他调用!$AG$5:$AG$364,0),1)/INDEX(其他调用!AK$5:AK$364,MATCH($K144,其他调用!$AG$5:$AG$364,0),0),1)*INDEX(其他调用!AB$5:AB$404,MATCH($K144,其他调用!$X$5:$X$404,0),0)</f>
        <v>42887.124999764863</v>
      </c>
      <c r="AT144" s="12">
        <f>MIN(INDEX(其他调用!$AL$5:$AL$364,MATCH($K144,其他调用!$AG$5:$AG$364,0),1)/INDEX(其他调用!AL$5:AL$364,MATCH($K144,其他调用!$AG$5:$AG$364,0),0),1)*INDEX(其他调用!AC$5:AC$404,MATCH($K144,其他调用!$X$5:$X$404,0),0)</f>
        <v>46820.621371693887</v>
      </c>
      <c r="AV144" s="14">
        <f>IF(OR(AV$5="大R",AV$5="超R"),MAX(INDEX(其他调用!$H$5:$L$404,MATCH($K144,其他调用!$B$5:$B$404,0),MATCH(AV$5,其他调用!$H$4:$L$4,0))*120*0.85,2),INDEX(其他调用!$H$5:$L$404,MATCH($K144,其他调用!$B$5:$B$404,0),MATCH(AV$5,其他调用!$H$4:$L$4,0))*120*0.85)</f>
        <v>48.921801254999991</v>
      </c>
      <c r="AW144" s="14">
        <f>IF(OR(AW$5="大R",AW$5="超R"),MAX(INDEX(其他调用!$H$5:$L$404,MATCH($K144,其他调用!$B$5:$B$404,0),MATCH(AW$5,其他调用!$H$4:$L$4,0))*120*0.85,2),INDEX(其他调用!$H$5:$L$404,MATCH($K144,其他调用!$B$5:$B$404,0),MATCH(AW$5,其他调用!$H$4:$L$4,0))*120*0.85)</f>
        <v>48.237344010638395</v>
      </c>
      <c r="AX144" s="14">
        <f>IF(OR(AX$5="大R",AX$5="超R"),MAX(INDEX(其他调用!$H$5:$L$404,MATCH($K144,其他调用!$B$5:$B$404,0),MATCH(AX$5,其他调用!$H$4:$L$4,0))*120*0.85,2),INDEX(其他调用!$H$5:$L$404,MATCH($K144,其他调用!$B$5:$B$404,0),MATCH(AX$5,其他调用!$H$4:$L$4,0))*120*0.85)</f>
        <v>3.9376284143615998</v>
      </c>
      <c r="AY144" s="14">
        <f>IF(OR(AY$5="大R",AY$5="超R"),MAX(INDEX(其他调用!$H$5:$L$404,MATCH($K144,其他调用!$B$5:$B$404,0),MATCH(AY$5,其他调用!$H$4:$L$4,0))*120*0.85,2),INDEX(其他调用!$H$5:$L$404,MATCH($K144,其他调用!$B$5:$B$404,0),MATCH(AY$5,其他调用!$H$4:$L$4,0))*120*0.85)</f>
        <v>2</v>
      </c>
      <c r="AZ144" s="14">
        <f>IF(OR(AZ$5="大R",AZ$5="超R"),MAX(INDEX(其他调用!$H$5:$L$404,MATCH($K144,其他调用!$B$5:$B$404,0),MATCH(AZ$5,其他调用!$H$4:$L$4,0))*120*0.85,2),INDEX(其他调用!$H$5:$L$404,MATCH($K144,其他调用!$B$5:$B$404,0),MATCH(AZ$5,其他调用!$H$4:$L$4,0))*120*0.85)</f>
        <v>2</v>
      </c>
      <c r="BA144" s="14">
        <f>INDEX(其他调用!$H$5:$L$404,MATCH($K144,其他调用!$B$5:$B$404,0),MATCH(BA$5,其他调用!$H$4:$L$4,0))*INDEX(其他调用!$M$5:$M$404,MATCH($K144,其他调用!$B$5:$B$404,0))*0.6</f>
        <v>28.777530149999997</v>
      </c>
      <c r="BB144" s="14">
        <f>INDEX(其他调用!$H$5:$L$404,MATCH($K144,其他调用!$B$5:$B$404,0),MATCH(BB$5,其他调用!$H$4:$L$4,0))*INDEX(其他调用!$M$5:$M$404,MATCH($K144,其他调用!$B$5:$B$404,0))*0.6</f>
        <v>28.374908241551999</v>
      </c>
      <c r="BC144" s="14">
        <f>INDEX(其他调用!$H$5:$L$404,MATCH($K144,其他调用!$B$5:$B$404,0),MATCH(BC$5,其他调用!$H$4:$L$4,0))*INDEX(其他调用!$M$5:$M$404,MATCH($K144,其他调用!$B$5:$B$404,0))*0.6</f>
        <v>2.3162520084480001</v>
      </c>
      <c r="BD144" s="14">
        <f>INDEX(其他调用!$H$5:$L$404,MATCH($K144,其他调用!$B$5:$B$404,0),MATCH(BD$5,其他调用!$H$4:$L$4,0))*INDEX(其他调用!$M$5:$M$404,MATCH($K144,其他调用!$B$5:$B$404,0))*0.6</f>
        <v>0.4120776000000001</v>
      </c>
      <c r="BE144" s="14">
        <f>INDEX(其他调用!$H$5:$L$404,MATCH($K144,其他调用!$B$5:$B$404,0),MATCH(BE$5,其他调用!$H$4:$L$4,0))*INDEX(其他调用!$M$5:$M$404,MATCH($K144,其他调用!$B$5:$B$404,0))*0.6</f>
        <v>0.11923199999999998</v>
      </c>
      <c r="BF144" s="14">
        <f>IF(OR(BF$5="大R",BF$5="超R"),0,INDEX(其他调用!$H$5:$L$404,MATCH($K144,其他调用!$B$5:$B$404,0),MATCH(BF$5,其他调用!$H$4:$L$4,0))*50*0.4)</f>
        <v>9.5925100500000013</v>
      </c>
      <c r="BG144" s="14">
        <f>IF(OR(BG$5="大R",BG$5="超R"),0,INDEX(其他调用!$H$5:$L$404,MATCH($K144,其他调用!$B$5:$B$404,0),MATCH(BG$5,其他调用!$H$4:$L$4,0))*50*0.4)</f>
        <v>9.4583027471839998</v>
      </c>
      <c r="BH144" s="14">
        <f>IF(OR(BH$5="大R",BH$5="超R"),0,INDEX(其他调用!$H$5:$L$404,MATCH($K144,其他调用!$B$5:$B$404,0),MATCH(BH$5,其他调用!$H$4:$L$4,0))*50*0.4)</f>
        <v>0.77208400281600009</v>
      </c>
      <c r="BI144" s="14">
        <f>IF(OR(BI$5="大R",BI$5="超R"),0,INDEX(其他调用!$H$5:$L$404,MATCH($K144,其他调用!$B$5:$B$404,0),MATCH(BI$5,其他调用!$H$4:$L$4,0))*50*0.4)</f>
        <v>0</v>
      </c>
      <c r="BJ144" s="14">
        <f>IF(OR(BJ$5="大R",BJ$5="超R"),0,INDEX(其他调用!$H$5:$L$404,MATCH($K144,其他调用!$B$5:$B$404,0),MATCH(BJ$5,其他调用!$H$4:$L$4,0))*50*0.4)</f>
        <v>0</v>
      </c>
      <c r="BL144" s="14">
        <f t="shared" si="313"/>
        <v>139</v>
      </c>
      <c r="BM144" s="14">
        <f t="shared" si="220"/>
        <v>96</v>
      </c>
      <c r="BN144" s="14">
        <f>('疲劳值&amp;地图信息'!$S$10*'疲劳值&amp;地图信息'!$R$10+'疲劳值&amp;地图信息'!$S$11*'疲劳值&amp;地图信息'!$R$11+'疲劳值&amp;地图信息'!$S$12*'疲劳值&amp;地图信息'!$R$12+(BM144-'疲劳值&amp;地图信息'!$S$12-'疲劳值&amp;地图信息'!$S$11-'疲劳值&amp;地图信息'!$S$10)*'疲劳值&amp;地图信息'!$R$13)/BM144</f>
        <v>51.371477246638619</v>
      </c>
      <c r="BO144" s="14">
        <f>INDEX(其他调用!$M$5:$M$404,MATCH(BL144,其他调用!$B$5:$B$404,0))*0.6</f>
        <v>60</v>
      </c>
      <c r="BP144" s="14">
        <f>IF(BO144&gt;SUM('疲劳值&amp;地图信息'!$S$10:$S$12),('疲劳值&amp;地图信息'!$S$10*'疲劳值&amp;地图信息'!$R$10+'疲劳值&amp;地图信息'!$S$11*'疲劳值&amp;地图信息'!$R$11+'疲劳值&amp;地图信息'!$S$12*'疲劳值&amp;地图信息'!$R$12+(BO144-'疲劳值&amp;地图信息'!$S$12-'疲劳值&amp;地图信息'!$S$11-'疲劳值&amp;地图信息'!$S$10)*'疲劳值&amp;地图信息'!$R$13)/BO144,('疲劳值&amp;地图信息'!$S$10*'疲劳值&amp;地图信息'!$R$10+'疲劳值&amp;地图信息'!$S$11*'疲劳值&amp;地图信息'!$R$11+'疲劳值&amp;地图信息'!$S$12*'疲劳值&amp;地图信息'!$R$12+(BO144-'疲劳值&amp;地图信息'!$S$12-'疲劳值&amp;地图信息'!$S$11-'疲劳值&amp;地图信息'!$S$10)*'疲劳值&amp;地图信息'!$R$13)/BO144)</f>
        <v>44.158136341605953</v>
      </c>
      <c r="BQ144" s="14">
        <f t="shared" si="314"/>
        <v>20</v>
      </c>
      <c r="BR144" s="14">
        <f>('疲劳值&amp;地图信息'!$S$10*'疲劳值&amp;地图信息'!$R$10+($BQ144-'疲劳值&amp;地图信息'!$S$10)*'疲劳值&amp;地图信息'!$R$11)/$BQ144</f>
        <v>32.067203015074995</v>
      </c>
      <c r="CF144" s="14">
        <v>139</v>
      </c>
      <c r="CG144" s="51">
        <f t="shared" si="221"/>
        <v>11271</v>
      </c>
      <c r="CH144" s="51">
        <f t="shared" si="222"/>
        <v>924</v>
      </c>
      <c r="CI144" s="51">
        <f>INT(SUMPRODUCT($N144:$R144,$BA144:$BE144)/SUM($BA144:$BE144)/10000*$BX$7*$BZ$34/'疲劳值&amp;地图信息'!$R$10*$BY$53)</f>
        <v>3051</v>
      </c>
      <c r="CJ144" s="50">
        <f t="shared" si="223"/>
        <v>0.73927587563951203</v>
      </c>
      <c r="CK144" s="50">
        <f t="shared" si="224"/>
        <v>6.0606060606060608E-2</v>
      </c>
      <c r="CL144" s="50">
        <f t="shared" si="225"/>
        <v>0.20011806375442739</v>
      </c>
      <c r="CM144" s="14">
        <f t="shared" si="226"/>
        <v>12120</v>
      </c>
      <c r="CN144" s="14">
        <f t="shared" si="227"/>
        <v>1524</v>
      </c>
      <c r="CO144" s="14">
        <f>INT(SUMPRODUCT($U144:$Y144,$BA144:$BE144)/SUM($BA144:$BE144)/10000*$BX$7*$BZ$34/'疲劳值&amp;地图信息'!$R$10*$BY$54)</f>
        <v>5744</v>
      </c>
      <c r="CP144" s="50">
        <f t="shared" si="228"/>
        <v>0.62512894573963274</v>
      </c>
      <c r="CQ144" s="50">
        <f t="shared" si="229"/>
        <v>7.8605322880132042E-2</v>
      </c>
      <c r="CR144" s="50">
        <f t="shared" si="230"/>
        <v>0.29626573138023521</v>
      </c>
      <c r="CS144" s="14">
        <f t="shared" si="231"/>
        <v>12969</v>
      </c>
      <c r="CT144" s="14">
        <f t="shared" si="232"/>
        <v>2662</v>
      </c>
      <c r="CU144" s="14">
        <f>INT(SUMPRODUCT($AB144:$AF144,$BA144:$BE144)/SUM($BA144:$BE144)/10000*$BX$7*$BZ$34/'疲劳值&amp;地图信息'!$R$10*$BY$55)</f>
        <v>7806</v>
      </c>
      <c r="CV144" s="50">
        <f t="shared" si="233"/>
        <v>0.5533558049238384</v>
      </c>
      <c r="CW144" s="50">
        <f t="shared" si="234"/>
        <v>0.11358108972991424</v>
      </c>
      <c r="CX144" s="50">
        <f t="shared" si="235"/>
        <v>0.33306310534624739</v>
      </c>
      <c r="CY144" s="14">
        <f t="shared" si="236"/>
        <v>14850</v>
      </c>
      <c r="CZ144" s="14">
        <f t="shared" si="237"/>
        <v>7175</v>
      </c>
      <c r="DA144" s="14">
        <f>INT(SUMPRODUCT($AI144:$AM144,$BA144:$BE144)/SUM($BA144:$BE144)/10000*$BX$7*$BZ$34/'疲劳值&amp;地图信息'!$R$10*$BY$56)</f>
        <v>11771</v>
      </c>
      <c r="DB144" s="50">
        <f t="shared" si="238"/>
        <v>0.43940111255769915</v>
      </c>
      <c r="DC144" s="50">
        <f t="shared" si="239"/>
        <v>0.21230323115161556</v>
      </c>
      <c r="DD144" s="50">
        <f t="shared" si="240"/>
        <v>0.34829565629068526</v>
      </c>
      <c r="DE144" s="14">
        <f t="shared" si="241"/>
        <v>14899</v>
      </c>
      <c r="DF144" s="14">
        <f t="shared" si="242"/>
        <v>13310</v>
      </c>
      <c r="DG144" s="14">
        <f>INT(SUMPRODUCT($AP144:$AT144,$BA144:$BE144)/SUM($BA144:$BE144)/10000*$BX$7*$BZ$34/'疲劳值&amp;地图信息'!$R$10*$BY$57)</f>
        <v>15721</v>
      </c>
      <c r="DH144" s="50">
        <f t="shared" si="243"/>
        <v>0.33915319826997498</v>
      </c>
      <c r="DI144" s="50">
        <f t="shared" si="244"/>
        <v>0.30298201684498066</v>
      </c>
      <c r="DJ144" s="50">
        <f t="shared" si="245"/>
        <v>0.35786478488504436</v>
      </c>
      <c r="DL144" s="14">
        <f t="shared" si="316"/>
        <v>15246</v>
      </c>
      <c r="DM144" s="14">
        <f t="shared" si="317"/>
        <v>19388</v>
      </c>
      <c r="DN144" s="14">
        <f t="shared" si="318"/>
        <v>23437</v>
      </c>
      <c r="DO144" s="14">
        <f t="shared" si="319"/>
        <v>33796</v>
      </c>
      <c r="DP144" s="14">
        <f t="shared" si="320"/>
        <v>43930</v>
      </c>
      <c r="DQ144" s="14">
        <f t="shared" si="321"/>
        <v>1062325</v>
      </c>
      <c r="DT144" s="14">
        <f t="shared" si="315"/>
        <v>235575</v>
      </c>
      <c r="DU144" s="50">
        <f t="shared" si="217"/>
        <v>0.18150473842360737</v>
      </c>
      <c r="DW144" s="14">
        <f t="shared" si="246"/>
        <v>1297900</v>
      </c>
      <c r="EB144" s="14">
        <v>139</v>
      </c>
      <c r="EC144" s="51">
        <f t="shared" si="247"/>
        <v>18786</v>
      </c>
      <c r="ED144" s="51">
        <f t="shared" si="248"/>
        <v>1540</v>
      </c>
      <c r="EE144" s="51">
        <f>INT(SUMPRODUCT($N144:$R144,$BF144:$BJ144)/SUM($BF144:$BJ144)/10000*$BX$7*$BZ$46/'疲劳值&amp;地图信息'!$R$10*$BY$53)</f>
        <v>409</v>
      </c>
      <c r="EF144" s="50">
        <f t="shared" si="249"/>
        <v>0.9060043404870991</v>
      </c>
      <c r="EG144" s="50">
        <f t="shared" si="250"/>
        <v>7.4270557029177717E-2</v>
      </c>
      <c r="EH144" s="50">
        <f t="shared" si="251"/>
        <v>1.9725102483723174E-2</v>
      </c>
      <c r="EI144" s="51">
        <f t="shared" si="252"/>
        <v>20200</v>
      </c>
      <c r="EJ144" s="51">
        <f t="shared" si="253"/>
        <v>2540</v>
      </c>
      <c r="EK144" s="14">
        <f>INT(SUMPRODUCT($U144:$Y144,$BF144:$BJ144)/SUM($BF144:$BJ144)/10000*$BX$7*$BZ$46/'疲劳值&amp;地图信息'!$R$10*$BY$54)</f>
        <v>771</v>
      </c>
      <c r="EL144" s="50">
        <f t="shared" si="254"/>
        <v>0.85917230232657049</v>
      </c>
      <c r="EM144" s="50">
        <f t="shared" si="255"/>
        <v>0.10803453702522224</v>
      </c>
      <c r="EN144" s="50">
        <f t="shared" si="256"/>
        <v>3.2793160648207219E-2</v>
      </c>
      <c r="EO144" s="51">
        <f t="shared" si="257"/>
        <v>21615</v>
      </c>
      <c r="EP144" s="51">
        <f t="shared" si="258"/>
        <v>4436</v>
      </c>
      <c r="EQ144" s="14">
        <f>INT(SUMPRODUCT($AB144:$AF144,$BF144:$BJ144)/SUM($BF144:$BJ144)/10000*$BX$7*$BZ$46/'疲劳值&amp;地图信息'!$R$10*$BY$55)</f>
        <v>1046</v>
      </c>
      <c r="ER144" s="50">
        <f t="shared" si="259"/>
        <v>0.79768978115658562</v>
      </c>
      <c r="ES144" s="50">
        <f t="shared" si="260"/>
        <v>0.16370815957486068</v>
      </c>
      <c r="ET144" s="50">
        <f t="shared" si="261"/>
        <v>3.8602059268553715E-2</v>
      </c>
      <c r="EU144" s="51">
        <f t="shared" si="262"/>
        <v>24750</v>
      </c>
      <c r="EV144" s="51">
        <f t="shared" si="263"/>
        <v>11958</v>
      </c>
      <c r="EW144" s="14">
        <f>INT(SUMPRODUCT($AI144:$AM144,$BF144:$BJ144)/SUM($BF144:$BJ144)/10000*$BX$7*$BZ$46/'疲劳值&amp;地图信息'!$R$10*$BY$56)</f>
        <v>1570</v>
      </c>
      <c r="EX144" s="50">
        <f t="shared" si="264"/>
        <v>0.64658550603479803</v>
      </c>
      <c r="EY144" s="50">
        <f t="shared" si="265"/>
        <v>0.31239876691572183</v>
      </c>
      <c r="EZ144" s="50">
        <f t="shared" si="266"/>
        <v>4.1015727049480116E-2</v>
      </c>
      <c r="FA144" s="51">
        <f t="shared" si="267"/>
        <v>24832</v>
      </c>
      <c r="FB144" s="51">
        <f t="shared" si="268"/>
        <v>22184</v>
      </c>
      <c r="FC144" s="14">
        <f>INT(SUMPRODUCT($AP144:$AT144,$BF144:$BJ144)/SUM($BF144:$BJ144)/10000*$BX$7*$BZ$46/'疲劳值&amp;地图信息'!$R$10*$BY$57)</f>
        <v>2093</v>
      </c>
      <c r="FD144" s="50">
        <f t="shared" si="269"/>
        <v>0.50565069539188334</v>
      </c>
      <c r="FE144" s="50">
        <f t="shared" si="270"/>
        <v>0.45172982549023599</v>
      </c>
      <c r="FF144" s="50">
        <f t="shared" si="271"/>
        <v>4.2619479117880631E-2</v>
      </c>
      <c r="FH144" s="14">
        <f t="shared" si="272"/>
        <v>20735</v>
      </c>
      <c r="FI144" s="14">
        <f t="shared" si="273"/>
        <v>23511</v>
      </c>
      <c r="FJ144" s="14">
        <f t="shared" si="274"/>
        <v>27097</v>
      </c>
      <c r="FK144" s="14">
        <f t="shared" si="275"/>
        <v>38278</v>
      </c>
      <c r="FL144" s="14">
        <f t="shared" si="276"/>
        <v>49109</v>
      </c>
      <c r="FM144" s="14">
        <f t="shared" si="277"/>
        <v>2429973</v>
      </c>
      <c r="FP144" s="14">
        <f t="shared" si="278"/>
        <v>334150</v>
      </c>
      <c r="FQ144" s="50">
        <f t="shared" si="218"/>
        <v>0.12088825280206417</v>
      </c>
      <c r="FS144" s="14">
        <f t="shared" si="279"/>
        <v>2764123</v>
      </c>
      <c r="FX144" s="14">
        <v>139</v>
      </c>
      <c r="FY144" s="51">
        <f t="shared" si="280"/>
        <v>26301</v>
      </c>
      <c r="FZ144" s="51">
        <f t="shared" si="281"/>
        <v>1540</v>
      </c>
      <c r="GA144" s="51">
        <f>INT(SUMPRODUCT($N144:$R144,$BF144:$BJ144)/SUM($BF144:$BJ144)/10000*$BX$7*$BZ$46/'疲劳值&amp;地图信息'!$R$10*$BY$53)</f>
        <v>409</v>
      </c>
      <c r="GB144" s="50">
        <f t="shared" si="282"/>
        <v>0.93100884955752217</v>
      </c>
      <c r="GC144" s="50">
        <f t="shared" si="283"/>
        <v>5.4513274336283189E-2</v>
      </c>
      <c r="GD144" s="50">
        <f t="shared" si="284"/>
        <v>1.4477876106194691E-2</v>
      </c>
      <c r="GE144" s="51">
        <f t="shared" si="285"/>
        <v>28280</v>
      </c>
      <c r="GF144" s="51">
        <f t="shared" si="286"/>
        <v>2540</v>
      </c>
      <c r="GG144" s="14">
        <f>INT(SUMPRODUCT($U144:$Y144,$BF144:$BJ144)/SUM($BF144:$BJ144)/10000*$BX$7*$BZ$46/'疲劳值&amp;地图信息'!$R$10*$BY$54)</f>
        <v>771</v>
      </c>
      <c r="GH144" s="50">
        <f t="shared" si="287"/>
        <v>0.8951916685131841</v>
      </c>
      <c r="GI144" s="50">
        <f t="shared" si="288"/>
        <v>8.0402646323319935E-2</v>
      </c>
      <c r="GJ144" s="50">
        <f t="shared" si="289"/>
        <v>2.4405685163495932E-2</v>
      </c>
      <c r="GK144" s="51">
        <f t="shared" si="290"/>
        <v>30262</v>
      </c>
      <c r="GL144" s="51">
        <f t="shared" si="291"/>
        <v>4436</v>
      </c>
      <c r="GM144" s="14">
        <f>INT(SUMPRODUCT($AB144:$AF144,$BF144:$BJ144)/SUM($BF144:$BJ144)/10000*$BX$7*$BZ$46/'疲劳值&amp;地图信息'!$R$10*$BY$55)</f>
        <v>1046</v>
      </c>
      <c r="GN144" s="50">
        <f t="shared" si="292"/>
        <v>0.84663160250671443</v>
      </c>
      <c r="GO144" s="50">
        <f t="shared" si="293"/>
        <v>0.1241047448522829</v>
      </c>
      <c r="GP144" s="50">
        <f t="shared" si="294"/>
        <v>2.9263652641002686E-2</v>
      </c>
      <c r="GQ144" s="51">
        <f t="shared" si="295"/>
        <v>34650</v>
      </c>
      <c r="GR144" s="51">
        <f t="shared" si="296"/>
        <v>11958</v>
      </c>
      <c r="GS144" s="14">
        <f>INT(SUMPRODUCT($AI144:$AM144,$BF144:$BJ144)/SUM($BF144:$BJ144)/10000*$BX$7*$BZ$46/'疲劳值&amp;地图信息'!$R$10*$BY$56)</f>
        <v>1570</v>
      </c>
      <c r="GT144" s="50">
        <f t="shared" si="297"/>
        <v>0.71920793723276188</v>
      </c>
      <c r="GU144" s="50">
        <f t="shared" si="298"/>
        <v>0.24820457470214621</v>
      </c>
      <c r="GV144" s="50">
        <f t="shared" si="299"/>
        <v>3.258748806509195E-2</v>
      </c>
      <c r="GW144" s="51">
        <f t="shared" si="300"/>
        <v>34765</v>
      </c>
      <c r="GX144" s="51">
        <f t="shared" si="301"/>
        <v>22184</v>
      </c>
      <c r="GY144" s="14">
        <f>INT(SUMPRODUCT($AP144:$AT144,$BF144:$BJ144)/SUM($BF144:$BJ144)/10000*$BX$7*$BZ$46/'疲劳值&amp;地图信息'!$R$10*$BY$57)</f>
        <v>2093</v>
      </c>
      <c r="GZ144" s="50">
        <f t="shared" si="302"/>
        <v>0.58881812946715895</v>
      </c>
      <c r="HA144" s="50">
        <f t="shared" si="303"/>
        <v>0.37573252938586094</v>
      </c>
      <c r="HB144" s="50">
        <f t="shared" si="304"/>
        <v>3.5449341146980118E-2</v>
      </c>
      <c r="HD144" s="14">
        <f t="shared" si="305"/>
        <v>28250</v>
      </c>
      <c r="HE144" s="14">
        <f t="shared" si="306"/>
        <v>31591</v>
      </c>
      <c r="HF144" s="14">
        <f t="shared" si="307"/>
        <v>35744</v>
      </c>
      <c r="HG144" s="14">
        <f t="shared" si="308"/>
        <v>48178</v>
      </c>
      <c r="HH144" s="14">
        <f t="shared" si="309"/>
        <v>59042</v>
      </c>
      <c r="HI144" s="14">
        <f t="shared" si="310"/>
        <v>3261093</v>
      </c>
      <c r="HL144" s="14">
        <f t="shared" si="311"/>
        <v>430050</v>
      </c>
      <c r="HM144" s="50">
        <f t="shared" si="219"/>
        <v>0.11650862618977374</v>
      </c>
      <c r="HO144" s="14">
        <f t="shared" si="312"/>
        <v>3691143</v>
      </c>
    </row>
    <row r="145" spans="11:223" x14ac:dyDescent="0.2">
      <c r="K145" s="14">
        <v>140</v>
      </c>
      <c r="L145" s="12">
        <f>求节点(节奏总纲!D$4:D$163,标准城池设计!AB$4:AB$163,$K145)*求节点(节奏总纲!D$4:D$163,攻城基础信息!$AC$5:$AC$164,$K145)</f>
        <v>554760.37149676925</v>
      </c>
      <c r="M145" s="12">
        <f>INDEX(其他调用!$AA$5:$AA$404,MATCH(K145,其他调用!$X$5:$X$404,0))*MIN(INDEX(其他调用!$AH$5:$AH$364,MATCH('征服点（新）'!K145,其他调用!$AG$5:$AG$364,0),1)/INDEX(其他调用!$AJ$5:$AJ$364,MATCH(K145,其他调用!$AG$5:$AG$364,0),0),5)*求节点(节奏总纲!D$4:D$163,攻城基础信息!$AC$5:$AC$164,$K145)</f>
        <v>45433.767000144668</v>
      </c>
      <c r="N145" s="12">
        <f>MIN(INDEX(其他调用!$AH$5:$AH$364,MATCH($K145,其他调用!$AG$5:$AG$364,0),1)/INDEX(其他调用!AH$5:AH$364,MATCH($K145,其他调用!$AG$5:$AG$364,0),0),1)*INDEX(其他调用!Y$5:Y$404,MATCH($K145,其他调用!$X$5:$X$404,0),0)</f>
        <v>38077.795335570496</v>
      </c>
      <c r="O145" s="12">
        <f>MIN(INDEX(其他调用!$AH$5:$AH$364,MATCH($K145,其他调用!$AG$5:$AG$364,0),1)/INDEX(其他调用!AI$5:AI$364,MATCH($K145,其他调用!$AG$5:$AG$364,0),0),1)*INDEX(其他调用!Z$5:Z$404,MATCH($K145,其他调用!$X$5:$X$404,0),0)</f>
        <v>23808.315883154813</v>
      </c>
      <c r="P145" s="12">
        <f>MIN(INDEX(其他调用!$AH$5:$AH$364,MATCH($K145,其他调用!$AG$5:$AG$364,0),1)/INDEX(其他调用!AJ$5:AJ$364,MATCH($K145,其他调用!$AG$5:$AG$364,0),0),1)*INDEX(其他调用!AA$5:AA$404,MATCH($K145,其他调用!$X$5:$X$404,0),0)</f>
        <v>14141.009660267804</v>
      </c>
      <c r="Q145" s="12">
        <f>MIN(INDEX(其他调用!$AH$5:$AH$364,MATCH($K145,其他调用!$AG$5:$AG$364,0),1)/INDEX(其他调用!AK$5:AK$364,MATCH($K145,其他调用!$AG$5:$AG$364,0),0),1)*INDEX(其他调用!AB$5:AB$404,MATCH($K145,其他调用!$X$5:$X$404,0),0)</f>
        <v>5514.3983454755935</v>
      </c>
      <c r="R145" s="12">
        <f>MIN(INDEX(其他调用!$AH$5:$AH$364,MATCH($K145,其他调用!$AG$5:$AG$364,0),1)/INDEX(其他调用!AL$5:AL$364,MATCH($K145,其他调用!$AG$5:$AG$364,0),0),1)*INDEX(其他调用!AC$5:AC$404,MATCH($K145,其他调用!$X$5:$X$404,0),0)</f>
        <v>1852.5937808041501</v>
      </c>
      <c r="S145" s="12">
        <f>求节点(节奏总纲!D$4:D$163,标准城池设计!AC$4:AC$163,$K145)*求节点(节奏总纲!D$4:D$163,攻城基础信息!$AD$5:$AD$164,$K145)</f>
        <v>596533.88368583319</v>
      </c>
      <c r="T145" s="12">
        <f>INDEX(其他调用!$AA$5:$AA$404,MATCH($K145,其他调用!$X$5:$X$404,0))*MIN(INDEX(其他调用!AI$5:AI$364,MATCH($K145,其他调用!$AG$5:$AG$364,0),1)/INDEX(其他调用!$AJ$5:$AJ$364,MATCH($K145,其他调用!$AG$5:$AG$364,0),0),5)*求节点(节奏总纲!D$4:D$163,攻城基础信息!$AD$5:$AD$164,$K145)</f>
        <v>74861.895100634414</v>
      </c>
      <c r="U145" s="12">
        <f>MIN(INDEX(其他调用!$AI$5:$AI$364,MATCH($K145,其他调用!$AG$5:$AG$364,0),1)/INDEX(其他调用!AH$5:AH$364,MATCH($K145,其他调用!$AG$5:$AG$364,0),0),1)*INDEX(其他调用!Y$5:Y$404,MATCH($K145,其他调用!$X$5:$X$404,0),0)</f>
        <v>38077.795335570496</v>
      </c>
      <c r="V145" s="12">
        <f>MIN(INDEX(其他调用!$AI$5:$AI$364,MATCH($K145,其他调用!$AG$5:$AG$364,0),1)/INDEX(其他调用!AI$5:AI$364,MATCH($K145,其他调用!$AG$5:$AG$364,0),0),1)*INDEX(其他调用!Z$5:Z$404,MATCH($K145,其他调用!$X$5:$X$404,0),0)</f>
        <v>39229.316956303199</v>
      </c>
      <c r="W145" s="12">
        <f>MIN(INDEX(其他调用!$AI$5:$AI$364,MATCH($K145,其他调用!$AG$5:$AG$364,0),1)/INDEX(其他调用!AJ$5:AJ$364,MATCH($K145,其他调用!$AG$5:$AG$364,0),0),1)*INDEX(其他调用!AA$5:AA$404,MATCH($K145,其他调用!$X$5:$X$404,0),0)</f>
        <v>23300.352396504022</v>
      </c>
      <c r="X145" s="12">
        <f>MIN(INDEX(其他调用!$AI$5:$AI$364,MATCH($K145,其他调用!$AG$5:$AG$364,0),1)/INDEX(其他调用!AK$5:AK$364,MATCH($K145,其他调用!$AG$5:$AG$364,0),0),1)*INDEX(其他调用!AB$5:AB$404,MATCH($K145,其他调用!$X$5:$X$404,0),0)</f>
        <v>9086.1563488845495</v>
      </c>
      <c r="Y145" s="12">
        <f>MIN(INDEX(其他调用!$AI$5:$AI$364,MATCH($K145,其他调用!$AG$5:$AG$364,0),1)/INDEX(其他调用!AL$5:AL$364,MATCH($K145,其他调用!$AG$5:$AG$364,0),0),1)*INDEX(其他调用!AC$5:AC$404,MATCH($K145,其他调用!$X$5:$X$404,0),0)</f>
        <v>3052.5463865280285</v>
      </c>
      <c r="Z145" s="12">
        <f>求节点(节奏总纲!D$4:D$163,标准城池设计!AD$4:AD$163,$K145)*求节点(节奏总纲!D$4:D$163,攻城基础信息!$AE$5:$AE$164,$K145)</f>
        <v>638139.71752057492</v>
      </c>
      <c r="AA145" s="12">
        <f>INDEX(其他调用!$AA$5:$AA$404,MATCH($K145,其他调用!$X$5:$X$404,0))*MIN(INDEX(其他调用!AJ$5:AJ$364,MATCH($K145,其他调用!$AG$5:$AG$364,0),1)/INDEX(其他调用!$AJ$5:$AJ$364,MATCH($K145,其他调用!$AG$5:$AG$364,0),0),5)*求节点(节奏总纲!D$4:D$163,攻城基础信息!$AE$5:$AE$164,$K145)</f>
        <v>130886.37130447454</v>
      </c>
      <c r="AB145" s="12">
        <f>MIN(INDEX(其他调用!$AJ$5:$AJ$364,MATCH($K145,其他调用!$AG$5:$AG$364,0),1)/INDEX(其他调用!AH$5:AH$364,MATCH($K145,其他调用!$AG$5:$AG$364,0),0),1)*INDEX(其他调用!Y$5:Y$404,MATCH($K145,其他调用!$X$5:$X$404,0),0)</f>
        <v>38077.795335570496</v>
      </c>
      <c r="AC145" s="12">
        <f>MIN(INDEX(其他调用!$AJ$5:$AJ$364,MATCH($K145,其他调用!$AG$5:$AG$364,0),1)/INDEX(其他调用!AI$5:AI$364,MATCH($K145,其他调用!$AG$5:$AG$364,0),0),1)*INDEX(其他调用!Z$5:Z$404,MATCH($K145,其他调用!$X$5:$X$404,0),0)</f>
        <v>39229.316956303199</v>
      </c>
      <c r="AD145" s="12">
        <f>MIN(INDEX(其他调用!$AJ$5:$AJ$364,MATCH($K145,其他调用!$AG$5:$AG$364,0),1)/INDEX(其他调用!AJ$5:AJ$364,MATCH($K145,其他调用!$AG$5:$AG$364,0),0),1)*INDEX(其他调用!AA$5:AA$404,MATCH($K145,其他调用!$X$5:$X$404,0),0)</f>
        <v>40737.661946632768</v>
      </c>
      <c r="AE145" s="12">
        <f>MIN(INDEX(其他调用!$AJ$5:$AJ$364,MATCH($K145,其他调用!$AG$5:$AG$364,0),1)/INDEX(其他调用!AK$5:AK$364,MATCH($K145,其他调用!$AG$5:$AG$364,0),0),1)*INDEX(其他调用!AB$5:AB$404,MATCH($K145,其他调用!$X$5:$X$404,0),0)</f>
        <v>15885.972857245149</v>
      </c>
      <c r="AF145" s="12">
        <f>MIN(INDEX(其他调用!$AJ$5:$AJ$364,MATCH($K145,其他调用!$AG$5:$AG$364,0),1)/INDEX(其他调用!AL$5:AL$364,MATCH($K145,其他调用!$AG$5:$AG$364,0),0),1)*INDEX(其他调用!AC$5:AC$404,MATCH($K145,其他调用!$X$5:$X$404,0),0)</f>
        <v>5336.9837783849234</v>
      </c>
      <c r="AG145" s="12">
        <f>求节点(节奏总纲!D$4:D$163,标准城池设计!AE$4:AE$163,$K145)*求节点(节奏总纲!D$4:D$163,攻城基础信息!$AF$5:$AF$164,$K145)</f>
        <v>730724.72193273122</v>
      </c>
      <c r="AH145" s="12">
        <f>INDEX(其他调用!$AA$5:$AA$404,MATCH($K145,其他调用!$X$5:$X$404,0))*MIN(INDEX(其他调用!AK$5:AK$364,MATCH($K145,其他调用!$AG$5:$AG$364,0),1)/INDEX(其他调用!$AJ$5:$AJ$364,MATCH($K145,其他调用!$AG$5:$AG$364,0),0),5)*求节点(节奏总纲!D$4:D$163,攻城基础信息!$AF$5:$AF$164,$K145)</f>
        <v>353697.76846045716</v>
      </c>
      <c r="AI145" s="12">
        <f>MIN(INDEX(其他调用!$AK$5:$AK$364,MATCH($K145,其他调用!$AG$5:$AG$364,0),1)/INDEX(其他调用!AH$5:AH$364,MATCH($K145,其他调用!$AG$5:$AG$364,0),0),1)*INDEX(其他调用!Y$5:Y$404,MATCH($K145,其他调用!$X$5:$X$404,0),0)</f>
        <v>38077.795335570496</v>
      </c>
      <c r="AJ145" s="12">
        <f>MIN(INDEX(其他调用!$AK$5:$AK$364,MATCH($K145,其他调用!$AG$5:$AG$364,0),1)/INDEX(其他调用!AI$5:AI$364,MATCH($K145,其他调用!$AG$5:$AG$364,0),0),1)*INDEX(其他调用!Z$5:Z$404,MATCH($K145,其他调用!$X$5:$X$404,0),0)</f>
        <v>39229.316956303199</v>
      </c>
      <c r="AK145" s="12">
        <f>MIN(INDEX(其他调用!$AK$5:$AK$364,MATCH($K145,其他调用!$AG$5:$AG$364,0),1)/INDEX(其他调用!AJ$5:AJ$364,MATCH($K145,其他调用!$AG$5:$AG$364,0),0),1)*INDEX(其他调用!AA$5:AA$404,MATCH($K145,其他调用!$X$5:$X$404,0),0)</f>
        <v>40737.661946632768</v>
      </c>
      <c r="AL145" s="12">
        <f>MIN(INDEX(其他调用!$AK$5:$AK$364,MATCH($K145,其他调用!$AG$5:$AG$364,0),1)/INDEX(其他调用!AK$5:AK$364,MATCH($K145,其他调用!$AG$5:$AG$364,0),0),1)*INDEX(其他调用!AB$5:AB$404,MATCH($K145,其他调用!$X$5:$X$404,0),0)</f>
        <v>42929.092566560554</v>
      </c>
      <c r="AM145" s="12">
        <f>MIN(INDEX(其他调用!$AK$5:$AK$364,MATCH($K145,其他调用!$AG$5:$AG$364,0),1)/INDEX(其他调用!AL$5:AL$364,MATCH($K145,其他调用!$AG$5:$AG$364,0),0),1)*INDEX(其他调用!AC$5:AC$404,MATCH($K145,其他调用!$X$5:$X$404,0),0)</f>
        <v>14422.275091829011</v>
      </c>
      <c r="AN145" s="12">
        <f>求节点(节奏总纲!D$4:D$163,标准城池设计!AF$4:AF$163,$K145)*求节点(节奏总纲!D$4:D$163,攻城基础信息!$AG$5:$AG$164,$K145)</f>
        <v>733994.29321296513</v>
      </c>
      <c r="AO145" s="12">
        <f>INDEX(其他调用!$AA$5:$AA$404,MATCH($K145,其他调用!$X$5:$X$404,0))*MIN(INDEX(其他调用!AL$5:AL$364,MATCH($K145,其他调用!$AG$5:$AG$364,0),1)/INDEX(其他调用!$AJ$5:$AJ$364,MATCH($K145,其他调用!$AG$5:$AG$364,0),0),5)*求节点(节奏总纲!D$4:D$163,攻城基础信息!$AG$5:$AG$164,$K145)</f>
        <v>654431.85652237269</v>
      </c>
      <c r="AP145" s="12">
        <f>MIN(INDEX(其他调用!$AL$5:$AL$364,MATCH($K145,其他调用!$AG$5:$AG$364,0),1)/INDEX(其他调用!AH$5:AH$364,MATCH($K145,其他调用!$AG$5:$AG$364,0),0),1)*INDEX(其他调用!Y$5:Y$404,MATCH($K145,其他调用!$X$5:$X$404,0),0)</f>
        <v>38077.795335570496</v>
      </c>
      <c r="AQ145" s="12">
        <f>MIN(INDEX(其他调用!$AL$5:$AL$364,MATCH($K145,其他调用!$AG$5:$AG$364,0),1)/INDEX(其他调用!AI$5:AI$364,MATCH($K145,其他调用!$AG$5:$AG$364,0),0),1)*INDEX(其他调用!Z$5:Z$404,MATCH($K145,其他调用!$X$5:$X$404,0),0)</f>
        <v>39229.316956303199</v>
      </c>
      <c r="AR145" s="12">
        <f>MIN(INDEX(其他调用!$AL$5:$AL$364,MATCH($K145,其他调用!$AG$5:$AG$364,0),1)/INDEX(其他调用!AJ$5:AJ$364,MATCH($K145,其他调用!$AG$5:$AG$364,0),0),1)*INDEX(其他调用!AA$5:AA$404,MATCH($K145,其他调用!$X$5:$X$404,0),0)</f>
        <v>40737.661946632768</v>
      </c>
      <c r="AS145" s="12">
        <f>MIN(INDEX(其他调用!$AL$5:$AL$364,MATCH($K145,其他调用!$AG$5:$AG$364,0),1)/INDEX(其他调用!AK$5:AK$364,MATCH($K145,其他调用!$AG$5:$AG$364,0),0),1)*INDEX(其他调用!AB$5:AB$404,MATCH($K145,其他调用!$X$5:$X$404,0),0)</f>
        <v>42929.092566560554</v>
      </c>
      <c r="AT145" s="12">
        <f>MIN(INDEX(其他调用!$AL$5:$AL$364,MATCH($K145,其他调用!$AG$5:$AG$364,0),1)/INDEX(其他调用!AL$5:AL$364,MATCH($K145,其他调用!$AG$5:$AG$364,0),0),1)*INDEX(其他调用!AC$5:AC$404,MATCH($K145,其他调用!$X$5:$X$404,0),0)</f>
        <v>46861.099378725325</v>
      </c>
      <c r="AV145" s="14">
        <f>IF(OR(AV$5="大R",AV$5="超R"),MAX(INDEX(其他调用!$H$5:$L$404,MATCH($K145,其他调用!$B$5:$B$404,0),MATCH(AV$5,其他调用!$H$4:$L$4,0))*120*0.85,2),INDEX(其他调用!$H$5:$L$404,MATCH($K145,其他调用!$B$5:$B$404,0),MATCH(AV$5,其他调用!$H$4:$L$4,0))*120*0.85)</f>
        <v>48.921801254999991</v>
      </c>
      <c r="AW145" s="14">
        <f>IF(OR(AW$5="大R",AW$5="超R"),MAX(INDEX(其他调用!$H$5:$L$404,MATCH($K145,其他调用!$B$5:$B$404,0),MATCH(AW$5,其他调用!$H$4:$L$4,0))*120*0.85,2),INDEX(其他调用!$H$5:$L$404,MATCH($K145,其他调用!$B$5:$B$404,0),MATCH(AW$5,其他调用!$H$4:$L$4,0))*120*0.85)</f>
        <v>48.237344010638395</v>
      </c>
      <c r="AX145" s="14">
        <f>IF(OR(AX$5="大R",AX$5="超R"),MAX(INDEX(其他调用!$H$5:$L$404,MATCH($K145,其他调用!$B$5:$B$404,0),MATCH(AX$5,其他调用!$H$4:$L$4,0))*120*0.85,2),INDEX(其他调用!$H$5:$L$404,MATCH($K145,其他调用!$B$5:$B$404,0),MATCH(AX$5,其他调用!$H$4:$L$4,0))*120*0.85)</f>
        <v>3.9376284143615998</v>
      </c>
      <c r="AY145" s="14">
        <f>IF(OR(AY$5="大R",AY$5="超R"),MAX(INDEX(其他调用!$H$5:$L$404,MATCH($K145,其他调用!$B$5:$B$404,0),MATCH(AY$5,其他调用!$H$4:$L$4,0))*120*0.85,2),INDEX(其他调用!$H$5:$L$404,MATCH($K145,其他调用!$B$5:$B$404,0),MATCH(AY$5,其他调用!$H$4:$L$4,0))*120*0.85)</f>
        <v>2</v>
      </c>
      <c r="AZ145" s="14">
        <f>IF(OR(AZ$5="大R",AZ$5="超R"),MAX(INDEX(其他调用!$H$5:$L$404,MATCH($K145,其他调用!$B$5:$B$404,0),MATCH(AZ$5,其他调用!$H$4:$L$4,0))*120*0.85,2),INDEX(其他调用!$H$5:$L$404,MATCH($K145,其他调用!$B$5:$B$404,0),MATCH(AZ$5,其他调用!$H$4:$L$4,0))*120*0.85)</f>
        <v>2</v>
      </c>
      <c r="BA145" s="14">
        <f>INDEX(其他调用!$H$5:$L$404,MATCH($K145,其他调用!$B$5:$B$404,0),MATCH(BA$5,其他调用!$H$4:$L$4,0))*INDEX(其他调用!$M$5:$M$404,MATCH($K145,其他调用!$B$5:$B$404,0))*0.6</f>
        <v>28.777530149999997</v>
      </c>
      <c r="BB145" s="14">
        <f>INDEX(其他调用!$H$5:$L$404,MATCH($K145,其他调用!$B$5:$B$404,0),MATCH(BB$5,其他调用!$H$4:$L$4,0))*INDEX(其他调用!$M$5:$M$404,MATCH($K145,其他调用!$B$5:$B$404,0))*0.6</f>
        <v>28.374908241551999</v>
      </c>
      <c r="BC145" s="14">
        <f>INDEX(其他调用!$H$5:$L$404,MATCH($K145,其他调用!$B$5:$B$404,0),MATCH(BC$5,其他调用!$H$4:$L$4,0))*INDEX(其他调用!$M$5:$M$404,MATCH($K145,其他调用!$B$5:$B$404,0))*0.6</f>
        <v>2.3162520084480001</v>
      </c>
      <c r="BD145" s="14">
        <f>INDEX(其他调用!$H$5:$L$404,MATCH($K145,其他调用!$B$5:$B$404,0),MATCH(BD$5,其他调用!$H$4:$L$4,0))*INDEX(其他调用!$M$5:$M$404,MATCH($K145,其他调用!$B$5:$B$404,0))*0.6</f>
        <v>0.4120776000000001</v>
      </c>
      <c r="BE145" s="14">
        <f>INDEX(其他调用!$H$5:$L$404,MATCH($K145,其他调用!$B$5:$B$404,0),MATCH(BE$5,其他调用!$H$4:$L$4,0))*INDEX(其他调用!$M$5:$M$404,MATCH($K145,其他调用!$B$5:$B$404,0))*0.6</f>
        <v>0.11923199999999998</v>
      </c>
      <c r="BF145" s="14">
        <f>IF(OR(BF$5="大R",BF$5="超R"),0,INDEX(其他调用!$H$5:$L$404,MATCH($K145,其他调用!$B$5:$B$404,0),MATCH(BF$5,其他调用!$H$4:$L$4,0))*50*0.4)</f>
        <v>9.5925100500000013</v>
      </c>
      <c r="BG145" s="14">
        <f>IF(OR(BG$5="大R",BG$5="超R"),0,INDEX(其他调用!$H$5:$L$404,MATCH($K145,其他调用!$B$5:$B$404,0),MATCH(BG$5,其他调用!$H$4:$L$4,0))*50*0.4)</f>
        <v>9.4583027471839998</v>
      </c>
      <c r="BH145" s="14">
        <f>IF(OR(BH$5="大R",BH$5="超R"),0,INDEX(其他调用!$H$5:$L$404,MATCH($K145,其他调用!$B$5:$B$404,0),MATCH(BH$5,其他调用!$H$4:$L$4,0))*50*0.4)</f>
        <v>0.77208400281600009</v>
      </c>
      <c r="BI145" s="14">
        <f>IF(OR(BI$5="大R",BI$5="超R"),0,INDEX(其他调用!$H$5:$L$404,MATCH($K145,其他调用!$B$5:$B$404,0),MATCH(BI$5,其他调用!$H$4:$L$4,0))*50*0.4)</f>
        <v>0</v>
      </c>
      <c r="BJ145" s="14">
        <f>IF(OR(BJ$5="大R",BJ$5="超R"),0,INDEX(其他调用!$H$5:$L$404,MATCH($K145,其他调用!$B$5:$B$404,0),MATCH(BJ$5,其他调用!$H$4:$L$4,0))*50*0.4)</f>
        <v>0</v>
      </c>
      <c r="BL145" s="14">
        <f t="shared" si="313"/>
        <v>140</v>
      </c>
      <c r="BM145" s="14">
        <f t="shared" si="220"/>
        <v>96</v>
      </c>
      <c r="BN145" s="14">
        <f>('疲劳值&amp;地图信息'!$S$10*'疲劳值&amp;地图信息'!$R$10+'疲劳值&amp;地图信息'!$S$11*'疲劳值&amp;地图信息'!$R$11+'疲劳值&amp;地图信息'!$S$12*'疲劳值&amp;地图信息'!$R$12+(BM145-'疲劳值&amp;地图信息'!$S$12-'疲劳值&amp;地图信息'!$S$11-'疲劳值&amp;地图信息'!$S$10)*'疲劳值&amp;地图信息'!$R$13)/BM145</f>
        <v>51.371477246638619</v>
      </c>
      <c r="BO145" s="14">
        <f>INDEX(其他调用!$M$5:$M$404,MATCH(BL145,其他调用!$B$5:$B$404,0))*0.6</f>
        <v>60</v>
      </c>
      <c r="BP145" s="14">
        <f>IF(BO145&gt;SUM('疲劳值&amp;地图信息'!$S$10:$S$12),('疲劳值&amp;地图信息'!$S$10*'疲劳值&amp;地图信息'!$R$10+'疲劳值&amp;地图信息'!$S$11*'疲劳值&amp;地图信息'!$R$11+'疲劳值&amp;地图信息'!$S$12*'疲劳值&amp;地图信息'!$R$12+(BO145-'疲劳值&amp;地图信息'!$S$12-'疲劳值&amp;地图信息'!$S$11-'疲劳值&amp;地图信息'!$S$10)*'疲劳值&amp;地图信息'!$R$13)/BO145,('疲劳值&amp;地图信息'!$S$10*'疲劳值&amp;地图信息'!$R$10+'疲劳值&amp;地图信息'!$S$11*'疲劳值&amp;地图信息'!$R$11+'疲劳值&amp;地图信息'!$S$12*'疲劳值&amp;地图信息'!$R$12+(BO145-'疲劳值&amp;地图信息'!$S$12-'疲劳值&amp;地图信息'!$S$11-'疲劳值&amp;地图信息'!$S$10)*'疲劳值&amp;地图信息'!$R$13)/BO145)</f>
        <v>44.158136341605953</v>
      </c>
      <c r="BQ145" s="14">
        <f t="shared" si="314"/>
        <v>20</v>
      </c>
      <c r="BR145" s="14">
        <f>('疲劳值&amp;地图信息'!$S$10*'疲劳值&amp;地图信息'!$R$10+($BQ145-'疲劳值&amp;地图信息'!$S$10)*'疲劳值&amp;地图信息'!$R$11)/$BQ145</f>
        <v>32.067203015074995</v>
      </c>
      <c r="CF145" s="14">
        <v>140</v>
      </c>
      <c r="CG145" s="51">
        <f t="shared" si="221"/>
        <v>11306</v>
      </c>
      <c r="CH145" s="51">
        <f t="shared" si="222"/>
        <v>925</v>
      </c>
      <c r="CI145" s="51">
        <f>INT(SUMPRODUCT($N145:$R145,$BA145:$BE145)/SUM($BA145:$BE145)/10000*$BX$7*$BZ$34/'疲劳值&amp;地图信息'!$R$10*$BY$53)</f>
        <v>3055</v>
      </c>
      <c r="CJ145" s="50">
        <f t="shared" si="223"/>
        <v>0.73963103493392646</v>
      </c>
      <c r="CK145" s="50">
        <f t="shared" si="224"/>
        <v>6.051288760957739E-2</v>
      </c>
      <c r="CL145" s="50">
        <f t="shared" si="225"/>
        <v>0.19985607745649614</v>
      </c>
      <c r="CM145" s="14">
        <f t="shared" si="226"/>
        <v>12158</v>
      </c>
      <c r="CN145" s="14">
        <f t="shared" si="227"/>
        <v>1525</v>
      </c>
      <c r="CO145" s="14">
        <f>INT(SUMPRODUCT($U145:$Y145,$BA145:$BE145)/SUM($BA145:$BE145)/10000*$BX$7*$BZ$34/'疲劳值&amp;地图信息'!$R$10*$BY$54)</f>
        <v>5750</v>
      </c>
      <c r="CP145" s="50">
        <f t="shared" si="228"/>
        <v>0.62563680337570116</v>
      </c>
      <c r="CQ145" s="50">
        <f t="shared" si="229"/>
        <v>7.8474759429835853E-2</v>
      </c>
      <c r="CR145" s="50">
        <f t="shared" si="230"/>
        <v>0.29588843719446301</v>
      </c>
      <c r="CS145" s="14">
        <f t="shared" si="231"/>
        <v>13006</v>
      </c>
      <c r="CT145" s="14">
        <f t="shared" si="232"/>
        <v>2667</v>
      </c>
      <c r="CU145" s="14">
        <f>INT(SUMPRODUCT($AB145:$AF145,$BA145:$BE145)/SUM($BA145:$BE145)/10000*$BX$7*$BZ$34/'疲劳值&amp;地图信息'!$R$10*$BY$55)</f>
        <v>7814</v>
      </c>
      <c r="CV145" s="50">
        <f t="shared" si="233"/>
        <v>0.55375314003491294</v>
      </c>
      <c r="CW145" s="50">
        <f t="shared" si="234"/>
        <v>0.11355217780048538</v>
      </c>
      <c r="CX145" s="50">
        <f t="shared" si="235"/>
        <v>0.33269468216460168</v>
      </c>
      <c r="CY145" s="14">
        <f t="shared" si="236"/>
        <v>14893</v>
      </c>
      <c r="CZ145" s="14">
        <f t="shared" si="237"/>
        <v>7208</v>
      </c>
      <c r="DA145" s="14">
        <f>INT(SUMPRODUCT($AI145:$AM145,$BA145:$BE145)/SUM($BA145:$BE145)/10000*$BX$7*$BZ$34/'疲劳值&amp;地图信息'!$R$10*$BY$56)</f>
        <v>11783</v>
      </c>
      <c r="DB145" s="50">
        <f t="shared" si="238"/>
        <v>0.43952898123007911</v>
      </c>
      <c r="DC145" s="50">
        <f t="shared" si="239"/>
        <v>0.21272577027505607</v>
      </c>
      <c r="DD145" s="50">
        <f t="shared" si="240"/>
        <v>0.34774524849486482</v>
      </c>
      <c r="DE145" s="14">
        <f t="shared" si="241"/>
        <v>14959</v>
      </c>
      <c r="DF145" s="14">
        <f t="shared" si="242"/>
        <v>13338</v>
      </c>
      <c r="DG145" s="14">
        <f>INT(SUMPRODUCT($AP145:$AT145,$BA145:$BE145)/SUM($BA145:$BE145)/10000*$BX$7*$BZ$34/'疲劳值&amp;地图信息'!$R$10*$BY$57)</f>
        <v>15737</v>
      </c>
      <c r="DH145" s="50">
        <f t="shared" si="243"/>
        <v>0.33971476586274241</v>
      </c>
      <c r="DI145" s="50">
        <f t="shared" si="244"/>
        <v>0.30290230276604441</v>
      </c>
      <c r="DJ145" s="50">
        <f t="shared" si="245"/>
        <v>0.35738293137121313</v>
      </c>
      <c r="DL145" s="14">
        <f t="shared" si="316"/>
        <v>15286</v>
      </c>
      <c r="DM145" s="14">
        <f t="shared" si="317"/>
        <v>19433</v>
      </c>
      <c r="DN145" s="14">
        <f t="shared" si="318"/>
        <v>23487</v>
      </c>
      <c r="DO145" s="14">
        <f t="shared" si="319"/>
        <v>33884</v>
      </c>
      <c r="DP145" s="14">
        <f t="shared" si="320"/>
        <v>44034</v>
      </c>
      <c r="DQ145" s="14">
        <f t="shared" si="321"/>
        <v>1064917</v>
      </c>
      <c r="DT145" s="14">
        <f t="shared" si="315"/>
        <v>235575</v>
      </c>
      <c r="DU145" s="50">
        <f t="shared" si="217"/>
        <v>0.18114298280958283</v>
      </c>
      <c r="DW145" s="14">
        <f t="shared" si="246"/>
        <v>1300492</v>
      </c>
      <c r="EB145" s="14">
        <v>140</v>
      </c>
      <c r="EC145" s="51">
        <f t="shared" si="247"/>
        <v>18844</v>
      </c>
      <c r="ED145" s="51">
        <f t="shared" si="248"/>
        <v>1543</v>
      </c>
      <c r="EE145" s="51">
        <f>INT(SUMPRODUCT($N145:$R145,$BF145:$BJ145)/SUM($BF145:$BJ145)/10000*$BX$7*$BZ$46/'疲劳值&amp;地图信息'!$R$10*$BY$53)</f>
        <v>410</v>
      </c>
      <c r="EF145" s="50">
        <f t="shared" si="249"/>
        <v>0.9060922248401212</v>
      </c>
      <c r="EG145" s="50">
        <f t="shared" si="250"/>
        <v>7.4193393277876621E-2</v>
      </c>
      <c r="EH145" s="50">
        <f t="shared" si="251"/>
        <v>1.971438188200221E-2</v>
      </c>
      <c r="EI145" s="51">
        <f t="shared" si="252"/>
        <v>20263</v>
      </c>
      <c r="EJ145" s="51">
        <f t="shared" si="253"/>
        <v>2542</v>
      </c>
      <c r="EK145" s="14">
        <f>INT(SUMPRODUCT($U145:$Y145,$BF145:$BJ145)/SUM($BF145:$BJ145)/10000*$BX$7*$BZ$46/'疲劳值&amp;地图信息'!$R$10*$BY$54)</f>
        <v>772</v>
      </c>
      <c r="EL145" s="50">
        <f t="shared" si="254"/>
        <v>0.85943928404801284</v>
      </c>
      <c r="EM145" s="50">
        <f t="shared" si="255"/>
        <v>0.10781694023836789</v>
      </c>
      <c r="EN145" s="50">
        <f t="shared" si="256"/>
        <v>3.2743775713619208E-2</v>
      </c>
      <c r="EO145" s="51">
        <f t="shared" si="257"/>
        <v>21676</v>
      </c>
      <c r="EP145" s="51">
        <f t="shared" si="258"/>
        <v>4446</v>
      </c>
      <c r="EQ145" s="14">
        <f>INT(SUMPRODUCT($AB145:$AF145,$BF145:$BJ145)/SUM($BF145:$BJ145)/10000*$BX$7*$BZ$46/'疲劳值&amp;地图信息'!$R$10*$BY$55)</f>
        <v>1047</v>
      </c>
      <c r="ER145" s="50">
        <f t="shared" si="259"/>
        <v>0.79782104604512494</v>
      </c>
      <c r="ES145" s="50">
        <f t="shared" si="260"/>
        <v>0.16364238654348706</v>
      </c>
      <c r="ET145" s="50">
        <f t="shared" si="261"/>
        <v>3.853656741138798E-2</v>
      </c>
      <c r="EU145" s="51">
        <f t="shared" si="262"/>
        <v>24821</v>
      </c>
      <c r="EV145" s="51">
        <f t="shared" si="263"/>
        <v>12014</v>
      </c>
      <c r="EW145" s="14">
        <f>INT(SUMPRODUCT($AI145:$AM145,$BF145:$BJ145)/SUM($BF145:$BJ145)/10000*$BX$7*$BZ$46/'疲劳值&amp;地图信息'!$R$10*$BY$56)</f>
        <v>1571</v>
      </c>
      <c r="EX145" s="50">
        <f t="shared" si="264"/>
        <v>0.64627922720408271</v>
      </c>
      <c r="EY145" s="50">
        <f t="shared" si="265"/>
        <v>0.3128157058792897</v>
      </c>
      <c r="EZ145" s="50">
        <f t="shared" si="266"/>
        <v>4.0905066916627611E-2</v>
      </c>
      <c r="FA145" s="51">
        <f t="shared" si="267"/>
        <v>24932</v>
      </c>
      <c r="FB145" s="51">
        <f t="shared" si="268"/>
        <v>22230</v>
      </c>
      <c r="FC145" s="14">
        <f>INT(SUMPRODUCT($AP145:$AT145,$BF145:$BJ145)/SUM($BF145:$BJ145)/10000*$BX$7*$BZ$46/'疲劳值&amp;地图信息'!$R$10*$BY$57)</f>
        <v>2095</v>
      </c>
      <c r="FD145" s="50">
        <f t="shared" si="269"/>
        <v>0.50616156079338981</v>
      </c>
      <c r="FE145" s="50">
        <f t="shared" si="270"/>
        <v>0.45130641330166271</v>
      </c>
      <c r="FF145" s="50">
        <f t="shared" si="271"/>
        <v>4.2532025904947521E-2</v>
      </c>
      <c r="FH145" s="14">
        <f t="shared" si="272"/>
        <v>20797</v>
      </c>
      <c r="FI145" s="14">
        <f t="shared" si="273"/>
        <v>23577</v>
      </c>
      <c r="FJ145" s="14">
        <f t="shared" si="274"/>
        <v>27169</v>
      </c>
      <c r="FK145" s="14">
        <f t="shared" si="275"/>
        <v>38406</v>
      </c>
      <c r="FL145" s="14">
        <f t="shared" si="276"/>
        <v>49257</v>
      </c>
      <c r="FM145" s="14">
        <f t="shared" si="277"/>
        <v>2437025</v>
      </c>
      <c r="FP145" s="14">
        <f t="shared" si="278"/>
        <v>334150</v>
      </c>
      <c r="FQ145" s="50">
        <f t="shared" si="218"/>
        <v>0.12058062013405865</v>
      </c>
      <c r="FS145" s="14">
        <f t="shared" si="279"/>
        <v>2771175</v>
      </c>
      <c r="FX145" s="14">
        <v>140</v>
      </c>
      <c r="FY145" s="51">
        <f t="shared" si="280"/>
        <v>26382</v>
      </c>
      <c r="FZ145" s="51">
        <f t="shared" si="281"/>
        <v>1543</v>
      </c>
      <c r="GA145" s="51">
        <f>INT(SUMPRODUCT($N145:$R145,$BF145:$BJ145)/SUM($BF145:$BJ145)/10000*$BX$7*$BZ$46/'疲劳值&amp;地图信息'!$R$10*$BY$53)</f>
        <v>410</v>
      </c>
      <c r="GB145" s="50">
        <f t="shared" si="282"/>
        <v>0.93107464266807838</v>
      </c>
      <c r="GC145" s="50">
        <f t="shared" si="283"/>
        <v>5.4455620257631905E-2</v>
      </c>
      <c r="GD145" s="50">
        <f t="shared" si="284"/>
        <v>1.4469737074289748E-2</v>
      </c>
      <c r="GE145" s="51">
        <f t="shared" si="285"/>
        <v>28368</v>
      </c>
      <c r="GF145" s="51">
        <f t="shared" si="286"/>
        <v>2542</v>
      </c>
      <c r="GG145" s="14">
        <f>INT(SUMPRODUCT($U145:$Y145,$BF145:$BJ145)/SUM($BF145:$BJ145)/10000*$BX$7*$BZ$46/'疲劳值&amp;地图信息'!$R$10*$BY$54)</f>
        <v>772</v>
      </c>
      <c r="GH145" s="50">
        <f t="shared" si="287"/>
        <v>0.89539801780190642</v>
      </c>
      <c r="GI145" s="50">
        <f t="shared" si="288"/>
        <v>8.0234833659491189E-2</v>
      </c>
      <c r="GJ145" s="50">
        <f t="shared" si="289"/>
        <v>2.4367148538602362E-2</v>
      </c>
      <c r="GK145" s="51">
        <f t="shared" si="290"/>
        <v>30347</v>
      </c>
      <c r="GL145" s="51">
        <f t="shared" si="291"/>
        <v>4446</v>
      </c>
      <c r="GM145" s="14">
        <f>INT(SUMPRODUCT($AB145:$AF145,$BF145:$BJ145)/SUM($BF145:$BJ145)/10000*$BX$7*$BZ$46/'疲劳值&amp;地图信息'!$R$10*$BY$55)</f>
        <v>1047</v>
      </c>
      <c r="GN145" s="50">
        <f t="shared" si="292"/>
        <v>0.84673549107142854</v>
      </c>
      <c r="GO145" s="50">
        <f t="shared" si="293"/>
        <v>0.12405133928571428</v>
      </c>
      <c r="GP145" s="50">
        <f t="shared" si="294"/>
        <v>2.9213169642857143E-2</v>
      </c>
      <c r="GQ145" s="51">
        <f t="shared" si="295"/>
        <v>34750</v>
      </c>
      <c r="GR145" s="51">
        <f t="shared" si="296"/>
        <v>12014</v>
      </c>
      <c r="GS145" s="14">
        <f>INT(SUMPRODUCT($AI145:$AM145,$BF145:$BJ145)/SUM($BF145:$BJ145)/10000*$BX$7*$BZ$46/'疲劳值&amp;地图信息'!$R$10*$BY$56)</f>
        <v>1571</v>
      </c>
      <c r="GT145" s="50">
        <f t="shared" si="297"/>
        <v>0.71894072618185578</v>
      </c>
      <c r="GU145" s="50">
        <f t="shared" si="298"/>
        <v>0.24855694631219613</v>
      </c>
      <c r="GV145" s="50">
        <f t="shared" si="299"/>
        <v>3.2502327505948073E-2</v>
      </c>
      <c r="GW145" s="51">
        <f t="shared" si="300"/>
        <v>34906</v>
      </c>
      <c r="GX145" s="51">
        <f t="shared" si="301"/>
        <v>22230</v>
      </c>
      <c r="GY145" s="14">
        <f>INT(SUMPRODUCT($AP145:$AT145,$BF145:$BJ145)/SUM($BF145:$BJ145)/10000*$BX$7*$BZ$46/'疲劳值&amp;地图信息'!$R$10*$BY$57)</f>
        <v>2095</v>
      </c>
      <c r="GZ145" s="50">
        <f t="shared" si="302"/>
        <v>0.58931978187097978</v>
      </c>
      <c r="HA145" s="50">
        <f t="shared" si="303"/>
        <v>0.37531022606405429</v>
      </c>
      <c r="HB145" s="50">
        <f t="shared" si="304"/>
        <v>3.536999206496598E-2</v>
      </c>
      <c r="HD145" s="14">
        <f t="shared" si="305"/>
        <v>28335</v>
      </c>
      <c r="HE145" s="14">
        <f t="shared" si="306"/>
        <v>31682</v>
      </c>
      <c r="HF145" s="14">
        <f t="shared" si="307"/>
        <v>35840</v>
      </c>
      <c r="HG145" s="14">
        <f t="shared" si="308"/>
        <v>48335</v>
      </c>
      <c r="HH145" s="14">
        <f t="shared" si="309"/>
        <v>59231</v>
      </c>
      <c r="HI145" s="14">
        <f t="shared" si="310"/>
        <v>3270711</v>
      </c>
      <c r="HL145" s="14">
        <f t="shared" si="311"/>
        <v>430050</v>
      </c>
      <c r="HM145" s="50">
        <f t="shared" si="219"/>
        <v>0.11620582901732913</v>
      </c>
      <c r="HO145" s="14">
        <f t="shared" si="312"/>
        <v>3700761</v>
      </c>
    </row>
    <row r="146" spans="11:223" x14ac:dyDescent="0.2">
      <c r="K146" s="14">
        <v>141</v>
      </c>
      <c r="L146" s="12">
        <f>求节点(节奏总纲!D$4:D$163,标准城池设计!AB$4:AB$163,$K146)*求节点(节奏总纲!D$4:D$163,攻城基础信息!$AC$5:$AC$164,$K146)</f>
        <v>556467.40243364079</v>
      </c>
      <c r="M146" s="12">
        <f>INDEX(其他调用!$AA$5:$AA$404,MATCH(K146,其他调用!$X$5:$X$404,0))*MIN(INDEX(其他调用!$AH$5:$AH$364,MATCH('征服点（新）'!K146,其他调用!$AG$5:$AG$364,0),1)/INDEX(其他调用!$AJ$5:$AJ$364,MATCH(K146,其他调用!$AG$5:$AG$364,0),0),5)*求节点(节奏总纲!D$4:D$163,攻城基础信息!$AC$5:$AC$164,$K146)</f>
        <v>45504.631157286261</v>
      </c>
      <c r="N146" s="12">
        <f>MIN(INDEX(其他调用!$AH$5:$AH$364,MATCH($K146,其他调用!$AG$5:$AG$364,0),1)/INDEX(其他调用!AH$5:AH$364,MATCH($K146,其他调用!$AG$5:$AG$364,0),0),1)*INDEX(其他调用!Y$5:Y$404,MATCH($K146,其他调用!$X$5:$X$404,0),0)</f>
        <v>38117.95406366793</v>
      </c>
      <c r="O146" s="12">
        <f>MIN(INDEX(其他调用!$AH$5:$AH$364,MATCH($K146,其他调用!$AG$5:$AG$364,0),1)/INDEX(其他调用!AI$5:AI$364,MATCH($K146,其他调用!$AG$5:$AG$364,0),0),1)*INDEX(其他调用!Z$5:Z$404,MATCH($K146,其他调用!$X$5:$X$404,0),0)</f>
        <v>23843.906700641539</v>
      </c>
      <c r="P146" s="12">
        <f>MIN(INDEX(其他调用!$AH$5:$AH$364,MATCH($K146,其他调用!$AG$5:$AG$364,0),1)/INDEX(其他调用!AJ$5:AJ$364,MATCH($K146,其他调用!$AG$5:$AG$364,0),0),1)*INDEX(其他调用!AA$5:AA$404,MATCH($K146,其他调用!$X$5:$X$404,0),0)</f>
        <v>14148.158285357033</v>
      </c>
      <c r="Q146" s="12">
        <f>MIN(INDEX(其他调用!$AH$5:$AH$364,MATCH($K146,其他调用!$AG$5:$AG$364,0),1)/INDEX(其他调用!AK$5:AK$364,MATCH($K146,其他调用!$AG$5:$AG$364,0),0),1)*INDEX(其他调用!AB$5:AB$404,MATCH($K146,其他调用!$X$5:$X$404,0),0)</f>
        <v>5502.257306326349</v>
      </c>
      <c r="R146" s="12">
        <f>MIN(INDEX(其他调用!$AH$5:$AH$364,MATCH($K146,其他调用!$AG$5:$AG$364,0),1)/INDEX(其他调用!AL$5:AL$364,MATCH($K146,其他调用!$AG$5:$AG$364,0),0),1)*INDEX(其他调用!AC$5:AC$404,MATCH($K146,其他调用!$X$5:$X$404,0),0)</f>
        <v>1861.3924717849486</v>
      </c>
      <c r="S146" s="12">
        <f>求节点(节奏总纲!D$4:D$163,标准城池设计!AC$4:AC$163,$K146)*求节点(节奏总纲!D$4:D$163,攻城基础信息!$AD$5:$AD$164,$K146)</f>
        <v>598393.78980131703</v>
      </c>
      <c r="T146" s="12">
        <f>INDEX(其他调用!$AA$5:$AA$404,MATCH($K146,其他调用!$X$5:$X$404,0))*MIN(INDEX(其他调用!AI$5:AI$364,MATCH($K146,其他调用!$AG$5:$AG$364,0),1)/INDEX(其他调用!$AJ$5:$AJ$364,MATCH($K146,其他调用!$AG$5:$AG$364,0),0),5)*求节点(节奏总纲!D$4:D$163,攻城基础信息!$AD$5:$AD$164,$K146)</f>
        <v>74946.989816242974</v>
      </c>
      <c r="U146" s="12">
        <f>MIN(INDEX(其他调用!$AI$5:$AI$364,MATCH($K146,其他调用!$AG$5:$AG$364,0),1)/INDEX(其他调用!AH$5:AH$364,MATCH($K146,其他调用!$AG$5:$AG$364,0),0),1)*INDEX(其他调用!Y$5:Y$404,MATCH($K146,其他调用!$X$5:$X$404,0),0)</f>
        <v>38117.95406366793</v>
      </c>
      <c r="V146" s="12">
        <f>MIN(INDEX(其他调用!$AI$5:$AI$364,MATCH($K146,其他调用!$AG$5:$AG$364,0),1)/INDEX(其他调用!AI$5:AI$364,MATCH($K146,其他调用!$AG$5:$AG$364,0),0),1)*INDEX(其他调用!Z$5:Z$404,MATCH($K146,其他调用!$X$5:$X$404,0),0)</f>
        <v>39271.366171403148</v>
      </c>
      <c r="W146" s="12">
        <f>MIN(INDEX(其他调用!$AI$5:$AI$364,MATCH($K146,其他调用!$AG$5:$AG$364,0),1)/INDEX(其他调用!AJ$5:AJ$364,MATCH($K146,其他调用!$AG$5:$AG$364,0),0),1)*INDEX(其他调用!AA$5:AA$404,MATCH($K146,其他调用!$X$5:$X$404,0),0)</f>
        <v>23302.284799674959</v>
      </c>
      <c r="X146" s="12">
        <f>MIN(INDEX(其他调用!$AI$5:$AI$364,MATCH($K146,其他调用!$AG$5:$AG$364,0),1)/INDEX(其他调用!AK$5:AK$364,MATCH($K146,其他调用!$AG$5:$AG$364,0),0),1)*INDEX(其他调用!AB$5:AB$404,MATCH($K146,其他调用!$X$5:$X$404,0),0)</f>
        <v>9062.3220497757829</v>
      </c>
      <c r="Y146" s="12">
        <f>MIN(INDEX(其他调用!$AI$5:$AI$364,MATCH($K146,其他调用!$AG$5:$AG$364,0),1)/INDEX(其他调用!AL$5:AL$364,MATCH($K146,其他调用!$AG$5:$AG$364,0),0),1)*INDEX(其他调用!AC$5:AC$404,MATCH($K146,其他调用!$X$5:$X$404,0),0)</f>
        <v>3065.7486739030528</v>
      </c>
      <c r="Z146" s="12">
        <f>求节点(节奏总纲!D$4:D$163,标准城池设计!AD$4:AD$163,$K146)*求节点(节奏总纲!D$4:D$163,攻城基础信息!$AE$5:$AE$164,$K146)</f>
        <v>639940.89020715293</v>
      </c>
      <c r="AA146" s="12">
        <f>INDEX(其他调用!$AA$5:$AA$404,MATCH($K146,其他调用!$X$5:$X$404,0))*MIN(INDEX(其他调用!AJ$5:AJ$364,MATCH($K146,其他调用!$AG$5:$AG$364,0),1)/INDEX(其他调用!$AJ$5:$AJ$364,MATCH($K146,其他调用!$AG$5:$AG$364,0),0),5)*求节点(节奏总纲!D$4:D$163,攻城基础信息!$AE$5:$AE$164,$K146)</f>
        <v>131157.7135231407</v>
      </c>
      <c r="AB146" s="12">
        <f>MIN(INDEX(其他调用!$AJ$5:$AJ$364,MATCH($K146,其他调用!$AG$5:$AG$364,0),1)/INDEX(其他调用!AH$5:AH$364,MATCH($K146,其他调用!$AG$5:$AG$364,0),0),1)*INDEX(其他调用!Y$5:Y$404,MATCH($K146,其他调用!$X$5:$X$404,0),0)</f>
        <v>38117.95406366793</v>
      </c>
      <c r="AC146" s="12">
        <f>MIN(INDEX(其他调用!$AJ$5:$AJ$364,MATCH($K146,其他调用!$AG$5:$AG$364,0),1)/INDEX(其他调用!AI$5:AI$364,MATCH($K146,其他调用!$AG$5:$AG$364,0),0),1)*INDEX(其他调用!Z$5:Z$404,MATCH($K146,其他调用!$X$5:$X$404,0),0)</f>
        <v>39271.366171403148</v>
      </c>
      <c r="AD146" s="12">
        <f>MIN(INDEX(其他调用!$AJ$5:$AJ$364,MATCH($K146,其他调用!$AG$5:$AG$364,0),1)/INDEX(其他调用!AJ$5:AJ$364,MATCH($K146,其他调用!$AG$5:$AG$364,0),0),1)*INDEX(其他调用!AA$5:AA$404,MATCH($K146,其他调用!$X$5:$X$404,0),0)</f>
        <v>40779.148057631923</v>
      </c>
      <c r="AE146" s="12">
        <f>MIN(INDEX(其他调用!$AJ$5:$AJ$364,MATCH($K146,其他调用!$AG$5:$AG$364,0),1)/INDEX(其他调用!AK$5:AK$364,MATCH($K146,其他调用!$AG$5:$AG$364,0),0),1)*INDEX(其他调用!AB$5:AB$404,MATCH($K146,其他调用!$X$5:$X$404,0),0)</f>
        <v>15859.121789589659</v>
      </c>
      <c r="AF146" s="12">
        <f>MIN(INDEX(其他调用!$AJ$5:$AJ$364,MATCH($K146,其他调用!$AG$5:$AG$364,0),1)/INDEX(其他调用!AL$5:AL$364,MATCH($K146,其他调用!$AG$5:$AG$364,0),0),1)*INDEX(其他调用!AC$5:AC$404,MATCH($K146,其他调用!$X$5:$X$404,0),0)</f>
        <v>5365.0798690060292</v>
      </c>
      <c r="AG146" s="12">
        <f>求节点(节奏总纲!D$4:D$163,标准城池设计!AE$4:AE$163,$K146)*求节点(节奏总纲!D$4:D$163,攻城基础信息!$AF$5:$AF$164,$K146)</f>
        <v>732835.64549125696</v>
      </c>
      <c r="AH146" s="12">
        <f>INDEX(其他调用!$AA$5:$AA$404,MATCH($K146,其他调用!$X$5:$X$404,0))*MIN(INDEX(其他调用!AK$5:AK$364,MATCH($K146,其他调用!$AG$5:$AG$364,0),1)/INDEX(其他调用!$AJ$5:$AJ$364,MATCH($K146,其他调用!$AG$5:$AG$364,0),0),5)*求节点(节奏总纲!D$4:D$163,攻城基础信息!$AF$5:$AF$164,$K146)</f>
        <v>355375.94275769038</v>
      </c>
      <c r="AI146" s="12">
        <f>MIN(INDEX(其他调用!$AK$5:$AK$364,MATCH($K146,其他调用!$AG$5:$AG$364,0),1)/INDEX(其他调用!AH$5:AH$364,MATCH($K146,其他调用!$AG$5:$AG$364,0),0),1)*INDEX(其他调用!Y$5:Y$404,MATCH($K146,其他调用!$X$5:$X$404,0),0)</f>
        <v>38117.95406366793</v>
      </c>
      <c r="AJ146" s="12">
        <f>MIN(INDEX(其他调用!$AK$5:$AK$364,MATCH($K146,其他调用!$AG$5:$AG$364,0),1)/INDEX(其他调用!AI$5:AI$364,MATCH($K146,其他调用!$AG$5:$AG$364,0),0),1)*INDEX(其他调用!Z$5:Z$404,MATCH($K146,其他调用!$X$5:$X$404,0),0)</f>
        <v>39271.366171403148</v>
      </c>
      <c r="AK146" s="12">
        <f>MIN(INDEX(其他调用!$AK$5:$AK$364,MATCH($K146,其他调用!$AG$5:$AG$364,0),1)/INDEX(其他调用!AJ$5:AJ$364,MATCH($K146,其他调用!$AG$5:$AG$364,0),0),1)*INDEX(其他调用!AA$5:AA$404,MATCH($K146,其他调用!$X$5:$X$404,0),0)</f>
        <v>40779.148057631923</v>
      </c>
      <c r="AL146" s="12">
        <f>MIN(INDEX(其他调用!$AK$5:$AK$364,MATCH($K146,其他调用!$AG$5:$AG$364,0),1)/INDEX(其他调用!AK$5:AK$364,MATCH($K146,其他调用!$AG$5:$AG$364,0),0),1)*INDEX(其他调用!AB$5:AB$404,MATCH($K146,其他调用!$X$5:$X$404,0),0)</f>
        <v>42970.788418708456</v>
      </c>
      <c r="AM146" s="12">
        <f>MIN(INDEX(其他调用!$AK$5:$AK$364,MATCH($K146,其他调用!$AG$5:$AG$364,0),1)/INDEX(其他调用!AL$5:AL$364,MATCH($K146,其他调用!$AG$5:$AG$364,0),0),1)*INDEX(其他调用!AC$5:AC$404,MATCH($K146,其他调用!$X$5:$X$404,0),0)</f>
        <v>14536.852352812108</v>
      </c>
      <c r="AN146" s="12">
        <f>求节点(节奏总纲!D$4:D$163,标准城池设计!AF$4:AF$163,$K146)*求节点(节奏总纲!D$4:D$163,攻城基础信息!$AG$5:$AG$164,$K146)</f>
        <v>736961.52576422156</v>
      </c>
      <c r="AO146" s="12">
        <f>INDEX(其他调用!$AA$5:$AA$404,MATCH($K146,其他调用!$X$5:$X$404,0))*MIN(INDEX(其他调用!AL$5:AL$364,MATCH($K146,其他调用!$AG$5:$AG$364,0),1)/INDEX(其他调用!$AJ$5:$AJ$364,MATCH($K146,其他调用!$AG$5:$AG$364,0),0),5)*求节点(节奏总纲!D$4:D$163,攻城基础信息!$AG$5:$AG$164,$K146)</f>
        <v>655788.56761570345</v>
      </c>
      <c r="AP146" s="12">
        <f>MIN(INDEX(其他调用!$AL$5:$AL$364,MATCH($K146,其他调用!$AG$5:$AG$364,0),1)/INDEX(其他调用!AH$5:AH$364,MATCH($K146,其他调用!$AG$5:$AG$364,0),0),1)*INDEX(其他调用!Y$5:Y$404,MATCH($K146,其他调用!$X$5:$X$404,0),0)</f>
        <v>38117.95406366793</v>
      </c>
      <c r="AQ146" s="12">
        <f>MIN(INDEX(其他调用!$AL$5:$AL$364,MATCH($K146,其他调用!$AG$5:$AG$364,0),1)/INDEX(其他调用!AI$5:AI$364,MATCH($K146,其他调用!$AG$5:$AG$364,0),0),1)*INDEX(其他调用!Z$5:Z$404,MATCH($K146,其他调用!$X$5:$X$404,0),0)</f>
        <v>39271.366171403148</v>
      </c>
      <c r="AR146" s="12">
        <f>MIN(INDEX(其他调用!$AL$5:$AL$364,MATCH($K146,其他调用!$AG$5:$AG$364,0),1)/INDEX(其他调用!AJ$5:AJ$364,MATCH($K146,其他调用!$AG$5:$AG$364,0),0),1)*INDEX(其他调用!AA$5:AA$404,MATCH($K146,其他调用!$X$5:$X$404,0),0)</f>
        <v>40779.148057631923</v>
      </c>
      <c r="AS146" s="12">
        <f>MIN(INDEX(其他调用!$AL$5:$AL$364,MATCH($K146,其他调用!$AG$5:$AG$364,0),1)/INDEX(其他调用!AK$5:AK$364,MATCH($K146,其他调用!$AG$5:$AG$364,0),0),1)*INDEX(其他调用!AB$5:AB$404,MATCH($K146,其他调用!$X$5:$X$404,0),0)</f>
        <v>42970.788418708456</v>
      </c>
      <c r="AT146" s="12">
        <f>MIN(INDEX(其他调用!$AL$5:$AL$364,MATCH($K146,其他调用!$AG$5:$AG$364,0),1)/INDEX(其他调用!AL$5:AL$364,MATCH($K146,其他调用!$AG$5:$AG$364,0),0),1)*INDEX(其他调用!AC$5:AC$404,MATCH($K146,其他调用!$X$5:$X$404,0),0)</f>
        <v>46901.577385756755</v>
      </c>
      <c r="AV146" s="14">
        <f>IF(OR(AV$5="大R",AV$5="超R"),MAX(INDEX(其他调用!$H$5:$L$404,MATCH($K146,其他调用!$B$5:$B$404,0),MATCH(AV$5,其他调用!$H$4:$L$4,0))*120*0.85,2),INDEX(其他调用!$H$5:$L$404,MATCH($K146,其他调用!$B$5:$B$404,0),MATCH(AV$5,其他调用!$H$4:$L$4,0))*120*0.85)</f>
        <v>48.921801254999991</v>
      </c>
      <c r="AW146" s="14">
        <f>IF(OR(AW$5="大R",AW$5="超R"),MAX(INDEX(其他调用!$H$5:$L$404,MATCH($K146,其他调用!$B$5:$B$404,0),MATCH(AW$5,其他调用!$H$4:$L$4,0))*120*0.85,2),INDEX(其他调用!$H$5:$L$404,MATCH($K146,其他调用!$B$5:$B$404,0),MATCH(AW$5,其他调用!$H$4:$L$4,0))*120*0.85)</f>
        <v>48.237344010638395</v>
      </c>
      <c r="AX146" s="14">
        <f>IF(OR(AX$5="大R",AX$5="超R"),MAX(INDEX(其他调用!$H$5:$L$404,MATCH($K146,其他调用!$B$5:$B$404,0),MATCH(AX$5,其他调用!$H$4:$L$4,0))*120*0.85,2),INDEX(其他调用!$H$5:$L$404,MATCH($K146,其他调用!$B$5:$B$404,0),MATCH(AX$5,其他调用!$H$4:$L$4,0))*120*0.85)</f>
        <v>3.9376284143615998</v>
      </c>
      <c r="AY146" s="14">
        <f>IF(OR(AY$5="大R",AY$5="超R"),MAX(INDEX(其他调用!$H$5:$L$404,MATCH($K146,其他调用!$B$5:$B$404,0),MATCH(AY$5,其他调用!$H$4:$L$4,0))*120*0.85,2),INDEX(其他调用!$H$5:$L$404,MATCH($K146,其他调用!$B$5:$B$404,0),MATCH(AY$5,其他调用!$H$4:$L$4,0))*120*0.85)</f>
        <v>2</v>
      </c>
      <c r="AZ146" s="14">
        <f>IF(OR(AZ$5="大R",AZ$5="超R"),MAX(INDEX(其他调用!$H$5:$L$404,MATCH($K146,其他调用!$B$5:$B$404,0),MATCH(AZ$5,其他调用!$H$4:$L$4,0))*120*0.85,2),INDEX(其他调用!$H$5:$L$404,MATCH($K146,其他调用!$B$5:$B$404,0),MATCH(AZ$5,其他调用!$H$4:$L$4,0))*120*0.85)</f>
        <v>2</v>
      </c>
      <c r="BA146" s="14">
        <f>INDEX(其他调用!$H$5:$L$404,MATCH($K146,其他调用!$B$5:$B$404,0),MATCH(BA$5,其他调用!$H$4:$L$4,0))*INDEX(其他调用!$M$5:$M$404,MATCH($K146,其他调用!$B$5:$B$404,0))*0.6</f>
        <v>28.777530149999997</v>
      </c>
      <c r="BB146" s="14">
        <f>INDEX(其他调用!$H$5:$L$404,MATCH($K146,其他调用!$B$5:$B$404,0),MATCH(BB$5,其他调用!$H$4:$L$4,0))*INDEX(其他调用!$M$5:$M$404,MATCH($K146,其他调用!$B$5:$B$404,0))*0.6</f>
        <v>28.374908241551999</v>
      </c>
      <c r="BC146" s="14">
        <f>INDEX(其他调用!$H$5:$L$404,MATCH($K146,其他调用!$B$5:$B$404,0),MATCH(BC$5,其他调用!$H$4:$L$4,0))*INDEX(其他调用!$M$5:$M$404,MATCH($K146,其他调用!$B$5:$B$404,0))*0.6</f>
        <v>2.3162520084480001</v>
      </c>
      <c r="BD146" s="14">
        <f>INDEX(其他调用!$H$5:$L$404,MATCH($K146,其他调用!$B$5:$B$404,0),MATCH(BD$5,其他调用!$H$4:$L$4,0))*INDEX(其他调用!$M$5:$M$404,MATCH($K146,其他调用!$B$5:$B$404,0))*0.6</f>
        <v>0.4120776000000001</v>
      </c>
      <c r="BE146" s="14">
        <f>INDEX(其他调用!$H$5:$L$404,MATCH($K146,其他调用!$B$5:$B$404,0),MATCH(BE$5,其他调用!$H$4:$L$4,0))*INDEX(其他调用!$M$5:$M$404,MATCH($K146,其他调用!$B$5:$B$404,0))*0.6</f>
        <v>0.11923199999999998</v>
      </c>
      <c r="BF146" s="14">
        <f>IF(OR(BF$5="大R",BF$5="超R"),0,INDEX(其他调用!$H$5:$L$404,MATCH($K146,其他调用!$B$5:$B$404,0),MATCH(BF$5,其他调用!$H$4:$L$4,0))*50*0.4)</f>
        <v>9.5925100500000013</v>
      </c>
      <c r="BG146" s="14">
        <f>IF(OR(BG$5="大R",BG$5="超R"),0,INDEX(其他调用!$H$5:$L$404,MATCH($K146,其他调用!$B$5:$B$404,0),MATCH(BG$5,其他调用!$H$4:$L$4,0))*50*0.4)</f>
        <v>9.4583027471839998</v>
      </c>
      <c r="BH146" s="14">
        <f>IF(OR(BH$5="大R",BH$5="超R"),0,INDEX(其他调用!$H$5:$L$404,MATCH($K146,其他调用!$B$5:$B$404,0),MATCH(BH$5,其他调用!$H$4:$L$4,0))*50*0.4)</f>
        <v>0.77208400281600009</v>
      </c>
      <c r="BI146" s="14">
        <f>IF(OR(BI$5="大R",BI$5="超R"),0,INDEX(其他调用!$H$5:$L$404,MATCH($K146,其他调用!$B$5:$B$404,0),MATCH(BI$5,其他调用!$H$4:$L$4,0))*50*0.4)</f>
        <v>0</v>
      </c>
      <c r="BJ146" s="14">
        <f>IF(OR(BJ$5="大R",BJ$5="超R"),0,INDEX(其他调用!$H$5:$L$404,MATCH($K146,其他调用!$B$5:$B$404,0),MATCH(BJ$5,其他调用!$H$4:$L$4,0))*50*0.4)</f>
        <v>0</v>
      </c>
      <c r="BL146" s="14">
        <f t="shared" si="313"/>
        <v>141</v>
      </c>
      <c r="BM146" s="14">
        <f t="shared" si="220"/>
        <v>96</v>
      </c>
      <c r="BN146" s="14">
        <f>('疲劳值&amp;地图信息'!$S$10*'疲劳值&amp;地图信息'!$R$10+'疲劳值&amp;地图信息'!$S$11*'疲劳值&amp;地图信息'!$R$11+'疲劳值&amp;地图信息'!$S$12*'疲劳值&amp;地图信息'!$R$12+(BM146-'疲劳值&amp;地图信息'!$S$12-'疲劳值&amp;地图信息'!$S$11-'疲劳值&amp;地图信息'!$S$10)*'疲劳值&amp;地图信息'!$R$13)/BM146</f>
        <v>51.371477246638619</v>
      </c>
      <c r="BO146" s="14">
        <f>INDEX(其他调用!$M$5:$M$404,MATCH(BL146,其他调用!$B$5:$B$404,0))*0.6</f>
        <v>60</v>
      </c>
      <c r="BP146" s="14">
        <f>IF(BO146&gt;SUM('疲劳值&amp;地图信息'!$S$10:$S$12),('疲劳值&amp;地图信息'!$S$10*'疲劳值&amp;地图信息'!$R$10+'疲劳值&amp;地图信息'!$S$11*'疲劳值&amp;地图信息'!$R$11+'疲劳值&amp;地图信息'!$S$12*'疲劳值&amp;地图信息'!$R$12+(BO146-'疲劳值&amp;地图信息'!$S$12-'疲劳值&amp;地图信息'!$S$11-'疲劳值&amp;地图信息'!$S$10)*'疲劳值&amp;地图信息'!$R$13)/BO146,('疲劳值&amp;地图信息'!$S$10*'疲劳值&amp;地图信息'!$R$10+'疲劳值&amp;地图信息'!$S$11*'疲劳值&amp;地图信息'!$R$11+'疲劳值&amp;地图信息'!$S$12*'疲劳值&amp;地图信息'!$R$12+(BO146-'疲劳值&amp;地图信息'!$S$12-'疲劳值&amp;地图信息'!$S$11-'疲劳值&amp;地图信息'!$S$10)*'疲劳值&amp;地图信息'!$R$13)/BO146)</f>
        <v>44.158136341605953</v>
      </c>
      <c r="BQ146" s="14">
        <f t="shared" si="314"/>
        <v>20</v>
      </c>
      <c r="BR146" s="14">
        <f>('疲劳值&amp;地图信息'!$S$10*'疲劳值&amp;地图信息'!$R$10+($BQ146-'疲劳值&amp;地图信息'!$S$10)*'疲劳值&amp;地图信息'!$R$11)/$BQ146</f>
        <v>32.067203015074995</v>
      </c>
      <c r="CF146" s="14">
        <v>141</v>
      </c>
      <c r="CG146" s="51">
        <f t="shared" si="221"/>
        <v>11341</v>
      </c>
      <c r="CH146" s="51">
        <f t="shared" si="222"/>
        <v>927</v>
      </c>
      <c r="CI146" s="51">
        <f>INT(SUMPRODUCT($N146:$R146,$BA146:$BE146)/SUM($BA146:$BE146)/10000*$BX$7*$BZ$34/'疲劳值&amp;地图信息'!$R$10*$BY$53)</f>
        <v>3058</v>
      </c>
      <c r="CJ146" s="50">
        <f t="shared" si="223"/>
        <v>0.73998434033668281</v>
      </c>
      <c r="CK146" s="50">
        <f t="shared" si="224"/>
        <v>6.0485449562834401E-2</v>
      </c>
      <c r="CL146" s="50">
        <f t="shared" si="225"/>
        <v>0.19953021010048283</v>
      </c>
      <c r="CM146" s="14">
        <f t="shared" si="226"/>
        <v>12196</v>
      </c>
      <c r="CN146" s="14">
        <f t="shared" si="227"/>
        <v>1527</v>
      </c>
      <c r="CO146" s="14">
        <f>INT(SUMPRODUCT($U146:$Y146,$BA146:$BE146)/SUM($BA146:$BE146)/10000*$BX$7*$BZ$34/'疲劳值&amp;地图信息'!$R$10*$BY$54)</f>
        <v>5756</v>
      </c>
      <c r="CP146" s="50">
        <f t="shared" si="228"/>
        <v>0.62611016992658763</v>
      </c>
      <c r="CQ146" s="50">
        <f t="shared" si="229"/>
        <v>7.8392114584937625E-2</v>
      </c>
      <c r="CR146" s="50">
        <f t="shared" si="230"/>
        <v>0.29549771548847475</v>
      </c>
      <c r="CS146" s="14">
        <f t="shared" si="231"/>
        <v>13042</v>
      </c>
      <c r="CT146" s="14">
        <f t="shared" si="232"/>
        <v>2673</v>
      </c>
      <c r="CU146" s="14">
        <f>INT(SUMPRODUCT($AB146:$AF146,$BA146:$BE146)/SUM($BA146:$BE146)/10000*$BX$7*$BZ$34/'疲劳值&amp;地图信息'!$R$10*$BY$55)</f>
        <v>7822</v>
      </c>
      <c r="CV146" s="50">
        <f t="shared" si="233"/>
        <v>0.55410630071801847</v>
      </c>
      <c r="CW146" s="50">
        <f t="shared" si="234"/>
        <v>0.11356587500531079</v>
      </c>
      <c r="CX146" s="50">
        <f t="shared" si="235"/>
        <v>0.33232782427667079</v>
      </c>
      <c r="CY146" s="14">
        <f t="shared" si="236"/>
        <v>14936</v>
      </c>
      <c r="CZ146" s="14">
        <f t="shared" si="237"/>
        <v>7243</v>
      </c>
      <c r="DA146" s="14">
        <f>INT(SUMPRODUCT($AI146:$AM146,$BA146:$BE146)/SUM($BA146:$BE146)/10000*$BX$7*$BZ$34/'疲劳值&amp;地图信息'!$R$10*$BY$56)</f>
        <v>11796</v>
      </c>
      <c r="DB146" s="50">
        <f t="shared" si="238"/>
        <v>0.43961736571008092</v>
      </c>
      <c r="DC146" s="50">
        <f t="shared" si="239"/>
        <v>0.21318616629874909</v>
      </c>
      <c r="DD146" s="50">
        <f t="shared" si="240"/>
        <v>0.34719646799116999</v>
      </c>
      <c r="DE146" s="14">
        <f t="shared" si="241"/>
        <v>15020</v>
      </c>
      <c r="DF146" s="14">
        <f t="shared" si="242"/>
        <v>13365</v>
      </c>
      <c r="DG146" s="14">
        <f>INT(SUMPRODUCT($AP146:$AT146,$BA146:$BE146)/SUM($BA146:$BE146)/10000*$BX$7*$BZ$34/'疲劳值&amp;地图信息'!$R$10*$BY$57)</f>
        <v>15754</v>
      </c>
      <c r="DH146" s="50">
        <f t="shared" si="243"/>
        <v>0.34028863363465417</v>
      </c>
      <c r="DI146" s="50">
        <f t="shared" si="244"/>
        <v>0.30279344797118196</v>
      </c>
      <c r="DJ146" s="50">
        <f t="shared" si="245"/>
        <v>0.35691791839416387</v>
      </c>
      <c r="DL146" s="14">
        <f t="shared" si="316"/>
        <v>15326</v>
      </c>
      <c r="DM146" s="14">
        <f t="shared" si="317"/>
        <v>19479</v>
      </c>
      <c r="DN146" s="14">
        <f t="shared" si="318"/>
        <v>23537</v>
      </c>
      <c r="DO146" s="14">
        <f t="shared" si="319"/>
        <v>33975</v>
      </c>
      <c r="DP146" s="14">
        <f t="shared" si="320"/>
        <v>44139</v>
      </c>
      <c r="DQ146" s="14">
        <f t="shared" si="321"/>
        <v>1067540</v>
      </c>
      <c r="DT146" s="14">
        <f t="shared" si="315"/>
        <v>235575</v>
      </c>
      <c r="DU146" s="50">
        <f t="shared" si="217"/>
        <v>0.18077836568530023</v>
      </c>
      <c r="DW146" s="14">
        <f t="shared" si="246"/>
        <v>1303115</v>
      </c>
      <c r="EB146" s="14">
        <v>141</v>
      </c>
      <c r="EC146" s="51">
        <f t="shared" si="247"/>
        <v>18902</v>
      </c>
      <c r="ED146" s="51">
        <f t="shared" si="248"/>
        <v>1545</v>
      </c>
      <c r="EE146" s="51">
        <f>INT(SUMPRODUCT($N146:$R146,$BF146:$BJ146)/SUM($BF146:$BJ146)/10000*$BX$7*$BZ$46/'疲劳值&amp;地图信息'!$R$10*$BY$53)</f>
        <v>410</v>
      </c>
      <c r="EF146" s="50">
        <f t="shared" si="249"/>
        <v>0.90626648127726905</v>
      </c>
      <c r="EG146" s="50">
        <f t="shared" si="250"/>
        <v>7.4075849834587912E-2</v>
      </c>
      <c r="EH146" s="50">
        <f t="shared" si="251"/>
        <v>1.9657668888143069E-2</v>
      </c>
      <c r="EI146" s="51">
        <f t="shared" si="252"/>
        <v>20326</v>
      </c>
      <c r="EJ146" s="51">
        <f t="shared" si="253"/>
        <v>2545</v>
      </c>
      <c r="EK146" s="14">
        <f>INT(SUMPRODUCT($U146:$Y146,$BF146:$BJ146)/SUM($BF146:$BJ146)/10000*$BX$7*$BZ$46/'疲劳值&amp;地图信息'!$R$10*$BY$54)</f>
        <v>773</v>
      </c>
      <c r="EL146" s="50">
        <f t="shared" si="254"/>
        <v>0.85966841481982748</v>
      </c>
      <c r="EM146" s="50">
        <f t="shared" si="255"/>
        <v>0.10763830147183218</v>
      </c>
      <c r="EN146" s="50">
        <f t="shared" si="256"/>
        <v>3.2693283708340383E-2</v>
      </c>
      <c r="EO146" s="51">
        <f t="shared" si="257"/>
        <v>21738</v>
      </c>
      <c r="EP146" s="51">
        <f t="shared" si="258"/>
        <v>4455</v>
      </c>
      <c r="EQ146" s="14">
        <f>INT(SUMPRODUCT($AB146:$AF146,$BF146:$BJ146)/SUM($BF146:$BJ146)/10000*$BX$7*$BZ$46/'疲劳值&amp;地图信息'!$R$10*$BY$55)</f>
        <v>1049</v>
      </c>
      <c r="ER146" s="50">
        <f t="shared" si="259"/>
        <v>0.79795903384479849</v>
      </c>
      <c r="ES146" s="50">
        <f t="shared" si="260"/>
        <v>0.16353424858674107</v>
      </c>
      <c r="ET146" s="50">
        <f t="shared" si="261"/>
        <v>3.8506717568460462E-2</v>
      </c>
      <c r="EU146" s="51">
        <f t="shared" si="262"/>
        <v>24893</v>
      </c>
      <c r="EV146" s="51">
        <f t="shared" si="263"/>
        <v>12071</v>
      </c>
      <c r="EW146" s="14">
        <f>INT(SUMPRODUCT($AI146:$AM146,$BF146:$BJ146)/SUM($BF146:$BJ146)/10000*$BX$7*$BZ$46/'疲劳值&amp;地图信息'!$R$10*$BY$56)</f>
        <v>1573</v>
      </c>
      <c r="EX146" s="50">
        <f t="shared" si="264"/>
        <v>0.64595064483483411</v>
      </c>
      <c r="EY146" s="50">
        <f t="shared" si="265"/>
        <v>0.313231439914887</v>
      </c>
      <c r="EZ146" s="50">
        <f t="shared" si="266"/>
        <v>4.0817915250278954E-2</v>
      </c>
      <c r="FA146" s="51">
        <f t="shared" si="267"/>
        <v>25033</v>
      </c>
      <c r="FB146" s="51">
        <f t="shared" si="268"/>
        <v>22276</v>
      </c>
      <c r="FC146" s="14">
        <f>INT(SUMPRODUCT($AP146:$AT146,$BF146:$BJ146)/SUM($BF146:$BJ146)/10000*$BX$7*$BZ$46/'疲劳值&amp;地图信息'!$R$10*$BY$57)</f>
        <v>2098</v>
      </c>
      <c r="FD146" s="50">
        <f t="shared" si="269"/>
        <v>0.50666909547230154</v>
      </c>
      <c r="FE146" s="50">
        <f t="shared" si="270"/>
        <v>0.45086728601210357</v>
      </c>
      <c r="FF146" s="50">
        <f t="shared" si="271"/>
        <v>4.2463618515594957E-2</v>
      </c>
      <c r="FH146" s="14">
        <f t="shared" si="272"/>
        <v>20857</v>
      </c>
      <c r="FI146" s="14">
        <f t="shared" si="273"/>
        <v>23644</v>
      </c>
      <c r="FJ146" s="14">
        <f t="shared" si="274"/>
        <v>27242</v>
      </c>
      <c r="FK146" s="14">
        <f t="shared" si="275"/>
        <v>38537</v>
      </c>
      <c r="FL146" s="14">
        <f t="shared" si="276"/>
        <v>49407</v>
      </c>
      <c r="FM146" s="14">
        <f t="shared" si="277"/>
        <v>2444042</v>
      </c>
      <c r="FP146" s="14">
        <f t="shared" si="278"/>
        <v>334150</v>
      </c>
      <c r="FQ146" s="50">
        <f t="shared" si="218"/>
        <v>0.12027606443327171</v>
      </c>
      <c r="FS146" s="14">
        <f t="shared" si="279"/>
        <v>2778192</v>
      </c>
      <c r="FX146" s="14">
        <v>141</v>
      </c>
      <c r="FY146" s="51">
        <f t="shared" si="280"/>
        <v>26463</v>
      </c>
      <c r="FZ146" s="51">
        <f t="shared" si="281"/>
        <v>1545</v>
      </c>
      <c r="GA146" s="51">
        <f>INT(SUMPRODUCT($N146:$R146,$BF146:$BJ146)/SUM($BF146:$BJ146)/10000*$BX$7*$BZ$46/'疲劳值&amp;地图信息'!$R$10*$BY$53)</f>
        <v>410</v>
      </c>
      <c r="GB146" s="50">
        <f t="shared" si="282"/>
        <v>0.93120557393201497</v>
      </c>
      <c r="GC146" s="50">
        <f t="shared" si="283"/>
        <v>5.4366950524315574E-2</v>
      </c>
      <c r="GD146" s="50">
        <f t="shared" si="284"/>
        <v>1.4427475543669506E-2</v>
      </c>
      <c r="GE146" s="51">
        <f t="shared" si="285"/>
        <v>28457</v>
      </c>
      <c r="GF146" s="51">
        <f t="shared" si="286"/>
        <v>2545</v>
      </c>
      <c r="GG146" s="14">
        <f>INT(SUMPRODUCT($U146:$Y146,$BF146:$BJ146)/SUM($BF146:$BJ146)/10000*$BX$7*$BZ$46/'疲劳值&amp;地图信息'!$R$10*$BY$54)</f>
        <v>773</v>
      </c>
      <c r="GH146" s="50">
        <f t="shared" si="287"/>
        <v>0.89557828481510626</v>
      </c>
      <c r="GI146" s="50">
        <f t="shared" si="288"/>
        <v>8.0094413847364279E-2</v>
      </c>
      <c r="GJ146" s="50">
        <f t="shared" si="289"/>
        <v>2.4327301337529503E-2</v>
      </c>
      <c r="GK146" s="51">
        <f t="shared" si="290"/>
        <v>30433</v>
      </c>
      <c r="GL146" s="51">
        <f t="shared" si="291"/>
        <v>4455</v>
      </c>
      <c r="GM146" s="14">
        <f>INT(SUMPRODUCT($AB146:$AF146,$BF146:$BJ146)/SUM($BF146:$BJ146)/10000*$BX$7*$BZ$46/'疲劳值&amp;地图信息'!$R$10*$BY$55)</f>
        <v>1049</v>
      </c>
      <c r="GN146" s="50">
        <f t="shared" si="292"/>
        <v>0.84684308651250795</v>
      </c>
      <c r="GO146" s="50">
        <f t="shared" si="293"/>
        <v>0.12396694214876033</v>
      </c>
      <c r="GP146" s="50">
        <f t="shared" si="294"/>
        <v>2.918997133873167E-2</v>
      </c>
      <c r="GQ146" s="51">
        <f t="shared" si="295"/>
        <v>34850</v>
      </c>
      <c r="GR146" s="51">
        <f t="shared" si="296"/>
        <v>12071</v>
      </c>
      <c r="GS146" s="14">
        <f>INT(SUMPRODUCT($AI146:$AM146,$BF146:$BJ146)/SUM($BF146:$BJ146)/10000*$BX$7*$BZ$46/'疲劳值&amp;地图信息'!$R$10*$BY$56)</f>
        <v>1573</v>
      </c>
      <c r="GT146" s="50">
        <f t="shared" si="297"/>
        <v>0.71864560564193514</v>
      </c>
      <c r="GU146" s="50">
        <f t="shared" si="298"/>
        <v>0.24891739184228978</v>
      </c>
      <c r="GV146" s="50">
        <f t="shared" si="299"/>
        <v>3.2437002515775144E-2</v>
      </c>
      <c r="GW146" s="51">
        <f t="shared" si="300"/>
        <v>35047</v>
      </c>
      <c r="GX146" s="51">
        <f t="shared" si="301"/>
        <v>22276</v>
      </c>
      <c r="GY146" s="14">
        <f>INT(SUMPRODUCT($AP146:$AT146,$BF146:$BJ146)/SUM($BF146:$BJ146)/10000*$BX$7*$BZ$46/'疲劳值&amp;地图信息'!$R$10*$BY$57)</f>
        <v>2098</v>
      </c>
      <c r="GZ146" s="50">
        <f t="shared" si="302"/>
        <v>0.5898083169249928</v>
      </c>
      <c r="HA146" s="50">
        <f t="shared" si="303"/>
        <v>0.37488430016324198</v>
      </c>
      <c r="HB146" s="50">
        <f t="shared" si="304"/>
        <v>3.5307382911765203E-2</v>
      </c>
      <c r="HD146" s="14">
        <f t="shared" si="305"/>
        <v>28418</v>
      </c>
      <c r="HE146" s="14">
        <f t="shared" si="306"/>
        <v>31775</v>
      </c>
      <c r="HF146" s="14">
        <f t="shared" si="307"/>
        <v>35937</v>
      </c>
      <c r="HG146" s="14">
        <f t="shared" si="308"/>
        <v>48494</v>
      </c>
      <c r="HH146" s="14">
        <f t="shared" si="309"/>
        <v>59421</v>
      </c>
      <c r="HI146" s="14">
        <f t="shared" si="310"/>
        <v>3280337</v>
      </c>
      <c r="HL146" s="14">
        <f t="shared" si="311"/>
        <v>430050</v>
      </c>
      <c r="HM146" s="50">
        <f t="shared" si="219"/>
        <v>0.11590435175629928</v>
      </c>
      <c r="HO146" s="14">
        <f t="shared" si="312"/>
        <v>3710387</v>
      </c>
    </row>
    <row r="147" spans="11:223" x14ac:dyDescent="0.2">
      <c r="K147" s="14">
        <v>142</v>
      </c>
      <c r="L147" s="12">
        <f>求节点(节奏总纲!D$4:D$163,标准城池设计!AB$4:AB$163,$K147)*求节点(节奏总纲!D$4:D$163,攻城基础信息!$AC$5:$AC$164,$K147)</f>
        <v>558176.79635986313</v>
      </c>
      <c r="M147" s="12">
        <f>INDEX(其他调用!$AA$5:$AA$404,MATCH(K147,其他调用!$X$5:$X$404,0))*MIN(INDEX(其他调用!$AH$5:$AH$364,MATCH('征服点（新）'!K147,其他调用!$AG$5:$AG$364,0),1)/INDEX(其他调用!$AJ$5:$AJ$364,MATCH(K147,其他调用!$AG$5:$AG$364,0),0),5)*求节点(节奏总纲!D$4:D$163,攻城基础信息!$AC$5:$AC$164,$K147)</f>
        <v>45576.033727183625</v>
      </c>
      <c r="N147" s="12">
        <f>MIN(INDEX(其他调用!$AH$5:$AH$364,MATCH($K147,其他调用!$AG$5:$AG$364,0),1)/INDEX(其他调用!AH$5:AH$364,MATCH($K147,其他调用!$AG$5:$AG$364,0),0),1)*INDEX(其他调用!Y$5:Y$404,MATCH($K147,其他调用!$X$5:$X$404,0),0)</f>
        <v>38158.112791765372</v>
      </c>
      <c r="O147" s="12">
        <f>MIN(INDEX(其他调用!$AH$5:$AH$364,MATCH($K147,其他调用!$AG$5:$AG$364,0),1)/INDEX(其他调用!AI$5:AI$364,MATCH($K147,其他调用!$AG$5:$AG$364,0),0),1)*INDEX(其他调用!Z$5:Z$404,MATCH($K147,其他调用!$X$5:$X$404,0),0)</f>
        <v>23879.305462972621</v>
      </c>
      <c r="P147" s="12">
        <f>MIN(INDEX(其他调用!$AH$5:$AH$364,MATCH($K147,其他调用!$AG$5:$AG$364,0),1)/INDEX(其他调用!AJ$5:AJ$364,MATCH($K147,其他调用!$AG$5:$AG$364,0),0),1)*INDEX(其他调用!AA$5:AA$404,MATCH($K147,其他调用!$X$5:$X$404,0),0)</f>
        <v>14155.45910318238</v>
      </c>
      <c r="Q147" s="12">
        <f>MIN(INDEX(其他调用!$AH$5:$AH$364,MATCH($K147,其他调用!$AG$5:$AG$364,0),1)/INDEX(其他调用!AK$5:AK$364,MATCH($K147,其他调用!$AG$5:$AG$364,0),0),1)*INDEX(其他调用!AB$5:AB$404,MATCH($K147,其他调用!$X$5:$X$404,0),0)</f>
        <v>5488.681043296272</v>
      </c>
      <c r="R147" s="12">
        <f>MIN(INDEX(其他调用!$AH$5:$AH$364,MATCH($K147,其他调用!$AG$5:$AG$364,0),1)/INDEX(其他调用!AL$5:AL$364,MATCH($K147,其他调用!$AG$5:$AG$364,0),0),1)*INDEX(其他调用!AC$5:AC$404,MATCH($K147,其他调用!$X$5:$X$404,0),0)</f>
        <v>1870.0993526121724</v>
      </c>
      <c r="S147" s="12">
        <f>求节点(节奏总纲!D$4:D$163,标准城池设计!AC$4:AC$163,$K147)*求节点(节奏总纲!D$4:D$163,攻城基础信息!$AD$5:$AD$164,$K147)</f>
        <v>600256.28806871769</v>
      </c>
      <c r="T147" s="12">
        <f>INDEX(其他调用!$AA$5:$AA$404,MATCH($K147,其他调用!$X$5:$X$404,0))*MIN(INDEX(其他调用!AI$5:AI$364,MATCH($K147,其他调用!$AG$5:$AG$364,0),1)/INDEX(其他调用!$AJ$5:$AJ$364,MATCH($K147,其他调用!$AG$5:$AG$364,0),0),5)*求节点(节奏总纲!D$4:D$163,攻城基础信息!$AD$5:$AD$164,$K147)</f>
        <v>75033.570317375503</v>
      </c>
      <c r="U147" s="12">
        <f>MIN(INDEX(其他调用!$AI$5:$AI$364,MATCH($K147,其他调用!$AG$5:$AG$364,0),1)/INDEX(其他调用!AH$5:AH$364,MATCH($K147,其他调用!$AG$5:$AG$364,0),0),1)*INDEX(其他调用!Y$5:Y$404,MATCH($K147,其他调用!$X$5:$X$404,0),0)</f>
        <v>38158.112791765372</v>
      </c>
      <c r="V147" s="12">
        <f>MIN(INDEX(其他调用!$AI$5:$AI$364,MATCH($K147,其他调用!$AG$5:$AG$364,0),1)/INDEX(其他调用!AI$5:AI$364,MATCH($K147,其他调用!$AG$5:$AG$364,0),0),1)*INDEX(其他调用!Z$5:Z$404,MATCH($K147,其他调用!$X$5:$X$404,0),0)</f>
        <v>39313.415386503104</v>
      </c>
      <c r="W147" s="12">
        <f>MIN(INDEX(其他调用!$AI$5:$AI$364,MATCH($K147,其他调用!$AG$5:$AG$364,0),1)/INDEX(其他调用!AJ$5:AJ$364,MATCH($K147,其他调用!$AG$5:$AG$364,0),0),1)*INDEX(其他调用!AA$5:AA$404,MATCH($K147,其他调用!$X$5:$X$404,0),0)</f>
        <v>23304.674609275244</v>
      </c>
      <c r="X147" s="12">
        <f>MIN(INDEX(其他调用!$AI$5:$AI$364,MATCH($K147,其他调用!$AG$5:$AG$364,0),1)/INDEX(其他调用!AK$5:AK$364,MATCH($K147,其他调用!$AG$5:$AG$364,0),0),1)*INDEX(其他调用!AB$5:AB$404,MATCH($K147,其他调用!$X$5:$X$404,0),0)</f>
        <v>9036.2258698737842</v>
      </c>
      <c r="Y147" s="12">
        <f>MIN(INDEX(其他调用!$AI$5:$AI$364,MATCH($K147,其他调用!$AG$5:$AG$364,0),1)/INDEX(其他调用!AL$5:AL$364,MATCH($K147,其他调用!$AG$5:$AG$364,0),0),1)*INDEX(其他调用!AC$5:AC$404,MATCH($K147,其他调用!$X$5:$X$404,0),0)</f>
        <v>3078.8162066636892</v>
      </c>
      <c r="Z147" s="12">
        <f>求节点(节奏总纲!D$4:D$163,标准城池设计!AD$4:AD$163,$K147)*求节点(节奏总纲!D$4:D$163,攻城基础信息!$AE$5:$AE$164,$K147)</f>
        <v>641744.43911931803</v>
      </c>
      <c r="AA147" s="12">
        <f>INDEX(其他调用!$AA$5:$AA$404,MATCH($K147,其他调用!$X$5:$X$404,0))*MIN(INDEX(其他调用!AJ$5:AJ$364,MATCH($K147,其他调用!$AG$5:$AG$364,0),1)/INDEX(其他调用!$AJ$5:$AJ$364,MATCH($K147,其他调用!$AG$5:$AG$364,0),0),5)*求节点(节奏总纲!D$4:D$163,攻城基础信息!$AE$5:$AE$164,$K147)</f>
        <v>131429.33663072053</v>
      </c>
      <c r="AB147" s="12">
        <f>MIN(INDEX(其他调用!$AJ$5:$AJ$364,MATCH($K147,其他调用!$AG$5:$AG$364,0),1)/INDEX(其他调用!AH$5:AH$364,MATCH($K147,其他调用!$AG$5:$AG$364,0),0),1)*INDEX(其他调用!Y$5:Y$404,MATCH($K147,其他调用!$X$5:$X$404,0),0)</f>
        <v>38158.112791765372</v>
      </c>
      <c r="AC147" s="12">
        <f>MIN(INDEX(其他调用!$AJ$5:$AJ$364,MATCH($K147,其他调用!$AG$5:$AG$364,0),1)/INDEX(其他调用!AI$5:AI$364,MATCH($K147,其他调用!$AG$5:$AG$364,0),0),1)*INDEX(其他调用!Z$5:Z$404,MATCH($K147,其他调用!$X$5:$X$404,0),0)</f>
        <v>39313.415386503104</v>
      </c>
      <c r="AD147" s="12">
        <f>MIN(INDEX(其他调用!$AJ$5:$AJ$364,MATCH($K147,其他调用!$AG$5:$AG$364,0),1)/INDEX(其他调用!AJ$5:AJ$364,MATCH($K147,其他调用!$AG$5:$AG$364,0),0),1)*INDEX(其他调用!AA$5:AA$404,MATCH($K147,其他调用!$X$5:$X$404,0),0)</f>
        <v>40820.634168631084</v>
      </c>
      <c r="AE147" s="12">
        <f>MIN(INDEX(其他调用!$AJ$5:$AJ$364,MATCH($K147,其他调用!$AG$5:$AG$364,0),1)/INDEX(其他调用!AK$5:AK$364,MATCH($K147,其他调用!$AG$5:$AG$364,0),0),1)*INDEX(其他调用!AB$5:AB$404,MATCH($K147,其他调用!$X$5:$X$404,0),0)</f>
        <v>15827.917646720976</v>
      </c>
      <c r="AF147" s="12">
        <f>MIN(INDEX(其他调用!$AJ$5:$AJ$364,MATCH($K147,其他调用!$AG$5:$AG$364,0),1)/INDEX(其他调用!AL$5:AL$364,MATCH($K147,其他调用!$AG$5:$AG$364,0),0),1)*INDEX(其他调用!AC$5:AC$404,MATCH($K147,其他调用!$X$5:$X$404,0),0)</f>
        <v>5392.8764143589751</v>
      </c>
      <c r="AG147" s="12">
        <f>求节点(节奏总纲!D$4:D$163,标准城池设计!AE$4:AE$163,$K147)*求节点(节奏总纲!D$4:D$163,攻城基础信息!$AF$5:$AF$164,$K147)</f>
        <v>734949.39197497326</v>
      </c>
      <c r="AH147" s="12">
        <f>INDEX(其他调用!$AA$5:$AA$404,MATCH($K147,其他调用!$X$5:$X$404,0))*MIN(INDEX(其他调用!AK$5:AK$364,MATCH($K147,其他调用!$AG$5:$AG$364,0),1)/INDEX(其他调用!$AJ$5:$AJ$364,MATCH($K147,其他调用!$AG$5:$AG$364,0),0),5)*求节点(节奏总纲!D$4:D$163,攻城基础信息!$AF$5:$AF$164,$K147)</f>
        <v>357153.04715213284</v>
      </c>
      <c r="AI147" s="12">
        <f>MIN(INDEX(其他调用!$AK$5:$AK$364,MATCH($K147,其他调用!$AG$5:$AG$364,0),1)/INDEX(其他调用!AH$5:AH$364,MATCH($K147,其他调用!$AG$5:$AG$364,0),0),1)*INDEX(其他调用!Y$5:Y$404,MATCH($K147,其他调用!$X$5:$X$404,0),0)</f>
        <v>38158.112791765372</v>
      </c>
      <c r="AJ147" s="12">
        <f>MIN(INDEX(其他调用!$AK$5:$AK$364,MATCH($K147,其他调用!$AG$5:$AG$364,0),1)/INDEX(其他调用!AI$5:AI$364,MATCH($K147,其他调用!$AG$5:$AG$364,0),0),1)*INDEX(其他调用!Z$5:Z$404,MATCH($K147,其他调用!$X$5:$X$404,0),0)</f>
        <v>39313.415386503104</v>
      </c>
      <c r="AK147" s="12">
        <f>MIN(INDEX(其他调用!$AK$5:$AK$364,MATCH($K147,其他调用!$AG$5:$AG$364,0),1)/INDEX(其他调用!AJ$5:AJ$364,MATCH($K147,其他调用!$AG$5:$AG$364,0),0),1)*INDEX(其他调用!AA$5:AA$404,MATCH($K147,其他调用!$X$5:$X$404,0),0)</f>
        <v>40820.634168631084</v>
      </c>
      <c r="AL147" s="12">
        <f>MIN(INDEX(其他调用!$AK$5:$AK$364,MATCH($K147,其他调用!$AG$5:$AG$364,0),1)/INDEX(其他调用!AK$5:AK$364,MATCH($K147,其他调用!$AG$5:$AG$364,0),0),1)*INDEX(其他调用!AB$5:AB$404,MATCH($K147,其他调用!$X$5:$X$404,0),0)</f>
        <v>43011.622538145508</v>
      </c>
      <c r="AM147" s="12">
        <f>MIN(INDEX(其他调用!$AK$5:$AK$364,MATCH($K147,其他调用!$AG$5:$AG$364,0),1)/INDEX(其他调用!AL$5:AL$364,MATCH($K147,其他调用!$AG$5:$AG$364,0),0),1)*INDEX(其他调用!AC$5:AC$404,MATCH($K147,其他调用!$X$5:$X$404,0),0)</f>
        <v>14654.888274411105</v>
      </c>
      <c r="AN147" s="12">
        <f>求节点(节奏总纲!D$4:D$163,标准城池设计!AF$4:AF$163,$K147)*求节点(节奏总纲!D$4:D$163,攻城基础信息!$AG$5:$AG$164,$K147)</f>
        <v>739933.37661885133</v>
      </c>
      <c r="AO147" s="12">
        <f>INDEX(其他调用!$AA$5:$AA$404,MATCH($K147,其他调用!$X$5:$X$404,0))*MIN(INDEX(其他调用!AL$5:AL$364,MATCH($K147,其他调用!$AG$5:$AG$364,0),1)/INDEX(其他调用!$AJ$5:$AJ$364,MATCH($K147,其他调用!$AG$5:$AG$364,0),0),5)*求节点(节奏总纲!D$4:D$163,攻城基础信息!$AG$5:$AG$164,$K147)</f>
        <v>657146.68315360264</v>
      </c>
      <c r="AP147" s="12">
        <f>MIN(INDEX(其他调用!$AL$5:$AL$364,MATCH($K147,其他调用!$AG$5:$AG$364,0),1)/INDEX(其他调用!AH$5:AH$364,MATCH($K147,其他调用!$AG$5:$AG$364,0),0),1)*INDEX(其他调用!Y$5:Y$404,MATCH($K147,其他调用!$X$5:$X$404,0),0)</f>
        <v>38158.112791765372</v>
      </c>
      <c r="AQ147" s="12">
        <f>MIN(INDEX(其他调用!$AL$5:$AL$364,MATCH($K147,其他调用!$AG$5:$AG$364,0),1)/INDEX(其他调用!AI$5:AI$364,MATCH($K147,其他调用!$AG$5:$AG$364,0),0),1)*INDEX(其他调用!Z$5:Z$404,MATCH($K147,其他调用!$X$5:$X$404,0),0)</f>
        <v>39313.415386503104</v>
      </c>
      <c r="AR147" s="12">
        <f>MIN(INDEX(其他调用!$AL$5:$AL$364,MATCH($K147,其他调用!$AG$5:$AG$364,0),1)/INDEX(其他调用!AJ$5:AJ$364,MATCH($K147,其他调用!$AG$5:$AG$364,0),0),1)*INDEX(其他调用!AA$5:AA$404,MATCH($K147,其他调用!$X$5:$X$404,0),0)</f>
        <v>40820.634168631084</v>
      </c>
      <c r="AS147" s="12">
        <f>MIN(INDEX(其他调用!$AL$5:$AL$364,MATCH($K147,其他调用!$AG$5:$AG$364,0),1)/INDEX(其他调用!AK$5:AK$364,MATCH($K147,其他调用!$AG$5:$AG$364,0),0),1)*INDEX(其他调用!AB$5:AB$404,MATCH($K147,其他调用!$X$5:$X$404,0),0)</f>
        <v>43011.622538145508</v>
      </c>
      <c r="AT147" s="12">
        <f>MIN(INDEX(其他调用!$AL$5:$AL$364,MATCH($K147,其他调用!$AG$5:$AG$364,0),1)/INDEX(其他调用!AL$5:AL$364,MATCH($K147,其他调用!$AG$5:$AG$364,0),0),1)*INDEX(其他调用!AC$5:AC$404,MATCH($K147,其他调用!$X$5:$X$404,0),0)</f>
        <v>46942.055392788185</v>
      </c>
      <c r="AV147" s="14">
        <f>IF(OR(AV$5="大R",AV$5="超R"),MAX(INDEX(其他调用!$H$5:$L$404,MATCH($K147,其他调用!$B$5:$B$404,0),MATCH(AV$5,其他调用!$H$4:$L$4,0))*120*0.85,2),INDEX(其他调用!$H$5:$L$404,MATCH($K147,其他调用!$B$5:$B$404,0),MATCH(AV$5,其他调用!$H$4:$L$4,0))*120*0.85)</f>
        <v>48.921801254999991</v>
      </c>
      <c r="AW147" s="14">
        <f>IF(OR(AW$5="大R",AW$5="超R"),MAX(INDEX(其他调用!$H$5:$L$404,MATCH($K147,其他调用!$B$5:$B$404,0),MATCH(AW$5,其他调用!$H$4:$L$4,0))*120*0.85,2),INDEX(其他调用!$H$5:$L$404,MATCH($K147,其他调用!$B$5:$B$404,0),MATCH(AW$5,其他调用!$H$4:$L$4,0))*120*0.85)</f>
        <v>48.237344010638395</v>
      </c>
      <c r="AX147" s="14">
        <f>IF(OR(AX$5="大R",AX$5="超R"),MAX(INDEX(其他调用!$H$5:$L$404,MATCH($K147,其他调用!$B$5:$B$404,0),MATCH(AX$5,其他调用!$H$4:$L$4,0))*120*0.85,2),INDEX(其他调用!$H$5:$L$404,MATCH($K147,其他调用!$B$5:$B$404,0),MATCH(AX$5,其他调用!$H$4:$L$4,0))*120*0.85)</f>
        <v>3.9376284143615998</v>
      </c>
      <c r="AY147" s="14">
        <f>IF(OR(AY$5="大R",AY$5="超R"),MAX(INDEX(其他调用!$H$5:$L$404,MATCH($K147,其他调用!$B$5:$B$404,0),MATCH(AY$5,其他调用!$H$4:$L$4,0))*120*0.85,2),INDEX(其他调用!$H$5:$L$404,MATCH($K147,其他调用!$B$5:$B$404,0),MATCH(AY$5,其他调用!$H$4:$L$4,0))*120*0.85)</f>
        <v>2</v>
      </c>
      <c r="AZ147" s="14">
        <f>IF(OR(AZ$5="大R",AZ$5="超R"),MAX(INDEX(其他调用!$H$5:$L$404,MATCH($K147,其他调用!$B$5:$B$404,0),MATCH(AZ$5,其他调用!$H$4:$L$4,0))*120*0.85,2),INDEX(其他调用!$H$5:$L$404,MATCH($K147,其他调用!$B$5:$B$404,0),MATCH(AZ$5,其他调用!$H$4:$L$4,0))*120*0.85)</f>
        <v>2</v>
      </c>
      <c r="BA147" s="14">
        <f>INDEX(其他调用!$H$5:$L$404,MATCH($K147,其他调用!$B$5:$B$404,0),MATCH(BA$5,其他调用!$H$4:$L$4,0))*INDEX(其他调用!$M$5:$M$404,MATCH($K147,其他调用!$B$5:$B$404,0))*0.6</f>
        <v>28.777530149999997</v>
      </c>
      <c r="BB147" s="14">
        <f>INDEX(其他调用!$H$5:$L$404,MATCH($K147,其他调用!$B$5:$B$404,0),MATCH(BB$5,其他调用!$H$4:$L$4,0))*INDEX(其他调用!$M$5:$M$404,MATCH($K147,其他调用!$B$5:$B$404,0))*0.6</f>
        <v>28.374908241551999</v>
      </c>
      <c r="BC147" s="14">
        <f>INDEX(其他调用!$H$5:$L$404,MATCH($K147,其他调用!$B$5:$B$404,0),MATCH(BC$5,其他调用!$H$4:$L$4,0))*INDEX(其他调用!$M$5:$M$404,MATCH($K147,其他调用!$B$5:$B$404,0))*0.6</f>
        <v>2.3162520084480001</v>
      </c>
      <c r="BD147" s="14">
        <f>INDEX(其他调用!$H$5:$L$404,MATCH($K147,其他调用!$B$5:$B$404,0),MATCH(BD$5,其他调用!$H$4:$L$4,0))*INDEX(其他调用!$M$5:$M$404,MATCH($K147,其他调用!$B$5:$B$404,0))*0.6</f>
        <v>0.4120776000000001</v>
      </c>
      <c r="BE147" s="14">
        <f>INDEX(其他调用!$H$5:$L$404,MATCH($K147,其他调用!$B$5:$B$404,0),MATCH(BE$5,其他调用!$H$4:$L$4,0))*INDEX(其他调用!$M$5:$M$404,MATCH($K147,其他调用!$B$5:$B$404,0))*0.6</f>
        <v>0.11923199999999998</v>
      </c>
      <c r="BF147" s="14">
        <f>IF(OR(BF$5="大R",BF$5="超R"),0,INDEX(其他调用!$H$5:$L$404,MATCH($K147,其他调用!$B$5:$B$404,0),MATCH(BF$5,其他调用!$H$4:$L$4,0))*50*0.4)</f>
        <v>9.5925100500000013</v>
      </c>
      <c r="BG147" s="14">
        <f>IF(OR(BG$5="大R",BG$5="超R"),0,INDEX(其他调用!$H$5:$L$404,MATCH($K147,其他调用!$B$5:$B$404,0),MATCH(BG$5,其他调用!$H$4:$L$4,0))*50*0.4)</f>
        <v>9.4583027471839998</v>
      </c>
      <c r="BH147" s="14">
        <f>IF(OR(BH$5="大R",BH$5="超R"),0,INDEX(其他调用!$H$5:$L$404,MATCH($K147,其他调用!$B$5:$B$404,0),MATCH(BH$5,其他调用!$H$4:$L$4,0))*50*0.4)</f>
        <v>0.77208400281600009</v>
      </c>
      <c r="BI147" s="14">
        <f>IF(OR(BI$5="大R",BI$5="超R"),0,INDEX(其他调用!$H$5:$L$404,MATCH($K147,其他调用!$B$5:$B$404,0),MATCH(BI$5,其他调用!$H$4:$L$4,0))*50*0.4)</f>
        <v>0</v>
      </c>
      <c r="BJ147" s="14">
        <f>IF(OR(BJ$5="大R",BJ$5="超R"),0,INDEX(其他调用!$H$5:$L$404,MATCH($K147,其他调用!$B$5:$B$404,0),MATCH(BJ$5,其他调用!$H$4:$L$4,0))*50*0.4)</f>
        <v>0</v>
      </c>
      <c r="BL147" s="14">
        <f t="shared" si="313"/>
        <v>142</v>
      </c>
      <c r="BM147" s="14">
        <f t="shared" si="220"/>
        <v>96</v>
      </c>
      <c r="BN147" s="14">
        <f>('疲劳值&amp;地图信息'!$S$10*'疲劳值&amp;地图信息'!$R$10+'疲劳值&amp;地图信息'!$S$11*'疲劳值&amp;地图信息'!$R$11+'疲劳值&amp;地图信息'!$S$12*'疲劳值&amp;地图信息'!$R$12+(BM147-'疲劳值&amp;地图信息'!$S$12-'疲劳值&amp;地图信息'!$S$11-'疲劳值&amp;地图信息'!$S$10)*'疲劳值&amp;地图信息'!$R$13)/BM147</f>
        <v>51.371477246638619</v>
      </c>
      <c r="BO147" s="14">
        <f>INDEX(其他调用!$M$5:$M$404,MATCH(BL147,其他调用!$B$5:$B$404,0))*0.6</f>
        <v>60</v>
      </c>
      <c r="BP147" s="14">
        <f>IF(BO147&gt;SUM('疲劳值&amp;地图信息'!$S$10:$S$12),('疲劳值&amp;地图信息'!$S$10*'疲劳值&amp;地图信息'!$R$10+'疲劳值&amp;地图信息'!$S$11*'疲劳值&amp;地图信息'!$R$11+'疲劳值&amp;地图信息'!$S$12*'疲劳值&amp;地图信息'!$R$12+(BO147-'疲劳值&amp;地图信息'!$S$12-'疲劳值&amp;地图信息'!$S$11-'疲劳值&amp;地图信息'!$S$10)*'疲劳值&amp;地图信息'!$R$13)/BO147,('疲劳值&amp;地图信息'!$S$10*'疲劳值&amp;地图信息'!$R$10+'疲劳值&amp;地图信息'!$S$11*'疲劳值&amp;地图信息'!$R$11+'疲劳值&amp;地图信息'!$S$12*'疲劳值&amp;地图信息'!$R$12+(BO147-'疲劳值&amp;地图信息'!$S$12-'疲劳值&amp;地图信息'!$S$11-'疲劳值&amp;地图信息'!$S$10)*'疲劳值&amp;地图信息'!$R$13)/BO147)</f>
        <v>44.158136341605953</v>
      </c>
      <c r="BQ147" s="14">
        <f t="shared" si="314"/>
        <v>20</v>
      </c>
      <c r="BR147" s="14">
        <f>('疲劳值&amp;地图信息'!$S$10*'疲劳值&amp;地图信息'!$R$10+($BQ147-'疲劳值&amp;地图信息'!$S$10)*'疲劳值&amp;地图信息'!$R$11)/$BQ147</f>
        <v>32.067203015074995</v>
      </c>
      <c r="CF147" s="14">
        <v>142</v>
      </c>
      <c r="CG147" s="51">
        <f t="shared" si="221"/>
        <v>11376</v>
      </c>
      <c r="CH147" s="51">
        <f t="shared" si="222"/>
        <v>928</v>
      </c>
      <c r="CI147" s="51">
        <f>INT(SUMPRODUCT($N147:$R147,$BA147:$BE147)/SUM($BA147:$BE147)/10000*$BX$7*$BZ$34/'疲劳值&amp;地图信息'!$R$10*$BY$53)</f>
        <v>3062</v>
      </c>
      <c r="CJ147" s="50">
        <f t="shared" si="223"/>
        <v>0.74033580632565399</v>
      </c>
      <c r="CK147" s="50">
        <f t="shared" si="224"/>
        <v>6.0393075621502014E-2</v>
      </c>
      <c r="CL147" s="50">
        <f t="shared" si="225"/>
        <v>0.19927111805284395</v>
      </c>
      <c r="CM147" s="14">
        <f t="shared" si="226"/>
        <v>12234</v>
      </c>
      <c r="CN147" s="14">
        <f t="shared" si="227"/>
        <v>1529</v>
      </c>
      <c r="CO147" s="14">
        <f>INT(SUMPRODUCT($U147:$Y147,$BA147:$BE147)/SUM($BA147:$BE147)/10000*$BX$7*$BZ$34/'疲劳值&amp;地图信息'!$R$10*$BY$54)</f>
        <v>5762</v>
      </c>
      <c r="CP147" s="50">
        <f t="shared" si="228"/>
        <v>0.62658130601792572</v>
      </c>
      <c r="CQ147" s="50">
        <f t="shared" si="229"/>
        <v>7.8309859154929579E-2</v>
      </c>
      <c r="CR147" s="50">
        <f t="shared" si="230"/>
        <v>0.29510883482714467</v>
      </c>
      <c r="CS147" s="14">
        <f t="shared" si="231"/>
        <v>13079</v>
      </c>
      <c r="CT147" s="14">
        <f t="shared" si="232"/>
        <v>2678</v>
      </c>
      <c r="CU147" s="14">
        <f>INT(SUMPRODUCT($AB147:$AF147,$BA147:$BE147)/SUM($BA147:$BE147)/10000*$BX$7*$BZ$34/'疲劳值&amp;地图信息'!$R$10*$BY$55)</f>
        <v>7831</v>
      </c>
      <c r="CV147" s="50">
        <f t="shared" si="233"/>
        <v>0.55447685263693403</v>
      </c>
      <c r="CW147" s="50">
        <f t="shared" si="234"/>
        <v>0.11353230456164151</v>
      </c>
      <c r="CX147" s="50">
        <f t="shared" si="235"/>
        <v>0.33199084280142444</v>
      </c>
      <c r="CY147" s="14">
        <f t="shared" si="236"/>
        <v>14979</v>
      </c>
      <c r="CZ147" s="14">
        <f t="shared" si="237"/>
        <v>7279</v>
      </c>
      <c r="DA147" s="14">
        <f>INT(SUMPRODUCT($AI147:$AM147,$BA147:$BE147)/SUM($BA147:$BE147)/10000*$BX$7*$BZ$34/'疲劳值&amp;地图信息'!$R$10*$BY$56)</f>
        <v>11808</v>
      </c>
      <c r="DB147" s="50">
        <f t="shared" si="238"/>
        <v>0.43970527798978454</v>
      </c>
      <c r="DC147" s="50">
        <f t="shared" si="239"/>
        <v>0.21367345740621146</v>
      </c>
      <c r="DD147" s="50">
        <f t="shared" si="240"/>
        <v>0.346621264604004</v>
      </c>
      <c r="DE147" s="14">
        <f t="shared" si="241"/>
        <v>15080</v>
      </c>
      <c r="DF147" s="14">
        <f t="shared" si="242"/>
        <v>13393</v>
      </c>
      <c r="DG147" s="14">
        <f>INT(SUMPRODUCT($AP147:$AT147,$BA147:$BE147)/SUM($BA147:$BE147)/10000*$BX$7*$BZ$34/'疲劳值&amp;地图信息'!$R$10*$BY$57)</f>
        <v>15771</v>
      </c>
      <c r="DH147" s="50">
        <f t="shared" si="243"/>
        <v>0.3408371756622367</v>
      </c>
      <c r="DI147" s="50">
        <f t="shared" si="244"/>
        <v>0.3027077117801284</v>
      </c>
      <c r="DJ147" s="50">
        <f t="shared" si="245"/>
        <v>0.35645511255763496</v>
      </c>
      <c r="DL147" s="14">
        <f t="shared" si="316"/>
        <v>15366</v>
      </c>
      <c r="DM147" s="14">
        <f t="shared" si="317"/>
        <v>19525</v>
      </c>
      <c r="DN147" s="14">
        <f t="shared" si="318"/>
        <v>23588</v>
      </c>
      <c r="DO147" s="14">
        <f t="shared" si="319"/>
        <v>34066</v>
      </c>
      <c r="DP147" s="14">
        <f t="shared" si="320"/>
        <v>44244</v>
      </c>
      <c r="DQ147" s="14">
        <f t="shared" si="321"/>
        <v>1070164</v>
      </c>
      <c r="DT147" s="14">
        <f t="shared" si="315"/>
        <v>235575</v>
      </c>
      <c r="DU147" s="50">
        <f t="shared" si="217"/>
        <v>0.18041507529452669</v>
      </c>
      <c r="DW147" s="14">
        <f t="shared" si="246"/>
        <v>1305739</v>
      </c>
      <c r="EB147" s="14">
        <v>142</v>
      </c>
      <c r="EC147" s="51">
        <f t="shared" si="247"/>
        <v>18960</v>
      </c>
      <c r="ED147" s="51">
        <f t="shared" si="248"/>
        <v>1548</v>
      </c>
      <c r="EE147" s="51">
        <f>INT(SUMPRODUCT($N147:$R147,$BF147:$BJ147)/SUM($BF147:$BJ147)/10000*$BX$7*$BZ$46/'疲劳值&amp;地图信息'!$R$10*$BY$53)</f>
        <v>411</v>
      </c>
      <c r="EF147" s="50">
        <f t="shared" si="249"/>
        <v>0.90635307615086769</v>
      </c>
      <c r="EG147" s="50">
        <f t="shared" si="250"/>
        <v>7.3999713179406276E-2</v>
      </c>
      <c r="EH147" s="50">
        <f t="shared" si="251"/>
        <v>1.9647210669726085E-2</v>
      </c>
      <c r="EI147" s="51">
        <f t="shared" si="252"/>
        <v>20390</v>
      </c>
      <c r="EJ147" s="51">
        <f t="shared" si="253"/>
        <v>2548</v>
      </c>
      <c r="EK147" s="14">
        <f>INT(SUMPRODUCT($U147:$Y147,$BF147:$BJ147)/SUM($BF147:$BJ147)/10000*$BX$7*$BZ$46/'疲劳值&amp;地图信息'!$R$10*$BY$54)</f>
        <v>773</v>
      </c>
      <c r="EL147" s="50">
        <f t="shared" si="254"/>
        <v>0.85993842520349206</v>
      </c>
      <c r="EM147" s="50">
        <f t="shared" si="255"/>
        <v>0.10746067226181941</v>
      </c>
      <c r="EN147" s="50">
        <f t="shared" si="256"/>
        <v>3.2600902534688544E-2</v>
      </c>
      <c r="EO147" s="51">
        <f t="shared" si="257"/>
        <v>21799</v>
      </c>
      <c r="EP147" s="51">
        <f t="shared" si="258"/>
        <v>4464</v>
      </c>
      <c r="EQ147" s="14">
        <f>INT(SUMPRODUCT($AB147:$AF147,$BF147:$BJ147)/SUM($BF147:$BJ147)/10000*$BX$7*$BZ$46/'疲劳值&amp;地图信息'!$R$10*$BY$55)</f>
        <v>1050</v>
      </c>
      <c r="ER147" s="50">
        <f t="shared" si="259"/>
        <v>0.7981181122542379</v>
      </c>
      <c r="ES147" s="50">
        <f t="shared" si="260"/>
        <v>0.16343865558525245</v>
      </c>
      <c r="ET147" s="50">
        <f t="shared" si="261"/>
        <v>3.8443232160509648E-2</v>
      </c>
      <c r="EU147" s="51">
        <f t="shared" si="262"/>
        <v>24965</v>
      </c>
      <c r="EV147" s="51">
        <f t="shared" si="263"/>
        <v>12132</v>
      </c>
      <c r="EW147" s="14">
        <f>INT(SUMPRODUCT($AI147:$AM147,$BF147:$BJ147)/SUM($BF147:$BJ147)/10000*$BX$7*$BZ$46/'疲劳值&amp;地图信息'!$R$10*$BY$56)</f>
        <v>1575</v>
      </c>
      <c r="EX147" s="50">
        <f t="shared" si="264"/>
        <v>0.64555750930906086</v>
      </c>
      <c r="EY147" s="50">
        <f t="shared" si="265"/>
        <v>0.31371534960695074</v>
      </c>
      <c r="EZ147" s="50">
        <f t="shared" si="266"/>
        <v>4.0727141083988415E-2</v>
      </c>
      <c r="FA147" s="51">
        <f t="shared" si="267"/>
        <v>25134</v>
      </c>
      <c r="FB147" s="51">
        <f t="shared" si="268"/>
        <v>22322</v>
      </c>
      <c r="FC147" s="14">
        <f>INT(SUMPRODUCT($AP147:$AT147,$BF147:$BJ147)/SUM($BF147:$BJ147)/10000*$BX$7*$BZ$46/'疲劳值&amp;地图信息'!$R$10*$BY$57)</f>
        <v>2100</v>
      </c>
      <c r="FD147" s="50">
        <f t="shared" si="269"/>
        <v>0.50718379207361364</v>
      </c>
      <c r="FE147" s="50">
        <f t="shared" si="270"/>
        <v>0.45043990636855274</v>
      </c>
      <c r="FF147" s="50">
        <f t="shared" si="271"/>
        <v>4.2376301557833562E-2</v>
      </c>
      <c r="FH147" s="14">
        <f t="shared" si="272"/>
        <v>20919</v>
      </c>
      <c r="FI147" s="14">
        <f t="shared" si="273"/>
        <v>23711</v>
      </c>
      <c r="FJ147" s="14">
        <f t="shared" si="274"/>
        <v>27313</v>
      </c>
      <c r="FK147" s="14">
        <f t="shared" si="275"/>
        <v>38672</v>
      </c>
      <c r="FL147" s="14">
        <f t="shared" si="276"/>
        <v>49556</v>
      </c>
      <c r="FM147" s="14">
        <f t="shared" si="277"/>
        <v>2451155</v>
      </c>
      <c r="FP147" s="14">
        <f t="shared" si="278"/>
        <v>334150</v>
      </c>
      <c r="FQ147" s="50">
        <f t="shared" si="218"/>
        <v>0.1199689082524176</v>
      </c>
      <c r="FS147" s="14">
        <f t="shared" si="279"/>
        <v>2785305</v>
      </c>
      <c r="FX147" s="14">
        <v>142</v>
      </c>
      <c r="FY147" s="51">
        <f t="shared" si="280"/>
        <v>26544</v>
      </c>
      <c r="FZ147" s="51">
        <f t="shared" si="281"/>
        <v>1548</v>
      </c>
      <c r="GA147" s="51">
        <f>INT(SUMPRODUCT($N147:$R147,$BF147:$BJ147)/SUM($BF147:$BJ147)/10000*$BX$7*$BZ$46/'疲劳值&amp;地图信息'!$R$10*$BY$53)</f>
        <v>411</v>
      </c>
      <c r="GB147" s="50">
        <f t="shared" si="282"/>
        <v>0.93127039259025368</v>
      </c>
      <c r="GC147" s="50">
        <f t="shared" si="283"/>
        <v>5.4310072623934322E-2</v>
      </c>
      <c r="GD147" s="50">
        <f t="shared" si="284"/>
        <v>1.4419534785812019E-2</v>
      </c>
      <c r="GE147" s="51">
        <f t="shared" si="285"/>
        <v>28546</v>
      </c>
      <c r="GF147" s="51">
        <f t="shared" si="286"/>
        <v>2548</v>
      </c>
      <c r="GG147" s="14">
        <f>INT(SUMPRODUCT($U147:$Y147,$BF147:$BJ147)/SUM($BF147:$BJ147)/10000*$BX$7*$BZ$46/'疲劳值&amp;地图信息'!$R$10*$BY$54)</f>
        <v>773</v>
      </c>
      <c r="GH147" s="50">
        <f t="shared" si="287"/>
        <v>0.89578560893714498</v>
      </c>
      <c r="GI147" s="50">
        <f t="shared" si="288"/>
        <v>7.9957322622148302E-2</v>
      </c>
      <c r="GJ147" s="50">
        <f t="shared" si="289"/>
        <v>2.4257068440706686E-2</v>
      </c>
      <c r="GK147" s="51">
        <f t="shared" si="290"/>
        <v>30519</v>
      </c>
      <c r="GL147" s="51">
        <f t="shared" si="291"/>
        <v>4464</v>
      </c>
      <c r="GM147" s="14">
        <f>INT(SUMPRODUCT($AB147:$AF147,$BF147:$BJ147)/SUM($BF147:$BJ147)/10000*$BX$7*$BZ$46/'疲劳值&amp;地图信息'!$R$10*$BY$55)</f>
        <v>1050</v>
      </c>
      <c r="GN147" s="50">
        <f t="shared" si="292"/>
        <v>0.84697360752643414</v>
      </c>
      <c r="GO147" s="50">
        <f t="shared" si="293"/>
        <v>0.12388643743235368</v>
      </c>
      <c r="GP147" s="50">
        <f t="shared" si="294"/>
        <v>2.9139955041212223E-2</v>
      </c>
      <c r="GQ147" s="51">
        <f t="shared" si="295"/>
        <v>34951</v>
      </c>
      <c r="GR147" s="51">
        <f t="shared" si="296"/>
        <v>12132</v>
      </c>
      <c r="GS147" s="14">
        <f>INT(SUMPRODUCT($AI147:$AM147,$BF147:$BJ147)/SUM($BF147:$BJ147)/10000*$BX$7*$BZ$46/'疲劳值&amp;地图信息'!$R$10*$BY$56)</f>
        <v>1575</v>
      </c>
      <c r="GT147" s="50">
        <f t="shared" si="297"/>
        <v>0.71829914916354964</v>
      </c>
      <c r="GU147" s="50">
        <f t="shared" si="298"/>
        <v>0.2493320728348884</v>
      </c>
      <c r="GV147" s="50">
        <f t="shared" si="299"/>
        <v>3.2368778001561925E-2</v>
      </c>
      <c r="GW147" s="51">
        <f t="shared" si="300"/>
        <v>35188</v>
      </c>
      <c r="GX147" s="51">
        <f t="shared" si="301"/>
        <v>22322</v>
      </c>
      <c r="GY147" s="14">
        <f>INT(SUMPRODUCT($AP147:$AT147,$BF147:$BJ147)/SUM($BF147:$BJ147)/10000*$BX$7*$BZ$46/'疲劳值&amp;地图信息'!$R$10*$BY$57)</f>
        <v>2100</v>
      </c>
      <c r="GZ147" s="50">
        <f t="shared" si="302"/>
        <v>0.59030364032880389</v>
      </c>
      <c r="HA147" s="50">
        <f t="shared" si="303"/>
        <v>0.37446737124643514</v>
      </c>
      <c r="HB147" s="50">
        <f t="shared" si="304"/>
        <v>3.5228988424760944E-2</v>
      </c>
      <c r="HD147" s="14">
        <f t="shared" si="305"/>
        <v>28503</v>
      </c>
      <c r="HE147" s="14">
        <f t="shared" si="306"/>
        <v>31867</v>
      </c>
      <c r="HF147" s="14">
        <f t="shared" si="307"/>
        <v>36033</v>
      </c>
      <c r="HG147" s="14">
        <f t="shared" si="308"/>
        <v>48658</v>
      </c>
      <c r="HH147" s="14">
        <f t="shared" si="309"/>
        <v>59610</v>
      </c>
      <c r="HI147" s="14">
        <f t="shared" si="310"/>
        <v>3290018</v>
      </c>
      <c r="HL147" s="14">
        <f t="shared" si="311"/>
        <v>430050</v>
      </c>
      <c r="HM147" s="50">
        <f t="shared" si="219"/>
        <v>0.11560272554157612</v>
      </c>
      <c r="HO147" s="14">
        <f t="shared" si="312"/>
        <v>3720068</v>
      </c>
    </row>
    <row r="148" spans="11:223" x14ac:dyDescent="0.2">
      <c r="K148" s="14">
        <v>143</v>
      </c>
      <c r="L148" s="12">
        <f>求节点(节奏总纲!D$4:D$163,标准城池设计!AB$4:AB$163,$K148)*求节点(节奏总纲!D$4:D$163,攻城基础信息!$AC$5:$AC$164,$K148)</f>
        <v>559888.55327543605</v>
      </c>
      <c r="M148" s="12">
        <f>INDEX(其他调用!$AA$5:$AA$404,MATCH(K148,其他调用!$X$5:$X$404,0))*MIN(INDEX(其他调用!$AH$5:$AH$364,MATCH('征服点（新）'!K148,其他调用!$AG$5:$AG$364,0),1)/INDEX(其他调用!$AJ$5:$AJ$364,MATCH(K148,其他调用!$AG$5:$AG$364,0),0),5)*求节点(节奏总纲!D$4:D$163,攻城基础信息!$AC$5:$AC$164,$K148)</f>
        <v>45647.959526858162</v>
      </c>
      <c r="N148" s="12">
        <f>MIN(INDEX(其他调用!$AH$5:$AH$364,MATCH($K148,其他调用!$AG$5:$AG$364,0),1)/INDEX(其他调用!AH$5:AH$364,MATCH($K148,其他调用!$AG$5:$AG$364,0),0),1)*INDEX(其他调用!Y$5:Y$404,MATCH($K148,其他调用!$X$5:$X$404,0),0)</f>
        <v>38198.271519862814</v>
      </c>
      <c r="O148" s="12">
        <f>MIN(INDEX(其他调用!$AH$5:$AH$364,MATCH($K148,其他调用!$AG$5:$AG$364,0),1)/INDEX(其他调用!AI$5:AI$364,MATCH($K148,其他调用!$AG$5:$AG$364,0),0),1)*INDEX(其他调用!Z$5:Z$404,MATCH($K148,其他调用!$X$5:$X$404,0),0)</f>
        <v>23914.518210257338</v>
      </c>
      <c r="P148" s="12">
        <f>MIN(INDEX(其他调用!$AH$5:$AH$364,MATCH($K148,其他调用!$AG$5:$AG$364,0),1)/INDEX(其他调用!AJ$5:AJ$364,MATCH($K148,其他调用!$AG$5:$AG$364,0),0),1)*INDEX(其他调用!AA$5:AA$404,MATCH($K148,其他调用!$X$5:$X$404,0),0)</f>
        <v>14162.906923450357</v>
      </c>
      <c r="Q148" s="12">
        <f>MIN(INDEX(其他调用!$AH$5:$AH$364,MATCH($K148,其他调用!$AG$5:$AG$364,0),1)/INDEX(其他调用!AK$5:AK$364,MATCH($K148,其他调用!$AG$5:$AG$364,0),0),1)*INDEX(其他调用!AB$5:AB$404,MATCH($K148,其他调用!$X$5:$X$404,0),0)</f>
        <v>5475.6027467884114</v>
      </c>
      <c r="R148" s="12">
        <f>MIN(INDEX(其他调用!$AH$5:$AH$364,MATCH($K148,其他调用!$AG$5:$AG$364,0),1)/INDEX(其他调用!AL$5:AL$364,MATCH($K148,其他调用!$AG$5:$AG$364,0),0),1)*INDEX(其他调用!AC$5:AC$404,MATCH($K148,其他调用!$X$5:$X$404,0),0)</f>
        <v>1878.7164014075213</v>
      </c>
      <c r="S148" s="12">
        <f>求节点(节奏总纲!D$4:D$163,标准城池设计!AC$4:AC$163,$K148)*求节点(节奏总纲!D$4:D$163,攻城基础信息!$AD$5:$AD$164,$K148)</f>
        <v>602121.37848803529</v>
      </c>
      <c r="T148" s="12">
        <f>INDEX(其他调用!$AA$5:$AA$404,MATCH($K148,其他调用!$X$5:$X$404,0))*MIN(INDEX(其他调用!AI$5:AI$364,MATCH($K148,其他调用!$AG$5:$AG$364,0),1)/INDEX(其他调用!$AJ$5:$AJ$364,MATCH($K148,其他调用!$AG$5:$AG$364,0),0),5)*求节点(节奏总纲!D$4:D$163,攻城基础信息!$AD$5:$AD$164,$K148)</f>
        <v>75121.590972471604</v>
      </c>
      <c r="U148" s="12">
        <f>MIN(INDEX(其他调用!$AI$5:$AI$364,MATCH($K148,其他调用!$AG$5:$AG$364,0),1)/INDEX(其他调用!AH$5:AH$364,MATCH($K148,其他调用!$AG$5:$AG$364,0),0),1)*INDEX(其他调用!Y$5:Y$404,MATCH($K148,其他调用!$X$5:$X$404,0),0)</f>
        <v>38198.271519862814</v>
      </c>
      <c r="V148" s="12">
        <f>MIN(INDEX(其他调用!$AI$5:$AI$364,MATCH($K148,其他调用!$AG$5:$AG$364,0),1)/INDEX(其他调用!AI$5:AI$364,MATCH($K148,其他调用!$AG$5:$AG$364,0),0),1)*INDEX(其他调用!Z$5:Z$404,MATCH($K148,其他调用!$X$5:$X$404,0),0)</f>
        <v>39355.464601603053</v>
      </c>
      <c r="W148" s="12">
        <f>MIN(INDEX(其他调用!$AI$5:$AI$364,MATCH($K148,其他调用!$AG$5:$AG$364,0),1)/INDEX(其他调用!AJ$5:AJ$364,MATCH($K148,其他调用!$AG$5:$AG$364,0),0),1)*INDEX(其他调用!AA$5:AA$404,MATCH($K148,其他调用!$X$5:$X$404,0),0)</f>
        <v>23307.506226179223</v>
      </c>
      <c r="X148" s="12">
        <f>MIN(INDEX(其他调用!$AI$5:$AI$364,MATCH($K148,其他调用!$AG$5:$AG$364,0),1)/INDEX(其他调用!AK$5:AK$364,MATCH($K148,其他调用!$AG$5:$AG$364,0),0),1)*INDEX(其他调用!AB$5:AB$404,MATCH($K148,其他调用!$X$5:$X$404,0),0)</f>
        <v>9011.0487771082262</v>
      </c>
      <c r="Y148" s="12">
        <f>MIN(INDEX(其他调用!$AI$5:$AI$364,MATCH($K148,其他调用!$AG$5:$AG$364,0),1)/INDEX(其他调用!AL$5:AL$364,MATCH($K148,其他调用!$AG$5:$AG$364,0),0),1)*INDEX(其他调用!AC$5:AC$404,MATCH($K148,其他调用!$X$5:$X$404,0),0)</f>
        <v>3091.7518882036948</v>
      </c>
      <c r="Z148" s="12">
        <f>求节点(节奏总纲!D$4:D$163,标准城池设计!AD$4:AD$163,$K148)*求节点(节奏总纲!D$4:D$163,攻城基础信息!$AE$5:$AE$164,$K148)</f>
        <v>643550.36425707012</v>
      </c>
      <c r="AA148" s="12">
        <f>INDEX(其他调用!$AA$5:$AA$404,MATCH($K148,其他调用!$X$5:$X$404,0))*MIN(INDEX(其他调用!AJ$5:AJ$364,MATCH($K148,其他调用!$AG$5:$AG$364,0),1)/INDEX(其他调用!$AJ$5:$AJ$364,MATCH($K148,其他调用!$AG$5:$AG$364,0),0),5)*求节点(节奏总纲!D$4:D$163,攻城基础信息!$AE$5:$AE$164,$K148)</f>
        <v>131701.24062721408</v>
      </c>
      <c r="AB148" s="12">
        <f>MIN(INDEX(其他调用!$AJ$5:$AJ$364,MATCH($K148,其他调用!$AG$5:$AG$364,0),1)/INDEX(其他调用!AH$5:AH$364,MATCH($K148,其他调用!$AG$5:$AG$364,0),0),1)*INDEX(其他调用!Y$5:Y$404,MATCH($K148,其他调用!$X$5:$X$404,0),0)</f>
        <v>38198.271519862814</v>
      </c>
      <c r="AC148" s="12">
        <f>MIN(INDEX(其他调用!$AJ$5:$AJ$364,MATCH($K148,其他调用!$AG$5:$AG$364,0),1)/INDEX(其他调用!AI$5:AI$364,MATCH($K148,其他调用!$AG$5:$AG$364,0),0),1)*INDEX(其他调用!Z$5:Z$404,MATCH($K148,其他调用!$X$5:$X$404,0),0)</f>
        <v>39355.464601603053</v>
      </c>
      <c r="AD148" s="12">
        <f>MIN(INDEX(其他调用!$AJ$5:$AJ$364,MATCH($K148,其他调用!$AG$5:$AG$364,0),1)/INDEX(其他调用!AJ$5:AJ$364,MATCH($K148,其他调用!$AG$5:$AG$364,0),0),1)*INDEX(其他调用!AA$5:AA$404,MATCH($K148,其他调用!$X$5:$X$404,0),0)</f>
        <v>40862.120279630246</v>
      </c>
      <c r="AE148" s="12">
        <f>MIN(INDEX(其他调用!$AJ$5:$AJ$364,MATCH($K148,其他调用!$AG$5:$AG$364,0),1)/INDEX(其他调用!AK$5:AK$364,MATCH($K148,其他调用!$AG$5:$AG$364,0),0),1)*INDEX(其他调用!AB$5:AB$404,MATCH($K148,其他调用!$X$5:$X$404,0),0)</f>
        <v>15797.938887268583</v>
      </c>
      <c r="AF148" s="12">
        <f>MIN(INDEX(其他调用!$AJ$5:$AJ$364,MATCH($K148,其他调用!$AG$5:$AG$364,0),1)/INDEX(其他调用!AL$5:AL$364,MATCH($K148,其他调用!$AG$5:$AG$364,0),0),1)*INDEX(其他调用!AC$5:AC$404,MATCH($K148,其他调用!$X$5:$X$404,0),0)</f>
        <v>5420.3798683812856</v>
      </c>
      <c r="AG148" s="12">
        <f>求节点(节奏总纲!D$4:D$163,标准城池设计!AE$4:AE$163,$K148)*求节点(节奏总纲!D$4:D$163,攻城基础信息!$AF$5:$AF$164,$K148)</f>
        <v>737065.96138388</v>
      </c>
      <c r="AH148" s="12">
        <f>INDEX(其他调用!$AA$5:$AA$404,MATCH($K148,其他调用!$X$5:$X$404,0))*MIN(INDEX(其他调用!AK$5:AK$364,MATCH($K148,其他调用!$AG$5:$AG$364,0),1)/INDEX(其他调用!$AJ$5:$AJ$364,MATCH($K148,其他调用!$AG$5:$AG$364,0),0),5)*求节点(节奏总纲!D$4:D$163,攻城基础信息!$AF$5:$AF$164,$K148)</f>
        <v>358911.50069091842</v>
      </c>
      <c r="AI148" s="12">
        <f>MIN(INDEX(其他调用!$AK$5:$AK$364,MATCH($K148,其他调用!$AG$5:$AG$364,0),1)/INDEX(其他调用!AH$5:AH$364,MATCH($K148,其他调用!$AG$5:$AG$364,0),0),1)*INDEX(其他调用!Y$5:Y$404,MATCH($K148,其他调用!$X$5:$X$404,0),0)</f>
        <v>38198.271519862814</v>
      </c>
      <c r="AJ148" s="12">
        <f>MIN(INDEX(其他调用!$AK$5:$AK$364,MATCH($K148,其他调用!$AG$5:$AG$364,0),1)/INDEX(其他调用!AI$5:AI$364,MATCH($K148,其他调用!$AG$5:$AG$364,0),0),1)*INDEX(其他调用!Z$5:Z$404,MATCH($K148,其他调用!$X$5:$X$404,0),0)</f>
        <v>39355.464601603053</v>
      </c>
      <c r="AK148" s="12">
        <f>MIN(INDEX(其他调用!$AK$5:$AK$364,MATCH($K148,其他调用!$AG$5:$AG$364,0),1)/INDEX(其他调用!AJ$5:AJ$364,MATCH($K148,其他调用!$AG$5:$AG$364,0),0),1)*INDEX(其他调用!AA$5:AA$404,MATCH($K148,其他调用!$X$5:$X$404,0),0)</f>
        <v>40862.120279630246</v>
      </c>
      <c r="AL148" s="12">
        <f>MIN(INDEX(其他调用!$AK$5:$AK$364,MATCH($K148,其他调用!$AG$5:$AG$364,0),1)/INDEX(其他调用!AK$5:AK$364,MATCH($K148,其他调用!$AG$5:$AG$364,0),0),1)*INDEX(其他调用!AB$5:AB$404,MATCH($K148,其他调用!$X$5:$X$404,0),0)</f>
        <v>43052.456657582559</v>
      </c>
      <c r="AM148" s="12">
        <f>MIN(INDEX(其他调用!$AK$5:$AK$364,MATCH($K148,其他调用!$AG$5:$AG$364,0),1)/INDEX(其他调用!AL$5:AL$364,MATCH($K148,其他调用!$AG$5:$AG$364,0),0),1)*INDEX(其他调用!AC$5:AC$404,MATCH($K148,其他调用!$X$5:$X$404,0),0)</f>
        <v>14771.589573572892</v>
      </c>
      <c r="AN148" s="12">
        <f>求节点(节奏总纲!D$4:D$163,标准城池设计!AF$4:AF$163,$K148)*求节点(节奏总纲!D$4:D$163,攻城基础信息!$AG$5:$AG$164,$K148)</f>
        <v>742909.84577685432</v>
      </c>
      <c r="AO148" s="12">
        <f>INDEX(其他调用!$AA$5:$AA$404,MATCH($K148,其他调用!$X$5:$X$404,0))*MIN(INDEX(其他调用!AL$5:AL$364,MATCH($K148,其他调用!$AG$5:$AG$364,0),1)/INDEX(其他调用!$AJ$5:$AJ$364,MATCH($K148,其他调用!$AG$5:$AG$364,0),0),5)*求节点(节奏总纲!D$4:D$163,攻城基础信息!$AG$5:$AG$164,$K148)</f>
        <v>658506.2031360704</v>
      </c>
      <c r="AP148" s="12">
        <f>MIN(INDEX(其他调用!$AL$5:$AL$364,MATCH($K148,其他调用!$AG$5:$AG$364,0),1)/INDEX(其他调用!AH$5:AH$364,MATCH($K148,其他调用!$AG$5:$AG$364,0),0),1)*INDEX(其他调用!Y$5:Y$404,MATCH($K148,其他调用!$X$5:$X$404,0),0)</f>
        <v>38198.271519862814</v>
      </c>
      <c r="AQ148" s="12">
        <f>MIN(INDEX(其他调用!$AL$5:$AL$364,MATCH($K148,其他调用!$AG$5:$AG$364,0),1)/INDEX(其他调用!AI$5:AI$364,MATCH($K148,其他调用!$AG$5:$AG$364,0),0),1)*INDEX(其他调用!Z$5:Z$404,MATCH($K148,其他调用!$X$5:$X$404,0),0)</f>
        <v>39355.464601603053</v>
      </c>
      <c r="AR148" s="12">
        <f>MIN(INDEX(其他调用!$AL$5:$AL$364,MATCH($K148,其他调用!$AG$5:$AG$364,0),1)/INDEX(其他调用!AJ$5:AJ$364,MATCH($K148,其他调用!$AG$5:$AG$364,0),0),1)*INDEX(其他调用!AA$5:AA$404,MATCH($K148,其他调用!$X$5:$X$404,0),0)</f>
        <v>40862.120279630246</v>
      </c>
      <c r="AS148" s="12">
        <f>MIN(INDEX(其他调用!$AL$5:$AL$364,MATCH($K148,其他调用!$AG$5:$AG$364,0),1)/INDEX(其他调用!AK$5:AK$364,MATCH($K148,其他调用!$AG$5:$AG$364,0),0),1)*INDEX(其他调用!AB$5:AB$404,MATCH($K148,其他调用!$X$5:$X$404,0),0)</f>
        <v>43052.456657582559</v>
      </c>
      <c r="AT148" s="12">
        <f>MIN(INDEX(其他调用!$AL$5:$AL$364,MATCH($K148,其他调用!$AG$5:$AG$364,0),1)/INDEX(其他调用!AL$5:AL$364,MATCH($K148,其他调用!$AG$5:$AG$364,0),0),1)*INDEX(其他调用!AC$5:AC$404,MATCH($K148,其他调用!$X$5:$X$404,0),0)</f>
        <v>46982.533399819615</v>
      </c>
      <c r="AV148" s="14">
        <f>IF(OR(AV$5="大R",AV$5="超R"),MAX(INDEX(其他调用!$H$5:$L$404,MATCH($K148,其他调用!$B$5:$B$404,0),MATCH(AV$5,其他调用!$H$4:$L$4,0))*120*0.85,2),INDEX(其他调用!$H$5:$L$404,MATCH($K148,其他调用!$B$5:$B$404,0),MATCH(AV$5,其他调用!$H$4:$L$4,0))*120*0.85)</f>
        <v>48.921801254999991</v>
      </c>
      <c r="AW148" s="14">
        <f>IF(OR(AW$5="大R",AW$5="超R"),MAX(INDEX(其他调用!$H$5:$L$404,MATCH($K148,其他调用!$B$5:$B$404,0),MATCH(AW$5,其他调用!$H$4:$L$4,0))*120*0.85,2),INDEX(其他调用!$H$5:$L$404,MATCH($K148,其他调用!$B$5:$B$404,0),MATCH(AW$5,其他调用!$H$4:$L$4,0))*120*0.85)</f>
        <v>48.237344010638395</v>
      </c>
      <c r="AX148" s="14">
        <f>IF(OR(AX$5="大R",AX$5="超R"),MAX(INDEX(其他调用!$H$5:$L$404,MATCH($K148,其他调用!$B$5:$B$404,0),MATCH(AX$5,其他调用!$H$4:$L$4,0))*120*0.85,2),INDEX(其他调用!$H$5:$L$404,MATCH($K148,其他调用!$B$5:$B$404,0),MATCH(AX$5,其他调用!$H$4:$L$4,0))*120*0.85)</f>
        <v>3.9376284143615998</v>
      </c>
      <c r="AY148" s="14">
        <f>IF(OR(AY$5="大R",AY$5="超R"),MAX(INDEX(其他调用!$H$5:$L$404,MATCH($K148,其他调用!$B$5:$B$404,0),MATCH(AY$5,其他调用!$H$4:$L$4,0))*120*0.85,2),INDEX(其他调用!$H$5:$L$404,MATCH($K148,其他调用!$B$5:$B$404,0),MATCH(AY$5,其他调用!$H$4:$L$4,0))*120*0.85)</f>
        <v>2</v>
      </c>
      <c r="AZ148" s="14">
        <f>IF(OR(AZ$5="大R",AZ$5="超R"),MAX(INDEX(其他调用!$H$5:$L$404,MATCH($K148,其他调用!$B$5:$B$404,0),MATCH(AZ$5,其他调用!$H$4:$L$4,0))*120*0.85,2),INDEX(其他调用!$H$5:$L$404,MATCH($K148,其他调用!$B$5:$B$404,0),MATCH(AZ$5,其他调用!$H$4:$L$4,0))*120*0.85)</f>
        <v>2</v>
      </c>
      <c r="BA148" s="14">
        <f>INDEX(其他调用!$H$5:$L$404,MATCH($K148,其他调用!$B$5:$B$404,0),MATCH(BA$5,其他调用!$H$4:$L$4,0))*INDEX(其他调用!$M$5:$M$404,MATCH($K148,其他调用!$B$5:$B$404,0))*0.6</f>
        <v>28.777530149999997</v>
      </c>
      <c r="BB148" s="14">
        <f>INDEX(其他调用!$H$5:$L$404,MATCH($K148,其他调用!$B$5:$B$404,0),MATCH(BB$5,其他调用!$H$4:$L$4,0))*INDEX(其他调用!$M$5:$M$404,MATCH($K148,其他调用!$B$5:$B$404,0))*0.6</f>
        <v>28.374908241551999</v>
      </c>
      <c r="BC148" s="14">
        <f>INDEX(其他调用!$H$5:$L$404,MATCH($K148,其他调用!$B$5:$B$404,0),MATCH(BC$5,其他调用!$H$4:$L$4,0))*INDEX(其他调用!$M$5:$M$404,MATCH($K148,其他调用!$B$5:$B$404,0))*0.6</f>
        <v>2.3162520084480001</v>
      </c>
      <c r="BD148" s="14">
        <f>INDEX(其他调用!$H$5:$L$404,MATCH($K148,其他调用!$B$5:$B$404,0),MATCH(BD$5,其他调用!$H$4:$L$4,0))*INDEX(其他调用!$M$5:$M$404,MATCH($K148,其他调用!$B$5:$B$404,0))*0.6</f>
        <v>0.4120776000000001</v>
      </c>
      <c r="BE148" s="14">
        <f>INDEX(其他调用!$H$5:$L$404,MATCH($K148,其他调用!$B$5:$B$404,0),MATCH(BE$5,其他调用!$H$4:$L$4,0))*INDEX(其他调用!$M$5:$M$404,MATCH($K148,其他调用!$B$5:$B$404,0))*0.6</f>
        <v>0.11923199999999998</v>
      </c>
      <c r="BF148" s="14">
        <f>IF(OR(BF$5="大R",BF$5="超R"),0,INDEX(其他调用!$H$5:$L$404,MATCH($K148,其他调用!$B$5:$B$404,0),MATCH(BF$5,其他调用!$H$4:$L$4,0))*50*0.4)</f>
        <v>9.5925100500000013</v>
      </c>
      <c r="BG148" s="14">
        <f>IF(OR(BG$5="大R",BG$5="超R"),0,INDEX(其他调用!$H$5:$L$404,MATCH($K148,其他调用!$B$5:$B$404,0),MATCH(BG$5,其他调用!$H$4:$L$4,0))*50*0.4)</f>
        <v>9.4583027471839998</v>
      </c>
      <c r="BH148" s="14">
        <f>IF(OR(BH$5="大R",BH$5="超R"),0,INDEX(其他调用!$H$5:$L$404,MATCH($K148,其他调用!$B$5:$B$404,0),MATCH(BH$5,其他调用!$H$4:$L$4,0))*50*0.4)</f>
        <v>0.77208400281600009</v>
      </c>
      <c r="BI148" s="14">
        <f>IF(OR(BI$5="大R",BI$5="超R"),0,INDEX(其他调用!$H$5:$L$404,MATCH($K148,其他调用!$B$5:$B$404,0),MATCH(BI$5,其他调用!$H$4:$L$4,0))*50*0.4)</f>
        <v>0</v>
      </c>
      <c r="BJ148" s="14">
        <f>IF(OR(BJ$5="大R",BJ$5="超R"),0,INDEX(其他调用!$H$5:$L$404,MATCH($K148,其他调用!$B$5:$B$404,0),MATCH(BJ$5,其他调用!$H$4:$L$4,0))*50*0.4)</f>
        <v>0</v>
      </c>
      <c r="BL148" s="14">
        <f t="shared" si="313"/>
        <v>143</v>
      </c>
      <c r="BM148" s="14">
        <f t="shared" si="220"/>
        <v>96</v>
      </c>
      <c r="BN148" s="14">
        <f>('疲劳值&amp;地图信息'!$S$10*'疲劳值&amp;地图信息'!$R$10+'疲劳值&amp;地图信息'!$S$11*'疲劳值&amp;地图信息'!$R$11+'疲劳值&amp;地图信息'!$S$12*'疲劳值&amp;地图信息'!$R$12+(BM148-'疲劳值&amp;地图信息'!$S$12-'疲劳值&amp;地图信息'!$S$11-'疲劳值&amp;地图信息'!$S$10)*'疲劳值&amp;地图信息'!$R$13)/BM148</f>
        <v>51.371477246638619</v>
      </c>
      <c r="BO148" s="14">
        <f>INDEX(其他调用!$M$5:$M$404,MATCH(BL148,其他调用!$B$5:$B$404,0))*0.6</f>
        <v>60</v>
      </c>
      <c r="BP148" s="14">
        <f>IF(BO148&gt;SUM('疲劳值&amp;地图信息'!$S$10:$S$12),('疲劳值&amp;地图信息'!$S$10*'疲劳值&amp;地图信息'!$R$10+'疲劳值&amp;地图信息'!$S$11*'疲劳值&amp;地图信息'!$R$11+'疲劳值&amp;地图信息'!$S$12*'疲劳值&amp;地图信息'!$R$12+(BO148-'疲劳值&amp;地图信息'!$S$12-'疲劳值&amp;地图信息'!$S$11-'疲劳值&amp;地图信息'!$S$10)*'疲劳值&amp;地图信息'!$R$13)/BO148,('疲劳值&amp;地图信息'!$S$10*'疲劳值&amp;地图信息'!$R$10+'疲劳值&amp;地图信息'!$S$11*'疲劳值&amp;地图信息'!$R$11+'疲劳值&amp;地图信息'!$S$12*'疲劳值&amp;地图信息'!$R$12+(BO148-'疲劳值&amp;地图信息'!$S$12-'疲劳值&amp;地图信息'!$S$11-'疲劳值&amp;地图信息'!$S$10)*'疲劳值&amp;地图信息'!$R$13)/BO148)</f>
        <v>44.158136341605953</v>
      </c>
      <c r="BQ148" s="14">
        <f t="shared" si="314"/>
        <v>20</v>
      </c>
      <c r="BR148" s="14">
        <f>('疲劳值&amp;地图信息'!$S$10*'疲劳值&amp;地图信息'!$R$10+($BQ148-'疲劳值&amp;地图信息'!$S$10)*'疲劳值&amp;地图信息'!$R$11)/$BQ148</f>
        <v>32.067203015074995</v>
      </c>
      <c r="CF148" s="14">
        <v>143</v>
      </c>
      <c r="CG148" s="51">
        <f t="shared" si="221"/>
        <v>11411</v>
      </c>
      <c r="CH148" s="51">
        <f t="shared" si="222"/>
        <v>930</v>
      </c>
      <c r="CI148" s="51">
        <f>INT(SUMPRODUCT($N148:$R148,$BA148:$BE148)/SUM($BA148:$BE148)/10000*$BX$7*$BZ$34/'疲劳值&amp;地图信息'!$R$10*$BY$53)</f>
        <v>3066</v>
      </c>
      <c r="CJ148" s="50">
        <f t="shared" si="223"/>
        <v>0.7406373726228338</v>
      </c>
      <c r="CK148" s="50">
        <f t="shared" si="224"/>
        <v>6.0362173038229376E-2</v>
      </c>
      <c r="CL148" s="50">
        <f t="shared" si="225"/>
        <v>0.19900045433893684</v>
      </c>
      <c r="CM148" s="14">
        <f t="shared" si="226"/>
        <v>12272</v>
      </c>
      <c r="CN148" s="14">
        <f t="shared" si="227"/>
        <v>1531</v>
      </c>
      <c r="CO148" s="14">
        <f>INT(SUMPRODUCT($U148:$Y148,$BA148:$BE148)/SUM($BA148:$BE148)/10000*$BX$7*$BZ$34/'疲劳值&amp;地图信息'!$R$10*$BY$54)</f>
        <v>5768</v>
      </c>
      <c r="CP148" s="50">
        <f t="shared" si="228"/>
        <v>0.62705022737724181</v>
      </c>
      <c r="CQ148" s="50">
        <f t="shared" si="229"/>
        <v>7.8227990393950231E-2</v>
      </c>
      <c r="CR148" s="50">
        <f t="shared" si="230"/>
        <v>0.2947217822288079</v>
      </c>
      <c r="CS148" s="14">
        <f t="shared" si="231"/>
        <v>13116</v>
      </c>
      <c r="CT148" s="14">
        <f t="shared" si="232"/>
        <v>2684</v>
      </c>
      <c r="CU148" s="14">
        <f>INT(SUMPRODUCT($AB148:$AF148,$BA148:$BE148)/SUM($BA148:$BE148)/10000*$BX$7*$BZ$34/'疲劳值&amp;地图信息'!$R$10*$BY$55)</f>
        <v>7839</v>
      </c>
      <c r="CV148" s="50">
        <f t="shared" si="233"/>
        <v>0.55484580566013786</v>
      </c>
      <c r="CW148" s="50">
        <f t="shared" si="234"/>
        <v>0.11354118194509075</v>
      </c>
      <c r="CX148" s="50">
        <f t="shared" si="235"/>
        <v>0.33161301239477137</v>
      </c>
      <c r="CY148" s="14">
        <f t="shared" si="236"/>
        <v>15022</v>
      </c>
      <c r="CZ148" s="14">
        <f t="shared" si="237"/>
        <v>7315</v>
      </c>
      <c r="DA148" s="14">
        <f>INT(SUMPRODUCT($AI148:$AM148,$BA148:$BE148)/SUM($BA148:$BE148)/10000*$BX$7*$BZ$34/'疲劳值&amp;地图信息'!$R$10*$BY$56)</f>
        <v>11821</v>
      </c>
      <c r="DB148" s="50">
        <f t="shared" si="238"/>
        <v>0.43977984659523389</v>
      </c>
      <c r="DC148" s="50">
        <f t="shared" si="239"/>
        <v>0.21415188242871364</v>
      </c>
      <c r="DD148" s="50">
        <f t="shared" si="240"/>
        <v>0.34606827097605247</v>
      </c>
      <c r="DE148" s="14">
        <f t="shared" si="241"/>
        <v>15141</v>
      </c>
      <c r="DF148" s="14">
        <f t="shared" si="242"/>
        <v>13421</v>
      </c>
      <c r="DG148" s="14">
        <f>INT(SUMPRODUCT($AP148:$AT148,$BA148:$BE148)/SUM($BA148:$BE148)/10000*$BX$7*$BZ$34/'疲劳值&amp;地图信息'!$R$10*$BY$57)</f>
        <v>15787</v>
      </c>
      <c r="DH148" s="50">
        <f t="shared" si="243"/>
        <v>0.34140566867347627</v>
      </c>
      <c r="DI148" s="50">
        <f t="shared" si="244"/>
        <v>0.30262238156440957</v>
      </c>
      <c r="DJ148" s="50">
        <f t="shared" si="245"/>
        <v>0.35597194976211416</v>
      </c>
      <c r="DL148" s="14">
        <f t="shared" si="316"/>
        <v>15407</v>
      </c>
      <c r="DM148" s="14">
        <f t="shared" si="317"/>
        <v>19571</v>
      </c>
      <c r="DN148" s="14">
        <f t="shared" si="318"/>
        <v>23639</v>
      </c>
      <c r="DO148" s="14">
        <f t="shared" si="319"/>
        <v>34158</v>
      </c>
      <c r="DP148" s="14">
        <f t="shared" si="320"/>
        <v>44349</v>
      </c>
      <c r="DQ148" s="14">
        <f t="shared" si="321"/>
        <v>1072818</v>
      </c>
      <c r="DT148" s="14">
        <f t="shared" si="315"/>
        <v>235575</v>
      </c>
      <c r="DU148" s="50">
        <f t="shared" si="217"/>
        <v>0.18004911368373264</v>
      </c>
      <c r="DW148" s="14">
        <f t="shared" si="246"/>
        <v>1308393</v>
      </c>
      <c r="EB148" s="14">
        <v>143</v>
      </c>
      <c r="EC148" s="51">
        <f t="shared" si="247"/>
        <v>19018</v>
      </c>
      <c r="ED148" s="51">
        <f t="shared" si="248"/>
        <v>1550</v>
      </c>
      <c r="EE148" s="51">
        <f>INT(SUMPRODUCT($N148:$R148,$BF148:$BJ148)/SUM($BF148:$BJ148)/10000*$BX$7*$BZ$46/'疲劳值&amp;地图信息'!$R$10*$BY$53)</f>
        <v>411</v>
      </c>
      <c r="EF148" s="50">
        <f t="shared" si="249"/>
        <v>0.90652557319223981</v>
      </c>
      <c r="EG148" s="50">
        <f t="shared" si="250"/>
        <v>7.3883407216740554E-2</v>
      </c>
      <c r="EH148" s="50">
        <f t="shared" si="251"/>
        <v>1.9591019591019592E-2</v>
      </c>
      <c r="EI148" s="51">
        <f t="shared" si="252"/>
        <v>20453</v>
      </c>
      <c r="EJ148" s="51">
        <f t="shared" si="253"/>
        <v>2551</v>
      </c>
      <c r="EK148" s="14">
        <f>INT(SUMPRODUCT($U148:$Y148,$BF148:$BJ148)/SUM($BF148:$BJ148)/10000*$BX$7*$BZ$46/'疲劳值&amp;地图信息'!$R$10*$BY$54)</f>
        <v>774</v>
      </c>
      <c r="EL148" s="50">
        <f t="shared" si="254"/>
        <v>0.86016485827235256</v>
      </c>
      <c r="EM148" s="50">
        <f t="shared" si="255"/>
        <v>0.10728404407435445</v>
      </c>
      <c r="EN148" s="50">
        <f t="shared" si="256"/>
        <v>3.2551097653292962E-2</v>
      </c>
      <c r="EO148" s="51">
        <f t="shared" si="257"/>
        <v>21860</v>
      </c>
      <c r="EP148" s="51">
        <f t="shared" si="258"/>
        <v>4473</v>
      </c>
      <c r="EQ148" s="14">
        <f>INT(SUMPRODUCT($AB148:$AF148,$BF148:$BJ148)/SUM($BF148:$BJ148)/10000*$BX$7*$BZ$46/'疲劳值&amp;地图信息'!$R$10*$BY$55)</f>
        <v>1051</v>
      </c>
      <c r="ER148" s="50">
        <f t="shared" si="259"/>
        <v>0.79827636576102834</v>
      </c>
      <c r="ES148" s="50">
        <f t="shared" si="260"/>
        <v>0.16334355828220859</v>
      </c>
      <c r="ET148" s="50">
        <f t="shared" si="261"/>
        <v>3.8380075956763071E-2</v>
      </c>
      <c r="EU148" s="51">
        <f t="shared" si="262"/>
        <v>25037</v>
      </c>
      <c r="EV148" s="51">
        <f t="shared" si="263"/>
        <v>12191</v>
      </c>
      <c r="EW148" s="14">
        <f>INT(SUMPRODUCT($AI148:$AM148,$BF148:$BJ148)/SUM($BF148:$BJ148)/10000*$BX$7*$BZ$46/'疲劳值&amp;地图信息'!$R$10*$BY$56)</f>
        <v>1576</v>
      </c>
      <c r="EX148" s="50">
        <f t="shared" si="264"/>
        <v>0.64521698793938764</v>
      </c>
      <c r="EY148" s="50">
        <f t="shared" si="265"/>
        <v>0.31416864240799919</v>
      </c>
      <c r="EZ148" s="50">
        <f t="shared" si="266"/>
        <v>4.0614369652613135E-2</v>
      </c>
      <c r="FA148" s="51">
        <f t="shared" si="267"/>
        <v>25235</v>
      </c>
      <c r="FB148" s="51">
        <f t="shared" si="268"/>
        <v>22368</v>
      </c>
      <c r="FC148" s="14">
        <f>INT(SUMPRODUCT($AP148:$AT148,$BF148:$BJ148)/SUM($BF148:$BJ148)/10000*$BX$7*$BZ$46/'疲劳值&amp;地图信息'!$R$10*$BY$57)</f>
        <v>2102</v>
      </c>
      <c r="FD148" s="50">
        <f t="shared" si="269"/>
        <v>0.50769540287697412</v>
      </c>
      <c r="FE148" s="50">
        <f t="shared" si="270"/>
        <v>0.45001508902524895</v>
      </c>
      <c r="FF148" s="50">
        <f t="shared" si="271"/>
        <v>4.228950809777688E-2</v>
      </c>
      <c r="FH148" s="14">
        <f t="shared" si="272"/>
        <v>20979</v>
      </c>
      <c r="FI148" s="14">
        <f t="shared" si="273"/>
        <v>23778</v>
      </c>
      <c r="FJ148" s="14">
        <f t="shared" si="274"/>
        <v>27384</v>
      </c>
      <c r="FK148" s="14">
        <f t="shared" si="275"/>
        <v>38804</v>
      </c>
      <c r="FL148" s="14">
        <f t="shared" si="276"/>
        <v>49705</v>
      </c>
      <c r="FM148" s="14">
        <f t="shared" si="277"/>
        <v>2458164</v>
      </c>
      <c r="FP148" s="14">
        <f t="shared" si="278"/>
        <v>334150</v>
      </c>
      <c r="FQ148" s="50">
        <f t="shared" si="218"/>
        <v>0.11966777375323835</v>
      </c>
      <c r="FS148" s="14">
        <f t="shared" si="279"/>
        <v>2792314</v>
      </c>
      <c r="FX148" s="14">
        <v>143</v>
      </c>
      <c r="FY148" s="51">
        <f t="shared" si="280"/>
        <v>26626</v>
      </c>
      <c r="FZ148" s="51">
        <f t="shared" si="281"/>
        <v>1550</v>
      </c>
      <c r="GA148" s="51">
        <f>INT(SUMPRODUCT($N148:$R148,$BF148:$BJ148)/SUM($BF148:$BJ148)/10000*$BX$7*$BZ$46/'疲劳值&amp;地图信息'!$R$10*$BY$53)</f>
        <v>411</v>
      </c>
      <c r="GB148" s="50">
        <f t="shared" si="282"/>
        <v>0.93140238569979361</v>
      </c>
      <c r="GC148" s="50">
        <f t="shared" si="283"/>
        <v>5.4220449854829121E-2</v>
      </c>
      <c r="GD148" s="50">
        <f t="shared" si="284"/>
        <v>1.4377164445377269E-2</v>
      </c>
      <c r="GE148" s="51">
        <f t="shared" si="285"/>
        <v>28634</v>
      </c>
      <c r="GF148" s="51">
        <f t="shared" si="286"/>
        <v>2551</v>
      </c>
      <c r="GG148" s="14">
        <f>INT(SUMPRODUCT($U148:$Y148,$BF148:$BJ148)/SUM($BF148:$BJ148)/10000*$BX$7*$BZ$46/'疲劳值&amp;地图信息'!$R$10*$BY$54)</f>
        <v>774</v>
      </c>
      <c r="GH148" s="50">
        <f t="shared" si="287"/>
        <v>0.89596044932569852</v>
      </c>
      <c r="GI148" s="50">
        <f t="shared" si="288"/>
        <v>7.982102068274978E-2</v>
      </c>
      <c r="GJ148" s="50">
        <f t="shared" si="289"/>
        <v>2.4218529991551677E-2</v>
      </c>
      <c r="GK148" s="51">
        <f t="shared" si="290"/>
        <v>30604</v>
      </c>
      <c r="GL148" s="51">
        <f t="shared" si="291"/>
        <v>4473</v>
      </c>
      <c r="GM148" s="14">
        <f>INT(SUMPRODUCT($AB148:$AF148,$BF148:$BJ148)/SUM($BF148:$BJ148)/10000*$BX$7*$BZ$46/'疲劳值&amp;地图信息'!$R$10*$BY$55)</f>
        <v>1051</v>
      </c>
      <c r="GN148" s="50">
        <f t="shared" si="292"/>
        <v>0.84709920283436668</v>
      </c>
      <c r="GO148" s="50">
        <f t="shared" si="293"/>
        <v>0.12380978742249779</v>
      </c>
      <c r="GP148" s="50">
        <f t="shared" si="294"/>
        <v>2.9091009743135519E-2</v>
      </c>
      <c r="GQ148" s="51">
        <f t="shared" si="295"/>
        <v>35052</v>
      </c>
      <c r="GR148" s="51">
        <f t="shared" si="296"/>
        <v>12191</v>
      </c>
      <c r="GS148" s="14">
        <f>INT(SUMPRODUCT($AI148:$AM148,$BF148:$BJ148)/SUM($BF148:$BJ148)/10000*$BX$7*$BZ$46/'疲劳值&amp;地图信息'!$R$10*$BY$56)</f>
        <v>1576</v>
      </c>
      <c r="GT148" s="50">
        <f t="shared" si="297"/>
        <v>0.71799913967922324</v>
      </c>
      <c r="GU148" s="50">
        <f t="shared" si="298"/>
        <v>0.24971834736475554</v>
      </c>
      <c r="GV148" s="50">
        <f t="shared" si="299"/>
        <v>3.228251295602122E-2</v>
      </c>
      <c r="GW148" s="51">
        <f t="shared" si="300"/>
        <v>35330</v>
      </c>
      <c r="GX148" s="51">
        <f t="shared" si="301"/>
        <v>22368</v>
      </c>
      <c r="GY148" s="14">
        <f>INT(SUMPRODUCT($AP148:$AT148,$BF148:$BJ148)/SUM($BF148:$BJ148)/10000*$BX$7*$BZ$46/'疲劳值&amp;地图信息'!$R$10*$BY$57)</f>
        <v>2102</v>
      </c>
      <c r="GZ148" s="50">
        <f t="shared" si="302"/>
        <v>0.59080267558528432</v>
      </c>
      <c r="HA148" s="50">
        <f t="shared" si="303"/>
        <v>0.37404682274247492</v>
      </c>
      <c r="HB148" s="50">
        <f t="shared" si="304"/>
        <v>3.5150501672240805E-2</v>
      </c>
      <c r="HD148" s="14">
        <f t="shared" si="305"/>
        <v>28587</v>
      </c>
      <c r="HE148" s="14">
        <f t="shared" si="306"/>
        <v>31959</v>
      </c>
      <c r="HF148" s="14">
        <f t="shared" si="307"/>
        <v>36128</v>
      </c>
      <c r="HG148" s="14">
        <f t="shared" si="308"/>
        <v>48819</v>
      </c>
      <c r="HH148" s="14">
        <f t="shared" si="309"/>
        <v>59800</v>
      </c>
      <c r="HI148" s="14">
        <f t="shared" si="310"/>
        <v>3299641</v>
      </c>
      <c r="HL148" s="14">
        <f t="shared" si="311"/>
        <v>430050</v>
      </c>
      <c r="HM148" s="50">
        <f t="shared" si="219"/>
        <v>0.11530445819774346</v>
      </c>
      <c r="HO148" s="14">
        <f t="shared" si="312"/>
        <v>3729691</v>
      </c>
    </row>
    <row r="149" spans="11:223" x14ac:dyDescent="0.2">
      <c r="K149" s="14">
        <v>144</v>
      </c>
      <c r="L149" s="12">
        <f>求节点(节奏总纲!D$4:D$163,标准城池设计!AB$4:AB$163,$K149)*求节点(节奏总纲!D$4:D$163,攻城基础信息!$AC$5:$AC$164,$K149)</f>
        <v>561602.67318035988</v>
      </c>
      <c r="M149" s="12">
        <f>INDEX(其他调用!$AA$5:$AA$404,MATCH(K149,其他调用!$X$5:$X$404,0))*MIN(INDEX(其他调用!$AH$5:$AH$364,MATCH('征服点（新）'!K149,其他调用!$AG$5:$AG$364,0),1)/INDEX(其他调用!$AJ$5:$AJ$364,MATCH(K149,其他调用!$AG$5:$AG$364,0),0),5)*求节点(节奏总纲!D$4:D$163,攻城基础信息!$AC$5:$AC$164,$K149)</f>
        <v>45720.39405596006</v>
      </c>
      <c r="N149" s="12">
        <f>MIN(INDEX(其他调用!$AH$5:$AH$364,MATCH($K149,其他调用!$AG$5:$AG$364,0),1)/INDEX(其他调用!AH$5:AH$364,MATCH($K149,其他调用!$AG$5:$AG$364,0),0),1)*INDEX(其他调用!Y$5:Y$404,MATCH($K149,其他调用!$X$5:$X$404,0),0)</f>
        <v>38238.430247960256</v>
      </c>
      <c r="O149" s="12">
        <f>MIN(INDEX(其他调用!$AH$5:$AH$364,MATCH($K149,其他调用!$AG$5:$AG$364,0),1)/INDEX(其他调用!AI$5:AI$364,MATCH($K149,其他调用!$AG$5:$AG$364,0),0),1)*INDEX(其他调用!Z$5:Z$404,MATCH($K149,其他调用!$X$5:$X$404,0),0)</f>
        <v>23949.550731951811</v>
      </c>
      <c r="P149" s="12">
        <f>MIN(INDEX(其他调用!$AH$5:$AH$364,MATCH($K149,其他调用!$AG$5:$AG$364,0),1)/INDEX(其他调用!AJ$5:AJ$364,MATCH($K149,其他调用!$AG$5:$AG$364,0),0),1)*INDEX(其他调用!AA$5:AA$404,MATCH($K149,其他调用!$X$5:$X$404,0),0)</f>
        <v>14170.496789223773</v>
      </c>
      <c r="Q149" s="12">
        <f>MIN(INDEX(其他调用!$AH$5:$AH$364,MATCH($K149,其他调用!$AG$5:$AG$364,0),1)/INDEX(其他调用!AK$5:AK$364,MATCH($K149,其他调用!$AG$5:$AG$364,0),0),1)*INDEX(其他调用!AB$5:AB$404,MATCH($K149,其他调用!$X$5:$X$404,0),0)</f>
        <v>5463.0015349563027</v>
      </c>
      <c r="R149" s="12">
        <f>MIN(INDEX(其他调用!$AH$5:$AH$364,MATCH($K149,其他调用!$AG$5:$AG$364,0),1)/INDEX(其他调用!AL$5:AL$364,MATCH($K149,其他调用!$AG$5:$AG$364,0),0),1)*INDEX(其他调用!AC$5:AC$404,MATCH($K149,其他调用!$X$5:$X$404,0),0)</f>
        <v>1887.2455398710017</v>
      </c>
      <c r="S149" s="12">
        <f>求节点(节奏总纲!D$4:D$163,标准城池设计!AC$4:AC$163,$K149)*求节点(节奏总纲!D$4:D$163,攻城基础信息!$AD$5:$AD$164,$K149)</f>
        <v>603989.06105926982</v>
      </c>
      <c r="T149" s="12">
        <f>INDEX(其他调用!$AA$5:$AA$404,MATCH($K149,其他调用!$X$5:$X$404,0))*MIN(INDEX(其他调用!AI$5:AI$364,MATCH($K149,其他调用!$AG$5:$AG$364,0),1)/INDEX(其他调用!$AJ$5:$AJ$364,MATCH($K149,其他调用!$AG$5:$AG$364,0),0),5)*求节点(节奏总纲!D$4:D$163,攻城基础信息!$AD$5:$AD$164,$K149)</f>
        <v>75211.008201572025</v>
      </c>
      <c r="U149" s="12">
        <f>MIN(INDEX(其他调用!$AI$5:$AI$364,MATCH($K149,其他调用!$AG$5:$AG$364,0),1)/INDEX(其他调用!AH$5:AH$364,MATCH($K149,其他调用!$AG$5:$AG$364,0),0),1)*INDEX(其他调用!Y$5:Y$404,MATCH($K149,其他调用!$X$5:$X$404,0),0)</f>
        <v>38238.430247960256</v>
      </c>
      <c r="V149" s="12">
        <f>MIN(INDEX(其他调用!$AI$5:$AI$364,MATCH($K149,其他调用!$AG$5:$AG$364,0),1)/INDEX(其他调用!AI$5:AI$364,MATCH($K149,其他调用!$AG$5:$AG$364,0),0),1)*INDEX(其他调用!Z$5:Z$404,MATCH($K149,其他调用!$X$5:$X$404,0),0)</f>
        <v>39397.513816703009</v>
      </c>
      <c r="W149" s="12">
        <f>MIN(INDEX(其他调用!$AI$5:$AI$364,MATCH($K149,其他调用!$AG$5:$AG$364,0),1)/INDEX(其他调用!AJ$5:AJ$364,MATCH($K149,其他调用!$AG$5:$AG$364,0),0),1)*INDEX(其他调用!AA$5:AA$404,MATCH($K149,其他调用!$X$5:$X$404,0),0)</f>
        <v>23310.764752600062</v>
      </c>
      <c r="X149" s="12">
        <f>MIN(INDEX(其他调用!$AI$5:$AI$364,MATCH($K149,其他调用!$AG$5:$AG$364,0),1)/INDEX(其他调用!AK$5:AK$364,MATCH($K149,其他调用!$AG$5:$AG$364,0),0),1)*INDEX(其他调用!AB$5:AB$404,MATCH($K149,其他调用!$X$5:$X$404,0),0)</f>
        <v>8986.7522302607413</v>
      </c>
      <c r="Y149" s="12">
        <f>MIN(INDEX(其他调用!$AI$5:$AI$364,MATCH($K149,其他调用!$AG$5:$AG$364,0),1)/INDEX(其他调用!AL$5:AL$364,MATCH($K149,其他调用!$AG$5:$AG$364,0),0),1)*INDEX(其他调用!AC$5:AC$404,MATCH($K149,其他调用!$X$5:$X$404,0),0)</f>
        <v>3104.5585391037275</v>
      </c>
      <c r="Z149" s="12">
        <f>求节点(节奏总纲!D$4:D$163,标准城池设计!AD$4:AD$163,$K149)*求节点(节奏总纲!D$4:D$163,攻城基础信息!$AE$5:$AE$164,$K149)</f>
        <v>645358.66562040942</v>
      </c>
      <c r="AA149" s="12">
        <f>INDEX(其他调用!$AA$5:$AA$404,MATCH($K149,其他调用!$X$5:$X$404,0))*MIN(INDEX(其他调用!AJ$5:AJ$364,MATCH($K149,其他调用!$AG$5:$AG$364,0),1)/INDEX(其他调用!$AJ$5:$AJ$364,MATCH($K149,其他调用!$AG$5:$AG$364,0),0),5)*求节点(节奏总纲!D$4:D$163,攻城基础信息!$AE$5:$AE$164,$K149)</f>
        <v>131973.4255126213</v>
      </c>
      <c r="AB149" s="12">
        <f>MIN(INDEX(其他调用!$AJ$5:$AJ$364,MATCH($K149,其他调用!$AG$5:$AG$364,0),1)/INDEX(其他调用!AH$5:AH$364,MATCH($K149,其他调用!$AG$5:$AG$364,0),0),1)*INDEX(其他调用!Y$5:Y$404,MATCH($K149,其他调用!$X$5:$X$404,0),0)</f>
        <v>38238.430247960256</v>
      </c>
      <c r="AC149" s="12">
        <f>MIN(INDEX(其他调用!$AJ$5:$AJ$364,MATCH($K149,其他调用!$AG$5:$AG$364,0),1)/INDEX(其他调用!AI$5:AI$364,MATCH($K149,其他调用!$AG$5:$AG$364,0),0),1)*INDEX(其他调用!Z$5:Z$404,MATCH($K149,其他调用!$X$5:$X$404,0),0)</f>
        <v>39397.513816703009</v>
      </c>
      <c r="AD149" s="12">
        <f>MIN(INDEX(其他调用!$AJ$5:$AJ$364,MATCH($K149,其他调用!$AG$5:$AG$364,0),1)/INDEX(其他调用!AJ$5:AJ$364,MATCH($K149,其他调用!$AG$5:$AG$364,0),0),1)*INDEX(其他调用!AA$5:AA$404,MATCH($K149,其他调用!$X$5:$X$404,0),0)</f>
        <v>40903.606390629408</v>
      </c>
      <c r="AE149" s="12">
        <f>MIN(INDEX(其他调用!$AJ$5:$AJ$364,MATCH($K149,其他调用!$AG$5:$AG$364,0),1)/INDEX(其他调用!AK$5:AK$364,MATCH($K149,其他调用!$AG$5:$AG$364,0),0),1)*INDEX(其他调用!AB$5:AB$404,MATCH($K149,其他调用!$X$5:$X$404,0),0)</f>
        <v>15769.13412571313</v>
      </c>
      <c r="AF149" s="12">
        <f>MIN(INDEX(其他调用!$AJ$5:$AJ$364,MATCH($K149,其他调用!$AG$5:$AG$364,0),1)/INDEX(其他调用!AL$5:AL$364,MATCH($K149,其他调用!$AG$5:$AG$364,0),0),1)*INDEX(其他调用!AC$5:AC$404,MATCH($K149,其他调用!$X$5:$X$404,0),0)</f>
        <v>5447.5965009257043</v>
      </c>
      <c r="AG149" s="12">
        <f>求节点(节奏总纲!D$4:D$163,标准城池设计!AE$4:AE$163,$K149)*求节点(节奏总纲!D$4:D$163,攻城基础信息!$AF$5:$AF$164,$K149)</f>
        <v>739185.35371797718</v>
      </c>
      <c r="AH149" s="12">
        <f>INDEX(其他调用!$AA$5:$AA$404,MATCH($K149,其他调用!$X$5:$X$404,0))*MIN(INDEX(其他调用!AK$5:AK$364,MATCH($K149,其他调用!$AG$5:$AG$364,0),1)/INDEX(其他调用!$AJ$5:$AJ$364,MATCH($K149,其他调用!$AG$5:$AG$364,0),0),5)*求节点(节奏总纲!D$4:D$163,攻城基础信息!$AF$5:$AF$164,$K149)</f>
        <v>360651.96447160904</v>
      </c>
      <c r="AI149" s="12">
        <f>MIN(INDEX(其他调用!$AK$5:$AK$364,MATCH($K149,其他调用!$AG$5:$AG$364,0),1)/INDEX(其他调用!AH$5:AH$364,MATCH($K149,其他调用!$AG$5:$AG$364,0),0),1)*INDEX(其他调用!Y$5:Y$404,MATCH($K149,其他调用!$X$5:$X$404,0),0)</f>
        <v>38238.430247960256</v>
      </c>
      <c r="AJ149" s="12">
        <f>MIN(INDEX(其他调用!$AK$5:$AK$364,MATCH($K149,其他调用!$AG$5:$AG$364,0),1)/INDEX(其他调用!AI$5:AI$364,MATCH($K149,其他调用!$AG$5:$AG$364,0),0),1)*INDEX(其他调用!Z$5:Z$404,MATCH($K149,其他调用!$X$5:$X$404,0),0)</f>
        <v>39397.513816703009</v>
      </c>
      <c r="AK149" s="12">
        <f>MIN(INDEX(其他调用!$AK$5:$AK$364,MATCH($K149,其他调用!$AG$5:$AG$364,0),1)/INDEX(其他调用!AJ$5:AJ$364,MATCH($K149,其他调用!$AG$5:$AG$364,0),0),1)*INDEX(其他调用!AA$5:AA$404,MATCH($K149,其他调用!$X$5:$X$404,0),0)</f>
        <v>40903.606390629408</v>
      </c>
      <c r="AL149" s="12">
        <f>MIN(INDEX(其他调用!$AK$5:$AK$364,MATCH($K149,其他调用!$AG$5:$AG$364,0),1)/INDEX(其他调用!AK$5:AK$364,MATCH($K149,其他调用!$AG$5:$AG$364,0),0),1)*INDEX(其他调用!AB$5:AB$404,MATCH($K149,其他调用!$X$5:$X$404,0),0)</f>
        <v>43093.290777019618</v>
      </c>
      <c r="AM149" s="12">
        <f>MIN(INDEX(其他调用!$AK$5:$AK$364,MATCH($K149,其他调用!$AG$5:$AG$364,0),1)/INDEX(其他调用!AL$5:AL$364,MATCH($K149,其他调用!$AG$5:$AG$364,0),0),1)*INDEX(其他调用!AC$5:AC$404,MATCH($K149,其他调用!$X$5:$X$404,0),0)</f>
        <v>14886.984800736462</v>
      </c>
      <c r="AN149" s="12">
        <f>求节点(节奏总纲!D$4:D$163,标准城池设计!AF$4:AF$163,$K149)*求节点(节奏总纲!D$4:D$163,攻城基础信息!$AG$5:$AG$164,$K149)</f>
        <v>745890.93323823076</v>
      </c>
      <c r="AO149" s="12">
        <f>INDEX(其他调用!$AA$5:$AA$404,MATCH($K149,其他调用!$X$5:$X$404,0))*MIN(INDEX(其他调用!AL$5:AL$364,MATCH($K149,其他调用!$AG$5:$AG$364,0),1)/INDEX(其他调用!$AJ$5:$AJ$364,MATCH($K149,其他调用!$AG$5:$AG$364,0),0),5)*求节点(节奏总纲!D$4:D$163,攻城基础信息!$AG$5:$AG$164,$K149)</f>
        <v>659867.12756310648</v>
      </c>
      <c r="AP149" s="12">
        <f>MIN(INDEX(其他调用!$AL$5:$AL$364,MATCH($K149,其他调用!$AG$5:$AG$364,0),1)/INDEX(其他调用!AH$5:AH$364,MATCH($K149,其他调用!$AG$5:$AG$364,0),0),1)*INDEX(其他调用!Y$5:Y$404,MATCH($K149,其他调用!$X$5:$X$404,0),0)</f>
        <v>38238.430247960256</v>
      </c>
      <c r="AQ149" s="12">
        <f>MIN(INDEX(其他调用!$AL$5:$AL$364,MATCH($K149,其他调用!$AG$5:$AG$364,0),1)/INDEX(其他调用!AI$5:AI$364,MATCH($K149,其他调用!$AG$5:$AG$364,0),0),1)*INDEX(其他调用!Z$5:Z$404,MATCH($K149,其他调用!$X$5:$X$404,0),0)</f>
        <v>39397.513816703009</v>
      </c>
      <c r="AR149" s="12">
        <f>MIN(INDEX(其他调用!$AL$5:$AL$364,MATCH($K149,其他调用!$AG$5:$AG$364,0),1)/INDEX(其他调用!AJ$5:AJ$364,MATCH($K149,其他调用!$AG$5:$AG$364,0),0),1)*INDEX(其他调用!AA$5:AA$404,MATCH($K149,其他调用!$X$5:$X$404,0),0)</f>
        <v>40903.606390629408</v>
      </c>
      <c r="AS149" s="12">
        <f>MIN(INDEX(其他调用!$AL$5:$AL$364,MATCH($K149,其他调用!$AG$5:$AG$364,0),1)/INDEX(其他调用!AK$5:AK$364,MATCH($K149,其他调用!$AG$5:$AG$364,0),0),1)*INDEX(其他调用!AB$5:AB$404,MATCH($K149,其他调用!$X$5:$X$404,0),0)</f>
        <v>43093.290777019618</v>
      </c>
      <c r="AT149" s="12">
        <f>MIN(INDEX(其他调用!$AL$5:$AL$364,MATCH($K149,其他调用!$AG$5:$AG$364,0),1)/INDEX(其他调用!AL$5:AL$364,MATCH($K149,其他调用!$AG$5:$AG$364,0),0),1)*INDEX(其他调用!AC$5:AC$404,MATCH($K149,其他调用!$X$5:$X$404,0),0)</f>
        <v>47023.011406851052</v>
      </c>
      <c r="AV149" s="14">
        <f>IF(OR(AV$5="大R",AV$5="超R"),MAX(INDEX(其他调用!$H$5:$L$404,MATCH($K149,其他调用!$B$5:$B$404,0),MATCH(AV$5,其他调用!$H$4:$L$4,0))*120*0.85,2),INDEX(其他调用!$H$5:$L$404,MATCH($K149,其他调用!$B$5:$B$404,0),MATCH(AV$5,其他调用!$H$4:$L$4,0))*120*0.85)</f>
        <v>48.921801254999991</v>
      </c>
      <c r="AW149" s="14">
        <f>IF(OR(AW$5="大R",AW$5="超R"),MAX(INDEX(其他调用!$H$5:$L$404,MATCH($K149,其他调用!$B$5:$B$404,0),MATCH(AW$5,其他调用!$H$4:$L$4,0))*120*0.85,2),INDEX(其他调用!$H$5:$L$404,MATCH($K149,其他调用!$B$5:$B$404,0),MATCH(AW$5,其他调用!$H$4:$L$4,0))*120*0.85)</f>
        <v>48.237344010638395</v>
      </c>
      <c r="AX149" s="14">
        <f>IF(OR(AX$5="大R",AX$5="超R"),MAX(INDEX(其他调用!$H$5:$L$404,MATCH($K149,其他调用!$B$5:$B$404,0),MATCH(AX$5,其他调用!$H$4:$L$4,0))*120*0.85,2),INDEX(其他调用!$H$5:$L$404,MATCH($K149,其他调用!$B$5:$B$404,0),MATCH(AX$5,其他调用!$H$4:$L$4,0))*120*0.85)</f>
        <v>3.9376284143615998</v>
      </c>
      <c r="AY149" s="14">
        <f>IF(OR(AY$5="大R",AY$5="超R"),MAX(INDEX(其他调用!$H$5:$L$404,MATCH($K149,其他调用!$B$5:$B$404,0),MATCH(AY$5,其他调用!$H$4:$L$4,0))*120*0.85,2),INDEX(其他调用!$H$5:$L$404,MATCH($K149,其他调用!$B$5:$B$404,0),MATCH(AY$5,其他调用!$H$4:$L$4,0))*120*0.85)</f>
        <v>2</v>
      </c>
      <c r="AZ149" s="14">
        <f>IF(OR(AZ$5="大R",AZ$5="超R"),MAX(INDEX(其他调用!$H$5:$L$404,MATCH($K149,其他调用!$B$5:$B$404,0),MATCH(AZ$5,其他调用!$H$4:$L$4,0))*120*0.85,2),INDEX(其他调用!$H$5:$L$404,MATCH($K149,其他调用!$B$5:$B$404,0),MATCH(AZ$5,其他调用!$H$4:$L$4,0))*120*0.85)</f>
        <v>2</v>
      </c>
      <c r="BA149" s="14">
        <f>INDEX(其他调用!$H$5:$L$404,MATCH($K149,其他调用!$B$5:$B$404,0),MATCH(BA$5,其他调用!$H$4:$L$4,0))*INDEX(其他调用!$M$5:$M$404,MATCH($K149,其他调用!$B$5:$B$404,0))*0.6</f>
        <v>28.777530149999997</v>
      </c>
      <c r="BB149" s="14">
        <f>INDEX(其他调用!$H$5:$L$404,MATCH($K149,其他调用!$B$5:$B$404,0),MATCH(BB$5,其他调用!$H$4:$L$4,0))*INDEX(其他调用!$M$5:$M$404,MATCH($K149,其他调用!$B$5:$B$404,0))*0.6</f>
        <v>28.374908241551999</v>
      </c>
      <c r="BC149" s="14">
        <f>INDEX(其他调用!$H$5:$L$404,MATCH($K149,其他调用!$B$5:$B$404,0),MATCH(BC$5,其他调用!$H$4:$L$4,0))*INDEX(其他调用!$M$5:$M$404,MATCH($K149,其他调用!$B$5:$B$404,0))*0.6</f>
        <v>2.3162520084480001</v>
      </c>
      <c r="BD149" s="14">
        <f>INDEX(其他调用!$H$5:$L$404,MATCH($K149,其他调用!$B$5:$B$404,0),MATCH(BD$5,其他调用!$H$4:$L$4,0))*INDEX(其他调用!$M$5:$M$404,MATCH($K149,其他调用!$B$5:$B$404,0))*0.6</f>
        <v>0.4120776000000001</v>
      </c>
      <c r="BE149" s="14">
        <f>INDEX(其他调用!$H$5:$L$404,MATCH($K149,其他调用!$B$5:$B$404,0),MATCH(BE$5,其他调用!$H$4:$L$4,0))*INDEX(其他调用!$M$5:$M$404,MATCH($K149,其他调用!$B$5:$B$404,0))*0.6</f>
        <v>0.11923199999999998</v>
      </c>
      <c r="BF149" s="14">
        <f>IF(OR(BF$5="大R",BF$5="超R"),0,INDEX(其他调用!$H$5:$L$404,MATCH($K149,其他调用!$B$5:$B$404,0),MATCH(BF$5,其他调用!$H$4:$L$4,0))*50*0.4)</f>
        <v>9.5925100500000013</v>
      </c>
      <c r="BG149" s="14">
        <f>IF(OR(BG$5="大R",BG$5="超R"),0,INDEX(其他调用!$H$5:$L$404,MATCH($K149,其他调用!$B$5:$B$404,0),MATCH(BG$5,其他调用!$H$4:$L$4,0))*50*0.4)</f>
        <v>9.4583027471839998</v>
      </c>
      <c r="BH149" s="14">
        <f>IF(OR(BH$5="大R",BH$5="超R"),0,INDEX(其他调用!$H$5:$L$404,MATCH($K149,其他调用!$B$5:$B$404,0),MATCH(BH$5,其他调用!$H$4:$L$4,0))*50*0.4)</f>
        <v>0.77208400281600009</v>
      </c>
      <c r="BI149" s="14">
        <f>IF(OR(BI$5="大R",BI$5="超R"),0,INDEX(其他调用!$H$5:$L$404,MATCH($K149,其他调用!$B$5:$B$404,0),MATCH(BI$5,其他调用!$H$4:$L$4,0))*50*0.4)</f>
        <v>0</v>
      </c>
      <c r="BJ149" s="14">
        <f>IF(OR(BJ$5="大R",BJ$5="超R"),0,INDEX(其他调用!$H$5:$L$404,MATCH($K149,其他调用!$B$5:$B$404,0),MATCH(BJ$5,其他调用!$H$4:$L$4,0))*50*0.4)</f>
        <v>0</v>
      </c>
      <c r="BL149" s="14">
        <f t="shared" si="313"/>
        <v>144</v>
      </c>
      <c r="BM149" s="14">
        <f t="shared" si="220"/>
        <v>96</v>
      </c>
      <c r="BN149" s="14">
        <f>('疲劳值&amp;地图信息'!$S$10*'疲劳值&amp;地图信息'!$R$10+'疲劳值&amp;地图信息'!$S$11*'疲劳值&amp;地图信息'!$R$11+'疲劳值&amp;地图信息'!$S$12*'疲劳值&amp;地图信息'!$R$12+(BM149-'疲劳值&amp;地图信息'!$S$12-'疲劳值&amp;地图信息'!$S$11-'疲劳值&amp;地图信息'!$S$10)*'疲劳值&amp;地图信息'!$R$13)/BM149</f>
        <v>51.371477246638619</v>
      </c>
      <c r="BO149" s="14">
        <f>INDEX(其他调用!$M$5:$M$404,MATCH(BL149,其他调用!$B$5:$B$404,0))*0.6</f>
        <v>60</v>
      </c>
      <c r="BP149" s="14">
        <f>IF(BO149&gt;SUM('疲劳值&amp;地图信息'!$S$10:$S$12),('疲劳值&amp;地图信息'!$S$10*'疲劳值&amp;地图信息'!$R$10+'疲劳值&amp;地图信息'!$S$11*'疲劳值&amp;地图信息'!$R$11+'疲劳值&amp;地图信息'!$S$12*'疲劳值&amp;地图信息'!$R$12+(BO149-'疲劳值&amp;地图信息'!$S$12-'疲劳值&amp;地图信息'!$S$11-'疲劳值&amp;地图信息'!$S$10)*'疲劳值&amp;地图信息'!$R$13)/BO149,('疲劳值&amp;地图信息'!$S$10*'疲劳值&amp;地图信息'!$R$10+'疲劳值&amp;地图信息'!$S$11*'疲劳值&amp;地图信息'!$R$11+'疲劳值&amp;地图信息'!$S$12*'疲劳值&amp;地图信息'!$R$12+(BO149-'疲劳值&amp;地图信息'!$S$12-'疲劳值&amp;地图信息'!$S$11-'疲劳值&amp;地图信息'!$S$10)*'疲劳值&amp;地图信息'!$R$13)/BO149)</f>
        <v>44.158136341605953</v>
      </c>
      <c r="BQ149" s="14">
        <f t="shared" si="314"/>
        <v>20</v>
      </c>
      <c r="BR149" s="14">
        <f>('疲劳值&amp;地图信息'!$S$10*'疲劳值&amp;地图信息'!$R$10+($BQ149-'疲劳值&amp;地图信息'!$S$10)*'疲劳值&amp;地图信息'!$R$11)/$BQ149</f>
        <v>32.067203015074995</v>
      </c>
      <c r="CF149" s="14">
        <v>144</v>
      </c>
      <c r="CG149" s="51">
        <f t="shared" si="221"/>
        <v>11446</v>
      </c>
      <c r="CH149" s="51">
        <f t="shared" si="222"/>
        <v>931</v>
      </c>
      <c r="CI149" s="51">
        <f>INT(SUMPRODUCT($N149:$R149,$BA149:$BE149)/SUM($BA149:$BE149)/10000*$BX$7*$BZ$34/'疲劳值&amp;地图信息'!$R$10*$BY$53)</f>
        <v>3069</v>
      </c>
      <c r="CJ149" s="50">
        <f t="shared" si="223"/>
        <v>0.74103327722387669</v>
      </c>
      <c r="CK149" s="50">
        <f t="shared" si="224"/>
        <v>6.0274504726142687E-2</v>
      </c>
      <c r="CL149" s="50">
        <f t="shared" si="225"/>
        <v>0.19869221804998058</v>
      </c>
      <c r="CM149" s="14">
        <f t="shared" si="226"/>
        <v>12310</v>
      </c>
      <c r="CN149" s="14">
        <f t="shared" si="227"/>
        <v>1532</v>
      </c>
      <c r="CO149" s="14">
        <f>INT(SUMPRODUCT($U149:$Y149,$BA149:$BE149)/SUM($BA149:$BE149)/10000*$BX$7*$BZ$34/'疲劳值&amp;地图信息'!$R$10*$BY$54)</f>
        <v>5774</v>
      </c>
      <c r="CP149" s="50">
        <f t="shared" si="228"/>
        <v>0.62754893964110925</v>
      </c>
      <c r="CQ149" s="50">
        <f t="shared" si="229"/>
        <v>7.8099510603588912E-2</v>
      </c>
      <c r="CR149" s="50">
        <f t="shared" si="230"/>
        <v>0.29435154975530181</v>
      </c>
      <c r="CS149" s="14">
        <f t="shared" si="231"/>
        <v>13153</v>
      </c>
      <c r="CT149" s="14">
        <f t="shared" si="232"/>
        <v>2689</v>
      </c>
      <c r="CU149" s="14">
        <f>INT(SUMPRODUCT($AB149:$AF149,$BA149:$BE149)/SUM($BA149:$BE149)/10000*$BX$7*$BZ$34/'疲劳值&amp;地图信息'!$R$10*$BY$55)</f>
        <v>7847</v>
      </c>
      <c r="CV149" s="50">
        <f t="shared" si="233"/>
        <v>0.55523660770821903</v>
      </c>
      <c r="CW149" s="50">
        <f t="shared" si="234"/>
        <v>0.11351260078517456</v>
      </c>
      <c r="CX149" s="50">
        <f t="shared" si="235"/>
        <v>0.33125079150660647</v>
      </c>
      <c r="CY149" s="14">
        <f t="shared" si="236"/>
        <v>15065</v>
      </c>
      <c r="CZ149" s="14">
        <f t="shared" si="237"/>
        <v>7350</v>
      </c>
      <c r="DA149" s="14">
        <f>INT(SUMPRODUCT($AI149:$AM149,$BA149:$BE149)/SUM($BA149:$BE149)/10000*$BX$7*$BZ$34/'疲劳值&amp;地图信息'!$R$10*$BY$56)</f>
        <v>11834</v>
      </c>
      <c r="DB149" s="50">
        <f t="shared" si="238"/>
        <v>0.43986685742649423</v>
      </c>
      <c r="DC149" s="50">
        <f t="shared" si="239"/>
        <v>0.21460480597973663</v>
      </c>
      <c r="DD149" s="50">
        <f t="shared" si="240"/>
        <v>0.34552833659376914</v>
      </c>
      <c r="DE149" s="14">
        <f t="shared" si="241"/>
        <v>15202</v>
      </c>
      <c r="DF149" s="14">
        <f t="shared" si="242"/>
        <v>13448</v>
      </c>
      <c r="DG149" s="14">
        <f>INT(SUMPRODUCT($AP149:$AT149,$BA149:$BE149)/SUM($BA149:$BE149)/10000*$BX$7*$BZ$34/'疲劳值&amp;地图信息'!$R$10*$BY$57)</f>
        <v>15804</v>
      </c>
      <c r="DH149" s="50">
        <f t="shared" si="243"/>
        <v>0.34197147613263146</v>
      </c>
      <c r="DI149" s="50">
        <f t="shared" si="244"/>
        <v>0.30251495928375399</v>
      </c>
      <c r="DJ149" s="50">
        <f t="shared" si="245"/>
        <v>0.35551356458361455</v>
      </c>
      <c r="DL149" s="14">
        <f t="shared" si="316"/>
        <v>15446</v>
      </c>
      <c r="DM149" s="14">
        <f t="shared" si="317"/>
        <v>19616</v>
      </c>
      <c r="DN149" s="14">
        <f t="shared" si="318"/>
        <v>23689</v>
      </c>
      <c r="DO149" s="14">
        <f t="shared" si="319"/>
        <v>34249</v>
      </c>
      <c r="DP149" s="14">
        <f t="shared" si="320"/>
        <v>44454</v>
      </c>
      <c r="DQ149" s="14">
        <f t="shared" si="321"/>
        <v>1075383</v>
      </c>
      <c r="DT149" s="14">
        <f t="shared" si="315"/>
        <v>235575</v>
      </c>
      <c r="DU149" s="50">
        <f t="shared" si="217"/>
        <v>0.17969683239279977</v>
      </c>
      <c r="DW149" s="14">
        <f t="shared" si="246"/>
        <v>1310958</v>
      </c>
      <c r="EB149" s="14">
        <v>144</v>
      </c>
      <c r="EC149" s="51">
        <f t="shared" si="247"/>
        <v>19076</v>
      </c>
      <c r="ED149" s="51">
        <f t="shared" si="248"/>
        <v>1553</v>
      </c>
      <c r="EE149" s="51">
        <f>INT(SUMPRODUCT($N149:$R149,$BF149:$BJ149)/SUM($BF149:$BJ149)/10000*$BX$7*$BZ$46/'疲劳值&amp;地图信息'!$R$10*$BY$53)</f>
        <v>412</v>
      </c>
      <c r="EF149" s="50">
        <f t="shared" si="249"/>
        <v>0.90661090252364429</v>
      </c>
      <c r="EG149" s="50">
        <f t="shared" si="250"/>
        <v>7.3808279074188493E-2</v>
      </c>
      <c r="EH149" s="50">
        <f t="shared" si="251"/>
        <v>1.9580818402167199E-2</v>
      </c>
      <c r="EI149" s="51">
        <f t="shared" si="252"/>
        <v>20516</v>
      </c>
      <c r="EJ149" s="51">
        <f t="shared" si="253"/>
        <v>2554</v>
      </c>
      <c r="EK149" s="14">
        <f>INT(SUMPRODUCT($U149:$Y149,$BF149:$BJ149)/SUM($BF149:$BJ149)/10000*$BX$7*$BZ$46/'疲劳值&amp;地图信息'!$R$10*$BY$54)</f>
        <v>775</v>
      </c>
      <c r="EL149" s="50">
        <f t="shared" si="254"/>
        <v>0.86039001887188093</v>
      </c>
      <c r="EM149" s="50">
        <f t="shared" si="255"/>
        <v>0.10710840847137765</v>
      </c>
      <c r="EN149" s="50">
        <f t="shared" si="256"/>
        <v>3.2501572656741452E-2</v>
      </c>
      <c r="EO149" s="51">
        <f t="shared" si="257"/>
        <v>21922</v>
      </c>
      <c r="EP149" s="51">
        <f t="shared" si="258"/>
        <v>4482</v>
      </c>
      <c r="EQ149" s="14">
        <f>INT(SUMPRODUCT($AB149:$AF149,$BF149:$BJ149)/SUM($BF149:$BJ149)/10000*$BX$7*$BZ$46/'疲劳值&amp;地图信息'!$R$10*$BY$55)</f>
        <v>1052</v>
      </c>
      <c r="ER149" s="50">
        <f t="shared" si="259"/>
        <v>0.79844114219114215</v>
      </c>
      <c r="ES149" s="50">
        <f t="shared" si="260"/>
        <v>0.16324300699300701</v>
      </c>
      <c r="ET149" s="50">
        <f t="shared" si="261"/>
        <v>3.8315850815850816E-2</v>
      </c>
      <c r="EU149" s="51">
        <f t="shared" si="262"/>
        <v>25109</v>
      </c>
      <c r="EV149" s="51">
        <f t="shared" si="263"/>
        <v>12250</v>
      </c>
      <c r="EW149" s="14">
        <f>INT(SUMPRODUCT($AI149:$AM149,$BF149:$BJ149)/SUM($BF149:$BJ149)/10000*$BX$7*$BZ$46/'疲劳值&amp;地图信息'!$R$10*$BY$56)</f>
        <v>1578</v>
      </c>
      <c r="EX149" s="50">
        <f t="shared" si="264"/>
        <v>0.64486221331895111</v>
      </c>
      <c r="EY149" s="50">
        <f t="shared" si="265"/>
        <v>0.31461078151886379</v>
      </c>
      <c r="EZ149" s="50">
        <f t="shared" si="266"/>
        <v>4.0527005162185069E-2</v>
      </c>
      <c r="FA149" s="51">
        <f t="shared" si="267"/>
        <v>25337</v>
      </c>
      <c r="FB149" s="51">
        <f t="shared" si="268"/>
        <v>22414</v>
      </c>
      <c r="FC149" s="14">
        <f>INT(SUMPRODUCT($AP149:$AT149,$BF149:$BJ149)/SUM($BF149:$BJ149)/10000*$BX$7*$BZ$46/'疲劳值&amp;地图信息'!$R$10*$BY$57)</f>
        <v>2104</v>
      </c>
      <c r="FD149" s="50">
        <f t="shared" si="269"/>
        <v>0.50821382007822691</v>
      </c>
      <c r="FE149" s="50">
        <f t="shared" si="270"/>
        <v>0.44958379299969914</v>
      </c>
      <c r="FF149" s="50">
        <f t="shared" si="271"/>
        <v>4.2202386922074016E-2</v>
      </c>
      <c r="FH149" s="14">
        <f t="shared" si="272"/>
        <v>21041</v>
      </c>
      <c r="FI149" s="14">
        <f t="shared" si="273"/>
        <v>23845</v>
      </c>
      <c r="FJ149" s="14">
        <f t="shared" si="274"/>
        <v>27456</v>
      </c>
      <c r="FK149" s="14">
        <f t="shared" si="275"/>
        <v>38937</v>
      </c>
      <c r="FL149" s="14">
        <f t="shared" si="276"/>
        <v>49855</v>
      </c>
      <c r="FM149" s="14">
        <f t="shared" si="277"/>
        <v>2465278</v>
      </c>
      <c r="FP149" s="14">
        <f t="shared" si="278"/>
        <v>334150</v>
      </c>
      <c r="FQ149" s="50">
        <f t="shared" si="218"/>
        <v>0.11936367000687283</v>
      </c>
      <c r="FS149" s="14">
        <f t="shared" si="279"/>
        <v>2799428</v>
      </c>
      <c r="FX149" s="14">
        <v>144</v>
      </c>
      <c r="FY149" s="51">
        <f t="shared" si="280"/>
        <v>26707</v>
      </c>
      <c r="FZ149" s="51">
        <f t="shared" si="281"/>
        <v>1553</v>
      </c>
      <c r="GA149" s="51">
        <f>INT(SUMPRODUCT($N149:$R149,$BF149:$BJ149)/SUM($BF149:$BJ149)/10000*$BX$7*$BZ$46/'疲劳值&amp;地图信息'!$R$10*$BY$53)</f>
        <v>412</v>
      </c>
      <c r="GB149" s="50">
        <f t="shared" si="282"/>
        <v>0.9314662388392857</v>
      </c>
      <c r="GC149" s="50">
        <f t="shared" si="283"/>
        <v>5.4164341517857144E-2</v>
      </c>
      <c r="GD149" s="50">
        <f t="shared" si="284"/>
        <v>1.4369419642857142E-2</v>
      </c>
      <c r="GE149" s="51">
        <f t="shared" si="285"/>
        <v>28723</v>
      </c>
      <c r="GF149" s="51">
        <f t="shared" si="286"/>
        <v>2554</v>
      </c>
      <c r="GG149" s="14">
        <f>INT(SUMPRODUCT($U149:$Y149,$BF149:$BJ149)/SUM($BF149:$BJ149)/10000*$BX$7*$BZ$46/'疲劳值&amp;地图信息'!$R$10*$BY$54)</f>
        <v>775</v>
      </c>
      <c r="GH149" s="50">
        <f t="shared" si="287"/>
        <v>0.89613752651940592</v>
      </c>
      <c r="GI149" s="50">
        <f t="shared" si="288"/>
        <v>7.9683015100461746E-2</v>
      </c>
      <c r="GJ149" s="50">
        <f t="shared" si="289"/>
        <v>2.4179458380132284E-2</v>
      </c>
      <c r="GK149" s="51">
        <f t="shared" si="290"/>
        <v>30690</v>
      </c>
      <c r="GL149" s="51">
        <f t="shared" si="291"/>
        <v>4482</v>
      </c>
      <c r="GM149" s="14">
        <f>INT(SUMPRODUCT($AB149:$AF149,$BF149:$BJ149)/SUM($BF149:$BJ149)/10000*$BX$7*$BZ$46/'疲劳值&amp;地图信息'!$R$10*$BY$55)</f>
        <v>1052</v>
      </c>
      <c r="GN149" s="50">
        <f t="shared" si="292"/>
        <v>0.84722835689045939</v>
      </c>
      <c r="GO149" s="50">
        <f t="shared" si="293"/>
        <v>0.12373012367491167</v>
      </c>
      <c r="GP149" s="50">
        <f t="shared" si="294"/>
        <v>2.9041519434628977E-2</v>
      </c>
      <c r="GQ149" s="51">
        <f t="shared" si="295"/>
        <v>35152</v>
      </c>
      <c r="GR149" s="51">
        <f t="shared" si="296"/>
        <v>12250</v>
      </c>
      <c r="GS149" s="14">
        <f>INT(SUMPRODUCT($AI149:$AM149,$BF149:$BJ149)/SUM($BF149:$BJ149)/10000*$BX$7*$BZ$46/'疲劳值&amp;地图信息'!$R$10*$BY$56)</f>
        <v>1578</v>
      </c>
      <c r="GT149" s="50">
        <f t="shared" si="297"/>
        <v>0.71768068599428336</v>
      </c>
      <c r="GU149" s="50">
        <f t="shared" si="298"/>
        <v>0.25010208248264598</v>
      </c>
      <c r="GV149" s="50">
        <f t="shared" si="299"/>
        <v>3.2217231523070641E-2</v>
      </c>
      <c r="GW149" s="51">
        <f t="shared" si="300"/>
        <v>35471</v>
      </c>
      <c r="GX149" s="51">
        <f t="shared" si="301"/>
        <v>22414</v>
      </c>
      <c r="GY149" s="14">
        <f>INT(SUMPRODUCT($AP149:$AT149,$BF149:$BJ149)/SUM($BF149:$BJ149)/10000*$BX$7*$BZ$46/'疲劳值&amp;地图信息'!$R$10*$BY$57)</f>
        <v>2104</v>
      </c>
      <c r="GZ149" s="50">
        <f t="shared" si="302"/>
        <v>0.59129173681841674</v>
      </c>
      <c r="HA149" s="50">
        <f t="shared" si="303"/>
        <v>0.37363516644718198</v>
      </c>
      <c r="HB149" s="50">
        <f t="shared" si="304"/>
        <v>3.5073096734401309E-2</v>
      </c>
      <c r="HD149" s="14">
        <f t="shared" si="305"/>
        <v>28672</v>
      </c>
      <c r="HE149" s="14">
        <f t="shared" si="306"/>
        <v>32052</v>
      </c>
      <c r="HF149" s="14">
        <f t="shared" si="307"/>
        <v>36224</v>
      </c>
      <c r="HG149" s="14">
        <f t="shared" si="308"/>
        <v>48980</v>
      </c>
      <c r="HH149" s="14">
        <f t="shared" si="309"/>
        <v>59989</v>
      </c>
      <c r="HI149" s="14">
        <f t="shared" si="310"/>
        <v>3309363</v>
      </c>
      <c r="HL149" s="14">
        <f t="shared" si="311"/>
        <v>430050</v>
      </c>
      <c r="HM149" s="50">
        <f t="shared" si="219"/>
        <v>0.11500468121600904</v>
      </c>
      <c r="HO149" s="14">
        <f t="shared" si="312"/>
        <v>3739413</v>
      </c>
    </row>
    <row r="150" spans="11:223" x14ac:dyDescent="0.2">
      <c r="K150" s="14">
        <v>145</v>
      </c>
      <c r="L150" s="12">
        <f>求节点(节奏总纲!D$4:D$163,标准城池设计!AB$4:AB$163,$K150)*求节点(节奏总纲!D$4:D$163,攻城基础信息!$AC$5:$AC$164,$K150)</f>
        <v>563319.15607463452</v>
      </c>
      <c r="M150" s="12">
        <f>INDEX(其他调用!$AA$5:$AA$404,MATCH(K150,其他调用!$X$5:$X$404,0))*MIN(INDEX(其他调用!$AH$5:$AH$364,MATCH('征服点（新）'!K150,其他调用!$AG$5:$AG$364,0),1)/INDEX(其他调用!$AJ$5:$AJ$364,MATCH(K150,其他调用!$AG$5:$AG$364,0),0),5)*求节点(节奏总纲!D$4:D$163,攻城基础信息!$AC$5:$AC$164,$K150)</f>
        <v>45793.323458830797</v>
      </c>
      <c r="N150" s="12">
        <f>MIN(INDEX(其他调用!$AH$5:$AH$364,MATCH($K150,其他调用!$AG$5:$AG$364,0),1)/INDEX(其他调用!AH$5:AH$364,MATCH($K150,其他调用!$AG$5:$AG$364,0),0),1)*INDEX(其他调用!Y$5:Y$404,MATCH($K150,其他调用!$X$5:$X$404,0),0)</f>
        <v>38278.58897605769</v>
      </c>
      <c r="O150" s="12">
        <f>MIN(INDEX(其他调用!$AH$5:$AH$364,MATCH($K150,其他调用!$AG$5:$AG$364,0),1)/INDEX(其他调用!AI$5:AI$364,MATCH($K150,其他调用!$AG$5:$AG$364,0),0),1)*INDEX(其他调用!Z$5:Z$404,MATCH($K150,其他调用!$X$5:$X$404,0),0)</f>
        <v>23984.408579727464</v>
      </c>
      <c r="P150" s="12">
        <f>MIN(INDEX(其他调用!$AH$5:$AH$364,MATCH($K150,其他调用!$AG$5:$AG$364,0),1)/INDEX(其他调用!AJ$5:AJ$364,MATCH($K150,其他调用!$AG$5:$AG$364,0),0),1)*INDEX(其他调用!AA$5:AA$404,MATCH($K150,其他调用!$X$5:$X$404,0),0)</f>
        <v>14178.223963952829</v>
      </c>
      <c r="Q150" s="12">
        <f>MIN(INDEX(其他调用!$AH$5:$AH$364,MATCH($K150,其他调用!$AG$5:$AG$364,0),1)/INDEX(其他调用!AK$5:AK$364,MATCH($K150,其他调用!$AG$5:$AG$364,0),0),1)*INDEX(其他调用!AB$5:AB$404,MATCH($K150,其他调用!$X$5:$X$404,0),0)</f>
        <v>5450.8576774107296</v>
      </c>
      <c r="R150" s="12">
        <f>MIN(INDEX(其他调用!$AH$5:$AH$364,MATCH($K150,其他调用!$AG$5:$AG$364,0),1)/INDEX(其他调用!AL$5:AL$364,MATCH($K150,其他调用!$AG$5:$AG$364,0),0),1)*INDEX(其他调用!AC$5:AC$404,MATCH($K150,其他调用!$X$5:$X$404,0),0)</f>
        <v>1895.6886352783181</v>
      </c>
      <c r="S150" s="12">
        <f>求节点(节奏总纲!D$4:D$163,标准城池设计!AC$4:AC$163,$K150)*求节点(节奏总纲!D$4:D$163,攻城基础信息!$AD$5:$AD$164,$K150)</f>
        <v>605859.33578242129</v>
      </c>
      <c r="T150" s="12">
        <f>INDEX(其他调用!$AA$5:$AA$404,MATCH($K150,其他调用!$X$5:$X$404,0))*MIN(INDEX(其他调用!AI$5:AI$364,MATCH($K150,其他调用!$AG$5:$AG$364,0),1)/INDEX(其他调用!$AJ$5:$AJ$364,MATCH($K150,其他调用!$AG$5:$AG$364,0),0),5)*求节点(节奏总纲!D$4:D$163,攻城基础信息!$AD$5:$AD$164,$K150)</f>
        <v>75301.780362299876</v>
      </c>
      <c r="U150" s="12">
        <f>MIN(INDEX(其他调用!$AI$5:$AI$364,MATCH($K150,其他调用!$AG$5:$AG$364,0),1)/INDEX(其他调用!AH$5:AH$364,MATCH($K150,其他调用!$AG$5:$AG$364,0),0),1)*INDEX(其他调用!Y$5:Y$404,MATCH($K150,其他调用!$X$5:$X$404,0),0)</f>
        <v>38278.58897605769</v>
      </c>
      <c r="V150" s="12">
        <f>MIN(INDEX(其他调用!$AI$5:$AI$364,MATCH($K150,其他调用!$AG$5:$AG$364,0),1)/INDEX(其他调用!AI$5:AI$364,MATCH($K150,其他调用!$AG$5:$AG$364,0),0),1)*INDEX(其他调用!Z$5:Z$404,MATCH($K150,其他调用!$X$5:$X$404,0),0)</f>
        <v>39439.563031802958</v>
      </c>
      <c r="W150" s="12">
        <f>MIN(INDEX(其他调用!$AI$5:$AI$364,MATCH($K150,其他调用!$AG$5:$AG$364,0),1)/INDEX(其他调用!AJ$5:AJ$364,MATCH($K150,其他调用!$AG$5:$AG$364,0),0),1)*INDEX(其他调用!AA$5:AA$404,MATCH($K150,其他调用!$X$5:$X$404,0),0)</f>
        <v>23314.435953112454</v>
      </c>
      <c r="X150" s="12">
        <f>MIN(INDEX(其他调用!$AI$5:$AI$364,MATCH($K150,其他调用!$AG$5:$AG$364,0),1)/INDEX(其他调用!AK$5:AK$364,MATCH($K150,其他调用!$AG$5:$AG$364,0),0),1)*INDEX(其他调用!AB$5:AB$404,MATCH($K150,其他调用!$X$5:$X$404,0),0)</f>
        <v>8963.2998133352503</v>
      </c>
      <c r="Y150" s="12">
        <f>MIN(INDEX(其他调用!$AI$5:$AI$364,MATCH($K150,其他调用!$AG$5:$AG$364,0),1)/INDEX(其他调用!AL$5:AL$364,MATCH($K150,其他调用!$AG$5:$AG$364,0),0),1)*INDEX(其他调用!AC$5:AC$404,MATCH($K150,其他调用!$X$5:$X$404,0),0)</f>
        <v>3117.2389000630219</v>
      </c>
      <c r="Z150" s="12">
        <f>求节点(节奏总纲!D$4:D$163,标准城池设计!AD$4:AD$163,$K150)*求节点(节奏总纲!D$4:D$163,攻城基础信息!$AE$5:$AE$164,$K150)</f>
        <v>647169.34320933581</v>
      </c>
      <c r="AA150" s="12">
        <f>INDEX(其他调用!$AA$5:$AA$404,MATCH($K150,其他调用!$X$5:$X$404,0))*MIN(INDEX(其他调用!AJ$5:AJ$364,MATCH($K150,其他调用!$AG$5:$AG$364,0),1)/INDEX(其他调用!$AJ$5:$AJ$364,MATCH($K150,其他调用!$AG$5:$AG$364,0),0),5)*求节点(节奏总纲!D$4:D$163,攻城基础信息!$AE$5:$AE$164,$K150)</f>
        <v>132245.89128694221</v>
      </c>
      <c r="AB150" s="12">
        <f>MIN(INDEX(其他调用!$AJ$5:$AJ$364,MATCH($K150,其他调用!$AG$5:$AG$364,0),1)/INDEX(其他调用!AH$5:AH$364,MATCH($K150,其他调用!$AG$5:$AG$364,0),0),1)*INDEX(其他调用!Y$5:Y$404,MATCH($K150,其他调用!$X$5:$X$404,0),0)</f>
        <v>38278.58897605769</v>
      </c>
      <c r="AC150" s="12">
        <f>MIN(INDEX(其他调用!$AJ$5:$AJ$364,MATCH($K150,其他调用!$AG$5:$AG$364,0),1)/INDEX(其他调用!AI$5:AI$364,MATCH($K150,其他调用!$AG$5:$AG$364,0),0),1)*INDEX(其他调用!Z$5:Z$404,MATCH($K150,其他调用!$X$5:$X$404,0),0)</f>
        <v>39439.563031802958</v>
      </c>
      <c r="AD150" s="12">
        <f>MIN(INDEX(其他调用!$AJ$5:$AJ$364,MATCH($K150,其他调用!$AG$5:$AG$364,0),1)/INDEX(其他调用!AJ$5:AJ$364,MATCH($K150,其他调用!$AG$5:$AG$364,0),0),1)*INDEX(其他调用!AA$5:AA$404,MATCH($K150,其他调用!$X$5:$X$404,0),0)</f>
        <v>40945.092501628569</v>
      </c>
      <c r="AE150" s="12">
        <f>MIN(INDEX(其他调用!$AJ$5:$AJ$364,MATCH($K150,其他调用!$AG$5:$AG$364,0),1)/INDEX(其他调用!AK$5:AK$364,MATCH($K150,其他调用!$AG$5:$AG$364,0),0),1)*INDEX(其他调用!AB$5:AB$404,MATCH($K150,其他调用!$X$5:$X$404,0),0)</f>
        <v>15741.454810012134</v>
      </c>
      <c r="AF150" s="12">
        <f>MIN(INDEX(其他调用!$AJ$5:$AJ$364,MATCH($K150,其他调用!$AG$5:$AG$364,0),1)/INDEX(其他调用!AL$5:AL$364,MATCH($K150,其他调用!$AG$5:$AG$364,0),0),1)*INDEX(其他调用!AC$5:AC$404,MATCH($K150,其他调用!$X$5:$X$404,0),0)</f>
        <v>5474.5324042770208</v>
      </c>
      <c r="AG150" s="12">
        <f>求节点(节奏总纲!D$4:D$163,标准城池设计!AE$4:AE$163,$K150)*求节点(节奏总纲!D$4:D$163,攻城基础信息!$AF$5:$AF$164,$K150)</f>
        <v>741307.56897726492</v>
      </c>
      <c r="AH150" s="12">
        <f>INDEX(其他调用!$AA$5:$AA$404,MATCH($K150,其他调用!$X$5:$X$404,0))*MIN(INDEX(其他调用!AK$5:AK$364,MATCH($K150,其他调用!$AG$5:$AG$364,0),1)/INDEX(其他调用!$AJ$5:$AJ$364,MATCH($K150,其他调用!$AG$5:$AG$364,0),0),5)*求节点(节奏总纲!D$4:D$163,攻城基础信息!$AF$5:$AF$164,$K150)</f>
        <v>362375.0701991056</v>
      </c>
      <c r="AI150" s="12">
        <f>MIN(INDEX(其他调用!$AK$5:$AK$364,MATCH($K150,其他调用!$AG$5:$AG$364,0),1)/INDEX(其他调用!AH$5:AH$364,MATCH($K150,其他调用!$AG$5:$AG$364,0),0),1)*INDEX(其他调用!Y$5:Y$404,MATCH($K150,其他调用!$X$5:$X$404,0),0)</f>
        <v>38278.58897605769</v>
      </c>
      <c r="AJ150" s="12">
        <f>MIN(INDEX(其他调用!$AK$5:$AK$364,MATCH($K150,其他调用!$AG$5:$AG$364,0),1)/INDEX(其他调用!AI$5:AI$364,MATCH($K150,其他调用!$AG$5:$AG$364,0),0),1)*INDEX(其他调用!Z$5:Z$404,MATCH($K150,其他调用!$X$5:$X$404,0),0)</f>
        <v>39439.563031802958</v>
      </c>
      <c r="AK150" s="12">
        <f>MIN(INDEX(其他调用!$AK$5:$AK$364,MATCH($K150,其他调用!$AG$5:$AG$364,0),1)/INDEX(其他调用!AJ$5:AJ$364,MATCH($K150,其他调用!$AG$5:$AG$364,0),0),1)*INDEX(其他调用!AA$5:AA$404,MATCH($K150,其他调用!$X$5:$X$404,0),0)</f>
        <v>40945.092501628569</v>
      </c>
      <c r="AL150" s="12">
        <f>MIN(INDEX(其他调用!$AK$5:$AK$364,MATCH($K150,其他调用!$AG$5:$AG$364,0),1)/INDEX(其他调用!AK$5:AK$364,MATCH($K150,其他调用!$AG$5:$AG$364,0),0),1)*INDEX(其他调用!AB$5:AB$404,MATCH($K150,其他调用!$X$5:$X$404,0),0)</f>
        <v>43134.124896456669</v>
      </c>
      <c r="AM150" s="12">
        <f>MIN(INDEX(其他调用!$AK$5:$AK$364,MATCH($K150,其他调用!$AG$5:$AG$364,0),1)/INDEX(其他调用!AL$5:AL$364,MATCH($K150,其他调用!$AG$5:$AG$364,0),0),1)*INDEX(其他调用!AC$5:AC$404,MATCH($K150,其他调用!$X$5:$X$404,0),0)</f>
        <v>15001.101697766282</v>
      </c>
      <c r="AN150" s="12">
        <f>求节点(节奏总纲!D$4:D$163,标准城池设计!AF$4:AF$163,$K150)*求节点(节奏总纲!D$4:D$163,攻城基础信息!$AG$5:$AG$164,$K150)</f>
        <v>748876.63900298055</v>
      </c>
      <c r="AO150" s="12">
        <f>INDEX(其他调用!$AA$5:$AA$404,MATCH($K150,其他调用!$X$5:$X$404,0))*MIN(INDEX(其他调用!AL$5:AL$364,MATCH($K150,其他调用!$AG$5:$AG$364,0),1)/INDEX(其他调用!$AJ$5:$AJ$364,MATCH($K150,其他调用!$AG$5:$AG$364,0),0),5)*求节点(节奏总纲!D$4:D$163,攻城基础信息!$AG$5:$AG$164,$K150)</f>
        <v>661229.456434711</v>
      </c>
      <c r="AP150" s="12">
        <f>MIN(INDEX(其他调用!$AL$5:$AL$364,MATCH($K150,其他调用!$AG$5:$AG$364,0),1)/INDEX(其他调用!AH$5:AH$364,MATCH($K150,其他调用!$AG$5:$AG$364,0),0),1)*INDEX(其他调用!Y$5:Y$404,MATCH($K150,其他调用!$X$5:$X$404,0),0)</f>
        <v>38278.58897605769</v>
      </c>
      <c r="AQ150" s="12">
        <f>MIN(INDEX(其他调用!$AL$5:$AL$364,MATCH($K150,其他调用!$AG$5:$AG$364,0),1)/INDEX(其他调用!AI$5:AI$364,MATCH($K150,其他调用!$AG$5:$AG$364,0),0),1)*INDEX(其他调用!Z$5:Z$404,MATCH($K150,其他调用!$X$5:$X$404,0),0)</f>
        <v>39439.563031802958</v>
      </c>
      <c r="AR150" s="12">
        <f>MIN(INDEX(其他调用!$AL$5:$AL$364,MATCH($K150,其他调用!$AG$5:$AG$364,0),1)/INDEX(其他调用!AJ$5:AJ$364,MATCH($K150,其他调用!$AG$5:$AG$364,0),0),1)*INDEX(其他调用!AA$5:AA$404,MATCH($K150,其他调用!$X$5:$X$404,0),0)</f>
        <v>40945.092501628569</v>
      </c>
      <c r="AS150" s="12">
        <f>MIN(INDEX(其他调用!$AL$5:$AL$364,MATCH($K150,其他调用!$AG$5:$AG$364,0),1)/INDEX(其他调用!AK$5:AK$364,MATCH($K150,其他调用!$AG$5:$AG$364,0),0),1)*INDEX(其他调用!AB$5:AB$404,MATCH($K150,其他调用!$X$5:$X$404,0),0)</f>
        <v>43134.124896456669</v>
      </c>
      <c r="AT150" s="12">
        <f>MIN(INDEX(其他调用!$AL$5:$AL$364,MATCH($K150,其他调用!$AG$5:$AG$364,0),1)/INDEX(其他调用!AL$5:AL$364,MATCH($K150,其他调用!$AG$5:$AG$364,0),0),1)*INDEX(其他调用!AC$5:AC$404,MATCH($K150,其他调用!$X$5:$X$404,0),0)</f>
        <v>47063.489413882482</v>
      </c>
      <c r="AV150" s="14">
        <f>IF(OR(AV$5="大R",AV$5="超R"),MAX(INDEX(其他调用!$H$5:$L$404,MATCH($K150,其他调用!$B$5:$B$404,0),MATCH(AV$5,其他调用!$H$4:$L$4,0))*120*0.85,2),INDEX(其他调用!$H$5:$L$404,MATCH($K150,其他调用!$B$5:$B$404,0),MATCH(AV$5,其他调用!$H$4:$L$4,0))*120*0.85)</f>
        <v>48.921801254999991</v>
      </c>
      <c r="AW150" s="14">
        <f>IF(OR(AW$5="大R",AW$5="超R"),MAX(INDEX(其他调用!$H$5:$L$404,MATCH($K150,其他调用!$B$5:$B$404,0),MATCH(AW$5,其他调用!$H$4:$L$4,0))*120*0.85,2),INDEX(其他调用!$H$5:$L$404,MATCH($K150,其他调用!$B$5:$B$404,0),MATCH(AW$5,其他调用!$H$4:$L$4,0))*120*0.85)</f>
        <v>48.237344010638395</v>
      </c>
      <c r="AX150" s="14">
        <f>IF(OR(AX$5="大R",AX$5="超R"),MAX(INDEX(其他调用!$H$5:$L$404,MATCH($K150,其他调用!$B$5:$B$404,0),MATCH(AX$5,其他调用!$H$4:$L$4,0))*120*0.85,2),INDEX(其他调用!$H$5:$L$404,MATCH($K150,其他调用!$B$5:$B$404,0),MATCH(AX$5,其他调用!$H$4:$L$4,0))*120*0.85)</f>
        <v>3.9376284143615998</v>
      </c>
      <c r="AY150" s="14">
        <f>IF(OR(AY$5="大R",AY$5="超R"),MAX(INDEX(其他调用!$H$5:$L$404,MATCH($K150,其他调用!$B$5:$B$404,0),MATCH(AY$5,其他调用!$H$4:$L$4,0))*120*0.85,2),INDEX(其他调用!$H$5:$L$404,MATCH($K150,其他调用!$B$5:$B$404,0),MATCH(AY$5,其他调用!$H$4:$L$4,0))*120*0.85)</f>
        <v>2</v>
      </c>
      <c r="AZ150" s="14">
        <f>IF(OR(AZ$5="大R",AZ$5="超R"),MAX(INDEX(其他调用!$H$5:$L$404,MATCH($K150,其他调用!$B$5:$B$404,0),MATCH(AZ$5,其他调用!$H$4:$L$4,0))*120*0.85,2),INDEX(其他调用!$H$5:$L$404,MATCH($K150,其他调用!$B$5:$B$404,0),MATCH(AZ$5,其他调用!$H$4:$L$4,0))*120*0.85)</f>
        <v>2</v>
      </c>
      <c r="BA150" s="14">
        <f>INDEX(其他调用!$H$5:$L$404,MATCH($K150,其他调用!$B$5:$B$404,0),MATCH(BA$5,其他调用!$H$4:$L$4,0))*INDEX(其他调用!$M$5:$M$404,MATCH($K150,其他调用!$B$5:$B$404,0))*0.6</f>
        <v>28.777530149999997</v>
      </c>
      <c r="BB150" s="14">
        <f>INDEX(其他调用!$H$5:$L$404,MATCH($K150,其他调用!$B$5:$B$404,0),MATCH(BB$5,其他调用!$H$4:$L$4,0))*INDEX(其他调用!$M$5:$M$404,MATCH($K150,其他调用!$B$5:$B$404,0))*0.6</f>
        <v>28.374908241551999</v>
      </c>
      <c r="BC150" s="14">
        <f>INDEX(其他调用!$H$5:$L$404,MATCH($K150,其他调用!$B$5:$B$404,0),MATCH(BC$5,其他调用!$H$4:$L$4,0))*INDEX(其他调用!$M$5:$M$404,MATCH($K150,其他调用!$B$5:$B$404,0))*0.6</f>
        <v>2.3162520084480001</v>
      </c>
      <c r="BD150" s="14">
        <f>INDEX(其他调用!$H$5:$L$404,MATCH($K150,其他调用!$B$5:$B$404,0),MATCH(BD$5,其他调用!$H$4:$L$4,0))*INDEX(其他调用!$M$5:$M$404,MATCH($K150,其他调用!$B$5:$B$404,0))*0.6</f>
        <v>0.4120776000000001</v>
      </c>
      <c r="BE150" s="14">
        <f>INDEX(其他调用!$H$5:$L$404,MATCH($K150,其他调用!$B$5:$B$404,0),MATCH(BE$5,其他调用!$H$4:$L$4,0))*INDEX(其他调用!$M$5:$M$404,MATCH($K150,其他调用!$B$5:$B$404,0))*0.6</f>
        <v>0.11923199999999998</v>
      </c>
      <c r="BF150" s="14">
        <f>IF(OR(BF$5="大R",BF$5="超R"),0,INDEX(其他调用!$H$5:$L$404,MATCH($K150,其他调用!$B$5:$B$404,0),MATCH(BF$5,其他调用!$H$4:$L$4,0))*50*0.4)</f>
        <v>9.5925100500000013</v>
      </c>
      <c r="BG150" s="14">
        <f>IF(OR(BG$5="大R",BG$5="超R"),0,INDEX(其他调用!$H$5:$L$404,MATCH($K150,其他调用!$B$5:$B$404,0),MATCH(BG$5,其他调用!$H$4:$L$4,0))*50*0.4)</f>
        <v>9.4583027471839998</v>
      </c>
      <c r="BH150" s="14">
        <f>IF(OR(BH$5="大R",BH$5="超R"),0,INDEX(其他调用!$H$5:$L$404,MATCH($K150,其他调用!$B$5:$B$404,0),MATCH(BH$5,其他调用!$H$4:$L$4,0))*50*0.4)</f>
        <v>0.77208400281600009</v>
      </c>
      <c r="BI150" s="14">
        <f>IF(OR(BI$5="大R",BI$5="超R"),0,INDEX(其他调用!$H$5:$L$404,MATCH($K150,其他调用!$B$5:$B$404,0),MATCH(BI$5,其他调用!$H$4:$L$4,0))*50*0.4)</f>
        <v>0</v>
      </c>
      <c r="BJ150" s="14">
        <f>IF(OR(BJ$5="大R",BJ$5="超R"),0,INDEX(其他调用!$H$5:$L$404,MATCH($K150,其他调用!$B$5:$B$404,0),MATCH(BJ$5,其他调用!$H$4:$L$4,0))*50*0.4)</f>
        <v>0</v>
      </c>
      <c r="BL150" s="14">
        <f t="shared" si="313"/>
        <v>145</v>
      </c>
      <c r="BM150" s="14">
        <f t="shared" si="220"/>
        <v>96</v>
      </c>
      <c r="BN150" s="14">
        <f>('疲劳值&amp;地图信息'!$S$10*'疲劳值&amp;地图信息'!$R$10+'疲劳值&amp;地图信息'!$S$11*'疲劳值&amp;地图信息'!$R$11+'疲劳值&amp;地图信息'!$S$12*'疲劳值&amp;地图信息'!$R$12+(BM150-'疲劳值&amp;地图信息'!$S$12-'疲劳值&amp;地图信息'!$S$11-'疲劳值&amp;地图信息'!$S$10)*'疲劳值&amp;地图信息'!$R$13)/BM150</f>
        <v>51.371477246638619</v>
      </c>
      <c r="BO150" s="14">
        <f>INDEX(其他调用!$M$5:$M$404,MATCH(BL150,其他调用!$B$5:$B$404,0))*0.6</f>
        <v>60</v>
      </c>
      <c r="BP150" s="14">
        <f>IF(BO150&gt;SUM('疲劳值&amp;地图信息'!$S$10:$S$12),('疲劳值&amp;地图信息'!$S$10*'疲劳值&amp;地图信息'!$R$10+'疲劳值&amp;地图信息'!$S$11*'疲劳值&amp;地图信息'!$R$11+'疲劳值&amp;地图信息'!$S$12*'疲劳值&amp;地图信息'!$R$12+(BO150-'疲劳值&amp;地图信息'!$S$12-'疲劳值&amp;地图信息'!$S$11-'疲劳值&amp;地图信息'!$S$10)*'疲劳值&amp;地图信息'!$R$13)/BO150,('疲劳值&amp;地图信息'!$S$10*'疲劳值&amp;地图信息'!$R$10+'疲劳值&amp;地图信息'!$S$11*'疲劳值&amp;地图信息'!$R$11+'疲劳值&amp;地图信息'!$S$12*'疲劳值&amp;地图信息'!$R$12+(BO150-'疲劳值&amp;地图信息'!$S$12-'疲劳值&amp;地图信息'!$S$11-'疲劳值&amp;地图信息'!$S$10)*'疲劳值&amp;地图信息'!$R$13)/BO150)</f>
        <v>44.158136341605953</v>
      </c>
      <c r="BQ150" s="14">
        <f t="shared" si="314"/>
        <v>20</v>
      </c>
      <c r="BR150" s="14">
        <f>('疲劳值&amp;地图信息'!$S$10*'疲劳值&amp;地图信息'!$R$10+($BQ150-'疲劳值&amp;地图信息'!$S$10)*'疲劳值&amp;地图信息'!$R$11)/$BQ150</f>
        <v>32.067203015074995</v>
      </c>
      <c r="CF150" s="14">
        <v>145</v>
      </c>
      <c r="CG150" s="51">
        <f t="shared" si="221"/>
        <v>11481</v>
      </c>
      <c r="CH150" s="51">
        <f t="shared" si="222"/>
        <v>933</v>
      </c>
      <c r="CI150" s="51">
        <f>INT(SUMPRODUCT($N150:$R150,$BA150:$BE150)/SUM($BA150:$BE150)/10000*$BX$7*$BZ$34/'疲劳值&amp;地图信息'!$R$10*$BY$53)</f>
        <v>3073</v>
      </c>
      <c r="CJ150" s="50">
        <f t="shared" si="223"/>
        <v>0.74133143927164724</v>
      </c>
      <c r="CK150" s="50">
        <f t="shared" si="224"/>
        <v>6.0244075676373736E-2</v>
      </c>
      <c r="CL150" s="50">
        <f t="shared" si="225"/>
        <v>0.19842448505197907</v>
      </c>
      <c r="CM150" s="14">
        <f t="shared" si="226"/>
        <v>12348</v>
      </c>
      <c r="CN150" s="14">
        <f t="shared" si="227"/>
        <v>1534</v>
      </c>
      <c r="CO150" s="14">
        <f>INT(SUMPRODUCT($U150:$Y150,$BA150:$BE150)/SUM($BA150:$BE150)/10000*$BX$7*$BZ$34/'疲劳值&amp;地图信息'!$R$10*$BY$54)</f>
        <v>5780</v>
      </c>
      <c r="CP150" s="50">
        <f t="shared" si="228"/>
        <v>0.62801342691486117</v>
      </c>
      <c r="CQ150" s="50">
        <f t="shared" si="229"/>
        <v>7.8018512867460074E-2</v>
      </c>
      <c r="CR150" s="50">
        <f t="shared" si="230"/>
        <v>0.29396806021767879</v>
      </c>
      <c r="CS150" s="14">
        <f t="shared" si="231"/>
        <v>13190</v>
      </c>
      <c r="CT150" s="14">
        <f t="shared" si="232"/>
        <v>2695</v>
      </c>
      <c r="CU150" s="14">
        <f>INT(SUMPRODUCT($AB150:$AF150,$BA150:$BE150)/SUM($BA150:$BE150)/10000*$BX$7*$BZ$34/'疲劳值&amp;地图信息'!$R$10*$BY$55)</f>
        <v>7855</v>
      </c>
      <c r="CV150" s="50">
        <f t="shared" si="233"/>
        <v>0.55560235888795284</v>
      </c>
      <c r="CW150" s="50">
        <f t="shared" si="234"/>
        <v>0.11352148272957034</v>
      </c>
      <c r="CX150" s="50">
        <f t="shared" si="235"/>
        <v>0.33087615838247686</v>
      </c>
      <c r="CY150" s="14">
        <f t="shared" si="236"/>
        <v>15108</v>
      </c>
      <c r="CZ150" s="14">
        <f t="shared" si="237"/>
        <v>7385</v>
      </c>
      <c r="DA150" s="14">
        <f>INT(SUMPRODUCT($AI150:$AM150,$BA150:$BE150)/SUM($BA150:$BE150)/10000*$BX$7*$BZ$34/'疲劳值&amp;地图信息'!$R$10*$BY$56)</f>
        <v>11846</v>
      </c>
      <c r="DB150" s="50">
        <f t="shared" si="238"/>
        <v>0.43996621916771017</v>
      </c>
      <c r="DC150" s="50">
        <f t="shared" si="239"/>
        <v>0.21506159177611461</v>
      </c>
      <c r="DD150" s="50">
        <f t="shared" si="240"/>
        <v>0.34497218905617522</v>
      </c>
      <c r="DE150" s="14">
        <f t="shared" si="241"/>
        <v>15263</v>
      </c>
      <c r="DF150" s="14">
        <f t="shared" si="242"/>
        <v>13476</v>
      </c>
      <c r="DG150" s="14">
        <f>INT(SUMPRODUCT($AP150:$AT150,$BA150:$BE150)/SUM($BA150:$BE150)/10000*$BX$7*$BZ$34/'疲劳值&amp;地图信息'!$R$10*$BY$57)</f>
        <v>15821</v>
      </c>
      <c r="DH150" s="50">
        <f t="shared" si="243"/>
        <v>0.3425269299820467</v>
      </c>
      <c r="DI150" s="50">
        <f t="shared" si="244"/>
        <v>0.30242369838420108</v>
      </c>
      <c r="DJ150" s="50">
        <f t="shared" si="245"/>
        <v>0.35504937163375222</v>
      </c>
      <c r="DL150" s="14">
        <f t="shared" si="316"/>
        <v>15487</v>
      </c>
      <c r="DM150" s="14">
        <f t="shared" si="317"/>
        <v>19662</v>
      </c>
      <c r="DN150" s="14">
        <f t="shared" si="318"/>
        <v>23740</v>
      </c>
      <c r="DO150" s="14">
        <f t="shared" si="319"/>
        <v>34339</v>
      </c>
      <c r="DP150" s="14">
        <f t="shared" si="320"/>
        <v>44560</v>
      </c>
      <c r="DQ150" s="14">
        <f t="shared" si="321"/>
        <v>1078036</v>
      </c>
      <c r="DT150" s="14">
        <f t="shared" si="315"/>
        <v>235575</v>
      </c>
      <c r="DU150" s="50">
        <f t="shared" si="217"/>
        <v>0.17933391239872382</v>
      </c>
      <c r="DW150" s="14">
        <f t="shared" si="246"/>
        <v>1313611</v>
      </c>
      <c r="EB150" s="14">
        <v>145</v>
      </c>
      <c r="EC150" s="51">
        <f t="shared" si="247"/>
        <v>19135</v>
      </c>
      <c r="ED150" s="51">
        <f t="shared" si="248"/>
        <v>1555</v>
      </c>
      <c r="EE150" s="51">
        <f>INT(SUMPRODUCT($N150:$R150,$BF150:$BJ150)/SUM($BF150:$BJ150)/10000*$BX$7*$BZ$46/'疲劳值&amp;地图信息'!$R$10*$BY$53)</f>
        <v>412</v>
      </c>
      <c r="EF150" s="50">
        <f t="shared" si="249"/>
        <v>0.90678608662686</v>
      </c>
      <c r="EG150" s="50">
        <f t="shared" si="250"/>
        <v>7.3689697658989667E-2</v>
      </c>
      <c r="EH150" s="50">
        <f t="shared" si="251"/>
        <v>1.9524215714150316E-2</v>
      </c>
      <c r="EI150" s="51">
        <f t="shared" si="252"/>
        <v>20580</v>
      </c>
      <c r="EJ150" s="51">
        <f t="shared" si="253"/>
        <v>2557</v>
      </c>
      <c r="EK150" s="14">
        <f>INT(SUMPRODUCT($U150:$Y150,$BF150:$BJ150)/SUM($BF150:$BJ150)/10000*$BX$7*$BZ$46/'疲劳值&amp;地图信息'!$R$10*$BY$54)</f>
        <v>776</v>
      </c>
      <c r="EL150" s="50">
        <f t="shared" si="254"/>
        <v>0.86061974658135743</v>
      </c>
      <c r="EM150" s="50">
        <f t="shared" si="255"/>
        <v>0.10692928532597332</v>
      </c>
      <c r="EN150" s="50">
        <f t="shared" si="256"/>
        <v>3.2450968092669258E-2</v>
      </c>
      <c r="EO150" s="51">
        <f t="shared" si="257"/>
        <v>21983</v>
      </c>
      <c r="EP150" s="51">
        <f t="shared" si="258"/>
        <v>4492</v>
      </c>
      <c r="EQ150" s="14">
        <f>INT(SUMPRODUCT($AB150:$AF150,$BF150:$BJ150)/SUM($BF150:$BJ150)/10000*$BX$7*$BZ$46/'疲劳值&amp;地图信息'!$R$10*$BY$55)</f>
        <v>1053</v>
      </c>
      <c r="ER150" s="50">
        <f t="shared" si="259"/>
        <v>0.7985687300203429</v>
      </c>
      <c r="ES150" s="50">
        <f t="shared" si="260"/>
        <v>0.16317930834059866</v>
      </c>
      <c r="ET150" s="50">
        <f t="shared" si="261"/>
        <v>3.8251961639058411E-2</v>
      </c>
      <c r="EU150" s="51">
        <f t="shared" si="262"/>
        <v>25181</v>
      </c>
      <c r="EV150" s="51">
        <f t="shared" si="263"/>
        <v>12309</v>
      </c>
      <c r="EW150" s="14">
        <f>INT(SUMPRODUCT($AI150:$AM150,$BF150:$BJ150)/SUM($BF150:$BJ150)/10000*$BX$7*$BZ$46/'疲劳值&amp;地图信息'!$R$10*$BY$56)</f>
        <v>1580</v>
      </c>
      <c r="EX150" s="50">
        <f t="shared" si="264"/>
        <v>0.64450985410801132</v>
      </c>
      <c r="EY150" s="50">
        <f t="shared" si="265"/>
        <v>0.31504991041719987</v>
      </c>
      <c r="EZ150" s="50">
        <f t="shared" si="266"/>
        <v>4.0440235474788838E-2</v>
      </c>
      <c r="FA150" s="51">
        <f t="shared" si="267"/>
        <v>25438</v>
      </c>
      <c r="FB150" s="51">
        <f t="shared" si="268"/>
        <v>22461</v>
      </c>
      <c r="FC150" s="14">
        <f>INT(SUMPRODUCT($AP150:$AT150,$BF150:$BJ150)/SUM($BF150:$BJ150)/10000*$BX$7*$BZ$46/'疲劳值&amp;地图信息'!$R$10*$BY$57)</f>
        <v>2107</v>
      </c>
      <c r="FD150" s="50">
        <f t="shared" si="269"/>
        <v>0.50869895612526494</v>
      </c>
      <c r="FE150" s="50">
        <f t="shared" si="270"/>
        <v>0.44916610006799185</v>
      </c>
      <c r="FF150" s="50">
        <f t="shared" si="271"/>
        <v>4.2134943806743194E-2</v>
      </c>
      <c r="FH150" s="14">
        <f t="shared" si="272"/>
        <v>21102</v>
      </c>
      <c r="FI150" s="14">
        <f t="shared" si="273"/>
        <v>23913</v>
      </c>
      <c r="FJ150" s="14">
        <f t="shared" si="274"/>
        <v>27528</v>
      </c>
      <c r="FK150" s="14">
        <f t="shared" si="275"/>
        <v>39070</v>
      </c>
      <c r="FL150" s="14">
        <f t="shared" si="276"/>
        <v>50006</v>
      </c>
      <c r="FM150" s="14">
        <f t="shared" si="277"/>
        <v>2472394</v>
      </c>
      <c r="FP150" s="14">
        <f t="shared" si="278"/>
        <v>334150</v>
      </c>
      <c r="FQ150" s="50">
        <f t="shared" si="218"/>
        <v>0.11906102309459606</v>
      </c>
      <c r="FS150" s="14">
        <f t="shared" si="279"/>
        <v>2806544</v>
      </c>
      <c r="FX150" s="14">
        <v>145</v>
      </c>
      <c r="FY150" s="51">
        <f t="shared" si="280"/>
        <v>26789</v>
      </c>
      <c r="FZ150" s="51">
        <f t="shared" si="281"/>
        <v>1555</v>
      </c>
      <c r="GA150" s="51">
        <f>INT(SUMPRODUCT($N150:$R150,$BF150:$BJ150)/SUM($BF150:$BJ150)/10000*$BX$7*$BZ$46/'疲劳值&amp;地图信息'!$R$10*$BY$53)</f>
        <v>412</v>
      </c>
      <c r="GB150" s="50">
        <f t="shared" si="282"/>
        <v>0.9315968841285297</v>
      </c>
      <c r="GC150" s="50">
        <f t="shared" si="283"/>
        <v>5.4075671164278756E-2</v>
      </c>
      <c r="GD150" s="50">
        <f t="shared" si="284"/>
        <v>1.4327444707191543E-2</v>
      </c>
      <c r="GE150" s="51">
        <f t="shared" si="285"/>
        <v>28812</v>
      </c>
      <c r="GF150" s="51">
        <f t="shared" si="286"/>
        <v>2557</v>
      </c>
      <c r="GG150" s="14">
        <f>INT(SUMPRODUCT($U150:$Y150,$BF150:$BJ150)/SUM($BF150:$BJ150)/10000*$BX$7*$BZ$46/'疲劳值&amp;地图信息'!$R$10*$BY$54)</f>
        <v>776</v>
      </c>
      <c r="GH150" s="50">
        <f t="shared" si="287"/>
        <v>0.89631357909472698</v>
      </c>
      <c r="GI150" s="50">
        <f t="shared" si="288"/>
        <v>7.9545808057240625E-2</v>
      </c>
      <c r="GJ150" s="50">
        <f t="shared" si="289"/>
        <v>2.4140612848032355E-2</v>
      </c>
      <c r="GK150" s="51">
        <f t="shared" si="290"/>
        <v>30777</v>
      </c>
      <c r="GL150" s="51">
        <f t="shared" si="291"/>
        <v>4492</v>
      </c>
      <c r="GM150" s="14">
        <f>INT(SUMPRODUCT($AB150:$AF150,$BF150:$BJ150)/SUM($BF150:$BJ150)/10000*$BX$7*$BZ$46/'疲劳值&amp;地图信息'!$R$10*$BY$55)</f>
        <v>1053</v>
      </c>
      <c r="GN150" s="50">
        <f t="shared" si="292"/>
        <v>0.84733770166841038</v>
      </c>
      <c r="GO150" s="50">
        <f t="shared" si="293"/>
        <v>0.12367160398656461</v>
      </c>
      <c r="GP150" s="50">
        <f t="shared" si="294"/>
        <v>2.8990694345025055E-2</v>
      </c>
      <c r="GQ150" s="51">
        <f t="shared" si="295"/>
        <v>35253</v>
      </c>
      <c r="GR150" s="51">
        <f t="shared" si="296"/>
        <v>12309</v>
      </c>
      <c r="GS150" s="14">
        <f>INT(SUMPRODUCT($AI150:$AM150,$BF150:$BJ150)/SUM($BF150:$BJ150)/10000*$BX$7*$BZ$46/'疲劳值&amp;地图信息'!$R$10*$BY$56)</f>
        <v>1580</v>
      </c>
      <c r="GT150" s="50">
        <f t="shared" si="297"/>
        <v>0.71737007040820477</v>
      </c>
      <c r="GU150" s="50">
        <f t="shared" si="298"/>
        <v>0.25047820601522119</v>
      </c>
      <c r="GV150" s="50">
        <f t="shared" si="299"/>
        <v>3.2151723576574011E-2</v>
      </c>
      <c r="GW150" s="51">
        <f t="shared" si="300"/>
        <v>35613</v>
      </c>
      <c r="GX150" s="51">
        <f t="shared" si="301"/>
        <v>22461</v>
      </c>
      <c r="GY150" s="14">
        <f>INT(SUMPRODUCT($AP150:$AT150,$BF150:$BJ150)/SUM($BF150:$BJ150)/10000*$BX$7*$BZ$46/'疲劳值&amp;地图信息'!$R$10*$BY$57)</f>
        <v>2107</v>
      </c>
      <c r="GZ150" s="50">
        <f t="shared" si="302"/>
        <v>0.59176484272444796</v>
      </c>
      <c r="HA150" s="50">
        <f t="shared" si="303"/>
        <v>0.37322410727638289</v>
      </c>
      <c r="HB150" s="50">
        <f t="shared" si="304"/>
        <v>3.5011049999169173E-2</v>
      </c>
      <c r="HD150" s="14">
        <f t="shared" si="305"/>
        <v>28756</v>
      </c>
      <c r="HE150" s="14">
        <f t="shared" si="306"/>
        <v>32145</v>
      </c>
      <c r="HF150" s="14">
        <f t="shared" si="307"/>
        <v>36322</v>
      </c>
      <c r="HG150" s="14">
        <f t="shared" si="308"/>
        <v>49142</v>
      </c>
      <c r="HH150" s="14">
        <f t="shared" si="309"/>
        <v>60181</v>
      </c>
      <c r="HI150" s="14">
        <f t="shared" si="310"/>
        <v>3319053</v>
      </c>
      <c r="HL150" s="14">
        <f t="shared" si="311"/>
        <v>430050</v>
      </c>
      <c r="HM150" s="50">
        <f t="shared" si="219"/>
        <v>0.11470743801917418</v>
      </c>
      <c r="HO150" s="14">
        <f t="shared" si="312"/>
        <v>3749103</v>
      </c>
    </row>
    <row r="151" spans="11:223" x14ac:dyDescent="0.2">
      <c r="K151" s="14">
        <v>146</v>
      </c>
      <c r="L151" s="12">
        <f>求节点(节奏总纲!D$4:D$163,标准城池设计!AB$4:AB$163,$K151)*求节点(节奏总纲!D$4:D$163,攻城基础信息!$AC$5:$AC$164,$K151)</f>
        <v>565038.00195825973</v>
      </c>
      <c r="M151" s="12">
        <f>INDEX(其他调用!$AA$5:$AA$404,MATCH(K151,其他调用!$X$5:$X$404,0))*MIN(INDEX(其他调用!$AH$5:$AH$364,MATCH('征服点（新）'!K151,其他调用!$AG$5:$AG$364,0),1)/INDEX(其他调用!$AJ$5:$AJ$364,MATCH(K151,其他调用!$AG$5:$AG$364,0),0),5)*求节点(节奏总纲!D$4:D$163,攻城基础信息!$AC$5:$AC$164,$K151)</f>
        <v>45866.734489068062</v>
      </c>
      <c r="N151" s="12">
        <f>MIN(INDEX(其他调用!$AH$5:$AH$364,MATCH($K151,其他调用!$AG$5:$AG$364,0),1)/INDEX(其他调用!AH$5:AH$364,MATCH($K151,其他调用!$AG$5:$AG$364,0),0),1)*INDEX(其他调用!Y$5:Y$404,MATCH($K151,其他调用!$X$5:$X$404,0),0)</f>
        <v>38318.747704155132</v>
      </c>
      <c r="O151" s="12">
        <f>MIN(INDEX(其他调用!$AH$5:$AH$364,MATCH($K151,其他调用!$AG$5:$AG$364,0),1)/INDEX(其他调用!AI$5:AI$364,MATCH($K151,其他调用!$AG$5:$AG$364,0),0),1)*INDEX(其他调用!Z$5:Z$404,MATCH($K151,其他调用!$X$5:$X$404,0),0)</f>
        <v>24000.182634181565</v>
      </c>
      <c r="P151" s="12">
        <f>MIN(INDEX(其他调用!$AH$5:$AH$364,MATCH($K151,其他调用!$AG$5:$AG$364,0),1)/INDEX(其他调用!AJ$5:AJ$364,MATCH($K151,其他调用!$AG$5:$AG$364,0),0),1)*INDEX(其他调用!AA$5:AA$404,MATCH($K151,其他调用!$X$5:$X$404,0),0)</f>
        <v>14186.08391936165</v>
      </c>
      <c r="Q151" s="12">
        <f>MIN(INDEX(其他调用!$AH$5:$AH$364,MATCH($K151,其他调用!$AG$5:$AG$364,0),1)/INDEX(其他调用!AK$5:AK$364,MATCH($K151,其他调用!$AG$5:$AG$364,0),0),1)*INDEX(其他调用!AB$5:AB$404,MATCH($K151,其他调用!$X$5:$X$404,0),0)</f>
        <v>5439.1525169325423</v>
      </c>
      <c r="R151" s="12">
        <f>MIN(INDEX(其他调用!$AH$5:$AH$364,MATCH($K151,其他调用!$AG$5:$AG$364,0),1)/INDEX(其他调用!AL$5:AL$364,MATCH($K151,其他调用!$AG$5:$AG$364,0),0),1)*INDEX(其他调用!AC$5:AC$404,MATCH($K151,其他调用!$X$5:$X$404,0),0)</f>
        <v>1904.0475023940144</v>
      </c>
      <c r="S151" s="12">
        <f>求节点(节奏总纲!D$4:D$163,标准城池设计!AC$4:AC$163,$K151)*求节点(节奏总纲!D$4:D$163,攻城基础信息!$AD$5:$AD$164,$K151)</f>
        <v>607732.20265748969</v>
      </c>
      <c r="T151" s="12">
        <f>INDEX(其他调用!$AA$5:$AA$404,MATCH($K151,其他调用!$X$5:$X$404,0))*MIN(INDEX(其他调用!AI$5:AI$364,MATCH($K151,其他调用!$AG$5:$AG$364,0),1)/INDEX(其他调用!$AJ$5:$AJ$364,MATCH($K151,其他调用!$AG$5:$AG$364,0),0),5)*求节点(节奏总纲!D$4:D$163,攻城基础信息!$AD$5:$AD$164,$K151)</f>
        <v>75445.80256666569</v>
      </c>
      <c r="U151" s="12">
        <f>MIN(INDEX(其他调用!$AI$5:$AI$364,MATCH($K151,其他调用!$AG$5:$AG$364,0),1)/INDEX(其他调用!AH$5:AH$364,MATCH($K151,其他调用!$AG$5:$AG$364,0),0),1)*INDEX(其他调用!Y$5:Y$404,MATCH($K151,其他调用!$X$5:$X$404,0),0)</f>
        <v>38318.747704155132</v>
      </c>
      <c r="V151" s="12">
        <f>MIN(INDEX(其他调用!$AI$5:$AI$364,MATCH($K151,其他调用!$AG$5:$AG$364,0),1)/INDEX(其他调用!AI$5:AI$364,MATCH($K151,其他调用!$AG$5:$AG$364,0),0),1)*INDEX(其他调用!Z$5:Z$404,MATCH($K151,其他调用!$X$5:$X$404,0),0)</f>
        <v>39477.696870134692</v>
      </c>
      <c r="W151" s="12">
        <f>MIN(INDEX(其他调用!$AI$5:$AI$364,MATCH($K151,其他调用!$AG$5:$AG$364,0),1)/INDEX(其他调用!AJ$5:AJ$364,MATCH($K151,其他调用!$AG$5:$AG$364,0),0),1)*INDEX(其他调用!AA$5:AA$404,MATCH($K151,其他调用!$X$5:$X$404,0),0)</f>
        <v>23334.569127204864</v>
      </c>
      <c r="X151" s="12">
        <f>MIN(INDEX(其他调用!$AI$5:$AI$364,MATCH($K151,其他调用!$AG$5:$AG$364,0),1)/INDEX(其他调用!AK$5:AK$364,MATCH($K151,其他调用!$AG$5:$AG$364,0),0),1)*INDEX(其他调用!AB$5:AB$404,MATCH($K151,其他调用!$X$5:$X$404,0),0)</f>
        <v>8946.8158458126418</v>
      </c>
      <c r="Y151" s="12">
        <f>MIN(INDEX(其他调用!$AI$5:$AI$364,MATCH($K151,其他调用!$AG$5:$AG$364,0),1)/INDEX(其他调用!AL$5:AL$364,MATCH($K151,其他调用!$AG$5:$AG$364,0),0),1)*INDEX(其他调用!AC$5:AC$404,MATCH($K151,其他调用!$X$5:$X$404,0),0)</f>
        <v>3131.9515885180367</v>
      </c>
      <c r="Z151" s="12">
        <f>求节点(节奏总纲!D$4:D$163,标准城池设计!AD$4:AD$163,$K151)*求节点(节奏总纲!D$4:D$163,攻城基础信息!$AE$5:$AE$164,$K151)</f>
        <v>648982.39702384942</v>
      </c>
      <c r="AA151" s="12">
        <f>INDEX(其他调用!$AA$5:$AA$404,MATCH($K151,其他调用!$X$5:$X$404,0))*MIN(INDEX(其他调用!AJ$5:AJ$364,MATCH($K151,其他调用!$AG$5:$AG$364,0),1)/INDEX(其他调用!$AJ$5:$AJ$364,MATCH($K151,其他调用!$AG$5:$AG$364,0),0),5)*求节点(节奏总纲!D$4:D$163,攻城基础信息!$AE$5:$AE$164,$K151)</f>
        <v>132518.63795017681</v>
      </c>
      <c r="AB151" s="12">
        <f>MIN(INDEX(其他调用!$AJ$5:$AJ$364,MATCH($K151,其他调用!$AG$5:$AG$364,0),1)/INDEX(其他调用!AH$5:AH$364,MATCH($K151,其他调用!$AG$5:$AG$364,0),0),1)*INDEX(其他调用!Y$5:Y$404,MATCH($K151,其他调用!$X$5:$X$404,0),0)</f>
        <v>38318.747704155132</v>
      </c>
      <c r="AC151" s="12">
        <f>MIN(INDEX(其他调用!$AJ$5:$AJ$364,MATCH($K151,其他调用!$AG$5:$AG$364,0),1)/INDEX(其他调用!AI$5:AI$364,MATCH($K151,其他调用!$AG$5:$AG$364,0),0),1)*INDEX(其他调用!Z$5:Z$404,MATCH($K151,其他调用!$X$5:$X$404,0),0)</f>
        <v>39477.696870134692</v>
      </c>
      <c r="AD151" s="12">
        <f>MIN(INDEX(其他调用!$AJ$5:$AJ$364,MATCH($K151,其他调用!$AG$5:$AG$364,0),1)/INDEX(其他调用!AJ$5:AJ$364,MATCH($K151,其他调用!$AG$5:$AG$364,0),0),1)*INDEX(其他调用!AA$5:AA$404,MATCH($K151,其他调用!$X$5:$X$404,0),0)</f>
        <v>40986.578612627731</v>
      </c>
      <c r="AE151" s="12">
        <f>MIN(INDEX(其他调用!$AJ$5:$AJ$364,MATCH($K151,其他调用!$AG$5:$AG$364,0),1)/INDEX(其他调用!AK$5:AK$364,MATCH($K151,其他调用!$AG$5:$AG$364,0),0),1)*INDEX(其他调用!AB$5:AB$404,MATCH($K151,其他调用!$X$5:$X$404,0),0)</f>
        <v>15714.855028952852</v>
      </c>
      <c r="AF151" s="12">
        <f>MIN(INDEX(其他调用!$AJ$5:$AJ$364,MATCH($K151,其他调用!$AG$5:$AG$364,0),1)/INDEX(其他调用!AL$5:AL$364,MATCH($K151,其他调用!$AG$5:$AG$364,0),0),1)*INDEX(其他调用!AC$5:AC$404,MATCH($K151,其他调用!$X$5:$X$404,0),0)</f>
        <v>5501.1934993939794</v>
      </c>
      <c r="AG151" s="12">
        <f>求节点(节奏总纲!D$4:D$163,标准城池设计!AE$4:AE$163,$K151)*求节点(节奏总纲!D$4:D$163,攻城基础信息!$AF$5:$AF$164,$K151)</f>
        <v>743432.6071617431</v>
      </c>
      <c r="AH151" s="12">
        <f>INDEX(其他调用!$AA$5:$AA$404,MATCH($K151,其他调用!$X$5:$X$404,0))*MIN(INDEX(其他调用!AK$5:AK$364,MATCH($K151,其他调用!$AG$5:$AG$364,0),1)/INDEX(其他调用!$AJ$5:$AJ$364,MATCH($K151,其他调用!$AG$5:$AG$364,0),0),5)*求节点(节奏总纲!D$4:D$163,攻城基础信息!$AF$5:$AF$164,$K151)</f>
        <v>364081.42180120311</v>
      </c>
      <c r="AI151" s="12">
        <f>MIN(INDEX(其他调用!$AK$5:$AK$364,MATCH($K151,其他调用!$AG$5:$AG$364,0),1)/INDEX(其他调用!AH$5:AH$364,MATCH($K151,其他调用!$AG$5:$AG$364,0),0),1)*INDEX(其他调用!Y$5:Y$404,MATCH($K151,其他调用!$X$5:$X$404,0),0)</f>
        <v>38318.747704155132</v>
      </c>
      <c r="AJ151" s="12">
        <f>MIN(INDEX(其他调用!$AK$5:$AK$364,MATCH($K151,其他调用!$AG$5:$AG$364,0),1)/INDEX(其他调用!AI$5:AI$364,MATCH($K151,其他调用!$AG$5:$AG$364,0),0),1)*INDEX(其他调用!Z$5:Z$404,MATCH($K151,其他调用!$X$5:$X$404,0),0)</f>
        <v>39477.696870134692</v>
      </c>
      <c r="AK151" s="12">
        <f>MIN(INDEX(其他调用!$AK$5:$AK$364,MATCH($K151,其他调用!$AG$5:$AG$364,0),1)/INDEX(其他调用!AJ$5:AJ$364,MATCH($K151,其他调用!$AG$5:$AG$364,0),0),1)*INDEX(其他调用!AA$5:AA$404,MATCH($K151,其他调用!$X$5:$X$404,0),0)</f>
        <v>40986.578612627731</v>
      </c>
      <c r="AL151" s="12">
        <f>MIN(INDEX(其他调用!$AK$5:$AK$364,MATCH($K151,其他调用!$AG$5:$AG$364,0),1)/INDEX(其他调用!AK$5:AK$364,MATCH($K151,其他调用!$AG$5:$AG$364,0),0),1)*INDEX(其他调用!AB$5:AB$404,MATCH($K151,其他调用!$X$5:$X$404,0),0)</f>
        <v>43174.959015893721</v>
      </c>
      <c r="AM151" s="12">
        <f>MIN(INDEX(其他调用!$AK$5:$AK$364,MATCH($K151,其他调用!$AG$5:$AG$364,0),1)/INDEX(其他调用!AL$5:AL$364,MATCH($K151,其他调用!$AG$5:$AG$364,0),0),1)*INDEX(其他调用!AC$5:AC$404,MATCH($K151,其他调用!$X$5:$X$404,0),0)</f>
        <v>15113.967226375524</v>
      </c>
      <c r="AN151" s="12">
        <f>求节点(节奏总纲!D$4:D$163,标准城池设计!AF$4:AF$163,$K151)*求节点(节奏总纲!D$4:D$163,攻城基础信息!$AG$5:$AG$164,$K151)</f>
        <v>751866.96307110379</v>
      </c>
      <c r="AO151" s="12">
        <f>INDEX(其他调用!$AA$5:$AA$404,MATCH($K151,其他调用!$X$5:$X$404,0))*MIN(INDEX(其他调用!AL$5:AL$364,MATCH($K151,其他调用!$AG$5:$AG$364,0),1)/INDEX(其他调用!$AJ$5:$AJ$364,MATCH($K151,其他调用!$AG$5:$AG$364,0),0),5)*求节点(节奏总纲!D$4:D$163,攻城基础信息!$AG$5:$AG$164,$K151)</f>
        <v>662593.18975088396</v>
      </c>
      <c r="AP151" s="12">
        <f>MIN(INDEX(其他调用!$AL$5:$AL$364,MATCH($K151,其他调用!$AG$5:$AG$364,0),1)/INDEX(其他调用!AH$5:AH$364,MATCH($K151,其他调用!$AG$5:$AG$364,0),0),1)*INDEX(其他调用!Y$5:Y$404,MATCH($K151,其他调用!$X$5:$X$404,0),0)</f>
        <v>38318.747704155132</v>
      </c>
      <c r="AQ151" s="12">
        <f>MIN(INDEX(其他调用!$AL$5:$AL$364,MATCH($K151,其他调用!$AG$5:$AG$364,0),1)/INDEX(其他调用!AI$5:AI$364,MATCH($K151,其他调用!$AG$5:$AG$364,0),0),1)*INDEX(其他调用!Z$5:Z$404,MATCH($K151,其他调用!$X$5:$X$404,0),0)</f>
        <v>39477.696870134692</v>
      </c>
      <c r="AR151" s="12">
        <f>MIN(INDEX(其他调用!$AL$5:$AL$364,MATCH($K151,其他调用!$AG$5:$AG$364,0),1)/INDEX(其他调用!AJ$5:AJ$364,MATCH($K151,其他调用!$AG$5:$AG$364,0),0),1)*INDEX(其他调用!AA$5:AA$404,MATCH($K151,其他调用!$X$5:$X$404,0),0)</f>
        <v>40986.578612627731</v>
      </c>
      <c r="AS151" s="12">
        <f>MIN(INDEX(其他调用!$AL$5:$AL$364,MATCH($K151,其他调用!$AG$5:$AG$364,0),1)/INDEX(其他调用!AK$5:AK$364,MATCH($K151,其他调用!$AG$5:$AG$364,0),0),1)*INDEX(其他调用!AB$5:AB$404,MATCH($K151,其他调用!$X$5:$X$404,0),0)</f>
        <v>43174.959015893721</v>
      </c>
      <c r="AT151" s="12">
        <f>MIN(INDEX(其他调用!$AL$5:$AL$364,MATCH($K151,其他调用!$AG$5:$AG$364,0),1)/INDEX(其他调用!AL$5:AL$364,MATCH($K151,其他调用!$AG$5:$AG$364,0),0),1)*INDEX(其他调用!AC$5:AC$404,MATCH($K151,其他调用!$X$5:$X$404,0),0)</f>
        <v>47103.967420913919</v>
      </c>
      <c r="AV151" s="14">
        <f>IF(OR(AV$5="大R",AV$5="超R"),MAX(INDEX(其他调用!$H$5:$L$404,MATCH($K151,其他调用!$B$5:$B$404,0),MATCH(AV$5,其他调用!$H$4:$L$4,0))*120*0.85,2),INDEX(其他调用!$H$5:$L$404,MATCH($K151,其他调用!$B$5:$B$404,0),MATCH(AV$5,其他调用!$H$4:$L$4,0))*120*0.85)</f>
        <v>48.921801254999991</v>
      </c>
      <c r="AW151" s="14">
        <f>IF(OR(AW$5="大R",AW$5="超R"),MAX(INDEX(其他调用!$H$5:$L$404,MATCH($K151,其他调用!$B$5:$B$404,0),MATCH(AW$5,其他调用!$H$4:$L$4,0))*120*0.85,2),INDEX(其他调用!$H$5:$L$404,MATCH($K151,其他调用!$B$5:$B$404,0),MATCH(AW$5,其他调用!$H$4:$L$4,0))*120*0.85)</f>
        <v>48.237344010638395</v>
      </c>
      <c r="AX151" s="14">
        <f>IF(OR(AX$5="大R",AX$5="超R"),MAX(INDEX(其他调用!$H$5:$L$404,MATCH($K151,其他调用!$B$5:$B$404,0),MATCH(AX$5,其他调用!$H$4:$L$4,0))*120*0.85,2),INDEX(其他调用!$H$5:$L$404,MATCH($K151,其他调用!$B$5:$B$404,0),MATCH(AX$5,其他调用!$H$4:$L$4,0))*120*0.85)</f>
        <v>3.9376284143615998</v>
      </c>
      <c r="AY151" s="14">
        <f>IF(OR(AY$5="大R",AY$5="超R"),MAX(INDEX(其他调用!$H$5:$L$404,MATCH($K151,其他调用!$B$5:$B$404,0),MATCH(AY$5,其他调用!$H$4:$L$4,0))*120*0.85,2),INDEX(其他调用!$H$5:$L$404,MATCH($K151,其他调用!$B$5:$B$404,0),MATCH(AY$5,其他调用!$H$4:$L$4,0))*120*0.85)</f>
        <v>2</v>
      </c>
      <c r="AZ151" s="14">
        <f>IF(OR(AZ$5="大R",AZ$5="超R"),MAX(INDEX(其他调用!$H$5:$L$404,MATCH($K151,其他调用!$B$5:$B$404,0),MATCH(AZ$5,其他调用!$H$4:$L$4,0))*120*0.85,2),INDEX(其他调用!$H$5:$L$404,MATCH($K151,其他调用!$B$5:$B$404,0),MATCH(AZ$5,其他调用!$H$4:$L$4,0))*120*0.85)</f>
        <v>2</v>
      </c>
      <c r="BA151" s="14">
        <f>INDEX(其他调用!$H$5:$L$404,MATCH($K151,其他调用!$B$5:$B$404,0),MATCH(BA$5,其他调用!$H$4:$L$4,0))*INDEX(其他调用!$M$5:$M$404,MATCH($K151,其他调用!$B$5:$B$404,0))*0.6</f>
        <v>28.777530149999997</v>
      </c>
      <c r="BB151" s="14">
        <f>INDEX(其他调用!$H$5:$L$404,MATCH($K151,其他调用!$B$5:$B$404,0),MATCH(BB$5,其他调用!$H$4:$L$4,0))*INDEX(其他调用!$M$5:$M$404,MATCH($K151,其他调用!$B$5:$B$404,0))*0.6</f>
        <v>28.374908241551999</v>
      </c>
      <c r="BC151" s="14">
        <f>INDEX(其他调用!$H$5:$L$404,MATCH($K151,其他调用!$B$5:$B$404,0),MATCH(BC$5,其他调用!$H$4:$L$4,0))*INDEX(其他调用!$M$5:$M$404,MATCH($K151,其他调用!$B$5:$B$404,0))*0.6</f>
        <v>2.3162520084480001</v>
      </c>
      <c r="BD151" s="14">
        <f>INDEX(其他调用!$H$5:$L$404,MATCH($K151,其他调用!$B$5:$B$404,0),MATCH(BD$5,其他调用!$H$4:$L$4,0))*INDEX(其他调用!$M$5:$M$404,MATCH($K151,其他调用!$B$5:$B$404,0))*0.6</f>
        <v>0.4120776000000001</v>
      </c>
      <c r="BE151" s="14">
        <f>INDEX(其他调用!$H$5:$L$404,MATCH($K151,其他调用!$B$5:$B$404,0),MATCH(BE$5,其他调用!$H$4:$L$4,0))*INDEX(其他调用!$M$5:$M$404,MATCH($K151,其他调用!$B$5:$B$404,0))*0.6</f>
        <v>0.11923199999999998</v>
      </c>
      <c r="BF151" s="14">
        <f>IF(OR(BF$5="大R",BF$5="超R"),0,INDEX(其他调用!$H$5:$L$404,MATCH($K151,其他调用!$B$5:$B$404,0),MATCH(BF$5,其他调用!$H$4:$L$4,0))*50*0.4)</f>
        <v>9.5925100500000013</v>
      </c>
      <c r="BG151" s="14">
        <f>IF(OR(BG$5="大R",BG$5="超R"),0,INDEX(其他调用!$H$5:$L$404,MATCH($K151,其他调用!$B$5:$B$404,0),MATCH(BG$5,其他调用!$H$4:$L$4,0))*50*0.4)</f>
        <v>9.4583027471839998</v>
      </c>
      <c r="BH151" s="14">
        <f>IF(OR(BH$5="大R",BH$5="超R"),0,INDEX(其他调用!$H$5:$L$404,MATCH($K151,其他调用!$B$5:$B$404,0),MATCH(BH$5,其他调用!$H$4:$L$4,0))*50*0.4)</f>
        <v>0.77208400281600009</v>
      </c>
      <c r="BI151" s="14">
        <f>IF(OR(BI$5="大R",BI$5="超R"),0,INDEX(其他调用!$H$5:$L$404,MATCH($K151,其他调用!$B$5:$B$404,0),MATCH(BI$5,其他调用!$H$4:$L$4,0))*50*0.4)</f>
        <v>0</v>
      </c>
      <c r="BJ151" s="14">
        <f>IF(OR(BJ$5="大R",BJ$5="超R"),0,INDEX(其他调用!$H$5:$L$404,MATCH($K151,其他调用!$B$5:$B$404,0),MATCH(BJ$5,其他调用!$H$4:$L$4,0))*50*0.4)</f>
        <v>0</v>
      </c>
      <c r="BL151" s="14">
        <f t="shared" si="313"/>
        <v>146</v>
      </c>
      <c r="BM151" s="14">
        <f t="shared" si="220"/>
        <v>96</v>
      </c>
      <c r="BN151" s="14">
        <f>('疲劳值&amp;地图信息'!$S$10*'疲劳值&amp;地图信息'!$R$10+'疲劳值&amp;地图信息'!$S$11*'疲劳值&amp;地图信息'!$R$11+'疲劳值&amp;地图信息'!$S$12*'疲劳值&amp;地图信息'!$R$12+(BM151-'疲劳值&amp;地图信息'!$S$12-'疲劳值&amp;地图信息'!$S$11-'疲劳值&amp;地图信息'!$S$10)*'疲劳值&amp;地图信息'!$R$13)/BM151</f>
        <v>51.371477246638619</v>
      </c>
      <c r="BO151" s="14">
        <f>INDEX(其他调用!$M$5:$M$404,MATCH(BL151,其他调用!$B$5:$B$404,0))*0.6</f>
        <v>60</v>
      </c>
      <c r="BP151" s="14">
        <f>IF(BO151&gt;SUM('疲劳值&amp;地图信息'!$S$10:$S$12),('疲劳值&amp;地图信息'!$S$10*'疲劳值&amp;地图信息'!$R$10+'疲劳值&amp;地图信息'!$S$11*'疲劳值&amp;地图信息'!$R$11+'疲劳值&amp;地图信息'!$S$12*'疲劳值&amp;地图信息'!$R$12+(BO151-'疲劳值&amp;地图信息'!$S$12-'疲劳值&amp;地图信息'!$S$11-'疲劳值&amp;地图信息'!$S$10)*'疲劳值&amp;地图信息'!$R$13)/BO151,('疲劳值&amp;地图信息'!$S$10*'疲劳值&amp;地图信息'!$R$10+'疲劳值&amp;地图信息'!$S$11*'疲劳值&amp;地图信息'!$R$11+'疲劳值&amp;地图信息'!$S$12*'疲劳值&amp;地图信息'!$R$12+(BO151-'疲劳值&amp;地图信息'!$S$12-'疲劳值&amp;地图信息'!$S$11-'疲劳值&amp;地图信息'!$S$10)*'疲劳值&amp;地图信息'!$R$13)/BO151)</f>
        <v>44.158136341605953</v>
      </c>
      <c r="BQ151" s="14">
        <f t="shared" si="314"/>
        <v>20</v>
      </c>
      <c r="BR151" s="14">
        <f>('疲劳值&amp;地图信息'!$S$10*'疲劳值&amp;地图信息'!$R$10+($BQ151-'疲劳值&amp;地图信息'!$S$10)*'疲劳值&amp;地图信息'!$R$11)/$BQ151</f>
        <v>32.067203015074995</v>
      </c>
      <c r="CF151" s="14">
        <v>146</v>
      </c>
      <c r="CG151" s="51">
        <f t="shared" si="221"/>
        <v>11516</v>
      </c>
      <c r="CH151" s="51">
        <f t="shared" si="222"/>
        <v>934</v>
      </c>
      <c r="CI151" s="51">
        <f>INT(SUMPRODUCT($N151:$R151,$BA151:$BE151)/SUM($BA151:$BE151)/10000*$BX$7*$BZ$34/'疲劳值&amp;地图信息'!$R$10*$BY$53)</f>
        <v>3076</v>
      </c>
      <c r="CJ151" s="50">
        <f t="shared" si="223"/>
        <v>0.74172356047919619</v>
      </c>
      <c r="CK151" s="50">
        <f t="shared" si="224"/>
        <v>6.0157155738760786E-2</v>
      </c>
      <c r="CL151" s="50">
        <f t="shared" si="225"/>
        <v>0.19811928378204302</v>
      </c>
      <c r="CM151" s="14">
        <f t="shared" si="226"/>
        <v>12386</v>
      </c>
      <c r="CN151" s="14">
        <f t="shared" si="227"/>
        <v>1537</v>
      </c>
      <c r="CO151" s="14">
        <f>INT(SUMPRODUCT($U151:$Y151,$BA151:$BE151)/SUM($BA151:$BE151)/10000*$BX$7*$BZ$34/'疲劳值&amp;地图信息'!$R$10*$BY$54)</f>
        <v>5786</v>
      </c>
      <c r="CP151" s="50">
        <f t="shared" si="228"/>
        <v>0.628443858135877</v>
      </c>
      <c r="CQ151" s="50">
        <f t="shared" si="229"/>
        <v>7.798467705109341E-2</v>
      </c>
      <c r="CR151" s="50">
        <f t="shared" si="230"/>
        <v>0.29357146481302959</v>
      </c>
      <c r="CS151" s="14">
        <f t="shared" si="231"/>
        <v>13227</v>
      </c>
      <c r="CT151" s="14">
        <f t="shared" si="232"/>
        <v>2700</v>
      </c>
      <c r="CU151" s="14">
        <f>INT(SUMPRODUCT($AB151:$AF151,$BA151:$BE151)/SUM($BA151:$BE151)/10000*$BX$7*$BZ$34/'疲劳值&amp;地图信息'!$R$10*$BY$55)</f>
        <v>7863</v>
      </c>
      <c r="CV151" s="50">
        <f t="shared" si="233"/>
        <v>0.55598991172761669</v>
      </c>
      <c r="CW151" s="50">
        <f t="shared" si="234"/>
        <v>0.11349306431273644</v>
      </c>
      <c r="CX151" s="50">
        <f t="shared" si="235"/>
        <v>0.33051702395964688</v>
      </c>
      <c r="CY151" s="14">
        <f t="shared" si="236"/>
        <v>15152</v>
      </c>
      <c r="CZ151" s="14">
        <f t="shared" si="237"/>
        <v>7420</v>
      </c>
      <c r="DA151" s="14">
        <f>INT(SUMPRODUCT($AI151:$AM151,$BA151:$BE151)/SUM($BA151:$BE151)/10000*$BX$7*$BZ$34/'疲劳值&amp;地图信息'!$R$10*$BY$56)</f>
        <v>11858</v>
      </c>
      <c r="DB151" s="50">
        <f t="shared" si="238"/>
        <v>0.44008132442637232</v>
      </c>
      <c r="DC151" s="50">
        <f t="shared" si="239"/>
        <v>0.2155097298867267</v>
      </c>
      <c r="DD151" s="50">
        <f t="shared" si="240"/>
        <v>0.34440894568690095</v>
      </c>
      <c r="DE151" s="14">
        <f t="shared" si="241"/>
        <v>15324</v>
      </c>
      <c r="DF151" s="14">
        <f t="shared" si="242"/>
        <v>13504</v>
      </c>
      <c r="DG151" s="14">
        <f>INT(SUMPRODUCT($AP151:$AT151,$BA151:$BE151)/SUM($BA151:$BE151)/10000*$BX$7*$BZ$34/'疲劳值&amp;地图信息'!$R$10*$BY$57)</f>
        <v>15837</v>
      </c>
      <c r="DH151" s="50">
        <f t="shared" si="243"/>
        <v>0.34308742863539682</v>
      </c>
      <c r="DI151" s="50">
        <f t="shared" si="244"/>
        <v>0.30233963953878878</v>
      </c>
      <c r="DJ151" s="50">
        <f t="shared" si="245"/>
        <v>0.3545729318258144</v>
      </c>
      <c r="DL151" s="14">
        <f t="shared" si="316"/>
        <v>15526</v>
      </c>
      <c r="DM151" s="14">
        <f t="shared" si="317"/>
        <v>19709</v>
      </c>
      <c r="DN151" s="14">
        <f t="shared" si="318"/>
        <v>23790</v>
      </c>
      <c r="DO151" s="14">
        <f t="shared" si="319"/>
        <v>34430</v>
      </c>
      <c r="DP151" s="14">
        <f t="shared" si="320"/>
        <v>44665</v>
      </c>
      <c r="DQ151" s="14">
        <f t="shared" si="321"/>
        <v>1080657</v>
      </c>
      <c r="DT151" s="14">
        <f t="shared" si="315"/>
        <v>235575</v>
      </c>
      <c r="DU151" s="50">
        <f t="shared" si="217"/>
        <v>0.17897680652043105</v>
      </c>
      <c r="DW151" s="14">
        <f t="shared" si="246"/>
        <v>1316232</v>
      </c>
      <c r="EB151" s="14">
        <v>146</v>
      </c>
      <c r="EC151" s="51">
        <f t="shared" si="247"/>
        <v>19193</v>
      </c>
      <c r="ED151" s="51">
        <f t="shared" si="248"/>
        <v>1558</v>
      </c>
      <c r="EE151" s="51">
        <f>INT(SUMPRODUCT($N151:$R151,$BF151:$BJ151)/SUM($BF151:$BJ151)/10000*$BX$7*$BZ$46/'疲劳值&amp;地图信息'!$R$10*$BY$53)</f>
        <v>413</v>
      </c>
      <c r="EF151" s="50">
        <f t="shared" si="249"/>
        <v>0.90687015687015682</v>
      </c>
      <c r="EG151" s="50">
        <f t="shared" si="250"/>
        <v>7.361557361557361E-2</v>
      </c>
      <c r="EH151" s="50">
        <f t="shared" si="251"/>
        <v>1.9514269514269513E-2</v>
      </c>
      <c r="EI151" s="51">
        <f t="shared" si="252"/>
        <v>20643</v>
      </c>
      <c r="EJ151" s="51">
        <f t="shared" si="253"/>
        <v>2562</v>
      </c>
      <c r="EK151" s="14">
        <f>INT(SUMPRODUCT($U151:$Y151,$BF151:$BJ151)/SUM($BF151:$BJ151)/10000*$BX$7*$BZ$46/'疲劳值&amp;地图信息'!$R$10*$BY$54)</f>
        <v>776</v>
      </c>
      <c r="EL151" s="50">
        <f t="shared" si="254"/>
        <v>0.86080647179016723</v>
      </c>
      <c r="EM151" s="50">
        <f t="shared" si="255"/>
        <v>0.10683457737375422</v>
      </c>
      <c r="EN151" s="50">
        <f t="shared" si="256"/>
        <v>3.2358950836078565E-2</v>
      </c>
      <c r="EO151" s="51">
        <f t="shared" si="257"/>
        <v>22045</v>
      </c>
      <c r="EP151" s="51">
        <f t="shared" si="258"/>
        <v>4501</v>
      </c>
      <c r="EQ151" s="14">
        <f>INT(SUMPRODUCT($AB151:$AF151,$BF151:$BJ151)/SUM($BF151:$BJ151)/10000*$BX$7*$BZ$46/'疲劳值&amp;地图信息'!$R$10*$BY$55)</f>
        <v>1054</v>
      </c>
      <c r="ER151" s="50">
        <f t="shared" si="259"/>
        <v>0.79873188405797102</v>
      </c>
      <c r="ES151" s="50">
        <f t="shared" si="260"/>
        <v>0.16307971014492753</v>
      </c>
      <c r="ET151" s="50">
        <f t="shared" si="261"/>
        <v>3.8188405797101449E-2</v>
      </c>
      <c r="EU151" s="51">
        <f t="shared" si="262"/>
        <v>25253</v>
      </c>
      <c r="EV151" s="51">
        <f t="shared" si="263"/>
        <v>12367</v>
      </c>
      <c r="EW151" s="14">
        <f>INT(SUMPRODUCT($AI151:$AM151,$BF151:$BJ151)/SUM($BF151:$BJ151)/10000*$BX$7*$BZ$46/'疲劳值&amp;地图信息'!$R$10*$BY$56)</f>
        <v>1581</v>
      </c>
      <c r="EX151" s="50">
        <f t="shared" si="264"/>
        <v>0.64419275018494426</v>
      </c>
      <c r="EY151" s="50">
        <f t="shared" si="265"/>
        <v>0.3154766460039285</v>
      </c>
      <c r="EZ151" s="50">
        <f t="shared" si="266"/>
        <v>4.0330603811127269E-2</v>
      </c>
      <c r="FA151" s="51">
        <f t="shared" si="267"/>
        <v>25540</v>
      </c>
      <c r="FB151" s="51">
        <f t="shared" si="268"/>
        <v>22507</v>
      </c>
      <c r="FC151" s="14">
        <f>INT(SUMPRODUCT($AP151:$AT151,$BF151:$BJ151)/SUM($BF151:$BJ151)/10000*$BX$7*$BZ$46/'疲劳值&amp;地图信息'!$R$10*$BY$57)</f>
        <v>2109</v>
      </c>
      <c r="FD151" s="50">
        <f t="shared" si="269"/>
        <v>0.5092112608660978</v>
      </c>
      <c r="FE151" s="50">
        <f t="shared" si="270"/>
        <v>0.44873993141398838</v>
      </c>
      <c r="FF151" s="50">
        <f t="shared" si="271"/>
        <v>4.2048807719913872E-2</v>
      </c>
      <c r="FH151" s="14">
        <f t="shared" si="272"/>
        <v>21164</v>
      </c>
      <c r="FI151" s="14">
        <f t="shared" si="273"/>
        <v>23981</v>
      </c>
      <c r="FJ151" s="14">
        <f t="shared" si="274"/>
        <v>27600</v>
      </c>
      <c r="FK151" s="14">
        <f t="shared" si="275"/>
        <v>39201</v>
      </c>
      <c r="FL151" s="14">
        <f t="shared" si="276"/>
        <v>50156</v>
      </c>
      <c r="FM151" s="14">
        <f t="shared" si="277"/>
        <v>2479553</v>
      </c>
      <c r="FP151" s="14">
        <f t="shared" si="278"/>
        <v>334150</v>
      </c>
      <c r="FQ151" s="50">
        <f t="shared" si="218"/>
        <v>0.11875809209429709</v>
      </c>
      <c r="FS151" s="14">
        <f t="shared" si="279"/>
        <v>2813703</v>
      </c>
      <c r="FX151" s="14">
        <v>146</v>
      </c>
      <c r="FY151" s="51">
        <f t="shared" si="280"/>
        <v>26871</v>
      </c>
      <c r="FZ151" s="51">
        <f t="shared" si="281"/>
        <v>1558</v>
      </c>
      <c r="GA151" s="51">
        <f>INT(SUMPRODUCT($N151:$R151,$BF151:$BJ151)/SUM($BF151:$BJ151)/10000*$BX$7*$BZ$46/'疲劳值&amp;地图信息'!$R$10*$BY$53)</f>
        <v>413</v>
      </c>
      <c r="GB151" s="50">
        <f t="shared" si="282"/>
        <v>0.93166215935094654</v>
      </c>
      <c r="GC151" s="50">
        <f t="shared" si="283"/>
        <v>5.4018445322793152E-2</v>
      </c>
      <c r="GD151" s="50">
        <f t="shared" si="284"/>
        <v>1.4319395326260314E-2</v>
      </c>
      <c r="GE151" s="51">
        <f t="shared" si="285"/>
        <v>28901</v>
      </c>
      <c r="GF151" s="51">
        <f t="shared" si="286"/>
        <v>2562</v>
      </c>
      <c r="GG151" s="14">
        <f>INT(SUMPRODUCT($U151:$Y151,$BF151:$BJ151)/SUM($BF151:$BJ151)/10000*$BX$7*$BZ$46/'疲劳值&amp;地图信息'!$R$10*$BY$54)</f>
        <v>776</v>
      </c>
      <c r="GH151" s="50">
        <f t="shared" si="287"/>
        <v>0.89646080833772757</v>
      </c>
      <c r="GI151" s="50">
        <f t="shared" si="288"/>
        <v>7.9468966158999968E-2</v>
      </c>
      <c r="GJ151" s="50">
        <f t="shared" si="289"/>
        <v>2.4070225503272435E-2</v>
      </c>
      <c r="GK151" s="51">
        <f t="shared" si="290"/>
        <v>30863</v>
      </c>
      <c r="GL151" s="51">
        <f t="shared" si="291"/>
        <v>4501</v>
      </c>
      <c r="GM151" s="14">
        <f>INT(SUMPRODUCT($AB151:$AF151,$BF151:$BJ151)/SUM($BF151:$BJ151)/10000*$BX$7*$BZ$46/'疲劳值&amp;地图信息'!$R$10*$BY$55)</f>
        <v>1054</v>
      </c>
      <c r="GN151" s="50">
        <f t="shared" si="292"/>
        <v>0.84746553901916633</v>
      </c>
      <c r="GO151" s="50">
        <f t="shared" si="293"/>
        <v>0.12359272887033884</v>
      </c>
      <c r="GP151" s="50">
        <f t="shared" si="294"/>
        <v>2.8941732110494809E-2</v>
      </c>
      <c r="GQ151" s="51">
        <f t="shared" si="295"/>
        <v>35354</v>
      </c>
      <c r="GR151" s="51">
        <f t="shared" si="296"/>
        <v>12367</v>
      </c>
      <c r="GS151" s="14">
        <f>INT(SUMPRODUCT($AI151:$AM151,$BF151:$BJ151)/SUM($BF151:$BJ151)/10000*$BX$7*$BZ$46/'疲劳值&amp;地图信息'!$R$10*$BY$56)</f>
        <v>1581</v>
      </c>
      <c r="GT151" s="50">
        <f t="shared" si="297"/>
        <v>0.71709058456046404</v>
      </c>
      <c r="GU151" s="50">
        <f t="shared" si="298"/>
        <v>0.25084175084175087</v>
      </c>
      <c r="GV151" s="50">
        <f t="shared" si="299"/>
        <v>3.2067664597785081E-2</v>
      </c>
      <c r="GW151" s="51">
        <f t="shared" si="300"/>
        <v>35756</v>
      </c>
      <c r="GX151" s="51">
        <f t="shared" si="301"/>
        <v>22507</v>
      </c>
      <c r="GY151" s="14">
        <f>INT(SUMPRODUCT($AP151:$AT151,$BF151:$BJ151)/SUM($BF151:$BJ151)/10000*$BX$7*$BZ$46/'疲劳值&amp;地图信息'!$R$10*$BY$57)</f>
        <v>2109</v>
      </c>
      <c r="GZ151" s="50">
        <f t="shared" si="302"/>
        <v>0.59226131319154574</v>
      </c>
      <c r="HA151" s="50">
        <f t="shared" si="303"/>
        <v>0.37280527396806468</v>
      </c>
      <c r="HB151" s="50">
        <f t="shared" si="304"/>
        <v>3.4933412840389581E-2</v>
      </c>
      <c r="HD151" s="14">
        <f t="shared" si="305"/>
        <v>28842</v>
      </c>
      <c r="HE151" s="14">
        <f t="shared" si="306"/>
        <v>32239</v>
      </c>
      <c r="HF151" s="14">
        <f t="shared" si="307"/>
        <v>36418</v>
      </c>
      <c r="HG151" s="14">
        <f t="shared" si="308"/>
        <v>49302</v>
      </c>
      <c r="HH151" s="14">
        <f t="shared" si="309"/>
        <v>60372</v>
      </c>
      <c r="HI151" s="14">
        <f t="shared" si="310"/>
        <v>3328874</v>
      </c>
      <c r="HL151" s="14">
        <f t="shared" si="311"/>
        <v>430050</v>
      </c>
      <c r="HM151" s="50">
        <f t="shared" si="219"/>
        <v>0.11440774008732287</v>
      </c>
      <c r="HO151" s="14">
        <f t="shared" si="312"/>
        <v>3758924</v>
      </c>
    </row>
    <row r="152" spans="11:223" x14ac:dyDescent="0.2">
      <c r="K152" s="14">
        <v>147</v>
      </c>
      <c r="L152" s="12">
        <f>求节点(节奏总纲!D$4:D$163,标准城池设计!AB$4:AB$163,$K152)*求节点(节奏总纲!D$4:D$163,攻城基础信息!$AC$5:$AC$164,$K152)</f>
        <v>566850.17849631608</v>
      </c>
      <c r="M152" s="12">
        <f>INDEX(其他调用!$AA$5:$AA$404,MATCH(K152,其他调用!$X$5:$X$404,0))*MIN(INDEX(其他调用!$AH$5:$AH$364,MATCH('征服点（新）'!K152,其他调用!$AG$5:$AG$364,0),1)/INDEX(其他调用!$AJ$5:$AJ$364,MATCH(K152,其他调用!$AG$5:$AG$364,0),0),5)*求节点(节奏总纲!D$4:D$163,攻城基础信息!$AC$5:$AC$164,$K152)</f>
        <v>45966.21218919089</v>
      </c>
      <c r="N152" s="12">
        <f>MIN(INDEX(其他调用!$AH$5:$AH$364,MATCH($K152,其他调用!$AG$5:$AG$364,0),1)/INDEX(其他调用!AH$5:AH$364,MATCH($K152,其他调用!$AG$5:$AG$364,0),0),1)*INDEX(其他调用!Y$5:Y$404,MATCH($K152,其他调用!$X$5:$X$404,0),0)</f>
        <v>38357.674471007136</v>
      </c>
      <c r="O152" s="12">
        <f>MIN(INDEX(其他调用!$AH$5:$AH$364,MATCH($K152,其他调用!$AG$5:$AG$364,0),1)/INDEX(其他调用!AI$5:AI$364,MATCH($K152,其他调用!$AG$5:$AG$364,0),0),1)*INDEX(其他调用!Z$5:Z$404,MATCH($K152,其他调用!$X$5:$X$404,0),0)</f>
        <v>24027.66910066305</v>
      </c>
      <c r="P152" s="12">
        <f>MIN(INDEX(其他调用!$AH$5:$AH$364,MATCH($K152,其他调用!$AG$5:$AG$364,0),1)/INDEX(其他调用!AJ$5:AJ$364,MATCH($K152,其他调用!$AG$5:$AG$364,0),0),1)*INDEX(其他调用!AA$5:AA$404,MATCH($K152,其他调用!$X$5:$X$404,0),0)</f>
        <v>14202.942756997152</v>
      </c>
      <c r="Q152" s="12">
        <f>MIN(INDEX(其他调用!$AH$5:$AH$364,MATCH($K152,其他调用!$AG$5:$AG$364,0),1)/INDEX(其他调用!AK$5:AK$364,MATCH($K152,其他调用!$AG$5:$AG$364,0),0),1)*INDEX(其他调用!AB$5:AB$404,MATCH($K152,其他调用!$X$5:$X$404,0),0)</f>
        <v>5431.3123150971987</v>
      </c>
      <c r="R152" s="12">
        <f>MIN(INDEX(其他调用!$AH$5:$AH$364,MATCH($K152,其他调用!$AG$5:$AG$364,0),1)/INDEX(其他调用!AL$5:AL$364,MATCH($K152,其他调用!$AG$5:$AG$364,0),0),1)*INDEX(其他调用!AC$5:AC$404,MATCH($K152,其他调用!$X$5:$X$404,0),0)</f>
        <v>1913.5372519613024</v>
      </c>
      <c r="S152" s="12">
        <f>求节点(节奏总纲!D$4:D$163,标准城池设计!AC$4:AC$163,$K152)*求节点(节奏总纲!D$4:D$163,攻城基础信息!$AD$5:$AD$164,$K152)</f>
        <v>609562.87939827831</v>
      </c>
      <c r="T152" s="12">
        <f>INDEX(其他调用!$AA$5:$AA$404,MATCH($K152,其他调用!$X$5:$X$404,0))*MIN(INDEX(其他调用!AI$5:AI$364,MATCH($K152,其他调用!$AG$5:$AG$364,0),1)/INDEX(其他调用!$AJ$5:$AJ$364,MATCH($K152,其他调用!$AG$5:$AG$364,0),0),5)*求节点(节奏总纲!D$4:D$163,攻城基础信息!$AD$5:$AD$164,$K152)</f>
        <v>75594.424411199318</v>
      </c>
      <c r="U152" s="12">
        <f>MIN(INDEX(其他调用!$AI$5:$AI$364,MATCH($K152,其他调用!$AG$5:$AG$364,0),1)/INDEX(其他调用!AH$5:AH$364,MATCH($K152,其他调用!$AG$5:$AG$364,0),0),1)*INDEX(其他调用!Y$5:Y$404,MATCH($K152,其他调用!$X$5:$X$404,0),0)</f>
        <v>38357.674471007136</v>
      </c>
      <c r="V152" s="12">
        <f>MIN(INDEX(其他调用!$AI$5:$AI$364,MATCH($K152,其他调用!$AG$5:$AG$364,0),1)/INDEX(其他调用!AI$5:AI$364,MATCH($K152,其他调用!$AG$5:$AG$364,0),0),1)*INDEX(其他调用!Z$5:Z$404,MATCH($K152,其他调用!$X$5:$X$404,0),0)</f>
        <v>39515.063980723324</v>
      </c>
      <c r="W152" s="12">
        <f>MIN(INDEX(其他调用!$AI$5:$AI$364,MATCH($K152,其他调用!$AG$5:$AG$364,0),1)/INDEX(其他调用!AJ$5:AJ$364,MATCH($K152,其他调用!$AG$5:$AG$364,0),0),1)*INDEX(其他调用!AA$5:AA$404,MATCH($K152,其他调用!$X$5:$X$404,0),0)</f>
        <v>23357.662759797458</v>
      </c>
      <c r="X152" s="12">
        <f>MIN(INDEX(其他调用!$AI$5:$AI$364,MATCH($K152,其他调用!$AG$5:$AG$364,0),1)/INDEX(其他调用!AK$5:AK$364,MATCH($K152,其他调用!$AG$5:$AG$364,0),0),1)*INDEX(其他调用!AB$5:AB$404,MATCH($K152,其他调用!$X$5:$X$404,0),0)</f>
        <v>8932.1462157323385</v>
      </c>
      <c r="Y152" s="12">
        <f>MIN(INDEX(其他调用!$AI$5:$AI$364,MATCH($K152,其他调用!$AG$5:$AG$364,0),1)/INDEX(其他调用!AL$5:AL$364,MATCH($K152,其他调用!$AG$5:$AG$364,0),0),1)*INDEX(其他调用!AC$5:AC$404,MATCH($K152,其他调用!$X$5:$X$404,0),0)</f>
        <v>3146.936418342043</v>
      </c>
      <c r="Z152" s="12">
        <f>求节点(节奏总纲!D$4:D$163,标准城池设计!AD$4:AD$163,$K152)*求节点(节奏总纲!D$4:D$163,攻城基础信息!$AE$5:$AE$164,$K152)</f>
        <v>650759.84200290137</v>
      </c>
      <c r="AA152" s="12">
        <f>INDEX(其他调用!$AA$5:$AA$404,MATCH($K152,其他调用!$X$5:$X$404,0))*MIN(INDEX(其他调用!AJ$5:AJ$364,MATCH($K152,其他调用!$AG$5:$AG$364,0),1)/INDEX(其他调用!$AJ$5:$AJ$364,MATCH($K152,其他调用!$AG$5:$AG$364,0),0),5)*求节点(节奏总纲!D$4:D$163,攻城基础信息!$AE$5:$AE$164,$K152)</f>
        <v>132775.98232680856</v>
      </c>
      <c r="AB152" s="12">
        <f>MIN(INDEX(其他调用!$AJ$5:$AJ$364,MATCH($K152,其他调用!$AG$5:$AG$364,0),1)/INDEX(其他调用!AH$5:AH$364,MATCH($K152,其他调用!$AG$5:$AG$364,0),0),1)*INDEX(其他调用!Y$5:Y$404,MATCH($K152,其他调用!$X$5:$X$404,0),0)</f>
        <v>38357.674471007136</v>
      </c>
      <c r="AC152" s="12">
        <f>MIN(INDEX(其他调用!$AJ$5:$AJ$364,MATCH($K152,其他调用!$AG$5:$AG$364,0),1)/INDEX(其他调用!AI$5:AI$364,MATCH($K152,其他调用!$AG$5:$AG$364,0),0),1)*INDEX(其他调用!Z$5:Z$404,MATCH($K152,其他调用!$X$5:$X$404,0),0)</f>
        <v>39515.063980723324</v>
      </c>
      <c r="AD152" s="12">
        <f>MIN(INDEX(其他调用!$AJ$5:$AJ$364,MATCH($K152,其他调用!$AG$5:$AG$364,0),1)/INDEX(其他调用!AJ$5:AJ$364,MATCH($K152,其他调用!$AG$5:$AG$364,0),0),1)*INDEX(其他调用!AA$5:AA$404,MATCH($K152,其他调用!$X$5:$X$404,0),0)</f>
        <v>41025.996850251286</v>
      </c>
      <c r="AE152" s="12">
        <f>MIN(INDEX(其他调用!$AJ$5:$AJ$364,MATCH($K152,其他调用!$AG$5:$AG$364,0),1)/INDEX(其他调用!AK$5:AK$364,MATCH($K152,其他调用!$AG$5:$AG$364,0),0),1)*INDEX(其他调用!AB$5:AB$404,MATCH($K152,其他调用!$X$5:$X$404,0),0)</f>
        <v>15688.650284965261</v>
      </c>
      <c r="AF152" s="12">
        <f>MIN(INDEX(其他调用!$AJ$5:$AJ$364,MATCH($K152,其他调用!$AG$5:$AG$364,0),1)/INDEX(其他调用!AL$5:AL$364,MATCH($K152,其他调用!$AG$5:$AG$364,0),0),1)*INDEX(其他调用!AC$5:AC$404,MATCH($K152,其他调用!$X$5:$X$404,0),0)</f>
        <v>5527.3596898168944</v>
      </c>
      <c r="AG152" s="12">
        <f>求节点(节奏总纲!D$4:D$163,标准城池设计!AE$4:AE$163,$K152)*求节点(节奏总纲!D$4:D$163,攻城基础信息!$AF$5:$AF$164,$K152)</f>
        <v>746549.58275632083</v>
      </c>
      <c r="AH152" s="12">
        <f>INDEX(其他调用!$AA$5:$AA$404,MATCH($K152,其他调用!$X$5:$X$404,0))*MIN(INDEX(其他调用!AK$5:AK$364,MATCH($K152,其他调用!$AG$5:$AG$364,0),1)/INDEX(其他调用!$AJ$5:$AJ$364,MATCH($K152,其他调用!$AG$5:$AG$364,0),0),5)*求节点(节奏总纲!D$4:D$163,攻城基础信息!$AF$5:$AF$164,$K152)</f>
        <v>365743.34192881774</v>
      </c>
      <c r="AI152" s="12">
        <f>MIN(INDEX(其他调用!$AK$5:$AK$364,MATCH($K152,其他调用!$AG$5:$AG$364,0),1)/INDEX(其他调用!AH$5:AH$364,MATCH($K152,其他调用!$AG$5:$AG$364,0),0),1)*INDEX(其他调用!Y$5:Y$404,MATCH($K152,其他调用!$X$5:$X$404,0),0)</f>
        <v>38357.674471007136</v>
      </c>
      <c r="AJ152" s="12">
        <f>MIN(INDEX(其他调用!$AK$5:$AK$364,MATCH($K152,其他调用!$AG$5:$AG$364,0),1)/INDEX(其他调用!AI$5:AI$364,MATCH($K152,其他调用!$AG$5:$AG$364,0),0),1)*INDEX(其他调用!Z$5:Z$404,MATCH($K152,其他调用!$X$5:$X$404,0),0)</f>
        <v>39515.063980723324</v>
      </c>
      <c r="AK152" s="12">
        <f>MIN(INDEX(其他调用!$AK$5:$AK$364,MATCH($K152,其他调用!$AG$5:$AG$364,0),1)/INDEX(其他调用!AJ$5:AJ$364,MATCH($K152,其他调用!$AG$5:$AG$364,0),0),1)*INDEX(其他调用!AA$5:AA$404,MATCH($K152,其他调用!$X$5:$X$404,0),0)</f>
        <v>41025.996850251286</v>
      </c>
      <c r="AL152" s="12">
        <f>MIN(INDEX(其他调用!$AK$5:$AK$364,MATCH($K152,其他调用!$AG$5:$AG$364,0),1)/INDEX(其他调用!AK$5:AK$364,MATCH($K152,其他调用!$AG$5:$AG$364,0),0),1)*INDEX(其他调用!AB$5:AB$404,MATCH($K152,其他调用!$X$5:$X$404,0),0)</f>
        <v>43215.793135330772</v>
      </c>
      <c r="AM152" s="12">
        <f>MIN(INDEX(其他调用!$AK$5:$AK$364,MATCH($K152,其他调用!$AG$5:$AG$364,0),1)/INDEX(其他调用!AL$5:AL$364,MATCH($K152,其他调用!$AG$5:$AG$364,0),0),1)*INDEX(其他调用!AC$5:AC$404,MATCH($K152,其他调用!$X$5:$X$404,0),0)</f>
        <v>15225.607595358666</v>
      </c>
      <c r="AN152" s="12">
        <f>求节点(节奏总纲!D$4:D$163,标准城池设计!AF$4:AF$163,$K152)*求节点(节奏总纲!D$4:D$163,攻城基础信息!$AG$5:$AG$164,$K152)</f>
        <v>755459.64643748524</v>
      </c>
      <c r="AO152" s="12">
        <f>INDEX(其他调用!$AA$5:$AA$404,MATCH($K152,其他调用!$X$5:$X$404,0))*MIN(INDEX(其他调用!AL$5:AL$364,MATCH($K152,其他调用!$AG$5:$AG$364,0),1)/INDEX(其他调用!$AJ$5:$AJ$364,MATCH($K152,其他调用!$AG$5:$AG$364,0),0),5)*求节点(节奏总纲!D$4:D$163,攻城基础信息!$AG$5:$AG$164,$K152)</f>
        <v>663879.91163404286</v>
      </c>
      <c r="AP152" s="12">
        <f>MIN(INDEX(其他调用!$AL$5:$AL$364,MATCH($K152,其他调用!$AG$5:$AG$364,0),1)/INDEX(其他调用!AH$5:AH$364,MATCH($K152,其他调用!$AG$5:$AG$364,0),0),1)*INDEX(其他调用!Y$5:Y$404,MATCH($K152,其他调用!$X$5:$X$404,0),0)</f>
        <v>38357.674471007136</v>
      </c>
      <c r="AQ152" s="12">
        <f>MIN(INDEX(其他调用!$AL$5:$AL$364,MATCH($K152,其他调用!$AG$5:$AG$364,0),1)/INDEX(其他调用!AI$5:AI$364,MATCH($K152,其他调用!$AG$5:$AG$364,0),0),1)*INDEX(其他调用!Z$5:Z$404,MATCH($K152,其他调用!$X$5:$X$404,0),0)</f>
        <v>39515.063980723324</v>
      </c>
      <c r="AR152" s="12">
        <f>MIN(INDEX(其他调用!$AL$5:$AL$364,MATCH($K152,其他调用!$AG$5:$AG$364,0),1)/INDEX(其他调用!AJ$5:AJ$364,MATCH($K152,其他调用!$AG$5:$AG$364,0),0),1)*INDEX(其他调用!AA$5:AA$404,MATCH($K152,其他调用!$X$5:$X$404,0),0)</f>
        <v>41025.996850251286</v>
      </c>
      <c r="AS152" s="12">
        <f>MIN(INDEX(其他调用!$AL$5:$AL$364,MATCH($K152,其他调用!$AG$5:$AG$364,0),1)/INDEX(其他调用!AK$5:AK$364,MATCH($K152,其他调用!$AG$5:$AG$364,0),0),1)*INDEX(其他调用!AB$5:AB$404,MATCH($K152,其他调用!$X$5:$X$404,0),0)</f>
        <v>43215.793135330772</v>
      </c>
      <c r="AT152" s="12">
        <f>MIN(INDEX(其他调用!$AL$5:$AL$364,MATCH($K152,其他调用!$AG$5:$AG$364,0),1)/INDEX(其他调用!AL$5:AL$364,MATCH($K152,其他调用!$AG$5:$AG$364,0),0),1)*INDEX(其他调用!AC$5:AC$404,MATCH($K152,其他调用!$X$5:$X$404,0),0)</f>
        <v>47144.445427945349</v>
      </c>
      <c r="AV152" s="14">
        <f>IF(OR(AV$5="大R",AV$5="超R"),MAX(INDEX(其他调用!$H$5:$L$404,MATCH($K152,其他调用!$B$5:$B$404,0),MATCH(AV$5,其他调用!$H$4:$L$4,0))*120*0.85,2),INDEX(其他调用!$H$5:$L$404,MATCH($K152,其他调用!$B$5:$B$404,0),MATCH(AV$5,其他调用!$H$4:$L$4,0))*120*0.85)</f>
        <v>48.921801254999991</v>
      </c>
      <c r="AW152" s="14">
        <f>IF(OR(AW$5="大R",AW$5="超R"),MAX(INDEX(其他调用!$H$5:$L$404,MATCH($K152,其他调用!$B$5:$B$404,0),MATCH(AW$5,其他调用!$H$4:$L$4,0))*120*0.85,2),INDEX(其他调用!$H$5:$L$404,MATCH($K152,其他调用!$B$5:$B$404,0),MATCH(AW$5,其他调用!$H$4:$L$4,0))*120*0.85)</f>
        <v>48.237344010638395</v>
      </c>
      <c r="AX152" s="14">
        <f>IF(OR(AX$5="大R",AX$5="超R"),MAX(INDEX(其他调用!$H$5:$L$404,MATCH($K152,其他调用!$B$5:$B$404,0),MATCH(AX$5,其他调用!$H$4:$L$4,0))*120*0.85,2),INDEX(其他调用!$H$5:$L$404,MATCH($K152,其他调用!$B$5:$B$404,0),MATCH(AX$5,其他调用!$H$4:$L$4,0))*120*0.85)</f>
        <v>3.9376284143615998</v>
      </c>
      <c r="AY152" s="14">
        <f>IF(OR(AY$5="大R",AY$5="超R"),MAX(INDEX(其他调用!$H$5:$L$404,MATCH($K152,其他调用!$B$5:$B$404,0),MATCH(AY$5,其他调用!$H$4:$L$4,0))*120*0.85,2),INDEX(其他调用!$H$5:$L$404,MATCH($K152,其他调用!$B$5:$B$404,0),MATCH(AY$5,其他调用!$H$4:$L$4,0))*120*0.85)</f>
        <v>2</v>
      </c>
      <c r="AZ152" s="14">
        <f>IF(OR(AZ$5="大R",AZ$5="超R"),MAX(INDEX(其他调用!$H$5:$L$404,MATCH($K152,其他调用!$B$5:$B$404,0),MATCH(AZ$5,其他调用!$H$4:$L$4,0))*120*0.85,2),INDEX(其他调用!$H$5:$L$404,MATCH($K152,其他调用!$B$5:$B$404,0),MATCH(AZ$5,其他调用!$H$4:$L$4,0))*120*0.85)</f>
        <v>2</v>
      </c>
      <c r="BA152" s="14">
        <f>INDEX(其他调用!$H$5:$L$404,MATCH($K152,其他调用!$B$5:$B$404,0),MATCH(BA$5,其他调用!$H$4:$L$4,0))*INDEX(其他调用!$M$5:$M$404,MATCH($K152,其他调用!$B$5:$B$404,0))*0.6</f>
        <v>28.777530149999997</v>
      </c>
      <c r="BB152" s="14">
        <f>INDEX(其他调用!$H$5:$L$404,MATCH($K152,其他调用!$B$5:$B$404,0),MATCH(BB$5,其他调用!$H$4:$L$4,0))*INDEX(其他调用!$M$5:$M$404,MATCH($K152,其他调用!$B$5:$B$404,0))*0.6</f>
        <v>28.374908241551999</v>
      </c>
      <c r="BC152" s="14">
        <f>INDEX(其他调用!$H$5:$L$404,MATCH($K152,其他调用!$B$5:$B$404,0),MATCH(BC$5,其他调用!$H$4:$L$4,0))*INDEX(其他调用!$M$5:$M$404,MATCH($K152,其他调用!$B$5:$B$404,0))*0.6</f>
        <v>2.3162520084480001</v>
      </c>
      <c r="BD152" s="14">
        <f>INDEX(其他调用!$H$5:$L$404,MATCH($K152,其他调用!$B$5:$B$404,0),MATCH(BD$5,其他调用!$H$4:$L$4,0))*INDEX(其他调用!$M$5:$M$404,MATCH($K152,其他调用!$B$5:$B$404,0))*0.6</f>
        <v>0.4120776000000001</v>
      </c>
      <c r="BE152" s="14">
        <f>INDEX(其他调用!$H$5:$L$404,MATCH($K152,其他调用!$B$5:$B$404,0),MATCH(BE$5,其他调用!$H$4:$L$4,0))*INDEX(其他调用!$M$5:$M$404,MATCH($K152,其他调用!$B$5:$B$404,0))*0.6</f>
        <v>0.11923199999999998</v>
      </c>
      <c r="BF152" s="14">
        <f>IF(OR(BF$5="大R",BF$5="超R"),0,INDEX(其他调用!$H$5:$L$404,MATCH($K152,其他调用!$B$5:$B$404,0),MATCH(BF$5,其他调用!$H$4:$L$4,0))*50*0.4)</f>
        <v>9.5925100500000013</v>
      </c>
      <c r="BG152" s="14">
        <f>IF(OR(BG$5="大R",BG$5="超R"),0,INDEX(其他调用!$H$5:$L$404,MATCH($K152,其他调用!$B$5:$B$404,0),MATCH(BG$5,其他调用!$H$4:$L$4,0))*50*0.4)</f>
        <v>9.4583027471839998</v>
      </c>
      <c r="BH152" s="14">
        <f>IF(OR(BH$5="大R",BH$5="超R"),0,INDEX(其他调用!$H$5:$L$404,MATCH($K152,其他调用!$B$5:$B$404,0),MATCH(BH$5,其他调用!$H$4:$L$4,0))*50*0.4)</f>
        <v>0.77208400281600009</v>
      </c>
      <c r="BI152" s="14">
        <f>IF(OR(BI$5="大R",BI$5="超R"),0,INDEX(其他调用!$H$5:$L$404,MATCH($K152,其他调用!$B$5:$B$404,0),MATCH(BI$5,其他调用!$H$4:$L$4,0))*50*0.4)</f>
        <v>0</v>
      </c>
      <c r="BJ152" s="14">
        <f>IF(OR(BJ$5="大R",BJ$5="超R"),0,INDEX(其他调用!$H$5:$L$404,MATCH($K152,其他调用!$B$5:$B$404,0),MATCH(BJ$5,其他调用!$H$4:$L$4,0))*50*0.4)</f>
        <v>0</v>
      </c>
      <c r="BL152" s="14">
        <f t="shared" si="313"/>
        <v>147</v>
      </c>
      <c r="BM152" s="14">
        <f t="shared" si="220"/>
        <v>96</v>
      </c>
      <c r="BN152" s="14">
        <f>('疲劳值&amp;地图信息'!$S$10*'疲劳值&amp;地图信息'!$R$10+'疲劳值&amp;地图信息'!$S$11*'疲劳值&amp;地图信息'!$R$11+'疲劳值&amp;地图信息'!$S$12*'疲劳值&amp;地图信息'!$R$12+(BM152-'疲劳值&amp;地图信息'!$S$12-'疲劳值&amp;地图信息'!$S$11-'疲劳值&amp;地图信息'!$S$10)*'疲劳值&amp;地图信息'!$R$13)/BM152</f>
        <v>51.371477246638619</v>
      </c>
      <c r="BO152" s="14">
        <f>INDEX(其他调用!$M$5:$M$404,MATCH(BL152,其他调用!$B$5:$B$404,0))*0.6</f>
        <v>60</v>
      </c>
      <c r="BP152" s="14">
        <f>IF(BO152&gt;SUM('疲劳值&amp;地图信息'!$S$10:$S$12),('疲劳值&amp;地图信息'!$S$10*'疲劳值&amp;地图信息'!$R$10+'疲劳值&amp;地图信息'!$S$11*'疲劳值&amp;地图信息'!$R$11+'疲劳值&amp;地图信息'!$S$12*'疲劳值&amp;地图信息'!$R$12+(BO152-'疲劳值&amp;地图信息'!$S$12-'疲劳值&amp;地图信息'!$S$11-'疲劳值&amp;地图信息'!$S$10)*'疲劳值&amp;地图信息'!$R$13)/BO152,('疲劳值&amp;地图信息'!$S$10*'疲劳值&amp;地图信息'!$R$10+'疲劳值&amp;地图信息'!$S$11*'疲劳值&amp;地图信息'!$R$11+'疲劳值&amp;地图信息'!$S$12*'疲劳值&amp;地图信息'!$R$12+(BO152-'疲劳值&amp;地图信息'!$S$12-'疲劳值&amp;地图信息'!$S$11-'疲劳值&amp;地图信息'!$S$10)*'疲劳值&amp;地图信息'!$R$13)/BO152)</f>
        <v>44.158136341605953</v>
      </c>
      <c r="BQ152" s="14">
        <f t="shared" si="314"/>
        <v>20</v>
      </c>
      <c r="BR152" s="14">
        <f>('疲劳值&amp;地图信息'!$S$10*'疲劳值&amp;地图信息'!$R$10+($BQ152-'疲劳值&amp;地图信息'!$S$10)*'疲劳值&amp;地图信息'!$R$11)/$BQ152</f>
        <v>32.067203015074995</v>
      </c>
      <c r="CF152" s="14">
        <v>147</v>
      </c>
      <c r="CG152" s="51">
        <f t="shared" si="221"/>
        <v>11553</v>
      </c>
      <c r="CH152" s="51">
        <f t="shared" si="222"/>
        <v>936</v>
      </c>
      <c r="CI152" s="51">
        <f>INT(SUMPRODUCT($N152:$R152,$BA152:$BE152)/SUM($BA152:$BE152)/10000*$BX$7*$BZ$34/'疲劳值&amp;地图信息'!$R$10*$BY$53)</f>
        <v>3079</v>
      </c>
      <c r="CJ152" s="50">
        <f t="shared" si="223"/>
        <v>0.74209917780061663</v>
      </c>
      <c r="CK152" s="50">
        <f t="shared" si="224"/>
        <v>6.0123329907502569E-2</v>
      </c>
      <c r="CL152" s="50">
        <f t="shared" si="225"/>
        <v>0.19777749229188077</v>
      </c>
      <c r="CM152" s="14">
        <f t="shared" si="226"/>
        <v>12423</v>
      </c>
      <c r="CN152" s="14">
        <f t="shared" si="227"/>
        <v>1540</v>
      </c>
      <c r="CO152" s="14">
        <f>INT(SUMPRODUCT($U152:$Y152,$BA152:$BE152)/SUM($BA152:$BE152)/10000*$BX$7*$BZ$34/'疲劳值&amp;地图信息'!$R$10*$BY$54)</f>
        <v>5791</v>
      </c>
      <c r="CP152" s="50">
        <f t="shared" si="228"/>
        <v>0.62888528905538121</v>
      </c>
      <c r="CQ152" s="50">
        <f t="shared" si="229"/>
        <v>7.7958894401133946E-2</v>
      </c>
      <c r="CR152" s="50">
        <f t="shared" si="230"/>
        <v>0.29315581654348488</v>
      </c>
      <c r="CS152" s="14">
        <f t="shared" si="231"/>
        <v>13263</v>
      </c>
      <c r="CT152" s="14">
        <f t="shared" si="232"/>
        <v>2706</v>
      </c>
      <c r="CU152" s="14">
        <f>INT(SUMPRODUCT($AB152:$AF152,$BA152:$BE152)/SUM($BA152:$BE152)/10000*$BX$7*$BZ$34/'疲劳值&amp;地图信息'!$R$10*$BY$55)</f>
        <v>7871</v>
      </c>
      <c r="CV152" s="50">
        <f t="shared" si="233"/>
        <v>0.5563338926174497</v>
      </c>
      <c r="CW152" s="50">
        <f t="shared" si="234"/>
        <v>0.11350671140939597</v>
      </c>
      <c r="CX152" s="50">
        <f t="shared" si="235"/>
        <v>0.33015939597315436</v>
      </c>
      <c r="CY152" s="14">
        <f t="shared" si="236"/>
        <v>15215</v>
      </c>
      <c r="CZ152" s="14">
        <f t="shared" si="237"/>
        <v>7454</v>
      </c>
      <c r="DA152" s="14">
        <f>INT(SUMPRODUCT($AI152:$AM152,$BA152:$BE152)/SUM($BA152:$BE152)/10000*$BX$7*$BZ$34/'疲劳值&amp;地图信息'!$R$10*$BY$56)</f>
        <v>11870</v>
      </c>
      <c r="DB152" s="50">
        <f t="shared" si="238"/>
        <v>0.44051651755985988</v>
      </c>
      <c r="DC152" s="50">
        <f t="shared" si="239"/>
        <v>0.2158140073540056</v>
      </c>
      <c r="DD152" s="50">
        <f t="shared" si="240"/>
        <v>0.34366947508613449</v>
      </c>
      <c r="DE152" s="14">
        <f t="shared" si="241"/>
        <v>15397</v>
      </c>
      <c r="DF152" s="14">
        <f t="shared" si="242"/>
        <v>13530</v>
      </c>
      <c r="DG152" s="14">
        <f>INT(SUMPRODUCT($AP152:$AT152,$BA152:$BE152)/SUM($BA152:$BE152)/10000*$BX$7*$BZ$34/'疲劳值&amp;地图信息'!$R$10*$BY$57)</f>
        <v>15852</v>
      </c>
      <c r="DH152" s="50">
        <f t="shared" si="243"/>
        <v>0.34384421268898369</v>
      </c>
      <c r="DI152" s="50">
        <f t="shared" si="244"/>
        <v>0.30215056164720072</v>
      </c>
      <c r="DJ152" s="50">
        <f t="shared" si="245"/>
        <v>0.35400522566381565</v>
      </c>
      <c r="DL152" s="14">
        <f t="shared" si="316"/>
        <v>15568</v>
      </c>
      <c r="DM152" s="14">
        <f t="shared" si="317"/>
        <v>19754</v>
      </c>
      <c r="DN152" s="14">
        <f t="shared" si="318"/>
        <v>23840</v>
      </c>
      <c r="DO152" s="14">
        <f t="shared" si="319"/>
        <v>34539</v>
      </c>
      <c r="DP152" s="14">
        <f t="shared" si="320"/>
        <v>44779</v>
      </c>
      <c r="DQ152" s="14">
        <f t="shared" si="321"/>
        <v>1083317</v>
      </c>
      <c r="DT152" s="14">
        <f t="shared" si="315"/>
        <v>235575</v>
      </c>
      <c r="DU152" s="50">
        <f t="shared" si="217"/>
        <v>0.17861583814292603</v>
      </c>
      <c r="DW152" s="14">
        <f t="shared" si="246"/>
        <v>1318892</v>
      </c>
      <c r="EB152" s="14">
        <v>147</v>
      </c>
      <c r="EC152" s="51">
        <f t="shared" si="247"/>
        <v>19255</v>
      </c>
      <c r="ED152" s="51">
        <f t="shared" si="248"/>
        <v>1561</v>
      </c>
      <c r="EE152" s="51">
        <f>INT(SUMPRODUCT($N152:$R152,$BF152:$BJ152)/SUM($BF152:$BJ152)/10000*$BX$7*$BZ$46/'疲劳值&amp;地图信息'!$R$10*$BY$53)</f>
        <v>413</v>
      </c>
      <c r="EF152" s="50">
        <f t="shared" si="249"/>
        <v>0.90701399029629282</v>
      </c>
      <c r="EG152" s="50">
        <f t="shared" si="250"/>
        <v>7.3531489943002501E-2</v>
      </c>
      <c r="EH152" s="50">
        <f t="shared" si="251"/>
        <v>1.9454519760704697E-2</v>
      </c>
      <c r="EI152" s="51">
        <f t="shared" si="252"/>
        <v>20706</v>
      </c>
      <c r="EJ152" s="51">
        <f t="shared" si="253"/>
        <v>2567</v>
      </c>
      <c r="EK152" s="14">
        <f>INT(SUMPRODUCT($U152:$Y152,$BF152:$BJ152)/SUM($BF152:$BJ152)/10000*$BX$7*$BZ$46/'疲劳值&amp;地图信息'!$R$10*$BY$54)</f>
        <v>777</v>
      </c>
      <c r="EL152" s="50">
        <f t="shared" si="254"/>
        <v>0.86095634095634099</v>
      </c>
      <c r="EM152" s="50">
        <f t="shared" si="255"/>
        <v>0.10673596673596673</v>
      </c>
      <c r="EN152" s="50">
        <f t="shared" si="256"/>
        <v>3.2307692307692308E-2</v>
      </c>
      <c r="EO152" s="51">
        <f t="shared" si="257"/>
        <v>22105</v>
      </c>
      <c r="EP152" s="51">
        <f t="shared" si="258"/>
        <v>4510</v>
      </c>
      <c r="EQ152" s="14">
        <f>INT(SUMPRODUCT($AB152:$AF152,$BF152:$BJ152)/SUM($BF152:$BJ152)/10000*$BX$7*$BZ$46/'疲劳值&amp;地图信息'!$R$10*$BY$55)</f>
        <v>1055</v>
      </c>
      <c r="ER152" s="50">
        <f t="shared" si="259"/>
        <v>0.79887965305384889</v>
      </c>
      <c r="ES152" s="50">
        <f t="shared" si="260"/>
        <v>0.16299241055294542</v>
      </c>
      <c r="ET152" s="50">
        <f t="shared" si="261"/>
        <v>3.8127936393205636E-2</v>
      </c>
      <c r="EU152" s="51">
        <f t="shared" si="262"/>
        <v>25359</v>
      </c>
      <c r="EV152" s="51">
        <f t="shared" si="263"/>
        <v>12423</v>
      </c>
      <c r="EW152" s="14">
        <f>INT(SUMPRODUCT($AI152:$AM152,$BF152:$BJ152)/SUM($BF152:$BJ152)/10000*$BX$7*$BZ$46/'疲劳值&amp;地图信息'!$R$10*$BY$56)</f>
        <v>1583</v>
      </c>
      <c r="EX152" s="50">
        <f t="shared" si="264"/>
        <v>0.64420170201956051</v>
      </c>
      <c r="EY152" s="50">
        <f t="shared" si="265"/>
        <v>0.3155849104534485</v>
      </c>
      <c r="EZ152" s="50">
        <f t="shared" si="266"/>
        <v>4.0213387526990982E-2</v>
      </c>
      <c r="FA152" s="51">
        <f t="shared" si="267"/>
        <v>25662</v>
      </c>
      <c r="FB152" s="51">
        <f t="shared" si="268"/>
        <v>22551</v>
      </c>
      <c r="FC152" s="14">
        <f>INT(SUMPRODUCT($AP152:$AT152,$BF152:$BJ152)/SUM($BF152:$BJ152)/10000*$BX$7*$BZ$46/'疲劳值&amp;地图信息'!$R$10*$BY$57)</f>
        <v>2111</v>
      </c>
      <c r="FD152" s="50">
        <f t="shared" si="269"/>
        <v>0.50993561720054048</v>
      </c>
      <c r="FE152" s="50">
        <f t="shared" si="270"/>
        <v>0.44811620697877752</v>
      </c>
      <c r="FF152" s="50">
        <f t="shared" si="271"/>
        <v>4.1948175820681978E-2</v>
      </c>
      <c r="FH152" s="14">
        <f t="shared" si="272"/>
        <v>21229</v>
      </c>
      <c r="FI152" s="14">
        <f t="shared" si="273"/>
        <v>24050</v>
      </c>
      <c r="FJ152" s="14">
        <f t="shared" si="274"/>
        <v>27670</v>
      </c>
      <c r="FK152" s="14">
        <f t="shared" si="275"/>
        <v>39365</v>
      </c>
      <c r="FL152" s="14">
        <f t="shared" si="276"/>
        <v>50324</v>
      </c>
      <c r="FM152" s="14">
        <f t="shared" si="277"/>
        <v>2487001</v>
      </c>
      <c r="FP152" s="14">
        <f t="shared" si="278"/>
        <v>334150</v>
      </c>
      <c r="FQ152" s="50">
        <f t="shared" si="218"/>
        <v>0.11844456393861938</v>
      </c>
      <c r="FS152" s="14">
        <f t="shared" si="279"/>
        <v>2821151</v>
      </c>
      <c r="FX152" s="14">
        <v>147</v>
      </c>
      <c r="FY152" s="51">
        <f t="shared" si="280"/>
        <v>26957</v>
      </c>
      <c r="FZ152" s="51">
        <f t="shared" si="281"/>
        <v>1561</v>
      </c>
      <c r="GA152" s="51">
        <f>INT(SUMPRODUCT($N152:$R152,$BF152:$BJ152)/SUM($BF152:$BJ152)/10000*$BX$7*$BZ$46/'疲劳值&amp;地图信息'!$R$10*$BY$53)</f>
        <v>413</v>
      </c>
      <c r="GB152" s="50">
        <f t="shared" si="282"/>
        <v>0.9317686910234696</v>
      </c>
      <c r="GC152" s="50">
        <f t="shared" si="283"/>
        <v>5.3955964190660538E-2</v>
      </c>
      <c r="GD152" s="50">
        <f t="shared" si="284"/>
        <v>1.4275344785869828E-2</v>
      </c>
      <c r="GE152" s="51">
        <f t="shared" si="285"/>
        <v>28988</v>
      </c>
      <c r="GF152" s="51">
        <f t="shared" si="286"/>
        <v>2567</v>
      </c>
      <c r="GG152" s="14">
        <f>INT(SUMPRODUCT($U152:$Y152,$BF152:$BJ152)/SUM($BF152:$BJ152)/10000*$BX$7*$BZ$46/'疲劳值&amp;地图信息'!$R$10*$BY$54)</f>
        <v>777</v>
      </c>
      <c r="GH152" s="50">
        <f t="shared" si="287"/>
        <v>0.89657305455895087</v>
      </c>
      <c r="GI152" s="50">
        <f t="shared" si="288"/>
        <v>7.939502659903501E-2</v>
      </c>
      <c r="GJ152" s="50">
        <f t="shared" si="289"/>
        <v>2.4031918842014104E-2</v>
      </c>
      <c r="GK152" s="51">
        <f t="shared" si="290"/>
        <v>30947</v>
      </c>
      <c r="GL152" s="51">
        <f t="shared" si="291"/>
        <v>4510</v>
      </c>
      <c r="GM152" s="14">
        <f>INT(SUMPRODUCT($AB152:$AF152,$BF152:$BJ152)/SUM($BF152:$BJ152)/10000*$BX$7*$BZ$46/'疲劳值&amp;地图信息'!$R$10*$BY$55)</f>
        <v>1055</v>
      </c>
      <c r="GN152" s="50">
        <f t="shared" si="292"/>
        <v>0.84758435582822089</v>
      </c>
      <c r="GO152" s="50">
        <f t="shared" si="293"/>
        <v>0.12352103418054339</v>
      </c>
      <c r="GP152" s="50">
        <f t="shared" si="294"/>
        <v>2.8894609991235758E-2</v>
      </c>
      <c r="GQ152" s="51">
        <f t="shared" si="295"/>
        <v>35503</v>
      </c>
      <c r="GR152" s="51">
        <f t="shared" si="296"/>
        <v>12423</v>
      </c>
      <c r="GS152" s="14">
        <f>INT(SUMPRODUCT($AI152:$AM152,$BF152:$BJ152)/SUM($BF152:$BJ152)/10000*$BX$7*$BZ$46/'疲劳值&amp;地图信息'!$R$10*$BY$56)</f>
        <v>1583</v>
      </c>
      <c r="GT152" s="50">
        <f t="shared" si="297"/>
        <v>0.71710194106122116</v>
      </c>
      <c r="GU152" s="50">
        <f t="shared" si="298"/>
        <v>0.25092407441071318</v>
      </c>
      <c r="GV152" s="50">
        <f t="shared" si="299"/>
        <v>3.1973984528065602E-2</v>
      </c>
      <c r="GW152" s="51">
        <f t="shared" si="300"/>
        <v>35926</v>
      </c>
      <c r="GX152" s="51">
        <f t="shared" si="301"/>
        <v>22551</v>
      </c>
      <c r="GY152" s="14">
        <f>INT(SUMPRODUCT($AP152:$AT152,$BF152:$BJ152)/SUM($BF152:$BJ152)/10000*$BX$7*$BZ$46/'疲劳值&amp;地图信息'!$R$10*$BY$57)</f>
        <v>2111</v>
      </c>
      <c r="GZ152" s="50">
        <f t="shared" si="302"/>
        <v>0.59295570079883808</v>
      </c>
      <c r="HA152" s="50">
        <f t="shared" si="303"/>
        <v>0.3722024163200634</v>
      </c>
      <c r="HB152" s="50">
        <f t="shared" si="304"/>
        <v>3.4841882881098567E-2</v>
      </c>
      <c r="HD152" s="14">
        <f t="shared" si="305"/>
        <v>28931</v>
      </c>
      <c r="HE152" s="14">
        <f t="shared" si="306"/>
        <v>32332</v>
      </c>
      <c r="HF152" s="14">
        <f t="shared" si="307"/>
        <v>36512</v>
      </c>
      <c r="HG152" s="14">
        <f t="shared" si="308"/>
        <v>49509</v>
      </c>
      <c r="HH152" s="14">
        <f t="shared" si="309"/>
        <v>60588</v>
      </c>
      <c r="HI152" s="14">
        <f t="shared" si="310"/>
        <v>3338931</v>
      </c>
      <c r="HL152" s="14">
        <f t="shared" si="311"/>
        <v>430050</v>
      </c>
      <c r="HM152" s="50">
        <f t="shared" si="219"/>
        <v>0.11410245899355821</v>
      </c>
      <c r="HO152" s="14">
        <f t="shared" si="312"/>
        <v>3768981</v>
      </c>
    </row>
    <row r="153" spans="11:223" x14ac:dyDescent="0.2">
      <c r="K153" s="14">
        <v>148</v>
      </c>
      <c r="L153" s="12">
        <f>求节点(节奏总纲!D$4:D$163,标准城池设计!AB$4:AB$163,$K153)*求节点(节奏总纲!D$4:D$163,攻城基础信息!$AC$5:$AC$164,$K153)</f>
        <v>568667.96152786061</v>
      </c>
      <c r="M153" s="12">
        <f>INDEX(其他调用!$AA$5:$AA$404,MATCH(K153,其他调用!$X$5:$X$404,0))*MIN(INDEX(其他调用!$AH$5:$AH$364,MATCH('征服点（新）'!K153,其他调用!$AG$5:$AG$364,0),1)/INDEX(其他调用!$AJ$5:$AJ$364,MATCH(K153,其他调用!$AG$5:$AG$364,0),0),5)*求节点(节奏总纲!D$4:D$163,攻城基础信息!$AC$5:$AC$164,$K153)</f>
        <v>46065.963699107684</v>
      </c>
      <c r="N153" s="12">
        <f>MIN(INDEX(其他调用!$AH$5:$AH$364,MATCH($K153,其他调用!$AG$5:$AG$364,0),1)/INDEX(其他调用!AH$5:AH$364,MATCH($K153,其他调用!$AG$5:$AG$364,0),0),1)*INDEX(其他调用!Y$5:Y$404,MATCH($K153,其他调用!$X$5:$X$404,0),0)</f>
        <v>38396.558682462681</v>
      </c>
      <c r="O153" s="12">
        <f>MIN(INDEX(其他调用!$AH$5:$AH$364,MATCH($K153,其他调用!$AG$5:$AG$364,0),1)/INDEX(其他调用!AI$5:AI$364,MATCH($K153,其他调用!$AG$5:$AG$364,0),0),1)*INDEX(其他调用!Z$5:Z$404,MATCH($K153,其他调用!$X$5:$X$404,0),0)</f>
        <v>24055.583125157991</v>
      </c>
      <c r="P153" s="12">
        <f>MIN(INDEX(其他调用!$AH$5:$AH$364,MATCH($K153,其他调用!$AG$5:$AG$364,0),1)/INDEX(其他调用!AJ$5:AJ$364,MATCH($K153,其他调用!$AG$5:$AG$364,0),0),1)*INDEX(其他调用!AA$5:AA$404,MATCH($K153,其他调用!$X$5:$X$404,0),0)</f>
        <v>14219.88638765758</v>
      </c>
      <c r="Q153" s="12">
        <f>MIN(INDEX(其他调用!$AH$5:$AH$364,MATCH($K153,其他调用!$AG$5:$AG$364,0),1)/INDEX(其他调用!AK$5:AK$364,MATCH($K153,其他调用!$AG$5:$AG$364,0),0),1)*INDEX(其他调用!AB$5:AB$404,MATCH($K153,其他调用!$X$5:$X$404,0),0)</f>
        <v>5423.9091733453788</v>
      </c>
      <c r="R153" s="12">
        <f>MIN(INDEX(其他调用!$AH$5:$AH$364,MATCH($K153,其他调用!$AG$5:$AG$364,0),1)/INDEX(其他调用!AL$5:AL$364,MATCH($K153,其他调用!$AG$5:$AG$364,0),0),1)*INDEX(其他调用!AC$5:AC$404,MATCH($K153,其他调用!$X$5:$X$404,0),0)</f>
        <v>1922.928593034675</v>
      </c>
      <c r="S153" s="12">
        <f>求节点(节奏总纲!D$4:D$163,标准城池设计!AC$4:AC$163,$K153)*求节点(节奏总纲!D$4:D$163,攻城基础信息!$AD$5:$AD$164,$K153)</f>
        <v>611394.42372800526</v>
      </c>
      <c r="T153" s="12">
        <f>INDEX(其他调用!$AA$5:$AA$404,MATCH($K153,其他调用!$X$5:$X$404,0))*MIN(INDEX(其他调用!AI$5:AI$364,MATCH($K153,其他调用!$AG$5:$AG$364,0),1)/INDEX(其他调用!$AJ$5:$AJ$364,MATCH($K153,其他调用!$AG$5:$AG$364,0),0),5)*求节点(节奏总纲!D$4:D$163,攻城基础信息!$AD$5:$AD$164,$K153)</f>
        <v>75742.119631193433</v>
      </c>
      <c r="U153" s="12">
        <f>MIN(INDEX(其他调用!$AI$5:$AI$364,MATCH($K153,其他调用!$AG$5:$AG$364,0),1)/INDEX(其他调用!AH$5:AH$364,MATCH($K153,其他调用!$AG$5:$AG$364,0),0),1)*INDEX(其他调用!Y$5:Y$404,MATCH($K153,其他调用!$X$5:$X$404,0),0)</f>
        <v>38396.558682462681</v>
      </c>
      <c r="V153" s="12">
        <f>MIN(INDEX(其他调用!$AI$5:$AI$364,MATCH($K153,其他调用!$AG$5:$AG$364,0),1)/INDEX(其他调用!AI$5:AI$364,MATCH($K153,其他调用!$AG$5:$AG$364,0),0),1)*INDEX(其他调用!Z$5:Z$404,MATCH($K153,其他调用!$X$5:$X$404,0),0)</f>
        <v>39552.431091311955</v>
      </c>
      <c r="W153" s="12">
        <f>MIN(INDEX(其他调用!$AI$5:$AI$364,MATCH($K153,其他调用!$AG$5:$AG$364,0),1)/INDEX(其他调用!AJ$5:AJ$364,MATCH($K153,其他调用!$AG$5:$AG$364,0),0),1)*INDEX(其他调用!AA$5:AA$404,MATCH($K153,其他调用!$X$5:$X$404,0),0)</f>
        <v>23380.479847354247</v>
      </c>
      <c r="X153" s="12">
        <f>MIN(INDEX(其他调用!$AI$5:$AI$364,MATCH($K153,其他调用!$AG$5:$AG$364,0),1)/INDEX(其他调用!AK$5:AK$364,MATCH($K153,其他调用!$AG$5:$AG$364,0),0),1)*INDEX(其他调用!AB$5:AB$404,MATCH($K153,其他调用!$X$5:$X$404,0),0)</f>
        <v>8918.0458735135689</v>
      </c>
      <c r="Y153" s="12">
        <f>MIN(INDEX(其他调用!$AI$5:$AI$364,MATCH($K153,其他调用!$AG$5:$AG$364,0),1)/INDEX(其他调用!AL$5:AL$364,MATCH($K153,其他调用!$AG$5:$AG$364,0),0),1)*INDEX(其他调用!AC$5:AC$404,MATCH($K153,其他调用!$X$5:$X$404,0),0)</f>
        <v>3161.6984827931878</v>
      </c>
      <c r="Z153" s="12">
        <f>求节点(节奏总纲!D$4:D$163,标准城池设计!AD$4:AD$163,$K153)*求节点(节奏总纲!D$4:D$163,攻城基础信息!$AE$5:$AE$164,$K153)</f>
        <v>652538.20669293194</v>
      </c>
      <c r="AA153" s="12">
        <f>INDEX(其他调用!$AA$5:$AA$404,MATCH($K153,其他调用!$X$5:$X$404,0))*MIN(INDEX(其他调用!AJ$5:AJ$364,MATCH($K153,其他调用!$AG$5:$AG$364,0),1)/INDEX(其他调用!$AJ$5:$AJ$364,MATCH($K153,其他调用!$AG$5:$AG$364,0),0),5)*求节点(节奏总纲!D$4:D$163,攻城基础信息!$AE$5:$AE$164,$K153)</f>
        <v>133025.65602567449</v>
      </c>
      <c r="AB153" s="12">
        <f>MIN(INDEX(其他调用!$AJ$5:$AJ$364,MATCH($K153,其他调用!$AG$5:$AG$364,0),1)/INDEX(其他调用!AH$5:AH$364,MATCH($K153,其他调用!$AG$5:$AG$364,0),0),1)*INDEX(其他调用!Y$5:Y$404,MATCH($K153,其他调用!$X$5:$X$404,0),0)</f>
        <v>38396.558682462681</v>
      </c>
      <c r="AC153" s="12">
        <f>MIN(INDEX(其他调用!$AJ$5:$AJ$364,MATCH($K153,其他调用!$AG$5:$AG$364,0),1)/INDEX(其他调用!AI$5:AI$364,MATCH($K153,其他调用!$AG$5:$AG$364,0),0),1)*INDEX(其他调用!Z$5:Z$404,MATCH($K153,其他调用!$X$5:$X$404,0),0)</f>
        <v>39552.431091311955</v>
      </c>
      <c r="AD153" s="12">
        <f>MIN(INDEX(其他调用!$AJ$5:$AJ$364,MATCH($K153,其他调用!$AG$5:$AG$364,0),1)/INDEX(其他调用!AJ$5:AJ$364,MATCH($K153,其他调用!$AG$5:$AG$364,0),0),1)*INDEX(其他调用!AA$5:AA$404,MATCH($K153,其他调用!$X$5:$X$404,0),0)</f>
        <v>41063.0661649514</v>
      </c>
      <c r="AE153" s="12">
        <f>MIN(INDEX(其他调用!$AJ$5:$AJ$364,MATCH($K153,其他调用!$AG$5:$AG$364,0),1)/INDEX(其他调用!AK$5:AK$364,MATCH($K153,其他调用!$AG$5:$AG$364,0),0),1)*INDEX(其他调用!AB$5:AB$404,MATCH($K153,其他调用!$X$5:$X$404,0),0)</f>
        <v>15662.737042054303</v>
      </c>
      <c r="AF153" s="12">
        <f>MIN(INDEX(其他调用!$AJ$5:$AJ$364,MATCH($K153,其他调用!$AG$5:$AG$364,0),1)/INDEX(其他调用!AL$5:AL$364,MATCH($K153,其他调用!$AG$5:$AG$364,0),0),1)*INDEX(其他调用!AC$5:AC$404,MATCH($K153,其他调用!$X$5:$X$404,0),0)</f>
        <v>5552.8814994468421</v>
      </c>
      <c r="AG153" s="12">
        <f>求节点(节奏总纲!D$4:D$163,标准城池设计!AE$4:AE$163,$K153)*求节点(节奏总纲!D$4:D$163,攻城基础信息!$AF$5:$AF$164,$K153)</f>
        <v>749705.42645806354</v>
      </c>
      <c r="AH153" s="12">
        <f>INDEX(其他调用!$AA$5:$AA$404,MATCH($K153,其他调用!$X$5:$X$404,0))*MIN(INDEX(其他调用!AK$5:AK$364,MATCH($K153,其他调用!$AG$5:$AG$364,0),1)/INDEX(其他调用!$AJ$5:$AJ$364,MATCH($K153,其他调用!$AG$5:$AG$364,0),0),5)*求节点(节奏总纲!D$4:D$163,攻城基础信息!$AF$5:$AF$164,$K153)</f>
        <v>367384.14253993263</v>
      </c>
      <c r="AI153" s="12">
        <f>MIN(INDEX(其他调用!$AK$5:$AK$364,MATCH($K153,其他调用!$AG$5:$AG$364,0),1)/INDEX(其他调用!AH$5:AH$364,MATCH($K153,其他调用!$AG$5:$AG$364,0),0),1)*INDEX(其他调用!Y$5:Y$404,MATCH($K153,其他调用!$X$5:$X$404,0),0)</f>
        <v>38396.558682462681</v>
      </c>
      <c r="AJ153" s="12">
        <f>MIN(INDEX(其他调用!$AK$5:$AK$364,MATCH($K153,其他调用!$AG$5:$AG$364,0),1)/INDEX(其他调用!AI$5:AI$364,MATCH($K153,其他调用!$AG$5:$AG$364,0),0),1)*INDEX(其他调用!Z$5:Z$404,MATCH($K153,其他调用!$X$5:$X$404,0),0)</f>
        <v>39552.431091311955</v>
      </c>
      <c r="AK153" s="12">
        <f>MIN(INDEX(其他调用!$AK$5:$AK$364,MATCH($K153,其他调用!$AG$5:$AG$364,0),1)/INDEX(其他调用!AJ$5:AJ$364,MATCH($K153,其他调用!$AG$5:$AG$364,0),0),1)*INDEX(其他调用!AA$5:AA$404,MATCH($K153,其他调用!$X$5:$X$404,0),0)</f>
        <v>41063.0661649514</v>
      </c>
      <c r="AL153" s="12">
        <f>MIN(INDEX(其他调用!$AK$5:$AK$364,MATCH($K153,其他调用!$AG$5:$AG$364,0),1)/INDEX(其他调用!AK$5:AK$364,MATCH($K153,其他调用!$AG$5:$AG$364,0),0),1)*INDEX(其他调用!AB$5:AB$404,MATCH($K153,其他调用!$X$5:$X$404,0),0)</f>
        <v>43256.627254767824</v>
      </c>
      <c r="AM153" s="12">
        <f>MIN(INDEX(其他调用!$AK$5:$AK$364,MATCH($K153,其他调用!$AG$5:$AG$364,0),1)/INDEX(其他调用!AL$5:AL$364,MATCH($K153,其他调用!$AG$5:$AG$364,0),0),1)*INDEX(其他调用!AC$5:AC$404,MATCH($K153,其他调用!$X$5:$X$404,0),0)</f>
        <v>15335.692897514426</v>
      </c>
      <c r="AN153" s="12">
        <f>求节点(节奏总纲!D$4:D$163,标准城池设计!AF$4:AF$163,$K153)*求节点(节奏总纲!D$4:D$163,攻城基础信息!$AG$5:$AG$164,$K153)</f>
        <v>759078.58004239341</v>
      </c>
      <c r="AO153" s="12">
        <f>INDEX(其他调用!$AA$5:$AA$404,MATCH($K153,其他调用!$X$5:$X$404,0))*MIN(INDEX(其他调用!AL$5:AL$364,MATCH($K153,其他调用!$AG$5:$AG$364,0),1)/INDEX(其他调用!$AJ$5:$AJ$364,MATCH($K153,其他调用!$AG$5:$AG$364,0),0),5)*求节点(节奏总纲!D$4:D$163,攻城基础信息!$AG$5:$AG$164,$K153)</f>
        <v>665128.28012837237</v>
      </c>
      <c r="AP153" s="12">
        <f>MIN(INDEX(其他调用!$AL$5:$AL$364,MATCH($K153,其他调用!$AG$5:$AG$364,0),1)/INDEX(其他调用!AH$5:AH$364,MATCH($K153,其他调用!$AG$5:$AG$364,0),0),1)*INDEX(其他调用!Y$5:Y$404,MATCH($K153,其他调用!$X$5:$X$404,0),0)</f>
        <v>38396.558682462681</v>
      </c>
      <c r="AQ153" s="12">
        <f>MIN(INDEX(其他调用!$AL$5:$AL$364,MATCH($K153,其他调用!$AG$5:$AG$364,0),1)/INDEX(其他调用!AI$5:AI$364,MATCH($K153,其他调用!$AG$5:$AG$364,0),0),1)*INDEX(其他调用!Z$5:Z$404,MATCH($K153,其他调用!$X$5:$X$404,0),0)</f>
        <v>39552.431091311955</v>
      </c>
      <c r="AR153" s="12">
        <f>MIN(INDEX(其他调用!$AL$5:$AL$364,MATCH($K153,其他调用!$AG$5:$AG$364,0),1)/INDEX(其他调用!AJ$5:AJ$364,MATCH($K153,其他调用!$AG$5:$AG$364,0),0),1)*INDEX(其他调用!AA$5:AA$404,MATCH($K153,其他调用!$X$5:$X$404,0),0)</f>
        <v>41063.0661649514</v>
      </c>
      <c r="AS153" s="12">
        <f>MIN(INDEX(其他调用!$AL$5:$AL$364,MATCH($K153,其他调用!$AG$5:$AG$364,0),1)/INDEX(其他调用!AK$5:AK$364,MATCH($K153,其他调用!$AG$5:$AG$364,0),0),1)*INDEX(其他调用!AB$5:AB$404,MATCH($K153,其他调用!$X$5:$X$404,0),0)</f>
        <v>43256.627254767824</v>
      </c>
      <c r="AT153" s="12">
        <f>MIN(INDEX(其他调用!$AL$5:$AL$364,MATCH($K153,其他调用!$AG$5:$AG$364,0),1)/INDEX(其他调用!AL$5:AL$364,MATCH($K153,其他调用!$AG$5:$AG$364,0),0),1)*INDEX(其他调用!AC$5:AC$404,MATCH($K153,其他调用!$X$5:$X$404,0),0)</f>
        <v>47184.875069222442</v>
      </c>
      <c r="AV153" s="14">
        <f>IF(OR(AV$5="大R",AV$5="超R"),MAX(INDEX(其他调用!$H$5:$L$404,MATCH($K153,其他调用!$B$5:$B$404,0),MATCH(AV$5,其他调用!$H$4:$L$4,0))*120*0.85,2),INDEX(其他调用!$H$5:$L$404,MATCH($K153,其他调用!$B$5:$B$404,0),MATCH(AV$5,其他调用!$H$4:$L$4,0))*120*0.85)</f>
        <v>48.921801254999991</v>
      </c>
      <c r="AW153" s="14">
        <f>IF(OR(AW$5="大R",AW$5="超R"),MAX(INDEX(其他调用!$H$5:$L$404,MATCH($K153,其他调用!$B$5:$B$404,0),MATCH(AW$5,其他调用!$H$4:$L$4,0))*120*0.85,2),INDEX(其他调用!$H$5:$L$404,MATCH($K153,其他调用!$B$5:$B$404,0),MATCH(AW$5,其他调用!$H$4:$L$4,0))*120*0.85)</f>
        <v>48.237344010638395</v>
      </c>
      <c r="AX153" s="14">
        <f>IF(OR(AX$5="大R",AX$5="超R"),MAX(INDEX(其他调用!$H$5:$L$404,MATCH($K153,其他调用!$B$5:$B$404,0),MATCH(AX$5,其他调用!$H$4:$L$4,0))*120*0.85,2),INDEX(其他调用!$H$5:$L$404,MATCH($K153,其他调用!$B$5:$B$404,0),MATCH(AX$5,其他调用!$H$4:$L$4,0))*120*0.85)</f>
        <v>3.9376284143615998</v>
      </c>
      <c r="AY153" s="14">
        <f>IF(OR(AY$5="大R",AY$5="超R"),MAX(INDEX(其他调用!$H$5:$L$404,MATCH($K153,其他调用!$B$5:$B$404,0),MATCH(AY$5,其他调用!$H$4:$L$4,0))*120*0.85,2),INDEX(其他调用!$H$5:$L$404,MATCH($K153,其他调用!$B$5:$B$404,0),MATCH(AY$5,其他调用!$H$4:$L$4,0))*120*0.85)</f>
        <v>2</v>
      </c>
      <c r="AZ153" s="14">
        <f>IF(OR(AZ$5="大R",AZ$5="超R"),MAX(INDEX(其他调用!$H$5:$L$404,MATCH($K153,其他调用!$B$5:$B$404,0),MATCH(AZ$5,其他调用!$H$4:$L$4,0))*120*0.85,2),INDEX(其他调用!$H$5:$L$404,MATCH($K153,其他调用!$B$5:$B$404,0),MATCH(AZ$5,其他调用!$H$4:$L$4,0))*120*0.85)</f>
        <v>2</v>
      </c>
      <c r="BA153" s="14">
        <f>INDEX(其他调用!$H$5:$L$404,MATCH($K153,其他调用!$B$5:$B$404,0),MATCH(BA$5,其他调用!$H$4:$L$4,0))*INDEX(其他调用!$M$5:$M$404,MATCH($K153,其他调用!$B$5:$B$404,0))*0.6</f>
        <v>28.777530149999997</v>
      </c>
      <c r="BB153" s="14">
        <f>INDEX(其他调用!$H$5:$L$404,MATCH($K153,其他调用!$B$5:$B$404,0),MATCH(BB$5,其他调用!$H$4:$L$4,0))*INDEX(其他调用!$M$5:$M$404,MATCH($K153,其他调用!$B$5:$B$404,0))*0.6</f>
        <v>28.374908241551999</v>
      </c>
      <c r="BC153" s="14">
        <f>INDEX(其他调用!$H$5:$L$404,MATCH($K153,其他调用!$B$5:$B$404,0),MATCH(BC$5,其他调用!$H$4:$L$4,0))*INDEX(其他调用!$M$5:$M$404,MATCH($K153,其他调用!$B$5:$B$404,0))*0.6</f>
        <v>2.3162520084480001</v>
      </c>
      <c r="BD153" s="14">
        <f>INDEX(其他调用!$H$5:$L$404,MATCH($K153,其他调用!$B$5:$B$404,0),MATCH(BD$5,其他调用!$H$4:$L$4,0))*INDEX(其他调用!$M$5:$M$404,MATCH($K153,其他调用!$B$5:$B$404,0))*0.6</f>
        <v>0.4120776000000001</v>
      </c>
      <c r="BE153" s="14">
        <f>INDEX(其他调用!$H$5:$L$404,MATCH($K153,其他调用!$B$5:$B$404,0),MATCH(BE$5,其他调用!$H$4:$L$4,0))*INDEX(其他调用!$M$5:$M$404,MATCH($K153,其他调用!$B$5:$B$404,0))*0.6</f>
        <v>0.11923199999999998</v>
      </c>
      <c r="BF153" s="14">
        <f>IF(OR(BF$5="大R",BF$5="超R"),0,INDEX(其他调用!$H$5:$L$404,MATCH($K153,其他调用!$B$5:$B$404,0),MATCH(BF$5,其他调用!$H$4:$L$4,0))*50*0.4)</f>
        <v>9.5925100500000013</v>
      </c>
      <c r="BG153" s="14">
        <f>IF(OR(BG$5="大R",BG$5="超R"),0,INDEX(其他调用!$H$5:$L$404,MATCH($K153,其他调用!$B$5:$B$404,0),MATCH(BG$5,其他调用!$H$4:$L$4,0))*50*0.4)</f>
        <v>9.4583027471839998</v>
      </c>
      <c r="BH153" s="14">
        <f>IF(OR(BH$5="大R",BH$5="超R"),0,INDEX(其他调用!$H$5:$L$404,MATCH($K153,其他调用!$B$5:$B$404,0),MATCH(BH$5,其他调用!$H$4:$L$4,0))*50*0.4)</f>
        <v>0.77208400281600009</v>
      </c>
      <c r="BI153" s="14">
        <f>IF(OR(BI$5="大R",BI$5="超R"),0,INDEX(其他调用!$H$5:$L$404,MATCH($K153,其他调用!$B$5:$B$404,0),MATCH(BI$5,其他调用!$H$4:$L$4,0))*50*0.4)</f>
        <v>0</v>
      </c>
      <c r="BJ153" s="14">
        <f>IF(OR(BJ$5="大R",BJ$5="超R"),0,INDEX(其他调用!$H$5:$L$404,MATCH($K153,其他调用!$B$5:$B$404,0),MATCH(BJ$5,其他调用!$H$4:$L$4,0))*50*0.4)</f>
        <v>0</v>
      </c>
      <c r="BL153" s="14">
        <f t="shared" si="313"/>
        <v>148</v>
      </c>
      <c r="BM153" s="14">
        <f t="shared" si="220"/>
        <v>96</v>
      </c>
      <c r="BN153" s="14">
        <f>('疲劳值&amp;地图信息'!$S$10*'疲劳值&amp;地图信息'!$R$10+'疲劳值&amp;地图信息'!$S$11*'疲劳值&amp;地图信息'!$R$11+'疲劳值&amp;地图信息'!$S$12*'疲劳值&amp;地图信息'!$R$12+(BM153-'疲劳值&amp;地图信息'!$S$12-'疲劳值&amp;地图信息'!$S$11-'疲劳值&amp;地图信息'!$S$10)*'疲劳值&amp;地图信息'!$R$13)/BM153</f>
        <v>51.371477246638619</v>
      </c>
      <c r="BO153" s="14">
        <f>INDEX(其他调用!$M$5:$M$404,MATCH(BL153,其他调用!$B$5:$B$404,0))*0.6</f>
        <v>60</v>
      </c>
      <c r="BP153" s="14">
        <f>IF(BO153&gt;SUM('疲劳值&amp;地图信息'!$S$10:$S$12),('疲劳值&amp;地图信息'!$S$10*'疲劳值&amp;地图信息'!$R$10+'疲劳值&amp;地图信息'!$S$11*'疲劳值&amp;地图信息'!$R$11+'疲劳值&amp;地图信息'!$S$12*'疲劳值&amp;地图信息'!$R$12+(BO153-'疲劳值&amp;地图信息'!$S$12-'疲劳值&amp;地图信息'!$S$11-'疲劳值&amp;地图信息'!$S$10)*'疲劳值&amp;地图信息'!$R$13)/BO153,('疲劳值&amp;地图信息'!$S$10*'疲劳值&amp;地图信息'!$R$10+'疲劳值&amp;地图信息'!$S$11*'疲劳值&amp;地图信息'!$R$11+'疲劳值&amp;地图信息'!$S$12*'疲劳值&amp;地图信息'!$R$12+(BO153-'疲劳值&amp;地图信息'!$S$12-'疲劳值&amp;地图信息'!$S$11-'疲劳值&amp;地图信息'!$S$10)*'疲劳值&amp;地图信息'!$R$13)/BO153)</f>
        <v>44.158136341605953</v>
      </c>
      <c r="BQ153" s="14">
        <f t="shared" si="314"/>
        <v>20</v>
      </c>
      <c r="BR153" s="14">
        <f>('疲劳值&amp;地图信息'!$S$10*'疲劳值&amp;地图信息'!$R$10+($BQ153-'疲劳值&amp;地图信息'!$S$10)*'疲劳值&amp;地图信息'!$R$11)/$BQ153</f>
        <v>32.067203015074995</v>
      </c>
      <c r="CF153" s="14">
        <v>148</v>
      </c>
      <c r="CG153" s="51">
        <f t="shared" si="221"/>
        <v>11590</v>
      </c>
      <c r="CH153" s="51">
        <f t="shared" si="222"/>
        <v>938</v>
      </c>
      <c r="CI153" s="51">
        <f>INT(SUMPRODUCT($N153:$R153,$BA153:$BE153)/SUM($BA153:$BE153)/10000*$BX$7*$BZ$34/'疲劳值&amp;地图信息'!$R$10*$BY$53)</f>
        <v>3082</v>
      </c>
      <c r="CJ153" s="50">
        <f t="shared" si="223"/>
        <v>0.74247277386290844</v>
      </c>
      <c r="CK153" s="50">
        <f t="shared" si="224"/>
        <v>6.0089686098654706E-2</v>
      </c>
      <c r="CL153" s="50">
        <f t="shared" si="225"/>
        <v>0.19743754003843689</v>
      </c>
      <c r="CM153" s="14">
        <f t="shared" si="226"/>
        <v>12461</v>
      </c>
      <c r="CN153" s="14">
        <f t="shared" si="227"/>
        <v>1543</v>
      </c>
      <c r="CO153" s="14">
        <f>INT(SUMPRODUCT($U153:$Y153,$BA153:$BE153)/SUM($BA153:$BE153)/10000*$BX$7*$BZ$34/'疲劳值&amp;地图信息'!$R$10*$BY$54)</f>
        <v>5797</v>
      </c>
      <c r="CP153" s="50">
        <f t="shared" si="228"/>
        <v>0.62931165092672092</v>
      </c>
      <c r="CQ153" s="50">
        <f t="shared" si="229"/>
        <v>7.7925357305186613E-2</v>
      </c>
      <c r="CR153" s="50">
        <f t="shared" si="230"/>
        <v>0.29276299176809251</v>
      </c>
      <c r="CS153" s="14">
        <f t="shared" si="231"/>
        <v>13299</v>
      </c>
      <c r="CT153" s="14">
        <f t="shared" si="232"/>
        <v>2711</v>
      </c>
      <c r="CU153" s="14">
        <f>INT(SUMPRODUCT($AB153:$AF153,$BA153:$BE153)/SUM($BA153:$BE153)/10000*$BX$7*$BZ$34/'疲劳值&amp;地图信息'!$R$10*$BY$55)</f>
        <v>7878</v>
      </c>
      <c r="CV153" s="50">
        <f t="shared" si="233"/>
        <v>0.55672304085733426</v>
      </c>
      <c r="CW153" s="50">
        <f t="shared" si="234"/>
        <v>0.11348794373744139</v>
      </c>
      <c r="CX153" s="50">
        <f t="shared" si="235"/>
        <v>0.32978901540522437</v>
      </c>
      <c r="CY153" s="14">
        <f t="shared" si="236"/>
        <v>15279</v>
      </c>
      <c r="CZ153" s="14">
        <f t="shared" si="237"/>
        <v>7487</v>
      </c>
      <c r="DA153" s="14">
        <f>INT(SUMPRODUCT($AI153:$AM153,$BA153:$BE153)/SUM($BA153:$BE153)/10000*$BX$7*$BZ$34/'疲劳值&amp;地图信息'!$R$10*$BY$56)</f>
        <v>11881</v>
      </c>
      <c r="DB153" s="50">
        <f t="shared" si="238"/>
        <v>0.4409905619534159</v>
      </c>
      <c r="DC153" s="50">
        <f t="shared" si="239"/>
        <v>0.21609374549023003</v>
      </c>
      <c r="DD153" s="50">
        <f t="shared" si="240"/>
        <v>0.34291569255635407</v>
      </c>
      <c r="DE153" s="14">
        <f t="shared" si="241"/>
        <v>15471</v>
      </c>
      <c r="DF153" s="14">
        <f t="shared" si="242"/>
        <v>13556</v>
      </c>
      <c r="DG153" s="14">
        <f>INT(SUMPRODUCT($AP153:$AT153,$BA153:$BE153)/SUM($BA153:$BE153)/10000*$BX$7*$BZ$34/'疲劳值&amp;地图信息'!$R$10*$BY$57)</f>
        <v>15868</v>
      </c>
      <c r="DH153" s="50">
        <f t="shared" si="243"/>
        <v>0.34460407617774808</v>
      </c>
      <c r="DI153" s="50">
        <f t="shared" si="244"/>
        <v>0.30194899209266063</v>
      </c>
      <c r="DJ153" s="50">
        <f t="shared" si="245"/>
        <v>0.3534469317295913</v>
      </c>
      <c r="DL153" s="14">
        <f t="shared" si="316"/>
        <v>15610</v>
      </c>
      <c r="DM153" s="14">
        <f t="shared" si="317"/>
        <v>19801</v>
      </c>
      <c r="DN153" s="14">
        <f t="shared" si="318"/>
        <v>23888</v>
      </c>
      <c r="DO153" s="14">
        <f t="shared" si="319"/>
        <v>34647</v>
      </c>
      <c r="DP153" s="14">
        <f t="shared" si="320"/>
        <v>44895</v>
      </c>
      <c r="DQ153" s="14">
        <f t="shared" si="321"/>
        <v>1086029</v>
      </c>
      <c r="DT153" s="14">
        <f t="shared" si="315"/>
        <v>235575</v>
      </c>
      <c r="DU153" s="50">
        <f t="shared" si="217"/>
        <v>0.17824930917279305</v>
      </c>
      <c r="DW153" s="14">
        <f t="shared" si="246"/>
        <v>1321604</v>
      </c>
      <c r="EB153" s="14">
        <v>148</v>
      </c>
      <c r="EC153" s="51">
        <f t="shared" si="247"/>
        <v>19316</v>
      </c>
      <c r="ED153" s="51">
        <f t="shared" si="248"/>
        <v>1564</v>
      </c>
      <c r="EE153" s="51">
        <f>INT(SUMPRODUCT($N153:$R153,$BF153:$BJ153)/SUM($BF153:$BJ153)/10000*$BX$7*$BZ$46/'疲劳值&amp;地图信息'!$R$10*$BY$53)</f>
        <v>414</v>
      </c>
      <c r="EF153" s="50">
        <f t="shared" si="249"/>
        <v>0.90710998403306098</v>
      </c>
      <c r="EG153" s="50">
        <f t="shared" si="250"/>
        <v>7.3447919601765749E-2</v>
      </c>
      <c r="EH153" s="50">
        <f t="shared" si="251"/>
        <v>1.944209636517329E-2</v>
      </c>
      <c r="EI153" s="51">
        <f t="shared" si="252"/>
        <v>20768</v>
      </c>
      <c r="EJ153" s="51">
        <f t="shared" si="253"/>
        <v>2572</v>
      </c>
      <c r="EK153" s="14">
        <f>INT(SUMPRODUCT($U153:$Y153,$BF153:$BJ153)/SUM($BF153:$BJ153)/10000*$BX$7*$BZ$46/'疲劳值&amp;地图信息'!$R$10*$BY$54)</f>
        <v>778</v>
      </c>
      <c r="EL153" s="50">
        <f t="shared" si="254"/>
        <v>0.86109959366448297</v>
      </c>
      <c r="EM153" s="50">
        <f t="shared" si="255"/>
        <v>0.106642341819388</v>
      </c>
      <c r="EN153" s="50">
        <f t="shared" si="256"/>
        <v>3.2258064516129031E-2</v>
      </c>
      <c r="EO153" s="51">
        <f t="shared" si="257"/>
        <v>22165</v>
      </c>
      <c r="EP153" s="51">
        <f t="shared" si="258"/>
        <v>4518</v>
      </c>
      <c r="EQ153" s="14">
        <f>INT(SUMPRODUCT($AB153:$AF153,$BF153:$BJ153)/SUM($BF153:$BJ153)/10000*$BX$7*$BZ$46/'疲劳值&amp;地图信息'!$R$10*$BY$55)</f>
        <v>1056</v>
      </c>
      <c r="ER153" s="50">
        <f t="shared" si="259"/>
        <v>0.79905548145210714</v>
      </c>
      <c r="ES153" s="50">
        <f t="shared" si="260"/>
        <v>0.16287537402213489</v>
      </c>
      <c r="ET153" s="50">
        <f t="shared" si="261"/>
        <v>3.8069144525757957E-2</v>
      </c>
      <c r="EU153" s="51">
        <f t="shared" si="262"/>
        <v>25466</v>
      </c>
      <c r="EV153" s="51">
        <f t="shared" si="263"/>
        <v>12479</v>
      </c>
      <c r="EW153" s="14">
        <f>INT(SUMPRODUCT($AI153:$AM153,$BF153:$BJ153)/SUM($BF153:$BJ153)/10000*$BX$7*$BZ$46/'疲劳值&amp;地图信息'!$R$10*$BY$56)</f>
        <v>1584</v>
      </c>
      <c r="EX153" s="50">
        <f t="shared" si="264"/>
        <v>0.64423587745705679</v>
      </c>
      <c r="EY153" s="50">
        <f t="shared" si="265"/>
        <v>0.31569227655645221</v>
      </c>
      <c r="EZ153" s="50">
        <f t="shared" si="266"/>
        <v>4.0071845986490932E-2</v>
      </c>
      <c r="FA153" s="51">
        <f t="shared" si="267"/>
        <v>25785</v>
      </c>
      <c r="FB153" s="51">
        <f t="shared" si="268"/>
        <v>22593</v>
      </c>
      <c r="FC153" s="14">
        <f>INT(SUMPRODUCT($AP153:$AT153,$BF153:$BJ153)/SUM($BF153:$BJ153)/10000*$BX$7*$BZ$46/'疲劳值&amp;地图信息'!$R$10*$BY$57)</f>
        <v>2113</v>
      </c>
      <c r="FD153" s="50">
        <f t="shared" si="269"/>
        <v>0.51068507258719376</v>
      </c>
      <c r="FE153" s="50">
        <f t="shared" si="270"/>
        <v>0.44746588500920959</v>
      </c>
      <c r="FF153" s="50">
        <f t="shared" si="271"/>
        <v>4.184904240359668E-2</v>
      </c>
      <c r="FH153" s="14">
        <f t="shared" si="272"/>
        <v>21294</v>
      </c>
      <c r="FI153" s="14">
        <f t="shared" si="273"/>
        <v>24118</v>
      </c>
      <c r="FJ153" s="14">
        <f t="shared" si="274"/>
        <v>27739</v>
      </c>
      <c r="FK153" s="14">
        <f t="shared" si="275"/>
        <v>39529</v>
      </c>
      <c r="FL153" s="14">
        <f t="shared" si="276"/>
        <v>50491</v>
      </c>
      <c r="FM153" s="14">
        <f t="shared" si="277"/>
        <v>2494394</v>
      </c>
      <c r="FP153" s="14">
        <f t="shared" si="278"/>
        <v>334150</v>
      </c>
      <c r="FQ153" s="50">
        <f t="shared" si="218"/>
        <v>0.11813498393519775</v>
      </c>
      <c r="FS153" s="14">
        <f t="shared" si="279"/>
        <v>2828544</v>
      </c>
      <c r="FX153" s="14">
        <v>148</v>
      </c>
      <c r="FY153" s="51">
        <f t="shared" si="280"/>
        <v>27043</v>
      </c>
      <c r="FZ153" s="51">
        <f t="shared" si="281"/>
        <v>1564</v>
      </c>
      <c r="GA153" s="51">
        <f>INT(SUMPRODUCT($N153:$R153,$BF153:$BJ153)/SUM($BF153:$BJ153)/10000*$BX$7*$BZ$46/'疲劳值&amp;地图信息'!$R$10*$BY$53)</f>
        <v>414</v>
      </c>
      <c r="GB153" s="50">
        <f t="shared" si="282"/>
        <v>0.93184245890906581</v>
      </c>
      <c r="GC153" s="50">
        <f t="shared" si="283"/>
        <v>5.3892009234692118E-2</v>
      </c>
      <c r="GD153" s="50">
        <f t="shared" si="284"/>
        <v>1.4265531856242032E-2</v>
      </c>
      <c r="GE153" s="51">
        <f t="shared" si="285"/>
        <v>29075</v>
      </c>
      <c r="GF153" s="51">
        <f t="shared" si="286"/>
        <v>2572</v>
      </c>
      <c r="GG153" s="14">
        <f>INT(SUMPRODUCT($U153:$Y153,$BF153:$BJ153)/SUM($BF153:$BJ153)/10000*$BX$7*$BZ$46/'疲劳值&amp;地图信息'!$R$10*$BY$54)</f>
        <v>778</v>
      </c>
      <c r="GH153" s="50">
        <f t="shared" si="287"/>
        <v>0.89668465690053967</v>
      </c>
      <c r="GI153" s="50">
        <f t="shared" si="288"/>
        <v>7.9321511179645338E-2</v>
      </c>
      <c r="GJ153" s="50">
        <f t="shared" si="289"/>
        <v>2.3993831919814957E-2</v>
      </c>
      <c r="GK153" s="51">
        <f t="shared" si="290"/>
        <v>31032</v>
      </c>
      <c r="GL153" s="51">
        <f t="shared" si="291"/>
        <v>4518</v>
      </c>
      <c r="GM153" s="14">
        <f>INT(SUMPRODUCT($AB153:$AF153,$BF153:$BJ153)/SUM($BF153:$BJ153)/10000*$BX$7*$BZ$46/'疲劳值&amp;地图信息'!$R$10*$BY$55)</f>
        <v>1056</v>
      </c>
      <c r="GN153" s="50">
        <f t="shared" si="292"/>
        <v>0.84772988034748398</v>
      </c>
      <c r="GO153" s="50">
        <f t="shared" si="293"/>
        <v>0.1234223897721685</v>
      </c>
      <c r="GP153" s="50">
        <f t="shared" si="294"/>
        <v>2.8847729880347485E-2</v>
      </c>
      <c r="GQ153" s="51">
        <f t="shared" si="295"/>
        <v>35653</v>
      </c>
      <c r="GR153" s="51">
        <f t="shared" si="296"/>
        <v>12479</v>
      </c>
      <c r="GS153" s="14">
        <f>INT(SUMPRODUCT($AI153:$AM153,$BF153:$BJ153)/SUM($BF153:$BJ153)/10000*$BX$7*$BZ$46/'疲劳值&amp;地图信息'!$R$10*$BY$56)</f>
        <v>1584</v>
      </c>
      <c r="GT153" s="50">
        <f t="shared" si="297"/>
        <v>0.71713331724193419</v>
      </c>
      <c r="GU153" s="50">
        <f t="shared" si="298"/>
        <v>0.25100571244669723</v>
      </c>
      <c r="GV153" s="50">
        <f t="shared" si="299"/>
        <v>3.1860970311368572E-2</v>
      </c>
      <c r="GW153" s="51">
        <f t="shared" si="300"/>
        <v>36099</v>
      </c>
      <c r="GX153" s="51">
        <f t="shared" si="301"/>
        <v>22593</v>
      </c>
      <c r="GY153" s="14">
        <f>INT(SUMPRODUCT($AP153:$AT153,$BF153:$BJ153)/SUM($BF153:$BJ153)/10000*$BX$7*$BZ$46/'疲劳值&amp;地图信息'!$R$10*$BY$57)</f>
        <v>2113</v>
      </c>
      <c r="GZ153" s="50">
        <f t="shared" si="302"/>
        <v>0.59368472987418797</v>
      </c>
      <c r="HA153" s="50">
        <f t="shared" si="303"/>
        <v>0.37156483841789328</v>
      </c>
      <c r="HB153" s="50">
        <f t="shared" si="304"/>
        <v>3.4750431707918757E-2</v>
      </c>
      <c r="HD153" s="14">
        <f t="shared" si="305"/>
        <v>29021</v>
      </c>
      <c r="HE153" s="14">
        <f t="shared" si="306"/>
        <v>32425</v>
      </c>
      <c r="HF153" s="14">
        <f t="shared" si="307"/>
        <v>36606</v>
      </c>
      <c r="HG153" s="14">
        <f t="shared" si="308"/>
        <v>49716</v>
      </c>
      <c r="HH153" s="14">
        <f t="shared" si="309"/>
        <v>60805</v>
      </c>
      <c r="HI153" s="14">
        <f t="shared" si="310"/>
        <v>3349038</v>
      </c>
      <c r="HL153" s="14">
        <f t="shared" si="311"/>
        <v>430050</v>
      </c>
      <c r="HM153" s="50">
        <f t="shared" si="219"/>
        <v>0.11379729712565571</v>
      </c>
      <c r="HO153" s="14">
        <f t="shared" si="312"/>
        <v>3779088</v>
      </c>
    </row>
    <row r="154" spans="11:223" x14ac:dyDescent="0.2">
      <c r="K154" s="14">
        <v>149</v>
      </c>
      <c r="L154" s="12">
        <f>求节点(节奏总纲!D$4:D$163,标准城池设计!AB$4:AB$163,$K154)*求节点(节奏总纲!D$4:D$163,攻城基础信息!$AC$5:$AC$164,$K154)</f>
        <v>570488.21049325191</v>
      </c>
      <c r="M154" s="12">
        <f>INDEX(其他调用!$AA$5:$AA$404,MATCH(K154,其他调用!$X$5:$X$404,0))*MIN(INDEX(其他调用!$AH$5:$AH$364,MATCH('征服点（新）'!K154,其他调用!$AG$5:$AG$364,0),1)/INDEX(其他调用!$AJ$5:$AJ$364,MATCH(K154,其他调用!$AG$5:$AG$364,0),0),5)*求节点(节奏总纲!D$4:D$163,攻城基础信息!$AC$5:$AC$164,$K154)</f>
        <v>46165.564581477294</v>
      </c>
      <c r="N154" s="12">
        <f>MIN(INDEX(其他调用!$AH$5:$AH$364,MATCH($K154,其他调用!$AG$5:$AG$364,0),1)/INDEX(其他调用!AH$5:AH$364,MATCH($K154,其他调用!$AG$5:$AG$364,0),0),1)*INDEX(其他调用!Y$5:Y$404,MATCH($K154,其他调用!$X$5:$X$404,0),0)</f>
        <v>38435.442893918225</v>
      </c>
      <c r="O154" s="12">
        <f>MIN(INDEX(其他调用!$AH$5:$AH$364,MATCH($K154,其他调用!$AG$5:$AG$364,0),1)/INDEX(其他调用!AI$5:AI$364,MATCH($K154,其他调用!$AG$5:$AG$364,0),0),1)*INDEX(其他调用!Z$5:Z$404,MATCH($K154,其他调用!$X$5:$X$404,0),0)</f>
        <v>24083.396468306848</v>
      </c>
      <c r="P154" s="12">
        <f>MIN(INDEX(其他调用!$AH$5:$AH$364,MATCH($K154,其他调用!$AG$5:$AG$364,0),1)/INDEX(其他调用!AJ$5:AJ$364,MATCH($K154,其他调用!$AG$5:$AG$364,0),0),1)*INDEX(其他调用!AA$5:AA$404,MATCH($K154,其他调用!$X$5:$X$404,0),0)</f>
        <v>14236.75055842387</v>
      </c>
      <c r="Q154" s="12">
        <f>MIN(INDEX(其他调用!$AH$5:$AH$364,MATCH($K154,其他调用!$AG$5:$AG$364,0),1)/INDEX(其他调用!AK$5:AK$364,MATCH($K154,其他调用!$AG$5:$AG$364,0),0),1)*INDEX(其他调用!AB$5:AB$404,MATCH($K154,其他调用!$X$5:$X$404,0),0)</f>
        <v>5416.810216534569</v>
      </c>
      <c r="R154" s="12">
        <f>MIN(INDEX(其他调用!$AH$5:$AH$364,MATCH($K154,其他调用!$AG$5:$AG$364,0),1)/INDEX(其他调用!AL$5:AL$364,MATCH($K154,其他调用!$AG$5:$AG$364,0),0),1)*INDEX(其他调用!AC$5:AC$404,MATCH($K154,其他调用!$X$5:$X$404,0),0)</f>
        <v>1931.8589032017285</v>
      </c>
      <c r="S154" s="12">
        <f>求节点(节奏总纲!D$4:D$163,标准城池设计!AC$4:AC$163,$K154)*求节点(节奏总纲!D$4:D$163,攻城基础信息!$AD$5:$AD$164,$K154)</f>
        <v>613228.37953613442</v>
      </c>
      <c r="T154" s="12">
        <f>INDEX(其他调用!$AA$5:$AA$404,MATCH($K154,其他调用!$X$5:$X$404,0))*MIN(INDEX(其他调用!AI$5:AI$364,MATCH($K154,其他调用!$AG$5:$AG$364,0),1)/INDEX(其他调用!$AJ$5:$AJ$364,MATCH($K154,其他调用!$AG$5:$AG$364,0),0),5)*求节点(节奏总纲!D$4:D$163,攻城基础信息!$AD$5:$AD$164,$K154)</f>
        <v>75889.851668666583</v>
      </c>
      <c r="U154" s="12">
        <f>MIN(INDEX(其他调用!$AI$5:$AI$364,MATCH($K154,其他调用!$AG$5:$AG$364,0),1)/INDEX(其他调用!AH$5:AH$364,MATCH($K154,其他调用!$AG$5:$AG$364,0),0),1)*INDEX(其他调用!Y$5:Y$404,MATCH($K154,其他调用!$X$5:$X$404,0),0)</f>
        <v>38435.442893918225</v>
      </c>
      <c r="V154" s="12">
        <f>MIN(INDEX(其他调用!$AI$5:$AI$364,MATCH($K154,其他调用!$AG$5:$AG$364,0),1)/INDEX(其他调用!AI$5:AI$364,MATCH($K154,其他调用!$AG$5:$AG$364,0),0),1)*INDEX(其他调用!Z$5:Z$404,MATCH($K154,其他调用!$X$5:$X$404,0),0)</f>
        <v>39589.798201900587</v>
      </c>
      <c r="W154" s="12">
        <f>MIN(INDEX(其他调用!$AI$5:$AI$364,MATCH($K154,其他调用!$AG$5:$AG$364,0),1)/INDEX(其他调用!AJ$5:AJ$364,MATCH($K154,其他调用!$AG$5:$AG$364,0),0),1)*INDEX(其他调用!AA$5:AA$404,MATCH($K154,其他调用!$X$5:$X$404,0),0)</f>
        <v>23403.263837827846</v>
      </c>
      <c r="X154" s="12">
        <f>MIN(INDEX(其他调用!$AI$5:$AI$364,MATCH($K154,其他调用!$AG$5:$AG$364,0),1)/INDEX(其他调用!AK$5:AK$364,MATCH($K154,其他调用!$AG$5:$AG$364,0),0),1)*INDEX(其他调用!AB$5:AB$404,MATCH($K154,其他调用!$X$5:$X$404,0),0)</f>
        <v>8904.492505980561</v>
      </c>
      <c r="Y154" s="12">
        <f>MIN(INDEX(其他调用!$AI$5:$AI$364,MATCH($K154,其他调用!$AG$5:$AG$364,0),1)/INDEX(其他调用!AL$5:AL$364,MATCH($K154,其他调用!$AG$5:$AG$364,0),0),1)*INDEX(其他调用!AC$5:AC$404,MATCH($K154,其他调用!$X$5:$X$404,0),0)</f>
        <v>3175.7108775313195</v>
      </c>
      <c r="Z154" s="12">
        <f>求节点(节奏总纲!D$4:D$163,标准城池设计!AD$4:AD$163,$K154)*求节点(节奏总纲!D$4:D$163,攻城基础信息!$AE$5:$AE$164,$K154)</f>
        <v>654318.80075276282</v>
      </c>
      <c r="AA154" s="12">
        <f>INDEX(其他调用!$AA$5:$AA$404,MATCH($K154,其他调用!$X$5:$X$404,0))*MIN(INDEX(其他调用!AJ$5:AJ$364,MATCH($K154,其他调用!$AG$5:$AG$364,0),1)/INDEX(其他调用!$AJ$5:$AJ$364,MATCH($K154,其他调用!$AG$5:$AG$364,0),0),5)*求节点(节奏总纲!D$4:D$163,攻城基础信息!$AE$5:$AE$164,$K154)</f>
        <v>133275.56390110537</v>
      </c>
      <c r="AB154" s="12">
        <f>MIN(INDEX(其他调用!$AJ$5:$AJ$364,MATCH($K154,其他调用!$AG$5:$AG$364,0),1)/INDEX(其他调用!AH$5:AH$364,MATCH($K154,其他调用!$AG$5:$AG$364,0),0),1)*INDEX(其他调用!Y$5:Y$404,MATCH($K154,其他调用!$X$5:$X$404,0),0)</f>
        <v>38435.442893918225</v>
      </c>
      <c r="AC154" s="12">
        <f>MIN(INDEX(其他调用!$AJ$5:$AJ$364,MATCH($K154,其他调用!$AG$5:$AG$364,0),1)/INDEX(其他调用!AI$5:AI$364,MATCH($K154,其他调用!$AG$5:$AG$364,0),0),1)*INDEX(其他调用!Z$5:Z$404,MATCH($K154,其他调用!$X$5:$X$404,0),0)</f>
        <v>39589.798201900587</v>
      </c>
      <c r="AD154" s="12">
        <f>MIN(INDEX(其他调用!$AJ$5:$AJ$364,MATCH($K154,其他调用!$AG$5:$AG$364,0),1)/INDEX(其他调用!AJ$5:AJ$364,MATCH($K154,其他调用!$AG$5:$AG$364,0),0),1)*INDEX(其他调用!AA$5:AA$404,MATCH($K154,其他调用!$X$5:$X$404,0),0)</f>
        <v>41100.135479651515</v>
      </c>
      <c r="AE154" s="12">
        <f>MIN(INDEX(其他调用!$AJ$5:$AJ$364,MATCH($K154,其他调用!$AG$5:$AG$364,0),1)/INDEX(其他调用!AK$5:AK$364,MATCH($K154,其他调用!$AG$5:$AG$364,0),0),1)*INDEX(其他调用!AB$5:AB$404,MATCH($K154,其他调用!$X$5:$X$404,0),0)</f>
        <v>15637.812354266498</v>
      </c>
      <c r="AF154" s="12">
        <f>MIN(INDEX(其他调用!$AJ$5:$AJ$364,MATCH($K154,其他调用!$AG$5:$AG$364,0),1)/INDEX(其他调用!AL$5:AL$364,MATCH($K154,其他调用!$AG$5:$AG$364,0),0),1)*INDEX(其他调用!AC$5:AC$404,MATCH($K154,其他调用!$X$5:$X$404,0),0)</f>
        <v>5577.0916490618229</v>
      </c>
      <c r="AG154" s="12">
        <f>求节点(节奏总纲!D$4:D$163,标准城池设计!AE$4:AE$163,$K154)*求节点(节奏总纲!D$4:D$163,攻城基础信息!$AF$5:$AF$164,$K154)</f>
        <v>752866.00337036408</v>
      </c>
      <c r="AH154" s="12">
        <f>INDEX(其他调用!$AA$5:$AA$404,MATCH($K154,其他调用!$X$5:$X$404,0))*MIN(INDEX(其他调用!AK$5:AK$364,MATCH($K154,其他调用!$AG$5:$AG$364,0),1)/INDEX(其他调用!$AJ$5:$AJ$364,MATCH($K154,其他调用!$AG$5:$AG$364,0),0),5)*求节点(节奏总纲!D$4:D$163,攻城基础信息!$AF$5:$AF$164,$K154)</f>
        <v>369009.00518601685</v>
      </c>
      <c r="AI154" s="12">
        <f>MIN(INDEX(其他调用!$AK$5:$AK$364,MATCH($K154,其他调用!$AG$5:$AG$364,0),1)/INDEX(其他调用!AH$5:AH$364,MATCH($K154,其他调用!$AG$5:$AG$364,0),0),1)*INDEX(其他调用!Y$5:Y$404,MATCH($K154,其他调用!$X$5:$X$404,0),0)</f>
        <v>38435.442893918225</v>
      </c>
      <c r="AJ154" s="12">
        <f>MIN(INDEX(其他调用!$AK$5:$AK$364,MATCH($K154,其他调用!$AG$5:$AG$364,0),1)/INDEX(其他调用!AI$5:AI$364,MATCH($K154,其他调用!$AG$5:$AG$364,0),0),1)*INDEX(其他调用!Z$5:Z$404,MATCH($K154,其他调用!$X$5:$X$404,0),0)</f>
        <v>39589.798201900587</v>
      </c>
      <c r="AK154" s="12">
        <f>MIN(INDEX(其他调用!$AK$5:$AK$364,MATCH($K154,其他调用!$AG$5:$AG$364,0),1)/INDEX(其他调用!AJ$5:AJ$364,MATCH($K154,其他调用!$AG$5:$AG$364,0),0),1)*INDEX(其他调用!AA$5:AA$404,MATCH($K154,其他调用!$X$5:$X$404,0),0)</f>
        <v>41100.135479651515</v>
      </c>
      <c r="AL154" s="12">
        <f>MIN(INDEX(其他调用!$AK$5:$AK$364,MATCH($K154,其他调用!$AG$5:$AG$364,0),1)/INDEX(其他调用!AK$5:AK$364,MATCH($K154,其他调用!$AG$5:$AG$364,0),0),1)*INDEX(其他调用!AB$5:AB$404,MATCH($K154,其他调用!$X$5:$X$404,0),0)</f>
        <v>43297.461374204882</v>
      </c>
      <c r="AM154" s="12">
        <f>MIN(INDEX(其他调用!$AK$5:$AK$364,MATCH($K154,其他调用!$AG$5:$AG$364,0),1)/INDEX(其他调用!AL$5:AL$364,MATCH($K154,其他调用!$AG$5:$AG$364,0),0),1)*INDEX(其他调用!AC$5:AC$404,MATCH($K154,其他调用!$X$5:$X$404,0),0)</f>
        <v>15441.668232434893</v>
      </c>
      <c r="AN154" s="12">
        <f>求节点(节奏总纲!D$4:D$163,标准城池设计!AF$4:AF$163,$K154)*求节点(节奏总纲!D$4:D$163,攻城基础信息!$AG$5:$AG$164,$K154)</f>
        <v>762703.13294684736</v>
      </c>
      <c r="AO154" s="12">
        <f>INDEX(其他调用!$AA$5:$AA$404,MATCH($K154,其他调用!$X$5:$X$404,0))*MIN(INDEX(其他调用!AL$5:AL$364,MATCH($K154,其他调用!$AG$5:$AG$364,0),1)/INDEX(其他调用!$AJ$5:$AJ$364,MATCH($K154,其他调用!$AG$5:$AG$364,0),0),5)*求节点(节奏总纲!D$4:D$163,攻城基础信息!$AG$5:$AG$164,$K154)</f>
        <v>666377.81950552692</v>
      </c>
      <c r="AP154" s="12">
        <f>MIN(INDEX(其他调用!$AL$5:$AL$364,MATCH($K154,其他调用!$AG$5:$AG$364,0),1)/INDEX(其他调用!AH$5:AH$364,MATCH($K154,其他调用!$AG$5:$AG$364,0),0),1)*INDEX(其他调用!Y$5:Y$404,MATCH($K154,其他调用!$X$5:$X$404,0),0)</f>
        <v>38435.442893918225</v>
      </c>
      <c r="AQ154" s="12">
        <f>MIN(INDEX(其他调用!$AL$5:$AL$364,MATCH($K154,其他调用!$AG$5:$AG$364,0),1)/INDEX(其他调用!AI$5:AI$364,MATCH($K154,其他调用!$AG$5:$AG$364,0),0),1)*INDEX(其他调用!Z$5:Z$404,MATCH($K154,其他调用!$X$5:$X$404,0),0)</f>
        <v>39589.798201900587</v>
      </c>
      <c r="AR154" s="12">
        <f>MIN(INDEX(其他调用!$AL$5:$AL$364,MATCH($K154,其他调用!$AG$5:$AG$364,0),1)/INDEX(其他调用!AJ$5:AJ$364,MATCH($K154,其他调用!$AG$5:$AG$364,0),0),1)*INDEX(其他调用!AA$5:AA$404,MATCH($K154,其他调用!$X$5:$X$404,0),0)</f>
        <v>41100.135479651515</v>
      </c>
      <c r="AS154" s="12">
        <f>MIN(INDEX(其他调用!$AL$5:$AL$364,MATCH($K154,其他调用!$AG$5:$AG$364,0),1)/INDEX(其他调用!AK$5:AK$364,MATCH($K154,其他调用!$AG$5:$AG$364,0),0),1)*INDEX(其他调用!AB$5:AB$404,MATCH($K154,其他调用!$X$5:$X$404,0),0)</f>
        <v>43297.461374204882</v>
      </c>
      <c r="AT154" s="12">
        <f>MIN(INDEX(其他调用!$AL$5:$AL$364,MATCH($K154,其他调用!$AG$5:$AG$364,0),1)/INDEX(其他调用!AL$5:AL$364,MATCH($K154,其他调用!$AG$5:$AG$364,0),0),1)*INDEX(其他调用!AC$5:AC$404,MATCH($K154,其他调用!$X$5:$X$404,0),0)</f>
        <v>47224.90539665593</v>
      </c>
      <c r="AV154" s="14">
        <f>IF(OR(AV$5="大R",AV$5="超R"),MAX(INDEX(其他调用!$H$5:$L$404,MATCH($K154,其他调用!$B$5:$B$404,0),MATCH(AV$5,其他调用!$H$4:$L$4,0))*120*0.85,2),INDEX(其他调用!$H$5:$L$404,MATCH($K154,其他调用!$B$5:$B$404,0),MATCH(AV$5,其他调用!$H$4:$L$4,0))*120*0.85)</f>
        <v>48.921801254999991</v>
      </c>
      <c r="AW154" s="14">
        <f>IF(OR(AW$5="大R",AW$5="超R"),MAX(INDEX(其他调用!$H$5:$L$404,MATCH($K154,其他调用!$B$5:$B$404,0),MATCH(AW$5,其他调用!$H$4:$L$4,0))*120*0.85,2),INDEX(其他调用!$H$5:$L$404,MATCH($K154,其他调用!$B$5:$B$404,0),MATCH(AW$5,其他调用!$H$4:$L$4,0))*120*0.85)</f>
        <v>48.237344010638395</v>
      </c>
      <c r="AX154" s="14">
        <f>IF(OR(AX$5="大R",AX$5="超R"),MAX(INDEX(其他调用!$H$5:$L$404,MATCH($K154,其他调用!$B$5:$B$404,0),MATCH(AX$5,其他调用!$H$4:$L$4,0))*120*0.85,2),INDEX(其他调用!$H$5:$L$404,MATCH($K154,其他调用!$B$5:$B$404,0),MATCH(AX$5,其他调用!$H$4:$L$4,0))*120*0.85)</f>
        <v>3.9376284143615998</v>
      </c>
      <c r="AY154" s="14">
        <f>IF(OR(AY$5="大R",AY$5="超R"),MAX(INDEX(其他调用!$H$5:$L$404,MATCH($K154,其他调用!$B$5:$B$404,0),MATCH(AY$5,其他调用!$H$4:$L$4,0))*120*0.85,2),INDEX(其他调用!$H$5:$L$404,MATCH($K154,其他调用!$B$5:$B$404,0),MATCH(AY$5,其他调用!$H$4:$L$4,0))*120*0.85)</f>
        <v>2</v>
      </c>
      <c r="AZ154" s="14">
        <f>IF(OR(AZ$5="大R",AZ$5="超R"),MAX(INDEX(其他调用!$H$5:$L$404,MATCH($K154,其他调用!$B$5:$B$404,0),MATCH(AZ$5,其他调用!$H$4:$L$4,0))*120*0.85,2),INDEX(其他调用!$H$5:$L$404,MATCH($K154,其他调用!$B$5:$B$404,0),MATCH(AZ$5,其他调用!$H$4:$L$4,0))*120*0.85)</f>
        <v>2</v>
      </c>
      <c r="BA154" s="14">
        <f>INDEX(其他调用!$H$5:$L$404,MATCH($K154,其他调用!$B$5:$B$404,0),MATCH(BA$5,其他调用!$H$4:$L$4,0))*INDEX(其他调用!$M$5:$M$404,MATCH($K154,其他调用!$B$5:$B$404,0))*0.6</f>
        <v>28.777530149999997</v>
      </c>
      <c r="BB154" s="14">
        <f>INDEX(其他调用!$H$5:$L$404,MATCH($K154,其他调用!$B$5:$B$404,0),MATCH(BB$5,其他调用!$H$4:$L$4,0))*INDEX(其他调用!$M$5:$M$404,MATCH($K154,其他调用!$B$5:$B$404,0))*0.6</f>
        <v>28.374908241551999</v>
      </c>
      <c r="BC154" s="14">
        <f>INDEX(其他调用!$H$5:$L$404,MATCH($K154,其他调用!$B$5:$B$404,0),MATCH(BC$5,其他调用!$H$4:$L$4,0))*INDEX(其他调用!$M$5:$M$404,MATCH($K154,其他调用!$B$5:$B$404,0))*0.6</f>
        <v>2.3162520084480001</v>
      </c>
      <c r="BD154" s="14">
        <f>INDEX(其他调用!$H$5:$L$404,MATCH($K154,其他调用!$B$5:$B$404,0),MATCH(BD$5,其他调用!$H$4:$L$4,0))*INDEX(其他调用!$M$5:$M$404,MATCH($K154,其他调用!$B$5:$B$404,0))*0.6</f>
        <v>0.4120776000000001</v>
      </c>
      <c r="BE154" s="14">
        <f>INDEX(其他调用!$H$5:$L$404,MATCH($K154,其他调用!$B$5:$B$404,0),MATCH(BE$5,其他调用!$H$4:$L$4,0))*INDEX(其他调用!$M$5:$M$404,MATCH($K154,其他调用!$B$5:$B$404,0))*0.6</f>
        <v>0.11923199999999998</v>
      </c>
      <c r="BF154" s="14">
        <f>IF(OR(BF$5="大R",BF$5="超R"),0,INDEX(其他调用!$H$5:$L$404,MATCH($K154,其他调用!$B$5:$B$404,0),MATCH(BF$5,其他调用!$H$4:$L$4,0))*50*0.4)</f>
        <v>9.5925100500000013</v>
      </c>
      <c r="BG154" s="14">
        <f>IF(OR(BG$5="大R",BG$5="超R"),0,INDEX(其他调用!$H$5:$L$404,MATCH($K154,其他调用!$B$5:$B$404,0),MATCH(BG$5,其他调用!$H$4:$L$4,0))*50*0.4)</f>
        <v>9.4583027471839998</v>
      </c>
      <c r="BH154" s="14">
        <f>IF(OR(BH$5="大R",BH$5="超R"),0,INDEX(其他调用!$H$5:$L$404,MATCH($K154,其他调用!$B$5:$B$404,0),MATCH(BH$5,其他调用!$H$4:$L$4,0))*50*0.4)</f>
        <v>0.77208400281600009</v>
      </c>
      <c r="BI154" s="14">
        <f>IF(OR(BI$5="大R",BI$5="超R"),0,INDEX(其他调用!$H$5:$L$404,MATCH($K154,其他调用!$B$5:$B$404,0),MATCH(BI$5,其他调用!$H$4:$L$4,0))*50*0.4)</f>
        <v>0</v>
      </c>
      <c r="BJ154" s="14">
        <f>IF(OR(BJ$5="大R",BJ$5="超R"),0,INDEX(其他调用!$H$5:$L$404,MATCH($K154,其他调用!$B$5:$B$404,0),MATCH(BJ$5,其他调用!$H$4:$L$4,0))*50*0.4)</f>
        <v>0</v>
      </c>
      <c r="BL154" s="14">
        <f t="shared" si="313"/>
        <v>149</v>
      </c>
      <c r="BM154" s="14">
        <f t="shared" si="220"/>
        <v>96</v>
      </c>
      <c r="BN154" s="14">
        <f>('疲劳值&amp;地图信息'!$S$10*'疲劳值&amp;地图信息'!$R$10+'疲劳值&amp;地图信息'!$S$11*'疲劳值&amp;地图信息'!$R$11+'疲劳值&amp;地图信息'!$S$12*'疲劳值&amp;地图信息'!$R$12+(BM154-'疲劳值&amp;地图信息'!$S$12-'疲劳值&amp;地图信息'!$S$11-'疲劳值&amp;地图信息'!$S$10)*'疲劳值&amp;地图信息'!$R$13)/BM154</f>
        <v>51.371477246638619</v>
      </c>
      <c r="BO154" s="14">
        <f>INDEX(其他调用!$M$5:$M$404,MATCH(BL154,其他调用!$B$5:$B$404,0))*0.6</f>
        <v>60</v>
      </c>
      <c r="BP154" s="14">
        <f>IF(BO154&gt;SUM('疲劳值&amp;地图信息'!$S$10:$S$12),('疲劳值&amp;地图信息'!$S$10*'疲劳值&amp;地图信息'!$R$10+'疲劳值&amp;地图信息'!$S$11*'疲劳值&amp;地图信息'!$R$11+'疲劳值&amp;地图信息'!$S$12*'疲劳值&amp;地图信息'!$R$12+(BO154-'疲劳值&amp;地图信息'!$S$12-'疲劳值&amp;地图信息'!$S$11-'疲劳值&amp;地图信息'!$S$10)*'疲劳值&amp;地图信息'!$R$13)/BO154,('疲劳值&amp;地图信息'!$S$10*'疲劳值&amp;地图信息'!$R$10+'疲劳值&amp;地图信息'!$S$11*'疲劳值&amp;地图信息'!$R$11+'疲劳值&amp;地图信息'!$S$12*'疲劳值&amp;地图信息'!$R$12+(BO154-'疲劳值&amp;地图信息'!$S$12-'疲劳值&amp;地图信息'!$S$11-'疲劳值&amp;地图信息'!$S$10)*'疲劳值&amp;地图信息'!$R$13)/BO154)</f>
        <v>44.158136341605953</v>
      </c>
      <c r="BQ154" s="14">
        <f t="shared" si="314"/>
        <v>20</v>
      </c>
      <c r="BR154" s="14">
        <f>('疲劳值&amp;地图信息'!$S$10*'疲劳值&amp;地图信息'!$R$10+($BQ154-'疲劳值&amp;地图信息'!$S$10)*'疲劳值&amp;地图信息'!$R$11)/$BQ154</f>
        <v>32.067203015074995</v>
      </c>
      <c r="CF154" s="14">
        <v>149</v>
      </c>
      <c r="CG154" s="51">
        <f t="shared" si="221"/>
        <v>11627</v>
      </c>
      <c r="CH154" s="51">
        <f t="shared" si="222"/>
        <v>940</v>
      </c>
      <c r="CI154" s="51">
        <f>INT(SUMPRODUCT($N154:$R154,$BA154:$BE154)/SUM($BA154:$BE154)/10000*$BX$7*$BZ$34/'疲劳值&amp;地图信息'!$R$10*$BY$53)</f>
        <v>3086</v>
      </c>
      <c r="CJ154" s="50">
        <f t="shared" si="223"/>
        <v>0.74279690794096975</v>
      </c>
      <c r="CK154" s="50">
        <f t="shared" si="224"/>
        <v>6.0052386124065674E-2</v>
      </c>
      <c r="CL154" s="50">
        <f t="shared" si="225"/>
        <v>0.19715070593496453</v>
      </c>
      <c r="CM154" s="14">
        <f t="shared" si="226"/>
        <v>12498</v>
      </c>
      <c r="CN154" s="14">
        <f t="shared" si="227"/>
        <v>1546</v>
      </c>
      <c r="CO154" s="14">
        <f>INT(SUMPRODUCT($U154:$Y154,$BA154:$BE154)/SUM($BA154:$BE154)/10000*$BX$7*$BZ$34/'疲劳值&amp;地图信息'!$R$10*$BY$54)</f>
        <v>5803</v>
      </c>
      <c r="CP154" s="50">
        <f t="shared" si="228"/>
        <v>0.62971733763289162</v>
      </c>
      <c r="CQ154" s="50">
        <f t="shared" si="229"/>
        <v>7.7895903663022126E-2</v>
      </c>
      <c r="CR154" s="50">
        <f t="shared" si="230"/>
        <v>0.29238675870408626</v>
      </c>
      <c r="CS154" s="14">
        <f t="shared" si="231"/>
        <v>13335</v>
      </c>
      <c r="CT154" s="14">
        <f t="shared" si="232"/>
        <v>2716</v>
      </c>
      <c r="CU154" s="14">
        <f>INT(SUMPRODUCT($AB154:$AF154,$BA154:$BE154)/SUM($BA154:$BE154)/10000*$BX$7*$BZ$34/'疲劳值&amp;地图信息'!$R$10*$BY$55)</f>
        <v>7886</v>
      </c>
      <c r="CV154" s="50">
        <f t="shared" si="233"/>
        <v>0.55708735430505074</v>
      </c>
      <c r="CW154" s="50">
        <f t="shared" si="234"/>
        <v>0.11346451100806283</v>
      </c>
      <c r="CX154" s="50">
        <f t="shared" si="235"/>
        <v>0.32944813468688638</v>
      </c>
      <c r="CY154" s="14">
        <f t="shared" si="236"/>
        <v>15344</v>
      </c>
      <c r="CZ154" s="14">
        <f t="shared" si="237"/>
        <v>7520</v>
      </c>
      <c r="DA154" s="14">
        <f>INT(SUMPRODUCT($AI154:$AM154,$BA154:$BE154)/SUM($BA154:$BE154)/10000*$BX$7*$BZ$34/'疲劳值&amp;地图信息'!$R$10*$BY$56)</f>
        <v>11893</v>
      </c>
      <c r="DB154" s="50">
        <f t="shared" si="238"/>
        <v>0.44146502862732689</v>
      </c>
      <c r="DC154" s="50">
        <f t="shared" si="239"/>
        <v>0.21635929453059816</v>
      </c>
      <c r="DD154" s="50">
        <f t="shared" si="240"/>
        <v>0.34217567684207501</v>
      </c>
      <c r="DE154" s="14">
        <f t="shared" si="241"/>
        <v>15544</v>
      </c>
      <c r="DF154" s="14">
        <f t="shared" si="242"/>
        <v>13581</v>
      </c>
      <c r="DG154" s="14">
        <f>INT(SUMPRODUCT($AP154:$AT154,$BA154:$BE154)/SUM($BA154:$BE154)/10000*$BX$7*$BZ$34/'疲劳值&amp;地图信息'!$R$10*$BY$57)</f>
        <v>15883</v>
      </c>
      <c r="DH154" s="50">
        <f t="shared" si="243"/>
        <v>0.34536082474226804</v>
      </c>
      <c r="DI154" s="50">
        <f t="shared" si="244"/>
        <v>0.30174635620334161</v>
      </c>
      <c r="DJ154" s="50">
        <f t="shared" si="245"/>
        <v>0.35289281905439035</v>
      </c>
      <c r="DL154" s="14">
        <f t="shared" si="316"/>
        <v>15653</v>
      </c>
      <c r="DM154" s="14">
        <f t="shared" si="317"/>
        <v>19847</v>
      </c>
      <c r="DN154" s="14">
        <f t="shared" si="318"/>
        <v>23937</v>
      </c>
      <c r="DO154" s="14">
        <f t="shared" si="319"/>
        <v>34757</v>
      </c>
      <c r="DP154" s="14">
        <f t="shared" si="320"/>
        <v>45008</v>
      </c>
      <c r="DQ154" s="14">
        <f t="shared" si="321"/>
        <v>1088744</v>
      </c>
      <c r="DT154" s="14">
        <f t="shared" si="315"/>
        <v>235575</v>
      </c>
      <c r="DU154" s="50">
        <f t="shared" si="217"/>
        <v>0.17788387843110309</v>
      </c>
      <c r="DW154" s="14">
        <f t="shared" si="246"/>
        <v>1324319</v>
      </c>
      <c r="EB154" s="14">
        <v>149</v>
      </c>
      <c r="EC154" s="51">
        <f t="shared" si="247"/>
        <v>19378</v>
      </c>
      <c r="ED154" s="51">
        <f t="shared" si="248"/>
        <v>1568</v>
      </c>
      <c r="EE154" s="51">
        <f>INT(SUMPRODUCT($N154:$R154,$BF154:$BJ154)/SUM($BF154:$BJ154)/10000*$BX$7*$BZ$46/'疲劳值&amp;地图信息'!$R$10*$BY$53)</f>
        <v>414</v>
      </c>
      <c r="EF154" s="50">
        <f t="shared" si="249"/>
        <v>0.9072097378277153</v>
      </c>
      <c r="EG154" s="50">
        <f t="shared" si="250"/>
        <v>7.3408239700374536E-2</v>
      </c>
      <c r="EH154" s="50">
        <f t="shared" si="251"/>
        <v>1.9382022471910114E-2</v>
      </c>
      <c r="EI154" s="51">
        <f t="shared" si="252"/>
        <v>20830</v>
      </c>
      <c r="EJ154" s="51">
        <f t="shared" si="253"/>
        <v>2577</v>
      </c>
      <c r="EK154" s="14">
        <f>INT(SUMPRODUCT($U154:$Y154,$BF154:$BJ154)/SUM($BF154:$BJ154)/10000*$BX$7*$BZ$46/'疲劳值&amp;地图信息'!$R$10*$BY$54)</f>
        <v>779</v>
      </c>
      <c r="EL154" s="50">
        <f t="shared" si="254"/>
        <v>0.86124204085007861</v>
      </c>
      <c r="EM154" s="50">
        <f t="shared" si="255"/>
        <v>0.10654924336392954</v>
      </c>
      <c r="EN154" s="50">
        <f t="shared" si="256"/>
        <v>3.2208715785991895E-2</v>
      </c>
      <c r="EO154" s="51">
        <f t="shared" si="257"/>
        <v>22226</v>
      </c>
      <c r="EP154" s="51">
        <f t="shared" si="258"/>
        <v>4527</v>
      </c>
      <c r="EQ154" s="14">
        <f>INT(SUMPRODUCT($AB154:$AF154,$BF154:$BJ154)/SUM($BF154:$BJ154)/10000*$BX$7*$BZ$46/'疲劳值&amp;地图信息'!$R$10*$BY$55)</f>
        <v>1057</v>
      </c>
      <c r="ER154" s="50">
        <f t="shared" si="259"/>
        <v>0.7992089176555196</v>
      </c>
      <c r="ES154" s="50">
        <f t="shared" si="260"/>
        <v>0.16278317152103561</v>
      </c>
      <c r="ET154" s="50">
        <f t="shared" si="261"/>
        <v>3.8007910823444804E-2</v>
      </c>
      <c r="EU154" s="51">
        <f t="shared" si="262"/>
        <v>25573</v>
      </c>
      <c r="EV154" s="51">
        <f t="shared" si="263"/>
        <v>12534</v>
      </c>
      <c r="EW154" s="14">
        <f>INT(SUMPRODUCT($AI154:$AM154,$BF154:$BJ154)/SUM($BF154:$BJ154)/10000*$BX$7*$BZ$46/'疲劳值&amp;地图信息'!$R$10*$BY$56)</f>
        <v>1586</v>
      </c>
      <c r="EX154" s="50">
        <f t="shared" si="264"/>
        <v>0.6442697704884992</v>
      </c>
      <c r="EY154" s="50">
        <f t="shared" si="265"/>
        <v>0.31577356208903334</v>
      </c>
      <c r="EZ154" s="50">
        <f t="shared" si="266"/>
        <v>3.9956667422467437E-2</v>
      </c>
      <c r="FA154" s="51">
        <f t="shared" si="267"/>
        <v>25908</v>
      </c>
      <c r="FB154" s="51">
        <f t="shared" si="268"/>
        <v>22636</v>
      </c>
      <c r="FC154" s="14">
        <f>INT(SUMPRODUCT($AP154:$AT154,$BF154:$BJ154)/SUM($BF154:$BJ154)/10000*$BX$7*$BZ$46/'疲劳值&amp;地图信息'!$R$10*$BY$57)</f>
        <v>2115</v>
      </c>
      <c r="FD154" s="50">
        <f t="shared" si="269"/>
        <v>0.51141949110720697</v>
      </c>
      <c r="FE154" s="50">
        <f t="shared" si="270"/>
        <v>0.44683077044552794</v>
      </c>
      <c r="FF154" s="50">
        <f t="shared" si="271"/>
        <v>4.1749738447265046E-2</v>
      </c>
      <c r="FH154" s="14">
        <f t="shared" si="272"/>
        <v>21360</v>
      </c>
      <c r="FI154" s="14">
        <f t="shared" si="273"/>
        <v>24186</v>
      </c>
      <c r="FJ154" s="14">
        <f t="shared" si="274"/>
        <v>27810</v>
      </c>
      <c r="FK154" s="14">
        <f t="shared" si="275"/>
        <v>39693</v>
      </c>
      <c r="FL154" s="14">
        <f t="shared" si="276"/>
        <v>50659</v>
      </c>
      <c r="FM154" s="14">
        <f t="shared" si="277"/>
        <v>2501847</v>
      </c>
      <c r="FP154" s="14">
        <f t="shared" si="278"/>
        <v>334150</v>
      </c>
      <c r="FQ154" s="50">
        <f t="shared" si="218"/>
        <v>0.11782452520224809</v>
      </c>
      <c r="FS154" s="14">
        <f t="shared" si="279"/>
        <v>2835997</v>
      </c>
      <c r="FX154" s="14">
        <v>149</v>
      </c>
      <c r="FY154" s="51">
        <f t="shared" si="280"/>
        <v>27130</v>
      </c>
      <c r="FZ154" s="51">
        <f t="shared" si="281"/>
        <v>1568</v>
      </c>
      <c r="GA154" s="51">
        <f>INT(SUMPRODUCT($N154:$R154,$BF154:$BJ154)/SUM($BF154:$BJ154)/10000*$BX$7*$BZ$46/'疲劳值&amp;地图信息'!$R$10*$BY$53)</f>
        <v>414</v>
      </c>
      <c r="GB154" s="50">
        <f t="shared" si="282"/>
        <v>0.93191810937070618</v>
      </c>
      <c r="GC154" s="50">
        <f t="shared" si="283"/>
        <v>5.3860950810662271E-2</v>
      </c>
      <c r="GD154" s="50">
        <f t="shared" si="284"/>
        <v>1.4220939818631493E-2</v>
      </c>
      <c r="GE154" s="51">
        <f t="shared" si="285"/>
        <v>29162</v>
      </c>
      <c r="GF154" s="51">
        <f t="shared" si="286"/>
        <v>2577</v>
      </c>
      <c r="GG154" s="14">
        <f>INT(SUMPRODUCT($U154:$Y154,$BF154:$BJ154)/SUM($BF154:$BJ154)/10000*$BX$7*$BZ$46/'疲劳值&amp;地图信息'!$R$10*$BY$54)</f>
        <v>779</v>
      </c>
      <c r="GH154" s="50">
        <f t="shared" si="287"/>
        <v>0.89679562088689346</v>
      </c>
      <c r="GI154" s="50">
        <f t="shared" si="288"/>
        <v>7.9248416261762711E-2</v>
      </c>
      <c r="GJ154" s="50">
        <f t="shared" si="289"/>
        <v>2.3955962851343871E-2</v>
      </c>
      <c r="GK154" s="51">
        <f t="shared" si="290"/>
        <v>31117</v>
      </c>
      <c r="GL154" s="51">
        <f t="shared" si="291"/>
        <v>4527</v>
      </c>
      <c r="GM154" s="14">
        <f>INT(SUMPRODUCT($AB154:$AF154,$BF154:$BJ154)/SUM($BF154:$BJ154)/10000*$BX$7*$BZ$46/'疲劳值&amp;地图信息'!$R$10*$BY$55)</f>
        <v>1057</v>
      </c>
      <c r="GN154" s="50">
        <f t="shared" si="292"/>
        <v>0.84785155717827854</v>
      </c>
      <c r="GO154" s="50">
        <f t="shared" si="293"/>
        <v>0.12334813765292499</v>
      </c>
      <c r="GP154" s="50">
        <f t="shared" si="294"/>
        <v>2.8800305168796489E-2</v>
      </c>
      <c r="GQ154" s="51">
        <f t="shared" si="295"/>
        <v>35803</v>
      </c>
      <c r="GR154" s="51">
        <f t="shared" si="296"/>
        <v>12534</v>
      </c>
      <c r="GS154" s="14">
        <f>INT(SUMPRODUCT($AI154:$AM154,$BF154:$BJ154)/SUM($BF154:$BJ154)/10000*$BX$7*$BZ$46/'疲劳值&amp;地图信息'!$R$10*$BY$56)</f>
        <v>1586</v>
      </c>
      <c r="GT154" s="50">
        <f t="shared" si="297"/>
        <v>0.71716443322716983</v>
      </c>
      <c r="GU154" s="50">
        <f t="shared" si="298"/>
        <v>0.25106664262964967</v>
      </c>
      <c r="GV154" s="50">
        <f t="shared" si="299"/>
        <v>3.1768924143180499E-2</v>
      </c>
      <c r="GW154" s="51">
        <f t="shared" si="300"/>
        <v>36271</v>
      </c>
      <c r="GX154" s="51">
        <f t="shared" si="301"/>
        <v>22636</v>
      </c>
      <c r="GY154" s="14">
        <f>INT(SUMPRODUCT($AP154:$AT154,$BF154:$BJ154)/SUM($BF154:$BJ154)/10000*$BX$7*$BZ$46/'疲劳值&amp;地图信息'!$R$10*$BY$57)</f>
        <v>2115</v>
      </c>
      <c r="GZ154" s="50">
        <f t="shared" si="302"/>
        <v>0.59439218642456815</v>
      </c>
      <c r="HA154" s="50">
        <f t="shared" si="303"/>
        <v>0.37094818262266066</v>
      </c>
      <c r="HB154" s="50">
        <f t="shared" si="304"/>
        <v>3.465963095277113E-2</v>
      </c>
      <c r="HD154" s="14">
        <f t="shared" si="305"/>
        <v>29112</v>
      </c>
      <c r="HE154" s="14">
        <f t="shared" si="306"/>
        <v>32518</v>
      </c>
      <c r="HF154" s="14">
        <f t="shared" si="307"/>
        <v>36701</v>
      </c>
      <c r="HG154" s="14">
        <f t="shared" si="308"/>
        <v>49923</v>
      </c>
      <c r="HH154" s="14">
        <f t="shared" si="309"/>
        <v>61022</v>
      </c>
      <c r="HI154" s="14">
        <f t="shared" si="310"/>
        <v>3359198</v>
      </c>
      <c r="HL154" s="14">
        <f t="shared" si="311"/>
        <v>430050</v>
      </c>
      <c r="HM154" s="50">
        <f t="shared" si="219"/>
        <v>0.11349217575624504</v>
      </c>
      <c r="HO154" s="14">
        <f t="shared" si="312"/>
        <v>3789248</v>
      </c>
    </row>
    <row r="155" spans="11:223" x14ac:dyDescent="0.2">
      <c r="K155" s="14">
        <v>150</v>
      </c>
      <c r="L155" s="12">
        <f>求节点(节奏总纲!D$4:D$163,标准城池设计!AB$4:AB$163,$K155)*求节点(节奏总纲!D$4:D$163,攻城基础信息!$AC$5:$AC$164,$K155)</f>
        <v>572310.92539248953</v>
      </c>
      <c r="M155" s="12">
        <f>INDEX(其他调用!$AA$5:$AA$404,MATCH(K155,其他调用!$X$5:$X$404,0))*MIN(INDEX(其他调用!$AH$5:$AH$364,MATCH('征服点（新）'!K155,其他调用!$AG$5:$AG$364,0),1)/INDEX(其他调用!$AJ$5:$AJ$364,MATCH(K155,其他调用!$AG$5:$AG$364,0),0),5)*求节点(节奏总纲!D$4:D$163,攻城基础信息!$AC$5:$AC$164,$K155)</f>
        <v>46265.022167804738</v>
      </c>
      <c r="N155" s="12">
        <f>MIN(INDEX(其他调用!$AH$5:$AH$364,MATCH($K155,其他调用!$AG$5:$AG$364,0),1)/INDEX(其他调用!AH$5:AH$364,MATCH($K155,其他调用!$AG$5:$AG$364,0),0),1)*INDEX(其他调用!Y$5:Y$404,MATCH($K155,其他调用!$X$5:$X$404,0),0)</f>
        <v>38474.32710537377</v>
      </c>
      <c r="O155" s="12">
        <f>MIN(INDEX(其他调用!$AH$5:$AH$364,MATCH($K155,其他调用!$AG$5:$AG$364,0),1)/INDEX(其他调用!AI$5:AI$364,MATCH($K155,其他调用!$AG$5:$AG$364,0),0),1)*INDEX(其他调用!Z$5:Z$404,MATCH($K155,其他调用!$X$5:$X$404,0),0)</f>
        <v>24111.112306973835</v>
      </c>
      <c r="P155" s="12">
        <f>MIN(INDEX(其他调用!$AH$5:$AH$364,MATCH($K155,其他调用!$AG$5:$AG$364,0),1)/INDEX(其他调用!AJ$5:AJ$364,MATCH($K155,其他调用!$AG$5:$AG$364,0),0),1)*INDEX(其他调用!AA$5:AA$404,MATCH($K155,其他调用!$X$5:$X$404,0),0)</f>
        <v>14253.537759992631</v>
      </c>
      <c r="Q155" s="12">
        <f>MIN(INDEX(其他调用!$AH$5:$AH$364,MATCH($K155,其他调用!$AG$5:$AG$364,0),1)/INDEX(其他调用!AK$5:AK$364,MATCH($K155,其他调用!$AG$5:$AG$364,0),0),1)*INDEX(其他调用!AB$5:AB$404,MATCH($K155,其他调用!$X$5:$X$404,0),0)</f>
        <v>5410.0036759272452</v>
      </c>
      <c r="R155" s="12">
        <f>MIN(INDEX(其他调用!$AH$5:$AH$364,MATCH($K155,其他调用!$AG$5:$AG$364,0),1)/INDEX(其他调用!AL$5:AL$364,MATCH($K155,其他调用!$AG$5:$AG$364,0),0),1)*INDEX(其他调用!AC$5:AC$404,MATCH($K155,其他调用!$X$5:$X$404,0),0)</f>
        <v>1940.6987695470598</v>
      </c>
      <c r="S155" s="12">
        <f>求节点(节奏总纲!D$4:D$163,标准城池设计!AC$4:AC$163,$K155)*求节点(节奏总纲!D$4:D$163,攻城基础信息!$AD$5:$AD$164,$K155)</f>
        <v>615064.74682266556</v>
      </c>
      <c r="T155" s="12">
        <f>INDEX(其他调用!$AA$5:$AA$404,MATCH($K155,其他调用!$X$5:$X$404,0))*MIN(INDEX(其他调用!AI$5:AI$364,MATCH($K155,其他调用!$AG$5:$AG$364,0),1)/INDEX(其他调用!$AJ$5:$AJ$364,MATCH($K155,其他调用!$AG$5:$AG$364,0),0),5)*求节点(节奏总纲!D$4:D$163,攻城基础信息!$AD$5:$AD$164,$K155)</f>
        <v>76037.623577378588</v>
      </c>
      <c r="U155" s="12">
        <f>MIN(INDEX(其他调用!$AI$5:$AI$364,MATCH($K155,其他调用!$AG$5:$AG$364,0),1)/INDEX(其他调用!AH$5:AH$364,MATCH($K155,其他调用!$AG$5:$AG$364,0),0),1)*INDEX(其他调用!Y$5:Y$404,MATCH($K155,其他调用!$X$5:$X$404,0),0)</f>
        <v>38474.32710537377</v>
      </c>
      <c r="V155" s="12">
        <f>MIN(INDEX(其他调用!$AI$5:$AI$364,MATCH($K155,其他调用!$AG$5:$AG$364,0),1)/INDEX(其他调用!AI$5:AI$364,MATCH($K155,其他调用!$AG$5:$AG$364,0),0),1)*INDEX(其他调用!Z$5:Z$404,MATCH($K155,其他调用!$X$5:$X$404,0),0)</f>
        <v>39627.165312489218</v>
      </c>
      <c r="W155" s="12">
        <f>MIN(INDEX(其他调用!$AI$5:$AI$364,MATCH($K155,其他调用!$AG$5:$AG$364,0),1)/INDEX(其他调用!AJ$5:AJ$364,MATCH($K155,其他调用!$AG$5:$AG$364,0),0),1)*INDEX(其他调用!AA$5:AA$404,MATCH($K155,其他调用!$X$5:$X$404,0),0)</f>
        <v>23426.015768657264</v>
      </c>
      <c r="X155" s="12">
        <f>MIN(INDEX(其他调用!$AI$5:$AI$364,MATCH($K155,其他调用!$AG$5:$AG$364,0),1)/INDEX(其他调用!AK$5:AK$364,MATCH($K155,其他调用!$AG$5:$AG$364,0),0),1)*INDEX(其他调用!AB$5:AB$404,MATCH($K155,其他调用!$X$5:$X$404,0),0)</f>
        <v>8891.4649510025174</v>
      </c>
      <c r="Y155" s="12">
        <f>MIN(INDEX(其他调用!$AI$5:$AI$364,MATCH($K155,其他调用!$AG$5:$AG$364,0),1)/INDEX(其他调用!AL$5:AL$364,MATCH($K155,其他调用!$AG$5:$AG$364,0),0),1)*INDEX(其他调用!AC$5:AC$404,MATCH($K155,其他调用!$X$5:$X$404,0),0)</f>
        <v>3189.5828771177071</v>
      </c>
      <c r="Z155" s="12">
        <f>求节点(节奏总纲!D$4:D$163,标准城池设计!AD$4:AD$163,$K155)*求节点(节奏总纲!D$4:D$163,攻城基础信息!$AE$5:$AE$164,$K155)</f>
        <v>656101.62418239412</v>
      </c>
      <c r="AA155" s="12">
        <f>INDEX(其他调用!$AA$5:$AA$404,MATCH($K155,其他调用!$X$5:$X$404,0))*MIN(INDEX(其他调用!AJ$5:AJ$364,MATCH($K155,其他调用!$AG$5:$AG$364,0),1)/INDEX(其他调用!$AJ$5:$AJ$364,MATCH($K155,其他调用!$AG$5:$AG$364,0),0),5)*求节点(节奏总纲!D$4:D$163,攻城基础信息!$AE$5:$AE$164,$K155)</f>
        <v>133525.70595310125</v>
      </c>
      <c r="AB155" s="12">
        <f>MIN(INDEX(其他调用!$AJ$5:$AJ$364,MATCH($K155,其他调用!$AG$5:$AG$364,0),1)/INDEX(其他调用!AH$5:AH$364,MATCH($K155,其他调用!$AG$5:$AG$364,0),0),1)*INDEX(其他调用!Y$5:Y$404,MATCH($K155,其他调用!$X$5:$X$404,0),0)</f>
        <v>38474.32710537377</v>
      </c>
      <c r="AC155" s="12">
        <f>MIN(INDEX(其他调用!$AJ$5:$AJ$364,MATCH($K155,其他调用!$AG$5:$AG$364,0),1)/INDEX(其他调用!AI$5:AI$364,MATCH($K155,其他调用!$AG$5:$AG$364,0),0),1)*INDEX(其他调用!Z$5:Z$404,MATCH($K155,其他调用!$X$5:$X$404,0),0)</f>
        <v>39627.165312489218</v>
      </c>
      <c r="AD155" s="12">
        <f>MIN(INDEX(其他调用!$AJ$5:$AJ$364,MATCH($K155,其他调用!$AG$5:$AG$364,0),1)/INDEX(其他调用!AJ$5:AJ$364,MATCH($K155,其他调用!$AG$5:$AG$364,0),0),1)*INDEX(其他调用!AA$5:AA$404,MATCH($K155,其他调用!$X$5:$X$404,0),0)</f>
        <v>41137.20479435163</v>
      </c>
      <c r="AE155" s="12">
        <f>MIN(INDEX(其他调用!$AJ$5:$AJ$364,MATCH($K155,其他调用!$AG$5:$AG$364,0),1)/INDEX(其他调用!AK$5:AK$364,MATCH($K155,其他调用!$AG$5:$AG$364,0),0),1)*INDEX(其他调用!AB$5:AB$404,MATCH($K155,其他调用!$X$5:$X$404,0),0)</f>
        <v>15613.8379749821</v>
      </c>
      <c r="AF155" s="12">
        <f>MIN(INDEX(其他调用!$AJ$5:$AJ$364,MATCH($K155,其他调用!$AG$5:$AG$364,0),1)/INDEX(其他调用!AL$5:AL$364,MATCH($K155,其他调用!$AG$5:$AG$364,0),0),1)*INDEX(其他调用!AC$5:AC$404,MATCH($K155,其他调用!$X$5:$X$404,0),0)</f>
        <v>5601.0601768697243</v>
      </c>
      <c r="AG155" s="12">
        <f>求节点(节奏总纲!D$4:D$163,标准城池设计!AE$4:AE$163,$K155)*求节点(节奏总纲!D$4:D$163,攻城基础信息!$AF$5:$AF$164,$K155)</f>
        <v>756031.31349322258</v>
      </c>
      <c r="AH155" s="12">
        <f>INDEX(其他调用!$AA$5:$AA$404,MATCH($K155,其他调用!$X$5:$X$404,0))*MIN(INDEX(其他调用!AK$5:AK$364,MATCH($K155,其他调用!$AG$5:$AG$364,0),1)/INDEX(其他调用!$AJ$5:$AJ$364,MATCH($K155,其他调用!$AG$5:$AG$364,0),0),5)*求节点(节奏总纲!D$4:D$163,攻城基础信息!$AF$5:$AF$164,$K155)</f>
        <v>370618.45459551591</v>
      </c>
      <c r="AI155" s="12">
        <f>MIN(INDEX(其他调用!$AK$5:$AK$364,MATCH($K155,其他调用!$AG$5:$AG$364,0),1)/INDEX(其他调用!AH$5:AH$364,MATCH($K155,其他调用!$AG$5:$AG$364,0),0),1)*INDEX(其他调用!Y$5:Y$404,MATCH($K155,其他调用!$X$5:$X$404,0),0)</f>
        <v>38474.32710537377</v>
      </c>
      <c r="AJ155" s="12">
        <f>MIN(INDEX(其他调用!$AK$5:$AK$364,MATCH($K155,其他调用!$AG$5:$AG$364,0),1)/INDEX(其他调用!AI$5:AI$364,MATCH($K155,其他调用!$AG$5:$AG$364,0),0),1)*INDEX(其他调用!Z$5:Z$404,MATCH($K155,其他调用!$X$5:$X$404,0),0)</f>
        <v>39627.165312489218</v>
      </c>
      <c r="AK155" s="12">
        <f>MIN(INDEX(其他调用!$AK$5:$AK$364,MATCH($K155,其他调用!$AG$5:$AG$364,0),1)/INDEX(其他调用!AJ$5:AJ$364,MATCH($K155,其他调用!$AG$5:$AG$364,0),0),1)*INDEX(其他调用!AA$5:AA$404,MATCH($K155,其他调用!$X$5:$X$404,0),0)</f>
        <v>41137.20479435163</v>
      </c>
      <c r="AL155" s="12">
        <f>MIN(INDEX(其他调用!$AK$5:$AK$364,MATCH($K155,其他调用!$AG$5:$AG$364,0),1)/INDEX(其他调用!AK$5:AK$364,MATCH($K155,其他调用!$AG$5:$AG$364,0),0),1)*INDEX(其他调用!AB$5:AB$404,MATCH($K155,其他调用!$X$5:$X$404,0),0)</f>
        <v>43338.295493641934</v>
      </c>
      <c r="AM155" s="12">
        <f>MIN(INDEX(其他调用!$AK$5:$AK$364,MATCH($K155,其他调用!$AG$5:$AG$364,0),1)/INDEX(其他调用!AL$5:AL$364,MATCH($K155,其他调用!$AG$5:$AG$364,0),0),1)*INDEX(其他调用!AC$5:AC$404,MATCH($K155,其他调用!$X$5:$X$404,0),0)</f>
        <v>15546.491606470558</v>
      </c>
      <c r="AN155" s="12">
        <f>求节点(节奏总纲!D$4:D$163,标准城池设计!AF$4:AF$163,$K155)*求节点(节奏总纲!D$4:D$163,攻城基础信息!$AG$5:$AG$164,$K155)</f>
        <v>766333.30515084742</v>
      </c>
      <c r="AO155" s="12">
        <f>INDEX(其他调用!$AA$5:$AA$404,MATCH($K155,其他调用!$X$5:$X$404,0))*MIN(INDEX(其他调用!AL$5:AL$364,MATCH($K155,其他调用!$AG$5:$AG$364,0),1)/INDEX(其他调用!$AJ$5:$AJ$364,MATCH($K155,其他调用!$AG$5:$AG$364,0),0),5)*求节点(节奏总纲!D$4:D$163,攻城基础信息!$AG$5:$AG$164,$K155)</f>
        <v>667628.52976550627</v>
      </c>
      <c r="AP155" s="12">
        <f>MIN(INDEX(其他调用!$AL$5:$AL$364,MATCH($K155,其他调用!$AG$5:$AG$364,0),1)/INDEX(其他调用!AH$5:AH$364,MATCH($K155,其他调用!$AG$5:$AG$364,0),0),1)*INDEX(其他调用!Y$5:Y$404,MATCH($K155,其他调用!$X$5:$X$404,0),0)</f>
        <v>38474.32710537377</v>
      </c>
      <c r="AQ155" s="12">
        <f>MIN(INDEX(其他调用!$AL$5:$AL$364,MATCH($K155,其他调用!$AG$5:$AG$364,0),1)/INDEX(其他调用!AI$5:AI$364,MATCH($K155,其他调用!$AG$5:$AG$364,0),0),1)*INDEX(其他调用!Z$5:Z$404,MATCH($K155,其他调用!$X$5:$X$404,0),0)</f>
        <v>39627.165312489218</v>
      </c>
      <c r="AR155" s="12">
        <f>MIN(INDEX(其他调用!$AL$5:$AL$364,MATCH($K155,其他调用!$AG$5:$AG$364,0),1)/INDEX(其他调用!AJ$5:AJ$364,MATCH($K155,其他调用!$AG$5:$AG$364,0),0),1)*INDEX(其他调用!AA$5:AA$404,MATCH($K155,其他调用!$X$5:$X$404,0),0)</f>
        <v>41137.20479435163</v>
      </c>
      <c r="AS155" s="12">
        <f>MIN(INDEX(其他调用!$AL$5:$AL$364,MATCH($K155,其他调用!$AG$5:$AG$364,0),1)/INDEX(其他调用!AK$5:AK$364,MATCH($K155,其他调用!$AG$5:$AG$364,0),0),1)*INDEX(其他调用!AB$5:AB$404,MATCH($K155,其他调用!$X$5:$X$404,0),0)</f>
        <v>43338.295493641934</v>
      </c>
      <c r="AT155" s="12">
        <f>MIN(INDEX(其他调用!$AL$5:$AL$364,MATCH($K155,其他调用!$AG$5:$AG$364,0),1)/INDEX(其他调用!AL$5:AL$364,MATCH($K155,其他调用!$AG$5:$AG$364,0),0),1)*INDEX(其他调用!AC$5:AC$404,MATCH($K155,其他调用!$X$5:$X$404,0),0)</f>
        <v>47264.935724089417</v>
      </c>
      <c r="AV155" s="14">
        <f>IF(OR(AV$5="大R",AV$5="超R"),MAX(INDEX(其他调用!$H$5:$L$404,MATCH($K155,其他调用!$B$5:$B$404,0),MATCH(AV$5,其他调用!$H$4:$L$4,0))*120*0.85,2),INDEX(其他调用!$H$5:$L$404,MATCH($K155,其他调用!$B$5:$B$404,0),MATCH(AV$5,其他调用!$H$4:$L$4,0))*120*0.85)</f>
        <v>48.921801254999991</v>
      </c>
      <c r="AW155" s="14">
        <f>IF(OR(AW$5="大R",AW$5="超R"),MAX(INDEX(其他调用!$H$5:$L$404,MATCH($K155,其他调用!$B$5:$B$404,0),MATCH(AW$5,其他调用!$H$4:$L$4,0))*120*0.85,2),INDEX(其他调用!$H$5:$L$404,MATCH($K155,其他调用!$B$5:$B$404,0),MATCH(AW$5,其他调用!$H$4:$L$4,0))*120*0.85)</f>
        <v>48.237344010638395</v>
      </c>
      <c r="AX155" s="14">
        <f>IF(OR(AX$5="大R",AX$5="超R"),MAX(INDEX(其他调用!$H$5:$L$404,MATCH($K155,其他调用!$B$5:$B$404,0),MATCH(AX$5,其他调用!$H$4:$L$4,0))*120*0.85,2),INDEX(其他调用!$H$5:$L$404,MATCH($K155,其他调用!$B$5:$B$404,0),MATCH(AX$5,其他调用!$H$4:$L$4,0))*120*0.85)</f>
        <v>3.9376284143615998</v>
      </c>
      <c r="AY155" s="14">
        <f>IF(OR(AY$5="大R",AY$5="超R"),MAX(INDEX(其他调用!$H$5:$L$404,MATCH($K155,其他调用!$B$5:$B$404,0),MATCH(AY$5,其他调用!$H$4:$L$4,0))*120*0.85,2),INDEX(其他调用!$H$5:$L$404,MATCH($K155,其他调用!$B$5:$B$404,0),MATCH(AY$5,其他调用!$H$4:$L$4,0))*120*0.85)</f>
        <v>2</v>
      </c>
      <c r="AZ155" s="14">
        <f>IF(OR(AZ$5="大R",AZ$5="超R"),MAX(INDEX(其他调用!$H$5:$L$404,MATCH($K155,其他调用!$B$5:$B$404,0),MATCH(AZ$5,其他调用!$H$4:$L$4,0))*120*0.85,2),INDEX(其他调用!$H$5:$L$404,MATCH($K155,其他调用!$B$5:$B$404,0),MATCH(AZ$5,其他调用!$H$4:$L$4,0))*120*0.85)</f>
        <v>2</v>
      </c>
      <c r="BA155" s="14">
        <f>INDEX(其他调用!$H$5:$L$404,MATCH($K155,其他调用!$B$5:$B$404,0),MATCH(BA$5,其他调用!$H$4:$L$4,0))*INDEX(其他调用!$M$5:$M$404,MATCH($K155,其他调用!$B$5:$B$404,0))*0.6</f>
        <v>28.777530149999997</v>
      </c>
      <c r="BB155" s="14">
        <f>INDEX(其他调用!$H$5:$L$404,MATCH($K155,其他调用!$B$5:$B$404,0),MATCH(BB$5,其他调用!$H$4:$L$4,0))*INDEX(其他调用!$M$5:$M$404,MATCH($K155,其他调用!$B$5:$B$404,0))*0.6</f>
        <v>28.374908241551999</v>
      </c>
      <c r="BC155" s="14">
        <f>INDEX(其他调用!$H$5:$L$404,MATCH($K155,其他调用!$B$5:$B$404,0),MATCH(BC$5,其他调用!$H$4:$L$4,0))*INDEX(其他调用!$M$5:$M$404,MATCH($K155,其他调用!$B$5:$B$404,0))*0.6</f>
        <v>2.3162520084480001</v>
      </c>
      <c r="BD155" s="14">
        <f>INDEX(其他调用!$H$5:$L$404,MATCH($K155,其他调用!$B$5:$B$404,0),MATCH(BD$5,其他调用!$H$4:$L$4,0))*INDEX(其他调用!$M$5:$M$404,MATCH($K155,其他调用!$B$5:$B$404,0))*0.6</f>
        <v>0.4120776000000001</v>
      </c>
      <c r="BE155" s="14">
        <f>INDEX(其他调用!$H$5:$L$404,MATCH($K155,其他调用!$B$5:$B$404,0),MATCH(BE$5,其他调用!$H$4:$L$4,0))*INDEX(其他调用!$M$5:$M$404,MATCH($K155,其他调用!$B$5:$B$404,0))*0.6</f>
        <v>0.11923199999999998</v>
      </c>
      <c r="BF155" s="14">
        <f>IF(OR(BF$5="大R",BF$5="超R"),0,INDEX(其他调用!$H$5:$L$404,MATCH($K155,其他调用!$B$5:$B$404,0),MATCH(BF$5,其他调用!$H$4:$L$4,0))*50*0.4)</f>
        <v>9.5925100500000013</v>
      </c>
      <c r="BG155" s="14">
        <f>IF(OR(BG$5="大R",BG$5="超R"),0,INDEX(其他调用!$H$5:$L$404,MATCH($K155,其他调用!$B$5:$B$404,0),MATCH(BG$5,其他调用!$H$4:$L$4,0))*50*0.4)</f>
        <v>9.4583027471839998</v>
      </c>
      <c r="BH155" s="14">
        <f>IF(OR(BH$5="大R",BH$5="超R"),0,INDEX(其他调用!$H$5:$L$404,MATCH($K155,其他调用!$B$5:$B$404,0),MATCH(BH$5,其他调用!$H$4:$L$4,0))*50*0.4)</f>
        <v>0.77208400281600009</v>
      </c>
      <c r="BI155" s="14">
        <f>IF(OR(BI$5="大R",BI$5="超R"),0,INDEX(其他调用!$H$5:$L$404,MATCH($K155,其他调用!$B$5:$B$404,0),MATCH(BI$5,其他调用!$H$4:$L$4,0))*50*0.4)</f>
        <v>0</v>
      </c>
      <c r="BJ155" s="14">
        <f>IF(OR(BJ$5="大R",BJ$5="超R"),0,INDEX(其他调用!$H$5:$L$404,MATCH($K155,其他调用!$B$5:$B$404,0),MATCH(BJ$5,其他调用!$H$4:$L$4,0))*50*0.4)</f>
        <v>0</v>
      </c>
      <c r="BL155" s="14">
        <f t="shared" si="313"/>
        <v>150</v>
      </c>
      <c r="BM155" s="14">
        <f t="shared" si="220"/>
        <v>96</v>
      </c>
      <c r="BN155" s="14">
        <f>('疲劳值&amp;地图信息'!$S$10*'疲劳值&amp;地图信息'!$R$10+'疲劳值&amp;地图信息'!$S$11*'疲劳值&amp;地图信息'!$R$11+'疲劳值&amp;地图信息'!$S$12*'疲劳值&amp;地图信息'!$R$12+(BM155-'疲劳值&amp;地图信息'!$S$12-'疲劳值&amp;地图信息'!$S$11-'疲劳值&amp;地图信息'!$S$10)*'疲劳值&amp;地图信息'!$R$13)/BM155</f>
        <v>51.371477246638619</v>
      </c>
      <c r="BO155" s="14">
        <f>INDEX(其他调用!$M$5:$M$404,MATCH(BL155,其他调用!$B$5:$B$404,0))*0.6</f>
        <v>60</v>
      </c>
      <c r="BP155" s="14">
        <f>IF(BO155&gt;SUM('疲劳值&amp;地图信息'!$S$10:$S$12),('疲劳值&amp;地图信息'!$S$10*'疲劳值&amp;地图信息'!$R$10+'疲劳值&amp;地图信息'!$S$11*'疲劳值&amp;地图信息'!$R$11+'疲劳值&amp;地图信息'!$S$12*'疲劳值&amp;地图信息'!$R$12+(BO155-'疲劳值&amp;地图信息'!$S$12-'疲劳值&amp;地图信息'!$S$11-'疲劳值&amp;地图信息'!$S$10)*'疲劳值&amp;地图信息'!$R$13)/BO155,('疲劳值&amp;地图信息'!$S$10*'疲劳值&amp;地图信息'!$R$10+'疲劳值&amp;地图信息'!$S$11*'疲劳值&amp;地图信息'!$R$11+'疲劳值&amp;地图信息'!$S$12*'疲劳值&amp;地图信息'!$R$12+(BO155-'疲劳值&amp;地图信息'!$S$12-'疲劳值&amp;地图信息'!$S$11-'疲劳值&amp;地图信息'!$S$10)*'疲劳值&amp;地图信息'!$R$13)/BO155)</f>
        <v>44.158136341605953</v>
      </c>
      <c r="BQ155" s="14">
        <f t="shared" si="314"/>
        <v>20</v>
      </c>
      <c r="BR155" s="14">
        <f>('疲劳值&amp;地图信息'!$S$10*'疲劳值&amp;地图信息'!$R$10+($BQ155-'疲劳值&amp;地图信息'!$S$10)*'疲劳值&amp;地图信息'!$R$11)/$BQ155</f>
        <v>32.067203015074995</v>
      </c>
      <c r="CF155" s="14">
        <v>150</v>
      </c>
      <c r="CG155" s="51">
        <f t="shared" si="221"/>
        <v>11664</v>
      </c>
      <c r="CH155" s="51">
        <f t="shared" si="222"/>
        <v>942</v>
      </c>
      <c r="CI155" s="51">
        <f>INT(SUMPRODUCT($N155:$R155,$BA155:$BE155)/SUM($BA155:$BE155)/10000*$BX$7*$BZ$34/'疲劳值&amp;地图信息'!$R$10*$BY$53)</f>
        <v>3089</v>
      </c>
      <c r="CJ155" s="50">
        <f t="shared" si="223"/>
        <v>0.74316661357120106</v>
      </c>
      <c r="CK155" s="50">
        <f t="shared" si="224"/>
        <v>6.0019114367633006E-2</v>
      </c>
      <c r="CL155" s="50">
        <f t="shared" si="225"/>
        <v>0.19681427206116597</v>
      </c>
      <c r="CM155" s="14">
        <f t="shared" si="226"/>
        <v>12535</v>
      </c>
      <c r="CN155" s="14">
        <f t="shared" si="227"/>
        <v>1549</v>
      </c>
      <c r="CO155" s="14">
        <f>INT(SUMPRODUCT($U155:$Y155,$BA155:$BE155)/SUM($BA155:$BE155)/10000*$BX$7*$BZ$34/'疲劳值&amp;地图信息'!$R$10*$BY$54)</f>
        <v>5808</v>
      </c>
      <c r="CP155" s="50">
        <f t="shared" si="228"/>
        <v>0.6301528252563845</v>
      </c>
      <c r="CQ155" s="50">
        <f t="shared" si="229"/>
        <v>7.7870500703800527E-2</v>
      </c>
      <c r="CR155" s="50">
        <f t="shared" si="230"/>
        <v>0.29197667403981498</v>
      </c>
      <c r="CS155" s="14">
        <f t="shared" si="231"/>
        <v>13372</v>
      </c>
      <c r="CT155" s="14">
        <f t="shared" si="232"/>
        <v>2721</v>
      </c>
      <c r="CU155" s="14">
        <f>INT(SUMPRODUCT($AB155:$AF155,$BA155:$BE155)/SUM($BA155:$BE155)/10000*$BX$7*$BZ$34/'疲劳值&amp;地图信息'!$R$10*$BY$55)</f>
        <v>7894</v>
      </c>
      <c r="CV155" s="50">
        <f t="shared" si="233"/>
        <v>0.55746862884062198</v>
      </c>
      <c r="CW155" s="50">
        <f t="shared" si="234"/>
        <v>0.11343644474090132</v>
      </c>
      <c r="CX155" s="50">
        <f t="shared" si="235"/>
        <v>0.32909492641847665</v>
      </c>
      <c r="CY155" s="14">
        <f t="shared" si="236"/>
        <v>15408</v>
      </c>
      <c r="CZ155" s="14">
        <f t="shared" si="237"/>
        <v>7553</v>
      </c>
      <c r="DA155" s="14">
        <f>INT(SUMPRODUCT($AI155:$AM155,$BA155:$BE155)/SUM($BA155:$BE155)/10000*$BX$7*$BZ$34/'疲劳值&amp;地图信息'!$R$10*$BY$56)</f>
        <v>11905</v>
      </c>
      <c r="DB155" s="50">
        <f t="shared" si="238"/>
        <v>0.44192049561177077</v>
      </c>
      <c r="DC155" s="50">
        <f t="shared" si="239"/>
        <v>0.21662938105891125</v>
      </c>
      <c r="DD155" s="50">
        <f t="shared" si="240"/>
        <v>0.34145012332931796</v>
      </c>
      <c r="DE155" s="14">
        <f t="shared" si="241"/>
        <v>15618</v>
      </c>
      <c r="DF155" s="14">
        <f t="shared" si="242"/>
        <v>13607</v>
      </c>
      <c r="DG155" s="14">
        <f>INT(SUMPRODUCT($AP155:$AT155,$BA155:$BE155)/SUM($BA155:$BE155)/10000*$BX$7*$BZ$34/'疲劳值&amp;地图信息'!$R$10*$BY$57)</f>
        <v>15899</v>
      </c>
      <c r="DH155" s="50">
        <f t="shared" si="243"/>
        <v>0.34611293325059833</v>
      </c>
      <c r="DI155" s="50">
        <f t="shared" si="244"/>
        <v>0.30154684868362736</v>
      </c>
      <c r="DJ155" s="50">
        <f t="shared" si="245"/>
        <v>0.35234021806577431</v>
      </c>
      <c r="DL155" s="14">
        <f t="shared" si="316"/>
        <v>15695</v>
      </c>
      <c r="DM155" s="14">
        <f t="shared" si="317"/>
        <v>19892</v>
      </c>
      <c r="DN155" s="14">
        <f t="shared" si="318"/>
        <v>23987</v>
      </c>
      <c r="DO155" s="14">
        <f t="shared" si="319"/>
        <v>34866</v>
      </c>
      <c r="DP155" s="14">
        <f t="shared" si="320"/>
        <v>45124</v>
      </c>
      <c r="DQ155" s="14">
        <f t="shared" si="321"/>
        <v>1091404</v>
      </c>
      <c r="DT155" s="14">
        <f t="shared" si="315"/>
        <v>235575</v>
      </c>
      <c r="DU155" s="50">
        <f t="shared" si="217"/>
        <v>0.17752730073347053</v>
      </c>
      <c r="DW155" s="14">
        <f t="shared" si="246"/>
        <v>1326979</v>
      </c>
      <c r="EB155" s="14">
        <v>150</v>
      </c>
      <c r="EC155" s="51">
        <f t="shared" si="247"/>
        <v>19440</v>
      </c>
      <c r="ED155" s="51">
        <f t="shared" si="248"/>
        <v>1571</v>
      </c>
      <c r="EE155" s="51">
        <f>INT(SUMPRODUCT($N155:$R155,$BF155:$BJ155)/SUM($BF155:$BJ155)/10000*$BX$7*$BZ$46/'疲劳值&amp;地图信息'!$R$10*$BY$53)</f>
        <v>415</v>
      </c>
      <c r="EF155" s="50">
        <f t="shared" si="249"/>
        <v>0.90730887706524788</v>
      </c>
      <c r="EG155" s="50">
        <f t="shared" si="250"/>
        <v>7.3322131989172035E-2</v>
      </c>
      <c r="EH155" s="50">
        <f t="shared" si="251"/>
        <v>1.9368990945580138E-2</v>
      </c>
      <c r="EI155" s="51">
        <f t="shared" si="252"/>
        <v>20893</v>
      </c>
      <c r="EJ155" s="51">
        <f t="shared" si="253"/>
        <v>2582</v>
      </c>
      <c r="EK155" s="14">
        <f>INT(SUMPRODUCT($U155:$Y155,$BF155:$BJ155)/SUM($BF155:$BJ155)/10000*$BX$7*$BZ$46/'疲劳值&amp;地图信息'!$R$10*$BY$54)</f>
        <v>780</v>
      </c>
      <c r="EL155" s="50">
        <f t="shared" si="254"/>
        <v>0.86138940424654709</v>
      </c>
      <c r="EM155" s="50">
        <f t="shared" si="255"/>
        <v>0.10645227788084931</v>
      </c>
      <c r="EN155" s="50">
        <f t="shared" si="256"/>
        <v>3.2158317872603585E-2</v>
      </c>
      <c r="EO155" s="51">
        <f t="shared" si="257"/>
        <v>22287</v>
      </c>
      <c r="EP155" s="51">
        <f t="shared" si="258"/>
        <v>4535</v>
      </c>
      <c r="EQ155" s="14">
        <f>INT(SUMPRODUCT($AB155:$AF155,$BF155:$BJ155)/SUM($BF155:$BJ155)/10000*$BX$7*$BZ$46/'疲劳值&amp;地图信息'!$R$10*$BY$55)</f>
        <v>1058</v>
      </c>
      <c r="ER155" s="50">
        <f t="shared" si="259"/>
        <v>0.79939024390243907</v>
      </c>
      <c r="ES155" s="50">
        <f t="shared" si="260"/>
        <v>0.16266140602582496</v>
      </c>
      <c r="ET155" s="50">
        <f t="shared" si="261"/>
        <v>3.7948350071736012E-2</v>
      </c>
      <c r="EU155" s="51">
        <f t="shared" si="262"/>
        <v>25681</v>
      </c>
      <c r="EV155" s="51">
        <f t="shared" si="263"/>
        <v>12589</v>
      </c>
      <c r="EW155" s="14">
        <f>INT(SUMPRODUCT($AI155:$AM155,$BF155:$BJ155)/SUM($BF155:$BJ155)/10000*$BX$7*$BZ$46/'疲劳值&amp;地图信息'!$R$10*$BY$56)</f>
        <v>1588</v>
      </c>
      <c r="EX155" s="50">
        <f t="shared" si="264"/>
        <v>0.64431230869587031</v>
      </c>
      <c r="EY155" s="50">
        <f t="shared" si="265"/>
        <v>0.31584625420241857</v>
      </c>
      <c r="EZ155" s="50">
        <f t="shared" si="266"/>
        <v>3.9841437101711077E-2</v>
      </c>
      <c r="FA155" s="51">
        <f t="shared" si="267"/>
        <v>26031</v>
      </c>
      <c r="FB155" s="51">
        <f t="shared" si="268"/>
        <v>22678</v>
      </c>
      <c r="FC155" s="14">
        <f>INT(SUMPRODUCT($AP155:$AT155,$BF155:$BJ155)/SUM($BF155:$BJ155)/10000*$BX$7*$BZ$46/'疲劳值&amp;地图信息'!$R$10*$BY$57)</f>
        <v>2117</v>
      </c>
      <c r="FD155" s="50">
        <f t="shared" si="269"/>
        <v>0.51215913115334666</v>
      </c>
      <c r="FE155" s="50">
        <f t="shared" si="270"/>
        <v>0.44618895840711448</v>
      </c>
      <c r="FF155" s="50">
        <f t="shared" si="271"/>
        <v>4.1651910439538815E-2</v>
      </c>
      <c r="FH155" s="14">
        <f t="shared" si="272"/>
        <v>21426</v>
      </c>
      <c r="FI155" s="14">
        <f t="shared" si="273"/>
        <v>24255</v>
      </c>
      <c r="FJ155" s="14">
        <f t="shared" si="274"/>
        <v>27880</v>
      </c>
      <c r="FK155" s="14">
        <f t="shared" si="275"/>
        <v>39858</v>
      </c>
      <c r="FL155" s="14">
        <f t="shared" si="276"/>
        <v>50826</v>
      </c>
      <c r="FM155" s="14">
        <f t="shared" si="277"/>
        <v>2509344</v>
      </c>
      <c r="FP155" s="14">
        <f t="shared" si="278"/>
        <v>334150</v>
      </c>
      <c r="FQ155" s="50">
        <f t="shared" si="218"/>
        <v>0.11751387553481737</v>
      </c>
      <c r="FS155" s="14">
        <f t="shared" si="279"/>
        <v>2843494</v>
      </c>
      <c r="FX155" s="14">
        <v>150</v>
      </c>
      <c r="FY155" s="51">
        <f t="shared" si="280"/>
        <v>27217</v>
      </c>
      <c r="FZ155" s="51">
        <f t="shared" si="281"/>
        <v>1571</v>
      </c>
      <c r="GA155" s="51">
        <f>INT(SUMPRODUCT($N155:$R155,$BF155:$BJ155)/SUM($BF155:$BJ155)/10000*$BX$7*$BZ$46/'疲劳值&amp;地图信息'!$R$10*$BY$53)</f>
        <v>415</v>
      </c>
      <c r="GB155" s="50">
        <f t="shared" si="282"/>
        <v>0.93199328836078488</v>
      </c>
      <c r="GC155" s="50">
        <f t="shared" si="283"/>
        <v>5.3795842892853475E-2</v>
      </c>
      <c r="GD155" s="50">
        <f t="shared" si="284"/>
        <v>1.4210868746361675E-2</v>
      </c>
      <c r="GE155" s="51">
        <f t="shared" si="285"/>
        <v>29250</v>
      </c>
      <c r="GF155" s="51">
        <f t="shared" si="286"/>
        <v>2582</v>
      </c>
      <c r="GG155" s="14">
        <f>INT(SUMPRODUCT($U155:$Y155,$BF155:$BJ155)/SUM($BF155:$BJ155)/10000*$BX$7*$BZ$46/'疲劳值&amp;地图信息'!$R$10*$BY$54)</f>
        <v>780</v>
      </c>
      <c r="GH155" s="50">
        <f t="shared" si="287"/>
        <v>0.89690911320986144</v>
      </c>
      <c r="GI155" s="50">
        <f t="shared" si="288"/>
        <v>7.9173310437875635E-2</v>
      </c>
      <c r="GJ155" s="50">
        <f t="shared" si="289"/>
        <v>2.3917576352262972E-2</v>
      </c>
      <c r="GK155" s="51">
        <f t="shared" si="290"/>
        <v>31201</v>
      </c>
      <c r="GL155" s="51">
        <f t="shared" si="291"/>
        <v>4535</v>
      </c>
      <c r="GM155" s="14">
        <f>INT(SUMPRODUCT($AB155:$AF155,$BF155:$BJ155)/SUM($BF155:$BJ155)/10000*$BX$7*$BZ$46/'疲劳值&amp;地图信息'!$R$10*$BY$55)</f>
        <v>1058</v>
      </c>
      <c r="GN155" s="50">
        <f t="shared" si="292"/>
        <v>0.84799152035657988</v>
      </c>
      <c r="GO155" s="50">
        <f t="shared" si="293"/>
        <v>0.12325379137902918</v>
      </c>
      <c r="GP155" s="50">
        <f t="shared" si="294"/>
        <v>2.8754688264390933E-2</v>
      </c>
      <c r="GQ155" s="51">
        <f t="shared" si="295"/>
        <v>35954</v>
      </c>
      <c r="GR155" s="51">
        <f t="shared" si="296"/>
        <v>12589</v>
      </c>
      <c r="GS155" s="14">
        <f>INT(SUMPRODUCT($AI155:$AM155,$BF155:$BJ155)/SUM($BF155:$BJ155)/10000*$BX$7*$BZ$46/'疲劳值&amp;地图信息'!$R$10*$BY$56)</f>
        <v>1588</v>
      </c>
      <c r="GT155" s="50">
        <f t="shared" si="297"/>
        <v>0.71720093355408832</v>
      </c>
      <c r="GU155" s="50">
        <f t="shared" si="298"/>
        <v>0.25112206020227007</v>
      </c>
      <c r="GV155" s="50">
        <f t="shared" si="299"/>
        <v>3.1677006243641656E-2</v>
      </c>
      <c r="GW155" s="51">
        <f t="shared" si="300"/>
        <v>36444</v>
      </c>
      <c r="GX155" s="51">
        <f t="shared" si="301"/>
        <v>22678</v>
      </c>
      <c r="GY155" s="14">
        <f>INT(SUMPRODUCT($AP155:$AT155,$BF155:$BJ155)/SUM($BF155:$BJ155)/10000*$BX$7*$BZ$46/'疲劳值&amp;地图信息'!$R$10*$BY$57)</f>
        <v>2117</v>
      </c>
      <c r="GZ155" s="50">
        <f t="shared" si="302"/>
        <v>0.59511095870278741</v>
      </c>
      <c r="HA155" s="50">
        <f t="shared" si="303"/>
        <v>0.37031956759581314</v>
      </c>
      <c r="HB155" s="50">
        <f t="shared" si="304"/>
        <v>3.4569473701399435E-2</v>
      </c>
      <c r="HD155" s="14">
        <f t="shared" si="305"/>
        <v>29203</v>
      </c>
      <c r="HE155" s="14">
        <f t="shared" si="306"/>
        <v>32612</v>
      </c>
      <c r="HF155" s="14">
        <f t="shared" si="307"/>
        <v>36794</v>
      </c>
      <c r="HG155" s="14">
        <f t="shared" si="308"/>
        <v>50131</v>
      </c>
      <c r="HH155" s="14">
        <f t="shared" si="309"/>
        <v>61239</v>
      </c>
      <c r="HI155" s="14">
        <f t="shared" si="310"/>
        <v>3369400</v>
      </c>
      <c r="HL155" s="14">
        <f t="shared" si="311"/>
        <v>430050</v>
      </c>
      <c r="HM155" s="50">
        <f t="shared" si="219"/>
        <v>0.11318743502349024</v>
      </c>
      <c r="HO155" s="14">
        <f t="shared" si="312"/>
        <v>3799450</v>
      </c>
    </row>
    <row r="156" spans="11:223" x14ac:dyDescent="0.2">
      <c r="K156" s="14">
        <v>151</v>
      </c>
      <c r="L156" s="12">
        <f>求节点(节奏总纲!D$4:D$163,标准城池设计!AB$4:AB$163,$K156)*求节点(节奏总纲!D$4:D$163,攻城基础信息!$AC$5:$AC$164,$K156)</f>
        <v>574136.10622557392</v>
      </c>
      <c r="M156" s="12">
        <f>INDEX(其他调用!$AA$5:$AA$404,MATCH(K156,其他调用!$X$5:$X$404,0))*MIN(INDEX(其他调用!$AH$5:$AH$364,MATCH('征服点（新）'!K156,其他调用!$AG$5:$AG$364,0),1)/INDEX(其他调用!$AJ$5:$AJ$364,MATCH(K156,其他调用!$AG$5:$AG$364,0),0),5)*求节点(节奏总纲!D$4:D$163,攻城基础信息!$AC$5:$AC$164,$K156)</f>
        <v>46364.343486352212</v>
      </c>
      <c r="N156" s="12">
        <f>MIN(INDEX(其他调用!$AH$5:$AH$364,MATCH($K156,其他调用!$AG$5:$AG$364,0),1)/INDEX(其他调用!AH$5:AH$364,MATCH($K156,其他调用!$AG$5:$AG$364,0),0),1)*INDEX(其他调用!Y$5:Y$404,MATCH($K156,其他调用!$X$5:$X$404,0),0)</f>
        <v>38513.211316829314</v>
      </c>
      <c r="O156" s="12">
        <f>MIN(INDEX(其他调用!$AH$5:$AH$364,MATCH($K156,其他调用!$AG$5:$AG$364,0),1)/INDEX(其他调用!AI$5:AI$364,MATCH($K156,其他调用!$AG$5:$AG$364,0),0),1)*INDEX(其他调用!Z$5:Z$404,MATCH($K156,其他调用!$X$5:$X$404,0),0)</f>
        <v>24138.733685758772</v>
      </c>
      <c r="P156" s="12">
        <f>MIN(INDEX(其他调用!$AH$5:$AH$364,MATCH($K156,其他调用!$AG$5:$AG$364,0),1)/INDEX(其他调用!AJ$5:AJ$364,MATCH($K156,其他调用!$AG$5:$AG$364,0),0),1)*INDEX(其他调用!AA$5:AA$404,MATCH($K156,其他调用!$X$5:$X$404,0),0)</f>
        <v>14270.250380041256</v>
      </c>
      <c r="Q156" s="12">
        <f>MIN(INDEX(其他调用!$AH$5:$AH$364,MATCH($K156,其他调用!$AG$5:$AG$364,0),1)/INDEX(其他调用!AK$5:AK$364,MATCH($K156,其他调用!$AG$5:$AG$364,0),0),1)*INDEX(其他调用!AB$5:AB$404,MATCH($K156,其他调用!$X$5:$X$404,0),0)</f>
        <v>5403.6702378263481</v>
      </c>
      <c r="R156" s="12">
        <f>MIN(INDEX(其他调用!$AH$5:$AH$364,MATCH($K156,其他调用!$AG$5:$AG$364,0),1)/INDEX(其他调用!AL$5:AL$364,MATCH($K156,其他调用!$AG$5:$AG$364,0),0),1)*INDEX(其他调用!AC$5:AC$404,MATCH($K156,其他调用!$X$5:$X$404,0),0)</f>
        <v>1949.4500881842243</v>
      </c>
      <c r="S156" s="12">
        <f>求节点(节奏总纲!D$4:D$163,标准城池设计!AC$4:AC$163,$K156)*求节点(节奏总纲!D$4:D$163,攻城基础信息!$AD$5:$AD$164,$K156)</f>
        <v>616903.52558759879</v>
      </c>
      <c r="T156" s="12">
        <f>INDEX(其他调用!$AA$5:$AA$404,MATCH($K156,其他调用!$X$5:$X$404,0))*MIN(INDEX(其他调用!AI$5:AI$364,MATCH($K156,其他调用!$AG$5:$AG$364,0),1)/INDEX(其他调用!$AJ$5:$AJ$364,MATCH($K156,其他调用!$AG$5:$AG$364,0),0),5)*求节点(节奏总纲!D$4:D$163,攻城基础信息!$AD$5:$AD$164,$K156)</f>
        <v>76185.438284780874</v>
      </c>
      <c r="U156" s="12">
        <f>MIN(INDEX(其他调用!$AI$5:$AI$364,MATCH($K156,其他调用!$AG$5:$AG$364,0),1)/INDEX(其他调用!AH$5:AH$364,MATCH($K156,其他调用!$AG$5:$AG$364,0),0),1)*INDEX(其他调用!Y$5:Y$404,MATCH($K156,其他调用!$X$5:$X$404,0),0)</f>
        <v>38513.211316829314</v>
      </c>
      <c r="V156" s="12">
        <f>MIN(INDEX(其他调用!$AI$5:$AI$364,MATCH($K156,其他调用!$AG$5:$AG$364,0),1)/INDEX(其他调用!AI$5:AI$364,MATCH($K156,其他调用!$AG$5:$AG$364,0),0),1)*INDEX(其他调用!Z$5:Z$404,MATCH($K156,其他调用!$X$5:$X$404,0),0)</f>
        <v>39664.53242307785</v>
      </c>
      <c r="W156" s="12">
        <f>MIN(INDEX(其他调用!$AI$5:$AI$364,MATCH($K156,其他调用!$AG$5:$AG$364,0),1)/INDEX(其他调用!AJ$5:AJ$364,MATCH($K156,其他调用!$AG$5:$AG$364,0),0),1)*INDEX(其他调用!AA$5:AA$404,MATCH($K156,其他调用!$X$5:$X$404,0),0)</f>
        <v>23448.736634371351</v>
      </c>
      <c r="X156" s="12">
        <f>MIN(INDEX(其他调用!$AI$5:$AI$364,MATCH($K156,其他调用!$AG$5:$AG$364,0),1)/INDEX(其他调用!AK$5:AK$364,MATCH($K156,其他调用!$AG$5:$AG$364,0),0),1)*INDEX(其他调用!AB$5:AB$404,MATCH($K156,其他调用!$X$5:$X$404,0),0)</f>
        <v>8879.2583795866449</v>
      </c>
      <c r="Y156" s="12">
        <f>MIN(INDEX(其他调用!$AI$5:$AI$364,MATCH($K156,其他调用!$AG$5:$AG$364,0),1)/INDEX(其他调用!AL$5:AL$364,MATCH($K156,其他调用!$AG$5:$AG$364,0),0),1)*INDEX(其他调用!AC$5:AC$404,MATCH($K156,其他调用!$X$5:$X$404,0),0)</f>
        <v>3203.3174248728014</v>
      </c>
      <c r="Z156" s="12">
        <f>求节点(节奏总纲!D$4:D$163,标准城池设计!AD$4:AD$163,$K156)*求节点(节奏总纲!D$4:D$163,攻城基础信息!$AE$5:$AE$164,$K156)</f>
        <v>657886.67698182573</v>
      </c>
      <c r="AA156" s="12">
        <f>INDEX(其他调用!$AA$5:$AA$404,MATCH($K156,其他调用!$X$5:$X$404,0))*MIN(INDEX(其他调用!AJ$5:AJ$364,MATCH($K156,其他调用!$AG$5:$AG$364,0),1)/INDEX(其他调用!$AJ$5:$AJ$364,MATCH($K156,其他调用!$AG$5:$AG$364,0),0),5)*求节点(节奏总纲!D$4:D$163,攻城基础信息!$AE$5:$AE$164,$K156)</f>
        <v>133776.08218166209</v>
      </c>
      <c r="AB156" s="12">
        <f>MIN(INDEX(其他调用!$AJ$5:$AJ$364,MATCH($K156,其他调用!$AG$5:$AG$364,0),1)/INDEX(其他调用!AH$5:AH$364,MATCH($K156,其他调用!$AG$5:$AG$364,0),0),1)*INDEX(其他调用!Y$5:Y$404,MATCH($K156,其他调用!$X$5:$X$404,0),0)</f>
        <v>38513.211316829314</v>
      </c>
      <c r="AC156" s="12">
        <f>MIN(INDEX(其他调用!$AJ$5:$AJ$364,MATCH($K156,其他调用!$AG$5:$AG$364,0),1)/INDEX(其他调用!AI$5:AI$364,MATCH($K156,其他调用!$AG$5:$AG$364,0),0),1)*INDEX(其他调用!Z$5:Z$404,MATCH($K156,其他调用!$X$5:$X$404,0),0)</f>
        <v>39664.53242307785</v>
      </c>
      <c r="AD156" s="12">
        <f>MIN(INDEX(其他调用!$AJ$5:$AJ$364,MATCH($K156,其他调用!$AG$5:$AG$364,0),1)/INDEX(其他调用!AJ$5:AJ$364,MATCH($K156,其他调用!$AG$5:$AG$364,0),0),1)*INDEX(其他调用!AA$5:AA$404,MATCH($K156,其他调用!$X$5:$X$404,0),0)</f>
        <v>41174.274109051745</v>
      </c>
      <c r="AE156" s="12">
        <f>MIN(INDEX(其他调用!$AJ$5:$AJ$364,MATCH($K156,其他调用!$AG$5:$AG$364,0),1)/INDEX(其他调用!AK$5:AK$364,MATCH($K156,其他调用!$AG$5:$AG$364,0),0),1)*INDEX(其他调用!AB$5:AB$404,MATCH($K156,其他调用!$X$5:$X$404,0),0)</f>
        <v>15591.331170921168</v>
      </c>
      <c r="AF156" s="12">
        <f>MIN(INDEX(其他调用!$AJ$5:$AJ$364,MATCH($K156,其他调用!$AG$5:$AG$364,0),1)/INDEX(其他调用!AL$5:AL$364,MATCH($K156,其他调用!$AG$5:$AG$364,0),0),1)*INDEX(其他调用!AC$5:AC$404,MATCH($K156,其他调用!$X$5:$X$404,0),0)</f>
        <v>5624.7921483617502</v>
      </c>
      <c r="AG156" s="12">
        <f>求节点(节奏总纲!D$4:D$163,标准城池设计!AE$4:AE$163,$K156)*求节点(节奏总纲!D$4:D$163,攻城基础信息!$AF$5:$AF$164,$K156)</f>
        <v>759201.3568266388</v>
      </c>
      <c r="AH156" s="12">
        <f>INDEX(其他调用!$AA$5:$AA$404,MATCH($K156,其他调用!$X$5:$X$404,0))*MIN(INDEX(其他调用!AK$5:AK$364,MATCH($K156,其他调用!$AG$5:$AG$364,0),1)/INDEX(其他调用!$AJ$5:$AJ$364,MATCH($K156,其他调用!$AG$5:$AG$364,0),0),5)*求节点(节奏总纲!D$4:D$163,攻城基础信息!$AF$5:$AF$164,$K156)</f>
        <v>372192.30772872799</v>
      </c>
      <c r="AI156" s="12">
        <f>MIN(INDEX(其他调用!$AK$5:$AK$364,MATCH($K156,其他调用!$AG$5:$AG$364,0),1)/INDEX(其他调用!AH$5:AH$364,MATCH($K156,其他调用!$AG$5:$AG$364,0),0),1)*INDEX(其他调用!Y$5:Y$404,MATCH($K156,其他调用!$X$5:$X$404,0),0)</f>
        <v>38513.211316829314</v>
      </c>
      <c r="AJ156" s="12">
        <f>MIN(INDEX(其他调用!$AK$5:$AK$364,MATCH($K156,其他调用!$AG$5:$AG$364,0),1)/INDEX(其他调用!AI$5:AI$364,MATCH($K156,其他调用!$AG$5:$AG$364,0),0),1)*INDEX(其他调用!Z$5:Z$404,MATCH($K156,其他调用!$X$5:$X$404,0),0)</f>
        <v>39664.53242307785</v>
      </c>
      <c r="AK156" s="12">
        <f>MIN(INDEX(其他调用!$AK$5:$AK$364,MATCH($K156,其他调用!$AG$5:$AG$364,0),1)/INDEX(其他调用!AJ$5:AJ$364,MATCH($K156,其他调用!$AG$5:$AG$364,0),0),1)*INDEX(其他调用!AA$5:AA$404,MATCH($K156,其他调用!$X$5:$X$404,0),0)</f>
        <v>41174.274109051745</v>
      </c>
      <c r="AL156" s="12">
        <f>MIN(INDEX(其他调用!$AK$5:$AK$364,MATCH($K156,其他调用!$AG$5:$AG$364,0),1)/INDEX(其他调用!AK$5:AK$364,MATCH($K156,其他调用!$AG$5:$AG$364,0),0),1)*INDEX(其他调用!AB$5:AB$404,MATCH($K156,其他调用!$X$5:$X$404,0),0)</f>
        <v>43378.258911692559</v>
      </c>
      <c r="AM156" s="12">
        <f>MIN(INDEX(其他调用!$AK$5:$AK$364,MATCH($K156,其他调用!$AG$5:$AG$364,0),1)/INDEX(其他调用!AL$5:AL$364,MATCH($K156,其他调用!$AG$5:$AG$364,0),0),1)*INDEX(其他调用!AC$5:AC$404,MATCH($K156,其他调用!$X$5:$X$404,0),0)</f>
        <v>15649.317397038893</v>
      </c>
      <c r="AN156" s="12">
        <f>求节点(节奏总纲!D$4:D$163,标准城池设计!AF$4:AF$163,$K156)*求节点(节奏总纲!D$4:D$163,攻城基础信息!$AG$5:$AG$164,$K156)</f>
        <v>769969.09665439324</v>
      </c>
      <c r="AO156" s="12">
        <f>INDEX(其他调用!$AA$5:$AA$404,MATCH($K156,其他调用!$X$5:$X$404,0))*MIN(INDEX(其他调用!AL$5:AL$364,MATCH($K156,其他调用!$AG$5:$AG$364,0),1)/INDEX(其他调用!$AJ$5:$AJ$364,MATCH($K156,其他调用!$AG$5:$AG$364,0),0),5)*求节点(节奏总纲!D$4:D$163,攻城基础信息!$AG$5:$AG$164,$K156)</f>
        <v>668880.41090831044</v>
      </c>
      <c r="AP156" s="12">
        <f>MIN(INDEX(其他调用!$AL$5:$AL$364,MATCH($K156,其他调用!$AG$5:$AG$364,0),1)/INDEX(其他调用!AH$5:AH$364,MATCH($K156,其他调用!$AG$5:$AG$364,0),0),1)*INDEX(其他调用!Y$5:Y$404,MATCH($K156,其他调用!$X$5:$X$404,0),0)</f>
        <v>38513.211316829314</v>
      </c>
      <c r="AQ156" s="12">
        <f>MIN(INDEX(其他调用!$AL$5:$AL$364,MATCH($K156,其他调用!$AG$5:$AG$364,0),1)/INDEX(其他调用!AI$5:AI$364,MATCH($K156,其他调用!$AG$5:$AG$364,0),0),1)*INDEX(其他调用!Z$5:Z$404,MATCH($K156,其他调用!$X$5:$X$404,0),0)</f>
        <v>39664.53242307785</v>
      </c>
      <c r="AR156" s="12">
        <f>MIN(INDEX(其他调用!$AL$5:$AL$364,MATCH($K156,其他调用!$AG$5:$AG$364,0),1)/INDEX(其他调用!AJ$5:AJ$364,MATCH($K156,其他调用!$AG$5:$AG$364,0),0),1)*INDEX(其他调用!AA$5:AA$404,MATCH($K156,其他调用!$X$5:$X$404,0),0)</f>
        <v>41174.274109051745</v>
      </c>
      <c r="AS156" s="12">
        <f>MIN(INDEX(其他调用!$AL$5:$AL$364,MATCH($K156,其他调用!$AG$5:$AG$364,0),1)/INDEX(其他调用!AK$5:AK$364,MATCH($K156,其他调用!$AG$5:$AG$364,0),0),1)*INDEX(其他调用!AB$5:AB$404,MATCH($K156,其他调用!$X$5:$X$404,0),0)</f>
        <v>43378.258911692559</v>
      </c>
      <c r="AT156" s="12">
        <f>MIN(INDEX(其他调用!$AL$5:$AL$364,MATCH($K156,其他调用!$AG$5:$AG$364,0),1)/INDEX(其他调用!AL$5:AL$364,MATCH($K156,其他调用!$AG$5:$AG$364,0),0),1)*INDEX(其他调用!AC$5:AC$404,MATCH($K156,其他调用!$X$5:$X$404,0),0)</f>
        <v>47304.966051522904</v>
      </c>
      <c r="AV156" s="14">
        <f>IF(OR(AV$5="大R",AV$5="超R"),MAX(INDEX(其他调用!$H$5:$L$404,MATCH($K156,其他调用!$B$5:$B$404,0),MATCH(AV$5,其他调用!$H$4:$L$4,0))*120*0.85,2),INDEX(其他调用!$H$5:$L$404,MATCH($K156,其他调用!$B$5:$B$404,0),MATCH(AV$5,其他调用!$H$4:$L$4,0))*120*0.85)</f>
        <v>48.921801254999991</v>
      </c>
      <c r="AW156" s="14">
        <f>IF(OR(AW$5="大R",AW$5="超R"),MAX(INDEX(其他调用!$H$5:$L$404,MATCH($K156,其他调用!$B$5:$B$404,0),MATCH(AW$5,其他调用!$H$4:$L$4,0))*120*0.85,2),INDEX(其他调用!$H$5:$L$404,MATCH($K156,其他调用!$B$5:$B$404,0),MATCH(AW$5,其他调用!$H$4:$L$4,0))*120*0.85)</f>
        <v>48.237344010638395</v>
      </c>
      <c r="AX156" s="14">
        <f>IF(OR(AX$5="大R",AX$5="超R"),MAX(INDEX(其他调用!$H$5:$L$404,MATCH($K156,其他调用!$B$5:$B$404,0),MATCH(AX$5,其他调用!$H$4:$L$4,0))*120*0.85,2),INDEX(其他调用!$H$5:$L$404,MATCH($K156,其他调用!$B$5:$B$404,0),MATCH(AX$5,其他调用!$H$4:$L$4,0))*120*0.85)</f>
        <v>3.9376284143615998</v>
      </c>
      <c r="AY156" s="14">
        <f>IF(OR(AY$5="大R",AY$5="超R"),MAX(INDEX(其他调用!$H$5:$L$404,MATCH($K156,其他调用!$B$5:$B$404,0),MATCH(AY$5,其他调用!$H$4:$L$4,0))*120*0.85,2),INDEX(其他调用!$H$5:$L$404,MATCH($K156,其他调用!$B$5:$B$404,0),MATCH(AY$5,其他调用!$H$4:$L$4,0))*120*0.85)</f>
        <v>2</v>
      </c>
      <c r="AZ156" s="14">
        <f>IF(OR(AZ$5="大R",AZ$5="超R"),MAX(INDEX(其他调用!$H$5:$L$404,MATCH($K156,其他调用!$B$5:$B$404,0),MATCH(AZ$5,其他调用!$H$4:$L$4,0))*120*0.85,2),INDEX(其他调用!$H$5:$L$404,MATCH($K156,其他调用!$B$5:$B$404,0),MATCH(AZ$5,其他调用!$H$4:$L$4,0))*120*0.85)</f>
        <v>2</v>
      </c>
      <c r="BA156" s="14">
        <f>INDEX(其他调用!$H$5:$L$404,MATCH($K156,其他调用!$B$5:$B$404,0),MATCH(BA$5,其他调用!$H$4:$L$4,0))*INDEX(其他调用!$M$5:$M$404,MATCH($K156,其他调用!$B$5:$B$404,0))*0.6</f>
        <v>28.777530149999997</v>
      </c>
      <c r="BB156" s="14">
        <f>INDEX(其他调用!$H$5:$L$404,MATCH($K156,其他调用!$B$5:$B$404,0),MATCH(BB$5,其他调用!$H$4:$L$4,0))*INDEX(其他调用!$M$5:$M$404,MATCH($K156,其他调用!$B$5:$B$404,0))*0.6</f>
        <v>28.374908241551999</v>
      </c>
      <c r="BC156" s="14">
        <f>INDEX(其他调用!$H$5:$L$404,MATCH($K156,其他调用!$B$5:$B$404,0),MATCH(BC$5,其他调用!$H$4:$L$4,0))*INDEX(其他调用!$M$5:$M$404,MATCH($K156,其他调用!$B$5:$B$404,0))*0.6</f>
        <v>2.3162520084480001</v>
      </c>
      <c r="BD156" s="14">
        <f>INDEX(其他调用!$H$5:$L$404,MATCH($K156,其他调用!$B$5:$B$404,0),MATCH(BD$5,其他调用!$H$4:$L$4,0))*INDEX(其他调用!$M$5:$M$404,MATCH($K156,其他调用!$B$5:$B$404,0))*0.6</f>
        <v>0.4120776000000001</v>
      </c>
      <c r="BE156" s="14">
        <f>INDEX(其他调用!$H$5:$L$404,MATCH($K156,其他调用!$B$5:$B$404,0),MATCH(BE$5,其他调用!$H$4:$L$4,0))*INDEX(其他调用!$M$5:$M$404,MATCH($K156,其他调用!$B$5:$B$404,0))*0.6</f>
        <v>0.11923199999999998</v>
      </c>
      <c r="BF156" s="14">
        <f>IF(OR(BF$5="大R",BF$5="超R"),0,INDEX(其他调用!$H$5:$L$404,MATCH($K156,其他调用!$B$5:$B$404,0),MATCH(BF$5,其他调用!$H$4:$L$4,0))*50*0.4)</f>
        <v>9.5925100500000013</v>
      </c>
      <c r="BG156" s="14">
        <f>IF(OR(BG$5="大R",BG$5="超R"),0,INDEX(其他调用!$H$5:$L$404,MATCH($K156,其他调用!$B$5:$B$404,0),MATCH(BG$5,其他调用!$H$4:$L$4,0))*50*0.4)</f>
        <v>9.4583027471839998</v>
      </c>
      <c r="BH156" s="14">
        <f>IF(OR(BH$5="大R",BH$5="超R"),0,INDEX(其他调用!$H$5:$L$404,MATCH($K156,其他调用!$B$5:$B$404,0),MATCH(BH$5,其他调用!$H$4:$L$4,0))*50*0.4)</f>
        <v>0.77208400281600009</v>
      </c>
      <c r="BI156" s="14">
        <f>IF(OR(BI$5="大R",BI$5="超R"),0,INDEX(其他调用!$H$5:$L$404,MATCH($K156,其他调用!$B$5:$B$404,0),MATCH(BI$5,其他调用!$H$4:$L$4,0))*50*0.4)</f>
        <v>0</v>
      </c>
      <c r="BJ156" s="14">
        <f>IF(OR(BJ$5="大R",BJ$5="超R"),0,INDEX(其他调用!$H$5:$L$404,MATCH($K156,其他调用!$B$5:$B$404,0),MATCH(BJ$5,其他调用!$H$4:$L$4,0))*50*0.4)</f>
        <v>0</v>
      </c>
      <c r="BL156" s="14">
        <f t="shared" si="313"/>
        <v>151</v>
      </c>
      <c r="BM156" s="14">
        <f t="shared" si="220"/>
        <v>96</v>
      </c>
      <c r="BN156" s="14">
        <f>('疲劳值&amp;地图信息'!$S$10*'疲劳值&amp;地图信息'!$R$10+'疲劳值&amp;地图信息'!$S$11*'疲劳值&amp;地图信息'!$R$11+'疲劳值&amp;地图信息'!$S$12*'疲劳值&amp;地图信息'!$R$12+(BM156-'疲劳值&amp;地图信息'!$S$12-'疲劳值&amp;地图信息'!$S$11-'疲劳值&amp;地图信息'!$S$10)*'疲劳值&amp;地图信息'!$R$13)/BM156</f>
        <v>51.371477246638619</v>
      </c>
      <c r="BO156" s="14">
        <f>INDEX(其他调用!$M$5:$M$404,MATCH(BL156,其他调用!$B$5:$B$404,0))*0.6</f>
        <v>60</v>
      </c>
      <c r="BP156" s="14">
        <f>IF(BO156&gt;SUM('疲劳值&amp;地图信息'!$S$10:$S$12),('疲劳值&amp;地图信息'!$S$10*'疲劳值&amp;地图信息'!$R$10+'疲劳值&amp;地图信息'!$S$11*'疲劳值&amp;地图信息'!$R$11+'疲劳值&amp;地图信息'!$S$12*'疲劳值&amp;地图信息'!$R$12+(BO156-'疲劳值&amp;地图信息'!$S$12-'疲劳值&amp;地图信息'!$S$11-'疲劳值&amp;地图信息'!$S$10)*'疲劳值&amp;地图信息'!$R$13)/BO156,('疲劳值&amp;地图信息'!$S$10*'疲劳值&amp;地图信息'!$R$10+'疲劳值&amp;地图信息'!$S$11*'疲劳值&amp;地图信息'!$R$11+'疲劳值&amp;地图信息'!$S$12*'疲劳值&amp;地图信息'!$R$12+(BO156-'疲劳值&amp;地图信息'!$S$12-'疲劳值&amp;地图信息'!$S$11-'疲劳值&amp;地图信息'!$S$10)*'疲劳值&amp;地图信息'!$R$13)/BO156)</f>
        <v>44.158136341605953</v>
      </c>
      <c r="BQ156" s="14">
        <f t="shared" si="314"/>
        <v>20</v>
      </c>
      <c r="BR156" s="14">
        <f>('疲劳值&amp;地图信息'!$S$10*'疲劳值&amp;地图信息'!$R$10+($BQ156-'疲劳值&amp;地图信息'!$S$10)*'疲劳值&amp;地图信息'!$R$11)/$BQ156</f>
        <v>32.067203015074995</v>
      </c>
      <c r="CF156" s="14">
        <v>151</v>
      </c>
      <c r="CG156" s="51">
        <f t="shared" si="221"/>
        <v>11701</v>
      </c>
      <c r="CH156" s="51">
        <f t="shared" si="222"/>
        <v>944</v>
      </c>
      <c r="CI156" s="51">
        <f>INT(SUMPRODUCT($N156:$R156,$BA156:$BE156)/SUM($BA156:$BE156)/10000*$BX$7*$BZ$34/'疲劳值&amp;地图信息'!$R$10*$BY$53)</f>
        <v>3092</v>
      </c>
      <c r="CJ156" s="50">
        <f t="shared" si="223"/>
        <v>0.74353434580923938</v>
      </c>
      <c r="CK156" s="50">
        <f t="shared" si="224"/>
        <v>5.9986020207155114E-2</v>
      </c>
      <c r="CL156" s="50">
        <f t="shared" si="225"/>
        <v>0.19647963398360552</v>
      </c>
      <c r="CM156" s="14">
        <f t="shared" si="226"/>
        <v>12573</v>
      </c>
      <c r="CN156" s="14">
        <f t="shared" si="227"/>
        <v>1552</v>
      </c>
      <c r="CO156" s="14">
        <f>INT(SUMPRODUCT($U156:$Y156,$BA156:$BE156)/SUM($BA156:$BE156)/10000*$BX$7*$BZ$34/'疲劳值&amp;地图信息'!$R$10*$BY$54)</f>
        <v>5814</v>
      </c>
      <c r="CP156" s="50">
        <f t="shared" si="228"/>
        <v>0.63057324840764328</v>
      </c>
      <c r="CQ156" s="50">
        <f t="shared" si="229"/>
        <v>7.7837404082451475E-2</v>
      </c>
      <c r="CR156" s="50">
        <f t="shared" si="230"/>
        <v>0.29158934750990523</v>
      </c>
      <c r="CS156" s="14">
        <f t="shared" si="231"/>
        <v>13408</v>
      </c>
      <c r="CT156" s="14">
        <f t="shared" si="232"/>
        <v>2726</v>
      </c>
      <c r="CU156" s="14">
        <f>INT(SUMPRODUCT($AB156:$AF156,$BA156:$BE156)/SUM($BA156:$BE156)/10000*$BX$7*$BZ$34/'疲劳值&amp;地图信息'!$R$10*$BY$55)</f>
        <v>7901</v>
      </c>
      <c r="CV156" s="50">
        <f t="shared" si="233"/>
        <v>0.55785313085084254</v>
      </c>
      <c r="CW156" s="50">
        <f t="shared" si="234"/>
        <v>0.11341793218223424</v>
      </c>
      <c r="CX156" s="50">
        <f t="shared" si="235"/>
        <v>0.32872893696692324</v>
      </c>
      <c r="CY156" s="14">
        <f t="shared" si="236"/>
        <v>15473</v>
      </c>
      <c r="CZ156" s="14">
        <f t="shared" si="237"/>
        <v>7585</v>
      </c>
      <c r="DA156" s="14">
        <f>INT(SUMPRODUCT($AI156:$AM156,$BA156:$BE156)/SUM($BA156:$BE156)/10000*$BX$7*$BZ$34/'疲劳值&amp;地图信息'!$R$10*$BY$56)</f>
        <v>11916</v>
      </c>
      <c r="DB156" s="50">
        <f t="shared" si="238"/>
        <v>0.44241436495682507</v>
      </c>
      <c r="DC156" s="50">
        <f t="shared" si="239"/>
        <v>0.21687539314919654</v>
      </c>
      <c r="DD156" s="50">
        <f t="shared" si="240"/>
        <v>0.34071024189397836</v>
      </c>
      <c r="DE156" s="14">
        <f t="shared" si="241"/>
        <v>15692</v>
      </c>
      <c r="DF156" s="14">
        <f t="shared" si="242"/>
        <v>13632</v>
      </c>
      <c r="DG156" s="14">
        <f>INT(SUMPRODUCT($AP156:$AT156,$BA156:$BE156)/SUM($BA156:$BE156)/10000*$BX$7*$BZ$34/'疲劳值&amp;地图信息'!$R$10*$BY$57)</f>
        <v>15914</v>
      </c>
      <c r="DH156" s="50">
        <f t="shared" si="243"/>
        <v>0.34687651974004158</v>
      </c>
      <c r="DI156" s="50">
        <f t="shared" si="244"/>
        <v>0.30133958176754055</v>
      </c>
      <c r="DJ156" s="50">
        <f t="shared" si="245"/>
        <v>0.35178389849241787</v>
      </c>
      <c r="DL156" s="14">
        <f t="shared" si="316"/>
        <v>15737</v>
      </c>
      <c r="DM156" s="14">
        <f t="shared" si="317"/>
        <v>19939</v>
      </c>
      <c r="DN156" s="14">
        <f t="shared" si="318"/>
        <v>24035</v>
      </c>
      <c r="DO156" s="14">
        <f t="shared" si="319"/>
        <v>34974</v>
      </c>
      <c r="DP156" s="14">
        <f t="shared" si="320"/>
        <v>45238</v>
      </c>
      <c r="DQ156" s="14">
        <f t="shared" si="321"/>
        <v>1094116</v>
      </c>
      <c r="DT156" s="14">
        <f t="shared" si="315"/>
        <v>235575</v>
      </c>
      <c r="DU156" s="50">
        <f t="shared" si="217"/>
        <v>0.17716522109272004</v>
      </c>
      <c r="DW156" s="14">
        <f t="shared" si="246"/>
        <v>1329691</v>
      </c>
      <c r="EB156" s="14">
        <v>151</v>
      </c>
      <c r="EC156" s="51">
        <f t="shared" si="247"/>
        <v>19502</v>
      </c>
      <c r="ED156" s="51">
        <f t="shared" si="248"/>
        <v>1574</v>
      </c>
      <c r="EE156" s="51">
        <f>INT(SUMPRODUCT($N156:$R156,$BF156:$BJ156)/SUM($BF156:$BJ156)/10000*$BX$7*$BZ$46/'疲劳值&amp;地图信息'!$R$10*$BY$53)</f>
        <v>415</v>
      </c>
      <c r="EF156" s="50">
        <f t="shared" si="249"/>
        <v>0.90744963007770696</v>
      </c>
      <c r="EG156" s="50">
        <f t="shared" si="250"/>
        <v>7.3239960913870916E-2</v>
      </c>
      <c r="EH156" s="50">
        <f t="shared" si="251"/>
        <v>1.9310409008422132E-2</v>
      </c>
      <c r="EI156" s="51">
        <f t="shared" si="252"/>
        <v>20955</v>
      </c>
      <c r="EJ156" s="51">
        <f t="shared" si="253"/>
        <v>2587</v>
      </c>
      <c r="EK156" s="14">
        <f>INT(SUMPRODUCT($U156:$Y156,$BF156:$BJ156)/SUM($BF156:$BJ156)/10000*$BX$7*$BZ$46/'疲劳值&amp;地图信息'!$R$10*$BY$54)</f>
        <v>780</v>
      </c>
      <c r="EL156" s="50">
        <f t="shared" si="254"/>
        <v>0.8615656607186909</v>
      </c>
      <c r="EM156" s="50">
        <f t="shared" si="255"/>
        <v>0.10636460817366993</v>
      </c>
      <c r="EN156" s="50">
        <f t="shared" si="256"/>
        <v>3.2069731107639173E-2</v>
      </c>
      <c r="EO156" s="51">
        <f t="shared" si="257"/>
        <v>22347</v>
      </c>
      <c r="EP156" s="51">
        <f t="shared" si="258"/>
        <v>4544</v>
      </c>
      <c r="EQ156" s="14">
        <f>INT(SUMPRODUCT($AB156:$AF156,$BF156:$BJ156)/SUM($BF156:$BJ156)/10000*$BX$7*$BZ$46/'疲劳值&amp;地图信息'!$R$10*$BY$55)</f>
        <v>1059</v>
      </c>
      <c r="ER156" s="50">
        <f t="shared" si="259"/>
        <v>0.79953488372093018</v>
      </c>
      <c r="ES156" s="50">
        <f t="shared" si="260"/>
        <v>0.16257602862254025</v>
      </c>
      <c r="ET156" s="50">
        <f t="shared" si="261"/>
        <v>3.788908765652952E-2</v>
      </c>
      <c r="EU156" s="51">
        <f t="shared" si="262"/>
        <v>25789</v>
      </c>
      <c r="EV156" s="51">
        <f t="shared" si="263"/>
        <v>12642</v>
      </c>
      <c r="EW156" s="14">
        <f>INT(SUMPRODUCT($AI156:$AM156,$BF156:$BJ156)/SUM($BF156:$BJ156)/10000*$BX$7*$BZ$46/'疲劳值&amp;地图信息'!$R$10*$BY$56)</f>
        <v>1589</v>
      </c>
      <c r="EX156" s="50">
        <f t="shared" si="264"/>
        <v>0.6444027986006996</v>
      </c>
      <c r="EY156" s="50">
        <f t="shared" si="265"/>
        <v>0.31589205397301351</v>
      </c>
      <c r="EZ156" s="50">
        <f t="shared" si="266"/>
        <v>3.9705147426286856E-2</v>
      </c>
      <c r="FA156" s="51">
        <f t="shared" si="267"/>
        <v>26154</v>
      </c>
      <c r="FB156" s="51">
        <f t="shared" si="268"/>
        <v>22721</v>
      </c>
      <c r="FC156" s="14">
        <f>INT(SUMPRODUCT($AP156:$AT156,$BF156:$BJ156)/SUM($BF156:$BJ156)/10000*$BX$7*$BZ$46/'疲劳值&amp;地图信息'!$R$10*$BY$57)</f>
        <v>2119</v>
      </c>
      <c r="FD156" s="50">
        <f t="shared" si="269"/>
        <v>0.51288386869043412</v>
      </c>
      <c r="FE156" s="50">
        <f t="shared" si="270"/>
        <v>0.44556222300662823</v>
      </c>
      <c r="FF156" s="50">
        <f t="shared" si="271"/>
        <v>4.1553908302937599E-2</v>
      </c>
      <c r="FH156" s="14">
        <f t="shared" si="272"/>
        <v>21491</v>
      </c>
      <c r="FI156" s="14">
        <f t="shared" si="273"/>
        <v>24322</v>
      </c>
      <c r="FJ156" s="14">
        <f t="shared" si="274"/>
        <v>27950</v>
      </c>
      <c r="FK156" s="14">
        <f t="shared" si="275"/>
        <v>40020</v>
      </c>
      <c r="FL156" s="14">
        <f t="shared" si="276"/>
        <v>50994</v>
      </c>
      <c r="FM156" s="14">
        <f t="shared" si="277"/>
        <v>2516691</v>
      </c>
      <c r="FP156" s="14">
        <f t="shared" si="278"/>
        <v>334150</v>
      </c>
      <c r="FQ156" s="50">
        <f t="shared" si="218"/>
        <v>0.11721102650060106</v>
      </c>
      <c r="FS156" s="14">
        <f t="shared" si="279"/>
        <v>2850841</v>
      </c>
      <c r="FX156" s="14">
        <v>151</v>
      </c>
      <c r="FY156" s="51">
        <f t="shared" si="280"/>
        <v>27303</v>
      </c>
      <c r="FZ156" s="51">
        <f t="shared" si="281"/>
        <v>1574</v>
      </c>
      <c r="GA156" s="51">
        <f>INT(SUMPRODUCT($N156:$R156,$BF156:$BJ156)/SUM($BF156:$BJ156)/10000*$BX$7*$BZ$46/'疲劳值&amp;地图信息'!$R$10*$BY$53)</f>
        <v>415</v>
      </c>
      <c r="GB156" s="50">
        <f t="shared" si="282"/>
        <v>0.93209750102417044</v>
      </c>
      <c r="GC156" s="50">
        <f t="shared" si="283"/>
        <v>5.3734808138740951E-2</v>
      </c>
      <c r="GD156" s="50">
        <f t="shared" si="284"/>
        <v>1.4167690837088624E-2</v>
      </c>
      <c r="GE156" s="51">
        <f t="shared" si="285"/>
        <v>29337</v>
      </c>
      <c r="GF156" s="51">
        <f t="shared" si="286"/>
        <v>2587</v>
      </c>
      <c r="GG156" s="14">
        <f>INT(SUMPRODUCT($U156:$Y156,$BF156:$BJ156)/SUM($BF156:$BJ156)/10000*$BX$7*$BZ$46/'疲劳值&amp;地图信息'!$R$10*$BY$54)</f>
        <v>780</v>
      </c>
      <c r="GH156" s="50">
        <f t="shared" si="287"/>
        <v>0.89704623287671237</v>
      </c>
      <c r="GI156" s="50">
        <f t="shared" si="288"/>
        <v>7.9103473581213307E-2</v>
      </c>
      <c r="GJ156" s="50">
        <f t="shared" si="289"/>
        <v>2.3850293542074363E-2</v>
      </c>
      <c r="GK156" s="51">
        <f t="shared" si="290"/>
        <v>31286</v>
      </c>
      <c r="GL156" s="51">
        <f t="shared" si="291"/>
        <v>4544</v>
      </c>
      <c r="GM156" s="14">
        <f>INT(SUMPRODUCT($AB156:$AF156,$BF156:$BJ156)/SUM($BF156:$BJ156)/10000*$BX$7*$BZ$46/'疲劳值&amp;地图信息'!$R$10*$BY$55)</f>
        <v>1059</v>
      </c>
      <c r="GN156" s="50">
        <f t="shared" si="292"/>
        <v>0.84811190327739971</v>
      </c>
      <c r="GO156" s="50">
        <f t="shared" si="293"/>
        <v>0.12318035186641003</v>
      </c>
      <c r="GP156" s="50">
        <f t="shared" si="294"/>
        <v>2.8707744856190192E-2</v>
      </c>
      <c r="GQ156" s="51">
        <f t="shared" si="295"/>
        <v>36104</v>
      </c>
      <c r="GR156" s="51">
        <f t="shared" si="296"/>
        <v>12642</v>
      </c>
      <c r="GS156" s="14">
        <f>INT(SUMPRODUCT($AI156:$AM156,$BF156:$BJ156)/SUM($BF156:$BJ156)/10000*$BX$7*$BZ$46/'疲劳值&amp;地图信息'!$R$10*$BY$56)</f>
        <v>1589</v>
      </c>
      <c r="GT156" s="50">
        <f t="shared" si="297"/>
        <v>0.71727426244164105</v>
      </c>
      <c r="GU156" s="50">
        <f t="shared" si="298"/>
        <v>0.25115724644879306</v>
      </c>
      <c r="GV156" s="50">
        <f t="shared" si="299"/>
        <v>3.1568491109565909E-2</v>
      </c>
      <c r="GW156" s="51">
        <f t="shared" si="300"/>
        <v>36616</v>
      </c>
      <c r="GX156" s="51">
        <f t="shared" si="301"/>
        <v>22721</v>
      </c>
      <c r="GY156" s="14">
        <f>INT(SUMPRODUCT($AP156:$AT156,$BF156:$BJ156)/SUM($BF156:$BJ156)/10000*$BX$7*$BZ$46/'疲劳值&amp;地图信息'!$R$10*$BY$57)</f>
        <v>2119</v>
      </c>
      <c r="GZ156" s="50">
        <f t="shared" si="302"/>
        <v>0.59580838323353291</v>
      </c>
      <c r="HA156" s="50">
        <f t="shared" si="303"/>
        <v>0.36971166362926322</v>
      </c>
      <c r="HB156" s="50">
        <f t="shared" si="304"/>
        <v>3.4479953137203853E-2</v>
      </c>
      <c r="HD156" s="14">
        <f t="shared" si="305"/>
        <v>29292</v>
      </c>
      <c r="HE156" s="14">
        <f t="shared" si="306"/>
        <v>32704</v>
      </c>
      <c r="HF156" s="14">
        <f t="shared" si="307"/>
        <v>36889</v>
      </c>
      <c r="HG156" s="14">
        <f t="shared" si="308"/>
        <v>50335</v>
      </c>
      <c r="HH156" s="14">
        <f t="shared" si="309"/>
        <v>61456</v>
      </c>
      <c r="HI156" s="14">
        <f t="shared" si="310"/>
        <v>3379408</v>
      </c>
      <c r="HL156" s="14">
        <f t="shared" si="311"/>
        <v>430050</v>
      </c>
      <c r="HM156" s="50">
        <f t="shared" si="219"/>
        <v>0.11289007517604867</v>
      </c>
      <c r="HO156" s="14">
        <f t="shared" si="312"/>
        <v>3809458</v>
      </c>
    </row>
    <row r="157" spans="11:223" x14ac:dyDescent="0.2">
      <c r="K157" s="14">
        <v>152</v>
      </c>
      <c r="L157" s="12">
        <f>求节点(节奏总纲!D$4:D$163,标准城池设计!AB$4:AB$163,$K157)*求节点(节奏总纲!D$4:D$163,攻城基础信息!$AC$5:$AC$164,$K157)</f>
        <v>575963.75299250486</v>
      </c>
      <c r="M157" s="12">
        <f>INDEX(其他调用!$AA$5:$AA$404,MATCH(K157,其他调用!$X$5:$X$404,0))*MIN(INDEX(其他调用!$AH$5:$AH$364,MATCH('征服点（新）'!K157,其他调用!$AG$5:$AG$364,0),1)/INDEX(其他调用!$AJ$5:$AJ$364,MATCH(K157,其他调用!$AG$5:$AG$364,0),0),5)*求节点(节奏总纲!D$4:D$163,攻城基础信息!$AC$5:$AC$164,$K157)</f>
        <v>46463.535277656891</v>
      </c>
      <c r="N157" s="12">
        <f>MIN(INDEX(其他调用!$AH$5:$AH$364,MATCH($K157,其他调用!$AG$5:$AG$364,0),1)/INDEX(其他调用!AH$5:AH$364,MATCH($K157,其他调用!$AG$5:$AG$364,0),0),1)*INDEX(其他调用!Y$5:Y$404,MATCH($K157,其他调用!$X$5:$X$404,0),0)</f>
        <v>38552.095528284859</v>
      </c>
      <c r="O157" s="12">
        <f>MIN(INDEX(其他调用!$AH$5:$AH$364,MATCH($K157,其他调用!$AG$5:$AG$364,0),1)/INDEX(其他调用!AI$5:AI$364,MATCH($K157,其他调用!$AG$5:$AG$364,0),0),1)*INDEX(其他调用!Z$5:Z$404,MATCH($K157,其他调用!$X$5:$X$404,0),0)</f>
        <v>24166.263523809459</v>
      </c>
      <c r="P157" s="12">
        <f>MIN(INDEX(其他调用!$AH$5:$AH$364,MATCH($K157,其他调用!$AG$5:$AG$364,0),1)/INDEX(其他调用!AJ$5:AJ$364,MATCH($K157,其他调用!$AG$5:$AG$364,0),0),1)*INDEX(其他调用!AA$5:AA$404,MATCH($K157,其他调用!$X$5:$X$404,0),0)</f>
        <v>14286.890708499715</v>
      </c>
      <c r="Q157" s="12">
        <f>MIN(INDEX(其他调用!$AH$5:$AH$364,MATCH($K157,其他调用!$AG$5:$AG$364,0),1)/INDEX(其他调用!AK$5:AK$364,MATCH($K157,其他调用!$AG$5:$AG$364,0),0),1)*INDEX(其他调用!AB$5:AB$404,MATCH($K157,其他调用!$X$5:$X$404,0),0)</f>
        <v>5398.4127228194811</v>
      </c>
      <c r="R157" s="12">
        <f>MIN(INDEX(其他调用!$AH$5:$AH$364,MATCH($K157,其他调用!$AG$5:$AG$364,0),1)/INDEX(其他调用!AL$5:AL$364,MATCH($K157,其他调用!$AG$5:$AG$364,0),0),1)*INDEX(其他调用!AC$5:AC$404,MATCH($K157,其他调用!$X$5:$X$404,0),0)</f>
        <v>1958.1147025930466</v>
      </c>
      <c r="S157" s="12">
        <f>求节点(节奏总纲!D$4:D$163,标准城池设计!AC$4:AC$163,$K157)*求节点(节奏总纲!D$4:D$163,攻城基础信息!$AD$5:$AD$164,$K157)</f>
        <v>618744.71583093412</v>
      </c>
      <c r="T157" s="12">
        <f>INDEX(其他调用!$AA$5:$AA$404,MATCH($K157,其他调用!$X$5:$X$404,0))*MIN(INDEX(其他调用!AI$5:AI$364,MATCH($K157,其他调用!$AG$5:$AG$364,0),1)/INDEX(其他调用!$AJ$5:$AJ$364,MATCH($K157,其他调用!$AG$5:$AG$364,0),0),5)*求节点(节奏总纲!D$4:D$163,攻城基础信息!$AD$5:$AD$164,$K157)</f>
        <v>76333.298598479974</v>
      </c>
      <c r="U157" s="12">
        <f>MIN(INDEX(其他调用!$AI$5:$AI$364,MATCH($K157,其他调用!$AG$5:$AG$364,0),1)/INDEX(其他调用!AH$5:AH$364,MATCH($K157,其他调用!$AG$5:$AG$364,0),0),1)*INDEX(其他调用!Y$5:Y$404,MATCH($K157,其他调用!$X$5:$X$404,0),0)</f>
        <v>38552.095528284859</v>
      </c>
      <c r="V157" s="12">
        <f>MIN(INDEX(其他调用!$AI$5:$AI$364,MATCH($K157,其他调用!$AG$5:$AG$364,0),1)/INDEX(其他调用!AI$5:AI$364,MATCH($K157,其他调用!$AG$5:$AG$364,0),0),1)*INDEX(其他调用!Z$5:Z$404,MATCH($K157,其他调用!$X$5:$X$404,0),0)</f>
        <v>39701.899533666481</v>
      </c>
      <c r="W157" s="12">
        <f>MIN(INDEX(其他调用!$AI$5:$AI$364,MATCH($K157,其他调用!$AG$5:$AG$364,0),1)/INDEX(其他调用!AJ$5:AJ$364,MATCH($K157,其他调用!$AG$5:$AG$364,0),0),1)*INDEX(其他调用!AA$5:AA$404,MATCH($K157,其他调用!$X$5:$X$404,0),0)</f>
        <v>23471.427388784654</v>
      </c>
      <c r="X157" s="12">
        <f>MIN(INDEX(其他调用!$AI$5:$AI$364,MATCH($K157,其他调用!$AG$5:$AG$364,0),1)/INDEX(其他调用!AK$5:AK$364,MATCH($K157,其他调用!$AG$5:$AG$364,0),0),1)*INDEX(其他调用!AB$5:AB$404,MATCH($K157,其他调用!$X$5:$X$404,0),0)</f>
        <v>8868.8613095476339</v>
      </c>
      <c r="Y157" s="12">
        <f>MIN(INDEX(其他调用!$AI$5:$AI$364,MATCH($K157,其他调用!$AG$5:$AG$364,0),1)/INDEX(其他调用!AL$5:AL$364,MATCH($K157,其他调用!$AG$5:$AG$364,0),0),1)*INDEX(其他调用!AC$5:AC$404,MATCH($K157,其他调用!$X$5:$X$404,0),0)</f>
        <v>3216.9173824141785</v>
      </c>
      <c r="Z157" s="12">
        <f>求节点(节奏总纲!D$4:D$163,标准城池设计!AD$4:AD$163,$K157)*求节点(节奏总纲!D$4:D$163,攻城基础信息!$AE$5:$AE$164,$K157)</f>
        <v>659673.95915105764</v>
      </c>
      <c r="AA157" s="12">
        <f>INDEX(其他调用!$AA$5:$AA$404,MATCH($K157,其他调用!$X$5:$X$404,0))*MIN(INDEX(其他调用!AJ$5:AJ$364,MATCH($K157,其他调用!$AG$5:$AG$364,0),1)/INDEX(其他调用!$AJ$5:$AJ$364,MATCH($K157,其他调用!$AG$5:$AG$364,0),0),5)*求节点(节奏总纲!D$4:D$163,攻城基础信息!$AE$5:$AE$164,$K157)</f>
        <v>134026.69258678792</v>
      </c>
      <c r="AB157" s="12">
        <f>MIN(INDEX(其他调用!$AJ$5:$AJ$364,MATCH($K157,其他调用!$AG$5:$AG$364,0),1)/INDEX(其他调用!AH$5:AH$364,MATCH($K157,其他调用!$AG$5:$AG$364,0),0),1)*INDEX(其他调用!Y$5:Y$404,MATCH($K157,其他调用!$X$5:$X$404,0),0)</f>
        <v>38552.095528284859</v>
      </c>
      <c r="AC157" s="12">
        <f>MIN(INDEX(其他调用!$AJ$5:$AJ$364,MATCH($K157,其他调用!$AG$5:$AG$364,0),1)/INDEX(其他调用!AI$5:AI$364,MATCH($K157,其他调用!$AG$5:$AG$364,0),0),1)*INDEX(其他调用!Z$5:Z$404,MATCH($K157,其他调用!$X$5:$X$404,0),0)</f>
        <v>39701.899533666481</v>
      </c>
      <c r="AD157" s="12">
        <f>MIN(INDEX(其他调用!$AJ$5:$AJ$364,MATCH($K157,其他调用!$AG$5:$AG$364,0),1)/INDEX(其他调用!AJ$5:AJ$364,MATCH($K157,其他调用!$AG$5:$AG$364,0),0),1)*INDEX(其他调用!AA$5:AA$404,MATCH($K157,其他调用!$X$5:$X$404,0),0)</f>
        <v>41211.34342375186</v>
      </c>
      <c r="AE157" s="12">
        <f>MIN(INDEX(其他调用!$AJ$5:$AJ$364,MATCH($K157,其他调用!$AG$5:$AG$364,0),1)/INDEX(其他调用!AK$5:AK$364,MATCH($K157,其他调用!$AG$5:$AG$364,0),0),1)*INDEX(其他调用!AB$5:AB$404,MATCH($K157,其他调用!$X$5:$X$404,0),0)</f>
        <v>15572.026496353557</v>
      </c>
      <c r="AF157" s="12">
        <f>MIN(INDEX(其他调用!$AJ$5:$AJ$364,MATCH($K157,其他调用!$AG$5:$AG$364,0),1)/INDEX(其他调用!AL$5:AL$364,MATCH($K157,其他调用!$AG$5:$AG$364,0),0),1)*INDEX(其他调用!AC$5:AC$404,MATCH($K157,其他调用!$X$5:$X$404,0),0)</f>
        <v>5648.2924884174345</v>
      </c>
      <c r="AG157" s="12">
        <f>求节点(节奏总纲!D$4:D$163,标准城池设计!AE$4:AE$163,$K157)*求节点(节奏总纲!D$4:D$163,攻城基础信息!$AF$5:$AF$164,$K157)</f>
        <v>762376.1333706131</v>
      </c>
      <c r="AH157" s="12">
        <f>INDEX(其他调用!$AA$5:$AA$404,MATCH($K157,其他调用!$X$5:$X$404,0))*MIN(INDEX(其他调用!AK$5:AK$364,MATCH($K157,其他调用!$AG$5:$AG$364,0),1)/INDEX(其他调用!$AJ$5:$AJ$364,MATCH($K157,其他调用!$AG$5:$AG$364,0),0),5)*求节点(节奏总纲!D$4:D$163,攻城基础信息!$AF$5:$AF$164,$K157)</f>
        <v>373663.38685532857</v>
      </c>
      <c r="AI157" s="12">
        <f>MIN(INDEX(其他调用!$AK$5:$AK$364,MATCH($K157,其他调用!$AG$5:$AG$364,0),1)/INDEX(其他调用!AH$5:AH$364,MATCH($K157,其他调用!$AG$5:$AG$364,0),0),1)*INDEX(其他调用!Y$5:Y$404,MATCH($K157,其他调用!$X$5:$X$404,0),0)</f>
        <v>38552.095528284859</v>
      </c>
      <c r="AJ157" s="12">
        <f>MIN(INDEX(其他调用!$AK$5:$AK$364,MATCH($K157,其他调用!$AG$5:$AG$364,0),1)/INDEX(其他调用!AI$5:AI$364,MATCH($K157,其他调用!$AG$5:$AG$364,0),0),1)*INDEX(其他调用!Z$5:Z$404,MATCH($K157,其他调用!$X$5:$X$404,0),0)</f>
        <v>39701.899533666481</v>
      </c>
      <c r="AK157" s="12">
        <f>MIN(INDEX(其他调用!$AK$5:$AK$364,MATCH($K157,其他调用!$AG$5:$AG$364,0),1)/INDEX(其他调用!AJ$5:AJ$364,MATCH($K157,其他调用!$AG$5:$AG$364,0),0),1)*INDEX(其他调用!AA$5:AA$404,MATCH($K157,其他调用!$X$5:$X$404,0),0)</f>
        <v>41211.34342375186</v>
      </c>
      <c r="AL157" s="12">
        <f>MIN(INDEX(其他调用!$AK$5:$AK$364,MATCH($K157,其他调用!$AG$5:$AG$364,0),1)/INDEX(其他调用!AK$5:AK$364,MATCH($K157,其他调用!$AG$5:$AG$364,0),0),1)*INDEX(其他调用!AB$5:AB$404,MATCH($K157,其他调用!$X$5:$X$404,0),0)</f>
        <v>43414.457586950724</v>
      </c>
      <c r="AM157" s="12">
        <f>MIN(INDEX(其他调用!$AK$5:$AK$364,MATCH($K157,其他调用!$AG$5:$AG$364,0),1)/INDEX(其他调用!AL$5:AL$364,MATCH($K157,其他调用!$AG$5:$AG$364,0),0),1)*INDEX(其他调用!AC$5:AC$404,MATCH($K157,其他调用!$X$5:$X$404,0),0)</f>
        <v>15747.311676775835</v>
      </c>
      <c r="AN157" s="12">
        <f>求节点(节奏总纲!D$4:D$163,标准城池设计!AF$4:AF$163,$K157)*求节点(节奏总纲!D$4:D$163,攻城基础信息!$AG$5:$AG$164,$K157)</f>
        <v>773610.50745748496</v>
      </c>
      <c r="AO157" s="12">
        <f>INDEX(其他调用!$AA$5:$AA$404,MATCH($K157,其他调用!$X$5:$X$404,0))*MIN(INDEX(其他调用!AL$5:AL$364,MATCH($K157,其他调用!$AG$5:$AG$364,0),1)/INDEX(其他调用!$AJ$5:$AJ$364,MATCH($K157,其他调用!$AG$5:$AG$364,0),0),5)*求节点(节奏总纲!D$4:D$163,攻城基础信息!$AG$5:$AG$164,$K157)</f>
        <v>670133.46293393953</v>
      </c>
      <c r="AP157" s="12">
        <f>MIN(INDEX(其他调用!$AL$5:$AL$364,MATCH($K157,其他调用!$AG$5:$AG$364,0),1)/INDEX(其他调用!AH$5:AH$364,MATCH($K157,其他调用!$AG$5:$AG$364,0),0),1)*INDEX(其他调用!Y$5:Y$404,MATCH($K157,其他调用!$X$5:$X$404,0),0)</f>
        <v>38552.095528284859</v>
      </c>
      <c r="AQ157" s="12">
        <f>MIN(INDEX(其他调用!$AL$5:$AL$364,MATCH($K157,其他调用!$AG$5:$AG$364,0),1)/INDEX(其他调用!AI$5:AI$364,MATCH($K157,其他调用!$AG$5:$AG$364,0),0),1)*INDEX(其他调用!Z$5:Z$404,MATCH($K157,其他调用!$X$5:$X$404,0),0)</f>
        <v>39701.899533666481</v>
      </c>
      <c r="AR157" s="12">
        <f>MIN(INDEX(其他调用!$AL$5:$AL$364,MATCH($K157,其他调用!$AG$5:$AG$364,0),1)/INDEX(其他调用!AJ$5:AJ$364,MATCH($K157,其他调用!$AG$5:$AG$364,0),0),1)*INDEX(其他调用!AA$5:AA$404,MATCH($K157,其他调用!$X$5:$X$404,0),0)</f>
        <v>41211.34342375186</v>
      </c>
      <c r="AS157" s="12">
        <f>MIN(INDEX(其他调用!$AL$5:$AL$364,MATCH($K157,其他调用!$AG$5:$AG$364,0),1)/INDEX(其他调用!AK$5:AK$364,MATCH($K157,其他调用!$AG$5:$AG$364,0),0),1)*INDEX(其他调用!AB$5:AB$404,MATCH($K157,其他调用!$X$5:$X$404,0),0)</f>
        <v>43414.457586950724</v>
      </c>
      <c r="AT157" s="12">
        <f>MIN(INDEX(其他调用!$AL$5:$AL$364,MATCH($K157,其他调用!$AG$5:$AG$364,0),1)/INDEX(其他调用!AL$5:AL$364,MATCH($K157,其他调用!$AG$5:$AG$364,0),0),1)*INDEX(其他调用!AC$5:AC$404,MATCH($K157,其他调用!$X$5:$X$404,0),0)</f>
        <v>47344.996378956392</v>
      </c>
      <c r="AV157" s="14">
        <f>IF(OR(AV$5="大R",AV$5="超R"),MAX(INDEX(其他调用!$H$5:$L$404,MATCH($K157,其他调用!$B$5:$B$404,0),MATCH(AV$5,其他调用!$H$4:$L$4,0))*120*0.85,2),INDEX(其他调用!$H$5:$L$404,MATCH($K157,其他调用!$B$5:$B$404,0),MATCH(AV$5,其他调用!$H$4:$L$4,0))*120*0.85)</f>
        <v>48.921801254999991</v>
      </c>
      <c r="AW157" s="14">
        <f>IF(OR(AW$5="大R",AW$5="超R"),MAX(INDEX(其他调用!$H$5:$L$404,MATCH($K157,其他调用!$B$5:$B$404,0),MATCH(AW$5,其他调用!$H$4:$L$4,0))*120*0.85,2),INDEX(其他调用!$H$5:$L$404,MATCH($K157,其他调用!$B$5:$B$404,0),MATCH(AW$5,其他调用!$H$4:$L$4,0))*120*0.85)</f>
        <v>48.237344010638395</v>
      </c>
      <c r="AX157" s="14">
        <f>IF(OR(AX$5="大R",AX$5="超R"),MAX(INDEX(其他调用!$H$5:$L$404,MATCH($K157,其他调用!$B$5:$B$404,0),MATCH(AX$5,其他调用!$H$4:$L$4,0))*120*0.85,2),INDEX(其他调用!$H$5:$L$404,MATCH($K157,其他调用!$B$5:$B$404,0),MATCH(AX$5,其他调用!$H$4:$L$4,0))*120*0.85)</f>
        <v>3.9376284143615998</v>
      </c>
      <c r="AY157" s="14">
        <f>IF(OR(AY$5="大R",AY$5="超R"),MAX(INDEX(其他调用!$H$5:$L$404,MATCH($K157,其他调用!$B$5:$B$404,0),MATCH(AY$5,其他调用!$H$4:$L$4,0))*120*0.85,2),INDEX(其他调用!$H$5:$L$404,MATCH($K157,其他调用!$B$5:$B$404,0),MATCH(AY$5,其他调用!$H$4:$L$4,0))*120*0.85)</f>
        <v>2</v>
      </c>
      <c r="AZ157" s="14">
        <f>IF(OR(AZ$5="大R",AZ$5="超R"),MAX(INDEX(其他调用!$H$5:$L$404,MATCH($K157,其他调用!$B$5:$B$404,0),MATCH(AZ$5,其他调用!$H$4:$L$4,0))*120*0.85,2),INDEX(其他调用!$H$5:$L$404,MATCH($K157,其他调用!$B$5:$B$404,0),MATCH(AZ$5,其他调用!$H$4:$L$4,0))*120*0.85)</f>
        <v>2</v>
      </c>
      <c r="BA157" s="14">
        <f>INDEX(其他调用!$H$5:$L$404,MATCH($K157,其他调用!$B$5:$B$404,0),MATCH(BA$5,其他调用!$H$4:$L$4,0))*INDEX(其他调用!$M$5:$M$404,MATCH($K157,其他调用!$B$5:$B$404,0))*0.6</f>
        <v>28.777530149999997</v>
      </c>
      <c r="BB157" s="14">
        <f>INDEX(其他调用!$H$5:$L$404,MATCH($K157,其他调用!$B$5:$B$404,0),MATCH(BB$5,其他调用!$H$4:$L$4,0))*INDEX(其他调用!$M$5:$M$404,MATCH($K157,其他调用!$B$5:$B$404,0))*0.6</f>
        <v>28.374908241551999</v>
      </c>
      <c r="BC157" s="14">
        <f>INDEX(其他调用!$H$5:$L$404,MATCH($K157,其他调用!$B$5:$B$404,0),MATCH(BC$5,其他调用!$H$4:$L$4,0))*INDEX(其他调用!$M$5:$M$404,MATCH($K157,其他调用!$B$5:$B$404,0))*0.6</f>
        <v>2.3162520084480001</v>
      </c>
      <c r="BD157" s="14">
        <f>INDEX(其他调用!$H$5:$L$404,MATCH($K157,其他调用!$B$5:$B$404,0),MATCH(BD$5,其他调用!$H$4:$L$4,0))*INDEX(其他调用!$M$5:$M$404,MATCH($K157,其他调用!$B$5:$B$404,0))*0.6</f>
        <v>0.4120776000000001</v>
      </c>
      <c r="BE157" s="14">
        <f>INDEX(其他调用!$H$5:$L$404,MATCH($K157,其他调用!$B$5:$B$404,0),MATCH(BE$5,其他调用!$H$4:$L$4,0))*INDEX(其他调用!$M$5:$M$404,MATCH($K157,其他调用!$B$5:$B$404,0))*0.6</f>
        <v>0.11923199999999998</v>
      </c>
      <c r="BF157" s="14">
        <f>IF(OR(BF$5="大R",BF$5="超R"),0,INDEX(其他调用!$H$5:$L$404,MATCH($K157,其他调用!$B$5:$B$404,0),MATCH(BF$5,其他调用!$H$4:$L$4,0))*50*0.4)</f>
        <v>9.5925100500000013</v>
      </c>
      <c r="BG157" s="14">
        <f>IF(OR(BG$5="大R",BG$5="超R"),0,INDEX(其他调用!$H$5:$L$404,MATCH($K157,其他调用!$B$5:$B$404,0),MATCH(BG$5,其他调用!$H$4:$L$4,0))*50*0.4)</f>
        <v>9.4583027471839998</v>
      </c>
      <c r="BH157" s="14">
        <f>IF(OR(BH$5="大R",BH$5="超R"),0,INDEX(其他调用!$H$5:$L$404,MATCH($K157,其他调用!$B$5:$B$404,0),MATCH(BH$5,其他调用!$H$4:$L$4,0))*50*0.4)</f>
        <v>0.77208400281600009</v>
      </c>
      <c r="BI157" s="14">
        <f>IF(OR(BI$5="大R",BI$5="超R"),0,INDEX(其他调用!$H$5:$L$404,MATCH($K157,其他调用!$B$5:$B$404,0),MATCH(BI$5,其他调用!$H$4:$L$4,0))*50*0.4)</f>
        <v>0</v>
      </c>
      <c r="BJ157" s="14">
        <f>IF(OR(BJ$5="大R",BJ$5="超R"),0,INDEX(其他调用!$H$5:$L$404,MATCH($K157,其他调用!$B$5:$B$404,0),MATCH(BJ$5,其他调用!$H$4:$L$4,0))*50*0.4)</f>
        <v>0</v>
      </c>
      <c r="BL157" s="14">
        <f t="shared" si="313"/>
        <v>152</v>
      </c>
      <c r="BM157" s="14">
        <f t="shared" si="220"/>
        <v>96</v>
      </c>
      <c r="BN157" s="14">
        <f>('疲劳值&amp;地图信息'!$S$10*'疲劳值&amp;地图信息'!$R$10+'疲劳值&amp;地图信息'!$S$11*'疲劳值&amp;地图信息'!$R$11+'疲劳值&amp;地图信息'!$S$12*'疲劳值&amp;地图信息'!$R$12+(BM157-'疲劳值&amp;地图信息'!$S$12-'疲劳值&amp;地图信息'!$S$11-'疲劳值&amp;地图信息'!$S$10)*'疲劳值&amp;地图信息'!$R$13)/BM157</f>
        <v>51.371477246638619</v>
      </c>
      <c r="BO157" s="14">
        <f>INDEX(其他调用!$M$5:$M$404,MATCH(BL157,其他调用!$B$5:$B$404,0))*0.6</f>
        <v>60</v>
      </c>
      <c r="BP157" s="14">
        <f>IF(BO157&gt;SUM('疲劳值&amp;地图信息'!$S$10:$S$12),('疲劳值&amp;地图信息'!$S$10*'疲劳值&amp;地图信息'!$R$10+'疲劳值&amp;地图信息'!$S$11*'疲劳值&amp;地图信息'!$R$11+'疲劳值&amp;地图信息'!$S$12*'疲劳值&amp;地图信息'!$R$12+(BO157-'疲劳值&amp;地图信息'!$S$12-'疲劳值&amp;地图信息'!$S$11-'疲劳值&amp;地图信息'!$S$10)*'疲劳值&amp;地图信息'!$R$13)/BO157,('疲劳值&amp;地图信息'!$S$10*'疲劳值&amp;地图信息'!$R$10+'疲劳值&amp;地图信息'!$S$11*'疲劳值&amp;地图信息'!$R$11+'疲劳值&amp;地图信息'!$S$12*'疲劳值&amp;地图信息'!$R$12+(BO157-'疲劳值&amp;地图信息'!$S$12-'疲劳值&amp;地图信息'!$S$11-'疲劳值&amp;地图信息'!$S$10)*'疲劳值&amp;地图信息'!$R$13)/BO157)</f>
        <v>44.158136341605953</v>
      </c>
      <c r="BQ157" s="14">
        <f t="shared" si="314"/>
        <v>20</v>
      </c>
      <c r="BR157" s="14">
        <f>('疲劳值&amp;地图信息'!$S$10*'疲劳值&amp;地图信息'!$R$10+($BQ157-'疲劳值&amp;地图信息'!$S$10)*'疲劳值&amp;地图信息'!$R$11)/$BQ157</f>
        <v>32.067203015074995</v>
      </c>
      <c r="CF157" s="14">
        <v>152</v>
      </c>
      <c r="CG157" s="51">
        <f t="shared" si="221"/>
        <v>11738</v>
      </c>
      <c r="CH157" s="51">
        <f t="shared" si="222"/>
        <v>946</v>
      </c>
      <c r="CI157" s="51">
        <f>INT(SUMPRODUCT($N157:$R157,$BA157:$BE157)/SUM($BA157:$BE157)/10000*$BX$7*$BZ$34/'疲劳值&amp;地图信息'!$R$10*$BY$53)</f>
        <v>3095</v>
      </c>
      <c r="CJ157" s="50">
        <f t="shared" si="223"/>
        <v>0.74390012041320741</v>
      </c>
      <c r="CK157" s="50">
        <f t="shared" si="224"/>
        <v>5.9953102224475571E-2</v>
      </c>
      <c r="CL157" s="50">
        <f t="shared" si="225"/>
        <v>0.196146777362317</v>
      </c>
      <c r="CM157" s="14">
        <f t="shared" si="226"/>
        <v>12610</v>
      </c>
      <c r="CN157" s="14">
        <f t="shared" si="227"/>
        <v>1555</v>
      </c>
      <c r="CO157" s="14">
        <f>INT(SUMPRODUCT($U157:$Y157,$BA157:$BE157)/SUM($BA157:$BE157)/10000*$BX$7*$BZ$34/'疲劳值&amp;地图信息'!$R$10*$BY$54)</f>
        <v>5820</v>
      </c>
      <c r="CP157" s="50">
        <f t="shared" si="228"/>
        <v>0.63097322992244187</v>
      </c>
      <c r="CQ157" s="50">
        <f t="shared" si="229"/>
        <v>7.7808356267200396E-2</v>
      </c>
      <c r="CR157" s="50">
        <f t="shared" si="230"/>
        <v>0.29121841381035779</v>
      </c>
      <c r="CS157" s="14">
        <f t="shared" si="231"/>
        <v>13445</v>
      </c>
      <c r="CT157" s="14">
        <f t="shared" si="232"/>
        <v>2731</v>
      </c>
      <c r="CU157" s="14">
        <f>INT(SUMPRODUCT($AB157:$AF157,$BA157:$BE157)/SUM($BA157:$BE157)/10000*$BX$7*$BZ$34/'疲劳值&amp;地图信息'!$R$10*$BY$55)</f>
        <v>7909</v>
      </c>
      <c r="CV157" s="50">
        <f t="shared" si="233"/>
        <v>0.55823126427236869</v>
      </c>
      <c r="CW157" s="50">
        <f t="shared" si="234"/>
        <v>0.11339007681129333</v>
      </c>
      <c r="CX157" s="50">
        <f t="shared" si="235"/>
        <v>0.328378658916338</v>
      </c>
      <c r="CY157" s="14">
        <f t="shared" si="236"/>
        <v>15538</v>
      </c>
      <c r="CZ157" s="14">
        <f t="shared" si="237"/>
        <v>7615</v>
      </c>
      <c r="DA157" s="14">
        <f>INT(SUMPRODUCT($AI157:$AM157,$BA157:$BE157)/SUM($BA157:$BE157)/10000*$BX$7*$BZ$34/'疲劳值&amp;地图信息'!$R$10*$BY$56)</f>
        <v>11928</v>
      </c>
      <c r="DB157" s="50">
        <f t="shared" si="238"/>
        <v>0.44291781876229297</v>
      </c>
      <c r="DC157" s="50">
        <f t="shared" si="239"/>
        <v>0.21706906872666115</v>
      </c>
      <c r="DD157" s="50">
        <f t="shared" si="240"/>
        <v>0.34001311251104588</v>
      </c>
      <c r="DE157" s="14">
        <f t="shared" si="241"/>
        <v>15767</v>
      </c>
      <c r="DF157" s="14">
        <f t="shared" si="242"/>
        <v>13658</v>
      </c>
      <c r="DG157" s="14">
        <f>INT(SUMPRODUCT($AP157:$AT157,$BA157:$BE157)/SUM($BA157:$BE157)/10000*$BX$7*$BZ$34/'疲劳值&amp;地图信息'!$R$10*$BY$57)</f>
        <v>15930</v>
      </c>
      <c r="DH157" s="50">
        <f t="shared" si="243"/>
        <v>0.34763532135376474</v>
      </c>
      <c r="DI157" s="50">
        <f t="shared" si="244"/>
        <v>0.30113548671590784</v>
      </c>
      <c r="DJ157" s="50">
        <f t="shared" si="245"/>
        <v>0.35122919193032742</v>
      </c>
      <c r="DL157" s="14">
        <f t="shared" si="316"/>
        <v>15779</v>
      </c>
      <c r="DM157" s="14">
        <f t="shared" si="317"/>
        <v>19985</v>
      </c>
      <c r="DN157" s="14">
        <f t="shared" si="318"/>
        <v>24085</v>
      </c>
      <c r="DO157" s="14">
        <f t="shared" si="319"/>
        <v>35081</v>
      </c>
      <c r="DP157" s="14">
        <f t="shared" si="320"/>
        <v>45355</v>
      </c>
      <c r="DQ157" s="14">
        <f t="shared" si="321"/>
        <v>1096803</v>
      </c>
      <c r="DT157" s="14">
        <f t="shared" si="315"/>
        <v>235575</v>
      </c>
      <c r="DU157" s="50">
        <f t="shared" si="217"/>
        <v>0.17680793288391133</v>
      </c>
      <c r="DW157" s="14">
        <f t="shared" si="246"/>
        <v>1332378</v>
      </c>
      <c r="EB157" s="14">
        <v>152</v>
      </c>
      <c r="EC157" s="51">
        <f t="shared" si="247"/>
        <v>19564</v>
      </c>
      <c r="ED157" s="51">
        <f t="shared" si="248"/>
        <v>1578</v>
      </c>
      <c r="EE157" s="51">
        <f>INT(SUMPRODUCT($N157:$R157,$BF157:$BJ157)/SUM($BF157:$BJ157)/10000*$BX$7*$BZ$46/'疲劳值&amp;地图信息'!$R$10*$BY$53)</f>
        <v>415</v>
      </c>
      <c r="EF157" s="50">
        <f t="shared" si="249"/>
        <v>0.90754743238855129</v>
      </c>
      <c r="EG157" s="50">
        <f t="shared" si="250"/>
        <v>7.3201280326576051E-2</v>
      </c>
      <c r="EH157" s="50">
        <f t="shared" si="251"/>
        <v>1.9251287284872663E-2</v>
      </c>
      <c r="EI157" s="51">
        <f t="shared" si="252"/>
        <v>21018</v>
      </c>
      <c r="EJ157" s="51">
        <f t="shared" si="253"/>
        <v>2592</v>
      </c>
      <c r="EK157" s="14">
        <f>INT(SUMPRODUCT($U157:$Y157,$BF157:$BJ157)/SUM($BF157:$BJ157)/10000*$BX$7*$BZ$46/'疲劳值&amp;地图信息'!$R$10*$BY$54)</f>
        <v>781</v>
      </c>
      <c r="EL157" s="50">
        <f t="shared" si="254"/>
        <v>0.86171128695010457</v>
      </c>
      <c r="EM157" s="50">
        <f t="shared" si="255"/>
        <v>0.10626870567012422</v>
      </c>
      <c r="EN157" s="50">
        <f t="shared" si="256"/>
        <v>3.2020007379771225E-2</v>
      </c>
      <c r="EO157" s="51">
        <f t="shared" si="257"/>
        <v>22408</v>
      </c>
      <c r="EP157" s="51">
        <f t="shared" si="258"/>
        <v>4552</v>
      </c>
      <c r="EQ157" s="14">
        <f>INT(SUMPRODUCT($AB157:$AF157,$BF157:$BJ157)/SUM($BF157:$BJ157)/10000*$BX$7*$BZ$46/'疲劳值&amp;地图信息'!$R$10*$BY$55)</f>
        <v>1060</v>
      </c>
      <c r="ER157" s="50">
        <f t="shared" si="259"/>
        <v>0.79971448965024983</v>
      </c>
      <c r="ES157" s="50">
        <f t="shared" si="260"/>
        <v>0.16245538900785153</v>
      </c>
      <c r="ET157" s="50">
        <f t="shared" si="261"/>
        <v>3.7830121341898643E-2</v>
      </c>
      <c r="EU157" s="51">
        <f t="shared" si="262"/>
        <v>25897</v>
      </c>
      <c r="EV157" s="51">
        <f t="shared" si="263"/>
        <v>12692</v>
      </c>
      <c r="EW157" s="14">
        <f>INT(SUMPRODUCT($AI157:$AM157,$BF157:$BJ157)/SUM($BF157:$BJ157)/10000*$BX$7*$BZ$46/'疲劳值&amp;地图信息'!$R$10*$BY$56)</f>
        <v>1591</v>
      </c>
      <c r="EX157" s="50">
        <f t="shared" si="264"/>
        <v>0.64452463912394231</v>
      </c>
      <c r="EY157" s="50">
        <f t="shared" si="265"/>
        <v>0.31587854654056746</v>
      </c>
      <c r="EZ157" s="50">
        <f t="shared" si="266"/>
        <v>3.9596814335490296E-2</v>
      </c>
      <c r="FA157" s="51">
        <f t="shared" si="267"/>
        <v>26278</v>
      </c>
      <c r="FB157" s="51">
        <f t="shared" si="268"/>
        <v>22763</v>
      </c>
      <c r="FC157" s="14">
        <f>INT(SUMPRODUCT($AP157:$AT157,$BF157:$BJ157)/SUM($BF157:$BJ157)/10000*$BX$7*$BZ$46/'疲劳值&amp;地图信息'!$R$10*$BY$57)</f>
        <v>2121</v>
      </c>
      <c r="FD157" s="50">
        <f t="shared" si="269"/>
        <v>0.51362339236151833</v>
      </c>
      <c r="FE157" s="50">
        <f t="shared" si="270"/>
        <v>0.44492005785543959</v>
      </c>
      <c r="FF157" s="50">
        <f t="shared" si="271"/>
        <v>4.1456549783042099E-2</v>
      </c>
      <c r="FH157" s="14">
        <f t="shared" si="272"/>
        <v>21557</v>
      </c>
      <c r="FI157" s="14">
        <f t="shared" si="273"/>
        <v>24391</v>
      </c>
      <c r="FJ157" s="14">
        <f t="shared" si="274"/>
        <v>28020</v>
      </c>
      <c r="FK157" s="14">
        <f t="shared" si="275"/>
        <v>40180</v>
      </c>
      <c r="FL157" s="14">
        <f t="shared" si="276"/>
        <v>51162</v>
      </c>
      <c r="FM157" s="14">
        <f t="shared" si="277"/>
        <v>2524180</v>
      </c>
      <c r="FP157" s="14">
        <f t="shared" si="278"/>
        <v>334150</v>
      </c>
      <c r="FQ157" s="50">
        <f t="shared" si="218"/>
        <v>0.11690392641857308</v>
      </c>
      <c r="FS157" s="14">
        <f t="shared" si="279"/>
        <v>2858330</v>
      </c>
      <c r="FX157" s="14">
        <v>152</v>
      </c>
      <c r="FY157" s="51">
        <f t="shared" si="280"/>
        <v>27390</v>
      </c>
      <c r="FZ157" s="51">
        <f t="shared" si="281"/>
        <v>1578</v>
      </c>
      <c r="GA157" s="51">
        <f>INT(SUMPRODUCT($N157:$R157,$BF157:$BJ157)/SUM($BF157:$BJ157)/10000*$BX$7*$BZ$46/'疲劳值&amp;地图信息'!$R$10*$BY$53)</f>
        <v>415</v>
      </c>
      <c r="GB157" s="50">
        <f t="shared" si="282"/>
        <v>0.93217166388728179</v>
      </c>
      <c r="GC157" s="50">
        <f t="shared" si="283"/>
        <v>5.3704523023516998E-2</v>
      </c>
      <c r="GD157" s="50">
        <f t="shared" si="284"/>
        <v>1.4123813089201239E-2</v>
      </c>
      <c r="GE157" s="51">
        <f t="shared" si="285"/>
        <v>29425</v>
      </c>
      <c r="GF157" s="51">
        <f t="shared" si="286"/>
        <v>2592</v>
      </c>
      <c r="GG157" s="14">
        <f>INT(SUMPRODUCT($U157:$Y157,$BF157:$BJ157)/SUM($BF157:$BJ157)/10000*$BX$7*$BZ$46/'疲劳值&amp;地图信息'!$R$10*$BY$54)</f>
        <v>781</v>
      </c>
      <c r="GH157" s="50">
        <f t="shared" si="287"/>
        <v>0.89715836331483623</v>
      </c>
      <c r="GI157" s="50">
        <f t="shared" si="288"/>
        <v>7.9029209098115741E-2</v>
      </c>
      <c r="GJ157" s="50">
        <f t="shared" si="289"/>
        <v>2.3812427587047991E-2</v>
      </c>
      <c r="GK157" s="51">
        <f t="shared" si="290"/>
        <v>31371</v>
      </c>
      <c r="GL157" s="51">
        <f t="shared" si="291"/>
        <v>4552</v>
      </c>
      <c r="GM157" s="14">
        <f>INT(SUMPRODUCT($AB157:$AF157,$BF157:$BJ157)/SUM($BF157:$BJ157)/10000*$BX$7*$BZ$46/'疲劳值&amp;地图信息'!$R$10*$BY$55)</f>
        <v>1060</v>
      </c>
      <c r="GN157" s="50">
        <f t="shared" si="292"/>
        <v>0.84825460346645754</v>
      </c>
      <c r="GO157" s="50">
        <f t="shared" si="293"/>
        <v>0.1230835789416759</v>
      </c>
      <c r="GP157" s="50">
        <f t="shared" si="294"/>
        <v>2.8661817591866534E-2</v>
      </c>
      <c r="GQ157" s="51">
        <f t="shared" si="295"/>
        <v>36255</v>
      </c>
      <c r="GR157" s="51">
        <f t="shared" si="296"/>
        <v>12692</v>
      </c>
      <c r="GS157" s="14">
        <f>INT(SUMPRODUCT($AI157:$AM157,$BF157:$BJ157)/SUM($BF157:$BJ157)/10000*$BX$7*$BZ$46/'疲劳值&amp;地图信息'!$R$10*$BY$56)</f>
        <v>1591</v>
      </c>
      <c r="GT157" s="50">
        <f t="shared" si="297"/>
        <v>0.71738098064822509</v>
      </c>
      <c r="GU157" s="50">
        <f t="shared" si="298"/>
        <v>0.25113775772685898</v>
      </c>
      <c r="GV157" s="50">
        <f t="shared" si="299"/>
        <v>3.1481261624915907E-2</v>
      </c>
      <c r="GW157" s="51">
        <f t="shared" si="300"/>
        <v>36790</v>
      </c>
      <c r="GX157" s="51">
        <f t="shared" si="301"/>
        <v>22763</v>
      </c>
      <c r="GY157" s="14">
        <f>INT(SUMPRODUCT($AP157:$AT157,$BF157:$BJ157)/SUM($BF157:$BJ157)/10000*$BX$7*$BZ$46/'疲劳值&amp;地图信息'!$R$10*$BY$57)</f>
        <v>2121</v>
      </c>
      <c r="GZ157" s="50">
        <f t="shared" si="302"/>
        <v>0.59652365664623663</v>
      </c>
      <c r="HA157" s="50">
        <f t="shared" si="303"/>
        <v>0.36908583844083404</v>
      </c>
      <c r="HB157" s="50">
        <f t="shared" si="304"/>
        <v>3.4390504912929276E-2</v>
      </c>
      <c r="HD157" s="14">
        <f t="shared" si="305"/>
        <v>29383</v>
      </c>
      <c r="HE157" s="14">
        <f t="shared" si="306"/>
        <v>32798</v>
      </c>
      <c r="HF157" s="14">
        <f t="shared" si="307"/>
        <v>36983</v>
      </c>
      <c r="HG157" s="14">
        <f t="shared" si="308"/>
        <v>50538</v>
      </c>
      <c r="HH157" s="14">
        <f t="shared" si="309"/>
        <v>61674</v>
      </c>
      <c r="HI157" s="14">
        <f t="shared" si="310"/>
        <v>3389607</v>
      </c>
      <c r="HL157" s="14">
        <f t="shared" si="311"/>
        <v>430050</v>
      </c>
      <c r="HM157" s="50">
        <f t="shared" si="219"/>
        <v>0.11258864343054886</v>
      </c>
      <c r="HO157" s="14">
        <f t="shared" si="312"/>
        <v>3819657</v>
      </c>
    </row>
    <row r="158" spans="11:223" x14ac:dyDescent="0.2">
      <c r="K158" s="14">
        <v>153</v>
      </c>
      <c r="L158" s="12">
        <f>求节点(节奏总纲!D$4:D$163,标准城池设计!AB$4:AB$163,$K158)*求节点(节奏总纲!D$4:D$163,攻城基础信息!$AC$5:$AC$164,$K158)</f>
        <v>577793.86569328222</v>
      </c>
      <c r="M158" s="12">
        <f>INDEX(其他调用!$AA$5:$AA$404,MATCH(K158,其他调用!$X$5:$X$404,0))*MIN(INDEX(其他调用!$AH$5:$AH$364,MATCH('征服点（新）'!K158,其他调用!$AG$5:$AG$364,0),1)/INDEX(其他调用!$AJ$5:$AJ$364,MATCH(K158,其他调用!$AG$5:$AG$364,0),0),5)*求节点(节奏总纲!D$4:D$163,攻城基础信息!$AC$5:$AC$164,$K158)</f>
        <v>46562.604009105424</v>
      </c>
      <c r="N158" s="12">
        <f>MIN(INDEX(其他调用!$AH$5:$AH$364,MATCH($K158,其他调用!$AG$5:$AG$364,0),1)/INDEX(其他调用!AH$5:AH$364,MATCH($K158,其他调用!$AG$5:$AG$364,0),0),1)*INDEX(其他调用!Y$5:Y$404,MATCH($K158,其他调用!$X$5:$X$404,0),0)</f>
        <v>38590.979739740404</v>
      </c>
      <c r="O158" s="12">
        <f>MIN(INDEX(其他调用!$AH$5:$AH$364,MATCH($K158,其他调用!$AG$5:$AG$364,0),1)/INDEX(其他调用!AI$5:AI$364,MATCH($K158,其他调用!$AG$5:$AG$364,0),0),1)*INDEX(其他调用!Z$5:Z$404,MATCH($K158,其他调用!$X$5:$X$404,0),0)</f>
        <v>24193.704621217334</v>
      </c>
      <c r="P158" s="12">
        <f>MIN(INDEX(其他调用!$AH$5:$AH$364,MATCH($K158,其他调用!$AG$5:$AG$364,0),1)/INDEX(其他调用!AJ$5:AJ$364,MATCH($K158,其他调用!$AG$5:$AG$364,0),0),1)*INDEX(其他调用!AA$5:AA$404,MATCH($K158,其他调用!$X$5:$X$404,0),0)</f>
        <v>14303.460942501877</v>
      </c>
      <c r="Q158" s="12">
        <f>MIN(INDEX(其他调用!$AH$5:$AH$364,MATCH($K158,其他调用!$AG$5:$AG$364,0),1)/INDEX(其他调用!AK$5:AK$364,MATCH($K158,其他调用!$AG$5:$AG$364,0),0),1)*INDEX(其他调用!AB$5:AB$404,MATCH($K158,其他调用!$X$5:$X$404,0),0)</f>
        <v>5393.376163660424</v>
      </c>
      <c r="R158" s="12">
        <f>MIN(INDEX(其他调用!$AH$5:$AH$364,MATCH($K158,其他调用!$AG$5:$AG$364,0),1)/INDEX(其他调用!AL$5:AL$364,MATCH($K158,其他调用!$AG$5:$AG$364,0),0),1)*INDEX(其他调用!AC$5:AC$404,MATCH($K158,其他调用!$X$5:$X$404,0),0)</f>
        <v>1966.6944054333437</v>
      </c>
      <c r="S158" s="12">
        <f>求节点(节奏总纲!D$4:D$163,标准城池设计!AC$4:AC$163,$K158)*求节点(节奏总纲!D$4:D$163,攻城基础信息!$AD$5:$AD$164,$K158)</f>
        <v>620588.31755267153</v>
      </c>
      <c r="T158" s="12">
        <f>INDEX(其他调用!$AA$5:$AA$404,MATCH($K158,其他调用!$X$5:$X$404,0))*MIN(INDEX(其他调用!AI$5:AI$364,MATCH($K158,其他调用!$AG$5:$AG$364,0),1)/INDEX(其他调用!$AJ$5:$AJ$364,MATCH($K158,其他调用!$AG$5:$AG$364,0),0),5)*求节点(节奏总纲!D$4:D$163,攻城基础信息!$AD$5:$AD$164,$K158)</f>
        <v>76481.207212308262</v>
      </c>
      <c r="U158" s="12">
        <f>MIN(INDEX(其他调用!$AI$5:$AI$364,MATCH($K158,其他调用!$AG$5:$AG$364,0),1)/INDEX(其他调用!AH$5:AH$364,MATCH($K158,其他调用!$AG$5:$AG$364,0),0),1)*INDEX(其他调用!Y$5:Y$404,MATCH($K158,其他调用!$X$5:$X$404,0),0)</f>
        <v>38590.979739740404</v>
      </c>
      <c r="V158" s="12">
        <f>MIN(INDEX(其他调用!$AI$5:$AI$364,MATCH($K158,其他调用!$AG$5:$AG$364,0),1)/INDEX(其他调用!AI$5:AI$364,MATCH($K158,其他调用!$AG$5:$AG$364,0),0),1)*INDEX(其他调用!Z$5:Z$404,MATCH($K158,其他调用!$X$5:$X$404,0),0)</f>
        <v>39739.26664425512</v>
      </c>
      <c r="W158" s="12">
        <f>MIN(INDEX(其他调用!$AI$5:$AI$364,MATCH($K158,其他调用!$AG$5:$AG$364,0),1)/INDEX(其他调用!AJ$5:AJ$364,MATCH($K158,其他调用!$AG$5:$AG$364,0),0),1)*INDEX(其他调用!AA$5:AA$404,MATCH($K158,其他调用!$X$5:$X$404,0),0)</f>
        <v>23494.088947059758</v>
      </c>
      <c r="X158" s="12">
        <f>MIN(INDEX(其他调用!$AI$5:$AI$364,MATCH($K158,其他调用!$AG$5:$AG$364,0),1)/INDEX(其他调用!AK$5:AK$364,MATCH($K158,其他调用!$AG$5:$AG$364,0),0),1)*INDEX(其他调用!AB$5:AB$404,MATCH($K158,其他调用!$X$5:$X$404,0),0)</f>
        <v>8858.867082824092</v>
      </c>
      <c r="Y158" s="12">
        <f>MIN(INDEX(其他调用!$AI$5:$AI$364,MATCH($K158,其他调用!$AG$5:$AG$364,0),1)/INDEX(其他调用!AL$5:AL$364,MATCH($K158,其他调用!$AG$5:$AG$364,0),0),1)*INDEX(其他调用!AC$5:AC$404,MATCH($K158,其他调用!$X$5:$X$404,0),0)</f>
        <v>3230.3855324719584</v>
      </c>
      <c r="Z158" s="12">
        <f>求节点(节奏总纲!D$4:D$163,标准城池设计!AD$4:AD$163,$K158)*求节点(节奏总纲!D$4:D$163,攻城基础信息!$AE$5:$AE$164,$K158)</f>
        <v>661463.47069008998</v>
      </c>
      <c r="AA158" s="12">
        <f>INDEX(其他调用!$AA$5:$AA$404,MATCH($K158,其他调用!$X$5:$X$404,0))*MIN(INDEX(其他调用!AJ$5:AJ$364,MATCH($K158,其他调用!$AG$5:$AG$364,0),1)/INDEX(其他调用!$AJ$5:$AJ$364,MATCH($K158,其他调用!$AG$5:$AG$364,0),0),5)*求节点(节奏总纲!D$4:D$163,攻城基础信息!$AE$5:$AE$164,$K158)</f>
        <v>134277.53716847871</v>
      </c>
      <c r="AB158" s="12">
        <f>MIN(INDEX(其他调用!$AJ$5:$AJ$364,MATCH($K158,其他调用!$AG$5:$AG$364,0),1)/INDEX(其他调用!AH$5:AH$364,MATCH($K158,其他调用!$AG$5:$AG$364,0),0),1)*INDEX(其他调用!Y$5:Y$404,MATCH($K158,其他调用!$X$5:$X$404,0),0)</f>
        <v>38590.979739740404</v>
      </c>
      <c r="AC158" s="12">
        <f>MIN(INDEX(其他调用!$AJ$5:$AJ$364,MATCH($K158,其他调用!$AG$5:$AG$364,0),1)/INDEX(其他调用!AI$5:AI$364,MATCH($K158,其他调用!$AG$5:$AG$364,0),0),1)*INDEX(其他调用!Z$5:Z$404,MATCH($K158,其他调用!$X$5:$X$404,0),0)</f>
        <v>39739.26664425512</v>
      </c>
      <c r="AD158" s="12">
        <f>MIN(INDEX(其他调用!$AJ$5:$AJ$364,MATCH($K158,其他调用!$AG$5:$AG$364,0),1)/INDEX(其他调用!AJ$5:AJ$364,MATCH($K158,其他调用!$AG$5:$AG$364,0),0),1)*INDEX(其他调用!AA$5:AA$404,MATCH($K158,其他调用!$X$5:$X$404,0),0)</f>
        <v>41248.412738451974</v>
      </c>
      <c r="AE158" s="12">
        <f>MIN(INDEX(其他调用!$AJ$5:$AJ$364,MATCH($K158,其他调用!$AG$5:$AG$364,0),1)/INDEX(其他调用!AK$5:AK$364,MATCH($K158,其他调用!$AG$5:$AG$364,0),0),1)*INDEX(其他调用!AB$5:AB$404,MATCH($K158,其他调用!$X$5:$X$404,0),0)</f>
        <v>15553.45289833616</v>
      </c>
      <c r="AF158" s="12">
        <f>MIN(INDEX(其他调用!$AJ$5:$AJ$364,MATCH($K158,其他调用!$AG$5:$AG$364,0),1)/INDEX(其他调用!AL$5:AL$364,MATCH($K158,其他调用!$AG$5:$AG$364,0),0),1)*INDEX(其他调用!AC$5:AC$404,MATCH($K158,其他调用!$X$5:$X$404,0),0)</f>
        <v>5671.5659861500217</v>
      </c>
      <c r="AG158" s="12">
        <f>求节点(节奏总纲!D$4:D$163,标准城池设计!AE$4:AE$163,$K158)*求节点(节奏总纲!D$4:D$163,攻城基础信息!$AF$5:$AF$164,$K158)</f>
        <v>765555.64312514511</v>
      </c>
      <c r="AH158" s="12">
        <f>INDEX(其他调用!$AA$5:$AA$404,MATCH($K158,其他调用!$X$5:$X$404,0))*MIN(INDEX(其他调用!AK$5:AK$364,MATCH($K158,其他调用!$AG$5:$AG$364,0),1)/INDEX(其他调用!$AJ$5:$AJ$364,MATCH($K158,其他调用!$AG$5:$AG$364,0),0),5)*求节点(节奏总纲!D$4:D$163,攻城基础信息!$AF$5:$AF$164,$K158)</f>
        <v>375122.30559862946</v>
      </c>
      <c r="AI158" s="12">
        <f>MIN(INDEX(其他调用!$AK$5:$AK$364,MATCH($K158,其他调用!$AG$5:$AG$364,0),1)/INDEX(其他调用!AH$5:AH$364,MATCH($K158,其他调用!$AG$5:$AG$364,0),0),1)*INDEX(其他调用!Y$5:Y$404,MATCH($K158,其他调用!$X$5:$X$404,0),0)</f>
        <v>38590.979739740404</v>
      </c>
      <c r="AJ158" s="12">
        <f>MIN(INDEX(其他调用!$AK$5:$AK$364,MATCH($K158,其他调用!$AG$5:$AG$364,0),1)/INDEX(其他调用!AI$5:AI$364,MATCH($K158,其他调用!$AG$5:$AG$364,0),0),1)*INDEX(其他调用!Z$5:Z$404,MATCH($K158,其他调用!$X$5:$X$404,0),0)</f>
        <v>39739.26664425512</v>
      </c>
      <c r="AK158" s="12">
        <f>MIN(INDEX(其他调用!$AK$5:$AK$364,MATCH($K158,其他调用!$AG$5:$AG$364,0),1)/INDEX(其他调用!AJ$5:AJ$364,MATCH($K158,其他调用!$AG$5:$AG$364,0),0),1)*INDEX(其他调用!AA$5:AA$404,MATCH($K158,其他调用!$X$5:$X$404,0),0)</f>
        <v>41248.412738451974</v>
      </c>
      <c r="AL158" s="12">
        <f>MIN(INDEX(其他调用!$AK$5:$AK$364,MATCH($K158,其他调用!$AG$5:$AG$364,0),1)/INDEX(其他调用!AK$5:AK$364,MATCH($K158,其他调用!$AG$5:$AG$364,0),0),1)*INDEX(其他调用!AB$5:AB$404,MATCH($K158,其他调用!$X$5:$X$404,0),0)</f>
        <v>43450.656262208897</v>
      </c>
      <c r="AM158" s="12">
        <f>MIN(INDEX(其他调用!$AK$5:$AK$364,MATCH($K158,其他调用!$AG$5:$AG$364,0),1)/INDEX(其他调用!AL$5:AL$364,MATCH($K158,其他调用!$AG$5:$AG$364,0),0),1)*INDEX(其他调用!AC$5:AC$404,MATCH($K158,其他调用!$X$5:$X$404,0),0)</f>
        <v>15844.280092879104</v>
      </c>
      <c r="AN158" s="12">
        <f>求节点(节奏总纲!D$4:D$163,标准城池设计!AF$4:AF$163,$K158)*求节点(节奏总纲!D$4:D$163,攻城基础信息!$AG$5:$AG$164,$K158)</f>
        <v>777257.53756012267</v>
      </c>
      <c r="AO158" s="12">
        <f>INDEX(其他调用!$AA$5:$AA$404,MATCH($K158,其他调用!$X$5:$X$404,0))*MIN(INDEX(其他调用!AL$5:AL$364,MATCH($K158,其他调用!$AG$5:$AG$364,0),1)/INDEX(其他调用!$AJ$5:$AJ$364,MATCH($K158,其他调用!$AG$5:$AG$364,0),0),5)*求节点(节奏总纲!D$4:D$163,攻城基础信息!$AG$5:$AG$164,$K158)</f>
        <v>671387.68584239343</v>
      </c>
      <c r="AP158" s="12">
        <f>MIN(INDEX(其他调用!$AL$5:$AL$364,MATCH($K158,其他调用!$AG$5:$AG$364,0),1)/INDEX(其他调用!AH$5:AH$364,MATCH($K158,其他调用!$AG$5:$AG$364,0),0),1)*INDEX(其他调用!Y$5:Y$404,MATCH($K158,其他调用!$X$5:$X$404,0),0)</f>
        <v>38590.979739740404</v>
      </c>
      <c r="AQ158" s="12">
        <f>MIN(INDEX(其他调用!$AL$5:$AL$364,MATCH($K158,其他调用!$AG$5:$AG$364,0),1)/INDEX(其他调用!AI$5:AI$364,MATCH($K158,其他调用!$AG$5:$AG$364,0),0),1)*INDEX(其他调用!Z$5:Z$404,MATCH($K158,其他调用!$X$5:$X$404,0),0)</f>
        <v>39739.26664425512</v>
      </c>
      <c r="AR158" s="12">
        <f>MIN(INDEX(其他调用!$AL$5:$AL$364,MATCH($K158,其他调用!$AG$5:$AG$364,0),1)/INDEX(其他调用!AJ$5:AJ$364,MATCH($K158,其他调用!$AG$5:$AG$364,0),0),1)*INDEX(其他调用!AA$5:AA$404,MATCH($K158,其他调用!$X$5:$X$404,0),0)</f>
        <v>41248.412738451974</v>
      </c>
      <c r="AS158" s="12">
        <f>MIN(INDEX(其他调用!$AL$5:$AL$364,MATCH($K158,其他调用!$AG$5:$AG$364,0),1)/INDEX(其他调用!AK$5:AK$364,MATCH($K158,其他调用!$AG$5:$AG$364,0),0),1)*INDEX(其他调用!AB$5:AB$404,MATCH($K158,其他调用!$X$5:$X$404,0),0)</f>
        <v>43450.656262208897</v>
      </c>
      <c r="AT158" s="12">
        <f>MIN(INDEX(其他调用!$AL$5:$AL$364,MATCH($K158,其他调用!$AG$5:$AG$364,0),1)/INDEX(其他调用!AL$5:AL$364,MATCH($K158,其他调用!$AG$5:$AG$364,0),0),1)*INDEX(其他调用!AC$5:AC$404,MATCH($K158,其他调用!$X$5:$X$404,0),0)</f>
        <v>47385.026706389872</v>
      </c>
      <c r="AV158" s="14">
        <f>IF(OR(AV$5="大R",AV$5="超R"),MAX(INDEX(其他调用!$H$5:$L$404,MATCH($K158,其他调用!$B$5:$B$404,0),MATCH(AV$5,其他调用!$H$4:$L$4,0))*120*0.85,2),INDEX(其他调用!$H$5:$L$404,MATCH($K158,其他调用!$B$5:$B$404,0),MATCH(AV$5,其他调用!$H$4:$L$4,0))*120*0.85)</f>
        <v>48.921801254999991</v>
      </c>
      <c r="AW158" s="14">
        <f>IF(OR(AW$5="大R",AW$5="超R"),MAX(INDEX(其他调用!$H$5:$L$404,MATCH($K158,其他调用!$B$5:$B$404,0),MATCH(AW$5,其他调用!$H$4:$L$4,0))*120*0.85,2),INDEX(其他调用!$H$5:$L$404,MATCH($K158,其他调用!$B$5:$B$404,0),MATCH(AW$5,其他调用!$H$4:$L$4,0))*120*0.85)</f>
        <v>48.237344010638395</v>
      </c>
      <c r="AX158" s="14">
        <f>IF(OR(AX$5="大R",AX$5="超R"),MAX(INDEX(其他调用!$H$5:$L$404,MATCH($K158,其他调用!$B$5:$B$404,0),MATCH(AX$5,其他调用!$H$4:$L$4,0))*120*0.85,2),INDEX(其他调用!$H$5:$L$404,MATCH($K158,其他调用!$B$5:$B$404,0),MATCH(AX$5,其他调用!$H$4:$L$4,0))*120*0.85)</f>
        <v>3.9376284143615998</v>
      </c>
      <c r="AY158" s="14">
        <f>IF(OR(AY$5="大R",AY$5="超R"),MAX(INDEX(其他调用!$H$5:$L$404,MATCH($K158,其他调用!$B$5:$B$404,0),MATCH(AY$5,其他调用!$H$4:$L$4,0))*120*0.85,2),INDEX(其他调用!$H$5:$L$404,MATCH($K158,其他调用!$B$5:$B$404,0),MATCH(AY$5,其他调用!$H$4:$L$4,0))*120*0.85)</f>
        <v>2</v>
      </c>
      <c r="AZ158" s="14">
        <f>IF(OR(AZ$5="大R",AZ$5="超R"),MAX(INDEX(其他调用!$H$5:$L$404,MATCH($K158,其他调用!$B$5:$B$404,0),MATCH(AZ$5,其他调用!$H$4:$L$4,0))*120*0.85,2),INDEX(其他调用!$H$5:$L$404,MATCH($K158,其他调用!$B$5:$B$404,0),MATCH(AZ$5,其他调用!$H$4:$L$4,0))*120*0.85)</f>
        <v>2</v>
      </c>
      <c r="BA158" s="14">
        <f>INDEX(其他调用!$H$5:$L$404,MATCH($K158,其他调用!$B$5:$B$404,0),MATCH(BA$5,其他调用!$H$4:$L$4,0))*INDEX(其他调用!$M$5:$M$404,MATCH($K158,其他调用!$B$5:$B$404,0))*0.6</f>
        <v>28.777530149999997</v>
      </c>
      <c r="BB158" s="14">
        <f>INDEX(其他调用!$H$5:$L$404,MATCH($K158,其他调用!$B$5:$B$404,0),MATCH(BB$5,其他调用!$H$4:$L$4,0))*INDEX(其他调用!$M$5:$M$404,MATCH($K158,其他调用!$B$5:$B$404,0))*0.6</f>
        <v>28.374908241551999</v>
      </c>
      <c r="BC158" s="14">
        <f>INDEX(其他调用!$H$5:$L$404,MATCH($K158,其他调用!$B$5:$B$404,0),MATCH(BC$5,其他调用!$H$4:$L$4,0))*INDEX(其他调用!$M$5:$M$404,MATCH($K158,其他调用!$B$5:$B$404,0))*0.6</f>
        <v>2.3162520084480001</v>
      </c>
      <c r="BD158" s="14">
        <f>INDEX(其他调用!$H$5:$L$404,MATCH($K158,其他调用!$B$5:$B$404,0),MATCH(BD$5,其他调用!$H$4:$L$4,0))*INDEX(其他调用!$M$5:$M$404,MATCH($K158,其他调用!$B$5:$B$404,0))*0.6</f>
        <v>0.4120776000000001</v>
      </c>
      <c r="BE158" s="14">
        <f>INDEX(其他调用!$H$5:$L$404,MATCH($K158,其他调用!$B$5:$B$404,0),MATCH(BE$5,其他调用!$H$4:$L$4,0))*INDEX(其他调用!$M$5:$M$404,MATCH($K158,其他调用!$B$5:$B$404,0))*0.6</f>
        <v>0.11923199999999998</v>
      </c>
      <c r="BF158" s="14">
        <f>IF(OR(BF$5="大R",BF$5="超R"),0,INDEX(其他调用!$H$5:$L$404,MATCH($K158,其他调用!$B$5:$B$404,0),MATCH(BF$5,其他调用!$H$4:$L$4,0))*50*0.4)</f>
        <v>9.5925100500000013</v>
      </c>
      <c r="BG158" s="14">
        <f>IF(OR(BG$5="大R",BG$5="超R"),0,INDEX(其他调用!$H$5:$L$404,MATCH($K158,其他调用!$B$5:$B$404,0),MATCH(BG$5,其他调用!$H$4:$L$4,0))*50*0.4)</f>
        <v>9.4583027471839998</v>
      </c>
      <c r="BH158" s="14">
        <f>IF(OR(BH$5="大R",BH$5="超R"),0,INDEX(其他调用!$H$5:$L$404,MATCH($K158,其他调用!$B$5:$B$404,0),MATCH(BH$5,其他调用!$H$4:$L$4,0))*50*0.4)</f>
        <v>0.77208400281600009</v>
      </c>
      <c r="BI158" s="14">
        <f>IF(OR(BI$5="大R",BI$5="超R"),0,INDEX(其他调用!$H$5:$L$404,MATCH($K158,其他调用!$B$5:$B$404,0),MATCH(BI$5,其他调用!$H$4:$L$4,0))*50*0.4)</f>
        <v>0</v>
      </c>
      <c r="BJ158" s="14">
        <f>IF(OR(BJ$5="大R",BJ$5="超R"),0,INDEX(其他调用!$H$5:$L$404,MATCH($K158,其他调用!$B$5:$B$404,0),MATCH(BJ$5,其他调用!$H$4:$L$4,0))*50*0.4)</f>
        <v>0</v>
      </c>
      <c r="BL158" s="14">
        <f t="shared" si="313"/>
        <v>153</v>
      </c>
      <c r="BM158" s="14">
        <f t="shared" si="220"/>
        <v>96</v>
      </c>
      <c r="BN158" s="14">
        <f>('疲劳值&amp;地图信息'!$S$10*'疲劳值&amp;地图信息'!$R$10+'疲劳值&amp;地图信息'!$S$11*'疲劳值&amp;地图信息'!$R$11+'疲劳值&amp;地图信息'!$S$12*'疲劳值&amp;地图信息'!$R$12+(BM158-'疲劳值&amp;地图信息'!$S$12-'疲劳值&amp;地图信息'!$S$11-'疲劳值&amp;地图信息'!$S$10)*'疲劳值&amp;地图信息'!$R$13)/BM158</f>
        <v>51.371477246638619</v>
      </c>
      <c r="BO158" s="14">
        <f>INDEX(其他调用!$M$5:$M$404,MATCH(BL158,其他调用!$B$5:$B$404,0))*0.6</f>
        <v>60</v>
      </c>
      <c r="BP158" s="14">
        <f>IF(BO158&gt;SUM('疲劳值&amp;地图信息'!$S$10:$S$12),('疲劳值&amp;地图信息'!$S$10*'疲劳值&amp;地图信息'!$R$10+'疲劳值&amp;地图信息'!$S$11*'疲劳值&amp;地图信息'!$R$11+'疲劳值&amp;地图信息'!$S$12*'疲劳值&amp;地图信息'!$R$12+(BO158-'疲劳值&amp;地图信息'!$S$12-'疲劳值&amp;地图信息'!$S$11-'疲劳值&amp;地图信息'!$S$10)*'疲劳值&amp;地图信息'!$R$13)/BO158,('疲劳值&amp;地图信息'!$S$10*'疲劳值&amp;地图信息'!$R$10+'疲劳值&amp;地图信息'!$S$11*'疲劳值&amp;地图信息'!$R$11+'疲劳值&amp;地图信息'!$S$12*'疲劳值&amp;地图信息'!$R$12+(BO158-'疲劳值&amp;地图信息'!$S$12-'疲劳值&amp;地图信息'!$S$11-'疲劳值&amp;地图信息'!$S$10)*'疲劳值&amp;地图信息'!$R$13)/BO158)</f>
        <v>44.158136341605953</v>
      </c>
      <c r="BQ158" s="14">
        <f t="shared" si="314"/>
        <v>20</v>
      </c>
      <c r="BR158" s="14">
        <f>('疲劳值&amp;地图信息'!$S$10*'疲劳值&amp;地图信息'!$R$10+($BQ158-'疲劳值&amp;地图信息'!$S$10)*'疲劳值&amp;地图信息'!$R$11)/$BQ158</f>
        <v>32.067203015074995</v>
      </c>
      <c r="CF158" s="14">
        <v>153</v>
      </c>
      <c r="CG158" s="51">
        <f t="shared" si="221"/>
        <v>11776</v>
      </c>
      <c r="CH158" s="51">
        <f t="shared" si="222"/>
        <v>949</v>
      </c>
      <c r="CI158" s="51">
        <f>INT(SUMPRODUCT($N158:$R158,$BA158:$BE158)/SUM($BA158:$BE158)/10000*$BX$7*$BZ$34/'疲劳值&amp;地图信息'!$R$10*$BY$53)</f>
        <v>3099</v>
      </c>
      <c r="CJ158" s="50">
        <f t="shared" si="223"/>
        <v>0.7441860465116279</v>
      </c>
      <c r="CK158" s="50">
        <f t="shared" si="224"/>
        <v>5.9972194135490396E-2</v>
      </c>
      <c r="CL158" s="50">
        <f t="shared" si="225"/>
        <v>0.1958417593528817</v>
      </c>
      <c r="CM158" s="14">
        <f t="shared" si="226"/>
        <v>12648</v>
      </c>
      <c r="CN158" s="14">
        <f t="shared" si="227"/>
        <v>1558</v>
      </c>
      <c r="CO158" s="14">
        <f>INT(SUMPRODUCT($U158:$Y158,$BA158:$BE158)/SUM($BA158:$BE158)/10000*$BX$7*$BZ$34/'疲劳值&amp;地图信息'!$R$10*$BY$54)</f>
        <v>5825</v>
      </c>
      <c r="CP158" s="50">
        <f t="shared" si="228"/>
        <v>0.63142129698966598</v>
      </c>
      <c r="CQ158" s="50">
        <f t="shared" si="229"/>
        <v>7.7779441865109086E-2</v>
      </c>
      <c r="CR158" s="50">
        <f t="shared" si="230"/>
        <v>0.29079926114522492</v>
      </c>
      <c r="CS158" s="14">
        <f t="shared" si="231"/>
        <v>13481</v>
      </c>
      <c r="CT158" s="14">
        <f t="shared" si="232"/>
        <v>2736</v>
      </c>
      <c r="CU158" s="14">
        <f>INT(SUMPRODUCT($AB158:$AF158,$BA158:$BE158)/SUM($BA158:$BE158)/10000*$BX$7*$BZ$34/'疲劳值&amp;地图信息'!$R$10*$BY$55)</f>
        <v>7917</v>
      </c>
      <c r="CV158" s="50">
        <f t="shared" si="233"/>
        <v>0.55858954172536668</v>
      </c>
      <c r="CW158" s="50">
        <f t="shared" si="234"/>
        <v>0.1133670340598326</v>
      </c>
      <c r="CX158" s="50">
        <f t="shared" si="235"/>
        <v>0.32804342421480071</v>
      </c>
      <c r="CY158" s="14">
        <f t="shared" si="236"/>
        <v>15603</v>
      </c>
      <c r="CZ158" s="14">
        <f t="shared" si="237"/>
        <v>7645</v>
      </c>
      <c r="DA158" s="14">
        <f>INT(SUMPRODUCT($AI158:$AM158,$BA158:$BE158)/SUM($BA158:$BE158)/10000*$BX$7*$BZ$34/'疲劳值&amp;地图信息'!$R$10*$BY$56)</f>
        <v>11940</v>
      </c>
      <c r="DB158" s="50">
        <f t="shared" si="238"/>
        <v>0.443418210753666</v>
      </c>
      <c r="DC158" s="50">
        <f t="shared" si="239"/>
        <v>0.2172615664431056</v>
      </c>
      <c r="DD158" s="50">
        <f t="shared" si="240"/>
        <v>0.33932022280322838</v>
      </c>
      <c r="DE158" s="14">
        <f t="shared" si="241"/>
        <v>15841</v>
      </c>
      <c r="DF158" s="14">
        <f t="shared" si="242"/>
        <v>13683</v>
      </c>
      <c r="DG158" s="14">
        <f>INT(SUMPRODUCT($AP158:$AT158,$BA158:$BE158)/SUM($BA158:$BE158)/10000*$BX$7*$BZ$34/'疲劳值&amp;地图信息'!$R$10*$BY$57)</f>
        <v>15945</v>
      </c>
      <c r="DH158" s="50">
        <f t="shared" si="243"/>
        <v>0.34839121159471287</v>
      </c>
      <c r="DI158" s="50">
        <f t="shared" si="244"/>
        <v>0.3009303041632761</v>
      </c>
      <c r="DJ158" s="50">
        <f t="shared" si="245"/>
        <v>0.35067848424201103</v>
      </c>
      <c r="DL158" s="14">
        <f t="shared" si="316"/>
        <v>15824</v>
      </c>
      <c r="DM158" s="14">
        <f t="shared" si="317"/>
        <v>20031</v>
      </c>
      <c r="DN158" s="14">
        <f t="shared" si="318"/>
        <v>24134</v>
      </c>
      <c r="DO158" s="14">
        <f t="shared" si="319"/>
        <v>35188</v>
      </c>
      <c r="DP158" s="14">
        <f t="shared" si="320"/>
        <v>45469</v>
      </c>
      <c r="DQ158" s="14">
        <f t="shared" si="321"/>
        <v>1099575</v>
      </c>
      <c r="DT158" s="14">
        <f t="shared" si="315"/>
        <v>235575</v>
      </c>
      <c r="DU158" s="50">
        <f t="shared" si="217"/>
        <v>0.17644084934277046</v>
      </c>
      <c r="DW158" s="14">
        <f t="shared" si="246"/>
        <v>1335150</v>
      </c>
      <c r="EB158" s="14">
        <v>153</v>
      </c>
      <c r="EC158" s="51">
        <f t="shared" si="247"/>
        <v>19626</v>
      </c>
      <c r="ED158" s="51">
        <f t="shared" si="248"/>
        <v>1581</v>
      </c>
      <c r="EE158" s="51">
        <f>INT(SUMPRODUCT($N158:$R158,$BF158:$BJ158)/SUM($BF158:$BJ158)/10000*$BX$7*$BZ$46/'疲劳值&amp;地图信息'!$R$10*$BY$53)</f>
        <v>416</v>
      </c>
      <c r="EF158" s="50">
        <f t="shared" si="249"/>
        <v>0.90764463765434955</v>
      </c>
      <c r="EG158" s="50">
        <f t="shared" si="250"/>
        <v>7.3116588817462885E-2</v>
      </c>
      <c r="EH158" s="50">
        <f t="shared" si="251"/>
        <v>1.9238773528187578E-2</v>
      </c>
      <c r="EI158" s="51">
        <f t="shared" si="252"/>
        <v>21080</v>
      </c>
      <c r="EJ158" s="51">
        <f t="shared" si="253"/>
        <v>2597</v>
      </c>
      <c r="EK158" s="14">
        <f>INT(SUMPRODUCT($U158:$Y158,$BF158:$BJ158)/SUM($BF158:$BJ158)/10000*$BX$7*$BZ$46/'疲劳值&amp;地图信息'!$R$10*$BY$54)</f>
        <v>782</v>
      </c>
      <c r="EL158" s="50">
        <f t="shared" si="254"/>
        <v>0.86185044359949303</v>
      </c>
      <c r="EM158" s="50">
        <f t="shared" si="255"/>
        <v>0.10617768510568706</v>
      </c>
      <c r="EN158" s="50">
        <f t="shared" si="256"/>
        <v>3.1971871294819904E-2</v>
      </c>
      <c r="EO158" s="51">
        <f t="shared" si="257"/>
        <v>22469</v>
      </c>
      <c r="EP158" s="51">
        <f t="shared" si="258"/>
        <v>4561</v>
      </c>
      <c r="EQ158" s="14">
        <f>INT(SUMPRODUCT($AB158:$AF158,$BF158:$BJ158)/SUM($BF158:$BJ158)/10000*$BX$7*$BZ$46/'疲劳值&amp;地图信息'!$R$10*$BY$55)</f>
        <v>1061</v>
      </c>
      <c r="ER158" s="50">
        <f t="shared" si="259"/>
        <v>0.79986472535687592</v>
      </c>
      <c r="ES158" s="50">
        <f t="shared" si="260"/>
        <v>0.16236517033925457</v>
      </c>
      <c r="ET158" s="50">
        <f t="shared" si="261"/>
        <v>3.7770104303869567E-2</v>
      </c>
      <c r="EU158" s="51">
        <f t="shared" si="262"/>
        <v>26005</v>
      </c>
      <c r="EV158" s="51">
        <f t="shared" si="263"/>
        <v>12742</v>
      </c>
      <c r="EW158" s="14">
        <f>INT(SUMPRODUCT($AI158:$AM158,$BF158:$BJ158)/SUM($BF158:$BJ158)/10000*$BX$7*$BZ$46/'疲劳值&amp;地图信息'!$R$10*$BY$56)</f>
        <v>1592</v>
      </c>
      <c r="EX158" s="50">
        <f t="shared" si="264"/>
        <v>0.6446614938397085</v>
      </c>
      <c r="EY158" s="50">
        <f t="shared" si="265"/>
        <v>0.31587297652395946</v>
      </c>
      <c r="EZ158" s="50">
        <f t="shared" si="266"/>
        <v>3.9465529636332083E-2</v>
      </c>
      <c r="FA158" s="51">
        <f t="shared" si="267"/>
        <v>26402</v>
      </c>
      <c r="FB158" s="51">
        <f t="shared" si="268"/>
        <v>22806</v>
      </c>
      <c r="FC158" s="14">
        <f>INT(SUMPRODUCT($AP158:$AT158,$BF158:$BJ158)/SUM($BF158:$BJ158)/10000*$BX$7*$BZ$46/'疲劳值&amp;地图信息'!$R$10*$BY$57)</f>
        <v>2123</v>
      </c>
      <c r="FD158" s="50">
        <f t="shared" si="269"/>
        <v>0.51434805478171086</v>
      </c>
      <c r="FE158" s="50">
        <f t="shared" si="270"/>
        <v>0.44429292240556389</v>
      </c>
      <c r="FF158" s="50">
        <f t="shared" si="271"/>
        <v>4.135902281272525E-2</v>
      </c>
      <c r="FH158" s="14">
        <f t="shared" si="272"/>
        <v>21623</v>
      </c>
      <c r="FI158" s="14">
        <f t="shared" si="273"/>
        <v>24459</v>
      </c>
      <c r="FJ158" s="14">
        <f t="shared" si="274"/>
        <v>28091</v>
      </c>
      <c r="FK158" s="14">
        <f t="shared" si="275"/>
        <v>40339</v>
      </c>
      <c r="FL158" s="14">
        <f t="shared" si="276"/>
        <v>51331</v>
      </c>
      <c r="FM158" s="14">
        <f t="shared" si="277"/>
        <v>2531625</v>
      </c>
      <c r="FP158" s="14">
        <f t="shared" si="278"/>
        <v>334150</v>
      </c>
      <c r="FQ158" s="50">
        <f t="shared" si="218"/>
        <v>0.11660022158054976</v>
      </c>
      <c r="FS158" s="14">
        <f t="shared" si="279"/>
        <v>2865775</v>
      </c>
      <c r="FX158" s="14">
        <v>153</v>
      </c>
      <c r="FY158" s="51">
        <f t="shared" si="280"/>
        <v>27477</v>
      </c>
      <c r="FZ158" s="51">
        <f t="shared" si="281"/>
        <v>1581</v>
      </c>
      <c r="GA158" s="51">
        <f>INT(SUMPRODUCT($N158:$R158,$BF158:$BJ158)/SUM($BF158:$BJ158)/10000*$BX$7*$BZ$46/'疲劳值&amp;地图信息'!$R$10*$BY$53)</f>
        <v>416</v>
      </c>
      <c r="GB158" s="50">
        <f t="shared" si="282"/>
        <v>0.93224536879962006</v>
      </c>
      <c r="GC158" s="50">
        <f t="shared" si="283"/>
        <v>5.3640496708963835E-2</v>
      </c>
      <c r="GD158" s="50">
        <f t="shared" si="284"/>
        <v>1.4114134491416163E-2</v>
      </c>
      <c r="GE158" s="51">
        <f t="shared" si="285"/>
        <v>29512</v>
      </c>
      <c r="GF158" s="51">
        <f t="shared" si="286"/>
        <v>2597</v>
      </c>
      <c r="GG158" s="14">
        <f>INT(SUMPRODUCT($U158:$Y158,$BF158:$BJ158)/SUM($BF158:$BJ158)/10000*$BX$7*$BZ$46/'疲劳值&amp;地图信息'!$R$10*$BY$54)</f>
        <v>782</v>
      </c>
      <c r="GH158" s="50">
        <f t="shared" si="287"/>
        <v>0.89726672950047126</v>
      </c>
      <c r="GI158" s="50">
        <f t="shared" si="288"/>
        <v>7.8957769602626862E-2</v>
      </c>
      <c r="GJ158" s="50">
        <f t="shared" si="289"/>
        <v>2.3775500896901888E-2</v>
      </c>
      <c r="GK158" s="51">
        <f t="shared" si="290"/>
        <v>31456</v>
      </c>
      <c r="GL158" s="51">
        <f t="shared" si="291"/>
        <v>4561</v>
      </c>
      <c r="GM158" s="14">
        <f>INT(SUMPRODUCT($AB158:$AF158,$BF158:$BJ158)/SUM($BF158:$BJ158)/10000*$BX$7*$BZ$46/'疲劳值&amp;地图信息'!$R$10*$BY$55)</f>
        <v>1061</v>
      </c>
      <c r="GN158" s="50">
        <f t="shared" si="292"/>
        <v>0.84837369868924972</v>
      </c>
      <c r="GO158" s="50">
        <f t="shared" si="293"/>
        <v>0.12301094988942229</v>
      </c>
      <c r="GP158" s="50">
        <f t="shared" si="294"/>
        <v>2.8615351421328011E-2</v>
      </c>
      <c r="GQ158" s="51">
        <f t="shared" si="295"/>
        <v>36407</v>
      </c>
      <c r="GR158" s="51">
        <f t="shared" si="296"/>
        <v>12742</v>
      </c>
      <c r="GS158" s="14">
        <f>INT(SUMPRODUCT($AI158:$AM158,$BF158:$BJ158)/SUM($BF158:$BJ158)/10000*$BX$7*$BZ$46/'疲劳值&amp;地图信息'!$R$10*$BY$56)</f>
        <v>1592</v>
      </c>
      <c r="GT158" s="50">
        <f t="shared" si="297"/>
        <v>0.71750655288622611</v>
      </c>
      <c r="GU158" s="50">
        <f t="shared" si="298"/>
        <v>0.25111842494235431</v>
      </c>
      <c r="GV158" s="50">
        <f t="shared" si="299"/>
        <v>3.1375022171419562E-2</v>
      </c>
      <c r="GW158" s="51">
        <f t="shared" si="300"/>
        <v>36963</v>
      </c>
      <c r="GX158" s="51">
        <f t="shared" si="301"/>
        <v>22806</v>
      </c>
      <c r="GY158" s="14">
        <f>INT(SUMPRODUCT($AP158:$AT158,$BF158:$BJ158)/SUM($BF158:$BJ158)/10000*$BX$7*$BZ$46/'疲劳值&amp;地图信息'!$R$10*$BY$57)</f>
        <v>2123</v>
      </c>
      <c r="GZ158" s="50">
        <f t="shared" si="302"/>
        <v>0.59721773411749501</v>
      </c>
      <c r="HA158" s="50">
        <f t="shared" si="303"/>
        <v>0.36848057907322435</v>
      </c>
      <c r="HB158" s="50">
        <f t="shared" si="304"/>
        <v>3.4301686809280682E-2</v>
      </c>
      <c r="HD158" s="14">
        <f t="shared" si="305"/>
        <v>29474</v>
      </c>
      <c r="HE158" s="14">
        <f t="shared" si="306"/>
        <v>32891</v>
      </c>
      <c r="HF158" s="14">
        <f t="shared" si="307"/>
        <v>37078</v>
      </c>
      <c r="HG158" s="14">
        <f t="shared" si="308"/>
        <v>50741</v>
      </c>
      <c r="HH158" s="14">
        <f t="shared" si="309"/>
        <v>61892</v>
      </c>
      <c r="HI158" s="14">
        <f t="shared" si="310"/>
        <v>3399761</v>
      </c>
      <c r="HL158" s="14">
        <f t="shared" si="311"/>
        <v>430050</v>
      </c>
      <c r="HM158" s="50">
        <f t="shared" si="219"/>
        <v>0.11229013651065288</v>
      </c>
      <c r="HO158" s="14">
        <f t="shared" si="312"/>
        <v>3829811</v>
      </c>
    </row>
    <row r="159" spans="11:223" x14ac:dyDescent="0.2">
      <c r="K159" s="14">
        <v>154</v>
      </c>
      <c r="L159" s="12">
        <f>求节点(节奏总纲!D$4:D$163,标准城池设计!AB$4:AB$163,$K159)*求节点(节奏总纲!D$4:D$163,攻城基础信息!$AC$5:$AC$164,$K159)</f>
        <v>579626.44432790636</v>
      </c>
      <c r="M159" s="12">
        <f>INDEX(其他调用!$AA$5:$AA$404,MATCH(K159,其他调用!$X$5:$X$404,0))*MIN(INDEX(其他调用!$AH$5:$AH$364,MATCH('征服点（新）'!K159,其他调用!$AG$5:$AG$364,0),1)/INDEX(其他调用!$AJ$5:$AJ$364,MATCH(K159,其他调用!$AG$5:$AG$364,0),0),5)*求节点(节奏总纲!D$4:D$163,攻城基础信息!$AC$5:$AC$164,$K159)</f>
        <v>46661.555888631468</v>
      </c>
      <c r="N159" s="12">
        <f>MIN(INDEX(其他调用!$AH$5:$AH$364,MATCH($K159,其他调用!$AG$5:$AG$364,0),1)/INDEX(其他调用!AH$5:AH$364,MATCH($K159,其他调用!$AG$5:$AG$364,0),0),1)*INDEX(其他调用!Y$5:Y$404,MATCH($K159,其他调用!$X$5:$X$404,0),0)</f>
        <v>38629.863951195948</v>
      </c>
      <c r="O159" s="12">
        <f>MIN(INDEX(其他调用!$AH$5:$AH$364,MATCH($K159,其他调用!$AG$5:$AG$364,0),1)/INDEX(其他调用!AI$5:AI$364,MATCH($K159,其他调用!$AG$5:$AG$364,0),0),1)*INDEX(其他调用!Z$5:Z$404,MATCH($K159,其他调用!$X$5:$X$404,0),0)</f>
        <v>24221.059665025772</v>
      </c>
      <c r="P159" s="12">
        <f>MIN(INDEX(其他调用!$AH$5:$AH$364,MATCH($K159,其他调用!$AG$5:$AG$364,0),1)/INDEX(其他调用!AJ$5:AJ$364,MATCH($K159,其他调用!$AG$5:$AG$364,0),0),1)*INDEX(其他调用!AA$5:AA$404,MATCH($K159,其他调用!$X$5:$X$404,0),0)</f>
        <v>14319.963191038905</v>
      </c>
      <c r="Q159" s="12">
        <f>MIN(INDEX(其他调用!$AH$5:$AH$364,MATCH($K159,其他调用!$AG$5:$AG$364,0),1)/INDEX(其他调用!AK$5:AK$364,MATCH($K159,其他调用!$AG$5:$AG$364,0),0),1)*INDEX(其他调用!AB$5:AB$404,MATCH($K159,其他调用!$X$5:$X$404,0),0)</f>
        <v>5388.5526127433905</v>
      </c>
      <c r="R159" s="12">
        <f>MIN(INDEX(其他调用!$AH$5:$AH$364,MATCH($K159,其他调用!$AG$5:$AG$364,0),1)/INDEX(其他调用!AL$5:AL$364,MATCH($K159,其他调用!$AG$5:$AG$364,0),0),1)*INDEX(其他调用!AC$5:AC$404,MATCH($K159,其他调用!$X$5:$X$404,0),0)</f>
        <v>1975.19094028416</v>
      </c>
      <c r="S159" s="12">
        <f>求节点(节奏总纲!D$4:D$163,标准城池设计!AC$4:AC$163,$K159)*求节点(节奏总纲!D$4:D$163,攻城基础信息!$AD$5:$AD$164,$K159)</f>
        <v>622434.33075281105</v>
      </c>
      <c r="T159" s="12">
        <f>INDEX(其他调用!$AA$5:$AA$404,MATCH($K159,其他调用!$X$5:$X$404,0))*MIN(INDEX(其他调用!AI$5:AI$364,MATCH($K159,其他调用!$AG$5:$AG$364,0),1)/INDEX(其他调用!$AJ$5:$AJ$364,MATCH($K159,其他调用!$AG$5:$AG$364,0),0),5)*求节点(节奏总纲!D$4:D$163,攻城基础信息!$AD$5:$AD$164,$K159)</f>
        <v>76629.166712029226</v>
      </c>
      <c r="U159" s="12">
        <f>MIN(INDEX(其他调用!$AI$5:$AI$364,MATCH($K159,其他调用!$AG$5:$AG$364,0),1)/INDEX(其他调用!AH$5:AH$364,MATCH($K159,其他调用!$AG$5:$AG$364,0),0),1)*INDEX(其他调用!Y$5:Y$404,MATCH($K159,其他调用!$X$5:$X$404,0),0)</f>
        <v>38629.863951195948</v>
      </c>
      <c r="V159" s="12">
        <f>MIN(INDEX(其他调用!$AI$5:$AI$364,MATCH($K159,其他调用!$AG$5:$AG$364,0),1)/INDEX(其他调用!AI$5:AI$364,MATCH($K159,其他调用!$AG$5:$AG$364,0),0),1)*INDEX(其他调用!Z$5:Z$404,MATCH($K159,其他调用!$X$5:$X$404,0),0)</f>
        <v>39776.633754843751</v>
      </c>
      <c r="W159" s="12">
        <f>MIN(INDEX(其他调用!$AI$5:$AI$364,MATCH($K159,其他调用!$AG$5:$AG$364,0),1)/INDEX(其他调用!AJ$5:AJ$364,MATCH($K159,其他调用!$AG$5:$AG$364,0),0),1)*INDEX(其他调用!AA$5:AA$404,MATCH($K159,其他调用!$X$5:$X$404,0),0)</f>
        <v>23516.722187645544</v>
      </c>
      <c r="X159" s="12">
        <f>MIN(INDEX(其他调用!$AI$5:$AI$364,MATCH($K159,其他调用!$AG$5:$AG$364,0),1)/INDEX(其他调用!AK$5:AK$364,MATCH($K159,其他调用!$AG$5:$AG$364,0),0),1)*INDEX(其他调用!AB$5:AB$404,MATCH($K159,其他调用!$X$5:$X$404,0),0)</f>
        <v>8849.2612094629494</v>
      </c>
      <c r="Y159" s="12">
        <f>MIN(INDEX(其他调用!$AI$5:$AI$364,MATCH($K159,其他调用!$AG$5:$AG$364,0),1)/INDEX(其他调用!AL$5:AL$364,MATCH($K159,其他调用!$AG$5:$AG$364,0),0),1)*INDEX(其他调用!AC$5:AC$404,MATCH($K159,其他调用!$X$5:$X$404,0),0)</f>
        <v>3243.7245815886104</v>
      </c>
      <c r="Z159" s="12">
        <f>求节点(节奏总纲!D$4:D$163,标准城池设计!AD$4:AD$163,$K159)*求节点(节奏总纲!D$4:D$163,攻城基础信息!$AE$5:$AE$164,$K159)</f>
        <v>663255.2115989225</v>
      </c>
      <c r="AA159" s="12">
        <f>INDEX(其他调用!$AA$5:$AA$404,MATCH($K159,其他调用!$X$5:$X$404,0))*MIN(INDEX(其他调用!AJ$5:AJ$364,MATCH($K159,其他调用!$AG$5:$AG$364,0),1)/INDEX(其他调用!$AJ$5:$AJ$364,MATCH($K159,其他调用!$AG$5:$AG$364,0),0),5)*求节点(节奏总纲!D$4:D$163,攻城基础信息!$AE$5:$AE$164,$K159)</f>
        <v>134528.61592673446</v>
      </c>
      <c r="AB159" s="12">
        <f>MIN(INDEX(其他调用!$AJ$5:$AJ$364,MATCH($K159,其他调用!$AG$5:$AG$364,0),1)/INDEX(其他调用!AH$5:AH$364,MATCH($K159,其他调用!$AG$5:$AG$364,0),0),1)*INDEX(其他调用!Y$5:Y$404,MATCH($K159,其他调用!$X$5:$X$404,0),0)</f>
        <v>38629.863951195948</v>
      </c>
      <c r="AC159" s="12">
        <f>MIN(INDEX(其他调用!$AJ$5:$AJ$364,MATCH($K159,其他调用!$AG$5:$AG$364,0),1)/INDEX(其他调用!AI$5:AI$364,MATCH($K159,其他调用!$AG$5:$AG$364,0),0),1)*INDEX(其他调用!Z$5:Z$404,MATCH($K159,其他调用!$X$5:$X$404,0),0)</f>
        <v>39776.633754843751</v>
      </c>
      <c r="AD159" s="12">
        <f>MIN(INDEX(其他调用!$AJ$5:$AJ$364,MATCH($K159,其他调用!$AG$5:$AG$364,0),1)/INDEX(其他调用!AJ$5:AJ$364,MATCH($K159,其他调用!$AG$5:$AG$364,0),0),1)*INDEX(其他调用!AA$5:AA$404,MATCH($K159,其他调用!$X$5:$X$404,0),0)</f>
        <v>41285.482053152089</v>
      </c>
      <c r="AE159" s="12">
        <f>MIN(INDEX(其他调用!$AJ$5:$AJ$364,MATCH($K159,其他调用!$AG$5:$AG$364,0),1)/INDEX(其他调用!AK$5:AK$364,MATCH($K159,其他调用!$AG$5:$AG$364,0),0),1)*INDEX(其他调用!AB$5:AB$404,MATCH($K159,其他调用!$X$5:$X$404,0),0)</f>
        <v>15535.584080628005</v>
      </c>
      <c r="AF159" s="12">
        <f>MIN(INDEX(其他调用!$AJ$5:$AJ$364,MATCH($K159,其他调用!$AG$5:$AG$364,0),1)/INDEX(其他调用!AL$5:AL$364,MATCH($K159,其他调用!$AG$5:$AG$364,0),0),1)*INDEX(其他调用!AC$5:AC$404,MATCH($K159,其他调用!$X$5:$X$404,0),0)</f>
        <v>5694.6172995528577</v>
      </c>
      <c r="AG159" s="12">
        <f>求节点(节奏总纲!D$4:D$163,标准城池设计!AE$4:AE$163,$K159)*求节点(节奏总纲!D$4:D$163,攻城基础信息!$AF$5:$AF$164,$K159)</f>
        <v>768739.88609023497</v>
      </c>
      <c r="AH159" s="12">
        <f>INDEX(其他调用!$AA$5:$AA$404,MATCH($K159,其他调用!$X$5:$X$404,0))*MIN(INDEX(其他调用!AK$5:AK$364,MATCH($K159,其他调用!$AG$5:$AG$364,0),1)/INDEX(其他调用!$AJ$5:$AJ$364,MATCH($K159,其他调用!$AG$5:$AG$364,0),0),5)*求节点(节奏总纲!D$4:D$163,攻城基础信息!$AF$5:$AF$164,$K159)</f>
        <v>376569.45341623976</v>
      </c>
      <c r="AI159" s="12">
        <f>MIN(INDEX(其他调用!$AK$5:$AK$364,MATCH($K159,其他调用!$AG$5:$AG$364,0),1)/INDEX(其他调用!AH$5:AH$364,MATCH($K159,其他调用!$AG$5:$AG$364,0),0),1)*INDEX(其他调用!Y$5:Y$404,MATCH($K159,其他调用!$X$5:$X$404,0),0)</f>
        <v>38629.863951195948</v>
      </c>
      <c r="AJ159" s="12">
        <f>MIN(INDEX(其他调用!$AK$5:$AK$364,MATCH($K159,其他调用!$AG$5:$AG$364,0),1)/INDEX(其他调用!AI$5:AI$364,MATCH($K159,其他调用!$AG$5:$AG$364,0),0),1)*INDEX(其他调用!Z$5:Z$404,MATCH($K159,其他调用!$X$5:$X$404,0),0)</f>
        <v>39776.633754843751</v>
      </c>
      <c r="AK159" s="12">
        <f>MIN(INDEX(其他调用!$AK$5:$AK$364,MATCH($K159,其他调用!$AG$5:$AG$364,0),1)/INDEX(其他调用!AJ$5:AJ$364,MATCH($K159,其他调用!$AG$5:$AG$364,0),0),1)*INDEX(其他调用!AA$5:AA$404,MATCH($K159,其他调用!$X$5:$X$404,0),0)</f>
        <v>41285.482053152089</v>
      </c>
      <c r="AL159" s="12">
        <f>MIN(INDEX(其他调用!$AK$5:$AK$364,MATCH($K159,其他调用!$AG$5:$AG$364,0),1)/INDEX(其他调用!AK$5:AK$364,MATCH($K159,其他调用!$AG$5:$AG$364,0),0),1)*INDEX(其他调用!AB$5:AB$404,MATCH($K159,其他调用!$X$5:$X$404,0),0)</f>
        <v>43486.854937467069</v>
      </c>
      <c r="AM159" s="12">
        <f>MIN(INDEX(其他调用!$AK$5:$AK$364,MATCH($K159,其他调用!$AG$5:$AG$364,0),1)/INDEX(其他调用!AL$5:AL$364,MATCH($K159,其他调用!$AG$5:$AG$364,0),0),1)*INDEX(其他调用!AC$5:AC$404,MATCH($K159,其他调用!$X$5:$X$404,0),0)</f>
        <v>15940.243710491701</v>
      </c>
      <c r="AN159" s="12">
        <f>求节点(节奏总纲!D$4:D$163,标准城池设计!AF$4:AF$163,$K159)*求节点(节奏总纲!D$4:D$163,攻城基础信息!$AG$5:$AG$164,$K159)</f>
        <v>780910.18696230638</v>
      </c>
      <c r="AO159" s="12">
        <f>INDEX(其他调用!$AA$5:$AA$404,MATCH($K159,其他调用!$X$5:$X$404,0))*MIN(INDEX(其他调用!AL$5:AL$364,MATCH($K159,其他调用!$AG$5:$AG$364,0),1)/INDEX(其他调用!$AJ$5:$AJ$364,MATCH($K159,其他调用!$AG$5:$AG$364,0),0),5)*求节点(节奏总纲!D$4:D$163,攻城基础信息!$AG$5:$AG$164,$K159)</f>
        <v>672643.07963367226</v>
      </c>
      <c r="AP159" s="12">
        <f>MIN(INDEX(其他调用!$AL$5:$AL$364,MATCH($K159,其他调用!$AG$5:$AG$364,0),1)/INDEX(其他调用!AH$5:AH$364,MATCH($K159,其他调用!$AG$5:$AG$364,0),0),1)*INDEX(其他调用!Y$5:Y$404,MATCH($K159,其他调用!$X$5:$X$404,0),0)</f>
        <v>38629.863951195948</v>
      </c>
      <c r="AQ159" s="12">
        <f>MIN(INDEX(其他调用!$AL$5:$AL$364,MATCH($K159,其他调用!$AG$5:$AG$364,0),1)/INDEX(其他调用!AI$5:AI$364,MATCH($K159,其他调用!$AG$5:$AG$364,0),0),1)*INDEX(其他调用!Z$5:Z$404,MATCH($K159,其他调用!$X$5:$X$404,0),0)</f>
        <v>39776.633754843751</v>
      </c>
      <c r="AR159" s="12">
        <f>MIN(INDEX(其他调用!$AL$5:$AL$364,MATCH($K159,其他调用!$AG$5:$AG$364,0),1)/INDEX(其他调用!AJ$5:AJ$364,MATCH($K159,其他调用!$AG$5:$AG$364,0),0),1)*INDEX(其他调用!AA$5:AA$404,MATCH($K159,其他调用!$X$5:$X$404,0),0)</f>
        <v>41285.482053152089</v>
      </c>
      <c r="AS159" s="12">
        <f>MIN(INDEX(其他调用!$AL$5:$AL$364,MATCH($K159,其他调用!$AG$5:$AG$364,0),1)/INDEX(其他调用!AK$5:AK$364,MATCH($K159,其他调用!$AG$5:$AG$364,0),0),1)*INDEX(其他调用!AB$5:AB$404,MATCH($K159,其他调用!$X$5:$X$404,0),0)</f>
        <v>43486.854937467069</v>
      </c>
      <c r="AT159" s="12">
        <f>MIN(INDEX(其他调用!$AL$5:$AL$364,MATCH($K159,其他调用!$AG$5:$AG$364,0),1)/INDEX(其他调用!AL$5:AL$364,MATCH($K159,其他调用!$AG$5:$AG$364,0),0),1)*INDEX(其他调用!AC$5:AC$404,MATCH($K159,其他调用!$X$5:$X$404,0),0)</f>
        <v>47425.057033823359</v>
      </c>
      <c r="AV159" s="14">
        <f>IF(OR(AV$5="大R",AV$5="超R"),MAX(INDEX(其他调用!$H$5:$L$404,MATCH($K159,其他调用!$B$5:$B$404,0),MATCH(AV$5,其他调用!$H$4:$L$4,0))*120*0.85,2),INDEX(其他调用!$H$5:$L$404,MATCH($K159,其他调用!$B$5:$B$404,0),MATCH(AV$5,其他调用!$H$4:$L$4,0))*120*0.85)</f>
        <v>48.921801254999991</v>
      </c>
      <c r="AW159" s="14">
        <f>IF(OR(AW$5="大R",AW$5="超R"),MAX(INDEX(其他调用!$H$5:$L$404,MATCH($K159,其他调用!$B$5:$B$404,0),MATCH(AW$5,其他调用!$H$4:$L$4,0))*120*0.85,2),INDEX(其他调用!$H$5:$L$404,MATCH($K159,其他调用!$B$5:$B$404,0),MATCH(AW$5,其他调用!$H$4:$L$4,0))*120*0.85)</f>
        <v>48.237344010638395</v>
      </c>
      <c r="AX159" s="14">
        <f>IF(OR(AX$5="大R",AX$5="超R"),MAX(INDEX(其他调用!$H$5:$L$404,MATCH($K159,其他调用!$B$5:$B$404,0),MATCH(AX$5,其他调用!$H$4:$L$4,0))*120*0.85,2),INDEX(其他调用!$H$5:$L$404,MATCH($K159,其他调用!$B$5:$B$404,0),MATCH(AX$5,其他调用!$H$4:$L$4,0))*120*0.85)</f>
        <v>3.9376284143615998</v>
      </c>
      <c r="AY159" s="14">
        <f>IF(OR(AY$5="大R",AY$5="超R"),MAX(INDEX(其他调用!$H$5:$L$404,MATCH($K159,其他调用!$B$5:$B$404,0),MATCH(AY$5,其他调用!$H$4:$L$4,0))*120*0.85,2),INDEX(其他调用!$H$5:$L$404,MATCH($K159,其他调用!$B$5:$B$404,0),MATCH(AY$5,其他调用!$H$4:$L$4,0))*120*0.85)</f>
        <v>2</v>
      </c>
      <c r="AZ159" s="14">
        <f>IF(OR(AZ$5="大R",AZ$5="超R"),MAX(INDEX(其他调用!$H$5:$L$404,MATCH($K159,其他调用!$B$5:$B$404,0),MATCH(AZ$5,其他调用!$H$4:$L$4,0))*120*0.85,2),INDEX(其他调用!$H$5:$L$404,MATCH($K159,其他调用!$B$5:$B$404,0),MATCH(AZ$5,其他调用!$H$4:$L$4,0))*120*0.85)</f>
        <v>2</v>
      </c>
      <c r="BA159" s="14">
        <f>INDEX(其他调用!$H$5:$L$404,MATCH($K159,其他调用!$B$5:$B$404,0),MATCH(BA$5,其他调用!$H$4:$L$4,0))*INDEX(其他调用!$M$5:$M$404,MATCH($K159,其他调用!$B$5:$B$404,0))*0.6</f>
        <v>28.777530149999997</v>
      </c>
      <c r="BB159" s="14">
        <f>INDEX(其他调用!$H$5:$L$404,MATCH($K159,其他调用!$B$5:$B$404,0),MATCH(BB$5,其他调用!$H$4:$L$4,0))*INDEX(其他调用!$M$5:$M$404,MATCH($K159,其他调用!$B$5:$B$404,0))*0.6</f>
        <v>28.374908241551999</v>
      </c>
      <c r="BC159" s="14">
        <f>INDEX(其他调用!$H$5:$L$404,MATCH($K159,其他调用!$B$5:$B$404,0),MATCH(BC$5,其他调用!$H$4:$L$4,0))*INDEX(其他调用!$M$5:$M$404,MATCH($K159,其他调用!$B$5:$B$404,0))*0.6</f>
        <v>2.3162520084480001</v>
      </c>
      <c r="BD159" s="14">
        <f>INDEX(其他调用!$H$5:$L$404,MATCH($K159,其他调用!$B$5:$B$404,0),MATCH(BD$5,其他调用!$H$4:$L$4,0))*INDEX(其他调用!$M$5:$M$404,MATCH($K159,其他调用!$B$5:$B$404,0))*0.6</f>
        <v>0.4120776000000001</v>
      </c>
      <c r="BE159" s="14">
        <f>INDEX(其他调用!$H$5:$L$404,MATCH($K159,其他调用!$B$5:$B$404,0),MATCH(BE$5,其他调用!$H$4:$L$4,0))*INDEX(其他调用!$M$5:$M$404,MATCH($K159,其他调用!$B$5:$B$404,0))*0.6</f>
        <v>0.11923199999999998</v>
      </c>
      <c r="BF159" s="14">
        <f>IF(OR(BF$5="大R",BF$5="超R"),0,INDEX(其他调用!$H$5:$L$404,MATCH($K159,其他调用!$B$5:$B$404,0),MATCH(BF$5,其他调用!$H$4:$L$4,0))*50*0.4)</f>
        <v>9.5925100500000013</v>
      </c>
      <c r="BG159" s="14">
        <f>IF(OR(BG$5="大R",BG$5="超R"),0,INDEX(其他调用!$H$5:$L$404,MATCH($K159,其他调用!$B$5:$B$404,0),MATCH(BG$5,其他调用!$H$4:$L$4,0))*50*0.4)</f>
        <v>9.4583027471839998</v>
      </c>
      <c r="BH159" s="14">
        <f>IF(OR(BH$5="大R",BH$5="超R"),0,INDEX(其他调用!$H$5:$L$404,MATCH($K159,其他调用!$B$5:$B$404,0),MATCH(BH$5,其他调用!$H$4:$L$4,0))*50*0.4)</f>
        <v>0.77208400281600009</v>
      </c>
      <c r="BI159" s="14">
        <f>IF(OR(BI$5="大R",BI$5="超R"),0,INDEX(其他调用!$H$5:$L$404,MATCH($K159,其他调用!$B$5:$B$404,0),MATCH(BI$5,其他调用!$H$4:$L$4,0))*50*0.4)</f>
        <v>0</v>
      </c>
      <c r="BJ159" s="14">
        <f>IF(OR(BJ$5="大R",BJ$5="超R"),0,INDEX(其他调用!$H$5:$L$404,MATCH($K159,其他调用!$B$5:$B$404,0),MATCH(BJ$5,其他调用!$H$4:$L$4,0))*50*0.4)</f>
        <v>0</v>
      </c>
      <c r="BL159" s="14">
        <f t="shared" si="313"/>
        <v>154</v>
      </c>
      <c r="BM159" s="14">
        <f t="shared" si="220"/>
        <v>96</v>
      </c>
      <c r="BN159" s="14">
        <f>('疲劳值&amp;地图信息'!$S$10*'疲劳值&amp;地图信息'!$R$10+'疲劳值&amp;地图信息'!$S$11*'疲劳值&amp;地图信息'!$R$11+'疲劳值&amp;地图信息'!$S$12*'疲劳值&amp;地图信息'!$R$12+(BM159-'疲劳值&amp;地图信息'!$S$12-'疲劳值&amp;地图信息'!$S$11-'疲劳值&amp;地图信息'!$S$10)*'疲劳值&amp;地图信息'!$R$13)/BM159</f>
        <v>51.371477246638619</v>
      </c>
      <c r="BO159" s="14">
        <f>INDEX(其他调用!$M$5:$M$404,MATCH(BL159,其他调用!$B$5:$B$404,0))*0.6</f>
        <v>60</v>
      </c>
      <c r="BP159" s="14">
        <f>IF(BO159&gt;SUM('疲劳值&amp;地图信息'!$S$10:$S$12),('疲劳值&amp;地图信息'!$S$10*'疲劳值&amp;地图信息'!$R$10+'疲劳值&amp;地图信息'!$S$11*'疲劳值&amp;地图信息'!$R$11+'疲劳值&amp;地图信息'!$S$12*'疲劳值&amp;地图信息'!$R$12+(BO159-'疲劳值&amp;地图信息'!$S$12-'疲劳值&amp;地图信息'!$S$11-'疲劳值&amp;地图信息'!$S$10)*'疲劳值&amp;地图信息'!$R$13)/BO159,('疲劳值&amp;地图信息'!$S$10*'疲劳值&amp;地图信息'!$R$10+'疲劳值&amp;地图信息'!$S$11*'疲劳值&amp;地图信息'!$R$11+'疲劳值&amp;地图信息'!$S$12*'疲劳值&amp;地图信息'!$R$12+(BO159-'疲劳值&amp;地图信息'!$S$12-'疲劳值&amp;地图信息'!$S$11-'疲劳值&amp;地图信息'!$S$10)*'疲劳值&amp;地图信息'!$R$13)/BO159)</f>
        <v>44.158136341605953</v>
      </c>
      <c r="BQ159" s="14">
        <f t="shared" si="314"/>
        <v>20</v>
      </c>
      <c r="BR159" s="14">
        <f>('疲劳值&amp;地图信息'!$S$10*'疲劳值&amp;地图信息'!$R$10+($BQ159-'疲劳值&amp;地图信息'!$S$10)*'疲劳值&amp;地图信息'!$R$11)/$BQ159</f>
        <v>32.067203015074995</v>
      </c>
      <c r="CF159" s="14">
        <v>154</v>
      </c>
      <c r="CG159" s="51">
        <f t="shared" si="221"/>
        <v>11813</v>
      </c>
      <c r="CH159" s="51">
        <f t="shared" si="222"/>
        <v>951</v>
      </c>
      <c r="CI159" s="51">
        <f>INT(SUMPRODUCT($N159:$R159,$BA159:$BE159)/SUM($BA159:$BE159)/10000*$BX$7*$BZ$34/'疲劳值&amp;地图信息'!$R$10*$BY$53)</f>
        <v>3102</v>
      </c>
      <c r="CJ159" s="50">
        <f t="shared" si="223"/>
        <v>0.74454809025589308</v>
      </c>
      <c r="CK159" s="50">
        <f t="shared" si="224"/>
        <v>5.9939493256019161E-2</v>
      </c>
      <c r="CL159" s="50">
        <f t="shared" si="225"/>
        <v>0.19551241648808773</v>
      </c>
      <c r="CM159" s="14">
        <f t="shared" si="226"/>
        <v>12686</v>
      </c>
      <c r="CN159" s="14">
        <f t="shared" si="227"/>
        <v>1561</v>
      </c>
      <c r="CO159" s="14">
        <f>INT(SUMPRODUCT($U159:$Y159,$BA159:$BE159)/SUM($BA159:$BE159)/10000*$BX$7*$BZ$34/'疲劳值&amp;地图信息'!$R$10*$BY$54)</f>
        <v>5831</v>
      </c>
      <c r="CP159" s="50">
        <f t="shared" si="228"/>
        <v>0.63183584022312977</v>
      </c>
      <c r="CQ159" s="50">
        <f t="shared" si="229"/>
        <v>7.7746787528638311E-2</v>
      </c>
      <c r="CR159" s="50">
        <f t="shared" si="230"/>
        <v>0.29041737224823189</v>
      </c>
      <c r="CS159" s="14">
        <f t="shared" si="231"/>
        <v>13518</v>
      </c>
      <c r="CT159" s="14">
        <f t="shared" si="232"/>
        <v>2741</v>
      </c>
      <c r="CU159" s="14">
        <f>INT(SUMPRODUCT($AB159:$AF159,$BA159:$BE159)/SUM($BA159:$BE159)/10000*$BX$7*$BZ$34/'疲劳值&amp;地图信息'!$R$10*$BY$55)</f>
        <v>7924</v>
      </c>
      <c r="CV159" s="50">
        <f t="shared" si="233"/>
        <v>0.55898771864532937</v>
      </c>
      <c r="CW159" s="50">
        <f t="shared" si="234"/>
        <v>0.11334408468759045</v>
      </c>
      <c r="CX159" s="50">
        <f t="shared" si="235"/>
        <v>0.32766819666708019</v>
      </c>
      <c r="CY159" s="14">
        <f t="shared" si="236"/>
        <v>15667</v>
      </c>
      <c r="CZ159" s="14">
        <f t="shared" si="237"/>
        <v>7674</v>
      </c>
      <c r="DA159" s="14">
        <f>INT(SUMPRODUCT($AI159:$AM159,$BA159:$BE159)/SUM($BA159:$BE159)/10000*$BX$7*$BZ$34/'疲劳值&amp;地图信息'!$R$10*$BY$56)</f>
        <v>11951</v>
      </c>
      <c r="DB159" s="50">
        <f t="shared" si="238"/>
        <v>0.44392496883146321</v>
      </c>
      <c r="DC159" s="50">
        <f t="shared" si="239"/>
        <v>0.21744304658279498</v>
      </c>
      <c r="DD159" s="50">
        <f t="shared" si="240"/>
        <v>0.33863198458574179</v>
      </c>
      <c r="DE159" s="14">
        <f t="shared" si="241"/>
        <v>15915</v>
      </c>
      <c r="DF159" s="14">
        <f t="shared" si="242"/>
        <v>13709</v>
      </c>
      <c r="DG159" s="14">
        <f>INT(SUMPRODUCT($AP159:$AT159,$BA159:$BE159)/SUM($BA159:$BE159)/10000*$BX$7*$BZ$34/'疲劳值&amp;地图信息'!$R$10*$BY$57)</f>
        <v>15961</v>
      </c>
      <c r="DH159" s="50">
        <f t="shared" si="243"/>
        <v>0.34912800263244487</v>
      </c>
      <c r="DI159" s="50">
        <f t="shared" si="244"/>
        <v>0.30073489086322253</v>
      </c>
      <c r="DJ159" s="50">
        <f t="shared" si="245"/>
        <v>0.35013710650433255</v>
      </c>
      <c r="DL159" s="14">
        <f t="shared" si="316"/>
        <v>15866</v>
      </c>
      <c r="DM159" s="14">
        <f t="shared" si="317"/>
        <v>20078</v>
      </c>
      <c r="DN159" s="14">
        <f t="shared" si="318"/>
        <v>24183</v>
      </c>
      <c r="DO159" s="14">
        <f t="shared" si="319"/>
        <v>35292</v>
      </c>
      <c r="DP159" s="14">
        <f t="shared" si="320"/>
        <v>45585</v>
      </c>
      <c r="DQ159" s="14">
        <f t="shared" si="321"/>
        <v>1102287</v>
      </c>
      <c r="DT159" s="14">
        <f t="shared" si="315"/>
        <v>235575</v>
      </c>
      <c r="DU159" s="50">
        <f t="shared" si="217"/>
        <v>0.17608318346735313</v>
      </c>
      <c r="DW159" s="14">
        <f t="shared" si="246"/>
        <v>1337862</v>
      </c>
      <c r="EB159" s="14">
        <v>154</v>
      </c>
      <c r="EC159" s="51">
        <f t="shared" si="247"/>
        <v>19689</v>
      </c>
      <c r="ED159" s="51">
        <f t="shared" si="248"/>
        <v>1585</v>
      </c>
      <c r="EE159" s="51">
        <f>INT(SUMPRODUCT($N159:$R159,$BF159:$BJ159)/SUM($BF159:$BJ159)/10000*$BX$7*$BZ$46/'疲劳值&amp;地图信息'!$R$10*$BY$53)</f>
        <v>416</v>
      </c>
      <c r="EF159" s="50">
        <f t="shared" si="249"/>
        <v>0.90774550484094052</v>
      </c>
      <c r="EG159" s="50">
        <f t="shared" si="250"/>
        <v>7.307514983863532E-2</v>
      </c>
      <c r="EH159" s="50">
        <f t="shared" si="251"/>
        <v>1.917934532042416E-2</v>
      </c>
      <c r="EI159" s="51">
        <f t="shared" si="252"/>
        <v>21143</v>
      </c>
      <c r="EJ159" s="51">
        <f t="shared" si="253"/>
        <v>2603</v>
      </c>
      <c r="EK159" s="14">
        <f>INT(SUMPRODUCT($U159:$Y159,$BF159:$BJ159)/SUM($BF159:$BJ159)/10000*$BX$7*$BZ$46/'疲劳值&amp;地图信息'!$R$10*$BY$54)</f>
        <v>783</v>
      </c>
      <c r="EL159" s="50">
        <f t="shared" si="254"/>
        <v>0.86195931346569366</v>
      </c>
      <c r="EM159" s="50">
        <f t="shared" si="255"/>
        <v>0.10611928737412858</v>
      </c>
      <c r="EN159" s="50">
        <f t="shared" si="256"/>
        <v>3.1921399160177749E-2</v>
      </c>
      <c r="EO159" s="51">
        <f t="shared" si="257"/>
        <v>22530</v>
      </c>
      <c r="EP159" s="51">
        <f t="shared" si="258"/>
        <v>4569</v>
      </c>
      <c r="EQ159" s="14">
        <f>INT(SUMPRODUCT($AB159:$AF159,$BF159:$BJ159)/SUM($BF159:$BJ159)/10000*$BX$7*$BZ$46/'疲劳值&amp;地图信息'!$R$10*$BY$55)</f>
        <v>1062</v>
      </c>
      <c r="ER159" s="50">
        <f t="shared" si="259"/>
        <v>0.80004261212314909</v>
      </c>
      <c r="ES159" s="50">
        <f t="shared" si="260"/>
        <v>0.16224565888995418</v>
      </c>
      <c r="ET159" s="50">
        <f t="shared" si="261"/>
        <v>3.7711728986896773E-2</v>
      </c>
      <c r="EU159" s="51">
        <f t="shared" si="262"/>
        <v>26113</v>
      </c>
      <c r="EV159" s="51">
        <f t="shared" si="263"/>
        <v>12791</v>
      </c>
      <c r="EW159" s="14">
        <f>INT(SUMPRODUCT($AI159:$AM159,$BF159:$BJ159)/SUM($BF159:$BJ159)/10000*$BX$7*$BZ$46/'疲劳值&amp;地图信息'!$R$10*$BY$56)</f>
        <v>1594</v>
      </c>
      <c r="EX159" s="50">
        <f t="shared" si="264"/>
        <v>0.64479727393945385</v>
      </c>
      <c r="EY159" s="50">
        <f t="shared" si="265"/>
        <v>0.31584275766704528</v>
      </c>
      <c r="EZ159" s="50">
        <f t="shared" si="266"/>
        <v>3.9359968393500915E-2</v>
      </c>
      <c r="FA159" s="51">
        <f t="shared" si="267"/>
        <v>26526</v>
      </c>
      <c r="FB159" s="51">
        <f t="shared" si="268"/>
        <v>22848</v>
      </c>
      <c r="FC159" s="14">
        <f>INT(SUMPRODUCT($AP159:$AT159,$BF159:$BJ159)/SUM($BF159:$BJ159)/10000*$BX$7*$BZ$46/'疲劳值&amp;地图信息'!$R$10*$BY$57)</f>
        <v>2125</v>
      </c>
      <c r="FD159" s="50">
        <f t="shared" si="269"/>
        <v>0.51507796267888695</v>
      </c>
      <c r="FE159" s="50">
        <f t="shared" si="270"/>
        <v>0.44365910017670246</v>
      </c>
      <c r="FF159" s="50">
        <f t="shared" si="271"/>
        <v>4.1262937144410573E-2</v>
      </c>
      <c r="FH159" s="14">
        <f t="shared" si="272"/>
        <v>21690</v>
      </c>
      <c r="FI159" s="14">
        <f t="shared" si="273"/>
        <v>24529</v>
      </c>
      <c r="FJ159" s="14">
        <f t="shared" si="274"/>
        <v>28161</v>
      </c>
      <c r="FK159" s="14">
        <f t="shared" si="275"/>
        <v>40498</v>
      </c>
      <c r="FL159" s="14">
        <f t="shared" si="276"/>
        <v>51499</v>
      </c>
      <c r="FM159" s="14">
        <f t="shared" si="277"/>
        <v>2539209</v>
      </c>
      <c r="FP159" s="14">
        <f t="shared" si="278"/>
        <v>334150</v>
      </c>
      <c r="FQ159" s="50">
        <f t="shared" si="218"/>
        <v>0.11629246467287938</v>
      </c>
      <c r="FS159" s="14">
        <f t="shared" si="279"/>
        <v>2873359</v>
      </c>
      <c r="FX159" s="14">
        <v>154</v>
      </c>
      <c r="FY159" s="51">
        <f t="shared" si="280"/>
        <v>27564</v>
      </c>
      <c r="FZ159" s="51">
        <f t="shared" si="281"/>
        <v>1585</v>
      </c>
      <c r="GA159" s="51">
        <f>INT(SUMPRODUCT($N159:$R159,$BF159:$BJ159)/SUM($BF159:$BJ159)/10000*$BX$7*$BZ$46/'疲劳值&amp;地图信息'!$R$10*$BY$53)</f>
        <v>416</v>
      </c>
      <c r="GB159" s="50">
        <f t="shared" si="282"/>
        <v>0.93231861998985288</v>
      </c>
      <c r="GC159" s="50">
        <f t="shared" si="283"/>
        <v>5.3610688313884658E-2</v>
      </c>
      <c r="GD159" s="50">
        <f t="shared" si="284"/>
        <v>1.4070691696262473E-2</v>
      </c>
      <c r="GE159" s="51">
        <f t="shared" si="285"/>
        <v>29600</v>
      </c>
      <c r="GF159" s="51">
        <f t="shared" si="286"/>
        <v>2603</v>
      </c>
      <c r="GG159" s="14">
        <f>INT(SUMPRODUCT($U159:$Y159,$BF159:$BJ159)/SUM($BF159:$BJ159)/10000*$BX$7*$BZ$46/'疲劳值&amp;地图信息'!$R$10*$BY$54)</f>
        <v>783</v>
      </c>
      <c r="GH159" s="50">
        <f t="shared" si="287"/>
        <v>0.89735039107500147</v>
      </c>
      <c r="GI159" s="50">
        <f t="shared" si="288"/>
        <v>7.8912265809737467E-2</v>
      </c>
      <c r="GJ159" s="50">
        <f t="shared" si="289"/>
        <v>2.3737343115261021E-2</v>
      </c>
      <c r="GK159" s="51">
        <f t="shared" si="290"/>
        <v>31542</v>
      </c>
      <c r="GL159" s="51">
        <f t="shared" si="291"/>
        <v>4569</v>
      </c>
      <c r="GM159" s="14">
        <f>INT(SUMPRODUCT($AB159:$AF159,$BF159:$BJ159)/SUM($BF159:$BJ159)/10000*$BX$7*$BZ$46/'疲劳值&amp;地图信息'!$R$10*$BY$55)</f>
        <v>1062</v>
      </c>
      <c r="GN159" s="50">
        <f t="shared" si="292"/>
        <v>0.84851908643370189</v>
      </c>
      <c r="GO159" s="50">
        <f t="shared" si="293"/>
        <v>0.12291179081591477</v>
      </c>
      <c r="GP159" s="50">
        <f t="shared" si="294"/>
        <v>2.8569122750383341E-2</v>
      </c>
      <c r="GQ159" s="51">
        <f t="shared" si="295"/>
        <v>36558</v>
      </c>
      <c r="GR159" s="51">
        <f t="shared" si="296"/>
        <v>12791</v>
      </c>
      <c r="GS159" s="14">
        <f>INT(SUMPRODUCT($AI159:$AM159,$BF159:$BJ159)/SUM($BF159:$BJ159)/10000*$BX$7*$BZ$46/'疲劳值&amp;地图信息'!$R$10*$BY$56)</f>
        <v>1594</v>
      </c>
      <c r="GT159" s="50">
        <f t="shared" si="297"/>
        <v>0.71762558153230083</v>
      </c>
      <c r="GU159" s="50">
        <f t="shared" si="298"/>
        <v>0.25108454547239073</v>
      </c>
      <c r="GV159" s="50">
        <f t="shared" si="299"/>
        <v>3.1289872995308485E-2</v>
      </c>
      <c r="GW159" s="51">
        <f t="shared" si="300"/>
        <v>37137</v>
      </c>
      <c r="GX159" s="51">
        <f t="shared" si="301"/>
        <v>22848</v>
      </c>
      <c r="GY159" s="14">
        <f>INT(SUMPRODUCT($AP159:$AT159,$BF159:$BJ159)/SUM($BF159:$BJ159)/10000*$BX$7*$BZ$46/'疲劳值&amp;地图信息'!$R$10*$BY$57)</f>
        <v>2125</v>
      </c>
      <c r="GZ159" s="50">
        <f t="shared" si="302"/>
        <v>0.59792303976815331</v>
      </c>
      <c r="HA159" s="50">
        <f t="shared" si="303"/>
        <v>0.36786346804057318</v>
      </c>
      <c r="HB159" s="50">
        <f t="shared" si="304"/>
        <v>3.4213492191273544E-2</v>
      </c>
      <c r="HD159" s="14">
        <f t="shared" si="305"/>
        <v>29565</v>
      </c>
      <c r="HE159" s="14">
        <f t="shared" si="306"/>
        <v>32986</v>
      </c>
      <c r="HF159" s="14">
        <f t="shared" si="307"/>
        <v>37173</v>
      </c>
      <c r="HG159" s="14">
        <f t="shared" si="308"/>
        <v>50943</v>
      </c>
      <c r="HH159" s="14">
        <f t="shared" si="309"/>
        <v>62110</v>
      </c>
      <c r="HI159" s="14">
        <f t="shared" si="310"/>
        <v>3410009</v>
      </c>
      <c r="HL159" s="14">
        <f t="shared" si="311"/>
        <v>430050</v>
      </c>
      <c r="HM159" s="50">
        <f t="shared" si="219"/>
        <v>0.11199046681314011</v>
      </c>
      <c r="HO159" s="14">
        <f t="shared" si="312"/>
        <v>3840059</v>
      </c>
    </row>
    <row r="160" spans="11:223" x14ac:dyDescent="0.2">
      <c r="K160" s="14">
        <v>155</v>
      </c>
      <c r="L160" s="12">
        <f>求节点(节奏总纲!D$4:D$163,标准城池设计!AB$4:AB$163,$K160)*求节点(节奏总纲!D$4:D$163,攻城基础信息!$AC$5:$AC$164,$K160)</f>
        <v>581461.48889637692</v>
      </c>
      <c r="M160" s="12">
        <f>INDEX(其他调用!$AA$5:$AA$404,MATCH(K160,其他调用!$X$5:$X$404,0))*MIN(INDEX(其他调用!$AH$5:$AH$364,MATCH('征服点（新）'!K160,其他调用!$AG$5:$AG$364,0),1)/INDEX(其他调用!$AJ$5:$AJ$364,MATCH(K160,其他调用!$AG$5:$AG$364,0),0),5)*求节点(节奏总纲!D$4:D$163,攻城基础信息!$AC$5:$AC$164,$K160)</f>
        <v>46760.396877597239</v>
      </c>
      <c r="N160" s="12">
        <f>MIN(INDEX(其他调用!$AH$5:$AH$364,MATCH($K160,其他调用!$AG$5:$AG$364,0),1)/INDEX(其他调用!AH$5:AH$364,MATCH($K160,其他调用!$AG$5:$AG$364,0),0),1)*INDEX(其他调用!Y$5:Y$404,MATCH($K160,其他调用!$X$5:$X$404,0),0)</f>
        <v>38668.748162651493</v>
      </c>
      <c r="O160" s="12">
        <f>MIN(INDEX(其他调用!$AH$5:$AH$364,MATCH($K160,其他调用!$AG$5:$AG$364,0),1)/INDEX(其他调用!AI$5:AI$364,MATCH($K160,其他调用!$AG$5:$AG$364,0),0),1)*INDEX(其他调用!Z$5:Z$404,MATCH($K160,其他调用!$X$5:$X$404,0),0)</f>
        <v>24248.331234878216</v>
      </c>
      <c r="P160" s="12">
        <f>MIN(INDEX(其他调用!$AH$5:$AH$364,MATCH($K160,其他调用!$AG$5:$AG$364,0),1)/INDEX(其他调用!AJ$5:AJ$364,MATCH($K160,其他调用!$AG$5:$AG$364,0),0),1)*INDEX(其他调用!AA$5:AA$404,MATCH($K160,其他调用!$X$5:$X$404,0),0)</f>
        <v>14336.39947933544</v>
      </c>
      <c r="Q160" s="12">
        <f>MIN(INDEX(其他调用!$AH$5:$AH$364,MATCH($K160,其他调用!$AG$5:$AG$364,0),1)/INDEX(其他调用!AK$5:AK$364,MATCH($K160,其他调用!$AG$5:$AG$364,0),0),1)*INDEX(其他调用!AB$5:AB$404,MATCH($K160,其他调用!$X$5:$X$404,0),0)</f>
        <v>5383.9344991054786</v>
      </c>
      <c r="R160" s="12">
        <f>MIN(INDEX(其他调用!$AH$5:$AH$364,MATCH($K160,其他调用!$AG$5:$AG$364,0),1)/INDEX(其他调用!AL$5:AL$364,MATCH($K160,其他调用!$AG$5:$AG$364,0),0),1)*INDEX(其他调用!AC$5:AC$404,MATCH($K160,其他调用!$X$5:$X$404,0),0)</f>
        <v>1983.6060033120582</v>
      </c>
      <c r="S160" s="12">
        <f>求节点(节奏总纲!D$4:D$163,标准城池设计!AC$4:AC$163,$K160)*求节点(节奏总纲!D$4:D$163,攻城基础信息!$AD$5:$AD$164,$K160)</f>
        <v>624282.75543135265</v>
      </c>
      <c r="T160" s="12">
        <f>INDEX(其他调用!$AA$5:$AA$404,MATCH($K160,其他调用!$X$5:$X$404,0))*MIN(INDEX(其他调用!AI$5:AI$364,MATCH($K160,其他调用!$AG$5:$AG$364,0),1)/INDEX(其他调用!$AJ$5:$AJ$364,MATCH($K160,其他调用!$AG$5:$AG$364,0),0),5)*求节点(节奏总纲!D$4:D$163,攻城基础信息!$AD$5:$AD$164,$K160)</f>
        <v>76777.179580703145</v>
      </c>
      <c r="U160" s="12">
        <f>MIN(INDEX(其他调用!$AI$5:$AI$364,MATCH($K160,其他调用!$AG$5:$AG$364,0),1)/INDEX(其他调用!AH$5:AH$364,MATCH($K160,其他调用!$AG$5:$AG$364,0),0),1)*INDEX(其他调用!Y$5:Y$404,MATCH($K160,其他调用!$X$5:$X$404,0),0)</f>
        <v>38668.748162651493</v>
      </c>
      <c r="V160" s="12">
        <f>MIN(INDEX(其他调用!$AI$5:$AI$364,MATCH($K160,其他调用!$AG$5:$AG$364,0),1)/INDEX(其他调用!AI$5:AI$364,MATCH($K160,其他调用!$AG$5:$AG$364,0),0),1)*INDEX(其他调用!Z$5:Z$404,MATCH($K160,其他调用!$X$5:$X$404,0),0)</f>
        <v>39814.000865432383</v>
      </c>
      <c r="W160" s="12">
        <f>MIN(INDEX(其他调用!$AI$5:$AI$364,MATCH($K160,其他调用!$AG$5:$AG$364,0),1)/INDEX(其他调用!AJ$5:AJ$364,MATCH($K160,其他调用!$AG$5:$AG$364,0),0),1)*INDEX(其他调用!AA$5:AA$404,MATCH($K160,其他调用!$X$5:$X$404,0),0)</f>
        <v>23539.327954100023</v>
      </c>
      <c r="X160" s="12">
        <f>MIN(INDEX(其他调用!$AI$5:$AI$364,MATCH($K160,其他调用!$AG$5:$AG$364,0),1)/INDEX(其他调用!AK$5:AK$364,MATCH($K160,其他调用!$AG$5:$AG$364,0),0),1)*INDEX(其他调用!AB$5:AB$404,MATCH($K160,其他调用!$X$5:$X$404,0),0)</f>
        <v>8840.0298862006766</v>
      </c>
      <c r="Y160" s="12">
        <f>MIN(INDEX(其他调用!$AI$5:$AI$364,MATCH($K160,其他调用!$AG$5:$AG$364,0),1)/INDEX(其他调用!AL$5:AL$364,MATCH($K160,其他调用!$AG$5:$AG$364,0),0),1)*INDEX(其他调用!AC$5:AC$404,MATCH($K160,其他调用!$X$5:$X$404,0),0)</f>
        <v>3256.9371627086239</v>
      </c>
      <c r="Z160" s="12">
        <f>求节点(节奏总纲!D$4:D$163,标准城池设计!AD$4:AD$163,$K160)*求节点(节奏总纲!D$4:D$163,攻城基础信息!$AE$5:$AE$164,$K160)</f>
        <v>665049.18187755544</v>
      </c>
      <c r="AA160" s="12">
        <f>INDEX(其他调用!$AA$5:$AA$404,MATCH($K160,其他调用!$X$5:$X$404,0))*MIN(INDEX(其他调用!AJ$5:AJ$364,MATCH($K160,其他调用!$AG$5:$AG$364,0),1)/INDEX(其他调用!$AJ$5:$AJ$364,MATCH($K160,其他调用!$AG$5:$AG$364,0),0),5)*求节点(节奏总纲!D$4:D$163,攻城基础信息!$AE$5:$AE$164,$K160)</f>
        <v>134779.92886155521</v>
      </c>
      <c r="AB160" s="12">
        <f>MIN(INDEX(其他调用!$AJ$5:$AJ$364,MATCH($K160,其他调用!$AG$5:$AG$364,0),1)/INDEX(其他调用!AH$5:AH$364,MATCH($K160,其他调用!$AG$5:$AG$364,0),0),1)*INDEX(其他调用!Y$5:Y$404,MATCH($K160,其他调用!$X$5:$X$404,0),0)</f>
        <v>38668.748162651493</v>
      </c>
      <c r="AC160" s="12">
        <f>MIN(INDEX(其他调用!$AJ$5:$AJ$364,MATCH($K160,其他调用!$AG$5:$AG$364,0),1)/INDEX(其他调用!AI$5:AI$364,MATCH($K160,其他调用!$AG$5:$AG$364,0),0),1)*INDEX(其他调用!Z$5:Z$404,MATCH($K160,其他调用!$X$5:$X$404,0),0)</f>
        <v>39814.000865432383</v>
      </c>
      <c r="AD160" s="12">
        <f>MIN(INDEX(其他调用!$AJ$5:$AJ$364,MATCH($K160,其他调用!$AG$5:$AG$364,0),1)/INDEX(其他调用!AJ$5:AJ$364,MATCH($K160,其他调用!$AG$5:$AG$364,0),0),1)*INDEX(其他调用!AA$5:AA$404,MATCH($K160,其他调用!$X$5:$X$404,0),0)</f>
        <v>41322.551367852204</v>
      </c>
      <c r="AE160" s="12">
        <f>MIN(INDEX(其他调用!$AJ$5:$AJ$364,MATCH($K160,其他调用!$AG$5:$AG$364,0),1)/INDEX(其他调用!AK$5:AK$364,MATCH($K160,其他调用!$AG$5:$AG$364,0),0),1)*INDEX(其他调用!AB$5:AB$404,MATCH($K160,其他调用!$X$5:$X$404,0),0)</f>
        <v>15518.394993186299</v>
      </c>
      <c r="AF160" s="12">
        <f>MIN(INDEX(其他调用!$AJ$5:$AJ$364,MATCH($K160,其他调用!$AG$5:$AG$364,0),1)/INDEX(其他调用!AL$5:AL$364,MATCH($K160,其他调用!$AG$5:$AG$364,0),0),1)*INDEX(其他调用!AC$5:AC$404,MATCH($K160,其他调用!$X$5:$X$404,0),0)</f>
        <v>5717.4509599562389</v>
      </c>
      <c r="AG160" s="12">
        <f>求节点(节奏总纲!D$4:D$163,标准城池设计!AE$4:AE$163,$K160)*求节点(节奏总纲!D$4:D$163,攻城基础信息!$AF$5:$AF$164,$K160)</f>
        <v>771928.86226588266</v>
      </c>
      <c r="AH160" s="12">
        <f>INDEX(其他调用!$AA$5:$AA$404,MATCH($K160,其他调用!$X$5:$X$404,0))*MIN(INDEX(其他调用!AK$5:AK$364,MATCH($K160,其他调用!$AG$5:$AG$364,0),1)/INDEX(其他调用!$AJ$5:$AJ$364,MATCH($K160,其他调用!$AG$5:$AG$364,0),0),5)*求节点(节奏总纲!D$4:D$163,攻城基础信息!$AF$5:$AF$164,$K160)</f>
        <v>378005.20429698913</v>
      </c>
      <c r="AI160" s="12">
        <f>MIN(INDEX(其他调用!$AK$5:$AK$364,MATCH($K160,其他调用!$AG$5:$AG$364,0),1)/INDEX(其他调用!AH$5:AH$364,MATCH($K160,其他调用!$AG$5:$AG$364,0),0),1)*INDEX(其他调用!Y$5:Y$404,MATCH($K160,其他调用!$X$5:$X$404,0),0)</f>
        <v>38668.748162651493</v>
      </c>
      <c r="AJ160" s="12">
        <f>MIN(INDEX(其他调用!$AK$5:$AK$364,MATCH($K160,其他调用!$AG$5:$AG$364,0),1)/INDEX(其他调用!AI$5:AI$364,MATCH($K160,其他调用!$AG$5:$AG$364,0),0),1)*INDEX(其他调用!Z$5:Z$404,MATCH($K160,其他调用!$X$5:$X$404,0),0)</f>
        <v>39814.000865432383</v>
      </c>
      <c r="AK160" s="12">
        <f>MIN(INDEX(其他调用!$AK$5:$AK$364,MATCH($K160,其他调用!$AG$5:$AG$364,0),1)/INDEX(其他调用!AJ$5:AJ$364,MATCH($K160,其他调用!$AG$5:$AG$364,0),0),1)*INDEX(其他调用!AA$5:AA$404,MATCH($K160,其他调用!$X$5:$X$404,0),0)</f>
        <v>41322.551367852204</v>
      </c>
      <c r="AL160" s="12">
        <f>MIN(INDEX(其他调用!$AK$5:$AK$364,MATCH($K160,其他调用!$AG$5:$AG$364,0),1)/INDEX(其他调用!AK$5:AK$364,MATCH($K160,其他调用!$AG$5:$AG$364,0),0),1)*INDEX(其他调用!AB$5:AB$404,MATCH($K160,其他调用!$X$5:$X$404,0),0)</f>
        <v>43523.053612725234</v>
      </c>
      <c r="AM160" s="12">
        <f>MIN(INDEX(其他调用!$AK$5:$AK$364,MATCH($K160,其他调用!$AG$5:$AG$364,0),1)/INDEX(其他调用!AL$5:AL$364,MATCH($K160,其他调用!$AG$5:$AG$364,0),0),1)*INDEX(其他调用!AC$5:AC$404,MATCH($K160,其他调用!$X$5:$X$404,0),0)</f>
        <v>16035.223021940215</v>
      </c>
      <c r="AN160" s="12">
        <f>求节点(节奏总纲!D$4:D$163,标准城池设计!AF$4:AF$163,$K160)*求节点(节奏总纲!D$4:D$163,攻城基础信息!$AG$5:$AG$164,$K160)</f>
        <v>784568.45566403586</v>
      </c>
      <c r="AO160" s="12">
        <f>INDEX(其他调用!$AA$5:$AA$404,MATCH($K160,其他调用!$X$5:$X$404,0))*MIN(INDEX(其他调用!AL$5:AL$364,MATCH($K160,其他调用!$AG$5:$AG$364,0),1)/INDEX(其他调用!$AJ$5:$AJ$364,MATCH($K160,其他调用!$AG$5:$AG$364,0),0),5)*求节点(节奏总纲!D$4:D$163,攻城基础信息!$AG$5:$AG$164,$K160)</f>
        <v>673899.64430777601</v>
      </c>
      <c r="AP160" s="12">
        <f>MIN(INDEX(其他调用!$AL$5:$AL$364,MATCH($K160,其他调用!$AG$5:$AG$364,0),1)/INDEX(其他调用!AH$5:AH$364,MATCH($K160,其他调用!$AG$5:$AG$364,0),0),1)*INDEX(其他调用!Y$5:Y$404,MATCH($K160,其他调用!$X$5:$X$404,0),0)</f>
        <v>38668.748162651493</v>
      </c>
      <c r="AQ160" s="12">
        <f>MIN(INDEX(其他调用!$AL$5:$AL$364,MATCH($K160,其他调用!$AG$5:$AG$364,0),1)/INDEX(其他调用!AI$5:AI$364,MATCH($K160,其他调用!$AG$5:$AG$364,0),0),1)*INDEX(其他调用!Z$5:Z$404,MATCH($K160,其他调用!$X$5:$X$404,0),0)</f>
        <v>39814.000865432383</v>
      </c>
      <c r="AR160" s="12">
        <f>MIN(INDEX(其他调用!$AL$5:$AL$364,MATCH($K160,其他调用!$AG$5:$AG$364,0),1)/INDEX(其他调用!AJ$5:AJ$364,MATCH($K160,其他调用!$AG$5:$AG$364,0),0),1)*INDEX(其他调用!AA$5:AA$404,MATCH($K160,其他调用!$X$5:$X$404,0),0)</f>
        <v>41322.551367852204</v>
      </c>
      <c r="AS160" s="12">
        <f>MIN(INDEX(其他调用!$AL$5:$AL$364,MATCH($K160,其他调用!$AG$5:$AG$364,0),1)/INDEX(其他调用!AK$5:AK$364,MATCH($K160,其他调用!$AG$5:$AG$364,0),0),1)*INDEX(其他调用!AB$5:AB$404,MATCH($K160,其他调用!$X$5:$X$404,0),0)</f>
        <v>43523.053612725234</v>
      </c>
      <c r="AT160" s="12">
        <f>MIN(INDEX(其他调用!$AL$5:$AL$364,MATCH($K160,其他调用!$AG$5:$AG$364,0),1)/INDEX(其他调用!AL$5:AL$364,MATCH($K160,其他调用!$AG$5:$AG$364,0),0),1)*INDEX(其他调用!AC$5:AC$404,MATCH($K160,其他调用!$X$5:$X$404,0),0)</f>
        <v>47465.087361256847</v>
      </c>
      <c r="AV160" s="14">
        <f>IF(OR(AV$5="大R",AV$5="超R"),MAX(INDEX(其他调用!$H$5:$L$404,MATCH($K160,其他调用!$B$5:$B$404,0),MATCH(AV$5,其他调用!$H$4:$L$4,0))*120*0.85,2),INDEX(其他调用!$H$5:$L$404,MATCH($K160,其他调用!$B$5:$B$404,0),MATCH(AV$5,其他调用!$H$4:$L$4,0))*120*0.85)</f>
        <v>48.921801254999991</v>
      </c>
      <c r="AW160" s="14">
        <f>IF(OR(AW$5="大R",AW$5="超R"),MAX(INDEX(其他调用!$H$5:$L$404,MATCH($K160,其他调用!$B$5:$B$404,0),MATCH(AW$5,其他调用!$H$4:$L$4,0))*120*0.85,2),INDEX(其他调用!$H$5:$L$404,MATCH($K160,其他调用!$B$5:$B$404,0),MATCH(AW$5,其他调用!$H$4:$L$4,0))*120*0.85)</f>
        <v>48.237344010638395</v>
      </c>
      <c r="AX160" s="14">
        <f>IF(OR(AX$5="大R",AX$5="超R"),MAX(INDEX(其他调用!$H$5:$L$404,MATCH($K160,其他调用!$B$5:$B$404,0),MATCH(AX$5,其他调用!$H$4:$L$4,0))*120*0.85,2),INDEX(其他调用!$H$5:$L$404,MATCH($K160,其他调用!$B$5:$B$404,0),MATCH(AX$5,其他调用!$H$4:$L$4,0))*120*0.85)</f>
        <v>3.9376284143615998</v>
      </c>
      <c r="AY160" s="14">
        <f>IF(OR(AY$5="大R",AY$5="超R"),MAX(INDEX(其他调用!$H$5:$L$404,MATCH($K160,其他调用!$B$5:$B$404,0),MATCH(AY$5,其他调用!$H$4:$L$4,0))*120*0.85,2),INDEX(其他调用!$H$5:$L$404,MATCH($K160,其他调用!$B$5:$B$404,0),MATCH(AY$5,其他调用!$H$4:$L$4,0))*120*0.85)</f>
        <v>2</v>
      </c>
      <c r="AZ160" s="14">
        <f>IF(OR(AZ$5="大R",AZ$5="超R"),MAX(INDEX(其他调用!$H$5:$L$404,MATCH($K160,其他调用!$B$5:$B$404,0),MATCH(AZ$5,其他调用!$H$4:$L$4,0))*120*0.85,2),INDEX(其他调用!$H$5:$L$404,MATCH($K160,其他调用!$B$5:$B$404,0),MATCH(AZ$5,其他调用!$H$4:$L$4,0))*120*0.85)</f>
        <v>2</v>
      </c>
      <c r="BA160" s="14">
        <f>INDEX(其他调用!$H$5:$L$404,MATCH($K160,其他调用!$B$5:$B$404,0),MATCH(BA$5,其他调用!$H$4:$L$4,0))*INDEX(其他调用!$M$5:$M$404,MATCH($K160,其他调用!$B$5:$B$404,0))*0.6</f>
        <v>28.777530149999997</v>
      </c>
      <c r="BB160" s="14">
        <f>INDEX(其他调用!$H$5:$L$404,MATCH($K160,其他调用!$B$5:$B$404,0),MATCH(BB$5,其他调用!$H$4:$L$4,0))*INDEX(其他调用!$M$5:$M$404,MATCH($K160,其他调用!$B$5:$B$404,0))*0.6</f>
        <v>28.374908241551999</v>
      </c>
      <c r="BC160" s="14">
        <f>INDEX(其他调用!$H$5:$L$404,MATCH($K160,其他调用!$B$5:$B$404,0),MATCH(BC$5,其他调用!$H$4:$L$4,0))*INDEX(其他调用!$M$5:$M$404,MATCH($K160,其他调用!$B$5:$B$404,0))*0.6</f>
        <v>2.3162520084480001</v>
      </c>
      <c r="BD160" s="14">
        <f>INDEX(其他调用!$H$5:$L$404,MATCH($K160,其他调用!$B$5:$B$404,0),MATCH(BD$5,其他调用!$H$4:$L$4,0))*INDEX(其他调用!$M$5:$M$404,MATCH($K160,其他调用!$B$5:$B$404,0))*0.6</f>
        <v>0.4120776000000001</v>
      </c>
      <c r="BE160" s="14">
        <f>INDEX(其他调用!$H$5:$L$404,MATCH($K160,其他调用!$B$5:$B$404,0),MATCH(BE$5,其他调用!$H$4:$L$4,0))*INDEX(其他调用!$M$5:$M$404,MATCH($K160,其他调用!$B$5:$B$404,0))*0.6</f>
        <v>0.11923199999999998</v>
      </c>
      <c r="BF160" s="14">
        <f>IF(OR(BF$5="大R",BF$5="超R"),0,INDEX(其他调用!$H$5:$L$404,MATCH($K160,其他调用!$B$5:$B$404,0),MATCH(BF$5,其他调用!$H$4:$L$4,0))*50*0.4)</f>
        <v>9.5925100500000013</v>
      </c>
      <c r="BG160" s="14">
        <f>IF(OR(BG$5="大R",BG$5="超R"),0,INDEX(其他调用!$H$5:$L$404,MATCH($K160,其他调用!$B$5:$B$404,0),MATCH(BG$5,其他调用!$H$4:$L$4,0))*50*0.4)</f>
        <v>9.4583027471839998</v>
      </c>
      <c r="BH160" s="14">
        <f>IF(OR(BH$5="大R",BH$5="超R"),0,INDEX(其他调用!$H$5:$L$404,MATCH($K160,其他调用!$B$5:$B$404,0),MATCH(BH$5,其他调用!$H$4:$L$4,0))*50*0.4)</f>
        <v>0.77208400281600009</v>
      </c>
      <c r="BI160" s="14">
        <f>IF(OR(BI$5="大R",BI$5="超R"),0,INDEX(其他调用!$H$5:$L$404,MATCH($K160,其他调用!$B$5:$B$404,0),MATCH(BI$5,其他调用!$H$4:$L$4,0))*50*0.4)</f>
        <v>0</v>
      </c>
      <c r="BJ160" s="14">
        <f>IF(OR(BJ$5="大R",BJ$5="超R"),0,INDEX(其他调用!$H$5:$L$404,MATCH($K160,其他调用!$B$5:$B$404,0),MATCH(BJ$5,其他调用!$H$4:$L$4,0))*50*0.4)</f>
        <v>0</v>
      </c>
      <c r="BL160" s="14">
        <f t="shared" si="313"/>
        <v>155</v>
      </c>
      <c r="BM160" s="14">
        <f t="shared" si="220"/>
        <v>96</v>
      </c>
      <c r="BN160" s="14">
        <f>('疲劳值&amp;地图信息'!$S$10*'疲劳值&amp;地图信息'!$R$10+'疲劳值&amp;地图信息'!$S$11*'疲劳值&amp;地图信息'!$R$11+'疲劳值&amp;地图信息'!$S$12*'疲劳值&amp;地图信息'!$R$12+(BM160-'疲劳值&amp;地图信息'!$S$12-'疲劳值&amp;地图信息'!$S$11-'疲劳值&amp;地图信息'!$S$10)*'疲劳值&amp;地图信息'!$R$13)/BM160</f>
        <v>51.371477246638619</v>
      </c>
      <c r="BO160" s="14">
        <f>INDEX(其他调用!$M$5:$M$404,MATCH(BL160,其他调用!$B$5:$B$404,0))*0.6</f>
        <v>60</v>
      </c>
      <c r="BP160" s="14">
        <f>IF(BO160&gt;SUM('疲劳值&amp;地图信息'!$S$10:$S$12),('疲劳值&amp;地图信息'!$S$10*'疲劳值&amp;地图信息'!$R$10+'疲劳值&amp;地图信息'!$S$11*'疲劳值&amp;地图信息'!$R$11+'疲劳值&amp;地图信息'!$S$12*'疲劳值&amp;地图信息'!$R$12+(BO160-'疲劳值&amp;地图信息'!$S$12-'疲劳值&amp;地图信息'!$S$11-'疲劳值&amp;地图信息'!$S$10)*'疲劳值&amp;地图信息'!$R$13)/BO160,('疲劳值&amp;地图信息'!$S$10*'疲劳值&amp;地图信息'!$R$10+'疲劳值&amp;地图信息'!$S$11*'疲劳值&amp;地图信息'!$R$11+'疲劳值&amp;地图信息'!$S$12*'疲劳值&amp;地图信息'!$R$12+(BO160-'疲劳值&amp;地图信息'!$S$12-'疲劳值&amp;地图信息'!$S$11-'疲劳值&amp;地图信息'!$S$10)*'疲劳值&amp;地图信息'!$R$13)/BO160)</f>
        <v>44.158136341605953</v>
      </c>
      <c r="BQ160" s="14">
        <f t="shared" si="314"/>
        <v>20</v>
      </c>
      <c r="BR160" s="14">
        <f>('疲劳值&amp;地图信息'!$S$10*'疲劳值&amp;地图信息'!$R$10+($BQ160-'疲劳值&amp;地图信息'!$S$10)*'疲劳值&amp;地图信息'!$R$11)/$BQ160</f>
        <v>32.067203015074995</v>
      </c>
      <c r="CF160" s="14">
        <v>155</v>
      </c>
      <c r="CG160" s="51">
        <f t="shared" si="221"/>
        <v>11850</v>
      </c>
      <c r="CH160" s="51">
        <f t="shared" si="222"/>
        <v>953</v>
      </c>
      <c r="CI160" s="51">
        <f>INT(SUMPRODUCT($N160:$R160,$BA160:$BE160)/SUM($BA160:$BE160)/10000*$BX$7*$BZ$34/'疲劳值&amp;地图信息'!$R$10*$BY$53)</f>
        <v>3105</v>
      </c>
      <c r="CJ160" s="50">
        <f t="shared" si="223"/>
        <v>0.74490822227809905</v>
      </c>
      <c r="CK160" s="50">
        <f t="shared" si="224"/>
        <v>5.9906965049031931E-2</v>
      </c>
      <c r="CL160" s="50">
        <f t="shared" si="225"/>
        <v>0.195184812672869</v>
      </c>
      <c r="CM160" s="14">
        <f t="shared" si="226"/>
        <v>12723</v>
      </c>
      <c r="CN160" s="14">
        <f t="shared" si="227"/>
        <v>1564</v>
      </c>
      <c r="CO160" s="14">
        <f>INT(SUMPRODUCT($U160:$Y160,$BA160:$BE160)/SUM($BA160:$BE160)/10000*$BX$7*$BZ$34/'疲劳值&amp;地图信息'!$R$10*$BY$54)</f>
        <v>5837</v>
      </c>
      <c r="CP160" s="50">
        <f t="shared" si="228"/>
        <v>0.63223017292784733</v>
      </c>
      <c r="CQ160" s="50">
        <f t="shared" si="229"/>
        <v>7.7718147485589348E-2</v>
      </c>
      <c r="CR160" s="50">
        <f t="shared" si="230"/>
        <v>0.2900516795865633</v>
      </c>
      <c r="CS160" s="14">
        <f t="shared" si="231"/>
        <v>13554</v>
      </c>
      <c r="CT160" s="14">
        <f t="shared" si="232"/>
        <v>2746</v>
      </c>
      <c r="CU160" s="14">
        <f>INT(SUMPRODUCT($AB160:$AF160,$BA160:$BE160)/SUM($BA160:$BE160)/10000*$BX$7*$BZ$34/'疲劳值&amp;地图信息'!$R$10*$BY$55)</f>
        <v>7932</v>
      </c>
      <c r="CV160" s="50">
        <f t="shared" si="233"/>
        <v>0.55934301749752391</v>
      </c>
      <c r="CW160" s="50">
        <f t="shared" si="234"/>
        <v>0.11332122812809509</v>
      </c>
      <c r="CX160" s="50">
        <f t="shared" si="235"/>
        <v>0.327335754374381</v>
      </c>
      <c r="CY160" s="14">
        <f t="shared" si="236"/>
        <v>15732</v>
      </c>
      <c r="CZ160" s="14">
        <f t="shared" si="237"/>
        <v>7704</v>
      </c>
      <c r="DA160" s="14">
        <f>INT(SUMPRODUCT($AI160:$AM160,$BA160:$BE160)/SUM($BA160:$BE160)/10000*$BX$7*$BZ$34/'疲劳值&amp;地图信息'!$R$10*$BY$56)</f>
        <v>11963</v>
      </c>
      <c r="DB160" s="50">
        <f t="shared" si="238"/>
        <v>0.44441933387948812</v>
      </c>
      <c r="DC160" s="50">
        <f t="shared" si="239"/>
        <v>0.21763326647645415</v>
      </c>
      <c r="DD160" s="50">
        <f t="shared" si="240"/>
        <v>0.33794739964405773</v>
      </c>
      <c r="DE160" s="14">
        <f t="shared" si="241"/>
        <v>15990</v>
      </c>
      <c r="DF160" s="14">
        <f t="shared" si="242"/>
        <v>13734</v>
      </c>
      <c r="DG160" s="14">
        <f>INT(SUMPRODUCT($AP160:$AT160,$BA160:$BE160)/SUM($BA160:$BE160)/10000*$BX$7*$BZ$34/'疲劳值&amp;地图信息'!$R$10*$BY$57)</f>
        <v>15976</v>
      </c>
      <c r="DH160" s="50">
        <f t="shared" si="243"/>
        <v>0.34989059080962803</v>
      </c>
      <c r="DI160" s="50">
        <f t="shared" si="244"/>
        <v>0.30052516411378555</v>
      </c>
      <c r="DJ160" s="50">
        <f t="shared" si="245"/>
        <v>0.34958424507658642</v>
      </c>
      <c r="DL160" s="14">
        <f t="shared" si="316"/>
        <v>15908</v>
      </c>
      <c r="DM160" s="14">
        <f t="shared" si="317"/>
        <v>20124</v>
      </c>
      <c r="DN160" s="14">
        <f t="shared" si="318"/>
        <v>24232</v>
      </c>
      <c r="DO160" s="14">
        <f t="shared" si="319"/>
        <v>35399</v>
      </c>
      <c r="DP160" s="14">
        <f t="shared" si="320"/>
        <v>45700</v>
      </c>
      <c r="DQ160" s="14">
        <f t="shared" si="321"/>
        <v>1104973</v>
      </c>
      <c r="DT160" s="14">
        <f t="shared" si="315"/>
        <v>235575</v>
      </c>
      <c r="DU160" s="50">
        <f t="shared" si="217"/>
        <v>0.17573037295195695</v>
      </c>
      <c r="DW160" s="14">
        <f t="shared" si="246"/>
        <v>1340548</v>
      </c>
      <c r="EB160" s="14">
        <v>155</v>
      </c>
      <c r="EC160" s="51">
        <f t="shared" si="247"/>
        <v>19751</v>
      </c>
      <c r="ED160" s="51">
        <f t="shared" si="248"/>
        <v>1588</v>
      </c>
      <c r="EE160" s="51">
        <f>INT(SUMPRODUCT($N160:$R160,$BF160:$BJ160)/SUM($BF160:$BJ160)/10000*$BX$7*$BZ$46/'疲劳值&amp;地图信息'!$R$10*$BY$53)</f>
        <v>417</v>
      </c>
      <c r="EF160" s="50">
        <f t="shared" si="249"/>
        <v>0.90784151498437216</v>
      </c>
      <c r="EG160" s="50">
        <f t="shared" si="250"/>
        <v>7.2991358705644424E-2</v>
      </c>
      <c r="EH160" s="50">
        <f t="shared" si="251"/>
        <v>1.9167126309983452E-2</v>
      </c>
      <c r="EI160" s="51">
        <f t="shared" si="252"/>
        <v>21206</v>
      </c>
      <c r="EJ160" s="51">
        <f t="shared" si="253"/>
        <v>2608</v>
      </c>
      <c r="EK160" s="14">
        <f>INT(SUMPRODUCT($U160:$Y160,$BF160:$BJ160)/SUM($BF160:$BJ160)/10000*$BX$7*$BZ$46/'疲劳值&amp;地图信息'!$R$10*$BY$54)</f>
        <v>783</v>
      </c>
      <c r="EL160" s="50">
        <f t="shared" si="254"/>
        <v>0.86213765906411355</v>
      </c>
      <c r="EM160" s="50">
        <f t="shared" si="255"/>
        <v>0.1060291905516933</v>
      </c>
      <c r="EN160" s="50">
        <f t="shared" si="256"/>
        <v>3.1833150384193196E-2</v>
      </c>
      <c r="EO160" s="51">
        <f t="shared" si="257"/>
        <v>22590</v>
      </c>
      <c r="EP160" s="51">
        <f t="shared" si="258"/>
        <v>4578</v>
      </c>
      <c r="EQ160" s="14">
        <f>INT(SUMPRODUCT($AB160:$AF160,$BF160:$BJ160)/SUM($BF160:$BJ160)/10000*$BX$7*$BZ$46/'疲劳值&amp;地图信息'!$R$10*$BY$55)</f>
        <v>1063</v>
      </c>
      <c r="ER160" s="50">
        <f t="shared" si="259"/>
        <v>0.80018419467960755</v>
      </c>
      <c r="ES160" s="50">
        <f t="shared" si="260"/>
        <v>0.16216216216216217</v>
      </c>
      <c r="ET160" s="50">
        <f t="shared" si="261"/>
        <v>3.7653643158230311E-2</v>
      </c>
      <c r="EU160" s="51">
        <f t="shared" si="262"/>
        <v>26221</v>
      </c>
      <c r="EV160" s="51">
        <f t="shared" si="263"/>
        <v>12840</v>
      </c>
      <c r="EW160" s="14">
        <f>INT(SUMPRODUCT($AI160:$AM160,$BF160:$BJ160)/SUM($BF160:$BJ160)/10000*$BX$7*$BZ$46/'疲劳值&amp;地图信息'!$R$10*$BY$56)</f>
        <v>1595</v>
      </c>
      <c r="EX160" s="50">
        <f t="shared" si="264"/>
        <v>0.64494785517512787</v>
      </c>
      <c r="EY160" s="50">
        <f t="shared" si="265"/>
        <v>0.31582054309327035</v>
      </c>
      <c r="EZ160" s="50">
        <f t="shared" si="266"/>
        <v>3.9231601731601728E-2</v>
      </c>
      <c r="FA160" s="51">
        <f t="shared" si="267"/>
        <v>26650</v>
      </c>
      <c r="FB160" s="51">
        <f t="shared" si="268"/>
        <v>22891</v>
      </c>
      <c r="FC160" s="14">
        <f>INT(SUMPRODUCT($AP160:$AT160,$BF160:$BJ160)/SUM($BF160:$BJ160)/10000*$BX$7*$BZ$46/'疲劳值&amp;地图信息'!$R$10*$BY$57)</f>
        <v>2127</v>
      </c>
      <c r="FD160" s="50">
        <f t="shared" si="269"/>
        <v>0.51579314082217231</v>
      </c>
      <c r="FE160" s="50">
        <f t="shared" si="270"/>
        <v>0.44304017960826819</v>
      </c>
      <c r="FF160" s="50">
        <f t="shared" si="271"/>
        <v>4.1166679569559494E-2</v>
      </c>
      <c r="FH160" s="14">
        <f t="shared" si="272"/>
        <v>21756</v>
      </c>
      <c r="FI160" s="14">
        <f t="shared" si="273"/>
        <v>24597</v>
      </c>
      <c r="FJ160" s="14">
        <f t="shared" si="274"/>
        <v>28231</v>
      </c>
      <c r="FK160" s="14">
        <f t="shared" si="275"/>
        <v>40656</v>
      </c>
      <c r="FL160" s="14">
        <f t="shared" si="276"/>
        <v>51668</v>
      </c>
      <c r="FM160" s="14">
        <f t="shared" si="277"/>
        <v>2546647</v>
      </c>
      <c r="FP160" s="14">
        <f t="shared" si="278"/>
        <v>334150</v>
      </c>
      <c r="FQ160" s="50">
        <f t="shared" si="218"/>
        <v>0.1159922063234584</v>
      </c>
      <c r="FS160" s="14">
        <f t="shared" si="279"/>
        <v>2880797</v>
      </c>
      <c r="FX160" s="14">
        <v>155</v>
      </c>
      <c r="FY160" s="51">
        <f t="shared" si="280"/>
        <v>27652</v>
      </c>
      <c r="FZ160" s="51">
        <f t="shared" si="281"/>
        <v>1588</v>
      </c>
      <c r="GA160" s="51">
        <f>INT(SUMPRODUCT($N160:$R160,$BF160:$BJ160)/SUM($BF160:$BJ160)/10000*$BX$7*$BZ$46/'疲劳值&amp;地图信息'!$R$10*$BY$53)</f>
        <v>417</v>
      </c>
      <c r="GB160" s="50">
        <f t="shared" si="282"/>
        <v>0.93239370131840715</v>
      </c>
      <c r="GC160" s="50">
        <f t="shared" si="283"/>
        <v>5.354553730990997E-2</v>
      </c>
      <c r="GD160" s="50">
        <f t="shared" si="284"/>
        <v>1.4060761371682908E-2</v>
      </c>
      <c r="GE160" s="51">
        <f t="shared" si="285"/>
        <v>29688</v>
      </c>
      <c r="GF160" s="51">
        <f t="shared" si="286"/>
        <v>2608</v>
      </c>
      <c r="GG160" s="14">
        <f>INT(SUMPRODUCT($U160:$Y160,$BF160:$BJ160)/SUM($BF160:$BJ160)/10000*$BX$7*$BZ$46/'疲劳值&amp;地图信息'!$R$10*$BY$54)</f>
        <v>783</v>
      </c>
      <c r="GH160" s="50">
        <f t="shared" si="287"/>
        <v>0.897487832159376</v>
      </c>
      <c r="GI160" s="50">
        <f t="shared" si="288"/>
        <v>7.884156111127906E-2</v>
      </c>
      <c r="GJ160" s="50">
        <f t="shared" si="289"/>
        <v>2.3670606729344901E-2</v>
      </c>
      <c r="GK160" s="51">
        <f t="shared" si="290"/>
        <v>31627</v>
      </c>
      <c r="GL160" s="51">
        <f t="shared" si="291"/>
        <v>4578</v>
      </c>
      <c r="GM160" s="14">
        <f>INT(SUMPRODUCT($AB160:$AF160,$BF160:$BJ160)/SUM($BF160:$BJ160)/10000*$BX$7*$BZ$46/'疲劳值&amp;地图信息'!$R$10*$BY$55)</f>
        <v>1063</v>
      </c>
      <c r="GN160" s="50">
        <f t="shared" si="292"/>
        <v>0.84863690028979288</v>
      </c>
      <c r="GO160" s="50">
        <f t="shared" si="293"/>
        <v>0.12283996994740796</v>
      </c>
      <c r="GP160" s="50">
        <f t="shared" si="294"/>
        <v>2.8523129762799183E-2</v>
      </c>
      <c r="GQ160" s="51">
        <f t="shared" si="295"/>
        <v>36710</v>
      </c>
      <c r="GR160" s="51">
        <f t="shared" si="296"/>
        <v>12840</v>
      </c>
      <c r="GS160" s="14">
        <f>INT(SUMPRODUCT($AI160:$AM160,$BF160:$BJ160)/SUM($BF160:$BJ160)/10000*$BX$7*$BZ$46/'疲劳值&amp;地图信息'!$R$10*$BY$56)</f>
        <v>1595</v>
      </c>
      <c r="GT160" s="50">
        <f t="shared" si="297"/>
        <v>0.71776322221135991</v>
      </c>
      <c r="GU160" s="50">
        <f t="shared" si="298"/>
        <v>0.25105093362009973</v>
      </c>
      <c r="GV160" s="50">
        <f t="shared" si="299"/>
        <v>3.1185844168540425E-2</v>
      </c>
      <c r="GW160" s="51">
        <f t="shared" si="300"/>
        <v>37311</v>
      </c>
      <c r="GX160" s="51">
        <f t="shared" si="301"/>
        <v>22891</v>
      </c>
      <c r="GY160" s="14">
        <f>INT(SUMPRODUCT($AP160:$AT160,$BF160:$BJ160)/SUM($BF160:$BJ160)/10000*$BX$7*$BZ$46/'疲劳值&amp;地图信息'!$R$10*$BY$57)</f>
        <v>2127</v>
      </c>
      <c r="GZ160" s="50">
        <f t="shared" si="302"/>
        <v>0.59861380737698344</v>
      </c>
      <c r="HA160" s="50">
        <f t="shared" si="303"/>
        <v>0.36726082561889328</v>
      </c>
      <c r="HB160" s="50">
        <f t="shared" si="304"/>
        <v>3.4125367004123282E-2</v>
      </c>
      <c r="HD160" s="14">
        <f t="shared" si="305"/>
        <v>29657</v>
      </c>
      <c r="HE160" s="14">
        <f t="shared" si="306"/>
        <v>33079</v>
      </c>
      <c r="HF160" s="14">
        <f t="shared" si="307"/>
        <v>37268</v>
      </c>
      <c r="HG160" s="14">
        <f t="shared" si="308"/>
        <v>51145</v>
      </c>
      <c r="HH160" s="14">
        <f t="shared" si="309"/>
        <v>62329</v>
      </c>
      <c r="HI160" s="14">
        <f t="shared" si="310"/>
        <v>3420212</v>
      </c>
      <c r="HL160" s="14">
        <f t="shared" si="311"/>
        <v>430050</v>
      </c>
      <c r="HM160" s="50">
        <f t="shared" si="219"/>
        <v>0.11169369772758321</v>
      </c>
      <c r="HO160" s="14">
        <f t="shared" si="312"/>
        <v>3850262</v>
      </c>
    </row>
    <row r="161" spans="11:223" x14ac:dyDescent="0.2">
      <c r="K161" s="14">
        <v>156</v>
      </c>
      <c r="L161" s="12">
        <f>求节点(节奏总纲!D$4:D$163,标准城池设计!AB$4:AB$163,$K161)*求节点(节奏总纲!D$4:D$163,攻城基础信息!$AC$5:$AC$164,$K161)</f>
        <v>583298.99939869414</v>
      </c>
      <c r="M161" s="12">
        <f>INDEX(其他调用!$AA$5:$AA$404,MATCH(K161,其他调用!$X$5:$X$404,0))*MIN(INDEX(其他调用!$AH$5:$AH$364,MATCH('征服点（新）'!K161,其他调用!$AG$5:$AG$364,0),1)/INDEX(其他调用!$AJ$5:$AJ$364,MATCH(K161,其他调用!$AG$5:$AG$364,0),0),5)*求节点(节奏总纲!D$4:D$163,攻城基础信息!$AC$5:$AC$164,$K161)</f>
        <v>46859.13270291486</v>
      </c>
      <c r="N161" s="12">
        <f>MIN(INDEX(其他调用!$AH$5:$AH$364,MATCH($K161,其他调用!$AG$5:$AG$364,0),1)/INDEX(其他调用!AH$5:AH$364,MATCH($K161,其他调用!$AG$5:$AG$364,0),0),1)*INDEX(其他调用!Y$5:Y$404,MATCH($K161,其他调用!$X$5:$X$404,0),0)</f>
        <v>38707.632374107037</v>
      </c>
      <c r="O161" s="12">
        <f>MIN(INDEX(其他调用!$AH$5:$AH$364,MATCH($K161,其他调用!$AG$5:$AG$364,0),1)/INDEX(其他调用!AI$5:AI$364,MATCH($K161,其他调用!$AG$5:$AG$364,0),0),1)*INDEX(其他调用!Z$5:Z$404,MATCH($K161,其他调用!$X$5:$X$404,0),0)</f>
        <v>24270.970873049926</v>
      </c>
      <c r="P161" s="12">
        <f>MIN(INDEX(其他调用!$AH$5:$AH$364,MATCH($K161,其他调用!$AG$5:$AG$364,0),1)/INDEX(其他调用!AJ$5:AJ$364,MATCH($K161,其他调用!$AG$5:$AG$364,0),0),1)*INDEX(其他调用!AA$5:AA$404,MATCH($K161,其他调用!$X$5:$X$404,0),0)</f>
        <v>14352.771752967536</v>
      </c>
      <c r="Q161" s="12">
        <f>MIN(INDEX(其他调用!$AH$5:$AH$364,MATCH($K161,其他调用!$AG$5:$AG$364,0),1)/INDEX(其他调用!AK$5:AK$364,MATCH($K161,其他调用!$AG$5:$AG$364,0),0),1)*INDEX(其他调用!AB$5:AB$404,MATCH($K161,其他调用!$X$5:$X$404,0),0)</f>
        <v>5379.5146063761877</v>
      </c>
      <c r="R161" s="12">
        <f>MIN(INDEX(其他调用!$AH$5:$AH$364,MATCH($K161,其他调用!$AG$5:$AG$364,0),1)/INDEX(其他调用!AL$5:AL$364,MATCH($K161,其他调用!$AG$5:$AG$364,0),0),1)*INDEX(其他调用!AC$5:AC$404,MATCH($K161,其他调用!$X$5:$X$404,0),0)</f>
        <v>1991.9412448718269</v>
      </c>
      <c r="S161" s="12">
        <f>求节点(节奏总纲!D$4:D$163,标准城池设计!AC$4:AC$163,$K161)*求节点(节奏总纲!D$4:D$163,攻城基础信息!$AD$5:$AD$164,$K161)</f>
        <v>626133.59158829635</v>
      </c>
      <c r="T161" s="12">
        <f>INDEX(其他调用!$AA$5:$AA$404,MATCH($K161,其他调用!$X$5:$X$404,0))*MIN(INDEX(其他调用!AI$5:AI$364,MATCH($K161,其他调用!$AG$5:$AG$364,0),1)/INDEX(其他调用!$AJ$5:$AJ$364,MATCH($K161,其他调用!$AG$5:$AG$364,0),0),5)*求节点(节奏总纲!D$4:D$163,攻城基础信息!$AD$5:$AD$164,$K161)</f>
        <v>76939.367043979815</v>
      </c>
      <c r="U161" s="12">
        <f>MIN(INDEX(其他调用!$AI$5:$AI$364,MATCH($K161,其他调用!$AG$5:$AG$364,0),1)/INDEX(其他调用!AH$5:AH$364,MATCH($K161,其他调用!$AG$5:$AG$364,0),0),1)*INDEX(其他调用!Y$5:Y$404,MATCH($K161,其他调用!$X$5:$X$404,0),0)</f>
        <v>38707.632374107037</v>
      </c>
      <c r="V161" s="12">
        <f>MIN(INDEX(其他调用!$AI$5:$AI$364,MATCH($K161,其他调用!$AG$5:$AG$364,0),1)/INDEX(其他调用!AI$5:AI$364,MATCH($K161,其他调用!$AG$5:$AG$364,0),0),1)*INDEX(其他调用!Z$5:Z$404,MATCH($K161,其他调用!$X$5:$X$404,0),0)</f>
        <v>39851.209973401215</v>
      </c>
      <c r="W161" s="12">
        <f>MIN(INDEX(其他调用!$AI$5:$AI$364,MATCH($K161,其他调用!$AG$5:$AG$364,0),1)/INDEX(其他调用!AJ$5:AJ$364,MATCH($K161,其他调用!$AG$5:$AG$364,0),0),1)*INDEX(其他调用!AA$5:AA$404,MATCH($K161,其他调用!$X$5:$X$404,0),0)</f>
        <v>23566.231603158602</v>
      </c>
      <c r="X161" s="12">
        <f>MIN(INDEX(其他调用!$AI$5:$AI$364,MATCH($K161,其他调用!$AG$5:$AG$364,0),1)/INDEX(其他调用!AK$5:AK$364,MATCH($K161,其他调用!$AG$5:$AG$364,0),0),1)*INDEX(其他调用!AB$5:AB$404,MATCH($K161,其他调用!$X$5:$X$404,0),0)</f>
        <v>8832.7808250851776</v>
      </c>
      <c r="Y161" s="12">
        <f>MIN(INDEX(其他调用!$AI$5:$AI$364,MATCH($K161,其他调用!$AG$5:$AG$364,0),1)/INDEX(其他调用!AL$5:AL$364,MATCH($K161,其他调用!$AG$5:$AG$364,0),0),1)*INDEX(其他调用!AC$5:AC$404,MATCH($K161,其他调用!$X$5:$X$404,0),0)</f>
        <v>3270.6260173633591</v>
      </c>
      <c r="Z161" s="12">
        <f>求节点(节奏总纲!D$4:D$163,标准城池设计!AD$4:AD$163,$K161)*求节点(节奏总纲!D$4:D$163,攻城基础信息!$AE$5:$AE$164,$K161)</f>
        <v>666845.38152598881</v>
      </c>
      <c r="AA161" s="12">
        <f>INDEX(其他调用!$AA$5:$AA$404,MATCH($K161,其他调用!$X$5:$X$404,0))*MIN(INDEX(其他调用!AJ$5:AJ$364,MATCH($K161,其他调用!$AG$5:$AG$364,0),1)/INDEX(其他调用!$AJ$5:$AJ$364,MATCH($K161,其他调用!$AG$5:$AG$364,0),0),5)*求节点(节奏总纲!D$4:D$163,攻城基础信息!$AE$5:$AE$164,$K161)</f>
        <v>135031.47597294091</v>
      </c>
      <c r="AB161" s="12">
        <f>MIN(INDEX(其他调用!$AJ$5:$AJ$364,MATCH($K161,其他调用!$AG$5:$AG$364,0),1)/INDEX(其他调用!AH$5:AH$364,MATCH($K161,其他调用!$AG$5:$AG$364,0),0),1)*INDEX(其他调用!Y$5:Y$404,MATCH($K161,其他调用!$X$5:$X$404,0),0)</f>
        <v>38707.632374107037</v>
      </c>
      <c r="AC161" s="12">
        <f>MIN(INDEX(其他调用!$AJ$5:$AJ$364,MATCH($K161,其他调用!$AG$5:$AG$364,0),1)/INDEX(其他调用!AI$5:AI$364,MATCH($K161,其他调用!$AG$5:$AG$364,0),0),1)*INDEX(其他调用!Z$5:Z$404,MATCH($K161,其他调用!$X$5:$X$404,0),0)</f>
        <v>39851.209973401215</v>
      </c>
      <c r="AD161" s="12">
        <f>MIN(INDEX(其他调用!$AJ$5:$AJ$364,MATCH($K161,其他调用!$AG$5:$AG$364,0),1)/INDEX(其他调用!AJ$5:AJ$364,MATCH($K161,其他调用!$AG$5:$AG$364,0),0),1)*INDEX(其他调用!AA$5:AA$404,MATCH($K161,其他调用!$X$5:$X$404,0),0)</f>
        <v>41359.620682552311</v>
      </c>
      <c r="AE161" s="12">
        <f>MIN(INDEX(其他调用!$AJ$5:$AJ$364,MATCH($K161,其他调用!$AG$5:$AG$364,0),1)/INDEX(其他调用!AK$5:AK$364,MATCH($K161,其他调用!$AG$5:$AG$364,0),0),1)*INDEX(其他调用!AB$5:AB$404,MATCH($K161,其他调用!$X$5:$X$404,0),0)</f>
        <v>15501.861759208043</v>
      </c>
      <c r="AF161" s="12">
        <f>MIN(INDEX(其他调用!$AJ$5:$AJ$364,MATCH($K161,其他调用!$AG$5:$AG$364,0),1)/INDEX(其他调用!AL$5:AL$364,MATCH($K161,其他调用!$AG$5:$AG$364,0),0),1)*INDEX(其他调用!AC$5:AC$404,MATCH($K161,其他调用!$X$5:$X$404,0),0)</f>
        <v>5740.0713763037411</v>
      </c>
      <c r="AG161" s="12">
        <f>求节点(节奏总纲!D$4:D$163,标准城池设计!AE$4:AE$163,$K161)*求节点(节奏总纲!D$4:D$163,攻城基础信息!$AF$5:$AF$164,$K161)</f>
        <v>775122.5716520882</v>
      </c>
      <c r="AH161" s="12">
        <f>INDEX(其他调用!$AA$5:$AA$404,MATCH($K161,其他调用!$X$5:$X$404,0))*MIN(INDEX(其他调用!AK$5:AK$364,MATCH($K161,其他调用!$AG$5:$AG$364,0),1)/INDEX(其他调用!$AJ$5:$AJ$364,MATCH($K161,其他调用!$AG$5:$AG$364,0),0),5)*求节点(节奏总纲!D$4:D$163,攻城基础信息!$AF$5:$AF$164,$K161)</f>
        <v>379429.91752137739</v>
      </c>
      <c r="AI161" s="12">
        <f>MIN(INDEX(其他调用!$AK$5:$AK$364,MATCH($K161,其他调用!$AG$5:$AG$364,0),1)/INDEX(其他调用!AH$5:AH$364,MATCH($K161,其他调用!$AG$5:$AG$364,0),0),1)*INDEX(其他调用!Y$5:Y$404,MATCH($K161,其他调用!$X$5:$X$404,0),0)</f>
        <v>38707.632374107037</v>
      </c>
      <c r="AJ161" s="12">
        <f>MIN(INDEX(其他调用!$AK$5:$AK$364,MATCH($K161,其他调用!$AG$5:$AG$364,0),1)/INDEX(其他调用!AI$5:AI$364,MATCH($K161,其他调用!$AG$5:$AG$364,0),0),1)*INDEX(其他调用!Z$5:Z$404,MATCH($K161,其他调用!$X$5:$X$404,0),0)</f>
        <v>39851.209973401215</v>
      </c>
      <c r="AK161" s="12">
        <f>MIN(INDEX(其他调用!$AK$5:$AK$364,MATCH($K161,其他调用!$AG$5:$AG$364,0),1)/INDEX(其他调用!AJ$5:AJ$364,MATCH($K161,其他调用!$AG$5:$AG$364,0),0),1)*INDEX(其他调用!AA$5:AA$404,MATCH($K161,其他调用!$X$5:$X$404,0),0)</f>
        <v>41359.620682552311</v>
      </c>
      <c r="AL161" s="12">
        <f>MIN(INDEX(其他调用!$AK$5:$AK$364,MATCH($K161,其他调用!$AG$5:$AG$364,0),1)/INDEX(其他调用!AK$5:AK$364,MATCH($K161,其他调用!$AG$5:$AG$364,0),0),1)*INDEX(其他调用!AB$5:AB$404,MATCH($K161,其他调用!$X$5:$X$404,0),0)</f>
        <v>43559.252287983407</v>
      </c>
      <c r="AM161" s="12">
        <f>MIN(INDEX(其他调用!$AK$5:$AK$364,MATCH($K161,其他调用!$AG$5:$AG$364,0),1)/INDEX(其他调用!AL$5:AL$364,MATCH($K161,其他调用!$AG$5:$AG$364,0),0),1)*INDEX(其他调用!AC$5:AC$404,MATCH($K161,其他调用!$X$5:$X$404,0),0)</f>
        <v>16129.237966073852</v>
      </c>
      <c r="AN161" s="12">
        <f>求节点(节奏总纲!D$4:D$163,标准城池设计!AF$4:AF$163,$K161)*求节点(节奏总纲!D$4:D$163,攻城基础信息!$AG$5:$AG$164,$K161)</f>
        <v>788232.34366531123</v>
      </c>
      <c r="AO161" s="12">
        <f>INDEX(其他调用!$AA$5:$AA$404,MATCH($K161,其他调用!$X$5:$X$404,0))*MIN(INDEX(其他调用!AL$5:AL$364,MATCH($K161,其他调用!$AG$5:$AG$364,0),1)/INDEX(其他调用!$AJ$5:$AJ$364,MATCH($K161,其他调用!$AG$5:$AG$364,0),0),5)*求节点(节奏总纲!D$4:D$163,攻城基础信息!$AG$5:$AG$164,$K161)</f>
        <v>675157.37986470456</v>
      </c>
      <c r="AP161" s="12">
        <f>MIN(INDEX(其他调用!$AL$5:$AL$364,MATCH($K161,其他调用!$AG$5:$AG$364,0),1)/INDEX(其他调用!AH$5:AH$364,MATCH($K161,其他调用!$AG$5:$AG$364,0),0),1)*INDEX(其他调用!Y$5:Y$404,MATCH($K161,其他调用!$X$5:$X$404,0),0)</f>
        <v>38707.632374107037</v>
      </c>
      <c r="AQ161" s="12">
        <f>MIN(INDEX(其他调用!$AL$5:$AL$364,MATCH($K161,其他调用!$AG$5:$AG$364,0),1)/INDEX(其他调用!AI$5:AI$364,MATCH($K161,其他调用!$AG$5:$AG$364,0),0),1)*INDEX(其他调用!Z$5:Z$404,MATCH($K161,其他调用!$X$5:$X$404,0),0)</f>
        <v>39851.209973401215</v>
      </c>
      <c r="AR161" s="12">
        <f>MIN(INDEX(其他调用!$AL$5:$AL$364,MATCH($K161,其他调用!$AG$5:$AG$364,0),1)/INDEX(其他调用!AJ$5:AJ$364,MATCH($K161,其他调用!$AG$5:$AG$364,0),0),1)*INDEX(其他调用!AA$5:AA$404,MATCH($K161,其他调用!$X$5:$X$404,0),0)</f>
        <v>41359.620682552311</v>
      </c>
      <c r="AS161" s="12">
        <f>MIN(INDEX(其他调用!$AL$5:$AL$364,MATCH($K161,其他调用!$AG$5:$AG$364,0),1)/INDEX(其他调用!AK$5:AK$364,MATCH($K161,其他调用!$AG$5:$AG$364,0),0),1)*INDEX(其他调用!AB$5:AB$404,MATCH($K161,其他调用!$X$5:$X$404,0),0)</f>
        <v>43559.252287983407</v>
      </c>
      <c r="AT161" s="12">
        <f>MIN(INDEX(其他调用!$AL$5:$AL$364,MATCH($K161,其他调用!$AG$5:$AG$364,0),1)/INDEX(其他调用!AL$5:AL$364,MATCH($K161,其他调用!$AG$5:$AG$364,0),0),1)*INDEX(其他调用!AC$5:AC$404,MATCH($K161,其他调用!$X$5:$X$404,0),0)</f>
        <v>47505.117688690327</v>
      </c>
      <c r="AV161" s="14">
        <f>IF(OR(AV$5="大R",AV$5="超R"),MAX(INDEX(其他调用!$H$5:$L$404,MATCH($K161,其他调用!$B$5:$B$404,0),MATCH(AV$5,其他调用!$H$4:$L$4,0))*120*0.85,2),INDEX(其他调用!$H$5:$L$404,MATCH($K161,其他调用!$B$5:$B$404,0),MATCH(AV$5,其他调用!$H$4:$L$4,0))*120*0.85)</f>
        <v>48.921801254999991</v>
      </c>
      <c r="AW161" s="14">
        <f>IF(OR(AW$5="大R",AW$5="超R"),MAX(INDEX(其他调用!$H$5:$L$404,MATCH($K161,其他调用!$B$5:$B$404,0),MATCH(AW$5,其他调用!$H$4:$L$4,0))*120*0.85,2),INDEX(其他调用!$H$5:$L$404,MATCH($K161,其他调用!$B$5:$B$404,0),MATCH(AW$5,其他调用!$H$4:$L$4,0))*120*0.85)</f>
        <v>48.237344010638395</v>
      </c>
      <c r="AX161" s="14">
        <f>IF(OR(AX$5="大R",AX$5="超R"),MAX(INDEX(其他调用!$H$5:$L$404,MATCH($K161,其他调用!$B$5:$B$404,0),MATCH(AX$5,其他调用!$H$4:$L$4,0))*120*0.85,2),INDEX(其他调用!$H$5:$L$404,MATCH($K161,其他调用!$B$5:$B$404,0),MATCH(AX$5,其他调用!$H$4:$L$4,0))*120*0.85)</f>
        <v>3.9376284143615998</v>
      </c>
      <c r="AY161" s="14">
        <f>IF(OR(AY$5="大R",AY$5="超R"),MAX(INDEX(其他调用!$H$5:$L$404,MATCH($K161,其他调用!$B$5:$B$404,0),MATCH(AY$5,其他调用!$H$4:$L$4,0))*120*0.85,2),INDEX(其他调用!$H$5:$L$404,MATCH($K161,其他调用!$B$5:$B$404,0),MATCH(AY$5,其他调用!$H$4:$L$4,0))*120*0.85)</f>
        <v>2</v>
      </c>
      <c r="AZ161" s="14">
        <f>IF(OR(AZ$5="大R",AZ$5="超R"),MAX(INDEX(其他调用!$H$5:$L$404,MATCH($K161,其他调用!$B$5:$B$404,0),MATCH(AZ$5,其他调用!$H$4:$L$4,0))*120*0.85,2),INDEX(其他调用!$H$5:$L$404,MATCH($K161,其他调用!$B$5:$B$404,0),MATCH(AZ$5,其他调用!$H$4:$L$4,0))*120*0.85)</f>
        <v>2</v>
      </c>
      <c r="BA161" s="14">
        <f>INDEX(其他调用!$H$5:$L$404,MATCH($K161,其他调用!$B$5:$B$404,0),MATCH(BA$5,其他调用!$H$4:$L$4,0))*INDEX(其他调用!$M$5:$M$404,MATCH($K161,其他调用!$B$5:$B$404,0))*0.6</f>
        <v>28.777530149999997</v>
      </c>
      <c r="BB161" s="14">
        <f>INDEX(其他调用!$H$5:$L$404,MATCH($K161,其他调用!$B$5:$B$404,0),MATCH(BB$5,其他调用!$H$4:$L$4,0))*INDEX(其他调用!$M$5:$M$404,MATCH($K161,其他调用!$B$5:$B$404,0))*0.6</f>
        <v>28.374908241551999</v>
      </c>
      <c r="BC161" s="14">
        <f>INDEX(其他调用!$H$5:$L$404,MATCH($K161,其他调用!$B$5:$B$404,0),MATCH(BC$5,其他调用!$H$4:$L$4,0))*INDEX(其他调用!$M$5:$M$404,MATCH($K161,其他调用!$B$5:$B$404,0))*0.6</f>
        <v>2.3162520084480001</v>
      </c>
      <c r="BD161" s="14">
        <f>INDEX(其他调用!$H$5:$L$404,MATCH($K161,其他调用!$B$5:$B$404,0),MATCH(BD$5,其他调用!$H$4:$L$4,0))*INDEX(其他调用!$M$5:$M$404,MATCH($K161,其他调用!$B$5:$B$404,0))*0.6</f>
        <v>0.4120776000000001</v>
      </c>
      <c r="BE161" s="14">
        <f>INDEX(其他调用!$H$5:$L$404,MATCH($K161,其他调用!$B$5:$B$404,0),MATCH(BE$5,其他调用!$H$4:$L$4,0))*INDEX(其他调用!$M$5:$M$404,MATCH($K161,其他调用!$B$5:$B$404,0))*0.6</f>
        <v>0.11923199999999998</v>
      </c>
      <c r="BF161" s="14">
        <f>IF(OR(BF$5="大R",BF$5="超R"),0,INDEX(其他调用!$H$5:$L$404,MATCH($K161,其他调用!$B$5:$B$404,0),MATCH(BF$5,其他调用!$H$4:$L$4,0))*50*0.4)</f>
        <v>9.5925100500000013</v>
      </c>
      <c r="BG161" s="14">
        <f>IF(OR(BG$5="大R",BG$5="超R"),0,INDEX(其他调用!$H$5:$L$404,MATCH($K161,其他调用!$B$5:$B$404,0),MATCH(BG$5,其他调用!$H$4:$L$4,0))*50*0.4)</f>
        <v>9.4583027471839998</v>
      </c>
      <c r="BH161" s="14">
        <f>IF(OR(BH$5="大R",BH$5="超R"),0,INDEX(其他调用!$H$5:$L$404,MATCH($K161,其他调用!$B$5:$B$404,0),MATCH(BH$5,其他调用!$H$4:$L$4,0))*50*0.4)</f>
        <v>0.77208400281600009</v>
      </c>
      <c r="BI161" s="14">
        <f>IF(OR(BI$5="大R",BI$5="超R"),0,INDEX(其他调用!$H$5:$L$404,MATCH($K161,其他调用!$B$5:$B$404,0),MATCH(BI$5,其他调用!$H$4:$L$4,0))*50*0.4)</f>
        <v>0</v>
      </c>
      <c r="BJ161" s="14">
        <f>IF(OR(BJ$5="大R",BJ$5="超R"),0,INDEX(其他调用!$H$5:$L$404,MATCH($K161,其他调用!$B$5:$B$404,0),MATCH(BJ$5,其他调用!$H$4:$L$4,0))*50*0.4)</f>
        <v>0</v>
      </c>
      <c r="BL161" s="14">
        <f t="shared" si="313"/>
        <v>156</v>
      </c>
      <c r="BM161" s="14">
        <f t="shared" si="220"/>
        <v>96</v>
      </c>
      <c r="BN161" s="14">
        <f>('疲劳值&amp;地图信息'!$S$10*'疲劳值&amp;地图信息'!$R$10+'疲劳值&amp;地图信息'!$S$11*'疲劳值&amp;地图信息'!$R$11+'疲劳值&amp;地图信息'!$S$12*'疲劳值&amp;地图信息'!$R$12+(BM161-'疲劳值&amp;地图信息'!$S$12-'疲劳值&amp;地图信息'!$S$11-'疲劳值&amp;地图信息'!$S$10)*'疲劳值&amp;地图信息'!$R$13)/BM161</f>
        <v>51.371477246638619</v>
      </c>
      <c r="BO161" s="14">
        <f>INDEX(其他调用!$M$5:$M$404,MATCH(BL161,其他调用!$B$5:$B$404,0))*0.6</f>
        <v>60</v>
      </c>
      <c r="BP161" s="14">
        <f>IF(BO161&gt;SUM('疲劳值&amp;地图信息'!$S$10:$S$12),('疲劳值&amp;地图信息'!$S$10*'疲劳值&amp;地图信息'!$R$10+'疲劳值&amp;地图信息'!$S$11*'疲劳值&amp;地图信息'!$R$11+'疲劳值&amp;地图信息'!$S$12*'疲劳值&amp;地图信息'!$R$12+(BO161-'疲劳值&amp;地图信息'!$S$12-'疲劳值&amp;地图信息'!$S$11-'疲劳值&amp;地图信息'!$S$10)*'疲劳值&amp;地图信息'!$R$13)/BO161,('疲劳值&amp;地图信息'!$S$10*'疲劳值&amp;地图信息'!$R$10+'疲劳值&amp;地图信息'!$S$11*'疲劳值&amp;地图信息'!$R$11+'疲劳值&amp;地图信息'!$S$12*'疲劳值&amp;地图信息'!$R$12+(BO161-'疲劳值&amp;地图信息'!$S$12-'疲劳值&amp;地图信息'!$S$11-'疲劳值&amp;地图信息'!$S$10)*'疲劳值&amp;地图信息'!$R$13)/BO161)</f>
        <v>44.158136341605953</v>
      </c>
      <c r="BQ161" s="14">
        <f t="shared" si="314"/>
        <v>20</v>
      </c>
      <c r="BR161" s="14">
        <f>('疲劳值&amp;地图信息'!$S$10*'疲劳值&amp;地图信息'!$R$10+($BQ161-'疲劳值&amp;地图信息'!$S$10)*'疲劳值&amp;地图信息'!$R$11)/$BQ161</f>
        <v>32.067203015074995</v>
      </c>
      <c r="CF161" s="14">
        <v>156</v>
      </c>
      <c r="CG161" s="51">
        <f t="shared" si="221"/>
        <v>11888</v>
      </c>
      <c r="CH161" s="51">
        <f t="shared" si="222"/>
        <v>955</v>
      </c>
      <c r="CI161" s="51">
        <f>INT(SUMPRODUCT($N161:$R161,$BA161:$BE161)/SUM($BA161:$BE161)/10000*$BX$7*$BZ$34/'疲劳值&amp;地图信息'!$R$10*$BY$53)</f>
        <v>3108</v>
      </c>
      <c r="CJ161" s="50">
        <f t="shared" si="223"/>
        <v>0.74528242743401663</v>
      </c>
      <c r="CK161" s="50">
        <f t="shared" si="224"/>
        <v>5.9870854491881384E-2</v>
      </c>
      <c r="CL161" s="50">
        <f t="shared" si="225"/>
        <v>0.19484671807410195</v>
      </c>
      <c r="CM161" s="14">
        <f t="shared" si="226"/>
        <v>12761</v>
      </c>
      <c r="CN161" s="14">
        <f t="shared" si="227"/>
        <v>1568</v>
      </c>
      <c r="CO161" s="14">
        <f>INT(SUMPRODUCT($U161:$Y161,$BA161:$BE161)/SUM($BA161:$BE161)/10000*$BX$7*$BZ$34/'疲劳值&amp;地图信息'!$R$10*$BY$54)</f>
        <v>5842</v>
      </c>
      <c r="CP161" s="50">
        <f t="shared" si="228"/>
        <v>0.63264092013286399</v>
      </c>
      <c r="CQ161" s="50">
        <f t="shared" si="229"/>
        <v>7.7735362649348078E-2</v>
      </c>
      <c r="CR161" s="50">
        <f t="shared" si="230"/>
        <v>0.2896237172177879</v>
      </c>
      <c r="CS161" s="14">
        <f t="shared" si="231"/>
        <v>13591</v>
      </c>
      <c r="CT161" s="14">
        <f t="shared" si="232"/>
        <v>2752</v>
      </c>
      <c r="CU161" s="14">
        <f>INT(SUMPRODUCT($AB161:$AF161,$BA161:$BE161)/SUM($BA161:$BE161)/10000*$BX$7*$BZ$34/'疲劳值&amp;地图信息'!$R$10*$BY$55)</f>
        <v>7940</v>
      </c>
      <c r="CV161" s="50">
        <f t="shared" si="233"/>
        <v>0.5596919655726228</v>
      </c>
      <c r="CW161" s="50">
        <f t="shared" si="234"/>
        <v>0.1133303133879669</v>
      </c>
      <c r="CX161" s="50">
        <f t="shared" si="235"/>
        <v>0.32697772103941031</v>
      </c>
      <c r="CY161" s="14">
        <f t="shared" si="236"/>
        <v>15798</v>
      </c>
      <c r="CZ161" s="14">
        <f t="shared" si="237"/>
        <v>7733</v>
      </c>
      <c r="DA161" s="14">
        <f>INT(SUMPRODUCT($AI161:$AM161,$BA161:$BE161)/SUM($BA161:$BE161)/10000*$BX$7*$BZ$34/'疲劳值&amp;地图信息'!$R$10*$BY$56)</f>
        <v>11974</v>
      </c>
      <c r="DB161" s="50">
        <f t="shared" si="238"/>
        <v>0.44495141529362059</v>
      </c>
      <c r="DC161" s="50">
        <f t="shared" si="239"/>
        <v>0.21780030981551893</v>
      </c>
      <c r="DD161" s="50">
        <f t="shared" si="240"/>
        <v>0.33724827489086046</v>
      </c>
      <c r="DE161" s="14">
        <f t="shared" si="241"/>
        <v>16065</v>
      </c>
      <c r="DF161" s="14">
        <f t="shared" si="242"/>
        <v>13760</v>
      </c>
      <c r="DG161" s="14">
        <f>INT(SUMPRODUCT($AP161:$AT161,$BA161:$BE161)/SUM($BA161:$BE161)/10000*$BX$7*$BZ$34/'疲劳值&amp;地图信息'!$R$10*$BY$57)</f>
        <v>15991</v>
      </c>
      <c r="DH161" s="50">
        <f t="shared" si="243"/>
        <v>0.35064169722367733</v>
      </c>
      <c r="DI161" s="50">
        <f t="shared" si="244"/>
        <v>0.30033176182992843</v>
      </c>
      <c r="DJ161" s="50">
        <f t="shared" si="245"/>
        <v>0.34902654094639429</v>
      </c>
      <c r="DL161" s="14">
        <f t="shared" si="316"/>
        <v>15951</v>
      </c>
      <c r="DM161" s="14">
        <f t="shared" si="317"/>
        <v>20171</v>
      </c>
      <c r="DN161" s="14">
        <f t="shared" si="318"/>
        <v>24283</v>
      </c>
      <c r="DO161" s="14">
        <f t="shared" si="319"/>
        <v>35505</v>
      </c>
      <c r="DP161" s="14">
        <f t="shared" si="320"/>
        <v>45816</v>
      </c>
      <c r="DQ161" s="14">
        <f t="shared" si="321"/>
        <v>1107719</v>
      </c>
      <c r="DT161" s="14">
        <f t="shared" si="315"/>
        <v>235575</v>
      </c>
      <c r="DU161" s="50">
        <f t="shared" si="217"/>
        <v>0.17537113989938166</v>
      </c>
      <c r="DW161" s="14">
        <f t="shared" si="246"/>
        <v>1343294</v>
      </c>
      <c r="EB161" s="14">
        <v>156</v>
      </c>
      <c r="EC161" s="51">
        <f t="shared" si="247"/>
        <v>19813</v>
      </c>
      <c r="ED161" s="51">
        <f t="shared" si="248"/>
        <v>1591</v>
      </c>
      <c r="EE161" s="51">
        <f>INT(SUMPRODUCT($N161:$R161,$BF161:$BJ161)/SUM($BF161:$BJ161)/10000*$BX$7*$BZ$46/'疲劳值&amp;地图信息'!$R$10*$BY$53)</f>
        <v>417</v>
      </c>
      <c r="EF161" s="50">
        <f t="shared" si="249"/>
        <v>0.90797855277026718</v>
      </c>
      <c r="EG161" s="50">
        <f t="shared" si="250"/>
        <v>7.2911415608817198E-2</v>
      </c>
      <c r="EH161" s="50">
        <f t="shared" si="251"/>
        <v>1.9110031620915631E-2</v>
      </c>
      <c r="EI161" s="51">
        <f t="shared" si="252"/>
        <v>21269</v>
      </c>
      <c r="EJ161" s="51">
        <f t="shared" si="253"/>
        <v>2613</v>
      </c>
      <c r="EK161" s="14">
        <f>INT(SUMPRODUCT($U161:$Y161,$BF161:$BJ161)/SUM($BF161:$BJ161)/10000*$BX$7*$BZ$46/'疲劳值&amp;地图信息'!$R$10*$BY$54)</f>
        <v>784</v>
      </c>
      <c r="EL161" s="50">
        <f t="shared" si="254"/>
        <v>0.86228006162328708</v>
      </c>
      <c r="EM161" s="50">
        <f t="shared" si="255"/>
        <v>0.10593529554852833</v>
      </c>
      <c r="EN161" s="50">
        <f t="shared" si="256"/>
        <v>3.1784642828184544E-2</v>
      </c>
      <c r="EO161" s="51">
        <f t="shared" si="257"/>
        <v>22651</v>
      </c>
      <c r="EP161" s="51">
        <f t="shared" si="258"/>
        <v>4586</v>
      </c>
      <c r="EQ161" s="14">
        <f>INT(SUMPRODUCT($AB161:$AF161,$BF161:$BJ161)/SUM($BF161:$BJ161)/10000*$BX$7*$BZ$46/'疲劳值&amp;地图信息'!$R$10*$BY$55)</f>
        <v>1064</v>
      </c>
      <c r="ER161" s="50">
        <f t="shared" si="259"/>
        <v>0.80036041129288715</v>
      </c>
      <c r="ES161" s="50">
        <f t="shared" si="260"/>
        <v>0.16204374403731317</v>
      </c>
      <c r="ET161" s="50">
        <f t="shared" si="261"/>
        <v>3.7595844669799657E-2</v>
      </c>
      <c r="EU161" s="51">
        <f t="shared" si="262"/>
        <v>26330</v>
      </c>
      <c r="EV161" s="51">
        <f t="shared" si="263"/>
        <v>12888</v>
      </c>
      <c r="EW161" s="14">
        <f>INT(SUMPRODUCT($AI161:$AM161,$BF161:$BJ161)/SUM($BF161:$BJ161)/10000*$BX$7*$BZ$46/'疲劳值&amp;地图信息'!$R$10*$BY$56)</f>
        <v>1597</v>
      </c>
      <c r="EX161" s="50">
        <f t="shared" si="264"/>
        <v>0.64510596594389313</v>
      </c>
      <c r="EY161" s="50">
        <f t="shared" si="265"/>
        <v>0.31576626240352812</v>
      </c>
      <c r="EZ161" s="50">
        <f t="shared" si="266"/>
        <v>3.9127771652578712E-2</v>
      </c>
      <c r="FA161" s="51">
        <f t="shared" si="267"/>
        <v>26775</v>
      </c>
      <c r="FB161" s="51">
        <f t="shared" si="268"/>
        <v>22934</v>
      </c>
      <c r="FC161" s="14">
        <f>INT(SUMPRODUCT($AP161:$AT161,$BF161:$BJ161)/SUM($BF161:$BJ161)/10000*$BX$7*$BZ$46/'疲劳值&amp;地图信息'!$R$10*$BY$57)</f>
        <v>2129</v>
      </c>
      <c r="FD161" s="50">
        <f t="shared" si="269"/>
        <v>0.51651298275396429</v>
      </c>
      <c r="FE161" s="50">
        <f t="shared" si="270"/>
        <v>0.44241675990586055</v>
      </c>
      <c r="FF161" s="50">
        <f t="shared" si="271"/>
        <v>4.1070257340175158E-2</v>
      </c>
      <c r="FH161" s="14">
        <f t="shared" si="272"/>
        <v>21821</v>
      </c>
      <c r="FI161" s="14">
        <f t="shared" si="273"/>
        <v>24666</v>
      </c>
      <c r="FJ161" s="14">
        <f t="shared" si="274"/>
        <v>28301</v>
      </c>
      <c r="FK161" s="14">
        <f t="shared" si="275"/>
        <v>40815</v>
      </c>
      <c r="FL161" s="14">
        <f t="shared" si="276"/>
        <v>51838</v>
      </c>
      <c r="FM161" s="14">
        <f t="shared" si="277"/>
        <v>2554089</v>
      </c>
      <c r="FP161" s="14">
        <f t="shared" si="278"/>
        <v>334150</v>
      </c>
      <c r="FQ161" s="50">
        <f t="shared" si="218"/>
        <v>0.11569333424276869</v>
      </c>
      <c r="FS161" s="14">
        <f t="shared" si="279"/>
        <v>2888239</v>
      </c>
      <c r="FX161" s="14">
        <v>156</v>
      </c>
      <c r="FY161" s="51">
        <f t="shared" si="280"/>
        <v>27739</v>
      </c>
      <c r="FZ161" s="51">
        <f t="shared" si="281"/>
        <v>1591</v>
      </c>
      <c r="GA161" s="51">
        <f>INT(SUMPRODUCT($N161:$R161,$BF161:$BJ161)/SUM($BF161:$BJ161)/10000*$BX$7*$BZ$46/'疲劳值&amp;地图信息'!$R$10*$BY$53)</f>
        <v>417</v>
      </c>
      <c r="GB161" s="50">
        <f t="shared" si="282"/>
        <v>0.93249739469526338</v>
      </c>
      <c r="GC161" s="50">
        <f t="shared" si="283"/>
        <v>5.3484384979997981E-2</v>
      </c>
      <c r="GD161" s="50">
        <f t="shared" si="284"/>
        <v>1.401822032473863E-2</v>
      </c>
      <c r="GE161" s="51">
        <f t="shared" si="285"/>
        <v>29776</v>
      </c>
      <c r="GF161" s="51">
        <f t="shared" si="286"/>
        <v>2613</v>
      </c>
      <c r="GG161" s="14">
        <f>INT(SUMPRODUCT($U161:$Y161,$BF161:$BJ161)/SUM($BF161:$BJ161)/10000*$BX$7*$BZ$46/'疲劳值&amp;地图信息'!$R$10*$BY$54)</f>
        <v>784</v>
      </c>
      <c r="GH161" s="50">
        <f t="shared" si="287"/>
        <v>0.89759744370421723</v>
      </c>
      <c r="GI161" s="50">
        <f t="shared" si="288"/>
        <v>7.8768878304645337E-2</v>
      </c>
      <c r="GJ161" s="50">
        <f t="shared" si="289"/>
        <v>2.3633677991137372E-2</v>
      </c>
      <c r="GK161" s="51">
        <f t="shared" si="290"/>
        <v>31712</v>
      </c>
      <c r="GL161" s="51">
        <f t="shared" si="291"/>
        <v>4586</v>
      </c>
      <c r="GM161" s="14">
        <f>INT(SUMPRODUCT($AB161:$AF161,$BF161:$BJ161)/SUM($BF161:$BJ161)/10000*$BX$7*$BZ$46/'疲劳值&amp;地图信息'!$R$10*$BY$55)</f>
        <v>1064</v>
      </c>
      <c r="GN161" s="50">
        <f t="shared" si="292"/>
        <v>0.84877683207537069</v>
      </c>
      <c r="GO161" s="50">
        <f t="shared" si="293"/>
        <v>0.12274503506236283</v>
      </c>
      <c r="GP161" s="50">
        <f t="shared" si="294"/>
        <v>2.8478132862266473E-2</v>
      </c>
      <c r="GQ161" s="51">
        <f t="shared" si="295"/>
        <v>36862</v>
      </c>
      <c r="GR161" s="51">
        <f t="shared" si="296"/>
        <v>12888</v>
      </c>
      <c r="GS161" s="14">
        <f>INT(SUMPRODUCT($AI161:$AM161,$BF161:$BJ161)/SUM($BF161:$BJ161)/10000*$BX$7*$BZ$46/'疲劳值&amp;地图信息'!$R$10*$BY$56)</f>
        <v>1597</v>
      </c>
      <c r="GT161" s="50">
        <f t="shared" si="297"/>
        <v>0.71789977992872023</v>
      </c>
      <c r="GU161" s="50">
        <f t="shared" si="298"/>
        <v>0.25099811089255458</v>
      </c>
      <c r="GV161" s="50">
        <f t="shared" si="299"/>
        <v>3.1102109178725145E-2</v>
      </c>
      <c r="GW161" s="51">
        <f t="shared" si="300"/>
        <v>37485</v>
      </c>
      <c r="GX161" s="51">
        <f t="shared" si="301"/>
        <v>22934</v>
      </c>
      <c r="GY161" s="14">
        <f>INT(SUMPRODUCT($AP161:$AT161,$BF161:$BJ161)/SUM($BF161:$BJ161)/10000*$BX$7*$BZ$46/'疲劳值&amp;地图信息'!$R$10*$BY$57)</f>
        <v>2129</v>
      </c>
      <c r="GZ161" s="50">
        <f t="shared" si="302"/>
        <v>0.59929973780136858</v>
      </c>
      <c r="HA161" s="50">
        <f t="shared" si="303"/>
        <v>0.36666240327428534</v>
      </c>
      <c r="HB161" s="50">
        <f t="shared" si="304"/>
        <v>3.4037858924346104E-2</v>
      </c>
      <c r="HD161" s="14">
        <f t="shared" si="305"/>
        <v>29747</v>
      </c>
      <c r="HE161" s="14">
        <f t="shared" si="306"/>
        <v>33173</v>
      </c>
      <c r="HF161" s="14">
        <f t="shared" si="307"/>
        <v>37362</v>
      </c>
      <c r="HG161" s="14">
        <f t="shared" si="308"/>
        <v>51347</v>
      </c>
      <c r="HH161" s="14">
        <f t="shared" si="309"/>
        <v>62548</v>
      </c>
      <c r="HI161" s="14">
        <f t="shared" si="310"/>
        <v>3430361</v>
      </c>
      <c r="HL161" s="14">
        <f t="shared" si="311"/>
        <v>430050</v>
      </c>
      <c r="HM161" s="50">
        <f t="shared" si="219"/>
        <v>0.11140005558993589</v>
      </c>
      <c r="HO161" s="14">
        <f t="shared" si="312"/>
        <v>3860411</v>
      </c>
    </row>
    <row r="162" spans="11:223" x14ac:dyDescent="0.2">
      <c r="K162" s="14">
        <v>157</v>
      </c>
      <c r="L162" s="12">
        <f>求节点(节奏总纲!D$4:D$163,标准城池设计!AB$4:AB$163,$K162)*求节点(节奏总纲!D$4:D$163,攻城基础信息!$AC$5:$AC$164,$K162)</f>
        <v>585143.22059159714</v>
      </c>
      <c r="M162" s="12">
        <f>INDEX(其他调用!$AA$5:$AA$404,MATCH(K162,其他调用!$X$5:$X$404,0))*MIN(INDEX(其他调用!$AH$5:$AH$364,MATCH('征服点（新）'!K162,其他调用!$AG$5:$AG$364,0),1)/INDEX(其他调用!$AJ$5:$AJ$364,MATCH(K162,其他调用!$AG$5:$AG$364,0),0),5)*求节点(节奏总纲!D$4:D$163,攻城基础信息!$AC$5:$AC$164,$K162)</f>
        <v>46966.022446192161</v>
      </c>
      <c r="N162" s="12">
        <f>MIN(INDEX(其他调用!$AH$5:$AH$364,MATCH($K162,其他调用!$AG$5:$AG$364,0),1)/INDEX(其他调用!AH$5:AH$364,MATCH($K162,其他调用!$AG$5:$AG$364,0),0),1)*INDEX(其他调用!Y$5:Y$404,MATCH($K162,其他调用!$X$5:$X$404,0),0)</f>
        <v>38744.805088851361</v>
      </c>
      <c r="O162" s="12">
        <f>MIN(INDEX(其他调用!$AH$5:$AH$364,MATCH($K162,其他调用!$AG$5:$AG$364,0),1)/INDEX(其他调用!AI$5:AI$364,MATCH($K162,其他调用!$AG$5:$AG$364,0),0),1)*INDEX(其他调用!Z$5:Z$404,MATCH($K162,其他调用!$X$5:$X$404,0),0)</f>
        <v>24284.807584722923</v>
      </c>
      <c r="P162" s="12">
        <f>MIN(INDEX(其他调用!$AH$5:$AH$364,MATCH($K162,其他调用!$AG$5:$AG$364,0),1)/INDEX(其他调用!AJ$5:AJ$364,MATCH($K162,其他调用!$AG$5:$AG$364,0),0),1)*INDEX(其他调用!AA$5:AA$404,MATCH($K162,其他调用!$X$5:$X$404,0),0)</f>
        <v>14371.992148541523</v>
      </c>
      <c r="Q162" s="12">
        <f>MIN(INDEX(其他调用!$AH$5:$AH$364,MATCH($K162,其他调用!$AG$5:$AG$364,0),1)/INDEX(其他调用!AK$5:AK$364,MATCH($K162,其他调用!$AG$5:$AG$364,0),0),1)*INDEX(其他调用!AB$5:AB$404,MATCH($K162,其他调用!$X$5:$X$404,0),0)</f>
        <v>5376.3747450970059</v>
      </c>
      <c r="R162" s="12">
        <f>MIN(INDEX(其他调用!$AH$5:$AH$364,MATCH($K162,其他调用!$AG$5:$AG$364,0),1)/INDEX(其他调用!AL$5:AL$364,MATCH($K162,其他调用!$AG$5:$AG$364,0),0),1)*INDEX(其他调用!AC$5:AC$404,MATCH($K162,其他调用!$X$5:$X$404,0),0)</f>
        <v>2000.6033846521382</v>
      </c>
      <c r="S162" s="12">
        <f>求节点(节奏总纲!D$4:D$163,标准城池设计!AC$4:AC$163,$K162)*求节点(节奏总纲!D$4:D$163,攻城基础信息!$AD$5:$AD$164,$K162)</f>
        <v>627943.51023024379</v>
      </c>
      <c r="T162" s="12">
        <f>INDEX(其他调用!$AA$5:$AA$404,MATCH($K162,其他调用!$X$5:$X$404,0))*MIN(INDEX(其他调用!AI$5:AI$364,MATCH($K162,其他调用!$AG$5:$AG$364,0),1)/INDEX(其他调用!$AJ$5:$AJ$364,MATCH($K162,其他调用!$AG$5:$AG$364,0),0),5)*求节点(节奏总纲!D$4:D$163,攻城基础信息!$AD$5:$AD$164,$K162)</f>
        <v>77141.965793369833</v>
      </c>
      <c r="U162" s="12">
        <f>MIN(INDEX(其他调用!$AI$5:$AI$364,MATCH($K162,其他调用!$AG$5:$AG$364,0),1)/INDEX(其他调用!AH$5:AH$364,MATCH($K162,其他调用!$AG$5:$AG$364,0),0),1)*INDEX(其他调用!Y$5:Y$404,MATCH($K162,其他调用!$X$5:$X$404,0),0)</f>
        <v>38744.805088851361</v>
      </c>
      <c r="V162" s="12">
        <f>MIN(INDEX(其他调用!$AI$5:$AI$364,MATCH($K162,其他调用!$AG$5:$AG$364,0),1)/INDEX(其他调用!AI$5:AI$364,MATCH($K162,其他调用!$AG$5:$AG$364,0),0),1)*INDEX(其他调用!Z$5:Z$404,MATCH($K162,其他调用!$X$5:$X$404,0),0)</f>
        <v>39887.938097068953</v>
      </c>
      <c r="W162" s="12">
        <f>MIN(INDEX(其他调用!$AI$5:$AI$364,MATCH($K162,其他调用!$AG$5:$AG$364,0),1)/INDEX(其他调用!AJ$5:AJ$364,MATCH($K162,其他调用!$AG$5:$AG$364,0),0),1)*INDEX(其他调用!AA$5:AA$404,MATCH($K162,其他调用!$X$5:$X$404,0),0)</f>
        <v>23606.080927452655</v>
      </c>
      <c r="X162" s="12">
        <f>MIN(INDEX(其他调用!$AI$5:$AI$364,MATCH($K162,其他调用!$AG$5:$AG$364,0),1)/INDEX(其他调用!AK$5:AK$364,MATCH($K162,其他调用!$AG$5:$AG$364,0),0),1)*INDEX(其他调用!AB$5:AB$404,MATCH($K162,其他调用!$X$5:$X$404,0),0)</f>
        <v>8830.7268760894767</v>
      </c>
      <c r="Y162" s="12">
        <f>MIN(INDEX(其他调用!$AI$5:$AI$364,MATCH($K162,其他调用!$AG$5:$AG$364,0),1)/INDEX(其他调用!AL$5:AL$364,MATCH($K162,其他调用!$AG$5:$AG$364,0),0),1)*INDEX(其他调用!AC$5:AC$404,MATCH($K162,其他调用!$X$5:$X$404,0),0)</f>
        <v>3286.002727647372</v>
      </c>
      <c r="Z162" s="12">
        <f>求节点(节奏总纲!D$4:D$163,标准城池设计!AD$4:AD$163,$K162)*求节点(节奏总纲!D$4:D$163,攻城基础信息!$AE$5:$AE$164,$K162)</f>
        <v>668606.54438292142</v>
      </c>
      <c r="AA162" s="12">
        <f>INDEX(其他调用!$AA$5:$AA$404,MATCH($K162,其他调用!$X$5:$X$404,0))*MIN(INDEX(其他调用!AJ$5:AJ$364,MATCH($K162,其他调用!$AG$5:$AG$364,0),1)/INDEX(其他调用!$AJ$5:$AJ$364,MATCH($K162,其他调用!$AG$5:$AG$364,0),0),5)*求节点(节奏总纲!D$4:D$163,攻城基础信息!$AE$5:$AE$164,$K162)</f>
        <v>135279.63635899412</v>
      </c>
      <c r="AB162" s="12">
        <f>MIN(INDEX(其他调用!$AJ$5:$AJ$364,MATCH($K162,其他调用!$AG$5:$AG$364,0),1)/INDEX(其他调用!AH$5:AH$364,MATCH($K162,其他调用!$AG$5:$AG$364,0),0),1)*INDEX(其他调用!Y$5:Y$404,MATCH($K162,其他调用!$X$5:$X$404,0),0)</f>
        <v>38744.805088851361</v>
      </c>
      <c r="AC162" s="12">
        <f>MIN(INDEX(其他调用!$AJ$5:$AJ$364,MATCH($K162,其他调用!$AG$5:$AG$364,0),1)/INDEX(其他调用!AI$5:AI$364,MATCH($K162,其他调用!$AG$5:$AG$364,0),0),1)*INDEX(其他调用!Z$5:Z$404,MATCH($K162,其他调用!$X$5:$X$404,0),0)</f>
        <v>39887.938097068953</v>
      </c>
      <c r="AD162" s="12">
        <f>MIN(INDEX(其他调用!$AJ$5:$AJ$364,MATCH($K162,其他调用!$AG$5:$AG$364,0),1)/INDEX(其他调用!AJ$5:AJ$364,MATCH($K162,其他调用!$AG$5:$AG$364,0),0),1)*INDEX(其他调用!AA$5:AA$404,MATCH($K162,其他调用!$X$5:$X$404,0),0)</f>
        <v>41396.689997252426</v>
      </c>
      <c r="AE162" s="12">
        <f>MIN(INDEX(其他调用!$AJ$5:$AJ$364,MATCH($K162,其他调用!$AG$5:$AG$364,0),1)/INDEX(其他调用!AK$5:AK$364,MATCH($K162,其他调用!$AG$5:$AG$364,0),0),1)*INDEX(其他调用!AB$5:AB$404,MATCH($K162,其他调用!$X$5:$X$404,0),0)</f>
        <v>15485.961607237847</v>
      </c>
      <c r="AF162" s="12">
        <f>MIN(INDEX(其他调用!$AJ$5:$AJ$364,MATCH($K162,其他调用!$AG$5:$AG$364,0),1)/INDEX(其他调用!AL$5:AL$364,MATCH($K162,其他调用!$AG$5:$AG$364,0),0),1)*INDEX(其他调用!AC$5:AC$404,MATCH($K162,其他调用!$X$5:$X$404,0),0)</f>
        <v>5762.4828392564186</v>
      </c>
      <c r="AG162" s="12">
        <f>求节点(节奏总纲!D$4:D$163,标准城池设计!AE$4:AE$163,$K162)*求节点(节奏总纲!D$4:D$163,攻城基础信息!$AF$5:$AF$164,$K162)</f>
        <v>778252.79209099256</v>
      </c>
      <c r="AH162" s="12">
        <f>INDEX(其他调用!$AA$5:$AA$404,MATCH($K162,其他调用!$X$5:$X$404,0))*MIN(INDEX(其他调用!AK$5:AK$364,MATCH($K162,其他调用!$AG$5:$AG$364,0),1)/INDEX(其他调用!$AJ$5:$AJ$364,MATCH($K162,其他调用!$AG$5:$AG$364,0),0),5)*求节点(节奏总纲!D$4:D$163,攻城基础信息!$AF$5:$AF$164,$K162)</f>
        <v>380833.7449614536</v>
      </c>
      <c r="AI162" s="12">
        <f>MIN(INDEX(其他调用!$AK$5:$AK$364,MATCH($K162,其他调用!$AG$5:$AG$364,0),1)/INDEX(其他调用!AH$5:AH$364,MATCH($K162,其他调用!$AG$5:$AG$364,0),0),1)*INDEX(其他调用!Y$5:Y$404,MATCH($K162,其他调用!$X$5:$X$404,0),0)</f>
        <v>38744.805088851361</v>
      </c>
      <c r="AJ162" s="12">
        <f>MIN(INDEX(其他调用!$AK$5:$AK$364,MATCH($K162,其他调用!$AG$5:$AG$364,0),1)/INDEX(其他调用!AI$5:AI$364,MATCH($K162,其他调用!$AG$5:$AG$364,0),0),1)*INDEX(其他调用!Z$5:Z$404,MATCH($K162,其他调用!$X$5:$X$404,0),0)</f>
        <v>39887.938097068953</v>
      </c>
      <c r="AK162" s="12">
        <f>MIN(INDEX(其他调用!$AK$5:$AK$364,MATCH($K162,其他调用!$AG$5:$AG$364,0),1)/INDEX(其他调用!AJ$5:AJ$364,MATCH($K162,其他调用!$AG$5:$AG$364,0),0),1)*INDEX(其他调用!AA$5:AA$404,MATCH($K162,其他调用!$X$5:$X$404,0),0)</f>
        <v>41396.689997252426</v>
      </c>
      <c r="AL162" s="12">
        <f>MIN(INDEX(其他调用!$AK$5:$AK$364,MATCH($K162,其他调用!$AG$5:$AG$364,0),1)/INDEX(其他调用!AK$5:AK$364,MATCH($K162,其他调用!$AG$5:$AG$364,0),0),1)*INDEX(其他调用!AB$5:AB$404,MATCH($K162,其他调用!$X$5:$X$404,0),0)</f>
        <v>43595.450963241572</v>
      </c>
      <c r="AM162" s="12">
        <f>MIN(INDEX(其他调用!$AK$5:$AK$364,MATCH($K162,其他调用!$AG$5:$AG$364,0),1)/INDEX(其他调用!AL$5:AL$364,MATCH($K162,其他调用!$AG$5:$AG$364,0),0),1)*INDEX(其他调用!AC$5:AC$404,MATCH($K162,其他调用!$X$5:$X$404,0),0)</f>
        <v>16222.307946825185</v>
      </c>
      <c r="AN162" s="12">
        <f>求节点(节奏总纲!D$4:D$163,标准城池设计!AF$4:AF$163,$K162)*求节点(节奏总纲!D$4:D$163,攻城基础信息!$AG$5:$AG$164,$K162)</f>
        <v>791777.28438985569</v>
      </c>
      <c r="AO162" s="12">
        <f>INDEX(其他调用!$AA$5:$AA$404,MATCH($K162,其他调用!$X$5:$X$404,0))*MIN(INDEX(其他调用!AL$5:AL$364,MATCH($K162,其他调用!$AG$5:$AG$364,0),1)/INDEX(其他调用!$AJ$5:$AJ$364,MATCH($K162,其他调用!$AG$5:$AG$364,0),0),5)*求节点(节奏总纲!D$4:D$163,攻城基础信息!$AG$5:$AG$164,$K162)</f>
        <v>676398.18179497065</v>
      </c>
      <c r="AP162" s="12">
        <f>MIN(INDEX(其他调用!$AL$5:$AL$364,MATCH($K162,其他调用!$AG$5:$AG$364,0),1)/INDEX(其他调用!AH$5:AH$364,MATCH($K162,其他调用!$AG$5:$AG$364,0),0),1)*INDEX(其他调用!Y$5:Y$404,MATCH($K162,其他调用!$X$5:$X$404,0),0)</f>
        <v>38744.805088851361</v>
      </c>
      <c r="AQ162" s="12">
        <f>MIN(INDEX(其他调用!$AL$5:$AL$364,MATCH($K162,其他调用!$AG$5:$AG$364,0),1)/INDEX(其他调用!AI$5:AI$364,MATCH($K162,其他调用!$AG$5:$AG$364,0),0),1)*INDEX(其他调用!Z$5:Z$404,MATCH($K162,其他调用!$X$5:$X$404,0),0)</f>
        <v>39887.938097068953</v>
      </c>
      <c r="AR162" s="12">
        <f>MIN(INDEX(其他调用!$AL$5:$AL$364,MATCH($K162,其他调用!$AG$5:$AG$364,0),1)/INDEX(其他调用!AJ$5:AJ$364,MATCH($K162,其他调用!$AG$5:$AG$364,0),0),1)*INDEX(其他调用!AA$5:AA$404,MATCH($K162,其他调用!$X$5:$X$404,0),0)</f>
        <v>41396.689997252426</v>
      </c>
      <c r="AS162" s="12">
        <f>MIN(INDEX(其他调用!$AL$5:$AL$364,MATCH($K162,其他调用!$AG$5:$AG$364,0),1)/INDEX(其他调用!AK$5:AK$364,MATCH($K162,其他调用!$AG$5:$AG$364,0),0),1)*INDEX(其他调用!AB$5:AB$404,MATCH($K162,其他调用!$X$5:$X$404,0),0)</f>
        <v>43595.450963241572</v>
      </c>
      <c r="AT162" s="12">
        <f>MIN(INDEX(其他调用!$AL$5:$AL$364,MATCH($K162,其他调用!$AG$5:$AG$364,0),1)/INDEX(其他调用!AL$5:AL$364,MATCH($K162,其他调用!$AG$5:$AG$364,0),0),1)*INDEX(其他调用!AC$5:AC$404,MATCH($K162,其他调用!$X$5:$X$404,0),0)</f>
        <v>47545.148016123814</v>
      </c>
      <c r="AV162" s="14">
        <f>IF(OR(AV$5="大R",AV$5="超R"),MAX(INDEX(其他调用!$H$5:$L$404,MATCH($K162,其他调用!$B$5:$B$404,0),MATCH(AV$5,其他调用!$H$4:$L$4,0))*120*0.85,2),INDEX(其他调用!$H$5:$L$404,MATCH($K162,其他调用!$B$5:$B$404,0),MATCH(AV$5,其他调用!$H$4:$L$4,0))*120*0.85)</f>
        <v>48.921801254999991</v>
      </c>
      <c r="AW162" s="14">
        <f>IF(OR(AW$5="大R",AW$5="超R"),MAX(INDEX(其他调用!$H$5:$L$404,MATCH($K162,其他调用!$B$5:$B$404,0),MATCH(AW$5,其他调用!$H$4:$L$4,0))*120*0.85,2),INDEX(其他调用!$H$5:$L$404,MATCH($K162,其他调用!$B$5:$B$404,0),MATCH(AW$5,其他调用!$H$4:$L$4,0))*120*0.85)</f>
        <v>48.237344010638395</v>
      </c>
      <c r="AX162" s="14">
        <f>IF(OR(AX$5="大R",AX$5="超R"),MAX(INDEX(其他调用!$H$5:$L$404,MATCH($K162,其他调用!$B$5:$B$404,0),MATCH(AX$5,其他调用!$H$4:$L$4,0))*120*0.85,2),INDEX(其他调用!$H$5:$L$404,MATCH($K162,其他调用!$B$5:$B$404,0),MATCH(AX$5,其他调用!$H$4:$L$4,0))*120*0.85)</f>
        <v>3.9376284143615998</v>
      </c>
      <c r="AY162" s="14">
        <f>IF(OR(AY$5="大R",AY$5="超R"),MAX(INDEX(其他调用!$H$5:$L$404,MATCH($K162,其他调用!$B$5:$B$404,0),MATCH(AY$5,其他调用!$H$4:$L$4,0))*120*0.85,2),INDEX(其他调用!$H$5:$L$404,MATCH($K162,其他调用!$B$5:$B$404,0),MATCH(AY$5,其他调用!$H$4:$L$4,0))*120*0.85)</f>
        <v>2</v>
      </c>
      <c r="AZ162" s="14">
        <f>IF(OR(AZ$5="大R",AZ$5="超R"),MAX(INDEX(其他调用!$H$5:$L$404,MATCH($K162,其他调用!$B$5:$B$404,0),MATCH(AZ$5,其他调用!$H$4:$L$4,0))*120*0.85,2),INDEX(其他调用!$H$5:$L$404,MATCH($K162,其他调用!$B$5:$B$404,0),MATCH(AZ$5,其他调用!$H$4:$L$4,0))*120*0.85)</f>
        <v>2</v>
      </c>
      <c r="BA162" s="14">
        <f>INDEX(其他调用!$H$5:$L$404,MATCH($K162,其他调用!$B$5:$B$404,0),MATCH(BA$5,其他调用!$H$4:$L$4,0))*INDEX(其他调用!$M$5:$M$404,MATCH($K162,其他调用!$B$5:$B$404,0))*0.6</f>
        <v>28.777530149999997</v>
      </c>
      <c r="BB162" s="14">
        <f>INDEX(其他调用!$H$5:$L$404,MATCH($K162,其他调用!$B$5:$B$404,0),MATCH(BB$5,其他调用!$H$4:$L$4,0))*INDEX(其他调用!$M$5:$M$404,MATCH($K162,其他调用!$B$5:$B$404,0))*0.6</f>
        <v>28.374908241551999</v>
      </c>
      <c r="BC162" s="14">
        <f>INDEX(其他调用!$H$5:$L$404,MATCH($K162,其他调用!$B$5:$B$404,0),MATCH(BC$5,其他调用!$H$4:$L$4,0))*INDEX(其他调用!$M$5:$M$404,MATCH($K162,其他调用!$B$5:$B$404,0))*0.6</f>
        <v>2.3162520084480001</v>
      </c>
      <c r="BD162" s="14">
        <f>INDEX(其他调用!$H$5:$L$404,MATCH($K162,其他调用!$B$5:$B$404,0),MATCH(BD$5,其他调用!$H$4:$L$4,0))*INDEX(其他调用!$M$5:$M$404,MATCH($K162,其他调用!$B$5:$B$404,0))*0.6</f>
        <v>0.4120776000000001</v>
      </c>
      <c r="BE162" s="14">
        <f>INDEX(其他调用!$H$5:$L$404,MATCH($K162,其他调用!$B$5:$B$404,0),MATCH(BE$5,其他调用!$H$4:$L$4,0))*INDEX(其他调用!$M$5:$M$404,MATCH($K162,其他调用!$B$5:$B$404,0))*0.6</f>
        <v>0.11923199999999998</v>
      </c>
      <c r="BF162" s="14">
        <f>IF(OR(BF$5="大R",BF$5="超R"),0,INDEX(其他调用!$H$5:$L$404,MATCH($K162,其他调用!$B$5:$B$404,0),MATCH(BF$5,其他调用!$H$4:$L$4,0))*50*0.4)</f>
        <v>9.5925100500000013</v>
      </c>
      <c r="BG162" s="14">
        <f>IF(OR(BG$5="大R",BG$5="超R"),0,INDEX(其他调用!$H$5:$L$404,MATCH($K162,其他调用!$B$5:$B$404,0),MATCH(BG$5,其他调用!$H$4:$L$4,0))*50*0.4)</f>
        <v>9.4583027471839998</v>
      </c>
      <c r="BH162" s="14">
        <f>IF(OR(BH$5="大R",BH$5="超R"),0,INDEX(其他调用!$H$5:$L$404,MATCH($K162,其他调用!$B$5:$B$404,0),MATCH(BH$5,其他调用!$H$4:$L$4,0))*50*0.4)</f>
        <v>0.77208400281600009</v>
      </c>
      <c r="BI162" s="14">
        <f>IF(OR(BI$5="大R",BI$5="超R"),0,INDEX(其他调用!$H$5:$L$404,MATCH($K162,其他调用!$B$5:$B$404,0),MATCH(BI$5,其他调用!$H$4:$L$4,0))*50*0.4)</f>
        <v>0</v>
      </c>
      <c r="BJ162" s="14">
        <f>IF(OR(BJ$5="大R",BJ$5="超R"),0,INDEX(其他调用!$H$5:$L$404,MATCH($K162,其他调用!$B$5:$B$404,0),MATCH(BJ$5,其他调用!$H$4:$L$4,0))*50*0.4)</f>
        <v>0</v>
      </c>
      <c r="BL162" s="14">
        <f t="shared" si="313"/>
        <v>157</v>
      </c>
      <c r="BM162" s="14">
        <f t="shared" si="220"/>
        <v>96</v>
      </c>
      <c r="BN162" s="14">
        <f>('疲劳值&amp;地图信息'!$S$10*'疲劳值&amp;地图信息'!$R$10+'疲劳值&amp;地图信息'!$S$11*'疲劳值&amp;地图信息'!$R$11+'疲劳值&amp;地图信息'!$S$12*'疲劳值&amp;地图信息'!$R$12+(BM162-'疲劳值&amp;地图信息'!$S$12-'疲劳值&amp;地图信息'!$S$11-'疲劳值&amp;地图信息'!$S$10)*'疲劳值&amp;地图信息'!$R$13)/BM162</f>
        <v>51.371477246638619</v>
      </c>
      <c r="BO162" s="14">
        <f>INDEX(其他调用!$M$5:$M$404,MATCH(BL162,其他调用!$B$5:$B$404,0))*0.6</f>
        <v>60</v>
      </c>
      <c r="BP162" s="14">
        <f>IF(BO162&gt;SUM('疲劳值&amp;地图信息'!$S$10:$S$12),('疲劳值&amp;地图信息'!$S$10*'疲劳值&amp;地图信息'!$R$10+'疲劳值&amp;地图信息'!$S$11*'疲劳值&amp;地图信息'!$R$11+'疲劳值&amp;地图信息'!$S$12*'疲劳值&amp;地图信息'!$R$12+(BO162-'疲劳值&amp;地图信息'!$S$12-'疲劳值&amp;地图信息'!$S$11-'疲劳值&amp;地图信息'!$S$10)*'疲劳值&amp;地图信息'!$R$13)/BO162,('疲劳值&amp;地图信息'!$S$10*'疲劳值&amp;地图信息'!$R$10+'疲劳值&amp;地图信息'!$S$11*'疲劳值&amp;地图信息'!$R$11+'疲劳值&amp;地图信息'!$S$12*'疲劳值&amp;地图信息'!$R$12+(BO162-'疲劳值&amp;地图信息'!$S$12-'疲劳值&amp;地图信息'!$S$11-'疲劳值&amp;地图信息'!$S$10)*'疲劳值&amp;地图信息'!$R$13)/BO162)</f>
        <v>44.158136341605953</v>
      </c>
      <c r="BQ162" s="14">
        <f t="shared" si="314"/>
        <v>20</v>
      </c>
      <c r="BR162" s="14">
        <f>('疲劳值&amp;地图信息'!$S$10*'疲劳值&amp;地图信息'!$R$10+($BQ162-'疲劳值&amp;地图信息'!$S$10)*'疲劳值&amp;地图信息'!$R$11)/$BQ162</f>
        <v>32.067203015074995</v>
      </c>
      <c r="CF162" s="14">
        <v>157</v>
      </c>
      <c r="CG162" s="51">
        <f t="shared" si="221"/>
        <v>11925</v>
      </c>
      <c r="CH162" s="51">
        <f t="shared" si="222"/>
        <v>957</v>
      </c>
      <c r="CI162" s="51">
        <f>INT(SUMPRODUCT($N162:$R162,$BA162:$BE162)/SUM($BA162:$BE162)/10000*$BX$7*$BZ$34/'疲劳值&amp;地图信息'!$R$10*$BY$53)</f>
        <v>3111</v>
      </c>
      <c r="CJ162" s="50">
        <f t="shared" si="223"/>
        <v>0.74563871693866068</v>
      </c>
      <c r="CK162" s="50">
        <f t="shared" si="224"/>
        <v>5.9838679422247236E-2</v>
      </c>
      <c r="CL162" s="50">
        <f t="shared" si="225"/>
        <v>0.1945226036390921</v>
      </c>
      <c r="CM162" s="14">
        <f t="shared" si="226"/>
        <v>12798</v>
      </c>
      <c r="CN162" s="14">
        <f t="shared" si="227"/>
        <v>1572</v>
      </c>
      <c r="CO162" s="14">
        <f>INT(SUMPRODUCT($U162:$Y162,$BA162:$BE162)/SUM($BA162:$BE162)/10000*$BX$7*$BZ$34/'疲劳值&amp;地图信息'!$R$10*$BY$54)</f>
        <v>5848</v>
      </c>
      <c r="CP162" s="50">
        <f t="shared" si="228"/>
        <v>0.63300029676525871</v>
      </c>
      <c r="CQ162" s="50">
        <f t="shared" si="229"/>
        <v>7.7752497774260562E-2</v>
      </c>
      <c r="CR162" s="50">
        <f t="shared" si="230"/>
        <v>0.28924720546048077</v>
      </c>
      <c r="CS162" s="14">
        <f t="shared" si="231"/>
        <v>13627</v>
      </c>
      <c r="CT162" s="14">
        <f t="shared" si="232"/>
        <v>2757</v>
      </c>
      <c r="CU162" s="14">
        <f>INT(SUMPRODUCT($AB162:$AF162,$BA162:$BE162)/SUM($BA162:$BE162)/10000*$BX$7*$BZ$34/'疲劳值&amp;地图信息'!$R$10*$BY$55)</f>
        <v>7947</v>
      </c>
      <c r="CV162" s="50">
        <f t="shared" si="233"/>
        <v>0.56006740372364472</v>
      </c>
      <c r="CW162" s="50">
        <f t="shared" si="234"/>
        <v>0.11331223541983478</v>
      </c>
      <c r="CX162" s="50">
        <f t="shared" si="235"/>
        <v>0.32662036085652046</v>
      </c>
      <c r="CY162" s="14">
        <f t="shared" si="236"/>
        <v>15861</v>
      </c>
      <c r="CZ162" s="14">
        <f t="shared" si="237"/>
        <v>7761</v>
      </c>
      <c r="DA162" s="14">
        <f>INT(SUMPRODUCT($AI162:$AM162,$BA162:$BE162)/SUM($BA162:$BE162)/10000*$BX$7*$BZ$34/'疲劳值&amp;地图信息'!$R$10*$BY$56)</f>
        <v>11986</v>
      </c>
      <c r="DB162" s="50">
        <f t="shared" si="238"/>
        <v>0.4454336104246237</v>
      </c>
      <c r="DC162" s="50">
        <f t="shared" si="239"/>
        <v>0.21795663895753764</v>
      </c>
      <c r="DD162" s="50">
        <f t="shared" si="240"/>
        <v>0.33660975061783871</v>
      </c>
      <c r="DE162" s="14">
        <f t="shared" si="241"/>
        <v>16137</v>
      </c>
      <c r="DF162" s="14">
        <f t="shared" si="242"/>
        <v>13785</v>
      </c>
      <c r="DG162" s="14">
        <f>INT(SUMPRODUCT($AP162:$AT162,$BA162:$BE162)/SUM($BA162:$BE162)/10000*$BX$7*$BZ$34/'疲劳值&amp;地图信息'!$R$10*$BY$57)</f>
        <v>16006</v>
      </c>
      <c r="DH162" s="50">
        <f t="shared" si="243"/>
        <v>0.35135429367705973</v>
      </c>
      <c r="DI162" s="50">
        <f t="shared" si="244"/>
        <v>0.30014370318759798</v>
      </c>
      <c r="DJ162" s="50">
        <f t="shared" si="245"/>
        <v>0.3485020031353423</v>
      </c>
      <c r="DL162" s="14">
        <f t="shared" si="316"/>
        <v>15993</v>
      </c>
      <c r="DM162" s="14">
        <f t="shared" si="317"/>
        <v>20218</v>
      </c>
      <c r="DN162" s="14">
        <f t="shared" si="318"/>
        <v>24331</v>
      </c>
      <c r="DO162" s="14">
        <f t="shared" si="319"/>
        <v>35608</v>
      </c>
      <c r="DP162" s="14">
        <f t="shared" si="320"/>
        <v>45928</v>
      </c>
      <c r="DQ162" s="14">
        <f t="shared" si="321"/>
        <v>1110429</v>
      </c>
      <c r="DT162" s="14">
        <f t="shared" si="315"/>
        <v>235575</v>
      </c>
      <c r="DU162" s="50">
        <f t="shared" si="217"/>
        <v>0.175018053438177</v>
      </c>
      <c r="DW162" s="14">
        <f t="shared" si="246"/>
        <v>1346004</v>
      </c>
      <c r="EB162" s="14">
        <v>157</v>
      </c>
      <c r="EC162" s="51">
        <f t="shared" si="247"/>
        <v>19876</v>
      </c>
      <c r="ED162" s="51">
        <f t="shared" si="248"/>
        <v>1595</v>
      </c>
      <c r="EE162" s="51">
        <f>INT(SUMPRODUCT($N162:$R162,$BF162:$BJ162)/SUM($BF162:$BJ162)/10000*$BX$7*$BZ$46/'疲劳值&amp;地图信息'!$R$10*$BY$53)</f>
        <v>417</v>
      </c>
      <c r="EF162" s="50">
        <f t="shared" si="249"/>
        <v>0.90807748538011701</v>
      </c>
      <c r="EG162" s="50">
        <f t="shared" si="250"/>
        <v>7.2870979532163746E-2</v>
      </c>
      <c r="EH162" s="50">
        <f t="shared" si="251"/>
        <v>1.9051535087719298E-2</v>
      </c>
      <c r="EI162" s="51">
        <f t="shared" si="252"/>
        <v>21330</v>
      </c>
      <c r="EJ162" s="51">
        <f t="shared" si="253"/>
        <v>2620</v>
      </c>
      <c r="EK162" s="14">
        <f>INT(SUMPRODUCT($U162:$Y162,$BF162:$BJ162)/SUM($BF162:$BJ162)/10000*$BX$7*$BZ$46/'疲劳值&amp;地图信息'!$R$10*$BY$54)</f>
        <v>785</v>
      </c>
      <c r="EL162" s="50">
        <f t="shared" si="254"/>
        <v>0.86234081261370532</v>
      </c>
      <c r="EM162" s="50">
        <f t="shared" si="255"/>
        <v>0.10592278148372751</v>
      </c>
      <c r="EN162" s="50">
        <f t="shared" si="256"/>
        <v>3.1736405902567211E-2</v>
      </c>
      <c r="EO162" s="51">
        <f t="shared" si="257"/>
        <v>22711</v>
      </c>
      <c r="EP162" s="51">
        <f t="shared" si="258"/>
        <v>4595</v>
      </c>
      <c r="EQ162" s="14">
        <f>INT(SUMPRODUCT($AB162:$AF162,$BF162:$BJ162)/SUM($BF162:$BJ162)/10000*$BX$7*$BZ$46/'疲劳值&amp;地图信息'!$R$10*$BY$55)</f>
        <v>1065</v>
      </c>
      <c r="ER162" s="50">
        <f t="shared" si="259"/>
        <v>0.8005005110852631</v>
      </c>
      <c r="ES162" s="50">
        <f t="shared" si="260"/>
        <v>0.16196115752000281</v>
      </c>
      <c r="ET162" s="50">
        <f t="shared" si="261"/>
        <v>3.7538331394734059E-2</v>
      </c>
      <c r="EU162" s="51">
        <f t="shared" si="262"/>
        <v>26436</v>
      </c>
      <c r="EV162" s="51">
        <f t="shared" si="263"/>
        <v>12936</v>
      </c>
      <c r="EW162" s="14">
        <f>INT(SUMPRODUCT($AI162:$AM162,$BF162:$BJ162)/SUM($BF162:$BJ162)/10000*$BX$7*$BZ$46/'疲劳值&amp;地图信息'!$R$10*$BY$56)</f>
        <v>1598</v>
      </c>
      <c r="EX162" s="50">
        <f t="shared" si="264"/>
        <v>0.64525262387112525</v>
      </c>
      <c r="EY162" s="50">
        <f t="shared" si="265"/>
        <v>0.31574322675128141</v>
      </c>
      <c r="EZ162" s="50">
        <f t="shared" si="266"/>
        <v>3.9004149377593361E-2</v>
      </c>
      <c r="FA162" s="51">
        <f t="shared" si="267"/>
        <v>26895</v>
      </c>
      <c r="FB162" s="51">
        <f t="shared" si="268"/>
        <v>22976</v>
      </c>
      <c r="FC162" s="14">
        <f>INT(SUMPRODUCT($AP162:$AT162,$BF162:$BJ162)/SUM($BF162:$BJ162)/10000*$BX$7*$BZ$46/'疲劳值&amp;地图信息'!$R$10*$BY$57)</f>
        <v>2131</v>
      </c>
      <c r="FD162" s="50">
        <f t="shared" si="269"/>
        <v>0.5171916464751356</v>
      </c>
      <c r="FE162" s="50">
        <f t="shared" si="270"/>
        <v>0.44182916041690706</v>
      </c>
      <c r="FF162" s="50">
        <f t="shared" si="271"/>
        <v>4.0979193107957383E-2</v>
      </c>
      <c r="FH162" s="14">
        <f t="shared" si="272"/>
        <v>21888</v>
      </c>
      <c r="FI162" s="14">
        <f t="shared" si="273"/>
        <v>24735</v>
      </c>
      <c r="FJ162" s="14">
        <f t="shared" si="274"/>
        <v>28371</v>
      </c>
      <c r="FK162" s="14">
        <f t="shared" si="275"/>
        <v>40970</v>
      </c>
      <c r="FL162" s="14">
        <f t="shared" si="276"/>
        <v>52002</v>
      </c>
      <c r="FM162" s="14">
        <f t="shared" si="277"/>
        <v>2561609</v>
      </c>
      <c r="FP162" s="14">
        <f t="shared" si="278"/>
        <v>334150</v>
      </c>
      <c r="FQ162" s="50">
        <f t="shared" si="218"/>
        <v>0.11539289008512103</v>
      </c>
      <c r="FS162" s="14">
        <f t="shared" si="279"/>
        <v>2895759</v>
      </c>
      <c r="FX162" s="14">
        <v>157</v>
      </c>
      <c r="FY162" s="51">
        <f t="shared" si="280"/>
        <v>27827</v>
      </c>
      <c r="FZ162" s="51">
        <f t="shared" si="281"/>
        <v>1595</v>
      </c>
      <c r="GA162" s="51">
        <f>INT(SUMPRODUCT($N162:$R162,$BF162:$BJ162)/SUM($BF162:$BJ162)/10000*$BX$7*$BZ$46/'疲劳值&amp;地图信息'!$R$10*$BY$53)</f>
        <v>417</v>
      </c>
      <c r="GB162" s="50">
        <f t="shared" si="282"/>
        <v>0.93257146687221426</v>
      </c>
      <c r="GC162" s="50">
        <f t="shared" si="283"/>
        <v>5.3453533965615467E-2</v>
      </c>
      <c r="GD162" s="50">
        <f t="shared" si="284"/>
        <v>1.3974999162170314E-2</v>
      </c>
      <c r="GE162" s="51">
        <f t="shared" si="285"/>
        <v>29862</v>
      </c>
      <c r="GF162" s="51">
        <f t="shared" si="286"/>
        <v>2620</v>
      </c>
      <c r="GG162" s="14">
        <f>INT(SUMPRODUCT($U162:$Y162,$BF162:$BJ162)/SUM($BF162:$BJ162)/10000*$BX$7*$BZ$46/'疲劳值&amp;地图信息'!$R$10*$BY$54)</f>
        <v>785</v>
      </c>
      <c r="GH162" s="50">
        <f t="shared" si="287"/>
        <v>0.89764631616917667</v>
      </c>
      <c r="GI162" s="50">
        <f t="shared" si="288"/>
        <v>7.8756725884510173E-2</v>
      </c>
      <c r="GJ162" s="50">
        <f t="shared" si="289"/>
        <v>2.3596957946313162E-2</v>
      </c>
      <c r="GK162" s="51">
        <f t="shared" si="290"/>
        <v>31796</v>
      </c>
      <c r="GL162" s="51">
        <f t="shared" si="291"/>
        <v>4595</v>
      </c>
      <c r="GM162" s="14">
        <f>INT(SUMPRODUCT($AB162:$AF162,$BF162:$BJ162)/SUM($BF162:$BJ162)/10000*$BX$7*$BZ$46/'疲劳值&amp;地图信息'!$R$10*$BY$55)</f>
        <v>1065</v>
      </c>
      <c r="GN162" s="50">
        <f t="shared" si="292"/>
        <v>0.84888936351986333</v>
      </c>
      <c r="GO162" s="50">
        <f t="shared" si="293"/>
        <v>0.12267727466894489</v>
      </c>
      <c r="GP162" s="50">
        <f t="shared" si="294"/>
        <v>2.8433361811191799E-2</v>
      </c>
      <c r="GQ162" s="51">
        <f t="shared" si="295"/>
        <v>37010</v>
      </c>
      <c r="GR162" s="51">
        <f t="shared" si="296"/>
        <v>12936</v>
      </c>
      <c r="GS162" s="14">
        <f>INT(SUMPRODUCT($AI162:$AM162,$BF162:$BJ162)/SUM($BF162:$BJ162)/10000*$BX$7*$BZ$46/'疲劳值&amp;地图信息'!$R$10*$BY$56)</f>
        <v>1598</v>
      </c>
      <c r="GT162" s="50">
        <f t="shared" si="297"/>
        <v>0.71802731646748408</v>
      </c>
      <c r="GU162" s="50">
        <f t="shared" si="298"/>
        <v>0.25097004501008846</v>
      </c>
      <c r="GV162" s="50">
        <f t="shared" si="299"/>
        <v>3.1002638522427441E-2</v>
      </c>
      <c r="GW162" s="51">
        <f t="shared" si="300"/>
        <v>37654</v>
      </c>
      <c r="GX162" s="51">
        <f t="shared" si="301"/>
        <v>22976</v>
      </c>
      <c r="GY162" s="14">
        <f>INT(SUMPRODUCT($AP162:$AT162,$BF162:$BJ162)/SUM($BF162:$BJ162)/10000*$BX$7*$BZ$46/'疲劳值&amp;地图信息'!$R$10*$BY$57)</f>
        <v>2131</v>
      </c>
      <c r="GZ162" s="50">
        <f t="shared" si="302"/>
        <v>0.59995857299915556</v>
      </c>
      <c r="HA162" s="50">
        <f t="shared" si="303"/>
        <v>0.3660872197702395</v>
      </c>
      <c r="HB162" s="50">
        <f t="shared" si="304"/>
        <v>3.3954207230604994E-2</v>
      </c>
      <c r="HD162" s="14">
        <f t="shared" si="305"/>
        <v>29839</v>
      </c>
      <c r="HE162" s="14">
        <f t="shared" si="306"/>
        <v>33267</v>
      </c>
      <c r="HF162" s="14">
        <f t="shared" si="307"/>
        <v>37456</v>
      </c>
      <c r="HG162" s="14">
        <f t="shared" si="308"/>
        <v>51544</v>
      </c>
      <c r="HH162" s="14">
        <f t="shared" si="309"/>
        <v>62761</v>
      </c>
      <c r="HI162" s="14">
        <f t="shared" si="310"/>
        <v>3440587</v>
      </c>
      <c r="HL162" s="14">
        <f t="shared" si="311"/>
        <v>430050</v>
      </c>
      <c r="HM162" s="50">
        <f t="shared" si="219"/>
        <v>0.11110574305986327</v>
      </c>
      <c r="HO162" s="14">
        <f t="shared" si="312"/>
        <v>3870637</v>
      </c>
    </row>
    <row r="163" spans="11:223" x14ac:dyDescent="0.2">
      <c r="K163" s="14">
        <v>158</v>
      </c>
      <c r="L163" s="12">
        <f>求节点(节奏总纲!D$4:D$163,标准城池设计!AB$4:AB$163,$K163)*求节点(节奏总纲!D$4:D$163,攻城基础信息!$AC$5:$AC$164,$K163)</f>
        <v>586995.87267497031</v>
      </c>
      <c r="M163" s="12">
        <f>INDEX(其他调用!$AA$5:$AA$404,MATCH(K163,其他调用!$X$5:$X$404,0))*MIN(INDEX(其他调用!$AH$5:$AH$364,MATCH('征服点（新）'!K163,其他调用!$AG$5:$AG$364,0),1)/INDEX(其他调用!$AJ$5:$AJ$364,MATCH(K163,其他调用!$AG$5:$AG$364,0),0),5)*求节点(节奏总纲!D$4:D$163,攻城基础信息!$AC$5:$AC$164,$K163)</f>
        <v>47080.793322230886</v>
      </c>
      <c r="N163" s="12">
        <f>MIN(INDEX(其他调用!$AH$5:$AH$364,MATCH($K163,其他调用!$AG$5:$AG$364,0),1)/INDEX(其他调用!AH$5:AH$364,MATCH($K163,其他调用!$AG$5:$AG$364,0),0),1)*INDEX(其他调用!Y$5:Y$404,MATCH($K163,其他调用!$X$5:$X$404,0),0)</f>
        <v>38779.550402489273</v>
      </c>
      <c r="O163" s="12">
        <f>MIN(INDEX(其他调用!$AH$5:$AH$364,MATCH($K163,其他调用!$AG$5:$AG$364,0),1)/INDEX(其他调用!AI$5:AI$364,MATCH($K163,其他调用!$AG$5:$AG$364,0),0),1)*INDEX(其他调用!Z$5:Z$404,MATCH($K163,其他调用!$X$5:$X$404,0),0)</f>
        <v>24305.714708185162</v>
      </c>
      <c r="P163" s="12">
        <f>MIN(INDEX(其他调用!$AH$5:$AH$364,MATCH($K163,其他调用!$AG$5:$AG$364,0),1)/INDEX(其他调用!AJ$5:AJ$364,MATCH($K163,其他调用!$AG$5:$AG$364,0),0),1)*INDEX(其他调用!AA$5:AA$404,MATCH($K163,其他调用!$X$5:$X$404,0),0)</f>
        <v>14394.131796786667</v>
      </c>
      <c r="Q163" s="12">
        <f>MIN(INDEX(其他调用!$AH$5:$AH$364,MATCH($K163,其他调用!$AG$5:$AG$364,0),1)/INDEX(其他调用!AK$5:AK$364,MATCH($K163,其他调用!$AG$5:$AG$364,0),0),1)*INDEX(其他调用!AB$5:AB$404,MATCH($K163,其他调用!$X$5:$X$404,0),0)</f>
        <v>5374.924216049928</v>
      </c>
      <c r="R163" s="12">
        <f>MIN(INDEX(其他调用!$AH$5:$AH$364,MATCH($K163,其他调用!$AG$5:$AG$364,0),1)/INDEX(其他调用!AL$5:AL$364,MATCH($K163,其他调用!$AG$5:$AG$364,0),0),1)*INDEX(其他调用!AC$5:AC$404,MATCH($K163,其他调用!$X$5:$X$404,0),0)</f>
        <v>2009.8618107871318</v>
      </c>
      <c r="S163" s="12">
        <f>求节点(节奏总纲!D$4:D$163,标准城池设计!AC$4:AC$163,$K163)*求节点(节奏总纲!D$4:D$163,攻城基础信息!$AD$5:$AD$164,$K163)</f>
        <v>629694.19132025691</v>
      </c>
      <c r="T163" s="12">
        <f>INDEX(其他调用!$AA$5:$AA$404,MATCH($K163,其他调用!$X$5:$X$404,0))*MIN(INDEX(其他调用!AI$5:AI$364,MATCH($K163,其他调用!$AG$5:$AG$364,0),1)/INDEX(其他调用!$AJ$5:$AJ$364,MATCH($K163,其他调用!$AG$5:$AG$364,0),0),5)*求节点(节奏总纲!D$4:D$163,攻城基础信息!$AD$5:$AD$164,$K163)</f>
        <v>77335.103343599971</v>
      </c>
      <c r="U163" s="12">
        <f>MIN(INDEX(其他调用!$AI$5:$AI$364,MATCH($K163,其他调用!$AG$5:$AG$364,0),1)/INDEX(其他调用!AH$5:AH$364,MATCH($K163,其他调用!$AG$5:$AG$364,0),0),1)*INDEX(其他调用!Y$5:Y$404,MATCH($K163,其他调用!$X$5:$X$404,0),0)</f>
        <v>38779.550402489273</v>
      </c>
      <c r="V163" s="12">
        <f>MIN(INDEX(其他调用!$AI$5:$AI$364,MATCH($K163,其他调用!$AG$5:$AG$364,0),1)/INDEX(其他调用!AI$5:AI$364,MATCH($K163,其他调用!$AG$5:$AG$364,0),0),1)*INDEX(其他调用!Z$5:Z$404,MATCH($K163,其他调用!$X$5:$X$404,0),0)</f>
        <v>39924.66622073669</v>
      </c>
      <c r="W163" s="12">
        <f>MIN(INDEX(其他调用!$AI$5:$AI$364,MATCH($K163,其他调用!$AG$5:$AG$364,0),1)/INDEX(其他调用!AJ$5:AJ$364,MATCH($K163,其他调用!$AG$5:$AG$364,0),0),1)*INDEX(其他调用!AA$5:AA$404,MATCH($K163,其他调用!$X$5:$X$404,0),0)</f>
        <v>23643.859661138533</v>
      </c>
      <c r="X163" s="12">
        <f>MIN(INDEX(其他调用!$AI$5:$AI$364,MATCH($K163,其他调用!$AG$5:$AG$364,0),1)/INDEX(其他调用!AK$5:AK$364,MATCH($K163,其他调用!$AG$5:$AG$364,0),0),1)*INDEX(其他调用!AB$5:AB$404,MATCH($K163,其他调用!$X$5:$X$404,0),0)</f>
        <v>8828.8724632846315</v>
      </c>
      <c r="Y163" s="12">
        <f>MIN(INDEX(其他调用!$AI$5:$AI$364,MATCH($K163,其他调用!$AG$5:$AG$364,0),1)/INDEX(其他调用!AL$5:AL$364,MATCH($K163,其他调用!$AG$5:$AG$364,0),0),1)*INDEX(其他调用!AC$5:AC$404,MATCH($K163,其他调用!$X$5:$X$404,0),0)</f>
        <v>3301.407216734061</v>
      </c>
      <c r="Z163" s="12">
        <f>求节点(节奏总纲!D$4:D$163,标准城池设计!AD$4:AD$163,$K163)*求节点(节奏总纲!D$4:D$163,攻城基础信息!$AE$5:$AE$164,$K163)</f>
        <v>670316.91710600909</v>
      </c>
      <c r="AA163" s="12">
        <f>INDEX(其他调用!$AA$5:$AA$404,MATCH($K163,其他调用!$X$5:$X$404,0))*MIN(INDEX(其他调用!AJ$5:AJ$364,MATCH($K163,其他调用!$AG$5:$AG$364,0),1)/INDEX(其他调用!$AJ$5:$AJ$364,MATCH($K163,其他调用!$AG$5:$AG$364,0),0),5)*求节点(节奏总纲!D$4:D$163,攻城基础信息!$AE$5:$AE$164,$K163)</f>
        <v>135520.84240157044</v>
      </c>
      <c r="AB163" s="12">
        <f>MIN(INDEX(其他调用!$AJ$5:$AJ$364,MATCH($K163,其他调用!$AG$5:$AG$364,0),1)/INDEX(其他调用!AH$5:AH$364,MATCH($K163,其他调用!$AG$5:$AG$364,0),0),1)*INDEX(其他调用!Y$5:Y$404,MATCH($K163,其他调用!$X$5:$X$404,0),0)</f>
        <v>38779.550402489273</v>
      </c>
      <c r="AC163" s="12">
        <f>MIN(INDEX(其他调用!$AJ$5:$AJ$364,MATCH($K163,其他调用!$AG$5:$AG$364,0),1)/INDEX(其他调用!AI$5:AI$364,MATCH($K163,其他调用!$AG$5:$AG$364,0),0),1)*INDEX(其他调用!Z$5:Z$404,MATCH($K163,其他调用!$X$5:$X$404,0),0)</f>
        <v>39924.66622073669</v>
      </c>
      <c r="AD163" s="12">
        <f>MIN(INDEX(其他调用!$AJ$5:$AJ$364,MATCH($K163,其他调用!$AG$5:$AG$364,0),1)/INDEX(其他调用!AJ$5:AJ$364,MATCH($K163,其他调用!$AG$5:$AG$364,0),0),1)*INDEX(其他调用!AA$5:AA$404,MATCH($K163,其他调用!$X$5:$X$404,0),0)</f>
        <v>41433.135023633178</v>
      </c>
      <c r="AE163" s="12">
        <f>MIN(INDEX(其他调用!$AJ$5:$AJ$364,MATCH($K163,其他调用!$AG$5:$AG$364,0),1)/INDEX(其他调用!AK$5:AK$364,MATCH($K163,其他调用!$AG$5:$AG$364,0),0),1)*INDEX(其他调用!AB$5:AB$404,MATCH($K163,其他调用!$X$5:$X$404,0),0)</f>
        <v>15471.57994170289</v>
      </c>
      <c r="AF163" s="12">
        <f>MIN(INDEX(其他调用!$AJ$5:$AJ$364,MATCH($K163,其他调用!$AG$5:$AG$364,0),1)/INDEX(其他调用!AL$5:AL$364,MATCH($K163,其他调用!$AG$5:$AG$364,0),0),1)*INDEX(其他调用!AC$5:AC$404,MATCH($K163,其他调用!$X$5:$X$404,0),0)</f>
        <v>5785.3350907747918</v>
      </c>
      <c r="AG163" s="12">
        <f>求节点(节奏总纲!D$4:D$163,标准城池设计!AE$4:AE$163,$K163)*求节点(节奏总纲!D$4:D$163,攻城基础信息!$AF$5:$AF$164,$K163)</f>
        <v>781290.61672700604</v>
      </c>
      <c r="AH163" s="12">
        <f>INDEX(其他调用!$AA$5:$AA$404,MATCH($K163,其他调用!$X$5:$X$404,0))*MIN(INDEX(其他调用!AK$5:AK$364,MATCH($K163,其他调用!$AG$5:$AG$364,0),1)/INDEX(其他调用!$AJ$5:$AJ$364,MATCH($K163,其他调用!$AG$5:$AG$364,0),0),5)*求节点(节奏总纲!D$4:D$163,攻城基础信息!$AF$5:$AF$164,$K163)</f>
        <v>382184.49160718638</v>
      </c>
      <c r="AI163" s="12">
        <f>MIN(INDEX(其他调用!$AK$5:$AK$364,MATCH($K163,其他调用!$AG$5:$AG$364,0),1)/INDEX(其他调用!AH$5:AH$364,MATCH($K163,其他调用!$AG$5:$AG$364,0),0),1)*INDEX(其他调用!Y$5:Y$404,MATCH($K163,其他调用!$X$5:$X$404,0),0)</f>
        <v>38779.550402489273</v>
      </c>
      <c r="AJ163" s="12">
        <f>MIN(INDEX(其他调用!$AK$5:$AK$364,MATCH($K163,其他调用!$AG$5:$AG$364,0),1)/INDEX(其他调用!AI$5:AI$364,MATCH($K163,其他调用!$AG$5:$AG$364,0),0),1)*INDEX(其他调用!Z$5:Z$404,MATCH($K163,其他调用!$X$5:$X$404,0),0)</f>
        <v>39924.66622073669</v>
      </c>
      <c r="AK163" s="12">
        <f>MIN(INDEX(其他调用!$AK$5:$AK$364,MATCH($K163,其他调用!$AG$5:$AG$364,0),1)/INDEX(其他调用!AJ$5:AJ$364,MATCH($K163,其他调用!$AG$5:$AG$364,0),0),1)*INDEX(其他调用!AA$5:AA$404,MATCH($K163,其他调用!$X$5:$X$404,0),0)</f>
        <v>41433.135023633178</v>
      </c>
      <c r="AL163" s="12">
        <f>MIN(INDEX(其他调用!$AK$5:$AK$364,MATCH($K163,其他调用!$AG$5:$AG$364,0),1)/INDEX(其他调用!AK$5:AK$364,MATCH($K163,其他调用!$AG$5:$AG$364,0),0),1)*INDEX(其他调用!AB$5:AB$404,MATCH($K163,其他调用!$X$5:$X$404,0),0)</f>
        <v>43631.649638499744</v>
      </c>
      <c r="AM163" s="12">
        <f>MIN(INDEX(其他调用!$AK$5:$AK$364,MATCH($K163,其他调用!$AG$5:$AG$364,0),1)/INDEX(其他调用!AL$5:AL$364,MATCH($K163,其他调用!$AG$5:$AG$364,0),0),1)*INDEX(其他调用!AC$5:AC$404,MATCH($K163,其他调用!$X$5:$X$404,0),0)</f>
        <v>16315.315867748452</v>
      </c>
      <c r="AN163" s="12">
        <f>求节点(节奏总纲!D$4:D$163,标准城池设计!AF$4:AF$163,$K163)*求节点(节奏总纲!D$4:D$163,攻城基础信息!$AG$5:$AG$164,$K163)</f>
        <v>795150.58808188478</v>
      </c>
      <c r="AO163" s="12">
        <f>INDEX(其他调用!$AA$5:$AA$404,MATCH($K163,其他调用!$X$5:$X$404,0))*MIN(INDEX(其他调用!AL$5:AL$364,MATCH($K163,其他调用!$AG$5:$AG$364,0),1)/INDEX(其他调用!$AJ$5:$AJ$364,MATCH($K163,其他调用!$AG$5:$AG$364,0),0),5)*求节点(节奏总纲!D$4:D$163,攻城基础信息!$AG$5:$AG$164,$K163)</f>
        <v>677604.21200785215</v>
      </c>
      <c r="AP163" s="12">
        <f>MIN(INDEX(其他调用!$AL$5:$AL$364,MATCH($K163,其他调用!$AG$5:$AG$364,0),1)/INDEX(其他调用!AH$5:AH$364,MATCH($K163,其他调用!$AG$5:$AG$364,0),0),1)*INDEX(其他调用!Y$5:Y$404,MATCH($K163,其他调用!$X$5:$X$404,0),0)</f>
        <v>38779.550402489273</v>
      </c>
      <c r="AQ163" s="12">
        <f>MIN(INDEX(其他调用!$AL$5:$AL$364,MATCH($K163,其他调用!$AG$5:$AG$364,0),1)/INDEX(其他调用!AI$5:AI$364,MATCH($K163,其他调用!$AG$5:$AG$364,0),0),1)*INDEX(其他调用!Z$5:Z$404,MATCH($K163,其他调用!$X$5:$X$404,0),0)</f>
        <v>39924.66622073669</v>
      </c>
      <c r="AR163" s="12">
        <f>MIN(INDEX(其他调用!$AL$5:$AL$364,MATCH($K163,其他调用!$AG$5:$AG$364,0),1)/INDEX(其他调用!AJ$5:AJ$364,MATCH($K163,其他调用!$AG$5:$AG$364,0),0),1)*INDEX(其他调用!AA$5:AA$404,MATCH($K163,其他调用!$X$5:$X$404,0),0)</f>
        <v>41433.135023633178</v>
      </c>
      <c r="AS163" s="12">
        <f>MIN(INDEX(其他调用!$AL$5:$AL$364,MATCH($K163,其他调用!$AG$5:$AG$364,0),1)/INDEX(其他调用!AK$5:AK$364,MATCH($K163,其他调用!$AG$5:$AG$364,0),0),1)*INDEX(其他调用!AB$5:AB$404,MATCH($K163,其他调用!$X$5:$X$404,0),0)</f>
        <v>43631.649638499744</v>
      </c>
      <c r="AT163" s="12">
        <f>MIN(INDEX(其他调用!$AL$5:$AL$364,MATCH($K163,其他调用!$AG$5:$AG$364,0),1)/INDEX(其他调用!AL$5:AL$364,MATCH($K163,其他调用!$AG$5:$AG$364,0),0),1)*INDEX(其他调用!AC$5:AC$404,MATCH($K163,其他调用!$X$5:$X$404,0),0)</f>
        <v>47583.489786915394</v>
      </c>
      <c r="AV163" s="14">
        <f>IF(OR(AV$5="大R",AV$5="超R"),MAX(INDEX(其他调用!$H$5:$L$404,MATCH($K163,其他调用!$B$5:$B$404,0),MATCH(AV$5,其他调用!$H$4:$L$4,0))*120*0.85,2),INDEX(其他调用!$H$5:$L$404,MATCH($K163,其他调用!$B$5:$B$404,0),MATCH(AV$5,其他调用!$H$4:$L$4,0))*120*0.85)</f>
        <v>48.921801254999991</v>
      </c>
      <c r="AW163" s="14">
        <f>IF(OR(AW$5="大R",AW$5="超R"),MAX(INDEX(其他调用!$H$5:$L$404,MATCH($K163,其他调用!$B$5:$B$404,0),MATCH(AW$5,其他调用!$H$4:$L$4,0))*120*0.85,2),INDEX(其他调用!$H$5:$L$404,MATCH($K163,其他调用!$B$5:$B$404,0),MATCH(AW$5,其他调用!$H$4:$L$4,0))*120*0.85)</f>
        <v>48.237344010638395</v>
      </c>
      <c r="AX163" s="14">
        <f>IF(OR(AX$5="大R",AX$5="超R"),MAX(INDEX(其他调用!$H$5:$L$404,MATCH($K163,其他调用!$B$5:$B$404,0),MATCH(AX$5,其他调用!$H$4:$L$4,0))*120*0.85,2),INDEX(其他调用!$H$5:$L$404,MATCH($K163,其他调用!$B$5:$B$404,0),MATCH(AX$5,其他调用!$H$4:$L$4,0))*120*0.85)</f>
        <v>3.9376284143615998</v>
      </c>
      <c r="AY163" s="14">
        <f>IF(OR(AY$5="大R",AY$5="超R"),MAX(INDEX(其他调用!$H$5:$L$404,MATCH($K163,其他调用!$B$5:$B$404,0),MATCH(AY$5,其他调用!$H$4:$L$4,0))*120*0.85,2),INDEX(其他调用!$H$5:$L$404,MATCH($K163,其他调用!$B$5:$B$404,0),MATCH(AY$5,其他调用!$H$4:$L$4,0))*120*0.85)</f>
        <v>2</v>
      </c>
      <c r="AZ163" s="14">
        <f>IF(OR(AZ$5="大R",AZ$5="超R"),MAX(INDEX(其他调用!$H$5:$L$404,MATCH($K163,其他调用!$B$5:$B$404,0),MATCH(AZ$5,其他调用!$H$4:$L$4,0))*120*0.85,2),INDEX(其他调用!$H$5:$L$404,MATCH($K163,其他调用!$B$5:$B$404,0),MATCH(AZ$5,其他调用!$H$4:$L$4,0))*120*0.85)</f>
        <v>2</v>
      </c>
      <c r="BA163" s="14">
        <f>INDEX(其他调用!$H$5:$L$404,MATCH($K163,其他调用!$B$5:$B$404,0),MATCH(BA$5,其他调用!$H$4:$L$4,0))*INDEX(其他调用!$M$5:$M$404,MATCH($K163,其他调用!$B$5:$B$404,0))*0.6</f>
        <v>28.777530149999997</v>
      </c>
      <c r="BB163" s="14">
        <f>INDEX(其他调用!$H$5:$L$404,MATCH($K163,其他调用!$B$5:$B$404,0),MATCH(BB$5,其他调用!$H$4:$L$4,0))*INDEX(其他调用!$M$5:$M$404,MATCH($K163,其他调用!$B$5:$B$404,0))*0.6</f>
        <v>28.374908241551999</v>
      </c>
      <c r="BC163" s="14">
        <f>INDEX(其他调用!$H$5:$L$404,MATCH($K163,其他调用!$B$5:$B$404,0),MATCH(BC$5,其他调用!$H$4:$L$4,0))*INDEX(其他调用!$M$5:$M$404,MATCH($K163,其他调用!$B$5:$B$404,0))*0.6</f>
        <v>2.3162520084480001</v>
      </c>
      <c r="BD163" s="14">
        <f>INDEX(其他调用!$H$5:$L$404,MATCH($K163,其他调用!$B$5:$B$404,0),MATCH(BD$5,其他调用!$H$4:$L$4,0))*INDEX(其他调用!$M$5:$M$404,MATCH($K163,其他调用!$B$5:$B$404,0))*0.6</f>
        <v>0.4120776000000001</v>
      </c>
      <c r="BE163" s="14">
        <f>INDEX(其他调用!$H$5:$L$404,MATCH($K163,其他调用!$B$5:$B$404,0),MATCH(BE$5,其他调用!$H$4:$L$4,0))*INDEX(其他调用!$M$5:$M$404,MATCH($K163,其他调用!$B$5:$B$404,0))*0.6</f>
        <v>0.11923199999999998</v>
      </c>
      <c r="BF163" s="14">
        <f>IF(OR(BF$5="大R",BF$5="超R"),0,INDEX(其他调用!$H$5:$L$404,MATCH($K163,其他调用!$B$5:$B$404,0),MATCH(BF$5,其他调用!$H$4:$L$4,0))*50*0.4)</f>
        <v>9.5925100500000013</v>
      </c>
      <c r="BG163" s="14">
        <f>IF(OR(BG$5="大R",BG$5="超R"),0,INDEX(其他调用!$H$5:$L$404,MATCH($K163,其他调用!$B$5:$B$404,0),MATCH(BG$5,其他调用!$H$4:$L$4,0))*50*0.4)</f>
        <v>9.4583027471839998</v>
      </c>
      <c r="BH163" s="14">
        <f>IF(OR(BH$5="大R",BH$5="超R"),0,INDEX(其他调用!$H$5:$L$404,MATCH($K163,其他调用!$B$5:$B$404,0),MATCH(BH$5,其他调用!$H$4:$L$4,0))*50*0.4)</f>
        <v>0.77208400281600009</v>
      </c>
      <c r="BI163" s="14">
        <f>IF(OR(BI$5="大R",BI$5="超R"),0,INDEX(其他调用!$H$5:$L$404,MATCH($K163,其他调用!$B$5:$B$404,0),MATCH(BI$5,其他调用!$H$4:$L$4,0))*50*0.4)</f>
        <v>0</v>
      </c>
      <c r="BJ163" s="14">
        <f>IF(OR(BJ$5="大R",BJ$5="超R"),0,INDEX(其他调用!$H$5:$L$404,MATCH($K163,其他调用!$B$5:$B$404,0),MATCH(BJ$5,其他调用!$H$4:$L$4,0))*50*0.4)</f>
        <v>0</v>
      </c>
      <c r="BL163" s="14">
        <f t="shared" si="313"/>
        <v>158</v>
      </c>
      <c r="BM163" s="14">
        <f t="shared" si="220"/>
        <v>96</v>
      </c>
      <c r="BN163" s="14">
        <f>('疲劳值&amp;地图信息'!$S$10*'疲劳值&amp;地图信息'!$R$10+'疲劳值&amp;地图信息'!$S$11*'疲劳值&amp;地图信息'!$R$11+'疲劳值&amp;地图信息'!$S$12*'疲劳值&amp;地图信息'!$R$12+(BM163-'疲劳值&amp;地图信息'!$S$12-'疲劳值&amp;地图信息'!$S$11-'疲劳值&amp;地图信息'!$S$10)*'疲劳值&amp;地图信息'!$R$13)/BM163</f>
        <v>51.371477246638619</v>
      </c>
      <c r="BO163" s="14">
        <f>INDEX(其他调用!$M$5:$M$404,MATCH(BL163,其他调用!$B$5:$B$404,0))*0.6</f>
        <v>60</v>
      </c>
      <c r="BP163" s="14">
        <f>IF(BO163&gt;SUM('疲劳值&amp;地图信息'!$S$10:$S$12),('疲劳值&amp;地图信息'!$S$10*'疲劳值&amp;地图信息'!$R$10+'疲劳值&amp;地图信息'!$S$11*'疲劳值&amp;地图信息'!$R$11+'疲劳值&amp;地图信息'!$S$12*'疲劳值&amp;地图信息'!$R$12+(BO163-'疲劳值&amp;地图信息'!$S$12-'疲劳值&amp;地图信息'!$S$11-'疲劳值&amp;地图信息'!$S$10)*'疲劳值&amp;地图信息'!$R$13)/BO163,('疲劳值&amp;地图信息'!$S$10*'疲劳值&amp;地图信息'!$R$10+'疲劳值&amp;地图信息'!$S$11*'疲劳值&amp;地图信息'!$R$11+'疲劳值&amp;地图信息'!$S$12*'疲劳值&amp;地图信息'!$R$12+(BO163-'疲劳值&amp;地图信息'!$S$12-'疲劳值&amp;地图信息'!$S$11-'疲劳值&amp;地图信息'!$S$10)*'疲劳值&amp;地图信息'!$R$13)/BO163)</f>
        <v>44.158136341605953</v>
      </c>
      <c r="BQ163" s="14">
        <f t="shared" si="314"/>
        <v>20</v>
      </c>
      <c r="BR163" s="14">
        <f>('疲劳值&amp;地图信息'!$S$10*'疲劳值&amp;地图信息'!$R$10+($BQ163-'疲劳值&amp;地图信息'!$S$10)*'疲劳值&amp;地图信息'!$R$11)/$BQ163</f>
        <v>32.067203015074995</v>
      </c>
      <c r="CF163" s="14">
        <v>158</v>
      </c>
      <c r="CG163" s="51">
        <f t="shared" si="221"/>
        <v>11963</v>
      </c>
      <c r="CH163" s="51">
        <f t="shared" si="222"/>
        <v>959</v>
      </c>
      <c r="CI163" s="51">
        <f>INT(SUMPRODUCT($N163:$R163,$BA163:$BE163)/SUM($BA163:$BE163)/10000*$BX$7*$BZ$34/'疲劳值&amp;地图信息'!$R$10*$BY$53)</f>
        <v>3114</v>
      </c>
      <c r="CJ163" s="50">
        <f t="shared" si="223"/>
        <v>0.74600897979546021</v>
      </c>
      <c r="CK163" s="50">
        <f t="shared" si="224"/>
        <v>5.9802943377400851E-2</v>
      </c>
      <c r="CL163" s="50">
        <f t="shared" si="225"/>
        <v>0.19418807682713893</v>
      </c>
      <c r="CM163" s="14">
        <f t="shared" si="226"/>
        <v>12833</v>
      </c>
      <c r="CN163" s="14">
        <f t="shared" si="227"/>
        <v>1576</v>
      </c>
      <c r="CO163" s="14">
        <f>INT(SUMPRODUCT($U163:$Y163,$BA163:$BE163)/SUM($BA163:$BE163)/10000*$BX$7*$BZ$34/'疲劳值&amp;地图信息'!$R$10*$BY$54)</f>
        <v>5853</v>
      </c>
      <c r="CP163" s="50">
        <f t="shared" si="228"/>
        <v>0.63335307472115288</v>
      </c>
      <c r="CQ163" s="50">
        <f t="shared" si="229"/>
        <v>7.7781068009081036E-2</v>
      </c>
      <c r="CR163" s="50">
        <f t="shared" si="230"/>
        <v>0.28886585726976605</v>
      </c>
      <c r="CS163" s="14">
        <f t="shared" si="231"/>
        <v>13661</v>
      </c>
      <c r="CT163" s="14">
        <f t="shared" si="232"/>
        <v>2762</v>
      </c>
      <c r="CU163" s="14">
        <f>INT(SUMPRODUCT($AB163:$AF163,$BA163:$BE163)/SUM($BA163:$BE163)/10000*$BX$7*$BZ$34/'疲劳值&amp;地图信息'!$R$10*$BY$55)</f>
        <v>7954</v>
      </c>
      <c r="CV163" s="50">
        <f t="shared" si="233"/>
        <v>0.56040530007794231</v>
      </c>
      <c r="CW163" s="50">
        <f t="shared" si="234"/>
        <v>0.11330352381343069</v>
      </c>
      <c r="CX163" s="50">
        <f t="shared" si="235"/>
        <v>0.32629117610862696</v>
      </c>
      <c r="CY163" s="14">
        <f t="shared" si="236"/>
        <v>15923</v>
      </c>
      <c r="CZ163" s="14">
        <f t="shared" si="237"/>
        <v>7789</v>
      </c>
      <c r="DA163" s="14">
        <f>INT(SUMPRODUCT($AI163:$AM163,$BA163:$BE163)/SUM($BA163:$BE163)/10000*$BX$7*$BZ$34/'疲劳值&amp;地图信息'!$R$10*$BY$56)</f>
        <v>11997</v>
      </c>
      <c r="DB163" s="50">
        <f t="shared" si="238"/>
        <v>0.4459099946792125</v>
      </c>
      <c r="DC163" s="50">
        <f t="shared" si="239"/>
        <v>0.21812428239379428</v>
      </c>
      <c r="DD163" s="50">
        <f t="shared" si="240"/>
        <v>0.33596572292699317</v>
      </c>
      <c r="DE163" s="14">
        <f t="shared" si="241"/>
        <v>16206</v>
      </c>
      <c r="DF163" s="14">
        <f t="shared" si="242"/>
        <v>13810</v>
      </c>
      <c r="DG163" s="14">
        <f>INT(SUMPRODUCT($AP163:$AT163,$BA163:$BE163)/SUM($BA163:$BE163)/10000*$BX$7*$BZ$34/'疲劳值&amp;地图信息'!$R$10*$BY$57)</f>
        <v>16021</v>
      </c>
      <c r="DH163" s="50">
        <f t="shared" si="243"/>
        <v>0.35202120033885786</v>
      </c>
      <c r="DI163" s="50">
        <f t="shared" si="244"/>
        <v>0.29997610617546755</v>
      </c>
      <c r="DJ163" s="50">
        <f t="shared" si="245"/>
        <v>0.34800269348567459</v>
      </c>
      <c r="DL163" s="14">
        <f t="shared" si="316"/>
        <v>16036</v>
      </c>
      <c r="DM163" s="14">
        <f t="shared" si="317"/>
        <v>20262</v>
      </c>
      <c r="DN163" s="14">
        <f t="shared" si="318"/>
        <v>24377</v>
      </c>
      <c r="DO163" s="14">
        <f t="shared" si="319"/>
        <v>35709</v>
      </c>
      <c r="DP163" s="14">
        <f t="shared" si="320"/>
        <v>46037</v>
      </c>
      <c r="DQ163" s="14">
        <f t="shared" si="321"/>
        <v>1113076</v>
      </c>
      <c r="DT163" s="14">
        <f t="shared" si="315"/>
        <v>235575</v>
      </c>
      <c r="DU163" s="50">
        <f t="shared" si="217"/>
        <v>0.17467454515660463</v>
      </c>
      <c r="DW163" s="14">
        <f t="shared" si="246"/>
        <v>1348651</v>
      </c>
      <c r="EB163" s="14">
        <v>158</v>
      </c>
      <c r="EC163" s="51">
        <f t="shared" si="247"/>
        <v>19939</v>
      </c>
      <c r="ED163" s="51">
        <f t="shared" si="248"/>
        <v>1599</v>
      </c>
      <c r="EE163" s="51">
        <f>INT(SUMPRODUCT($N163:$R163,$BF163:$BJ163)/SUM($BF163:$BJ163)/10000*$BX$7*$BZ$46/'疲劳值&amp;地图信息'!$R$10*$BY$53)</f>
        <v>418</v>
      </c>
      <c r="EF163" s="50">
        <f t="shared" si="249"/>
        <v>0.90813445071962107</v>
      </c>
      <c r="EG163" s="50">
        <f t="shared" si="250"/>
        <v>7.2827473128074333E-2</v>
      </c>
      <c r="EH163" s="50">
        <f t="shared" si="251"/>
        <v>1.9038076152304611E-2</v>
      </c>
      <c r="EI163" s="51">
        <f t="shared" si="252"/>
        <v>21389</v>
      </c>
      <c r="EJ163" s="51">
        <f t="shared" si="253"/>
        <v>2626</v>
      </c>
      <c r="EK163" s="14">
        <f>INT(SUMPRODUCT($U163:$Y163,$BF163:$BJ163)/SUM($BF163:$BJ163)/10000*$BX$7*$BZ$46/'疲劳值&amp;地图信息'!$R$10*$BY$54)</f>
        <v>786</v>
      </c>
      <c r="EL163" s="50">
        <f t="shared" si="254"/>
        <v>0.86242490222168466</v>
      </c>
      <c r="EM163" s="50">
        <f t="shared" si="255"/>
        <v>0.10588282730535059</v>
      </c>
      <c r="EN163" s="50">
        <f t="shared" si="256"/>
        <v>3.1692270472964801E-2</v>
      </c>
      <c r="EO163" s="51">
        <f t="shared" si="257"/>
        <v>22769</v>
      </c>
      <c r="EP163" s="51">
        <f t="shared" si="258"/>
        <v>4603</v>
      </c>
      <c r="EQ163" s="14">
        <f>INT(SUMPRODUCT($AB163:$AF163,$BF163:$BJ163)/SUM($BF163:$BJ163)/10000*$BX$7*$BZ$46/'疲劳值&amp;地图信息'!$R$10*$BY$55)</f>
        <v>1066</v>
      </c>
      <c r="ER163" s="50">
        <f t="shared" si="259"/>
        <v>0.80065405443420778</v>
      </c>
      <c r="ES163" s="50">
        <f t="shared" si="260"/>
        <v>0.16186089035797172</v>
      </c>
      <c r="ET163" s="50">
        <f t="shared" si="261"/>
        <v>3.7485055207820521E-2</v>
      </c>
      <c r="EU163" s="51">
        <f t="shared" si="262"/>
        <v>26539</v>
      </c>
      <c r="EV163" s="51">
        <f t="shared" si="263"/>
        <v>12982</v>
      </c>
      <c r="EW163" s="14">
        <f>INT(SUMPRODUCT($AI163:$AM163,$BF163:$BJ163)/SUM($BF163:$BJ163)/10000*$BX$7*$BZ$46/'疲劳值&amp;地图信息'!$R$10*$BY$56)</f>
        <v>1600</v>
      </c>
      <c r="EX163" s="50">
        <f t="shared" si="264"/>
        <v>0.64538800126456064</v>
      </c>
      <c r="EY163" s="50">
        <f t="shared" si="265"/>
        <v>0.31570243914301693</v>
      </c>
      <c r="EZ163" s="50">
        <f t="shared" si="266"/>
        <v>3.8909559592422364E-2</v>
      </c>
      <c r="FA163" s="51">
        <f t="shared" si="267"/>
        <v>27010</v>
      </c>
      <c r="FB163" s="51">
        <f t="shared" si="268"/>
        <v>23017</v>
      </c>
      <c r="FC163" s="14">
        <f>INT(SUMPRODUCT($AP163:$AT163,$BF163:$BJ163)/SUM($BF163:$BJ163)/10000*$BX$7*$BZ$46/'疲劳值&amp;地图信息'!$R$10*$BY$57)</f>
        <v>2133</v>
      </c>
      <c r="FD163" s="50">
        <f t="shared" si="269"/>
        <v>0.51782975460122704</v>
      </c>
      <c r="FE163" s="50">
        <f t="shared" si="270"/>
        <v>0.44127684049079757</v>
      </c>
      <c r="FF163" s="50">
        <f t="shared" si="271"/>
        <v>4.089340490797546E-2</v>
      </c>
      <c r="FH163" s="14">
        <f t="shared" si="272"/>
        <v>21956</v>
      </c>
      <c r="FI163" s="14">
        <f t="shared" si="273"/>
        <v>24801</v>
      </c>
      <c r="FJ163" s="14">
        <f t="shared" si="274"/>
        <v>28438</v>
      </c>
      <c r="FK163" s="14">
        <f t="shared" si="275"/>
        <v>41121</v>
      </c>
      <c r="FL163" s="14">
        <f t="shared" si="276"/>
        <v>52160</v>
      </c>
      <c r="FM163" s="14">
        <f t="shared" si="277"/>
        <v>2569001</v>
      </c>
      <c r="FP163" s="14">
        <f t="shared" si="278"/>
        <v>334150</v>
      </c>
      <c r="FQ163" s="50">
        <f t="shared" si="218"/>
        <v>0.11509907683065745</v>
      </c>
      <c r="FS163" s="14">
        <f t="shared" si="279"/>
        <v>2903151</v>
      </c>
      <c r="FX163" s="14">
        <v>158</v>
      </c>
      <c r="FY163" s="51">
        <f t="shared" si="280"/>
        <v>27915</v>
      </c>
      <c r="FZ163" s="51">
        <f t="shared" si="281"/>
        <v>1599</v>
      </c>
      <c r="GA163" s="51">
        <f>INT(SUMPRODUCT($N163:$R163,$BF163:$BJ163)/SUM($BF163:$BJ163)/10000*$BX$7*$BZ$46/'疲劳值&amp;地图信息'!$R$10*$BY$53)</f>
        <v>418</v>
      </c>
      <c r="GB163" s="50">
        <f t="shared" si="282"/>
        <v>0.93261392489643191</v>
      </c>
      <c r="GC163" s="50">
        <f t="shared" si="283"/>
        <v>5.3421087799011092E-2</v>
      </c>
      <c r="GD163" s="50">
        <f t="shared" si="284"/>
        <v>1.3964987304556996E-2</v>
      </c>
      <c r="GE163" s="51">
        <f t="shared" si="285"/>
        <v>29945</v>
      </c>
      <c r="GF163" s="51">
        <f t="shared" si="286"/>
        <v>2626</v>
      </c>
      <c r="GG163" s="14">
        <f>INT(SUMPRODUCT($U163:$Y163,$BF163:$BJ163)/SUM($BF163:$BJ163)/10000*$BX$7*$BZ$46/'疲劳值&amp;地图信息'!$R$10*$BY$54)</f>
        <v>786</v>
      </c>
      <c r="GH163" s="50">
        <f t="shared" si="287"/>
        <v>0.89771262403693375</v>
      </c>
      <c r="GI163" s="50">
        <f t="shared" si="288"/>
        <v>7.8724105884821774E-2</v>
      </c>
      <c r="GJ163" s="50">
        <f t="shared" si="289"/>
        <v>2.3563270078244446E-2</v>
      </c>
      <c r="GK163" s="51">
        <f t="shared" si="290"/>
        <v>31877</v>
      </c>
      <c r="GL163" s="51">
        <f t="shared" si="291"/>
        <v>4603</v>
      </c>
      <c r="GM163" s="14">
        <f>INT(SUMPRODUCT($AB163:$AF163,$BF163:$BJ163)/SUM($BF163:$BJ163)/10000*$BX$7*$BZ$46/'疲劳值&amp;地图信息'!$R$10*$BY$55)</f>
        <v>1066</v>
      </c>
      <c r="GN163" s="50">
        <f t="shared" si="292"/>
        <v>0.84901187876205186</v>
      </c>
      <c r="GO163" s="50">
        <f t="shared" si="293"/>
        <v>0.12259628189420976</v>
      </c>
      <c r="GP163" s="50">
        <f t="shared" si="294"/>
        <v>2.8391839343738349E-2</v>
      </c>
      <c r="GQ163" s="51">
        <f t="shared" si="295"/>
        <v>37155</v>
      </c>
      <c r="GR163" s="51">
        <f t="shared" si="296"/>
        <v>12982</v>
      </c>
      <c r="GS163" s="14">
        <f>INT(SUMPRODUCT($AI163:$AM163,$BF163:$BJ163)/SUM($BF163:$BJ163)/10000*$BX$7*$BZ$46/'疲劳值&amp;地图信息'!$R$10*$BY$56)</f>
        <v>1600</v>
      </c>
      <c r="GT163" s="50">
        <f t="shared" si="297"/>
        <v>0.71815141968030616</v>
      </c>
      <c r="GU163" s="50">
        <f t="shared" si="298"/>
        <v>0.25092293716295883</v>
      </c>
      <c r="GV163" s="50">
        <f t="shared" si="299"/>
        <v>3.0925643156735027E-2</v>
      </c>
      <c r="GW163" s="51">
        <f t="shared" si="300"/>
        <v>37814</v>
      </c>
      <c r="GX163" s="51">
        <f t="shared" si="301"/>
        <v>23017</v>
      </c>
      <c r="GY163" s="14">
        <f>INT(SUMPRODUCT($AP163:$AT163,$BF163:$BJ163)/SUM($BF163:$BJ163)/10000*$BX$7*$BZ$46/'疲劳值&amp;地图信息'!$R$10*$BY$57)</f>
        <v>2133</v>
      </c>
      <c r="GZ163" s="50">
        <f t="shared" si="302"/>
        <v>0.60056540245219492</v>
      </c>
      <c r="HA163" s="50">
        <f t="shared" si="303"/>
        <v>0.36555809669017214</v>
      </c>
      <c r="HB163" s="50">
        <f t="shared" si="304"/>
        <v>3.3876500857632934E-2</v>
      </c>
      <c r="HD163" s="14">
        <f t="shared" si="305"/>
        <v>29932</v>
      </c>
      <c r="HE163" s="14">
        <f t="shared" si="306"/>
        <v>33357</v>
      </c>
      <c r="HF163" s="14">
        <f t="shared" si="307"/>
        <v>37546</v>
      </c>
      <c r="HG163" s="14">
        <f t="shared" si="308"/>
        <v>51737</v>
      </c>
      <c r="HH163" s="14">
        <f t="shared" si="309"/>
        <v>62964</v>
      </c>
      <c r="HI163" s="14">
        <f t="shared" si="310"/>
        <v>3450624</v>
      </c>
      <c r="HL163" s="14">
        <f t="shared" si="311"/>
        <v>430050</v>
      </c>
      <c r="HM163" s="50">
        <f t="shared" si="219"/>
        <v>0.11081837845693815</v>
      </c>
      <c r="HO163" s="14">
        <f t="shared" si="312"/>
        <v>3880674</v>
      </c>
    </row>
    <row r="164" spans="11:223" x14ac:dyDescent="0.2">
      <c r="K164" s="14">
        <v>159</v>
      </c>
      <c r="L164" s="12">
        <f>求节点(节奏总纲!D$4:D$163,标准城池设计!AB$4:AB$163,$K164)*求节点(节奏总纲!D$4:D$163,攻城基础信息!$AC$5:$AC$164,$K164)</f>
        <v>588850.9123832233</v>
      </c>
      <c r="M164" s="12">
        <f>INDEX(其他调用!$AA$5:$AA$404,MATCH(K164,其他调用!$X$5:$X$404,0))*MIN(INDEX(其他调用!$AH$5:$AH$364,MATCH('征服点（新）'!K164,其他调用!$AG$5:$AG$364,0),1)/INDEX(其他调用!$AJ$5:$AJ$364,MATCH(K164,其他调用!$AG$5:$AG$364,0),0),5)*求节点(节奏总纲!D$4:D$163,攻城基础信息!$AC$5:$AC$164,$K164)</f>
        <v>47194.10457252898</v>
      </c>
      <c r="N164" s="12">
        <f>MIN(INDEX(其他调用!$AH$5:$AH$364,MATCH($K164,其他调用!$AG$5:$AG$364,0),1)/INDEX(其他调用!AH$5:AH$364,MATCH($K164,其他调用!$AG$5:$AG$364,0),0),1)*INDEX(其他调用!Y$5:Y$404,MATCH($K164,其他调用!$X$5:$X$404,0),0)</f>
        <v>38814.295716127192</v>
      </c>
      <c r="O164" s="12">
        <f>MIN(INDEX(其他调用!$AH$5:$AH$364,MATCH($K164,其他调用!$AG$5:$AG$364,0),1)/INDEX(其他调用!AI$5:AI$364,MATCH($K164,其他调用!$AG$5:$AG$364,0),0),1)*INDEX(其他调用!Z$5:Z$404,MATCH($K164,其他调用!$X$5:$X$404,0),0)</f>
        <v>24326.64914951448</v>
      </c>
      <c r="P164" s="12">
        <f>MIN(INDEX(其他调用!$AH$5:$AH$364,MATCH($K164,其他调用!$AG$5:$AG$364,0),1)/INDEX(其他调用!AJ$5:AJ$364,MATCH($K164,其他调用!$AG$5:$AG$364,0),0),1)*INDEX(其他调用!AA$5:AA$404,MATCH($K164,其他调用!$X$5:$X$404,0),0)</f>
        <v>14415.785730727681</v>
      </c>
      <c r="Q164" s="12">
        <f>MIN(INDEX(其他调用!$AH$5:$AH$364,MATCH($K164,其他调用!$AG$5:$AG$364,0),1)/INDEX(其他调用!AK$5:AK$364,MATCH($K164,其他调用!$AG$5:$AG$364,0),0),1)*INDEX(其他调用!AB$5:AB$404,MATCH($K164,其他调用!$X$5:$X$404,0),0)</f>
        <v>5373.5977935428846</v>
      </c>
      <c r="R164" s="12">
        <f>MIN(INDEX(其他调用!$AH$5:$AH$364,MATCH($K164,其他调用!$AG$5:$AG$364,0),1)/INDEX(其他调用!AL$5:AL$364,MATCH($K164,其他调用!$AG$5:$AG$364,0),0),1)*INDEX(其他调用!AC$5:AC$404,MATCH($K164,其他调用!$X$5:$X$404,0),0)</f>
        <v>2019.2252139470515</v>
      </c>
      <c r="S164" s="12">
        <f>求节点(节奏总纲!D$4:D$163,标准城池设计!AC$4:AC$163,$K164)*求节点(节奏总纲!D$4:D$163,攻城基础信息!$AD$5:$AD$164,$K164)</f>
        <v>631447.00672060589</v>
      </c>
      <c r="T164" s="12">
        <f>INDEX(其他调用!$AA$5:$AA$404,MATCH($K164,其他调用!$X$5:$X$404,0))*MIN(INDEX(其他调用!AI$5:AI$364,MATCH($K164,其他调用!$AG$5:$AG$364,0),1)/INDEX(其他调用!$AJ$5:$AJ$364,MATCH($K164,其他调用!$AG$5:$AG$364,0),0),5)*求节点(节奏总纲!D$4:D$163,攻城基础信息!$AD$5:$AD$164,$K164)</f>
        <v>77525.770687227239</v>
      </c>
      <c r="U164" s="12">
        <f>MIN(INDEX(其他调用!$AI$5:$AI$364,MATCH($K164,其他调用!$AG$5:$AG$364,0),1)/INDEX(其他调用!AH$5:AH$364,MATCH($K164,其他调用!$AG$5:$AG$364,0),0),1)*INDEX(其他调用!Y$5:Y$404,MATCH($K164,其他调用!$X$5:$X$404,0),0)</f>
        <v>38814.295716127192</v>
      </c>
      <c r="V164" s="12">
        <f>MIN(INDEX(其他调用!$AI$5:$AI$364,MATCH($K164,其他调用!$AG$5:$AG$364,0),1)/INDEX(其他调用!AI$5:AI$364,MATCH($K164,其他调用!$AG$5:$AG$364,0),0),1)*INDEX(其他调用!Z$5:Z$404,MATCH($K164,其他调用!$X$5:$X$404,0),0)</f>
        <v>39961.394344404434</v>
      </c>
      <c r="W164" s="12">
        <f>MIN(INDEX(其他调用!$AI$5:$AI$364,MATCH($K164,其他调用!$AG$5:$AG$364,0),1)/INDEX(其他调用!AJ$5:AJ$364,MATCH($K164,其他调用!$AG$5:$AG$364,0),0),1)*INDEX(其他调用!AA$5:AA$404,MATCH($K164,其他调用!$X$5:$X$404,0),0)</f>
        <v>23680.815834084773</v>
      </c>
      <c r="X164" s="12">
        <f>MIN(INDEX(其他调用!$AI$5:$AI$364,MATCH($K164,其他调用!$AG$5:$AG$364,0),1)/INDEX(其他调用!AK$5:AK$364,MATCH($K164,其他调用!$AG$5:$AG$364,0),0),1)*INDEX(其他调用!AB$5:AB$404,MATCH($K164,其他调用!$X$5:$X$404,0),0)</f>
        <v>8827.2108154391899</v>
      </c>
      <c r="Y164" s="12">
        <f>MIN(INDEX(其他调用!$AI$5:$AI$364,MATCH($K164,其他调用!$AG$5:$AG$364,0),1)/INDEX(其他调用!AL$5:AL$364,MATCH($K164,其他调用!$AG$5:$AG$364,0),0),1)*INDEX(其他调用!AC$5:AC$404,MATCH($K164,其他调用!$X$5:$X$404,0),0)</f>
        <v>3316.9819052663483</v>
      </c>
      <c r="Z164" s="12">
        <f>求节点(节奏总纲!D$4:D$163,标准城池设计!AD$4:AD$163,$K164)*求节点(节奏总纲!D$4:D$163,攻城基础信息!$AE$5:$AE$164,$K164)</f>
        <v>672029.2854176003</v>
      </c>
      <c r="AA164" s="12">
        <f>INDEX(其他调用!$AA$5:$AA$404,MATCH($K164,其他调用!$X$5:$X$404,0))*MIN(INDEX(其他调用!AJ$5:AJ$364,MATCH($K164,其他调用!$AG$5:$AG$364,0),1)/INDEX(其他调用!$AJ$5:$AJ$364,MATCH($K164,其他调用!$AG$5:$AG$364,0),0),5)*求节点(节奏总纲!D$4:D$163,攻城基础信息!$AE$5:$AE$164,$K164)</f>
        <v>135761.64291374543</v>
      </c>
      <c r="AB164" s="12">
        <f>MIN(INDEX(其他调用!$AJ$5:$AJ$364,MATCH($K164,其他调用!$AG$5:$AG$364,0),1)/INDEX(其他调用!AH$5:AH$364,MATCH($K164,其他调用!$AG$5:$AG$364,0),0),1)*INDEX(其他调用!Y$5:Y$404,MATCH($K164,其他调用!$X$5:$X$404,0),0)</f>
        <v>38814.295716127192</v>
      </c>
      <c r="AC164" s="12">
        <f>MIN(INDEX(其他调用!$AJ$5:$AJ$364,MATCH($K164,其他调用!$AG$5:$AG$364,0),1)/INDEX(其他调用!AI$5:AI$364,MATCH($K164,其他调用!$AG$5:$AG$364,0),0),1)*INDEX(其他调用!Z$5:Z$404,MATCH($K164,其他调用!$X$5:$X$404,0),0)</f>
        <v>39961.394344404434</v>
      </c>
      <c r="AD164" s="12">
        <f>MIN(INDEX(其他调用!$AJ$5:$AJ$364,MATCH($K164,其他调用!$AG$5:$AG$364,0),1)/INDEX(其他调用!AJ$5:AJ$364,MATCH($K164,其他调用!$AG$5:$AG$364,0),0),1)*INDEX(其他调用!AA$5:AA$404,MATCH($K164,其他调用!$X$5:$X$404,0),0)</f>
        <v>41469.39056102623</v>
      </c>
      <c r="AE164" s="12">
        <f>MIN(INDEX(其他调用!$AJ$5:$AJ$364,MATCH($K164,其他调用!$AG$5:$AG$364,0),1)/INDEX(其他调用!AK$5:AK$364,MATCH($K164,其他调用!$AG$5:$AG$364,0),0),1)*INDEX(其他调用!AB$5:AB$404,MATCH($K164,其他调用!$X$5:$X$404,0),0)</f>
        <v>15458.042300345021</v>
      </c>
      <c r="AF164" s="12">
        <f>MIN(INDEX(其他调用!$AJ$5:$AJ$364,MATCH($K164,其他调用!$AG$5:$AG$364,0),1)/INDEX(其他调用!AL$5:AL$364,MATCH($K164,其他调用!$AG$5:$AG$364,0),0),1)*INDEX(其他调用!AC$5:AC$404,MATCH($K164,其他调用!$X$5:$X$404,0),0)</f>
        <v>5808.6351026539005</v>
      </c>
      <c r="AG164" s="12">
        <f>求节点(节奏总纲!D$4:D$163,标准城池设计!AE$4:AE$163,$K164)*求节点(节奏总纲!D$4:D$163,攻城基础信息!$AF$5:$AF$164,$K164)</f>
        <v>784332.65089741047</v>
      </c>
      <c r="AH164" s="12">
        <f>INDEX(其他调用!$AA$5:$AA$404,MATCH($K164,其他调用!$X$5:$X$404,0))*MIN(INDEX(其他调用!AK$5:AK$364,MATCH($K164,其他调用!$AG$5:$AG$364,0),1)/INDEX(其他调用!$AJ$5:$AJ$364,MATCH($K164,其他调用!$AG$5:$AG$364,0),0),5)*求节点(节奏总纲!D$4:D$163,攻城基础信息!$AF$5:$AF$164,$K164)</f>
        <v>383516.79432599811</v>
      </c>
      <c r="AI164" s="12">
        <f>MIN(INDEX(其他调用!$AK$5:$AK$364,MATCH($K164,其他调用!$AG$5:$AG$364,0),1)/INDEX(其他调用!AH$5:AH$364,MATCH($K164,其他调用!$AG$5:$AG$364,0),0),1)*INDEX(其他调用!Y$5:Y$404,MATCH($K164,其他调用!$X$5:$X$404,0),0)</f>
        <v>38814.295716127192</v>
      </c>
      <c r="AJ164" s="12">
        <f>MIN(INDEX(其他调用!$AK$5:$AK$364,MATCH($K164,其他调用!$AG$5:$AG$364,0),1)/INDEX(其他调用!AI$5:AI$364,MATCH($K164,其他调用!$AG$5:$AG$364,0),0),1)*INDEX(其他调用!Z$5:Z$404,MATCH($K164,其他调用!$X$5:$X$404,0),0)</f>
        <v>39961.394344404434</v>
      </c>
      <c r="AK164" s="12">
        <f>MIN(INDEX(其他调用!$AK$5:$AK$364,MATCH($K164,其他调用!$AG$5:$AG$364,0),1)/INDEX(其他调用!AJ$5:AJ$364,MATCH($K164,其他调用!$AG$5:$AG$364,0),0),1)*INDEX(其他调用!AA$5:AA$404,MATCH($K164,其他调用!$X$5:$X$404,0),0)</f>
        <v>41469.39056102623</v>
      </c>
      <c r="AL164" s="12">
        <f>MIN(INDEX(其他调用!$AK$5:$AK$364,MATCH($K164,其他调用!$AG$5:$AG$364,0),1)/INDEX(其他调用!AK$5:AK$364,MATCH($K164,其他调用!$AG$5:$AG$364,0),0),1)*INDEX(其他调用!AB$5:AB$404,MATCH($K164,其他调用!$X$5:$X$404,0),0)</f>
        <v>43667.84831375791</v>
      </c>
      <c r="AM164" s="12">
        <f>MIN(INDEX(其他调用!$AK$5:$AK$364,MATCH($K164,其他调用!$AG$5:$AG$364,0),1)/INDEX(其他调用!AL$5:AL$364,MATCH($K164,其他调用!$AG$5:$AG$364,0),0),1)*INDEX(其他调用!AC$5:AC$404,MATCH($K164,其他调用!$X$5:$X$404,0),0)</f>
        <v>16408.972859842586</v>
      </c>
      <c r="AN164" s="12">
        <f>求节点(节奏总纲!D$4:D$163,标准城池设计!AF$4:AF$163,$K164)*求节点(节奏总纲!D$4:D$163,攻城基础信息!$AG$5:$AG$164,$K164)</f>
        <v>798528.68387987779</v>
      </c>
      <c r="AO164" s="12">
        <f>INDEX(其他调用!$AA$5:$AA$404,MATCH($K164,其他调用!$X$5:$X$404,0))*MIN(INDEX(其他调用!AL$5:AL$364,MATCH($K164,其他调用!$AG$5:$AG$364,0),1)/INDEX(其他调用!$AJ$5:$AJ$364,MATCH($K164,其他调用!$AG$5:$AG$364,0),0),5)*求节点(节奏总纲!D$4:D$163,攻城基础信息!$AG$5:$AG$164,$K164)</f>
        <v>678808.21456872707</v>
      </c>
      <c r="AP164" s="12">
        <f>MIN(INDEX(其他调用!$AL$5:$AL$364,MATCH($K164,其他调用!$AG$5:$AG$364,0),1)/INDEX(其他调用!AH$5:AH$364,MATCH($K164,其他调用!$AG$5:$AG$364,0),0),1)*INDEX(其他调用!Y$5:Y$404,MATCH($K164,其他调用!$X$5:$X$404,0),0)</f>
        <v>38814.295716127192</v>
      </c>
      <c r="AQ164" s="12">
        <f>MIN(INDEX(其他调用!$AL$5:$AL$364,MATCH($K164,其他调用!$AG$5:$AG$364,0),1)/INDEX(其他调用!AI$5:AI$364,MATCH($K164,其他调用!$AG$5:$AG$364,0),0),1)*INDEX(其他调用!Z$5:Z$404,MATCH($K164,其他调用!$X$5:$X$404,0),0)</f>
        <v>39961.394344404434</v>
      </c>
      <c r="AR164" s="12">
        <f>MIN(INDEX(其他调用!$AL$5:$AL$364,MATCH($K164,其他调用!$AG$5:$AG$364,0),1)/INDEX(其他调用!AJ$5:AJ$364,MATCH($K164,其他调用!$AG$5:$AG$364,0),0),1)*INDEX(其他调用!AA$5:AA$404,MATCH($K164,其他调用!$X$5:$X$404,0),0)</f>
        <v>41469.39056102623</v>
      </c>
      <c r="AS164" s="12">
        <f>MIN(INDEX(其他调用!$AL$5:$AL$364,MATCH($K164,其他调用!$AG$5:$AG$364,0),1)/INDEX(其他调用!AK$5:AK$364,MATCH($K164,其他调用!$AG$5:$AG$364,0),0),1)*INDEX(其他调用!AB$5:AB$404,MATCH($K164,其他调用!$X$5:$X$404,0),0)</f>
        <v>43667.84831375791</v>
      </c>
      <c r="AT164" s="12">
        <f>MIN(INDEX(其他调用!$AL$5:$AL$364,MATCH($K164,其他调用!$AG$5:$AG$364,0),1)/INDEX(其他调用!AL$5:AL$364,MATCH($K164,其他调用!$AG$5:$AG$364,0),0),1)*INDEX(其他调用!AC$5:AC$404,MATCH($K164,其他调用!$X$5:$X$404,0),0)</f>
        <v>47618.75878491324</v>
      </c>
      <c r="AV164" s="14">
        <f>IF(OR(AV$5="大R",AV$5="超R"),MAX(INDEX(其他调用!$H$5:$L$404,MATCH($K164,其他调用!$B$5:$B$404,0),MATCH(AV$5,其他调用!$H$4:$L$4,0))*120*0.85,2),INDEX(其他调用!$H$5:$L$404,MATCH($K164,其他调用!$B$5:$B$404,0),MATCH(AV$5,其他调用!$H$4:$L$4,0))*120*0.85)</f>
        <v>48.921801254999991</v>
      </c>
      <c r="AW164" s="14">
        <f>IF(OR(AW$5="大R",AW$5="超R"),MAX(INDEX(其他调用!$H$5:$L$404,MATCH($K164,其他调用!$B$5:$B$404,0),MATCH(AW$5,其他调用!$H$4:$L$4,0))*120*0.85,2),INDEX(其他调用!$H$5:$L$404,MATCH($K164,其他调用!$B$5:$B$404,0),MATCH(AW$5,其他调用!$H$4:$L$4,0))*120*0.85)</f>
        <v>48.237344010638395</v>
      </c>
      <c r="AX164" s="14">
        <f>IF(OR(AX$5="大R",AX$5="超R"),MAX(INDEX(其他调用!$H$5:$L$404,MATCH($K164,其他调用!$B$5:$B$404,0),MATCH(AX$5,其他调用!$H$4:$L$4,0))*120*0.85,2),INDEX(其他调用!$H$5:$L$404,MATCH($K164,其他调用!$B$5:$B$404,0),MATCH(AX$5,其他调用!$H$4:$L$4,0))*120*0.85)</f>
        <v>3.9376284143615998</v>
      </c>
      <c r="AY164" s="14">
        <f>IF(OR(AY$5="大R",AY$5="超R"),MAX(INDEX(其他调用!$H$5:$L$404,MATCH($K164,其他调用!$B$5:$B$404,0),MATCH(AY$5,其他调用!$H$4:$L$4,0))*120*0.85,2),INDEX(其他调用!$H$5:$L$404,MATCH($K164,其他调用!$B$5:$B$404,0),MATCH(AY$5,其他调用!$H$4:$L$4,0))*120*0.85)</f>
        <v>2</v>
      </c>
      <c r="AZ164" s="14">
        <f>IF(OR(AZ$5="大R",AZ$5="超R"),MAX(INDEX(其他调用!$H$5:$L$404,MATCH($K164,其他调用!$B$5:$B$404,0),MATCH(AZ$5,其他调用!$H$4:$L$4,0))*120*0.85,2),INDEX(其他调用!$H$5:$L$404,MATCH($K164,其他调用!$B$5:$B$404,0),MATCH(AZ$5,其他调用!$H$4:$L$4,0))*120*0.85)</f>
        <v>2</v>
      </c>
      <c r="BA164" s="14">
        <f>INDEX(其他调用!$H$5:$L$404,MATCH($K164,其他调用!$B$5:$B$404,0),MATCH(BA$5,其他调用!$H$4:$L$4,0))*INDEX(其他调用!$M$5:$M$404,MATCH($K164,其他调用!$B$5:$B$404,0))*0.6</f>
        <v>28.777530149999997</v>
      </c>
      <c r="BB164" s="14">
        <f>INDEX(其他调用!$H$5:$L$404,MATCH($K164,其他调用!$B$5:$B$404,0),MATCH(BB$5,其他调用!$H$4:$L$4,0))*INDEX(其他调用!$M$5:$M$404,MATCH($K164,其他调用!$B$5:$B$404,0))*0.6</f>
        <v>28.374908241551999</v>
      </c>
      <c r="BC164" s="14">
        <f>INDEX(其他调用!$H$5:$L$404,MATCH($K164,其他调用!$B$5:$B$404,0),MATCH(BC$5,其他调用!$H$4:$L$4,0))*INDEX(其他调用!$M$5:$M$404,MATCH($K164,其他调用!$B$5:$B$404,0))*0.6</f>
        <v>2.3162520084480001</v>
      </c>
      <c r="BD164" s="14">
        <f>INDEX(其他调用!$H$5:$L$404,MATCH($K164,其他调用!$B$5:$B$404,0),MATCH(BD$5,其他调用!$H$4:$L$4,0))*INDEX(其他调用!$M$5:$M$404,MATCH($K164,其他调用!$B$5:$B$404,0))*0.6</f>
        <v>0.4120776000000001</v>
      </c>
      <c r="BE164" s="14">
        <f>INDEX(其他调用!$H$5:$L$404,MATCH($K164,其他调用!$B$5:$B$404,0),MATCH(BE$5,其他调用!$H$4:$L$4,0))*INDEX(其他调用!$M$5:$M$404,MATCH($K164,其他调用!$B$5:$B$404,0))*0.6</f>
        <v>0.11923199999999998</v>
      </c>
      <c r="BF164" s="14">
        <f>IF(OR(BF$5="大R",BF$5="超R"),0,INDEX(其他调用!$H$5:$L$404,MATCH($K164,其他调用!$B$5:$B$404,0),MATCH(BF$5,其他调用!$H$4:$L$4,0))*50*0.4)</f>
        <v>9.5925100500000013</v>
      </c>
      <c r="BG164" s="14">
        <f>IF(OR(BG$5="大R",BG$5="超R"),0,INDEX(其他调用!$H$5:$L$404,MATCH($K164,其他调用!$B$5:$B$404,0),MATCH(BG$5,其他调用!$H$4:$L$4,0))*50*0.4)</f>
        <v>9.4583027471839998</v>
      </c>
      <c r="BH164" s="14">
        <f>IF(OR(BH$5="大R",BH$5="超R"),0,INDEX(其他调用!$H$5:$L$404,MATCH($K164,其他调用!$B$5:$B$404,0),MATCH(BH$5,其他调用!$H$4:$L$4,0))*50*0.4)</f>
        <v>0.77208400281600009</v>
      </c>
      <c r="BI164" s="14">
        <f>IF(OR(BI$5="大R",BI$5="超R"),0,INDEX(其他调用!$H$5:$L$404,MATCH($K164,其他调用!$B$5:$B$404,0),MATCH(BI$5,其他调用!$H$4:$L$4,0))*50*0.4)</f>
        <v>0</v>
      </c>
      <c r="BJ164" s="14">
        <f>IF(OR(BJ$5="大R",BJ$5="超R"),0,INDEX(其他调用!$H$5:$L$404,MATCH($K164,其他调用!$B$5:$B$404,0),MATCH(BJ$5,其他调用!$H$4:$L$4,0))*50*0.4)</f>
        <v>0</v>
      </c>
      <c r="BL164" s="14">
        <f t="shared" si="313"/>
        <v>159</v>
      </c>
      <c r="BM164" s="14">
        <f t="shared" si="220"/>
        <v>96</v>
      </c>
      <c r="BN164" s="14">
        <f>('疲劳值&amp;地图信息'!$S$10*'疲劳值&amp;地图信息'!$R$10+'疲劳值&amp;地图信息'!$S$11*'疲劳值&amp;地图信息'!$R$11+'疲劳值&amp;地图信息'!$S$12*'疲劳值&amp;地图信息'!$R$12+(BM164-'疲劳值&amp;地图信息'!$S$12-'疲劳值&amp;地图信息'!$S$11-'疲劳值&amp;地图信息'!$S$10)*'疲劳值&amp;地图信息'!$R$13)/BM164</f>
        <v>51.371477246638619</v>
      </c>
      <c r="BO164" s="14">
        <f>INDEX(其他调用!$M$5:$M$404,MATCH(BL164,其他调用!$B$5:$B$404,0))*0.6</f>
        <v>60</v>
      </c>
      <c r="BP164" s="14">
        <f>IF(BO164&gt;SUM('疲劳值&amp;地图信息'!$S$10:$S$12),('疲劳值&amp;地图信息'!$S$10*'疲劳值&amp;地图信息'!$R$10+'疲劳值&amp;地图信息'!$S$11*'疲劳值&amp;地图信息'!$R$11+'疲劳值&amp;地图信息'!$S$12*'疲劳值&amp;地图信息'!$R$12+(BO164-'疲劳值&amp;地图信息'!$S$12-'疲劳值&amp;地图信息'!$S$11-'疲劳值&amp;地图信息'!$S$10)*'疲劳值&amp;地图信息'!$R$13)/BO164,('疲劳值&amp;地图信息'!$S$10*'疲劳值&amp;地图信息'!$R$10+'疲劳值&amp;地图信息'!$S$11*'疲劳值&amp;地图信息'!$R$11+'疲劳值&amp;地图信息'!$S$12*'疲劳值&amp;地图信息'!$R$12+(BO164-'疲劳值&amp;地图信息'!$S$12-'疲劳值&amp;地图信息'!$S$11-'疲劳值&amp;地图信息'!$S$10)*'疲劳值&amp;地图信息'!$R$13)/BO164)</f>
        <v>44.158136341605953</v>
      </c>
      <c r="BQ164" s="14">
        <f t="shared" si="314"/>
        <v>20</v>
      </c>
      <c r="BR164" s="14">
        <f>('疲劳值&amp;地图信息'!$S$10*'疲劳值&amp;地图信息'!$R$10+($BQ164-'疲劳值&amp;地图信息'!$S$10)*'疲劳值&amp;地图信息'!$R$11)/$BQ164</f>
        <v>32.067203015074995</v>
      </c>
      <c r="CF164" s="14">
        <v>159</v>
      </c>
      <c r="CG164" s="51">
        <f t="shared" si="221"/>
        <v>12001</v>
      </c>
      <c r="CH164" s="51">
        <f t="shared" si="222"/>
        <v>961</v>
      </c>
      <c r="CI164" s="51">
        <f>INT(SUMPRODUCT($N164:$R164,$BA164:$BE164)/SUM($BA164:$BE164)/10000*$BX$7*$BZ$34/'疲劳值&amp;地图信息'!$R$10*$BY$53)</f>
        <v>3116</v>
      </c>
      <c r="CJ164" s="50">
        <f t="shared" si="223"/>
        <v>0.74642368453787789</v>
      </c>
      <c r="CK164" s="50">
        <f t="shared" si="224"/>
        <v>5.9771115810424179E-2</v>
      </c>
      <c r="CL164" s="50">
        <f t="shared" si="225"/>
        <v>0.19380519965169798</v>
      </c>
      <c r="CM164" s="14">
        <f t="shared" si="226"/>
        <v>12869</v>
      </c>
      <c r="CN164" s="14">
        <f t="shared" si="227"/>
        <v>1580</v>
      </c>
      <c r="CO164" s="14">
        <f>INT(SUMPRODUCT($U164:$Y164,$BA164:$BE164)/SUM($BA164:$BE164)/10000*$BX$7*$BZ$34/'疲劳值&amp;地图信息'!$R$10*$BY$54)</f>
        <v>5859</v>
      </c>
      <c r="CP164" s="50">
        <f t="shared" si="228"/>
        <v>0.63369115619460314</v>
      </c>
      <c r="CQ164" s="50">
        <f t="shared" si="229"/>
        <v>7.7801851487098686E-2</v>
      </c>
      <c r="CR164" s="50">
        <f t="shared" si="230"/>
        <v>0.28850699231829818</v>
      </c>
      <c r="CS164" s="14">
        <f t="shared" si="231"/>
        <v>13696</v>
      </c>
      <c r="CT164" s="14">
        <f t="shared" si="232"/>
        <v>2766</v>
      </c>
      <c r="CU164" s="14">
        <f>INT(SUMPRODUCT($AB164:$AF164,$BA164:$BE164)/SUM($BA164:$BE164)/10000*$BX$7*$BZ$34/'疲劳值&amp;地图信息'!$R$10*$BY$55)</f>
        <v>7961</v>
      </c>
      <c r="CV164" s="50">
        <f t="shared" si="233"/>
        <v>0.56078286860746018</v>
      </c>
      <c r="CW164" s="50">
        <f t="shared" si="234"/>
        <v>0.1132539000122835</v>
      </c>
      <c r="CX164" s="50">
        <f t="shared" si="235"/>
        <v>0.32596323138025629</v>
      </c>
      <c r="CY164" s="14">
        <f t="shared" si="236"/>
        <v>15985</v>
      </c>
      <c r="CZ164" s="14">
        <f t="shared" si="237"/>
        <v>7816</v>
      </c>
      <c r="DA164" s="14">
        <f>INT(SUMPRODUCT($AI164:$AM164,$BA164:$BE164)/SUM($BA164:$BE164)/10000*$BX$7*$BZ$34/'疲劳值&amp;地图信息'!$R$10*$BY$56)</f>
        <v>12008</v>
      </c>
      <c r="DB164" s="50">
        <f t="shared" si="238"/>
        <v>0.44639615739060012</v>
      </c>
      <c r="DC164" s="50">
        <f t="shared" si="239"/>
        <v>0.21826915021363344</v>
      </c>
      <c r="DD164" s="50">
        <f t="shared" si="240"/>
        <v>0.33533469239576641</v>
      </c>
      <c r="DE164" s="14">
        <f t="shared" si="241"/>
        <v>16275</v>
      </c>
      <c r="DF164" s="14">
        <f t="shared" si="242"/>
        <v>13834</v>
      </c>
      <c r="DG164" s="14">
        <f>INT(SUMPRODUCT($AP164:$AT164,$BA164:$BE164)/SUM($BA164:$BE164)/10000*$BX$7*$BZ$34/'疲劳值&amp;地图信息'!$R$10*$BY$57)</f>
        <v>16035</v>
      </c>
      <c r="DH164" s="50">
        <f t="shared" si="243"/>
        <v>0.35270024271844658</v>
      </c>
      <c r="DI164" s="50">
        <f t="shared" si="244"/>
        <v>0.2998006241331484</v>
      </c>
      <c r="DJ164" s="50">
        <f t="shared" si="245"/>
        <v>0.34749913314840497</v>
      </c>
      <c r="DL164" s="14">
        <f t="shared" si="316"/>
        <v>16078</v>
      </c>
      <c r="DM164" s="14">
        <f t="shared" si="317"/>
        <v>20308</v>
      </c>
      <c r="DN164" s="14">
        <f t="shared" si="318"/>
        <v>24423</v>
      </c>
      <c r="DO164" s="14">
        <f t="shared" si="319"/>
        <v>35809</v>
      </c>
      <c r="DP164" s="14">
        <f t="shared" si="320"/>
        <v>46144</v>
      </c>
      <c r="DQ164" s="14">
        <f t="shared" si="321"/>
        <v>1115750</v>
      </c>
      <c r="DT164" s="14">
        <f t="shared" si="315"/>
        <v>235575</v>
      </c>
      <c r="DU164" s="50">
        <f t="shared" si="217"/>
        <v>0.17432889941353857</v>
      </c>
      <c r="DW164" s="14">
        <f t="shared" si="246"/>
        <v>1351325</v>
      </c>
      <c r="EB164" s="14">
        <v>159</v>
      </c>
      <c r="EC164" s="51">
        <f t="shared" si="247"/>
        <v>20002</v>
      </c>
      <c r="ED164" s="51">
        <f t="shared" si="248"/>
        <v>1603</v>
      </c>
      <c r="EE164" s="51">
        <f>INT(SUMPRODUCT($N164:$R164,$BF164:$BJ164)/SUM($BF164:$BJ164)/10000*$BX$7*$BZ$46/'疲劳值&amp;地图信息'!$R$10*$BY$53)</f>
        <v>418</v>
      </c>
      <c r="EF164" s="50">
        <f t="shared" si="249"/>
        <v>0.9082323025927439</v>
      </c>
      <c r="EG164" s="50">
        <f t="shared" si="250"/>
        <v>7.2787540298778555E-2</v>
      </c>
      <c r="EH164" s="50">
        <f t="shared" si="251"/>
        <v>1.8980157108477502E-2</v>
      </c>
      <c r="EI164" s="51">
        <f t="shared" si="252"/>
        <v>21449</v>
      </c>
      <c r="EJ164" s="51">
        <f t="shared" si="253"/>
        <v>2633</v>
      </c>
      <c r="EK164" s="14">
        <f>INT(SUMPRODUCT($U164:$Y164,$BF164:$BJ164)/SUM($BF164:$BJ164)/10000*$BX$7*$BZ$46/'疲劳值&amp;地图信息'!$R$10*$BY$54)</f>
        <v>786</v>
      </c>
      <c r="EL164" s="50">
        <f t="shared" si="254"/>
        <v>0.86251407431236926</v>
      </c>
      <c r="EM164" s="50">
        <f t="shared" si="255"/>
        <v>0.10587904133826605</v>
      </c>
      <c r="EN164" s="50">
        <f t="shared" si="256"/>
        <v>3.1606884349364643E-2</v>
      </c>
      <c r="EO164" s="51">
        <f t="shared" si="257"/>
        <v>22828</v>
      </c>
      <c r="EP164" s="51">
        <f t="shared" si="258"/>
        <v>4611</v>
      </c>
      <c r="EQ164" s="14">
        <f>INT(SUMPRODUCT($AB164:$AF164,$BF164:$BJ164)/SUM($BF164:$BJ164)/10000*$BX$7*$BZ$46/'疲劳值&amp;地图信息'!$R$10*$BY$55)</f>
        <v>1067</v>
      </c>
      <c r="ER164" s="50">
        <f t="shared" si="259"/>
        <v>0.80081386374798291</v>
      </c>
      <c r="ES164" s="50">
        <f t="shared" si="260"/>
        <v>0.16175541991159756</v>
      </c>
      <c r="ET164" s="50">
        <f t="shared" si="261"/>
        <v>3.7430716340419563E-2</v>
      </c>
      <c r="EU164" s="51">
        <f t="shared" si="262"/>
        <v>26642</v>
      </c>
      <c r="EV164" s="51">
        <f t="shared" si="263"/>
        <v>13027</v>
      </c>
      <c r="EW164" s="14">
        <f>INT(SUMPRODUCT($AI164:$AM164,$BF164:$BJ164)/SUM($BF164:$BJ164)/10000*$BX$7*$BZ$46/'疲劳值&amp;地图信息'!$R$10*$BY$56)</f>
        <v>1601</v>
      </c>
      <c r="EX164" s="50">
        <f t="shared" si="264"/>
        <v>0.64555367094741944</v>
      </c>
      <c r="EY164" s="50">
        <f t="shared" si="265"/>
        <v>0.31565301671916646</v>
      </c>
      <c r="EZ164" s="50">
        <f t="shared" si="266"/>
        <v>3.8793312333414105E-2</v>
      </c>
      <c r="FA164" s="51">
        <f t="shared" si="267"/>
        <v>27125</v>
      </c>
      <c r="FB164" s="51">
        <f t="shared" si="268"/>
        <v>23058</v>
      </c>
      <c r="FC164" s="14">
        <f>INT(SUMPRODUCT($AP164:$AT164,$BF164:$BJ164)/SUM($BF164:$BJ164)/10000*$BX$7*$BZ$46/'疲劳值&amp;地图信息'!$R$10*$BY$57)</f>
        <v>2135</v>
      </c>
      <c r="FD164" s="50">
        <f t="shared" si="269"/>
        <v>0.51846400856301844</v>
      </c>
      <c r="FE164" s="50">
        <f t="shared" si="270"/>
        <v>0.44072785656944075</v>
      </c>
      <c r="FF164" s="50">
        <f t="shared" si="271"/>
        <v>4.0808134867540806E-2</v>
      </c>
      <c r="FH164" s="14">
        <f t="shared" si="272"/>
        <v>22023</v>
      </c>
      <c r="FI164" s="14">
        <f t="shared" si="273"/>
        <v>24868</v>
      </c>
      <c r="FJ164" s="14">
        <f t="shared" si="274"/>
        <v>28506</v>
      </c>
      <c r="FK164" s="14">
        <f t="shared" si="275"/>
        <v>41270</v>
      </c>
      <c r="FL164" s="14">
        <f t="shared" si="276"/>
        <v>52318</v>
      </c>
      <c r="FM164" s="14">
        <f t="shared" si="277"/>
        <v>2576393</v>
      </c>
      <c r="FP164" s="14">
        <f t="shared" si="278"/>
        <v>334150</v>
      </c>
      <c r="FQ164" s="50">
        <f t="shared" si="218"/>
        <v>0.11480675599020526</v>
      </c>
      <c r="FS164" s="14">
        <f t="shared" si="279"/>
        <v>2910543</v>
      </c>
      <c r="FX164" s="14">
        <v>159</v>
      </c>
      <c r="FY164" s="51">
        <f t="shared" si="280"/>
        <v>28003</v>
      </c>
      <c r="FZ164" s="51">
        <f t="shared" si="281"/>
        <v>1603</v>
      </c>
      <c r="GA164" s="51">
        <f>INT(SUMPRODUCT($N164:$R164,$BF164:$BJ164)/SUM($BF164:$BJ164)/10000*$BX$7*$BZ$46/'疲劳值&amp;地图信息'!$R$10*$BY$53)</f>
        <v>418</v>
      </c>
      <c r="GB164" s="50">
        <f t="shared" si="282"/>
        <v>0.93268718358646419</v>
      </c>
      <c r="GC164" s="50">
        <f t="shared" si="283"/>
        <v>5.3390620836664002E-2</v>
      </c>
      <c r="GD164" s="50">
        <f t="shared" si="284"/>
        <v>1.3922195576871835E-2</v>
      </c>
      <c r="GE164" s="51">
        <f t="shared" si="285"/>
        <v>30029</v>
      </c>
      <c r="GF164" s="51">
        <f t="shared" si="286"/>
        <v>2633</v>
      </c>
      <c r="GG164" s="14">
        <f>INT(SUMPRODUCT($U164:$Y164,$BF164:$BJ164)/SUM($BF164:$BJ164)/10000*$BX$7*$BZ$46/'疲劳值&amp;地图信息'!$R$10*$BY$54)</f>
        <v>786</v>
      </c>
      <c r="GH164" s="50">
        <f t="shared" si="287"/>
        <v>0.89778163118871079</v>
      </c>
      <c r="GI164" s="50">
        <f t="shared" si="288"/>
        <v>7.8719205931595315E-2</v>
      </c>
      <c r="GJ164" s="50">
        <f t="shared" si="289"/>
        <v>2.3499162879693853E-2</v>
      </c>
      <c r="GK164" s="51">
        <f t="shared" si="290"/>
        <v>31959</v>
      </c>
      <c r="GL164" s="51">
        <f t="shared" si="291"/>
        <v>4611</v>
      </c>
      <c r="GM164" s="14">
        <f>INT(SUMPRODUCT($AB164:$AF164,$BF164:$BJ164)/SUM($BF164:$BJ164)/10000*$BX$7*$BZ$46/'疲劳值&amp;地图信息'!$R$10*$BY$55)</f>
        <v>1067</v>
      </c>
      <c r="GN164" s="50">
        <f t="shared" si="292"/>
        <v>0.84913781651034881</v>
      </c>
      <c r="GO164" s="50">
        <f t="shared" si="293"/>
        <v>0.12251242128756278</v>
      </c>
      <c r="GP164" s="50">
        <f t="shared" si="294"/>
        <v>2.8349762202088371E-2</v>
      </c>
      <c r="GQ164" s="51">
        <f t="shared" si="295"/>
        <v>37300</v>
      </c>
      <c r="GR164" s="51">
        <f t="shared" si="296"/>
        <v>13027</v>
      </c>
      <c r="GS164" s="14">
        <f>INT(SUMPRODUCT($AI164:$AM164,$BF164:$BJ164)/SUM($BF164:$BJ164)/10000*$BX$7*$BZ$46/'疲劳值&amp;地图信息'!$R$10*$BY$56)</f>
        <v>1601</v>
      </c>
      <c r="GT164" s="50">
        <f t="shared" si="297"/>
        <v>0.71830226467416425</v>
      </c>
      <c r="GU164" s="50">
        <f t="shared" si="298"/>
        <v>0.25086658450161764</v>
      </c>
      <c r="GV164" s="50">
        <f t="shared" si="299"/>
        <v>3.0831150824218147E-2</v>
      </c>
      <c r="GW164" s="51">
        <f t="shared" si="300"/>
        <v>37975</v>
      </c>
      <c r="GX164" s="51">
        <f t="shared" si="301"/>
        <v>23058</v>
      </c>
      <c r="GY164" s="14">
        <f>INT(SUMPRODUCT($AP164:$AT164,$BF164:$BJ164)/SUM($BF164:$BJ164)/10000*$BX$7*$BZ$46/'疲劳值&amp;地图信息'!$R$10*$BY$57)</f>
        <v>2135</v>
      </c>
      <c r="GZ164" s="50">
        <f t="shared" si="302"/>
        <v>0.60117464539007093</v>
      </c>
      <c r="HA164" s="50">
        <f t="shared" si="303"/>
        <v>0.36502659574468083</v>
      </c>
      <c r="HB164" s="50">
        <f t="shared" si="304"/>
        <v>3.3798758865248225E-2</v>
      </c>
      <c r="HD164" s="14">
        <f t="shared" si="305"/>
        <v>30024</v>
      </c>
      <c r="HE164" s="14">
        <f t="shared" si="306"/>
        <v>33448</v>
      </c>
      <c r="HF164" s="14">
        <f t="shared" si="307"/>
        <v>37637</v>
      </c>
      <c r="HG164" s="14">
        <f t="shared" si="308"/>
        <v>51928</v>
      </c>
      <c r="HH164" s="14">
        <f t="shared" si="309"/>
        <v>63168</v>
      </c>
      <c r="HI164" s="14">
        <f t="shared" si="310"/>
        <v>3460663</v>
      </c>
      <c r="HL164" s="14">
        <f t="shared" si="311"/>
        <v>430050</v>
      </c>
      <c r="HM164" s="50">
        <f t="shared" si="219"/>
        <v>0.11053243968393454</v>
      </c>
      <c r="HO164" s="14">
        <f t="shared" si="312"/>
        <v>3890713</v>
      </c>
    </row>
    <row r="165" spans="11:223" x14ac:dyDescent="0.2">
      <c r="K165" s="14">
        <v>160</v>
      </c>
      <c r="L165" s="12">
        <f>求节点(节奏总纲!D$4:D$163,标准城池设计!AB$4:AB$163,$K165)*求节点(节奏总纲!D$4:D$163,攻城基础信息!$AC$5:$AC$164,$K165)</f>
        <v>590708.33971635613</v>
      </c>
      <c r="M165" s="12">
        <f>INDEX(其他调用!$AA$5:$AA$404,MATCH(K165,其他调用!$X$5:$X$404,0))*MIN(INDEX(其他调用!$AH$5:$AH$364,MATCH('征服点（新）'!K165,其他调用!$AG$5:$AG$364,0),1)/INDEX(其他调用!$AJ$5:$AJ$364,MATCH(K165,其他调用!$AG$5:$AG$364,0),0),5)*求节点(节奏总纲!D$4:D$163,攻城基础信息!$AC$5:$AC$164,$K165)</f>
        <v>47307.02893682749</v>
      </c>
      <c r="N165" s="12">
        <f>MIN(INDEX(其他调用!$AH$5:$AH$364,MATCH($K165,其他调用!$AG$5:$AG$364,0),1)/INDEX(其他调用!AH$5:AH$364,MATCH($K165,其他调用!$AG$5:$AG$364,0),0),1)*INDEX(其他调用!Y$5:Y$404,MATCH($K165,其他调用!$X$5:$X$404,0),0)</f>
        <v>38849.041029765096</v>
      </c>
      <c r="O165" s="12">
        <f>MIN(INDEX(其他调用!$AH$5:$AH$364,MATCH($K165,其他调用!$AG$5:$AG$364,0),1)/INDEX(其他调用!AI$5:AI$364,MATCH($K165,其他调用!$AG$5:$AG$364,0),0),1)*INDEX(其他调用!Z$5:Z$404,MATCH($K165,其他调用!$X$5:$X$404,0),0)</f>
        <v>24347.610072785668</v>
      </c>
      <c r="P165" s="12">
        <f>MIN(INDEX(其他调用!$AH$5:$AH$364,MATCH($K165,其他调用!$AG$5:$AG$364,0),1)/INDEX(其他调用!AJ$5:AJ$364,MATCH($K165,其他调用!$AG$5:$AG$364,0),0),1)*INDEX(其他调用!AA$5:AA$404,MATCH($K165,其他调用!$X$5:$X$404,0),0)</f>
        <v>14437.282642443139</v>
      </c>
      <c r="Q165" s="12">
        <f>MIN(INDEX(其他调用!$AH$5:$AH$364,MATCH($K165,其他调用!$AG$5:$AG$364,0),1)/INDEX(其他调用!AK$5:AK$364,MATCH($K165,其他调用!$AG$5:$AG$364,0),0),1)*INDEX(其他调用!AB$5:AB$404,MATCH($K165,其他调用!$X$5:$X$404,0),0)</f>
        <v>5372.391313145039</v>
      </c>
      <c r="R165" s="12">
        <f>MIN(INDEX(其他调用!$AH$5:$AH$364,MATCH($K165,其他调用!$AG$5:$AG$364,0),1)/INDEX(其他调用!AL$5:AL$364,MATCH($K165,其他调用!$AG$5:$AG$364,0),0),1)*INDEX(其他调用!AC$5:AC$404,MATCH($K165,其他调用!$X$5:$X$404,0),0)</f>
        <v>2028.500490367622</v>
      </c>
      <c r="S165" s="12">
        <f>求节点(节奏总纲!D$4:D$163,标准城池设计!AC$4:AC$163,$K165)*求节点(节奏总纲!D$4:D$163,攻城基础信息!$AD$5:$AD$164,$K165)</f>
        <v>633201.95643129037</v>
      </c>
      <c r="T165" s="12">
        <f>INDEX(其他调用!$AA$5:$AA$404,MATCH($K165,其他调用!$X$5:$X$404,0))*MIN(INDEX(其他调用!AI$5:AI$364,MATCH($K165,其他调用!$AG$5:$AG$364,0),1)/INDEX(其他调用!$AJ$5:$AJ$364,MATCH($K165,其他调用!$AG$5:$AG$364,0),0),5)*求节点(节奏总纲!D$4:D$163,攻城基础信息!$AD$5:$AD$164,$K165)</f>
        <v>77715.731907947804</v>
      </c>
      <c r="U165" s="12">
        <f>MIN(INDEX(其他调用!$AI$5:$AI$364,MATCH($K165,其他调用!$AG$5:$AG$364,0),1)/INDEX(其他调用!AH$5:AH$364,MATCH($K165,其他调用!$AG$5:$AG$364,0),0),1)*INDEX(其他调用!Y$5:Y$404,MATCH($K165,其他调用!$X$5:$X$404,0),0)</f>
        <v>38849.041029765096</v>
      </c>
      <c r="V165" s="12">
        <f>MIN(INDEX(其他调用!$AI$5:$AI$364,MATCH($K165,其他调用!$AG$5:$AG$364,0),1)/INDEX(其他调用!AI$5:AI$364,MATCH($K165,其他调用!$AG$5:$AG$364,0),0),1)*INDEX(其他调用!Z$5:Z$404,MATCH($K165,其他调用!$X$5:$X$404,0),0)</f>
        <v>39998.122468072179</v>
      </c>
      <c r="W165" s="12">
        <f>MIN(INDEX(其他调用!$AI$5:$AI$364,MATCH($K165,其他调用!$AG$5:$AG$364,0),1)/INDEX(其他调用!AJ$5:AJ$364,MATCH($K165,其他调用!$AG$5:$AG$364,0),0),1)*INDEX(其他调用!AA$5:AA$404,MATCH($K165,其他调用!$X$5:$X$404,0),0)</f>
        <v>23717.49003340862</v>
      </c>
      <c r="X165" s="12">
        <f>MIN(INDEX(其他调用!$AI$5:$AI$364,MATCH($K165,其他调用!$AG$5:$AG$364,0),1)/INDEX(其他调用!AK$5:AK$364,MATCH($K165,其他调用!$AG$5:$AG$364,0),0),1)*INDEX(其他调用!AB$5:AB$404,MATCH($K165,其他调用!$X$5:$X$404,0),0)</f>
        <v>8825.7354642691971</v>
      </c>
      <c r="Y165" s="12">
        <f>MIN(INDEX(其他调用!$AI$5:$AI$364,MATCH($K165,其他调用!$AG$5:$AG$364,0),1)/INDEX(其他调用!AL$5:AL$364,MATCH($K165,其他调用!$AG$5:$AG$364,0),0),1)*INDEX(其他调用!AC$5:AC$404,MATCH($K165,其他调用!$X$5:$X$404,0),0)</f>
        <v>3332.4096614705495</v>
      </c>
      <c r="Z165" s="12">
        <f>求节点(节奏总纲!D$4:D$163,标准城池设计!AD$4:AD$163,$K165)*求节点(节奏总纲!D$4:D$163,攻城基础信息!$AE$5:$AE$164,$K165)</f>
        <v>673743.64931769483</v>
      </c>
      <c r="AA165" s="12">
        <f>INDEX(其他调用!$AA$5:$AA$404,MATCH($K165,其他调用!$X$5:$X$404,0))*MIN(INDEX(其他调用!AJ$5:AJ$364,MATCH($K165,其他调用!$AG$5:$AG$364,0),1)/INDEX(其他调用!$AJ$5:$AJ$364,MATCH($K165,其他调用!$AG$5:$AG$364,0),0),5)*求节点(节奏总纲!D$4:D$163,攻城基础信息!$AE$5:$AE$164,$K165)</f>
        <v>136002.65712380409</v>
      </c>
      <c r="AB165" s="12">
        <f>MIN(INDEX(其他调用!$AJ$5:$AJ$364,MATCH($K165,其他调用!$AG$5:$AG$364,0),1)/INDEX(其他调用!AH$5:AH$364,MATCH($K165,其他调用!$AG$5:$AG$364,0),0),1)*INDEX(其他调用!Y$5:Y$404,MATCH($K165,其他调用!$X$5:$X$404,0),0)</f>
        <v>38849.041029765096</v>
      </c>
      <c r="AC165" s="12">
        <f>MIN(INDEX(其他调用!$AJ$5:$AJ$364,MATCH($K165,其他调用!$AG$5:$AG$364,0),1)/INDEX(其他调用!AI$5:AI$364,MATCH($K165,其他调用!$AG$5:$AG$364,0),0),1)*INDEX(其他调用!Z$5:Z$404,MATCH($K165,其他调用!$X$5:$X$404,0),0)</f>
        <v>39998.122468072179</v>
      </c>
      <c r="AD165" s="12">
        <f>MIN(INDEX(其他调用!$AJ$5:$AJ$364,MATCH($K165,其他调用!$AG$5:$AG$364,0),1)/INDEX(其他调用!AJ$5:AJ$364,MATCH($K165,其他调用!$AG$5:$AG$364,0),0),1)*INDEX(其他调用!AA$5:AA$404,MATCH($K165,其他调用!$X$5:$X$404,0),0)</f>
        <v>41505.646098419289</v>
      </c>
      <c r="AE165" s="12">
        <f>MIN(INDEX(其他调用!$AJ$5:$AJ$364,MATCH($K165,其他调用!$AG$5:$AG$364,0),1)/INDEX(其他调用!AK$5:AK$364,MATCH($K165,其他调用!$AG$5:$AG$364,0),0),1)*INDEX(其他调用!AB$5:AB$404,MATCH($K165,其他调用!$X$5:$X$404,0),0)</f>
        <v>15445.051403931348</v>
      </c>
      <c r="AF165" s="12">
        <f>MIN(INDEX(其他调用!$AJ$5:$AJ$364,MATCH($K165,其他调用!$AG$5:$AG$364,0),1)/INDEX(其他调用!AL$5:AL$364,MATCH($K165,其他调用!$AG$5:$AG$364,0),0),1)*INDEX(其他调用!AC$5:AC$404,MATCH($K165,其他调用!$X$5:$X$404,0),0)</f>
        <v>5831.7223226032802</v>
      </c>
      <c r="AG165" s="12">
        <f>求节点(节奏总纲!D$4:D$163,标准城池设计!AE$4:AE$163,$K165)*求节点(节奏总纲!D$4:D$163,攻城基础信息!$AF$5:$AF$164,$K165)</f>
        <v>787378.89460220537</v>
      </c>
      <c r="AH165" s="12">
        <f>INDEX(其他调用!$AA$5:$AA$404,MATCH($K165,其他调用!$X$5:$X$404,0))*MIN(INDEX(其他调用!AK$5:AK$364,MATCH($K165,其他调用!$AG$5:$AG$364,0),1)/INDEX(其他调用!$AJ$5:$AJ$364,MATCH($K165,其他调用!$AG$5:$AG$364,0),0),5)*求节点(节奏总纲!D$4:D$163,攻城基础信息!$AF$5:$AF$164,$K165)</f>
        <v>384839.54259011644</v>
      </c>
      <c r="AI165" s="12">
        <f>MIN(INDEX(其他调用!$AK$5:$AK$364,MATCH($K165,其他调用!$AG$5:$AG$364,0),1)/INDEX(其他调用!AH$5:AH$364,MATCH($K165,其他调用!$AG$5:$AG$364,0),0),1)*INDEX(其他调用!Y$5:Y$404,MATCH($K165,其他调用!$X$5:$X$404,0),0)</f>
        <v>38849.041029765096</v>
      </c>
      <c r="AJ165" s="12">
        <f>MIN(INDEX(其他调用!$AK$5:$AK$364,MATCH($K165,其他调用!$AG$5:$AG$364,0),1)/INDEX(其他调用!AI$5:AI$364,MATCH($K165,其他调用!$AG$5:$AG$364,0),0),1)*INDEX(其他调用!Z$5:Z$404,MATCH($K165,其他调用!$X$5:$X$404,0),0)</f>
        <v>39998.122468072179</v>
      </c>
      <c r="AK165" s="12">
        <f>MIN(INDEX(其他调用!$AK$5:$AK$364,MATCH($K165,其他调用!$AG$5:$AG$364,0),1)/INDEX(其他调用!AJ$5:AJ$364,MATCH($K165,其他调用!$AG$5:$AG$364,0),0),1)*INDEX(其他调用!AA$5:AA$404,MATCH($K165,其他调用!$X$5:$X$404,0),0)</f>
        <v>41505.646098419289</v>
      </c>
      <c r="AL165" s="12">
        <f>MIN(INDEX(其他调用!$AK$5:$AK$364,MATCH($K165,其他调用!$AG$5:$AG$364,0),1)/INDEX(其他调用!AK$5:AK$364,MATCH($K165,其他调用!$AG$5:$AG$364,0),0),1)*INDEX(其他调用!AB$5:AB$404,MATCH($K165,其他调用!$X$5:$X$404,0),0)</f>
        <v>43704.046989016082</v>
      </c>
      <c r="AM165" s="12">
        <f>MIN(INDEX(其他调用!$AK$5:$AK$364,MATCH($K165,其他调用!$AG$5:$AG$364,0),1)/INDEX(其他调用!AL$5:AL$364,MATCH($K165,其他调用!$AG$5:$AG$364,0),0),1)*INDEX(其他调用!AC$5:AC$404,MATCH($K165,其他调用!$X$5:$X$404,0),0)</f>
        <v>16501.716941458268</v>
      </c>
      <c r="AN165" s="12">
        <f>求节点(节奏总纲!D$4:D$163,标准城池设计!AF$4:AF$163,$K165)*求节点(节奏总纲!D$4:D$163,攻城基础信息!$AG$5:$AG$164,$K165)</f>
        <v>801911.57178383437</v>
      </c>
      <c r="AO165" s="12">
        <f>INDEX(其他调用!$AA$5:$AA$404,MATCH($K165,其他调用!$X$5:$X$404,0))*MIN(INDEX(其他调用!AL$5:AL$364,MATCH($K165,其他调用!$AG$5:$AG$364,0),1)/INDEX(其他调用!$AJ$5:$AJ$364,MATCH($K165,其他调用!$AG$5:$AG$364,0),0),5)*求节点(节奏总纲!D$4:D$163,攻城基础信息!$AG$5:$AG$164,$K165)</f>
        <v>680013.28561902046</v>
      </c>
      <c r="AP165" s="12">
        <f>MIN(INDEX(其他调用!$AL$5:$AL$364,MATCH($K165,其他调用!$AG$5:$AG$364,0),1)/INDEX(其他调用!AH$5:AH$364,MATCH($K165,其他调用!$AG$5:$AG$364,0),0),1)*INDEX(其他调用!Y$5:Y$404,MATCH($K165,其他调用!$X$5:$X$404,0),0)</f>
        <v>38849.041029765096</v>
      </c>
      <c r="AQ165" s="12">
        <f>MIN(INDEX(其他调用!$AL$5:$AL$364,MATCH($K165,其他调用!$AG$5:$AG$364,0),1)/INDEX(其他调用!AI$5:AI$364,MATCH($K165,其他调用!$AG$5:$AG$364,0),0),1)*INDEX(其他调用!Z$5:Z$404,MATCH($K165,其他调用!$X$5:$X$404,0),0)</f>
        <v>39998.122468072179</v>
      </c>
      <c r="AR165" s="12">
        <f>MIN(INDEX(其他调用!$AL$5:$AL$364,MATCH($K165,其他调用!$AG$5:$AG$364,0),1)/INDEX(其他调用!AJ$5:AJ$364,MATCH($K165,其他调用!$AG$5:$AG$364,0),0),1)*INDEX(其他调用!AA$5:AA$404,MATCH($K165,其他调用!$X$5:$X$404,0),0)</f>
        <v>41505.646098419289</v>
      </c>
      <c r="AS165" s="12">
        <f>MIN(INDEX(其他调用!$AL$5:$AL$364,MATCH($K165,其他调用!$AG$5:$AG$364,0),1)/INDEX(其他调用!AK$5:AK$364,MATCH($K165,其他调用!$AG$5:$AG$364,0),0),1)*INDEX(其他调用!AB$5:AB$404,MATCH($K165,其他调用!$X$5:$X$404,0),0)</f>
        <v>43704.046989016082</v>
      </c>
      <c r="AT165" s="12">
        <f>MIN(INDEX(其他调用!$AL$5:$AL$364,MATCH($K165,其他调用!$AG$5:$AG$364,0),1)/INDEX(其他调用!AL$5:AL$364,MATCH($K165,其他调用!$AG$5:$AG$364,0),0),1)*INDEX(其他调用!AC$5:AC$404,MATCH($K165,其他调用!$X$5:$X$404,0),0)</f>
        <v>47654.027782911086</v>
      </c>
      <c r="AV165" s="14">
        <f>IF(OR(AV$5="大R",AV$5="超R"),MAX(INDEX(其他调用!$H$5:$L$404,MATCH($K165,其他调用!$B$5:$B$404,0),MATCH(AV$5,其他调用!$H$4:$L$4,0))*120*0.85,2),INDEX(其他调用!$H$5:$L$404,MATCH($K165,其他调用!$B$5:$B$404,0),MATCH(AV$5,其他调用!$H$4:$L$4,0))*120*0.85)</f>
        <v>48.921801254999991</v>
      </c>
      <c r="AW165" s="14">
        <f>IF(OR(AW$5="大R",AW$5="超R"),MAX(INDEX(其他调用!$H$5:$L$404,MATCH($K165,其他调用!$B$5:$B$404,0),MATCH(AW$5,其他调用!$H$4:$L$4,0))*120*0.85,2),INDEX(其他调用!$H$5:$L$404,MATCH($K165,其他调用!$B$5:$B$404,0),MATCH(AW$5,其他调用!$H$4:$L$4,0))*120*0.85)</f>
        <v>48.237344010638395</v>
      </c>
      <c r="AX165" s="14">
        <f>IF(OR(AX$5="大R",AX$5="超R"),MAX(INDEX(其他调用!$H$5:$L$404,MATCH($K165,其他调用!$B$5:$B$404,0),MATCH(AX$5,其他调用!$H$4:$L$4,0))*120*0.85,2),INDEX(其他调用!$H$5:$L$404,MATCH($K165,其他调用!$B$5:$B$404,0),MATCH(AX$5,其他调用!$H$4:$L$4,0))*120*0.85)</f>
        <v>3.9376284143615998</v>
      </c>
      <c r="AY165" s="14">
        <f>IF(OR(AY$5="大R",AY$5="超R"),MAX(INDEX(其他调用!$H$5:$L$404,MATCH($K165,其他调用!$B$5:$B$404,0),MATCH(AY$5,其他调用!$H$4:$L$4,0))*120*0.85,2),INDEX(其他调用!$H$5:$L$404,MATCH($K165,其他调用!$B$5:$B$404,0),MATCH(AY$5,其他调用!$H$4:$L$4,0))*120*0.85)</f>
        <v>2</v>
      </c>
      <c r="AZ165" s="14">
        <f>IF(OR(AZ$5="大R",AZ$5="超R"),MAX(INDEX(其他调用!$H$5:$L$404,MATCH($K165,其他调用!$B$5:$B$404,0),MATCH(AZ$5,其他调用!$H$4:$L$4,0))*120*0.85,2),INDEX(其他调用!$H$5:$L$404,MATCH($K165,其他调用!$B$5:$B$404,0),MATCH(AZ$5,其他调用!$H$4:$L$4,0))*120*0.85)</f>
        <v>2</v>
      </c>
      <c r="BA165" s="14">
        <f>INDEX(其他调用!$H$5:$L$404,MATCH($K165,其他调用!$B$5:$B$404,0),MATCH(BA$5,其他调用!$H$4:$L$4,0))*INDEX(其他调用!$M$5:$M$404,MATCH($K165,其他调用!$B$5:$B$404,0))*0.6</f>
        <v>28.777530149999997</v>
      </c>
      <c r="BB165" s="14">
        <f>INDEX(其他调用!$H$5:$L$404,MATCH($K165,其他调用!$B$5:$B$404,0),MATCH(BB$5,其他调用!$H$4:$L$4,0))*INDEX(其他调用!$M$5:$M$404,MATCH($K165,其他调用!$B$5:$B$404,0))*0.6</f>
        <v>28.374908241551999</v>
      </c>
      <c r="BC165" s="14">
        <f>INDEX(其他调用!$H$5:$L$404,MATCH($K165,其他调用!$B$5:$B$404,0),MATCH(BC$5,其他调用!$H$4:$L$4,0))*INDEX(其他调用!$M$5:$M$404,MATCH($K165,其他调用!$B$5:$B$404,0))*0.6</f>
        <v>2.3162520084480001</v>
      </c>
      <c r="BD165" s="14">
        <f>INDEX(其他调用!$H$5:$L$404,MATCH($K165,其他调用!$B$5:$B$404,0),MATCH(BD$5,其他调用!$H$4:$L$4,0))*INDEX(其他调用!$M$5:$M$404,MATCH($K165,其他调用!$B$5:$B$404,0))*0.6</f>
        <v>0.4120776000000001</v>
      </c>
      <c r="BE165" s="14">
        <f>INDEX(其他调用!$H$5:$L$404,MATCH($K165,其他调用!$B$5:$B$404,0),MATCH(BE$5,其他调用!$H$4:$L$4,0))*INDEX(其他调用!$M$5:$M$404,MATCH($K165,其他调用!$B$5:$B$404,0))*0.6</f>
        <v>0.11923199999999998</v>
      </c>
      <c r="BF165" s="14">
        <f>IF(OR(BF$5="大R",BF$5="超R"),0,INDEX(其他调用!$H$5:$L$404,MATCH($K165,其他调用!$B$5:$B$404,0),MATCH(BF$5,其他调用!$H$4:$L$4,0))*50*0.4)</f>
        <v>9.5925100500000013</v>
      </c>
      <c r="BG165" s="14">
        <f>IF(OR(BG$5="大R",BG$5="超R"),0,INDEX(其他调用!$H$5:$L$404,MATCH($K165,其他调用!$B$5:$B$404,0),MATCH(BG$5,其他调用!$H$4:$L$4,0))*50*0.4)</f>
        <v>9.4583027471839998</v>
      </c>
      <c r="BH165" s="14">
        <f>IF(OR(BH$5="大R",BH$5="超R"),0,INDEX(其他调用!$H$5:$L$404,MATCH($K165,其他调用!$B$5:$B$404,0),MATCH(BH$5,其他调用!$H$4:$L$4,0))*50*0.4)</f>
        <v>0.77208400281600009</v>
      </c>
      <c r="BI165" s="14">
        <f>IF(OR(BI$5="大R",BI$5="超R"),0,INDEX(其他调用!$H$5:$L$404,MATCH($K165,其他调用!$B$5:$B$404,0),MATCH(BI$5,其他调用!$H$4:$L$4,0))*50*0.4)</f>
        <v>0</v>
      </c>
      <c r="BJ165" s="14">
        <f>IF(OR(BJ$5="大R",BJ$5="超R"),0,INDEX(其他调用!$H$5:$L$404,MATCH($K165,其他调用!$B$5:$B$404,0),MATCH(BJ$5,其他调用!$H$4:$L$4,0))*50*0.4)</f>
        <v>0</v>
      </c>
      <c r="BL165" s="14">
        <f t="shared" si="313"/>
        <v>160</v>
      </c>
      <c r="BM165" s="14">
        <f t="shared" si="220"/>
        <v>96</v>
      </c>
      <c r="BN165" s="14">
        <f>('疲劳值&amp;地图信息'!$S$10*'疲劳值&amp;地图信息'!$R$10+'疲劳值&amp;地图信息'!$S$11*'疲劳值&amp;地图信息'!$R$11+'疲劳值&amp;地图信息'!$S$12*'疲劳值&amp;地图信息'!$R$12+(BM165-'疲劳值&amp;地图信息'!$S$12-'疲劳值&amp;地图信息'!$S$11-'疲劳值&amp;地图信息'!$S$10)*'疲劳值&amp;地图信息'!$R$13)/BM165</f>
        <v>51.371477246638619</v>
      </c>
      <c r="BO165" s="14">
        <f>INDEX(其他调用!$M$5:$M$404,MATCH(BL165,其他调用!$B$5:$B$404,0))*0.6</f>
        <v>60</v>
      </c>
      <c r="BP165" s="14">
        <f>IF(BO165&gt;SUM('疲劳值&amp;地图信息'!$S$10:$S$12),('疲劳值&amp;地图信息'!$S$10*'疲劳值&amp;地图信息'!$R$10+'疲劳值&amp;地图信息'!$S$11*'疲劳值&amp;地图信息'!$R$11+'疲劳值&amp;地图信息'!$S$12*'疲劳值&amp;地图信息'!$R$12+(BO165-'疲劳值&amp;地图信息'!$S$12-'疲劳值&amp;地图信息'!$S$11-'疲劳值&amp;地图信息'!$S$10)*'疲劳值&amp;地图信息'!$R$13)/BO165,('疲劳值&amp;地图信息'!$S$10*'疲劳值&amp;地图信息'!$R$10+'疲劳值&amp;地图信息'!$S$11*'疲劳值&amp;地图信息'!$R$11+'疲劳值&amp;地图信息'!$S$12*'疲劳值&amp;地图信息'!$R$12+(BO165-'疲劳值&amp;地图信息'!$S$12-'疲劳值&amp;地图信息'!$S$11-'疲劳值&amp;地图信息'!$S$10)*'疲劳值&amp;地图信息'!$R$13)/BO165)</f>
        <v>44.158136341605953</v>
      </c>
      <c r="BQ165" s="14">
        <f t="shared" si="314"/>
        <v>20</v>
      </c>
      <c r="BR165" s="14">
        <f>('疲劳值&amp;地图信息'!$S$10*'疲劳值&amp;地图信息'!$R$10+($BQ165-'疲劳值&amp;地图信息'!$S$10)*'疲劳值&amp;地图信息'!$R$11)/$BQ165</f>
        <v>32.067203015074995</v>
      </c>
      <c r="CF165" s="14">
        <v>160</v>
      </c>
      <c r="CG165" s="51">
        <f t="shared" si="221"/>
        <v>12039</v>
      </c>
      <c r="CH165" s="51">
        <f t="shared" si="222"/>
        <v>964</v>
      </c>
      <c r="CI165" s="51">
        <f>INT(SUMPRODUCT($N165:$R165,$BA165:$BE165)/SUM($BA165:$BE165)/10000*$BX$7*$BZ$34/'疲劳值&amp;地图信息'!$R$10*$BY$53)</f>
        <v>3119</v>
      </c>
      <c r="CJ165" s="50">
        <f t="shared" si="223"/>
        <v>0.74674358020096765</v>
      </c>
      <c r="CK165" s="50">
        <f t="shared" si="224"/>
        <v>5.9794070214613575E-2</v>
      </c>
      <c r="CL165" s="50">
        <f t="shared" si="225"/>
        <v>0.1934623495844188</v>
      </c>
      <c r="CM165" s="14">
        <f t="shared" si="226"/>
        <v>12905</v>
      </c>
      <c r="CN165" s="14">
        <f t="shared" si="227"/>
        <v>1583</v>
      </c>
      <c r="CO165" s="14">
        <f>INT(SUMPRODUCT($U165:$Y165,$BA165:$BE165)/SUM($BA165:$BE165)/10000*$BX$7*$BZ$34/'疲劳值&amp;地图信息'!$R$10*$BY$54)</f>
        <v>5864</v>
      </c>
      <c r="CP165" s="50">
        <f t="shared" si="228"/>
        <v>0.63409001572327039</v>
      </c>
      <c r="CQ165" s="50">
        <f t="shared" si="229"/>
        <v>7.7781053459119495E-2</v>
      </c>
      <c r="CR165" s="50">
        <f t="shared" si="230"/>
        <v>0.28812893081761004</v>
      </c>
      <c r="CS165" s="14">
        <f t="shared" si="231"/>
        <v>13731</v>
      </c>
      <c r="CT165" s="14">
        <f t="shared" si="232"/>
        <v>2771</v>
      </c>
      <c r="CU165" s="14">
        <f>INT(SUMPRODUCT($AB165:$AF165,$BA165:$BE165)/SUM($BA165:$BE165)/10000*$BX$7*$BZ$34/'疲劳值&amp;地图信息'!$R$10*$BY$55)</f>
        <v>7968</v>
      </c>
      <c r="CV165" s="50">
        <f t="shared" si="233"/>
        <v>0.56113608500204337</v>
      </c>
      <c r="CW165" s="50">
        <f t="shared" si="234"/>
        <v>0.11324070290151206</v>
      </c>
      <c r="CX165" s="50">
        <f t="shared" si="235"/>
        <v>0.32562321209644463</v>
      </c>
      <c r="CY165" s="14">
        <f t="shared" si="236"/>
        <v>16047</v>
      </c>
      <c r="CZ165" s="14">
        <f t="shared" si="237"/>
        <v>7843</v>
      </c>
      <c r="DA165" s="14">
        <f>INT(SUMPRODUCT($AI165:$AM165,$BA165:$BE165)/SUM($BA165:$BE165)/10000*$BX$7*$BZ$34/'疲劳值&amp;地图信息'!$R$10*$BY$56)</f>
        <v>12018</v>
      </c>
      <c r="DB165" s="50">
        <f t="shared" si="238"/>
        <v>0.44689205748022726</v>
      </c>
      <c r="DC165" s="50">
        <f t="shared" si="239"/>
        <v>0.21841929375069621</v>
      </c>
      <c r="DD165" s="50">
        <f t="shared" si="240"/>
        <v>0.3346886487690765</v>
      </c>
      <c r="DE165" s="14">
        <f t="shared" si="241"/>
        <v>16343</v>
      </c>
      <c r="DF165" s="14">
        <f t="shared" si="242"/>
        <v>13859</v>
      </c>
      <c r="DG165" s="14">
        <f>INT(SUMPRODUCT($AP165:$AT165,$BA165:$BE165)/SUM($BA165:$BE165)/10000*$BX$7*$BZ$34/'疲劳值&amp;地图信息'!$R$10*$BY$57)</f>
        <v>16050</v>
      </c>
      <c r="DH165" s="50">
        <f t="shared" si="243"/>
        <v>0.35334688229698175</v>
      </c>
      <c r="DI165" s="50">
        <f t="shared" si="244"/>
        <v>0.29964109660122806</v>
      </c>
      <c r="DJ165" s="50">
        <f t="shared" si="245"/>
        <v>0.34701202110179019</v>
      </c>
      <c r="DL165" s="14">
        <f t="shared" si="316"/>
        <v>16122</v>
      </c>
      <c r="DM165" s="14">
        <f t="shared" si="317"/>
        <v>20352</v>
      </c>
      <c r="DN165" s="14">
        <f t="shared" si="318"/>
        <v>24470</v>
      </c>
      <c r="DO165" s="14">
        <f t="shared" si="319"/>
        <v>35908</v>
      </c>
      <c r="DP165" s="14">
        <f t="shared" si="320"/>
        <v>46252</v>
      </c>
      <c r="DQ165" s="14">
        <f t="shared" si="321"/>
        <v>1118427</v>
      </c>
      <c r="DT165" s="14">
        <f t="shared" si="315"/>
        <v>235575</v>
      </c>
      <c r="DU165" s="50">
        <f t="shared" si="217"/>
        <v>0.17398423340585908</v>
      </c>
      <c r="DW165" s="14">
        <f t="shared" si="246"/>
        <v>1354002</v>
      </c>
      <c r="EB165" s="14">
        <v>160</v>
      </c>
      <c r="EC165" s="51">
        <f t="shared" si="247"/>
        <v>20065</v>
      </c>
      <c r="ED165" s="51">
        <f t="shared" si="248"/>
        <v>1606</v>
      </c>
      <c r="EE165" s="51">
        <f>INT(SUMPRODUCT($N165:$R165,$BF165:$BJ165)/SUM($BF165:$BJ165)/10000*$BX$7*$BZ$46/'疲劳值&amp;地图信息'!$R$10*$BY$53)</f>
        <v>419</v>
      </c>
      <c r="EF165" s="50">
        <f t="shared" si="249"/>
        <v>0.90832956088727934</v>
      </c>
      <c r="EG165" s="50">
        <f t="shared" si="250"/>
        <v>7.2702580353100954E-2</v>
      </c>
      <c r="EH165" s="50">
        <f t="shared" si="251"/>
        <v>1.8967858759619736E-2</v>
      </c>
      <c r="EI165" s="51">
        <f t="shared" si="252"/>
        <v>21509</v>
      </c>
      <c r="EJ165" s="51">
        <f t="shared" si="253"/>
        <v>2639</v>
      </c>
      <c r="EK165" s="14">
        <f>INT(SUMPRODUCT($U165:$Y165,$BF165:$BJ165)/SUM($BF165:$BJ165)/10000*$BX$7*$BZ$46/'疲劳值&amp;地图信息'!$R$10*$BY$54)</f>
        <v>787</v>
      </c>
      <c r="EL165" s="50">
        <f t="shared" si="254"/>
        <v>0.86260276719470619</v>
      </c>
      <c r="EM165" s="50">
        <f t="shared" si="255"/>
        <v>0.10583517144575898</v>
      </c>
      <c r="EN165" s="50">
        <f t="shared" si="256"/>
        <v>3.1562061359534793E-2</v>
      </c>
      <c r="EO165" s="51">
        <f t="shared" si="257"/>
        <v>22886</v>
      </c>
      <c r="EP165" s="51">
        <f t="shared" si="258"/>
        <v>4619</v>
      </c>
      <c r="EQ165" s="14">
        <f>INT(SUMPRODUCT($AB165:$AF165,$BF165:$BJ165)/SUM($BF165:$BJ165)/10000*$BX$7*$BZ$46/'疲劳值&amp;地图信息'!$R$10*$BY$55)</f>
        <v>1068</v>
      </c>
      <c r="ER165" s="50">
        <f t="shared" si="259"/>
        <v>0.800965946872922</v>
      </c>
      <c r="ES165" s="50">
        <f t="shared" si="260"/>
        <v>0.16165610891400972</v>
      </c>
      <c r="ET165" s="50">
        <f t="shared" si="261"/>
        <v>3.7377944213068282E-2</v>
      </c>
      <c r="EU165" s="51">
        <f t="shared" si="262"/>
        <v>26746</v>
      </c>
      <c r="EV165" s="51">
        <f t="shared" si="263"/>
        <v>13072</v>
      </c>
      <c r="EW165" s="14">
        <f>INT(SUMPRODUCT($AI165:$AM165,$BF165:$BJ165)/SUM($BF165:$BJ165)/10000*$BX$7*$BZ$46/'疲劳值&amp;地图信息'!$R$10*$BY$56)</f>
        <v>1603</v>
      </c>
      <c r="EX165" s="50">
        <f t="shared" si="264"/>
        <v>0.64571111272060067</v>
      </c>
      <c r="EY165" s="50">
        <f t="shared" si="265"/>
        <v>0.31558871104029357</v>
      </c>
      <c r="EZ165" s="50">
        <f t="shared" si="266"/>
        <v>3.8700176239105766E-2</v>
      </c>
      <c r="FA165" s="51">
        <f t="shared" si="267"/>
        <v>27239</v>
      </c>
      <c r="FB165" s="51">
        <f t="shared" si="268"/>
        <v>23099</v>
      </c>
      <c r="FC165" s="14">
        <f>INT(SUMPRODUCT($AP165:$AT165,$BF165:$BJ165)/SUM($BF165:$BJ165)/10000*$BX$7*$BZ$46/'疲劳值&amp;地图信息'!$R$10*$BY$57)</f>
        <v>2137</v>
      </c>
      <c r="FD165" s="50">
        <f t="shared" si="269"/>
        <v>0.51908527870414478</v>
      </c>
      <c r="FE165" s="50">
        <f t="shared" si="270"/>
        <v>0.4401905669366365</v>
      </c>
      <c r="FF165" s="50">
        <f t="shared" si="271"/>
        <v>4.0724154359218674E-2</v>
      </c>
      <c r="FH165" s="14">
        <f t="shared" si="272"/>
        <v>22090</v>
      </c>
      <c r="FI165" s="14">
        <f t="shared" si="273"/>
        <v>24935</v>
      </c>
      <c r="FJ165" s="14">
        <f t="shared" si="274"/>
        <v>28573</v>
      </c>
      <c r="FK165" s="14">
        <f t="shared" si="275"/>
        <v>41421</v>
      </c>
      <c r="FL165" s="14">
        <f t="shared" si="276"/>
        <v>52475</v>
      </c>
      <c r="FM165" s="14">
        <f t="shared" si="277"/>
        <v>2583782</v>
      </c>
      <c r="FP165" s="14">
        <f t="shared" si="278"/>
        <v>334150</v>
      </c>
      <c r="FQ165" s="50">
        <f t="shared" si="218"/>
        <v>0.11451603395829649</v>
      </c>
      <c r="FS165" s="14">
        <f t="shared" si="279"/>
        <v>2917932</v>
      </c>
      <c r="FX165" s="14">
        <v>160</v>
      </c>
      <c r="FY165" s="51">
        <f t="shared" si="280"/>
        <v>28091</v>
      </c>
      <c r="FZ165" s="51">
        <f t="shared" si="281"/>
        <v>1606</v>
      </c>
      <c r="GA165" s="51">
        <f>INT(SUMPRODUCT($N165:$R165,$BF165:$BJ165)/SUM($BF165:$BJ165)/10000*$BX$7*$BZ$46/'疲劳值&amp;地图信息'!$R$10*$BY$53)</f>
        <v>419</v>
      </c>
      <c r="GB165" s="50">
        <f t="shared" si="282"/>
        <v>0.93275999468720949</v>
      </c>
      <c r="GC165" s="50">
        <f t="shared" si="283"/>
        <v>5.332713507769956E-2</v>
      </c>
      <c r="GD165" s="50">
        <f t="shared" si="284"/>
        <v>1.3912870235090982E-2</v>
      </c>
      <c r="GE165" s="51">
        <f t="shared" si="285"/>
        <v>30112</v>
      </c>
      <c r="GF165" s="51">
        <f t="shared" si="286"/>
        <v>2639</v>
      </c>
      <c r="GG165" s="14">
        <f>INT(SUMPRODUCT($U165:$Y165,$BF165:$BJ165)/SUM($BF165:$BJ165)/10000*$BX$7*$BZ$46/'疲劳值&amp;地图信息'!$R$10*$BY$54)</f>
        <v>787</v>
      </c>
      <c r="GH165" s="50">
        <f t="shared" si="287"/>
        <v>0.89784721808098278</v>
      </c>
      <c r="GI165" s="50">
        <f t="shared" si="288"/>
        <v>7.8686862663247661E-2</v>
      </c>
      <c r="GJ165" s="50">
        <f t="shared" si="289"/>
        <v>2.3465919255769574E-2</v>
      </c>
      <c r="GK165" s="51">
        <f t="shared" si="290"/>
        <v>32040</v>
      </c>
      <c r="GL165" s="51">
        <f t="shared" si="291"/>
        <v>4619</v>
      </c>
      <c r="GM165" s="14">
        <f>INT(SUMPRODUCT($AB165:$AF165,$BF165:$BJ165)/SUM($BF165:$BJ165)/10000*$BX$7*$BZ$46/'疲劳值&amp;地图信息'!$R$10*$BY$55)</f>
        <v>1068</v>
      </c>
      <c r="GN165" s="50">
        <f t="shared" si="292"/>
        <v>0.84925915127097307</v>
      </c>
      <c r="GO165" s="50">
        <f t="shared" si="293"/>
        <v>0.12243221035332785</v>
      </c>
      <c r="GP165" s="50">
        <f t="shared" si="294"/>
        <v>2.8308638375699101E-2</v>
      </c>
      <c r="GQ165" s="51">
        <f t="shared" si="295"/>
        <v>37444</v>
      </c>
      <c r="GR165" s="51">
        <f t="shared" si="296"/>
        <v>13072</v>
      </c>
      <c r="GS165" s="14">
        <f>INT(SUMPRODUCT($AI165:$AM165,$BF165:$BJ165)/SUM($BF165:$BJ165)/10000*$BX$7*$BZ$46/'疲劳值&amp;地图信息'!$R$10*$BY$56)</f>
        <v>1603</v>
      </c>
      <c r="GT165" s="50">
        <f t="shared" si="297"/>
        <v>0.71843281720677676</v>
      </c>
      <c r="GU165" s="50">
        <f t="shared" si="298"/>
        <v>0.25081064487039273</v>
      </c>
      <c r="GV165" s="50">
        <f t="shared" si="299"/>
        <v>3.0756537922830444E-2</v>
      </c>
      <c r="GW165" s="51">
        <f t="shared" si="300"/>
        <v>38135</v>
      </c>
      <c r="GX165" s="51">
        <f t="shared" si="301"/>
        <v>23099</v>
      </c>
      <c r="GY165" s="14">
        <f>INT(SUMPRODUCT($AP165:$AT165,$BF165:$BJ165)/SUM($BF165:$BJ165)/10000*$BX$7*$BZ$46/'疲劳值&amp;地图信息'!$R$10*$BY$57)</f>
        <v>2137</v>
      </c>
      <c r="GZ165" s="50">
        <f t="shared" si="302"/>
        <v>0.60177368196809267</v>
      </c>
      <c r="HA165" s="50">
        <f t="shared" si="303"/>
        <v>0.36450426851398904</v>
      </c>
      <c r="HB165" s="50">
        <f t="shared" si="304"/>
        <v>3.3722049517918289E-2</v>
      </c>
      <c r="HD165" s="14">
        <f t="shared" si="305"/>
        <v>30116</v>
      </c>
      <c r="HE165" s="14">
        <f t="shared" si="306"/>
        <v>33538</v>
      </c>
      <c r="HF165" s="14">
        <f t="shared" si="307"/>
        <v>37727</v>
      </c>
      <c r="HG165" s="14">
        <f t="shared" si="308"/>
        <v>52119</v>
      </c>
      <c r="HH165" s="14">
        <f t="shared" si="309"/>
        <v>63371</v>
      </c>
      <c r="HI165" s="14">
        <f t="shared" si="310"/>
        <v>3470647</v>
      </c>
      <c r="HL165" s="14">
        <f t="shared" si="311"/>
        <v>430050</v>
      </c>
      <c r="HM165" s="50">
        <f t="shared" si="219"/>
        <v>0.11024952719988249</v>
      </c>
      <c r="HO165" s="14">
        <f t="shared" si="312"/>
        <v>3900697</v>
      </c>
    </row>
    <row r="166" spans="11:223" x14ac:dyDescent="0.2">
      <c r="K166" s="14">
        <v>161</v>
      </c>
      <c r="L166" s="12">
        <f>求节点(节奏总纲!D$4:D$163,标准城池设计!AB$4:AB$163,$K166)*求节点(节奏总纲!D$4:D$163,攻城基础信息!$AC$5:$AC$164,$K166)</f>
        <v>592568.15467436856</v>
      </c>
      <c r="M166" s="12">
        <f>INDEX(其他调用!$AA$5:$AA$404,MATCH(K166,其他调用!$X$5:$X$404,0))*MIN(INDEX(其他调用!$AH$5:$AH$364,MATCH('征服点（新）'!K166,其他调用!$AG$5:$AG$364,0),1)/INDEX(其他调用!$AJ$5:$AJ$364,MATCH(K166,其他调用!$AG$5:$AG$364,0),0),5)*求节点(节奏总纲!D$4:D$163,攻城基础信息!$AC$5:$AC$164,$K166)</f>
        <v>47419.57961576966</v>
      </c>
      <c r="N166" s="12">
        <f>MIN(INDEX(其他调用!$AH$5:$AH$364,MATCH($K166,其他调用!$AG$5:$AG$364,0),1)/INDEX(其他调用!AH$5:AH$364,MATCH($K166,其他调用!$AG$5:$AG$364,0),0),1)*INDEX(其他调用!Y$5:Y$404,MATCH($K166,其他调用!$X$5:$X$404,0),0)</f>
        <v>38883.786343403015</v>
      </c>
      <c r="O166" s="12">
        <f>MIN(INDEX(其他调用!$AH$5:$AH$364,MATCH($K166,其他调用!$AG$5:$AG$364,0),1)/INDEX(其他调用!AI$5:AI$364,MATCH($K166,其他调用!$AG$5:$AG$364,0),0),1)*INDEX(其他调用!Z$5:Z$404,MATCH($K166,其他调用!$X$5:$X$404,0),0)</f>
        <v>24368.596675834808</v>
      </c>
      <c r="P166" s="12">
        <f>MIN(INDEX(其他调用!$AH$5:$AH$364,MATCH($K166,其他调用!$AG$5:$AG$364,0),1)/INDEX(其他调用!AJ$5:AJ$364,MATCH($K166,其他调用!$AG$5:$AG$364,0),0),1)*INDEX(其他调用!AA$5:AA$404,MATCH($K166,其他调用!$X$5:$X$404,0),0)</f>
        <v>14458.626980219085</v>
      </c>
      <c r="Q166" s="12">
        <f>MIN(INDEX(其他调用!$AH$5:$AH$364,MATCH($K166,其他调用!$AG$5:$AG$364,0),1)/INDEX(其他调用!AK$5:AK$364,MATCH($K166,其他调用!$AG$5:$AG$364,0),0),1)*INDEX(其他调用!AB$5:AB$404,MATCH($K166,其他调用!$X$5:$X$404,0),0)</f>
        <v>5371.3007946828575</v>
      </c>
      <c r="R166" s="12">
        <f>MIN(INDEX(其他调用!$AH$5:$AH$364,MATCH($K166,其他调用!$AG$5:$AG$364,0),1)/INDEX(其他调用!AL$5:AL$364,MATCH($K166,其他调用!$AG$5:$AG$364,0),0),1)*INDEX(其他调用!AC$5:AC$404,MATCH($K166,其他调用!$X$5:$X$404,0),0)</f>
        <v>2037.6893036346185</v>
      </c>
      <c r="S166" s="12">
        <f>求节点(节奏总纲!D$4:D$163,标准城池设计!AC$4:AC$163,$K166)*求节点(节奏总纲!D$4:D$163,攻城基础信息!$AD$5:$AD$164,$K166)</f>
        <v>634959.04045231082</v>
      </c>
      <c r="T166" s="12">
        <f>INDEX(其他调用!$AA$5:$AA$404,MATCH($K166,其他调用!$X$5:$X$404,0))*MIN(INDEX(其他调用!AI$5:AI$364,MATCH($K166,其他调用!$AG$5:$AG$364,0),1)/INDEX(其他调用!$AJ$5:$AJ$364,MATCH($K166,其他调用!$AG$5:$AG$364,0),0),5)*求节点(节奏总纲!D$4:D$163,攻城基础信息!$AD$5:$AD$164,$K166)</f>
        <v>77905.010710897579</v>
      </c>
      <c r="U166" s="12">
        <f>MIN(INDEX(其他调用!$AI$5:$AI$364,MATCH($K166,其他调用!$AG$5:$AG$364,0),1)/INDEX(其他调用!AH$5:AH$364,MATCH($K166,其他调用!$AG$5:$AG$364,0),0),1)*INDEX(其他调用!Y$5:Y$404,MATCH($K166,其他调用!$X$5:$X$404,0),0)</f>
        <v>38883.786343403015</v>
      </c>
      <c r="V166" s="12">
        <f>MIN(INDEX(其他调用!$AI$5:$AI$364,MATCH($K166,其他调用!$AG$5:$AG$364,0),1)/INDEX(其他调用!AI$5:AI$364,MATCH($K166,其他调用!$AG$5:$AG$364,0),0),1)*INDEX(其他调用!Z$5:Z$404,MATCH($K166,其他调用!$X$5:$X$404,0),0)</f>
        <v>40034.850591739916</v>
      </c>
      <c r="W166" s="12">
        <f>MIN(INDEX(其他调用!$AI$5:$AI$364,MATCH($K166,其他调用!$AG$5:$AG$364,0),1)/INDEX(其他调用!AJ$5:AJ$364,MATCH($K166,其他调用!$AG$5:$AG$364,0),0),1)*INDEX(其他调用!AA$5:AA$404,MATCH($K166,其他调用!$X$5:$X$404,0),0)</f>
        <v>23753.890247146981</v>
      </c>
      <c r="X166" s="12">
        <f>MIN(INDEX(其他调用!$AI$5:$AI$364,MATCH($K166,其他调用!$AG$5:$AG$364,0),1)/INDEX(其他调用!AK$5:AK$364,MATCH($K166,其他调用!$AG$5:$AG$364,0),0),1)*INDEX(其他调用!AB$5:AB$404,MATCH($K166,其他调用!$X$5:$X$404,0),0)</f>
        <v>8824.4402276831315</v>
      </c>
      <c r="Y166" s="12">
        <f>MIN(INDEX(其他调用!$AI$5:$AI$364,MATCH($K166,其他调用!$AG$5:$AG$364,0),1)/INDEX(其他调用!AL$5:AL$364,MATCH($K166,其他调用!$AG$5:$AG$364,0),0),1)*INDEX(其他调用!AC$5:AC$404,MATCH($K166,其他调用!$X$5:$X$404,0),0)</f>
        <v>3347.6932590170923</v>
      </c>
      <c r="Z166" s="12">
        <f>求节点(节奏总纲!D$4:D$163,标准城池设计!AD$4:AD$163,$K166)*求节点(节奏总纲!D$4:D$163,攻城基础信息!$AE$5:$AE$164,$K166)</f>
        <v>675460.00880629278</v>
      </c>
      <c r="AA166" s="12">
        <f>INDEX(其他调用!$AA$5:$AA$404,MATCH($K166,其他调用!$X$5:$X$404,0))*MIN(INDEX(其他调用!AJ$5:AJ$364,MATCH($K166,其他调用!$AG$5:$AG$364,0),1)/INDEX(其他调用!$AJ$5:$AJ$364,MATCH($K166,其他调用!$AG$5:$AG$364,0),0),5)*求节点(节奏总纲!D$4:D$163,攻城基础信息!$AE$5:$AE$164,$K166)</f>
        <v>136243.88503174638</v>
      </c>
      <c r="AB166" s="12">
        <f>MIN(INDEX(其他调用!$AJ$5:$AJ$364,MATCH($K166,其他调用!$AG$5:$AG$364,0),1)/INDEX(其他调用!AH$5:AH$364,MATCH($K166,其他调用!$AG$5:$AG$364,0),0),1)*INDEX(其他调用!Y$5:Y$404,MATCH($K166,其他调用!$X$5:$X$404,0),0)</f>
        <v>38883.786343403015</v>
      </c>
      <c r="AC166" s="12">
        <f>MIN(INDEX(其他调用!$AJ$5:$AJ$364,MATCH($K166,其他调用!$AG$5:$AG$364,0),1)/INDEX(其他调用!AI$5:AI$364,MATCH($K166,其他调用!$AG$5:$AG$364,0),0),1)*INDEX(其他调用!Z$5:Z$404,MATCH($K166,其他调用!$X$5:$X$404,0),0)</f>
        <v>40034.850591739916</v>
      </c>
      <c r="AD166" s="12">
        <f>MIN(INDEX(其他调用!$AJ$5:$AJ$364,MATCH($K166,其他调用!$AG$5:$AG$364,0),1)/INDEX(其他调用!AJ$5:AJ$364,MATCH($K166,其他调用!$AG$5:$AG$364,0),0),1)*INDEX(其他调用!AA$5:AA$404,MATCH($K166,其他调用!$X$5:$X$404,0),0)</f>
        <v>41541.901635812348</v>
      </c>
      <c r="AE166" s="12">
        <f>MIN(INDEX(其他调用!$AJ$5:$AJ$364,MATCH($K166,其他调用!$AG$5:$AG$364,0),1)/INDEX(其他调用!AK$5:AK$364,MATCH($K166,其他调用!$AG$5:$AG$364,0),0),1)*INDEX(其他调用!AB$5:AB$404,MATCH($K166,其他调用!$X$5:$X$404,0),0)</f>
        <v>15432.589109211178</v>
      </c>
      <c r="AF166" s="12">
        <f>MIN(INDEX(其他调用!$AJ$5:$AJ$364,MATCH($K166,其他调用!$AG$5:$AG$364,0),1)/INDEX(其他调用!AL$5:AL$364,MATCH($K166,其他调用!$AG$5:$AG$364,0),0),1)*INDEX(其他调用!AC$5:AC$404,MATCH($K166,其他调用!$X$5:$X$404,0),0)</f>
        <v>5854.6007675379988</v>
      </c>
      <c r="AG166" s="12">
        <f>求节点(节奏总纲!D$4:D$163,标准城池设计!AE$4:AE$163,$K166)*求节点(节奏总纲!D$4:D$163,攻城基础信息!$AF$5:$AF$164,$K166)</f>
        <v>790429.34784139122</v>
      </c>
      <c r="AH166" s="12">
        <f>INDEX(其他调用!$AA$5:$AA$404,MATCH($K166,其他调用!$X$5:$X$404,0))*MIN(INDEX(其他调用!AK$5:AK$364,MATCH($K166,其他调用!$AG$5:$AG$364,0),1)/INDEX(其他调用!$AJ$5:$AJ$364,MATCH($K166,其他调用!$AG$5:$AG$364,0),0),5)*求节点(节奏总纲!D$4:D$163,攻城基础信息!$AF$5:$AF$164,$K166)</f>
        <v>386153.02716682845</v>
      </c>
      <c r="AI166" s="12">
        <f>MIN(INDEX(其他调用!$AK$5:$AK$364,MATCH($K166,其他调用!$AG$5:$AG$364,0),1)/INDEX(其他调用!AH$5:AH$364,MATCH($K166,其他调用!$AG$5:$AG$364,0),0),1)*INDEX(其他调用!Y$5:Y$404,MATCH($K166,其他调用!$X$5:$X$404,0),0)</f>
        <v>38883.786343403015</v>
      </c>
      <c r="AJ166" s="12">
        <f>MIN(INDEX(其他调用!$AK$5:$AK$364,MATCH($K166,其他调用!$AG$5:$AG$364,0),1)/INDEX(其他调用!AI$5:AI$364,MATCH($K166,其他调用!$AG$5:$AG$364,0),0),1)*INDEX(其他调用!Z$5:Z$404,MATCH($K166,其他调用!$X$5:$X$404,0),0)</f>
        <v>40034.850591739916</v>
      </c>
      <c r="AK166" s="12">
        <f>MIN(INDEX(其他调用!$AK$5:$AK$364,MATCH($K166,其他调用!$AG$5:$AG$364,0),1)/INDEX(其他调用!AJ$5:AJ$364,MATCH($K166,其他调用!$AG$5:$AG$364,0),0),1)*INDEX(其他调用!AA$5:AA$404,MATCH($K166,其他调用!$X$5:$X$404,0),0)</f>
        <v>41541.901635812348</v>
      </c>
      <c r="AL166" s="12">
        <f>MIN(INDEX(其他调用!$AK$5:$AK$364,MATCH($K166,其他调用!$AG$5:$AG$364,0),1)/INDEX(其他调用!AK$5:AK$364,MATCH($K166,其他调用!$AG$5:$AG$364,0),0),1)*INDEX(其他调用!AB$5:AB$404,MATCH($K166,其他调用!$X$5:$X$404,0),0)</f>
        <v>43740.245664274255</v>
      </c>
      <c r="AM166" s="12">
        <f>MIN(INDEX(其他调用!$AK$5:$AK$364,MATCH($K166,其他调用!$AG$5:$AG$364,0),1)/INDEX(其他调用!AL$5:AL$364,MATCH($K166,其他调用!$AG$5:$AG$364,0),0),1)*INDEX(其他调用!AC$5:AC$404,MATCH($K166,其他调用!$X$5:$X$404,0),0)</f>
        <v>16593.565345785977</v>
      </c>
      <c r="AN166" s="12">
        <f>求节点(节奏总纲!D$4:D$163,标准城池设计!AF$4:AF$163,$K166)*求节点(节奏总纲!D$4:D$163,攻城基础信息!$AG$5:$AG$164,$K166)</f>
        <v>805299.25179375487</v>
      </c>
      <c r="AO166" s="12">
        <f>INDEX(其他调用!$AA$5:$AA$404,MATCH($K166,其他调用!$X$5:$X$404,0))*MIN(INDEX(其他调用!AL$5:AL$364,MATCH($K166,其他调用!$AG$5:$AG$364,0),1)/INDEX(其他调用!$AJ$5:$AJ$364,MATCH($K166,其他调用!$AG$5:$AG$364,0),0),5)*求节点(节奏总纲!D$4:D$163,攻城基础信息!$AG$5:$AG$164,$K166)</f>
        <v>681219.42515873199</v>
      </c>
      <c r="AP166" s="12">
        <f>MIN(INDEX(其他调用!$AL$5:$AL$364,MATCH($K166,其他调用!$AG$5:$AG$364,0),1)/INDEX(其他调用!AH$5:AH$364,MATCH($K166,其他调用!$AG$5:$AG$364,0),0),1)*INDEX(其他调用!Y$5:Y$404,MATCH($K166,其他调用!$X$5:$X$404,0),0)</f>
        <v>38883.786343403015</v>
      </c>
      <c r="AQ166" s="12">
        <f>MIN(INDEX(其他调用!$AL$5:$AL$364,MATCH($K166,其他调用!$AG$5:$AG$364,0),1)/INDEX(其他调用!AI$5:AI$364,MATCH($K166,其他调用!$AG$5:$AG$364,0),0),1)*INDEX(其他调用!Z$5:Z$404,MATCH($K166,其他调用!$X$5:$X$404,0),0)</f>
        <v>40034.850591739916</v>
      </c>
      <c r="AR166" s="12">
        <f>MIN(INDEX(其他调用!$AL$5:$AL$364,MATCH($K166,其他调用!$AG$5:$AG$364,0),1)/INDEX(其他调用!AJ$5:AJ$364,MATCH($K166,其他调用!$AG$5:$AG$364,0),0),1)*INDEX(其他调用!AA$5:AA$404,MATCH($K166,其他调用!$X$5:$X$404,0),0)</f>
        <v>41541.901635812348</v>
      </c>
      <c r="AS166" s="12">
        <f>MIN(INDEX(其他调用!$AL$5:$AL$364,MATCH($K166,其他调用!$AG$5:$AG$364,0),1)/INDEX(其他调用!AK$5:AK$364,MATCH($K166,其他调用!$AG$5:$AG$364,0),0),1)*INDEX(其他调用!AB$5:AB$404,MATCH($K166,其他调用!$X$5:$X$404,0),0)</f>
        <v>43740.245664274255</v>
      </c>
      <c r="AT166" s="12">
        <f>MIN(INDEX(其他调用!$AL$5:$AL$364,MATCH($K166,其他调用!$AG$5:$AG$364,0),1)/INDEX(其他调用!AL$5:AL$364,MATCH($K166,其他调用!$AG$5:$AG$364,0),0),1)*INDEX(其他调用!AC$5:AC$404,MATCH($K166,其他调用!$X$5:$X$404,0),0)</f>
        <v>47689.296780908931</v>
      </c>
      <c r="AV166" s="14">
        <f>IF(OR(AV$5="大R",AV$5="超R"),MAX(INDEX(其他调用!$H$5:$L$404,MATCH($K166,其他调用!$B$5:$B$404,0),MATCH(AV$5,其他调用!$H$4:$L$4,0))*120*0.85,2),INDEX(其他调用!$H$5:$L$404,MATCH($K166,其他调用!$B$5:$B$404,0),MATCH(AV$5,其他调用!$H$4:$L$4,0))*120*0.85)</f>
        <v>48.921801254999991</v>
      </c>
      <c r="AW166" s="14">
        <f>IF(OR(AW$5="大R",AW$5="超R"),MAX(INDEX(其他调用!$H$5:$L$404,MATCH($K166,其他调用!$B$5:$B$404,0),MATCH(AW$5,其他调用!$H$4:$L$4,0))*120*0.85,2),INDEX(其他调用!$H$5:$L$404,MATCH($K166,其他调用!$B$5:$B$404,0),MATCH(AW$5,其他调用!$H$4:$L$4,0))*120*0.85)</f>
        <v>48.237344010638395</v>
      </c>
      <c r="AX166" s="14">
        <f>IF(OR(AX$5="大R",AX$5="超R"),MAX(INDEX(其他调用!$H$5:$L$404,MATCH($K166,其他调用!$B$5:$B$404,0),MATCH(AX$5,其他调用!$H$4:$L$4,0))*120*0.85,2),INDEX(其他调用!$H$5:$L$404,MATCH($K166,其他调用!$B$5:$B$404,0),MATCH(AX$5,其他调用!$H$4:$L$4,0))*120*0.85)</f>
        <v>3.9376284143615998</v>
      </c>
      <c r="AY166" s="14">
        <f>IF(OR(AY$5="大R",AY$5="超R"),MAX(INDEX(其他调用!$H$5:$L$404,MATCH($K166,其他调用!$B$5:$B$404,0),MATCH(AY$5,其他调用!$H$4:$L$4,0))*120*0.85,2),INDEX(其他调用!$H$5:$L$404,MATCH($K166,其他调用!$B$5:$B$404,0),MATCH(AY$5,其他调用!$H$4:$L$4,0))*120*0.85)</f>
        <v>2</v>
      </c>
      <c r="AZ166" s="14">
        <f>IF(OR(AZ$5="大R",AZ$5="超R"),MAX(INDEX(其他调用!$H$5:$L$404,MATCH($K166,其他调用!$B$5:$B$404,0),MATCH(AZ$5,其他调用!$H$4:$L$4,0))*120*0.85,2),INDEX(其他调用!$H$5:$L$404,MATCH($K166,其他调用!$B$5:$B$404,0),MATCH(AZ$5,其他调用!$H$4:$L$4,0))*120*0.85)</f>
        <v>2</v>
      </c>
      <c r="BA166" s="14">
        <f>INDEX(其他调用!$H$5:$L$404,MATCH($K166,其他调用!$B$5:$B$404,0),MATCH(BA$5,其他调用!$H$4:$L$4,0))*INDEX(其他调用!$M$5:$M$404,MATCH($K166,其他调用!$B$5:$B$404,0))*0.6</f>
        <v>28.777530149999997</v>
      </c>
      <c r="BB166" s="14">
        <f>INDEX(其他调用!$H$5:$L$404,MATCH($K166,其他调用!$B$5:$B$404,0),MATCH(BB$5,其他调用!$H$4:$L$4,0))*INDEX(其他调用!$M$5:$M$404,MATCH($K166,其他调用!$B$5:$B$404,0))*0.6</f>
        <v>28.374908241551999</v>
      </c>
      <c r="BC166" s="14">
        <f>INDEX(其他调用!$H$5:$L$404,MATCH($K166,其他调用!$B$5:$B$404,0),MATCH(BC$5,其他调用!$H$4:$L$4,0))*INDEX(其他调用!$M$5:$M$404,MATCH($K166,其他调用!$B$5:$B$404,0))*0.6</f>
        <v>2.3162520084480001</v>
      </c>
      <c r="BD166" s="14">
        <f>INDEX(其他调用!$H$5:$L$404,MATCH($K166,其他调用!$B$5:$B$404,0),MATCH(BD$5,其他调用!$H$4:$L$4,0))*INDEX(其他调用!$M$5:$M$404,MATCH($K166,其他调用!$B$5:$B$404,0))*0.6</f>
        <v>0.4120776000000001</v>
      </c>
      <c r="BE166" s="14">
        <f>INDEX(其他调用!$H$5:$L$404,MATCH($K166,其他调用!$B$5:$B$404,0),MATCH(BE$5,其他调用!$H$4:$L$4,0))*INDEX(其他调用!$M$5:$M$404,MATCH($K166,其他调用!$B$5:$B$404,0))*0.6</f>
        <v>0.11923199999999998</v>
      </c>
      <c r="BF166" s="14">
        <f>IF(OR(BF$5="大R",BF$5="超R"),0,INDEX(其他调用!$H$5:$L$404,MATCH($K166,其他调用!$B$5:$B$404,0),MATCH(BF$5,其他调用!$H$4:$L$4,0))*50*0.4)</f>
        <v>9.5925100500000013</v>
      </c>
      <c r="BG166" s="14">
        <f>IF(OR(BG$5="大R",BG$5="超R"),0,INDEX(其他调用!$H$5:$L$404,MATCH($K166,其他调用!$B$5:$B$404,0),MATCH(BG$5,其他调用!$H$4:$L$4,0))*50*0.4)</f>
        <v>9.4583027471839998</v>
      </c>
      <c r="BH166" s="14">
        <f>IF(OR(BH$5="大R",BH$5="超R"),0,INDEX(其他调用!$H$5:$L$404,MATCH($K166,其他调用!$B$5:$B$404,0),MATCH(BH$5,其他调用!$H$4:$L$4,0))*50*0.4)</f>
        <v>0.77208400281600009</v>
      </c>
      <c r="BI166" s="14">
        <f>IF(OR(BI$5="大R",BI$5="超R"),0,INDEX(其他调用!$H$5:$L$404,MATCH($K166,其他调用!$B$5:$B$404,0),MATCH(BI$5,其他调用!$H$4:$L$4,0))*50*0.4)</f>
        <v>0</v>
      </c>
      <c r="BJ166" s="14">
        <f>IF(OR(BJ$5="大R",BJ$5="超R"),0,INDEX(其他调用!$H$5:$L$404,MATCH($K166,其他调用!$B$5:$B$404,0),MATCH(BJ$5,其他调用!$H$4:$L$4,0))*50*0.4)</f>
        <v>0</v>
      </c>
      <c r="BL166" s="14">
        <f t="shared" si="313"/>
        <v>161</v>
      </c>
      <c r="BM166" s="14">
        <f t="shared" si="220"/>
        <v>96</v>
      </c>
      <c r="BN166" s="14">
        <f>('疲劳值&amp;地图信息'!$S$10*'疲劳值&amp;地图信息'!$R$10+'疲劳值&amp;地图信息'!$S$11*'疲劳值&amp;地图信息'!$R$11+'疲劳值&amp;地图信息'!$S$12*'疲劳值&amp;地图信息'!$R$12+(BM166-'疲劳值&amp;地图信息'!$S$12-'疲劳值&amp;地图信息'!$S$11-'疲劳值&amp;地图信息'!$S$10)*'疲劳值&amp;地图信息'!$R$13)/BM166</f>
        <v>51.371477246638619</v>
      </c>
      <c r="BO166" s="14">
        <f>INDEX(其他调用!$M$5:$M$404,MATCH(BL166,其他调用!$B$5:$B$404,0))*0.6</f>
        <v>60</v>
      </c>
      <c r="BP166" s="14">
        <f>IF(BO166&gt;SUM('疲劳值&amp;地图信息'!$S$10:$S$12),('疲劳值&amp;地图信息'!$S$10*'疲劳值&amp;地图信息'!$R$10+'疲劳值&amp;地图信息'!$S$11*'疲劳值&amp;地图信息'!$R$11+'疲劳值&amp;地图信息'!$S$12*'疲劳值&amp;地图信息'!$R$12+(BO166-'疲劳值&amp;地图信息'!$S$12-'疲劳值&amp;地图信息'!$S$11-'疲劳值&amp;地图信息'!$S$10)*'疲劳值&amp;地图信息'!$R$13)/BO166,('疲劳值&amp;地图信息'!$S$10*'疲劳值&amp;地图信息'!$R$10+'疲劳值&amp;地图信息'!$S$11*'疲劳值&amp;地图信息'!$R$11+'疲劳值&amp;地图信息'!$S$12*'疲劳值&amp;地图信息'!$R$12+(BO166-'疲劳值&amp;地图信息'!$S$12-'疲劳值&amp;地图信息'!$S$11-'疲劳值&amp;地图信息'!$S$10)*'疲劳值&amp;地图信息'!$R$13)/BO166)</f>
        <v>44.158136341605953</v>
      </c>
      <c r="BQ166" s="14">
        <f t="shared" si="314"/>
        <v>20</v>
      </c>
      <c r="BR166" s="14">
        <f>('疲劳值&amp;地图信息'!$S$10*'疲劳值&amp;地图信息'!$R$10+($BQ166-'疲劳值&amp;地图信息'!$S$10)*'疲劳值&amp;地图信息'!$R$11)/$BQ166</f>
        <v>32.067203015074995</v>
      </c>
      <c r="CF166" s="14">
        <v>161</v>
      </c>
      <c r="CG166" s="51">
        <f t="shared" si="221"/>
        <v>12077</v>
      </c>
      <c r="CH166" s="51">
        <f t="shared" si="222"/>
        <v>966</v>
      </c>
      <c r="CI166" s="51">
        <f>INT(SUMPRODUCT($N166:$R166,$BA166:$BE166)/SUM($BA166:$BE166)/10000*$BX$7*$BZ$34/'疲劳值&amp;地图信息'!$R$10*$BY$53)</f>
        <v>3122</v>
      </c>
      <c r="CJ166" s="50">
        <f t="shared" si="223"/>
        <v>0.74710794927312096</v>
      </c>
      <c r="CK166" s="50">
        <f t="shared" si="224"/>
        <v>5.975873801422827E-2</v>
      </c>
      <c r="CL166" s="50">
        <f t="shared" si="225"/>
        <v>0.1931333127126508</v>
      </c>
      <c r="CM166" s="14">
        <f t="shared" si="226"/>
        <v>12941</v>
      </c>
      <c r="CN166" s="14">
        <f t="shared" si="227"/>
        <v>1587</v>
      </c>
      <c r="CO166" s="14">
        <f>INT(SUMPRODUCT($U166:$Y166,$BA166:$BE166)/SUM($BA166:$BE166)/10000*$BX$7*$BZ$34/'疲劳值&amp;地图信息'!$R$10*$BY$54)</f>
        <v>5869</v>
      </c>
      <c r="CP166" s="50">
        <f t="shared" si="228"/>
        <v>0.63445604745795947</v>
      </c>
      <c r="CQ166" s="50">
        <f t="shared" si="229"/>
        <v>7.7805559641123692E-2</v>
      </c>
      <c r="CR166" s="50">
        <f t="shared" si="230"/>
        <v>0.2877383929009168</v>
      </c>
      <c r="CS166" s="14">
        <f t="shared" si="231"/>
        <v>13766</v>
      </c>
      <c r="CT166" s="14">
        <f t="shared" si="232"/>
        <v>2776</v>
      </c>
      <c r="CU166" s="14">
        <f>INT(SUMPRODUCT($AB166:$AF166,$BA166:$BE166)/SUM($BA166:$BE166)/10000*$BX$7*$BZ$34/'疲劳值&amp;地图信息'!$R$10*$BY$55)</f>
        <v>7976</v>
      </c>
      <c r="CV166" s="50">
        <f t="shared" si="233"/>
        <v>0.56146504608858794</v>
      </c>
      <c r="CW166" s="50">
        <f t="shared" si="234"/>
        <v>0.11322293824944939</v>
      </c>
      <c r="CX166" s="50">
        <f t="shared" si="235"/>
        <v>0.32531201566196266</v>
      </c>
      <c r="CY166" s="14">
        <f t="shared" si="236"/>
        <v>16109</v>
      </c>
      <c r="CZ166" s="14">
        <f t="shared" si="237"/>
        <v>7870</v>
      </c>
      <c r="DA166" s="14">
        <f>INT(SUMPRODUCT($AI166:$AM166,$BA166:$BE166)/SUM($BA166:$BE166)/10000*$BX$7*$BZ$34/'疲劳值&amp;地图信息'!$R$10*$BY$56)</f>
        <v>12029</v>
      </c>
      <c r="DB166" s="50">
        <f t="shared" si="238"/>
        <v>0.44737280604310153</v>
      </c>
      <c r="DC166" s="50">
        <f t="shared" si="239"/>
        <v>0.21856254165740946</v>
      </c>
      <c r="DD166" s="50">
        <f t="shared" si="240"/>
        <v>0.33406465229948901</v>
      </c>
      <c r="DE166" s="14">
        <f t="shared" si="241"/>
        <v>16413</v>
      </c>
      <c r="DF166" s="14">
        <f t="shared" si="242"/>
        <v>13884</v>
      </c>
      <c r="DG166" s="14">
        <f>INT(SUMPRODUCT($AP166:$AT166,$BA166:$BE166)/SUM($BA166:$BE166)/10000*$BX$7*$BZ$34/'疲劳值&amp;地图信息'!$R$10*$BY$57)</f>
        <v>16064</v>
      </c>
      <c r="DH166" s="50">
        <f t="shared" si="243"/>
        <v>0.35402601324389033</v>
      </c>
      <c r="DI166" s="50">
        <f t="shared" si="244"/>
        <v>0.29947585254847825</v>
      </c>
      <c r="DJ166" s="50">
        <f t="shared" si="245"/>
        <v>0.34649813420763143</v>
      </c>
      <c r="DL166" s="14">
        <f t="shared" si="316"/>
        <v>16165</v>
      </c>
      <c r="DM166" s="14">
        <f t="shared" si="317"/>
        <v>20397</v>
      </c>
      <c r="DN166" s="14">
        <f t="shared" si="318"/>
        <v>24518</v>
      </c>
      <c r="DO166" s="14">
        <f t="shared" si="319"/>
        <v>36008</v>
      </c>
      <c r="DP166" s="14">
        <f t="shared" si="320"/>
        <v>46361</v>
      </c>
      <c r="DQ166" s="14">
        <f t="shared" si="321"/>
        <v>1121107</v>
      </c>
      <c r="DT166" s="14">
        <f t="shared" si="315"/>
        <v>235575</v>
      </c>
      <c r="DU166" s="50">
        <f t="shared" si="217"/>
        <v>0.17364054362039152</v>
      </c>
      <c r="DW166" s="14">
        <f t="shared" si="246"/>
        <v>1356682</v>
      </c>
      <c r="EB166" s="14">
        <v>161</v>
      </c>
      <c r="EC166" s="51">
        <f t="shared" si="247"/>
        <v>20128</v>
      </c>
      <c r="ED166" s="51">
        <f t="shared" si="248"/>
        <v>1610</v>
      </c>
      <c r="EE166" s="51">
        <f>INT(SUMPRODUCT($N166:$R166,$BF166:$BJ166)/SUM($BF166:$BJ166)/10000*$BX$7*$BZ$46/'疲劳值&amp;地图信息'!$R$10*$BY$53)</f>
        <v>419</v>
      </c>
      <c r="EF166" s="50">
        <f t="shared" si="249"/>
        <v>0.90842623098794961</v>
      </c>
      <c r="EG166" s="50">
        <f t="shared" si="250"/>
        <v>7.2663266687728489E-2</v>
      </c>
      <c r="EH166" s="50">
        <f t="shared" si="251"/>
        <v>1.8910502324321884E-2</v>
      </c>
      <c r="EI166" s="51">
        <f t="shared" si="252"/>
        <v>21568</v>
      </c>
      <c r="EJ166" s="51">
        <f t="shared" si="253"/>
        <v>2646</v>
      </c>
      <c r="EK166" s="14">
        <f>INT(SUMPRODUCT($U166:$Y166,$BF166:$BJ166)/SUM($BF166:$BJ166)/10000*$BX$7*$BZ$46/'疲劳值&amp;地图信息'!$R$10*$BY$54)</f>
        <v>788</v>
      </c>
      <c r="EL166" s="50">
        <f t="shared" si="254"/>
        <v>0.86265098792096628</v>
      </c>
      <c r="EM166" s="50">
        <f t="shared" si="255"/>
        <v>0.10583153347732181</v>
      </c>
      <c r="EN166" s="50">
        <f t="shared" si="256"/>
        <v>3.1517478601711862E-2</v>
      </c>
      <c r="EO166" s="51">
        <f t="shared" si="257"/>
        <v>22944</v>
      </c>
      <c r="EP166" s="51">
        <f t="shared" si="258"/>
        <v>4628</v>
      </c>
      <c r="EQ166" s="14">
        <f>INT(SUMPRODUCT($AB166:$AF166,$BF166:$BJ166)/SUM($BF166:$BJ166)/10000*$BX$7*$BZ$46/'疲劳值&amp;地图信息'!$R$10*$BY$55)</f>
        <v>1069</v>
      </c>
      <c r="ER166" s="50">
        <f t="shared" si="259"/>
        <v>0.80108934743898608</v>
      </c>
      <c r="ES166" s="50">
        <f t="shared" si="260"/>
        <v>0.16158653678293355</v>
      </c>
      <c r="ET166" s="50">
        <f t="shared" si="261"/>
        <v>3.7324115778080376E-2</v>
      </c>
      <c r="EU166" s="51">
        <f t="shared" si="262"/>
        <v>26849</v>
      </c>
      <c r="EV166" s="51">
        <f t="shared" si="263"/>
        <v>13117</v>
      </c>
      <c r="EW166" s="14">
        <f>INT(SUMPRODUCT($AI166:$AM166,$BF166:$BJ166)/SUM($BF166:$BJ166)/10000*$BX$7*$BZ$46/'疲劳值&amp;地图信息'!$R$10*$BY$56)</f>
        <v>1604</v>
      </c>
      <c r="EX166" s="50">
        <f t="shared" si="264"/>
        <v>0.64587442867452494</v>
      </c>
      <c r="EY166" s="50">
        <f t="shared" si="265"/>
        <v>0.31554005292278087</v>
      </c>
      <c r="EZ166" s="50">
        <f t="shared" si="266"/>
        <v>3.8585518402694252E-2</v>
      </c>
      <c r="FA166" s="51">
        <f t="shared" si="267"/>
        <v>27355</v>
      </c>
      <c r="FB166" s="51">
        <f t="shared" si="268"/>
        <v>23140</v>
      </c>
      <c r="FC166" s="14">
        <f>INT(SUMPRODUCT($AP166:$AT166,$BF166:$BJ166)/SUM($BF166:$BJ166)/10000*$BX$7*$BZ$46/'疲劳值&amp;地图信息'!$R$10*$BY$57)</f>
        <v>2139</v>
      </c>
      <c r="FD166" s="50">
        <f t="shared" si="269"/>
        <v>0.51972109282972978</v>
      </c>
      <c r="FE166" s="50">
        <f t="shared" si="270"/>
        <v>0.43963977657027775</v>
      </c>
      <c r="FF166" s="50">
        <f t="shared" si="271"/>
        <v>4.0639130599992399E-2</v>
      </c>
      <c r="FH166" s="14">
        <f t="shared" si="272"/>
        <v>22157</v>
      </c>
      <c r="FI166" s="14">
        <f t="shared" si="273"/>
        <v>25002</v>
      </c>
      <c r="FJ166" s="14">
        <f t="shared" si="274"/>
        <v>28641</v>
      </c>
      <c r="FK166" s="14">
        <f t="shared" si="275"/>
        <v>41570</v>
      </c>
      <c r="FL166" s="14">
        <f t="shared" si="276"/>
        <v>52634</v>
      </c>
      <c r="FM166" s="14">
        <f t="shared" si="277"/>
        <v>2591176</v>
      </c>
      <c r="FP166" s="14">
        <f t="shared" si="278"/>
        <v>334150</v>
      </c>
      <c r="FQ166" s="50">
        <f t="shared" si="218"/>
        <v>0.11422658534467611</v>
      </c>
      <c r="FS166" s="14">
        <f t="shared" si="279"/>
        <v>2925326</v>
      </c>
      <c r="FX166" s="14">
        <v>161</v>
      </c>
      <c r="FY166" s="51">
        <f t="shared" si="280"/>
        <v>28180</v>
      </c>
      <c r="FZ166" s="51">
        <f t="shared" si="281"/>
        <v>1610</v>
      </c>
      <c r="GA166" s="51">
        <f>INT(SUMPRODUCT($N166:$R166,$BF166:$BJ166)/SUM($BF166:$BJ166)/10000*$BX$7*$BZ$46/'疲劳值&amp;地图信息'!$R$10*$BY$53)</f>
        <v>419</v>
      </c>
      <c r="GB166" s="50">
        <f t="shared" si="282"/>
        <v>0.93283458571948752</v>
      </c>
      <c r="GC166" s="50">
        <f t="shared" si="283"/>
        <v>5.3295375550332681E-2</v>
      </c>
      <c r="GD166" s="50">
        <f t="shared" si="284"/>
        <v>1.3870038730179748E-2</v>
      </c>
      <c r="GE166" s="51">
        <f t="shared" si="285"/>
        <v>30196</v>
      </c>
      <c r="GF166" s="51">
        <f t="shared" si="286"/>
        <v>2646</v>
      </c>
      <c r="GG166" s="14">
        <f>INT(SUMPRODUCT($U166:$Y166,$BF166:$BJ166)/SUM($BF166:$BJ166)/10000*$BX$7*$BZ$46/'疲劳值&amp;地图信息'!$R$10*$BY$54)</f>
        <v>788</v>
      </c>
      <c r="GH166" s="50">
        <f t="shared" si="287"/>
        <v>0.89788878977103781</v>
      </c>
      <c r="GI166" s="50">
        <f t="shared" si="288"/>
        <v>7.8679750223015169E-2</v>
      </c>
      <c r="GJ166" s="50">
        <f t="shared" si="289"/>
        <v>2.343146000594707E-2</v>
      </c>
      <c r="GK166" s="51">
        <f t="shared" si="290"/>
        <v>32122</v>
      </c>
      <c r="GL166" s="51">
        <f t="shared" si="291"/>
        <v>4628</v>
      </c>
      <c r="GM166" s="14">
        <f>INT(SUMPRODUCT($AB166:$AF166,$BF166:$BJ166)/SUM($BF166:$BJ166)/10000*$BX$7*$BZ$46/'疲劳值&amp;地图信息'!$R$10*$BY$55)</f>
        <v>1069</v>
      </c>
      <c r="GN166" s="50">
        <f t="shared" si="292"/>
        <v>0.84936143208440207</v>
      </c>
      <c r="GO166" s="50">
        <f t="shared" si="293"/>
        <v>0.12237235252121949</v>
      </c>
      <c r="GP166" s="50">
        <f t="shared" si="294"/>
        <v>2.8266215394378486E-2</v>
      </c>
      <c r="GQ166" s="51">
        <f t="shared" si="295"/>
        <v>37589</v>
      </c>
      <c r="GR166" s="51">
        <f t="shared" si="296"/>
        <v>13117</v>
      </c>
      <c r="GS166" s="14">
        <f>INT(SUMPRODUCT($AI166:$AM166,$BF166:$BJ166)/SUM($BF166:$BJ166)/10000*$BX$7*$BZ$46/'疲劳值&amp;地图信息'!$R$10*$BY$56)</f>
        <v>1604</v>
      </c>
      <c r="GT166" s="50">
        <f t="shared" si="297"/>
        <v>0.71858153316765438</v>
      </c>
      <c r="GU166" s="50">
        <f t="shared" si="298"/>
        <v>0.25075511374498183</v>
      </c>
      <c r="GV166" s="50">
        <f t="shared" si="299"/>
        <v>3.0663353087363794E-2</v>
      </c>
      <c r="GW166" s="51">
        <f t="shared" si="300"/>
        <v>38297</v>
      </c>
      <c r="GX166" s="51">
        <f t="shared" si="301"/>
        <v>23140</v>
      </c>
      <c r="GY166" s="14">
        <f>INT(SUMPRODUCT($AP166:$AT166,$BF166:$BJ166)/SUM($BF166:$BJ166)/10000*$BX$7*$BZ$46/'疲劳值&amp;地图信息'!$R$10*$BY$57)</f>
        <v>2139</v>
      </c>
      <c r="GZ166" s="50">
        <f t="shared" si="302"/>
        <v>0.60238140178683786</v>
      </c>
      <c r="HA166" s="50">
        <f t="shared" si="303"/>
        <v>0.36397382660123317</v>
      </c>
      <c r="HB166" s="50">
        <f t="shared" si="304"/>
        <v>3.3644771611929032E-2</v>
      </c>
      <c r="HD166" s="14">
        <f t="shared" si="305"/>
        <v>30209</v>
      </c>
      <c r="HE166" s="14">
        <f t="shared" si="306"/>
        <v>33630</v>
      </c>
      <c r="HF166" s="14">
        <f t="shared" si="307"/>
        <v>37819</v>
      </c>
      <c r="HG166" s="14">
        <f t="shared" si="308"/>
        <v>52310</v>
      </c>
      <c r="HH166" s="14">
        <f t="shared" si="309"/>
        <v>63576</v>
      </c>
      <c r="HI166" s="14">
        <f t="shared" si="310"/>
        <v>3480789</v>
      </c>
      <c r="HL166" s="14">
        <f t="shared" si="311"/>
        <v>430050</v>
      </c>
      <c r="HM166" s="50">
        <f t="shared" si="219"/>
        <v>0.10996361650275044</v>
      </c>
      <c r="HO166" s="14">
        <f t="shared" si="312"/>
        <v>3910839</v>
      </c>
    </row>
    <row r="167" spans="11:223" x14ac:dyDescent="0.2">
      <c r="K167" s="14">
        <v>162</v>
      </c>
      <c r="L167" s="12">
        <f>求节点(节奏总纲!D$4:D$163,标准城池设计!AB$4:AB$163,$K167)*求节点(节奏总纲!D$4:D$163,攻城基础信息!$AC$5:$AC$164,$K167)</f>
        <v>594430.35725726082</v>
      </c>
      <c r="M167" s="12">
        <f>INDEX(其他调用!$AA$5:$AA$404,MATCH(K167,其他调用!$X$5:$X$404,0))*MIN(INDEX(其他调用!$AH$5:$AH$364,MATCH('征服点（新）'!K167,其他调用!$AG$5:$AG$364,0),1)/INDEX(其他调用!$AJ$5:$AJ$364,MATCH(K167,其他调用!$AG$5:$AG$364,0),0),5)*求节点(节奏总纲!D$4:D$163,攻城基础信息!$AC$5:$AC$164,$K167)</f>
        <v>47531.769316048085</v>
      </c>
      <c r="N167" s="12">
        <f>MIN(INDEX(其他调用!$AH$5:$AH$364,MATCH($K167,其他调用!$AG$5:$AG$364,0),1)/INDEX(其他调用!AH$5:AH$364,MATCH($K167,其他调用!$AG$5:$AG$364,0),0),1)*INDEX(其他调用!Y$5:Y$404,MATCH($K167,其他调用!$X$5:$X$404,0),0)</f>
        <v>38918.53165704092</v>
      </c>
      <c r="O167" s="12">
        <f>MIN(INDEX(其他调用!$AH$5:$AH$364,MATCH($K167,其他调用!$AG$5:$AG$364,0),1)/INDEX(其他调用!AI$5:AI$364,MATCH($K167,其他调用!$AG$5:$AG$364,0),0),1)*INDEX(其他调用!Z$5:Z$404,MATCH($K167,其他调用!$X$5:$X$404,0),0)</f>
        <v>24389.608188571936</v>
      </c>
      <c r="P167" s="12">
        <f>MIN(INDEX(其他调用!$AH$5:$AH$364,MATCH($K167,其他调用!$AG$5:$AG$364,0),1)/INDEX(其他调用!AJ$5:AJ$364,MATCH($K167,其他调用!$AG$5:$AG$364,0),0),1)*INDEX(其他调用!AA$5:AA$404,MATCH($K167,其他调用!$X$5:$X$404,0),0)</f>
        <v>14479.823025892578</v>
      </c>
      <c r="Q167" s="12">
        <f>MIN(INDEX(其他调用!$AH$5:$AH$364,MATCH($K167,其他调用!$AG$5:$AG$364,0),1)/INDEX(其他调用!AK$5:AK$364,MATCH($K167,其他调用!$AG$5:$AG$364,0),0),1)*INDEX(其他调用!AB$5:AB$404,MATCH($K167,其他调用!$X$5:$X$404,0),0)</f>
        <v>5369.6905381455799</v>
      </c>
      <c r="R167" s="12">
        <f>MIN(INDEX(其他调用!$AH$5:$AH$364,MATCH($K167,其他调用!$AG$5:$AG$364,0),1)/INDEX(其他调用!AL$5:AL$364,MATCH($K167,其他调用!$AG$5:$AG$364,0),0),1)*INDEX(其他调用!AC$5:AC$404,MATCH($K167,其他调用!$X$5:$X$404,0),0)</f>
        <v>2046.7932757238611</v>
      </c>
      <c r="S167" s="12">
        <f>求节点(节奏总纲!D$4:D$163,标准城池设计!AC$4:AC$163,$K167)*求节点(节奏总纲!D$4:D$163,攻城基础信息!$AD$5:$AD$164,$K167)</f>
        <v>636718.258783667</v>
      </c>
      <c r="T167" s="12">
        <f>INDEX(其他调用!$AA$5:$AA$404,MATCH($K167,其他调用!$X$5:$X$404,0))*MIN(INDEX(其他调用!AI$5:AI$364,MATCH($K167,其他调用!$AG$5:$AG$364,0),1)/INDEX(其他调用!$AJ$5:$AJ$364,MATCH($K167,其他调用!$AG$5:$AG$364,0),0),5)*求节点(节奏总纲!D$4:D$163,攻城基础信息!$AD$5:$AD$164,$K167)</f>
        <v>78093.629914197561</v>
      </c>
      <c r="U167" s="12">
        <f>MIN(INDEX(其他调用!$AI$5:$AI$364,MATCH($K167,其他调用!$AG$5:$AG$364,0),1)/INDEX(其他调用!AH$5:AH$364,MATCH($K167,其他调用!$AG$5:$AG$364,0),0),1)*INDEX(其他调用!Y$5:Y$404,MATCH($K167,其他调用!$X$5:$X$404,0),0)</f>
        <v>38918.53165704092</v>
      </c>
      <c r="V167" s="12">
        <f>MIN(INDEX(其他调用!$AI$5:$AI$364,MATCH($K167,其他调用!$AG$5:$AG$364,0),1)/INDEX(其他调用!AI$5:AI$364,MATCH($K167,其他调用!$AG$5:$AG$364,0),0),1)*INDEX(其他调用!Z$5:Z$404,MATCH($K167,其他调用!$X$5:$X$404,0),0)</f>
        <v>40071.578715407653</v>
      </c>
      <c r="W167" s="12">
        <f>MIN(INDEX(其他调用!$AI$5:$AI$364,MATCH($K167,其他调用!$AG$5:$AG$364,0),1)/INDEX(其他调用!AJ$5:AJ$364,MATCH($K167,其他调用!$AG$5:$AG$364,0),0),1)*INDEX(其他调用!AA$5:AA$404,MATCH($K167,其他调用!$X$5:$X$404,0),0)</f>
        <v>23790.024164434941</v>
      </c>
      <c r="X167" s="12">
        <f>MIN(INDEX(其他调用!$AI$5:$AI$364,MATCH($K167,其他调用!$AG$5:$AG$364,0),1)/INDEX(其他调用!AK$5:AK$364,MATCH($K167,其他调用!$AG$5:$AG$364,0),0),1)*INDEX(其他调用!AB$5:AB$404,MATCH($K167,其他调用!$X$5:$X$404,0),0)</f>
        <v>8822.2810064452733</v>
      </c>
      <c r="Y167" s="12">
        <f>MIN(INDEX(其他调用!$AI$5:$AI$364,MATCH($K167,其他调用!$AG$5:$AG$364,0),1)/INDEX(其他调用!AL$5:AL$364,MATCH($K167,其他调用!$AG$5:$AG$364,0),0),1)*INDEX(其他调用!AC$5:AC$404,MATCH($K167,其他调用!$X$5:$X$404,0),0)</f>
        <v>3362.8354022007816</v>
      </c>
      <c r="Z167" s="12">
        <f>求节点(节奏总纲!D$4:D$163,标准城池设计!AD$4:AD$163,$K167)*求节点(节奏总纲!D$4:D$163,攻城基础信息!$AE$5:$AE$164,$K167)</f>
        <v>677178.36388339417</v>
      </c>
      <c r="AA167" s="12">
        <f>INDEX(其他调用!$AA$5:$AA$404,MATCH($K167,其他调用!$X$5:$X$404,0))*MIN(INDEX(其他调用!AJ$5:AJ$364,MATCH($K167,其他调用!$AG$5:$AG$364,0),1)/INDEX(其他调用!$AJ$5:$AJ$364,MATCH($K167,其他调用!$AG$5:$AG$364,0),0),5)*求节点(节奏总纲!D$4:D$163,攻城基础信息!$AE$5:$AE$164,$K167)</f>
        <v>136485.32663757235</v>
      </c>
      <c r="AB167" s="12">
        <f>MIN(INDEX(其他调用!$AJ$5:$AJ$364,MATCH($K167,其他调用!$AG$5:$AG$364,0),1)/INDEX(其他调用!AH$5:AH$364,MATCH($K167,其他调用!$AG$5:$AG$364,0),0),1)*INDEX(其他调用!Y$5:Y$404,MATCH($K167,其他调用!$X$5:$X$404,0),0)</f>
        <v>38918.53165704092</v>
      </c>
      <c r="AC167" s="12">
        <f>MIN(INDEX(其他调用!$AJ$5:$AJ$364,MATCH($K167,其他调用!$AG$5:$AG$364,0),1)/INDEX(其他调用!AI$5:AI$364,MATCH($K167,其他调用!$AG$5:$AG$364,0),0),1)*INDEX(其他调用!Z$5:Z$404,MATCH($K167,其他调用!$X$5:$X$404,0),0)</f>
        <v>40071.578715407653</v>
      </c>
      <c r="AD167" s="12">
        <f>MIN(INDEX(其他调用!$AJ$5:$AJ$364,MATCH($K167,其他调用!$AG$5:$AG$364,0),1)/INDEX(其他调用!AJ$5:AJ$364,MATCH($K167,其他调用!$AG$5:$AG$364,0),0),1)*INDEX(其他调用!AA$5:AA$404,MATCH($K167,其他调用!$X$5:$X$404,0),0)</f>
        <v>41578.157173205407</v>
      </c>
      <c r="AE167" s="12">
        <f>MIN(INDEX(其他调用!$AJ$5:$AJ$364,MATCH($K167,其他调用!$AG$5:$AG$364,0),1)/INDEX(其他调用!AK$5:AK$364,MATCH($K167,其他调用!$AG$5:$AG$364,0),0),1)*INDEX(其他调用!AB$5:AB$404,MATCH($K167,其他调用!$X$5:$X$404,0),0)</f>
        <v>15418.823611811951</v>
      </c>
      <c r="AF167" s="12">
        <f>MIN(INDEX(其他调用!$AJ$5:$AJ$364,MATCH($K167,其他调用!$AG$5:$AG$364,0),1)/INDEX(其他调用!AL$5:AL$364,MATCH($K167,其他调用!$AG$5:$AG$364,0),0),1)*INDEX(其他调用!AC$5:AC$404,MATCH($K167,其他调用!$X$5:$X$404,0),0)</f>
        <v>5877.274353901209</v>
      </c>
      <c r="AG167" s="12">
        <f>求节点(节奏总纲!D$4:D$163,标准城池设计!AE$4:AE$163,$K167)*求节点(节奏总纲!D$4:D$163,攻城基础信息!$AF$5:$AF$164,$K167)</f>
        <v>793484.01061496767</v>
      </c>
      <c r="AH167" s="12">
        <f>INDEX(其他调用!$AA$5:$AA$404,MATCH($K167,其他调用!$X$5:$X$404,0))*MIN(INDEX(其他调用!AK$5:AK$364,MATCH($K167,其他调用!$AG$5:$AG$364,0),1)/INDEX(其他调用!$AJ$5:$AJ$364,MATCH($K167,其他调用!$AG$5:$AG$364,0),0),5)*求节点(节奏总纲!D$4:D$163,攻城基础信息!$AF$5:$AF$164,$K167)</f>
        <v>387500.4197377357</v>
      </c>
      <c r="AI167" s="12">
        <f>MIN(INDEX(其他调用!$AK$5:$AK$364,MATCH($K167,其他调用!$AG$5:$AG$364,0),1)/INDEX(其他调用!AH$5:AH$364,MATCH($K167,其他调用!$AG$5:$AG$364,0),0),1)*INDEX(其他调用!Y$5:Y$404,MATCH($K167,其他调用!$X$5:$X$404,0),0)</f>
        <v>38918.53165704092</v>
      </c>
      <c r="AJ167" s="12">
        <f>MIN(INDEX(其他调用!$AK$5:$AK$364,MATCH($K167,其他调用!$AG$5:$AG$364,0),1)/INDEX(其他调用!AI$5:AI$364,MATCH($K167,其他调用!$AG$5:$AG$364,0),0),1)*INDEX(其他调用!Z$5:Z$404,MATCH($K167,其他调用!$X$5:$X$404,0),0)</f>
        <v>40071.578715407653</v>
      </c>
      <c r="AK167" s="12">
        <f>MIN(INDEX(其他调用!$AK$5:$AK$364,MATCH($K167,其他调用!$AG$5:$AG$364,0),1)/INDEX(其他调用!AJ$5:AJ$364,MATCH($K167,其他调用!$AG$5:$AG$364,0),0),1)*INDEX(其他调用!AA$5:AA$404,MATCH($K167,其他调用!$X$5:$X$404,0),0)</f>
        <v>41578.157173205407</v>
      </c>
      <c r="AL167" s="12">
        <f>MIN(INDEX(其他调用!$AK$5:$AK$364,MATCH($K167,其他调用!$AG$5:$AG$364,0),1)/INDEX(其他调用!AK$5:AK$364,MATCH($K167,其他调用!$AG$5:$AG$364,0),0),1)*INDEX(其他调用!AB$5:AB$404,MATCH($K167,其他调用!$X$5:$X$404,0),0)</f>
        <v>43776.138934736366</v>
      </c>
      <c r="AM167" s="12">
        <f>MIN(INDEX(其他调用!$AK$5:$AK$364,MATCH($K167,其他调用!$AG$5:$AG$364,0),1)/INDEX(其他调用!AL$5:AL$364,MATCH($K167,其他调用!$AG$5:$AG$364,0),0),1)*INDEX(其他调用!AC$5:AC$404,MATCH($K167,其他调用!$X$5:$X$404,0),0)</f>
        <v>16686.381863584167</v>
      </c>
      <c r="AN167" s="12">
        <f>求节点(节奏总纲!D$4:D$163,标准城池设计!AF$4:AF$163,$K167)*求节点(节奏总纲!D$4:D$163,攻城基础信息!$AG$5:$AG$164,$K167)</f>
        <v>808691.72390963917</v>
      </c>
      <c r="AO167" s="12">
        <f>INDEX(其他调用!$AA$5:$AA$404,MATCH($K167,其他调用!$X$5:$X$404,0))*MIN(INDEX(其他调用!AL$5:AL$364,MATCH($K167,其他调用!$AG$5:$AG$364,0),1)/INDEX(其他调用!$AJ$5:$AJ$364,MATCH($K167,其他调用!$AG$5:$AG$364,0),0),5)*求节点(节奏总纲!D$4:D$163,攻城基础信息!$AG$5:$AG$164,$K167)</f>
        <v>682426.63318786165</v>
      </c>
      <c r="AP167" s="12">
        <f>MIN(INDEX(其他调用!$AL$5:$AL$364,MATCH($K167,其他调用!$AG$5:$AG$364,0),1)/INDEX(其他调用!AH$5:AH$364,MATCH($K167,其他调用!$AG$5:$AG$364,0),0),1)*INDEX(其他调用!Y$5:Y$404,MATCH($K167,其他调用!$X$5:$X$404,0),0)</f>
        <v>38918.53165704092</v>
      </c>
      <c r="AQ167" s="12">
        <f>MIN(INDEX(其他调用!$AL$5:$AL$364,MATCH($K167,其他调用!$AG$5:$AG$364,0),1)/INDEX(其他调用!AI$5:AI$364,MATCH($K167,其他调用!$AG$5:$AG$364,0),0),1)*INDEX(其他调用!Z$5:Z$404,MATCH($K167,其他调用!$X$5:$X$404,0),0)</f>
        <v>40071.578715407653</v>
      </c>
      <c r="AR167" s="12">
        <f>MIN(INDEX(其他调用!$AL$5:$AL$364,MATCH($K167,其他调用!$AG$5:$AG$364,0),1)/INDEX(其他调用!AJ$5:AJ$364,MATCH($K167,其他调用!$AG$5:$AG$364,0),0),1)*INDEX(其他调用!AA$5:AA$404,MATCH($K167,其他调用!$X$5:$X$404,0),0)</f>
        <v>41578.157173205407</v>
      </c>
      <c r="AS167" s="12">
        <f>MIN(INDEX(其他调用!$AL$5:$AL$364,MATCH($K167,其他调用!$AG$5:$AG$364,0),1)/INDEX(其他调用!AK$5:AK$364,MATCH($K167,其他调用!$AG$5:$AG$364,0),0),1)*INDEX(其他调用!AB$5:AB$404,MATCH($K167,其他调用!$X$5:$X$404,0),0)</f>
        <v>43776.138934736366</v>
      </c>
      <c r="AT167" s="12">
        <f>MIN(INDEX(其他调用!$AL$5:$AL$364,MATCH($K167,其他调用!$AG$5:$AG$364,0),1)/INDEX(其他调用!AL$5:AL$364,MATCH($K167,其他调用!$AG$5:$AG$364,0),0),1)*INDEX(其他调用!AC$5:AC$404,MATCH($K167,其他调用!$X$5:$X$404,0),0)</f>
        <v>47724.565778906777</v>
      </c>
      <c r="AV167" s="14">
        <f>IF(OR(AV$5="大R",AV$5="超R"),MAX(INDEX(其他调用!$H$5:$L$404,MATCH($K167,其他调用!$B$5:$B$404,0),MATCH(AV$5,其他调用!$H$4:$L$4,0))*120*0.85,2),INDEX(其他调用!$H$5:$L$404,MATCH($K167,其他调用!$B$5:$B$404,0),MATCH(AV$5,其他调用!$H$4:$L$4,0))*120*0.85)</f>
        <v>48.921801254999991</v>
      </c>
      <c r="AW167" s="14">
        <f>IF(OR(AW$5="大R",AW$5="超R"),MAX(INDEX(其他调用!$H$5:$L$404,MATCH($K167,其他调用!$B$5:$B$404,0),MATCH(AW$5,其他调用!$H$4:$L$4,0))*120*0.85,2),INDEX(其他调用!$H$5:$L$404,MATCH($K167,其他调用!$B$5:$B$404,0),MATCH(AW$5,其他调用!$H$4:$L$4,0))*120*0.85)</f>
        <v>48.237344010638395</v>
      </c>
      <c r="AX167" s="14">
        <f>IF(OR(AX$5="大R",AX$5="超R"),MAX(INDEX(其他调用!$H$5:$L$404,MATCH($K167,其他调用!$B$5:$B$404,0),MATCH(AX$5,其他调用!$H$4:$L$4,0))*120*0.85,2),INDEX(其他调用!$H$5:$L$404,MATCH($K167,其他调用!$B$5:$B$404,0),MATCH(AX$5,其他调用!$H$4:$L$4,0))*120*0.85)</f>
        <v>3.9376284143615998</v>
      </c>
      <c r="AY167" s="14">
        <f>IF(OR(AY$5="大R",AY$5="超R"),MAX(INDEX(其他调用!$H$5:$L$404,MATCH($K167,其他调用!$B$5:$B$404,0),MATCH(AY$5,其他调用!$H$4:$L$4,0))*120*0.85,2),INDEX(其他调用!$H$5:$L$404,MATCH($K167,其他调用!$B$5:$B$404,0),MATCH(AY$5,其他调用!$H$4:$L$4,0))*120*0.85)</f>
        <v>2</v>
      </c>
      <c r="AZ167" s="14">
        <f>IF(OR(AZ$5="大R",AZ$5="超R"),MAX(INDEX(其他调用!$H$5:$L$404,MATCH($K167,其他调用!$B$5:$B$404,0),MATCH(AZ$5,其他调用!$H$4:$L$4,0))*120*0.85,2),INDEX(其他调用!$H$5:$L$404,MATCH($K167,其他调用!$B$5:$B$404,0),MATCH(AZ$5,其他调用!$H$4:$L$4,0))*120*0.85)</f>
        <v>2</v>
      </c>
      <c r="BA167" s="14">
        <f>INDEX(其他调用!$H$5:$L$404,MATCH($K167,其他调用!$B$5:$B$404,0),MATCH(BA$5,其他调用!$H$4:$L$4,0))*INDEX(其他调用!$M$5:$M$404,MATCH($K167,其他调用!$B$5:$B$404,0))*0.6</f>
        <v>28.777530149999997</v>
      </c>
      <c r="BB167" s="14">
        <f>INDEX(其他调用!$H$5:$L$404,MATCH($K167,其他调用!$B$5:$B$404,0),MATCH(BB$5,其他调用!$H$4:$L$4,0))*INDEX(其他调用!$M$5:$M$404,MATCH($K167,其他调用!$B$5:$B$404,0))*0.6</f>
        <v>28.374908241551999</v>
      </c>
      <c r="BC167" s="14">
        <f>INDEX(其他调用!$H$5:$L$404,MATCH($K167,其他调用!$B$5:$B$404,0),MATCH(BC$5,其他调用!$H$4:$L$4,0))*INDEX(其他调用!$M$5:$M$404,MATCH($K167,其他调用!$B$5:$B$404,0))*0.6</f>
        <v>2.3162520084480001</v>
      </c>
      <c r="BD167" s="14">
        <f>INDEX(其他调用!$H$5:$L$404,MATCH($K167,其他调用!$B$5:$B$404,0),MATCH(BD$5,其他调用!$H$4:$L$4,0))*INDEX(其他调用!$M$5:$M$404,MATCH($K167,其他调用!$B$5:$B$404,0))*0.6</f>
        <v>0.4120776000000001</v>
      </c>
      <c r="BE167" s="14">
        <f>INDEX(其他调用!$H$5:$L$404,MATCH($K167,其他调用!$B$5:$B$404,0),MATCH(BE$5,其他调用!$H$4:$L$4,0))*INDEX(其他调用!$M$5:$M$404,MATCH($K167,其他调用!$B$5:$B$404,0))*0.6</f>
        <v>0.11923199999999998</v>
      </c>
      <c r="BF167" s="14">
        <f>IF(OR(BF$5="大R",BF$5="超R"),0,INDEX(其他调用!$H$5:$L$404,MATCH($K167,其他调用!$B$5:$B$404,0),MATCH(BF$5,其他调用!$H$4:$L$4,0))*50*0.4)</f>
        <v>9.5925100500000013</v>
      </c>
      <c r="BG167" s="14">
        <f>IF(OR(BG$5="大R",BG$5="超R"),0,INDEX(其他调用!$H$5:$L$404,MATCH($K167,其他调用!$B$5:$B$404,0),MATCH(BG$5,其他调用!$H$4:$L$4,0))*50*0.4)</f>
        <v>9.4583027471839998</v>
      </c>
      <c r="BH167" s="14">
        <f>IF(OR(BH$5="大R",BH$5="超R"),0,INDEX(其他调用!$H$5:$L$404,MATCH($K167,其他调用!$B$5:$B$404,0),MATCH(BH$5,其他调用!$H$4:$L$4,0))*50*0.4)</f>
        <v>0.77208400281600009</v>
      </c>
      <c r="BI167" s="14">
        <f>IF(OR(BI$5="大R",BI$5="超R"),0,INDEX(其他调用!$H$5:$L$404,MATCH($K167,其他调用!$B$5:$B$404,0),MATCH(BI$5,其他调用!$H$4:$L$4,0))*50*0.4)</f>
        <v>0</v>
      </c>
      <c r="BJ167" s="14">
        <f>IF(OR(BJ$5="大R",BJ$5="超R"),0,INDEX(其他调用!$H$5:$L$404,MATCH($K167,其他调用!$B$5:$B$404,0),MATCH(BJ$5,其他调用!$H$4:$L$4,0))*50*0.4)</f>
        <v>0</v>
      </c>
      <c r="BL167" s="14">
        <f t="shared" si="313"/>
        <v>162</v>
      </c>
      <c r="BM167" s="14">
        <f t="shared" si="220"/>
        <v>96</v>
      </c>
      <c r="BN167" s="14">
        <f>('疲劳值&amp;地图信息'!$S$10*'疲劳值&amp;地图信息'!$R$10+'疲劳值&amp;地图信息'!$S$11*'疲劳值&amp;地图信息'!$R$11+'疲劳值&amp;地图信息'!$S$12*'疲劳值&amp;地图信息'!$R$12+(BM167-'疲劳值&amp;地图信息'!$S$12-'疲劳值&amp;地图信息'!$S$11-'疲劳值&amp;地图信息'!$S$10)*'疲劳值&amp;地图信息'!$R$13)/BM167</f>
        <v>51.371477246638619</v>
      </c>
      <c r="BO167" s="14">
        <f>INDEX(其他调用!$M$5:$M$404,MATCH(BL167,其他调用!$B$5:$B$404,0))*0.6</f>
        <v>60</v>
      </c>
      <c r="BP167" s="14">
        <f>IF(BO167&gt;SUM('疲劳值&amp;地图信息'!$S$10:$S$12),('疲劳值&amp;地图信息'!$S$10*'疲劳值&amp;地图信息'!$R$10+'疲劳值&amp;地图信息'!$S$11*'疲劳值&amp;地图信息'!$R$11+'疲劳值&amp;地图信息'!$S$12*'疲劳值&amp;地图信息'!$R$12+(BO167-'疲劳值&amp;地图信息'!$S$12-'疲劳值&amp;地图信息'!$S$11-'疲劳值&amp;地图信息'!$S$10)*'疲劳值&amp;地图信息'!$R$13)/BO167,('疲劳值&amp;地图信息'!$S$10*'疲劳值&amp;地图信息'!$R$10+'疲劳值&amp;地图信息'!$S$11*'疲劳值&amp;地图信息'!$R$11+'疲劳值&amp;地图信息'!$S$12*'疲劳值&amp;地图信息'!$R$12+(BO167-'疲劳值&amp;地图信息'!$S$12-'疲劳值&amp;地图信息'!$S$11-'疲劳值&amp;地图信息'!$S$10)*'疲劳值&amp;地图信息'!$R$13)/BO167)</f>
        <v>44.158136341605953</v>
      </c>
      <c r="BQ167" s="14">
        <f t="shared" si="314"/>
        <v>20</v>
      </c>
      <c r="BR167" s="14">
        <f>('疲劳值&amp;地图信息'!$S$10*'疲劳值&amp;地图信息'!$R$10+($BQ167-'疲劳值&amp;地图信息'!$S$10)*'疲劳值&amp;地图信息'!$R$11)/$BQ167</f>
        <v>32.067203015074995</v>
      </c>
      <c r="CF167" s="14">
        <v>162</v>
      </c>
      <c r="CG167" s="51">
        <f t="shared" si="221"/>
        <v>12115</v>
      </c>
      <c r="CH167" s="51">
        <f t="shared" si="222"/>
        <v>968</v>
      </c>
      <c r="CI167" s="51">
        <f>INT(SUMPRODUCT($N167:$R167,$BA167:$BE167)/SUM($BA167:$BE167)/10000*$BX$7*$BZ$34/'疲劳值&amp;地图信息'!$R$10*$BY$53)</f>
        <v>3125</v>
      </c>
      <c r="CJ167" s="50">
        <f t="shared" si="223"/>
        <v>0.74747038499506413</v>
      </c>
      <c r="CK167" s="50">
        <f t="shared" si="224"/>
        <v>5.972359328726555E-2</v>
      </c>
      <c r="CL167" s="50">
        <f t="shared" si="225"/>
        <v>0.19280602171767028</v>
      </c>
      <c r="CM167" s="14">
        <f t="shared" si="226"/>
        <v>12977</v>
      </c>
      <c r="CN167" s="14">
        <f t="shared" si="227"/>
        <v>1591</v>
      </c>
      <c r="CO167" s="14">
        <f>INT(SUMPRODUCT($U167:$Y167,$BA167:$BE167)/SUM($BA167:$BE167)/10000*$BX$7*$BZ$34/'疲劳值&amp;地图信息'!$R$10*$BY$54)</f>
        <v>5875</v>
      </c>
      <c r="CP167" s="50">
        <f t="shared" si="228"/>
        <v>0.63478941446950055</v>
      </c>
      <c r="CQ167" s="50">
        <f t="shared" si="229"/>
        <v>7.7826150760651566E-2</v>
      </c>
      <c r="CR167" s="50">
        <f t="shared" si="230"/>
        <v>0.28738443476984787</v>
      </c>
      <c r="CS167" s="14">
        <f t="shared" si="231"/>
        <v>13801</v>
      </c>
      <c r="CT167" s="14">
        <f t="shared" si="232"/>
        <v>2781</v>
      </c>
      <c r="CU167" s="14">
        <f>INT(SUMPRODUCT($AB167:$AF167,$BA167:$BE167)/SUM($BA167:$BE167)/10000*$BX$7*$BZ$34/'疲劳值&amp;地图信息'!$R$10*$BY$55)</f>
        <v>7983</v>
      </c>
      <c r="CV167" s="50">
        <f t="shared" si="233"/>
        <v>0.56181559128841851</v>
      </c>
      <c r="CW167" s="50">
        <f t="shared" si="234"/>
        <v>0.11320985141461429</v>
      </c>
      <c r="CX167" s="50">
        <f t="shared" si="235"/>
        <v>0.32497455729696723</v>
      </c>
      <c r="CY167" s="14">
        <f t="shared" si="236"/>
        <v>16172</v>
      </c>
      <c r="CZ167" s="14">
        <f t="shared" si="237"/>
        <v>7897</v>
      </c>
      <c r="DA167" s="14">
        <f>INT(SUMPRODUCT($AI167:$AM167,$BA167:$BE167)/SUM($BA167:$BE167)/10000*$BX$7*$BZ$34/'疲劳值&amp;地图信息'!$R$10*$BY$56)</f>
        <v>12040</v>
      </c>
      <c r="DB167" s="50">
        <f t="shared" si="238"/>
        <v>0.44786618294607994</v>
      </c>
      <c r="DC167" s="50">
        <f t="shared" si="239"/>
        <v>0.21869893932260656</v>
      </c>
      <c r="DD167" s="50">
        <f t="shared" si="240"/>
        <v>0.33343487773131353</v>
      </c>
      <c r="DE167" s="14">
        <f t="shared" si="241"/>
        <v>16482</v>
      </c>
      <c r="DF167" s="14">
        <f t="shared" si="242"/>
        <v>13908</v>
      </c>
      <c r="DG167" s="14">
        <f>INT(SUMPRODUCT($AP167:$AT167,$BA167:$BE167)/SUM($BA167:$BE167)/10000*$BX$7*$BZ$34/'疲劳值&amp;地图信息'!$R$10*$BY$57)</f>
        <v>16079</v>
      </c>
      <c r="DH167" s="50">
        <f t="shared" si="243"/>
        <v>0.35468807161763755</v>
      </c>
      <c r="DI167" s="50">
        <f t="shared" si="244"/>
        <v>0.29929630506359078</v>
      </c>
      <c r="DJ167" s="50">
        <f t="shared" si="245"/>
        <v>0.34601562331877167</v>
      </c>
      <c r="DL167" s="14">
        <f t="shared" si="316"/>
        <v>16208</v>
      </c>
      <c r="DM167" s="14">
        <f t="shared" si="317"/>
        <v>20443</v>
      </c>
      <c r="DN167" s="14">
        <f t="shared" si="318"/>
        <v>24565</v>
      </c>
      <c r="DO167" s="14">
        <f t="shared" si="319"/>
        <v>36109</v>
      </c>
      <c r="DP167" s="14">
        <f t="shared" si="320"/>
        <v>46469</v>
      </c>
      <c r="DQ167" s="14">
        <f t="shared" si="321"/>
        <v>1123813</v>
      </c>
      <c r="DT167" s="14">
        <f t="shared" si="315"/>
        <v>235575</v>
      </c>
      <c r="DU167" s="50">
        <f t="shared" si="217"/>
        <v>0.17329489446721613</v>
      </c>
      <c r="DW167" s="14">
        <f t="shared" si="246"/>
        <v>1359388</v>
      </c>
      <c r="EB167" s="14">
        <v>162</v>
      </c>
      <c r="EC167" s="51">
        <f t="shared" si="247"/>
        <v>20192</v>
      </c>
      <c r="ED167" s="51">
        <f t="shared" si="248"/>
        <v>1614</v>
      </c>
      <c r="EE167" s="51">
        <f>INT(SUMPRODUCT($N167:$R167,$BF167:$BJ167)/SUM($BF167:$BJ167)/10000*$BX$7*$BZ$46/'疲劳值&amp;地图信息'!$R$10*$BY$53)</f>
        <v>419</v>
      </c>
      <c r="EF167" s="50">
        <f t="shared" si="249"/>
        <v>0.90852643419572554</v>
      </c>
      <c r="EG167" s="50">
        <f t="shared" si="250"/>
        <v>7.2620922384701914E-2</v>
      </c>
      <c r="EH167" s="50">
        <f t="shared" si="251"/>
        <v>1.8852643419572553E-2</v>
      </c>
      <c r="EI167" s="51">
        <f t="shared" si="252"/>
        <v>21628</v>
      </c>
      <c r="EJ167" s="51">
        <f t="shared" si="253"/>
        <v>2652</v>
      </c>
      <c r="EK167" s="14">
        <f>INT(SUMPRODUCT($U167:$Y167,$BF167:$BJ167)/SUM($BF167:$BJ167)/10000*$BX$7*$BZ$46/'疲劳值&amp;地图信息'!$R$10*$BY$54)</f>
        <v>788</v>
      </c>
      <c r="EL167" s="50">
        <f t="shared" si="254"/>
        <v>0.86277325674166272</v>
      </c>
      <c r="EM167" s="50">
        <f t="shared" si="255"/>
        <v>0.1057922450933461</v>
      </c>
      <c r="EN167" s="50">
        <f t="shared" si="256"/>
        <v>3.1434498164991227E-2</v>
      </c>
      <c r="EO167" s="51">
        <f t="shared" si="257"/>
        <v>23002</v>
      </c>
      <c r="EP167" s="51">
        <f t="shared" si="258"/>
        <v>4636</v>
      </c>
      <c r="EQ167" s="14">
        <f>INT(SUMPRODUCT($AB167:$AF167,$BF167:$BJ167)/SUM($BF167:$BJ167)/10000*$BX$7*$BZ$46/'疲劳值&amp;地图信息'!$R$10*$BY$55)</f>
        <v>1070</v>
      </c>
      <c r="ER167" s="50">
        <f t="shared" si="259"/>
        <v>0.80124007245367146</v>
      </c>
      <c r="ES167" s="50">
        <f t="shared" si="260"/>
        <v>0.16148808694440575</v>
      </c>
      <c r="ET167" s="50">
        <f t="shared" si="261"/>
        <v>3.7271840601922811E-2</v>
      </c>
      <c r="EU167" s="51">
        <f t="shared" si="262"/>
        <v>26953</v>
      </c>
      <c r="EV167" s="51">
        <f t="shared" si="263"/>
        <v>13162</v>
      </c>
      <c r="EW167" s="14">
        <f>INT(SUMPRODUCT($AI167:$AM167,$BF167:$BJ167)/SUM($BF167:$BJ167)/10000*$BX$7*$BZ$46/'疲劳值&amp;地图信息'!$R$10*$BY$56)</f>
        <v>1606</v>
      </c>
      <c r="EX167" s="50">
        <f t="shared" si="264"/>
        <v>0.64602957743102996</v>
      </c>
      <c r="EY167" s="50">
        <f t="shared" si="265"/>
        <v>0.31547661848948971</v>
      </c>
      <c r="EZ167" s="50">
        <f t="shared" si="266"/>
        <v>3.8493804079480359E-2</v>
      </c>
      <c r="FA167" s="51">
        <f t="shared" si="267"/>
        <v>27470</v>
      </c>
      <c r="FB167" s="51">
        <f t="shared" si="268"/>
        <v>23181</v>
      </c>
      <c r="FC167" s="14">
        <f>INT(SUMPRODUCT($AP167:$AT167,$BF167:$BJ167)/SUM($BF167:$BJ167)/10000*$BX$7*$BZ$46/'疲劳值&amp;地图信息'!$R$10*$BY$57)</f>
        <v>2141</v>
      </c>
      <c r="FD167" s="50">
        <f t="shared" si="269"/>
        <v>0.52034399151386579</v>
      </c>
      <c r="FE167" s="50">
        <f t="shared" si="270"/>
        <v>0.43910062130625854</v>
      </c>
      <c r="FF167" s="50">
        <f t="shared" si="271"/>
        <v>4.0555387179875738E-2</v>
      </c>
      <c r="FH167" s="14">
        <f t="shared" si="272"/>
        <v>22225</v>
      </c>
      <c r="FI167" s="14">
        <f t="shared" si="273"/>
        <v>25068</v>
      </c>
      <c r="FJ167" s="14">
        <f t="shared" si="274"/>
        <v>28708</v>
      </c>
      <c r="FK167" s="14">
        <f t="shared" si="275"/>
        <v>41721</v>
      </c>
      <c r="FL167" s="14">
        <f t="shared" si="276"/>
        <v>52792</v>
      </c>
      <c r="FM167" s="14">
        <f t="shared" si="277"/>
        <v>2598568</v>
      </c>
      <c r="FP167" s="14">
        <f t="shared" si="278"/>
        <v>334150</v>
      </c>
      <c r="FQ167" s="50">
        <f t="shared" si="218"/>
        <v>0.11393867395364982</v>
      </c>
      <c r="FS167" s="14">
        <f t="shared" si="279"/>
        <v>2932718</v>
      </c>
      <c r="FX167" s="14">
        <v>162</v>
      </c>
      <c r="FY167" s="51">
        <f t="shared" si="280"/>
        <v>28268</v>
      </c>
      <c r="FZ167" s="51">
        <f t="shared" si="281"/>
        <v>1614</v>
      </c>
      <c r="GA167" s="51">
        <f>INT(SUMPRODUCT($N167:$R167,$BF167:$BJ167)/SUM($BF167:$BJ167)/10000*$BX$7*$BZ$46/'疲劳值&amp;地图信息'!$R$10*$BY$53)</f>
        <v>419</v>
      </c>
      <c r="GB167" s="50">
        <f t="shared" si="282"/>
        <v>0.93290650473581727</v>
      </c>
      <c r="GC167" s="50">
        <f t="shared" si="283"/>
        <v>5.326556879310914E-2</v>
      </c>
      <c r="GD167" s="50">
        <f t="shared" si="284"/>
        <v>1.3827926471073561E-2</v>
      </c>
      <c r="GE167" s="51">
        <f t="shared" si="285"/>
        <v>30279</v>
      </c>
      <c r="GF167" s="51">
        <f t="shared" si="286"/>
        <v>2652</v>
      </c>
      <c r="GG167" s="14">
        <f>INT(SUMPRODUCT($U167:$Y167,$BF167:$BJ167)/SUM($BF167:$BJ167)/10000*$BX$7*$BZ$46/'疲劳值&amp;地图信息'!$R$10*$BY$54)</f>
        <v>788</v>
      </c>
      <c r="GH167" s="50">
        <f t="shared" si="287"/>
        <v>0.89798036715205076</v>
      </c>
      <c r="GI167" s="50">
        <f t="shared" si="288"/>
        <v>7.8650019276965508E-2</v>
      </c>
      <c r="GJ167" s="50">
        <f t="shared" si="289"/>
        <v>2.336961357098372E-2</v>
      </c>
      <c r="GK167" s="51">
        <f t="shared" si="290"/>
        <v>32204</v>
      </c>
      <c r="GL167" s="51">
        <f t="shared" si="291"/>
        <v>4636</v>
      </c>
      <c r="GM167" s="14">
        <f>INT(SUMPRODUCT($AB167:$AF167,$BF167:$BJ167)/SUM($BF167:$BJ167)/10000*$BX$7*$BZ$46/'疲劳值&amp;地图信息'!$R$10*$BY$55)</f>
        <v>1070</v>
      </c>
      <c r="GN167" s="50">
        <f t="shared" si="292"/>
        <v>0.84948562384595094</v>
      </c>
      <c r="GO167" s="50">
        <f t="shared" si="293"/>
        <v>0.12228963334212609</v>
      </c>
      <c r="GP167" s="50">
        <f t="shared" si="294"/>
        <v>2.8224742811922974E-2</v>
      </c>
      <c r="GQ167" s="51">
        <f t="shared" si="295"/>
        <v>37735</v>
      </c>
      <c r="GR167" s="51">
        <f t="shared" si="296"/>
        <v>13162</v>
      </c>
      <c r="GS167" s="14">
        <f>INT(SUMPRODUCT($AI167:$AM167,$BF167:$BJ167)/SUM($BF167:$BJ167)/10000*$BX$7*$BZ$46/'疲劳值&amp;地图信息'!$R$10*$BY$56)</f>
        <v>1606</v>
      </c>
      <c r="GT167" s="50">
        <f t="shared" si="297"/>
        <v>0.7187208349999048</v>
      </c>
      <c r="GU167" s="50">
        <f t="shared" si="298"/>
        <v>0.25069043673694835</v>
      </c>
      <c r="GV167" s="50">
        <f t="shared" si="299"/>
        <v>3.0588728263146868E-2</v>
      </c>
      <c r="GW167" s="51">
        <f t="shared" si="300"/>
        <v>38458</v>
      </c>
      <c r="GX167" s="51">
        <f t="shared" si="301"/>
        <v>23181</v>
      </c>
      <c r="GY167" s="14">
        <f>INT(SUMPRODUCT($AP167:$AT167,$BF167:$BJ167)/SUM($BF167:$BJ167)/10000*$BX$7*$BZ$46/'疲劳值&amp;地图信息'!$R$10*$BY$57)</f>
        <v>2141</v>
      </c>
      <c r="GZ167" s="50">
        <f t="shared" si="302"/>
        <v>0.6029789902790843</v>
      </c>
      <c r="HA167" s="50">
        <f t="shared" si="303"/>
        <v>0.36345249294449672</v>
      </c>
      <c r="HB167" s="50">
        <f t="shared" si="304"/>
        <v>3.3568516776418943E-2</v>
      </c>
      <c r="HD167" s="14">
        <f t="shared" si="305"/>
        <v>30301</v>
      </c>
      <c r="HE167" s="14">
        <f t="shared" si="306"/>
        <v>33719</v>
      </c>
      <c r="HF167" s="14">
        <f t="shared" si="307"/>
        <v>37910</v>
      </c>
      <c r="HG167" s="14">
        <f t="shared" si="308"/>
        <v>52503</v>
      </c>
      <c r="HH167" s="14">
        <f t="shared" si="309"/>
        <v>63780</v>
      </c>
      <c r="HI167" s="14">
        <f t="shared" si="310"/>
        <v>3490735</v>
      </c>
      <c r="HL167" s="14">
        <f t="shared" si="311"/>
        <v>430050</v>
      </c>
      <c r="HM167" s="50">
        <f t="shared" si="219"/>
        <v>0.1096846677387309</v>
      </c>
      <c r="HO167" s="14">
        <f t="shared" si="312"/>
        <v>3920785</v>
      </c>
    </row>
    <row r="168" spans="11:223" x14ac:dyDescent="0.2">
      <c r="K168" s="14">
        <v>163</v>
      </c>
      <c r="L168" s="12">
        <f>求节点(节奏总纲!D$4:D$163,标准城池设计!AB$4:AB$163,$K168)*求节点(节奏总纲!D$4:D$163,攻城基础信息!$AC$5:$AC$164,$K168)</f>
        <v>596294.9474650328</v>
      </c>
      <c r="M168" s="12">
        <f>INDEX(其他调用!$AA$5:$AA$404,MATCH(K168,其他调用!$X$5:$X$404,0))*MIN(INDEX(其他调用!$AH$5:$AH$364,MATCH('征服点（新）'!K168,其他调用!$AG$5:$AG$364,0),1)/INDEX(其他调用!$AJ$5:$AJ$364,MATCH(K168,其他调用!$AG$5:$AG$364,0),0),5)*求节点(节奏总纲!D$4:D$163,攻城基础信息!$AC$5:$AC$164,$K168)</f>
        <v>47643.610273294253</v>
      </c>
      <c r="N168" s="12">
        <f>MIN(INDEX(其他调用!$AH$5:$AH$364,MATCH($K168,其他调用!$AG$5:$AG$364,0),1)/INDEX(其他调用!AH$5:AH$364,MATCH($K168,其他调用!$AG$5:$AG$364,0),0),1)*INDEX(其他调用!Y$5:Y$404,MATCH($K168,其他调用!$X$5:$X$404,0),0)</f>
        <v>38953.276970678839</v>
      </c>
      <c r="O168" s="12">
        <f>MIN(INDEX(其他调用!$AH$5:$AH$364,MATCH($K168,其他调用!$AG$5:$AG$364,0),1)/INDEX(其他调用!AI$5:AI$364,MATCH($K168,其他调用!$AG$5:$AG$364,0),0),1)*INDEX(其他调用!Z$5:Z$404,MATCH($K168,其他调用!$X$5:$X$404,0),0)</f>
        <v>24410.643871393815</v>
      </c>
      <c r="P168" s="12">
        <f>MIN(INDEX(其他调用!$AH$5:$AH$364,MATCH($K168,其他调用!$AG$5:$AG$364,0),1)/INDEX(其他调用!AJ$5:AJ$364,MATCH($K168,其他调用!$AG$5:$AG$364,0),0),1)*INDEX(其他调用!AA$5:AA$404,MATCH($K168,其他调用!$X$5:$X$404,0),0)</f>
        <v>14500.874902564874</v>
      </c>
      <c r="Q168" s="12">
        <f>MIN(INDEX(其他调用!$AH$5:$AH$364,MATCH($K168,其他调用!$AG$5:$AG$364,0),1)/INDEX(其他调用!AK$5:AK$364,MATCH($K168,其他调用!$AG$5:$AG$364,0),0),1)*INDEX(其他调用!AB$5:AB$404,MATCH($K168,其他调用!$X$5:$X$404,0),0)</f>
        <v>5367.341901470254</v>
      </c>
      <c r="R168" s="12">
        <f>MIN(INDEX(其他调用!$AH$5:$AH$364,MATCH($K168,其他调用!$AG$5:$AG$364,0),1)/INDEX(其他调用!AL$5:AL$364,MATCH($K168,其他调用!$AG$5:$AG$364,0),0),1)*INDEX(其他调用!AC$5:AC$404,MATCH($K168,其他调用!$X$5:$X$404,0),0)</f>
        <v>2055.8139882940786</v>
      </c>
      <c r="S168" s="12">
        <f>求节点(节奏总纲!D$4:D$163,标准城池设计!AC$4:AC$163,$K168)*求节点(节奏总纲!D$4:D$163,攻城基础信息!$AD$5:$AD$164,$K168)</f>
        <v>638479.61142535892</v>
      </c>
      <c r="T168" s="12">
        <f>INDEX(其他调用!$AA$5:$AA$404,MATCH($K168,其他调用!$X$5:$X$404,0))*MIN(INDEX(其他调用!AI$5:AI$364,MATCH($K168,其他调用!$AG$5:$AG$364,0),1)/INDEX(其他调用!$AJ$5:$AJ$364,MATCH($K168,其他调用!$AG$5:$AG$364,0),0),5)*求节点(节奏总纲!D$4:D$163,攻城基础信息!$AD$5:$AD$164,$K168)</f>
        <v>78281.611490057796</v>
      </c>
      <c r="U168" s="12">
        <f>MIN(INDEX(其他调用!$AI$5:$AI$364,MATCH($K168,其他调用!$AG$5:$AG$364,0),1)/INDEX(其他调用!AH$5:AH$364,MATCH($K168,其他调用!$AG$5:$AG$364,0),0),1)*INDEX(其他调用!Y$5:Y$404,MATCH($K168,其他调用!$X$5:$X$404,0),0)</f>
        <v>38953.276970678839</v>
      </c>
      <c r="V168" s="12">
        <f>MIN(INDEX(其他调用!$AI$5:$AI$364,MATCH($K168,其他调用!$AG$5:$AG$364,0),1)/INDEX(其他调用!AI$5:AI$364,MATCH($K168,其他调用!$AG$5:$AG$364,0),0),1)*INDEX(其他调用!Z$5:Z$404,MATCH($K168,其他调用!$X$5:$X$404,0),0)</f>
        <v>40108.306839075398</v>
      </c>
      <c r="W168" s="12">
        <f>MIN(INDEX(其他调用!$AI$5:$AI$364,MATCH($K168,其他调用!$AG$5:$AG$364,0),1)/INDEX(其他调用!AJ$5:AJ$364,MATCH($K168,其他调用!$AG$5:$AG$364,0),0),1)*INDEX(其他调用!AA$5:AA$404,MATCH($K168,其他调用!$X$5:$X$404,0),0)</f>
        <v>23825.899189356805</v>
      </c>
      <c r="X168" s="12">
        <f>MIN(INDEX(其他调用!$AI$5:$AI$364,MATCH($K168,其他调用!$AG$5:$AG$364,0),1)/INDEX(其他调用!AK$5:AK$364,MATCH($K168,其他调用!$AG$5:$AG$364,0),0),1)*INDEX(其他调用!AB$5:AB$404,MATCH($K168,其他调用!$X$5:$X$404,0),0)</f>
        <v>8818.8987160093075</v>
      </c>
      <c r="Y168" s="12">
        <f>MIN(INDEX(其他调用!$AI$5:$AI$364,MATCH($K168,其他调用!$AG$5:$AG$364,0),1)/INDEX(其他调用!AL$5:AL$364,MATCH($K168,其他调用!$AG$5:$AG$364,0),0),1)*INDEX(其他调用!AC$5:AC$404,MATCH($K168,其他调用!$X$5:$X$404,0),0)</f>
        <v>3377.838728096367</v>
      </c>
      <c r="Z168" s="12">
        <f>求节点(节奏总纲!D$4:D$163,标准城池设计!AD$4:AD$163,$K168)*求节点(节奏总纲!D$4:D$163,攻城基础信息!$AE$5:$AE$164,$K168)</f>
        <v>678898.71454899909</v>
      </c>
      <c r="AA168" s="12">
        <f>INDEX(其他调用!$AA$5:$AA$404,MATCH($K168,其他调用!$X$5:$X$404,0))*MIN(INDEX(其他调用!AJ$5:AJ$364,MATCH($K168,其他调用!$AG$5:$AG$364,0),1)/INDEX(其他调用!$AJ$5:$AJ$364,MATCH($K168,其他调用!$AG$5:$AG$364,0),0),5)*求节点(节奏总纲!D$4:D$163,攻城基础信息!$AE$5:$AE$164,$K168)</f>
        <v>136726.98194128193</v>
      </c>
      <c r="AB168" s="12">
        <f>MIN(INDEX(其他调用!$AJ$5:$AJ$364,MATCH($K168,其他调用!$AG$5:$AG$364,0),1)/INDEX(其他调用!AH$5:AH$364,MATCH($K168,其他调用!$AG$5:$AG$364,0),0),1)*INDEX(其他调用!Y$5:Y$404,MATCH($K168,其他调用!$X$5:$X$404,0),0)</f>
        <v>38953.276970678839</v>
      </c>
      <c r="AC168" s="12">
        <f>MIN(INDEX(其他调用!$AJ$5:$AJ$364,MATCH($K168,其他调用!$AG$5:$AG$364,0),1)/INDEX(其他调用!AI$5:AI$364,MATCH($K168,其他调用!$AG$5:$AG$364,0),0),1)*INDEX(其他调用!Z$5:Z$404,MATCH($K168,其他调用!$X$5:$X$404,0),0)</f>
        <v>40108.306839075398</v>
      </c>
      <c r="AD168" s="12">
        <f>MIN(INDEX(其他调用!$AJ$5:$AJ$364,MATCH($K168,其他调用!$AG$5:$AG$364,0),1)/INDEX(其他调用!AJ$5:AJ$364,MATCH($K168,其他调用!$AG$5:$AG$364,0),0),1)*INDEX(其他调用!AA$5:AA$404,MATCH($K168,其他调用!$X$5:$X$404,0),0)</f>
        <v>41614.412710598466</v>
      </c>
      <c r="AE168" s="12">
        <f>MIN(INDEX(其他调用!$AJ$5:$AJ$364,MATCH($K168,其他调用!$AG$5:$AG$364,0),1)/INDEX(其他调用!AK$5:AK$364,MATCH($K168,其他调用!$AG$5:$AG$364,0),0),1)*INDEX(其他调用!AB$5:AB$404,MATCH($K168,其他调用!$X$5:$X$404,0),0)</f>
        <v>15403.124469901082</v>
      </c>
      <c r="AF168" s="12">
        <f>MIN(INDEX(其他调用!$AJ$5:$AJ$364,MATCH($K168,其他调用!$AG$5:$AG$364,0),1)/INDEX(其他调用!AL$5:AL$364,MATCH($K168,其他调用!$AG$5:$AG$364,0),0),1)*INDEX(其他调用!AC$5:AC$404,MATCH($K168,其他调用!$X$5:$X$404,0),0)</f>
        <v>5899.7469007859045</v>
      </c>
      <c r="AG168" s="12">
        <f>求节点(节奏总纲!D$4:D$163,标准城池设计!AE$4:AE$163,$K168)*求节点(节奏总纲!D$4:D$163,攻城基础信息!$AF$5:$AF$164,$K168)</f>
        <v>796542.88292293495</v>
      </c>
      <c r="AH168" s="12">
        <f>INDEX(其他调用!$AA$5:$AA$404,MATCH($K168,其他调用!$X$5:$X$404,0))*MIN(INDEX(其他调用!AK$5:AK$364,MATCH($K168,其他调用!$AG$5:$AG$364,0),1)/INDEX(其他调用!$AJ$5:$AJ$364,MATCH($K168,其他调用!$AG$5:$AG$364,0),0),5)*求节点(节奏总纲!D$4:D$163,攻城基础信息!$AF$5:$AF$164,$K168)</f>
        <v>388897.03722981282</v>
      </c>
      <c r="AI168" s="12">
        <f>MIN(INDEX(其他调用!$AK$5:$AK$364,MATCH($K168,其他调用!$AG$5:$AG$364,0),1)/INDEX(其他调用!AH$5:AH$364,MATCH($K168,其他调用!$AG$5:$AG$364,0),0),1)*INDEX(其他调用!Y$5:Y$404,MATCH($K168,其他调用!$X$5:$X$404,0),0)</f>
        <v>38953.276970678839</v>
      </c>
      <c r="AJ168" s="12">
        <f>MIN(INDEX(其他调用!$AK$5:$AK$364,MATCH($K168,其他调用!$AG$5:$AG$364,0),1)/INDEX(其他调用!AI$5:AI$364,MATCH($K168,其他调用!$AG$5:$AG$364,0),0),1)*INDEX(其他调用!Z$5:Z$404,MATCH($K168,其他调用!$X$5:$X$404,0),0)</f>
        <v>40108.306839075398</v>
      </c>
      <c r="AK168" s="12">
        <f>MIN(INDEX(其他调用!$AK$5:$AK$364,MATCH($K168,其他调用!$AG$5:$AG$364,0),1)/INDEX(其他调用!AJ$5:AJ$364,MATCH($K168,其他调用!$AG$5:$AG$364,0),0),1)*INDEX(其他调用!AA$5:AA$404,MATCH($K168,其他调用!$X$5:$X$404,0),0)</f>
        <v>41614.412710598466</v>
      </c>
      <c r="AL168" s="12">
        <f>MIN(INDEX(其他调用!$AK$5:$AK$364,MATCH($K168,其他调用!$AG$5:$AG$364,0),1)/INDEX(其他调用!AK$5:AK$364,MATCH($K168,其他调用!$AG$5:$AG$364,0),0),1)*INDEX(其他调用!AB$5:AB$404,MATCH($K168,其他调用!$X$5:$X$404,0),0)</f>
        <v>43811.611909923486</v>
      </c>
      <c r="AM168" s="12">
        <f>MIN(INDEX(其他调用!$AK$5:$AK$364,MATCH($K168,其他调用!$AG$5:$AG$364,0),1)/INDEX(其他调用!AL$5:AL$364,MATCH($K168,其他调用!$AG$5:$AG$364,0),0),1)*INDEX(其他调用!AC$5:AC$404,MATCH($K168,其他调用!$X$5:$X$404,0),0)</f>
        <v>16780.843528797755</v>
      </c>
      <c r="AN168" s="12">
        <f>求节点(节奏总纲!D$4:D$163,标准城池设计!AF$4:AF$163,$K168)*求节点(节奏总纲!D$4:D$163,攻城基础信息!$AG$5:$AG$164,$K168)</f>
        <v>812088.98813148739</v>
      </c>
      <c r="AO168" s="12">
        <f>INDEX(其他调用!$AA$5:$AA$404,MATCH($K168,其他调用!$X$5:$X$404,0))*MIN(INDEX(其他调用!AL$5:AL$364,MATCH($K168,其他调用!$AG$5:$AG$364,0),1)/INDEX(其他调用!$AJ$5:$AJ$364,MATCH($K168,其他调用!$AG$5:$AG$364,0),0),5)*求节点(节奏总纲!D$4:D$163,攻城基础信息!$AG$5:$AG$164,$K168)</f>
        <v>683634.90970640967</v>
      </c>
      <c r="AP168" s="12">
        <f>MIN(INDEX(其他调用!$AL$5:$AL$364,MATCH($K168,其他调用!$AG$5:$AG$364,0),1)/INDEX(其他调用!AH$5:AH$364,MATCH($K168,其他调用!$AG$5:$AG$364,0),0),1)*INDEX(其他调用!Y$5:Y$404,MATCH($K168,其他调用!$X$5:$X$404,0),0)</f>
        <v>38953.276970678839</v>
      </c>
      <c r="AQ168" s="12">
        <f>MIN(INDEX(其他调用!$AL$5:$AL$364,MATCH($K168,其他调用!$AG$5:$AG$364,0),1)/INDEX(其他调用!AI$5:AI$364,MATCH($K168,其他调用!$AG$5:$AG$364,0),0),1)*INDEX(其他调用!Z$5:Z$404,MATCH($K168,其他调用!$X$5:$X$404,0),0)</f>
        <v>40108.306839075398</v>
      </c>
      <c r="AR168" s="12">
        <f>MIN(INDEX(其他调用!$AL$5:$AL$364,MATCH($K168,其他调用!$AG$5:$AG$364,0),1)/INDEX(其他调用!AJ$5:AJ$364,MATCH($K168,其他调用!$AG$5:$AG$364,0),0),1)*INDEX(其他调用!AA$5:AA$404,MATCH($K168,其他调用!$X$5:$X$404,0),0)</f>
        <v>41614.412710598466</v>
      </c>
      <c r="AS168" s="12">
        <f>MIN(INDEX(其他调用!$AL$5:$AL$364,MATCH($K168,其他调用!$AG$5:$AG$364,0),1)/INDEX(其他调用!AK$5:AK$364,MATCH($K168,其他调用!$AG$5:$AG$364,0),0),1)*INDEX(其他调用!AB$5:AB$404,MATCH($K168,其他调用!$X$5:$X$404,0),0)</f>
        <v>43811.611909923486</v>
      </c>
      <c r="AT168" s="12">
        <f>MIN(INDEX(其他调用!$AL$5:$AL$364,MATCH($K168,其他调用!$AG$5:$AG$364,0),1)/INDEX(其他调用!AL$5:AL$364,MATCH($K168,其他调用!$AG$5:$AG$364,0),0),1)*INDEX(其他调用!AC$5:AC$404,MATCH($K168,其他调用!$X$5:$X$404,0),0)</f>
        <v>47759.83477690463</v>
      </c>
      <c r="AV168" s="14">
        <f>IF(OR(AV$5="大R",AV$5="超R"),MAX(INDEX(其他调用!$H$5:$L$404,MATCH($K168,其他调用!$B$5:$B$404,0),MATCH(AV$5,其他调用!$H$4:$L$4,0))*120*0.85,2),INDEX(其他调用!$H$5:$L$404,MATCH($K168,其他调用!$B$5:$B$404,0),MATCH(AV$5,其他调用!$H$4:$L$4,0))*120*0.85)</f>
        <v>48.921801254999991</v>
      </c>
      <c r="AW168" s="14">
        <f>IF(OR(AW$5="大R",AW$5="超R"),MAX(INDEX(其他调用!$H$5:$L$404,MATCH($K168,其他调用!$B$5:$B$404,0),MATCH(AW$5,其他调用!$H$4:$L$4,0))*120*0.85,2),INDEX(其他调用!$H$5:$L$404,MATCH($K168,其他调用!$B$5:$B$404,0),MATCH(AW$5,其他调用!$H$4:$L$4,0))*120*0.85)</f>
        <v>48.237344010638395</v>
      </c>
      <c r="AX168" s="14">
        <f>IF(OR(AX$5="大R",AX$5="超R"),MAX(INDEX(其他调用!$H$5:$L$404,MATCH($K168,其他调用!$B$5:$B$404,0),MATCH(AX$5,其他调用!$H$4:$L$4,0))*120*0.85,2),INDEX(其他调用!$H$5:$L$404,MATCH($K168,其他调用!$B$5:$B$404,0),MATCH(AX$5,其他调用!$H$4:$L$4,0))*120*0.85)</f>
        <v>3.9376284143615998</v>
      </c>
      <c r="AY168" s="14">
        <f>IF(OR(AY$5="大R",AY$5="超R"),MAX(INDEX(其他调用!$H$5:$L$404,MATCH($K168,其他调用!$B$5:$B$404,0),MATCH(AY$5,其他调用!$H$4:$L$4,0))*120*0.85,2),INDEX(其他调用!$H$5:$L$404,MATCH($K168,其他调用!$B$5:$B$404,0),MATCH(AY$5,其他调用!$H$4:$L$4,0))*120*0.85)</f>
        <v>2</v>
      </c>
      <c r="AZ168" s="14">
        <f>IF(OR(AZ$5="大R",AZ$5="超R"),MAX(INDEX(其他调用!$H$5:$L$404,MATCH($K168,其他调用!$B$5:$B$404,0),MATCH(AZ$5,其他调用!$H$4:$L$4,0))*120*0.85,2),INDEX(其他调用!$H$5:$L$404,MATCH($K168,其他调用!$B$5:$B$404,0),MATCH(AZ$5,其他调用!$H$4:$L$4,0))*120*0.85)</f>
        <v>2</v>
      </c>
      <c r="BA168" s="14">
        <f>INDEX(其他调用!$H$5:$L$404,MATCH($K168,其他调用!$B$5:$B$404,0),MATCH(BA$5,其他调用!$H$4:$L$4,0))*INDEX(其他调用!$M$5:$M$404,MATCH($K168,其他调用!$B$5:$B$404,0))*0.6</f>
        <v>28.777530149999997</v>
      </c>
      <c r="BB168" s="14">
        <f>INDEX(其他调用!$H$5:$L$404,MATCH($K168,其他调用!$B$5:$B$404,0),MATCH(BB$5,其他调用!$H$4:$L$4,0))*INDEX(其他调用!$M$5:$M$404,MATCH($K168,其他调用!$B$5:$B$404,0))*0.6</f>
        <v>28.374908241551999</v>
      </c>
      <c r="BC168" s="14">
        <f>INDEX(其他调用!$H$5:$L$404,MATCH($K168,其他调用!$B$5:$B$404,0),MATCH(BC$5,其他调用!$H$4:$L$4,0))*INDEX(其他调用!$M$5:$M$404,MATCH($K168,其他调用!$B$5:$B$404,0))*0.6</f>
        <v>2.3162520084480001</v>
      </c>
      <c r="BD168" s="14">
        <f>INDEX(其他调用!$H$5:$L$404,MATCH($K168,其他调用!$B$5:$B$404,0),MATCH(BD$5,其他调用!$H$4:$L$4,0))*INDEX(其他调用!$M$5:$M$404,MATCH($K168,其他调用!$B$5:$B$404,0))*0.6</f>
        <v>0.4120776000000001</v>
      </c>
      <c r="BE168" s="14">
        <f>INDEX(其他调用!$H$5:$L$404,MATCH($K168,其他调用!$B$5:$B$404,0),MATCH(BE$5,其他调用!$H$4:$L$4,0))*INDEX(其他调用!$M$5:$M$404,MATCH($K168,其他调用!$B$5:$B$404,0))*0.6</f>
        <v>0.11923199999999998</v>
      </c>
      <c r="BF168" s="14">
        <f>IF(OR(BF$5="大R",BF$5="超R"),0,INDEX(其他调用!$H$5:$L$404,MATCH($K168,其他调用!$B$5:$B$404,0),MATCH(BF$5,其他调用!$H$4:$L$4,0))*50*0.4)</f>
        <v>9.5925100500000013</v>
      </c>
      <c r="BG168" s="14">
        <f>IF(OR(BG$5="大R",BG$5="超R"),0,INDEX(其他调用!$H$5:$L$404,MATCH($K168,其他调用!$B$5:$B$404,0),MATCH(BG$5,其他调用!$H$4:$L$4,0))*50*0.4)</f>
        <v>9.4583027471839998</v>
      </c>
      <c r="BH168" s="14">
        <f>IF(OR(BH$5="大R",BH$5="超R"),0,INDEX(其他调用!$H$5:$L$404,MATCH($K168,其他调用!$B$5:$B$404,0),MATCH(BH$5,其他调用!$H$4:$L$4,0))*50*0.4)</f>
        <v>0.77208400281600009</v>
      </c>
      <c r="BI168" s="14">
        <f>IF(OR(BI$5="大R",BI$5="超R"),0,INDEX(其他调用!$H$5:$L$404,MATCH($K168,其他调用!$B$5:$B$404,0),MATCH(BI$5,其他调用!$H$4:$L$4,0))*50*0.4)</f>
        <v>0</v>
      </c>
      <c r="BJ168" s="14">
        <f>IF(OR(BJ$5="大R",BJ$5="超R"),0,INDEX(其他调用!$H$5:$L$404,MATCH($K168,其他调用!$B$5:$B$404,0),MATCH(BJ$5,其他调用!$H$4:$L$4,0))*50*0.4)</f>
        <v>0</v>
      </c>
      <c r="BL168" s="14">
        <f t="shared" si="313"/>
        <v>163</v>
      </c>
      <c r="BM168" s="14">
        <f t="shared" si="220"/>
        <v>96</v>
      </c>
      <c r="BN168" s="14">
        <f>('疲劳值&amp;地图信息'!$S$10*'疲劳值&amp;地图信息'!$R$10+'疲劳值&amp;地图信息'!$S$11*'疲劳值&amp;地图信息'!$R$11+'疲劳值&amp;地图信息'!$S$12*'疲劳值&amp;地图信息'!$R$12+(BM168-'疲劳值&amp;地图信息'!$S$12-'疲劳值&amp;地图信息'!$S$11-'疲劳值&amp;地图信息'!$S$10)*'疲劳值&amp;地图信息'!$R$13)/BM168</f>
        <v>51.371477246638619</v>
      </c>
      <c r="BO168" s="14">
        <f>INDEX(其他调用!$M$5:$M$404,MATCH(BL168,其他调用!$B$5:$B$404,0))*0.6</f>
        <v>60</v>
      </c>
      <c r="BP168" s="14">
        <f>IF(BO168&gt;SUM('疲劳值&amp;地图信息'!$S$10:$S$12),('疲劳值&amp;地图信息'!$S$10*'疲劳值&amp;地图信息'!$R$10+'疲劳值&amp;地图信息'!$S$11*'疲劳值&amp;地图信息'!$R$11+'疲劳值&amp;地图信息'!$S$12*'疲劳值&amp;地图信息'!$R$12+(BO168-'疲劳值&amp;地图信息'!$S$12-'疲劳值&amp;地图信息'!$S$11-'疲劳值&amp;地图信息'!$S$10)*'疲劳值&amp;地图信息'!$R$13)/BO168,('疲劳值&amp;地图信息'!$S$10*'疲劳值&amp;地图信息'!$R$10+'疲劳值&amp;地图信息'!$S$11*'疲劳值&amp;地图信息'!$R$11+'疲劳值&amp;地图信息'!$S$12*'疲劳值&amp;地图信息'!$R$12+(BO168-'疲劳值&amp;地图信息'!$S$12-'疲劳值&amp;地图信息'!$S$11-'疲劳值&amp;地图信息'!$S$10)*'疲劳值&amp;地图信息'!$R$13)/BO168)</f>
        <v>44.158136341605953</v>
      </c>
      <c r="BQ168" s="14">
        <f t="shared" si="314"/>
        <v>20</v>
      </c>
      <c r="BR168" s="14">
        <f>('疲劳值&amp;地图信息'!$S$10*'疲劳值&amp;地图信息'!$R$10+($BQ168-'疲劳值&amp;地图信息'!$S$10)*'疲劳值&amp;地图信息'!$R$11)/$BQ168</f>
        <v>32.067203015074995</v>
      </c>
      <c r="CF168" s="14">
        <v>163</v>
      </c>
      <c r="CG168" s="51">
        <f t="shared" si="221"/>
        <v>12153</v>
      </c>
      <c r="CH168" s="51">
        <f t="shared" si="222"/>
        <v>971</v>
      </c>
      <c r="CI168" s="51">
        <f>INT(SUMPRODUCT($N168:$R168,$BA168:$BE168)/SUM($BA168:$BE168)/10000*$BX$7*$BZ$34/'疲劳值&amp;地图信息'!$R$10*$BY$53)</f>
        <v>3128</v>
      </c>
      <c r="CJ168" s="50">
        <f t="shared" si="223"/>
        <v>0.74778488801378296</v>
      </c>
      <c r="CK168" s="50">
        <f t="shared" si="224"/>
        <v>5.9746492739355159E-2</v>
      </c>
      <c r="CL168" s="50">
        <f t="shared" si="225"/>
        <v>0.19246861924686193</v>
      </c>
      <c r="CM168" s="14">
        <f t="shared" si="226"/>
        <v>13013</v>
      </c>
      <c r="CN168" s="14">
        <f t="shared" si="227"/>
        <v>1595</v>
      </c>
      <c r="CO168" s="14">
        <f>INT(SUMPRODUCT($U168:$Y168,$BA168:$BE168)/SUM($BA168:$BE168)/10000*$BX$7*$BZ$34/'疲劳值&amp;地图信息'!$R$10*$BY$54)</f>
        <v>5880</v>
      </c>
      <c r="CP168" s="50">
        <f t="shared" si="228"/>
        <v>0.63515228426395942</v>
      </c>
      <c r="CQ168" s="50">
        <f t="shared" si="229"/>
        <v>7.7850449043342443E-2</v>
      </c>
      <c r="CR168" s="50">
        <f t="shared" si="230"/>
        <v>0.28699726669269815</v>
      </c>
      <c r="CS168" s="14">
        <f t="shared" si="231"/>
        <v>13836</v>
      </c>
      <c r="CT168" s="14">
        <f t="shared" si="232"/>
        <v>2786</v>
      </c>
      <c r="CU168" s="14">
        <f>INT(SUMPRODUCT($AB168:$AF168,$BA168:$BE168)/SUM($BA168:$BE168)/10000*$BX$7*$BZ$34/'疲劳值&amp;地图信息'!$R$10*$BY$55)</f>
        <v>7990</v>
      </c>
      <c r="CV168" s="50">
        <f t="shared" si="233"/>
        <v>0.56216479765967819</v>
      </c>
      <c r="CW168" s="50">
        <f t="shared" si="234"/>
        <v>0.11319681456200227</v>
      </c>
      <c r="CX168" s="50">
        <f t="shared" si="235"/>
        <v>0.32463838777831949</v>
      </c>
      <c r="CY168" s="14">
        <f t="shared" si="236"/>
        <v>16234</v>
      </c>
      <c r="CZ168" s="14">
        <f t="shared" si="237"/>
        <v>7926</v>
      </c>
      <c r="DA168" s="14">
        <f>INT(SUMPRODUCT($AI168:$AM168,$BA168:$BE168)/SUM($BA168:$BE168)/10000*$BX$7*$BZ$34/'疲劳值&amp;地图信息'!$R$10*$BY$56)</f>
        <v>12051</v>
      </c>
      <c r="DB168" s="50">
        <f t="shared" si="238"/>
        <v>0.44831680980917399</v>
      </c>
      <c r="DC168" s="50">
        <f t="shared" si="239"/>
        <v>0.21888376460191655</v>
      </c>
      <c r="DD168" s="50">
        <f t="shared" si="240"/>
        <v>0.33279942558890946</v>
      </c>
      <c r="DE168" s="14">
        <f t="shared" si="241"/>
        <v>16551</v>
      </c>
      <c r="DF168" s="14">
        <f t="shared" si="242"/>
        <v>13933</v>
      </c>
      <c r="DG168" s="14">
        <f>INT(SUMPRODUCT($AP168:$AT168,$BA168:$BE168)/SUM($BA168:$BE168)/10000*$BX$7*$BZ$34/'疲劳值&amp;地图信息'!$R$10*$BY$57)</f>
        <v>16093</v>
      </c>
      <c r="DH168" s="50">
        <f t="shared" si="243"/>
        <v>0.35534705970758101</v>
      </c>
      <c r="DI168" s="50">
        <f t="shared" si="244"/>
        <v>0.29913906005109819</v>
      </c>
      <c r="DJ168" s="50">
        <f t="shared" si="245"/>
        <v>0.34551388024132085</v>
      </c>
      <c r="DL168" s="14">
        <f t="shared" si="316"/>
        <v>16252</v>
      </c>
      <c r="DM168" s="14">
        <f t="shared" si="317"/>
        <v>20488</v>
      </c>
      <c r="DN168" s="14">
        <f t="shared" si="318"/>
        <v>24612</v>
      </c>
      <c r="DO168" s="14">
        <f t="shared" si="319"/>
        <v>36211</v>
      </c>
      <c r="DP168" s="14">
        <f t="shared" si="320"/>
        <v>46577</v>
      </c>
      <c r="DQ168" s="14">
        <f t="shared" si="321"/>
        <v>1126520</v>
      </c>
      <c r="DT168" s="14">
        <f t="shared" si="315"/>
        <v>235575</v>
      </c>
      <c r="DU168" s="50">
        <f t="shared" si="217"/>
        <v>0.17295049170579144</v>
      </c>
      <c r="DW168" s="14">
        <f t="shared" si="246"/>
        <v>1362095</v>
      </c>
      <c r="EB168" s="14">
        <v>163</v>
      </c>
      <c r="EC168" s="51">
        <f t="shared" si="247"/>
        <v>20255</v>
      </c>
      <c r="ED168" s="51">
        <f t="shared" si="248"/>
        <v>1618</v>
      </c>
      <c r="EE168" s="51">
        <f>INT(SUMPRODUCT($N168:$R168,$BF168:$BJ168)/SUM($BF168:$BJ168)/10000*$BX$7*$BZ$46/'疲劳值&amp;地图信息'!$R$10*$BY$53)</f>
        <v>420</v>
      </c>
      <c r="EF168" s="50">
        <f t="shared" si="249"/>
        <v>0.90858116897680885</v>
      </c>
      <c r="EG168" s="50">
        <f t="shared" si="250"/>
        <v>7.2578836406046746E-2</v>
      </c>
      <c r="EH168" s="50">
        <f t="shared" si="251"/>
        <v>1.8839994617144393E-2</v>
      </c>
      <c r="EI168" s="51">
        <f t="shared" si="252"/>
        <v>21688</v>
      </c>
      <c r="EJ168" s="51">
        <f t="shared" si="253"/>
        <v>2659</v>
      </c>
      <c r="EK168" s="14">
        <f>INT(SUMPRODUCT($U168:$Y168,$BF168:$BJ168)/SUM($BF168:$BJ168)/10000*$BX$7*$BZ$46/'疲劳值&amp;地图信息'!$R$10*$BY$54)</f>
        <v>789</v>
      </c>
      <c r="EL168" s="50">
        <f t="shared" si="254"/>
        <v>0.86282622533418207</v>
      </c>
      <c r="EM168" s="50">
        <f t="shared" si="255"/>
        <v>0.10578453214513049</v>
      </c>
      <c r="EN168" s="50">
        <f t="shared" si="256"/>
        <v>3.1389242520687463E-2</v>
      </c>
      <c r="EO168" s="51">
        <f t="shared" si="257"/>
        <v>23061</v>
      </c>
      <c r="EP168" s="51">
        <f t="shared" si="258"/>
        <v>4644</v>
      </c>
      <c r="EQ168" s="14">
        <f>INT(SUMPRODUCT($AB168:$AF168,$BF168:$BJ168)/SUM($BF168:$BJ168)/10000*$BX$7*$BZ$46/'疲劳值&amp;地图信息'!$R$10*$BY$55)</f>
        <v>1071</v>
      </c>
      <c r="ER168" s="50">
        <f t="shared" si="259"/>
        <v>0.80139699749791493</v>
      </c>
      <c r="ES168" s="50">
        <f t="shared" si="260"/>
        <v>0.16138448707256048</v>
      </c>
      <c r="ET168" s="50">
        <f t="shared" si="261"/>
        <v>3.7218515429524604E-2</v>
      </c>
      <c r="EU168" s="51">
        <f t="shared" si="262"/>
        <v>27057</v>
      </c>
      <c r="EV168" s="51">
        <f t="shared" si="263"/>
        <v>13210</v>
      </c>
      <c r="EW168" s="14">
        <f>INT(SUMPRODUCT($AI168:$AM168,$BF168:$BJ168)/SUM($BF168:$BJ168)/10000*$BX$7*$BZ$46/'疲劳值&amp;地图信息'!$R$10*$BY$56)</f>
        <v>1607</v>
      </c>
      <c r="EX168" s="50">
        <f t="shared" si="264"/>
        <v>0.6461527439461241</v>
      </c>
      <c r="EY168" s="50">
        <f t="shared" si="265"/>
        <v>0.3154702201843626</v>
      </c>
      <c r="EZ168" s="50">
        <f t="shared" si="266"/>
        <v>3.8377035869513298E-2</v>
      </c>
      <c r="FA168" s="51">
        <f t="shared" si="267"/>
        <v>27585</v>
      </c>
      <c r="FB168" s="51">
        <f t="shared" si="268"/>
        <v>23222</v>
      </c>
      <c r="FC168" s="14">
        <f>INT(SUMPRODUCT($AP168:$AT168,$BF168:$BJ168)/SUM($BF168:$BJ168)/10000*$BX$7*$BZ$46/'疲劳值&amp;地图信息'!$R$10*$BY$57)</f>
        <v>2143</v>
      </c>
      <c r="FD168" s="50">
        <f t="shared" si="269"/>
        <v>0.52096317280453253</v>
      </c>
      <c r="FE168" s="50">
        <f t="shared" si="270"/>
        <v>0.43856468366383383</v>
      </c>
      <c r="FF168" s="50">
        <f t="shared" si="271"/>
        <v>4.0472143531633614E-2</v>
      </c>
      <c r="FH168" s="14">
        <f t="shared" si="272"/>
        <v>22293</v>
      </c>
      <c r="FI168" s="14">
        <f t="shared" si="273"/>
        <v>25136</v>
      </c>
      <c r="FJ168" s="14">
        <f t="shared" si="274"/>
        <v>28776</v>
      </c>
      <c r="FK168" s="14">
        <f t="shared" si="275"/>
        <v>41874</v>
      </c>
      <c r="FL168" s="14">
        <f t="shared" si="276"/>
        <v>52950</v>
      </c>
      <c r="FM168" s="14">
        <f t="shared" si="277"/>
        <v>2606064</v>
      </c>
      <c r="FP168" s="14">
        <f t="shared" si="278"/>
        <v>334150</v>
      </c>
      <c r="FQ168" s="50">
        <f t="shared" si="218"/>
        <v>0.1136481902337721</v>
      </c>
      <c r="FS168" s="14">
        <f t="shared" si="279"/>
        <v>2940214</v>
      </c>
      <c r="FX168" s="14">
        <v>163</v>
      </c>
      <c r="FY168" s="51">
        <f t="shared" si="280"/>
        <v>28357</v>
      </c>
      <c r="FZ168" s="51">
        <f t="shared" si="281"/>
        <v>1618</v>
      </c>
      <c r="GA168" s="51">
        <f>INT(SUMPRODUCT($N168:$R168,$BF168:$BJ168)/SUM($BF168:$BJ168)/10000*$BX$7*$BZ$46/'疲劳值&amp;地图信息'!$R$10*$BY$53)</f>
        <v>420</v>
      </c>
      <c r="GB168" s="50">
        <f t="shared" si="282"/>
        <v>0.93294949827274221</v>
      </c>
      <c r="GC168" s="50">
        <f t="shared" si="283"/>
        <v>5.3232439545977957E-2</v>
      </c>
      <c r="GD168" s="50">
        <f t="shared" si="284"/>
        <v>1.3818062181279817E-2</v>
      </c>
      <c r="GE168" s="51">
        <f t="shared" si="285"/>
        <v>30363</v>
      </c>
      <c r="GF168" s="51">
        <f t="shared" si="286"/>
        <v>2659</v>
      </c>
      <c r="GG168" s="14">
        <f>INT(SUMPRODUCT($U168:$Y168,$BF168:$BJ168)/SUM($BF168:$BJ168)/10000*$BX$7*$BZ$46/'疲劳值&amp;地图信息'!$R$10*$BY$54)</f>
        <v>789</v>
      </c>
      <c r="GH168" s="50">
        <f t="shared" si="287"/>
        <v>0.89802135399721983</v>
      </c>
      <c r="GI168" s="50">
        <f t="shared" si="288"/>
        <v>7.8643045162816838E-2</v>
      </c>
      <c r="GJ168" s="50">
        <f t="shared" si="289"/>
        <v>2.3335600839963326E-2</v>
      </c>
      <c r="GK168" s="51">
        <f t="shared" si="290"/>
        <v>32285</v>
      </c>
      <c r="GL168" s="51">
        <f t="shared" si="291"/>
        <v>4644</v>
      </c>
      <c r="GM168" s="14">
        <f>INT(SUMPRODUCT($AB168:$AF168,$BF168:$BJ168)/SUM($BF168:$BJ168)/10000*$BX$7*$BZ$46/'疲劳值&amp;地图信息'!$R$10*$BY$55)</f>
        <v>1071</v>
      </c>
      <c r="GN168" s="50">
        <f t="shared" si="292"/>
        <v>0.84960526315789475</v>
      </c>
      <c r="GO168" s="50">
        <f t="shared" si="293"/>
        <v>0.12221052631578948</v>
      </c>
      <c r="GP168" s="50">
        <f t="shared" si="294"/>
        <v>2.8184210526315791E-2</v>
      </c>
      <c r="GQ168" s="51">
        <f t="shared" si="295"/>
        <v>37880</v>
      </c>
      <c r="GR168" s="51">
        <f t="shared" si="296"/>
        <v>13210</v>
      </c>
      <c r="GS168" s="14">
        <f>INT(SUMPRODUCT($AI168:$AM168,$BF168:$BJ168)/SUM($BF168:$BJ168)/10000*$BX$7*$BZ$46/'疲劳值&amp;地图信息'!$R$10*$BY$56)</f>
        <v>1607</v>
      </c>
      <c r="GT168" s="50">
        <f t="shared" si="297"/>
        <v>0.71882649866216297</v>
      </c>
      <c r="GU168" s="50">
        <f t="shared" si="298"/>
        <v>0.25067840674042163</v>
      </c>
      <c r="GV168" s="50">
        <f t="shared" si="299"/>
        <v>3.0495094597415413E-2</v>
      </c>
      <c r="GW168" s="51">
        <f t="shared" si="300"/>
        <v>38619</v>
      </c>
      <c r="GX168" s="51">
        <f t="shared" si="301"/>
        <v>23222</v>
      </c>
      <c r="GY168" s="14">
        <f>INT(SUMPRODUCT($AP168:$AT168,$BF168:$BJ168)/SUM($BF168:$BJ168)/10000*$BX$7*$BZ$46/'疲劳值&amp;地图信息'!$R$10*$BY$57)</f>
        <v>2143</v>
      </c>
      <c r="GZ168" s="50">
        <f t="shared" si="302"/>
        <v>0.60357276819204797</v>
      </c>
      <c r="HA168" s="50">
        <f t="shared" si="303"/>
        <v>0.36293448362090525</v>
      </c>
      <c r="HB168" s="50">
        <f t="shared" si="304"/>
        <v>3.3492748187046763E-2</v>
      </c>
      <c r="HD168" s="14">
        <f t="shared" si="305"/>
        <v>30395</v>
      </c>
      <c r="HE168" s="14">
        <f t="shared" si="306"/>
        <v>33811</v>
      </c>
      <c r="HF168" s="14">
        <f t="shared" si="307"/>
        <v>38000</v>
      </c>
      <c r="HG168" s="14">
        <f t="shared" si="308"/>
        <v>52697</v>
      </c>
      <c r="HH168" s="14">
        <f t="shared" si="309"/>
        <v>63984</v>
      </c>
      <c r="HI168" s="14">
        <f t="shared" si="310"/>
        <v>3500922</v>
      </c>
      <c r="HL168" s="14">
        <f t="shared" si="311"/>
        <v>430050</v>
      </c>
      <c r="HM168" s="50">
        <f t="shared" si="219"/>
        <v>0.10940042310146193</v>
      </c>
      <c r="HO168" s="14">
        <f t="shared" si="312"/>
        <v>3930972</v>
      </c>
    </row>
    <row r="169" spans="11:223" x14ac:dyDescent="0.2">
      <c r="K169" s="14">
        <v>164</v>
      </c>
      <c r="L169" s="12">
        <f>求节点(节奏总纲!D$4:D$163,标准城池设计!AB$4:AB$163,$K169)*求节点(节奏总纲!D$4:D$163,攻城基础信息!$AC$5:$AC$164,$K169)</f>
        <v>598161.92529768473</v>
      </c>
      <c r="M169" s="12">
        <f>INDEX(其他调用!$AA$5:$AA$404,MATCH(K169,其他调用!$X$5:$X$404,0))*MIN(INDEX(其他调用!$AH$5:$AH$364,MATCH('征服点（新）'!K169,其他调用!$AG$5:$AG$364,0),1)/INDEX(其他调用!$AJ$5:$AJ$364,MATCH(K169,其他调用!$AG$5:$AG$364,0),0),5)*求节点(节奏总纲!D$4:D$163,攻城基础信息!$AC$5:$AC$164,$K169)</f>
        <v>47755.114273706989</v>
      </c>
      <c r="N169" s="12">
        <f>MIN(INDEX(其他调用!$AH$5:$AH$364,MATCH($K169,其他调用!$AG$5:$AG$364,0),1)/INDEX(其他调用!AH$5:AH$364,MATCH($K169,其他调用!$AG$5:$AG$364,0),0),1)*INDEX(其他调用!Y$5:Y$404,MATCH($K169,其他调用!$X$5:$X$404,0),0)</f>
        <v>38988.022284316743</v>
      </c>
      <c r="O169" s="12">
        <f>MIN(INDEX(其他调用!$AH$5:$AH$364,MATCH($K169,其他调用!$AG$5:$AG$364,0),1)/INDEX(其他调用!AI$5:AI$364,MATCH($K169,其他调用!$AG$5:$AG$364,0),0),1)*INDEX(其他调用!Z$5:Z$404,MATCH($K169,其他调用!$X$5:$X$404,0),0)</f>
        <v>24431.703013690028</v>
      </c>
      <c r="P169" s="12">
        <f>MIN(INDEX(其他调用!$AH$5:$AH$364,MATCH($K169,其他调用!$AG$5:$AG$364,0),1)/INDEX(其他调用!AJ$5:AJ$364,MATCH($K169,其他调用!$AG$5:$AG$364,0),0),1)*INDEX(其他调用!AA$5:AA$404,MATCH($K169,其他调用!$X$5:$X$404,0),0)</f>
        <v>14521.786581889693</v>
      </c>
      <c r="Q169" s="12">
        <f>MIN(INDEX(其他调用!$AH$5:$AH$364,MATCH($K169,其他调用!$AG$5:$AG$364,0),1)/INDEX(其他调用!AK$5:AK$364,MATCH($K169,其他调用!$AG$5:$AG$364,0),0),1)*INDEX(其他调用!AB$5:AB$404,MATCH($K169,其他调用!$X$5:$X$404,0),0)</f>
        <v>5365.1293504481901</v>
      </c>
      <c r="R169" s="12">
        <f>MIN(INDEX(其他调用!$AH$5:$AH$364,MATCH($K169,其他调用!$AG$5:$AG$364,0),1)/INDEX(其他调用!AL$5:AL$364,MATCH($K169,其他调用!$AG$5:$AG$364,0),0),1)*INDEX(其他调用!AC$5:AC$404,MATCH($K169,其他调用!$X$5:$X$404,0),0)</f>
        <v>2064.7529839318595</v>
      </c>
      <c r="S169" s="12">
        <f>求节点(节奏总纲!D$4:D$163,标准城池设计!AC$4:AC$163,$K169)*求节点(节奏总纲!D$4:D$163,攻城基础信息!$AD$5:$AD$164,$K169)</f>
        <v>640243.09837738681</v>
      </c>
      <c r="T169" s="12">
        <f>INDEX(其他调用!$AA$5:$AA$404,MATCH($K169,其他调用!$X$5:$X$404,0))*MIN(INDEX(其他调用!AI$5:AI$364,MATCH($K169,其他调用!$AG$5:$AG$364,0),1)/INDEX(其他调用!$AJ$5:$AJ$364,MATCH($K169,其他调用!$AG$5:$AG$364,0),0),5)*求节点(节奏总纲!D$4:D$163,攻城基础信息!$AD$5:$AD$164,$K169)</f>
        <v>78468.976603616989</v>
      </c>
      <c r="U169" s="12">
        <f>MIN(INDEX(其他调用!$AI$5:$AI$364,MATCH($K169,其他调用!$AG$5:$AG$364,0),1)/INDEX(其他调用!AH$5:AH$364,MATCH($K169,其他调用!$AG$5:$AG$364,0),0),1)*INDEX(其他调用!Y$5:Y$404,MATCH($K169,其他调用!$X$5:$X$404,0),0)</f>
        <v>38988.022284316743</v>
      </c>
      <c r="V169" s="12">
        <f>MIN(INDEX(其他调用!$AI$5:$AI$364,MATCH($K169,其他调用!$AG$5:$AG$364,0),1)/INDEX(其他调用!AI$5:AI$364,MATCH($K169,其他调用!$AG$5:$AG$364,0),0),1)*INDEX(其他调用!Z$5:Z$404,MATCH($K169,其他调用!$X$5:$X$404,0),0)</f>
        <v>40145.034962743142</v>
      </c>
      <c r="W169" s="12">
        <f>MIN(INDEX(其他调用!$AI$5:$AI$364,MATCH($K169,其他调用!$AG$5:$AG$364,0),1)/INDEX(其他调用!AJ$5:AJ$364,MATCH($K169,其他调用!$AG$5:$AG$364,0),0),1)*INDEX(其他调用!AA$5:AA$404,MATCH($K169,其他调用!$X$5:$X$404,0),0)</f>
        <v>23861.522454034053</v>
      </c>
      <c r="X169" s="12">
        <f>MIN(INDEX(其他调用!$AI$5:$AI$364,MATCH($K169,其他调用!$AG$5:$AG$364,0),1)/INDEX(其他调用!AK$5:AK$364,MATCH($K169,其他调用!$AG$5:$AG$364,0),0),1)*INDEX(其他调用!AB$5:AB$404,MATCH($K169,其他调用!$X$5:$X$404,0),0)</f>
        <v>8815.7303333580312</v>
      </c>
      <c r="Y169" s="12">
        <f>MIN(INDEX(其他调用!$AI$5:$AI$364,MATCH($K169,其他调用!$AG$5:$AG$364,0),1)/INDEX(其他调用!AL$5:AL$364,MATCH($K169,其他调用!$AG$5:$AG$364,0),0),1)*INDEX(其他调用!AC$5:AC$404,MATCH($K169,其他调用!$X$5:$X$404,0),0)</f>
        <v>3392.7058086342363</v>
      </c>
      <c r="Z169" s="12">
        <f>求节点(节奏总纲!D$4:D$163,标准城池设计!AD$4:AD$163,$K169)*求节点(节奏总纲!D$4:D$163,攻城基础信息!$AE$5:$AE$164,$K169)</f>
        <v>680621.06080310745</v>
      </c>
      <c r="AA169" s="12">
        <f>INDEX(其他调用!$AA$5:$AA$404,MATCH($K169,其他调用!$X$5:$X$404,0))*MIN(INDEX(其他调用!AJ$5:AJ$364,MATCH($K169,其他调用!$AG$5:$AG$364,0),1)/INDEX(其他调用!$AJ$5:$AJ$364,MATCH($K169,其他调用!$AG$5:$AG$364,0),0),5)*求节点(节奏总纲!D$4:D$163,攻城基础信息!$AE$5:$AE$164,$K169)</f>
        <v>136968.8509428752</v>
      </c>
      <c r="AB169" s="12">
        <f>MIN(INDEX(其他调用!$AJ$5:$AJ$364,MATCH($K169,其他调用!$AG$5:$AG$364,0),1)/INDEX(其他调用!AH$5:AH$364,MATCH($K169,其他调用!$AG$5:$AG$364,0),0),1)*INDEX(其他调用!Y$5:Y$404,MATCH($K169,其他调用!$X$5:$X$404,0),0)</f>
        <v>38988.022284316743</v>
      </c>
      <c r="AC169" s="12">
        <f>MIN(INDEX(其他调用!$AJ$5:$AJ$364,MATCH($K169,其他调用!$AG$5:$AG$364,0),1)/INDEX(其他调用!AI$5:AI$364,MATCH($K169,其他调用!$AG$5:$AG$364,0),0),1)*INDEX(其他调用!Z$5:Z$404,MATCH($K169,其他调用!$X$5:$X$404,0),0)</f>
        <v>40145.034962743142</v>
      </c>
      <c r="AD169" s="12">
        <f>MIN(INDEX(其他调用!$AJ$5:$AJ$364,MATCH($K169,其他调用!$AG$5:$AG$364,0),1)/INDEX(其他调用!AJ$5:AJ$364,MATCH($K169,其他调用!$AG$5:$AG$364,0),0),1)*INDEX(其他调用!AA$5:AA$404,MATCH($K169,其他调用!$X$5:$X$404,0),0)</f>
        <v>41650.668247991525</v>
      </c>
      <c r="AE169" s="12">
        <f>MIN(INDEX(其他调用!$AJ$5:$AJ$364,MATCH($K169,其他调用!$AG$5:$AG$364,0),1)/INDEX(其他调用!AK$5:AK$364,MATCH($K169,其他调用!$AG$5:$AG$364,0),0),1)*INDEX(其他调用!AB$5:AB$404,MATCH($K169,其他调用!$X$5:$X$404,0),0)</f>
        <v>15387.997986539838</v>
      </c>
      <c r="AF169" s="12">
        <f>MIN(INDEX(其他调用!$AJ$5:$AJ$364,MATCH($K169,其他调用!$AG$5:$AG$364,0),1)/INDEX(其他调用!AL$5:AL$364,MATCH($K169,其他调用!$AG$5:$AG$364,0),0),1)*INDEX(其他调用!AC$5:AC$404,MATCH($K169,其他调用!$X$5:$X$404,0),0)</f>
        <v>5922.0221329410042</v>
      </c>
      <c r="AG169" s="12">
        <f>求节点(节奏总纲!D$4:D$163,标准城池设计!AE$4:AE$163,$K169)*求节点(节奏总纲!D$4:D$163,攻城基础信息!$AF$5:$AF$164,$K169)</f>
        <v>799605.96476529306</v>
      </c>
      <c r="AH169" s="12">
        <f>INDEX(其他调用!$AA$5:$AA$404,MATCH($K169,其他调用!$X$5:$X$404,0))*MIN(INDEX(其他调用!AK$5:AK$364,MATCH($K169,其他调用!$AG$5:$AG$364,0),1)/INDEX(其他调用!$AJ$5:$AJ$364,MATCH($K169,其他调用!$AG$5:$AG$364,0),0),5)*求节点(节奏总纲!D$4:D$163,攻城基础信息!$AF$5:$AF$164,$K169)</f>
        <v>390283.70286775415</v>
      </c>
      <c r="AI169" s="12">
        <f>MIN(INDEX(其他调用!$AK$5:$AK$364,MATCH($K169,其他调用!$AG$5:$AG$364,0),1)/INDEX(其他调用!AH$5:AH$364,MATCH($K169,其他调用!$AG$5:$AG$364,0),0),1)*INDEX(其他调用!Y$5:Y$404,MATCH($K169,其他调用!$X$5:$X$404,0),0)</f>
        <v>38988.022284316743</v>
      </c>
      <c r="AJ169" s="12">
        <f>MIN(INDEX(其他调用!$AK$5:$AK$364,MATCH($K169,其他调用!$AG$5:$AG$364,0),1)/INDEX(其他调用!AI$5:AI$364,MATCH($K169,其他调用!$AG$5:$AG$364,0),0),1)*INDEX(其他调用!Z$5:Z$404,MATCH($K169,其他调用!$X$5:$X$404,0),0)</f>
        <v>40145.034962743142</v>
      </c>
      <c r="AK169" s="12">
        <f>MIN(INDEX(其他调用!$AK$5:$AK$364,MATCH($K169,其他调用!$AG$5:$AG$364,0),1)/INDEX(其他调用!AJ$5:AJ$364,MATCH($K169,其他调用!$AG$5:$AG$364,0),0),1)*INDEX(其他调用!AA$5:AA$404,MATCH($K169,其他调用!$X$5:$X$404,0),0)</f>
        <v>41650.668247991525</v>
      </c>
      <c r="AL169" s="12">
        <f>MIN(INDEX(其他调用!$AK$5:$AK$364,MATCH($K169,其他调用!$AG$5:$AG$364,0),1)/INDEX(其他调用!AK$5:AK$364,MATCH($K169,其他调用!$AG$5:$AG$364,0),0),1)*INDEX(其他调用!AB$5:AB$404,MATCH($K169,其他调用!$X$5:$X$404,0),0)</f>
        <v>43847.084885110613</v>
      </c>
      <c r="AM169" s="12">
        <f>MIN(INDEX(其他调用!$AK$5:$AK$364,MATCH($K169,其他调用!$AG$5:$AG$364,0),1)/INDEX(其他调用!AL$5:AL$364,MATCH($K169,其他调用!$AG$5:$AG$364,0),0),1)*INDEX(其他调用!AC$5:AC$404,MATCH($K169,其他调用!$X$5:$X$404,0),0)</f>
        <v>16874.41130299733</v>
      </c>
      <c r="AN169" s="12">
        <f>求节点(节奏总纲!D$4:D$163,标准城池设计!AF$4:AF$163,$K169)*求节点(节奏总纲!D$4:D$163,攻城基础信息!$AG$5:$AG$164,$K169)</f>
        <v>815491.04445929942</v>
      </c>
      <c r="AO169" s="12">
        <f>INDEX(其他调用!$AA$5:$AA$404,MATCH($K169,其他调用!$X$5:$X$404,0))*MIN(INDEX(其他调用!AL$5:AL$364,MATCH($K169,其他调用!$AG$5:$AG$364,0),1)/INDEX(其他调用!$AJ$5:$AJ$364,MATCH($K169,其他调用!$AG$5:$AG$364,0),0),5)*求节点(节奏总纲!D$4:D$163,攻城基础信息!$AG$5:$AG$164,$K169)</f>
        <v>684844.25471437606</v>
      </c>
      <c r="AP169" s="12">
        <f>MIN(INDEX(其他调用!$AL$5:$AL$364,MATCH($K169,其他调用!$AG$5:$AG$364,0),1)/INDEX(其他调用!AH$5:AH$364,MATCH($K169,其他调用!$AG$5:$AG$364,0),0),1)*INDEX(其他调用!Y$5:Y$404,MATCH($K169,其他调用!$X$5:$X$404,0),0)</f>
        <v>38988.022284316743</v>
      </c>
      <c r="AQ169" s="12">
        <f>MIN(INDEX(其他调用!$AL$5:$AL$364,MATCH($K169,其他调用!$AG$5:$AG$364,0),1)/INDEX(其他调用!AI$5:AI$364,MATCH($K169,其他调用!$AG$5:$AG$364,0),0),1)*INDEX(其他调用!Z$5:Z$404,MATCH($K169,其他调用!$X$5:$X$404,0),0)</f>
        <v>40145.034962743142</v>
      </c>
      <c r="AR169" s="12">
        <f>MIN(INDEX(其他调用!$AL$5:$AL$364,MATCH($K169,其他调用!$AG$5:$AG$364,0),1)/INDEX(其他调用!AJ$5:AJ$364,MATCH($K169,其他调用!$AG$5:$AG$364,0),0),1)*INDEX(其他调用!AA$5:AA$404,MATCH($K169,其他调用!$X$5:$X$404,0),0)</f>
        <v>41650.668247991525</v>
      </c>
      <c r="AS169" s="12">
        <f>MIN(INDEX(其他调用!$AL$5:$AL$364,MATCH($K169,其他调用!$AG$5:$AG$364,0),1)/INDEX(其他调用!AK$5:AK$364,MATCH($K169,其他调用!$AG$5:$AG$364,0),0),1)*INDEX(其他调用!AB$5:AB$404,MATCH($K169,其他调用!$X$5:$X$404,0),0)</f>
        <v>43847.084885110613</v>
      </c>
      <c r="AT169" s="12">
        <f>MIN(INDEX(其他调用!$AL$5:$AL$364,MATCH($K169,其他调用!$AG$5:$AG$364,0),1)/INDEX(其他调用!AL$5:AL$364,MATCH($K169,其他调用!$AG$5:$AG$364,0),0),1)*INDEX(其他调用!AC$5:AC$404,MATCH($K169,其他调用!$X$5:$X$404,0),0)</f>
        <v>47795.103774902476</v>
      </c>
      <c r="AV169" s="14">
        <f>IF(OR(AV$5="大R",AV$5="超R"),MAX(INDEX(其他调用!$H$5:$L$404,MATCH($K169,其他调用!$B$5:$B$404,0),MATCH(AV$5,其他调用!$H$4:$L$4,0))*120*0.85,2),INDEX(其他调用!$H$5:$L$404,MATCH($K169,其他调用!$B$5:$B$404,0),MATCH(AV$5,其他调用!$H$4:$L$4,0))*120*0.85)</f>
        <v>48.921801254999991</v>
      </c>
      <c r="AW169" s="14">
        <f>IF(OR(AW$5="大R",AW$5="超R"),MAX(INDEX(其他调用!$H$5:$L$404,MATCH($K169,其他调用!$B$5:$B$404,0),MATCH(AW$5,其他调用!$H$4:$L$4,0))*120*0.85,2),INDEX(其他调用!$H$5:$L$404,MATCH($K169,其他调用!$B$5:$B$404,0),MATCH(AW$5,其他调用!$H$4:$L$4,0))*120*0.85)</f>
        <v>48.237344010638395</v>
      </c>
      <c r="AX169" s="14">
        <f>IF(OR(AX$5="大R",AX$5="超R"),MAX(INDEX(其他调用!$H$5:$L$404,MATCH($K169,其他调用!$B$5:$B$404,0),MATCH(AX$5,其他调用!$H$4:$L$4,0))*120*0.85,2),INDEX(其他调用!$H$5:$L$404,MATCH($K169,其他调用!$B$5:$B$404,0),MATCH(AX$5,其他调用!$H$4:$L$4,0))*120*0.85)</f>
        <v>3.9376284143615998</v>
      </c>
      <c r="AY169" s="14">
        <f>IF(OR(AY$5="大R",AY$5="超R"),MAX(INDEX(其他调用!$H$5:$L$404,MATCH($K169,其他调用!$B$5:$B$404,0),MATCH(AY$5,其他调用!$H$4:$L$4,0))*120*0.85,2),INDEX(其他调用!$H$5:$L$404,MATCH($K169,其他调用!$B$5:$B$404,0),MATCH(AY$5,其他调用!$H$4:$L$4,0))*120*0.85)</f>
        <v>2</v>
      </c>
      <c r="AZ169" s="14">
        <f>IF(OR(AZ$5="大R",AZ$5="超R"),MAX(INDEX(其他调用!$H$5:$L$404,MATCH($K169,其他调用!$B$5:$B$404,0),MATCH(AZ$5,其他调用!$H$4:$L$4,0))*120*0.85,2),INDEX(其他调用!$H$5:$L$404,MATCH($K169,其他调用!$B$5:$B$404,0),MATCH(AZ$5,其他调用!$H$4:$L$4,0))*120*0.85)</f>
        <v>2</v>
      </c>
      <c r="BA169" s="14">
        <f>INDEX(其他调用!$H$5:$L$404,MATCH($K169,其他调用!$B$5:$B$404,0),MATCH(BA$5,其他调用!$H$4:$L$4,0))*INDEX(其他调用!$M$5:$M$404,MATCH($K169,其他调用!$B$5:$B$404,0))*0.6</f>
        <v>28.777530149999997</v>
      </c>
      <c r="BB169" s="14">
        <f>INDEX(其他调用!$H$5:$L$404,MATCH($K169,其他调用!$B$5:$B$404,0),MATCH(BB$5,其他调用!$H$4:$L$4,0))*INDEX(其他调用!$M$5:$M$404,MATCH($K169,其他调用!$B$5:$B$404,0))*0.6</f>
        <v>28.374908241551999</v>
      </c>
      <c r="BC169" s="14">
        <f>INDEX(其他调用!$H$5:$L$404,MATCH($K169,其他调用!$B$5:$B$404,0),MATCH(BC$5,其他调用!$H$4:$L$4,0))*INDEX(其他调用!$M$5:$M$404,MATCH($K169,其他调用!$B$5:$B$404,0))*0.6</f>
        <v>2.3162520084480001</v>
      </c>
      <c r="BD169" s="14">
        <f>INDEX(其他调用!$H$5:$L$404,MATCH($K169,其他调用!$B$5:$B$404,0),MATCH(BD$5,其他调用!$H$4:$L$4,0))*INDEX(其他调用!$M$5:$M$404,MATCH($K169,其他调用!$B$5:$B$404,0))*0.6</f>
        <v>0.4120776000000001</v>
      </c>
      <c r="BE169" s="14">
        <f>INDEX(其他调用!$H$5:$L$404,MATCH($K169,其他调用!$B$5:$B$404,0),MATCH(BE$5,其他调用!$H$4:$L$4,0))*INDEX(其他调用!$M$5:$M$404,MATCH($K169,其他调用!$B$5:$B$404,0))*0.6</f>
        <v>0.11923199999999998</v>
      </c>
      <c r="BF169" s="14">
        <f>IF(OR(BF$5="大R",BF$5="超R"),0,INDEX(其他调用!$H$5:$L$404,MATCH($K169,其他调用!$B$5:$B$404,0),MATCH(BF$5,其他调用!$H$4:$L$4,0))*50*0.4)</f>
        <v>9.5925100500000013</v>
      </c>
      <c r="BG169" s="14">
        <f>IF(OR(BG$5="大R",BG$5="超R"),0,INDEX(其他调用!$H$5:$L$404,MATCH($K169,其他调用!$B$5:$B$404,0),MATCH(BG$5,其他调用!$H$4:$L$4,0))*50*0.4)</f>
        <v>9.4583027471839998</v>
      </c>
      <c r="BH169" s="14">
        <f>IF(OR(BH$5="大R",BH$5="超R"),0,INDEX(其他调用!$H$5:$L$404,MATCH($K169,其他调用!$B$5:$B$404,0),MATCH(BH$5,其他调用!$H$4:$L$4,0))*50*0.4)</f>
        <v>0.77208400281600009</v>
      </c>
      <c r="BI169" s="14">
        <f>IF(OR(BI$5="大R",BI$5="超R"),0,INDEX(其他调用!$H$5:$L$404,MATCH($K169,其他调用!$B$5:$B$404,0),MATCH(BI$5,其他调用!$H$4:$L$4,0))*50*0.4)</f>
        <v>0</v>
      </c>
      <c r="BJ169" s="14">
        <f>IF(OR(BJ$5="大R",BJ$5="超R"),0,INDEX(其他调用!$H$5:$L$404,MATCH($K169,其他调用!$B$5:$B$404,0),MATCH(BJ$5,其他调用!$H$4:$L$4,0))*50*0.4)</f>
        <v>0</v>
      </c>
      <c r="BL169" s="14">
        <f t="shared" si="313"/>
        <v>164</v>
      </c>
      <c r="BM169" s="14">
        <f t="shared" si="220"/>
        <v>96</v>
      </c>
      <c r="BN169" s="14">
        <f>('疲劳值&amp;地图信息'!$S$10*'疲劳值&amp;地图信息'!$R$10+'疲劳值&amp;地图信息'!$S$11*'疲劳值&amp;地图信息'!$R$11+'疲劳值&amp;地图信息'!$S$12*'疲劳值&amp;地图信息'!$R$12+(BM169-'疲劳值&amp;地图信息'!$S$12-'疲劳值&amp;地图信息'!$S$11-'疲劳值&amp;地图信息'!$S$10)*'疲劳值&amp;地图信息'!$R$13)/BM169</f>
        <v>51.371477246638619</v>
      </c>
      <c r="BO169" s="14">
        <f>INDEX(其他调用!$M$5:$M$404,MATCH(BL169,其他调用!$B$5:$B$404,0))*0.6</f>
        <v>60</v>
      </c>
      <c r="BP169" s="14">
        <f>IF(BO169&gt;SUM('疲劳值&amp;地图信息'!$S$10:$S$12),('疲劳值&amp;地图信息'!$S$10*'疲劳值&amp;地图信息'!$R$10+'疲劳值&amp;地图信息'!$S$11*'疲劳值&amp;地图信息'!$R$11+'疲劳值&amp;地图信息'!$S$12*'疲劳值&amp;地图信息'!$R$12+(BO169-'疲劳值&amp;地图信息'!$S$12-'疲劳值&amp;地图信息'!$S$11-'疲劳值&amp;地图信息'!$S$10)*'疲劳值&amp;地图信息'!$R$13)/BO169,('疲劳值&amp;地图信息'!$S$10*'疲劳值&amp;地图信息'!$R$10+'疲劳值&amp;地图信息'!$S$11*'疲劳值&amp;地图信息'!$R$11+'疲劳值&amp;地图信息'!$S$12*'疲劳值&amp;地图信息'!$R$12+(BO169-'疲劳值&amp;地图信息'!$S$12-'疲劳值&amp;地图信息'!$S$11-'疲劳值&amp;地图信息'!$S$10)*'疲劳值&amp;地图信息'!$R$13)/BO169)</f>
        <v>44.158136341605953</v>
      </c>
      <c r="BQ169" s="14">
        <f t="shared" si="314"/>
        <v>20</v>
      </c>
      <c r="BR169" s="14">
        <f>('疲劳值&amp;地图信息'!$S$10*'疲劳值&amp;地图信息'!$R$10+($BQ169-'疲劳值&amp;地图信息'!$S$10)*'疲劳值&amp;地图信息'!$R$11)/$BQ169</f>
        <v>32.067203015074995</v>
      </c>
      <c r="CF169" s="14">
        <v>164</v>
      </c>
      <c r="CG169" s="51">
        <f t="shared" si="221"/>
        <v>12191</v>
      </c>
      <c r="CH169" s="51">
        <f t="shared" si="222"/>
        <v>973</v>
      </c>
      <c r="CI169" s="51">
        <f>INT(SUMPRODUCT($N169:$R169,$BA169:$BE169)/SUM($BA169:$BE169)/10000*$BX$7*$BZ$34/'疲劳值&amp;地图信息'!$R$10*$BY$53)</f>
        <v>3130</v>
      </c>
      <c r="CJ169" s="50">
        <f t="shared" si="223"/>
        <v>0.74818951761384556</v>
      </c>
      <c r="CK169" s="50">
        <f t="shared" si="224"/>
        <v>5.9715232600957409E-2</v>
      </c>
      <c r="CL169" s="50">
        <f t="shared" si="225"/>
        <v>0.19209524978519701</v>
      </c>
      <c r="CM169" s="14">
        <f t="shared" si="226"/>
        <v>13048</v>
      </c>
      <c r="CN169" s="14">
        <f t="shared" si="227"/>
        <v>1599</v>
      </c>
      <c r="CO169" s="14">
        <f>INT(SUMPRODUCT($U169:$Y169,$BA169:$BE169)/SUM($BA169:$BE169)/10000*$BX$7*$BZ$34/'疲劳值&amp;地图信息'!$R$10*$BY$54)</f>
        <v>5886</v>
      </c>
      <c r="CP169" s="50">
        <f t="shared" si="228"/>
        <v>0.63546486144255587</v>
      </c>
      <c r="CQ169" s="50">
        <f t="shared" si="229"/>
        <v>7.7874640822091265E-2</v>
      </c>
      <c r="CR169" s="50">
        <f t="shared" si="230"/>
        <v>0.28666049773535285</v>
      </c>
      <c r="CS169" s="14">
        <f t="shared" si="231"/>
        <v>13871</v>
      </c>
      <c r="CT169" s="14">
        <f t="shared" si="232"/>
        <v>2791</v>
      </c>
      <c r="CU169" s="14">
        <f>INT(SUMPRODUCT($AB169:$AF169,$BA169:$BE169)/SUM($BA169:$BE169)/10000*$BX$7*$BZ$34/'疲劳值&amp;地图信息'!$R$10*$BY$55)</f>
        <v>7997</v>
      </c>
      <c r="CV169" s="50">
        <f t="shared" si="233"/>
        <v>0.56251267285778017</v>
      </c>
      <c r="CW169" s="50">
        <f t="shared" si="234"/>
        <v>0.11318382740581533</v>
      </c>
      <c r="CX169" s="50">
        <f t="shared" si="235"/>
        <v>0.32430349973640454</v>
      </c>
      <c r="CY169" s="14">
        <f t="shared" si="236"/>
        <v>16297</v>
      </c>
      <c r="CZ169" s="14">
        <f t="shared" si="237"/>
        <v>7954</v>
      </c>
      <c r="DA169" s="14">
        <f>INT(SUMPRODUCT($AI169:$AM169,$BA169:$BE169)/SUM($BA169:$BE169)/10000*$BX$7*$BZ$34/'疲劳值&amp;地图信息'!$R$10*$BY$56)</f>
        <v>12062</v>
      </c>
      <c r="DB169" s="50">
        <f t="shared" si="238"/>
        <v>0.44879244347754249</v>
      </c>
      <c r="DC169" s="50">
        <f t="shared" si="239"/>
        <v>0.21904001321840663</v>
      </c>
      <c r="DD169" s="50">
        <f t="shared" si="240"/>
        <v>0.33216754330405091</v>
      </c>
      <c r="DE169" s="14">
        <f t="shared" si="241"/>
        <v>16620</v>
      </c>
      <c r="DF169" s="14">
        <f t="shared" si="242"/>
        <v>13958</v>
      </c>
      <c r="DG169" s="14">
        <f>INT(SUMPRODUCT($AP169:$AT169,$BA169:$BE169)/SUM($BA169:$BE169)/10000*$BX$7*$BZ$34/'疲劳值&amp;地图信息'!$R$10*$BY$57)</f>
        <v>16108</v>
      </c>
      <c r="DH169" s="50">
        <f t="shared" si="243"/>
        <v>0.35599537334532838</v>
      </c>
      <c r="DI169" s="50">
        <f t="shared" si="244"/>
        <v>0.298976138456925</v>
      </c>
      <c r="DJ169" s="50">
        <f t="shared" si="245"/>
        <v>0.34502848819774667</v>
      </c>
      <c r="DL169" s="14">
        <f t="shared" si="316"/>
        <v>16294</v>
      </c>
      <c r="DM169" s="14">
        <f t="shared" si="317"/>
        <v>20533</v>
      </c>
      <c r="DN169" s="14">
        <f t="shared" si="318"/>
        <v>24659</v>
      </c>
      <c r="DO169" s="14">
        <f t="shared" si="319"/>
        <v>36313</v>
      </c>
      <c r="DP169" s="14">
        <f t="shared" si="320"/>
        <v>46686</v>
      </c>
      <c r="DQ169" s="14">
        <f t="shared" si="321"/>
        <v>1129169</v>
      </c>
      <c r="DT169" s="14">
        <f t="shared" si="315"/>
        <v>235575</v>
      </c>
      <c r="DU169" s="50">
        <f t="shared" si="217"/>
        <v>0.17261479075929259</v>
      </c>
      <c r="DW169" s="14">
        <f t="shared" si="246"/>
        <v>1364744</v>
      </c>
      <c r="EB169" s="14">
        <v>164</v>
      </c>
      <c r="EC169" s="51">
        <f t="shared" si="247"/>
        <v>20318</v>
      </c>
      <c r="ED169" s="51">
        <f t="shared" si="248"/>
        <v>1622</v>
      </c>
      <c r="EE169" s="51">
        <f>INT(SUMPRODUCT($N169:$R169,$BF169:$BJ169)/SUM($BF169:$BJ169)/10000*$BX$7*$BZ$46/'疲劳值&amp;地图信息'!$R$10*$BY$53)</f>
        <v>420</v>
      </c>
      <c r="EF169" s="50">
        <f t="shared" si="249"/>
        <v>0.90867620751341682</v>
      </c>
      <c r="EG169" s="50">
        <f t="shared" si="250"/>
        <v>7.2540250447227186E-2</v>
      </c>
      <c r="EH169" s="50">
        <f t="shared" si="251"/>
        <v>1.8783542039355994E-2</v>
      </c>
      <c r="EI169" s="51">
        <f t="shared" si="252"/>
        <v>21748</v>
      </c>
      <c r="EJ169" s="51">
        <f t="shared" si="253"/>
        <v>2665</v>
      </c>
      <c r="EK169" s="14">
        <f>INT(SUMPRODUCT($U169:$Y169,$BF169:$BJ169)/SUM($BF169:$BJ169)/10000*$BX$7*$BZ$46/'疲劳值&amp;地图信息'!$R$10*$BY$54)</f>
        <v>790</v>
      </c>
      <c r="EL169" s="50">
        <f t="shared" si="254"/>
        <v>0.8629131452604849</v>
      </c>
      <c r="EM169" s="50">
        <f t="shared" si="255"/>
        <v>0.10574137999444511</v>
      </c>
      <c r="EN169" s="50">
        <f t="shared" si="256"/>
        <v>3.1345474745070032E-2</v>
      </c>
      <c r="EO169" s="51">
        <f t="shared" si="257"/>
        <v>23119</v>
      </c>
      <c r="EP169" s="51">
        <f t="shared" si="258"/>
        <v>4652</v>
      </c>
      <c r="EQ169" s="14">
        <f>INT(SUMPRODUCT($AB169:$AF169,$BF169:$BJ169)/SUM($BF169:$BJ169)/10000*$BX$7*$BZ$46/'疲劳值&amp;地图信息'!$R$10*$BY$55)</f>
        <v>1072</v>
      </c>
      <c r="ER169" s="50">
        <f t="shared" si="259"/>
        <v>0.80154630239572855</v>
      </c>
      <c r="ES169" s="50">
        <f t="shared" si="260"/>
        <v>0.16128696737509968</v>
      </c>
      <c r="ET169" s="50">
        <f t="shared" si="261"/>
        <v>3.7166730229171725E-2</v>
      </c>
      <c r="EU169" s="51">
        <f t="shared" si="262"/>
        <v>27161</v>
      </c>
      <c r="EV169" s="51">
        <f t="shared" si="263"/>
        <v>13257</v>
      </c>
      <c r="EW169" s="14">
        <f>INT(SUMPRODUCT($AI169:$AM169,$BF169:$BJ169)/SUM($BF169:$BJ169)/10000*$BX$7*$BZ$46/'疲劳值&amp;地图信息'!$R$10*$BY$56)</f>
        <v>1609</v>
      </c>
      <c r="EX169" s="50">
        <f t="shared" si="264"/>
        <v>0.64627501368168083</v>
      </c>
      <c r="EY169" s="50">
        <f t="shared" si="265"/>
        <v>0.31544007423798986</v>
      </c>
      <c r="EZ169" s="50">
        <f t="shared" si="266"/>
        <v>3.828491208032931E-2</v>
      </c>
      <c r="FA169" s="51">
        <f t="shared" si="267"/>
        <v>27701</v>
      </c>
      <c r="FB169" s="51">
        <f t="shared" si="268"/>
        <v>23263</v>
      </c>
      <c r="FC169" s="14">
        <f>INT(SUMPRODUCT($AP169:$AT169,$BF169:$BJ169)/SUM($BF169:$BJ169)/10000*$BX$7*$BZ$46/'疲劳值&amp;地图信息'!$R$10*$BY$57)</f>
        <v>2145</v>
      </c>
      <c r="FD169" s="50">
        <f t="shared" si="269"/>
        <v>0.52158767817130802</v>
      </c>
      <c r="FE169" s="50">
        <f t="shared" si="270"/>
        <v>0.43802368713400741</v>
      </c>
      <c r="FF169" s="50">
        <f t="shared" si="271"/>
        <v>4.0388634694684518E-2</v>
      </c>
      <c r="FH169" s="14">
        <f t="shared" si="272"/>
        <v>22360</v>
      </c>
      <c r="FI169" s="14">
        <f t="shared" si="273"/>
        <v>25203</v>
      </c>
      <c r="FJ169" s="14">
        <f t="shared" si="274"/>
        <v>28843</v>
      </c>
      <c r="FK169" s="14">
        <f t="shared" si="275"/>
        <v>42027</v>
      </c>
      <c r="FL169" s="14">
        <f t="shared" si="276"/>
        <v>53109</v>
      </c>
      <c r="FM169" s="14">
        <f t="shared" si="277"/>
        <v>2613462</v>
      </c>
      <c r="FP169" s="14">
        <f t="shared" si="278"/>
        <v>334150</v>
      </c>
      <c r="FQ169" s="50">
        <f t="shared" si="218"/>
        <v>0.11336295279025869</v>
      </c>
      <c r="FS169" s="14">
        <f t="shared" si="279"/>
        <v>2947612</v>
      </c>
      <c r="FX169" s="14">
        <v>164</v>
      </c>
      <c r="FY169" s="51">
        <f t="shared" si="280"/>
        <v>28446</v>
      </c>
      <c r="FZ169" s="51">
        <f t="shared" si="281"/>
        <v>1622</v>
      </c>
      <c r="GA169" s="51">
        <f>INT(SUMPRODUCT($N169:$R169,$BF169:$BJ169)/SUM($BF169:$BJ169)/10000*$BX$7*$BZ$46/'疲劳值&amp;地图信息'!$R$10*$BY$53)</f>
        <v>420</v>
      </c>
      <c r="GB169" s="50">
        <f t="shared" si="282"/>
        <v>0.93302282865389663</v>
      </c>
      <c r="GC169" s="50">
        <f t="shared" si="283"/>
        <v>5.3201259511939124E-2</v>
      </c>
      <c r="GD169" s="50">
        <f t="shared" si="284"/>
        <v>1.3775911834164262E-2</v>
      </c>
      <c r="GE169" s="51">
        <f t="shared" si="285"/>
        <v>30447</v>
      </c>
      <c r="GF169" s="51">
        <f t="shared" si="286"/>
        <v>2665</v>
      </c>
      <c r="GG169" s="14">
        <f>INT(SUMPRODUCT($U169:$Y169,$BF169:$BJ169)/SUM($BF169:$BJ169)/10000*$BX$7*$BZ$46/'疲劳值&amp;地图信息'!$R$10*$BY$54)</f>
        <v>790</v>
      </c>
      <c r="GH169" s="50">
        <f t="shared" si="287"/>
        <v>0.8980886083416908</v>
      </c>
      <c r="GI169" s="50">
        <f t="shared" si="288"/>
        <v>7.8608931626452716E-2</v>
      </c>
      <c r="GJ169" s="50">
        <f t="shared" si="289"/>
        <v>2.3302460031856528E-2</v>
      </c>
      <c r="GK169" s="51">
        <f t="shared" si="290"/>
        <v>32367</v>
      </c>
      <c r="GL169" s="51">
        <f t="shared" si="291"/>
        <v>4652</v>
      </c>
      <c r="GM169" s="14">
        <f>INT(SUMPRODUCT($AB169:$AF169,$BF169:$BJ169)/SUM($BF169:$BJ169)/10000*$BX$7*$BZ$46/'疲劳值&amp;地图信息'!$R$10*$BY$55)</f>
        <v>1072</v>
      </c>
      <c r="GN169" s="50">
        <f t="shared" si="292"/>
        <v>0.84972828227140274</v>
      </c>
      <c r="GO169" s="50">
        <f t="shared" si="293"/>
        <v>0.12212858680528209</v>
      </c>
      <c r="GP169" s="50">
        <f t="shared" si="294"/>
        <v>2.8143130923315218E-2</v>
      </c>
      <c r="GQ169" s="51">
        <f t="shared" si="295"/>
        <v>38026</v>
      </c>
      <c r="GR169" s="51">
        <f t="shared" si="296"/>
        <v>13257</v>
      </c>
      <c r="GS169" s="14">
        <f>INT(SUMPRODUCT($AI169:$AM169,$BF169:$BJ169)/SUM($BF169:$BJ169)/10000*$BX$7*$BZ$46/'疲劳值&amp;地图信息'!$R$10*$BY$56)</f>
        <v>1609</v>
      </c>
      <c r="GT169" s="50">
        <f t="shared" si="297"/>
        <v>0.71893670120245023</v>
      </c>
      <c r="GU169" s="50">
        <f t="shared" si="298"/>
        <v>0.25064281932995536</v>
      </c>
      <c r="GV169" s="50">
        <f t="shared" si="299"/>
        <v>3.0420479467594342E-2</v>
      </c>
      <c r="GW169" s="51">
        <f t="shared" si="300"/>
        <v>38781</v>
      </c>
      <c r="GX169" s="51">
        <f t="shared" si="301"/>
        <v>23263</v>
      </c>
      <c r="GY169" s="14">
        <f>INT(SUMPRODUCT($AP169:$AT169,$BF169:$BJ169)/SUM($BF169:$BJ169)/10000*$BX$7*$BZ$46/'疲劳值&amp;地图信息'!$R$10*$BY$57)</f>
        <v>2145</v>
      </c>
      <c r="GZ169" s="50">
        <f t="shared" si="302"/>
        <v>0.60416893860318743</v>
      </c>
      <c r="HA169" s="50">
        <f t="shared" si="303"/>
        <v>0.36241412079951396</v>
      </c>
      <c r="HB169" s="50">
        <f t="shared" si="304"/>
        <v>3.3416940597298606E-2</v>
      </c>
      <c r="HD169" s="14">
        <f t="shared" si="305"/>
        <v>30488</v>
      </c>
      <c r="HE169" s="14">
        <f t="shared" si="306"/>
        <v>33902</v>
      </c>
      <c r="HF169" s="14">
        <f t="shared" si="307"/>
        <v>38091</v>
      </c>
      <c r="HG169" s="14">
        <f t="shared" si="308"/>
        <v>52892</v>
      </c>
      <c r="HH169" s="14">
        <f t="shared" si="309"/>
        <v>64189</v>
      </c>
      <c r="HI169" s="14">
        <f t="shared" si="310"/>
        <v>3511020</v>
      </c>
      <c r="HL169" s="14">
        <f t="shared" si="311"/>
        <v>430050</v>
      </c>
      <c r="HM169" s="50">
        <f t="shared" si="219"/>
        <v>0.10912011205078824</v>
      </c>
      <c r="HO169" s="14">
        <f t="shared" si="312"/>
        <v>3941070</v>
      </c>
    </row>
    <row r="170" spans="11:223" x14ac:dyDescent="0.2">
      <c r="K170" s="14">
        <v>165</v>
      </c>
      <c r="L170" s="12">
        <f>求节点(节奏总纲!D$4:D$163,标准城池设计!AB$4:AB$163,$K170)*求节点(节奏总纲!D$4:D$163,攻城基础信息!$AC$5:$AC$164,$K170)</f>
        <v>600031.29075521627</v>
      </c>
      <c r="M170" s="12">
        <f>INDEX(其他调用!$AA$5:$AA$404,MATCH(K170,其他调用!$X$5:$X$404,0))*MIN(INDEX(其他调用!$AH$5:$AH$364,MATCH('征服点（新）'!K170,其他调用!$AG$5:$AG$364,0),1)/INDEX(其他调用!$AJ$5:$AJ$364,MATCH(K170,其他调用!$AG$5:$AG$364,0),0),5)*求节点(节奏总纲!D$4:D$163,攻城基础信息!$AC$5:$AC$164,$K170)</f>
        <v>47866.292674500095</v>
      </c>
      <c r="N170" s="12">
        <f>MIN(INDEX(其他调用!$AH$5:$AH$364,MATCH($K170,其他调用!$AG$5:$AG$364,0),1)/INDEX(其他调用!AH$5:AH$364,MATCH($K170,其他调用!$AG$5:$AG$364,0),0),1)*INDEX(其他调用!Y$5:Y$404,MATCH($K170,其他调用!$X$5:$X$404,0),0)</f>
        <v>39022.767597954662</v>
      </c>
      <c r="O170" s="12">
        <f>MIN(INDEX(其他调用!$AH$5:$AH$364,MATCH($K170,其他调用!$AG$5:$AG$364,0),1)/INDEX(其他调用!AI$5:AI$364,MATCH($K170,其他调用!$AG$5:$AG$364,0),0),1)*INDEX(其他调用!Z$5:Z$404,MATCH($K170,其他调用!$X$5:$X$404,0),0)</f>
        <v>24452.78493243613</v>
      </c>
      <c r="P170" s="12">
        <f>MIN(INDEX(其他调用!$AH$5:$AH$364,MATCH($K170,其他调用!$AG$5:$AG$364,0),1)/INDEX(其他调用!AJ$5:AJ$364,MATCH($K170,其他调用!$AG$5:$AG$364,0),0),1)*INDEX(其他调用!AA$5:AA$404,MATCH($K170,其他调用!$X$5:$X$404,0),0)</f>
        <v>14542.561890963547</v>
      </c>
      <c r="Q170" s="12">
        <f>MIN(INDEX(其他调用!$AH$5:$AH$364,MATCH($K170,其他调用!$AG$5:$AG$364,0),1)/INDEX(其他调用!AK$5:AK$364,MATCH($K170,其他调用!$AG$5:$AG$364,0),0),1)*INDEX(其他调用!AB$5:AB$404,MATCH($K170,其他调用!$X$5:$X$404,0),0)</f>
        <v>5363.0484604153198</v>
      </c>
      <c r="R170" s="12">
        <f>MIN(INDEX(其他调用!$AH$5:$AH$364,MATCH($K170,其他调用!$AG$5:$AG$364,0),1)/INDEX(其他调用!AL$5:AL$364,MATCH($K170,其他调用!$AG$5:$AG$364,0),0),1)*INDEX(其他调用!AC$5:AC$404,MATCH($K170,其他调用!$X$5:$X$404,0),0)</f>
        <v>2073.6117673507638</v>
      </c>
      <c r="S170" s="12">
        <f>求节点(节奏总纲!D$4:D$163,标准城池设计!AC$4:AC$163,$K170)*求节点(节奏总纲!D$4:D$163,攻城基础信息!$AD$5:$AD$164,$K170)</f>
        <v>642008.7196397502</v>
      </c>
      <c r="T170" s="12">
        <f>INDEX(其他调用!$AA$5:$AA$404,MATCH($K170,其他调用!$X$5:$X$404,0))*MIN(INDEX(其他调用!AI$5:AI$364,MATCH($K170,其他调用!$AG$5:$AG$364,0),1)/INDEX(其他调用!$AJ$5:$AJ$364,MATCH($K170,其他调用!$AG$5:$AG$364,0),0),5)*求节点(节奏总纲!D$4:D$163,攻城基础信息!$AD$5:$AD$164,$K170)</f>
        <v>78655.74564966133</v>
      </c>
      <c r="U170" s="12">
        <f>MIN(INDEX(其他调用!$AI$5:$AI$364,MATCH($K170,其他调用!$AG$5:$AG$364,0),1)/INDEX(其他调用!AH$5:AH$364,MATCH($K170,其他调用!$AG$5:$AG$364,0),0),1)*INDEX(其他调用!Y$5:Y$404,MATCH($K170,其他调用!$X$5:$X$404,0),0)</f>
        <v>39022.767597954662</v>
      </c>
      <c r="V170" s="12">
        <f>MIN(INDEX(其他调用!$AI$5:$AI$364,MATCH($K170,其他调用!$AG$5:$AG$364,0),1)/INDEX(其他调用!AI$5:AI$364,MATCH($K170,其他调用!$AG$5:$AG$364,0),0),1)*INDEX(其他调用!Z$5:Z$404,MATCH($K170,其他调用!$X$5:$X$404,0),0)</f>
        <v>40181.76308641088</v>
      </c>
      <c r="W170" s="12">
        <f>MIN(INDEX(其他调用!$AI$5:$AI$364,MATCH($K170,其他调用!$AG$5:$AG$364,0),1)/INDEX(其他调用!AJ$5:AJ$364,MATCH($K170,其他调用!$AG$5:$AG$364,0),0),1)*INDEX(其他调用!AA$5:AA$404,MATCH($K170,其他调用!$X$5:$X$404,0),0)</f>
        <v>23896.900830998668</v>
      </c>
      <c r="X170" s="12">
        <f>MIN(INDEX(其他调用!$AI$5:$AI$364,MATCH($K170,其他调用!$AG$5:$AG$364,0),1)/INDEX(其他调用!AK$5:AK$364,MATCH($K170,其他调用!$AG$5:$AG$364,0),0),1)*INDEX(其他调用!AB$5:AB$404,MATCH($K170,其他调用!$X$5:$X$404,0),0)</f>
        <v>8812.7689035328203</v>
      </c>
      <c r="Y170" s="12">
        <f>MIN(INDEX(其他调用!$AI$5:$AI$364,MATCH($K170,其他调用!$AG$5:$AG$364,0),1)/INDEX(其他调用!AL$5:AL$364,MATCH($K170,其他调用!$AG$5:$AG$364,0),0),1)*INDEX(其他调用!AC$5:AC$404,MATCH($K170,其他调用!$X$5:$X$404,0),0)</f>
        <v>3407.4391525996693</v>
      </c>
      <c r="Z170" s="12">
        <f>求节点(节奏总纲!D$4:D$163,标准城池设计!AD$4:AD$163,$K170)*求节点(节奏总纲!D$4:D$163,攻城基础信息!$AE$5:$AE$164,$K170)</f>
        <v>682345.40264571924</v>
      </c>
      <c r="AA170" s="12">
        <f>INDEX(其他调用!$AA$5:$AA$404,MATCH($K170,其他调用!$X$5:$X$404,0))*MIN(INDEX(其他调用!AJ$5:AJ$364,MATCH($K170,其他调用!$AG$5:$AG$364,0),1)/INDEX(其他调用!$AJ$5:$AJ$364,MATCH($K170,其他调用!$AG$5:$AG$364,0),0),5)*求节点(节奏总纲!D$4:D$163,攻城基础信息!$AE$5:$AE$164,$K170)</f>
        <v>137210.93364235212</v>
      </c>
      <c r="AB170" s="12">
        <f>MIN(INDEX(其他调用!$AJ$5:$AJ$364,MATCH($K170,其他调用!$AG$5:$AG$364,0),1)/INDEX(其他调用!AH$5:AH$364,MATCH($K170,其他调用!$AG$5:$AG$364,0),0),1)*INDEX(其他调用!Y$5:Y$404,MATCH($K170,其他调用!$X$5:$X$404,0),0)</f>
        <v>39022.767597954662</v>
      </c>
      <c r="AC170" s="12">
        <f>MIN(INDEX(其他调用!$AJ$5:$AJ$364,MATCH($K170,其他调用!$AG$5:$AG$364,0),1)/INDEX(其他调用!AI$5:AI$364,MATCH($K170,其他调用!$AG$5:$AG$364,0),0),1)*INDEX(其他调用!Z$5:Z$404,MATCH($K170,其他调用!$X$5:$X$404,0),0)</f>
        <v>40181.76308641088</v>
      </c>
      <c r="AD170" s="12">
        <f>MIN(INDEX(其他调用!$AJ$5:$AJ$364,MATCH($K170,其他调用!$AG$5:$AG$364,0),1)/INDEX(其他调用!AJ$5:AJ$364,MATCH($K170,其他调用!$AG$5:$AG$364,0),0),1)*INDEX(其他调用!AA$5:AA$404,MATCH($K170,其他调用!$X$5:$X$404,0),0)</f>
        <v>41686.923785384584</v>
      </c>
      <c r="AE170" s="12">
        <f>MIN(INDEX(其他调用!$AJ$5:$AJ$364,MATCH($K170,其他调用!$AG$5:$AG$364,0),1)/INDEX(其他调用!AK$5:AK$364,MATCH($K170,其他调用!$AG$5:$AG$364,0),0),1)*INDEX(其他调用!AB$5:AB$404,MATCH($K170,其他调用!$X$5:$X$404,0),0)</f>
        <v>15373.425542412771</v>
      </c>
      <c r="AF170" s="12">
        <f>MIN(INDEX(其他调用!$AJ$5:$AJ$364,MATCH($K170,其他调用!$AG$5:$AG$364,0),1)/INDEX(其他调用!AL$5:AL$364,MATCH($K170,其他调用!$AG$5:$AG$364,0),0),1)*INDEX(其他调用!AC$5:AC$404,MATCH($K170,其他调用!$X$5:$X$404,0),0)</f>
        <v>5944.1036836667354</v>
      </c>
      <c r="AG170" s="12">
        <f>求节点(节奏总纲!D$4:D$163,标准城池设计!AE$4:AE$163,$K170)*求节点(节奏总纲!D$4:D$163,攻城基础信息!$AF$5:$AF$164,$K170)</f>
        <v>802673.25614204176</v>
      </c>
      <c r="AH170" s="12">
        <f>INDEX(其他调用!$AA$5:$AA$404,MATCH($K170,其他调用!$X$5:$X$404,0))*MIN(INDEX(其他调用!AK$5:AK$364,MATCH($K170,其他调用!$AG$5:$AG$364,0),1)/INDEX(其他调用!$AJ$5:$AJ$364,MATCH($K170,其他调用!$AG$5:$AG$364,0),0),5)*求节点(节奏总纲!D$4:D$163,攻城基础信息!$AF$5:$AF$164,$K170)</f>
        <v>391660.70814956457</v>
      </c>
      <c r="AI170" s="12">
        <f>MIN(INDEX(其他调用!$AK$5:$AK$364,MATCH($K170,其他调用!$AG$5:$AG$364,0),1)/INDEX(其他调用!AH$5:AH$364,MATCH($K170,其他调用!$AG$5:$AG$364,0),0),1)*INDEX(其他调用!Y$5:Y$404,MATCH($K170,其他调用!$X$5:$X$404,0),0)</f>
        <v>39022.767597954662</v>
      </c>
      <c r="AJ170" s="12">
        <f>MIN(INDEX(其他调用!$AK$5:$AK$364,MATCH($K170,其他调用!$AG$5:$AG$364,0),1)/INDEX(其他调用!AI$5:AI$364,MATCH($K170,其他调用!$AG$5:$AG$364,0),0),1)*INDEX(其他调用!Z$5:Z$404,MATCH($K170,其他调用!$X$5:$X$404,0),0)</f>
        <v>40181.76308641088</v>
      </c>
      <c r="AK170" s="12">
        <f>MIN(INDEX(其他调用!$AK$5:$AK$364,MATCH($K170,其他调用!$AG$5:$AG$364,0),1)/INDEX(其他调用!AJ$5:AJ$364,MATCH($K170,其他调用!$AG$5:$AG$364,0),0),1)*INDEX(其他调用!AA$5:AA$404,MATCH($K170,其他调用!$X$5:$X$404,0),0)</f>
        <v>41686.923785384584</v>
      </c>
      <c r="AL170" s="12">
        <f>MIN(INDEX(其他调用!$AK$5:$AK$364,MATCH($K170,其他调用!$AG$5:$AG$364,0),1)/INDEX(其他调用!AK$5:AK$364,MATCH($K170,其他调用!$AG$5:$AG$364,0),0),1)*INDEX(其他调用!AB$5:AB$404,MATCH($K170,其他调用!$X$5:$X$404,0),0)</f>
        <v>43882.55786029774</v>
      </c>
      <c r="AM170" s="12">
        <f>MIN(INDEX(其他调用!$AK$5:$AK$364,MATCH($K170,其他调用!$AG$5:$AG$364,0),1)/INDEX(其他调用!AL$5:AL$364,MATCH($K170,其他调用!$AG$5:$AG$364,0),0),1)*INDEX(其他调用!AC$5:AC$404,MATCH($K170,其他调用!$X$5:$X$404,0),0)</f>
        <v>16967.101646051015</v>
      </c>
      <c r="AN170" s="12">
        <f>求节点(节奏总纲!D$4:D$163,标准城池设计!AF$4:AF$163,$K170)*求节点(节奏总纲!D$4:D$163,攻城基础信息!$AG$5:$AG$164,$K170)</f>
        <v>818897.89289307513</v>
      </c>
      <c r="AO170" s="12">
        <f>INDEX(其他调用!$AA$5:$AA$404,MATCH($K170,其他调用!$X$5:$X$404,0))*MIN(INDEX(其他调用!AL$5:AL$364,MATCH($K170,其他调用!$AG$5:$AG$364,0),1)/INDEX(其他调用!$AJ$5:$AJ$364,MATCH($K170,其他调用!$AG$5:$AG$364,0),0),5)*求节点(节奏总纲!D$4:D$163,攻城基础信息!$AG$5:$AG$164,$K170)</f>
        <v>686054.66821176047</v>
      </c>
      <c r="AP170" s="12">
        <f>MIN(INDEX(其他调用!$AL$5:$AL$364,MATCH($K170,其他调用!$AG$5:$AG$364,0),1)/INDEX(其他调用!AH$5:AH$364,MATCH($K170,其他调用!$AG$5:$AG$364,0),0),1)*INDEX(其他调用!Y$5:Y$404,MATCH($K170,其他调用!$X$5:$X$404,0),0)</f>
        <v>39022.767597954662</v>
      </c>
      <c r="AQ170" s="12">
        <f>MIN(INDEX(其他调用!$AL$5:$AL$364,MATCH($K170,其他调用!$AG$5:$AG$364,0),1)/INDEX(其他调用!AI$5:AI$364,MATCH($K170,其他调用!$AG$5:$AG$364,0),0),1)*INDEX(其他调用!Z$5:Z$404,MATCH($K170,其他调用!$X$5:$X$404,0),0)</f>
        <v>40181.76308641088</v>
      </c>
      <c r="AR170" s="12">
        <f>MIN(INDEX(其他调用!$AL$5:$AL$364,MATCH($K170,其他调用!$AG$5:$AG$364,0),1)/INDEX(其他调用!AJ$5:AJ$364,MATCH($K170,其他调用!$AG$5:$AG$364,0),0),1)*INDEX(其他调用!AA$5:AA$404,MATCH($K170,其他调用!$X$5:$X$404,0),0)</f>
        <v>41686.923785384584</v>
      </c>
      <c r="AS170" s="12">
        <f>MIN(INDEX(其他调用!$AL$5:$AL$364,MATCH($K170,其他调用!$AG$5:$AG$364,0),1)/INDEX(其他调用!AK$5:AK$364,MATCH($K170,其他调用!$AG$5:$AG$364,0),0),1)*INDEX(其他调用!AB$5:AB$404,MATCH($K170,其他调用!$X$5:$X$404,0),0)</f>
        <v>43882.55786029774</v>
      </c>
      <c r="AT170" s="12">
        <f>MIN(INDEX(其他调用!$AL$5:$AL$364,MATCH($K170,其他调用!$AG$5:$AG$364,0),1)/INDEX(其他调用!AL$5:AL$364,MATCH($K170,其他调用!$AG$5:$AG$364,0),0),1)*INDEX(其他调用!AC$5:AC$404,MATCH($K170,其他调用!$X$5:$X$404,0),0)</f>
        <v>47830.372772900315</v>
      </c>
      <c r="AV170" s="14">
        <f>IF(OR(AV$5="大R",AV$5="超R"),MAX(INDEX(其他调用!$H$5:$L$404,MATCH($K170,其他调用!$B$5:$B$404,0),MATCH(AV$5,其他调用!$H$4:$L$4,0))*120*0.85,2),INDEX(其他调用!$H$5:$L$404,MATCH($K170,其他调用!$B$5:$B$404,0),MATCH(AV$5,其他调用!$H$4:$L$4,0))*120*0.85)</f>
        <v>48.921801254999991</v>
      </c>
      <c r="AW170" s="14">
        <f>IF(OR(AW$5="大R",AW$5="超R"),MAX(INDEX(其他调用!$H$5:$L$404,MATCH($K170,其他调用!$B$5:$B$404,0),MATCH(AW$5,其他调用!$H$4:$L$4,0))*120*0.85,2),INDEX(其他调用!$H$5:$L$404,MATCH($K170,其他调用!$B$5:$B$404,0),MATCH(AW$5,其他调用!$H$4:$L$4,0))*120*0.85)</f>
        <v>48.237344010638395</v>
      </c>
      <c r="AX170" s="14">
        <f>IF(OR(AX$5="大R",AX$5="超R"),MAX(INDEX(其他调用!$H$5:$L$404,MATCH($K170,其他调用!$B$5:$B$404,0),MATCH(AX$5,其他调用!$H$4:$L$4,0))*120*0.85,2),INDEX(其他调用!$H$5:$L$404,MATCH($K170,其他调用!$B$5:$B$404,0),MATCH(AX$5,其他调用!$H$4:$L$4,0))*120*0.85)</f>
        <v>3.9376284143615998</v>
      </c>
      <c r="AY170" s="14">
        <f>IF(OR(AY$5="大R",AY$5="超R"),MAX(INDEX(其他调用!$H$5:$L$404,MATCH($K170,其他调用!$B$5:$B$404,0),MATCH(AY$5,其他调用!$H$4:$L$4,0))*120*0.85,2),INDEX(其他调用!$H$5:$L$404,MATCH($K170,其他调用!$B$5:$B$404,0),MATCH(AY$5,其他调用!$H$4:$L$4,0))*120*0.85)</f>
        <v>2</v>
      </c>
      <c r="AZ170" s="14">
        <f>IF(OR(AZ$5="大R",AZ$5="超R"),MAX(INDEX(其他调用!$H$5:$L$404,MATCH($K170,其他调用!$B$5:$B$404,0),MATCH(AZ$5,其他调用!$H$4:$L$4,0))*120*0.85,2),INDEX(其他调用!$H$5:$L$404,MATCH($K170,其他调用!$B$5:$B$404,0),MATCH(AZ$5,其他调用!$H$4:$L$4,0))*120*0.85)</f>
        <v>2</v>
      </c>
      <c r="BA170" s="14">
        <f>INDEX(其他调用!$H$5:$L$404,MATCH($K170,其他调用!$B$5:$B$404,0),MATCH(BA$5,其他调用!$H$4:$L$4,0))*INDEX(其他调用!$M$5:$M$404,MATCH($K170,其他调用!$B$5:$B$404,0))*0.6</f>
        <v>28.777530149999997</v>
      </c>
      <c r="BB170" s="14">
        <f>INDEX(其他调用!$H$5:$L$404,MATCH($K170,其他调用!$B$5:$B$404,0),MATCH(BB$5,其他调用!$H$4:$L$4,0))*INDEX(其他调用!$M$5:$M$404,MATCH($K170,其他调用!$B$5:$B$404,0))*0.6</f>
        <v>28.374908241551999</v>
      </c>
      <c r="BC170" s="14">
        <f>INDEX(其他调用!$H$5:$L$404,MATCH($K170,其他调用!$B$5:$B$404,0),MATCH(BC$5,其他调用!$H$4:$L$4,0))*INDEX(其他调用!$M$5:$M$404,MATCH($K170,其他调用!$B$5:$B$404,0))*0.6</f>
        <v>2.3162520084480001</v>
      </c>
      <c r="BD170" s="14">
        <f>INDEX(其他调用!$H$5:$L$404,MATCH($K170,其他调用!$B$5:$B$404,0),MATCH(BD$5,其他调用!$H$4:$L$4,0))*INDEX(其他调用!$M$5:$M$404,MATCH($K170,其他调用!$B$5:$B$404,0))*0.6</f>
        <v>0.4120776000000001</v>
      </c>
      <c r="BE170" s="14">
        <f>INDEX(其他调用!$H$5:$L$404,MATCH($K170,其他调用!$B$5:$B$404,0),MATCH(BE$5,其他调用!$H$4:$L$4,0))*INDEX(其他调用!$M$5:$M$404,MATCH($K170,其他调用!$B$5:$B$404,0))*0.6</f>
        <v>0.11923199999999998</v>
      </c>
      <c r="BF170" s="14">
        <f>IF(OR(BF$5="大R",BF$5="超R"),0,INDEX(其他调用!$H$5:$L$404,MATCH($K170,其他调用!$B$5:$B$404,0),MATCH(BF$5,其他调用!$H$4:$L$4,0))*50*0.4)</f>
        <v>9.5925100500000013</v>
      </c>
      <c r="BG170" s="14">
        <f>IF(OR(BG$5="大R",BG$5="超R"),0,INDEX(其他调用!$H$5:$L$404,MATCH($K170,其他调用!$B$5:$B$404,0),MATCH(BG$5,其他调用!$H$4:$L$4,0))*50*0.4)</f>
        <v>9.4583027471839998</v>
      </c>
      <c r="BH170" s="14">
        <f>IF(OR(BH$5="大R",BH$5="超R"),0,INDEX(其他调用!$H$5:$L$404,MATCH($K170,其他调用!$B$5:$B$404,0),MATCH(BH$5,其他调用!$H$4:$L$4,0))*50*0.4)</f>
        <v>0.77208400281600009</v>
      </c>
      <c r="BI170" s="14">
        <f>IF(OR(BI$5="大R",BI$5="超R"),0,INDEX(其他调用!$H$5:$L$404,MATCH($K170,其他调用!$B$5:$B$404,0),MATCH(BI$5,其他调用!$H$4:$L$4,0))*50*0.4)</f>
        <v>0</v>
      </c>
      <c r="BJ170" s="14">
        <f>IF(OR(BJ$5="大R",BJ$5="超R"),0,INDEX(其他调用!$H$5:$L$404,MATCH($K170,其他调用!$B$5:$B$404,0),MATCH(BJ$5,其他调用!$H$4:$L$4,0))*50*0.4)</f>
        <v>0</v>
      </c>
      <c r="BL170" s="14">
        <f t="shared" si="313"/>
        <v>165</v>
      </c>
      <c r="BM170" s="14">
        <f t="shared" si="220"/>
        <v>96</v>
      </c>
      <c r="BN170" s="14">
        <f>('疲劳值&amp;地图信息'!$S$10*'疲劳值&amp;地图信息'!$R$10+'疲劳值&amp;地图信息'!$S$11*'疲劳值&amp;地图信息'!$R$11+'疲劳值&amp;地图信息'!$S$12*'疲劳值&amp;地图信息'!$R$12+(BM170-'疲劳值&amp;地图信息'!$S$12-'疲劳值&amp;地图信息'!$S$11-'疲劳值&amp;地图信息'!$S$10)*'疲劳值&amp;地图信息'!$R$13)/BM170</f>
        <v>51.371477246638619</v>
      </c>
      <c r="BO170" s="14">
        <f>INDEX(其他调用!$M$5:$M$404,MATCH(BL170,其他调用!$B$5:$B$404,0))*0.6</f>
        <v>60</v>
      </c>
      <c r="BP170" s="14">
        <f>IF(BO170&gt;SUM('疲劳值&amp;地图信息'!$S$10:$S$12),('疲劳值&amp;地图信息'!$S$10*'疲劳值&amp;地图信息'!$R$10+'疲劳值&amp;地图信息'!$S$11*'疲劳值&amp;地图信息'!$R$11+'疲劳值&amp;地图信息'!$S$12*'疲劳值&amp;地图信息'!$R$12+(BO170-'疲劳值&amp;地图信息'!$S$12-'疲劳值&amp;地图信息'!$S$11-'疲劳值&amp;地图信息'!$S$10)*'疲劳值&amp;地图信息'!$R$13)/BO170,('疲劳值&amp;地图信息'!$S$10*'疲劳值&amp;地图信息'!$R$10+'疲劳值&amp;地图信息'!$S$11*'疲劳值&amp;地图信息'!$R$11+'疲劳值&amp;地图信息'!$S$12*'疲劳值&amp;地图信息'!$R$12+(BO170-'疲劳值&amp;地图信息'!$S$12-'疲劳值&amp;地图信息'!$S$11-'疲劳值&amp;地图信息'!$S$10)*'疲劳值&amp;地图信息'!$R$13)/BO170)</f>
        <v>44.158136341605953</v>
      </c>
      <c r="BQ170" s="14">
        <f t="shared" si="314"/>
        <v>20</v>
      </c>
      <c r="BR170" s="14">
        <f>('疲劳值&amp;地图信息'!$S$10*'疲劳值&amp;地图信息'!$R$10+($BQ170-'疲劳值&amp;地图信息'!$S$10)*'疲劳值&amp;地图信息'!$R$11)/$BQ170</f>
        <v>32.067203015074995</v>
      </c>
      <c r="CF170" s="14">
        <v>165</v>
      </c>
      <c r="CG170" s="51">
        <f t="shared" si="221"/>
        <v>12229</v>
      </c>
      <c r="CH170" s="51">
        <f t="shared" si="222"/>
        <v>975</v>
      </c>
      <c r="CI170" s="51">
        <f>INT(SUMPRODUCT($N170:$R170,$BA170:$BE170)/SUM($BA170:$BE170)/10000*$BX$7*$BZ$34/'疲劳值&amp;地图信息'!$R$10*$BY$53)</f>
        <v>3133</v>
      </c>
      <c r="CJ170" s="50">
        <f t="shared" si="223"/>
        <v>0.74854624472057296</v>
      </c>
      <c r="CK170" s="50">
        <f t="shared" si="224"/>
        <v>5.968047989226908E-2</v>
      </c>
      <c r="CL170" s="50">
        <f t="shared" si="225"/>
        <v>0.19177327538715799</v>
      </c>
      <c r="CM170" s="14">
        <f t="shared" si="226"/>
        <v>13084</v>
      </c>
      <c r="CN170" s="14">
        <f t="shared" si="227"/>
        <v>1603</v>
      </c>
      <c r="CO170" s="14">
        <f>INT(SUMPRODUCT($U170:$Y170,$BA170:$BE170)/SUM($BA170:$BE170)/10000*$BX$7*$BZ$34/'疲劳值&amp;地图信息'!$R$10*$BY$54)</f>
        <v>5891</v>
      </c>
      <c r="CP170" s="50">
        <f t="shared" si="228"/>
        <v>0.63582466712022545</v>
      </c>
      <c r="CQ170" s="50">
        <f t="shared" si="229"/>
        <v>7.7898726795606957E-2</v>
      </c>
      <c r="CR170" s="50">
        <f t="shared" si="230"/>
        <v>0.28627660608416755</v>
      </c>
      <c r="CS170" s="14">
        <f t="shared" si="231"/>
        <v>13907</v>
      </c>
      <c r="CT170" s="14">
        <f t="shared" si="232"/>
        <v>2796</v>
      </c>
      <c r="CU170" s="14">
        <f>INT(SUMPRODUCT($AB170:$AF170,$BA170:$BE170)/SUM($BA170:$BE170)/10000*$BX$7*$BZ$34/'疲劳值&amp;地图信息'!$R$10*$BY$55)</f>
        <v>8004</v>
      </c>
      <c r="CV170" s="50">
        <f t="shared" si="233"/>
        <v>0.56287691747278101</v>
      </c>
      <c r="CW170" s="50">
        <f t="shared" si="234"/>
        <v>0.11316630914315781</v>
      </c>
      <c r="CX170" s="50">
        <f t="shared" si="235"/>
        <v>0.3239567733840612</v>
      </c>
      <c r="CY170" s="14">
        <f t="shared" si="236"/>
        <v>16359</v>
      </c>
      <c r="CZ170" s="14">
        <f t="shared" si="237"/>
        <v>7982</v>
      </c>
      <c r="DA170" s="14">
        <f>INT(SUMPRODUCT($AI170:$AM170,$BA170:$BE170)/SUM($BA170:$BE170)/10000*$BX$7*$BZ$34/'疲劳值&amp;地图信息'!$R$10*$BY$56)</f>
        <v>12073</v>
      </c>
      <c r="DB170" s="50">
        <f t="shared" si="238"/>
        <v>0.44925028835063435</v>
      </c>
      <c r="DC170" s="50">
        <f t="shared" si="239"/>
        <v>0.21920140605261712</v>
      </c>
      <c r="DD170" s="50">
        <f t="shared" si="240"/>
        <v>0.33154830559674853</v>
      </c>
      <c r="DE170" s="14">
        <f t="shared" si="241"/>
        <v>16690</v>
      </c>
      <c r="DF170" s="14">
        <f t="shared" si="242"/>
        <v>13982</v>
      </c>
      <c r="DG170" s="14">
        <f>INT(SUMPRODUCT($AP170:$AT170,$BA170:$BE170)/SUM($BA170:$BE170)/10000*$BX$7*$BZ$34/'疲劳值&amp;地图信息'!$R$10*$BY$57)</f>
        <v>16122</v>
      </c>
      <c r="DH170" s="50">
        <f t="shared" si="243"/>
        <v>0.35666965850322691</v>
      </c>
      <c r="DI170" s="50">
        <f t="shared" si="244"/>
        <v>0.29879899132367399</v>
      </c>
      <c r="DJ170" s="50">
        <f t="shared" si="245"/>
        <v>0.3445313501730991</v>
      </c>
      <c r="DL170" s="14">
        <f t="shared" si="316"/>
        <v>16337</v>
      </c>
      <c r="DM170" s="14">
        <f t="shared" si="317"/>
        <v>20578</v>
      </c>
      <c r="DN170" s="14">
        <f t="shared" si="318"/>
        <v>24707</v>
      </c>
      <c r="DO170" s="14">
        <f t="shared" si="319"/>
        <v>36414</v>
      </c>
      <c r="DP170" s="14">
        <f t="shared" si="320"/>
        <v>46794</v>
      </c>
      <c r="DQ170" s="14">
        <f t="shared" si="321"/>
        <v>1131849</v>
      </c>
      <c r="DT170" s="14">
        <f t="shared" si="315"/>
        <v>235575</v>
      </c>
      <c r="DU170" s="50">
        <f t="shared" si="217"/>
        <v>0.17227648483572031</v>
      </c>
      <c r="DW170" s="14">
        <f t="shared" si="246"/>
        <v>1367424</v>
      </c>
      <c r="EB170" s="14">
        <v>165</v>
      </c>
      <c r="EC170" s="51">
        <f t="shared" si="247"/>
        <v>20382</v>
      </c>
      <c r="ED170" s="51">
        <f t="shared" si="248"/>
        <v>1625</v>
      </c>
      <c r="EE170" s="51">
        <f>INT(SUMPRODUCT($N170:$R170,$BF170:$BJ170)/SUM($BF170:$BJ170)/10000*$BX$7*$BZ$46/'疲劳值&amp;地图信息'!$R$10*$BY$53)</f>
        <v>420</v>
      </c>
      <c r="EF170" s="50">
        <f t="shared" si="249"/>
        <v>0.90881526731172246</v>
      </c>
      <c r="EG170" s="50">
        <f t="shared" si="250"/>
        <v>7.2457305925892904E-2</v>
      </c>
      <c r="EH170" s="50">
        <f t="shared" si="251"/>
        <v>1.8727426762384626E-2</v>
      </c>
      <c r="EI170" s="51">
        <f t="shared" si="252"/>
        <v>21808</v>
      </c>
      <c r="EJ170" s="51">
        <f t="shared" si="253"/>
        <v>2671</v>
      </c>
      <c r="EK170" s="14">
        <f>INT(SUMPRODUCT($U170:$Y170,$BF170:$BJ170)/SUM($BF170:$BJ170)/10000*$BX$7*$BZ$46/'疲劳值&amp;地图信息'!$R$10*$BY$54)</f>
        <v>791</v>
      </c>
      <c r="EL170" s="50">
        <f t="shared" si="254"/>
        <v>0.86299960427384248</v>
      </c>
      <c r="EM170" s="50">
        <f t="shared" si="255"/>
        <v>0.10569845666798576</v>
      </c>
      <c r="EN170" s="50">
        <f t="shared" si="256"/>
        <v>3.1301939058171746E-2</v>
      </c>
      <c r="EO170" s="51">
        <f t="shared" si="257"/>
        <v>23178</v>
      </c>
      <c r="EP170" s="51">
        <f t="shared" si="258"/>
        <v>4660</v>
      </c>
      <c r="EQ170" s="14">
        <f>INT(SUMPRODUCT($AB170:$AF170,$BF170:$BJ170)/SUM($BF170:$BJ170)/10000*$BX$7*$BZ$46/'疲劳值&amp;地图信息'!$R$10*$BY$55)</f>
        <v>1073</v>
      </c>
      <c r="ER170" s="50">
        <f t="shared" si="259"/>
        <v>0.80170177441112378</v>
      </c>
      <c r="ES170" s="50">
        <f t="shared" si="260"/>
        <v>0.16118432430562762</v>
      </c>
      <c r="ET170" s="50">
        <f t="shared" si="261"/>
        <v>3.7113901283248589E-2</v>
      </c>
      <c r="EU170" s="51">
        <f t="shared" si="262"/>
        <v>27265</v>
      </c>
      <c r="EV170" s="51">
        <f t="shared" si="263"/>
        <v>13304</v>
      </c>
      <c r="EW170" s="14">
        <f>INT(SUMPRODUCT($AI170:$AM170,$BF170:$BJ170)/SUM($BF170:$BJ170)/10000*$BX$7*$BZ$46/'疲劳值&amp;地图信息'!$R$10*$BY$56)</f>
        <v>1610</v>
      </c>
      <c r="EX170" s="50">
        <f t="shared" si="264"/>
        <v>0.64641172147277082</v>
      </c>
      <c r="EY170" s="50">
        <f t="shared" si="265"/>
        <v>0.31541762488442115</v>
      </c>
      <c r="EZ170" s="50">
        <f t="shared" si="266"/>
        <v>3.8170653642808035E-2</v>
      </c>
      <c r="FA170" s="51">
        <f t="shared" si="267"/>
        <v>27816</v>
      </c>
      <c r="FB170" s="51">
        <f t="shared" si="268"/>
        <v>23304</v>
      </c>
      <c r="FC170" s="14">
        <f>INT(SUMPRODUCT($AP170:$AT170,$BF170:$BJ170)/SUM($BF170:$BJ170)/10000*$BX$7*$BZ$46/'疲劳值&amp;地图信息'!$R$10*$BY$57)</f>
        <v>2147</v>
      </c>
      <c r="FD170" s="50">
        <f t="shared" si="269"/>
        <v>0.52219948561022778</v>
      </c>
      <c r="FE170" s="50">
        <f t="shared" si="270"/>
        <v>0.4374941333283271</v>
      </c>
      <c r="FF170" s="50">
        <f t="shared" si="271"/>
        <v>4.0306381061445171E-2</v>
      </c>
      <c r="FH170" s="14">
        <f t="shared" si="272"/>
        <v>22427</v>
      </c>
      <c r="FI170" s="14">
        <f t="shared" si="273"/>
        <v>25270</v>
      </c>
      <c r="FJ170" s="14">
        <f t="shared" si="274"/>
        <v>28911</v>
      </c>
      <c r="FK170" s="14">
        <f t="shared" si="275"/>
        <v>42179</v>
      </c>
      <c r="FL170" s="14">
        <f t="shared" si="276"/>
        <v>53267</v>
      </c>
      <c r="FM170" s="14">
        <f t="shared" si="277"/>
        <v>2620859</v>
      </c>
      <c r="FP170" s="14">
        <f t="shared" si="278"/>
        <v>334150</v>
      </c>
      <c r="FQ170" s="50">
        <f t="shared" si="218"/>
        <v>0.11307918182313488</v>
      </c>
      <c r="FS170" s="14">
        <f t="shared" si="279"/>
        <v>2955009</v>
      </c>
      <c r="FX170" s="14">
        <v>165</v>
      </c>
      <c r="FY170" s="51">
        <f t="shared" si="280"/>
        <v>28535</v>
      </c>
      <c r="FZ170" s="51">
        <f t="shared" si="281"/>
        <v>1625</v>
      </c>
      <c r="GA170" s="51">
        <f>INT(SUMPRODUCT($N170:$R170,$BF170:$BJ170)/SUM($BF170:$BJ170)/10000*$BX$7*$BZ$46/'疲劳值&amp;地图信息'!$R$10*$BY$53)</f>
        <v>420</v>
      </c>
      <c r="GB170" s="50">
        <f t="shared" si="282"/>
        <v>0.93312622629169395</v>
      </c>
      <c r="GC170" s="50">
        <f t="shared" si="283"/>
        <v>5.313930673642904E-2</v>
      </c>
      <c r="GD170" s="50">
        <f t="shared" si="284"/>
        <v>1.3734466971877043E-2</v>
      </c>
      <c r="GE170" s="51">
        <f t="shared" si="285"/>
        <v>30531</v>
      </c>
      <c r="GF170" s="51">
        <f t="shared" si="286"/>
        <v>2671</v>
      </c>
      <c r="GG170" s="14">
        <f>INT(SUMPRODUCT($U170:$Y170,$BF170:$BJ170)/SUM($BF170:$BJ170)/10000*$BX$7*$BZ$46/'疲劳值&amp;地图信息'!$R$10*$BY$54)</f>
        <v>791</v>
      </c>
      <c r="GH170" s="50">
        <f t="shared" si="287"/>
        <v>0.89815550260347721</v>
      </c>
      <c r="GI170" s="50">
        <f t="shared" si="288"/>
        <v>7.857500073544553E-2</v>
      </c>
      <c r="GJ170" s="50">
        <f t="shared" si="289"/>
        <v>2.326949666107728E-2</v>
      </c>
      <c r="GK170" s="51">
        <f t="shared" si="290"/>
        <v>32449</v>
      </c>
      <c r="GL170" s="51">
        <f t="shared" si="291"/>
        <v>4660</v>
      </c>
      <c r="GM170" s="14">
        <f>INT(SUMPRODUCT($AB170:$AF170,$BF170:$BJ170)/SUM($BF170:$BJ170)/10000*$BX$7*$BZ$46/'疲劳值&amp;地图信息'!$R$10*$BY$55)</f>
        <v>1073</v>
      </c>
      <c r="GN170" s="50">
        <f t="shared" si="292"/>
        <v>0.84985071499659526</v>
      </c>
      <c r="GO170" s="50">
        <f t="shared" si="293"/>
        <v>0.12204703787124824</v>
      </c>
      <c r="GP170" s="50">
        <f t="shared" si="294"/>
        <v>2.8102247132156515E-2</v>
      </c>
      <c r="GQ170" s="51">
        <f t="shared" si="295"/>
        <v>38172</v>
      </c>
      <c r="GR170" s="51">
        <f t="shared" si="296"/>
        <v>13304</v>
      </c>
      <c r="GS170" s="14">
        <f>INT(SUMPRODUCT($AI170:$AM170,$BF170:$BJ170)/SUM($BF170:$BJ170)/10000*$BX$7*$BZ$46/'疲劳值&amp;地图信息'!$R$10*$BY$56)</f>
        <v>1610</v>
      </c>
      <c r="GT170" s="50">
        <f t="shared" si="297"/>
        <v>0.71905963907621595</v>
      </c>
      <c r="GU170" s="50">
        <f t="shared" si="298"/>
        <v>0.2506122141430886</v>
      </c>
      <c r="GV170" s="50">
        <f t="shared" si="299"/>
        <v>3.0328146780695474E-2</v>
      </c>
      <c r="GW170" s="51">
        <f t="shared" si="300"/>
        <v>38943</v>
      </c>
      <c r="GX170" s="51">
        <f t="shared" si="301"/>
        <v>23304</v>
      </c>
      <c r="GY170" s="14">
        <f>INT(SUMPRODUCT($AP170:$AT170,$BF170:$BJ170)/SUM($BF170:$BJ170)/10000*$BX$7*$BZ$46/'疲劳值&amp;地图信息'!$R$10*$BY$57)</f>
        <v>2147</v>
      </c>
      <c r="GZ170" s="50">
        <f t="shared" si="302"/>
        <v>0.60476131316582293</v>
      </c>
      <c r="HA170" s="50">
        <f t="shared" si="303"/>
        <v>0.36189707115569775</v>
      </c>
      <c r="HB170" s="50">
        <f t="shared" si="304"/>
        <v>3.3341615678479361E-2</v>
      </c>
      <c r="HD170" s="14">
        <f t="shared" si="305"/>
        <v>30580</v>
      </c>
      <c r="HE170" s="14">
        <f t="shared" si="306"/>
        <v>33993</v>
      </c>
      <c r="HF170" s="14">
        <f t="shared" si="307"/>
        <v>38182</v>
      </c>
      <c r="HG170" s="14">
        <f t="shared" si="308"/>
        <v>53086</v>
      </c>
      <c r="HH170" s="14">
        <f t="shared" si="309"/>
        <v>64394</v>
      </c>
      <c r="HI170" s="14">
        <f t="shared" si="310"/>
        <v>3521067</v>
      </c>
      <c r="HL170" s="14">
        <f t="shared" si="311"/>
        <v>430050</v>
      </c>
      <c r="HM170" s="50">
        <f t="shared" si="219"/>
        <v>0.10884263867660715</v>
      </c>
      <c r="HO170" s="14">
        <f t="shared" si="312"/>
        <v>3951117</v>
      </c>
    </row>
    <row r="171" spans="11:223" x14ac:dyDescent="0.2">
      <c r="K171" s="14">
        <v>166</v>
      </c>
      <c r="L171" s="12">
        <f>求节点(节奏总纲!D$4:D$163,标准城池设计!AB$4:AB$163,$K171)*求节点(节奏总纲!D$4:D$163,攻城基础信息!$AC$5:$AC$164,$K171)</f>
        <v>601903.0438376274</v>
      </c>
      <c r="M171" s="12">
        <f>INDEX(其他调用!$AA$5:$AA$404,MATCH(K171,其他调用!$X$5:$X$404,0))*MIN(INDEX(其他调用!$AH$5:$AH$364,MATCH('征服点（新）'!K171,其他调用!$AG$5:$AG$364,0),1)/INDEX(其他调用!$AJ$5:$AJ$364,MATCH(K171,其他调用!$AG$5:$AG$364,0),0),5)*求节点(节奏总纲!D$4:D$163,攻城基础信息!$AC$5:$AC$164,$K171)</f>
        <v>47977.15642324373</v>
      </c>
      <c r="N171" s="12">
        <f>MIN(INDEX(其他调用!$AH$5:$AH$364,MATCH($K171,其他调用!$AG$5:$AG$364,0),1)/INDEX(其他调用!AH$5:AH$364,MATCH($K171,其他调用!$AG$5:$AG$364,0),0),1)*INDEX(其他调用!Y$5:Y$404,MATCH($K171,其他调用!$X$5:$X$404,0),0)</f>
        <v>39057.512911592567</v>
      </c>
      <c r="O171" s="12">
        <f>MIN(INDEX(其他调用!$AH$5:$AH$364,MATCH($K171,其他调用!$AG$5:$AG$364,0),1)/INDEX(其他调用!AI$5:AI$364,MATCH($K171,其他调用!$AG$5:$AG$364,0),0),1)*INDEX(其他调用!Z$5:Z$404,MATCH($K171,其他调用!$X$5:$X$404,0),0)</f>
        <v>24473.888970867938</v>
      </c>
      <c r="P171" s="12">
        <f>MIN(INDEX(其他调用!$AH$5:$AH$364,MATCH($K171,其他调用!$AG$5:$AG$364,0),1)/INDEX(其他调用!AJ$5:AJ$364,MATCH($K171,其他调用!$AG$5:$AG$364,0),0),1)*INDEX(其他调用!AA$5:AA$404,MATCH($K171,其他调用!$X$5:$X$404,0),0)</f>
        <v>14563.204518843304</v>
      </c>
      <c r="Q171" s="12">
        <f>MIN(INDEX(其他调用!$AH$5:$AH$364,MATCH($K171,其他调用!$AG$5:$AG$364,0),1)/INDEX(其他调用!AK$5:AK$364,MATCH($K171,其他调用!$AG$5:$AG$364,0),0),1)*INDEX(其他调用!AB$5:AB$404,MATCH($K171,其他调用!$X$5:$X$404,0),0)</f>
        <v>5361.094996467933</v>
      </c>
      <c r="R171" s="12">
        <f>MIN(INDEX(其他调用!$AH$5:$AH$364,MATCH($K171,其他调用!$AG$5:$AG$364,0),1)/INDEX(其他调用!AL$5:AL$364,MATCH($K171,其他调用!$AG$5:$AG$364,0),0),1)*INDEX(其他调用!AC$5:AC$404,MATCH($K171,其他调用!$X$5:$X$404,0),0)</f>
        <v>2082.3918065465346</v>
      </c>
      <c r="S171" s="12">
        <f>求节点(节奏总纲!D$4:D$163,标准城池设计!AC$4:AC$163,$K171)*求节点(节奏总纲!D$4:D$163,攻城基础信息!$AD$5:$AD$164,$K171)</f>
        <v>643776.47521244956</v>
      </c>
      <c r="T171" s="12">
        <f>INDEX(其他调用!$AA$5:$AA$404,MATCH($K171,其他调用!$X$5:$X$404,0))*MIN(INDEX(其他调用!AI$5:AI$364,MATCH($K171,其他调用!$AG$5:$AG$364,0),1)/INDEX(其他调用!$AJ$5:$AJ$364,MATCH($K171,其他调用!$AG$5:$AG$364,0),0),5)*求节点(节奏总纲!D$4:D$163,攻城基础信息!$AD$5:$AD$164,$K171)</f>
        <v>78841.938287356912</v>
      </c>
      <c r="U171" s="12">
        <f>MIN(INDEX(其他调用!$AI$5:$AI$364,MATCH($K171,其他调用!$AG$5:$AG$364,0),1)/INDEX(其他调用!AH$5:AH$364,MATCH($K171,其他调用!$AG$5:$AG$364,0),0),1)*INDEX(其他调用!Y$5:Y$404,MATCH($K171,其他调用!$X$5:$X$404,0),0)</f>
        <v>39057.512911592567</v>
      </c>
      <c r="V171" s="12">
        <f>MIN(INDEX(其他调用!$AI$5:$AI$364,MATCH($K171,其他调用!$AG$5:$AG$364,0),1)/INDEX(其他调用!AI$5:AI$364,MATCH($K171,其他调用!$AG$5:$AG$364,0),0),1)*INDEX(其他调用!Z$5:Z$404,MATCH($K171,其他调用!$X$5:$X$404,0),0)</f>
        <v>40218.491210078617</v>
      </c>
      <c r="W171" s="12">
        <f>MIN(INDEX(其他调用!$AI$5:$AI$364,MATCH($K171,其他调用!$AG$5:$AG$364,0),1)/INDEX(其他调用!AJ$5:AJ$364,MATCH($K171,其他调用!$AG$5:$AG$364,0),0),1)*INDEX(其他调用!AA$5:AA$404,MATCH($K171,其他调用!$X$5:$X$404,0),0)</f>
        <v>23932.040944897082</v>
      </c>
      <c r="X171" s="12">
        <f>MIN(INDEX(其他调用!$AI$5:$AI$364,MATCH($K171,其他调用!$AG$5:$AG$364,0),1)/INDEX(其他调用!AK$5:AK$364,MATCH($K171,其他调用!$AG$5:$AG$364,0),0),1)*INDEX(其他调用!AB$5:AB$404,MATCH($K171,其他调用!$X$5:$X$404,0),0)</f>
        <v>8810.0077698520126</v>
      </c>
      <c r="Y171" s="12">
        <f>MIN(INDEX(其他调用!$AI$5:$AI$364,MATCH($K171,其他调用!$AG$5:$AG$364,0),1)/INDEX(其他调用!AL$5:AL$364,MATCH($K171,其他调用!$AG$5:$AG$364,0),0),1)*INDEX(其他调用!AC$5:AC$404,MATCH($K171,其他调用!$X$5:$X$404,0),0)</f>
        <v>3422.0412075589065</v>
      </c>
      <c r="Z171" s="12">
        <f>求节点(节奏总纲!D$4:D$163,标准城池设计!AD$4:AD$163,$K171)*求节点(节奏总纲!D$4:D$163,攻城基础信息!$AE$5:$AE$164,$K171)</f>
        <v>684071.74007683445</v>
      </c>
      <c r="AA171" s="12">
        <f>INDEX(其他调用!$AA$5:$AA$404,MATCH($K171,其他调用!$X$5:$X$404,0))*MIN(INDEX(其他调用!AJ$5:AJ$364,MATCH($K171,其他调用!$AG$5:$AG$364,0),1)/INDEX(其他调用!$AJ$5:$AJ$364,MATCH($K171,其他调用!$AG$5:$AG$364,0),0),5)*求节点(节奏总纲!D$4:D$163,攻城基础信息!$AE$5:$AE$164,$K171)</f>
        <v>137453.23003971262</v>
      </c>
      <c r="AB171" s="12">
        <f>MIN(INDEX(其他调用!$AJ$5:$AJ$364,MATCH($K171,其他调用!$AG$5:$AG$364,0),1)/INDEX(其他调用!AH$5:AH$364,MATCH($K171,其他调用!$AG$5:$AG$364,0),0),1)*INDEX(其他调用!Y$5:Y$404,MATCH($K171,其他调用!$X$5:$X$404,0),0)</f>
        <v>39057.512911592567</v>
      </c>
      <c r="AC171" s="12">
        <f>MIN(INDEX(其他调用!$AJ$5:$AJ$364,MATCH($K171,其他调用!$AG$5:$AG$364,0),1)/INDEX(其他调用!AI$5:AI$364,MATCH($K171,其他调用!$AG$5:$AG$364,0),0),1)*INDEX(其他调用!Z$5:Z$404,MATCH($K171,其他调用!$X$5:$X$404,0),0)</f>
        <v>40218.491210078617</v>
      </c>
      <c r="AD171" s="12">
        <f>MIN(INDEX(其他调用!$AJ$5:$AJ$364,MATCH($K171,其他调用!$AG$5:$AG$364,0),1)/INDEX(其他调用!AJ$5:AJ$364,MATCH($K171,其他调用!$AG$5:$AG$364,0),0),1)*INDEX(其他调用!AA$5:AA$404,MATCH($K171,其他调用!$X$5:$X$404,0),0)</f>
        <v>41723.179322777636</v>
      </c>
      <c r="AE171" s="12">
        <f>MIN(INDEX(其他调用!$AJ$5:$AJ$364,MATCH($K171,其他调用!$AG$5:$AG$364,0),1)/INDEX(其他调用!AK$5:AK$364,MATCH($K171,其他调用!$AG$5:$AG$364,0),0),1)*INDEX(其他调用!AB$5:AB$404,MATCH($K171,其他调用!$X$5:$X$404,0),0)</f>
        <v>15359.38931673011</v>
      </c>
      <c r="AF171" s="12">
        <f>MIN(INDEX(其他调用!$AJ$5:$AJ$364,MATCH($K171,其他调用!$AG$5:$AG$364,0),1)/INDEX(其他调用!AL$5:AL$364,MATCH($K171,其他调用!$AG$5:$AG$364,0),0),1)*INDEX(其他调用!AC$5:AC$404,MATCH($K171,其他调用!$X$5:$X$404,0),0)</f>
        <v>5965.9950976040254</v>
      </c>
      <c r="AG171" s="12">
        <f>求节点(节奏总纲!D$4:D$163,标准城池设计!AE$4:AE$163,$K171)*求节点(节奏总纲!D$4:D$163,攻城基础信息!$AF$5:$AF$164,$K171)</f>
        <v>805744.7570531813</v>
      </c>
      <c r="AH171" s="12">
        <f>INDEX(其他调用!$AA$5:$AA$404,MATCH($K171,其他调用!$X$5:$X$404,0))*MIN(INDEX(其他调用!AK$5:AK$364,MATCH($K171,其他调用!$AG$5:$AG$364,0),1)/INDEX(其他调用!$AJ$5:$AJ$364,MATCH($K171,其他调用!$AG$5:$AG$364,0),0),5)*求节点(节奏总纲!D$4:D$163,攻城基础信息!$AF$5:$AF$164,$K171)</f>
        <v>393028.33405919897</v>
      </c>
      <c r="AI171" s="12">
        <f>MIN(INDEX(其他调用!$AK$5:$AK$364,MATCH($K171,其他调用!$AG$5:$AG$364,0),1)/INDEX(其他调用!AH$5:AH$364,MATCH($K171,其他调用!$AG$5:$AG$364,0),0),1)*INDEX(其他调用!Y$5:Y$404,MATCH($K171,其他调用!$X$5:$X$404,0),0)</f>
        <v>39057.512911592567</v>
      </c>
      <c r="AJ171" s="12">
        <f>MIN(INDEX(其他调用!$AK$5:$AK$364,MATCH($K171,其他调用!$AG$5:$AG$364,0),1)/INDEX(其他调用!AI$5:AI$364,MATCH($K171,其他调用!$AG$5:$AG$364,0),0),1)*INDEX(其他调用!Z$5:Z$404,MATCH($K171,其他调用!$X$5:$X$404,0),0)</f>
        <v>40218.491210078617</v>
      </c>
      <c r="AK171" s="12">
        <f>MIN(INDEX(其他调用!$AK$5:$AK$364,MATCH($K171,其他调用!$AG$5:$AG$364,0),1)/INDEX(其他调用!AJ$5:AJ$364,MATCH($K171,其他调用!$AG$5:$AG$364,0),0),1)*INDEX(其他调用!AA$5:AA$404,MATCH($K171,其他调用!$X$5:$X$404,0),0)</f>
        <v>41723.179322777636</v>
      </c>
      <c r="AL171" s="12">
        <f>MIN(INDEX(其他调用!$AK$5:$AK$364,MATCH($K171,其他调用!$AG$5:$AG$364,0),1)/INDEX(其他调用!AK$5:AK$364,MATCH($K171,其他调用!$AG$5:$AG$364,0),0),1)*INDEX(其他调用!AB$5:AB$404,MATCH($K171,其他调用!$X$5:$X$404,0),0)</f>
        <v>43918.030835484868</v>
      </c>
      <c r="AM171" s="12">
        <f>MIN(INDEX(其他调用!$AK$5:$AK$364,MATCH($K171,其他调用!$AG$5:$AG$364,0),1)/INDEX(其他调用!AL$5:AL$364,MATCH($K171,其他调用!$AG$5:$AG$364,0),0),1)*INDEX(其他调用!AC$5:AC$404,MATCH($K171,其他调用!$X$5:$X$404,0),0)</f>
        <v>17058.930616175432</v>
      </c>
      <c r="AN171" s="12">
        <f>求节点(节奏总纲!D$4:D$163,标准城池设计!AF$4:AF$163,$K171)*求节点(节奏总纲!D$4:D$163,攻城基础信息!$AG$5:$AG$164,$K171)</f>
        <v>822309.53343281476</v>
      </c>
      <c r="AO171" s="12">
        <f>INDEX(其他调用!$AA$5:$AA$404,MATCH($K171,其他调用!$X$5:$X$404,0))*MIN(INDEX(其他调用!AL$5:AL$364,MATCH($K171,其他调用!$AG$5:$AG$364,0),1)/INDEX(其他调用!$AJ$5:$AJ$364,MATCH($K171,其他调用!$AG$5:$AG$364,0),0),5)*求节点(节奏总纲!D$4:D$163,攻城基础信息!$AG$5:$AG$164,$K171)</f>
        <v>687266.15019856312</v>
      </c>
      <c r="AP171" s="12">
        <f>MIN(INDEX(其他调用!$AL$5:$AL$364,MATCH($K171,其他调用!$AG$5:$AG$364,0),1)/INDEX(其他调用!AH$5:AH$364,MATCH($K171,其他调用!$AG$5:$AG$364,0),0),1)*INDEX(其他调用!Y$5:Y$404,MATCH($K171,其他调用!$X$5:$X$404,0),0)</f>
        <v>39057.512911592567</v>
      </c>
      <c r="AQ171" s="12">
        <f>MIN(INDEX(其他调用!$AL$5:$AL$364,MATCH($K171,其他调用!$AG$5:$AG$364,0),1)/INDEX(其他调用!AI$5:AI$364,MATCH($K171,其他调用!$AG$5:$AG$364,0),0),1)*INDEX(其他调用!Z$5:Z$404,MATCH($K171,其他调用!$X$5:$X$404,0),0)</f>
        <v>40218.491210078617</v>
      </c>
      <c r="AR171" s="12">
        <f>MIN(INDEX(其他调用!$AL$5:$AL$364,MATCH($K171,其他调用!$AG$5:$AG$364,0),1)/INDEX(其他调用!AJ$5:AJ$364,MATCH($K171,其他调用!$AG$5:$AG$364,0),0),1)*INDEX(其他调用!AA$5:AA$404,MATCH($K171,其他调用!$X$5:$X$404,0),0)</f>
        <v>41723.179322777636</v>
      </c>
      <c r="AS171" s="12">
        <f>MIN(INDEX(其他调用!$AL$5:$AL$364,MATCH($K171,其他调用!$AG$5:$AG$364,0),1)/INDEX(其他调用!AK$5:AK$364,MATCH($K171,其他调用!$AG$5:$AG$364,0),0),1)*INDEX(其他调用!AB$5:AB$404,MATCH($K171,其他调用!$X$5:$X$404,0),0)</f>
        <v>43918.030835484868</v>
      </c>
      <c r="AT171" s="12">
        <f>MIN(INDEX(其他调用!$AL$5:$AL$364,MATCH($K171,其他调用!$AG$5:$AG$364,0),1)/INDEX(其他调用!AL$5:AL$364,MATCH($K171,其他调用!$AG$5:$AG$364,0),0),1)*INDEX(其他调用!AC$5:AC$404,MATCH($K171,其他调用!$X$5:$X$404,0),0)</f>
        <v>47865.641770898168</v>
      </c>
      <c r="AV171" s="14">
        <f>IF(OR(AV$5="大R",AV$5="超R"),MAX(INDEX(其他调用!$H$5:$L$404,MATCH($K171,其他调用!$B$5:$B$404,0),MATCH(AV$5,其他调用!$H$4:$L$4,0))*120*0.85,2),INDEX(其他调用!$H$5:$L$404,MATCH($K171,其他调用!$B$5:$B$404,0),MATCH(AV$5,其他调用!$H$4:$L$4,0))*120*0.85)</f>
        <v>48.921801254999991</v>
      </c>
      <c r="AW171" s="14">
        <f>IF(OR(AW$5="大R",AW$5="超R"),MAX(INDEX(其他调用!$H$5:$L$404,MATCH($K171,其他调用!$B$5:$B$404,0),MATCH(AW$5,其他调用!$H$4:$L$4,0))*120*0.85,2),INDEX(其他调用!$H$5:$L$404,MATCH($K171,其他调用!$B$5:$B$404,0),MATCH(AW$5,其他调用!$H$4:$L$4,0))*120*0.85)</f>
        <v>48.237344010638395</v>
      </c>
      <c r="AX171" s="14">
        <f>IF(OR(AX$5="大R",AX$5="超R"),MAX(INDEX(其他调用!$H$5:$L$404,MATCH($K171,其他调用!$B$5:$B$404,0),MATCH(AX$5,其他调用!$H$4:$L$4,0))*120*0.85,2),INDEX(其他调用!$H$5:$L$404,MATCH($K171,其他调用!$B$5:$B$404,0),MATCH(AX$5,其他调用!$H$4:$L$4,0))*120*0.85)</f>
        <v>3.9376284143615998</v>
      </c>
      <c r="AY171" s="14">
        <f>IF(OR(AY$5="大R",AY$5="超R"),MAX(INDEX(其他调用!$H$5:$L$404,MATCH($K171,其他调用!$B$5:$B$404,0),MATCH(AY$5,其他调用!$H$4:$L$4,0))*120*0.85,2),INDEX(其他调用!$H$5:$L$404,MATCH($K171,其他调用!$B$5:$B$404,0),MATCH(AY$5,其他调用!$H$4:$L$4,0))*120*0.85)</f>
        <v>2</v>
      </c>
      <c r="AZ171" s="14">
        <f>IF(OR(AZ$5="大R",AZ$5="超R"),MAX(INDEX(其他调用!$H$5:$L$404,MATCH($K171,其他调用!$B$5:$B$404,0),MATCH(AZ$5,其他调用!$H$4:$L$4,0))*120*0.85,2),INDEX(其他调用!$H$5:$L$404,MATCH($K171,其他调用!$B$5:$B$404,0),MATCH(AZ$5,其他调用!$H$4:$L$4,0))*120*0.85)</f>
        <v>2</v>
      </c>
      <c r="BA171" s="14">
        <f>INDEX(其他调用!$H$5:$L$404,MATCH($K171,其他调用!$B$5:$B$404,0),MATCH(BA$5,其他调用!$H$4:$L$4,0))*INDEX(其他调用!$M$5:$M$404,MATCH($K171,其他调用!$B$5:$B$404,0))*0.6</f>
        <v>28.777530149999997</v>
      </c>
      <c r="BB171" s="14">
        <f>INDEX(其他调用!$H$5:$L$404,MATCH($K171,其他调用!$B$5:$B$404,0),MATCH(BB$5,其他调用!$H$4:$L$4,0))*INDEX(其他调用!$M$5:$M$404,MATCH($K171,其他调用!$B$5:$B$404,0))*0.6</f>
        <v>28.374908241551999</v>
      </c>
      <c r="BC171" s="14">
        <f>INDEX(其他调用!$H$5:$L$404,MATCH($K171,其他调用!$B$5:$B$404,0),MATCH(BC$5,其他调用!$H$4:$L$4,0))*INDEX(其他调用!$M$5:$M$404,MATCH($K171,其他调用!$B$5:$B$404,0))*0.6</f>
        <v>2.3162520084480001</v>
      </c>
      <c r="BD171" s="14">
        <f>INDEX(其他调用!$H$5:$L$404,MATCH($K171,其他调用!$B$5:$B$404,0),MATCH(BD$5,其他调用!$H$4:$L$4,0))*INDEX(其他调用!$M$5:$M$404,MATCH($K171,其他调用!$B$5:$B$404,0))*0.6</f>
        <v>0.4120776000000001</v>
      </c>
      <c r="BE171" s="14">
        <f>INDEX(其他调用!$H$5:$L$404,MATCH($K171,其他调用!$B$5:$B$404,0),MATCH(BE$5,其他调用!$H$4:$L$4,0))*INDEX(其他调用!$M$5:$M$404,MATCH($K171,其他调用!$B$5:$B$404,0))*0.6</f>
        <v>0.11923199999999998</v>
      </c>
      <c r="BF171" s="14">
        <f>IF(OR(BF$5="大R",BF$5="超R"),0,INDEX(其他调用!$H$5:$L$404,MATCH($K171,其他调用!$B$5:$B$404,0),MATCH(BF$5,其他调用!$H$4:$L$4,0))*50*0.4)</f>
        <v>9.5925100500000013</v>
      </c>
      <c r="BG171" s="14">
        <f>IF(OR(BG$5="大R",BG$5="超R"),0,INDEX(其他调用!$H$5:$L$404,MATCH($K171,其他调用!$B$5:$B$404,0),MATCH(BG$5,其他调用!$H$4:$L$4,0))*50*0.4)</f>
        <v>9.4583027471839998</v>
      </c>
      <c r="BH171" s="14">
        <f>IF(OR(BH$5="大R",BH$5="超R"),0,INDEX(其他调用!$H$5:$L$404,MATCH($K171,其他调用!$B$5:$B$404,0),MATCH(BH$5,其他调用!$H$4:$L$4,0))*50*0.4)</f>
        <v>0.77208400281600009</v>
      </c>
      <c r="BI171" s="14">
        <f>IF(OR(BI$5="大R",BI$5="超R"),0,INDEX(其他调用!$H$5:$L$404,MATCH($K171,其他调用!$B$5:$B$404,0),MATCH(BI$5,其他调用!$H$4:$L$4,0))*50*0.4)</f>
        <v>0</v>
      </c>
      <c r="BJ171" s="14">
        <f>IF(OR(BJ$5="大R",BJ$5="超R"),0,INDEX(其他调用!$H$5:$L$404,MATCH($K171,其他调用!$B$5:$B$404,0),MATCH(BJ$5,其他调用!$H$4:$L$4,0))*50*0.4)</f>
        <v>0</v>
      </c>
      <c r="BL171" s="14">
        <f t="shared" si="313"/>
        <v>166</v>
      </c>
      <c r="BM171" s="14">
        <f t="shared" si="220"/>
        <v>96</v>
      </c>
      <c r="BN171" s="14">
        <f>('疲劳值&amp;地图信息'!$S$10*'疲劳值&amp;地图信息'!$R$10+'疲劳值&amp;地图信息'!$S$11*'疲劳值&amp;地图信息'!$R$11+'疲劳值&amp;地图信息'!$S$12*'疲劳值&amp;地图信息'!$R$12+(BM171-'疲劳值&amp;地图信息'!$S$12-'疲劳值&amp;地图信息'!$S$11-'疲劳值&amp;地图信息'!$S$10)*'疲劳值&amp;地图信息'!$R$13)/BM171</f>
        <v>51.371477246638619</v>
      </c>
      <c r="BO171" s="14">
        <f>INDEX(其他调用!$M$5:$M$404,MATCH(BL171,其他调用!$B$5:$B$404,0))*0.6</f>
        <v>60</v>
      </c>
      <c r="BP171" s="14">
        <f>IF(BO171&gt;SUM('疲劳值&amp;地图信息'!$S$10:$S$12),('疲劳值&amp;地图信息'!$S$10*'疲劳值&amp;地图信息'!$R$10+'疲劳值&amp;地图信息'!$S$11*'疲劳值&amp;地图信息'!$R$11+'疲劳值&amp;地图信息'!$S$12*'疲劳值&amp;地图信息'!$R$12+(BO171-'疲劳值&amp;地图信息'!$S$12-'疲劳值&amp;地图信息'!$S$11-'疲劳值&amp;地图信息'!$S$10)*'疲劳值&amp;地图信息'!$R$13)/BO171,('疲劳值&amp;地图信息'!$S$10*'疲劳值&amp;地图信息'!$R$10+'疲劳值&amp;地图信息'!$S$11*'疲劳值&amp;地图信息'!$R$11+'疲劳值&amp;地图信息'!$S$12*'疲劳值&amp;地图信息'!$R$12+(BO171-'疲劳值&amp;地图信息'!$S$12-'疲劳值&amp;地图信息'!$S$11-'疲劳值&amp;地图信息'!$S$10)*'疲劳值&amp;地图信息'!$R$13)/BO171)</f>
        <v>44.158136341605953</v>
      </c>
      <c r="BQ171" s="14">
        <f t="shared" si="314"/>
        <v>20</v>
      </c>
      <c r="BR171" s="14">
        <f>('疲劳值&amp;地图信息'!$S$10*'疲劳值&amp;地图信息'!$R$10+($BQ171-'疲劳值&amp;地图信息'!$S$10)*'疲劳值&amp;地图信息'!$R$11)/$BQ171</f>
        <v>32.067203015074995</v>
      </c>
      <c r="CF171" s="14">
        <v>166</v>
      </c>
      <c r="CG171" s="51">
        <f t="shared" si="221"/>
        <v>12267</v>
      </c>
      <c r="CH171" s="51">
        <f t="shared" si="222"/>
        <v>977</v>
      </c>
      <c r="CI171" s="51">
        <f>INT(SUMPRODUCT($N171:$R171,$BA171:$BE171)/SUM($BA171:$BE171)/10000*$BX$7*$BZ$34/'疲劳值&amp;地图信息'!$R$10*$BY$53)</f>
        <v>3136</v>
      </c>
      <c r="CJ171" s="50">
        <f t="shared" si="223"/>
        <v>0.74890109890109891</v>
      </c>
      <c r="CK171" s="50">
        <f t="shared" si="224"/>
        <v>5.9645909645909649E-2</v>
      </c>
      <c r="CL171" s="50">
        <f t="shared" si="225"/>
        <v>0.19145299145299147</v>
      </c>
      <c r="CM171" s="14">
        <f t="shared" si="226"/>
        <v>13120</v>
      </c>
      <c r="CN171" s="14">
        <f t="shared" si="227"/>
        <v>1606</v>
      </c>
      <c r="CO171" s="14">
        <f>INT(SUMPRODUCT($U171:$Y171,$BA171:$BE171)/SUM($BA171:$BE171)/10000*$BX$7*$BZ$34/'疲劳值&amp;地图信息'!$R$10*$BY$54)</f>
        <v>5896</v>
      </c>
      <c r="CP171" s="50">
        <f t="shared" si="228"/>
        <v>0.6362137523033653</v>
      </c>
      <c r="CQ171" s="50">
        <f t="shared" si="229"/>
        <v>7.7877994374939391E-2</v>
      </c>
      <c r="CR171" s="50">
        <f t="shared" si="230"/>
        <v>0.28590825332169528</v>
      </c>
      <c r="CS171" s="14">
        <f t="shared" si="231"/>
        <v>13942</v>
      </c>
      <c r="CT171" s="14">
        <f t="shared" si="232"/>
        <v>2801</v>
      </c>
      <c r="CU171" s="14">
        <f>INT(SUMPRODUCT($AB171:$AF171,$BA171:$BE171)/SUM($BA171:$BE171)/10000*$BX$7*$BZ$34/'疲劳值&amp;地图信息'!$R$10*$BY$55)</f>
        <v>8012</v>
      </c>
      <c r="CV171" s="50">
        <f t="shared" si="233"/>
        <v>0.56319935366592611</v>
      </c>
      <c r="CW171" s="50">
        <f t="shared" si="234"/>
        <v>0.11314885881640073</v>
      </c>
      <c r="CX171" s="50">
        <f t="shared" si="235"/>
        <v>0.32365178751767321</v>
      </c>
      <c r="CY171" s="14">
        <f t="shared" si="236"/>
        <v>16422</v>
      </c>
      <c r="CZ171" s="14">
        <f t="shared" si="237"/>
        <v>8010</v>
      </c>
      <c r="DA171" s="14">
        <f>INT(SUMPRODUCT($AI171:$AM171,$BA171:$BE171)/SUM($BA171:$BE171)/10000*$BX$7*$BZ$34/'疲劳值&amp;地图信息'!$R$10*$BY$56)</f>
        <v>12084</v>
      </c>
      <c r="DB171" s="50">
        <f t="shared" si="238"/>
        <v>0.44972067039106145</v>
      </c>
      <c r="DC171" s="50">
        <f t="shared" si="239"/>
        <v>0.21935589878409464</v>
      </c>
      <c r="DD171" s="50">
        <f t="shared" si="240"/>
        <v>0.33092343082484388</v>
      </c>
      <c r="DE171" s="14">
        <f t="shared" si="241"/>
        <v>16759</v>
      </c>
      <c r="DF171" s="14">
        <f t="shared" si="242"/>
        <v>14007</v>
      </c>
      <c r="DG171" s="14">
        <f>INT(SUMPRODUCT($AP171:$AT171,$BA171:$BE171)/SUM($BA171:$BE171)/10000*$BX$7*$BZ$34/'疲劳值&amp;地图信息'!$R$10*$BY$57)</f>
        <v>16137</v>
      </c>
      <c r="DH171" s="50">
        <f t="shared" si="243"/>
        <v>0.35731189902564869</v>
      </c>
      <c r="DI171" s="50">
        <f t="shared" si="244"/>
        <v>0.29863761379869092</v>
      </c>
      <c r="DJ171" s="50">
        <f t="shared" si="245"/>
        <v>0.34405048717566039</v>
      </c>
      <c r="DL171" s="14">
        <f t="shared" si="316"/>
        <v>16380</v>
      </c>
      <c r="DM171" s="14">
        <f t="shared" si="317"/>
        <v>20622</v>
      </c>
      <c r="DN171" s="14">
        <f t="shared" si="318"/>
        <v>24755</v>
      </c>
      <c r="DO171" s="14">
        <f t="shared" si="319"/>
        <v>36516</v>
      </c>
      <c r="DP171" s="14">
        <f t="shared" si="320"/>
        <v>46903</v>
      </c>
      <c r="DQ171" s="14">
        <f t="shared" si="321"/>
        <v>1134501</v>
      </c>
      <c r="DT171" s="14">
        <f t="shared" si="315"/>
        <v>235575</v>
      </c>
      <c r="DU171" s="50">
        <f t="shared" si="217"/>
        <v>0.1719430162998257</v>
      </c>
      <c r="DW171" s="14">
        <f t="shared" si="246"/>
        <v>1370076</v>
      </c>
      <c r="EB171" s="14">
        <v>166</v>
      </c>
      <c r="EC171" s="51">
        <f t="shared" si="247"/>
        <v>20445</v>
      </c>
      <c r="ED171" s="51">
        <f t="shared" si="248"/>
        <v>1629</v>
      </c>
      <c r="EE171" s="51">
        <f>INT(SUMPRODUCT($N171:$R171,$BF171:$BJ171)/SUM($BF171:$BJ171)/10000*$BX$7*$BZ$46/'疲劳值&amp;地图信息'!$R$10*$BY$53)</f>
        <v>421</v>
      </c>
      <c r="EF171" s="50">
        <f t="shared" si="249"/>
        <v>0.90886863747499447</v>
      </c>
      <c r="EG171" s="50">
        <f t="shared" si="250"/>
        <v>7.2416092464992227E-2</v>
      </c>
      <c r="EH171" s="50">
        <f t="shared" si="251"/>
        <v>1.8715270060013337E-2</v>
      </c>
      <c r="EI171" s="51">
        <f t="shared" si="252"/>
        <v>21868</v>
      </c>
      <c r="EJ171" s="51">
        <f t="shared" si="253"/>
        <v>2678</v>
      </c>
      <c r="EK171" s="14">
        <f>INT(SUMPRODUCT($U171:$Y171,$BF171:$BJ171)/SUM($BF171:$BJ171)/10000*$BX$7*$BZ$46/'疲劳值&amp;地图信息'!$R$10*$BY$54)</f>
        <v>791</v>
      </c>
      <c r="EL171" s="50">
        <f t="shared" si="254"/>
        <v>0.86308560603070605</v>
      </c>
      <c r="EM171" s="50">
        <f t="shared" si="255"/>
        <v>0.10569522832221652</v>
      </c>
      <c r="EN171" s="50">
        <f t="shared" si="256"/>
        <v>3.1219165647077395E-2</v>
      </c>
      <c r="EO171" s="51">
        <f t="shared" si="257"/>
        <v>23237</v>
      </c>
      <c r="EP171" s="51">
        <f t="shared" si="258"/>
        <v>4669</v>
      </c>
      <c r="EQ171" s="14">
        <f>INT(SUMPRODUCT($AB171:$AF171,$BF171:$BJ171)/SUM($BF171:$BJ171)/10000*$BX$7*$BZ$46/'疲劳值&amp;地图信息'!$R$10*$BY$55)</f>
        <v>1074</v>
      </c>
      <c r="ER171" s="50">
        <f t="shared" si="259"/>
        <v>0.80182884748102135</v>
      </c>
      <c r="ES171" s="50">
        <f t="shared" si="260"/>
        <v>0.16111111111111112</v>
      </c>
      <c r="ET171" s="50">
        <f t="shared" si="261"/>
        <v>3.7060041407867492E-2</v>
      </c>
      <c r="EU171" s="51">
        <f t="shared" si="262"/>
        <v>27370</v>
      </c>
      <c r="EV171" s="51">
        <f t="shared" si="263"/>
        <v>13350</v>
      </c>
      <c r="EW171" s="14">
        <f>INT(SUMPRODUCT($AI171:$AM171,$BF171:$BJ171)/SUM($BF171:$BJ171)/10000*$BX$7*$BZ$46/'疲劳值&amp;地图信息'!$R$10*$BY$56)</f>
        <v>1611</v>
      </c>
      <c r="EX171" s="50">
        <f t="shared" si="264"/>
        <v>0.64657107084642462</v>
      </c>
      <c r="EY171" s="50">
        <f t="shared" si="265"/>
        <v>0.31537171340152609</v>
      </c>
      <c r="EZ171" s="50">
        <f t="shared" si="266"/>
        <v>3.8057215752049324E-2</v>
      </c>
      <c r="FA171" s="51">
        <f t="shared" si="267"/>
        <v>27932</v>
      </c>
      <c r="FB171" s="51">
        <f t="shared" si="268"/>
        <v>23345</v>
      </c>
      <c r="FC171" s="14">
        <f>INT(SUMPRODUCT($AP171:$AT171,$BF171:$BJ171)/SUM($BF171:$BJ171)/10000*$BX$7*$BZ$46/'疲劳值&amp;地图信息'!$R$10*$BY$57)</f>
        <v>2149</v>
      </c>
      <c r="FD171" s="50">
        <f t="shared" si="269"/>
        <v>0.52281660614681991</v>
      </c>
      <c r="FE171" s="50">
        <f t="shared" si="270"/>
        <v>0.4369595328117396</v>
      </c>
      <c r="FF171" s="50">
        <f t="shared" si="271"/>
        <v>4.0223861041440497E-2</v>
      </c>
      <c r="FH171" s="14">
        <f t="shared" si="272"/>
        <v>22495</v>
      </c>
      <c r="FI171" s="14">
        <f t="shared" si="273"/>
        <v>25337</v>
      </c>
      <c r="FJ171" s="14">
        <f t="shared" si="274"/>
        <v>28980</v>
      </c>
      <c r="FK171" s="14">
        <f t="shared" si="275"/>
        <v>42331</v>
      </c>
      <c r="FL171" s="14">
        <f t="shared" si="276"/>
        <v>53426</v>
      </c>
      <c r="FM171" s="14">
        <f t="shared" si="277"/>
        <v>2628311</v>
      </c>
      <c r="FP171" s="14">
        <f t="shared" si="278"/>
        <v>334150</v>
      </c>
      <c r="FQ171" s="50">
        <f t="shared" si="218"/>
        <v>0.1127947338378463</v>
      </c>
      <c r="FS171" s="14">
        <f t="shared" si="279"/>
        <v>2962461</v>
      </c>
      <c r="FX171" s="14">
        <v>166</v>
      </c>
      <c r="FY171" s="51">
        <f t="shared" si="280"/>
        <v>28624</v>
      </c>
      <c r="FZ171" s="51">
        <f t="shared" si="281"/>
        <v>1629</v>
      </c>
      <c r="GA171" s="51">
        <f>INT(SUMPRODUCT($N171:$R171,$BF171:$BJ171)/SUM($BF171:$BJ171)/10000*$BX$7*$BZ$46/'疲劳值&amp;地图信息'!$R$10*$BY$53)</f>
        <v>421</v>
      </c>
      <c r="GB171" s="50">
        <f t="shared" si="282"/>
        <v>0.93316815544109022</v>
      </c>
      <c r="GC171" s="50">
        <f t="shared" si="283"/>
        <v>5.3106865749494685E-2</v>
      </c>
      <c r="GD171" s="50">
        <f t="shared" si="284"/>
        <v>1.372497880941514E-2</v>
      </c>
      <c r="GE171" s="51">
        <f t="shared" si="285"/>
        <v>30615</v>
      </c>
      <c r="GF171" s="51">
        <f t="shared" si="286"/>
        <v>2678</v>
      </c>
      <c r="GG171" s="14">
        <f>INT(SUMPRODUCT($U171:$Y171,$BF171:$BJ171)/SUM($BF171:$BJ171)/10000*$BX$7*$BZ$46/'疲劳值&amp;地图信息'!$R$10*$BY$54)</f>
        <v>791</v>
      </c>
      <c r="GH171" s="50">
        <f t="shared" si="287"/>
        <v>0.89822203966670577</v>
      </c>
      <c r="GI171" s="50">
        <f t="shared" si="288"/>
        <v>7.8570590306302077E-2</v>
      </c>
      <c r="GJ171" s="50">
        <f t="shared" si="289"/>
        <v>2.3207370026992136E-2</v>
      </c>
      <c r="GK171" s="51">
        <f t="shared" si="290"/>
        <v>32531</v>
      </c>
      <c r="GL171" s="51">
        <f t="shared" si="291"/>
        <v>4669</v>
      </c>
      <c r="GM171" s="14">
        <f>INT(SUMPRODUCT($AB171:$AF171,$BF171:$BJ171)/SUM($BF171:$BJ171)/10000*$BX$7*$BZ$46/'疲劳值&amp;地图信息'!$R$10*$BY$55)</f>
        <v>1074</v>
      </c>
      <c r="GN171" s="50">
        <f t="shared" si="292"/>
        <v>0.84995035794534146</v>
      </c>
      <c r="GO171" s="50">
        <f t="shared" si="293"/>
        <v>0.12198881747400324</v>
      </c>
      <c r="GP171" s="50">
        <f t="shared" si="294"/>
        <v>2.8060824580655275E-2</v>
      </c>
      <c r="GQ171" s="51">
        <f t="shared" si="295"/>
        <v>38318</v>
      </c>
      <c r="GR171" s="51">
        <f t="shared" si="296"/>
        <v>13350</v>
      </c>
      <c r="GS171" s="14">
        <f>INT(SUMPRODUCT($AI171:$AM171,$BF171:$BJ171)/SUM($BF171:$BJ171)/10000*$BX$7*$BZ$46/'疲劳值&amp;地图信息'!$R$10*$BY$56)</f>
        <v>1611</v>
      </c>
      <c r="GT171" s="50">
        <f t="shared" si="297"/>
        <v>0.71919518008971639</v>
      </c>
      <c r="GU171" s="50">
        <f t="shared" si="298"/>
        <v>0.25056776591152236</v>
      </c>
      <c r="GV171" s="50">
        <f t="shared" si="299"/>
        <v>3.0237053998761237E-2</v>
      </c>
      <c r="GW171" s="51">
        <f t="shared" si="300"/>
        <v>39106</v>
      </c>
      <c r="GX171" s="51">
        <f t="shared" si="301"/>
        <v>23345</v>
      </c>
      <c r="GY171" s="14">
        <f>INT(SUMPRODUCT($AP171:$AT171,$BF171:$BJ171)/SUM($BF171:$BJ171)/10000*$BX$7*$BZ$46/'疲劳值&amp;地图信息'!$R$10*$BY$57)</f>
        <v>2149</v>
      </c>
      <c r="GZ171" s="50">
        <f t="shared" si="302"/>
        <v>0.60535603715170283</v>
      </c>
      <c r="HA171" s="50">
        <f t="shared" si="303"/>
        <v>0.36137770897832816</v>
      </c>
      <c r="HB171" s="50">
        <f t="shared" si="304"/>
        <v>3.3266253869969037E-2</v>
      </c>
      <c r="HD171" s="14">
        <f t="shared" si="305"/>
        <v>30674</v>
      </c>
      <c r="HE171" s="14">
        <f t="shared" si="306"/>
        <v>34084</v>
      </c>
      <c r="HF171" s="14">
        <f t="shared" si="307"/>
        <v>38274</v>
      </c>
      <c r="HG171" s="14">
        <f t="shared" si="308"/>
        <v>53279</v>
      </c>
      <c r="HH171" s="14">
        <f t="shared" si="309"/>
        <v>64600</v>
      </c>
      <c r="HI171" s="14">
        <f t="shared" si="310"/>
        <v>3531215</v>
      </c>
      <c r="HL171" s="14">
        <f t="shared" si="311"/>
        <v>430050</v>
      </c>
      <c r="HM171" s="50">
        <f t="shared" si="219"/>
        <v>0.10856380474419157</v>
      </c>
      <c r="HO171" s="14">
        <f t="shared" si="312"/>
        <v>3961265</v>
      </c>
    </row>
    <row r="172" spans="11:223" x14ac:dyDescent="0.2">
      <c r="K172" s="14">
        <v>167</v>
      </c>
      <c r="L172" s="12">
        <f>求节点(节奏总纲!D$4:D$163,标准城池设计!AB$4:AB$163,$K172)*求节点(节奏总纲!D$4:D$163,攻城基础信息!$AC$5:$AC$164,$K172)</f>
        <v>603777.18454491848</v>
      </c>
      <c r="M172" s="12">
        <f>INDEX(其他调用!$AA$5:$AA$404,MATCH(K172,其他调用!$X$5:$X$404,0))*MIN(INDEX(其他调用!$AH$5:$AH$364,MATCH('征服点（新）'!K172,其他调用!$AG$5:$AG$364,0),1)/INDEX(其他调用!$AJ$5:$AJ$364,MATCH(K172,其他调用!$AG$5:$AG$364,0),0),5)*求节点(节奏总纲!D$4:D$163,攻城基础信息!$AC$5:$AC$164,$K172)</f>
        <v>48087.716076168646</v>
      </c>
      <c r="N172" s="12">
        <f>MIN(INDEX(其他调用!$AH$5:$AH$364,MATCH($K172,其他调用!$AG$5:$AG$364,0),1)/INDEX(其他调用!AH$5:AH$364,MATCH($K172,其他调用!$AG$5:$AG$364,0),0),1)*INDEX(其他调用!Y$5:Y$404,MATCH($K172,其他调用!$X$5:$X$404,0),0)</f>
        <v>39092.258225230486</v>
      </c>
      <c r="O172" s="12">
        <f>MIN(INDEX(其他调用!$AH$5:$AH$364,MATCH($K172,其他调用!$AG$5:$AG$364,0),1)/INDEX(其他调用!AI$5:AI$364,MATCH($K172,其他调用!$AG$5:$AG$364,0),0),1)*INDEX(其他调用!Z$5:Z$404,MATCH($K172,其他调用!$X$5:$X$404,0),0)</f>
        <v>24494.780490307352</v>
      </c>
      <c r="P172" s="12">
        <f>MIN(INDEX(其他调用!$AH$5:$AH$364,MATCH($K172,其他调用!$AG$5:$AG$364,0),1)/INDEX(其他调用!AJ$5:AJ$364,MATCH($K172,其他调用!$AG$5:$AG$364,0),0),1)*INDEX(其他调用!AA$5:AA$404,MATCH($K172,其他调用!$X$5:$X$404,0),0)</f>
        <v>14583.718022714249</v>
      </c>
      <c r="Q172" s="12">
        <f>MIN(INDEX(其他调用!$AH$5:$AH$364,MATCH($K172,其他调用!$AG$5:$AG$364,0),1)/INDEX(其他调用!AK$5:AK$364,MATCH($K172,其他调用!$AG$5:$AG$364,0),0),1)*INDEX(其他调用!AB$5:AB$404,MATCH($K172,其他调用!$X$5:$X$404,0),0)</f>
        <v>5359.2649033977741</v>
      </c>
      <c r="R172" s="12">
        <f>MIN(INDEX(其他调用!$AH$5:$AH$364,MATCH($K172,其他调用!$AG$5:$AG$364,0),1)/INDEX(其他调用!AL$5:AL$364,MATCH($K172,其他调用!$AG$5:$AG$364,0),0),1)*INDEX(其他调用!AC$5:AC$404,MATCH($K172,其他调用!$X$5:$X$404,0),0)</f>
        <v>2091.0945339102873</v>
      </c>
      <c r="S172" s="12">
        <f>求节点(节奏总纲!D$4:D$163,标准城池设计!AC$4:AC$163,$K172)*求节点(节奏总纲!D$4:D$163,攻城基础信息!$AD$5:$AD$164,$K172)</f>
        <v>645546.36509548454</v>
      </c>
      <c r="T172" s="12">
        <f>INDEX(其他调用!$AA$5:$AA$404,MATCH($K172,其他调用!$X$5:$X$404,0))*MIN(INDEX(其他调用!AI$5:AI$364,MATCH($K172,其他调用!$AG$5:$AG$364,0),1)/INDEX(其他调用!$AJ$5:$AJ$364,MATCH($K172,其他调用!$AG$5:$AG$364,0),0),5)*求节点(节奏总纲!D$4:D$163,攻城基础信息!$AD$5:$AD$164,$K172)</f>
        <v>79028.111723464477</v>
      </c>
      <c r="U172" s="12">
        <f>MIN(INDEX(其他调用!$AI$5:$AI$364,MATCH($K172,其他调用!$AG$5:$AG$364,0),1)/INDEX(其他调用!AH$5:AH$364,MATCH($K172,其他调用!$AG$5:$AG$364,0),0),1)*INDEX(其他调用!Y$5:Y$404,MATCH($K172,其他调用!$X$5:$X$404,0),0)</f>
        <v>39092.258225230486</v>
      </c>
      <c r="V172" s="12">
        <f>MIN(INDEX(其他调用!$AI$5:$AI$364,MATCH($K172,其他调用!$AG$5:$AG$364,0),1)/INDEX(其他调用!AI$5:AI$364,MATCH($K172,其他调用!$AG$5:$AG$364,0),0),1)*INDEX(其他调用!Z$5:Z$404,MATCH($K172,其他调用!$X$5:$X$404,0),0)</f>
        <v>40255.108938082441</v>
      </c>
      <c r="W172" s="12">
        <f>MIN(INDEX(其他调用!$AI$5:$AI$364,MATCH($K172,其他调用!$AG$5:$AG$364,0),1)/INDEX(其他调用!AJ$5:AJ$364,MATCH($K172,其他调用!$AG$5:$AG$364,0),0),1)*INDEX(其他调用!AA$5:AA$404,MATCH($K172,其他调用!$X$5:$X$404,0),0)</f>
        <v>23967.112420498855</v>
      </c>
      <c r="X172" s="12">
        <f>MIN(INDEX(其他调用!$AI$5:$AI$364,MATCH($K172,其他调用!$AG$5:$AG$364,0),1)/INDEX(其他调用!AK$5:AK$364,MATCH($K172,其他调用!$AG$5:$AG$364,0),0),1)*INDEX(其他调用!AB$5:AB$404,MATCH($K172,其他调用!$X$5:$X$404,0),0)</f>
        <v>8807.5005448482079</v>
      </c>
      <c r="Y172" s="12">
        <f>MIN(INDEX(其他调用!$AI$5:$AI$364,MATCH($K172,其他调用!$AG$5:$AG$364,0),1)/INDEX(其他调用!AL$5:AL$364,MATCH($K172,其他调用!$AG$5:$AG$364,0),0),1)*INDEX(其他调用!AC$5:AC$404,MATCH($K172,其他调用!$X$5:$X$404,0),0)</f>
        <v>3436.5377675336376</v>
      </c>
      <c r="Z172" s="12">
        <f>求节点(节奏总纲!D$4:D$163,标准城池设计!AD$4:AD$163,$K172)*求节点(节奏总纲!D$4:D$163,攻城基础信息!$AE$5:$AE$164,$K172)</f>
        <v>685800.07309645321</v>
      </c>
      <c r="AA172" s="12">
        <f>INDEX(其他调用!$AA$5:$AA$404,MATCH($K172,其他调用!$X$5:$X$404,0))*MIN(INDEX(其他调用!AJ$5:AJ$364,MATCH($K172,其他调用!$AG$5:$AG$364,0),1)/INDEX(其他调用!$AJ$5:$AJ$364,MATCH($K172,其他调用!$AG$5:$AG$364,0),0),5)*求节点(节奏总纲!D$4:D$163,攻城基础信息!$AE$5:$AE$164,$K172)</f>
        <v>137695.74013495684</v>
      </c>
      <c r="AB172" s="12">
        <f>MIN(INDEX(其他调用!$AJ$5:$AJ$364,MATCH($K172,其他调用!$AG$5:$AG$364,0),1)/INDEX(其他调用!AH$5:AH$364,MATCH($K172,其他调用!$AG$5:$AG$364,0),0),1)*INDEX(其他调用!Y$5:Y$404,MATCH($K172,其他调用!$X$5:$X$404,0),0)</f>
        <v>39092.258225230486</v>
      </c>
      <c r="AC172" s="12">
        <f>MIN(INDEX(其他调用!$AJ$5:$AJ$364,MATCH($K172,其他调用!$AG$5:$AG$364,0),1)/INDEX(其他调用!AI$5:AI$364,MATCH($K172,其他调用!$AG$5:$AG$364,0),0),1)*INDEX(其他调用!Z$5:Z$404,MATCH($K172,其他调用!$X$5:$X$404,0),0)</f>
        <v>40255.108938082441</v>
      </c>
      <c r="AD172" s="12">
        <f>MIN(INDEX(其他调用!$AJ$5:$AJ$364,MATCH($K172,其他调用!$AG$5:$AG$364,0),1)/INDEX(其他调用!AJ$5:AJ$364,MATCH($K172,其他调用!$AG$5:$AG$364,0),0),1)*INDEX(其他调用!AA$5:AA$404,MATCH($K172,其他调用!$X$5:$X$404,0),0)</f>
        <v>41759.434860170695</v>
      </c>
      <c r="AE172" s="12">
        <f>MIN(INDEX(其他调用!$AJ$5:$AJ$364,MATCH($K172,其他调用!$AG$5:$AG$364,0),1)/INDEX(其他调用!AK$5:AK$364,MATCH($K172,其他调用!$AG$5:$AG$364,0),0),1)*INDEX(其他调用!AB$5:AB$404,MATCH($K172,其他调用!$X$5:$X$404,0),0)</f>
        <v>15345.872244873932</v>
      </c>
      <c r="AF172" s="12">
        <f>MIN(INDEX(其他调用!$AJ$5:$AJ$364,MATCH($K172,其他调用!$AG$5:$AG$364,0),1)/INDEX(其他调用!AL$5:AL$364,MATCH($K172,其他调用!$AG$5:$AG$364,0),0),1)*INDEX(其他调用!AC$5:AC$404,MATCH($K172,其他调用!$X$5:$X$404,0),0)</f>
        <v>5987.6998334224181</v>
      </c>
      <c r="AG172" s="12">
        <f>求节点(节奏总纲!D$4:D$163,标准城池设计!AE$4:AE$163,$K172)*求节点(节奏总纲!D$4:D$163,攻城基础信息!$AF$5:$AF$164,$K172)</f>
        <v>808820.46749871143</v>
      </c>
      <c r="AH172" s="12">
        <f>INDEX(其他调用!$AA$5:$AA$404,MATCH($K172,其他调用!$X$5:$X$404,0))*MIN(INDEX(其他调用!AK$5:AK$364,MATCH($K172,其他调用!$AG$5:$AG$364,0),1)/INDEX(其他调用!$AJ$5:$AJ$364,MATCH($K172,其他调用!$AG$5:$AG$364,0),0),5)*求节点(节奏总纲!D$4:D$163,攻城基础信息!$AF$5:$AF$164,$K172)</f>
        <v>394386.85153636534</v>
      </c>
      <c r="AI172" s="12">
        <f>MIN(INDEX(其他调用!$AK$5:$AK$364,MATCH($K172,其他调用!$AG$5:$AG$364,0),1)/INDEX(其他调用!AH$5:AH$364,MATCH($K172,其他调用!$AG$5:$AG$364,0),0),1)*INDEX(其他调用!Y$5:Y$404,MATCH($K172,其他调用!$X$5:$X$404,0),0)</f>
        <v>39092.258225230486</v>
      </c>
      <c r="AJ172" s="12">
        <f>MIN(INDEX(其他调用!$AK$5:$AK$364,MATCH($K172,其他调用!$AG$5:$AG$364,0),1)/INDEX(其他调用!AI$5:AI$364,MATCH($K172,其他调用!$AG$5:$AG$364,0),0),1)*INDEX(其他调用!Z$5:Z$404,MATCH($K172,其他调用!$X$5:$X$404,0),0)</f>
        <v>40255.108938082441</v>
      </c>
      <c r="AK172" s="12">
        <f>MIN(INDEX(其他调用!$AK$5:$AK$364,MATCH($K172,其他调用!$AG$5:$AG$364,0),1)/INDEX(其他调用!AJ$5:AJ$364,MATCH($K172,其他调用!$AG$5:$AG$364,0),0),1)*INDEX(其他调用!AA$5:AA$404,MATCH($K172,其他调用!$X$5:$X$404,0),0)</f>
        <v>41759.434860170695</v>
      </c>
      <c r="AL172" s="12">
        <f>MIN(INDEX(其他调用!$AK$5:$AK$364,MATCH($K172,其他调用!$AG$5:$AG$364,0),1)/INDEX(其他调用!AK$5:AK$364,MATCH($K172,其他调用!$AG$5:$AG$364,0),0),1)*INDEX(其他调用!AB$5:AB$404,MATCH($K172,其他调用!$X$5:$X$404,0),0)</f>
        <v>43953.503810671988</v>
      </c>
      <c r="AM172" s="12">
        <f>MIN(INDEX(其他调用!$AK$5:$AK$364,MATCH($K172,其他调用!$AG$5:$AG$364,0),1)/INDEX(其他调用!AL$5:AL$364,MATCH($K172,其他调用!$AG$5:$AG$364,0),0),1)*INDEX(其他调用!AC$5:AC$404,MATCH($K172,其他调用!$X$5:$X$404,0),0)</f>
        <v>17149.91388211276</v>
      </c>
      <c r="AN172" s="12">
        <f>求节点(节奏总纲!D$4:D$163,标准城池设计!AF$4:AF$163,$K172)*求节点(节奏总纲!D$4:D$163,攻城基础信息!$AG$5:$AG$164,$K172)</f>
        <v>825725.96607851796</v>
      </c>
      <c r="AO172" s="12">
        <f>INDEX(其他调用!$AA$5:$AA$404,MATCH($K172,其他调用!$X$5:$X$404,0))*MIN(INDEX(其他调用!AL$5:AL$364,MATCH($K172,其他调用!$AG$5:$AG$364,0),1)/INDEX(其他调用!$AJ$5:$AJ$364,MATCH($K172,其他调用!$AG$5:$AG$364,0),0),5)*求节点(节奏总纲!D$4:D$163,攻城基础信息!$AG$5:$AG$164,$K172)</f>
        <v>688478.70067478414</v>
      </c>
      <c r="AP172" s="12">
        <f>MIN(INDEX(其他调用!$AL$5:$AL$364,MATCH($K172,其他调用!$AG$5:$AG$364,0),1)/INDEX(其他调用!AH$5:AH$364,MATCH($K172,其他调用!$AG$5:$AG$364,0),0),1)*INDEX(其他调用!Y$5:Y$404,MATCH($K172,其他调用!$X$5:$X$404,0),0)</f>
        <v>39092.258225230486</v>
      </c>
      <c r="AQ172" s="12">
        <f>MIN(INDEX(其他调用!$AL$5:$AL$364,MATCH($K172,其他调用!$AG$5:$AG$364,0),1)/INDEX(其他调用!AI$5:AI$364,MATCH($K172,其他调用!$AG$5:$AG$364,0),0),1)*INDEX(其他调用!Z$5:Z$404,MATCH($K172,其他调用!$X$5:$X$404,0),0)</f>
        <v>40255.108938082441</v>
      </c>
      <c r="AR172" s="12">
        <f>MIN(INDEX(其他调用!$AL$5:$AL$364,MATCH($K172,其他调用!$AG$5:$AG$364,0),1)/INDEX(其他调用!AJ$5:AJ$364,MATCH($K172,其他调用!$AG$5:$AG$364,0),0),1)*INDEX(其他调用!AA$5:AA$404,MATCH($K172,其他调用!$X$5:$X$404,0),0)</f>
        <v>41759.434860170695</v>
      </c>
      <c r="AS172" s="12">
        <f>MIN(INDEX(其他调用!$AL$5:$AL$364,MATCH($K172,其他调用!$AG$5:$AG$364,0),1)/INDEX(其他调用!AK$5:AK$364,MATCH($K172,其他调用!$AG$5:$AG$364,0),0),1)*INDEX(其他调用!AB$5:AB$404,MATCH($K172,其他调用!$X$5:$X$404,0),0)</f>
        <v>43953.503810671988</v>
      </c>
      <c r="AT172" s="12">
        <f>MIN(INDEX(其他调用!$AL$5:$AL$364,MATCH($K172,其他调用!$AG$5:$AG$364,0),1)/INDEX(其他调用!AL$5:AL$364,MATCH($K172,其他调用!$AG$5:$AG$364,0),0),1)*INDEX(其他调用!AC$5:AC$404,MATCH($K172,其他调用!$X$5:$X$404,0),0)</f>
        <v>47900.910768896014</v>
      </c>
      <c r="AV172" s="14">
        <f>IF(OR(AV$5="大R",AV$5="超R"),MAX(INDEX(其他调用!$H$5:$L$404,MATCH($K172,其他调用!$B$5:$B$404,0),MATCH(AV$5,其他调用!$H$4:$L$4,0))*120*0.85,2),INDEX(其他调用!$H$5:$L$404,MATCH($K172,其他调用!$B$5:$B$404,0),MATCH(AV$5,其他调用!$H$4:$L$4,0))*120*0.85)</f>
        <v>48.921801254999991</v>
      </c>
      <c r="AW172" s="14">
        <f>IF(OR(AW$5="大R",AW$5="超R"),MAX(INDEX(其他调用!$H$5:$L$404,MATCH($K172,其他调用!$B$5:$B$404,0),MATCH(AW$5,其他调用!$H$4:$L$4,0))*120*0.85,2),INDEX(其他调用!$H$5:$L$404,MATCH($K172,其他调用!$B$5:$B$404,0),MATCH(AW$5,其他调用!$H$4:$L$4,0))*120*0.85)</f>
        <v>48.237344010638395</v>
      </c>
      <c r="AX172" s="14">
        <f>IF(OR(AX$5="大R",AX$5="超R"),MAX(INDEX(其他调用!$H$5:$L$404,MATCH($K172,其他调用!$B$5:$B$404,0),MATCH(AX$5,其他调用!$H$4:$L$4,0))*120*0.85,2),INDEX(其他调用!$H$5:$L$404,MATCH($K172,其他调用!$B$5:$B$404,0),MATCH(AX$5,其他调用!$H$4:$L$4,0))*120*0.85)</f>
        <v>3.9376284143615998</v>
      </c>
      <c r="AY172" s="14">
        <f>IF(OR(AY$5="大R",AY$5="超R"),MAX(INDEX(其他调用!$H$5:$L$404,MATCH($K172,其他调用!$B$5:$B$404,0),MATCH(AY$5,其他调用!$H$4:$L$4,0))*120*0.85,2),INDEX(其他调用!$H$5:$L$404,MATCH($K172,其他调用!$B$5:$B$404,0),MATCH(AY$5,其他调用!$H$4:$L$4,0))*120*0.85)</f>
        <v>2</v>
      </c>
      <c r="AZ172" s="14">
        <f>IF(OR(AZ$5="大R",AZ$5="超R"),MAX(INDEX(其他调用!$H$5:$L$404,MATCH($K172,其他调用!$B$5:$B$404,0),MATCH(AZ$5,其他调用!$H$4:$L$4,0))*120*0.85,2),INDEX(其他调用!$H$5:$L$404,MATCH($K172,其他调用!$B$5:$B$404,0),MATCH(AZ$5,其他调用!$H$4:$L$4,0))*120*0.85)</f>
        <v>2</v>
      </c>
      <c r="BA172" s="14">
        <f>INDEX(其他调用!$H$5:$L$404,MATCH($K172,其他调用!$B$5:$B$404,0),MATCH(BA$5,其他调用!$H$4:$L$4,0))*INDEX(其他调用!$M$5:$M$404,MATCH($K172,其他调用!$B$5:$B$404,0))*0.6</f>
        <v>28.777530149999997</v>
      </c>
      <c r="BB172" s="14">
        <f>INDEX(其他调用!$H$5:$L$404,MATCH($K172,其他调用!$B$5:$B$404,0),MATCH(BB$5,其他调用!$H$4:$L$4,0))*INDEX(其他调用!$M$5:$M$404,MATCH($K172,其他调用!$B$5:$B$404,0))*0.6</f>
        <v>28.374908241551999</v>
      </c>
      <c r="BC172" s="14">
        <f>INDEX(其他调用!$H$5:$L$404,MATCH($K172,其他调用!$B$5:$B$404,0),MATCH(BC$5,其他调用!$H$4:$L$4,0))*INDEX(其他调用!$M$5:$M$404,MATCH($K172,其他调用!$B$5:$B$404,0))*0.6</f>
        <v>2.3162520084480001</v>
      </c>
      <c r="BD172" s="14">
        <f>INDEX(其他调用!$H$5:$L$404,MATCH($K172,其他调用!$B$5:$B$404,0),MATCH(BD$5,其他调用!$H$4:$L$4,0))*INDEX(其他调用!$M$5:$M$404,MATCH($K172,其他调用!$B$5:$B$404,0))*0.6</f>
        <v>0.4120776000000001</v>
      </c>
      <c r="BE172" s="14">
        <f>INDEX(其他调用!$H$5:$L$404,MATCH($K172,其他调用!$B$5:$B$404,0),MATCH(BE$5,其他调用!$H$4:$L$4,0))*INDEX(其他调用!$M$5:$M$404,MATCH($K172,其他调用!$B$5:$B$404,0))*0.6</f>
        <v>0.11923199999999998</v>
      </c>
      <c r="BF172" s="14">
        <f>IF(OR(BF$5="大R",BF$5="超R"),0,INDEX(其他调用!$H$5:$L$404,MATCH($K172,其他调用!$B$5:$B$404,0),MATCH(BF$5,其他调用!$H$4:$L$4,0))*50*0.4)</f>
        <v>9.5925100500000013</v>
      </c>
      <c r="BG172" s="14">
        <f>IF(OR(BG$5="大R",BG$5="超R"),0,INDEX(其他调用!$H$5:$L$404,MATCH($K172,其他调用!$B$5:$B$404,0),MATCH(BG$5,其他调用!$H$4:$L$4,0))*50*0.4)</f>
        <v>9.4583027471839998</v>
      </c>
      <c r="BH172" s="14">
        <f>IF(OR(BH$5="大R",BH$5="超R"),0,INDEX(其他调用!$H$5:$L$404,MATCH($K172,其他调用!$B$5:$B$404,0),MATCH(BH$5,其他调用!$H$4:$L$4,0))*50*0.4)</f>
        <v>0.77208400281600009</v>
      </c>
      <c r="BI172" s="14">
        <f>IF(OR(BI$5="大R",BI$5="超R"),0,INDEX(其他调用!$H$5:$L$404,MATCH($K172,其他调用!$B$5:$B$404,0),MATCH(BI$5,其他调用!$H$4:$L$4,0))*50*0.4)</f>
        <v>0</v>
      </c>
      <c r="BJ172" s="14">
        <f>IF(OR(BJ$5="大R",BJ$5="超R"),0,INDEX(其他调用!$H$5:$L$404,MATCH($K172,其他调用!$B$5:$B$404,0),MATCH(BJ$5,其他调用!$H$4:$L$4,0))*50*0.4)</f>
        <v>0</v>
      </c>
      <c r="BL172" s="14">
        <f t="shared" si="313"/>
        <v>167</v>
      </c>
      <c r="BM172" s="14">
        <f t="shared" si="220"/>
        <v>96</v>
      </c>
      <c r="BN172" s="14">
        <f>('疲劳值&amp;地图信息'!$S$10*'疲劳值&amp;地图信息'!$R$10+'疲劳值&amp;地图信息'!$S$11*'疲劳值&amp;地图信息'!$R$11+'疲劳值&amp;地图信息'!$S$12*'疲劳值&amp;地图信息'!$R$12+(BM172-'疲劳值&amp;地图信息'!$S$12-'疲劳值&amp;地图信息'!$S$11-'疲劳值&amp;地图信息'!$S$10)*'疲劳值&amp;地图信息'!$R$13)/BM172</f>
        <v>51.371477246638619</v>
      </c>
      <c r="BO172" s="14">
        <f>INDEX(其他调用!$M$5:$M$404,MATCH(BL172,其他调用!$B$5:$B$404,0))*0.6</f>
        <v>60</v>
      </c>
      <c r="BP172" s="14">
        <f>IF(BO172&gt;SUM('疲劳值&amp;地图信息'!$S$10:$S$12),('疲劳值&amp;地图信息'!$S$10*'疲劳值&amp;地图信息'!$R$10+'疲劳值&amp;地图信息'!$S$11*'疲劳值&amp;地图信息'!$R$11+'疲劳值&amp;地图信息'!$S$12*'疲劳值&amp;地图信息'!$R$12+(BO172-'疲劳值&amp;地图信息'!$S$12-'疲劳值&amp;地图信息'!$S$11-'疲劳值&amp;地图信息'!$S$10)*'疲劳值&amp;地图信息'!$R$13)/BO172,('疲劳值&amp;地图信息'!$S$10*'疲劳值&amp;地图信息'!$R$10+'疲劳值&amp;地图信息'!$S$11*'疲劳值&amp;地图信息'!$R$11+'疲劳值&amp;地图信息'!$S$12*'疲劳值&amp;地图信息'!$R$12+(BO172-'疲劳值&amp;地图信息'!$S$12-'疲劳值&amp;地图信息'!$S$11-'疲劳值&amp;地图信息'!$S$10)*'疲劳值&amp;地图信息'!$R$13)/BO172)</f>
        <v>44.158136341605953</v>
      </c>
      <c r="BQ172" s="14">
        <f t="shared" si="314"/>
        <v>20</v>
      </c>
      <c r="BR172" s="14">
        <f>('疲劳值&amp;地图信息'!$S$10*'疲劳值&amp;地图信息'!$R$10+($BQ172-'疲劳值&amp;地图信息'!$S$10)*'疲劳值&amp;地图信息'!$R$11)/$BQ172</f>
        <v>32.067203015074995</v>
      </c>
      <c r="CF172" s="14">
        <v>167</v>
      </c>
      <c r="CG172" s="51">
        <f t="shared" si="221"/>
        <v>12305</v>
      </c>
      <c r="CH172" s="51">
        <f t="shared" si="222"/>
        <v>980</v>
      </c>
      <c r="CI172" s="51">
        <f>INT(SUMPRODUCT($N172:$R172,$BA172:$BE172)/SUM($BA172:$BE172)/10000*$BX$7*$BZ$34/'疲劳值&amp;地图信息'!$R$10*$BY$53)</f>
        <v>3139</v>
      </c>
      <c r="CJ172" s="50">
        <f t="shared" si="223"/>
        <v>0.74920847540185098</v>
      </c>
      <c r="CK172" s="50">
        <f t="shared" si="224"/>
        <v>5.9668777398928396E-2</v>
      </c>
      <c r="CL172" s="50">
        <f t="shared" si="225"/>
        <v>0.19112274719922065</v>
      </c>
      <c r="CM172" s="14">
        <f t="shared" si="226"/>
        <v>13157</v>
      </c>
      <c r="CN172" s="14">
        <f t="shared" si="227"/>
        <v>1610</v>
      </c>
      <c r="CO172" s="14">
        <f>INT(SUMPRODUCT($U172:$Y172,$BA172:$BE172)/SUM($BA172:$BE172)/10000*$BX$7*$BZ$34/'疲劳值&amp;地图信息'!$R$10*$BY$54)</f>
        <v>5902</v>
      </c>
      <c r="CP172" s="50">
        <f t="shared" si="228"/>
        <v>0.63655716290096276</v>
      </c>
      <c r="CQ172" s="50">
        <f t="shared" si="229"/>
        <v>7.7894431273888426E-2</v>
      </c>
      <c r="CR172" s="50">
        <f t="shared" si="230"/>
        <v>0.28554840582514879</v>
      </c>
      <c r="CS172" s="14">
        <f t="shared" si="231"/>
        <v>13977</v>
      </c>
      <c r="CT172" s="14">
        <f t="shared" si="232"/>
        <v>2806</v>
      </c>
      <c r="CU172" s="14">
        <f>INT(SUMPRODUCT($AB172:$AF172,$BA172:$BE172)/SUM($BA172:$BE172)/10000*$BX$7*$BZ$34/'疲劳值&amp;地图信息'!$R$10*$BY$55)</f>
        <v>8019</v>
      </c>
      <c r="CV172" s="50">
        <f t="shared" si="233"/>
        <v>0.56354326264010968</v>
      </c>
      <c r="CW172" s="50">
        <f t="shared" si="234"/>
        <v>0.11313603741633739</v>
      </c>
      <c r="CX172" s="50">
        <f t="shared" si="235"/>
        <v>0.32332069994355295</v>
      </c>
      <c r="CY172" s="14">
        <f t="shared" si="236"/>
        <v>16484</v>
      </c>
      <c r="CZ172" s="14">
        <f t="shared" si="237"/>
        <v>8038</v>
      </c>
      <c r="DA172" s="14">
        <f>INT(SUMPRODUCT($AI172:$AM172,$BA172:$BE172)/SUM($BA172:$BE172)/10000*$BX$7*$BZ$34/'疲劳值&amp;地图信息'!$R$10*$BY$56)</f>
        <v>12095</v>
      </c>
      <c r="DB172" s="50">
        <f t="shared" si="238"/>
        <v>0.45017341671901029</v>
      </c>
      <c r="DC172" s="50">
        <f t="shared" si="239"/>
        <v>0.21951552557555234</v>
      </c>
      <c r="DD172" s="50">
        <f t="shared" si="240"/>
        <v>0.33031105770543734</v>
      </c>
      <c r="DE172" s="14">
        <f t="shared" si="241"/>
        <v>16829</v>
      </c>
      <c r="DF172" s="14">
        <f t="shared" si="242"/>
        <v>14032</v>
      </c>
      <c r="DG172" s="14">
        <f>INT(SUMPRODUCT($AP172:$AT172,$BA172:$BE172)/SUM($BA172:$BE172)/10000*$BX$7*$BZ$34/'疲劳值&amp;地图信息'!$R$10*$BY$57)</f>
        <v>16151</v>
      </c>
      <c r="DH172" s="50">
        <f t="shared" si="243"/>
        <v>0.35797243257040756</v>
      </c>
      <c r="DI172" s="50">
        <f t="shared" si="244"/>
        <v>0.2984769845996767</v>
      </c>
      <c r="DJ172" s="50">
        <f t="shared" si="245"/>
        <v>0.34355058282991574</v>
      </c>
      <c r="DL172" s="14">
        <f t="shared" si="316"/>
        <v>16424</v>
      </c>
      <c r="DM172" s="14">
        <f t="shared" si="317"/>
        <v>20669</v>
      </c>
      <c r="DN172" s="14">
        <f t="shared" si="318"/>
        <v>24802</v>
      </c>
      <c r="DO172" s="14">
        <f t="shared" si="319"/>
        <v>36617</v>
      </c>
      <c r="DP172" s="14">
        <f t="shared" si="320"/>
        <v>47012</v>
      </c>
      <c r="DQ172" s="14">
        <f t="shared" si="321"/>
        <v>1137265</v>
      </c>
      <c r="DT172" s="14">
        <f t="shared" si="315"/>
        <v>235575</v>
      </c>
      <c r="DU172" s="50">
        <f t="shared" si="217"/>
        <v>0.17159683575653389</v>
      </c>
      <c r="DW172" s="14">
        <f t="shared" si="246"/>
        <v>1372840</v>
      </c>
      <c r="EB172" s="14">
        <v>167</v>
      </c>
      <c r="EC172" s="51">
        <f t="shared" si="247"/>
        <v>20509</v>
      </c>
      <c r="ED172" s="51">
        <f t="shared" si="248"/>
        <v>1633</v>
      </c>
      <c r="EE172" s="51">
        <f>INT(SUMPRODUCT($N172:$R172,$BF172:$BJ172)/SUM($BF172:$BJ172)/10000*$BX$7*$BZ$46/'疲劳值&amp;地图信息'!$R$10*$BY$53)</f>
        <v>421</v>
      </c>
      <c r="EF172" s="50">
        <f t="shared" si="249"/>
        <v>0.90896600629348934</v>
      </c>
      <c r="EG172" s="50">
        <f t="shared" si="250"/>
        <v>7.2375127420998983E-2</v>
      </c>
      <c r="EH172" s="50">
        <f t="shared" si="251"/>
        <v>1.865886628551168E-2</v>
      </c>
      <c r="EI172" s="51">
        <f t="shared" si="252"/>
        <v>21928</v>
      </c>
      <c r="EJ172" s="51">
        <f t="shared" si="253"/>
        <v>2684</v>
      </c>
      <c r="EK172" s="14">
        <f>INT(SUMPRODUCT($U172:$Y172,$BF172:$BJ172)/SUM($BF172:$BJ172)/10000*$BX$7*$BZ$46/'疲劳值&amp;地图信息'!$R$10*$BY$54)</f>
        <v>792</v>
      </c>
      <c r="EL172" s="50">
        <f t="shared" si="254"/>
        <v>0.86317115414895296</v>
      </c>
      <c r="EM172" s="50">
        <f t="shared" si="255"/>
        <v>0.10565265312549205</v>
      </c>
      <c r="EN172" s="50">
        <f t="shared" si="256"/>
        <v>3.1176192725555031E-2</v>
      </c>
      <c r="EO172" s="51">
        <f t="shared" si="257"/>
        <v>23295</v>
      </c>
      <c r="EP172" s="51">
        <f t="shared" si="258"/>
        <v>4677</v>
      </c>
      <c r="EQ172" s="14">
        <f>INT(SUMPRODUCT($AB172:$AF172,$BF172:$BJ172)/SUM($BF172:$BJ172)/10000*$BX$7*$BZ$46/'疲劳值&amp;地图信息'!$R$10*$BY$55)</f>
        <v>1075</v>
      </c>
      <c r="ER172" s="50">
        <f t="shared" si="259"/>
        <v>0.80197610768754091</v>
      </c>
      <c r="ES172" s="50">
        <f t="shared" si="260"/>
        <v>0.16101490687506456</v>
      </c>
      <c r="ET172" s="50">
        <f t="shared" si="261"/>
        <v>3.7008985437394566E-2</v>
      </c>
      <c r="EU172" s="51">
        <f t="shared" si="262"/>
        <v>27474</v>
      </c>
      <c r="EV172" s="51">
        <f t="shared" si="263"/>
        <v>13396</v>
      </c>
      <c r="EW172" s="14">
        <f>INT(SUMPRODUCT($AI172:$AM172,$BF172:$BJ172)/SUM($BF172:$BJ172)/10000*$BX$7*$BZ$46/'疲劳值&amp;地图信息'!$R$10*$BY$56)</f>
        <v>1613</v>
      </c>
      <c r="EX172" s="50">
        <f t="shared" si="264"/>
        <v>0.64670574111997736</v>
      </c>
      <c r="EY172" s="50">
        <f t="shared" si="265"/>
        <v>0.31532613045218089</v>
      </c>
      <c r="EZ172" s="50">
        <f t="shared" si="266"/>
        <v>3.7968128427841724E-2</v>
      </c>
      <c r="FA172" s="51">
        <f t="shared" si="267"/>
        <v>28048</v>
      </c>
      <c r="FB172" s="51">
        <f t="shared" si="268"/>
        <v>23386</v>
      </c>
      <c r="FC172" s="14">
        <f>INT(SUMPRODUCT($AP172:$AT172,$BF172:$BJ172)/SUM($BF172:$BJ172)/10000*$BX$7*$BZ$46/'疲劳值&amp;地图信息'!$R$10*$BY$57)</f>
        <v>2151</v>
      </c>
      <c r="FD172" s="50">
        <f t="shared" si="269"/>
        <v>0.52343006438368944</v>
      </c>
      <c r="FE172" s="50">
        <f t="shared" si="270"/>
        <v>0.43642810488009703</v>
      </c>
      <c r="FF172" s="50">
        <f t="shared" si="271"/>
        <v>4.0141830736213489E-2</v>
      </c>
      <c r="FH172" s="14">
        <f t="shared" si="272"/>
        <v>22563</v>
      </c>
      <c r="FI172" s="14">
        <f t="shared" si="273"/>
        <v>25404</v>
      </c>
      <c r="FJ172" s="14">
        <f t="shared" si="274"/>
        <v>29047</v>
      </c>
      <c r="FK172" s="14">
        <f t="shared" si="275"/>
        <v>42483</v>
      </c>
      <c r="FL172" s="14">
        <f t="shared" si="276"/>
        <v>53585</v>
      </c>
      <c r="FM172" s="14">
        <f t="shared" si="277"/>
        <v>2635756</v>
      </c>
      <c r="FP172" s="14">
        <f t="shared" si="278"/>
        <v>334150</v>
      </c>
      <c r="FQ172" s="50">
        <f t="shared" si="218"/>
        <v>0.11251197849359543</v>
      </c>
      <c r="FS172" s="14">
        <f t="shared" si="279"/>
        <v>2969906</v>
      </c>
      <c r="FX172" s="14">
        <v>167</v>
      </c>
      <c r="FY172" s="51">
        <f t="shared" si="280"/>
        <v>28713</v>
      </c>
      <c r="FZ172" s="51">
        <f t="shared" si="281"/>
        <v>1633</v>
      </c>
      <c r="GA172" s="51">
        <f>INT(SUMPRODUCT($N172:$R172,$BF172:$BJ172)/SUM($BF172:$BJ172)/10000*$BX$7*$BZ$46/'疲劳值&amp;地图信息'!$R$10*$BY$53)</f>
        <v>421</v>
      </c>
      <c r="GB172" s="50">
        <f t="shared" si="282"/>
        <v>0.93324015991159359</v>
      </c>
      <c r="GC172" s="50">
        <f t="shared" si="283"/>
        <v>5.3076348035232555E-2</v>
      </c>
      <c r="GD172" s="50">
        <f t="shared" si="284"/>
        <v>1.3683492053173854E-2</v>
      </c>
      <c r="GE172" s="51">
        <f t="shared" si="285"/>
        <v>30699</v>
      </c>
      <c r="GF172" s="51">
        <f t="shared" si="286"/>
        <v>2684</v>
      </c>
      <c r="GG172" s="14">
        <f>INT(SUMPRODUCT($U172:$Y172,$BF172:$BJ172)/SUM($BF172:$BJ172)/10000*$BX$7*$BZ$46/'疲劳值&amp;地图信息'!$R$10*$BY$54)</f>
        <v>792</v>
      </c>
      <c r="GH172" s="50">
        <f t="shared" si="287"/>
        <v>0.89828822238478423</v>
      </c>
      <c r="GI172" s="50">
        <f t="shared" si="288"/>
        <v>7.8536942209217267E-2</v>
      </c>
      <c r="GJ172" s="50">
        <f t="shared" si="289"/>
        <v>2.3174835405998538E-2</v>
      </c>
      <c r="GK172" s="51">
        <f t="shared" si="290"/>
        <v>32614</v>
      </c>
      <c r="GL172" s="51">
        <f t="shared" si="291"/>
        <v>4677</v>
      </c>
      <c r="GM172" s="14">
        <f>INT(SUMPRODUCT($AB172:$AF172,$BF172:$BJ172)/SUM($BF172:$BJ172)/10000*$BX$7*$BZ$46/'疲劳值&amp;地图信息'!$R$10*$BY$55)</f>
        <v>1075</v>
      </c>
      <c r="GN172" s="50">
        <f t="shared" si="292"/>
        <v>0.85007558775999581</v>
      </c>
      <c r="GO172" s="50">
        <f t="shared" si="293"/>
        <v>0.12190481155189491</v>
      </c>
      <c r="GP172" s="50">
        <f t="shared" si="294"/>
        <v>2.8019600688109263E-2</v>
      </c>
      <c r="GQ172" s="51">
        <f t="shared" si="295"/>
        <v>38464</v>
      </c>
      <c r="GR172" s="51">
        <f t="shared" si="296"/>
        <v>13396</v>
      </c>
      <c r="GS172" s="14">
        <f>INT(SUMPRODUCT($AI172:$AM172,$BF172:$BJ172)/SUM($BF172:$BJ172)/10000*$BX$7*$BZ$46/'疲劳值&amp;地图信息'!$R$10*$BY$56)</f>
        <v>1613</v>
      </c>
      <c r="GT172" s="50">
        <f t="shared" si="297"/>
        <v>0.71931629046434653</v>
      </c>
      <c r="GU172" s="50">
        <f t="shared" si="298"/>
        <v>0.25051895349054665</v>
      </c>
      <c r="GV172" s="50">
        <f t="shared" si="299"/>
        <v>3.0164756045106877E-2</v>
      </c>
      <c r="GW172" s="51">
        <f t="shared" si="300"/>
        <v>39268</v>
      </c>
      <c r="GX172" s="51">
        <f t="shared" si="301"/>
        <v>23386</v>
      </c>
      <c r="GY172" s="14">
        <f>INT(SUMPRODUCT($AP172:$AT172,$BF172:$BJ172)/SUM($BF172:$BJ172)/10000*$BX$7*$BZ$46/'疲劳值&amp;地图信息'!$R$10*$BY$57)</f>
        <v>2151</v>
      </c>
      <c r="GZ172" s="50">
        <f t="shared" si="302"/>
        <v>0.60594089962194275</v>
      </c>
      <c r="HA172" s="50">
        <f t="shared" si="303"/>
        <v>0.36086721703572255</v>
      </c>
      <c r="HB172" s="50">
        <f t="shared" si="304"/>
        <v>3.3191883342334694E-2</v>
      </c>
      <c r="HD172" s="14">
        <f t="shared" si="305"/>
        <v>30767</v>
      </c>
      <c r="HE172" s="14">
        <f t="shared" si="306"/>
        <v>34175</v>
      </c>
      <c r="HF172" s="14">
        <f t="shared" si="307"/>
        <v>38366</v>
      </c>
      <c r="HG172" s="14">
        <f t="shared" si="308"/>
        <v>53473</v>
      </c>
      <c r="HH172" s="14">
        <f t="shared" si="309"/>
        <v>64805</v>
      </c>
      <c r="HI172" s="14">
        <f t="shared" si="310"/>
        <v>3541315</v>
      </c>
      <c r="HL172" s="14">
        <f t="shared" si="311"/>
        <v>430050</v>
      </c>
      <c r="HM172" s="50">
        <f t="shared" si="219"/>
        <v>0.1082877046053435</v>
      </c>
      <c r="HO172" s="14">
        <f t="shared" si="312"/>
        <v>3971365</v>
      </c>
    </row>
    <row r="173" spans="11:223" x14ac:dyDescent="0.2">
      <c r="K173" s="14">
        <v>168</v>
      </c>
      <c r="L173" s="12">
        <f>求节点(节奏总纲!D$4:D$163,标准城池设计!AB$4:AB$163,$K173)*求节点(节奏总纲!D$4:D$163,攻城基础信息!$AC$5:$AC$164,$K173)</f>
        <v>605642.62198349065</v>
      </c>
      <c r="M173" s="12">
        <f>INDEX(其他调用!$AA$5:$AA$404,MATCH(K173,其他调用!$X$5:$X$404,0))*MIN(INDEX(其他调用!$AH$5:$AH$364,MATCH('征服点（新）'!K173,其他调用!$AG$5:$AG$364,0),1)/INDEX(其他调用!$AJ$5:$AJ$364,MATCH(K173,其他调用!$AG$5:$AG$364,0),0),5)*求节点(节奏总纲!D$4:D$163,攻城基础信息!$AC$5:$AC$164,$K173)</f>
        <v>48199.88060099008</v>
      </c>
      <c r="N173" s="12">
        <f>MIN(INDEX(其他调用!$AH$5:$AH$364,MATCH($K173,其他调用!$AG$5:$AG$364,0),1)/INDEX(其他调用!AH$5:AH$364,MATCH($K173,其他调用!$AG$5:$AG$364,0),0),1)*INDEX(其他调用!Y$5:Y$404,MATCH($K173,其他调用!$X$5:$X$404,0),0)</f>
        <v>39126.93036711515</v>
      </c>
      <c r="O173" s="12">
        <f>MIN(INDEX(其他调用!$AH$5:$AH$364,MATCH($K173,其他调用!$AG$5:$AG$364,0),1)/INDEX(其他调用!AI$5:AI$364,MATCH($K173,其他调用!$AG$5:$AG$364,0),0),1)*INDEX(其他调用!Z$5:Z$404,MATCH($K173,其他调用!$X$5:$X$404,0),0)</f>
        <v>24507.94829671488</v>
      </c>
      <c r="P173" s="12">
        <f>MIN(INDEX(其他调用!$AH$5:$AH$364,MATCH($K173,其他调用!$AG$5:$AG$364,0),1)/INDEX(其他调用!AJ$5:AJ$364,MATCH($K173,其他调用!$AG$5:$AG$364,0),0),1)*INDEX(其他调用!AA$5:AA$404,MATCH($K173,其他调用!$X$5:$X$404,0),0)</f>
        <v>14604.771116353057</v>
      </c>
      <c r="Q173" s="12">
        <f>MIN(INDEX(其他调用!$AH$5:$AH$364,MATCH($K173,其他调用!$AG$5:$AG$364,0),1)/INDEX(其他调用!AK$5:AK$364,MATCH($K173,其他调用!$AG$5:$AG$364,0),0),1)*INDEX(其他调用!AB$5:AB$404,MATCH($K173,其他调用!$X$5:$X$404,0),0)</f>
        <v>5357.7983569254848</v>
      </c>
      <c r="R173" s="12">
        <f>MIN(INDEX(其他调用!$AH$5:$AH$364,MATCH($K173,其他调用!$AG$5:$AG$364,0),1)/INDEX(其他调用!AL$5:AL$364,MATCH($K173,其他调用!$AG$5:$AG$364,0),0),1)*INDEX(其他调用!AC$5:AC$404,MATCH($K173,其他调用!$X$5:$X$404,0),0)</f>
        <v>2099.8169990408069</v>
      </c>
      <c r="S173" s="12">
        <f>求节点(节奏总纲!D$4:D$163,标准城池设计!AC$4:AC$163,$K173)*求节点(节奏总纲!D$4:D$163,攻城基础信息!$AD$5:$AD$164,$K173)</f>
        <v>647306.83240517555</v>
      </c>
      <c r="T173" s="12">
        <f>INDEX(其他调用!$AA$5:$AA$404,MATCH($K173,其他调用!$X$5:$X$404,0))*MIN(INDEX(其他调用!AI$5:AI$364,MATCH($K173,其他调用!$AG$5:$AG$364,0),1)/INDEX(其他调用!$AJ$5:$AJ$364,MATCH($K173,其他调用!$AG$5:$AG$364,0),0),5)*求节点(节奏总纲!D$4:D$163,攻城基础信息!$AD$5:$AD$164,$K173)</f>
        <v>79233.624035595465</v>
      </c>
      <c r="U173" s="12">
        <f>MIN(INDEX(其他调用!$AI$5:$AI$364,MATCH($K173,其他调用!$AG$5:$AG$364,0),1)/INDEX(其他调用!AH$5:AH$364,MATCH($K173,其他调用!$AG$5:$AG$364,0),0),1)*INDEX(其他调用!Y$5:Y$404,MATCH($K173,其他调用!$X$5:$X$404,0),0)</f>
        <v>39126.93036711515</v>
      </c>
      <c r="V173" s="12">
        <f>MIN(INDEX(其他调用!$AI$5:$AI$364,MATCH($K173,其他调用!$AG$5:$AG$364,0),1)/INDEX(其他调用!AI$5:AI$364,MATCH($K173,其他调用!$AG$5:$AG$364,0),0),1)*INDEX(其他调用!Z$5:Z$404,MATCH($K173,其他调用!$X$5:$X$404,0),0)</f>
        <v>40287.51808123423</v>
      </c>
      <c r="W173" s="12">
        <f>MIN(INDEX(其他调用!$AI$5:$AI$364,MATCH($K173,其他调用!$AG$5:$AG$364,0),1)/INDEX(其他调用!AJ$5:AJ$364,MATCH($K173,其他调用!$AG$5:$AG$364,0),0),1)*INDEX(其他调用!AA$5:AA$404,MATCH($K173,其他调用!$X$5:$X$404,0),0)</f>
        <v>24008.128844519833</v>
      </c>
      <c r="X173" s="12">
        <f>MIN(INDEX(其他调用!$AI$5:$AI$364,MATCH($K173,其他调用!$AG$5:$AG$364,0),1)/INDEX(其他调用!AK$5:AK$364,MATCH($K173,其他调用!$AG$5:$AG$364,0),0),1)*INDEX(其他调用!AB$5:AB$404,MATCH($K173,其他调用!$X$5:$X$404,0),0)</f>
        <v>8807.4446529322922</v>
      </c>
      <c r="Y173" s="12">
        <f>MIN(INDEX(其他调用!$AI$5:$AI$364,MATCH($K173,其他调用!$AG$5:$AG$364,0),1)/INDEX(其他调用!AL$5:AL$364,MATCH($K173,其他调用!$AG$5:$AG$364,0),0),1)*INDEX(其他调用!AC$5:AC$404,MATCH($K173,其他调用!$X$5:$X$404,0),0)</f>
        <v>3451.7950785573953</v>
      </c>
      <c r="Z173" s="12">
        <f>求节点(节奏总纲!D$4:D$163,标准城池设计!AD$4:AD$163,$K173)*求节点(节奏总纲!D$4:D$163,攻城基础信息!$AE$5:$AE$164,$K173)</f>
        <v>687531.00580474443</v>
      </c>
      <c r="AA173" s="12">
        <f>INDEX(其他调用!$AA$5:$AA$404,MATCH($K173,其他调用!$X$5:$X$404,0))*MIN(INDEX(其他调用!AJ$5:AJ$364,MATCH($K173,其他调用!$AG$5:$AG$364,0),1)/INDEX(其他调用!$AJ$5:$AJ$364,MATCH($K173,其他调用!$AG$5:$AG$364,0),0),5)*求节点(节奏总纲!D$4:D$163,攻城基础信息!$AE$5:$AE$164,$K173)</f>
        <v>137937.61441032233</v>
      </c>
      <c r="AB173" s="12">
        <f>MIN(INDEX(其他调用!$AJ$5:$AJ$364,MATCH($K173,其他调用!$AG$5:$AG$364,0),1)/INDEX(其他调用!AH$5:AH$364,MATCH($K173,其他调用!$AG$5:$AG$364,0),0),1)*INDEX(其他调用!Y$5:Y$404,MATCH($K173,其他调用!$X$5:$X$404,0),0)</f>
        <v>39126.93036711515</v>
      </c>
      <c r="AC173" s="12">
        <f>MIN(INDEX(其他调用!$AJ$5:$AJ$364,MATCH($K173,其他调用!$AG$5:$AG$364,0),1)/INDEX(其他调用!AI$5:AI$364,MATCH($K173,其他调用!$AG$5:$AG$364,0),0),1)*INDEX(其他调用!Z$5:Z$404,MATCH($K173,其他调用!$X$5:$X$404,0),0)</f>
        <v>40287.51808123423</v>
      </c>
      <c r="AD173" s="12">
        <f>MIN(INDEX(其他调用!$AJ$5:$AJ$364,MATCH($K173,其他调用!$AG$5:$AG$364,0),1)/INDEX(其他调用!AJ$5:AJ$364,MATCH($K173,其他调用!$AG$5:$AG$364,0),0),1)*INDEX(其他调用!AA$5:AA$404,MATCH($K173,其他调用!$X$5:$X$404,0),0)</f>
        <v>41795.690397563754</v>
      </c>
      <c r="AE173" s="12">
        <f>MIN(INDEX(其他调用!$AJ$5:$AJ$364,MATCH($K173,其他调用!$AG$5:$AG$364,0),1)/INDEX(其他调用!AK$5:AK$364,MATCH($K173,其他调用!$AG$5:$AG$364,0),0),1)*INDEX(其他调用!AB$5:AB$404,MATCH($K173,其他调用!$X$5:$X$404,0),0)</f>
        <v>15332.857978711781</v>
      </c>
      <c r="AF173" s="12">
        <f>MIN(INDEX(其他调用!$AJ$5:$AJ$364,MATCH($K173,其他调用!$AG$5:$AG$364,0),1)/INDEX(其他调用!AL$5:AL$364,MATCH($K173,其他调用!$AG$5:$AG$364,0),0),1)*INDEX(其他调用!AC$5:AC$404,MATCH($K173,其他调用!$X$5:$X$404,0),0)</f>
        <v>6009.2212664108001</v>
      </c>
      <c r="AG173" s="12">
        <f>求节点(节奏总纲!D$4:D$163,标准城池设计!AE$4:AE$163,$K173)*求节点(节奏总纲!D$4:D$163,攻城基础信息!$AF$5:$AF$164,$K173)</f>
        <v>811879.11273096141</v>
      </c>
      <c r="AH173" s="12">
        <f>INDEX(其他调用!$AA$5:$AA$404,MATCH($K173,其他调用!$X$5:$X$404,0))*MIN(INDEX(其他调用!AK$5:AK$364,MATCH($K173,其他调用!$AG$5:$AG$364,0),1)/INDEX(其他调用!$AJ$5:$AJ$364,MATCH($K173,其他调用!$AG$5:$AG$364,0),0),5)*求节点(节奏总纲!D$4:D$163,攻城基础信息!$AF$5:$AF$164,$K173)</f>
        <v>395734.08470990392</v>
      </c>
      <c r="AI173" s="12">
        <f>MIN(INDEX(其他调用!$AK$5:$AK$364,MATCH($K173,其他调用!$AG$5:$AG$364,0),1)/INDEX(其他调用!AH$5:AH$364,MATCH($K173,其他调用!$AG$5:$AG$364,0),0),1)*INDEX(其他调用!Y$5:Y$404,MATCH($K173,其他调用!$X$5:$X$404,0),0)</f>
        <v>39126.93036711515</v>
      </c>
      <c r="AJ173" s="12">
        <f>MIN(INDEX(其他调用!$AK$5:$AK$364,MATCH($K173,其他调用!$AG$5:$AG$364,0),1)/INDEX(其他调用!AI$5:AI$364,MATCH($K173,其他调用!$AG$5:$AG$364,0),0),1)*INDEX(其他调用!Z$5:Z$404,MATCH($K173,其他调用!$X$5:$X$404,0),0)</f>
        <v>40287.51808123423</v>
      </c>
      <c r="AK173" s="12">
        <f>MIN(INDEX(其他调用!$AK$5:$AK$364,MATCH($K173,其他调用!$AG$5:$AG$364,0),1)/INDEX(其他调用!AJ$5:AJ$364,MATCH($K173,其他调用!$AG$5:$AG$364,0),0),1)*INDEX(其他调用!AA$5:AA$404,MATCH($K173,其他调用!$X$5:$X$404,0),0)</f>
        <v>41795.690397563754</v>
      </c>
      <c r="AL173" s="12">
        <f>MIN(INDEX(其他调用!$AK$5:$AK$364,MATCH($K173,其他调用!$AG$5:$AG$364,0),1)/INDEX(其他调用!AK$5:AK$364,MATCH($K173,其他调用!$AG$5:$AG$364,0),0),1)*INDEX(其他调用!AB$5:AB$404,MATCH($K173,其他调用!$X$5:$X$404,0),0)</f>
        <v>43988.976785859108</v>
      </c>
      <c r="AM173" s="12">
        <f>MIN(INDEX(其他调用!$AK$5:$AK$364,MATCH($K173,其他调用!$AG$5:$AG$364,0),1)/INDEX(其他调用!AL$5:AL$364,MATCH($K173,其他调用!$AG$5:$AG$364,0),0),1)*INDEX(其他调用!AC$5:AC$404,MATCH($K173,其他调用!$X$5:$X$404,0),0)</f>
        <v>17240.066734867425</v>
      </c>
      <c r="AN173" s="12">
        <f>求节点(节奏总纲!D$4:D$163,标准城池设计!AF$4:AF$163,$K173)*求节点(节奏总纲!D$4:D$163,攻城基础信息!$AG$5:$AG$164,$K173)</f>
        <v>829135.01023465034</v>
      </c>
      <c r="AO173" s="12">
        <f>INDEX(其他调用!$AA$5:$AA$404,MATCH($K173,其他调用!$X$5:$X$404,0))*MIN(INDEX(其他调用!AL$5:AL$364,MATCH($K173,其他调用!$AG$5:$AG$364,0),1)/INDEX(其他调用!$AJ$5:$AJ$364,MATCH($K173,其他调用!$AG$5:$AG$364,0),0),5)*求节点(节奏总纲!D$4:D$163,攻城基础信息!$AG$5:$AG$164,$K173)</f>
        <v>689688.07205161161</v>
      </c>
      <c r="AP173" s="12">
        <f>MIN(INDEX(其他调用!$AL$5:$AL$364,MATCH($K173,其他调用!$AG$5:$AG$364,0),1)/INDEX(其他调用!AH$5:AH$364,MATCH($K173,其他调用!$AG$5:$AG$364,0),0),1)*INDEX(其他调用!Y$5:Y$404,MATCH($K173,其他调用!$X$5:$X$404,0),0)</f>
        <v>39126.93036711515</v>
      </c>
      <c r="AQ173" s="12">
        <f>MIN(INDEX(其他调用!$AL$5:$AL$364,MATCH($K173,其他调用!$AG$5:$AG$364,0),1)/INDEX(其他调用!AI$5:AI$364,MATCH($K173,其他调用!$AG$5:$AG$364,0),0),1)*INDEX(其他调用!Z$5:Z$404,MATCH($K173,其他调用!$X$5:$X$404,0),0)</f>
        <v>40287.51808123423</v>
      </c>
      <c r="AR173" s="12">
        <f>MIN(INDEX(其他调用!$AL$5:$AL$364,MATCH($K173,其他调用!$AG$5:$AG$364,0),1)/INDEX(其他调用!AJ$5:AJ$364,MATCH($K173,其他调用!$AG$5:$AG$364,0),0),1)*INDEX(其他调用!AA$5:AA$404,MATCH($K173,其他调用!$X$5:$X$404,0),0)</f>
        <v>41795.690397563754</v>
      </c>
      <c r="AS173" s="12">
        <f>MIN(INDEX(其他调用!$AL$5:$AL$364,MATCH($K173,其他调用!$AG$5:$AG$364,0),1)/INDEX(其他调用!AK$5:AK$364,MATCH($K173,其他调用!$AG$5:$AG$364,0),0),1)*INDEX(其他调用!AB$5:AB$404,MATCH($K173,其他调用!$X$5:$X$404,0),0)</f>
        <v>43988.976785859108</v>
      </c>
      <c r="AT173" s="12">
        <f>MIN(INDEX(其他调用!$AL$5:$AL$364,MATCH($K173,其他调用!$AG$5:$AG$364,0),1)/INDEX(其他调用!AL$5:AL$364,MATCH($K173,其他调用!$AG$5:$AG$364,0),0),1)*INDEX(其他调用!AC$5:AC$404,MATCH($K173,其他调用!$X$5:$X$404,0),0)</f>
        <v>47936.17976689386</v>
      </c>
      <c r="AV173" s="14">
        <f>IF(OR(AV$5="大R",AV$5="超R"),MAX(INDEX(其他调用!$H$5:$L$404,MATCH($K173,其他调用!$B$5:$B$404,0),MATCH(AV$5,其他调用!$H$4:$L$4,0))*120*0.85,2),INDEX(其他调用!$H$5:$L$404,MATCH($K173,其他调用!$B$5:$B$404,0),MATCH(AV$5,其他调用!$H$4:$L$4,0))*120*0.85)</f>
        <v>48.921801254999991</v>
      </c>
      <c r="AW173" s="14">
        <f>IF(OR(AW$5="大R",AW$5="超R"),MAX(INDEX(其他调用!$H$5:$L$404,MATCH($K173,其他调用!$B$5:$B$404,0),MATCH(AW$5,其他调用!$H$4:$L$4,0))*120*0.85,2),INDEX(其他调用!$H$5:$L$404,MATCH($K173,其他调用!$B$5:$B$404,0),MATCH(AW$5,其他调用!$H$4:$L$4,0))*120*0.85)</f>
        <v>48.237344010638395</v>
      </c>
      <c r="AX173" s="14">
        <f>IF(OR(AX$5="大R",AX$5="超R"),MAX(INDEX(其他调用!$H$5:$L$404,MATCH($K173,其他调用!$B$5:$B$404,0),MATCH(AX$5,其他调用!$H$4:$L$4,0))*120*0.85,2),INDEX(其他调用!$H$5:$L$404,MATCH($K173,其他调用!$B$5:$B$404,0),MATCH(AX$5,其他调用!$H$4:$L$4,0))*120*0.85)</f>
        <v>3.9376284143615998</v>
      </c>
      <c r="AY173" s="14">
        <f>IF(OR(AY$5="大R",AY$5="超R"),MAX(INDEX(其他调用!$H$5:$L$404,MATCH($K173,其他调用!$B$5:$B$404,0),MATCH(AY$5,其他调用!$H$4:$L$4,0))*120*0.85,2),INDEX(其他调用!$H$5:$L$404,MATCH($K173,其他调用!$B$5:$B$404,0),MATCH(AY$5,其他调用!$H$4:$L$4,0))*120*0.85)</f>
        <v>2</v>
      </c>
      <c r="AZ173" s="14">
        <f>IF(OR(AZ$5="大R",AZ$5="超R"),MAX(INDEX(其他调用!$H$5:$L$404,MATCH($K173,其他调用!$B$5:$B$404,0),MATCH(AZ$5,其他调用!$H$4:$L$4,0))*120*0.85,2),INDEX(其他调用!$H$5:$L$404,MATCH($K173,其他调用!$B$5:$B$404,0),MATCH(AZ$5,其他调用!$H$4:$L$4,0))*120*0.85)</f>
        <v>2</v>
      </c>
      <c r="BA173" s="14">
        <f>INDEX(其他调用!$H$5:$L$404,MATCH($K173,其他调用!$B$5:$B$404,0),MATCH(BA$5,其他调用!$H$4:$L$4,0))*INDEX(其他调用!$M$5:$M$404,MATCH($K173,其他调用!$B$5:$B$404,0))*0.6</f>
        <v>28.777530149999997</v>
      </c>
      <c r="BB173" s="14">
        <f>INDEX(其他调用!$H$5:$L$404,MATCH($K173,其他调用!$B$5:$B$404,0),MATCH(BB$5,其他调用!$H$4:$L$4,0))*INDEX(其他调用!$M$5:$M$404,MATCH($K173,其他调用!$B$5:$B$404,0))*0.6</f>
        <v>28.374908241551999</v>
      </c>
      <c r="BC173" s="14">
        <f>INDEX(其他调用!$H$5:$L$404,MATCH($K173,其他调用!$B$5:$B$404,0),MATCH(BC$5,其他调用!$H$4:$L$4,0))*INDEX(其他调用!$M$5:$M$404,MATCH($K173,其他调用!$B$5:$B$404,0))*0.6</f>
        <v>2.3162520084480001</v>
      </c>
      <c r="BD173" s="14">
        <f>INDEX(其他调用!$H$5:$L$404,MATCH($K173,其他调用!$B$5:$B$404,0),MATCH(BD$5,其他调用!$H$4:$L$4,0))*INDEX(其他调用!$M$5:$M$404,MATCH($K173,其他调用!$B$5:$B$404,0))*0.6</f>
        <v>0.4120776000000001</v>
      </c>
      <c r="BE173" s="14">
        <f>INDEX(其他调用!$H$5:$L$404,MATCH($K173,其他调用!$B$5:$B$404,0),MATCH(BE$5,其他调用!$H$4:$L$4,0))*INDEX(其他调用!$M$5:$M$404,MATCH($K173,其他调用!$B$5:$B$404,0))*0.6</f>
        <v>0.11923199999999998</v>
      </c>
      <c r="BF173" s="14">
        <f>IF(OR(BF$5="大R",BF$5="超R"),0,INDEX(其他调用!$H$5:$L$404,MATCH($K173,其他调用!$B$5:$B$404,0),MATCH(BF$5,其他调用!$H$4:$L$4,0))*50*0.4)</f>
        <v>9.5925100500000013</v>
      </c>
      <c r="BG173" s="14">
        <f>IF(OR(BG$5="大R",BG$5="超R"),0,INDEX(其他调用!$H$5:$L$404,MATCH($K173,其他调用!$B$5:$B$404,0),MATCH(BG$5,其他调用!$H$4:$L$4,0))*50*0.4)</f>
        <v>9.4583027471839998</v>
      </c>
      <c r="BH173" s="14">
        <f>IF(OR(BH$5="大R",BH$5="超R"),0,INDEX(其他调用!$H$5:$L$404,MATCH($K173,其他调用!$B$5:$B$404,0),MATCH(BH$5,其他调用!$H$4:$L$4,0))*50*0.4)</f>
        <v>0.77208400281600009</v>
      </c>
      <c r="BI173" s="14">
        <f>IF(OR(BI$5="大R",BI$5="超R"),0,INDEX(其他调用!$H$5:$L$404,MATCH($K173,其他调用!$B$5:$B$404,0),MATCH(BI$5,其他调用!$H$4:$L$4,0))*50*0.4)</f>
        <v>0</v>
      </c>
      <c r="BJ173" s="14">
        <f>IF(OR(BJ$5="大R",BJ$5="超R"),0,INDEX(其他调用!$H$5:$L$404,MATCH($K173,其他调用!$B$5:$B$404,0),MATCH(BJ$5,其他调用!$H$4:$L$4,0))*50*0.4)</f>
        <v>0</v>
      </c>
      <c r="BL173" s="14">
        <f t="shared" si="313"/>
        <v>168</v>
      </c>
      <c r="BM173" s="14">
        <f t="shared" si="220"/>
        <v>96</v>
      </c>
      <c r="BN173" s="14">
        <f>('疲劳值&amp;地图信息'!$S$10*'疲劳值&amp;地图信息'!$R$10+'疲劳值&amp;地图信息'!$S$11*'疲劳值&amp;地图信息'!$R$11+'疲劳值&amp;地图信息'!$S$12*'疲劳值&amp;地图信息'!$R$12+(BM173-'疲劳值&amp;地图信息'!$S$12-'疲劳值&amp;地图信息'!$S$11-'疲劳值&amp;地图信息'!$S$10)*'疲劳值&amp;地图信息'!$R$13)/BM173</f>
        <v>51.371477246638619</v>
      </c>
      <c r="BO173" s="14">
        <f>INDEX(其他调用!$M$5:$M$404,MATCH(BL173,其他调用!$B$5:$B$404,0))*0.6</f>
        <v>60</v>
      </c>
      <c r="BP173" s="14">
        <f>IF(BO173&gt;SUM('疲劳值&amp;地图信息'!$S$10:$S$12),('疲劳值&amp;地图信息'!$S$10*'疲劳值&amp;地图信息'!$R$10+'疲劳值&amp;地图信息'!$S$11*'疲劳值&amp;地图信息'!$R$11+'疲劳值&amp;地图信息'!$S$12*'疲劳值&amp;地图信息'!$R$12+(BO173-'疲劳值&amp;地图信息'!$S$12-'疲劳值&amp;地图信息'!$S$11-'疲劳值&amp;地图信息'!$S$10)*'疲劳值&amp;地图信息'!$R$13)/BO173,('疲劳值&amp;地图信息'!$S$10*'疲劳值&amp;地图信息'!$R$10+'疲劳值&amp;地图信息'!$S$11*'疲劳值&amp;地图信息'!$R$11+'疲劳值&amp;地图信息'!$S$12*'疲劳值&amp;地图信息'!$R$12+(BO173-'疲劳值&amp;地图信息'!$S$12-'疲劳值&amp;地图信息'!$S$11-'疲劳值&amp;地图信息'!$S$10)*'疲劳值&amp;地图信息'!$R$13)/BO173)</f>
        <v>44.158136341605953</v>
      </c>
      <c r="BQ173" s="14">
        <f t="shared" si="314"/>
        <v>20</v>
      </c>
      <c r="BR173" s="14">
        <f>('疲劳值&amp;地图信息'!$S$10*'疲劳值&amp;地图信息'!$R$10+($BQ173-'疲劳值&amp;地图信息'!$S$10)*'疲劳值&amp;地图信息'!$R$11)/$BQ173</f>
        <v>32.067203015074995</v>
      </c>
      <c r="CF173" s="14">
        <v>168</v>
      </c>
      <c r="CG173" s="51">
        <f t="shared" si="221"/>
        <v>12343</v>
      </c>
      <c r="CH173" s="51">
        <f t="shared" si="222"/>
        <v>982</v>
      </c>
      <c r="CI173" s="51">
        <f>INT(SUMPRODUCT($N173:$R173,$BA173:$BE173)/SUM($BA173:$BE173)/10000*$BX$7*$BZ$34/'疲劳值&amp;地图信息'!$R$10*$BY$53)</f>
        <v>3141</v>
      </c>
      <c r="CJ173" s="50">
        <f t="shared" si="223"/>
        <v>0.74960524717599908</v>
      </c>
      <c r="CK173" s="50">
        <f t="shared" si="224"/>
        <v>5.9638042025992953E-2</v>
      </c>
      <c r="CL173" s="50">
        <f t="shared" si="225"/>
        <v>0.19075671079800802</v>
      </c>
      <c r="CM173" s="14">
        <f t="shared" si="226"/>
        <v>13192</v>
      </c>
      <c r="CN173" s="14">
        <f t="shared" si="227"/>
        <v>1614</v>
      </c>
      <c r="CO173" s="14">
        <f>INT(SUMPRODUCT($U173:$Y173,$BA173:$BE173)/SUM($BA173:$BE173)/10000*$BX$7*$BZ$34/'疲劳值&amp;地图信息'!$R$10*$BY$54)</f>
        <v>5907</v>
      </c>
      <c r="CP173" s="50">
        <f t="shared" si="228"/>
        <v>0.63689470380920199</v>
      </c>
      <c r="CQ173" s="50">
        <f t="shared" si="229"/>
        <v>7.792207792207792E-2</v>
      </c>
      <c r="CR173" s="50">
        <f t="shared" si="230"/>
        <v>0.28518321826872012</v>
      </c>
      <c r="CS173" s="14">
        <f t="shared" si="231"/>
        <v>14012</v>
      </c>
      <c r="CT173" s="14">
        <f t="shared" si="232"/>
        <v>2811</v>
      </c>
      <c r="CU173" s="14">
        <f>INT(SUMPRODUCT($AB173:$AF173,$BA173:$BE173)/SUM($BA173:$BE173)/10000*$BX$7*$BZ$34/'疲劳值&amp;地图信息'!$R$10*$BY$55)</f>
        <v>8025</v>
      </c>
      <c r="CV173" s="50">
        <f t="shared" si="233"/>
        <v>0.56390856406954282</v>
      </c>
      <c r="CW173" s="50">
        <f t="shared" si="234"/>
        <v>0.11312781712813909</v>
      </c>
      <c r="CX173" s="50">
        <f t="shared" si="235"/>
        <v>0.32296361880231811</v>
      </c>
      <c r="CY173" s="14">
        <f t="shared" si="236"/>
        <v>16547</v>
      </c>
      <c r="CZ173" s="14">
        <f t="shared" si="237"/>
        <v>8065</v>
      </c>
      <c r="DA173" s="14">
        <f>INT(SUMPRODUCT($AI173:$AM173,$BA173:$BE173)/SUM($BA173:$BE173)/10000*$BX$7*$BZ$34/'疲劳值&amp;地图信息'!$R$10*$BY$56)</f>
        <v>12105</v>
      </c>
      <c r="DB173" s="50">
        <f t="shared" si="238"/>
        <v>0.45066318054307269</v>
      </c>
      <c r="DC173" s="50">
        <f t="shared" si="239"/>
        <v>0.21965302176103713</v>
      </c>
      <c r="DD173" s="50">
        <f t="shared" si="240"/>
        <v>0.32968379769589018</v>
      </c>
      <c r="DE173" s="14">
        <f t="shared" si="241"/>
        <v>16898</v>
      </c>
      <c r="DF173" s="14">
        <f t="shared" si="242"/>
        <v>14056</v>
      </c>
      <c r="DG173" s="14">
        <f>INT(SUMPRODUCT($AP173:$AT173,$BA173:$BE173)/SUM($BA173:$BE173)/10000*$BX$7*$BZ$34/'疲劳值&amp;地图信息'!$R$10*$BY$57)</f>
        <v>16165</v>
      </c>
      <c r="DH173" s="50">
        <f t="shared" si="243"/>
        <v>0.35862390967550245</v>
      </c>
      <c r="DI173" s="50">
        <f t="shared" si="244"/>
        <v>0.29830853795708739</v>
      </c>
      <c r="DJ173" s="50">
        <f t="shared" si="245"/>
        <v>0.34306755236741016</v>
      </c>
      <c r="DL173" s="14">
        <f t="shared" si="316"/>
        <v>16466</v>
      </c>
      <c r="DM173" s="14">
        <f t="shared" si="317"/>
        <v>20713</v>
      </c>
      <c r="DN173" s="14">
        <f t="shared" si="318"/>
        <v>24848</v>
      </c>
      <c r="DO173" s="14">
        <f t="shared" si="319"/>
        <v>36717</v>
      </c>
      <c r="DP173" s="14">
        <f t="shared" si="320"/>
        <v>47119</v>
      </c>
      <c r="DQ173" s="14">
        <f t="shared" si="321"/>
        <v>1139882</v>
      </c>
      <c r="DT173" s="14">
        <f t="shared" si="315"/>
        <v>235575</v>
      </c>
      <c r="DU173" s="50">
        <f t="shared" si="217"/>
        <v>0.17127034869138039</v>
      </c>
      <c r="DW173" s="14">
        <f t="shared" si="246"/>
        <v>1375457</v>
      </c>
      <c r="EB173" s="14">
        <v>168</v>
      </c>
      <c r="EC173" s="51">
        <f t="shared" si="247"/>
        <v>20572</v>
      </c>
      <c r="ED173" s="51">
        <f t="shared" si="248"/>
        <v>1637</v>
      </c>
      <c r="EE173" s="51">
        <f>INT(SUMPRODUCT($N173:$R173,$BF173:$BJ173)/SUM($BF173:$BJ173)/10000*$BX$7*$BZ$46/'疲劳值&amp;地图信息'!$R$10*$BY$53)</f>
        <v>422</v>
      </c>
      <c r="EF173" s="50">
        <f t="shared" si="249"/>
        <v>0.90901860280146707</v>
      </c>
      <c r="EG173" s="50">
        <f t="shared" si="250"/>
        <v>7.233440855463745E-2</v>
      </c>
      <c r="EH173" s="50">
        <f t="shared" si="251"/>
        <v>1.8646988643895541E-2</v>
      </c>
      <c r="EI173" s="51">
        <f t="shared" si="252"/>
        <v>21988</v>
      </c>
      <c r="EJ173" s="51">
        <f t="shared" si="253"/>
        <v>2691</v>
      </c>
      <c r="EK173" s="14">
        <f>INT(SUMPRODUCT($U173:$Y173,$BF173:$BJ173)/SUM($BF173:$BJ173)/10000*$BX$7*$BZ$46/'疲劳值&amp;地图信息'!$R$10*$BY$54)</f>
        <v>793</v>
      </c>
      <c r="EL173" s="50">
        <f t="shared" si="254"/>
        <v>0.86322236180904521</v>
      </c>
      <c r="EM173" s="50">
        <f t="shared" si="255"/>
        <v>0.10564541457286432</v>
      </c>
      <c r="EN173" s="50">
        <f t="shared" si="256"/>
        <v>3.1132223618090451E-2</v>
      </c>
      <c r="EO173" s="51">
        <f t="shared" si="257"/>
        <v>23354</v>
      </c>
      <c r="EP173" s="51">
        <f t="shared" si="258"/>
        <v>4685</v>
      </c>
      <c r="EQ173" s="14">
        <f>INT(SUMPRODUCT($AB173:$AF173,$BF173:$BJ173)/SUM($BF173:$BJ173)/10000*$BX$7*$BZ$46/'疲劳值&amp;地图信息'!$R$10*$BY$55)</f>
        <v>1076</v>
      </c>
      <c r="ER173" s="50">
        <f t="shared" si="259"/>
        <v>0.80212948651897642</v>
      </c>
      <c r="ES173" s="50">
        <f t="shared" si="260"/>
        <v>0.16091361840975443</v>
      </c>
      <c r="ET173" s="50">
        <f t="shared" si="261"/>
        <v>3.6956895071269105E-2</v>
      </c>
      <c r="EU173" s="51">
        <f t="shared" si="262"/>
        <v>27578</v>
      </c>
      <c r="EV173" s="51">
        <f t="shared" si="263"/>
        <v>13442</v>
      </c>
      <c r="EW173" s="14">
        <f>INT(SUMPRODUCT($AI173:$AM173,$BF173:$BJ173)/SUM($BF173:$BJ173)/10000*$BX$7*$BZ$46/'疲劳值&amp;地图信息'!$R$10*$BY$56)</f>
        <v>1614</v>
      </c>
      <c r="EX173" s="50">
        <f t="shared" si="264"/>
        <v>0.64685462307078856</v>
      </c>
      <c r="EY173" s="50">
        <f t="shared" si="265"/>
        <v>0.31528826757986583</v>
      </c>
      <c r="EZ173" s="50">
        <f t="shared" si="266"/>
        <v>3.7857109349345594E-2</v>
      </c>
      <c r="FA173" s="51">
        <f t="shared" si="267"/>
        <v>28164</v>
      </c>
      <c r="FB173" s="51">
        <f t="shared" si="268"/>
        <v>23427</v>
      </c>
      <c r="FC173" s="14">
        <f>INT(SUMPRODUCT($AP173:$AT173,$BF173:$BJ173)/SUM($BF173:$BJ173)/10000*$BX$7*$BZ$46/'疲劳值&amp;地图信息'!$R$10*$BY$57)</f>
        <v>2152</v>
      </c>
      <c r="FD173" s="50">
        <f t="shared" si="269"/>
        <v>0.524049643674525</v>
      </c>
      <c r="FE173" s="50">
        <f t="shared" si="270"/>
        <v>0.43590793219582086</v>
      </c>
      <c r="FF173" s="50">
        <f t="shared" si="271"/>
        <v>4.0042424129654093E-2</v>
      </c>
      <c r="FH173" s="14">
        <f t="shared" si="272"/>
        <v>22631</v>
      </c>
      <c r="FI173" s="14">
        <f t="shared" si="273"/>
        <v>25472</v>
      </c>
      <c r="FJ173" s="14">
        <f t="shared" si="274"/>
        <v>29115</v>
      </c>
      <c r="FK173" s="14">
        <f t="shared" si="275"/>
        <v>42634</v>
      </c>
      <c r="FL173" s="14">
        <f t="shared" si="276"/>
        <v>53743</v>
      </c>
      <c r="FM173" s="14">
        <f t="shared" si="277"/>
        <v>2643248</v>
      </c>
      <c r="FP173" s="14">
        <f t="shared" si="278"/>
        <v>334150</v>
      </c>
      <c r="FQ173" s="50">
        <f t="shared" si="218"/>
        <v>0.11222886560681508</v>
      </c>
      <c r="FS173" s="14">
        <f t="shared" si="279"/>
        <v>2977398</v>
      </c>
      <c r="FX173" s="14">
        <v>168</v>
      </c>
      <c r="FY173" s="51">
        <f t="shared" si="280"/>
        <v>28802</v>
      </c>
      <c r="FZ173" s="51">
        <f t="shared" si="281"/>
        <v>1637</v>
      </c>
      <c r="GA173" s="51">
        <f>INT(SUMPRODUCT($N173:$R173,$BF173:$BJ173)/SUM($BF173:$BJ173)/10000*$BX$7*$BZ$46/'疲劳值&amp;地图信息'!$R$10*$BY$53)</f>
        <v>422</v>
      </c>
      <c r="GB173" s="50">
        <f t="shared" si="282"/>
        <v>0.93328148796215293</v>
      </c>
      <c r="GC173" s="50">
        <f t="shared" si="283"/>
        <v>5.3044295389002301E-2</v>
      </c>
      <c r="GD173" s="50">
        <f t="shared" si="284"/>
        <v>1.3674216648844821E-2</v>
      </c>
      <c r="GE173" s="51">
        <f t="shared" si="285"/>
        <v>30783</v>
      </c>
      <c r="GF173" s="51">
        <f t="shared" si="286"/>
        <v>2691</v>
      </c>
      <c r="GG173" s="14">
        <f>INT(SUMPRODUCT($U173:$Y173,$BF173:$BJ173)/SUM($BF173:$BJ173)/10000*$BX$7*$BZ$46/'疲劳值&amp;地图信息'!$R$10*$BY$54)</f>
        <v>793</v>
      </c>
      <c r="GH173" s="50">
        <f t="shared" si="287"/>
        <v>0.89832783727784749</v>
      </c>
      <c r="GI173" s="50">
        <f t="shared" si="288"/>
        <v>7.8530364490617802E-2</v>
      </c>
      <c r="GJ173" s="50">
        <f t="shared" si="289"/>
        <v>2.3141798231534713E-2</v>
      </c>
      <c r="GK173" s="51">
        <f t="shared" si="290"/>
        <v>32696</v>
      </c>
      <c r="GL173" s="51">
        <f t="shared" si="291"/>
        <v>4685</v>
      </c>
      <c r="GM173" s="14">
        <f>INT(SUMPRODUCT($AB173:$AF173,$BF173:$BJ173)/SUM($BF173:$BJ173)/10000*$BX$7*$BZ$46/'疲劳值&amp;地图信息'!$R$10*$BY$55)</f>
        <v>1076</v>
      </c>
      <c r="GN173" s="50">
        <f t="shared" si="292"/>
        <v>0.85019632316613358</v>
      </c>
      <c r="GO173" s="50">
        <f t="shared" si="293"/>
        <v>0.12182437527628261</v>
      </c>
      <c r="GP173" s="50">
        <f t="shared" si="294"/>
        <v>2.7979301557583793E-2</v>
      </c>
      <c r="GQ173" s="51">
        <f t="shared" si="295"/>
        <v>38610</v>
      </c>
      <c r="GR173" s="51">
        <f t="shared" si="296"/>
        <v>13442</v>
      </c>
      <c r="GS173" s="14">
        <f>INT(SUMPRODUCT($AI173:$AM173,$BF173:$BJ173)/SUM($BF173:$BJ173)/10000*$BX$7*$BZ$46/'疲劳值&amp;地图信息'!$R$10*$BY$56)</f>
        <v>1614</v>
      </c>
      <c r="GT173" s="50">
        <f t="shared" si="297"/>
        <v>0.71944993105504418</v>
      </c>
      <c r="GU173" s="50">
        <f t="shared" si="298"/>
        <v>0.25047516118212648</v>
      </c>
      <c r="GV173" s="50">
        <f t="shared" si="299"/>
        <v>3.0074907762829353E-2</v>
      </c>
      <c r="GW173" s="51">
        <f t="shared" si="300"/>
        <v>39430</v>
      </c>
      <c r="GX173" s="51">
        <f t="shared" si="301"/>
        <v>23427</v>
      </c>
      <c r="GY173" s="14">
        <f>INT(SUMPRODUCT($AP173:$AT173,$BF173:$BJ173)/SUM($BF173:$BJ173)/10000*$BX$7*$BZ$46/'疲劳值&amp;地图信息'!$R$10*$BY$57)</f>
        <v>2152</v>
      </c>
      <c r="GZ173" s="50">
        <f t="shared" si="302"/>
        <v>0.60653140334415234</v>
      </c>
      <c r="HA173" s="50">
        <f t="shared" si="303"/>
        <v>0.36036548785552769</v>
      </c>
      <c r="HB173" s="50">
        <f t="shared" si="304"/>
        <v>3.3103108800319955E-2</v>
      </c>
      <c r="HD173" s="14">
        <f t="shared" si="305"/>
        <v>30861</v>
      </c>
      <c r="HE173" s="14">
        <f t="shared" si="306"/>
        <v>34267</v>
      </c>
      <c r="HF173" s="14">
        <f t="shared" si="307"/>
        <v>38457</v>
      </c>
      <c r="HG173" s="14">
        <f t="shared" si="308"/>
        <v>53666</v>
      </c>
      <c r="HH173" s="14">
        <f t="shared" si="309"/>
        <v>65009</v>
      </c>
      <c r="HI173" s="14">
        <f t="shared" si="310"/>
        <v>3551504</v>
      </c>
      <c r="HL173" s="14">
        <f t="shared" si="311"/>
        <v>430050</v>
      </c>
      <c r="HM173" s="50">
        <f t="shared" si="219"/>
        <v>0.10801059083965708</v>
      </c>
      <c r="HO173" s="14">
        <f t="shared" si="312"/>
        <v>3981554</v>
      </c>
    </row>
    <row r="174" spans="11:223" x14ac:dyDescent="0.2">
      <c r="K174" s="14">
        <v>169</v>
      </c>
      <c r="L174" s="12">
        <f>求节点(节奏总纲!D$4:D$163,标准城池设计!AB$4:AB$163,$K174)*求节点(节奏总纲!D$4:D$163,攻城基础信息!$AC$5:$AC$164,$K174)</f>
        <v>607413.69234687043</v>
      </c>
      <c r="M174" s="12">
        <f>INDEX(其他调用!$AA$5:$AA$404,MATCH(K174,其他调用!$X$5:$X$404,0))*MIN(INDEX(其他调用!$AH$5:$AH$364,MATCH('征服点（新）'!K174,其他调用!$AG$5:$AG$364,0),1)/INDEX(其他调用!$AJ$5:$AJ$364,MATCH(K174,其他调用!$AG$5:$AG$364,0),0),5)*求节点(节奏总纲!D$4:D$163,攻城基础信息!$AC$5:$AC$164,$K174)</f>
        <v>48318.864721940095</v>
      </c>
      <c r="N174" s="12">
        <f>MIN(INDEX(其他调用!$AH$5:$AH$364,MATCH($K174,其他调用!$AG$5:$AG$364,0),1)/INDEX(其他调用!AH$5:AH$364,MATCH($K174,其他调用!$AG$5:$AG$364,0),0),1)*INDEX(其他调用!Y$5:Y$404,MATCH($K174,其他调用!$X$5:$X$404,0),0)</f>
        <v>39160.965188612514</v>
      </c>
      <c r="O174" s="12">
        <f>MIN(INDEX(其他调用!$AH$5:$AH$364,MATCH($K174,其他调用!$AG$5:$AG$364,0),1)/INDEX(其他调用!AI$5:AI$364,MATCH($K174,其他调用!$AG$5:$AG$364,0),0),1)*INDEX(其他调用!Z$5:Z$404,MATCH($K174,其他调用!$X$5:$X$404,0),0)</f>
        <v>24530.869596732704</v>
      </c>
      <c r="P174" s="12">
        <f>MIN(INDEX(其他调用!$AH$5:$AH$364,MATCH($K174,其他调用!$AG$5:$AG$364,0),1)/INDEX(其他调用!AJ$5:AJ$364,MATCH($K174,其他调用!$AG$5:$AG$364,0),0),1)*INDEX(其他调用!AA$5:AA$404,MATCH($K174,其他调用!$X$5:$X$404,0),0)</f>
        <v>14628.63545065691</v>
      </c>
      <c r="Q174" s="12">
        <f>MIN(INDEX(其他调用!$AH$5:$AH$364,MATCH($K174,其他调用!$AG$5:$AG$364,0),1)/INDEX(其他调用!AK$5:AK$364,MATCH($K174,其他调用!$AG$5:$AG$364,0),0),1)*INDEX(其他调用!AB$5:AB$404,MATCH($K174,其他调用!$X$5:$X$404,0),0)</f>
        <v>5358.5482566805449</v>
      </c>
      <c r="R174" s="12">
        <f>MIN(INDEX(其他调用!$AH$5:$AH$364,MATCH($K174,其他调用!$AG$5:$AG$364,0),1)/INDEX(其他调用!AL$5:AL$364,MATCH($K174,其他调用!$AG$5:$AG$364,0),0),1)*INDEX(其他调用!AC$5:AC$404,MATCH($K174,其他调用!$X$5:$X$404,0),0)</f>
        <v>2109.2513407324009</v>
      </c>
      <c r="S174" s="12">
        <f>求节点(节奏总纲!D$4:D$163,标准城池设计!AC$4:AC$163,$K174)*求节点(节奏总纲!D$4:D$163,攻城基础信息!$AD$5:$AD$164,$K174)</f>
        <v>648968.62807399593</v>
      </c>
      <c r="T174" s="12">
        <f>INDEX(其他调用!$AA$5:$AA$404,MATCH($K174,其他调用!$X$5:$X$404,0))*MIN(INDEX(其他调用!AI$5:AI$364,MATCH($K174,其他调用!$AG$5:$AG$364,0),1)/INDEX(其他调用!$AJ$5:$AJ$364,MATCH($K174,其他调用!$AG$5:$AG$364,0),0),5)*求节点(节奏总纲!D$4:D$163,攻城基础信息!$AD$5:$AD$164,$K174)</f>
        <v>79418.835988311737</v>
      </c>
      <c r="U174" s="12">
        <f>MIN(INDEX(其他调用!$AI$5:$AI$364,MATCH($K174,其他调用!$AG$5:$AG$364,0),1)/INDEX(其他调用!AH$5:AH$364,MATCH($K174,其他调用!$AG$5:$AG$364,0),0),1)*INDEX(其他调用!Y$5:Y$404,MATCH($K174,其他调用!$X$5:$X$404,0),0)</f>
        <v>39160.965188612514</v>
      </c>
      <c r="V174" s="12">
        <f>MIN(INDEX(其他调用!$AI$5:$AI$364,MATCH($K174,其他调用!$AG$5:$AG$364,0),1)/INDEX(其他调用!AI$5:AI$364,MATCH($K174,其他调用!$AG$5:$AG$364,0),0),1)*INDEX(其他调用!Z$5:Z$404,MATCH($K174,其他调用!$X$5:$X$404,0),0)</f>
        <v>40319.927224386018</v>
      </c>
      <c r="W174" s="12">
        <f>MIN(INDEX(其他调用!$AI$5:$AI$364,MATCH($K174,其他调用!$AG$5:$AG$364,0),1)/INDEX(其他调用!AJ$5:AJ$364,MATCH($K174,其他调用!$AG$5:$AG$364,0),0),1)*INDEX(其他调用!AA$5:AA$404,MATCH($K174,其他调用!$X$5:$X$404,0),0)</f>
        <v>24044.215572411649</v>
      </c>
      <c r="X174" s="12">
        <f>MIN(INDEX(其他调用!$AI$5:$AI$364,MATCH($K174,其他调用!$AG$5:$AG$364,0),1)/INDEX(其他调用!AK$5:AK$364,MATCH($K174,其他调用!$AG$5:$AG$364,0),0),1)*INDEX(其他调用!AB$5:AB$404,MATCH($K174,其他调用!$X$5:$X$404,0),0)</f>
        <v>8807.52616150619</v>
      </c>
      <c r="Y174" s="12">
        <f>MIN(INDEX(其他调用!$AI$5:$AI$364,MATCH($K174,其他调用!$AG$5:$AG$364,0),1)/INDEX(其他调用!AL$5:AL$364,MATCH($K174,其他调用!$AG$5:$AG$364,0),0),1)*INDEX(其他调用!AC$5:AC$404,MATCH($K174,其他调用!$X$5:$X$404,0),0)</f>
        <v>3466.8506234934403</v>
      </c>
      <c r="Z174" s="12">
        <f>求节点(节奏总纲!D$4:D$163,标准城池设计!AD$4:AD$163,$K174)*求节点(节奏总纲!D$4:D$163,攻城基础信息!$AE$5:$AE$164,$K174)</f>
        <v>689269.16524159315</v>
      </c>
      <c r="AA174" s="12">
        <f>INDEX(其他调用!$AA$5:$AA$404,MATCH($K174,其他调用!$X$5:$X$404,0))*MIN(INDEX(其他调用!AJ$5:AJ$364,MATCH($K174,其他调用!$AG$5:$AG$364,0),1)/INDEX(其他调用!$AJ$5:$AJ$364,MATCH($K174,其他调用!$AG$5:$AG$364,0),0),5)*求节点(节奏总纲!D$4:D$163,攻城基础信息!$AE$5:$AE$164,$K174)</f>
        <v>138169.15337496181</v>
      </c>
      <c r="AB174" s="12">
        <f>MIN(INDEX(其他调用!$AJ$5:$AJ$364,MATCH($K174,其他调用!$AG$5:$AG$364,0),1)/INDEX(其他调用!AH$5:AH$364,MATCH($K174,其他调用!$AG$5:$AG$364,0),0),1)*INDEX(其他调用!Y$5:Y$404,MATCH($K174,其他调用!$X$5:$X$404,0),0)</f>
        <v>39160.965188612514</v>
      </c>
      <c r="AC174" s="12">
        <f>MIN(INDEX(其他调用!$AJ$5:$AJ$364,MATCH($K174,其他调用!$AG$5:$AG$364,0),1)/INDEX(其他调用!AI$5:AI$364,MATCH($K174,其他调用!$AG$5:$AG$364,0),0),1)*INDEX(其他调用!Z$5:Z$404,MATCH($K174,其他调用!$X$5:$X$404,0),0)</f>
        <v>40319.927224386018</v>
      </c>
      <c r="AD174" s="12">
        <f>MIN(INDEX(其他调用!$AJ$5:$AJ$364,MATCH($K174,其他调用!$AG$5:$AG$364,0),1)/INDEX(其他调用!AJ$5:AJ$364,MATCH($K174,其他调用!$AG$5:$AG$364,0),0),1)*INDEX(其他调用!AA$5:AA$404,MATCH($K174,其他调用!$X$5:$X$404,0),0)</f>
        <v>41830.994723898017</v>
      </c>
      <c r="AE174" s="12">
        <f>MIN(INDEX(其他调用!$AJ$5:$AJ$364,MATCH($K174,其他调用!$AG$5:$AG$364,0),1)/INDEX(其他调用!AK$5:AK$364,MATCH($K174,其他调用!$AG$5:$AG$364,0),0),1)*INDEX(其他调用!AB$5:AB$404,MATCH($K174,其他调用!$X$5:$X$404,0),0)</f>
        <v>15322.919530603995</v>
      </c>
      <c r="AF174" s="12">
        <f>MIN(INDEX(其他调用!$AJ$5:$AJ$364,MATCH($K174,其他调用!$AG$5:$AG$364,0),1)/INDEX(其他调用!AL$5:AL$364,MATCH($K174,其他调用!$AG$5:$AG$364,0),0),1)*INDEX(其他调用!AC$5:AC$404,MATCH($K174,其他调用!$X$5:$X$404,0),0)</f>
        <v>6031.4635635813702</v>
      </c>
      <c r="AG174" s="12">
        <f>求节点(节奏总纲!D$4:D$163,标准城池设计!AE$4:AE$163,$K174)*求节点(节奏总纲!D$4:D$163,攻城基础信息!$AF$5:$AF$164,$K174)</f>
        <v>814756.36537947448</v>
      </c>
      <c r="AH174" s="12">
        <f>INDEX(其他调用!$AA$5:$AA$404,MATCH($K174,其他调用!$X$5:$X$404,0))*MIN(INDEX(其他调用!AK$5:AK$364,MATCH($K174,其他调用!$AG$5:$AG$364,0),1)/INDEX(其他调用!$AJ$5:$AJ$364,MATCH($K174,其他调用!$AG$5:$AG$364,0),0),5)*求节点(节奏总纲!D$4:D$163,攻城基础信息!$AF$5:$AF$164,$K174)</f>
        <v>396975.3243912342</v>
      </c>
      <c r="AI174" s="12">
        <f>MIN(INDEX(其他调用!$AK$5:$AK$364,MATCH($K174,其他调用!$AG$5:$AG$364,0),1)/INDEX(其他调用!AH$5:AH$364,MATCH($K174,其他调用!$AG$5:$AG$364,0),0),1)*INDEX(其他调用!Y$5:Y$404,MATCH($K174,其他调用!$X$5:$X$404,0),0)</f>
        <v>39160.965188612514</v>
      </c>
      <c r="AJ174" s="12">
        <f>MIN(INDEX(其他调用!$AK$5:$AK$364,MATCH($K174,其他调用!$AG$5:$AG$364,0),1)/INDEX(其他调用!AI$5:AI$364,MATCH($K174,其他调用!$AG$5:$AG$364,0),0),1)*INDEX(其他调用!Z$5:Z$404,MATCH($K174,其他调用!$X$5:$X$404,0),0)</f>
        <v>40319.927224386018</v>
      </c>
      <c r="AK174" s="12">
        <f>MIN(INDEX(其他调用!$AK$5:$AK$364,MATCH($K174,其他调用!$AG$5:$AG$364,0),1)/INDEX(其他调用!AJ$5:AJ$364,MATCH($K174,其他调用!$AG$5:$AG$364,0),0),1)*INDEX(其他调用!AA$5:AA$404,MATCH($K174,其他调用!$X$5:$X$404,0),0)</f>
        <v>41830.994723898017</v>
      </c>
      <c r="AL174" s="12">
        <f>MIN(INDEX(其他调用!$AK$5:$AK$364,MATCH($K174,其他调用!$AG$5:$AG$364,0),1)/INDEX(其他调用!AK$5:AK$364,MATCH($K174,其他调用!$AG$5:$AG$364,0),0),1)*INDEX(其他调用!AB$5:AB$404,MATCH($K174,其他调用!$X$5:$X$404,0),0)</f>
        <v>44024.449761046242</v>
      </c>
      <c r="AM174" s="12">
        <f>MIN(INDEX(其他调用!$AK$5:$AK$364,MATCH($K174,其他调用!$AG$5:$AG$364,0),1)/INDEX(其他调用!AL$5:AL$364,MATCH($K174,其他调用!$AG$5:$AG$364,0),0),1)*INDEX(其他调用!AC$5:AC$404,MATCH($K174,其他调用!$X$5:$X$404,0),0)</f>
        <v>17329.06474579667</v>
      </c>
      <c r="AN174" s="12">
        <f>求节点(节奏总纲!D$4:D$163,标准城池设计!AF$4:AF$163,$K174)*求节点(节奏总纲!D$4:D$163,攻城基础信息!$AG$5:$AG$164,$K174)</f>
        <v>832442.51433245908</v>
      </c>
      <c r="AO174" s="12">
        <f>INDEX(其他调用!$AA$5:$AA$404,MATCH($K174,其他调用!$X$5:$X$404,0))*MIN(INDEX(其他调用!AL$5:AL$364,MATCH($K174,其他调用!$AG$5:$AG$364,0),1)/INDEX(其他调用!$AJ$5:$AJ$364,MATCH($K174,其他调用!$AG$5:$AG$364,0),0),5)*求节点(节奏总纲!D$4:D$163,攻城基础信息!$AG$5:$AG$164,$K174)</f>
        <v>690845.76687480905</v>
      </c>
      <c r="AP174" s="12">
        <f>MIN(INDEX(其他调用!$AL$5:$AL$364,MATCH($K174,其他调用!$AG$5:$AG$364,0),1)/INDEX(其他调用!AH$5:AH$364,MATCH($K174,其他调用!$AG$5:$AG$364,0),0),1)*INDEX(其他调用!Y$5:Y$404,MATCH($K174,其他调用!$X$5:$X$404,0),0)</f>
        <v>39160.965188612514</v>
      </c>
      <c r="AQ174" s="12">
        <f>MIN(INDEX(其他调用!$AL$5:$AL$364,MATCH($K174,其他调用!$AG$5:$AG$364,0),1)/INDEX(其他调用!AI$5:AI$364,MATCH($K174,其他调用!$AG$5:$AG$364,0),0),1)*INDEX(其他调用!Z$5:Z$404,MATCH($K174,其他调用!$X$5:$X$404,0),0)</f>
        <v>40319.927224386018</v>
      </c>
      <c r="AR174" s="12">
        <f>MIN(INDEX(其他调用!$AL$5:$AL$364,MATCH($K174,其他调用!$AG$5:$AG$364,0),1)/INDEX(其他调用!AJ$5:AJ$364,MATCH($K174,其他调用!$AG$5:$AG$364,0),0),1)*INDEX(其他调用!AA$5:AA$404,MATCH($K174,其他调用!$X$5:$X$404,0),0)</f>
        <v>41830.994723898017</v>
      </c>
      <c r="AS174" s="12">
        <f>MIN(INDEX(其他调用!$AL$5:$AL$364,MATCH($K174,其他调用!$AG$5:$AG$364,0),1)/INDEX(其他调用!AK$5:AK$364,MATCH($K174,其他调用!$AG$5:$AG$364,0),0),1)*INDEX(其他调用!AB$5:AB$404,MATCH($K174,其他调用!$X$5:$X$404,0),0)</f>
        <v>44024.449761046242</v>
      </c>
      <c r="AT174" s="12">
        <f>MIN(INDEX(其他调用!$AL$5:$AL$364,MATCH($K174,其他调用!$AG$5:$AG$364,0),1)/INDEX(其他调用!AL$5:AL$364,MATCH($K174,其他调用!$AG$5:$AG$364,0),0),1)*INDEX(其他调用!AC$5:AC$404,MATCH($K174,其他调用!$X$5:$X$404,0),0)</f>
        <v>47970.99463009258</v>
      </c>
      <c r="AV174" s="14">
        <f>IF(OR(AV$5="大R",AV$5="超R"),MAX(INDEX(其他调用!$H$5:$L$404,MATCH($K174,其他调用!$B$5:$B$404,0),MATCH(AV$5,其他调用!$H$4:$L$4,0))*120*0.85,2),INDEX(其他调用!$H$5:$L$404,MATCH($K174,其他调用!$B$5:$B$404,0),MATCH(AV$5,其他调用!$H$4:$L$4,0))*120*0.85)</f>
        <v>48.921801254999991</v>
      </c>
      <c r="AW174" s="14">
        <f>IF(OR(AW$5="大R",AW$5="超R"),MAX(INDEX(其他调用!$H$5:$L$404,MATCH($K174,其他调用!$B$5:$B$404,0),MATCH(AW$5,其他调用!$H$4:$L$4,0))*120*0.85,2),INDEX(其他调用!$H$5:$L$404,MATCH($K174,其他调用!$B$5:$B$404,0),MATCH(AW$5,其他调用!$H$4:$L$4,0))*120*0.85)</f>
        <v>48.237344010638395</v>
      </c>
      <c r="AX174" s="14">
        <f>IF(OR(AX$5="大R",AX$5="超R"),MAX(INDEX(其他调用!$H$5:$L$404,MATCH($K174,其他调用!$B$5:$B$404,0),MATCH(AX$5,其他调用!$H$4:$L$4,0))*120*0.85,2),INDEX(其他调用!$H$5:$L$404,MATCH($K174,其他调用!$B$5:$B$404,0),MATCH(AX$5,其他调用!$H$4:$L$4,0))*120*0.85)</f>
        <v>3.9376284143615998</v>
      </c>
      <c r="AY174" s="14">
        <f>IF(OR(AY$5="大R",AY$5="超R"),MAX(INDEX(其他调用!$H$5:$L$404,MATCH($K174,其他调用!$B$5:$B$404,0),MATCH(AY$5,其他调用!$H$4:$L$4,0))*120*0.85,2),INDEX(其他调用!$H$5:$L$404,MATCH($K174,其他调用!$B$5:$B$404,0),MATCH(AY$5,其他调用!$H$4:$L$4,0))*120*0.85)</f>
        <v>2</v>
      </c>
      <c r="AZ174" s="14">
        <f>IF(OR(AZ$5="大R",AZ$5="超R"),MAX(INDEX(其他调用!$H$5:$L$404,MATCH($K174,其他调用!$B$5:$B$404,0),MATCH(AZ$5,其他调用!$H$4:$L$4,0))*120*0.85,2),INDEX(其他调用!$H$5:$L$404,MATCH($K174,其他调用!$B$5:$B$404,0),MATCH(AZ$5,其他调用!$H$4:$L$4,0))*120*0.85)</f>
        <v>2</v>
      </c>
      <c r="BA174" s="14">
        <f>INDEX(其他调用!$H$5:$L$404,MATCH($K174,其他调用!$B$5:$B$404,0),MATCH(BA$5,其他调用!$H$4:$L$4,0))*INDEX(其他调用!$M$5:$M$404,MATCH($K174,其他调用!$B$5:$B$404,0))*0.6</f>
        <v>28.777530149999997</v>
      </c>
      <c r="BB174" s="14">
        <f>INDEX(其他调用!$H$5:$L$404,MATCH($K174,其他调用!$B$5:$B$404,0),MATCH(BB$5,其他调用!$H$4:$L$4,0))*INDEX(其他调用!$M$5:$M$404,MATCH($K174,其他调用!$B$5:$B$404,0))*0.6</f>
        <v>28.374908241551999</v>
      </c>
      <c r="BC174" s="14">
        <f>INDEX(其他调用!$H$5:$L$404,MATCH($K174,其他调用!$B$5:$B$404,0),MATCH(BC$5,其他调用!$H$4:$L$4,0))*INDEX(其他调用!$M$5:$M$404,MATCH($K174,其他调用!$B$5:$B$404,0))*0.6</f>
        <v>2.3162520084480001</v>
      </c>
      <c r="BD174" s="14">
        <f>INDEX(其他调用!$H$5:$L$404,MATCH($K174,其他调用!$B$5:$B$404,0),MATCH(BD$5,其他调用!$H$4:$L$4,0))*INDEX(其他调用!$M$5:$M$404,MATCH($K174,其他调用!$B$5:$B$404,0))*0.6</f>
        <v>0.4120776000000001</v>
      </c>
      <c r="BE174" s="14">
        <f>INDEX(其他调用!$H$5:$L$404,MATCH($K174,其他调用!$B$5:$B$404,0),MATCH(BE$5,其他调用!$H$4:$L$4,0))*INDEX(其他调用!$M$5:$M$404,MATCH($K174,其他调用!$B$5:$B$404,0))*0.6</f>
        <v>0.11923199999999998</v>
      </c>
      <c r="BF174" s="14">
        <f>IF(OR(BF$5="大R",BF$5="超R"),0,INDEX(其他调用!$H$5:$L$404,MATCH($K174,其他调用!$B$5:$B$404,0),MATCH(BF$5,其他调用!$H$4:$L$4,0))*50*0.4)</f>
        <v>9.5925100500000013</v>
      </c>
      <c r="BG174" s="14">
        <f>IF(OR(BG$5="大R",BG$5="超R"),0,INDEX(其他调用!$H$5:$L$404,MATCH($K174,其他调用!$B$5:$B$404,0),MATCH(BG$5,其他调用!$H$4:$L$4,0))*50*0.4)</f>
        <v>9.4583027471839998</v>
      </c>
      <c r="BH174" s="14">
        <f>IF(OR(BH$5="大R",BH$5="超R"),0,INDEX(其他调用!$H$5:$L$404,MATCH($K174,其他调用!$B$5:$B$404,0),MATCH(BH$5,其他调用!$H$4:$L$4,0))*50*0.4)</f>
        <v>0.77208400281600009</v>
      </c>
      <c r="BI174" s="14">
        <f>IF(OR(BI$5="大R",BI$5="超R"),0,INDEX(其他调用!$H$5:$L$404,MATCH($K174,其他调用!$B$5:$B$404,0),MATCH(BI$5,其他调用!$H$4:$L$4,0))*50*0.4)</f>
        <v>0</v>
      </c>
      <c r="BJ174" s="14">
        <f>IF(OR(BJ$5="大R",BJ$5="超R"),0,INDEX(其他调用!$H$5:$L$404,MATCH($K174,其他调用!$B$5:$B$404,0),MATCH(BJ$5,其他调用!$H$4:$L$4,0))*50*0.4)</f>
        <v>0</v>
      </c>
      <c r="BL174" s="14">
        <f t="shared" si="313"/>
        <v>169</v>
      </c>
      <c r="BM174" s="14">
        <f t="shared" si="220"/>
        <v>96</v>
      </c>
      <c r="BN174" s="14">
        <f>('疲劳值&amp;地图信息'!$S$10*'疲劳值&amp;地图信息'!$R$10+'疲劳值&amp;地图信息'!$S$11*'疲劳值&amp;地图信息'!$R$11+'疲劳值&amp;地图信息'!$S$12*'疲劳值&amp;地图信息'!$R$12+(BM174-'疲劳值&amp;地图信息'!$S$12-'疲劳值&amp;地图信息'!$S$11-'疲劳值&amp;地图信息'!$S$10)*'疲劳值&amp;地图信息'!$R$13)/BM174</f>
        <v>51.371477246638619</v>
      </c>
      <c r="BO174" s="14">
        <f>INDEX(其他调用!$M$5:$M$404,MATCH(BL174,其他调用!$B$5:$B$404,0))*0.6</f>
        <v>60</v>
      </c>
      <c r="BP174" s="14">
        <f>IF(BO174&gt;SUM('疲劳值&amp;地图信息'!$S$10:$S$12),('疲劳值&amp;地图信息'!$S$10*'疲劳值&amp;地图信息'!$R$10+'疲劳值&amp;地图信息'!$S$11*'疲劳值&amp;地图信息'!$R$11+'疲劳值&amp;地图信息'!$S$12*'疲劳值&amp;地图信息'!$R$12+(BO174-'疲劳值&amp;地图信息'!$S$12-'疲劳值&amp;地图信息'!$S$11-'疲劳值&amp;地图信息'!$S$10)*'疲劳值&amp;地图信息'!$R$13)/BO174,('疲劳值&amp;地图信息'!$S$10*'疲劳值&amp;地图信息'!$R$10+'疲劳值&amp;地图信息'!$S$11*'疲劳值&amp;地图信息'!$R$11+'疲劳值&amp;地图信息'!$S$12*'疲劳值&amp;地图信息'!$R$12+(BO174-'疲劳值&amp;地图信息'!$S$12-'疲劳值&amp;地图信息'!$S$11-'疲劳值&amp;地图信息'!$S$10)*'疲劳值&amp;地图信息'!$R$13)/BO174)</f>
        <v>44.158136341605953</v>
      </c>
      <c r="BQ174" s="14">
        <f t="shared" si="314"/>
        <v>20</v>
      </c>
      <c r="BR174" s="14">
        <f>('疲劳值&amp;地图信息'!$S$10*'疲劳值&amp;地图信息'!$R$10+($BQ174-'疲劳值&amp;地图信息'!$S$10)*'疲劳值&amp;地图信息'!$R$11)/$BQ174</f>
        <v>32.067203015074995</v>
      </c>
      <c r="CF174" s="14">
        <v>169</v>
      </c>
      <c r="CG174" s="51">
        <f t="shared" si="221"/>
        <v>12379</v>
      </c>
      <c r="CH174" s="51">
        <f t="shared" si="222"/>
        <v>984</v>
      </c>
      <c r="CI174" s="51">
        <f>INT(SUMPRODUCT($N174:$R174,$BA174:$BE174)/SUM($BA174:$BE174)/10000*$BX$7*$BZ$34/'疲劳值&amp;地图信息'!$R$10*$BY$53)</f>
        <v>3144</v>
      </c>
      <c r="CJ174" s="50">
        <f t="shared" si="223"/>
        <v>0.74992427455019084</v>
      </c>
      <c r="CK174" s="50">
        <f t="shared" si="224"/>
        <v>5.9611074089780093E-2</v>
      </c>
      <c r="CL174" s="50">
        <f t="shared" si="225"/>
        <v>0.19046465136002907</v>
      </c>
      <c r="CM174" s="14">
        <f t="shared" si="226"/>
        <v>13226</v>
      </c>
      <c r="CN174" s="14">
        <f t="shared" si="227"/>
        <v>1618</v>
      </c>
      <c r="CO174" s="14">
        <f>INT(SUMPRODUCT($U174:$Y174,$BA174:$BE174)/SUM($BA174:$BE174)/10000*$BX$7*$BZ$34/'疲劳值&amp;地图信息'!$R$10*$BY$54)</f>
        <v>5912</v>
      </c>
      <c r="CP174" s="50">
        <f t="shared" si="228"/>
        <v>0.63721333590287144</v>
      </c>
      <c r="CQ174" s="50">
        <f t="shared" si="229"/>
        <v>7.7953362883021779E-2</v>
      </c>
      <c r="CR174" s="50">
        <f t="shared" si="230"/>
        <v>0.28483330121410677</v>
      </c>
      <c r="CS174" s="14">
        <f t="shared" si="231"/>
        <v>14048</v>
      </c>
      <c r="CT174" s="14">
        <f t="shared" si="232"/>
        <v>2816</v>
      </c>
      <c r="CU174" s="14">
        <f>INT(SUMPRODUCT($AB174:$AF174,$BA174:$BE174)/SUM($BA174:$BE174)/10000*$BX$7*$BZ$34/'疲劳值&amp;地图信息'!$R$10*$BY$55)</f>
        <v>8032</v>
      </c>
      <c r="CV174" s="50">
        <f t="shared" si="233"/>
        <v>0.56426735218508994</v>
      </c>
      <c r="CW174" s="50">
        <f t="shared" si="234"/>
        <v>0.11311053984575835</v>
      </c>
      <c r="CX174" s="50">
        <f t="shared" si="235"/>
        <v>0.32262210796915169</v>
      </c>
      <c r="CY174" s="14">
        <f t="shared" si="236"/>
        <v>16605</v>
      </c>
      <c r="CZ174" s="14">
        <f t="shared" si="237"/>
        <v>8090</v>
      </c>
      <c r="DA174" s="14">
        <f>INT(SUMPRODUCT($AI174:$AM174,$BA174:$BE174)/SUM($BA174:$BE174)/10000*$BX$7*$BZ$34/'疲劳值&amp;地图信息'!$R$10*$BY$56)</f>
        <v>12115</v>
      </c>
      <c r="DB174" s="50">
        <f t="shared" si="238"/>
        <v>0.4511002444987775</v>
      </c>
      <c r="DC174" s="50">
        <f t="shared" si="239"/>
        <v>0.2197772344471611</v>
      </c>
      <c r="DD174" s="50">
        <f t="shared" si="240"/>
        <v>0.32912252105406142</v>
      </c>
      <c r="DE174" s="14">
        <f t="shared" si="241"/>
        <v>16966</v>
      </c>
      <c r="DF174" s="14">
        <f t="shared" si="242"/>
        <v>14080</v>
      </c>
      <c r="DG174" s="14">
        <f>INT(SUMPRODUCT($AP174:$AT174,$BA174:$BE174)/SUM($BA174:$BE174)/10000*$BX$7*$BZ$34/'疲劳值&amp;地图信息'!$R$10*$BY$57)</f>
        <v>16179</v>
      </c>
      <c r="DH174" s="50">
        <f t="shared" si="243"/>
        <v>0.35925886712546323</v>
      </c>
      <c r="DI174" s="50">
        <f t="shared" si="244"/>
        <v>0.29814716781365802</v>
      </c>
      <c r="DJ174" s="50">
        <f t="shared" si="245"/>
        <v>0.34259396506087875</v>
      </c>
      <c r="DL174" s="14">
        <f t="shared" si="316"/>
        <v>16507</v>
      </c>
      <c r="DM174" s="14">
        <f t="shared" si="317"/>
        <v>20756</v>
      </c>
      <c r="DN174" s="14">
        <f t="shared" si="318"/>
        <v>24896</v>
      </c>
      <c r="DO174" s="14">
        <f t="shared" si="319"/>
        <v>36810</v>
      </c>
      <c r="DP174" s="14">
        <f t="shared" si="320"/>
        <v>47225</v>
      </c>
      <c r="DQ174" s="14">
        <f t="shared" si="321"/>
        <v>1142445</v>
      </c>
      <c r="DT174" s="14">
        <f t="shared" si="315"/>
        <v>235575</v>
      </c>
      <c r="DU174" s="50">
        <f t="shared" si="217"/>
        <v>0.17095180040928287</v>
      </c>
      <c r="DW174" s="14">
        <f t="shared" si="246"/>
        <v>1378020</v>
      </c>
      <c r="EB174" s="14">
        <v>169</v>
      </c>
      <c r="EC174" s="51">
        <f t="shared" si="247"/>
        <v>20633</v>
      </c>
      <c r="ED174" s="51">
        <f t="shared" si="248"/>
        <v>1641</v>
      </c>
      <c r="EE174" s="51">
        <f>INT(SUMPRODUCT($N174:$R174,$BF174:$BJ174)/SUM($BF174:$BJ174)/10000*$BX$7*$BZ$46/'疲劳值&amp;地图信息'!$R$10*$BY$53)</f>
        <v>422</v>
      </c>
      <c r="EF174" s="50">
        <f t="shared" si="249"/>
        <v>0.90910292562566086</v>
      </c>
      <c r="EG174" s="50">
        <f t="shared" si="250"/>
        <v>7.2303489601691931E-2</v>
      </c>
      <c r="EH174" s="50">
        <f t="shared" si="251"/>
        <v>1.8593584772647161E-2</v>
      </c>
      <c r="EI174" s="51">
        <f t="shared" si="252"/>
        <v>22044</v>
      </c>
      <c r="EJ174" s="51">
        <f t="shared" si="253"/>
        <v>2697</v>
      </c>
      <c r="EK174" s="14">
        <f>INT(SUMPRODUCT($U174:$Y174,$BF174:$BJ174)/SUM($BF174:$BJ174)/10000*$BX$7*$BZ$46/'疲劳值&amp;地图信息'!$R$10*$BY$54)</f>
        <v>793</v>
      </c>
      <c r="EL174" s="50">
        <f t="shared" si="254"/>
        <v>0.86331949557452803</v>
      </c>
      <c r="EM174" s="50">
        <f t="shared" si="255"/>
        <v>0.10562387405028589</v>
      </c>
      <c r="EN174" s="50">
        <f t="shared" si="256"/>
        <v>3.1056630375186026E-2</v>
      </c>
      <c r="EO174" s="51">
        <f t="shared" si="257"/>
        <v>23413</v>
      </c>
      <c r="EP174" s="51">
        <f t="shared" si="258"/>
        <v>4693</v>
      </c>
      <c r="EQ174" s="14">
        <f>INT(SUMPRODUCT($AB174:$AF174,$BF174:$BJ174)/SUM($BF174:$BJ174)/10000*$BX$7*$BZ$46/'疲劳值&amp;地图信息'!$R$10*$BY$55)</f>
        <v>1077</v>
      </c>
      <c r="ER174" s="50">
        <f t="shared" si="259"/>
        <v>0.80228215056711094</v>
      </c>
      <c r="ES174" s="50">
        <f t="shared" si="260"/>
        <v>0.16081280197375183</v>
      </c>
      <c r="ET174" s="50">
        <f t="shared" si="261"/>
        <v>3.6905047459137169E-2</v>
      </c>
      <c r="EU174" s="51">
        <f t="shared" si="262"/>
        <v>27676</v>
      </c>
      <c r="EV174" s="51">
        <f t="shared" si="263"/>
        <v>13484</v>
      </c>
      <c r="EW174" s="14">
        <f>INT(SUMPRODUCT($AI174:$AM174,$BF174:$BJ174)/SUM($BF174:$BJ174)/10000*$BX$7*$BZ$46/'疲劳值&amp;地图信息'!$R$10*$BY$56)</f>
        <v>1616</v>
      </c>
      <c r="EX174" s="50">
        <f t="shared" si="264"/>
        <v>0.64699831681316622</v>
      </c>
      <c r="EY174" s="50">
        <f t="shared" si="265"/>
        <v>0.31522348980736864</v>
      </c>
      <c r="EZ174" s="50">
        <f t="shared" si="266"/>
        <v>3.7778193379465121E-2</v>
      </c>
      <c r="FA174" s="51">
        <f t="shared" si="267"/>
        <v>28277</v>
      </c>
      <c r="FB174" s="51">
        <f t="shared" si="268"/>
        <v>23467</v>
      </c>
      <c r="FC174" s="14">
        <f>INT(SUMPRODUCT($AP174:$AT174,$BF174:$BJ174)/SUM($BF174:$BJ174)/10000*$BX$7*$BZ$46/'疲劳值&amp;地图信息'!$R$10*$BY$57)</f>
        <v>2154</v>
      </c>
      <c r="FD174" s="50">
        <f t="shared" si="269"/>
        <v>0.52463913317748334</v>
      </c>
      <c r="FE174" s="50">
        <f t="shared" si="270"/>
        <v>0.4353964896656648</v>
      </c>
      <c r="FF174" s="50">
        <f t="shared" si="271"/>
        <v>3.9964377156851832E-2</v>
      </c>
      <c r="FH174" s="14">
        <f t="shared" si="272"/>
        <v>22696</v>
      </c>
      <c r="FI174" s="14">
        <f t="shared" si="273"/>
        <v>25534</v>
      </c>
      <c r="FJ174" s="14">
        <f t="shared" si="274"/>
        <v>29183</v>
      </c>
      <c r="FK174" s="14">
        <f t="shared" si="275"/>
        <v>42776</v>
      </c>
      <c r="FL174" s="14">
        <f t="shared" si="276"/>
        <v>53898</v>
      </c>
      <c r="FM174" s="14">
        <f t="shared" si="277"/>
        <v>2650281</v>
      </c>
      <c r="FP174" s="14">
        <f t="shared" si="278"/>
        <v>334150</v>
      </c>
      <c r="FQ174" s="50">
        <f t="shared" si="218"/>
        <v>0.11196439120220907</v>
      </c>
      <c r="FS174" s="14">
        <f t="shared" si="279"/>
        <v>2984431</v>
      </c>
      <c r="FX174" s="14">
        <v>169</v>
      </c>
      <c r="FY174" s="51">
        <f t="shared" si="280"/>
        <v>28886</v>
      </c>
      <c r="FZ174" s="51">
        <f t="shared" si="281"/>
        <v>1641</v>
      </c>
      <c r="GA174" s="51">
        <f>INT(SUMPRODUCT($N174:$R174,$BF174:$BJ174)/SUM($BF174:$BJ174)/10000*$BX$7*$BZ$46/'疲劳值&amp;地图信息'!$R$10*$BY$53)</f>
        <v>422</v>
      </c>
      <c r="GB174" s="50">
        <f t="shared" si="282"/>
        <v>0.93334194965911665</v>
      </c>
      <c r="GC174" s="50">
        <f t="shared" si="283"/>
        <v>5.3022714788846168E-2</v>
      </c>
      <c r="GD174" s="50">
        <f t="shared" si="284"/>
        <v>1.3635335552037223E-2</v>
      </c>
      <c r="GE174" s="51">
        <f t="shared" si="285"/>
        <v>30862</v>
      </c>
      <c r="GF174" s="51">
        <f t="shared" si="286"/>
        <v>2697</v>
      </c>
      <c r="GG174" s="14">
        <f>INT(SUMPRODUCT($U174:$Y174,$BF174:$BJ174)/SUM($BF174:$BJ174)/10000*$BX$7*$BZ$46/'疲劳值&amp;地图信息'!$R$10*$BY$54)</f>
        <v>793</v>
      </c>
      <c r="GH174" s="50">
        <f t="shared" si="287"/>
        <v>0.89840475081509086</v>
      </c>
      <c r="GI174" s="50">
        <f t="shared" si="288"/>
        <v>7.8510712622263626E-2</v>
      </c>
      <c r="GJ174" s="50">
        <f t="shared" si="289"/>
        <v>2.3084536562645551E-2</v>
      </c>
      <c r="GK174" s="51">
        <f t="shared" si="290"/>
        <v>32779</v>
      </c>
      <c r="GL174" s="51">
        <f t="shared" si="291"/>
        <v>4693</v>
      </c>
      <c r="GM174" s="14">
        <f>INT(SUMPRODUCT($AB174:$AF174,$BF174:$BJ174)/SUM($BF174:$BJ174)/10000*$BX$7*$BZ$46/'疲劳值&amp;地图信息'!$R$10*$BY$55)</f>
        <v>1077</v>
      </c>
      <c r="GN174" s="50">
        <f t="shared" si="292"/>
        <v>0.85032037147526529</v>
      </c>
      <c r="GO174" s="50">
        <f t="shared" si="293"/>
        <v>0.12174116060079379</v>
      </c>
      <c r="GP174" s="50">
        <f t="shared" si="294"/>
        <v>2.7938467923940957E-2</v>
      </c>
      <c r="GQ174" s="51">
        <f t="shared" si="295"/>
        <v>38746</v>
      </c>
      <c r="GR174" s="51">
        <f t="shared" si="296"/>
        <v>13484</v>
      </c>
      <c r="GS174" s="14">
        <f>INT(SUMPRODUCT($AI174:$AM174,$BF174:$BJ174)/SUM($BF174:$BJ174)/10000*$BX$7*$BZ$46/'疲劳值&amp;地图信息'!$R$10*$BY$56)</f>
        <v>1616</v>
      </c>
      <c r="GT174" s="50">
        <f t="shared" si="297"/>
        <v>0.7195706273446496</v>
      </c>
      <c r="GU174" s="50">
        <f t="shared" si="298"/>
        <v>0.25041785833673813</v>
      </c>
      <c r="GV174" s="50">
        <f t="shared" si="299"/>
        <v>3.0011514318612337E-2</v>
      </c>
      <c r="GW174" s="51">
        <f t="shared" si="300"/>
        <v>39587</v>
      </c>
      <c r="GX174" s="51">
        <f t="shared" si="301"/>
        <v>23467</v>
      </c>
      <c r="GY174" s="14">
        <f>INT(SUMPRODUCT($AP174:$AT174,$BF174:$BJ174)/SUM($BF174:$BJ174)/10000*$BX$7*$BZ$46/'疲劳值&amp;地图信息'!$R$10*$BY$57)</f>
        <v>2154</v>
      </c>
      <c r="GZ174" s="50">
        <f t="shared" si="302"/>
        <v>0.6070880873512452</v>
      </c>
      <c r="HA174" s="50">
        <f t="shared" si="303"/>
        <v>0.35987915593178749</v>
      </c>
      <c r="HB174" s="50">
        <f t="shared" si="304"/>
        <v>3.3032756716967246E-2</v>
      </c>
      <c r="HD174" s="14">
        <f t="shared" si="305"/>
        <v>30949</v>
      </c>
      <c r="HE174" s="14">
        <f t="shared" si="306"/>
        <v>34352</v>
      </c>
      <c r="HF174" s="14">
        <f t="shared" si="307"/>
        <v>38549</v>
      </c>
      <c r="HG174" s="14">
        <f t="shared" si="308"/>
        <v>53846</v>
      </c>
      <c r="HH174" s="14">
        <f t="shared" si="309"/>
        <v>65208</v>
      </c>
      <c r="HI174" s="14">
        <f t="shared" si="310"/>
        <v>3561029</v>
      </c>
      <c r="HL174" s="14">
        <f t="shared" si="311"/>
        <v>430050</v>
      </c>
      <c r="HM174" s="50">
        <f t="shared" si="219"/>
        <v>0.10775281571725341</v>
      </c>
      <c r="HO174" s="14">
        <f t="shared" si="312"/>
        <v>3991079</v>
      </c>
    </row>
    <row r="175" spans="11:223" x14ac:dyDescent="0.2">
      <c r="K175" s="14">
        <v>170</v>
      </c>
      <c r="L175" s="12">
        <f>求节点(节奏总纲!D$4:D$163,标准城池设计!AB$4:AB$163,$K175)*求节点(节奏总纲!D$4:D$163,攻城基础信息!$AC$5:$AC$164,$K175)</f>
        <v>609186.8713416825</v>
      </c>
      <c r="M175" s="12">
        <f>INDEX(其他调用!$AA$5:$AA$404,MATCH(K175,其他调用!$X$5:$X$404,0))*MIN(INDEX(其他调用!$AH$5:$AH$364,MATCH('征服点（新）'!K175,其他调用!$AG$5:$AG$364,0),1)/INDEX(其他调用!$AJ$5:$AJ$364,MATCH(K175,其他调用!$AG$5:$AG$364,0),0),5)*求节点(节奏总纲!D$4:D$163,攻城基础信息!$AC$5:$AC$164,$K175)</f>
        <v>48411.784635475946</v>
      </c>
      <c r="N175" s="12">
        <f>MIN(INDEX(其他调用!$AH$5:$AH$364,MATCH($K175,其他调用!$AG$5:$AG$364,0),1)/INDEX(其他调用!AH$5:AH$364,MATCH($K175,其他调用!$AG$5:$AG$364,0),0),1)*INDEX(其他调用!Y$5:Y$404,MATCH($K175,其他调用!$X$5:$X$404,0),0)</f>
        <v>39195.00001010987</v>
      </c>
      <c r="O175" s="12">
        <f>MIN(INDEX(其他调用!$AH$5:$AH$364,MATCH($K175,其他调用!$AG$5:$AG$364,0),1)/INDEX(其他调用!AI$5:AI$364,MATCH($K175,其他调用!$AG$5:$AG$364,0),0),1)*INDEX(其他调用!Z$5:Z$404,MATCH($K175,其他调用!$X$5:$X$404,0),0)</f>
        <v>24553.735040137319</v>
      </c>
      <c r="P175" s="12">
        <f>MIN(INDEX(其他调用!$AH$5:$AH$364,MATCH($K175,其他调用!$AG$5:$AG$364,0),1)/INDEX(其他调用!AJ$5:AJ$364,MATCH($K175,其他调用!$AG$5:$AG$364,0),0),1)*INDEX(其他调用!AA$5:AA$404,MATCH($K175,其他调用!$X$5:$X$404,0),0)</f>
        <v>14644.575655725839</v>
      </c>
      <c r="Q175" s="12">
        <f>MIN(INDEX(其他调用!$AH$5:$AH$364,MATCH($K175,其他调用!$AG$5:$AG$364,0),1)/INDEX(其他调用!AK$5:AK$364,MATCH($K175,其他调用!$AG$5:$AG$364,0),0),1)*INDEX(其他调用!AB$5:AB$404,MATCH($K175,其他调用!$X$5:$X$404,0),0)</f>
        <v>5359.3658801060592</v>
      </c>
      <c r="R175" s="12">
        <f>MIN(INDEX(其他调用!$AH$5:$AH$364,MATCH($K175,其他调用!$AG$5:$AG$364,0),1)/INDEX(其他调用!AL$5:AL$364,MATCH($K175,其他调用!$AG$5:$AG$364,0),0),1)*INDEX(其他调用!AC$5:AC$404,MATCH($K175,其他调用!$X$5:$X$404,0),0)</f>
        <v>2118.58046832844</v>
      </c>
      <c r="S175" s="12">
        <f>求节点(节奏总纲!D$4:D$163,标准城池设计!AC$4:AC$163,$K175)*求节点(节奏总纲!D$4:D$163,攻城基础信息!$AD$5:$AD$164,$K175)</f>
        <v>650632.2926354052</v>
      </c>
      <c r="T175" s="12">
        <f>INDEX(其他调用!$AA$5:$AA$404,MATCH($K175,其他调用!$X$5:$X$404,0))*MIN(INDEX(其他调用!AI$5:AI$364,MATCH($K175,其他调用!$AG$5:$AG$364,0),1)/INDEX(其他调用!$AJ$5:$AJ$364,MATCH($K175,其他调用!$AG$5:$AG$364,0),0),5)*求节点(节奏总纲!D$4:D$163,攻城基础信息!$AD$5:$AD$164,$K175)</f>
        <v>79561.362642797292</v>
      </c>
      <c r="U175" s="12">
        <f>MIN(INDEX(其他调用!$AI$5:$AI$364,MATCH($K175,其他调用!$AG$5:$AG$364,0),1)/INDEX(其他调用!AH$5:AH$364,MATCH($K175,其他调用!$AG$5:$AG$364,0),0),1)*INDEX(其他调用!Y$5:Y$404,MATCH($K175,其他调用!$X$5:$X$404,0),0)</f>
        <v>39195.00001010987</v>
      </c>
      <c r="V175" s="12">
        <f>MIN(INDEX(其他调用!$AI$5:$AI$364,MATCH($K175,其他调用!$AG$5:$AG$364,0),1)/INDEX(其他调用!AI$5:AI$364,MATCH($K175,其他调用!$AG$5:$AG$364,0),0),1)*INDEX(其他调用!Z$5:Z$404,MATCH($K175,其他调用!$X$5:$X$404,0),0)</f>
        <v>40352.336367537806</v>
      </c>
      <c r="W175" s="12">
        <f>MIN(INDEX(其他调用!$AI$5:$AI$364,MATCH($K175,其他调用!$AG$5:$AG$364,0),1)/INDEX(其他调用!AJ$5:AJ$364,MATCH($K175,其他调用!$AG$5:$AG$364,0),0),1)*INDEX(其他调用!AA$5:AA$404,MATCH($K175,其他调用!$X$5:$X$404,0),0)</f>
        <v>24067.329954229226</v>
      </c>
      <c r="X175" s="12">
        <f>MIN(INDEX(其他调用!$AI$5:$AI$364,MATCH($K175,其他调用!$AG$5:$AG$364,0),1)/INDEX(其他调用!AK$5:AK$364,MATCH($K175,其他调用!$AG$5:$AG$364,0),0),1)*INDEX(其他调用!AB$5:AB$404,MATCH($K175,其他调用!$X$5:$X$404,0),0)</f>
        <v>8807.7408327989979</v>
      </c>
      <c r="Y175" s="12">
        <f>MIN(INDEX(其他调用!$AI$5:$AI$364,MATCH($K175,其他调用!$AG$5:$AG$364,0),1)/INDEX(其他调用!AL$5:AL$364,MATCH($K175,其他调用!$AG$5:$AG$364,0),0),1)*INDEX(其他调用!AC$5:AC$404,MATCH($K175,其他调用!$X$5:$X$404,0),0)</f>
        <v>3481.7379734666592</v>
      </c>
      <c r="Z175" s="12">
        <f>求节点(节奏总纲!D$4:D$163,标准城池设计!AD$4:AD$163,$K175)*求节点(节奏总纲!D$4:D$163,攻城基础信息!$AE$5:$AE$164,$K175)</f>
        <v>691009.26491486793</v>
      </c>
      <c r="AA175" s="12">
        <f>INDEX(其他调用!$AA$5:$AA$404,MATCH($K175,其他调用!$X$5:$X$404,0))*MIN(INDEX(其他调用!AJ$5:AJ$364,MATCH($K175,其他调用!$AG$5:$AG$364,0),1)/INDEX(其他调用!$AJ$5:$AJ$364,MATCH($K175,其他调用!$AG$5:$AG$364,0),0),5)*求节点(节奏总纲!D$4:D$163,攻城基础信息!$AE$5:$AE$164,$K175)</f>
        <v>138392.14870416082</v>
      </c>
      <c r="AB175" s="12">
        <f>MIN(INDEX(其他调用!$AJ$5:$AJ$364,MATCH($K175,其他调用!$AG$5:$AG$364,0),1)/INDEX(其他调用!AH$5:AH$364,MATCH($K175,其他调用!$AG$5:$AG$364,0),0),1)*INDEX(其他调用!Y$5:Y$404,MATCH($K175,其他调用!$X$5:$X$404,0),0)</f>
        <v>39195.00001010987</v>
      </c>
      <c r="AC175" s="12">
        <f>MIN(INDEX(其他调用!$AJ$5:$AJ$364,MATCH($K175,其他调用!$AG$5:$AG$364,0),1)/INDEX(其他调用!AI$5:AI$364,MATCH($K175,其他调用!$AG$5:$AG$364,0),0),1)*INDEX(其他调用!Z$5:Z$404,MATCH($K175,其他调用!$X$5:$X$404,0),0)</f>
        <v>40352.336367537806</v>
      </c>
      <c r="AD175" s="12">
        <f>MIN(INDEX(其他调用!$AJ$5:$AJ$364,MATCH($K175,其他调用!$AG$5:$AG$364,0),1)/INDEX(其他调用!AJ$5:AJ$364,MATCH($K175,其他调用!$AG$5:$AG$364,0),0),1)*INDEX(其他调用!AA$5:AA$404,MATCH($K175,其他调用!$X$5:$X$404,0),0)</f>
        <v>41863.655866373309</v>
      </c>
      <c r="AE175" s="12">
        <f>MIN(INDEX(其他调用!$AJ$5:$AJ$364,MATCH($K175,其他调用!$AG$5:$AG$364,0),1)/INDEX(其他调用!AK$5:AK$364,MATCH($K175,其他调用!$AG$5:$AG$364,0),0),1)*INDEX(其他调用!AB$5:AB$404,MATCH($K175,其他调用!$X$5:$X$404,0),0)</f>
        <v>15320.529193962688</v>
      </c>
      <c r="AF175" s="12">
        <f>MIN(INDEX(其他调用!$AJ$5:$AJ$364,MATCH($K175,其他调用!$AG$5:$AG$364,0),1)/INDEX(其他调用!AL$5:AL$364,MATCH($K175,其他调用!$AG$5:$AG$364,0),0),1)*INDEX(其他调用!AC$5:AC$404,MATCH($K175,其他调用!$X$5:$X$404,0),0)</f>
        <v>6056.2713277830344</v>
      </c>
      <c r="AG175" s="12">
        <f>求节点(节奏总纲!D$4:D$163,标准城池设计!AE$4:AE$163,$K175)*求节点(节奏总纲!D$4:D$163,攻城基础信息!$AF$5:$AF$164,$K175)</f>
        <v>817637.28233529138</v>
      </c>
      <c r="AH175" s="12">
        <f>INDEX(其他调用!$AA$5:$AA$404,MATCH($K175,其他调用!$X$5:$X$404,0))*MIN(INDEX(其他调用!AK$5:AK$364,MATCH($K175,其他调用!$AG$5:$AG$364,0),1)/INDEX(其他调用!$AJ$5:$AJ$364,MATCH($K175,其他调用!$AG$5:$AG$364,0),0),5)*求节点(节奏总纲!D$4:D$163,攻城基础信息!$AF$5:$AF$164,$K175)</f>
        <v>397998.48308173881</v>
      </c>
      <c r="AI175" s="12">
        <f>MIN(INDEX(其他调用!$AK$5:$AK$364,MATCH($K175,其他调用!$AG$5:$AG$364,0),1)/INDEX(其他调用!AH$5:AH$364,MATCH($K175,其他调用!$AG$5:$AG$364,0),0),1)*INDEX(其他调用!Y$5:Y$404,MATCH($K175,其他调用!$X$5:$X$404,0),0)</f>
        <v>39195.00001010987</v>
      </c>
      <c r="AJ175" s="12">
        <f>MIN(INDEX(其他调用!$AK$5:$AK$364,MATCH($K175,其他调用!$AG$5:$AG$364,0),1)/INDEX(其他调用!AI$5:AI$364,MATCH($K175,其他调用!$AG$5:$AG$364,0),0),1)*INDEX(其他调用!Z$5:Z$404,MATCH($K175,其他调用!$X$5:$X$404,0),0)</f>
        <v>40352.336367537806</v>
      </c>
      <c r="AK175" s="12">
        <f>MIN(INDEX(其他调用!$AK$5:$AK$364,MATCH($K175,其他调用!$AG$5:$AG$364,0),1)/INDEX(其他调用!AJ$5:AJ$364,MATCH($K175,其他调用!$AG$5:$AG$364,0),0),1)*INDEX(其他调用!AA$5:AA$404,MATCH($K175,其他调用!$X$5:$X$404,0),0)</f>
        <v>41863.655866373309</v>
      </c>
      <c r="AL175" s="12">
        <f>MIN(INDEX(其他调用!$AK$5:$AK$364,MATCH($K175,其他调用!$AG$5:$AG$364,0),1)/INDEX(其他调用!AK$5:AK$364,MATCH($K175,其他调用!$AG$5:$AG$364,0),0),1)*INDEX(其他调用!AB$5:AB$404,MATCH($K175,其他调用!$X$5:$X$404,0),0)</f>
        <v>44059.922736233362</v>
      </c>
      <c r="AM175" s="12">
        <f>MIN(INDEX(其他调用!$AK$5:$AK$364,MATCH($K175,其他调用!$AG$5:$AG$364,0),1)/INDEX(其他调用!AL$5:AL$364,MATCH($K175,其他调用!$AG$5:$AG$364,0),0),1)*INDEX(其他调用!AC$5:AC$404,MATCH($K175,其他调用!$X$5:$X$404,0),0)</f>
        <v>17417.077660537878</v>
      </c>
      <c r="AN175" s="12">
        <f>求节点(节奏总纲!D$4:D$163,标准城池设计!AF$4:AF$163,$K175)*求节点(节奏总纲!D$4:D$163,攻城基础信息!$AG$5:$AG$164,$K175)</f>
        <v>835754.37516112207</v>
      </c>
      <c r="AO175" s="12">
        <f>INDEX(其他调用!$AA$5:$AA$404,MATCH($K175,其他调用!$X$5:$X$404,0))*MIN(INDEX(其他调用!AL$5:AL$364,MATCH($K175,其他调用!$AG$5:$AG$364,0),1)/INDEX(其他调用!$AJ$5:$AJ$364,MATCH($K175,其他调用!$AG$5:$AG$364,0),0),5)*求节点(节奏总纲!D$4:D$163,攻城基础信息!$AG$5:$AG$164,$K175)</f>
        <v>691960.7435208041</v>
      </c>
      <c r="AP175" s="12">
        <f>MIN(INDEX(其他调用!$AL$5:$AL$364,MATCH($K175,其他调用!$AG$5:$AG$364,0),1)/INDEX(其他调用!AH$5:AH$364,MATCH($K175,其他调用!$AG$5:$AG$364,0),0),1)*INDEX(其他调用!Y$5:Y$404,MATCH($K175,其他调用!$X$5:$X$404,0),0)</f>
        <v>39195.00001010987</v>
      </c>
      <c r="AQ175" s="12">
        <f>MIN(INDEX(其他调用!$AL$5:$AL$364,MATCH($K175,其他调用!$AG$5:$AG$364,0),1)/INDEX(其他调用!AI$5:AI$364,MATCH($K175,其他调用!$AG$5:$AG$364,0),0),1)*INDEX(其他调用!Z$5:Z$404,MATCH($K175,其他调用!$X$5:$X$404,0),0)</f>
        <v>40352.336367537806</v>
      </c>
      <c r="AR175" s="12">
        <f>MIN(INDEX(其他调用!$AL$5:$AL$364,MATCH($K175,其他调用!$AG$5:$AG$364,0),1)/INDEX(其他调用!AJ$5:AJ$364,MATCH($K175,其他调用!$AG$5:$AG$364,0),0),1)*INDEX(其他调用!AA$5:AA$404,MATCH($K175,其他调用!$X$5:$X$404,0),0)</f>
        <v>41863.655866373309</v>
      </c>
      <c r="AS175" s="12">
        <f>MIN(INDEX(其他调用!$AL$5:$AL$364,MATCH($K175,其他调用!$AG$5:$AG$364,0),1)/INDEX(其他调用!AK$5:AK$364,MATCH($K175,其他调用!$AG$5:$AG$364,0),0),1)*INDEX(其他调用!AB$5:AB$404,MATCH($K175,其他调用!$X$5:$X$404,0),0)</f>
        <v>44059.922736233362</v>
      </c>
      <c r="AT175" s="12">
        <f>MIN(INDEX(其他调用!$AL$5:$AL$364,MATCH($K175,其他调用!$AG$5:$AG$364,0),1)/INDEX(其他调用!AL$5:AL$364,MATCH($K175,其他调用!$AG$5:$AG$364,0),0),1)*INDEX(其他调用!AC$5:AC$404,MATCH($K175,其他调用!$X$5:$X$404,0),0)</f>
        <v>48005.564917405442</v>
      </c>
      <c r="AV175" s="14">
        <f>IF(OR(AV$5="大R",AV$5="超R"),MAX(INDEX(其他调用!$H$5:$L$404,MATCH($K175,其他调用!$B$5:$B$404,0),MATCH(AV$5,其他调用!$H$4:$L$4,0))*120*0.85,2),INDEX(其他调用!$H$5:$L$404,MATCH($K175,其他调用!$B$5:$B$404,0),MATCH(AV$5,其他调用!$H$4:$L$4,0))*120*0.85)</f>
        <v>48.921801254999991</v>
      </c>
      <c r="AW175" s="14">
        <f>IF(OR(AW$5="大R",AW$5="超R"),MAX(INDEX(其他调用!$H$5:$L$404,MATCH($K175,其他调用!$B$5:$B$404,0),MATCH(AW$5,其他调用!$H$4:$L$4,0))*120*0.85,2),INDEX(其他调用!$H$5:$L$404,MATCH($K175,其他调用!$B$5:$B$404,0),MATCH(AW$5,其他调用!$H$4:$L$4,0))*120*0.85)</f>
        <v>48.237344010638395</v>
      </c>
      <c r="AX175" s="14">
        <f>IF(OR(AX$5="大R",AX$5="超R"),MAX(INDEX(其他调用!$H$5:$L$404,MATCH($K175,其他调用!$B$5:$B$404,0),MATCH(AX$5,其他调用!$H$4:$L$4,0))*120*0.85,2),INDEX(其他调用!$H$5:$L$404,MATCH($K175,其他调用!$B$5:$B$404,0),MATCH(AX$5,其他调用!$H$4:$L$4,0))*120*0.85)</f>
        <v>3.9376284143615998</v>
      </c>
      <c r="AY175" s="14">
        <f>IF(OR(AY$5="大R",AY$5="超R"),MAX(INDEX(其他调用!$H$5:$L$404,MATCH($K175,其他调用!$B$5:$B$404,0),MATCH(AY$5,其他调用!$H$4:$L$4,0))*120*0.85,2),INDEX(其他调用!$H$5:$L$404,MATCH($K175,其他调用!$B$5:$B$404,0),MATCH(AY$5,其他调用!$H$4:$L$4,0))*120*0.85)</f>
        <v>2</v>
      </c>
      <c r="AZ175" s="14">
        <f>IF(OR(AZ$5="大R",AZ$5="超R"),MAX(INDEX(其他调用!$H$5:$L$404,MATCH($K175,其他调用!$B$5:$B$404,0),MATCH(AZ$5,其他调用!$H$4:$L$4,0))*120*0.85,2),INDEX(其他调用!$H$5:$L$404,MATCH($K175,其他调用!$B$5:$B$404,0),MATCH(AZ$5,其他调用!$H$4:$L$4,0))*120*0.85)</f>
        <v>2</v>
      </c>
      <c r="BA175" s="14">
        <f>INDEX(其他调用!$H$5:$L$404,MATCH($K175,其他调用!$B$5:$B$404,0),MATCH(BA$5,其他调用!$H$4:$L$4,0))*INDEX(其他调用!$M$5:$M$404,MATCH($K175,其他调用!$B$5:$B$404,0))*0.6</f>
        <v>28.777530149999997</v>
      </c>
      <c r="BB175" s="14">
        <f>INDEX(其他调用!$H$5:$L$404,MATCH($K175,其他调用!$B$5:$B$404,0),MATCH(BB$5,其他调用!$H$4:$L$4,0))*INDEX(其他调用!$M$5:$M$404,MATCH($K175,其他调用!$B$5:$B$404,0))*0.6</f>
        <v>28.374908241551999</v>
      </c>
      <c r="BC175" s="14">
        <f>INDEX(其他调用!$H$5:$L$404,MATCH($K175,其他调用!$B$5:$B$404,0),MATCH(BC$5,其他调用!$H$4:$L$4,0))*INDEX(其他调用!$M$5:$M$404,MATCH($K175,其他调用!$B$5:$B$404,0))*0.6</f>
        <v>2.3162520084480001</v>
      </c>
      <c r="BD175" s="14">
        <f>INDEX(其他调用!$H$5:$L$404,MATCH($K175,其他调用!$B$5:$B$404,0),MATCH(BD$5,其他调用!$H$4:$L$4,0))*INDEX(其他调用!$M$5:$M$404,MATCH($K175,其他调用!$B$5:$B$404,0))*0.6</f>
        <v>0.4120776000000001</v>
      </c>
      <c r="BE175" s="14">
        <f>INDEX(其他调用!$H$5:$L$404,MATCH($K175,其他调用!$B$5:$B$404,0),MATCH(BE$5,其他调用!$H$4:$L$4,0))*INDEX(其他调用!$M$5:$M$404,MATCH($K175,其他调用!$B$5:$B$404,0))*0.6</f>
        <v>0.11923199999999998</v>
      </c>
      <c r="BF175" s="14">
        <f>IF(OR(BF$5="大R",BF$5="超R"),0,INDEX(其他调用!$H$5:$L$404,MATCH($K175,其他调用!$B$5:$B$404,0),MATCH(BF$5,其他调用!$H$4:$L$4,0))*50*0.4)</f>
        <v>9.5925100500000013</v>
      </c>
      <c r="BG175" s="14">
        <f>IF(OR(BG$5="大R",BG$5="超R"),0,INDEX(其他调用!$H$5:$L$404,MATCH($K175,其他调用!$B$5:$B$404,0),MATCH(BG$5,其他调用!$H$4:$L$4,0))*50*0.4)</f>
        <v>9.4583027471839998</v>
      </c>
      <c r="BH175" s="14">
        <f>IF(OR(BH$5="大R",BH$5="超R"),0,INDEX(其他调用!$H$5:$L$404,MATCH($K175,其他调用!$B$5:$B$404,0),MATCH(BH$5,其他调用!$H$4:$L$4,0))*50*0.4)</f>
        <v>0.77208400281600009</v>
      </c>
      <c r="BI175" s="14">
        <f>IF(OR(BI$5="大R",BI$5="超R"),0,INDEX(其他调用!$H$5:$L$404,MATCH($K175,其他调用!$B$5:$B$404,0),MATCH(BI$5,其他调用!$H$4:$L$4,0))*50*0.4)</f>
        <v>0</v>
      </c>
      <c r="BJ175" s="14">
        <f>IF(OR(BJ$5="大R",BJ$5="超R"),0,INDEX(其他调用!$H$5:$L$404,MATCH($K175,其他调用!$B$5:$B$404,0),MATCH(BJ$5,其他调用!$H$4:$L$4,0))*50*0.4)</f>
        <v>0</v>
      </c>
      <c r="BL175" s="14">
        <f t="shared" si="313"/>
        <v>170</v>
      </c>
      <c r="BM175" s="14">
        <f t="shared" si="220"/>
        <v>96</v>
      </c>
      <c r="BN175" s="14">
        <f>('疲劳值&amp;地图信息'!$S$10*'疲劳值&amp;地图信息'!$R$10+'疲劳值&amp;地图信息'!$S$11*'疲劳值&amp;地图信息'!$R$11+'疲劳值&amp;地图信息'!$S$12*'疲劳值&amp;地图信息'!$R$12+(BM175-'疲劳值&amp;地图信息'!$S$12-'疲劳值&amp;地图信息'!$S$11-'疲劳值&amp;地图信息'!$S$10)*'疲劳值&amp;地图信息'!$R$13)/BM175</f>
        <v>51.371477246638619</v>
      </c>
      <c r="BO175" s="14">
        <f>INDEX(其他调用!$M$5:$M$404,MATCH(BL175,其他调用!$B$5:$B$404,0))*0.6</f>
        <v>60</v>
      </c>
      <c r="BP175" s="14">
        <f>IF(BO175&gt;SUM('疲劳值&amp;地图信息'!$S$10:$S$12),('疲劳值&amp;地图信息'!$S$10*'疲劳值&amp;地图信息'!$R$10+'疲劳值&amp;地图信息'!$S$11*'疲劳值&amp;地图信息'!$R$11+'疲劳值&amp;地图信息'!$S$12*'疲劳值&amp;地图信息'!$R$12+(BO175-'疲劳值&amp;地图信息'!$S$12-'疲劳值&amp;地图信息'!$S$11-'疲劳值&amp;地图信息'!$S$10)*'疲劳值&amp;地图信息'!$R$13)/BO175,('疲劳值&amp;地图信息'!$S$10*'疲劳值&amp;地图信息'!$R$10+'疲劳值&amp;地图信息'!$S$11*'疲劳值&amp;地图信息'!$R$11+'疲劳值&amp;地图信息'!$S$12*'疲劳值&amp;地图信息'!$R$12+(BO175-'疲劳值&amp;地图信息'!$S$12-'疲劳值&amp;地图信息'!$S$11-'疲劳值&amp;地图信息'!$S$10)*'疲劳值&amp;地图信息'!$R$13)/BO175)</f>
        <v>44.158136341605953</v>
      </c>
      <c r="BQ175" s="14">
        <f t="shared" si="314"/>
        <v>20</v>
      </c>
      <c r="BR175" s="14">
        <f>('疲劳值&amp;地图信息'!$S$10*'疲劳值&amp;地图信息'!$R$10+($BQ175-'疲劳值&amp;地图信息'!$S$10)*'疲劳值&amp;地图信息'!$R$11)/$BQ175</f>
        <v>32.067203015074995</v>
      </c>
      <c r="CF175" s="14">
        <v>170</v>
      </c>
      <c r="CG175" s="51">
        <f t="shared" si="221"/>
        <v>12416</v>
      </c>
      <c r="CH175" s="51">
        <f t="shared" si="222"/>
        <v>986</v>
      </c>
      <c r="CI175" s="51">
        <f>INT(SUMPRODUCT($N175:$R175,$BA175:$BE175)/SUM($BA175:$BE175)/10000*$BX$7*$BZ$34/'疲劳值&amp;地图信息'!$R$10*$BY$53)</f>
        <v>3147</v>
      </c>
      <c r="CJ175" s="50">
        <f t="shared" si="223"/>
        <v>0.75025681310048942</v>
      </c>
      <c r="CK175" s="50">
        <f t="shared" si="224"/>
        <v>5.9580639313553688E-2</v>
      </c>
      <c r="CL175" s="50">
        <f t="shared" si="225"/>
        <v>0.19016254758595685</v>
      </c>
      <c r="CM175" s="14">
        <f t="shared" si="226"/>
        <v>13260</v>
      </c>
      <c r="CN175" s="14">
        <f t="shared" si="227"/>
        <v>1621</v>
      </c>
      <c r="CO175" s="14">
        <f>INT(SUMPRODUCT($U175:$Y175,$BA175:$BE175)/SUM($BA175:$BE175)/10000*$BX$7*$BZ$34/'疲劳值&amp;地图信息'!$R$10*$BY$54)</f>
        <v>5917</v>
      </c>
      <c r="CP175" s="50">
        <f t="shared" si="228"/>
        <v>0.63756130397153576</v>
      </c>
      <c r="CQ175" s="50">
        <f t="shared" si="229"/>
        <v>7.7940186556399657E-2</v>
      </c>
      <c r="CR175" s="50">
        <f t="shared" si="230"/>
        <v>0.28449850947206462</v>
      </c>
      <c r="CS175" s="14">
        <f t="shared" si="231"/>
        <v>14083</v>
      </c>
      <c r="CT175" s="14">
        <f t="shared" si="232"/>
        <v>2820</v>
      </c>
      <c r="CU175" s="14">
        <f>INT(SUMPRODUCT($AB175:$AF175,$BA175:$BE175)/SUM($BA175:$BE175)/10000*$BX$7*$BZ$34/'疲劳值&amp;地图信息'!$R$10*$BY$55)</f>
        <v>8039</v>
      </c>
      <c r="CV175" s="50">
        <f t="shared" si="233"/>
        <v>0.56462994146419698</v>
      </c>
      <c r="CW175" s="50">
        <f t="shared" si="234"/>
        <v>0.11306230454654799</v>
      </c>
      <c r="CX175" s="50">
        <f t="shared" si="235"/>
        <v>0.3223077539892551</v>
      </c>
      <c r="CY175" s="14">
        <f t="shared" si="236"/>
        <v>16664</v>
      </c>
      <c r="CZ175" s="14">
        <f t="shared" si="237"/>
        <v>8111</v>
      </c>
      <c r="DA175" s="14">
        <f>INT(SUMPRODUCT($AI175:$AM175,$BA175:$BE175)/SUM($BA175:$BE175)/10000*$BX$7*$BZ$34/'疲劳值&amp;地图信息'!$R$10*$BY$56)</f>
        <v>12126</v>
      </c>
      <c r="DB175" s="50">
        <f t="shared" si="238"/>
        <v>0.45158667786780848</v>
      </c>
      <c r="DC175" s="50">
        <f t="shared" si="239"/>
        <v>0.21980434134576299</v>
      </c>
      <c r="DD175" s="50">
        <f t="shared" si="240"/>
        <v>0.32860898078642853</v>
      </c>
      <c r="DE175" s="14">
        <f t="shared" si="241"/>
        <v>17033</v>
      </c>
      <c r="DF175" s="14">
        <f t="shared" si="242"/>
        <v>14103</v>
      </c>
      <c r="DG175" s="14">
        <f>INT(SUMPRODUCT($AP175:$AT175,$BA175:$BE175)/SUM($BA175:$BE175)/10000*$BX$7*$BZ$34/'疲劳值&amp;地图信息'!$R$10*$BY$57)</f>
        <v>16192</v>
      </c>
      <c r="DH175" s="50">
        <f t="shared" si="243"/>
        <v>0.35989266396213659</v>
      </c>
      <c r="DI175" s="50">
        <f t="shared" si="244"/>
        <v>0.29798427991886411</v>
      </c>
      <c r="DJ175" s="50">
        <f t="shared" si="245"/>
        <v>0.34212305611899935</v>
      </c>
      <c r="DL175" s="14">
        <f t="shared" si="316"/>
        <v>16549</v>
      </c>
      <c r="DM175" s="14">
        <f t="shared" si="317"/>
        <v>20798</v>
      </c>
      <c r="DN175" s="14">
        <f t="shared" si="318"/>
        <v>24942</v>
      </c>
      <c r="DO175" s="14">
        <f t="shared" si="319"/>
        <v>36901</v>
      </c>
      <c r="DP175" s="14">
        <f t="shared" si="320"/>
        <v>47328</v>
      </c>
      <c r="DQ175" s="14">
        <f t="shared" si="321"/>
        <v>1145001</v>
      </c>
      <c r="DT175" s="14">
        <f t="shared" si="315"/>
        <v>235575</v>
      </c>
      <c r="DU175" s="50">
        <f t="shared" si="217"/>
        <v>0.17063530004867533</v>
      </c>
      <c r="DW175" s="14">
        <f t="shared" si="246"/>
        <v>1380576</v>
      </c>
      <c r="EB175" s="14">
        <v>170</v>
      </c>
      <c r="EC175" s="51">
        <f t="shared" si="247"/>
        <v>20693</v>
      </c>
      <c r="ED175" s="51">
        <f t="shared" si="248"/>
        <v>1644</v>
      </c>
      <c r="EE175" s="51">
        <f>INT(SUMPRODUCT($N175:$R175,$BF175:$BJ175)/SUM($BF175:$BJ175)/10000*$BX$7*$BZ$46/'疲劳值&amp;地图信息'!$R$10*$BY$53)</f>
        <v>422</v>
      </c>
      <c r="EF175" s="50">
        <f t="shared" si="249"/>
        <v>0.90922272507579416</v>
      </c>
      <c r="EG175" s="50">
        <f t="shared" si="250"/>
        <v>7.2235159717035022E-2</v>
      </c>
      <c r="EH175" s="50">
        <f t="shared" si="251"/>
        <v>1.8542115207170789E-2</v>
      </c>
      <c r="EI175" s="51">
        <f t="shared" si="252"/>
        <v>22101</v>
      </c>
      <c r="EJ175" s="51">
        <f t="shared" si="253"/>
        <v>2702</v>
      </c>
      <c r="EK175" s="14">
        <f>INT(SUMPRODUCT($U175:$Y175,$BF175:$BJ175)/SUM($BF175:$BJ175)/10000*$BX$7*$BZ$46/'疲劳值&amp;地图信息'!$R$10*$BY$54)</f>
        <v>794</v>
      </c>
      <c r="EL175" s="50">
        <f t="shared" si="254"/>
        <v>0.86342149470641094</v>
      </c>
      <c r="EM175" s="50">
        <f t="shared" si="255"/>
        <v>0.10555924522404969</v>
      </c>
      <c r="EN175" s="50">
        <f t="shared" si="256"/>
        <v>3.1019260069539398E-2</v>
      </c>
      <c r="EO175" s="51">
        <f t="shared" si="257"/>
        <v>23472</v>
      </c>
      <c r="EP175" s="51">
        <f t="shared" si="258"/>
        <v>4701</v>
      </c>
      <c r="EQ175" s="14">
        <f>INT(SUMPRODUCT($AB175:$AF175,$BF175:$BJ175)/SUM($BF175:$BJ175)/10000*$BX$7*$BZ$46/'疲劳值&amp;地图信息'!$R$10*$BY$55)</f>
        <v>1078</v>
      </c>
      <c r="ER175" s="50">
        <f t="shared" si="259"/>
        <v>0.80243410481692934</v>
      </c>
      <c r="ES175" s="50">
        <f t="shared" si="260"/>
        <v>0.16071245427506753</v>
      </c>
      <c r="ET175" s="50">
        <f t="shared" si="261"/>
        <v>3.6853440908003146E-2</v>
      </c>
      <c r="EU175" s="51">
        <f t="shared" si="262"/>
        <v>27774</v>
      </c>
      <c r="EV175" s="51">
        <f t="shared" si="263"/>
        <v>13519</v>
      </c>
      <c r="EW175" s="14">
        <f>INT(SUMPRODUCT($AI175:$AM175,$BF175:$BJ175)/SUM($BF175:$BJ175)/10000*$BX$7*$BZ$46/'疲劳值&amp;地图信息'!$R$10*$BY$56)</f>
        <v>1617</v>
      </c>
      <c r="EX175" s="50">
        <f t="shared" si="264"/>
        <v>0.64726171055697967</v>
      </c>
      <c r="EY175" s="50">
        <f t="shared" si="265"/>
        <v>0.31505476578886038</v>
      </c>
      <c r="EZ175" s="50">
        <f t="shared" si="266"/>
        <v>3.7683523654159869E-2</v>
      </c>
      <c r="FA175" s="51">
        <f t="shared" si="267"/>
        <v>28389</v>
      </c>
      <c r="FB175" s="51">
        <f t="shared" si="268"/>
        <v>23505</v>
      </c>
      <c r="FC175" s="14">
        <f>INT(SUMPRODUCT($AP175:$AT175,$BF175:$BJ175)/SUM($BF175:$BJ175)/10000*$BX$7*$BZ$46/'疲劳值&amp;地图信息'!$R$10*$BY$57)</f>
        <v>2156</v>
      </c>
      <c r="FD175" s="50">
        <f t="shared" si="269"/>
        <v>0.52523589269195192</v>
      </c>
      <c r="FE175" s="50">
        <f t="shared" si="270"/>
        <v>0.43487511563367254</v>
      </c>
      <c r="FF175" s="50">
        <f t="shared" si="271"/>
        <v>3.9888991674375575E-2</v>
      </c>
      <c r="FH175" s="14">
        <f t="shared" si="272"/>
        <v>22759</v>
      </c>
      <c r="FI175" s="14">
        <f t="shared" si="273"/>
        <v>25597</v>
      </c>
      <c r="FJ175" s="14">
        <f t="shared" si="274"/>
        <v>29251</v>
      </c>
      <c r="FK175" s="14">
        <f t="shared" si="275"/>
        <v>42910</v>
      </c>
      <c r="FL175" s="14">
        <f t="shared" si="276"/>
        <v>54050</v>
      </c>
      <c r="FM175" s="14">
        <f t="shared" si="277"/>
        <v>2657242</v>
      </c>
      <c r="FP175" s="14">
        <f t="shared" si="278"/>
        <v>334150</v>
      </c>
      <c r="FQ175" s="50">
        <f t="shared" si="218"/>
        <v>0.11170384891047379</v>
      </c>
      <c r="FS175" s="14">
        <f t="shared" si="279"/>
        <v>2991392</v>
      </c>
      <c r="FX175" s="14">
        <v>170</v>
      </c>
      <c r="FY175" s="51">
        <f t="shared" si="280"/>
        <v>28970</v>
      </c>
      <c r="FZ175" s="51">
        <f t="shared" si="281"/>
        <v>1644</v>
      </c>
      <c r="GA175" s="51">
        <f>INT(SUMPRODUCT($N175:$R175,$BF175:$BJ175)/SUM($BF175:$BJ175)/10000*$BX$7*$BZ$46/'疲劳值&amp;地图信息'!$R$10*$BY$53)</f>
        <v>422</v>
      </c>
      <c r="GB175" s="50">
        <f t="shared" si="282"/>
        <v>0.93343214331743785</v>
      </c>
      <c r="GC175" s="50">
        <f t="shared" si="283"/>
        <v>5.2970743652532543E-2</v>
      </c>
      <c r="GD175" s="50">
        <f t="shared" si="284"/>
        <v>1.3597113030029643E-2</v>
      </c>
      <c r="GE175" s="51">
        <f t="shared" si="285"/>
        <v>30941</v>
      </c>
      <c r="GF175" s="51">
        <f t="shared" si="286"/>
        <v>2702</v>
      </c>
      <c r="GG175" s="14">
        <f>INT(SUMPRODUCT($U175:$Y175,$BF175:$BJ175)/SUM($BF175:$BJ175)/10000*$BX$7*$BZ$46/'疲劳值&amp;地图信息'!$R$10*$BY$54)</f>
        <v>794</v>
      </c>
      <c r="GH175" s="50">
        <f t="shared" si="287"/>
        <v>0.89848128466475008</v>
      </c>
      <c r="GI175" s="50">
        <f t="shared" si="288"/>
        <v>7.8462119232221156E-2</v>
      </c>
      <c r="GJ175" s="50">
        <f t="shared" si="289"/>
        <v>2.305659610302872E-2</v>
      </c>
      <c r="GK175" s="51">
        <f t="shared" si="290"/>
        <v>32861</v>
      </c>
      <c r="GL175" s="51">
        <f t="shared" si="291"/>
        <v>4701</v>
      </c>
      <c r="GM175" s="14">
        <f>INT(SUMPRODUCT($AB175:$AF175,$BF175:$BJ175)/SUM($BF175:$BJ175)/10000*$BX$7*$BZ$46/'疲劳值&amp;地图信息'!$R$10*$BY$55)</f>
        <v>1078</v>
      </c>
      <c r="GN175" s="50">
        <f t="shared" si="292"/>
        <v>0.85043995859213251</v>
      </c>
      <c r="GO175" s="50">
        <f t="shared" si="293"/>
        <v>0.12166149068322982</v>
      </c>
      <c r="GP175" s="50">
        <f t="shared" si="294"/>
        <v>2.7898550724637681E-2</v>
      </c>
      <c r="GQ175" s="51">
        <f t="shared" si="295"/>
        <v>38883</v>
      </c>
      <c r="GR175" s="51">
        <f t="shared" si="296"/>
        <v>13519</v>
      </c>
      <c r="GS175" s="14">
        <f>INT(SUMPRODUCT($AI175:$AM175,$BF175:$BJ175)/SUM($BF175:$BJ175)/10000*$BX$7*$BZ$46/'疲劳值&amp;地图信息'!$R$10*$BY$56)</f>
        <v>1617</v>
      </c>
      <c r="GT175" s="50">
        <f t="shared" si="297"/>
        <v>0.71980229178622335</v>
      </c>
      <c r="GU175" s="50">
        <f t="shared" si="298"/>
        <v>0.25026379607175253</v>
      </c>
      <c r="GV175" s="50">
        <f t="shared" si="299"/>
        <v>2.9933912142024104E-2</v>
      </c>
      <c r="GW175" s="51">
        <f t="shared" si="300"/>
        <v>39745</v>
      </c>
      <c r="GX175" s="51">
        <f t="shared" si="301"/>
        <v>23505</v>
      </c>
      <c r="GY175" s="14">
        <f>INT(SUMPRODUCT($AP175:$AT175,$BF175:$BJ175)/SUM($BF175:$BJ175)/10000*$BX$7*$BZ$46/'疲劳值&amp;地图信息'!$R$10*$BY$57)</f>
        <v>2156</v>
      </c>
      <c r="GZ175" s="50">
        <f t="shared" si="302"/>
        <v>0.60766596336727519</v>
      </c>
      <c r="HA175" s="50">
        <f t="shared" si="303"/>
        <v>0.35937069993578569</v>
      </c>
      <c r="HB175" s="50">
        <f t="shared" si="304"/>
        <v>3.296333669693912E-2</v>
      </c>
      <c r="HD175" s="14">
        <f t="shared" si="305"/>
        <v>31036</v>
      </c>
      <c r="HE175" s="14">
        <f t="shared" si="306"/>
        <v>34437</v>
      </c>
      <c r="HF175" s="14">
        <f t="shared" si="307"/>
        <v>38640</v>
      </c>
      <c r="HG175" s="14">
        <f t="shared" si="308"/>
        <v>54019</v>
      </c>
      <c r="HH175" s="14">
        <f t="shared" si="309"/>
        <v>65406</v>
      </c>
      <c r="HI175" s="14">
        <f t="shared" si="310"/>
        <v>3570486</v>
      </c>
      <c r="HL175" s="14">
        <f t="shared" si="311"/>
        <v>430050</v>
      </c>
      <c r="HM175" s="50">
        <f t="shared" si="219"/>
        <v>0.10749809525523579</v>
      </c>
      <c r="HO175" s="14">
        <f t="shared" si="312"/>
        <v>4000536</v>
      </c>
    </row>
    <row r="176" spans="11:223" x14ac:dyDescent="0.2">
      <c r="K176" s="14">
        <v>171</v>
      </c>
      <c r="L176" s="12">
        <f>求节点(节奏总纲!D$4:D$163,标准城池设计!AB$4:AB$163,$K176)*求节点(节奏总纲!D$4:D$163,攻城基础信息!$AC$5:$AC$164,$K176)</f>
        <v>610962.15896792675</v>
      </c>
      <c r="M176" s="12">
        <f>INDEX(其他调用!$AA$5:$AA$404,MATCH(K176,其他调用!$X$5:$X$404,0))*MIN(INDEX(其他调用!$AH$5:$AH$364,MATCH('征服点（新）'!K176,其他调用!$AG$5:$AG$364,0),1)/INDEX(其他调用!$AJ$5:$AJ$364,MATCH(K176,其他调用!$AG$5:$AG$364,0),0),5)*求节点(节奏总纲!D$4:D$163,攻城基础信息!$AC$5:$AC$164,$K176)</f>
        <v>48504.538986121508</v>
      </c>
      <c r="N176" s="12">
        <f>MIN(INDEX(其他调用!$AH$5:$AH$364,MATCH($K176,其他调用!$AG$5:$AG$364,0),1)/INDEX(其他调用!AH$5:AH$364,MATCH($K176,其他调用!$AG$5:$AG$364,0),0),1)*INDEX(其他调用!Y$5:Y$404,MATCH($K176,其他调用!$X$5:$X$404,0),0)</f>
        <v>39229.034831607234</v>
      </c>
      <c r="O176" s="12">
        <f>MIN(INDEX(其他调用!$AH$5:$AH$364,MATCH($K176,其他调用!$AG$5:$AG$364,0),1)/INDEX(其他调用!AI$5:AI$364,MATCH($K176,其他调用!$AG$5:$AG$364,0),0),1)*INDEX(其他调用!Z$5:Z$404,MATCH($K176,其他调用!$X$5:$X$404,0),0)</f>
        <v>24576.546205093531</v>
      </c>
      <c r="P176" s="12">
        <f>MIN(INDEX(其他调用!$AH$5:$AH$364,MATCH($K176,其他调用!$AG$5:$AG$364,0),1)/INDEX(其他调用!AJ$5:AJ$364,MATCH($K176,其他调用!$AG$5:$AG$364,0),0),1)*INDEX(其他调用!AA$5:AA$404,MATCH($K176,其他调用!$X$5:$X$404,0),0)</f>
        <v>14660.439323542601</v>
      </c>
      <c r="Q176" s="12">
        <f>MIN(INDEX(其他调用!$AH$5:$AH$364,MATCH($K176,其他调用!$AG$5:$AG$364,0),1)/INDEX(其他调用!AK$5:AK$364,MATCH($K176,其他调用!$AG$5:$AG$364,0),0),1)*INDEX(其他调用!AB$5:AB$404,MATCH($K176,其他调用!$X$5:$X$404,0),0)</f>
        <v>5360.2491596922537</v>
      </c>
      <c r="R176" s="12">
        <f>MIN(INDEX(其他调用!$AH$5:$AH$364,MATCH($K176,其他调用!$AG$5:$AG$364,0),1)/INDEX(其他调用!AL$5:AL$364,MATCH($K176,其他调用!$AG$5:$AG$364,0),0),1)*INDEX(其他调用!AC$5:AC$404,MATCH($K176,其他调用!$X$5:$X$404,0),0)</f>
        <v>2127.8280818260419</v>
      </c>
      <c r="S176" s="12">
        <f>求节点(节奏总纲!D$4:D$163,标准城池设计!AC$4:AC$163,$K176)*求节点(节奏总纲!D$4:D$163,攻城基础信息!$AD$5:$AD$164,$K176)</f>
        <v>652297.82608940359</v>
      </c>
      <c r="T176" s="12">
        <f>INDEX(其他调用!$AA$5:$AA$404,MATCH($K176,其他调用!$X$5:$X$404,0))*MIN(INDEX(其他调用!AI$5:AI$364,MATCH($K176,其他调用!$AG$5:$AG$364,0),1)/INDEX(其他调用!$AJ$5:$AJ$364,MATCH($K176,其他调用!$AG$5:$AG$364,0),0),5)*求节点(节奏总纲!D$4:D$163,攻城基础信息!$AD$5:$AD$164,$K176)</f>
        <v>79703.773130736547</v>
      </c>
      <c r="U176" s="12">
        <f>MIN(INDEX(其他调用!$AI$5:$AI$364,MATCH($K176,其他调用!$AG$5:$AG$364,0),1)/INDEX(其他调用!AH$5:AH$364,MATCH($K176,其他调用!$AG$5:$AG$364,0),0),1)*INDEX(其他调用!Y$5:Y$404,MATCH($K176,其他调用!$X$5:$X$404,0),0)</f>
        <v>39229.034831607234</v>
      </c>
      <c r="V176" s="12">
        <f>MIN(INDEX(其他调用!$AI$5:$AI$364,MATCH($K176,其他调用!$AG$5:$AG$364,0),1)/INDEX(其他调用!AI$5:AI$364,MATCH($K176,其他调用!$AG$5:$AG$364,0),0),1)*INDEX(其他调用!Z$5:Z$404,MATCH($K176,其他调用!$X$5:$X$404,0),0)</f>
        <v>40384.745510689594</v>
      </c>
      <c r="W176" s="12">
        <f>MIN(INDEX(其他调用!$AI$5:$AI$364,MATCH($K176,其他调用!$AG$5:$AG$364,0),1)/INDEX(其他调用!AJ$5:AJ$364,MATCH($K176,其他调用!$AG$5:$AG$364,0),0),1)*INDEX(其他调用!AA$5:AA$404,MATCH($K176,其他调用!$X$5:$X$404,0),0)</f>
        <v>24090.370803749029</v>
      </c>
      <c r="X176" s="12">
        <f>MIN(INDEX(其他调用!$AI$5:$AI$364,MATCH($K176,其他调用!$AG$5:$AG$364,0),1)/INDEX(其他调用!AK$5:AK$364,MATCH($K176,其他调用!$AG$5:$AG$364,0),0),1)*INDEX(其他调用!AB$5:AB$404,MATCH($K176,其他调用!$X$5:$X$404,0),0)</f>
        <v>8808.08460153751</v>
      </c>
      <c r="Y176" s="12">
        <f>MIN(INDEX(其他调用!$AI$5:$AI$364,MATCH($K176,其他调用!$AG$5:$AG$364,0),1)/INDEX(其他调用!AL$5:AL$364,MATCH($K176,其他调用!$AG$5:$AG$364,0),0),1)*INDEX(其他调用!AC$5:AC$404,MATCH($K176,其他调用!$X$5:$X$404,0),0)</f>
        <v>3496.4960030565226</v>
      </c>
      <c r="Z176" s="12">
        <f>求节点(节奏总纲!D$4:D$163,标准城池设计!AD$4:AD$163,$K176)*求节点(节奏总纲!D$4:D$163,攻城基础信息!$AE$5:$AE$164,$K176)</f>
        <v>692751.3048245688</v>
      </c>
      <c r="AA176" s="12">
        <f>INDEX(其他调用!$AA$5:$AA$404,MATCH($K176,其他调用!$X$5:$X$404,0))*MIN(INDEX(其他调用!AJ$5:AJ$364,MATCH($K176,其他调用!$AG$5:$AG$364,0),1)/INDEX(其他调用!$AJ$5:$AJ$364,MATCH($K176,其他调用!$AG$5:$AG$364,0),0),5)*求节点(节奏总纲!D$4:D$163,攻城基础信息!$AE$5:$AE$164,$K176)</f>
        <v>138615.32365317576</v>
      </c>
      <c r="AB176" s="12">
        <f>MIN(INDEX(其他调用!$AJ$5:$AJ$364,MATCH($K176,其他调用!$AG$5:$AG$364,0),1)/INDEX(其他调用!AH$5:AH$364,MATCH($K176,其他调用!$AG$5:$AG$364,0),0),1)*INDEX(其他调用!Y$5:Y$404,MATCH($K176,其他调用!$X$5:$X$404,0),0)</f>
        <v>39229.034831607234</v>
      </c>
      <c r="AC176" s="12">
        <f>MIN(INDEX(其他调用!$AJ$5:$AJ$364,MATCH($K176,其他调用!$AG$5:$AG$364,0),1)/INDEX(其他调用!AI$5:AI$364,MATCH($K176,其他调用!$AG$5:$AG$364,0),0),1)*INDEX(其他调用!Z$5:Z$404,MATCH($K176,其他调用!$X$5:$X$404,0),0)</f>
        <v>40384.745510689594</v>
      </c>
      <c r="AD176" s="12">
        <f>MIN(INDEX(其他调用!$AJ$5:$AJ$364,MATCH($K176,其他调用!$AG$5:$AG$364,0),1)/INDEX(其他调用!AJ$5:AJ$364,MATCH($K176,其他调用!$AG$5:$AG$364,0),0),1)*INDEX(其他调用!AA$5:AA$404,MATCH($K176,其他调用!$X$5:$X$404,0),0)</f>
        <v>41896.3170088486</v>
      </c>
      <c r="AE176" s="12">
        <f>MIN(INDEX(其他调用!$AJ$5:$AJ$364,MATCH($K176,其他调用!$AG$5:$AG$364,0),1)/INDEX(其他调用!AK$5:AK$364,MATCH($K176,其他调用!$AG$5:$AG$364,0),0),1)*INDEX(其他调用!AB$5:AB$404,MATCH($K176,其他调用!$X$5:$X$404,0),0)</f>
        <v>15318.415300164004</v>
      </c>
      <c r="AF176" s="12">
        <f>MIN(INDEX(其他调用!$AJ$5:$AJ$364,MATCH($K176,其他调用!$AG$5:$AG$364,0),1)/INDEX(其他调用!AL$5:AL$364,MATCH($K176,其他调用!$AG$5:$AG$364,0),0),1)*INDEX(其他调用!AC$5:AC$404,MATCH($K176,其他调用!$X$5:$X$404,0),0)</f>
        <v>6080.8655108551002</v>
      </c>
      <c r="AG176" s="12">
        <f>求节点(节奏总纲!D$4:D$163,标准城池设计!AE$4:AE$163,$K176)*求节点(节奏总纲!D$4:D$163,攻城基础信息!$AF$5:$AF$164,$K176)</f>
        <v>820521.86359841225</v>
      </c>
      <c r="AH176" s="12">
        <f>INDEX(其他调用!$AA$5:$AA$404,MATCH($K176,其他调用!$X$5:$X$404,0))*MIN(INDEX(其他调用!AK$5:AK$364,MATCH($K176,其他调用!$AG$5:$AG$364,0),1)/INDEX(其他调用!$AJ$5:$AJ$364,MATCH($K176,其他调用!$AG$5:$AG$364,0),0),5)*求节点(节奏总纲!D$4:D$163,攻城基础信息!$AF$5:$AF$164,$K176)</f>
        <v>399016.3100022474</v>
      </c>
      <c r="AI176" s="12">
        <f>MIN(INDEX(其他调用!$AK$5:$AK$364,MATCH($K176,其他调用!$AG$5:$AG$364,0),1)/INDEX(其他调用!AH$5:AH$364,MATCH($K176,其他调用!$AG$5:$AG$364,0),0),1)*INDEX(其他调用!Y$5:Y$404,MATCH($K176,其他调用!$X$5:$X$404,0),0)</f>
        <v>39229.034831607234</v>
      </c>
      <c r="AJ176" s="12">
        <f>MIN(INDEX(其他调用!$AK$5:$AK$364,MATCH($K176,其他调用!$AG$5:$AG$364,0),1)/INDEX(其他调用!AI$5:AI$364,MATCH($K176,其他调用!$AG$5:$AG$364,0),0),1)*INDEX(其他调用!Z$5:Z$404,MATCH($K176,其他调用!$X$5:$X$404,0),0)</f>
        <v>40384.745510689594</v>
      </c>
      <c r="AK176" s="12">
        <f>MIN(INDEX(其他调用!$AK$5:$AK$364,MATCH($K176,其他调用!$AG$5:$AG$364,0),1)/INDEX(其他调用!AJ$5:AJ$364,MATCH($K176,其他调用!$AG$5:$AG$364,0),0),1)*INDEX(其他调用!AA$5:AA$404,MATCH($K176,其他调用!$X$5:$X$404,0),0)</f>
        <v>41896.3170088486</v>
      </c>
      <c r="AL176" s="12">
        <f>MIN(INDEX(其他调用!$AK$5:$AK$364,MATCH($K176,其他调用!$AG$5:$AG$364,0),1)/INDEX(其他调用!AK$5:AK$364,MATCH($K176,其他调用!$AG$5:$AG$364,0),0),1)*INDEX(其他调用!AB$5:AB$404,MATCH($K176,其他调用!$X$5:$X$404,0),0)</f>
        <v>44095.39571142049</v>
      </c>
      <c r="AM176" s="12">
        <f>MIN(INDEX(其他调用!$AK$5:$AK$364,MATCH($K176,其他调用!$AG$5:$AG$364,0),1)/INDEX(其他调用!AL$5:AL$364,MATCH($K176,其他调用!$AG$5:$AG$364,0),0),1)*INDEX(其他调用!AC$5:AC$404,MATCH($K176,其他调用!$X$5:$X$404,0),0)</f>
        <v>17504.302221536844</v>
      </c>
      <c r="AN176" s="12">
        <f>求节点(节奏总纲!D$4:D$163,标准城池设计!AF$4:AF$163,$K176)*求节点(节奏总纲!D$4:D$163,攻城基础信息!$AG$5:$AG$164,$K176)</f>
        <v>839070.59272063954</v>
      </c>
      <c r="AO176" s="12">
        <f>INDEX(其他调用!$AA$5:$AA$404,MATCH($K176,其他调用!$X$5:$X$404,0))*MIN(INDEX(其他调用!AL$5:AL$364,MATCH($K176,其他调用!$AG$5:$AG$364,0),1)/INDEX(其他调用!$AJ$5:$AJ$364,MATCH($K176,其他调用!$AG$5:$AG$364,0),0),5)*求节点(节奏总纲!D$4:D$163,攻城基础信息!$AG$5:$AG$164,$K176)</f>
        <v>693076.61826587876</v>
      </c>
      <c r="AP176" s="12">
        <f>MIN(INDEX(其他调用!$AL$5:$AL$364,MATCH($K176,其他调用!$AG$5:$AG$364,0),1)/INDEX(其他调用!AH$5:AH$364,MATCH($K176,其他调用!$AG$5:$AG$364,0),0),1)*INDEX(其他调用!Y$5:Y$404,MATCH($K176,其他调用!$X$5:$X$404,0),0)</f>
        <v>39229.034831607234</v>
      </c>
      <c r="AQ176" s="12">
        <f>MIN(INDEX(其他调用!$AL$5:$AL$364,MATCH($K176,其他调用!$AG$5:$AG$364,0),1)/INDEX(其他调用!AI$5:AI$364,MATCH($K176,其他调用!$AG$5:$AG$364,0),0),1)*INDEX(其他调用!Z$5:Z$404,MATCH($K176,其他调用!$X$5:$X$404,0),0)</f>
        <v>40384.745510689594</v>
      </c>
      <c r="AR176" s="12">
        <f>MIN(INDEX(其他调用!$AL$5:$AL$364,MATCH($K176,其他调用!$AG$5:$AG$364,0),1)/INDEX(其他调用!AJ$5:AJ$364,MATCH($K176,其他调用!$AG$5:$AG$364,0),0),1)*INDEX(其他调用!AA$5:AA$404,MATCH($K176,其他调用!$X$5:$X$404,0),0)</f>
        <v>41896.3170088486</v>
      </c>
      <c r="AS176" s="12">
        <f>MIN(INDEX(其他调用!$AL$5:$AL$364,MATCH($K176,其他调用!$AG$5:$AG$364,0),1)/INDEX(其他调用!AK$5:AK$364,MATCH($K176,其他调用!$AG$5:$AG$364,0),0),1)*INDEX(其他调用!AB$5:AB$404,MATCH($K176,其他调用!$X$5:$X$404,0),0)</f>
        <v>44095.39571142049</v>
      </c>
      <c r="AT176" s="12">
        <f>MIN(INDEX(其他调用!$AL$5:$AL$364,MATCH($K176,其他调用!$AG$5:$AG$364,0),1)/INDEX(其他调用!AL$5:AL$364,MATCH($K176,其他调用!$AG$5:$AG$364,0),0),1)*INDEX(其他调用!AC$5:AC$404,MATCH($K176,其他调用!$X$5:$X$404,0),0)</f>
        <v>48040.13520471831</v>
      </c>
      <c r="AV176" s="14">
        <f>IF(OR(AV$5="大R",AV$5="超R"),MAX(INDEX(其他调用!$H$5:$L$404,MATCH($K176,其他调用!$B$5:$B$404,0),MATCH(AV$5,其他调用!$H$4:$L$4,0))*120*0.85,2),INDEX(其他调用!$H$5:$L$404,MATCH($K176,其他调用!$B$5:$B$404,0),MATCH(AV$5,其他调用!$H$4:$L$4,0))*120*0.85)</f>
        <v>48.921801254999991</v>
      </c>
      <c r="AW176" s="14">
        <f>IF(OR(AW$5="大R",AW$5="超R"),MAX(INDEX(其他调用!$H$5:$L$404,MATCH($K176,其他调用!$B$5:$B$404,0),MATCH(AW$5,其他调用!$H$4:$L$4,0))*120*0.85,2),INDEX(其他调用!$H$5:$L$404,MATCH($K176,其他调用!$B$5:$B$404,0),MATCH(AW$5,其他调用!$H$4:$L$4,0))*120*0.85)</f>
        <v>48.237344010638395</v>
      </c>
      <c r="AX176" s="14">
        <f>IF(OR(AX$5="大R",AX$5="超R"),MAX(INDEX(其他调用!$H$5:$L$404,MATCH($K176,其他调用!$B$5:$B$404,0),MATCH(AX$5,其他调用!$H$4:$L$4,0))*120*0.85,2),INDEX(其他调用!$H$5:$L$404,MATCH($K176,其他调用!$B$5:$B$404,0),MATCH(AX$5,其他调用!$H$4:$L$4,0))*120*0.85)</f>
        <v>3.9376284143615998</v>
      </c>
      <c r="AY176" s="14">
        <f>IF(OR(AY$5="大R",AY$5="超R"),MAX(INDEX(其他调用!$H$5:$L$404,MATCH($K176,其他调用!$B$5:$B$404,0),MATCH(AY$5,其他调用!$H$4:$L$4,0))*120*0.85,2),INDEX(其他调用!$H$5:$L$404,MATCH($K176,其他调用!$B$5:$B$404,0),MATCH(AY$5,其他调用!$H$4:$L$4,0))*120*0.85)</f>
        <v>2</v>
      </c>
      <c r="AZ176" s="14">
        <f>IF(OR(AZ$5="大R",AZ$5="超R"),MAX(INDEX(其他调用!$H$5:$L$404,MATCH($K176,其他调用!$B$5:$B$404,0),MATCH(AZ$5,其他调用!$H$4:$L$4,0))*120*0.85,2),INDEX(其他调用!$H$5:$L$404,MATCH($K176,其他调用!$B$5:$B$404,0),MATCH(AZ$5,其他调用!$H$4:$L$4,0))*120*0.85)</f>
        <v>2</v>
      </c>
      <c r="BA176" s="14">
        <f>INDEX(其他调用!$H$5:$L$404,MATCH($K176,其他调用!$B$5:$B$404,0),MATCH(BA$5,其他调用!$H$4:$L$4,0))*INDEX(其他调用!$M$5:$M$404,MATCH($K176,其他调用!$B$5:$B$404,0))*0.6</f>
        <v>28.777530149999997</v>
      </c>
      <c r="BB176" s="14">
        <f>INDEX(其他调用!$H$5:$L$404,MATCH($K176,其他调用!$B$5:$B$404,0),MATCH(BB$5,其他调用!$H$4:$L$4,0))*INDEX(其他调用!$M$5:$M$404,MATCH($K176,其他调用!$B$5:$B$404,0))*0.6</f>
        <v>28.374908241551999</v>
      </c>
      <c r="BC176" s="14">
        <f>INDEX(其他调用!$H$5:$L$404,MATCH($K176,其他调用!$B$5:$B$404,0),MATCH(BC$5,其他调用!$H$4:$L$4,0))*INDEX(其他调用!$M$5:$M$404,MATCH($K176,其他调用!$B$5:$B$404,0))*0.6</f>
        <v>2.3162520084480001</v>
      </c>
      <c r="BD176" s="14">
        <f>INDEX(其他调用!$H$5:$L$404,MATCH($K176,其他调用!$B$5:$B$404,0),MATCH(BD$5,其他调用!$H$4:$L$4,0))*INDEX(其他调用!$M$5:$M$404,MATCH($K176,其他调用!$B$5:$B$404,0))*0.6</f>
        <v>0.4120776000000001</v>
      </c>
      <c r="BE176" s="14">
        <f>INDEX(其他调用!$H$5:$L$404,MATCH($K176,其他调用!$B$5:$B$404,0),MATCH(BE$5,其他调用!$H$4:$L$4,0))*INDEX(其他调用!$M$5:$M$404,MATCH($K176,其他调用!$B$5:$B$404,0))*0.6</f>
        <v>0.11923199999999998</v>
      </c>
      <c r="BF176" s="14">
        <f>IF(OR(BF$5="大R",BF$5="超R"),0,INDEX(其他调用!$H$5:$L$404,MATCH($K176,其他调用!$B$5:$B$404,0),MATCH(BF$5,其他调用!$H$4:$L$4,0))*50*0.4)</f>
        <v>9.5925100500000013</v>
      </c>
      <c r="BG176" s="14">
        <f>IF(OR(BG$5="大R",BG$5="超R"),0,INDEX(其他调用!$H$5:$L$404,MATCH($K176,其他调用!$B$5:$B$404,0),MATCH(BG$5,其他调用!$H$4:$L$4,0))*50*0.4)</f>
        <v>9.4583027471839998</v>
      </c>
      <c r="BH176" s="14">
        <f>IF(OR(BH$5="大R",BH$5="超R"),0,INDEX(其他调用!$H$5:$L$404,MATCH($K176,其他调用!$B$5:$B$404,0),MATCH(BH$5,其他调用!$H$4:$L$4,0))*50*0.4)</f>
        <v>0.77208400281600009</v>
      </c>
      <c r="BI176" s="14">
        <f>IF(OR(BI$5="大R",BI$5="超R"),0,INDEX(其他调用!$H$5:$L$404,MATCH($K176,其他调用!$B$5:$B$404,0),MATCH(BI$5,其他调用!$H$4:$L$4,0))*50*0.4)</f>
        <v>0</v>
      </c>
      <c r="BJ176" s="14">
        <f>IF(OR(BJ$5="大R",BJ$5="超R"),0,INDEX(其他调用!$H$5:$L$404,MATCH($K176,其他调用!$B$5:$B$404,0),MATCH(BJ$5,其他调用!$H$4:$L$4,0))*50*0.4)</f>
        <v>0</v>
      </c>
      <c r="BL176" s="14">
        <f t="shared" si="313"/>
        <v>171</v>
      </c>
      <c r="BM176" s="14">
        <f t="shared" si="220"/>
        <v>96</v>
      </c>
      <c r="BN176" s="14">
        <f>('疲劳值&amp;地图信息'!$S$10*'疲劳值&amp;地图信息'!$R$10+'疲劳值&amp;地图信息'!$S$11*'疲劳值&amp;地图信息'!$R$11+'疲劳值&amp;地图信息'!$S$12*'疲劳值&amp;地图信息'!$R$12+(BM176-'疲劳值&amp;地图信息'!$S$12-'疲劳值&amp;地图信息'!$S$11-'疲劳值&amp;地图信息'!$S$10)*'疲劳值&amp;地图信息'!$R$13)/BM176</f>
        <v>51.371477246638619</v>
      </c>
      <c r="BO176" s="14">
        <f>INDEX(其他调用!$M$5:$M$404,MATCH(BL176,其他调用!$B$5:$B$404,0))*0.6</f>
        <v>60</v>
      </c>
      <c r="BP176" s="14">
        <f>IF(BO176&gt;SUM('疲劳值&amp;地图信息'!$S$10:$S$12),('疲劳值&amp;地图信息'!$S$10*'疲劳值&amp;地图信息'!$R$10+'疲劳值&amp;地图信息'!$S$11*'疲劳值&amp;地图信息'!$R$11+'疲劳值&amp;地图信息'!$S$12*'疲劳值&amp;地图信息'!$R$12+(BO176-'疲劳值&amp;地图信息'!$S$12-'疲劳值&amp;地图信息'!$S$11-'疲劳值&amp;地图信息'!$S$10)*'疲劳值&amp;地图信息'!$R$13)/BO176,('疲劳值&amp;地图信息'!$S$10*'疲劳值&amp;地图信息'!$R$10+'疲劳值&amp;地图信息'!$S$11*'疲劳值&amp;地图信息'!$R$11+'疲劳值&amp;地图信息'!$S$12*'疲劳值&amp;地图信息'!$R$12+(BO176-'疲劳值&amp;地图信息'!$S$12-'疲劳值&amp;地图信息'!$S$11-'疲劳值&amp;地图信息'!$S$10)*'疲劳值&amp;地图信息'!$R$13)/BO176)</f>
        <v>44.158136341605953</v>
      </c>
      <c r="BQ176" s="14">
        <f t="shared" si="314"/>
        <v>20</v>
      </c>
      <c r="BR176" s="14">
        <f>('疲劳值&amp;地图信息'!$S$10*'疲劳值&amp;地图信息'!$R$10+($BQ176-'疲劳值&amp;地图信息'!$S$10)*'疲劳值&amp;地图信息'!$R$11)/$BQ176</f>
        <v>32.067203015074995</v>
      </c>
      <c r="CF176" s="14">
        <v>171</v>
      </c>
      <c r="CG176" s="51">
        <f t="shared" si="221"/>
        <v>12452</v>
      </c>
      <c r="CH176" s="51">
        <f t="shared" si="222"/>
        <v>988</v>
      </c>
      <c r="CI176" s="51">
        <f>INT(SUMPRODUCT($N176:$R176,$BA176:$BE176)/SUM($BA176:$BE176)/10000*$BX$7*$BZ$34/'疲劳值&amp;地图信息'!$R$10*$BY$53)</f>
        <v>3150</v>
      </c>
      <c r="CJ176" s="50">
        <f t="shared" si="223"/>
        <v>0.75057263411693786</v>
      </c>
      <c r="CK176" s="50">
        <f t="shared" si="224"/>
        <v>5.9553948161543101E-2</v>
      </c>
      <c r="CL176" s="50">
        <f t="shared" si="225"/>
        <v>0.189873417721519</v>
      </c>
      <c r="CM176" s="14">
        <f t="shared" si="226"/>
        <v>13294</v>
      </c>
      <c r="CN176" s="14">
        <f t="shared" si="227"/>
        <v>1624</v>
      </c>
      <c r="CO176" s="14">
        <f>INT(SUMPRODUCT($U176:$Y176,$BA176:$BE176)/SUM($BA176:$BE176)/10000*$BX$7*$BZ$34/'疲劳值&amp;地图信息'!$R$10*$BY$54)</f>
        <v>5922</v>
      </c>
      <c r="CP176" s="50">
        <f t="shared" si="228"/>
        <v>0.63790786948176581</v>
      </c>
      <c r="CQ176" s="50">
        <f t="shared" si="229"/>
        <v>7.792706333973129E-2</v>
      </c>
      <c r="CR176" s="50">
        <f t="shared" si="230"/>
        <v>0.28416506717850287</v>
      </c>
      <c r="CS176" s="14">
        <f t="shared" si="231"/>
        <v>14119</v>
      </c>
      <c r="CT176" s="14">
        <f t="shared" si="232"/>
        <v>2825</v>
      </c>
      <c r="CU176" s="14">
        <f>INT(SUMPRODUCT($AB176:$AF176,$BA176:$BE176)/SUM($BA176:$BE176)/10000*$BX$7*$BZ$34/'疲劳值&amp;地图信息'!$R$10*$BY$55)</f>
        <v>8046</v>
      </c>
      <c r="CV176" s="50">
        <f t="shared" si="233"/>
        <v>0.56498599439775909</v>
      </c>
      <c r="CW176" s="50">
        <f t="shared" si="234"/>
        <v>0.11304521808723489</v>
      </c>
      <c r="CX176" s="50">
        <f t="shared" si="235"/>
        <v>0.32196878751500602</v>
      </c>
      <c r="CY176" s="14">
        <f t="shared" si="236"/>
        <v>16723</v>
      </c>
      <c r="CZ176" s="14">
        <f t="shared" si="237"/>
        <v>8132</v>
      </c>
      <c r="DA176" s="14">
        <f>INT(SUMPRODUCT($AI176:$AM176,$BA176:$BE176)/SUM($BA176:$BE176)/10000*$BX$7*$BZ$34/'疲劳值&amp;地图信息'!$R$10*$BY$56)</f>
        <v>12136</v>
      </c>
      <c r="DB176" s="50">
        <f t="shared" si="238"/>
        <v>0.45208293909329295</v>
      </c>
      <c r="DC176" s="50">
        <f t="shared" si="239"/>
        <v>0.21983725771133519</v>
      </c>
      <c r="DD176" s="50">
        <f t="shared" si="240"/>
        <v>0.32807980319537183</v>
      </c>
      <c r="DE176" s="14">
        <f t="shared" si="241"/>
        <v>17101</v>
      </c>
      <c r="DF176" s="14">
        <f t="shared" si="242"/>
        <v>14125</v>
      </c>
      <c r="DG176" s="14">
        <f>INT(SUMPRODUCT($AP176:$AT176,$BA176:$BE176)/SUM($BA176:$BE176)/10000*$BX$7*$BZ$34/'疲劳值&amp;地图信息'!$R$10*$BY$57)</f>
        <v>16206</v>
      </c>
      <c r="DH176" s="50">
        <f t="shared" si="243"/>
        <v>0.36053719008264462</v>
      </c>
      <c r="DI176" s="50">
        <f t="shared" si="244"/>
        <v>0.29779473772980264</v>
      </c>
      <c r="DJ176" s="50">
        <f t="shared" si="245"/>
        <v>0.34166807218755268</v>
      </c>
      <c r="DL176" s="14">
        <f t="shared" si="316"/>
        <v>16590</v>
      </c>
      <c r="DM176" s="14">
        <f t="shared" si="317"/>
        <v>20840</v>
      </c>
      <c r="DN176" s="14">
        <f t="shared" si="318"/>
        <v>24990</v>
      </c>
      <c r="DO176" s="14">
        <f t="shared" si="319"/>
        <v>36991</v>
      </c>
      <c r="DP176" s="14">
        <f t="shared" si="320"/>
        <v>47432</v>
      </c>
      <c r="DQ176" s="14">
        <f t="shared" si="321"/>
        <v>1147534</v>
      </c>
      <c r="DT176" s="14">
        <f t="shared" si="315"/>
        <v>235575</v>
      </c>
      <c r="DU176" s="50">
        <f t="shared" si="217"/>
        <v>0.17032280174592168</v>
      </c>
      <c r="DW176" s="14">
        <f t="shared" si="246"/>
        <v>1383109</v>
      </c>
      <c r="EB176" s="14">
        <v>171</v>
      </c>
      <c r="EC176" s="51">
        <f t="shared" si="247"/>
        <v>20753</v>
      </c>
      <c r="ED176" s="51">
        <f t="shared" si="248"/>
        <v>1647</v>
      </c>
      <c r="EE176" s="51">
        <f>INT(SUMPRODUCT($N176:$R176,$BF176:$BJ176)/SUM($BF176:$BJ176)/10000*$BX$7*$BZ$46/'疲劳值&amp;地图信息'!$R$10*$BY$53)</f>
        <v>423</v>
      </c>
      <c r="EF176" s="50">
        <f t="shared" si="249"/>
        <v>0.90930201989221404</v>
      </c>
      <c r="EG176" s="50">
        <f t="shared" si="250"/>
        <v>7.216404504228191E-2</v>
      </c>
      <c r="EH176" s="50">
        <f t="shared" si="251"/>
        <v>1.8533935065504097E-2</v>
      </c>
      <c r="EI176" s="51">
        <f t="shared" si="252"/>
        <v>22157</v>
      </c>
      <c r="EJ176" s="51">
        <f t="shared" si="253"/>
        <v>2707</v>
      </c>
      <c r="EK176" s="14">
        <f>INT(SUMPRODUCT($U176:$Y176,$BF176:$BJ176)/SUM($BF176:$BJ176)/10000*$BX$7*$BZ$46/'疲劳值&amp;地图信息'!$R$10*$BY$54)</f>
        <v>795</v>
      </c>
      <c r="EL176" s="50">
        <f t="shared" si="254"/>
        <v>0.86351767411044855</v>
      </c>
      <c r="EM176" s="50">
        <f t="shared" si="255"/>
        <v>0.10549904516933629</v>
      </c>
      <c r="EN176" s="50">
        <f t="shared" si="256"/>
        <v>3.0983280720215129E-2</v>
      </c>
      <c r="EO176" s="51">
        <f t="shared" si="257"/>
        <v>23531</v>
      </c>
      <c r="EP176" s="51">
        <f t="shared" si="258"/>
        <v>4708</v>
      </c>
      <c r="EQ176" s="14">
        <f>INT(SUMPRODUCT($AB176:$AF176,$BF176:$BJ176)/SUM($BF176:$BJ176)/10000*$BX$7*$BZ$46/'疲劳值&amp;地图信息'!$R$10*$BY$55)</f>
        <v>1079</v>
      </c>
      <c r="ER176" s="50">
        <f t="shared" si="259"/>
        <v>0.80261272938126749</v>
      </c>
      <c r="ES176" s="50">
        <f t="shared" si="260"/>
        <v>0.16058394160583941</v>
      </c>
      <c r="ET176" s="50">
        <f t="shared" si="261"/>
        <v>3.6803329012893106E-2</v>
      </c>
      <c r="EU176" s="51">
        <f t="shared" si="262"/>
        <v>27872</v>
      </c>
      <c r="EV176" s="51">
        <f t="shared" si="263"/>
        <v>13554</v>
      </c>
      <c r="EW176" s="14">
        <f>INT(SUMPRODUCT($AI176:$AM176,$BF176:$BJ176)/SUM($BF176:$BJ176)/10000*$BX$7*$BZ$46/'疲劳值&amp;地图信息'!$R$10*$BY$56)</f>
        <v>1618</v>
      </c>
      <c r="EX176" s="50">
        <f t="shared" si="264"/>
        <v>0.64752346436204811</v>
      </c>
      <c r="EY176" s="50">
        <f t="shared" si="265"/>
        <v>0.31488709227766937</v>
      </c>
      <c r="EZ176" s="50">
        <f t="shared" si="266"/>
        <v>3.7589443360282498E-2</v>
      </c>
      <c r="FA176" s="51">
        <f t="shared" si="267"/>
        <v>28502</v>
      </c>
      <c r="FB176" s="51">
        <f t="shared" si="268"/>
        <v>23542</v>
      </c>
      <c r="FC176" s="14">
        <f>INT(SUMPRODUCT($AP176:$AT176,$BF176:$BJ176)/SUM($BF176:$BJ176)/10000*$BX$7*$BZ$46/'疲劳值&amp;地图信息'!$R$10*$BY$57)</f>
        <v>2158</v>
      </c>
      <c r="FD176" s="50">
        <f t="shared" si="269"/>
        <v>0.52584775469539868</v>
      </c>
      <c r="FE176" s="50">
        <f t="shared" si="270"/>
        <v>0.43433821630198149</v>
      </c>
      <c r="FF176" s="50">
        <f t="shared" si="271"/>
        <v>3.9814029002619829E-2</v>
      </c>
      <c r="FH176" s="14">
        <f t="shared" si="272"/>
        <v>22823</v>
      </c>
      <c r="FI176" s="14">
        <f t="shared" si="273"/>
        <v>25659</v>
      </c>
      <c r="FJ176" s="14">
        <f t="shared" si="274"/>
        <v>29318</v>
      </c>
      <c r="FK176" s="14">
        <f t="shared" si="275"/>
        <v>43044</v>
      </c>
      <c r="FL176" s="14">
        <f t="shared" si="276"/>
        <v>54202</v>
      </c>
      <c r="FM176" s="14">
        <f t="shared" si="277"/>
        <v>2664199</v>
      </c>
      <c r="FP176" s="14">
        <f t="shared" si="278"/>
        <v>334150</v>
      </c>
      <c r="FQ176" s="50">
        <f t="shared" si="218"/>
        <v>0.11144466504733105</v>
      </c>
      <c r="FS176" s="14">
        <f t="shared" si="279"/>
        <v>2998349</v>
      </c>
      <c r="FX176" s="14">
        <v>171</v>
      </c>
      <c r="FY176" s="51">
        <f t="shared" si="280"/>
        <v>29055</v>
      </c>
      <c r="FZ176" s="51">
        <f t="shared" si="281"/>
        <v>1647</v>
      </c>
      <c r="GA176" s="51">
        <f>INT(SUMPRODUCT($N176:$R176,$BF176:$BJ176)/SUM($BF176:$BJ176)/10000*$BX$7*$BZ$46/'疲劳值&amp;地图信息'!$R$10*$BY$53)</f>
        <v>423</v>
      </c>
      <c r="GB176" s="50">
        <f t="shared" si="282"/>
        <v>0.93349397590361449</v>
      </c>
      <c r="GC176" s="50">
        <f t="shared" si="283"/>
        <v>5.2915662650602407E-2</v>
      </c>
      <c r="GD176" s="50">
        <f t="shared" si="284"/>
        <v>1.3590361445783133E-2</v>
      </c>
      <c r="GE176" s="51">
        <f t="shared" si="285"/>
        <v>31020</v>
      </c>
      <c r="GF176" s="51">
        <f t="shared" si="286"/>
        <v>2707</v>
      </c>
      <c r="GG176" s="14">
        <f>INT(SUMPRODUCT($U176:$Y176,$BF176:$BJ176)/SUM($BF176:$BJ176)/10000*$BX$7*$BZ$46/'疲劳值&amp;地图信息'!$R$10*$BY$54)</f>
        <v>795</v>
      </c>
      <c r="GH176" s="50">
        <f t="shared" si="287"/>
        <v>0.89855744163142348</v>
      </c>
      <c r="GI176" s="50">
        <f t="shared" si="288"/>
        <v>7.8413765135276051E-2</v>
      </c>
      <c r="GJ176" s="50">
        <f t="shared" si="289"/>
        <v>2.3028793233300503E-2</v>
      </c>
      <c r="GK176" s="51">
        <f t="shared" si="290"/>
        <v>32944</v>
      </c>
      <c r="GL176" s="51">
        <f t="shared" si="291"/>
        <v>4708</v>
      </c>
      <c r="GM176" s="14">
        <f>INT(SUMPRODUCT($AB176:$AF176,$BF176:$BJ176)/SUM($BF176:$BJ176)/10000*$BX$7*$BZ$46/'疲劳值&amp;地图信息'!$R$10*$BY$55)</f>
        <v>1079</v>
      </c>
      <c r="GN176" s="50">
        <f t="shared" si="292"/>
        <v>0.85058480287108518</v>
      </c>
      <c r="GO176" s="50">
        <f t="shared" si="293"/>
        <v>0.12155637602953706</v>
      </c>
      <c r="GP176" s="50">
        <f t="shared" si="294"/>
        <v>2.7858821099377758E-2</v>
      </c>
      <c r="GQ176" s="51">
        <f t="shared" si="295"/>
        <v>39021</v>
      </c>
      <c r="GR176" s="51">
        <f t="shared" si="296"/>
        <v>13554</v>
      </c>
      <c r="GS176" s="14">
        <f>INT(SUMPRODUCT($AI176:$AM176,$BF176:$BJ176)/SUM($BF176:$BJ176)/10000*$BX$7*$BZ$46/'疲劳值&amp;地图信息'!$R$10*$BY$56)</f>
        <v>1618</v>
      </c>
      <c r="GT176" s="50">
        <f t="shared" si="297"/>
        <v>0.72003764323805652</v>
      </c>
      <c r="GU176" s="50">
        <f t="shared" si="298"/>
        <v>0.25010610226413005</v>
      </c>
      <c r="GV176" s="50">
        <f t="shared" si="299"/>
        <v>2.9856254497813369E-2</v>
      </c>
      <c r="GW176" s="51">
        <f t="shared" si="300"/>
        <v>39903</v>
      </c>
      <c r="GX176" s="51">
        <f t="shared" si="301"/>
        <v>23542</v>
      </c>
      <c r="GY176" s="14">
        <f>INT(SUMPRODUCT($AP176:$AT176,$BF176:$BJ176)/SUM($BF176:$BJ176)/10000*$BX$7*$BZ$46/'疲劳值&amp;地图信息'!$R$10*$BY$57)</f>
        <v>2158</v>
      </c>
      <c r="GZ176" s="50">
        <f t="shared" si="302"/>
        <v>0.60824962273066785</v>
      </c>
      <c r="HA176" s="50">
        <f t="shared" si="303"/>
        <v>0.35885554014298127</v>
      </c>
      <c r="HB176" s="50">
        <f t="shared" si="304"/>
        <v>3.2894837126350926E-2</v>
      </c>
      <c r="HD176" s="14">
        <f t="shared" si="305"/>
        <v>31125</v>
      </c>
      <c r="HE176" s="14">
        <f t="shared" si="306"/>
        <v>34522</v>
      </c>
      <c r="HF176" s="14">
        <f t="shared" si="307"/>
        <v>38731</v>
      </c>
      <c r="HG176" s="14">
        <f t="shared" si="308"/>
        <v>54193</v>
      </c>
      <c r="HH176" s="14">
        <f t="shared" si="309"/>
        <v>65603</v>
      </c>
      <c r="HI176" s="14">
        <f t="shared" si="310"/>
        <v>3580040</v>
      </c>
      <c r="HL176" s="14">
        <f t="shared" si="311"/>
        <v>430050</v>
      </c>
      <c r="HM176" s="50">
        <f t="shared" si="219"/>
        <v>0.10724198210015237</v>
      </c>
      <c r="HO176" s="14">
        <f t="shared" si="312"/>
        <v>4010090</v>
      </c>
    </row>
    <row r="177" spans="11:223" x14ac:dyDescent="0.2">
      <c r="K177" s="14">
        <v>172</v>
      </c>
      <c r="L177" s="12">
        <f>求节点(节奏总纲!D$4:D$163,标准城池设计!AB$4:AB$163,$K177)*求节点(节奏总纲!D$4:D$163,攻城基础信息!$AC$5:$AC$164,$K177)</f>
        <v>612739.55522560317</v>
      </c>
      <c r="M177" s="12">
        <f>INDEX(其他调用!$AA$5:$AA$404,MATCH(K177,其他调用!$X$5:$X$404,0))*MIN(INDEX(其他调用!$AH$5:$AH$364,MATCH('征服点（新）'!K177,其他调用!$AG$5:$AG$364,0),1)/INDEX(其他调用!$AJ$5:$AJ$364,MATCH(K177,其他调用!$AG$5:$AG$364,0),0),5)*求节点(节奏总纲!D$4:D$163,攻城基础信息!$AC$5:$AC$164,$K177)</f>
        <v>48597.134105372752</v>
      </c>
      <c r="N177" s="12">
        <f>MIN(INDEX(其他调用!$AH$5:$AH$364,MATCH($K177,其他调用!$AG$5:$AG$364,0),1)/INDEX(其他调用!AH$5:AH$364,MATCH($K177,其他调用!$AG$5:$AG$364,0),0),1)*INDEX(其他调用!Y$5:Y$404,MATCH($K177,其他调用!$X$5:$X$404,0),0)</f>
        <v>39263.069653104591</v>
      </c>
      <c r="O177" s="12">
        <f>MIN(INDEX(其他调用!$AH$5:$AH$364,MATCH($K177,其他调用!$AG$5:$AG$364,0),1)/INDEX(其他调用!AI$5:AI$364,MATCH($K177,其他调用!$AG$5:$AG$364,0),0),1)*INDEX(其他调用!Z$5:Z$404,MATCH($K177,其他调用!$X$5:$X$404,0),0)</f>
        <v>24599.304610868552</v>
      </c>
      <c r="P177" s="12">
        <f>MIN(INDEX(其他调用!$AH$5:$AH$364,MATCH($K177,其他调用!$AG$5:$AG$364,0),1)/INDEX(其他调用!AJ$5:AJ$364,MATCH($K177,其他调用!$AG$5:$AG$364,0),0),1)*INDEX(其他调用!AA$5:AA$404,MATCH($K177,其他调用!$X$5:$X$404,0),0)</f>
        <v>14676.228556878883</v>
      </c>
      <c r="Q177" s="12">
        <f>MIN(INDEX(其他调用!$AH$5:$AH$364,MATCH($K177,其他调用!$AG$5:$AG$364,0),1)/INDEX(其他调用!AK$5:AK$364,MATCH($K177,其他调用!$AG$5:$AG$364,0),0),1)*INDEX(其他调用!AB$5:AB$404,MATCH($K177,其他调用!$X$5:$X$404,0),0)</f>
        <v>5361.1961112391873</v>
      </c>
      <c r="R177" s="12">
        <f>MIN(INDEX(其他调用!$AH$5:$AH$364,MATCH($K177,其他调用!$AG$5:$AG$364,0),1)/INDEX(其他调用!AL$5:AL$364,MATCH($K177,其他调用!$AG$5:$AG$364,0),0),1)*INDEX(其他调用!AC$5:AC$404,MATCH($K177,其他调用!$X$5:$X$404,0),0)</f>
        <v>2136.9956240287484</v>
      </c>
      <c r="S177" s="12">
        <f>求节点(节奏总纲!D$4:D$163,标准城池设计!AC$4:AC$163,$K177)*求节点(节奏总纲!D$4:D$163,攻城基础信息!$AD$5:$AD$164,$K177)</f>
        <v>653965.2284359911</v>
      </c>
      <c r="T177" s="12">
        <f>INDEX(其他调用!$AA$5:$AA$404,MATCH($K177,其他调用!$X$5:$X$404,0))*MIN(INDEX(其他调用!AI$5:AI$364,MATCH($K177,其他调用!$AG$5:$AG$364,0),1)/INDEX(其他调用!$AJ$5:$AJ$364,MATCH($K177,其他调用!$AG$5:$AG$364,0),0),5)*求节点(节奏总纲!D$4:D$163,攻城基础信息!$AD$5:$AD$164,$K177)</f>
        <v>79846.07353504248</v>
      </c>
      <c r="U177" s="12">
        <f>MIN(INDEX(其他调用!$AI$5:$AI$364,MATCH($K177,其他调用!$AG$5:$AG$364,0),1)/INDEX(其他调用!AH$5:AH$364,MATCH($K177,其他调用!$AG$5:$AG$364,0),0),1)*INDEX(其他调用!Y$5:Y$404,MATCH($K177,其他调用!$X$5:$X$404,0),0)</f>
        <v>39263.069653104591</v>
      </c>
      <c r="V177" s="12">
        <f>MIN(INDEX(其他调用!$AI$5:$AI$364,MATCH($K177,其他调用!$AG$5:$AG$364,0),1)/INDEX(其他调用!AI$5:AI$364,MATCH($K177,其他调用!$AG$5:$AG$364,0),0),1)*INDEX(其他调用!Z$5:Z$404,MATCH($K177,其他调用!$X$5:$X$404,0),0)</f>
        <v>40417.154653841382</v>
      </c>
      <c r="W177" s="12">
        <f>MIN(INDEX(其他调用!$AI$5:$AI$364,MATCH($K177,其他调用!$AG$5:$AG$364,0),1)/INDEX(其他调用!AJ$5:AJ$364,MATCH($K177,其他调用!$AG$5:$AG$364,0),0),1)*INDEX(其他调用!AA$5:AA$404,MATCH($K177,其他调用!$X$5:$X$404,0),0)</f>
        <v>24113.340141185126</v>
      </c>
      <c r="X177" s="12">
        <f>MIN(INDEX(其他调用!$AI$5:$AI$364,MATCH($K177,其他调用!$AG$5:$AG$364,0),1)/INDEX(其他调用!AK$5:AK$364,MATCH($K177,其他调用!$AG$5:$AG$364,0),0),1)*INDEX(其他调用!AB$5:AB$404,MATCH($K177,其他调用!$X$5:$X$404,0),0)</f>
        <v>8808.553566257764</v>
      </c>
      <c r="Y177" s="12">
        <f>MIN(INDEX(其他调用!$AI$5:$AI$364,MATCH($K177,其他调用!$AG$5:$AG$364,0),1)/INDEX(其他调用!AL$5:AL$364,MATCH($K177,其他调用!$AG$5:$AG$364,0),0),1)*INDEX(其他调用!AC$5:AC$404,MATCH($K177,其他调用!$X$5:$X$404,0),0)</f>
        <v>3511.1270012401615</v>
      </c>
      <c r="Z177" s="12">
        <f>求节点(节奏总纲!D$4:D$163,标准城池设计!AD$4:AD$163,$K177)*求节点(节奏总纲!D$4:D$163,攻城基础信息!$AE$5:$AE$164,$K177)</f>
        <v>694495.28497069573</v>
      </c>
      <c r="AA177" s="12">
        <f>INDEX(其他调用!$AA$5:$AA$404,MATCH($K177,其他调用!$X$5:$X$404,0))*MIN(INDEX(其他调用!AJ$5:AJ$364,MATCH($K177,其他调用!$AG$5:$AG$364,0),1)/INDEX(其他调用!$AJ$5:$AJ$364,MATCH($K177,其他调用!$AG$5:$AG$364,0),0),5)*求节点(节奏总纲!D$4:D$163,攻城基础信息!$AE$5:$AE$164,$K177)</f>
        <v>138838.67822200662</v>
      </c>
      <c r="AB177" s="12">
        <f>MIN(INDEX(其他调用!$AJ$5:$AJ$364,MATCH($K177,其他调用!$AG$5:$AG$364,0),1)/INDEX(其他调用!AH$5:AH$364,MATCH($K177,其他调用!$AG$5:$AG$364,0),0),1)*INDEX(其他调用!Y$5:Y$404,MATCH($K177,其他调用!$X$5:$X$404,0),0)</f>
        <v>39263.069653104591</v>
      </c>
      <c r="AC177" s="12">
        <f>MIN(INDEX(其他调用!$AJ$5:$AJ$364,MATCH($K177,其他调用!$AG$5:$AG$364,0),1)/INDEX(其他调用!AI$5:AI$364,MATCH($K177,其他调用!$AG$5:$AG$364,0),0),1)*INDEX(其他调用!Z$5:Z$404,MATCH($K177,其他调用!$X$5:$X$404,0),0)</f>
        <v>40417.154653841382</v>
      </c>
      <c r="AD177" s="12">
        <f>MIN(INDEX(其他调用!$AJ$5:$AJ$364,MATCH($K177,其他调用!$AG$5:$AG$364,0),1)/INDEX(其他调用!AJ$5:AJ$364,MATCH($K177,其他调用!$AG$5:$AG$364,0),0),1)*INDEX(其他调用!AA$5:AA$404,MATCH($K177,其他调用!$X$5:$X$404,0),0)</f>
        <v>41928.9781513239</v>
      </c>
      <c r="AE177" s="12">
        <f>MIN(INDEX(其他调用!$AJ$5:$AJ$364,MATCH($K177,其他调用!$AG$5:$AG$364,0),1)/INDEX(其他调用!AK$5:AK$364,MATCH($K177,其他调用!$AG$5:$AG$364,0),0),1)*INDEX(其他调用!AB$5:AB$404,MATCH($K177,其他调用!$X$5:$X$404,0),0)</f>
        <v>15316.56949480728</v>
      </c>
      <c r="AF177" s="12">
        <f>MIN(INDEX(其他调用!$AJ$5:$AJ$364,MATCH($K177,其他调用!$AG$5:$AG$364,0),1)/INDEX(其他调用!AL$5:AL$364,MATCH($K177,其他调用!$AG$5:$AG$364,0),0),1)*INDEX(其他调用!AC$5:AC$404,MATCH($K177,其他调用!$X$5:$X$404,0),0)</f>
        <v>6105.2498931940427</v>
      </c>
      <c r="AG177" s="12">
        <f>求节点(节奏总纲!D$4:D$163,标准城池设计!AE$4:AE$163,$K177)*求节点(节奏总纲!D$4:D$163,攻城基础信息!$AF$5:$AF$164,$K177)</f>
        <v>823410.10916883673</v>
      </c>
      <c r="AH177" s="12">
        <f>INDEX(其他调用!$AA$5:$AA$404,MATCH($K177,其他调用!$X$5:$X$404,0))*MIN(INDEX(其他调用!AK$5:AK$364,MATCH($K177,其他调用!$AG$5:$AG$364,0),1)/INDEX(其他调用!$AJ$5:$AJ$364,MATCH($K177,其他调用!$AG$5:$AG$364,0),0),5)*求节点(节奏总纲!D$4:D$163,攻城基础信息!$AF$5:$AF$164,$K177)</f>
        <v>400028.96727722092</v>
      </c>
      <c r="AI177" s="12">
        <f>MIN(INDEX(其他调用!$AK$5:$AK$364,MATCH($K177,其他调用!$AG$5:$AG$364,0),1)/INDEX(其他调用!AH$5:AH$364,MATCH($K177,其他调用!$AG$5:$AG$364,0),0),1)*INDEX(其他调用!Y$5:Y$404,MATCH($K177,其他调用!$X$5:$X$404,0),0)</f>
        <v>39263.069653104591</v>
      </c>
      <c r="AJ177" s="12">
        <f>MIN(INDEX(其他调用!$AK$5:$AK$364,MATCH($K177,其他调用!$AG$5:$AG$364,0),1)/INDEX(其他调用!AI$5:AI$364,MATCH($K177,其他调用!$AG$5:$AG$364,0),0),1)*INDEX(其他调用!Z$5:Z$404,MATCH($K177,其他调用!$X$5:$X$404,0),0)</f>
        <v>40417.154653841382</v>
      </c>
      <c r="AK177" s="12">
        <f>MIN(INDEX(其他调用!$AK$5:$AK$364,MATCH($K177,其他调用!$AG$5:$AG$364,0),1)/INDEX(其他调用!AJ$5:AJ$364,MATCH($K177,其他调用!$AG$5:$AG$364,0),0),1)*INDEX(其他调用!AA$5:AA$404,MATCH($K177,其他调用!$X$5:$X$404,0),0)</f>
        <v>41928.9781513239</v>
      </c>
      <c r="AL177" s="12">
        <f>MIN(INDEX(其他调用!$AK$5:$AK$364,MATCH($K177,其他调用!$AG$5:$AG$364,0),1)/INDEX(其他调用!AK$5:AK$364,MATCH($K177,其他调用!$AG$5:$AG$364,0),0),1)*INDEX(其他调用!AB$5:AB$404,MATCH($K177,其他调用!$X$5:$X$404,0),0)</f>
        <v>44130.86868660761</v>
      </c>
      <c r="AM177" s="12">
        <f>MIN(INDEX(其他调用!$AK$5:$AK$364,MATCH($K177,其他调用!$AG$5:$AG$364,0),1)/INDEX(其他调用!AL$5:AL$364,MATCH($K177,其他调用!$AG$5:$AG$364,0),0),1)*INDEX(其他调用!AC$5:AC$404,MATCH($K177,其他调用!$X$5:$X$404,0),0)</f>
        <v>17590.752382693481</v>
      </c>
      <c r="AN177" s="12">
        <f>求节点(节奏总纲!D$4:D$163,标准城池设计!AF$4:AF$163,$K177)*求节点(节奏总纲!D$4:D$163,攻城基础信息!$AG$5:$AG$164,$K177)</f>
        <v>842391.16701101128</v>
      </c>
      <c r="AO177" s="12">
        <f>INDEX(其他调用!$AA$5:$AA$404,MATCH($K177,其他调用!$X$5:$X$404,0))*MIN(INDEX(其他调用!AL$5:AL$364,MATCH($K177,其他调用!$AG$5:$AG$364,0),1)/INDEX(其他调用!$AJ$5:$AJ$364,MATCH($K177,其他调用!$AG$5:$AG$364,0),0),5)*求节点(节奏总纲!D$4:D$163,攻城基础信息!$AG$5:$AG$164,$K177)</f>
        <v>694193.39111003315</v>
      </c>
      <c r="AP177" s="12">
        <f>MIN(INDEX(其他调用!$AL$5:$AL$364,MATCH($K177,其他调用!$AG$5:$AG$364,0),1)/INDEX(其他调用!AH$5:AH$364,MATCH($K177,其他调用!$AG$5:$AG$364,0),0),1)*INDEX(其他调用!Y$5:Y$404,MATCH($K177,其他调用!$X$5:$X$404,0),0)</f>
        <v>39263.069653104591</v>
      </c>
      <c r="AQ177" s="12">
        <f>MIN(INDEX(其他调用!$AL$5:$AL$364,MATCH($K177,其他调用!$AG$5:$AG$364,0),1)/INDEX(其他调用!AI$5:AI$364,MATCH($K177,其他调用!$AG$5:$AG$364,0),0),1)*INDEX(其他调用!Z$5:Z$404,MATCH($K177,其他调用!$X$5:$X$404,0),0)</f>
        <v>40417.154653841382</v>
      </c>
      <c r="AR177" s="12">
        <f>MIN(INDEX(其他调用!$AL$5:$AL$364,MATCH($K177,其他调用!$AG$5:$AG$364,0),1)/INDEX(其他调用!AJ$5:AJ$364,MATCH($K177,其他调用!$AG$5:$AG$364,0),0),1)*INDEX(其他调用!AA$5:AA$404,MATCH($K177,其他调用!$X$5:$X$404,0),0)</f>
        <v>41928.9781513239</v>
      </c>
      <c r="AS177" s="12">
        <f>MIN(INDEX(其他调用!$AL$5:$AL$364,MATCH($K177,其他调用!$AG$5:$AG$364,0),1)/INDEX(其他调用!AK$5:AK$364,MATCH($K177,其他调用!$AG$5:$AG$364,0),0),1)*INDEX(其他调用!AB$5:AB$404,MATCH($K177,其他调用!$X$5:$X$404,0),0)</f>
        <v>44130.86868660761</v>
      </c>
      <c r="AT177" s="12">
        <f>MIN(INDEX(其他调用!$AL$5:$AL$364,MATCH($K177,其他调用!$AG$5:$AG$364,0),1)/INDEX(其他调用!AL$5:AL$364,MATCH($K177,其他调用!$AG$5:$AG$364,0),0),1)*INDEX(其他调用!AC$5:AC$404,MATCH($K177,其他调用!$X$5:$X$404,0),0)</f>
        <v>48074.705492031178</v>
      </c>
      <c r="AV177" s="14">
        <f>IF(OR(AV$5="大R",AV$5="超R"),MAX(INDEX(其他调用!$H$5:$L$404,MATCH($K177,其他调用!$B$5:$B$404,0),MATCH(AV$5,其他调用!$H$4:$L$4,0))*120*0.85,2),INDEX(其他调用!$H$5:$L$404,MATCH($K177,其他调用!$B$5:$B$404,0),MATCH(AV$5,其他调用!$H$4:$L$4,0))*120*0.85)</f>
        <v>48.921801254999991</v>
      </c>
      <c r="AW177" s="14">
        <f>IF(OR(AW$5="大R",AW$5="超R"),MAX(INDEX(其他调用!$H$5:$L$404,MATCH($K177,其他调用!$B$5:$B$404,0),MATCH(AW$5,其他调用!$H$4:$L$4,0))*120*0.85,2),INDEX(其他调用!$H$5:$L$404,MATCH($K177,其他调用!$B$5:$B$404,0),MATCH(AW$5,其他调用!$H$4:$L$4,0))*120*0.85)</f>
        <v>48.237344010638395</v>
      </c>
      <c r="AX177" s="14">
        <f>IF(OR(AX$5="大R",AX$5="超R"),MAX(INDEX(其他调用!$H$5:$L$404,MATCH($K177,其他调用!$B$5:$B$404,0),MATCH(AX$5,其他调用!$H$4:$L$4,0))*120*0.85,2),INDEX(其他调用!$H$5:$L$404,MATCH($K177,其他调用!$B$5:$B$404,0),MATCH(AX$5,其他调用!$H$4:$L$4,0))*120*0.85)</f>
        <v>3.9376284143615998</v>
      </c>
      <c r="AY177" s="14">
        <f>IF(OR(AY$5="大R",AY$5="超R"),MAX(INDEX(其他调用!$H$5:$L$404,MATCH($K177,其他调用!$B$5:$B$404,0),MATCH(AY$5,其他调用!$H$4:$L$4,0))*120*0.85,2),INDEX(其他调用!$H$5:$L$404,MATCH($K177,其他调用!$B$5:$B$404,0),MATCH(AY$5,其他调用!$H$4:$L$4,0))*120*0.85)</f>
        <v>2</v>
      </c>
      <c r="AZ177" s="14">
        <f>IF(OR(AZ$5="大R",AZ$5="超R"),MAX(INDEX(其他调用!$H$5:$L$404,MATCH($K177,其他调用!$B$5:$B$404,0),MATCH(AZ$5,其他调用!$H$4:$L$4,0))*120*0.85,2),INDEX(其他调用!$H$5:$L$404,MATCH($K177,其他调用!$B$5:$B$404,0),MATCH(AZ$5,其他调用!$H$4:$L$4,0))*120*0.85)</f>
        <v>2</v>
      </c>
      <c r="BA177" s="14">
        <f>INDEX(其他调用!$H$5:$L$404,MATCH($K177,其他调用!$B$5:$B$404,0),MATCH(BA$5,其他调用!$H$4:$L$4,0))*INDEX(其他调用!$M$5:$M$404,MATCH($K177,其他调用!$B$5:$B$404,0))*0.6</f>
        <v>28.777530149999997</v>
      </c>
      <c r="BB177" s="14">
        <f>INDEX(其他调用!$H$5:$L$404,MATCH($K177,其他调用!$B$5:$B$404,0),MATCH(BB$5,其他调用!$H$4:$L$4,0))*INDEX(其他调用!$M$5:$M$404,MATCH($K177,其他调用!$B$5:$B$404,0))*0.6</f>
        <v>28.374908241551999</v>
      </c>
      <c r="BC177" s="14">
        <f>INDEX(其他调用!$H$5:$L$404,MATCH($K177,其他调用!$B$5:$B$404,0),MATCH(BC$5,其他调用!$H$4:$L$4,0))*INDEX(其他调用!$M$5:$M$404,MATCH($K177,其他调用!$B$5:$B$404,0))*0.6</f>
        <v>2.3162520084480001</v>
      </c>
      <c r="BD177" s="14">
        <f>INDEX(其他调用!$H$5:$L$404,MATCH($K177,其他调用!$B$5:$B$404,0),MATCH(BD$5,其他调用!$H$4:$L$4,0))*INDEX(其他调用!$M$5:$M$404,MATCH($K177,其他调用!$B$5:$B$404,0))*0.6</f>
        <v>0.4120776000000001</v>
      </c>
      <c r="BE177" s="14">
        <f>INDEX(其他调用!$H$5:$L$404,MATCH($K177,其他调用!$B$5:$B$404,0),MATCH(BE$5,其他调用!$H$4:$L$4,0))*INDEX(其他调用!$M$5:$M$404,MATCH($K177,其他调用!$B$5:$B$404,0))*0.6</f>
        <v>0.11923199999999998</v>
      </c>
      <c r="BF177" s="14">
        <f>IF(OR(BF$5="大R",BF$5="超R"),0,INDEX(其他调用!$H$5:$L$404,MATCH($K177,其他调用!$B$5:$B$404,0),MATCH(BF$5,其他调用!$H$4:$L$4,0))*50*0.4)</f>
        <v>9.5925100500000013</v>
      </c>
      <c r="BG177" s="14">
        <f>IF(OR(BG$5="大R",BG$5="超R"),0,INDEX(其他调用!$H$5:$L$404,MATCH($K177,其他调用!$B$5:$B$404,0),MATCH(BG$5,其他调用!$H$4:$L$4,0))*50*0.4)</f>
        <v>9.4583027471839998</v>
      </c>
      <c r="BH177" s="14">
        <f>IF(OR(BH$5="大R",BH$5="超R"),0,INDEX(其他调用!$H$5:$L$404,MATCH($K177,其他调用!$B$5:$B$404,0),MATCH(BH$5,其他调用!$H$4:$L$4,0))*50*0.4)</f>
        <v>0.77208400281600009</v>
      </c>
      <c r="BI177" s="14">
        <f>IF(OR(BI$5="大R",BI$5="超R"),0,INDEX(其他调用!$H$5:$L$404,MATCH($K177,其他调用!$B$5:$B$404,0),MATCH(BI$5,其他调用!$H$4:$L$4,0))*50*0.4)</f>
        <v>0</v>
      </c>
      <c r="BJ177" s="14">
        <f>IF(OR(BJ$5="大R",BJ$5="超R"),0,INDEX(其他调用!$H$5:$L$404,MATCH($K177,其他调用!$B$5:$B$404,0),MATCH(BJ$5,其他调用!$H$4:$L$4,0))*50*0.4)</f>
        <v>0</v>
      </c>
      <c r="BL177" s="14">
        <f t="shared" si="313"/>
        <v>172</v>
      </c>
      <c r="BM177" s="14">
        <f t="shared" si="220"/>
        <v>96</v>
      </c>
      <c r="BN177" s="14">
        <f>('疲劳值&amp;地图信息'!$S$10*'疲劳值&amp;地图信息'!$R$10+'疲劳值&amp;地图信息'!$S$11*'疲劳值&amp;地图信息'!$R$11+'疲劳值&amp;地图信息'!$S$12*'疲劳值&amp;地图信息'!$R$12+(BM177-'疲劳值&amp;地图信息'!$S$12-'疲劳值&amp;地图信息'!$S$11-'疲劳值&amp;地图信息'!$S$10)*'疲劳值&amp;地图信息'!$R$13)/BM177</f>
        <v>51.371477246638619</v>
      </c>
      <c r="BO177" s="14">
        <f>INDEX(其他调用!$M$5:$M$404,MATCH(BL177,其他调用!$B$5:$B$404,0))*0.6</f>
        <v>60</v>
      </c>
      <c r="BP177" s="14">
        <f>IF(BO177&gt;SUM('疲劳值&amp;地图信息'!$S$10:$S$12),('疲劳值&amp;地图信息'!$S$10*'疲劳值&amp;地图信息'!$R$10+'疲劳值&amp;地图信息'!$S$11*'疲劳值&amp;地图信息'!$R$11+'疲劳值&amp;地图信息'!$S$12*'疲劳值&amp;地图信息'!$R$12+(BO177-'疲劳值&amp;地图信息'!$S$12-'疲劳值&amp;地图信息'!$S$11-'疲劳值&amp;地图信息'!$S$10)*'疲劳值&amp;地图信息'!$R$13)/BO177,('疲劳值&amp;地图信息'!$S$10*'疲劳值&amp;地图信息'!$R$10+'疲劳值&amp;地图信息'!$S$11*'疲劳值&amp;地图信息'!$R$11+'疲劳值&amp;地图信息'!$S$12*'疲劳值&amp;地图信息'!$R$12+(BO177-'疲劳值&amp;地图信息'!$S$12-'疲劳值&amp;地图信息'!$S$11-'疲劳值&amp;地图信息'!$S$10)*'疲劳值&amp;地图信息'!$R$13)/BO177)</f>
        <v>44.158136341605953</v>
      </c>
      <c r="BQ177" s="14">
        <f t="shared" si="314"/>
        <v>20</v>
      </c>
      <c r="BR177" s="14">
        <f>('疲劳值&amp;地图信息'!$S$10*'疲劳值&amp;地图信息'!$R$10+($BQ177-'疲劳值&amp;地图信息'!$S$10)*'疲劳值&amp;地图信息'!$R$11)/$BQ177</f>
        <v>32.067203015074995</v>
      </c>
      <c r="CF177" s="14">
        <v>172</v>
      </c>
      <c r="CG177" s="51">
        <f t="shared" si="221"/>
        <v>12488</v>
      </c>
      <c r="CH177" s="51">
        <f t="shared" si="222"/>
        <v>990</v>
      </c>
      <c r="CI177" s="51">
        <f>INT(SUMPRODUCT($N177:$R177,$BA177:$BE177)/SUM($BA177:$BE177)/10000*$BX$7*$BZ$34/'疲劳值&amp;地图信息'!$R$10*$BY$53)</f>
        <v>3152</v>
      </c>
      <c r="CJ177" s="50">
        <f t="shared" si="223"/>
        <v>0.75093205051112444</v>
      </c>
      <c r="CK177" s="50">
        <f t="shared" si="224"/>
        <v>5.9530968129885752E-2</v>
      </c>
      <c r="CL177" s="50">
        <f t="shared" si="225"/>
        <v>0.18953698135898978</v>
      </c>
      <c r="CM177" s="14">
        <f t="shared" si="226"/>
        <v>13328</v>
      </c>
      <c r="CN177" s="14">
        <f t="shared" si="227"/>
        <v>1627</v>
      </c>
      <c r="CO177" s="14">
        <f>INT(SUMPRODUCT($U177:$Y177,$BA177:$BE177)/SUM($BA177:$BE177)/10000*$BX$7*$BZ$34/'疲劳值&amp;地图信息'!$R$10*$BY$54)</f>
        <v>5927</v>
      </c>
      <c r="CP177" s="50">
        <f t="shared" si="228"/>
        <v>0.63825304089646584</v>
      </c>
      <c r="CQ177" s="50">
        <f t="shared" si="229"/>
        <v>7.7913992912556268E-2</v>
      </c>
      <c r="CR177" s="50">
        <f t="shared" si="230"/>
        <v>0.28383296619097786</v>
      </c>
      <c r="CS177" s="14">
        <f t="shared" si="231"/>
        <v>14154</v>
      </c>
      <c r="CT177" s="14">
        <f t="shared" si="232"/>
        <v>2829</v>
      </c>
      <c r="CU177" s="14">
        <f>INT(SUMPRODUCT($AB177:$AF177,$BA177:$BE177)/SUM($BA177:$BE177)/10000*$BX$7*$BZ$34/'疲劳值&amp;地图信息'!$R$10*$BY$55)</f>
        <v>8052</v>
      </c>
      <c r="CV177" s="50">
        <f t="shared" si="233"/>
        <v>0.56536848412222884</v>
      </c>
      <c r="CW177" s="50">
        <f t="shared" si="234"/>
        <v>0.11300179748352307</v>
      </c>
      <c r="CX177" s="50">
        <f t="shared" si="235"/>
        <v>0.32162971839424803</v>
      </c>
      <c r="CY177" s="14">
        <f t="shared" si="236"/>
        <v>16782</v>
      </c>
      <c r="CZ177" s="14">
        <f t="shared" si="237"/>
        <v>8153</v>
      </c>
      <c r="DA177" s="14">
        <f>INT(SUMPRODUCT($AI177:$AM177,$BA177:$BE177)/SUM($BA177:$BE177)/10000*$BX$7*$BZ$34/'疲劳值&amp;地图信息'!$R$10*$BY$56)</f>
        <v>12146</v>
      </c>
      <c r="DB177" s="50">
        <f t="shared" si="238"/>
        <v>0.45257679134866913</v>
      </c>
      <c r="DC177" s="50">
        <f t="shared" si="239"/>
        <v>0.21987001429303416</v>
      </c>
      <c r="DD177" s="50">
        <f t="shared" si="240"/>
        <v>0.32755319435829672</v>
      </c>
      <c r="DE177" s="14">
        <f t="shared" si="241"/>
        <v>17169</v>
      </c>
      <c r="DF177" s="14">
        <f t="shared" si="242"/>
        <v>14148</v>
      </c>
      <c r="DG177" s="14">
        <f>INT(SUMPRODUCT($AP177:$AT177,$BA177:$BE177)/SUM($BA177:$BE177)/10000*$BX$7*$BZ$34/'疲劳值&amp;地图信息'!$R$10*$BY$57)</f>
        <v>16219</v>
      </c>
      <c r="DH177" s="50">
        <f t="shared" si="243"/>
        <v>0.36117889599461461</v>
      </c>
      <c r="DI177" s="50">
        <f t="shared" si="244"/>
        <v>0.2976270615954224</v>
      </c>
      <c r="DJ177" s="50">
        <f t="shared" si="245"/>
        <v>0.34119404240996298</v>
      </c>
      <c r="DL177" s="14">
        <f t="shared" si="316"/>
        <v>16630</v>
      </c>
      <c r="DM177" s="14">
        <f t="shared" si="317"/>
        <v>20882</v>
      </c>
      <c r="DN177" s="14">
        <f t="shared" si="318"/>
        <v>25035</v>
      </c>
      <c r="DO177" s="14">
        <f t="shared" si="319"/>
        <v>37081</v>
      </c>
      <c r="DP177" s="14">
        <f t="shared" si="320"/>
        <v>47536</v>
      </c>
      <c r="DQ177" s="14">
        <f t="shared" si="321"/>
        <v>1150030</v>
      </c>
      <c r="DT177" s="14">
        <f t="shared" si="315"/>
        <v>235575</v>
      </c>
      <c r="DU177" s="50">
        <f t="shared" si="217"/>
        <v>0.17001598579681801</v>
      </c>
      <c r="DW177" s="14">
        <f t="shared" si="246"/>
        <v>1385605</v>
      </c>
      <c r="EB177" s="14">
        <v>172</v>
      </c>
      <c r="EC177" s="51">
        <f t="shared" si="247"/>
        <v>20814</v>
      </c>
      <c r="ED177" s="51">
        <f t="shared" si="248"/>
        <v>1650</v>
      </c>
      <c r="EE177" s="51">
        <f>INT(SUMPRODUCT($N177:$R177,$BF177:$BJ177)/SUM($BF177:$BJ177)/10000*$BX$7*$BZ$46/'疲劳值&amp;地图信息'!$R$10*$BY$53)</f>
        <v>423</v>
      </c>
      <c r="EF177" s="50">
        <f t="shared" si="249"/>
        <v>0.90942456416306205</v>
      </c>
      <c r="EG177" s="50">
        <f t="shared" si="250"/>
        <v>7.2093328090182193E-2</v>
      </c>
      <c r="EH177" s="50">
        <f t="shared" si="251"/>
        <v>1.8482107746755801E-2</v>
      </c>
      <c r="EI177" s="51">
        <f t="shared" si="252"/>
        <v>22214</v>
      </c>
      <c r="EJ177" s="51">
        <f t="shared" si="253"/>
        <v>2712</v>
      </c>
      <c r="EK177" s="14">
        <f>INT(SUMPRODUCT($U177:$Y177,$BF177:$BJ177)/SUM($BF177:$BJ177)/10000*$BX$7*$BZ$46/'疲劳值&amp;地图信息'!$R$10*$BY$54)</f>
        <v>795</v>
      </c>
      <c r="EL177" s="50">
        <f t="shared" si="254"/>
        <v>0.86365226857431676</v>
      </c>
      <c r="EM177" s="50">
        <f t="shared" si="255"/>
        <v>0.10543913533688426</v>
      </c>
      <c r="EN177" s="50">
        <f t="shared" si="256"/>
        <v>3.0908596088799034E-2</v>
      </c>
      <c r="EO177" s="51">
        <f t="shared" si="257"/>
        <v>23591</v>
      </c>
      <c r="EP177" s="51">
        <f t="shared" si="258"/>
        <v>4716</v>
      </c>
      <c r="EQ177" s="14">
        <f>INT(SUMPRODUCT($AB177:$AF177,$BF177:$BJ177)/SUM($BF177:$BJ177)/10000*$BX$7*$BZ$46/'疲劳值&amp;地图信息'!$R$10*$BY$55)</f>
        <v>1080</v>
      </c>
      <c r="ER177" s="50">
        <f t="shared" si="259"/>
        <v>0.80276993228298232</v>
      </c>
      <c r="ES177" s="50">
        <f t="shared" si="260"/>
        <v>0.16047912342192125</v>
      </c>
      <c r="ET177" s="50">
        <f t="shared" si="261"/>
        <v>3.6750944295096469E-2</v>
      </c>
      <c r="EU177" s="51">
        <f t="shared" si="262"/>
        <v>27970</v>
      </c>
      <c r="EV177" s="51">
        <f t="shared" si="263"/>
        <v>13588</v>
      </c>
      <c r="EW177" s="14">
        <f>INT(SUMPRODUCT($AI177:$AM177,$BF177:$BJ177)/SUM($BF177:$BJ177)/10000*$BX$7*$BZ$46/'疲劳值&amp;地图信息'!$R$10*$BY$56)</f>
        <v>1620</v>
      </c>
      <c r="EX177" s="50">
        <f t="shared" si="264"/>
        <v>0.64778359349668813</v>
      </c>
      <c r="EY177" s="50">
        <f t="shared" si="265"/>
        <v>0.31469729955069714</v>
      </c>
      <c r="EZ177" s="50">
        <f t="shared" si="266"/>
        <v>3.7519106952614754E-2</v>
      </c>
      <c r="FA177" s="51">
        <f t="shared" si="267"/>
        <v>28615</v>
      </c>
      <c r="FB177" s="51">
        <f t="shared" si="268"/>
        <v>23580</v>
      </c>
      <c r="FC177" s="14">
        <f>INT(SUMPRODUCT($AP177:$AT177,$BF177:$BJ177)/SUM($BF177:$BJ177)/10000*$BX$7*$BZ$46/'疲劳值&amp;地图信息'!$R$10*$BY$57)</f>
        <v>2160</v>
      </c>
      <c r="FD177" s="50">
        <f t="shared" si="269"/>
        <v>0.52644650906080392</v>
      </c>
      <c r="FE177" s="50">
        <f t="shared" si="270"/>
        <v>0.43381473645478796</v>
      </c>
      <c r="FF177" s="50">
        <f t="shared" si="271"/>
        <v>3.9738754484408056E-2</v>
      </c>
      <c r="FH177" s="14">
        <f t="shared" si="272"/>
        <v>22887</v>
      </c>
      <c r="FI177" s="14">
        <f t="shared" si="273"/>
        <v>25721</v>
      </c>
      <c r="FJ177" s="14">
        <f t="shared" si="274"/>
        <v>29387</v>
      </c>
      <c r="FK177" s="14">
        <f t="shared" si="275"/>
        <v>43178</v>
      </c>
      <c r="FL177" s="14">
        <f t="shared" si="276"/>
        <v>54355</v>
      </c>
      <c r="FM177" s="14">
        <f t="shared" si="277"/>
        <v>2671167</v>
      </c>
      <c r="FP177" s="14">
        <f t="shared" si="278"/>
        <v>334150</v>
      </c>
      <c r="FQ177" s="50">
        <f t="shared" si="218"/>
        <v>0.11118627419337128</v>
      </c>
      <c r="FS177" s="14">
        <f t="shared" si="279"/>
        <v>3005317</v>
      </c>
      <c r="FX177" s="14">
        <v>172</v>
      </c>
      <c r="FY177" s="51">
        <f t="shared" si="280"/>
        <v>29139</v>
      </c>
      <c r="FZ177" s="51">
        <f t="shared" si="281"/>
        <v>1650</v>
      </c>
      <c r="GA177" s="51">
        <f>INT(SUMPRODUCT($N177:$R177,$BF177:$BJ177)/SUM($BF177:$BJ177)/10000*$BX$7*$BZ$46/'疲劳值&amp;地图信息'!$R$10*$BY$53)</f>
        <v>423</v>
      </c>
      <c r="GB177" s="50">
        <f t="shared" si="282"/>
        <v>0.9335832372164552</v>
      </c>
      <c r="GC177" s="50">
        <f t="shared" si="283"/>
        <v>5.2864282968089198E-2</v>
      </c>
      <c r="GD177" s="50">
        <f t="shared" si="284"/>
        <v>1.3552479815455595E-2</v>
      </c>
      <c r="GE177" s="51">
        <f t="shared" si="285"/>
        <v>31100</v>
      </c>
      <c r="GF177" s="51">
        <f t="shared" si="286"/>
        <v>2712</v>
      </c>
      <c r="GG177" s="14">
        <f>INT(SUMPRODUCT($U177:$Y177,$BF177:$BJ177)/SUM($BF177:$BJ177)/10000*$BX$7*$BZ$46/'疲劳值&amp;地图信息'!$R$10*$BY$54)</f>
        <v>795</v>
      </c>
      <c r="GH177" s="50">
        <f t="shared" si="287"/>
        <v>0.89866212038026994</v>
      </c>
      <c r="GI177" s="50">
        <f t="shared" si="288"/>
        <v>7.836564856820874E-2</v>
      </c>
      <c r="GJ177" s="50">
        <f t="shared" si="289"/>
        <v>2.297223105152137E-2</v>
      </c>
      <c r="GK177" s="51">
        <f t="shared" si="290"/>
        <v>33027</v>
      </c>
      <c r="GL177" s="51">
        <f t="shared" si="291"/>
        <v>4716</v>
      </c>
      <c r="GM177" s="14">
        <f>INT(SUMPRODUCT($AB177:$AF177,$BF177:$BJ177)/SUM($BF177:$BJ177)/10000*$BX$7*$BZ$46/'疲劳值&amp;地图信息'!$R$10*$BY$55)</f>
        <v>1080</v>
      </c>
      <c r="GN177" s="50">
        <f t="shared" si="292"/>
        <v>0.85070705509620581</v>
      </c>
      <c r="GO177" s="50">
        <f t="shared" si="293"/>
        <v>0.12147438374159647</v>
      </c>
      <c r="GP177" s="50">
        <f t="shared" si="294"/>
        <v>2.7818561162197667E-2</v>
      </c>
      <c r="GQ177" s="51">
        <f t="shared" si="295"/>
        <v>39158</v>
      </c>
      <c r="GR177" s="51">
        <f t="shared" si="296"/>
        <v>13588</v>
      </c>
      <c r="GS177" s="14">
        <f>INT(SUMPRODUCT($AI177:$AM177,$BF177:$BJ177)/SUM($BF177:$BJ177)/10000*$BX$7*$BZ$46/'疲劳值&amp;地图信息'!$R$10*$BY$56)</f>
        <v>1620</v>
      </c>
      <c r="GT177" s="50">
        <f t="shared" si="297"/>
        <v>0.72026634293492253</v>
      </c>
      <c r="GU177" s="50">
        <f t="shared" si="298"/>
        <v>0.24993562152816098</v>
      </c>
      <c r="GV177" s="50">
        <f t="shared" si="299"/>
        <v>2.9798035536916456E-2</v>
      </c>
      <c r="GW177" s="51">
        <f t="shared" si="300"/>
        <v>40061</v>
      </c>
      <c r="GX177" s="51">
        <f t="shared" si="301"/>
        <v>23580</v>
      </c>
      <c r="GY177" s="14">
        <f>INT(SUMPRODUCT($AP177:$AT177,$BF177:$BJ177)/SUM($BF177:$BJ177)/10000*$BX$7*$BZ$46/'疲劳值&amp;地图信息'!$R$10*$BY$57)</f>
        <v>2160</v>
      </c>
      <c r="GZ177" s="50">
        <f t="shared" si="302"/>
        <v>0.60882053464233066</v>
      </c>
      <c r="HA177" s="50">
        <f t="shared" si="303"/>
        <v>0.35835321651646629</v>
      </c>
      <c r="HB177" s="50">
        <f t="shared" si="304"/>
        <v>3.2826248841203019E-2</v>
      </c>
      <c r="HD177" s="14">
        <f t="shared" si="305"/>
        <v>31212</v>
      </c>
      <c r="HE177" s="14">
        <f t="shared" si="306"/>
        <v>34607</v>
      </c>
      <c r="HF177" s="14">
        <f t="shared" si="307"/>
        <v>38823</v>
      </c>
      <c r="HG177" s="14">
        <f t="shared" si="308"/>
        <v>54366</v>
      </c>
      <c r="HH177" s="14">
        <f t="shared" si="309"/>
        <v>65801</v>
      </c>
      <c r="HI177" s="14">
        <f t="shared" si="310"/>
        <v>3589501</v>
      </c>
      <c r="HL177" s="14">
        <f t="shared" si="311"/>
        <v>430050</v>
      </c>
      <c r="HM177" s="50">
        <f t="shared" si="219"/>
        <v>0.10698956176946131</v>
      </c>
      <c r="HO177" s="14">
        <f t="shared" si="312"/>
        <v>4019551</v>
      </c>
    </row>
    <row r="178" spans="11:223" x14ac:dyDescent="0.2">
      <c r="K178" s="14">
        <v>173</v>
      </c>
      <c r="L178" s="12">
        <f>求节点(节奏总纲!D$4:D$163,标准城池设计!AB$4:AB$163,$K178)*求节点(节奏总纲!D$4:D$163,攻城基础信息!$AC$5:$AC$164,$K178)</f>
        <v>614519.06011471187</v>
      </c>
      <c r="M178" s="12">
        <f>INDEX(其他调用!$AA$5:$AA$404,MATCH(K178,其他调用!$X$5:$X$404,0))*MIN(INDEX(其他调用!$AH$5:$AH$364,MATCH('征服点（新）'!K178,其他调用!$AG$5:$AG$364,0),1)/INDEX(其他调用!$AJ$5:$AJ$364,MATCH(K178,其他调用!$AG$5:$AG$364,0),0),5)*求节点(节奏总纲!D$4:D$163,攻城基础信息!$AC$5:$AC$164,$K178)</f>
        <v>48689.576094896431</v>
      </c>
      <c r="N178" s="12">
        <f>MIN(INDEX(其他调用!$AH$5:$AH$364,MATCH($K178,其他调用!$AG$5:$AG$364,0),1)/INDEX(其他调用!AH$5:AH$364,MATCH($K178,其他调用!$AG$5:$AG$364,0),0),1)*INDEX(其他调用!Y$5:Y$404,MATCH($K178,其他调用!$X$5:$X$404,0),0)</f>
        <v>39297.104474601954</v>
      </c>
      <c r="O178" s="12">
        <f>MIN(INDEX(其他调用!$AH$5:$AH$364,MATCH($K178,其他调用!$AG$5:$AG$364,0),1)/INDEX(其他调用!AI$5:AI$364,MATCH($K178,其他调用!$AG$5:$AG$364,0),0),1)*INDEX(其他调用!Z$5:Z$404,MATCH($K178,其他调用!$X$5:$X$404,0),0)</f>
        <v>24622.011720554136</v>
      </c>
      <c r="P178" s="12">
        <f>MIN(INDEX(其他调用!$AH$5:$AH$364,MATCH($K178,其他调用!$AG$5:$AG$364,0),1)/INDEX(其他调用!AJ$5:AJ$364,MATCH($K178,其他调用!$AG$5:$AG$364,0),0),1)*INDEX(其他调用!AA$5:AA$404,MATCH($K178,其他调用!$X$5:$X$404,0),0)</f>
        <v>14691.945382177117</v>
      </c>
      <c r="Q178" s="12">
        <f>MIN(INDEX(其他调用!$AH$5:$AH$364,MATCH($K178,其他调用!$AG$5:$AG$364,0),1)/INDEX(其他调用!AK$5:AK$364,MATCH($K178,其他调用!$AG$5:$AG$364,0),0),1)*INDEX(其他调用!AB$5:AB$404,MATCH($K178,其他调用!$X$5:$X$404,0),0)</f>
        <v>5362.3153430900302</v>
      </c>
      <c r="R178" s="12">
        <f>MIN(INDEX(其他调用!$AH$5:$AH$364,MATCH($K178,其他调用!$AG$5:$AG$364,0),1)/INDEX(其他调用!AL$5:AL$364,MATCH($K178,其他调用!$AG$5:$AG$364,0),0),1)*INDEX(其他调用!AC$5:AC$404,MATCH($K178,其他调用!$X$5:$X$404,0),0)</f>
        <v>2146.0845038895641</v>
      </c>
      <c r="S178" s="12">
        <f>求节点(节奏总纲!D$4:D$163,标准城池设计!AC$4:AC$163,$K178)*求节点(节奏总纲!D$4:D$163,攻城基础信息!$AD$5:$AD$164,$K178)</f>
        <v>655634.49967516749</v>
      </c>
      <c r="T178" s="12">
        <f>INDEX(其他调用!$AA$5:$AA$404,MATCH($K178,其他调用!$X$5:$X$404,0))*MIN(INDEX(其他调用!AI$5:AI$364,MATCH($K178,其他调用!$AG$5:$AG$364,0),1)/INDEX(其他调用!$AJ$5:$AJ$364,MATCH($K178,其他调用!$AG$5:$AG$364,0),0),5)*求节点(节奏总纲!D$4:D$163,攻城基础信息!$AD$5:$AD$164,$K178)</f>
        <v>79988.269717822317</v>
      </c>
      <c r="U178" s="12">
        <f>MIN(INDEX(其他调用!$AI$5:$AI$364,MATCH($K178,其他调用!$AG$5:$AG$364,0),1)/INDEX(其他调用!AH$5:AH$364,MATCH($K178,其他调用!$AG$5:$AG$364,0),0),1)*INDEX(其他调用!Y$5:Y$404,MATCH($K178,其他调用!$X$5:$X$404,0),0)</f>
        <v>39297.104474601954</v>
      </c>
      <c r="V178" s="12">
        <f>MIN(INDEX(其他调用!$AI$5:$AI$364,MATCH($K178,其他调用!$AG$5:$AG$364,0),1)/INDEX(其他调用!AI$5:AI$364,MATCH($K178,其他调用!$AG$5:$AG$364,0),0),1)*INDEX(其他调用!Z$5:Z$404,MATCH($K178,其他调用!$X$5:$X$404,0),0)</f>
        <v>40449.56379699317</v>
      </c>
      <c r="W178" s="12">
        <f>MIN(INDEX(其他调用!$AI$5:$AI$364,MATCH($K178,其他调用!$AG$5:$AG$364,0),1)/INDEX(其他调用!AJ$5:AJ$364,MATCH($K178,其他调用!$AG$5:$AG$364,0),0),1)*INDEX(其他调用!AA$5:AA$404,MATCH($K178,其他调用!$X$5:$X$404,0),0)</f>
        <v>24136.239913419133</v>
      </c>
      <c r="X178" s="12">
        <f>MIN(INDEX(其他调用!$AI$5:$AI$364,MATCH($K178,其他调用!$AG$5:$AG$364,0),1)/INDEX(其他调用!AK$5:AK$364,MATCH($K178,其他调用!$AG$5:$AG$364,0),0),1)*INDEX(其他调用!AB$5:AB$404,MATCH($K178,其他调用!$X$5:$X$404,0),0)</f>
        <v>8809.3255348768835</v>
      </c>
      <c r="Y178" s="12">
        <f>MIN(INDEX(其他调用!$AI$5:$AI$364,MATCH($K178,其他调用!$AG$5:$AG$364,0),1)/INDEX(其他调用!AL$5:AL$364,MATCH($K178,其他调用!$AG$5:$AG$364,0),0),1)*INDEX(其他调用!AC$5:AC$404,MATCH($K178,其他调用!$X$5:$X$404,0),0)</f>
        <v>3525.6332032915493</v>
      </c>
      <c r="Z178" s="12">
        <f>求节点(节奏总纲!D$4:D$163,标准城池设计!AD$4:AD$163,$K178)*求节点(节奏总纲!D$4:D$163,攻城基础信息!$AE$5:$AE$164,$K178)</f>
        <v>696241.20535324875</v>
      </c>
      <c r="AA178" s="12">
        <f>INDEX(其他调用!$AA$5:$AA$404,MATCH($K178,其他调用!$X$5:$X$404,0))*MIN(INDEX(其他调用!AJ$5:AJ$364,MATCH($K178,其他调用!$AG$5:$AG$364,0),1)/INDEX(其他调用!$AJ$5:$AJ$364,MATCH($K178,其他调用!$AG$5:$AG$364,0),0),5)*求节点(节奏总纲!D$4:D$163,攻城基础信息!$AE$5:$AE$164,$K178)</f>
        <v>139062.21241065336</v>
      </c>
      <c r="AB178" s="12">
        <f>MIN(INDEX(其他调用!$AJ$5:$AJ$364,MATCH($K178,其他调用!$AG$5:$AG$364,0),1)/INDEX(其他调用!AH$5:AH$364,MATCH($K178,其他调用!$AG$5:$AG$364,0),0),1)*INDEX(其他调用!Y$5:Y$404,MATCH($K178,其他调用!$X$5:$X$404,0),0)</f>
        <v>39297.104474601954</v>
      </c>
      <c r="AC178" s="12">
        <f>MIN(INDEX(其他调用!$AJ$5:$AJ$364,MATCH($K178,其他调用!$AG$5:$AG$364,0),1)/INDEX(其他调用!AI$5:AI$364,MATCH($K178,其他调用!$AG$5:$AG$364,0),0),1)*INDEX(其他调用!Z$5:Z$404,MATCH($K178,其他调用!$X$5:$X$404,0),0)</f>
        <v>40449.56379699317</v>
      </c>
      <c r="AD178" s="12">
        <f>MIN(INDEX(其他调用!$AJ$5:$AJ$364,MATCH($K178,其他调用!$AG$5:$AG$364,0),1)/INDEX(其他调用!AJ$5:AJ$364,MATCH($K178,其他调用!$AG$5:$AG$364,0),0),1)*INDEX(其他调用!AA$5:AA$404,MATCH($K178,其他调用!$X$5:$X$404,0),0)</f>
        <v>41961.639293799191</v>
      </c>
      <c r="AE178" s="12">
        <f>MIN(INDEX(其他调用!$AJ$5:$AJ$364,MATCH($K178,其他调用!$AG$5:$AG$364,0),1)/INDEX(其他调用!AK$5:AK$364,MATCH($K178,其他调用!$AG$5:$AG$364,0),0),1)*INDEX(其他调用!AB$5:AB$404,MATCH($K178,其他调用!$X$5:$X$404,0),0)</f>
        <v>15315.29939386459</v>
      </c>
      <c r="AF178" s="12">
        <f>MIN(INDEX(其他调用!$AJ$5:$AJ$364,MATCH($K178,其他调用!$AG$5:$AG$364,0),1)/INDEX(其他调用!AL$5:AL$364,MATCH($K178,其他调用!$AG$5:$AG$364,0),0),1)*INDEX(其他调用!AC$5:AC$404,MATCH($K178,其他调用!$X$5:$X$404,0),0)</f>
        <v>6129.4281665020308</v>
      </c>
      <c r="AG178" s="12">
        <f>求节点(节奏总纲!D$4:D$163,标准城池设计!AE$4:AE$163,$K178)*求节点(节奏总纲!D$4:D$163,攻城基础信息!$AF$5:$AF$164,$K178)</f>
        <v>826302.01904656517</v>
      </c>
      <c r="AH178" s="12">
        <f>INDEX(其他调用!$AA$5:$AA$404,MATCH($K178,其他调用!$X$5:$X$404,0))*MIN(INDEX(其他调用!AK$5:AK$364,MATCH($K178,其他调用!$AG$5:$AG$364,0),1)/INDEX(其他调用!$AJ$5:$AJ$364,MATCH($K178,其他调用!$AG$5:$AG$364,0),0),5)*求节点(节奏总纲!D$4:D$163,攻城基础信息!$AF$5:$AF$164,$K178)</f>
        <v>401027.56261605199</v>
      </c>
      <c r="AI178" s="12">
        <f>MIN(INDEX(其他调用!$AK$5:$AK$364,MATCH($K178,其他调用!$AG$5:$AG$364,0),1)/INDEX(其他调用!AH$5:AH$364,MATCH($K178,其他调用!$AG$5:$AG$364,0),0),1)*INDEX(其他调用!Y$5:Y$404,MATCH($K178,其他调用!$X$5:$X$404,0),0)</f>
        <v>39297.104474601954</v>
      </c>
      <c r="AJ178" s="12">
        <f>MIN(INDEX(其他调用!$AK$5:$AK$364,MATCH($K178,其他调用!$AG$5:$AG$364,0),1)/INDEX(其他调用!AI$5:AI$364,MATCH($K178,其他调用!$AG$5:$AG$364,0),0),1)*INDEX(其他调用!Z$5:Z$404,MATCH($K178,其他调用!$X$5:$X$404,0),0)</f>
        <v>40449.56379699317</v>
      </c>
      <c r="AK178" s="12">
        <f>MIN(INDEX(其他调用!$AK$5:$AK$364,MATCH($K178,其他调用!$AG$5:$AG$364,0),1)/INDEX(其他调用!AJ$5:AJ$364,MATCH($K178,其他调用!$AG$5:$AG$364,0),0),1)*INDEX(其他调用!AA$5:AA$404,MATCH($K178,其他调用!$X$5:$X$404,0),0)</f>
        <v>41961.639293799191</v>
      </c>
      <c r="AL178" s="12">
        <f>MIN(INDEX(其他调用!$AK$5:$AK$364,MATCH($K178,其他调用!$AG$5:$AG$364,0),1)/INDEX(其他调用!AK$5:AK$364,MATCH($K178,其他调用!$AG$5:$AG$364,0),0),1)*INDEX(其他调用!AB$5:AB$404,MATCH($K178,其他调用!$X$5:$X$404,0),0)</f>
        <v>44166.255377266643</v>
      </c>
      <c r="AM178" s="12">
        <f>MIN(INDEX(其他调用!$AK$5:$AK$364,MATCH($K178,其他调用!$AG$5:$AG$364,0),1)/INDEX(其他调用!AL$5:AL$364,MATCH($K178,其他调用!$AG$5:$AG$364,0),0),1)*INDEX(其他调用!AC$5:AC$404,MATCH($K178,其他调用!$X$5:$X$404,0),0)</f>
        <v>17676.042939571245</v>
      </c>
      <c r="AN178" s="12">
        <f>求节点(节奏总纲!D$4:D$163,标准城池设计!AF$4:AF$163,$K178)*求节点(节奏总纲!D$4:D$163,攻城基础信息!$AG$5:$AG$164,$K178)</f>
        <v>845716.09803223726</v>
      </c>
      <c r="AO178" s="12">
        <f>INDEX(其他调用!$AA$5:$AA$404,MATCH($K178,其他调用!$X$5:$X$404,0))*MIN(INDEX(其他调用!AL$5:AL$364,MATCH($K178,其他调用!$AG$5:$AG$364,0),1)/INDEX(其他调用!$AJ$5:$AJ$364,MATCH($K178,其他调用!$AG$5:$AG$364,0),0),5)*求节点(节奏总纲!D$4:D$163,攻城基础信息!$AG$5:$AG$164,$K178)</f>
        <v>695311.06205326668</v>
      </c>
      <c r="AP178" s="12">
        <f>MIN(INDEX(其他调用!$AL$5:$AL$364,MATCH($K178,其他调用!$AG$5:$AG$364,0),1)/INDEX(其他调用!AH$5:AH$364,MATCH($K178,其他调用!$AG$5:$AG$364,0),0),1)*INDEX(其他调用!Y$5:Y$404,MATCH($K178,其他调用!$X$5:$X$404,0),0)</f>
        <v>39297.104474601954</v>
      </c>
      <c r="AQ178" s="12">
        <f>MIN(INDEX(其他调用!$AL$5:$AL$364,MATCH($K178,其他调用!$AG$5:$AG$364,0),1)/INDEX(其他调用!AI$5:AI$364,MATCH($K178,其他调用!$AG$5:$AG$364,0),0),1)*INDEX(其他调用!Z$5:Z$404,MATCH($K178,其他调用!$X$5:$X$404,0),0)</f>
        <v>40449.56379699317</v>
      </c>
      <c r="AR178" s="12">
        <f>MIN(INDEX(其他调用!$AL$5:$AL$364,MATCH($K178,其他调用!$AG$5:$AG$364,0),1)/INDEX(其他调用!AJ$5:AJ$364,MATCH($K178,其他调用!$AG$5:$AG$364,0),0),1)*INDEX(其他调用!AA$5:AA$404,MATCH($K178,其他调用!$X$5:$X$404,0),0)</f>
        <v>41961.639293799191</v>
      </c>
      <c r="AS178" s="12">
        <f>MIN(INDEX(其他调用!$AL$5:$AL$364,MATCH($K178,其他调用!$AG$5:$AG$364,0),1)/INDEX(其他调用!AK$5:AK$364,MATCH($K178,其他调用!$AG$5:$AG$364,0),0),1)*INDEX(其他调用!AB$5:AB$404,MATCH($K178,其他调用!$X$5:$X$404,0),0)</f>
        <v>44166.255377266643</v>
      </c>
      <c r="AT178" s="12">
        <f>MIN(INDEX(其他调用!$AL$5:$AL$364,MATCH($K178,其他调用!$AG$5:$AG$364,0),1)/INDEX(其他调用!AL$5:AL$364,MATCH($K178,其他调用!$AG$5:$AG$364,0),0),1)*INDEX(其他调用!AC$5:AC$404,MATCH($K178,其他调用!$X$5:$X$404,0),0)</f>
        <v>48109.275779344047</v>
      </c>
      <c r="AV178" s="14">
        <f>IF(OR(AV$5="大R",AV$5="超R"),MAX(INDEX(其他调用!$H$5:$L$404,MATCH($K178,其他调用!$B$5:$B$404,0),MATCH(AV$5,其他调用!$H$4:$L$4,0))*120*0.85,2),INDEX(其他调用!$H$5:$L$404,MATCH($K178,其他调用!$B$5:$B$404,0),MATCH(AV$5,其他调用!$H$4:$L$4,0))*120*0.85)</f>
        <v>48.921801254999991</v>
      </c>
      <c r="AW178" s="14">
        <f>IF(OR(AW$5="大R",AW$5="超R"),MAX(INDEX(其他调用!$H$5:$L$404,MATCH($K178,其他调用!$B$5:$B$404,0),MATCH(AW$5,其他调用!$H$4:$L$4,0))*120*0.85,2),INDEX(其他调用!$H$5:$L$404,MATCH($K178,其他调用!$B$5:$B$404,0),MATCH(AW$5,其他调用!$H$4:$L$4,0))*120*0.85)</f>
        <v>48.237344010638395</v>
      </c>
      <c r="AX178" s="14">
        <f>IF(OR(AX$5="大R",AX$5="超R"),MAX(INDEX(其他调用!$H$5:$L$404,MATCH($K178,其他调用!$B$5:$B$404,0),MATCH(AX$5,其他调用!$H$4:$L$4,0))*120*0.85,2),INDEX(其他调用!$H$5:$L$404,MATCH($K178,其他调用!$B$5:$B$404,0),MATCH(AX$5,其他调用!$H$4:$L$4,0))*120*0.85)</f>
        <v>3.9376284143615998</v>
      </c>
      <c r="AY178" s="14">
        <f>IF(OR(AY$5="大R",AY$5="超R"),MAX(INDEX(其他调用!$H$5:$L$404,MATCH($K178,其他调用!$B$5:$B$404,0),MATCH(AY$5,其他调用!$H$4:$L$4,0))*120*0.85,2),INDEX(其他调用!$H$5:$L$404,MATCH($K178,其他调用!$B$5:$B$404,0),MATCH(AY$5,其他调用!$H$4:$L$4,0))*120*0.85)</f>
        <v>2</v>
      </c>
      <c r="AZ178" s="14">
        <f>IF(OR(AZ$5="大R",AZ$5="超R"),MAX(INDEX(其他调用!$H$5:$L$404,MATCH($K178,其他调用!$B$5:$B$404,0),MATCH(AZ$5,其他调用!$H$4:$L$4,0))*120*0.85,2),INDEX(其他调用!$H$5:$L$404,MATCH($K178,其他调用!$B$5:$B$404,0),MATCH(AZ$5,其他调用!$H$4:$L$4,0))*120*0.85)</f>
        <v>2</v>
      </c>
      <c r="BA178" s="14">
        <f>INDEX(其他调用!$H$5:$L$404,MATCH($K178,其他调用!$B$5:$B$404,0),MATCH(BA$5,其他调用!$H$4:$L$4,0))*INDEX(其他调用!$M$5:$M$404,MATCH($K178,其他调用!$B$5:$B$404,0))*0.6</f>
        <v>28.777530149999997</v>
      </c>
      <c r="BB178" s="14">
        <f>INDEX(其他调用!$H$5:$L$404,MATCH($K178,其他调用!$B$5:$B$404,0),MATCH(BB$5,其他调用!$H$4:$L$4,0))*INDEX(其他调用!$M$5:$M$404,MATCH($K178,其他调用!$B$5:$B$404,0))*0.6</f>
        <v>28.374908241551999</v>
      </c>
      <c r="BC178" s="14">
        <f>INDEX(其他调用!$H$5:$L$404,MATCH($K178,其他调用!$B$5:$B$404,0),MATCH(BC$5,其他调用!$H$4:$L$4,0))*INDEX(其他调用!$M$5:$M$404,MATCH($K178,其他调用!$B$5:$B$404,0))*0.6</f>
        <v>2.3162520084480001</v>
      </c>
      <c r="BD178" s="14">
        <f>INDEX(其他调用!$H$5:$L$404,MATCH($K178,其他调用!$B$5:$B$404,0),MATCH(BD$5,其他调用!$H$4:$L$4,0))*INDEX(其他调用!$M$5:$M$404,MATCH($K178,其他调用!$B$5:$B$404,0))*0.6</f>
        <v>0.4120776000000001</v>
      </c>
      <c r="BE178" s="14">
        <f>INDEX(其他调用!$H$5:$L$404,MATCH($K178,其他调用!$B$5:$B$404,0),MATCH(BE$5,其他调用!$H$4:$L$4,0))*INDEX(其他调用!$M$5:$M$404,MATCH($K178,其他调用!$B$5:$B$404,0))*0.6</f>
        <v>0.11923199999999998</v>
      </c>
      <c r="BF178" s="14">
        <f>IF(OR(BF$5="大R",BF$5="超R"),0,INDEX(其他调用!$H$5:$L$404,MATCH($K178,其他调用!$B$5:$B$404,0),MATCH(BF$5,其他调用!$H$4:$L$4,0))*50*0.4)</f>
        <v>9.5925100500000013</v>
      </c>
      <c r="BG178" s="14">
        <f>IF(OR(BG$5="大R",BG$5="超R"),0,INDEX(其他调用!$H$5:$L$404,MATCH($K178,其他调用!$B$5:$B$404,0),MATCH(BG$5,其他调用!$H$4:$L$4,0))*50*0.4)</f>
        <v>9.4583027471839998</v>
      </c>
      <c r="BH178" s="14">
        <f>IF(OR(BH$5="大R",BH$5="超R"),0,INDEX(其他调用!$H$5:$L$404,MATCH($K178,其他调用!$B$5:$B$404,0),MATCH(BH$5,其他调用!$H$4:$L$4,0))*50*0.4)</f>
        <v>0.77208400281600009</v>
      </c>
      <c r="BI178" s="14">
        <f>IF(OR(BI$5="大R",BI$5="超R"),0,INDEX(其他调用!$H$5:$L$404,MATCH($K178,其他调用!$B$5:$B$404,0),MATCH(BI$5,其他调用!$H$4:$L$4,0))*50*0.4)</f>
        <v>0</v>
      </c>
      <c r="BJ178" s="14">
        <f>IF(OR(BJ$5="大R",BJ$5="超R"),0,INDEX(其他调用!$H$5:$L$404,MATCH($K178,其他调用!$B$5:$B$404,0),MATCH(BJ$5,其他调用!$H$4:$L$4,0))*50*0.4)</f>
        <v>0</v>
      </c>
      <c r="BL178" s="14">
        <f t="shared" si="313"/>
        <v>173</v>
      </c>
      <c r="BM178" s="14">
        <f t="shared" si="220"/>
        <v>96</v>
      </c>
      <c r="BN178" s="14">
        <f>('疲劳值&amp;地图信息'!$S$10*'疲劳值&amp;地图信息'!$R$10+'疲劳值&amp;地图信息'!$S$11*'疲劳值&amp;地图信息'!$R$11+'疲劳值&amp;地图信息'!$S$12*'疲劳值&amp;地图信息'!$R$12+(BM178-'疲劳值&amp;地图信息'!$S$12-'疲劳值&amp;地图信息'!$S$11-'疲劳值&amp;地图信息'!$S$10)*'疲劳值&amp;地图信息'!$R$13)/BM178</f>
        <v>51.371477246638619</v>
      </c>
      <c r="BO178" s="14">
        <f>INDEX(其他调用!$M$5:$M$404,MATCH(BL178,其他调用!$B$5:$B$404,0))*0.6</f>
        <v>60</v>
      </c>
      <c r="BP178" s="14">
        <f>IF(BO178&gt;SUM('疲劳值&amp;地图信息'!$S$10:$S$12),('疲劳值&amp;地图信息'!$S$10*'疲劳值&amp;地图信息'!$R$10+'疲劳值&amp;地图信息'!$S$11*'疲劳值&amp;地图信息'!$R$11+'疲劳值&amp;地图信息'!$S$12*'疲劳值&amp;地图信息'!$R$12+(BO178-'疲劳值&amp;地图信息'!$S$12-'疲劳值&amp;地图信息'!$S$11-'疲劳值&amp;地图信息'!$S$10)*'疲劳值&amp;地图信息'!$R$13)/BO178,('疲劳值&amp;地图信息'!$S$10*'疲劳值&amp;地图信息'!$R$10+'疲劳值&amp;地图信息'!$S$11*'疲劳值&amp;地图信息'!$R$11+'疲劳值&amp;地图信息'!$S$12*'疲劳值&amp;地图信息'!$R$12+(BO178-'疲劳值&amp;地图信息'!$S$12-'疲劳值&amp;地图信息'!$S$11-'疲劳值&amp;地图信息'!$S$10)*'疲劳值&amp;地图信息'!$R$13)/BO178)</f>
        <v>44.158136341605953</v>
      </c>
      <c r="BQ178" s="14">
        <f t="shared" si="314"/>
        <v>20</v>
      </c>
      <c r="BR178" s="14">
        <f>('疲劳值&amp;地图信息'!$S$10*'疲劳值&amp;地图信息'!$R$10+($BQ178-'疲劳值&amp;地图信息'!$S$10)*'疲劳值&amp;地图信息'!$R$11)/$BQ178</f>
        <v>32.067203015074995</v>
      </c>
      <c r="CF178" s="14">
        <v>173</v>
      </c>
      <c r="CG178" s="51">
        <f t="shared" si="221"/>
        <v>12524</v>
      </c>
      <c r="CH178" s="51">
        <f t="shared" si="222"/>
        <v>992</v>
      </c>
      <c r="CI178" s="51">
        <f>INT(SUMPRODUCT($N178:$R178,$BA178:$BE178)/SUM($BA178:$BE178)/10000*$BX$7*$BZ$34/'疲劳值&amp;地图信息'!$R$10*$BY$53)</f>
        <v>3155</v>
      </c>
      <c r="CJ178" s="50">
        <f t="shared" si="223"/>
        <v>0.75124467638414016</v>
      </c>
      <c r="CK178" s="50">
        <f t="shared" si="224"/>
        <v>5.9504528822506148E-2</v>
      </c>
      <c r="CL178" s="50">
        <f t="shared" si="225"/>
        <v>0.18925079479335372</v>
      </c>
      <c r="CM178" s="14">
        <f t="shared" si="226"/>
        <v>13362</v>
      </c>
      <c r="CN178" s="14">
        <f t="shared" si="227"/>
        <v>1630</v>
      </c>
      <c r="CO178" s="14">
        <f>INT(SUMPRODUCT($U178:$Y178,$BA178:$BE178)/SUM($BA178:$BE178)/10000*$BX$7*$BZ$34/'疲劳值&amp;地图信息'!$R$10*$BY$54)</f>
        <v>5932</v>
      </c>
      <c r="CP178" s="50">
        <f t="shared" si="228"/>
        <v>0.6385968266105907</v>
      </c>
      <c r="CQ178" s="50">
        <f t="shared" si="229"/>
        <v>7.7900974956987196E-2</v>
      </c>
      <c r="CR178" s="50">
        <f t="shared" si="230"/>
        <v>0.28350219843242208</v>
      </c>
      <c r="CS178" s="14">
        <f t="shared" si="231"/>
        <v>14190</v>
      </c>
      <c r="CT178" s="14">
        <f t="shared" si="232"/>
        <v>2834</v>
      </c>
      <c r="CU178" s="14">
        <f>INT(SUMPRODUCT($AB178:$AF178,$BA178:$BE178)/SUM($BA178:$BE178)/10000*$BX$7*$BZ$34/'疲劳值&amp;地图信息'!$R$10*$BY$55)</f>
        <v>8059</v>
      </c>
      <c r="CV178" s="50">
        <f t="shared" si="233"/>
        <v>0.56572180361200808</v>
      </c>
      <c r="CW178" s="50">
        <f t="shared" si="234"/>
        <v>0.11298489016465335</v>
      </c>
      <c r="CX178" s="50">
        <f t="shared" si="235"/>
        <v>0.32129330622333852</v>
      </c>
      <c r="CY178" s="14">
        <f t="shared" si="236"/>
        <v>16841</v>
      </c>
      <c r="CZ178" s="14">
        <f t="shared" si="237"/>
        <v>8173</v>
      </c>
      <c r="DA178" s="14">
        <f>INT(SUMPRODUCT($AI178:$AM178,$BA178:$BE178)/SUM($BA178:$BE178)/10000*$BX$7*$BZ$34/'疲劳值&amp;地图信息'!$R$10*$BY$56)</f>
        <v>12156</v>
      </c>
      <c r="DB178" s="50">
        <f t="shared" si="238"/>
        <v>0.45308044121603441</v>
      </c>
      <c r="DC178" s="50">
        <f t="shared" si="239"/>
        <v>0.21988162496637073</v>
      </c>
      <c r="DD178" s="50">
        <f t="shared" si="240"/>
        <v>0.32703793381759483</v>
      </c>
      <c r="DE178" s="14">
        <f t="shared" si="241"/>
        <v>17236</v>
      </c>
      <c r="DF178" s="14">
        <f t="shared" si="242"/>
        <v>14171</v>
      </c>
      <c r="DG178" s="14">
        <f>INT(SUMPRODUCT($AP178:$AT178,$BA178:$BE178)/SUM($BA178:$BE178)/10000*$BX$7*$BZ$34/'疲劳值&amp;地图信息'!$R$10*$BY$57)</f>
        <v>16233</v>
      </c>
      <c r="DH178" s="50">
        <f t="shared" si="243"/>
        <v>0.36179680940386227</v>
      </c>
      <c r="DI178" s="50">
        <f t="shared" si="244"/>
        <v>0.29746011754827878</v>
      </c>
      <c r="DJ178" s="50">
        <f t="shared" si="245"/>
        <v>0.34074307304785895</v>
      </c>
      <c r="DL178" s="14">
        <f t="shared" si="316"/>
        <v>16671</v>
      </c>
      <c r="DM178" s="14">
        <f t="shared" si="317"/>
        <v>20924</v>
      </c>
      <c r="DN178" s="14">
        <f t="shared" si="318"/>
        <v>25083</v>
      </c>
      <c r="DO178" s="14">
        <f t="shared" si="319"/>
        <v>37170</v>
      </c>
      <c r="DP178" s="14">
        <f t="shared" si="320"/>
        <v>47640</v>
      </c>
      <c r="DQ178" s="14">
        <f t="shared" si="321"/>
        <v>1152562</v>
      </c>
      <c r="DT178" s="14">
        <f t="shared" si="315"/>
        <v>235575</v>
      </c>
      <c r="DU178" s="50">
        <f t="shared" si="217"/>
        <v>0.16970587197085013</v>
      </c>
      <c r="DW178" s="14">
        <f t="shared" si="246"/>
        <v>1388137</v>
      </c>
      <c r="EB178" s="14">
        <v>173</v>
      </c>
      <c r="EC178" s="51">
        <f t="shared" si="247"/>
        <v>20874</v>
      </c>
      <c r="ED178" s="51">
        <f t="shared" si="248"/>
        <v>1653</v>
      </c>
      <c r="EE178" s="51">
        <f>INT(SUMPRODUCT($N178:$R178,$BF178:$BJ178)/SUM($BF178:$BJ178)/10000*$BX$7*$BZ$46/'疲劳值&amp;地图信息'!$R$10*$BY$53)</f>
        <v>423</v>
      </c>
      <c r="EF178" s="50">
        <f t="shared" si="249"/>
        <v>0.90954248366013069</v>
      </c>
      <c r="EG178" s="50">
        <f t="shared" si="250"/>
        <v>7.2026143790849678E-2</v>
      </c>
      <c r="EH178" s="50">
        <f t="shared" si="251"/>
        <v>1.8431372549019609E-2</v>
      </c>
      <c r="EI178" s="51">
        <f t="shared" si="252"/>
        <v>22271</v>
      </c>
      <c r="EJ178" s="51">
        <f t="shared" si="253"/>
        <v>2717</v>
      </c>
      <c r="EK178" s="14">
        <f>INT(SUMPRODUCT($U178:$Y178,$BF178:$BJ178)/SUM($BF178:$BJ178)/10000*$BX$7*$BZ$46/'疲劳值&amp;地图信息'!$R$10*$BY$54)</f>
        <v>796</v>
      </c>
      <c r="EL178" s="50">
        <f t="shared" si="254"/>
        <v>0.86375271486192984</v>
      </c>
      <c r="EM178" s="50">
        <f t="shared" si="255"/>
        <v>0.10537542662116041</v>
      </c>
      <c r="EN178" s="50">
        <f t="shared" si="256"/>
        <v>3.0871858516909712E-2</v>
      </c>
      <c r="EO178" s="51">
        <f t="shared" si="257"/>
        <v>23650</v>
      </c>
      <c r="EP178" s="51">
        <f t="shared" si="258"/>
        <v>4723</v>
      </c>
      <c r="EQ178" s="14">
        <f>INT(SUMPRODUCT($AB178:$AF178,$BF178:$BJ178)/SUM($BF178:$BJ178)/10000*$BX$7*$BZ$46/'疲劳值&amp;地图信息'!$R$10*$BY$55)</f>
        <v>1080</v>
      </c>
      <c r="ER178" s="50">
        <f t="shared" si="259"/>
        <v>0.80297423012935865</v>
      </c>
      <c r="ES178" s="50">
        <f t="shared" si="260"/>
        <v>0.16035717923471293</v>
      </c>
      <c r="ET178" s="50">
        <f t="shared" si="261"/>
        <v>3.6668590635928429E-2</v>
      </c>
      <c r="EU178" s="51">
        <f t="shared" si="262"/>
        <v>28068</v>
      </c>
      <c r="EV178" s="51">
        <f t="shared" si="263"/>
        <v>13622</v>
      </c>
      <c r="EW178" s="14">
        <f>INT(SUMPRODUCT($AI178:$AM178,$BF178:$BJ178)/SUM($BF178:$BJ178)/10000*$BX$7*$BZ$46/'疲劳值&amp;地图信息'!$R$10*$BY$56)</f>
        <v>1621</v>
      </c>
      <c r="EX178" s="50">
        <f t="shared" si="264"/>
        <v>0.6480570755697167</v>
      </c>
      <c r="EY178" s="50">
        <f t="shared" si="265"/>
        <v>0.31451594283207501</v>
      </c>
      <c r="EZ178" s="50">
        <f t="shared" si="266"/>
        <v>3.7426981598208307E-2</v>
      </c>
      <c r="FA178" s="51">
        <f t="shared" si="267"/>
        <v>28727</v>
      </c>
      <c r="FB178" s="51">
        <f t="shared" si="268"/>
        <v>23618</v>
      </c>
      <c r="FC178" s="14">
        <f>INT(SUMPRODUCT($AP178:$AT178,$BF178:$BJ178)/SUM($BF178:$BJ178)/10000*$BX$7*$BZ$46/'疲劳值&amp;地图信息'!$R$10*$BY$57)</f>
        <v>2161</v>
      </c>
      <c r="FD178" s="50">
        <f t="shared" si="269"/>
        <v>0.52704289436025387</v>
      </c>
      <c r="FE178" s="50">
        <f t="shared" si="270"/>
        <v>0.43331009430154477</v>
      </c>
      <c r="FF178" s="50">
        <f t="shared" si="271"/>
        <v>3.9647011338201296E-2</v>
      </c>
      <c r="FH178" s="14">
        <f t="shared" si="272"/>
        <v>22950</v>
      </c>
      <c r="FI178" s="14">
        <f t="shared" si="273"/>
        <v>25784</v>
      </c>
      <c r="FJ178" s="14">
        <f t="shared" si="274"/>
        <v>29453</v>
      </c>
      <c r="FK178" s="14">
        <f t="shared" si="275"/>
        <v>43311</v>
      </c>
      <c r="FL178" s="14">
        <f t="shared" si="276"/>
        <v>54506</v>
      </c>
      <c r="FM178" s="14">
        <f t="shared" si="277"/>
        <v>2678115</v>
      </c>
      <c r="FP178" s="14">
        <f t="shared" si="278"/>
        <v>334150</v>
      </c>
      <c r="FQ178" s="50">
        <f t="shared" si="218"/>
        <v>0.11092981527189673</v>
      </c>
      <c r="FS178" s="14">
        <f t="shared" si="279"/>
        <v>3012265</v>
      </c>
      <c r="FX178" s="14">
        <v>173</v>
      </c>
      <c r="FY178" s="51">
        <f t="shared" si="280"/>
        <v>29224</v>
      </c>
      <c r="FZ178" s="51">
        <f t="shared" si="281"/>
        <v>1653</v>
      </c>
      <c r="GA178" s="51">
        <f>INT(SUMPRODUCT($N178:$R178,$BF178:$BJ178)/SUM($BF178:$BJ178)/10000*$BX$7*$BZ$46/'疲劳值&amp;地图信息'!$R$10*$BY$53)</f>
        <v>423</v>
      </c>
      <c r="GB178" s="50">
        <f t="shared" si="282"/>
        <v>0.93367412140575079</v>
      </c>
      <c r="GC178" s="50">
        <f t="shared" si="283"/>
        <v>5.2811501597444091E-2</v>
      </c>
      <c r="GD178" s="50">
        <f t="shared" si="284"/>
        <v>1.3514376996805112E-2</v>
      </c>
      <c r="GE178" s="51">
        <f t="shared" si="285"/>
        <v>31179</v>
      </c>
      <c r="GF178" s="51">
        <f t="shared" si="286"/>
        <v>2717</v>
      </c>
      <c r="GG178" s="14">
        <f>INT(SUMPRODUCT($U178:$Y178,$BF178:$BJ178)/SUM($BF178:$BJ178)/10000*$BX$7*$BZ$46/'疲劳值&amp;地图信息'!$R$10*$BY$54)</f>
        <v>796</v>
      </c>
      <c r="GH178" s="50">
        <f t="shared" si="287"/>
        <v>0.8987374610861294</v>
      </c>
      <c r="GI178" s="50">
        <f t="shared" si="288"/>
        <v>7.8317767785080136E-2</v>
      </c>
      <c r="GJ178" s="50">
        <f t="shared" si="289"/>
        <v>2.2944771128790498E-2</v>
      </c>
      <c r="GK178" s="51">
        <f t="shared" si="290"/>
        <v>33110</v>
      </c>
      <c r="GL178" s="51">
        <f t="shared" si="291"/>
        <v>4723</v>
      </c>
      <c r="GM178" s="14">
        <f>INT(SUMPRODUCT($AB178:$AF178,$BF178:$BJ178)/SUM($BF178:$BJ178)/10000*$BX$7*$BZ$46/'疲劳值&amp;地图信息'!$R$10*$BY$55)</f>
        <v>1080</v>
      </c>
      <c r="GN178" s="50">
        <f t="shared" si="292"/>
        <v>0.85087245907537323</v>
      </c>
      <c r="GO178" s="50">
        <f t="shared" si="293"/>
        <v>0.12137331997018991</v>
      </c>
      <c r="GP178" s="50">
        <f t="shared" si="294"/>
        <v>2.7754220954436821E-2</v>
      </c>
      <c r="GQ178" s="51">
        <f t="shared" si="295"/>
        <v>39295</v>
      </c>
      <c r="GR178" s="51">
        <f t="shared" si="296"/>
        <v>13622</v>
      </c>
      <c r="GS178" s="14">
        <f>INT(SUMPRODUCT($AI178:$AM178,$BF178:$BJ178)/SUM($BF178:$BJ178)/10000*$BX$7*$BZ$46/'疲劳值&amp;地图信息'!$R$10*$BY$56)</f>
        <v>1621</v>
      </c>
      <c r="GT178" s="50">
        <f t="shared" si="297"/>
        <v>0.7205068025963548</v>
      </c>
      <c r="GU178" s="50">
        <f t="shared" si="298"/>
        <v>0.24977080200960797</v>
      </c>
      <c r="GV178" s="50">
        <f t="shared" si="299"/>
        <v>2.9722395394037184E-2</v>
      </c>
      <c r="GW178" s="51">
        <f t="shared" si="300"/>
        <v>40219</v>
      </c>
      <c r="GX178" s="51">
        <f t="shared" si="301"/>
        <v>23618</v>
      </c>
      <c r="GY178" s="14">
        <f>INT(SUMPRODUCT($AP178:$AT178,$BF178:$BJ178)/SUM($BF178:$BJ178)/10000*$BX$7*$BZ$46/'疲劳值&amp;地图信息'!$R$10*$BY$57)</f>
        <v>2161</v>
      </c>
      <c r="GZ178" s="50">
        <f t="shared" si="302"/>
        <v>0.60939725446225645</v>
      </c>
      <c r="HA178" s="50">
        <f t="shared" si="303"/>
        <v>0.35785932907057788</v>
      </c>
      <c r="HB178" s="50">
        <f t="shared" si="304"/>
        <v>3.2743416467165672E-2</v>
      </c>
      <c r="HD178" s="14">
        <f t="shared" si="305"/>
        <v>31300</v>
      </c>
      <c r="HE178" s="14">
        <f t="shared" si="306"/>
        <v>34692</v>
      </c>
      <c r="HF178" s="14">
        <f t="shared" si="307"/>
        <v>38913</v>
      </c>
      <c r="HG178" s="14">
        <f t="shared" si="308"/>
        <v>54538</v>
      </c>
      <c r="HH178" s="14">
        <f t="shared" si="309"/>
        <v>65998</v>
      </c>
      <c r="HI178" s="14">
        <f t="shared" si="310"/>
        <v>3598999</v>
      </c>
      <c r="HL178" s="14">
        <f t="shared" si="311"/>
        <v>430050</v>
      </c>
      <c r="HM178" s="50">
        <f t="shared" si="219"/>
        <v>0.1067373467038996</v>
      </c>
      <c r="HO178" s="14">
        <f t="shared" si="312"/>
        <v>4029049</v>
      </c>
    </row>
    <row r="179" spans="11:223" x14ac:dyDescent="0.2">
      <c r="K179" s="14">
        <v>174</v>
      </c>
      <c r="L179" s="12">
        <f>求节点(节奏总纲!D$4:D$163,标准城池设计!AB$4:AB$163,$K179)*求节点(节奏总纲!D$4:D$163,攻城基础信息!$AC$5:$AC$164,$K179)</f>
        <v>616300.67363525263</v>
      </c>
      <c r="M179" s="12">
        <f>INDEX(其他调用!$AA$5:$AA$404,MATCH(K179,其他调用!$X$5:$X$404,0))*MIN(INDEX(其他调用!$AH$5:$AH$364,MATCH('征服点（新）'!K179,其他调用!$AG$5:$AG$364,0),1)/INDEX(其他调用!$AJ$5:$AJ$364,MATCH(K179,其他调用!$AG$5:$AG$364,0),0),5)*求节点(节奏总纲!D$4:D$163,攻城基础信息!$AC$5:$AC$164,$K179)</f>
        <v>48781.870836864633</v>
      </c>
      <c r="N179" s="12">
        <f>MIN(INDEX(其他调用!$AH$5:$AH$364,MATCH($K179,其他调用!$AG$5:$AG$364,0),1)/INDEX(其他调用!AH$5:AH$364,MATCH($K179,其他调用!$AG$5:$AG$364,0),0),1)*INDEX(其他调用!Y$5:Y$404,MATCH($K179,其他调用!$X$5:$X$404,0),0)</f>
        <v>39331.139296099318</v>
      </c>
      <c r="O179" s="12">
        <f>MIN(INDEX(其他调用!$AH$5:$AH$364,MATCH($K179,其他调用!$AG$5:$AG$364,0),1)/INDEX(其他调用!AI$5:AI$364,MATCH($K179,其他调用!$AG$5:$AG$364,0),0),1)*INDEX(其他调用!Z$5:Z$404,MATCH($K179,其他调用!$X$5:$X$404,0),0)</f>
        <v>24644.668943639226</v>
      </c>
      <c r="P179" s="12">
        <f>MIN(INDEX(其他调用!$AH$5:$AH$364,MATCH($K179,其他调用!$AG$5:$AG$364,0),1)/INDEX(其他调用!AJ$5:AJ$364,MATCH($K179,其他调用!$AG$5:$AG$364,0),0),1)*INDEX(其他调用!AA$5:AA$404,MATCH($K179,其他调用!$X$5:$X$404,0),0)</f>
        <v>14707.591752982718</v>
      </c>
      <c r="Q179" s="12">
        <f>MIN(INDEX(其他调用!$AH$5:$AH$364,MATCH($K179,其他调用!$AG$5:$AG$364,0),1)/INDEX(其他调用!AK$5:AK$364,MATCH($K179,其他调用!$AG$5:$AG$364,0),0),1)*INDEX(其他调用!AB$5:AB$404,MATCH($K179,其他调用!$X$5:$X$404,0),0)</f>
        <v>5368.2286030974747</v>
      </c>
      <c r="R179" s="12">
        <f>MIN(INDEX(其他调用!$AH$5:$AH$364,MATCH($K179,其他调用!$AG$5:$AG$364,0),1)/INDEX(其他调用!AL$5:AL$364,MATCH($K179,其他调用!$AG$5:$AG$364,0),0),1)*INDEX(其他调用!AC$5:AC$404,MATCH($K179,其他调用!$X$5:$X$404,0),0)</f>
        <v>2155.0960974978998</v>
      </c>
      <c r="S179" s="12">
        <f>求节点(节奏总纲!D$4:D$163,标准城池设计!AC$4:AC$163,$K179)*求节点(节奏总纲!D$4:D$163,攻城基础信息!$AD$5:$AD$164,$K179)</f>
        <v>657305.639806933</v>
      </c>
      <c r="T179" s="12">
        <f>INDEX(其他调用!$AA$5:$AA$404,MATCH($K179,其他调用!$X$5:$X$404,0))*MIN(INDEX(其他调用!AI$5:AI$364,MATCH($K179,其他调用!$AG$5:$AG$364,0),1)/INDEX(其他调用!$AJ$5:$AJ$364,MATCH($K179,其他调用!$AG$5:$AG$364,0),0),5)*求节点(节奏总纲!D$4:D$163,攻城基础信息!$AD$5:$AD$164,$K179)</f>
        <v>80130.36733030621</v>
      </c>
      <c r="U179" s="12">
        <f>MIN(INDEX(其他调用!$AI$5:$AI$364,MATCH($K179,其他调用!$AG$5:$AG$364,0),1)/INDEX(其他调用!AH$5:AH$364,MATCH($K179,其他调用!$AG$5:$AG$364,0),0),1)*INDEX(其他调用!Y$5:Y$404,MATCH($K179,其他调用!$X$5:$X$404,0),0)</f>
        <v>39331.139296099318</v>
      </c>
      <c r="V179" s="12">
        <f>MIN(INDEX(其他调用!$AI$5:$AI$364,MATCH($K179,其他调用!$AG$5:$AG$364,0),1)/INDEX(其他调用!AI$5:AI$364,MATCH($K179,其他调用!$AG$5:$AG$364,0),0),1)*INDEX(其他调用!Z$5:Z$404,MATCH($K179,其他调用!$X$5:$X$404,0),0)</f>
        <v>40481.972940144959</v>
      </c>
      <c r="W179" s="12">
        <f>MIN(INDEX(其他调用!$AI$5:$AI$364,MATCH($K179,其他调用!$AG$5:$AG$364,0),1)/INDEX(其他调用!AJ$5:AJ$364,MATCH($K179,其他调用!$AG$5:$AG$364,0),0),1)*INDEX(其他调用!AA$5:AA$404,MATCH($K179,其他调用!$X$5:$X$404,0),0)</f>
        <v>24159.071997297655</v>
      </c>
      <c r="X179" s="12">
        <f>MIN(INDEX(其他调用!$AI$5:$AI$364,MATCH($K179,其他调用!$AG$5:$AG$364,0),1)/INDEX(其他调用!AK$5:AK$364,MATCH($K179,其他调用!$AG$5:$AG$364,0),0),1)*INDEX(其他调用!AB$5:AB$404,MATCH($K179,其他调用!$X$5:$X$404,0),0)</f>
        <v>8817.9916534522326</v>
      </c>
      <c r="Y179" s="12">
        <f>MIN(INDEX(其他调用!$AI$5:$AI$364,MATCH($K179,其他调用!$AG$5:$AG$364,0),1)/INDEX(其他调用!AL$5:AL$364,MATCH($K179,其他调用!$AG$5:$AG$364,0),0),1)*INDEX(其他调用!AC$5:AC$404,MATCH($K179,其他调用!$X$5:$X$404,0),0)</f>
        <v>3540.016792347265</v>
      </c>
      <c r="Z179" s="12">
        <f>求节点(节奏总纲!D$4:D$163,标准城池设计!AD$4:AD$163,$K179)*求节点(节奏总纲!D$4:D$163,攻城基础信息!$AE$5:$AE$164,$K179)</f>
        <v>697989.06597222795</v>
      </c>
      <c r="AA179" s="12">
        <f>INDEX(其他调用!$AA$5:$AA$404,MATCH($K179,其他调用!$X$5:$X$404,0))*MIN(INDEX(其他调用!AJ$5:AJ$364,MATCH($K179,其他调用!$AG$5:$AG$364,0),1)/INDEX(其他调用!$AJ$5:$AJ$364,MATCH($K179,其他调用!$AG$5:$AG$364,0),0),5)*求节点(节奏总纲!D$4:D$163,攻城基础信息!$AE$5:$AE$164,$K179)</f>
        <v>139285.92621911599</v>
      </c>
      <c r="AB179" s="12">
        <f>MIN(INDEX(其他调用!$AJ$5:$AJ$364,MATCH($K179,其他调用!$AG$5:$AG$364,0),1)/INDEX(其他调用!AH$5:AH$364,MATCH($K179,其他调用!$AG$5:$AG$364,0),0),1)*INDEX(其他调用!Y$5:Y$404,MATCH($K179,其他调用!$X$5:$X$404,0),0)</f>
        <v>39331.139296099318</v>
      </c>
      <c r="AC179" s="12">
        <f>MIN(INDEX(其他调用!$AJ$5:$AJ$364,MATCH($K179,其他调用!$AG$5:$AG$364,0),1)/INDEX(其他调用!AI$5:AI$364,MATCH($K179,其他调用!$AG$5:$AG$364,0),0),1)*INDEX(其他调用!Z$5:Z$404,MATCH($K179,其他调用!$X$5:$X$404,0),0)</f>
        <v>40481.972940144959</v>
      </c>
      <c r="AD179" s="12">
        <f>MIN(INDEX(其他调用!$AJ$5:$AJ$364,MATCH($K179,其他调用!$AG$5:$AG$364,0),1)/INDEX(其他调用!AJ$5:AJ$364,MATCH($K179,其他调用!$AG$5:$AG$364,0),0),1)*INDEX(其他调用!AA$5:AA$404,MATCH($K179,其他调用!$X$5:$X$404,0),0)</f>
        <v>41994.300436274483</v>
      </c>
      <c r="AE179" s="12">
        <f>MIN(INDEX(其他调用!$AJ$5:$AJ$364,MATCH($K179,其他调用!$AG$5:$AG$364,0),1)/INDEX(其他调用!AK$5:AK$364,MATCH($K179,其他调用!$AG$5:$AG$364,0),0),1)*INDEX(其他调用!AB$5:AB$404,MATCH($K179,其他调用!$X$5:$X$404,0),0)</f>
        <v>15327.798633203083</v>
      </c>
      <c r="AF179" s="12">
        <f>MIN(INDEX(其他调用!$AJ$5:$AJ$364,MATCH($K179,其他调用!$AG$5:$AG$364,0),1)/INDEX(其他调用!AL$5:AL$364,MATCH($K179,其他调用!$AG$5:$AG$364,0),0),1)*INDEX(其他调用!AC$5:AC$404,MATCH($K179,其他调用!$X$5:$X$404,0),0)</f>
        <v>6153.4039363729016</v>
      </c>
      <c r="AG179" s="12">
        <f>求节点(节奏总纲!D$4:D$163,标准城池设计!AE$4:AE$163,$K179)*求节点(节奏总纲!D$4:D$163,攻城基础信息!$AF$5:$AF$164,$K179)</f>
        <v>829197.59323159733</v>
      </c>
      <c r="AH179" s="12">
        <f>INDEX(其他调用!$AA$5:$AA$404,MATCH($K179,其他调用!$X$5:$X$404,0))*MIN(INDEX(其他调用!AK$5:AK$364,MATCH($K179,其他调用!$AG$5:$AG$364,0),1)/INDEX(其他调用!$AJ$5:$AJ$364,MATCH($K179,其他调用!$AG$5:$AG$364,0),0),5)*求节点(节奏总纲!D$4:D$163,攻城基础信息!$AF$5:$AF$164,$K179)</f>
        <v>401632.79641071393</v>
      </c>
      <c r="AI179" s="12">
        <f>MIN(INDEX(其他调用!$AK$5:$AK$364,MATCH($K179,其他调用!$AG$5:$AG$364,0),1)/INDEX(其他调用!AH$5:AH$364,MATCH($K179,其他调用!$AG$5:$AG$364,0),0),1)*INDEX(其他调用!Y$5:Y$404,MATCH($K179,其他调用!$X$5:$X$404,0),0)</f>
        <v>39331.139296099318</v>
      </c>
      <c r="AJ179" s="12">
        <f>MIN(INDEX(其他调用!$AK$5:$AK$364,MATCH($K179,其他调用!$AG$5:$AG$364,0),1)/INDEX(其他调用!AI$5:AI$364,MATCH($K179,其他调用!$AG$5:$AG$364,0),0),1)*INDEX(其他调用!Z$5:Z$404,MATCH($K179,其他调用!$X$5:$X$404,0),0)</f>
        <v>40481.972940144959</v>
      </c>
      <c r="AK179" s="12">
        <f>MIN(INDEX(其他调用!$AK$5:$AK$364,MATCH($K179,其他调用!$AG$5:$AG$364,0),1)/INDEX(其他调用!AJ$5:AJ$364,MATCH($K179,其他调用!$AG$5:$AG$364,0),0),1)*INDEX(其他调用!AA$5:AA$404,MATCH($K179,其他调用!$X$5:$X$404,0),0)</f>
        <v>41994.300436274483</v>
      </c>
      <c r="AL179" s="12">
        <f>MIN(INDEX(其他调用!$AK$5:$AK$364,MATCH($K179,其他调用!$AG$5:$AG$364,0),1)/INDEX(其他调用!AK$5:AK$364,MATCH($K179,其他调用!$AG$5:$AG$364,0),0),1)*INDEX(其他调用!AB$5:AB$404,MATCH($K179,其他调用!$X$5:$X$404,0),0)</f>
        <v>44197.908539511765</v>
      </c>
      <c r="AM179" s="12">
        <f>MIN(INDEX(其他调用!$AK$5:$AK$364,MATCH($K179,其他调用!$AG$5:$AG$364,0),1)/INDEX(其他调用!AL$5:AL$364,MATCH($K179,其他调用!$AG$5:$AG$364,0),0),1)*INDEX(其他调用!AC$5:AC$404,MATCH($K179,其他调用!$X$5:$X$404,0),0)</f>
        <v>17743.42101528819</v>
      </c>
      <c r="AN179" s="12">
        <f>求节点(节奏总纲!D$4:D$163,标准城池设计!AF$4:AF$163,$K179)*求节点(节奏总纲!D$4:D$163,攻城基础信息!$AG$5:$AG$164,$K179)</f>
        <v>849045.38578431762</v>
      </c>
      <c r="AO179" s="12">
        <f>INDEX(其他调用!$AA$5:$AA$404,MATCH($K179,其他调用!$X$5:$X$404,0))*MIN(INDEX(其他调用!AL$5:AL$364,MATCH($K179,其他调用!$AG$5:$AG$364,0),1)/INDEX(其他调用!$AJ$5:$AJ$364,MATCH($K179,其他调用!$AG$5:$AG$364,0),0),5)*求节点(节奏总纲!D$4:D$163,攻城基础信息!$AG$5:$AG$164,$K179)</f>
        <v>696429.63109558006</v>
      </c>
      <c r="AP179" s="12">
        <f>MIN(INDEX(其他调用!$AL$5:$AL$364,MATCH($K179,其他调用!$AG$5:$AG$364,0),1)/INDEX(其他调用!AH$5:AH$364,MATCH($K179,其他调用!$AG$5:$AG$364,0),0),1)*INDEX(其他调用!Y$5:Y$404,MATCH($K179,其他调用!$X$5:$X$404,0),0)</f>
        <v>39331.139296099318</v>
      </c>
      <c r="AQ179" s="12">
        <f>MIN(INDEX(其他调用!$AL$5:$AL$364,MATCH($K179,其他调用!$AG$5:$AG$364,0),1)/INDEX(其他调用!AI$5:AI$364,MATCH($K179,其他调用!$AG$5:$AG$364,0),0),1)*INDEX(其他调用!Z$5:Z$404,MATCH($K179,其他调用!$X$5:$X$404,0),0)</f>
        <v>40481.972940144959</v>
      </c>
      <c r="AR179" s="12">
        <f>MIN(INDEX(其他调用!$AL$5:$AL$364,MATCH($K179,其他调用!$AG$5:$AG$364,0),1)/INDEX(其他调用!AJ$5:AJ$364,MATCH($K179,其他调用!$AG$5:$AG$364,0),0),1)*INDEX(其他调用!AA$5:AA$404,MATCH($K179,其他调用!$X$5:$X$404,0),0)</f>
        <v>41994.300436274483</v>
      </c>
      <c r="AS179" s="12">
        <f>MIN(INDEX(其他调用!$AL$5:$AL$364,MATCH($K179,其他调用!$AG$5:$AG$364,0),1)/INDEX(其他调用!AK$5:AK$364,MATCH($K179,其他调用!$AG$5:$AG$364,0),0),1)*INDEX(其他调用!AB$5:AB$404,MATCH($K179,其他调用!$X$5:$X$404,0),0)</f>
        <v>44197.908539511765</v>
      </c>
      <c r="AT179" s="12">
        <f>MIN(INDEX(其他调用!$AL$5:$AL$364,MATCH($K179,其他调用!$AG$5:$AG$364,0),1)/INDEX(其他调用!AL$5:AL$364,MATCH($K179,其他调用!$AG$5:$AG$364,0),0),1)*INDEX(其他调用!AC$5:AC$404,MATCH($K179,其他调用!$X$5:$X$404,0),0)</f>
        <v>48143.846066656915</v>
      </c>
      <c r="AV179" s="14">
        <f>IF(OR(AV$5="大R",AV$5="超R"),MAX(INDEX(其他调用!$H$5:$L$404,MATCH($K179,其他调用!$B$5:$B$404,0),MATCH(AV$5,其他调用!$H$4:$L$4,0))*120*0.85,2),INDEX(其他调用!$H$5:$L$404,MATCH($K179,其他调用!$B$5:$B$404,0),MATCH(AV$5,其他调用!$H$4:$L$4,0))*120*0.85)</f>
        <v>48.921801254999991</v>
      </c>
      <c r="AW179" s="14">
        <f>IF(OR(AW$5="大R",AW$5="超R"),MAX(INDEX(其他调用!$H$5:$L$404,MATCH($K179,其他调用!$B$5:$B$404,0),MATCH(AW$5,其他调用!$H$4:$L$4,0))*120*0.85,2),INDEX(其他调用!$H$5:$L$404,MATCH($K179,其他调用!$B$5:$B$404,0),MATCH(AW$5,其他调用!$H$4:$L$4,0))*120*0.85)</f>
        <v>48.237344010638395</v>
      </c>
      <c r="AX179" s="14">
        <f>IF(OR(AX$5="大R",AX$5="超R"),MAX(INDEX(其他调用!$H$5:$L$404,MATCH($K179,其他调用!$B$5:$B$404,0),MATCH(AX$5,其他调用!$H$4:$L$4,0))*120*0.85,2),INDEX(其他调用!$H$5:$L$404,MATCH($K179,其他调用!$B$5:$B$404,0),MATCH(AX$5,其他调用!$H$4:$L$4,0))*120*0.85)</f>
        <v>3.9376284143615998</v>
      </c>
      <c r="AY179" s="14">
        <f>IF(OR(AY$5="大R",AY$5="超R"),MAX(INDEX(其他调用!$H$5:$L$404,MATCH($K179,其他调用!$B$5:$B$404,0),MATCH(AY$5,其他调用!$H$4:$L$4,0))*120*0.85,2),INDEX(其他调用!$H$5:$L$404,MATCH($K179,其他调用!$B$5:$B$404,0),MATCH(AY$5,其他调用!$H$4:$L$4,0))*120*0.85)</f>
        <v>2</v>
      </c>
      <c r="AZ179" s="14">
        <f>IF(OR(AZ$5="大R",AZ$5="超R"),MAX(INDEX(其他调用!$H$5:$L$404,MATCH($K179,其他调用!$B$5:$B$404,0),MATCH(AZ$5,其他调用!$H$4:$L$4,0))*120*0.85,2),INDEX(其他调用!$H$5:$L$404,MATCH($K179,其他调用!$B$5:$B$404,0),MATCH(AZ$5,其他调用!$H$4:$L$4,0))*120*0.85)</f>
        <v>2</v>
      </c>
      <c r="BA179" s="14">
        <f>INDEX(其他调用!$H$5:$L$404,MATCH($K179,其他调用!$B$5:$B$404,0),MATCH(BA$5,其他调用!$H$4:$L$4,0))*INDEX(其他调用!$M$5:$M$404,MATCH($K179,其他调用!$B$5:$B$404,0))*0.6</f>
        <v>28.777530149999997</v>
      </c>
      <c r="BB179" s="14">
        <f>INDEX(其他调用!$H$5:$L$404,MATCH($K179,其他调用!$B$5:$B$404,0),MATCH(BB$5,其他调用!$H$4:$L$4,0))*INDEX(其他调用!$M$5:$M$404,MATCH($K179,其他调用!$B$5:$B$404,0))*0.6</f>
        <v>28.374908241551999</v>
      </c>
      <c r="BC179" s="14">
        <f>INDEX(其他调用!$H$5:$L$404,MATCH($K179,其他调用!$B$5:$B$404,0),MATCH(BC$5,其他调用!$H$4:$L$4,0))*INDEX(其他调用!$M$5:$M$404,MATCH($K179,其他调用!$B$5:$B$404,0))*0.6</f>
        <v>2.3162520084480001</v>
      </c>
      <c r="BD179" s="14">
        <f>INDEX(其他调用!$H$5:$L$404,MATCH($K179,其他调用!$B$5:$B$404,0),MATCH(BD$5,其他调用!$H$4:$L$4,0))*INDEX(其他调用!$M$5:$M$404,MATCH($K179,其他调用!$B$5:$B$404,0))*0.6</f>
        <v>0.4120776000000001</v>
      </c>
      <c r="BE179" s="14">
        <f>INDEX(其他调用!$H$5:$L$404,MATCH($K179,其他调用!$B$5:$B$404,0),MATCH(BE$5,其他调用!$H$4:$L$4,0))*INDEX(其他调用!$M$5:$M$404,MATCH($K179,其他调用!$B$5:$B$404,0))*0.6</f>
        <v>0.11923199999999998</v>
      </c>
      <c r="BF179" s="14">
        <f>IF(OR(BF$5="大R",BF$5="超R"),0,INDEX(其他调用!$H$5:$L$404,MATCH($K179,其他调用!$B$5:$B$404,0),MATCH(BF$5,其他调用!$H$4:$L$4,0))*50*0.4)</f>
        <v>9.5925100500000013</v>
      </c>
      <c r="BG179" s="14">
        <f>IF(OR(BG$5="大R",BG$5="超R"),0,INDEX(其他调用!$H$5:$L$404,MATCH($K179,其他调用!$B$5:$B$404,0),MATCH(BG$5,其他调用!$H$4:$L$4,0))*50*0.4)</f>
        <v>9.4583027471839998</v>
      </c>
      <c r="BH179" s="14">
        <f>IF(OR(BH$5="大R",BH$5="超R"),0,INDEX(其他调用!$H$5:$L$404,MATCH($K179,其他调用!$B$5:$B$404,0),MATCH(BH$5,其他调用!$H$4:$L$4,0))*50*0.4)</f>
        <v>0.77208400281600009</v>
      </c>
      <c r="BI179" s="14">
        <f>IF(OR(BI$5="大R",BI$5="超R"),0,INDEX(其他调用!$H$5:$L$404,MATCH($K179,其他调用!$B$5:$B$404,0),MATCH(BI$5,其他调用!$H$4:$L$4,0))*50*0.4)</f>
        <v>0</v>
      </c>
      <c r="BJ179" s="14">
        <f>IF(OR(BJ$5="大R",BJ$5="超R"),0,INDEX(其他调用!$H$5:$L$404,MATCH($K179,其他调用!$B$5:$B$404,0),MATCH(BJ$5,其他调用!$H$4:$L$4,0))*50*0.4)</f>
        <v>0</v>
      </c>
      <c r="BL179" s="14">
        <f t="shared" si="313"/>
        <v>174</v>
      </c>
      <c r="BM179" s="14">
        <f t="shared" si="220"/>
        <v>96</v>
      </c>
      <c r="BN179" s="14">
        <f>('疲劳值&amp;地图信息'!$S$10*'疲劳值&amp;地图信息'!$R$10+'疲劳值&amp;地图信息'!$S$11*'疲劳值&amp;地图信息'!$R$11+'疲劳值&amp;地图信息'!$S$12*'疲劳值&amp;地图信息'!$R$12+(BM179-'疲劳值&amp;地图信息'!$S$12-'疲劳值&amp;地图信息'!$S$11-'疲劳值&amp;地图信息'!$S$10)*'疲劳值&amp;地图信息'!$R$13)/BM179</f>
        <v>51.371477246638619</v>
      </c>
      <c r="BO179" s="14">
        <f>INDEX(其他调用!$M$5:$M$404,MATCH(BL179,其他调用!$B$5:$B$404,0))*0.6</f>
        <v>60</v>
      </c>
      <c r="BP179" s="14">
        <f>IF(BO179&gt;SUM('疲劳值&amp;地图信息'!$S$10:$S$12),('疲劳值&amp;地图信息'!$S$10*'疲劳值&amp;地图信息'!$R$10+'疲劳值&amp;地图信息'!$S$11*'疲劳值&amp;地图信息'!$R$11+'疲劳值&amp;地图信息'!$S$12*'疲劳值&amp;地图信息'!$R$12+(BO179-'疲劳值&amp;地图信息'!$S$12-'疲劳值&amp;地图信息'!$S$11-'疲劳值&amp;地图信息'!$S$10)*'疲劳值&amp;地图信息'!$R$13)/BO179,('疲劳值&amp;地图信息'!$S$10*'疲劳值&amp;地图信息'!$R$10+'疲劳值&amp;地图信息'!$S$11*'疲劳值&amp;地图信息'!$R$11+'疲劳值&amp;地图信息'!$S$12*'疲劳值&amp;地图信息'!$R$12+(BO179-'疲劳值&amp;地图信息'!$S$12-'疲劳值&amp;地图信息'!$S$11-'疲劳值&amp;地图信息'!$S$10)*'疲劳值&amp;地图信息'!$R$13)/BO179)</f>
        <v>44.158136341605953</v>
      </c>
      <c r="BQ179" s="14">
        <f t="shared" si="314"/>
        <v>20</v>
      </c>
      <c r="BR179" s="14">
        <f>('疲劳值&amp;地图信息'!$S$10*'疲劳值&amp;地图信息'!$R$10+($BQ179-'疲劳值&amp;地图信息'!$S$10)*'疲劳值&amp;地图信息'!$R$11)/$BQ179</f>
        <v>32.067203015074995</v>
      </c>
      <c r="CF179" s="14">
        <v>174</v>
      </c>
      <c r="CG179" s="51">
        <f t="shared" si="221"/>
        <v>12561</v>
      </c>
      <c r="CH179" s="51">
        <f t="shared" si="222"/>
        <v>994</v>
      </c>
      <c r="CI179" s="51">
        <f>INT(SUMPRODUCT($N179:$R179,$BA179:$BE179)/SUM($BA179:$BE179)/10000*$BX$7*$BZ$34/'疲劳值&amp;地图信息'!$R$10*$BY$53)</f>
        <v>3158</v>
      </c>
      <c r="CJ179" s="50">
        <f t="shared" si="223"/>
        <v>0.75157063363848498</v>
      </c>
      <c r="CK179" s="50">
        <f t="shared" si="224"/>
        <v>5.9474660443965773E-2</v>
      </c>
      <c r="CL179" s="50">
        <f t="shared" si="225"/>
        <v>0.1889547059175492</v>
      </c>
      <c r="CM179" s="14">
        <f t="shared" si="226"/>
        <v>13396</v>
      </c>
      <c r="CN179" s="14">
        <f t="shared" si="227"/>
        <v>1633</v>
      </c>
      <c r="CO179" s="14">
        <f>INT(SUMPRODUCT($U179:$Y179,$BA179:$BE179)/SUM($BA179:$BE179)/10000*$BX$7*$BZ$34/'疲劳值&amp;地图信息'!$R$10*$BY$54)</f>
        <v>5937</v>
      </c>
      <c r="CP179" s="50">
        <f t="shared" si="228"/>
        <v>0.63893923495182681</v>
      </c>
      <c r="CQ179" s="50">
        <f t="shared" si="229"/>
        <v>7.7888009157683874E-2</v>
      </c>
      <c r="CR179" s="50">
        <f t="shared" si="230"/>
        <v>0.28317275589048935</v>
      </c>
      <c r="CS179" s="14">
        <f t="shared" si="231"/>
        <v>14225</v>
      </c>
      <c r="CT179" s="14">
        <f t="shared" si="232"/>
        <v>2838</v>
      </c>
      <c r="CU179" s="14">
        <f>INT(SUMPRODUCT($AB179:$AF179,$BA179:$BE179)/SUM($BA179:$BE179)/10000*$BX$7*$BZ$34/'疲劳值&amp;地图信息'!$R$10*$BY$55)</f>
        <v>8066</v>
      </c>
      <c r="CV179" s="50">
        <f t="shared" si="233"/>
        <v>0.56607903219387956</v>
      </c>
      <c r="CW179" s="50">
        <f t="shared" si="234"/>
        <v>0.1129372438218791</v>
      </c>
      <c r="CX179" s="50">
        <f t="shared" si="235"/>
        <v>0.3209837239842413</v>
      </c>
      <c r="CY179" s="14">
        <f t="shared" si="236"/>
        <v>16900</v>
      </c>
      <c r="CZ179" s="14">
        <f t="shared" si="237"/>
        <v>8185</v>
      </c>
      <c r="DA179" s="14">
        <f>INT(SUMPRODUCT($AI179:$AM179,$BA179:$BE179)/SUM($BA179:$BE179)/10000*$BX$7*$BZ$34/'疲劳值&amp;地图信息'!$R$10*$BY$56)</f>
        <v>12166</v>
      </c>
      <c r="DB179" s="50">
        <f t="shared" si="238"/>
        <v>0.45367909586319832</v>
      </c>
      <c r="DC179" s="50">
        <f t="shared" si="239"/>
        <v>0.21972564494912888</v>
      </c>
      <c r="DD179" s="50">
        <f t="shared" si="240"/>
        <v>0.32659525918767279</v>
      </c>
      <c r="DE179" s="14">
        <f t="shared" si="241"/>
        <v>17304</v>
      </c>
      <c r="DF179" s="14">
        <f t="shared" si="242"/>
        <v>14194</v>
      </c>
      <c r="DG179" s="14">
        <f>INT(SUMPRODUCT($AP179:$AT179,$BA179:$BE179)/SUM($BA179:$BE179)/10000*$BX$7*$BZ$34/'疲劳值&amp;地图信息'!$R$10*$BY$57)</f>
        <v>16246</v>
      </c>
      <c r="DH179" s="50">
        <f t="shared" si="243"/>
        <v>0.36243297587131368</v>
      </c>
      <c r="DI179" s="50">
        <f t="shared" si="244"/>
        <v>0.29729390080428952</v>
      </c>
      <c r="DJ179" s="50">
        <f t="shared" si="245"/>
        <v>0.3402731233243968</v>
      </c>
      <c r="DL179" s="14">
        <f t="shared" si="316"/>
        <v>16713</v>
      </c>
      <c r="DM179" s="14">
        <f t="shared" si="317"/>
        <v>20966</v>
      </c>
      <c r="DN179" s="14">
        <f t="shared" si="318"/>
        <v>25129</v>
      </c>
      <c r="DO179" s="14">
        <f t="shared" si="319"/>
        <v>37251</v>
      </c>
      <c r="DP179" s="14">
        <f t="shared" si="320"/>
        <v>47744</v>
      </c>
      <c r="DQ179" s="14">
        <f t="shared" si="321"/>
        <v>1155115</v>
      </c>
      <c r="DT179" s="14">
        <f t="shared" si="315"/>
        <v>235575</v>
      </c>
      <c r="DU179" s="50">
        <f t="shared" si="217"/>
        <v>0.16939432943359051</v>
      </c>
      <c r="DW179" s="14">
        <f t="shared" si="246"/>
        <v>1390690</v>
      </c>
      <c r="EB179" s="14">
        <v>174</v>
      </c>
      <c r="EC179" s="51">
        <f t="shared" si="247"/>
        <v>20935</v>
      </c>
      <c r="ED179" s="51">
        <f t="shared" si="248"/>
        <v>1657</v>
      </c>
      <c r="EE179" s="51">
        <f>INT(SUMPRODUCT($N179:$R179,$BF179:$BJ179)/SUM($BF179:$BJ179)/10000*$BX$7*$BZ$46/'疲劳值&amp;地图信息'!$R$10*$BY$53)</f>
        <v>424</v>
      </c>
      <c r="EF179" s="50">
        <f t="shared" si="249"/>
        <v>0.90958463677441781</v>
      </c>
      <c r="EG179" s="50">
        <f t="shared" si="250"/>
        <v>7.1993395898505383E-2</v>
      </c>
      <c r="EH179" s="50">
        <f t="shared" si="251"/>
        <v>1.8421967327076814E-2</v>
      </c>
      <c r="EI179" s="51">
        <f t="shared" si="252"/>
        <v>22327</v>
      </c>
      <c r="EJ179" s="51">
        <f t="shared" si="253"/>
        <v>2721</v>
      </c>
      <c r="EK179" s="14">
        <f>INT(SUMPRODUCT($U179:$Y179,$BF179:$BJ179)/SUM($BF179:$BJ179)/10000*$BX$7*$BZ$46/'疲劳值&amp;地图信息'!$R$10*$BY$54)</f>
        <v>797</v>
      </c>
      <c r="EL179" s="50">
        <f t="shared" si="254"/>
        <v>0.86388082801315536</v>
      </c>
      <c r="EM179" s="50">
        <f t="shared" si="255"/>
        <v>0.10528148578061521</v>
      </c>
      <c r="EN179" s="50">
        <f t="shared" si="256"/>
        <v>3.0837686206229446E-2</v>
      </c>
      <c r="EO179" s="51">
        <f t="shared" si="257"/>
        <v>23709</v>
      </c>
      <c r="EP179" s="51">
        <f t="shared" si="258"/>
        <v>4731</v>
      </c>
      <c r="EQ179" s="14">
        <f>INT(SUMPRODUCT($AB179:$AF179,$BF179:$BJ179)/SUM($BF179:$BJ179)/10000*$BX$7*$BZ$46/'疲劳值&amp;地图信息'!$R$10*$BY$55)</f>
        <v>1081</v>
      </c>
      <c r="ER179" s="50">
        <f t="shared" si="259"/>
        <v>0.80312320043358965</v>
      </c>
      <c r="ES179" s="50">
        <f t="shared" si="260"/>
        <v>0.16025879882117813</v>
      </c>
      <c r="ET179" s="50">
        <f t="shared" si="261"/>
        <v>3.6618000745232207E-2</v>
      </c>
      <c r="EU179" s="51">
        <f t="shared" si="262"/>
        <v>28166</v>
      </c>
      <c r="EV179" s="51">
        <f t="shared" si="263"/>
        <v>13642</v>
      </c>
      <c r="EW179" s="14">
        <f>INT(SUMPRODUCT($AI179:$AM179,$BF179:$BJ179)/SUM($BF179:$BJ179)/10000*$BX$7*$BZ$46/'疲劳值&amp;地图信息'!$R$10*$BY$56)</f>
        <v>1622</v>
      </c>
      <c r="EX179" s="50">
        <f t="shared" si="264"/>
        <v>0.64853787704351828</v>
      </c>
      <c r="EY179" s="50">
        <f t="shared" si="265"/>
        <v>0.31411466728068155</v>
      </c>
      <c r="EZ179" s="50">
        <f t="shared" si="266"/>
        <v>3.734745567580014E-2</v>
      </c>
      <c r="FA179" s="51">
        <f t="shared" si="267"/>
        <v>28841</v>
      </c>
      <c r="FB179" s="51">
        <f t="shared" si="268"/>
        <v>23656</v>
      </c>
      <c r="FC179" s="14">
        <f>INT(SUMPRODUCT($AP179:$AT179,$BF179:$BJ179)/SUM($BF179:$BJ179)/10000*$BX$7*$BZ$46/'疲劳值&amp;地图信息'!$R$10*$BY$57)</f>
        <v>2163</v>
      </c>
      <c r="FD179" s="50">
        <f t="shared" si="269"/>
        <v>0.52764361507500912</v>
      </c>
      <c r="FE179" s="50">
        <f t="shared" si="270"/>
        <v>0.43278448591291618</v>
      </c>
      <c r="FF179" s="50">
        <f t="shared" si="271"/>
        <v>3.9571899012074641E-2</v>
      </c>
      <c r="FH179" s="14">
        <f t="shared" si="272"/>
        <v>23016</v>
      </c>
      <c r="FI179" s="14">
        <f t="shared" si="273"/>
        <v>25845</v>
      </c>
      <c r="FJ179" s="14">
        <f t="shared" si="274"/>
        <v>29521</v>
      </c>
      <c r="FK179" s="14">
        <f t="shared" si="275"/>
        <v>43430</v>
      </c>
      <c r="FL179" s="14">
        <f t="shared" si="276"/>
        <v>54660</v>
      </c>
      <c r="FM179" s="14">
        <f t="shared" si="277"/>
        <v>2685101</v>
      </c>
      <c r="FP179" s="14">
        <f t="shared" si="278"/>
        <v>334150</v>
      </c>
      <c r="FQ179" s="50">
        <f t="shared" si="218"/>
        <v>0.11067314376976277</v>
      </c>
      <c r="FS179" s="14">
        <f t="shared" si="279"/>
        <v>3019251</v>
      </c>
      <c r="FX179" s="14">
        <v>174</v>
      </c>
      <c r="FY179" s="51">
        <f t="shared" si="280"/>
        <v>29309</v>
      </c>
      <c r="FZ179" s="51">
        <f t="shared" si="281"/>
        <v>1657</v>
      </c>
      <c r="GA179" s="51">
        <f>INT(SUMPRODUCT($N179:$R179,$BF179:$BJ179)/SUM($BF179:$BJ179)/10000*$BX$7*$BZ$46/'疲劳值&amp;地图信息'!$R$10*$BY$53)</f>
        <v>424</v>
      </c>
      <c r="GB179" s="50">
        <f t="shared" si="282"/>
        <v>0.93370500159286396</v>
      </c>
      <c r="GC179" s="50">
        <f t="shared" si="283"/>
        <v>5.2787511946479772E-2</v>
      </c>
      <c r="GD179" s="50">
        <f t="shared" si="284"/>
        <v>1.3507486460656261E-2</v>
      </c>
      <c r="GE179" s="51">
        <f t="shared" si="285"/>
        <v>31259</v>
      </c>
      <c r="GF179" s="51">
        <f t="shared" si="286"/>
        <v>2721</v>
      </c>
      <c r="GG179" s="14">
        <f>INT(SUMPRODUCT($U179:$Y179,$BF179:$BJ179)/SUM($BF179:$BJ179)/10000*$BX$7*$BZ$46/'疲劳值&amp;地图信息'!$R$10*$BY$54)</f>
        <v>797</v>
      </c>
      <c r="GH179" s="50">
        <f t="shared" si="287"/>
        <v>0.89884118814158787</v>
      </c>
      <c r="GI179" s="50">
        <f t="shared" si="288"/>
        <v>7.8241366420335273E-2</v>
      </c>
      <c r="GJ179" s="50">
        <f t="shared" si="289"/>
        <v>2.2917445438076889E-2</v>
      </c>
      <c r="GK179" s="51">
        <f t="shared" si="290"/>
        <v>33193</v>
      </c>
      <c r="GL179" s="51">
        <f t="shared" si="291"/>
        <v>4731</v>
      </c>
      <c r="GM179" s="14">
        <f>INT(SUMPRODUCT($AB179:$AF179,$BF179:$BJ179)/SUM($BF179:$BJ179)/10000*$BX$7*$BZ$46/'疲劳值&amp;地图信息'!$R$10*$BY$55)</f>
        <v>1081</v>
      </c>
      <c r="GN179" s="50">
        <f t="shared" si="292"/>
        <v>0.85099346237661844</v>
      </c>
      <c r="GO179" s="50">
        <f t="shared" si="293"/>
        <v>0.12129214203307269</v>
      </c>
      <c r="GP179" s="50">
        <f t="shared" si="294"/>
        <v>2.7714395590308936E-2</v>
      </c>
      <c r="GQ179" s="51">
        <f t="shared" si="295"/>
        <v>39433</v>
      </c>
      <c r="GR179" s="51">
        <f t="shared" si="296"/>
        <v>13642</v>
      </c>
      <c r="GS179" s="14">
        <f>INT(SUMPRODUCT($AI179:$AM179,$BF179:$BJ179)/SUM($BF179:$BJ179)/10000*$BX$7*$BZ$46/'疲劳值&amp;地图信息'!$R$10*$BY$56)</f>
        <v>1622</v>
      </c>
      <c r="GT179" s="50">
        <f t="shared" si="297"/>
        <v>0.72093533466186444</v>
      </c>
      <c r="GU179" s="50">
        <f t="shared" si="298"/>
        <v>0.24941038813828911</v>
      </c>
      <c r="GV179" s="50">
        <f t="shared" si="299"/>
        <v>2.9654277199846427E-2</v>
      </c>
      <c r="GW179" s="51">
        <f t="shared" si="300"/>
        <v>40377</v>
      </c>
      <c r="GX179" s="51">
        <f t="shared" si="301"/>
        <v>23656</v>
      </c>
      <c r="GY179" s="14">
        <f>INT(SUMPRODUCT($AP179:$AT179,$BF179:$BJ179)/SUM($BF179:$BJ179)/10000*$BX$7*$BZ$46/'疲劳值&amp;地图信息'!$R$10*$BY$57)</f>
        <v>2163</v>
      </c>
      <c r="GZ179" s="50">
        <f t="shared" si="302"/>
        <v>0.60996132696839689</v>
      </c>
      <c r="HA179" s="50">
        <f t="shared" si="303"/>
        <v>0.35736298265756239</v>
      </c>
      <c r="HB179" s="50">
        <f t="shared" si="304"/>
        <v>3.2675690374040729E-2</v>
      </c>
      <c r="HD179" s="14">
        <f t="shared" si="305"/>
        <v>31390</v>
      </c>
      <c r="HE179" s="14">
        <f t="shared" si="306"/>
        <v>34777</v>
      </c>
      <c r="HF179" s="14">
        <f t="shared" si="307"/>
        <v>39005</v>
      </c>
      <c r="HG179" s="14">
        <f t="shared" si="308"/>
        <v>54697</v>
      </c>
      <c r="HH179" s="14">
        <f t="shared" si="309"/>
        <v>66196</v>
      </c>
      <c r="HI179" s="14">
        <f t="shared" si="310"/>
        <v>3608578</v>
      </c>
      <c r="HL179" s="14">
        <f t="shared" si="311"/>
        <v>430050</v>
      </c>
      <c r="HM179" s="50">
        <f t="shared" si="219"/>
        <v>0.10648418225199251</v>
      </c>
      <c r="HO179" s="14">
        <f t="shared" si="312"/>
        <v>4038628</v>
      </c>
    </row>
    <row r="180" spans="11:223" x14ac:dyDescent="0.2">
      <c r="K180" s="14">
        <v>175</v>
      </c>
      <c r="L180" s="12">
        <f>求节点(节奏总纲!D$4:D$163,标准城池设计!AB$4:AB$163,$K180)*求节点(节奏总纲!D$4:D$163,攻城基础信息!$AC$5:$AC$164,$K180)</f>
        <v>618084.39578722569</v>
      </c>
      <c r="M180" s="12">
        <f>INDEX(其他调用!$AA$5:$AA$404,MATCH(K180,其他调用!$X$5:$X$404,0))*MIN(INDEX(其他调用!$AH$5:$AH$364,MATCH('征服点（新）'!K180,其他调用!$AG$5:$AG$364,0),1)/INDEX(其他调用!$AJ$5:$AJ$364,MATCH(K180,其他调用!$AG$5:$AG$364,0),0),5)*求节点(节奏总纲!D$4:D$163,攻城基础信息!$AC$5:$AC$164,$K180)</f>
        <v>48874.024003736668</v>
      </c>
      <c r="N180" s="12">
        <f>MIN(INDEX(其他调用!$AH$5:$AH$364,MATCH($K180,其他调用!$AG$5:$AG$364,0),1)/INDEX(其他调用!AH$5:AH$364,MATCH($K180,其他调用!$AG$5:$AG$364,0),0),1)*INDEX(其他调用!Y$5:Y$404,MATCH($K180,其他调用!$X$5:$X$404,0),0)</f>
        <v>39365.174117596674</v>
      </c>
      <c r="O180" s="12">
        <f>MIN(INDEX(其他调用!$AH$5:$AH$364,MATCH($K180,其他调用!$AG$5:$AG$364,0),1)/INDEX(其他调用!AI$5:AI$364,MATCH($K180,其他调用!$AG$5:$AG$364,0),0),1)*INDEX(其他调用!Z$5:Z$404,MATCH($K180,其他调用!$X$5:$X$404,0),0)</f>
        <v>24667.277638442411</v>
      </c>
      <c r="P180" s="12">
        <f>MIN(INDEX(其他调用!$AH$5:$AH$364,MATCH($K180,其他调用!$AG$5:$AG$364,0),1)/INDEX(其他调用!AJ$5:AJ$364,MATCH($K180,其他调用!$AG$5:$AG$364,0),0),1)*INDEX(其他调用!AA$5:AA$404,MATCH($K180,其他调用!$X$5:$X$404,0),0)</f>
        <v>14723.169553192778</v>
      </c>
      <c r="Q180" s="12">
        <f>MIN(INDEX(其他调用!$AH$5:$AH$364,MATCH($K180,其他调用!$AG$5:$AG$364,0),1)/INDEX(其他调用!AK$5:AK$364,MATCH($K180,其他调用!$AG$5:$AG$364,0),0),1)*INDEX(其他调用!AB$5:AB$404,MATCH($K180,其他调用!$X$5:$X$404,0),0)</f>
        <v>5374.108299317847</v>
      </c>
      <c r="R180" s="12">
        <f>MIN(INDEX(其他调用!$AH$5:$AH$364,MATCH($K180,其他调用!$AG$5:$AG$364,0),1)/INDEX(其他调用!AL$5:AL$364,MATCH($K180,其他调用!$AG$5:$AG$364,0),0),1)*INDEX(其他调用!AC$5:AC$404,MATCH($K180,其他调用!$X$5:$X$404,0),0)</f>
        <v>2164.0317490321922</v>
      </c>
      <c r="S180" s="12">
        <f>求节点(节奏总纲!D$4:D$163,标准城池设计!AC$4:AC$163,$K180)*求节点(节奏总纲!D$4:D$163,攻城基础信息!$AD$5:$AD$164,$K180)</f>
        <v>658978.64883128763</v>
      </c>
      <c r="T180" s="12">
        <f>INDEX(其他调用!$AA$5:$AA$404,MATCH($K180,其他调用!$X$5:$X$404,0))*MIN(INDEX(其他调用!AI$5:AI$364,MATCH($K180,其他调用!$AG$5:$AG$364,0),1)/INDEX(其他调用!$AJ$5:$AJ$364,MATCH($K180,其他调用!$AG$5:$AG$364,0),0),5)*求节点(节奏总纲!D$4:D$163,攻城基础信息!$AD$5:$AD$164,$K180)</f>
        <v>80272.371822245201</v>
      </c>
      <c r="U180" s="12">
        <f>MIN(INDEX(其他调用!$AI$5:$AI$364,MATCH($K180,其他调用!$AG$5:$AG$364,0),1)/INDEX(其他调用!AH$5:AH$364,MATCH($K180,其他调用!$AG$5:$AG$364,0),0),1)*INDEX(其他调用!Y$5:Y$404,MATCH($K180,其他调用!$X$5:$X$404,0),0)</f>
        <v>39365.174117596674</v>
      </c>
      <c r="V180" s="12">
        <f>MIN(INDEX(其他调用!$AI$5:$AI$364,MATCH($K180,其他调用!$AG$5:$AG$364,0),1)/INDEX(其他调用!AI$5:AI$364,MATCH($K180,其他调用!$AG$5:$AG$364,0),0),1)*INDEX(其他调用!Z$5:Z$404,MATCH($K180,其他调用!$X$5:$X$404,0),0)</f>
        <v>40514.382083296747</v>
      </c>
      <c r="W180" s="12">
        <f>MIN(INDEX(其他调用!$AI$5:$AI$364,MATCH($K180,其他调用!$AG$5:$AG$364,0),1)/INDEX(其他调用!AJ$5:AJ$364,MATCH($K180,其他调用!$AG$5:$AG$364,0),0),1)*INDEX(其他调用!AA$5:AA$404,MATCH($K180,其他调用!$X$5:$X$404,0),0)</f>
        <v>24181.83820275349</v>
      </c>
      <c r="X180" s="12">
        <f>MIN(INDEX(其他调用!$AI$5:$AI$364,MATCH($K180,其他调用!$AG$5:$AG$364,0),1)/INDEX(其他调用!AK$5:AK$364,MATCH($K180,其他调用!$AG$5:$AG$364,0),0),1)*INDEX(其他调用!AB$5:AB$404,MATCH($K180,其他调用!$X$5:$X$404,0),0)</f>
        <v>8826.6196289234122</v>
      </c>
      <c r="Y180" s="12">
        <f>MIN(INDEX(其他调用!$AI$5:$AI$364,MATCH($K180,其他调用!$AG$5:$AG$364,0),1)/INDEX(其他调用!AL$5:AL$364,MATCH($K180,其他调用!$AG$5:$AG$364,0),0),1)*INDEX(其他调用!AC$5:AC$404,MATCH($K180,其他调用!$X$5:$X$404,0),0)</f>
        <v>3554.2799009178084</v>
      </c>
      <c r="Z180" s="12">
        <f>求节点(节奏总纲!D$4:D$163,标准城池设计!AD$4:AD$163,$K180)*求节点(节奏总纲!D$4:D$163,攻城基础信息!$AE$5:$AE$164,$K180)</f>
        <v>699738.86682763312</v>
      </c>
      <c r="AA180" s="12">
        <f>INDEX(其他调用!$AA$5:$AA$404,MATCH($K180,其他调用!$X$5:$X$404,0))*MIN(INDEX(其他调用!AJ$5:AJ$364,MATCH($K180,其他调用!$AG$5:$AG$364,0),1)/INDEX(其他调用!$AJ$5:$AJ$364,MATCH($K180,其他调用!$AG$5:$AG$364,0),0),5)*求节点(节奏总纲!D$4:D$163,攻城基础信息!$AE$5:$AE$164,$K180)</f>
        <v>139509.81964739456</v>
      </c>
      <c r="AB180" s="12">
        <f>MIN(INDEX(其他调用!$AJ$5:$AJ$364,MATCH($K180,其他调用!$AG$5:$AG$364,0),1)/INDEX(其他调用!AH$5:AH$364,MATCH($K180,其他调用!$AG$5:$AG$364,0),0),1)*INDEX(其他调用!Y$5:Y$404,MATCH($K180,其他调用!$X$5:$X$404,0),0)</f>
        <v>39365.174117596674</v>
      </c>
      <c r="AC180" s="12">
        <f>MIN(INDEX(其他调用!$AJ$5:$AJ$364,MATCH($K180,其他调用!$AG$5:$AG$364,0),1)/INDEX(其他调用!AI$5:AI$364,MATCH($K180,其他调用!$AG$5:$AG$364,0),0),1)*INDEX(其他调用!Z$5:Z$404,MATCH($K180,其他调用!$X$5:$X$404,0),0)</f>
        <v>40514.382083296747</v>
      </c>
      <c r="AD180" s="12">
        <f>MIN(INDEX(其他调用!$AJ$5:$AJ$364,MATCH($K180,其他调用!$AG$5:$AG$364,0),1)/INDEX(其他调用!AJ$5:AJ$364,MATCH($K180,其他调用!$AG$5:$AG$364,0),0),1)*INDEX(其他调用!AA$5:AA$404,MATCH($K180,其他调用!$X$5:$X$404,0),0)</f>
        <v>42026.961578749775</v>
      </c>
      <c r="AE180" s="12">
        <f>MIN(INDEX(其他调用!$AJ$5:$AJ$364,MATCH($K180,其他调用!$AG$5:$AG$364,0),1)/INDEX(其他调用!AK$5:AK$364,MATCH($K180,其他调用!$AG$5:$AG$364,0),0),1)*INDEX(其他调用!AB$5:AB$404,MATCH($K180,其他调用!$X$5:$X$404,0),0)</f>
        <v>15340.273179594902</v>
      </c>
      <c r="AF180" s="12">
        <f>MIN(INDEX(其他调用!$AJ$5:$AJ$364,MATCH($K180,其他调用!$AG$5:$AG$364,0),1)/INDEX(其他调用!AL$5:AL$364,MATCH($K180,其他调用!$AG$5:$AG$364,0),0),1)*INDEX(其他调用!AC$5:AC$404,MATCH($K180,其他调用!$X$5:$X$404,0),0)</f>
        <v>6177.1807247881779</v>
      </c>
      <c r="AG180" s="12">
        <f>求节点(节奏总纲!D$4:D$163,标准城池设计!AE$4:AE$163,$K180)*求节点(节奏总纲!D$4:D$163,攻城基础信息!$AF$5:$AF$164,$K180)</f>
        <v>832096.83172393346</v>
      </c>
      <c r="AH180" s="12">
        <f>INDEX(其他调用!$AA$5:$AA$404,MATCH($K180,其他调用!$X$5:$X$404,0))*MIN(INDEX(其他调用!AK$5:AK$364,MATCH($K180,其他调用!$AG$5:$AG$364,0),1)/INDEX(其他调用!$AJ$5:$AJ$364,MATCH($K180,其他调用!$AG$5:$AG$364,0),0),5)*求节点(节奏总纲!D$4:D$163,攻城基础信息!$AF$5:$AF$164,$K180)</f>
        <v>402239.13250144344</v>
      </c>
      <c r="AI180" s="12">
        <f>MIN(INDEX(其他调用!$AK$5:$AK$364,MATCH($K180,其他调用!$AG$5:$AG$364,0),1)/INDEX(其他调用!AH$5:AH$364,MATCH($K180,其他调用!$AG$5:$AG$364,0),0),1)*INDEX(其他调用!Y$5:Y$404,MATCH($K180,其他调用!$X$5:$X$404,0),0)</f>
        <v>39365.174117596674</v>
      </c>
      <c r="AJ180" s="12">
        <f>MIN(INDEX(其他调用!$AK$5:$AK$364,MATCH($K180,其他调用!$AG$5:$AG$364,0),1)/INDEX(其他调用!AI$5:AI$364,MATCH($K180,其他调用!$AG$5:$AG$364,0),0),1)*INDEX(其他调用!Z$5:Z$404,MATCH($K180,其他调用!$X$5:$X$404,0),0)</f>
        <v>40514.382083296747</v>
      </c>
      <c r="AK180" s="12">
        <f>MIN(INDEX(其他调用!$AK$5:$AK$364,MATCH($K180,其他调用!$AG$5:$AG$364,0),1)/INDEX(其他调用!AJ$5:AJ$364,MATCH($K180,其他调用!$AG$5:$AG$364,0),0),1)*INDEX(其他调用!AA$5:AA$404,MATCH($K180,其他调用!$X$5:$X$404,0),0)</f>
        <v>42026.961578749775</v>
      </c>
      <c r="AL180" s="12">
        <f>MIN(INDEX(其他调用!$AK$5:$AK$364,MATCH($K180,其他调用!$AG$5:$AG$364,0),1)/INDEX(其他调用!AK$5:AK$364,MATCH($K180,其他调用!$AG$5:$AG$364,0),0),1)*INDEX(其他调用!AB$5:AB$404,MATCH($K180,其他调用!$X$5:$X$404,0),0)</f>
        <v>44229.561701756887</v>
      </c>
      <c r="AM180" s="12">
        <f>MIN(INDEX(其他调用!$AK$5:$AK$364,MATCH($K180,其他调用!$AG$5:$AG$364,0),1)/INDEX(其他调用!AL$5:AL$364,MATCH($K180,其他调用!$AG$5:$AG$364,0),0),1)*INDEX(其他调用!AC$5:AC$404,MATCH($K180,其他调用!$X$5:$X$404,0),0)</f>
        <v>17810.24319523474</v>
      </c>
      <c r="AN180" s="12">
        <f>求节点(节奏总纲!D$4:D$163,标准城池设计!AF$4:AF$163,$K180)*求节点(节奏总纲!D$4:D$163,攻城基础信息!$AG$5:$AG$164,$K180)</f>
        <v>852379.03026725235</v>
      </c>
      <c r="AO180" s="12">
        <f>INDEX(其他调用!$AA$5:$AA$404,MATCH($K180,其他调用!$X$5:$X$404,0))*MIN(INDEX(其他调用!AL$5:AL$364,MATCH($K180,其他调用!$AG$5:$AG$364,0),1)/INDEX(其他调用!$AJ$5:$AJ$364,MATCH($K180,其他调用!$AG$5:$AG$364,0),0),5)*求节点(节奏总纲!D$4:D$163,攻城基础信息!$AG$5:$AG$164,$K180)</f>
        <v>697549.09823697282</v>
      </c>
      <c r="AP180" s="12">
        <f>MIN(INDEX(其他调用!$AL$5:$AL$364,MATCH($K180,其他调用!$AG$5:$AG$364,0),1)/INDEX(其他调用!AH$5:AH$364,MATCH($K180,其他调用!$AG$5:$AG$364,0),0),1)*INDEX(其他调用!Y$5:Y$404,MATCH($K180,其他调用!$X$5:$X$404,0),0)</f>
        <v>39365.174117596674</v>
      </c>
      <c r="AQ180" s="12">
        <f>MIN(INDEX(其他调用!$AL$5:$AL$364,MATCH($K180,其他调用!$AG$5:$AG$364,0),1)/INDEX(其他调用!AI$5:AI$364,MATCH($K180,其他调用!$AG$5:$AG$364,0),0),1)*INDEX(其他调用!Z$5:Z$404,MATCH($K180,其他调用!$X$5:$X$404,0),0)</f>
        <v>40514.382083296747</v>
      </c>
      <c r="AR180" s="12">
        <f>MIN(INDEX(其他调用!$AL$5:$AL$364,MATCH($K180,其他调用!$AG$5:$AG$364,0),1)/INDEX(其他调用!AJ$5:AJ$364,MATCH($K180,其他调用!$AG$5:$AG$364,0),0),1)*INDEX(其他调用!AA$5:AA$404,MATCH($K180,其他调用!$X$5:$X$404,0),0)</f>
        <v>42026.961578749775</v>
      </c>
      <c r="AS180" s="12">
        <f>MIN(INDEX(其他调用!$AL$5:$AL$364,MATCH($K180,其他调用!$AG$5:$AG$364,0),1)/INDEX(其他调用!AK$5:AK$364,MATCH($K180,其他调用!$AG$5:$AG$364,0),0),1)*INDEX(其他调用!AB$5:AB$404,MATCH($K180,其他调用!$X$5:$X$404,0),0)</f>
        <v>44229.561701756887</v>
      </c>
      <c r="AT180" s="12">
        <f>MIN(INDEX(其他调用!$AL$5:$AL$364,MATCH($K180,其他调用!$AG$5:$AG$364,0),1)/INDEX(其他调用!AL$5:AL$364,MATCH($K180,其他调用!$AG$5:$AG$364,0),0),1)*INDEX(其他调用!AC$5:AC$404,MATCH($K180,其他调用!$X$5:$X$404,0),0)</f>
        <v>48178.416353969777</v>
      </c>
      <c r="AV180" s="14">
        <f>IF(OR(AV$5="大R",AV$5="超R"),MAX(INDEX(其他调用!$H$5:$L$404,MATCH($K180,其他调用!$B$5:$B$404,0),MATCH(AV$5,其他调用!$H$4:$L$4,0))*120*0.85,2),INDEX(其他调用!$H$5:$L$404,MATCH($K180,其他调用!$B$5:$B$404,0),MATCH(AV$5,其他调用!$H$4:$L$4,0))*120*0.85)</f>
        <v>48.921801254999991</v>
      </c>
      <c r="AW180" s="14">
        <f>IF(OR(AW$5="大R",AW$5="超R"),MAX(INDEX(其他调用!$H$5:$L$404,MATCH($K180,其他调用!$B$5:$B$404,0),MATCH(AW$5,其他调用!$H$4:$L$4,0))*120*0.85,2),INDEX(其他调用!$H$5:$L$404,MATCH($K180,其他调用!$B$5:$B$404,0),MATCH(AW$5,其他调用!$H$4:$L$4,0))*120*0.85)</f>
        <v>48.237344010638395</v>
      </c>
      <c r="AX180" s="14">
        <f>IF(OR(AX$5="大R",AX$5="超R"),MAX(INDEX(其他调用!$H$5:$L$404,MATCH($K180,其他调用!$B$5:$B$404,0),MATCH(AX$5,其他调用!$H$4:$L$4,0))*120*0.85,2),INDEX(其他调用!$H$5:$L$404,MATCH($K180,其他调用!$B$5:$B$404,0),MATCH(AX$5,其他调用!$H$4:$L$4,0))*120*0.85)</f>
        <v>3.9376284143615998</v>
      </c>
      <c r="AY180" s="14">
        <f>IF(OR(AY$5="大R",AY$5="超R"),MAX(INDEX(其他调用!$H$5:$L$404,MATCH($K180,其他调用!$B$5:$B$404,0),MATCH(AY$5,其他调用!$H$4:$L$4,0))*120*0.85,2),INDEX(其他调用!$H$5:$L$404,MATCH($K180,其他调用!$B$5:$B$404,0),MATCH(AY$5,其他调用!$H$4:$L$4,0))*120*0.85)</f>
        <v>2</v>
      </c>
      <c r="AZ180" s="14">
        <f>IF(OR(AZ$5="大R",AZ$5="超R"),MAX(INDEX(其他调用!$H$5:$L$404,MATCH($K180,其他调用!$B$5:$B$404,0),MATCH(AZ$5,其他调用!$H$4:$L$4,0))*120*0.85,2),INDEX(其他调用!$H$5:$L$404,MATCH($K180,其他调用!$B$5:$B$404,0),MATCH(AZ$5,其他调用!$H$4:$L$4,0))*120*0.85)</f>
        <v>2</v>
      </c>
      <c r="BA180" s="14">
        <f>INDEX(其他调用!$H$5:$L$404,MATCH($K180,其他调用!$B$5:$B$404,0),MATCH(BA$5,其他调用!$H$4:$L$4,0))*INDEX(其他调用!$M$5:$M$404,MATCH($K180,其他调用!$B$5:$B$404,0))*0.6</f>
        <v>28.777530149999997</v>
      </c>
      <c r="BB180" s="14">
        <f>INDEX(其他调用!$H$5:$L$404,MATCH($K180,其他调用!$B$5:$B$404,0),MATCH(BB$5,其他调用!$H$4:$L$4,0))*INDEX(其他调用!$M$5:$M$404,MATCH($K180,其他调用!$B$5:$B$404,0))*0.6</f>
        <v>28.374908241551999</v>
      </c>
      <c r="BC180" s="14">
        <f>INDEX(其他调用!$H$5:$L$404,MATCH($K180,其他调用!$B$5:$B$404,0),MATCH(BC$5,其他调用!$H$4:$L$4,0))*INDEX(其他调用!$M$5:$M$404,MATCH($K180,其他调用!$B$5:$B$404,0))*0.6</f>
        <v>2.3162520084480001</v>
      </c>
      <c r="BD180" s="14">
        <f>INDEX(其他调用!$H$5:$L$404,MATCH($K180,其他调用!$B$5:$B$404,0),MATCH(BD$5,其他调用!$H$4:$L$4,0))*INDEX(其他调用!$M$5:$M$404,MATCH($K180,其他调用!$B$5:$B$404,0))*0.6</f>
        <v>0.4120776000000001</v>
      </c>
      <c r="BE180" s="14">
        <f>INDEX(其他调用!$H$5:$L$404,MATCH($K180,其他调用!$B$5:$B$404,0),MATCH(BE$5,其他调用!$H$4:$L$4,0))*INDEX(其他调用!$M$5:$M$404,MATCH($K180,其他调用!$B$5:$B$404,0))*0.6</f>
        <v>0.11923199999999998</v>
      </c>
      <c r="BF180" s="14">
        <f>IF(OR(BF$5="大R",BF$5="超R"),0,INDEX(其他调用!$H$5:$L$404,MATCH($K180,其他调用!$B$5:$B$404,0),MATCH(BF$5,其他调用!$H$4:$L$4,0))*50*0.4)</f>
        <v>9.5925100500000013</v>
      </c>
      <c r="BG180" s="14">
        <f>IF(OR(BG$5="大R",BG$5="超R"),0,INDEX(其他调用!$H$5:$L$404,MATCH($K180,其他调用!$B$5:$B$404,0),MATCH(BG$5,其他调用!$H$4:$L$4,0))*50*0.4)</f>
        <v>9.4583027471839998</v>
      </c>
      <c r="BH180" s="14">
        <f>IF(OR(BH$5="大R",BH$5="超R"),0,INDEX(其他调用!$H$5:$L$404,MATCH($K180,其他调用!$B$5:$B$404,0),MATCH(BH$5,其他调用!$H$4:$L$4,0))*50*0.4)</f>
        <v>0.77208400281600009</v>
      </c>
      <c r="BI180" s="14">
        <f>IF(OR(BI$5="大R",BI$5="超R"),0,INDEX(其他调用!$H$5:$L$404,MATCH($K180,其他调用!$B$5:$B$404,0),MATCH(BI$5,其他调用!$H$4:$L$4,0))*50*0.4)</f>
        <v>0</v>
      </c>
      <c r="BJ180" s="14">
        <f>IF(OR(BJ$5="大R",BJ$5="超R"),0,INDEX(其他调用!$H$5:$L$404,MATCH($K180,其他调用!$B$5:$B$404,0),MATCH(BJ$5,其他调用!$H$4:$L$4,0))*50*0.4)</f>
        <v>0</v>
      </c>
      <c r="BL180" s="14">
        <f t="shared" si="313"/>
        <v>175</v>
      </c>
      <c r="BM180" s="14">
        <f t="shared" si="220"/>
        <v>96</v>
      </c>
      <c r="BN180" s="14">
        <f>('疲劳值&amp;地图信息'!$S$10*'疲劳值&amp;地图信息'!$R$10+'疲劳值&amp;地图信息'!$S$11*'疲劳值&amp;地图信息'!$R$11+'疲劳值&amp;地图信息'!$S$12*'疲劳值&amp;地图信息'!$R$12+(BM180-'疲劳值&amp;地图信息'!$S$12-'疲劳值&amp;地图信息'!$S$11-'疲劳值&amp;地图信息'!$S$10)*'疲劳值&amp;地图信息'!$R$13)/BM180</f>
        <v>51.371477246638619</v>
      </c>
      <c r="BO180" s="14">
        <f>INDEX(其他调用!$M$5:$M$404,MATCH(BL180,其他调用!$B$5:$B$404,0))*0.6</f>
        <v>60</v>
      </c>
      <c r="BP180" s="14">
        <f>IF(BO180&gt;SUM('疲劳值&amp;地图信息'!$S$10:$S$12),('疲劳值&amp;地图信息'!$S$10*'疲劳值&amp;地图信息'!$R$10+'疲劳值&amp;地图信息'!$S$11*'疲劳值&amp;地图信息'!$R$11+'疲劳值&amp;地图信息'!$S$12*'疲劳值&amp;地图信息'!$R$12+(BO180-'疲劳值&amp;地图信息'!$S$12-'疲劳值&amp;地图信息'!$S$11-'疲劳值&amp;地图信息'!$S$10)*'疲劳值&amp;地图信息'!$R$13)/BO180,('疲劳值&amp;地图信息'!$S$10*'疲劳值&amp;地图信息'!$R$10+'疲劳值&amp;地图信息'!$S$11*'疲劳值&amp;地图信息'!$R$11+'疲劳值&amp;地图信息'!$S$12*'疲劳值&amp;地图信息'!$R$12+(BO180-'疲劳值&amp;地图信息'!$S$12-'疲劳值&amp;地图信息'!$S$11-'疲劳值&amp;地图信息'!$S$10)*'疲劳值&amp;地图信息'!$R$13)/BO180)</f>
        <v>44.158136341605953</v>
      </c>
      <c r="BQ180" s="14">
        <f t="shared" si="314"/>
        <v>20</v>
      </c>
      <c r="BR180" s="14">
        <f>('疲劳值&amp;地图信息'!$S$10*'疲劳值&amp;地图信息'!$R$10+($BQ180-'疲劳值&amp;地图信息'!$S$10)*'疲劳值&amp;地图信息'!$R$11)/$BQ180</f>
        <v>32.067203015074995</v>
      </c>
      <c r="CF180" s="14">
        <v>175</v>
      </c>
      <c r="CG180" s="51">
        <f t="shared" si="221"/>
        <v>12597</v>
      </c>
      <c r="CH180" s="51">
        <f t="shared" si="222"/>
        <v>996</v>
      </c>
      <c r="CI180" s="51">
        <f>INT(SUMPRODUCT($N180:$R180,$BA180:$BE180)/SUM($BA180:$BE180)/10000*$BX$7*$BZ$34/'疲劳值&amp;地图信息'!$R$10*$BY$53)</f>
        <v>3161</v>
      </c>
      <c r="CJ180" s="50">
        <f t="shared" si="223"/>
        <v>0.75188014802435243</v>
      </c>
      <c r="CK180" s="50">
        <f t="shared" si="224"/>
        <v>5.9448489912856631E-2</v>
      </c>
      <c r="CL180" s="50">
        <f t="shared" si="225"/>
        <v>0.18867136206279098</v>
      </c>
      <c r="CM180" s="14">
        <f t="shared" si="226"/>
        <v>13430</v>
      </c>
      <c r="CN180" s="14">
        <f t="shared" si="227"/>
        <v>1636</v>
      </c>
      <c r="CO180" s="14">
        <f>INT(SUMPRODUCT($U180:$Y180,$BA180:$BE180)/SUM($BA180:$BE180)/10000*$BX$7*$BZ$34/'疲劳值&amp;地图信息'!$R$10*$BY$54)</f>
        <v>5942</v>
      </c>
      <c r="CP180" s="50">
        <f t="shared" si="228"/>
        <v>0.63928027418126432</v>
      </c>
      <c r="CQ180" s="50">
        <f t="shared" si="229"/>
        <v>7.7875095201827879E-2</v>
      </c>
      <c r="CR180" s="50">
        <f t="shared" si="230"/>
        <v>0.28284463061690784</v>
      </c>
      <c r="CS180" s="14">
        <f t="shared" si="231"/>
        <v>14261</v>
      </c>
      <c r="CT180" s="14">
        <f t="shared" si="232"/>
        <v>2843</v>
      </c>
      <c r="CU180" s="14">
        <f>INT(SUMPRODUCT($AB180:$AF180,$BA180:$BE180)/SUM($BA180:$BE180)/10000*$BX$7*$BZ$34/'疲劳值&amp;地图信息'!$R$10*$BY$55)</f>
        <v>8072</v>
      </c>
      <c r="CV180" s="50">
        <f t="shared" si="233"/>
        <v>0.56645217667619951</v>
      </c>
      <c r="CW180" s="50">
        <f t="shared" si="234"/>
        <v>0.11292500794407372</v>
      </c>
      <c r="CX180" s="50">
        <f t="shared" si="235"/>
        <v>0.3206228153797267</v>
      </c>
      <c r="CY180" s="14">
        <f t="shared" si="236"/>
        <v>16959</v>
      </c>
      <c r="CZ180" s="14">
        <f t="shared" si="237"/>
        <v>8198</v>
      </c>
      <c r="DA180" s="14">
        <f>INT(SUMPRODUCT($AI180:$AM180,$BA180:$BE180)/SUM($BA180:$BE180)/10000*$BX$7*$BZ$34/'疲劳值&amp;地图信息'!$R$10*$BY$56)</f>
        <v>12176</v>
      </c>
      <c r="DB180" s="50">
        <f t="shared" si="238"/>
        <v>0.45426298449093294</v>
      </c>
      <c r="DC180" s="50">
        <f t="shared" si="239"/>
        <v>0.21959124635041385</v>
      </c>
      <c r="DD180" s="50">
        <f t="shared" si="240"/>
        <v>0.32614576915865318</v>
      </c>
      <c r="DE180" s="14">
        <f t="shared" si="241"/>
        <v>17372</v>
      </c>
      <c r="DF180" s="14">
        <f t="shared" si="242"/>
        <v>14216</v>
      </c>
      <c r="DG180" s="14">
        <f>INT(SUMPRODUCT($AP180:$AT180,$BA180:$BE180)/SUM($BA180:$BE180)/10000*$BX$7*$BZ$34/'疲劳值&amp;地图信息'!$R$10*$BY$57)</f>
        <v>16260</v>
      </c>
      <c r="DH180" s="50">
        <f t="shared" si="243"/>
        <v>0.36306637686005683</v>
      </c>
      <c r="DI180" s="50">
        <f t="shared" si="244"/>
        <v>0.29710750710583517</v>
      </c>
      <c r="DJ180" s="50">
        <f t="shared" si="245"/>
        <v>0.33982611603410801</v>
      </c>
      <c r="DL180" s="14">
        <f t="shared" si="316"/>
        <v>16754</v>
      </c>
      <c r="DM180" s="14">
        <f t="shared" si="317"/>
        <v>21008</v>
      </c>
      <c r="DN180" s="14">
        <f t="shared" si="318"/>
        <v>25176</v>
      </c>
      <c r="DO180" s="14">
        <f t="shared" si="319"/>
        <v>37333</v>
      </c>
      <c r="DP180" s="14">
        <f t="shared" si="320"/>
        <v>47848</v>
      </c>
      <c r="DQ180" s="14">
        <f t="shared" si="321"/>
        <v>1157641</v>
      </c>
      <c r="DT180" s="14">
        <f t="shared" si="315"/>
        <v>235575</v>
      </c>
      <c r="DU180" s="50">
        <f t="shared" si="217"/>
        <v>0.16908720542973954</v>
      </c>
      <c r="DW180" s="14">
        <f t="shared" si="246"/>
        <v>1393216</v>
      </c>
      <c r="EB180" s="14">
        <v>175</v>
      </c>
      <c r="EC180" s="51">
        <f t="shared" si="247"/>
        <v>20995</v>
      </c>
      <c r="ED180" s="51">
        <f t="shared" si="248"/>
        <v>1660</v>
      </c>
      <c r="EE180" s="51">
        <f>INT(SUMPRODUCT($N180:$R180,$BF180:$BJ180)/SUM($BF180:$BJ180)/10000*$BX$7*$BZ$46/'疲劳值&amp;地图信息'!$R$10*$BY$53)</f>
        <v>424</v>
      </c>
      <c r="EF180" s="50">
        <f t="shared" si="249"/>
        <v>0.90970146020191511</v>
      </c>
      <c r="EG180" s="50">
        <f t="shared" si="250"/>
        <v>7.1926859915940902E-2</v>
      </c>
      <c r="EH180" s="50">
        <f t="shared" si="251"/>
        <v>1.837167988214394E-2</v>
      </c>
      <c r="EI180" s="51">
        <f t="shared" si="252"/>
        <v>22384</v>
      </c>
      <c r="EJ180" s="51">
        <f t="shared" si="253"/>
        <v>2726</v>
      </c>
      <c r="EK180" s="14">
        <f>INT(SUMPRODUCT($U180:$Y180,$BF180:$BJ180)/SUM($BF180:$BJ180)/10000*$BX$7*$BZ$46/'疲劳值&amp;地图信息'!$R$10*$BY$54)</f>
        <v>797</v>
      </c>
      <c r="EL180" s="50">
        <f t="shared" si="254"/>
        <v>0.86401358706141196</v>
      </c>
      <c r="EM180" s="50">
        <f t="shared" si="255"/>
        <v>0.10522252673022735</v>
      </c>
      <c r="EN180" s="50">
        <f t="shared" si="256"/>
        <v>3.0763886208360673E-2</v>
      </c>
      <c r="EO180" s="51">
        <f t="shared" si="257"/>
        <v>23769</v>
      </c>
      <c r="EP180" s="51">
        <f t="shared" si="258"/>
        <v>4738</v>
      </c>
      <c r="EQ180" s="14">
        <f>INT(SUMPRODUCT($AB180:$AF180,$BF180:$BJ180)/SUM($BF180:$BJ180)/10000*$BX$7*$BZ$46/'疲劳值&amp;地图信息'!$R$10*$BY$55)</f>
        <v>1082</v>
      </c>
      <c r="ER180" s="50">
        <f t="shared" si="259"/>
        <v>0.80330528236844778</v>
      </c>
      <c r="ES180" s="50">
        <f t="shared" si="260"/>
        <v>0.16012707425056608</v>
      </c>
      <c r="ET180" s="50">
        <f t="shared" si="261"/>
        <v>3.6567643380986177E-2</v>
      </c>
      <c r="EU180" s="51">
        <f t="shared" si="262"/>
        <v>28265</v>
      </c>
      <c r="EV180" s="51">
        <f t="shared" si="263"/>
        <v>13663</v>
      </c>
      <c r="EW180" s="14">
        <f>INT(SUMPRODUCT($AI180:$AM180,$BF180:$BJ180)/SUM($BF180:$BJ180)/10000*$BX$7*$BZ$46/'疲劳值&amp;地图信息'!$R$10*$BY$56)</f>
        <v>1624</v>
      </c>
      <c r="EX180" s="50">
        <f t="shared" si="264"/>
        <v>0.64899430565760474</v>
      </c>
      <c r="EY180" s="50">
        <f t="shared" si="265"/>
        <v>0.31371693607641438</v>
      </c>
      <c r="EZ180" s="50">
        <f t="shared" si="266"/>
        <v>3.7288758265980895E-2</v>
      </c>
      <c r="FA180" s="51">
        <f t="shared" si="267"/>
        <v>28954</v>
      </c>
      <c r="FB180" s="51">
        <f t="shared" si="268"/>
        <v>23694</v>
      </c>
      <c r="FC180" s="14">
        <f>INT(SUMPRODUCT($AP180:$AT180,$BF180:$BJ180)/SUM($BF180:$BJ180)/10000*$BX$7*$BZ$46/'疲劳值&amp;地图信息'!$R$10*$BY$57)</f>
        <v>2165</v>
      </c>
      <c r="FD180" s="50">
        <f t="shared" si="269"/>
        <v>0.52823235363873533</v>
      </c>
      <c r="FE180" s="50">
        <f t="shared" si="270"/>
        <v>0.43226971703792894</v>
      </c>
      <c r="FF180" s="50">
        <f t="shared" si="271"/>
        <v>3.9497929323335706E-2</v>
      </c>
      <c r="FH180" s="14">
        <f t="shared" si="272"/>
        <v>23079</v>
      </c>
      <c r="FI180" s="14">
        <f t="shared" si="273"/>
        <v>25907</v>
      </c>
      <c r="FJ180" s="14">
        <f t="shared" si="274"/>
        <v>29589</v>
      </c>
      <c r="FK180" s="14">
        <f t="shared" si="275"/>
        <v>43552</v>
      </c>
      <c r="FL180" s="14">
        <f t="shared" si="276"/>
        <v>54813</v>
      </c>
      <c r="FM180" s="14">
        <f t="shared" si="277"/>
        <v>2691991</v>
      </c>
      <c r="FP180" s="14">
        <f t="shared" si="278"/>
        <v>334150</v>
      </c>
      <c r="FQ180" s="50">
        <f t="shared" si="218"/>
        <v>0.11042116015083236</v>
      </c>
      <c r="FS180" s="14">
        <f t="shared" si="279"/>
        <v>3026141</v>
      </c>
      <c r="FX180" s="14">
        <v>175</v>
      </c>
      <c r="FY180" s="51">
        <f t="shared" si="280"/>
        <v>29393</v>
      </c>
      <c r="FZ180" s="51">
        <f t="shared" si="281"/>
        <v>1660</v>
      </c>
      <c r="GA180" s="51">
        <f>INT(SUMPRODUCT($N180:$R180,$BF180:$BJ180)/SUM($BF180:$BJ180)/10000*$BX$7*$BZ$46/'疲劳值&amp;地图信息'!$R$10*$BY$53)</f>
        <v>424</v>
      </c>
      <c r="GB180" s="50">
        <f t="shared" si="282"/>
        <v>0.93379292816977477</v>
      </c>
      <c r="GC180" s="50">
        <f t="shared" si="283"/>
        <v>5.2736919020237E-2</v>
      </c>
      <c r="GD180" s="50">
        <f t="shared" si="284"/>
        <v>1.3470152809988246E-2</v>
      </c>
      <c r="GE180" s="51">
        <f t="shared" si="285"/>
        <v>31338</v>
      </c>
      <c r="GF180" s="51">
        <f t="shared" si="286"/>
        <v>2726</v>
      </c>
      <c r="GG180" s="14">
        <f>INT(SUMPRODUCT($U180:$Y180,$BF180:$BJ180)/SUM($BF180:$BJ180)/10000*$BX$7*$BZ$46/'疲劳值&amp;地图信息'!$R$10*$BY$54)</f>
        <v>797</v>
      </c>
      <c r="GH180" s="50">
        <f t="shared" si="287"/>
        <v>0.89894151057055161</v>
      </c>
      <c r="GI180" s="50">
        <f t="shared" si="288"/>
        <v>7.8196265167379014E-2</v>
      </c>
      <c r="GJ180" s="50">
        <f t="shared" si="289"/>
        <v>2.286222426206936E-2</v>
      </c>
      <c r="GK180" s="51">
        <f t="shared" si="290"/>
        <v>33277</v>
      </c>
      <c r="GL180" s="51">
        <f t="shared" si="291"/>
        <v>4738</v>
      </c>
      <c r="GM180" s="14">
        <f>INT(SUMPRODUCT($AB180:$AF180,$BF180:$BJ180)/SUM($BF180:$BJ180)/10000*$BX$7*$BZ$46/'疲劳值&amp;地图信息'!$R$10*$BY$55)</f>
        <v>1082</v>
      </c>
      <c r="GN180" s="50">
        <f t="shared" si="292"/>
        <v>0.85113947361690157</v>
      </c>
      <c r="GO180" s="50">
        <f t="shared" si="293"/>
        <v>0.12118576872905849</v>
      </c>
      <c r="GP180" s="50">
        <f t="shared" si="294"/>
        <v>2.7674757654039952E-2</v>
      </c>
      <c r="GQ180" s="51">
        <f t="shared" si="295"/>
        <v>39571</v>
      </c>
      <c r="GR180" s="51">
        <f t="shared" si="296"/>
        <v>13663</v>
      </c>
      <c r="GS180" s="14">
        <f>INT(SUMPRODUCT($AI180:$AM180,$BF180:$BJ180)/SUM($BF180:$BJ180)/10000*$BX$7*$BZ$46/'疲劳值&amp;地图信息'!$R$10*$BY$56)</f>
        <v>1624</v>
      </c>
      <c r="GT180" s="50">
        <f t="shared" si="297"/>
        <v>0.72133508330599005</v>
      </c>
      <c r="GU180" s="50">
        <f t="shared" si="298"/>
        <v>0.24906121258522002</v>
      </c>
      <c r="GV180" s="50">
        <f t="shared" si="299"/>
        <v>2.9603704108789968E-2</v>
      </c>
      <c r="GW180" s="51">
        <f t="shared" si="300"/>
        <v>40536</v>
      </c>
      <c r="GX180" s="51">
        <f t="shared" si="301"/>
        <v>23694</v>
      </c>
      <c r="GY180" s="14">
        <f>INT(SUMPRODUCT($AP180:$AT180,$BF180:$BJ180)/SUM($BF180:$BJ180)/10000*$BX$7*$BZ$46/'疲劳值&amp;地图信息'!$R$10*$BY$57)</f>
        <v>2165</v>
      </c>
      <c r="GZ180" s="50">
        <f t="shared" si="302"/>
        <v>0.61052790119737932</v>
      </c>
      <c r="HA180" s="50">
        <f t="shared" si="303"/>
        <v>0.35686422170344151</v>
      </c>
      <c r="HB180" s="50">
        <f t="shared" si="304"/>
        <v>3.2607877099179158E-2</v>
      </c>
      <c r="HD180" s="14">
        <f t="shared" si="305"/>
        <v>31477</v>
      </c>
      <c r="HE180" s="14">
        <f t="shared" si="306"/>
        <v>34861</v>
      </c>
      <c r="HF180" s="14">
        <f t="shared" si="307"/>
        <v>39097</v>
      </c>
      <c r="HG180" s="14">
        <f t="shared" si="308"/>
        <v>54858</v>
      </c>
      <c r="HH180" s="14">
        <f t="shared" si="309"/>
        <v>66395</v>
      </c>
      <c r="HI180" s="14">
        <f t="shared" si="310"/>
        <v>3617969</v>
      </c>
      <c r="HL180" s="14">
        <f t="shared" si="311"/>
        <v>430050</v>
      </c>
      <c r="HM180" s="50">
        <f t="shared" si="219"/>
        <v>0.10623714957859634</v>
      </c>
      <c r="HO180" s="14">
        <f t="shared" si="312"/>
        <v>4048019</v>
      </c>
    </row>
    <row r="181" spans="11:223" x14ac:dyDescent="0.2">
      <c r="K181" s="14">
        <v>176</v>
      </c>
      <c r="L181" s="12">
        <f>求节点(节奏总纲!D$4:D$163,标准城池设计!AB$4:AB$163,$K181)*求节点(节奏总纲!D$4:D$163,攻城基础信息!$AC$5:$AC$164,$K181)</f>
        <v>619870.22657063091</v>
      </c>
      <c r="M181" s="12">
        <f>INDEX(其他调用!$AA$5:$AA$404,MATCH(K181,其他调用!$X$5:$X$404,0))*MIN(INDEX(其他调用!$AH$5:$AH$364,MATCH('征服点（新）'!K181,其他调用!$AG$5:$AG$364,0),1)/INDEX(其他调用!$AJ$5:$AJ$364,MATCH(K181,其他调用!$AG$5:$AG$364,0),0),5)*求节点(节奏总纲!D$4:D$163,攻城基础信息!$AC$5:$AC$164,$K181)</f>
        <v>48966.041067522347</v>
      </c>
      <c r="N181" s="12">
        <f>MIN(INDEX(其他调用!$AH$5:$AH$364,MATCH($K181,其他调用!$AG$5:$AG$364,0),1)/INDEX(其他调用!AH$5:AH$364,MATCH($K181,其他调用!$AG$5:$AG$364,0),0),1)*INDEX(其他调用!Y$5:Y$404,MATCH($K181,其他调用!$X$5:$X$404,0),0)</f>
        <v>39399.208939094038</v>
      </c>
      <c r="O181" s="12">
        <f>MIN(INDEX(其他调用!$AH$5:$AH$364,MATCH($K181,其他调用!$AG$5:$AG$364,0),1)/INDEX(其他调用!AI$5:AI$364,MATCH($K181,其他调用!$AG$5:$AG$364,0),0),1)*INDEX(其他调用!Z$5:Z$404,MATCH($K181,其他调用!$X$5:$X$404,0),0)</f>
        <v>24689.839114413215</v>
      </c>
      <c r="P181" s="12">
        <f>MIN(INDEX(其他调用!$AH$5:$AH$364,MATCH($K181,其他调用!$AG$5:$AG$364,0),1)/INDEX(其他调用!AJ$5:AJ$364,MATCH($K181,其他调用!$AG$5:$AG$364,0),0),1)*INDEX(其他调用!AA$5:AA$404,MATCH($K181,其他调用!$X$5:$X$404,0),0)</f>
        <v>14738.680600132513</v>
      </c>
      <c r="Q181" s="12">
        <f>MIN(INDEX(其他调用!$AH$5:$AH$364,MATCH($K181,其他调用!$AG$5:$AG$364,0),1)/INDEX(其他调用!AK$5:AK$364,MATCH($K181,其他调用!$AG$5:$AG$364,0),0),1)*INDEX(其他调用!AB$5:AB$404,MATCH($K181,其他调用!$X$5:$X$404,0),0)</f>
        <v>5379.955311720877</v>
      </c>
      <c r="R181" s="12">
        <f>MIN(INDEX(其他调用!$AH$5:$AH$364,MATCH($K181,其他调用!$AG$5:$AG$364,0),1)/INDEX(其他调用!AL$5:AL$364,MATCH($K181,其他调用!$AG$5:$AG$364,0),0),1)*INDEX(其他调用!AC$5:AC$404,MATCH($K181,其他调用!$X$5:$X$404,0),0)</f>
        <v>2172.8927716795756</v>
      </c>
      <c r="S181" s="12">
        <f>求节点(节奏总纲!D$4:D$163,标准城池设计!AC$4:AC$163,$K181)*求节点(节奏总纲!D$4:D$163,攻城基础信息!$AD$5:$AD$164,$K181)</f>
        <v>660653.52674823115</v>
      </c>
      <c r="T181" s="12">
        <f>INDEX(其他调用!$AA$5:$AA$404,MATCH($K181,其他调用!$X$5:$X$404,0))*MIN(INDEX(其他调用!AI$5:AI$364,MATCH($K181,其他调用!$AG$5:$AG$364,0),1)/INDEX(其他调用!$AJ$5:$AJ$364,MATCH($K181,其他调用!$AG$5:$AG$364,0),0),5)*求节点(节奏总纲!D$4:D$163,攻城基础信息!$AD$5:$AD$164,$K181)</f>
        <v>80414.288450810724</v>
      </c>
      <c r="U181" s="12">
        <f>MIN(INDEX(其他调用!$AI$5:$AI$364,MATCH($K181,其他调用!$AG$5:$AG$364,0),1)/INDEX(其他调用!AH$5:AH$364,MATCH($K181,其他调用!$AG$5:$AG$364,0),0),1)*INDEX(其他调用!Y$5:Y$404,MATCH($K181,其他调用!$X$5:$X$404,0),0)</f>
        <v>39399.208939094038</v>
      </c>
      <c r="V181" s="12">
        <f>MIN(INDEX(其他调用!$AI$5:$AI$364,MATCH($K181,其他调用!$AG$5:$AG$364,0),1)/INDEX(其他调用!AI$5:AI$364,MATCH($K181,其他调用!$AG$5:$AG$364,0),0),1)*INDEX(其他调用!Z$5:Z$404,MATCH($K181,其他调用!$X$5:$X$404,0),0)</f>
        <v>40546.791226448535</v>
      </c>
      <c r="W181" s="12">
        <f>MIN(INDEX(其他调用!$AI$5:$AI$364,MATCH($K181,其他调用!$AG$5:$AG$364,0),1)/INDEX(其他调用!AJ$5:AJ$364,MATCH($K181,其他调用!$AG$5:$AG$364,0),0),1)*INDEX(其他调用!AA$5:AA$404,MATCH($K181,其他调用!$X$5:$X$404,0),0)</f>
        <v>24204.54027576125</v>
      </c>
      <c r="X181" s="12">
        <f>MIN(INDEX(其他调用!$AI$5:$AI$364,MATCH($K181,其他调用!$AG$5:$AG$364,0),1)/INDEX(其他调用!AK$5:AK$364,MATCH($K181,其他调用!$AG$5:$AG$364,0),0),1)*INDEX(其他调用!AB$5:AB$404,MATCH($K181,其他调用!$X$5:$X$404,0),0)</f>
        <v>8835.2104613199153</v>
      </c>
      <c r="Y181" s="12">
        <f>MIN(INDEX(其他调用!$AI$5:$AI$364,MATCH($K181,其他调用!$AG$5:$AG$364,0),1)/INDEX(其他调用!AL$5:AL$364,MATCH($K181,其他调用!$AG$5:$AG$364,0),0),1)*INDEX(其他调用!AC$5:AC$404,MATCH($K181,其他调用!$X$5:$X$404,0),0)</f>
        <v>3568.4246123466387</v>
      </c>
      <c r="Z181" s="12">
        <f>求节点(节奏总纲!D$4:D$163,标准城池设计!AD$4:AD$163,$K181)*求节点(节奏总纲!D$4:D$163,攻城基础信息!$AE$5:$AE$164,$K181)</f>
        <v>701490.60791946435</v>
      </c>
      <c r="AA181" s="12">
        <f>INDEX(其他调用!$AA$5:$AA$404,MATCH($K181,其他调用!$X$5:$X$404,0))*MIN(INDEX(其他调用!AJ$5:AJ$364,MATCH($K181,其他调用!$AG$5:$AG$364,0),1)/INDEX(其他调用!$AJ$5:$AJ$364,MATCH($K181,其他调用!$AG$5:$AG$364,0),0),5)*求节点(节奏总纲!D$4:D$163,攻城基础信息!$AE$5:$AE$164,$K181)</f>
        <v>139733.89269548905</v>
      </c>
      <c r="AB181" s="12">
        <f>MIN(INDEX(其他调用!$AJ$5:$AJ$364,MATCH($K181,其他调用!$AG$5:$AG$364,0),1)/INDEX(其他调用!AH$5:AH$364,MATCH($K181,其他调用!$AG$5:$AG$364,0),0),1)*INDEX(其他调用!Y$5:Y$404,MATCH($K181,其他调用!$X$5:$X$404,0),0)</f>
        <v>39399.208939094038</v>
      </c>
      <c r="AC181" s="12">
        <f>MIN(INDEX(其他调用!$AJ$5:$AJ$364,MATCH($K181,其他调用!$AG$5:$AG$364,0),1)/INDEX(其他调用!AI$5:AI$364,MATCH($K181,其他调用!$AG$5:$AG$364,0),0),1)*INDEX(其他调用!Z$5:Z$404,MATCH($K181,其他调用!$X$5:$X$404,0),0)</f>
        <v>40546.791226448535</v>
      </c>
      <c r="AD181" s="12">
        <f>MIN(INDEX(其他调用!$AJ$5:$AJ$364,MATCH($K181,其他调用!$AG$5:$AG$364,0),1)/INDEX(其他调用!AJ$5:AJ$364,MATCH($K181,其他调用!$AG$5:$AG$364,0),0),1)*INDEX(其他调用!AA$5:AA$404,MATCH($K181,其他调用!$X$5:$X$404,0),0)</f>
        <v>42059.622721225067</v>
      </c>
      <c r="AE181" s="12">
        <f>MIN(INDEX(其他调用!$AJ$5:$AJ$364,MATCH($K181,其他调用!$AG$5:$AG$364,0),1)/INDEX(其他调用!AK$5:AK$364,MATCH($K181,其他调用!$AG$5:$AG$364,0),0),1)*INDEX(其他调用!AB$5:AB$404,MATCH($K181,其他调用!$X$5:$X$404,0),0)</f>
        <v>15352.723680435578</v>
      </c>
      <c r="AF181" s="12">
        <f>MIN(INDEX(其他调用!$AJ$5:$AJ$364,MATCH($K181,其他调用!$AG$5:$AG$364,0),1)/INDEX(其他调用!AL$5:AL$364,MATCH($K181,其他调用!$AG$5:$AG$364,0),0),1)*INDEX(其他调用!AC$5:AC$404,MATCH($K181,其他调用!$X$5:$X$404,0),0)</f>
        <v>6200.7619725267896</v>
      </c>
      <c r="AG181" s="12">
        <f>求节点(节奏总纲!D$4:D$163,标准城池设计!AE$4:AE$163,$K181)*求节点(节奏总纲!D$4:D$163,攻城基础信息!$AF$5:$AF$164,$K181)</f>
        <v>834999.73452357319</v>
      </c>
      <c r="AH181" s="12">
        <f>INDEX(其他调用!$AA$5:$AA$404,MATCH($K181,其他调用!$X$5:$X$404,0))*MIN(INDEX(其他调用!AK$5:AK$364,MATCH($K181,其他调用!$AG$5:$AG$364,0),1)/INDEX(其他调用!$AJ$5:$AJ$364,MATCH($K181,其他调用!$AG$5:$AG$364,0),0),5)*求节点(节奏总纲!D$4:D$163,攻城基础信息!$AF$5:$AF$164,$K181)</f>
        <v>402846.55525064259</v>
      </c>
      <c r="AI181" s="12">
        <f>MIN(INDEX(其他调用!$AK$5:$AK$364,MATCH($K181,其他调用!$AG$5:$AG$364,0),1)/INDEX(其他调用!AH$5:AH$364,MATCH($K181,其他调用!$AG$5:$AG$364,0),0),1)*INDEX(其他调用!Y$5:Y$404,MATCH($K181,其他调用!$X$5:$X$404,0),0)</f>
        <v>39399.208939094038</v>
      </c>
      <c r="AJ181" s="12">
        <f>MIN(INDEX(其他调用!$AK$5:$AK$364,MATCH($K181,其他调用!$AG$5:$AG$364,0),1)/INDEX(其他调用!AI$5:AI$364,MATCH($K181,其他调用!$AG$5:$AG$364,0),0),1)*INDEX(其他调用!Z$5:Z$404,MATCH($K181,其他调用!$X$5:$X$404,0),0)</f>
        <v>40546.791226448535</v>
      </c>
      <c r="AK181" s="12">
        <f>MIN(INDEX(其他调用!$AK$5:$AK$364,MATCH($K181,其他调用!$AG$5:$AG$364,0),1)/INDEX(其他调用!AJ$5:AJ$364,MATCH($K181,其他调用!$AG$5:$AG$364,0),0),1)*INDEX(其他调用!AA$5:AA$404,MATCH($K181,其他调用!$X$5:$X$404,0),0)</f>
        <v>42059.622721225067</v>
      </c>
      <c r="AL181" s="12">
        <f>MIN(INDEX(其他调用!$AK$5:$AK$364,MATCH($K181,其他调用!$AG$5:$AG$364,0),1)/INDEX(其他调用!AK$5:AK$364,MATCH($K181,其他调用!$AG$5:$AG$364,0),0),1)*INDEX(其他调用!AB$5:AB$404,MATCH($K181,其他调用!$X$5:$X$404,0),0)</f>
        <v>44261.214864002002</v>
      </c>
      <c r="AM181" s="12">
        <f>MIN(INDEX(其他调用!$AK$5:$AK$364,MATCH($K181,其他调用!$AG$5:$AG$364,0),1)/INDEX(其他调用!AL$5:AL$364,MATCH($K181,其他调用!$AG$5:$AG$364,0),0),1)*INDEX(其他调用!AC$5:AC$404,MATCH($K181,其他调用!$X$5:$X$404,0),0)</f>
        <v>17876.519091937076</v>
      </c>
      <c r="AN181" s="12">
        <f>求节点(节奏总纲!D$4:D$163,标准城池设计!AF$4:AF$163,$K181)*求节点(节奏总纲!D$4:D$163,攻城基础信息!$AG$5:$AG$164,$K181)</f>
        <v>855717.03148104134</v>
      </c>
      <c r="AO181" s="12">
        <f>INDEX(其他调用!$AA$5:$AA$404,MATCH($K181,其他调用!$X$5:$X$404,0))*MIN(INDEX(其他调用!AL$5:AL$364,MATCH($K181,其他调用!$AG$5:$AG$364,0),1)/INDEX(其他调用!$AJ$5:$AJ$364,MATCH($K181,其他调用!$AG$5:$AG$364,0),0),5)*求节点(节奏总纲!D$4:D$163,攻城基础信息!$AG$5:$AG$164,$K181)</f>
        <v>698669.46347744518</v>
      </c>
      <c r="AP181" s="12">
        <f>MIN(INDEX(其他调用!$AL$5:$AL$364,MATCH($K181,其他调用!$AG$5:$AG$364,0),1)/INDEX(其他调用!AH$5:AH$364,MATCH($K181,其他调用!$AG$5:$AG$364,0),0),1)*INDEX(其他调用!Y$5:Y$404,MATCH($K181,其他调用!$X$5:$X$404,0),0)</f>
        <v>39399.208939094038</v>
      </c>
      <c r="AQ181" s="12">
        <f>MIN(INDEX(其他调用!$AL$5:$AL$364,MATCH($K181,其他调用!$AG$5:$AG$364,0),1)/INDEX(其他调用!AI$5:AI$364,MATCH($K181,其他调用!$AG$5:$AG$364,0),0),1)*INDEX(其他调用!Z$5:Z$404,MATCH($K181,其他调用!$X$5:$X$404,0),0)</f>
        <v>40546.791226448535</v>
      </c>
      <c r="AR181" s="12">
        <f>MIN(INDEX(其他调用!$AL$5:$AL$364,MATCH($K181,其他调用!$AG$5:$AG$364,0),1)/INDEX(其他调用!AJ$5:AJ$364,MATCH($K181,其他调用!$AG$5:$AG$364,0),0),1)*INDEX(其他调用!AA$5:AA$404,MATCH($K181,其他调用!$X$5:$X$404,0),0)</f>
        <v>42059.622721225067</v>
      </c>
      <c r="AS181" s="12">
        <f>MIN(INDEX(其他调用!$AL$5:$AL$364,MATCH($K181,其他调用!$AG$5:$AG$364,0),1)/INDEX(其他调用!AK$5:AK$364,MATCH($K181,其他调用!$AG$5:$AG$364,0),0),1)*INDEX(其他调用!AB$5:AB$404,MATCH($K181,其他调用!$X$5:$X$404,0),0)</f>
        <v>44261.214864002002</v>
      </c>
      <c r="AT181" s="12">
        <f>MIN(INDEX(其他调用!$AL$5:$AL$364,MATCH($K181,其他调用!$AG$5:$AG$364,0),1)/INDEX(其他调用!AL$5:AL$364,MATCH($K181,其他调用!$AG$5:$AG$364,0),0),1)*INDEX(其他调用!AC$5:AC$404,MATCH($K181,其他调用!$X$5:$X$404,0),0)</f>
        <v>48212.986641282645</v>
      </c>
      <c r="AV181" s="14">
        <f>IF(OR(AV$5="大R",AV$5="超R"),MAX(INDEX(其他调用!$H$5:$L$404,MATCH($K181,其他调用!$B$5:$B$404,0),MATCH(AV$5,其他调用!$H$4:$L$4,0))*120*0.85,2),INDEX(其他调用!$H$5:$L$404,MATCH($K181,其他调用!$B$5:$B$404,0),MATCH(AV$5,其他调用!$H$4:$L$4,0))*120*0.85)</f>
        <v>48.921801254999991</v>
      </c>
      <c r="AW181" s="14">
        <f>IF(OR(AW$5="大R",AW$5="超R"),MAX(INDEX(其他调用!$H$5:$L$404,MATCH($K181,其他调用!$B$5:$B$404,0),MATCH(AW$5,其他调用!$H$4:$L$4,0))*120*0.85,2),INDEX(其他调用!$H$5:$L$404,MATCH($K181,其他调用!$B$5:$B$404,0),MATCH(AW$5,其他调用!$H$4:$L$4,0))*120*0.85)</f>
        <v>48.237344010638395</v>
      </c>
      <c r="AX181" s="14">
        <f>IF(OR(AX$5="大R",AX$5="超R"),MAX(INDEX(其他调用!$H$5:$L$404,MATCH($K181,其他调用!$B$5:$B$404,0),MATCH(AX$5,其他调用!$H$4:$L$4,0))*120*0.85,2),INDEX(其他调用!$H$5:$L$404,MATCH($K181,其他调用!$B$5:$B$404,0),MATCH(AX$5,其他调用!$H$4:$L$4,0))*120*0.85)</f>
        <v>3.9376284143615998</v>
      </c>
      <c r="AY181" s="14">
        <f>IF(OR(AY$5="大R",AY$5="超R"),MAX(INDEX(其他调用!$H$5:$L$404,MATCH($K181,其他调用!$B$5:$B$404,0),MATCH(AY$5,其他调用!$H$4:$L$4,0))*120*0.85,2),INDEX(其他调用!$H$5:$L$404,MATCH($K181,其他调用!$B$5:$B$404,0),MATCH(AY$5,其他调用!$H$4:$L$4,0))*120*0.85)</f>
        <v>2</v>
      </c>
      <c r="AZ181" s="14">
        <f>IF(OR(AZ$5="大R",AZ$5="超R"),MAX(INDEX(其他调用!$H$5:$L$404,MATCH($K181,其他调用!$B$5:$B$404,0),MATCH(AZ$5,其他调用!$H$4:$L$4,0))*120*0.85,2),INDEX(其他调用!$H$5:$L$404,MATCH($K181,其他调用!$B$5:$B$404,0),MATCH(AZ$5,其他调用!$H$4:$L$4,0))*120*0.85)</f>
        <v>2</v>
      </c>
      <c r="BA181" s="14">
        <f>INDEX(其他调用!$H$5:$L$404,MATCH($K181,其他调用!$B$5:$B$404,0),MATCH(BA$5,其他调用!$H$4:$L$4,0))*INDEX(其他调用!$M$5:$M$404,MATCH($K181,其他调用!$B$5:$B$404,0))*0.6</f>
        <v>28.777530149999997</v>
      </c>
      <c r="BB181" s="14">
        <f>INDEX(其他调用!$H$5:$L$404,MATCH($K181,其他调用!$B$5:$B$404,0),MATCH(BB$5,其他调用!$H$4:$L$4,0))*INDEX(其他调用!$M$5:$M$404,MATCH($K181,其他调用!$B$5:$B$404,0))*0.6</f>
        <v>28.374908241551999</v>
      </c>
      <c r="BC181" s="14">
        <f>INDEX(其他调用!$H$5:$L$404,MATCH($K181,其他调用!$B$5:$B$404,0),MATCH(BC$5,其他调用!$H$4:$L$4,0))*INDEX(其他调用!$M$5:$M$404,MATCH($K181,其他调用!$B$5:$B$404,0))*0.6</f>
        <v>2.3162520084480001</v>
      </c>
      <c r="BD181" s="14">
        <f>INDEX(其他调用!$H$5:$L$404,MATCH($K181,其他调用!$B$5:$B$404,0),MATCH(BD$5,其他调用!$H$4:$L$4,0))*INDEX(其他调用!$M$5:$M$404,MATCH($K181,其他调用!$B$5:$B$404,0))*0.6</f>
        <v>0.4120776000000001</v>
      </c>
      <c r="BE181" s="14">
        <f>INDEX(其他调用!$H$5:$L$404,MATCH($K181,其他调用!$B$5:$B$404,0),MATCH(BE$5,其他调用!$H$4:$L$4,0))*INDEX(其他调用!$M$5:$M$404,MATCH($K181,其他调用!$B$5:$B$404,0))*0.6</f>
        <v>0.11923199999999998</v>
      </c>
      <c r="BF181" s="14">
        <f>IF(OR(BF$5="大R",BF$5="超R"),0,INDEX(其他调用!$H$5:$L$404,MATCH($K181,其他调用!$B$5:$B$404,0),MATCH(BF$5,其他调用!$H$4:$L$4,0))*50*0.4)</f>
        <v>9.5925100500000013</v>
      </c>
      <c r="BG181" s="14">
        <f>IF(OR(BG$5="大R",BG$5="超R"),0,INDEX(其他调用!$H$5:$L$404,MATCH($K181,其他调用!$B$5:$B$404,0),MATCH(BG$5,其他调用!$H$4:$L$4,0))*50*0.4)</f>
        <v>9.4583027471839998</v>
      </c>
      <c r="BH181" s="14">
        <f>IF(OR(BH$5="大R",BH$5="超R"),0,INDEX(其他调用!$H$5:$L$404,MATCH($K181,其他调用!$B$5:$B$404,0),MATCH(BH$5,其他调用!$H$4:$L$4,0))*50*0.4)</f>
        <v>0.77208400281600009</v>
      </c>
      <c r="BI181" s="14">
        <f>IF(OR(BI$5="大R",BI$5="超R"),0,INDEX(其他调用!$H$5:$L$404,MATCH($K181,其他调用!$B$5:$B$404,0),MATCH(BI$5,其他调用!$H$4:$L$4,0))*50*0.4)</f>
        <v>0</v>
      </c>
      <c r="BJ181" s="14">
        <f>IF(OR(BJ$5="大R",BJ$5="超R"),0,INDEX(其他调用!$H$5:$L$404,MATCH($K181,其他调用!$B$5:$B$404,0),MATCH(BJ$5,其他调用!$H$4:$L$4,0))*50*0.4)</f>
        <v>0</v>
      </c>
      <c r="BL181" s="14">
        <f t="shared" si="313"/>
        <v>176</v>
      </c>
      <c r="BM181" s="14">
        <f t="shared" si="220"/>
        <v>96</v>
      </c>
      <c r="BN181" s="14">
        <f>('疲劳值&amp;地图信息'!$S$10*'疲劳值&amp;地图信息'!$R$10+'疲劳值&amp;地图信息'!$S$11*'疲劳值&amp;地图信息'!$R$11+'疲劳值&amp;地图信息'!$S$12*'疲劳值&amp;地图信息'!$R$12+(BM181-'疲劳值&amp;地图信息'!$S$12-'疲劳值&amp;地图信息'!$S$11-'疲劳值&amp;地图信息'!$S$10)*'疲劳值&amp;地图信息'!$R$13)/BM181</f>
        <v>51.371477246638619</v>
      </c>
      <c r="BO181" s="14">
        <f>INDEX(其他调用!$M$5:$M$404,MATCH(BL181,其他调用!$B$5:$B$404,0))*0.6</f>
        <v>60</v>
      </c>
      <c r="BP181" s="14">
        <f>IF(BO181&gt;SUM('疲劳值&amp;地图信息'!$S$10:$S$12),('疲劳值&amp;地图信息'!$S$10*'疲劳值&amp;地图信息'!$R$10+'疲劳值&amp;地图信息'!$S$11*'疲劳值&amp;地图信息'!$R$11+'疲劳值&amp;地图信息'!$S$12*'疲劳值&amp;地图信息'!$R$12+(BO181-'疲劳值&amp;地图信息'!$S$12-'疲劳值&amp;地图信息'!$S$11-'疲劳值&amp;地图信息'!$S$10)*'疲劳值&amp;地图信息'!$R$13)/BO181,('疲劳值&amp;地图信息'!$S$10*'疲劳值&amp;地图信息'!$R$10+'疲劳值&amp;地图信息'!$S$11*'疲劳值&amp;地图信息'!$R$11+'疲劳值&amp;地图信息'!$S$12*'疲劳值&amp;地图信息'!$R$12+(BO181-'疲劳值&amp;地图信息'!$S$12-'疲劳值&amp;地图信息'!$S$11-'疲劳值&amp;地图信息'!$S$10)*'疲劳值&amp;地图信息'!$R$13)/BO181)</f>
        <v>44.158136341605953</v>
      </c>
      <c r="BQ181" s="14">
        <f t="shared" si="314"/>
        <v>20</v>
      </c>
      <c r="BR181" s="14">
        <f>('疲劳值&amp;地图信息'!$S$10*'疲劳值&amp;地图信息'!$R$10+($BQ181-'疲劳值&amp;地图信息'!$S$10)*'疲劳值&amp;地图信息'!$R$11)/$BQ181</f>
        <v>32.067203015074995</v>
      </c>
      <c r="CF181" s="14">
        <v>176</v>
      </c>
      <c r="CG181" s="51">
        <f t="shared" si="221"/>
        <v>12633</v>
      </c>
      <c r="CH181" s="51">
        <f t="shared" si="222"/>
        <v>997</v>
      </c>
      <c r="CI181" s="51">
        <f>INT(SUMPRODUCT($N181:$R181,$BA181:$BE181)/SUM($BA181:$BE181)/10000*$BX$7*$BZ$34/'疲劳值&amp;地图信息'!$R$10*$BY$53)</f>
        <v>3164</v>
      </c>
      <c r="CJ181" s="50">
        <f t="shared" si="223"/>
        <v>0.75223294033583421</v>
      </c>
      <c r="CK181" s="50">
        <f t="shared" si="224"/>
        <v>5.9366440395379305E-2</v>
      </c>
      <c r="CL181" s="50">
        <f t="shared" si="225"/>
        <v>0.18840061926878648</v>
      </c>
      <c r="CM181" s="14">
        <f t="shared" si="226"/>
        <v>13464</v>
      </c>
      <c r="CN181" s="14">
        <f t="shared" si="227"/>
        <v>1638</v>
      </c>
      <c r="CO181" s="14">
        <f>INT(SUMPRODUCT($U181:$Y181,$BA181:$BE181)/SUM($BA181:$BE181)/10000*$BX$7*$BZ$34/'疲劳值&amp;地图信息'!$R$10*$BY$54)</f>
        <v>5947</v>
      </c>
      <c r="CP181" s="50">
        <f t="shared" si="228"/>
        <v>0.63965033968359541</v>
      </c>
      <c r="CQ181" s="50">
        <f t="shared" si="229"/>
        <v>7.7818423678084475E-2</v>
      </c>
      <c r="CR181" s="50">
        <f t="shared" si="230"/>
        <v>0.28253123663832014</v>
      </c>
      <c r="CS181" s="14">
        <f t="shared" si="231"/>
        <v>14297</v>
      </c>
      <c r="CT181" s="14">
        <f t="shared" si="232"/>
        <v>2847</v>
      </c>
      <c r="CU181" s="14">
        <f>INT(SUMPRODUCT($AB181:$AF181,$BA181:$BE181)/SUM($BA181:$BE181)/10000*$BX$7*$BZ$34/'疲劳值&amp;地图信息'!$R$10*$BY$55)</f>
        <v>8079</v>
      </c>
      <c r="CV181" s="50">
        <f t="shared" si="233"/>
        <v>0.56682393053958691</v>
      </c>
      <c r="CW181" s="50">
        <f t="shared" si="234"/>
        <v>0.11287317131189788</v>
      </c>
      <c r="CX181" s="50">
        <f t="shared" si="235"/>
        <v>0.32030289814851526</v>
      </c>
      <c r="CY181" s="14">
        <f t="shared" si="236"/>
        <v>17018</v>
      </c>
      <c r="CZ181" s="14">
        <f t="shared" si="237"/>
        <v>8210</v>
      </c>
      <c r="DA181" s="14">
        <f>INT(SUMPRODUCT($AI181:$AM181,$BA181:$BE181)/SUM($BA181:$BE181)/10000*$BX$7*$BZ$34/'疲劳值&amp;地图信息'!$R$10*$BY$56)</f>
        <v>12186</v>
      </c>
      <c r="DB181" s="50">
        <f t="shared" si="238"/>
        <v>0.45485647083979258</v>
      </c>
      <c r="DC181" s="50">
        <f t="shared" si="239"/>
        <v>0.21943657454428822</v>
      </c>
      <c r="DD181" s="50">
        <f t="shared" si="240"/>
        <v>0.3257069546159192</v>
      </c>
      <c r="DE181" s="14">
        <f t="shared" si="241"/>
        <v>17440</v>
      </c>
      <c r="DF181" s="14">
        <f t="shared" si="242"/>
        <v>14239</v>
      </c>
      <c r="DG181" s="14">
        <f>INT(SUMPRODUCT($AP181:$AT181,$BA181:$BE181)/SUM($BA181:$BE181)/10000*$BX$7*$BZ$34/'疲劳值&amp;地图信息'!$R$10*$BY$57)</f>
        <v>16273</v>
      </c>
      <c r="DH181" s="50">
        <f t="shared" si="243"/>
        <v>0.36369703036369705</v>
      </c>
      <c r="DI181" s="50">
        <f t="shared" si="244"/>
        <v>0.29694277610944275</v>
      </c>
      <c r="DJ181" s="50">
        <f t="shared" si="245"/>
        <v>0.3393601935268602</v>
      </c>
      <c r="DL181" s="14">
        <f t="shared" si="316"/>
        <v>16794</v>
      </c>
      <c r="DM181" s="14">
        <f t="shared" si="317"/>
        <v>21049</v>
      </c>
      <c r="DN181" s="14">
        <f t="shared" si="318"/>
        <v>25223</v>
      </c>
      <c r="DO181" s="14">
        <f t="shared" si="319"/>
        <v>37414</v>
      </c>
      <c r="DP181" s="14">
        <f t="shared" si="320"/>
        <v>47952</v>
      </c>
      <c r="DQ181" s="14">
        <f t="shared" si="321"/>
        <v>1160110</v>
      </c>
      <c r="DT181" s="14">
        <f t="shared" si="315"/>
        <v>235575</v>
      </c>
      <c r="DU181" s="50">
        <f t="shared" si="217"/>
        <v>0.16878808613691484</v>
      </c>
      <c r="DW181" s="14">
        <f t="shared" si="246"/>
        <v>1395685</v>
      </c>
      <c r="EB181" s="14">
        <v>176</v>
      </c>
      <c r="EC181" s="51">
        <f t="shared" si="247"/>
        <v>21056</v>
      </c>
      <c r="ED181" s="51">
        <f t="shared" si="248"/>
        <v>1663</v>
      </c>
      <c r="EE181" s="51">
        <f>INT(SUMPRODUCT($N181:$R181,$BF181:$BJ181)/SUM($BF181:$BJ181)/10000*$BX$7*$BZ$46/'疲劳值&amp;地图信息'!$R$10*$BY$53)</f>
        <v>425</v>
      </c>
      <c r="EF181" s="50">
        <f t="shared" si="249"/>
        <v>0.90978223297614935</v>
      </c>
      <c r="EG181" s="50">
        <f t="shared" si="250"/>
        <v>7.1854476322156927E-2</v>
      </c>
      <c r="EH181" s="50">
        <f t="shared" si="251"/>
        <v>1.8363290701693742E-2</v>
      </c>
      <c r="EI181" s="51">
        <f t="shared" si="252"/>
        <v>22441</v>
      </c>
      <c r="EJ181" s="51">
        <f t="shared" si="253"/>
        <v>2731</v>
      </c>
      <c r="EK181" s="14">
        <f>INT(SUMPRODUCT($U181:$Y181,$BF181:$BJ181)/SUM($BF181:$BJ181)/10000*$BX$7*$BZ$46/'疲劳值&amp;地图信息'!$R$10*$BY$54)</f>
        <v>798</v>
      </c>
      <c r="EL181" s="50">
        <f t="shared" si="254"/>
        <v>0.86411243742780131</v>
      </c>
      <c r="EM181" s="50">
        <f t="shared" si="255"/>
        <v>0.1051597997689642</v>
      </c>
      <c r="EN181" s="50">
        <f t="shared" si="256"/>
        <v>3.0727762803234502E-2</v>
      </c>
      <c r="EO181" s="51">
        <f t="shared" si="257"/>
        <v>23828</v>
      </c>
      <c r="EP181" s="51">
        <f t="shared" si="258"/>
        <v>4746</v>
      </c>
      <c r="EQ181" s="14">
        <f>INT(SUMPRODUCT($AB181:$AF181,$BF181:$BJ181)/SUM($BF181:$BJ181)/10000*$BX$7*$BZ$46/'疲劳值&amp;地图信息'!$R$10*$BY$55)</f>
        <v>1083</v>
      </c>
      <c r="ER181" s="50">
        <f t="shared" si="259"/>
        <v>0.80345281046633177</v>
      </c>
      <c r="ES181" s="50">
        <f t="shared" si="260"/>
        <v>0.16002967258994505</v>
      </c>
      <c r="ET181" s="50">
        <f t="shared" si="261"/>
        <v>3.6517516943723238E-2</v>
      </c>
      <c r="EU181" s="51">
        <f t="shared" si="262"/>
        <v>28363</v>
      </c>
      <c r="EV181" s="51">
        <f t="shared" si="263"/>
        <v>13684</v>
      </c>
      <c r="EW181" s="14">
        <f>INT(SUMPRODUCT($AI181:$AM181,$BF181:$BJ181)/SUM($BF181:$BJ181)/10000*$BX$7*$BZ$46/'疲劳值&amp;地图信息'!$R$10*$BY$56)</f>
        <v>1625</v>
      </c>
      <c r="EX181" s="50">
        <f t="shared" si="264"/>
        <v>0.64945502839347868</v>
      </c>
      <c r="EY181" s="50">
        <f t="shared" si="265"/>
        <v>0.31333577578311045</v>
      </c>
      <c r="EZ181" s="50">
        <f t="shared" si="266"/>
        <v>3.7209195823410882E-2</v>
      </c>
      <c r="FA181" s="51">
        <f t="shared" si="267"/>
        <v>29067</v>
      </c>
      <c r="FB181" s="51">
        <f t="shared" si="268"/>
        <v>23732</v>
      </c>
      <c r="FC181" s="14">
        <f>INT(SUMPRODUCT($AP181:$AT181,$BF181:$BJ181)/SUM($BF181:$BJ181)/10000*$BX$7*$BZ$46/'疲劳值&amp;地图信息'!$R$10*$BY$57)</f>
        <v>2167</v>
      </c>
      <c r="FD181" s="50">
        <f t="shared" si="269"/>
        <v>0.52881781464905575</v>
      </c>
      <c r="FE181" s="50">
        <f t="shared" si="270"/>
        <v>0.43175781392133317</v>
      </c>
      <c r="FF181" s="50">
        <f t="shared" si="271"/>
        <v>3.9424371429611034E-2</v>
      </c>
      <c r="FH181" s="14">
        <f t="shared" si="272"/>
        <v>23144</v>
      </c>
      <c r="FI181" s="14">
        <f t="shared" si="273"/>
        <v>25970</v>
      </c>
      <c r="FJ181" s="14">
        <f t="shared" si="274"/>
        <v>29657</v>
      </c>
      <c r="FK181" s="14">
        <f t="shared" si="275"/>
        <v>43672</v>
      </c>
      <c r="FL181" s="14">
        <f t="shared" si="276"/>
        <v>54966</v>
      </c>
      <c r="FM181" s="14">
        <f t="shared" si="277"/>
        <v>2699024</v>
      </c>
      <c r="FP181" s="14">
        <f t="shared" si="278"/>
        <v>334150</v>
      </c>
      <c r="FQ181" s="50">
        <f t="shared" si="218"/>
        <v>0.11016512735504129</v>
      </c>
      <c r="FS181" s="14">
        <f t="shared" si="279"/>
        <v>3033174</v>
      </c>
      <c r="FX181" s="14">
        <v>176</v>
      </c>
      <c r="FY181" s="51">
        <f t="shared" si="280"/>
        <v>29478</v>
      </c>
      <c r="FZ181" s="51">
        <f t="shared" si="281"/>
        <v>1663</v>
      </c>
      <c r="GA181" s="51">
        <f>INT(SUMPRODUCT($N181:$R181,$BF181:$BJ181)/SUM($BF181:$BJ181)/10000*$BX$7*$BZ$46/'疲劳值&amp;地图信息'!$R$10*$BY$53)</f>
        <v>425</v>
      </c>
      <c r="GB181" s="50">
        <f t="shared" si="282"/>
        <v>0.9338528796806691</v>
      </c>
      <c r="GC181" s="50">
        <f t="shared" si="283"/>
        <v>5.2683266806057151E-2</v>
      </c>
      <c r="GD181" s="50">
        <f t="shared" si="284"/>
        <v>1.3463853513273775E-2</v>
      </c>
      <c r="GE181" s="51">
        <f t="shared" si="285"/>
        <v>31418</v>
      </c>
      <c r="GF181" s="51">
        <f t="shared" si="286"/>
        <v>2731</v>
      </c>
      <c r="GG181" s="14">
        <f>INT(SUMPRODUCT($U181:$Y181,$BF181:$BJ181)/SUM($BF181:$BJ181)/10000*$BX$7*$BZ$46/'疲劳值&amp;地图信息'!$R$10*$BY$54)</f>
        <v>798</v>
      </c>
      <c r="GH181" s="50">
        <f t="shared" si="287"/>
        <v>0.8990185137493919</v>
      </c>
      <c r="GI181" s="50">
        <f t="shared" si="288"/>
        <v>7.8146908175236784E-2</v>
      </c>
      <c r="GJ181" s="50">
        <f t="shared" si="289"/>
        <v>2.2834578075371276E-2</v>
      </c>
      <c r="GK181" s="51">
        <f t="shared" si="290"/>
        <v>33360</v>
      </c>
      <c r="GL181" s="51">
        <f t="shared" si="291"/>
        <v>4746</v>
      </c>
      <c r="GM181" s="14">
        <f>INT(SUMPRODUCT($AB181:$AF181,$BF181:$BJ181)/SUM($BF181:$BJ181)/10000*$BX$7*$BZ$46/'疲劳值&amp;地图信息'!$R$10*$BY$55)</f>
        <v>1083</v>
      </c>
      <c r="GN181" s="50">
        <f t="shared" si="292"/>
        <v>0.85125928194136113</v>
      </c>
      <c r="GO181" s="50">
        <f t="shared" si="293"/>
        <v>0.12110541223302457</v>
      </c>
      <c r="GP181" s="50">
        <f t="shared" si="294"/>
        <v>2.7635305825614329E-2</v>
      </c>
      <c r="GQ181" s="51">
        <f t="shared" si="295"/>
        <v>39709</v>
      </c>
      <c r="GR181" s="51">
        <f t="shared" si="296"/>
        <v>13684</v>
      </c>
      <c r="GS181" s="14">
        <f>INT(SUMPRODUCT($AI181:$AM181,$BF181:$BJ181)/SUM($BF181:$BJ181)/10000*$BX$7*$BZ$46/'疲劳值&amp;地图信息'!$R$10*$BY$56)</f>
        <v>1625</v>
      </c>
      <c r="GT181" s="50">
        <f t="shared" si="297"/>
        <v>0.72174561052746378</v>
      </c>
      <c r="GU181" s="50">
        <f t="shared" si="298"/>
        <v>0.2487186011850667</v>
      </c>
      <c r="GV181" s="50">
        <f t="shared" si="299"/>
        <v>2.9535788287469555E-2</v>
      </c>
      <c r="GW181" s="51">
        <f t="shared" si="300"/>
        <v>40694</v>
      </c>
      <c r="GX181" s="51">
        <f t="shared" si="301"/>
        <v>23732</v>
      </c>
      <c r="GY181" s="14">
        <f>INT(SUMPRODUCT($AP181:$AT181,$BF181:$BJ181)/SUM($BF181:$BJ181)/10000*$BX$7*$BZ$46/'疲劳值&amp;地图信息'!$R$10*$BY$57)</f>
        <v>2167</v>
      </c>
      <c r="GZ181" s="50">
        <f t="shared" si="302"/>
        <v>0.61108524920036644</v>
      </c>
      <c r="HA181" s="50">
        <f t="shared" si="303"/>
        <v>0.35637379304131067</v>
      </c>
      <c r="HB181" s="50">
        <f t="shared" si="304"/>
        <v>3.2540957758322948E-2</v>
      </c>
      <c r="HD181" s="14">
        <f t="shared" si="305"/>
        <v>31566</v>
      </c>
      <c r="HE181" s="14">
        <f t="shared" si="306"/>
        <v>34947</v>
      </c>
      <c r="HF181" s="14">
        <f t="shared" si="307"/>
        <v>39189</v>
      </c>
      <c r="HG181" s="14">
        <f t="shared" si="308"/>
        <v>55018</v>
      </c>
      <c r="HH181" s="14">
        <f t="shared" si="309"/>
        <v>66593</v>
      </c>
      <c r="HI181" s="14">
        <f t="shared" si="310"/>
        <v>3627549</v>
      </c>
      <c r="HL181" s="14">
        <f t="shared" si="311"/>
        <v>430050</v>
      </c>
      <c r="HM181" s="50">
        <f t="shared" si="219"/>
        <v>0.10598632343905842</v>
      </c>
      <c r="HO181" s="14">
        <f t="shared" si="312"/>
        <v>4057599</v>
      </c>
    </row>
    <row r="182" spans="11:223" x14ac:dyDescent="0.2">
      <c r="K182" s="14">
        <v>177</v>
      </c>
      <c r="L182" s="12">
        <f>求节点(节奏总纲!D$4:D$163,标准城池设计!AB$4:AB$163,$K182)*求节点(节奏总纲!D$4:D$163,攻城基础信息!$AC$5:$AC$164,$K182)</f>
        <v>621658.16598546819</v>
      </c>
      <c r="M182" s="12">
        <f>INDEX(其他调用!$AA$5:$AA$404,MATCH(K182,其他调用!$X$5:$X$404,0))*MIN(INDEX(其他调用!$AH$5:$AH$364,MATCH('征服点（新）'!K182,其他调用!$AG$5:$AG$364,0),1)/INDEX(其他调用!$AJ$5:$AJ$364,MATCH(K182,其他调用!$AG$5:$AG$364,0),0),5)*求节点(节奏总纲!D$4:D$163,攻城基础信息!$AC$5:$AC$164,$K182)</f>
        <v>49057.927308558763</v>
      </c>
      <c r="N182" s="12">
        <f>MIN(INDEX(其他调用!$AH$5:$AH$364,MATCH($K182,其他调用!$AG$5:$AG$364,0),1)/INDEX(其他调用!AH$5:AH$364,MATCH($K182,其他调用!$AG$5:$AG$364,0),0),1)*INDEX(其他调用!Y$5:Y$404,MATCH($K182,其他调用!$X$5:$X$404,0),0)</f>
        <v>39433.243760591395</v>
      </c>
      <c r="O182" s="12">
        <f>MIN(INDEX(其他调用!$AH$5:$AH$364,MATCH($K182,其他调用!$AG$5:$AG$364,0),1)/INDEX(其他调用!AI$5:AI$364,MATCH($K182,其他调用!$AG$5:$AG$364,0),0),1)*INDEX(其他调用!Z$5:Z$404,MATCH($K182,其他调用!$X$5:$X$404,0),0)</f>
        <v>24712.354634310243</v>
      </c>
      <c r="P182" s="12">
        <f>MIN(INDEX(其他调用!$AH$5:$AH$364,MATCH($K182,其他调用!$AG$5:$AG$364,0),1)/INDEX(其他调用!AJ$5:AJ$364,MATCH($K182,其他调用!$AG$5:$AG$364,0),0),1)*INDEX(其他调用!AA$5:AA$404,MATCH($K182,其他调用!$X$5:$X$404,0),0)</f>
        <v>14754.126647470157</v>
      </c>
      <c r="Q182" s="12">
        <f>MIN(INDEX(其他调用!$AH$5:$AH$364,MATCH($K182,其他调用!$AG$5:$AG$364,0),1)/INDEX(其他调用!AK$5:AK$364,MATCH($K182,其他调用!$AG$5:$AG$364,0),0),1)*INDEX(其他调用!AB$5:AB$404,MATCH($K182,其他调用!$X$5:$X$404,0),0)</f>
        <v>5385.7704897816193</v>
      </c>
      <c r="R182" s="12">
        <f>MIN(INDEX(其他调用!$AH$5:$AH$364,MATCH($K182,其他调用!$AG$5:$AG$364,0),1)/INDEX(其他调用!AL$5:AL$364,MATCH($K182,其他调用!$AG$5:$AG$364,0),0),1)*INDEX(其他调用!AC$5:AC$404,MATCH($K182,其他调用!$X$5:$X$404,0),0)</f>
        <v>2181.6804485239336</v>
      </c>
      <c r="S182" s="12">
        <f>求节点(节奏总纲!D$4:D$163,标准城池设计!AC$4:AC$163,$K182)*求节点(节奏总纲!D$4:D$163,攻城基础信息!$AD$5:$AD$164,$K182)</f>
        <v>662330.27355776378</v>
      </c>
      <c r="T182" s="12">
        <f>INDEX(其他调用!$AA$5:$AA$404,MATCH($K182,其他调用!$X$5:$X$404,0))*MIN(INDEX(其他调用!AI$5:AI$364,MATCH($K182,其他调用!$AG$5:$AG$364,0),1)/INDEX(其他调用!$AJ$5:$AJ$364,MATCH($K182,其他调用!$AG$5:$AG$364,0),0),5)*求节点(节奏总纲!D$4:D$163,攻城基础信息!$AD$5:$AD$164,$K182)</f>
        <v>80556.122289026767</v>
      </c>
      <c r="U182" s="12">
        <f>MIN(INDEX(其他调用!$AI$5:$AI$364,MATCH($K182,其他调用!$AG$5:$AG$364,0),1)/INDEX(其他调用!AH$5:AH$364,MATCH($K182,其他调用!$AG$5:$AG$364,0),0),1)*INDEX(其他调用!Y$5:Y$404,MATCH($K182,其他调用!$X$5:$X$404,0),0)</f>
        <v>39433.243760591395</v>
      </c>
      <c r="V182" s="12">
        <f>MIN(INDEX(其他调用!$AI$5:$AI$364,MATCH($K182,其他调用!$AG$5:$AG$364,0),1)/INDEX(其他调用!AI$5:AI$364,MATCH($K182,其他调用!$AG$5:$AG$364,0),0),1)*INDEX(其他调用!Z$5:Z$404,MATCH($K182,其他调用!$X$5:$X$404,0),0)</f>
        <v>40579.200369600323</v>
      </c>
      <c r="W182" s="12">
        <f>MIN(INDEX(其他调用!$AI$5:$AI$364,MATCH($K182,其他调用!$AG$5:$AG$364,0),1)/INDEX(其他调用!AJ$5:AJ$364,MATCH($K182,其他调用!$AG$5:$AG$364,0),0),1)*INDEX(其他调用!AA$5:AA$404,MATCH($K182,其他调用!$X$5:$X$404,0),0)</f>
        <v>24227.17990113781</v>
      </c>
      <c r="X182" s="12">
        <f>MIN(INDEX(其他调用!$AI$5:$AI$364,MATCH($K182,其他调用!$AG$5:$AG$364,0),1)/INDEX(其他调用!AK$5:AK$364,MATCH($K182,其他调用!$AG$5:$AG$364,0),0),1)*INDEX(其他调用!AB$5:AB$404,MATCH($K182,其他调用!$X$5:$X$404,0),0)</f>
        <v>8843.7651160159803</v>
      </c>
      <c r="Y182" s="12">
        <f>MIN(INDEX(其他调用!$AI$5:$AI$364,MATCH($K182,其他调用!$AG$5:$AG$364,0),1)/INDEX(其他调用!AL$5:AL$364,MATCH($K182,其他调用!$AG$5:$AG$364,0),0),1)*INDEX(其他调用!AC$5:AC$404,MATCH($K182,其他调用!$X$5:$X$404,0),0)</f>
        <v>3582.4529622190421</v>
      </c>
      <c r="Z182" s="12">
        <f>求节点(节奏总纲!D$4:D$163,标准城池设计!AD$4:AD$163,$K182)*求节点(节奏总纲!D$4:D$163,攻城基础信息!$AE$5:$AE$164,$K182)</f>
        <v>703244.28924772178</v>
      </c>
      <c r="AA182" s="12">
        <f>INDEX(其他调用!$AA$5:$AA$404,MATCH($K182,其他调用!$X$5:$X$404,0))*MIN(INDEX(其他调用!AJ$5:AJ$364,MATCH($K182,其他调用!$AG$5:$AG$364,0),1)/INDEX(其他调用!$AJ$5:$AJ$364,MATCH($K182,其他调用!$AG$5:$AG$364,0),0),5)*求节点(节奏总纲!D$4:D$163,攻城基础信息!$AE$5:$AE$164,$K182)</f>
        <v>139958.14536339944</v>
      </c>
      <c r="AB182" s="12">
        <f>MIN(INDEX(其他调用!$AJ$5:$AJ$364,MATCH($K182,其他调用!$AG$5:$AG$364,0),1)/INDEX(其他调用!AH$5:AH$364,MATCH($K182,其他调用!$AG$5:$AG$364,0),0),1)*INDEX(其他调用!Y$5:Y$404,MATCH($K182,其他调用!$X$5:$X$404,0),0)</f>
        <v>39433.243760591395</v>
      </c>
      <c r="AC182" s="12">
        <f>MIN(INDEX(其他调用!$AJ$5:$AJ$364,MATCH($K182,其他调用!$AG$5:$AG$364,0),1)/INDEX(其他调用!AI$5:AI$364,MATCH($K182,其他调用!$AG$5:$AG$364,0),0),1)*INDEX(其他调用!Z$5:Z$404,MATCH($K182,其他调用!$X$5:$X$404,0),0)</f>
        <v>40579.200369600323</v>
      </c>
      <c r="AD182" s="12">
        <f>MIN(INDEX(其他调用!$AJ$5:$AJ$364,MATCH($K182,其他调用!$AG$5:$AG$364,0),1)/INDEX(其他调用!AJ$5:AJ$364,MATCH($K182,其他调用!$AG$5:$AG$364,0),0),1)*INDEX(其他调用!AA$5:AA$404,MATCH($K182,其他调用!$X$5:$X$404,0),0)</f>
        <v>42092.283863700366</v>
      </c>
      <c r="AE182" s="12">
        <f>MIN(INDEX(其他调用!$AJ$5:$AJ$364,MATCH($K182,其他调用!$AG$5:$AG$364,0),1)/INDEX(其他调用!AK$5:AK$364,MATCH($K182,其他调用!$AG$5:$AG$364,0),0),1)*INDEX(其他调用!AB$5:AB$404,MATCH($K182,其他调用!$X$5:$X$404,0),0)</f>
        <v>15365.150760685648</v>
      </c>
      <c r="AF182" s="12">
        <f>MIN(INDEX(其他调用!$AJ$5:$AJ$364,MATCH($K182,其他调用!$AG$5:$AG$364,0),1)/INDEX(其他调用!AL$5:AL$364,MATCH($K182,其他调用!$AG$5:$AG$364,0),0),1)*INDEX(其他调用!AC$5:AC$404,MATCH($K182,其他调用!$X$5:$X$404,0),0)</f>
        <v>6224.1510414918848</v>
      </c>
      <c r="AG182" s="12">
        <f>求节点(节奏总纲!D$4:D$163,标准城池设计!AE$4:AE$163,$K182)*求节点(节奏总纲!D$4:D$163,攻城基础信息!$AF$5:$AF$164,$K182)</f>
        <v>837906.30163051689</v>
      </c>
      <c r="AH182" s="12">
        <f>INDEX(其他调用!$AA$5:$AA$404,MATCH($K182,其他调用!$X$5:$X$404,0))*MIN(INDEX(其他调用!AK$5:AK$364,MATCH($K182,其他调用!$AG$5:$AG$364,0),1)/INDEX(其他调用!$AJ$5:$AJ$364,MATCH($K182,其他调用!$AG$5:$AG$364,0),0),5)*求节点(节奏总纲!D$4:D$163,攻城基础信息!$AF$5:$AF$164,$K182)</f>
        <v>403455.04956846475</v>
      </c>
      <c r="AI182" s="12">
        <f>MIN(INDEX(其他调用!$AK$5:$AK$364,MATCH($K182,其他调用!$AG$5:$AG$364,0),1)/INDEX(其他调用!AH$5:AH$364,MATCH($K182,其他调用!$AG$5:$AG$364,0),0),1)*INDEX(其他调用!Y$5:Y$404,MATCH($K182,其他调用!$X$5:$X$404,0),0)</f>
        <v>39433.243760591395</v>
      </c>
      <c r="AJ182" s="12">
        <f>MIN(INDEX(其他调用!$AK$5:$AK$364,MATCH($K182,其他调用!$AG$5:$AG$364,0),1)/INDEX(其他调用!AI$5:AI$364,MATCH($K182,其他调用!$AG$5:$AG$364,0),0),1)*INDEX(其他调用!Z$5:Z$404,MATCH($K182,其他调用!$X$5:$X$404,0),0)</f>
        <v>40579.200369600323</v>
      </c>
      <c r="AK182" s="12">
        <f>MIN(INDEX(其他调用!$AK$5:$AK$364,MATCH($K182,其他调用!$AG$5:$AG$364,0),1)/INDEX(其他调用!AJ$5:AJ$364,MATCH($K182,其他调用!$AG$5:$AG$364,0),0),1)*INDEX(其他调用!AA$5:AA$404,MATCH($K182,其他调用!$X$5:$X$404,0),0)</f>
        <v>42092.283863700366</v>
      </c>
      <c r="AL182" s="12">
        <f>MIN(INDEX(其他调用!$AK$5:$AK$364,MATCH($K182,其他调用!$AG$5:$AG$364,0),1)/INDEX(其他调用!AK$5:AK$364,MATCH($K182,其他调用!$AG$5:$AG$364,0),0),1)*INDEX(其他调用!AB$5:AB$404,MATCH($K182,其他调用!$X$5:$X$404,0),0)</f>
        <v>44292.868026247124</v>
      </c>
      <c r="AM182" s="12">
        <f>MIN(INDEX(其他调用!$AK$5:$AK$364,MATCH($K182,其他调用!$AG$5:$AG$364,0),1)/INDEX(其他调用!AL$5:AL$364,MATCH($K182,其他调用!$AG$5:$AG$364,0),0),1)*INDEX(其他调用!AC$5:AC$404,MATCH($K182,其他调用!$X$5:$X$404,0),0)</f>
        <v>17942.258097565624</v>
      </c>
      <c r="AN182" s="12">
        <f>求节点(节奏总纲!D$4:D$163,标准城池设计!AF$4:AF$163,$K182)*求节点(节奏总纲!D$4:D$163,攻城基础信息!$AG$5:$AG$164,$K182)</f>
        <v>859059.3894256847</v>
      </c>
      <c r="AO182" s="12">
        <f>INDEX(其他调用!$AA$5:$AA$404,MATCH($K182,其他调用!$X$5:$X$404,0))*MIN(INDEX(其他调用!AL$5:AL$364,MATCH($K182,其他调用!$AG$5:$AG$364,0),1)/INDEX(其他调用!$AJ$5:$AJ$364,MATCH($K182,其他调用!$AG$5:$AG$364,0),0),5)*求节点(节奏总纲!D$4:D$163,攻城基础信息!$AG$5:$AG$164,$K182)</f>
        <v>699790.72681699716</v>
      </c>
      <c r="AP182" s="12">
        <f>MIN(INDEX(其他调用!$AL$5:$AL$364,MATCH($K182,其他调用!$AG$5:$AG$364,0),1)/INDEX(其他调用!AH$5:AH$364,MATCH($K182,其他调用!$AG$5:$AG$364,0),0),1)*INDEX(其他调用!Y$5:Y$404,MATCH($K182,其他调用!$X$5:$X$404,0),0)</f>
        <v>39433.243760591395</v>
      </c>
      <c r="AQ182" s="12">
        <f>MIN(INDEX(其他调用!$AL$5:$AL$364,MATCH($K182,其他调用!$AG$5:$AG$364,0),1)/INDEX(其他调用!AI$5:AI$364,MATCH($K182,其他调用!$AG$5:$AG$364,0),0),1)*INDEX(其他调用!Z$5:Z$404,MATCH($K182,其他调用!$X$5:$X$404,0),0)</f>
        <v>40579.200369600323</v>
      </c>
      <c r="AR182" s="12">
        <f>MIN(INDEX(其他调用!$AL$5:$AL$364,MATCH($K182,其他调用!$AG$5:$AG$364,0),1)/INDEX(其他调用!AJ$5:AJ$364,MATCH($K182,其他调用!$AG$5:$AG$364,0),0),1)*INDEX(其他调用!AA$5:AA$404,MATCH($K182,其他调用!$X$5:$X$404,0),0)</f>
        <v>42092.283863700366</v>
      </c>
      <c r="AS182" s="12">
        <f>MIN(INDEX(其他调用!$AL$5:$AL$364,MATCH($K182,其他调用!$AG$5:$AG$364,0),1)/INDEX(其他调用!AK$5:AK$364,MATCH($K182,其他调用!$AG$5:$AG$364,0),0),1)*INDEX(其他调用!AB$5:AB$404,MATCH($K182,其他调用!$X$5:$X$404,0),0)</f>
        <v>44292.868026247124</v>
      </c>
      <c r="AT182" s="12">
        <f>MIN(INDEX(其他调用!$AL$5:$AL$364,MATCH($K182,其他调用!$AG$5:$AG$364,0),1)/INDEX(其他调用!AL$5:AL$364,MATCH($K182,其他调用!$AG$5:$AG$364,0),0),1)*INDEX(其他调用!AC$5:AC$404,MATCH($K182,其他调用!$X$5:$X$404,0),0)</f>
        <v>48247.556928595513</v>
      </c>
      <c r="AV182" s="14">
        <f>IF(OR(AV$5="大R",AV$5="超R"),MAX(INDEX(其他调用!$H$5:$L$404,MATCH($K182,其他调用!$B$5:$B$404,0),MATCH(AV$5,其他调用!$H$4:$L$4,0))*120*0.85,2),INDEX(其他调用!$H$5:$L$404,MATCH($K182,其他调用!$B$5:$B$404,0),MATCH(AV$5,其他调用!$H$4:$L$4,0))*120*0.85)</f>
        <v>48.921801254999991</v>
      </c>
      <c r="AW182" s="14">
        <f>IF(OR(AW$5="大R",AW$5="超R"),MAX(INDEX(其他调用!$H$5:$L$404,MATCH($K182,其他调用!$B$5:$B$404,0),MATCH(AW$5,其他调用!$H$4:$L$4,0))*120*0.85,2),INDEX(其他调用!$H$5:$L$404,MATCH($K182,其他调用!$B$5:$B$404,0),MATCH(AW$5,其他调用!$H$4:$L$4,0))*120*0.85)</f>
        <v>48.237344010638395</v>
      </c>
      <c r="AX182" s="14">
        <f>IF(OR(AX$5="大R",AX$5="超R"),MAX(INDEX(其他调用!$H$5:$L$404,MATCH($K182,其他调用!$B$5:$B$404,0),MATCH(AX$5,其他调用!$H$4:$L$4,0))*120*0.85,2),INDEX(其他调用!$H$5:$L$404,MATCH($K182,其他调用!$B$5:$B$404,0),MATCH(AX$5,其他调用!$H$4:$L$4,0))*120*0.85)</f>
        <v>3.9376284143615998</v>
      </c>
      <c r="AY182" s="14">
        <f>IF(OR(AY$5="大R",AY$5="超R"),MAX(INDEX(其他调用!$H$5:$L$404,MATCH($K182,其他调用!$B$5:$B$404,0),MATCH(AY$5,其他调用!$H$4:$L$4,0))*120*0.85,2),INDEX(其他调用!$H$5:$L$404,MATCH($K182,其他调用!$B$5:$B$404,0),MATCH(AY$5,其他调用!$H$4:$L$4,0))*120*0.85)</f>
        <v>2</v>
      </c>
      <c r="AZ182" s="14">
        <f>IF(OR(AZ$5="大R",AZ$5="超R"),MAX(INDEX(其他调用!$H$5:$L$404,MATCH($K182,其他调用!$B$5:$B$404,0),MATCH(AZ$5,其他调用!$H$4:$L$4,0))*120*0.85,2),INDEX(其他调用!$H$5:$L$404,MATCH($K182,其他调用!$B$5:$B$404,0),MATCH(AZ$5,其他调用!$H$4:$L$4,0))*120*0.85)</f>
        <v>2</v>
      </c>
      <c r="BA182" s="14">
        <f>INDEX(其他调用!$H$5:$L$404,MATCH($K182,其他调用!$B$5:$B$404,0),MATCH(BA$5,其他调用!$H$4:$L$4,0))*INDEX(其他调用!$M$5:$M$404,MATCH($K182,其他调用!$B$5:$B$404,0))*0.6</f>
        <v>28.777530149999997</v>
      </c>
      <c r="BB182" s="14">
        <f>INDEX(其他调用!$H$5:$L$404,MATCH($K182,其他调用!$B$5:$B$404,0),MATCH(BB$5,其他调用!$H$4:$L$4,0))*INDEX(其他调用!$M$5:$M$404,MATCH($K182,其他调用!$B$5:$B$404,0))*0.6</f>
        <v>28.374908241551999</v>
      </c>
      <c r="BC182" s="14">
        <f>INDEX(其他调用!$H$5:$L$404,MATCH($K182,其他调用!$B$5:$B$404,0),MATCH(BC$5,其他调用!$H$4:$L$4,0))*INDEX(其他调用!$M$5:$M$404,MATCH($K182,其他调用!$B$5:$B$404,0))*0.6</f>
        <v>2.3162520084480001</v>
      </c>
      <c r="BD182" s="14">
        <f>INDEX(其他调用!$H$5:$L$404,MATCH($K182,其他调用!$B$5:$B$404,0),MATCH(BD$5,其他调用!$H$4:$L$4,0))*INDEX(其他调用!$M$5:$M$404,MATCH($K182,其他调用!$B$5:$B$404,0))*0.6</f>
        <v>0.4120776000000001</v>
      </c>
      <c r="BE182" s="14">
        <f>INDEX(其他调用!$H$5:$L$404,MATCH($K182,其他调用!$B$5:$B$404,0),MATCH(BE$5,其他调用!$H$4:$L$4,0))*INDEX(其他调用!$M$5:$M$404,MATCH($K182,其他调用!$B$5:$B$404,0))*0.6</f>
        <v>0.11923199999999998</v>
      </c>
      <c r="BF182" s="14">
        <f>IF(OR(BF$5="大R",BF$5="超R"),0,INDEX(其他调用!$H$5:$L$404,MATCH($K182,其他调用!$B$5:$B$404,0),MATCH(BF$5,其他调用!$H$4:$L$4,0))*50*0.4)</f>
        <v>9.5925100500000013</v>
      </c>
      <c r="BG182" s="14">
        <f>IF(OR(BG$5="大R",BG$5="超R"),0,INDEX(其他调用!$H$5:$L$404,MATCH($K182,其他调用!$B$5:$B$404,0),MATCH(BG$5,其他调用!$H$4:$L$4,0))*50*0.4)</f>
        <v>9.4583027471839998</v>
      </c>
      <c r="BH182" s="14">
        <f>IF(OR(BH$5="大R",BH$5="超R"),0,INDEX(其他调用!$H$5:$L$404,MATCH($K182,其他调用!$B$5:$B$404,0),MATCH(BH$5,其他调用!$H$4:$L$4,0))*50*0.4)</f>
        <v>0.77208400281600009</v>
      </c>
      <c r="BI182" s="14">
        <f>IF(OR(BI$5="大R",BI$5="超R"),0,INDEX(其他调用!$H$5:$L$404,MATCH($K182,其他调用!$B$5:$B$404,0),MATCH(BI$5,其他调用!$H$4:$L$4,0))*50*0.4)</f>
        <v>0</v>
      </c>
      <c r="BJ182" s="14">
        <f>IF(OR(BJ$5="大R",BJ$5="超R"),0,INDEX(其他调用!$H$5:$L$404,MATCH($K182,其他调用!$B$5:$B$404,0),MATCH(BJ$5,其他调用!$H$4:$L$4,0))*50*0.4)</f>
        <v>0</v>
      </c>
      <c r="BL182" s="14">
        <f t="shared" si="313"/>
        <v>177</v>
      </c>
      <c r="BM182" s="14">
        <f t="shared" si="220"/>
        <v>96</v>
      </c>
      <c r="BN182" s="14">
        <f>('疲劳值&amp;地图信息'!$S$10*'疲劳值&amp;地图信息'!$R$10+'疲劳值&amp;地图信息'!$S$11*'疲劳值&amp;地图信息'!$R$11+'疲劳值&amp;地图信息'!$S$12*'疲劳值&amp;地图信息'!$R$12+(BM182-'疲劳值&amp;地图信息'!$S$12-'疲劳值&amp;地图信息'!$S$11-'疲劳值&amp;地图信息'!$S$10)*'疲劳值&amp;地图信息'!$R$13)/BM182</f>
        <v>51.371477246638619</v>
      </c>
      <c r="BO182" s="14">
        <f>INDEX(其他调用!$M$5:$M$404,MATCH(BL182,其他调用!$B$5:$B$404,0))*0.6</f>
        <v>60</v>
      </c>
      <c r="BP182" s="14">
        <f>IF(BO182&gt;SUM('疲劳值&amp;地图信息'!$S$10:$S$12),('疲劳值&amp;地图信息'!$S$10*'疲劳值&amp;地图信息'!$R$10+'疲劳值&amp;地图信息'!$S$11*'疲劳值&amp;地图信息'!$R$11+'疲劳值&amp;地图信息'!$S$12*'疲劳值&amp;地图信息'!$R$12+(BO182-'疲劳值&amp;地图信息'!$S$12-'疲劳值&amp;地图信息'!$S$11-'疲劳值&amp;地图信息'!$S$10)*'疲劳值&amp;地图信息'!$R$13)/BO182,('疲劳值&amp;地图信息'!$S$10*'疲劳值&amp;地图信息'!$R$10+'疲劳值&amp;地图信息'!$S$11*'疲劳值&amp;地图信息'!$R$11+'疲劳值&amp;地图信息'!$S$12*'疲劳值&amp;地图信息'!$R$12+(BO182-'疲劳值&amp;地图信息'!$S$12-'疲劳值&amp;地图信息'!$S$11-'疲劳值&amp;地图信息'!$S$10)*'疲劳值&amp;地图信息'!$R$13)/BO182)</f>
        <v>44.158136341605953</v>
      </c>
      <c r="BQ182" s="14">
        <f t="shared" si="314"/>
        <v>20</v>
      </c>
      <c r="BR182" s="14">
        <f>('疲劳值&amp;地图信息'!$S$10*'疲劳值&amp;地图信息'!$R$10+($BQ182-'疲劳值&amp;地图信息'!$S$10)*'疲劳值&amp;地图信息'!$R$11)/$BQ182</f>
        <v>32.067203015074995</v>
      </c>
      <c r="CF182" s="14">
        <v>177</v>
      </c>
      <c r="CG182" s="51">
        <f t="shared" si="221"/>
        <v>12670</v>
      </c>
      <c r="CH182" s="51">
        <f t="shared" si="222"/>
        <v>999</v>
      </c>
      <c r="CI182" s="51">
        <f>INT(SUMPRODUCT($N182:$R182,$BA182:$BE182)/SUM($BA182:$BE182)/10000*$BX$7*$BZ$34/'疲劳值&amp;地图信息'!$R$10*$BY$53)</f>
        <v>3166</v>
      </c>
      <c r="CJ182" s="50">
        <f t="shared" si="223"/>
        <v>0.75259875259875264</v>
      </c>
      <c r="CK182" s="50">
        <f t="shared" si="224"/>
        <v>5.9340659340659338E-2</v>
      </c>
      <c r="CL182" s="50">
        <f t="shared" si="225"/>
        <v>0.18806058806058806</v>
      </c>
      <c r="CM182" s="14">
        <f t="shared" si="226"/>
        <v>13499</v>
      </c>
      <c r="CN182" s="14">
        <f t="shared" si="227"/>
        <v>1641</v>
      </c>
      <c r="CO182" s="14">
        <f>INT(SUMPRODUCT($U182:$Y182,$BA182:$BE182)/SUM($BA182:$BE182)/10000*$BX$7*$BZ$34/'疲劳值&amp;地图信息'!$R$10*$BY$54)</f>
        <v>5952</v>
      </c>
      <c r="CP182" s="50">
        <f t="shared" si="228"/>
        <v>0.64000568936089508</v>
      </c>
      <c r="CQ182" s="50">
        <f t="shared" si="229"/>
        <v>7.7802010240849609E-2</v>
      </c>
      <c r="CR182" s="50">
        <f t="shared" si="230"/>
        <v>0.28219230039825527</v>
      </c>
      <c r="CS182" s="14">
        <f t="shared" si="231"/>
        <v>14333</v>
      </c>
      <c r="CT182" s="14">
        <f t="shared" si="232"/>
        <v>2852</v>
      </c>
      <c r="CU182" s="14">
        <f>INT(SUMPRODUCT($AB182:$AF182,$BA182:$BE182)/SUM($BA182:$BE182)/10000*$BX$7*$BZ$34/'疲劳值&amp;地图信息'!$R$10*$BY$55)</f>
        <v>8086</v>
      </c>
      <c r="CV182" s="50">
        <f t="shared" si="233"/>
        <v>0.56717185706936801</v>
      </c>
      <c r="CW182" s="50">
        <f t="shared" si="234"/>
        <v>0.11285663408650232</v>
      </c>
      <c r="CX182" s="50">
        <f t="shared" si="235"/>
        <v>0.31997150884412962</v>
      </c>
      <c r="CY182" s="14">
        <f t="shared" si="236"/>
        <v>17077</v>
      </c>
      <c r="CZ182" s="14">
        <f t="shared" si="237"/>
        <v>8222</v>
      </c>
      <c r="DA182" s="14">
        <f>INT(SUMPRODUCT($AI182:$AM182,$BA182:$BE182)/SUM($BA182:$BE182)/10000*$BX$7*$BZ$34/'疲劳值&amp;地图信息'!$R$10*$BY$56)</f>
        <v>12196</v>
      </c>
      <c r="DB182" s="50">
        <f t="shared" si="238"/>
        <v>0.45544739298573145</v>
      </c>
      <c r="DC182" s="50">
        <f t="shared" si="239"/>
        <v>0.21928257100946794</v>
      </c>
      <c r="DD182" s="50">
        <f t="shared" si="240"/>
        <v>0.32527003600480064</v>
      </c>
      <c r="DE182" s="14">
        <f t="shared" si="241"/>
        <v>17508</v>
      </c>
      <c r="DF182" s="14">
        <f t="shared" si="242"/>
        <v>14262</v>
      </c>
      <c r="DG182" s="14">
        <f>INT(SUMPRODUCT($AP182:$AT182,$BA182:$BE182)/SUM($BA182:$BE182)/10000*$BX$7*$BZ$34/'疲劳值&amp;地图信息'!$R$10*$BY$57)</f>
        <v>16287</v>
      </c>
      <c r="DH182" s="50">
        <f t="shared" si="243"/>
        <v>0.3643173731194207</v>
      </c>
      <c r="DI182" s="50">
        <f t="shared" si="244"/>
        <v>0.29677258255821215</v>
      </c>
      <c r="DJ182" s="50">
        <f t="shared" si="245"/>
        <v>0.33891004432236721</v>
      </c>
      <c r="DL182" s="14">
        <f t="shared" si="316"/>
        <v>16835</v>
      </c>
      <c r="DM182" s="14">
        <f t="shared" si="317"/>
        <v>21092</v>
      </c>
      <c r="DN182" s="14">
        <f t="shared" si="318"/>
        <v>25271</v>
      </c>
      <c r="DO182" s="14">
        <f t="shared" si="319"/>
        <v>37495</v>
      </c>
      <c r="DP182" s="14">
        <f t="shared" si="320"/>
        <v>48057</v>
      </c>
      <c r="DQ182" s="14">
        <f t="shared" si="321"/>
        <v>1162668</v>
      </c>
      <c r="DT182" s="14">
        <f t="shared" si="315"/>
        <v>235575</v>
      </c>
      <c r="DU182" s="50">
        <f t="shared" si="217"/>
        <v>0.1684792986626788</v>
      </c>
      <c r="DW182" s="14">
        <f t="shared" si="246"/>
        <v>1398243</v>
      </c>
      <c r="EB182" s="14">
        <v>177</v>
      </c>
      <c r="EC182" s="51">
        <f t="shared" si="247"/>
        <v>21116</v>
      </c>
      <c r="ED182" s="51">
        <f t="shared" si="248"/>
        <v>1666</v>
      </c>
      <c r="EE182" s="51">
        <f>INT(SUMPRODUCT($N182:$R182,$BF182:$BJ182)/SUM($BF182:$BJ182)/10000*$BX$7*$BZ$46/'疲劳值&amp;地图信息'!$R$10*$BY$53)</f>
        <v>425</v>
      </c>
      <c r="EF182" s="50">
        <f t="shared" si="249"/>
        <v>0.90989787564097035</v>
      </c>
      <c r="EG182" s="50">
        <f t="shared" si="250"/>
        <v>7.1788684448657727E-2</v>
      </c>
      <c r="EH182" s="50">
        <f t="shared" si="251"/>
        <v>1.8313439910371869E-2</v>
      </c>
      <c r="EI182" s="51">
        <f t="shared" si="252"/>
        <v>22498</v>
      </c>
      <c r="EJ182" s="51">
        <f t="shared" si="253"/>
        <v>2736</v>
      </c>
      <c r="EK182" s="14">
        <f>INT(SUMPRODUCT($U182:$Y182,$BF182:$BJ182)/SUM($BF182:$BJ182)/10000*$BX$7*$BZ$46/'疲劳值&amp;地图信息'!$R$10*$BY$54)</f>
        <v>799</v>
      </c>
      <c r="EL182" s="50">
        <f t="shared" si="254"/>
        <v>0.86421080935735417</v>
      </c>
      <c r="EM182" s="50">
        <f t="shared" si="255"/>
        <v>0.10509737640686821</v>
      </c>
      <c r="EN182" s="50">
        <f t="shared" si="256"/>
        <v>3.0691814235777666E-2</v>
      </c>
      <c r="EO182" s="51">
        <f t="shared" si="257"/>
        <v>23888</v>
      </c>
      <c r="EP182" s="51">
        <f t="shared" si="258"/>
        <v>4754</v>
      </c>
      <c r="EQ182" s="14">
        <f>INT(SUMPRODUCT($AB182:$AF182,$BF182:$BJ182)/SUM($BF182:$BJ182)/10000*$BX$7*$BZ$46/'疲劳值&amp;地图信息'!$R$10*$BY$55)</f>
        <v>1084</v>
      </c>
      <c r="ER182" s="50">
        <f t="shared" si="259"/>
        <v>0.80360627060485768</v>
      </c>
      <c r="ES182" s="50">
        <f t="shared" si="260"/>
        <v>0.15992733633855885</v>
      </c>
      <c r="ET182" s="50">
        <f t="shared" si="261"/>
        <v>3.646639305658346E-2</v>
      </c>
      <c r="EU182" s="51">
        <f t="shared" si="262"/>
        <v>28462</v>
      </c>
      <c r="EV182" s="51">
        <f t="shared" si="263"/>
        <v>13704</v>
      </c>
      <c r="EW182" s="14">
        <f>INT(SUMPRODUCT($AI182:$AM182,$BF182:$BJ182)/SUM($BF182:$BJ182)/10000*$BX$7*$BZ$46/'疲劳值&amp;地图信息'!$R$10*$BY$56)</f>
        <v>1626</v>
      </c>
      <c r="EX182" s="50">
        <f t="shared" si="264"/>
        <v>0.64993606138107418</v>
      </c>
      <c r="EY182" s="50">
        <f t="shared" si="265"/>
        <v>0.31293386919985383</v>
      </c>
      <c r="EZ182" s="50">
        <f t="shared" si="266"/>
        <v>3.7130069419071973E-2</v>
      </c>
      <c r="FA182" s="51">
        <f t="shared" si="267"/>
        <v>29181</v>
      </c>
      <c r="FB182" s="51">
        <f t="shared" si="268"/>
        <v>23771</v>
      </c>
      <c r="FC182" s="14">
        <f>INT(SUMPRODUCT($AP182:$AT182,$BF182:$BJ182)/SUM($BF182:$BJ182)/10000*$BX$7*$BZ$46/'疲劳值&amp;地图信息'!$R$10*$BY$57)</f>
        <v>2169</v>
      </c>
      <c r="FD182" s="50">
        <f t="shared" si="269"/>
        <v>0.5293989586545963</v>
      </c>
      <c r="FE182" s="50">
        <f t="shared" si="270"/>
        <v>0.4312512472560367</v>
      </c>
      <c r="FF182" s="50">
        <f t="shared" si="271"/>
        <v>3.9349794089367028E-2</v>
      </c>
      <c r="FH182" s="14">
        <f t="shared" si="272"/>
        <v>23207</v>
      </c>
      <c r="FI182" s="14">
        <f t="shared" si="273"/>
        <v>26033</v>
      </c>
      <c r="FJ182" s="14">
        <f t="shared" si="274"/>
        <v>29726</v>
      </c>
      <c r="FK182" s="14">
        <f t="shared" si="275"/>
        <v>43792</v>
      </c>
      <c r="FL182" s="14">
        <f t="shared" si="276"/>
        <v>55121</v>
      </c>
      <c r="FM182" s="14">
        <f t="shared" si="277"/>
        <v>2705966</v>
      </c>
      <c r="FP182" s="14">
        <f t="shared" si="278"/>
        <v>334150</v>
      </c>
      <c r="FQ182" s="50">
        <f t="shared" si="218"/>
        <v>0.10991356908749535</v>
      </c>
      <c r="FS182" s="14">
        <f t="shared" si="279"/>
        <v>3040116</v>
      </c>
      <c r="FX182" s="14">
        <v>177</v>
      </c>
      <c r="FY182" s="51">
        <f t="shared" si="280"/>
        <v>29563</v>
      </c>
      <c r="FZ182" s="51">
        <f t="shared" si="281"/>
        <v>1666</v>
      </c>
      <c r="GA182" s="51">
        <f>INT(SUMPRODUCT($N182:$R182,$BF182:$BJ182)/SUM($BF182:$BJ182)/10000*$BX$7*$BZ$46/'疲劳值&amp;地图信息'!$R$10*$BY$53)</f>
        <v>425</v>
      </c>
      <c r="GB182" s="50">
        <f t="shared" si="282"/>
        <v>0.93394199785177234</v>
      </c>
      <c r="GC182" s="50">
        <f t="shared" si="283"/>
        <v>5.2631578947368418E-2</v>
      </c>
      <c r="GD182" s="50">
        <f t="shared" si="284"/>
        <v>1.3426423200859291E-2</v>
      </c>
      <c r="GE182" s="51">
        <f t="shared" si="285"/>
        <v>31498</v>
      </c>
      <c r="GF182" s="51">
        <f t="shared" si="286"/>
        <v>2736</v>
      </c>
      <c r="GG182" s="14">
        <f>INT(SUMPRODUCT($U182:$Y182,$BF182:$BJ182)/SUM($BF182:$BJ182)/10000*$BX$7*$BZ$46/'疲劳值&amp;地图信息'!$R$10*$BY$54)</f>
        <v>799</v>
      </c>
      <c r="GH182" s="50">
        <f t="shared" si="287"/>
        <v>0.89909513886906633</v>
      </c>
      <c r="GI182" s="50">
        <f t="shared" si="288"/>
        <v>7.8097793508977248E-2</v>
      </c>
      <c r="GJ182" s="50">
        <f t="shared" si="289"/>
        <v>2.2807067621956442E-2</v>
      </c>
      <c r="GK182" s="51">
        <f t="shared" si="290"/>
        <v>33443</v>
      </c>
      <c r="GL182" s="51">
        <f t="shared" si="291"/>
        <v>4754</v>
      </c>
      <c r="GM182" s="14">
        <f>INT(SUMPRODUCT($AB182:$AF182,$BF182:$BJ182)/SUM($BF182:$BJ182)/10000*$BX$7*$BZ$46/'疲劳值&amp;地图信息'!$R$10*$BY$55)</f>
        <v>1084</v>
      </c>
      <c r="GN182" s="50">
        <f t="shared" si="292"/>
        <v>0.85137852905985079</v>
      </c>
      <c r="GO182" s="50">
        <f t="shared" si="293"/>
        <v>0.12102543214276622</v>
      </c>
      <c r="GP182" s="50">
        <f t="shared" si="294"/>
        <v>2.7596038797382958E-2</v>
      </c>
      <c r="GQ182" s="51">
        <f t="shared" si="295"/>
        <v>39847</v>
      </c>
      <c r="GR182" s="51">
        <f t="shared" si="296"/>
        <v>13704</v>
      </c>
      <c r="GS182" s="14">
        <f>INT(SUMPRODUCT($AI182:$AM182,$BF182:$BJ182)/SUM($BF182:$BJ182)/10000*$BX$7*$BZ$46/'疲劳值&amp;地图信息'!$R$10*$BY$56)</f>
        <v>1626</v>
      </c>
      <c r="GT182" s="50">
        <f t="shared" si="297"/>
        <v>0.72216684488101923</v>
      </c>
      <c r="GU182" s="50">
        <f t="shared" si="298"/>
        <v>0.24836435471301449</v>
      </c>
      <c r="GV182" s="50">
        <f t="shared" si="299"/>
        <v>2.9468800405966254E-2</v>
      </c>
      <c r="GW182" s="51">
        <f t="shared" si="300"/>
        <v>40853</v>
      </c>
      <c r="GX182" s="51">
        <f t="shared" si="301"/>
        <v>23771</v>
      </c>
      <c r="GY182" s="14">
        <f>INT(SUMPRODUCT($AP182:$AT182,$BF182:$BJ182)/SUM($BF182:$BJ182)/10000*$BX$7*$BZ$46/'疲劳值&amp;地图信息'!$R$10*$BY$57)</f>
        <v>2169</v>
      </c>
      <c r="GZ182" s="50">
        <f t="shared" si="302"/>
        <v>0.61163594987498693</v>
      </c>
      <c r="HA182" s="50">
        <f t="shared" si="303"/>
        <v>0.35589058733699641</v>
      </c>
      <c r="HB182" s="50">
        <f t="shared" si="304"/>
        <v>3.2473462788016709E-2</v>
      </c>
      <c r="HD182" s="14">
        <f t="shared" si="305"/>
        <v>31654</v>
      </c>
      <c r="HE182" s="14">
        <f t="shared" si="306"/>
        <v>35033</v>
      </c>
      <c r="HF182" s="14">
        <f t="shared" si="307"/>
        <v>39281</v>
      </c>
      <c r="HG182" s="14">
        <f t="shared" si="308"/>
        <v>55177</v>
      </c>
      <c r="HH182" s="14">
        <f t="shared" si="309"/>
        <v>66793</v>
      </c>
      <c r="HI182" s="14">
        <f t="shared" si="310"/>
        <v>3637083</v>
      </c>
      <c r="HL182" s="14">
        <f t="shared" si="311"/>
        <v>430050</v>
      </c>
      <c r="HM182" s="50">
        <f t="shared" si="219"/>
        <v>0.10573787481255223</v>
      </c>
      <c r="HO182" s="14">
        <f t="shared" si="312"/>
        <v>4067133</v>
      </c>
    </row>
    <row r="183" spans="11:223" x14ac:dyDescent="0.2">
      <c r="K183" s="14">
        <v>178</v>
      </c>
      <c r="L183" s="12">
        <f>求节点(节奏总纲!D$4:D$163,标准城池设计!AB$4:AB$163,$K183)*求节点(节奏总纲!D$4:D$163,攻城基础信息!$AC$5:$AC$164,$K183)</f>
        <v>623448.21403173788</v>
      </c>
      <c r="M183" s="12">
        <f>INDEX(其他调用!$AA$5:$AA$404,MATCH(K183,其他调用!$X$5:$X$404,0))*MIN(INDEX(其他调用!$AH$5:$AH$364,MATCH('征服点（新）'!K183,其他调用!$AG$5:$AG$364,0),1)/INDEX(其他调用!$AJ$5:$AJ$364,MATCH(K183,其他调用!$AG$5:$AG$364,0),0),5)*求节点(节奏总纲!D$4:D$163,攻城基础信息!$AC$5:$AC$164,$K183)</f>
        <v>49149.687823829641</v>
      </c>
      <c r="N183" s="12">
        <f>MIN(INDEX(其他调用!$AH$5:$AH$364,MATCH($K183,其他调用!$AG$5:$AG$364,0),1)/INDEX(其他调用!AH$5:AH$364,MATCH($K183,其他调用!$AG$5:$AG$364,0),0),1)*INDEX(其他调用!Y$5:Y$404,MATCH($K183,其他调用!$X$5:$X$404,0),0)</f>
        <v>39467.278582088758</v>
      </c>
      <c r="O183" s="12">
        <f>MIN(INDEX(其他调用!$AH$5:$AH$364,MATCH($K183,其他调用!$AG$5:$AG$364,0),1)/INDEX(其他调用!AI$5:AI$364,MATCH($K183,其他调用!$AG$5:$AG$364,0),0),1)*INDEX(其他调用!Z$5:Z$404,MATCH($K183,其他调用!$X$5:$X$404,0),0)</f>
        <v>24734.825416263815</v>
      </c>
      <c r="P183" s="12">
        <f>MIN(INDEX(其他调用!$AH$5:$AH$364,MATCH($K183,其他调用!$AG$5:$AG$364,0),1)/INDEX(其他调用!AJ$5:AJ$364,MATCH($K183,其他调用!$AG$5:$AG$364,0),0),1)*INDEX(其他调用!AA$5:AA$404,MATCH($K183,其他调用!$X$5:$X$404,0),0)</f>
        <v>14769.509387979917</v>
      </c>
      <c r="Q183" s="12">
        <f>MIN(INDEX(其他调用!$AH$5:$AH$364,MATCH($K183,其他调用!$AG$5:$AG$364,0),1)/INDEX(其他调用!AK$5:AK$364,MATCH($K183,其他调用!$AG$5:$AG$364,0),0),1)*INDEX(其他调用!AB$5:AB$404,MATCH($K183,其他调用!$X$5:$X$404,0),0)</f>
        <v>5391.5546537900273</v>
      </c>
      <c r="R183" s="12">
        <f>MIN(INDEX(其他调用!$AH$5:$AH$364,MATCH($K183,其他调用!$AG$5:$AG$364,0),1)/INDEX(其他调用!AL$5:AL$364,MATCH($K183,其他调用!$AG$5:$AG$364,0),0),1)*INDEX(其他调用!AC$5:AC$404,MATCH($K183,其他调用!$X$5:$X$404,0),0)</f>
        <v>2190.3960334035778</v>
      </c>
      <c r="S183" s="12">
        <f>求节点(节奏总纲!D$4:D$163,标准城池设计!AC$4:AC$163,$K183)*求节点(节奏总纲!D$4:D$163,攻城基础信息!$AD$5:$AD$164,$K183)</f>
        <v>664008.88925988541</v>
      </c>
      <c r="T183" s="12">
        <f>INDEX(其他调用!$AA$5:$AA$404,MATCH($K183,其他调用!$X$5:$X$404,0))*MIN(INDEX(其他调用!AI$5:AI$364,MATCH($K183,其他调用!$AG$5:$AG$364,0),1)/INDEX(其他调用!$AJ$5:$AJ$364,MATCH($K183,其他调用!$AG$5:$AG$364,0),0),5)*求节点(节奏总纲!D$4:D$163,攻城基础信息!$AD$5:$AD$164,$K183)</f>
        <v>80697.878233762705</v>
      </c>
      <c r="U183" s="12">
        <f>MIN(INDEX(其他调用!$AI$5:$AI$364,MATCH($K183,其他调用!$AG$5:$AG$364,0),1)/INDEX(其他调用!AH$5:AH$364,MATCH($K183,其他调用!$AG$5:$AG$364,0),0),1)*INDEX(其他调用!Y$5:Y$404,MATCH($K183,其他调用!$X$5:$X$404,0),0)</f>
        <v>39467.278582088758</v>
      </c>
      <c r="V183" s="12">
        <f>MIN(INDEX(其他调用!$AI$5:$AI$364,MATCH($K183,其他调用!$AG$5:$AG$364,0),1)/INDEX(其他调用!AI$5:AI$364,MATCH($K183,其他调用!$AG$5:$AG$364,0),0),1)*INDEX(其他调用!Z$5:Z$404,MATCH($K183,其他调用!$X$5:$X$404,0),0)</f>
        <v>40611.609512752111</v>
      </c>
      <c r="W183" s="12">
        <f>MIN(INDEX(其他调用!$AI$5:$AI$364,MATCH($K183,其他调用!$AG$5:$AG$364,0),1)/INDEX(其他调用!AJ$5:AJ$364,MATCH($K183,其他调用!$AG$5:$AG$364,0),0),1)*INDEX(其他调用!AA$5:AA$404,MATCH($K183,其他调用!$X$5:$X$404,0),0)</f>
        <v>24249.758705196811</v>
      </c>
      <c r="X183" s="12">
        <f>MIN(INDEX(其他调用!$AI$5:$AI$364,MATCH($K183,其他调用!$AG$5:$AG$364,0),1)/INDEX(其他调用!AK$5:AK$364,MATCH($K183,其他调用!$AG$5:$AG$364,0),0),1)*INDEX(其他调用!AB$5:AB$404,MATCH($K183,其他调用!$X$5:$X$404,0),0)</f>
        <v>8852.2845252188472</v>
      </c>
      <c r="Y183" s="12">
        <f>MIN(INDEX(其他调用!$AI$5:$AI$364,MATCH($K183,其他调用!$AG$5:$AG$364,0),1)/INDEX(其他调用!AL$5:AL$364,MATCH($K183,其他调用!$AG$5:$AG$364,0),0),1)*INDEX(其他调用!AC$5:AC$404,MATCH($K183,其他调用!$X$5:$X$404,0),0)</f>
        <v>3596.3669397228332</v>
      </c>
      <c r="Z183" s="12">
        <f>求节点(节奏总纲!D$4:D$163,标准城池设计!AD$4:AD$163,$K183)*求节点(节奏总纲!D$4:D$163,攻城基础信息!$AE$5:$AE$164,$K183)</f>
        <v>704999.91081240517</v>
      </c>
      <c r="AA183" s="12">
        <f>INDEX(其他调用!$AA$5:$AA$404,MATCH($K183,其他调用!$X$5:$X$404,0))*MIN(INDEX(其他调用!AJ$5:AJ$364,MATCH($K183,其他调用!$AG$5:$AG$364,0),1)/INDEX(其他调用!$AJ$5:$AJ$364,MATCH($K183,其他调用!$AG$5:$AG$364,0),0),5)*求节点(节奏总纲!D$4:D$163,攻城基础信息!$AE$5:$AE$164,$K183)</f>
        <v>140182.57765112573</v>
      </c>
      <c r="AB183" s="12">
        <f>MIN(INDEX(其他调用!$AJ$5:$AJ$364,MATCH($K183,其他调用!$AG$5:$AG$364,0),1)/INDEX(其他调用!AH$5:AH$364,MATCH($K183,其他调用!$AG$5:$AG$364,0),0),1)*INDEX(其他调用!Y$5:Y$404,MATCH($K183,其他调用!$X$5:$X$404,0),0)</f>
        <v>39467.278582088758</v>
      </c>
      <c r="AC183" s="12">
        <f>MIN(INDEX(其他调用!$AJ$5:$AJ$364,MATCH($K183,其他调用!$AG$5:$AG$364,0),1)/INDEX(其他调用!AI$5:AI$364,MATCH($K183,其他调用!$AG$5:$AG$364,0),0),1)*INDEX(其他调用!Z$5:Z$404,MATCH($K183,其他调用!$X$5:$X$404,0),0)</f>
        <v>40611.609512752111</v>
      </c>
      <c r="AD183" s="12">
        <f>MIN(INDEX(其他调用!$AJ$5:$AJ$364,MATCH($K183,其他调用!$AG$5:$AG$364,0),1)/INDEX(其他调用!AJ$5:AJ$364,MATCH($K183,其他调用!$AG$5:$AG$364,0),0),1)*INDEX(其他调用!AA$5:AA$404,MATCH($K183,其他调用!$X$5:$X$404,0),0)</f>
        <v>42124.945006175658</v>
      </c>
      <c r="AE183" s="12">
        <f>MIN(INDEX(其他调用!$AJ$5:$AJ$364,MATCH($K183,其他调用!$AG$5:$AG$364,0),1)/INDEX(其他调用!AK$5:AK$364,MATCH($K183,其他调用!$AG$5:$AG$364,0),0),1)*INDEX(其他调用!AB$5:AB$404,MATCH($K183,其他调用!$X$5:$X$404,0),0)</f>
        <v>15377.555023834091</v>
      </c>
      <c r="AF183" s="12">
        <f>MIN(INDEX(其他调用!$AJ$5:$AJ$364,MATCH($K183,其他调用!$AG$5:$AG$364,0),1)/INDEX(其他调用!AL$5:AL$364,MATCH($K183,其他调用!$AG$5:$AG$364,0),0),1)*INDEX(其他调用!AC$5:AC$404,MATCH($K183,其他调用!$X$5:$X$404,0),0)</f>
        <v>6247.3512169581409</v>
      </c>
      <c r="AG183" s="12">
        <f>求节点(节奏总纲!D$4:D$163,标准城池设计!AE$4:AE$163,$K183)*求节点(节奏总纲!D$4:D$163,攻城基础信息!$AF$5:$AF$164,$K183)</f>
        <v>840816.53304476431</v>
      </c>
      <c r="AH183" s="12">
        <f>INDEX(其他调用!$AA$5:$AA$404,MATCH($K183,其他调用!$X$5:$X$404,0))*MIN(INDEX(其他调用!AK$5:AK$364,MATCH($K183,其他调用!$AG$5:$AG$364,0),1)/INDEX(其他调用!$AJ$5:$AJ$364,MATCH($K183,其他调用!$AG$5:$AG$364,0),0),5)*求节点(节奏总纲!D$4:D$163,攻城基础信息!$AF$5:$AF$164,$K183)</f>
        <v>404064.60088904045</v>
      </c>
      <c r="AI183" s="12">
        <f>MIN(INDEX(其他调用!$AK$5:$AK$364,MATCH($K183,其他调用!$AG$5:$AG$364,0),1)/INDEX(其他调用!AH$5:AH$364,MATCH($K183,其他调用!$AG$5:$AG$364,0),0),1)*INDEX(其他调用!Y$5:Y$404,MATCH($K183,其他调用!$X$5:$X$404,0),0)</f>
        <v>39467.278582088758</v>
      </c>
      <c r="AJ183" s="12">
        <f>MIN(INDEX(其他调用!$AK$5:$AK$364,MATCH($K183,其他调用!$AG$5:$AG$364,0),1)/INDEX(其他调用!AI$5:AI$364,MATCH($K183,其他调用!$AG$5:$AG$364,0),0),1)*INDEX(其他调用!Z$5:Z$404,MATCH($K183,其他调用!$X$5:$X$404,0),0)</f>
        <v>40611.609512752111</v>
      </c>
      <c r="AK183" s="12">
        <f>MIN(INDEX(其他调用!$AK$5:$AK$364,MATCH($K183,其他调用!$AG$5:$AG$364,0),1)/INDEX(其他调用!AJ$5:AJ$364,MATCH($K183,其他调用!$AG$5:$AG$364,0),0),1)*INDEX(其他调用!AA$5:AA$404,MATCH($K183,其他调用!$X$5:$X$404,0),0)</f>
        <v>42124.945006175658</v>
      </c>
      <c r="AL183" s="12">
        <f>MIN(INDEX(其他调用!$AK$5:$AK$364,MATCH($K183,其他调用!$AG$5:$AG$364,0),1)/INDEX(其他调用!AK$5:AK$364,MATCH($K183,其他调用!$AG$5:$AG$364,0),0),1)*INDEX(其他调用!AB$5:AB$404,MATCH($K183,其他调用!$X$5:$X$404,0),0)</f>
        <v>44324.521188492246</v>
      </c>
      <c r="AM183" s="12">
        <f>MIN(INDEX(其他调用!$AK$5:$AK$364,MATCH($K183,其他调用!$AG$5:$AG$364,0),1)/INDEX(其他调用!AL$5:AL$364,MATCH($K183,其他调用!$AG$5:$AG$364,0),0),1)*INDEX(其他调用!AC$5:AC$404,MATCH($K183,其他调用!$X$5:$X$404,0),0)</f>
        <v>18007.469390213351</v>
      </c>
      <c r="AN183" s="12">
        <f>求节点(节奏总纲!D$4:D$163,标准城池设计!AF$4:AF$163,$K183)*求节点(节奏总纲!D$4:D$163,攻城基础信息!$AG$5:$AG$164,$K183)</f>
        <v>862406.10410118243</v>
      </c>
      <c r="AO183" s="12">
        <f>INDEX(其他调用!$AA$5:$AA$404,MATCH($K183,其他调用!$X$5:$X$404,0))*MIN(INDEX(其他调用!AL$5:AL$364,MATCH($K183,其他调用!$AG$5:$AG$364,0),1)/INDEX(其他调用!$AJ$5:$AJ$364,MATCH($K183,其他调用!$AG$5:$AG$364,0),0),5)*求节点(节奏总纲!D$4:D$163,攻城基础信息!$AG$5:$AG$164,$K183)</f>
        <v>700912.88825562864</v>
      </c>
      <c r="AP183" s="12">
        <f>MIN(INDEX(其他调用!$AL$5:$AL$364,MATCH($K183,其他调用!$AG$5:$AG$364,0),1)/INDEX(其他调用!AH$5:AH$364,MATCH($K183,其他调用!$AG$5:$AG$364,0),0),1)*INDEX(其他调用!Y$5:Y$404,MATCH($K183,其他调用!$X$5:$X$404,0),0)</f>
        <v>39467.278582088758</v>
      </c>
      <c r="AQ183" s="12">
        <f>MIN(INDEX(其他调用!$AL$5:$AL$364,MATCH($K183,其他调用!$AG$5:$AG$364,0),1)/INDEX(其他调用!AI$5:AI$364,MATCH($K183,其他调用!$AG$5:$AG$364,0),0),1)*INDEX(其他调用!Z$5:Z$404,MATCH($K183,其他调用!$X$5:$X$404,0),0)</f>
        <v>40611.609512752111</v>
      </c>
      <c r="AR183" s="12">
        <f>MIN(INDEX(其他调用!$AL$5:$AL$364,MATCH($K183,其他调用!$AG$5:$AG$364,0),1)/INDEX(其他调用!AJ$5:AJ$364,MATCH($K183,其他调用!$AG$5:$AG$364,0),0),1)*INDEX(其他调用!AA$5:AA$404,MATCH($K183,其他调用!$X$5:$X$404,0),0)</f>
        <v>42124.945006175658</v>
      </c>
      <c r="AS183" s="12">
        <f>MIN(INDEX(其他调用!$AL$5:$AL$364,MATCH($K183,其他调用!$AG$5:$AG$364,0),1)/INDEX(其他调用!AK$5:AK$364,MATCH($K183,其他调用!$AG$5:$AG$364,0),0),1)*INDEX(其他调用!AB$5:AB$404,MATCH($K183,其他调用!$X$5:$X$404,0),0)</f>
        <v>44324.521188492246</v>
      </c>
      <c r="AT183" s="12">
        <f>MIN(INDEX(其他调用!$AL$5:$AL$364,MATCH($K183,其他调用!$AG$5:$AG$364,0),1)/INDEX(其他调用!AL$5:AL$364,MATCH($K183,其他调用!$AG$5:$AG$364,0),0),1)*INDEX(其他调用!AC$5:AC$404,MATCH($K183,其他调用!$X$5:$X$404,0),0)</f>
        <v>48282.127215908375</v>
      </c>
      <c r="AV183" s="14">
        <f>IF(OR(AV$5="大R",AV$5="超R"),MAX(INDEX(其他调用!$H$5:$L$404,MATCH($K183,其他调用!$B$5:$B$404,0),MATCH(AV$5,其他调用!$H$4:$L$4,0))*120*0.85,2),INDEX(其他调用!$H$5:$L$404,MATCH($K183,其他调用!$B$5:$B$404,0),MATCH(AV$5,其他调用!$H$4:$L$4,0))*120*0.85)</f>
        <v>48.921801254999991</v>
      </c>
      <c r="AW183" s="14">
        <f>IF(OR(AW$5="大R",AW$5="超R"),MAX(INDEX(其他调用!$H$5:$L$404,MATCH($K183,其他调用!$B$5:$B$404,0),MATCH(AW$5,其他调用!$H$4:$L$4,0))*120*0.85,2),INDEX(其他调用!$H$5:$L$404,MATCH($K183,其他调用!$B$5:$B$404,0),MATCH(AW$5,其他调用!$H$4:$L$4,0))*120*0.85)</f>
        <v>48.237344010638395</v>
      </c>
      <c r="AX183" s="14">
        <f>IF(OR(AX$5="大R",AX$5="超R"),MAX(INDEX(其他调用!$H$5:$L$404,MATCH($K183,其他调用!$B$5:$B$404,0),MATCH(AX$5,其他调用!$H$4:$L$4,0))*120*0.85,2),INDEX(其他调用!$H$5:$L$404,MATCH($K183,其他调用!$B$5:$B$404,0),MATCH(AX$5,其他调用!$H$4:$L$4,0))*120*0.85)</f>
        <v>3.9376284143615998</v>
      </c>
      <c r="AY183" s="14">
        <f>IF(OR(AY$5="大R",AY$5="超R"),MAX(INDEX(其他调用!$H$5:$L$404,MATCH($K183,其他调用!$B$5:$B$404,0),MATCH(AY$5,其他调用!$H$4:$L$4,0))*120*0.85,2),INDEX(其他调用!$H$5:$L$404,MATCH($K183,其他调用!$B$5:$B$404,0),MATCH(AY$5,其他调用!$H$4:$L$4,0))*120*0.85)</f>
        <v>2</v>
      </c>
      <c r="AZ183" s="14">
        <f>IF(OR(AZ$5="大R",AZ$5="超R"),MAX(INDEX(其他调用!$H$5:$L$404,MATCH($K183,其他调用!$B$5:$B$404,0),MATCH(AZ$5,其他调用!$H$4:$L$4,0))*120*0.85,2),INDEX(其他调用!$H$5:$L$404,MATCH($K183,其他调用!$B$5:$B$404,0),MATCH(AZ$5,其他调用!$H$4:$L$4,0))*120*0.85)</f>
        <v>2</v>
      </c>
      <c r="BA183" s="14">
        <f>INDEX(其他调用!$H$5:$L$404,MATCH($K183,其他调用!$B$5:$B$404,0),MATCH(BA$5,其他调用!$H$4:$L$4,0))*INDEX(其他调用!$M$5:$M$404,MATCH($K183,其他调用!$B$5:$B$404,0))*0.6</f>
        <v>28.777530149999997</v>
      </c>
      <c r="BB183" s="14">
        <f>INDEX(其他调用!$H$5:$L$404,MATCH($K183,其他调用!$B$5:$B$404,0),MATCH(BB$5,其他调用!$H$4:$L$4,0))*INDEX(其他调用!$M$5:$M$404,MATCH($K183,其他调用!$B$5:$B$404,0))*0.6</f>
        <v>28.374908241551999</v>
      </c>
      <c r="BC183" s="14">
        <f>INDEX(其他调用!$H$5:$L$404,MATCH($K183,其他调用!$B$5:$B$404,0),MATCH(BC$5,其他调用!$H$4:$L$4,0))*INDEX(其他调用!$M$5:$M$404,MATCH($K183,其他调用!$B$5:$B$404,0))*0.6</f>
        <v>2.3162520084480001</v>
      </c>
      <c r="BD183" s="14">
        <f>INDEX(其他调用!$H$5:$L$404,MATCH($K183,其他调用!$B$5:$B$404,0),MATCH(BD$5,其他调用!$H$4:$L$4,0))*INDEX(其他调用!$M$5:$M$404,MATCH($K183,其他调用!$B$5:$B$404,0))*0.6</f>
        <v>0.4120776000000001</v>
      </c>
      <c r="BE183" s="14">
        <f>INDEX(其他调用!$H$5:$L$404,MATCH($K183,其他调用!$B$5:$B$404,0),MATCH(BE$5,其他调用!$H$4:$L$4,0))*INDEX(其他调用!$M$5:$M$404,MATCH($K183,其他调用!$B$5:$B$404,0))*0.6</f>
        <v>0.11923199999999998</v>
      </c>
      <c r="BF183" s="14">
        <f>IF(OR(BF$5="大R",BF$5="超R"),0,INDEX(其他调用!$H$5:$L$404,MATCH($K183,其他调用!$B$5:$B$404,0),MATCH(BF$5,其他调用!$H$4:$L$4,0))*50*0.4)</f>
        <v>9.5925100500000013</v>
      </c>
      <c r="BG183" s="14">
        <f>IF(OR(BG$5="大R",BG$5="超R"),0,INDEX(其他调用!$H$5:$L$404,MATCH($K183,其他调用!$B$5:$B$404,0),MATCH(BG$5,其他调用!$H$4:$L$4,0))*50*0.4)</f>
        <v>9.4583027471839998</v>
      </c>
      <c r="BH183" s="14">
        <f>IF(OR(BH$5="大R",BH$5="超R"),0,INDEX(其他调用!$H$5:$L$404,MATCH($K183,其他调用!$B$5:$B$404,0),MATCH(BH$5,其他调用!$H$4:$L$4,0))*50*0.4)</f>
        <v>0.77208400281600009</v>
      </c>
      <c r="BI183" s="14">
        <f>IF(OR(BI$5="大R",BI$5="超R"),0,INDEX(其他调用!$H$5:$L$404,MATCH($K183,其他调用!$B$5:$B$404,0),MATCH(BI$5,其他调用!$H$4:$L$4,0))*50*0.4)</f>
        <v>0</v>
      </c>
      <c r="BJ183" s="14">
        <f>IF(OR(BJ$5="大R",BJ$5="超R"),0,INDEX(其他调用!$H$5:$L$404,MATCH($K183,其他调用!$B$5:$B$404,0),MATCH(BJ$5,其他调用!$H$4:$L$4,0))*50*0.4)</f>
        <v>0</v>
      </c>
      <c r="BL183" s="14">
        <f t="shared" si="313"/>
        <v>178</v>
      </c>
      <c r="BM183" s="14">
        <f t="shared" si="220"/>
        <v>96</v>
      </c>
      <c r="BN183" s="14">
        <f>('疲劳值&amp;地图信息'!$S$10*'疲劳值&amp;地图信息'!$R$10+'疲劳值&amp;地图信息'!$S$11*'疲劳值&amp;地图信息'!$R$11+'疲劳值&amp;地图信息'!$S$12*'疲劳值&amp;地图信息'!$R$12+(BM183-'疲劳值&amp;地图信息'!$S$12-'疲劳值&amp;地图信息'!$S$11-'疲劳值&amp;地图信息'!$S$10)*'疲劳值&amp;地图信息'!$R$13)/BM183</f>
        <v>51.371477246638619</v>
      </c>
      <c r="BO183" s="14">
        <f>INDEX(其他调用!$M$5:$M$404,MATCH(BL183,其他调用!$B$5:$B$404,0))*0.6</f>
        <v>60</v>
      </c>
      <c r="BP183" s="14">
        <f>IF(BO183&gt;SUM('疲劳值&amp;地图信息'!$S$10:$S$12),('疲劳值&amp;地图信息'!$S$10*'疲劳值&amp;地图信息'!$R$10+'疲劳值&amp;地图信息'!$S$11*'疲劳值&amp;地图信息'!$R$11+'疲劳值&amp;地图信息'!$S$12*'疲劳值&amp;地图信息'!$R$12+(BO183-'疲劳值&amp;地图信息'!$S$12-'疲劳值&amp;地图信息'!$S$11-'疲劳值&amp;地图信息'!$S$10)*'疲劳值&amp;地图信息'!$R$13)/BO183,('疲劳值&amp;地图信息'!$S$10*'疲劳值&amp;地图信息'!$R$10+'疲劳值&amp;地图信息'!$S$11*'疲劳值&amp;地图信息'!$R$11+'疲劳值&amp;地图信息'!$S$12*'疲劳值&amp;地图信息'!$R$12+(BO183-'疲劳值&amp;地图信息'!$S$12-'疲劳值&amp;地图信息'!$S$11-'疲劳值&amp;地图信息'!$S$10)*'疲劳值&amp;地图信息'!$R$13)/BO183)</f>
        <v>44.158136341605953</v>
      </c>
      <c r="BQ183" s="14">
        <f t="shared" si="314"/>
        <v>20</v>
      </c>
      <c r="BR183" s="14">
        <f>('疲劳值&amp;地图信息'!$S$10*'疲劳值&amp;地图信息'!$R$10+($BQ183-'疲劳值&amp;地图信息'!$S$10)*'疲劳值&amp;地图信息'!$R$11)/$BQ183</f>
        <v>32.067203015074995</v>
      </c>
      <c r="CF183" s="14">
        <v>178</v>
      </c>
      <c r="CG183" s="51">
        <f t="shared" si="221"/>
        <v>12706</v>
      </c>
      <c r="CH183" s="51">
        <f t="shared" si="222"/>
        <v>1001</v>
      </c>
      <c r="CI183" s="51">
        <f>INT(SUMPRODUCT($N183:$R183,$BA183:$BE183)/SUM($BA183:$BE183)/10000*$BX$7*$BZ$34/'疲劳值&amp;地图信息'!$R$10*$BY$53)</f>
        <v>3169</v>
      </c>
      <c r="CJ183" s="50">
        <f t="shared" si="223"/>
        <v>0.75290353164256929</v>
      </c>
      <c r="CK183" s="50">
        <f t="shared" si="224"/>
        <v>5.9315003555344865E-2</v>
      </c>
      <c r="CL183" s="50">
        <f t="shared" si="225"/>
        <v>0.1877814648020858</v>
      </c>
      <c r="CM183" s="14">
        <f t="shared" si="226"/>
        <v>13533</v>
      </c>
      <c r="CN183" s="14">
        <f t="shared" si="227"/>
        <v>1644</v>
      </c>
      <c r="CO183" s="14">
        <f>INT(SUMPRODUCT($U183:$Y183,$BA183:$BE183)/SUM($BA183:$BE183)/10000*$BX$7*$BZ$34/'疲劳值&amp;地图信息'!$R$10*$BY$54)</f>
        <v>5957</v>
      </c>
      <c r="CP183" s="50">
        <f t="shared" si="228"/>
        <v>0.64034257594397648</v>
      </c>
      <c r="CQ183" s="50">
        <f t="shared" si="229"/>
        <v>7.7789344184726036E-2</v>
      </c>
      <c r="CR183" s="50">
        <f t="shared" si="230"/>
        <v>0.28186807987129742</v>
      </c>
      <c r="CS183" s="14">
        <f t="shared" si="231"/>
        <v>14368</v>
      </c>
      <c r="CT183" s="14">
        <f t="shared" si="232"/>
        <v>2857</v>
      </c>
      <c r="CU183" s="14">
        <f>INT(SUMPRODUCT($AB183:$AF183,$BA183:$BE183)/SUM($BA183:$BE183)/10000*$BX$7*$BZ$34/'疲劳值&amp;地图信息'!$R$10*$BY$55)</f>
        <v>8092</v>
      </c>
      <c r="CV183" s="50">
        <f t="shared" si="233"/>
        <v>0.56752379823833787</v>
      </c>
      <c r="CW183" s="50">
        <f t="shared" si="234"/>
        <v>0.11284907374491449</v>
      </c>
      <c r="CX183" s="50">
        <f t="shared" si="235"/>
        <v>0.31962712801674764</v>
      </c>
      <c r="CY183" s="14">
        <f t="shared" si="236"/>
        <v>17136</v>
      </c>
      <c r="CZ183" s="14">
        <f t="shared" si="237"/>
        <v>8235</v>
      </c>
      <c r="DA183" s="14">
        <f>INT(SUMPRODUCT($AI183:$AM183,$BA183:$BE183)/SUM($BA183:$BE183)/10000*$BX$7*$BZ$34/'疲劳值&amp;地图信息'!$R$10*$BY$56)</f>
        <v>12207</v>
      </c>
      <c r="DB183" s="50">
        <f t="shared" si="238"/>
        <v>0.45601149608813668</v>
      </c>
      <c r="DC183" s="50">
        <f t="shared" si="239"/>
        <v>0.21914418010538081</v>
      </c>
      <c r="DD183" s="50">
        <f t="shared" si="240"/>
        <v>0.32484432380648254</v>
      </c>
      <c r="DE183" s="14">
        <f t="shared" si="241"/>
        <v>17576</v>
      </c>
      <c r="DF183" s="14">
        <f t="shared" si="242"/>
        <v>14285</v>
      </c>
      <c r="DG183" s="14">
        <f>INT(SUMPRODUCT($AP183:$AT183,$BA183:$BE183)/SUM($BA183:$BE183)/10000*$BX$7*$BZ$34/'疲劳值&amp;地图信息'!$R$10*$BY$57)</f>
        <v>16300</v>
      </c>
      <c r="DH183" s="50">
        <f t="shared" si="243"/>
        <v>0.36494258840140364</v>
      </c>
      <c r="DI183" s="50">
        <f t="shared" si="244"/>
        <v>0.29660928967421774</v>
      </c>
      <c r="DJ183" s="50">
        <f t="shared" si="245"/>
        <v>0.33844812192437862</v>
      </c>
      <c r="DL183" s="14">
        <f t="shared" si="316"/>
        <v>16876</v>
      </c>
      <c r="DM183" s="14">
        <f t="shared" si="317"/>
        <v>21134</v>
      </c>
      <c r="DN183" s="14">
        <f t="shared" si="318"/>
        <v>25317</v>
      </c>
      <c r="DO183" s="14">
        <f t="shared" si="319"/>
        <v>37578</v>
      </c>
      <c r="DP183" s="14">
        <f t="shared" si="320"/>
        <v>48161</v>
      </c>
      <c r="DQ183" s="14">
        <f t="shared" si="321"/>
        <v>1165192</v>
      </c>
      <c r="DT183" s="14">
        <f t="shared" si="315"/>
        <v>235575</v>
      </c>
      <c r="DU183" s="50">
        <f t="shared" si="217"/>
        <v>0.16817572087292176</v>
      </c>
      <c r="DW183" s="14">
        <f t="shared" si="246"/>
        <v>1400767</v>
      </c>
      <c r="EB183" s="14">
        <v>178</v>
      </c>
      <c r="EC183" s="51">
        <f t="shared" si="247"/>
        <v>21177</v>
      </c>
      <c r="ED183" s="51">
        <f t="shared" si="248"/>
        <v>1669</v>
      </c>
      <c r="EE183" s="51">
        <f>INT(SUMPRODUCT($N183:$R183,$BF183:$BJ183)/SUM($BF183:$BJ183)/10000*$BX$7*$BZ$46/'疲劳值&amp;地图信息'!$R$10*$BY$53)</f>
        <v>425</v>
      </c>
      <c r="EF183" s="50">
        <f t="shared" si="249"/>
        <v>0.91001675905633617</v>
      </c>
      <c r="EG183" s="50">
        <f t="shared" si="250"/>
        <v>7.1720166731124579E-2</v>
      </c>
      <c r="EH183" s="50">
        <f t="shared" si="251"/>
        <v>1.8263074212539213E-2</v>
      </c>
      <c r="EI183" s="51">
        <f t="shared" si="252"/>
        <v>22555</v>
      </c>
      <c r="EJ183" s="51">
        <f t="shared" si="253"/>
        <v>2741</v>
      </c>
      <c r="EK183" s="14">
        <f>INT(SUMPRODUCT($U183:$Y183,$BF183:$BJ183)/SUM($BF183:$BJ183)/10000*$BX$7*$BZ$46/'疲劳值&amp;地图信息'!$R$10*$BY$54)</f>
        <v>799</v>
      </c>
      <c r="EL183" s="50">
        <f t="shared" si="254"/>
        <v>0.86434182793638625</v>
      </c>
      <c r="EM183" s="50">
        <f t="shared" si="255"/>
        <v>0.10503927955547039</v>
      </c>
      <c r="EN183" s="50">
        <f t="shared" si="256"/>
        <v>3.0618892508143321E-2</v>
      </c>
      <c r="EO183" s="51">
        <f t="shared" si="257"/>
        <v>23948</v>
      </c>
      <c r="EP183" s="51">
        <f t="shared" si="258"/>
        <v>4761</v>
      </c>
      <c r="EQ183" s="14">
        <f>INT(SUMPRODUCT($AB183:$AF183,$BF183:$BJ183)/SUM($BF183:$BJ183)/10000*$BX$7*$BZ$46/'疲劳值&amp;地图信息'!$R$10*$BY$55)</f>
        <v>1085</v>
      </c>
      <c r="ER183" s="50">
        <f t="shared" si="259"/>
        <v>0.80378599718064037</v>
      </c>
      <c r="ES183" s="50">
        <f t="shared" si="260"/>
        <v>0.15979727461905083</v>
      </c>
      <c r="ET183" s="50">
        <f t="shared" si="261"/>
        <v>3.6416728200308786E-2</v>
      </c>
      <c r="EU183" s="51">
        <f t="shared" si="262"/>
        <v>28561</v>
      </c>
      <c r="EV183" s="51">
        <f t="shared" si="263"/>
        <v>13725</v>
      </c>
      <c r="EW183" s="14">
        <f>INT(SUMPRODUCT($AI183:$AM183,$BF183:$BJ183)/SUM($BF183:$BJ183)/10000*$BX$7*$BZ$46/'疲劳值&amp;地图信息'!$R$10*$BY$56)</f>
        <v>1628</v>
      </c>
      <c r="EX183" s="50">
        <f t="shared" si="264"/>
        <v>0.6503848431024275</v>
      </c>
      <c r="EY183" s="50">
        <f t="shared" si="265"/>
        <v>0.31254269708976634</v>
      </c>
      <c r="EZ183" s="50">
        <f t="shared" si="266"/>
        <v>3.7072459807806164E-2</v>
      </c>
      <c r="FA183" s="51">
        <f t="shared" si="267"/>
        <v>29294</v>
      </c>
      <c r="FB183" s="51">
        <f t="shared" si="268"/>
        <v>23809</v>
      </c>
      <c r="FC183" s="14">
        <f>INT(SUMPRODUCT($AP183:$AT183,$BF183:$BJ183)/SUM($BF183:$BJ183)/10000*$BX$7*$BZ$46/'疲劳值&amp;地图信息'!$R$10*$BY$57)</f>
        <v>2170</v>
      </c>
      <c r="FD183" s="50">
        <f t="shared" si="269"/>
        <v>0.52998751650896458</v>
      </c>
      <c r="FE183" s="50">
        <f t="shared" si="270"/>
        <v>0.43075280878548294</v>
      </c>
      <c r="FF183" s="50">
        <f t="shared" si="271"/>
        <v>3.9259674705552437E-2</v>
      </c>
      <c r="FH183" s="14">
        <f t="shared" si="272"/>
        <v>23271</v>
      </c>
      <c r="FI183" s="14">
        <f t="shared" si="273"/>
        <v>26095</v>
      </c>
      <c r="FJ183" s="14">
        <f t="shared" si="274"/>
        <v>29794</v>
      </c>
      <c r="FK183" s="14">
        <f t="shared" si="275"/>
        <v>43914</v>
      </c>
      <c r="FL183" s="14">
        <f t="shared" si="276"/>
        <v>55273</v>
      </c>
      <c r="FM183" s="14">
        <f t="shared" si="277"/>
        <v>2712904</v>
      </c>
      <c r="FP183" s="14">
        <f t="shared" si="278"/>
        <v>334150</v>
      </c>
      <c r="FQ183" s="50">
        <f t="shared" si="218"/>
        <v>0.10966330101140315</v>
      </c>
      <c r="FS183" s="14">
        <f t="shared" si="279"/>
        <v>3047054</v>
      </c>
      <c r="FX183" s="14">
        <v>178</v>
      </c>
      <c r="FY183" s="51">
        <f t="shared" si="280"/>
        <v>29648</v>
      </c>
      <c r="FZ183" s="51">
        <f t="shared" si="281"/>
        <v>1669</v>
      </c>
      <c r="GA183" s="51">
        <f>INT(SUMPRODUCT($N183:$R183,$BF183:$BJ183)/SUM($BF183:$BJ183)/10000*$BX$7*$BZ$46/'疲劳值&amp;地图信息'!$R$10*$BY$53)</f>
        <v>425</v>
      </c>
      <c r="GB183" s="50">
        <f t="shared" si="282"/>
        <v>0.9340306218889799</v>
      </c>
      <c r="GC183" s="50">
        <f t="shared" si="283"/>
        <v>5.2580177682565683E-2</v>
      </c>
      <c r="GD183" s="50">
        <f t="shared" si="284"/>
        <v>1.3389200428454413E-2</v>
      </c>
      <c r="GE183" s="51">
        <f t="shared" si="285"/>
        <v>31577</v>
      </c>
      <c r="GF183" s="51">
        <f t="shared" si="286"/>
        <v>2741</v>
      </c>
      <c r="GG183" s="14">
        <f>INT(SUMPRODUCT($U183:$Y183,$BF183:$BJ183)/SUM($BF183:$BJ183)/10000*$BX$7*$BZ$46/'疲劳值&amp;地图信息'!$R$10*$BY$54)</f>
        <v>799</v>
      </c>
      <c r="GH183" s="50">
        <f t="shared" si="287"/>
        <v>0.89919412250476982</v>
      </c>
      <c r="GI183" s="50">
        <f t="shared" si="288"/>
        <v>7.8053364467351991E-2</v>
      </c>
      <c r="GJ183" s="50">
        <f t="shared" si="289"/>
        <v>2.2752513027878236E-2</v>
      </c>
      <c r="GK183" s="51">
        <f t="shared" si="290"/>
        <v>33527</v>
      </c>
      <c r="GL183" s="51">
        <f t="shared" si="291"/>
        <v>4761</v>
      </c>
      <c r="GM183" s="14">
        <f>INT(SUMPRODUCT($AB183:$AF183,$BF183:$BJ183)/SUM($BF183:$BJ183)/10000*$BX$7*$BZ$46/'疲劳值&amp;地图信息'!$R$10*$BY$55)</f>
        <v>1085</v>
      </c>
      <c r="GN183" s="50">
        <f t="shared" si="292"/>
        <v>0.85152261702181697</v>
      </c>
      <c r="GO183" s="50">
        <f t="shared" si="293"/>
        <v>0.12092042770426434</v>
      </c>
      <c r="GP183" s="50">
        <f t="shared" si="294"/>
        <v>2.7556955273918677E-2</v>
      </c>
      <c r="GQ183" s="51">
        <f t="shared" si="295"/>
        <v>39986</v>
      </c>
      <c r="GR183" s="51">
        <f t="shared" si="296"/>
        <v>13725</v>
      </c>
      <c r="GS183" s="14">
        <f>INT(SUMPRODUCT($AI183:$AM183,$BF183:$BJ183)/SUM($BF183:$BJ183)/10000*$BX$7*$BZ$46/'疲劳值&amp;地图信息'!$R$10*$BY$56)</f>
        <v>1628</v>
      </c>
      <c r="GT183" s="50">
        <f t="shared" si="297"/>
        <v>0.72256455664178965</v>
      </c>
      <c r="GU183" s="50">
        <f t="shared" si="298"/>
        <v>0.24801676936699255</v>
      </c>
      <c r="GV183" s="50">
        <f t="shared" si="299"/>
        <v>2.9418673991217767E-2</v>
      </c>
      <c r="GW183" s="51">
        <f t="shared" si="300"/>
        <v>41012</v>
      </c>
      <c r="GX183" s="51">
        <f t="shared" si="301"/>
        <v>23809</v>
      </c>
      <c r="GY183" s="14">
        <f>INT(SUMPRODUCT($AP183:$AT183,$BF183:$BJ183)/SUM($BF183:$BJ183)/10000*$BX$7*$BZ$46/'疲劳值&amp;地图信息'!$R$10*$BY$57)</f>
        <v>2170</v>
      </c>
      <c r="GZ183" s="50">
        <f t="shared" si="302"/>
        <v>0.61220163902613789</v>
      </c>
      <c r="HA183" s="50">
        <f t="shared" si="303"/>
        <v>0.35540595005299219</v>
      </c>
      <c r="HB183" s="50">
        <f t="shared" si="304"/>
        <v>3.2392410920869967E-2</v>
      </c>
      <c r="HD183" s="14">
        <f t="shared" si="305"/>
        <v>31742</v>
      </c>
      <c r="HE183" s="14">
        <f t="shared" si="306"/>
        <v>35117</v>
      </c>
      <c r="HF183" s="14">
        <f t="shared" si="307"/>
        <v>39373</v>
      </c>
      <c r="HG183" s="14">
        <f t="shared" si="308"/>
        <v>55339</v>
      </c>
      <c r="HH183" s="14">
        <f t="shared" si="309"/>
        <v>66991</v>
      </c>
      <c r="HI183" s="14">
        <f t="shared" si="310"/>
        <v>3646522</v>
      </c>
      <c r="HL183" s="14">
        <f t="shared" si="311"/>
        <v>430050</v>
      </c>
      <c r="HM183" s="50">
        <f t="shared" si="219"/>
        <v>0.10549304660876835</v>
      </c>
      <c r="HO183" s="14">
        <f t="shared" si="312"/>
        <v>4076572</v>
      </c>
    </row>
    <row r="184" spans="11:223" x14ac:dyDescent="0.2">
      <c r="K184" s="14">
        <v>179</v>
      </c>
      <c r="L184" s="12">
        <f>求节点(节奏总纲!D$4:D$163,标准城池设计!AB$4:AB$163,$K184)*求节点(节奏总纲!D$4:D$163,攻城基础信息!$AC$5:$AC$164,$K184)</f>
        <v>625240.37070943974</v>
      </c>
      <c r="M184" s="12">
        <f>INDEX(其他调用!$AA$5:$AA$404,MATCH(K184,其他调用!$X$5:$X$404,0))*MIN(INDEX(其他调用!$AH$5:$AH$364,MATCH('征服点（新）'!K184,其他调用!$AG$5:$AG$364,0),1)/INDEX(其他调用!$AJ$5:$AJ$364,MATCH(K184,其他调用!$AG$5:$AG$364,0),0),5)*求节点(节奏总纲!D$4:D$163,攻城基础信息!$AC$5:$AC$164,$K184)</f>
        <v>49241.327534855343</v>
      </c>
      <c r="N184" s="12">
        <f>MIN(INDEX(其他调用!$AH$5:$AH$364,MATCH($K184,其他调用!$AG$5:$AG$364,0),1)/INDEX(其他调用!AH$5:AH$364,MATCH($K184,其他调用!$AG$5:$AG$364,0),0),1)*INDEX(其他调用!Y$5:Y$404,MATCH($K184,其他调用!$X$5:$X$404,0),0)</f>
        <v>39501.313403586122</v>
      </c>
      <c r="O184" s="12">
        <f>MIN(INDEX(其他调用!$AH$5:$AH$364,MATCH($K184,其他调用!$AG$5:$AG$364,0),1)/INDEX(其他调用!AI$5:AI$364,MATCH($K184,其他调用!$AG$5:$AG$364,0),0),1)*INDEX(其他调用!Z$5:Z$404,MATCH($K184,其他调用!$X$5:$X$404,0),0)</f>
        <v>24757.252635730296</v>
      </c>
      <c r="P184" s="12">
        <f>MIN(INDEX(其他调用!$AH$5:$AH$364,MATCH($K184,其他调用!$AG$5:$AG$364,0),1)/INDEX(其他调用!AJ$5:AJ$364,MATCH($K184,其他调用!$AG$5:$AG$364,0),0),1)*INDEX(其他调用!AA$5:AA$404,MATCH($K184,其他调用!$X$5:$X$404,0),0)</f>
        <v>14784.830456162344</v>
      </c>
      <c r="Q184" s="12">
        <f>MIN(INDEX(其他调用!$AH$5:$AH$364,MATCH($K184,其他调用!$AG$5:$AG$364,0),1)/INDEX(其他调用!AK$5:AK$364,MATCH($K184,其他调用!$AG$5:$AG$364,0),0),1)*INDEX(其他调用!AB$5:AB$404,MATCH($K184,其他调用!$X$5:$X$404,0),0)</f>
        <v>5397.3085960936887</v>
      </c>
      <c r="R184" s="12">
        <f>MIN(INDEX(其他调用!$AH$5:$AH$364,MATCH($K184,其他调用!$AG$5:$AG$364,0),1)/INDEX(其他调用!AL$5:AL$364,MATCH($K184,其他调用!$AG$5:$AG$364,0),0),1)*INDEX(其他调用!AC$5:AC$404,MATCH($K184,其他调用!$X$5:$X$404,0),0)</f>
        <v>2199.040751739783</v>
      </c>
      <c r="S184" s="12">
        <f>求节点(节奏总纲!D$4:D$163,标准城池设计!AC$4:AC$163,$K184)*求节点(节奏总纲!D$4:D$163,攻城基础信息!$AD$5:$AD$164,$K184)</f>
        <v>665689.37385459617</v>
      </c>
      <c r="T184" s="12">
        <f>INDEX(其他调用!$AA$5:$AA$404,MATCH($K184,其他调用!$X$5:$X$404,0))*MIN(INDEX(其他调用!AI$5:AI$364,MATCH($K184,其他调用!$AG$5:$AG$364,0),1)/INDEX(其他调用!$AJ$5:$AJ$364,MATCH($K184,其他调用!$AG$5:$AG$364,0),0),5)*求节点(节奏总纲!D$4:D$163,攻城基础信息!$AD$5:$AD$164,$K184)</f>
        <v>80839.561013313461</v>
      </c>
      <c r="U184" s="12">
        <f>MIN(INDEX(其他调用!$AI$5:$AI$364,MATCH($K184,其他调用!$AG$5:$AG$364,0),1)/INDEX(其他调用!AH$5:AH$364,MATCH($K184,其他调用!$AG$5:$AG$364,0),0),1)*INDEX(其他调用!Y$5:Y$404,MATCH($K184,其他调用!$X$5:$X$404,0),0)</f>
        <v>39501.313403586122</v>
      </c>
      <c r="V184" s="12">
        <f>MIN(INDEX(其他调用!$AI$5:$AI$364,MATCH($K184,其他调用!$AG$5:$AG$364,0),1)/INDEX(其他调用!AI$5:AI$364,MATCH($K184,其他调用!$AG$5:$AG$364,0),0),1)*INDEX(其他调用!Z$5:Z$404,MATCH($K184,其他调用!$X$5:$X$404,0),0)</f>
        <v>40644.018655903899</v>
      </c>
      <c r="W184" s="12">
        <f>MIN(INDEX(其他调用!$AI$5:$AI$364,MATCH($K184,其他调用!$AG$5:$AG$364,0),1)/INDEX(其他调用!AJ$5:AJ$364,MATCH($K184,其他调用!$AG$5:$AG$364,0),0),1)*INDEX(其他调用!AA$5:AA$404,MATCH($K184,其他调用!$X$5:$X$404,0),0)</f>
        <v>24272.278258266138</v>
      </c>
      <c r="X184" s="12">
        <f>MIN(INDEX(其他调用!$AI$5:$AI$364,MATCH($K184,其他调用!$AG$5:$AG$364,0),1)/INDEX(其他调用!AK$5:AK$364,MATCH($K184,其他调用!$AG$5:$AG$364,0),0),1)*INDEX(其他调用!AB$5:AB$404,MATCH($K184,其他调用!$X$5:$X$404,0),0)</f>
        <v>8860.7695893810305</v>
      </c>
      <c r="Y184" s="12">
        <f>MIN(INDEX(其他调用!$AI$5:$AI$364,MATCH($K184,其他调用!$AG$5:$AG$364,0),1)/INDEX(其他调用!AL$5:AL$364,MATCH($K184,其他调用!$AG$5:$AG$364,0),0),1)*INDEX(其他调用!AC$5:AC$404,MATCH($K184,其他调用!$X$5:$X$404,0),0)</f>
        <v>3610.1684889627973</v>
      </c>
      <c r="Z184" s="12">
        <f>求节点(节奏总纲!D$4:D$163,标准城池设计!AD$4:AD$163,$K184)*求节点(节奏总纲!D$4:D$163,攻城基础信息!$AE$5:$AE$164,$K184)</f>
        <v>706757.47261351475</v>
      </c>
      <c r="AA184" s="12">
        <f>INDEX(其他调用!$AA$5:$AA$404,MATCH($K184,其他调用!$X$5:$X$404,0))*MIN(INDEX(其他调用!AJ$5:AJ$364,MATCH($K184,其他调用!$AG$5:$AG$364,0),1)/INDEX(其他调用!$AJ$5:$AJ$364,MATCH($K184,其他调用!$AG$5:$AG$364,0),0),5)*求节点(节奏总纲!D$4:D$163,攻城基础信息!$AE$5:$AE$164,$K184)</f>
        <v>140407.18955866795</v>
      </c>
      <c r="AB184" s="12">
        <f>MIN(INDEX(其他调用!$AJ$5:$AJ$364,MATCH($K184,其他调用!$AG$5:$AG$364,0),1)/INDEX(其他调用!AH$5:AH$364,MATCH($K184,其他调用!$AG$5:$AG$364,0),0),1)*INDEX(其他调用!Y$5:Y$404,MATCH($K184,其他调用!$X$5:$X$404,0),0)</f>
        <v>39501.313403586122</v>
      </c>
      <c r="AC184" s="12">
        <f>MIN(INDEX(其他调用!$AJ$5:$AJ$364,MATCH($K184,其他调用!$AG$5:$AG$364,0),1)/INDEX(其他调用!AI$5:AI$364,MATCH($K184,其他调用!$AG$5:$AG$364,0),0),1)*INDEX(其他调用!Z$5:Z$404,MATCH($K184,其他调用!$X$5:$X$404,0),0)</f>
        <v>40644.018655903899</v>
      </c>
      <c r="AD184" s="12">
        <f>MIN(INDEX(其他调用!$AJ$5:$AJ$364,MATCH($K184,其他调用!$AG$5:$AG$364,0),1)/INDEX(其他调用!AJ$5:AJ$364,MATCH($K184,其他调用!$AG$5:$AG$364,0),0),1)*INDEX(其他调用!AA$5:AA$404,MATCH($K184,其他调用!$X$5:$X$404,0),0)</f>
        <v>42157.606148650957</v>
      </c>
      <c r="AE184" s="12">
        <f>MIN(INDEX(其他调用!$AJ$5:$AJ$364,MATCH($K184,其他调用!$AG$5:$AG$364,0),1)/INDEX(其他调用!AK$5:AK$364,MATCH($K184,其他调用!$AG$5:$AG$364,0),0),1)*INDEX(其他调用!AB$5:AB$404,MATCH($K184,其他调用!$X$5:$X$404,0),0)</f>
        <v>15389.93705281266</v>
      </c>
      <c r="AF184" s="12">
        <f>MIN(INDEX(其他调用!$AJ$5:$AJ$364,MATCH($K184,其他调用!$AG$5:$AG$364,0),1)/INDEX(其他调用!AL$5:AL$364,MATCH($K184,其他调用!$AG$5:$AG$364,0),0),1)*INDEX(其他调用!AC$5:AC$404,MATCH($K184,其他调用!$X$5:$X$404,0),0)</f>
        <v>6270.3657097426467</v>
      </c>
      <c r="AG184" s="12">
        <f>求节点(节奏总纲!D$4:D$163,标准城池设计!AE$4:AE$163,$K184)*求节点(节奏总纲!D$4:D$163,攻城基础信息!$AF$5:$AF$164,$K184)</f>
        <v>843730.42876631569</v>
      </c>
      <c r="AH184" s="12">
        <f>INDEX(其他调用!$AA$5:$AA$404,MATCH($K184,其他调用!$X$5:$X$404,0))*MIN(INDEX(其他调用!AK$5:AK$364,MATCH($K184,其他调用!$AG$5:$AG$364,0),1)/INDEX(其他调用!$AJ$5:$AJ$364,MATCH($K184,其他调用!$AG$5:$AG$364,0),0),5)*求节点(节奏总纲!D$4:D$163,攻城基础信息!$AF$5:$AF$164,$K184)</f>
        <v>404675.19514792901</v>
      </c>
      <c r="AI184" s="12">
        <f>MIN(INDEX(其他调用!$AK$5:$AK$364,MATCH($K184,其他调用!$AG$5:$AG$364,0),1)/INDEX(其他调用!AH$5:AH$364,MATCH($K184,其他调用!$AG$5:$AG$364,0),0),1)*INDEX(其他调用!Y$5:Y$404,MATCH($K184,其他调用!$X$5:$X$404,0),0)</f>
        <v>39501.313403586122</v>
      </c>
      <c r="AJ184" s="12">
        <f>MIN(INDEX(其他调用!$AK$5:$AK$364,MATCH($K184,其他调用!$AG$5:$AG$364,0),1)/INDEX(其他调用!AI$5:AI$364,MATCH($K184,其他调用!$AG$5:$AG$364,0),0),1)*INDEX(其他调用!Z$5:Z$404,MATCH($K184,其他调用!$X$5:$X$404,0),0)</f>
        <v>40644.018655903899</v>
      </c>
      <c r="AK184" s="12">
        <f>MIN(INDEX(其他调用!$AK$5:$AK$364,MATCH($K184,其他调用!$AG$5:$AG$364,0),1)/INDEX(其他调用!AJ$5:AJ$364,MATCH($K184,其他调用!$AG$5:$AG$364,0),0),1)*INDEX(其他调用!AA$5:AA$404,MATCH($K184,其他调用!$X$5:$X$404,0),0)</f>
        <v>42157.606148650957</v>
      </c>
      <c r="AL184" s="12">
        <f>MIN(INDEX(其他调用!$AK$5:$AK$364,MATCH($K184,其他调用!$AG$5:$AG$364,0),1)/INDEX(其他调用!AK$5:AK$364,MATCH($K184,其他调用!$AG$5:$AG$364,0),0),1)*INDEX(其他调用!AB$5:AB$404,MATCH($K184,其他调用!$X$5:$X$404,0),0)</f>
        <v>44356.174350737369</v>
      </c>
      <c r="AM184" s="12">
        <f>MIN(INDEX(其他调用!$AK$5:$AK$364,MATCH($K184,其他调用!$AG$5:$AG$364,0),1)/INDEX(其他调用!AL$5:AL$364,MATCH($K184,其他调用!$AG$5:$AG$364,0),0),1)*INDEX(其他调用!AC$5:AC$404,MATCH($K184,其他调用!$X$5:$X$404,0),0)</f>
        <v>18072.16193996057</v>
      </c>
      <c r="AN184" s="12">
        <f>求节点(节奏总纲!D$4:D$163,标准城池设计!AF$4:AF$163,$K184)*求节点(节奏总纲!D$4:D$163,攻城基础信息!$AG$5:$AG$164,$K184)</f>
        <v>865757.1755075343</v>
      </c>
      <c r="AO184" s="12">
        <f>INDEX(其他调用!$AA$5:$AA$404,MATCH($K184,其他调用!$X$5:$X$404,0))*MIN(INDEX(其他调用!AL$5:AL$364,MATCH($K184,其他调用!$AG$5:$AG$364,0),1)/INDEX(其他调用!$AJ$5:$AJ$364,MATCH($K184,其他调用!$AG$5:$AG$364,0),0),5)*求节点(节奏总纲!D$4:D$163,攻城基础信息!$AG$5:$AG$164,$K184)</f>
        <v>702035.94779333973</v>
      </c>
      <c r="AP184" s="12">
        <f>MIN(INDEX(其他调用!$AL$5:$AL$364,MATCH($K184,其他调用!$AG$5:$AG$364,0),1)/INDEX(其他调用!AH$5:AH$364,MATCH($K184,其他调用!$AG$5:$AG$364,0),0),1)*INDEX(其他调用!Y$5:Y$404,MATCH($K184,其他调用!$X$5:$X$404,0),0)</f>
        <v>39501.313403586122</v>
      </c>
      <c r="AQ184" s="12">
        <f>MIN(INDEX(其他调用!$AL$5:$AL$364,MATCH($K184,其他调用!$AG$5:$AG$364,0),1)/INDEX(其他调用!AI$5:AI$364,MATCH($K184,其他调用!$AG$5:$AG$364,0),0),1)*INDEX(其他调用!Z$5:Z$404,MATCH($K184,其他调用!$X$5:$X$404,0),0)</f>
        <v>40644.018655903899</v>
      </c>
      <c r="AR184" s="12">
        <f>MIN(INDEX(其他调用!$AL$5:$AL$364,MATCH($K184,其他调用!$AG$5:$AG$364,0),1)/INDEX(其他调用!AJ$5:AJ$364,MATCH($K184,其他调用!$AG$5:$AG$364,0),0),1)*INDEX(其他调用!AA$5:AA$404,MATCH($K184,其他调用!$X$5:$X$404,0),0)</f>
        <v>42157.606148650957</v>
      </c>
      <c r="AS184" s="12">
        <f>MIN(INDEX(其他调用!$AL$5:$AL$364,MATCH($K184,其他调用!$AG$5:$AG$364,0),1)/INDEX(其他调用!AK$5:AK$364,MATCH($K184,其他调用!$AG$5:$AG$364,0),0),1)*INDEX(其他调用!AB$5:AB$404,MATCH($K184,其他调用!$X$5:$X$404,0),0)</f>
        <v>44356.174350737369</v>
      </c>
      <c r="AT184" s="12">
        <f>MIN(INDEX(其他调用!$AL$5:$AL$364,MATCH($K184,其他调用!$AG$5:$AG$364,0),1)/INDEX(其他调用!AL$5:AL$364,MATCH($K184,其他调用!$AG$5:$AG$364,0),0),1)*INDEX(其他调用!AC$5:AC$404,MATCH($K184,其他调用!$X$5:$X$404,0),0)</f>
        <v>48316.697503221236</v>
      </c>
      <c r="AV184" s="14">
        <f>IF(OR(AV$5="大R",AV$5="超R"),MAX(INDEX(其他调用!$H$5:$L$404,MATCH($K184,其他调用!$B$5:$B$404,0),MATCH(AV$5,其他调用!$H$4:$L$4,0))*120*0.85,2),INDEX(其他调用!$H$5:$L$404,MATCH($K184,其他调用!$B$5:$B$404,0),MATCH(AV$5,其他调用!$H$4:$L$4,0))*120*0.85)</f>
        <v>48.921801254999991</v>
      </c>
      <c r="AW184" s="14">
        <f>IF(OR(AW$5="大R",AW$5="超R"),MAX(INDEX(其他调用!$H$5:$L$404,MATCH($K184,其他调用!$B$5:$B$404,0),MATCH(AW$5,其他调用!$H$4:$L$4,0))*120*0.85,2),INDEX(其他调用!$H$5:$L$404,MATCH($K184,其他调用!$B$5:$B$404,0),MATCH(AW$5,其他调用!$H$4:$L$4,0))*120*0.85)</f>
        <v>48.237344010638395</v>
      </c>
      <c r="AX184" s="14">
        <f>IF(OR(AX$5="大R",AX$5="超R"),MAX(INDEX(其他调用!$H$5:$L$404,MATCH($K184,其他调用!$B$5:$B$404,0),MATCH(AX$5,其他调用!$H$4:$L$4,0))*120*0.85,2),INDEX(其他调用!$H$5:$L$404,MATCH($K184,其他调用!$B$5:$B$404,0),MATCH(AX$5,其他调用!$H$4:$L$4,0))*120*0.85)</f>
        <v>3.9376284143615998</v>
      </c>
      <c r="AY184" s="14">
        <f>IF(OR(AY$5="大R",AY$5="超R"),MAX(INDEX(其他调用!$H$5:$L$404,MATCH($K184,其他调用!$B$5:$B$404,0),MATCH(AY$5,其他调用!$H$4:$L$4,0))*120*0.85,2),INDEX(其他调用!$H$5:$L$404,MATCH($K184,其他调用!$B$5:$B$404,0),MATCH(AY$5,其他调用!$H$4:$L$4,0))*120*0.85)</f>
        <v>2</v>
      </c>
      <c r="AZ184" s="14">
        <f>IF(OR(AZ$5="大R",AZ$5="超R"),MAX(INDEX(其他调用!$H$5:$L$404,MATCH($K184,其他调用!$B$5:$B$404,0),MATCH(AZ$5,其他调用!$H$4:$L$4,0))*120*0.85,2),INDEX(其他调用!$H$5:$L$404,MATCH($K184,其他调用!$B$5:$B$404,0),MATCH(AZ$5,其他调用!$H$4:$L$4,0))*120*0.85)</f>
        <v>2</v>
      </c>
      <c r="BA184" s="14">
        <f>INDEX(其他调用!$H$5:$L$404,MATCH($K184,其他调用!$B$5:$B$404,0),MATCH(BA$5,其他调用!$H$4:$L$4,0))*INDEX(其他调用!$M$5:$M$404,MATCH($K184,其他调用!$B$5:$B$404,0))*0.6</f>
        <v>28.777530149999997</v>
      </c>
      <c r="BB184" s="14">
        <f>INDEX(其他调用!$H$5:$L$404,MATCH($K184,其他调用!$B$5:$B$404,0),MATCH(BB$5,其他调用!$H$4:$L$4,0))*INDEX(其他调用!$M$5:$M$404,MATCH($K184,其他调用!$B$5:$B$404,0))*0.6</f>
        <v>28.374908241551999</v>
      </c>
      <c r="BC184" s="14">
        <f>INDEX(其他调用!$H$5:$L$404,MATCH($K184,其他调用!$B$5:$B$404,0),MATCH(BC$5,其他调用!$H$4:$L$4,0))*INDEX(其他调用!$M$5:$M$404,MATCH($K184,其他调用!$B$5:$B$404,0))*0.6</f>
        <v>2.3162520084480001</v>
      </c>
      <c r="BD184" s="14">
        <f>INDEX(其他调用!$H$5:$L$404,MATCH($K184,其他调用!$B$5:$B$404,0),MATCH(BD$5,其他调用!$H$4:$L$4,0))*INDEX(其他调用!$M$5:$M$404,MATCH($K184,其他调用!$B$5:$B$404,0))*0.6</f>
        <v>0.4120776000000001</v>
      </c>
      <c r="BE184" s="14">
        <f>INDEX(其他调用!$H$5:$L$404,MATCH($K184,其他调用!$B$5:$B$404,0),MATCH(BE$5,其他调用!$H$4:$L$4,0))*INDEX(其他调用!$M$5:$M$404,MATCH($K184,其他调用!$B$5:$B$404,0))*0.6</f>
        <v>0.11923199999999998</v>
      </c>
      <c r="BF184" s="14">
        <f>IF(OR(BF$5="大R",BF$5="超R"),0,INDEX(其他调用!$H$5:$L$404,MATCH($K184,其他调用!$B$5:$B$404,0),MATCH(BF$5,其他调用!$H$4:$L$4,0))*50*0.4)</f>
        <v>9.5925100500000013</v>
      </c>
      <c r="BG184" s="14">
        <f>IF(OR(BG$5="大R",BG$5="超R"),0,INDEX(其他调用!$H$5:$L$404,MATCH($K184,其他调用!$B$5:$B$404,0),MATCH(BG$5,其他调用!$H$4:$L$4,0))*50*0.4)</f>
        <v>9.4583027471839998</v>
      </c>
      <c r="BH184" s="14">
        <f>IF(OR(BH$5="大R",BH$5="超R"),0,INDEX(其他调用!$H$5:$L$404,MATCH($K184,其他调用!$B$5:$B$404,0),MATCH(BH$5,其他调用!$H$4:$L$4,0))*50*0.4)</f>
        <v>0.77208400281600009</v>
      </c>
      <c r="BI184" s="14">
        <f>IF(OR(BI$5="大R",BI$5="超R"),0,INDEX(其他调用!$H$5:$L$404,MATCH($K184,其他调用!$B$5:$B$404,0),MATCH(BI$5,其他调用!$H$4:$L$4,0))*50*0.4)</f>
        <v>0</v>
      </c>
      <c r="BJ184" s="14">
        <f>IF(OR(BJ$5="大R",BJ$5="超R"),0,INDEX(其他调用!$H$5:$L$404,MATCH($K184,其他调用!$B$5:$B$404,0),MATCH(BJ$5,其他调用!$H$4:$L$4,0))*50*0.4)</f>
        <v>0</v>
      </c>
      <c r="BL184" s="14">
        <f t="shared" si="313"/>
        <v>179</v>
      </c>
      <c r="BM184" s="14">
        <f t="shared" si="220"/>
        <v>96</v>
      </c>
      <c r="BN184" s="14">
        <f>('疲劳值&amp;地图信息'!$S$10*'疲劳值&amp;地图信息'!$R$10+'疲劳值&amp;地图信息'!$S$11*'疲劳值&amp;地图信息'!$R$11+'疲劳值&amp;地图信息'!$S$12*'疲劳值&amp;地图信息'!$R$12+(BM184-'疲劳值&amp;地图信息'!$S$12-'疲劳值&amp;地图信息'!$S$11-'疲劳值&amp;地图信息'!$S$10)*'疲劳值&amp;地图信息'!$R$13)/BM184</f>
        <v>51.371477246638619</v>
      </c>
      <c r="BO184" s="14">
        <f>INDEX(其他调用!$M$5:$M$404,MATCH(BL184,其他调用!$B$5:$B$404,0))*0.6</f>
        <v>60</v>
      </c>
      <c r="BP184" s="14">
        <f>IF(BO184&gt;SUM('疲劳值&amp;地图信息'!$S$10:$S$12),('疲劳值&amp;地图信息'!$S$10*'疲劳值&amp;地图信息'!$R$10+'疲劳值&amp;地图信息'!$S$11*'疲劳值&amp;地图信息'!$R$11+'疲劳值&amp;地图信息'!$S$12*'疲劳值&amp;地图信息'!$R$12+(BO184-'疲劳值&amp;地图信息'!$S$12-'疲劳值&amp;地图信息'!$S$11-'疲劳值&amp;地图信息'!$S$10)*'疲劳值&amp;地图信息'!$R$13)/BO184,('疲劳值&amp;地图信息'!$S$10*'疲劳值&amp;地图信息'!$R$10+'疲劳值&amp;地图信息'!$S$11*'疲劳值&amp;地图信息'!$R$11+'疲劳值&amp;地图信息'!$S$12*'疲劳值&amp;地图信息'!$R$12+(BO184-'疲劳值&amp;地图信息'!$S$12-'疲劳值&amp;地图信息'!$S$11-'疲劳值&amp;地图信息'!$S$10)*'疲劳值&amp;地图信息'!$R$13)/BO184)</f>
        <v>44.158136341605953</v>
      </c>
      <c r="BQ184" s="14">
        <f t="shared" si="314"/>
        <v>20</v>
      </c>
      <c r="BR184" s="14">
        <f>('疲劳值&amp;地图信息'!$S$10*'疲劳值&amp;地图信息'!$R$10+($BQ184-'疲劳值&amp;地图信息'!$S$10)*'疲劳值&amp;地图信息'!$R$11)/$BQ184</f>
        <v>32.067203015074995</v>
      </c>
      <c r="CF184" s="14">
        <v>179</v>
      </c>
      <c r="CG184" s="51">
        <f t="shared" si="221"/>
        <v>12743</v>
      </c>
      <c r="CH184" s="51">
        <f t="shared" si="222"/>
        <v>1003</v>
      </c>
      <c r="CI184" s="51">
        <f>INT(SUMPRODUCT($N184:$R184,$BA184:$BE184)/SUM($BA184:$BE184)/10000*$BX$7*$BZ$34/'疲劳值&amp;地图信息'!$R$10*$BY$53)</f>
        <v>3172</v>
      </c>
      <c r="CJ184" s="50">
        <f t="shared" si="223"/>
        <v>0.75322142097174605</v>
      </c>
      <c r="CK184" s="50">
        <f t="shared" si="224"/>
        <v>5.9285967608464357E-2</v>
      </c>
      <c r="CL184" s="50">
        <f t="shared" si="225"/>
        <v>0.18749261141978957</v>
      </c>
      <c r="CM184" s="14">
        <f t="shared" si="226"/>
        <v>13567</v>
      </c>
      <c r="CN184" s="14">
        <f t="shared" si="227"/>
        <v>1647</v>
      </c>
      <c r="CO184" s="14">
        <f>INT(SUMPRODUCT($U184:$Y184,$BA184:$BE184)/SUM($BA184:$BE184)/10000*$BX$7*$BZ$34/'疲劳值&amp;地图信息'!$R$10*$BY$54)</f>
        <v>5962</v>
      </c>
      <c r="CP184" s="50">
        <f t="shared" si="228"/>
        <v>0.64067812618058184</v>
      </c>
      <c r="CQ184" s="50">
        <f t="shared" si="229"/>
        <v>7.7776728371741599E-2</v>
      </c>
      <c r="CR184" s="50">
        <f t="shared" si="230"/>
        <v>0.28154514544767661</v>
      </c>
      <c r="CS184" s="14">
        <f t="shared" si="231"/>
        <v>14404</v>
      </c>
      <c r="CT184" s="14">
        <f t="shared" si="232"/>
        <v>2861</v>
      </c>
      <c r="CU184" s="14">
        <f>INT(SUMPRODUCT($AB184:$AF184,$BA184:$BE184)/SUM($BA184:$BE184)/10000*$BX$7*$BZ$34/'疲劳值&amp;地图信息'!$R$10*$BY$55)</f>
        <v>8099</v>
      </c>
      <c r="CV184" s="50">
        <f t="shared" si="233"/>
        <v>0.56789149976344422</v>
      </c>
      <c r="CW184" s="50">
        <f t="shared" si="234"/>
        <v>0.11279766598328339</v>
      </c>
      <c r="CX184" s="50">
        <f t="shared" si="235"/>
        <v>0.31931083425327234</v>
      </c>
      <c r="CY184" s="14">
        <f t="shared" si="236"/>
        <v>17196</v>
      </c>
      <c r="CZ184" s="14">
        <f t="shared" si="237"/>
        <v>8247</v>
      </c>
      <c r="DA184" s="14">
        <f>INT(SUMPRODUCT($AI184:$AM184,$BA184:$BE184)/SUM($BA184:$BE184)/10000*$BX$7*$BZ$34/'疲劳值&amp;地图信息'!$R$10*$BY$56)</f>
        <v>12217</v>
      </c>
      <c r="DB184" s="50">
        <f t="shared" si="238"/>
        <v>0.45661178969729155</v>
      </c>
      <c r="DC184" s="50">
        <f t="shared" si="239"/>
        <v>0.21898566117896973</v>
      </c>
      <c r="DD184" s="50">
        <f t="shared" si="240"/>
        <v>0.32440254912373873</v>
      </c>
      <c r="DE184" s="14">
        <f t="shared" si="241"/>
        <v>17645</v>
      </c>
      <c r="DF184" s="14">
        <f t="shared" si="242"/>
        <v>14308</v>
      </c>
      <c r="DG184" s="14">
        <f>INT(SUMPRODUCT($AP184:$AT184,$BA184:$BE184)/SUM($BA184:$BE184)/10000*$BX$7*$BZ$34/'疲劳值&amp;地图信息'!$R$10*$BY$57)</f>
        <v>16313</v>
      </c>
      <c r="DH184" s="50">
        <f t="shared" si="243"/>
        <v>0.36557825384328513</v>
      </c>
      <c r="DI184" s="50">
        <f t="shared" si="244"/>
        <v>0.29644055857125101</v>
      </c>
      <c r="DJ184" s="50">
        <f t="shared" si="245"/>
        <v>0.33798118758546386</v>
      </c>
      <c r="DL184" s="14">
        <f t="shared" si="316"/>
        <v>16918</v>
      </c>
      <c r="DM184" s="14">
        <f t="shared" si="317"/>
        <v>21176</v>
      </c>
      <c r="DN184" s="14">
        <f t="shared" si="318"/>
        <v>25364</v>
      </c>
      <c r="DO184" s="14">
        <f t="shared" si="319"/>
        <v>37660</v>
      </c>
      <c r="DP184" s="14">
        <f t="shared" si="320"/>
        <v>48266</v>
      </c>
      <c r="DQ184" s="14">
        <f t="shared" si="321"/>
        <v>1167748</v>
      </c>
      <c r="DT184" s="14">
        <f t="shared" si="315"/>
        <v>235575</v>
      </c>
      <c r="DU184" s="50">
        <f t="shared" si="217"/>
        <v>0.16786940711439918</v>
      </c>
      <c r="DW184" s="14">
        <f t="shared" si="246"/>
        <v>1403323</v>
      </c>
      <c r="EB184" s="14">
        <v>179</v>
      </c>
      <c r="EC184" s="51">
        <f t="shared" si="247"/>
        <v>21238</v>
      </c>
      <c r="ED184" s="51">
        <f t="shared" si="248"/>
        <v>1672</v>
      </c>
      <c r="EE184" s="51">
        <f>INT(SUMPRODUCT($N184:$R184,$BF184:$BJ184)/SUM($BF184:$BJ184)/10000*$BX$7*$BZ$46/'疲劳值&amp;地图信息'!$R$10*$BY$53)</f>
        <v>426</v>
      </c>
      <c r="EF184" s="50">
        <f t="shared" si="249"/>
        <v>0.91009598902982514</v>
      </c>
      <c r="EG184" s="50">
        <f t="shared" si="250"/>
        <v>7.1648954405210838E-2</v>
      </c>
      <c r="EH184" s="50">
        <f t="shared" si="251"/>
        <v>1.8255056564964005E-2</v>
      </c>
      <c r="EI184" s="51">
        <f t="shared" si="252"/>
        <v>22612</v>
      </c>
      <c r="EJ184" s="51">
        <f t="shared" si="253"/>
        <v>2746</v>
      </c>
      <c r="EK184" s="14">
        <f>INT(SUMPRODUCT($U184:$Y184,$BF184:$BJ184)/SUM($BF184:$BJ184)/10000*$BX$7*$BZ$46/'疲劳值&amp;地图信息'!$R$10*$BY$54)</f>
        <v>800</v>
      </c>
      <c r="EL184" s="50">
        <f t="shared" si="254"/>
        <v>0.8644391773071336</v>
      </c>
      <c r="EM184" s="50">
        <f t="shared" si="255"/>
        <v>0.1049774447587736</v>
      </c>
      <c r="EN184" s="50">
        <f t="shared" si="256"/>
        <v>3.0583377934092819E-2</v>
      </c>
      <c r="EO184" s="51">
        <f t="shared" si="257"/>
        <v>24007</v>
      </c>
      <c r="EP184" s="51">
        <f t="shared" si="258"/>
        <v>4769</v>
      </c>
      <c r="EQ184" s="14">
        <f>INT(SUMPRODUCT($AB184:$AF184,$BF184:$BJ184)/SUM($BF184:$BJ184)/10000*$BX$7*$BZ$46/'疲劳值&amp;地图信息'!$R$10*$BY$55)</f>
        <v>1086</v>
      </c>
      <c r="ER184" s="50">
        <f t="shared" si="259"/>
        <v>0.80393141785546851</v>
      </c>
      <c r="ES184" s="50">
        <f t="shared" si="260"/>
        <v>0.15970129261268501</v>
      </c>
      <c r="ET184" s="50">
        <f t="shared" si="261"/>
        <v>3.6367289531846494E-2</v>
      </c>
      <c r="EU184" s="51">
        <f t="shared" si="262"/>
        <v>28660</v>
      </c>
      <c r="EV184" s="51">
        <f t="shared" si="263"/>
        <v>13746</v>
      </c>
      <c r="EW184" s="14">
        <f>INT(SUMPRODUCT($AI184:$AM184,$BF184:$BJ184)/SUM($BF184:$BJ184)/10000*$BX$7*$BZ$46/'疲劳值&amp;地图信息'!$R$10*$BY$56)</f>
        <v>1629</v>
      </c>
      <c r="EX184" s="50">
        <f t="shared" si="264"/>
        <v>0.650845918019757</v>
      </c>
      <c r="EY184" s="50">
        <f t="shared" si="265"/>
        <v>0.31216078119677532</v>
      </c>
      <c r="EZ184" s="50">
        <f t="shared" si="266"/>
        <v>3.6993300783467693E-2</v>
      </c>
      <c r="FA184" s="51">
        <f t="shared" si="267"/>
        <v>29408</v>
      </c>
      <c r="FB184" s="51">
        <f t="shared" si="268"/>
        <v>23847</v>
      </c>
      <c r="FC184" s="14">
        <f>INT(SUMPRODUCT($AP184:$AT184,$BF184:$BJ184)/SUM($BF184:$BJ184)/10000*$BX$7*$BZ$46/'疲劳值&amp;地图信息'!$R$10*$BY$57)</f>
        <v>2172</v>
      </c>
      <c r="FD184" s="50">
        <f t="shared" si="269"/>
        <v>0.53057174301333287</v>
      </c>
      <c r="FE184" s="50">
        <f t="shared" si="270"/>
        <v>0.43024157901383803</v>
      </c>
      <c r="FF184" s="50">
        <f t="shared" si="271"/>
        <v>3.9186677972829126E-2</v>
      </c>
      <c r="FH184" s="14">
        <f t="shared" si="272"/>
        <v>23336</v>
      </c>
      <c r="FI184" s="14">
        <f t="shared" si="273"/>
        <v>26158</v>
      </c>
      <c r="FJ184" s="14">
        <f t="shared" si="274"/>
        <v>29862</v>
      </c>
      <c r="FK184" s="14">
        <f t="shared" si="275"/>
        <v>44035</v>
      </c>
      <c r="FL184" s="14">
        <f t="shared" si="276"/>
        <v>55427</v>
      </c>
      <c r="FM184" s="14">
        <f t="shared" si="277"/>
        <v>2719941</v>
      </c>
      <c r="FP184" s="14">
        <f t="shared" si="278"/>
        <v>334150</v>
      </c>
      <c r="FQ184" s="50">
        <f t="shared" si="218"/>
        <v>0.10941062332458332</v>
      </c>
      <c r="FS184" s="14">
        <f t="shared" si="279"/>
        <v>3054091</v>
      </c>
      <c r="FX184" s="14">
        <v>179</v>
      </c>
      <c r="FY184" s="51">
        <f t="shared" si="280"/>
        <v>29734</v>
      </c>
      <c r="FZ184" s="51">
        <f t="shared" si="281"/>
        <v>1672</v>
      </c>
      <c r="GA184" s="51">
        <f>INT(SUMPRODUCT($N184:$R184,$BF184:$BJ184)/SUM($BF184:$BJ184)/10000*$BX$7*$BZ$46/'疲劳值&amp;地图信息'!$R$10*$BY$53)</f>
        <v>426</v>
      </c>
      <c r="GB184" s="50">
        <f t="shared" si="282"/>
        <v>0.93409148027142497</v>
      </c>
      <c r="GC184" s="50">
        <f t="shared" si="283"/>
        <v>5.252576024126665E-2</v>
      </c>
      <c r="GD184" s="50">
        <f t="shared" si="284"/>
        <v>1.3382759487308368E-2</v>
      </c>
      <c r="GE184" s="51">
        <f t="shared" si="285"/>
        <v>31657</v>
      </c>
      <c r="GF184" s="51">
        <f t="shared" si="286"/>
        <v>2746</v>
      </c>
      <c r="GG184" s="14">
        <f>INT(SUMPRODUCT($U184:$Y184,$BF184:$BJ184)/SUM($BF184:$BJ184)/10000*$BX$7*$BZ$46/'疲劳值&amp;地图信息'!$R$10*$BY$54)</f>
        <v>800</v>
      </c>
      <c r="GH184" s="50">
        <f t="shared" si="287"/>
        <v>0.8992699485839275</v>
      </c>
      <c r="GI184" s="50">
        <f t="shared" si="288"/>
        <v>7.8004715507201089E-2</v>
      </c>
      <c r="GJ184" s="50">
        <f t="shared" si="289"/>
        <v>2.2725335908871405E-2</v>
      </c>
      <c r="GK184" s="51">
        <f t="shared" si="290"/>
        <v>33610</v>
      </c>
      <c r="GL184" s="51">
        <f t="shared" si="291"/>
        <v>4769</v>
      </c>
      <c r="GM184" s="14">
        <f>INT(SUMPRODUCT($AB184:$AF184,$BF184:$BJ184)/SUM($BF184:$BJ184)/10000*$BX$7*$BZ$46/'疲劳值&amp;地图信息'!$R$10*$BY$55)</f>
        <v>1086</v>
      </c>
      <c r="GN184" s="50">
        <f t="shared" si="292"/>
        <v>0.85164069428607625</v>
      </c>
      <c r="GO184" s="50">
        <f t="shared" si="293"/>
        <v>0.12084125174204992</v>
      </c>
      <c r="GP184" s="50">
        <f t="shared" si="294"/>
        <v>2.7518053971873811E-2</v>
      </c>
      <c r="GQ184" s="51">
        <f t="shared" si="295"/>
        <v>40124</v>
      </c>
      <c r="GR184" s="51">
        <f t="shared" si="296"/>
        <v>13746</v>
      </c>
      <c r="GS184" s="14">
        <f>INT(SUMPRODUCT($AI184:$AM184,$BF184:$BJ184)/SUM($BF184:$BJ184)/10000*$BX$7*$BZ$46/'疲劳值&amp;地图信息'!$R$10*$BY$56)</f>
        <v>1629</v>
      </c>
      <c r="GT184" s="50">
        <f t="shared" si="297"/>
        <v>0.72296798140507035</v>
      </c>
      <c r="GU184" s="50">
        <f t="shared" si="298"/>
        <v>0.24768013838087172</v>
      </c>
      <c r="GV184" s="50">
        <f t="shared" si="299"/>
        <v>2.9351880214057911E-2</v>
      </c>
      <c r="GW184" s="51">
        <f t="shared" si="300"/>
        <v>41172</v>
      </c>
      <c r="GX184" s="51">
        <f t="shared" si="301"/>
        <v>23847</v>
      </c>
      <c r="GY184" s="14">
        <f>INT(SUMPRODUCT($AP184:$AT184,$BF184:$BJ184)/SUM($BF184:$BJ184)/10000*$BX$7*$BZ$46/'疲劳值&amp;地图信息'!$R$10*$BY$57)</f>
        <v>2172</v>
      </c>
      <c r="GZ184" s="50">
        <f t="shared" si="302"/>
        <v>0.6127606375853909</v>
      </c>
      <c r="HA184" s="50">
        <f t="shared" si="303"/>
        <v>0.35491360450060278</v>
      </c>
      <c r="HB184" s="50">
        <f t="shared" si="304"/>
        <v>3.2325757914006339E-2</v>
      </c>
      <c r="HD184" s="14">
        <f t="shared" si="305"/>
        <v>31832</v>
      </c>
      <c r="HE184" s="14">
        <f t="shared" si="306"/>
        <v>35203</v>
      </c>
      <c r="HF184" s="14">
        <f t="shared" si="307"/>
        <v>39465</v>
      </c>
      <c r="HG184" s="14">
        <f t="shared" si="308"/>
        <v>55499</v>
      </c>
      <c r="HH184" s="14">
        <f t="shared" si="309"/>
        <v>67191</v>
      </c>
      <c r="HI184" s="14">
        <f t="shared" si="310"/>
        <v>3656156</v>
      </c>
      <c r="HL184" s="14">
        <f t="shared" si="311"/>
        <v>430050</v>
      </c>
      <c r="HM184" s="50">
        <f t="shared" si="219"/>
        <v>0.10524432688905062</v>
      </c>
      <c r="HO184" s="14">
        <f t="shared" si="312"/>
        <v>4086206</v>
      </c>
    </row>
    <row r="185" spans="11:223" x14ac:dyDescent="0.2">
      <c r="K185" s="14">
        <v>180</v>
      </c>
      <c r="L185" s="12">
        <f>求节点(节奏总纲!D$4:D$163,标准城池设计!AB$4:AB$163,$K185)*求节点(节奏总纲!D$4:D$163,攻城基础信息!$AC$5:$AC$164,$K185)</f>
        <v>627034.63601857366</v>
      </c>
      <c r="M185" s="12">
        <f>INDEX(其他调用!$AA$5:$AA$404,MATCH(K185,其他调用!$X$5:$X$404,0))*MIN(INDEX(其他调用!$AH$5:$AH$364,MATCH('征服点（新）'!K185,其他调用!$AG$5:$AG$364,0),1)/INDEX(其他调用!$AJ$5:$AJ$364,MATCH(K185,其他调用!$AG$5:$AG$364,0),0),5)*求节点(节奏总纲!D$4:D$163,攻城基础信息!$AC$5:$AC$164,$K185)</f>
        <v>49332.851195178824</v>
      </c>
      <c r="N185" s="12">
        <f>MIN(INDEX(其他调用!$AH$5:$AH$364,MATCH($K185,其他调用!$AG$5:$AG$364,0),1)/INDEX(其他调用!AH$5:AH$364,MATCH($K185,其他调用!$AG$5:$AG$364,0),0),1)*INDEX(其他调用!Y$5:Y$404,MATCH($K185,其他调用!$X$5:$X$404,0),0)</f>
        <v>39535.348225083479</v>
      </c>
      <c r="O185" s="12">
        <f>MIN(INDEX(其他调用!$AH$5:$AH$364,MATCH($K185,其他调用!$AG$5:$AG$364,0),1)/INDEX(其他调用!AI$5:AI$364,MATCH($K185,其他调用!$AG$5:$AG$364,0),0),1)*INDEX(其他调用!Z$5:Z$404,MATCH($K185,其他调用!$X$5:$X$404,0),0)</f>
        <v>24794.812018783865</v>
      </c>
      <c r="P185" s="12">
        <f>MIN(INDEX(其他调用!$AH$5:$AH$364,MATCH($K185,其他调用!$AG$5:$AG$364,0),1)/INDEX(其他调用!AJ$5:AJ$364,MATCH($K185,其他调用!$AG$5:$AG$364,0),0),1)*INDEX(其他调用!AA$5:AA$404,MATCH($K185,其他调用!$X$5:$X$404,0),0)</f>
        <v>14800.091430730528</v>
      </c>
      <c r="Q185" s="12">
        <f>MIN(INDEX(其他调用!$AH$5:$AH$364,MATCH($K185,其他调用!$AG$5:$AG$364,0),1)/INDEX(其他调用!AK$5:AK$364,MATCH($K185,其他调用!$AG$5:$AG$364,0),0),1)*INDEX(其他调用!AB$5:AB$404,MATCH($K185,其他调用!$X$5:$X$404,0),0)</f>
        <v>5403.0330822775541</v>
      </c>
      <c r="R185" s="12">
        <f>MIN(INDEX(其他调用!$AH$5:$AH$364,MATCH($K185,其他调用!$AG$5:$AG$364,0),1)/INDEX(其他调用!AL$5:AL$364,MATCH($K185,其他调用!$AG$5:$AG$364,0),0),1)*INDEX(其他调用!AC$5:AC$404,MATCH($K185,其他调用!$X$5:$X$404,0),0)</f>
        <v>2208.8967221320213</v>
      </c>
      <c r="S185" s="12">
        <f>求节点(节奏总纲!D$4:D$163,标准城池设计!AC$4:AC$163,$K185)*求节点(节奏总纲!D$4:D$163,攻城基础信息!$AD$5:$AD$164,$K185)</f>
        <v>667371.72734189592</v>
      </c>
      <c r="T185" s="12">
        <f>INDEX(其他调用!$AA$5:$AA$404,MATCH($K185,其他调用!$X$5:$X$404,0))*MIN(INDEX(其他调用!AI$5:AI$364,MATCH($K185,其他调用!$AG$5:$AG$364,0),1)/INDEX(其他调用!$AJ$5:$AJ$364,MATCH($K185,其他调用!$AG$5:$AG$364,0),0),5)*求节点(节奏总纲!D$4:D$163,攻城基础信息!$AD$5:$AD$164,$K185)</f>
        <v>80930.478014523687</v>
      </c>
      <c r="U185" s="12">
        <f>MIN(INDEX(其他调用!$AI$5:$AI$364,MATCH($K185,其他调用!$AG$5:$AG$364,0),1)/INDEX(其他调用!AH$5:AH$364,MATCH($K185,其他调用!$AG$5:$AG$364,0),0),1)*INDEX(其他调用!Y$5:Y$404,MATCH($K185,其他调用!$X$5:$X$404,0),0)</f>
        <v>39535.348225083479</v>
      </c>
      <c r="V185" s="12">
        <f>MIN(INDEX(其他调用!$AI$5:$AI$364,MATCH($K185,其他调用!$AG$5:$AG$364,0),1)/INDEX(其他调用!AI$5:AI$364,MATCH($K185,其他调用!$AG$5:$AG$364,0),0),1)*INDEX(其他调用!Z$5:Z$404,MATCH($K185,其他调用!$X$5:$X$404,0),0)</f>
        <v>40675.85676370842</v>
      </c>
      <c r="W185" s="12">
        <f>MIN(INDEX(其他调用!$AI$5:$AI$364,MATCH($K185,其他调用!$AG$5:$AG$364,0),1)/INDEX(其他调用!AJ$5:AJ$364,MATCH($K185,其他调用!$AG$5:$AG$364,0),0),1)*INDEX(其他调用!AA$5:AA$404,MATCH($K185,其他调用!$X$5:$X$404,0),0)</f>
        <v>24279.530680455246</v>
      </c>
      <c r="X185" s="12">
        <f>MIN(INDEX(其他调用!$AI$5:$AI$364,MATCH($K185,其他调用!$AG$5:$AG$364,0),1)/INDEX(其他调用!AK$5:AK$364,MATCH($K185,其他调用!$AG$5:$AG$364,0),0),1)*INDEX(其他调用!AB$5:AB$404,MATCH($K185,其他调用!$X$5:$X$404,0),0)</f>
        <v>8863.6687214166341</v>
      </c>
      <c r="Y185" s="12">
        <f>MIN(INDEX(其他调用!$AI$5:$AI$364,MATCH($K185,其他调用!$AG$5:$AG$364,0),1)/INDEX(其他调用!AL$5:AL$364,MATCH($K185,其他调用!$AG$5:$AG$364,0),0),1)*INDEX(其他调用!AC$5:AC$404,MATCH($K185,其他调用!$X$5:$X$404,0),0)</f>
        <v>3623.6921904146793</v>
      </c>
      <c r="Z185" s="12">
        <f>求节点(节奏总纲!D$4:D$163,标准城池设计!AD$4:AD$163,$K185)*求节点(节奏总纲!D$4:D$163,攻城基础信息!$AE$5:$AE$164,$K185)</f>
        <v>708516.9746510504</v>
      </c>
      <c r="AA185" s="12">
        <f>INDEX(其他调用!$AA$5:$AA$404,MATCH($K185,其他调用!$X$5:$X$404,0))*MIN(INDEX(其他调用!AJ$5:AJ$364,MATCH($K185,其他调用!$AG$5:$AG$364,0),1)/INDEX(其他调用!$AJ$5:$AJ$364,MATCH($K185,其他调用!$AG$5:$AG$364,0),0),5)*求节点(节奏总纲!D$4:D$163,攻城基础信息!$AE$5:$AE$164,$K185)</f>
        <v>140631.98108602603</v>
      </c>
      <c r="AB185" s="12">
        <f>MIN(INDEX(其他调用!$AJ$5:$AJ$364,MATCH($K185,其他调用!$AG$5:$AG$364,0),1)/INDEX(其他调用!AH$5:AH$364,MATCH($K185,其他调用!$AG$5:$AG$364,0),0),1)*INDEX(其他调用!Y$5:Y$404,MATCH($K185,其他调用!$X$5:$X$404,0),0)</f>
        <v>39535.348225083479</v>
      </c>
      <c r="AC185" s="12">
        <f>MIN(INDEX(其他调用!$AJ$5:$AJ$364,MATCH($K185,其他调用!$AG$5:$AG$364,0),1)/INDEX(其他调用!AI$5:AI$364,MATCH($K185,其他调用!$AG$5:$AG$364,0),0),1)*INDEX(其他调用!Z$5:Z$404,MATCH($K185,其他调用!$X$5:$X$404,0),0)</f>
        <v>40675.85676370842</v>
      </c>
      <c r="AD185" s="12">
        <f>MIN(INDEX(其他调用!$AJ$5:$AJ$364,MATCH($K185,其他调用!$AG$5:$AG$364,0),1)/INDEX(其他调用!AJ$5:AJ$364,MATCH($K185,其他调用!$AG$5:$AG$364,0),0),1)*INDEX(其他调用!AA$5:AA$404,MATCH($K185,其他调用!$X$5:$X$404,0),0)</f>
        <v>42190.267291126249</v>
      </c>
      <c r="AE185" s="12">
        <f>MIN(INDEX(其他调用!$AJ$5:$AJ$364,MATCH($K185,其他调用!$AG$5:$AG$364,0),1)/INDEX(其他调用!AK$5:AK$364,MATCH($K185,其他调用!$AG$5:$AG$364,0),0),1)*INDEX(其他调用!AB$5:AB$404,MATCH($K185,其他调用!$X$5:$X$404,0),0)</f>
        <v>15402.297410863761</v>
      </c>
      <c r="AF185" s="12">
        <f>MIN(INDEX(其他调用!$AJ$5:$AJ$364,MATCH($K185,其他调用!$AG$5:$AG$364,0),1)/INDEX(其他调用!AL$5:AL$364,MATCH($K185,其他调用!$AG$5:$AG$364,0),0),1)*INDEX(其他调用!AC$5:AC$404,MATCH($K185,其他调用!$X$5:$X$404,0),0)</f>
        <v>6296.8491486300627</v>
      </c>
      <c r="AG185" s="12">
        <f>求节点(节奏总纲!D$4:D$163,标准城池设计!AE$4:AE$163,$K185)*求节点(节奏总纲!D$4:D$163,攻城基础信息!$AF$5:$AF$164,$K185)</f>
        <v>846647.98879517068</v>
      </c>
      <c r="AH185" s="12">
        <f>INDEX(其他调用!$AA$5:$AA$404,MATCH($K185,其他调用!$X$5:$X$404,0))*MIN(INDEX(其他调用!AK$5:AK$364,MATCH($K185,其他调用!$AG$5:$AG$364,0),1)/INDEX(其他调用!$AJ$5:$AJ$364,MATCH($K185,其他调用!$AG$5:$AG$364,0),0),5)*求节点(节奏总纲!D$4:D$163,攻城基础信息!$AF$5:$AF$164,$K185)</f>
        <v>405286.81876072596</v>
      </c>
      <c r="AI185" s="12">
        <f>MIN(INDEX(其他调用!$AK$5:$AK$364,MATCH($K185,其他调用!$AG$5:$AG$364,0),1)/INDEX(其他调用!AH$5:AH$364,MATCH($K185,其他调用!$AG$5:$AG$364,0),0),1)*INDEX(其他调用!Y$5:Y$404,MATCH($K185,其他调用!$X$5:$X$404,0),0)</f>
        <v>39535.348225083479</v>
      </c>
      <c r="AJ185" s="12">
        <f>MIN(INDEX(其他调用!$AK$5:$AK$364,MATCH($K185,其他调用!$AG$5:$AG$364,0),1)/INDEX(其他调用!AI$5:AI$364,MATCH($K185,其他调用!$AG$5:$AG$364,0),0),1)*INDEX(其他调用!Z$5:Z$404,MATCH($K185,其他调用!$X$5:$X$404,0),0)</f>
        <v>40675.85676370842</v>
      </c>
      <c r="AK185" s="12">
        <f>MIN(INDEX(其他调用!$AK$5:$AK$364,MATCH($K185,其他调用!$AG$5:$AG$364,0),1)/INDEX(其他调用!AJ$5:AJ$364,MATCH($K185,其他调用!$AG$5:$AG$364,0),0),1)*INDEX(其他调用!AA$5:AA$404,MATCH($K185,其他调用!$X$5:$X$404,0),0)</f>
        <v>42190.267291126249</v>
      </c>
      <c r="AL185" s="12">
        <f>MIN(INDEX(其他调用!$AK$5:$AK$364,MATCH($K185,其他调用!$AG$5:$AG$364,0),1)/INDEX(其他调用!AK$5:AK$364,MATCH($K185,其他调用!$AG$5:$AG$364,0),0),1)*INDEX(其他调用!AB$5:AB$404,MATCH($K185,其他调用!$X$5:$X$404,0),0)</f>
        <v>44387.827512982491</v>
      </c>
      <c r="AM185" s="12">
        <f>MIN(INDEX(其他调用!$AK$5:$AK$364,MATCH($K185,其他调用!$AG$5:$AG$364,0),1)/INDEX(其他调用!AL$5:AL$364,MATCH($K185,其他调用!$AG$5:$AG$364,0),0),1)*INDEX(其他调用!AC$5:AC$404,MATCH($K185,其他调用!$X$5:$X$404,0),0)</f>
        <v>18146.867732051363</v>
      </c>
      <c r="AN185" s="12">
        <f>求节点(节奏总纲!D$4:D$163,标准城池设计!AF$4:AF$163,$K185)*求节点(节奏总纲!D$4:D$163,攻城基础信息!$AG$5:$AG$164,$K185)</f>
        <v>869112.60364474065</v>
      </c>
      <c r="AO185" s="12">
        <f>INDEX(其他调用!$AA$5:$AA$404,MATCH($K185,其他调用!$X$5:$X$404,0))*MIN(INDEX(其他调用!AL$5:AL$364,MATCH($K185,其他调用!$AG$5:$AG$364,0),1)/INDEX(其他调用!$AJ$5:$AJ$364,MATCH($K185,其他调用!$AG$5:$AG$364,0),0),5)*求节点(节奏总纲!D$4:D$163,攻城基础信息!$AG$5:$AG$164,$K185)</f>
        <v>703159.90543013019</v>
      </c>
      <c r="AP185" s="12">
        <f>MIN(INDEX(其他调用!$AL$5:$AL$364,MATCH($K185,其他调用!$AG$5:$AG$364,0),1)/INDEX(其他调用!AH$5:AH$364,MATCH($K185,其他调用!$AG$5:$AG$364,0),0),1)*INDEX(其他调用!Y$5:Y$404,MATCH($K185,其他调用!$X$5:$X$404,0),0)</f>
        <v>39535.348225083479</v>
      </c>
      <c r="AQ185" s="12">
        <f>MIN(INDEX(其他调用!$AL$5:$AL$364,MATCH($K185,其他调用!$AG$5:$AG$364,0),1)/INDEX(其他调用!AI$5:AI$364,MATCH($K185,其他调用!$AG$5:$AG$364,0),0),1)*INDEX(其他调用!Z$5:Z$404,MATCH($K185,其他调用!$X$5:$X$404,0),0)</f>
        <v>40675.85676370842</v>
      </c>
      <c r="AR185" s="12">
        <f>MIN(INDEX(其他调用!$AL$5:$AL$364,MATCH($K185,其他调用!$AG$5:$AG$364,0),1)/INDEX(其他调用!AJ$5:AJ$364,MATCH($K185,其他调用!$AG$5:$AG$364,0),0),1)*INDEX(其他调用!AA$5:AA$404,MATCH($K185,其他调用!$X$5:$X$404,0),0)</f>
        <v>42190.267291126249</v>
      </c>
      <c r="AS185" s="12">
        <f>MIN(INDEX(其他调用!$AL$5:$AL$364,MATCH($K185,其他调用!$AG$5:$AG$364,0),1)/INDEX(其他调用!AK$5:AK$364,MATCH($K185,其他调用!$AG$5:$AG$364,0),0),1)*INDEX(其他调用!AB$5:AB$404,MATCH($K185,其他调用!$X$5:$X$404,0),0)</f>
        <v>44387.827512982491</v>
      </c>
      <c r="AT185" s="12">
        <f>MIN(INDEX(其他调用!$AL$5:$AL$364,MATCH($K185,其他调用!$AG$5:$AG$364,0),1)/INDEX(其他调用!AL$5:AL$364,MATCH($K185,其他调用!$AG$5:$AG$364,0),0),1)*INDEX(其他调用!AC$5:AC$404,MATCH($K185,其他调用!$X$5:$X$404,0),0)</f>
        <v>48349.851639656124</v>
      </c>
      <c r="AV185" s="14">
        <f>IF(OR(AV$5="大R",AV$5="超R"),MAX(INDEX(其他调用!$H$5:$L$404,MATCH($K185,其他调用!$B$5:$B$404,0),MATCH(AV$5,其他调用!$H$4:$L$4,0))*120*0.85,2),INDEX(其他调用!$H$5:$L$404,MATCH($K185,其他调用!$B$5:$B$404,0),MATCH(AV$5,其他调用!$H$4:$L$4,0))*120*0.85)</f>
        <v>48.921801254999991</v>
      </c>
      <c r="AW185" s="14">
        <f>IF(OR(AW$5="大R",AW$5="超R"),MAX(INDEX(其他调用!$H$5:$L$404,MATCH($K185,其他调用!$B$5:$B$404,0),MATCH(AW$5,其他调用!$H$4:$L$4,0))*120*0.85,2),INDEX(其他调用!$H$5:$L$404,MATCH($K185,其他调用!$B$5:$B$404,0),MATCH(AW$5,其他调用!$H$4:$L$4,0))*120*0.85)</f>
        <v>48.237344010638395</v>
      </c>
      <c r="AX185" s="14">
        <f>IF(OR(AX$5="大R",AX$5="超R"),MAX(INDEX(其他调用!$H$5:$L$404,MATCH($K185,其他调用!$B$5:$B$404,0),MATCH(AX$5,其他调用!$H$4:$L$4,0))*120*0.85,2),INDEX(其他调用!$H$5:$L$404,MATCH($K185,其他调用!$B$5:$B$404,0),MATCH(AX$5,其他调用!$H$4:$L$4,0))*120*0.85)</f>
        <v>3.9376284143615998</v>
      </c>
      <c r="AY185" s="14">
        <f>IF(OR(AY$5="大R",AY$5="超R"),MAX(INDEX(其他调用!$H$5:$L$404,MATCH($K185,其他调用!$B$5:$B$404,0),MATCH(AY$5,其他调用!$H$4:$L$4,0))*120*0.85,2),INDEX(其他调用!$H$5:$L$404,MATCH($K185,其他调用!$B$5:$B$404,0),MATCH(AY$5,其他调用!$H$4:$L$4,0))*120*0.85)</f>
        <v>2</v>
      </c>
      <c r="AZ185" s="14">
        <f>IF(OR(AZ$5="大R",AZ$5="超R"),MAX(INDEX(其他调用!$H$5:$L$404,MATCH($K185,其他调用!$B$5:$B$404,0),MATCH(AZ$5,其他调用!$H$4:$L$4,0))*120*0.85,2),INDEX(其他调用!$H$5:$L$404,MATCH($K185,其他调用!$B$5:$B$404,0),MATCH(AZ$5,其他调用!$H$4:$L$4,0))*120*0.85)</f>
        <v>2</v>
      </c>
      <c r="BA185" s="14">
        <f>INDEX(其他调用!$H$5:$L$404,MATCH($K185,其他调用!$B$5:$B$404,0),MATCH(BA$5,其他调用!$H$4:$L$4,0))*INDEX(其他调用!$M$5:$M$404,MATCH($K185,其他调用!$B$5:$B$404,0))*0.6</f>
        <v>28.777530149999997</v>
      </c>
      <c r="BB185" s="14">
        <f>INDEX(其他调用!$H$5:$L$404,MATCH($K185,其他调用!$B$5:$B$404,0),MATCH(BB$5,其他调用!$H$4:$L$4,0))*INDEX(其他调用!$M$5:$M$404,MATCH($K185,其他调用!$B$5:$B$404,0))*0.6</f>
        <v>28.374908241551999</v>
      </c>
      <c r="BC185" s="14">
        <f>INDEX(其他调用!$H$5:$L$404,MATCH($K185,其他调用!$B$5:$B$404,0),MATCH(BC$5,其他调用!$H$4:$L$4,0))*INDEX(其他调用!$M$5:$M$404,MATCH($K185,其他调用!$B$5:$B$404,0))*0.6</f>
        <v>2.3162520084480001</v>
      </c>
      <c r="BD185" s="14">
        <f>INDEX(其他调用!$H$5:$L$404,MATCH($K185,其他调用!$B$5:$B$404,0),MATCH(BD$5,其他调用!$H$4:$L$4,0))*INDEX(其他调用!$M$5:$M$404,MATCH($K185,其他调用!$B$5:$B$404,0))*0.6</f>
        <v>0.4120776000000001</v>
      </c>
      <c r="BE185" s="14">
        <f>INDEX(其他调用!$H$5:$L$404,MATCH($K185,其他调用!$B$5:$B$404,0),MATCH(BE$5,其他调用!$H$4:$L$4,0))*INDEX(其他调用!$M$5:$M$404,MATCH($K185,其他调用!$B$5:$B$404,0))*0.6</f>
        <v>0.11923199999999998</v>
      </c>
      <c r="BF185" s="14">
        <f>IF(OR(BF$5="大R",BF$5="超R"),0,INDEX(其他调用!$H$5:$L$404,MATCH($K185,其他调用!$B$5:$B$404,0),MATCH(BF$5,其他调用!$H$4:$L$4,0))*50*0.4)</f>
        <v>9.5925100500000013</v>
      </c>
      <c r="BG185" s="14">
        <f>IF(OR(BG$5="大R",BG$5="超R"),0,INDEX(其他调用!$H$5:$L$404,MATCH($K185,其他调用!$B$5:$B$404,0),MATCH(BG$5,其他调用!$H$4:$L$4,0))*50*0.4)</f>
        <v>9.4583027471839998</v>
      </c>
      <c r="BH185" s="14">
        <f>IF(OR(BH$5="大R",BH$5="超R"),0,INDEX(其他调用!$H$5:$L$404,MATCH($K185,其他调用!$B$5:$B$404,0),MATCH(BH$5,其他调用!$H$4:$L$4,0))*50*0.4)</f>
        <v>0.77208400281600009</v>
      </c>
      <c r="BI185" s="14">
        <f>IF(OR(BI$5="大R",BI$5="超R"),0,INDEX(其他调用!$H$5:$L$404,MATCH($K185,其他调用!$B$5:$B$404,0),MATCH(BI$5,其他调用!$H$4:$L$4,0))*50*0.4)</f>
        <v>0</v>
      </c>
      <c r="BJ185" s="14">
        <f>IF(OR(BJ$5="大R",BJ$5="超R"),0,INDEX(其他调用!$H$5:$L$404,MATCH($K185,其他调用!$B$5:$B$404,0),MATCH(BJ$5,其他调用!$H$4:$L$4,0))*50*0.4)</f>
        <v>0</v>
      </c>
      <c r="BL185" s="14">
        <f t="shared" si="313"/>
        <v>180</v>
      </c>
      <c r="BM185" s="14">
        <f t="shared" si="220"/>
        <v>96</v>
      </c>
      <c r="BN185" s="14">
        <f>('疲劳值&amp;地图信息'!$S$10*'疲劳值&amp;地图信息'!$R$10+'疲劳值&amp;地图信息'!$S$11*'疲劳值&amp;地图信息'!$R$11+'疲劳值&amp;地图信息'!$S$12*'疲劳值&amp;地图信息'!$R$12+(BM185-'疲劳值&amp;地图信息'!$S$12-'疲劳值&amp;地图信息'!$S$11-'疲劳值&amp;地图信息'!$S$10)*'疲劳值&amp;地图信息'!$R$13)/BM185</f>
        <v>51.371477246638619</v>
      </c>
      <c r="BO185" s="14">
        <f>INDEX(其他调用!$M$5:$M$404,MATCH(BL185,其他调用!$B$5:$B$404,0))*0.6</f>
        <v>60</v>
      </c>
      <c r="BP185" s="14">
        <f>IF(BO185&gt;SUM('疲劳值&amp;地图信息'!$S$10:$S$12),('疲劳值&amp;地图信息'!$S$10*'疲劳值&amp;地图信息'!$R$10+'疲劳值&amp;地图信息'!$S$11*'疲劳值&amp;地图信息'!$R$11+'疲劳值&amp;地图信息'!$S$12*'疲劳值&amp;地图信息'!$R$12+(BO185-'疲劳值&amp;地图信息'!$S$12-'疲劳值&amp;地图信息'!$S$11-'疲劳值&amp;地图信息'!$S$10)*'疲劳值&amp;地图信息'!$R$13)/BO185,('疲劳值&amp;地图信息'!$S$10*'疲劳值&amp;地图信息'!$R$10+'疲劳值&amp;地图信息'!$S$11*'疲劳值&amp;地图信息'!$R$11+'疲劳值&amp;地图信息'!$S$12*'疲劳值&amp;地图信息'!$R$12+(BO185-'疲劳值&amp;地图信息'!$S$12-'疲劳值&amp;地图信息'!$S$11-'疲劳值&amp;地图信息'!$S$10)*'疲劳值&amp;地图信息'!$R$13)/BO185)</f>
        <v>44.158136341605953</v>
      </c>
      <c r="BQ185" s="14">
        <f t="shared" si="314"/>
        <v>20</v>
      </c>
      <c r="BR185" s="14">
        <f>('疲劳值&amp;地图信息'!$S$10*'疲劳值&amp;地图信息'!$R$10+($BQ185-'疲劳值&amp;地图信息'!$S$10)*'疲劳值&amp;地图信息'!$R$11)/$BQ185</f>
        <v>32.067203015074995</v>
      </c>
      <c r="CF185" s="14">
        <v>180</v>
      </c>
      <c r="CG185" s="51">
        <f t="shared" si="221"/>
        <v>12779</v>
      </c>
      <c r="CH185" s="51">
        <f t="shared" si="222"/>
        <v>1005</v>
      </c>
      <c r="CI185" s="51">
        <f>INT(SUMPRODUCT($N185:$R185,$BA185:$BE185)/SUM($BA185:$BE185)/10000*$BX$7*$BZ$34/'疲劳值&amp;地图信息'!$R$10*$BY$53)</f>
        <v>3176</v>
      </c>
      <c r="CJ185" s="50">
        <f t="shared" si="223"/>
        <v>0.75347877358490567</v>
      </c>
      <c r="CK185" s="50">
        <f t="shared" si="224"/>
        <v>5.925707547169811E-2</v>
      </c>
      <c r="CL185" s="50">
        <f t="shared" si="225"/>
        <v>0.18726415094339621</v>
      </c>
      <c r="CM185" s="14">
        <f t="shared" si="226"/>
        <v>13601</v>
      </c>
      <c r="CN185" s="14">
        <f t="shared" si="227"/>
        <v>1649</v>
      </c>
      <c r="CO185" s="14">
        <f>INT(SUMPRODUCT($U185:$Y185,$BA185:$BE185)/SUM($BA185:$BE185)/10000*$BX$7*$BZ$34/'疲劳值&amp;地图信息'!$R$10*$BY$54)</f>
        <v>5966</v>
      </c>
      <c r="CP185" s="50">
        <f t="shared" si="228"/>
        <v>0.64107277526395179</v>
      </c>
      <c r="CQ185" s="50">
        <f t="shared" si="229"/>
        <v>7.7724358974358976E-2</v>
      </c>
      <c r="CR185" s="50">
        <f t="shared" si="230"/>
        <v>0.28120286576168929</v>
      </c>
      <c r="CS185" s="14">
        <f t="shared" si="231"/>
        <v>14440</v>
      </c>
      <c r="CT185" s="14">
        <f t="shared" si="232"/>
        <v>2866</v>
      </c>
      <c r="CU185" s="14">
        <f>INT(SUMPRODUCT($AB185:$AF185,$BA185:$BE185)/SUM($BA185:$BE185)/10000*$BX$7*$BZ$34/'疲劳值&amp;地图信息'!$R$10*$BY$55)</f>
        <v>8106</v>
      </c>
      <c r="CV185" s="50">
        <f t="shared" si="233"/>
        <v>0.56823547930111762</v>
      </c>
      <c r="CW185" s="50">
        <f t="shared" si="234"/>
        <v>0.11278136313552652</v>
      </c>
      <c r="CX185" s="50">
        <f t="shared" si="235"/>
        <v>0.31898315756335588</v>
      </c>
      <c r="CY185" s="14">
        <f t="shared" si="236"/>
        <v>17255</v>
      </c>
      <c r="CZ185" s="14">
        <f t="shared" si="237"/>
        <v>8260</v>
      </c>
      <c r="DA185" s="14">
        <f>INT(SUMPRODUCT($AI185:$AM185,$BA185:$BE185)/SUM($BA185:$BE185)/10000*$BX$7*$BZ$34/'疲劳值&amp;地图信息'!$R$10*$BY$56)</f>
        <v>12227</v>
      </c>
      <c r="DB185" s="50">
        <f t="shared" si="238"/>
        <v>0.4571829791743946</v>
      </c>
      <c r="DC185" s="50">
        <f t="shared" si="239"/>
        <v>0.21885432674474062</v>
      </c>
      <c r="DD185" s="50">
        <f t="shared" si="240"/>
        <v>0.32396269408086481</v>
      </c>
      <c r="DE185" s="14">
        <f t="shared" si="241"/>
        <v>17713</v>
      </c>
      <c r="DF185" s="14">
        <f t="shared" si="242"/>
        <v>14331</v>
      </c>
      <c r="DG185" s="14">
        <f>INT(SUMPRODUCT($AP185:$AT185,$BA185:$BE185)/SUM($BA185:$BE185)/10000*$BX$7*$BZ$34/'疲劳值&amp;地图信息'!$R$10*$BY$57)</f>
        <v>16327</v>
      </c>
      <c r="DH185" s="50">
        <f t="shared" si="243"/>
        <v>0.36619048603502097</v>
      </c>
      <c r="DI185" s="50">
        <f t="shared" si="244"/>
        <v>0.29627256000496166</v>
      </c>
      <c r="DJ185" s="50">
        <f t="shared" si="245"/>
        <v>0.33753695396001737</v>
      </c>
      <c r="DL185" s="14">
        <f t="shared" si="316"/>
        <v>16960</v>
      </c>
      <c r="DM185" s="14">
        <f t="shared" si="317"/>
        <v>21216</v>
      </c>
      <c r="DN185" s="14">
        <f t="shared" si="318"/>
        <v>25412</v>
      </c>
      <c r="DO185" s="14">
        <f t="shared" si="319"/>
        <v>37742</v>
      </c>
      <c r="DP185" s="14">
        <f t="shared" si="320"/>
        <v>48371</v>
      </c>
      <c r="DQ185" s="14">
        <f t="shared" si="321"/>
        <v>1170249</v>
      </c>
      <c r="DT185" s="14">
        <f t="shared" si="315"/>
        <v>235575</v>
      </c>
      <c r="DU185" s="50">
        <f t="shared" si="217"/>
        <v>0.16757076276973504</v>
      </c>
      <c r="DW185" s="14">
        <f t="shared" si="246"/>
        <v>1405824</v>
      </c>
      <c r="EB185" s="14">
        <v>180</v>
      </c>
      <c r="EC185" s="51">
        <f t="shared" si="247"/>
        <v>21299</v>
      </c>
      <c r="ED185" s="51">
        <f t="shared" si="248"/>
        <v>1675</v>
      </c>
      <c r="EE185" s="51">
        <f>INT(SUMPRODUCT($N185:$R185,$BF185:$BJ185)/SUM($BF185:$BJ185)/10000*$BX$7*$BZ$46/'疲劳值&amp;地图信息'!$R$10*$BY$53)</f>
        <v>426</v>
      </c>
      <c r="EF185" s="50">
        <f t="shared" si="249"/>
        <v>0.91021367521367524</v>
      </c>
      <c r="EG185" s="50">
        <f t="shared" si="250"/>
        <v>7.1581196581196577E-2</v>
      </c>
      <c r="EH185" s="50">
        <f t="shared" si="251"/>
        <v>1.8205128205128204E-2</v>
      </c>
      <c r="EI185" s="51">
        <f t="shared" si="252"/>
        <v>22669</v>
      </c>
      <c r="EJ185" s="51">
        <f t="shared" si="253"/>
        <v>2749</v>
      </c>
      <c r="EK185" s="14">
        <f>INT(SUMPRODUCT($U185:$Y185,$BF185:$BJ185)/SUM($BF185:$BJ185)/10000*$BX$7*$BZ$46/'疲劳值&amp;地图信息'!$R$10*$BY$54)</f>
        <v>801</v>
      </c>
      <c r="EL185" s="50">
        <f t="shared" si="254"/>
        <v>0.8646020061787254</v>
      </c>
      <c r="EM185" s="50">
        <f t="shared" si="255"/>
        <v>0.10484762958160113</v>
      </c>
      <c r="EN185" s="50">
        <f t="shared" si="256"/>
        <v>3.0550364239673521E-2</v>
      </c>
      <c r="EO185" s="51">
        <f t="shared" si="257"/>
        <v>24067</v>
      </c>
      <c r="EP185" s="51">
        <f t="shared" si="258"/>
        <v>4777</v>
      </c>
      <c r="EQ185" s="14">
        <f>INT(SUMPRODUCT($AB185:$AF185,$BF185:$BJ185)/SUM($BF185:$BJ185)/10000*$BX$7*$BZ$46/'疲劳值&amp;地图信息'!$R$10*$BY$55)</f>
        <v>1087</v>
      </c>
      <c r="ER185" s="50">
        <f t="shared" si="259"/>
        <v>0.8040827235976078</v>
      </c>
      <c r="ES185" s="50">
        <f t="shared" si="260"/>
        <v>0.15960041428619157</v>
      </c>
      <c r="ET185" s="50">
        <f t="shared" si="261"/>
        <v>3.6316862116200596E-2</v>
      </c>
      <c r="EU185" s="51">
        <f t="shared" si="262"/>
        <v>28759</v>
      </c>
      <c r="EV185" s="51">
        <f t="shared" si="263"/>
        <v>13767</v>
      </c>
      <c r="EW185" s="14">
        <f>INT(SUMPRODUCT($AI185:$AM185,$BF185:$BJ185)/SUM($BF185:$BJ185)/10000*$BX$7*$BZ$46/'疲劳值&amp;地图信息'!$R$10*$BY$56)</f>
        <v>1630</v>
      </c>
      <c r="EX185" s="50">
        <f t="shared" si="264"/>
        <v>0.65130446598423775</v>
      </c>
      <c r="EY185" s="50">
        <f t="shared" si="265"/>
        <v>0.31178095842014675</v>
      </c>
      <c r="EZ185" s="50">
        <f t="shared" si="266"/>
        <v>3.6914575595615548E-2</v>
      </c>
      <c r="FA185" s="51">
        <f t="shared" si="267"/>
        <v>29522</v>
      </c>
      <c r="FB185" s="51">
        <f t="shared" si="268"/>
        <v>23885</v>
      </c>
      <c r="FC185" s="14">
        <f>INT(SUMPRODUCT($AP185:$AT185,$BF185:$BJ185)/SUM($BF185:$BJ185)/10000*$BX$7*$BZ$46/'疲劳值&amp;地图信息'!$R$10*$BY$57)</f>
        <v>2174</v>
      </c>
      <c r="FD185" s="50">
        <f t="shared" si="269"/>
        <v>0.53115273204872171</v>
      </c>
      <c r="FE185" s="50">
        <f t="shared" si="270"/>
        <v>0.42973318220255124</v>
      </c>
      <c r="FF185" s="50">
        <f t="shared" si="271"/>
        <v>3.911408574872708E-2</v>
      </c>
      <c r="FH185" s="14">
        <f t="shared" si="272"/>
        <v>23400</v>
      </c>
      <c r="FI185" s="14">
        <f t="shared" si="273"/>
        <v>26219</v>
      </c>
      <c r="FJ185" s="14">
        <f t="shared" si="274"/>
        <v>29931</v>
      </c>
      <c r="FK185" s="14">
        <f t="shared" si="275"/>
        <v>44156</v>
      </c>
      <c r="FL185" s="14">
        <f t="shared" si="276"/>
        <v>55581</v>
      </c>
      <c r="FM185" s="14">
        <f t="shared" si="277"/>
        <v>2726836</v>
      </c>
      <c r="FP185" s="14">
        <f t="shared" si="278"/>
        <v>334150</v>
      </c>
      <c r="FQ185" s="50">
        <f t="shared" si="218"/>
        <v>0.10916417128337079</v>
      </c>
      <c r="FS185" s="14">
        <f t="shared" si="279"/>
        <v>3060986</v>
      </c>
      <c r="FX185" s="14">
        <v>180</v>
      </c>
      <c r="FY185" s="51">
        <f t="shared" si="280"/>
        <v>29819</v>
      </c>
      <c r="FZ185" s="51">
        <f t="shared" si="281"/>
        <v>1675</v>
      </c>
      <c r="GA185" s="51">
        <f>INT(SUMPRODUCT($N185:$R185,$BF185:$BJ185)/SUM($BF185:$BJ185)/10000*$BX$7*$BZ$46/'疲劳值&amp;地图信息'!$R$10*$BY$53)</f>
        <v>426</v>
      </c>
      <c r="GB185" s="50">
        <f t="shared" si="282"/>
        <v>0.9341791979949875</v>
      </c>
      <c r="GC185" s="50">
        <f t="shared" si="283"/>
        <v>5.2474937343358397E-2</v>
      </c>
      <c r="GD185" s="50">
        <f t="shared" si="284"/>
        <v>1.3345864661654135E-2</v>
      </c>
      <c r="GE185" s="51">
        <f t="shared" si="285"/>
        <v>31737</v>
      </c>
      <c r="GF185" s="51">
        <f t="shared" si="286"/>
        <v>2749</v>
      </c>
      <c r="GG185" s="14">
        <f>INT(SUMPRODUCT($U185:$Y185,$BF185:$BJ185)/SUM($BF185:$BJ185)/10000*$BX$7*$BZ$46/'疲劳值&amp;地图信息'!$R$10*$BY$54)</f>
        <v>801</v>
      </c>
      <c r="GH185" s="50">
        <f t="shared" si="287"/>
        <v>0.89939637826961771</v>
      </c>
      <c r="GI185" s="50">
        <f t="shared" si="288"/>
        <v>7.7904043982203075E-2</v>
      </c>
      <c r="GJ185" s="50">
        <f t="shared" si="289"/>
        <v>2.2699577748179215E-2</v>
      </c>
      <c r="GK185" s="51">
        <f t="shared" si="290"/>
        <v>33694</v>
      </c>
      <c r="GL185" s="51">
        <f t="shared" si="291"/>
        <v>4777</v>
      </c>
      <c r="GM185" s="14">
        <f>INT(SUMPRODUCT($AB185:$AF185,$BF185:$BJ185)/SUM($BF185:$BJ185)/10000*$BX$7*$BZ$46/'疲劳值&amp;地图信息'!$R$10*$BY$55)</f>
        <v>1087</v>
      </c>
      <c r="GN185" s="50">
        <f t="shared" si="292"/>
        <v>0.85176196976591334</v>
      </c>
      <c r="GO185" s="50">
        <f t="shared" si="293"/>
        <v>0.12075939127357298</v>
      </c>
      <c r="GP185" s="50">
        <f t="shared" si="294"/>
        <v>2.7478638960513675E-2</v>
      </c>
      <c r="GQ185" s="51">
        <f t="shared" si="295"/>
        <v>40263</v>
      </c>
      <c r="GR185" s="51">
        <f t="shared" si="296"/>
        <v>13767</v>
      </c>
      <c r="GS185" s="14">
        <f>INT(SUMPRODUCT($AI185:$AM185,$BF185:$BJ185)/SUM($BF185:$BJ185)/10000*$BX$7*$BZ$46/'疲劳值&amp;地图信息'!$R$10*$BY$56)</f>
        <v>1630</v>
      </c>
      <c r="GT185" s="50">
        <f t="shared" si="297"/>
        <v>0.72337405677326627</v>
      </c>
      <c r="GU185" s="50">
        <f t="shared" si="298"/>
        <v>0.2473409989220266</v>
      </c>
      <c r="GV185" s="50">
        <f t="shared" si="299"/>
        <v>2.9284944304707152E-2</v>
      </c>
      <c r="GW185" s="51">
        <f t="shared" si="300"/>
        <v>41331</v>
      </c>
      <c r="GX185" s="51">
        <f t="shared" si="301"/>
        <v>23885</v>
      </c>
      <c r="GY185" s="14">
        <f>INT(SUMPRODUCT($AP185:$AT185,$BF185:$BJ185)/SUM($BF185:$BJ185)/10000*$BX$7*$BZ$46/'疲劳值&amp;地图信息'!$R$10*$BY$57)</f>
        <v>2174</v>
      </c>
      <c r="GZ185" s="50">
        <f t="shared" si="302"/>
        <v>0.61331058020477813</v>
      </c>
      <c r="HA185" s="50">
        <f t="shared" si="303"/>
        <v>0.35442944056981746</v>
      </c>
      <c r="HB185" s="50">
        <f t="shared" si="304"/>
        <v>3.2259979225404363E-2</v>
      </c>
      <c r="HD185" s="14">
        <f t="shared" si="305"/>
        <v>31920</v>
      </c>
      <c r="HE185" s="14">
        <f t="shared" si="306"/>
        <v>35287</v>
      </c>
      <c r="HF185" s="14">
        <f t="shared" si="307"/>
        <v>39558</v>
      </c>
      <c r="HG185" s="14">
        <f t="shared" si="308"/>
        <v>55660</v>
      </c>
      <c r="HH185" s="14">
        <f t="shared" si="309"/>
        <v>67390</v>
      </c>
      <c r="HI185" s="14">
        <f t="shared" si="310"/>
        <v>3665599</v>
      </c>
      <c r="HL185" s="14">
        <f t="shared" si="311"/>
        <v>430050</v>
      </c>
      <c r="HM185" s="50">
        <f t="shared" si="219"/>
        <v>0.1050016737274117</v>
      </c>
      <c r="HO185" s="14">
        <f t="shared" si="312"/>
        <v>4095649</v>
      </c>
    </row>
    <row r="186" spans="11:223" x14ac:dyDescent="0.2">
      <c r="K186" s="14">
        <v>181</v>
      </c>
      <c r="L186" s="12">
        <f>求节点(节奏总纲!D$4:D$163,标准城池设计!AB$4:AB$163,$K186)*求节点(节奏总纲!D$4:D$163,攻城基础信息!$AC$5:$AC$164,$K186)</f>
        <v>628504.0407916226</v>
      </c>
      <c r="M186" s="12">
        <f>INDEX(其他调用!$AA$5:$AA$404,MATCH(K186,其他调用!$X$5:$X$404,0))*MIN(INDEX(其他调用!$AH$5:$AH$364,MATCH('征服点（新）'!K186,其他调用!$AG$5:$AG$364,0),1)/INDEX(其他调用!$AJ$5:$AJ$364,MATCH(K186,其他调用!$AG$5:$AG$364,0),0),5)*求节点(节奏总纲!D$4:D$163,攻城基础信息!$AC$5:$AC$164,$K186)</f>
        <v>49451.553859895852</v>
      </c>
      <c r="N186" s="12">
        <f>MIN(INDEX(其他调用!$AH$5:$AH$364,MATCH($K186,其他调用!$AG$5:$AG$364,0),1)/INDEX(其他调用!AH$5:AH$364,MATCH($K186,其他调用!$AG$5:$AG$364,0),0),1)*INDEX(其他调用!Y$5:Y$404,MATCH($K186,其他调用!$X$5:$X$404,0),0)</f>
        <v>39565.530156965608</v>
      </c>
      <c r="O186" s="12">
        <f>MIN(INDEX(其他调用!$AH$5:$AH$364,MATCH($K186,其他调用!$AG$5:$AG$364,0),1)/INDEX(其他调用!AI$5:AI$364,MATCH($K186,其他调用!$AG$5:$AG$364,0),0),1)*INDEX(其他调用!Z$5:Z$404,MATCH($K186,其他调用!$X$5:$X$404,0),0)</f>
        <v>24849.919692683692</v>
      </c>
      <c r="P186" s="12">
        <f>MIN(INDEX(其他调用!$AH$5:$AH$364,MATCH($K186,其他调用!$AG$5:$AG$364,0),1)/INDEX(其他调用!AJ$5:AJ$364,MATCH($K186,其他调用!$AG$5:$AG$364,0),0),1)*INDEX(其他调用!AA$5:AA$404,MATCH($K186,其他调用!$X$5:$X$404,0),0)</f>
        <v>14824.276807162118</v>
      </c>
      <c r="Q186" s="12">
        <f>MIN(INDEX(其他调用!$AH$5:$AH$364,MATCH($K186,其他调用!$AG$5:$AG$364,0),1)/INDEX(其他调用!AK$5:AK$364,MATCH($K186,其他调用!$AG$5:$AG$364,0),0),1)*INDEX(其他调用!AB$5:AB$404,MATCH($K186,其他调用!$X$5:$X$404,0),0)</f>
        <v>5412.1414249422915</v>
      </c>
      <c r="R186" s="12">
        <f>MIN(INDEX(其他调用!$AH$5:$AH$364,MATCH($K186,其他调用!$AG$5:$AG$364,0),1)/INDEX(其他调用!AL$5:AL$364,MATCH($K186,其他调用!$AG$5:$AG$364,0),0),1)*INDEX(其他调用!AC$5:AC$404,MATCH($K186,其他调用!$X$5:$X$404,0),0)</f>
        <v>2222.3889762987019</v>
      </c>
      <c r="S186" s="12">
        <f>求节点(节奏总纲!D$4:D$163,标准城池设计!AC$4:AC$163,$K186)*求节点(节奏总纲!D$4:D$163,攻城基础信息!$AD$5:$AD$164,$K186)</f>
        <v>668935.10376211454</v>
      </c>
      <c r="T186" s="12">
        <f>INDEX(其他调用!$AA$5:$AA$404,MATCH($K186,其他调用!$X$5:$X$404,0))*MIN(INDEX(其他调用!AI$5:AI$364,MATCH($K186,其他调用!$AG$5:$AG$364,0),1)/INDEX(其他调用!$AJ$5:$AJ$364,MATCH($K186,其他调用!$AG$5:$AG$364,0),0),5)*求节点(节奏总纲!D$4:D$163,攻城基础信息!$AD$5:$AD$164,$K186)</f>
        <v>81008.501470379386</v>
      </c>
      <c r="U186" s="12">
        <f>MIN(INDEX(其他调用!$AI$5:$AI$364,MATCH($K186,其他调用!$AG$5:$AG$364,0),1)/INDEX(其他调用!AH$5:AH$364,MATCH($K186,其他调用!$AG$5:$AG$364,0),0),1)*INDEX(其他调用!Y$5:Y$404,MATCH($K186,其他调用!$X$5:$X$404,0),0)</f>
        <v>39565.530156965608</v>
      </c>
      <c r="V186" s="12">
        <f>MIN(INDEX(其他调用!$AI$5:$AI$364,MATCH($K186,其他调用!$AG$5:$AG$364,0),1)/INDEX(其他调用!AI$5:AI$364,MATCH($K186,其他调用!$AG$5:$AG$364,0),0),1)*INDEX(其他调用!Z$5:Z$404,MATCH($K186,其他调用!$X$5:$X$404,0),0)</f>
        <v>40707.613792417571</v>
      </c>
      <c r="W186" s="12">
        <f>MIN(INDEX(其他调用!$AI$5:$AI$364,MATCH($K186,其他调用!$AG$5:$AG$364,0),1)/INDEX(其他调用!AJ$5:AJ$364,MATCH($K186,其他调用!$AG$5:$AG$364,0),0),1)*INDEX(其他调用!AA$5:AA$404,MATCH($K186,其他调用!$X$5:$X$404,0),0)</f>
        <v>24284.220733136586</v>
      </c>
      <c r="X186" s="12">
        <f>MIN(INDEX(其他调用!$AI$5:$AI$364,MATCH($K186,其他调用!$AG$5:$AG$364,0),1)/INDEX(其他调用!AK$5:AK$364,MATCH($K186,其他调用!$AG$5:$AG$364,0),0),1)*INDEX(其他调用!AB$5:AB$404,MATCH($K186,其他调用!$X$5:$X$404,0),0)</f>
        <v>8865.8380244729924</v>
      </c>
      <c r="Y186" s="12">
        <f>MIN(INDEX(其他调用!$AI$5:$AI$364,MATCH($K186,其他调用!$AG$5:$AG$364,0),1)/INDEX(其他调用!AL$5:AL$364,MATCH($K186,其他调用!$AG$5:$AG$364,0),0),1)*INDEX(其他调用!AC$5:AC$404,MATCH($K186,其他调用!$X$5:$X$404,0),0)</f>
        <v>3640.5812679680171</v>
      </c>
      <c r="Z186" s="12">
        <f>求节点(节奏总纲!D$4:D$163,标准城池设计!AD$4:AD$163,$K186)*求节点(节奏总纲!D$4:D$163,攻城基础信息!$AE$5:$AE$164,$K186)</f>
        <v>710741.33535898093</v>
      </c>
      <c r="AA186" s="12">
        <f>INDEX(其他调用!$AA$5:$AA$404,MATCH($K186,其他调用!$X$5:$X$404,0))*MIN(INDEX(其他调用!AJ$5:AJ$364,MATCH($K186,其他调用!$AG$5:$AG$364,0),1)/INDEX(其他调用!$AJ$5:$AJ$364,MATCH($K186,其他调用!$AG$5:$AG$364,0),0),5)*求节点(节奏总纲!D$4:D$163,攻城基础信息!$AE$5:$AE$164,$K186)</f>
        <v>140847.95820375203</v>
      </c>
      <c r="AB186" s="12">
        <f>MIN(INDEX(其他调用!$AJ$5:$AJ$364,MATCH($K186,其他调用!$AG$5:$AG$364,0),1)/INDEX(其他调用!AH$5:AH$364,MATCH($K186,其他调用!$AG$5:$AG$364,0),0),1)*INDEX(其他调用!Y$5:Y$404,MATCH($K186,其他调用!$X$5:$X$404,0),0)</f>
        <v>39565.530156965608</v>
      </c>
      <c r="AC186" s="12">
        <f>MIN(INDEX(其他调用!$AJ$5:$AJ$364,MATCH($K186,其他调用!$AG$5:$AG$364,0),1)/INDEX(其他调用!AI$5:AI$364,MATCH($K186,其他调用!$AG$5:$AG$364,0),0),1)*INDEX(其他调用!Z$5:Z$404,MATCH($K186,其他调用!$X$5:$X$404,0),0)</f>
        <v>40707.613792417571</v>
      </c>
      <c r="AD186" s="12">
        <f>MIN(INDEX(其他调用!$AJ$5:$AJ$364,MATCH($K186,其他调用!$AG$5:$AG$364,0),1)/INDEX(其他调用!AJ$5:AJ$364,MATCH($K186,其他调用!$AG$5:$AG$364,0),0),1)*INDEX(其他调用!AA$5:AA$404,MATCH($K186,其他调用!$X$5:$X$404,0),0)</f>
        <v>42222.517942541715</v>
      </c>
      <c r="AE186" s="12">
        <f>MIN(INDEX(其他调用!$AJ$5:$AJ$364,MATCH($K186,其他调用!$AG$5:$AG$364,0),1)/INDEX(其他调用!AK$5:AK$364,MATCH($K186,其他调用!$AG$5:$AG$364,0),0),1)*INDEX(其他调用!AB$5:AB$404,MATCH($K186,其他调用!$X$5:$X$404,0),0)</f>
        <v>15414.865857860676</v>
      </c>
      <c r="AF186" s="12">
        <f>MIN(INDEX(其他调用!$AJ$5:$AJ$364,MATCH($K186,其他调用!$AG$5:$AG$364,0),1)/INDEX(其他调用!AL$5:AL$364,MATCH($K186,其他调用!$AG$5:$AG$364,0),0),1)*INDEX(其他调用!AC$5:AC$404,MATCH($K186,其他调用!$X$5:$X$404,0),0)</f>
        <v>6329.8101922748774</v>
      </c>
      <c r="AG186" s="12">
        <f>求节点(节奏总纲!D$4:D$163,标准城池设计!AE$4:AE$163,$K186)*求节点(节奏总纲!D$4:D$163,攻城基础信息!$AF$5:$AF$164,$K186)</f>
        <v>849376.56277699978</v>
      </c>
      <c r="AH186" s="12">
        <f>INDEX(其他调用!$AA$5:$AA$404,MATCH($K186,其他调用!$X$5:$X$404,0))*MIN(INDEX(其他调用!AK$5:AK$364,MATCH($K186,其他调用!$AG$5:$AG$364,0),1)/INDEX(其他调用!$AJ$5:$AJ$364,MATCH($K186,其他调用!$AG$5:$AG$364,0),0),5)*求节点(节奏总纲!D$4:D$163,攻城基础信息!$AF$5:$AF$164,$K186)</f>
        <v>405867.50577439746</v>
      </c>
      <c r="AI186" s="12">
        <f>MIN(INDEX(其他调用!$AK$5:$AK$364,MATCH($K186,其他调用!$AG$5:$AG$364,0),1)/INDEX(其他调用!AH$5:AH$364,MATCH($K186,其他调用!$AG$5:$AG$364,0),0),1)*INDEX(其他调用!Y$5:Y$404,MATCH($K186,其他调用!$X$5:$X$404,0),0)</f>
        <v>39565.530156965608</v>
      </c>
      <c r="AJ186" s="12">
        <f>MIN(INDEX(其他调用!$AK$5:$AK$364,MATCH($K186,其他调用!$AG$5:$AG$364,0),1)/INDEX(其他调用!AI$5:AI$364,MATCH($K186,其他调用!$AG$5:$AG$364,0),0),1)*INDEX(其他调用!Z$5:Z$404,MATCH($K186,其他调用!$X$5:$X$404,0),0)</f>
        <v>40707.613792417571</v>
      </c>
      <c r="AK186" s="12">
        <f>MIN(INDEX(其他调用!$AK$5:$AK$364,MATCH($K186,其他调用!$AG$5:$AG$364,0),1)/INDEX(其他调用!AJ$5:AJ$364,MATCH($K186,其他调用!$AG$5:$AG$364,0),0),1)*INDEX(其他调用!AA$5:AA$404,MATCH($K186,其他调用!$X$5:$X$404,0),0)</f>
        <v>42222.517942541715</v>
      </c>
      <c r="AL186" s="12">
        <f>MIN(INDEX(其他调用!$AK$5:$AK$364,MATCH($K186,其他调用!$AG$5:$AG$364,0),1)/INDEX(其他调用!AK$5:AK$364,MATCH($K186,其他调用!$AG$5:$AG$364,0),0),1)*INDEX(其他调用!AB$5:AB$404,MATCH($K186,其他调用!$X$5:$X$404,0),0)</f>
        <v>44419.480675227613</v>
      </c>
      <c r="AM186" s="12">
        <f>MIN(INDEX(其他调用!$AK$5:$AK$364,MATCH($K186,其他调用!$AG$5:$AG$364,0),1)/INDEX(其他调用!AL$5:AL$364,MATCH($K186,其他调用!$AG$5:$AG$364,0),0),1)*INDEX(其他调用!AC$5:AC$404,MATCH($K186,其他调用!$X$5:$X$404,0),0)</f>
        <v>18239.982371966871</v>
      </c>
      <c r="AN186" s="12">
        <f>求节点(节奏总纲!D$4:D$163,标准城池设计!AF$4:AF$163,$K186)*求节点(节奏总纲!D$4:D$163,攻城基础信息!$AG$5:$AG$164,$K186)</f>
        <v>872409.84293179528</v>
      </c>
      <c r="AO186" s="12">
        <f>INDEX(其他调用!$AA$5:$AA$404,MATCH($K186,其他调用!$X$5:$X$404,0))*MIN(INDEX(其他调用!AL$5:AL$364,MATCH($K186,其他调用!$AG$5:$AG$364,0),1)/INDEX(其他调用!$AJ$5:$AJ$364,MATCH($K186,其他调用!$AG$5:$AG$364,0),0),5)*求节点(节奏总纲!D$4:D$163,攻城基础信息!$AG$5:$AG$164,$K186)</f>
        <v>704239.79101876018</v>
      </c>
      <c r="AP186" s="12">
        <f>MIN(INDEX(其他调用!$AL$5:$AL$364,MATCH($K186,其他调用!$AG$5:$AG$364,0),1)/INDEX(其他调用!AH$5:AH$364,MATCH($K186,其他调用!$AG$5:$AG$364,0),0),1)*INDEX(其他调用!Y$5:Y$404,MATCH($K186,其他调用!$X$5:$X$404,0),0)</f>
        <v>39565.530156965608</v>
      </c>
      <c r="AQ186" s="12">
        <f>MIN(INDEX(其他调用!$AL$5:$AL$364,MATCH($K186,其他调用!$AG$5:$AG$364,0),1)/INDEX(其他调用!AI$5:AI$364,MATCH($K186,其他调用!$AG$5:$AG$364,0),0),1)*INDEX(其他调用!Z$5:Z$404,MATCH($K186,其他调用!$X$5:$X$404,0),0)</f>
        <v>40707.613792417571</v>
      </c>
      <c r="AR186" s="12">
        <f>MIN(INDEX(其他调用!$AL$5:$AL$364,MATCH($K186,其他调用!$AG$5:$AG$364,0),1)/INDEX(其他调用!AJ$5:AJ$364,MATCH($K186,其他调用!$AG$5:$AG$364,0),0),1)*INDEX(其他调用!AA$5:AA$404,MATCH($K186,其他调用!$X$5:$X$404,0),0)</f>
        <v>42222.517942541715</v>
      </c>
      <c r="AS186" s="12">
        <f>MIN(INDEX(其他调用!$AL$5:$AL$364,MATCH($K186,其他调用!$AG$5:$AG$364,0),1)/INDEX(其他调用!AK$5:AK$364,MATCH($K186,其他调用!$AG$5:$AG$364,0),0),1)*INDEX(其他调用!AB$5:AB$404,MATCH($K186,其他调用!$X$5:$X$404,0),0)</f>
        <v>44419.480675227613</v>
      </c>
      <c r="AT186" s="12">
        <f>MIN(INDEX(其他调用!$AL$5:$AL$364,MATCH($K186,其他调用!$AG$5:$AG$364,0),1)/INDEX(其他调用!AL$5:AL$364,MATCH($K186,其他调用!$AG$5:$AG$364,0),0),1)*INDEX(其他调用!AC$5:AC$404,MATCH($K186,其他调用!$X$5:$X$404,0),0)</f>
        <v>48380.457363272792</v>
      </c>
      <c r="AV186" s="14">
        <f>IF(OR(AV$5="大R",AV$5="超R"),MAX(INDEX(其他调用!$H$5:$L$404,MATCH($K186,其他调用!$B$5:$B$404,0),MATCH(AV$5,其他调用!$H$4:$L$4,0))*120*0.85,2),INDEX(其他调用!$H$5:$L$404,MATCH($K186,其他调用!$B$5:$B$404,0),MATCH(AV$5,其他调用!$H$4:$L$4,0))*120*0.85)</f>
        <v>48.921801254999991</v>
      </c>
      <c r="AW186" s="14">
        <f>IF(OR(AW$5="大R",AW$5="超R"),MAX(INDEX(其他调用!$H$5:$L$404,MATCH($K186,其他调用!$B$5:$B$404,0),MATCH(AW$5,其他调用!$H$4:$L$4,0))*120*0.85,2),INDEX(其他调用!$H$5:$L$404,MATCH($K186,其他调用!$B$5:$B$404,0),MATCH(AW$5,其他调用!$H$4:$L$4,0))*120*0.85)</f>
        <v>48.237344010638395</v>
      </c>
      <c r="AX186" s="14">
        <f>IF(OR(AX$5="大R",AX$5="超R"),MAX(INDEX(其他调用!$H$5:$L$404,MATCH($K186,其他调用!$B$5:$B$404,0),MATCH(AX$5,其他调用!$H$4:$L$4,0))*120*0.85,2),INDEX(其他调用!$H$5:$L$404,MATCH($K186,其他调用!$B$5:$B$404,0),MATCH(AX$5,其他调用!$H$4:$L$4,0))*120*0.85)</f>
        <v>3.9376284143615998</v>
      </c>
      <c r="AY186" s="14">
        <f>IF(OR(AY$5="大R",AY$5="超R"),MAX(INDEX(其他调用!$H$5:$L$404,MATCH($K186,其他调用!$B$5:$B$404,0),MATCH(AY$5,其他调用!$H$4:$L$4,0))*120*0.85,2),INDEX(其他调用!$H$5:$L$404,MATCH($K186,其他调用!$B$5:$B$404,0),MATCH(AY$5,其他调用!$H$4:$L$4,0))*120*0.85)</f>
        <v>2</v>
      </c>
      <c r="AZ186" s="14">
        <f>IF(OR(AZ$5="大R",AZ$5="超R"),MAX(INDEX(其他调用!$H$5:$L$404,MATCH($K186,其他调用!$B$5:$B$404,0),MATCH(AZ$5,其他调用!$H$4:$L$4,0))*120*0.85,2),INDEX(其他调用!$H$5:$L$404,MATCH($K186,其他调用!$B$5:$B$404,0),MATCH(AZ$5,其他调用!$H$4:$L$4,0))*120*0.85)</f>
        <v>2</v>
      </c>
      <c r="BA186" s="14">
        <f>INDEX(其他调用!$H$5:$L$404,MATCH($K186,其他调用!$B$5:$B$404,0),MATCH(BA$5,其他调用!$H$4:$L$4,0))*INDEX(其他调用!$M$5:$M$404,MATCH($K186,其他调用!$B$5:$B$404,0))*0.6</f>
        <v>28.777530149999997</v>
      </c>
      <c r="BB186" s="14">
        <f>INDEX(其他调用!$H$5:$L$404,MATCH($K186,其他调用!$B$5:$B$404,0),MATCH(BB$5,其他调用!$H$4:$L$4,0))*INDEX(其他调用!$M$5:$M$404,MATCH($K186,其他调用!$B$5:$B$404,0))*0.6</f>
        <v>28.374908241551999</v>
      </c>
      <c r="BC186" s="14">
        <f>INDEX(其他调用!$H$5:$L$404,MATCH($K186,其他调用!$B$5:$B$404,0),MATCH(BC$5,其他调用!$H$4:$L$4,0))*INDEX(其他调用!$M$5:$M$404,MATCH($K186,其他调用!$B$5:$B$404,0))*0.6</f>
        <v>2.3162520084480001</v>
      </c>
      <c r="BD186" s="14">
        <f>INDEX(其他调用!$H$5:$L$404,MATCH($K186,其他调用!$B$5:$B$404,0),MATCH(BD$5,其他调用!$H$4:$L$4,0))*INDEX(其他调用!$M$5:$M$404,MATCH($K186,其他调用!$B$5:$B$404,0))*0.6</f>
        <v>0.4120776000000001</v>
      </c>
      <c r="BE186" s="14">
        <f>INDEX(其他调用!$H$5:$L$404,MATCH($K186,其他调用!$B$5:$B$404,0),MATCH(BE$5,其他调用!$H$4:$L$4,0))*INDEX(其他调用!$M$5:$M$404,MATCH($K186,其他调用!$B$5:$B$404,0))*0.6</f>
        <v>0.11923199999999998</v>
      </c>
      <c r="BF186" s="14">
        <f>IF(OR(BF$5="大R",BF$5="超R"),0,INDEX(其他调用!$H$5:$L$404,MATCH($K186,其他调用!$B$5:$B$404,0),MATCH(BF$5,其他调用!$H$4:$L$4,0))*50*0.4)</f>
        <v>9.5925100500000013</v>
      </c>
      <c r="BG186" s="14">
        <f>IF(OR(BG$5="大R",BG$5="超R"),0,INDEX(其他调用!$H$5:$L$404,MATCH($K186,其他调用!$B$5:$B$404,0),MATCH(BG$5,其他调用!$H$4:$L$4,0))*50*0.4)</f>
        <v>9.4583027471839998</v>
      </c>
      <c r="BH186" s="14">
        <f>IF(OR(BH$5="大R",BH$5="超R"),0,INDEX(其他调用!$H$5:$L$404,MATCH($K186,其他调用!$B$5:$B$404,0),MATCH(BH$5,其他调用!$H$4:$L$4,0))*50*0.4)</f>
        <v>0.77208400281600009</v>
      </c>
      <c r="BI186" s="14">
        <f>IF(OR(BI$5="大R",BI$5="超R"),0,INDEX(其他调用!$H$5:$L$404,MATCH($K186,其他调用!$B$5:$B$404,0),MATCH(BI$5,其他调用!$H$4:$L$4,0))*50*0.4)</f>
        <v>0</v>
      </c>
      <c r="BJ186" s="14">
        <f>IF(OR(BJ$5="大R",BJ$5="超R"),0,INDEX(其他调用!$H$5:$L$404,MATCH($K186,其他调用!$B$5:$B$404,0),MATCH(BJ$5,其他调用!$H$4:$L$4,0))*50*0.4)</f>
        <v>0</v>
      </c>
      <c r="BL186" s="14">
        <f t="shared" si="313"/>
        <v>181</v>
      </c>
      <c r="BM186" s="14">
        <f t="shared" si="220"/>
        <v>96</v>
      </c>
      <c r="BN186" s="14">
        <f>('疲劳值&amp;地图信息'!$S$10*'疲劳值&amp;地图信息'!$R$10+'疲劳值&amp;地图信息'!$S$11*'疲劳值&amp;地图信息'!$R$11+'疲劳值&amp;地图信息'!$S$12*'疲劳值&amp;地图信息'!$R$12+(BM186-'疲劳值&amp;地图信息'!$S$12-'疲劳值&amp;地图信息'!$S$11-'疲劳值&amp;地图信息'!$S$10)*'疲劳值&amp;地图信息'!$R$13)/BM186</f>
        <v>51.371477246638619</v>
      </c>
      <c r="BO186" s="14">
        <f>INDEX(其他调用!$M$5:$M$404,MATCH(BL186,其他调用!$B$5:$B$404,0))*0.6</f>
        <v>60</v>
      </c>
      <c r="BP186" s="14">
        <f>IF(BO186&gt;SUM('疲劳值&amp;地图信息'!$S$10:$S$12),('疲劳值&amp;地图信息'!$S$10*'疲劳值&amp;地图信息'!$R$10+'疲劳值&amp;地图信息'!$S$11*'疲劳值&amp;地图信息'!$R$11+'疲劳值&amp;地图信息'!$S$12*'疲劳值&amp;地图信息'!$R$12+(BO186-'疲劳值&amp;地图信息'!$S$12-'疲劳值&amp;地图信息'!$S$11-'疲劳值&amp;地图信息'!$S$10)*'疲劳值&amp;地图信息'!$R$13)/BO186,('疲劳值&amp;地图信息'!$S$10*'疲劳值&amp;地图信息'!$R$10+'疲劳值&amp;地图信息'!$S$11*'疲劳值&amp;地图信息'!$R$11+'疲劳值&amp;地图信息'!$S$12*'疲劳值&amp;地图信息'!$R$12+(BO186-'疲劳值&amp;地图信息'!$S$12-'疲劳值&amp;地图信息'!$S$11-'疲劳值&amp;地图信息'!$S$10)*'疲劳值&amp;地图信息'!$R$13)/BO186)</f>
        <v>44.158136341605953</v>
      </c>
      <c r="BQ186" s="14">
        <f t="shared" si="314"/>
        <v>20</v>
      </c>
      <c r="BR186" s="14">
        <f>('疲劳值&amp;地图信息'!$S$10*'疲劳值&amp;地图信息'!$R$10+($BQ186-'疲劳值&amp;地图信息'!$S$10)*'疲劳值&amp;地图信息'!$R$11)/$BQ186</f>
        <v>32.067203015074995</v>
      </c>
      <c r="CF186" s="14">
        <v>181</v>
      </c>
      <c r="CG186" s="51">
        <f t="shared" si="221"/>
        <v>12809</v>
      </c>
      <c r="CH186" s="51">
        <f t="shared" si="222"/>
        <v>1007</v>
      </c>
      <c r="CI186" s="51">
        <f>INT(SUMPRODUCT($N186:$R186,$BA186:$BE186)/SUM($BA186:$BE186)/10000*$BX$7*$BZ$34/'疲劳值&amp;地图信息'!$R$10*$BY$53)</f>
        <v>3180</v>
      </c>
      <c r="CJ186" s="50">
        <f t="shared" si="223"/>
        <v>0.7536479171569781</v>
      </c>
      <c r="CK186" s="50">
        <f t="shared" si="224"/>
        <v>5.9249235114144504E-2</v>
      </c>
      <c r="CL186" s="50">
        <f t="shared" si="225"/>
        <v>0.18710284772887739</v>
      </c>
      <c r="CM186" s="14">
        <f t="shared" si="226"/>
        <v>13633</v>
      </c>
      <c r="CN186" s="14">
        <f t="shared" si="227"/>
        <v>1651</v>
      </c>
      <c r="CO186" s="14">
        <f>INT(SUMPRODUCT($U186:$Y186,$BA186:$BE186)/SUM($BA186:$BE186)/10000*$BX$7*$BZ$34/'疲劳值&amp;地图信息'!$R$10*$BY$54)</f>
        <v>5971</v>
      </c>
      <c r="CP186" s="50">
        <f t="shared" si="228"/>
        <v>0.64140202305339922</v>
      </c>
      <c r="CQ186" s="50">
        <f t="shared" si="229"/>
        <v>7.7675840978593272E-2</v>
      </c>
      <c r="CR186" s="50">
        <f t="shared" si="230"/>
        <v>0.28092213596800752</v>
      </c>
      <c r="CS186" s="14">
        <f t="shared" si="231"/>
        <v>14485</v>
      </c>
      <c r="CT186" s="14">
        <f t="shared" si="232"/>
        <v>2870</v>
      </c>
      <c r="CU186" s="14">
        <f>INT(SUMPRODUCT($AB186:$AF186,$BA186:$BE186)/SUM($BA186:$BE186)/10000*$BX$7*$BZ$34/'疲劳值&amp;地图信息'!$R$10*$BY$55)</f>
        <v>8112</v>
      </c>
      <c r="CV186" s="50">
        <f t="shared" si="233"/>
        <v>0.56877527781049986</v>
      </c>
      <c r="CW186" s="50">
        <f t="shared" si="234"/>
        <v>0.11269486001492127</v>
      </c>
      <c r="CX186" s="50">
        <f t="shared" si="235"/>
        <v>0.31852986217457885</v>
      </c>
      <c r="CY186" s="14">
        <f t="shared" si="236"/>
        <v>17311</v>
      </c>
      <c r="CZ186" s="14">
        <f t="shared" si="237"/>
        <v>8272</v>
      </c>
      <c r="DA186" s="14">
        <f>INT(SUMPRODUCT($AI186:$AM186,$BA186:$BE186)/SUM($BA186:$BE186)/10000*$BX$7*$BZ$34/'疲劳值&amp;地图信息'!$R$10*$BY$56)</f>
        <v>12236</v>
      </c>
      <c r="DB186" s="50">
        <f t="shared" si="238"/>
        <v>0.45773288558660991</v>
      </c>
      <c r="DC186" s="50">
        <f t="shared" si="239"/>
        <v>0.21872603717708031</v>
      </c>
      <c r="DD186" s="50">
        <f t="shared" si="240"/>
        <v>0.32354107723630982</v>
      </c>
      <c r="DE186" s="14">
        <f t="shared" si="241"/>
        <v>17780</v>
      </c>
      <c r="DF186" s="14">
        <f t="shared" si="242"/>
        <v>14353</v>
      </c>
      <c r="DG186" s="14">
        <f>INT(SUMPRODUCT($AP186:$AT186,$BA186:$BE186)/SUM($BA186:$BE186)/10000*$BX$7*$BZ$34/'疲劳值&amp;地图信息'!$R$10*$BY$57)</f>
        <v>16339</v>
      </c>
      <c r="DH186" s="50">
        <f t="shared" si="243"/>
        <v>0.36680970457171153</v>
      </c>
      <c r="DI186" s="50">
        <f t="shared" si="244"/>
        <v>0.2961090939098861</v>
      </c>
      <c r="DJ186" s="50">
        <f t="shared" si="245"/>
        <v>0.33708120151840237</v>
      </c>
      <c r="DL186" s="14">
        <f t="shared" si="316"/>
        <v>16996</v>
      </c>
      <c r="DM186" s="14">
        <f t="shared" si="317"/>
        <v>21255</v>
      </c>
      <c r="DN186" s="14">
        <f t="shared" si="318"/>
        <v>25467</v>
      </c>
      <c r="DO186" s="14">
        <f t="shared" si="319"/>
        <v>37819</v>
      </c>
      <c r="DP186" s="14">
        <f t="shared" si="320"/>
        <v>48472</v>
      </c>
      <c r="DQ186" s="14">
        <f t="shared" si="321"/>
        <v>1172563</v>
      </c>
      <c r="DT186" s="14">
        <f t="shared" si="315"/>
        <v>235575</v>
      </c>
      <c r="DU186" s="50">
        <f t="shared" si="217"/>
        <v>0.1672953929231368</v>
      </c>
      <c r="DW186" s="14">
        <f t="shared" si="246"/>
        <v>1408138</v>
      </c>
      <c r="EB186" s="14">
        <v>181</v>
      </c>
      <c r="EC186" s="51">
        <f t="shared" si="247"/>
        <v>21349</v>
      </c>
      <c r="ED186" s="51">
        <f t="shared" si="248"/>
        <v>1679</v>
      </c>
      <c r="EE186" s="51">
        <f>INT(SUMPRODUCT($N186:$R186,$BF186:$BJ186)/SUM($BF186:$BJ186)/10000*$BX$7*$BZ$46/'疲劳值&amp;地图信息'!$R$10*$BY$53)</f>
        <v>427</v>
      </c>
      <c r="EF186" s="50">
        <f t="shared" si="249"/>
        <v>0.91021104242165851</v>
      </c>
      <c r="EG186" s="50">
        <f t="shared" si="250"/>
        <v>7.1583884033255163E-2</v>
      </c>
      <c r="EH186" s="50">
        <f t="shared" si="251"/>
        <v>1.8205073545086336E-2</v>
      </c>
      <c r="EI186" s="51">
        <f t="shared" si="252"/>
        <v>22722</v>
      </c>
      <c r="EJ186" s="51">
        <f t="shared" si="253"/>
        <v>2751</v>
      </c>
      <c r="EK186" s="14">
        <f>INT(SUMPRODUCT($U186:$Y186,$BF186:$BJ186)/SUM($BF186:$BJ186)/10000*$BX$7*$BZ$46/'疲劳值&amp;地图信息'!$R$10*$BY$54)</f>
        <v>801</v>
      </c>
      <c r="EL186" s="50">
        <f t="shared" si="254"/>
        <v>0.86480931719570675</v>
      </c>
      <c r="EM186" s="50">
        <f t="shared" si="255"/>
        <v>0.10470427038136561</v>
      </c>
      <c r="EN186" s="50">
        <f t="shared" si="256"/>
        <v>3.0486412422927611E-2</v>
      </c>
      <c r="EO186" s="51">
        <f t="shared" si="257"/>
        <v>24143</v>
      </c>
      <c r="EP186" s="51">
        <f t="shared" si="258"/>
        <v>4784</v>
      </c>
      <c r="EQ186" s="14">
        <f>INT(SUMPRODUCT($AB186:$AF186,$BF186:$BJ186)/SUM($BF186:$BJ186)/10000*$BX$7*$BZ$46/'疲劳值&amp;地图信息'!$R$10*$BY$55)</f>
        <v>1088</v>
      </c>
      <c r="ER186" s="50">
        <f t="shared" si="259"/>
        <v>0.80436448442445441</v>
      </c>
      <c r="ES186" s="50">
        <f t="shared" si="260"/>
        <v>0.15938697318007664</v>
      </c>
      <c r="ET186" s="50">
        <f t="shared" si="261"/>
        <v>3.624854239546893E-2</v>
      </c>
      <c r="EU186" s="51">
        <f t="shared" si="262"/>
        <v>28852</v>
      </c>
      <c r="EV186" s="51">
        <f t="shared" si="263"/>
        <v>13786</v>
      </c>
      <c r="EW186" s="14">
        <f>INT(SUMPRODUCT($AI186:$AM186,$BF186:$BJ186)/SUM($BF186:$BJ186)/10000*$BX$7*$BZ$46/'疲劳值&amp;地图信息'!$R$10*$BY$56)</f>
        <v>1632</v>
      </c>
      <c r="EX186" s="50">
        <f t="shared" si="264"/>
        <v>0.65172803252767109</v>
      </c>
      <c r="EY186" s="50">
        <f t="shared" si="265"/>
        <v>0.31140727354867859</v>
      </c>
      <c r="EZ186" s="50">
        <f t="shared" si="266"/>
        <v>3.6864693923650327E-2</v>
      </c>
      <c r="FA186" s="51">
        <f t="shared" si="267"/>
        <v>29634</v>
      </c>
      <c r="FB186" s="51">
        <f t="shared" si="268"/>
        <v>23922</v>
      </c>
      <c r="FC186" s="14">
        <f>INT(SUMPRODUCT($AP186:$AT186,$BF186:$BJ186)/SUM($BF186:$BJ186)/10000*$BX$7*$BZ$46/'疲劳值&amp;地图信息'!$R$10*$BY$57)</f>
        <v>2176</v>
      </c>
      <c r="FD186" s="50">
        <f t="shared" si="269"/>
        <v>0.53172324696763085</v>
      </c>
      <c r="FE186" s="50">
        <f t="shared" si="270"/>
        <v>0.42923275676451589</v>
      </c>
      <c r="FF186" s="50">
        <f t="shared" si="271"/>
        <v>3.90439962678533E-2</v>
      </c>
      <c r="FH186" s="14">
        <f t="shared" si="272"/>
        <v>23455</v>
      </c>
      <c r="FI186" s="14">
        <f t="shared" si="273"/>
        <v>26274</v>
      </c>
      <c r="FJ186" s="14">
        <f t="shared" si="274"/>
        <v>30015</v>
      </c>
      <c r="FK186" s="14">
        <f t="shared" si="275"/>
        <v>44270</v>
      </c>
      <c r="FL186" s="14">
        <f t="shared" si="276"/>
        <v>55732</v>
      </c>
      <c r="FM186" s="14">
        <f t="shared" si="277"/>
        <v>2733040</v>
      </c>
      <c r="FP186" s="14">
        <f t="shared" si="278"/>
        <v>334150</v>
      </c>
      <c r="FQ186" s="50">
        <f t="shared" si="218"/>
        <v>0.10894336509965147</v>
      </c>
      <c r="FS186" s="14">
        <f t="shared" si="279"/>
        <v>3067190</v>
      </c>
      <c r="FX186" s="14">
        <v>181</v>
      </c>
      <c r="FY186" s="51">
        <f t="shared" si="280"/>
        <v>29889</v>
      </c>
      <c r="FZ186" s="51">
        <f t="shared" si="281"/>
        <v>1679</v>
      </c>
      <c r="GA186" s="51">
        <f>INT(SUMPRODUCT($N186:$R186,$BF186:$BJ186)/SUM($BF186:$BJ186)/10000*$BX$7*$BZ$46/'疲劳值&amp;地图信息'!$R$10*$BY$53)</f>
        <v>427</v>
      </c>
      <c r="GB186" s="50">
        <f t="shared" si="282"/>
        <v>0.9341772151898734</v>
      </c>
      <c r="GC186" s="50">
        <f t="shared" si="283"/>
        <v>5.2476949523363028E-2</v>
      </c>
      <c r="GD186" s="50">
        <f t="shared" si="284"/>
        <v>1.3345835286763556E-2</v>
      </c>
      <c r="GE186" s="51">
        <f t="shared" si="285"/>
        <v>31812</v>
      </c>
      <c r="GF186" s="51">
        <f t="shared" si="286"/>
        <v>2751</v>
      </c>
      <c r="GG186" s="14">
        <f>INT(SUMPRODUCT($U186:$Y186,$BF186:$BJ186)/SUM($BF186:$BJ186)/10000*$BX$7*$BZ$46/'疲劳值&amp;地图信息'!$R$10*$BY$54)</f>
        <v>801</v>
      </c>
      <c r="GH186" s="50">
        <f t="shared" si="287"/>
        <v>0.89955887343060736</v>
      </c>
      <c r="GI186" s="50">
        <f t="shared" si="288"/>
        <v>7.7790973871733962E-2</v>
      </c>
      <c r="GJ186" s="50">
        <f t="shared" si="289"/>
        <v>2.2650152697658636E-2</v>
      </c>
      <c r="GK186" s="51">
        <f t="shared" si="290"/>
        <v>33800</v>
      </c>
      <c r="GL186" s="51">
        <f t="shared" si="291"/>
        <v>4784</v>
      </c>
      <c r="GM186" s="14">
        <f>INT(SUMPRODUCT($AB186:$AF186,$BF186:$BJ186)/SUM($BF186:$BJ186)/10000*$BX$7*$BZ$46/'疲劳值&amp;地图信息'!$R$10*$BY$55)</f>
        <v>1088</v>
      </c>
      <c r="GN186" s="50">
        <f t="shared" si="292"/>
        <v>0.85198628755797545</v>
      </c>
      <c r="GO186" s="50">
        <f t="shared" si="293"/>
        <v>0.12058882839282113</v>
      </c>
      <c r="GP186" s="50">
        <f t="shared" si="294"/>
        <v>2.7424884049203468E-2</v>
      </c>
      <c r="GQ186" s="51">
        <f t="shared" si="295"/>
        <v>40393</v>
      </c>
      <c r="GR186" s="51">
        <f t="shared" si="296"/>
        <v>13786</v>
      </c>
      <c r="GS186" s="14">
        <f>INT(SUMPRODUCT($AI186:$AM186,$BF186:$BJ186)/SUM($BF186:$BJ186)/10000*$BX$7*$BZ$46/'疲劳值&amp;地图信息'!$R$10*$BY$56)</f>
        <v>1632</v>
      </c>
      <c r="GT186" s="50">
        <f t="shared" si="297"/>
        <v>0.72374621490387203</v>
      </c>
      <c r="GU186" s="50">
        <f t="shared" si="298"/>
        <v>0.24701223773091327</v>
      </c>
      <c r="GV186" s="50">
        <f t="shared" si="299"/>
        <v>2.9241547365214744E-2</v>
      </c>
      <c r="GW186" s="51">
        <f t="shared" si="300"/>
        <v>41488</v>
      </c>
      <c r="GX186" s="51">
        <f t="shared" si="301"/>
        <v>23922</v>
      </c>
      <c r="GY186" s="14">
        <f>INT(SUMPRODUCT($AP186:$AT186,$BF186:$BJ186)/SUM($BF186:$BJ186)/10000*$BX$7*$BZ$46/'疲劳值&amp;地图信息'!$R$10*$BY$57)</f>
        <v>2176</v>
      </c>
      <c r="GZ186" s="50">
        <f t="shared" si="302"/>
        <v>0.6138549403722664</v>
      </c>
      <c r="HA186" s="50">
        <f t="shared" si="303"/>
        <v>0.35394904270115113</v>
      </c>
      <c r="HB186" s="50">
        <f t="shared" si="304"/>
        <v>3.219601692658243E-2</v>
      </c>
      <c r="HD186" s="14">
        <f t="shared" si="305"/>
        <v>31995</v>
      </c>
      <c r="HE186" s="14">
        <f t="shared" si="306"/>
        <v>35364</v>
      </c>
      <c r="HF186" s="14">
        <f t="shared" si="307"/>
        <v>39672</v>
      </c>
      <c r="HG186" s="14">
        <f t="shared" si="308"/>
        <v>55811</v>
      </c>
      <c r="HH186" s="14">
        <f t="shared" si="309"/>
        <v>67586</v>
      </c>
      <c r="HI186" s="14">
        <f t="shared" si="310"/>
        <v>3674126</v>
      </c>
      <c r="HL186" s="14">
        <f t="shared" si="311"/>
        <v>430050</v>
      </c>
      <c r="HM186" s="50">
        <f t="shared" si="219"/>
        <v>0.10478351805575589</v>
      </c>
      <c r="HO186" s="14">
        <f t="shared" si="312"/>
        <v>4104176</v>
      </c>
    </row>
    <row r="187" spans="11:223" x14ac:dyDescent="0.2">
      <c r="K187" s="14">
        <v>182</v>
      </c>
      <c r="L187" s="12">
        <f>求节点(节奏总纲!D$4:D$163,标准城池设计!AB$4:AB$163,$K187)*求节点(节奏总纲!D$4:D$163,攻城基础信息!$AC$5:$AC$164,$K187)</f>
        <v>629968.5123965065</v>
      </c>
      <c r="M187" s="12">
        <f>INDEX(其他调用!$AA$5:$AA$404,MATCH(K187,其他调用!$X$5:$X$404,0))*MIN(INDEX(其他调用!$AH$5:$AH$364,MATCH('征服点（新）'!K187,其他调用!$AG$5:$AG$364,0),1)/INDEX(其他调用!$AJ$5:$AJ$364,MATCH(K187,其他调用!$AG$5:$AG$364,0),0),5)*求节点(节奏总纲!D$4:D$163,攻城基础信息!$AC$5:$AC$164,$K187)</f>
        <v>49569.667779284173</v>
      </c>
      <c r="N187" s="12">
        <f>MIN(INDEX(其他调用!$AH$5:$AH$364,MATCH($K187,其他调用!$AG$5:$AG$364,0),1)/INDEX(其他调用!AH$5:AH$364,MATCH($K187,其他调用!$AG$5:$AG$364,0),0),1)*INDEX(其他调用!Y$5:Y$404,MATCH($K187,其他调用!$X$5:$X$404,0),0)</f>
        <v>39595.636120514268</v>
      </c>
      <c r="O187" s="12">
        <f>MIN(INDEX(其他调用!$AH$5:$AH$364,MATCH($K187,其他调用!$AG$5:$AG$364,0),1)/INDEX(其他调用!AI$5:AI$364,MATCH($K187,其他调用!$AG$5:$AG$364,0),0),1)*INDEX(其他调用!Z$5:Z$404,MATCH($K187,其他调用!$X$5:$X$404,0),0)</f>
        <v>24904.828415826116</v>
      </c>
      <c r="P187" s="12">
        <f>MIN(INDEX(其他调用!$AH$5:$AH$364,MATCH($K187,其他调用!$AG$5:$AG$364,0),1)/INDEX(其他调用!AJ$5:AJ$364,MATCH($K187,其他调用!$AG$5:$AG$364,0),0),1)*INDEX(其他调用!AA$5:AA$404,MATCH($K187,其他调用!$X$5:$X$404,0),0)</f>
        <v>14848.264440417215</v>
      </c>
      <c r="Q187" s="12">
        <f>MIN(INDEX(其他调用!$AH$5:$AH$364,MATCH($K187,其他调用!$AG$5:$AG$364,0),1)/INDEX(其他调用!AK$5:AK$364,MATCH($K187,其他调用!$AG$5:$AG$364,0),0),1)*INDEX(其他调用!AB$5:AB$404,MATCH($K187,其他调用!$X$5:$X$404,0),0)</f>
        <v>5421.2366902506719</v>
      </c>
      <c r="R187" s="12">
        <f>MIN(INDEX(其他调用!$AH$5:$AH$364,MATCH($K187,其他调用!$AG$5:$AG$364,0),1)/INDEX(其他调用!AL$5:AL$364,MATCH($K187,其他调用!$AG$5:$AG$364,0),0),1)*INDEX(其他调用!AC$5:AC$404,MATCH($K187,其他调用!$X$5:$X$404,0),0)</f>
        <v>2235.8296678165193</v>
      </c>
      <c r="S187" s="12">
        <f>求节点(节奏总纲!D$4:D$163,标准城池设计!AC$4:AC$163,$K187)*求节点(节奏总纲!D$4:D$163,攻城基础信息!$AD$5:$AD$164,$K187)</f>
        <v>670497.71092188091</v>
      </c>
      <c r="T187" s="12">
        <f>INDEX(其他调用!$AA$5:$AA$404,MATCH($K187,其他调用!$X$5:$X$404,0))*MIN(INDEX(其他调用!AI$5:AI$364,MATCH($K187,其他调用!$AG$5:$AG$364,0),1)/INDEX(其他调用!$AJ$5:$AJ$364,MATCH($K187,其他调用!$AG$5:$AG$364,0),0),5)*求节点(节奏总纲!D$4:D$163,攻城基础信息!$AD$5:$AD$164,$K187)</f>
        <v>81086.16704450114</v>
      </c>
      <c r="U187" s="12">
        <f>MIN(INDEX(其他调用!$AI$5:$AI$364,MATCH($K187,其他调用!$AG$5:$AG$364,0),1)/INDEX(其他调用!AH$5:AH$364,MATCH($K187,其他调用!$AG$5:$AG$364,0),0),1)*INDEX(其他调用!Y$5:Y$404,MATCH($K187,其他调用!$X$5:$X$404,0),0)</f>
        <v>39595.636120514268</v>
      </c>
      <c r="V187" s="12">
        <f>MIN(INDEX(其他调用!$AI$5:$AI$364,MATCH($K187,其他调用!$AG$5:$AG$364,0),1)/INDEX(其他调用!AI$5:AI$364,MATCH($K187,其他调用!$AG$5:$AG$364,0),0),1)*INDEX(其他调用!Z$5:Z$404,MATCH($K187,其他调用!$X$5:$X$404,0),0)</f>
        <v>40739.370821126722</v>
      </c>
      <c r="W187" s="12">
        <f>MIN(INDEX(其他调用!$AI$5:$AI$364,MATCH($K187,其他调用!$AG$5:$AG$364,0),1)/INDEX(其他调用!AJ$5:AJ$364,MATCH($K187,其他调用!$AG$5:$AG$364,0),0),1)*INDEX(其他调用!AA$5:AA$404,MATCH($K187,其他调用!$X$5:$X$404,0),0)</f>
        <v>24288.822271263227</v>
      </c>
      <c r="X187" s="12">
        <f>MIN(INDEX(其他调用!$AI$5:$AI$364,MATCH($K187,其他调用!$AG$5:$AG$364,0),1)/INDEX(其他调用!AK$5:AK$364,MATCH($K187,其他调用!$AG$5:$AG$364,0),0),1)*INDEX(其他调用!AB$5:AB$404,MATCH($K187,其他调用!$X$5:$X$404,0),0)</f>
        <v>8868.0704056918021</v>
      </c>
      <c r="Y187" s="12">
        <f>MIN(INDEX(其他调用!$AI$5:$AI$364,MATCH($K187,其他调用!$AG$5:$AG$364,0),1)/INDEX(其他调用!AL$5:AL$364,MATCH($K187,其他调用!$AG$5:$AG$364,0),0),1)*INDEX(其他调用!AC$5:AC$404,MATCH($K187,其他调用!$X$5:$X$404,0),0)</f>
        <v>3657.3748836660006</v>
      </c>
      <c r="Z187" s="12">
        <f>求节点(节奏总纲!D$4:D$163,标准城池设计!AD$4:AD$163,$K187)*求节点(节奏总纲!D$4:D$163,攻城基础信息!$AE$5:$AE$164,$K187)</f>
        <v>712977.41390549601</v>
      </c>
      <c r="AA187" s="12">
        <f>INDEX(其他调用!$AA$5:$AA$404,MATCH($K187,其他调用!$X$5:$X$404,0))*MIN(INDEX(其他调用!AJ$5:AJ$364,MATCH($K187,其他调用!$AG$5:$AG$364,0),1)/INDEX(其他调用!$AJ$5:$AJ$364,MATCH($K187,其他调用!$AG$5:$AG$364,0),0),5)*求节点(节奏总纲!D$4:D$163,攻城基础信息!$AE$5:$AE$164,$K187)</f>
        <v>141063.2571346944</v>
      </c>
      <c r="AB187" s="12">
        <f>MIN(INDEX(其他调用!$AJ$5:$AJ$364,MATCH($K187,其他调用!$AG$5:$AG$364,0),1)/INDEX(其他调用!AH$5:AH$364,MATCH($K187,其他调用!$AG$5:$AG$364,0),0),1)*INDEX(其他调用!Y$5:Y$404,MATCH($K187,其他调用!$X$5:$X$404,0),0)</f>
        <v>39595.636120514268</v>
      </c>
      <c r="AC187" s="12">
        <f>MIN(INDEX(其他调用!$AJ$5:$AJ$364,MATCH($K187,其他调用!$AG$5:$AG$364,0),1)/INDEX(其他调用!AI$5:AI$364,MATCH($K187,其他调用!$AG$5:$AG$364,0),0),1)*INDEX(其他调用!Z$5:Z$404,MATCH($K187,其他调用!$X$5:$X$404,0),0)</f>
        <v>40739.370821126722</v>
      </c>
      <c r="AD187" s="12">
        <f>MIN(INDEX(其他调用!$AJ$5:$AJ$364,MATCH($K187,其他调用!$AG$5:$AG$364,0),1)/INDEX(其他调用!AJ$5:AJ$364,MATCH($K187,其他调用!$AG$5:$AG$364,0),0),1)*INDEX(其他调用!AA$5:AA$404,MATCH($K187,其他调用!$X$5:$X$404,0),0)</f>
        <v>42254.560875589545</v>
      </c>
      <c r="AE187" s="12">
        <f>MIN(INDEX(其他调用!$AJ$5:$AJ$364,MATCH($K187,其他调用!$AG$5:$AG$364,0),1)/INDEX(其他调用!AK$5:AK$364,MATCH($K187,其他调用!$AG$5:$AG$364,0),0),1)*INDEX(其他调用!AB$5:AB$404,MATCH($K187,其他调用!$X$5:$X$404,0),0)</f>
        <v>15427.525329198679</v>
      </c>
      <c r="AF187" s="12">
        <f>MIN(INDEX(其他调用!$AJ$5:$AJ$364,MATCH($K187,其他调用!$AG$5:$AG$364,0),1)/INDEX(其他调用!AL$5:AL$364,MATCH($K187,其他调用!$AG$5:$AG$364,0),0),1)*INDEX(其他调用!AC$5:AC$404,MATCH($K187,其他调用!$X$5:$X$404,0),0)</f>
        <v>6362.6291938229833</v>
      </c>
      <c r="AG187" s="12">
        <f>求节点(节奏总纲!D$4:D$163,标准城池设计!AE$4:AE$163,$K187)*求节点(节奏总纲!D$4:D$163,攻城基础信息!$AF$5:$AF$164,$K187)</f>
        <v>852104.53169764578</v>
      </c>
      <c r="AH187" s="12">
        <f>INDEX(其他调用!$AA$5:$AA$404,MATCH($K187,其他调用!$X$5:$X$404,0))*MIN(INDEX(其他调用!AK$5:AK$364,MATCH($K187,其他调用!$AG$5:$AG$364,0),1)/INDEX(其他调用!$AJ$5:$AJ$364,MATCH($K187,其他调用!$AG$5:$AG$364,0),0),5)*求节点(节奏总纲!D$4:D$163,攻城基础信息!$AF$5:$AF$164,$K187)</f>
        <v>406443.78075182997</v>
      </c>
      <c r="AI187" s="12">
        <f>MIN(INDEX(其他调用!$AK$5:$AK$364,MATCH($K187,其他调用!$AG$5:$AG$364,0),1)/INDEX(其他调用!AH$5:AH$364,MATCH($K187,其他调用!$AG$5:$AG$364,0),0),1)*INDEX(其他调用!Y$5:Y$404,MATCH($K187,其他调用!$X$5:$X$404,0),0)</f>
        <v>39595.636120514268</v>
      </c>
      <c r="AJ187" s="12">
        <f>MIN(INDEX(其他调用!$AK$5:$AK$364,MATCH($K187,其他调用!$AG$5:$AG$364,0),1)/INDEX(其他调用!AI$5:AI$364,MATCH($K187,其他调用!$AG$5:$AG$364,0),0),1)*INDEX(其他调用!Z$5:Z$404,MATCH($K187,其他调用!$X$5:$X$404,0),0)</f>
        <v>40739.370821126722</v>
      </c>
      <c r="AK187" s="12">
        <f>MIN(INDEX(其他调用!$AK$5:$AK$364,MATCH($K187,其他调用!$AG$5:$AG$364,0),1)/INDEX(其他调用!AJ$5:AJ$364,MATCH($K187,其他调用!$AG$5:$AG$364,0),0),1)*INDEX(其他调用!AA$5:AA$404,MATCH($K187,其他调用!$X$5:$X$404,0),0)</f>
        <v>42254.560875589545</v>
      </c>
      <c r="AL187" s="12">
        <f>MIN(INDEX(其他调用!$AK$5:$AK$364,MATCH($K187,其他调用!$AG$5:$AG$364,0),1)/INDEX(其他调用!AK$5:AK$364,MATCH($K187,其他调用!$AG$5:$AG$364,0),0),1)*INDEX(其他调用!AB$5:AB$404,MATCH($K187,其他调用!$X$5:$X$404,0),0)</f>
        <v>44451.133837472735</v>
      </c>
      <c r="AM187" s="12">
        <f>MIN(INDEX(其他调用!$AK$5:$AK$364,MATCH($K187,其他调用!$AG$5:$AG$364,0),1)/INDEX(其他调用!AL$5:AL$364,MATCH($K187,其他调用!$AG$5:$AG$364,0),0),1)*INDEX(其他调用!AC$5:AC$404,MATCH($K187,其他调用!$X$5:$X$404,0),0)</f>
        <v>18332.563118049147</v>
      </c>
      <c r="AN187" s="12">
        <f>求节点(节奏总纲!D$4:D$163,标准城池设计!AF$4:AF$163,$K187)*求节点(节奏总纲!D$4:D$163,攻城基础信息!$AG$5:$AG$164,$K187)</f>
        <v>875709.89299274201</v>
      </c>
      <c r="AO187" s="12">
        <f>INDEX(其他调用!$AA$5:$AA$404,MATCH($K187,其他调用!$X$5:$X$404,0))*MIN(INDEX(其他调用!AL$5:AL$364,MATCH($K187,其他调用!$AG$5:$AG$364,0),1)/INDEX(其他调用!$AJ$5:$AJ$364,MATCH($K187,其他调用!$AG$5:$AG$364,0),0),5)*求节点(节奏总纲!D$4:D$163,攻城基础信息!$AG$5:$AG$164,$K187)</f>
        <v>705316.28567347198</v>
      </c>
      <c r="AP187" s="12">
        <f>MIN(INDEX(其他调用!$AL$5:$AL$364,MATCH($K187,其他调用!$AG$5:$AG$364,0),1)/INDEX(其他调用!AH$5:AH$364,MATCH($K187,其他调用!$AG$5:$AG$364,0),0),1)*INDEX(其他调用!Y$5:Y$404,MATCH($K187,其他调用!$X$5:$X$404,0),0)</f>
        <v>39595.636120514268</v>
      </c>
      <c r="AQ187" s="12">
        <f>MIN(INDEX(其他调用!$AL$5:$AL$364,MATCH($K187,其他调用!$AG$5:$AG$364,0),1)/INDEX(其他调用!AI$5:AI$364,MATCH($K187,其他调用!$AG$5:$AG$364,0),0),1)*INDEX(其他调用!Z$5:Z$404,MATCH($K187,其他调用!$X$5:$X$404,0),0)</f>
        <v>40739.370821126722</v>
      </c>
      <c r="AR187" s="12">
        <f>MIN(INDEX(其他调用!$AL$5:$AL$364,MATCH($K187,其他调用!$AG$5:$AG$364,0),1)/INDEX(其他调用!AJ$5:AJ$364,MATCH($K187,其他调用!$AG$5:$AG$364,0),0),1)*INDEX(其他调用!AA$5:AA$404,MATCH($K187,其他调用!$X$5:$X$404,0),0)</f>
        <v>42254.560875589545</v>
      </c>
      <c r="AS187" s="12">
        <f>MIN(INDEX(其他调用!$AL$5:$AL$364,MATCH($K187,其他调用!$AG$5:$AG$364,0),1)/INDEX(其他调用!AK$5:AK$364,MATCH($K187,其他调用!$AG$5:$AG$364,0),0),1)*INDEX(其他调用!AB$5:AB$404,MATCH($K187,其他调用!$X$5:$X$404,0),0)</f>
        <v>44451.133837472735</v>
      </c>
      <c r="AT187" s="12">
        <f>MIN(INDEX(其他调用!$AL$5:$AL$364,MATCH($K187,其他调用!$AG$5:$AG$364,0),1)/INDEX(其他调用!AL$5:AL$364,MATCH($K187,其他调用!$AG$5:$AG$364,0),0),1)*INDEX(其他调用!AC$5:AC$404,MATCH($K187,其他调用!$X$5:$X$404,0),0)</f>
        <v>48411.063086889459</v>
      </c>
      <c r="AV187" s="14">
        <f>IF(OR(AV$5="大R",AV$5="超R"),MAX(INDEX(其他调用!$H$5:$L$404,MATCH($K187,其他调用!$B$5:$B$404,0),MATCH(AV$5,其他调用!$H$4:$L$4,0))*120*0.85,2),INDEX(其他调用!$H$5:$L$404,MATCH($K187,其他调用!$B$5:$B$404,0),MATCH(AV$5,其他调用!$H$4:$L$4,0))*120*0.85)</f>
        <v>48.921801254999991</v>
      </c>
      <c r="AW187" s="14">
        <f>IF(OR(AW$5="大R",AW$5="超R"),MAX(INDEX(其他调用!$H$5:$L$404,MATCH($K187,其他调用!$B$5:$B$404,0),MATCH(AW$5,其他调用!$H$4:$L$4,0))*120*0.85,2),INDEX(其他调用!$H$5:$L$404,MATCH($K187,其他调用!$B$5:$B$404,0),MATCH(AW$5,其他调用!$H$4:$L$4,0))*120*0.85)</f>
        <v>48.237344010638395</v>
      </c>
      <c r="AX187" s="14">
        <f>IF(OR(AX$5="大R",AX$5="超R"),MAX(INDEX(其他调用!$H$5:$L$404,MATCH($K187,其他调用!$B$5:$B$404,0),MATCH(AX$5,其他调用!$H$4:$L$4,0))*120*0.85,2),INDEX(其他调用!$H$5:$L$404,MATCH($K187,其他调用!$B$5:$B$404,0),MATCH(AX$5,其他调用!$H$4:$L$4,0))*120*0.85)</f>
        <v>3.9376284143615998</v>
      </c>
      <c r="AY187" s="14">
        <f>IF(OR(AY$5="大R",AY$5="超R"),MAX(INDEX(其他调用!$H$5:$L$404,MATCH($K187,其他调用!$B$5:$B$404,0),MATCH(AY$5,其他调用!$H$4:$L$4,0))*120*0.85,2),INDEX(其他调用!$H$5:$L$404,MATCH($K187,其他调用!$B$5:$B$404,0),MATCH(AY$5,其他调用!$H$4:$L$4,0))*120*0.85)</f>
        <v>2</v>
      </c>
      <c r="AZ187" s="14">
        <f>IF(OR(AZ$5="大R",AZ$5="超R"),MAX(INDEX(其他调用!$H$5:$L$404,MATCH($K187,其他调用!$B$5:$B$404,0),MATCH(AZ$5,其他调用!$H$4:$L$4,0))*120*0.85,2),INDEX(其他调用!$H$5:$L$404,MATCH($K187,其他调用!$B$5:$B$404,0),MATCH(AZ$5,其他调用!$H$4:$L$4,0))*120*0.85)</f>
        <v>2</v>
      </c>
      <c r="BA187" s="14">
        <f>INDEX(其他调用!$H$5:$L$404,MATCH($K187,其他调用!$B$5:$B$404,0),MATCH(BA$5,其他调用!$H$4:$L$4,0))*INDEX(其他调用!$M$5:$M$404,MATCH($K187,其他调用!$B$5:$B$404,0))*0.6</f>
        <v>28.777530149999997</v>
      </c>
      <c r="BB187" s="14">
        <f>INDEX(其他调用!$H$5:$L$404,MATCH($K187,其他调用!$B$5:$B$404,0),MATCH(BB$5,其他调用!$H$4:$L$4,0))*INDEX(其他调用!$M$5:$M$404,MATCH($K187,其他调用!$B$5:$B$404,0))*0.6</f>
        <v>28.374908241551999</v>
      </c>
      <c r="BC187" s="14">
        <f>INDEX(其他调用!$H$5:$L$404,MATCH($K187,其他调用!$B$5:$B$404,0),MATCH(BC$5,其他调用!$H$4:$L$4,0))*INDEX(其他调用!$M$5:$M$404,MATCH($K187,其他调用!$B$5:$B$404,0))*0.6</f>
        <v>2.3162520084480001</v>
      </c>
      <c r="BD187" s="14">
        <f>INDEX(其他调用!$H$5:$L$404,MATCH($K187,其他调用!$B$5:$B$404,0),MATCH(BD$5,其他调用!$H$4:$L$4,0))*INDEX(其他调用!$M$5:$M$404,MATCH($K187,其他调用!$B$5:$B$404,0))*0.6</f>
        <v>0.4120776000000001</v>
      </c>
      <c r="BE187" s="14">
        <f>INDEX(其他调用!$H$5:$L$404,MATCH($K187,其他调用!$B$5:$B$404,0),MATCH(BE$5,其他调用!$H$4:$L$4,0))*INDEX(其他调用!$M$5:$M$404,MATCH($K187,其他调用!$B$5:$B$404,0))*0.6</f>
        <v>0.11923199999999998</v>
      </c>
      <c r="BF187" s="14">
        <f>IF(OR(BF$5="大R",BF$5="超R"),0,INDEX(其他调用!$H$5:$L$404,MATCH($K187,其他调用!$B$5:$B$404,0),MATCH(BF$5,其他调用!$H$4:$L$4,0))*50*0.4)</f>
        <v>9.5925100500000013</v>
      </c>
      <c r="BG187" s="14">
        <f>IF(OR(BG$5="大R",BG$5="超R"),0,INDEX(其他调用!$H$5:$L$404,MATCH($K187,其他调用!$B$5:$B$404,0),MATCH(BG$5,其他调用!$H$4:$L$4,0))*50*0.4)</f>
        <v>9.4583027471839998</v>
      </c>
      <c r="BH187" s="14">
        <f>IF(OR(BH$5="大R",BH$5="超R"),0,INDEX(其他调用!$H$5:$L$404,MATCH($K187,其他调用!$B$5:$B$404,0),MATCH(BH$5,其他调用!$H$4:$L$4,0))*50*0.4)</f>
        <v>0.77208400281600009</v>
      </c>
      <c r="BI187" s="14">
        <f>IF(OR(BI$5="大R",BI$5="超R"),0,INDEX(其他调用!$H$5:$L$404,MATCH($K187,其他调用!$B$5:$B$404,0),MATCH(BI$5,其他调用!$H$4:$L$4,0))*50*0.4)</f>
        <v>0</v>
      </c>
      <c r="BJ187" s="14">
        <f>IF(OR(BJ$5="大R",BJ$5="超R"),0,INDEX(其他调用!$H$5:$L$404,MATCH($K187,其他调用!$B$5:$B$404,0),MATCH(BJ$5,其他调用!$H$4:$L$4,0))*50*0.4)</f>
        <v>0</v>
      </c>
      <c r="BL187" s="14">
        <f t="shared" si="313"/>
        <v>182</v>
      </c>
      <c r="BM187" s="14">
        <f t="shared" si="220"/>
        <v>96</v>
      </c>
      <c r="BN187" s="14">
        <f>('疲劳值&amp;地图信息'!$S$10*'疲劳值&amp;地图信息'!$R$10+'疲劳值&amp;地图信息'!$S$11*'疲劳值&amp;地图信息'!$R$11+'疲劳值&amp;地图信息'!$S$12*'疲劳值&amp;地图信息'!$R$12+(BM187-'疲劳值&amp;地图信息'!$S$12-'疲劳值&amp;地图信息'!$S$11-'疲劳值&amp;地图信息'!$S$10)*'疲劳值&amp;地图信息'!$R$13)/BM187</f>
        <v>51.371477246638619</v>
      </c>
      <c r="BO187" s="14">
        <f>INDEX(其他调用!$M$5:$M$404,MATCH(BL187,其他调用!$B$5:$B$404,0))*0.6</f>
        <v>60</v>
      </c>
      <c r="BP187" s="14">
        <f>IF(BO187&gt;SUM('疲劳值&amp;地图信息'!$S$10:$S$12),('疲劳值&amp;地图信息'!$S$10*'疲劳值&amp;地图信息'!$R$10+'疲劳值&amp;地图信息'!$S$11*'疲劳值&amp;地图信息'!$R$11+'疲劳值&amp;地图信息'!$S$12*'疲劳值&amp;地图信息'!$R$12+(BO187-'疲劳值&amp;地图信息'!$S$12-'疲劳值&amp;地图信息'!$S$11-'疲劳值&amp;地图信息'!$S$10)*'疲劳值&amp;地图信息'!$R$13)/BO187,('疲劳值&amp;地图信息'!$S$10*'疲劳值&amp;地图信息'!$R$10+'疲劳值&amp;地图信息'!$S$11*'疲劳值&amp;地图信息'!$R$11+'疲劳值&amp;地图信息'!$S$12*'疲劳值&amp;地图信息'!$R$12+(BO187-'疲劳值&amp;地图信息'!$S$12-'疲劳值&amp;地图信息'!$S$11-'疲劳值&amp;地图信息'!$S$10)*'疲劳值&amp;地图信息'!$R$13)/BO187)</f>
        <v>44.158136341605953</v>
      </c>
      <c r="BQ187" s="14">
        <f t="shared" si="314"/>
        <v>20</v>
      </c>
      <c r="BR187" s="14">
        <f>('疲劳值&amp;地图信息'!$S$10*'疲劳值&amp;地图信息'!$R$10+($BQ187-'疲劳值&amp;地图信息'!$S$10)*'疲劳值&amp;地图信息'!$R$11)/$BQ187</f>
        <v>32.067203015074995</v>
      </c>
      <c r="CF187" s="14">
        <v>182</v>
      </c>
      <c r="CG187" s="51">
        <f t="shared" si="221"/>
        <v>12839</v>
      </c>
      <c r="CH187" s="51">
        <f t="shared" si="222"/>
        <v>1010</v>
      </c>
      <c r="CI187" s="51">
        <f>INT(SUMPRODUCT($N187:$R187,$BA187:$BE187)/SUM($BA187:$BE187)/10000*$BX$7*$BZ$34/'疲劳值&amp;地图信息'!$R$10*$BY$53)</f>
        <v>3184</v>
      </c>
      <c r="CJ187" s="50">
        <f t="shared" si="223"/>
        <v>0.75377208947337526</v>
      </c>
      <c r="CK187" s="50">
        <f t="shared" si="224"/>
        <v>5.9296659425820464E-2</v>
      </c>
      <c r="CL187" s="50">
        <f t="shared" si="225"/>
        <v>0.18693125110080433</v>
      </c>
      <c r="CM187" s="14">
        <f t="shared" si="226"/>
        <v>13665</v>
      </c>
      <c r="CN187" s="14">
        <f t="shared" si="227"/>
        <v>1652</v>
      </c>
      <c r="CO187" s="14">
        <f>INT(SUMPRODUCT($U187:$Y187,$BA187:$BE187)/SUM($BA187:$BE187)/10000*$BX$7*$BZ$34/'疲劳值&amp;地图信息'!$R$10*$BY$54)</f>
        <v>5975</v>
      </c>
      <c r="CP187" s="50">
        <f t="shared" si="228"/>
        <v>0.64179034379109523</v>
      </c>
      <c r="CQ187" s="50">
        <f t="shared" si="229"/>
        <v>7.7587826413676494E-2</v>
      </c>
      <c r="CR187" s="50">
        <f t="shared" si="230"/>
        <v>0.28062182979522826</v>
      </c>
      <c r="CS187" s="14">
        <f t="shared" si="231"/>
        <v>14531</v>
      </c>
      <c r="CT187" s="14">
        <f t="shared" si="232"/>
        <v>2875</v>
      </c>
      <c r="CU187" s="14">
        <f>INT(SUMPRODUCT($AB187:$AF187,$BA187:$BE187)/SUM($BA187:$BE187)/10000*$BX$7*$BZ$34/'疲劳值&amp;地图信息'!$R$10*$BY$55)</f>
        <v>8118</v>
      </c>
      <c r="CV187" s="50">
        <f t="shared" si="233"/>
        <v>0.56930731860209993</v>
      </c>
      <c r="CW187" s="50">
        <f t="shared" si="234"/>
        <v>0.11263908478294939</v>
      </c>
      <c r="CX187" s="50">
        <f t="shared" si="235"/>
        <v>0.31805359661495064</v>
      </c>
      <c r="CY187" s="14">
        <f t="shared" si="236"/>
        <v>17366</v>
      </c>
      <c r="CZ187" s="14">
        <f t="shared" si="237"/>
        <v>8283</v>
      </c>
      <c r="DA187" s="14">
        <f>INT(SUMPRODUCT($AI187:$AM187,$BA187:$BE187)/SUM($BA187:$BE187)/10000*$BX$7*$BZ$34/'疲劳值&amp;地图信息'!$R$10*$BY$56)</f>
        <v>12246</v>
      </c>
      <c r="DB187" s="50">
        <f t="shared" si="238"/>
        <v>0.45826626203984694</v>
      </c>
      <c r="DC187" s="50">
        <f t="shared" si="239"/>
        <v>0.21857764876632801</v>
      </c>
      <c r="DD187" s="50">
        <f t="shared" si="240"/>
        <v>0.32315608919382505</v>
      </c>
      <c r="DE187" s="14">
        <f t="shared" si="241"/>
        <v>17848</v>
      </c>
      <c r="DF187" s="14">
        <f t="shared" si="242"/>
        <v>14375</v>
      </c>
      <c r="DG187" s="14">
        <f>INT(SUMPRODUCT($AP187:$AT187,$BA187:$BE187)/SUM($BA187:$BE187)/10000*$BX$7*$BZ$34/'疲劳值&amp;地图信息'!$R$10*$BY$57)</f>
        <v>16352</v>
      </c>
      <c r="DH187" s="50">
        <f t="shared" si="243"/>
        <v>0.36743180648481727</v>
      </c>
      <c r="DI187" s="50">
        <f t="shared" si="244"/>
        <v>0.29593412249099332</v>
      </c>
      <c r="DJ187" s="50">
        <f t="shared" si="245"/>
        <v>0.33663407102418941</v>
      </c>
      <c r="DL187" s="14">
        <f t="shared" si="316"/>
        <v>17033</v>
      </c>
      <c r="DM187" s="14">
        <f t="shared" si="317"/>
        <v>21292</v>
      </c>
      <c r="DN187" s="14">
        <f t="shared" si="318"/>
        <v>25524</v>
      </c>
      <c r="DO187" s="14">
        <f t="shared" si="319"/>
        <v>37895</v>
      </c>
      <c r="DP187" s="14">
        <f t="shared" si="320"/>
        <v>48575</v>
      </c>
      <c r="DQ187" s="14">
        <f t="shared" si="321"/>
        <v>1174853</v>
      </c>
      <c r="DT187" s="14">
        <f t="shared" si="315"/>
        <v>235575</v>
      </c>
      <c r="DU187" s="50">
        <f t="shared" si="217"/>
        <v>0.16702376867163726</v>
      </c>
      <c r="DW187" s="14">
        <f t="shared" si="246"/>
        <v>1410428</v>
      </c>
      <c r="EB187" s="14">
        <v>182</v>
      </c>
      <c r="EC187" s="51">
        <f t="shared" si="247"/>
        <v>21399</v>
      </c>
      <c r="ED187" s="51">
        <f t="shared" si="248"/>
        <v>1683</v>
      </c>
      <c r="EE187" s="51">
        <f>INT(SUMPRODUCT($N187:$R187,$BF187:$BJ187)/SUM($BF187:$BJ187)/10000*$BX$7*$BZ$46/'疲劳值&amp;地图信息'!$R$10*$BY$53)</f>
        <v>427</v>
      </c>
      <c r="EF187" s="50">
        <f t="shared" si="249"/>
        <v>0.91024713939342383</v>
      </c>
      <c r="EG187" s="50">
        <f t="shared" si="250"/>
        <v>7.1589603981453906E-2</v>
      </c>
      <c r="EH187" s="50">
        <f t="shared" si="251"/>
        <v>1.8163256625122293E-2</v>
      </c>
      <c r="EI187" s="51">
        <f t="shared" si="252"/>
        <v>22776</v>
      </c>
      <c r="EJ187" s="51">
        <f t="shared" si="253"/>
        <v>2754</v>
      </c>
      <c r="EK187" s="14">
        <f>INT(SUMPRODUCT($U187:$Y187,$BF187:$BJ187)/SUM($BF187:$BJ187)/10000*$BX$7*$BZ$46/'疲劳值&amp;地图信息'!$R$10*$BY$54)</f>
        <v>802</v>
      </c>
      <c r="EL187" s="50">
        <f t="shared" si="254"/>
        <v>0.86495518760443568</v>
      </c>
      <c r="EM187" s="50">
        <f t="shared" si="255"/>
        <v>0.1045875740543825</v>
      </c>
      <c r="EN187" s="50">
        <f t="shared" si="256"/>
        <v>3.045723834118183E-2</v>
      </c>
      <c r="EO187" s="51">
        <f t="shared" si="257"/>
        <v>24219</v>
      </c>
      <c r="EP187" s="51">
        <f t="shared" si="258"/>
        <v>4791</v>
      </c>
      <c r="EQ187" s="14">
        <f>INT(SUMPRODUCT($AB187:$AF187,$BF187:$BJ187)/SUM($BF187:$BJ187)/10000*$BX$7*$BZ$46/'疲劳值&amp;地图信息'!$R$10*$BY$55)</f>
        <v>1088</v>
      </c>
      <c r="ER187" s="50">
        <f t="shared" si="259"/>
        <v>0.8046714067379892</v>
      </c>
      <c r="ES187" s="50">
        <f t="shared" si="260"/>
        <v>0.15918001196092763</v>
      </c>
      <c r="ET187" s="50">
        <f t="shared" si="261"/>
        <v>3.614858130108313E-2</v>
      </c>
      <c r="EU187" s="51">
        <f t="shared" si="262"/>
        <v>28944</v>
      </c>
      <c r="EV187" s="51">
        <f t="shared" si="263"/>
        <v>13806</v>
      </c>
      <c r="EW187" s="14">
        <f>INT(SUMPRODUCT($AI187:$AM187,$BF187:$BJ187)/SUM($BF187:$BJ187)/10000*$BX$7*$BZ$46/'疲劳值&amp;地图信息'!$R$10*$BY$56)</f>
        <v>1633</v>
      </c>
      <c r="EX187" s="50">
        <f t="shared" si="264"/>
        <v>0.65214158574228875</v>
      </c>
      <c r="EY187" s="50">
        <f t="shared" si="265"/>
        <v>0.31106504742806929</v>
      </c>
      <c r="EZ187" s="50">
        <f t="shared" si="266"/>
        <v>3.6793366829641981E-2</v>
      </c>
      <c r="FA187" s="51">
        <f t="shared" si="267"/>
        <v>29746</v>
      </c>
      <c r="FB187" s="51">
        <f t="shared" si="268"/>
        <v>23958</v>
      </c>
      <c r="FC187" s="14">
        <f>INT(SUMPRODUCT($AP187:$AT187,$BF187:$BJ187)/SUM($BF187:$BJ187)/10000*$BX$7*$BZ$46/'疲劳值&amp;地图信息'!$R$10*$BY$57)</f>
        <v>2177</v>
      </c>
      <c r="FD187" s="50">
        <f t="shared" si="269"/>
        <v>0.53230972960397993</v>
      </c>
      <c r="FE187" s="50">
        <f t="shared" si="270"/>
        <v>0.42873248510227091</v>
      </c>
      <c r="FF187" s="50">
        <f t="shared" si="271"/>
        <v>3.8957785293749214E-2</v>
      </c>
      <c r="FH187" s="14">
        <f t="shared" si="272"/>
        <v>23509</v>
      </c>
      <c r="FI187" s="14">
        <f t="shared" si="273"/>
        <v>26332</v>
      </c>
      <c r="FJ187" s="14">
        <f t="shared" si="274"/>
        <v>30098</v>
      </c>
      <c r="FK187" s="14">
        <f t="shared" si="275"/>
        <v>44383</v>
      </c>
      <c r="FL187" s="14">
        <f t="shared" si="276"/>
        <v>55881</v>
      </c>
      <c r="FM187" s="14">
        <f t="shared" si="277"/>
        <v>2739331</v>
      </c>
      <c r="FP187" s="14">
        <f t="shared" si="278"/>
        <v>334150</v>
      </c>
      <c r="FQ187" s="50">
        <f t="shared" si="218"/>
        <v>0.10872037276300064</v>
      </c>
      <c r="FS187" s="14">
        <f t="shared" si="279"/>
        <v>3073481</v>
      </c>
      <c r="FX187" s="14">
        <v>182</v>
      </c>
      <c r="FY187" s="51">
        <f t="shared" si="280"/>
        <v>29959</v>
      </c>
      <c r="FZ187" s="51">
        <f t="shared" si="281"/>
        <v>1683</v>
      </c>
      <c r="GA187" s="51">
        <f>INT(SUMPRODUCT($N187:$R187,$BF187:$BJ187)/SUM($BF187:$BJ187)/10000*$BX$7*$BZ$46/'疲劳值&amp;地图信息'!$R$10*$BY$53)</f>
        <v>427</v>
      </c>
      <c r="GB187" s="50">
        <f t="shared" si="282"/>
        <v>0.93420437182325611</v>
      </c>
      <c r="GC187" s="50">
        <f t="shared" si="283"/>
        <v>5.2480588730549754E-2</v>
      </c>
      <c r="GD187" s="50">
        <f t="shared" si="284"/>
        <v>1.3315039446194143E-2</v>
      </c>
      <c r="GE187" s="51">
        <f t="shared" si="285"/>
        <v>31886</v>
      </c>
      <c r="GF187" s="51">
        <f t="shared" si="286"/>
        <v>2754</v>
      </c>
      <c r="GG187" s="14">
        <f>INT(SUMPRODUCT($U187:$Y187,$BF187:$BJ187)/SUM($BF187:$BJ187)/10000*$BX$7*$BZ$46/'疲劳值&amp;地图信息'!$R$10*$BY$54)</f>
        <v>802</v>
      </c>
      <c r="GH187" s="50">
        <f t="shared" si="287"/>
        <v>0.89966706167823485</v>
      </c>
      <c r="GI187" s="50">
        <f t="shared" si="288"/>
        <v>7.7704418486541388E-2</v>
      </c>
      <c r="GJ187" s="50">
        <f t="shared" si="289"/>
        <v>2.2628519835223748E-2</v>
      </c>
      <c r="GK187" s="51">
        <f t="shared" si="290"/>
        <v>33906</v>
      </c>
      <c r="GL187" s="51">
        <f t="shared" si="291"/>
        <v>4791</v>
      </c>
      <c r="GM187" s="14">
        <f>INT(SUMPRODUCT($AB187:$AF187,$BF187:$BJ187)/SUM($BF187:$BJ187)/10000*$BX$7*$BZ$46/'疲劳值&amp;地图信息'!$R$10*$BY$55)</f>
        <v>1088</v>
      </c>
      <c r="GN187" s="50">
        <f t="shared" si="292"/>
        <v>0.85223074022872947</v>
      </c>
      <c r="GO187" s="50">
        <f t="shared" si="293"/>
        <v>0.12042226969963554</v>
      </c>
      <c r="GP187" s="50">
        <f t="shared" si="294"/>
        <v>2.734699007163504E-2</v>
      </c>
      <c r="GQ187" s="51">
        <f t="shared" si="295"/>
        <v>40522</v>
      </c>
      <c r="GR187" s="51">
        <f t="shared" si="296"/>
        <v>13806</v>
      </c>
      <c r="GS187" s="14">
        <f>INT(SUMPRODUCT($AI187:$AM187,$BF187:$BJ187)/SUM($BF187:$BJ187)/10000*$BX$7*$BZ$46/'疲劳值&amp;地图信息'!$R$10*$BY$56)</f>
        <v>1633</v>
      </c>
      <c r="GT187" s="50">
        <f t="shared" si="297"/>
        <v>0.72411143474920037</v>
      </c>
      <c r="GU187" s="50">
        <f t="shared" si="298"/>
        <v>0.2467075284573185</v>
      </c>
      <c r="GV187" s="50">
        <f t="shared" si="299"/>
        <v>2.9181036793481174E-2</v>
      </c>
      <c r="GW187" s="51">
        <f t="shared" si="300"/>
        <v>41645</v>
      </c>
      <c r="GX187" s="51">
        <f t="shared" si="301"/>
        <v>23958</v>
      </c>
      <c r="GY187" s="14">
        <f>INT(SUMPRODUCT($AP187:$AT187,$BF187:$BJ187)/SUM($BF187:$BJ187)/10000*$BX$7*$BZ$46/'疲劳值&amp;地图信息'!$R$10*$BY$57)</f>
        <v>2177</v>
      </c>
      <c r="GZ187" s="50">
        <f t="shared" si="302"/>
        <v>0.61441428149896726</v>
      </c>
      <c r="HA187" s="50">
        <f t="shared" si="303"/>
        <v>0.35346709943936266</v>
      </c>
      <c r="HB187" s="50">
        <f t="shared" si="304"/>
        <v>3.2118619061670108E-2</v>
      </c>
      <c r="HD187" s="14">
        <f t="shared" si="305"/>
        <v>32069</v>
      </c>
      <c r="HE187" s="14">
        <f t="shared" si="306"/>
        <v>35442</v>
      </c>
      <c r="HF187" s="14">
        <f t="shared" si="307"/>
        <v>39785</v>
      </c>
      <c r="HG187" s="14">
        <f t="shared" si="308"/>
        <v>55961</v>
      </c>
      <c r="HH187" s="14">
        <f t="shared" si="309"/>
        <v>67780</v>
      </c>
      <c r="HI187" s="14">
        <f t="shared" si="310"/>
        <v>3682641</v>
      </c>
      <c r="HL187" s="14">
        <f t="shared" si="311"/>
        <v>430050</v>
      </c>
      <c r="HM187" s="50">
        <f t="shared" si="219"/>
        <v>0.1045665721057089</v>
      </c>
      <c r="HO187" s="14">
        <f t="shared" si="312"/>
        <v>4112691</v>
      </c>
    </row>
    <row r="188" spans="11:223" x14ac:dyDescent="0.2">
      <c r="K188" s="14">
        <v>183</v>
      </c>
      <c r="L188" s="12">
        <f>求节点(节奏总纲!D$4:D$163,标准城池设计!AB$4:AB$163,$K188)*求节点(节奏总纲!D$4:D$163,攻城基础信息!$AC$5:$AC$164,$K188)</f>
        <v>631434.49195407913</v>
      </c>
      <c r="M188" s="12">
        <f>INDEX(其他调用!$AA$5:$AA$404,MATCH(K188,其他调用!$X$5:$X$404,0))*MIN(INDEX(其他调用!$AH$5:$AH$364,MATCH('征服点（新）'!K188,其他调用!$AG$5:$AG$364,0),1)/INDEX(其他调用!$AJ$5:$AJ$364,MATCH(K188,其他调用!$AG$5:$AG$364,0),0),5)*求节点(节奏总纲!D$4:D$163,攻城基础信息!$AC$5:$AC$164,$K188)</f>
        <v>49687.258848364792</v>
      </c>
      <c r="N188" s="12">
        <f>MIN(INDEX(其他调用!$AH$5:$AH$364,MATCH($K188,其他调用!$AG$5:$AG$364,0),1)/INDEX(其他调用!AH$5:AH$364,MATCH($K188,其他调用!$AG$5:$AG$364,0),0),1)*INDEX(其他调用!Y$5:Y$404,MATCH($K188,其他调用!$X$5:$X$404,0),0)</f>
        <v>39625.74208406292</v>
      </c>
      <c r="O188" s="12">
        <f>MIN(INDEX(其他调用!$AH$5:$AH$364,MATCH($K188,其他调用!$AG$5:$AG$364,0),1)/INDEX(其他调用!AI$5:AI$364,MATCH($K188,其他调用!$AG$5:$AG$364,0),0),1)*INDEX(其他调用!Z$5:Z$404,MATCH($K188,其他调用!$X$5:$X$404,0),0)</f>
        <v>24959.238936506132</v>
      </c>
      <c r="P188" s="12">
        <f>MIN(INDEX(其他调用!$AH$5:$AH$364,MATCH($K188,其他调用!$AG$5:$AG$364,0),1)/INDEX(其他调用!AJ$5:AJ$364,MATCH($K188,其他调用!$AG$5:$AG$364,0),0),1)*INDEX(其他调用!AA$5:AA$404,MATCH($K188,其他调用!$X$5:$X$404,0),0)</f>
        <v>14872.058736444575</v>
      </c>
      <c r="Q188" s="12">
        <f>MIN(INDEX(其他调用!$AH$5:$AH$364,MATCH($K188,其他调用!$AG$5:$AG$364,0),1)/INDEX(其他调用!AK$5:AK$364,MATCH($K188,其他调用!$AG$5:$AG$364,0),0),1)*INDEX(其他调用!AB$5:AB$404,MATCH($K188,其他调用!$X$5:$X$404,0),0)</f>
        <v>5430.2530702278355</v>
      </c>
      <c r="R188" s="12">
        <f>MIN(INDEX(其他调用!$AH$5:$AH$364,MATCH($K188,其他调用!$AG$5:$AG$364,0),1)/INDEX(其他调用!AL$5:AL$364,MATCH($K188,其他调用!$AG$5:$AG$364,0),0),1)*INDEX(其他调用!AC$5:AC$404,MATCH($K188,其他调用!$X$5:$X$404,0),0)</f>
        <v>2249.1919998631465</v>
      </c>
      <c r="S188" s="12">
        <f>求节点(节奏总纲!D$4:D$163,标准城池设计!AC$4:AC$163,$K188)*求节点(节奏总纲!D$4:D$163,攻城基础信息!$AD$5:$AD$164,$K188)</f>
        <v>672061.92907613353</v>
      </c>
      <c r="T188" s="12">
        <f>INDEX(其他调用!$AA$5:$AA$404,MATCH($K188,其他调用!$X$5:$X$404,0))*MIN(INDEX(其他调用!AI$5:AI$364,MATCH($K188,其他调用!$AG$5:$AG$364,0),1)/INDEX(其他调用!$AJ$5:$AJ$364,MATCH($K188,其他调用!$AG$5:$AG$364,0),0),5)*求节点(节奏总纲!D$4:D$163,攻城基础信息!$AD$5:$AD$164,$K188)</f>
        <v>81164.557467798659</v>
      </c>
      <c r="U188" s="12">
        <f>MIN(INDEX(其他调用!$AI$5:$AI$364,MATCH($K188,其他调用!$AG$5:$AG$364,0),1)/INDEX(其他调用!AH$5:AH$364,MATCH($K188,其他调用!$AG$5:$AG$364,0),0),1)*INDEX(其他调用!Y$5:Y$404,MATCH($K188,其他调用!$X$5:$X$404,0),0)</f>
        <v>39625.74208406292</v>
      </c>
      <c r="V188" s="12">
        <f>MIN(INDEX(其他调用!$AI$5:$AI$364,MATCH($K188,其他调用!$AG$5:$AG$364,0),1)/INDEX(其他调用!AI$5:AI$364,MATCH($K188,其他调用!$AG$5:$AG$364,0),0),1)*INDEX(其他调用!Z$5:Z$404,MATCH($K188,其他调用!$X$5:$X$404,0),0)</f>
        <v>40771.127849835873</v>
      </c>
      <c r="W188" s="12">
        <f>MIN(INDEX(其他调用!$AI$5:$AI$364,MATCH($K188,其他调用!$AG$5:$AG$364,0),1)/INDEX(其他调用!AJ$5:AJ$364,MATCH($K188,其他调用!$AG$5:$AG$364,0),0),1)*INDEX(其他调用!AA$5:AA$404,MATCH($K188,其他调用!$X$5:$X$404,0),0)</f>
        <v>24293.633699182377</v>
      </c>
      <c r="X188" s="12">
        <f>MIN(INDEX(其他调用!$AI$5:$AI$364,MATCH($K188,其他调用!$AG$5:$AG$364,0),1)/INDEX(其他调用!AK$5:AK$364,MATCH($K188,其他调用!$AG$5:$AG$364,0),0),1)*INDEX(其他调用!AB$5:AB$404,MATCH($K188,其他调用!$X$5:$X$404,0),0)</f>
        <v>8870.3643066375771</v>
      </c>
      <c r="Y188" s="12">
        <f>MIN(INDEX(其他调用!$AI$5:$AI$364,MATCH($K188,其他调用!$AG$5:$AG$364,0),1)/INDEX(其他调用!AL$5:AL$364,MATCH($K188,其他调用!$AG$5:$AG$364,0),0),1)*INDEX(其他调用!AC$5:AC$404,MATCH($K188,其他调用!$X$5:$X$404,0),0)</f>
        <v>3674.0741501986313</v>
      </c>
      <c r="Z188" s="12">
        <f>求节点(节奏总纲!D$4:D$163,标准城池设计!AD$4:AD$163,$K188)*求节点(节奏总纲!D$4:D$163,攻城基础信息!$AE$5:$AE$164,$K188)</f>
        <v>715216.08916544088</v>
      </c>
      <c r="AA188" s="12">
        <f>INDEX(其他调用!$AA$5:$AA$404,MATCH($K188,其他调用!$X$5:$X$404,0))*MIN(INDEX(其他调用!AJ$5:AJ$364,MATCH($K188,其他调用!$AG$5:$AG$364,0),1)/INDEX(其他调用!$AJ$5:$AJ$364,MATCH($K188,其他调用!$AG$5:$AG$364,0),0),5)*求节点(节奏总纲!D$4:D$163,攻城基础信息!$AE$5:$AE$164,$K188)</f>
        <v>141278.72048468792</v>
      </c>
      <c r="AB188" s="12">
        <f>MIN(INDEX(其他调用!$AJ$5:$AJ$364,MATCH($K188,其他调用!$AG$5:$AG$364,0),1)/INDEX(其他调用!AH$5:AH$364,MATCH($K188,其他调用!$AG$5:$AG$364,0),0),1)*INDEX(其他调用!Y$5:Y$404,MATCH($K188,其他调用!$X$5:$X$404,0),0)</f>
        <v>39625.74208406292</v>
      </c>
      <c r="AC188" s="12">
        <f>MIN(INDEX(其他调用!$AJ$5:$AJ$364,MATCH($K188,其他调用!$AG$5:$AG$364,0),1)/INDEX(其他调用!AI$5:AI$364,MATCH($K188,其他调用!$AG$5:$AG$364,0),0),1)*INDEX(其他调用!Z$5:Z$404,MATCH($K188,其他调用!$X$5:$X$404,0),0)</f>
        <v>40771.127849835873</v>
      </c>
      <c r="AD188" s="12">
        <f>MIN(INDEX(其他调用!$AJ$5:$AJ$364,MATCH($K188,其他调用!$AG$5:$AG$364,0),1)/INDEX(其他调用!AJ$5:AJ$364,MATCH($K188,其他调用!$AG$5:$AG$364,0),0),1)*INDEX(其他调用!AA$5:AA$404,MATCH($K188,其他调用!$X$5:$X$404,0),0)</f>
        <v>42286.603808637381</v>
      </c>
      <c r="AE188" s="12">
        <f>MIN(INDEX(其他调用!$AJ$5:$AJ$364,MATCH($K188,其他调用!$AG$5:$AG$364,0),1)/INDEX(其他调用!AK$5:AK$364,MATCH($K188,其他调用!$AG$5:$AG$364,0),0),1)*INDEX(其他调用!AB$5:AB$404,MATCH($K188,其他调用!$X$5:$X$404,0),0)</f>
        <v>15440.1595791611</v>
      </c>
      <c r="AF188" s="12">
        <f>MIN(INDEX(其他调用!$AJ$5:$AJ$364,MATCH($K188,其他调用!$AG$5:$AG$364,0),1)/INDEX(其他调用!AL$5:AL$364,MATCH($K188,其他调用!$AG$5:$AG$364,0),0),1)*INDEX(其他调用!AC$5:AC$404,MATCH($K188,其他调用!$X$5:$X$404,0),0)</f>
        <v>6395.260580480166</v>
      </c>
      <c r="AG188" s="12">
        <f>求节点(节奏总纲!D$4:D$163,标准城池设计!AE$4:AE$163,$K188)*求节点(节奏总纲!D$4:D$163,攻城基础信息!$AF$5:$AF$164,$K188)</f>
        <v>854835.68949311564</v>
      </c>
      <c r="AH188" s="12">
        <f>INDEX(其他调用!$AA$5:$AA$404,MATCH($K188,其他调用!$X$5:$X$404,0))*MIN(INDEX(其他调用!AK$5:AK$364,MATCH($K188,其他调用!$AG$5:$AG$364,0),1)/INDEX(其他调用!$AJ$5:$AJ$364,MATCH($K188,其他调用!$AG$5:$AG$364,0),0),5)*求节点(节奏总纲!D$4:D$163,攻城基础信息!$AF$5:$AF$164,$K188)</f>
        <v>407021.13204807282</v>
      </c>
      <c r="AI188" s="12">
        <f>MIN(INDEX(其他调用!$AK$5:$AK$364,MATCH($K188,其他调用!$AG$5:$AG$364,0),1)/INDEX(其他调用!AH$5:AH$364,MATCH($K188,其他调用!$AG$5:$AG$364,0),0),1)*INDEX(其他调用!Y$5:Y$404,MATCH($K188,其他调用!$X$5:$X$404,0),0)</f>
        <v>39625.74208406292</v>
      </c>
      <c r="AJ188" s="12">
        <f>MIN(INDEX(其他调用!$AK$5:$AK$364,MATCH($K188,其他调用!$AG$5:$AG$364,0),1)/INDEX(其他调用!AI$5:AI$364,MATCH($K188,其他调用!$AG$5:$AG$364,0),0),1)*INDEX(其他调用!Z$5:Z$404,MATCH($K188,其他调用!$X$5:$X$404,0),0)</f>
        <v>40771.127849835873</v>
      </c>
      <c r="AK188" s="12">
        <f>MIN(INDEX(其他调用!$AK$5:$AK$364,MATCH($K188,其他调用!$AG$5:$AG$364,0),1)/INDEX(其他调用!AJ$5:AJ$364,MATCH($K188,其他调用!$AG$5:$AG$364,0),0),1)*INDEX(其他调用!AA$5:AA$404,MATCH($K188,其他调用!$X$5:$X$404,0),0)</f>
        <v>42286.603808637381</v>
      </c>
      <c r="AL188" s="12">
        <f>MIN(INDEX(其他调用!$AK$5:$AK$364,MATCH($K188,其他调用!$AG$5:$AG$364,0),1)/INDEX(其他调用!AK$5:AK$364,MATCH($K188,其他调用!$AG$5:$AG$364,0),0),1)*INDEX(其他调用!AB$5:AB$404,MATCH($K188,其他调用!$X$5:$X$404,0),0)</f>
        <v>44482.78699971785</v>
      </c>
      <c r="AM188" s="12">
        <f>MIN(INDEX(其他调用!$AK$5:$AK$364,MATCH($K188,其他调用!$AG$5:$AG$364,0),1)/INDEX(其他调用!AL$5:AL$364,MATCH($K188,其他调用!$AG$5:$AG$364,0),0),1)*INDEX(其他调用!AC$5:AC$404,MATCH($K188,其他调用!$X$5:$X$404,0),0)</f>
        <v>18424.616193289861</v>
      </c>
      <c r="AN188" s="12">
        <f>求节点(节奏总纲!D$4:D$163,标准城池设计!AF$4:AF$163,$K188)*求节点(节奏总纲!D$4:D$163,攻城基础信息!$AG$5:$AG$164,$K188)</f>
        <v>879013.98400055978</v>
      </c>
      <c r="AO188" s="12">
        <f>INDEX(其他调用!$AA$5:$AA$404,MATCH($K188,其他调用!$X$5:$X$404,0))*MIN(INDEX(其他调用!AL$5:AL$364,MATCH($K188,其他调用!$AG$5:$AG$364,0),1)/INDEX(其他调用!$AJ$5:$AJ$364,MATCH($K188,其他调用!$AG$5:$AG$364,0),0),5)*求节点(节奏总纲!D$4:D$163,攻城基础信息!$AG$5:$AG$164,$K188)</f>
        <v>706393.60242343962</v>
      </c>
      <c r="AP188" s="12">
        <f>MIN(INDEX(其他调用!$AL$5:$AL$364,MATCH($K188,其他调用!$AG$5:$AG$364,0),1)/INDEX(其他调用!AH$5:AH$364,MATCH($K188,其他调用!$AG$5:$AG$364,0),0),1)*INDEX(其他调用!Y$5:Y$404,MATCH($K188,其他调用!$X$5:$X$404,0),0)</f>
        <v>39625.74208406292</v>
      </c>
      <c r="AQ188" s="12">
        <f>MIN(INDEX(其他调用!$AL$5:$AL$364,MATCH($K188,其他调用!$AG$5:$AG$364,0),1)/INDEX(其他调用!AI$5:AI$364,MATCH($K188,其他调用!$AG$5:$AG$364,0),0),1)*INDEX(其他调用!Z$5:Z$404,MATCH($K188,其他调用!$X$5:$X$404,0),0)</f>
        <v>40771.127849835873</v>
      </c>
      <c r="AR188" s="12">
        <f>MIN(INDEX(其他调用!$AL$5:$AL$364,MATCH($K188,其他调用!$AG$5:$AG$364,0),1)/INDEX(其他调用!AJ$5:AJ$364,MATCH($K188,其他调用!$AG$5:$AG$364,0),0),1)*INDEX(其他调用!AA$5:AA$404,MATCH($K188,其他调用!$X$5:$X$404,0),0)</f>
        <v>42286.603808637381</v>
      </c>
      <c r="AS188" s="12">
        <f>MIN(INDEX(其他调用!$AL$5:$AL$364,MATCH($K188,其他调用!$AG$5:$AG$364,0),1)/INDEX(其他调用!AK$5:AK$364,MATCH($K188,其他调用!$AG$5:$AG$364,0),0),1)*INDEX(其他调用!AB$5:AB$404,MATCH($K188,其他调用!$X$5:$X$404,0),0)</f>
        <v>44482.78699971785</v>
      </c>
      <c r="AT188" s="12">
        <f>MIN(INDEX(其他调用!$AL$5:$AL$364,MATCH($K188,其他调用!$AG$5:$AG$364,0),1)/INDEX(其他调用!AL$5:AL$364,MATCH($K188,其他调用!$AG$5:$AG$364,0),0),1)*INDEX(其他调用!AC$5:AC$404,MATCH($K188,其他调用!$X$5:$X$404,0),0)</f>
        <v>48441.668810506126</v>
      </c>
      <c r="AV188" s="14">
        <f>IF(OR(AV$5="大R",AV$5="超R"),MAX(INDEX(其他调用!$H$5:$L$404,MATCH($K188,其他调用!$B$5:$B$404,0),MATCH(AV$5,其他调用!$H$4:$L$4,0))*120*0.85,2),INDEX(其他调用!$H$5:$L$404,MATCH($K188,其他调用!$B$5:$B$404,0),MATCH(AV$5,其他调用!$H$4:$L$4,0))*120*0.85)</f>
        <v>48.921801254999991</v>
      </c>
      <c r="AW188" s="14">
        <f>IF(OR(AW$5="大R",AW$5="超R"),MAX(INDEX(其他调用!$H$5:$L$404,MATCH($K188,其他调用!$B$5:$B$404,0),MATCH(AW$5,其他调用!$H$4:$L$4,0))*120*0.85,2),INDEX(其他调用!$H$5:$L$404,MATCH($K188,其他调用!$B$5:$B$404,0),MATCH(AW$5,其他调用!$H$4:$L$4,0))*120*0.85)</f>
        <v>48.237344010638395</v>
      </c>
      <c r="AX188" s="14">
        <f>IF(OR(AX$5="大R",AX$5="超R"),MAX(INDEX(其他调用!$H$5:$L$404,MATCH($K188,其他调用!$B$5:$B$404,0),MATCH(AX$5,其他调用!$H$4:$L$4,0))*120*0.85,2),INDEX(其他调用!$H$5:$L$404,MATCH($K188,其他调用!$B$5:$B$404,0),MATCH(AX$5,其他调用!$H$4:$L$4,0))*120*0.85)</f>
        <v>3.9376284143615998</v>
      </c>
      <c r="AY188" s="14">
        <f>IF(OR(AY$5="大R",AY$5="超R"),MAX(INDEX(其他调用!$H$5:$L$404,MATCH($K188,其他调用!$B$5:$B$404,0),MATCH(AY$5,其他调用!$H$4:$L$4,0))*120*0.85,2),INDEX(其他调用!$H$5:$L$404,MATCH($K188,其他调用!$B$5:$B$404,0),MATCH(AY$5,其他调用!$H$4:$L$4,0))*120*0.85)</f>
        <v>2</v>
      </c>
      <c r="AZ188" s="14">
        <f>IF(OR(AZ$5="大R",AZ$5="超R"),MAX(INDEX(其他调用!$H$5:$L$404,MATCH($K188,其他调用!$B$5:$B$404,0),MATCH(AZ$5,其他调用!$H$4:$L$4,0))*120*0.85,2),INDEX(其他调用!$H$5:$L$404,MATCH($K188,其他调用!$B$5:$B$404,0),MATCH(AZ$5,其他调用!$H$4:$L$4,0))*120*0.85)</f>
        <v>2</v>
      </c>
      <c r="BA188" s="14">
        <f>INDEX(其他调用!$H$5:$L$404,MATCH($K188,其他调用!$B$5:$B$404,0),MATCH(BA$5,其他调用!$H$4:$L$4,0))*INDEX(其他调用!$M$5:$M$404,MATCH($K188,其他调用!$B$5:$B$404,0))*0.6</f>
        <v>28.777530149999997</v>
      </c>
      <c r="BB188" s="14">
        <f>INDEX(其他调用!$H$5:$L$404,MATCH($K188,其他调用!$B$5:$B$404,0),MATCH(BB$5,其他调用!$H$4:$L$4,0))*INDEX(其他调用!$M$5:$M$404,MATCH($K188,其他调用!$B$5:$B$404,0))*0.6</f>
        <v>28.374908241551999</v>
      </c>
      <c r="BC188" s="14">
        <f>INDEX(其他调用!$H$5:$L$404,MATCH($K188,其他调用!$B$5:$B$404,0),MATCH(BC$5,其他调用!$H$4:$L$4,0))*INDEX(其他调用!$M$5:$M$404,MATCH($K188,其他调用!$B$5:$B$404,0))*0.6</f>
        <v>2.3162520084480001</v>
      </c>
      <c r="BD188" s="14">
        <f>INDEX(其他调用!$H$5:$L$404,MATCH($K188,其他调用!$B$5:$B$404,0),MATCH(BD$5,其他调用!$H$4:$L$4,0))*INDEX(其他调用!$M$5:$M$404,MATCH($K188,其他调用!$B$5:$B$404,0))*0.6</f>
        <v>0.4120776000000001</v>
      </c>
      <c r="BE188" s="14">
        <f>INDEX(其他调用!$H$5:$L$404,MATCH($K188,其他调用!$B$5:$B$404,0),MATCH(BE$5,其他调用!$H$4:$L$4,0))*INDEX(其他调用!$M$5:$M$404,MATCH($K188,其他调用!$B$5:$B$404,0))*0.6</f>
        <v>0.11923199999999998</v>
      </c>
      <c r="BF188" s="14">
        <f>IF(OR(BF$5="大R",BF$5="超R"),0,INDEX(其他调用!$H$5:$L$404,MATCH($K188,其他调用!$B$5:$B$404,0),MATCH(BF$5,其他调用!$H$4:$L$4,0))*50*0.4)</f>
        <v>9.5925100500000013</v>
      </c>
      <c r="BG188" s="14">
        <f>IF(OR(BG$5="大R",BG$5="超R"),0,INDEX(其他调用!$H$5:$L$404,MATCH($K188,其他调用!$B$5:$B$404,0),MATCH(BG$5,其他调用!$H$4:$L$4,0))*50*0.4)</f>
        <v>9.4583027471839998</v>
      </c>
      <c r="BH188" s="14">
        <f>IF(OR(BH$5="大R",BH$5="超R"),0,INDEX(其他调用!$H$5:$L$404,MATCH($K188,其他调用!$B$5:$B$404,0),MATCH(BH$5,其他调用!$H$4:$L$4,0))*50*0.4)</f>
        <v>0.77208400281600009</v>
      </c>
      <c r="BI188" s="14">
        <f>IF(OR(BI$5="大R",BI$5="超R"),0,INDEX(其他调用!$H$5:$L$404,MATCH($K188,其他调用!$B$5:$B$404,0),MATCH(BI$5,其他调用!$H$4:$L$4,0))*50*0.4)</f>
        <v>0</v>
      </c>
      <c r="BJ188" s="14">
        <f>IF(OR(BJ$5="大R",BJ$5="超R"),0,INDEX(其他调用!$H$5:$L$404,MATCH($K188,其他调用!$B$5:$B$404,0),MATCH(BJ$5,其他调用!$H$4:$L$4,0))*50*0.4)</f>
        <v>0</v>
      </c>
      <c r="BL188" s="14">
        <f t="shared" si="313"/>
        <v>183</v>
      </c>
      <c r="BM188" s="14">
        <f t="shared" si="220"/>
        <v>96</v>
      </c>
      <c r="BN188" s="14">
        <f>('疲劳值&amp;地图信息'!$S$10*'疲劳值&amp;地图信息'!$R$10+'疲劳值&amp;地图信息'!$S$11*'疲劳值&amp;地图信息'!$R$11+'疲劳值&amp;地图信息'!$S$12*'疲劳值&amp;地图信息'!$R$12+(BM188-'疲劳值&amp;地图信息'!$S$12-'疲劳值&amp;地图信息'!$S$11-'疲劳值&amp;地图信息'!$S$10)*'疲劳值&amp;地图信息'!$R$13)/BM188</f>
        <v>51.371477246638619</v>
      </c>
      <c r="BO188" s="14">
        <f>INDEX(其他调用!$M$5:$M$404,MATCH(BL188,其他调用!$B$5:$B$404,0))*0.6</f>
        <v>60</v>
      </c>
      <c r="BP188" s="14">
        <f>IF(BO188&gt;SUM('疲劳值&amp;地图信息'!$S$10:$S$12),('疲劳值&amp;地图信息'!$S$10*'疲劳值&amp;地图信息'!$R$10+'疲劳值&amp;地图信息'!$S$11*'疲劳值&amp;地图信息'!$R$11+'疲劳值&amp;地图信息'!$S$12*'疲劳值&amp;地图信息'!$R$12+(BO188-'疲劳值&amp;地图信息'!$S$12-'疲劳值&amp;地图信息'!$S$11-'疲劳值&amp;地图信息'!$S$10)*'疲劳值&amp;地图信息'!$R$13)/BO188,('疲劳值&amp;地图信息'!$S$10*'疲劳值&amp;地图信息'!$R$10+'疲劳值&amp;地图信息'!$S$11*'疲劳值&amp;地图信息'!$R$11+'疲劳值&amp;地图信息'!$S$12*'疲劳值&amp;地图信息'!$R$12+(BO188-'疲劳值&amp;地图信息'!$S$12-'疲劳值&amp;地图信息'!$S$11-'疲劳值&amp;地图信息'!$S$10)*'疲劳值&amp;地图信息'!$R$13)/BO188)</f>
        <v>44.158136341605953</v>
      </c>
      <c r="BQ188" s="14">
        <f t="shared" si="314"/>
        <v>20</v>
      </c>
      <c r="BR188" s="14">
        <f>('疲劳值&amp;地图信息'!$S$10*'疲劳值&amp;地图信息'!$R$10+($BQ188-'疲劳值&amp;地图信息'!$S$10)*'疲劳值&amp;地图信息'!$R$11)/$BQ188</f>
        <v>32.067203015074995</v>
      </c>
      <c r="CF188" s="14">
        <v>183</v>
      </c>
      <c r="CG188" s="51">
        <f t="shared" si="221"/>
        <v>12869</v>
      </c>
      <c r="CH188" s="51">
        <f t="shared" si="222"/>
        <v>1012</v>
      </c>
      <c r="CI188" s="51">
        <f>INT(SUMPRODUCT($N188:$R188,$BA188:$BE188)/SUM($BA188:$BE188)/10000*$BX$7*$BZ$34/'疲劳值&amp;地图信息'!$R$10*$BY$53)</f>
        <v>3188</v>
      </c>
      <c r="CJ188" s="50">
        <f t="shared" si="223"/>
        <v>0.75393989103052317</v>
      </c>
      <c r="CK188" s="50">
        <f t="shared" si="224"/>
        <v>5.9288769113597747E-2</v>
      </c>
      <c r="CL188" s="50">
        <f t="shared" si="225"/>
        <v>0.18677133985587907</v>
      </c>
      <c r="CM188" s="14">
        <f t="shared" si="226"/>
        <v>13697</v>
      </c>
      <c r="CN188" s="14">
        <f t="shared" si="227"/>
        <v>1654</v>
      </c>
      <c r="CO188" s="14">
        <f>INT(SUMPRODUCT($U188:$Y188,$BA188:$BE188)/SUM($BA188:$BE188)/10000*$BX$7*$BZ$34/'疲劳值&amp;地图信息'!$R$10*$BY$54)</f>
        <v>5980</v>
      </c>
      <c r="CP188" s="50">
        <f t="shared" si="228"/>
        <v>0.64211710655852983</v>
      </c>
      <c r="CQ188" s="50">
        <f t="shared" si="229"/>
        <v>7.7539730908068066E-2</v>
      </c>
      <c r="CR188" s="50">
        <f t="shared" si="230"/>
        <v>0.28034316253340208</v>
      </c>
      <c r="CS188" s="14">
        <f t="shared" si="231"/>
        <v>14577</v>
      </c>
      <c r="CT188" s="14">
        <f t="shared" si="232"/>
        <v>2879</v>
      </c>
      <c r="CU188" s="14">
        <f>INT(SUMPRODUCT($AB188:$AF188,$BA188:$BE188)/SUM($BA188:$BE188)/10000*$BX$7*$BZ$34/'疲劳值&amp;地图信息'!$R$10*$BY$55)</f>
        <v>8125</v>
      </c>
      <c r="CV188" s="50">
        <f t="shared" si="233"/>
        <v>0.56983698838982055</v>
      </c>
      <c r="CW188" s="50">
        <f t="shared" si="234"/>
        <v>0.11254446659630195</v>
      </c>
      <c r="CX188" s="50">
        <f t="shared" si="235"/>
        <v>0.31761854501387748</v>
      </c>
      <c r="CY188" s="14">
        <f t="shared" si="236"/>
        <v>17422</v>
      </c>
      <c r="CZ188" s="14">
        <f t="shared" si="237"/>
        <v>8295</v>
      </c>
      <c r="DA188" s="14">
        <f>INT(SUMPRODUCT($AI188:$AM188,$BA188:$BE188)/SUM($BA188:$BE188)/10000*$BX$7*$BZ$34/'疲劳值&amp;地图信息'!$R$10*$BY$56)</f>
        <v>12255</v>
      </c>
      <c r="DB188" s="50">
        <f t="shared" si="238"/>
        <v>0.45881175603075952</v>
      </c>
      <c r="DC188" s="50">
        <f t="shared" si="239"/>
        <v>0.21845043716422627</v>
      </c>
      <c r="DD188" s="50">
        <f t="shared" si="240"/>
        <v>0.32273780680501424</v>
      </c>
      <c r="DE188" s="14">
        <f t="shared" si="241"/>
        <v>17915</v>
      </c>
      <c r="DF188" s="14">
        <f t="shared" si="242"/>
        <v>14397</v>
      </c>
      <c r="DG188" s="14">
        <f>INT(SUMPRODUCT($AP188:$AT188,$BA188:$BE188)/SUM($BA188:$BE188)/10000*$BX$7*$BZ$34/'疲劳值&amp;地图信息'!$R$10*$BY$57)</f>
        <v>16365</v>
      </c>
      <c r="DH188" s="50">
        <f t="shared" si="243"/>
        <v>0.36803829323910675</v>
      </c>
      <c r="DI188" s="50">
        <f t="shared" si="244"/>
        <v>0.29576596750005135</v>
      </c>
      <c r="DJ188" s="50">
        <f t="shared" si="245"/>
        <v>0.3361957392608419</v>
      </c>
      <c r="DL188" s="14">
        <f t="shared" si="316"/>
        <v>17069</v>
      </c>
      <c r="DM188" s="14">
        <f t="shared" si="317"/>
        <v>21331</v>
      </c>
      <c r="DN188" s="14">
        <f t="shared" si="318"/>
        <v>25581</v>
      </c>
      <c r="DO188" s="14">
        <f t="shared" si="319"/>
        <v>37972</v>
      </c>
      <c r="DP188" s="14">
        <f t="shared" si="320"/>
        <v>48677</v>
      </c>
      <c r="DQ188" s="14">
        <f t="shared" si="321"/>
        <v>1177172</v>
      </c>
      <c r="DT188" s="14">
        <f t="shared" si="315"/>
        <v>235575</v>
      </c>
      <c r="DU188" s="50">
        <f t="shared" si="217"/>
        <v>0.16674960201649694</v>
      </c>
      <c r="DW188" s="14">
        <f t="shared" si="246"/>
        <v>1412747</v>
      </c>
      <c r="EB188" s="14">
        <v>183</v>
      </c>
      <c r="EC188" s="51">
        <f t="shared" si="247"/>
        <v>21449</v>
      </c>
      <c r="ED188" s="51">
        <f t="shared" si="248"/>
        <v>1687</v>
      </c>
      <c r="EE188" s="51">
        <f>INT(SUMPRODUCT($N188:$R188,$BF188:$BJ188)/SUM($BF188:$BJ188)/10000*$BX$7*$BZ$46/'疲劳值&amp;地图信息'!$R$10*$BY$53)</f>
        <v>428</v>
      </c>
      <c r="EF188" s="50">
        <f t="shared" si="249"/>
        <v>0.91024444067221189</v>
      </c>
      <c r="EG188" s="50">
        <f t="shared" si="250"/>
        <v>7.1592259378713288E-2</v>
      </c>
      <c r="EH188" s="50">
        <f t="shared" si="251"/>
        <v>1.8163299949074861E-2</v>
      </c>
      <c r="EI188" s="51">
        <f t="shared" si="252"/>
        <v>22829</v>
      </c>
      <c r="EJ188" s="51">
        <f t="shared" si="253"/>
        <v>2757</v>
      </c>
      <c r="EK188" s="14">
        <f>INT(SUMPRODUCT($U188:$Y188,$BF188:$BJ188)/SUM($BF188:$BJ188)/10000*$BX$7*$BZ$46/'疲劳值&amp;地图信息'!$R$10*$BY$54)</f>
        <v>803</v>
      </c>
      <c r="EL188" s="50">
        <f t="shared" si="254"/>
        <v>0.86509530486187425</v>
      </c>
      <c r="EM188" s="50">
        <f t="shared" si="255"/>
        <v>0.10447534957747547</v>
      </c>
      <c r="EN188" s="50">
        <f t="shared" si="256"/>
        <v>3.0429345560650269E-2</v>
      </c>
      <c r="EO188" s="51">
        <f t="shared" si="257"/>
        <v>24295</v>
      </c>
      <c r="EP188" s="51">
        <f t="shared" si="258"/>
        <v>4799</v>
      </c>
      <c r="EQ188" s="14">
        <f>INT(SUMPRODUCT($AB188:$AF188,$BF188:$BJ188)/SUM($BF188:$BJ188)/10000*$BX$7*$BZ$46/'疲劳值&amp;地图信息'!$R$10*$BY$55)</f>
        <v>1089</v>
      </c>
      <c r="ER188" s="50">
        <f t="shared" si="259"/>
        <v>0.8049233011960375</v>
      </c>
      <c r="ES188" s="50">
        <f t="shared" si="260"/>
        <v>0.15899678627041713</v>
      </c>
      <c r="ET188" s="50">
        <f t="shared" si="261"/>
        <v>3.6079912533545373E-2</v>
      </c>
      <c r="EU188" s="51">
        <f t="shared" si="262"/>
        <v>29037</v>
      </c>
      <c r="EV188" s="51">
        <f t="shared" si="263"/>
        <v>13826</v>
      </c>
      <c r="EW188" s="14">
        <f>INT(SUMPRODUCT($AI188:$AM188,$BF188:$BJ188)/SUM($BF188:$BJ188)/10000*$BX$7*$BZ$46/'疲劳值&amp;地图信息'!$R$10*$BY$56)</f>
        <v>1634</v>
      </c>
      <c r="EX188" s="50">
        <f t="shared" si="264"/>
        <v>0.65256084679866055</v>
      </c>
      <c r="EY188" s="50">
        <f t="shared" si="265"/>
        <v>0.31071757646582915</v>
      </c>
      <c r="EZ188" s="50">
        <f t="shared" si="266"/>
        <v>3.6721576735510256E-2</v>
      </c>
      <c r="FA188" s="51">
        <f t="shared" si="267"/>
        <v>29859</v>
      </c>
      <c r="FB188" s="51">
        <f t="shared" si="268"/>
        <v>23995</v>
      </c>
      <c r="FC188" s="14">
        <f>INT(SUMPRODUCT($AP188:$AT188,$BF188:$BJ188)/SUM($BF188:$BJ188)/10000*$BX$7*$BZ$46/'疲劳值&amp;地图信息'!$R$10*$BY$57)</f>
        <v>2179</v>
      </c>
      <c r="FD188" s="50">
        <f t="shared" si="269"/>
        <v>0.53288240858065783</v>
      </c>
      <c r="FE188" s="50">
        <f t="shared" si="270"/>
        <v>0.42822979315760357</v>
      </c>
      <c r="FF188" s="50">
        <f t="shared" si="271"/>
        <v>3.8887798261738618E-2</v>
      </c>
      <c r="FH188" s="14">
        <f t="shared" si="272"/>
        <v>23564</v>
      </c>
      <c r="FI188" s="14">
        <f t="shared" si="273"/>
        <v>26389</v>
      </c>
      <c r="FJ188" s="14">
        <f t="shared" si="274"/>
        <v>30183</v>
      </c>
      <c r="FK188" s="14">
        <f t="shared" si="275"/>
        <v>44497</v>
      </c>
      <c r="FL188" s="14">
        <f t="shared" si="276"/>
        <v>56033</v>
      </c>
      <c r="FM188" s="14">
        <f t="shared" si="277"/>
        <v>2745638</v>
      </c>
      <c r="FP188" s="14">
        <f t="shared" si="278"/>
        <v>334150</v>
      </c>
      <c r="FQ188" s="50">
        <f t="shared" si="218"/>
        <v>0.10849772776567737</v>
      </c>
      <c r="FS188" s="14">
        <f t="shared" si="279"/>
        <v>3079788</v>
      </c>
      <c r="FX188" s="14">
        <v>183</v>
      </c>
      <c r="FY188" s="51">
        <f t="shared" si="280"/>
        <v>30028</v>
      </c>
      <c r="FZ188" s="51">
        <f t="shared" si="281"/>
        <v>1687</v>
      </c>
      <c r="GA188" s="51">
        <f>INT(SUMPRODUCT($N188:$R188,$BF188:$BJ188)/SUM($BF188:$BJ188)/10000*$BX$7*$BZ$46/'疲劳值&amp;地图信息'!$R$10*$BY$53)</f>
        <v>428</v>
      </c>
      <c r="GB188" s="50">
        <f t="shared" si="282"/>
        <v>0.93420029244314473</v>
      </c>
      <c r="GC188" s="50">
        <f t="shared" si="283"/>
        <v>5.2484211181283637E-2</v>
      </c>
      <c r="GD188" s="50">
        <f t="shared" si="284"/>
        <v>1.3315496375571664E-2</v>
      </c>
      <c r="GE188" s="51">
        <f t="shared" si="285"/>
        <v>31960</v>
      </c>
      <c r="GF188" s="51">
        <f t="shared" si="286"/>
        <v>2757</v>
      </c>
      <c r="GG188" s="14">
        <f>INT(SUMPRODUCT($U188:$Y188,$BF188:$BJ188)/SUM($BF188:$BJ188)/10000*$BX$7*$BZ$46/'疲劳值&amp;地图信息'!$R$10*$BY$54)</f>
        <v>803</v>
      </c>
      <c r="GH188" s="50">
        <f t="shared" si="287"/>
        <v>0.89977477477477474</v>
      </c>
      <c r="GI188" s="50">
        <f t="shared" si="288"/>
        <v>7.7618243243243248E-2</v>
      </c>
      <c r="GJ188" s="50">
        <f t="shared" si="289"/>
        <v>2.2606981981981984E-2</v>
      </c>
      <c r="GK188" s="51">
        <f t="shared" si="290"/>
        <v>34013</v>
      </c>
      <c r="GL188" s="51">
        <f t="shared" si="291"/>
        <v>4799</v>
      </c>
      <c r="GM188" s="14">
        <f>INT(SUMPRODUCT($AB188:$AF188,$BF188:$BJ188)/SUM($BF188:$BJ188)/10000*$BX$7*$BZ$46/'疲劳值&amp;地图信息'!$R$10*$BY$55)</f>
        <v>1089</v>
      </c>
      <c r="GN188" s="50">
        <f t="shared" si="292"/>
        <v>0.85243477607077511</v>
      </c>
      <c r="GO188" s="50">
        <f t="shared" si="293"/>
        <v>0.12027267487030401</v>
      </c>
      <c r="GP188" s="50">
        <f t="shared" si="294"/>
        <v>2.7292549058920829E-2</v>
      </c>
      <c r="GQ188" s="51">
        <f t="shared" si="295"/>
        <v>40652</v>
      </c>
      <c r="GR188" s="51">
        <f t="shared" si="296"/>
        <v>13826</v>
      </c>
      <c r="GS188" s="14">
        <f>INT(SUMPRODUCT($AI188:$AM188,$BF188:$BJ188)/SUM($BF188:$BJ188)/10000*$BX$7*$BZ$46/'疲劳值&amp;地图信息'!$R$10*$BY$56)</f>
        <v>1634</v>
      </c>
      <c r="GT188" s="50">
        <f t="shared" si="297"/>
        <v>0.72447961220416313</v>
      </c>
      <c r="GU188" s="50">
        <f t="shared" si="298"/>
        <v>0.24640005702879955</v>
      </c>
      <c r="GV188" s="50">
        <f t="shared" si="299"/>
        <v>2.9120330767037354E-2</v>
      </c>
      <c r="GW188" s="51">
        <f t="shared" si="300"/>
        <v>41802</v>
      </c>
      <c r="GX188" s="51">
        <f t="shared" si="301"/>
        <v>23995</v>
      </c>
      <c r="GY188" s="14">
        <f>INT(SUMPRODUCT($AP188:$AT188,$BF188:$BJ188)/SUM($BF188:$BJ188)/10000*$BX$7*$BZ$46/'疲劳值&amp;地图信息'!$R$10*$BY$57)</f>
        <v>2179</v>
      </c>
      <c r="GZ188" s="50">
        <f t="shared" si="302"/>
        <v>0.61495233611863009</v>
      </c>
      <c r="HA188" s="50">
        <f t="shared" si="303"/>
        <v>0.35299223255266565</v>
      </c>
      <c r="HB188" s="50">
        <f t="shared" si="304"/>
        <v>3.2055431328704247E-2</v>
      </c>
      <c r="HD188" s="14">
        <f t="shared" si="305"/>
        <v>32143</v>
      </c>
      <c r="HE188" s="14">
        <f t="shared" si="306"/>
        <v>35520</v>
      </c>
      <c r="HF188" s="14">
        <f t="shared" si="307"/>
        <v>39901</v>
      </c>
      <c r="HG188" s="14">
        <f t="shared" si="308"/>
        <v>56112</v>
      </c>
      <c r="HH188" s="14">
        <f t="shared" si="309"/>
        <v>67976</v>
      </c>
      <c r="HI188" s="14">
        <f t="shared" si="310"/>
        <v>3691175</v>
      </c>
      <c r="HL188" s="14">
        <f t="shared" si="311"/>
        <v>430050</v>
      </c>
      <c r="HM188" s="50">
        <f t="shared" si="219"/>
        <v>0.10435004155317897</v>
      </c>
      <c r="HO188" s="14">
        <f t="shared" si="312"/>
        <v>4121225</v>
      </c>
    </row>
    <row r="189" spans="11:223" x14ac:dyDescent="0.2">
      <c r="K189" s="14">
        <v>184</v>
      </c>
      <c r="L189" s="12">
        <f>求节点(节奏总纲!D$4:D$163,标准城池设计!AB$4:AB$163,$K189)*求节点(节奏总纲!D$4:D$163,攻城基础信息!$AC$5:$AC$164,$K189)</f>
        <v>632901.97946434061</v>
      </c>
      <c r="M189" s="12">
        <f>INDEX(其他调用!$AA$5:$AA$404,MATCH(K189,其他调用!$X$5:$X$404,0))*MIN(INDEX(其他调用!$AH$5:$AH$364,MATCH('征服点（新）'!K189,其他调用!$AG$5:$AG$364,0),1)/INDEX(其他调用!$AJ$5:$AJ$364,MATCH(K189,其他调用!$AG$5:$AG$364,0),0),5)*求节点(节奏总纲!D$4:D$163,攻城基础信息!$AC$5:$AC$164,$K189)</f>
        <v>49804.341621603111</v>
      </c>
      <c r="N189" s="12">
        <f>MIN(INDEX(其他调用!$AH$5:$AH$364,MATCH($K189,其他调用!$AG$5:$AG$364,0),1)/INDEX(其他调用!AH$5:AH$364,MATCH($K189,其他调用!$AG$5:$AG$364,0),0),1)*INDEX(其他调用!Y$5:Y$404,MATCH($K189,其他调用!$X$5:$X$404,0),0)</f>
        <v>39655.848047611573</v>
      </c>
      <c r="O189" s="12">
        <f>MIN(INDEX(其他调用!$AH$5:$AH$364,MATCH($K189,其他调用!$AG$5:$AG$364,0),1)/INDEX(其他调用!AI$5:AI$364,MATCH($K189,其他调用!$AG$5:$AG$364,0),0),1)*INDEX(其他调用!Z$5:Z$404,MATCH($K189,其他调用!$X$5:$X$404,0),0)</f>
        <v>25013.162801689759</v>
      </c>
      <c r="P189" s="12">
        <f>MIN(INDEX(其他调用!$AH$5:$AH$364,MATCH($K189,其他调用!$AG$5:$AG$364,0),1)/INDEX(其他调用!AJ$5:AJ$364,MATCH($K189,其他调用!$AG$5:$AG$364,0),0),1)*INDEX(其他调用!AA$5:AA$404,MATCH($K189,其他调用!$X$5:$X$404,0),0)</f>
        <v>14895.66449330765</v>
      </c>
      <c r="Q189" s="12">
        <f>MIN(INDEX(其他调用!$AH$5:$AH$364,MATCH($K189,其他调用!$AG$5:$AG$364,0),1)/INDEX(其他调用!AK$5:AK$364,MATCH($K189,其他调用!$AG$5:$AG$364,0),0),1)*INDEX(其他调用!AB$5:AB$404,MATCH($K189,其他调用!$X$5:$X$404,0),0)</f>
        <v>5439.1924979281803</v>
      </c>
      <c r="R189" s="12">
        <f>MIN(INDEX(其他调用!$AH$5:$AH$364,MATCH($K189,其他调用!$AG$5:$AG$364,0),1)/INDEX(其他调用!AL$5:AL$364,MATCH($K189,其他调用!$AG$5:$AG$364,0),0),1)*INDEX(其他调用!AC$5:AC$404,MATCH($K189,其他调用!$X$5:$X$404,0),0)</f>
        <v>2262.4768822507117</v>
      </c>
      <c r="S189" s="12">
        <f>求节点(节奏总纲!D$4:D$163,标准城池设计!AC$4:AC$163,$K189)*求节点(节奏总纲!D$4:D$163,攻城基础信息!$AD$5:$AD$164,$K189)</f>
        <v>673627.75822487252</v>
      </c>
      <c r="T189" s="12">
        <f>INDEX(其他调用!$AA$5:$AA$404,MATCH($K189,其他调用!$X$5:$X$404,0))*MIN(INDEX(其他调用!AI$5:AI$364,MATCH($K189,其他调用!$AG$5:$AG$364,0),1)/INDEX(其他调用!$AJ$5:$AJ$364,MATCH($K189,其他调用!$AG$5:$AG$364,0),0),5)*求节点(节奏总纲!D$4:D$163,攻城基础信息!$AD$5:$AD$164,$K189)</f>
        <v>81243.656939726061</v>
      </c>
      <c r="U189" s="12">
        <f>MIN(INDEX(其他调用!$AI$5:$AI$364,MATCH($K189,其他调用!$AG$5:$AG$364,0),1)/INDEX(其他调用!AH$5:AH$364,MATCH($K189,其他调用!$AG$5:$AG$364,0),0),1)*INDEX(其他调用!Y$5:Y$404,MATCH($K189,其他调用!$X$5:$X$404,0),0)</f>
        <v>39655.848047611573</v>
      </c>
      <c r="V189" s="12">
        <f>MIN(INDEX(其他调用!$AI$5:$AI$364,MATCH($K189,其他调用!$AG$5:$AG$364,0),1)/INDEX(其他调用!AI$5:AI$364,MATCH($K189,其他调用!$AG$5:$AG$364,0),0),1)*INDEX(其他调用!Z$5:Z$404,MATCH($K189,其他调用!$X$5:$X$404,0),0)</f>
        <v>40802.884878545025</v>
      </c>
      <c r="W189" s="12">
        <f>MIN(INDEX(其他调用!$AI$5:$AI$364,MATCH($K189,其他调用!$AG$5:$AG$364,0),1)/INDEX(其他调用!AJ$5:AJ$364,MATCH($K189,其他调用!$AG$5:$AG$364,0),0),1)*INDEX(其他调用!AA$5:AA$404,MATCH($K189,其他调用!$X$5:$X$404,0),0)</f>
        <v>24298.649808044418</v>
      </c>
      <c r="X189" s="12">
        <f>MIN(INDEX(其他调用!$AI$5:$AI$364,MATCH($K189,其他调用!$AG$5:$AG$364,0),1)/INDEX(其他调用!AK$5:AK$364,MATCH($K189,其他调用!$AG$5:$AG$364,0),0),1)*INDEX(其他调用!AB$5:AB$404,MATCH($K189,其他调用!$X$5:$X$404,0),0)</f>
        <v>8872.7182197933198</v>
      </c>
      <c r="Y189" s="12">
        <f>MIN(INDEX(其他调用!$AI$5:$AI$364,MATCH($K189,其他调用!$AG$5:$AG$364,0),1)/INDEX(其他调用!AL$5:AL$364,MATCH($K189,其他调用!$AG$5:$AG$364,0),0),1)*INDEX(其他调用!AC$5:AC$404,MATCH($K189,其他调用!$X$5:$X$404,0),0)</f>
        <v>3690.6801630303585</v>
      </c>
      <c r="Z189" s="12">
        <f>求节点(节奏总纲!D$4:D$163,标准城池设计!AD$4:AD$163,$K189)*求节点(节奏总纲!D$4:D$163,攻城基础信息!$AE$5:$AE$164,$K189)</f>
        <v>717457.36113881564</v>
      </c>
      <c r="AA189" s="12">
        <f>INDEX(其他调用!$AA$5:$AA$404,MATCH($K189,其他调用!$X$5:$X$404,0))*MIN(INDEX(其他调用!AJ$5:AJ$364,MATCH($K189,其他调用!$AG$5:$AG$364,0),1)/INDEX(其他调用!$AJ$5:$AJ$364,MATCH($K189,其他调用!$AG$5:$AG$364,0),0),5)*求节点(节奏总纲!D$4:D$163,攻城基础信息!$AE$5:$AE$164,$K189)</f>
        <v>141494.34825373258</v>
      </c>
      <c r="AB189" s="12">
        <f>MIN(INDEX(其他调用!$AJ$5:$AJ$364,MATCH($K189,其他调用!$AG$5:$AG$364,0),1)/INDEX(其他调用!AH$5:AH$364,MATCH($K189,其他调用!$AG$5:$AG$364,0),0),1)*INDEX(其他调用!Y$5:Y$404,MATCH($K189,其他调用!$X$5:$X$404,0),0)</f>
        <v>39655.848047611573</v>
      </c>
      <c r="AC189" s="12">
        <f>MIN(INDEX(其他调用!$AJ$5:$AJ$364,MATCH($K189,其他调用!$AG$5:$AG$364,0),1)/INDEX(其他调用!AI$5:AI$364,MATCH($K189,其他调用!$AG$5:$AG$364,0),0),1)*INDEX(其他调用!Z$5:Z$404,MATCH($K189,其他调用!$X$5:$X$404,0),0)</f>
        <v>40802.884878545025</v>
      </c>
      <c r="AD189" s="12">
        <f>MIN(INDEX(其他调用!$AJ$5:$AJ$364,MATCH($K189,其他调用!$AG$5:$AG$364,0),1)/INDEX(其他调用!AJ$5:AJ$364,MATCH($K189,其他调用!$AG$5:$AG$364,0),0),1)*INDEX(其他调用!AA$5:AA$404,MATCH($K189,其他调用!$X$5:$X$404,0),0)</f>
        <v>42318.64674168521</v>
      </c>
      <c r="AE189" s="12">
        <f>MIN(INDEX(其他调用!$AJ$5:$AJ$364,MATCH($K189,其他调用!$AG$5:$AG$364,0),1)/INDEX(其他调用!AK$5:AK$364,MATCH($K189,其他调用!$AG$5:$AG$364,0),0),1)*INDEX(其他调用!AB$5:AB$404,MATCH($K189,其他调用!$X$5:$X$404,0),0)</f>
        <v>15452.76922578797</v>
      </c>
      <c r="AF189" s="12">
        <f>MIN(INDEX(其他调用!$AJ$5:$AJ$364,MATCH($K189,其他调用!$AG$5:$AG$364,0),1)/INDEX(其他调用!AL$5:AL$364,MATCH($K189,其他调用!$AG$5:$AG$364,0),0),1)*INDEX(其他调用!AC$5:AC$404,MATCH($K189,其他调用!$X$5:$X$404,0),0)</f>
        <v>6427.7065305957749</v>
      </c>
      <c r="AG189" s="12">
        <f>求节点(节奏总纲!D$4:D$163,标准城池设计!AE$4:AE$163,$K189)*求节点(节奏总纲!D$4:D$163,攻城基础信息!$AF$5:$AF$164,$K189)</f>
        <v>857570.03616340947</v>
      </c>
      <c r="AH189" s="12">
        <f>INDEX(其他调用!$AA$5:$AA$404,MATCH($K189,其他调用!$X$5:$X$404,0))*MIN(INDEX(其他调用!AK$5:AK$364,MATCH($K189,其他调用!$AG$5:$AG$364,0),1)/INDEX(其他调用!$AJ$5:$AJ$364,MATCH($K189,其他调用!$AG$5:$AG$364,0),0),5)*求节点(节奏总纲!D$4:D$163,攻城基础信息!$AF$5:$AF$164,$K189)</f>
        <v>407599.54455836717</v>
      </c>
      <c r="AI189" s="12">
        <f>MIN(INDEX(其他调用!$AK$5:$AK$364,MATCH($K189,其他调用!$AG$5:$AG$364,0),1)/INDEX(其他调用!AH$5:AH$364,MATCH($K189,其他调用!$AG$5:$AG$364,0),0),1)*INDEX(其他调用!Y$5:Y$404,MATCH($K189,其他调用!$X$5:$X$404,0),0)</f>
        <v>39655.848047611573</v>
      </c>
      <c r="AJ189" s="12">
        <f>MIN(INDEX(其他调用!$AK$5:$AK$364,MATCH($K189,其他调用!$AG$5:$AG$364,0),1)/INDEX(其他调用!AI$5:AI$364,MATCH($K189,其他调用!$AG$5:$AG$364,0),0),1)*INDEX(其他调用!Z$5:Z$404,MATCH($K189,其他调用!$X$5:$X$404,0),0)</f>
        <v>40802.884878545025</v>
      </c>
      <c r="AK189" s="12">
        <f>MIN(INDEX(其他调用!$AK$5:$AK$364,MATCH($K189,其他调用!$AG$5:$AG$364,0),1)/INDEX(其他调用!AJ$5:AJ$364,MATCH($K189,其他调用!$AG$5:$AG$364,0),0),1)*INDEX(其他调用!AA$5:AA$404,MATCH($K189,其他调用!$X$5:$X$404,0),0)</f>
        <v>42318.64674168521</v>
      </c>
      <c r="AL189" s="12">
        <f>MIN(INDEX(其他调用!$AK$5:$AK$364,MATCH($K189,其他调用!$AG$5:$AG$364,0),1)/INDEX(其他调用!AK$5:AK$364,MATCH($K189,其他调用!$AG$5:$AG$364,0),0),1)*INDEX(其他调用!AB$5:AB$404,MATCH($K189,其他调用!$X$5:$X$404,0),0)</f>
        <v>44514.440161962972</v>
      </c>
      <c r="AM189" s="12">
        <f>MIN(INDEX(其他调用!$AK$5:$AK$364,MATCH($K189,其他调用!$AG$5:$AG$364,0),1)/INDEX(其他调用!AL$5:AL$364,MATCH($K189,其他调用!$AG$5:$AG$364,0),0),1)*INDEX(其他调用!AC$5:AC$404,MATCH($K189,其他调用!$X$5:$X$404,0),0)</f>
        <v>18516.147724342536</v>
      </c>
      <c r="AN189" s="12">
        <f>求节点(节奏总纲!D$4:D$163,标准城池设计!AF$4:AF$163,$K189)*求节点(节奏总纲!D$4:D$163,攻城基础信息!$AG$5:$AG$164,$K189)</f>
        <v>882322.11595524871</v>
      </c>
      <c r="AO189" s="12">
        <f>INDEX(其他调用!$AA$5:$AA$404,MATCH($K189,其他调用!$X$5:$X$404,0))*MIN(INDEX(其他调用!AL$5:AL$364,MATCH($K189,其他调用!$AG$5:$AG$364,0),1)/INDEX(其他调用!$AJ$5:$AJ$364,MATCH($K189,其他调用!$AG$5:$AG$364,0),0),5)*求节点(节奏总纲!D$4:D$163,攻城基础信息!$AG$5:$AG$164,$K189)</f>
        <v>707471.74126866297</v>
      </c>
      <c r="AP189" s="12">
        <f>MIN(INDEX(其他调用!$AL$5:$AL$364,MATCH($K189,其他调用!$AG$5:$AG$364,0),1)/INDEX(其他调用!AH$5:AH$364,MATCH($K189,其他调用!$AG$5:$AG$364,0),0),1)*INDEX(其他调用!Y$5:Y$404,MATCH($K189,其他调用!$X$5:$X$404,0),0)</f>
        <v>39655.848047611573</v>
      </c>
      <c r="AQ189" s="12">
        <f>MIN(INDEX(其他调用!$AL$5:$AL$364,MATCH($K189,其他调用!$AG$5:$AG$364,0),1)/INDEX(其他调用!AI$5:AI$364,MATCH($K189,其他调用!$AG$5:$AG$364,0),0),1)*INDEX(其他调用!Z$5:Z$404,MATCH($K189,其他调用!$X$5:$X$404,0),0)</f>
        <v>40802.884878545025</v>
      </c>
      <c r="AR189" s="12">
        <f>MIN(INDEX(其他调用!$AL$5:$AL$364,MATCH($K189,其他调用!$AG$5:$AG$364,0),1)/INDEX(其他调用!AJ$5:AJ$364,MATCH($K189,其他调用!$AG$5:$AG$364,0),0),1)*INDEX(其他调用!AA$5:AA$404,MATCH($K189,其他调用!$X$5:$X$404,0),0)</f>
        <v>42318.64674168521</v>
      </c>
      <c r="AS189" s="12">
        <f>MIN(INDEX(其他调用!$AL$5:$AL$364,MATCH($K189,其他调用!$AG$5:$AG$364,0),1)/INDEX(其他调用!AK$5:AK$364,MATCH($K189,其他调用!$AG$5:$AG$364,0),0),1)*INDEX(其他调用!AB$5:AB$404,MATCH($K189,其他调用!$X$5:$X$404,0),0)</f>
        <v>44514.440161962972</v>
      </c>
      <c r="AT189" s="12">
        <f>MIN(INDEX(其他调用!$AL$5:$AL$364,MATCH($K189,其他调用!$AG$5:$AG$364,0),1)/INDEX(其他调用!AL$5:AL$364,MATCH($K189,其他调用!$AG$5:$AG$364,0),0),1)*INDEX(其他调用!AC$5:AC$404,MATCH($K189,其他调用!$X$5:$X$404,0),0)</f>
        <v>48472.274534122793</v>
      </c>
      <c r="AV189" s="14">
        <f>IF(OR(AV$5="大R",AV$5="超R"),MAX(INDEX(其他调用!$H$5:$L$404,MATCH($K189,其他调用!$B$5:$B$404,0),MATCH(AV$5,其他调用!$H$4:$L$4,0))*120*0.85,2),INDEX(其他调用!$H$5:$L$404,MATCH($K189,其他调用!$B$5:$B$404,0),MATCH(AV$5,其他调用!$H$4:$L$4,0))*120*0.85)</f>
        <v>48.921801254999991</v>
      </c>
      <c r="AW189" s="14">
        <f>IF(OR(AW$5="大R",AW$5="超R"),MAX(INDEX(其他调用!$H$5:$L$404,MATCH($K189,其他调用!$B$5:$B$404,0),MATCH(AW$5,其他调用!$H$4:$L$4,0))*120*0.85,2),INDEX(其他调用!$H$5:$L$404,MATCH($K189,其他调用!$B$5:$B$404,0),MATCH(AW$5,其他调用!$H$4:$L$4,0))*120*0.85)</f>
        <v>48.237344010638395</v>
      </c>
      <c r="AX189" s="14">
        <f>IF(OR(AX$5="大R",AX$5="超R"),MAX(INDEX(其他调用!$H$5:$L$404,MATCH($K189,其他调用!$B$5:$B$404,0),MATCH(AX$5,其他调用!$H$4:$L$4,0))*120*0.85,2),INDEX(其他调用!$H$5:$L$404,MATCH($K189,其他调用!$B$5:$B$404,0),MATCH(AX$5,其他调用!$H$4:$L$4,0))*120*0.85)</f>
        <v>3.9376284143615998</v>
      </c>
      <c r="AY189" s="14">
        <f>IF(OR(AY$5="大R",AY$5="超R"),MAX(INDEX(其他调用!$H$5:$L$404,MATCH($K189,其他调用!$B$5:$B$404,0),MATCH(AY$5,其他调用!$H$4:$L$4,0))*120*0.85,2),INDEX(其他调用!$H$5:$L$404,MATCH($K189,其他调用!$B$5:$B$404,0),MATCH(AY$5,其他调用!$H$4:$L$4,0))*120*0.85)</f>
        <v>2</v>
      </c>
      <c r="AZ189" s="14">
        <f>IF(OR(AZ$5="大R",AZ$5="超R"),MAX(INDEX(其他调用!$H$5:$L$404,MATCH($K189,其他调用!$B$5:$B$404,0),MATCH(AZ$5,其他调用!$H$4:$L$4,0))*120*0.85,2),INDEX(其他调用!$H$5:$L$404,MATCH($K189,其他调用!$B$5:$B$404,0),MATCH(AZ$5,其他调用!$H$4:$L$4,0))*120*0.85)</f>
        <v>2</v>
      </c>
      <c r="BA189" s="14">
        <f>INDEX(其他调用!$H$5:$L$404,MATCH($K189,其他调用!$B$5:$B$404,0),MATCH(BA$5,其他调用!$H$4:$L$4,0))*INDEX(其他调用!$M$5:$M$404,MATCH($K189,其他调用!$B$5:$B$404,0))*0.6</f>
        <v>28.777530149999997</v>
      </c>
      <c r="BB189" s="14">
        <f>INDEX(其他调用!$H$5:$L$404,MATCH($K189,其他调用!$B$5:$B$404,0),MATCH(BB$5,其他调用!$H$4:$L$4,0))*INDEX(其他调用!$M$5:$M$404,MATCH($K189,其他调用!$B$5:$B$404,0))*0.6</f>
        <v>28.374908241551999</v>
      </c>
      <c r="BC189" s="14">
        <f>INDEX(其他调用!$H$5:$L$404,MATCH($K189,其他调用!$B$5:$B$404,0),MATCH(BC$5,其他调用!$H$4:$L$4,0))*INDEX(其他调用!$M$5:$M$404,MATCH($K189,其他调用!$B$5:$B$404,0))*0.6</f>
        <v>2.3162520084480001</v>
      </c>
      <c r="BD189" s="14">
        <f>INDEX(其他调用!$H$5:$L$404,MATCH($K189,其他调用!$B$5:$B$404,0),MATCH(BD$5,其他调用!$H$4:$L$4,0))*INDEX(其他调用!$M$5:$M$404,MATCH($K189,其他调用!$B$5:$B$404,0))*0.6</f>
        <v>0.4120776000000001</v>
      </c>
      <c r="BE189" s="14">
        <f>INDEX(其他调用!$H$5:$L$404,MATCH($K189,其他调用!$B$5:$B$404,0),MATCH(BE$5,其他调用!$H$4:$L$4,0))*INDEX(其他调用!$M$5:$M$404,MATCH($K189,其他调用!$B$5:$B$404,0))*0.6</f>
        <v>0.11923199999999998</v>
      </c>
      <c r="BF189" s="14">
        <f>IF(OR(BF$5="大R",BF$5="超R"),0,INDEX(其他调用!$H$5:$L$404,MATCH($K189,其他调用!$B$5:$B$404,0),MATCH(BF$5,其他调用!$H$4:$L$4,0))*50*0.4)</f>
        <v>9.5925100500000013</v>
      </c>
      <c r="BG189" s="14">
        <f>IF(OR(BG$5="大R",BG$5="超R"),0,INDEX(其他调用!$H$5:$L$404,MATCH($K189,其他调用!$B$5:$B$404,0),MATCH(BG$5,其他调用!$H$4:$L$4,0))*50*0.4)</f>
        <v>9.4583027471839998</v>
      </c>
      <c r="BH189" s="14">
        <f>IF(OR(BH$5="大R",BH$5="超R"),0,INDEX(其他调用!$H$5:$L$404,MATCH($K189,其他调用!$B$5:$B$404,0),MATCH(BH$5,其他调用!$H$4:$L$4,0))*50*0.4)</f>
        <v>0.77208400281600009</v>
      </c>
      <c r="BI189" s="14">
        <f>IF(OR(BI$5="大R",BI$5="超R"),0,INDEX(其他调用!$H$5:$L$404,MATCH($K189,其他调用!$B$5:$B$404,0),MATCH(BI$5,其他调用!$H$4:$L$4,0))*50*0.4)</f>
        <v>0</v>
      </c>
      <c r="BJ189" s="14">
        <f>IF(OR(BJ$5="大R",BJ$5="超R"),0,INDEX(其他调用!$H$5:$L$404,MATCH($K189,其他调用!$B$5:$B$404,0),MATCH(BJ$5,其他调用!$H$4:$L$4,0))*50*0.4)</f>
        <v>0</v>
      </c>
      <c r="BL189" s="14">
        <f t="shared" si="313"/>
        <v>184</v>
      </c>
      <c r="BM189" s="14">
        <f t="shared" si="220"/>
        <v>96</v>
      </c>
      <c r="BN189" s="14">
        <f>('疲劳值&amp;地图信息'!$S$10*'疲劳值&amp;地图信息'!$R$10+'疲劳值&amp;地图信息'!$S$11*'疲劳值&amp;地图信息'!$R$11+'疲劳值&amp;地图信息'!$S$12*'疲劳值&amp;地图信息'!$R$12+(BM189-'疲劳值&amp;地图信息'!$S$12-'疲劳值&amp;地图信息'!$S$11-'疲劳值&amp;地图信息'!$S$10)*'疲劳值&amp;地图信息'!$R$13)/BM189</f>
        <v>51.371477246638619</v>
      </c>
      <c r="BO189" s="14">
        <f>INDEX(其他调用!$M$5:$M$404,MATCH(BL189,其他调用!$B$5:$B$404,0))*0.6</f>
        <v>60</v>
      </c>
      <c r="BP189" s="14">
        <f>IF(BO189&gt;SUM('疲劳值&amp;地图信息'!$S$10:$S$12),('疲劳值&amp;地图信息'!$S$10*'疲劳值&amp;地图信息'!$R$10+'疲劳值&amp;地图信息'!$S$11*'疲劳值&amp;地图信息'!$R$11+'疲劳值&amp;地图信息'!$S$12*'疲劳值&amp;地图信息'!$R$12+(BO189-'疲劳值&amp;地图信息'!$S$12-'疲劳值&amp;地图信息'!$S$11-'疲劳值&amp;地图信息'!$S$10)*'疲劳值&amp;地图信息'!$R$13)/BO189,('疲劳值&amp;地图信息'!$S$10*'疲劳值&amp;地图信息'!$R$10+'疲劳值&amp;地图信息'!$S$11*'疲劳值&amp;地图信息'!$R$11+'疲劳值&amp;地图信息'!$S$12*'疲劳值&amp;地图信息'!$R$12+(BO189-'疲劳值&amp;地图信息'!$S$12-'疲劳值&amp;地图信息'!$S$11-'疲劳值&amp;地图信息'!$S$10)*'疲劳值&amp;地图信息'!$R$13)/BO189)</f>
        <v>44.158136341605953</v>
      </c>
      <c r="BQ189" s="14">
        <f t="shared" si="314"/>
        <v>20</v>
      </c>
      <c r="BR189" s="14">
        <f>('疲劳值&amp;地图信息'!$S$10*'疲劳值&amp;地图信息'!$R$10+($BQ189-'疲劳值&amp;地图信息'!$S$10)*'疲劳值&amp;地图信息'!$R$11)/$BQ189</f>
        <v>32.067203015074995</v>
      </c>
      <c r="CF189" s="14">
        <v>184</v>
      </c>
      <c r="CG189" s="51">
        <f t="shared" si="221"/>
        <v>12899</v>
      </c>
      <c r="CH189" s="51">
        <f t="shared" si="222"/>
        <v>1015</v>
      </c>
      <c r="CI189" s="51">
        <f>INT(SUMPRODUCT($N189:$R189,$BA189:$BE189)/SUM($BA189:$BE189)/10000*$BX$7*$BZ$34/'疲劳值&amp;地图信息'!$R$10*$BY$53)</f>
        <v>3192</v>
      </c>
      <c r="CJ189" s="50">
        <f t="shared" si="223"/>
        <v>0.75406290190576408</v>
      </c>
      <c r="CK189" s="50">
        <f t="shared" si="224"/>
        <v>5.9335905530223311E-2</v>
      </c>
      <c r="CL189" s="50">
        <f t="shared" si="225"/>
        <v>0.18660119256401261</v>
      </c>
      <c r="CM189" s="14">
        <f t="shared" si="226"/>
        <v>13729</v>
      </c>
      <c r="CN189" s="14">
        <f t="shared" si="227"/>
        <v>1655</v>
      </c>
      <c r="CO189" s="14">
        <f>INT(SUMPRODUCT($U189:$Y189,$BA189:$BE189)/SUM($BA189:$BE189)/10000*$BX$7*$BZ$34/'疲劳值&amp;地图信息'!$R$10*$BY$54)</f>
        <v>5984</v>
      </c>
      <c r="CP189" s="50">
        <f t="shared" si="228"/>
        <v>0.64250280793710224</v>
      </c>
      <c r="CQ189" s="50">
        <f t="shared" si="229"/>
        <v>7.7452265069262449E-2</v>
      </c>
      <c r="CR189" s="50">
        <f t="shared" si="230"/>
        <v>0.28004492699363537</v>
      </c>
      <c r="CS189" s="14">
        <f t="shared" si="231"/>
        <v>14622</v>
      </c>
      <c r="CT189" s="14">
        <f t="shared" si="232"/>
        <v>2883</v>
      </c>
      <c r="CU189" s="14">
        <f>INT(SUMPRODUCT($AB189:$AF189,$BA189:$BE189)/SUM($BA189:$BE189)/10000*$BX$7*$BZ$34/'疲劳值&amp;地图信息'!$R$10*$BY$55)</f>
        <v>8131</v>
      </c>
      <c r="CV189" s="50">
        <f t="shared" si="233"/>
        <v>0.57036979247932595</v>
      </c>
      <c r="CW189" s="50">
        <f t="shared" si="234"/>
        <v>0.11245904197222656</v>
      </c>
      <c r="CX189" s="50">
        <f t="shared" si="235"/>
        <v>0.31717116554844749</v>
      </c>
      <c r="CY189" s="14">
        <f t="shared" si="236"/>
        <v>17478</v>
      </c>
      <c r="CZ189" s="14">
        <f t="shared" si="237"/>
        <v>8307</v>
      </c>
      <c r="DA189" s="14">
        <f>INT(SUMPRODUCT($AI189:$AM189,$BA189:$BE189)/SUM($BA189:$BE189)/10000*$BX$7*$BZ$34/'疲劳值&amp;地图信息'!$R$10*$BY$56)</f>
        <v>12265</v>
      </c>
      <c r="DB189" s="50">
        <f t="shared" si="238"/>
        <v>0.45934296977660971</v>
      </c>
      <c r="DC189" s="50">
        <f t="shared" si="239"/>
        <v>0.2183180026281209</v>
      </c>
      <c r="DD189" s="50">
        <f t="shared" si="240"/>
        <v>0.32233902759526939</v>
      </c>
      <c r="DE189" s="14">
        <f t="shared" si="241"/>
        <v>17982</v>
      </c>
      <c r="DF189" s="14">
        <f t="shared" si="242"/>
        <v>14419</v>
      </c>
      <c r="DG189" s="14">
        <f>INT(SUMPRODUCT($AP189:$AT189,$BA189:$BE189)/SUM($BA189:$BE189)/10000*$BX$7*$BZ$34/'疲劳值&amp;地图信息'!$R$10*$BY$57)</f>
        <v>16377</v>
      </c>
      <c r="DH189" s="50">
        <f t="shared" si="243"/>
        <v>0.36864980113985812</v>
      </c>
      <c r="DI189" s="50">
        <f t="shared" si="244"/>
        <v>0.29560457583336752</v>
      </c>
      <c r="DJ189" s="50">
        <f t="shared" si="245"/>
        <v>0.33574562302677435</v>
      </c>
      <c r="DL189" s="14">
        <f t="shared" si="316"/>
        <v>17106</v>
      </c>
      <c r="DM189" s="14">
        <f t="shared" si="317"/>
        <v>21368</v>
      </c>
      <c r="DN189" s="14">
        <f t="shared" si="318"/>
        <v>25636</v>
      </c>
      <c r="DO189" s="14">
        <f t="shared" si="319"/>
        <v>38050</v>
      </c>
      <c r="DP189" s="14">
        <f t="shared" si="320"/>
        <v>48778</v>
      </c>
      <c r="DQ189" s="14">
        <f t="shared" si="321"/>
        <v>1179458</v>
      </c>
      <c r="DT189" s="14">
        <f t="shared" si="315"/>
        <v>235575</v>
      </c>
      <c r="DU189" s="50">
        <f t="shared" si="217"/>
        <v>0.16648021636244525</v>
      </c>
      <c r="DW189" s="14">
        <f t="shared" si="246"/>
        <v>1415033</v>
      </c>
      <c r="EB189" s="14">
        <v>184</v>
      </c>
      <c r="EC189" s="51">
        <f t="shared" si="247"/>
        <v>21498</v>
      </c>
      <c r="ED189" s="51">
        <f t="shared" si="248"/>
        <v>1691</v>
      </c>
      <c r="EE189" s="51">
        <f>INT(SUMPRODUCT($N189:$R189,$BF189:$BJ189)/SUM($BF189:$BJ189)/10000*$BX$7*$BZ$46/'疲劳值&amp;地图信息'!$R$10*$BY$53)</f>
        <v>428</v>
      </c>
      <c r="EF189" s="50">
        <f t="shared" si="249"/>
        <v>0.9102764957445908</v>
      </c>
      <c r="EG189" s="50">
        <f t="shared" si="250"/>
        <v>7.1600965406275141E-2</v>
      </c>
      <c r="EH189" s="50">
        <f t="shared" si="251"/>
        <v>1.8122538849134097E-2</v>
      </c>
      <c r="EI189" s="51">
        <f t="shared" si="252"/>
        <v>22882</v>
      </c>
      <c r="EJ189" s="51">
        <f t="shared" si="253"/>
        <v>2759</v>
      </c>
      <c r="EK189" s="14">
        <f>INT(SUMPRODUCT($U189:$Y189,$BF189:$BJ189)/SUM($BF189:$BJ189)/10000*$BX$7*$BZ$46/'疲劳值&amp;地图信息'!$R$10*$BY$54)</f>
        <v>803</v>
      </c>
      <c r="EL189" s="50">
        <f t="shared" si="254"/>
        <v>0.86530025714717895</v>
      </c>
      <c r="EM189" s="50">
        <f t="shared" si="255"/>
        <v>0.10433368628044169</v>
      </c>
      <c r="EN189" s="50">
        <f t="shared" si="256"/>
        <v>3.0366056572379369E-2</v>
      </c>
      <c r="EO189" s="51">
        <f t="shared" si="257"/>
        <v>24371</v>
      </c>
      <c r="EP189" s="51">
        <f t="shared" si="258"/>
        <v>4806</v>
      </c>
      <c r="EQ189" s="14">
        <f>INT(SUMPRODUCT($AB189:$AF189,$BF189:$BJ189)/SUM($BF189:$BJ189)/10000*$BX$7*$BZ$46/'疲劳值&amp;地图信息'!$R$10*$BY$55)</f>
        <v>1090</v>
      </c>
      <c r="ER189" s="50">
        <f t="shared" si="259"/>
        <v>0.80520038325569099</v>
      </c>
      <c r="ES189" s="50">
        <f t="shared" si="260"/>
        <v>0.15878679750223015</v>
      </c>
      <c r="ET189" s="50">
        <f t="shared" si="261"/>
        <v>3.6012819242078831E-2</v>
      </c>
      <c r="EU189" s="51">
        <f t="shared" si="262"/>
        <v>29130</v>
      </c>
      <c r="EV189" s="51">
        <f t="shared" si="263"/>
        <v>13845</v>
      </c>
      <c r="EW189" s="14">
        <f>INT(SUMPRODUCT($AI189:$AM189,$BF189:$BJ189)/SUM($BF189:$BJ189)/10000*$BX$7*$BZ$46/'疲劳值&amp;地图信息'!$R$10*$BY$56)</f>
        <v>1635</v>
      </c>
      <c r="EX189" s="50">
        <f t="shared" si="264"/>
        <v>0.65299260255548086</v>
      </c>
      <c r="EY189" s="50">
        <f t="shared" si="265"/>
        <v>0.31035642232683253</v>
      </c>
      <c r="EZ189" s="50">
        <f t="shared" si="266"/>
        <v>3.665097511768662E-2</v>
      </c>
      <c r="FA189" s="51">
        <f t="shared" si="267"/>
        <v>29971</v>
      </c>
      <c r="FB189" s="51">
        <f t="shared" si="268"/>
        <v>24031</v>
      </c>
      <c r="FC189" s="14">
        <f>INT(SUMPRODUCT($AP189:$AT189,$BF189:$BJ189)/SUM($BF189:$BJ189)/10000*$BX$7*$BZ$46/'疲劳值&amp;地图信息'!$R$10*$BY$57)</f>
        <v>2181</v>
      </c>
      <c r="FD189" s="50">
        <f t="shared" si="269"/>
        <v>0.53345317978748019</v>
      </c>
      <c r="FE189" s="50">
        <f t="shared" si="270"/>
        <v>0.42772724845593862</v>
      </c>
      <c r="FF189" s="50">
        <f t="shared" si="271"/>
        <v>3.881957175658117E-2</v>
      </c>
      <c r="FH189" s="14">
        <f t="shared" si="272"/>
        <v>23617</v>
      </c>
      <c r="FI189" s="14">
        <f t="shared" si="273"/>
        <v>26444</v>
      </c>
      <c r="FJ189" s="14">
        <f t="shared" si="274"/>
        <v>30267</v>
      </c>
      <c r="FK189" s="14">
        <f t="shared" si="275"/>
        <v>44610</v>
      </c>
      <c r="FL189" s="14">
        <f t="shared" si="276"/>
        <v>56183</v>
      </c>
      <c r="FM189" s="14">
        <f t="shared" si="277"/>
        <v>2751740</v>
      </c>
      <c r="FP189" s="14">
        <f t="shared" si="278"/>
        <v>334150</v>
      </c>
      <c r="FQ189" s="50">
        <f t="shared" si="218"/>
        <v>0.10828318572599802</v>
      </c>
      <c r="FS189" s="14">
        <f t="shared" si="279"/>
        <v>3085890</v>
      </c>
      <c r="FX189" s="14">
        <v>184</v>
      </c>
      <c r="FY189" s="51">
        <f t="shared" si="280"/>
        <v>30098</v>
      </c>
      <c r="FZ189" s="51">
        <f t="shared" si="281"/>
        <v>1691</v>
      </c>
      <c r="GA189" s="51">
        <f>INT(SUMPRODUCT($N189:$R189,$BF189:$BJ189)/SUM($BF189:$BJ189)/10000*$BX$7*$BZ$46/'疲劳值&amp;地图信息'!$R$10*$BY$53)</f>
        <v>428</v>
      </c>
      <c r="GB189" s="50">
        <f t="shared" si="282"/>
        <v>0.93422727131638572</v>
      </c>
      <c r="GC189" s="50">
        <f t="shared" si="283"/>
        <v>5.2487816991029577E-2</v>
      </c>
      <c r="GD189" s="50">
        <f t="shared" si="284"/>
        <v>1.328491169258466E-2</v>
      </c>
      <c r="GE189" s="51">
        <f t="shared" si="285"/>
        <v>32035</v>
      </c>
      <c r="GF189" s="51">
        <f t="shared" si="286"/>
        <v>2759</v>
      </c>
      <c r="GG189" s="14">
        <f>INT(SUMPRODUCT($U189:$Y189,$BF189:$BJ189)/SUM($BF189:$BJ189)/10000*$BX$7*$BZ$46/'疲劳值&amp;地图信息'!$R$10*$BY$54)</f>
        <v>803</v>
      </c>
      <c r="GH189" s="50">
        <f t="shared" si="287"/>
        <v>0.89993538781357985</v>
      </c>
      <c r="GI189" s="50">
        <f t="shared" si="288"/>
        <v>7.7506531449279437E-2</v>
      </c>
      <c r="GJ189" s="50">
        <f t="shared" si="289"/>
        <v>2.255808073714077E-2</v>
      </c>
      <c r="GK189" s="51">
        <f t="shared" si="290"/>
        <v>34119</v>
      </c>
      <c r="GL189" s="51">
        <f t="shared" si="291"/>
        <v>4806</v>
      </c>
      <c r="GM189" s="14">
        <f>INT(SUMPRODUCT($AB189:$AF189,$BF189:$BJ189)/SUM($BF189:$BJ189)/10000*$BX$7*$BZ$46/'疲劳值&amp;地图信息'!$R$10*$BY$55)</f>
        <v>1090</v>
      </c>
      <c r="GN189" s="50">
        <f t="shared" si="292"/>
        <v>0.85265525427964517</v>
      </c>
      <c r="GO189" s="50">
        <f t="shared" si="293"/>
        <v>0.12010496063976009</v>
      </c>
      <c r="GP189" s="50">
        <f t="shared" si="294"/>
        <v>2.7239785080594776E-2</v>
      </c>
      <c r="GQ189" s="51">
        <f t="shared" si="295"/>
        <v>40782</v>
      </c>
      <c r="GR189" s="51">
        <f t="shared" si="296"/>
        <v>13845</v>
      </c>
      <c r="GS189" s="14">
        <f>INT(SUMPRODUCT($AI189:$AM189,$BF189:$BJ189)/SUM($BF189:$BJ189)/10000*$BX$7*$BZ$46/'疲劳值&amp;地图信息'!$R$10*$BY$56)</f>
        <v>1635</v>
      </c>
      <c r="GT189" s="50">
        <f t="shared" si="297"/>
        <v>0.72485869681134696</v>
      </c>
      <c r="GU189" s="50">
        <f t="shared" si="298"/>
        <v>0.24608083608830117</v>
      </c>
      <c r="GV189" s="50">
        <f t="shared" si="299"/>
        <v>2.9060467100351924E-2</v>
      </c>
      <c r="GW189" s="51">
        <f t="shared" si="300"/>
        <v>41960</v>
      </c>
      <c r="GX189" s="51">
        <f t="shared" si="301"/>
        <v>24031</v>
      </c>
      <c r="GY189" s="14">
        <f>INT(SUMPRODUCT($AP189:$AT189,$BF189:$BJ189)/SUM($BF189:$BJ189)/10000*$BX$7*$BZ$46/'疲劳值&amp;地图信息'!$R$10*$BY$57)</f>
        <v>2181</v>
      </c>
      <c r="GZ189" s="50">
        <f t="shared" si="302"/>
        <v>0.61550196561638204</v>
      </c>
      <c r="HA189" s="50">
        <f t="shared" si="303"/>
        <v>0.35250542744821922</v>
      </c>
      <c r="HB189" s="50">
        <f t="shared" si="304"/>
        <v>3.1992606935398696E-2</v>
      </c>
      <c r="HD189" s="14">
        <f t="shared" si="305"/>
        <v>32217</v>
      </c>
      <c r="HE189" s="14">
        <f t="shared" si="306"/>
        <v>35597</v>
      </c>
      <c r="HF189" s="14">
        <f t="shared" si="307"/>
        <v>40015</v>
      </c>
      <c r="HG189" s="14">
        <f t="shared" si="308"/>
        <v>56262</v>
      </c>
      <c r="HH189" s="14">
        <f t="shared" si="309"/>
        <v>68172</v>
      </c>
      <c r="HI189" s="14">
        <f t="shared" si="310"/>
        <v>3699650</v>
      </c>
      <c r="HL189" s="14">
        <f t="shared" si="311"/>
        <v>430050</v>
      </c>
      <c r="HM189" s="50">
        <f t="shared" si="219"/>
        <v>0.10413589364844904</v>
      </c>
      <c r="HO189" s="14">
        <f t="shared" si="312"/>
        <v>4129700</v>
      </c>
    </row>
    <row r="190" spans="11:223" x14ac:dyDescent="0.2">
      <c r="K190" s="14">
        <v>185</v>
      </c>
      <c r="L190" s="12">
        <f>求节点(节奏总纲!D$4:D$163,标准城池设计!AB$4:AB$163,$K190)*求节点(节奏总纲!D$4:D$163,攻城基础信息!$AC$5:$AC$164,$K190)</f>
        <v>634370.97492729092</v>
      </c>
      <c r="M190" s="12">
        <f>INDEX(其他调用!$AA$5:$AA$404,MATCH(K190,其他调用!$X$5:$X$404,0))*MIN(INDEX(其他调用!$AH$5:$AH$364,MATCH('征服点（新）'!K190,其他调用!$AG$5:$AG$364,0),1)/INDEX(其他调用!$AJ$5:$AJ$364,MATCH(K190,其他调用!$AG$5:$AG$364,0),0),5)*求节点(节奏总纲!D$4:D$163,攻城基础信息!$AC$5:$AC$164,$K190)</f>
        <v>49920.930175816917</v>
      </c>
      <c r="N190" s="12">
        <f>MIN(INDEX(其他调用!$AH$5:$AH$364,MATCH($K190,其他调用!$AG$5:$AG$364,0),1)/INDEX(其他调用!AH$5:AH$364,MATCH($K190,其他调用!$AG$5:$AG$364,0),0),1)*INDEX(其他调用!Y$5:Y$404,MATCH($K190,其他调用!$X$5:$X$404,0),0)</f>
        <v>39685.954011160233</v>
      </c>
      <c r="O190" s="12">
        <f>MIN(INDEX(其他调用!$AH$5:$AH$364,MATCH($K190,其他调用!$AG$5:$AG$364,0),1)/INDEX(其他调用!AI$5:AI$364,MATCH($K190,其他调用!$AG$5:$AG$364,0),0),1)*INDEX(其他调用!Z$5:Z$404,MATCH($K190,其他调用!$X$5:$X$404,0),0)</f>
        <v>25066.611204242723</v>
      </c>
      <c r="P190" s="12">
        <f>MIN(INDEX(其他调用!$AH$5:$AH$364,MATCH($K190,其他调用!$AG$5:$AG$364,0),1)/INDEX(其他调用!AJ$5:AJ$364,MATCH($K190,其他调用!$AG$5:$AG$364,0),0),1)*INDEX(其他调用!AA$5:AA$404,MATCH($K190,其他调用!$X$5:$X$404,0),0)</f>
        <v>14919.08635160732</v>
      </c>
      <c r="Q190" s="12">
        <f>MIN(INDEX(其他调用!$AH$5:$AH$364,MATCH($K190,其他调用!$AG$5:$AG$364,0),1)/INDEX(其他调用!AK$5:AK$364,MATCH($K190,其他调用!$AG$5:$AG$364,0),0),1)*INDEX(其他调用!AB$5:AB$404,MATCH($K190,其他调用!$X$5:$X$404,0),0)</f>
        <v>5448.0568437594729</v>
      </c>
      <c r="R190" s="12">
        <f>MIN(INDEX(其他调用!$AH$5:$AH$364,MATCH($K190,其他调用!$AG$5:$AG$364,0),1)/INDEX(其他调用!AL$5:AL$364,MATCH($K190,其他调用!$AG$5:$AG$364,0),0),1)*INDEX(其他调用!AC$5:AC$404,MATCH($K190,其他调用!$X$5:$X$404,0),0)</f>
        <v>2275.6852107608443</v>
      </c>
      <c r="S190" s="12">
        <f>求节点(节奏总纲!D$4:D$163,标准城池设计!AC$4:AC$163,$K190)*求节点(节奏总纲!D$4:D$163,攻城基础信息!$AD$5:$AD$164,$K190)</f>
        <v>675195.19836809812</v>
      </c>
      <c r="T190" s="12">
        <f>INDEX(其他调用!$AA$5:$AA$404,MATCH($K190,其他调用!$X$5:$X$404,0))*MIN(INDEX(其他调用!AI$5:AI$364,MATCH($K190,其他调用!$AG$5:$AG$364,0),1)/INDEX(其他调用!$AJ$5:$AJ$364,MATCH($K190,其他调用!$AG$5:$AG$364,0),0),5)*求节点(节奏总纲!D$4:D$163,攻城基础信息!$AD$5:$AD$164,$K190)</f>
        <v>81323.450178279003</v>
      </c>
      <c r="U190" s="12">
        <f>MIN(INDEX(其他调用!$AI$5:$AI$364,MATCH($K190,其他调用!$AG$5:$AG$364,0),1)/INDEX(其他调用!AH$5:AH$364,MATCH($K190,其他调用!$AG$5:$AG$364,0),0),1)*INDEX(其他调用!Y$5:Y$404,MATCH($K190,其他调用!$X$5:$X$404,0),0)</f>
        <v>39685.954011160233</v>
      </c>
      <c r="V190" s="12">
        <f>MIN(INDEX(其他调用!$AI$5:$AI$364,MATCH($K190,其他调用!$AG$5:$AG$364,0),1)/INDEX(其他调用!AI$5:AI$364,MATCH($K190,其他调用!$AG$5:$AG$364,0),0),1)*INDEX(其他调用!Z$5:Z$404,MATCH($K190,其他调用!$X$5:$X$404,0),0)</f>
        <v>40834.641907254176</v>
      </c>
      <c r="W190" s="12">
        <f>MIN(INDEX(其他调用!$AI$5:$AI$364,MATCH($K190,其他调用!$AG$5:$AG$364,0),1)/INDEX(其他调用!AJ$5:AJ$364,MATCH($K190,其他调用!$AG$5:$AG$364,0),0),1)*INDEX(其他调用!AA$5:AA$404,MATCH($K190,其他调用!$X$5:$X$404,0),0)</f>
        <v>24303.865559943482</v>
      </c>
      <c r="X190" s="12">
        <f>MIN(INDEX(其他调用!$AI$5:$AI$364,MATCH($K190,其他调用!$AG$5:$AG$364,0),1)/INDEX(其他调用!AK$5:AK$364,MATCH($K190,其他调用!$AG$5:$AG$364,0),0),1)*INDEX(其他调用!AB$5:AB$404,MATCH($K190,其他调用!$X$5:$X$404,0),0)</f>
        <v>8875.1306864977741</v>
      </c>
      <c r="Y190" s="12">
        <f>MIN(INDEX(其他调用!$AI$5:$AI$364,MATCH($K190,其他调用!$AG$5:$AG$364,0),1)/INDEX(其他调用!AL$5:AL$364,MATCH($K190,其他调用!$AG$5:$AG$364,0),0),1)*INDEX(其他调用!AC$5:AC$404,MATCH($K190,其他调用!$X$5:$X$404,0),0)</f>
        <v>3707.1940007321264</v>
      </c>
      <c r="Z190" s="12">
        <f>求节点(节奏总纲!D$4:D$163,标准城池设计!AD$4:AD$163,$K190)*求节点(节奏总纲!D$4:D$163,攻城基础信息!$AE$5:$AE$164,$K190)</f>
        <v>719701.22982562007</v>
      </c>
      <c r="AA190" s="12">
        <f>INDEX(其他调用!$AA$5:$AA$404,MATCH($K190,其他调用!$X$5:$X$404,0))*MIN(INDEX(其他调用!AJ$5:AJ$364,MATCH($K190,其他调用!$AG$5:$AG$364,0),1)/INDEX(其他调用!$AJ$5:$AJ$364,MATCH($K190,其他调用!$AG$5:$AG$364,0),0),5)*求节点(节奏总纲!D$4:D$163,攻城基础信息!$AE$5:$AE$164,$K190)</f>
        <v>141710.14044182844</v>
      </c>
      <c r="AB190" s="12">
        <f>MIN(INDEX(其他调用!$AJ$5:$AJ$364,MATCH($K190,其他调用!$AG$5:$AG$364,0),1)/INDEX(其他调用!AH$5:AH$364,MATCH($K190,其他调用!$AG$5:$AG$364,0),0),1)*INDEX(其他调用!Y$5:Y$404,MATCH($K190,其他调用!$X$5:$X$404,0),0)</f>
        <v>39685.954011160233</v>
      </c>
      <c r="AC190" s="12">
        <f>MIN(INDEX(其他调用!$AJ$5:$AJ$364,MATCH($K190,其他调用!$AG$5:$AG$364,0),1)/INDEX(其他调用!AI$5:AI$364,MATCH($K190,其他调用!$AG$5:$AG$364,0),0),1)*INDEX(其他调用!Z$5:Z$404,MATCH($K190,其他调用!$X$5:$X$404,0),0)</f>
        <v>40834.641907254176</v>
      </c>
      <c r="AD190" s="12">
        <f>MIN(INDEX(其他调用!$AJ$5:$AJ$364,MATCH($K190,其他调用!$AG$5:$AG$364,0),1)/INDEX(其他调用!AJ$5:AJ$364,MATCH($K190,其他调用!$AG$5:$AG$364,0),0),1)*INDEX(其他调用!AA$5:AA$404,MATCH($K190,其他调用!$X$5:$X$404,0),0)</f>
        <v>42350.689674733047</v>
      </c>
      <c r="AE190" s="12">
        <f>MIN(INDEX(其他调用!$AJ$5:$AJ$364,MATCH($K190,其他调用!$AG$5:$AG$364,0),1)/INDEX(其他调用!AK$5:AK$364,MATCH($K190,其他调用!$AG$5:$AG$364,0),0),1)*INDEX(其他调用!AB$5:AB$404,MATCH($K190,其他调用!$X$5:$X$404,0),0)</f>
        <v>15465.354867089782</v>
      </c>
      <c r="AF190" s="12">
        <f>MIN(INDEX(其他调用!$AJ$5:$AJ$364,MATCH($K190,其他调用!$AG$5:$AG$364,0),1)/INDEX(其他调用!AL$5:AL$364,MATCH($K190,其他调用!$AG$5:$AG$364,0),0),1)*INDEX(其他调用!AC$5:AC$404,MATCH($K190,其他调用!$X$5:$X$404,0),0)</f>
        <v>6459.9691889261521</v>
      </c>
      <c r="AG190" s="12">
        <f>求节点(节奏总纲!D$4:D$163,标准城池设计!AE$4:AE$163,$K190)*求节点(节奏总纲!D$4:D$163,攻城基础信息!$AF$5:$AF$164,$K190)</f>
        <v>860307.57170852728</v>
      </c>
      <c r="AH190" s="12">
        <f>INDEX(其他调用!$AA$5:$AA$404,MATCH($K190,其他调用!$X$5:$X$404,0))*MIN(INDEX(其他调用!AK$5:AK$364,MATCH($K190,其他调用!$AG$5:$AG$364,0),1)/INDEX(其他调用!$AJ$5:$AJ$364,MATCH($K190,其他调用!$AG$5:$AG$364,0),0),5)*求节点(节奏总纲!D$4:D$163,攻城基础信息!$AF$5:$AF$164,$K190)</f>
        <v>408179.00367366191</v>
      </c>
      <c r="AI190" s="12">
        <f>MIN(INDEX(其他调用!$AK$5:$AK$364,MATCH($K190,其他调用!$AG$5:$AG$364,0),1)/INDEX(其他调用!AH$5:AH$364,MATCH($K190,其他调用!$AG$5:$AG$364,0),0),1)*INDEX(其他调用!Y$5:Y$404,MATCH($K190,其他调用!$X$5:$X$404,0),0)</f>
        <v>39685.954011160233</v>
      </c>
      <c r="AJ190" s="12">
        <f>MIN(INDEX(其他调用!$AK$5:$AK$364,MATCH($K190,其他调用!$AG$5:$AG$364,0),1)/INDEX(其他调用!AI$5:AI$364,MATCH($K190,其他调用!$AG$5:$AG$364,0),0),1)*INDEX(其他调用!Z$5:Z$404,MATCH($K190,其他调用!$X$5:$X$404,0),0)</f>
        <v>40834.641907254176</v>
      </c>
      <c r="AK190" s="12">
        <f>MIN(INDEX(其他调用!$AK$5:$AK$364,MATCH($K190,其他调用!$AG$5:$AG$364,0),1)/INDEX(其他调用!AJ$5:AJ$364,MATCH($K190,其他调用!$AG$5:$AG$364,0),0),1)*INDEX(其他调用!AA$5:AA$404,MATCH($K190,其他调用!$X$5:$X$404,0),0)</f>
        <v>42350.689674733047</v>
      </c>
      <c r="AL190" s="12">
        <f>MIN(INDEX(其他调用!$AK$5:$AK$364,MATCH($K190,其他调用!$AG$5:$AG$364,0),1)/INDEX(其他调用!AK$5:AK$364,MATCH($K190,其他调用!$AG$5:$AG$364,0),0),1)*INDEX(其他调用!AB$5:AB$404,MATCH($K190,其他调用!$X$5:$X$404,0),0)</f>
        <v>44546.093324208094</v>
      </c>
      <c r="AM190" s="12">
        <f>MIN(INDEX(其他调用!$AK$5:$AK$364,MATCH($K190,其他调用!$AG$5:$AG$364,0),1)/INDEX(其他调用!AL$5:AL$364,MATCH($K190,其他调用!$AG$5:$AG$364,0),0),1)*INDEX(其他调用!AC$5:AC$404,MATCH($K190,其他调用!$X$5:$X$404,0),0)</f>
        <v>18607.163743379668</v>
      </c>
      <c r="AN190" s="12">
        <f>求节点(节奏总纲!D$4:D$163,标准城池设计!AF$4:AF$163,$K190)*求节点(节奏总纲!D$4:D$163,攻城基础信息!$AG$5:$AG$164,$K190)</f>
        <v>885634.28885680856</v>
      </c>
      <c r="AO190" s="12">
        <f>INDEX(其他调用!$AA$5:$AA$404,MATCH($K190,其他调用!$X$5:$X$404,0))*MIN(INDEX(其他调用!AL$5:AL$364,MATCH($K190,其他调用!$AG$5:$AG$364,0),1)/INDEX(其他调用!$AJ$5:$AJ$364,MATCH($K190,其他调用!$AG$5:$AG$364,0),0),5)*求节点(节奏总纲!D$4:D$163,攻城基础信息!$AG$5:$AG$164,$K190)</f>
        <v>708550.70220914204</v>
      </c>
      <c r="AP190" s="12">
        <f>MIN(INDEX(其他调用!$AL$5:$AL$364,MATCH($K190,其他调用!$AG$5:$AG$364,0),1)/INDEX(其他调用!AH$5:AH$364,MATCH($K190,其他调用!$AG$5:$AG$364,0),0),1)*INDEX(其他调用!Y$5:Y$404,MATCH($K190,其他调用!$X$5:$X$404,0),0)</f>
        <v>39685.954011160233</v>
      </c>
      <c r="AQ190" s="12">
        <f>MIN(INDEX(其他调用!$AL$5:$AL$364,MATCH($K190,其他调用!$AG$5:$AG$364,0),1)/INDEX(其他调用!AI$5:AI$364,MATCH($K190,其他调用!$AG$5:$AG$364,0),0),1)*INDEX(其他调用!Z$5:Z$404,MATCH($K190,其他调用!$X$5:$X$404,0),0)</f>
        <v>40834.641907254176</v>
      </c>
      <c r="AR190" s="12">
        <f>MIN(INDEX(其他调用!$AL$5:$AL$364,MATCH($K190,其他调用!$AG$5:$AG$364,0),1)/INDEX(其他调用!AJ$5:AJ$364,MATCH($K190,其他调用!$AG$5:$AG$364,0),0),1)*INDEX(其他调用!AA$5:AA$404,MATCH($K190,其他调用!$X$5:$X$404,0),0)</f>
        <v>42350.689674733047</v>
      </c>
      <c r="AS190" s="12">
        <f>MIN(INDEX(其他调用!$AL$5:$AL$364,MATCH($K190,其他调用!$AG$5:$AG$364,0),1)/INDEX(其他调用!AK$5:AK$364,MATCH($K190,其他调用!$AG$5:$AG$364,0),0),1)*INDEX(其他调用!AB$5:AB$404,MATCH($K190,其他调用!$X$5:$X$404,0),0)</f>
        <v>44546.093324208094</v>
      </c>
      <c r="AT190" s="12">
        <f>MIN(INDEX(其他调用!$AL$5:$AL$364,MATCH($K190,其他调用!$AG$5:$AG$364,0),1)/INDEX(其他调用!AL$5:AL$364,MATCH($K190,其他调用!$AG$5:$AG$364,0),0),1)*INDEX(其他调用!AC$5:AC$404,MATCH($K190,其他调用!$X$5:$X$404,0),0)</f>
        <v>48502.88025773946</v>
      </c>
      <c r="AV190" s="14">
        <f>IF(OR(AV$5="大R",AV$5="超R"),MAX(INDEX(其他调用!$H$5:$L$404,MATCH($K190,其他调用!$B$5:$B$404,0),MATCH(AV$5,其他调用!$H$4:$L$4,0))*120*0.85,2),INDEX(其他调用!$H$5:$L$404,MATCH($K190,其他调用!$B$5:$B$404,0),MATCH(AV$5,其他调用!$H$4:$L$4,0))*120*0.85)</f>
        <v>48.921801254999991</v>
      </c>
      <c r="AW190" s="14">
        <f>IF(OR(AW$5="大R",AW$5="超R"),MAX(INDEX(其他调用!$H$5:$L$404,MATCH($K190,其他调用!$B$5:$B$404,0),MATCH(AW$5,其他调用!$H$4:$L$4,0))*120*0.85,2),INDEX(其他调用!$H$5:$L$404,MATCH($K190,其他调用!$B$5:$B$404,0),MATCH(AW$5,其他调用!$H$4:$L$4,0))*120*0.85)</f>
        <v>48.237344010638395</v>
      </c>
      <c r="AX190" s="14">
        <f>IF(OR(AX$5="大R",AX$5="超R"),MAX(INDEX(其他调用!$H$5:$L$404,MATCH($K190,其他调用!$B$5:$B$404,0),MATCH(AX$5,其他调用!$H$4:$L$4,0))*120*0.85,2),INDEX(其他调用!$H$5:$L$404,MATCH($K190,其他调用!$B$5:$B$404,0),MATCH(AX$5,其他调用!$H$4:$L$4,0))*120*0.85)</f>
        <v>3.9376284143615998</v>
      </c>
      <c r="AY190" s="14">
        <f>IF(OR(AY$5="大R",AY$5="超R"),MAX(INDEX(其他调用!$H$5:$L$404,MATCH($K190,其他调用!$B$5:$B$404,0),MATCH(AY$5,其他调用!$H$4:$L$4,0))*120*0.85,2),INDEX(其他调用!$H$5:$L$404,MATCH($K190,其他调用!$B$5:$B$404,0),MATCH(AY$5,其他调用!$H$4:$L$4,0))*120*0.85)</f>
        <v>2</v>
      </c>
      <c r="AZ190" s="14">
        <f>IF(OR(AZ$5="大R",AZ$5="超R"),MAX(INDEX(其他调用!$H$5:$L$404,MATCH($K190,其他调用!$B$5:$B$404,0),MATCH(AZ$5,其他调用!$H$4:$L$4,0))*120*0.85,2),INDEX(其他调用!$H$5:$L$404,MATCH($K190,其他调用!$B$5:$B$404,0),MATCH(AZ$5,其他调用!$H$4:$L$4,0))*120*0.85)</f>
        <v>2</v>
      </c>
      <c r="BA190" s="14">
        <f>INDEX(其他调用!$H$5:$L$404,MATCH($K190,其他调用!$B$5:$B$404,0),MATCH(BA$5,其他调用!$H$4:$L$4,0))*INDEX(其他调用!$M$5:$M$404,MATCH($K190,其他调用!$B$5:$B$404,0))*0.6</f>
        <v>28.777530149999997</v>
      </c>
      <c r="BB190" s="14">
        <f>INDEX(其他调用!$H$5:$L$404,MATCH($K190,其他调用!$B$5:$B$404,0),MATCH(BB$5,其他调用!$H$4:$L$4,0))*INDEX(其他调用!$M$5:$M$404,MATCH($K190,其他调用!$B$5:$B$404,0))*0.6</f>
        <v>28.374908241551999</v>
      </c>
      <c r="BC190" s="14">
        <f>INDEX(其他调用!$H$5:$L$404,MATCH($K190,其他调用!$B$5:$B$404,0),MATCH(BC$5,其他调用!$H$4:$L$4,0))*INDEX(其他调用!$M$5:$M$404,MATCH($K190,其他调用!$B$5:$B$404,0))*0.6</f>
        <v>2.3162520084480001</v>
      </c>
      <c r="BD190" s="14">
        <f>INDEX(其他调用!$H$5:$L$404,MATCH($K190,其他调用!$B$5:$B$404,0),MATCH(BD$5,其他调用!$H$4:$L$4,0))*INDEX(其他调用!$M$5:$M$404,MATCH($K190,其他调用!$B$5:$B$404,0))*0.6</f>
        <v>0.4120776000000001</v>
      </c>
      <c r="BE190" s="14">
        <f>INDEX(其他调用!$H$5:$L$404,MATCH($K190,其他调用!$B$5:$B$404,0),MATCH(BE$5,其他调用!$H$4:$L$4,0))*INDEX(其他调用!$M$5:$M$404,MATCH($K190,其他调用!$B$5:$B$404,0))*0.6</f>
        <v>0.11923199999999998</v>
      </c>
      <c r="BF190" s="14">
        <f>IF(OR(BF$5="大R",BF$5="超R"),0,INDEX(其他调用!$H$5:$L$404,MATCH($K190,其他调用!$B$5:$B$404,0),MATCH(BF$5,其他调用!$H$4:$L$4,0))*50*0.4)</f>
        <v>9.5925100500000013</v>
      </c>
      <c r="BG190" s="14">
        <f>IF(OR(BG$5="大R",BG$5="超R"),0,INDEX(其他调用!$H$5:$L$404,MATCH($K190,其他调用!$B$5:$B$404,0),MATCH(BG$5,其他调用!$H$4:$L$4,0))*50*0.4)</f>
        <v>9.4583027471839998</v>
      </c>
      <c r="BH190" s="14">
        <f>IF(OR(BH$5="大R",BH$5="超R"),0,INDEX(其他调用!$H$5:$L$404,MATCH($K190,其他调用!$B$5:$B$404,0),MATCH(BH$5,其他调用!$H$4:$L$4,0))*50*0.4)</f>
        <v>0.77208400281600009</v>
      </c>
      <c r="BI190" s="14">
        <f>IF(OR(BI$5="大R",BI$5="超R"),0,INDEX(其他调用!$H$5:$L$404,MATCH($K190,其他调用!$B$5:$B$404,0),MATCH(BI$5,其他调用!$H$4:$L$4,0))*50*0.4)</f>
        <v>0</v>
      </c>
      <c r="BJ190" s="14">
        <f>IF(OR(BJ$5="大R",BJ$5="超R"),0,INDEX(其他调用!$H$5:$L$404,MATCH($K190,其他调用!$B$5:$B$404,0),MATCH(BJ$5,其他调用!$H$4:$L$4,0))*50*0.4)</f>
        <v>0</v>
      </c>
      <c r="BL190" s="14">
        <f t="shared" si="313"/>
        <v>185</v>
      </c>
      <c r="BM190" s="14">
        <f t="shared" si="220"/>
        <v>96</v>
      </c>
      <c r="BN190" s="14">
        <f>('疲劳值&amp;地图信息'!$S$10*'疲劳值&amp;地图信息'!$R$10+'疲劳值&amp;地图信息'!$S$11*'疲劳值&amp;地图信息'!$R$11+'疲劳值&amp;地图信息'!$S$12*'疲劳值&amp;地图信息'!$R$12+(BM190-'疲劳值&amp;地图信息'!$S$12-'疲劳值&amp;地图信息'!$S$11-'疲劳值&amp;地图信息'!$S$10)*'疲劳值&amp;地图信息'!$R$13)/BM190</f>
        <v>51.371477246638619</v>
      </c>
      <c r="BO190" s="14">
        <f>INDEX(其他调用!$M$5:$M$404,MATCH(BL190,其他调用!$B$5:$B$404,0))*0.6</f>
        <v>60</v>
      </c>
      <c r="BP190" s="14">
        <f>IF(BO190&gt;SUM('疲劳值&amp;地图信息'!$S$10:$S$12),('疲劳值&amp;地图信息'!$S$10*'疲劳值&amp;地图信息'!$R$10+'疲劳值&amp;地图信息'!$S$11*'疲劳值&amp;地图信息'!$R$11+'疲劳值&amp;地图信息'!$S$12*'疲劳值&amp;地图信息'!$R$12+(BO190-'疲劳值&amp;地图信息'!$S$12-'疲劳值&amp;地图信息'!$S$11-'疲劳值&amp;地图信息'!$S$10)*'疲劳值&amp;地图信息'!$R$13)/BO190,('疲劳值&amp;地图信息'!$S$10*'疲劳值&amp;地图信息'!$R$10+'疲劳值&amp;地图信息'!$S$11*'疲劳值&amp;地图信息'!$R$11+'疲劳值&amp;地图信息'!$S$12*'疲劳值&amp;地图信息'!$R$12+(BO190-'疲劳值&amp;地图信息'!$S$12-'疲劳值&amp;地图信息'!$S$11-'疲劳值&amp;地图信息'!$S$10)*'疲劳值&amp;地图信息'!$R$13)/BO190)</f>
        <v>44.158136341605953</v>
      </c>
      <c r="BQ190" s="14">
        <f t="shared" si="314"/>
        <v>20</v>
      </c>
      <c r="BR190" s="14">
        <f>('疲劳值&amp;地图信息'!$S$10*'疲劳值&amp;地图信息'!$R$10+($BQ190-'疲劳值&amp;地图信息'!$S$10)*'疲劳值&amp;地图信息'!$R$11)/$BQ190</f>
        <v>32.067203015074995</v>
      </c>
      <c r="CF190" s="14">
        <v>185</v>
      </c>
      <c r="CG190" s="51">
        <f t="shared" si="221"/>
        <v>12929</v>
      </c>
      <c r="CH190" s="51">
        <f t="shared" si="222"/>
        <v>1017</v>
      </c>
      <c r="CI190" s="51">
        <f>INT(SUMPRODUCT($N190:$R190,$BA190:$BE190)/SUM($BA190:$BE190)/10000*$BX$7*$BZ$34/'疲劳值&amp;地图信息'!$R$10*$BY$53)</f>
        <v>3196</v>
      </c>
      <c r="CJ190" s="50">
        <f t="shared" si="223"/>
        <v>0.75422937813557345</v>
      </c>
      <c r="CK190" s="50">
        <f t="shared" si="224"/>
        <v>5.9327966398319915E-2</v>
      </c>
      <c r="CL190" s="50">
        <f t="shared" si="225"/>
        <v>0.18644265546610664</v>
      </c>
      <c r="CM190" s="14">
        <f t="shared" si="226"/>
        <v>13761</v>
      </c>
      <c r="CN190" s="14">
        <f t="shared" si="227"/>
        <v>1657</v>
      </c>
      <c r="CO190" s="14">
        <f>INT(SUMPRODUCT($U190:$Y190,$BA190:$BE190)/SUM($BA190:$BE190)/10000*$BX$7*$BZ$34/'疲劳值&amp;地图信息'!$R$10*$BY$54)</f>
        <v>5989</v>
      </c>
      <c r="CP190" s="50">
        <f t="shared" si="228"/>
        <v>0.64282711262671088</v>
      </c>
      <c r="CQ190" s="50">
        <f t="shared" si="229"/>
        <v>7.7404587284533102E-2</v>
      </c>
      <c r="CR190" s="50">
        <f t="shared" si="230"/>
        <v>0.27976830008875603</v>
      </c>
      <c r="CS190" s="14">
        <f t="shared" si="231"/>
        <v>14668</v>
      </c>
      <c r="CT190" s="14">
        <f t="shared" si="232"/>
        <v>2888</v>
      </c>
      <c r="CU190" s="14">
        <f>INT(SUMPRODUCT($AB190:$AF190,$BA190:$BE190)/SUM($BA190:$BE190)/10000*$BX$7*$BZ$34/'疲劳值&amp;地图信息'!$R$10*$BY$55)</f>
        <v>8137</v>
      </c>
      <c r="CV190" s="50">
        <f t="shared" si="233"/>
        <v>0.57089479624800532</v>
      </c>
      <c r="CW190" s="50">
        <f t="shared" si="234"/>
        <v>0.11240415677421865</v>
      </c>
      <c r="CX190" s="50">
        <f t="shared" si="235"/>
        <v>0.31670104697777607</v>
      </c>
      <c r="CY190" s="14">
        <f t="shared" si="236"/>
        <v>17534</v>
      </c>
      <c r="CZ190" s="14">
        <f t="shared" si="237"/>
        <v>8319</v>
      </c>
      <c r="DA190" s="14">
        <f>INT(SUMPRODUCT($AI190:$AM190,$BA190:$BE190)/SUM($BA190:$BE190)/10000*$BX$7*$BZ$34/'疲劳值&amp;地图信息'!$R$10*$BY$56)</f>
        <v>12274</v>
      </c>
      <c r="DB190" s="50">
        <f t="shared" si="238"/>
        <v>0.45988407165525741</v>
      </c>
      <c r="DC190" s="50">
        <f t="shared" si="239"/>
        <v>0.21819183255960342</v>
      </c>
      <c r="DD190" s="50">
        <f t="shared" si="240"/>
        <v>0.32192409578513914</v>
      </c>
      <c r="DE190" s="14">
        <f t="shared" si="241"/>
        <v>18050</v>
      </c>
      <c r="DF190" s="14">
        <f t="shared" si="242"/>
        <v>14441</v>
      </c>
      <c r="DG190" s="14">
        <f>INT(SUMPRODUCT($AP190:$AT190,$BA190:$BE190)/SUM($BA190:$BE190)/10000*$BX$7*$BZ$34/'疲劳值&amp;地图信息'!$R$10*$BY$57)</f>
        <v>16390</v>
      </c>
      <c r="DH190" s="50">
        <f t="shared" si="243"/>
        <v>0.36926413125754382</v>
      </c>
      <c r="DI190" s="50">
        <f t="shared" si="244"/>
        <v>0.29543176285264211</v>
      </c>
      <c r="DJ190" s="50">
        <f t="shared" si="245"/>
        <v>0.33530410588981402</v>
      </c>
      <c r="DL190" s="14">
        <f t="shared" si="316"/>
        <v>17142</v>
      </c>
      <c r="DM190" s="14">
        <f t="shared" si="317"/>
        <v>21407</v>
      </c>
      <c r="DN190" s="14">
        <f t="shared" si="318"/>
        <v>25693</v>
      </c>
      <c r="DO190" s="14">
        <f t="shared" si="319"/>
        <v>38127</v>
      </c>
      <c r="DP190" s="14">
        <f t="shared" si="320"/>
        <v>48881</v>
      </c>
      <c r="DQ190" s="14">
        <f t="shared" si="321"/>
        <v>1181777</v>
      </c>
      <c r="DT190" s="14">
        <f t="shared" si="315"/>
        <v>235575</v>
      </c>
      <c r="DU190" s="50">
        <f t="shared" si="217"/>
        <v>0.16620782981221319</v>
      </c>
      <c r="DW190" s="14">
        <f t="shared" si="246"/>
        <v>1417352</v>
      </c>
      <c r="EB190" s="14">
        <v>185</v>
      </c>
      <c r="EC190" s="51">
        <f t="shared" si="247"/>
        <v>21548</v>
      </c>
      <c r="ED190" s="51">
        <f t="shared" si="248"/>
        <v>1695</v>
      </c>
      <c r="EE190" s="51">
        <f>INT(SUMPRODUCT($N190:$R190,$BF190:$BJ190)/SUM($BF190:$BJ190)/10000*$BX$7*$BZ$46/'疲劳值&amp;地图信息'!$R$10*$BY$53)</f>
        <v>429</v>
      </c>
      <c r="EF190" s="50">
        <f t="shared" si="249"/>
        <v>0.91027374112875969</v>
      </c>
      <c r="EG190" s="50">
        <f t="shared" si="250"/>
        <v>7.1603582291314638E-2</v>
      </c>
      <c r="EH190" s="50">
        <f t="shared" si="251"/>
        <v>1.812267657992565E-2</v>
      </c>
      <c r="EI190" s="51">
        <f t="shared" si="252"/>
        <v>22935</v>
      </c>
      <c r="EJ190" s="51">
        <f t="shared" si="253"/>
        <v>2762</v>
      </c>
      <c r="EK190" s="14">
        <f>INT(SUMPRODUCT($U190:$Y190,$BF190:$BJ190)/SUM($BF190:$BJ190)/10000*$BX$7*$BZ$46/'疲劳值&amp;地图信息'!$R$10*$BY$54)</f>
        <v>804</v>
      </c>
      <c r="EL190" s="50">
        <f t="shared" si="254"/>
        <v>0.86543904003622507</v>
      </c>
      <c r="EM190" s="50">
        <f t="shared" si="255"/>
        <v>0.10422248217048413</v>
      </c>
      <c r="EN190" s="50">
        <f t="shared" si="256"/>
        <v>3.0338477793290818E-2</v>
      </c>
      <c r="EO190" s="51">
        <f t="shared" si="257"/>
        <v>24447</v>
      </c>
      <c r="EP190" s="51">
        <f t="shared" si="258"/>
        <v>4813</v>
      </c>
      <c r="EQ190" s="14">
        <f>INT(SUMPRODUCT($AB190:$AF190,$BF190:$BJ190)/SUM($BF190:$BJ190)/10000*$BX$7*$BZ$46/'疲劳值&amp;地图信息'!$R$10*$BY$55)</f>
        <v>1091</v>
      </c>
      <c r="ER190" s="50">
        <f t="shared" si="259"/>
        <v>0.80547593160027675</v>
      </c>
      <c r="ES190" s="50">
        <f t="shared" si="260"/>
        <v>0.15857797107179336</v>
      </c>
      <c r="ET190" s="50">
        <f t="shared" si="261"/>
        <v>3.5946097327929888E-2</v>
      </c>
      <c r="EU190" s="51">
        <f t="shared" si="262"/>
        <v>29223</v>
      </c>
      <c r="EV190" s="51">
        <f t="shared" si="263"/>
        <v>13865</v>
      </c>
      <c r="EW190" s="14">
        <f>INT(SUMPRODUCT($AI190:$AM190,$BF190:$BJ190)/SUM($BF190:$BJ190)/10000*$BX$7*$BZ$46/'疲劳值&amp;地图信息'!$R$10*$BY$56)</f>
        <v>1637</v>
      </c>
      <c r="EX190" s="50">
        <f t="shared" si="264"/>
        <v>0.65339295695919508</v>
      </c>
      <c r="EY190" s="50">
        <f t="shared" si="265"/>
        <v>0.31000558971492453</v>
      </c>
      <c r="EZ190" s="50">
        <f t="shared" si="266"/>
        <v>3.6601453325880377E-2</v>
      </c>
      <c r="FA190" s="51">
        <f t="shared" si="267"/>
        <v>30083</v>
      </c>
      <c r="FB190" s="51">
        <f t="shared" si="268"/>
        <v>24068</v>
      </c>
      <c r="FC190" s="14">
        <f>INT(SUMPRODUCT($AP190:$AT190,$BF190:$BJ190)/SUM($BF190:$BJ190)/10000*$BX$7*$BZ$46/'疲劳值&amp;地图信息'!$R$10*$BY$57)</f>
        <v>2182</v>
      </c>
      <c r="FD190" s="50">
        <f t="shared" si="269"/>
        <v>0.53402091136633945</v>
      </c>
      <c r="FE190" s="50">
        <f t="shared" si="270"/>
        <v>0.42724513162799782</v>
      </c>
      <c r="FF190" s="50">
        <f t="shared" si="271"/>
        <v>3.8733957005662754E-2</v>
      </c>
      <c r="FH190" s="14">
        <f t="shared" si="272"/>
        <v>23672</v>
      </c>
      <c r="FI190" s="14">
        <f t="shared" si="273"/>
        <v>26501</v>
      </c>
      <c r="FJ190" s="14">
        <f t="shared" si="274"/>
        <v>30351</v>
      </c>
      <c r="FK190" s="14">
        <f t="shared" si="275"/>
        <v>44725</v>
      </c>
      <c r="FL190" s="14">
        <f t="shared" si="276"/>
        <v>56333</v>
      </c>
      <c r="FM190" s="14">
        <f t="shared" si="277"/>
        <v>2758041</v>
      </c>
      <c r="FP190" s="14">
        <f t="shared" si="278"/>
        <v>334150</v>
      </c>
      <c r="FQ190" s="50">
        <f t="shared" si="218"/>
        <v>0.10806253559369391</v>
      </c>
      <c r="FS190" s="14">
        <f t="shared" si="279"/>
        <v>3092191</v>
      </c>
      <c r="FX190" s="14">
        <v>185</v>
      </c>
      <c r="FY190" s="51">
        <f t="shared" si="280"/>
        <v>30168</v>
      </c>
      <c r="FZ190" s="51">
        <f t="shared" si="281"/>
        <v>1695</v>
      </c>
      <c r="GA190" s="51">
        <f>INT(SUMPRODUCT($N190:$R190,$BF190:$BJ190)/SUM($BF190:$BJ190)/10000*$BX$7*$BZ$46/'疲劳值&amp;地图信息'!$R$10*$BY$53)</f>
        <v>429</v>
      </c>
      <c r="GB190" s="50">
        <f t="shared" si="282"/>
        <v>0.93422519509476032</v>
      </c>
      <c r="GC190" s="50">
        <f t="shared" si="283"/>
        <v>5.2489780750650313E-2</v>
      </c>
      <c r="GD190" s="50">
        <f t="shared" si="284"/>
        <v>1.3285024154589372E-2</v>
      </c>
      <c r="GE190" s="51">
        <f t="shared" si="285"/>
        <v>32109</v>
      </c>
      <c r="GF190" s="51">
        <f t="shared" si="286"/>
        <v>2762</v>
      </c>
      <c r="GG190" s="14">
        <f>INT(SUMPRODUCT($U190:$Y190,$BF190:$BJ190)/SUM($BF190:$BJ190)/10000*$BX$7*$BZ$46/'疲劳值&amp;地图信息'!$R$10*$BY$54)</f>
        <v>804</v>
      </c>
      <c r="GH190" s="50">
        <f t="shared" si="287"/>
        <v>0.90004204625087592</v>
      </c>
      <c r="GI190" s="50">
        <f t="shared" si="288"/>
        <v>7.7421163279607574E-2</v>
      </c>
      <c r="GJ190" s="50">
        <f t="shared" si="289"/>
        <v>2.2536790469516468E-2</v>
      </c>
      <c r="GK190" s="51">
        <f t="shared" si="290"/>
        <v>34226</v>
      </c>
      <c r="GL190" s="51">
        <f t="shared" si="291"/>
        <v>4813</v>
      </c>
      <c r="GM190" s="14">
        <f>INT(SUMPRODUCT($AB190:$AF190,$BF190:$BJ190)/SUM($BF190:$BJ190)/10000*$BX$7*$BZ$46/'疲劳值&amp;地图信息'!$R$10*$BY$55)</f>
        <v>1091</v>
      </c>
      <c r="GN190" s="50">
        <f t="shared" si="292"/>
        <v>0.85287814602541734</v>
      </c>
      <c r="GO190" s="50">
        <f t="shared" si="293"/>
        <v>0.1199352105656616</v>
      </c>
      <c r="GP190" s="50">
        <f t="shared" si="294"/>
        <v>2.7186643408921008E-2</v>
      </c>
      <c r="GQ190" s="51">
        <f t="shared" si="295"/>
        <v>40913</v>
      </c>
      <c r="GR190" s="51">
        <f t="shared" si="296"/>
        <v>13865</v>
      </c>
      <c r="GS190" s="14">
        <f>INT(SUMPRODUCT($AI190:$AM190,$BF190:$BJ190)/SUM($BF190:$BJ190)/10000*$BX$7*$BZ$46/'疲劳值&amp;地图信息'!$R$10*$BY$56)</f>
        <v>1637</v>
      </c>
      <c r="GT190" s="50">
        <f t="shared" si="297"/>
        <v>0.72521492510857044</v>
      </c>
      <c r="GU190" s="50">
        <f t="shared" si="298"/>
        <v>0.24576796951165469</v>
      </c>
      <c r="GV190" s="50">
        <f t="shared" si="299"/>
        <v>2.9017105379774883E-2</v>
      </c>
      <c r="GW190" s="51">
        <f t="shared" si="300"/>
        <v>42117</v>
      </c>
      <c r="GX190" s="51">
        <f t="shared" si="301"/>
        <v>24068</v>
      </c>
      <c r="GY190" s="14">
        <f>INT(SUMPRODUCT($AP190:$AT190,$BF190:$BJ190)/SUM($BF190:$BJ190)/10000*$BX$7*$BZ$46/'疲劳值&amp;地图信息'!$R$10*$BY$57)</f>
        <v>2182</v>
      </c>
      <c r="GZ190" s="50">
        <f t="shared" si="302"/>
        <v>0.61604282768002105</v>
      </c>
      <c r="HA190" s="50">
        <f t="shared" si="303"/>
        <v>0.35204118946275248</v>
      </c>
      <c r="HB190" s="50">
        <f t="shared" si="304"/>
        <v>3.1915982857226438E-2</v>
      </c>
      <c r="HD190" s="14">
        <f t="shared" si="305"/>
        <v>32292</v>
      </c>
      <c r="HE190" s="14">
        <f t="shared" si="306"/>
        <v>35675</v>
      </c>
      <c r="HF190" s="14">
        <f t="shared" si="307"/>
        <v>40130</v>
      </c>
      <c r="HG190" s="14">
        <f t="shared" si="308"/>
        <v>56415</v>
      </c>
      <c r="HH190" s="14">
        <f t="shared" si="309"/>
        <v>68367</v>
      </c>
      <c r="HI190" s="14">
        <f t="shared" si="310"/>
        <v>3708231</v>
      </c>
      <c r="HL190" s="14">
        <f t="shared" si="311"/>
        <v>430050</v>
      </c>
      <c r="HM190" s="50">
        <f t="shared" si="219"/>
        <v>0.10391996096930102</v>
      </c>
      <c r="HO190" s="14">
        <f t="shared" si="312"/>
        <v>4138281</v>
      </c>
    </row>
    <row r="191" spans="11:223" x14ac:dyDescent="0.2">
      <c r="K191" s="14">
        <v>186</v>
      </c>
      <c r="L191" s="12">
        <f>求节点(节奏总纲!D$4:D$163,标准城池设计!AB$4:AB$163,$K191)*求节点(节奏总纲!D$4:D$163,攻城基础信息!$AC$5:$AC$164,$K191)</f>
        <v>635841.47834292997</v>
      </c>
      <c r="M191" s="12">
        <f>INDEX(其他调用!$AA$5:$AA$404,MATCH(K191,其他调用!$X$5:$X$404,0))*MIN(INDEX(其他调用!$AH$5:$AH$364,MATCH('征服点（新）'!K191,其他调用!$AG$5:$AG$364,0),1)/INDEX(其他调用!$AJ$5:$AJ$364,MATCH(K191,其他调用!$AG$5:$AG$364,0),0),5)*求节点(节奏总纲!D$4:D$163,攻城基础信息!$AC$5:$AC$164,$K191)</f>
        <v>50037.038129611137</v>
      </c>
      <c r="N191" s="12">
        <f>MIN(INDEX(其他调用!$AH$5:$AH$364,MATCH($K191,其他调用!$AG$5:$AG$364,0),1)/INDEX(其他调用!AH$5:AH$364,MATCH($K191,其他调用!$AG$5:$AG$364,0),0),1)*INDEX(其他调用!Y$5:Y$404,MATCH($K191,其他调用!$X$5:$X$404,0),0)</f>
        <v>39716.059974708885</v>
      </c>
      <c r="O191" s="12">
        <f>MIN(INDEX(其他调用!$AH$5:$AH$364,MATCH($K191,其他调用!$AG$5:$AG$364,0),1)/INDEX(其他调用!AI$5:AI$364,MATCH($K191,其他调用!$AG$5:$AG$364,0),0),1)*INDEX(其他调用!Z$5:Z$404,MATCH($K191,其他调用!$X$5:$X$404,0),0)</f>
        <v>25119.594996400738</v>
      </c>
      <c r="P191" s="12">
        <f>MIN(INDEX(其他调用!$AH$5:$AH$364,MATCH($K191,其他调用!$AG$5:$AG$364,0),1)/INDEX(其他调用!AJ$5:AJ$364,MATCH($K191,其他调用!$AG$5:$AG$364,0),0),1)*INDEX(其他调用!AA$5:AA$404,MATCH($K191,其他调用!$X$5:$X$404,0),0)</f>
        <v>14942.328800888808</v>
      </c>
      <c r="Q191" s="12">
        <f>MIN(INDEX(其他调用!$AH$5:$AH$364,MATCH($K191,其他调用!$AG$5:$AG$364,0),1)/INDEX(其他调用!AK$5:AK$364,MATCH($K191,其他调用!$AG$5:$AG$364,0),0),1)*INDEX(其他调用!AB$5:AB$404,MATCH($K191,其他调用!$X$5:$X$404,0),0)</f>
        <v>5456.6689971201386</v>
      </c>
      <c r="R191" s="12">
        <f>MIN(INDEX(其他调用!$AH$5:$AH$364,MATCH($K191,其他调用!$AG$5:$AG$364,0),1)/INDEX(其他调用!AL$5:AL$364,MATCH($K191,其他调用!$AG$5:$AG$364,0),0),1)*INDEX(其他调用!AC$5:AC$404,MATCH($K191,其他调用!$X$5:$X$404,0),0)</f>
        <v>2288.8178674140963</v>
      </c>
      <c r="S191" s="12">
        <f>求节点(节奏总纲!D$4:D$163,标准城池设计!AC$4:AC$163,$K191)*求节点(节奏总纲!D$4:D$163,攻城基础信息!$AD$5:$AD$164,$K191)</f>
        <v>676764.24950580986</v>
      </c>
      <c r="T191" s="12">
        <f>INDEX(其他调用!$AA$5:$AA$404,MATCH($K191,其他调用!$X$5:$X$404,0))*MIN(INDEX(其他调用!AI$5:AI$364,MATCH($K191,其他调用!$AG$5:$AG$364,0),1)/INDEX(其他调用!$AJ$5:$AJ$364,MATCH($K191,其他调用!$AG$5:$AG$364,0),0),5)*求节点(节奏总纲!D$4:D$163,攻城基础信息!$AD$5:$AD$164,$K191)</f>
        <v>81403.922398895782</v>
      </c>
      <c r="U191" s="12">
        <f>MIN(INDEX(其他调用!$AI$5:$AI$364,MATCH($K191,其他调用!$AG$5:$AG$364,0),1)/INDEX(其他调用!AH$5:AH$364,MATCH($K191,其他调用!$AG$5:$AG$364,0),0),1)*INDEX(其他调用!Y$5:Y$404,MATCH($K191,其他调用!$X$5:$X$404,0),0)</f>
        <v>39716.059974708885</v>
      </c>
      <c r="V191" s="12">
        <f>MIN(INDEX(其他调用!$AI$5:$AI$364,MATCH($K191,其他调用!$AG$5:$AG$364,0),1)/INDEX(其他调用!AI$5:AI$364,MATCH($K191,其他调用!$AG$5:$AG$364,0),0),1)*INDEX(其他调用!Z$5:Z$404,MATCH($K191,其他调用!$X$5:$X$404,0),0)</f>
        <v>40866.39893596332</v>
      </c>
      <c r="W191" s="12">
        <f>MIN(INDEX(其他调用!$AI$5:$AI$364,MATCH($K191,其他调用!$AG$5:$AG$364,0),1)/INDEX(其他调用!AJ$5:AJ$364,MATCH($K191,其他调用!$AG$5:$AG$364,0),0),1)*INDEX(其他调用!AA$5:AA$404,MATCH($K191,其他调用!$X$5:$X$404,0),0)</f>
        <v>24309.276080961969</v>
      </c>
      <c r="X191" s="12">
        <f>MIN(INDEX(其他调用!$AI$5:$AI$364,MATCH($K191,其他调用!$AG$5:$AG$364,0),1)/INDEX(其他调用!AK$5:AK$364,MATCH($K191,其他调用!$AG$5:$AG$364,0),0),1)*INDEX(其他调用!AB$5:AB$404,MATCH($K191,其他调用!$X$5:$X$404,0),0)</f>
        <v>8877.3092133757018</v>
      </c>
      <c r="Y191" s="12">
        <f>MIN(INDEX(其他调用!$AI$5:$AI$364,MATCH($K191,其他调用!$AG$5:$AG$364,0),1)/INDEX(其他调用!AL$5:AL$364,MATCH($K191,其他调用!$AG$5:$AG$364,0),0),1)*INDEX(其他调用!AC$5:AC$404,MATCH($K191,其他调用!$X$5:$X$404,0),0)</f>
        <v>3723.6167253057833</v>
      </c>
      <c r="Z191" s="12">
        <f>求节点(节奏总纲!D$4:D$163,标准城池设计!AD$4:AD$163,$K191)*求节点(节奏总纲!D$4:D$163,攻城基础信息!$AE$5:$AE$164,$K191)</f>
        <v>721947.69522585429</v>
      </c>
      <c r="AA191" s="12">
        <f>INDEX(其他调用!$AA$5:$AA$404,MATCH($K191,其他调用!$X$5:$X$404,0))*MIN(INDEX(其他调用!AJ$5:AJ$364,MATCH($K191,其他调用!$AG$5:$AG$364,0),1)/INDEX(其他调用!$AJ$5:$AJ$364,MATCH($K191,其他调用!$AG$5:$AG$364,0),0),5)*求节点(节奏总纲!D$4:D$163,攻城基础信息!$AE$5:$AE$164,$K191)</f>
        <v>141926.09704897538</v>
      </c>
      <c r="AB191" s="12">
        <f>MIN(INDEX(其他调用!$AJ$5:$AJ$364,MATCH($K191,其他调用!$AG$5:$AG$364,0),1)/INDEX(其他调用!AH$5:AH$364,MATCH($K191,其他调用!$AG$5:$AG$364,0),0),1)*INDEX(其他调用!Y$5:Y$404,MATCH($K191,其他调用!$X$5:$X$404,0),0)</f>
        <v>39716.059974708885</v>
      </c>
      <c r="AC191" s="12">
        <f>MIN(INDEX(其他调用!$AJ$5:$AJ$364,MATCH($K191,其他调用!$AG$5:$AG$364,0),1)/INDEX(其他调用!AI$5:AI$364,MATCH($K191,其他调用!$AG$5:$AG$364,0),0),1)*INDEX(其他调用!Z$5:Z$404,MATCH($K191,其他调用!$X$5:$X$404,0),0)</f>
        <v>40866.39893596332</v>
      </c>
      <c r="AD191" s="12">
        <f>MIN(INDEX(其他调用!$AJ$5:$AJ$364,MATCH($K191,其他调用!$AG$5:$AG$364,0),1)/INDEX(其他调用!AJ$5:AJ$364,MATCH($K191,其他调用!$AG$5:$AG$364,0),0),1)*INDEX(其他调用!AA$5:AA$404,MATCH($K191,其他调用!$X$5:$X$404,0),0)</f>
        <v>42382.732607780876</v>
      </c>
      <c r="AE191" s="12">
        <f>MIN(INDEX(其他调用!$AJ$5:$AJ$364,MATCH($K191,其他调用!$AG$5:$AG$364,0),1)/INDEX(其他调用!AK$5:AK$364,MATCH($K191,其他调用!$AG$5:$AG$364,0),0),1)*INDEX(其他调用!AB$5:AB$404,MATCH($K191,其他调用!$X$5:$X$404,0),0)</f>
        <v>15477.409586941643</v>
      </c>
      <c r="AF191" s="12">
        <f>MIN(INDEX(其他调用!$AJ$5:$AJ$364,MATCH($K191,其他调用!$AG$5:$AG$364,0),1)/INDEX(其他调用!AL$5:AL$364,MATCH($K191,其他调用!$AG$5:$AG$364,0),0),1)*INDEX(其他调用!AC$5:AC$404,MATCH($K191,其他调用!$X$5:$X$404,0),0)</f>
        <v>6492.0506672797028</v>
      </c>
      <c r="AG191" s="12">
        <f>求节点(节奏总纲!D$4:D$163,标准城池设计!AE$4:AE$163,$K191)*求节点(节奏总纲!D$4:D$163,攻城基础信息!$AF$5:$AF$164,$K191)</f>
        <v>863048.29612846894</v>
      </c>
      <c r="AH191" s="12">
        <f>INDEX(其他调用!$AA$5:$AA$404,MATCH($K191,其他调用!$X$5:$X$404,0))*MIN(INDEX(其他调用!AK$5:AK$364,MATCH($K191,其他调用!$AG$5:$AG$364,0),1)/INDEX(其他调用!$AJ$5:$AJ$364,MATCH($K191,其他调用!$AG$5:$AG$364,0),0),5)*求节点(节奏总纲!D$4:D$163,攻城基础信息!$AF$5:$AF$164,$K191)</f>
        <v>408767.29226617317</v>
      </c>
      <c r="AI191" s="12">
        <f>MIN(INDEX(其他调用!$AK$5:$AK$364,MATCH($K191,其他调用!$AG$5:$AG$364,0),1)/INDEX(其他调用!AH$5:AH$364,MATCH($K191,其他调用!$AG$5:$AG$364,0),0),1)*INDEX(其他调用!Y$5:Y$404,MATCH($K191,其他调用!$X$5:$X$404,0),0)</f>
        <v>39716.059974708885</v>
      </c>
      <c r="AJ191" s="12">
        <f>MIN(INDEX(其他调用!$AK$5:$AK$364,MATCH($K191,其他调用!$AG$5:$AG$364,0),1)/INDEX(其他调用!AI$5:AI$364,MATCH($K191,其他调用!$AG$5:$AG$364,0),0),1)*INDEX(其他调用!Z$5:Z$404,MATCH($K191,其他调用!$X$5:$X$404,0),0)</f>
        <v>40866.39893596332</v>
      </c>
      <c r="AK191" s="12">
        <f>MIN(INDEX(其他调用!$AK$5:$AK$364,MATCH($K191,其他调用!$AG$5:$AG$364,0),1)/INDEX(其他调用!AJ$5:AJ$364,MATCH($K191,其他调用!$AG$5:$AG$364,0),0),1)*INDEX(其他调用!AA$5:AA$404,MATCH($K191,其他调用!$X$5:$X$404,0),0)</f>
        <v>42382.732607780876</v>
      </c>
      <c r="AL191" s="12">
        <f>MIN(INDEX(其他调用!$AK$5:$AK$364,MATCH($K191,其他调用!$AG$5:$AG$364,0),1)/INDEX(其他调用!AK$5:AK$364,MATCH($K191,其他调用!$AG$5:$AG$364,0),0),1)*INDEX(其他调用!AB$5:AB$404,MATCH($K191,其他调用!$X$5:$X$404,0),0)</f>
        <v>44577.135140730767</v>
      </c>
      <c r="AM191" s="12">
        <f>MIN(INDEX(其他调用!$AK$5:$AK$364,MATCH($K191,其他调用!$AG$5:$AG$364,0),1)/INDEX(其他调用!AL$5:AL$364,MATCH($K191,其他调用!$AG$5:$AG$364,0),0),1)*INDEX(其他调用!AC$5:AC$404,MATCH($K191,其他调用!$X$5:$X$404,0),0)</f>
        <v>18698.026844231361</v>
      </c>
      <c r="AN191" s="12">
        <f>求节点(节奏总纲!D$4:D$163,标准城池设计!AF$4:AF$163,$K191)*求节点(节奏总纲!D$4:D$163,攻城基础信息!$AG$5:$AG$164,$K191)</f>
        <v>888950.50270523946</v>
      </c>
      <c r="AO191" s="12">
        <f>INDEX(其他调用!$AA$5:$AA$404,MATCH($K191,其他调用!$X$5:$X$404,0))*MIN(INDEX(其他调用!AL$5:AL$364,MATCH($K191,其他调用!$AG$5:$AG$364,0),1)/INDEX(其他调用!$AJ$5:$AJ$364,MATCH($K191,其他调用!$AG$5:$AG$364,0),0),5)*求节点(节奏总纲!D$4:D$163,攻城基础信息!$AG$5:$AG$164,$K191)</f>
        <v>709630.48524487682</v>
      </c>
      <c r="AP191" s="12">
        <f>MIN(INDEX(其他调用!$AL$5:$AL$364,MATCH($K191,其他调用!$AG$5:$AG$364,0),1)/INDEX(其他调用!AH$5:AH$364,MATCH($K191,其他调用!$AG$5:$AG$364,0),0),1)*INDEX(其他调用!Y$5:Y$404,MATCH($K191,其他调用!$X$5:$X$404,0),0)</f>
        <v>39716.059974708885</v>
      </c>
      <c r="AQ191" s="12">
        <f>MIN(INDEX(其他调用!$AL$5:$AL$364,MATCH($K191,其他调用!$AG$5:$AG$364,0),1)/INDEX(其他调用!AI$5:AI$364,MATCH($K191,其他调用!$AG$5:$AG$364,0),0),1)*INDEX(其他调用!Z$5:Z$404,MATCH($K191,其他调用!$X$5:$X$404,0),0)</f>
        <v>40866.39893596332</v>
      </c>
      <c r="AR191" s="12">
        <f>MIN(INDEX(其他调用!$AL$5:$AL$364,MATCH($K191,其他调用!$AG$5:$AG$364,0),1)/INDEX(其他调用!AJ$5:AJ$364,MATCH($K191,其他调用!$AG$5:$AG$364,0),0),1)*INDEX(其他调用!AA$5:AA$404,MATCH($K191,其他调用!$X$5:$X$404,0),0)</f>
        <v>42382.732607780876</v>
      </c>
      <c r="AS191" s="12">
        <f>MIN(INDEX(其他调用!$AL$5:$AL$364,MATCH($K191,其他调用!$AG$5:$AG$364,0),1)/INDEX(其他调用!AK$5:AK$364,MATCH($K191,其他调用!$AG$5:$AG$364,0),0),1)*INDEX(其他调用!AB$5:AB$404,MATCH($K191,其他调用!$X$5:$X$404,0),0)</f>
        <v>44577.135140730767</v>
      </c>
      <c r="AT191" s="12">
        <f>MIN(INDEX(其他调用!$AL$5:$AL$364,MATCH($K191,其他调用!$AG$5:$AG$364,0),1)/INDEX(其他调用!AL$5:AL$364,MATCH($K191,其他调用!$AG$5:$AG$364,0),0),1)*INDEX(其他调用!AC$5:AC$404,MATCH($K191,其他调用!$X$5:$X$404,0),0)</f>
        <v>48533.48598135612</v>
      </c>
      <c r="AV191" s="14">
        <f>IF(OR(AV$5="大R",AV$5="超R"),MAX(INDEX(其他调用!$H$5:$L$404,MATCH($K191,其他调用!$B$5:$B$404,0),MATCH(AV$5,其他调用!$H$4:$L$4,0))*120*0.85,2),INDEX(其他调用!$H$5:$L$404,MATCH($K191,其他调用!$B$5:$B$404,0),MATCH(AV$5,其他调用!$H$4:$L$4,0))*120*0.85)</f>
        <v>48.921801254999991</v>
      </c>
      <c r="AW191" s="14">
        <f>IF(OR(AW$5="大R",AW$5="超R"),MAX(INDEX(其他调用!$H$5:$L$404,MATCH($K191,其他调用!$B$5:$B$404,0),MATCH(AW$5,其他调用!$H$4:$L$4,0))*120*0.85,2),INDEX(其他调用!$H$5:$L$404,MATCH($K191,其他调用!$B$5:$B$404,0),MATCH(AW$5,其他调用!$H$4:$L$4,0))*120*0.85)</f>
        <v>48.237344010638395</v>
      </c>
      <c r="AX191" s="14">
        <f>IF(OR(AX$5="大R",AX$5="超R"),MAX(INDEX(其他调用!$H$5:$L$404,MATCH($K191,其他调用!$B$5:$B$404,0),MATCH(AX$5,其他调用!$H$4:$L$4,0))*120*0.85,2),INDEX(其他调用!$H$5:$L$404,MATCH($K191,其他调用!$B$5:$B$404,0),MATCH(AX$5,其他调用!$H$4:$L$4,0))*120*0.85)</f>
        <v>3.9376284143615998</v>
      </c>
      <c r="AY191" s="14">
        <f>IF(OR(AY$5="大R",AY$5="超R"),MAX(INDEX(其他调用!$H$5:$L$404,MATCH($K191,其他调用!$B$5:$B$404,0),MATCH(AY$5,其他调用!$H$4:$L$4,0))*120*0.85,2),INDEX(其他调用!$H$5:$L$404,MATCH($K191,其他调用!$B$5:$B$404,0),MATCH(AY$5,其他调用!$H$4:$L$4,0))*120*0.85)</f>
        <v>2</v>
      </c>
      <c r="AZ191" s="14">
        <f>IF(OR(AZ$5="大R",AZ$5="超R"),MAX(INDEX(其他调用!$H$5:$L$404,MATCH($K191,其他调用!$B$5:$B$404,0),MATCH(AZ$5,其他调用!$H$4:$L$4,0))*120*0.85,2),INDEX(其他调用!$H$5:$L$404,MATCH($K191,其他调用!$B$5:$B$404,0),MATCH(AZ$5,其他调用!$H$4:$L$4,0))*120*0.85)</f>
        <v>2</v>
      </c>
      <c r="BA191" s="14">
        <f>INDEX(其他调用!$H$5:$L$404,MATCH($K191,其他调用!$B$5:$B$404,0),MATCH(BA$5,其他调用!$H$4:$L$4,0))*INDEX(其他调用!$M$5:$M$404,MATCH($K191,其他调用!$B$5:$B$404,0))*0.6</f>
        <v>28.777530149999997</v>
      </c>
      <c r="BB191" s="14">
        <f>INDEX(其他调用!$H$5:$L$404,MATCH($K191,其他调用!$B$5:$B$404,0),MATCH(BB$5,其他调用!$H$4:$L$4,0))*INDEX(其他调用!$M$5:$M$404,MATCH($K191,其他调用!$B$5:$B$404,0))*0.6</f>
        <v>28.374908241551999</v>
      </c>
      <c r="BC191" s="14">
        <f>INDEX(其他调用!$H$5:$L$404,MATCH($K191,其他调用!$B$5:$B$404,0),MATCH(BC$5,其他调用!$H$4:$L$4,0))*INDEX(其他调用!$M$5:$M$404,MATCH($K191,其他调用!$B$5:$B$404,0))*0.6</f>
        <v>2.3162520084480001</v>
      </c>
      <c r="BD191" s="14">
        <f>INDEX(其他调用!$H$5:$L$404,MATCH($K191,其他调用!$B$5:$B$404,0),MATCH(BD$5,其他调用!$H$4:$L$4,0))*INDEX(其他调用!$M$5:$M$404,MATCH($K191,其他调用!$B$5:$B$404,0))*0.6</f>
        <v>0.4120776000000001</v>
      </c>
      <c r="BE191" s="14">
        <f>INDEX(其他调用!$H$5:$L$404,MATCH($K191,其他调用!$B$5:$B$404,0),MATCH(BE$5,其他调用!$H$4:$L$4,0))*INDEX(其他调用!$M$5:$M$404,MATCH($K191,其他调用!$B$5:$B$404,0))*0.6</f>
        <v>0.11923199999999998</v>
      </c>
      <c r="BF191" s="14">
        <f>IF(OR(BF$5="大R",BF$5="超R"),0,INDEX(其他调用!$H$5:$L$404,MATCH($K191,其他调用!$B$5:$B$404,0),MATCH(BF$5,其他调用!$H$4:$L$4,0))*50*0.4)</f>
        <v>9.5925100500000013</v>
      </c>
      <c r="BG191" s="14">
        <f>IF(OR(BG$5="大R",BG$5="超R"),0,INDEX(其他调用!$H$5:$L$404,MATCH($K191,其他调用!$B$5:$B$404,0),MATCH(BG$5,其他调用!$H$4:$L$4,0))*50*0.4)</f>
        <v>9.4583027471839998</v>
      </c>
      <c r="BH191" s="14">
        <f>IF(OR(BH$5="大R",BH$5="超R"),0,INDEX(其他调用!$H$5:$L$404,MATCH($K191,其他调用!$B$5:$B$404,0),MATCH(BH$5,其他调用!$H$4:$L$4,0))*50*0.4)</f>
        <v>0.77208400281600009</v>
      </c>
      <c r="BI191" s="14">
        <f>IF(OR(BI$5="大R",BI$5="超R"),0,INDEX(其他调用!$H$5:$L$404,MATCH($K191,其他调用!$B$5:$B$404,0),MATCH(BI$5,其他调用!$H$4:$L$4,0))*50*0.4)</f>
        <v>0</v>
      </c>
      <c r="BJ191" s="14">
        <f>IF(OR(BJ$5="大R",BJ$5="超R"),0,INDEX(其他调用!$H$5:$L$404,MATCH($K191,其他调用!$B$5:$B$404,0),MATCH(BJ$5,其他调用!$H$4:$L$4,0))*50*0.4)</f>
        <v>0</v>
      </c>
      <c r="BL191" s="14">
        <f t="shared" si="313"/>
        <v>186</v>
      </c>
      <c r="BM191" s="14">
        <f t="shared" si="220"/>
        <v>96</v>
      </c>
      <c r="BN191" s="14">
        <f>('疲劳值&amp;地图信息'!$S$10*'疲劳值&amp;地图信息'!$R$10+'疲劳值&amp;地图信息'!$S$11*'疲劳值&amp;地图信息'!$R$11+'疲劳值&amp;地图信息'!$S$12*'疲劳值&amp;地图信息'!$R$12+(BM191-'疲劳值&amp;地图信息'!$S$12-'疲劳值&amp;地图信息'!$S$11-'疲劳值&amp;地图信息'!$S$10)*'疲劳值&amp;地图信息'!$R$13)/BM191</f>
        <v>51.371477246638619</v>
      </c>
      <c r="BO191" s="14">
        <f>INDEX(其他调用!$M$5:$M$404,MATCH(BL191,其他调用!$B$5:$B$404,0))*0.6</f>
        <v>60</v>
      </c>
      <c r="BP191" s="14">
        <f>IF(BO191&gt;SUM('疲劳值&amp;地图信息'!$S$10:$S$12),('疲劳值&amp;地图信息'!$S$10*'疲劳值&amp;地图信息'!$R$10+'疲劳值&amp;地图信息'!$S$11*'疲劳值&amp;地图信息'!$R$11+'疲劳值&amp;地图信息'!$S$12*'疲劳值&amp;地图信息'!$R$12+(BO191-'疲劳值&amp;地图信息'!$S$12-'疲劳值&amp;地图信息'!$S$11-'疲劳值&amp;地图信息'!$S$10)*'疲劳值&amp;地图信息'!$R$13)/BO191,('疲劳值&amp;地图信息'!$S$10*'疲劳值&amp;地图信息'!$R$10+'疲劳值&amp;地图信息'!$S$11*'疲劳值&amp;地图信息'!$R$11+'疲劳值&amp;地图信息'!$S$12*'疲劳值&amp;地图信息'!$R$12+(BO191-'疲劳值&amp;地图信息'!$S$12-'疲劳值&amp;地图信息'!$S$11-'疲劳值&amp;地图信息'!$S$10)*'疲劳值&amp;地图信息'!$R$13)/BO191)</f>
        <v>44.158136341605953</v>
      </c>
      <c r="BQ191" s="14">
        <f t="shared" si="314"/>
        <v>20</v>
      </c>
      <c r="BR191" s="14">
        <f>('疲劳值&amp;地图信息'!$S$10*'疲劳值&amp;地图信息'!$R$10+($BQ191-'疲劳值&amp;地图信息'!$S$10)*'疲劳值&amp;地图信息'!$R$11)/$BQ191</f>
        <v>32.067203015074995</v>
      </c>
      <c r="CF191" s="14">
        <v>186</v>
      </c>
      <c r="CG191" s="51">
        <f t="shared" si="221"/>
        <v>12959</v>
      </c>
      <c r="CH191" s="51">
        <f t="shared" si="222"/>
        <v>1019</v>
      </c>
      <c r="CI191" s="51">
        <f>INT(SUMPRODUCT($N191:$R191,$BA191:$BE191)/SUM($BA191:$BE191)/10000*$BX$7*$BZ$34/'疲劳值&amp;地图信息'!$R$10*$BY$53)</f>
        <v>3201</v>
      </c>
      <c r="CJ191" s="50">
        <f t="shared" si="223"/>
        <v>0.7543512427964375</v>
      </c>
      <c r="CK191" s="50">
        <f t="shared" si="224"/>
        <v>5.9316607485883931E-2</v>
      </c>
      <c r="CL191" s="50">
        <f t="shared" si="225"/>
        <v>0.18633214971767856</v>
      </c>
      <c r="CM191" s="14">
        <f t="shared" si="226"/>
        <v>13793</v>
      </c>
      <c r="CN191" s="14">
        <f t="shared" si="227"/>
        <v>1659</v>
      </c>
      <c r="CO191" s="14">
        <f>INT(SUMPRODUCT($U191:$Y191,$BA191:$BE191)/SUM($BA191:$BE191)/10000*$BX$7*$BZ$34/'疲劳值&amp;地图信息'!$R$10*$BY$54)</f>
        <v>5993</v>
      </c>
      <c r="CP191" s="50">
        <f t="shared" si="228"/>
        <v>0.64318022849148981</v>
      </c>
      <c r="CQ191" s="50">
        <f t="shared" si="229"/>
        <v>7.7360690137561208E-2</v>
      </c>
      <c r="CR191" s="50">
        <f t="shared" si="230"/>
        <v>0.27945908137094894</v>
      </c>
      <c r="CS191" s="14">
        <f t="shared" si="231"/>
        <v>14714</v>
      </c>
      <c r="CT191" s="14">
        <f t="shared" si="232"/>
        <v>2892</v>
      </c>
      <c r="CU191" s="14">
        <f>INT(SUMPRODUCT($AB191:$AF191,$BA191:$BE191)/SUM($BA191:$BE191)/10000*$BX$7*$BZ$34/'疲劳值&amp;地图信息'!$R$10*$BY$55)</f>
        <v>8143</v>
      </c>
      <c r="CV191" s="50">
        <f t="shared" si="233"/>
        <v>0.57143966755990527</v>
      </c>
      <c r="CW191" s="50">
        <f t="shared" si="234"/>
        <v>0.11231504136082955</v>
      </c>
      <c r="CX191" s="50">
        <f t="shared" si="235"/>
        <v>0.31624529107926519</v>
      </c>
      <c r="CY191" s="14">
        <f t="shared" si="236"/>
        <v>17590</v>
      </c>
      <c r="CZ191" s="14">
        <f t="shared" si="237"/>
        <v>8331</v>
      </c>
      <c r="DA191" s="14">
        <f>INT(SUMPRODUCT($AI191:$AM191,$BA191:$BE191)/SUM($BA191:$BE191)/10000*$BX$7*$BZ$34/'疲劳值&amp;地图信息'!$R$10*$BY$56)</f>
        <v>12284</v>
      </c>
      <c r="DB191" s="50">
        <f t="shared" si="238"/>
        <v>0.46041094097631202</v>
      </c>
      <c r="DC191" s="50">
        <f t="shared" si="239"/>
        <v>0.21806046329014528</v>
      </c>
      <c r="DD191" s="50">
        <f t="shared" si="240"/>
        <v>0.32152859573354275</v>
      </c>
      <c r="DE191" s="14">
        <f t="shared" si="241"/>
        <v>18117</v>
      </c>
      <c r="DF191" s="14">
        <f t="shared" si="242"/>
        <v>14463</v>
      </c>
      <c r="DG191" s="14">
        <f>INT(SUMPRODUCT($AP191:$AT191,$BA191:$BE191)/SUM($BA191:$BE191)/10000*$BX$7*$BZ$34/'疲劳值&amp;地图信息'!$R$10*$BY$57)</f>
        <v>16402</v>
      </c>
      <c r="DH191" s="50">
        <f t="shared" si="243"/>
        <v>0.36987056469723573</v>
      </c>
      <c r="DI191" s="50">
        <f t="shared" si="244"/>
        <v>0.29527173247315341</v>
      </c>
      <c r="DJ191" s="50">
        <f t="shared" si="245"/>
        <v>0.33485770282961086</v>
      </c>
      <c r="DL191" s="14">
        <f t="shared" si="316"/>
        <v>17179</v>
      </c>
      <c r="DM191" s="14">
        <f t="shared" si="317"/>
        <v>21445</v>
      </c>
      <c r="DN191" s="14">
        <f t="shared" si="318"/>
        <v>25749</v>
      </c>
      <c r="DO191" s="14">
        <f t="shared" si="319"/>
        <v>38205</v>
      </c>
      <c r="DP191" s="14">
        <f t="shared" si="320"/>
        <v>48982</v>
      </c>
      <c r="DQ191" s="14">
        <f t="shared" si="321"/>
        <v>1184093</v>
      </c>
      <c r="DT191" s="14">
        <f t="shared" si="315"/>
        <v>235575</v>
      </c>
      <c r="DU191" s="50">
        <f t="shared" si="217"/>
        <v>0.16593668378804058</v>
      </c>
      <c r="DW191" s="14">
        <f t="shared" si="246"/>
        <v>1419668</v>
      </c>
      <c r="EB191" s="14">
        <v>186</v>
      </c>
      <c r="EC191" s="51">
        <f t="shared" si="247"/>
        <v>21598</v>
      </c>
      <c r="ED191" s="51">
        <f t="shared" si="248"/>
        <v>1699</v>
      </c>
      <c r="EE191" s="51">
        <f>INT(SUMPRODUCT($N191:$R191,$BF191:$BJ191)/SUM($BF191:$BJ191)/10000*$BX$7*$BZ$46/'疲劳值&amp;地图信息'!$R$10*$BY$53)</f>
        <v>430</v>
      </c>
      <c r="EF191" s="50">
        <f t="shared" si="249"/>
        <v>0.91027099928351662</v>
      </c>
      <c r="EG191" s="50">
        <f t="shared" si="250"/>
        <v>7.1606187044295527E-2</v>
      </c>
      <c r="EH191" s="50">
        <f t="shared" si="251"/>
        <v>1.8122813672187803E-2</v>
      </c>
      <c r="EI191" s="51">
        <f t="shared" si="252"/>
        <v>22988</v>
      </c>
      <c r="EJ191" s="51">
        <f t="shared" si="253"/>
        <v>2765</v>
      </c>
      <c r="EK191" s="14">
        <f>INT(SUMPRODUCT($U191:$Y191,$BF191:$BJ191)/SUM($BF191:$BJ191)/10000*$BX$7*$BZ$46/'疲劳值&amp;地图信息'!$R$10*$BY$54)</f>
        <v>804</v>
      </c>
      <c r="EL191" s="50">
        <f t="shared" si="254"/>
        <v>0.86560982038633882</v>
      </c>
      <c r="EM191" s="50">
        <f t="shared" si="255"/>
        <v>0.10411567571638362</v>
      </c>
      <c r="EN191" s="50">
        <f t="shared" si="256"/>
        <v>3.0274503897277556E-2</v>
      </c>
      <c r="EO191" s="51">
        <f t="shared" si="257"/>
        <v>24523</v>
      </c>
      <c r="EP191" s="51">
        <f t="shared" si="258"/>
        <v>4821</v>
      </c>
      <c r="EQ191" s="14">
        <f>INT(SUMPRODUCT($AB191:$AF191,$BF191:$BJ191)/SUM($BF191:$BJ191)/10000*$BX$7*$BZ$46/'疲劳值&amp;地图信息'!$R$10*$BY$55)</f>
        <v>1092</v>
      </c>
      <c r="ER191" s="50">
        <f t="shared" si="259"/>
        <v>0.80572348534630045</v>
      </c>
      <c r="ES191" s="50">
        <f t="shared" si="260"/>
        <v>0.15839794979629387</v>
      </c>
      <c r="ET191" s="50">
        <f t="shared" si="261"/>
        <v>3.5878564857405704E-2</v>
      </c>
      <c r="EU191" s="51">
        <f t="shared" si="262"/>
        <v>29316</v>
      </c>
      <c r="EV191" s="51">
        <f t="shared" si="263"/>
        <v>13885</v>
      </c>
      <c r="EW191" s="14">
        <f>INT(SUMPRODUCT($AI191:$AM191,$BF191:$BJ191)/SUM($BF191:$BJ191)/10000*$BX$7*$BZ$46/'疲劳值&amp;地图信息'!$R$10*$BY$56)</f>
        <v>1638</v>
      </c>
      <c r="EX191" s="50">
        <f t="shared" si="264"/>
        <v>0.65380583866723163</v>
      </c>
      <c r="EY191" s="50">
        <f t="shared" si="265"/>
        <v>0.30966346261067373</v>
      </c>
      <c r="EZ191" s="50">
        <f t="shared" si="266"/>
        <v>3.6530698722094607E-2</v>
      </c>
      <c r="FA191" s="51">
        <f t="shared" si="267"/>
        <v>30196</v>
      </c>
      <c r="FB191" s="51">
        <f t="shared" si="268"/>
        <v>24105</v>
      </c>
      <c r="FC191" s="14">
        <f>INT(SUMPRODUCT($AP191:$AT191,$BF191:$BJ191)/SUM($BF191:$BJ191)/10000*$BX$7*$BZ$46/'疲劳值&amp;地图信息'!$R$10*$BY$57)</f>
        <v>2184</v>
      </c>
      <c r="FD191" s="50">
        <f t="shared" si="269"/>
        <v>0.53458440293883336</v>
      </c>
      <c r="FE191" s="50">
        <f t="shared" si="270"/>
        <v>0.42675046472514827</v>
      </c>
      <c r="FF191" s="50">
        <f t="shared" si="271"/>
        <v>3.8665132336018412E-2</v>
      </c>
      <c r="FH191" s="14">
        <f t="shared" si="272"/>
        <v>23727</v>
      </c>
      <c r="FI191" s="14">
        <f t="shared" si="273"/>
        <v>26557</v>
      </c>
      <c r="FJ191" s="14">
        <f t="shared" si="274"/>
        <v>30436</v>
      </c>
      <c r="FK191" s="14">
        <f t="shared" si="275"/>
        <v>44839</v>
      </c>
      <c r="FL191" s="14">
        <f t="shared" si="276"/>
        <v>56485</v>
      </c>
      <c r="FM191" s="14">
        <f t="shared" si="277"/>
        <v>2764300</v>
      </c>
      <c r="FP191" s="14">
        <f t="shared" si="278"/>
        <v>334150</v>
      </c>
      <c r="FQ191" s="50">
        <f t="shared" si="218"/>
        <v>0.10784424470299665</v>
      </c>
      <c r="FS191" s="14">
        <f t="shared" si="279"/>
        <v>3098450</v>
      </c>
      <c r="FX191" s="14">
        <v>186</v>
      </c>
      <c r="FY191" s="51">
        <f t="shared" si="280"/>
        <v>30238</v>
      </c>
      <c r="FZ191" s="51">
        <f t="shared" si="281"/>
        <v>1699</v>
      </c>
      <c r="GA191" s="51">
        <f>INT(SUMPRODUCT($N191:$R191,$BF191:$BJ191)/SUM($BF191:$BJ191)/10000*$BX$7*$BZ$46/'疲劳值&amp;地图信息'!$R$10*$BY$53)</f>
        <v>430</v>
      </c>
      <c r="GB191" s="50">
        <f t="shared" si="282"/>
        <v>0.93422312849507216</v>
      </c>
      <c r="GC191" s="50">
        <f t="shared" si="283"/>
        <v>5.2491735409522046E-2</v>
      </c>
      <c r="GD191" s="50">
        <f t="shared" si="284"/>
        <v>1.3285136095405815E-2</v>
      </c>
      <c r="GE191" s="51">
        <f t="shared" si="285"/>
        <v>32184</v>
      </c>
      <c r="GF191" s="51">
        <f t="shared" si="286"/>
        <v>2765</v>
      </c>
      <c r="GG191" s="14">
        <f>INT(SUMPRODUCT($U191:$Y191,$BF191:$BJ191)/SUM($BF191:$BJ191)/10000*$BX$7*$BZ$46/'疲劳值&amp;地图信息'!$R$10*$BY$54)</f>
        <v>804</v>
      </c>
      <c r="GH191" s="50">
        <f t="shared" si="287"/>
        <v>0.90017620898945538</v>
      </c>
      <c r="GI191" s="50">
        <f t="shared" si="288"/>
        <v>7.7336167594327751E-2</v>
      </c>
      <c r="GJ191" s="50">
        <f t="shared" si="289"/>
        <v>2.248762341621682E-2</v>
      </c>
      <c r="GK191" s="51">
        <f t="shared" si="290"/>
        <v>34333</v>
      </c>
      <c r="GL191" s="51">
        <f t="shared" si="291"/>
        <v>4821</v>
      </c>
      <c r="GM191" s="14">
        <f>INT(SUMPRODUCT($AB191:$AF191,$BF191:$BJ191)/SUM($BF191:$BJ191)/10000*$BX$7*$BZ$46/'疲劳值&amp;地图信息'!$R$10*$BY$55)</f>
        <v>1092</v>
      </c>
      <c r="GN191" s="50">
        <f t="shared" si="292"/>
        <v>0.85307856681409333</v>
      </c>
      <c r="GO191" s="50">
        <f t="shared" si="293"/>
        <v>0.11978830194305023</v>
      </c>
      <c r="GP191" s="50">
        <f t="shared" si="294"/>
        <v>2.7133131242856434E-2</v>
      </c>
      <c r="GQ191" s="51">
        <f t="shared" si="295"/>
        <v>41043</v>
      </c>
      <c r="GR191" s="51">
        <f t="shared" si="296"/>
        <v>13885</v>
      </c>
      <c r="GS191" s="14">
        <f>INT(SUMPRODUCT($AI191:$AM191,$BF191:$BJ191)/SUM($BF191:$BJ191)/10000*$BX$7*$BZ$46/'疲劳值&amp;地图信息'!$R$10*$BY$56)</f>
        <v>1638</v>
      </c>
      <c r="GT191" s="50">
        <f t="shared" si="297"/>
        <v>0.72557720185270302</v>
      </c>
      <c r="GU191" s="50">
        <f t="shared" si="298"/>
        <v>0.2454654739596224</v>
      </c>
      <c r="GV191" s="50">
        <f t="shared" si="299"/>
        <v>2.8957324187674573E-2</v>
      </c>
      <c r="GW191" s="51">
        <f t="shared" si="300"/>
        <v>42275</v>
      </c>
      <c r="GX191" s="51">
        <f t="shared" si="301"/>
        <v>24105</v>
      </c>
      <c r="GY191" s="14">
        <f>INT(SUMPRODUCT($AP191:$AT191,$BF191:$BJ191)/SUM($BF191:$BJ191)/10000*$BX$7*$BZ$46/'疲劳值&amp;地图信息'!$R$10*$BY$57)</f>
        <v>2184</v>
      </c>
      <c r="GZ191" s="50">
        <f t="shared" si="302"/>
        <v>0.61657721253135755</v>
      </c>
      <c r="HA191" s="50">
        <f t="shared" si="303"/>
        <v>0.35156933667814011</v>
      </c>
      <c r="HB191" s="50">
        <f t="shared" si="304"/>
        <v>3.1853450790502308E-2</v>
      </c>
      <c r="HD191" s="14">
        <f t="shared" si="305"/>
        <v>32367</v>
      </c>
      <c r="HE191" s="14">
        <f t="shared" si="306"/>
        <v>35753</v>
      </c>
      <c r="HF191" s="14">
        <f t="shared" si="307"/>
        <v>40246</v>
      </c>
      <c r="HG191" s="14">
        <f t="shared" si="308"/>
        <v>56566</v>
      </c>
      <c r="HH191" s="14">
        <f t="shared" si="309"/>
        <v>68564</v>
      </c>
      <c r="HI191" s="14">
        <f t="shared" si="310"/>
        <v>3716815</v>
      </c>
      <c r="HL191" s="14">
        <f t="shared" si="311"/>
        <v>430050</v>
      </c>
      <c r="HM191" s="50">
        <f t="shared" si="219"/>
        <v>0.10370484691447636</v>
      </c>
      <c r="HO191" s="14">
        <f t="shared" si="312"/>
        <v>4146865</v>
      </c>
    </row>
    <row r="192" spans="11:223" x14ac:dyDescent="0.2">
      <c r="K192" s="14">
        <v>187</v>
      </c>
      <c r="L192" s="12">
        <f>求节点(节奏总纲!D$4:D$163,标准城池设计!AB$4:AB$163,$K192)*求节点(节奏总纲!D$4:D$163,攻城基础信息!$AC$5:$AC$164,$K192)</f>
        <v>637313.48971125786</v>
      </c>
      <c r="M192" s="12">
        <f>INDEX(其他调用!$AA$5:$AA$404,MATCH(K192,其他调用!$X$5:$X$404,0))*MIN(INDEX(其他调用!$AH$5:$AH$364,MATCH('征服点（新）'!K192,其他调用!$AG$5:$AG$364,0),1)/INDEX(其他调用!$AJ$5:$AJ$364,MATCH(K192,其他调用!$AG$5:$AG$364,0),0),5)*求节点(节奏总纲!D$4:D$163,攻城基础信息!$AC$5:$AC$164,$K192)</f>
        <v>50152.678661871461</v>
      </c>
      <c r="N192" s="12">
        <f>MIN(INDEX(其他调用!$AH$5:$AH$364,MATCH($K192,其他调用!$AG$5:$AG$364,0),1)/INDEX(其他调用!AH$5:AH$364,MATCH($K192,其他调用!$AG$5:$AG$364,0),0),1)*INDEX(其他调用!Y$5:Y$404,MATCH($K192,其他调用!$X$5:$X$404,0),0)</f>
        <v>39746.165938257538</v>
      </c>
      <c r="O192" s="12">
        <f>MIN(INDEX(其他调用!$AH$5:$AH$364,MATCH($K192,其他调用!$AG$5:$AG$364,0),1)/INDEX(其他调用!AI$5:AI$364,MATCH($K192,其他调用!$AG$5:$AG$364,0),0),1)*INDEX(其他调用!Z$5:Z$404,MATCH($K192,其他调用!$X$5:$X$404,0),0)</f>
        <v>25172.124702629655</v>
      </c>
      <c r="P192" s="12">
        <f>MIN(INDEX(其他调用!$AH$5:$AH$364,MATCH($K192,其他调用!$AG$5:$AG$364,0),1)/INDEX(其他调用!AJ$5:AJ$364,MATCH($K192,其他调用!$AG$5:$AG$364,0),0),1)*INDEX(其他调用!AA$5:AA$404,MATCH($K192,其他调用!$X$5:$X$404,0),0)</f>
        <v>14965.396185738331</v>
      </c>
      <c r="Q192" s="12">
        <f>MIN(INDEX(其他调用!$AH$5:$AH$364,MATCH($K192,其他调用!$AG$5:$AG$364,0),1)/INDEX(其他调用!AK$5:AK$364,MATCH($K192,其他调用!$AG$5:$AG$364,0),0),1)*INDEX(其他调用!AB$5:AB$404,MATCH($K192,其他调用!$X$5:$X$404,0),0)</f>
        <v>5464.9707004454849</v>
      </c>
      <c r="R192" s="12">
        <f>MIN(INDEX(其他调用!$AH$5:$AH$364,MATCH($K192,其他调用!$AG$5:$AG$364,0),1)/INDEX(其他调用!AL$5:AL$364,MATCH($K192,其他调用!$AG$5:$AG$364,0),0),1)*INDEX(其他调用!AC$5:AC$404,MATCH($K192,其他调用!$X$5:$X$404,0),0)</f>
        <v>2301.8757207331842</v>
      </c>
      <c r="S192" s="12">
        <f>求节点(节奏总纲!D$4:D$163,标准城池设计!AC$4:AC$163,$K192)*求节点(节奏总纲!D$4:D$163,攻城基础信息!$AD$5:$AD$164,$K192)</f>
        <v>678334.91163800808</v>
      </c>
      <c r="T192" s="12">
        <f>INDEX(其他调用!$AA$5:$AA$404,MATCH($K192,其他调用!$X$5:$X$404,0))*MIN(INDEX(其他调用!AI$5:AI$364,MATCH($K192,其他调用!$AG$5:$AG$364,0),1)/INDEX(其他调用!$AJ$5:$AJ$364,MATCH($K192,其他调用!$AG$5:$AG$364,0),0),5)*求节点(节奏总纲!D$4:D$163,攻城基础信息!$AD$5:$AD$164,$K192)</f>
        <v>81485.059294380582</v>
      </c>
      <c r="U192" s="12">
        <f>MIN(INDEX(其他调用!$AI$5:$AI$364,MATCH($K192,其他调用!$AG$5:$AG$364,0),1)/INDEX(其他调用!AH$5:AH$364,MATCH($K192,其他调用!$AG$5:$AG$364,0),0),1)*INDEX(其他调用!Y$5:Y$404,MATCH($K192,其他调用!$X$5:$X$404,0),0)</f>
        <v>39746.165938257538</v>
      </c>
      <c r="V192" s="12">
        <f>MIN(INDEX(其他调用!$AI$5:$AI$364,MATCH($K192,其他调用!$AG$5:$AG$364,0),1)/INDEX(其他调用!AI$5:AI$364,MATCH($K192,其他调用!$AG$5:$AG$364,0),0),1)*INDEX(其他调用!Z$5:Z$404,MATCH($K192,其他调用!$X$5:$X$404,0),0)</f>
        <v>40898.155964672471</v>
      </c>
      <c r="W192" s="12">
        <f>MIN(INDEX(其他调用!$AI$5:$AI$364,MATCH($K192,其他调用!$AG$5:$AG$364,0),1)/INDEX(其他调用!AJ$5:AJ$364,MATCH($K192,其他调用!$AG$5:$AG$364,0),0),1)*INDEX(其他调用!AA$5:AA$404,MATCH($K192,其他调用!$X$5:$X$404,0),0)</f>
        <v>24314.876654551965</v>
      </c>
      <c r="X192" s="12">
        <f>MIN(INDEX(其他调用!$AI$5:$AI$364,MATCH($K192,其他调用!$AG$5:$AG$364,0),1)/INDEX(其他调用!AK$5:AK$364,MATCH($K192,其他调用!$AG$5:$AG$364,0),0),1)*INDEX(其他调用!AB$5:AB$404,MATCH($K192,其他调用!$X$5:$X$404,0),0)</f>
        <v>8879.156077986363</v>
      </c>
      <c r="Y192" s="12">
        <f>MIN(INDEX(其他调用!$AI$5:$AI$364,MATCH($K192,其他调用!$AG$5:$AG$364,0),1)/INDEX(其他调用!AL$5:AL$364,MATCH($K192,其他调用!$AG$5:$AG$364,0),0),1)*INDEX(其他调用!AC$5:AC$404,MATCH($K192,其他调用!$X$5:$X$404,0),0)</f>
        <v>3739.9493825010263</v>
      </c>
      <c r="Z192" s="12">
        <f>求节点(节奏总纲!D$4:D$163,标准城池设计!AD$4:AD$163,$K192)*求节点(节奏总纲!D$4:D$163,攻城基础信息!$AE$5:$AE$164,$K192)</f>
        <v>724196.75733951817</v>
      </c>
      <c r="AA192" s="12">
        <f>INDEX(其他调用!$AA$5:$AA$404,MATCH($K192,其他调用!$X$5:$X$404,0))*MIN(INDEX(其他调用!AJ$5:AJ$364,MATCH($K192,其他调用!$AG$5:$AG$364,0),1)/INDEX(其他调用!$AJ$5:$AJ$364,MATCH($K192,其他调用!$AG$5:$AG$364,0),0),5)*求节点(节奏总纲!D$4:D$163,攻城基础信息!$AE$5:$AE$164,$K192)</f>
        <v>142142.2180751735</v>
      </c>
      <c r="AB192" s="12">
        <f>MIN(INDEX(其他调用!$AJ$5:$AJ$364,MATCH($K192,其他调用!$AG$5:$AG$364,0),1)/INDEX(其他调用!AH$5:AH$364,MATCH($K192,其他调用!$AG$5:$AG$364,0),0),1)*INDEX(其他调用!Y$5:Y$404,MATCH($K192,其他调用!$X$5:$X$404,0),0)</f>
        <v>39746.165938257538</v>
      </c>
      <c r="AC192" s="12">
        <f>MIN(INDEX(其他调用!$AJ$5:$AJ$364,MATCH($K192,其他调用!$AG$5:$AG$364,0),1)/INDEX(其他调用!AI$5:AI$364,MATCH($K192,其他调用!$AG$5:$AG$364,0),0),1)*INDEX(其他调用!Z$5:Z$404,MATCH($K192,其他调用!$X$5:$X$404,0),0)</f>
        <v>40898.155964672471</v>
      </c>
      <c r="AD192" s="12">
        <f>MIN(INDEX(其他调用!$AJ$5:$AJ$364,MATCH($K192,其他调用!$AG$5:$AG$364,0),1)/INDEX(其他调用!AJ$5:AJ$364,MATCH($K192,其他调用!$AG$5:$AG$364,0),0),1)*INDEX(其他调用!AA$5:AA$404,MATCH($K192,其他调用!$X$5:$X$404,0),0)</f>
        <v>42414.775540828712</v>
      </c>
      <c r="AE192" s="12">
        <f>MIN(INDEX(其他调用!$AJ$5:$AJ$364,MATCH($K192,其他调用!$AG$5:$AG$364,0),1)/INDEX(其他调用!AK$5:AK$364,MATCH($K192,其他调用!$AG$5:$AG$364,0),0),1)*INDEX(其他调用!AB$5:AB$404,MATCH($K192,其他调用!$X$5:$X$404,0),0)</f>
        <v>15488.76506306571</v>
      </c>
      <c r="AF192" s="12">
        <f>MIN(INDEX(其他调用!$AJ$5:$AJ$364,MATCH($K192,其他调用!$AG$5:$AG$364,0),1)/INDEX(其他调用!AL$5:AL$364,MATCH($K192,其他调用!$AG$5:$AG$364,0),0),1)*INDEX(其他调用!AC$5:AC$404,MATCH($K192,其他调用!$X$5:$X$404,0),0)</f>
        <v>6523.9530451471628</v>
      </c>
      <c r="AG192" s="12">
        <f>求节点(节奏总纲!D$4:D$163,标准城池设计!AE$4:AE$163,$K192)*求节点(节奏总纲!D$4:D$163,攻城基础信息!$AF$5:$AF$164,$K192)</f>
        <v>865792.20942323457</v>
      </c>
      <c r="AH192" s="12">
        <f>INDEX(其他调用!$AA$5:$AA$404,MATCH($K192,其他调用!$X$5:$X$404,0))*MIN(INDEX(其他调用!AK$5:AK$364,MATCH($K192,其他调用!$AG$5:$AG$364,0),1)/INDEX(其他调用!$AJ$5:$AJ$364,MATCH($K192,其他调用!$AG$5:$AG$364,0),0),5)*求节点(节奏总纲!D$4:D$163,攻城基础信息!$AF$5:$AF$164,$K192)</f>
        <v>409366.92899043835</v>
      </c>
      <c r="AI192" s="12">
        <f>MIN(INDEX(其他调用!$AK$5:$AK$364,MATCH($K192,其他调用!$AG$5:$AG$364,0),1)/INDEX(其他调用!AH$5:AH$364,MATCH($K192,其他调用!$AG$5:$AG$364,0),0),1)*INDEX(其他调用!Y$5:Y$404,MATCH($K192,其他调用!$X$5:$X$404,0),0)</f>
        <v>39746.165938257538</v>
      </c>
      <c r="AJ192" s="12">
        <f>MIN(INDEX(其他调用!$AK$5:$AK$364,MATCH($K192,其他调用!$AG$5:$AG$364,0),1)/INDEX(其他调用!AI$5:AI$364,MATCH($K192,其他调用!$AG$5:$AG$364,0),0),1)*INDEX(其他调用!Z$5:Z$404,MATCH($K192,其他调用!$X$5:$X$404,0),0)</f>
        <v>40898.155964672471</v>
      </c>
      <c r="AK192" s="12">
        <f>MIN(INDEX(其他调用!$AK$5:$AK$364,MATCH($K192,其他调用!$AG$5:$AG$364,0),1)/INDEX(其他调用!AJ$5:AJ$364,MATCH($K192,其他调用!$AG$5:$AG$364,0),0),1)*INDEX(其他调用!AA$5:AA$404,MATCH($K192,其他调用!$X$5:$X$404,0),0)</f>
        <v>42414.775540828712</v>
      </c>
      <c r="AL192" s="12">
        <f>MIN(INDEX(其他调用!$AK$5:$AK$364,MATCH($K192,其他调用!$AG$5:$AG$364,0),1)/INDEX(其他调用!AK$5:AK$364,MATCH($K192,其他调用!$AG$5:$AG$364,0),0),1)*INDEX(其他调用!AB$5:AB$404,MATCH($K192,其他调用!$X$5:$X$404,0),0)</f>
        <v>44607.353632038525</v>
      </c>
      <c r="AM192" s="12">
        <f>MIN(INDEX(其他调用!$AK$5:$AK$364,MATCH($K192,其他调用!$AG$5:$AG$364,0),1)/INDEX(其他调用!AL$5:AL$364,MATCH($K192,其他调用!$AG$5:$AG$364,0),0),1)*INDEX(其他调用!AC$5:AC$404,MATCH($K192,其他调用!$X$5:$X$404,0),0)</f>
        <v>18788.862725902363</v>
      </c>
      <c r="AN192" s="12">
        <f>求节点(节奏总纲!D$4:D$163,标准城池设计!AF$4:AF$163,$K192)*求节点(节奏总纲!D$4:D$163,攻城基础信息!$AG$5:$AG$164,$K192)</f>
        <v>892270.7575005414</v>
      </c>
      <c r="AO192" s="12">
        <f>INDEX(其他调用!$AA$5:$AA$404,MATCH($K192,其他调用!$X$5:$X$404,0))*MIN(INDEX(其他调用!AL$5:AL$364,MATCH($K192,其他调用!$AG$5:$AG$364,0),1)/INDEX(其他调用!$AJ$5:$AJ$364,MATCH($K192,其他调用!$AG$5:$AG$364,0),0),5)*求节点(节奏总纲!D$4:D$163,攻城基础信息!$AG$5:$AG$164,$K192)</f>
        <v>710711.09037586756</v>
      </c>
      <c r="AP192" s="12">
        <f>MIN(INDEX(其他调用!$AL$5:$AL$364,MATCH($K192,其他调用!$AG$5:$AG$364,0),1)/INDEX(其他调用!AH$5:AH$364,MATCH($K192,其他调用!$AG$5:$AG$364,0),0),1)*INDEX(其他调用!Y$5:Y$404,MATCH($K192,其他调用!$X$5:$X$404,0),0)</f>
        <v>39746.165938257538</v>
      </c>
      <c r="AQ192" s="12">
        <f>MIN(INDEX(其他调用!$AL$5:$AL$364,MATCH($K192,其他调用!$AG$5:$AG$364,0),1)/INDEX(其他调用!AI$5:AI$364,MATCH($K192,其他调用!$AG$5:$AG$364,0),0),1)*INDEX(其他调用!Z$5:Z$404,MATCH($K192,其他调用!$X$5:$X$404,0),0)</f>
        <v>40898.155964672471</v>
      </c>
      <c r="AR192" s="12">
        <f>MIN(INDEX(其他调用!$AL$5:$AL$364,MATCH($K192,其他调用!$AG$5:$AG$364,0),1)/INDEX(其他调用!AJ$5:AJ$364,MATCH($K192,其他调用!$AG$5:$AG$364,0),0),1)*INDEX(其他调用!AA$5:AA$404,MATCH($K192,其他调用!$X$5:$X$404,0),0)</f>
        <v>42414.775540828712</v>
      </c>
      <c r="AS192" s="12">
        <f>MIN(INDEX(其他调用!$AL$5:$AL$364,MATCH($K192,其他调用!$AG$5:$AG$364,0),1)/INDEX(其他调用!AK$5:AK$364,MATCH($K192,其他调用!$AG$5:$AG$364,0),0),1)*INDEX(其他调用!AB$5:AB$404,MATCH($K192,其他调用!$X$5:$X$404,0),0)</f>
        <v>44607.353632038525</v>
      </c>
      <c r="AT192" s="12">
        <f>MIN(INDEX(其他调用!$AL$5:$AL$364,MATCH($K192,其他调用!$AG$5:$AG$364,0),1)/INDEX(其他调用!AL$5:AL$364,MATCH($K192,其他调用!$AG$5:$AG$364,0),0),1)*INDEX(其他调用!AC$5:AC$404,MATCH($K192,其他调用!$X$5:$X$404,0),0)</f>
        <v>48564.091704972787</v>
      </c>
      <c r="AV192" s="14">
        <f>IF(OR(AV$5="大R",AV$5="超R"),MAX(INDEX(其他调用!$H$5:$L$404,MATCH($K192,其他调用!$B$5:$B$404,0),MATCH(AV$5,其他调用!$H$4:$L$4,0))*120*0.85,2),INDEX(其他调用!$H$5:$L$404,MATCH($K192,其他调用!$B$5:$B$404,0),MATCH(AV$5,其他调用!$H$4:$L$4,0))*120*0.85)</f>
        <v>48.921801254999991</v>
      </c>
      <c r="AW192" s="14">
        <f>IF(OR(AW$5="大R",AW$5="超R"),MAX(INDEX(其他调用!$H$5:$L$404,MATCH($K192,其他调用!$B$5:$B$404,0),MATCH(AW$5,其他调用!$H$4:$L$4,0))*120*0.85,2),INDEX(其他调用!$H$5:$L$404,MATCH($K192,其他调用!$B$5:$B$404,0),MATCH(AW$5,其他调用!$H$4:$L$4,0))*120*0.85)</f>
        <v>48.237344010638395</v>
      </c>
      <c r="AX192" s="14">
        <f>IF(OR(AX$5="大R",AX$5="超R"),MAX(INDEX(其他调用!$H$5:$L$404,MATCH($K192,其他调用!$B$5:$B$404,0),MATCH(AX$5,其他调用!$H$4:$L$4,0))*120*0.85,2),INDEX(其他调用!$H$5:$L$404,MATCH($K192,其他调用!$B$5:$B$404,0),MATCH(AX$5,其他调用!$H$4:$L$4,0))*120*0.85)</f>
        <v>3.9376284143615998</v>
      </c>
      <c r="AY192" s="14">
        <f>IF(OR(AY$5="大R",AY$5="超R"),MAX(INDEX(其他调用!$H$5:$L$404,MATCH($K192,其他调用!$B$5:$B$404,0),MATCH(AY$5,其他调用!$H$4:$L$4,0))*120*0.85,2),INDEX(其他调用!$H$5:$L$404,MATCH($K192,其他调用!$B$5:$B$404,0),MATCH(AY$5,其他调用!$H$4:$L$4,0))*120*0.85)</f>
        <v>2</v>
      </c>
      <c r="AZ192" s="14">
        <f>IF(OR(AZ$5="大R",AZ$5="超R"),MAX(INDEX(其他调用!$H$5:$L$404,MATCH($K192,其他调用!$B$5:$B$404,0),MATCH(AZ$5,其他调用!$H$4:$L$4,0))*120*0.85,2),INDEX(其他调用!$H$5:$L$404,MATCH($K192,其他调用!$B$5:$B$404,0),MATCH(AZ$5,其他调用!$H$4:$L$4,0))*120*0.85)</f>
        <v>2</v>
      </c>
      <c r="BA192" s="14">
        <f>INDEX(其他调用!$H$5:$L$404,MATCH($K192,其他调用!$B$5:$B$404,0),MATCH(BA$5,其他调用!$H$4:$L$4,0))*INDEX(其他调用!$M$5:$M$404,MATCH($K192,其他调用!$B$5:$B$404,0))*0.6</f>
        <v>28.777530149999997</v>
      </c>
      <c r="BB192" s="14">
        <f>INDEX(其他调用!$H$5:$L$404,MATCH($K192,其他调用!$B$5:$B$404,0),MATCH(BB$5,其他调用!$H$4:$L$4,0))*INDEX(其他调用!$M$5:$M$404,MATCH($K192,其他调用!$B$5:$B$404,0))*0.6</f>
        <v>28.374908241551999</v>
      </c>
      <c r="BC192" s="14">
        <f>INDEX(其他调用!$H$5:$L$404,MATCH($K192,其他调用!$B$5:$B$404,0),MATCH(BC$5,其他调用!$H$4:$L$4,0))*INDEX(其他调用!$M$5:$M$404,MATCH($K192,其他调用!$B$5:$B$404,0))*0.6</f>
        <v>2.3162520084480001</v>
      </c>
      <c r="BD192" s="14">
        <f>INDEX(其他调用!$H$5:$L$404,MATCH($K192,其他调用!$B$5:$B$404,0),MATCH(BD$5,其他调用!$H$4:$L$4,0))*INDEX(其他调用!$M$5:$M$404,MATCH($K192,其他调用!$B$5:$B$404,0))*0.6</f>
        <v>0.4120776000000001</v>
      </c>
      <c r="BE192" s="14">
        <f>INDEX(其他调用!$H$5:$L$404,MATCH($K192,其他调用!$B$5:$B$404,0),MATCH(BE$5,其他调用!$H$4:$L$4,0))*INDEX(其他调用!$M$5:$M$404,MATCH($K192,其他调用!$B$5:$B$404,0))*0.6</f>
        <v>0.11923199999999998</v>
      </c>
      <c r="BF192" s="14">
        <f>IF(OR(BF$5="大R",BF$5="超R"),0,INDEX(其他调用!$H$5:$L$404,MATCH($K192,其他调用!$B$5:$B$404,0),MATCH(BF$5,其他调用!$H$4:$L$4,0))*50*0.4)</f>
        <v>9.5925100500000013</v>
      </c>
      <c r="BG192" s="14">
        <f>IF(OR(BG$5="大R",BG$5="超R"),0,INDEX(其他调用!$H$5:$L$404,MATCH($K192,其他调用!$B$5:$B$404,0),MATCH(BG$5,其他调用!$H$4:$L$4,0))*50*0.4)</f>
        <v>9.4583027471839998</v>
      </c>
      <c r="BH192" s="14">
        <f>IF(OR(BH$5="大R",BH$5="超R"),0,INDEX(其他调用!$H$5:$L$404,MATCH($K192,其他调用!$B$5:$B$404,0),MATCH(BH$5,其他调用!$H$4:$L$4,0))*50*0.4)</f>
        <v>0.77208400281600009</v>
      </c>
      <c r="BI192" s="14">
        <f>IF(OR(BI$5="大R",BI$5="超R"),0,INDEX(其他调用!$H$5:$L$404,MATCH($K192,其他调用!$B$5:$B$404,0),MATCH(BI$5,其他调用!$H$4:$L$4,0))*50*0.4)</f>
        <v>0</v>
      </c>
      <c r="BJ192" s="14">
        <f>IF(OR(BJ$5="大R",BJ$5="超R"),0,INDEX(其他调用!$H$5:$L$404,MATCH($K192,其他调用!$B$5:$B$404,0),MATCH(BJ$5,其他调用!$H$4:$L$4,0))*50*0.4)</f>
        <v>0</v>
      </c>
      <c r="BL192" s="14">
        <f t="shared" si="313"/>
        <v>187</v>
      </c>
      <c r="BM192" s="14">
        <f t="shared" si="220"/>
        <v>96</v>
      </c>
      <c r="BN192" s="14">
        <f>('疲劳值&amp;地图信息'!$S$10*'疲劳值&amp;地图信息'!$R$10+'疲劳值&amp;地图信息'!$S$11*'疲劳值&amp;地图信息'!$R$11+'疲劳值&amp;地图信息'!$S$12*'疲劳值&amp;地图信息'!$R$12+(BM192-'疲劳值&amp;地图信息'!$S$12-'疲劳值&amp;地图信息'!$S$11-'疲劳值&amp;地图信息'!$S$10)*'疲劳值&amp;地图信息'!$R$13)/BM192</f>
        <v>51.371477246638619</v>
      </c>
      <c r="BO192" s="14">
        <f>INDEX(其他调用!$M$5:$M$404,MATCH(BL192,其他调用!$B$5:$B$404,0))*0.6</f>
        <v>60</v>
      </c>
      <c r="BP192" s="14">
        <f>IF(BO192&gt;SUM('疲劳值&amp;地图信息'!$S$10:$S$12),('疲劳值&amp;地图信息'!$S$10*'疲劳值&amp;地图信息'!$R$10+'疲劳值&amp;地图信息'!$S$11*'疲劳值&amp;地图信息'!$R$11+'疲劳值&amp;地图信息'!$S$12*'疲劳值&amp;地图信息'!$R$12+(BO192-'疲劳值&amp;地图信息'!$S$12-'疲劳值&amp;地图信息'!$S$11-'疲劳值&amp;地图信息'!$S$10)*'疲劳值&amp;地图信息'!$R$13)/BO192,('疲劳值&amp;地图信息'!$S$10*'疲劳值&amp;地图信息'!$R$10+'疲劳值&amp;地图信息'!$S$11*'疲劳值&amp;地图信息'!$R$11+'疲劳值&amp;地图信息'!$S$12*'疲劳值&amp;地图信息'!$R$12+(BO192-'疲劳值&amp;地图信息'!$S$12-'疲劳值&amp;地图信息'!$S$11-'疲劳值&amp;地图信息'!$S$10)*'疲劳值&amp;地图信息'!$R$13)/BO192)</f>
        <v>44.158136341605953</v>
      </c>
      <c r="BQ192" s="14">
        <f t="shared" si="314"/>
        <v>20</v>
      </c>
      <c r="BR192" s="14">
        <f>('疲劳值&amp;地图信息'!$S$10*'疲劳值&amp;地图信息'!$R$10+($BQ192-'疲劳值&amp;地图信息'!$S$10)*'疲劳值&amp;地图信息'!$R$11)/$BQ192</f>
        <v>32.067203015074995</v>
      </c>
      <c r="CF192" s="14">
        <v>187</v>
      </c>
      <c r="CG192" s="51">
        <f t="shared" si="221"/>
        <v>12989</v>
      </c>
      <c r="CH192" s="51">
        <f t="shared" si="222"/>
        <v>1022</v>
      </c>
      <c r="CI192" s="51">
        <f>INT(SUMPRODUCT($N192:$R192,$BA192:$BE192)/SUM($BA192:$BE192)/10000*$BX$7*$BZ$34/'疲劳值&amp;地图信息'!$R$10*$BY$53)</f>
        <v>3205</v>
      </c>
      <c r="CJ192" s="50">
        <f t="shared" si="223"/>
        <v>0.75447258364312264</v>
      </c>
      <c r="CK192" s="50">
        <f t="shared" si="224"/>
        <v>5.9363382899628253E-2</v>
      </c>
      <c r="CL192" s="50">
        <f t="shared" si="225"/>
        <v>0.18616403345724908</v>
      </c>
      <c r="CM192" s="14">
        <f t="shared" si="226"/>
        <v>13825</v>
      </c>
      <c r="CN192" s="14">
        <f t="shared" si="227"/>
        <v>1660</v>
      </c>
      <c r="CO192" s="14">
        <f>INT(SUMPRODUCT($U192:$Y192,$BA192:$BE192)/SUM($BA192:$BE192)/10000*$BX$7*$BZ$34/'疲劳值&amp;地图信息'!$R$10*$BY$54)</f>
        <v>5998</v>
      </c>
      <c r="CP192" s="50">
        <f t="shared" si="228"/>
        <v>0.64353209514499832</v>
      </c>
      <c r="CQ192" s="50">
        <f t="shared" si="229"/>
        <v>7.7270399851045016E-2</v>
      </c>
      <c r="CR192" s="50">
        <f t="shared" si="230"/>
        <v>0.27919750500395663</v>
      </c>
      <c r="CS192" s="14">
        <f t="shared" si="231"/>
        <v>14760</v>
      </c>
      <c r="CT192" s="14">
        <f t="shared" si="232"/>
        <v>2897</v>
      </c>
      <c r="CU192" s="14">
        <f>INT(SUMPRODUCT($AB192:$AF192,$BA192:$BE192)/SUM($BA192:$BE192)/10000*$BX$7*$BZ$34/'疲劳值&amp;地图信息'!$R$10*$BY$55)</f>
        <v>8150</v>
      </c>
      <c r="CV192" s="50">
        <f t="shared" si="233"/>
        <v>0.57193784632076572</v>
      </c>
      <c r="CW192" s="50">
        <f t="shared" si="234"/>
        <v>0.11225636455225327</v>
      </c>
      <c r="CX192" s="50">
        <f t="shared" si="235"/>
        <v>0.31580578912698104</v>
      </c>
      <c r="CY192" s="14">
        <f t="shared" si="236"/>
        <v>17645</v>
      </c>
      <c r="CZ192" s="14">
        <f t="shared" si="237"/>
        <v>8343</v>
      </c>
      <c r="DA192" s="14">
        <f>INT(SUMPRODUCT($AI192:$AM192,$BA192:$BE192)/SUM($BA192:$BE192)/10000*$BX$7*$BZ$34/'疲劳值&amp;地图信息'!$R$10*$BY$56)</f>
        <v>12293</v>
      </c>
      <c r="DB192" s="50">
        <f t="shared" si="238"/>
        <v>0.46093362242365665</v>
      </c>
      <c r="DC192" s="50">
        <f t="shared" si="239"/>
        <v>0.21794101512499672</v>
      </c>
      <c r="DD192" s="50">
        <f t="shared" si="240"/>
        <v>0.3211253624513466</v>
      </c>
      <c r="DE192" s="14">
        <f t="shared" si="241"/>
        <v>18185</v>
      </c>
      <c r="DF192" s="14">
        <f t="shared" si="242"/>
        <v>14485</v>
      </c>
      <c r="DG192" s="14">
        <f>INT(SUMPRODUCT($AP192:$AT192,$BA192:$BE192)/SUM($BA192:$BE192)/10000*$BX$7*$BZ$34/'疲劳值&amp;地图信息'!$R$10*$BY$57)</f>
        <v>16415</v>
      </c>
      <c r="DH192" s="50">
        <f t="shared" si="243"/>
        <v>0.37047977997351533</v>
      </c>
      <c r="DI192" s="50">
        <f t="shared" si="244"/>
        <v>0.29510033615157383</v>
      </c>
      <c r="DJ192" s="50">
        <f t="shared" si="245"/>
        <v>0.33441988387491089</v>
      </c>
      <c r="DL192" s="14">
        <f t="shared" si="316"/>
        <v>17216</v>
      </c>
      <c r="DM192" s="14">
        <f t="shared" si="317"/>
        <v>21483</v>
      </c>
      <c r="DN192" s="14">
        <f t="shared" si="318"/>
        <v>25807</v>
      </c>
      <c r="DO192" s="14">
        <f t="shared" si="319"/>
        <v>38281</v>
      </c>
      <c r="DP192" s="14">
        <f t="shared" si="320"/>
        <v>49085</v>
      </c>
      <c r="DQ192" s="14">
        <f t="shared" si="321"/>
        <v>1186414</v>
      </c>
      <c r="DT192" s="14">
        <f t="shared" si="315"/>
        <v>235575</v>
      </c>
      <c r="DU192" s="50">
        <f t="shared" si="217"/>
        <v>0.16566583848398264</v>
      </c>
      <c r="DW192" s="14">
        <f t="shared" si="246"/>
        <v>1421989</v>
      </c>
      <c r="EB192" s="14">
        <v>187</v>
      </c>
      <c r="EC192" s="51">
        <f t="shared" si="247"/>
        <v>21648</v>
      </c>
      <c r="ED192" s="51">
        <f t="shared" si="248"/>
        <v>1703</v>
      </c>
      <c r="EE192" s="51">
        <f>INT(SUMPRODUCT($N192:$R192,$BF192:$BJ192)/SUM($BF192:$BJ192)/10000*$BX$7*$BZ$46/'疲劳值&amp;地图信息'!$R$10*$BY$53)</f>
        <v>430</v>
      </c>
      <c r="EF192" s="50">
        <f t="shared" si="249"/>
        <v>0.91030654724359783</v>
      </c>
      <c r="EG192" s="50">
        <f t="shared" si="250"/>
        <v>7.1611790925528787E-2</v>
      </c>
      <c r="EH192" s="50">
        <f t="shared" si="251"/>
        <v>1.8081661830873386E-2</v>
      </c>
      <c r="EI192" s="51">
        <f t="shared" si="252"/>
        <v>23042</v>
      </c>
      <c r="EJ192" s="51">
        <f t="shared" si="253"/>
        <v>2767</v>
      </c>
      <c r="EK192" s="14">
        <f>INT(SUMPRODUCT($U192:$Y192,$BF192:$BJ192)/SUM($BF192:$BJ192)/10000*$BX$7*$BZ$46/'疲劳值&amp;地图信息'!$R$10*$BY$54)</f>
        <v>805</v>
      </c>
      <c r="EL192" s="50">
        <f t="shared" si="254"/>
        <v>0.86578492522732398</v>
      </c>
      <c r="EM192" s="50">
        <f t="shared" si="255"/>
        <v>0.10396783647704216</v>
      </c>
      <c r="EN192" s="50">
        <f t="shared" si="256"/>
        <v>3.0247238295633878E-2</v>
      </c>
      <c r="EO192" s="51">
        <f t="shared" si="257"/>
        <v>24600</v>
      </c>
      <c r="EP192" s="51">
        <f t="shared" si="258"/>
        <v>4828</v>
      </c>
      <c r="EQ192" s="14">
        <f>INT(SUMPRODUCT($AB192:$AF192,$BF192:$BJ192)/SUM($BF192:$BJ192)/10000*$BX$7*$BZ$46/'疲劳值&amp;地图信息'!$R$10*$BY$55)</f>
        <v>1093</v>
      </c>
      <c r="ER192" s="50">
        <f t="shared" si="259"/>
        <v>0.80600242456013893</v>
      </c>
      <c r="ES192" s="50">
        <f t="shared" si="260"/>
        <v>0.15818616690147766</v>
      </c>
      <c r="ET192" s="50">
        <f t="shared" si="261"/>
        <v>3.581140853838341E-2</v>
      </c>
      <c r="EU192" s="51">
        <f t="shared" si="262"/>
        <v>29409</v>
      </c>
      <c r="EV192" s="51">
        <f t="shared" si="263"/>
        <v>13905</v>
      </c>
      <c r="EW192" s="14">
        <f>INT(SUMPRODUCT($AI192:$AM192,$BF192:$BJ192)/SUM($BF192:$BJ192)/10000*$BX$7*$BZ$46/'疲劳值&amp;地图信息'!$R$10*$BY$56)</f>
        <v>1639</v>
      </c>
      <c r="EX192" s="50">
        <f t="shared" si="264"/>
        <v>0.65421662625408761</v>
      </c>
      <c r="EY192" s="50">
        <f t="shared" si="265"/>
        <v>0.30932307076279669</v>
      </c>
      <c r="EZ192" s="50">
        <f t="shared" si="266"/>
        <v>3.64603029831157E-2</v>
      </c>
      <c r="FA192" s="51">
        <f t="shared" si="267"/>
        <v>30309</v>
      </c>
      <c r="FB192" s="51">
        <f t="shared" si="268"/>
        <v>24142</v>
      </c>
      <c r="FC192" s="14">
        <f>INT(SUMPRODUCT($AP192:$AT192,$BF192:$BJ192)/SUM($BF192:$BJ192)/10000*$BX$7*$BZ$46/'疲劳值&amp;地图信息'!$R$10*$BY$57)</f>
        <v>2186</v>
      </c>
      <c r="FD192" s="50">
        <f t="shared" si="269"/>
        <v>0.5351448699613327</v>
      </c>
      <c r="FE192" s="50">
        <f t="shared" si="270"/>
        <v>0.42625845295478221</v>
      </c>
      <c r="FF192" s="50">
        <f t="shared" si="271"/>
        <v>3.8596677083885096E-2</v>
      </c>
      <c r="FH192" s="14">
        <f t="shared" si="272"/>
        <v>23781</v>
      </c>
      <c r="FI192" s="14">
        <f t="shared" si="273"/>
        <v>26614</v>
      </c>
      <c r="FJ192" s="14">
        <f t="shared" si="274"/>
        <v>30521</v>
      </c>
      <c r="FK192" s="14">
        <f t="shared" si="275"/>
        <v>44953</v>
      </c>
      <c r="FL192" s="14">
        <f t="shared" si="276"/>
        <v>56637</v>
      </c>
      <c r="FM192" s="14">
        <f t="shared" si="277"/>
        <v>2770558</v>
      </c>
      <c r="FP192" s="14">
        <f t="shared" si="278"/>
        <v>334150</v>
      </c>
      <c r="FQ192" s="50">
        <f t="shared" si="218"/>
        <v>0.10762686861373115</v>
      </c>
      <c r="FS192" s="14">
        <f t="shared" si="279"/>
        <v>3104708</v>
      </c>
      <c r="FX192" s="14">
        <v>187</v>
      </c>
      <c r="FY192" s="51">
        <f t="shared" si="280"/>
        <v>30308</v>
      </c>
      <c r="FZ192" s="51">
        <f t="shared" si="281"/>
        <v>1703</v>
      </c>
      <c r="GA192" s="51">
        <f>INT(SUMPRODUCT($N192:$R192,$BF192:$BJ192)/SUM($BF192:$BJ192)/10000*$BX$7*$BZ$46/'疲劳值&amp;地图信息'!$R$10*$BY$53)</f>
        <v>430</v>
      </c>
      <c r="GB192" s="50">
        <f t="shared" si="282"/>
        <v>0.93424986899294105</v>
      </c>
      <c r="GC192" s="50">
        <f t="shared" si="283"/>
        <v>5.2495299158472307E-2</v>
      </c>
      <c r="GD192" s="50">
        <f t="shared" si="284"/>
        <v>1.3254831848586664E-2</v>
      </c>
      <c r="GE192" s="51">
        <f t="shared" si="285"/>
        <v>32259</v>
      </c>
      <c r="GF192" s="51">
        <f t="shared" si="286"/>
        <v>2767</v>
      </c>
      <c r="GG192" s="14">
        <f>INT(SUMPRODUCT($U192:$Y192,$BF192:$BJ192)/SUM($BF192:$BJ192)/10000*$BX$7*$BZ$46/'疲劳值&amp;地图信息'!$R$10*$BY$54)</f>
        <v>805</v>
      </c>
      <c r="GH192" s="50">
        <f t="shared" si="287"/>
        <v>0.90030978761407721</v>
      </c>
      <c r="GI192" s="50">
        <f t="shared" si="288"/>
        <v>7.7223633166810857E-2</v>
      </c>
      <c r="GJ192" s="50">
        <f t="shared" si="289"/>
        <v>2.2466579219111941E-2</v>
      </c>
      <c r="GK192" s="51">
        <f t="shared" si="290"/>
        <v>34440</v>
      </c>
      <c r="GL192" s="51">
        <f t="shared" si="291"/>
        <v>4828</v>
      </c>
      <c r="GM192" s="14">
        <f>INT(SUMPRODUCT($AB192:$AF192,$BF192:$BJ192)/SUM($BF192:$BJ192)/10000*$BX$7*$BZ$46/'疲劳值&amp;地图信息'!$R$10*$BY$55)</f>
        <v>1093</v>
      </c>
      <c r="GN192" s="50">
        <f t="shared" si="292"/>
        <v>0.85329897673496691</v>
      </c>
      <c r="GO192" s="50">
        <f t="shared" si="293"/>
        <v>0.11962042565843264</v>
      </c>
      <c r="GP192" s="50">
        <f t="shared" si="294"/>
        <v>2.7080597606600431E-2</v>
      </c>
      <c r="GQ192" s="51">
        <f t="shared" si="295"/>
        <v>41173</v>
      </c>
      <c r="GR192" s="51">
        <f t="shared" si="296"/>
        <v>13905</v>
      </c>
      <c r="GS192" s="14">
        <f>INT(SUMPRODUCT($AI192:$AM192,$BF192:$BJ192)/SUM($BF192:$BJ192)/10000*$BX$7*$BZ$46/'疲劳值&amp;地图信息'!$R$10*$BY$56)</f>
        <v>1639</v>
      </c>
      <c r="GT192" s="50">
        <f t="shared" si="297"/>
        <v>0.72593754958830681</v>
      </c>
      <c r="GU192" s="50">
        <f t="shared" si="298"/>
        <v>0.24516458910026975</v>
      </c>
      <c r="GV192" s="50">
        <f t="shared" si="299"/>
        <v>2.8897861311423384E-2</v>
      </c>
      <c r="GW192" s="51">
        <f t="shared" si="300"/>
        <v>42433</v>
      </c>
      <c r="GX192" s="51">
        <f t="shared" si="301"/>
        <v>24142</v>
      </c>
      <c r="GY192" s="14">
        <f>INT(SUMPRODUCT($AP192:$AT192,$BF192:$BJ192)/SUM($BF192:$BJ192)/10000*$BX$7*$BZ$46/'疲劳值&amp;地图信息'!$R$10*$BY$57)</f>
        <v>2186</v>
      </c>
      <c r="GZ192" s="50">
        <f t="shared" si="302"/>
        <v>0.61710853536161492</v>
      </c>
      <c r="HA192" s="50">
        <f t="shared" si="303"/>
        <v>0.35110018760634665</v>
      </c>
      <c r="HB192" s="50">
        <f t="shared" si="304"/>
        <v>3.179127703203851E-2</v>
      </c>
      <c r="HD192" s="14">
        <f t="shared" si="305"/>
        <v>32441</v>
      </c>
      <c r="HE192" s="14">
        <f t="shared" si="306"/>
        <v>35831</v>
      </c>
      <c r="HF192" s="14">
        <f t="shared" si="307"/>
        <v>40361</v>
      </c>
      <c r="HG192" s="14">
        <f t="shared" si="308"/>
        <v>56717</v>
      </c>
      <c r="HH192" s="14">
        <f t="shared" si="309"/>
        <v>68761</v>
      </c>
      <c r="HI192" s="14">
        <f t="shared" si="310"/>
        <v>3725347</v>
      </c>
      <c r="HL192" s="14">
        <f t="shared" si="311"/>
        <v>430050</v>
      </c>
      <c r="HM192" s="50">
        <f t="shared" si="219"/>
        <v>0.10349191665682003</v>
      </c>
      <c r="HO192" s="14">
        <f t="shared" si="312"/>
        <v>4155397</v>
      </c>
    </row>
    <row r="193" spans="11:223" x14ac:dyDescent="0.2">
      <c r="K193" s="14">
        <v>188</v>
      </c>
      <c r="L193" s="12">
        <f>求节点(节奏总纲!D$4:D$163,标准城池设计!AB$4:AB$163,$K193)*求节点(节奏总纲!D$4:D$163,攻城基础信息!$AC$5:$AC$164,$K193)</f>
        <v>638787.0090322746</v>
      </c>
      <c r="M193" s="12">
        <f>INDEX(其他调用!$AA$5:$AA$404,MATCH(K193,其他调用!$X$5:$X$404,0))*MIN(INDEX(其他调用!$AH$5:$AH$364,MATCH('征服点（新）'!K193,其他调用!$AG$5:$AG$364,0),1)/INDEX(其他调用!$AJ$5:$AJ$364,MATCH(K193,其他调用!$AG$5:$AG$364,0),0),5)*求节点(节奏总纲!D$4:D$163,攻城基础信息!$AC$5:$AC$164,$K193)</f>
        <v>50267.864529369326</v>
      </c>
      <c r="N193" s="12">
        <f>MIN(INDEX(其他调用!$AH$5:$AH$364,MATCH($K193,其他调用!$AG$5:$AG$364,0),1)/INDEX(其他调用!AH$5:AH$364,MATCH($K193,其他调用!$AG$5:$AG$364,0),0),1)*INDEX(其他调用!Y$5:Y$404,MATCH($K193,其他调用!$X$5:$X$404,0),0)</f>
        <v>39776.271901806191</v>
      </c>
      <c r="O193" s="12">
        <f>MIN(INDEX(其他调用!$AH$5:$AH$364,MATCH($K193,其他调用!$AG$5:$AG$364,0),1)/INDEX(其他调用!AI$5:AI$364,MATCH($K193,其他调用!$AG$5:$AG$364,0),0),1)*INDEX(其他调用!Z$5:Z$404,MATCH($K193,其他调用!$X$5:$X$404,0),0)</f>
        <v>25224.210531907182</v>
      </c>
      <c r="P193" s="12">
        <f>MIN(INDEX(其他调用!$AH$5:$AH$364,MATCH($K193,其他调用!$AG$5:$AG$364,0),1)/INDEX(其他调用!AJ$5:AJ$364,MATCH($K193,其他调用!$AG$5:$AG$364,0),0),1)*INDEX(其他调用!AA$5:AA$404,MATCH($K193,其他调用!$X$5:$X$404,0),0)</f>
        <v>14988.292711586806</v>
      </c>
      <c r="Q193" s="12">
        <f>MIN(INDEX(其他调用!$AH$5:$AH$364,MATCH($K193,其他调用!$AG$5:$AG$364,0),1)/INDEX(其他调用!AK$5:AK$364,MATCH($K193,其他调用!$AG$5:$AG$364,0),0),1)*INDEX(其他调用!AB$5:AB$404,MATCH($K193,其他调用!$X$5:$X$404,0),0)</f>
        <v>5473.2053803380513</v>
      </c>
      <c r="R193" s="12">
        <f>MIN(INDEX(其他调用!$AH$5:$AH$364,MATCH($K193,其他调用!$AG$5:$AG$364,0),1)/INDEX(其他调用!AL$5:AL$364,MATCH($K193,其他调用!$AG$5:$AG$364,0),0),1)*INDEX(其他调用!AC$5:AC$404,MATCH($K193,其他调用!$X$5:$X$404,0),0)</f>
        <v>2314.8596260002005</v>
      </c>
      <c r="S193" s="12">
        <f>求节点(节奏总纲!D$4:D$163,标准城池设计!AC$4:AC$163,$K193)*求节点(节奏总纲!D$4:D$163,攻城基础信息!$AD$5:$AD$164,$K193)</f>
        <v>679907.18476469256</v>
      </c>
      <c r="T193" s="12">
        <f>INDEX(其他调用!$AA$5:$AA$404,MATCH($K193,其他调用!$X$5:$X$404,0))*MIN(INDEX(其他调用!AI$5:AI$364,MATCH($K193,其他调用!$AG$5:$AG$364,0),1)/INDEX(其他调用!$AJ$5:$AJ$364,MATCH($K193,其他调用!$AG$5:$AG$364,0),0),5)*求节点(节奏总纲!D$4:D$163,攻城基础信息!$AD$5:$AD$164,$K193)</f>
        <v>81566.847015791136</v>
      </c>
      <c r="U193" s="12">
        <f>MIN(INDEX(其他调用!$AI$5:$AI$364,MATCH($K193,其他调用!$AG$5:$AG$364,0),1)/INDEX(其他调用!AH$5:AH$364,MATCH($K193,其他调用!$AG$5:$AG$364,0),0),1)*INDEX(其他调用!Y$5:Y$404,MATCH($K193,其他调用!$X$5:$X$404,0),0)</f>
        <v>39776.271901806191</v>
      </c>
      <c r="V193" s="12">
        <f>MIN(INDEX(其他调用!$AI$5:$AI$364,MATCH($K193,其他调用!$AG$5:$AG$364,0),1)/INDEX(其他调用!AI$5:AI$364,MATCH($K193,其他调用!$AG$5:$AG$364,0),0),1)*INDEX(其他调用!Z$5:Z$404,MATCH($K193,其他调用!$X$5:$X$404,0),0)</f>
        <v>40929.912993381622</v>
      </c>
      <c r="W193" s="12">
        <f>MIN(INDEX(其他调用!$AI$5:$AI$364,MATCH($K193,其他调用!$AG$5:$AG$364,0),1)/INDEX(其他调用!AJ$5:AJ$364,MATCH($K193,其他调用!$AG$5:$AG$364,0),0),1)*INDEX(其他调用!AA$5:AA$404,MATCH($K193,其他调用!$X$5:$X$404,0),0)</f>
        <v>24320.662715234637</v>
      </c>
      <c r="X193" s="12">
        <f>MIN(INDEX(其他调用!$AI$5:$AI$364,MATCH($K193,其他调用!$AG$5:$AG$364,0),1)/INDEX(其他调用!AK$5:AK$364,MATCH($K193,其他调用!$AG$5:$AG$364,0),0),1)*INDEX(其他调用!AB$5:AB$404,MATCH($K193,其他调用!$X$5:$X$404,0),0)</f>
        <v>8881.0636800218144</v>
      </c>
      <c r="Y193" s="12">
        <f>MIN(INDEX(其他调用!$AI$5:$AI$364,MATCH($K193,其他调用!$AG$5:$AG$364,0),1)/INDEX(其他调用!AL$5:AL$364,MATCH($K193,其他调用!$AG$5:$AG$364,0),0),1)*INDEX(其他调用!AC$5:AC$404,MATCH($K193,其他调用!$X$5:$X$404,0),0)</f>
        <v>3756.1930021251046</v>
      </c>
      <c r="Z193" s="12">
        <f>求节点(节奏总纲!D$4:D$163,标准城池设计!AD$4:AD$163,$K193)*求节点(节奏总纲!D$4:D$163,攻城基础信息!$AE$5:$AE$164,$K193)</f>
        <v>726448.41616661183</v>
      </c>
      <c r="AA193" s="12">
        <f>INDEX(其他调用!$AA$5:$AA$404,MATCH($K193,其他调用!$X$5:$X$404,0))*MIN(INDEX(其他调用!AJ$5:AJ$364,MATCH($K193,其他调用!$AG$5:$AG$364,0),1)/INDEX(其他调用!$AJ$5:$AJ$364,MATCH($K193,其他调用!$AG$5:$AG$364,0),0),5)*求节点(节奏总纲!D$4:D$163,攻城基础信息!$AE$5:$AE$164,$K193)</f>
        <v>142358.50352042279</v>
      </c>
      <c r="AB193" s="12">
        <f>MIN(INDEX(其他调用!$AJ$5:$AJ$364,MATCH($K193,其他调用!$AG$5:$AG$364,0),1)/INDEX(其他调用!AH$5:AH$364,MATCH($K193,其他调用!$AG$5:$AG$364,0),0),1)*INDEX(其他调用!Y$5:Y$404,MATCH($K193,其他调用!$X$5:$X$404,0),0)</f>
        <v>39776.271901806191</v>
      </c>
      <c r="AC193" s="12">
        <f>MIN(INDEX(其他调用!$AJ$5:$AJ$364,MATCH($K193,其他调用!$AG$5:$AG$364,0),1)/INDEX(其他调用!AI$5:AI$364,MATCH($K193,其他调用!$AG$5:$AG$364,0),0),1)*INDEX(其他调用!Z$5:Z$404,MATCH($K193,其他调用!$X$5:$X$404,0),0)</f>
        <v>40929.912993381622</v>
      </c>
      <c r="AD193" s="12">
        <f>MIN(INDEX(其他调用!$AJ$5:$AJ$364,MATCH($K193,其他调用!$AG$5:$AG$364,0),1)/INDEX(其他调用!AJ$5:AJ$364,MATCH($K193,其他调用!$AG$5:$AG$364,0),0),1)*INDEX(其他调用!AA$5:AA$404,MATCH($K193,其他调用!$X$5:$X$404,0),0)</f>
        <v>42446.818473876549</v>
      </c>
      <c r="AE193" s="12">
        <f>MIN(INDEX(其他调用!$AJ$5:$AJ$364,MATCH($K193,其他调用!$AG$5:$AG$364,0),1)/INDEX(其他调用!AK$5:AK$364,MATCH($K193,其他调用!$AG$5:$AG$364,0),0),1)*INDEX(其他调用!AB$5:AB$404,MATCH($K193,其他调用!$X$5:$X$404,0),0)</f>
        <v>15500.107965589505</v>
      </c>
      <c r="AF193" s="12">
        <f>MIN(INDEX(其他调用!$AJ$5:$AJ$364,MATCH($K193,其他调用!$AG$5:$AG$364,0),1)/INDEX(其他调用!AL$5:AL$364,MATCH($K193,其他调用!$AG$5:$AG$364,0),0),1)*INDEX(其他调用!AC$5:AC$404,MATCH($K193,其他调用!$X$5:$X$404,0),0)</f>
        <v>6555.6783703174478</v>
      </c>
      <c r="AG193" s="12">
        <f>求节点(节奏总纲!D$4:D$163,标准城池设计!AE$4:AE$163,$K193)*求节点(节奏总纲!D$4:D$163,攻城基础信息!$AF$5:$AF$164,$K193)</f>
        <v>868539.31159282406</v>
      </c>
      <c r="AH193" s="12">
        <f>INDEX(其他调用!$AA$5:$AA$404,MATCH($K193,其他调用!$X$5:$X$404,0))*MIN(INDEX(其他调用!AK$5:AK$364,MATCH($K193,其他调用!$AG$5:$AG$364,0),1)/INDEX(其他调用!$AJ$5:$AJ$364,MATCH($K193,其他调用!$AG$5:$AG$364,0),0),5)*求节点(节奏总纲!D$4:D$163,攻城基础信息!$AF$5:$AF$164,$K193)</f>
        <v>409967.33586447901</v>
      </c>
      <c r="AI193" s="12">
        <f>MIN(INDEX(其他调用!$AK$5:$AK$364,MATCH($K193,其他调用!$AG$5:$AG$364,0),1)/INDEX(其他调用!AH$5:AH$364,MATCH($K193,其他调用!$AG$5:$AG$364,0),0),1)*INDEX(其他调用!Y$5:Y$404,MATCH($K193,其他调用!$X$5:$X$404,0),0)</f>
        <v>39776.271901806191</v>
      </c>
      <c r="AJ193" s="12">
        <f>MIN(INDEX(其他调用!$AK$5:$AK$364,MATCH($K193,其他调用!$AG$5:$AG$364,0),1)/INDEX(其他调用!AI$5:AI$364,MATCH($K193,其他调用!$AG$5:$AG$364,0),0),1)*INDEX(其他调用!Z$5:Z$404,MATCH($K193,其他调用!$X$5:$X$404,0),0)</f>
        <v>40929.912993381622</v>
      </c>
      <c r="AK193" s="12">
        <f>MIN(INDEX(其他调用!$AK$5:$AK$364,MATCH($K193,其他调用!$AG$5:$AG$364,0),1)/INDEX(其他调用!AJ$5:AJ$364,MATCH($K193,其他调用!$AG$5:$AG$364,0),0),1)*INDEX(其他调用!AA$5:AA$404,MATCH($K193,其他调用!$X$5:$X$404,0),0)</f>
        <v>42446.818473876549</v>
      </c>
      <c r="AL193" s="12">
        <f>MIN(INDEX(其他调用!$AK$5:$AK$364,MATCH($K193,其他调用!$AG$5:$AG$364,0),1)/INDEX(其他调用!AK$5:AK$364,MATCH($K193,其他调用!$AG$5:$AG$364,0),0),1)*INDEX(其他调用!AB$5:AB$404,MATCH($K193,其他调用!$X$5:$X$404,0),0)</f>
        <v>44637.57212334629</v>
      </c>
      <c r="AM193" s="12">
        <f>MIN(INDEX(其他调用!$AK$5:$AK$364,MATCH($K193,其他调用!$AG$5:$AG$364,0),1)/INDEX(其他调用!AL$5:AL$364,MATCH($K193,其他调用!$AG$5:$AG$364,0),0),1)*INDEX(其他调用!AC$5:AC$404,MATCH($K193,其他调用!$X$5:$X$404,0),0)</f>
        <v>18879.195339938844</v>
      </c>
      <c r="AN193" s="12">
        <f>求节点(节奏总纲!D$4:D$163,标准城池设计!AF$4:AF$163,$K193)*求节点(节奏总纲!D$4:D$163,攻城基础信息!$AG$5:$AG$164,$K193)</f>
        <v>895595.05324271438</v>
      </c>
      <c r="AO193" s="12">
        <f>INDEX(其他调用!$AA$5:$AA$404,MATCH($K193,其他调用!$X$5:$X$404,0))*MIN(INDEX(其他调用!AL$5:AL$364,MATCH($K193,其他调用!$AG$5:$AG$364,0),1)/INDEX(其他调用!$AJ$5:$AJ$364,MATCH($K193,其他调用!$AG$5:$AG$364,0),0),5)*求节点(节奏总纲!D$4:D$163,攻城基础信息!$AG$5:$AG$164,$K193)</f>
        <v>711792.51760211389</v>
      </c>
      <c r="AP193" s="12">
        <f>MIN(INDEX(其他调用!$AL$5:$AL$364,MATCH($K193,其他调用!$AG$5:$AG$364,0),1)/INDEX(其他调用!AH$5:AH$364,MATCH($K193,其他调用!$AG$5:$AG$364,0),0),1)*INDEX(其他调用!Y$5:Y$404,MATCH($K193,其他调用!$X$5:$X$404,0),0)</f>
        <v>39776.271901806191</v>
      </c>
      <c r="AQ193" s="12">
        <f>MIN(INDEX(其他调用!$AL$5:$AL$364,MATCH($K193,其他调用!$AG$5:$AG$364,0),1)/INDEX(其他调用!AI$5:AI$364,MATCH($K193,其他调用!$AG$5:$AG$364,0),0),1)*INDEX(其他调用!Z$5:Z$404,MATCH($K193,其他调用!$X$5:$X$404,0),0)</f>
        <v>40929.912993381622</v>
      </c>
      <c r="AR193" s="12">
        <f>MIN(INDEX(其他调用!$AL$5:$AL$364,MATCH($K193,其他调用!$AG$5:$AG$364,0),1)/INDEX(其他调用!AJ$5:AJ$364,MATCH($K193,其他调用!$AG$5:$AG$364,0),0),1)*INDEX(其他调用!AA$5:AA$404,MATCH($K193,其他调用!$X$5:$X$404,0),0)</f>
        <v>42446.818473876549</v>
      </c>
      <c r="AS193" s="12">
        <f>MIN(INDEX(其他调用!$AL$5:$AL$364,MATCH($K193,其他调用!$AG$5:$AG$364,0),1)/INDEX(其他调用!AK$5:AK$364,MATCH($K193,其他调用!$AG$5:$AG$364,0),0),1)*INDEX(其他调用!AB$5:AB$404,MATCH($K193,其他调用!$X$5:$X$404,0),0)</f>
        <v>44637.57212334629</v>
      </c>
      <c r="AT193" s="12">
        <f>MIN(INDEX(其他调用!$AL$5:$AL$364,MATCH($K193,其他调用!$AG$5:$AG$364,0),1)/INDEX(其他调用!AL$5:AL$364,MATCH($K193,其他调用!$AG$5:$AG$364,0),0),1)*INDEX(其他调用!AC$5:AC$404,MATCH($K193,其他调用!$X$5:$X$404,0),0)</f>
        <v>48594.697428589454</v>
      </c>
      <c r="AV193" s="14">
        <f>IF(OR(AV$5="大R",AV$5="超R"),MAX(INDEX(其他调用!$H$5:$L$404,MATCH($K193,其他调用!$B$5:$B$404,0),MATCH(AV$5,其他调用!$H$4:$L$4,0))*120*0.85,2),INDEX(其他调用!$H$5:$L$404,MATCH($K193,其他调用!$B$5:$B$404,0),MATCH(AV$5,其他调用!$H$4:$L$4,0))*120*0.85)</f>
        <v>48.921801254999991</v>
      </c>
      <c r="AW193" s="14">
        <f>IF(OR(AW$5="大R",AW$5="超R"),MAX(INDEX(其他调用!$H$5:$L$404,MATCH($K193,其他调用!$B$5:$B$404,0),MATCH(AW$5,其他调用!$H$4:$L$4,0))*120*0.85,2),INDEX(其他调用!$H$5:$L$404,MATCH($K193,其他调用!$B$5:$B$404,0),MATCH(AW$5,其他调用!$H$4:$L$4,0))*120*0.85)</f>
        <v>48.237344010638395</v>
      </c>
      <c r="AX193" s="14">
        <f>IF(OR(AX$5="大R",AX$5="超R"),MAX(INDEX(其他调用!$H$5:$L$404,MATCH($K193,其他调用!$B$5:$B$404,0),MATCH(AX$5,其他调用!$H$4:$L$4,0))*120*0.85,2),INDEX(其他调用!$H$5:$L$404,MATCH($K193,其他调用!$B$5:$B$404,0),MATCH(AX$5,其他调用!$H$4:$L$4,0))*120*0.85)</f>
        <v>3.9376284143615998</v>
      </c>
      <c r="AY193" s="14">
        <f>IF(OR(AY$5="大R",AY$5="超R"),MAX(INDEX(其他调用!$H$5:$L$404,MATCH($K193,其他调用!$B$5:$B$404,0),MATCH(AY$5,其他调用!$H$4:$L$4,0))*120*0.85,2),INDEX(其他调用!$H$5:$L$404,MATCH($K193,其他调用!$B$5:$B$404,0),MATCH(AY$5,其他调用!$H$4:$L$4,0))*120*0.85)</f>
        <v>2</v>
      </c>
      <c r="AZ193" s="14">
        <f>IF(OR(AZ$5="大R",AZ$5="超R"),MAX(INDEX(其他调用!$H$5:$L$404,MATCH($K193,其他调用!$B$5:$B$404,0),MATCH(AZ$5,其他调用!$H$4:$L$4,0))*120*0.85,2),INDEX(其他调用!$H$5:$L$404,MATCH($K193,其他调用!$B$5:$B$404,0),MATCH(AZ$5,其他调用!$H$4:$L$4,0))*120*0.85)</f>
        <v>2</v>
      </c>
      <c r="BA193" s="14">
        <f>INDEX(其他调用!$H$5:$L$404,MATCH($K193,其他调用!$B$5:$B$404,0),MATCH(BA$5,其他调用!$H$4:$L$4,0))*INDEX(其他调用!$M$5:$M$404,MATCH($K193,其他调用!$B$5:$B$404,0))*0.6</f>
        <v>28.777530149999997</v>
      </c>
      <c r="BB193" s="14">
        <f>INDEX(其他调用!$H$5:$L$404,MATCH($K193,其他调用!$B$5:$B$404,0),MATCH(BB$5,其他调用!$H$4:$L$4,0))*INDEX(其他调用!$M$5:$M$404,MATCH($K193,其他调用!$B$5:$B$404,0))*0.6</f>
        <v>28.374908241551999</v>
      </c>
      <c r="BC193" s="14">
        <f>INDEX(其他调用!$H$5:$L$404,MATCH($K193,其他调用!$B$5:$B$404,0),MATCH(BC$5,其他调用!$H$4:$L$4,0))*INDEX(其他调用!$M$5:$M$404,MATCH($K193,其他调用!$B$5:$B$404,0))*0.6</f>
        <v>2.3162520084480001</v>
      </c>
      <c r="BD193" s="14">
        <f>INDEX(其他调用!$H$5:$L$404,MATCH($K193,其他调用!$B$5:$B$404,0),MATCH(BD$5,其他调用!$H$4:$L$4,0))*INDEX(其他调用!$M$5:$M$404,MATCH($K193,其他调用!$B$5:$B$404,0))*0.6</f>
        <v>0.4120776000000001</v>
      </c>
      <c r="BE193" s="14">
        <f>INDEX(其他调用!$H$5:$L$404,MATCH($K193,其他调用!$B$5:$B$404,0),MATCH(BE$5,其他调用!$H$4:$L$4,0))*INDEX(其他调用!$M$5:$M$404,MATCH($K193,其他调用!$B$5:$B$404,0))*0.6</f>
        <v>0.11923199999999998</v>
      </c>
      <c r="BF193" s="14">
        <f>IF(OR(BF$5="大R",BF$5="超R"),0,INDEX(其他调用!$H$5:$L$404,MATCH($K193,其他调用!$B$5:$B$404,0),MATCH(BF$5,其他调用!$H$4:$L$4,0))*50*0.4)</f>
        <v>9.5925100500000013</v>
      </c>
      <c r="BG193" s="14">
        <f>IF(OR(BG$5="大R",BG$5="超R"),0,INDEX(其他调用!$H$5:$L$404,MATCH($K193,其他调用!$B$5:$B$404,0),MATCH(BG$5,其他调用!$H$4:$L$4,0))*50*0.4)</f>
        <v>9.4583027471839998</v>
      </c>
      <c r="BH193" s="14">
        <f>IF(OR(BH$5="大R",BH$5="超R"),0,INDEX(其他调用!$H$5:$L$404,MATCH($K193,其他调用!$B$5:$B$404,0),MATCH(BH$5,其他调用!$H$4:$L$4,0))*50*0.4)</f>
        <v>0.77208400281600009</v>
      </c>
      <c r="BI193" s="14">
        <f>IF(OR(BI$5="大R",BI$5="超R"),0,INDEX(其他调用!$H$5:$L$404,MATCH($K193,其他调用!$B$5:$B$404,0),MATCH(BI$5,其他调用!$H$4:$L$4,0))*50*0.4)</f>
        <v>0</v>
      </c>
      <c r="BJ193" s="14">
        <f>IF(OR(BJ$5="大R",BJ$5="超R"),0,INDEX(其他调用!$H$5:$L$404,MATCH($K193,其他调用!$B$5:$B$404,0),MATCH(BJ$5,其他调用!$H$4:$L$4,0))*50*0.4)</f>
        <v>0</v>
      </c>
      <c r="BL193" s="14">
        <f t="shared" si="313"/>
        <v>188</v>
      </c>
      <c r="BM193" s="14">
        <f t="shared" si="220"/>
        <v>96</v>
      </c>
      <c r="BN193" s="14">
        <f>('疲劳值&amp;地图信息'!$S$10*'疲劳值&amp;地图信息'!$R$10+'疲劳值&amp;地图信息'!$S$11*'疲劳值&amp;地图信息'!$R$11+'疲劳值&amp;地图信息'!$S$12*'疲劳值&amp;地图信息'!$R$12+(BM193-'疲劳值&amp;地图信息'!$S$12-'疲劳值&amp;地图信息'!$S$11-'疲劳值&amp;地图信息'!$S$10)*'疲劳值&amp;地图信息'!$R$13)/BM193</f>
        <v>51.371477246638619</v>
      </c>
      <c r="BO193" s="14">
        <f>INDEX(其他调用!$M$5:$M$404,MATCH(BL193,其他调用!$B$5:$B$404,0))*0.6</f>
        <v>60</v>
      </c>
      <c r="BP193" s="14">
        <f>IF(BO193&gt;SUM('疲劳值&amp;地图信息'!$S$10:$S$12),('疲劳值&amp;地图信息'!$S$10*'疲劳值&amp;地图信息'!$R$10+'疲劳值&amp;地图信息'!$S$11*'疲劳值&amp;地图信息'!$R$11+'疲劳值&amp;地图信息'!$S$12*'疲劳值&amp;地图信息'!$R$12+(BO193-'疲劳值&amp;地图信息'!$S$12-'疲劳值&amp;地图信息'!$S$11-'疲劳值&amp;地图信息'!$S$10)*'疲劳值&amp;地图信息'!$R$13)/BO193,('疲劳值&amp;地图信息'!$S$10*'疲劳值&amp;地图信息'!$R$10+'疲劳值&amp;地图信息'!$S$11*'疲劳值&amp;地图信息'!$R$11+'疲劳值&amp;地图信息'!$S$12*'疲劳值&amp;地图信息'!$R$12+(BO193-'疲劳值&amp;地图信息'!$S$12-'疲劳值&amp;地图信息'!$S$11-'疲劳值&amp;地图信息'!$S$10)*'疲劳值&amp;地图信息'!$R$13)/BO193)</f>
        <v>44.158136341605953</v>
      </c>
      <c r="BQ193" s="14">
        <f t="shared" si="314"/>
        <v>20</v>
      </c>
      <c r="BR193" s="14">
        <f>('疲劳值&amp;地图信息'!$S$10*'疲劳值&amp;地图信息'!$R$10+($BQ193-'疲劳值&amp;地图信息'!$S$10)*'疲劳值&amp;地图信息'!$R$11)/$BQ193</f>
        <v>32.067203015074995</v>
      </c>
      <c r="CF193" s="14">
        <v>188</v>
      </c>
      <c r="CG193" s="51">
        <f t="shared" si="221"/>
        <v>13019</v>
      </c>
      <c r="CH193" s="51">
        <f t="shared" si="222"/>
        <v>1024</v>
      </c>
      <c r="CI193" s="51">
        <f>INT(SUMPRODUCT($N193:$R193,$BA193:$BE193)/SUM($BA193:$BE193)/10000*$BX$7*$BZ$34/'疲劳值&amp;地图信息'!$R$10*$BY$53)</f>
        <v>3209</v>
      </c>
      <c r="CJ193" s="50">
        <f t="shared" si="223"/>
        <v>0.75463714351959188</v>
      </c>
      <c r="CK193" s="50">
        <f t="shared" si="224"/>
        <v>5.935543705077672E-2</v>
      </c>
      <c r="CL193" s="50">
        <f t="shared" si="225"/>
        <v>0.18600741942963134</v>
      </c>
      <c r="CM193" s="14">
        <f t="shared" si="226"/>
        <v>13857</v>
      </c>
      <c r="CN193" s="14">
        <f t="shared" si="227"/>
        <v>1662</v>
      </c>
      <c r="CO193" s="14">
        <f>INT(SUMPRODUCT($U193:$Y193,$BA193:$BE193)/SUM($BA193:$BE193)/10000*$BX$7*$BZ$34/'疲劳值&amp;地图信息'!$R$10*$BY$54)</f>
        <v>6003</v>
      </c>
      <c r="CP193" s="50">
        <f t="shared" si="228"/>
        <v>0.64385280178422077</v>
      </c>
      <c r="CQ193" s="50">
        <f t="shared" si="229"/>
        <v>7.7223306384165039E-2</v>
      </c>
      <c r="CR193" s="50">
        <f t="shared" si="230"/>
        <v>0.27892389183161415</v>
      </c>
      <c r="CS193" s="14">
        <f t="shared" si="231"/>
        <v>14805</v>
      </c>
      <c r="CT193" s="14">
        <f t="shared" si="232"/>
        <v>2901</v>
      </c>
      <c r="CU193" s="14">
        <f>INT(SUMPRODUCT($AB193:$AF193,$BA193:$BE193)/SUM($BA193:$BE193)/10000*$BX$7*$BZ$34/'疲劳值&amp;地图信息'!$R$10*$BY$55)</f>
        <v>8156</v>
      </c>
      <c r="CV193" s="50">
        <f t="shared" si="233"/>
        <v>0.57246152656407079</v>
      </c>
      <c r="CW193" s="50">
        <f t="shared" si="234"/>
        <v>0.112172299126131</v>
      </c>
      <c r="CX193" s="50">
        <f t="shared" si="235"/>
        <v>0.31536617430979819</v>
      </c>
      <c r="CY193" s="14">
        <f t="shared" si="236"/>
        <v>17701</v>
      </c>
      <c r="CZ193" s="14">
        <f t="shared" si="237"/>
        <v>8355</v>
      </c>
      <c r="DA193" s="14">
        <f>INT(SUMPRODUCT($AI193:$AM193,$BA193:$BE193)/SUM($BA193:$BE193)/10000*$BX$7*$BZ$34/'疲劳值&amp;地图信息'!$R$10*$BY$56)</f>
        <v>12302</v>
      </c>
      <c r="DB193" s="50">
        <f t="shared" si="238"/>
        <v>0.46146827258981177</v>
      </c>
      <c r="DC193" s="50">
        <f t="shared" si="239"/>
        <v>0.21781636164554982</v>
      </c>
      <c r="DD193" s="50">
        <f t="shared" si="240"/>
        <v>0.32071536576463838</v>
      </c>
      <c r="DE193" s="14">
        <f t="shared" si="241"/>
        <v>18253</v>
      </c>
      <c r="DF193" s="14">
        <f t="shared" si="242"/>
        <v>14507</v>
      </c>
      <c r="DG193" s="14">
        <f>INT(SUMPRODUCT($AP193:$AT193,$BA193:$BE193)/SUM($BA193:$BE193)/10000*$BX$7*$BZ$34/'疲劳值&amp;地图信息'!$R$10*$BY$57)</f>
        <v>16427</v>
      </c>
      <c r="DH193" s="50">
        <f t="shared" si="243"/>
        <v>0.37109398824892759</v>
      </c>
      <c r="DI193" s="50">
        <f t="shared" si="244"/>
        <v>0.29493565372964403</v>
      </c>
      <c r="DJ193" s="50">
        <f t="shared" si="245"/>
        <v>0.33397035802142844</v>
      </c>
      <c r="DL193" s="14">
        <f t="shared" si="316"/>
        <v>17252</v>
      </c>
      <c r="DM193" s="14">
        <f t="shared" si="317"/>
        <v>21522</v>
      </c>
      <c r="DN193" s="14">
        <f t="shared" si="318"/>
        <v>25862</v>
      </c>
      <c r="DO193" s="14">
        <f t="shared" si="319"/>
        <v>38358</v>
      </c>
      <c r="DP193" s="14">
        <f t="shared" si="320"/>
        <v>49187</v>
      </c>
      <c r="DQ193" s="14">
        <f t="shared" si="321"/>
        <v>1188728</v>
      </c>
      <c r="DT193" s="14">
        <f t="shared" si="315"/>
        <v>235575</v>
      </c>
      <c r="DU193" s="50">
        <f t="shared" si="217"/>
        <v>0.16539668876636501</v>
      </c>
      <c r="DW193" s="14">
        <f t="shared" si="246"/>
        <v>1424303</v>
      </c>
      <c r="EB193" s="14">
        <v>188</v>
      </c>
      <c r="EC193" s="51">
        <f t="shared" si="247"/>
        <v>21698</v>
      </c>
      <c r="ED193" s="51">
        <f t="shared" si="248"/>
        <v>1707</v>
      </c>
      <c r="EE193" s="51">
        <f>INT(SUMPRODUCT($N193:$R193,$BF193:$BJ193)/SUM($BF193:$BJ193)/10000*$BX$7*$BZ$46/'疲劳值&amp;地图信息'!$R$10*$BY$53)</f>
        <v>431</v>
      </c>
      <c r="EF193" s="50">
        <f t="shared" si="249"/>
        <v>0.91030374223863064</v>
      </c>
      <c r="EG193" s="50">
        <f t="shared" si="250"/>
        <v>7.1614364826313143E-2</v>
      </c>
      <c r="EH193" s="50">
        <f t="shared" si="251"/>
        <v>1.8081892935056219E-2</v>
      </c>
      <c r="EI193" s="51">
        <f t="shared" si="252"/>
        <v>23095</v>
      </c>
      <c r="EJ193" s="51">
        <f t="shared" si="253"/>
        <v>2770</v>
      </c>
      <c r="EK193" s="14">
        <f>INT(SUMPRODUCT($U193:$Y193,$BF193:$BJ193)/SUM($BF193:$BJ193)/10000*$BX$7*$BZ$46/'疲劳值&amp;地图信息'!$R$10*$BY$54)</f>
        <v>806</v>
      </c>
      <c r="EL193" s="50">
        <f t="shared" si="254"/>
        <v>0.86592178770949724</v>
      </c>
      <c r="EM193" s="50">
        <f t="shared" si="255"/>
        <v>0.10385812305500357</v>
      </c>
      <c r="EN193" s="50">
        <f t="shared" si="256"/>
        <v>3.022008923549923E-2</v>
      </c>
      <c r="EO193" s="51">
        <f t="shared" si="257"/>
        <v>24676</v>
      </c>
      <c r="EP193" s="51">
        <f t="shared" si="258"/>
        <v>4835</v>
      </c>
      <c r="EQ193" s="14">
        <f>INT(SUMPRODUCT($AB193:$AF193,$BF193:$BJ193)/SUM($BF193:$BJ193)/10000*$BX$7*$BZ$46/'疲劳值&amp;地图信息'!$R$10*$BY$55)</f>
        <v>1093</v>
      </c>
      <c r="ER193" s="50">
        <f t="shared" si="259"/>
        <v>0.80629983008757022</v>
      </c>
      <c r="ES193" s="50">
        <f t="shared" si="260"/>
        <v>0.15798588419814402</v>
      </c>
      <c r="ET193" s="50">
        <f t="shared" si="261"/>
        <v>3.5714285714285712E-2</v>
      </c>
      <c r="EU193" s="51">
        <f t="shared" si="262"/>
        <v>29503</v>
      </c>
      <c r="EV193" s="51">
        <f t="shared" si="263"/>
        <v>13926</v>
      </c>
      <c r="EW193" s="14">
        <f>INT(SUMPRODUCT($AI193:$AM193,$BF193:$BJ193)/SUM($BF193:$BJ193)/10000*$BX$7*$BZ$46/'疲劳值&amp;地图信息'!$R$10*$BY$56)</f>
        <v>1640</v>
      </c>
      <c r="EX193" s="50">
        <f t="shared" si="264"/>
        <v>0.65461847389558236</v>
      </c>
      <c r="EY193" s="50">
        <f t="shared" si="265"/>
        <v>0.30899287758769889</v>
      </c>
      <c r="EZ193" s="50">
        <f t="shared" si="266"/>
        <v>3.6388648516718809E-2</v>
      </c>
      <c r="FA193" s="51">
        <f t="shared" si="267"/>
        <v>30422</v>
      </c>
      <c r="FB193" s="51">
        <f t="shared" si="268"/>
        <v>24178</v>
      </c>
      <c r="FC193" s="14">
        <f>INT(SUMPRODUCT($AP193:$AT193,$BF193:$BJ193)/SUM($BF193:$BJ193)/10000*$BX$7*$BZ$46/'疲劳值&amp;地图信息'!$R$10*$BY$57)</f>
        <v>2187</v>
      </c>
      <c r="FD193" s="50">
        <f t="shared" si="269"/>
        <v>0.53572120379664356</v>
      </c>
      <c r="FE193" s="50">
        <f t="shared" si="270"/>
        <v>0.42576646063359574</v>
      </c>
      <c r="FF193" s="50">
        <f t="shared" si="271"/>
        <v>3.8512335569760685E-2</v>
      </c>
      <c r="FH193" s="14">
        <f t="shared" si="272"/>
        <v>23836</v>
      </c>
      <c r="FI193" s="14">
        <f t="shared" si="273"/>
        <v>26671</v>
      </c>
      <c r="FJ193" s="14">
        <f t="shared" si="274"/>
        <v>30604</v>
      </c>
      <c r="FK193" s="14">
        <f t="shared" si="275"/>
        <v>45069</v>
      </c>
      <c r="FL193" s="14">
        <f t="shared" si="276"/>
        <v>56787</v>
      </c>
      <c r="FM193" s="14">
        <f t="shared" si="277"/>
        <v>2776857</v>
      </c>
      <c r="FP193" s="14">
        <f t="shared" si="278"/>
        <v>334150</v>
      </c>
      <c r="FQ193" s="50">
        <f t="shared" si="218"/>
        <v>0.10740895150669863</v>
      </c>
      <c r="FS193" s="14">
        <f t="shared" si="279"/>
        <v>3111007</v>
      </c>
      <c r="FX193" s="14">
        <v>188</v>
      </c>
      <c r="FY193" s="51">
        <f t="shared" si="280"/>
        <v>30378</v>
      </c>
      <c r="FZ193" s="51">
        <f t="shared" si="281"/>
        <v>1707</v>
      </c>
      <c r="GA193" s="51">
        <f>INT(SUMPRODUCT($N193:$R193,$BF193:$BJ193)/SUM($BF193:$BJ193)/10000*$BX$7*$BZ$46/'疲劳值&amp;地图信息'!$R$10*$BY$53)</f>
        <v>431</v>
      </c>
      <c r="GB193" s="50">
        <f t="shared" si="282"/>
        <v>0.93424775495140855</v>
      </c>
      <c r="GC193" s="50">
        <f t="shared" si="283"/>
        <v>5.2497232131873538E-2</v>
      </c>
      <c r="GD193" s="50">
        <f t="shared" si="284"/>
        <v>1.3255012916717924E-2</v>
      </c>
      <c r="GE193" s="51">
        <f t="shared" si="285"/>
        <v>32333</v>
      </c>
      <c r="GF193" s="51">
        <f t="shared" si="286"/>
        <v>2770</v>
      </c>
      <c r="GG193" s="14">
        <f>INT(SUMPRODUCT($U193:$Y193,$BF193:$BJ193)/SUM($BF193:$BJ193)/10000*$BX$7*$BZ$46/'疲劳值&amp;地图信息'!$R$10*$BY$54)</f>
        <v>806</v>
      </c>
      <c r="GH193" s="50">
        <f t="shared" si="287"/>
        <v>0.90041493775933612</v>
      </c>
      <c r="GI193" s="50">
        <f t="shared" si="288"/>
        <v>7.713943579603999E-2</v>
      </c>
      <c r="GJ193" s="50">
        <f t="shared" si="289"/>
        <v>2.244562644462391E-2</v>
      </c>
      <c r="GK193" s="51">
        <f t="shared" si="290"/>
        <v>34547</v>
      </c>
      <c r="GL193" s="51">
        <f t="shared" si="291"/>
        <v>4835</v>
      </c>
      <c r="GM193" s="14">
        <f>INT(SUMPRODUCT($AB193:$AF193,$BF193:$BJ193)/SUM($BF193:$BJ193)/10000*$BX$7*$BZ$46/'疲劳值&amp;地图信息'!$R$10*$BY$55)</f>
        <v>1093</v>
      </c>
      <c r="GN193" s="50">
        <f t="shared" si="292"/>
        <v>0.85353922174181596</v>
      </c>
      <c r="GO193" s="50">
        <f t="shared" si="293"/>
        <v>0.11945645460160594</v>
      </c>
      <c r="GP193" s="50">
        <f t="shared" si="294"/>
        <v>2.7004323656578136E-2</v>
      </c>
      <c r="GQ193" s="51">
        <f t="shared" si="295"/>
        <v>41304</v>
      </c>
      <c r="GR193" s="51">
        <f t="shared" si="296"/>
        <v>13926</v>
      </c>
      <c r="GS193" s="14">
        <f>INT(SUMPRODUCT($AI193:$AM193,$BF193:$BJ193)/SUM($BF193:$BJ193)/10000*$BX$7*$BZ$46/'疲劳值&amp;地图信息'!$R$10*$BY$56)</f>
        <v>1640</v>
      </c>
      <c r="GT193" s="50">
        <f t="shared" si="297"/>
        <v>0.7262880253209073</v>
      </c>
      <c r="GU193" s="50">
        <f t="shared" si="298"/>
        <v>0.24487427466150871</v>
      </c>
      <c r="GV193" s="50">
        <f t="shared" si="299"/>
        <v>2.8837700017583963E-2</v>
      </c>
      <c r="GW193" s="51">
        <f t="shared" si="300"/>
        <v>42591</v>
      </c>
      <c r="GX193" s="51">
        <f t="shared" si="301"/>
        <v>24178</v>
      </c>
      <c r="GY193" s="14">
        <f>INT(SUMPRODUCT($AP193:$AT193,$BF193:$BJ193)/SUM($BF193:$BJ193)/10000*$BX$7*$BZ$46/'疲劳值&amp;地图信息'!$R$10*$BY$57)</f>
        <v>2187</v>
      </c>
      <c r="GZ193" s="50">
        <f t="shared" si="302"/>
        <v>0.61765473635361678</v>
      </c>
      <c r="HA193" s="50">
        <f t="shared" si="303"/>
        <v>0.35062938685538603</v>
      </c>
      <c r="HB193" s="50">
        <f t="shared" si="304"/>
        <v>3.1715876790997161E-2</v>
      </c>
      <c r="HD193" s="14">
        <f t="shared" si="305"/>
        <v>32516</v>
      </c>
      <c r="HE193" s="14">
        <f t="shared" si="306"/>
        <v>35909</v>
      </c>
      <c r="HF193" s="14">
        <f t="shared" si="307"/>
        <v>40475</v>
      </c>
      <c r="HG193" s="14">
        <f t="shared" si="308"/>
        <v>56870</v>
      </c>
      <c r="HH193" s="14">
        <f t="shared" si="309"/>
        <v>68956</v>
      </c>
      <c r="HI193" s="14">
        <f t="shared" si="310"/>
        <v>3733923</v>
      </c>
      <c r="HL193" s="14">
        <f t="shared" si="311"/>
        <v>430050</v>
      </c>
      <c r="HM193" s="50">
        <f t="shared" si="219"/>
        <v>0.10327876765771536</v>
      </c>
      <c r="HO193" s="14">
        <f t="shared" si="312"/>
        <v>4163973</v>
      </c>
    </row>
    <row r="194" spans="11:223" x14ac:dyDescent="0.2">
      <c r="K194" s="14">
        <v>189</v>
      </c>
      <c r="L194" s="12">
        <f>求节点(节奏总纲!D$4:D$163,标准城池设计!AB$4:AB$163,$K194)*求节点(节奏总纲!D$4:D$163,攻城基础信息!$AC$5:$AC$164,$K194)</f>
        <v>640262.03630598017</v>
      </c>
      <c r="M194" s="12">
        <f>INDEX(其他调用!$AA$5:$AA$404,MATCH(K194,其他调用!$X$5:$X$404,0))*MIN(INDEX(其他调用!$AH$5:$AH$364,MATCH('征服点（新）'!K194,其他调用!$AG$5:$AG$364,0),1)/INDEX(其他调用!$AJ$5:$AJ$364,MATCH(K194,其他调用!$AG$5:$AG$364,0),0),5)*求节点(节奏总纲!D$4:D$163,攻城基础信息!$AC$5:$AC$164,$K194)</f>
        <v>50382.608083527812</v>
      </c>
      <c r="N194" s="12">
        <f>MIN(INDEX(其他调用!$AH$5:$AH$364,MATCH($K194,其他调用!$AG$5:$AG$364,0),1)/INDEX(其他调用!AH$5:AH$364,MATCH($K194,其他调用!$AG$5:$AG$364,0),0),1)*INDEX(其他调用!Y$5:Y$404,MATCH($K194,其他调用!$X$5:$X$404,0),0)</f>
        <v>39806.377865354851</v>
      </c>
      <c r="O194" s="12">
        <f>MIN(INDEX(其他调用!$AH$5:$AH$364,MATCH($K194,其他调用!$AG$5:$AG$364,0),1)/INDEX(其他调用!AI$5:AI$364,MATCH($K194,其他调用!$AG$5:$AG$364,0),0),1)*INDEX(其他调用!Z$5:Z$404,MATCH($K194,其他调用!$X$5:$X$404,0),0)</f>
        <v>25275.862389456546</v>
      </c>
      <c r="P194" s="12">
        <f>MIN(INDEX(其他调用!$AH$5:$AH$364,MATCH($K194,其他调用!$AG$5:$AG$364,0),1)/INDEX(其他调用!AJ$5:AJ$364,MATCH($K194,其他调用!$AG$5:$AG$364,0),0),1)*INDEX(其他调用!AA$5:AA$404,MATCH($K194,其他调用!$X$5:$X$404,0),0)</f>
        <v>15011.022450236944</v>
      </c>
      <c r="Q194" s="12">
        <f>MIN(INDEX(其他调用!$AH$5:$AH$364,MATCH($K194,其他调用!$AG$5:$AG$364,0),1)/INDEX(其他调用!AK$5:AK$364,MATCH($K194,其他调用!$AG$5:$AG$364,0),0),1)*INDEX(其他调用!AB$5:AB$404,MATCH($K194,其他调用!$X$5:$X$404,0),0)</f>
        <v>5481.3746232875483</v>
      </c>
      <c r="R194" s="12">
        <f>MIN(INDEX(其他调用!$AH$5:$AH$364,MATCH($K194,其他调用!$AG$5:$AG$364,0),1)/INDEX(其他调用!AL$5:AL$364,MATCH($K194,其他调用!$AG$5:$AG$364,0),0),1)*INDEX(其他调用!AC$5:AC$404,MATCH($K194,其他调用!$X$5:$X$404,0),0)</f>
        <v>2327.7704255079771</v>
      </c>
      <c r="S194" s="12">
        <f>求节点(节奏总纲!D$4:D$163,标准城池设计!AC$4:AC$163,$K194)*求节点(节奏总纲!D$4:D$163,攻城基础信息!$AD$5:$AD$164,$K194)</f>
        <v>681481.06888586364</v>
      </c>
      <c r="T194" s="12">
        <f>INDEX(其他调用!$AA$5:$AA$404,MATCH($K194,其他调用!$X$5:$X$404,0))*MIN(INDEX(其他调用!AI$5:AI$364,MATCH($K194,其他调用!$AG$5:$AG$364,0),1)/INDEX(其他调用!$AJ$5:$AJ$364,MATCH($K194,其他调用!$AG$5:$AG$364,0),0),5)*求节点(节奏总纲!D$4:D$163,攻城基础信息!$AD$5:$AD$164,$K194)</f>
        <v>81649.272154237347</v>
      </c>
      <c r="U194" s="12">
        <f>MIN(INDEX(其他调用!$AI$5:$AI$364,MATCH($K194,其他调用!$AG$5:$AG$364,0),1)/INDEX(其他调用!AH$5:AH$364,MATCH($K194,其他调用!$AG$5:$AG$364,0),0),1)*INDEX(其他调用!Y$5:Y$404,MATCH($K194,其他调用!$X$5:$X$404,0),0)</f>
        <v>39806.377865354851</v>
      </c>
      <c r="V194" s="12">
        <f>MIN(INDEX(其他调用!$AI$5:$AI$364,MATCH($K194,其他调用!$AG$5:$AG$364,0),1)/INDEX(其他调用!AI$5:AI$364,MATCH($K194,其他调用!$AG$5:$AG$364,0),0),1)*INDEX(其他调用!Z$5:Z$404,MATCH($K194,其他调用!$X$5:$X$404,0),0)</f>
        <v>40961.670022090773</v>
      </c>
      <c r="W194" s="12">
        <f>MIN(INDEX(其他调用!$AI$5:$AI$364,MATCH($K194,其他调用!$AG$5:$AG$364,0),1)/INDEX(其他调用!AJ$5:AJ$364,MATCH($K194,其他调用!$AG$5:$AG$364,0),0),1)*INDEX(其他调用!AA$5:AA$404,MATCH($K194,其他调用!$X$5:$X$404,0),0)</f>
        <v>24326.629842599905</v>
      </c>
      <c r="X194" s="12">
        <f>MIN(INDEX(其他调用!$AI$5:$AI$364,MATCH($K194,其他调用!$AG$5:$AG$364,0),1)/INDEX(其他调用!AK$5:AK$364,MATCH($K194,其他调用!$AG$5:$AG$364,0),0),1)*INDEX(其他调用!AB$5:AB$404,MATCH($K194,其他调用!$X$5:$X$404,0),0)</f>
        <v>8883.0305817863791</v>
      </c>
      <c r="Y194" s="12">
        <f>MIN(INDEX(其他调用!$AI$5:$AI$364,MATCH($K194,其他调用!$AG$5:$AG$364,0),1)/INDEX(其他调用!AL$5:AL$364,MATCH($K194,其他调用!$AG$5:$AG$364,0),0),1)*INDEX(其他调用!AC$5:AC$404,MATCH($K194,其他调用!$X$5:$X$404,0),0)</f>
        <v>3772.348598345478</v>
      </c>
      <c r="Z194" s="12">
        <f>求节点(节奏总纲!D$4:D$163,标准城池设计!AD$4:AD$163,$K194)*求节点(节奏总纲!D$4:D$163,攻城基础信息!$AE$5:$AE$164,$K194)</f>
        <v>728702.67170713528</v>
      </c>
      <c r="AA194" s="12">
        <f>INDEX(其他调用!$AA$5:$AA$404,MATCH($K194,其他调用!$X$5:$X$404,0))*MIN(INDEX(其他调用!AJ$5:AJ$364,MATCH($K194,其他调用!$AG$5:$AG$364,0),1)/INDEX(其他调用!$AJ$5:$AJ$364,MATCH($K194,其他调用!$AG$5:$AG$364,0),0),5)*求节点(节奏总纲!D$4:D$163,攻城基础信息!$AE$5:$AE$164,$K194)</f>
        <v>142574.95338472319</v>
      </c>
      <c r="AB194" s="12">
        <f>MIN(INDEX(其他调用!$AJ$5:$AJ$364,MATCH($K194,其他调用!$AG$5:$AG$364,0),1)/INDEX(其他调用!AH$5:AH$364,MATCH($K194,其他调用!$AG$5:$AG$364,0),0),1)*INDEX(其他调用!Y$5:Y$404,MATCH($K194,其他调用!$X$5:$X$404,0),0)</f>
        <v>39806.377865354851</v>
      </c>
      <c r="AC194" s="12">
        <f>MIN(INDEX(其他调用!$AJ$5:$AJ$364,MATCH($K194,其他调用!$AG$5:$AG$364,0),1)/INDEX(其他调用!AI$5:AI$364,MATCH($K194,其他调用!$AG$5:$AG$364,0),0),1)*INDEX(其他调用!Z$5:Z$404,MATCH($K194,其他调用!$X$5:$X$404,0),0)</f>
        <v>40961.670022090773</v>
      </c>
      <c r="AD194" s="12">
        <f>MIN(INDEX(其他调用!$AJ$5:$AJ$364,MATCH($K194,其他调用!$AG$5:$AG$364,0),1)/INDEX(其他调用!AJ$5:AJ$364,MATCH($K194,其他调用!$AG$5:$AG$364,0),0),1)*INDEX(其他调用!AA$5:AA$404,MATCH($K194,其他调用!$X$5:$X$404,0),0)</f>
        <v>42478.861406924378</v>
      </c>
      <c r="AE194" s="12">
        <f>MIN(INDEX(其他调用!$AJ$5:$AJ$364,MATCH($K194,其他调用!$AG$5:$AG$364,0),1)/INDEX(其他调用!AK$5:AK$364,MATCH($K194,其他调用!$AG$5:$AG$364,0),0),1)*INDEX(其他调用!AB$5:AB$404,MATCH($K194,其他调用!$X$5:$X$404,0),0)</f>
        <v>15511.438592138589</v>
      </c>
      <c r="AF194" s="12">
        <f>MIN(INDEX(其他调用!$AJ$5:$AJ$364,MATCH($K194,其他调用!$AG$5:$AG$364,0),1)/INDEX(其他调用!AL$5:AL$364,MATCH($K194,其他调用!$AG$5:$AG$364,0),0),1)*INDEX(其他调用!AC$5:AC$404,MATCH($K194,其他调用!$X$5:$X$404,0),0)</f>
        <v>6587.2286594794841</v>
      </c>
      <c r="AG194" s="12">
        <f>求节点(节奏总纲!D$4:D$163,标准城池设计!AE$4:AE$163,$K194)*求节点(节奏总纲!D$4:D$163,攻城基础信息!$AF$5:$AF$164,$K194)</f>
        <v>871289.60263723764</v>
      </c>
      <c r="AH194" s="12">
        <f>INDEX(其他调用!$AA$5:$AA$404,MATCH($K194,其他调用!$X$5:$X$404,0))*MIN(INDEX(其他调用!AK$5:AK$364,MATCH($K194,其他调用!$AG$5:$AG$364,0),1)/INDEX(其他调用!$AJ$5:$AJ$364,MATCH($K194,其他调用!$AG$5:$AG$364,0),0),5)*求节点(节奏总纲!D$4:D$163,攻城基础信息!$AF$5:$AF$164,$K194)</f>
        <v>410568.50574198359</v>
      </c>
      <c r="AI194" s="12">
        <f>MIN(INDEX(其他调用!$AK$5:$AK$364,MATCH($K194,其他调用!$AG$5:$AG$364,0),1)/INDEX(其他调用!AH$5:AH$364,MATCH($K194,其他调用!$AG$5:$AG$364,0),0),1)*INDEX(其他调用!Y$5:Y$404,MATCH($K194,其他调用!$X$5:$X$404,0),0)</f>
        <v>39806.377865354851</v>
      </c>
      <c r="AJ194" s="12">
        <f>MIN(INDEX(其他调用!$AK$5:$AK$364,MATCH($K194,其他调用!$AG$5:$AG$364,0),1)/INDEX(其他调用!AI$5:AI$364,MATCH($K194,其他调用!$AG$5:$AG$364,0),0),1)*INDEX(其他调用!Z$5:Z$404,MATCH($K194,其他调用!$X$5:$X$404,0),0)</f>
        <v>40961.670022090773</v>
      </c>
      <c r="AK194" s="12">
        <f>MIN(INDEX(其他调用!$AK$5:$AK$364,MATCH($K194,其他调用!$AG$5:$AG$364,0),1)/INDEX(其他调用!AJ$5:AJ$364,MATCH($K194,其他调用!$AG$5:$AG$364,0),0),1)*INDEX(其他调用!AA$5:AA$404,MATCH($K194,其他调用!$X$5:$X$404,0),0)</f>
        <v>42478.861406924378</v>
      </c>
      <c r="AL194" s="12">
        <f>MIN(INDEX(其他调用!$AK$5:$AK$364,MATCH($K194,其他调用!$AG$5:$AG$364,0),1)/INDEX(其他调用!AK$5:AK$364,MATCH($K194,其他调用!$AG$5:$AG$364,0),0),1)*INDEX(其他调用!AB$5:AB$404,MATCH($K194,其他调用!$X$5:$X$404,0),0)</f>
        <v>44667.790614654048</v>
      </c>
      <c r="AM194" s="12">
        <f>MIN(INDEX(其他调用!$AK$5:$AK$364,MATCH($K194,其他调用!$AG$5:$AG$364,0),1)/INDEX(其他调用!AL$5:AL$364,MATCH($K194,其他调用!$AG$5:$AG$364,0),0),1)*INDEX(其他调用!AC$5:AC$404,MATCH($K194,其他调用!$X$5:$X$404,0),0)</f>
        <v>18969.030418726037</v>
      </c>
      <c r="AN194" s="12">
        <f>求节点(节奏总纲!D$4:D$163,标准城池设计!AF$4:AF$163,$K194)*求节点(节奏总纲!D$4:D$163,攻城基础信息!$AG$5:$AG$164,$K194)</f>
        <v>898923.3899317584</v>
      </c>
      <c r="AO194" s="12">
        <f>INDEX(其他调用!$AA$5:$AA$404,MATCH($K194,其他调用!$X$5:$X$404,0))*MIN(INDEX(其他调用!AL$5:AL$364,MATCH($K194,其他调用!$AG$5:$AG$364,0),1)/INDEX(其他调用!$AJ$5:$AJ$364,MATCH($K194,其他调用!$AG$5:$AG$364,0),0),5)*求节点(节奏总纲!D$4:D$163,攻城基础信息!$AG$5:$AG$164,$K194)</f>
        <v>712874.76692361606</v>
      </c>
      <c r="AP194" s="12">
        <f>MIN(INDEX(其他调用!$AL$5:$AL$364,MATCH($K194,其他调用!$AG$5:$AG$364,0),1)/INDEX(其他调用!AH$5:AH$364,MATCH($K194,其他调用!$AG$5:$AG$364,0),0),1)*INDEX(其他调用!Y$5:Y$404,MATCH($K194,其他调用!$X$5:$X$404,0),0)</f>
        <v>39806.377865354851</v>
      </c>
      <c r="AQ194" s="12">
        <f>MIN(INDEX(其他调用!$AL$5:$AL$364,MATCH($K194,其他调用!$AG$5:$AG$364,0),1)/INDEX(其他调用!AI$5:AI$364,MATCH($K194,其他调用!$AG$5:$AG$364,0),0),1)*INDEX(其他调用!Z$5:Z$404,MATCH($K194,其他调用!$X$5:$X$404,0),0)</f>
        <v>40961.670022090773</v>
      </c>
      <c r="AR194" s="12">
        <f>MIN(INDEX(其他调用!$AL$5:$AL$364,MATCH($K194,其他调用!$AG$5:$AG$364,0),1)/INDEX(其他调用!AJ$5:AJ$364,MATCH($K194,其他调用!$AG$5:$AG$364,0),0),1)*INDEX(其他调用!AA$5:AA$404,MATCH($K194,其他调用!$X$5:$X$404,0),0)</f>
        <v>42478.861406924378</v>
      </c>
      <c r="AS194" s="12">
        <f>MIN(INDEX(其他调用!$AL$5:$AL$364,MATCH($K194,其他调用!$AG$5:$AG$364,0),1)/INDEX(其他调用!AK$5:AK$364,MATCH($K194,其他调用!$AG$5:$AG$364,0),0),1)*INDEX(其他调用!AB$5:AB$404,MATCH($K194,其他调用!$X$5:$X$404,0),0)</f>
        <v>44667.790614654048</v>
      </c>
      <c r="AT194" s="12">
        <f>MIN(INDEX(其他调用!$AL$5:$AL$364,MATCH($K194,其他调用!$AG$5:$AG$364,0),1)/INDEX(其他调用!AL$5:AL$364,MATCH($K194,其他调用!$AG$5:$AG$364,0),0),1)*INDEX(其他调用!AC$5:AC$404,MATCH($K194,其他调用!$X$5:$X$404,0),0)</f>
        <v>48625.303152206121</v>
      </c>
      <c r="AV194" s="14">
        <f>IF(OR(AV$5="大R",AV$5="超R"),MAX(INDEX(其他调用!$H$5:$L$404,MATCH($K194,其他调用!$B$5:$B$404,0),MATCH(AV$5,其他调用!$H$4:$L$4,0))*120*0.85,2),INDEX(其他调用!$H$5:$L$404,MATCH($K194,其他调用!$B$5:$B$404,0),MATCH(AV$5,其他调用!$H$4:$L$4,0))*120*0.85)</f>
        <v>48.921801254999991</v>
      </c>
      <c r="AW194" s="14">
        <f>IF(OR(AW$5="大R",AW$5="超R"),MAX(INDEX(其他调用!$H$5:$L$404,MATCH($K194,其他调用!$B$5:$B$404,0),MATCH(AW$5,其他调用!$H$4:$L$4,0))*120*0.85,2),INDEX(其他调用!$H$5:$L$404,MATCH($K194,其他调用!$B$5:$B$404,0),MATCH(AW$5,其他调用!$H$4:$L$4,0))*120*0.85)</f>
        <v>48.237344010638395</v>
      </c>
      <c r="AX194" s="14">
        <f>IF(OR(AX$5="大R",AX$5="超R"),MAX(INDEX(其他调用!$H$5:$L$404,MATCH($K194,其他调用!$B$5:$B$404,0),MATCH(AX$5,其他调用!$H$4:$L$4,0))*120*0.85,2),INDEX(其他调用!$H$5:$L$404,MATCH($K194,其他调用!$B$5:$B$404,0),MATCH(AX$5,其他调用!$H$4:$L$4,0))*120*0.85)</f>
        <v>3.9376284143615998</v>
      </c>
      <c r="AY194" s="14">
        <f>IF(OR(AY$5="大R",AY$5="超R"),MAX(INDEX(其他调用!$H$5:$L$404,MATCH($K194,其他调用!$B$5:$B$404,0),MATCH(AY$5,其他调用!$H$4:$L$4,0))*120*0.85,2),INDEX(其他调用!$H$5:$L$404,MATCH($K194,其他调用!$B$5:$B$404,0),MATCH(AY$5,其他调用!$H$4:$L$4,0))*120*0.85)</f>
        <v>2</v>
      </c>
      <c r="AZ194" s="14">
        <f>IF(OR(AZ$5="大R",AZ$5="超R"),MAX(INDEX(其他调用!$H$5:$L$404,MATCH($K194,其他调用!$B$5:$B$404,0),MATCH(AZ$5,其他调用!$H$4:$L$4,0))*120*0.85,2),INDEX(其他调用!$H$5:$L$404,MATCH($K194,其他调用!$B$5:$B$404,0),MATCH(AZ$5,其他调用!$H$4:$L$4,0))*120*0.85)</f>
        <v>2</v>
      </c>
      <c r="BA194" s="14">
        <f>INDEX(其他调用!$H$5:$L$404,MATCH($K194,其他调用!$B$5:$B$404,0),MATCH(BA$5,其他调用!$H$4:$L$4,0))*INDEX(其他调用!$M$5:$M$404,MATCH($K194,其他调用!$B$5:$B$404,0))*0.6</f>
        <v>28.777530149999997</v>
      </c>
      <c r="BB194" s="14">
        <f>INDEX(其他调用!$H$5:$L$404,MATCH($K194,其他调用!$B$5:$B$404,0),MATCH(BB$5,其他调用!$H$4:$L$4,0))*INDEX(其他调用!$M$5:$M$404,MATCH($K194,其他调用!$B$5:$B$404,0))*0.6</f>
        <v>28.374908241551999</v>
      </c>
      <c r="BC194" s="14">
        <f>INDEX(其他调用!$H$5:$L$404,MATCH($K194,其他调用!$B$5:$B$404,0),MATCH(BC$5,其他调用!$H$4:$L$4,0))*INDEX(其他调用!$M$5:$M$404,MATCH($K194,其他调用!$B$5:$B$404,0))*0.6</f>
        <v>2.3162520084480001</v>
      </c>
      <c r="BD194" s="14">
        <f>INDEX(其他调用!$H$5:$L$404,MATCH($K194,其他调用!$B$5:$B$404,0),MATCH(BD$5,其他调用!$H$4:$L$4,0))*INDEX(其他调用!$M$5:$M$404,MATCH($K194,其他调用!$B$5:$B$404,0))*0.6</f>
        <v>0.4120776000000001</v>
      </c>
      <c r="BE194" s="14">
        <f>INDEX(其他调用!$H$5:$L$404,MATCH($K194,其他调用!$B$5:$B$404,0),MATCH(BE$5,其他调用!$H$4:$L$4,0))*INDEX(其他调用!$M$5:$M$404,MATCH($K194,其他调用!$B$5:$B$404,0))*0.6</f>
        <v>0.11923199999999998</v>
      </c>
      <c r="BF194" s="14">
        <f>IF(OR(BF$5="大R",BF$5="超R"),0,INDEX(其他调用!$H$5:$L$404,MATCH($K194,其他调用!$B$5:$B$404,0),MATCH(BF$5,其他调用!$H$4:$L$4,0))*50*0.4)</f>
        <v>9.5925100500000013</v>
      </c>
      <c r="BG194" s="14">
        <f>IF(OR(BG$5="大R",BG$5="超R"),0,INDEX(其他调用!$H$5:$L$404,MATCH($K194,其他调用!$B$5:$B$404,0),MATCH(BG$5,其他调用!$H$4:$L$4,0))*50*0.4)</f>
        <v>9.4583027471839998</v>
      </c>
      <c r="BH194" s="14">
        <f>IF(OR(BH$5="大R",BH$5="超R"),0,INDEX(其他调用!$H$5:$L$404,MATCH($K194,其他调用!$B$5:$B$404,0),MATCH(BH$5,其他调用!$H$4:$L$4,0))*50*0.4)</f>
        <v>0.77208400281600009</v>
      </c>
      <c r="BI194" s="14">
        <f>IF(OR(BI$5="大R",BI$5="超R"),0,INDEX(其他调用!$H$5:$L$404,MATCH($K194,其他调用!$B$5:$B$404,0),MATCH(BI$5,其他调用!$H$4:$L$4,0))*50*0.4)</f>
        <v>0</v>
      </c>
      <c r="BJ194" s="14">
        <f>IF(OR(BJ$5="大R",BJ$5="超R"),0,INDEX(其他调用!$H$5:$L$404,MATCH($K194,其他调用!$B$5:$B$404,0),MATCH(BJ$5,其他调用!$H$4:$L$4,0))*50*0.4)</f>
        <v>0</v>
      </c>
      <c r="BL194" s="14">
        <f t="shared" si="313"/>
        <v>189</v>
      </c>
      <c r="BM194" s="14">
        <f t="shared" si="220"/>
        <v>96</v>
      </c>
      <c r="BN194" s="14">
        <f>('疲劳值&amp;地图信息'!$S$10*'疲劳值&amp;地图信息'!$R$10+'疲劳值&amp;地图信息'!$S$11*'疲劳值&amp;地图信息'!$R$11+'疲劳值&amp;地图信息'!$S$12*'疲劳值&amp;地图信息'!$R$12+(BM194-'疲劳值&amp;地图信息'!$S$12-'疲劳值&amp;地图信息'!$S$11-'疲劳值&amp;地图信息'!$S$10)*'疲劳值&amp;地图信息'!$R$13)/BM194</f>
        <v>51.371477246638619</v>
      </c>
      <c r="BO194" s="14">
        <f>INDEX(其他调用!$M$5:$M$404,MATCH(BL194,其他调用!$B$5:$B$404,0))*0.6</f>
        <v>60</v>
      </c>
      <c r="BP194" s="14">
        <f>IF(BO194&gt;SUM('疲劳值&amp;地图信息'!$S$10:$S$12),('疲劳值&amp;地图信息'!$S$10*'疲劳值&amp;地图信息'!$R$10+'疲劳值&amp;地图信息'!$S$11*'疲劳值&amp;地图信息'!$R$11+'疲劳值&amp;地图信息'!$S$12*'疲劳值&amp;地图信息'!$R$12+(BO194-'疲劳值&amp;地图信息'!$S$12-'疲劳值&amp;地图信息'!$S$11-'疲劳值&amp;地图信息'!$S$10)*'疲劳值&amp;地图信息'!$R$13)/BO194,('疲劳值&amp;地图信息'!$S$10*'疲劳值&amp;地图信息'!$R$10+'疲劳值&amp;地图信息'!$S$11*'疲劳值&amp;地图信息'!$R$11+'疲劳值&amp;地图信息'!$S$12*'疲劳值&amp;地图信息'!$R$12+(BO194-'疲劳值&amp;地图信息'!$S$12-'疲劳值&amp;地图信息'!$S$11-'疲劳值&amp;地图信息'!$S$10)*'疲劳值&amp;地图信息'!$R$13)/BO194)</f>
        <v>44.158136341605953</v>
      </c>
      <c r="BQ194" s="14">
        <f t="shared" si="314"/>
        <v>20</v>
      </c>
      <c r="BR194" s="14">
        <f>('疲劳值&amp;地图信息'!$S$10*'疲劳值&amp;地图信息'!$R$10+($BQ194-'疲劳值&amp;地图信息'!$S$10)*'疲劳值&amp;地图信息'!$R$11)/$BQ194</f>
        <v>32.067203015074995</v>
      </c>
      <c r="CF194" s="14">
        <v>189</v>
      </c>
      <c r="CG194" s="51">
        <f t="shared" si="221"/>
        <v>13049</v>
      </c>
      <c r="CH194" s="51">
        <f t="shared" si="222"/>
        <v>1026</v>
      </c>
      <c r="CI194" s="51">
        <f>INT(SUMPRODUCT($N194:$R194,$BA194:$BE194)/SUM($BA194:$BE194)/10000*$BX$7*$BZ$34/'疲劳值&amp;地图信息'!$R$10*$BY$53)</f>
        <v>3213</v>
      </c>
      <c r="CJ194" s="50">
        <f t="shared" si="223"/>
        <v>0.75480101804720034</v>
      </c>
      <c r="CK194" s="50">
        <f t="shared" si="224"/>
        <v>5.9347524294308188E-2</v>
      </c>
      <c r="CL194" s="50">
        <f t="shared" si="225"/>
        <v>0.18585145765849143</v>
      </c>
      <c r="CM194" s="14">
        <f t="shared" si="226"/>
        <v>13889</v>
      </c>
      <c r="CN194" s="14">
        <f t="shared" si="227"/>
        <v>1664</v>
      </c>
      <c r="CO194" s="14">
        <f>INT(SUMPRODUCT($U194:$Y194,$BA194:$BE194)/SUM($BA194:$BE194)/10000*$BX$7*$BZ$34/'疲劳值&amp;地图信息'!$R$10*$BY$54)</f>
        <v>6007</v>
      </c>
      <c r="CP194" s="50">
        <f t="shared" si="228"/>
        <v>0.64420222634508351</v>
      </c>
      <c r="CQ194" s="50">
        <f t="shared" si="229"/>
        <v>7.717996289424861E-2</v>
      </c>
      <c r="CR194" s="50">
        <f t="shared" si="230"/>
        <v>0.27861781076066788</v>
      </c>
      <c r="CS194" s="14">
        <f t="shared" si="231"/>
        <v>14851</v>
      </c>
      <c r="CT194" s="14">
        <f t="shared" si="232"/>
        <v>2905</v>
      </c>
      <c r="CU194" s="14">
        <f>INT(SUMPRODUCT($AB194:$AF194,$BA194:$BE194)/SUM($BA194:$BE194)/10000*$BX$7*$BZ$34/'疲劳值&amp;地图信息'!$R$10*$BY$55)</f>
        <v>8162</v>
      </c>
      <c r="CV194" s="50">
        <f t="shared" si="233"/>
        <v>0.57299945983486378</v>
      </c>
      <c r="CW194" s="50">
        <f t="shared" si="234"/>
        <v>0.11208426576124701</v>
      </c>
      <c r="CX194" s="50">
        <f t="shared" si="235"/>
        <v>0.3149162744038892</v>
      </c>
      <c r="CY194" s="14">
        <f t="shared" si="236"/>
        <v>17758</v>
      </c>
      <c r="CZ194" s="14">
        <f t="shared" si="237"/>
        <v>8367</v>
      </c>
      <c r="DA194" s="14">
        <f>INT(SUMPRODUCT($AI194:$AM194,$BA194:$BE194)/SUM($BA194:$BE194)/10000*$BX$7*$BZ$34/'疲劳值&amp;地图信息'!$R$10*$BY$56)</f>
        <v>12312</v>
      </c>
      <c r="DB194" s="50">
        <f t="shared" si="238"/>
        <v>0.46200275775945054</v>
      </c>
      <c r="DC194" s="50">
        <f t="shared" si="239"/>
        <v>0.21768088040169628</v>
      </c>
      <c r="DD194" s="50">
        <f t="shared" si="240"/>
        <v>0.3203163618388532</v>
      </c>
      <c r="DE194" s="14">
        <f t="shared" si="241"/>
        <v>18321</v>
      </c>
      <c r="DF194" s="14">
        <f t="shared" si="242"/>
        <v>14529</v>
      </c>
      <c r="DG194" s="14">
        <f>INT(SUMPRODUCT($AP194:$AT194,$BA194:$BE194)/SUM($BA194:$BE194)/10000*$BX$7*$BZ$34/'疲劳值&amp;地图信息'!$R$10*$BY$57)</f>
        <v>16440</v>
      </c>
      <c r="DH194" s="50">
        <f t="shared" si="243"/>
        <v>0.37169811320754714</v>
      </c>
      <c r="DI194" s="50">
        <f t="shared" si="244"/>
        <v>0.29476567255021302</v>
      </c>
      <c r="DJ194" s="50">
        <f t="shared" si="245"/>
        <v>0.33353621424223978</v>
      </c>
      <c r="DL194" s="14">
        <f t="shared" si="316"/>
        <v>17288</v>
      </c>
      <c r="DM194" s="14">
        <f t="shared" si="317"/>
        <v>21560</v>
      </c>
      <c r="DN194" s="14">
        <f t="shared" si="318"/>
        <v>25918</v>
      </c>
      <c r="DO194" s="14">
        <f t="shared" si="319"/>
        <v>38437</v>
      </c>
      <c r="DP194" s="14">
        <f t="shared" si="320"/>
        <v>49290</v>
      </c>
      <c r="DQ194" s="14">
        <f t="shared" si="321"/>
        <v>1191017</v>
      </c>
      <c r="DT194" s="14">
        <f t="shared" si="315"/>
        <v>235575</v>
      </c>
      <c r="DU194" s="50">
        <f t="shared" si="217"/>
        <v>0.16513130593750702</v>
      </c>
      <c r="DW194" s="14">
        <f t="shared" si="246"/>
        <v>1426592</v>
      </c>
      <c r="EB194" s="14">
        <v>189</v>
      </c>
      <c r="EC194" s="51">
        <f t="shared" si="247"/>
        <v>21748</v>
      </c>
      <c r="ED194" s="51">
        <f t="shared" si="248"/>
        <v>1711</v>
      </c>
      <c r="EE194" s="51">
        <f>INT(SUMPRODUCT($N194:$R194,$BF194:$BJ194)/SUM($BF194:$BJ194)/10000*$BX$7*$BZ$46/'疲劳值&amp;地图信息'!$R$10*$BY$53)</f>
        <v>431</v>
      </c>
      <c r="EF194" s="50">
        <f t="shared" si="249"/>
        <v>0.91033905399748849</v>
      </c>
      <c r="EG194" s="50">
        <f t="shared" si="250"/>
        <v>7.1619924654667225E-2</v>
      </c>
      <c r="EH194" s="50">
        <f t="shared" si="251"/>
        <v>1.8041021347844285E-2</v>
      </c>
      <c r="EI194" s="51">
        <f t="shared" si="252"/>
        <v>23149</v>
      </c>
      <c r="EJ194" s="51">
        <f t="shared" si="253"/>
        <v>2773</v>
      </c>
      <c r="EK194" s="14">
        <f>INT(SUMPRODUCT($U194:$Y194,$BF194:$BJ194)/SUM($BF194:$BJ194)/10000*$BX$7*$BZ$46/'疲劳值&amp;地图信息'!$R$10*$BY$54)</f>
        <v>806</v>
      </c>
      <c r="EL194" s="50">
        <f t="shared" si="254"/>
        <v>0.86609548039509132</v>
      </c>
      <c r="EM194" s="50">
        <f t="shared" si="255"/>
        <v>0.10374887758156241</v>
      </c>
      <c r="EN194" s="50">
        <f t="shared" si="256"/>
        <v>3.0155642023346304E-2</v>
      </c>
      <c r="EO194" s="51">
        <f t="shared" si="257"/>
        <v>24753</v>
      </c>
      <c r="EP194" s="51">
        <f t="shared" si="258"/>
        <v>4843</v>
      </c>
      <c r="EQ194" s="14">
        <f>INT(SUMPRODUCT($AB194:$AF194,$BF194:$BJ194)/SUM($BF194:$BJ194)/10000*$BX$7*$BZ$46/'疲劳值&amp;地图信息'!$R$10*$BY$55)</f>
        <v>1094</v>
      </c>
      <c r="ER194" s="50">
        <f t="shared" si="259"/>
        <v>0.80654936461388071</v>
      </c>
      <c r="ES194" s="50">
        <f t="shared" si="260"/>
        <v>0.15780384490061911</v>
      </c>
      <c r="ET194" s="50">
        <f t="shared" si="261"/>
        <v>3.5646790485500165E-2</v>
      </c>
      <c r="EU194" s="51">
        <f t="shared" si="262"/>
        <v>29596</v>
      </c>
      <c r="EV194" s="51">
        <f t="shared" si="263"/>
        <v>13946</v>
      </c>
      <c r="EW194" s="14">
        <f>INT(SUMPRODUCT($AI194:$AM194,$BF194:$BJ194)/SUM($BF194:$BJ194)/10000*$BX$7*$BZ$46/'疲劳值&amp;地图信息'!$R$10*$BY$56)</f>
        <v>1642</v>
      </c>
      <c r="EX194" s="50">
        <f t="shared" si="264"/>
        <v>0.6550106232294618</v>
      </c>
      <c r="EY194" s="50">
        <f t="shared" si="265"/>
        <v>0.30864907932011332</v>
      </c>
      <c r="EZ194" s="50">
        <f t="shared" si="266"/>
        <v>3.6340297450424927E-2</v>
      </c>
      <c r="FA194" s="51">
        <f t="shared" si="267"/>
        <v>30535</v>
      </c>
      <c r="FB194" s="51">
        <f t="shared" si="268"/>
        <v>24215</v>
      </c>
      <c r="FC194" s="14">
        <f>INT(SUMPRODUCT($AP194:$AT194,$BF194:$BJ194)/SUM($BF194:$BJ194)/10000*$BX$7*$BZ$46/'疲劳值&amp;地图信息'!$R$10*$BY$57)</f>
        <v>2189</v>
      </c>
      <c r="FD194" s="50">
        <f t="shared" si="269"/>
        <v>0.53627566342928401</v>
      </c>
      <c r="FE194" s="50">
        <f t="shared" si="270"/>
        <v>0.42527968527722648</v>
      </c>
      <c r="FF194" s="50">
        <f t="shared" si="271"/>
        <v>3.8444651293489521E-2</v>
      </c>
      <c r="FH194" s="14">
        <f t="shared" si="272"/>
        <v>23890</v>
      </c>
      <c r="FI194" s="14">
        <f t="shared" si="273"/>
        <v>26728</v>
      </c>
      <c r="FJ194" s="14">
        <f t="shared" si="274"/>
        <v>30690</v>
      </c>
      <c r="FK194" s="14">
        <f t="shared" si="275"/>
        <v>45184</v>
      </c>
      <c r="FL194" s="14">
        <f t="shared" si="276"/>
        <v>56939</v>
      </c>
      <c r="FM194" s="14">
        <f t="shared" si="277"/>
        <v>2783121</v>
      </c>
      <c r="FP194" s="14">
        <f t="shared" si="278"/>
        <v>334150</v>
      </c>
      <c r="FQ194" s="50">
        <f t="shared" si="218"/>
        <v>0.10719311859636201</v>
      </c>
      <c r="FS194" s="14">
        <f t="shared" si="279"/>
        <v>3117271</v>
      </c>
      <c r="FX194" s="14">
        <v>189</v>
      </c>
      <c r="FY194" s="51">
        <f t="shared" si="280"/>
        <v>30448</v>
      </c>
      <c r="FZ194" s="51">
        <f t="shared" si="281"/>
        <v>1711</v>
      </c>
      <c r="GA194" s="51">
        <f>INT(SUMPRODUCT($N194:$R194,$BF194:$BJ194)/SUM($BF194:$BJ194)/10000*$BX$7*$BZ$46/'疲劳值&amp;地图信息'!$R$10*$BY$53)</f>
        <v>431</v>
      </c>
      <c r="GB194" s="50">
        <f t="shared" si="282"/>
        <v>0.9342743172752378</v>
      </c>
      <c r="GC194" s="50">
        <f t="shared" si="283"/>
        <v>5.2500767106474382E-2</v>
      </c>
      <c r="GD194" s="50">
        <f t="shared" si="284"/>
        <v>1.3224915618287819E-2</v>
      </c>
      <c r="GE194" s="51">
        <f t="shared" si="285"/>
        <v>32408</v>
      </c>
      <c r="GF194" s="51">
        <f t="shared" si="286"/>
        <v>2773</v>
      </c>
      <c r="GG194" s="14">
        <f>INT(SUMPRODUCT($U194:$Y194,$BF194:$BJ194)/SUM($BF194:$BJ194)/10000*$BX$7*$BZ$46/'疲劳值&amp;地图信息'!$R$10*$BY$54)</f>
        <v>806</v>
      </c>
      <c r="GH194" s="50">
        <f t="shared" si="287"/>
        <v>0.90054741990163112</v>
      </c>
      <c r="GI194" s="50">
        <f t="shared" si="288"/>
        <v>7.705560341234334E-2</v>
      </c>
      <c r="GJ194" s="50">
        <f t="shared" si="289"/>
        <v>2.239697668602551E-2</v>
      </c>
      <c r="GK194" s="51">
        <f t="shared" si="290"/>
        <v>34654</v>
      </c>
      <c r="GL194" s="51">
        <f t="shared" si="291"/>
        <v>4843</v>
      </c>
      <c r="GM194" s="14">
        <f>INT(SUMPRODUCT($AB194:$AF194,$BF194:$BJ194)/SUM($BF194:$BJ194)/10000*$BX$7*$BZ$46/'疲劳值&amp;地图信息'!$R$10*$BY$55)</f>
        <v>1094</v>
      </c>
      <c r="GN194" s="50">
        <f t="shared" si="292"/>
        <v>0.85373604986327023</v>
      </c>
      <c r="GO194" s="50">
        <f t="shared" si="293"/>
        <v>0.11931216279470819</v>
      </c>
      <c r="GP194" s="50">
        <f t="shared" si="294"/>
        <v>2.6951787342021631E-2</v>
      </c>
      <c r="GQ194" s="51">
        <f t="shared" si="295"/>
        <v>41435</v>
      </c>
      <c r="GR194" s="51">
        <f t="shared" si="296"/>
        <v>13946</v>
      </c>
      <c r="GS194" s="14">
        <f>INT(SUMPRODUCT($AI194:$AM194,$BF194:$BJ194)/SUM($BF194:$BJ194)/10000*$BX$7*$BZ$46/'疲劳值&amp;地图信息'!$R$10*$BY$56)</f>
        <v>1642</v>
      </c>
      <c r="GT194" s="50">
        <f t="shared" si="297"/>
        <v>0.72663662031110254</v>
      </c>
      <c r="GU194" s="50">
        <f t="shared" si="298"/>
        <v>0.24456798134086247</v>
      </c>
      <c r="GV194" s="50">
        <f t="shared" si="299"/>
        <v>2.8795398348035003E-2</v>
      </c>
      <c r="GW194" s="51">
        <f t="shared" si="300"/>
        <v>42749</v>
      </c>
      <c r="GX194" s="51">
        <f t="shared" si="301"/>
        <v>24215</v>
      </c>
      <c r="GY194" s="14">
        <f>INT(SUMPRODUCT($AP194:$AT194,$BF194:$BJ194)/SUM($BF194:$BJ194)/10000*$BX$7*$BZ$46/'疲劳值&amp;地图信息'!$R$10*$BY$57)</f>
        <v>2189</v>
      </c>
      <c r="GZ194" s="50">
        <f t="shared" si="302"/>
        <v>0.61817997773053956</v>
      </c>
      <c r="HA194" s="50">
        <f t="shared" si="303"/>
        <v>0.35016557488467603</v>
      </c>
      <c r="HB194" s="50">
        <f t="shared" si="304"/>
        <v>3.1654447384784463E-2</v>
      </c>
      <c r="HD194" s="14">
        <f t="shared" si="305"/>
        <v>32590</v>
      </c>
      <c r="HE194" s="14">
        <f t="shared" si="306"/>
        <v>35987</v>
      </c>
      <c r="HF194" s="14">
        <f t="shared" si="307"/>
        <v>40591</v>
      </c>
      <c r="HG194" s="14">
        <f t="shared" si="308"/>
        <v>57023</v>
      </c>
      <c r="HH194" s="14">
        <f t="shared" si="309"/>
        <v>69153</v>
      </c>
      <c r="HI194" s="14">
        <f t="shared" si="310"/>
        <v>3742463</v>
      </c>
      <c r="HL194" s="14">
        <f t="shared" si="311"/>
        <v>430050</v>
      </c>
      <c r="HM194" s="50">
        <f t="shared" si="219"/>
        <v>0.10306738409203278</v>
      </c>
      <c r="HO194" s="14">
        <f t="shared" si="312"/>
        <v>4172513</v>
      </c>
    </row>
    <row r="195" spans="11:223" x14ac:dyDescent="0.2">
      <c r="K195" s="14">
        <v>190</v>
      </c>
      <c r="L195" s="12">
        <f>求节点(节奏总纲!D$4:D$163,标准城池设计!AB$4:AB$163,$K195)*求节点(节奏总纲!D$4:D$163,攻城基础信息!$AC$5:$AC$164,$K195)</f>
        <v>641738.5715323746</v>
      </c>
      <c r="M195" s="12">
        <f>INDEX(其他调用!$AA$5:$AA$404,MATCH(K195,其他调用!$X$5:$X$404,0))*MIN(INDEX(其他调用!$AH$5:$AH$364,MATCH('征服点（新）'!K195,其他调用!$AG$5:$AG$364,0),1)/INDEX(其他调用!$AJ$5:$AJ$364,MATCH(K195,其他调用!$AG$5:$AG$364,0),0),5)*求节点(节奏总纲!D$4:D$163,攻城基础信息!$AC$5:$AC$164,$K195)</f>
        <v>50496.921286394856</v>
      </c>
      <c r="N195" s="12">
        <f>MIN(INDEX(其他调用!$AH$5:$AH$364,MATCH($K195,其他调用!$AG$5:$AG$364,0),1)/INDEX(其他调用!AH$5:AH$364,MATCH($K195,其他调用!$AG$5:$AG$364,0),0),1)*INDEX(其他调用!Y$5:Y$404,MATCH($K195,其他调用!$X$5:$X$404,0),0)</f>
        <v>39836.483828903496</v>
      </c>
      <c r="O195" s="12">
        <f>MIN(INDEX(其他调用!$AH$5:$AH$364,MATCH($K195,其他调用!$AG$5:$AG$364,0),1)/INDEX(其他调用!AI$5:AI$364,MATCH($K195,其他调用!$AG$5:$AG$364,0),0),1)*INDEX(其他调用!Z$5:Z$404,MATCH($K195,其他调用!$X$5:$X$404,0),0)</f>
        <v>25327.089887960385</v>
      </c>
      <c r="P195" s="12">
        <f>MIN(INDEX(其他调用!$AH$5:$AH$364,MATCH($K195,其他调用!$AG$5:$AG$364,0),1)/INDEX(其他调用!AJ$5:AJ$364,MATCH($K195,其他调用!$AG$5:$AG$364,0),0),1)*INDEX(其他调用!AA$5:AA$404,MATCH($K195,其他调用!$X$5:$X$404,0),0)</f>
        <v>15033.589345129019</v>
      </c>
      <c r="Q195" s="12">
        <f>MIN(INDEX(其他调用!$AH$5:$AH$364,MATCH($K195,其他调用!$AG$5:$AG$364,0),1)/INDEX(其他调用!AK$5:AK$364,MATCH($K195,其他调用!$AG$5:$AG$364,0),0),1)*INDEX(其他调用!AB$5:AB$404,MATCH($K195,其他调用!$X$5:$X$404,0),0)</f>
        <v>5489.4799661046291</v>
      </c>
      <c r="R195" s="12">
        <f>MIN(INDEX(其他调用!$AH$5:$AH$364,MATCH($K195,其他调用!$AG$5:$AG$364,0),1)/INDEX(其他调用!AL$5:AL$364,MATCH($K195,其他调用!$AG$5:$AG$364,0),0),1)*INDEX(其他调用!AC$5:AC$404,MATCH($K195,其他调用!$X$5:$X$404,0),0)</f>
        <v>2340.6089488057387</v>
      </c>
      <c r="S195" s="12">
        <f>求节点(节奏总纲!D$4:D$163,标准城池设计!AC$4:AC$163,$K195)*求节点(节奏总纲!D$4:D$163,攻城基础信息!$AD$5:$AD$164,$K195)</f>
        <v>683056.56400152098</v>
      </c>
      <c r="T195" s="12">
        <f>INDEX(其他调用!$AA$5:$AA$404,MATCH($K195,其他调用!$X$5:$X$404,0))*MIN(INDEX(其他调用!AI$5:AI$364,MATCH($K195,其他调用!$AG$5:$AG$364,0),1)/INDEX(其他调用!$AJ$5:$AJ$364,MATCH($K195,其他调用!$AG$5:$AG$364,0),0),5)*求节点(节奏总纲!D$4:D$163,攻城基础信息!$AD$5:$AD$164,$K195)</f>
        <v>81732.321723540706</v>
      </c>
      <c r="U195" s="12">
        <f>MIN(INDEX(其他调用!$AI$5:$AI$364,MATCH($K195,其他调用!$AG$5:$AG$364,0),1)/INDEX(其他调用!AH$5:AH$364,MATCH($K195,其他调用!$AG$5:$AG$364,0),0),1)*INDEX(其他调用!Y$5:Y$404,MATCH($K195,其他调用!$X$5:$X$404,0),0)</f>
        <v>39836.483828903496</v>
      </c>
      <c r="V195" s="12">
        <f>MIN(INDEX(其他调用!$AI$5:$AI$364,MATCH($K195,其他调用!$AG$5:$AG$364,0),1)/INDEX(其他调用!AI$5:AI$364,MATCH($K195,其他调用!$AG$5:$AG$364,0),0),1)*INDEX(其他调用!Z$5:Z$404,MATCH($K195,其他调用!$X$5:$X$404,0),0)</f>
        <v>40993.427050799917</v>
      </c>
      <c r="W195" s="12">
        <f>MIN(INDEX(其他调用!$AI$5:$AI$364,MATCH($K195,其他调用!$AG$5:$AG$364,0),1)/INDEX(其他调用!AJ$5:AJ$364,MATCH($K195,其他调用!$AG$5:$AG$364,0),0),1)*INDEX(其他调用!AA$5:AA$404,MATCH($K195,其他调用!$X$5:$X$404,0),0)</f>
        <v>24332.773755589918</v>
      </c>
      <c r="X195" s="12">
        <f>MIN(INDEX(其他调用!$AI$5:$AI$364,MATCH($K195,其他调用!$AG$5:$AG$364,0),1)/INDEX(其他调用!AK$5:AK$364,MATCH($K195,其他调用!$AG$5:$AG$364,0),0),1)*INDEX(其他调用!AB$5:AB$404,MATCH($K195,其他调用!$X$5:$X$404,0),0)</f>
        <v>8885.0553906041278</v>
      </c>
      <c r="Y195" s="12">
        <f>MIN(INDEX(其他调用!$AI$5:$AI$364,MATCH($K195,其他调用!$AG$5:$AG$364,0),1)/INDEX(其他调用!AL$5:AL$364,MATCH($K195,其他调用!$AG$5:$AG$364,0),0),1)*INDEX(其他调用!AC$5:AC$404,MATCH($K195,其他调用!$X$5:$X$404,0),0)</f>
        <v>3788.4171699855883</v>
      </c>
      <c r="Z195" s="12">
        <f>求节点(节奏总纲!D$4:D$163,标准城池设计!AD$4:AD$163,$K195)*求节点(节奏总纲!D$4:D$163,攻城基础信息!$AE$5:$AE$164,$K195)</f>
        <v>730959.52396108839</v>
      </c>
      <c r="AA195" s="12">
        <f>INDEX(其他调用!$AA$5:$AA$404,MATCH($K195,其他调用!$X$5:$X$404,0))*MIN(INDEX(其他调用!AJ$5:AJ$364,MATCH($K195,其他调用!$AG$5:$AG$364,0),1)/INDEX(其他调用!$AJ$5:$AJ$364,MATCH($K195,其他调用!$AG$5:$AG$364,0),0),5)*求节点(节奏总纲!D$4:D$163,攻城基础信息!$AE$5:$AE$164,$K195)</f>
        <v>142791.56766807477</v>
      </c>
      <c r="AB195" s="12">
        <f>MIN(INDEX(其他调用!$AJ$5:$AJ$364,MATCH($K195,其他调用!$AG$5:$AG$364,0),1)/INDEX(其他调用!AH$5:AH$364,MATCH($K195,其他调用!$AG$5:$AG$364,0),0),1)*INDEX(其他调用!Y$5:Y$404,MATCH($K195,其他调用!$X$5:$X$404,0),0)</f>
        <v>39836.483828903496</v>
      </c>
      <c r="AC195" s="12">
        <f>MIN(INDEX(其他调用!$AJ$5:$AJ$364,MATCH($K195,其他调用!$AG$5:$AG$364,0),1)/INDEX(其他调用!AI$5:AI$364,MATCH($K195,其他调用!$AG$5:$AG$364,0),0),1)*INDEX(其他调用!Z$5:Z$404,MATCH($K195,其他调用!$X$5:$X$404,0),0)</f>
        <v>40993.427050799917</v>
      </c>
      <c r="AD195" s="12">
        <f>MIN(INDEX(其他调用!$AJ$5:$AJ$364,MATCH($K195,其他调用!$AG$5:$AG$364,0),1)/INDEX(其他调用!AJ$5:AJ$364,MATCH($K195,其他调用!$AG$5:$AG$364,0),0),1)*INDEX(其他调用!AA$5:AA$404,MATCH($K195,其他调用!$X$5:$X$404,0),0)</f>
        <v>42510.904339972214</v>
      </c>
      <c r="AE195" s="12">
        <f>MIN(INDEX(其他调用!$AJ$5:$AJ$364,MATCH($K195,其他调用!$AG$5:$AG$364,0),1)/INDEX(其他调用!AK$5:AK$364,MATCH($K195,其他调用!$AG$5:$AG$364,0),0),1)*INDEX(其他调用!AB$5:AB$404,MATCH($K195,其他调用!$X$5:$X$404,0),0)</f>
        <v>15522.757231018744</v>
      </c>
      <c r="AF195" s="12">
        <f>MIN(INDEX(其他调用!$AJ$5:$AJ$364,MATCH($K195,其他调用!$AG$5:$AG$364,0),1)/INDEX(其他调用!AL$5:AL$364,MATCH($K195,其他调用!$AG$5:$AG$364,0),0),1)*INDEX(其他调用!AC$5:AC$404,MATCH($K195,其他调用!$X$5:$X$404,0),0)</f>
        <v>6618.6058988103705</v>
      </c>
      <c r="AG195" s="12">
        <f>求节点(节奏总纲!D$4:D$163,标准城池设计!AE$4:AE$163,$K195)*求节点(节奏总纲!D$4:D$163,攻城基础信息!$AF$5:$AF$164,$K195)</f>
        <v>874043.08255647507</v>
      </c>
      <c r="AH195" s="12">
        <f>INDEX(其他调用!$AA$5:$AA$404,MATCH($K195,其他调用!$X$5:$X$404,0))*MIN(INDEX(其他调用!AK$5:AK$364,MATCH($K195,其他调用!$AG$5:$AG$364,0),1)/INDEX(其他调用!$AJ$5:$AJ$364,MATCH($K195,其他调用!$AG$5:$AG$364,0),0),5)*求节点(节奏总纲!D$4:D$163,攻城基础信息!$AF$5:$AF$164,$K195)</f>
        <v>411170.43170192593</v>
      </c>
      <c r="AI195" s="12">
        <f>MIN(INDEX(其他调用!$AK$5:$AK$364,MATCH($K195,其他调用!$AG$5:$AG$364,0),1)/INDEX(其他调用!AH$5:AH$364,MATCH($K195,其他调用!$AG$5:$AG$364,0),0),1)*INDEX(其他调用!Y$5:Y$404,MATCH($K195,其他调用!$X$5:$X$404,0),0)</f>
        <v>39836.483828903496</v>
      </c>
      <c r="AJ195" s="12">
        <f>MIN(INDEX(其他调用!$AK$5:$AK$364,MATCH($K195,其他调用!$AG$5:$AG$364,0),1)/INDEX(其他调用!AI$5:AI$364,MATCH($K195,其他调用!$AG$5:$AG$364,0),0),1)*INDEX(其他调用!Z$5:Z$404,MATCH($K195,其他调用!$X$5:$X$404,0),0)</f>
        <v>40993.427050799917</v>
      </c>
      <c r="AK195" s="12">
        <f>MIN(INDEX(其他调用!$AK$5:$AK$364,MATCH($K195,其他调用!$AG$5:$AG$364,0),1)/INDEX(其他调用!AJ$5:AJ$364,MATCH($K195,其他调用!$AG$5:$AG$364,0),0),1)*INDEX(其他调用!AA$5:AA$404,MATCH($K195,其他调用!$X$5:$X$404,0),0)</f>
        <v>42510.904339972214</v>
      </c>
      <c r="AL195" s="12">
        <f>MIN(INDEX(其他调用!$AK$5:$AK$364,MATCH($K195,其他调用!$AG$5:$AG$364,0),1)/INDEX(其他调用!AK$5:AK$364,MATCH($K195,其他调用!$AG$5:$AG$364,0),0),1)*INDEX(其他调用!AB$5:AB$404,MATCH($K195,其他调用!$X$5:$X$404,0),0)</f>
        <v>44698.009105961813</v>
      </c>
      <c r="AM195" s="12">
        <f>MIN(INDEX(其他调用!$AK$5:$AK$364,MATCH($K195,其他调用!$AG$5:$AG$364,0),1)/INDEX(其他调用!AL$5:AL$364,MATCH($K195,其他调用!$AG$5:$AG$364,0),0),1)*INDEX(其他调用!AC$5:AC$404,MATCH($K195,其他调用!$X$5:$X$404,0),0)</f>
        <v>19058.373607920101</v>
      </c>
      <c r="AN195" s="12">
        <f>求节点(节奏总纲!D$4:D$163,标准城池设计!AF$4:AF$163,$K195)*求节点(节奏总纲!D$4:D$163,攻城基础信息!$AG$5:$AG$164,$K195)</f>
        <v>902255.76756767358</v>
      </c>
      <c r="AO195" s="12">
        <f>INDEX(其他调用!$AA$5:$AA$404,MATCH($K195,其他调用!$X$5:$X$404,0))*MIN(INDEX(其他调用!AL$5:AL$364,MATCH($K195,其他调用!$AG$5:$AG$364,0),1)/INDEX(其他调用!$AJ$5:$AJ$364,MATCH($K195,其他调用!$AG$5:$AG$364,0),0),5)*求节点(节奏总纲!D$4:D$163,攻城基础信息!$AG$5:$AG$164,$K195)</f>
        <v>713957.83834037394</v>
      </c>
      <c r="AP195" s="12">
        <f>MIN(INDEX(其他调用!$AL$5:$AL$364,MATCH($K195,其他调用!$AG$5:$AG$364,0),1)/INDEX(其他调用!AH$5:AH$364,MATCH($K195,其他调用!$AG$5:$AG$364,0),0),1)*INDEX(其他调用!Y$5:Y$404,MATCH($K195,其他调用!$X$5:$X$404,0),0)</f>
        <v>39836.483828903496</v>
      </c>
      <c r="AQ195" s="12">
        <f>MIN(INDEX(其他调用!$AL$5:$AL$364,MATCH($K195,其他调用!$AG$5:$AG$364,0),1)/INDEX(其他调用!AI$5:AI$364,MATCH($K195,其他调用!$AG$5:$AG$364,0),0),1)*INDEX(其他调用!Z$5:Z$404,MATCH($K195,其他调用!$X$5:$X$404,0),0)</f>
        <v>40993.427050799917</v>
      </c>
      <c r="AR195" s="12">
        <f>MIN(INDEX(其他调用!$AL$5:$AL$364,MATCH($K195,其他调用!$AG$5:$AG$364,0),1)/INDEX(其他调用!AJ$5:AJ$364,MATCH($K195,其他调用!$AG$5:$AG$364,0),0),1)*INDEX(其他调用!AA$5:AA$404,MATCH($K195,其他调用!$X$5:$X$404,0),0)</f>
        <v>42510.904339972214</v>
      </c>
      <c r="AS195" s="12">
        <f>MIN(INDEX(其他调用!$AL$5:$AL$364,MATCH($K195,其他调用!$AG$5:$AG$364,0),1)/INDEX(其他调用!AK$5:AK$364,MATCH($K195,其他调用!$AG$5:$AG$364,0),0),1)*INDEX(其他调用!AB$5:AB$404,MATCH($K195,其他调用!$X$5:$X$404,0),0)</f>
        <v>44698.009105961813</v>
      </c>
      <c r="AT195" s="12">
        <f>MIN(INDEX(其他调用!$AL$5:$AL$364,MATCH($K195,其他调用!$AG$5:$AG$364,0),1)/INDEX(其他调用!AL$5:AL$364,MATCH($K195,其他调用!$AG$5:$AG$364,0),0),1)*INDEX(其他调用!AC$5:AC$404,MATCH($K195,其他调用!$X$5:$X$404,0),0)</f>
        <v>48655.908875822788</v>
      </c>
      <c r="AV195" s="14">
        <f>IF(OR(AV$5="大R",AV$5="超R"),MAX(INDEX(其他调用!$H$5:$L$404,MATCH($K195,其他调用!$B$5:$B$404,0),MATCH(AV$5,其他调用!$H$4:$L$4,0))*120*0.85,2),INDEX(其他调用!$H$5:$L$404,MATCH($K195,其他调用!$B$5:$B$404,0),MATCH(AV$5,其他调用!$H$4:$L$4,0))*120*0.85)</f>
        <v>48.921801254999991</v>
      </c>
      <c r="AW195" s="14">
        <f>IF(OR(AW$5="大R",AW$5="超R"),MAX(INDEX(其他调用!$H$5:$L$404,MATCH($K195,其他调用!$B$5:$B$404,0),MATCH(AW$5,其他调用!$H$4:$L$4,0))*120*0.85,2),INDEX(其他调用!$H$5:$L$404,MATCH($K195,其他调用!$B$5:$B$404,0),MATCH(AW$5,其他调用!$H$4:$L$4,0))*120*0.85)</f>
        <v>48.237344010638395</v>
      </c>
      <c r="AX195" s="14">
        <f>IF(OR(AX$5="大R",AX$5="超R"),MAX(INDEX(其他调用!$H$5:$L$404,MATCH($K195,其他调用!$B$5:$B$404,0),MATCH(AX$5,其他调用!$H$4:$L$4,0))*120*0.85,2),INDEX(其他调用!$H$5:$L$404,MATCH($K195,其他调用!$B$5:$B$404,0),MATCH(AX$5,其他调用!$H$4:$L$4,0))*120*0.85)</f>
        <v>3.9376284143615998</v>
      </c>
      <c r="AY195" s="14">
        <f>IF(OR(AY$5="大R",AY$5="超R"),MAX(INDEX(其他调用!$H$5:$L$404,MATCH($K195,其他调用!$B$5:$B$404,0),MATCH(AY$5,其他调用!$H$4:$L$4,0))*120*0.85,2),INDEX(其他调用!$H$5:$L$404,MATCH($K195,其他调用!$B$5:$B$404,0),MATCH(AY$5,其他调用!$H$4:$L$4,0))*120*0.85)</f>
        <v>2</v>
      </c>
      <c r="AZ195" s="14">
        <f>IF(OR(AZ$5="大R",AZ$5="超R"),MAX(INDEX(其他调用!$H$5:$L$404,MATCH($K195,其他调用!$B$5:$B$404,0),MATCH(AZ$5,其他调用!$H$4:$L$4,0))*120*0.85,2),INDEX(其他调用!$H$5:$L$404,MATCH($K195,其他调用!$B$5:$B$404,0),MATCH(AZ$5,其他调用!$H$4:$L$4,0))*120*0.85)</f>
        <v>2</v>
      </c>
      <c r="BA195" s="14">
        <f>INDEX(其他调用!$H$5:$L$404,MATCH($K195,其他调用!$B$5:$B$404,0),MATCH(BA$5,其他调用!$H$4:$L$4,0))*INDEX(其他调用!$M$5:$M$404,MATCH($K195,其他调用!$B$5:$B$404,0))*0.6</f>
        <v>28.777530149999997</v>
      </c>
      <c r="BB195" s="14">
        <f>INDEX(其他调用!$H$5:$L$404,MATCH($K195,其他调用!$B$5:$B$404,0),MATCH(BB$5,其他调用!$H$4:$L$4,0))*INDEX(其他调用!$M$5:$M$404,MATCH($K195,其他调用!$B$5:$B$404,0))*0.6</f>
        <v>28.374908241551999</v>
      </c>
      <c r="BC195" s="14">
        <f>INDEX(其他调用!$H$5:$L$404,MATCH($K195,其他调用!$B$5:$B$404,0),MATCH(BC$5,其他调用!$H$4:$L$4,0))*INDEX(其他调用!$M$5:$M$404,MATCH($K195,其他调用!$B$5:$B$404,0))*0.6</f>
        <v>2.3162520084480001</v>
      </c>
      <c r="BD195" s="14">
        <f>INDEX(其他调用!$H$5:$L$404,MATCH($K195,其他调用!$B$5:$B$404,0),MATCH(BD$5,其他调用!$H$4:$L$4,0))*INDEX(其他调用!$M$5:$M$404,MATCH($K195,其他调用!$B$5:$B$404,0))*0.6</f>
        <v>0.4120776000000001</v>
      </c>
      <c r="BE195" s="14">
        <f>INDEX(其他调用!$H$5:$L$404,MATCH($K195,其他调用!$B$5:$B$404,0),MATCH(BE$5,其他调用!$H$4:$L$4,0))*INDEX(其他调用!$M$5:$M$404,MATCH($K195,其他调用!$B$5:$B$404,0))*0.6</f>
        <v>0.11923199999999998</v>
      </c>
      <c r="BF195" s="14">
        <f>IF(OR(BF$5="大R",BF$5="超R"),0,INDEX(其他调用!$H$5:$L$404,MATCH($K195,其他调用!$B$5:$B$404,0),MATCH(BF$5,其他调用!$H$4:$L$4,0))*50*0.4)</f>
        <v>9.5925100500000013</v>
      </c>
      <c r="BG195" s="14">
        <f>IF(OR(BG$5="大R",BG$5="超R"),0,INDEX(其他调用!$H$5:$L$404,MATCH($K195,其他调用!$B$5:$B$404,0),MATCH(BG$5,其他调用!$H$4:$L$4,0))*50*0.4)</f>
        <v>9.4583027471839998</v>
      </c>
      <c r="BH195" s="14">
        <f>IF(OR(BH$5="大R",BH$5="超R"),0,INDEX(其他调用!$H$5:$L$404,MATCH($K195,其他调用!$B$5:$B$404,0),MATCH(BH$5,其他调用!$H$4:$L$4,0))*50*0.4)</f>
        <v>0.77208400281600009</v>
      </c>
      <c r="BI195" s="14">
        <f>IF(OR(BI$5="大R",BI$5="超R"),0,INDEX(其他调用!$H$5:$L$404,MATCH($K195,其他调用!$B$5:$B$404,0),MATCH(BI$5,其他调用!$H$4:$L$4,0))*50*0.4)</f>
        <v>0</v>
      </c>
      <c r="BJ195" s="14">
        <f>IF(OR(BJ$5="大R",BJ$5="超R"),0,INDEX(其他调用!$H$5:$L$404,MATCH($K195,其他调用!$B$5:$B$404,0),MATCH(BJ$5,其他调用!$H$4:$L$4,0))*50*0.4)</f>
        <v>0</v>
      </c>
      <c r="BL195" s="14">
        <f t="shared" si="313"/>
        <v>190</v>
      </c>
      <c r="BM195" s="14">
        <f t="shared" si="220"/>
        <v>96</v>
      </c>
      <c r="BN195" s="14">
        <f>('疲劳值&amp;地图信息'!$S$10*'疲劳值&amp;地图信息'!$R$10+'疲劳值&amp;地图信息'!$S$11*'疲劳值&amp;地图信息'!$R$11+'疲劳值&amp;地图信息'!$S$12*'疲劳值&amp;地图信息'!$R$12+(BM195-'疲劳值&amp;地图信息'!$S$12-'疲劳值&amp;地图信息'!$S$11-'疲劳值&amp;地图信息'!$S$10)*'疲劳值&amp;地图信息'!$R$13)/BM195</f>
        <v>51.371477246638619</v>
      </c>
      <c r="BO195" s="14">
        <f>INDEX(其他调用!$M$5:$M$404,MATCH(BL195,其他调用!$B$5:$B$404,0))*0.6</f>
        <v>60</v>
      </c>
      <c r="BP195" s="14">
        <f>IF(BO195&gt;SUM('疲劳值&amp;地图信息'!$S$10:$S$12),('疲劳值&amp;地图信息'!$S$10*'疲劳值&amp;地图信息'!$R$10+'疲劳值&amp;地图信息'!$S$11*'疲劳值&amp;地图信息'!$R$11+'疲劳值&amp;地图信息'!$S$12*'疲劳值&amp;地图信息'!$R$12+(BO195-'疲劳值&amp;地图信息'!$S$12-'疲劳值&amp;地图信息'!$S$11-'疲劳值&amp;地图信息'!$S$10)*'疲劳值&amp;地图信息'!$R$13)/BO195,('疲劳值&amp;地图信息'!$S$10*'疲劳值&amp;地图信息'!$R$10+'疲劳值&amp;地图信息'!$S$11*'疲劳值&amp;地图信息'!$R$11+'疲劳值&amp;地图信息'!$S$12*'疲劳值&amp;地图信息'!$R$12+(BO195-'疲劳值&amp;地图信息'!$S$12-'疲劳值&amp;地图信息'!$S$11-'疲劳值&amp;地图信息'!$S$10)*'疲劳值&amp;地图信息'!$R$13)/BO195)</f>
        <v>44.158136341605953</v>
      </c>
      <c r="BQ195" s="14">
        <f t="shared" si="314"/>
        <v>20</v>
      </c>
      <c r="BR195" s="14">
        <f>('疲劳值&amp;地图信息'!$S$10*'疲劳值&amp;地图信息'!$R$10+($BQ195-'疲劳值&amp;地图信息'!$S$10)*'疲劳值&amp;地图信息'!$R$11)/$BQ195</f>
        <v>32.067203015074995</v>
      </c>
      <c r="CF195" s="14">
        <v>190</v>
      </c>
      <c r="CG195" s="51">
        <f t="shared" si="221"/>
        <v>13079</v>
      </c>
      <c r="CH195" s="51">
        <f t="shared" si="222"/>
        <v>1029</v>
      </c>
      <c r="CI195" s="51">
        <f>INT(SUMPRODUCT($N195:$R195,$BA195:$BE195)/SUM($BA195:$BE195)/10000*$BX$7*$BZ$34/'疲劳值&amp;地图信息'!$R$10*$BY$53)</f>
        <v>3217</v>
      </c>
      <c r="CJ195" s="50">
        <f t="shared" si="223"/>
        <v>0.75492063492063488</v>
      </c>
      <c r="CK195" s="50">
        <f t="shared" si="224"/>
        <v>5.9393939393939395E-2</v>
      </c>
      <c r="CL195" s="50">
        <f t="shared" si="225"/>
        <v>0.18568542568542568</v>
      </c>
      <c r="CM195" s="14">
        <f t="shared" si="226"/>
        <v>13921</v>
      </c>
      <c r="CN195" s="14">
        <f t="shared" si="227"/>
        <v>1665</v>
      </c>
      <c r="CO195" s="14">
        <f>INT(SUMPRODUCT($U195:$Y195,$BA195:$BE195)/SUM($BA195:$BE195)/10000*$BX$7*$BZ$34/'疲劳值&amp;地图信息'!$R$10*$BY$54)</f>
        <v>6012</v>
      </c>
      <c r="CP195" s="50">
        <f t="shared" si="228"/>
        <v>0.64455042133530882</v>
      </c>
      <c r="CQ195" s="50">
        <f t="shared" si="229"/>
        <v>7.7090471339938876E-2</v>
      </c>
      <c r="CR195" s="50">
        <f t="shared" si="230"/>
        <v>0.27835910732475228</v>
      </c>
      <c r="CS195" s="14">
        <f t="shared" si="231"/>
        <v>14897</v>
      </c>
      <c r="CT195" s="14">
        <f t="shared" si="232"/>
        <v>2910</v>
      </c>
      <c r="CU195" s="14">
        <f>INT(SUMPRODUCT($AB195:$AF195,$BA195:$BE195)/SUM($BA195:$BE195)/10000*$BX$7*$BZ$34/'疲劳值&amp;地图信息'!$R$10*$BY$55)</f>
        <v>8168</v>
      </c>
      <c r="CV195" s="50">
        <f t="shared" si="233"/>
        <v>0.57351299326275262</v>
      </c>
      <c r="CW195" s="50">
        <f t="shared" si="234"/>
        <v>0.11203079884504331</v>
      </c>
      <c r="CX195" s="50">
        <f t="shared" si="235"/>
        <v>0.31445620789220402</v>
      </c>
      <c r="CY195" s="14">
        <f t="shared" si="236"/>
        <v>17814</v>
      </c>
      <c r="CZ195" s="14">
        <f t="shared" si="237"/>
        <v>8380</v>
      </c>
      <c r="DA195" s="14">
        <f>INT(SUMPRODUCT($AI195:$AM195,$BA195:$BE195)/SUM($BA195:$BE195)/10000*$BX$7*$BZ$34/'疲劳值&amp;地图信息'!$R$10*$BY$56)</f>
        <v>12321</v>
      </c>
      <c r="DB195" s="50">
        <f t="shared" si="238"/>
        <v>0.46252109567700894</v>
      </c>
      <c r="DC195" s="50">
        <f t="shared" si="239"/>
        <v>0.21757756718161755</v>
      </c>
      <c r="DD195" s="50">
        <f t="shared" si="240"/>
        <v>0.31990133714137348</v>
      </c>
      <c r="DE195" s="14">
        <f t="shared" si="241"/>
        <v>18389</v>
      </c>
      <c r="DF195" s="14">
        <f t="shared" si="242"/>
        <v>14551</v>
      </c>
      <c r="DG195" s="14">
        <f>INT(SUMPRODUCT($AP195:$AT195,$BA195:$BE195)/SUM($BA195:$BE195)/10000*$BX$7*$BZ$34/'疲劳值&amp;地图信息'!$R$10*$BY$57)</f>
        <v>16453</v>
      </c>
      <c r="DH195" s="50">
        <f t="shared" si="243"/>
        <v>0.37229971858360494</v>
      </c>
      <c r="DI195" s="50">
        <f t="shared" si="244"/>
        <v>0.29459640029963757</v>
      </c>
      <c r="DJ195" s="50">
        <f t="shared" si="245"/>
        <v>0.33310388111675743</v>
      </c>
      <c r="DL195" s="14">
        <f t="shared" si="316"/>
        <v>17325</v>
      </c>
      <c r="DM195" s="14">
        <f t="shared" si="317"/>
        <v>21598</v>
      </c>
      <c r="DN195" s="14">
        <f t="shared" si="318"/>
        <v>25975</v>
      </c>
      <c r="DO195" s="14">
        <f t="shared" si="319"/>
        <v>38515</v>
      </c>
      <c r="DP195" s="14">
        <f t="shared" si="320"/>
        <v>49393</v>
      </c>
      <c r="DQ195" s="14">
        <f t="shared" si="321"/>
        <v>1193337</v>
      </c>
      <c r="DT195" s="14">
        <f t="shared" si="315"/>
        <v>235575</v>
      </c>
      <c r="DU195" s="50">
        <f t="shared" si="217"/>
        <v>0.16486319661392723</v>
      </c>
      <c r="DW195" s="14">
        <f t="shared" si="246"/>
        <v>1428912</v>
      </c>
      <c r="EB195" s="14">
        <v>190</v>
      </c>
      <c r="EC195" s="51">
        <f t="shared" si="247"/>
        <v>21799</v>
      </c>
      <c r="ED195" s="51">
        <f t="shared" si="248"/>
        <v>1715</v>
      </c>
      <c r="EE195" s="51">
        <f>INT(SUMPRODUCT($N195:$R195,$BF195:$BJ195)/SUM($BF195:$BJ195)/10000*$BX$7*$BZ$46/'疲劳值&amp;地图信息'!$R$10*$BY$53)</f>
        <v>432</v>
      </c>
      <c r="EF195" s="50">
        <f t="shared" si="249"/>
        <v>0.91033993151256998</v>
      </c>
      <c r="EG195" s="50">
        <f t="shared" si="250"/>
        <v>7.1619477156936437E-2</v>
      </c>
      <c r="EH195" s="50">
        <f t="shared" si="251"/>
        <v>1.804059133049361E-2</v>
      </c>
      <c r="EI195" s="51">
        <f t="shared" si="252"/>
        <v>23202</v>
      </c>
      <c r="EJ195" s="51">
        <f t="shared" si="253"/>
        <v>2776</v>
      </c>
      <c r="EK195" s="14">
        <f>INT(SUMPRODUCT($U195:$Y195,$BF195:$BJ195)/SUM($BF195:$BJ195)/10000*$BX$7*$BZ$46/'疲劳值&amp;地图信息'!$R$10*$BY$54)</f>
        <v>807</v>
      </c>
      <c r="EL195" s="50">
        <f t="shared" si="254"/>
        <v>0.86623109949598653</v>
      </c>
      <c r="EM195" s="50">
        <f t="shared" si="255"/>
        <v>0.10364009706925519</v>
      </c>
      <c r="EN195" s="50">
        <f t="shared" si="256"/>
        <v>3.012880343475826E-2</v>
      </c>
      <c r="EO195" s="51">
        <f t="shared" si="257"/>
        <v>24829</v>
      </c>
      <c r="EP195" s="51">
        <f t="shared" si="258"/>
        <v>4850</v>
      </c>
      <c r="EQ195" s="14">
        <f>INT(SUMPRODUCT($AB195:$AF195,$BF195:$BJ195)/SUM($BF195:$BJ195)/10000*$BX$7*$BZ$46/'疲劳值&amp;地图信息'!$R$10*$BY$55)</f>
        <v>1095</v>
      </c>
      <c r="ER195" s="50">
        <f t="shared" si="259"/>
        <v>0.80681744329628913</v>
      </c>
      <c r="ES195" s="50">
        <f t="shared" si="260"/>
        <v>0.15760057191135374</v>
      </c>
      <c r="ET195" s="50">
        <f t="shared" si="261"/>
        <v>3.5581984792357184E-2</v>
      </c>
      <c r="EU195" s="51">
        <f t="shared" si="262"/>
        <v>29690</v>
      </c>
      <c r="EV195" s="51">
        <f t="shared" si="263"/>
        <v>13966</v>
      </c>
      <c r="EW195" s="14">
        <f>INT(SUMPRODUCT($AI195:$AM195,$BF195:$BJ195)/SUM($BF195:$BJ195)/10000*$BX$7*$BZ$46/'疲劳值&amp;地图信息'!$R$10*$BY$56)</f>
        <v>1643</v>
      </c>
      <c r="EX195" s="50">
        <f t="shared" si="264"/>
        <v>0.65542285701671121</v>
      </c>
      <c r="EY195" s="50">
        <f t="shared" si="265"/>
        <v>0.30830702664517978</v>
      </c>
      <c r="EZ195" s="50">
        <f t="shared" si="266"/>
        <v>3.6270116338109011E-2</v>
      </c>
      <c r="FA195" s="51">
        <f t="shared" si="267"/>
        <v>30648</v>
      </c>
      <c r="FB195" s="51">
        <f t="shared" si="268"/>
        <v>24252</v>
      </c>
      <c r="FC195" s="14">
        <f>INT(SUMPRODUCT($AP195:$AT195,$BF195:$BJ195)/SUM($BF195:$BJ195)/10000*$BX$7*$BZ$46/'疲劳值&amp;地图信息'!$R$10*$BY$57)</f>
        <v>2191</v>
      </c>
      <c r="FD195" s="50">
        <f t="shared" si="269"/>
        <v>0.53682717065737151</v>
      </c>
      <c r="FE195" s="50">
        <f t="shared" si="270"/>
        <v>0.42479550191799059</v>
      </c>
      <c r="FF195" s="50">
        <f t="shared" si="271"/>
        <v>3.8377327424637855E-2</v>
      </c>
      <c r="FH195" s="14">
        <f t="shared" si="272"/>
        <v>23946</v>
      </c>
      <c r="FI195" s="14">
        <f t="shared" si="273"/>
        <v>26785</v>
      </c>
      <c r="FJ195" s="14">
        <f t="shared" si="274"/>
        <v>30774</v>
      </c>
      <c r="FK195" s="14">
        <f t="shared" si="275"/>
        <v>45299</v>
      </c>
      <c r="FL195" s="14">
        <f t="shared" si="276"/>
        <v>57091</v>
      </c>
      <c r="FM195" s="14">
        <f t="shared" si="277"/>
        <v>2789475</v>
      </c>
      <c r="FP195" s="14">
        <f t="shared" si="278"/>
        <v>334150</v>
      </c>
      <c r="FQ195" s="50">
        <f t="shared" si="218"/>
        <v>0.10697506903037336</v>
      </c>
      <c r="FS195" s="14">
        <f t="shared" si="279"/>
        <v>3123625</v>
      </c>
      <c r="FX195" s="14">
        <v>190</v>
      </c>
      <c r="FY195" s="51">
        <f t="shared" si="280"/>
        <v>30518</v>
      </c>
      <c r="FZ195" s="51">
        <f t="shared" si="281"/>
        <v>1715</v>
      </c>
      <c r="GA195" s="51">
        <f>INT(SUMPRODUCT($N195:$R195,$BF195:$BJ195)/SUM($BF195:$BJ195)/10000*$BX$7*$BZ$46/'疲劳值&amp;地图信息'!$R$10*$BY$53)</f>
        <v>432</v>
      </c>
      <c r="GB195" s="50">
        <f t="shared" si="282"/>
        <v>0.93427215674269093</v>
      </c>
      <c r="GC195" s="50">
        <f t="shared" si="283"/>
        <v>5.2502678708097349E-2</v>
      </c>
      <c r="GD195" s="50">
        <f t="shared" si="284"/>
        <v>1.3225164549211695E-2</v>
      </c>
      <c r="GE195" s="51">
        <f t="shared" si="285"/>
        <v>32483</v>
      </c>
      <c r="GF195" s="51">
        <f t="shared" si="286"/>
        <v>2776</v>
      </c>
      <c r="GG195" s="14">
        <f>INT(SUMPRODUCT($U195:$Y195,$BF195:$BJ195)/SUM($BF195:$BJ195)/10000*$BX$7*$BZ$46/'疲劳值&amp;地图信息'!$R$10*$BY$54)</f>
        <v>807</v>
      </c>
      <c r="GH195" s="50">
        <f t="shared" si="287"/>
        <v>0.90065435590306664</v>
      </c>
      <c r="GI195" s="50">
        <f t="shared" si="288"/>
        <v>7.6969999445461096E-2</v>
      </c>
      <c r="GJ195" s="50">
        <f t="shared" si="289"/>
        <v>2.23756446514723E-2</v>
      </c>
      <c r="GK195" s="51">
        <f t="shared" si="290"/>
        <v>34761</v>
      </c>
      <c r="GL195" s="51">
        <f t="shared" si="291"/>
        <v>4850</v>
      </c>
      <c r="GM195" s="14">
        <f>INT(SUMPRODUCT($AB195:$AF195,$BF195:$BJ195)/SUM($BF195:$BJ195)/10000*$BX$7*$BZ$46/'疲劳值&amp;地图信息'!$R$10*$BY$55)</f>
        <v>1095</v>
      </c>
      <c r="GN195" s="50">
        <f t="shared" si="292"/>
        <v>0.85395273424065243</v>
      </c>
      <c r="GO195" s="50">
        <f t="shared" si="293"/>
        <v>0.11914705448828182</v>
      </c>
      <c r="GP195" s="50">
        <f t="shared" si="294"/>
        <v>2.6900211271065691E-2</v>
      </c>
      <c r="GQ195" s="51">
        <f t="shared" si="295"/>
        <v>41566</v>
      </c>
      <c r="GR195" s="51">
        <f t="shared" si="296"/>
        <v>13966</v>
      </c>
      <c r="GS195" s="14">
        <f>INT(SUMPRODUCT($AI195:$AM195,$BF195:$BJ195)/SUM($BF195:$BJ195)/10000*$BX$7*$BZ$46/'疲劳值&amp;地图信息'!$R$10*$BY$56)</f>
        <v>1643</v>
      </c>
      <c r="GT195" s="50">
        <f t="shared" si="297"/>
        <v>0.72699606471359857</v>
      </c>
      <c r="GU195" s="50">
        <f t="shared" si="298"/>
        <v>0.24426759947529514</v>
      </c>
      <c r="GV195" s="50">
        <f t="shared" si="299"/>
        <v>2.8736335811106253E-2</v>
      </c>
      <c r="GW195" s="51">
        <f t="shared" si="300"/>
        <v>42907</v>
      </c>
      <c r="GX195" s="51">
        <f t="shared" si="301"/>
        <v>24252</v>
      </c>
      <c r="GY195" s="14">
        <f>INT(SUMPRODUCT($AP195:$AT195,$BF195:$BJ195)/SUM($BF195:$BJ195)/10000*$BX$7*$BZ$46/'疲劳值&amp;地图信息'!$R$10*$BY$57)</f>
        <v>2191</v>
      </c>
      <c r="GZ195" s="50">
        <f t="shared" si="302"/>
        <v>0.61870223503965394</v>
      </c>
      <c r="HA195" s="50">
        <f t="shared" si="303"/>
        <v>0.34970439798125452</v>
      </c>
      <c r="HB195" s="50">
        <f t="shared" si="304"/>
        <v>3.1593366979091562E-2</v>
      </c>
      <c r="HD195" s="14">
        <f t="shared" si="305"/>
        <v>32665</v>
      </c>
      <c r="HE195" s="14">
        <f t="shared" si="306"/>
        <v>36066</v>
      </c>
      <c r="HF195" s="14">
        <f t="shared" si="307"/>
        <v>40706</v>
      </c>
      <c r="HG195" s="14">
        <f t="shared" si="308"/>
        <v>57175</v>
      </c>
      <c r="HH195" s="14">
        <f t="shared" si="309"/>
        <v>69350</v>
      </c>
      <c r="HI195" s="14">
        <f t="shared" si="310"/>
        <v>3751093</v>
      </c>
      <c r="HL195" s="14">
        <f t="shared" si="311"/>
        <v>430050</v>
      </c>
      <c r="HM195" s="50">
        <f t="shared" si="219"/>
        <v>0.10285465003229978</v>
      </c>
      <c r="HO195" s="14">
        <f t="shared" si="312"/>
        <v>4181143</v>
      </c>
    </row>
    <row r="196" spans="11:223" x14ac:dyDescent="0.2">
      <c r="K196" s="14">
        <v>191</v>
      </c>
      <c r="L196" s="12">
        <f>求节点(节奏总纲!D$4:D$163,标准城池设计!AB$4:AB$163,$K196)*求节点(节奏总纲!D$4:D$163,攻城基础信息!$AC$5:$AC$164,$K196)</f>
        <v>643216.61471145775</v>
      </c>
      <c r="M196" s="12">
        <f>INDEX(其他调用!$AA$5:$AA$404,MATCH(K196,其他调用!$X$5:$X$404,0))*MIN(INDEX(其他调用!$AH$5:$AH$364,MATCH('征服点（新）'!K196,其他调用!$AG$5:$AG$364,0),1)/INDEX(其他调用!$AJ$5:$AJ$364,MATCH(K196,其他调用!$AG$5:$AG$364,0),0),5)*求节点(节奏总纲!D$4:D$163,攻城基础信息!$AC$5:$AC$164,$K196)</f>
        <v>50610.815725866814</v>
      </c>
      <c r="N196" s="12">
        <f>MIN(INDEX(其他调用!$AH$5:$AH$364,MATCH($K196,其他调用!$AG$5:$AG$364,0),1)/INDEX(其他调用!AH$5:AH$364,MATCH($K196,其他调用!$AG$5:$AG$364,0),0),1)*INDEX(其他调用!Y$5:Y$404,MATCH($K196,其他调用!$X$5:$X$404,0),0)</f>
        <v>39866.589792452156</v>
      </c>
      <c r="O196" s="12">
        <f>MIN(INDEX(其他调用!$AH$5:$AH$364,MATCH($K196,其他调用!$AG$5:$AG$364,0),1)/INDEX(其他调用!AI$5:AI$364,MATCH($K196,其他调用!$AG$5:$AG$364,0),0),1)*INDEX(其他调用!Z$5:Z$404,MATCH($K196,其他调用!$X$5:$X$404,0),0)</f>
        <v>25377.902358281419</v>
      </c>
      <c r="P196" s="12">
        <f>MIN(INDEX(其他调用!$AH$5:$AH$364,MATCH($K196,其他调用!$AG$5:$AG$364,0),1)/INDEX(其他调用!AJ$5:AJ$364,MATCH($K196,其他调用!$AG$5:$AG$364,0),0),1)*INDEX(其他调用!AA$5:AA$404,MATCH($K196,其他调用!$X$5:$X$404,0),0)</f>
        <v>15055.997216359508</v>
      </c>
      <c r="Q196" s="12">
        <f>MIN(INDEX(其他调用!$AH$5:$AH$364,MATCH($K196,其他调用!$AG$5:$AG$364,0),1)/INDEX(其他调用!AK$5:AK$364,MATCH($K196,其他调用!$AG$5:$AG$364,0),0),1)*INDEX(其他调用!AB$5:AB$404,MATCH($K196,其他调用!$X$5:$X$404,0),0)</f>
        <v>5497.5228978503374</v>
      </c>
      <c r="R196" s="12">
        <f>MIN(INDEX(其他调用!$AH$5:$AH$364,MATCH($K196,其他调用!$AG$5:$AG$364,0),1)/INDEX(其他调用!AL$5:AL$364,MATCH($K196,其他调用!$AG$5:$AG$364,0),0),1)*INDEX(其他调用!AC$5:AC$404,MATCH($K196,其他调用!$X$5:$X$404,0),0)</f>
        <v>2353.376012939199</v>
      </c>
      <c r="S196" s="12">
        <f>求节点(节奏总纲!D$4:D$163,标准城池设计!AC$4:AC$163,$K196)*求节点(节奏总纲!D$4:D$163,攻城基础信息!$AD$5:$AD$164,$K196)</f>
        <v>684633.67011166469</v>
      </c>
      <c r="T196" s="12">
        <f>INDEX(其他调用!$AA$5:$AA$404,MATCH($K196,其他调用!$X$5:$X$404,0))*MIN(INDEX(其他调用!AI$5:AI$364,MATCH($K196,其他调用!$AG$5:$AG$364,0),1)/INDEX(其他调用!$AJ$5:$AJ$364,MATCH($K196,其他调用!$AG$5:$AG$364,0),0),5)*求节点(节奏总纲!D$4:D$163,攻城基础信息!$AD$5:$AD$164,$K196)</f>
        <v>81815.983143707155</v>
      </c>
      <c r="U196" s="12">
        <f>MIN(INDEX(其他调用!$AI$5:$AI$364,MATCH($K196,其他调用!$AG$5:$AG$364,0),1)/INDEX(其他调用!AH$5:AH$364,MATCH($K196,其他调用!$AG$5:$AG$364,0),0),1)*INDEX(其他调用!Y$5:Y$404,MATCH($K196,其他调用!$X$5:$X$404,0),0)</f>
        <v>39866.589792452156</v>
      </c>
      <c r="V196" s="12">
        <f>MIN(INDEX(其他调用!$AI$5:$AI$364,MATCH($K196,其他调用!$AG$5:$AG$364,0),1)/INDEX(其他调用!AI$5:AI$364,MATCH($K196,其他调用!$AG$5:$AG$364,0),0),1)*INDEX(其他调用!Z$5:Z$404,MATCH($K196,其他调用!$X$5:$X$404,0),0)</f>
        <v>41025.184079509068</v>
      </c>
      <c r="W196" s="12">
        <f>MIN(INDEX(其他调用!$AI$5:$AI$364,MATCH($K196,其他调用!$AG$5:$AG$364,0),1)/INDEX(其他调用!AJ$5:AJ$364,MATCH($K196,其他调用!$AG$5:$AG$364,0),0),1)*INDEX(其他调用!AA$5:AA$404,MATCH($K196,其他调用!$X$5:$X$404,0),0)</f>
        <v>24339.090307050647</v>
      </c>
      <c r="X196" s="12">
        <f>MIN(INDEX(其他调用!$AI$5:$AI$364,MATCH($K196,其他调用!$AG$5:$AG$364,0),1)/INDEX(其他调用!AK$5:AK$364,MATCH($K196,其他调用!$AG$5:$AG$364,0),0),1)*INDEX(其他调用!AB$5:AB$404,MATCH($K196,其他调用!$X$5:$X$404,0),0)</f>
        <v>8887.1367570703951</v>
      </c>
      <c r="Y196" s="12">
        <f>MIN(INDEX(其他调用!$AI$5:$AI$364,MATCH($K196,其他调用!$AG$5:$AG$364,0),1)/INDEX(其他调用!AL$5:AL$364,MATCH($K196,其他调用!$AG$5:$AG$364,0),0),1)*INDEX(其他调用!AC$5:AC$404,MATCH($K196,其他调用!$X$5:$X$404,0),0)</f>
        <v>3804.3997008139618</v>
      </c>
      <c r="Z196" s="12">
        <f>求节点(节奏总纲!D$4:D$163,标准城池设计!AD$4:AD$163,$K196)*求节点(节奏总纲!D$4:D$163,攻城基础信息!$AE$5:$AE$164,$K196)</f>
        <v>733218.97292847128</v>
      </c>
      <c r="AA196" s="12">
        <f>INDEX(其他调用!$AA$5:$AA$404,MATCH($K196,其他调用!$X$5:$X$404,0))*MIN(INDEX(其他调用!AJ$5:AJ$364,MATCH($K196,其他调用!$AG$5:$AG$364,0),1)/INDEX(其他调用!$AJ$5:$AJ$364,MATCH($K196,其他调用!$AG$5:$AG$364,0),0),5)*求节点(节奏总纲!D$4:D$163,攻城基础信息!$AE$5:$AE$164,$K196)</f>
        <v>143008.34637047752</v>
      </c>
      <c r="AB196" s="12">
        <f>MIN(INDEX(其他调用!$AJ$5:$AJ$364,MATCH($K196,其他调用!$AG$5:$AG$364,0),1)/INDEX(其他调用!AH$5:AH$364,MATCH($K196,其他调用!$AG$5:$AG$364,0),0),1)*INDEX(其他调用!Y$5:Y$404,MATCH($K196,其他调用!$X$5:$X$404,0),0)</f>
        <v>39866.589792452156</v>
      </c>
      <c r="AC196" s="12">
        <f>MIN(INDEX(其他调用!$AJ$5:$AJ$364,MATCH($K196,其他调用!$AG$5:$AG$364,0),1)/INDEX(其他调用!AI$5:AI$364,MATCH($K196,其他调用!$AG$5:$AG$364,0),0),1)*INDEX(其他调用!Z$5:Z$404,MATCH($K196,其他调用!$X$5:$X$404,0),0)</f>
        <v>41025.184079509068</v>
      </c>
      <c r="AD196" s="12">
        <f>MIN(INDEX(其他调用!$AJ$5:$AJ$364,MATCH($K196,其他调用!$AG$5:$AG$364,0),1)/INDEX(其他调用!AJ$5:AJ$364,MATCH($K196,其他调用!$AG$5:$AG$364,0),0),1)*INDEX(其他调用!AA$5:AA$404,MATCH($K196,其他调用!$X$5:$X$404,0),0)</f>
        <v>42542.94727302005</v>
      </c>
      <c r="AE196" s="12">
        <f>MIN(INDEX(其他调用!$AJ$5:$AJ$364,MATCH($K196,其他调用!$AG$5:$AG$364,0),1)/INDEX(其他调用!AK$5:AK$364,MATCH($K196,其他调用!$AG$5:$AG$364,0),0),1)*INDEX(其他调用!AB$5:AB$404,MATCH($K196,其他调用!$X$5:$X$404,0),0)</f>
        <v>15534.06416157793</v>
      </c>
      <c r="AF196" s="12">
        <f>MIN(INDEX(其他调用!$AJ$5:$AJ$364,MATCH($K196,其他调用!$AG$5:$AG$364,0),1)/INDEX(其他调用!AL$5:AL$364,MATCH($K196,其他调用!$AG$5:$AG$364,0),0),1)*INDEX(其他调用!AC$5:AC$404,MATCH($K196,其他调用!$X$5:$X$404,0),0)</f>
        <v>6649.81204455025</v>
      </c>
      <c r="AG196" s="12">
        <f>求节点(节奏总纲!D$4:D$163,标准城池设计!AE$4:AE$163,$K196)*求节点(节奏总纲!D$4:D$163,攻城基础信息!$AF$5:$AF$164,$K196)</f>
        <v>876799.75135053636</v>
      </c>
      <c r="AH196" s="12">
        <f>INDEX(其他调用!$AA$5:$AA$404,MATCH($K196,其他调用!$X$5:$X$404,0))*MIN(INDEX(其他调用!AK$5:AK$364,MATCH($K196,其他调用!$AG$5:$AG$364,0),1)/INDEX(其他调用!$AJ$5:$AJ$364,MATCH($K196,其他调用!$AG$5:$AG$364,0),0),5)*求节点(节奏总纲!D$4:D$163,攻城基础信息!$AF$5:$AF$164,$K196)</f>
        <v>411773.10703975672</v>
      </c>
      <c r="AI196" s="12">
        <f>MIN(INDEX(其他调用!$AK$5:$AK$364,MATCH($K196,其他调用!$AG$5:$AG$364,0),1)/INDEX(其他调用!AH$5:AH$364,MATCH($K196,其他调用!$AG$5:$AG$364,0),0),1)*INDEX(其他调用!Y$5:Y$404,MATCH($K196,其他调用!$X$5:$X$404,0),0)</f>
        <v>39866.589792452156</v>
      </c>
      <c r="AJ196" s="12">
        <f>MIN(INDEX(其他调用!$AK$5:$AK$364,MATCH($K196,其他调用!$AG$5:$AG$364,0),1)/INDEX(其他调用!AI$5:AI$364,MATCH($K196,其他调用!$AG$5:$AG$364,0),0),1)*INDEX(其他调用!Z$5:Z$404,MATCH($K196,其他调用!$X$5:$X$404,0),0)</f>
        <v>41025.184079509068</v>
      </c>
      <c r="AK196" s="12">
        <f>MIN(INDEX(其他调用!$AK$5:$AK$364,MATCH($K196,其他调用!$AG$5:$AG$364,0),1)/INDEX(其他调用!AJ$5:AJ$364,MATCH($K196,其他调用!$AG$5:$AG$364,0),0),1)*INDEX(其他调用!AA$5:AA$404,MATCH($K196,其他调用!$X$5:$X$404,0),0)</f>
        <v>42542.94727302005</v>
      </c>
      <c r="AL196" s="12">
        <f>MIN(INDEX(其他调用!$AK$5:$AK$364,MATCH($K196,其他调用!$AG$5:$AG$364,0),1)/INDEX(其他调用!AK$5:AK$364,MATCH($K196,其他调用!$AG$5:$AG$364,0),0),1)*INDEX(其他调用!AB$5:AB$404,MATCH($K196,其他调用!$X$5:$X$404,0),0)</f>
        <v>44728.227597269572</v>
      </c>
      <c r="AM196" s="12">
        <f>MIN(INDEX(其他调用!$AK$5:$AK$364,MATCH($K196,其他调用!$AG$5:$AG$364,0),1)/INDEX(其他调用!AL$5:AL$364,MATCH($K196,其他调用!$AG$5:$AG$364,0),0),1)*INDEX(其他调用!AC$5:AC$404,MATCH($K196,其他调用!$X$5:$X$404,0),0)</f>
        <v>19147.230468082162</v>
      </c>
      <c r="AN196" s="12">
        <f>求节点(节奏总纲!D$4:D$163,标准城池设计!AF$4:AF$163,$K196)*求节点(节奏总纲!D$4:D$163,攻城基础信息!$AG$5:$AG$164,$K196)</f>
        <v>905592.18615045957</v>
      </c>
      <c r="AO196" s="12">
        <f>INDEX(其他调用!$AA$5:$AA$404,MATCH($K196,其他调用!$X$5:$X$404,0))*MIN(INDEX(其他调用!AL$5:AL$364,MATCH($K196,其他调用!$AG$5:$AG$364,0),1)/INDEX(其他调用!$AJ$5:$AJ$364,MATCH($K196,其他调用!$AG$5:$AG$364,0),0),5)*求节点(节奏总纲!D$4:D$163,攻城基础信息!$AG$5:$AG$164,$K196)</f>
        <v>715041.73185238754</v>
      </c>
      <c r="AP196" s="12">
        <f>MIN(INDEX(其他调用!$AL$5:$AL$364,MATCH($K196,其他调用!$AG$5:$AG$364,0),1)/INDEX(其他调用!AH$5:AH$364,MATCH($K196,其他调用!$AG$5:$AG$364,0),0),1)*INDEX(其他调用!Y$5:Y$404,MATCH($K196,其他调用!$X$5:$X$404,0),0)</f>
        <v>39866.589792452156</v>
      </c>
      <c r="AQ196" s="12">
        <f>MIN(INDEX(其他调用!$AL$5:$AL$364,MATCH($K196,其他调用!$AG$5:$AG$364,0),1)/INDEX(其他调用!AI$5:AI$364,MATCH($K196,其他调用!$AG$5:$AG$364,0),0),1)*INDEX(其他调用!Z$5:Z$404,MATCH($K196,其他调用!$X$5:$X$404,0),0)</f>
        <v>41025.184079509068</v>
      </c>
      <c r="AR196" s="12">
        <f>MIN(INDEX(其他调用!$AL$5:$AL$364,MATCH($K196,其他调用!$AG$5:$AG$364,0),1)/INDEX(其他调用!AJ$5:AJ$364,MATCH($K196,其他调用!$AG$5:$AG$364,0),0),1)*INDEX(其他调用!AA$5:AA$404,MATCH($K196,其他调用!$X$5:$X$404,0),0)</f>
        <v>42542.94727302005</v>
      </c>
      <c r="AS196" s="12">
        <f>MIN(INDEX(其他调用!$AL$5:$AL$364,MATCH($K196,其他调用!$AG$5:$AG$364,0),1)/INDEX(其他调用!AK$5:AK$364,MATCH($K196,其他调用!$AG$5:$AG$364,0),0),1)*INDEX(其他调用!AB$5:AB$404,MATCH($K196,其他调用!$X$5:$X$404,0),0)</f>
        <v>44728.227597269572</v>
      </c>
      <c r="AT196" s="12">
        <f>MIN(INDEX(其他调用!$AL$5:$AL$364,MATCH($K196,其他调用!$AG$5:$AG$364,0),1)/INDEX(其他调用!AL$5:AL$364,MATCH($K196,其他调用!$AG$5:$AG$364,0),0),1)*INDEX(其他调用!AC$5:AC$404,MATCH($K196,其他调用!$X$5:$X$404,0),0)</f>
        <v>48686.514599439455</v>
      </c>
      <c r="AV196" s="14">
        <f>IF(OR(AV$5="大R",AV$5="超R"),MAX(INDEX(其他调用!$H$5:$L$404,MATCH($K196,其他调用!$B$5:$B$404,0),MATCH(AV$5,其他调用!$H$4:$L$4,0))*120*0.85,2),INDEX(其他调用!$H$5:$L$404,MATCH($K196,其他调用!$B$5:$B$404,0),MATCH(AV$5,其他调用!$H$4:$L$4,0))*120*0.85)</f>
        <v>48.921801254999991</v>
      </c>
      <c r="AW196" s="14">
        <f>IF(OR(AW$5="大R",AW$5="超R"),MAX(INDEX(其他调用!$H$5:$L$404,MATCH($K196,其他调用!$B$5:$B$404,0),MATCH(AW$5,其他调用!$H$4:$L$4,0))*120*0.85,2),INDEX(其他调用!$H$5:$L$404,MATCH($K196,其他调用!$B$5:$B$404,0),MATCH(AW$5,其他调用!$H$4:$L$4,0))*120*0.85)</f>
        <v>48.237344010638395</v>
      </c>
      <c r="AX196" s="14">
        <f>IF(OR(AX$5="大R",AX$5="超R"),MAX(INDEX(其他调用!$H$5:$L$404,MATCH($K196,其他调用!$B$5:$B$404,0),MATCH(AX$5,其他调用!$H$4:$L$4,0))*120*0.85,2),INDEX(其他调用!$H$5:$L$404,MATCH($K196,其他调用!$B$5:$B$404,0),MATCH(AX$5,其他调用!$H$4:$L$4,0))*120*0.85)</f>
        <v>3.9376284143615998</v>
      </c>
      <c r="AY196" s="14">
        <f>IF(OR(AY$5="大R",AY$5="超R"),MAX(INDEX(其他调用!$H$5:$L$404,MATCH($K196,其他调用!$B$5:$B$404,0),MATCH(AY$5,其他调用!$H$4:$L$4,0))*120*0.85,2),INDEX(其他调用!$H$5:$L$404,MATCH($K196,其他调用!$B$5:$B$404,0),MATCH(AY$5,其他调用!$H$4:$L$4,0))*120*0.85)</f>
        <v>2</v>
      </c>
      <c r="AZ196" s="14">
        <f>IF(OR(AZ$5="大R",AZ$5="超R"),MAX(INDEX(其他调用!$H$5:$L$404,MATCH($K196,其他调用!$B$5:$B$404,0),MATCH(AZ$5,其他调用!$H$4:$L$4,0))*120*0.85,2),INDEX(其他调用!$H$5:$L$404,MATCH($K196,其他调用!$B$5:$B$404,0),MATCH(AZ$5,其他调用!$H$4:$L$4,0))*120*0.85)</f>
        <v>2</v>
      </c>
      <c r="BA196" s="14">
        <f>INDEX(其他调用!$H$5:$L$404,MATCH($K196,其他调用!$B$5:$B$404,0),MATCH(BA$5,其他调用!$H$4:$L$4,0))*INDEX(其他调用!$M$5:$M$404,MATCH($K196,其他调用!$B$5:$B$404,0))*0.6</f>
        <v>28.777530149999997</v>
      </c>
      <c r="BB196" s="14">
        <f>INDEX(其他调用!$H$5:$L$404,MATCH($K196,其他调用!$B$5:$B$404,0),MATCH(BB$5,其他调用!$H$4:$L$4,0))*INDEX(其他调用!$M$5:$M$404,MATCH($K196,其他调用!$B$5:$B$404,0))*0.6</f>
        <v>28.374908241551999</v>
      </c>
      <c r="BC196" s="14">
        <f>INDEX(其他调用!$H$5:$L$404,MATCH($K196,其他调用!$B$5:$B$404,0),MATCH(BC$5,其他调用!$H$4:$L$4,0))*INDEX(其他调用!$M$5:$M$404,MATCH($K196,其他调用!$B$5:$B$404,0))*0.6</f>
        <v>2.3162520084480001</v>
      </c>
      <c r="BD196" s="14">
        <f>INDEX(其他调用!$H$5:$L$404,MATCH($K196,其他调用!$B$5:$B$404,0),MATCH(BD$5,其他调用!$H$4:$L$4,0))*INDEX(其他调用!$M$5:$M$404,MATCH($K196,其他调用!$B$5:$B$404,0))*0.6</f>
        <v>0.4120776000000001</v>
      </c>
      <c r="BE196" s="14">
        <f>INDEX(其他调用!$H$5:$L$404,MATCH($K196,其他调用!$B$5:$B$404,0),MATCH(BE$5,其他调用!$H$4:$L$4,0))*INDEX(其他调用!$M$5:$M$404,MATCH($K196,其他调用!$B$5:$B$404,0))*0.6</f>
        <v>0.11923199999999998</v>
      </c>
      <c r="BF196" s="14">
        <f>IF(OR(BF$5="大R",BF$5="超R"),0,INDEX(其他调用!$H$5:$L$404,MATCH($K196,其他调用!$B$5:$B$404,0),MATCH(BF$5,其他调用!$H$4:$L$4,0))*50*0.4)</f>
        <v>9.5925100500000013</v>
      </c>
      <c r="BG196" s="14">
        <f>IF(OR(BG$5="大R",BG$5="超R"),0,INDEX(其他调用!$H$5:$L$404,MATCH($K196,其他调用!$B$5:$B$404,0),MATCH(BG$5,其他调用!$H$4:$L$4,0))*50*0.4)</f>
        <v>9.4583027471839998</v>
      </c>
      <c r="BH196" s="14">
        <f>IF(OR(BH$5="大R",BH$5="超R"),0,INDEX(其他调用!$H$5:$L$404,MATCH($K196,其他调用!$B$5:$B$404,0),MATCH(BH$5,其他调用!$H$4:$L$4,0))*50*0.4)</f>
        <v>0.77208400281600009</v>
      </c>
      <c r="BI196" s="14">
        <f>IF(OR(BI$5="大R",BI$5="超R"),0,INDEX(其他调用!$H$5:$L$404,MATCH($K196,其他调用!$B$5:$B$404,0),MATCH(BI$5,其他调用!$H$4:$L$4,0))*50*0.4)</f>
        <v>0</v>
      </c>
      <c r="BJ196" s="14">
        <f>IF(OR(BJ$5="大R",BJ$5="超R"),0,INDEX(其他调用!$H$5:$L$404,MATCH($K196,其他调用!$B$5:$B$404,0),MATCH(BJ$5,其他调用!$H$4:$L$4,0))*50*0.4)</f>
        <v>0</v>
      </c>
      <c r="BL196" s="14">
        <f t="shared" si="313"/>
        <v>191</v>
      </c>
      <c r="BM196" s="14">
        <f t="shared" si="220"/>
        <v>96</v>
      </c>
      <c r="BN196" s="14">
        <f>('疲劳值&amp;地图信息'!$S$10*'疲劳值&amp;地图信息'!$R$10+'疲劳值&amp;地图信息'!$S$11*'疲劳值&amp;地图信息'!$R$11+'疲劳值&amp;地图信息'!$S$12*'疲劳值&amp;地图信息'!$R$12+(BM196-'疲劳值&amp;地图信息'!$S$12-'疲劳值&amp;地图信息'!$S$11-'疲劳值&amp;地图信息'!$S$10)*'疲劳值&amp;地图信息'!$R$13)/BM196</f>
        <v>51.371477246638619</v>
      </c>
      <c r="BO196" s="14">
        <f>INDEX(其他调用!$M$5:$M$404,MATCH(BL196,其他调用!$B$5:$B$404,0))*0.6</f>
        <v>60</v>
      </c>
      <c r="BP196" s="14">
        <f>IF(BO196&gt;SUM('疲劳值&amp;地图信息'!$S$10:$S$12),('疲劳值&amp;地图信息'!$S$10*'疲劳值&amp;地图信息'!$R$10+'疲劳值&amp;地图信息'!$S$11*'疲劳值&amp;地图信息'!$R$11+'疲劳值&amp;地图信息'!$S$12*'疲劳值&amp;地图信息'!$R$12+(BO196-'疲劳值&amp;地图信息'!$S$12-'疲劳值&amp;地图信息'!$S$11-'疲劳值&amp;地图信息'!$S$10)*'疲劳值&amp;地图信息'!$R$13)/BO196,('疲劳值&amp;地图信息'!$S$10*'疲劳值&amp;地图信息'!$R$10+'疲劳值&amp;地图信息'!$S$11*'疲劳值&amp;地图信息'!$R$11+'疲劳值&amp;地图信息'!$S$12*'疲劳值&amp;地图信息'!$R$12+(BO196-'疲劳值&amp;地图信息'!$S$12-'疲劳值&amp;地图信息'!$S$11-'疲劳值&amp;地图信息'!$S$10)*'疲劳值&amp;地图信息'!$R$13)/BO196)</f>
        <v>44.158136341605953</v>
      </c>
      <c r="BQ196" s="14">
        <f t="shared" si="314"/>
        <v>20</v>
      </c>
      <c r="BR196" s="14">
        <f>('疲劳值&amp;地图信息'!$S$10*'疲劳值&amp;地图信息'!$R$10+($BQ196-'疲劳值&amp;地图信息'!$S$10)*'疲劳值&amp;地图信息'!$R$11)/$BQ196</f>
        <v>32.067203015074995</v>
      </c>
      <c r="CF196" s="14">
        <v>191</v>
      </c>
      <c r="CG196" s="51">
        <f t="shared" si="221"/>
        <v>13109</v>
      </c>
      <c r="CH196" s="51">
        <f t="shared" si="222"/>
        <v>1031</v>
      </c>
      <c r="CI196" s="51">
        <f>INT(SUMPRODUCT($N196:$R196,$BA196:$BE196)/SUM($BA196:$BE196)/10000*$BX$7*$BZ$34/'疲劳值&amp;地图信息'!$R$10*$BY$53)</f>
        <v>3221</v>
      </c>
      <c r="CJ196" s="50">
        <f t="shared" si="223"/>
        <v>0.75508323253268816</v>
      </c>
      <c r="CK196" s="50">
        <f t="shared" si="224"/>
        <v>5.9385980070272452E-2</v>
      </c>
      <c r="CL196" s="50">
        <f t="shared" si="225"/>
        <v>0.18553078739703935</v>
      </c>
      <c r="CM196" s="14">
        <f t="shared" si="226"/>
        <v>13953</v>
      </c>
      <c r="CN196" s="14">
        <f t="shared" si="227"/>
        <v>1667</v>
      </c>
      <c r="CO196" s="14">
        <f>INT(SUMPRODUCT($U196:$Y196,$BA196:$BE196)/SUM($BA196:$BE196)/10000*$BX$7*$BZ$34/'疲劳值&amp;地图信息'!$R$10*$BY$54)</f>
        <v>6016</v>
      </c>
      <c r="CP196" s="50">
        <f t="shared" si="228"/>
        <v>0.64489739323349971</v>
      </c>
      <c r="CQ196" s="50">
        <f t="shared" si="229"/>
        <v>7.704751340358662E-2</v>
      </c>
      <c r="CR196" s="50">
        <f t="shared" si="230"/>
        <v>0.27805509336291367</v>
      </c>
      <c r="CS196" s="14">
        <f t="shared" si="231"/>
        <v>14943</v>
      </c>
      <c r="CT196" s="14">
        <f t="shared" si="232"/>
        <v>2914</v>
      </c>
      <c r="CU196" s="14">
        <f>INT(SUMPRODUCT($AB196:$AF196,$BA196:$BE196)/SUM($BA196:$BE196)/10000*$BX$7*$BZ$34/'疲劳值&amp;地图信息'!$R$10*$BY$55)</f>
        <v>8175</v>
      </c>
      <c r="CV196" s="50">
        <f t="shared" si="233"/>
        <v>0.57402427781192378</v>
      </c>
      <c r="CW196" s="50">
        <f t="shared" si="234"/>
        <v>0.11193915181315305</v>
      </c>
      <c r="CX196" s="50">
        <f t="shared" si="235"/>
        <v>0.31403657037492316</v>
      </c>
      <c r="CY196" s="14">
        <f t="shared" si="236"/>
        <v>17870</v>
      </c>
      <c r="CZ196" s="14">
        <f t="shared" si="237"/>
        <v>8392</v>
      </c>
      <c r="DA196" s="14">
        <f>INT(SUMPRODUCT($AI196:$AM196,$BA196:$BE196)/SUM($BA196:$BE196)/10000*$BX$7*$BZ$34/'疲劳值&amp;地图信息'!$R$10*$BY$56)</f>
        <v>12331</v>
      </c>
      <c r="DB196" s="50">
        <f t="shared" si="238"/>
        <v>0.46303733837742594</v>
      </c>
      <c r="DC196" s="50">
        <f t="shared" si="239"/>
        <v>0.21744876013784883</v>
      </c>
      <c r="DD196" s="50">
        <f t="shared" si="240"/>
        <v>0.31951390148472519</v>
      </c>
      <c r="DE196" s="14">
        <f t="shared" si="241"/>
        <v>18457</v>
      </c>
      <c r="DF196" s="14">
        <f t="shared" si="242"/>
        <v>14573</v>
      </c>
      <c r="DG196" s="14">
        <f>INT(SUMPRODUCT($AP196:$AT196,$BA196:$BE196)/SUM($BA196:$BE196)/10000*$BX$7*$BZ$34/'疲劳值&amp;地图信息'!$R$10*$BY$57)</f>
        <v>16465</v>
      </c>
      <c r="DH196" s="50">
        <f t="shared" si="243"/>
        <v>0.37290635417718959</v>
      </c>
      <c r="DI196" s="50">
        <f t="shared" si="244"/>
        <v>0.29443378119001917</v>
      </c>
      <c r="DJ196" s="50">
        <f t="shared" si="245"/>
        <v>0.33265986463279118</v>
      </c>
      <c r="DL196" s="14">
        <f t="shared" si="316"/>
        <v>17361</v>
      </c>
      <c r="DM196" s="14">
        <f t="shared" si="317"/>
        <v>21636</v>
      </c>
      <c r="DN196" s="14">
        <f t="shared" si="318"/>
        <v>26032</v>
      </c>
      <c r="DO196" s="14">
        <f t="shared" si="319"/>
        <v>38593</v>
      </c>
      <c r="DP196" s="14">
        <f t="shared" si="320"/>
        <v>49495</v>
      </c>
      <c r="DQ196" s="14">
        <f t="shared" si="321"/>
        <v>1195627</v>
      </c>
      <c r="DT196" s="14">
        <f t="shared" si="315"/>
        <v>235575</v>
      </c>
      <c r="DU196" s="50">
        <f t="shared" si="217"/>
        <v>0.16459940665258993</v>
      </c>
      <c r="DW196" s="14">
        <f t="shared" si="246"/>
        <v>1431202</v>
      </c>
      <c r="EB196" s="14">
        <v>191</v>
      </c>
      <c r="EC196" s="51">
        <f t="shared" si="247"/>
        <v>21849</v>
      </c>
      <c r="ED196" s="51">
        <f t="shared" si="248"/>
        <v>1719</v>
      </c>
      <c r="EE196" s="51">
        <f>INT(SUMPRODUCT($N196:$R196,$BF196:$BJ196)/SUM($BF196:$BJ196)/10000*$BX$7*$BZ$46/'疲劳值&amp;地图信息'!$R$10*$BY$53)</f>
        <v>432</v>
      </c>
      <c r="EF196" s="50">
        <f t="shared" si="249"/>
        <v>0.91037500000000005</v>
      </c>
      <c r="EG196" s="50">
        <f t="shared" si="250"/>
        <v>7.1624999999999994E-2</v>
      </c>
      <c r="EH196" s="50">
        <f t="shared" si="251"/>
        <v>1.7999999999999999E-2</v>
      </c>
      <c r="EI196" s="51">
        <f t="shared" si="252"/>
        <v>23256</v>
      </c>
      <c r="EJ196" s="51">
        <f t="shared" si="253"/>
        <v>2779</v>
      </c>
      <c r="EK196" s="14">
        <f>INT(SUMPRODUCT($U196:$Y196,$BF196:$BJ196)/SUM($BF196:$BJ196)/10000*$BX$7*$BZ$46/'疲劳值&amp;地图信息'!$R$10*$BY$54)</f>
        <v>807</v>
      </c>
      <c r="EL196" s="50">
        <f t="shared" si="254"/>
        <v>0.86640339766038299</v>
      </c>
      <c r="EM196" s="50">
        <f t="shared" si="255"/>
        <v>0.10353177855599434</v>
      </c>
      <c r="EN196" s="50">
        <f t="shared" si="256"/>
        <v>3.0064823783622682E-2</v>
      </c>
      <c r="EO196" s="51">
        <f t="shared" si="257"/>
        <v>24906</v>
      </c>
      <c r="EP196" s="51">
        <f t="shared" si="258"/>
        <v>4857</v>
      </c>
      <c r="EQ196" s="14">
        <f>INT(SUMPRODUCT($AB196:$AF196,$BF196:$BJ196)/SUM($BF196:$BJ196)/10000*$BX$7*$BZ$46/'疲劳值&amp;地图信息'!$R$10*$BY$55)</f>
        <v>1096</v>
      </c>
      <c r="ER196" s="50">
        <f t="shared" si="259"/>
        <v>0.8070903140088791</v>
      </c>
      <c r="ES196" s="50">
        <f t="shared" si="260"/>
        <v>0.15739330503256749</v>
      </c>
      <c r="ET196" s="50">
        <f t="shared" si="261"/>
        <v>3.5516380958553417E-2</v>
      </c>
      <c r="EU196" s="51">
        <f t="shared" si="262"/>
        <v>29783</v>
      </c>
      <c r="EV196" s="51">
        <f t="shared" si="263"/>
        <v>13987</v>
      </c>
      <c r="EW196" s="14">
        <f>INT(SUMPRODUCT($AI196:$AM196,$BF196:$BJ196)/SUM($BF196:$BJ196)/10000*$BX$7*$BZ$46/'疲劳值&amp;地图信息'!$R$10*$BY$56)</f>
        <v>1644</v>
      </c>
      <c r="EX196" s="50">
        <f t="shared" si="264"/>
        <v>0.65581098339719024</v>
      </c>
      <c r="EY196" s="50">
        <f t="shared" si="265"/>
        <v>0.30798872594354165</v>
      </c>
      <c r="EZ196" s="50">
        <f t="shared" si="266"/>
        <v>3.6200290659268067E-2</v>
      </c>
      <c r="FA196" s="51">
        <f t="shared" si="267"/>
        <v>30761</v>
      </c>
      <c r="FB196" s="51">
        <f t="shared" si="268"/>
        <v>24289</v>
      </c>
      <c r="FC196" s="14">
        <f>INT(SUMPRODUCT($AP196:$AT196,$BF196:$BJ196)/SUM($BF196:$BJ196)/10000*$BX$7*$BZ$46/'疲劳值&amp;地图信息'!$R$10*$BY$57)</f>
        <v>2192</v>
      </c>
      <c r="FD196" s="50">
        <f t="shared" si="269"/>
        <v>0.53738513678767341</v>
      </c>
      <c r="FE196" s="50">
        <f t="shared" si="270"/>
        <v>0.42432130254009293</v>
      </c>
      <c r="FF196" s="50">
        <f t="shared" si="271"/>
        <v>3.8293560672233676E-2</v>
      </c>
      <c r="FH196" s="14">
        <f t="shared" si="272"/>
        <v>24000</v>
      </c>
      <c r="FI196" s="14">
        <f t="shared" si="273"/>
        <v>26842</v>
      </c>
      <c r="FJ196" s="14">
        <f t="shared" si="274"/>
        <v>30859</v>
      </c>
      <c r="FK196" s="14">
        <f t="shared" si="275"/>
        <v>45414</v>
      </c>
      <c r="FL196" s="14">
        <f t="shared" si="276"/>
        <v>57242</v>
      </c>
      <c r="FM196" s="14">
        <f t="shared" si="277"/>
        <v>2795733</v>
      </c>
      <c r="FP196" s="14">
        <f t="shared" si="278"/>
        <v>334150</v>
      </c>
      <c r="FQ196" s="50">
        <f t="shared" si="218"/>
        <v>0.10676117925174838</v>
      </c>
      <c r="FS196" s="14">
        <f t="shared" si="279"/>
        <v>3129883</v>
      </c>
      <c r="FX196" s="14">
        <v>191</v>
      </c>
      <c r="FY196" s="51">
        <f t="shared" si="280"/>
        <v>30589</v>
      </c>
      <c r="FZ196" s="51">
        <f t="shared" si="281"/>
        <v>1719</v>
      </c>
      <c r="GA196" s="51">
        <f>INT(SUMPRODUCT($N196:$R196,$BF196:$BJ196)/SUM($BF196:$BJ196)/10000*$BX$7*$BZ$46/'疲劳值&amp;地图信息'!$R$10*$BY$53)</f>
        <v>432</v>
      </c>
      <c r="GB196" s="50">
        <f t="shared" si="282"/>
        <v>0.93430054978619426</v>
      </c>
      <c r="GC196" s="50">
        <f t="shared" si="283"/>
        <v>5.2504581551618815E-2</v>
      </c>
      <c r="GD196" s="50">
        <f t="shared" si="284"/>
        <v>1.3194868662186927E-2</v>
      </c>
      <c r="GE196" s="51">
        <f t="shared" si="285"/>
        <v>32558</v>
      </c>
      <c r="GF196" s="51">
        <f t="shared" si="286"/>
        <v>2779</v>
      </c>
      <c r="GG196" s="14">
        <f>INT(SUMPRODUCT($U196:$Y196,$BF196:$BJ196)/SUM($BF196:$BJ196)/10000*$BX$7*$BZ$46/'疲劳值&amp;地图信息'!$R$10*$BY$54)</f>
        <v>807</v>
      </c>
      <c r="GH196" s="50">
        <f t="shared" si="287"/>
        <v>0.90078574590526783</v>
      </c>
      <c r="GI196" s="50">
        <f t="shared" si="288"/>
        <v>7.6886896857016385E-2</v>
      </c>
      <c r="GJ196" s="50">
        <f t="shared" si="289"/>
        <v>2.2327357237715804E-2</v>
      </c>
      <c r="GK196" s="51">
        <f t="shared" si="290"/>
        <v>34869</v>
      </c>
      <c r="GL196" s="51">
        <f t="shared" si="291"/>
        <v>4857</v>
      </c>
      <c r="GM196" s="14">
        <f>INT(SUMPRODUCT($AB196:$AF196,$BF196:$BJ196)/SUM($BF196:$BJ196)/10000*$BX$7*$BZ$46/'疲劳值&amp;地图信息'!$R$10*$BY$55)</f>
        <v>1096</v>
      </c>
      <c r="GN196" s="50">
        <f t="shared" si="292"/>
        <v>0.85417177012395273</v>
      </c>
      <c r="GO196" s="50">
        <f t="shared" si="293"/>
        <v>0.11897996178531184</v>
      </c>
      <c r="GP196" s="50">
        <f t="shared" si="294"/>
        <v>2.6848268090735389E-2</v>
      </c>
      <c r="GQ196" s="51">
        <f t="shared" si="295"/>
        <v>41697</v>
      </c>
      <c r="GR196" s="51">
        <f t="shared" si="296"/>
        <v>13987</v>
      </c>
      <c r="GS196" s="14">
        <f>INT(SUMPRODUCT($AI196:$AM196,$BF196:$BJ196)/SUM($BF196:$BJ196)/10000*$BX$7*$BZ$46/'疲劳值&amp;地图信息'!$R$10*$BY$56)</f>
        <v>1644</v>
      </c>
      <c r="GT196" s="50">
        <f t="shared" si="297"/>
        <v>0.72734091543399382</v>
      </c>
      <c r="GU196" s="50">
        <f t="shared" si="298"/>
        <v>0.24398199832542561</v>
      </c>
      <c r="GV196" s="50">
        <f t="shared" si="299"/>
        <v>2.8677086240580518E-2</v>
      </c>
      <c r="GW196" s="51">
        <f t="shared" si="300"/>
        <v>43066</v>
      </c>
      <c r="GX196" s="51">
        <f t="shared" si="301"/>
        <v>24289</v>
      </c>
      <c r="GY196" s="14">
        <f>INT(SUMPRODUCT($AP196:$AT196,$BF196:$BJ196)/SUM($BF196:$BJ196)/10000*$BX$7*$BZ$46/'疲劳值&amp;地图信息'!$R$10*$BY$57)</f>
        <v>2192</v>
      </c>
      <c r="GZ196" s="50">
        <f t="shared" si="302"/>
        <v>0.619235912404561</v>
      </c>
      <c r="HA196" s="50">
        <f t="shared" si="303"/>
        <v>0.34924583375271401</v>
      </c>
      <c r="HB196" s="50">
        <f t="shared" si="304"/>
        <v>3.1518253842725066E-2</v>
      </c>
      <c r="HD196" s="14">
        <f t="shared" si="305"/>
        <v>32740</v>
      </c>
      <c r="HE196" s="14">
        <f t="shared" si="306"/>
        <v>36144</v>
      </c>
      <c r="HF196" s="14">
        <f t="shared" si="307"/>
        <v>40822</v>
      </c>
      <c r="HG196" s="14">
        <f t="shared" si="308"/>
        <v>57328</v>
      </c>
      <c r="HH196" s="14">
        <f t="shared" si="309"/>
        <v>69547</v>
      </c>
      <c r="HI196" s="14">
        <f t="shared" si="310"/>
        <v>3759682</v>
      </c>
      <c r="HL196" s="14">
        <f t="shared" si="311"/>
        <v>430050</v>
      </c>
      <c r="HM196" s="50">
        <f t="shared" si="219"/>
        <v>0.10264379678700213</v>
      </c>
      <c r="HO196" s="14">
        <f t="shared" si="312"/>
        <v>4189732</v>
      </c>
    </row>
    <row r="197" spans="11:223" x14ac:dyDescent="0.2">
      <c r="K197" s="14">
        <v>192</v>
      </c>
      <c r="L197" s="12">
        <f>求节点(节奏总纲!D$4:D$163,标准城池设计!AB$4:AB$163,$K197)*求节点(节奏总纲!D$4:D$163,攻城基础信息!$AC$5:$AC$164,$K197)</f>
        <v>644696.16584322974</v>
      </c>
      <c r="M197" s="12">
        <f>INDEX(其他调用!$AA$5:$AA$404,MATCH(K197,其他调用!$X$5:$X$404,0))*MIN(INDEX(其他调用!$AH$5:$AH$364,MATCH('征服点（新）'!K197,其他调用!$AG$5:$AG$364,0),1)/INDEX(其他调用!$AJ$5:$AJ$364,MATCH(K197,其他调用!$AG$5:$AG$364,0),0),5)*求节点(节奏总纲!D$4:D$163,攻城基础信息!$AC$5:$AC$164,$K197)</f>
        <v>50724.302630203645</v>
      </c>
      <c r="N197" s="12">
        <f>MIN(INDEX(其他调用!$AH$5:$AH$364,MATCH($K197,其他调用!$AG$5:$AG$364,0),1)/INDEX(其他调用!AH$5:AH$364,MATCH($K197,其他调用!$AG$5:$AG$364,0),0),1)*INDEX(其他调用!Y$5:Y$404,MATCH($K197,其他调用!$X$5:$X$404,0),0)</f>
        <v>39896.695756000809</v>
      </c>
      <c r="O197" s="12">
        <f>MIN(INDEX(其他调用!$AH$5:$AH$364,MATCH($K197,其他调用!$AG$5:$AG$364,0),1)/INDEX(其他调用!AI$5:AI$364,MATCH($K197,其他调用!$AG$5:$AG$364,0),0),1)*INDEX(其他调用!Z$5:Z$404,MATCH($K197,其他调用!$X$5:$X$404,0),0)</f>
        <v>25428.308859715111</v>
      </c>
      <c r="P197" s="12">
        <f>MIN(INDEX(其他调用!$AH$5:$AH$364,MATCH($K197,其他调用!$AG$5:$AG$364,0),1)/INDEX(其他调用!AJ$5:AJ$364,MATCH($K197,其他调用!$AG$5:$AG$364,0),0),1)*INDEX(其他调用!AA$5:AA$404,MATCH($K197,其他调用!$X$5:$X$404,0),0)</f>
        <v>15078.249765466206</v>
      </c>
      <c r="Q197" s="12">
        <f>MIN(INDEX(其他调用!$AH$5:$AH$364,MATCH($K197,其他调用!$AG$5:$AG$364,0),1)/INDEX(其他调用!AK$5:AK$364,MATCH($K197,其他调用!$AG$5:$AG$364,0),0),1)*INDEX(其他调用!AB$5:AB$404,MATCH($K197,其他调用!$X$5:$X$404,0),0)</f>
        <v>5505.5048616763197</v>
      </c>
      <c r="R197" s="12">
        <f>MIN(INDEX(其他调用!$AH$5:$AH$364,MATCH($K197,其他调用!$AG$5:$AG$364,0),1)/INDEX(其他调用!AL$5:AL$364,MATCH($K197,其他调用!$AG$5:$AG$364,0),0),1)*INDEX(其他调用!AC$5:AC$404,MATCH($K197,其他调用!$X$5:$X$404,0),0)</f>
        <v>2366.0724226852581</v>
      </c>
      <c r="S197" s="12">
        <f>求节点(节奏总纲!D$4:D$163,标准城池设计!AC$4:AC$163,$K197)*求节点(节奏总纲!D$4:D$163,攻城基础信息!$AD$5:$AD$164,$K197)</f>
        <v>686212.38721629477</v>
      </c>
      <c r="T197" s="12">
        <f>INDEX(其他调用!$AA$5:$AA$404,MATCH($K197,其他调用!$X$5:$X$404,0))*MIN(INDEX(其他调用!AI$5:AI$364,MATCH($K197,其他调用!$AG$5:$AG$364,0),1)/INDEX(其他调用!$AJ$5:$AJ$364,MATCH($K197,其他调用!$AG$5:$AG$364,0),0),5)*求节点(节奏总纲!D$4:D$163,攻城基础信息!$AD$5:$AD$164,$K197)</f>
        <v>81900.244225169517</v>
      </c>
      <c r="U197" s="12">
        <f>MIN(INDEX(其他调用!$AI$5:$AI$364,MATCH($K197,其他调用!$AG$5:$AG$364,0),1)/INDEX(其他调用!AH$5:AH$364,MATCH($K197,其他调用!$AG$5:$AG$364,0),0),1)*INDEX(其他调用!Y$5:Y$404,MATCH($K197,其他调用!$X$5:$X$404,0),0)</f>
        <v>39896.695756000809</v>
      </c>
      <c r="V197" s="12">
        <f>MIN(INDEX(其他调用!$AI$5:$AI$364,MATCH($K197,其他调用!$AG$5:$AG$364,0),1)/INDEX(其他调用!AI$5:AI$364,MATCH($K197,其他调用!$AG$5:$AG$364,0),0),1)*INDEX(其他调用!Z$5:Z$404,MATCH($K197,其他调用!$X$5:$X$404,0),0)</f>
        <v>41056.94110821822</v>
      </c>
      <c r="W197" s="12">
        <f>MIN(INDEX(其他调用!$AI$5:$AI$364,MATCH($K197,其他调用!$AG$5:$AG$364,0),1)/INDEX(其他调用!AJ$5:AJ$364,MATCH($K197,其他调用!$AG$5:$AG$364,0),0),1)*INDEX(其他调用!AA$5:AA$404,MATCH($K197,其他调用!$X$5:$X$404,0),0)</f>
        <v>24345.575478537226</v>
      </c>
      <c r="X197" s="12">
        <f>MIN(INDEX(其他调用!$AI$5:$AI$364,MATCH($K197,其他调用!$AG$5:$AG$364,0),1)/INDEX(其他调用!AK$5:AK$364,MATCH($K197,其他调用!$AG$5:$AG$364,0),0),1)*INDEX(其他调用!AB$5:AB$404,MATCH($K197,其他调用!$X$5:$X$404,0),0)</f>
        <v>8889.2733733841469</v>
      </c>
      <c r="Y197" s="12">
        <f>MIN(INDEX(其他调用!$AI$5:$AI$364,MATCH($K197,其他调用!$AG$5:$AG$364,0),1)/INDEX(其他调用!AL$5:AL$364,MATCH($K197,其他调用!$AG$5:$AG$364,0),0),1)*INDEX(其他调用!AC$5:AC$404,MATCH($K197,其他调用!$X$5:$X$404,0),0)</f>
        <v>3820.2971598267823</v>
      </c>
      <c r="Z197" s="12">
        <f>求节点(节奏总纲!D$4:D$163,标准城池设计!AD$4:AD$163,$K197)*求节点(节奏总纲!D$4:D$163,攻城基础信息!$AE$5:$AE$164,$K197)</f>
        <v>735481.01860928384</v>
      </c>
      <c r="AA197" s="12">
        <f>INDEX(其他调用!$AA$5:$AA$404,MATCH($K197,其他调用!$X$5:$X$404,0))*MIN(INDEX(其他调用!AJ$5:AJ$364,MATCH($K197,其他调用!$AG$5:$AG$364,0),1)/INDEX(其他调用!$AJ$5:$AJ$364,MATCH($K197,其他调用!$AG$5:$AG$364,0),0),5)*求节点(节奏总纲!D$4:D$163,攻城基础信息!$AE$5:$AE$164,$K197)</f>
        <v>143225.28949193138</v>
      </c>
      <c r="AB197" s="12">
        <f>MIN(INDEX(其他调用!$AJ$5:$AJ$364,MATCH($K197,其他调用!$AG$5:$AG$364,0),1)/INDEX(其他调用!AH$5:AH$364,MATCH($K197,其他调用!$AG$5:$AG$364,0),0),1)*INDEX(其他调用!Y$5:Y$404,MATCH($K197,其他调用!$X$5:$X$404,0),0)</f>
        <v>39896.695756000809</v>
      </c>
      <c r="AC197" s="12">
        <f>MIN(INDEX(其他调用!$AJ$5:$AJ$364,MATCH($K197,其他调用!$AG$5:$AG$364,0),1)/INDEX(其他调用!AI$5:AI$364,MATCH($K197,其他调用!$AG$5:$AG$364,0),0),1)*INDEX(其他调用!Z$5:Z$404,MATCH($K197,其他调用!$X$5:$X$404,0),0)</f>
        <v>41056.94110821822</v>
      </c>
      <c r="AD197" s="12">
        <f>MIN(INDEX(其他调用!$AJ$5:$AJ$364,MATCH($K197,其他调用!$AG$5:$AG$364,0),1)/INDEX(其他调用!AJ$5:AJ$364,MATCH($K197,其他调用!$AG$5:$AG$364,0),0),1)*INDEX(其他调用!AA$5:AA$404,MATCH($K197,其他调用!$X$5:$X$404,0),0)</f>
        <v>42574.990206067887</v>
      </c>
      <c r="AE197" s="12">
        <f>MIN(INDEX(其他调用!$AJ$5:$AJ$364,MATCH($K197,其他调用!$AG$5:$AG$364,0),1)/INDEX(其他调用!AK$5:AK$364,MATCH($K197,其他调用!$AG$5:$AG$364,0),0),1)*INDEX(其他调用!AB$5:AB$404,MATCH($K197,其他调用!$X$5:$X$404,0),0)</f>
        <v>15545.359654551468</v>
      </c>
      <c r="AF197" s="12">
        <f>MIN(INDEX(其他调用!$AJ$5:$AJ$364,MATCH($K197,其他调用!$AG$5:$AG$364,0),1)/INDEX(其他调用!AL$5:AL$364,MATCH($K197,其他调用!$AG$5:$AG$364,0),0),1)*INDEX(其他调用!AC$5:AC$404,MATCH($K197,其他调用!$X$5:$X$404,0),0)</f>
        <v>6680.8490235642103</v>
      </c>
      <c r="AG197" s="12">
        <f>求节点(节奏总纲!D$4:D$163,标准城池设计!AE$4:AE$163,$K197)*求节点(节奏总纲!D$4:D$163,攻城基础信息!$AF$5:$AF$164,$K197)</f>
        <v>879559.60901942151</v>
      </c>
      <c r="AH197" s="12">
        <f>INDEX(其他调用!$AA$5:$AA$404,MATCH($K197,其他调用!$X$5:$X$404,0))*MIN(INDEX(其他调用!AK$5:AK$364,MATCH($K197,其他调用!$AG$5:$AG$364,0),1)/INDEX(其他调用!$AJ$5:$AJ$364,MATCH($K197,其他调用!$AG$5:$AG$364,0),0),5)*求节点(节奏总纲!D$4:D$163,攻城基础信息!$AF$5:$AF$164,$K197)</f>
        <v>412376.52525900712</v>
      </c>
      <c r="AI197" s="12">
        <f>MIN(INDEX(其他调用!$AK$5:$AK$364,MATCH($K197,其他调用!$AG$5:$AG$364,0),1)/INDEX(其他调用!AH$5:AH$364,MATCH($K197,其他调用!$AG$5:$AG$364,0),0),1)*INDEX(其他调用!Y$5:Y$404,MATCH($K197,其他调用!$X$5:$X$404,0),0)</f>
        <v>39896.695756000809</v>
      </c>
      <c r="AJ197" s="12">
        <f>MIN(INDEX(其他调用!$AK$5:$AK$364,MATCH($K197,其他调用!$AG$5:$AG$364,0),1)/INDEX(其他调用!AI$5:AI$364,MATCH($K197,其他调用!$AG$5:$AG$364,0),0),1)*INDEX(其他调用!Z$5:Z$404,MATCH($K197,其他调用!$X$5:$X$404,0),0)</f>
        <v>41056.94110821822</v>
      </c>
      <c r="AK197" s="12">
        <f>MIN(INDEX(其他调用!$AK$5:$AK$364,MATCH($K197,其他调用!$AG$5:$AG$364,0),1)/INDEX(其他调用!AJ$5:AJ$364,MATCH($K197,其他调用!$AG$5:$AG$364,0),0),1)*INDEX(其他调用!AA$5:AA$404,MATCH($K197,其他调用!$X$5:$X$404,0),0)</f>
        <v>42574.990206067887</v>
      </c>
      <c r="AL197" s="12">
        <f>MIN(INDEX(其他调用!$AK$5:$AK$364,MATCH($K197,其他调用!$AG$5:$AG$364,0),1)/INDEX(其他调用!AK$5:AK$364,MATCH($K197,其他调用!$AG$5:$AG$364,0),0),1)*INDEX(其他调用!AB$5:AB$404,MATCH($K197,其他调用!$X$5:$X$404,0),0)</f>
        <v>44758.446088577337</v>
      </c>
      <c r="AM197" s="12">
        <f>MIN(INDEX(其他调用!$AK$5:$AK$364,MATCH($K197,其他调用!$AG$5:$AG$364,0),1)/INDEX(其他调用!AL$5:AL$364,MATCH($K197,其他调用!$AG$5:$AG$364,0),0),1)*INDEX(其他调用!AC$5:AC$404,MATCH($K197,其他调用!$X$5:$X$404,0),0)</f>
        <v>19235.606476275578</v>
      </c>
      <c r="AN197" s="12">
        <f>求节点(节奏总纲!D$4:D$163,标准城池设计!AF$4:AF$163,$K197)*求节点(节奏总纲!D$4:D$163,攻城基础信息!$AG$5:$AG$164,$K197)</f>
        <v>908932.64568011672</v>
      </c>
      <c r="AO197" s="12">
        <f>INDEX(其他调用!$AA$5:$AA$404,MATCH($K197,其他调用!$X$5:$X$404,0))*MIN(INDEX(其他调用!AL$5:AL$364,MATCH($K197,其他调用!$AG$5:$AG$364,0),1)/INDEX(其他调用!$AJ$5:$AJ$364,MATCH($K197,其他调用!$AG$5:$AG$364,0),0),5)*求节点(节奏总纲!D$4:D$163,攻城基础信息!$AG$5:$AG$164,$K197)</f>
        <v>716126.44745965698</v>
      </c>
      <c r="AP197" s="12">
        <f>MIN(INDEX(其他调用!$AL$5:$AL$364,MATCH($K197,其他调用!$AG$5:$AG$364,0),1)/INDEX(其他调用!AH$5:AH$364,MATCH($K197,其他调用!$AG$5:$AG$364,0),0),1)*INDEX(其他调用!Y$5:Y$404,MATCH($K197,其他调用!$X$5:$X$404,0),0)</f>
        <v>39896.695756000809</v>
      </c>
      <c r="AQ197" s="12">
        <f>MIN(INDEX(其他调用!$AL$5:$AL$364,MATCH($K197,其他调用!$AG$5:$AG$364,0),1)/INDEX(其他调用!AI$5:AI$364,MATCH($K197,其他调用!$AG$5:$AG$364,0),0),1)*INDEX(其他调用!Z$5:Z$404,MATCH($K197,其他调用!$X$5:$X$404,0),0)</f>
        <v>41056.94110821822</v>
      </c>
      <c r="AR197" s="12">
        <f>MIN(INDEX(其他调用!$AL$5:$AL$364,MATCH($K197,其他调用!$AG$5:$AG$364,0),1)/INDEX(其他调用!AJ$5:AJ$364,MATCH($K197,其他调用!$AG$5:$AG$364,0),0),1)*INDEX(其他调用!AA$5:AA$404,MATCH($K197,其他调用!$X$5:$X$404,0),0)</f>
        <v>42574.990206067887</v>
      </c>
      <c r="AS197" s="12">
        <f>MIN(INDEX(其他调用!$AL$5:$AL$364,MATCH($K197,其他调用!$AG$5:$AG$364,0),1)/INDEX(其他调用!AK$5:AK$364,MATCH($K197,其他调用!$AG$5:$AG$364,0),0),1)*INDEX(其他调用!AB$5:AB$404,MATCH($K197,其他调用!$X$5:$X$404,0),0)</f>
        <v>44758.446088577337</v>
      </c>
      <c r="AT197" s="12">
        <f>MIN(INDEX(其他调用!$AL$5:$AL$364,MATCH($K197,其他调用!$AG$5:$AG$364,0),1)/INDEX(其他调用!AL$5:AL$364,MATCH($K197,其他调用!$AG$5:$AG$364,0),0),1)*INDEX(其他调用!AC$5:AC$404,MATCH($K197,其他调用!$X$5:$X$404,0),0)</f>
        <v>48717.120323056122</v>
      </c>
      <c r="AV197" s="14">
        <f>IF(OR(AV$5="大R",AV$5="超R"),MAX(INDEX(其他调用!$H$5:$L$404,MATCH($K197,其他调用!$B$5:$B$404,0),MATCH(AV$5,其他调用!$H$4:$L$4,0))*120*0.85,2),INDEX(其他调用!$H$5:$L$404,MATCH($K197,其他调用!$B$5:$B$404,0),MATCH(AV$5,其他调用!$H$4:$L$4,0))*120*0.85)</f>
        <v>48.921801254999991</v>
      </c>
      <c r="AW197" s="14">
        <f>IF(OR(AW$5="大R",AW$5="超R"),MAX(INDEX(其他调用!$H$5:$L$404,MATCH($K197,其他调用!$B$5:$B$404,0),MATCH(AW$5,其他调用!$H$4:$L$4,0))*120*0.85,2),INDEX(其他调用!$H$5:$L$404,MATCH($K197,其他调用!$B$5:$B$404,0),MATCH(AW$5,其他调用!$H$4:$L$4,0))*120*0.85)</f>
        <v>48.237344010638395</v>
      </c>
      <c r="AX197" s="14">
        <f>IF(OR(AX$5="大R",AX$5="超R"),MAX(INDEX(其他调用!$H$5:$L$404,MATCH($K197,其他调用!$B$5:$B$404,0),MATCH(AX$5,其他调用!$H$4:$L$4,0))*120*0.85,2),INDEX(其他调用!$H$5:$L$404,MATCH($K197,其他调用!$B$5:$B$404,0),MATCH(AX$5,其他调用!$H$4:$L$4,0))*120*0.85)</f>
        <v>3.9376284143615998</v>
      </c>
      <c r="AY197" s="14">
        <f>IF(OR(AY$5="大R",AY$5="超R"),MAX(INDEX(其他调用!$H$5:$L$404,MATCH($K197,其他调用!$B$5:$B$404,0),MATCH(AY$5,其他调用!$H$4:$L$4,0))*120*0.85,2),INDEX(其他调用!$H$5:$L$404,MATCH($K197,其他调用!$B$5:$B$404,0),MATCH(AY$5,其他调用!$H$4:$L$4,0))*120*0.85)</f>
        <v>2</v>
      </c>
      <c r="AZ197" s="14">
        <f>IF(OR(AZ$5="大R",AZ$5="超R"),MAX(INDEX(其他调用!$H$5:$L$404,MATCH($K197,其他调用!$B$5:$B$404,0),MATCH(AZ$5,其他调用!$H$4:$L$4,0))*120*0.85,2),INDEX(其他调用!$H$5:$L$404,MATCH($K197,其他调用!$B$5:$B$404,0),MATCH(AZ$5,其他调用!$H$4:$L$4,0))*120*0.85)</f>
        <v>2</v>
      </c>
      <c r="BA197" s="14">
        <f>INDEX(其他调用!$H$5:$L$404,MATCH($K197,其他调用!$B$5:$B$404,0),MATCH(BA$5,其他调用!$H$4:$L$4,0))*INDEX(其他调用!$M$5:$M$404,MATCH($K197,其他调用!$B$5:$B$404,0))*0.6</f>
        <v>28.777530149999997</v>
      </c>
      <c r="BB197" s="14">
        <f>INDEX(其他调用!$H$5:$L$404,MATCH($K197,其他调用!$B$5:$B$404,0),MATCH(BB$5,其他调用!$H$4:$L$4,0))*INDEX(其他调用!$M$5:$M$404,MATCH($K197,其他调用!$B$5:$B$404,0))*0.6</f>
        <v>28.374908241551999</v>
      </c>
      <c r="BC197" s="14">
        <f>INDEX(其他调用!$H$5:$L$404,MATCH($K197,其他调用!$B$5:$B$404,0),MATCH(BC$5,其他调用!$H$4:$L$4,0))*INDEX(其他调用!$M$5:$M$404,MATCH($K197,其他调用!$B$5:$B$404,0))*0.6</f>
        <v>2.3162520084480001</v>
      </c>
      <c r="BD197" s="14">
        <f>INDEX(其他调用!$H$5:$L$404,MATCH($K197,其他调用!$B$5:$B$404,0),MATCH(BD$5,其他调用!$H$4:$L$4,0))*INDEX(其他调用!$M$5:$M$404,MATCH($K197,其他调用!$B$5:$B$404,0))*0.6</f>
        <v>0.4120776000000001</v>
      </c>
      <c r="BE197" s="14">
        <f>INDEX(其他调用!$H$5:$L$404,MATCH($K197,其他调用!$B$5:$B$404,0),MATCH(BE$5,其他调用!$H$4:$L$4,0))*INDEX(其他调用!$M$5:$M$404,MATCH($K197,其他调用!$B$5:$B$404,0))*0.6</f>
        <v>0.11923199999999998</v>
      </c>
      <c r="BF197" s="14">
        <f>IF(OR(BF$5="大R",BF$5="超R"),0,INDEX(其他调用!$H$5:$L$404,MATCH($K197,其他调用!$B$5:$B$404,0),MATCH(BF$5,其他调用!$H$4:$L$4,0))*50*0.4)</f>
        <v>9.5925100500000013</v>
      </c>
      <c r="BG197" s="14">
        <f>IF(OR(BG$5="大R",BG$5="超R"),0,INDEX(其他调用!$H$5:$L$404,MATCH($K197,其他调用!$B$5:$B$404,0),MATCH(BG$5,其他调用!$H$4:$L$4,0))*50*0.4)</f>
        <v>9.4583027471839998</v>
      </c>
      <c r="BH197" s="14">
        <f>IF(OR(BH$5="大R",BH$5="超R"),0,INDEX(其他调用!$H$5:$L$404,MATCH($K197,其他调用!$B$5:$B$404,0),MATCH(BH$5,其他调用!$H$4:$L$4,0))*50*0.4)</f>
        <v>0.77208400281600009</v>
      </c>
      <c r="BI197" s="14">
        <f>IF(OR(BI$5="大R",BI$5="超R"),0,INDEX(其他调用!$H$5:$L$404,MATCH($K197,其他调用!$B$5:$B$404,0),MATCH(BI$5,其他调用!$H$4:$L$4,0))*50*0.4)</f>
        <v>0</v>
      </c>
      <c r="BJ197" s="14">
        <f>IF(OR(BJ$5="大R",BJ$5="超R"),0,INDEX(其他调用!$H$5:$L$404,MATCH($K197,其他调用!$B$5:$B$404,0),MATCH(BJ$5,其他调用!$H$4:$L$4,0))*50*0.4)</f>
        <v>0</v>
      </c>
      <c r="BL197" s="14">
        <f t="shared" si="313"/>
        <v>192</v>
      </c>
      <c r="BM197" s="14">
        <f t="shared" si="220"/>
        <v>96</v>
      </c>
      <c r="BN197" s="14">
        <f>('疲劳值&amp;地图信息'!$S$10*'疲劳值&amp;地图信息'!$R$10+'疲劳值&amp;地图信息'!$S$11*'疲劳值&amp;地图信息'!$R$11+'疲劳值&amp;地图信息'!$S$12*'疲劳值&amp;地图信息'!$R$12+(BM197-'疲劳值&amp;地图信息'!$S$12-'疲劳值&amp;地图信息'!$S$11-'疲劳值&amp;地图信息'!$S$10)*'疲劳值&amp;地图信息'!$R$13)/BM197</f>
        <v>51.371477246638619</v>
      </c>
      <c r="BO197" s="14">
        <f>INDEX(其他调用!$M$5:$M$404,MATCH(BL197,其他调用!$B$5:$B$404,0))*0.6</f>
        <v>60</v>
      </c>
      <c r="BP197" s="14">
        <f>IF(BO197&gt;SUM('疲劳值&amp;地图信息'!$S$10:$S$12),('疲劳值&amp;地图信息'!$S$10*'疲劳值&amp;地图信息'!$R$10+'疲劳值&amp;地图信息'!$S$11*'疲劳值&amp;地图信息'!$R$11+'疲劳值&amp;地图信息'!$S$12*'疲劳值&amp;地图信息'!$R$12+(BO197-'疲劳值&amp;地图信息'!$S$12-'疲劳值&amp;地图信息'!$S$11-'疲劳值&amp;地图信息'!$S$10)*'疲劳值&amp;地图信息'!$R$13)/BO197,('疲劳值&amp;地图信息'!$S$10*'疲劳值&amp;地图信息'!$R$10+'疲劳值&amp;地图信息'!$S$11*'疲劳值&amp;地图信息'!$R$11+'疲劳值&amp;地图信息'!$S$12*'疲劳值&amp;地图信息'!$R$12+(BO197-'疲劳值&amp;地图信息'!$S$12-'疲劳值&amp;地图信息'!$S$11-'疲劳值&amp;地图信息'!$S$10)*'疲劳值&amp;地图信息'!$R$13)/BO197)</f>
        <v>44.158136341605953</v>
      </c>
      <c r="BQ197" s="14">
        <f t="shared" si="314"/>
        <v>20</v>
      </c>
      <c r="BR197" s="14">
        <f>('疲劳值&amp;地图信息'!$S$10*'疲劳值&amp;地图信息'!$R$10+($BQ197-'疲劳值&amp;地图信息'!$S$10)*'疲劳值&amp;地图信息'!$R$11)/$BQ197</f>
        <v>32.067203015074995</v>
      </c>
      <c r="CF197" s="14">
        <v>192</v>
      </c>
      <c r="CG197" s="51">
        <f t="shared" si="221"/>
        <v>13139</v>
      </c>
      <c r="CH197" s="51">
        <f t="shared" si="222"/>
        <v>1033</v>
      </c>
      <c r="CI197" s="51">
        <f>INT(SUMPRODUCT($N197:$R197,$BA197:$BE197)/SUM($BA197:$BE197)/10000*$BX$7*$BZ$34/'疲劳值&amp;地图信息'!$R$10*$BY$53)</f>
        <v>3225</v>
      </c>
      <c r="CJ197" s="50">
        <f t="shared" si="223"/>
        <v>0.75524515721101337</v>
      </c>
      <c r="CK197" s="50">
        <f t="shared" si="224"/>
        <v>5.9378053687417373E-2</v>
      </c>
      <c r="CL197" s="50">
        <f t="shared" si="225"/>
        <v>0.18537678910156924</v>
      </c>
      <c r="CM197" s="14">
        <f t="shared" si="226"/>
        <v>13985</v>
      </c>
      <c r="CN197" s="14">
        <f t="shared" si="227"/>
        <v>1669</v>
      </c>
      <c r="CO197" s="14">
        <f>INT(SUMPRODUCT($U197:$Y197,$BA197:$BE197)/SUM($BA197:$BE197)/10000*$BX$7*$BZ$34/'疲劳值&amp;地图信息'!$R$10*$BY$54)</f>
        <v>6021</v>
      </c>
      <c r="CP197" s="50">
        <f t="shared" si="228"/>
        <v>0.6452133794694348</v>
      </c>
      <c r="CQ197" s="50">
        <f t="shared" si="229"/>
        <v>7.7001153402537492E-2</v>
      </c>
      <c r="CR197" s="50">
        <f t="shared" si="230"/>
        <v>0.27778546712802771</v>
      </c>
      <c r="CS197" s="14">
        <f t="shared" si="231"/>
        <v>14990</v>
      </c>
      <c r="CT197" s="14">
        <f t="shared" si="232"/>
        <v>2919</v>
      </c>
      <c r="CU197" s="14">
        <f>INT(SUMPRODUCT($AB197:$AF197,$BA197:$BE197)/SUM($BA197:$BE197)/10000*$BX$7*$BZ$34/'疲劳值&amp;地图信息'!$R$10*$BY$55)</f>
        <v>8181</v>
      </c>
      <c r="CV197" s="50">
        <f t="shared" si="233"/>
        <v>0.57454963587581453</v>
      </c>
      <c r="CW197" s="50">
        <f t="shared" si="234"/>
        <v>0.11188194710617094</v>
      </c>
      <c r="CX197" s="50">
        <f t="shared" si="235"/>
        <v>0.31356841701801458</v>
      </c>
      <c r="CY197" s="14">
        <f t="shared" si="236"/>
        <v>17926</v>
      </c>
      <c r="CZ197" s="14">
        <f t="shared" si="237"/>
        <v>8404</v>
      </c>
      <c r="DA197" s="14">
        <f>INT(SUMPRODUCT($AI197:$AM197,$BA197:$BE197)/SUM($BA197:$BE197)/10000*$BX$7*$BZ$34/'疲劳值&amp;地图信息'!$R$10*$BY$56)</f>
        <v>12340</v>
      </c>
      <c r="DB197" s="50">
        <f t="shared" si="238"/>
        <v>0.46356348590638741</v>
      </c>
      <c r="DC197" s="50">
        <f t="shared" si="239"/>
        <v>0.21732609257822602</v>
      </c>
      <c r="DD197" s="50">
        <f t="shared" si="240"/>
        <v>0.3191104215153866</v>
      </c>
      <c r="DE197" s="14">
        <f t="shared" si="241"/>
        <v>18525</v>
      </c>
      <c r="DF197" s="14">
        <f t="shared" si="242"/>
        <v>14595</v>
      </c>
      <c r="DG197" s="14">
        <f>INT(SUMPRODUCT($AP197:$AT197,$BA197:$BE197)/SUM($BA197:$BE197)/10000*$BX$7*$BZ$34/'疲劳值&amp;地图信息'!$R$10*$BY$57)</f>
        <v>16478</v>
      </c>
      <c r="DH197" s="50">
        <f t="shared" si="243"/>
        <v>0.37350296382918668</v>
      </c>
      <c r="DI197" s="50">
        <f t="shared" si="244"/>
        <v>0.29426589781846041</v>
      </c>
      <c r="DJ197" s="50">
        <f t="shared" si="245"/>
        <v>0.33223113835235291</v>
      </c>
      <c r="DL197" s="14">
        <f t="shared" si="316"/>
        <v>17397</v>
      </c>
      <c r="DM197" s="14">
        <f t="shared" si="317"/>
        <v>21675</v>
      </c>
      <c r="DN197" s="14">
        <f t="shared" si="318"/>
        <v>26090</v>
      </c>
      <c r="DO197" s="14">
        <f t="shared" si="319"/>
        <v>38670</v>
      </c>
      <c r="DP197" s="14">
        <f t="shared" si="320"/>
        <v>49598</v>
      </c>
      <c r="DQ197" s="14">
        <f t="shared" si="321"/>
        <v>1197948</v>
      </c>
      <c r="DT197" s="14">
        <f t="shared" si="315"/>
        <v>235575</v>
      </c>
      <c r="DU197" s="50">
        <f t="shared" si="217"/>
        <v>0.16433290571549949</v>
      </c>
      <c r="DW197" s="14">
        <f t="shared" si="246"/>
        <v>1433523</v>
      </c>
      <c r="EB197" s="14">
        <v>192</v>
      </c>
      <c r="EC197" s="51">
        <f t="shared" si="247"/>
        <v>21899</v>
      </c>
      <c r="ED197" s="51">
        <f t="shared" si="248"/>
        <v>1723</v>
      </c>
      <c r="EE197" s="51">
        <f>INT(SUMPRODUCT($N197:$R197,$BF197:$BJ197)/SUM($BF197:$BJ197)/10000*$BX$7*$BZ$46/'疲劳值&amp;地图信息'!$R$10*$BY$53)</f>
        <v>433</v>
      </c>
      <c r="EF197" s="50">
        <f t="shared" si="249"/>
        <v>0.9103720640199543</v>
      </c>
      <c r="EG197" s="50">
        <f t="shared" si="250"/>
        <v>7.1627520266056954E-2</v>
      </c>
      <c r="EH197" s="50">
        <f t="shared" si="251"/>
        <v>1.8000415713988777E-2</v>
      </c>
      <c r="EI197" s="51">
        <f t="shared" si="252"/>
        <v>23309</v>
      </c>
      <c r="EJ197" s="51">
        <f t="shared" si="253"/>
        <v>2782</v>
      </c>
      <c r="EK197" s="14">
        <f>INT(SUMPRODUCT($U197:$Y197,$BF197:$BJ197)/SUM($BF197:$BJ197)/10000*$BX$7*$BZ$46/'疲劳值&amp;地图信息'!$R$10*$BY$54)</f>
        <v>808</v>
      </c>
      <c r="EL197" s="50">
        <f t="shared" si="254"/>
        <v>0.8665377895089037</v>
      </c>
      <c r="EM197" s="50">
        <f t="shared" si="255"/>
        <v>0.10342391910479944</v>
      </c>
      <c r="EN197" s="50">
        <f t="shared" si="256"/>
        <v>3.0038291386296889E-2</v>
      </c>
      <c r="EO197" s="51">
        <f t="shared" si="257"/>
        <v>24983</v>
      </c>
      <c r="EP197" s="51">
        <f t="shared" si="258"/>
        <v>4865</v>
      </c>
      <c r="EQ197" s="14">
        <f>INT(SUMPRODUCT($AB197:$AF197,$BF197:$BJ197)/SUM($BF197:$BJ197)/10000*$BX$7*$BZ$46/'疲劳值&amp;地图信息'!$R$10*$BY$55)</f>
        <v>1097</v>
      </c>
      <c r="ER197" s="50">
        <f t="shared" si="259"/>
        <v>0.80733559541121347</v>
      </c>
      <c r="ES197" s="50">
        <f t="shared" si="260"/>
        <v>0.15721441266763614</v>
      </c>
      <c r="ET197" s="50">
        <f t="shared" si="261"/>
        <v>3.5449991921150427E-2</v>
      </c>
      <c r="EU197" s="51">
        <f t="shared" si="262"/>
        <v>29877</v>
      </c>
      <c r="EV197" s="51">
        <f t="shared" si="263"/>
        <v>14007</v>
      </c>
      <c r="EW197" s="14">
        <f>INT(SUMPRODUCT($AI197:$AM197,$BF197:$BJ197)/SUM($BF197:$BJ197)/10000*$BX$7*$BZ$46/'疲劳值&amp;地图信息'!$R$10*$BY$56)</f>
        <v>1645</v>
      </c>
      <c r="EX197" s="50">
        <f t="shared" si="264"/>
        <v>0.65621911309275405</v>
      </c>
      <c r="EY197" s="50">
        <f t="shared" si="265"/>
        <v>0.3076500691866722</v>
      </c>
      <c r="EZ197" s="50">
        <f t="shared" si="266"/>
        <v>3.6130817720573701E-2</v>
      </c>
      <c r="FA197" s="51">
        <f t="shared" si="267"/>
        <v>30875</v>
      </c>
      <c r="FB197" s="51">
        <f t="shared" si="268"/>
        <v>24325</v>
      </c>
      <c r="FC197" s="14">
        <f>INT(SUMPRODUCT($AP197:$AT197,$BF197:$BJ197)/SUM($BF197:$BJ197)/10000*$BX$7*$BZ$46/'疲劳值&amp;地图信息'!$R$10*$BY$57)</f>
        <v>2194</v>
      </c>
      <c r="FD197" s="50">
        <f t="shared" si="269"/>
        <v>0.53794821758371958</v>
      </c>
      <c r="FE197" s="50">
        <f t="shared" si="270"/>
        <v>0.42382479004774021</v>
      </c>
      <c r="FF197" s="50">
        <f t="shared" si="271"/>
        <v>3.8226992368540262E-2</v>
      </c>
      <c r="FH197" s="14">
        <f t="shared" si="272"/>
        <v>24055</v>
      </c>
      <c r="FI197" s="14">
        <f t="shared" si="273"/>
        <v>26899</v>
      </c>
      <c r="FJ197" s="14">
        <f t="shared" si="274"/>
        <v>30945</v>
      </c>
      <c r="FK197" s="14">
        <f t="shared" si="275"/>
        <v>45529</v>
      </c>
      <c r="FL197" s="14">
        <f t="shared" si="276"/>
        <v>57394</v>
      </c>
      <c r="FM197" s="14">
        <f t="shared" si="277"/>
        <v>2802046</v>
      </c>
      <c r="FP197" s="14">
        <f t="shared" si="278"/>
        <v>334150</v>
      </c>
      <c r="FQ197" s="50">
        <f t="shared" si="218"/>
        <v>0.10654627453131119</v>
      </c>
      <c r="FS197" s="14">
        <f t="shared" si="279"/>
        <v>3136196</v>
      </c>
      <c r="FX197" s="14">
        <v>192</v>
      </c>
      <c r="FY197" s="51">
        <f t="shared" si="280"/>
        <v>30659</v>
      </c>
      <c r="FZ197" s="51">
        <f t="shared" si="281"/>
        <v>1723</v>
      </c>
      <c r="GA197" s="51">
        <f>INT(SUMPRODUCT($N197:$R197,$BF197:$BJ197)/SUM($BF197:$BJ197)/10000*$BX$7*$BZ$46/'疲劳值&amp;地图信息'!$R$10*$BY$53)</f>
        <v>433</v>
      </c>
      <c r="GB197" s="50">
        <f t="shared" si="282"/>
        <v>0.93429833917415817</v>
      </c>
      <c r="GC197" s="50">
        <f t="shared" si="283"/>
        <v>5.2506475697089744E-2</v>
      </c>
      <c r="GD197" s="50">
        <f t="shared" si="284"/>
        <v>1.3195185128752096E-2</v>
      </c>
      <c r="GE197" s="51">
        <f t="shared" si="285"/>
        <v>32633</v>
      </c>
      <c r="GF197" s="51">
        <f t="shared" si="286"/>
        <v>2782</v>
      </c>
      <c r="GG197" s="14">
        <f>INT(SUMPRODUCT($U197:$Y197,$BF197:$BJ197)/SUM($BF197:$BJ197)/10000*$BX$7*$BZ$46/'疲劳值&amp;地图信息'!$R$10*$BY$54)</f>
        <v>808</v>
      </c>
      <c r="GH197" s="50">
        <f t="shared" si="287"/>
        <v>0.90089169864450769</v>
      </c>
      <c r="GI197" s="50">
        <f t="shared" si="288"/>
        <v>7.6802031858211633E-2</v>
      </c>
      <c r="GJ197" s="50">
        <f t="shared" si="289"/>
        <v>2.2306269497280734E-2</v>
      </c>
      <c r="GK197" s="51">
        <f t="shared" si="290"/>
        <v>34976</v>
      </c>
      <c r="GL197" s="51">
        <f t="shared" si="291"/>
        <v>4865</v>
      </c>
      <c r="GM197" s="14">
        <f>INT(SUMPRODUCT($AB197:$AF197,$BF197:$BJ197)/SUM($BF197:$BJ197)/10000*$BX$7*$BZ$46/'疲劳值&amp;地图信息'!$R$10*$BY$55)</f>
        <v>1097</v>
      </c>
      <c r="GN197" s="50">
        <f t="shared" si="292"/>
        <v>0.85436513752503784</v>
      </c>
      <c r="GO197" s="50">
        <f t="shared" si="293"/>
        <v>0.11883824319702965</v>
      </c>
      <c r="GP197" s="50">
        <f t="shared" si="294"/>
        <v>2.6796619277932483E-2</v>
      </c>
      <c r="GQ197" s="51">
        <f t="shared" si="295"/>
        <v>41828</v>
      </c>
      <c r="GR197" s="51">
        <f t="shared" si="296"/>
        <v>14007</v>
      </c>
      <c r="GS197" s="14">
        <f>INT(SUMPRODUCT($AI197:$AM197,$BF197:$BJ197)/SUM($BF197:$BJ197)/10000*$BX$7*$BZ$46/'疲劳值&amp;地图信息'!$R$10*$BY$56)</f>
        <v>1645</v>
      </c>
      <c r="GT197" s="50">
        <f t="shared" si="297"/>
        <v>0.72769659011830201</v>
      </c>
      <c r="GU197" s="50">
        <f t="shared" si="298"/>
        <v>0.24368475991649269</v>
      </c>
      <c r="GV197" s="50">
        <f t="shared" si="299"/>
        <v>2.861864996520529E-2</v>
      </c>
      <c r="GW197" s="51">
        <f t="shared" si="300"/>
        <v>43225</v>
      </c>
      <c r="GX197" s="51">
        <f t="shared" si="301"/>
        <v>24325</v>
      </c>
      <c r="GY197" s="14">
        <f>INT(SUMPRODUCT($AP197:$AT197,$BF197:$BJ197)/SUM($BF197:$BJ197)/10000*$BX$7*$BZ$46/'疲劳值&amp;地图信息'!$R$10*$BY$57)</f>
        <v>2194</v>
      </c>
      <c r="GZ197" s="50">
        <f t="shared" si="302"/>
        <v>0.61976657490250053</v>
      </c>
      <c r="HA197" s="50">
        <f t="shared" si="303"/>
        <v>0.34877552190869465</v>
      </c>
      <c r="HB197" s="50">
        <f t="shared" si="304"/>
        <v>3.1457903188804773E-2</v>
      </c>
      <c r="HD197" s="14">
        <f t="shared" si="305"/>
        <v>32815</v>
      </c>
      <c r="HE197" s="14">
        <f t="shared" si="306"/>
        <v>36223</v>
      </c>
      <c r="HF197" s="14">
        <f t="shared" si="307"/>
        <v>40938</v>
      </c>
      <c r="HG197" s="14">
        <f t="shared" si="308"/>
        <v>57480</v>
      </c>
      <c r="HH197" s="14">
        <f t="shared" si="309"/>
        <v>69744</v>
      </c>
      <c r="HI197" s="14">
        <f t="shared" si="310"/>
        <v>3768316</v>
      </c>
      <c r="HL197" s="14">
        <f t="shared" si="311"/>
        <v>430050</v>
      </c>
      <c r="HM197" s="50">
        <f t="shared" si="219"/>
        <v>0.10243270834415104</v>
      </c>
      <c r="HO197" s="14">
        <f t="shared" si="312"/>
        <v>4198366</v>
      </c>
    </row>
    <row r="198" spans="11:223" x14ac:dyDescent="0.2">
      <c r="K198" s="14">
        <v>193</v>
      </c>
      <c r="L198" s="12">
        <f>求节点(节奏总纲!D$4:D$163,标准城池设计!AB$4:AB$163,$K198)*求节点(节奏总纲!D$4:D$163,攻城基础信息!$AC$5:$AC$164,$K198)</f>
        <v>646177.22492769058</v>
      </c>
      <c r="M198" s="12">
        <f>INDEX(其他调用!$AA$5:$AA$404,MATCH(K198,其他调用!$X$5:$X$404,0))*MIN(INDEX(其他调用!$AH$5:$AH$364,MATCH('征服点（新）'!K198,其他调用!$AG$5:$AG$364,0),1)/INDEX(其他调用!$AJ$5:$AJ$364,MATCH(K198,其他调用!$AG$5:$AG$364,0),0),5)*求节点(节奏总纲!D$4:D$163,攻城基础信息!$AC$5:$AC$164,$K198)</f>
        <v>50837.930796574241</v>
      </c>
      <c r="N198" s="12">
        <f>MIN(INDEX(其他调用!$AH$5:$AH$364,MATCH($K198,其他调用!$AG$5:$AG$364,0),1)/INDEX(其他调用!AH$5:AH$364,MATCH($K198,其他调用!$AG$5:$AG$364,0),0),1)*INDEX(其他调用!Y$5:Y$404,MATCH($K198,其他调用!$X$5:$X$404,0),0)</f>
        <v>39926.801719549461</v>
      </c>
      <c r="O198" s="12">
        <f>MIN(INDEX(其他调用!$AH$5:$AH$364,MATCH($K198,其他调用!$AG$5:$AG$364,0),1)/INDEX(其他调用!AI$5:AI$364,MATCH($K198,其他调用!$AG$5:$AG$364,0),0),1)*INDEX(其他调用!Z$5:Z$404,MATCH($K198,其他调用!$X$5:$X$404,0),0)</f>
        <v>25464.177458137809</v>
      </c>
      <c r="P198" s="12">
        <f>MIN(INDEX(其他调用!$AH$5:$AH$364,MATCH($K198,其他调用!$AG$5:$AG$364,0),1)/INDEX(其他调用!AJ$5:AJ$364,MATCH($K198,其他调用!$AG$5:$AG$364,0),0),1)*INDEX(其他调用!AA$5:AA$404,MATCH($K198,其他调用!$X$5:$X$404,0),0)</f>
        <v>15100.510358063131</v>
      </c>
      <c r="Q198" s="12">
        <f>MIN(INDEX(其他调用!$AH$5:$AH$364,MATCH($K198,其他调用!$AG$5:$AG$364,0),1)/INDEX(其他调用!AK$5:AK$364,MATCH($K198,其他调用!$AG$5:$AG$364,0),0),1)*INDEX(其他调用!AB$5:AB$404,MATCH($K198,其他调用!$X$5:$X$404,0),0)</f>
        <v>5513.4272565805895</v>
      </c>
      <c r="R198" s="12">
        <f>MIN(INDEX(其他调用!$AH$5:$AH$364,MATCH($K198,其他调用!$AG$5:$AG$364,0),1)/INDEX(其他调用!AL$5:AL$364,MATCH($K198,其他调用!$AG$5:$AG$364,0),0),1)*INDEX(其他调用!AC$5:AC$404,MATCH($K198,其他调用!$X$5:$X$404,0),0)</f>
        <v>2378.7269983787046</v>
      </c>
      <c r="S198" s="12">
        <f>求节点(节奏总纲!D$4:D$163,标准城池设计!AC$4:AC$163,$K198)*求节点(节奏总纲!D$4:D$163,攻城基础信息!$AD$5:$AD$164,$K198)</f>
        <v>687792.71531541133</v>
      </c>
      <c r="T198" s="12">
        <f>INDEX(其他调用!$AA$5:$AA$404,MATCH($K198,其他调用!$X$5:$X$404,0))*MIN(INDEX(其他调用!AI$5:AI$364,MATCH($K198,其他调用!$AG$5:$AG$364,0),1)/INDEX(其他调用!$AJ$5:$AJ$364,MATCH($K198,其他调用!$AG$5:$AG$364,0),0),5)*求节点(节奏总纲!D$4:D$163,攻城基础信息!$AD$5:$AD$164,$K198)</f>
        <v>82024.974194206152</v>
      </c>
      <c r="U198" s="12">
        <f>MIN(INDEX(其他调用!$AI$5:$AI$364,MATCH($K198,其他调用!$AG$5:$AG$364,0),1)/INDEX(其他调用!AH$5:AH$364,MATCH($K198,其他调用!$AG$5:$AG$364,0),0),1)*INDEX(其他调用!Y$5:Y$404,MATCH($K198,其他调用!$X$5:$X$404,0),0)</f>
        <v>39926.801719549461</v>
      </c>
      <c r="V198" s="12">
        <f>MIN(INDEX(其他调用!$AI$5:$AI$364,MATCH($K198,其他调用!$AG$5:$AG$364,0),1)/INDEX(其他调用!AI$5:AI$364,MATCH($K198,其他调用!$AG$5:$AG$364,0),0),1)*INDEX(其他调用!Z$5:Z$404,MATCH($K198,其他调用!$X$5:$X$404,0),0)</f>
        <v>41085.434952855881</v>
      </c>
      <c r="W198" s="12">
        <f>MIN(INDEX(其他调用!$AI$5:$AI$364,MATCH($K198,其他调用!$AG$5:$AG$364,0),1)/INDEX(其他调用!AJ$5:AJ$364,MATCH($K198,其他调用!$AG$5:$AG$364,0),0),1)*INDEX(其他调用!AA$5:AA$404,MATCH($K198,其他调用!$X$5:$X$404,0),0)</f>
        <v>24364.071334762833</v>
      </c>
      <c r="X198" s="12">
        <f>MIN(INDEX(其他调用!$AI$5:$AI$364,MATCH($K198,其他调用!$AG$5:$AG$364,0),1)/INDEX(其他调用!AK$5:AK$364,MATCH($K198,其他调用!$AG$5:$AG$364,0),0),1)*INDEX(其他调用!AB$5:AB$404,MATCH($K198,其他调用!$X$5:$X$404,0),0)</f>
        <v>8895.6950323621386</v>
      </c>
      <c r="Y198" s="12">
        <f>MIN(INDEX(其他调用!$AI$5:$AI$364,MATCH($K198,其他调用!$AG$5:$AG$364,0),1)/INDEX(其他调用!AL$5:AL$364,MATCH($K198,其他调用!$AG$5:$AG$364,0),0),1)*INDEX(其他调用!AC$5:AC$404,MATCH($K198,其他调用!$X$5:$X$404,0),0)</f>
        <v>3837.9811609134708</v>
      </c>
      <c r="Z198" s="12">
        <f>求节点(节奏总纲!D$4:D$163,标准城池设计!AD$4:AD$163,$K198)*求节点(节奏总纲!D$4:D$163,攻城基础信息!$AE$5:$AE$164,$K198)</f>
        <v>737745.6610035263</v>
      </c>
      <c r="AA198" s="12">
        <f>INDEX(其他调用!$AA$5:$AA$404,MATCH($K198,其他调用!$X$5:$X$404,0))*MIN(INDEX(其他调用!AJ$5:AJ$364,MATCH($K198,其他调用!$AG$5:$AG$364,0),1)/INDEX(其他调用!$AJ$5:$AJ$364,MATCH($K198,其他调用!$AG$5:$AG$364,0),0),5)*求节点(节奏总纲!D$4:D$163,攻城基础信息!$AE$5:$AE$164,$K198)</f>
        <v>143438.67744396944</v>
      </c>
      <c r="AB198" s="12">
        <f>MIN(INDEX(其他调用!$AJ$5:$AJ$364,MATCH($K198,其他调用!$AG$5:$AG$364,0),1)/INDEX(其他调用!AH$5:AH$364,MATCH($K198,其他调用!$AG$5:$AG$364,0),0),1)*INDEX(其他调用!Y$5:Y$404,MATCH($K198,其他调用!$X$5:$X$404,0),0)</f>
        <v>39926.801719549461</v>
      </c>
      <c r="AC198" s="12">
        <f>MIN(INDEX(其他调用!$AJ$5:$AJ$364,MATCH($K198,其他调用!$AG$5:$AG$364,0),1)/INDEX(其他调用!AI$5:AI$364,MATCH($K198,其他调用!$AG$5:$AG$364,0),0),1)*INDEX(其他调用!Z$5:Z$404,MATCH($K198,其他调用!$X$5:$X$404,0),0)</f>
        <v>41085.434952855881</v>
      </c>
      <c r="AD198" s="12">
        <f>MIN(INDEX(其他调用!$AJ$5:$AJ$364,MATCH($K198,其他调用!$AG$5:$AG$364,0),1)/INDEX(其他调用!AJ$5:AJ$364,MATCH($K198,其他调用!$AG$5:$AG$364,0),0),1)*INDEX(其他调用!AA$5:AA$404,MATCH($K198,其他调用!$X$5:$X$404,0),0)</f>
        <v>42605.928300990068</v>
      </c>
      <c r="AE198" s="12">
        <f>MIN(INDEX(其他调用!$AJ$5:$AJ$364,MATCH($K198,其他调用!$AG$5:$AG$364,0),1)/INDEX(其他调用!AK$5:AK$364,MATCH($K198,其他调用!$AG$5:$AG$364,0),0),1)*INDEX(其他调用!AB$5:AB$404,MATCH($K198,其他调用!$X$5:$X$404,0),0)</f>
        <v>15556.075974688252</v>
      </c>
      <c r="AF198" s="12">
        <f>MIN(INDEX(其他调用!$AJ$5:$AJ$364,MATCH($K198,其他调用!$AG$5:$AG$364,0),1)/INDEX(其他调用!AL$5:AL$364,MATCH($K198,其他调用!$AG$5:$AG$364,0),0),1)*INDEX(其他调用!AC$5:AC$404,MATCH($K198,其他调用!$X$5:$X$404,0),0)</f>
        <v>6711.5527579792197</v>
      </c>
      <c r="AG198" s="12">
        <f>求节点(节奏总纲!D$4:D$163,标准城池设计!AE$4:AE$163,$K198)*求节点(节奏总纲!D$4:D$163,攻城基础信息!$AF$5:$AF$164,$K198)</f>
        <v>882322.65556313074</v>
      </c>
      <c r="AH198" s="12">
        <f>INDEX(其他调用!$AA$5:$AA$404,MATCH($K198,其他调用!$X$5:$X$404,0))*MIN(INDEX(其他调用!AK$5:AK$364,MATCH($K198,其他调用!$AG$5:$AG$364,0),1)/INDEX(其他调用!$AJ$5:$AJ$364,MATCH($K198,其他调用!$AG$5:$AG$364,0),0),5)*求节点(节奏总纲!D$4:D$163,攻城基础信息!$AF$5:$AF$164,$K198)</f>
        <v>412985.04984635278</v>
      </c>
      <c r="AI198" s="12">
        <f>MIN(INDEX(其他调用!$AK$5:$AK$364,MATCH($K198,其他调用!$AG$5:$AG$364,0),1)/INDEX(其他调用!AH$5:AH$364,MATCH($K198,其他调用!$AG$5:$AG$364,0),0),1)*INDEX(其他调用!Y$5:Y$404,MATCH($K198,其他调用!$X$5:$X$404,0),0)</f>
        <v>39926.801719549461</v>
      </c>
      <c r="AJ198" s="12">
        <f>MIN(INDEX(其他调用!$AK$5:$AK$364,MATCH($K198,其他调用!$AG$5:$AG$364,0),1)/INDEX(其他调用!AI$5:AI$364,MATCH($K198,其他调用!$AG$5:$AG$364,0),0),1)*INDEX(其他调用!Z$5:Z$404,MATCH($K198,其他调用!$X$5:$X$404,0),0)</f>
        <v>41085.434952855881</v>
      </c>
      <c r="AK198" s="12">
        <f>MIN(INDEX(其他调用!$AK$5:$AK$364,MATCH($K198,其他调用!$AG$5:$AG$364,0),1)/INDEX(其他调用!AJ$5:AJ$364,MATCH($K198,其他调用!$AG$5:$AG$364,0),0),1)*INDEX(其他调用!AA$5:AA$404,MATCH($K198,其他调用!$X$5:$X$404,0),0)</f>
        <v>42605.928300990068</v>
      </c>
      <c r="AL198" s="12">
        <f>MIN(INDEX(其他调用!$AK$5:$AK$364,MATCH($K198,其他调用!$AG$5:$AG$364,0),1)/INDEX(其他调用!AK$5:AK$364,MATCH($K198,其他调用!$AG$5:$AG$364,0),0),1)*INDEX(其他调用!AB$5:AB$404,MATCH($K198,其他调用!$X$5:$X$404,0),0)</f>
        <v>44788.664579885102</v>
      </c>
      <c r="AM198" s="12">
        <f>MIN(INDEX(其他调用!$AK$5:$AK$364,MATCH($K198,其他调用!$AG$5:$AG$364,0),1)/INDEX(其他调用!AL$5:AL$364,MATCH($K198,其他调用!$AG$5:$AG$364,0),0),1)*INDEX(其他调用!AC$5:AC$404,MATCH($K198,其他调用!$X$5:$X$404,0),0)</f>
        <v>19323.734711533394</v>
      </c>
      <c r="AN198" s="12">
        <f>求节点(节奏总纲!D$4:D$163,标准城池设计!AF$4:AF$163,$K198)*求节点(节奏总纲!D$4:D$163,攻城基础信息!$AG$5:$AG$164,$K198)</f>
        <v>912277.14615664491</v>
      </c>
      <c r="AO198" s="12">
        <f>INDEX(其他调用!$AA$5:$AA$404,MATCH($K198,其他调用!$X$5:$X$404,0))*MIN(INDEX(其他调用!AL$5:AL$364,MATCH($K198,其他调用!$AG$5:$AG$364,0),1)/INDEX(其他调用!$AJ$5:$AJ$364,MATCH($K198,其他调用!$AG$5:$AG$364,0),0),5)*求节点(节奏总纲!D$4:D$163,攻城基础信息!$AG$5:$AG$164,$K198)</f>
        <v>717193.3872198473</v>
      </c>
      <c r="AP198" s="12">
        <f>MIN(INDEX(其他调用!$AL$5:$AL$364,MATCH($K198,其他调用!$AG$5:$AG$364,0),1)/INDEX(其他调用!AH$5:AH$364,MATCH($K198,其他调用!$AG$5:$AG$364,0),0),1)*INDEX(其他调用!Y$5:Y$404,MATCH($K198,其他调用!$X$5:$X$404,0),0)</f>
        <v>39926.801719549461</v>
      </c>
      <c r="AQ198" s="12">
        <f>MIN(INDEX(其他调用!$AL$5:$AL$364,MATCH($K198,其他调用!$AG$5:$AG$364,0),1)/INDEX(其他调用!AI$5:AI$364,MATCH($K198,其他调用!$AG$5:$AG$364,0),0),1)*INDEX(其他调用!Z$5:Z$404,MATCH($K198,其他调用!$X$5:$X$404,0),0)</f>
        <v>41085.434952855881</v>
      </c>
      <c r="AR198" s="12">
        <f>MIN(INDEX(其他调用!$AL$5:$AL$364,MATCH($K198,其他调用!$AG$5:$AG$364,0),1)/INDEX(其他调用!AJ$5:AJ$364,MATCH($K198,其他调用!$AG$5:$AG$364,0),0),1)*INDEX(其他调用!AA$5:AA$404,MATCH($K198,其他调用!$X$5:$X$404,0),0)</f>
        <v>42605.928300990068</v>
      </c>
      <c r="AS198" s="12">
        <f>MIN(INDEX(其他调用!$AL$5:$AL$364,MATCH($K198,其他调用!$AG$5:$AG$364,0),1)/INDEX(其他调用!AK$5:AK$364,MATCH($K198,其他调用!$AG$5:$AG$364,0),0),1)*INDEX(其他调用!AB$5:AB$404,MATCH($K198,其他调用!$X$5:$X$404,0),0)</f>
        <v>44788.664579885102</v>
      </c>
      <c r="AT198" s="12">
        <f>MIN(INDEX(其他调用!$AL$5:$AL$364,MATCH($K198,其他调用!$AG$5:$AG$364,0),1)/INDEX(其他调用!AL$5:AL$364,MATCH($K198,其他调用!$AG$5:$AG$364,0),0),1)*INDEX(其他调用!AC$5:AC$404,MATCH($K198,其他调用!$X$5:$X$404,0),0)</f>
        <v>48747.514087571173</v>
      </c>
      <c r="AV198" s="14">
        <f>IF(OR(AV$5="大R",AV$5="超R"),MAX(INDEX(其他调用!$H$5:$L$404,MATCH($K198,其他调用!$B$5:$B$404,0),MATCH(AV$5,其他调用!$H$4:$L$4,0))*120*0.85,2),INDEX(其他调用!$H$5:$L$404,MATCH($K198,其他调用!$B$5:$B$404,0),MATCH(AV$5,其他调用!$H$4:$L$4,0))*120*0.85)</f>
        <v>48.921801254999991</v>
      </c>
      <c r="AW198" s="14">
        <f>IF(OR(AW$5="大R",AW$5="超R"),MAX(INDEX(其他调用!$H$5:$L$404,MATCH($K198,其他调用!$B$5:$B$404,0),MATCH(AW$5,其他调用!$H$4:$L$4,0))*120*0.85,2),INDEX(其他调用!$H$5:$L$404,MATCH($K198,其他调用!$B$5:$B$404,0),MATCH(AW$5,其他调用!$H$4:$L$4,0))*120*0.85)</f>
        <v>48.237344010638395</v>
      </c>
      <c r="AX198" s="14">
        <f>IF(OR(AX$5="大R",AX$5="超R"),MAX(INDEX(其他调用!$H$5:$L$404,MATCH($K198,其他调用!$B$5:$B$404,0),MATCH(AX$5,其他调用!$H$4:$L$4,0))*120*0.85,2),INDEX(其他调用!$H$5:$L$404,MATCH($K198,其他调用!$B$5:$B$404,0),MATCH(AX$5,其他调用!$H$4:$L$4,0))*120*0.85)</f>
        <v>3.9376284143615998</v>
      </c>
      <c r="AY198" s="14">
        <f>IF(OR(AY$5="大R",AY$5="超R"),MAX(INDEX(其他调用!$H$5:$L$404,MATCH($K198,其他调用!$B$5:$B$404,0),MATCH(AY$5,其他调用!$H$4:$L$4,0))*120*0.85,2),INDEX(其他调用!$H$5:$L$404,MATCH($K198,其他调用!$B$5:$B$404,0),MATCH(AY$5,其他调用!$H$4:$L$4,0))*120*0.85)</f>
        <v>2</v>
      </c>
      <c r="AZ198" s="14">
        <f>IF(OR(AZ$5="大R",AZ$5="超R"),MAX(INDEX(其他调用!$H$5:$L$404,MATCH($K198,其他调用!$B$5:$B$404,0),MATCH(AZ$5,其他调用!$H$4:$L$4,0))*120*0.85,2),INDEX(其他调用!$H$5:$L$404,MATCH($K198,其他调用!$B$5:$B$404,0),MATCH(AZ$5,其他调用!$H$4:$L$4,0))*120*0.85)</f>
        <v>2</v>
      </c>
      <c r="BA198" s="14">
        <f>INDEX(其他调用!$H$5:$L$404,MATCH($K198,其他调用!$B$5:$B$404,0),MATCH(BA$5,其他调用!$H$4:$L$4,0))*INDEX(其他调用!$M$5:$M$404,MATCH($K198,其他调用!$B$5:$B$404,0))*0.6</f>
        <v>28.777530149999997</v>
      </c>
      <c r="BB198" s="14">
        <f>INDEX(其他调用!$H$5:$L$404,MATCH($K198,其他调用!$B$5:$B$404,0),MATCH(BB$5,其他调用!$H$4:$L$4,0))*INDEX(其他调用!$M$5:$M$404,MATCH($K198,其他调用!$B$5:$B$404,0))*0.6</f>
        <v>28.374908241551999</v>
      </c>
      <c r="BC198" s="14">
        <f>INDEX(其他调用!$H$5:$L$404,MATCH($K198,其他调用!$B$5:$B$404,0),MATCH(BC$5,其他调用!$H$4:$L$4,0))*INDEX(其他调用!$M$5:$M$404,MATCH($K198,其他调用!$B$5:$B$404,0))*0.6</f>
        <v>2.3162520084480001</v>
      </c>
      <c r="BD198" s="14">
        <f>INDEX(其他调用!$H$5:$L$404,MATCH($K198,其他调用!$B$5:$B$404,0),MATCH(BD$5,其他调用!$H$4:$L$4,0))*INDEX(其他调用!$M$5:$M$404,MATCH($K198,其他调用!$B$5:$B$404,0))*0.6</f>
        <v>0.4120776000000001</v>
      </c>
      <c r="BE198" s="14">
        <f>INDEX(其他调用!$H$5:$L$404,MATCH($K198,其他调用!$B$5:$B$404,0),MATCH(BE$5,其他调用!$H$4:$L$4,0))*INDEX(其他调用!$M$5:$M$404,MATCH($K198,其他调用!$B$5:$B$404,0))*0.6</f>
        <v>0.11923199999999998</v>
      </c>
      <c r="BF198" s="14">
        <f>IF(OR(BF$5="大R",BF$5="超R"),0,INDEX(其他调用!$H$5:$L$404,MATCH($K198,其他调用!$B$5:$B$404,0),MATCH(BF$5,其他调用!$H$4:$L$4,0))*50*0.4)</f>
        <v>9.5925100500000013</v>
      </c>
      <c r="BG198" s="14">
        <f>IF(OR(BG$5="大R",BG$5="超R"),0,INDEX(其他调用!$H$5:$L$404,MATCH($K198,其他调用!$B$5:$B$404,0),MATCH(BG$5,其他调用!$H$4:$L$4,0))*50*0.4)</f>
        <v>9.4583027471839998</v>
      </c>
      <c r="BH198" s="14">
        <f>IF(OR(BH$5="大R",BH$5="超R"),0,INDEX(其他调用!$H$5:$L$404,MATCH($K198,其他调用!$B$5:$B$404,0),MATCH(BH$5,其他调用!$H$4:$L$4,0))*50*0.4)</f>
        <v>0.77208400281600009</v>
      </c>
      <c r="BI198" s="14">
        <f>IF(OR(BI$5="大R",BI$5="超R"),0,INDEX(其他调用!$H$5:$L$404,MATCH($K198,其他调用!$B$5:$B$404,0),MATCH(BI$5,其他调用!$H$4:$L$4,0))*50*0.4)</f>
        <v>0</v>
      </c>
      <c r="BJ198" s="14">
        <f>IF(OR(BJ$5="大R",BJ$5="超R"),0,INDEX(其他调用!$H$5:$L$404,MATCH($K198,其他调用!$B$5:$B$404,0),MATCH(BJ$5,其他调用!$H$4:$L$4,0))*50*0.4)</f>
        <v>0</v>
      </c>
      <c r="BL198" s="14">
        <f t="shared" si="313"/>
        <v>193</v>
      </c>
      <c r="BM198" s="14">
        <f t="shared" si="220"/>
        <v>96</v>
      </c>
      <c r="BN198" s="14">
        <f>('疲劳值&amp;地图信息'!$S$10*'疲劳值&amp;地图信息'!$R$10+'疲劳值&amp;地图信息'!$S$11*'疲劳值&amp;地图信息'!$R$11+'疲劳值&amp;地图信息'!$S$12*'疲劳值&amp;地图信息'!$R$12+(BM198-'疲劳值&amp;地图信息'!$S$12-'疲劳值&amp;地图信息'!$S$11-'疲劳值&amp;地图信息'!$S$10)*'疲劳值&amp;地图信息'!$R$13)/BM198</f>
        <v>51.371477246638619</v>
      </c>
      <c r="BO198" s="14">
        <f>INDEX(其他调用!$M$5:$M$404,MATCH(BL198,其他调用!$B$5:$B$404,0))*0.6</f>
        <v>60</v>
      </c>
      <c r="BP198" s="14">
        <f>IF(BO198&gt;SUM('疲劳值&amp;地图信息'!$S$10:$S$12),('疲劳值&amp;地图信息'!$S$10*'疲劳值&amp;地图信息'!$R$10+'疲劳值&amp;地图信息'!$S$11*'疲劳值&amp;地图信息'!$R$11+'疲劳值&amp;地图信息'!$S$12*'疲劳值&amp;地图信息'!$R$12+(BO198-'疲劳值&amp;地图信息'!$S$12-'疲劳值&amp;地图信息'!$S$11-'疲劳值&amp;地图信息'!$S$10)*'疲劳值&amp;地图信息'!$R$13)/BO198,('疲劳值&amp;地图信息'!$S$10*'疲劳值&amp;地图信息'!$R$10+'疲劳值&amp;地图信息'!$S$11*'疲劳值&amp;地图信息'!$R$11+'疲劳值&amp;地图信息'!$S$12*'疲劳值&amp;地图信息'!$R$12+(BO198-'疲劳值&amp;地图信息'!$S$12-'疲劳值&amp;地图信息'!$S$11-'疲劳值&amp;地图信息'!$S$10)*'疲劳值&amp;地图信息'!$R$13)/BO198)</f>
        <v>44.158136341605953</v>
      </c>
      <c r="BQ198" s="14">
        <f t="shared" si="314"/>
        <v>20</v>
      </c>
      <c r="BR198" s="14">
        <f>('疲劳值&amp;地图信息'!$S$10*'疲劳值&amp;地图信息'!$R$10+($BQ198-'疲劳值&amp;地图信息'!$S$10)*'疲劳值&amp;地图信息'!$R$11)/$BQ198</f>
        <v>32.067203015074995</v>
      </c>
      <c r="CF198" s="14">
        <v>193</v>
      </c>
      <c r="CG198" s="51">
        <f t="shared" si="221"/>
        <v>13169</v>
      </c>
      <c r="CH198" s="51">
        <f t="shared" si="222"/>
        <v>1036</v>
      </c>
      <c r="CI198" s="51">
        <f>INT(SUMPRODUCT($N198:$R198,$BA198:$BE198)/SUM($BA198:$BE198)/10000*$BX$7*$BZ$34/'疲劳值&amp;地图信息'!$R$10*$BY$53)</f>
        <v>3228</v>
      </c>
      <c r="CJ198" s="50">
        <f t="shared" si="223"/>
        <v>0.75540641312453394</v>
      </c>
      <c r="CK198" s="50">
        <f t="shared" si="224"/>
        <v>5.9427522514770834E-2</v>
      </c>
      <c r="CL198" s="50">
        <f t="shared" si="225"/>
        <v>0.18516606436069524</v>
      </c>
      <c r="CM198" s="14">
        <f t="shared" si="226"/>
        <v>14018</v>
      </c>
      <c r="CN198" s="14">
        <f t="shared" si="227"/>
        <v>1671</v>
      </c>
      <c r="CO198" s="14">
        <f>INT(SUMPRODUCT($U198:$Y198,$BA198:$BE198)/SUM($BA198:$BE198)/10000*$BX$7*$BZ$34/'疲劳值&amp;地图信息'!$R$10*$BY$54)</f>
        <v>6025</v>
      </c>
      <c r="CP198" s="50">
        <f t="shared" si="228"/>
        <v>0.64557428387215621</v>
      </c>
      <c r="CQ198" s="50">
        <f t="shared" si="229"/>
        <v>7.6954959933683342E-2</v>
      </c>
      <c r="CR198" s="50">
        <f t="shared" si="230"/>
        <v>0.27747075619416045</v>
      </c>
      <c r="CS198" s="14">
        <f t="shared" si="231"/>
        <v>15036</v>
      </c>
      <c r="CT198" s="14">
        <f t="shared" si="232"/>
        <v>2923</v>
      </c>
      <c r="CU198" s="14">
        <f>INT(SUMPRODUCT($AB198:$AF198,$BA198:$BE198)/SUM($BA198:$BE198)/10000*$BX$7*$BZ$34/'疲劳值&amp;地图信息'!$R$10*$BY$55)</f>
        <v>8187</v>
      </c>
      <c r="CV198" s="50">
        <f t="shared" si="233"/>
        <v>0.5750784058747036</v>
      </c>
      <c r="CW198" s="50">
        <f t="shared" si="234"/>
        <v>0.11179530329687141</v>
      </c>
      <c r="CX198" s="50">
        <f t="shared" si="235"/>
        <v>0.31312629082842502</v>
      </c>
      <c r="CY198" s="14">
        <f t="shared" si="236"/>
        <v>17982</v>
      </c>
      <c r="CZ198" s="14">
        <f t="shared" si="237"/>
        <v>8417</v>
      </c>
      <c r="DA198" s="14">
        <f>INT(SUMPRODUCT($AI198:$AM198,$BA198:$BE198)/SUM($BA198:$BE198)/10000*$BX$7*$BZ$34/'疲劳值&amp;地图信息'!$R$10*$BY$56)</f>
        <v>12349</v>
      </c>
      <c r="DB198" s="50">
        <f t="shared" si="238"/>
        <v>0.46407556519046145</v>
      </c>
      <c r="DC198" s="50">
        <f t="shared" si="239"/>
        <v>0.21722411479302159</v>
      </c>
      <c r="DD198" s="50">
        <f t="shared" si="240"/>
        <v>0.31870032001651699</v>
      </c>
      <c r="DE198" s="14">
        <f t="shared" si="241"/>
        <v>18593</v>
      </c>
      <c r="DF198" s="14">
        <f t="shared" si="242"/>
        <v>14617</v>
      </c>
      <c r="DG198" s="14">
        <f>INT(SUMPRODUCT($AP198:$AT198,$BA198:$BE198)/SUM($BA198:$BE198)/10000*$BX$7*$BZ$34/'疲劳值&amp;地图信息'!$R$10*$BY$57)</f>
        <v>16490</v>
      </c>
      <c r="DH198" s="50">
        <f t="shared" si="243"/>
        <v>0.37410462776659958</v>
      </c>
      <c r="DI198" s="50">
        <f t="shared" si="244"/>
        <v>0.29410462776659962</v>
      </c>
      <c r="DJ198" s="50">
        <f t="shared" si="245"/>
        <v>0.33179074446680079</v>
      </c>
      <c r="DL198" s="14">
        <f t="shared" si="316"/>
        <v>17433</v>
      </c>
      <c r="DM198" s="14">
        <f t="shared" si="317"/>
        <v>21714</v>
      </c>
      <c r="DN198" s="14">
        <f t="shared" si="318"/>
        <v>26146</v>
      </c>
      <c r="DO198" s="14">
        <f t="shared" si="319"/>
        <v>38748</v>
      </c>
      <c r="DP198" s="14">
        <f t="shared" si="320"/>
        <v>49700</v>
      </c>
      <c r="DQ198" s="14">
        <f t="shared" si="321"/>
        <v>1200265</v>
      </c>
      <c r="DT198" s="14">
        <f t="shared" si="315"/>
        <v>235575</v>
      </c>
      <c r="DU198" s="50">
        <f t="shared" ref="DU198:DU261" si="322">DT198/(DQ198+DT198)</f>
        <v>0.16406772342322265</v>
      </c>
      <c r="DW198" s="14">
        <f t="shared" si="246"/>
        <v>1435840</v>
      </c>
      <c r="EB198" s="14">
        <v>193</v>
      </c>
      <c r="EC198" s="51">
        <f t="shared" si="247"/>
        <v>21949</v>
      </c>
      <c r="ED198" s="51">
        <f t="shared" si="248"/>
        <v>1726</v>
      </c>
      <c r="EE198" s="51">
        <f>INT(SUMPRODUCT($N198:$R198,$BF198:$BJ198)/SUM($BF198:$BJ198)/10000*$BX$7*$BZ$46/'疲劳值&amp;地图信息'!$R$10*$BY$53)</f>
        <v>433</v>
      </c>
      <c r="EF198" s="50">
        <f t="shared" si="249"/>
        <v>0.91044466567114646</v>
      </c>
      <c r="EG198" s="50">
        <f t="shared" si="250"/>
        <v>7.1594491455118633E-2</v>
      </c>
      <c r="EH198" s="50">
        <f t="shared" si="251"/>
        <v>1.796084287373486E-2</v>
      </c>
      <c r="EI198" s="51">
        <f t="shared" si="252"/>
        <v>23363</v>
      </c>
      <c r="EJ198" s="51">
        <f t="shared" si="253"/>
        <v>2786</v>
      </c>
      <c r="EK198" s="14">
        <f>INT(SUMPRODUCT($U198:$Y198,$BF198:$BJ198)/SUM($BF198:$BJ198)/10000*$BX$7*$BZ$46/'疲劳值&amp;地图信息'!$R$10*$BY$54)</f>
        <v>809</v>
      </c>
      <c r="EL198" s="50">
        <f t="shared" si="254"/>
        <v>0.86664440982268709</v>
      </c>
      <c r="EM198" s="50">
        <f t="shared" si="255"/>
        <v>0.10334594554492173</v>
      </c>
      <c r="EN198" s="50">
        <f t="shared" si="256"/>
        <v>3.0009644632391128E-2</v>
      </c>
      <c r="EO198" s="51">
        <f t="shared" si="257"/>
        <v>25060</v>
      </c>
      <c r="EP198" s="51">
        <f t="shared" si="258"/>
        <v>4872</v>
      </c>
      <c r="EQ198" s="14">
        <f>INT(SUMPRODUCT($AB198:$AF198,$BF198:$BJ198)/SUM($BF198:$BJ198)/10000*$BX$7*$BZ$46/'疲劳值&amp;地图信息'!$R$10*$BY$55)</f>
        <v>1098</v>
      </c>
      <c r="ER198" s="50">
        <f t="shared" si="259"/>
        <v>0.80760554302288112</v>
      </c>
      <c r="ES198" s="50">
        <f t="shared" si="260"/>
        <v>0.15700934579439252</v>
      </c>
      <c r="ET198" s="50">
        <f t="shared" si="261"/>
        <v>3.5385111182726393E-2</v>
      </c>
      <c r="EU198" s="51">
        <f t="shared" si="262"/>
        <v>29971</v>
      </c>
      <c r="EV198" s="51">
        <f t="shared" si="263"/>
        <v>14028</v>
      </c>
      <c r="EW198" s="14">
        <f>INT(SUMPRODUCT($AI198:$AM198,$BF198:$BJ198)/SUM($BF198:$BJ198)/10000*$BX$7*$BZ$46/'疲劳值&amp;地图信息'!$R$10*$BY$56)</f>
        <v>1647</v>
      </c>
      <c r="EX198" s="50">
        <f t="shared" si="264"/>
        <v>0.65659641589624507</v>
      </c>
      <c r="EY198" s="50">
        <f t="shared" si="265"/>
        <v>0.30732156158261403</v>
      </c>
      <c r="EZ198" s="50">
        <f t="shared" si="266"/>
        <v>3.6082022521140955E-2</v>
      </c>
      <c r="FA198" s="51">
        <f t="shared" si="267"/>
        <v>30988</v>
      </c>
      <c r="FB198" s="51">
        <f t="shared" si="268"/>
        <v>24362</v>
      </c>
      <c r="FC198" s="14">
        <f>INT(SUMPRODUCT($AP198:$AT198,$BF198:$BJ198)/SUM($BF198:$BJ198)/10000*$BX$7*$BZ$46/'疲劳值&amp;地图信息'!$R$10*$BY$57)</f>
        <v>2196</v>
      </c>
      <c r="FD198" s="50">
        <f t="shared" si="269"/>
        <v>0.53849094637333617</v>
      </c>
      <c r="FE198" s="50">
        <f t="shared" si="270"/>
        <v>0.42334827789941959</v>
      </c>
      <c r="FF198" s="50">
        <f t="shared" si="271"/>
        <v>3.8160775727244294E-2</v>
      </c>
      <c r="FH198" s="14">
        <f t="shared" si="272"/>
        <v>24108</v>
      </c>
      <c r="FI198" s="14">
        <f t="shared" si="273"/>
        <v>26958</v>
      </c>
      <c r="FJ198" s="14">
        <f t="shared" si="274"/>
        <v>31030</v>
      </c>
      <c r="FK198" s="14">
        <f t="shared" si="275"/>
        <v>45646</v>
      </c>
      <c r="FL198" s="14">
        <f t="shared" si="276"/>
        <v>57546</v>
      </c>
      <c r="FM198" s="14">
        <f t="shared" si="277"/>
        <v>2808357</v>
      </c>
      <c r="FP198" s="14">
        <f t="shared" si="278"/>
        <v>334150</v>
      </c>
      <c r="FQ198" s="50">
        <f t="shared" ref="FQ198:FQ261" si="323">FP198/(FM198+FP198)</f>
        <v>0.10633230093043548</v>
      </c>
      <c r="FS198" s="14">
        <f t="shared" si="279"/>
        <v>3142507</v>
      </c>
      <c r="FX198" s="14">
        <v>193</v>
      </c>
      <c r="FY198" s="51">
        <f t="shared" si="280"/>
        <v>30729</v>
      </c>
      <c r="FZ198" s="51">
        <f t="shared" si="281"/>
        <v>1726</v>
      </c>
      <c r="GA198" s="51">
        <f>INT(SUMPRODUCT($N198:$R198,$BF198:$BJ198)/SUM($BF198:$BJ198)/10000*$BX$7*$BZ$46/'疲劳值&amp;地图信息'!$R$10*$BY$53)</f>
        <v>433</v>
      </c>
      <c r="GB198" s="50">
        <f t="shared" si="282"/>
        <v>0.93435295548528341</v>
      </c>
      <c r="GC198" s="50">
        <f t="shared" si="283"/>
        <v>5.2481148139138893E-2</v>
      </c>
      <c r="GD198" s="50">
        <f t="shared" si="284"/>
        <v>1.3165896375577718E-2</v>
      </c>
      <c r="GE198" s="51">
        <f t="shared" si="285"/>
        <v>32708</v>
      </c>
      <c r="GF198" s="51">
        <f t="shared" si="286"/>
        <v>2786</v>
      </c>
      <c r="GG198" s="14">
        <f>INT(SUMPRODUCT($U198:$Y198,$BF198:$BJ198)/SUM($BF198:$BJ198)/10000*$BX$7*$BZ$46/'疲劳值&amp;地图信息'!$R$10*$BY$54)</f>
        <v>809</v>
      </c>
      <c r="GH198" s="50">
        <f t="shared" si="287"/>
        <v>0.90097237142935849</v>
      </c>
      <c r="GI198" s="50">
        <f t="shared" si="288"/>
        <v>7.674296890064182E-2</v>
      </c>
      <c r="GJ198" s="50">
        <f t="shared" si="289"/>
        <v>2.2284659669999724E-2</v>
      </c>
      <c r="GK198" s="51">
        <f t="shared" si="290"/>
        <v>35084</v>
      </c>
      <c r="GL198" s="51">
        <f t="shared" si="291"/>
        <v>4872</v>
      </c>
      <c r="GM198" s="14">
        <f>INT(SUMPRODUCT($AB198:$AF198,$BF198:$BJ198)/SUM($BF198:$BJ198)/10000*$BX$7*$BZ$46/'疲劳值&amp;地图信息'!$R$10*$BY$55)</f>
        <v>1098</v>
      </c>
      <c r="GN198" s="50">
        <f t="shared" si="292"/>
        <v>0.85458177035124472</v>
      </c>
      <c r="GO198" s="50">
        <f t="shared" si="293"/>
        <v>0.11867296731134604</v>
      </c>
      <c r="GP198" s="50">
        <f t="shared" si="294"/>
        <v>2.6745262337409266E-2</v>
      </c>
      <c r="GQ198" s="51">
        <f t="shared" si="295"/>
        <v>41960</v>
      </c>
      <c r="GR198" s="51">
        <f t="shared" si="296"/>
        <v>14028</v>
      </c>
      <c r="GS198" s="14">
        <f>INT(SUMPRODUCT($AI198:$AM198,$BF198:$BJ198)/SUM($BF198:$BJ198)/10000*$BX$7*$BZ$46/'疲劳值&amp;地图信息'!$R$10*$BY$56)</f>
        <v>1647</v>
      </c>
      <c r="GT198" s="50">
        <f t="shared" si="297"/>
        <v>0.72802984297735751</v>
      </c>
      <c r="GU198" s="50">
        <f t="shared" si="298"/>
        <v>0.24339377114600502</v>
      </c>
      <c r="GV198" s="50">
        <f t="shared" si="299"/>
        <v>2.857638587663746E-2</v>
      </c>
      <c r="GW198" s="51">
        <f t="shared" si="300"/>
        <v>43384</v>
      </c>
      <c r="GX198" s="51">
        <f t="shared" si="301"/>
        <v>24362</v>
      </c>
      <c r="GY198" s="14">
        <f>INT(SUMPRODUCT($AP198:$AT198,$BF198:$BJ198)/SUM($BF198:$BJ198)/10000*$BX$7*$BZ$46/'疲劳值&amp;地图信息'!$R$10*$BY$57)</f>
        <v>2196</v>
      </c>
      <c r="GZ198" s="50">
        <f t="shared" si="302"/>
        <v>0.62028537931428895</v>
      </c>
      <c r="HA198" s="50">
        <f t="shared" si="303"/>
        <v>0.34831717708958854</v>
      </c>
      <c r="HB198" s="50">
        <f t="shared" si="304"/>
        <v>3.1397443596122503E-2</v>
      </c>
      <c r="HD198" s="14">
        <f t="shared" si="305"/>
        <v>32888</v>
      </c>
      <c r="HE198" s="14">
        <f t="shared" si="306"/>
        <v>36303</v>
      </c>
      <c r="HF198" s="14">
        <f t="shared" si="307"/>
        <v>41054</v>
      </c>
      <c r="HG198" s="14">
        <f t="shared" si="308"/>
        <v>57635</v>
      </c>
      <c r="HH198" s="14">
        <f t="shared" si="309"/>
        <v>69942</v>
      </c>
      <c r="HI198" s="14">
        <f t="shared" si="310"/>
        <v>3776909</v>
      </c>
      <c r="HL198" s="14">
        <f t="shared" si="311"/>
        <v>430050</v>
      </c>
      <c r="HM198" s="50">
        <f t="shared" ref="HM198:HM261" si="324">HL198/(HI198+HL198)</f>
        <v>0.10222348256781205</v>
      </c>
      <c r="HO198" s="14">
        <f t="shared" si="312"/>
        <v>4206959</v>
      </c>
    </row>
    <row r="199" spans="11:223" x14ac:dyDescent="0.2">
      <c r="K199" s="14">
        <v>194</v>
      </c>
      <c r="L199" s="12">
        <f>求节点(节奏总纲!D$4:D$163,标准城池设计!AB$4:AB$163,$K199)*求节点(节奏总纲!D$4:D$163,攻城基础信息!$AC$5:$AC$164,$K199)</f>
        <v>647570.53153416445</v>
      </c>
      <c r="M199" s="12">
        <f>INDEX(其他调用!$AA$5:$AA$404,MATCH(K199,其他调用!$X$5:$X$404,0))*MIN(INDEX(其他调用!$AH$5:$AH$364,MATCH('征服点（新）'!K199,其他调用!$AG$5:$AG$364,0),1)/INDEX(其他调用!$AJ$5:$AJ$364,MATCH(K199,其他调用!$AG$5:$AG$364,0),0),5)*求节点(节奏总纲!D$4:D$163,攻城基础信息!$AC$5:$AC$164,$K199)</f>
        <v>50970.253035575312</v>
      </c>
      <c r="N199" s="12">
        <f>MIN(INDEX(其他调用!$AH$5:$AH$364,MATCH($K199,其他调用!$AG$5:$AG$364,0),1)/INDEX(其他调用!AH$5:AH$364,MATCH($K199,其他调用!$AG$5:$AG$364,0),0),1)*INDEX(其他调用!Y$5:Y$404,MATCH($K199,其他调用!$X$5:$X$404,0),0)</f>
        <v>39956.254776165675</v>
      </c>
      <c r="O199" s="12">
        <f>MIN(INDEX(其他调用!$AH$5:$AH$364,MATCH($K199,其他调用!$AG$5:$AG$364,0),1)/INDEX(其他调用!AI$5:AI$364,MATCH($K199,其他调用!$AG$5:$AG$364,0),0),1)*INDEX(其他调用!Z$5:Z$404,MATCH($K199,其他调用!$X$5:$X$404,0),0)</f>
        <v>25509.465781507304</v>
      </c>
      <c r="P199" s="12">
        <f>MIN(INDEX(其他调用!$AH$5:$AH$364,MATCH($K199,其他调用!$AG$5:$AG$364,0),1)/INDEX(其他调用!AJ$5:AJ$364,MATCH($K199,其他调用!$AG$5:$AG$364,0),0),1)*INDEX(其他调用!AA$5:AA$404,MATCH($K199,其他调用!$X$5:$X$404,0),0)</f>
        <v>15129.048020946617</v>
      </c>
      <c r="Q199" s="12">
        <f>MIN(INDEX(其他调用!$AH$5:$AH$364,MATCH($K199,其他调用!$AG$5:$AG$364,0),1)/INDEX(其他调用!AK$5:AK$364,MATCH($K199,其他调用!$AG$5:$AG$364,0),0),1)*INDEX(其他调用!AB$5:AB$404,MATCH($K199,其他调用!$X$5:$X$404,0),0)</f>
        <v>5523.522138379758</v>
      </c>
      <c r="R199" s="12">
        <f>MIN(INDEX(其他调用!$AH$5:$AH$364,MATCH($K199,其他调用!$AG$5:$AG$364,0),1)/INDEX(其他调用!AL$5:AL$364,MATCH($K199,其他调用!$AG$5:$AG$364,0),0),1)*INDEX(其他调用!AC$5:AC$404,MATCH($K199,其他调用!$X$5:$X$404,0),0)</f>
        <v>2392.4312675479528</v>
      </c>
      <c r="S199" s="12">
        <f>求节点(节奏总纲!D$4:D$163,标准城池设计!AC$4:AC$163,$K199)*求节点(节奏总纲!D$4:D$163,攻城基础信息!$AD$5:$AD$164,$K199)</f>
        <v>689281.75173797784</v>
      </c>
      <c r="T199" s="12">
        <f>INDEX(其他调用!$AA$5:$AA$404,MATCH($K199,其他调用!$X$5:$X$404,0))*MIN(INDEX(其他调用!AI$5:AI$364,MATCH($K199,其他调用!$AG$5:$AG$364,0),1)/INDEX(其他调用!$AJ$5:$AJ$364,MATCH($K199,其他调用!$AG$5:$AG$364,0),0),5)*求节点(节奏总纲!D$4:D$163,攻城基础信息!$AD$5:$AD$164,$K199)</f>
        <v>82149.110019382613</v>
      </c>
      <c r="U199" s="12">
        <f>MIN(INDEX(其他调用!$AI$5:$AI$364,MATCH($K199,其他调用!$AG$5:$AG$364,0),1)/INDEX(其他调用!AH$5:AH$364,MATCH($K199,其他调用!$AG$5:$AG$364,0),0),1)*INDEX(其他调用!Y$5:Y$404,MATCH($K199,其他调用!$X$5:$X$404,0),0)</f>
        <v>39956.254776165675</v>
      </c>
      <c r="V199" s="12">
        <f>MIN(INDEX(其他调用!$AI$5:$AI$364,MATCH($K199,其他调用!$AG$5:$AG$364,0),1)/INDEX(其他调用!AI$5:AI$364,MATCH($K199,其他调用!$AG$5:$AG$364,0),0),1)*INDEX(其他调用!Z$5:Z$404,MATCH($K199,其他调用!$X$5:$X$404,0),0)</f>
        <v>41113.7827696889</v>
      </c>
      <c r="W199" s="12">
        <f>MIN(INDEX(其他调用!$AI$5:$AI$364,MATCH($K199,其他调用!$AG$5:$AG$364,0),1)/INDEX(其他调用!AJ$5:AJ$364,MATCH($K199,其他调用!$AG$5:$AG$364,0),0),1)*INDEX(其他调用!AA$5:AA$404,MATCH($K199,其他调用!$X$5:$X$404,0),0)</f>
        <v>24383.591533159793</v>
      </c>
      <c r="X199" s="12">
        <f>MIN(INDEX(其他调用!$AI$5:$AI$364,MATCH($K199,其他调用!$AG$5:$AG$364,0),1)/INDEX(其他调用!AK$5:AK$364,MATCH($K199,其他调用!$AG$5:$AG$364,0),0),1)*INDEX(其他调用!AB$5:AB$404,MATCH($K199,其他调用!$X$5:$X$404,0),0)</f>
        <v>8902.2989060609962</v>
      </c>
      <c r="Y199" s="12">
        <f>MIN(INDEX(其他调用!$AI$5:$AI$364,MATCH($K199,其他调用!$AG$5:$AG$364,0),1)/INDEX(其他调用!AL$5:AL$364,MATCH($K199,其他调用!$AG$5:$AG$364,0),0),1)*INDEX(其他调用!AC$5:AC$404,MATCH($K199,其他调用!$X$5:$X$404,0),0)</f>
        <v>3855.8980524274225</v>
      </c>
      <c r="Z199" s="12">
        <f>求节点(节奏总纲!D$4:D$163,标准城池设计!AD$4:AD$163,$K199)*求节点(节奏总纲!D$4:D$163,攻城基础信息!$AE$5:$AE$164,$K199)</f>
        <v>739892.70647451526</v>
      </c>
      <c r="AA199" s="12">
        <f>INDEX(其他调用!$AA$5:$AA$404,MATCH($K199,其他调用!$X$5:$X$404,0))*MIN(INDEX(其他调用!AJ$5:AJ$364,MATCH($K199,其他调用!$AG$5:$AG$364,0),1)/INDEX(其他调用!$AJ$5:$AJ$364,MATCH($K199,其他调用!$AG$5:$AG$364,0),0),5)*求节点(节奏总纲!D$4:D$163,攻城基础信息!$AE$5:$AE$164,$K199)</f>
        <v>143637.28886999353</v>
      </c>
      <c r="AB199" s="12">
        <f>MIN(INDEX(其他调用!$AJ$5:$AJ$364,MATCH($K199,其他调用!$AG$5:$AG$364,0),1)/INDEX(其他调用!AH$5:AH$364,MATCH($K199,其他调用!$AG$5:$AG$364,0),0),1)*INDEX(其他调用!Y$5:Y$404,MATCH($K199,其他调用!$X$5:$X$404,0),0)</f>
        <v>39956.254776165675</v>
      </c>
      <c r="AC199" s="12">
        <f>MIN(INDEX(其他调用!$AJ$5:$AJ$364,MATCH($K199,其他调用!$AG$5:$AG$364,0),1)/INDEX(其他调用!AI$5:AI$364,MATCH($K199,其他调用!$AG$5:$AG$364,0),0),1)*INDEX(其他调用!Z$5:Z$404,MATCH($K199,其他调用!$X$5:$X$404,0),0)</f>
        <v>41113.7827696889</v>
      </c>
      <c r="AD199" s="12">
        <f>MIN(INDEX(其他调用!$AJ$5:$AJ$364,MATCH($K199,其他调用!$AG$5:$AG$364,0),1)/INDEX(其他调用!AJ$5:AJ$364,MATCH($K199,其他调用!$AG$5:$AG$364,0),0),1)*INDEX(其他调用!AA$5:AA$404,MATCH($K199,其他调用!$X$5:$X$404,0),0)</f>
        <v>42634.582162972089</v>
      </c>
      <c r="AE199" s="12">
        <f>MIN(INDEX(其他调用!$AJ$5:$AJ$364,MATCH($K199,其他调用!$AG$5:$AG$364,0),1)/INDEX(其他调用!AK$5:AK$364,MATCH($K199,其他调用!$AG$5:$AG$364,0),0),1)*INDEX(其他调用!AB$5:AB$404,MATCH($K199,其他调用!$X$5:$X$404,0),0)</f>
        <v>15565.623039314831</v>
      </c>
      <c r="AF199" s="12">
        <f>MIN(INDEX(其他调用!$AJ$5:$AJ$364,MATCH($K199,其他调用!$AG$5:$AG$364,0),1)/INDEX(其他调用!AL$5:AL$364,MATCH($K199,其他调用!$AG$5:$AG$364,0),0),1)*INDEX(其他调用!AC$5:AC$404,MATCH($K199,其他调用!$X$5:$X$404,0),0)</f>
        <v>6742.0175614694444</v>
      </c>
      <c r="AG199" s="12">
        <f>求节点(节奏总纲!D$4:D$163,标准城池设计!AE$4:AE$163,$K199)*求节点(节奏总纲!D$4:D$163,攻城基础信息!$AF$5:$AF$164,$K199)</f>
        <v>884945.94418599806</v>
      </c>
      <c r="AH199" s="12">
        <f>INDEX(其他调用!$AA$5:$AA$404,MATCH($K199,其他调用!$X$5:$X$404,0))*MIN(INDEX(其他调用!AK$5:AK$364,MATCH($K199,其他调用!$AG$5:$AG$364,0),1)/INDEX(其他调用!$AJ$5:$AJ$364,MATCH($K199,其他调用!$AG$5:$AG$364,0),0),5)*求节点(节奏总纲!D$4:D$163,攻城基础信息!$AF$5:$AF$164,$K199)</f>
        <v>413582.08651638828</v>
      </c>
      <c r="AI199" s="12">
        <f>MIN(INDEX(其他调用!$AK$5:$AK$364,MATCH($K199,其他调用!$AG$5:$AG$364,0),1)/INDEX(其他调用!AH$5:AH$364,MATCH($K199,其他调用!$AG$5:$AG$364,0),0),1)*INDEX(其他调用!Y$5:Y$404,MATCH($K199,其他调用!$X$5:$X$404,0),0)</f>
        <v>39956.254776165675</v>
      </c>
      <c r="AJ199" s="12">
        <f>MIN(INDEX(其他调用!$AK$5:$AK$364,MATCH($K199,其他调用!$AG$5:$AG$364,0),1)/INDEX(其他调用!AI$5:AI$364,MATCH($K199,其他调用!$AG$5:$AG$364,0),0),1)*INDEX(其他调用!Z$5:Z$404,MATCH($K199,其他调用!$X$5:$X$404,0),0)</f>
        <v>41113.7827696889</v>
      </c>
      <c r="AK199" s="12">
        <f>MIN(INDEX(其他调用!$AK$5:$AK$364,MATCH($K199,其他调用!$AG$5:$AG$364,0),1)/INDEX(其他调用!AJ$5:AJ$364,MATCH($K199,其他调用!$AG$5:$AG$364,0),0),1)*INDEX(其他调用!AA$5:AA$404,MATCH($K199,其他调用!$X$5:$X$404,0),0)</f>
        <v>42634.582162972089</v>
      </c>
      <c r="AL199" s="12">
        <f>MIN(INDEX(其他调用!$AK$5:$AK$364,MATCH($K199,其他调用!$AG$5:$AG$364,0),1)/INDEX(其他调用!AK$5:AK$364,MATCH($K199,其他调用!$AG$5:$AG$364,0),0),1)*INDEX(其他调用!AB$5:AB$404,MATCH($K199,其他调用!$X$5:$X$404,0),0)</f>
        <v>44818.88307119286</v>
      </c>
      <c r="AM199" s="12">
        <f>MIN(INDEX(其他调用!$AK$5:$AK$364,MATCH($K199,其他调用!$AG$5:$AG$364,0),1)/INDEX(其他调用!AL$5:AL$364,MATCH($K199,其他调用!$AG$5:$AG$364,0),0),1)*INDEX(其他调用!AC$5:AC$404,MATCH($K199,其他调用!$X$5:$X$404,0),0)</f>
        <v>19412.631025961738</v>
      </c>
      <c r="AN199" s="12">
        <f>求节点(节奏总纲!D$4:D$163,标准城池设计!AF$4:AF$163,$K199)*求节点(节奏总纲!D$4:D$163,攻城基础信息!$AG$5:$AG$164,$K199)</f>
        <v>915454.04375883879</v>
      </c>
      <c r="AO199" s="12">
        <f>INDEX(其他调用!$AA$5:$AA$404,MATCH($K199,其他调用!$X$5:$X$404,0))*MIN(INDEX(其他调用!AL$5:AL$364,MATCH($K199,其他调用!$AG$5:$AG$364,0),1)/INDEX(其他调用!$AJ$5:$AJ$364,MATCH($K199,其他调用!$AG$5:$AG$364,0),0),5)*求节点(节奏总纲!D$4:D$163,攻城基础信息!$AG$5:$AG$164,$K199)</f>
        <v>718186.44434996764</v>
      </c>
      <c r="AP199" s="12">
        <f>MIN(INDEX(其他调用!$AL$5:$AL$364,MATCH($K199,其他调用!$AG$5:$AG$364,0),1)/INDEX(其他调用!AH$5:AH$364,MATCH($K199,其他调用!$AG$5:$AG$364,0),0),1)*INDEX(其他调用!Y$5:Y$404,MATCH($K199,其他调用!$X$5:$X$404,0),0)</f>
        <v>39956.254776165675</v>
      </c>
      <c r="AQ199" s="12">
        <f>MIN(INDEX(其他调用!$AL$5:$AL$364,MATCH($K199,其他调用!$AG$5:$AG$364,0),1)/INDEX(其他调用!AI$5:AI$364,MATCH($K199,其他调用!$AG$5:$AG$364,0),0),1)*INDEX(其他调用!Z$5:Z$404,MATCH($K199,其他调用!$X$5:$X$404,0),0)</f>
        <v>41113.7827696889</v>
      </c>
      <c r="AR199" s="12">
        <f>MIN(INDEX(其他调用!$AL$5:$AL$364,MATCH($K199,其他调用!$AG$5:$AG$364,0),1)/INDEX(其他调用!AJ$5:AJ$364,MATCH($K199,其他调用!$AG$5:$AG$364,0),0),1)*INDEX(其他调用!AA$5:AA$404,MATCH($K199,其他调用!$X$5:$X$404,0),0)</f>
        <v>42634.582162972089</v>
      </c>
      <c r="AS199" s="12">
        <f>MIN(INDEX(其他调用!$AL$5:$AL$364,MATCH($K199,其他调用!$AG$5:$AG$364,0),1)/INDEX(其他调用!AK$5:AK$364,MATCH($K199,其他调用!$AG$5:$AG$364,0),0),1)*INDEX(其他调用!AB$5:AB$404,MATCH($K199,其他调用!$X$5:$X$404,0),0)</f>
        <v>44818.88307119286</v>
      </c>
      <c r="AT199" s="12">
        <f>MIN(INDEX(其他调用!$AL$5:$AL$364,MATCH($K199,其他调用!$AG$5:$AG$364,0),1)/INDEX(其他调用!AL$5:AL$364,MATCH($K199,其他调用!$AG$5:$AG$364,0),0),1)*INDEX(其他调用!AC$5:AC$404,MATCH($K199,其他调用!$X$5:$X$404,0),0)</f>
        <v>48776.754731887755</v>
      </c>
      <c r="AV199" s="14">
        <f>IF(OR(AV$5="大R",AV$5="超R"),MAX(INDEX(其他调用!$H$5:$L$404,MATCH($K199,其他调用!$B$5:$B$404,0),MATCH(AV$5,其他调用!$H$4:$L$4,0))*120*0.85,2),INDEX(其他调用!$H$5:$L$404,MATCH($K199,其他调用!$B$5:$B$404,0),MATCH(AV$5,其他调用!$H$4:$L$4,0))*120*0.85)</f>
        <v>48.921801254999991</v>
      </c>
      <c r="AW199" s="14">
        <f>IF(OR(AW$5="大R",AW$5="超R"),MAX(INDEX(其他调用!$H$5:$L$404,MATCH($K199,其他调用!$B$5:$B$404,0),MATCH(AW$5,其他调用!$H$4:$L$4,0))*120*0.85,2),INDEX(其他调用!$H$5:$L$404,MATCH($K199,其他调用!$B$5:$B$404,0),MATCH(AW$5,其他调用!$H$4:$L$4,0))*120*0.85)</f>
        <v>48.237344010638395</v>
      </c>
      <c r="AX199" s="14">
        <f>IF(OR(AX$5="大R",AX$5="超R"),MAX(INDEX(其他调用!$H$5:$L$404,MATCH($K199,其他调用!$B$5:$B$404,0),MATCH(AX$5,其他调用!$H$4:$L$4,0))*120*0.85,2),INDEX(其他调用!$H$5:$L$404,MATCH($K199,其他调用!$B$5:$B$404,0),MATCH(AX$5,其他调用!$H$4:$L$4,0))*120*0.85)</f>
        <v>3.9376284143615998</v>
      </c>
      <c r="AY199" s="14">
        <f>IF(OR(AY$5="大R",AY$5="超R"),MAX(INDEX(其他调用!$H$5:$L$404,MATCH($K199,其他调用!$B$5:$B$404,0),MATCH(AY$5,其他调用!$H$4:$L$4,0))*120*0.85,2),INDEX(其他调用!$H$5:$L$404,MATCH($K199,其他调用!$B$5:$B$404,0),MATCH(AY$5,其他调用!$H$4:$L$4,0))*120*0.85)</f>
        <v>2</v>
      </c>
      <c r="AZ199" s="14">
        <f>IF(OR(AZ$5="大R",AZ$5="超R"),MAX(INDEX(其他调用!$H$5:$L$404,MATCH($K199,其他调用!$B$5:$B$404,0),MATCH(AZ$5,其他调用!$H$4:$L$4,0))*120*0.85,2),INDEX(其他调用!$H$5:$L$404,MATCH($K199,其他调用!$B$5:$B$404,0),MATCH(AZ$5,其他调用!$H$4:$L$4,0))*120*0.85)</f>
        <v>2</v>
      </c>
      <c r="BA199" s="14">
        <f>INDEX(其他调用!$H$5:$L$404,MATCH($K199,其他调用!$B$5:$B$404,0),MATCH(BA$5,其他调用!$H$4:$L$4,0))*INDEX(其他调用!$M$5:$M$404,MATCH($K199,其他调用!$B$5:$B$404,0))*0.6</f>
        <v>28.777530149999997</v>
      </c>
      <c r="BB199" s="14">
        <f>INDEX(其他调用!$H$5:$L$404,MATCH($K199,其他调用!$B$5:$B$404,0),MATCH(BB$5,其他调用!$H$4:$L$4,0))*INDEX(其他调用!$M$5:$M$404,MATCH($K199,其他调用!$B$5:$B$404,0))*0.6</f>
        <v>28.374908241551999</v>
      </c>
      <c r="BC199" s="14">
        <f>INDEX(其他调用!$H$5:$L$404,MATCH($K199,其他调用!$B$5:$B$404,0),MATCH(BC$5,其他调用!$H$4:$L$4,0))*INDEX(其他调用!$M$5:$M$404,MATCH($K199,其他调用!$B$5:$B$404,0))*0.6</f>
        <v>2.3162520084480001</v>
      </c>
      <c r="BD199" s="14">
        <f>INDEX(其他调用!$H$5:$L$404,MATCH($K199,其他调用!$B$5:$B$404,0),MATCH(BD$5,其他调用!$H$4:$L$4,0))*INDEX(其他调用!$M$5:$M$404,MATCH($K199,其他调用!$B$5:$B$404,0))*0.6</f>
        <v>0.4120776000000001</v>
      </c>
      <c r="BE199" s="14">
        <f>INDEX(其他调用!$H$5:$L$404,MATCH($K199,其他调用!$B$5:$B$404,0),MATCH(BE$5,其他调用!$H$4:$L$4,0))*INDEX(其他调用!$M$5:$M$404,MATCH($K199,其他调用!$B$5:$B$404,0))*0.6</f>
        <v>0.11923199999999998</v>
      </c>
      <c r="BF199" s="14">
        <f>IF(OR(BF$5="大R",BF$5="超R"),0,INDEX(其他调用!$H$5:$L$404,MATCH($K199,其他调用!$B$5:$B$404,0),MATCH(BF$5,其他调用!$H$4:$L$4,0))*50*0.4)</f>
        <v>9.5925100500000013</v>
      </c>
      <c r="BG199" s="14">
        <f>IF(OR(BG$5="大R",BG$5="超R"),0,INDEX(其他调用!$H$5:$L$404,MATCH($K199,其他调用!$B$5:$B$404,0),MATCH(BG$5,其他调用!$H$4:$L$4,0))*50*0.4)</f>
        <v>9.4583027471839998</v>
      </c>
      <c r="BH199" s="14">
        <f>IF(OR(BH$5="大R",BH$5="超R"),0,INDEX(其他调用!$H$5:$L$404,MATCH($K199,其他调用!$B$5:$B$404,0),MATCH(BH$5,其他调用!$H$4:$L$4,0))*50*0.4)</f>
        <v>0.77208400281600009</v>
      </c>
      <c r="BI199" s="14">
        <f>IF(OR(BI$5="大R",BI$5="超R"),0,INDEX(其他调用!$H$5:$L$404,MATCH($K199,其他调用!$B$5:$B$404,0),MATCH(BI$5,其他调用!$H$4:$L$4,0))*50*0.4)</f>
        <v>0</v>
      </c>
      <c r="BJ199" s="14">
        <f>IF(OR(BJ$5="大R",BJ$5="超R"),0,INDEX(其他调用!$H$5:$L$404,MATCH($K199,其他调用!$B$5:$B$404,0),MATCH(BJ$5,其他调用!$H$4:$L$4,0))*50*0.4)</f>
        <v>0</v>
      </c>
      <c r="BL199" s="14">
        <f t="shared" si="313"/>
        <v>194</v>
      </c>
      <c r="BM199" s="14">
        <f t="shared" ref="BM199:BM262" si="325">120*0.8</f>
        <v>96</v>
      </c>
      <c r="BN199" s="14">
        <f>('疲劳值&amp;地图信息'!$S$10*'疲劳值&amp;地图信息'!$R$10+'疲劳值&amp;地图信息'!$S$11*'疲劳值&amp;地图信息'!$R$11+'疲劳值&amp;地图信息'!$S$12*'疲劳值&amp;地图信息'!$R$12+(BM199-'疲劳值&amp;地图信息'!$S$12-'疲劳值&amp;地图信息'!$S$11-'疲劳值&amp;地图信息'!$S$10)*'疲劳值&amp;地图信息'!$R$13)/BM199</f>
        <v>51.371477246638619</v>
      </c>
      <c r="BO199" s="14">
        <f>INDEX(其他调用!$M$5:$M$404,MATCH(BL199,其他调用!$B$5:$B$404,0))*0.6</f>
        <v>60</v>
      </c>
      <c r="BP199" s="14">
        <f>IF(BO199&gt;SUM('疲劳值&amp;地图信息'!$S$10:$S$12),('疲劳值&amp;地图信息'!$S$10*'疲劳值&amp;地图信息'!$R$10+'疲劳值&amp;地图信息'!$S$11*'疲劳值&amp;地图信息'!$R$11+'疲劳值&amp;地图信息'!$S$12*'疲劳值&amp;地图信息'!$R$12+(BO199-'疲劳值&amp;地图信息'!$S$12-'疲劳值&amp;地图信息'!$S$11-'疲劳值&amp;地图信息'!$S$10)*'疲劳值&amp;地图信息'!$R$13)/BO199,('疲劳值&amp;地图信息'!$S$10*'疲劳值&amp;地图信息'!$R$10+'疲劳值&amp;地图信息'!$S$11*'疲劳值&amp;地图信息'!$R$11+'疲劳值&amp;地图信息'!$S$12*'疲劳值&amp;地图信息'!$R$12+(BO199-'疲劳值&amp;地图信息'!$S$12-'疲劳值&amp;地图信息'!$S$11-'疲劳值&amp;地图信息'!$S$10)*'疲劳值&amp;地图信息'!$R$13)/BO199)</f>
        <v>44.158136341605953</v>
      </c>
      <c r="BQ199" s="14">
        <f t="shared" si="314"/>
        <v>20</v>
      </c>
      <c r="BR199" s="14">
        <f>('疲劳值&amp;地图信息'!$S$10*'疲劳值&amp;地图信息'!$R$10+($BQ199-'疲劳值&amp;地图信息'!$S$10)*'疲劳值&amp;地图信息'!$R$11)/$BQ199</f>
        <v>32.067203015074995</v>
      </c>
      <c r="CF199" s="14">
        <v>194</v>
      </c>
      <c r="CG199" s="51">
        <f t="shared" ref="CG199:CG262" si="326">INT(INDEX($L$6:$AT$365,MATCH($CF199,$K$6:$K$365,0),MATCH(CG$4,$L$4:$AT$4,0))*$BX$34/$BP199/10000*$BX$5)</f>
        <v>13198</v>
      </c>
      <c r="CH199" s="51">
        <f t="shared" ref="CH199:CH262" si="327">INT(INDEX($L$6:$AT$365,MATCH($CF199,$K$6:$K$365,0),MATCH(CG$4,$L$4:$AT$4,0)+1)*$BY$34/$BP199/10000*$BX$6)</f>
        <v>1038</v>
      </c>
      <c r="CI199" s="51">
        <f>INT(SUMPRODUCT($N199:$R199,$BA199:$BE199)/SUM($BA199:$BE199)/10000*$BX$7*$BZ$34/'疲劳值&amp;地图信息'!$R$10*$BY$53)</f>
        <v>3232</v>
      </c>
      <c r="CJ199" s="50">
        <f t="shared" ref="CJ199:CJ262" si="328">CG199/SUM(CG199:CI199)</f>
        <v>0.75555301122051755</v>
      </c>
      <c r="CK199" s="50">
        <f t="shared" ref="CK199:CK262" si="329">CH199/SUM(CG199:CI199)</f>
        <v>5.9422944813373027E-2</v>
      </c>
      <c r="CL199" s="50">
        <f t="shared" ref="CL199:CL262" si="330">CI199/SUM(CG199:CI199)</f>
        <v>0.18502404396610947</v>
      </c>
      <c r="CM199" s="14">
        <f t="shared" ref="CM199:CM262" si="331">INT(INDEX($L$6:$AT$365,MATCH($CF199,$K$6:$K$365,0),MATCH(CM$4,$L$4:$AT$4,0))*$BX$34/$BP199/10000*$BX$5)</f>
        <v>14048</v>
      </c>
      <c r="CN199" s="14">
        <f t="shared" ref="CN199:CN262" si="332">INT(INDEX($L$6:$AT$365,MATCH($CF199,$K$6:$K$365,0),MATCH(CM$4,$L$4:$AT$4,0)+1)*$BY$34/$BP199/10000*$BX$6)</f>
        <v>1674</v>
      </c>
      <c r="CO199" s="14">
        <f>INT(SUMPRODUCT($U199:$Y199,$BA199:$BE199)/SUM($BA199:$BE199)/10000*$BX$7*$BZ$34/'疲劳值&amp;地图信息'!$R$10*$BY$54)</f>
        <v>6029</v>
      </c>
      <c r="CP199" s="50">
        <f t="shared" ref="CP199:CP262" si="333">CM199/SUM(CM199:CO199)</f>
        <v>0.64585536297181734</v>
      </c>
      <c r="CQ199" s="50">
        <f t="shared" ref="CQ199:CQ262" si="334">CN199/SUM(CM199:CO199)</f>
        <v>7.696197875959726E-2</v>
      </c>
      <c r="CR199" s="50">
        <f t="shared" ref="CR199:CR262" si="335">CO199/SUM(CM199:CO199)</f>
        <v>0.27718265826858535</v>
      </c>
      <c r="CS199" s="14">
        <f t="shared" ref="CS199:CS262" si="336">INT(INDEX($L$6:$AT$365,MATCH($CF199,$K$6:$K$365,0),MATCH(CS$4,$L$4:$AT$4,0))*$BX$34/$BP199/10000*$BX$5)</f>
        <v>15079</v>
      </c>
      <c r="CT199" s="14">
        <f t="shared" ref="CT199:CT262" si="337">INT(INDEX($L$6:$AT$365,MATCH($CF199,$K$6:$K$365,0),MATCH(CS$4,$L$4:$AT$4,0)+1)*$BY$34/$BP199/10000*$BX$6)</f>
        <v>2927</v>
      </c>
      <c r="CU199" s="14">
        <f>INT(SUMPRODUCT($AB199:$AF199,$BA199:$BE199)/SUM($BA199:$BE199)/10000*$BX$7*$BZ$34/'疲劳值&amp;地图信息'!$R$10*$BY$55)</f>
        <v>8193</v>
      </c>
      <c r="CV199" s="50">
        <f t="shared" ref="CV199:CV262" si="338">CS199/SUM(CS199:CU199)</f>
        <v>0.57555631894347115</v>
      </c>
      <c r="CW199" s="50">
        <f t="shared" ref="CW199:CW262" si="339">CT199/SUM(CS199:CU199)</f>
        <v>0.11172182144356654</v>
      </c>
      <c r="CX199" s="50">
        <f t="shared" ref="CX199:CX262" si="340">CU199/SUM(CS199:CU199)</f>
        <v>0.31272185961296234</v>
      </c>
      <c r="CY199" s="14">
        <f t="shared" ref="CY199:CY262" si="341">INT(INDEX($L$6:$AT$365,MATCH($CF199,$K$6:$K$365,0),MATCH(CY$4,$L$4:$AT$4,0))*$BX$34/$BP199/10000*$BX$5)</f>
        <v>18036</v>
      </c>
      <c r="CZ199" s="14">
        <f t="shared" ref="CZ199:CZ262" si="342">INT(INDEX($L$6:$AT$365,MATCH($CF199,$K$6:$K$365,0),MATCH(CY$4,$L$4:$AT$4,0)+1)*$BY$34/$BP199/10000*$BX$6)</f>
        <v>8429</v>
      </c>
      <c r="DA199" s="14">
        <f>INT(SUMPRODUCT($AI199:$AM199,$BA199:$BE199)/SUM($BA199:$BE199)/10000*$BX$7*$BZ$34/'疲劳值&amp;地图信息'!$R$10*$BY$56)</f>
        <v>12358</v>
      </c>
      <c r="DB199" s="50">
        <f t="shared" ref="DB199:DB262" si="343">CY199/SUM(CY199:DA199)</f>
        <v>0.46456997140870104</v>
      </c>
      <c r="DC199" s="50">
        <f t="shared" ref="DC199:DC262" si="344">CZ199/SUM(CY199:DA199)</f>
        <v>0.21711356670015197</v>
      </c>
      <c r="DD199" s="50">
        <f t="shared" ref="DD199:DD262" si="345">DA199/SUM(CY199:DA199)</f>
        <v>0.31831646189114698</v>
      </c>
      <c r="DE199" s="14">
        <f t="shared" ref="DE199:DE262" si="346">INT(INDEX($L$6:$AT$365,MATCH($CF199,$K$6:$K$365,0),MATCH(DE$4,$L$4:$AT$4,0))*$BX$34/$BP199/10000*$BX$5)</f>
        <v>18658</v>
      </c>
      <c r="DF199" s="14">
        <f t="shared" ref="DF199:DF262" si="347">INT(INDEX($L$6:$AT$365,MATCH($CF199,$K$6:$K$365,0),MATCH(DE$4,$L$4:$AT$4,0)+1)*$BY$34/$BP199/10000*$BX$6)</f>
        <v>14637</v>
      </c>
      <c r="DG199" s="14">
        <f>INT(SUMPRODUCT($AP199:$AT199,$BA199:$BE199)/SUM($BA199:$BE199)/10000*$BX$7*$BZ$34/'疲劳值&amp;地图信息'!$R$10*$BY$57)</f>
        <v>16501</v>
      </c>
      <c r="DH199" s="50">
        <f t="shared" ref="DH199:DH262" si="348">DE199/SUM(DE199:DG199)</f>
        <v>0.37468873001847536</v>
      </c>
      <c r="DI199" s="50">
        <f t="shared" ref="DI199:DI262" si="349">DF199/SUM(DE199:DG199)</f>
        <v>0.29393927223070127</v>
      </c>
      <c r="DJ199" s="50">
        <f t="shared" ref="DJ199:DJ262" si="350">DG199/SUM(DE199:DG199)</f>
        <v>0.33137199775082338</v>
      </c>
      <c r="DL199" s="14">
        <f t="shared" si="316"/>
        <v>17468</v>
      </c>
      <c r="DM199" s="14">
        <f t="shared" si="317"/>
        <v>21751</v>
      </c>
      <c r="DN199" s="14">
        <f t="shared" si="318"/>
        <v>26199</v>
      </c>
      <c r="DO199" s="14">
        <f t="shared" si="319"/>
        <v>38823</v>
      </c>
      <c r="DP199" s="14">
        <f t="shared" si="320"/>
        <v>49796</v>
      </c>
      <c r="DQ199" s="14">
        <f t="shared" si="321"/>
        <v>1202487</v>
      </c>
      <c r="DT199" s="14">
        <f t="shared" si="315"/>
        <v>235575</v>
      </c>
      <c r="DU199" s="50">
        <f t="shared" si="322"/>
        <v>0.16381421663321888</v>
      </c>
      <c r="DW199" s="14">
        <f t="shared" ref="DW199:DW262" si="351">DQ199+DT199</f>
        <v>1438062</v>
      </c>
      <c r="EB199" s="14">
        <v>194</v>
      </c>
      <c r="EC199" s="51">
        <f t="shared" ref="EC199:EC262" si="352">INT(INDEX($L$6:$AT$365,MATCH($CF199,$K$6:$K$365,0),MATCH(EC$4,$L$4:$AT$4,0))*$BX$46/$BP199/10000*$BX$5)</f>
        <v>21997</v>
      </c>
      <c r="ED199" s="51">
        <f t="shared" ref="ED199:ED262" si="353">INT(INDEX($L$6:$AT$365,MATCH($CF199,$K$6:$K$365,0),MATCH(EC$4,$L$4:$AT$4,0)+1)*$BY$46/$BP199/10000*$BX$6)</f>
        <v>1731</v>
      </c>
      <c r="EE199" s="51">
        <f>INT(SUMPRODUCT($N199:$R199,$BF199:$BJ199)/SUM($BF199:$BJ199)/10000*$BX$7*$BZ$46/'疲劳值&amp;地图信息'!$R$10*$BY$53)</f>
        <v>434</v>
      </c>
      <c r="EF199" s="50">
        <f t="shared" ref="EF199:EF262" si="354">EC199/SUM(EC199:EE199)</f>
        <v>0.91039649035675851</v>
      </c>
      <c r="EG199" s="50">
        <f t="shared" ref="EG199:EG262" si="355">ED199/SUM(EC199:EE199)</f>
        <v>7.1641420412217535E-2</v>
      </c>
      <c r="EH199" s="50">
        <f t="shared" ref="EH199:EH262" si="356">EE199/SUM(EC199:EE199)</f>
        <v>1.7962089231023923E-2</v>
      </c>
      <c r="EI199" s="51">
        <f t="shared" ref="EI199:EI262" si="357">INT(INDEX($L$6:$AT$365,MATCH($CF199,$K$6:$K$365,0),MATCH(EI$4,$L$4:$AT$4,0))*$BX$46/$BP199/10000*$BX$5)</f>
        <v>23414</v>
      </c>
      <c r="EJ199" s="51">
        <f t="shared" ref="EJ199:EJ262" si="358">INT(INDEX($L$6:$AT$365,MATCH($CF199,$K$6:$K$365,0),MATCH(EI$4,$L$4:$AT$4,0)+1)*$BY$46/$BP199/10000*$BX$6)</f>
        <v>2790</v>
      </c>
      <c r="EK199" s="14">
        <f>INT(SUMPRODUCT($U199:$Y199,$BF199:$BJ199)/SUM($BF199:$BJ199)/10000*$BX$7*$BZ$46/'疲劳值&amp;地图信息'!$R$10*$BY$54)</f>
        <v>809</v>
      </c>
      <c r="EL199" s="50">
        <f t="shared" ref="EL199:EL262" si="359">EI199/SUM(EI199:EK199)</f>
        <v>0.86676785251545552</v>
      </c>
      <c r="EM199" s="50">
        <f t="shared" ref="EM199:EM262" si="360">EJ199/SUM(EI199:EK199)</f>
        <v>0.1032836041905749</v>
      </c>
      <c r="EN199" s="50">
        <f t="shared" ref="EN199:EN262" si="361">EK199/SUM(EI199:EK199)</f>
        <v>2.9948543293969569E-2</v>
      </c>
      <c r="EO199" s="51">
        <f t="shared" ref="EO199:EO262" si="362">INT(INDEX($L$6:$AT$365,MATCH($CF199,$K$6:$K$365,0),MATCH(EO$4,$L$4:$AT$4,0))*$BX$46/$BP199/10000*$BX$5)</f>
        <v>25133</v>
      </c>
      <c r="EP199" s="51">
        <f t="shared" ref="EP199:EP262" si="363">INT(INDEX($L$6:$AT$365,MATCH($CF199,$K$6:$K$365,0),MATCH(EO$4,$L$4:$AT$4,0)+1)*$BY$46/$BP199/10000*$BX$6)</f>
        <v>4879</v>
      </c>
      <c r="EQ199" s="14">
        <f>INT(SUMPRODUCT($AB199:$AF199,$BF199:$BJ199)/SUM($BF199:$BJ199)/10000*$BX$7*$BZ$46/'疲劳值&amp;地图信息'!$R$10*$BY$55)</f>
        <v>1098</v>
      </c>
      <c r="ER199" s="50">
        <f t="shared" ref="ER199:ER262" si="364">EO199/SUM(EO199:EQ199)</f>
        <v>0.80787528126004504</v>
      </c>
      <c r="ES199" s="50">
        <f t="shared" ref="ES199:ES262" si="365">EP199/SUM(EO199:EQ199)</f>
        <v>0.15683060109289618</v>
      </c>
      <c r="ET199" s="50">
        <f t="shared" ref="ET199:ET262" si="366">EQ199/SUM(EO199:EQ199)</f>
        <v>3.5294117647058823E-2</v>
      </c>
      <c r="EU199" s="51">
        <f t="shared" ref="EU199:EU262" si="367">INT(INDEX($L$6:$AT$365,MATCH($CF199,$K$6:$K$365,0),MATCH(EU$4,$L$4:$AT$4,0))*$BX$46/$BP199/10000*$BX$5)</f>
        <v>30060</v>
      </c>
      <c r="EV199" s="51">
        <f t="shared" ref="EV199:EV262" si="368">INT(INDEX($L$6:$AT$365,MATCH($CF199,$K$6:$K$365,0),MATCH(EU$4,$L$4:$AT$4,0)+1)*$BY$46/$BP199/10000*$BX$6)</f>
        <v>14048</v>
      </c>
      <c r="EW199" s="14">
        <f>INT(SUMPRODUCT($AI199:$AM199,$BF199:$BJ199)/SUM($BF199:$BJ199)/10000*$BX$7*$BZ$46/'疲劳值&amp;地图信息'!$R$10*$BY$56)</f>
        <v>1648</v>
      </c>
      <c r="EX199" s="50">
        <f t="shared" ref="EX199:EX262" si="369">EU199/SUM(EU199:EW199)</f>
        <v>0.65696302124311567</v>
      </c>
      <c r="EY199" s="50">
        <f t="shared" ref="EY199:EY262" si="370">EV199/SUM(EU199:EW199)</f>
        <v>0.30701984439199231</v>
      </c>
      <c r="EZ199" s="50">
        <f t="shared" ref="EZ199:EZ262" si="371">EW199/SUM(EU199:EW199)</f>
        <v>3.6017134364892039E-2</v>
      </c>
      <c r="FA199" s="51">
        <f t="shared" ref="FA199:FA262" si="372">INT(INDEX($L$6:$AT$365,MATCH($CF199,$K$6:$K$365,0),MATCH(FA$4,$L$4:$AT$4,0))*$BX$46/$BP199/10000*$BX$5)</f>
        <v>31096</v>
      </c>
      <c r="FB199" s="51">
        <f t="shared" ref="FB199:FB262" si="373">INT(INDEX($L$6:$AT$365,MATCH($CF199,$K$6:$K$365,0),MATCH(FA$4,$L$4:$AT$4,0)+1)*$BY$46/$BP199/10000*$BX$6)</f>
        <v>24395</v>
      </c>
      <c r="FC199" s="14">
        <f>INT(SUMPRODUCT($AP199:$AT199,$BF199:$BJ199)/SUM($BF199:$BJ199)/10000*$BX$7*$BZ$46/'疲劳值&amp;地图信息'!$R$10*$BY$57)</f>
        <v>2197</v>
      </c>
      <c r="FD199" s="50">
        <f t="shared" ref="FD199:FD262" si="374">FA199/SUM(FA199:FC199)</f>
        <v>0.53903758147274994</v>
      </c>
      <c r="FE199" s="50">
        <f t="shared" ref="FE199:FE262" si="375">FB199/SUM(FA199:FC199)</f>
        <v>0.42287824157537096</v>
      </c>
      <c r="FF199" s="50">
        <f t="shared" ref="FF199:FF262" si="376">FC199/SUM(FA199:FC199)</f>
        <v>3.8084176951879073E-2</v>
      </c>
      <c r="FH199" s="14">
        <f t="shared" ref="FH199:FH262" si="377">SUM(EC199:EE199)</f>
        <v>24162</v>
      </c>
      <c r="FI199" s="14">
        <f t="shared" ref="FI199:FI262" si="378">SUM(EI199:EK199)</f>
        <v>27013</v>
      </c>
      <c r="FJ199" s="14">
        <f t="shared" ref="FJ199:FJ262" si="379">SUM(EO199:EQ199)</f>
        <v>31110</v>
      </c>
      <c r="FK199" s="14">
        <f t="shared" ref="FK199:FK262" si="380">SUM(EU199:EW199)</f>
        <v>45756</v>
      </c>
      <c r="FL199" s="14">
        <f t="shared" ref="FL199:FL262" si="381">SUM(FA199:FC199)</f>
        <v>57688</v>
      </c>
      <c r="FM199" s="14">
        <f t="shared" ref="FM199:FM262" si="382">INT(SUMPRODUCT(FH199:FL199,$AV199:$AZ199))</f>
        <v>2814471</v>
      </c>
      <c r="FP199" s="14">
        <f t="shared" ref="FP199:FP262" si="383">SUM($BX$11:$BX$27)+SUM($BY$11:$BY$27)*(($BX$46+$BY$46+$BZ$46)/60-($BX$46+$BY$46)/60/2)</f>
        <v>334150</v>
      </c>
      <c r="FQ199" s="50">
        <f t="shared" si="323"/>
        <v>0.10612582460702638</v>
      </c>
      <c r="FS199" s="14">
        <f t="shared" ref="FS199:FS262" si="384">FM199+FP199</f>
        <v>3148621</v>
      </c>
      <c r="FX199" s="14">
        <v>194</v>
      </c>
      <c r="FY199" s="51">
        <f t="shared" ref="FY199:FY262" si="385">INT(INDEX($L$6:$AT$365,MATCH($CF199,$K$6:$K$365,0),MATCH(FY$4,$L$4:$AT$4,0))*$BX$47/$BP199/10000*$BX$5)</f>
        <v>30796</v>
      </c>
      <c r="FZ199" s="51">
        <f t="shared" ref="FZ199:FZ262" si="386">INT(INDEX($L$6:$AT$365,MATCH($CF199,$K$6:$K$365,0),MATCH(FY$4,$L$4:$AT$4,0)+1)*$BY$46/$BP199/10000*$BX$6)</f>
        <v>1731</v>
      </c>
      <c r="GA199" s="51">
        <f>INT(SUMPRODUCT($N199:$R199,$BF199:$BJ199)/SUM($BF199:$BJ199)/10000*$BX$7*$BZ$46/'疲劳值&amp;地图信息'!$R$10*$BY$53)</f>
        <v>434</v>
      </c>
      <c r="GB199" s="50">
        <f t="shared" ref="GB199:GB262" si="387">FY199/SUM(FY199:GA199)</f>
        <v>0.93431631321865238</v>
      </c>
      <c r="GC199" s="50">
        <f t="shared" ref="GC199:GC262" si="388">FZ199/SUM(FY199:GA199)</f>
        <v>5.2516610539728767E-2</v>
      </c>
      <c r="GD199" s="50">
        <f t="shared" ref="GD199:GD262" si="389">GA199/SUM(FY199:GA199)</f>
        <v>1.3167076241618883E-2</v>
      </c>
      <c r="GE199" s="51">
        <f t="shared" ref="GE199:GE262" si="390">INT(INDEX($L$6:$AT$365,MATCH($CF199,$K$6:$K$365,0),MATCH(GE$4,$L$4:$AT$4,0))*$BX$47/$BP199/10000*$BX$5)</f>
        <v>32779</v>
      </c>
      <c r="GF199" s="51">
        <f t="shared" ref="GF199:GF262" si="391">INT(INDEX($L$6:$AT$365,MATCH($CF199,$K$6:$K$365,0),MATCH(GE$4,$L$4:$AT$4,0)+1)*$BY$46/$BP199/10000*$BX$6)</f>
        <v>2790</v>
      </c>
      <c r="GG199" s="14">
        <f>INT(SUMPRODUCT($U199:$Y199,$BF199:$BJ199)/SUM($BF199:$BJ199)/10000*$BX$7*$BZ$46/'疲劳值&amp;地图信息'!$R$10*$BY$54)</f>
        <v>809</v>
      </c>
      <c r="GH199" s="50">
        <f t="shared" ref="GH199:GH262" si="392">GE199/SUM(GE199:GG199)</f>
        <v>0.90106657870141293</v>
      </c>
      <c r="GI199" s="50">
        <f t="shared" ref="GI199:GI262" si="393">GF199/SUM(GE199:GG199)</f>
        <v>7.6694705591291434E-2</v>
      </c>
      <c r="GJ199" s="50">
        <f t="shared" ref="GJ199:GJ262" si="394">GG199/SUM(GE199:GG199)</f>
        <v>2.2238715707295617E-2</v>
      </c>
      <c r="GK199" s="51">
        <f t="shared" ref="GK199:GK262" si="395">INT(INDEX($L$6:$AT$365,MATCH($CF199,$K$6:$K$365,0),MATCH(GK$4,$L$4:$AT$4,0))*$BX$47/$BP199/10000*$BX$5)</f>
        <v>35186</v>
      </c>
      <c r="GL199" s="51">
        <f t="shared" ref="GL199:GL262" si="396">INT(INDEX($L$6:$AT$365,MATCH($CF199,$K$6:$K$365,0),MATCH(GK$4,$L$4:$AT$4,0)+1)*$BY$46/$BP199/10000*$BX$6)</f>
        <v>4879</v>
      </c>
      <c r="GM199" s="14">
        <f>INT(SUMPRODUCT($AB199:$AF199,$BF199:$BJ199)/SUM($BF199:$BJ199)/10000*$BX$7*$BZ$46/'疲劳值&amp;地图信息'!$R$10*$BY$55)</f>
        <v>1098</v>
      </c>
      <c r="GN199" s="50">
        <f t="shared" ref="GN199:GN262" si="397">GK199/SUM(GK199:GM199)</f>
        <v>0.85479678351917987</v>
      </c>
      <c r="GO199" s="50">
        <f t="shared" ref="GO199:GO262" si="398">GL199/SUM(GK199:GM199)</f>
        <v>0.11852877584238272</v>
      </c>
      <c r="GP199" s="50">
        <f t="shared" ref="GP199:GP262" si="399">GM199/SUM(GK199:GM199)</f>
        <v>2.6674440638437432E-2</v>
      </c>
      <c r="GQ199" s="51">
        <f t="shared" ref="GQ199:GQ262" si="400">INT(INDEX($L$6:$AT$365,MATCH($CF199,$K$6:$K$365,0),MATCH(GQ$4,$L$4:$AT$4,0))*$BX$47/$BP199/10000*$BX$5)</f>
        <v>42084</v>
      </c>
      <c r="GR199" s="51">
        <f t="shared" ref="GR199:GR262" si="401">INT(INDEX($L$6:$AT$365,MATCH($CF199,$K$6:$K$365,0),MATCH(GQ$4,$L$4:$AT$4,0)+1)*$BY$46/$BP199/10000*$BX$6)</f>
        <v>14048</v>
      </c>
      <c r="GS199" s="14">
        <f>INT(SUMPRODUCT($AI199:$AM199,$BF199:$BJ199)/SUM($BF199:$BJ199)/10000*$BX$7*$BZ$46/'疲劳值&amp;地图信息'!$R$10*$BY$56)</f>
        <v>1648</v>
      </c>
      <c r="GT199" s="50">
        <f t="shared" ref="GT199:GT262" si="402">GQ199/SUM(GQ199:GS199)</f>
        <v>0.72834890965732091</v>
      </c>
      <c r="GU199" s="50">
        <f t="shared" ref="GU199:GU262" si="403">GR199/SUM(GQ199:GS199)</f>
        <v>0.24312911041883004</v>
      </c>
      <c r="GV199" s="50">
        <f t="shared" ref="GV199:GV262" si="404">GS199/SUM(GQ199:GS199)</f>
        <v>2.8521979923849083E-2</v>
      </c>
      <c r="GW199" s="51">
        <f t="shared" ref="GW199:GW262" si="405">INT(INDEX($L$6:$AT$365,MATCH($CF199,$K$6:$K$365,0),MATCH(GW$4,$L$4:$AT$4,0))*$BX$47/$BP199/10000*$BX$5)</f>
        <v>43535</v>
      </c>
      <c r="GX199" s="51">
        <f t="shared" ref="GX199:GX262" si="406">INT(INDEX($L$6:$AT$365,MATCH($CF199,$K$6:$K$365,0),MATCH(GW$4,$L$4:$AT$4,0)+1)*$BY$46/$BP199/10000*$BX$6)</f>
        <v>24395</v>
      </c>
      <c r="GY199" s="14">
        <f>INT(SUMPRODUCT($AP199:$AT199,$BF199:$BJ199)/SUM($BF199:$BJ199)/10000*$BX$7*$BZ$46/'疲劳值&amp;地图信息'!$R$10*$BY$57)</f>
        <v>2197</v>
      </c>
      <c r="GZ199" s="50">
        <f t="shared" ref="GZ199:GZ262" si="407">GW199/SUM(GW199:GY199)</f>
        <v>0.62080225875910844</v>
      </c>
      <c r="HA199" s="50">
        <f t="shared" ref="HA199:HA262" si="408">GX199/SUM(GW199:GY199)</f>
        <v>0.34786886648509135</v>
      </c>
      <c r="HB199" s="50">
        <f t="shared" ref="HB199:HB262" si="409">GY199/SUM(GW199:GY199)</f>
        <v>3.1328874755800193E-2</v>
      </c>
      <c r="HD199" s="14">
        <f t="shared" ref="HD199:HD262" si="410">SUM(FY199:GA199)</f>
        <v>32961</v>
      </c>
      <c r="HE199" s="14">
        <f t="shared" ref="HE199:HE262" si="411">SUM(GE199:GG199)</f>
        <v>36378</v>
      </c>
      <c r="HF199" s="14">
        <f t="shared" ref="HF199:HF262" si="412">SUM(GK199:GM199)</f>
        <v>41163</v>
      </c>
      <c r="HG199" s="14">
        <f t="shared" ref="HG199:HG262" si="413">SUM(GQ199:GS199)</f>
        <v>57780</v>
      </c>
      <c r="HH199" s="14">
        <f t="shared" ref="HH199:HH262" si="414">SUM(GW199:GY199)</f>
        <v>70127</v>
      </c>
      <c r="HI199" s="14">
        <f t="shared" ref="HI199:HI262" si="415">INT(SUMPRODUCT(HD199:HH199,$AV199:$AZ199))</f>
        <v>3785188</v>
      </c>
      <c r="HL199" s="14">
        <f t="shared" ref="HL199:HL262" si="416">SUM($BX$11:$BX$27)+SUM($BY$11:$BY$27)*(60-($BX$46+$BY$46)/60/2)</f>
        <v>430050</v>
      </c>
      <c r="HM199" s="50">
        <f t="shared" si="324"/>
        <v>0.10202270903801873</v>
      </c>
      <c r="HO199" s="14">
        <f t="shared" ref="HO199:HO262" si="417">HI199+HL199</f>
        <v>4215238</v>
      </c>
    </row>
    <row r="200" spans="11:223" x14ac:dyDescent="0.2">
      <c r="K200" s="14">
        <v>195</v>
      </c>
      <c r="L200" s="12">
        <f>求节点(节奏总纲!D$4:D$163,标准城池设计!AB$4:AB$163,$K200)*求节点(节奏总纲!D$4:D$163,攻城基础信息!$AC$5:$AC$164,$K200)</f>
        <v>648964.10617882456</v>
      </c>
      <c r="M200" s="12">
        <f>INDEX(其他调用!$AA$5:$AA$404,MATCH(K200,其他调用!$X$5:$X$404,0))*MIN(INDEX(其他调用!$AH$5:$AH$364,MATCH('征服点（新）'!K200,其他调用!$AG$5:$AG$364,0),1)/INDEX(其他调用!$AJ$5:$AJ$364,MATCH(K200,其他调用!$AG$5:$AG$364,0),0),5)*求节点(节奏总纲!D$4:D$163,攻城基础信息!$AC$5:$AC$164,$K200)</f>
        <v>51102.080420974809</v>
      </c>
      <c r="N200" s="12">
        <f>MIN(INDEX(其他调用!$AH$5:$AH$364,MATCH($K200,其他调用!$AG$5:$AG$364,0),1)/INDEX(其他调用!AH$5:AH$364,MATCH($K200,其他调用!$AG$5:$AG$364,0),0),1)*INDEX(其他调用!Y$5:Y$404,MATCH($K200,其他调用!$X$5:$X$404,0),0)</f>
        <v>39985.700089623693</v>
      </c>
      <c r="O200" s="12">
        <f>MIN(INDEX(其他调用!$AH$5:$AH$364,MATCH($K200,其他调用!$AG$5:$AG$364,0),1)/INDEX(其他调用!AI$5:AI$364,MATCH($K200,其他调用!$AG$5:$AG$364,0),0),1)*INDEX(其他调用!Z$5:Z$404,MATCH($K200,其他调用!$X$5:$X$404,0),0)</f>
        <v>25554.492064541366</v>
      </c>
      <c r="P200" s="12">
        <f>MIN(INDEX(其他调用!$AH$5:$AH$364,MATCH($K200,其他调用!$AG$5:$AG$364,0),1)/INDEX(其他调用!AJ$5:AJ$364,MATCH($K200,其他调用!$AG$5:$AG$364,0),0),1)*INDEX(其他调用!AA$5:AA$404,MATCH($K200,其他调用!$X$5:$X$404,0),0)</f>
        <v>15157.407399599906</v>
      </c>
      <c r="Q200" s="12">
        <f>MIN(INDEX(其他调用!$AH$5:$AH$364,MATCH($K200,其他调用!$AG$5:$AG$364,0),1)/INDEX(其他调用!AK$5:AK$364,MATCH($K200,其他调用!$AG$5:$AG$364,0),0),1)*INDEX(其他调用!AB$5:AB$404,MATCH($K200,其他调用!$X$5:$X$404,0),0)</f>
        <v>5533.5557719227909</v>
      </c>
      <c r="R200" s="12">
        <f>MIN(INDEX(其他调用!$AH$5:$AH$364,MATCH($K200,其他调用!$AG$5:$AG$364,0),1)/INDEX(其他调用!AL$5:AL$364,MATCH($K200,其他调用!$AG$5:$AG$364,0),0),1)*INDEX(其他调用!AC$5:AC$404,MATCH($K200,其他调用!$X$5:$X$404,0),0)</f>
        <v>2406.0729873142391</v>
      </c>
      <c r="S200" s="12">
        <f>求节点(节奏总纲!D$4:D$163,标准城池设计!AC$4:AC$163,$K200)*求节点(节奏总纲!D$4:D$163,攻城基础信息!$AD$5:$AD$164,$K200)</f>
        <v>690771.10698404559</v>
      </c>
      <c r="T200" s="12">
        <f>INDEX(其他调用!$AA$5:$AA$404,MATCH($K200,其他调用!$X$5:$X$404,0))*MIN(INDEX(其他调用!AI$5:AI$364,MATCH($K200,其他调用!$AG$5:$AG$364,0),1)/INDEX(其他调用!$AJ$5:$AJ$364,MATCH($K200,其他调用!$AG$5:$AG$364,0),0),5)*求节点(节奏总纲!D$4:D$163,攻城基础信息!$AD$5:$AD$164,$K200)</f>
        <v>82273.14636552622</v>
      </c>
      <c r="U200" s="12">
        <f>MIN(INDEX(其他调用!$AI$5:$AI$364,MATCH($K200,其他调用!$AG$5:$AG$364,0),1)/INDEX(其他调用!AH$5:AH$364,MATCH($K200,其他调用!$AG$5:$AG$364,0),0),1)*INDEX(其他调用!Y$5:Y$404,MATCH($K200,其他调用!$X$5:$X$404,0),0)</f>
        <v>39985.700089623693</v>
      </c>
      <c r="V200" s="12">
        <f>MIN(INDEX(其他调用!$AI$5:$AI$364,MATCH($K200,其他调用!$AG$5:$AG$364,0),1)/INDEX(其他调用!AI$5:AI$364,MATCH($K200,其他调用!$AG$5:$AG$364,0),0),1)*INDEX(其他调用!Z$5:Z$404,MATCH($K200,其他调用!$X$5:$X$404,0),0)</f>
        <v>41142.130586521911</v>
      </c>
      <c r="W200" s="12">
        <f>MIN(INDEX(其他调用!$AI$5:$AI$364,MATCH($K200,其他调用!$AG$5:$AG$364,0),1)/INDEX(其他调用!AJ$5:AJ$364,MATCH($K200,其他调用!$AG$5:$AG$364,0),0),1)*INDEX(其他调用!AA$5:AA$404,MATCH($K200,其他调用!$X$5:$X$404,0),0)</f>
        <v>24403.069057778386</v>
      </c>
      <c r="X200" s="12">
        <f>MIN(INDEX(其他调用!$AI$5:$AI$364,MATCH($K200,其他调用!$AG$5:$AG$364,0),1)/INDEX(其他调用!AK$5:AK$364,MATCH($K200,其他调用!$AG$5:$AG$364,0),0),1)*INDEX(其他调用!AB$5:AB$404,MATCH($K200,其他调用!$X$5:$X$404,0),0)</f>
        <v>8908.8945145635153</v>
      </c>
      <c r="Y200" s="12">
        <f>MIN(INDEX(其他调用!$AI$5:$AI$364,MATCH($K200,其他调用!$AG$5:$AG$364,0),1)/INDEX(其他调用!AL$5:AL$364,MATCH($K200,其他调用!$AG$5:$AG$364,0),0),1)*INDEX(其他调用!AC$5:AC$404,MATCH($K200,其他调用!$X$5:$X$404,0),0)</f>
        <v>3873.7208626479464</v>
      </c>
      <c r="Z200" s="12">
        <f>求节点(节奏总纲!D$4:D$163,标准城池设计!AD$4:AD$163,$K200)*求节点(节奏总纲!D$4:D$163,攻城基础信息!$AE$5:$AE$164,$K200)</f>
        <v>742040.63184263324</v>
      </c>
      <c r="AA200" s="12">
        <f>INDEX(其他调用!$AA$5:$AA$404,MATCH($K200,其他调用!$X$5:$X$404,0))*MIN(INDEX(其他调用!AJ$5:AJ$364,MATCH($K200,其他调用!$AG$5:$AG$364,0),1)/INDEX(其他调用!$AJ$5:$AJ$364,MATCH($K200,其他调用!$AG$5:$AG$364,0),0),5)*求节点(节奏总纲!D$4:D$163,攻城基础信息!$AE$5:$AE$164,$K200)</f>
        <v>143835.95168285724</v>
      </c>
      <c r="AB200" s="12">
        <f>MIN(INDEX(其他调用!$AJ$5:$AJ$364,MATCH($K200,其他调用!$AG$5:$AG$364,0),1)/INDEX(其他调用!AH$5:AH$364,MATCH($K200,其他调用!$AG$5:$AG$364,0),0),1)*INDEX(其他调用!Y$5:Y$404,MATCH($K200,其他调用!$X$5:$X$404,0),0)</f>
        <v>39985.700089623693</v>
      </c>
      <c r="AC200" s="12">
        <f>MIN(INDEX(其他调用!$AJ$5:$AJ$364,MATCH($K200,其他调用!$AG$5:$AG$364,0),1)/INDEX(其他调用!AI$5:AI$364,MATCH($K200,其他调用!$AG$5:$AG$364,0),0),1)*INDEX(其他调用!Z$5:Z$404,MATCH($K200,其他调用!$X$5:$X$404,0),0)</f>
        <v>41142.130586521911</v>
      </c>
      <c r="AD200" s="12">
        <f>MIN(INDEX(其他调用!$AJ$5:$AJ$364,MATCH($K200,其他调用!$AG$5:$AG$364,0),1)/INDEX(其他调用!AJ$5:AJ$364,MATCH($K200,其他调用!$AG$5:$AG$364,0),0),1)*INDEX(其他调用!AA$5:AA$404,MATCH($K200,其他调用!$X$5:$X$404,0),0)</f>
        <v>42663.236024954109</v>
      </c>
      <c r="AE200" s="12">
        <f>MIN(INDEX(其他调用!$AJ$5:$AJ$364,MATCH($K200,其他调用!$AG$5:$AG$364,0),1)/INDEX(其他调用!AK$5:AK$364,MATCH($K200,其他调用!$AG$5:$AG$364,0),0),1)*INDEX(其他调用!AB$5:AB$404,MATCH($K200,其他调用!$X$5:$X$404,0),0)</f>
        <v>15575.183125382029</v>
      </c>
      <c r="AF200" s="12">
        <f>MIN(INDEX(其他调用!$AJ$5:$AJ$364,MATCH($K200,其他调用!$AG$5:$AG$364,0),1)/INDEX(其他调用!AL$5:AL$364,MATCH($K200,其他调用!$AG$5:$AG$364,0),0),1)*INDEX(其他调用!AC$5:AC$404,MATCH($K200,其他调用!$X$5:$X$404,0),0)</f>
        <v>6772.3230658670136</v>
      </c>
      <c r="AG200" s="12">
        <f>求节点(节奏总纲!D$4:D$163,标准城池设计!AE$4:AE$163,$K200)*求节点(节奏总纲!D$4:D$163,攻城基础信息!$AF$5:$AF$164,$K200)</f>
        <v>887570.37352933292</v>
      </c>
      <c r="AH200" s="12">
        <f>INDEX(其他调用!$AA$5:$AA$404,MATCH($K200,其他调用!$X$5:$X$404,0))*MIN(INDEX(其他调用!AK$5:AK$364,MATCH($K200,其他调用!$AG$5:$AG$364,0),1)/INDEX(其他调用!$AJ$5:$AJ$364,MATCH($K200,其他调用!$AG$5:$AG$364,0),0),5)*求节点(节奏总纲!D$4:D$163,攻城基础信息!$AF$5:$AF$164,$K200)</f>
        <v>414178.96363932273</v>
      </c>
      <c r="AI200" s="12">
        <f>MIN(INDEX(其他调用!$AK$5:$AK$364,MATCH($K200,其他调用!$AG$5:$AG$364,0),1)/INDEX(其他调用!AH$5:AH$364,MATCH($K200,其他调用!$AG$5:$AG$364,0),0),1)*INDEX(其他调用!Y$5:Y$404,MATCH($K200,其他调用!$X$5:$X$404,0),0)</f>
        <v>39985.700089623693</v>
      </c>
      <c r="AJ200" s="12">
        <f>MIN(INDEX(其他调用!$AK$5:$AK$364,MATCH($K200,其他调用!$AG$5:$AG$364,0),1)/INDEX(其他调用!AI$5:AI$364,MATCH($K200,其他调用!$AG$5:$AG$364,0),0),1)*INDEX(其他调用!Z$5:Z$404,MATCH($K200,其他调用!$X$5:$X$404,0),0)</f>
        <v>41142.130586521911</v>
      </c>
      <c r="AK200" s="12">
        <f>MIN(INDEX(其他调用!$AK$5:$AK$364,MATCH($K200,其他调用!$AG$5:$AG$364,0),1)/INDEX(其他调用!AJ$5:AJ$364,MATCH($K200,其他调用!$AG$5:$AG$364,0),0),1)*INDEX(其他调用!AA$5:AA$404,MATCH($K200,其他调用!$X$5:$X$404,0),0)</f>
        <v>42663.236024954109</v>
      </c>
      <c r="AL200" s="12">
        <f>MIN(INDEX(其他调用!$AK$5:$AK$364,MATCH($K200,其他调用!$AG$5:$AG$364,0),1)/INDEX(其他调用!AK$5:AK$364,MATCH($K200,其他调用!$AG$5:$AG$364,0),0),1)*INDEX(其他调用!AB$5:AB$404,MATCH($K200,其他调用!$X$5:$X$404,0),0)</f>
        <v>44849.101562500626</v>
      </c>
      <c r="AM200" s="12">
        <f>MIN(INDEX(其他调用!$AK$5:$AK$364,MATCH($K200,其他调用!$AG$5:$AG$364,0),1)/INDEX(其他调用!AL$5:AL$364,MATCH($K200,其他调用!$AG$5:$AG$364,0),0),1)*INDEX(其他调用!AC$5:AC$404,MATCH($K200,其他调用!$X$5:$X$404,0),0)</f>
        <v>19501.061563774412</v>
      </c>
      <c r="AN200" s="12">
        <f>求节点(节奏总纲!D$4:D$163,标准城池设计!AF$4:AF$163,$K200)*求节点(节奏总纲!D$4:D$163,攻城基础信息!$AG$5:$AG$164,$K200)</f>
        <v>918632.49827245087</v>
      </c>
      <c r="AO200" s="12">
        <f>INDEX(其他调用!$AA$5:$AA$404,MATCH($K200,其他调用!$X$5:$X$404,0))*MIN(INDEX(其他调用!AL$5:AL$364,MATCH($K200,其他调用!$AG$5:$AG$364,0),1)/INDEX(其他调用!$AJ$5:$AJ$364,MATCH($K200,其他调用!$AG$5:$AG$364,0),0),5)*求节点(节奏总纲!D$4:D$163,攻城基础信息!$AG$5:$AG$164,$K200)</f>
        <v>719179.75841428619</v>
      </c>
      <c r="AP200" s="12">
        <f>MIN(INDEX(其他调用!$AL$5:$AL$364,MATCH($K200,其他调用!$AG$5:$AG$364,0),1)/INDEX(其他调用!AH$5:AH$364,MATCH($K200,其他调用!$AG$5:$AG$364,0),0),1)*INDEX(其他调用!Y$5:Y$404,MATCH($K200,其他调用!$X$5:$X$404,0),0)</f>
        <v>39985.700089623693</v>
      </c>
      <c r="AQ200" s="12">
        <f>MIN(INDEX(其他调用!$AL$5:$AL$364,MATCH($K200,其他调用!$AG$5:$AG$364,0),1)/INDEX(其他调用!AI$5:AI$364,MATCH($K200,其他调用!$AG$5:$AG$364,0),0),1)*INDEX(其他调用!Z$5:Z$404,MATCH($K200,其他调用!$X$5:$X$404,0),0)</f>
        <v>41142.130586521911</v>
      </c>
      <c r="AR200" s="12">
        <f>MIN(INDEX(其他调用!$AL$5:$AL$364,MATCH($K200,其他调用!$AG$5:$AG$364,0),1)/INDEX(其他调用!AJ$5:AJ$364,MATCH($K200,其他调用!$AG$5:$AG$364,0),0),1)*INDEX(其他调用!AA$5:AA$404,MATCH($K200,其他调用!$X$5:$X$404,0),0)</f>
        <v>42663.236024954109</v>
      </c>
      <c r="AS200" s="12">
        <f>MIN(INDEX(其他调用!$AL$5:$AL$364,MATCH($K200,其他调用!$AG$5:$AG$364,0),1)/INDEX(其他调用!AK$5:AK$364,MATCH($K200,其他调用!$AG$5:$AG$364,0),0),1)*INDEX(其他调用!AB$5:AB$404,MATCH($K200,其他调用!$X$5:$X$404,0),0)</f>
        <v>44849.101562500626</v>
      </c>
      <c r="AT200" s="12">
        <f>MIN(INDEX(其他调用!$AL$5:$AL$364,MATCH($K200,其他调用!$AG$5:$AG$364,0),1)/INDEX(其他调用!AL$5:AL$364,MATCH($K200,其他调用!$AG$5:$AG$364,0),0),1)*INDEX(其他调用!AC$5:AC$404,MATCH($K200,其他调用!$X$5:$X$404,0),0)</f>
        <v>48805.995376204344</v>
      </c>
      <c r="AV200" s="14">
        <f>IF(OR(AV$5="大R",AV$5="超R"),MAX(INDEX(其他调用!$H$5:$L$404,MATCH($K200,其他调用!$B$5:$B$404,0),MATCH(AV$5,其他调用!$H$4:$L$4,0))*120*0.85,2),INDEX(其他调用!$H$5:$L$404,MATCH($K200,其他调用!$B$5:$B$404,0),MATCH(AV$5,其他调用!$H$4:$L$4,0))*120*0.85)</f>
        <v>48.921801254999991</v>
      </c>
      <c r="AW200" s="14">
        <f>IF(OR(AW$5="大R",AW$5="超R"),MAX(INDEX(其他调用!$H$5:$L$404,MATCH($K200,其他调用!$B$5:$B$404,0),MATCH(AW$5,其他调用!$H$4:$L$4,0))*120*0.85,2),INDEX(其他调用!$H$5:$L$404,MATCH($K200,其他调用!$B$5:$B$404,0),MATCH(AW$5,其他调用!$H$4:$L$4,0))*120*0.85)</f>
        <v>48.237344010638395</v>
      </c>
      <c r="AX200" s="14">
        <f>IF(OR(AX$5="大R",AX$5="超R"),MAX(INDEX(其他调用!$H$5:$L$404,MATCH($K200,其他调用!$B$5:$B$404,0),MATCH(AX$5,其他调用!$H$4:$L$4,0))*120*0.85,2),INDEX(其他调用!$H$5:$L$404,MATCH($K200,其他调用!$B$5:$B$404,0),MATCH(AX$5,其他调用!$H$4:$L$4,0))*120*0.85)</f>
        <v>3.9376284143615998</v>
      </c>
      <c r="AY200" s="14">
        <f>IF(OR(AY$5="大R",AY$5="超R"),MAX(INDEX(其他调用!$H$5:$L$404,MATCH($K200,其他调用!$B$5:$B$404,0),MATCH(AY$5,其他调用!$H$4:$L$4,0))*120*0.85,2),INDEX(其他调用!$H$5:$L$404,MATCH($K200,其他调用!$B$5:$B$404,0),MATCH(AY$5,其他调用!$H$4:$L$4,0))*120*0.85)</f>
        <v>2</v>
      </c>
      <c r="AZ200" s="14">
        <f>IF(OR(AZ$5="大R",AZ$5="超R"),MAX(INDEX(其他调用!$H$5:$L$404,MATCH($K200,其他调用!$B$5:$B$404,0),MATCH(AZ$5,其他调用!$H$4:$L$4,0))*120*0.85,2),INDEX(其他调用!$H$5:$L$404,MATCH($K200,其他调用!$B$5:$B$404,0),MATCH(AZ$5,其他调用!$H$4:$L$4,0))*120*0.85)</f>
        <v>2</v>
      </c>
      <c r="BA200" s="14">
        <f>INDEX(其他调用!$H$5:$L$404,MATCH($K200,其他调用!$B$5:$B$404,0),MATCH(BA$5,其他调用!$H$4:$L$4,0))*INDEX(其他调用!$M$5:$M$404,MATCH($K200,其他调用!$B$5:$B$404,0))*0.6</f>
        <v>28.777530149999997</v>
      </c>
      <c r="BB200" s="14">
        <f>INDEX(其他调用!$H$5:$L$404,MATCH($K200,其他调用!$B$5:$B$404,0),MATCH(BB$5,其他调用!$H$4:$L$4,0))*INDEX(其他调用!$M$5:$M$404,MATCH($K200,其他调用!$B$5:$B$404,0))*0.6</f>
        <v>28.374908241551999</v>
      </c>
      <c r="BC200" s="14">
        <f>INDEX(其他调用!$H$5:$L$404,MATCH($K200,其他调用!$B$5:$B$404,0),MATCH(BC$5,其他调用!$H$4:$L$4,0))*INDEX(其他调用!$M$5:$M$404,MATCH($K200,其他调用!$B$5:$B$404,0))*0.6</f>
        <v>2.3162520084480001</v>
      </c>
      <c r="BD200" s="14">
        <f>INDEX(其他调用!$H$5:$L$404,MATCH($K200,其他调用!$B$5:$B$404,0),MATCH(BD$5,其他调用!$H$4:$L$4,0))*INDEX(其他调用!$M$5:$M$404,MATCH($K200,其他调用!$B$5:$B$404,0))*0.6</f>
        <v>0.4120776000000001</v>
      </c>
      <c r="BE200" s="14">
        <f>INDEX(其他调用!$H$5:$L$404,MATCH($K200,其他调用!$B$5:$B$404,0),MATCH(BE$5,其他调用!$H$4:$L$4,0))*INDEX(其他调用!$M$5:$M$404,MATCH($K200,其他调用!$B$5:$B$404,0))*0.6</f>
        <v>0.11923199999999998</v>
      </c>
      <c r="BF200" s="14">
        <f>IF(OR(BF$5="大R",BF$5="超R"),0,INDEX(其他调用!$H$5:$L$404,MATCH($K200,其他调用!$B$5:$B$404,0),MATCH(BF$5,其他调用!$H$4:$L$4,0))*50*0.4)</f>
        <v>9.5925100500000013</v>
      </c>
      <c r="BG200" s="14">
        <f>IF(OR(BG$5="大R",BG$5="超R"),0,INDEX(其他调用!$H$5:$L$404,MATCH($K200,其他调用!$B$5:$B$404,0),MATCH(BG$5,其他调用!$H$4:$L$4,0))*50*0.4)</f>
        <v>9.4583027471839998</v>
      </c>
      <c r="BH200" s="14">
        <f>IF(OR(BH$5="大R",BH$5="超R"),0,INDEX(其他调用!$H$5:$L$404,MATCH($K200,其他调用!$B$5:$B$404,0),MATCH(BH$5,其他调用!$H$4:$L$4,0))*50*0.4)</f>
        <v>0.77208400281600009</v>
      </c>
      <c r="BI200" s="14">
        <f>IF(OR(BI$5="大R",BI$5="超R"),0,INDEX(其他调用!$H$5:$L$404,MATCH($K200,其他调用!$B$5:$B$404,0),MATCH(BI$5,其他调用!$H$4:$L$4,0))*50*0.4)</f>
        <v>0</v>
      </c>
      <c r="BJ200" s="14">
        <f>IF(OR(BJ$5="大R",BJ$5="超R"),0,INDEX(其他调用!$H$5:$L$404,MATCH($K200,其他调用!$B$5:$B$404,0),MATCH(BJ$5,其他调用!$H$4:$L$4,0))*50*0.4)</f>
        <v>0</v>
      </c>
      <c r="BL200" s="14">
        <f t="shared" ref="BL200:BL263" si="418">BL199+1</f>
        <v>195</v>
      </c>
      <c r="BM200" s="14">
        <f t="shared" si="325"/>
        <v>96</v>
      </c>
      <c r="BN200" s="14">
        <f>('疲劳值&amp;地图信息'!$S$10*'疲劳值&amp;地图信息'!$R$10+'疲劳值&amp;地图信息'!$S$11*'疲劳值&amp;地图信息'!$R$11+'疲劳值&amp;地图信息'!$S$12*'疲劳值&amp;地图信息'!$R$12+(BM200-'疲劳值&amp;地图信息'!$S$12-'疲劳值&amp;地图信息'!$S$11-'疲劳值&amp;地图信息'!$S$10)*'疲劳值&amp;地图信息'!$R$13)/BM200</f>
        <v>51.371477246638619</v>
      </c>
      <c r="BO200" s="14">
        <f>INDEX(其他调用!$M$5:$M$404,MATCH(BL200,其他调用!$B$5:$B$404,0))*0.6</f>
        <v>60</v>
      </c>
      <c r="BP200" s="14">
        <f>IF(BO200&gt;SUM('疲劳值&amp;地图信息'!$S$10:$S$12),('疲劳值&amp;地图信息'!$S$10*'疲劳值&amp;地图信息'!$R$10+'疲劳值&amp;地图信息'!$S$11*'疲劳值&amp;地图信息'!$R$11+'疲劳值&amp;地图信息'!$S$12*'疲劳值&amp;地图信息'!$R$12+(BO200-'疲劳值&amp;地图信息'!$S$12-'疲劳值&amp;地图信息'!$S$11-'疲劳值&amp;地图信息'!$S$10)*'疲劳值&amp;地图信息'!$R$13)/BO200,('疲劳值&amp;地图信息'!$S$10*'疲劳值&amp;地图信息'!$R$10+'疲劳值&amp;地图信息'!$S$11*'疲劳值&amp;地图信息'!$R$11+'疲劳值&amp;地图信息'!$S$12*'疲劳值&amp;地图信息'!$R$12+(BO200-'疲劳值&amp;地图信息'!$S$12-'疲劳值&amp;地图信息'!$S$11-'疲劳值&amp;地图信息'!$S$10)*'疲劳值&amp;地图信息'!$R$13)/BO200)</f>
        <v>44.158136341605953</v>
      </c>
      <c r="BQ200" s="14">
        <f t="shared" ref="BQ200:BQ263" si="419">50*0.4</f>
        <v>20</v>
      </c>
      <c r="BR200" s="14">
        <f>('疲劳值&amp;地图信息'!$S$10*'疲劳值&amp;地图信息'!$R$10+($BQ200-'疲劳值&amp;地图信息'!$S$10)*'疲劳值&amp;地图信息'!$R$11)/$BQ200</f>
        <v>32.067203015074995</v>
      </c>
      <c r="CF200" s="14">
        <v>195</v>
      </c>
      <c r="CG200" s="51">
        <f t="shared" si="326"/>
        <v>13226</v>
      </c>
      <c r="CH200" s="51">
        <f t="shared" si="327"/>
        <v>1041</v>
      </c>
      <c r="CI200" s="51">
        <f>INT(SUMPRODUCT($N200:$R200,$BA200:$BE200)/SUM($BA200:$BE200)/10000*$BX$7*$BZ$34/'疲劳值&amp;地图信息'!$R$10*$BY$53)</f>
        <v>3235</v>
      </c>
      <c r="CJ200" s="50">
        <f t="shared" si="328"/>
        <v>0.75568506456404982</v>
      </c>
      <c r="CK200" s="50">
        <f t="shared" si="329"/>
        <v>5.9478916695234828E-2</v>
      </c>
      <c r="CL200" s="50">
        <f t="shared" si="330"/>
        <v>0.18483601874071534</v>
      </c>
      <c r="CM200" s="14">
        <f t="shared" si="331"/>
        <v>14078</v>
      </c>
      <c r="CN200" s="14">
        <f t="shared" si="332"/>
        <v>1676</v>
      </c>
      <c r="CO200" s="14">
        <f>INT(SUMPRODUCT($U200:$Y200,$BA200:$BE200)/SUM($BA200:$BE200)/10000*$BX$7*$BZ$34/'疲劳值&amp;地图信息'!$R$10*$BY$54)</f>
        <v>6034</v>
      </c>
      <c r="CP200" s="50">
        <f t="shared" si="333"/>
        <v>0.64613548742427029</v>
      </c>
      <c r="CQ200" s="50">
        <f t="shared" si="334"/>
        <v>7.6923076923076927E-2</v>
      </c>
      <c r="CR200" s="50">
        <f t="shared" si="335"/>
        <v>0.27694143565265283</v>
      </c>
      <c r="CS200" s="14">
        <f t="shared" si="336"/>
        <v>15123</v>
      </c>
      <c r="CT200" s="14">
        <f t="shared" si="337"/>
        <v>2931</v>
      </c>
      <c r="CU200" s="14">
        <f>INT(SUMPRODUCT($AB200:$AF200,$BA200:$BE200)/SUM($BA200:$BE200)/10000*$BX$7*$BZ$34/'疲劳值&amp;地图信息'!$R$10*$BY$55)</f>
        <v>8199</v>
      </c>
      <c r="CV200" s="50">
        <f t="shared" si="338"/>
        <v>0.57604845160553075</v>
      </c>
      <c r="CW200" s="50">
        <f t="shared" si="339"/>
        <v>0.11164438349902868</v>
      </c>
      <c r="CX200" s="50">
        <f t="shared" si="340"/>
        <v>0.31230716489544053</v>
      </c>
      <c r="CY200" s="14">
        <f t="shared" si="341"/>
        <v>18089</v>
      </c>
      <c r="CZ200" s="14">
        <f t="shared" si="342"/>
        <v>8441</v>
      </c>
      <c r="DA200" s="14">
        <f>INT(SUMPRODUCT($AI200:$AM200,$BA200:$BE200)/SUM($BA200:$BE200)/10000*$BX$7*$BZ$34/'疲劳值&amp;地图信息'!$R$10*$BY$56)</f>
        <v>12367</v>
      </c>
      <c r="DB200" s="50">
        <f t="shared" si="343"/>
        <v>0.46504871841016016</v>
      </c>
      <c r="DC200" s="50">
        <f t="shared" si="344"/>
        <v>0.21700902383217216</v>
      </c>
      <c r="DD200" s="50">
        <f t="shared" si="345"/>
        <v>0.31794225775766771</v>
      </c>
      <c r="DE200" s="14">
        <f t="shared" si="346"/>
        <v>18722</v>
      </c>
      <c r="DF200" s="14">
        <f t="shared" si="347"/>
        <v>14657</v>
      </c>
      <c r="DG200" s="14">
        <f>INT(SUMPRODUCT($AP200:$AT200,$BA200:$BE200)/SUM($BA200:$BE200)/10000*$BX$7*$BZ$34/'疲劳值&amp;地图信息'!$R$10*$BY$57)</f>
        <v>16513</v>
      </c>
      <c r="DH200" s="50">
        <f t="shared" si="348"/>
        <v>0.37525054116892487</v>
      </c>
      <c r="DI200" s="50">
        <f t="shared" si="349"/>
        <v>0.29377455303455463</v>
      </c>
      <c r="DJ200" s="50">
        <f t="shared" si="350"/>
        <v>0.3309749057965205</v>
      </c>
      <c r="DL200" s="14">
        <f t="shared" si="316"/>
        <v>17502</v>
      </c>
      <c r="DM200" s="14">
        <f t="shared" si="317"/>
        <v>21788</v>
      </c>
      <c r="DN200" s="14">
        <f t="shared" si="318"/>
        <v>26253</v>
      </c>
      <c r="DO200" s="14">
        <f t="shared" si="319"/>
        <v>38897</v>
      </c>
      <c r="DP200" s="14">
        <f t="shared" si="320"/>
        <v>49892</v>
      </c>
      <c r="DQ200" s="14">
        <f t="shared" si="321"/>
        <v>1204682</v>
      </c>
      <c r="DT200" s="14">
        <f t="shared" si="315"/>
        <v>235575</v>
      </c>
      <c r="DU200" s="50">
        <f t="shared" si="322"/>
        <v>0.16356455826980879</v>
      </c>
      <c r="DW200" s="14">
        <f t="shared" si="351"/>
        <v>1440257</v>
      </c>
      <c r="EB200" s="14">
        <v>195</v>
      </c>
      <c r="EC200" s="51">
        <f t="shared" si="352"/>
        <v>22044</v>
      </c>
      <c r="ED200" s="51">
        <f t="shared" si="353"/>
        <v>1735</v>
      </c>
      <c r="EE200" s="51">
        <f>INT(SUMPRODUCT($N200:$R200,$BF200:$BJ200)/SUM($BF200:$BJ200)/10000*$BX$7*$BZ$46/'疲劳值&amp;地图信息'!$R$10*$BY$53)</f>
        <v>434</v>
      </c>
      <c r="EF200" s="50">
        <f t="shared" si="354"/>
        <v>0.91042002230206909</v>
      </c>
      <c r="EG200" s="50">
        <f t="shared" si="355"/>
        <v>7.1655722132738617E-2</v>
      </c>
      <c r="EH200" s="50">
        <f t="shared" si="356"/>
        <v>1.7924255565192251E-2</v>
      </c>
      <c r="EI200" s="51">
        <f t="shared" si="357"/>
        <v>23464</v>
      </c>
      <c r="EJ200" s="51">
        <f t="shared" si="358"/>
        <v>2794</v>
      </c>
      <c r="EK200" s="14">
        <f>INT(SUMPRODUCT($U200:$Y200,$BF200:$BJ200)/SUM($BF200:$BJ200)/10000*$BX$7*$BZ$46/'疲劳值&amp;地图信息'!$R$10*$BY$54)</f>
        <v>810</v>
      </c>
      <c r="EL200" s="50">
        <f t="shared" si="359"/>
        <v>0.86685384956406086</v>
      </c>
      <c r="EM200" s="50">
        <f t="shared" si="360"/>
        <v>0.10322151618146889</v>
      </c>
      <c r="EN200" s="50">
        <f t="shared" si="361"/>
        <v>2.9924634254470225E-2</v>
      </c>
      <c r="EO200" s="51">
        <f t="shared" si="362"/>
        <v>25206</v>
      </c>
      <c r="EP200" s="51">
        <f t="shared" si="363"/>
        <v>4885</v>
      </c>
      <c r="EQ200" s="14">
        <f>INT(SUMPRODUCT($AB200:$AF200,$BF200:$BJ200)/SUM($BF200:$BJ200)/10000*$BX$7*$BZ$46/'疲劳值&amp;地图信息'!$R$10*$BY$55)</f>
        <v>1099</v>
      </c>
      <c r="ER200" s="50">
        <f t="shared" si="364"/>
        <v>0.80814363578069892</v>
      </c>
      <c r="ES200" s="50">
        <f t="shared" si="365"/>
        <v>0.15662071176659187</v>
      </c>
      <c r="ET200" s="50">
        <f t="shared" si="366"/>
        <v>3.5235652452709203E-2</v>
      </c>
      <c r="EU200" s="51">
        <f t="shared" si="367"/>
        <v>30149</v>
      </c>
      <c r="EV200" s="51">
        <f t="shared" si="368"/>
        <v>14069</v>
      </c>
      <c r="EW200" s="14">
        <f>INT(SUMPRODUCT($AI200:$AM200,$BF200:$BJ200)/SUM($BF200:$BJ200)/10000*$BX$7*$BZ$46/'疲劳值&amp;地图信息'!$R$10*$BY$56)</f>
        <v>1649</v>
      </c>
      <c r="EX200" s="50">
        <f t="shared" si="369"/>
        <v>0.65731353696557437</v>
      </c>
      <c r="EY200" s="50">
        <f t="shared" si="370"/>
        <v>0.30673468942812915</v>
      </c>
      <c r="EZ200" s="50">
        <f t="shared" si="371"/>
        <v>3.5951773606296464E-2</v>
      </c>
      <c r="FA200" s="51">
        <f t="shared" si="372"/>
        <v>31204</v>
      </c>
      <c r="FB200" s="51">
        <f t="shared" si="373"/>
        <v>24429</v>
      </c>
      <c r="FC200" s="14">
        <f>INT(SUMPRODUCT($AP200:$AT200,$BF200:$BJ200)/SUM($BF200:$BJ200)/10000*$BX$7*$BZ$46/'疲劳值&amp;地图信息'!$R$10*$BY$57)</f>
        <v>2199</v>
      </c>
      <c r="FD200" s="50">
        <f t="shared" si="374"/>
        <v>0.53956287176649609</v>
      </c>
      <c r="FE200" s="50">
        <f t="shared" si="375"/>
        <v>0.42241319684603679</v>
      </c>
      <c r="FF200" s="50">
        <f t="shared" si="376"/>
        <v>3.8023931387467146E-2</v>
      </c>
      <c r="FH200" s="14">
        <f t="shared" si="377"/>
        <v>24213</v>
      </c>
      <c r="FI200" s="14">
        <f t="shared" si="378"/>
        <v>27068</v>
      </c>
      <c r="FJ200" s="14">
        <f t="shared" si="379"/>
        <v>31190</v>
      </c>
      <c r="FK200" s="14">
        <f t="shared" si="380"/>
        <v>45867</v>
      </c>
      <c r="FL200" s="14">
        <f t="shared" si="381"/>
        <v>57832</v>
      </c>
      <c r="FM200" s="14">
        <f t="shared" si="382"/>
        <v>2820444</v>
      </c>
      <c r="FP200" s="14">
        <f t="shared" si="383"/>
        <v>334150</v>
      </c>
      <c r="FQ200" s="50">
        <f t="shared" si="323"/>
        <v>0.10592488288508758</v>
      </c>
      <c r="FS200" s="14">
        <f t="shared" si="384"/>
        <v>3154594</v>
      </c>
      <c r="FX200" s="14">
        <v>195</v>
      </c>
      <c r="FY200" s="51">
        <f t="shared" si="385"/>
        <v>30862</v>
      </c>
      <c r="FZ200" s="51">
        <f t="shared" si="386"/>
        <v>1735</v>
      </c>
      <c r="GA200" s="51">
        <f>INT(SUMPRODUCT($N200:$R200,$BF200:$BJ200)/SUM($BF200:$BJ200)/10000*$BX$7*$BZ$46/'疲劳值&amp;地图信息'!$R$10*$BY$53)</f>
        <v>434</v>
      </c>
      <c r="GB200" s="50">
        <f t="shared" si="387"/>
        <v>0.93433441312706245</v>
      </c>
      <c r="GC200" s="50">
        <f t="shared" si="388"/>
        <v>5.2526414580242806E-2</v>
      </c>
      <c r="GD200" s="50">
        <f t="shared" si="389"/>
        <v>1.3139172292694741E-2</v>
      </c>
      <c r="GE200" s="51">
        <f t="shared" si="390"/>
        <v>32850</v>
      </c>
      <c r="GF200" s="51">
        <f t="shared" si="391"/>
        <v>2794</v>
      </c>
      <c r="GG200" s="14">
        <f>INT(SUMPRODUCT($U200:$Y200,$BF200:$BJ200)/SUM($BF200:$BJ200)/10000*$BX$7*$BZ$46/'疲劳值&amp;地图信息'!$R$10*$BY$54)</f>
        <v>810</v>
      </c>
      <c r="GH200" s="50">
        <f t="shared" si="392"/>
        <v>0.90113567784056614</v>
      </c>
      <c r="GI200" s="50">
        <f t="shared" si="393"/>
        <v>7.6644538322269168E-2</v>
      </c>
      <c r="GJ200" s="50">
        <f t="shared" si="394"/>
        <v>2.2219783837164647E-2</v>
      </c>
      <c r="GK200" s="51">
        <f t="shared" si="395"/>
        <v>35288</v>
      </c>
      <c r="GL200" s="51">
        <f t="shared" si="396"/>
        <v>4885</v>
      </c>
      <c r="GM200" s="14">
        <f>INT(SUMPRODUCT($AB200:$AF200,$BF200:$BJ200)/SUM($BF200:$BJ200)/10000*$BX$7*$BZ$46/'疲劳值&amp;地图信息'!$R$10*$BY$55)</f>
        <v>1099</v>
      </c>
      <c r="GN200" s="50">
        <f t="shared" si="397"/>
        <v>0.85501066098081024</v>
      </c>
      <c r="GO200" s="50">
        <f t="shared" si="398"/>
        <v>0.11836111649544485</v>
      </c>
      <c r="GP200" s="50">
        <f t="shared" si="399"/>
        <v>2.6628222523744912E-2</v>
      </c>
      <c r="GQ200" s="51">
        <f t="shared" si="400"/>
        <v>42209</v>
      </c>
      <c r="GR200" s="51">
        <f t="shared" si="401"/>
        <v>14069</v>
      </c>
      <c r="GS200" s="14">
        <f>INT(SUMPRODUCT($AI200:$AM200,$BF200:$BJ200)/SUM($BF200:$BJ200)/10000*$BX$7*$BZ$46/'疲劳值&amp;地图信息'!$R$10*$BY$56)</f>
        <v>1649</v>
      </c>
      <c r="GT200" s="50">
        <f t="shared" si="402"/>
        <v>0.72865848395394206</v>
      </c>
      <c r="GU200" s="50">
        <f t="shared" si="403"/>
        <v>0.24287465257997135</v>
      </c>
      <c r="GV200" s="50">
        <f t="shared" si="404"/>
        <v>2.8466863466086626E-2</v>
      </c>
      <c r="GW200" s="51">
        <f t="shared" si="405"/>
        <v>43686</v>
      </c>
      <c r="GX200" s="51">
        <f t="shared" si="406"/>
        <v>24429</v>
      </c>
      <c r="GY200" s="14">
        <f>INT(SUMPRODUCT($AP200:$AT200,$BF200:$BJ200)/SUM($BF200:$BJ200)/10000*$BX$7*$BZ$46/'疲劳值&amp;地图信息'!$R$10*$BY$57)</f>
        <v>2199</v>
      </c>
      <c r="GZ200" s="50">
        <f t="shared" si="407"/>
        <v>0.62129874562675991</v>
      </c>
      <c r="HA200" s="50">
        <f t="shared" si="408"/>
        <v>0.34742725488522913</v>
      </c>
      <c r="HB200" s="50">
        <f t="shared" si="409"/>
        <v>3.127399948801092E-2</v>
      </c>
      <c r="HD200" s="14">
        <f t="shared" si="410"/>
        <v>33031</v>
      </c>
      <c r="HE200" s="14">
        <f t="shared" si="411"/>
        <v>36454</v>
      </c>
      <c r="HF200" s="14">
        <f t="shared" si="412"/>
        <v>41272</v>
      </c>
      <c r="HG200" s="14">
        <f t="shared" si="413"/>
        <v>57927</v>
      </c>
      <c r="HH200" s="14">
        <f t="shared" si="414"/>
        <v>70314</v>
      </c>
      <c r="HI200" s="14">
        <f t="shared" si="415"/>
        <v>3793375</v>
      </c>
      <c r="HL200" s="14">
        <f t="shared" si="416"/>
        <v>430050</v>
      </c>
      <c r="HM200" s="50">
        <f t="shared" si="324"/>
        <v>0.10182494065835193</v>
      </c>
      <c r="HO200" s="14">
        <f t="shared" si="417"/>
        <v>4223425</v>
      </c>
    </row>
    <row r="201" spans="11:223" x14ac:dyDescent="0.2">
      <c r="K201" s="14">
        <v>196</v>
      </c>
      <c r="L201" s="12">
        <f>求节点(节奏总纲!D$4:D$163,标准城池设计!AB$4:AB$163,$K201)*求节点(节奏总纲!D$4:D$163,攻城基础信息!$AC$5:$AC$164,$K201)</f>
        <v>650359.00637800072</v>
      </c>
      <c r="M201" s="12">
        <f>INDEX(其他调用!$AA$5:$AA$404,MATCH(K201,其他调用!$X$5:$X$404,0))*MIN(INDEX(其他调用!$AH$5:$AH$364,MATCH('征服点（新）'!K201,其他调用!$AG$5:$AG$364,0),1)/INDEX(其他调用!$AJ$5:$AJ$364,MATCH(K201,其他调用!$AG$5:$AG$364,0),0),5)*求节点(节奏总纲!D$4:D$163,攻城基础信息!$AC$5:$AC$164,$K201)</f>
        <v>51233.214786548728</v>
      </c>
      <c r="N201" s="12">
        <f>MIN(INDEX(其他调用!$AH$5:$AH$364,MATCH($K201,其他调用!$AG$5:$AG$364,0),1)/INDEX(其他调用!AH$5:AH$364,MATCH($K201,其他调用!$AG$5:$AG$364,0),0),1)*INDEX(其他调用!Y$5:Y$404,MATCH($K201,其他调用!$X$5:$X$404,0),0)</f>
        <v>40015.145403081704</v>
      </c>
      <c r="O201" s="12">
        <f>MIN(INDEX(其他调用!$AH$5:$AH$364,MATCH($K201,其他调用!$AG$5:$AG$364,0),1)/INDEX(其他调用!AI$5:AI$364,MATCH($K201,其他调用!$AG$5:$AG$364,0),0),1)*INDEX(其他调用!Z$5:Z$404,MATCH($K201,其他调用!$X$5:$X$404,0),0)</f>
        <v>25599.141984397986</v>
      </c>
      <c r="P201" s="12">
        <f>MIN(INDEX(其他调用!$AH$5:$AH$364,MATCH($K201,其他调用!$AG$5:$AG$364,0),1)/INDEX(其他调用!AJ$5:AJ$364,MATCH($K201,其他调用!$AG$5:$AG$364,0),0),1)*INDEX(其他调用!AA$5:AA$404,MATCH($K201,其他调用!$X$5:$X$404,0),0)</f>
        <v>15185.521124104151</v>
      </c>
      <c r="Q201" s="12">
        <f>MIN(INDEX(其他调用!$AH$5:$AH$364,MATCH($K201,其他调用!$AG$5:$AG$364,0),1)/INDEX(其他调用!AK$5:AK$364,MATCH($K201,其他调用!$AG$5:$AG$364,0),0),1)*INDEX(其他调用!AB$5:AB$404,MATCH($K201,其他调用!$X$5:$X$404,0),0)</f>
        <v>5543.5034892983404</v>
      </c>
      <c r="R201" s="12">
        <f>MIN(INDEX(其他调用!$AH$5:$AH$364,MATCH($K201,其他调用!$AG$5:$AG$364,0),1)/INDEX(其他调用!AL$5:AL$364,MATCH($K201,其他调用!$AG$5:$AG$364,0),0),1)*INDEX(其他调用!AC$5:AC$404,MATCH($K201,其他调用!$X$5:$X$404,0),0)</f>
        <v>2419.6414632909282</v>
      </c>
      <c r="S201" s="12">
        <f>求节点(节奏总纲!D$4:D$163,标准城池设计!AC$4:AC$163,$K201)*求节点(节奏总纲!D$4:D$163,攻城基础信息!$AD$5:$AD$164,$K201)</f>
        <v>692261.88171172678</v>
      </c>
      <c r="T201" s="12">
        <f>INDEX(其他调用!$AA$5:$AA$404,MATCH($K201,其他调用!$X$5:$X$404,0))*MIN(INDEX(其他调用!AI$5:AI$364,MATCH($K201,其他调用!$AG$5:$AG$364,0),1)/INDEX(其他调用!$AJ$5:$AJ$364,MATCH($K201,其他调用!$AG$5:$AG$364,0),0),5)*求节点(节奏总纲!D$4:D$163,攻城基础信息!$AD$5:$AD$164,$K201)</f>
        <v>82397.135192640839</v>
      </c>
      <c r="U201" s="12">
        <f>MIN(INDEX(其他调用!$AI$5:$AI$364,MATCH($K201,其他调用!$AG$5:$AG$364,0),1)/INDEX(其他调用!AH$5:AH$364,MATCH($K201,其他调用!$AG$5:$AG$364,0),0),1)*INDEX(其他调用!Y$5:Y$404,MATCH($K201,其他调用!$X$5:$X$404,0),0)</f>
        <v>40015.145403081704</v>
      </c>
      <c r="V201" s="12">
        <f>MIN(INDEX(其他调用!$AI$5:$AI$364,MATCH($K201,其他调用!$AG$5:$AG$364,0),1)/INDEX(其他调用!AI$5:AI$364,MATCH($K201,其他调用!$AG$5:$AG$364,0),0),1)*INDEX(其他调用!Z$5:Z$404,MATCH($K201,其他调用!$X$5:$X$404,0),0)</f>
        <v>41170.478403354922</v>
      </c>
      <c r="W201" s="12">
        <f>MIN(INDEX(其他调用!$AI$5:$AI$364,MATCH($K201,其他调用!$AG$5:$AG$364,0),1)/INDEX(其他调用!AJ$5:AJ$364,MATCH($K201,其他调用!$AG$5:$AG$364,0),0),1)*INDEX(其他调用!AA$5:AA$404,MATCH($K201,其他调用!$X$5:$X$404,0),0)</f>
        <v>24422.504858352688</v>
      </c>
      <c r="X201" s="12">
        <f>MIN(INDEX(其他调用!$AI$5:$AI$364,MATCH($K201,其他调用!$AG$5:$AG$364,0),1)/INDEX(其他调用!AK$5:AK$364,MATCH($K201,其他调用!$AG$5:$AG$364,0),0),1)*INDEX(其他调用!AB$5:AB$404,MATCH($K201,其他调用!$X$5:$X$404,0),0)</f>
        <v>8915.4820432723664</v>
      </c>
      <c r="Y201" s="12">
        <f>MIN(INDEX(其他调用!$AI$5:$AI$364,MATCH($K201,其他调用!$AG$5:$AG$364,0),1)/INDEX(其他调用!AL$5:AL$364,MATCH($K201,其他调用!$AG$5:$AG$364,0),0),1)*INDEX(其他调用!AC$5:AC$404,MATCH($K201,其他调用!$X$5:$X$404,0),0)</f>
        <v>3891.4506067818884</v>
      </c>
      <c r="Z201" s="12">
        <f>求节点(节奏总纲!D$4:D$163,标准城池设计!AD$4:AD$163,$K201)*求节点(节奏总纲!D$4:D$163,攻城基础信息!$AE$5:$AE$164,$K201)</f>
        <v>744190.86082824878</v>
      </c>
      <c r="AA201" s="12">
        <f>INDEX(其他调用!$AA$5:$AA$404,MATCH($K201,其他调用!$X$5:$X$404,0))*MIN(INDEX(其他调用!AJ$5:AJ$364,MATCH($K201,其他调用!$AG$5:$AG$364,0),1)/INDEX(其他调用!$AJ$5:$AJ$364,MATCH($K201,其他调用!$AG$5:$AG$364,0),0),5)*求节点(节奏总纲!D$4:D$163,攻城基础信息!$AE$5:$AE$164,$K201)</f>
        <v>144034.75167864017</v>
      </c>
      <c r="AB201" s="12">
        <f>MIN(INDEX(其他调用!$AJ$5:$AJ$364,MATCH($K201,其他调用!$AG$5:$AG$364,0),1)/INDEX(其他调用!AH$5:AH$364,MATCH($K201,其他调用!$AG$5:$AG$364,0),0),1)*INDEX(其他调用!Y$5:Y$404,MATCH($K201,其他调用!$X$5:$X$404,0),0)</f>
        <v>40015.145403081704</v>
      </c>
      <c r="AC201" s="12">
        <f>MIN(INDEX(其他调用!$AJ$5:$AJ$364,MATCH($K201,其他调用!$AG$5:$AG$364,0),1)/INDEX(其他调用!AI$5:AI$364,MATCH($K201,其他调用!$AG$5:$AG$364,0),0),1)*INDEX(其他调用!Z$5:Z$404,MATCH($K201,其他调用!$X$5:$X$404,0),0)</f>
        <v>41170.478403354922</v>
      </c>
      <c r="AD201" s="12">
        <f>MIN(INDEX(其他调用!$AJ$5:$AJ$364,MATCH($K201,其他调用!$AG$5:$AG$364,0),1)/INDEX(其他调用!AJ$5:AJ$364,MATCH($K201,其他调用!$AG$5:$AG$364,0),0),1)*INDEX(其他调用!AA$5:AA$404,MATCH($K201,其他调用!$X$5:$X$404,0),0)</f>
        <v>42691.889886936129</v>
      </c>
      <c r="AE201" s="12">
        <f>MIN(INDEX(其他调用!$AJ$5:$AJ$364,MATCH($K201,其他调用!$AG$5:$AG$364,0),1)/INDEX(其他调用!AK$5:AK$364,MATCH($K201,其他调用!$AG$5:$AG$364,0),0),1)*INDEX(其他调用!AB$5:AB$404,MATCH($K201,其他调用!$X$5:$X$404,0),0)</f>
        <v>15584.755940796369</v>
      </c>
      <c r="AF201" s="12">
        <f>MIN(INDEX(其他调用!$AJ$5:$AJ$364,MATCH($K201,其他调用!$AG$5:$AG$364,0),1)/INDEX(其他调用!AL$5:AL$364,MATCH($K201,其他调用!$AG$5:$AG$364,0),0),1)*INDEX(其他调用!AC$5:AC$404,MATCH($K201,其他调用!$X$5:$X$404,0),0)</f>
        <v>6802.4709901271353</v>
      </c>
      <c r="AG201" s="12">
        <f>求节点(节奏总纲!D$4:D$163,标准城池设计!AE$4:AE$163,$K201)*求节点(节奏总纲!D$4:D$163,攻城基础信息!$AF$5:$AF$164,$K201)</f>
        <v>890197.63679237547</v>
      </c>
      <c r="AH201" s="12">
        <f>INDEX(其他调用!$AA$5:$AA$404,MATCH($K201,其他调用!$X$5:$X$404,0))*MIN(INDEX(其他调用!AK$5:AK$364,MATCH($K201,其他调用!$AG$5:$AG$364,0),1)/INDEX(其他调用!$AJ$5:$AJ$364,MATCH($K201,其他调用!$AG$5:$AG$364,0),0),5)*求节点(节奏总纲!D$4:D$163,攻城基础信息!$AF$5:$AF$164,$K201)</f>
        <v>414775.93515180791</v>
      </c>
      <c r="AI201" s="12">
        <f>MIN(INDEX(其他调用!$AK$5:$AK$364,MATCH($K201,其他调用!$AG$5:$AG$364,0),1)/INDEX(其他调用!AH$5:AH$364,MATCH($K201,其他调用!$AG$5:$AG$364,0),0),1)*INDEX(其他调用!Y$5:Y$404,MATCH($K201,其他调用!$X$5:$X$404,0),0)</f>
        <v>40015.145403081704</v>
      </c>
      <c r="AJ201" s="12">
        <f>MIN(INDEX(其他调用!$AK$5:$AK$364,MATCH($K201,其他调用!$AG$5:$AG$364,0),1)/INDEX(其他调用!AI$5:AI$364,MATCH($K201,其他调用!$AG$5:$AG$364,0),0),1)*INDEX(其他调用!Z$5:Z$404,MATCH($K201,其他调用!$X$5:$X$404,0),0)</f>
        <v>41170.478403354922</v>
      </c>
      <c r="AK201" s="12">
        <f>MIN(INDEX(其他调用!$AK$5:$AK$364,MATCH($K201,其他调用!$AG$5:$AG$364,0),1)/INDEX(其他调用!AJ$5:AJ$364,MATCH($K201,其他调用!$AG$5:$AG$364,0),0),1)*INDEX(其他调用!AA$5:AA$404,MATCH($K201,其他调用!$X$5:$X$404,0),0)</f>
        <v>42691.889886936129</v>
      </c>
      <c r="AL201" s="12">
        <f>MIN(INDEX(其他调用!$AK$5:$AK$364,MATCH($K201,其他调用!$AG$5:$AG$364,0),1)/INDEX(其他调用!AK$5:AK$364,MATCH($K201,其他调用!$AG$5:$AG$364,0),0),1)*INDEX(其他调用!AB$5:AB$404,MATCH($K201,其他调用!$X$5:$X$404,0),0)</f>
        <v>44879.320053808391</v>
      </c>
      <c r="AM201" s="12">
        <f>MIN(INDEX(其他调用!$AK$5:$AK$364,MATCH($K201,其他调用!$AG$5:$AG$364,0),1)/INDEX(其他调用!AL$5:AL$364,MATCH($K201,其他调用!$AG$5:$AG$364,0),0),1)*INDEX(其他调用!AC$5:AC$404,MATCH($K201,其他调用!$X$5:$X$404,0),0)</f>
        <v>19589.031351046135</v>
      </c>
      <c r="AN201" s="12">
        <f>求节点(节奏总纲!D$4:D$163,标准城池设计!AF$4:AF$163,$K201)*求节点(节奏总纲!D$4:D$163,攻城基础信息!$AG$5:$AG$164,$K201)</f>
        <v>921814.54266622767</v>
      </c>
      <c r="AO201" s="12">
        <f>INDEX(其他调用!$AA$5:$AA$404,MATCH($K201,其他调用!$X$5:$X$404,0))*MIN(INDEX(其他调用!AL$5:AL$364,MATCH($K201,其他调用!$AG$5:$AG$364,0),1)/INDEX(其他调用!$AJ$5:$AJ$364,MATCH($K201,其他调用!$AG$5:$AG$364,0),0),5)*求节点(节奏总纲!D$4:D$163,攻城基础信息!$AG$5:$AG$164,$K201)</f>
        <v>720173.75839320081</v>
      </c>
      <c r="AP201" s="12">
        <f>MIN(INDEX(其他调用!$AL$5:$AL$364,MATCH($K201,其他调用!$AG$5:$AG$364,0),1)/INDEX(其他调用!AH$5:AH$364,MATCH($K201,其他调用!$AG$5:$AG$364,0),0),1)*INDEX(其他调用!Y$5:Y$404,MATCH($K201,其他调用!$X$5:$X$404,0),0)</f>
        <v>40015.145403081704</v>
      </c>
      <c r="AQ201" s="12">
        <f>MIN(INDEX(其他调用!$AL$5:$AL$364,MATCH($K201,其他调用!$AG$5:$AG$364,0),1)/INDEX(其他调用!AI$5:AI$364,MATCH($K201,其他调用!$AG$5:$AG$364,0),0),1)*INDEX(其他调用!Z$5:Z$404,MATCH($K201,其他调用!$X$5:$X$404,0),0)</f>
        <v>41170.478403354922</v>
      </c>
      <c r="AR201" s="12">
        <f>MIN(INDEX(其他调用!$AL$5:$AL$364,MATCH($K201,其他调用!$AG$5:$AG$364,0),1)/INDEX(其他调用!AJ$5:AJ$364,MATCH($K201,其他调用!$AG$5:$AG$364,0),0),1)*INDEX(其他调用!AA$5:AA$404,MATCH($K201,其他调用!$X$5:$X$404,0),0)</f>
        <v>42691.889886936129</v>
      </c>
      <c r="AS201" s="12">
        <f>MIN(INDEX(其他调用!$AL$5:$AL$364,MATCH($K201,其他调用!$AG$5:$AG$364,0),1)/INDEX(其他调用!AK$5:AK$364,MATCH($K201,其他调用!$AG$5:$AG$364,0),0),1)*INDEX(其他调用!AB$5:AB$404,MATCH($K201,其他调用!$X$5:$X$404,0),0)</f>
        <v>44879.320053808391</v>
      </c>
      <c r="AT201" s="12">
        <f>MIN(INDEX(其他调用!$AL$5:$AL$364,MATCH($K201,其他调用!$AG$5:$AG$364,0),1)/INDEX(其他调用!AL$5:AL$364,MATCH($K201,其他调用!$AG$5:$AG$364,0),0),1)*INDEX(其他调用!AC$5:AC$404,MATCH($K201,其他调用!$X$5:$X$404,0),0)</f>
        <v>48835.236020520926</v>
      </c>
      <c r="AV201" s="14">
        <f>IF(OR(AV$5="大R",AV$5="超R"),MAX(INDEX(其他调用!$H$5:$L$404,MATCH($K201,其他调用!$B$5:$B$404,0),MATCH(AV$5,其他调用!$H$4:$L$4,0))*120*0.85,2),INDEX(其他调用!$H$5:$L$404,MATCH($K201,其他调用!$B$5:$B$404,0),MATCH(AV$5,其他调用!$H$4:$L$4,0))*120*0.85)</f>
        <v>48.921801254999991</v>
      </c>
      <c r="AW201" s="14">
        <f>IF(OR(AW$5="大R",AW$5="超R"),MAX(INDEX(其他调用!$H$5:$L$404,MATCH($K201,其他调用!$B$5:$B$404,0),MATCH(AW$5,其他调用!$H$4:$L$4,0))*120*0.85,2),INDEX(其他调用!$H$5:$L$404,MATCH($K201,其他调用!$B$5:$B$404,0),MATCH(AW$5,其他调用!$H$4:$L$4,0))*120*0.85)</f>
        <v>48.237344010638395</v>
      </c>
      <c r="AX201" s="14">
        <f>IF(OR(AX$5="大R",AX$5="超R"),MAX(INDEX(其他调用!$H$5:$L$404,MATCH($K201,其他调用!$B$5:$B$404,0),MATCH(AX$5,其他调用!$H$4:$L$4,0))*120*0.85,2),INDEX(其他调用!$H$5:$L$404,MATCH($K201,其他调用!$B$5:$B$404,0),MATCH(AX$5,其他调用!$H$4:$L$4,0))*120*0.85)</f>
        <v>3.9376284143615998</v>
      </c>
      <c r="AY201" s="14">
        <f>IF(OR(AY$5="大R",AY$5="超R"),MAX(INDEX(其他调用!$H$5:$L$404,MATCH($K201,其他调用!$B$5:$B$404,0),MATCH(AY$5,其他调用!$H$4:$L$4,0))*120*0.85,2),INDEX(其他调用!$H$5:$L$404,MATCH($K201,其他调用!$B$5:$B$404,0),MATCH(AY$5,其他调用!$H$4:$L$4,0))*120*0.85)</f>
        <v>2</v>
      </c>
      <c r="AZ201" s="14">
        <f>IF(OR(AZ$5="大R",AZ$5="超R"),MAX(INDEX(其他调用!$H$5:$L$404,MATCH($K201,其他调用!$B$5:$B$404,0),MATCH(AZ$5,其他调用!$H$4:$L$4,0))*120*0.85,2),INDEX(其他调用!$H$5:$L$404,MATCH($K201,其他调用!$B$5:$B$404,0),MATCH(AZ$5,其他调用!$H$4:$L$4,0))*120*0.85)</f>
        <v>2</v>
      </c>
      <c r="BA201" s="14">
        <f>INDEX(其他调用!$H$5:$L$404,MATCH($K201,其他调用!$B$5:$B$404,0),MATCH(BA$5,其他调用!$H$4:$L$4,0))*INDEX(其他调用!$M$5:$M$404,MATCH($K201,其他调用!$B$5:$B$404,0))*0.6</f>
        <v>28.777530149999997</v>
      </c>
      <c r="BB201" s="14">
        <f>INDEX(其他调用!$H$5:$L$404,MATCH($K201,其他调用!$B$5:$B$404,0),MATCH(BB$5,其他调用!$H$4:$L$4,0))*INDEX(其他调用!$M$5:$M$404,MATCH($K201,其他调用!$B$5:$B$404,0))*0.6</f>
        <v>28.374908241551999</v>
      </c>
      <c r="BC201" s="14">
        <f>INDEX(其他调用!$H$5:$L$404,MATCH($K201,其他调用!$B$5:$B$404,0),MATCH(BC$5,其他调用!$H$4:$L$4,0))*INDEX(其他调用!$M$5:$M$404,MATCH($K201,其他调用!$B$5:$B$404,0))*0.6</f>
        <v>2.3162520084480001</v>
      </c>
      <c r="BD201" s="14">
        <f>INDEX(其他调用!$H$5:$L$404,MATCH($K201,其他调用!$B$5:$B$404,0),MATCH(BD$5,其他调用!$H$4:$L$4,0))*INDEX(其他调用!$M$5:$M$404,MATCH($K201,其他调用!$B$5:$B$404,0))*0.6</f>
        <v>0.4120776000000001</v>
      </c>
      <c r="BE201" s="14">
        <f>INDEX(其他调用!$H$5:$L$404,MATCH($K201,其他调用!$B$5:$B$404,0),MATCH(BE$5,其他调用!$H$4:$L$4,0))*INDEX(其他调用!$M$5:$M$404,MATCH($K201,其他调用!$B$5:$B$404,0))*0.6</f>
        <v>0.11923199999999998</v>
      </c>
      <c r="BF201" s="14">
        <f>IF(OR(BF$5="大R",BF$5="超R"),0,INDEX(其他调用!$H$5:$L$404,MATCH($K201,其他调用!$B$5:$B$404,0),MATCH(BF$5,其他调用!$H$4:$L$4,0))*50*0.4)</f>
        <v>9.5925100500000013</v>
      </c>
      <c r="BG201" s="14">
        <f>IF(OR(BG$5="大R",BG$5="超R"),0,INDEX(其他调用!$H$5:$L$404,MATCH($K201,其他调用!$B$5:$B$404,0),MATCH(BG$5,其他调用!$H$4:$L$4,0))*50*0.4)</f>
        <v>9.4583027471839998</v>
      </c>
      <c r="BH201" s="14">
        <f>IF(OR(BH$5="大R",BH$5="超R"),0,INDEX(其他调用!$H$5:$L$404,MATCH($K201,其他调用!$B$5:$B$404,0),MATCH(BH$5,其他调用!$H$4:$L$4,0))*50*0.4)</f>
        <v>0.77208400281600009</v>
      </c>
      <c r="BI201" s="14">
        <f>IF(OR(BI$5="大R",BI$5="超R"),0,INDEX(其他调用!$H$5:$L$404,MATCH($K201,其他调用!$B$5:$B$404,0),MATCH(BI$5,其他调用!$H$4:$L$4,0))*50*0.4)</f>
        <v>0</v>
      </c>
      <c r="BJ201" s="14">
        <f>IF(OR(BJ$5="大R",BJ$5="超R"),0,INDEX(其他调用!$H$5:$L$404,MATCH($K201,其他调用!$B$5:$B$404,0),MATCH(BJ$5,其他调用!$H$4:$L$4,0))*50*0.4)</f>
        <v>0</v>
      </c>
      <c r="BL201" s="14">
        <f t="shared" si="418"/>
        <v>196</v>
      </c>
      <c r="BM201" s="14">
        <f t="shared" si="325"/>
        <v>96</v>
      </c>
      <c r="BN201" s="14">
        <f>('疲劳值&amp;地图信息'!$S$10*'疲劳值&amp;地图信息'!$R$10+'疲劳值&amp;地图信息'!$S$11*'疲劳值&amp;地图信息'!$R$11+'疲劳值&amp;地图信息'!$S$12*'疲劳值&amp;地图信息'!$R$12+(BM201-'疲劳值&amp;地图信息'!$S$12-'疲劳值&amp;地图信息'!$S$11-'疲劳值&amp;地图信息'!$S$10)*'疲劳值&amp;地图信息'!$R$13)/BM201</f>
        <v>51.371477246638619</v>
      </c>
      <c r="BO201" s="14">
        <f>INDEX(其他调用!$M$5:$M$404,MATCH(BL201,其他调用!$B$5:$B$404,0))*0.6</f>
        <v>60</v>
      </c>
      <c r="BP201" s="14">
        <f>IF(BO201&gt;SUM('疲劳值&amp;地图信息'!$S$10:$S$12),('疲劳值&amp;地图信息'!$S$10*'疲劳值&amp;地图信息'!$R$10+'疲劳值&amp;地图信息'!$S$11*'疲劳值&amp;地图信息'!$R$11+'疲劳值&amp;地图信息'!$S$12*'疲劳值&amp;地图信息'!$R$12+(BO201-'疲劳值&amp;地图信息'!$S$12-'疲劳值&amp;地图信息'!$S$11-'疲劳值&amp;地图信息'!$S$10)*'疲劳值&amp;地图信息'!$R$13)/BO201,('疲劳值&amp;地图信息'!$S$10*'疲劳值&amp;地图信息'!$R$10+'疲劳值&amp;地图信息'!$S$11*'疲劳值&amp;地图信息'!$R$11+'疲劳值&amp;地图信息'!$S$12*'疲劳值&amp;地图信息'!$R$12+(BO201-'疲劳值&amp;地图信息'!$S$12-'疲劳值&amp;地图信息'!$S$11-'疲劳值&amp;地图信息'!$S$10)*'疲劳值&amp;地图信息'!$R$13)/BO201)</f>
        <v>44.158136341605953</v>
      </c>
      <c r="BQ201" s="14">
        <f t="shared" si="419"/>
        <v>20</v>
      </c>
      <c r="BR201" s="14">
        <f>('疲劳值&amp;地图信息'!$S$10*'疲劳值&amp;地图信息'!$R$10+($BQ201-'疲劳值&amp;地图信息'!$S$10)*'疲劳值&amp;地图信息'!$R$11)/$BQ201</f>
        <v>32.067203015074995</v>
      </c>
      <c r="CF201" s="14">
        <v>196</v>
      </c>
      <c r="CG201" s="51">
        <f t="shared" si="326"/>
        <v>13255</v>
      </c>
      <c r="CH201" s="51">
        <f t="shared" si="327"/>
        <v>1044</v>
      </c>
      <c r="CI201" s="51">
        <f>INT(SUMPRODUCT($N201:$R201,$BA201:$BE201)/SUM($BA201:$BE201)/10000*$BX$7*$BZ$34/'疲劳值&amp;地图信息'!$R$10*$BY$53)</f>
        <v>3239</v>
      </c>
      <c r="CJ201" s="50">
        <f t="shared" si="328"/>
        <v>0.75578743300262285</v>
      </c>
      <c r="CK201" s="50">
        <f t="shared" si="329"/>
        <v>5.9527882312692439E-2</v>
      </c>
      <c r="CL201" s="50">
        <f t="shared" si="330"/>
        <v>0.18468468468468469</v>
      </c>
      <c r="CM201" s="14">
        <f t="shared" si="331"/>
        <v>14109</v>
      </c>
      <c r="CN201" s="14">
        <f t="shared" si="332"/>
        <v>1679</v>
      </c>
      <c r="CO201" s="14">
        <f>INT(SUMPRODUCT($U201:$Y201,$BA201:$BE201)/SUM($BA201:$BE201)/10000*$BX$7*$BZ$34/'疲劳值&amp;地图信息'!$R$10*$BY$54)</f>
        <v>6038</v>
      </c>
      <c r="CP201" s="50">
        <f t="shared" si="333"/>
        <v>0.64643086227435165</v>
      </c>
      <c r="CQ201" s="50">
        <f t="shared" si="334"/>
        <v>7.6926601301200409E-2</v>
      </c>
      <c r="CR201" s="50">
        <f t="shared" si="335"/>
        <v>0.27664253642444792</v>
      </c>
      <c r="CS201" s="14">
        <f t="shared" si="336"/>
        <v>15167</v>
      </c>
      <c r="CT201" s="14">
        <f t="shared" si="337"/>
        <v>2935</v>
      </c>
      <c r="CU201" s="14">
        <f>INT(SUMPRODUCT($AB201:$AF201,$BA201:$BE201)/SUM($BA201:$BE201)/10000*$BX$7*$BZ$34/'疲劳值&amp;地图信息'!$R$10*$BY$55)</f>
        <v>8204</v>
      </c>
      <c r="CV201" s="50">
        <f t="shared" si="338"/>
        <v>0.57656048049874553</v>
      </c>
      <c r="CW201" s="50">
        <f t="shared" si="339"/>
        <v>0.11157150459971109</v>
      </c>
      <c r="CX201" s="50">
        <f t="shared" si="340"/>
        <v>0.31186801490154337</v>
      </c>
      <c r="CY201" s="14">
        <f t="shared" si="341"/>
        <v>18143</v>
      </c>
      <c r="CZ201" s="14">
        <f t="shared" si="342"/>
        <v>8453</v>
      </c>
      <c r="DA201" s="14">
        <f>INT(SUMPRODUCT($AI201:$AM201,$BA201:$BE201)/SUM($BA201:$BE201)/10000*$BX$7*$BZ$34/'疲劳值&amp;地图信息'!$R$10*$BY$56)</f>
        <v>12376</v>
      </c>
      <c r="DB201" s="50">
        <f t="shared" si="343"/>
        <v>0.46553936159293852</v>
      </c>
      <c r="DC201" s="50">
        <f t="shared" si="344"/>
        <v>0.21689931232679874</v>
      </c>
      <c r="DD201" s="50">
        <f t="shared" si="345"/>
        <v>0.31756132608026277</v>
      </c>
      <c r="DE201" s="14">
        <f t="shared" si="346"/>
        <v>18787</v>
      </c>
      <c r="DF201" s="14">
        <f t="shared" si="347"/>
        <v>14678</v>
      </c>
      <c r="DG201" s="14">
        <f>INT(SUMPRODUCT($AP201:$AT201,$BA201:$BE201)/SUM($BA201:$BE201)/10000*$BX$7*$BZ$34/'疲劳值&amp;地图信息'!$R$10*$BY$57)</f>
        <v>16525</v>
      </c>
      <c r="DH201" s="50">
        <f t="shared" si="348"/>
        <v>0.37581516303260654</v>
      </c>
      <c r="DI201" s="50">
        <f t="shared" si="349"/>
        <v>0.29361872374474896</v>
      </c>
      <c r="DJ201" s="50">
        <f t="shared" si="350"/>
        <v>0.33056611322264451</v>
      </c>
      <c r="DL201" s="14">
        <f t="shared" si="316"/>
        <v>17538</v>
      </c>
      <c r="DM201" s="14">
        <f t="shared" si="317"/>
        <v>21826</v>
      </c>
      <c r="DN201" s="14">
        <f t="shared" si="318"/>
        <v>26306</v>
      </c>
      <c r="DO201" s="14">
        <f t="shared" si="319"/>
        <v>38972</v>
      </c>
      <c r="DP201" s="14">
        <f t="shared" si="320"/>
        <v>49990</v>
      </c>
      <c r="DQ201" s="14">
        <f t="shared" si="321"/>
        <v>1206962</v>
      </c>
      <c r="DT201" s="14">
        <f t="shared" si="315"/>
        <v>235575</v>
      </c>
      <c r="DU201" s="50">
        <f t="shared" si="322"/>
        <v>0.16330603651760753</v>
      </c>
      <c r="DW201" s="14">
        <f t="shared" si="351"/>
        <v>1442537</v>
      </c>
      <c r="EB201" s="14">
        <v>196</v>
      </c>
      <c r="EC201" s="51">
        <f t="shared" si="352"/>
        <v>22091</v>
      </c>
      <c r="ED201" s="51">
        <f t="shared" si="353"/>
        <v>1740</v>
      </c>
      <c r="EE201" s="51">
        <f>INT(SUMPRODUCT($N201:$R201,$BF201:$BJ201)/SUM($BF201:$BJ201)/10000*$BX$7*$BZ$46/'疲劳值&amp;地图信息'!$R$10*$BY$53)</f>
        <v>435</v>
      </c>
      <c r="EF201" s="50">
        <f t="shared" si="354"/>
        <v>0.91036841671474489</v>
      </c>
      <c r="EG201" s="50">
        <f t="shared" si="355"/>
        <v>7.1705266628204076E-2</v>
      </c>
      <c r="EH201" s="50">
        <f t="shared" si="356"/>
        <v>1.7926316657051019E-2</v>
      </c>
      <c r="EI201" s="51">
        <f t="shared" si="357"/>
        <v>23515</v>
      </c>
      <c r="EJ201" s="51">
        <f t="shared" si="358"/>
        <v>2798</v>
      </c>
      <c r="EK201" s="14">
        <f>INT(SUMPRODUCT($U201:$Y201,$BF201:$BJ201)/SUM($BF201:$BJ201)/10000*$BX$7*$BZ$46/'疲劳值&amp;地图信息'!$R$10*$BY$54)</f>
        <v>810</v>
      </c>
      <c r="EL201" s="50">
        <f t="shared" si="359"/>
        <v>0.86697636692106328</v>
      </c>
      <c r="EM201" s="50">
        <f t="shared" si="360"/>
        <v>0.1031596799764038</v>
      </c>
      <c r="EN201" s="50">
        <f t="shared" si="361"/>
        <v>2.9863953102532904E-2</v>
      </c>
      <c r="EO201" s="51">
        <f t="shared" si="362"/>
        <v>25279</v>
      </c>
      <c r="EP201" s="51">
        <f t="shared" si="363"/>
        <v>4892</v>
      </c>
      <c r="EQ201" s="14">
        <f>INT(SUMPRODUCT($AB201:$AF201,$BF201:$BJ201)/SUM($BF201:$BJ201)/10000*$BX$7*$BZ$46/'疲劳值&amp;地图信息'!$R$10*$BY$55)</f>
        <v>1100</v>
      </c>
      <c r="ER201" s="50">
        <f t="shared" si="364"/>
        <v>0.80838476543762594</v>
      </c>
      <c r="ES201" s="50">
        <f t="shared" si="365"/>
        <v>0.15643887307729207</v>
      </c>
      <c r="ET201" s="50">
        <f t="shared" si="366"/>
        <v>3.5176361485082026E-2</v>
      </c>
      <c r="EU201" s="51">
        <f t="shared" si="367"/>
        <v>30238</v>
      </c>
      <c r="EV201" s="51">
        <f t="shared" si="368"/>
        <v>14089</v>
      </c>
      <c r="EW201" s="14">
        <f>INT(SUMPRODUCT($AI201:$AM201,$BF201:$BJ201)/SUM($BF201:$BJ201)/10000*$BX$7*$BZ$46/'疲劳值&amp;地图信息'!$R$10*$BY$56)</f>
        <v>1650</v>
      </c>
      <c r="EX201" s="50">
        <f t="shared" si="369"/>
        <v>0.65767666441916606</v>
      </c>
      <c r="EY201" s="50">
        <f t="shared" si="370"/>
        <v>0.30643582660895663</v>
      </c>
      <c r="EZ201" s="50">
        <f t="shared" si="371"/>
        <v>3.5887508971877244E-2</v>
      </c>
      <c r="FA201" s="51">
        <f t="shared" si="372"/>
        <v>31312</v>
      </c>
      <c r="FB201" s="51">
        <f t="shared" si="373"/>
        <v>24463</v>
      </c>
      <c r="FC201" s="14">
        <f>INT(SUMPRODUCT($AP201:$AT201,$BF201:$BJ201)/SUM($BF201:$BJ201)/10000*$BX$7*$BZ$46/'疲劳值&amp;地图信息'!$R$10*$BY$57)</f>
        <v>2200</v>
      </c>
      <c r="FD201" s="50">
        <f t="shared" si="374"/>
        <v>0.5400948684777922</v>
      </c>
      <c r="FE201" s="50">
        <f t="shared" si="375"/>
        <v>0.42195774040534711</v>
      </c>
      <c r="FF201" s="50">
        <f t="shared" si="376"/>
        <v>3.7947391116860713E-2</v>
      </c>
      <c r="FH201" s="14">
        <f t="shared" si="377"/>
        <v>24266</v>
      </c>
      <c r="FI201" s="14">
        <f t="shared" si="378"/>
        <v>27123</v>
      </c>
      <c r="FJ201" s="14">
        <f t="shared" si="379"/>
        <v>31271</v>
      </c>
      <c r="FK201" s="14">
        <f t="shared" si="380"/>
        <v>45977</v>
      </c>
      <c r="FL201" s="14">
        <f t="shared" si="381"/>
        <v>57975</v>
      </c>
      <c r="FM201" s="14">
        <f t="shared" si="382"/>
        <v>2826515</v>
      </c>
      <c r="FP201" s="14">
        <f t="shared" si="383"/>
        <v>334150</v>
      </c>
      <c r="FQ201" s="50">
        <f t="shared" si="323"/>
        <v>0.10572142254873579</v>
      </c>
      <c r="FS201" s="14">
        <f t="shared" si="384"/>
        <v>3160665</v>
      </c>
      <c r="FX201" s="14">
        <v>196</v>
      </c>
      <c r="FY201" s="51">
        <f t="shared" si="385"/>
        <v>30928</v>
      </c>
      <c r="FZ201" s="51">
        <f t="shared" si="386"/>
        <v>1740</v>
      </c>
      <c r="GA201" s="51">
        <f>INT(SUMPRODUCT($N201:$R201,$BF201:$BJ201)/SUM($BF201:$BJ201)/10000*$BX$7*$BZ$46/'疲劳值&amp;地图信息'!$R$10*$BY$53)</f>
        <v>435</v>
      </c>
      <c r="GB201" s="50">
        <f t="shared" si="387"/>
        <v>0.93429598525813373</v>
      </c>
      <c r="GC201" s="50">
        <f t="shared" si="388"/>
        <v>5.2563211793493034E-2</v>
      </c>
      <c r="GD201" s="50">
        <f t="shared" si="389"/>
        <v>1.3140802948373258E-2</v>
      </c>
      <c r="GE201" s="51">
        <f t="shared" si="390"/>
        <v>32921</v>
      </c>
      <c r="GF201" s="51">
        <f t="shared" si="391"/>
        <v>2798</v>
      </c>
      <c r="GG201" s="14">
        <f>INT(SUMPRODUCT($U201:$Y201,$BF201:$BJ201)/SUM($BF201:$BJ201)/10000*$BX$7*$BZ$46/'疲劳值&amp;地图信息'!$R$10*$BY$54)</f>
        <v>810</v>
      </c>
      <c r="GH201" s="50">
        <f t="shared" si="392"/>
        <v>0.90122916039311229</v>
      </c>
      <c r="GI201" s="50">
        <f t="shared" si="393"/>
        <v>7.6596676613101919E-2</v>
      </c>
      <c r="GJ201" s="50">
        <f t="shared" si="394"/>
        <v>2.2174162993785759E-2</v>
      </c>
      <c r="GK201" s="51">
        <f t="shared" si="395"/>
        <v>35391</v>
      </c>
      <c r="GL201" s="51">
        <f t="shared" si="396"/>
        <v>4892</v>
      </c>
      <c r="GM201" s="14">
        <f>INT(SUMPRODUCT($AB201:$AF201,$BF201:$BJ201)/SUM($BF201:$BJ201)/10000*$BX$7*$BZ$46/'疲劳值&amp;地图信息'!$R$10*$BY$55)</f>
        <v>1100</v>
      </c>
      <c r="GN201" s="50">
        <f t="shared" si="397"/>
        <v>0.8552062441099002</v>
      </c>
      <c r="GO201" s="50">
        <f t="shared" si="398"/>
        <v>0.11821279269265157</v>
      </c>
      <c r="GP201" s="50">
        <f t="shared" si="399"/>
        <v>2.6580963197448227E-2</v>
      </c>
      <c r="GQ201" s="51">
        <f t="shared" si="400"/>
        <v>42334</v>
      </c>
      <c r="GR201" s="51">
        <f t="shared" si="401"/>
        <v>14089</v>
      </c>
      <c r="GS201" s="14">
        <f>INT(SUMPRODUCT($AI201:$AM201,$BF201:$BJ201)/SUM($BF201:$BJ201)/10000*$BX$7*$BZ$46/'疲劳值&amp;地图信息'!$R$10*$BY$56)</f>
        <v>1650</v>
      </c>
      <c r="GT201" s="50">
        <f t="shared" si="402"/>
        <v>0.72897904361751586</v>
      </c>
      <c r="GU201" s="50">
        <f t="shared" si="403"/>
        <v>0.24260844109999483</v>
      </c>
      <c r="GV201" s="50">
        <f t="shared" si="404"/>
        <v>2.8412515282489281E-2</v>
      </c>
      <c r="GW201" s="51">
        <f t="shared" si="405"/>
        <v>43838</v>
      </c>
      <c r="GX201" s="51">
        <f t="shared" si="406"/>
        <v>24463</v>
      </c>
      <c r="GY201" s="14">
        <f>INT(SUMPRODUCT($AP201:$AT201,$BF201:$BJ201)/SUM($BF201:$BJ201)/10000*$BX$7*$BZ$46/'疲劳值&amp;地图信息'!$R$10*$BY$57)</f>
        <v>2200</v>
      </c>
      <c r="GZ201" s="50">
        <f t="shared" si="407"/>
        <v>0.62180678288251234</v>
      </c>
      <c r="HA201" s="50">
        <f t="shared" si="408"/>
        <v>0.34698798598601438</v>
      </c>
      <c r="HB201" s="50">
        <f t="shared" si="409"/>
        <v>3.1205231131473311E-2</v>
      </c>
      <c r="HD201" s="14">
        <f t="shared" si="410"/>
        <v>33103</v>
      </c>
      <c r="HE201" s="14">
        <f t="shared" si="411"/>
        <v>36529</v>
      </c>
      <c r="HF201" s="14">
        <f t="shared" si="412"/>
        <v>41383</v>
      </c>
      <c r="HG201" s="14">
        <f t="shared" si="413"/>
        <v>58073</v>
      </c>
      <c r="HH201" s="14">
        <f t="shared" si="414"/>
        <v>70501</v>
      </c>
      <c r="HI201" s="14">
        <f t="shared" si="415"/>
        <v>3801619</v>
      </c>
      <c r="HL201" s="14">
        <f t="shared" si="416"/>
        <v>430050</v>
      </c>
      <c r="HM201" s="50">
        <f t="shared" si="324"/>
        <v>0.10162656861867031</v>
      </c>
      <c r="HO201" s="14">
        <f t="shared" si="417"/>
        <v>4231669</v>
      </c>
    </row>
    <row r="202" spans="11:223" x14ac:dyDescent="0.2">
      <c r="K202" s="14">
        <v>197</v>
      </c>
      <c r="L202" s="12">
        <f>求节点(节奏总纲!D$4:D$163,标准城池设计!AB$4:AB$163,$K202)*求节点(节奏总纲!D$4:D$163,攻城基础信息!$AC$5:$AC$164,$K202)</f>
        <v>651755.2321316927</v>
      </c>
      <c r="M202" s="12">
        <f>INDEX(其他调用!$AA$5:$AA$404,MATCH(K202,其他调用!$X$5:$X$404,0))*MIN(INDEX(其他调用!$AH$5:$AH$364,MATCH('征服点（新）'!K202,其他调用!$AG$5:$AG$364,0),1)/INDEX(其他调用!$AJ$5:$AJ$364,MATCH(K202,其他调用!$AG$5:$AG$364,0),0),5)*求节点(节奏总纲!D$4:D$163,攻城基础信息!$AC$5:$AC$164,$K202)</f>
        <v>51363.67269067248</v>
      </c>
      <c r="N202" s="12">
        <f>MIN(INDEX(其他调用!$AH$5:$AH$364,MATCH($K202,其他调用!$AG$5:$AG$364,0),1)/INDEX(其他调用!AH$5:AH$364,MATCH($K202,其他调用!$AG$5:$AG$364,0),0),1)*INDEX(其他调用!Y$5:Y$404,MATCH($K202,其他调用!$X$5:$X$404,0),0)</f>
        <v>40044.590716539722</v>
      </c>
      <c r="O202" s="12">
        <f>MIN(INDEX(其他调用!$AH$5:$AH$364,MATCH($K202,其他调用!$AG$5:$AG$364,0),1)/INDEX(其他调用!AI$5:AI$364,MATCH($K202,其他调用!$AG$5:$AG$364,0),0),1)*INDEX(其他调用!Z$5:Z$404,MATCH($K202,其他调用!$X$5:$X$404,0),0)</f>
        <v>25643.42399332306</v>
      </c>
      <c r="P202" s="12">
        <f>MIN(INDEX(其他调用!$AH$5:$AH$364,MATCH($K202,其他调用!$AG$5:$AG$364,0),1)/INDEX(其他调用!AJ$5:AJ$364,MATCH($K202,其他调用!$AG$5:$AG$364,0),0),1)*INDEX(其他调用!AA$5:AA$404,MATCH($K202,其他调用!$X$5:$X$404,0),0)</f>
        <v>15213.39462140009</v>
      </c>
      <c r="Q202" s="12">
        <f>MIN(INDEX(其他调用!$AH$5:$AH$364,MATCH($K202,其他调用!$AG$5:$AG$364,0),1)/INDEX(其他调用!AK$5:AK$364,MATCH($K202,其他调用!$AG$5:$AG$364,0),0),1)*INDEX(其他调用!AB$5:AB$404,MATCH($K202,其他调用!$X$5:$X$404,0),0)</f>
        <v>5553.3672034513384</v>
      </c>
      <c r="R202" s="12">
        <f>MIN(INDEX(其他调用!$AH$5:$AH$364,MATCH($K202,其他调用!$AG$5:$AG$364,0),1)/INDEX(其他调用!AL$5:AL$364,MATCH($K202,其他调用!$AG$5:$AG$364,0),0),1)*INDEX(其他调用!AC$5:AC$404,MATCH($K202,其他调用!$X$5:$X$404,0),0)</f>
        <v>2433.1374830001159</v>
      </c>
      <c r="S202" s="12">
        <f>求节点(节奏总纲!D$4:D$163,标准城池设计!AC$4:AC$163,$K202)*求节点(节奏总纲!D$4:D$163,攻城基础信息!$AD$5:$AD$164,$K202)</f>
        <v>693754.07592102105</v>
      </c>
      <c r="T202" s="12">
        <f>INDEX(其他调用!$AA$5:$AA$404,MATCH($K202,其他调用!$X$5:$X$404,0))*MIN(INDEX(其他调用!AI$5:AI$364,MATCH($K202,其他调用!$AG$5:$AG$364,0),1)/INDEX(其他调用!$AJ$5:$AJ$364,MATCH($K202,其他调用!$AG$5:$AG$364,0),0),5)*求节点(节奏总纲!D$4:D$163,攻城基础信息!$AD$5:$AD$164,$K202)</f>
        <v>82521.079313145441</v>
      </c>
      <c r="U202" s="12">
        <f>MIN(INDEX(其他调用!$AI$5:$AI$364,MATCH($K202,其他调用!$AG$5:$AG$364,0),1)/INDEX(其他调用!AH$5:AH$364,MATCH($K202,其他调用!$AG$5:$AG$364,0),0),1)*INDEX(其他调用!Y$5:Y$404,MATCH($K202,其他调用!$X$5:$X$404,0),0)</f>
        <v>40044.590716539722</v>
      </c>
      <c r="V202" s="12">
        <f>MIN(INDEX(其他调用!$AI$5:$AI$364,MATCH($K202,其他调用!$AG$5:$AG$364,0),1)/INDEX(其他调用!AI$5:AI$364,MATCH($K202,其他调用!$AG$5:$AG$364,0),0),1)*INDEX(其他调用!Z$5:Z$404,MATCH($K202,其他调用!$X$5:$X$404,0),0)</f>
        <v>41198.826220187933</v>
      </c>
      <c r="W202" s="12">
        <f>MIN(INDEX(其他调用!$AI$5:$AI$364,MATCH($K202,其他调用!$AG$5:$AG$364,0),1)/INDEX(其他调用!AJ$5:AJ$364,MATCH($K202,其他调用!$AG$5:$AG$364,0),0),1)*INDEX(其他调用!AA$5:AA$404,MATCH($K202,其他调用!$X$5:$X$404,0),0)</f>
        <v>24441.899856641663</v>
      </c>
      <c r="X202" s="12">
        <f>MIN(INDEX(其他调用!$AI$5:$AI$364,MATCH($K202,其他调用!$AG$5:$AG$364,0),1)/INDEX(其他调用!AK$5:AK$364,MATCH($K202,其他调用!$AG$5:$AG$364,0),0),1)*INDEX(其他调用!AB$5:AB$404,MATCH($K202,其他调用!$X$5:$X$404,0),0)</f>
        <v>8922.0616720861781</v>
      </c>
      <c r="Y202" s="12">
        <f>MIN(INDEX(其他调用!$AI$5:$AI$364,MATCH($K202,其他调用!$AG$5:$AG$364,0),1)/INDEX(其他调用!AL$5:AL$364,MATCH($K202,其他调用!$AG$5:$AG$364,0),0),1)*INDEX(其他调用!AC$5:AC$404,MATCH($K202,其他调用!$X$5:$X$404,0),0)</f>
        <v>3909.088285482002</v>
      </c>
      <c r="Z202" s="12">
        <f>求节点(节奏总纲!D$4:D$163,标准城池设计!AD$4:AD$163,$K202)*求节点(节奏总纲!D$4:D$163,攻城基础信息!$AE$5:$AE$164,$K202)</f>
        <v>746343.39343136165</v>
      </c>
      <c r="AA202" s="12">
        <f>INDEX(其他调用!$AA$5:$AA$404,MATCH($K202,其他调用!$X$5:$X$404,0))*MIN(INDEX(其他调用!AJ$5:AJ$364,MATCH($K202,其他调用!$AG$5:$AG$364,0),1)/INDEX(其他调用!$AJ$5:$AJ$364,MATCH($K202,其他调用!$AG$5:$AG$364,0),0),5)*求节点(节奏总纲!D$4:D$163,攻城基础信息!$AE$5:$AE$164,$K202)</f>
        <v>144233.68885734238</v>
      </c>
      <c r="AB202" s="12">
        <f>MIN(INDEX(其他调用!$AJ$5:$AJ$364,MATCH($K202,其他调用!$AG$5:$AG$364,0),1)/INDEX(其他调用!AH$5:AH$364,MATCH($K202,其他调用!$AG$5:$AG$364,0),0),1)*INDEX(其他调用!Y$5:Y$404,MATCH($K202,其他调用!$X$5:$X$404,0),0)</f>
        <v>40044.590716539722</v>
      </c>
      <c r="AC202" s="12">
        <f>MIN(INDEX(其他调用!$AJ$5:$AJ$364,MATCH($K202,其他调用!$AG$5:$AG$364,0),1)/INDEX(其他调用!AI$5:AI$364,MATCH($K202,其他调用!$AG$5:$AG$364,0),0),1)*INDEX(其他调用!Z$5:Z$404,MATCH($K202,其他调用!$X$5:$X$404,0),0)</f>
        <v>41198.826220187933</v>
      </c>
      <c r="AD202" s="12">
        <f>MIN(INDEX(其他调用!$AJ$5:$AJ$364,MATCH($K202,其他调用!$AG$5:$AG$364,0),1)/INDEX(其他调用!AJ$5:AJ$364,MATCH($K202,其他调用!$AG$5:$AG$364,0),0),1)*INDEX(其他调用!AA$5:AA$404,MATCH($K202,其他调用!$X$5:$X$404,0),0)</f>
        <v>42720.543748918157</v>
      </c>
      <c r="AE202" s="12">
        <f>MIN(INDEX(其他调用!$AJ$5:$AJ$364,MATCH($K202,其他调用!$AG$5:$AG$364,0),1)/INDEX(其他调用!AK$5:AK$364,MATCH($K202,其他调用!$AG$5:$AG$364,0),0),1)*INDEX(其他调用!AB$5:AB$404,MATCH($K202,其他调用!$X$5:$X$404,0),0)</f>
        <v>15594.341202135771</v>
      </c>
      <c r="AF202" s="12">
        <f>MIN(INDEX(其他调用!$AJ$5:$AJ$364,MATCH($K202,其他调用!$AG$5:$AG$364,0),1)/INDEX(其他调用!AL$5:AL$364,MATCH($K202,其他调用!$AG$5:$AG$364,0),0),1)*INDEX(其他调用!AC$5:AC$404,MATCH($K202,其他调用!$X$5:$X$404,0),0)</f>
        <v>6832.4630285619323</v>
      </c>
      <c r="AG202" s="12">
        <f>求节点(节奏总纲!D$4:D$163,标准城池设计!AE$4:AE$163,$K202)*求节点(节奏总纲!D$4:D$163,攻城基础信息!$AF$5:$AF$164,$K202)</f>
        <v>892827.73397512606</v>
      </c>
      <c r="AH202" s="12">
        <f>INDEX(其他调用!$AA$5:$AA$404,MATCH($K202,其他调用!$X$5:$X$404,0))*MIN(INDEX(其他调用!AK$5:AK$364,MATCH($K202,其他调用!$AG$5:$AG$364,0),1)/INDEX(其他调用!$AJ$5:$AJ$364,MATCH($K202,其他调用!$AG$5:$AG$364,0),0),5)*求节点(节奏总纲!D$4:D$163,攻城基础信息!$AF$5:$AF$164,$K202)</f>
        <v>415373.00776489143</v>
      </c>
      <c r="AI202" s="12">
        <f>MIN(INDEX(其他调用!$AK$5:$AK$364,MATCH($K202,其他调用!$AG$5:$AG$364,0),1)/INDEX(其他调用!AH$5:AH$364,MATCH($K202,其他调用!$AG$5:$AG$364,0),0),1)*INDEX(其他调用!Y$5:Y$404,MATCH($K202,其他调用!$X$5:$X$404,0),0)</f>
        <v>40044.590716539722</v>
      </c>
      <c r="AJ202" s="12">
        <f>MIN(INDEX(其他调用!$AK$5:$AK$364,MATCH($K202,其他调用!$AG$5:$AG$364,0),1)/INDEX(其他调用!AI$5:AI$364,MATCH($K202,其他调用!$AG$5:$AG$364,0),0),1)*INDEX(其他调用!Z$5:Z$404,MATCH($K202,其他调用!$X$5:$X$404,0),0)</f>
        <v>41198.826220187933</v>
      </c>
      <c r="AK202" s="12">
        <f>MIN(INDEX(其他调用!$AK$5:$AK$364,MATCH($K202,其他调用!$AG$5:$AG$364,0),1)/INDEX(其他调用!AJ$5:AJ$364,MATCH($K202,其他调用!$AG$5:$AG$364,0),0),1)*INDEX(其他调用!AA$5:AA$404,MATCH($K202,其他调用!$X$5:$X$404,0),0)</f>
        <v>42720.543748918157</v>
      </c>
      <c r="AL202" s="12">
        <f>MIN(INDEX(其他调用!$AK$5:$AK$364,MATCH($K202,其他调用!$AG$5:$AG$364,0),1)/INDEX(其他调用!AK$5:AK$364,MATCH($K202,其他调用!$AG$5:$AG$364,0),0),1)*INDEX(其他调用!AB$5:AB$404,MATCH($K202,其他调用!$X$5:$X$404,0),0)</f>
        <v>44909.538545116156</v>
      </c>
      <c r="AM202" s="12">
        <f>MIN(INDEX(其他调用!$AK$5:$AK$364,MATCH($K202,其他调用!$AG$5:$AG$364,0),1)/INDEX(其他调用!AL$5:AL$364,MATCH($K202,其他调用!$AG$5:$AG$364,0),0),1)*INDEX(其他调用!AC$5:AC$404,MATCH($K202,其他调用!$X$5:$X$404,0),0)</f>
        <v>19676.545341797355</v>
      </c>
      <c r="AN202" s="12">
        <f>求节点(节奏总纲!D$4:D$163,标准城池设计!AF$4:AF$163,$K202)*求节点(节奏总纲!D$4:D$163,攻城基础信息!$AG$5:$AG$164,$K202)</f>
        <v>925000.17694016953</v>
      </c>
      <c r="AO202" s="12">
        <f>INDEX(其他调用!$AA$5:$AA$404,MATCH($K202,其他调用!$X$5:$X$404,0))*MIN(INDEX(其他调用!AL$5:AL$364,MATCH($K202,其他调用!$AG$5:$AG$364,0),1)/INDEX(其他调用!$AJ$5:$AJ$364,MATCH($K202,其他调用!$AG$5:$AG$364,0),0),5)*求节点(节奏总纲!D$4:D$163,攻城基础信息!$AG$5:$AG$164,$K202)</f>
        <v>721168.44428671186</v>
      </c>
      <c r="AP202" s="12">
        <f>MIN(INDEX(其他调用!$AL$5:$AL$364,MATCH($K202,其他调用!$AG$5:$AG$364,0),1)/INDEX(其他调用!AH$5:AH$364,MATCH($K202,其他调用!$AG$5:$AG$364,0),0),1)*INDEX(其他调用!Y$5:Y$404,MATCH($K202,其他调用!$X$5:$X$404,0),0)</f>
        <v>40044.590716539722</v>
      </c>
      <c r="AQ202" s="12">
        <f>MIN(INDEX(其他调用!$AL$5:$AL$364,MATCH($K202,其他调用!$AG$5:$AG$364,0),1)/INDEX(其他调用!AI$5:AI$364,MATCH($K202,其他调用!$AG$5:$AG$364,0),0),1)*INDEX(其他调用!Z$5:Z$404,MATCH($K202,其他调用!$X$5:$X$404,0),0)</f>
        <v>41198.826220187933</v>
      </c>
      <c r="AR202" s="12">
        <f>MIN(INDEX(其他调用!$AL$5:$AL$364,MATCH($K202,其他调用!$AG$5:$AG$364,0),1)/INDEX(其他调用!AJ$5:AJ$364,MATCH($K202,其他调用!$AG$5:$AG$364,0),0),1)*INDEX(其他调用!AA$5:AA$404,MATCH($K202,其他调用!$X$5:$X$404,0),0)</f>
        <v>42720.543748918157</v>
      </c>
      <c r="AS202" s="12">
        <f>MIN(INDEX(其他调用!$AL$5:$AL$364,MATCH($K202,其他调用!$AG$5:$AG$364,0),1)/INDEX(其他调用!AK$5:AK$364,MATCH($K202,其他调用!$AG$5:$AG$364,0),0),1)*INDEX(其他调用!AB$5:AB$404,MATCH($K202,其他调用!$X$5:$X$404,0),0)</f>
        <v>44909.538545116156</v>
      </c>
      <c r="AT202" s="12">
        <f>MIN(INDEX(其他调用!$AL$5:$AL$364,MATCH($K202,其他调用!$AG$5:$AG$364,0),1)/INDEX(其他调用!AL$5:AL$364,MATCH($K202,其他调用!$AG$5:$AG$364,0),0),1)*INDEX(其他调用!AC$5:AC$404,MATCH($K202,其他调用!$X$5:$X$404,0),0)</f>
        <v>48864.476664837508</v>
      </c>
      <c r="AV202" s="14">
        <f>IF(OR(AV$5="大R",AV$5="超R"),MAX(INDEX(其他调用!$H$5:$L$404,MATCH($K202,其他调用!$B$5:$B$404,0),MATCH(AV$5,其他调用!$H$4:$L$4,0))*120*0.85,2),INDEX(其他调用!$H$5:$L$404,MATCH($K202,其他调用!$B$5:$B$404,0),MATCH(AV$5,其他调用!$H$4:$L$4,0))*120*0.85)</f>
        <v>48.921801254999991</v>
      </c>
      <c r="AW202" s="14">
        <f>IF(OR(AW$5="大R",AW$5="超R"),MAX(INDEX(其他调用!$H$5:$L$404,MATCH($K202,其他调用!$B$5:$B$404,0),MATCH(AW$5,其他调用!$H$4:$L$4,0))*120*0.85,2),INDEX(其他调用!$H$5:$L$404,MATCH($K202,其他调用!$B$5:$B$404,0),MATCH(AW$5,其他调用!$H$4:$L$4,0))*120*0.85)</f>
        <v>48.237344010638395</v>
      </c>
      <c r="AX202" s="14">
        <f>IF(OR(AX$5="大R",AX$5="超R"),MAX(INDEX(其他调用!$H$5:$L$404,MATCH($K202,其他调用!$B$5:$B$404,0),MATCH(AX$5,其他调用!$H$4:$L$4,0))*120*0.85,2),INDEX(其他调用!$H$5:$L$404,MATCH($K202,其他调用!$B$5:$B$404,0),MATCH(AX$5,其他调用!$H$4:$L$4,0))*120*0.85)</f>
        <v>3.9376284143615998</v>
      </c>
      <c r="AY202" s="14">
        <f>IF(OR(AY$5="大R",AY$5="超R"),MAX(INDEX(其他调用!$H$5:$L$404,MATCH($K202,其他调用!$B$5:$B$404,0),MATCH(AY$5,其他调用!$H$4:$L$4,0))*120*0.85,2),INDEX(其他调用!$H$5:$L$404,MATCH($K202,其他调用!$B$5:$B$404,0),MATCH(AY$5,其他调用!$H$4:$L$4,0))*120*0.85)</f>
        <v>2</v>
      </c>
      <c r="AZ202" s="14">
        <f>IF(OR(AZ$5="大R",AZ$5="超R"),MAX(INDEX(其他调用!$H$5:$L$404,MATCH($K202,其他调用!$B$5:$B$404,0),MATCH(AZ$5,其他调用!$H$4:$L$4,0))*120*0.85,2),INDEX(其他调用!$H$5:$L$404,MATCH($K202,其他调用!$B$5:$B$404,0),MATCH(AZ$5,其他调用!$H$4:$L$4,0))*120*0.85)</f>
        <v>2</v>
      </c>
      <c r="BA202" s="14">
        <f>INDEX(其他调用!$H$5:$L$404,MATCH($K202,其他调用!$B$5:$B$404,0),MATCH(BA$5,其他调用!$H$4:$L$4,0))*INDEX(其他调用!$M$5:$M$404,MATCH($K202,其他调用!$B$5:$B$404,0))*0.6</f>
        <v>28.777530149999997</v>
      </c>
      <c r="BB202" s="14">
        <f>INDEX(其他调用!$H$5:$L$404,MATCH($K202,其他调用!$B$5:$B$404,0),MATCH(BB$5,其他调用!$H$4:$L$4,0))*INDEX(其他调用!$M$5:$M$404,MATCH($K202,其他调用!$B$5:$B$404,0))*0.6</f>
        <v>28.374908241551999</v>
      </c>
      <c r="BC202" s="14">
        <f>INDEX(其他调用!$H$5:$L$404,MATCH($K202,其他调用!$B$5:$B$404,0),MATCH(BC$5,其他调用!$H$4:$L$4,0))*INDEX(其他调用!$M$5:$M$404,MATCH($K202,其他调用!$B$5:$B$404,0))*0.6</f>
        <v>2.3162520084480001</v>
      </c>
      <c r="BD202" s="14">
        <f>INDEX(其他调用!$H$5:$L$404,MATCH($K202,其他调用!$B$5:$B$404,0),MATCH(BD$5,其他调用!$H$4:$L$4,0))*INDEX(其他调用!$M$5:$M$404,MATCH($K202,其他调用!$B$5:$B$404,0))*0.6</f>
        <v>0.4120776000000001</v>
      </c>
      <c r="BE202" s="14">
        <f>INDEX(其他调用!$H$5:$L$404,MATCH($K202,其他调用!$B$5:$B$404,0),MATCH(BE$5,其他调用!$H$4:$L$4,0))*INDEX(其他调用!$M$5:$M$404,MATCH($K202,其他调用!$B$5:$B$404,0))*0.6</f>
        <v>0.11923199999999998</v>
      </c>
      <c r="BF202" s="14">
        <f>IF(OR(BF$5="大R",BF$5="超R"),0,INDEX(其他调用!$H$5:$L$404,MATCH($K202,其他调用!$B$5:$B$404,0),MATCH(BF$5,其他调用!$H$4:$L$4,0))*50*0.4)</f>
        <v>9.5925100500000013</v>
      </c>
      <c r="BG202" s="14">
        <f>IF(OR(BG$5="大R",BG$5="超R"),0,INDEX(其他调用!$H$5:$L$404,MATCH($K202,其他调用!$B$5:$B$404,0),MATCH(BG$5,其他调用!$H$4:$L$4,0))*50*0.4)</f>
        <v>9.4583027471839998</v>
      </c>
      <c r="BH202" s="14">
        <f>IF(OR(BH$5="大R",BH$5="超R"),0,INDEX(其他调用!$H$5:$L$404,MATCH($K202,其他调用!$B$5:$B$404,0),MATCH(BH$5,其他调用!$H$4:$L$4,0))*50*0.4)</f>
        <v>0.77208400281600009</v>
      </c>
      <c r="BI202" s="14">
        <f>IF(OR(BI$5="大R",BI$5="超R"),0,INDEX(其他调用!$H$5:$L$404,MATCH($K202,其他调用!$B$5:$B$404,0),MATCH(BI$5,其他调用!$H$4:$L$4,0))*50*0.4)</f>
        <v>0</v>
      </c>
      <c r="BJ202" s="14">
        <f>IF(OR(BJ$5="大R",BJ$5="超R"),0,INDEX(其他调用!$H$5:$L$404,MATCH($K202,其他调用!$B$5:$B$404,0),MATCH(BJ$5,其他调用!$H$4:$L$4,0))*50*0.4)</f>
        <v>0</v>
      </c>
      <c r="BL202" s="14">
        <f t="shared" si="418"/>
        <v>197</v>
      </c>
      <c r="BM202" s="14">
        <f t="shared" si="325"/>
        <v>96</v>
      </c>
      <c r="BN202" s="14">
        <f>('疲劳值&amp;地图信息'!$S$10*'疲劳值&amp;地图信息'!$R$10+'疲劳值&amp;地图信息'!$S$11*'疲劳值&amp;地图信息'!$R$11+'疲劳值&amp;地图信息'!$S$12*'疲劳值&amp;地图信息'!$R$12+(BM202-'疲劳值&amp;地图信息'!$S$12-'疲劳值&amp;地图信息'!$S$11-'疲劳值&amp;地图信息'!$S$10)*'疲劳值&amp;地图信息'!$R$13)/BM202</f>
        <v>51.371477246638619</v>
      </c>
      <c r="BO202" s="14">
        <f>INDEX(其他调用!$M$5:$M$404,MATCH(BL202,其他调用!$B$5:$B$404,0))*0.6</f>
        <v>60</v>
      </c>
      <c r="BP202" s="14">
        <f>IF(BO202&gt;SUM('疲劳值&amp;地图信息'!$S$10:$S$12),('疲劳值&amp;地图信息'!$S$10*'疲劳值&amp;地图信息'!$R$10+'疲劳值&amp;地图信息'!$S$11*'疲劳值&amp;地图信息'!$R$11+'疲劳值&amp;地图信息'!$S$12*'疲劳值&amp;地图信息'!$R$12+(BO202-'疲劳值&amp;地图信息'!$S$12-'疲劳值&amp;地图信息'!$S$11-'疲劳值&amp;地图信息'!$S$10)*'疲劳值&amp;地图信息'!$R$13)/BO202,('疲劳值&amp;地图信息'!$S$10*'疲劳值&amp;地图信息'!$R$10+'疲劳值&amp;地图信息'!$S$11*'疲劳值&amp;地图信息'!$R$11+'疲劳值&amp;地图信息'!$S$12*'疲劳值&amp;地图信息'!$R$12+(BO202-'疲劳值&amp;地图信息'!$S$12-'疲劳值&amp;地图信息'!$S$11-'疲劳值&amp;地图信息'!$S$10)*'疲劳值&amp;地图信息'!$R$13)/BO202)</f>
        <v>44.158136341605953</v>
      </c>
      <c r="BQ202" s="14">
        <f t="shared" si="419"/>
        <v>20</v>
      </c>
      <c r="BR202" s="14">
        <f>('疲劳值&amp;地图信息'!$S$10*'疲劳值&amp;地图信息'!$R$10+($BQ202-'疲劳值&amp;地图信息'!$S$10)*'疲劳值&amp;地图信息'!$R$11)/$BQ202</f>
        <v>32.067203015074995</v>
      </c>
      <c r="CF202" s="14">
        <v>197</v>
      </c>
      <c r="CG202" s="51">
        <f t="shared" si="326"/>
        <v>13283</v>
      </c>
      <c r="CH202" s="51">
        <f t="shared" si="327"/>
        <v>1046</v>
      </c>
      <c r="CI202" s="51">
        <f>INT(SUMPRODUCT($N202:$R202,$BA202:$BE202)/SUM($BA202:$BE202)/10000*$BX$7*$BZ$34/'疲劳值&amp;地图信息'!$R$10*$BY$53)</f>
        <v>3243</v>
      </c>
      <c r="CJ202" s="50">
        <f t="shared" si="328"/>
        <v>0.75591850671522876</v>
      </c>
      <c r="CK202" s="50">
        <f t="shared" si="329"/>
        <v>5.9526519462781695E-2</v>
      </c>
      <c r="CL202" s="50">
        <f t="shared" si="330"/>
        <v>0.18455497382198952</v>
      </c>
      <c r="CM202" s="14">
        <f t="shared" si="331"/>
        <v>14139</v>
      </c>
      <c r="CN202" s="14">
        <f t="shared" si="332"/>
        <v>1681</v>
      </c>
      <c r="CO202" s="14">
        <f>INT(SUMPRODUCT($U202:$Y202,$BA202:$BE202)/SUM($BA202:$BE202)/10000*$BX$7*$BZ$34/'疲劳值&amp;地图信息'!$R$10*$BY$54)</f>
        <v>6042</v>
      </c>
      <c r="CP202" s="50">
        <f t="shared" si="333"/>
        <v>0.64673863324489977</v>
      </c>
      <c r="CQ202" s="50">
        <f t="shared" si="334"/>
        <v>7.6891409752081238E-2</v>
      </c>
      <c r="CR202" s="50">
        <f t="shared" si="335"/>
        <v>0.27636995700301892</v>
      </c>
      <c r="CS202" s="14">
        <f t="shared" si="336"/>
        <v>15211</v>
      </c>
      <c r="CT202" s="14">
        <f t="shared" si="337"/>
        <v>2939</v>
      </c>
      <c r="CU202" s="14">
        <f>INT(SUMPRODUCT($AB202:$AF202,$BA202:$BE202)/SUM($BA202:$BE202)/10000*$BX$7*$BZ$34/'疲劳值&amp;地图信息'!$R$10*$BY$55)</f>
        <v>8210</v>
      </c>
      <c r="CV202" s="50">
        <f t="shared" si="338"/>
        <v>0.57704855842185132</v>
      </c>
      <c r="CW202" s="50">
        <f t="shared" si="339"/>
        <v>0.11149468892261001</v>
      </c>
      <c r="CX202" s="50">
        <f t="shared" si="340"/>
        <v>0.31145675265553868</v>
      </c>
      <c r="CY202" s="14">
        <f t="shared" si="341"/>
        <v>18196</v>
      </c>
      <c r="CZ202" s="14">
        <f t="shared" si="342"/>
        <v>8465</v>
      </c>
      <c r="DA202" s="14">
        <f>INT(SUMPRODUCT($AI202:$AM202,$BA202:$BE202)/SUM($BA202:$BE202)/10000*$BX$7*$BZ$34/'疲劳值&amp;地图信息'!$R$10*$BY$56)</f>
        <v>12385</v>
      </c>
      <c r="DB202" s="50">
        <f t="shared" si="343"/>
        <v>0.46601444450135737</v>
      </c>
      <c r="DC202" s="50">
        <f t="shared" si="344"/>
        <v>0.21679557445064795</v>
      </c>
      <c r="DD202" s="50">
        <f t="shared" si="345"/>
        <v>0.31718998104799467</v>
      </c>
      <c r="DE202" s="14">
        <f t="shared" si="346"/>
        <v>18852</v>
      </c>
      <c r="DF202" s="14">
        <f t="shared" si="347"/>
        <v>14698</v>
      </c>
      <c r="DG202" s="14">
        <f>INT(SUMPRODUCT($AP202:$AT202,$BA202:$BE202)/SUM($BA202:$BE202)/10000*$BX$7*$BZ$34/'疲劳值&amp;地图信息'!$R$10*$BY$57)</f>
        <v>16537</v>
      </c>
      <c r="DH202" s="50">
        <f t="shared" si="348"/>
        <v>0.37638508994349829</v>
      </c>
      <c r="DI202" s="50">
        <f t="shared" si="349"/>
        <v>0.2934493980473975</v>
      </c>
      <c r="DJ202" s="50">
        <f t="shared" si="350"/>
        <v>0.33016551200910416</v>
      </c>
      <c r="DL202" s="14">
        <f t="shared" si="316"/>
        <v>17572</v>
      </c>
      <c r="DM202" s="14">
        <f t="shared" si="317"/>
        <v>21862</v>
      </c>
      <c r="DN202" s="14">
        <f t="shared" si="318"/>
        <v>26360</v>
      </c>
      <c r="DO202" s="14">
        <f t="shared" si="319"/>
        <v>39046</v>
      </c>
      <c r="DP202" s="14">
        <f t="shared" si="320"/>
        <v>50087</v>
      </c>
      <c r="DQ202" s="14">
        <f t="shared" si="321"/>
        <v>1209129</v>
      </c>
      <c r="DT202" s="14">
        <f t="shared" si="315"/>
        <v>235575</v>
      </c>
      <c r="DU202" s="50">
        <f t="shared" si="322"/>
        <v>0.16306108379294304</v>
      </c>
      <c r="DW202" s="14">
        <f t="shared" si="351"/>
        <v>1444704</v>
      </c>
      <c r="EB202" s="14">
        <v>197</v>
      </c>
      <c r="EC202" s="51">
        <f t="shared" si="352"/>
        <v>22139</v>
      </c>
      <c r="ED202" s="51">
        <f t="shared" si="353"/>
        <v>1744</v>
      </c>
      <c r="EE202" s="51">
        <f>INT(SUMPRODUCT($N202:$R202,$BF202:$BJ202)/SUM($BF202:$BJ202)/10000*$BX$7*$BZ$46/'疲劳值&amp;地图信息'!$R$10*$BY$53)</f>
        <v>435</v>
      </c>
      <c r="EF202" s="50">
        <f t="shared" si="354"/>
        <v>0.91039559174274198</v>
      </c>
      <c r="EG202" s="50">
        <f t="shared" si="355"/>
        <v>7.1716424048030261E-2</v>
      </c>
      <c r="EH202" s="50">
        <f t="shared" si="356"/>
        <v>1.7887984209227731E-2</v>
      </c>
      <c r="EI202" s="51">
        <f t="shared" si="357"/>
        <v>23566</v>
      </c>
      <c r="EJ202" s="51">
        <f t="shared" si="358"/>
        <v>2803</v>
      </c>
      <c r="EK202" s="14">
        <f>INT(SUMPRODUCT($U202:$Y202,$BF202:$BJ202)/SUM($BF202:$BJ202)/10000*$BX$7*$BZ$46/'疲劳值&amp;地图信息'!$R$10*$BY$54)</f>
        <v>811</v>
      </c>
      <c r="EL202" s="50">
        <f t="shared" si="359"/>
        <v>0.86703458425312729</v>
      </c>
      <c r="EM202" s="50">
        <f t="shared" si="360"/>
        <v>0.10312729948491538</v>
      </c>
      <c r="EN202" s="50">
        <f t="shared" si="361"/>
        <v>2.9838116261957322E-2</v>
      </c>
      <c r="EO202" s="51">
        <f t="shared" si="362"/>
        <v>25352</v>
      </c>
      <c r="EP202" s="51">
        <f t="shared" si="363"/>
        <v>4899</v>
      </c>
      <c r="EQ202" s="14">
        <f>INT(SUMPRODUCT($AB202:$AF202,$BF202:$BJ202)/SUM($BF202:$BJ202)/10000*$BX$7*$BZ$46/'疲劳值&amp;地图信息'!$R$10*$BY$55)</f>
        <v>1101</v>
      </c>
      <c r="ER202" s="50">
        <f t="shared" si="364"/>
        <v>0.80862464914519006</v>
      </c>
      <c r="ES202" s="50">
        <f t="shared" si="365"/>
        <v>0.1562579739729523</v>
      </c>
      <c r="ET202" s="50">
        <f t="shared" si="366"/>
        <v>3.5117376881857613E-2</v>
      </c>
      <c r="EU202" s="51">
        <f t="shared" si="367"/>
        <v>30328</v>
      </c>
      <c r="EV202" s="51">
        <f t="shared" si="368"/>
        <v>14109</v>
      </c>
      <c r="EW202" s="14">
        <f>INT(SUMPRODUCT($AI202:$AM202,$BF202:$BJ202)/SUM($BF202:$BJ202)/10000*$BX$7*$BZ$46/'疲劳值&amp;地图信息'!$R$10*$BY$56)</f>
        <v>1651</v>
      </c>
      <c r="EX202" s="50">
        <f t="shared" si="369"/>
        <v>0.65804547821558756</v>
      </c>
      <c r="EY202" s="50">
        <f t="shared" si="370"/>
        <v>0.30613174796042353</v>
      </c>
      <c r="EZ202" s="50">
        <f t="shared" si="371"/>
        <v>3.5822773823988893E-2</v>
      </c>
      <c r="FA202" s="51">
        <f t="shared" si="372"/>
        <v>31421</v>
      </c>
      <c r="FB202" s="51">
        <f t="shared" si="373"/>
        <v>24497</v>
      </c>
      <c r="FC202" s="14">
        <f>INT(SUMPRODUCT($AP202:$AT202,$BF202:$BJ202)/SUM($BF202:$BJ202)/10000*$BX$7*$BZ$46/'疲劳值&amp;地图信息'!$R$10*$BY$57)</f>
        <v>2202</v>
      </c>
      <c r="FD202" s="50">
        <f t="shared" si="374"/>
        <v>0.54062284927735715</v>
      </c>
      <c r="FE202" s="50">
        <f t="shared" si="375"/>
        <v>0.42149002064693736</v>
      </c>
      <c r="FF202" s="50">
        <f t="shared" si="376"/>
        <v>3.788713007570544E-2</v>
      </c>
      <c r="FH202" s="14">
        <f t="shared" si="377"/>
        <v>24318</v>
      </c>
      <c r="FI202" s="14">
        <f t="shared" si="378"/>
        <v>27180</v>
      </c>
      <c r="FJ202" s="14">
        <f t="shared" si="379"/>
        <v>31352</v>
      </c>
      <c r="FK202" s="14">
        <f t="shared" si="380"/>
        <v>46088</v>
      </c>
      <c r="FL202" s="14">
        <f t="shared" si="381"/>
        <v>58120</v>
      </c>
      <c r="FM202" s="14">
        <f t="shared" si="382"/>
        <v>2832639</v>
      </c>
      <c r="FP202" s="14">
        <f t="shared" si="383"/>
        <v>334150</v>
      </c>
      <c r="FQ202" s="50">
        <f t="shared" si="323"/>
        <v>0.10551697634417702</v>
      </c>
      <c r="FS202" s="14">
        <f t="shared" si="384"/>
        <v>3166789</v>
      </c>
      <c r="FX202" s="14">
        <v>197</v>
      </c>
      <c r="FY202" s="51">
        <f t="shared" si="385"/>
        <v>30995</v>
      </c>
      <c r="FZ202" s="51">
        <f t="shared" si="386"/>
        <v>1744</v>
      </c>
      <c r="GA202" s="51">
        <f>INT(SUMPRODUCT($N202:$R202,$BF202:$BJ202)/SUM($BF202:$BJ202)/10000*$BX$7*$BZ$46/'疲劳值&amp;地图信息'!$R$10*$BY$53)</f>
        <v>435</v>
      </c>
      <c r="GB202" s="50">
        <f t="shared" si="387"/>
        <v>0.93431603062639412</v>
      </c>
      <c r="GC202" s="50">
        <f t="shared" si="388"/>
        <v>5.2571290769880027E-2</v>
      </c>
      <c r="GD202" s="50">
        <f t="shared" si="389"/>
        <v>1.311267860372581E-2</v>
      </c>
      <c r="GE202" s="51">
        <f t="shared" si="390"/>
        <v>32992</v>
      </c>
      <c r="GF202" s="51">
        <f t="shared" si="391"/>
        <v>2803</v>
      </c>
      <c r="GG202" s="14">
        <f>INT(SUMPRODUCT($U202:$Y202,$BF202:$BJ202)/SUM($BF202:$BJ202)/10000*$BX$7*$BZ$46/'疲劳值&amp;地图信息'!$R$10*$BY$54)</f>
        <v>811</v>
      </c>
      <c r="GH202" s="50">
        <f t="shared" si="392"/>
        <v>0.90127301535267446</v>
      </c>
      <c r="GI202" s="50">
        <f t="shared" si="393"/>
        <v>7.657214664262689E-2</v>
      </c>
      <c r="GJ202" s="50">
        <f t="shared" si="394"/>
        <v>2.2154838004698682E-2</v>
      </c>
      <c r="GK202" s="51">
        <f t="shared" si="395"/>
        <v>35493</v>
      </c>
      <c r="GL202" s="51">
        <f t="shared" si="396"/>
        <v>4899</v>
      </c>
      <c r="GM202" s="14">
        <f>INT(SUMPRODUCT($AB202:$AF202,$BF202:$BJ202)/SUM($BF202:$BJ202)/10000*$BX$7*$BZ$46/'疲劳值&amp;地图信息'!$R$10*$BY$55)</f>
        <v>1101</v>
      </c>
      <c r="GN202" s="50">
        <f t="shared" si="397"/>
        <v>0.85539729592943392</v>
      </c>
      <c r="GO202" s="50">
        <f t="shared" si="398"/>
        <v>0.11806810787361724</v>
      </c>
      <c r="GP202" s="50">
        <f t="shared" si="399"/>
        <v>2.6534596196948881E-2</v>
      </c>
      <c r="GQ202" s="51">
        <f t="shared" si="400"/>
        <v>42459</v>
      </c>
      <c r="GR202" s="51">
        <f t="shared" si="401"/>
        <v>14109</v>
      </c>
      <c r="GS202" s="14">
        <f>INT(SUMPRODUCT($AI202:$AM202,$BF202:$BJ202)/SUM($BF202:$BJ202)/10000*$BX$7*$BZ$46/'疲劳值&amp;地图信息'!$R$10*$BY$56)</f>
        <v>1651</v>
      </c>
      <c r="GT202" s="50">
        <f t="shared" si="402"/>
        <v>0.72929799549975094</v>
      </c>
      <c r="GU202" s="50">
        <f t="shared" si="403"/>
        <v>0.24234356481561004</v>
      </c>
      <c r="GV202" s="50">
        <f t="shared" si="404"/>
        <v>2.8358439684639036E-2</v>
      </c>
      <c r="GW202" s="51">
        <f t="shared" si="405"/>
        <v>43989</v>
      </c>
      <c r="GX202" s="51">
        <f t="shared" si="406"/>
        <v>24497</v>
      </c>
      <c r="GY202" s="14">
        <f>INT(SUMPRODUCT($AP202:$AT202,$BF202:$BJ202)/SUM($BF202:$BJ202)/10000*$BX$7*$BZ$46/'疲劳值&amp;地图信息'!$R$10*$BY$57)</f>
        <v>2202</v>
      </c>
      <c r="GZ202" s="50">
        <f t="shared" si="407"/>
        <v>0.62229798551380711</v>
      </c>
      <c r="HA202" s="50">
        <f t="shared" si="408"/>
        <v>0.34655104119511093</v>
      </c>
      <c r="HB202" s="50">
        <f t="shared" si="409"/>
        <v>3.1150973291081938E-2</v>
      </c>
      <c r="HD202" s="14">
        <f t="shared" si="410"/>
        <v>33174</v>
      </c>
      <c r="HE202" s="14">
        <f t="shared" si="411"/>
        <v>36606</v>
      </c>
      <c r="HF202" s="14">
        <f t="shared" si="412"/>
        <v>41493</v>
      </c>
      <c r="HG202" s="14">
        <f t="shared" si="413"/>
        <v>58219</v>
      </c>
      <c r="HH202" s="14">
        <f t="shared" si="414"/>
        <v>70688</v>
      </c>
      <c r="HI202" s="14">
        <f t="shared" si="415"/>
        <v>3809906</v>
      </c>
      <c r="HL202" s="14">
        <f t="shared" si="416"/>
        <v>430050</v>
      </c>
      <c r="HM202" s="50">
        <f t="shared" si="324"/>
        <v>0.10142793934654039</v>
      </c>
      <c r="HO202" s="14">
        <f t="shared" si="417"/>
        <v>4239956</v>
      </c>
    </row>
    <row r="203" spans="11:223" x14ac:dyDescent="0.2">
      <c r="K203" s="14">
        <v>198</v>
      </c>
      <c r="L203" s="12">
        <f>求节点(节奏总纲!D$4:D$163,标准城池设计!AB$4:AB$163,$K203)*求节点(节奏总纲!D$4:D$163,攻城基础信息!$AC$5:$AC$164,$K203)</f>
        <v>653152.78343990084</v>
      </c>
      <c r="M203" s="12">
        <f>INDEX(其他调用!$AA$5:$AA$404,MATCH(K203,其他调用!$X$5:$X$404,0))*MIN(INDEX(其他调用!$AH$5:$AH$364,MATCH('征服点（新）'!K203,其他调用!$AG$5:$AG$364,0),1)/INDEX(其他调用!$AJ$5:$AJ$364,MATCH(K203,其他调用!$AG$5:$AG$364,0),0),5)*求节点(节奏总纲!D$4:D$163,攻城基础信息!$AC$5:$AC$164,$K203)</f>
        <v>51493.470207548016</v>
      </c>
      <c r="N203" s="12">
        <f>MIN(INDEX(其他调用!$AH$5:$AH$364,MATCH($K203,其他调用!$AG$5:$AG$364,0),1)/INDEX(其他调用!AH$5:AH$364,MATCH($K203,其他调用!$AG$5:$AG$364,0),0),1)*INDEX(其他调用!Y$5:Y$404,MATCH($K203,其他调用!$X$5:$X$404,0),0)</f>
        <v>40074.036029997733</v>
      </c>
      <c r="O203" s="12">
        <f>MIN(INDEX(其他调用!$AH$5:$AH$364,MATCH($K203,其他调用!$AG$5:$AG$364,0),1)/INDEX(其他调用!AI$5:AI$364,MATCH($K203,其他调用!$AG$5:$AG$364,0),0),1)*INDEX(其他调用!Z$5:Z$404,MATCH($K203,其他调用!$X$5:$X$404,0),0)</f>
        <v>25687.346292352551</v>
      </c>
      <c r="P203" s="12">
        <f>MIN(INDEX(其他调用!$AH$5:$AH$364,MATCH($K203,其他调用!$AG$5:$AG$364,0),1)/INDEX(其他调用!AJ$5:AJ$364,MATCH($K203,其他调用!$AG$5:$AG$364,0),0),1)*INDEX(其他调用!AA$5:AA$404,MATCH($K203,其他调用!$X$5:$X$404,0),0)</f>
        <v>15241.03315974255</v>
      </c>
      <c r="Q203" s="12">
        <f>MIN(INDEX(其他调用!$AH$5:$AH$364,MATCH($K203,其他调用!$AG$5:$AG$364,0),1)/INDEX(其他调用!AK$5:AK$364,MATCH($K203,其他调用!$AG$5:$AG$364,0),0),1)*INDEX(其他调用!AB$5:AB$404,MATCH($K203,其他调用!$X$5:$X$404,0),0)</f>
        <v>5563.1487709554913</v>
      </c>
      <c r="R203" s="12">
        <f>MIN(INDEX(其他调用!$AH$5:$AH$364,MATCH($K203,其他调用!$AG$5:$AG$364,0),1)/INDEX(其他调用!AL$5:AL$364,MATCH($K203,其他调用!$AG$5:$AG$364,0),0),1)*INDEX(其他调用!AC$5:AC$404,MATCH($K203,其他调用!$X$5:$X$404,0),0)</f>
        <v>2446.5618227142322</v>
      </c>
      <c r="S203" s="12">
        <f>求节点(节奏总纲!D$4:D$163,标准城池设计!AC$4:AC$163,$K203)*求节点(节奏总纲!D$4:D$163,攻城基础信息!$AD$5:$AD$164,$K203)</f>
        <v>695247.68961192865</v>
      </c>
      <c r="T203" s="12">
        <f>INDEX(其他调用!$AA$5:$AA$404,MATCH($K203,其他调用!$X$5:$X$404,0))*MIN(INDEX(其他调用!AI$5:AI$364,MATCH($K203,其他调用!$AG$5:$AG$364,0),1)/INDEX(其他调用!$AJ$5:$AJ$364,MATCH($K203,其他调用!$AG$5:$AG$364,0),0),5)*求节点(节奏总纲!D$4:D$163,攻城基础信息!$AD$5:$AD$164,$K203)</f>
        <v>82644.981457222704</v>
      </c>
      <c r="U203" s="12">
        <f>MIN(INDEX(其他调用!$AI$5:$AI$364,MATCH($K203,其他调用!$AG$5:$AG$364,0),1)/INDEX(其他调用!AH$5:AH$364,MATCH($K203,其他调用!$AG$5:$AG$364,0),0),1)*INDEX(其他调用!Y$5:Y$404,MATCH($K203,其他调用!$X$5:$X$404,0),0)</f>
        <v>40074.036029997733</v>
      </c>
      <c r="V203" s="12">
        <f>MIN(INDEX(其他调用!$AI$5:$AI$364,MATCH($K203,其他调用!$AG$5:$AG$364,0),1)/INDEX(其他调用!AI$5:AI$364,MATCH($K203,其他调用!$AG$5:$AG$364,0),0),1)*INDEX(其他调用!Z$5:Z$404,MATCH($K203,其他调用!$X$5:$X$404,0),0)</f>
        <v>41227.174037020945</v>
      </c>
      <c r="W203" s="12">
        <f>MIN(INDEX(其他调用!$AI$5:$AI$364,MATCH($K203,其他调用!$AG$5:$AG$364,0),1)/INDEX(其他调用!AJ$5:AJ$364,MATCH($K203,其他调用!$AG$5:$AG$364,0),0),1)*INDEX(其他调用!AA$5:AA$404,MATCH($K203,其他调用!$X$5:$X$404,0),0)</f>
        <v>24461.254947451678</v>
      </c>
      <c r="X203" s="12">
        <f>MIN(INDEX(其他调用!$AI$5:$AI$364,MATCH($K203,其他调用!$AG$5:$AG$364,0),1)/INDEX(其他调用!AK$5:AK$364,MATCH($K203,其他调用!$AG$5:$AG$364,0),0),1)*INDEX(其他调用!AB$5:AB$404,MATCH($K203,其他调用!$X$5:$X$404,0),0)</f>
        <v>8928.63357560226</v>
      </c>
      <c r="Y203" s="12">
        <f>MIN(INDEX(其他调用!$AI$5:$AI$364,MATCH($K203,其他调用!$AG$5:$AG$364,0),1)/INDEX(其他调用!AL$5:AL$364,MATCH($K203,其他调用!$AG$5:$AG$364,0),0),1)*INDEX(其他调用!AC$5:AC$404,MATCH($K203,其他调用!$X$5:$X$404,0),0)</f>
        <v>3926.6348851068192</v>
      </c>
      <c r="Z203" s="12">
        <f>求节点(节奏总纲!D$4:D$163,标准城池设计!AD$4:AD$163,$K203)*求节点(节奏总纲!D$4:D$163,攻城基础信息!$AE$5:$AE$164,$K203)</f>
        <v>748498.22965197219</v>
      </c>
      <c r="AA203" s="12">
        <f>INDEX(其他调用!$AA$5:$AA$404,MATCH($K203,其他调用!$X$5:$X$404,0))*MIN(INDEX(其他调用!AJ$5:AJ$364,MATCH($K203,其他调用!$AG$5:$AG$364,0),1)/INDEX(其他调用!$AJ$5:$AJ$364,MATCH($K203,其他调用!$AG$5:$AG$364,0),0),5)*求节点(节奏总纲!D$4:D$163,攻城基础信息!$AE$5:$AE$164,$K203)</f>
        <v>144432.76321896378</v>
      </c>
      <c r="AB203" s="12">
        <f>MIN(INDEX(其他调用!$AJ$5:$AJ$364,MATCH($K203,其他调用!$AG$5:$AG$364,0),1)/INDEX(其他调用!AH$5:AH$364,MATCH($K203,其他调用!$AG$5:$AG$364,0),0),1)*INDEX(其他调用!Y$5:Y$404,MATCH($K203,其他调用!$X$5:$X$404,0),0)</f>
        <v>40074.036029997733</v>
      </c>
      <c r="AC203" s="12">
        <f>MIN(INDEX(其他调用!$AJ$5:$AJ$364,MATCH($K203,其他调用!$AG$5:$AG$364,0),1)/INDEX(其他调用!AI$5:AI$364,MATCH($K203,其他调用!$AG$5:$AG$364,0),0),1)*INDEX(其他调用!Z$5:Z$404,MATCH($K203,其他调用!$X$5:$X$404,0),0)</f>
        <v>41227.174037020945</v>
      </c>
      <c r="AD203" s="12">
        <f>MIN(INDEX(其他调用!$AJ$5:$AJ$364,MATCH($K203,其他调用!$AG$5:$AG$364,0),1)/INDEX(其他调用!AJ$5:AJ$364,MATCH($K203,其他调用!$AG$5:$AG$364,0),0),1)*INDEX(其他调用!AA$5:AA$404,MATCH($K203,其他调用!$X$5:$X$404,0),0)</f>
        <v>42749.197610900177</v>
      </c>
      <c r="AE203" s="12">
        <f>MIN(INDEX(其他调用!$AJ$5:$AJ$364,MATCH($K203,其他调用!$AG$5:$AG$364,0),1)/INDEX(其他调用!AK$5:AK$364,MATCH($K203,其他调用!$AG$5:$AG$364,0),0),1)*INDEX(其他调用!AB$5:AB$404,MATCH($K203,其他调用!$X$5:$X$404,0),0)</f>
        <v>15603.938634330088</v>
      </c>
      <c r="AF203" s="12">
        <f>MIN(INDEX(其他调用!$AJ$5:$AJ$364,MATCH($K203,其他调用!$AG$5:$AG$364,0),1)/INDEX(其他调用!AL$5:AL$364,MATCH($K203,其他调用!$AG$5:$AG$364,0),0),1)*INDEX(其他调用!AC$5:AC$404,MATCH($K203,其他调用!$X$5:$X$404,0),0)</f>
        <v>6862.3008512804472</v>
      </c>
      <c r="AG203" s="12">
        <f>求节点(节奏总纲!D$4:D$163,标准城池设计!AE$4:AE$163,$K203)*求节点(节奏总纲!D$4:D$163,攻城基础信息!$AF$5:$AF$164,$K203)</f>
        <v>895460.66507758445</v>
      </c>
      <c r="AH203" s="12">
        <f>INDEX(其他调用!$AA$5:$AA$404,MATCH($K203,其他调用!$X$5:$X$404,0))*MIN(INDEX(其他调用!AK$5:AK$364,MATCH($K203,其他调用!$AG$5:$AG$364,0),1)/INDEX(其他调用!$AJ$5:$AJ$364,MATCH($K203,其他调用!$AG$5:$AG$364,0),0),5)*求节点(节奏总纲!D$4:D$163,攻城基础信息!$AF$5:$AF$164,$K203)</f>
        <v>415970.18799338804</v>
      </c>
      <c r="AI203" s="12">
        <f>MIN(INDEX(其他调用!$AK$5:$AK$364,MATCH($K203,其他调用!$AG$5:$AG$364,0),1)/INDEX(其他调用!AH$5:AH$364,MATCH($K203,其他调用!$AG$5:$AG$364,0),0),1)*INDEX(其他调用!Y$5:Y$404,MATCH($K203,其他调用!$X$5:$X$404,0),0)</f>
        <v>40074.036029997733</v>
      </c>
      <c r="AJ203" s="12">
        <f>MIN(INDEX(其他调用!$AK$5:$AK$364,MATCH($K203,其他调用!$AG$5:$AG$364,0),1)/INDEX(其他调用!AI$5:AI$364,MATCH($K203,其他调用!$AG$5:$AG$364,0),0),1)*INDEX(其他调用!Z$5:Z$404,MATCH($K203,其他调用!$X$5:$X$404,0),0)</f>
        <v>41227.174037020945</v>
      </c>
      <c r="AK203" s="12">
        <f>MIN(INDEX(其他调用!$AK$5:$AK$364,MATCH($K203,其他调用!$AG$5:$AG$364,0),1)/INDEX(其他调用!AJ$5:AJ$364,MATCH($K203,其他调用!$AG$5:$AG$364,0),0),1)*INDEX(其他调用!AA$5:AA$404,MATCH($K203,其他调用!$X$5:$X$404,0),0)</f>
        <v>42749.197610900177</v>
      </c>
      <c r="AL203" s="12">
        <f>MIN(INDEX(其他调用!$AK$5:$AK$364,MATCH($K203,其他调用!$AG$5:$AG$364,0),1)/INDEX(其他调用!AK$5:AK$364,MATCH($K203,其他调用!$AG$5:$AG$364,0),0),1)*INDEX(其他调用!AB$5:AB$404,MATCH($K203,其他调用!$X$5:$X$404,0),0)</f>
        <v>44939.757036423915</v>
      </c>
      <c r="AM203" s="12">
        <f>MIN(INDEX(其他调用!$AK$5:$AK$364,MATCH($K203,其他调用!$AG$5:$AG$364,0),1)/INDEX(其他调用!AL$5:AL$364,MATCH($K203,其他调用!$AG$5:$AG$364,0),0),1)*INDEX(其他调用!AC$5:AC$404,MATCH($K203,其他调用!$X$5:$X$404,0),0)</f>
        <v>19763.608419280878</v>
      </c>
      <c r="AN203" s="12">
        <f>求节点(节奏总纲!D$4:D$163,标准城池设计!AF$4:AF$163,$K203)*求节点(节奏总纲!D$4:D$163,攻城基础信息!$AG$5:$AG$164,$K203)</f>
        <v>928189.40109427623</v>
      </c>
      <c r="AO203" s="12">
        <f>INDEX(其他调用!$AA$5:$AA$404,MATCH($K203,其他调用!$X$5:$X$404,0))*MIN(INDEX(其他调用!AL$5:AL$364,MATCH($K203,其他调用!$AG$5:$AG$364,0),1)/INDEX(其他调用!$AJ$5:$AJ$364,MATCH($K203,其他调用!$AG$5:$AG$364,0),0),5)*求节点(节奏总纲!D$4:D$163,攻城基础信息!$AG$5:$AG$164,$K203)</f>
        <v>722163.81609481887</v>
      </c>
      <c r="AP203" s="12">
        <f>MIN(INDEX(其他调用!$AL$5:$AL$364,MATCH($K203,其他调用!$AG$5:$AG$364,0),1)/INDEX(其他调用!AH$5:AH$364,MATCH($K203,其他调用!$AG$5:$AG$364,0),0),1)*INDEX(其他调用!Y$5:Y$404,MATCH($K203,其他调用!$X$5:$X$404,0),0)</f>
        <v>40074.036029997733</v>
      </c>
      <c r="AQ203" s="12">
        <f>MIN(INDEX(其他调用!$AL$5:$AL$364,MATCH($K203,其他调用!$AG$5:$AG$364,0),1)/INDEX(其他调用!AI$5:AI$364,MATCH($K203,其他调用!$AG$5:$AG$364,0),0),1)*INDEX(其他调用!Z$5:Z$404,MATCH($K203,其他调用!$X$5:$X$404,0),0)</f>
        <v>41227.174037020945</v>
      </c>
      <c r="AR203" s="12">
        <f>MIN(INDEX(其他调用!$AL$5:$AL$364,MATCH($K203,其他调用!$AG$5:$AG$364,0),1)/INDEX(其他调用!AJ$5:AJ$364,MATCH($K203,其他调用!$AG$5:$AG$364,0),0),1)*INDEX(其他调用!AA$5:AA$404,MATCH($K203,其他调用!$X$5:$X$404,0),0)</f>
        <v>42749.197610900177</v>
      </c>
      <c r="AS203" s="12">
        <f>MIN(INDEX(其他调用!$AL$5:$AL$364,MATCH($K203,其他调用!$AG$5:$AG$364,0),1)/INDEX(其他调用!AK$5:AK$364,MATCH($K203,其他调用!$AG$5:$AG$364,0),0),1)*INDEX(其他调用!AB$5:AB$404,MATCH($K203,其他调用!$X$5:$X$404,0),0)</f>
        <v>44939.757036423915</v>
      </c>
      <c r="AT203" s="12">
        <f>MIN(INDEX(其他调用!$AL$5:$AL$364,MATCH($K203,其他调用!$AG$5:$AG$364,0),1)/INDEX(其他调用!AL$5:AL$364,MATCH($K203,其他调用!$AG$5:$AG$364,0),0),1)*INDEX(其他调用!AC$5:AC$404,MATCH($K203,其他调用!$X$5:$X$404,0),0)</f>
        <v>48893.717309154097</v>
      </c>
      <c r="AV203" s="14">
        <f>IF(OR(AV$5="大R",AV$5="超R"),MAX(INDEX(其他调用!$H$5:$L$404,MATCH($K203,其他调用!$B$5:$B$404,0),MATCH(AV$5,其他调用!$H$4:$L$4,0))*120*0.85,2),INDEX(其他调用!$H$5:$L$404,MATCH($K203,其他调用!$B$5:$B$404,0),MATCH(AV$5,其他调用!$H$4:$L$4,0))*120*0.85)</f>
        <v>48.921801254999991</v>
      </c>
      <c r="AW203" s="14">
        <f>IF(OR(AW$5="大R",AW$5="超R"),MAX(INDEX(其他调用!$H$5:$L$404,MATCH($K203,其他调用!$B$5:$B$404,0),MATCH(AW$5,其他调用!$H$4:$L$4,0))*120*0.85,2),INDEX(其他调用!$H$5:$L$404,MATCH($K203,其他调用!$B$5:$B$404,0),MATCH(AW$5,其他调用!$H$4:$L$4,0))*120*0.85)</f>
        <v>48.237344010638395</v>
      </c>
      <c r="AX203" s="14">
        <f>IF(OR(AX$5="大R",AX$5="超R"),MAX(INDEX(其他调用!$H$5:$L$404,MATCH($K203,其他调用!$B$5:$B$404,0),MATCH(AX$5,其他调用!$H$4:$L$4,0))*120*0.85,2),INDEX(其他调用!$H$5:$L$404,MATCH($K203,其他调用!$B$5:$B$404,0),MATCH(AX$5,其他调用!$H$4:$L$4,0))*120*0.85)</f>
        <v>3.9376284143615998</v>
      </c>
      <c r="AY203" s="14">
        <f>IF(OR(AY$5="大R",AY$5="超R"),MAX(INDEX(其他调用!$H$5:$L$404,MATCH($K203,其他调用!$B$5:$B$404,0),MATCH(AY$5,其他调用!$H$4:$L$4,0))*120*0.85,2),INDEX(其他调用!$H$5:$L$404,MATCH($K203,其他调用!$B$5:$B$404,0),MATCH(AY$5,其他调用!$H$4:$L$4,0))*120*0.85)</f>
        <v>2</v>
      </c>
      <c r="AZ203" s="14">
        <f>IF(OR(AZ$5="大R",AZ$5="超R"),MAX(INDEX(其他调用!$H$5:$L$404,MATCH($K203,其他调用!$B$5:$B$404,0),MATCH(AZ$5,其他调用!$H$4:$L$4,0))*120*0.85,2),INDEX(其他调用!$H$5:$L$404,MATCH($K203,其他调用!$B$5:$B$404,0),MATCH(AZ$5,其他调用!$H$4:$L$4,0))*120*0.85)</f>
        <v>2</v>
      </c>
      <c r="BA203" s="14">
        <f>INDEX(其他调用!$H$5:$L$404,MATCH($K203,其他调用!$B$5:$B$404,0),MATCH(BA$5,其他调用!$H$4:$L$4,0))*INDEX(其他调用!$M$5:$M$404,MATCH($K203,其他调用!$B$5:$B$404,0))*0.6</f>
        <v>28.777530149999997</v>
      </c>
      <c r="BB203" s="14">
        <f>INDEX(其他调用!$H$5:$L$404,MATCH($K203,其他调用!$B$5:$B$404,0),MATCH(BB$5,其他调用!$H$4:$L$4,0))*INDEX(其他调用!$M$5:$M$404,MATCH($K203,其他调用!$B$5:$B$404,0))*0.6</f>
        <v>28.374908241551999</v>
      </c>
      <c r="BC203" s="14">
        <f>INDEX(其他调用!$H$5:$L$404,MATCH($K203,其他调用!$B$5:$B$404,0),MATCH(BC$5,其他调用!$H$4:$L$4,0))*INDEX(其他调用!$M$5:$M$404,MATCH($K203,其他调用!$B$5:$B$404,0))*0.6</f>
        <v>2.3162520084480001</v>
      </c>
      <c r="BD203" s="14">
        <f>INDEX(其他调用!$H$5:$L$404,MATCH($K203,其他调用!$B$5:$B$404,0),MATCH(BD$5,其他调用!$H$4:$L$4,0))*INDEX(其他调用!$M$5:$M$404,MATCH($K203,其他调用!$B$5:$B$404,0))*0.6</f>
        <v>0.4120776000000001</v>
      </c>
      <c r="BE203" s="14">
        <f>INDEX(其他调用!$H$5:$L$404,MATCH($K203,其他调用!$B$5:$B$404,0),MATCH(BE$5,其他调用!$H$4:$L$4,0))*INDEX(其他调用!$M$5:$M$404,MATCH($K203,其他调用!$B$5:$B$404,0))*0.6</f>
        <v>0.11923199999999998</v>
      </c>
      <c r="BF203" s="14">
        <f>IF(OR(BF$5="大R",BF$5="超R"),0,INDEX(其他调用!$H$5:$L$404,MATCH($K203,其他调用!$B$5:$B$404,0),MATCH(BF$5,其他调用!$H$4:$L$4,0))*50*0.4)</f>
        <v>9.5925100500000013</v>
      </c>
      <c r="BG203" s="14">
        <f>IF(OR(BG$5="大R",BG$5="超R"),0,INDEX(其他调用!$H$5:$L$404,MATCH($K203,其他调用!$B$5:$B$404,0),MATCH(BG$5,其他调用!$H$4:$L$4,0))*50*0.4)</f>
        <v>9.4583027471839998</v>
      </c>
      <c r="BH203" s="14">
        <f>IF(OR(BH$5="大R",BH$5="超R"),0,INDEX(其他调用!$H$5:$L$404,MATCH($K203,其他调用!$B$5:$B$404,0),MATCH(BH$5,其他调用!$H$4:$L$4,0))*50*0.4)</f>
        <v>0.77208400281600009</v>
      </c>
      <c r="BI203" s="14">
        <f>IF(OR(BI$5="大R",BI$5="超R"),0,INDEX(其他调用!$H$5:$L$404,MATCH($K203,其他调用!$B$5:$B$404,0),MATCH(BI$5,其他调用!$H$4:$L$4,0))*50*0.4)</f>
        <v>0</v>
      </c>
      <c r="BJ203" s="14">
        <f>IF(OR(BJ$5="大R",BJ$5="超R"),0,INDEX(其他调用!$H$5:$L$404,MATCH($K203,其他调用!$B$5:$B$404,0),MATCH(BJ$5,其他调用!$H$4:$L$4,0))*50*0.4)</f>
        <v>0</v>
      </c>
      <c r="BL203" s="14">
        <f t="shared" si="418"/>
        <v>198</v>
      </c>
      <c r="BM203" s="14">
        <f t="shared" si="325"/>
        <v>96</v>
      </c>
      <c r="BN203" s="14">
        <f>('疲劳值&amp;地图信息'!$S$10*'疲劳值&amp;地图信息'!$R$10+'疲劳值&amp;地图信息'!$S$11*'疲劳值&amp;地图信息'!$R$11+'疲劳值&amp;地图信息'!$S$12*'疲劳值&amp;地图信息'!$R$12+(BM203-'疲劳值&amp;地图信息'!$S$12-'疲劳值&amp;地图信息'!$S$11-'疲劳值&amp;地图信息'!$S$10)*'疲劳值&amp;地图信息'!$R$13)/BM203</f>
        <v>51.371477246638619</v>
      </c>
      <c r="BO203" s="14">
        <f>INDEX(其他调用!$M$5:$M$404,MATCH(BL203,其他调用!$B$5:$B$404,0))*0.6</f>
        <v>60</v>
      </c>
      <c r="BP203" s="14">
        <f>IF(BO203&gt;SUM('疲劳值&amp;地图信息'!$S$10:$S$12),('疲劳值&amp;地图信息'!$S$10*'疲劳值&amp;地图信息'!$R$10+'疲劳值&amp;地图信息'!$S$11*'疲劳值&amp;地图信息'!$R$11+'疲劳值&amp;地图信息'!$S$12*'疲劳值&amp;地图信息'!$R$12+(BO203-'疲劳值&amp;地图信息'!$S$12-'疲劳值&amp;地图信息'!$S$11-'疲劳值&amp;地图信息'!$S$10)*'疲劳值&amp;地图信息'!$R$13)/BO203,('疲劳值&amp;地图信息'!$S$10*'疲劳值&amp;地图信息'!$R$10+'疲劳值&amp;地图信息'!$S$11*'疲劳值&amp;地图信息'!$R$11+'疲劳值&amp;地图信息'!$S$12*'疲劳值&amp;地图信息'!$R$12+(BO203-'疲劳值&amp;地图信息'!$S$12-'疲劳值&amp;地图信息'!$S$11-'疲劳值&amp;地图信息'!$S$10)*'疲劳值&amp;地图信息'!$R$13)/BO203)</f>
        <v>44.158136341605953</v>
      </c>
      <c r="BQ203" s="14">
        <f t="shared" si="419"/>
        <v>20</v>
      </c>
      <c r="BR203" s="14">
        <f>('疲劳值&amp;地图信息'!$S$10*'疲劳值&amp;地图信息'!$R$10+($BQ203-'疲劳值&amp;地图信息'!$S$10)*'疲劳值&amp;地图信息'!$R$11)/$BQ203</f>
        <v>32.067203015074995</v>
      </c>
      <c r="CF203" s="14">
        <v>198</v>
      </c>
      <c r="CG203" s="51">
        <f t="shared" si="326"/>
        <v>13312</v>
      </c>
      <c r="CH203" s="51">
        <f t="shared" si="327"/>
        <v>1049</v>
      </c>
      <c r="CI203" s="51">
        <f>INT(SUMPRODUCT($N203:$R203,$BA203:$BE203)/SUM($BA203:$BE203)/10000*$BX$7*$BZ$34/'疲劳值&amp;地图信息'!$R$10*$BY$53)</f>
        <v>3246</v>
      </c>
      <c r="CJ203" s="50">
        <f t="shared" si="328"/>
        <v>0.75606292951666954</v>
      </c>
      <c r="CK203" s="50">
        <f t="shared" si="329"/>
        <v>5.9578576702447893E-2</v>
      </c>
      <c r="CL203" s="50">
        <f t="shared" si="330"/>
        <v>0.18435849378088259</v>
      </c>
      <c r="CM203" s="14">
        <f t="shared" si="331"/>
        <v>14170</v>
      </c>
      <c r="CN203" s="14">
        <f t="shared" si="332"/>
        <v>1684</v>
      </c>
      <c r="CO203" s="14">
        <f>INT(SUMPRODUCT($U203:$Y203,$BA203:$BE203)/SUM($BA203:$BE203)/10000*$BX$7*$BZ$34/'疲劳值&amp;地图信息'!$R$10*$BY$54)</f>
        <v>6047</v>
      </c>
      <c r="CP203" s="50">
        <f t="shared" si="333"/>
        <v>0.64700241998082275</v>
      </c>
      <c r="CQ203" s="50">
        <f t="shared" si="334"/>
        <v>7.6891466143098483E-2</v>
      </c>
      <c r="CR203" s="50">
        <f t="shared" si="335"/>
        <v>0.2761061138760787</v>
      </c>
      <c r="CS203" s="14">
        <f t="shared" si="336"/>
        <v>15255</v>
      </c>
      <c r="CT203" s="14">
        <f t="shared" si="337"/>
        <v>2943</v>
      </c>
      <c r="CU203" s="14">
        <f>INT(SUMPRODUCT($AB203:$AF203,$BA203:$BE203)/SUM($BA203:$BE203)/10000*$BX$7*$BZ$34/'疲劳值&amp;地图信息'!$R$10*$BY$55)</f>
        <v>8216</v>
      </c>
      <c r="CV203" s="50">
        <f t="shared" si="338"/>
        <v>0.57753464072082983</v>
      </c>
      <c r="CW203" s="50">
        <f t="shared" si="339"/>
        <v>0.11141818732490347</v>
      </c>
      <c r="CX203" s="50">
        <f t="shared" si="340"/>
        <v>0.31104717195426668</v>
      </c>
      <c r="CY203" s="14">
        <f t="shared" si="341"/>
        <v>18250</v>
      </c>
      <c r="CZ203" s="14">
        <f t="shared" si="342"/>
        <v>8478</v>
      </c>
      <c r="DA203" s="14">
        <f>INT(SUMPRODUCT($AI203:$AM203,$BA203:$BE203)/SUM($BA203:$BE203)/10000*$BX$7*$BZ$34/'疲劳值&amp;地图信息'!$R$10*$BY$56)</f>
        <v>12393</v>
      </c>
      <c r="DB203" s="50">
        <f t="shared" si="343"/>
        <v>0.4665013675519542</v>
      </c>
      <c r="DC203" s="50">
        <f t="shared" si="344"/>
        <v>0.21671225173180644</v>
      </c>
      <c r="DD203" s="50">
        <f t="shared" si="345"/>
        <v>0.31678638071623938</v>
      </c>
      <c r="DE203" s="14">
        <f t="shared" si="346"/>
        <v>18917</v>
      </c>
      <c r="DF203" s="14">
        <f t="shared" si="347"/>
        <v>14718</v>
      </c>
      <c r="DG203" s="14">
        <f>INT(SUMPRODUCT($AP203:$AT203,$BA203:$BE203)/SUM($BA203:$BE203)/10000*$BX$7*$BZ$34/'疲劳值&amp;地图信息'!$R$10*$BY$57)</f>
        <v>16548</v>
      </c>
      <c r="DH203" s="50">
        <f t="shared" si="348"/>
        <v>0.37696032520973238</v>
      </c>
      <c r="DI203" s="50">
        <f t="shared" si="349"/>
        <v>0.2932865711495925</v>
      </c>
      <c r="DJ203" s="50">
        <f t="shared" si="350"/>
        <v>0.32975310364067512</v>
      </c>
      <c r="DL203" s="14">
        <f t="shared" si="316"/>
        <v>17607</v>
      </c>
      <c r="DM203" s="14">
        <f t="shared" si="317"/>
        <v>21901</v>
      </c>
      <c r="DN203" s="14">
        <f t="shared" si="318"/>
        <v>26414</v>
      </c>
      <c r="DO203" s="14">
        <f t="shared" si="319"/>
        <v>39121</v>
      </c>
      <c r="DP203" s="14">
        <f t="shared" si="320"/>
        <v>50183</v>
      </c>
      <c r="DQ203" s="14">
        <f t="shared" si="321"/>
        <v>1211410</v>
      </c>
      <c r="DT203" s="14">
        <f t="shared" ref="DT203:DT266" si="420">SUM($BX$11:$BX$27)/2+SUM($BY$11:$BY$27)*(60-($BX$34+$BY$34)/60/2)/2</f>
        <v>235575</v>
      </c>
      <c r="DU203" s="50">
        <f t="shared" si="322"/>
        <v>0.16280403736044258</v>
      </c>
      <c r="DW203" s="14">
        <f t="shared" si="351"/>
        <v>1446985</v>
      </c>
      <c r="EB203" s="14">
        <v>198</v>
      </c>
      <c r="EC203" s="51">
        <f t="shared" si="352"/>
        <v>22186</v>
      </c>
      <c r="ED203" s="51">
        <f t="shared" si="353"/>
        <v>1749</v>
      </c>
      <c r="EE203" s="51">
        <f>INT(SUMPRODUCT($N203:$R203,$BF203:$BJ203)/SUM($BF203:$BJ203)/10000*$BX$7*$BZ$46/'疲劳值&amp;地图信息'!$R$10*$BY$53)</f>
        <v>436</v>
      </c>
      <c r="EF203" s="50">
        <f t="shared" si="354"/>
        <v>0.9103442616224201</v>
      </c>
      <c r="EG203" s="50">
        <f t="shared" si="355"/>
        <v>7.1765623076607443E-2</v>
      </c>
      <c r="EH203" s="50">
        <f t="shared" si="356"/>
        <v>1.7890115300972467E-2</v>
      </c>
      <c r="EI203" s="51">
        <f t="shared" si="357"/>
        <v>23616</v>
      </c>
      <c r="EJ203" s="51">
        <f t="shared" si="358"/>
        <v>2807</v>
      </c>
      <c r="EK203" s="14">
        <f>INT(SUMPRODUCT($U203:$Y203,$BF203:$BJ203)/SUM($BF203:$BJ203)/10000*$BX$7*$BZ$46/'疲劳值&amp;地图信息'!$R$10*$BY$54)</f>
        <v>812</v>
      </c>
      <c r="EL203" s="50">
        <f t="shared" si="359"/>
        <v>0.86711951532953924</v>
      </c>
      <c r="EM203" s="50">
        <f t="shared" si="360"/>
        <v>0.10306590783917753</v>
      </c>
      <c r="EN203" s="50">
        <f t="shared" si="361"/>
        <v>2.9814576831283274E-2</v>
      </c>
      <c r="EO203" s="51">
        <f t="shared" si="362"/>
        <v>25425</v>
      </c>
      <c r="EP203" s="51">
        <f t="shared" si="363"/>
        <v>4906</v>
      </c>
      <c r="EQ203" s="14">
        <f>INT(SUMPRODUCT($AB203:$AF203,$BF203:$BJ203)/SUM($BF203:$BJ203)/10000*$BX$7*$BZ$46/'疲劳值&amp;地图信息'!$R$10*$BY$55)</f>
        <v>1102</v>
      </c>
      <c r="ER203" s="50">
        <f t="shared" si="364"/>
        <v>0.80886329653548816</v>
      </c>
      <c r="ES203" s="50">
        <f t="shared" si="365"/>
        <v>0.15607800718989598</v>
      </c>
      <c r="ET203" s="50">
        <f t="shared" si="366"/>
        <v>3.5058696274615851E-2</v>
      </c>
      <c r="EU203" s="51">
        <f t="shared" si="367"/>
        <v>30417</v>
      </c>
      <c r="EV203" s="51">
        <f t="shared" si="368"/>
        <v>14130</v>
      </c>
      <c r="EW203" s="14">
        <f>INT(SUMPRODUCT($AI203:$AM203,$BF203:$BJ203)/SUM($BF203:$BJ203)/10000*$BX$7*$BZ$46/'疲劳值&amp;地图信息'!$R$10*$BY$56)</f>
        <v>1653</v>
      </c>
      <c r="EX203" s="50">
        <f t="shared" si="369"/>
        <v>0.65837662337662339</v>
      </c>
      <c r="EY203" s="50">
        <f t="shared" si="370"/>
        <v>0.30584415584415586</v>
      </c>
      <c r="EZ203" s="50">
        <f t="shared" si="371"/>
        <v>3.5779220779220779E-2</v>
      </c>
      <c r="FA203" s="51">
        <f t="shared" si="372"/>
        <v>31529</v>
      </c>
      <c r="FB203" s="51">
        <f t="shared" si="373"/>
        <v>24531</v>
      </c>
      <c r="FC203" s="14">
        <f>INT(SUMPRODUCT($AP203:$AT203,$BF203:$BJ203)/SUM($BF203:$BJ203)/10000*$BX$7*$BZ$46/'疲劳值&amp;地图信息'!$R$10*$BY$57)</f>
        <v>2204</v>
      </c>
      <c r="FD203" s="50">
        <f t="shared" si="374"/>
        <v>0.5411403267884114</v>
      </c>
      <c r="FE203" s="50">
        <f t="shared" si="375"/>
        <v>0.42103185500480572</v>
      </c>
      <c r="FF203" s="50">
        <f t="shared" si="376"/>
        <v>3.7827818206782916E-2</v>
      </c>
      <c r="FH203" s="14">
        <f t="shared" si="377"/>
        <v>24371</v>
      </c>
      <c r="FI203" s="14">
        <f t="shared" si="378"/>
        <v>27235</v>
      </c>
      <c r="FJ203" s="14">
        <f t="shared" si="379"/>
        <v>31433</v>
      </c>
      <c r="FK203" s="14">
        <f t="shared" si="380"/>
        <v>46200</v>
      </c>
      <c r="FL203" s="14">
        <f t="shared" si="381"/>
        <v>58264</v>
      </c>
      <c r="FM203" s="14">
        <f t="shared" si="382"/>
        <v>2838716</v>
      </c>
      <c r="FP203" s="14">
        <f t="shared" si="383"/>
        <v>334150</v>
      </c>
      <c r="FQ203" s="50">
        <f t="shared" si="323"/>
        <v>0.10531487935513192</v>
      </c>
      <c r="FS203" s="14">
        <f t="shared" si="384"/>
        <v>3172866</v>
      </c>
      <c r="FX203" s="14">
        <v>198</v>
      </c>
      <c r="FY203" s="51">
        <f t="shared" si="385"/>
        <v>31061</v>
      </c>
      <c r="FZ203" s="51">
        <f t="shared" si="386"/>
        <v>1749</v>
      </c>
      <c r="GA203" s="51">
        <f>INT(SUMPRODUCT($N203:$R203,$BF203:$BJ203)/SUM($BF203:$BJ203)/10000*$BX$7*$BZ$46/'疲劳值&amp;地图信息'!$R$10*$BY$53)</f>
        <v>436</v>
      </c>
      <c r="GB203" s="50">
        <f t="shared" si="387"/>
        <v>0.93427780785658421</v>
      </c>
      <c r="GC203" s="50">
        <f t="shared" si="388"/>
        <v>5.2607832521205558E-2</v>
      </c>
      <c r="GD203" s="50">
        <f t="shared" si="389"/>
        <v>1.311435962221019E-2</v>
      </c>
      <c r="GE203" s="51">
        <f t="shared" si="390"/>
        <v>33063</v>
      </c>
      <c r="GF203" s="51">
        <f t="shared" si="391"/>
        <v>2807</v>
      </c>
      <c r="GG203" s="14">
        <f>INT(SUMPRODUCT($U203:$Y203,$BF203:$BJ203)/SUM($BF203:$BJ203)/10000*$BX$7*$BZ$46/'疲劳值&amp;地图信息'!$R$10*$BY$54)</f>
        <v>812</v>
      </c>
      <c r="GH203" s="50">
        <f t="shared" si="392"/>
        <v>0.901341257292405</v>
      </c>
      <c r="GI203" s="50">
        <f t="shared" si="393"/>
        <v>7.6522545117496316E-2</v>
      </c>
      <c r="GJ203" s="50">
        <f t="shared" si="394"/>
        <v>2.2136197590098685E-2</v>
      </c>
      <c r="GK203" s="51">
        <f t="shared" si="395"/>
        <v>35595</v>
      </c>
      <c r="GL203" s="51">
        <f t="shared" si="396"/>
        <v>4906</v>
      </c>
      <c r="GM203" s="14">
        <f>INT(SUMPRODUCT($AB203:$AF203,$BF203:$BJ203)/SUM($BF203:$BJ203)/10000*$BX$7*$BZ$46/'疲劳值&amp;地图信息'!$R$10*$BY$55)</f>
        <v>1102</v>
      </c>
      <c r="GN203" s="50">
        <f t="shared" si="397"/>
        <v>0.85558733745162607</v>
      </c>
      <c r="GO203" s="50">
        <f t="shared" si="398"/>
        <v>0.11792418815950773</v>
      </c>
      <c r="GP203" s="50">
        <f t="shared" si="399"/>
        <v>2.6488474388866187E-2</v>
      </c>
      <c r="GQ203" s="51">
        <f t="shared" si="400"/>
        <v>42584</v>
      </c>
      <c r="GR203" s="51">
        <f t="shared" si="401"/>
        <v>14130</v>
      </c>
      <c r="GS203" s="14">
        <f>INT(SUMPRODUCT($AI203:$AM203,$BF203:$BJ203)/SUM($BF203:$BJ203)/10000*$BX$7*$BZ$46/'疲劳值&amp;地图信息'!$R$10*$BY$56)</f>
        <v>1653</v>
      </c>
      <c r="GT203" s="50">
        <f t="shared" si="402"/>
        <v>0.72959035071187484</v>
      </c>
      <c r="GU203" s="50">
        <f t="shared" si="403"/>
        <v>0.24208885157708979</v>
      </c>
      <c r="GV203" s="50">
        <f t="shared" si="404"/>
        <v>2.8320797711035347E-2</v>
      </c>
      <c r="GW203" s="51">
        <f t="shared" si="405"/>
        <v>44141</v>
      </c>
      <c r="GX203" s="51">
        <f t="shared" si="406"/>
        <v>24531</v>
      </c>
      <c r="GY203" s="14">
        <f>INT(SUMPRODUCT($AP203:$AT203,$BF203:$BJ203)/SUM($BF203:$BJ203)/10000*$BX$7*$BZ$46/'疲劳值&amp;地图信息'!$R$10*$BY$57)</f>
        <v>2204</v>
      </c>
      <c r="GZ203" s="50">
        <f t="shared" si="407"/>
        <v>0.62279191827981262</v>
      </c>
      <c r="HA203" s="50">
        <f t="shared" si="408"/>
        <v>0.34611151870873075</v>
      </c>
      <c r="HB203" s="50">
        <f t="shared" si="409"/>
        <v>3.1096563011456628E-2</v>
      </c>
      <c r="HD203" s="14">
        <f t="shared" si="410"/>
        <v>33246</v>
      </c>
      <c r="HE203" s="14">
        <f t="shared" si="411"/>
        <v>36682</v>
      </c>
      <c r="HF203" s="14">
        <f t="shared" si="412"/>
        <v>41603</v>
      </c>
      <c r="HG203" s="14">
        <f t="shared" si="413"/>
        <v>58367</v>
      </c>
      <c r="HH203" s="14">
        <f t="shared" si="414"/>
        <v>70876</v>
      </c>
      <c r="HI203" s="14">
        <f t="shared" si="415"/>
        <v>3818199</v>
      </c>
      <c r="HL203" s="14">
        <f t="shared" si="416"/>
        <v>430050</v>
      </c>
      <c r="HM203" s="50">
        <f t="shared" si="324"/>
        <v>0.10122994203023411</v>
      </c>
      <c r="HO203" s="14">
        <f t="shared" si="417"/>
        <v>4248249</v>
      </c>
    </row>
    <row r="204" spans="11:223" x14ac:dyDescent="0.2">
      <c r="K204" s="14">
        <v>199</v>
      </c>
      <c r="L204" s="12">
        <f>求节点(节奏总纲!D$4:D$163,标准城池设计!AB$4:AB$163,$K204)*求节点(节奏总纲!D$4:D$163,攻城基础信息!$AC$5:$AC$164,$K204)</f>
        <v>654551.66030262504</v>
      </c>
      <c r="M204" s="12">
        <f>INDEX(其他调用!$AA$5:$AA$404,MATCH(K204,其他调用!$X$5:$X$404,0))*MIN(INDEX(其他调用!$AH$5:$AH$364,MATCH('征服点（新）'!K204,其他调用!$AG$5:$AG$364,0),1)/INDEX(其他调用!$AJ$5:$AJ$364,MATCH(K204,其他调用!$AG$5:$AG$364,0),0),5)*求节点(节奏总纲!D$4:D$163,攻城基础信息!$AC$5:$AC$164,$K204)</f>
        <v>51622.62294477204</v>
      </c>
      <c r="N204" s="12">
        <f>MIN(INDEX(其他调用!$AH$5:$AH$364,MATCH($K204,其他调用!$AG$5:$AG$364,0),1)/INDEX(其他调用!AH$5:AH$364,MATCH($K204,其他调用!$AG$5:$AG$364,0),0),1)*INDEX(其他调用!Y$5:Y$404,MATCH($K204,其他调用!$X$5:$X$404,0),0)</f>
        <v>40103.481343455758</v>
      </c>
      <c r="O204" s="12">
        <f>MIN(INDEX(其他调用!$AH$5:$AH$364,MATCH($K204,其他调用!$AG$5:$AG$364,0),1)/INDEX(其他调用!AI$5:AI$364,MATCH($K204,其他调用!$AG$5:$AG$364,0),0),1)*INDEX(其他调用!Z$5:Z$404,MATCH($K204,其他调用!$X$5:$X$404,0),0)</f>
        <v>25730.916840576363</v>
      </c>
      <c r="P204" s="12">
        <f>MIN(INDEX(其他调用!$AH$5:$AH$364,MATCH($K204,其他调用!$AG$5:$AG$364,0),1)/INDEX(其他调用!AJ$5:AJ$364,MATCH($K204,其他调用!$AG$5:$AG$364,0),0),1)*INDEX(其他调用!AA$5:AA$404,MATCH($K204,其他调用!$X$5:$X$404,0),0)</f>
        <v>15268.441854458377</v>
      </c>
      <c r="Q204" s="12">
        <f>MIN(INDEX(其他调用!$AH$5:$AH$364,MATCH($K204,其他调用!$AG$5:$AG$364,0),1)/INDEX(其他调用!AK$5:AK$364,MATCH($K204,其他调用!$AG$5:$AG$364,0),0),1)*INDEX(其他调用!AB$5:AB$404,MATCH($K204,其他调用!$X$5:$X$404,0),0)</f>
        <v>5572.8499940745533</v>
      </c>
      <c r="R204" s="12">
        <f>MIN(INDEX(其他调用!$AH$5:$AH$364,MATCH($K204,其他调用!$AG$5:$AG$364,0),1)/INDEX(其他调用!AL$5:AL$364,MATCH($K204,其他调用!$AG$5:$AG$364,0),0),1)*INDEX(其他调用!AC$5:AC$404,MATCH($K204,其他调用!$X$5:$X$404,0),0)</f>
        <v>2459.9152476561962</v>
      </c>
      <c r="S204" s="12">
        <f>求节点(节奏总纲!D$4:D$163,标准城池设计!AC$4:AC$163,$K204)*求节点(节奏总纲!D$4:D$163,攻城基础信息!$AD$5:$AD$164,$K204)</f>
        <v>696742.72278444946</v>
      </c>
      <c r="T204" s="12">
        <f>INDEX(其他调用!$AA$5:$AA$404,MATCH($K204,其他调用!$X$5:$X$404,0))*MIN(INDEX(其他调用!AI$5:AI$364,MATCH($K204,其他调用!$AG$5:$AG$364,0),1)/INDEX(其他调用!$AJ$5:$AJ$364,MATCH($K204,其他调用!$AG$5:$AG$364,0),0),5)*求节点(节奏总纲!D$4:D$163,攻城基础信息!$AD$5:$AD$164,$K204)</f>
        <v>82768.844275803145</v>
      </c>
      <c r="U204" s="12">
        <f>MIN(INDEX(其他调用!$AI$5:$AI$364,MATCH($K204,其他调用!$AG$5:$AG$364,0),1)/INDEX(其他调用!AH$5:AH$364,MATCH($K204,其他调用!$AG$5:$AG$364,0),0),1)*INDEX(其他调用!Y$5:Y$404,MATCH($K204,其他调用!$X$5:$X$404,0),0)</f>
        <v>40103.481343455758</v>
      </c>
      <c r="V204" s="12">
        <f>MIN(INDEX(其他调用!$AI$5:$AI$364,MATCH($K204,其他调用!$AG$5:$AG$364,0),1)/INDEX(其他调用!AI$5:AI$364,MATCH($K204,其他调用!$AG$5:$AG$364,0),0),1)*INDEX(其他调用!Z$5:Z$404,MATCH($K204,其他调用!$X$5:$X$404,0),0)</f>
        <v>41255.521853853956</v>
      </c>
      <c r="W204" s="12">
        <f>MIN(INDEX(其他调用!$AI$5:$AI$364,MATCH($K204,其他调用!$AG$5:$AG$364,0),1)/INDEX(其他调用!AJ$5:AJ$364,MATCH($K204,其他调用!$AG$5:$AG$364,0),0),1)*INDEX(其他调用!AA$5:AA$404,MATCH($K204,其他调用!$X$5:$X$404,0),0)</f>
        <v>24480.570999614498</v>
      </c>
      <c r="X204" s="12">
        <f>MIN(INDEX(其他调用!$AI$5:$AI$364,MATCH($K204,其他调用!$AG$5:$AG$364,0),1)/INDEX(其他调用!AK$5:AK$364,MATCH($K204,其他调用!$AG$5:$AG$364,0),0),1)*INDEX(其他调用!AB$5:AB$404,MATCH($K204,其他调用!$X$5:$X$404,0),0)</f>
        <v>8935.197923310483</v>
      </c>
      <c r="Y204" s="12">
        <f>MIN(INDEX(其他调用!$AI$5:$AI$364,MATCH($K204,其他调用!$AG$5:$AG$364,0),1)/INDEX(其他调用!AL$5:AL$364,MATCH($K204,其他调用!$AG$5:$AG$364,0),0),1)*INDEX(其他调用!AC$5:AC$404,MATCH($K204,其他调用!$X$5:$X$404,0),0)</f>
        <v>3944.0913779749926</v>
      </c>
      <c r="Z204" s="12">
        <f>求节点(节奏总纲!D$4:D$163,标准城池设计!AD$4:AD$163,$K204)*求节点(节奏总纲!D$4:D$163,攻城基础信息!$AE$5:$AE$164,$K204)</f>
        <v>750655.36949008016</v>
      </c>
      <c r="AA204" s="12">
        <f>INDEX(其他调用!$AA$5:$AA$404,MATCH($K204,其他调用!$X$5:$X$404,0))*MIN(INDEX(其他调用!AJ$5:AJ$364,MATCH($K204,其他调用!$AG$5:$AG$364,0),1)/INDEX(其他调用!$AJ$5:$AJ$364,MATCH($K204,其他调用!$AG$5:$AG$364,0),0),5)*求节点(节奏总纲!D$4:D$163,攻城基础信息!$AE$5:$AE$164,$K204)</f>
        <v>144631.97476350443</v>
      </c>
      <c r="AB204" s="12">
        <f>MIN(INDEX(其他调用!$AJ$5:$AJ$364,MATCH($K204,其他调用!$AG$5:$AG$364,0),1)/INDEX(其他调用!AH$5:AH$364,MATCH($K204,其他调用!$AG$5:$AG$364,0),0),1)*INDEX(其他调用!Y$5:Y$404,MATCH($K204,其他调用!$X$5:$X$404,0),0)</f>
        <v>40103.481343455758</v>
      </c>
      <c r="AC204" s="12">
        <f>MIN(INDEX(其他调用!$AJ$5:$AJ$364,MATCH($K204,其他调用!$AG$5:$AG$364,0),1)/INDEX(其他调用!AI$5:AI$364,MATCH($K204,其他调用!$AG$5:$AG$364,0),0),1)*INDEX(其他调用!Z$5:Z$404,MATCH($K204,其他调用!$X$5:$X$404,0),0)</f>
        <v>41255.521853853956</v>
      </c>
      <c r="AD204" s="12">
        <f>MIN(INDEX(其他调用!$AJ$5:$AJ$364,MATCH($K204,其他调用!$AG$5:$AG$364,0),1)/INDEX(其他调用!AJ$5:AJ$364,MATCH($K204,其他调用!$AG$5:$AG$364,0),0),1)*INDEX(其他调用!AA$5:AA$404,MATCH($K204,其他调用!$X$5:$X$404,0),0)</f>
        <v>42777.851472882197</v>
      </c>
      <c r="AE204" s="12">
        <f>MIN(INDEX(其他调用!$AJ$5:$AJ$364,MATCH($K204,其他调用!$AG$5:$AG$364,0),1)/INDEX(其他调用!AK$5:AK$364,MATCH($K204,其他调用!$AG$5:$AG$364,0),0),1)*INDEX(其他调用!AB$5:AB$404,MATCH($K204,其他调用!$X$5:$X$404,0),0)</f>
        <v>15613.547970355772</v>
      </c>
      <c r="AF204" s="12">
        <f>MIN(INDEX(其他调用!$AJ$5:$AJ$364,MATCH($K204,其他调用!$AG$5:$AG$364,0),1)/INDEX(其他调用!AL$5:AL$364,MATCH($K204,其他调用!$AG$5:$AG$364,0),0),1)*INDEX(其他调用!AC$5:AC$404,MATCH($K204,其他调用!$X$5:$X$404,0),0)</f>
        <v>6891.9861046193082</v>
      </c>
      <c r="AG204" s="12">
        <f>求节点(节奏总纲!D$4:D$163,标准城池设计!AE$4:AE$163,$K204)*求节点(节奏总纲!D$4:D$163,攻城基础信息!$AF$5:$AF$164,$K204)</f>
        <v>898096.43009975087</v>
      </c>
      <c r="AH204" s="12">
        <f>INDEX(其他调用!$AA$5:$AA$404,MATCH($K204,其他调用!$X$5:$X$404,0))*MIN(INDEX(其他调用!AK$5:AK$364,MATCH($K204,其他调用!$AG$5:$AG$364,0),1)/INDEX(其他调用!$AJ$5:$AJ$364,MATCH($K204,其他调用!$AG$5:$AG$364,0),0),5)*求节点(节奏总纲!D$4:D$163,攻城基础信息!$AF$5:$AF$164,$K204)</f>
        <v>416567.48216299858</v>
      </c>
      <c r="AI204" s="12">
        <f>MIN(INDEX(其他调用!$AK$5:$AK$364,MATCH($K204,其他调用!$AG$5:$AG$364,0),1)/INDEX(其他调用!AH$5:AH$364,MATCH($K204,其他调用!$AG$5:$AG$364,0),0),1)*INDEX(其他调用!Y$5:Y$404,MATCH($K204,其他调用!$X$5:$X$404,0),0)</f>
        <v>40103.481343455758</v>
      </c>
      <c r="AJ204" s="12">
        <f>MIN(INDEX(其他调用!$AK$5:$AK$364,MATCH($K204,其他调用!$AG$5:$AG$364,0),1)/INDEX(其他调用!AI$5:AI$364,MATCH($K204,其他调用!$AG$5:$AG$364,0),0),1)*INDEX(其他调用!Z$5:Z$404,MATCH($K204,其他调用!$X$5:$X$404,0),0)</f>
        <v>41255.521853853956</v>
      </c>
      <c r="AK204" s="12">
        <f>MIN(INDEX(其他调用!$AK$5:$AK$364,MATCH($K204,其他调用!$AG$5:$AG$364,0),1)/INDEX(其他调用!AJ$5:AJ$364,MATCH($K204,其他调用!$AG$5:$AG$364,0),0),1)*INDEX(其他调用!AA$5:AA$404,MATCH($K204,其他调用!$X$5:$X$404,0),0)</f>
        <v>42777.851472882197</v>
      </c>
      <c r="AL204" s="12">
        <f>MIN(INDEX(其他调用!$AK$5:$AK$364,MATCH($K204,其他调用!$AG$5:$AG$364,0),1)/INDEX(其他调用!AK$5:AK$364,MATCH($K204,其他调用!$AG$5:$AG$364,0),0),1)*INDEX(其他调用!AB$5:AB$404,MATCH($K204,其他调用!$X$5:$X$404,0),0)</f>
        <v>44969.97552773168</v>
      </c>
      <c r="AM204" s="12">
        <f>MIN(INDEX(其他调用!$AK$5:$AK$364,MATCH($K204,其他调用!$AG$5:$AG$364,0),1)/INDEX(其他调用!AL$5:AL$364,MATCH($K204,其他调用!$AG$5:$AG$364,0),0),1)*INDEX(其他调用!AC$5:AC$404,MATCH($K204,其他调用!$X$5:$X$404,0),0)</f>
        <v>19850.225397241018</v>
      </c>
      <c r="AN204" s="12">
        <f>求节点(节奏总纲!D$4:D$163,标准城池设计!AF$4:AF$163,$K204)*求节点(节奏总纲!D$4:D$163,攻城基础信息!$AG$5:$AG$164,$K204)</f>
        <v>931382.21512854786</v>
      </c>
      <c r="AO204" s="12">
        <f>INDEX(其他调用!$AA$5:$AA$404,MATCH($K204,其他调用!$X$5:$X$404,0))*MIN(INDEX(其他调用!AL$5:AL$364,MATCH($K204,其他调用!$AG$5:$AG$364,0),1)/INDEX(其他调用!$AJ$5:$AJ$364,MATCH($K204,其他调用!$AG$5:$AG$364,0),0),5)*求节点(节奏总纲!D$4:D$163,攻城基础信息!$AG$5:$AG$164,$K204)</f>
        <v>723159.8738175222</v>
      </c>
      <c r="AP204" s="12">
        <f>MIN(INDEX(其他调用!$AL$5:$AL$364,MATCH($K204,其他调用!$AG$5:$AG$364,0),1)/INDEX(其他调用!AH$5:AH$364,MATCH($K204,其他调用!$AG$5:$AG$364,0),0),1)*INDEX(其他调用!Y$5:Y$404,MATCH($K204,其他调用!$X$5:$X$404,0),0)</f>
        <v>40103.481343455758</v>
      </c>
      <c r="AQ204" s="12">
        <f>MIN(INDEX(其他调用!$AL$5:$AL$364,MATCH($K204,其他调用!$AG$5:$AG$364,0),1)/INDEX(其他调用!AI$5:AI$364,MATCH($K204,其他调用!$AG$5:$AG$364,0),0),1)*INDEX(其他调用!Z$5:Z$404,MATCH($K204,其他调用!$X$5:$X$404,0),0)</f>
        <v>41255.521853853956</v>
      </c>
      <c r="AR204" s="12">
        <f>MIN(INDEX(其他调用!$AL$5:$AL$364,MATCH($K204,其他调用!$AG$5:$AG$364,0),1)/INDEX(其他调用!AJ$5:AJ$364,MATCH($K204,其他调用!$AG$5:$AG$364,0),0),1)*INDEX(其他调用!AA$5:AA$404,MATCH($K204,其他调用!$X$5:$X$404,0),0)</f>
        <v>42777.851472882197</v>
      </c>
      <c r="AS204" s="12">
        <f>MIN(INDEX(其他调用!$AL$5:$AL$364,MATCH($K204,其他调用!$AG$5:$AG$364,0),1)/INDEX(其他调用!AK$5:AK$364,MATCH($K204,其他调用!$AG$5:$AG$364,0),0),1)*INDEX(其他调用!AB$5:AB$404,MATCH($K204,其他调用!$X$5:$X$404,0),0)</f>
        <v>44969.97552773168</v>
      </c>
      <c r="AT204" s="12">
        <f>MIN(INDEX(其他调用!$AL$5:$AL$364,MATCH($K204,其他调用!$AG$5:$AG$364,0),1)/INDEX(其他调用!AL$5:AL$364,MATCH($K204,其他调用!$AG$5:$AG$364,0),0),1)*INDEX(其他调用!AC$5:AC$404,MATCH($K204,其他调用!$X$5:$X$404,0),0)</f>
        <v>48922.957953470679</v>
      </c>
      <c r="AV204" s="14">
        <f>IF(OR(AV$5="大R",AV$5="超R"),MAX(INDEX(其他调用!$H$5:$L$404,MATCH($K204,其他调用!$B$5:$B$404,0),MATCH(AV$5,其他调用!$H$4:$L$4,0))*120*0.85,2),INDEX(其他调用!$H$5:$L$404,MATCH($K204,其他调用!$B$5:$B$404,0),MATCH(AV$5,其他调用!$H$4:$L$4,0))*120*0.85)</f>
        <v>48.921801254999991</v>
      </c>
      <c r="AW204" s="14">
        <f>IF(OR(AW$5="大R",AW$5="超R"),MAX(INDEX(其他调用!$H$5:$L$404,MATCH($K204,其他调用!$B$5:$B$404,0),MATCH(AW$5,其他调用!$H$4:$L$4,0))*120*0.85,2),INDEX(其他调用!$H$5:$L$404,MATCH($K204,其他调用!$B$5:$B$404,0),MATCH(AW$5,其他调用!$H$4:$L$4,0))*120*0.85)</f>
        <v>48.237344010638395</v>
      </c>
      <c r="AX204" s="14">
        <f>IF(OR(AX$5="大R",AX$5="超R"),MAX(INDEX(其他调用!$H$5:$L$404,MATCH($K204,其他调用!$B$5:$B$404,0),MATCH(AX$5,其他调用!$H$4:$L$4,0))*120*0.85,2),INDEX(其他调用!$H$5:$L$404,MATCH($K204,其他调用!$B$5:$B$404,0),MATCH(AX$5,其他调用!$H$4:$L$4,0))*120*0.85)</f>
        <v>3.9376284143615998</v>
      </c>
      <c r="AY204" s="14">
        <f>IF(OR(AY$5="大R",AY$5="超R"),MAX(INDEX(其他调用!$H$5:$L$404,MATCH($K204,其他调用!$B$5:$B$404,0),MATCH(AY$5,其他调用!$H$4:$L$4,0))*120*0.85,2),INDEX(其他调用!$H$5:$L$404,MATCH($K204,其他调用!$B$5:$B$404,0),MATCH(AY$5,其他调用!$H$4:$L$4,0))*120*0.85)</f>
        <v>2</v>
      </c>
      <c r="AZ204" s="14">
        <f>IF(OR(AZ$5="大R",AZ$5="超R"),MAX(INDEX(其他调用!$H$5:$L$404,MATCH($K204,其他调用!$B$5:$B$404,0),MATCH(AZ$5,其他调用!$H$4:$L$4,0))*120*0.85,2),INDEX(其他调用!$H$5:$L$404,MATCH($K204,其他调用!$B$5:$B$404,0),MATCH(AZ$5,其他调用!$H$4:$L$4,0))*120*0.85)</f>
        <v>2</v>
      </c>
      <c r="BA204" s="14">
        <f>INDEX(其他调用!$H$5:$L$404,MATCH($K204,其他调用!$B$5:$B$404,0),MATCH(BA$5,其他调用!$H$4:$L$4,0))*INDEX(其他调用!$M$5:$M$404,MATCH($K204,其他调用!$B$5:$B$404,0))*0.6</f>
        <v>28.777530149999997</v>
      </c>
      <c r="BB204" s="14">
        <f>INDEX(其他调用!$H$5:$L$404,MATCH($K204,其他调用!$B$5:$B$404,0),MATCH(BB$5,其他调用!$H$4:$L$4,0))*INDEX(其他调用!$M$5:$M$404,MATCH($K204,其他调用!$B$5:$B$404,0))*0.6</f>
        <v>28.374908241551999</v>
      </c>
      <c r="BC204" s="14">
        <f>INDEX(其他调用!$H$5:$L$404,MATCH($K204,其他调用!$B$5:$B$404,0),MATCH(BC$5,其他调用!$H$4:$L$4,0))*INDEX(其他调用!$M$5:$M$404,MATCH($K204,其他调用!$B$5:$B$404,0))*0.6</f>
        <v>2.3162520084480001</v>
      </c>
      <c r="BD204" s="14">
        <f>INDEX(其他调用!$H$5:$L$404,MATCH($K204,其他调用!$B$5:$B$404,0),MATCH(BD$5,其他调用!$H$4:$L$4,0))*INDEX(其他调用!$M$5:$M$404,MATCH($K204,其他调用!$B$5:$B$404,0))*0.6</f>
        <v>0.4120776000000001</v>
      </c>
      <c r="BE204" s="14">
        <f>INDEX(其他调用!$H$5:$L$404,MATCH($K204,其他调用!$B$5:$B$404,0),MATCH(BE$5,其他调用!$H$4:$L$4,0))*INDEX(其他调用!$M$5:$M$404,MATCH($K204,其他调用!$B$5:$B$404,0))*0.6</f>
        <v>0.11923199999999998</v>
      </c>
      <c r="BF204" s="14">
        <f>IF(OR(BF$5="大R",BF$5="超R"),0,INDEX(其他调用!$H$5:$L$404,MATCH($K204,其他调用!$B$5:$B$404,0),MATCH(BF$5,其他调用!$H$4:$L$4,0))*50*0.4)</f>
        <v>9.5925100500000013</v>
      </c>
      <c r="BG204" s="14">
        <f>IF(OR(BG$5="大R",BG$5="超R"),0,INDEX(其他调用!$H$5:$L$404,MATCH($K204,其他调用!$B$5:$B$404,0),MATCH(BG$5,其他调用!$H$4:$L$4,0))*50*0.4)</f>
        <v>9.4583027471839998</v>
      </c>
      <c r="BH204" s="14">
        <f>IF(OR(BH$5="大R",BH$5="超R"),0,INDEX(其他调用!$H$5:$L$404,MATCH($K204,其他调用!$B$5:$B$404,0),MATCH(BH$5,其他调用!$H$4:$L$4,0))*50*0.4)</f>
        <v>0.77208400281600009</v>
      </c>
      <c r="BI204" s="14">
        <f>IF(OR(BI$5="大R",BI$5="超R"),0,INDEX(其他调用!$H$5:$L$404,MATCH($K204,其他调用!$B$5:$B$404,0),MATCH(BI$5,其他调用!$H$4:$L$4,0))*50*0.4)</f>
        <v>0</v>
      </c>
      <c r="BJ204" s="14">
        <f>IF(OR(BJ$5="大R",BJ$5="超R"),0,INDEX(其他调用!$H$5:$L$404,MATCH($K204,其他调用!$B$5:$B$404,0),MATCH(BJ$5,其他调用!$H$4:$L$4,0))*50*0.4)</f>
        <v>0</v>
      </c>
      <c r="BL204" s="14">
        <f t="shared" si="418"/>
        <v>199</v>
      </c>
      <c r="BM204" s="14">
        <f t="shared" si="325"/>
        <v>96</v>
      </c>
      <c r="BN204" s="14">
        <f>('疲劳值&amp;地图信息'!$S$10*'疲劳值&amp;地图信息'!$R$10+'疲劳值&amp;地图信息'!$S$11*'疲劳值&amp;地图信息'!$R$11+'疲劳值&amp;地图信息'!$S$12*'疲劳值&amp;地图信息'!$R$12+(BM204-'疲劳值&amp;地图信息'!$S$12-'疲劳值&amp;地图信息'!$S$11-'疲劳值&amp;地图信息'!$S$10)*'疲劳值&amp;地图信息'!$R$13)/BM204</f>
        <v>51.371477246638619</v>
      </c>
      <c r="BO204" s="14">
        <f>INDEX(其他调用!$M$5:$M$404,MATCH(BL204,其他调用!$B$5:$B$404,0))*0.6</f>
        <v>60</v>
      </c>
      <c r="BP204" s="14">
        <f>IF(BO204&gt;SUM('疲劳值&amp;地图信息'!$S$10:$S$12),('疲劳值&amp;地图信息'!$S$10*'疲劳值&amp;地图信息'!$R$10+'疲劳值&amp;地图信息'!$S$11*'疲劳值&amp;地图信息'!$R$11+'疲劳值&amp;地图信息'!$S$12*'疲劳值&amp;地图信息'!$R$12+(BO204-'疲劳值&amp;地图信息'!$S$12-'疲劳值&amp;地图信息'!$S$11-'疲劳值&amp;地图信息'!$S$10)*'疲劳值&amp;地图信息'!$R$13)/BO204,('疲劳值&amp;地图信息'!$S$10*'疲劳值&amp;地图信息'!$R$10+'疲劳值&amp;地图信息'!$S$11*'疲劳值&amp;地图信息'!$R$11+'疲劳值&amp;地图信息'!$S$12*'疲劳值&amp;地图信息'!$R$12+(BO204-'疲劳值&amp;地图信息'!$S$12-'疲劳值&amp;地图信息'!$S$11-'疲劳值&amp;地图信息'!$S$10)*'疲劳值&amp;地图信息'!$R$13)/BO204)</f>
        <v>44.158136341605953</v>
      </c>
      <c r="BQ204" s="14">
        <f t="shared" si="419"/>
        <v>20</v>
      </c>
      <c r="BR204" s="14">
        <f>('疲劳值&amp;地图信息'!$S$10*'疲劳值&amp;地图信息'!$R$10+($BQ204-'疲劳值&amp;地图信息'!$S$10)*'疲劳值&amp;地图信息'!$R$11)/$BQ204</f>
        <v>32.067203015074995</v>
      </c>
      <c r="CF204" s="14">
        <v>199</v>
      </c>
      <c r="CG204" s="51">
        <f t="shared" si="326"/>
        <v>13340</v>
      </c>
      <c r="CH204" s="51">
        <f t="shared" si="327"/>
        <v>1052</v>
      </c>
      <c r="CI204" s="51">
        <f>INT(SUMPRODUCT($N204:$R204,$BA204:$BE204)/SUM($BA204:$BE204)/10000*$BX$7*$BZ$34/'疲劳值&amp;地图信息'!$R$10*$BY$53)</f>
        <v>3250</v>
      </c>
      <c r="CJ204" s="50">
        <f t="shared" si="328"/>
        <v>0.75615009636095676</v>
      </c>
      <c r="CK204" s="50">
        <f t="shared" si="329"/>
        <v>5.9630427389184899E-2</v>
      </c>
      <c r="CL204" s="50">
        <f t="shared" si="330"/>
        <v>0.18421947624985829</v>
      </c>
      <c r="CM204" s="14">
        <f t="shared" si="331"/>
        <v>14200</v>
      </c>
      <c r="CN204" s="14">
        <f t="shared" si="332"/>
        <v>1686</v>
      </c>
      <c r="CO204" s="14">
        <f>INT(SUMPRODUCT($U204:$Y204,$BA204:$BE204)/SUM($BA204:$BE204)/10000*$BX$7*$BZ$34/'疲劳值&amp;地图信息'!$R$10*$BY$54)</f>
        <v>6051</v>
      </c>
      <c r="CP204" s="50">
        <f t="shared" si="333"/>
        <v>0.64730820075671236</v>
      </c>
      <c r="CQ204" s="50">
        <f t="shared" si="334"/>
        <v>7.6856452568719522E-2</v>
      </c>
      <c r="CR204" s="50">
        <f t="shared" si="335"/>
        <v>0.2758353466745681</v>
      </c>
      <c r="CS204" s="14">
        <f t="shared" si="336"/>
        <v>15299</v>
      </c>
      <c r="CT204" s="14">
        <f t="shared" si="337"/>
        <v>2947</v>
      </c>
      <c r="CU204" s="14">
        <f>INT(SUMPRODUCT($AB204:$AF204,$BA204:$BE204)/SUM($BA204:$BE204)/10000*$BX$7*$BZ$34/'疲劳值&amp;地图信息'!$R$10*$BY$55)</f>
        <v>8222</v>
      </c>
      <c r="CV204" s="50">
        <f t="shared" si="338"/>
        <v>0.5780187396100952</v>
      </c>
      <c r="CW204" s="50">
        <f t="shared" si="339"/>
        <v>0.11134199788423757</v>
      </c>
      <c r="CX204" s="50">
        <f t="shared" si="340"/>
        <v>0.3106392625056672</v>
      </c>
      <c r="CY204" s="14">
        <f t="shared" si="341"/>
        <v>18304</v>
      </c>
      <c r="CZ204" s="14">
        <f t="shared" si="342"/>
        <v>8490</v>
      </c>
      <c r="DA204" s="14">
        <f>INT(SUMPRODUCT($AI204:$AM204,$BA204:$BE204)/SUM($BA204:$BE204)/10000*$BX$7*$BZ$34/'疲劳值&amp;地图信息'!$R$10*$BY$56)</f>
        <v>12402</v>
      </c>
      <c r="DB204" s="50">
        <f t="shared" si="343"/>
        <v>0.46698642718644762</v>
      </c>
      <c r="DC204" s="50">
        <f t="shared" si="344"/>
        <v>0.21660373507500766</v>
      </c>
      <c r="DD204" s="50">
        <f t="shared" si="345"/>
        <v>0.31640983773854475</v>
      </c>
      <c r="DE204" s="14">
        <f t="shared" si="346"/>
        <v>18982</v>
      </c>
      <c r="DF204" s="14">
        <f t="shared" si="347"/>
        <v>14738</v>
      </c>
      <c r="DG204" s="14">
        <f>INT(SUMPRODUCT($AP204:$AT204,$BA204:$BE204)/SUM($BA204:$BE204)/10000*$BX$7*$BZ$34/'疲劳值&amp;地图信息'!$R$10*$BY$57)</f>
        <v>16560</v>
      </c>
      <c r="DH204" s="50">
        <f t="shared" si="348"/>
        <v>0.37752585521081944</v>
      </c>
      <c r="DI204" s="50">
        <f t="shared" si="349"/>
        <v>0.29311853619729517</v>
      </c>
      <c r="DJ204" s="50">
        <f t="shared" si="350"/>
        <v>0.32935560859188545</v>
      </c>
      <c r="DL204" s="14">
        <f t="shared" si="316"/>
        <v>17642</v>
      </c>
      <c r="DM204" s="14">
        <f t="shared" si="317"/>
        <v>21937</v>
      </c>
      <c r="DN204" s="14">
        <f t="shared" si="318"/>
        <v>26468</v>
      </c>
      <c r="DO204" s="14">
        <f t="shared" si="319"/>
        <v>39196</v>
      </c>
      <c r="DP204" s="14">
        <f t="shared" si="320"/>
        <v>50280</v>
      </c>
      <c r="DQ204" s="14">
        <f t="shared" si="321"/>
        <v>1213606</v>
      </c>
      <c r="DT204" s="14">
        <f t="shared" si="420"/>
        <v>235575</v>
      </c>
      <c r="DU204" s="50">
        <f t="shared" si="322"/>
        <v>0.16255733410802378</v>
      </c>
      <c r="DW204" s="14">
        <f t="shared" si="351"/>
        <v>1449181</v>
      </c>
      <c r="EB204" s="14">
        <v>199</v>
      </c>
      <c r="EC204" s="51">
        <f t="shared" si="352"/>
        <v>22234</v>
      </c>
      <c r="ED204" s="51">
        <f t="shared" si="353"/>
        <v>1753</v>
      </c>
      <c r="EE204" s="51">
        <f>INT(SUMPRODUCT($N204:$R204,$BF204:$BJ204)/SUM($BF204:$BJ204)/10000*$BX$7*$BZ$46/'疲劳值&amp;地图信息'!$R$10*$BY$53)</f>
        <v>436</v>
      </c>
      <c r="EF204" s="50">
        <f t="shared" si="354"/>
        <v>0.91037137124841339</v>
      </c>
      <c r="EG204" s="50">
        <f t="shared" si="355"/>
        <v>7.1776604020800064E-2</v>
      </c>
      <c r="EH204" s="50">
        <f t="shared" si="356"/>
        <v>1.7852024730786554E-2</v>
      </c>
      <c r="EI204" s="51">
        <f t="shared" si="357"/>
        <v>23667</v>
      </c>
      <c r="EJ204" s="51">
        <f t="shared" si="358"/>
        <v>2811</v>
      </c>
      <c r="EK204" s="14">
        <f>INT(SUMPRODUCT($U204:$Y204,$BF204:$BJ204)/SUM($BF204:$BJ204)/10000*$BX$7*$BZ$46/'疲劳值&amp;地图信息'!$R$10*$BY$54)</f>
        <v>812</v>
      </c>
      <c r="EL204" s="50">
        <f t="shared" si="359"/>
        <v>0.86724074752656655</v>
      </c>
      <c r="EM204" s="50">
        <f t="shared" si="360"/>
        <v>0.10300476364968852</v>
      </c>
      <c r="EN204" s="50">
        <f t="shared" si="361"/>
        <v>2.975448882374496E-2</v>
      </c>
      <c r="EO204" s="51">
        <f t="shared" si="362"/>
        <v>25498</v>
      </c>
      <c r="EP204" s="51">
        <f t="shared" si="363"/>
        <v>4912</v>
      </c>
      <c r="EQ204" s="14">
        <f>INT(SUMPRODUCT($AB204:$AF204,$BF204:$BJ204)/SUM($BF204:$BJ204)/10000*$BX$7*$BZ$46/'疲劳值&amp;地图信息'!$R$10*$BY$55)</f>
        <v>1102</v>
      </c>
      <c r="ER204" s="50">
        <f t="shared" si="364"/>
        <v>0.80915206905305914</v>
      </c>
      <c r="ES204" s="50">
        <f t="shared" si="365"/>
        <v>0.15587712617415589</v>
      </c>
      <c r="ET204" s="50">
        <f t="shared" si="366"/>
        <v>3.4970804772784969E-2</v>
      </c>
      <c r="EU204" s="51">
        <f t="shared" si="367"/>
        <v>30507</v>
      </c>
      <c r="EV204" s="51">
        <f t="shared" si="368"/>
        <v>14150</v>
      </c>
      <c r="EW204" s="14">
        <f>INT(SUMPRODUCT($AI204:$AM204,$BF204:$BJ204)/SUM($BF204:$BJ204)/10000*$BX$7*$BZ$46/'疲劳值&amp;地图信息'!$R$10*$BY$56)</f>
        <v>1654</v>
      </c>
      <c r="EX204" s="50">
        <f t="shared" si="369"/>
        <v>0.65874198354602576</v>
      </c>
      <c r="EY204" s="50">
        <f t="shared" si="370"/>
        <v>0.30554295955604499</v>
      </c>
      <c r="EZ204" s="50">
        <f t="shared" si="371"/>
        <v>3.5715056897929219E-2</v>
      </c>
      <c r="FA204" s="51">
        <f t="shared" si="372"/>
        <v>31637</v>
      </c>
      <c r="FB204" s="51">
        <f t="shared" si="373"/>
        <v>24564</v>
      </c>
      <c r="FC204" s="14">
        <f>INT(SUMPRODUCT($AP204:$AT204,$BF204:$BJ204)/SUM($BF204:$BJ204)/10000*$BX$7*$BZ$46/'疲劳值&amp;地图信息'!$R$10*$BY$57)</f>
        <v>2205</v>
      </c>
      <c r="FD204" s="50">
        <f t="shared" si="374"/>
        <v>0.54167380063692083</v>
      </c>
      <c r="FE204" s="50">
        <f t="shared" si="375"/>
        <v>0.42057322877786529</v>
      </c>
      <c r="FF204" s="50">
        <f t="shared" si="376"/>
        <v>3.7752970585213846E-2</v>
      </c>
      <c r="FH204" s="14">
        <f t="shared" si="377"/>
        <v>24423</v>
      </c>
      <c r="FI204" s="14">
        <f t="shared" si="378"/>
        <v>27290</v>
      </c>
      <c r="FJ204" s="14">
        <f t="shared" si="379"/>
        <v>31512</v>
      </c>
      <c r="FK204" s="14">
        <f t="shared" si="380"/>
        <v>46311</v>
      </c>
      <c r="FL204" s="14">
        <f t="shared" si="381"/>
        <v>58406</v>
      </c>
      <c r="FM204" s="14">
        <f t="shared" si="382"/>
        <v>2844730</v>
      </c>
      <c r="FP204" s="14">
        <f t="shared" si="383"/>
        <v>334150</v>
      </c>
      <c r="FQ204" s="50">
        <f t="shared" si="323"/>
        <v>0.10511563821220052</v>
      </c>
      <c r="FS204" s="14">
        <f t="shared" si="384"/>
        <v>3178880</v>
      </c>
      <c r="FX204" s="14">
        <v>199</v>
      </c>
      <c r="FY204" s="51">
        <f t="shared" si="385"/>
        <v>31128</v>
      </c>
      <c r="FZ204" s="51">
        <f t="shared" si="386"/>
        <v>1753</v>
      </c>
      <c r="GA204" s="51">
        <f>INT(SUMPRODUCT($N204:$R204,$BF204:$BJ204)/SUM($BF204:$BJ204)/10000*$BX$7*$BZ$46/'疲劳值&amp;地图信息'!$R$10*$BY$53)</f>
        <v>436</v>
      </c>
      <c r="GB204" s="50">
        <f t="shared" si="387"/>
        <v>0.93429780592490319</v>
      </c>
      <c r="GC204" s="50">
        <f t="shared" si="388"/>
        <v>5.2615781733049191E-2</v>
      </c>
      <c r="GD204" s="50">
        <f t="shared" si="389"/>
        <v>1.3086412342047604E-2</v>
      </c>
      <c r="GE204" s="51">
        <f t="shared" si="390"/>
        <v>33134</v>
      </c>
      <c r="GF204" s="51">
        <f t="shared" si="391"/>
        <v>2811</v>
      </c>
      <c r="GG204" s="14">
        <f>INT(SUMPRODUCT($U204:$Y204,$BF204:$BJ204)/SUM($BF204:$BJ204)/10000*$BX$7*$BZ$46/'疲劳值&amp;地图信息'!$R$10*$BY$54)</f>
        <v>812</v>
      </c>
      <c r="GH204" s="50">
        <f t="shared" si="392"/>
        <v>0.90143374051201131</v>
      </c>
      <c r="GI204" s="50">
        <f t="shared" si="393"/>
        <v>7.6475229208042006E-2</v>
      </c>
      <c r="GJ204" s="50">
        <f t="shared" si="394"/>
        <v>2.2091030279946678E-2</v>
      </c>
      <c r="GK204" s="51">
        <f t="shared" si="395"/>
        <v>35698</v>
      </c>
      <c r="GL204" s="51">
        <f t="shared" si="396"/>
        <v>4912</v>
      </c>
      <c r="GM204" s="14">
        <f>INT(SUMPRODUCT($AB204:$AF204,$BF204:$BJ204)/SUM($BF204:$BJ204)/10000*$BX$7*$BZ$46/'疲劳值&amp;地图信息'!$R$10*$BY$55)</f>
        <v>1102</v>
      </c>
      <c r="GN204" s="50">
        <f t="shared" si="397"/>
        <v>0.85582086689681625</v>
      </c>
      <c r="GO204" s="50">
        <f t="shared" si="398"/>
        <v>0.11775987725354814</v>
      </c>
      <c r="GP204" s="50">
        <f t="shared" si="399"/>
        <v>2.6419255849635597E-2</v>
      </c>
      <c r="GQ204" s="51">
        <f t="shared" si="400"/>
        <v>42710</v>
      </c>
      <c r="GR204" s="51">
        <f t="shared" si="401"/>
        <v>14150</v>
      </c>
      <c r="GS204" s="14">
        <f>INT(SUMPRODUCT($AI204:$AM204,$BF204:$BJ204)/SUM($BF204:$BJ204)/10000*$BX$7*$BZ$46/'疲劳值&amp;地图信息'!$R$10*$BY$56)</f>
        <v>1654</v>
      </c>
      <c r="GT204" s="50">
        <f t="shared" si="402"/>
        <v>0.72991079058003216</v>
      </c>
      <c r="GU204" s="50">
        <f t="shared" si="403"/>
        <v>0.2418224698362785</v>
      </c>
      <c r="GV204" s="50">
        <f t="shared" si="404"/>
        <v>2.8266739583689374E-2</v>
      </c>
      <c r="GW204" s="51">
        <f t="shared" si="405"/>
        <v>44293</v>
      </c>
      <c r="GX204" s="51">
        <f t="shared" si="406"/>
        <v>24564</v>
      </c>
      <c r="GY204" s="14">
        <f>INT(SUMPRODUCT($AP204:$AT204,$BF204:$BJ204)/SUM($BF204:$BJ204)/10000*$BX$7*$BZ$46/'疲劳值&amp;地图信息'!$R$10*$BY$57)</f>
        <v>2205</v>
      </c>
      <c r="GZ204" s="50">
        <f t="shared" si="407"/>
        <v>0.6233007796009119</v>
      </c>
      <c r="HA204" s="50">
        <f t="shared" si="408"/>
        <v>0.34566997832878332</v>
      </c>
      <c r="HB204" s="50">
        <f t="shared" si="409"/>
        <v>3.1029242070304806E-2</v>
      </c>
      <c r="HD204" s="14">
        <f t="shared" si="410"/>
        <v>33317</v>
      </c>
      <c r="HE204" s="14">
        <f t="shared" si="411"/>
        <v>36757</v>
      </c>
      <c r="HF204" s="14">
        <f t="shared" si="412"/>
        <v>41712</v>
      </c>
      <c r="HG204" s="14">
        <f t="shared" si="413"/>
        <v>58514</v>
      </c>
      <c r="HH204" s="14">
        <f t="shared" si="414"/>
        <v>71062</v>
      </c>
      <c r="HI204" s="14">
        <f t="shared" si="415"/>
        <v>3826386</v>
      </c>
      <c r="HL204" s="14">
        <f t="shared" si="416"/>
        <v>430050</v>
      </c>
      <c r="HM204" s="50">
        <f t="shared" si="324"/>
        <v>0.1010352322929324</v>
      </c>
      <c r="HO204" s="14">
        <f t="shared" si="417"/>
        <v>4256436</v>
      </c>
    </row>
    <row r="205" spans="11:223" x14ac:dyDescent="0.2">
      <c r="K205" s="14">
        <v>200</v>
      </c>
      <c r="L205" s="12">
        <f>求节点(节奏总纲!D$4:D$163,标准城池设计!AB$4:AB$163,$K205)*求节点(节奏总纲!D$4:D$163,攻城基础信息!$AC$5:$AC$164,$K205)</f>
        <v>655951.86271986517</v>
      </c>
      <c r="M205" s="12">
        <f>INDEX(其他调用!$AA$5:$AA$404,MATCH(K205,其他调用!$X$5:$X$404,0))*MIN(INDEX(其他调用!$AH$5:$AH$364,MATCH('征服点（新）'!K205,其他调用!$AG$5:$AG$364,0),1)/INDEX(其他调用!$AJ$5:$AJ$364,MATCH(K205,其他调用!$AG$5:$AG$364,0),0),5)*求节点(节奏总纲!D$4:D$163,攻城基础信息!$AC$5:$AC$164,$K205)</f>
        <v>51751.146060145053</v>
      </c>
      <c r="N205" s="12">
        <f>MIN(INDEX(其他调用!$AH$5:$AH$364,MATCH($K205,其他调用!$AG$5:$AG$364,0),1)/INDEX(其他调用!AH$5:AH$364,MATCH($K205,其他调用!$AG$5:$AG$364,0),0),1)*INDEX(其他调用!Y$5:Y$404,MATCH($K205,其他调用!$X$5:$X$404,0),0)</f>
        <v>40132.926656913769</v>
      </c>
      <c r="O205" s="12">
        <f>MIN(INDEX(其他调用!$AH$5:$AH$364,MATCH($K205,其他调用!$AG$5:$AG$364,0),1)/INDEX(其他调用!AI$5:AI$364,MATCH($K205,其他调用!$AG$5:$AG$364,0),0),1)*INDEX(其他调用!Z$5:Z$404,MATCH($K205,其他调用!$X$5:$X$404,0),0)</f>
        <v>25774.143363995427</v>
      </c>
      <c r="P205" s="12">
        <f>MIN(INDEX(其他调用!$AH$5:$AH$364,MATCH($K205,其他调用!$AG$5:$AG$364,0),1)/INDEX(其他调用!AJ$5:AJ$364,MATCH($K205,其他调用!$AG$5:$AG$364,0),0),1)*INDEX(其他调用!AA$5:AA$404,MATCH($K205,其他调用!$X$5:$X$404,0),0)</f>
        <v>15295.625673455528</v>
      </c>
      <c r="Q205" s="12">
        <f>MIN(INDEX(其他调用!$AH$5:$AH$364,MATCH($K205,其他调用!$AG$5:$AG$364,0),1)/INDEX(其他调用!AK$5:AK$364,MATCH($K205,其他调用!$AG$5:$AG$364,0),0),1)*INDEX(其他调用!AB$5:AB$404,MATCH($K205,其他调用!$X$5:$X$404,0),0)</f>
        <v>5579.3382182638297</v>
      </c>
      <c r="R205" s="12">
        <f>MIN(INDEX(其他调用!$AH$5:$AH$364,MATCH($K205,其他调用!$AG$5:$AG$364,0),1)/INDEX(其他调用!AL$5:AL$364,MATCH($K205,其他调用!$AG$5:$AG$364,0),0),1)*INDEX(其他调用!AC$5:AC$404,MATCH($K205,其他调用!$X$5:$X$404,0),0)</f>
        <v>2473.1985121953276</v>
      </c>
      <c r="S205" s="12">
        <f>求节点(节奏总纲!D$4:D$163,标准城池设计!AC$4:AC$163,$K205)*求节点(节奏总纲!D$4:D$163,攻城基础信息!$AD$5:$AD$164,$K205)</f>
        <v>698239.17543858348</v>
      </c>
      <c r="T205" s="12">
        <f>INDEX(其他调用!$AA$5:$AA$404,MATCH($K205,其他调用!$X$5:$X$404,0))*MIN(INDEX(其他调用!AI$5:AI$364,MATCH($K205,其他调用!$AG$5:$AG$364,0),1)/INDEX(其他调用!$AJ$5:$AJ$364,MATCH($K205,其他调用!$AG$5:$AG$364,0),0),5)*求节点(节奏总纲!D$4:D$163,攻城基础信息!$AD$5:$AD$164,$K205)</f>
        <v>82892.670343419784</v>
      </c>
      <c r="U205" s="12">
        <f>MIN(INDEX(其他调用!$AI$5:$AI$364,MATCH($K205,其他调用!$AG$5:$AG$364,0),1)/INDEX(其他调用!AH$5:AH$364,MATCH($K205,其他调用!$AG$5:$AG$364,0),0),1)*INDEX(其他调用!Y$5:Y$404,MATCH($K205,其他调用!$X$5:$X$404,0),0)</f>
        <v>40132.926656913769</v>
      </c>
      <c r="V205" s="12">
        <f>MIN(INDEX(其他调用!$AI$5:$AI$364,MATCH($K205,其他调用!$AG$5:$AG$364,0),1)/INDEX(其他调用!AI$5:AI$364,MATCH($K205,其他调用!$AG$5:$AG$364,0),0),1)*INDEX(其他调用!Z$5:Z$404,MATCH($K205,其他调用!$X$5:$X$404,0),0)</f>
        <v>41283.869670686967</v>
      </c>
      <c r="W205" s="12">
        <f>MIN(INDEX(其他调用!$AI$5:$AI$364,MATCH($K205,其他调用!$AG$5:$AG$364,0),1)/INDEX(其他调用!AJ$5:AJ$364,MATCH($K205,其他调用!$AG$5:$AG$364,0),0),1)*INDEX(其他调用!AA$5:AA$404,MATCH($K205,其他调用!$X$5:$X$404,0),0)</f>
        <v>24499.848856922948</v>
      </c>
      <c r="X205" s="12">
        <f>MIN(INDEX(其他调用!$AI$5:$AI$364,MATCH($K205,其他调用!$AG$5:$AG$364,0),1)/INDEX(其他调用!AK$5:AK$364,MATCH($K205,其他调用!$AG$5:$AG$364,0),0),1)*INDEX(其他调用!AB$5:AB$404,MATCH($K205,其他调用!$X$5:$X$404,0),0)</f>
        <v>8936.7343309360986</v>
      </c>
      <c r="Y205" s="12">
        <f>MIN(INDEX(其他调用!$AI$5:$AI$364,MATCH($K205,其他调用!$AG$5:$AG$364,0),1)/INDEX(其他调用!AL$5:AL$364,MATCH($K205,其他调用!$AG$5:$AG$364,0),0),1)*INDEX(其他调用!AC$5:AC$404,MATCH($K205,其他调用!$X$5:$X$404,0),0)</f>
        <v>3961.4587226142085</v>
      </c>
      <c r="Z205" s="12">
        <f>求节点(节奏总纲!D$4:D$163,标准城池设计!AD$4:AD$163,$K205)*求节点(节奏总纲!D$4:D$163,攻城基础信息!$AE$5:$AE$164,$K205)</f>
        <v>752814.81294568558</v>
      </c>
      <c r="AA205" s="12">
        <f>INDEX(其他调用!$AA$5:$AA$404,MATCH($K205,其他调用!$X$5:$X$404,0))*MIN(INDEX(其他调用!AJ$5:AJ$364,MATCH($K205,其他调用!$AG$5:$AG$364,0),1)/INDEX(其他调用!$AJ$5:$AJ$364,MATCH($K205,其他调用!$AG$5:$AG$364,0),0),5)*求节点(节奏总纲!D$4:D$163,攻城基础信息!$AE$5:$AE$164,$K205)</f>
        <v>144831.32349096434</v>
      </c>
      <c r="AB205" s="12">
        <f>MIN(INDEX(其他调用!$AJ$5:$AJ$364,MATCH($K205,其他调用!$AG$5:$AG$364,0),1)/INDEX(其他调用!AH$5:AH$364,MATCH($K205,其他调用!$AG$5:$AG$364,0),0),1)*INDEX(其他调用!Y$5:Y$404,MATCH($K205,其他调用!$X$5:$X$404,0),0)</f>
        <v>40132.926656913769</v>
      </c>
      <c r="AC205" s="12">
        <f>MIN(INDEX(其他调用!$AJ$5:$AJ$364,MATCH($K205,其他调用!$AG$5:$AG$364,0),1)/INDEX(其他调用!AI$5:AI$364,MATCH($K205,其他调用!$AG$5:$AG$364,0),0),1)*INDEX(其他调用!Z$5:Z$404,MATCH($K205,其他调用!$X$5:$X$404,0),0)</f>
        <v>41283.869670686967</v>
      </c>
      <c r="AD205" s="12">
        <f>MIN(INDEX(其他调用!$AJ$5:$AJ$364,MATCH($K205,其他调用!$AG$5:$AG$364,0),1)/INDEX(其他调用!AJ$5:AJ$364,MATCH($K205,其他调用!$AG$5:$AG$364,0),0),1)*INDEX(其他调用!AA$5:AA$404,MATCH($K205,其他调用!$X$5:$X$404,0),0)</f>
        <v>42806.505334864225</v>
      </c>
      <c r="AE205" s="12">
        <f>MIN(INDEX(其他调用!$AJ$5:$AJ$364,MATCH($K205,其他调用!$AG$5:$AG$364,0),1)/INDEX(其他调用!AK$5:AK$364,MATCH($K205,其他调用!$AG$5:$AG$364,0),0),1)*INDEX(其他调用!AB$5:AB$404,MATCH($K205,其他调用!$X$5:$X$404,0),0)</f>
        <v>15614.396972305512</v>
      </c>
      <c r="AF205" s="12">
        <f>MIN(INDEX(其他调用!$AJ$5:$AJ$364,MATCH($K205,其他调用!$AG$5:$AG$364,0),1)/INDEX(其他调用!AL$5:AL$364,MATCH($K205,其他调用!$AG$5:$AG$364,0),0),1)*INDEX(其他调用!AC$5:AC$404,MATCH($K205,其他调用!$X$5:$X$404,0),0)</f>
        <v>6921.5204115641809</v>
      </c>
      <c r="AG205" s="12">
        <f>求节点(节奏总纲!D$4:D$163,标准城池设计!AE$4:AE$163,$K205)*求节点(节奏总纲!D$4:D$163,攻城基础信息!$AF$5:$AF$164,$K205)</f>
        <v>900735.02904162498</v>
      </c>
      <c r="AH205" s="12">
        <f>INDEX(其他调用!$AA$5:$AA$404,MATCH($K205,其他调用!$X$5:$X$404,0))*MIN(INDEX(其他调用!AK$5:AK$364,MATCH($K205,其他调用!$AG$5:$AG$364,0),1)/INDEX(其他调用!$AJ$5:$AJ$364,MATCH($K205,其他调用!$AG$5:$AG$364,0),0),5)*求节点(节奏总纲!D$4:D$163,攻城基础信息!$AF$5:$AF$164,$K205)</f>
        <v>417389.62010819302</v>
      </c>
      <c r="AI205" s="12">
        <f>MIN(INDEX(其他调用!$AK$5:$AK$364,MATCH($K205,其他调用!$AG$5:$AG$364,0),1)/INDEX(其他调用!AH$5:AH$364,MATCH($K205,其他调用!$AG$5:$AG$364,0),0),1)*INDEX(其他调用!Y$5:Y$404,MATCH($K205,其他调用!$X$5:$X$404,0),0)</f>
        <v>40132.926656913769</v>
      </c>
      <c r="AJ205" s="12">
        <f>MIN(INDEX(其他调用!$AK$5:$AK$364,MATCH($K205,其他调用!$AG$5:$AG$364,0),1)/INDEX(其他调用!AI$5:AI$364,MATCH($K205,其他调用!$AG$5:$AG$364,0),0),1)*INDEX(其他调用!Z$5:Z$404,MATCH($K205,其他调用!$X$5:$X$404,0),0)</f>
        <v>41283.869670686967</v>
      </c>
      <c r="AK205" s="12">
        <f>MIN(INDEX(其他调用!$AK$5:$AK$364,MATCH($K205,其他调用!$AG$5:$AG$364,0),1)/INDEX(其他调用!AJ$5:AJ$364,MATCH($K205,其他调用!$AG$5:$AG$364,0),0),1)*INDEX(其他调用!AA$5:AA$404,MATCH($K205,其他调用!$X$5:$X$404,0),0)</f>
        <v>42806.505334864225</v>
      </c>
      <c r="AL205" s="12">
        <f>MIN(INDEX(其他调用!$AK$5:$AK$364,MATCH($K205,其他调用!$AG$5:$AG$364,0),1)/INDEX(其他调用!AK$5:AK$364,MATCH($K205,其他调用!$AG$5:$AG$364,0),0),1)*INDEX(其他调用!AB$5:AB$404,MATCH($K205,其他调用!$X$5:$X$404,0),0)</f>
        <v>44999.155316672324</v>
      </c>
      <c r="AM205" s="12">
        <f>MIN(INDEX(其他调用!$AK$5:$AK$364,MATCH($K205,其他调用!$AG$5:$AG$364,0),1)/INDEX(其他调用!AL$5:AL$364,MATCH($K205,其他调用!$AG$5:$AG$364,0),0),1)*INDEX(其他调用!AC$5:AC$404,MATCH($K205,其他调用!$X$5:$X$404,0),0)</f>
        <v>19947.140615159213</v>
      </c>
      <c r="AN205" s="12">
        <f>求节点(节奏总纲!D$4:D$163,标准城池设计!AF$4:AF$163,$K205)*求节点(节奏总纲!D$4:D$163,攻城基础信息!$AG$5:$AG$164,$K205)</f>
        <v>934578.61904298421</v>
      </c>
      <c r="AO205" s="12">
        <f>INDEX(其他调用!$AA$5:$AA$404,MATCH($K205,其他调用!$X$5:$X$404,0))*MIN(INDEX(其他调用!AL$5:AL$364,MATCH($K205,其他调用!$AG$5:$AG$364,0),1)/INDEX(其他调用!$AJ$5:$AJ$364,MATCH($K205,其他调用!$AG$5:$AG$364,0),0),5)*求节点(节奏总纲!D$4:D$163,攻城基础信息!$AG$5:$AG$164,$K205)</f>
        <v>724156.61745482171</v>
      </c>
      <c r="AP205" s="12">
        <f>MIN(INDEX(其他调用!$AL$5:$AL$364,MATCH($K205,其他调用!$AG$5:$AG$364,0),1)/INDEX(其他调用!AH$5:AH$364,MATCH($K205,其他调用!$AG$5:$AG$364,0),0),1)*INDEX(其他调用!Y$5:Y$404,MATCH($K205,其他调用!$X$5:$X$404,0),0)</f>
        <v>40132.926656913769</v>
      </c>
      <c r="AQ205" s="12">
        <f>MIN(INDEX(其他调用!$AL$5:$AL$364,MATCH($K205,其他调用!$AG$5:$AG$364,0),1)/INDEX(其他调用!AI$5:AI$364,MATCH($K205,其他调用!$AG$5:$AG$364,0),0),1)*INDEX(其他调用!Z$5:Z$404,MATCH($K205,其他调用!$X$5:$X$404,0),0)</f>
        <v>41283.869670686967</v>
      </c>
      <c r="AR205" s="12">
        <f>MIN(INDEX(其他调用!$AL$5:$AL$364,MATCH($K205,其他调用!$AG$5:$AG$364,0),1)/INDEX(其他调用!AJ$5:AJ$364,MATCH($K205,其他调用!$AG$5:$AG$364,0),0),1)*INDEX(其他调用!AA$5:AA$404,MATCH($K205,其他调用!$X$5:$X$404,0),0)</f>
        <v>42806.505334864225</v>
      </c>
      <c r="AS205" s="12">
        <f>MIN(INDEX(其他调用!$AL$5:$AL$364,MATCH($K205,其他调用!$AG$5:$AG$364,0),1)/INDEX(其他调用!AK$5:AK$364,MATCH($K205,其他调用!$AG$5:$AG$364,0),0),1)*INDEX(其他调用!AB$5:AB$404,MATCH($K205,其他调用!$X$5:$X$404,0),0)</f>
        <v>44999.155316672324</v>
      </c>
      <c r="AT205" s="12">
        <f>MIN(INDEX(其他调用!$AL$5:$AL$364,MATCH($K205,其他调用!$AG$5:$AG$364,0),1)/INDEX(其他调用!AL$5:AL$364,MATCH($K205,其他调用!$AG$5:$AG$364,0),0),1)*INDEX(其他调用!AC$5:AC$404,MATCH($K205,其他调用!$X$5:$X$404,0),0)</f>
        <v>48952.198597787268</v>
      </c>
      <c r="AV205" s="14">
        <f>IF(OR(AV$5="大R",AV$5="超R"),MAX(INDEX(其他调用!$H$5:$L$404,MATCH($K205,其他调用!$B$5:$B$404,0),MATCH(AV$5,其他调用!$H$4:$L$4,0))*120*0.85,2),INDEX(其他调用!$H$5:$L$404,MATCH($K205,其他调用!$B$5:$B$404,0),MATCH(AV$5,其他调用!$H$4:$L$4,0))*120*0.85)</f>
        <v>48.921801254999991</v>
      </c>
      <c r="AW205" s="14">
        <f>IF(OR(AW$5="大R",AW$5="超R"),MAX(INDEX(其他调用!$H$5:$L$404,MATCH($K205,其他调用!$B$5:$B$404,0),MATCH(AW$5,其他调用!$H$4:$L$4,0))*120*0.85,2),INDEX(其他调用!$H$5:$L$404,MATCH($K205,其他调用!$B$5:$B$404,0),MATCH(AW$5,其他调用!$H$4:$L$4,0))*120*0.85)</f>
        <v>48.237344010638395</v>
      </c>
      <c r="AX205" s="14">
        <f>IF(OR(AX$5="大R",AX$5="超R"),MAX(INDEX(其他调用!$H$5:$L$404,MATCH($K205,其他调用!$B$5:$B$404,0),MATCH(AX$5,其他调用!$H$4:$L$4,0))*120*0.85,2),INDEX(其他调用!$H$5:$L$404,MATCH($K205,其他调用!$B$5:$B$404,0),MATCH(AX$5,其他调用!$H$4:$L$4,0))*120*0.85)</f>
        <v>3.9376284143615998</v>
      </c>
      <c r="AY205" s="14">
        <f>IF(OR(AY$5="大R",AY$5="超R"),MAX(INDEX(其他调用!$H$5:$L$404,MATCH($K205,其他调用!$B$5:$B$404,0),MATCH(AY$5,其他调用!$H$4:$L$4,0))*120*0.85,2),INDEX(其他调用!$H$5:$L$404,MATCH($K205,其他调用!$B$5:$B$404,0),MATCH(AY$5,其他调用!$H$4:$L$4,0))*120*0.85)</f>
        <v>2</v>
      </c>
      <c r="AZ205" s="14">
        <f>IF(OR(AZ$5="大R",AZ$5="超R"),MAX(INDEX(其他调用!$H$5:$L$404,MATCH($K205,其他调用!$B$5:$B$404,0),MATCH(AZ$5,其他调用!$H$4:$L$4,0))*120*0.85,2),INDEX(其他调用!$H$5:$L$404,MATCH($K205,其他调用!$B$5:$B$404,0),MATCH(AZ$5,其他调用!$H$4:$L$4,0))*120*0.85)</f>
        <v>2</v>
      </c>
      <c r="BA205" s="14">
        <f>INDEX(其他调用!$H$5:$L$404,MATCH($K205,其他调用!$B$5:$B$404,0),MATCH(BA$5,其他调用!$H$4:$L$4,0))*INDEX(其他调用!$M$5:$M$404,MATCH($K205,其他调用!$B$5:$B$404,0))*0.6</f>
        <v>28.777530149999997</v>
      </c>
      <c r="BB205" s="14">
        <f>INDEX(其他调用!$H$5:$L$404,MATCH($K205,其他调用!$B$5:$B$404,0),MATCH(BB$5,其他调用!$H$4:$L$4,0))*INDEX(其他调用!$M$5:$M$404,MATCH($K205,其他调用!$B$5:$B$404,0))*0.6</f>
        <v>28.374908241551999</v>
      </c>
      <c r="BC205" s="14">
        <f>INDEX(其他调用!$H$5:$L$404,MATCH($K205,其他调用!$B$5:$B$404,0),MATCH(BC$5,其他调用!$H$4:$L$4,0))*INDEX(其他调用!$M$5:$M$404,MATCH($K205,其他调用!$B$5:$B$404,0))*0.6</f>
        <v>2.3162520084480001</v>
      </c>
      <c r="BD205" s="14">
        <f>INDEX(其他调用!$H$5:$L$404,MATCH($K205,其他调用!$B$5:$B$404,0),MATCH(BD$5,其他调用!$H$4:$L$4,0))*INDEX(其他调用!$M$5:$M$404,MATCH($K205,其他调用!$B$5:$B$404,0))*0.6</f>
        <v>0.4120776000000001</v>
      </c>
      <c r="BE205" s="14">
        <f>INDEX(其他调用!$H$5:$L$404,MATCH($K205,其他调用!$B$5:$B$404,0),MATCH(BE$5,其他调用!$H$4:$L$4,0))*INDEX(其他调用!$M$5:$M$404,MATCH($K205,其他调用!$B$5:$B$404,0))*0.6</f>
        <v>0.11923199999999998</v>
      </c>
      <c r="BF205" s="14">
        <f>IF(OR(BF$5="大R",BF$5="超R"),0,INDEX(其他调用!$H$5:$L$404,MATCH($K205,其他调用!$B$5:$B$404,0),MATCH(BF$5,其他调用!$H$4:$L$4,0))*50*0.4)</f>
        <v>9.5925100500000013</v>
      </c>
      <c r="BG205" s="14">
        <f>IF(OR(BG$5="大R",BG$5="超R"),0,INDEX(其他调用!$H$5:$L$404,MATCH($K205,其他调用!$B$5:$B$404,0),MATCH(BG$5,其他调用!$H$4:$L$4,0))*50*0.4)</f>
        <v>9.4583027471839998</v>
      </c>
      <c r="BH205" s="14">
        <f>IF(OR(BH$5="大R",BH$5="超R"),0,INDEX(其他调用!$H$5:$L$404,MATCH($K205,其他调用!$B$5:$B$404,0),MATCH(BH$5,其他调用!$H$4:$L$4,0))*50*0.4)</f>
        <v>0.77208400281600009</v>
      </c>
      <c r="BI205" s="14">
        <f>IF(OR(BI$5="大R",BI$5="超R"),0,INDEX(其他调用!$H$5:$L$404,MATCH($K205,其他调用!$B$5:$B$404,0),MATCH(BI$5,其他调用!$H$4:$L$4,0))*50*0.4)</f>
        <v>0</v>
      </c>
      <c r="BJ205" s="14">
        <f>IF(OR(BJ$5="大R",BJ$5="超R"),0,INDEX(其他调用!$H$5:$L$404,MATCH($K205,其他调用!$B$5:$B$404,0),MATCH(BJ$5,其他调用!$H$4:$L$4,0))*50*0.4)</f>
        <v>0</v>
      </c>
      <c r="BL205" s="14">
        <f t="shared" si="418"/>
        <v>200</v>
      </c>
      <c r="BM205" s="14">
        <f t="shared" si="325"/>
        <v>96</v>
      </c>
      <c r="BN205" s="14">
        <f>('疲劳值&amp;地图信息'!$S$10*'疲劳值&amp;地图信息'!$R$10+'疲劳值&amp;地图信息'!$S$11*'疲劳值&amp;地图信息'!$R$11+'疲劳值&amp;地图信息'!$S$12*'疲劳值&amp;地图信息'!$R$12+(BM205-'疲劳值&amp;地图信息'!$S$12-'疲劳值&amp;地图信息'!$S$11-'疲劳值&amp;地图信息'!$S$10)*'疲劳值&amp;地图信息'!$R$13)/BM205</f>
        <v>51.371477246638619</v>
      </c>
      <c r="BO205" s="14">
        <f>INDEX(其他调用!$M$5:$M$404,MATCH(BL205,其他调用!$B$5:$B$404,0))*0.6</f>
        <v>60</v>
      </c>
      <c r="BP205" s="14">
        <f>IF(BO205&gt;SUM('疲劳值&amp;地图信息'!$S$10:$S$12),('疲劳值&amp;地图信息'!$S$10*'疲劳值&amp;地图信息'!$R$10+'疲劳值&amp;地图信息'!$S$11*'疲劳值&amp;地图信息'!$R$11+'疲劳值&amp;地图信息'!$S$12*'疲劳值&amp;地图信息'!$R$12+(BO205-'疲劳值&amp;地图信息'!$S$12-'疲劳值&amp;地图信息'!$S$11-'疲劳值&amp;地图信息'!$S$10)*'疲劳值&amp;地图信息'!$R$13)/BO205,('疲劳值&amp;地图信息'!$S$10*'疲劳值&amp;地图信息'!$R$10+'疲劳值&amp;地图信息'!$S$11*'疲劳值&amp;地图信息'!$R$11+'疲劳值&amp;地图信息'!$S$12*'疲劳值&amp;地图信息'!$R$12+(BO205-'疲劳值&amp;地图信息'!$S$12-'疲劳值&amp;地图信息'!$S$11-'疲劳值&amp;地图信息'!$S$10)*'疲劳值&amp;地图信息'!$R$13)/BO205)</f>
        <v>44.158136341605953</v>
      </c>
      <c r="BQ205" s="14">
        <f t="shared" si="419"/>
        <v>20</v>
      </c>
      <c r="BR205" s="14">
        <f>('疲劳值&amp;地图信息'!$S$10*'疲劳值&amp;地图信息'!$R$10+($BQ205-'疲劳值&amp;地图信息'!$S$10)*'疲劳值&amp;地图信息'!$R$11)/$BQ205</f>
        <v>32.067203015074995</v>
      </c>
      <c r="CF205" s="14">
        <v>200</v>
      </c>
      <c r="CG205" s="51">
        <f t="shared" si="326"/>
        <v>13369</v>
      </c>
      <c r="CH205" s="51">
        <f t="shared" si="327"/>
        <v>1054</v>
      </c>
      <c r="CI205" s="51">
        <f>INT(SUMPRODUCT($N205:$R205,$BA205:$BE205)/SUM($BA205:$BE205)/10000*$BX$7*$BZ$34/'疲劳值&amp;地图信息'!$R$10*$BY$53)</f>
        <v>3254</v>
      </c>
      <c r="CJ205" s="50">
        <f t="shared" si="328"/>
        <v>0.75629348871414837</v>
      </c>
      <c r="CK205" s="50">
        <f t="shared" si="329"/>
        <v>5.9625502064830006E-2</v>
      </c>
      <c r="CL205" s="50">
        <f t="shared" si="330"/>
        <v>0.18408100922102166</v>
      </c>
      <c r="CM205" s="14">
        <f t="shared" si="331"/>
        <v>14231</v>
      </c>
      <c r="CN205" s="14">
        <f t="shared" si="332"/>
        <v>1689</v>
      </c>
      <c r="CO205" s="14">
        <f>INT(SUMPRODUCT($U205:$Y205,$BA205:$BE205)/SUM($BA205:$BE205)/10000*$BX$7*$BZ$34/'疲劳值&amp;地图信息'!$R$10*$BY$54)</f>
        <v>6055</v>
      </c>
      <c r="CP205" s="50">
        <f t="shared" si="333"/>
        <v>0.64759954493742888</v>
      </c>
      <c r="CQ205" s="50">
        <f t="shared" si="334"/>
        <v>7.6860068259385669E-2</v>
      </c>
      <c r="CR205" s="50">
        <f t="shared" si="335"/>
        <v>0.27554038680318543</v>
      </c>
      <c r="CS205" s="14">
        <f t="shared" si="336"/>
        <v>15343</v>
      </c>
      <c r="CT205" s="14">
        <f t="shared" si="337"/>
        <v>2951</v>
      </c>
      <c r="CU205" s="14">
        <f>INT(SUMPRODUCT($AB205:$AF205,$BA205:$BE205)/SUM($BA205:$BE205)/10000*$BX$7*$BZ$34/'疲劳值&amp;地图信息'!$R$10*$BY$55)</f>
        <v>8228</v>
      </c>
      <c r="CV205" s="50">
        <f t="shared" si="338"/>
        <v>0.57850086720458482</v>
      </c>
      <c r="CW205" s="50">
        <f t="shared" si="339"/>
        <v>0.11126611869391449</v>
      </c>
      <c r="CX205" s="50">
        <f t="shared" si="340"/>
        <v>0.31023301410150061</v>
      </c>
      <c r="CY205" s="14">
        <f t="shared" si="341"/>
        <v>18358</v>
      </c>
      <c r="CZ205" s="14">
        <f t="shared" si="342"/>
        <v>8506</v>
      </c>
      <c r="DA205" s="14">
        <f>INT(SUMPRODUCT($AI205:$AM205,$BA205:$BE205)/SUM($BA205:$BE205)/10000*$BX$7*$BZ$34/'疲劳值&amp;地图信息'!$R$10*$BY$56)</f>
        <v>12411</v>
      </c>
      <c r="DB205" s="50">
        <f t="shared" si="343"/>
        <v>0.467422024188415</v>
      </c>
      <c r="DC205" s="50">
        <f t="shared" si="344"/>
        <v>0.21657542966263527</v>
      </c>
      <c r="DD205" s="50">
        <f t="shared" si="345"/>
        <v>0.31600254614894974</v>
      </c>
      <c r="DE205" s="14">
        <f t="shared" si="346"/>
        <v>19047</v>
      </c>
      <c r="DF205" s="14">
        <f t="shared" si="347"/>
        <v>14759</v>
      </c>
      <c r="DG205" s="14">
        <f>INT(SUMPRODUCT($AP205:$AT205,$BA205:$BE205)/SUM($BA205:$BE205)/10000*$BX$7*$BZ$34/'疲劳值&amp;地图信息'!$R$10*$BY$57)</f>
        <v>16572</v>
      </c>
      <c r="DH205" s="50">
        <f t="shared" si="348"/>
        <v>0.3780817023303823</v>
      </c>
      <c r="DI205" s="50">
        <f t="shared" si="349"/>
        <v>0.2929651832148954</v>
      </c>
      <c r="DJ205" s="50">
        <f t="shared" si="350"/>
        <v>0.32895311445472231</v>
      </c>
      <c r="DL205" s="14">
        <f t="shared" si="316"/>
        <v>17677</v>
      </c>
      <c r="DM205" s="14">
        <f t="shared" si="317"/>
        <v>21975</v>
      </c>
      <c r="DN205" s="14">
        <f t="shared" si="318"/>
        <v>26522</v>
      </c>
      <c r="DO205" s="14">
        <f t="shared" si="319"/>
        <v>39275</v>
      </c>
      <c r="DP205" s="14">
        <f t="shared" si="320"/>
        <v>50378</v>
      </c>
      <c r="DQ205" s="14">
        <f t="shared" si="321"/>
        <v>1215861</v>
      </c>
      <c r="DT205" s="14">
        <f t="shared" si="420"/>
        <v>235575</v>
      </c>
      <c r="DU205" s="50">
        <f t="shared" si="322"/>
        <v>0.16230477954246691</v>
      </c>
      <c r="DW205" s="14">
        <f t="shared" si="351"/>
        <v>1451436</v>
      </c>
      <c r="EB205" s="14">
        <v>200</v>
      </c>
      <c r="EC205" s="51">
        <f t="shared" si="352"/>
        <v>22281</v>
      </c>
      <c r="ED205" s="51">
        <f t="shared" si="353"/>
        <v>1757</v>
      </c>
      <c r="EE205" s="51">
        <f>INT(SUMPRODUCT($N205:$R205,$BF205:$BJ205)/SUM($BF205:$BJ205)/10000*$BX$7*$BZ$46/'疲劳值&amp;地图信息'!$R$10*$BY$53)</f>
        <v>437</v>
      </c>
      <c r="EF205" s="50">
        <f t="shared" si="354"/>
        <v>0.91035750766087842</v>
      </c>
      <c r="EG205" s="50">
        <f t="shared" si="355"/>
        <v>7.1787538304392232E-2</v>
      </c>
      <c r="EH205" s="50">
        <f t="shared" si="356"/>
        <v>1.7854954034729316E-2</v>
      </c>
      <c r="EI205" s="51">
        <f t="shared" si="357"/>
        <v>23718</v>
      </c>
      <c r="EJ205" s="51">
        <f t="shared" si="358"/>
        <v>2815</v>
      </c>
      <c r="EK205" s="14">
        <f>INT(SUMPRODUCT($U205:$Y205,$BF205:$BJ205)/SUM($BF205:$BJ205)/10000*$BX$7*$BZ$46/'疲劳值&amp;地图信息'!$R$10*$BY$54)</f>
        <v>813</v>
      </c>
      <c r="EL205" s="50">
        <f t="shared" si="359"/>
        <v>0.86732977400716738</v>
      </c>
      <c r="EM205" s="50">
        <f t="shared" si="360"/>
        <v>0.10294010092883786</v>
      </c>
      <c r="EN205" s="50">
        <f t="shared" si="361"/>
        <v>2.9730125063994733E-2</v>
      </c>
      <c r="EO205" s="51">
        <f t="shared" si="362"/>
        <v>25572</v>
      </c>
      <c r="EP205" s="51">
        <f t="shared" si="363"/>
        <v>4919</v>
      </c>
      <c r="EQ205" s="14">
        <f>INT(SUMPRODUCT($AB205:$AF205,$BF205:$BJ205)/SUM($BF205:$BJ205)/10000*$BX$7*$BZ$46/'疲劳值&amp;地图信息'!$R$10*$BY$55)</f>
        <v>1103</v>
      </c>
      <c r="ER205" s="50">
        <f t="shared" si="364"/>
        <v>0.80939418877001967</v>
      </c>
      <c r="ES205" s="50">
        <f t="shared" si="365"/>
        <v>0.15569411913654491</v>
      </c>
      <c r="ET205" s="50">
        <f t="shared" si="366"/>
        <v>3.4911692093435462E-2</v>
      </c>
      <c r="EU205" s="51">
        <f t="shared" si="367"/>
        <v>30596</v>
      </c>
      <c r="EV205" s="51">
        <f t="shared" si="368"/>
        <v>14178</v>
      </c>
      <c r="EW205" s="14">
        <f>INT(SUMPRODUCT($AI205:$AM205,$BF205:$BJ205)/SUM($BF205:$BJ205)/10000*$BX$7*$BZ$46/'疲劳值&amp;地图信息'!$R$10*$BY$56)</f>
        <v>1655</v>
      </c>
      <c r="EX205" s="50">
        <f t="shared" si="369"/>
        <v>0.65898468629520346</v>
      </c>
      <c r="EY205" s="50">
        <f t="shared" si="370"/>
        <v>0.30536948889702559</v>
      </c>
      <c r="EZ205" s="50">
        <f t="shared" si="371"/>
        <v>3.5645824807771002E-2</v>
      </c>
      <c r="FA205" s="51">
        <f t="shared" si="372"/>
        <v>31746</v>
      </c>
      <c r="FB205" s="51">
        <f t="shared" si="373"/>
        <v>24598</v>
      </c>
      <c r="FC205" s="14">
        <f>INT(SUMPRODUCT($AP205:$AT205,$BF205:$BJ205)/SUM($BF205:$BJ205)/10000*$BX$7*$BZ$46/'疲劳值&amp;地图信息'!$R$10*$BY$57)</f>
        <v>2207</v>
      </c>
      <c r="FD205" s="50">
        <f t="shared" si="374"/>
        <v>0.5421939847312599</v>
      </c>
      <c r="FE205" s="50">
        <f t="shared" si="375"/>
        <v>0.42011238065959589</v>
      </c>
      <c r="FF205" s="50">
        <f t="shared" si="376"/>
        <v>3.7693634609144162E-2</v>
      </c>
      <c r="FH205" s="14">
        <f t="shared" si="377"/>
        <v>24475</v>
      </c>
      <c r="FI205" s="14">
        <f t="shared" si="378"/>
        <v>27346</v>
      </c>
      <c r="FJ205" s="14">
        <f t="shared" si="379"/>
        <v>31594</v>
      </c>
      <c r="FK205" s="14">
        <f t="shared" si="380"/>
        <v>46429</v>
      </c>
      <c r="FL205" s="14">
        <f t="shared" si="381"/>
        <v>58551</v>
      </c>
      <c r="FM205" s="14">
        <f t="shared" si="382"/>
        <v>2850824</v>
      </c>
      <c r="FP205" s="14">
        <f t="shared" si="383"/>
        <v>334150</v>
      </c>
      <c r="FQ205" s="50">
        <f t="shared" si="323"/>
        <v>0.10491451421581463</v>
      </c>
      <c r="FS205" s="14">
        <f t="shared" si="384"/>
        <v>3184974</v>
      </c>
      <c r="FX205" s="14">
        <v>200</v>
      </c>
      <c r="FY205" s="51">
        <f t="shared" si="385"/>
        <v>31194</v>
      </c>
      <c r="FZ205" s="51">
        <f t="shared" si="386"/>
        <v>1757</v>
      </c>
      <c r="GA205" s="51">
        <f>INT(SUMPRODUCT($N205:$R205,$BF205:$BJ205)/SUM($BF205:$BJ205)/10000*$BX$7*$BZ$46/'疲劳值&amp;地图信息'!$R$10*$BY$53)</f>
        <v>437</v>
      </c>
      <c r="GB205" s="50">
        <f t="shared" si="387"/>
        <v>0.93428776806038094</v>
      </c>
      <c r="GC205" s="50">
        <f t="shared" si="388"/>
        <v>5.2623697136695818E-2</v>
      </c>
      <c r="GD205" s="50">
        <f t="shared" si="389"/>
        <v>1.3088534802923206E-2</v>
      </c>
      <c r="GE205" s="51">
        <f t="shared" si="390"/>
        <v>33205</v>
      </c>
      <c r="GF205" s="51">
        <f t="shared" si="391"/>
        <v>2815</v>
      </c>
      <c r="GG205" s="14">
        <f>INT(SUMPRODUCT($U205:$Y205,$BF205:$BJ205)/SUM($BF205:$BJ205)/10000*$BX$7*$BZ$46/'疲劳值&amp;地图信息'!$R$10*$BY$54)</f>
        <v>813</v>
      </c>
      <c r="GH205" s="50">
        <f t="shared" si="392"/>
        <v>0.90150137105313166</v>
      </c>
      <c r="GI205" s="50">
        <f t="shared" si="393"/>
        <v>7.6426031004805467E-2</v>
      </c>
      <c r="GJ205" s="50">
        <f t="shared" si="394"/>
        <v>2.2072597942062823E-2</v>
      </c>
      <c r="GK205" s="51">
        <f t="shared" si="395"/>
        <v>35801</v>
      </c>
      <c r="GL205" s="51">
        <f t="shared" si="396"/>
        <v>4919</v>
      </c>
      <c r="GM205" s="14">
        <f>INT(SUMPRODUCT($AB205:$AF205,$BF205:$BJ205)/SUM($BF205:$BJ205)/10000*$BX$7*$BZ$46/'疲劳值&amp;地图信息'!$R$10*$BY$55)</f>
        <v>1103</v>
      </c>
      <c r="GN205" s="50">
        <f t="shared" si="397"/>
        <v>0.85601224206776172</v>
      </c>
      <c r="GO205" s="50">
        <f t="shared" si="398"/>
        <v>0.11761470960954498</v>
      </c>
      <c r="GP205" s="50">
        <f t="shared" si="399"/>
        <v>2.6373048322693254E-2</v>
      </c>
      <c r="GQ205" s="51">
        <f t="shared" si="400"/>
        <v>42835</v>
      </c>
      <c r="GR205" s="51">
        <f t="shared" si="401"/>
        <v>14178</v>
      </c>
      <c r="GS205" s="14">
        <f>INT(SUMPRODUCT($AI205:$AM205,$BF205:$BJ205)/SUM($BF205:$BJ205)/10000*$BX$7*$BZ$46/'疲劳值&amp;地图信息'!$R$10*$BY$56)</f>
        <v>1655</v>
      </c>
      <c r="GT205" s="50">
        <f t="shared" si="402"/>
        <v>0.73012545169427967</v>
      </c>
      <c r="GU205" s="50">
        <f t="shared" si="403"/>
        <v>0.2416649621599509</v>
      </c>
      <c r="GV205" s="50">
        <f t="shared" si="404"/>
        <v>2.8209586145769416E-2</v>
      </c>
      <c r="GW205" s="51">
        <f t="shared" si="405"/>
        <v>44445</v>
      </c>
      <c r="GX205" s="51">
        <f t="shared" si="406"/>
        <v>24598</v>
      </c>
      <c r="GY205" s="14">
        <f>INT(SUMPRODUCT($AP205:$AT205,$BF205:$BJ205)/SUM($BF205:$BJ205)/10000*$BX$7*$BZ$46/'疲劳值&amp;地图信息'!$R$10*$BY$57)</f>
        <v>2207</v>
      </c>
      <c r="GZ205" s="50">
        <f t="shared" si="407"/>
        <v>0.62378947368421056</v>
      </c>
      <c r="HA205" s="50">
        <f t="shared" si="408"/>
        <v>0.34523508771929823</v>
      </c>
      <c r="HB205" s="50">
        <f t="shared" si="409"/>
        <v>3.0975438596491229E-2</v>
      </c>
      <c r="HD205" s="14">
        <f t="shared" si="410"/>
        <v>33388</v>
      </c>
      <c r="HE205" s="14">
        <f t="shared" si="411"/>
        <v>36833</v>
      </c>
      <c r="HF205" s="14">
        <f t="shared" si="412"/>
        <v>41823</v>
      </c>
      <c r="HG205" s="14">
        <f t="shared" si="413"/>
        <v>58668</v>
      </c>
      <c r="HH205" s="14">
        <f t="shared" si="414"/>
        <v>71250</v>
      </c>
      <c r="HI205" s="14">
        <f t="shared" si="415"/>
        <v>3834646</v>
      </c>
      <c r="HL205" s="14">
        <f t="shared" si="416"/>
        <v>430050</v>
      </c>
      <c r="HM205" s="50">
        <f t="shared" si="324"/>
        <v>0.10083954401439164</v>
      </c>
      <c r="HO205" s="14">
        <f t="shared" si="417"/>
        <v>4264696</v>
      </c>
    </row>
    <row r="206" spans="11:223" x14ac:dyDescent="0.2">
      <c r="K206" s="14">
        <v>201</v>
      </c>
      <c r="L206" s="12">
        <f>求节点(节奏总纲!D$4:D$163,标准城池设计!AB$4:AB$163,$K206)*求节点(节奏总纲!D$4:D$163,攻城基础信息!$AC$5:$AC$164,$K206)</f>
        <v>657353.39069162135</v>
      </c>
      <c r="M206" s="12">
        <f>INDEX(其他调用!$AA$5:$AA$404,MATCH(K206,其他调用!$X$5:$X$404,0))*MIN(INDEX(其他调用!$AH$5:$AH$364,MATCH('征服点（新）'!K206,其他调用!$AG$5:$AG$364,0),1)/INDEX(其他调用!$AJ$5:$AJ$364,MATCH(K206,其他调用!$AG$5:$AG$364,0),0),5)*求节点(节奏总纲!D$4:D$163,攻城基础信息!$AC$5:$AC$164,$K206)</f>
        <v>51879.054277758718</v>
      </c>
      <c r="N206" s="12">
        <f>MIN(INDEX(其他调用!$AH$5:$AH$364,MATCH($K206,其他调用!$AG$5:$AG$364,0),1)/INDEX(其他调用!AH$5:AH$364,MATCH($K206,其他调用!$AG$5:$AG$364,0),0),1)*INDEX(其他调用!Y$5:Y$404,MATCH($K206,其他调用!$X$5:$X$404,0),0)</f>
        <v>40162.371970371787</v>
      </c>
      <c r="O206" s="12">
        <f>MIN(INDEX(其他调用!$AH$5:$AH$364,MATCH($K206,其他调用!$AG$5:$AG$364,0),1)/INDEX(其他调用!AI$5:AI$364,MATCH($K206,其他调用!$AG$5:$AG$364,0),0),1)*INDEX(其他调用!Z$5:Z$404,MATCH($K206,其他调用!$X$5:$X$404,0),0)</f>
        <v>25817.033363992388</v>
      </c>
      <c r="P206" s="12">
        <f>MIN(INDEX(其他调用!$AH$5:$AH$364,MATCH($K206,其他调用!$AG$5:$AG$364,0),1)/INDEX(其他调用!AJ$5:AJ$364,MATCH($K206,其他调用!$AG$5:$AG$364,0),0),1)*INDEX(其他调用!AA$5:AA$404,MATCH($K206,其他调用!$X$5:$X$404,0),0)</f>
        <v>15322.589442495633</v>
      </c>
      <c r="Q206" s="12">
        <f>MIN(INDEX(其他调用!$AH$5:$AH$364,MATCH($K206,其他调用!$AG$5:$AG$364,0),1)/INDEX(其他调用!AK$5:AK$364,MATCH($K206,其他调用!$AG$5:$AG$364,0),0),1)*INDEX(其他调用!AB$5:AB$404,MATCH($K206,其他调用!$X$5:$X$404,0),0)</f>
        <v>5583.7584114293913</v>
      </c>
      <c r="R206" s="12">
        <f>MIN(INDEX(其他调用!$AH$5:$AH$364,MATCH($K206,其他调用!$AG$5:$AG$364,0),1)/INDEX(其他调用!AL$5:AL$364,MATCH($K206,其他调用!$AG$5:$AG$364,0),0),1)*INDEX(其他调用!AC$5:AC$404,MATCH($K206,其他调用!$X$5:$X$404,0),0)</f>
        <v>2486.4123600390844</v>
      </c>
      <c r="S206" s="12">
        <f>求节点(节奏总纲!D$4:D$163,标准城池设计!AC$4:AC$163,$K206)*求节点(节奏总纲!D$4:D$163,攻城基础信息!$AD$5:$AD$164,$K206)</f>
        <v>699737.04757433082</v>
      </c>
      <c r="T206" s="12">
        <f>INDEX(其他调用!$AA$5:$AA$404,MATCH($K206,其他调用!$X$5:$X$404,0))*MIN(INDEX(其他调用!AI$5:AI$364,MATCH($K206,其他调用!$AG$5:$AG$364,0),1)/INDEX(其他调用!$AJ$5:$AJ$364,MATCH($K206,其他调用!$AG$5:$AG$364,0),0),5)*求节点(节奏总纲!D$4:D$163,攻城基础信息!$AD$5:$AD$164,$K206)</f>
        <v>83016.462160940864</v>
      </c>
      <c r="U206" s="12">
        <f>MIN(INDEX(其他调用!$AI$5:$AI$364,MATCH($K206,其他调用!$AG$5:$AG$364,0),1)/INDEX(其他调用!AH$5:AH$364,MATCH($K206,其他调用!$AG$5:$AG$364,0),0),1)*INDEX(其他调用!Y$5:Y$404,MATCH($K206,其他调用!$X$5:$X$404,0),0)</f>
        <v>40162.371970371787</v>
      </c>
      <c r="V206" s="12">
        <f>MIN(INDEX(其他调用!$AI$5:$AI$364,MATCH($K206,其他调用!$AG$5:$AG$364,0),1)/INDEX(其他调用!AI$5:AI$364,MATCH($K206,其他调用!$AG$5:$AG$364,0),0),1)*INDEX(其他调用!Z$5:Z$404,MATCH($K206,其他调用!$X$5:$X$404,0),0)</f>
        <v>41312.217487519978</v>
      </c>
      <c r="W206" s="12">
        <f>MIN(INDEX(其他调用!$AI$5:$AI$364,MATCH($K206,其他调用!$AG$5:$AG$364,0),1)/INDEX(其他调用!AJ$5:AJ$364,MATCH($K206,其他调用!$AG$5:$AG$364,0),0),1)*INDEX(其他调用!AA$5:AA$404,MATCH($K206,其他调用!$X$5:$X$404,0),0)</f>
        <v>24519.089339026497</v>
      </c>
      <c r="X206" s="12">
        <f>MIN(INDEX(其他调用!$AI$5:$AI$364,MATCH($K206,其他调用!$AG$5:$AG$364,0),1)/INDEX(其他调用!AK$5:AK$364,MATCH($K206,其他调用!$AG$5:$AG$364,0),0),1)*INDEX(其他调用!AB$5:AB$404,MATCH($K206,其他调用!$X$5:$X$404,0),0)</f>
        <v>8935.087104642751</v>
      </c>
      <c r="Y206" s="12">
        <f>MIN(INDEX(其他调用!$AI$5:$AI$364,MATCH($K206,其他调用!$AG$5:$AG$364,0),1)/INDEX(其他调用!AL$5:AL$364,MATCH($K206,其他调用!$AG$5:$AG$364,0),0),1)*INDEX(其他调用!AC$5:AC$404,MATCH($K206,其他调用!$X$5:$X$404,0),0)</f>
        <v>3978.73786400483</v>
      </c>
      <c r="Z206" s="12">
        <f>求节点(节奏总纲!D$4:D$163,标准城池设计!AD$4:AD$163,$K206)*求节点(节奏总纲!D$4:D$163,攻城基础信息!$AE$5:$AE$164,$K206)</f>
        <v>754976.56001878844</v>
      </c>
      <c r="AA206" s="12">
        <f>INDEX(其他调用!$AA$5:$AA$404,MATCH($K206,其他调用!$X$5:$X$404,0))*MIN(INDEX(其他调用!AJ$5:AJ$364,MATCH($K206,其他调用!$AG$5:$AG$364,0),1)/INDEX(其他调用!$AJ$5:$AJ$364,MATCH($K206,其他调用!$AG$5:$AG$364,0),0),5)*求节点(节奏总纲!D$4:D$163,攻城基础信息!$AE$5:$AE$164,$K206)</f>
        <v>145030.80940134346</v>
      </c>
      <c r="AB206" s="12">
        <f>MIN(INDEX(其他调用!$AJ$5:$AJ$364,MATCH($K206,其他调用!$AG$5:$AG$364,0),1)/INDEX(其他调用!AH$5:AH$364,MATCH($K206,其他调用!$AG$5:$AG$364,0),0),1)*INDEX(其他调用!Y$5:Y$404,MATCH($K206,其他调用!$X$5:$X$404,0),0)</f>
        <v>40162.371970371787</v>
      </c>
      <c r="AC206" s="12">
        <f>MIN(INDEX(其他调用!$AJ$5:$AJ$364,MATCH($K206,其他调用!$AG$5:$AG$364,0),1)/INDEX(其他调用!AI$5:AI$364,MATCH($K206,其他调用!$AG$5:$AG$364,0),0),1)*INDEX(其他调用!Z$5:Z$404,MATCH($K206,其他调用!$X$5:$X$404,0),0)</f>
        <v>41312.217487519978</v>
      </c>
      <c r="AD206" s="12">
        <f>MIN(INDEX(其他调用!$AJ$5:$AJ$364,MATCH($K206,其他调用!$AG$5:$AG$364,0),1)/INDEX(其他调用!AJ$5:AJ$364,MATCH($K206,其他调用!$AG$5:$AG$364,0),0),1)*INDEX(其他调用!AA$5:AA$404,MATCH($K206,其他调用!$X$5:$X$404,0),0)</f>
        <v>42835.159196846245</v>
      </c>
      <c r="AE206" s="12">
        <f>MIN(INDEX(其他调用!$AJ$5:$AJ$364,MATCH($K206,其他调用!$AG$5:$AG$364,0),1)/INDEX(其他调用!AK$5:AK$364,MATCH($K206,其他调用!$AG$5:$AG$364,0),0),1)*INDEX(其他调用!AB$5:AB$404,MATCH($K206,其他调用!$X$5:$X$404,0),0)</f>
        <v>15609.710184295793</v>
      </c>
      <c r="AF206" s="12">
        <f>MIN(INDEX(其他调用!$AJ$5:$AJ$364,MATCH($K206,其他调用!$AG$5:$AG$364,0),1)/INDEX(其他调用!AL$5:AL$364,MATCH($K206,其他调用!$AG$5:$AG$364,0),0),1)*INDEX(其他调用!AC$5:AC$404,MATCH($K206,其他调用!$X$5:$X$404,0),0)</f>
        <v>6950.9053721623095</v>
      </c>
      <c r="AG206" s="12">
        <f>求节点(节奏总纲!D$4:D$163,标准城池设计!AE$4:AE$163,$K206)*求节点(节奏总纲!D$4:D$163,攻城基础信息!$AF$5:$AF$164,$K206)</f>
        <v>903376.46190320712</v>
      </c>
      <c r="AH206" s="12">
        <f>INDEX(其他调用!$AA$5:$AA$404,MATCH($K206,其他调用!$X$5:$X$404,0))*MIN(INDEX(其他调用!AK$5:AK$364,MATCH($K206,其他调用!$AG$5:$AG$364,0),1)/INDEX(其他调用!$AJ$5:$AJ$364,MATCH($K206,其他调用!$AG$5:$AG$364,0),0),5)*求节点(节奏总纲!D$4:D$163,攻城基础信息!$AF$5:$AF$164,$K206)</f>
        <v>418354.83619835996</v>
      </c>
      <c r="AI206" s="12">
        <f>MIN(INDEX(其他调用!$AK$5:$AK$364,MATCH($K206,其他调用!$AG$5:$AG$364,0),1)/INDEX(其他调用!AH$5:AH$364,MATCH($K206,其他调用!$AG$5:$AG$364,0),0),1)*INDEX(其他调用!Y$5:Y$404,MATCH($K206,其他调用!$X$5:$X$404,0),0)</f>
        <v>40162.371970371787</v>
      </c>
      <c r="AJ206" s="12">
        <f>MIN(INDEX(其他调用!$AK$5:$AK$364,MATCH($K206,其他调用!$AG$5:$AG$364,0),1)/INDEX(其他调用!AI$5:AI$364,MATCH($K206,其他调用!$AG$5:$AG$364,0),0),1)*INDEX(其他调用!Z$5:Z$404,MATCH($K206,其他调用!$X$5:$X$404,0),0)</f>
        <v>41312.217487519978</v>
      </c>
      <c r="AK206" s="12">
        <f>MIN(INDEX(其他调用!$AK$5:$AK$364,MATCH($K206,其他调用!$AG$5:$AG$364,0),1)/INDEX(其他调用!AJ$5:AJ$364,MATCH($K206,其他调用!$AG$5:$AG$364,0),0),1)*INDEX(其他调用!AA$5:AA$404,MATCH($K206,其他调用!$X$5:$X$404,0),0)</f>
        <v>42835.159196846245</v>
      </c>
      <c r="AL206" s="12">
        <f>MIN(INDEX(其他调用!$AK$5:$AK$364,MATCH($K206,其他调用!$AG$5:$AG$364,0),1)/INDEX(其他调用!AK$5:AK$364,MATCH($K206,其他调用!$AG$5:$AG$364,0),0),1)*INDEX(其他调用!AB$5:AB$404,MATCH($K206,其他调用!$X$5:$X$404,0),0)</f>
        <v>45027.658427964649</v>
      </c>
      <c r="AM206" s="12">
        <f>MIN(INDEX(其他调用!$AK$5:$AK$364,MATCH($K206,其他调用!$AG$5:$AG$364,0),1)/INDEX(其他调用!AL$5:AL$364,MATCH($K206,其他调用!$AG$5:$AG$364,0),0),1)*INDEX(其他调用!AC$5:AC$404,MATCH($K206,其他调用!$X$5:$X$404,0),0)</f>
        <v>20050.531955276576</v>
      </c>
      <c r="AN206" s="12">
        <f>求节点(节奏总纲!D$4:D$163,标准城池设计!AF$4:AF$163,$K206)*求节点(节奏总纲!D$4:D$163,攻城基础信息!$AG$5:$AG$164,$K206)</f>
        <v>937778.6128375855</v>
      </c>
      <c r="AO206" s="12">
        <f>INDEX(其他调用!$AA$5:$AA$404,MATCH($K206,其他调用!$X$5:$X$404,0))*MIN(INDEX(其他调用!AL$5:AL$364,MATCH($K206,其他调用!$AG$5:$AG$364,0),1)/INDEX(其他调用!$AJ$5:$AJ$364,MATCH($K206,其他调用!$AG$5:$AG$364,0),0),5)*求节点(节奏总纲!D$4:D$163,攻城基础信息!$AG$5:$AG$164,$K206)</f>
        <v>725154.0470067173</v>
      </c>
      <c r="AP206" s="12">
        <f>MIN(INDEX(其他调用!$AL$5:$AL$364,MATCH($K206,其他调用!$AG$5:$AG$364,0),1)/INDEX(其他调用!AH$5:AH$364,MATCH($K206,其他调用!$AG$5:$AG$364,0),0),1)*INDEX(其他调用!Y$5:Y$404,MATCH($K206,其他调用!$X$5:$X$404,0),0)</f>
        <v>40162.371970371787</v>
      </c>
      <c r="AQ206" s="12">
        <f>MIN(INDEX(其他调用!$AL$5:$AL$364,MATCH($K206,其他调用!$AG$5:$AG$364,0),1)/INDEX(其他调用!AI$5:AI$364,MATCH($K206,其他调用!$AG$5:$AG$364,0),0),1)*INDEX(其他调用!Z$5:Z$404,MATCH($K206,其他调用!$X$5:$X$404,0),0)</f>
        <v>41312.217487519978</v>
      </c>
      <c r="AR206" s="12">
        <f>MIN(INDEX(其他调用!$AL$5:$AL$364,MATCH($K206,其他调用!$AG$5:$AG$364,0),1)/INDEX(其他调用!AJ$5:AJ$364,MATCH($K206,其他调用!$AG$5:$AG$364,0),0),1)*INDEX(其他调用!AA$5:AA$404,MATCH($K206,其他调用!$X$5:$X$404,0),0)</f>
        <v>42835.159196846245</v>
      </c>
      <c r="AS206" s="12">
        <f>MIN(INDEX(其他调用!$AL$5:$AL$364,MATCH($K206,其他调用!$AG$5:$AG$364,0),1)/INDEX(其他调用!AK$5:AK$364,MATCH($K206,其他调用!$AG$5:$AG$364,0),0),1)*INDEX(其他调用!AB$5:AB$404,MATCH($K206,其他调用!$X$5:$X$404,0),0)</f>
        <v>45027.658427964649</v>
      </c>
      <c r="AT206" s="12">
        <f>MIN(INDEX(其他调用!$AL$5:$AL$364,MATCH($K206,其他调用!$AG$5:$AG$364,0),1)/INDEX(其他调用!AL$5:AL$364,MATCH($K206,其他调用!$AG$5:$AG$364,0),0),1)*INDEX(其他调用!AC$5:AC$404,MATCH($K206,其他调用!$X$5:$X$404,0),0)</f>
        <v>48981.43924210385</v>
      </c>
      <c r="AV206" s="14">
        <f>IF(OR(AV$5="大R",AV$5="超R"),MAX(INDEX(其他调用!$H$5:$L$404,MATCH($K206,其他调用!$B$5:$B$404,0),MATCH(AV$5,其他调用!$H$4:$L$4,0))*120*0.85,2),INDEX(其他调用!$H$5:$L$404,MATCH($K206,其他调用!$B$5:$B$404,0),MATCH(AV$5,其他调用!$H$4:$L$4,0))*120*0.85)</f>
        <v>48.921801254999991</v>
      </c>
      <c r="AW206" s="14">
        <f>IF(OR(AW$5="大R",AW$5="超R"),MAX(INDEX(其他调用!$H$5:$L$404,MATCH($K206,其他调用!$B$5:$B$404,0),MATCH(AW$5,其他调用!$H$4:$L$4,0))*120*0.85,2),INDEX(其他调用!$H$5:$L$404,MATCH($K206,其他调用!$B$5:$B$404,0),MATCH(AW$5,其他调用!$H$4:$L$4,0))*120*0.85)</f>
        <v>48.237344010638395</v>
      </c>
      <c r="AX206" s="14">
        <f>IF(OR(AX$5="大R",AX$5="超R"),MAX(INDEX(其他调用!$H$5:$L$404,MATCH($K206,其他调用!$B$5:$B$404,0),MATCH(AX$5,其他调用!$H$4:$L$4,0))*120*0.85,2),INDEX(其他调用!$H$5:$L$404,MATCH($K206,其他调用!$B$5:$B$404,0),MATCH(AX$5,其他调用!$H$4:$L$4,0))*120*0.85)</f>
        <v>3.9376284143615998</v>
      </c>
      <c r="AY206" s="14">
        <f>IF(OR(AY$5="大R",AY$5="超R"),MAX(INDEX(其他调用!$H$5:$L$404,MATCH($K206,其他调用!$B$5:$B$404,0),MATCH(AY$5,其他调用!$H$4:$L$4,0))*120*0.85,2),INDEX(其他调用!$H$5:$L$404,MATCH($K206,其他调用!$B$5:$B$404,0),MATCH(AY$5,其他调用!$H$4:$L$4,0))*120*0.85)</f>
        <v>2</v>
      </c>
      <c r="AZ206" s="14">
        <f>IF(OR(AZ$5="大R",AZ$5="超R"),MAX(INDEX(其他调用!$H$5:$L$404,MATCH($K206,其他调用!$B$5:$B$404,0),MATCH(AZ$5,其他调用!$H$4:$L$4,0))*120*0.85,2),INDEX(其他调用!$H$5:$L$404,MATCH($K206,其他调用!$B$5:$B$404,0),MATCH(AZ$5,其他调用!$H$4:$L$4,0))*120*0.85)</f>
        <v>2</v>
      </c>
      <c r="BA206" s="14">
        <f>INDEX(其他调用!$H$5:$L$404,MATCH($K206,其他调用!$B$5:$B$404,0),MATCH(BA$5,其他调用!$H$4:$L$4,0))*INDEX(其他调用!$M$5:$M$404,MATCH($K206,其他调用!$B$5:$B$404,0))*0.6</f>
        <v>28.777530149999997</v>
      </c>
      <c r="BB206" s="14">
        <f>INDEX(其他调用!$H$5:$L$404,MATCH($K206,其他调用!$B$5:$B$404,0),MATCH(BB$5,其他调用!$H$4:$L$4,0))*INDEX(其他调用!$M$5:$M$404,MATCH($K206,其他调用!$B$5:$B$404,0))*0.6</f>
        <v>28.374908241551999</v>
      </c>
      <c r="BC206" s="14">
        <f>INDEX(其他调用!$H$5:$L$404,MATCH($K206,其他调用!$B$5:$B$404,0),MATCH(BC$5,其他调用!$H$4:$L$4,0))*INDEX(其他调用!$M$5:$M$404,MATCH($K206,其他调用!$B$5:$B$404,0))*0.6</f>
        <v>2.3162520084480001</v>
      </c>
      <c r="BD206" s="14">
        <f>INDEX(其他调用!$H$5:$L$404,MATCH($K206,其他调用!$B$5:$B$404,0),MATCH(BD$5,其他调用!$H$4:$L$4,0))*INDEX(其他调用!$M$5:$M$404,MATCH($K206,其他调用!$B$5:$B$404,0))*0.6</f>
        <v>0.4120776000000001</v>
      </c>
      <c r="BE206" s="14">
        <f>INDEX(其他调用!$H$5:$L$404,MATCH($K206,其他调用!$B$5:$B$404,0),MATCH(BE$5,其他调用!$H$4:$L$4,0))*INDEX(其他调用!$M$5:$M$404,MATCH($K206,其他调用!$B$5:$B$404,0))*0.6</f>
        <v>0.11923199999999998</v>
      </c>
      <c r="BF206" s="14">
        <f>IF(OR(BF$5="大R",BF$5="超R"),0,INDEX(其他调用!$H$5:$L$404,MATCH($K206,其他调用!$B$5:$B$404,0),MATCH(BF$5,其他调用!$H$4:$L$4,0))*50*0.4)</f>
        <v>9.5925100500000013</v>
      </c>
      <c r="BG206" s="14">
        <f>IF(OR(BG$5="大R",BG$5="超R"),0,INDEX(其他调用!$H$5:$L$404,MATCH($K206,其他调用!$B$5:$B$404,0),MATCH(BG$5,其他调用!$H$4:$L$4,0))*50*0.4)</f>
        <v>9.4583027471839998</v>
      </c>
      <c r="BH206" s="14">
        <f>IF(OR(BH$5="大R",BH$5="超R"),0,INDEX(其他调用!$H$5:$L$404,MATCH($K206,其他调用!$B$5:$B$404,0),MATCH(BH$5,其他调用!$H$4:$L$4,0))*50*0.4)</f>
        <v>0.77208400281600009</v>
      </c>
      <c r="BI206" s="14">
        <f>IF(OR(BI$5="大R",BI$5="超R"),0,INDEX(其他调用!$H$5:$L$404,MATCH($K206,其他调用!$B$5:$B$404,0),MATCH(BI$5,其他调用!$H$4:$L$4,0))*50*0.4)</f>
        <v>0</v>
      </c>
      <c r="BJ206" s="14">
        <f>IF(OR(BJ$5="大R",BJ$5="超R"),0,INDEX(其他调用!$H$5:$L$404,MATCH($K206,其他调用!$B$5:$B$404,0),MATCH(BJ$5,其他调用!$H$4:$L$4,0))*50*0.4)</f>
        <v>0</v>
      </c>
      <c r="BL206" s="14">
        <f t="shared" si="418"/>
        <v>201</v>
      </c>
      <c r="BM206" s="14">
        <f t="shared" si="325"/>
        <v>96</v>
      </c>
      <c r="BN206" s="14">
        <f>('疲劳值&amp;地图信息'!$S$10*'疲劳值&amp;地图信息'!$R$10+'疲劳值&amp;地图信息'!$S$11*'疲劳值&amp;地图信息'!$R$11+'疲劳值&amp;地图信息'!$S$12*'疲劳值&amp;地图信息'!$R$12+(BM206-'疲劳值&amp;地图信息'!$S$12-'疲劳值&amp;地图信息'!$S$11-'疲劳值&amp;地图信息'!$S$10)*'疲劳值&amp;地图信息'!$R$13)/BM206</f>
        <v>51.371477246638619</v>
      </c>
      <c r="BO206" s="14">
        <f>INDEX(其他调用!$M$5:$M$404,MATCH(BL206,其他调用!$B$5:$B$404,0))*0.6</f>
        <v>60</v>
      </c>
      <c r="BP206" s="14">
        <f>IF(BO206&gt;SUM('疲劳值&amp;地图信息'!$S$10:$S$12),('疲劳值&amp;地图信息'!$S$10*'疲劳值&amp;地图信息'!$R$10+'疲劳值&amp;地图信息'!$S$11*'疲劳值&amp;地图信息'!$R$11+'疲劳值&amp;地图信息'!$S$12*'疲劳值&amp;地图信息'!$R$12+(BO206-'疲劳值&amp;地图信息'!$S$12-'疲劳值&amp;地图信息'!$S$11-'疲劳值&amp;地图信息'!$S$10)*'疲劳值&amp;地图信息'!$R$13)/BO206,('疲劳值&amp;地图信息'!$S$10*'疲劳值&amp;地图信息'!$R$10+'疲劳值&amp;地图信息'!$S$11*'疲劳值&amp;地图信息'!$R$11+'疲劳值&amp;地图信息'!$S$12*'疲劳值&amp;地图信息'!$R$12+(BO206-'疲劳值&amp;地图信息'!$S$12-'疲劳值&amp;地图信息'!$S$11-'疲劳值&amp;地图信息'!$S$10)*'疲劳值&amp;地图信息'!$R$13)/BO206)</f>
        <v>44.158136341605953</v>
      </c>
      <c r="BQ206" s="14">
        <f t="shared" si="419"/>
        <v>20</v>
      </c>
      <c r="BR206" s="14">
        <f>('疲劳值&amp;地图信息'!$S$10*'疲劳值&amp;地图信息'!$R$10+($BQ206-'疲劳值&amp;地图信息'!$S$10)*'疲劳值&amp;地图信息'!$R$11)/$BQ206</f>
        <v>32.067203015074995</v>
      </c>
      <c r="CF206" s="14">
        <v>201</v>
      </c>
      <c r="CG206" s="51">
        <f t="shared" si="326"/>
        <v>13397</v>
      </c>
      <c r="CH206" s="51">
        <f t="shared" si="327"/>
        <v>1057</v>
      </c>
      <c r="CI206" s="51">
        <f>INT(SUMPRODUCT($N206:$R206,$BA206:$BE206)/SUM($BA206:$BE206)/10000*$BX$7*$BZ$34/'疲劳值&amp;地图信息'!$R$10*$BY$53)</f>
        <v>3257</v>
      </c>
      <c r="CJ206" s="50">
        <f t="shared" si="328"/>
        <v>0.75642256224944948</v>
      </c>
      <c r="CK206" s="50">
        <f t="shared" si="329"/>
        <v>5.9680424594884533E-2</v>
      </c>
      <c r="CL206" s="50">
        <f t="shared" si="330"/>
        <v>0.18389701315566598</v>
      </c>
      <c r="CM206" s="14">
        <f t="shared" si="331"/>
        <v>14261</v>
      </c>
      <c r="CN206" s="14">
        <f t="shared" si="332"/>
        <v>1691</v>
      </c>
      <c r="CO206" s="14">
        <f>INT(SUMPRODUCT($U206:$Y206,$BA206:$BE206)/SUM($BA206:$BE206)/10000*$BX$7*$BZ$34/'疲劳值&amp;地图信息'!$R$10*$BY$54)</f>
        <v>6060</v>
      </c>
      <c r="CP206" s="50">
        <f t="shared" si="333"/>
        <v>0.64787388697074322</v>
      </c>
      <c r="CQ206" s="50">
        <f t="shared" si="334"/>
        <v>7.6821733599854627E-2</v>
      </c>
      <c r="CR206" s="50">
        <f t="shared" si="335"/>
        <v>0.27530437942940217</v>
      </c>
      <c r="CS206" s="14">
        <f t="shared" si="336"/>
        <v>15387</v>
      </c>
      <c r="CT206" s="14">
        <f t="shared" si="337"/>
        <v>2955</v>
      </c>
      <c r="CU206" s="14">
        <f>INT(SUMPRODUCT($AB206:$AF206,$BA206:$BE206)/SUM($BA206:$BE206)/10000*$BX$7*$BZ$34/'疲劳值&amp;地图信息'!$R$10*$BY$55)</f>
        <v>8234</v>
      </c>
      <c r="CV206" s="50">
        <f t="shared" si="338"/>
        <v>0.57898103552077063</v>
      </c>
      <c r="CW206" s="50">
        <f t="shared" si="339"/>
        <v>0.11119054786273329</v>
      </c>
      <c r="CX206" s="50">
        <f t="shared" si="340"/>
        <v>0.30982841661649607</v>
      </c>
      <c r="CY206" s="14">
        <f t="shared" si="341"/>
        <v>18411</v>
      </c>
      <c r="CZ206" s="14">
        <f t="shared" si="342"/>
        <v>8526</v>
      </c>
      <c r="DA206" s="14">
        <f>INT(SUMPRODUCT($AI206:$AM206,$BA206:$BE206)/SUM($BA206:$BE206)/10000*$BX$7*$BZ$34/'疲劳值&amp;地图信息'!$R$10*$BY$56)</f>
        <v>12420</v>
      </c>
      <c r="DB206" s="50">
        <f t="shared" si="343"/>
        <v>0.46779480143303603</v>
      </c>
      <c r="DC206" s="50">
        <f t="shared" si="344"/>
        <v>0.21663236527174326</v>
      </c>
      <c r="DD206" s="50">
        <f t="shared" si="345"/>
        <v>0.31557283329522068</v>
      </c>
      <c r="DE206" s="14">
        <f t="shared" si="346"/>
        <v>19113</v>
      </c>
      <c r="DF206" s="14">
        <f t="shared" si="347"/>
        <v>14779</v>
      </c>
      <c r="DG206" s="14">
        <f>INT(SUMPRODUCT($AP206:$AT206,$BA206:$BE206)/SUM($BA206:$BE206)/10000*$BX$7*$BZ$34/'疲劳值&amp;地图信息'!$R$10*$BY$57)</f>
        <v>16583</v>
      </c>
      <c r="DH206" s="50">
        <f t="shared" si="348"/>
        <v>0.3786627043090639</v>
      </c>
      <c r="DI206" s="50">
        <f t="shared" si="349"/>
        <v>0.29279841505695892</v>
      </c>
      <c r="DJ206" s="50">
        <f t="shared" si="350"/>
        <v>0.32853888063397724</v>
      </c>
      <c r="DL206" s="14">
        <f t="shared" si="316"/>
        <v>17711</v>
      </c>
      <c r="DM206" s="14">
        <f t="shared" si="317"/>
        <v>22012</v>
      </c>
      <c r="DN206" s="14">
        <f t="shared" si="318"/>
        <v>26576</v>
      </c>
      <c r="DO206" s="14">
        <f t="shared" si="319"/>
        <v>39357</v>
      </c>
      <c r="DP206" s="14">
        <f t="shared" si="320"/>
        <v>50475</v>
      </c>
      <c r="DQ206" s="14">
        <f t="shared" si="321"/>
        <v>1218060</v>
      </c>
      <c r="DT206" s="14">
        <f t="shared" si="420"/>
        <v>235575</v>
      </c>
      <c r="DU206" s="50">
        <f t="shared" si="322"/>
        <v>0.16205925146271244</v>
      </c>
      <c r="DW206" s="14">
        <f t="shared" si="351"/>
        <v>1453635</v>
      </c>
      <c r="EB206" s="14">
        <v>201</v>
      </c>
      <c r="EC206" s="51">
        <f t="shared" si="352"/>
        <v>22329</v>
      </c>
      <c r="ED206" s="51">
        <f t="shared" si="353"/>
        <v>1762</v>
      </c>
      <c r="EE206" s="51">
        <f>INT(SUMPRODUCT($N206:$R206,$BF206:$BJ206)/SUM($BF206:$BJ206)/10000*$BX$7*$BZ$46/'疲劳值&amp;地图信息'!$R$10*$BY$53)</f>
        <v>437</v>
      </c>
      <c r="EF206" s="50">
        <f t="shared" si="354"/>
        <v>0.91034735812133072</v>
      </c>
      <c r="EG206" s="50">
        <f t="shared" si="355"/>
        <v>7.1836268754076976E-2</v>
      </c>
      <c r="EH206" s="50">
        <f t="shared" si="356"/>
        <v>1.7816373124592302E-2</v>
      </c>
      <c r="EI206" s="51">
        <f t="shared" si="357"/>
        <v>23769</v>
      </c>
      <c r="EJ206" s="51">
        <f t="shared" si="358"/>
        <v>2819</v>
      </c>
      <c r="EK206" s="14">
        <f>INT(SUMPRODUCT($U206:$Y206,$BF206:$BJ206)/SUM($BF206:$BJ206)/10000*$BX$7*$BZ$46/'疲劳值&amp;地图信息'!$R$10*$BY$54)</f>
        <v>813</v>
      </c>
      <c r="EL206" s="50">
        <f t="shared" si="359"/>
        <v>0.86745009306229703</v>
      </c>
      <c r="EM206" s="50">
        <f t="shared" si="360"/>
        <v>0.10287945695412576</v>
      </c>
      <c r="EN206" s="50">
        <f t="shared" si="361"/>
        <v>2.9670449983577242E-2</v>
      </c>
      <c r="EO206" s="51">
        <f t="shared" si="362"/>
        <v>25645</v>
      </c>
      <c r="EP206" s="51">
        <f t="shared" si="363"/>
        <v>4926</v>
      </c>
      <c r="EQ206" s="14">
        <f>INT(SUMPRODUCT($AB206:$AF206,$BF206:$BJ206)/SUM($BF206:$BJ206)/10000*$BX$7*$BZ$46/'疲劳值&amp;地图信息'!$R$10*$BY$55)</f>
        <v>1104</v>
      </c>
      <c r="ER206" s="50">
        <f t="shared" si="364"/>
        <v>0.80962904498816102</v>
      </c>
      <c r="ES206" s="50">
        <f t="shared" si="365"/>
        <v>0.15551696921862668</v>
      </c>
      <c r="ET206" s="50">
        <f t="shared" si="366"/>
        <v>3.4853985793212312E-2</v>
      </c>
      <c r="EU206" s="51">
        <f t="shared" si="367"/>
        <v>30686</v>
      </c>
      <c r="EV206" s="51">
        <f t="shared" si="368"/>
        <v>14211</v>
      </c>
      <c r="EW206" s="14">
        <f>INT(SUMPRODUCT($AI206:$AM206,$BF206:$BJ206)/SUM($BF206:$BJ206)/10000*$BX$7*$BZ$46/'疲劳值&amp;地图信息'!$R$10*$BY$56)</f>
        <v>1656</v>
      </c>
      <c r="EX206" s="50">
        <f t="shared" si="369"/>
        <v>0.65916267480076474</v>
      </c>
      <c r="EY206" s="50">
        <f t="shared" si="370"/>
        <v>0.3052649668120207</v>
      </c>
      <c r="EZ206" s="50">
        <f t="shared" si="371"/>
        <v>3.5572358387214571E-2</v>
      </c>
      <c r="FA206" s="51">
        <f t="shared" si="372"/>
        <v>31855</v>
      </c>
      <c r="FB206" s="51">
        <f t="shared" si="373"/>
        <v>24632</v>
      </c>
      <c r="FC206" s="14">
        <f>INT(SUMPRODUCT($AP206:$AT206,$BF206:$BJ206)/SUM($BF206:$BJ206)/10000*$BX$7*$BZ$46/'疲劳值&amp;地图信息'!$R$10*$BY$57)</f>
        <v>2208</v>
      </c>
      <c r="FD206" s="50">
        <f t="shared" si="374"/>
        <v>0.54272084504642648</v>
      </c>
      <c r="FE206" s="50">
        <f t="shared" si="375"/>
        <v>0.4196609591958429</v>
      </c>
      <c r="FF206" s="50">
        <f t="shared" si="376"/>
        <v>3.7618195757730642E-2</v>
      </c>
      <c r="FH206" s="14">
        <f t="shared" si="377"/>
        <v>24528</v>
      </c>
      <c r="FI206" s="14">
        <f t="shared" si="378"/>
        <v>27401</v>
      </c>
      <c r="FJ206" s="14">
        <f t="shared" si="379"/>
        <v>31675</v>
      </c>
      <c r="FK206" s="14">
        <f t="shared" si="380"/>
        <v>46553</v>
      </c>
      <c r="FL206" s="14">
        <f t="shared" si="381"/>
        <v>58695</v>
      </c>
      <c r="FM206" s="14">
        <f t="shared" si="382"/>
        <v>2856925</v>
      </c>
      <c r="FP206" s="14">
        <f t="shared" si="383"/>
        <v>334150</v>
      </c>
      <c r="FQ206" s="50">
        <f t="shared" si="323"/>
        <v>0.10471392869174181</v>
      </c>
      <c r="FS206" s="14">
        <f t="shared" si="384"/>
        <v>3191075</v>
      </c>
      <c r="FX206" s="14">
        <v>201</v>
      </c>
      <c r="FY206" s="51">
        <f t="shared" si="385"/>
        <v>31261</v>
      </c>
      <c r="FZ206" s="51">
        <f t="shared" si="386"/>
        <v>1762</v>
      </c>
      <c r="GA206" s="51">
        <f>INT(SUMPRODUCT($N206:$R206,$BF206:$BJ206)/SUM($BF206:$BJ206)/10000*$BX$7*$BZ$46/'疲劳值&amp;地图信息'!$R$10*$BY$53)</f>
        <v>437</v>
      </c>
      <c r="GB206" s="50">
        <f t="shared" si="387"/>
        <v>0.93427973699940225</v>
      </c>
      <c r="GC206" s="50">
        <f t="shared" si="388"/>
        <v>5.2659892408846387E-2</v>
      </c>
      <c r="GD206" s="50">
        <f t="shared" si="389"/>
        <v>1.3060370591751344E-2</v>
      </c>
      <c r="GE206" s="51">
        <f t="shared" si="390"/>
        <v>33276</v>
      </c>
      <c r="GF206" s="51">
        <f t="shared" si="391"/>
        <v>2819</v>
      </c>
      <c r="GG206" s="14">
        <f>INT(SUMPRODUCT($U206:$Y206,$BF206:$BJ206)/SUM($BF206:$BJ206)/10000*$BX$7*$BZ$46/'疲劳值&amp;地图信息'!$R$10*$BY$54)</f>
        <v>813</v>
      </c>
      <c r="GH206" s="50">
        <f t="shared" si="392"/>
        <v>0.90159315053646905</v>
      </c>
      <c r="GI206" s="50">
        <f t="shared" si="393"/>
        <v>7.6379104801127126E-2</v>
      </c>
      <c r="GJ206" s="50">
        <f t="shared" si="394"/>
        <v>2.2027744662403814E-2</v>
      </c>
      <c r="GK206" s="51">
        <f t="shared" si="395"/>
        <v>35903</v>
      </c>
      <c r="GL206" s="51">
        <f t="shared" si="396"/>
        <v>4926</v>
      </c>
      <c r="GM206" s="14">
        <f>INT(SUMPRODUCT($AB206:$AF206,$BF206:$BJ206)/SUM($BF206:$BJ206)/10000*$BX$7*$BZ$46/'疲劳值&amp;地图信息'!$R$10*$BY$55)</f>
        <v>1104</v>
      </c>
      <c r="GN206" s="50">
        <f t="shared" si="397"/>
        <v>0.85619917487420405</v>
      </c>
      <c r="GO206" s="50">
        <f t="shared" si="398"/>
        <v>0.11747311186893378</v>
      </c>
      <c r="GP206" s="50">
        <f t="shared" si="399"/>
        <v>2.6327713256862138E-2</v>
      </c>
      <c r="GQ206" s="51">
        <f t="shared" si="400"/>
        <v>42961</v>
      </c>
      <c r="GR206" s="51">
        <f t="shared" si="401"/>
        <v>14211</v>
      </c>
      <c r="GS206" s="14">
        <f>INT(SUMPRODUCT($AI206:$AM206,$BF206:$BJ206)/SUM($BF206:$BJ206)/10000*$BX$7*$BZ$46/'疲劳值&amp;地图信息'!$R$10*$BY$56)</f>
        <v>1656</v>
      </c>
      <c r="GT206" s="50">
        <f t="shared" si="402"/>
        <v>0.73028149860610592</v>
      </c>
      <c r="GU206" s="50">
        <f t="shared" si="403"/>
        <v>0.24156864078330048</v>
      </c>
      <c r="GV206" s="50">
        <f t="shared" si="404"/>
        <v>2.8149860610593595E-2</v>
      </c>
      <c r="GW206" s="51">
        <f t="shared" si="405"/>
        <v>44597</v>
      </c>
      <c r="GX206" s="51">
        <f t="shared" si="406"/>
        <v>24632</v>
      </c>
      <c r="GY206" s="14">
        <f>INT(SUMPRODUCT($AP206:$AT206,$BF206:$BJ206)/SUM($BF206:$BJ206)/10000*$BX$7*$BZ$46/'疲劳值&amp;地图信息'!$R$10*$BY$57)</f>
        <v>2208</v>
      </c>
      <c r="GZ206" s="50">
        <f t="shared" si="407"/>
        <v>0.62428433444853504</v>
      </c>
      <c r="HA206" s="50">
        <f t="shared" si="408"/>
        <v>0.34480731273709703</v>
      </c>
      <c r="HB206" s="50">
        <f t="shared" si="409"/>
        <v>3.0908352814367903E-2</v>
      </c>
      <c r="HD206" s="14">
        <f t="shared" si="410"/>
        <v>33460</v>
      </c>
      <c r="HE206" s="14">
        <f t="shared" si="411"/>
        <v>36908</v>
      </c>
      <c r="HF206" s="14">
        <f t="shared" si="412"/>
        <v>41933</v>
      </c>
      <c r="HG206" s="14">
        <f t="shared" si="413"/>
        <v>58828</v>
      </c>
      <c r="HH206" s="14">
        <f t="shared" si="414"/>
        <v>71437</v>
      </c>
      <c r="HI206" s="14">
        <f t="shared" si="415"/>
        <v>3842913</v>
      </c>
      <c r="HL206" s="14">
        <f t="shared" si="416"/>
        <v>430050</v>
      </c>
      <c r="HM206" s="50">
        <f t="shared" si="324"/>
        <v>0.10064444742442188</v>
      </c>
      <c r="HO206" s="14">
        <f t="shared" si="417"/>
        <v>4272963</v>
      </c>
    </row>
    <row r="207" spans="11:223" x14ac:dyDescent="0.2">
      <c r="K207" s="14">
        <v>202</v>
      </c>
      <c r="L207" s="12">
        <f>求节点(节奏总纲!D$4:D$163,标准城池设计!AB$4:AB$163,$K207)*求节点(节奏总纲!D$4:D$163,攻城基础信息!$AC$5:$AC$164,$K207)</f>
        <v>658756.24421789369</v>
      </c>
      <c r="M207" s="12">
        <f>INDEX(其他调用!$AA$5:$AA$404,MATCH(K207,其他调用!$X$5:$X$404,0))*MIN(INDEX(其他调用!$AH$5:$AH$364,MATCH('征服点（新）'!K207,其他调用!$AG$5:$AG$364,0),1)/INDEX(其他调用!$AJ$5:$AJ$364,MATCH(K207,其他调用!$AG$5:$AG$364,0),0),5)*求节点(节奏总纲!D$4:D$163,攻城基础信息!$AC$5:$AC$164,$K207)</f>
        <v>52006.361903397861</v>
      </c>
      <c r="N207" s="12">
        <f>MIN(INDEX(其他调用!$AH$5:$AH$364,MATCH($K207,其他调用!$AG$5:$AG$364,0),1)/INDEX(其他调用!AH$5:AH$364,MATCH($K207,其他调用!$AG$5:$AG$364,0),0),1)*INDEX(其他调用!Y$5:Y$404,MATCH($K207,其他调用!$X$5:$X$404,0),0)</f>
        <v>40191.817283829798</v>
      </c>
      <c r="O207" s="12">
        <f>MIN(INDEX(其他调用!$AH$5:$AH$364,MATCH($K207,其他调用!$AG$5:$AG$364,0),1)/INDEX(其他调用!AI$5:AI$364,MATCH($K207,其他调用!$AG$5:$AG$364,0),0),1)*INDEX(其他调用!Z$5:Z$404,MATCH($K207,其他调用!$X$5:$X$404,0),0)</f>
        <v>25859.594125435648</v>
      </c>
      <c r="P207" s="12">
        <f>MIN(INDEX(其他调用!$AH$5:$AH$364,MATCH($K207,其他调用!$AG$5:$AG$364,0),1)/INDEX(其他调用!AJ$5:AJ$364,MATCH($K207,其他调用!$AG$5:$AG$364,0),0),1)*INDEX(其他调用!AA$5:AA$404,MATCH($K207,其他调用!$X$5:$X$404,0),0)</f>
        <v>15349.337850241947</v>
      </c>
      <c r="Q207" s="12">
        <f>MIN(INDEX(其他调用!$AH$5:$AH$364,MATCH($K207,其他调用!$AG$5:$AG$364,0),1)/INDEX(其他调用!AK$5:AK$364,MATCH($K207,其他调用!$AG$5:$AG$364,0),0),1)*INDEX(其他调用!AB$5:AB$404,MATCH($K207,其他调用!$X$5:$X$404,0),0)</f>
        <v>5588.1655127481745</v>
      </c>
      <c r="R207" s="12">
        <f>MIN(INDEX(其他调用!$AH$5:$AH$364,MATCH($K207,其他调用!$AG$5:$AG$364,0),1)/INDEX(其他调用!AL$5:AL$364,MATCH($K207,其他调用!$AG$5:$AG$364,0),0),1)*INDEX(其他调用!AC$5:AC$404,MATCH($K207,其他调用!$X$5:$X$404,0),0)</f>
        <v>2499.5575244207703</v>
      </c>
      <c r="S207" s="12">
        <f>求节点(节奏总纲!D$4:D$163,标准城池设计!AC$4:AC$163,$K207)*求节点(节奏总纲!D$4:D$163,攻城基础信息!$AD$5:$AD$164,$K207)</f>
        <v>701236.33919169148</v>
      </c>
      <c r="T207" s="12">
        <f>INDEX(其他调用!$AA$5:$AA$404,MATCH($K207,其他调用!$X$5:$X$404,0))*MIN(INDEX(其他调用!AI$5:AI$364,MATCH($K207,其他调用!$AG$5:$AG$364,0),1)/INDEX(其他调用!$AJ$5:$AJ$364,MATCH($K207,其他调用!$AG$5:$AG$364,0),0),5)*求节点(节奏总纲!D$4:D$163,攻城基础信息!$AD$5:$AD$164,$K207)</f>
        <v>83140.222158185745</v>
      </c>
      <c r="U207" s="12">
        <f>MIN(INDEX(其他调用!$AI$5:$AI$364,MATCH($K207,其他调用!$AG$5:$AG$364,0),1)/INDEX(其他调用!AH$5:AH$364,MATCH($K207,其他调用!$AG$5:$AG$364,0),0),1)*INDEX(其他调用!Y$5:Y$404,MATCH($K207,其他调用!$X$5:$X$404,0),0)</f>
        <v>40191.817283829798</v>
      </c>
      <c r="V207" s="12">
        <f>MIN(INDEX(其他调用!$AI$5:$AI$364,MATCH($K207,其他调用!$AG$5:$AG$364,0),1)/INDEX(其他调用!AI$5:AI$364,MATCH($K207,其他调用!$AG$5:$AG$364,0),0),1)*INDEX(其他调用!Z$5:Z$404,MATCH($K207,其他调用!$X$5:$X$404,0),0)</f>
        <v>41340.565304352989</v>
      </c>
      <c r="W207" s="12">
        <f>MIN(INDEX(其他调用!$AI$5:$AI$364,MATCH($K207,其他调用!$AG$5:$AG$364,0),1)/INDEX(其他调用!AJ$5:AJ$364,MATCH($K207,其他调用!$AG$5:$AG$364,0),0),1)*INDEX(其他调用!AA$5:AA$404,MATCH($K207,其他调用!$X$5:$X$404,0),0)</f>
        <v>24538.293242288633</v>
      </c>
      <c r="X207" s="12">
        <f>MIN(INDEX(其他调用!$AI$5:$AI$364,MATCH($K207,其他调用!$AG$5:$AG$364,0),1)/INDEX(其他调用!AK$5:AK$364,MATCH($K207,其他调用!$AG$5:$AG$364,0),0),1)*INDEX(其他调用!AB$5:AB$404,MATCH($K207,其他调用!$X$5:$X$404,0),0)</f>
        <v>8933.5478426580776</v>
      </c>
      <c r="Y207" s="12">
        <f>MIN(INDEX(其他调用!$AI$5:$AI$364,MATCH($K207,其他调用!$AG$5:$AG$364,0),1)/INDEX(其他调用!AL$5:AL$364,MATCH($K207,其他调用!$AG$5:$AG$364,0),0),1)*INDEX(其他调用!AC$5:AC$404,MATCH($K207,其他调用!$X$5:$X$404,0),0)</f>
        <v>3995.9297338183928</v>
      </c>
      <c r="Z207" s="12">
        <f>求节点(节奏总纲!D$4:D$163,标准城池设计!AD$4:AD$163,$K207)*求节点(节奏总纲!D$4:D$163,攻城基础信息!$AE$5:$AE$164,$K207)</f>
        <v>757140.61070938909</v>
      </c>
      <c r="AA207" s="12">
        <f>INDEX(其他调用!$AA$5:$AA$404,MATCH($K207,其他调用!$X$5:$X$404,0))*MIN(INDEX(其他调用!AJ$5:AJ$364,MATCH($K207,其他调用!$AG$5:$AG$364,0),1)/INDEX(其他调用!$AJ$5:$AJ$364,MATCH($K207,其他调用!$AG$5:$AG$364,0),0),5)*求节点(节奏总纲!D$4:D$163,攻城基础信息!$AE$5:$AE$164,$K207)</f>
        <v>145230.43249464183</v>
      </c>
      <c r="AB207" s="12">
        <f>MIN(INDEX(其他调用!$AJ$5:$AJ$364,MATCH($K207,其他调用!$AG$5:$AG$364,0),1)/INDEX(其他调用!AH$5:AH$364,MATCH($K207,其他调用!$AG$5:$AG$364,0),0),1)*INDEX(其他调用!Y$5:Y$404,MATCH($K207,其他调用!$X$5:$X$404,0),0)</f>
        <v>40191.817283829798</v>
      </c>
      <c r="AC207" s="12">
        <f>MIN(INDEX(其他调用!$AJ$5:$AJ$364,MATCH($K207,其他调用!$AG$5:$AG$364,0),1)/INDEX(其他调用!AI$5:AI$364,MATCH($K207,其他调用!$AG$5:$AG$364,0),0),1)*INDEX(其他调用!Z$5:Z$404,MATCH($K207,其他调用!$X$5:$X$404,0),0)</f>
        <v>41340.565304352989</v>
      </c>
      <c r="AD207" s="12">
        <f>MIN(INDEX(其他调用!$AJ$5:$AJ$364,MATCH($K207,其他调用!$AG$5:$AG$364,0),1)/INDEX(其他调用!AJ$5:AJ$364,MATCH($K207,其他调用!$AG$5:$AG$364,0),0),1)*INDEX(其他调用!AA$5:AA$404,MATCH($K207,其他调用!$X$5:$X$404,0),0)</f>
        <v>42863.813058828266</v>
      </c>
      <c r="AE207" s="12">
        <f>MIN(INDEX(其他调用!$AJ$5:$AJ$364,MATCH($K207,其他调用!$AG$5:$AG$364,0),1)/INDEX(其他调用!AK$5:AK$364,MATCH($K207,其他调用!$AG$5:$AG$364,0),0),1)*INDEX(其他调用!AB$5:AB$404,MATCH($K207,其他调用!$X$5:$X$404,0),0)</f>
        <v>15605.23875474233</v>
      </c>
      <c r="AF207" s="12">
        <f>MIN(INDEX(其他调用!$AJ$5:$AJ$364,MATCH($K207,其他调用!$AG$5:$AG$364,0),1)/INDEX(其他调用!AL$5:AL$364,MATCH($K207,其他调用!$AG$5:$AG$364,0),0),1)*INDEX(其他调用!AC$5:AC$404,MATCH($K207,其他调用!$X$5:$X$404,0),0)</f>
        <v>6980.1425639263416</v>
      </c>
      <c r="AG207" s="12">
        <f>求节点(节奏总纲!D$4:D$163,标准城池设计!AE$4:AE$163,$K207)*求节点(节奏总纲!D$4:D$163,攻城基础信息!$AF$5:$AF$164,$K207)</f>
        <v>906020.72868449707</v>
      </c>
      <c r="AH207" s="12">
        <f>INDEX(其他调用!$AA$5:$AA$404,MATCH($K207,其他调用!$X$5:$X$404,0))*MIN(INDEX(其他调用!AK$5:AK$364,MATCH($K207,其他调用!$AG$5:$AG$364,0),1)/INDEX(其他调用!$AJ$5:$AJ$364,MATCH($K207,其他调用!$AG$5:$AG$364,0),0),5)*求节点(节奏总纲!D$4:D$163,攻城基础信息!$AF$5:$AF$164,$K207)</f>
        <v>419315.9700876862</v>
      </c>
      <c r="AI207" s="12">
        <f>MIN(INDEX(其他调用!$AK$5:$AK$364,MATCH($K207,其他调用!$AG$5:$AG$364,0),1)/INDEX(其他调用!AH$5:AH$364,MATCH($K207,其他调用!$AG$5:$AG$364,0),0),1)*INDEX(其他调用!Y$5:Y$404,MATCH($K207,其他调用!$X$5:$X$404,0),0)</f>
        <v>40191.817283829798</v>
      </c>
      <c r="AJ207" s="12">
        <f>MIN(INDEX(其他调用!$AK$5:$AK$364,MATCH($K207,其他调用!$AG$5:$AG$364,0),1)/INDEX(其他调用!AI$5:AI$364,MATCH($K207,其他调用!$AG$5:$AG$364,0),0),1)*INDEX(其他调用!Z$5:Z$404,MATCH($K207,其他调用!$X$5:$X$404,0),0)</f>
        <v>41340.565304352989</v>
      </c>
      <c r="AK207" s="12">
        <f>MIN(INDEX(其他调用!$AK$5:$AK$364,MATCH($K207,其他调用!$AG$5:$AG$364,0),1)/INDEX(其他调用!AJ$5:AJ$364,MATCH($K207,其他调用!$AG$5:$AG$364,0),0),1)*INDEX(其他调用!AA$5:AA$404,MATCH($K207,其他调用!$X$5:$X$404,0),0)</f>
        <v>42863.813058828266</v>
      </c>
      <c r="AL207" s="12">
        <f>MIN(INDEX(其他调用!$AK$5:$AK$364,MATCH($K207,其他调用!$AG$5:$AG$364,0),1)/INDEX(其他调用!AK$5:AK$364,MATCH($K207,其他调用!$AG$5:$AG$364,0),0),1)*INDEX(其他调用!AB$5:AB$404,MATCH($K207,其他调用!$X$5:$X$404,0),0)</f>
        <v>45056.161539256966</v>
      </c>
      <c r="AM207" s="12">
        <f>MIN(INDEX(其他调用!$AK$5:$AK$364,MATCH($K207,其他调用!$AG$5:$AG$364,0),1)/INDEX(其他调用!AL$5:AL$364,MATCH($K207,其他调用!$AG$5:$AG$364,0),0),1)*INDEX(其他调用!AC$5:AC$404,MATCH($K207,其他调用!$X$5:$X$404,0),0)</f>
        <v>20153.387966059443</v>
      </c>
      <c r="AN207" s="12">
        <f>求节点(节奏总纲!D$4:D$163,标准城池设计!AF$4:AF$163,$K207)*求节点(节奏总纲!D$4:D$163,攻城基础信息!$AG$5:$AG$164,$K207)</f>
        <v>940982.19651235198</v>
      </c>
      <c r="AO207" s="12">
        <f>INDEX(其他调用!$AA$5:$AA$404,MATCH($K207,其他调用!$X$5:$X$404,0))*MIN(INDEX(其他调用!AL$5:AL$364,MATCH($K207,其他调用!$AG$5:$AG$364,0),1)/INDEX(其他调用!$AJ$5:$AJ$364,MATCH($K207,其他调用!$AG$5:$AG$364,0),0),5)*求节点(节奏总纲!D$4:D$163,攻城基础信息!$AG$5:$AG$164,$K207)</f>
        <v>726152.1624732092</v>
      </c>
      <c r="AP207" s="12">
        <f>MIN(INDEX(其他调用!$AL$5:$AL$364,MATCH($K207,其他调用!$AG$5:$AG$364,0),1)/INDEX(其他调用!AH$5:AH$364,MATCH($K207,其他调用!$AG$5:$AG$364,0),0),1)*INDEX(其他调用!Y$5:Y$404,MATCH($K207,其他调用!$X$5:$X$404,0),0)</f>
        <v>40191.817283829798</v>
      </c>
      <c r="AQ207" s="12">
        <f>MIN(INDEX(其他调用!$AL$5:$AL$364,MATCH($K207,其他调用!$AG$5:$AG$364,0),1)/INDEX(其他调用!AI$5:AI$364,MATCH($K207,其他调用!$AG$5:$AG$364,0),0),1)*INDEX(其他调用!Z$5:Z$404,MATCH($K207,其他调用!$X$5:$X$404,0),0)</f>
        <v>41340.565304352989</v>
      </c>
      <c r="AR207" s="12">
        <f>MIN(INDEX(其他调用!$AL$5:$AL$364,MATCH($K207,其他调用!$AG$5:$AG$364,0),1)/INDEX(其他调用!AJ$5:AJ$364,MATCH($K207,其他调用!$AG$5:$AG$364,0),0),1)*INDEX(其他调用!AA$5:AA$404,MATCH($K207,其他调用!$X$5:$X$404,0),0)</f>
        <v>42863.813058828266</v>
      </c>
      <c r="AS207" s="12">
        <f>MIN(INDEX(其他调用!$AL$5:$AL$364,MATCH($K207,其他调用!$AG$5:$AG$364,0),1)/INDEX(其他调用!AK$5:AK$364,MATCH($K207,其他调用!$AG$5:$AG$364,0),0),1)*INDEX(其他调用!AB$5:AB$404,MATCH($K207,其他调用!$X$5:$X$404,0),0)</f>
        <v>45056.161539256966</v>
      </c>
      <c r="AT207" s="12">
        <f>MIN(INDEX(其他调用!$AL$5:$AL$364,MATCH($K207,其他调用!$AG$5:$AG$364,0),1)/INDEX(其他调用!AL$5:AL$364,MATCH($K207,其他调用!$AG$5:$AG$364,0),0),1)*INDEX(其他调用!AC$5:AC$404,MATCH($K207,其他调用!$X$5:$X$404,0),0)</f>
        <v>49010.679886420432</v>
      </c>
      <c r="AV207" s="14">
        <f>IF(OR(AV$5="大R",AV$5="超R"),MAX(INDEX(其他调用!$H$5:$L$404,MATCH($K207,其他调用!$B$5:$B$404,0),MATCH(AV$5,其他调用!$H$4:$L$4,0))*120*0.85,2),INDEX(其他调用!$H$5:$L$404,MATCH($K207,其他调用!$B$5:$B$404,0),MATCH(AV$5,其他调用!$H$4:$L$4,0))*120*0.85)</f>
        <v>48.921801254999991</v>
      </c>
      <c r="AW207" s="14">
        <f>IF(OR(AW$5="大R",AW$5="超R"),MAX(INDEX(其他调用!$H$5:$L$404,MATCH($K207,其他调用!$B$5:$B$404,0),MATCH(AW$5,其他调用!$H$4:$L$4,0))*120*0.85,2),INDEX(其他调用!$H$5:$L$404,MATCH($K207,其他调用!$B$5:$B$404,0),MATCH(AW$5,其他调用!$H$4:$L$4,0))*120*0.85)</f>
        <v>48.237344010638395</v>
      </c>
      <c r="AX207" s="14">
        <f>IF(OR(AX$5="大R",AX$5="超R"),MAX(INDEX(其他调用!$H$5:$L$404,MATCH($K207,其他调用!$B$5:$B$404,0),MATCH(AX$5,其他调用!$H$4:$L$4,0))*120*0.85,2),INDEX(其他调用!$H$5:$L$404,MATCH($K207,其他调用!$B$5:$B$404,0),MATCH(AX$5,其他调用!$H$4:$L$4,0))*120*0.85)</f>
        <v>3.9376284143615998</v>
      </c>
      <c r="AY207" s="14">
        <f>IF(OR(AY$5="大R",AY$5="超R"),MAX(INDEX(其他调用!$H$5:$L$404,MATCH($K207,其他调用!$B$5:$B$404,0),MATCH(AY$5,其他调用!$H$4:$L$4,0))*120*0.85,2),INDEX(其他调用!$H$5:$L$404,MATCH($K207,其他调用!$B$5:$B$404,0),MATCH(AY$5,其他调用!$H$4:$L$4,0))*120*0.85)</f>
        <v>2</v>
      </c>
      <c r="AZ207" s="14">
        <f>IF(OR(AZ$5="大R",AZ$5="超R"),MAX(INDEX(其他调用!$H$5:$L$404,MATCH($K207,其他调用!$B$5:$B$404,0),MATCH(AZ$5,其他调用!$H$4:$L$4,0))*120*0.85,2),INDEX(其他调用!$H$5:$L$404,MATCH($K207,其他调用!$B$5:$B$404,0),MATCH(AZ$5,其他调用!$H$4:$L$4,0))*120*0.85)</f>
        <v>2</v>
      </c>
      <c r="BA207" s="14">
        <f>INDEX(其他调用!$H$5:$L$404,MATCH($K207,其他调用!$B$5:$B$404,0),MATCH(BA$5,其他调用!$H$4:$L$4,0))*INDEX(其他调用!$M$5:$M$404,MATCH($K207,其他调用!$B$5:$B$404,0))*0.6</f>
        <v>28.777530149999997</v>
      </c>
      <c r="BB207" s="14">
        <f>INDEX(其他调用!$H$5:$L$404,MATCH($K207,其他调用!$B$5:$B$404,0),MATCH(BB$5,其他调用!$H$4:$L$4,0))*INDEX(其他调用!$M$5:$M$404,MATCH($K207,其他调用!$B$5:$B$404,0))*0.6</f>
        <v>28.374908241551999</v>
      </c>
      <c r="BC207" s="14">
        <f>INDEX(其他调用!$H$5:$L$404,MATCH($K207,其他调用!$B$5:$B$404,0),MATCH(BC$5,其他调用!$H$4:$L$4,0))*INDEX(其他调用!$M$5:$M$404,MATCH($K207,其他调用!$B$5:$B$404,0))*0.6</f>
        <v>2.3162520084480001</v>
      </c>
      <c r="BD207" s="14">
        <f>INDEX(其他调用!$H$5:$L$404,MATCH($K207,其他调用!$B$5:$B$404,0),MATCH(BD$5,其他调用!$H$4:$L$4,0))*INDEX(其他调用!$M$5:$M$404,MATCH($K207,其他调用!$B$5:$B$404,0))*0.6</f>
        <v>0.4120776000000001</v>
      </c>
      <c r="BE207" s="14">
        <f>INDEX(其他调用!$H$5:$L$404,MATCH($K207,其他调用!$B$5:$B$404,0),MATCH(BE$5,其他调用!$H$4:$L$4,0))*INDEX(其他调用!$M$5:$M$404,MATCH($K207,其他调用!$B$5:$B$404,0))*0.6</f>
        <v>0.11923199999999998</v>
      </c>
      <c r="BF207" s="14">
        <f>IF(OR(BF$5="大R",BF$5="超R"),0,INDEX(其他调用!$H$5:$L$404,MATCH($K207,其他调用!$B$5:$B$404,0),MATCH(BF$5,其他调用!$H$4:$L$4,0))*50*0.4)</f>
        <v>9.5925100500000013</v>
      </c>
      <c r="BG207" s="14">
        <f>IF(OR(BG$5="大R",BG$5="超R"),0,INDEX(其他调用!$H$5:$L$404,MATCH($K207,其他调用!$B$5:$B$404,0),MATCH(BG$5,其他调用!$H$4:$L$4,0))*50*0.4)</f>
        <v>9.4583027471839998</v>
      </c>
      <c r="BH207" s="14">
        <f>IF(OR(BH$5="大R",BH$5="超R"),0,INDEX(其他调用!$H$5:$L$404,MATCH($K207,其他调用!$B$5:$B$404,0),MATCH(BH$5,其他调用!$H$4:$L$4,0))*50*0.4)</f>
        <v>0.77208400281600009</v>
      </c>
      <c r="BI207" s="14">
        <f>IF(OR(BI$5="大R",BI$5="超R"),0,INDEX(其他调用!$H$5:$L$404,MATCH($K207,其他调用!$B$5:$B$404,0),MATCH(BI$5,其他调用!$H$4:$L$4,0))*50*0.4)</f>
        <v>0</v>
      </c>
      <c r="BJ207" s="14">
        <f>IF(OR(BJ$5="大R",BJ$5="超R"),0,INDEX(其他调用!$H$5:$L$404,MATCH($K207,其他调用!$B$5:$B$404,0),MATCH(BJ$5,其他调用!$H$4:$L$4,0))*50*0.4)</f>
        <v>0</v>
      </c>
      <c r="BL207" s="14">
        <f t="shared" si="418"/>
        <v>202</v>
      </c>
      <c r="BM207" s="14">
        <f t="shared" si="325"/>
        <v>96</v>
      </c>
      <c r="BN207" s="14">
        <f>('疲劳值&amp;地图信息'!$S$10*'疲劳值&amp;地图信息'!$R$10+'疲劳值&amp;地图信息'!$S$11*'疲劳值&amp;地图信息'!$R$11+'疲劳值&amp;地图信息'!$S$12*'疲劳值&amp;地图信息'!$R$12+(BM207-'疲劳值&amp;地图信息'!$S$12-'疲劳值&amp;地图信息'!$S$11-'疲劳值&amp;地图信息'!$S$10)*'疲劳值&amp;地图信息'!$R$13)/BM207</f>
        <v>51.371477246638619</v>
      </c>
      <c r="BO207" s="14">
        <f>INDEX(其他调用!$M$5:$M$404,MATCH(BL207,其他调用!$B$5:$B$404,0))*0.6</f>
        <v>60</v>
      </c>
      <c r="BP207" s="14">
        <f>IF(BO207&gt;SUM('疲劳值&amp;地图信息'!$S$10:$S$12),('疲劳值&amp;地图信息'!$S$10*'疲劳值&amp;地图信息'!$R$10+'疲劳值&amp;地图信息'!$S$11*'疲劳值&amp;地图信息'!$R$11+'疲劳值&amp;地图信息'!$S$12*'疲劳值&amp;地图信息'!$R$12+(BO207-'疲劳值&amp;地图信息'!$S$12-'疲劳值&amp;地图信息'!$S$11-'疲劳值&amp;地图信息'!$S$10)*'疲劳值&amp;地图信息'!$R$13)/BO207,('疲劳值&amp;地图信息'!$S$10*'疲劳值&amp;地图信息'!$R$10+'疲劳值&amp;地图信息'!$S$11*'疲劳值&amp;地图信息'!$R$11+'疲劳值&amp;地图信息'!$S$12*'疲劳值&amp;地图信息'!$R$12+(BO207-'疲劳值&amp;地图信息'!$S$12-'疲劳值&amp;地图信息'!$S$11-'疲劳值&amp;地图信息'!$S$10)*'疲劳值&amp;地图信息'!$R$13)/BO207)</f>
        <v>44.158136341605953</v>
      </c>
      <c r="BQ207" s="14">
        <f t="shared" si="419"/>
        <v>20</v>
      </c>
      <c r="BR207" s="14">
        <f>('疲劳值&amp;地图信息'!$S$10*'疲劳值&amp;地图信息'!$R$10+($BQ207-'疲劳值&amp;地图信息'!$S$10)*'疲劳值&amp;地图信息'!$R$11)/$BQ207</f>
        <v>32.067203015074995</v>
      </c>
      <c r="CF207" s="14">
        <v>202</v>
      </c>
      <c r="CG207" s="51">
        <f t="shared" si="326"/>
        <v>13426</v>
      </c>
      <c r="CH207" s="51">
        <f t="shared" si="327"/>
        <v>1059</v>
      </c>
      <c r="CI207" s="51">
        <f>INT(SUMPRODUCT($N207:$R207,$BA207:$BE207)/SUM($BA207:$BE207)/10000*$BX$7*$BZ$34/'疲劳值&amp;地图信息'!$R$10*$BY$53)</f>
        <v>3261</v>
      </c>
      <c r="CJ207" s="50">
        <f t="shared" si="328"/>
        <v>0.75656485968668996</v>
      </c>
      <c r="CK207" s="50">
        <f t="shared" si="329"/>
        <v>5.9675419812915589E-2</v>
      </c>
      <c r="CL207" s="50">
        <f t="shared" si="330"/>
        <v>0.18375972050039446</v>
      </c>
      <c r="CM207" s="14">
        <f t="shared" si="331"/>
        <v>14292</v>
      </c>
      <c r="CN207" s="14">
        <f t="shared" si="332"/>
        <v>1694</v>
      </c>
      <c r="CO207" s="14">
        <f>INT(SUMPRODUCT($U207:$Y207,$BA207:$BE207)/SUM($BA207:$BE207)/10000*$BX$7*$BZ$34/'疲劳值&amp;地图信息'!$R$10*$BY$54)</f>
        <v>6064</v>
      </c>
      <c r="CP207" s="50">
        <f t="shared" si="333"/>
        <v>0.64816326530612245</v>
      </c>
      <c r="CQ207" s="50">
        <f t="shared" si="334"/>
        <v>7.6825396825396824E-2</v>
      </c>
      <c r="CR207" s="50">
        <f t="shared" si="335"/>
        <v>0.2750113378684807</v>
      </c>
      <c r="CS207" s="14">
        <f t="shared" si="336"/>
        <v>15431</v>
      </c>
      <c r="CT207" s="14">
        <f t="shared" si="337"/>
        <v>2959</v>
      </c>
      <c r="CU207" s="14">
        <f>INT(SUMPRODUCT($AB207:$AF207,$BA207:$BE207)/SUM($BA207:$BE207)/10000*$BX$7*$BZ$34/'疲劳值&amp;地图信息'!$R$10*$BY$55)</f>
        <v>8239</v>
      </c>
      <c r="CV207" s="50">
        <f t="shared" si="338"/>
        <v>0.57948101693642273</v>
      </c>
      <c r="CW207" s="50">
        <f t="shared" si="339"/>
        <v>0.11111945623192759</v>
      </c>
      <c r="CX207" s="50">
        <f t="shared" si="340"/>
        <v>0.30939952683164973</v>
      </c>
      <c r="CY207" s="14">
        <f t="shared" si="341"/>
        <v>18465</v>
      </c>
      <c r="CZ207" s="14">
        <f t="shared" si="342"/>
        <v>8546</v>
      </c>
      <c r="DA207" s="14">
        <f>INT(SUMPRODUCT($AI207:$AM207,$BA207:$BE207)/SUM($BA207:$BE207)/10000*$BX$7*$BZ$34/'疲劳值&amp;地图信息'!$R$10*$BY$56)</f>
        <v>12429</v>
      </c>
      <c r="DB207" s="50">
        <f t="shared" si="343"/>
        <v>0.46817951318458417</v>
      </c>
      <c r="DC207" s="50">
        <f t="shared" si="344"/>
        <v>0.21668356997971602</v>
      </c>
      <c r="DD207" s="50">
        <f t="shared" si="345"/>
        <v>0.31513691683569978</v>
      </c>
      <c r="DE207" s="14">
        <f t="shared" si="346"/>
        <v>19178</v>
      </c>
      <c r="DF207" s="14">
        <f t="shared" si="347"/>
        <v>14799</v>
      </c>
      <c r="DG207" s="14">
        <f>INT(SUMPRODUCT($AP207:$AT207,$BA207:$BE207)/SUM($BA207:$BE207)/10000*$BX$7*$BZ$34/'疲劳值&amp;地图信息'!$R$10*$BY$57)</f>
        <v>16595</v>
      </c>
      <c r="DH207" s="50">
        <f t="shared" si="348"/>
        <v>0.3792217037095626</v>
      </c>
      <c r="DI207" s="50">
        <f t="shared" si="349"/>
        <v>0.29263228664082891</v>
      </c>
      <c r="DJ207" s="50">
        <f t="shared" si="350"/>
        <v>0.32814600964960849</v>
      </c>
      <c r="DL207" s="14">
        <f t="shared" ref="DL207:DL270" si="421">SUM(CG207:CI207)</f>
        <v>17746</v>
      </c>
      <c r="DM207" s="14">
        <f t="shared" ref="DM207:DM270" si="422">SUM(CM207:CO207)</f>
        <v>22050</v>
      </c>
      <c r="DN207" s="14">
        <f t="shared" ref="DN207:DN270" si="423">SUM(CS207:CU207)</f>
        <v>26629</v>
      </c>
      <c r="DO207" s="14">
        <f t="shared" ref="DO207:DO270" si="424">SUM(CY207:DA207)</f>
        <v>39440</v>
      </c>
      <c r="DP207" s="14">
        <f t="shared" ref="DP207:DP270" si="425">SUM(DE207:DG207)</f>
        <v>50572</v>
      </c>
      <c r="DQ207" s="14">
        <f t="shared" ref="DQ207:DQ270" si="426">INT(SUMPRODUCT(DL207:DP207,$BA207:$BE207))</f>
        <v>1220314</v>
      </c>
      <c r="DT207" s="14">
        <f t="shared" si="420"/>
        <v>235575</v>
      </c>
      <c r="DU207" s="50">
        <f t="shared" si="322"/>
        <v>0.16180835214772554</v>
      </c>
      <c r="DW207" s="14">
        <f t="shared" si="351"/>
        <v>1455889</v>
      </c>
      <c r="EB207" s="14">
        <v>202</v>
      </c>
      <c r="EC207" s="51">
        <f t="shared" si="352"/>
        <v>22377</v>
      </c>
      <c r="ED207" s="51">
        <f t="shared" si="353"/>
        <v>1766</v>
      </c>
      <c r="EE207" s="51">
        <f>INT(SUMPRODUCT($N207:$R207,$BF207:$BJ207)/SUM($BF207:$BJ207)/10000*$BX$7*$BZ$46/'疲劳值&amp;地图信息'!$R$10*$BY$53)</f>
        <v>438</v>
      </c>
      <c r="EF207" s="50">
        <f t="shared" si="354"/>
        <v>0.91033725234937557</v>
      </c>
      <c r="EG207" s="50">
        <f t="shared" si="355"/>
        <v>7.1844107237297103E-2</v>
      </c>
      <c r="EH207" s="50">
        <f t="shared" si="356"/>
        <v>1.7818640413327366E-2</v>
      </c>
      <c r="EI207" s="51">
        <f t="shared" si="357"/>
        <v>23820</v>
      </c>
      <c r="EJ207" s="51">
        <f t="shared" si="358"/>
        <v>2824</v>
      </c>
      <c r="EK207" s="14">
        <f>INT(SUMPRODUCT($U207:$Y207,$BF207:$BJ207)/SUM($BF207:$BJ207)/10000*$BX$7*$BZ$46/'疲劳值&amp;地图信息'!$R$10*$BY$54)</f>
        <v>814</v>
      </c>
      <c r="EL207" s="50">
        <f t="shared" si="359"/>
        <v>0.86750673756282326</v>
      </c>
      <c r="EM207" s="50">
        <f t="shared" si="360"/>
        <v>0.10284798601500474</v>
      </c>
      <c r="EN207" s="50">
        <f t="shared" si="361"/>
        <v>2.9645276422172046E-2</v>
      </c>
      <c r="EO207" s="51">
        <f t="shared" si="362"/>
        <v>25719</v>
      </c>
      <c r="EP207" s="51">
        <f t="shared" si="363"/>
        <v>4933</v>
      </c>
      <c r="EQ207" s="14">
        <f>INT(SUMPRODUCT($AB207:$AF207,$BF207:$BJ207)/SUM($BF207:$BJ207)/10000*$BX$7*$BZ$46/'疲劳值&amp;地图信息'!$R$10*$BY$55)</f>
        <v>1105</v>
      </c>
      <c r="ER207" s="50">
        <f t="shared" si="364"/>
        <v>0.80986869036747799</v>
      </c>
      <c r="ES207" s="50">
        <f t="shared" si="365"/>
        <v>0.15533583147022703</v>
      </c>
      <c r="ET207" s="50">
        <f t="shared" si="366"/>
        <v>3.4795478162294925E-2</v>
      </c>
      <c r="EU207" s="51">
        <f t="shared" si="367"/>
        <v>30776</v>
      </c>
      <c r="EV207" s="51">
        <f t="shared" si="368"/>
        <v>14243</v>
      </c>
      <c r="EW207" s="14">
        <f>INT(SUMPRODUCT($AI207:$AM207,$BF207:$BJ207)/SUM($BF207:$BJ207)/10000*$BX$7*$BZ$46/'疲劳值&amp;地图信息'!$R$10*$BY$56)</f>
        <v>1657</v>
      </c>
      <c r="EX207" s="50">
        <f t="shared" si="369"/>
        <v>0.65935384351701087</v>
      </c>
      <c r="EY207" s="50">
        <f t="shared" si="370"/>
        <v>0.30514611363441596</v>
      </c>
      <c r="EZ207" s="50">
        <f t="shared" si="371"/>
        <v>3.5500042848573145E-2</v>
      </c>
      <c r="FA207" s="51">
        <f t="shared" si="372"/>
        <v>31964</v>
      </c>
      <c r="FB207" s="51">
        <f t="shared" si="373"/>
        <v>24666</v>
      </c>
      <c r="FC207" s="14">
        <f>INT(SUMPRODUCT($AP207:$AT207,$BF207:$BJ207)/SUM($BF207:$BJ207)/10000*$BX$7*$BZ$46/'疲劳值&amp;地图信息'!$R$10*$BY$57)</f>
        <v>2210</v>
      </c>
      <c r="FD207" s="50">
        <f t="shared" si="374"/>
        <v>0.54323589394969407</v>
      </c>
      <c r="FE207" s="50">
        <f t="shared" si="375"/>
        <v>0.4192046227056424</v>
      </c>
      <c r="FF207" s="50">
        <f t="shared" si="376"/>
        <v>3.7559483344663497E-2</v>
      </c>
      <c r="FH207" s="14">
        <f t="shared" si="377"/>
        <v>24581</v>
      </c>
      <c r="FI207" s="14">
        <f t="shared" si="378"/>
        <v>27458</v>
      </c>
      <c r="FJ207" s="14">
        <f t="shared" si="379"/>
        <v>31757</v>
      </c>
      <c r="FK207" s="14">
        <f t="shared" si="380"/>
        <v>46676</v>
      </c>
      <c r="FL207" s="14">
        <f t="shared" si="381"/>
        <v>58840</v>
      </c>
      <c r="FM207" s="14">
        <f t="shared" si="382"/>
        <v>2863127</v>
      </c>
      <c r="FP207" s="14">
        <f t="shared" si="383"/>
        <v>334150</v>
      </c>
      <c r="FQ207" s="50">
        <f t="shared" si="323"/>
        <v>0.10451080716497195</v>
      </c>
      <c r="FS207" s="14">
        <f t="shared" si="384"/>
        <v>3197277</v>
      </c>
      <c r="FX207" s="14">
        <v>202</v>
      </c>
      <c r="FY207" s="51">
        <f t="shared" si="385"/>
        <v>31328</v>
      </c>
      <c r="FZ207" s="51">
        <f t="shared" si="386"/>
        <v>1766</v>
      </c>
      <c r="GA207" s="51">
        <f>INT(SUMPRODUCT($N207:$R207,$BF207:$BJ207)/SUM($BF207:$BJ207)/10000*$BX$7*$BZ$46/'疲劳值&amp;地图信息'!$R$10*$BY$53)</f>
        <v>438</v>
      </c>
      <c r="GB207" s="50">
        <f t="shared" si="387"/>
        <v>0.93427174042705474</v>
      </c>
      <c r="GC207" s="50">
        <f t="shared" si="388"/>
        <v>5.2666109984492428E-2</v>
      </c>
      <c r="GD207" s="50">
        <f t="shared" si="389"/>
        <v>1.3062149588452822E-2</v>
      </c>
      <c r="GE207" s="51">
        <f t="shared" si="390"/>
        <v>33348</v>
      </c>
      <c r="GF207" s="51">
        <f t="shared" si="391"/>
        <v>2824</v>
      </c>
      <c r="GG207" s="14">
        <f>INT(SUMPRODUCT($U207:$Y207,$BF207:$BJ207)/SUM($BF207:$BJ207)/10000*$BX$7*$BZ$46/'疲劳值&amp;地图信息'!$R$10*$BY$54)</f>
        <v>814</v>
      </c>
      <c r="GH207" s="50">
        <f t="shared" si="392"/>
        <v>0.90163845779484131</v>
      </c>
      <c r="GI207" s="50">
        <f t="shared" si="393"/>
        <v>7.6353214729897798E-2</v>
      </c>
      <c r="GJ207" s="50">
        <f t="shared" si="394"/>
        <v>2.2008327475260908E-2</v>
      </c>
      <c r="GK207" s="51">
        <f t="shared" si="395"/>
        <v>36006</v>
      </c>
      <c r="GL207" s="51">
        <f t="shared" si="396"/>
        <v>4933</v>
      </c>
      <c r="GM207" s="14">
        <f>INT(SUMPRODUCT($AB207:$AF207,$BF207:$BJ207)/SUM($BF207:$BJ207)/10000*$BX$7*$BZ$46/'疲劳值&amp;地图信息'!$R$10*$BY$55)</f>
        <v>1105</v>
      </c>
      <c r="GN207" s="50">
        <f t="shared" si="397"/>
        <v>0.8563885453334602</v>
      </c>
      <c r="GO207" s="50">
        <f t="shared" si="398"/>
        <v>0.1173294643706593</v>
      </c>
      <c r="GP207" s="50">
        <f t="shared" si="399"/>
        <v>2.6281990295880506E-2</v>
      </c>
      <c r="GQ207" s="51">
        <f t="shared" si="400"/>
        <v>43087</v>
      </c>
      <c r="GR207" s="51">
        <f t="shared" si="401"/>
        <v>14243</v>
      </c>
      <c r="GS207" s="14">
        <f>INT(SUMPRODUCT($AI207:$AM207,$BF207:$BJ207)/SUM($BF207:$BJ207)/10000*$BX$7*$BZ$46/'疲劳值&amp;地图信息'!$R$10*$BY$56)</f>
        <v>1657</v>
      </c>
      <c r="GT207" s="50">
        <f t="shared" si="402"/>
        <v>0.73044908200111891</v>
      </c>
      <c r="GU207" s="50">
        <f t="shared" si="403"/>
        <v>0.24145998270805433</v>
      </c>
      <c r="GV207" s="50">
        <f t="shared" si="404"/>
        <v>2.8090935290826791E-2</v>
      </c>
      <c r="GW207" s="51">
        <f t="shared" si="405"/>
        <v>44749</v>
      </c>
      <c r="GX207" s="51">
        <f t="shared" si="406"/>
        <v>24666</v>
      </c>
      <c r="GY207" s="14">
        <f>INT(SUMPRODUCT($AP207:$AT207,$BF207:$BJ207)/SUM($BF207:$BJ207)/10000*$BX$7*$BZ$46/'疲劳值&amp;地图信息'!$R$10*$BY$57)</f>
        <v>2210</v>
      </c>
      <c r="GZ207" s="50">
        <f t="shared" si="407"/>
        <v>0.62476788830715535</v>
      </c>
      <c r="HA207" s="50">
        <f t="shared" si="408"/>
        <v>0.34437696335078533</v>
      </c>
      <c r="HB207" s="50">
        <f t="shared" si="409"/>
        <v>3.0855148342059338E-2</v>
      </c>
      <c r="HD207" s="14">
        <f t="shared" si="410"/>
        <v>33532</v>
      </c>
      <c r="HE207" s="14">
        <f t="shared" si="411"/>
        <v>36986</v>
      </c>
      <c r="HF207" s="14">
        <f t="shared" si="412"/>
        <v>42044</v>
      </c>
      <c r="HG207" s="14">
        <f t="shared" si="413"/>
        <v>58987</v>
      </c>
      <c r="HH207" s="14">
        <f t="shared" si="414"/>
        <v>71625</v>
      </c>
      <c r="HI207" s="14">
        <f t="shared" si="415"/>
        <v>3851329</v>
      </c>
      <c r="HL207" s="14">
        <f t="shared" si="416"/>
        <v>430050</v>
      </c>
      <c r="HM207" s="50">
        <f t="shared" si="324"/>
        <v>0.10044660844087851</v>
      </c>
      <c r="HO207" s="14">
        <f t="shared" si="417"/>
        <v>4281379</v>
      </c>
    </row>
    <row r="208" spans="11:223" x14ac:dyDescent="0.2">
      <c r="K208" s="14">
        <v>203</v>
      </c>
      <c r="L208" s="12">
        <f>求节点(节奏总纲!D$4:D$163,标准城池设计!AB$4:AB$163,$K208)*求节点(节奏总纲!D$4:D$163,攻城基础信息!$AC$5:$AC$164,$K208)</f>
        <v>660160.42329868185</v>
      </c>
      <c r="M208" s="12">
        <f>INDEX(其他调用!$AA$5:$AA$404,MATCH(K208,其他调用!$X$5:$X$404,0))*MIN(INDEX(其他调用!$AH$5:$AH$364,MATCH('征服点（新）'!K208,其他调用!$AG$5:$AG$364,0),1)/INDEX(其他调用!$AJ$5:$AJ$364,MATCH(K208,其他调用!$AG$5:$AG$364,0),0),5)*求节点(节奏总纲!D$4:D$163,攻城基础信息!$AC$5:$AC$164,$K208)</f>
        <v>52133.082839290604</v>
      </c>
      <c r="N208" s="12">
        <f>MIN(INDEX(其他调用!$AH$5:$AH$364,MATCH($K208,其他调用!$AG$5:$AG$364,0),1)/INDEX(其他调用!AH$5:AH$364,MATCH($K208,其他调用!$AG$5:$AG$364,0),0),1)*INDEX(其他调用!Y$5:Y$404,MATCH($K208,其他调用!$X$5:$X$404,0),0)</f>
        <v>40221.262597287816</v>
      </c>
      <c r="O208" s="12">
        <f>MIN(INDEX(其他调用!$AH$5:$AH$364,MATCH($K208,其他调用!$AG$5:$AG$364,0),1)/INDEX(其他调用!AI$5:AI$364,MATCH($K208,其他调用!$AG$5:$AG$364,0),0),1)*INDEX(其他调用!Z$5:Z$404,MATCH($K208,其他调用!$X$5:$X$404,0),0)</f>
        <v>25901.832724435051</v>
      </c>
      <c r="P208" s="12">
        <f>MIN(INDEX(其他调用!$AH$5:$AH$364,MATCH($K208,其他调用!$AG$5:$AG$364,0),1)/INDEX(其他调用!AJ$5:AJ$364,MATCH($K208,其他调用!$AG$5:$AG$364,0),0),1)*INDEX(其他调用!AA$5:AA$404,MATCH($K208,其他调用!$X$5:$X$404,0),0)</f>
        <v>15375.875453093648</v>
      </c>
      <c r="Q208" s="12">
        <f>MIN(INDEX(其他调用!$AH$5:$AH$364,MATCH($K208,其他调用!$AG$5:$AG$364,0),1)/INDEX(其他调用!AK$5:AK$364,MATCH($K208,其他调用!$AG$5:$AG$364,0),0),1)*INDEX(其他调用!AB$5:AB$404,MATCH($K208,其他调用!$X$5:$X$404,0),0)</f>
        <v>5592.5598345021135</v>
      </c>
      <c r="R208" s="12">
        <f>MIN(INDEX(其他调用!$AH$5:$AH$364,MATCH($K208,其他调用!$AG$5:$AG$364,0),1)/INDEX(其他调用!AL$5:AL$364,MATCH($K208,其他调用!$AG$5:$AG$364,0),0),1)*INDEX(其他调用!AC$5:AC$404,MATCH($K208,其他调用!$X$5:$X$404,0),0)</f>
        <v>2512.6347282832767</v>
      </c>
      <c r="S208" s="12">
        <f>求节点(节奏总纲!D$4:D$163,标准城池设计!AC$4:AC$163,$K208)*求节点(节奏总纲!D$4:D$163,攻城基础信息!$AD$5:$AD$164,$K208)</f>
        <v>702737.05029066536</v>
      </c>
      <c r="T208" s="12">
        <f>INDEX(其他调用!$AA$5:$AA$404,MATCH($K208,其他调用!$X$5:$X$404,0))*MIN(INDEX(其他调用!AI$5:AI$364,MATCH($K208,其他调用!$AG$5:$AG$364,0),1)/INDEX(其他调用!$AJ$5:$AJ$364,MATCH($K208,其他调用!$AG$5:$AG$364,0),0),5)*求节点(节奏总纲!D$4:D$163,攻城基础信息!$AD$5:$AD$164,$K208)</f>
        <v>83263.952696430119</v>
      </c>
      <c r="U208" s="12">
        <f>MIN(INDEX(其他调用!$AI$5:$AI$364,MATCH($K208,其他调用!$AG$5:$AG$364,0),1)/INDEX(其他调用!AH$5:AH$364,MATCH($K208,其他调用!$AG$5:$AG$364,0),0),1)*INDEX(其他调用!Y$5:Y$404,MATCH($K208,其他调用!$X$5:$X$404,0),0)</f>
        <v>40221.262597287816</v>
      </c>
      <c r="V208" s="12">
        <f>MIN(INDEX(其他调用!$AI$5:$AI$364,MATCH($K208,其他调用!$AG$5:$AG$364,0),1)/INDEX(其他调用!AI$5:AI$364,MATCH($K208,其他调用!$AG$5:$AG$364,0),0),1)*INDEX(其他调用!Z$5:Z$404,MATCH($K208,其他调用!$X$5:$X$404,0),0)</f>
        <v>41368.913121186</v>
      </c>
      <c r="W208" s="12">
        <f>MIN(INDEX(其他调用!$AI$5:$AI$364,MATCH($K208,其他调用!$AG$5:$AG$364,0),1)/INDEX(其他调用!AJ$5:AJ$364,MATCH($K208,其他调用!$AG$5:$AG$364,0),0),1)*INDEX(其他调用!AA$5:AA$404,MATCH($K208,其他调用!$X$5:$X$404,0),0)</f>
        <v>24557.461340607944</v>
      </c>
      <c r="X208" s="12">
        <f>MIN(INDEX(其他调用!$AI$5:$AI$364,MATCH($K208,其他调用!$AG$5:$AG$364,0),1)/INDEX(其他调用!AK$5:AK$364,MATCH($K208,其他调用!$AG$5:$AG$364,0),0),1)*INDEX(其他调用!AB$5:AB$404,MATCH($K208,其他调用!$X$5:$X$404,0),0)</f>
        <v>8932.1139696920218</v>
      </c>
      <c r="Y208" s="12">
        <f>MIN(INDEX(其他调用!$AI$5:$AI$364,MATCH($K208,其他调用!$AG$5:$AG$364,0),1)/INDEX(其他调用!AL$5:AL$364,MATCH($K208,其他调用!$AG$5:$AG$364,0),0),1)*INDEX(其他调用!AC$5:AC$404,MATCH($K208,其他调用!$X$5:$X$404,0),0)</f>
        <v>4013.035250651084</v>
      </c>
      <c r="Z208" s="12">
        <f>求节点(节奏总纲!D$4:D$163,标准城池设计!AD$4:AD$163,$K208)*求节点(节奏总纲!D$4:D$163,攻城基础信息!$AE$5:$AE$164,$K208)</f>
        <v>759306.96501748706</v>
      </c>
      <c r="AA208" s="12">
        <f>INDEX(其他调用!$AA$5:$AA$404,MATCH($K208,其他调用!$X$5:$X$404,0))*MIN(INDEX(其他调用!AJ$5:AJ$364,MATCH($K208,其他调用!$AG$5:$AG$364,0),1)/INDEX(其他调用!$AJ$5:$AJ$364,MATCH($K208,其他调用!$AG$5:$AG$364,0),0),5)*求节点(节奏总纲!D$4:D$163,攻城基础信息!$AE$5:$AE$164,$K208)</f>
        <v>145430.19277085943</v>
      </c>
      <c r="AB208" s="12">
        <f>MIN(INDEX(其他调用!$AJ$5:$AJ$364,MATCH($K208,其他调用!$AG$5:$AG$364,0),1)/INDEX(其他调用!AH$5:AH$364,MATCH($K208,其他调用!$AG$5:$AG$364,0),0),1)*INDEX(其他调用!Y$5:Y$404,MATCH($K208,其他调用!$X$5:$X$404,0),0)</f>
        <v>40221.262597287816</v>
      </c>
      <c r="AC208" s="12">
        <f>MIN(INDEX(其他调用!$AJ$5:$AJ$364,MATCH($K208,其他调用!$AG$5:$AG$364,0),1)/INDEX(其他调用!AI$5:AI$364,MATCH($K208,其他调用!$AG$5:$AG$364,0),0),1)*INDEX(其他调用!Z$5:Z$404,MATCH($K208,其他调用!$X$5:$X$404,0),0)</f>
        <v>41368.913121186</v>
      </c>
      <c r="AD208" s="12">
        <f>MIN(INDEX(其他调用!$AJ$5:$AJ$364,MATCH($K208,其他调用!$AG$5:$AG$364,0),1)/INDEX(其他调用!AJ$5:AJ$364,MATCH($K208,其他调用!$AG$5:$AG$364,0),0),1)*INDEX(其他调用!AA$5:AA$404,MATCH($K208,其他调用!$X$5:$X$404,0),0)</f>
        <v>42892.466920810286</v>
      </c>
      <c r="AE208" s="12">
        <f>MIN(INDEX(其他调用!$AJ$5:$AJ$364,MATCH($K208,其他调用!$AG$5:$AG$364,0),1)/INDEX(其他调用!AK$5:AK$364,MATCH($K208,其他调用!$AG$5:$AG$364,0),0),1)*INDEX(其他调用!AB$5:AB$404,MATCH($K208,其他调用!$X$5:$X$404,0),0)</f>
        <v>15600.977546665174</v>
      </c>
      <c r="AF208" s="12">
        <f>MIN(INDEX(其他调用!$AJ$5:$AJ$364,MATCH($K208,其他调用!$AG$5:$AG$364,0),1)/INDEX(其他调用!AL$5:AL$364,MATCH($K208,其他调用!$AG$5:$AG$364,0),0),1)*INDEX(其他调用!AC$5:AC$404,MATCH($K208,其他调用!$X$5:$X$404,0),0)</f>
        <v>7009.2335422296537</v>
      </c>
      <c r="AG208" s="12">
        <f>求节点(节奏总纲!D$4:D$163,标准城池设计!AE$4:AE$163,$K208)*求节点(节奏总纲!D$4:D$163,攻城基础信息!$AF$5:$AF$164,$K208)</f>
        <v>908667.82938549505</v>
      </c>
      <c r="AH208" s="12">
        <f>INDEX(其他调用!$AA$5:$AA$404,MATCH($K208,其他调用!$X$5:$X$404,0))*MIN(INDEX(其他调用!AK$5:AK$364,MATCH($K208,其他调用!$AG$5:$AG$364,0),1)/INDEX(其他调用!$AJ$5:$AJ$364,MATCH($K208,其他调用!$AG$5:$AG$364,0),0),5)*求节点(节奏总纲!D$4:D$163,攻城基础信息!$AF$5:$AF$164,$K208)</f>
        <v>420273.11759963864</v>
      </c>
      <c r="AI208" s="12">
        <f>MIN(INDEX(其他调用!$AK$5:$AK$364,MATCH($K208,其他调用!$AG$5:$AG$364,0),1)/INDEX(其他调用!AH$5:AH$364,MATCH($K208,其他调用!$AG$5:$AG$364,0),0),1)*INDEX(其他调用!Y$5:Y$404,MATCH($K208,其他调用!$X$5:$X$404,0),0)</f>
        <v>40221.262597287816</v>
      </c>
      <c r="AJ208" s="12">
        <f>MIN(INDEX(其他调用!$AK$5:$AK$364,MATCH($K208,其他调用!$AG$5:$AG$364,0),1)/INDEX(其他调用!AI$5:AI$364,MATCH($K208,其他调用!$AG$5:$AG$364,0),0),1)*INDEX(其他调用!Z$5:Z$404,MATCH($K208,其他调用!$X$5:$X$404,0),0)</f>
        <v>41368.913121186</v>
      </c>
      <c r="AK208" s="12">
        <f>MIN(INDEX(其他调用!$AK$5:$AK$364,MATCH($K208,其他调用!$AG$5:$AG$364,0),1)/INDEX(其他调用!AJ$5:AJ$364,MATCH($K208,其他调用!$AG$5:$AG$364,0),0),1)*INDEX(其他调用!AA$5:AA$404,MATCH($K208,其他调用!$X$5:$X$404,0),0)</f>
        <v>42892.466920810286</v>
      </c>
      <c r="AL208" s="12">
        <f>MIN(INDEX(其他调用!$AK$5:$AK$364,MATCH($K208,其他调用!$AG$5:$AG$364,0),1)/INDEX(其他调用!AK$5:AK$364,MATCH($K208,其他调用!$AG$5:$AG$364,0),0),1)*INDEX(其他调用!AB$5:AB$404,MATCH($K208,其他调用!$X$5:$X$404,0),0)</f>
        <v>45084.664650549283</v>
      </c>
      <c r="AM208" s="12">
        <f>MIN(INDEX(其他调用!$AK$5:$AK$364,MATCH($K208,其他调用!$AG$5:$AG$364,0),1)/INDEX(其他调用!AL$5:AL$364,MATCH($K208,其他调用!$AG$5:$AG$364,0),0),1)*INDEX(其他调用!AC$5:AC$404,MATCH($K208,其他调用!$X$5:$X$404,0),0)</f>
        <v>20255.714282234509</v>
      </c>
      <c r="AN208" s="12">
        <f>求节点(节奏总纲!D$4:D$163,标准城池设计!AF$4:AF$163,$K208)*求节点(节奏总纲!D$4:D$163,攻城基础信息!$AG$5:$AG$164,$K208)</f>
        <v>944189.37006728281</v>
      </c>
      <c r="AO208" s="12">
        <f>INDEX(其他调用!$AA$5:$AA$404,MATCH($K208,其他调用!$X$5:$X$404,0))*MIN(INDEX(其他调用!AL$5:AL$364,MATCH($K208,其他调用!$AG$5:$AG$364,0),1)/INDEX(其他调用!$AJ$5:$AJ$364,MATCH($K208,其他调用!$AG$5:$AG$364,0),0),5)*求节点(节奏总纲!D$4:D$163,攻城基础信息!$AG$5:$AG$164,$K208)</f>
        <v>727150.96385429706</v>
      </c>
      <c r="AP208" s="12">
        <f>MIN(INDEX(其他调用!$AL$5:$AL$364,MATCH($K208,其他调用!$AG$5:$AG$364,0),1)/INDEX(其他调用!AH$5:AH$364,MATCH($K208,其他调用!$AG$5:$AG$364,0),0),1)*INDEX(其他调用!Y$5:Y$404,MATCH($K208,其他调用!$X$5:$X$404,0),0)</f>
        <v>40221.262597287816</v>
      </c>
      <c r="AQ208" s="12">
        <f>MIN(INDEX(其他调用!$AL$5:$AL$364,MATCH($K208,其他调用!$AG$5:$AG$364,0),1)/INDEX(其他调用!AI$5:AI$364,MATCH($K208,其他调用!$AG$5:$AG$364,0),0),1)*INDEX(其他调用!Z$5:Z$404,MATCH($K208,其他调用!$X$5:$X$404,0),0)</f>
        <v>41368.913121186</v>
      </c>
      <c r="AR208" s="12">
        <f>MIN(INDEX(其他调用!$AL$5:$AL$364,MATCH($K208,其他调用!$AG$5:$AG$364,0),1)/INDEX(其他调用!AJ$5:AJ$364,MATCH($K208,其他调用!$AG$5:$AG$364,0),0),1)*INDEX(其他调用!AA$5:AA$404,MATCH($K208,其他调用!$X$5:$X$404,0),0)</f>
        <v>42892.466920810286</v>
      </c>
      <c r="AS208" s="12">
        <f>MIN(INDEX(其他调用!$AL$5:$AL$364,MATCH($K208,其他调用!$AG$5:$AG$364,0),1)/INDEX(其他调用!AK$5:AK$364,MATCH($K208,其他调用!$AG$5:$AG$364,0),0),1)*INDEX(其他调用!AB$5:AB$404,MATCH($K208,其他调用!$X$5:$X$404,0),0)</f>
        <v>45084.664650549283</v>
      </c>
      <c r="AT208" s="12">
        <f>MIN(INDEX(其他调用!$AL$5:$AL$364,MATCH($K208,其他调用!$AG$5:$AG$364,0),1)/INDEX(其他调用!AL$5:AL$364,MATCH($K208,其他调用!$AG$5:$AG$364,0),0),1)*INDEX(其他调用!AC$5:AC$404,MATCH($K208,其他调用!$X$5:$X$404,0),0)</f>
        <v>49039.920530737014</v>
      </c>
      <c r="AV208" s="14">
        <f>IF(OR(AV$5="大R",AV$5="超R"),MAX(INDEX(其他调用!$H$5:$L$404,MATCH($K208,其他调用!$B$5:$B$404,0),MATCH(AV$5,其他调用!$H$4:$L$4,0))*120*0.85,2),INDEX(其他调用!$H$5:$L$404,MATCH($K208,其他调用!$B$5:$B$404,0),MATCH(AV$5,其他调用!$H$4:$L$4,0))*120*0.85)</f>
        <v>48.921801254999991</v>
      </c>
      <c r="AW208" s="14">
        <f>IF(OR(AW$5="大R",AW$5="超R"),MAX(INDEX(其他调用!$H$5:$L$404,MATCH($K208,其他调用!$B$5:$B$404,0),MATCH(AW$5,其他调用!$H$4:$L$4,0))*120*0.85,2),INDEX(其他调用!$H$5:$L$404,MATCH($K208,其他调用!$B$5:$B$404,0),MATCH(AW$5,其他调用!$H$4:$L$4,0))*120*0.85)</f>
        <v>48.237344010638395</v>
      </c>
      <c r="AX208" s="14">
        <f>IF(OR(AX$5="大R",AX$5="超R"),MAX(INDEX(其他调用!$H$5:$L$404,MATCH($K208,其他调用!$B$5:$B$404,0),MATCH(AX$5,其他调用!$H$4:$L$4,0))*120*0.85,2),INDEX(其他调用!$H$5:$L$404,MATCH($K208,其他调用!$B$5:$B$404,0),MATCH(AX$5,其他调用!$H$4:$L$4,0))*120*0.85)</f>
        <v>3.9376284143615998</v>
      </c>
      <c r="AY208" s="14">
        <f>IF(OR(AY$5="大R",AY$5="超R"),MAX(INDEX(其他调用!$H$5:$L$404,MATCH($K208,其他调用!$B$5:$B$404,0),MATCH(AY$5,其他调用!$H$4:$L$4,0))*120*0.85,2),INDEX(其他调用!$H$5:$L$404,MATCH($K208,其他调用!$B$5:$B$404,0),MATCH(AY$5,其他调用!$H$4:$L$4,0))*120*0.85)</f>
        <v>2</v>
      </c>
      <c r="AZ208" s="14">
        <f>IF(OR(AZ$5="大R",AZ$5="超R"),MAX(INDEX(其他调用!$H$5:$L$404,MATCH($K208,其他调用!$B$5:$B$404,0),MATCH(AZ$5,其他调用!$H$4:$L$4,0))*120*0.85,2),INDEX(其他调用!$H$5:$L$404,MATCH($K208,其他调用!$B$5:$B$404,0),MATCH(AZ$5,其他调用!$H$4:$L$4,0))*120*0.85)</f>
        <v>2</v>
      </c>
      <c r="BA208" s="14">
        <f>INDEX(其他调用!$H$5:$L$404,MATCH($K208,其他调用!$B$5:$B$404,0),MATCH(BA$5,其他调用!$H$4:$L$4,0))*INDEX(其他调用!$M$5:$M$404,MATCH($K208,其他调用!$B$5:$B$404,0))*0.6</f>
        <v>28.777530149999997</v>
      </c>
      <c r="BB208" s="14">
        <f>INDEX(其他调用!$H$5:$L$404,MATCH($K208,其他调用!$B$5:$B$404,0),MATCH(BB$5,其他调用!$H$4:$L$4,0))*INDEX(其他调用!$M$5:$M$404,MATCH($K208,其他调用!$B$5:$B$404,0))*0.6</f>
        <v>28.374908241551999</v>
      </c>
      <c r="BC208" s="14">
        <f>INDEX(其他调用!$H$5:$L$404,MATCH($K208,其他调用!$B$5:$B$404,0),MATCH(BC$5,其他调用!$H$4:$L$4,0))*INDEX(其他调用!$M$5:$M$404,MATCH($K208,其他调用!$B$5:$B$404,0))*0.6</f>
        <v>2.3162520084480001</v>
      </c>
      <c r="BD208" s="14">
        <f>INDEX(其他调用!$H$5:$L$404,MATCH($K208,其他调用!$B$5:$B$404,0),MATCH(BD$5,其他调用!$H$4:$L$4,0))*INDEX(其他调用!$M$5:$M$404,MATCH($K208,其他调用!$B$5:$B$404,0))*0.6</f>
        <v>0.4120776000000001</v>
      </c>
      <c r="BE208" s="14">
        <f>INDEX(其他调用!$H$5:$L$404,MATCH($K208,其他调用!$B$5:$B$404,0),MATCH(BE$5,其他调用!$H$4:$L$4,0))*INDEX(其他调用!$M$5:$M$404,MATCH($K208,其他调用!$B$5:$B$404,0))*0.6</f>
        <v>0.11923199999999998</v>
      </c>
      <c r="BF208" s="14">
        <f>IF(OR(BF$5="大R",BF$5="超R"),0,INDEX(其他调用!$H$5:$L$404,MATCH($K208,其他调用!$B$5:$B$404,0),MATCH(BF$5,其他调用!$H$4:$L$4,0))*50*0.4)</f>
        <v>9.5925100500000013</v>
      </c>
      <c r="BG208" s="14">
        <f>IF(OR(BG$5="大R",BG$5="超R"),0,INDEX(其他调用!$H$5:$L$404,MATCH($K208,其他调用!$B$5:$B$404,0),MATCH(BG$5,其他调用!$H$4:$L$4,0))*50*0.4)</f>
        <v>9.4583027471839998</v>
      </c>
      <c r="BH208" s="14">
        <f>IF(OR(BH$5="大R",BH$5="超R"),0,INDEX(其他调用!$H$5:$L$404,MATCH($K208,其他调用!$B$5:$B$404,0),MATCH(BH$5,其他调用!$H$4:$L$4,0))*50*0.4)</f>
        <v>0.77208400281600009</v>
      </c>
      <c r="BI208" s="14">
        <f>IF(OR(BI$5="大R",BI$5="超R"),0,INDEX(其他调用!$H$5:$L$404,MATCH($K208,其他调用!$B$5:$B$404,0),MATCH(BI$5,其他调用!$H$4:$L$4,0))*50*0.4)</f>
        <v>0</v>
      </c>
      <c r="BJ208" s="14">
        <f>IF(OR(BJ$5="大R",BJ$5="超R"),0,INDEX(其他调用!$H$5:$L$404,MATCH($K208,其他调用!$B$5:$B$404,0),MATCH(BJ$5,其他调用!$H$4:$L$4,0))*50*0.4)</f>
        <v>0</v>
      </c>
      <c r="BL208" s="14">
        <f t="shared" si="418"/>
        <v>203</v>
      </c>
      <c r="BM208" s="14">
        <f t="shared" si="325"/>
        <v>96</v>
      </c>
      <c r="BN208" s="14">
        <f>('疲劳值&amp;地图信息'!$S$10*'疲劳值&amp;地图信息'!$R$10+'疲劳值&amp;地图信息'!$S$11*'疲劳值&amp;地图信息'!$R$11+'疲劳值&amp;地图信息'!$S$12*'疲劳值&amp;地图信息'!$R$12+(BM208-'疲劳值&amp;地图信息'!$S$12-'疲劳值&amp;地图信息'!$S$11-'疲劳值&amp;地图信息'!$S$10)*'疲劳值&amp;地图信息'!$R$13)/BM208</f>
        <v>51.371477246638619</v>
      </c>
      <c r="BO208" s="14">
        <f>INDEX(其他调用!$M$5:$M$404,MATCH(BL208,其他调用!$B$5:$B$404,0))*0.6</f>
        <v>60</v>
      </c>
      <c r="BP208" s="14">
        <f>IF(BO208&gt;SUM('疲劳值&amp;地图信息'!$S$10:$S$12),('疲劳值&amp;地图信息'!$S$10*'疲劳值&amp;地图信息'!$R$10+'疲劳值&amp;地图信息'!$S$11*'疲劳值&amp;地图信息'!$R$11+'疲劳值&amp;地图信息'!$S$12*'疲劳值&amp;地图信息'!$R$12+(BO208-'疲劳值&amp;地图信息'!$S$12-'疲劳值&amp;地图信息'!$S$11-'疲劳值&amp;地图信息'!$S$10)*'疲劳值&amp;地图信息'!$R$13)/BO208,('疲劳值&amp;地图信息'!$S$10*'疲劳值&amp;地图信息'!$R$10+'疲劳值&amp;地图信息'!$S$11*'疲劳值&amp;地图信息'!$R$11+'疲劳值&amp;地图信息'!$S$12*'疲劳值&amp;地图信息'!$R$12+(BO208-'疲劳值&amp;地图信息'!$S$12-'疲劳值&amp;地图信息'!$S$11-'疲劳值&amp;地图信息'!$S$10)*'疲劳值&amp;地图信息'!$R$13)/BO208)</f>
        <v>44.158136341605953</v>
      </c>
      <c r="BQ208" s="14">
        <f t="shared" si="419"/>
        <v>20</v>
      </c>
      <c r="BR208" s="14">
        <f>('疲劳值&amp;地图信息'!$S$10*'疲劳值&amp;地图信息'!$R$10+($BQ208-'疲劳值&amp;地图信息'!$S$10)*'疲劳值&amp;地图信息'!$R$11)/$BQ208</f>
        <v>32.067203015074995</v>
      </c>
      <c r="CF208" s="14">
        <v>203</v>
      </c>
      <c r="CG208" s="51">
        <f t="shared" si="326"/>
        <v>13454</v>
      </c>
      <c r="CH208" s="51">
        <f t="shared" si="327"/>
        <v>1062</v>
      </c>
      <c r="CI208" s="51">
        <f>INT(SUMPRODUCT($N208:$R208,$BA208:$BE208)/SUM($BA208:$BE208)/10000*$BX$7*$BZ$34/'疲劳值&amp;地图信息'!$R$10*$BY$53)</f>
        <v>3264</v>
      </c>
      <c r="CJ208" s="50">
        <f t="shared" si="328"/>
        <v>0.75669291338582678</v>
      </c>
      <c r="CK208" s="50">
        <f t="shared" si="329"/>
        <v>5.9730033745781778E-2</v>
      </c>
      <c r="CL208" s="50">
        <f t="shared" si="330"/>
        <v>0.18357705286839146</v>
      </c>
      <c r="CM208" s="14">
        <f t="shared" si="331"/>
        <v>14322</v>
      </c>
      <c r="CN208" s="14">
        <f t="shared" si="332"/>
        <v>1697</v>
      </c>
      <c r="CO208" s="14">
        <f>INT(SUMPRODUCT($U208:$Y208,$BA208:$BE208)/SUM($BA208:$BE208)/10000*$BX$7*$BZ$34/'疲劳值&amp;地图信息'!$R$10*$BY$54)</f>
        <v>6068</v>
      </c>
      <c r="CP208" s="50">
        <f t="shared" si="333"/>
        <v>0.64843573142572553</v>
      </c>
      <c r="CQ208" s="50">
        <f t="shared" si="334"/>
        <v>7.6832525920224562E-2</v>
      </c>
      <c r="CR208" s="50">
        <f t="shared" si="335"/>
        <v>0.27473174265404987</v>
      </c>
      <c r="CS208" s="14">
        <f t="shared" si="336"/>
        <v>15475</v>
      </c>
      <c r="CT208" s="14">
        <f t="shared" si="337"/>
        <v>2964</v>
      </c>
      <c r="CU208" s="14">
        <f>INT(SUMPRODUCT($AB208:$AF208,$BA208:$BE208)/SUM($BA208:$BE208)/10000*$BX$7*$BZ$34/'疲劳值&amp;地图信息'!$R$10*$BY$55)</f>
        <v>8245</v>
      </c>
      <c r="CV208" s="50">
        <f t="shared" si="338"/>
        <v>0.57993554189776642</v>
      </c>
      <c r="CW208" s="50">
        <f t="shared" si="339"/>
        <v>0.11107779943037026</v>
      </c>
      <c r="CX208" s="50">
        <f t="shared" si="340"/>
        <v>0.30898665867186331</v>
      </c>
      <c r="CY208" s="14">
        <f t="shared" si="341"/>
        <v>18519</v>
      </c>
      <c r="CZ208" s="14">
        <f t="shared" si="342"/>
        <v>8565</v>
      </c>
      <c r="DA208" s="14">
        <f>INT(SUMPRODUCT($AI208:$AM208,$BA208:$BE208)/SUM($BA208:$BE208)/10000*$BX$7*$BZ$34/'疲劳值&amp;地图信息'!$R$10*$BY$56)</f>
        <v>12438</v>
      </c>
      <c r="DB208" s="50">
        <f t="shared" si="343"/>
        <v>0.46857446485501747</v>
      </c>
      <c r="DC208" s="50">
        <f t="shared" si="344"/>
        <v>0.21671474115682404</v>
      </c>
      <c r="DD208" s="50">
        <f t="shared" si="345"/>
        <v>0.31471079398815849</v>
      </c>
      <c r="DE208" s="14">
        <f t="shared" si="346"/>
        <v>19243</v>
      </c>
      <c r="DF208" s="14">
        <f t="shared" si="347"/>
        <v>14820</v>
      </c>
      <c r="DG208" s="14">
        <f>INT(SUMPRODUCT($AP208:$AT208,$BA208:$BE208)/SUM($BA208:$BE208)/10000*$BX$7*$BZ$34/'疲劳值&amp;地图信息'!$R$10*$BY$57)</f>
        <v>16607</v>
      </c>
      <c r="DH208" s="50">
        <f t="shared" si="348"/>
        <v>0.37977106769291497</v>
      </c>
      <c r="DI208" s="50">
        <f t="shared" si="349"/>
        <v>0.29248075784487865</v>
      </c>
      <c r="DJ208" s="50">
        <f t="shared" si="350"/>
        <v>0.32774817446220644</v>
      </c>
      <c r="DL208" s="14">
        <f t="shared" si="421"/>
        <v>17780</v>
      </c>
      <c r="DM208" s="14">
        <f t="shared" si="422"/>
        <v>22087</v>
      </c>
      <c r="DN208" s="14">
        <f t="shared" si="423"/>
        <v>26684</v>
      </c>
      <c r="DO208" s="14">
        <f t="shared" si="424"/>
        <v>39522</v>
      </c>
      <c r="DP208" s="14">
        <f t="shared" si="425"/>
        <v>50670</v>
      </c>
      <c r="DQ208" s="14">
        <f t="shared" si="426"/>
        <v>1222515</v>
      </c>
      <c r="DT208" s="14">
        <f t="shared" si="420"/>
        <v>235575</v>
      </c>
      <c r="DU208" s="50">
        <f t="shared" si="322"/>
        <v>0.16156410098142091</v>
      </c>
      <c r="DW208" s="14">
        <f t="shared" si="351"/>
        <v>1458090</v>
      </c>
      <c r="EB208" s="14">
        <v>203</v>
      </c>
      <c r="EC208" s="51">
        <f t="shared" si="352"/>
        <v>22424</v>
      </c>
      <c r="ED208" s="51">
        <f t="shared" si="353"/>
        <v>1770</v>
      </c>
      <c r="EE208" s="51">
        <f>INT(SUMPRODUCT($N208:$R208,$BF208:$BJ208)/SUM($BF208:$BJ208)/10000*$BX$7*$BZ$46/'疲劳值&amp;地图信息'!$R$10*$BY$53)</f>
        <v>438</v>
      </c>
      <c r="EF208" s="50">
        <f t="shared" si="354"/>
        <v>0.91036050665800583</v>
      </c>
      <c r="EG208" s="50">
        <f t="shared" si="355"/>
        <v>7.1857746021435534E-2</v>
      </c>
      <c r="EH208" s="50">
        <f t="shared" si="356"/>
        <v>1.7781747320558622E-2</v>
      </c>
      <c r="EI208" s="51">
        <f t="shared" si="357"/>
        <v>23871</v>
      </c>
      <c r="EJ208" s="51">
        <f t="shared" si="358"/>
        <v>2828</v>
      </c>
      <c r="EK208" s="14">
        <f>INT(SUMPRODUCT($U208:$Y208,$BF208:$BJ208)/SUM($BF208:$BJ208)/10000*$BX$7*$BZ$46/'疲劳值&amp;地图信息'!$R$10*$BY$54)</f>
        <v>814</v>
      </c>
      <c r="EL208" s="50">
        <f t="shared" si="359"/>
        <v>0.86762621306291576</v>
      </c>
      <c r="EM208" s="50">
        <f t="shared" si="360"/>
        <v>0.1027877730527387</v>
      </c>
      <c r="EN208" s="50">
        <f t="shared" si="361"/>
        <v>2.9586013884345581E-2</v>
      </c>
      <c r="EO208" s="51">
        <f t="shared" si="362"/>
        <v>25792</v>
      </c>
      <c r="EP208" s="51">
        <f t="shared" si="363"/>
        <v>4940</v>
      </c>
      <c r="EQ208" s="14">
        <f>INT(SUMPRODUCT($AB208:$AF208,$BF208:$BJ208)/SUM($BF208:$BJ208)/10000*$BX$7*$BZ$46/'疲劳值&amp;地图信息'!$R$10*$BY$55)</f>
        <v>1105</v>
      </c>
      <c r="ER208" s="50">
        <f t="shared" si="364"/>
        <v>0.810126582278481</v>
      </c>
      <c r="ES208" s="50">
        <f t="shared" si="365"/>
        <v>0.15516537362188648</v>
      </c>
      <c r="ET208" s="50">
        <f t="shared" si="366"/>
        <v>3.4708044099632504E-2</v>
      </c>
      <c r="EU208" s="51">
        <f t="shared" si="367"/>
        <v>30866</v>
      </c>
      <c r="EV208" s="51">
        <f t="shared" si="368"/>
        <v>14276</v>
      </c>
      <c r="EW208" s="14">
        <f>INT(SUMPRODUCT($AI208:$AM208,$BF208:$BJ208)/SUM($BF208:$BJ208)/10000*$BX$7*$BZ$46/'疲劳值&amp;地图信息'!$R$10*$BY$56)</f>
        <v>1658</v>
      </c>
      <c r="EX208" s="50">
        <f t="shared" si="369"/>
        <v>0.6595299145299145</v>
      </c>
      <c r="EY208" s="50">
        <f t="shared" si="370"/>
        <v>0.30504273504273505</v>
      </c>
      <c r="EZ208" s="50">
        <f t="shared" si="371"/>
        <v>3.5427350427350429E-2</v>
      </c>
      <c r="FA208" s="51">
        <f t="shared" si="372"/>
        <v>32073</v>
      </c>
      <c r="FB208" s="51">
        <f t="shared" si="373"/>
        <v>24700</v>
      </c>
      <c r="FC208" s="14">
        <f>INT(SUMPRODUCT($AP208:$AT208,$BF208:$BJ208)/SUM($BF208:$BJ208)/10000*$BX$7*$BZ$46/'疲劳值&amp;地图信息'!$R$10*$BY$57)</f>
        <v>2211</v>
      </c>
      <c r="FD208" s="50">
        <f t="shared" si="374"/>
        <v>0.54375762918757631</v>
      </c>
      <c r="FE208" s="50">
        <f t="shared" si="375"/>
        <v>0.41875762918757631</v>
      </c>
      <c r="FF208" s="50">
        <f t="shared" si="376"/>
        <v>3.7484741624847419E-2</v>
      </c>
      <c r="FH208" s="14">
        <f t="shared" si="377"/>
        <v>24632</v>
      </c>
      <c r="FI208" s="14">
        <f t="shared" si="378"/>
        <v>27513</v>
      </c>
      <c r="FJ208" s="14">
        <f t="shared" si="379"/>
        <v>31837</v>
      </c>
      <c r="FK208" s="14">
        <f t="shared" si="380"/>
        <v>46800</v>
      </c>
      <c r="FL208" s="14">
        <f t="shared" si="381"/>
        <v>58984</v>
      </c>
      <c r="FM208" s="14">
        <f t="shared" si="382"/>
        <v>2869126</v>
      </c>
      <c r="FP208" s="14">
        <f t="shared" si="383"/>
        <v>334150</v>
      </c>
      <c r="FQ208" s="50">
        <f t="shared" si="323"/>
        <v>0.10431508243435783</v>
      </c>
      <c r="FS208" s="14">
        <f t="shared" si="384"/>
        <v>3203276</v>
      </c>
      <c r="FX208" s="14">
        <v>203</v>
      </c>
      <c r="FY208" s="51">
        <f t="shared" si="385"/>
        <v>31394</v>
      </c>
      <c r="FZ208" s="51">
        <f t="shared" si="386"/>
        <v>1770</v>
      </c>
      <c r="GA208" s="51">
        <f>INT(SUMPRODUCT($N208:$R208,$BF208:$BJ208)/SUM($BF208:$BJ208)/10000*$BX$7*$BZ$46/'疲劳值&amp;地图信息'!$R$10*$BY$53)</f>
        <v>438</v>
      </c>
      <c r="GB208" s="50">
        <f t="shared" si="387"/>
        <v>0.93428962561752271</v>
      </c>
      <c r="GC208" s="50">
        <f t="shared" si="388"/>
        <v>5.2675435985953215E-2</v>
      </c>
      <c r="GD208" s="50">
        <f t="shared" si="389"/>
        <v>1.3034938396524016E-2</v>
      </c>
      <c r="GE208" s="51">
        <f t="shared" si="390"/>
        <v>33419</v>
      </c>
      <c r="GF208" s="51">
        <f t="shared" si="391"/>
        <v>2828</v>
      </c>
      <c r="GG208" s="14">
        <f>INT(SUMPRODUCT($U208:$Y208,$BF208:$BJ208)/SUM($BF208:$BJ208)/10000*$BX$7*$BZ$46/'疲劳值&amp;地图信息'!$R$10*$BY$54)</f>
        <v>814</v>
      </c>
      <c r="GH208" s="50">
        <f t="shared" si="392"/>
        <v>0.9017295809611181</v>
      </c>
      <c r="GI208" s="50">
        <f t="shared" si="393"/>
        <v>7.6306629610641913E-2</v>
      </c>
      <c r="GJ208" s="50">
        <f t="shared" si="394"/>
        <v>2.1963789428239927E-2</v>
      </c>
      <c r="GK208" s="51">
        <f t="shared" si="395"/>
        <v>36109</v>
      </c>
      <c r="GL208" s="51">
        <f t="shared" si="396"/>
        <v>4940</v>
      </c>
      <c r="GM208" s="14">
        <f>INT(SUMPRODUCT($AB208:$AF208,$BF208:$BJ208)/SUM($BF208:$BJ208)/10000*$BX$7*$BZ$46/'疲劳值&amp;地图信息'!$R$10*$BY$55)</f>
        <v>1105</v>
      </c>
      <c r="GN208" s="50">
        <f t="shared" si="397"/>
        <v>0.85659723869620918</v>
      </c>
      <c r="GO208" s="50">
        <f t="shared" si="398"/>
        <v>0.11718935332352802</v>
      </c>
      <c r="GP208" s="50">
        <f t="shared" si="399"/>
        <v>2.6213407980262844E-2</v>
      </c>
      <c r="GQ208" s="51">
        <f t="shared" si="400"/>
        <v>43212</v>
      </c>
      <c r="GR208" s="51">
        <f t="shared" si="401"/>
        <v>14276</v>
      </c>
      <c r="GS208" s="14">
        <f>INT(SUMPRODUCT($AI208:$AM208,$BF208:$BJ208)/SUM($BF208:$BJ208)/10000*$BX$7*$BZ$46/'疲劳值&amp;地图信息'!$R$10*$BY$56)</f>
        <v>1658</v>
      </c>
      <c r="GT208" s="50">
        <f t="shared" si="402"/>
        <v>0.7305988570655666</v>
      </c>
      <c r="GU208" s="50">
        <f t="shared" si="403"/>
        <v>0.24136881614986644</v>
      </c>
      <c r="GV208" s="50">
        <f t="shared" si="404"/>
        <v>2.8032326784567005E-2</v>
      </c>
      <c r="GW208" s="51">
        <f t="shared" si="405"/>
        <v>44902</v>
      </c>
      <c r="GX208" s="51">
        <f t="shared" si="406"/>
        <v>24700</v>
      </c>
      <c r="GY208" s="14">
        <f>INT(SUMPRODUCT($AP208:$AT208,$BF208:$BJ208)/SUM($BF208:$BJ208)/10000*$BX$7*$BZ$46/'疲劳值&amp;地图信息'!$R$10*$BY$57)</f>
        <v>2211</v>
      </c>
      <c r="GZ208" s="50">
        <f t="shared" si="407"/>
        <v>0.62526283541977079</v>
      </c>
      <c r="HA208" s="50">
        <f t="shared" si="408"/>
        <v>0.34394886719674711</v>
      </c>
      <c r="HB208" s="50">
        <f t="shared" si="409"/>
        <v>3.0788297383482099E-2</v>
      </c>
      <c r="HD208" s="14">
        <f t="shared" si="410"/>
        <v>33602</v>
      </c>
      <c r="HE208" s="14">
        <f t="shared" si="411"/>
        <v>37061</v>
      </c>
      <c r="HF208" s="14">
        <f t="shared" si="412"/>
        <v>42154</v>
      </c>
      <c r="HG208" s="14">
        <f t="shared" si="413"/>
        <v>59146</v>
      </c>
      <c r="HH208" s="14">
        <f t="shared" si="414"/>
        <v>71813</v>
      </c>
      <c r="HI208" s="14">
        <f t="shared" si="415"/>
        <v>3859499</v>
      </c>
      <c r="HL208" s="14">
        <f t="shared" si="416"/>
        <v>430050</v>
      </c>
      <c r="HM208" s="50">
        <f t="shared" si="324"/>
        <v>0.10025529490396309</v>
      </c>
      <c r="HO208" s="14">
        <f t="shared" si="417"/>
        <v>4289549</v>
      </c>
    </row>
    <row r="209" spans="11:223" x14ac:dyDescent="0.2">
      <c r="K209" s="14">
        <v>204</v>
      </c>
      <c r="L209" s="12">
        <f>求节点(节奏总纲!D$4:D$163,标准城池设计!AB$4:AB$163,$K209)*求节点(节奏总纲!D$4:D$163,攻城基础信息!$AC$5:$AC$164,$K209)</f>
        <v>661565.92793398607</v>
      </c>
      <c r="M209" s="12">
        <f>INDEX(其他调用!$AA$5:$AA$404,MATCH(K209,其他调用!$X$5:$X$404,0))*MIN(INDEX(其他调用!$AH$5:$AH$364,MATCH('征服点（新）'!K209,其他调用!$AG$5:$AG$364,0),1)/INDEX(其他调用!$AJ$5:$AJ$364,MATCH(K209,其他调用!$AG$5:$AG$364,0),0),5)*求节点(节奏总纲!D$4:D$163,攻城基础信息!$AC$5:$AC$164,$K209)</f>
        <v>52259.230598238821</v>
      </c>
      <c r="N209" s="12">
        <f>MIN(INDEX(其他调用!$AH$5:$AH$364,MATCH($K209,其他调用!$AG$5:$AG$364,0),1)/INDEX(其他调用!AH$5:AH$364,MATCH($K209,其他调用!$AG$5:$AG$364,0),0),1)*INDEX(其他调用!Y$5:Y$404,MATCH($K209,其他调用!$X$5:$X$404,0),0)</f>
        <v>40250.707910745834</v>
      </c>
      <c r="O209" s="12">
        <f>MIN(INDEX(其他调用!$AH$5:$AH$364,MATCH($K209,其他调用!$AG$5:$AG$364,0),1)/INDEX(其他调用!AI$5:AI$364,MATCH($K209,其他调用!$AG$5:$AG$364,0),0),1)*INDEX(其他调用!Z$5:Z$404,MATCH($K209,其他调用!$X$5:$X$404,0),0)</f>
        <v>25943.75603576651</v>
      </c>
      <c r="P209" s="12">
        <f>MIN(INDEX(其他调用!$AH$5:$AH$364,MATCH($K209,其他调用!$AG$5:$AG$364,0),1)/INDEX(其他调用!AJ$5:AJ$364,MATCH($K209,其他调用!$AG$5:$AG$364,0),0),1)*INDEX(其他调用!AA$5:AA$404,MATCH($K209,其他调用!$X$5:$X$404,0),0)</f>
        <v>15402.206679817022</v>
      </c>
      <c r="Q209" s="12">
        <f>MIN(INDEX(其他调用!$AH$5:$AH$364,MATCH($K209,其他调用!$AG$5:$AG$364,0),1)/INDEX(其他调用!AK$5:AK$364,MATCH($K209,其他调用!$AG$5:$AG$364,0),0),1)*INDEX(其他调用!AB$5:AB$404,MATCH($K209,其他调用!$X$5:$X$404,0),0)</f>
        <v>5596.9416791196027</v>
      </c>
      <c r="R209" s="12">
        <f>MIN(INDEX(其他调用!$AH$5:$AH$364,MATCH($K209,其他调用!$AG$5:$AG$364,0),1)/INDEX(其他调用!AL$5:AL$364,MATCH($K209,其他调用!$AG$5:$AG$364,0),0),1)*INDEX(其他调用!AC$5:AC$404,MATCH($K209,其他调用!$X$5:$X$404,0),0)</f>
        <v>2525.6446844589746</v>
      </c>
      <c r="S209" s="12">
        <f>求节点(节奏总纲!D$4:D$163,标准城池设计!AC$4:AC$163,$K209)*求节点(节奏总纲!D$4:D$163,攻城基础信息!$AD$5:$AD$164,$K209)</f>
        <v>704239.18087125244</v>
      </c>
      <c r="T209" s="12">
        <f>INDEX(其他调用!$AA$5:$AA$404,MATCH($K209,其他调用!$X$5:$X$404,0))*MIN(INDEX(其他调用!AI$5:AI$364,MATCH($K209,其他调用!$AG$5:$AG$364,0),1)/INDEX(其他调用!$AJ$5:$AJ$364,MATCH($K209,其他调用!$AG$5:$AG$364,0),0),5)*求节点(节奏总纲!D$4:D$163,攻城基础信息!$AD$5:$AD$164,$K209)</f>
        <v>83387.656070806173</v>
      </c>
      <c r="U209" s="12">
        <f>MIN(INDEX(其他调用!$AI$5:$AI$364,MATCH($K209,其他调用!$AG$5:$AG$364,0),1)/INDEX(其他调用!AH$5:AH$364,MATCH($K209,其他调用!$AG$5:$AG$364,0),0),1)*INDEX(其他调用!Y$5:Y$404,MATCH($K209,其他调用!$X$5:$X$404,0),0)</f>
        <v>40250.707910745834</v>
      </c>
      <c r="V209" s="12">
        <f>MIN(INDEX(其他调用!$AI$5:$AI$364,MATCH($K209,其他调用!$AG$5:$AG$364,0),1)/INDEX(其他调用!AI$5:AI$364,MATCH($K209,其他调用!$AG$5:$AG$364,0),0),1)*INDEX(其他调用!Z$5:Z$404,MATCH($K209,其他调用!$X$5:$X$404,0),0)</f>
        <v>41397.260938019012</v>
      </c>
      <c r="W209" s="12">
        <f>MIN(INDEX(其他调用!$AI$5:$AI$364,MATCH($K209,其他调用!$AG$5:$AG$364,0),1)/INDEX(其他调用!AJ$5:AJ$364,MATCH($K209,其他调用!$AG$5:$AG$364,0),0),1)*INDEX(其他调用!AA$5:AA$404,MATCH($K209,其他调用!$X$5:$X$404,0),0)</f>
        <v>24576.594386204742</v>
      </c>
      <c r="X209" s="12">
        <f>MIN(INDEX(其他调用!$AI$5:$AI$364,MATCH($K209,其他调用!$AG$5:$AG$364,0),1)/INDEX(其他调用!AK$5:AK$364,MATCH($K209,其他调用!$AG$5:$AG$364,0),0),1)*INDEX(其他调用!AB$5:AB$404,MATCH($K209,其他调用!$X$5:$X$404,0),0)</f>
        <v>8930.7829917135168</v>
      </c>
      <c r="Y209" s="12">
        <f>MIN(INDEX(其他调用!$AI$5:$AI$364,MATCH($K209,其他调用!$AG$5:$AG$364,0),1)/INDEX(其他调用!AL$5:AL$364,MATCH($K209,其他调用!$AG$5:$AG$364,0),0),1)*INDEX(其他调用!AC$5:AC$404,MATCH($K209,其他调用!$X$5:$X$404,0),0)</f>
        <v>4030.0553202523124</v>
      </c>
      <c r="Z209" s="12">
        <f>求节点(节奏总纲!D$4:D$163,标准城池设计!AD$4:AD$163,$K209)*求节点(节奏总纲!D$4:D$163,攻城基础信息!$AE$5:$AE$164,$K209)</f>
        <v>761475.62294308236</v>
      </c>
      <c r="AA209" s="12">
        <f>INDEX(其他调用!$AA$5:$AA$404,MATCH($K209,其他调用!$X$5:$X$404,0))*MIN(INDEX(其他调用!AJ$5:AJ$364,MATCH($K209,其他调用!$AG$5:$AG$364,0),1)/INDEX(其他调用!$AJ$5:$AJ$364,MATCH($K209,其他调用!$AG$5:$AG$364,0),0),5)*求节点(节奏总纲!D$4:D$163,攻城基础信息!$AE$5:$AE$164,$K209)</f>
        <v>145630.09022999625</v>
      </c>
      <c r="AB209" s="12">
        <f>MIN(INDEX(其他调用!$AJ$5:$AJ$364,MATCH($K209,其他调用!$AG$5:$AG$364,0),1)/INDEX(其他调用!AH$5:AH$364,MATCH($K209,其他调用!$AG$5:$AG$364,0),0),1)*INDEX(其他调用!Y$5:Y$404,MATCH($K209,其他调用!$X$5:$X$404,0),0)</f>
        <v>40250.707910745834</v>
      </c>
      <c r="AC209" s="12">
        <f>MIN(INDEX(其他调用!$AJ$5:$AJ$364,MATCH($K209,其他调用!$AG$5:$AG$364,0),1)/INDEX(其他调用!AI$5:AI$364,MATCH($K209,其他调用!$AG$5:$AG$364,0),0),1)*INDEX(其他调用!Z$5:Z$404,MATCH($K209,其他调用!$X$5:$X$404,0),0)</f>
        <v>41397.260938019012</v>
      </c>
      <c r="AD209" s="12">
        <f>MIN(INDEX(其他调用!$AJ$5:$AJ$364,MATCH($K209,其他调用!$AG$5:$AG$364,0),1)/INDEX(其他调用!AJ$5:AJ$364,MATCH($K209,其他调用!$AG$5:$AG$364,0),0),1)*INDEX(其他调用!AA$5:AA$404,MATCH($K209,其他调用!$X$5:$X$404,0),0)</f>
        <v>42921.120782792306</v>
      </c>
      <c r="AE209" s="12">
        <f>MIN(INDEX(其他调用!$AJ$5:$AJ$364,MATCH($K209,其他调用!$AG$5:$AG$364,0),1)/INDEX(其他调用!AK$5:AK$364,MATCH($K209,其他调用!$AG$5:$AG$364,0),0),1)*INDEX(其他调用!AB$5:AB$404,MATCH($K209,其他调用!$X$5:$X$404,0),0)</f>
        <v>15596.921585173193</v>
      </c>
      <c r="AF209" s="12">
        <f>MIN(INDEX(其他调用!$AJ$5:$AJ$364,MATCH($K209,其他调用!$AG$5:$AG$364,0),1)/INDEX(其他调用!AL$5:AL$364,MATCH($K209,其他调用!$AG$5:$AG$364,0),0),1)*INDEX(其他调用!AC$5:AC$404,MATCH($K209,其他调用!$X$5:$X$404,0),0)</f>
        <v>7038.1798406933758</v>
      </c>
      <c r="AG209" s="12">
        <f>求节点(节奏总纲!D$4:D$163,标准城池设计!AE$4:AE$163,$K209)*求节点(节奏总纲!D$4:D$163,攻城基础信息!$AF$5:$AF$164,$K209)</f>
        <v>911317.76400620071</v>
      </c>
      <c r="AH209" s="12">
        <f>INDEX(其他调用!$AA$5:$AA$404,MATCH($K209,其他调用!$X$5:$X$404,0))*MIN(INDEX(其他调用!AK$5:AK$364,MATCH($K209,其他调用!$AG$5:$AG$364,0),1)/INDEX(其他调用!$AJ$5:$AJ$364,MATCH($K209,其他调用!$AG$5:$AG$364,0),0),5)*求节点(节奏总纲!D$4:D$163,攻城基础信息!$AF$5:$AF$164,$K209)</f>
        <v>421226.3718734979</v>
      </c>
      <c r="AI209" s="12">
        <f>MIN(INDEX(其他调用!$AK$5:$AK$364,MATCH($K209,其他调用!$AG$5:$AG$364,0),1)/INDEX(其他调用!AH$5:AH$364,MATCH($K209,其他调用!$AG$5:$AG$364,0),0),1)*INDEX(其他调用!Y$5:Y$404,MATCH($K209,其他调用!$X$5:$X$404,0),0)</f>
        <v>40250.707910745834</v>
      </c>
      <c r="AJ209" s="12">
        <f>MIN(INDEX(其他调用!$AK$5:$AK$364,MATCH($K209,其他调用!$AG$5:$AG$364,0),1)/INDEX(其他调用!AI$5:AI$364,MATCH($K209,其他调用!$AG$5:$AG$364,0),0),1)*INDEX(其他调用!Z$5:Z$404,MATCH($K209,其他调用!$X$5:$X$404,0),0)</f>
        <v>41397.260938019012</v>
      </c>
      <c r="AK209" s="12">
        <f>MIN(INDEX(其他调用!$AK$5:$AK$364,MATCH($K209,其他调用!$AG$5:$AG$364,0),1)/INDEX(其他调用!AJ$5:AJ$364,MATCH($K209,其他调用!$AG$5:$AG$364,0),0),1)*INDEX(其他调用!AA$5:AA$404,MATCH($K209,其他调用!$X$5:$X$404,0),0)</f>
        <v>42921.120782792306</v>
      </c>
      <c r="AL209" s="12">
        <f>MIN(INDEX(其他调用!$AK$5:$AK$364,MATCH($K209,其他调用!$AG$5:$AG$364,0),1)/INDEX(其他调用!AK$5:AK$364,MATCH($K209,其他调用!$AG$5:$AG$364,0),0),1)*INDEX(其他调用!AB$5:AB$404,MATCH($K209,其他调用!$X$5:$X$404,0),0)</f>
        <v>45113.1677618416</v>
      </c>
      <c r="AM209" s="12">
        <f>MIN(INDEX(其他调用!$AK$5:$AK$364,MATCH($K209,其他调用!$AG$5:$AG$364,0),1)/INDEX(其他调用!AL$5:AL$364,MATCH($K209,其他调用!$AG$5:$AG$364,0),0),1)*INDEX(其他调用!AC$5:AC$404,MATCH($K209,其他调用!$X$5:$X$404,0),0)</f>
        <v>20357.516459725539</v>
      </c>
      <c r="AN209" s="12">
        <f>求节点(节奏总纲!D$4:D$163,标准城池设计!AF$4:AF$163,$K209)*求节点(节奏总纲!D$4:D$163,攻城基础信息!$AG$5:$AG$164,$K209)</f>
        <v>947400.13350237894</v>
      </c>
      <c r="AO209" s="12">
        <f>INDEX(其他调用!$AA$5:$AA$404,MATCH($K209,其他调用!$X$5:$X$404,0))*MIN(INDEX(其他调用!AL$5:AL$364,MATCH($K209,其他调用!$AG$5:$AG$364,0),1)/INDEX(其他调用!$AJ$5:$AJ$364,MATCH($K209,其他调用!$AG$5:$AG$364,0),0),5)*求节点(节奏总纲!D$4:D$163,攻城基础信息!$AG$5:$AG$164,$K209)</f>
        <v>728150.45114998124</v>
      </c>
      <c r="AP209" s="12">
        <f>MIN(INDEX(其他调用!$AL$5:$AL$364,MATCH($K209,其他调用!$AG$5:$AG$364,0),1)/INDEX(其他调用!AH$5:AH$364,MATCH($K209,其他调用!$AG$5:$AG$364,0),0),1)*INDEX(其他调用!Y$5:Y$404,MATCH($K209,其他调用!$X$5:$X$404,0),0)</f>
        <v>40250.707910745834</v>
      </c>
      <c r="AQ209" s="12">
        <f>MIN(INDEX(其他调用!$AL$5:$AL$364,MATCH($K209,其他调用!$AG$5:$AG$364,0),1)/INDEX(其他调用!AI$5:AI$364,MATCH($K209,其他调用!$AG$5:$AG$364,0),0),1)*INDEX(其他调用!Z$5:Z$404,MATCH($K209,其他调用!$X$5:$X$404,0),0)</f>
        <v>41397.260938019012</v>
      </c>
      <c r="AR209" s="12">
        <f>MIN(INDEX(其他调用!$AL$5:$AL$364,MATCH($K209,其他调用!$AG$5:$AG$364,0),1)/INDEX(其他调用!AJ$5:AJ$364,MATCH($K209,其他调用!$AG$5:$AG$364,0),0),1)*INDEX(其他调用!AA$5:AA$404,MATCH($K209,其他调用!$X$5:$X$404,0),0)</f>
        <v>42921.120782792306</v>
      </c>
      <c r="AS209" s="12">
        <f>MIN(INDEX(其他调用!$AL$5:$AL$364,MATCH($K209,其他调用!$AG$5:$AG$364,0),1)/INDEX(其他调用!AK$5:AK$364,MATCH($K209,其他调用!$AG$5:$AG$364,0),0),1)*INDEX(其他调用!AB$5:AB$404,MATCH($K209,其他调用!$X$5:$X$404,0),0)</f>
        <v>45113.1677618416</v>
      </c>
      <c r="AT209" s="12">
        <f>MIN(INDEX(其他调用!$AL$5:$AL$364,MATCH($K209,其他调用!$AG$5:$AG$364,0),1)/INDEX(其他调用!AL$5:AL$364,MATCH($K209,其他调用!$AG$5:$AG$364,0),0),1)*INDEX(其他调用!AC$5:AC$404,MATCH($K209,其他调用!$X$5:$X$404,0),0)</f>
        <v>49069.161175053596</v>
      </c>
      <c r="AV209" s="14">
        <f>IF(OR(AV$5="大R",AV$5="超R"),MAX(INDEX(其他调用!$H$5:$L$404,MATCH($K209,其他调用!$B$5:$B$404,0),MATCH(AV$5,其他调用!$H$4:$L$4,0))*120*0.85,2),INDEX(其他调用!$H$5:$L$404,MATCH($K209,其他调用!$B$5:$B$404,0),MATCH(AV$5,其他调用!$H$4:$L$4,0))*120*0.85)</f>
        <v>48.921801254999991</v>
      </c>
      <c r="AW209" s="14">
        <f>IF(OR(AW$5="大R",AW$5="超R"),MAX(INDEX(其他调用!$H$5:$L$404,MATCH($K209,其他调用!$B$5:$B$404,0),MATCH(AW$5,其他调用!$H$4:$L$4,0))*120*0.85,2),INDEX(其他调用!$H$5:$L$404,MATCH($K209,其他调用!$B$5:$B$404,0),MATCH(AW$5,其他调用!$H$4:$L$4,0))*120*0.85)</f>
        <v>48.237344010638395</v>
      </c>
      <c r="AX209" s="14">
        <f>IF(OR(AX$5="大R",AX$5="超R"),MAX(INDEX(其他调用!$H$5:$L$404,MATCH($K209,其他调用!$B$5:$B$404,0),MATCH(AX$5,其他调用!$H$4:$L$4,0))*120*0.85,2),INDEX(其他调用!$H$5:$L$404,MATCH($K209,其他调用!$B$5:$B$404,0),MATCH(AX$5,其他调用!$H$4:$L$4,0))*120*0.85)</f>
        <v>3.9376284143615998</v>
      </c>
      <c r="AY209" s="14">
        <f>IF(OR(AY$5="大R",AY$5="超R"),MAX(INDEX(其他调用!$H$5:$L$404,MATCH($K209,其他调用!$B$5:$B$404,0),MATCH(AY$5,其他调用!$H$4:$L$4,0))*120*0.85,2),INDEX(其他调用!$H$5:$L$404,MATCH($K209,其他调用!$B$5:$B$404,0),MATCH(AY$5,其他调用!$H$4:$L$4,0))*120*0.85)</f>
        <v>2</v>
      </c>
      <c r="AZ209" s="14">
        <f>IF(OR(AZ$5="大R",AZ$5="超R"),MAX(INDEX(其他调用!$H$5:$L$404,MATCH($K209,其他调用!$B$5:$B$404,0),MATCH(AZ$5,其他调用!$H$4:$L$4,0))*120*0.85,2),INDEX(其他调用!$H$5:$L$404,MATCH($K209,其他调用!$B$5:$B$404,0),MATCH(AZ$5,其他调用!$H$4:$L$4,0))*120*0.85)</f>
        <v>2</v>
      </c>
      <c r="BA209" s="14">
        <f>INDEX(其他调用!$H$5:$L$404,MATCH($K209,其他调用!$B$5:$B$404,0),MATCH(BA$5,其他调用!$H$4:$L$4,0))*INDEX(其他调用!$M$5:$M$404,MATCH($K209,其他调用!$B$5:$B$404,0))*0.6</f>
        <v>28.777530149999997</v>
      </c>
      <c r="BB209" s="14">
        <f>INDEX(其他调用!$H$5:$L$404,MATCH($K209,其他调用!$B$5:$B$404,0),MATCH(BB$5,其他调用!$H$4:$L$4,0))*INDEX(其他调用!$M$5:$M$404,MATCH($K209,其他调用!$B$5:$B$404,0))*0.6</f>
        <v>28.374908241551999</v>
      </c>
      <c r="BC209" s="14">
        <f>INDEX(其他调用!$H$5:$L$404,MATCH($K209,其他调用!$B$5:$B$404,0),MATCH(BC$5,其他调用!$H$4:$L$4,0))*INDEX(其他调用!$M$5:$M$404,MATCH($K209,其他调用!$B$5:$B$404,0))*0.6</f>
        <v>2.3162520084480001</v>
      </c>
      <c r="BD209" s="14">
        <f>INDEX(其他调用!$H$5:$L$404,MATCH($K209,其他调用!$B$5:$B$404,0),MATCH(BD$5,其他调用!$H$4:$L$4,0))*INDEX(其他调用!$M$5:$M$404,MATCH($K209,其他调用!$B$5:$B$404,0))*0.6</f>
        <v>0.4120776000000001</v>
      </c>
      <c r="BE209" s="14">
        <f>INDEX(其他调用!$H$5:$L$404,MATCH($K209,其他调用!$B$5:$B$404,0),MATCH(BE$5,其他调用!$H$4:$L$4,0))*INDEX(其他调用!$M$5:$M$404,MATCH($K209,其他调用!$B$5:$B$404,0))*0.6</f>
        <v>0.11923199999999998</v>
      </c>
      <c r="BF209" s="14">
        <f>IF(OR(BF$5="大R",BF$5="超R"),0,INDEX(其他调用!$H$5:$L$404,MATCH($K209,其他调用!$B$5:$B$404,0),MATCH(BF$5,其他调用!$H$4:$L$4,0))*50*0.4)</f>
        <v>9.5925100500000013</v>
      </c>
      <c r="BG209" s="14">
        <f>IF(OR(BG$5="大R",BG$5="超R"),0,INDEX(其他调用!$H$5:$L$404,MATCH($K209,其他调用!$B$5:$B$404,0),MATCH(BG$5,其他调用!$H$4:$L$4,0))*50*0.4)</f>
        <v>9.4583027471839998</v>
      </c>
      <c r="BH209" s="14">
        <f>IF(OR(BH$5="大R",BH$5="超R"),0,INDEX(其他调用!$H$5:$L$404,MATCH($K209,其他调用!$B$5:$B$404,0),MATCH(BH$5,其他调用!$H$4:$L$4,0))*50*0.4)</f>
        <v>0.77208400281600009</v>
      </c>
      <c r="BI209" s="14">
        <f>IF(OR(BI$5="大R",BI$5="超R"),0,INDEX(其他调用!$H$5:$L$404,MATCH($K209,其他调用!$B$5:$B$404,0),MATCH(BI$5,其他调用!$H$4:$L$4,0))*50*0.4)</f>
        <v>0</v>
      </c>
      <c r="BJ209" s="14">
        <f>IF(OR(BJ$5="大R",BJ$5="超R"),0,INDEX(其他调用!$H$5:$L$404,MATCH($K209,其他调用!$B$5:$B$404,0),MATCH(BJ$5,其他调用!$H$4:$L$4,0))*50*0.4)</f>
        <v>0</v>
      </c>
      <c r="BL209" s="14">
        <f t="shared" si="418"/>
        <v>204</v>
      </c>
      <c r="BM209" s="14">
        <f t="shared" si="325"/>
        <v>96</v>
      </c>
      <c r="BN209" s="14">
        <f>('疲劳值&amp;地图信息'!$S$10*'疲劳值&amp;地图信息'!$R$10+'疲劳值&amp;地图信息'!$S$11*'疲劳值&amp;地图信息'!$R$11+'疲劳值&amp;地图信息'!$S$12*'疲劳值&amp;地图信息'!$R$12+(BM209-'疲劳值&amp;地图信息'!$S$12-'疲劳值&amp;地图信息'!$S$11-'疲劳值&amp;地图信息'!$S$10)*'疲劳值&amp;地图信息'!$R$13)/BM209</f>
        <v>51.371477246638619</v>
      </c>
      <c r="BO209" s="14">
        <f>INDEX(其他调用!$M$5:$M$404,MATCH(BL209,其他调用!$B$5:$B$404,0))*0.6</f>
        <v>60</v>
      </c>
      <c r="BP209" s="14">
        <f>IF(BO209&gt;SUM('疲劳值&amp;地图信息'!$S$10:$S$12),('疲劳值&amp;地图信息'!$S$10*'疲劳值&amp;地图信息'!$R$10+'疲劳值&amp;地图信息'!$S$11*'疲劳值&amp;地图信息'!$R$11+'疲劳值&amp;地图信息'!$S$12*'疲劳值&amp;地图信息'!$R$12+(BO209-'疲劳值&amp;地图信息'!$S$12-'疲劳值&amp;地图信息'!$S$11-'疲劳值&amp;地图信息'!$S$10)*'疲劳值&amp;地图信息'!$R$13)/BO209,('疲劳值&amp;地图信息'!$S$10*'疲劳值&amp;地图信息'!$R$10+'疲劳值&amp;地图信息'!$S$11*'疲劳值&amp;地图信息'!$R$11+'疲劳值&amp;地图信息'!$S$12*'疲劳值&amp;地图信息'!$R$12+(BO209-'疲劳值&amp;地图信息'!$S$12-'疲劳值&amp;地图信息'!$S$11-'疲劳值&amp;地图信息'!$S$10)*'疲劳值&amp;地图信息'!$R$13)/BO209)</f>
        <v>44.158136341605953</v>
      </c>
      <c r="BQ209" s="14">
        <f t="shared" si="419"/>
        <v>20</v>
      </c>
      <c r="BR209" s="14">
        <f>('疲劳值&amp;地图信息'!$S$10*'疲劳值&amp;地图信息'!$R$10+($BQ209-'疲劳值&amp;地图信息'!$S$10)*'疲劳值&amp;地图信息'!$R$11)/$BQ209</f>
        <v>32.067203015074995</v>
      </c>
      <c r="CF209" s="14">
        <v>204</v>
      </c>
      <c r="CG209" s="51">
        <f t="shared" si="326"/>
        <v>13483</v>
      </c>
      <c r="CH209" s="51">
        <f t="shared" si="327"/>
        <v>1065</v>
      </c>
      <c r="CI209" s="51">
        <f>INT(SUMPRODUCT($N209:$R209,$BA209:$BE209)/SUM($BA209:$BE209)/10000*$BX$7*$BZ$34/'疲劳值&amp;地图信息'!$R$10*$BY$53)</f>
        <v>3268</v>
      </c>
      <c r="CJ209" s="50">
        <f t="shared" si="328"/>
        <v>0.75679164795689269</v>
      </c>
      <c r="CK209" s="50">
        <f t="shared" si="329"/>
        <v>5.9777727885047149E-2</v>
      </c>
      <c r="CL209" s="50">
        <f t="shared" si="330"/>
        <v>0.18343062415806016</v>
      </c>
      <c r="CM209" s="14">
        <f t="shared" si="331"/>
        <v>14353</v>
      </c>
      <c r="CN209" s="14">
        <f t="shared" si="332"/>
        <v>1699</v>
      </c>
      <c r="CO209" s="14">
        <f>INT(SUMPRODUCT($U209:$Y209,$BA209:$BE209)/SUM($BA209:$BE209)/10000*$BX$7*$BZ$34/'疲劳值&amp;地图信息'!$R$10*$BY$54)</f>
        <v>6072</v>
      </c>
      <c r="CP209" s="50">
        <f t="shared" si="333"/>
        <v>0.64875248598806723</v>
      </c>
      <c r="CQ209" s="50">
        <f t="shared" si="334"/>
        <v>7.6794431386729339E-2</v>
      </c>
      <c r="CR209" s="50">
        <f t="shared" si="335"/>
        <v>0.2744530826252034</v>
      </c>
      <c r="CS209" s="14">
        <f t="shared" si="336"/>
        <v>15519</v>
      </c>
      <c r="CT209" s="14">
        <f t="shared" si="337"/>
        <v>2968</v>
      </c>
      <c r="CU209" s="14">
        <f>INT(SUMPRODUCT($AB209:$AF209,$BA209:$BE209)/SUM($BA209:$BE209)/10000*$BX$7*$BZ$34/'疲劳值&amp;地图信息'!$R$10*$BY$55)</f>
        <v>8251</v>
      </c>
      <c r="CV209" s="50">
        <f t="shared" si="338"/>
        <v>0.58040990350811583</v>
      </c>
      <c r="CW209" s="50">
        <f t="shared" si="339"/>
        <v>0.11100306679631984</v>
      </c>
      <c r="CX209" s="50">
        <f t="shared" si="340"/>
        <v>0.30858702969556434</v>
      </c>
      <c r="CY209" s="14">
        <f t="shared" si="341"/>
        <v>18573</v>
      </c>
      <c r="CZ209" s="14">
        <f t="shared" si="342"/>
        <v>8585</v>
      </c>
      <c r="DA209" s="14">
        <f>INT(SUMPRODUCT($AI209:$AM209,$BA209:$BE209)/SUM($BA209:$BE209)/10000*$BX$7*$BZ$34/'疲劳值&amp;地图信息'!$R$10*$BY$56)</f>
        <v>12446</v>
      </c>
      <c r="DB209" s="50">
        <f t="shared" si="343"/>
        <v>0.46896778103221898</v>
      </c>
      <c r="DC209" s="50">
        <f t="shared" si="344"/>
        <v>0.21677103322896676</v>
      </c>
      <c r="DD209" s="50">
        <f t="shared" si="345"/>
        <v>0.31426118573881429</v>
      </c>
      <c r="DE209" s="14">
        <f t="shared" si="346"/>
        <v>19309</v>
      </c>
      <c r="DF209" s="14">
        <f t="shared" si="347"/>
        <v>14840</v>
      </c>
      <c r="DG209" s="14">
        <f>INT(SUMPRODUCT($AP209:$AT209,$BA209:$BE209)/SUM($BA209:$BE209)/10000*$BX$7*$BZ$34/'疲劳值&amp;地图信息'!$R$10*$BY$57)</f>
        <v>16619</v>
      </c>
      <c r="DH209" s="50">
        <f t="shared" si="348"/>
        <v>0.38033800819413804</v>
      </c>
      <c r="DI209" s="50">
        <f t="shared" si="349"/>
        <v>0.2923101166088875</v>
      </c>
      <c r="DJ209" s="50">
        <f t="shared" si="350"/>
        <v>0.32735187519697445</v>
      </c>
      <c r="DL209" s="14">
        <f t="shared" si="421"/>
        <v>17816</v>
      </c>
      <c r="DM209" s="14">
        <f t="shared" si="422"/>
        <v>22124</v>
      </c>
      <c r="DN209" s="14">
        <f t="shared" si="423"/>
        <v>26738</v>
      </c>
      <c r="DO209" s="14">
        <f t="shared" si="424"/>
        <v>39604</v>
      </c>
      <c r="DP209" s="14">
        <f t="shared" si="425"/>
        <v>50768</v>
      </c>
      <c r="DQ209" s="14">
        <f t="shared" si="426"/>
        <v>1224771</v>
      </c>
      <c r="DT209" s="14">
        <f t="shared" si="420"/>
        <v>235575</v>
      </c>
      <c r="DU209" s="50">
        <f t="shared" si="322"/>
        <v>0.16131451039685116</v>
      </c>
      <c r="DW209" s="14">
        <f t="shared" si="351"/>
        <v>1460346</v>
      </c>
      <c r="EB209" s="14">
        <v>204</v>
      </c>
      <c r="EC209" s="51">
        <f t="shared" si="352"/>
        <v>22472</v>
      </c>
      <c r="ED209" s="51">
        <f t="shared" si="353"/>
        <v>1775</v>
      </c>
      <c r="EE209" s="51">
        <f>INT(SUMPRODUCT($N209:$R209,$BF209:$BJ209)/SUM($BF209:$BJ209)/10000*$BX$7*$BZ$46/'疲劳值&amp;地图信息'!$R$10*$BY$53)</f>
        <v>439</v>
      </c>
      <c r="EF209" s="50">
        <f t="shared" si="354"/>
        <v>0.91031353803775417</v>
      </c>
      <c r="EG209" s="50">
        <f t="shared" si="355"/>
        <v>7.190310297334522E-2</v>
      </c>
      <c r="EH209" s="50">
        <f t="shared" si="356"/>
        <v>1.7783358988900592E-2</v>
      </c>
      <c r="EI209" s="51">
        <f t="shared" si="357"/>
        <v>23922</v>
      </c>
      <c r="EJ209" s="51">
        <f t="shared" si="358"/>
        <v>2832</v>
      </c>
      <c r="EK209" s="14">
        <f>INT(SUMPRODUCT($U209:$Y209,$BF209:$BJ209)/SUM($BF209:$BJ209)/10000*$BX$7*$BZ$46/'疲劳值&amp;地图信息'!$R$10*$BY$54)</f>
        <v>815</v>
      </c>
      <c r="EL209" s="50">
        <f t="shared" si="359"/>
        <v>0.86771373644310634</v>
      </c>
      <c r="EM209" s="50">
        <f t="shared" si="360"/>
        <v>0.1027240741412456</v>
      </c>
      <c r="EN209" s="50">
        <f t="shared" si="361"/>
        <v>2.9562189415648012E-2</v>
      </c>
      <c r="EO209" s="51">
        <f t="shared" si="362"/>
        <v>25866</v>
      </c>
      <c r="EP209" s="51">
        <f t="shared" si="363"/>
        <v>4946</v>
      </c>
      <c r="EQ209" s="14">
        <f>INT(SUMPRODUCT($AB209:$AF209,$BF209:$BJ209)/SUM($BF209:$BJ209)/10000*$BX$7*$BZ$46/'疲劳值&amp;地图信息'!$R$10*$BY$55)</f>
        <v>1106</v>
      </c>
      <c r="ER209" s="50">
        <f t="shared" si="364"/>
        <v>0.81038912212544645</v>
      </c>
      <c r="ES209" s="50">
        <f t="shared" si="365"/>
        <v>0.15495958393383044</v>
      </c>
      <c r="ET209" s="50">
        <f t="shared" si="366"/>
        <v>3.4651293940723103E-2</v>
      </c>
      <c r="EU209" s="51">
        <f t="shared" si="367"/>
        <v>30956</v>
      </c>
      <c r="EV209" s="51">
        <f t="shared" si="368"/>
        <v>14308</v>
      </c>
      <c r="EW209" s="14">
        <f>INT(SUMPRODUCT($AI209:$AM209,$BF209:$BJ209)/SUM($BF209:$BJ209)/10000*$BX$7*$BZ$46/'疲劳值&amp;地图信息'!$R$10*$BY$56)</f>
        <v>1660</v>
      </c>
      <c r="EX209" s="50">
        <f t="shared" si="369"/>
        <v>0.65970505498252496</v>
      </c>
      <c r="EY209" s="50">
        <f t="shared" si="370"/>
        <v>0.30491859176540792</v>
      </c>
      <c r="EZ209" s="50">
        <f t="shared" si="371"/>
        <v>3.5376353252067172E-2</v>
      </c>
      <c r="FA209" s="51">
        <f t="shared" si="372"/>
        <v>32182</v>
      </c>
      <c r="FB209" s="51">
        <f t="shared" si="373"/>
        <v>24734</v>
      </c>
      <c r="FC209" s="14">
        <f>INT(SUMPRODUCT($AP209:$AT209,$BF209:$BJ209)/SUM($BF209:$BJ209)/10000*$BX$7*$BZ$46/'疲劳值&amp;地图信息'!$R$10*$BY$57)</f>
        <v>2213</v>
      </c>
      <c r="FD209" s="50">
        <f t="shared" si="374"/>
        <v>0.54426761825838421</v>
      </c>
      <c r="FE209" s="50">
        <f t="shared" si="375"/>
        <v>0.41830573830100287</v>
      </c>
      <c r="FF209" s="50">
        <f t="shared" si="376"/>
        <v>3.7426643440612896E-2</v>
      </c>
      <c r="FH209" s="14">
        <f t="shared" si="377"/>
        <v>24686</v>
      </c>
      <c r="FI209" s="14">
        <f t="shared" si="378"/>
        <v>27569</v>
      </c>
      <c r="FJ209" s="14">
        <f t="shared" si="379"/>
        <v>31918</v>
      </c>
      <c r="FK209" s="14">
        <f t="shared" si="380"/>
        <v>46924</v>
      </c>
      <c r="FL209" s="14">
        <f t="shared" si="381"/>
        <v>59129</v>
      </c>
      <c r="FM209" s="14">
        <f t="shared" si="382"/>
        <v>2875326</v>
      </c>
      <c r="FP209" s="14">
        <f t="shared" si="383"/>
        <v>334150</v>
      </c>
      <c r="FQ209" s="50">
        <f t="shared" si="323"/>
        <v>0.10411356869470281</v>
      </c>
      <c r="FS209" s="14">
        <f t="shared" si="384"/>
        <v>3209476</v>
      </c>
      <c r="FX209" s="14">
        <v>204</v>
      </c>
      <c r="FY209" s="51">
        <f t="shared" si="385"/>
        <v>31461</v>
      </c>
      <c r="FZ209" s="51">
        <f t="shared" si="386"/>
        <v>1775</v>
      </c>
      <c r="GA209" s="51">
        <f>INT(SUMPRODUCT($N209:$R209,$BF209:$BJ209)/SUM($BF209:$BJ209)/10000*$BX$7*$BZ$46/'疲劳值&amp;地图信息'!$R$10*$BY$53)</f>
        <v>439</v>
      </c>
      <c r="GB209" s="50">
        <f t="shared" si="387"/>
        <v>0.93425389755011135</v>
      </c>
      <c r="GC209" s="50">
        <f t="shared" si="388"/>
        <v>5.270972531551596E-2</v>
      </c>
      <c r="GD209" s="50">
        <f t="shared" si="389"/>
        <v>1.303637713437268E-2</v>
      </c>
      <c r="GE209" s="51">
        <f t="shared" si="390"/>
        <v>33491</v>
      </c>
      <c r="GF209" s="51">
        <f t="shared" si="391"/>
        <v>2832</v>
      </c>
      <c r="GG209" s="14">
        <f>INT(SUMPRODUCT($U209:$Y209,$BF209:$BJ209)/SUM($BF209:$BJ209)/10000*$BX$7*$BZ$46/'疲劳值&amp;地图信息'!$R$10*$BY$54)</f>
        <v>815</v>
      </c>
      <c r="GH209" s="50">
        <f t="shared" si="392"/>
        <v>0.90179869675265223</v>
      </c>
      <c r="GI209" s="50">
        <f t="shared" si="393"/>
        <v>7.6256125801066291E-2</v>
      </c>
      <c r="GJ209" s="50">
        <f t="shared" si="394"/>
        <v>2.1945177446281435E-2</v>
      </c>
      <c r="GK209" s="51">
        <f t="shared" si="395"/>
        <v>36213</v>
      </c>
      <c r="GL209" s="51">
        <f t="shared" si="396"/>
        <v>4946</v>
      </c>
      <c r="GM209" s="14">
        <f>INT(SUMPRODUCT($AB209:$AF209,$BF209:$BJ209)/SUM($BF209:$BJ209)/10000*$BX$7*$BZ$46/'疲劳值&amp;地图信息'!$R$10*$BY$55)</f>
        <v>1106</v>
      </c>
      <c r="GN209" s="50">
        <f t="shared" si="397"/>
        <v>0.85680823376316095</v>
      </c>
      <c r="GO209" s="50">
        <f t="shared" si="398"/>
        <v>0.11702354193777358</v>
      </c>
      <c r="GP209" s="50">
        <f t="shared" si="399"/>
        <v>2.6168224299065422E-2</v>
      </c>
      <c r="GQ209" s="51">
        <f t="shared" si="400"/>
        <v>43338</v>
      </c>
      <c r="GR209" s="51">
        <f t="shared" si="401"/>
        <v>14308</v>
      </c>
      <c r="GS209" s="14">
        <f>INT(SUMPRODUCT($AI209:$AM209,$BF209:$BJ209)/SUM($BF209:$BJ209)/10000*$BX$7*$BZ$46/'疲劳值&amp;地图信息'!$R$10*$BY$56)</f>
        <v>1660</v>
      </c>
      <c r="GT209" s="50">
        <f t="shared" si="402"/>
        <v>0.73075236906889696</v>
      </c>
      <c r="GU209" s="50">
        <f t="shared" si="403"/>
        <v>0.24125720837689271</v>
      </c>
      <c r="GV209" s="50">
        <f t="shared" si="404"/>
        <v>2.7990422554210366E-2</v>
      </c>
      <c r="GW209" s="51">
        <f t="shared" si="405"/>
        <v>45054</v>
      </c>
      <c r="GX209" s="51">
        <f t="shared" si="406"/>
        <v>24734</v>
      </c>
      <c r="GY209" s="14">
        <f>INT(SUMPRODUCT($AP209:$AT209,$BF209:$BJ209)/SUM($BF209:$BJ209)/10000*$BX$7*$BZ$46/'疲劳值&amp;地图信息'!$R$10*$BY$57)</f>
        <v>2213</v>
      </c>
      <c r="GZ209" s="50">
        <f t="shared" si="407"/>
        <v>0.62574130914848403</v>
      </c>
      <c r="HA209" s="50">
        <f t="shared" si="408"/>
        <v>0.34352300662490798</v>
      </c>
      <c r="HB209" s="50">
        <f t="shared" si="409"/>
        <v>3.0735684226607964E-2</v>
      </c>
      <c r="HD209" s="14">
        <f t="shared" si="410"/>
        <v>33675</v>
      </c>
      <c r="HE209" s="14">
        <f t="shared" si="411"/>
        <v>37138</v>
      </c>
      <c r="HF209" s="14">
        <f t="shared" si="412"/>
        <v>42265</v>
      </c>
      <c r="HG209" s="14">
        <f t="shared" si="413"/>
        <v>59306</v>
      </c>
      <c r="HH209" s="14">
        <f t="shared" si="414"/>
        <v>72001</v>
      </c>
      <c r="HI209" s="14">
        <f t="shared" si="415"/>
        <v>3867918</v>
      </c>
      <c r="HL209" s="14">
        <f t="shared" si="416"/>
        <v>430050</v>
      </c>
      <c r="HM209" s="50">
        <f t="shared" si="324"/>
        <v>0.10005891156006745</v>
      </c>
      <c r="HO209" s="14">
        <f t="shared" si="417"/>
        <v>4297968</v>
      </c>
    </row>
    <row r="210" spans="11:223" x14ac:dyDescent="0.2">
      <c r="K210" s="14">
        <v>205</v>
      </c>
      <c r="L210" s="12">
        <f>求节点(节奏总纲!D$4:D$163,标准城池设计!AB$4:AB$163,$K210)*求节点(节奏总纲!D$4:D$163,攻城基础信息!$AC$5:$AC$164,$K210)</f>
        <v>662972.75812380644</v>
      </c>
      <c r="M210" s="12">
        <f>INDEX(其他调用!$AA$5:$AA$404,MATCH(K210,其他调用!$X$5:$X$404,0))*MIN(INDEX(其他调用!$AH$5:$AH$364,MATCH('征服点（新）'!K210,其他调用!$AG$5:$AG$364,0),1)/INDEX(其他调用!$AJ$5:$AJ$364,MATCH(K210,其他调用!$AG$5:$AG$364,0),0),5)*求节点(节奏总纲!D$4:D$163,攻城基础信息!$AC$5:$AC$164,$K210)</f>
        <v>52384.818317159006</v>
      </c>
      <c r="N210" s="12">
        <f>MIN(INDEX(其他调用!$AH$5:$AH$364,MATCH($K210,其他调用!$AG$5:$AG$364,0),1)/INDEX(其他调用!AH$5:AH$364,MATCH($K210,其他调用!$AG$5:$AG$364,0),0),1)*INDEX(其他调用!Y$5:Y$404,MATCH($K210,其他调用!$X$5:$X$404,0),0)</f>
        <v>40280.153224203845</v>
      </c>
      <c r="O210" s="12">
        <f>MIN(INDEX(其他调用!$AH$5:$AH$364,MATCH($K210,其他调用!$AG$5:$AG$364,0),1)/INDEX(其他调用!AI$5:AI$364,MATCH($K210,其他调用!$AG$5:$AG$364,0),0),1)*INDEX(其他调用!Z$5:Z$404,MATCH($K210,其他调用!$X$5:$X$404,0),0)</f>
        <v>25985.370739982056</v>
      </c>
      <c r="P210" s="12">
        <f>MIN(INDEX(其他调用!$AH$5:$AH$364,MATCH($K210,其他调用!$AG$5:$AG$364,0),1)/INDEX(其他调用!AJ$5:AJ$364,MATCH($K210,其他调用!$AG$5:$AG$364,0),0),1)*INDEX(其他调用!AA$5:AA$404,MATCH($K210,其他调用!$X$5:$X$404,0),0)</f>
        <v>15428.335835983444</v>
      </c>
      <c r="Q210" s="12">
        <f>MIN(INDEX(其他调用!$AH$5:$AH$364,MATCH($K210,其他调用!$AG$5:$AG$364,0),1)/INDEX(其他调用!AK$5:AK$364,MATCH($K210,其他调用!$AG$5:$AG$364,0),0),1)*INDEX(其他调用!AB$5:AB$404,MATCH($K210,其他调用!$X$5:$X$404,0),0)</f>
        <v>5601.3113395610981</v>
      </c>
      <c r="R210" s="12">
        <f>MIN(INDEX(其他调用!$AH$5:$AH$364,MATCH($K210,其他调用!$AG$5:$AG$364,0),1)/INDEX(其他调用!AL$5:AL$364,MATCH($K210,其他调用!$AG$5:$AG$364,0),0),1)*INDEX(其他调用!AC$5:AC$404,MATCH($K210,其他调用!$X$5:$X$404,0),0)</f>
        <v>2538.5880958458506</v>
      </c>
      <c r="S210" s="12">
        <f>求节点(节奏总纲!D$4:D$163,标准城池设计!AC$4:AC$163,$K210)*求节点(节奏总纲!D$4:D$163,攻城基础信息!$AD$5:$AD$164,$K210)</f>
        <v>705742.73093345284</v>
      </c>
      <c r="T210" s="12">
        <f>INDEX(其他调用!$AA$5:$AA$404,MATCH($K210,其他调用!$X$5:$X$404,0))*MIN(INDEX(其他调用!AI$5:AI$364,MATCH($K210,其他调用!$AG$5:$AG$364,0),1)/INDEX(其他调用!$AJ$5:$AJ$364,MATCH($K210,其他调用!$AG$5:$AG$364,0),0),5)*求节点(节奏总纲!D$4:D$163,攻城基础信息!$AD$5:$AD$164,$K210)</f>
        <v>83511.334512602509</v>
      </c>
      <c r="U210" s="12">
        <f>MIN(INDEX(其他调用!$AI$5:$AI$364,MATCH($K210,其他调用!$AG$5:$AG$364,0),1)/INDEX(其他调用!AH$5:AH$364,MATCH($K210,其他调用!$AG$5:$AG$364,0),0),1)*INDEX(其他调用!Y$5:Y$404,MATCH($K210,其他调用!$X$5:$X$404,0),0)</f>
        <v>40280.153224203845</v>
      </c>
      <c r="V210" s="12">
        <f>MIN(INDEX(其他调用!$AI$5:$AI$364,MATCH($K210,其他调用!$AG$5:$AG$364,0),1)/INDEX(其他调用!AI$5:AI$364,MATCH($K210,其他调用!$AG$5:$AG$364,0),0),1)*INDEX(其他调用!Z$5:Z$404,MATCH($K210,其他调用!$X$5:$X$404,0),0)</f>
        <v>41425.608754852023</v>
      </c>
      <c r="W210" s="12">
        <f>MIN(INDEX(其他调用!$AI$5:$AI$364,MATCH($K210,其他调用!$AG$5:$AG$364,0),1)/INDEX(其他调用!AJ$5:AJ$364,MATCH($K210,其他调用!$AG$5:$AG$364,0),0),1)*INDEX(其他调用!AA$5:AA$404,MATCH($K210,其他调用!$X$5:$X$404,0),0)</f>
        <v>24595.693110374854</v>
      </c>
      <c r="X210" s="12">
        <f>MIN(INDEX(其他调用!$AI$5:$AI$364,MATCH($K210,其他调用!$AG$5:$AG$364,0),1)/INDEX(其他调用!AK$5:AK$364,MATCH($K210,其他调用!$AG$5:$AG$364,0),0),1)*INDEX(其他调用!AB$5:AB$404,MATCH($K210,其他调用!$X$5:$X$404,0),0)</f>
        <v>8929.5524927705683</v>
      </c>
      <c r="Y210" s="12">
        <f>MIN(INDEX(其他调用!$AI$5:$AI$364,MATCH($K210,其他调用!$AG$5:$AG$364,0),1)/INDEX(其他调用!AL$5:AL$364,MATCH($K210,其他调用!$AG$5:$AG$364,0),0),1)*INDEX(其他调用!AC$5:AC$404,MATCH($K210,其他调用!$X$5:$X$404,0),0)</f>
        <v>4046.9908357485156</v>
      </c>
      <c r="Z210" s="12">
        <f>求节点(节奏总纲!D$4:D$163,标准城池设计!AD$4:AD$163,$K210)*求节点(节奏总纲!D$4:D$163,攻城基础信息!$AE$5:$AE$164,$K210)</f>
        <v>763646.58448617544</v>
      </c>
      <c r="AA210" s="12">
        <f>INDEX(其他调用!$AA$5:$AA$404,MATCH($K210,其他调用!$X$5:$X$404,0))*MIN(INDEX(其他调用!AJ$5:AJ$364,MATCH($K210,其他调用!$AG$5:$AG$364,0),1)/INDEX(其他调用!$AJ$5:$AJ$364,MATCH($K210,其他调用!$AG$5:$AG$364,0),0),5)*求节点(节奏总纲!D$4:D$163,攻城基础信息!$AE$5:$AE$164,$K210)</f>
        <v>145830.12487205234</v>
      </c>
      <c r="AB210" s="12">
        <f>MIN(INDEX(其他调用!$AJ$5:$AJ$364,MATCH($K210,其他调用!$AG$5:$AG$364,0),1)/INDEX(其他调用!AH$5:AH$364,MATCH($K210,其他调用!$AG$5:$AG$364,0),0),1)*INDEX(其他调用!Y$5:Y$404,MATCH($K210,其他调用!$X$5:$X$404,0),0)</f>
        <v>40280.153224203845</v>
      </c>
      <c r="AC210" s="12">
        <f>MIN(INDEX(其他调用!$AJ$5:$AJ$364,MATCH($K210,其他调用!$AG$5:$AG$364,0),1)/INDEX(其他调用!AI$5:AI$364,MATCH($K210,其他调用!$AG$5:$AG$364,0),0),1)*INDEX(其他调用!Z$5:Z$404,MATCH($K210,其他调用!$X$5:$X$404,0),0)</f>
        <v>41425.608754852023</v>
      </c>
      <c r="AD210" s="12">
        <f>MIN(INDEX(其他调用!$AJ$5:$AJ$364,MATCH($K210,其他调用!$AG$5:$AG$364,0),1)/INDEX(其他调用!AJ$5:AJ$364,MATCH($K210,其他调用!$AG$5:$AG$364,0),0),1)*INDEX(其他调用!AA$5:AA$404,MATCH($K210,其他调用!$X$5:$X$404,0),0)</f>
        <v>42949.774644774327</v>
      </c>
      <c r="AE210" s="12">
        <f>MIN(INDEX(其他调用!$AJ$5:$AJ$364,MATCH($K210,其他调用!$AG$5:$AG$364,0),1)/INDEX(其他调用!AK$5:AK$364,MATCH($K210,其他调用!$AG$5:$AG$364,0),0),1)*INDEX(其他调用!AB$5:AB$404,MATCH($K210,其他调用!$X$5:$X$404,0),0)</f>
        <v>15593.066051121079</v>
      </c>
      <c r="AF210" s="12">
        <f>MIN(INDEX(其他调用!$AJ$5:$AJ$364,MATCH($K210,其他调用!$AG$5:$AG$364,0),1)/INDEX(其他调用!AL$5:AL$364,MATCH($K210,其他调用!$AG$5:$AG$364,0),0),1)*INDEX(其他调用!AC$5:AC$404,MATCH($K210,其他调用!$X$5:$X$404,0),0)</f>
        <v>7066.9829715653241</v>
      </c>
      <c r="AG210" s="12">
        <f>求节点(节奏总纲!D$4:D$163,标准城池设计!AE$4:AE$163,$K210)*求节点(节奏总纲!D$4:D$163,攻城基础信息!$AF$5:$AF$164,$K210)</f>
        <v>913970.53254661453</v>
      </c>
      <c r="AH210" s="12">
        <f>INDEX(其他调用!$AA$5:$AA$404,MATCH($K210,其他调用!$X$5:$X$404,0))*MIN(INDEX(其他调用!AK$5:AK$364,MATCH($K210,其他调用!$AG$5:$AG$364,0),1)/INDEX(其他调用!$AJ$5:$AJ$364,MATCH($K210,其他调用!$AG$5:$AG$364,0),0),5)*求节点(节奏总纲!D$4:D$163,攻城基础信息!$AF$5:$AF$164,$K210)</f>
        <v>422175.823457691</v>
      </c>
      <c r="AI210" s="12">
        <f>MIN(INDEX(其他调用!$AK$5:$AK$364,MATCH($K210,其他调用!$AG$5:$AG$364,0),1)/INDEX(其他调用!AH$5:AH$364,MATCH($K210,其他调用!$AG$5:$AG$364,0),0),1)*INDEX(其他调用!Y$5:Y$404,MATCH($K210,其他调用!$X$5:$X$404,0),0)</f>
        <v>40280.153224203845</v>
      </c>
      <c r="AJ210" s="12">
        <f>MIN(INDEX(其他调用!$AK$5:$AK$364,MATCH($K210,其他调用!$AG$5:$AG$364,0),1)/INDEX(其他调用!AI$5:AI$364,MATCH($K210,其他调用!$AG$5:$AG$364,0),0),1)*INDEX(其他调用!Z$5:Z$404,MATCH($K210,其他调用!$X$5:$X$404,0),0)</f>
        <v>41425.608754852023</v>
      </c>
      <c r="AK210" s="12">
        <f>MIN(INDEX(其他调用!$AK$5:$AK$364,MATCH($K210,其他调用!$AG$5:$AG$364,0),1)/INDEX(其他调用!AJ$5:AJ$364,MATCH($K210,其他调用!$AG$5:$AG$364,0),0),1)*INDEX(其他调用!AA$5:AA$404,MATCH($K210,其他调用!$X$5:$X$404,0),0)</f>
        <v>42949.774644774327</v>
      </c>
      <c r="AL210" s="12">
        <f>MIN(INDEX(其他调用!$AK$5:$AK$364,MATCH($K210,其他调用!$AG$5:$AG$364,0),1)/INDEX(其他调用!AK$5:AK$364,MATCH($K210,其他调用!$AG$5:$AG$364,0),0),1)*INDEX(其他调用!AB$5:AB$404,MATCH($K210,其他调用!$X$5:$X$404,0),0)</f>
        <v>45141.670873133917</v>
      </c>
      <c r="AM210" s="12">
        <f>MIN(INDEX(其他调用!$AK$5:$AK$364,MATCH($K210,其他调用!$AG$5:$AG$364,0),1)/INDEX(其他调用!AL$5:AL$364,MATCH($K210,其他调用!$AG$5:$AG$364,0),0),1)*INDEX(其他调用!AC$5:AC$404,MATCH($K210,其他调用!$X$5:$X$404,0),0)</f>
        <v>20458.799977026189</v>
      </c>
      <c r="AN210" s="12">
        <f>求节点(节奏总纲!D$4:D$163,标准城池设计!AF$4:AF$163,$K210)*求节点(节奏总纲!D$4:D$163,攻城基础信息!$AG$5:$AG$164,$K210)</f>
        <v>950614.4868176399</v>
      </c>
      <c r="AO210" s="12">
        <f>INDEX(其他调用!$AA$5:$AA$404,MATCH($K210,其他调用!$X$5:$X$404,0))*MIN(INDEX(其他调用!AL$5:AL$364,MATCH($K210,其他调用!$AG$5:$AG$364,0),1)/INDEX(其他调用!$AJ$5:$AJ$364,MATCH($K210,其他调用!$AG$5:$AG$364,0),0),5)*求节点(节奏总纲!D$4:D$163,攻城基础信息!$AG$5:$AG$164,$K210)</f>
        <v>729150.6243602616</v>
      </c>
      <c r="AP210" s="12">
        <f>MIN(INDEX(其他调用!$AL$5:$AL$364,MATCH($K210,其他调用!$AG$5:$AG$364,0),1)/INDEX(其他调用!AH$5:AH$364,MATCH($K210,其他调用!$AG$5:$AG$364,0),0),1)*INDEX(其他调用!Y$5:Y$404,MATCH($K210,其他调用!$X$5:$X$404,0),0)</f>
        <v>40280.153224203845</v>
      </c>
      <c r="AQ210" s="12">
        <f>MIN(INDEX(其他调用!$AL$5:$AL$364,MATCH($K210,其他调用!$AG$5:$AG$364,0),1)/INDEX(其他调用!AI$5:AI$364,MATCH($K210,其他调用!$AG$5:$AG$364,0),0),1)*INDEX(其他调用!Z$5:Z$404,MATCH($K210,其他调用!$X$5:$X$404,0),0)</f>
        <v>41425.608754852023</v>
      </c>
      <c r="AR210" s="12">
        <f>MIN(INDEX(其他调用!$AL$5:$AL$364,MATCH($K210,其他调用!$AG$5:$AG$364,0),1)/INDEX(其他调用!AJ$5:AJ$364,MATCH($K210,其他调用!$AG$5:$AG$364,0),0),1)*INDEX(其他调用!AA$5:AA$404,MATCH($K210,其他调用!$X$5:$X$404,0),0)</f>
        <v>42949.774644774327</v>
      </c>
      <c r="AS210" s="12">
        <f>MIN(INDEX(其他调用!$AL$5:$AL$364,MATCH($K210,其他调用!$AG$5:$AG$364,0),1)/INDEX(其他调用!AK$5:AK$364,MATCH($K210,其他调用!$AG$5:$AG$364,0),0),1)*INDEX(其他调用!AB$5:AB$404,MATCH($K210,其他调用!$X$5:$X$404,0),0)</f>
        <v>45141.670873133917</v>
      </c>
      <c r="AT210" s="12">
        <f>MIN(INDEX(其他调用!$AL$5:$AL$364,MATCH($K210,其他调用!$AG$5:$AG$364,0),1)/INDEX(其他调用!AL$5:AL$364,MATCH($K210,其他调用!$AG$5:$AG$364,0),0),1)*INDEX(其他调用!AC$5:AC$404,MATCH($K210,其他调用!$X$5:$X$404,0),0)</f>
        <v>49098.401819370192</v>
      </c>
      <c r="AV210" s="14">
        <f>IF(OR(AV$5="大R",AV$5="超R"),MAX(INDEX(其他调用!$H$5:$L$404,MATCH($K210,其他调用!$B$5:$B$404,0),MATCH(AV$5,其他调用!$H$4:$L$4,0))*120*0.85,2),INDEX(其他调用!$H$5:$L$404,MATCH($K210,其他调用!$B$5:$B$404,0),MATCH(AV$5,其他调用!$H$4:$L$4,0))*120*0.85)</f>
        <v>48.921801254999991</v>
      </c>
      <c r="AW210" s="14">
        <f>IF(OR(AW$5="大R",AW$5="超R"),MAX(INDEX(其他调用!$H$5:$L$404,MATCH($K210,其他调用!$B$5:$B$404,0),MATCH(AW$5,其他调用!$H$4:$L$4,0))*120*0.85,2),INDEX(其他调用!$H$5:$L$404,MATCH($K210,其他调用!$B$5:$B$404,0),MATCH(AW$5,其他调用!$H$4:$L$4,0))*120*0.85)</f>
        <v>48.237344010638395</v>
      </c>
      <c r="AX210" s="14">
        <f>IF(OR(AX$5="大R",AX$5="超R"),MAX(INDEX(其他调用!$H$5:$L$404,MATCH($K210,其他调用!$B$5:$B$404,0),MATCH(AX$5,其他调用!$H$4:$L$4,0))*120*0.85,2),INDEX(其他调用!$H$5:$L$404,MATCH($K210,其他调用!$B$5:$B$404,0),MATCH(AX$5,其他调用!$H$4:$L$4,0))*120*0.85)</f>
        <v>3.9376284143615998</v>
      </c>
      <c r="AY210" s="14">
        <f>IF(OR(AY$5="大R",AY$5="超R"),MAX(INDEX(其他调用!$H$5:$L$404,MATCH($K210,其他调用!$B$5:$B$404,0),MATCH(AY$5,其他调用!$H$4:$L$4,0))*120*0.85,2),INDEX(其他调用!$H$5:$L$404,MATCH($K210,其他调用!$B$5:$B$404,0),MATCH(AY$5,其他调用!$H$4:$L$4,0))*120*0.85)</f>
        <v>2</v>
      </c>
      <c r="AZ210" s="14">
        <f>IF(OR(AZ$5="大R",AZ$5="超R"),MAX(INDEX(其他调用!$H$5:$L$404,MATCH($K210,其他调用!$B$5:$B$404,0),MATCH(AZ$5,其他调用!$H$4:$L$4,0))*120*0.85,2),INDEX(其他调用!$H$5:$L$404,MATCH($K210,其他调用!$B$5:$B$404,0),MATCH(AZ$5,其他调用!$H$4:$L$4,0))*120*0.85)</f>
        <v>2</v>
      </c>
      <c r="BA210" s="14">
        <f>INDEX(其他调用!$H$5:$L$404,MATCH($K210,其他调用!$B$5:$B$404,0),MATCH(BA$5,其他调用!$H$4:$L$4,0))*INDEX(其他调用!$M$5:$M$404,MATCH($K210,其他调用!$B$5:$B$404,0))*0.6</f>
        <v>28.777530149999997</v>
      </c>
      <c r="BB210" s="14">
        <f>INDEX(其他调用!$H$5:$L$404,MATCH($K210,其他调用!$B$5:$B$404,0),MATCH(BB$5,其他调用!$H$4:$L$4,0))*INDEX(其他调用!$M$5:$M$404,MATCH($K210,其他调用!$B$5:$B$404,0))*0.6</f>
        <v>28.374908241551999</v>
      </c>
      <c r="BC210" s="14">
        <f>INDEX(其他调用!$H$5:$L$404,MATCH($K210,其他调用!$B$5:$B$404,0),MATCH(BC$5,其他调用!$H$4:$L$4,0))*INDEX(其他调用!$M$5:$M$404,MATCH($K210,其他调用!$B$5:$B$404,0))*0.6</f>
        <v>2.3162520084480001</v>
      </c>
      <c r="BD210" s="14">
        <f>INDEX(其他调用!$H$5:$L$404,MATCH($K210,其他调用!$B$5:$B$404,0),MATCH(BD$5,其他调用!$H$4:$L$4,0))*INDEX(其他调用!$M$5:$M$404,MATCH($K210,其他调用!$B$5:$B$404,0))*0.6</f>
        <v>0.4120776000000001</v>
      </c>
      <c r="BE210" s="14">
        <f>INDEX(其他调用!$H$5:$L$404,MATCH($K210,其他调用!$B$5:$B$404,0),MATCH(BE$5,其他调用!$H$4:$L$4,0))*INDEX(其他调用!$M$5:$M$404,MATCH($K210,其他调用!$B$5:$B$404,0))*0.6</f>
        <v>0.11923199999999998</v>
      </c>
      <c r="BF210" s="14">
        <f>IF(OR(BF$5="大R",BF$5="超R"),0,INDEX(其他调用!$H$5:$L$404,MATCH($K210,其他调用!$B$5:$B$404,0),MATCH(BF$5,其他调用!$H$4:$L$4,0))*50*0.4)</f>
        <v>9.5925100500000013</v>
      </c>
      <c r="BG210" s="14">
        <f>IF(OR(BG$5="大R",BG$5="超R"),0,INDEX(其他调用!$H$5:$L$404,MATCH($K210,其他调用!$B$5:$B$404,0),MATCH(BG$5,其他调用!$H$4:$L$4,0))*50*0.4)</f>
        <v>9.4583027471839998</v>
      </c>
      <c r="BH210" s="14">
        <f>IF(OR(BH$5="大R",BH$5="超R"),0,INDEX(其他调用!$H$5:$L$404,MATCH($K210,其他调用!$B$5:$B$404,0),MATCH(BH$5,其他调用!$H$4:$L$4,0))*50*0.4)</f>
        <v>0.77208400281600009</v>
      </c>
      <c r="BI210" s="14">
        <f>IF(OR(BI$5="大R",BI$5="超R"),0,INDEX(其他调用!$H$5:$L$404,MATCH($K210,其他调用!$B$5:$B$404,0),MATCH(BI$5,其他调用!$H$4:$L$4,0))*50*0.4)</f>
        <v>0</v>
      </c>
      <c r="BJ210" s="14">
        <f>IF(OR(BJ$5="大R",BJ$5="超R"),0,INDEX(其他调用!$H$5:$L$404,MATCH($K210,其他调用!$B$5:$B$404,0),MATCH(BJ$5,其他调用!$H$4:$L$4,0))*50*0.4)</f>
        <v>0</v>
      </c>
      <c r="BL210" s="14">
        <f t="shared" si="418"/>
        <v>205</v>
      </c>
      <c r="BM210" s="14">
        <f t="shared" si="325"/>
        <v>96</v>
      </c>
      <c r="BN210" s="14">
        <f>('疲劳值&amp;地图信息'!$S$10*'疲劳值&amp;地图信息'!$R$10+'疲劳值&amp;地图信息'!$S$11*'疲劳值&amp;地图信息'!$R$11+'疲劳值&amp;地图信息'!$S$12*'疲劳值&amp;地图信息'!$R$12+(BM210-'疲劳值&amp;地图信息'!$S$12-'疲劳值&amp;地图信息'!$S$11-'疲劳值&amp;地图信息'!$S$10)*'疲劳值&amp;地图信息'!$R$13)/BM210</f>
        <v>51.371477246638619</v>
      </c>
      <c r="BO210" s="14">
        <f>INDEX(其他调用!$M$5:$M$404,MATCH(BL210,其他调用!$B$5:$B$404,0))*0.6</f>
        <v>60</v>
      </c>
      <c r="BP210" s="14">
        <f>IF(BO210&gt;SUM('疲劳值&amp;地图信息'!$S$10:$S$12),('疲劳值&amp;地图信息'!$S$10*'疲劳值&amp;地图信息'!$R$10+'疲劳值&amp;地图信息'!$S$11*'疲劳值&amp;地图信息'!$R$11+'疲劳值&amp;地图信息'!$S$12*'疲劳值&amp;地图信息'!$R$12+(BO210-'疲劳值&amp;地图信息'!$S$12-'疲劳值&amp;地图信息'!$S$11-'疲劳值&amp;地图信息'!$S$10)*'疲劳值&amp;地图信息'!$R$13)/BO210,('疲劳值&amp;地图信息'!$S$10*'疲劳值&amp;地图信息'!$R$10+'疲劳值&amp;地图信息'!$S$11*'疲劳值&amp;地图信息'!$R$11+'疲劳值&amp;地图信息'!$S$12*'疲劳值&amp;地图信息'!$R$12+(BO210-'疲劳值&amp;地图信息'!$S$12-'疲劳值&amp;地图信息'!$S$11-'疲劳值&amp;地图信息'!$S$10)*'疲劳值&amp;地图信息'!$R$13)/BO210)</f>
        <v>44.158136341605953</v>
      </c>
      <c r="BQ210" s="14">
        <f t="shared" si="419"/>
        <v>20</v>
      </c>
      <c r="BR210" s="14">
        <f>('疲劳值&amp;地图信息'!$S$10*'疲劳值&amp;地图信息'!$R$10+($BQ210-'疲劳值&amp;地图信息'!$S$10)*'疲劳值&amp;地图信息'!$R$11)/$BQ210</f>
        <v>32.067203015074995</v>
      </c>
      <c r="CF210" s="14">
        <v>205</v>
      </c>
      <c r="CG210" s="51">
        <f t="shared" si="326"/>
        <v>13512</v>
      </c>
      <c r="CH210" s="51">
        <f t="shared" si="327"/>
        <v>1067</v>
      </c>
      <c r="CI210" s="51">
        <f>INT(SUMPRODUCT($N210:$R210,$BA210:$BE210)/SUM($BA210:$BE210)/10000*$BX$7*$BZ$34/'疲劳值&amp;地图信息'!$R$10*$BY$53)</f>
        <v>3272</v>
      </c>
      <c r="CJ210" s="50">
        <f t="shared" si="328"/>
        <v>0.75693238474035063</v>
      </c>
      <c r="CK210" s="50">
        <f t="shared" si="329"/>
        <v>5.9772561761245867E-2</v>
      </c>
      <c r="CL210" s="50">
        <f t="shared" si="330"/>
        <v>0.18329505349840344</v>
      </c>
      <c r="CM210" s="14">
        <f t="shared" si="331"/>
        <v>14383</v>
      </c>
      <c r="CN210" s="14">
        <f t="shared" si="332"/>
        <v>1702</v>
      </c>
      <c r="CO210" s="14">
        <f>INT(SUMPRODUCT($U210:$Y210,$BA210:$BE210)/SUM($BA210:$BE210)/10000*$BX$7*$BZ$34/'疲劳值&amp;地图信息'!$R$10*$BY$54)</f>
        <v>6077</v>
      </c>
      <c r="CP210" s="50">
        <f t="shared" si="333"/>
        <v>0.64899377312516926</v>
      </c>
      <c r="CQ210" s="50">
        <f t="shared" si="334"/>
        <v>7.6798122913094485E-2</v>
      </c>
      <c r="CR210" s="50">
        <f t="shared" si="335"/>
        <v>0.27420810396173628</v>
      </c>
      <c r="CS210" s="14">
        <f t="shared" si="336"/>
        <v>15564</v>
      </c>
      <c r="CT210" s="14">
        <f t="shared" si="337"/>
        <v>2972</v>
      </c>
      <c r="CU210" s="14">
        <f>INT(SUMPRODUCT($AB210:$AF210,$BA210:$BE210)/SUM($BA210:$BE210)/10000*$BX$7*$BZ$34/'疲劳值&amp;地图信息'!$R$10*$BY$55)</f>
        <v>8257</v>
      </c>
      <c r="CV210" s="50">
        <f t="shared" si="338"/>
        <v>0.58089799574515733</v>
      </c>
      <c r="CW210" s="50">
        <f t="shared" si="339"/>
        <v>0.11092449520397119</v>
      </c>
      <c r="CX210" s="50">
        <f t="shared" si="340"/>
        <v>0.30817750905087149</v>
      </c>
      <c r="CY210" s="14">
        <f t="shared" si="341"/>
        <v>18627</v>
      </c>
      <c r="CZ210" s="14">
        <f t="shared" si="342"/>
        <v>8604</v>
      </c>
      <c r="DA210" s="14">
        <f>INT(SUMPRODUCT($AI210:$AM210,$BA210:$BE210)/SUM($BA210:$BE210)/10000*$BX$7*$BZ$34/'疲劳值&amp;地图信息'!$R$10*$BY$56)</f>
        <v>12455</v>
      </c>
      <c r="DB210" s="50">
        <f t="shared" si="343"/>
        <v>0.4693594718540543</v>
      </c>
      <c r="DC210" s="50">
        <f t="shared" si="344"/>
        <v>0.21680189487476692</v>
      </c>
      <c r="DD210" s="50">
        <f t="shared" si="345"/>
        <v>0.31383863327117878</v>
      </c>
      <c r="DE210" s="14">
        <f t="shared" si="346"/>
        <v>19374</v>
      </c>
      <c r="DF210" s="14">
        <f t="shared" si="347"/>
        <v>14861</v>
      </c>
      <c r="DG210" s="14">
        <f>INT(SUMPRODUCT($AP210:$AT210,$BA210:$BE210)/SUM($BA210:$BE210)/10000*$BX$7*$BZ$34/'疲劳值&amp;地图信息'!$R$10*$BY$57)</f>
        <v>16630</v>
      </c>
      <c r="DH210" s="50">
        <f t="shared" si="348"/>
        <v>0.3808905927455028</v>
      </c>
      <c r="DI210" s="50">
        <f t="shared" si="349"/>
        <v>0.2921655362233363</v>
      </c>
      <c r="DJ210" s="50">
        <f t="shared" si="350"/>
        <v>0.3269438710311609</v>
      </c>
      <c r="DL210" s="14">
        <f t="shared" si="421"/>
        <v>17851</v>
      </c>
      <c r="DM210" s="14">
        <f t="shared" si="422"/>
        <v>22162</v>
      </c>
      <c r="DN210" s="14">
        <f t="shared" si="423"/>
        <v>26793</v>
      </c>
      <c r="DO210" s="14">
        <f t="shared" si="424"/>
        <v>39686</v>
      </c>
      <c r="DP210" s="14">
        <f t="shared" si="425"/>
        <v>50865</v>
      </c>
      <c r="DQ210" s="14">
        <f t="shared" si="426"/>
        <v>1227030</v>
      </c>
      <c r="DT210" s="14">
        <f t="shared" si="420"/>
        <v>235575</v>
      </c>
      <c r="DU210" s="50">
        <f t="shared" si="322"/>
        <v>0.16106535941009364</v>
      </c>
      <c r="DW210" s="14">
        <f t="shared" si="351"/>
        <v>1462605</v>
      </c>
      <c r="EB210" s="14">
        <v>205</v>
      </c>
      <c r="EC210" s="51">
        <f t="shared" si="352"/>
        <v>22520</v>
      </c>
      <c r="ED210" s="51">
        <f t="shared" si="353"/>
        <v>1779</v>
      </c>
      <c r="EE210" s="51">
        <f>INT(SUMPRODUCT($N210:$R210,$BF210:$BJ210)/SUM($BF210:$BJ210)/10000*$BX$7*$BZ$46/'疲劳值&amp;地图信息'!$R$10*$BY$53)</f>
        <v>439</v>
      </c>
      <c r="EF210" s="50">
        <f t="shared" si="354"/>
        <v>0.91034036704664889</v>
      </c>
      <c r="EG210" s="50">
        <f t="shared" si="355"/>
        <v>7.1913655105505694E-2</v>
      </c>
      <c r="EH210" s="50">
        <f t="shared" si="356"/>
        <v>1.7745977847845418E-2</v>
      </c>
      <c r="EI210" s="51">
        <f t="shared" si="357"/>
        <v>23973</v>
      </c>
      <c r="EJ210" s="51">
        <f t="shared" si="358"/>
        <v>2836</v>
      </c>
      <c r="EK210" s="14">
        <f>INT(SUMPRODUCT($U210:$Y210,$BF210:$BJ210)/SUM($BF210:$BJ210)/10000*$BX$7*$BZ$46/'疲劳值&amp;地图信息'!$R$10*$BY$54)</f>
        <v>816</v>
      </c>
      <c r="EL210" s="50">
        <f t="shared" si="359"/>
        <v>0.86780090497737561</v>
      </c>
      <c r="EM210" s="50">
        <f t="shared" si="360"/>
        <v>0.10266063348416289</v>
      </c>
      <c r="EN210" s="50">
        <f t="shared" si="361"/>
        <v>2.9538461538461538E-2</v>
      </c>
      <c r="EO210" s="51">
        <f t="shared" si="362"/>
        <v>25940</v>
      </c>
      <c r="EP210" s="51">
        <f t="shared" si="363"/>
        <v>4953</v>
      </c>
      <c r="EQ210" s="14">
        <f>INT(SUMPRODUCT($AB210:$AF210,$BF210:$BJ210)/SUM($BF210:$BJ210)/10000*$BX$7*$BZ$46/'疲劳值&amp;地图信息'!$R$10*$BY$55)</f>
        <v>1107</v>
      </c>
      <c r="ER210" s="50">
        <f t="shared" si="364"/>
        <v>0.81062500000000004</v>
      </c>
      <c r="ES210" s="50">
        <f t="shared" si="365"/>
        <v>0.15478125000000001</v>
      </c>
      <c r="ET210" s="50">
        <f t="shared" si="366"/>
        <v>3.459375E-2</v>
      </c>
      <c r="EU210" s="51">
        <f t="shared" si="367"/>
        <v>31046</v>
      </c>
      <c r="EV210" s="51">
        <f t="shared" si="368"/>
        <v>14340</v>
      </c>
      <c r="EW210" s="14">
        <f>INT(SUMPRODUCT($AI210:$AM210,$BF210:$BJ210)/SUM($BF210:$BJ210)/10000*$BX$7*$BZ$46/'疲劳值&amp;地图信息'!$R$10*$BY$56)</f>
        <v>1661</v>
      </c>
      <c r="EX210" s="50">
        <f t="shared" si="369"/>
        <v>0.65989329819117049</v>
      </c>
      <c r="EY210" s="50">
        <f t="shared" si="370"/>
        <v>0.3048015813973261</v>
      </c>
      <c r="EZ210" s="50">
        <f t="shared" si="371"/>
        <v>3.5305120411503389E-2</v>
      </c>
      <c r="FA210" s="51">
        <f t="shared" si="372"/>
        <v>32291</v>
      </c>
      <c r="FB210" s="51">
        <f t="shared" si="373"/>
        <v>24768</v>
      </c>
      <c r="FC210" s="14">
        <f>INT(SUMPRODUCT($AP210:$AT210,$BF210:$BJ210)/SUM($BF210:$BJ210)/10000*$BX$7*$BZ$46/'疲劳值&amp;地图信息'!$R$10*$BY$57)</f>
        <v>2215</v>
      </c>
      <c r="FD210" s="50">
        <f t="shared" si="374"/>
        <v>0.54477511219084251</v>
      </c>
      <c r="FE210" s="50">
        <f t="shared" si="375"/>
        <v>0.41785605830549649</v>
      </c>
      <c r="FF210" s="50">
        <f t="shared" si="376"/>
        <v>3.7368829503660966E-2</v>
      </c>
      <c r="FH210" s="14">
        <f t="shared" si="377"/>
        <v>24738</v>
      </c>
      <c r="FI210" s="14">
        <f t="shared" si="378"/>
        <v>27625</v>
      </c>
      <c r="FJ210" s="14">
        <f t="shared" si="379"/>
        <v>32000</v>
      </c>
      <c r="FK210" s="14">
        <f t="shared" si="380"/>
        <v>47047</v>
      </c>
      <c r="FL210" s="14">
        <f t="shared" si="381"/>
        <v>59274</v>
      </c>
      <c r="FM210" s="14">
        <f t="shared" si="382"/>
        <v>2881430</v>
      </c>
      <c r="FP210" s="14">
        <f t="shared" si="383"/>
        <v>334150</v>
      </c>
      <c r="FQ210" s="50">
        <f t="shared" si="323"/>
        <v>0.1039159342949017</v>
      </c>
      <c r="FS210" s="14">
        <f t="shared" si="384"/>
        <v>3215580</v>
      </c>
      <c r="FX210" s="14">
        <v>205</v>
      </c>
      <c r="FY210" s="51">
        <f t="shared" si="385"/>
        <v>31528</v>
      </c>
      <c r="FZ210" s="51">
        <f t="shared" si="386"/>
        <v>1779</v>
      </c>
      <c r="GA210" s="51">
        <f>INT(SUMPRODUCT($N210:$R210,$BF210:$BJ210)/SUM($BF210:$BJ210)/10000*$BX$7*$BZ$46/'疲劳值&amp;地图信息'!$R$10*$BY$53)</f>
        <v>439</v>
      </c>
      <c r="GB210" s="50">
        <f t="shared" si="387"/>
        <v>0.93427369169679364</v>
      </c>
      <c r="GC210" s="50">
        <f t="shared" si="388"/>
        <v>5.2717359094411192E-2</v>
      </c>
      <c r="GD210" s="50">
        <f t="shared" si="389"/>
        <v>1.3008949208795117E-2</v>
      </c>
      <c r="GE210" s="51">
        <f t="shared" si="390"/>
        <v>33562</v>
      </c>
      <c r="GF210" s="51">
        <f t="shared" si="391"/>
        <v>2836</v>
      </c>
      <c r="GG210" s="14">
        <f>INT(SUMPRODUCT($U210:$Y210,$BF210:$BJ210)/SUM($BF210:$BJ210)/10000*$BX$7*$BZ$46/'疲劳值&amp;地图信息'!$R$10*$BY$54)</f>
        <v>816</v>
      </c>
      <c r="GH210" s="50">
        <f t="shared" si="392"/>
        <v>0.90186488955769339</v>
      </c>
      <c r="GI210" s="50">
        <f t="shared" si="393"/>
        <v>7.6207878755307143E-2</v>
      </c>
      <c r="GJ210" s="50">
        <f t="shared" si="394"/>
        <v>2.1927231686999515E-2</v>
      </c>
      <c r="GK210" s="51">
        <f t="shared" si="395"/>
        <v>36316</v>
      </c>
      <c r="GL210" s="51">
        <f t="shared" si="396"/>
        <v>4953</v>
      </c>
      <c r="GM210" s="14">
        <f>INT(SUMPRODUCT($AB210:$AF210,$BF210:$BJ210)/SUM($BF210:$BJ210)/10000*$BX$7*$BZ$46/'疲劳值&amp;地图信息'!$R$10*$BY$55)</f>
        <v>1107</v>
      </c>
      <c r="GN210" s="50">
        <f t="shared" si="397"/>
        <v>0.85699452520294506</v>
      </c>
      <c r="GO210" s="50">
        <f t="shared" si="398"/>
        <v>0.11688219747026619</v>
      </c>
      <c r="GP210" s="50">
        <f t="shared" si="399"/>
        <v>2.6123277326788749E-2</v>
      </c>
      <c r="GQ210" s="51">
        <f t="shared" si="400"/>
        <v>43465</v>
      </c>
      <c r="GR210" s="51">
        <f t="shared" si="401"/>
        <v>14340</v>
      </c>
      <c r="GS210" s="14">
        <f>INT(SUMPRODUCT($AI210:$AM210,$BF210:$BJ210)/SUM($BF210:$BJ210)/10000*$BX$7*$BZ$46/'疲劳值&amp;地图信息'!$R$10*$BY$56)</f>
        <v>1661</v>
      </c>
      <c r="GT210" s="50">
        <f t="shared" si="402"/>
        <v>0.73092187132142739</v>
      </c>
      <c r="GU210" s="50">
        <f t="shared" si="403"/>
        <v>0.24114620119059632</v>
      </c>
      <c r="GV210" s="50">
        <f t="shared" si="404"/>
        <v>2.7931927487976321E-2</v>
      </c>
      <c r="GW210" s="51">
        <f t="shared" si="405"/>
        <v>45207</v>
      </c>
      <c r="GX210" s="51">
        <f t="shared" si="406"/>
        <v>24768</v>
      </c>
      <c r="GY210" s="14">
        <f>INT(SUMPRODUCT($AP210:$AT210,$BF210:$BJ210)/SUM($BF210:$BJ210)/10000*$BX$7*$BZ$46/'疲劳值&amp;地图信息'!$R$10*$BY$57)</f>
        <v>2215</v>
      </c>
      <c r="GZ210" s="50">
        <f t="shared" si="407"/>
        <v>0.62622246848593988</v>
      </c>
      <c r="HA210" s="50">
        <f t="shared" si="408"/>
        <v>0.34309461144202796</v>
      </c>
      <c r="HB210" s="50">
        <f t="shared" si="409"/>
        <v>3.0682920072032136E-2</v>
      </c>
      <c r="HD210" s="14">
        <f t="shared" si="410"/>
        <v>33746</v>
      </c>
      <c r="HE210" s="14">
        <f t="shared" si="411"/>
        <v>37214</v>
      </c>
      <c r="HF210" s="14">
        <f t="shared" si="412"/>
        <v>42376</v>
      </c>
      <c r="HG210" s="14">
        <f t="shared" si="413"/>
        <v>59466</v>
      </c>
      <c r="HH210" s="14">
        <f t="shared" si="414"/>
        <v>72190</v>
      </c>
      <c r="HI210" s="14">
        <f t="shared" si="415"/>
        <v>3876192</v>
      </c>
      <c r="HL210" s="14">
        <f t="shared" si="416"/>
        <v>430050</v>
      </c>
      <c r="HM210" s="50">
        <f t="shared" si="324"/>
        <v>9.986665867826286E-2</v>
      </c>
      <c r="HO210" s="14">
        <f t="shared" si="417"/>
        <v>4306242</v>
      </c>
    </row>
    <row r="211" spans="11:223" x14ac:dyDescent="0.2">
      <c r="K211" s="14">
        <v>206</v>
      </c>
      <c r="L211" s="12">
        <f>求节点(节奏总纲!D$4:D$163,标准城池设计!AB$4:AB$163,$K211)*求节点(节奏总纲!D$4:D$163,攻城基础信息!$AC$5:$AC$164,$K211)</f>
        <v>664380.91386814264</v>
      </c>
      <c r="M211" s="12">
        <f>INDEX(其他调用!$AA$5:$AA$404,MATCH(K211,其他调用!$X$5:$X$404,0))*MIN(INDEX(其他调用!$AH$5:$AH$364,MATCH('征服点（新）'!K211,其他调用!$AG$5:$AG$364,0),1)/INDEX(其他调用!$AJ$5:$AJ$364,MATCH(K211,其他调用!$AG$5:$AG$364,0),0),5)*求节点(节奏总纲!D$4:D$163,攻城基础信息!$AC$5:$AC$164,$K211)</f>
        <v>52509.858770061903</v>
      </c>
      <c r="N211" s="12">
        <f>MIN(INDEX(其他调用!$AH$5:$AH$364,MATCH($K211,其他调用!$AG$5:$AG$364,0),1)/INDEX(其他调用!AH$5:AH$364,MATCH($K211,其他调用!$AG$5:$AG$364,0),0),1)*INDEX(其他调用!Y$5:Y$404,MATCH($K211,其他调用!$X$5:$X$404,0),0)</f>
        <v>40309.598537661863</v>
      </c>
      <c r="O211" s="12">
        <f>MIN(INDEX(其他调用!$AH$5:$AH$364,MATCH($K211,其他调用!$AG$5:$AG$364,0),1)/INDEX(其他调用!AI$5:AI$364,MATCH($K211,其他调用!$AG$5:$AG$364,0),0),1)*INDEX(其他调用!Z$5:Z$404,MATCH($K211,其他调用!$X$5:$X$404,0),0)</f>
        <v>26026.683330220658</v>
      </c>
      <c r="P211" s="12">
        <f>MIN(INDEX(其他调用!$AH$5:$AH$364,MATCH($K211,其他调用!$AG$5:$AG$364,0),1)/INDEX(其他调用!AJ$5:AJ$364,MATCH($K211,其他调用!$AG$5:$AG$364,0),0),1)*INDEX(其他调用!AA$5:AA$404,MATCH($K211,其他调用!$X$5:$X$404,0),0)</f>
        <v>15454.267108223399</v>
      </c>
      <c r="Q211" s="12">
        <f>MIN(INDEX(其他调用!$AH$5:$AH$364,MATCH($K211,其他调用!$AG$5:$AG$364,0),1)/INDEX(其他调用!AK$5:AK$364,MATCH($K211,其他调用!$AG$5:$AG$364,0),0),1)*INDEX(其他调用!AB$5:AB$404,MATCH($K211,其他调用!$X$5:$X$404,0),0)</f>
        <v>5605.6690996867537</v>
      </c>
      <c r="R211" s="12">
        <f>MIN(INDEX(其他调用!$AH$5:$AH$364,MATCH($K211,其他调用!$AG$5:$AG$364,0),1)/INDEX(其他调用!AL$5:AL$364,MATCH($K211,其他调用!$AG$5:$AG$364,0),0),1)*INDEX(其他调用!AC$5:AC$404,MATCH($K211,其他调用!$X$5:$X$404,0),0)</f>
        <v>2551.4656555799615</v>
      </c>
      <c r="S211" s="12">
        <f>求节点(节奏总纲!D$4:D$163,标准城池设计!AC$4:AC$163,$K211)*求节点(节奏总纲!D$4:D$163,攻城基础信息!$AD$5:$AD$164,$K211)</f>
        <v>707247.70047726645</v>
      </c>
      <c r="T211" s="12">
        <f>INDEX(其他调用!$AA$5:$AA$404,MATCH($K211,其他调用!$X$5:$X$404,0))*MIN(INDEX(其他调用!AI$5:AI$364,MATCH($K211,其他调用!$AG$5:$AG$364,0),1)/INDEX(其他调用!$AJ$5:$AJ$364,MATCH($K211,其他调用!$AG$5:$AG$364,0),0),5)*求节点(节奏总纲!D$4:D$163,攻城基础信息!$AD$5:$AD$164,$K211)</f>
        <v>83634.990191468474</v>
      </c>
      <c r="U211" s="12">
        <f>MIN(INDEX(其他调用!$AI$5:$AI$364,MATCH($K211,其他调用!$AG$5:$AG$364,0),1)/INDEX(其他调用!AH$5:AH$364,MATCH($K211,其他调用!$AG$5:$AG$364,0),0),1)*INDEX(其他调用!Y$5:Y$404,MATCH($K211,其他调用!$X$5:$X$404,0),0)</f>
        <v>40309.598537661863</v>
      </c>
      <c r="V211" s="12">
        <f>MIN(INDEX(其他调用!$AI$5:$AI$364,MATCH($K211,其他调用!$AG$5:$AG$364,0),1)/INDEX(其他调用!AI$5:AI$364,MATCH($K211,其他调用!$AG$5:$AG$364,0),0),1)*INDEX(其他调用!Z$5:Z$404,MATCH($K211,其他调用!$X$5:$X$404,0),0)</f>
        <v>41453.956571685041</v>
      </c>
      <c r="W211" s="12">
        <f>MIN(INDEX(其他调用!$AI$5:$AI$364,MATCH($K211,其他调用!$AG$5:$AG$364,0),1)/INDEX(其他调用!AJ$5:AJ$364,MATCH($K211,其他调用!$AG$5:$AG$364,0),0),1)*INDEX(其他调用!AA$5:AA$404,MATCH($K211,其他调用!$X$5:$X$404,0),0)</f>
        <v>24614.758224212117</v>
      </c>
      <c r="X211" s="12">
        <f>MIN(INDEX(其他调用!$AI$5:$AI$364,MATCH($K211,其他调用!$AG$5:$AG$364,0),1)/INDEX(其他调用!AK$5:AK$364,MATCH($K211,其他调用!$AG$5:$AG$364,0),0),1)*INDEX(其他调用!AB$5:AB$404,MATCH($K211,其他调用!$X$5:$X$404,0),0)</f>
        <v>8928.4201319585263</v>
      </c>
      <c r="Y211" s="12">
        <f>MIN(INDEX(其他调用!$AI$5:$AI$364,MATCH($K211,其他调用!$AG$5:$AG$364,0),1)/INDEX(其他调用!AL$5:AL$364,MATCH($K211,其他调用!$AG$5:$AG$364,0),0),1)*INDEX(其他调用!AC$5:AC$404,MATCH($K211,其他调用!$X$5:$X$404,0),0)</f>
        <v>4063.8426778622857</v>
      </c>
      <c r="Z211" s="12">
        <f>求节点(节奏总纲!D$4:D$163,标准城池设计!AD$4:AD$163,$K211)*求节点(节奏总纲!D$4:D$163,攻城基础信息!$AE$5:$AE$164,$K211)</f>
        <v>765819.84964676586</v>
      </c>
      <c r="AA211" s="12">
        <f>INDEX(其他调用!$AA$5:$AA$404,MATCH($K211,其他调用!$X$5:$X$404,0))*MIN(INDEX(其他调用!AJ$5:AJ$364,MATCH($K211,其他调用!$AG$5:$AG$364,0),1)/INDEX(其他调用!$AJ$5:$AJ$364,MATCH($K211,其他调用!$AG$5:$AG$364,0),0),5)*求节点(节奏总纲!D$4:D$163,攻城基础信息!$AE$5:$AE$164,$K211)</f>
        <v>146030.29669702766</v>
      </c>
      <c r="AB211" s="12">
        <f>MIN(INDEX(其他调用!$AJ$5:$AJ$364,MATCH($K211,其他调用!$AG$5:$AG$364,0),1)/INDEX(其他调用!AH$5:AH$364,MATCH($K211,其他调用!$AG$5:$AG$364,0),0),1)*INDEX(其他调用!Y$5:Y$404,MATCH($K211,其他调用!$X$5:$X$404,0),0)</f>
        <v>40309.598537661863</v>
      </c>
      <c r="AC211" s="12">
        <f>MIN(INDEX(其他调用!$AJ$5:$AJ$364,MATCH($K211,其他调用!$AG$5:$AG$364,0),1)/INDEX(其他调用!AI$5:AI$364,MATCH($K211,其他调用!$AG$5:$AG$364,0),0),1)*INDEX(其他调用!Z$5:Z$404,MATCH($K211,其他调用!$X$5:$X$404,0),0)</f>
        <v>41453.956571685041</v>
      </c>
      <c r="AD211" s="12">
        <f>MIN(INDEX(其他调用!$AJ$5:$AJ$364,MATCH($K211,其他调用!$AG$5:$AG$364,0),1)/INDEX(其他调用!AJ$5:AJ$364,MATCH($K211,其他调用!$AG$5:$AG$364,0),0),1)*INDEX(其他调用!AA$5:AA$404,MATCH($K211,其他调用!$X$5:$X$404,0),0)</f>
        <v>42978.428506756354</v>
      </c>
      <c r="AE211" s="12">
        <f>MIN(INDEX(其他调用!$AJ$5:$AJ$364,MATCH($K211,其他调用!$AG$5:$AG$364,0),1)/INDEX(其他调用!AK$5:AK$364,MATCH($K211,其他调用!$AG$5:$AG$364,0),0),1)*INDEX(其他调用!AB$5:AB$404,MATCH($K211,其他调用!$X$5:$X$404,0),0)</f>
        <v>15589.406275061887</v>
      </c>
      <c r="AF211" s="12">
        <f>MIN(INDEX(其他调用!$AJ$5:$AJ$364,MATCH($K211,其他调用!$AG$5:$AG$364,0),1)/INDEX(其他调用!AL$5:AL$364,MATCH($K211,其他调用!$AG$5:$AG$364,0),0),1)*INDEX(其他调用!AC$5:AC$404,MATCH($K211,其他调用!$X$5:$X$404,0),0)</f>
        <v>7095.6444260910503</v>
      </c>
      <c r="AG211" s="12">
        <f>求节点(节奏总纲!D$4:D$163,标准城池设计!AE$4:AE$163,$K211)*求节点(节奏总纲!D$4:D$163,攻城基础信息!$AF$5:$AF$164,$K211)</f>
        <v>916626.13500673603</v>
      </c>
      <c r="AH211" s="12">
        <f>INDEX(其他调用!$AA$5:$AA$404,MATCH($K211,其他调用!$X$5:$X$404,0))*MIN(INDEX(其他调用!AK$5:AK$364,MATCH($K211,其他调用!$AG$5:$AG$364,0),1)/INDEX(其他调用!$AJ$5:$AJ$364,MATCH($K211,其他调用!$AG$5:$AG$364,0),0),5)*求节点(节奏总纲!D$4:D$163,攻城基础信息!$AF$5:$AF$164,$K211)</f>
        <v>423121.56039925496</v>
      </c>
      <c r="AI211" s="12">
        <f>MIN(INDEX(其他调用!$AK$5:$AK$364,MATCH($K211,其他调用!$AG$5:$AG$364,0),1)/INDEX(其他调用!AH$5:AH$364,MATCH($K211,其他调用!$AG$5:$AG$364,0),0),1)*INDEX(其他调用!Y$5:Y$404,MATCH($K211,其他调用!$X$5:$X$404,0),0)</f>
        <v>40309.598537661863</v>
      </c>
      <c r="AJ211" s="12">
        <f>MIN(INDEX(其他调用!$AK$5:$AK$364,MATCH($K211,其他调用!$AG$5:$AG$364,0),1)/INDEX(其他调用!AI$5:AI$364,MATCH($K211,其他调用!$AG$5:$AG$364,0),0),1)*INDEX(其他调用!Z$5:Z$404,MATCH($K211,其他调用!$X$5:$X$404,0),0)</f>
        <v>41453.956571685041</v>
      </c>
      <c r="AK211" s="12">
        <f>MIN(INDEX(其他调用!$AK$5:$AK$364,MATCH($K211,其他调用!$AG$5:$AG$364,0),1)/INDEX(其他调用!AJ$5:AJ$364,MATCH($K211,其他调用!$AG$5:$AG$364,0),0),1)*INDEX(其他调用!AA$5:AA$404,MATCH($K211,其他调用!$X$5:$X$404,0),0)</f>
        <v>42978.428506756354</v>
      </c>
      <c r="AL211" s="12">
        <f>MIN(INDEX(其他调用!$AK$5:$AK$364,MATCH($K211,其他调用!$AG$5:$AG$364,0),1)/INDEX(其他调用!AK$5:AK$364,MATCH($K211,其他调用!$AG$5:$AG$364,0),0),1)*INDEX(其他调用!AB$5:AB$404,MATCH($K211,其他调用!$X$5:$X$404,0),0)</f>
        <v>45170.173984426234</v>
      </c>
      <c r="AM211" s="12">
        <f>MIN(INDEX(其他调用!$AK$5:$AK$364,MATCH($K211,其他调用!$AG$5:$AG$364,0),1)/INDEX(其他调用!AL$5:AL$364,MATCH($K211,其他调用!$AG$5:$AG$364,0),0),1)*INDEX(其他调用!AC$5:AC$404,MATCH($K211,其他调用!$X$5:$X$404,0),0)</f>
        <v>20559.57023654415</v>
      </c>
      <c r="AN211" s="12">
        <f>求节点(节奏总纲!D$4:D$163,标准城池设计!AF$4:AF$163,$K211)*求节点(节奏总纲!D$4:D$163,攻城基础信息!$AG$5:$AG$164,$K211)</f>
        <v>953832.43001306581</v>
      </c>
      <c r="AO211" s="12">
        <f>INDEX(其他调用!$AA$5:$AA$404,MATCH($K211,其他调用!$X$5:$X$404,0))*MIN(INDEX(其他调用!AL$5:AL$364,MATCH($K211,其他调用!$AG$5:$AG$364,0),1)/INDEX(其他调用!$AJ$5:$AJ$364,MATCH($K211,其他调用!$AG$5:$AG$364,0),0),5)*求节点(节奏总纲!D$4:D$163,攻城基础信息!$AG$5:$AG$164,$K211)</f>
        <v>730151.48348513828</v>
      </c>
      <c r="AP211" s="12">
        <f>MIN(INDEX(其他调用!$AL$5:$AL$364,MATCH($K211,其他调用!$AG$5:$AG$364,0),1)/INDEX(其他调用!AH$5:AH$364,MATCH($K211,其他调用!$AG$5:$AG$364,0),0),1)*INDEX(其他调用!Y$5:Y$404,MATCH($K211,其他调用!$X$5:$X$404,0),0)</f>
        <v>40309.598537661863</v>
      </c>
      <c r="AQ211" s="12">
        <f>MIN(INDEX(其他调用!$AL$5:$AL$364,MATCH($K211,其他调用!$AG$5:$AG$364,0),1)/INDEX(其他调用!AI$5:AI$364,MATCH($K211,其他调用!$AG$5:$AG$364,0),0),1)*INDEX(其他调用!Z$5:Z$404,MATCH($K211,其他调用!$X$5:$X$404,0),0)</f>
        <v>41453.956571685041</v>
      </c>
      <c r="AR211" s="12">
        <f>MIN(INDEX(其他调用!$AL$5:$AL$364,MATCH($K211,其他调用!$AG$5:$AG$364,0),1)/INDEX(其他调用!AJ$5:AJ$364,MATCH($K211,其他调用!$AG$5:$AG$364,0),0),1)*INDEX(其他调用!AA$5:AA$404,MATCH($K211,其他调用!$X$5:$X$404,0),0)</f>
        <v>42978.428506756354</v>
      </c>
      <c r="AS211" s="12">
        <f>MIN(INDEX(其他调用!$AL$5:$AL$364,MATCH($K211,其他调用!$AG$5:$AG$364,0),1)/INDEX(其他调用!AK$5:AK$364,MATCH($K211,其他调用!$AG$5:$AG$364,0),0),1)*INDEX(其他调用!AB$5:AB$404,MATCH($K211,其他调用!$X$5:$X$404,0),0)</f>
        <v>45170.173984426234</v>
      </c>
      <c r="AT211" s="12">
        <f>MIN(INDEX(其他调用!$AL$5:$AL$364,MATCH($K211,其他调用!$AG$5:$AG$364,0),1)/INDEX(其他调用!AL$5:AL$364,MATCH($K211,其他调用!$AG$5:$AG$364,0),0),1)*INDEX(其他调用!AC$5:AC$404,MATCH($K211,其他调用!$X$5:$X$404,0),0)</f>
        <v>49127.642463686774</v>
      </c>
      <c r="AV211" s="14">
        <f>IF(OR(AV$5="大R",AV$5="超R"),MAX(INDEX(其他调用!$H$5:$L$404,MATCH($K211,其他调用!$B$5:$B$404,0),MATCH(AV$5,其他调用!$H$4:$L$4,0))*120*0.85,2),INDEX(其他调用!$H$5:$L$404,MATCH($K211,其他调用!$B$5:$B$404,0),MATCH(AV$5,其他调用!$H$4:$L$4,0))*120*0.85)</f>
        <v>48.921801254999991</v>
      </c>
      <c r="AW211" s="14">
        <f>IF(OR(AW$5="大R",AW$5="超R"),MAX(INDEX(其他调用!$H$5:$L$404,MATCH($K211,其他调用!$B$5:$B$404,0),MATCH(AW$5,其他调用!$H$4:$L$4,0))*120*0.85,2),INDEX(其他调用!$H$5:$L$404,MATCH($K211,其他调用!$B$5:$B$404,0),MATCH(AW$5,其他调用!$H$4:$L$4,0))*120*0.85)</f>
        <v>48.237344010638395</v>
      </c>
      <c r="AX211" s="14">
        <f>IF(OR(AX$5="大R",AX$5="超R"),MAX(INDEX(其他调用!$H$5:$L$404,MATCH($K211,其他调用!$B$5:$B$404,0),MATCH(AX$5,其他调用!$H$4:$L$4,0))*120*0.85,2),INDEX(其他调用!$H$5:$L$404,MATCH($K211,其他调用!$B$5:$B$404,0),MATCH(AX$5,其他调用!$H$4:$L$4,0))*120*0.85)</f>
        <v>3.9376284143615998</v>
      </c>
      <c r="AY211" s="14">
        <f>IF(OR(AY$5="大R",AY$5="超R"),MAX(INDEX(其他调用!$H$5:$L$404,MATCH($K211,其他调用!$B$5:$B$404,0),MATCH(AY$5,其他调用!$H$4:$L$4,0))*120*0.85,2),INDEX(其他调用!$H$5:$L$404,MATCH($K211,其他调用!$B$5:$B$404,0),MATCH(AY$5,其他调用!$H$4:$L$4,0))*120*0.85)</f>
        <v>2</v>
      </c>
      <c r="AZ211" s="14">
        <f>IF(OR(AZ$5="大R",AZ$5="超R"),MAX(INDEX(其他调用!$H$5:$L$404,MATCH($K211,其他调用!$B$5:$B$404,0),MATCH(AZ$5,其他调用!$H$4:$L$4,0))*120*0.85,2),INDEX(其他调用!$H$5:$L$404,MATCH($K211,其他调用!$B$5:$B$404,0),MATCH(AZ$5,其他调用!$H$4:$L$4,0))*120*0.85)</f>
        <v>2</v>
      </c>
      <c r="BA211" s="14">
        <f>INDEX(其他调用!$H$5:$L$404,MATCH($K211,其他调用!$B$5:$B$404,0),MATCH(BA$5,其他调用!$H$4:$L$4,0))*INDEX(其他调用!$M$5:$M$404,MATCH($K211,其他调用!$B$5:$B$404,0))*0.6</f>
        <v>28.777530149999997</v>
      </c>
      <c r="BB211" s="14">
        <f>INDEX(其他调用!$H$5:$L$404,MATCH($K211,其他调用!$B$5:$B$404,0),MATCH(BB$5,其他调用!$H$4:$L$4,0))*INDEX(其他调用!$M$5:$M$404,MATCH($K211,其他调用!$B$5:$B$404,0))*0.6</f>
        <v>28.374908241551999</v>
      </c>
      <c r="BC211" s="14">
        <f>INDEX(其他调用!$H$5:$L$404,MATCH($K211,其他调用!$B$5:$B$404,0),MATCH(BC$5,其他调用!$H$4:$L$4,0))*INDEX(其他调用!$M$5:$M$404,MATCH($K211,其他调用!$B$5:$B$404,0))*0.6</f>
        <v>2.3162520084480001</v>
      </c>
      <c r="BD211" s="14">
        <f>INDEX(其他调用!$H$5:$L$404,MATCH($K211,其他调用!$B$5:$B$404,0),MATCH(BD$5,其他调用!$H$4:$L$4,0))*INDEX(其他调用!$M$5:$M$404,MATCH($K211,其他调用!$B$5:$B$404,0))*0.6</f>
        <v>0.4120776000000001</v>
      </c>
      <c r="BE211" s="14">
        <f>INDEX(其他调用!$H$5:$L$404,MATCH($K211,其他调用!$B$5:$B$404,0),MATCH(BE$5,其他调用!$H$4:$L$4,0))*INDEX(其他调用!$M$5:$M$404,MATCH($K211,其他调用!$B$5:$B$404,0))*0.6</f>
        <v>0.11923199999999998</v>
      </c>
      <c r="BF211" s="14">
        <f>IF(OR(BF$5="大R",BF$5="超R"),0,INDEX(其他调用!$H$5:$L$404,MATCH($K211,其他调用!$B$5:$B$404,0),MATCH(BF$5,其他调用!$H$4:$L$4,0))*50*0.4)</f>
        <v>9.5925100500000013</v>
      </c>
      <c r="BG211" s="14">
        <f>IF(OR(BG$5="大R",BG$5="超R"),0,INDEX(其他调用!$H$5:$L$404,MATCH($K211,其他调用!$B$5:$B$404,0),MATCH(BG$5,其他调用!$H$4:$L$4,0))*50*0.4)</f>
        <v>9.4583027471839998</v>
      </c>
      <c r="BH211" s="14">
        <f>IF(OR(BH$5="大R",BH$5="超R"),0,INDEX(其他调用!$H$5:$L$404,MATCH($K211,其他调用!$B$5:$B$404,0),MATCH(BH$5,其他调用!$H$4:$L$4,0))*50*0.4)</f>
        <v>0.77208400281600009</v>
      </c>
      <c r="BI211" s="14">
        <f>IF(OR(BI$5="大R",BI$5="超R"),0,INDEX(其他调用!$H$5:$L$404,MATCH($K211,其他调用!$B$5:$B$404,0),MATCH(BI$5,其他调用!$H$4:$L$4,0))*50*0.4)</f>
        <v>0</v>
      </c>
      <c r="BJ211" s="14">
        <f>IF(OR(BJ$5="大R",BJ$5="超R"),0,INDEX(其他调用!$H$5:$L$404,MATCH($K211,其他调用!$B$5:$B$404,0),MATCH(BJ$5,其他调用!$H$4:$L$4,0))*50*0.4)</f>
        <v>0</v>
      </c>
      <c r="BL211" s="14">
        <f t="shared" si="418"/>
        <v>206</v>
      </c>
      <c r="BM211" s="14">
        <f t="shared" si="325"/>
        <v>96</v>
      </c>
      <c r="BN211" s="14">
        <f>('疲劳值&amp;地图信息'!$S$10*'疲劳值&amp;地图信息'!$R$10+'疲劳值&amp;地图信息'!$S$11*'疲劳值&amp;地图信息'!$R$11+'疲劳值&amp;地图信息'!$S$12*'疲劳值&amp;地图信息'!$R$12+(BM211-'疲劳值&amp;地图信息'!$S$12-'疲劳值&amp;地图信息'!$S$11-'疲劳值&amp;地图信息'!$S$10)*'疲劳值&amp;地图信息'!$R$13)/BM211</f>
        <v>51.371477246638619</v>
      </c>
      <c r="BO211" s="14">
        <f>INDEX(其他调用!$M$5:$M$404,MATCH(BL211,其他调用!$B$5:$B$404,0))*0.6</f>
        <v>60</v>
      </c>
      <c r="BP211" s="14">
        <f>IF(BO211&gt;SUM('疲劳值&amp;地图信息'!$S$10:$S$12),('疲劳值&amp;地图信息'!$S$10*'疲劳值&amp;地图信息'!$R$10+'疲劳值&amp;地图信息'!$S$11*'疲劳值&amp;地图信息'!$R$11+'疲劳值&amp;地图信息'!$S$12*'疲劳值&amp;地图信息'!$R$12+(BO211-'疲劳值&amp;地图信息'!$S$12-'疲劳值&amp;地图信息'!$S$11-'疲劳值&amp;地图信息'!$S$10)*'疲劳值&amp;地图信息'!$R$13)/BO211,('疲劳值&amp;地图信息'!$S$10*'疲劳值&amp;地图信息'!$R$10+'疲劳值&amp;地图信息'!$S$11*'疲劳值&amp;地图信息'!$R$11+'疲劳值&amp;地图信息'!$S$12*'疲劳值&amp;地图信息'!$R$12+(BO211-'疲劳值&amp;地图信息'!$S$12-'疲劳值&amp;地图信息'!$S$11-'疲劳值&amp;地图信息'!$S$10)*'疲劳值&amp;地图信息'!$R$13)/BO211)</f>
        <v>44.158136341605953</v>
      </c>
      <c r="BQ211" s="14">
        <f t="shared" si="419"/>
        <v>20</v>
      </c>
      <c r="BR211" s="14">
        <f>('疲劳值&amp;地图信息'!$S$10*'疲劳值&amp;地图信息'!$R$10+($BQ211-'疲劳值&amp;地图信息'!$S$10)*'疲劳值&amp;地图信息'!$R$11)/$BQ211</f>
        <v>32.067203015074995</v>
      </c>
      <c r="CF211" s="14">
        <v>206</v>
      </c>
      <c r="CG211" s="51">
        <f t="shared" si="326"/>
        <v>13540</v>
      </c>
      <c r="CH211" s="51">
        <f t="shared" si="327"/>
        <v>1070</v>
      </c>
      <c r="CI211" s="51">
        <f>INT(SUMPRODUCT($N211:$R211,$BA211:$BE211)/SUM($BA211:$BE211)/10000*$BX$7*$BZ$34/'疲劳值&amp;地图信息'!$R$10*$BY$53)</f>
        <v>3275</v>
      </c>
      <c r="CJ211" s="50">
        <f t="shared" si="328"/>
        <v>0.75705898797875315</v>
      </c>
      <c r="CK211" s="50">
        <f t="shared" si="329"/>
        <v>5.9826670394185072E-2</v>
      </c>
      <c r="CL211" s="50">
        <f t="shared" si="330"/>
        <v>0.18311434162706178</v>
      </c>
      <c r="CM211" s="14">
        <f t="shared" si="331"/>
        <v>14414</v>
      </c>
      <c r="CN211" s="14">
        <f t="shared" si="332"/>
        <v>1704</v>
      </c>
      <c r="CO211" s="14">
        <f>INT(SUMPRODUCT($U211:$Y211,$BA211:$BE211)/SUM($BA211:$BE211)/10000*$BX$7*$BZ$34/'疲劳值&amp;地图信息'!$R$10*$BY$54)</f>
        <v>6081</v>
      </c>
      <c r="CP211" s="50">
        <f t="shared" si="333"/>
        <v>0.64930852741114464</v>
      </c>
      <c r="CQ211" s="50">
        <f t="shared" si="334"/>
        <v>7.6760214424073159E-2</v>
      </c>
      <c r="CR211" s="50">
        <f t="shared" si="335"/>
        <v>0.2739312581647822</v>
      </c>
      <c r="CS211" s="14">
        <f t="shared" si="336"/>
        <v>15608</v>
      </c>
      <c r="CT211" s="14">
        <f t="shared" si="337"/>
        <v>2976</v>
      </c>
      <c r="CU211" s="14">
        <f>INT(SUMPRODUCT($AB211:$AF211,$BA211:$BE211)/SUM($BA211:$BE211)/10000*$BX$7*$BZ$34/'疲劳值&amp;地图信息'!$R$10*$BY$55)</f>
        <v>8263</v>
      </c>
      <c r="CV211" s="50">
        <f t="shared" si="338"/>
        <v>0.58136849554885095</v>
      </c>
      <c r="CW211" s="50">
        <f t="shared" si="339"/>
        <v>0.11085037434350206</v>
      </c>
      <c r="CX211" s="50">
        <f t="shared" si="340"/>
        <v>0.30778113010764702</v>
      </c>
      <c r="CY211" s="14">
        <f t="shared" si="341"/>
        <v>18682</v>
      </c>
      <c r="CZ211" s="14">
        <f t="shared" si="342"/>
        <v>8623</v>
      </c>
      <c r="DA211" s="14">
        <f>INT(SUMPRODUCT($AI211:$AM211,$BA211:$BE211)/SUM($BA211:$BE211)/10000*$BX$7*$BZ$34/'疲劳值&amp;地图信息'!$R$10*$BY$56)</f>
        <v>12464</v>
      </c>
      <c r="DB211" s="50">
        <f t="shared" si="343"/>
        <v>0.46976288063567101</v>
      </c>
      <c r="DC211" s="50">
        <f t="shared" si="344"/>
        <v>0.21682717694686815</v>
      </c>
      <c r="DD211" s="50">
        <f t="shared" si="345"/>
        <v>0.31340994241746084</v>
      </c>
      <c r="DE211" s="14">
        <f t="shared" si="346"/>
        <v>19440</v>
      </c>
      <c r="DF211" s="14">
        <f t="shared" si="347"/>
        <v>14881</v>
      </c>
      <c r="DG211" s="14">
        <f>INT(SUMPRODUCT($AP211:$AT211,$BA211:$BE211)/SUM($BA211:$BE211)/10000*$BX$7*$BZ$34/'疲劳值&amp;地图信息'!$R$10*$BY$57)</f>
        <v>16642</v>
      </c>
      <c r="DH211" s="50">
        <f t="shared" si="348"/>
        <v>0.38145321115318959</v>
      </c>
      <c r="DI211" s="50">
        <f t="shared" si="349"/>
        <v>0.29199615407256246</v>
      </c>
      <c r="DJ211" s="50">
        <f t="shared" si="350"/>
        <v>0.32655063477424801</v>
      </c>
      <c r="DL211" s="14">
        <f t="shared" si="421"/>
        <v>17885</v>
      </c>
      <c r="DM211" s="14">
        <f t="shared" si="422"/>
        <v>22199</v>
      </c>
      <c r="DN211" s="14">
        <f t="shared" si="423"/>
        <v>26847</v>
      </c>
      <c r="DO211" s="14">
        <f t="shared" si="424"/>
        <v>39769</v>
      </c>
      <c r="DP211" s="14">
        <f t="shared" si="425"/>
        <v>50963</v>
      </c>
      <c r="DQ211" s="14">
        <f t="shared" si="426"/>
        <v>1229229</v>
      </c>
      <c r="DT211" s="14">
        <f t="shared" si="420"/>
        <v>235575</v>
      </c>
      <c r="DU211" s="50">
        <f t="shared" si="322"/>
        <v>0.16082356410823564</v>
      </c>
      <c r="DW211" s="14">
        <f t="shared" si="351"/>
        <v>1464804</v>
      </c>
      <c r="EB211" s="14">
        <v>206</v>
      </c>
      <c r="EC211" s="51">
        <f t="shared" si="352"/>
        <v>22568</v>
      </c>
      <c r="ED211" s="51">
        <f t="shared" si="353"/>
        <v>1783</v>
      </c>
      <c r="EE211" s="51">
        <f>INT(SUMPRODUCT($N211:$R211,$BF211:$BJ211)/SUM($BF211:$BJ211)/10000*$BX$7*$BZ$46/'疲劳值&amp;地图信息'!$R$10*$BY$53)</f>
        <v>440</v>
      </c>
      <c r="EF211" s="50">
        <f t="shared" si="354"/>
        <v>0.91033036182485583</v>
      </c>
      <c r="EG211" s="50">
        <f t="shared" si="355"/>
        <v>7.1921261748215073E-2</v>
      </c>
      <c r="EH211" s="50">
        <f t="shared" si="356"/>
        <v>1.7748376426929127E-2</v>
      </c>
      <c r="EI211" s="51">
        <f t="shared" si="357"/>
        <v>24024</v>
      </c>
      <c r="EJ211" s="51">
        <f t="shared" si="358"/>
        <v>2840</v>
      </c>
      <c r="EK211" s="14">
        <f>INT(SUMPRODUCT($U211:$Y211,$BF211:$BJ211)/SUM($BF211:$BJ211)/10000*$BX$7*$BZ$46/'疲劳值&amp;地图信息'!$R$10*$BY$54)</f>
        <v>816</v>
      </c>
      <c r="EL211" s="50">
        <f t="shared" si="359"/>
        <v>0.86791907514450872</v>
      </c>
      <c r="EM211" s="50">
        <f t="shared" si="360"/>
        <v>0.10260115606936417</v>
      </c>
      <c r="EN211" s="50">
        <f t="shared" si="361"/>
        <v>2.9479768786127167E-2</v>
      </c>
      <c r="EO211" s="51">
        <f t="shared" si="362"/>
        <v>26014</v>
      </c>
      <c r="EP211" s="51">
        <f t="shared" si="363"/>
        <v>4960</v>
      </c>
      <c r="EQ211" s="14">
        <f>INT(SUMPRODUCT($AB211:$AF211,$BF211:$BJ211)/SUM($BF211:$BJ211)/10000*$BX$7*$BZ$46/'疲劳值&amp;地图信息'!$R$10*$BY$55)</f>
        <v>1108</v>
      </c>
      <c r="ER211" s="50">
        <f t="shared" si="364"/>
        <v>0.81085967209026866</v>
      </c>
      <c r="ES211" s="50">
        <f t="shared" si="365"/>
        <v>0.15460382769154044</v>
      </c>
      <c r="ET211" s="50">
        <f t="shared" si="366"/>
        <v>3.4536500218190887E-2</v>
      </c>
      <c r="EU211" s="51">
        <f t="shared" si="367"/>
        <v>31136</v>
      </c>
      <c r="EV211" s="51">
        <f t="shared" si="368"/>
        <v>14372</v>
      </c>
      <c r="EW211" s="14">
        <f>INT(SUMPRODUCT($AI211:$AM211,$BF211:$BJ211)/SUM($BF211:$BJ211)/10000*$BX$7*$BZ$46/'疲劳值&amp;地图信息'!$R$10*$BY$56)</f>
        <v>1662</v>
      </c>
      <c r="EX211" s="50">
        <f t="shared" si="369"/>
        <v>0.66008055967776125</v>
      </c>
      <c r="EY211" s="50">
        <f t="shared" si="370"/>
        <v>0.30468518125927496</v>
      </c>
      <c r="EZ211" s="50">
        <f t="shared" si="371"/>
        <v>3.5234259062963749E-2</v>
      </c>
      <c r="FA211" s="51">
        <f t="shared" si="372"/>
        <v>32400</v>
      </c>
      <c r="FB211" s="51">
        <f t="shared" si="373"/>
        <v>24802</v>
      </c>
      <c r="FC211" s="14">
        <f>INT(SUMPRODUCT($AP211:$AT211,$BF211:$BJ211)/SUM($BF211:$BJ211)/10000*$BX$7*$BZ$46/'疲劳值&amp;地图信息'!$R$10*$BY$57)</f>
        <v>2216</v>
      </c>
      <c r="FD211" s="50">
        <f t="shared" si="374"/>
        <v>0.54528930627082706</v>
      </c>
      <c r="FE211" s="50">
        <f t="shared" si="375"/>
        <v>0.41741559796694605</v>
      </c>
      <c r="FF211" s="50">
        <f t="shared" si="376"/>
        <v>3.7295095762226935E-2</v>
      </c>
      <c r="FH211" s="14">
        <f t="shared" si="377"/>
        <v>24791</v>
      </c>
      <c r="FI211" s="14">
        <f t="shared" si="378"/>
        <v>27680</v>
      </c>
      <c r="FJ211" s="14">
        <f t="shared" si="379"/>
        <v>32082</v>
      </c>
      <c r="FK211" s="14">
        <f t="shared" si="380"/>
        <v>47170</v>
      </c>
      <c r="FL211" s="14">
        <f t="shared" si="381"/>
        <v>59418</v>
      </c>
      <c r="FM211" s="14">
        <f t="shared" si="382"/>
        <v>2887533</v>
      </c>
      <c r="FP211" s="14">
        <f t="shared" si="383"/>
        <v>334150</v>
      </c>
      <c r="FQ211" s="50">
        <f t="shared" si="323"/>
        <v>0.10371908098965665</v>
      </c>
      <c r="FS211" s="14">
        <f t="shared" si="384"/>
        <v>3221683</v>
      </c>
      <c r="FX211" s="14">
        <v>206</v>
      </c>
      <c r="FY211" s="51">
        <f t="shared" si="385"/>
        <v>31595</v>
      </c>
      <c r="FZ211" s="51">
        <f t="shared" si="386"/>
        <v>1783</v>
      </c>
      <c r="GA211" s="51">
        <f>INT(SUMPRODUCT($N211:$R211,$BF211:$BJ211)/SUM($BF211:$BJ211)/10000*$BX$7*$BZ$46/'疲劳值&amp;地图信息'!$R$10*$BY$53)</f>
        <v>440</v>
      </c>
      <c r="GB211" s="50">
        <f t="shared" si="387"/>
        <v>0.93426577562244961</v>
      </c>
      <c r="GC211" s="50">
        <f t="shared" si="388"/>
        <v>5.2723401738719027E-2</v>
      </c>
      <c r="GD211" s="50">
        <f t="shared" si="389"/>
        <v>1.3010822638831392E-2</v>
      </c>
      <c r="GE211" s="51">
        <f t="shared" si="390"/>
        <v>33634</v>
      </c>
      <c r="GF211" s="51">
        <f t="shared" si="391"/>
        <v>2840</v>
      </c>
      <c r="GG211" s="14">
        <f>INT(SUMPRODUCT($U211:$Y211,$BF211:$BJ211)/SUM($BF211:$BJ211)/10000*$BX$7*$BZ$46/'疲劳值&amp;地图信息'!$R$10*$BY$54)</f>
        <v>816</v>
      </c>
      <c r="GH211" s="50">
        <f t="shared" si="392"/>
        <v>0.90195762939125768</v>
      </c>
      <c r="GI211" s="50">
        <f t="shared" si="393"/>
        <v>7.6159828372217755E-2</v>
      </c>
      <c r="GJ211" s="50">
        <f t="shared" si="394"/>
        <v>2.1882542236524537E-2</v>
      </c>
      <c r="GK211" s="51">
        <f t="shared" si="395"/>
        <v>36419</v>
      </c>
      <c r="GL211" s="51">
        <f t="shared" si="396"/>
        <v>4960</v>
      </c>
      <c r="GM211" s="14">
        <f>INT(SUMPRODUCT($AB211:$AF211,$BF211:$BJ211)/SUM($BF211:$BJ211)/10000*$BX$7*$BZ$46/'疲劳值&amp;地图信息'!$R$10*$BY$55)</f>
        <v>1108</v>
      </c>
      <c r="GN211" s="50">
        <f t="shared" si="397"/>
        <v>0.85717984324616947</v>
      </c>
      <c r="GO211" s="50">
        <f t="shared" si="398"/>
        <v>0.11674159154564925</v>
      </c>
      <c r="GP211" s="50">
        <f t="shared" si="399"/>
        <v>2.6078565208181324E-2</v>
      </c>
      <c r="GQ211" s="51">
        <f t="shared" si="400"/>
        <v>43591</v>
      </c>
      <c r="GR211" s="51">
        <f t="shared" si="401"/>
        <v>14372</v>
      </c>
      <c r="GS211" s="14">
        <f>INT(SUMPRODUCT($AI211:$AM211,$BF211:$BJ211)/SUM($BF211:$BJ211)/10000*$BX$7*$BZ$46/'疲劳值&amp;地图信息'!$R$10*$BY$56)</f>
        <v>1662</v>
      </c>
      <c r="GT211" s="50">
        <f t="shared" si="402"/>
        <v>0.73108595387840669</v>
      </c>
      <c r="GU211" s="50">
        <f t="shared" si="403"/>
        <v>0.2410398322851153</v>
      </c>
      <c r="GV211" s="50">
        <f t="shared" si="404"/>
        <v>2.7874213836477986E-2</v>
      </c>
      <c r="GW211" s="51">
        <f t="shared" si="405"/>
        <v>45360</v>
      </c>
      <c r="GX211" s="51">
        <f t="shared" si="406"/>
        <v>24802</v>
      </c>
      <c r="GY211" s="14">
        <f>INT(SUMPRODUCT($AP211:$AT211,$BF211:$BJ211)/SUM($BF211:$BJ211)/10000*$BX$7*$BZ$46/'疲劳值&amp;地图信息'!$R$10*$BY$57)</f>
        <v>2216</v>
      </c>
      <c r="GZ211" s="50">
        <f t="shared" si="407"/>
        <v>0.62670977368813729</v>
      </c>
      <c r="HA211" s="50">
        <f t="shared" si="408"/>
        <v>0.34267318798529939</v>
      </c>
      <c r="HB211" s="50">
        <f t="shared" si="409"/>
        <v>3.0617038326563321E-2</v>
      </c>
      <c r="HD211" s="14">
        <f t="shared" si="410"/>
        <v>33818</v>
      </c>
      <c r="HE211" s="14">
        <f t="shared" si="411"/>
        <v>37290</v>
      </c>
      <c r="HF211" s="14">
        <f t="shared" si="412"/>
        <v>42487</v>
      </c>
      <c r="HG211" s="14">
        <f t="shared" si="413"/>
        <v>59625</v>
      </c>
      <c r="HH211" s="14">
        <f t="shared" si="414"/>
        <v>72378</v>
      </c>
      <c r="HI211" s="14">
        <f t="shared" si="415"/>
        <v>3884512</v>
      </c>
      <c r="HL211" s="14">
        <f t="shared" si="416"/>
        <v>430050</v>
      </c>
      <c r="HM211" s="50">
        <f t="shared" si="324"/>
        <v>9.9674080474449089E-2</v>
      </c>
      <c r="HO211" s="14">
        <f t="shared" si="417"/>
        <v>4314562</v>
      </c>
    </row>
    <row r="212" spans="11:223" x14ac:dyDescent="0.2">
      <c r="K212" s="14">
        <v>207</v>
      </c>
      <c r="L212" s="12">
        <f>求节点(节奏总纲!D$4:D$163,标准城池设计!AB$4:AB$163,$K212)*求节点(节奏总纲!D$4:D$163,攻城基础信息!$AC$5:$AC$164,$K212)</f>
        <v>665786.4166358239</v>
      </c>
      <c r="M212" s="12">
        <f>INDEX(其他调用!$AA$5:$AA$404,MATCH(K212,其他调用!$X$5:$X$404,0))*MIN(INDEX(其他调用!$AH$5:$AH$364,MATCH('征服点（新）'!K212,其他调用!$AG$5:$AG$364,0),1)/INDEX(其他调用!$AJ$5:$AJ$364,MATCH(K212,其他调用!$AG$5:$AG$364,0),0),5)*求节点(节奏总纲!D$4:D$163,攻城基础信息!$AC$5:$AC$164,$K212)</f>
        <v>52620.144476893962</v>
      </c>
      <c r="N212" s="12">
        <f>MIN(INDEX(其他调用!$AH$5:$AH$364,MATCH($K212,其他调用!$AG$5:$AG$364,0),1)/INDEX(其他调用!AH$5:AH$364,MATCH($K212,其他调用!$AG$5:$AG$364,0),0),1)*INDEX(其他调用!Y$5:Y$404,MATCH($K212,其他调用!$X$5:$X$404,0),0)</f>
        <v>40338.851329909347</v>
      </c>
      <c r="O212" s="12">
        <f>MIN(INDEX(其他调用!$AH$5:$AH$364,MATCH($K212,其他调用!$AG$5:$AG$364,0),1)/INDEX(其他调用!AI$5:AI$364,MATCH($K212,其他调用!$AG$5:$AG$364,0),0),1)*INDEX(其他调用!Z$5:Z$404,MATCH($K212,其他调用!$X$5:$X$404,0),0)</f>
        <v>26052.620734888209</v>
      </c>
      <c r="P212" s="12">
        <f>MIN(INDEX(其他调用!$AH$5:$AH$364,MATCH($K212,其他调用!$AG$5:$AG$364,0),1)/INDEX(其他调用!AJ$5:AJ$364,MATCH($K212,其他调用!$AG$5:$AG$364,0),0),1)*INDEX(其他调用!AA$5:AA$404,MATCH($K212,其他调用!$X$5:$X$404,0),0)</f>
        <v>15475.868679266629</v>
      </c>
      <c r="Q212" s="12">
        <f>MIN(INDEX(其他调用!$AH$5:$AH$364,MATCH($K212,其他调用!$AG$5:$AG$364,0),1)/INDEX(其他调用!AK$5:AK$364,MATCH($K212,其他调用!$AG$5:$AG$364,0),0),1)*INDEX(其他调用!AB$5:AB$404,MATCH($K212,其他调用!$X$5:$X$404,0),0)</f>
        <v>5609.6702149271323</v>
      </c>
      <c r="R212" s="12">
        <f>MIN(INDEX(其他调用!$AH$5:$AH$364,MATCH($K212,其他调用!$AG$5:$AG$364,0),1)/INDEX(其他调用!AL$5:AL$364,MATCH($K212,其他调用!$AG$5:$AG$364,0),0),1)*INDEX(其他调用!AC$5:AC$404,MATCH($K212,其他调用!$X$5:$X$404,0),0)</f>
        <v>2564.1843484916408</v>
      </c>
      <c r="S212" s="12">
        <f>求节点(节奏总纲!D$4:D$163,标准城池设计!AC$4:AC$163,$K212)*求节点(节奏总纲!D$4:D$163,攻城基础信息!$AD$5:$AD$164,$K212)</f>
        <v>708762.03924814344</v>
      </c>
      <c r="T212" s="12">
        <f>INDEX(其他调用!$AA$5:$AA$404,MATCH($K212,其他调用!$X$5:$X$404,0))*MIN(INDEX(其他调用!AI$5:AI$364,MATCH($K212,其他调用!$AG$5:$AG$364,0),1)/INDEX(其他调用!$AJ$5:$AJ$364,MATCH($K212,其他调用!$AG$5:$AG$364,0),0),5)*求节点(节奏总纲!D$4:D$163,攻城基础信息!$AD$5:$AD$164,$K212)</f>
        <v>83782.678216774948</v>
      </c>
      <c r="U212" s="12">
        <f>MIN(INDEX(其他调用!$AI$5:$AI$364,MATCH($K212,其他调用!$AG$5:$AG$364,0),1)/INDEX(其他调用!AH$5:AH$364,MATCH($K212,其他调用!$AG$5:$AG$364,0),0),1)*INDEX(其他调用!Y$5:Y$404,MATCH($K212,其他调用!$X$5:$X$404,0),0)</f>
        <v>40338.851329909347</v>
      </c>
      <c r="V212" s="12">
        <f>MIN(INDEX(其他调用!$AI$5:$AI$364,MATCH($K212,其他调用!$AG$5:$AG$364,0),1)/INDEX(其他调用!AI$5:AI$364,MATCH($K212,其他调用!$AG$5:$AG$364,0),0),1)*INDEX(其他调用!Z$5:Z$404,MATCH($K212,其他调用!$X$5:$X$404,0),0)</f>
        <v>41481.420498442167</v>
      </c>
      <c r="W212" s="12">
        <f>MIN(INDEX(其他调用!$AI$5:$AI$364,MATCH($K212,其他调用!$AG$5:$AG$364,0),1)/INDEX(其他调用!AJ$5:AJ$364,MATCH($K212,其他调用!$AG$5:$AG$364,0),0),1)*INDEX(其他调用!AA$5:AA$404,MATCH($K212,其他调用!$X$5:$X$404,0),0)</f>
        <v>24640.938153436964</v>
      </c>
      <c r="X212" s="12">
        <f>MIN(INDEX(其他调用!$AI$5:$AI$364,MATCH($K212,其他调用!$AG$5:$AG$364,0),1)/INDEX(其他调用!AK$5:AK$364,MATCH($K212,其他调用!$AG$5:$AG$364,0),0),1)*INDEX(其他调用!AB$5:AB$404,MATCH($K212,其他调用!$X$5:$X$404,0),0)</f>
        <v>8931.8111759621916</v>
      </c>
      <c r="Y212" s="12">
        <f>MIN(INDEX(其他调用!$AI$5:$AI$364,MATCH($K212,其他调用!$AG$5:$AG$364,0),1)/INDEX(其他调用!AL$5:AL$364,MATCH($K212,其他调用!$AG$5:$AG$364,0),0),1)*INDEX(其他调用!AC$5:AC$404,MATCH($K212,其他调用!$X$5:$X$404,0),0)</f>
        <v>4082.7374058712771</v>
      </c>
      <c r="Z212" s="12">
        <f>求节点(节奏总纲!D$4:D$163,标准城池设计!AD$4:AD$163,$K212)*求节点(节奏总纲!D$4:D$163,攻城基础信息!$AE$5:$AE$164,$K212)</f>
        <v>767992.79169102653</v>
      </c>
      <c r="AA212" s="12">
        <f>INDEX(其他调用!$AA$5:$AA$404,MATCH($K212,其他调用!$X$5:$X$404,0))*MIN(INDEX(其他调用!AJ$5:AJ$364,MATCH($K212,其他调用!$AG$5:$AG$364,0),1)/INDEX(其他调用!$AJ$5:$AJ$364,MATCH($K212,其他调用!$AG$5:$AG$364,0),0),5)*求节点(节奏总纲!D$4:D$163,攻城基础信息!$AE$5:$AE$164,$K212)</f>
        <v>146227.03001668566</v>
      </c>
      <c r="AB212" s="12">
        <f>MIN(INDEX(其他调用!$AJ$5:$AJ$364,MATCH($K212,其他调用!$AG$5:$AG$364,0),1)/INDEX(其他调用!AH$5:AH$364,MATCH($K212,其他调用!$AG$5:$AG$364,0),0),1)*INDEX(其他调用!Y$5:Y$404,MATCH($K212,其他调用!$X$5:$X$404,0),0)</f>
        <v>40338.851329909347</v>
      </c>
      <c r="AC212" s="12">
        <f>MIN(INDEX(其他调用!$AJ$5:$AJ$364,MATCH($K212,其他调用!$AG$5:$AG$364,0),1)/INDEX(其他调用!AI$5:AI$364,MATCH($K212,其他调用!$AG$5:$AG$364,0),0),1)*INDEX(其他调用!Z$5:Z$404,MATCH($K212,其他调用!$X$5:$X$404,0),0)</f>
        <v>41481.420498442167</v>
      </c>
      <c r="AD212" s="12">
        <f>MIN(INDEX(其他调用!$AJ$5:$AJ$364,MATCH($K212,其他调用!$AG$5:$AG$364,0),1)/INDEX(其他调用!AJ$5:AJ$364,MATCH($K212,其他调用!$AG$5:$AG$364,0),0),1)*INDEX(其他调用!AA$5:AA$404,MATCH($K212,其他调用!$X$5:$X$404,0),0)</f>
        <v>43006.159264559006</v>
      </c>
      <c r="AE212" s="12">
        <f>MIN(INDEX(其他调用!$AJ$5:$AJ$364,MATCH($K212,其他调用!$AG$5:$AG$364,0),1)/INDEX(其他调用!AK$5:AK$364,MATCH($K212,其他调用!$AG$5:$AG$364,0),0),1)*INDEX(其他调用!AB$5:AB$404,MATCH($K212,其他调用!$X$5:$X$404,0),0)</f>
        <v>15588.809629020554</v>
      </c>
      <c r="AF212" s="12">
        <f>MIN(INDEX(其他调用!$AJ$5:$AJ$364,MATCH($K212,其他调用!$AG$5:$AG$364,0),1)/INDEX(其他调用!AL$5:AL$364,MATCH($K212,其他调用!$AG$5:$AG$364,0),0),1)*INDEX(其他调用!AC$5:AC$404,MATCH($K212,其他调用!$X$5:$X$404,0),0)</f>
        <v>7125.6562562242379</v>
      </c>
      <c r="AG212" s="12">
        <f>求节点(节奏总纲!D$4:D$163,标准城池设计!AE$4:AE$163,$K212)*求节点(节奏总纲!D$4:D$163,攻城基础信息!$AF$5:$AF$164,$K212)</f>
        <v>919291.41720533394</v>
      </c>
      <c r="AH212" s="12">
        <f>INDEX(其他调用!$AA$5:$AA$404,MATCH($K212,其他调用!$X$5:$X$404,0))*MIN(INDEX(其他调用!AK$5:AK$364,MATCH($K212,其他调用!$AG$5:$AG$364,0),1)/INDEX(其他调用!$AJ$5:$AJ$364,MATCH($K212,其他调用!$AG$5:$AG$364,0),0),5)*求节点(节奏总纲!D$4:D$163,攻城基础信息!$AF$5:$AF$164,$K212)</f>
        <v>423975.17640385608</v>
      </c>
      <c r="AI212" s="12">
        <f>MIN(INDEX(其他调用!$AK$5:$AK$364,MATCH($K212,其他调用!$AG$5:$AG$364,0),1)/INDEX(其他调用!AH$5:AH$364,MATCH($K212,其他调用!$AG$5:$AG$364,0),0),1)*INDEX(其他调用!Y$5:Y$404,MATCH($K212,其他调用!$X$5:$X$404,0),0)</f>
        <v>40338.851329909347</v>
      </c>
      <c r="AJ212" s="12">
        <f>MIN(INDEX(其他调用!$AK$5:$AK$364,MATCH($K212,其他调用!$AG$5:$AG$364,0),1)/INDEX(其他调用!AI$5:AI$364,MATCH($K212,其他调用!$AG$5:$AG$364,0),0),1)*INDEX(其他调用!Z$5:Z$404,MATCH($K212,其他调用!$X$5:$X$404,0),0)</f>
        <v>41481.420498442167</v>
      </c>
      <c r="AK212" s="12">
        <f>MIN(INDEX(其他调用!$AK$5:$AK$364,MATCH($K212,其他调用!$AG$5:$AG$364,0),1)/INDEX(其他调用!AJ$5:AJ$364,MATCH($K212,其他调用!$AG$5:$AG$364,0),0),1)*INDEX(其他调用!AA$5:AA$404,MATCH($K212,其他调用!$X$5:$X$404,0),0)</f>
        <v>43006.159264559006</v>
      </c>
      <c r="AL212" s="12">
        <f>MIN(INDEX(其他调用!$AK$5:$AK$364,MATCH($K212,其他调用!$AG$5:$AG$364,0),1)/INDEX(其他调用!AK$5:AK$364,MATCH($K212,其他调用!$AG$5:$AG$364,0),0),1)*INDEX(其他调用!AB$5:AB$404,MATCH($K212,其他调用!$X$5:$X$404,0),0)</f>
        <v>45198.677095718551</v>
      </c>
      <c r="AM212" s="12">
        <f>MIN(INDEX(其他调用!$AK$5:$AK$364,MATCH($K212,其他调用!$AG$5:$AG$364,0),1)/INDEX(其他调用!AL$5:AL$364,MATCH($K212,其他调用!$AG$5:$AG$364,0),0),1)*INDEX(其他调用!AC$5:AC$404,MATCH($K212,其他调用!$X$5:$X$404,0),0)</f>
        <v>20660.348280897044</v>
      </c>
      <c r="AN212" s="12">
        <f>求节点(节奏总纲!D$4:D$163,标准城池设计!AF$4:AF$163,$K212)*求节点(节奏总纲!D$4:D$163,攻城基础信息!$AG$5:$AG$164,$K212)</f>
        <v>957047.74553031975</v>
      </c>
      <c r="AO212" s="12">
        <f>INDEX(其他调用!$AA$5:$AA$404,MATCH($K212,其他调用!$X$5:$X$404,0))*MIN(INDEX(其他调用!AL$5:AL$364,MATCH($K212,其他调用!$AG$5:$AG$364,0),1)/INDEX(其他调用!$AJ$5:$AJ$364,MATCH($K212,其他调用!$AG$5:$AG$364,0),0),5)*求节点(节奏总纲!D$4:D$163,攻城基础信息!$AG$5:$AG$164,$K212)</f>
        <v>731135.15008342825</v>
      </c>
      <c r="AP212" s="12">
        <f>MIN(INDEX(其他调用!$AL$5:$AL$364,MATCH($K212,其他调用!$AG$5:$AG$364,0),1)/INDEX(其他调用!AH$5:AH$364,MATCH($K212,其他调用!$AG$5:$AG$364,0),0),1)*INDEX(其他调用!Y$5:Y$404,MATCH($K212,其他调用!$X$5:$X$404,0),0)</f>
        <v>40338.851329909347</v>
      </c>
      <c r="AQ212" s="12">
        <f>MIN(INDEX(其他调用!$AL$5:$AL$364,MATCH($K212,其他调用!$AG$5:$AG$364,0),1)/INDEX(其他调用!AI$5:AI$364,MATCH($K212,其他调用!$AG$5:$AG$364,0),0),1)*INDEX(其他调用!Z$5:Z$404,MATCH($K212,其他调用!$X$5:$X$404,0),0)</f>
        <v>41481.420498442167</v>
      </c>
      <c r="AR212" s="12">
        <f>MIN(INDEX(其他调用!$AL$5:$AL$364,MATCH($K212,其他调用!$AG$5:$AG$364,0),1)/INDEX(其他调用!AJ$5:AJ$364,MATCH($K212,其他调用!$AG$5:$AG$364,0),0),1)*INDEX(其他调用!AA$5:AA$404,MATCH($K212,其他调用!$X$5:$X$404,0),0)</f>
        <v>43006.159264559006</v>
      </c>
      <c r="AS212" s="12">
        <f>MIN(INDEX(其他调用!$AL$5:$AL$364,MATCH($K212,其他调用!$AG$5:$AG$364,0),1)/INDEX(其他调用!AK$5:AK$364,MATCH($K212,其他调用!$AG$5:$AG$364,0),0),1)*INDEX(其他调用!AB$5:AB$404,MATCH($K212,其他调用!$X$5:$X$404,0),0)</f>
        <v>45198.677095718551</v>
      </c>
      <c r="AT212" s="12">
        <f>MIN(INDEX(其他调用!$AL$5:$AL$364,MATCH($K212,其他调用!$AG$5:$AG$364,0),1)/INDEX(其他调用!AL$5:AL$364,MATCH($K212,其他调用!$AG$5:$AG$364,0),0),1)*INDEX(其他调用!AC$5:AC$404,MATCH($K212,其他调用!$X$5:$X$404,0),0)</f>
        <v>49156.435837823585</v>
      </c>
      <c r="AV212" s="14">
        <f>IF(OR(AV$5="大R",AV$5="超R"),MAX(INDEX(其他调用!$H$5:$L$404,MATCH($K212,其他调用!$B$5:$B$404,0),MATCH(AV$5,其他调用!$H$4:$L$4,0))*120*0.85,2),INDEX(其他调用!$H$5:$L$404,MATCH($K212,其他调用!$B$5:$B$404,0),MATCH(AV$5,其他调用!$H$4:$L$4,0))*120*0.85)</f>
        <v>48.921801254999991</v>
      </c>
      <c r="AW212" s="14">
        <f>IF(OR(AW$5="大R",AW$5="超R"),MAX(INDEX(其他调用!$H$5:$L$404,MATCH($K212,其他调用!$B$5:$B$404,0),MATCH(AW$5,其他调用!$H$4:$L$4,0))*120*0.85,2),INDEX(其他调用!$H$5:$L$404,MATCH($K212,其他调用!$B$5:$B$404,0),MATCH(AW$5,其他调用!$H$4:$L$4,0))*120*0.85)</f>
        <v>48.237344010638395</v>
      </c>
      <c r="AX212" s="14">
        <f>IF(OR(AX$5="大R",AX$5="超R"),MAX(INDEX(其他调用!$H$5:$L$404,MATCH($K212,其他调用!$B$5:$B$404,0),MATCH(AX$5,其他调用!$H$4:$L$4,0))*120*0.85,2),INDEX(其他调用!$H$5:$L$404,MATCH($K212,其他调用!$B$5:$B$404,0),MATCH(AX$5,其他调用!$H$4:$L$4,0))*120*0.85)</f>
        <v>3.9376284143615998</v>
      </c>
      <c r="AY212" s="14">
        <f>IF(OR(AY$5="大R",AY$5="超R"),MAX(INDEX(其他调用!$H$5:$L$404,MATCH($K212,其他调用!$B$5:$B$404,0),MATCH(AY$5,其他调用!$H$4:$L$4,0))*120*0.85,2),INDEX(其他调用!$H$5:$L$404,MATCH($K212,其他调用!$B$5:$B$404,0),MATCH(AY$5,其他调用!$H$4:$L$4,0))*120*0.85)</f>
        <v>2</v>
      </c>
      <c r="AZ212" s="14">
        <f>IF(OR(AZ$5="大R",AZ$5="超R"),MAX(INDEX(其他调用!$H$5:$L$404,MATCH($K212,其他调用!$B$5:$B$404,0),MATCH(AZ$5,其他调用!$H$4:$L$4,0))*120*0.85,2),INDEX(其他调用!$H$5:$L$404,MATCH($K212,其他调用!$B$5:$B$404,0),MATCH(AZ$5,其他调用!$H$4:$L$4,0))*120*0.85)</f>
        <v>2</v>
      </c>
      <c r="BA212" s="14">
        <f>INDEX(其他调用!$H$5:$L$404,MATCH($K212,其他调用!$B$5:$B$404,0),MATCH(BA$5,其他调用!$H$4:$L$4,0))*INDEX(其他调用!$M$5:$M$404,MATCH($K212,其他调用!$B$5:$B$404,0))*0.6</f>
        <v>28.777530149999997</v>
      </c>
      <c r="BB212" s="14">
        <f>INDEX(其他调用!$H$5:$L$404,MATCH($K212,其他调用!$B$5:$B$404,0),MATCH(BB$5,其他调用!$H$4:$L$4,0))*INDEX(其他调用!$M$5:$M$404,MATCH($K212,其他调用!$B$5:$B$404,0))*0.6</f>
        <v>28.374908241551999</v>
      </c>
      <c r="BC212" s="14">
        <f>INDEX(其他调用!$H$5:$L$404,MATCH($K212,其他调用!$B$5:$B$404,0),MATCH(BC$5,其他调用!$H$4:$L$4,0))*INDEX(其他调用!$M$5:$M$404,MATCH($K212,其他调用!$B$5:$B$404,0))*0.6</f>
        <v>2.3162520084480001</v>
      </c>
      <c r="BD212" s="14">
        <f>INDEX(其他调用!$H$5:$L$404,MATCH($K212,其他调用!$B$5:$B$404,0),MATCH(BD$5,其他调用!$H$4:$L$4,0))*INDEX(其他调用!$M$5:$M$404,MATCH($K212,其他调用!$B$5:$B$404,0))*0.6</f>
        <v>0.4120776000000001</v>
      </c>
      <c r="BE212" s="14">
        <f>INDEX(其他调用!$H$5:$L$404,MATCH($K212,其他调用!$B$5:$B$404,0),MATCH(BE$5,其他调用!$H$4:$L$4,0))*INDEX(其他调用!$M$5:$M$404,MATCH($K212,其他调用!$B$5:$B$404,0))*0.6</f>
        <v>0.11923199999999998</v>
      </c>
      <c r="BF212" s="14">
        <f>IF(OR(BF$5="大R",BF$5="超R"),0,INDEX(其他调用!$H$5:$L$404,MATCH($K212,其他调用!$B$5:$B$404,0),MATCH(BF$5,其他调用!$H$4:$L$4,0))*50*0.4)</f>
        <v>9.5925100500000013</v>
      </c>
      <c r="BG212" s="14">
        <f>IF(OR(BG$5="大R",BG$5="超R"),0,INDEX(其他调用!$H$5:$L$404,MATCH($K212,其他调用!$B$5:$B$404,0),MATCH(BG$5,其他调用!$H$4:$L$4,0))*50*0.4)</f>
        <v>9.4583027471839998</v>
      </c>
      <c r="BH212" s="14">
        <f>IF(OR(BH$5="大R",BH$5="超R"),0,INDEX(其他调用!$H$5:$L$404,MATCH($K212,其他调用!$B$5:$B$404,0),MATCH(BH$5,其他调用!$H$4:$L$4,0))*50*0.4)</f>
        <v>0.77208400281600009</v>
      </c>
      <c r="BI212" s="14">
        <f>IF(OR(BI$5="大R",BI$5="超R"),0,INDEX(其他调用!$H$5:$L$404,MATCH($K212,其他调用!$B$5:$B$404,0),MATCH(BI$5,其他调用!$H$4:$L$4,0))*50*0.4)</f>
        <v>0</v>
      </c>
      <c r="BJ212" s="14">
        <f>IF(OR(BJ$5="大R",BJ$5="超R"),0,INDEX(其他调用!$H$5:$L$404,MATCH($K212,其他调用!$B$5:$B$404,0),MATCH(BJ$5,其他调用!$H$4:$L$4,0))*50*0.4)</f>
        <v>0</v>
      </c>
      <c r="BL212" s="14">
        <f t="shared" si="418"/>
        <v>207</v>
      </c>
      <c r="BM212" s="14">
        <f t="shared" si="325"/>
        <v>96</v>
      </c>
      <c r="BN212" s="14">
        <f>('疲劳值&amp;地图信息'!$S$10*'疲劳值&amp;地图信息'!$R$10+'疲劳值&amp;地图信息'!$S$11*'疲劳值&amp;地图信息'!$R$11+'疲劳值&amp;地图信息'!$S$12*'疲劳值&amp;地图信息'!$R$12+(BM212-'疲劳值&amp;地图信息'!$S$12-'疲劳值&amp;地图信息'!$S$11-'疲劳值&amp;地图信息'!$S$10)*'疲劳值&amp;地图信息'!$R$13)/BM212</f>
        <v>51.371477246638619</v>
      </c>
      <c r="BO212" s="14">
        <f>INDEX(其他调用!$M$5:$M$404,MATCH(BL212,其他调用!$B$5:$B$404,0))*0.6</f>
        <v>60</v>
      </c>
      <c r="BP212" s="14">
        <f>IF(BO212&gt;SUM('疲劳值&amp;地图信息'!$S$10:$S$12),('疲劳值&amp;地图信息'!$S$10*'疲劳值&amp;地图信息'!$R$10+'疲劳值&amp;地图信息'!$S$11*'疲劳值&amp;地图信息'!$R$11+'疲劳值&amp;地图信息'!$S$12*'疲劳值&amp;地图信息'!$R$12+(BO212-'疲劳值&amp;地图信息'!$S$12-'疲劳值&amp;地图信息'!$S$11-'疲劳值&amp;地图信息'!$S$10)*'疲劳值&amp;地图信息'!$R$13)/BO212,('疲劳值&amp;地图信息'!$S$10*'疲劳值&amp;地图信息'!$R$10+'疲劳值&amp;地图信息'!$S$11*'疲劳值&amp;地图信息'!$R$11+'疲劳值&amp;地图信息'!$S$12*'疲劳值&amp;地图信息'!$R$12+(BO212-'疲劳值&amp;地图信息'!$S$12-'疲劳值&amp;地图信息'!$S$11-'疲劳值&amp;地图信息'!$S$10)*'疲劳值&amp;地图信息'!$R$13)/BO212)</f>
        <v>44.158136341605953</v>
      </c>
      <c r="BQ212" s="14">
        <f t="shared" si="419"/>
        <v>20</v>
      </c>
      <c r="BR212" s="14">
        <f>('疲劳值&amp;地图信息'!$S$10*'疲劳值&amp;地图信息'!$R$10+($BQ212-'疲劳值&amp;地图信息'!$S$10)*'疲劳值&amp;地图信息'!$R$11)/$BQ212</f>
        <v>32.067203015074995</v>
      </c>
      <c r="CF212" s="14">
        <v>207</v>
      </c>
      <c r="CG212" s="51">
        <f t="shared" si="326"/>
        <v>13569</v>
      </c>
      <c r="CH212" s="51">
        <f t="shared" si="327"/>
        <v>1072</v>
      </c>
      <c r="CI212" s="51">
        <f>INT(SUMPRODUCT($N212:$R212,$BA212:$BE212)/SUM($BA212:$BE212)/10000*$BX$7*$BZ$34/'疲劳值&amp;地图信息'!$R$10*$BY$53)</f>
        <v>3278</v>
      </c>
      <c r="CJ212" s="50">
        <f t="shared" si="328"/>
        <v>0.75724091746191191</v>
      </c>
      <c r="CK212" s="50">
        <f t="shared" si="329"/>
        <v>5.982476700708745E-2</v>
      </c>
      <c r="CL212" s="50">
        <f t="shared" si="330"/>
        <v>0.18293431553100062</v>
      </c>
      <c r="CM212" s="14">
        <f t="shared" si="331"/>
        <v>14445</v>
      </c>
      <c r="CN212" s="14">
        <f t="shared" si="332"/>
        <v>1707</v>
      </c>
      <c r="CO212" s="14">
        <f>INT(SUMPRODUCT($U212:$Y212,$BA212:$BE212)/SUM($BA212:$BE212)/10000*$BX$7*$BZ$34/'疲劳值&amp;地图信息'!$R$10*$BY$54)</f>
        <v>6085</v>
      </c>
      <c r="CP212" s="50">
        <f t="shared" si="333"/>
        <v>0.64959302064127356</v>
      </c>
      <c r="CQ212" s="50">
        <f t="shared" si="334"/>
        <v>7.6763951971938665E-2</v>
      </c>
      <c r="CR212" s="50">
        <f t="shared" si="335"/>
        <v>0.27364302738678781</v>
      </c>
      <c r="CS212" s="14">
        <f t="shared" si="336"/>
        <v>15652</v>
      </c>
      <c r="CT212" s="14">
        <f t="shared" si="337"/>
        <v>2980</v>
      </c>
      <c r="CU212" s="14">
        <f>INT(SUMPRODUCT($AB212:$AF212,$BA212:$BE212)/SUM($BA212:$BE212)/10000*$BX$7*$BZ$34/'疲劳值&amp;地图信息'!$R$10*$BY$55)</f>
        <v>8268</v>
      </c>
      <c r="CV212" s="50">
        <f t="shared" si="338"/>
        <v>0.58185873605947958</v>
      </c>
      <c r="CW212" s="50">
        <f t="shared" si="339"/>
        <v>0.11078066914498141</v>
      </c>
      <c r="CX212" s="50">
        <f t="shared" si="340"/>
        <v>0.30736059479553901</v>
      </c>
      <c r="CY212" s="14">
        <f t="shared" si="341"/>
        <v>18736</v>
      </c>
      <c r="CZ212" s="14">
        <f t="shared" si="342"/>
        <v>8641</v>
      </c>
      <c r="DA212" s="14">
        <f>INT(SUMPRODUCT($AI212:$AM212,$BA212:$BE212)/SUM($BA212:$BE212)/10000*$BX$7*$BZ$34/'疲劳值&amp;地图信息'!$R$10*$BY$56)</f>
        <v>12473</v>
      </c>
      <c r="DB212" s="50">
        <f t="shared" si="343"/>
        <v>0.47016311166875785</v>
      </c>
      <c r="DC212" s="50">
        <f t="shared" si="344"/>
        <v>0.21683814303638646</v>
      </c>
      <c r="DD212" s="50">
        <f t="shared" si="345"/>
        <v>0.31299874529485572</v>
      </c>
      <c r="DE212" s="14">
        <f t="shared" si="346"/>
        <v>19505</v>
      </c>
      <c r="DF212" s="14">
        <f t="shared" si="347"/>
        <v>14901</v>
      </c>
      <c r="DG212" s="14">
        <f>INT(SUMPRODUCT($AP212:$AT212,$BA212:$BE212)/SUM($BA212:$BE212)/10000*$BX$7*$BZ$34/'疲劳值&amp;地图信息'!$R$10*$BY$57)</f>
        <v>16654</v>
      </c>
      <c r="DH212" s="50">
        <f t="shared" si="348"/>
        <v>0.38200156678417546</v>
      </c>
      <c r="DI212" s="50">
        <f t="shared" si="349"/>
        <v>0.29183313748531142</v>
      </c>
      <c r="DJ212" s="50">
        <f t="shared" si="350"/>
        <v>0.32616529573051312</v>
      </c>
      <c r="DL212" s="14">
        <f t="shared" si="421"/>
        <v>17919</v>
      </c>
      <c r="DM212" s="14">
        <f t="shared" si="422"/>
        <v>22237</v>
      </c>
      <c r="DN212" s="14">
        <f t="shared" si="423"/>
        <v>26900</v>
      </c>
      <c r="DO212" s="14">
        <f t="shared" si="424"/>
        <v>39850</v>
      </c>
      <c r="DP212" s="14">
        <f t="shared" si="425"/>
        <v>51060</v>
      </c>
      <c r="DQ212" s="14">
        <f t="shared" si="426"/>
        <v>1231453</v>
      </c>
      <c r="DT212" s="14">
        <f t="shared" si="420"/>
        <v>235575</v>
      </c>
      <c r="DU212" s="50">
        <f t="shared" si="322"/>
        <v>0.16057975716891565</v>
      </c>
      <c r="DW212" s="14">
        <f t="shared" si="351"/>
        <v>1467028</v>
      </c>
      <c r="EB212" s="14">
        <v>207</v>
      </c>
      <c r="EC212" s="51">
        <f t="shared" si="352"/>
        <v>22615</v>
      </c>
      <c r="ED212" s="51">
        <f t="shared" si="353"/>
        <v>1787</v>
      </c>
      <c r="EE212" s="51">
        <f>INT(SUMPRODUCT($N212:$R212,$BF212:$BJ212)/SUM($BF212:$BJ212)/10000*$BX$7*$BZ$46/'疲劳值&amp;地图信息'!$R$10*$BY$53)</f>
        <v>440</v>
      </c>
      <c r="EF212" s="50">
        <f t="shared" si="354"/>
        <v>0.91035343370099031</v>
      </c>
      <c r="EG212" s="50">
        <f t="shared" si="355"/>
        <v>7.1934626841639163E-2</v>
      </c>
      <c r="EH212" s="50">
        <f t="shared" si="356"/>
        <v>1.7711939457370582E-2</v>
      </c>
      <c r="EI212" s="51">
        <f t="shared" si="357"/>
        <v>24075</v>
      </c>
      <c r="EJ212" s="51">
        <f t="shared" si="358"/>
        <v>2845</v>
      </c>
      <c r="EK212" s="14">
        <f>INT(SUMPRODUCT($U212:$Y212,$BF212:$BJ212)/SUM($BF212:$BJ212)/10000*$BX$7*$BZ$46/'疲劳值&amp;地图信息'!$R$10*$BY$54)</f>
        <v>817</v>
      </c>
      <c r="EL212" s="50">
        <f t="shared" si="359"/>
        <v>0.86797418610520238</v>
      </c>
      <c r="EM212" s="50">
        <f t="shared" si="360"/>
        <v>0.10257057360204781</v>
      </c>
      <c r="EN212" s="50">
        <f t="shared" si="361"/>
        <v>2.9455240292749756E-2</v>
      </c>
      <c r="EO212" s="51">
        <f t="shared" si="362"/>
        <v>26087</v>
      </c>
      <c r="EP212" s="51">
        <f t="shared" si="363"/>
        <v>4967</v>
      </c>
      <c r="EQ212" s="14">
        <f>INT(SUMPRODUCT($AB212:$AF212,$BF212:$BJ212)/SUM($BF212:$BJ212)/10000*$BX$7*$BZ$46/'疲劳值&amp;地图信息'!$R$10*$BY$55)</f>
        <v>1109</v>
      </c>
      <c r="ER212" s="50">
        <f t="shared" si="364"/>
        <v>0.81108727419705873</v>
      </c>
      <c r="ES212" s="50">
        <f t="shared" si="365"/>
        <v>0.15443211143239124</v>
      </c>
      <c r="ET212" s="50">
        <f t="shared" si="366"/>
        <v>3.4480614370550014E-2</v>
      </c>
      <c r="EU212" s="51">
        <f t="shared" si="367"/>
        <v>31227</v>
      </c>
      <c r="EV212" s="51">
        <f t="shared" si="368"/>
        <v>14401</v>
      </c>
      <c r="EW212" s="14">
        <f>INT(SUMPRODUCT($AI212:$AM212,$BF212:$BJ212)/SUM($BF212:$BJ212)/10000*$BX$7*$BZ$46/'疲劳值&amp;地图信息'!$R$10*$BY$56)</f>
        <v>1663</v>
      </c>
      <c r="EX212" s="50">
        <f t="shared" si="369"/>
        <v>0.66031591634771947</v>
      </c>
      <c r="EY212" s="50">
        <f t="shared" si="370"/>
        <v>0.3045188302213952</v>
      </c>
      <c r="EZ212" s="50">
        <f t="shared" si="371"/>
        <v>3.516525343088537E-2</v>
      </c>
      <c r="FA212" s="51">
        <f t="shared" si="372"/>
        <v>32509</v>
      </c>
      <c r="FB212" s="51">
        <f t="shared" si="373"/>
        <v>24835</v>
      </c>
      <c r="FC212" s="14">
        <f>INT(SUMPRODUCT($AP212:$AT212,$BF212:$BJ212)/SUM($BF212:$BJ212)/10000*$BX$7*$BZ$46/'疲劳值&amp;地图信息'!$R$10*$BY$57)</f>
        <v>2218</v>
      </c>
      <c r="FD212" s="50">
        <f t="shared" si="374"/>
        <v>0.54580101406937309</v>
      </c>
      <c r="FE212" s="50">
        <f t="shared" si="375"/>
        <v>0.41696047815721432</v>
      </c>
      <c r="FF212" s="50">
        <f t="shared" si="376"/>
        <v>3.7238507773412581E-2</v>
      </c>
      <c r="FH212" s="14">
        <f t="shared" si="377"/>
        <v>24842</v>
      </c>
      <c r="FI212" s="14">
        <f t="shared" si="378"/>
        <v>27737</v>
      </c>
      <c r="FJ212" s="14">
        <f t="shared" si="379"/>
        <v>32163</v>
      </c>
      <c r="FK212" s="14">
        <f t="shared" si="380"/>
        <v>47291</v>
      </c>
      <c r="FL212" s="14">
        <f t="shared" si="381"/>
        <v>59562</v>
      </c>
      <c r="FM212" s="14">
        <f t="shared" si="382"/>
        <v>2893626</v>
      </c>
      <c r="FP212" s="14">
        <f t="shared" si="383"/>
        <v>334150</v>
      </c>
      <c r="FQ212" s="50">
        <f t="shared" si="323"/>
        <v>0.10352329281833683</v>
      </c>
      <c r="FS212" s="14">
        <f t="shared" si="384"/>
        <v>3227776</v>
      </c>
      <c r="FX212" s="14">
        <v>207</v>
      </c>
      <c r="FY212" s="51">
        <f t="shared" si="385"/>
        <v>31662</v>
      </c>
      <c r="FZ212" s="51">
        <f t="shared" si="386"/>
        <v>1787</v>
      </c>
      <c r="GA212" s="51">
        <f>INT(SUMPRODUCT($N212:$R212,$BF212:$BJ212)/SUM($BF212:$BJ212)/10000*$BX$7*$BZ$46/'疲劳值&amp;地图信息'!$R$10*$BY$53)</f>
        <v>440</v>
      </c>
      <c r="GB212" s="50">
        <f t="shared" si="387"/>
        <v>0.93428546135914303</v>
      </c>
      <c r="GC212" s="50">
        <f t="shared" si="388"/>
        <v>5.2730974652542124E-2</v>
      </c>
      <c r="GD212" s="50">
        <f t="shared" si="389"/>
        <v>1.2983563988314793E-2</v>
      </c>
      <c r="GE212" s="51">
        <f t="shared" si="390"/>
        <v>33706</v>
      </c>
      <c r="GF212" s="51">
        <f t="shared" si="391"/>
        <v>2845</v>
      </c>
      <c r="GG212" s="14">
        <f>INT(SUMPRODUCT($U212:$Y212,$BF212:$BJ212)/SUM($BF212:$BJ212)/10000*$BX$7*$BZ$46/'疲劳值&amp;地图信息'!$R$10*$BY$54)</f>
        <v>817</v>
      </c>
      <c r="GH212" s="50">
        <f t="shared" si="392"/>
        <v>0.90200171269535434</v>
      </c>
      <c r="GI212" s="50">
        <f t="shared" si="393"/>
        <v>7.6134660672232929E-2</v>
      </c>
      <c r="GJ212" s="50">
        <f t="shared" si="394"/>
        <v>2.1863626632412758E-2</v>
      </c>
      <c r="GK212" s="51">
        <f t="shared" si="395"/>
        <v>36522</v>
      </c>
      <c r="GL212" s="51">
        <f t="shared" si="396"/>
        <v>4967</v>
      </c>
      <c r="GM212" s="14">
        <f>INT(SUMPRODUCT($AB212:$AF212,$BF212:$BJ212)/SUM($BF212:$BJ212)/10000*$BX$7*$BZ$46/'疲劳值&amp;地图信息'!$R$10*$BY$55)</f>
        <v>1109</v>
      </c>
      <c r="GN212" s="50">
        <f t="shared" si="397"/>
        <v>0.85736419550213627</v>
      </c>
      <c r="GO212" s="50">
        <f t="shared" si="398"/>
        <v>0.11660171839053476</v>
      </c>
      <c r="GP212" s="50">
        <f t="shared" si="399"/>
        <v>2.6034086107328984E-2</v>
      </c>
      <c r="GQ212" s="51">
        <f t="shared" si="400"/>
        <v>43718</v>
      </c>
      <c r="GR212" s="51">
        <f t="shared" si="401"/>
        <v>14401</v>
      </c>
      <c r="GS212" s="14">
        <f>INT(SUMPRODUCT($AI212:$AM212,$BF212:$BJ212)/SUM($BF212:$BJ212)/10000*$BX$7*$BZ$46/'疲劳值&amp;地图信息'!$R$10*$BY$56)</f>
        <v>1663</v>
      </c>
      <c r="GT212" s="50">
        <f t="shared" si="402"/>
        <v>0.73129035495634143</v>
      </c>
      <c r="GU212" s="50">
        <f t="shared" si="403"/>
        <v>0.24089190726305576</v>
      </c>
      <c r="GV212" s="50">
        <f t="shared" si="404"/>
        <v>2.7817737780602859E-2</v>
      </c>
      <c r="GW212" s="51">
        <f t="shared" si="405"/>
        <v>45513</v>
      </c>
      <c r="GX212" s="51">
        <f t="shared" si="406"/>
        <v>24835</v>
      </c>
      <c r="GY212" s="14">
        <f>INT(SUMPRODUCT($AP212:$AT212,$BF212:$BJ212)/SUM($BF212:$BJ212)/10000*$BX$7*$BZ$46/'疲劳值&amp;地图信息'!$R$10*$BY$57)</f>
        <v>2218</v>
      </c>
      <c r="GZ212" s="50">
        <f t="shared" si="407"/>
        <v>0.62719455392332502</v>
      </c>
      <c r="HA212" s="50">
        <f t="shared" si="408"/>
        <v>0.34224016757158998</v>
      </c>
      <c r="HB212" s="50">
        <f t="shared" si="409"/>
        <v>3.0565278505085027E-2</v>
      </c>
      <c r="HD212" s="14">
        <f t="shared" si="410"/>
        <v>33889</v>
      </c>
      <c r="HE212" s="14">
        <f t="shared" si="411"/>
        <v>37368</v>
      </c>
      <c r="HF212" s="14">
        <f t="shared" si="412"/>
        <v>42598</v>
      </c>
      <c r="HG212" s="14">
        <f t="shared" si="413"/>
        <v>59782</v>
      </c>
      <c r="HH212" s="14">
        <f t="shared" si="414"/>
        <v>72566</v>
      </c>
      <c r="HI212" s="14">
        <f t="shared" si="415"/>
        <v>3892875</v>
      </c>
      <c r="HL212" s="14">
        <f t="shared" si="416"/>
        <v>430050</v>
      </c>
      <c r="HM212" s="50">
        <f t="shared" si="324"/>
        <v>9.9481254012040457E-2</v>
      </c>
      <c r="HO212" s="14">
        <f t="shared" si="417"/>
        <v>4322925</v>
      </c>
    </row>
    <row r="213" spans="11:223" x14ac:dyDescent="0.2">
      <c r="K213" s="14">
        <v>208</v>
      </c>
      <c r="L213" s="12">
        <f>求节点(节奏总纲!D$4:D$163,标准城池设计!AB$4:AB$163,$K213)*求节点(节奏总纲!D$4:D$163,攻城基础信息!$AC$5:$AC$164,$K213)</f>
        <v>667134.38818439771</v>
      </c>
      <c r="M213" s="12">
        <f>INDEX(其他调用!$AA$5:$AA$404,MATCH(K213,其他调用!$X$5:$X$404,0))*MIN(INDEX(其他调用!$AH$5:$AH$364,MATCH('征服点（新）'!K213,其他调用!$AG$5:$AG$364,0),1)/INDEX(其他调用!$AJ$5:$AJ$364,MATCH(K213,其他调用!$AG$5:$AG$364,0),0),5)*求节点(节奏总纲!D$4:D$163,攻城基础信息!$AC$5:$AC$164,$K213)</f>
        <v>52673.622436942882</v>
      </c>
      <c r="N213" s="12">
        <f>MIN(INDEX(其他调用!$AH$5:$AH$364,MATCH($K213,其他调用!$AG$5:$AG$364,0),1)/INDEX(其他调用!AH$5:AH$364,MATCH($K213,其他调用!$AG$5:$AG$364,0),0),1)*INDEX(其他调用!Y$5:Y$404,MATCH($K213,其他调用!$X$5:$X$404,0),0)</f>
        <v>40365.25938605077</v>
      </c>
      <c r="O213" s="12">
        <f>MIN(INDEX(其他调用!$AH$5:$AH$364,MATCH($K213,其他调用!$AG$5:$AG$364,0),1)/INDEX(其他调用!AI$5:AI$364,MATCH($K213,其他调用!$AG$5:$AG$364,0),0),1)*INDEX(其他调用!Z$5:Z$404,MATCH($K213,其他调用!$X$5:$X$404,0),0)</f>
        <v>26053.779414329969</v>
      </c>
      <c r="P213" s="12">
        <f>MIN(INDEX(其他调用!$AH$5:$AH$364,MATCH($K213,其他调用!$AG$5:$AG$364,0),1)/INDEX(其他调用!AJ$5:AJ$364,MATCH($K213,其他调用!$AG$5:$AG$364,0),0),1)*INDEX(其他调用!AA$5:AA$404,MATCH($K213,其他调用!$X$5:$X$404,0),0)</f>
        <v>15481.427376430504</v>
      </c>
      <c r="Q213" s="12">
        <f>MIN(INDEX(其他调用!$AH$5:$AH$364,MATCH($K213,其他调用!$AG$5:$AG$364,0),1)/INDEX(其他调用!AK$5:AK$364,MATCH($K213,其他调用!$AG$5:$AG$364,0),0),1)*INDEX(其他调用!AB$5:AB$404,MATCH($K213,其他调用!$X$5:$X$404,0),0)</f>
        <v>5608.6025242154656</v>
      </c>
      <c r="R213" s="12">
        <f>MIN(INDEX(其他调用!$AH$5:$AH$364,MATCH($K213,其他调用!$AG$5:$AG$364,0),1)/INDEX(其他调用!AL$5:AL$364,MATCH($K213,其他调用!$AG$5:$AG$364,0),0),1)*INDEX(其他调用!AC$5:AC$404,MATCH($K213,其他调用!$X$5:$X$404,0),0)</f>
        <v>2574.9089072108104</v>
      </c>
      <c r="S213" s="12">
        <f>求节点(节奏总纲!D$4:D$163,标准城池设计!AC$4:AC$163,$K213)*求节点(节奏总纲!D$4:D$163,攻城基础信息!$AD$5:$AD$164,$K213)</f>
        <v>710395.32510792359</v>
      </c>
      <c r="T213" s="12">
        <f>INDEX(其他调用!$AA$5:$AA$404,MATCH($K213,其他调用!$X$5:$X$404,0))*MIN(INDEX(其他调用!AI$5:AI$364,MATCH($K213,其他调用!$AG$5:$AG$364,0),1)/INDEX(其他调用!$AJ$5:$AJ$364,MATCH($K213,其他调用!$AG$5:$AG$364,0),0),5)*求节点(节奏总纲!D$4:D$163,攻城基础信息!$AD$5:$AD$164,$K213)</f>
        <v>83919.468545998228</v>
      </c>
      <c r="U213" s="12">
        <f>MIN(INDEX(其他调用!$AI$5:$AI$364,MATCH($K213,其他调用!$AG$5:$AG$364,0),1)/INDEX(其他调用!AH$5:AH$364,MATCH($K213,其他调用!$AG$5:$AG$364,0),0),1)*INDEX(其他调用!Y$5:Y$404,MATCH($K213,其他调用!$X$5:$X$404,0),0)</f>
        <v>40365.25938605077</v>
      </c>
      <c r="V213" s="12">
        <f>MIN(INDEX(其他调用!$AI$5:$AI$364,MATCH($K213,其他调用!$AG$5:$AG$364,0),1)/INDEX(其他调用!AI$5:AI$364,MATCH($K213,其他调用!$AG$5:$AG$364,0),0),1)*INDEX(其他调用!Z$5:Z$404,MATCH($K213,其他调用!$X$5:$X$404,0),0)</f>
        <v>41508.808791016141</v>
      </c>
      <c r="W213" s="12">
        <f>MIN(INDEX(其他调用!$AI$5:$AI$364,MATCH($K213,其他调用!$AG$5:$AG$364,0),1)/INDEX(其他调用!AJ$5:AJ$364,MATCH($K213,其他调用!$AG$5:$AG$364,0),0),1)*INDEX(其他调用!AA$5:AA$404,MATCH($K213,其他调用!$X$5:$X$404,0),0)</f>
        <v>24664.966973152779</v>
      </c>
      <c r="X213" s="12">
        <f>MIN(INDEX(其他调用!$AI$5:$AI$364,MATCH($K213,其他调用!$AG$5:$AG$364,0),1)/INDEX(其他调用!AK$5:AK$364,MATCH($K213,其他调用!$AG$5:$AG$364,0),0),1)*INDEX(其他调用!AB$5:AB$404,MATCH($K213,其他调用!$X$5:$X$404,0),0)</f>
        <v>8935.6099190132572</v>
      </c>
      <c r="Y213" s="12">
        <f>MIN(INDEX(其他调用!$AI$5:$AI$364,MATCH($K213,其他调用!$AG$5:$AG$364,0),1)/INDEX(其他调用!AL$5:AL$364,MATCH($K213,其他调用!$AG$5:$AG$364,0),0),1)*INDEX(其他调用!AC$5:AC$404,MATCH($K213,其他调用!$X$5:$X$404,0),0)</f>
        <v>4102.3376986492594</v>
      </c>
      <c r="Z213" s="12">
        <f>求节点(节奏总纲!D$4:D$163,标准城池设计!AD$4:AD$163,$K213)*求节点(节奏总纲!D$4:D$163,攻城基础信息!$AE$5:$AE$164,$K213)</f>
        <v>770129.13847438199</v>
      </c>
      <c r="AA213" s="12">
        <f>INDEX(其他调用!$AA$5:$AA$404,MATCH($K213,其他调用!$X$5:$X$404,0))*MIN(INDEX(其他调用!AJ$5:AJ$364,MATCH($K213,其他调用!$AG$5:$AG$364,0),1)/INDEX(其他调用!$AJ$5:$AJ$364,MATCH($K213,其他调用!$AG$5:$AG$364,0),0),5)*求节点(节奏总纲!D$4:D$163,攻城基础信息!$AE$5:$AE$164,$K213)</f>
        <v>146415.52860459205</v>
      </c>
      <c r="AB213" s="12">
        <f>MIN(INDEX(其他调用!$AJ$5:$AJ$364,MATCH($K213,其他调用!$AG$5:$AG$364,0),1)/INDEX(其他调用!AH$5:AH$364,MATCH($K213,其他调用!$AG$5:$AG$364,0),0),1)*INDEX(其他调用!Y$5:Y$404,MATCH($K213,其他调用!$X$5:$X$404,0),0)</f>
        <v>40365.25938605077</v>
      </c>
      <c r="AC213" s="12">
        <f>MIN(INDEX(其他调用!$AJ$5:$AJ$364,MATCH($K213,其他调用!$AG$5:$AG$364,0),1)/INDEX(其他调用!AI$5:AI$364,MATCH($K213,其他调用!$AG$5:$AG$364,0),0),1)*INDEX(其他调用!Z$5:Z$404,MATCH($K213,其他调用!$X$5:$X$404,0),0)</f>
        <v>41508.808791016141</v>
      </c>
      <c r="AD213" s="12">
        <f>MIN(INDEX(其他调用!$AJ$5:$AJ$364,MATCH($K213,其他调用!$AG$5:$AG$364,0),1)/INDEX(其他调用!AJ$5:AJ$364,MATCH($K213,其他调用!$AG$5:$AG$364,0),0),1)*INDEX(其他调用!AA$5:AA$404,MATCH($K213,其他调用!$X$5:$X$404,0),0)</f>
        <v>43033.329928793726</v>
      </c>
      <c r="AE213" s="12">
        <f>MIN(INDEX(其他调用!$AJ$5:$AJ$364,MATCH($K213,其他调用!$AG$5:$AG$364,0),1)/INDEX(其他调用!AK$5:AK$364,MATCH($K213,其他调用!$AG$5:$AG$364,0),0),1)*INDEX(其他调用!AB$5:AB$404,MATCH($K213,其他调用!$X$5:$X$404,0),0)</f>
        <v>15590.089789232225</v>
      </c>
      <c r="AF213" s="12">
        <f>MIN(INDEX(其他调用!$AJ$5:$AJ$364,MATCH($K213,其他调用!$AG$5:$AG$364,0),1)/INDEX(其他调用!AL$5:AL$364,MATCH($K213,其他调用!$AG$5:$AG$364,0),0),1)*INDEX(其他调用!AC$5:AC$404,MATCH($K213,其他调用!$X$5:$X$404,0),0)</f>
        <v>7157.4087999979283</v>
      </c>
      <c r="AG213" s="12">
        <f>求节点(节奏总纲!D$4:D$163,标准城池设计!AE$4:AE$163,$K213)*求节点(节奏总纲!D$4:D$163,攻城基础信息!$AF$5:$AF$164,$K213)</f>
        <v>922060.69347117469</v>
      </c>
      <c r="AH213" s="12">
        <f>INDEX(其他调用!$AA$5:$AA$404,MATCH($K213,其他调用!$X$5:$X$404,0))*MIN(INDEX(其他调用!AK$5:AK$364,MATCH($K213,其他调用!$AG$5:$AG$364,0),1)/INDEX(其他调用!$AJ$5:$AJ$364,MATCH($K213,其他调用!$AG$5:$AG$364,0),0),5)*求节点(节奏总纲!D$4:D$163,攻城基础信息!$AF$5:$AF$164,$K213)</f>
        <v>424754.54515202984</v>
      </c>
      <c r="AI213" s="12">
        <f>MIN(INDEX(其他调用!$AK$5:$AK$364,MATCH($K213,其他调用!$AG$5:$AG$364,0),1)/INDEX(其他调用!AH$5:AH$364,MATCH($K213,其他调用!$AG$5:$AG$364,0),0),1)*INDEX(其他调用!Y$5:Y$404,MATCH($K213,其他调用!$X$5:$X$404,0),0)</f>
        <v>40365.25938605077</v>
      </c>
      <c r="AJ213" s="12">
        <f>MIN(INDEX(其他调用!$AK$5:$AK$364,MATCH($K213,其他调用!$AG$5:$AG$364,0),1)/INDEX(其他调用!AI$5:AI$364,MATCH($K213,其他调用!$AG$5:$AG$364,0),0),1)*INDEX(其他调用!Z$5:Z$404,MATCH($K213,其他调用!$X$5:$X$404,0),0)</f>
        <v>41508.808791016141</v>
      </c>
      <c r="AK213" s="12">
        <f>MIN(INDEX(其他调用!$AK$5:$AK$364,MATCH($K213,其他调用!$AG$5:$AG$364,0),1)/INDEX(其他调用!AJ$5:AJ$364,MATCH($K213,其他调用!$AG$5:$AG$364,0),0),1)*INDEX(其他调用!AA$5:AA$404,MATCH($K213,其他调用!$X$5:$X$404,0),0)</f>
        <v>43033.329928793726</v>
      </c>
      <c r="AL213" s="12">
        <f>MIN(INDEX(其他调用!$AK$5:$AK$364,MATCH($K213,其他调用!$AG$5:$AG$364,0),1)/INDEX(其他调用!AK$5:AK$364,MATCH($K213,其他调用!$AG$5:$AG$364,0),0),1)*INDEX(其他调用!AB$5:AB$404,MATCH($K213,其他调用!$X$5:$X$404,0),0)</f>
        <v>45227.180207010868</v>
      </c>
      <c r="AM213" s="12">
        <f>MIN(INDEX(其他调用!$AK$5:$AK$364,MATCH($K213,其他调用!$AG$5:$AG$364,0),1)/INDEX(其他调用!AL$5:AL$364,MATCH($K213,其他调用!$AG$5:$AG$364,0),0),1)*INDEX(其他调用!AC$5:AC$404,MATCH($K213,其他调用!$X$5:$X$404,0),0)</f>
        <v>20763.794307094468</v>
      </c>
      <c r="AN213" s="12">
        <f>求节点(节奏总纲!D$4:D$163,标准城池设计!AF$4:AF$163,$K213)*求节点(节奏总纲!D$4:D$163,攻城基础信息!$AG$5:$AG$164,$K213)</f>
        <v>960174.61408680119</v>
      </c>
      <c r="AO213" s="12">
        <f>INDEX(其他调用!$AA$5:$AA$404,MATCH($K213,其他调用!$X$5:$X$404,0))*MIN(INDEX(其他调用!AL$5:AL$364,MATCH($K213,其他调用!$AG$5:$AG$364,0),1)/INDEX(其他调用!$AJ$5:$AJ$364,MATCH($K213,其他调用!$AG$5:$AG$364,0),0),5)*求节点(节奏总纲!D$4:D$163,攻城基础信息!$AG$5:$AG$164,$K213)</f>
        <v>732077.64302296017</v>
      </c>
      <c r="AP213" s="12">
        <f>MIN(INDEX(其他调用!$AL$5:$AL$364,MATCH($K213,其他调用!$AG$5:$AG$364,0),1)/INDEX(其他调用!AH$5:AH$364,MATCH($K213,其他调用!$AG$5:$AG$364,0),0),1)*INDEX(其他调用!Y$5:Y$404,MATCH($K213,其他调用!$X$5:$X$404,0),0)</f>
        <v>40365.25938605077</v>
      </c>
      <c r="AQ213" s="12">
        <f>MIN(INDEX(其他调用!$AL$5:$AL$364,MATCH($K213,其他调用!$AG$5:$AG$364,0),1)/INDEX(其他调用!AI$5:AI$364,MATCH($K213,其他调用!$AG$5:$AG$364,0),0),1)*INDEX(其他调用!Z$5:Z$404,MATCH($K213,其他调用!$X$5:$X$404,0),0)</f>
        <v>41508.808791016141</v>
      </c>
      <c r="AR213" s="12">
        <f>MIN(INDEX(其他调用!$AL$5:$AL$364,MATCH($K213,其他调用!$AG$5:$AG$364,0),1)/INDEX(其他调用!AJ$5:AJ$364,MATCH($K213,其他调用!$AG$5:$AG$364,0),0),1)*INDEX(其他调用!AA$5:AA$404,MATCH($K213,其他调用!$X$5:$X$404,0),0)</f>
        <v>43033.329928793726</v>
      </c>
      <c r="AS213" s="12">
        <f>MIN(INDEX(其他调用!$AL$5:$AL$364,MATCH($K213,其他调用!$AG$5:$AG$364,0),1)/INDEX(其他调用!AK$5:AK$364,MATCH($K213,其他调用!$AG$5:$AG$364,0),0),1)*INDEX(其他调用!AB$5:AB$404,MATCH($K213,其他调用!$X$5:$X$404,0),0)</f>
        <v>45227.180207010868</v>
      </c>
      <c r="AT213" s="12">
        <f>MIN(INDEX(其他调用!$AL$5:$AL$364,MATCH($K213,其他调用!$AG$5:$AG$364,0),1)/INDEX(其他调用!AL$5:AL$364,MATCH($K213,其他调用!$AG$5:$AG$364,0),0),1)*INDEX(其他调用!AC$5:AC$404,MATCH($K213,其他调用!$X$5:$X$404,0),0)</f>
        <v>49182.481402563055</v>
      </c>
      <c r="AV213" s="14">
        <f>IF(OR(AV$5="大R",AV$5="超R"),MAX(INDEX(其他调用!$H$5:$L$404,MATCH($K213,其他调用!$B$5:$B$404,0),MATCH(AV$5,其他调用!$H$4:$L$4,0))*120*0.85,2),INDEX(其他调用!$H$5:$L$404,MATCH($K213,其他调用!$B$5:$B$404,0),MATCH(AV$5,其他调用!$H$4:$L$4,0))*120*0.85)</f>
        <v>48.921801254999991</v>
      </c>
      <c r="AW213" s="14">
        <f>IF(OR(AW$5="大R",AW$5="超R"),MAX(INDEX(其他调用!$H$5:$L$404,MATCH($K213,其他调用!$B$5:$B$404,0),MATCH(AW$5,其他调用!$H$4:$L$4,0))*120*0.85,2),INDEX(其他调用!$H$5:$L$404,MATCH($K213,其他调用!$B$5:$B$404,0),MATCH(AW$5,其他调用!$H$4:$L$4,0))*120*0.85)</f>
        <v>48.237344010638395</v>
      </c>
      <c r="AX213" s="14">
        <f>IF(OR(AX$5="大R",AX$5="超R"),MAX(INDEX(其他调用!$H$5:$L$404,MATCH($K213,其他调用!$B$5:$B$404,0),MATCH(AX$5,其他调用!$H$4:$L$4,0))*120*0.85,2),INDEX(其他调用!$H$5:$L$404,MATCH($K213,其他调用!$B$5:$B$404,0),MATCH(AX$5,其他调用!$H$4:$L$4,0))*120*0.85)</f>
        <v>3.9376284143615998</v>
      </c>
      <c r="AY213" s="14">
        <f>IF(OR(AY$5="大R",AY$5="超R"),MAX(INDEX(其他调用!$H$5:$L$404,MATCH($K213,其他调用!$B$5:$B$404,0),MATCH(AY$5,其他调用!$H$4:$L$4,0))*120*0.85,2),INDEX(其他调用!$H$5:$L$404,MATCH($K213,其他调用!$B$5:$B$404,0),MATCH(AY$5,其他调用!$H$4:$L$4,0))*120*0.85)</f>
        <v>2</v>
      </c>
      <c r="AZ213" s="14">
        <f>IF(OR(AZ$5="大R",AZ$5="超R"),MAX(INDEX(其他调用!$H$5:$L$404,MATCH($K213,其他调用!$B$5:$B$404,0),MATCH(AZ$5,其他调用!$H$4:$L$4,0))*120*0.85,2),INDEX(其他调用!$H$5:$L$404,MATCH($K213,其他调用!$B$5:$B$404,0),MATCH(AZ$5,其他调用!$H$4:$L$4,0))*120*0.85)</f>
        <v>2</v>
      </c>
      <c r="BA213" s="14">
        <f>INDEX(其他调用!$H$5:$L$404,MATCH($K213,其他调用!$B$5:$B$404,0),MATCH(BA$5,其他调用!$H$4:$L$4,0))*INDEX(其他调用!$M$5:$M$404,MATCH($K213,其他调用!$B$5:$B$404,0))*0.6</f>
        <v>28.777530149999997</v>
      </c>
      <c r="BB213" s="14">
        <f>INDEX(其他调用!$H$5:$L$404,MATCH($K213,其他调用!$B$5:$B$404,0),MATCH(BB$5,其他调用!$H$4:$L$4,0))*INDEX(其他调用!$M$5:$M$404,MATCH($K213,其他调用!$B$5:$B$404,0))*0.6</f>
        <v>28.374908241551999</v>
      </c>
      <c r="BC213" s="14">
        <f>INDEX(其他调用!$H$5:$L$404,MATCH($K213,其他调用!$B$5:$B$404,0),MATCH(BC$5,其他调用!$H$4:$L$4,0))*INDEX(其他调用!$M$5:$M$404,MATCH($K213,其他调用!$B$5:$B$404,0))*0.6</f>
        <v>2.3162520084480001</v>
      </c>
      <c r="BD213" s="14">
        <f>INDEX(其他调用!$H$5:$L$404,MATCH($K213,其他调用!$B$5:$B$404,0),MATCH(BD$5,其他调用!$H$4:$L$4,0))*INDEX(其他调用!$M$5:$M$404,MATCH($K213,其他调用!$B$5:$B$404,0))*0.6</f>
        <v>0.4120776000000001</v>
      </c>
      <c r="BE213" s="14">
        <f>INDEX(其他调用!$H$5:$L$404,MATCH($K213,其他调用!$B$5:$B$404,0),MATCH(BE$5,其他调用!$H$4:$L$4,0))*INDEX(其他调用!$M$5:$M$404,MATCH($K213,其他调用!$B$5:$B$404,0))*0.6</f>
        <v>0.11923199999999998</v>
      </c>
      <c r="BF213" s="14">
        <f>IF(OR(BF$5="大R",BF$5="超R"),0,INDEX(其他调用!$H$5:$L$404,MATCH($K213,其他调用!$B$5:$B$404,0),MATCH(BF$5,其他调用!$H$4:$L$4,0))*50*0.4)</f>
        <v>9.5925100500000013</v>
      </c>
      <c r="BG213" s="14">
        <f>IF(OR(BG$5="大R",BG$5="超R"),0,INDEX(其他调用!$H$5:$L$404,MATCH($K213,其他调用!$B$5:$B$404,0),MATCH(BG$5,其他调用!$H$4:$L$4,0))*50*0.4)</f>
        <v>9.4583027471839998</v>
      </c>
      <c r="BH213" s="14">
        <f>IF(OR(BH$5="大R",BH$5="超R"),0,INDEX(其他调用!$H$5:$L$404,MATCH($K213,其他调用!$B$5:$B$404,0),MATCH(BH$5,其他调用!$H$4:$L$4,0))*50*0.4)</f>
        <v>0.77208400281600009</v>
      </c>
      <c r="BI213" s="14">
        <f>IF(OR(BI$5="大R",BI$5="超R"),0,INDEX(其他调用!$H$5:$L$404,MATCH($K213,其他调用!$B$5:$B$404,0),MATCH(BI$5,其他调用!$H$4:$L$4,0))*50*0.4)</f>
        <v>0</v>
      </c>
      <c r="BJ213" s="14">
        <f>IF(OR(BJ$5="大R",BJ$5="超R"),0,INDEX(其他调用!$H$5:$L$404,MATCH($K213,其他调用!$B$5:$B$404,0),MATCH(BJ$5,其他调用!$H$4:$L$4,0))*50*0.4)</f>
        <v>0</v>
      </c>
      <c r="BL213" s="14">
        <f t="shared" si="418"/>
        <v>208</v>
      </c>
      <c r="BM213" s="14">
        <f t="shared" si="325"/>
        <v>96</v>
      </c>
      <c r="BN213" s="14">
        <f>('疲劳值&amp;地图信息'!$S$10*'疲劳值&amp;地图信息'!$R$10+'疲劳值&amp;地图信息'!$S$11*'疲劳值&amp;地图信息'!$R$11+'疲劳值&amp;地图信息'!$S$12*'疲劳值&amp;地图信息'!$R$12+(BM213-'疲劳值&amp;地图信息'!$S$12-'疲劳值&amp;地图信息'!$S$11-'疲劳值&amp;地图信息'!$S$10)*'疲劳值&amp;地图信息'!$R$13)/BM213</f>
        <v>51.371477246638619</v>
      </c>
      <c r="BO213" s="14">
        <f>INDEX(其他调用!$M$5:$M$404,MATCH(BL213,其他调用!$B$5:$B$404,0))*0.6</f>
        <v>60</v>
      </c>
      <c r="BP213" s="14">
        <f>IF(BO213&gt;SUM('疲劳值&amp;地图信息'!$S$10:$S$12),('疲劳值&amp;地图信息'!$S$10*'疲劳值&amp;地图信息'!$R$10+'疲劳值&amp;地图信息'!$S$11*'疲劳值&amp;地图信息'!$R$11+'疲劳值&amp;地图信息'!$S$12*'疲劳值&amp;地图信息'!$R$12+(BO213-'疲劳值&amp;地图信息'!$S$12-'疲劳值&amp;地图信息'!$S$11-'疲劳值&amp;地图信息'!$S$10)*'疲劳值&amp;地图信息'!$R$13)/BO213,('疲劳值&amp;地图信息'!$S$10*'疲劳值&amp;地图信息'!$R$10+'疲劳值&amp;地图信息'!$S$11*'疲劳值&amp;地图信息'!$R$11+'疲劳值&amp;地图信息'!$S$12*'疲劳值&amp;地图信息'!$R$12+(BO213-'疲劳值&amp;地图信息'!$S$12-'疲劳值&amp;地图信息'!$S$11-'疲劳值&amp;地图信息'!$S$10)*'疲劳值&amp;地图信息'!$R$13)/BO213)</f>
        <v>44.158136341605953</v>
      </c>
      <c r="BQ213" s="14">
        <f t="shared" si="419"/>
        <v>20</v>
      </c>
      <c r="BR213" s="14">
        <f>('疲劳值&amp;地图信息'!$S$10*'疲劳值&amp;地图信息'!$R$10+($BQ213-'疲劳值&amp;地图信息'!$S$10)*'疲劳值&amp;地图信息'!$R$11)/$BQ213</f>
        <v>32.067203015074995</v>
      </c>
      <c r="CF213" s="14">
        <v>208</v>
      </c>
      <c r="CG213" s="51">
        <f t="shared" si="326"/>
        <v>13597</v>
      </c>
      <c r="CH213" s="51">
        <f t="shared" si="327"/>
        <v>1073</v>
      </c>
      <c r="CI213" s="51">
        <f>INT(SUMPRODUCT($N213:$R213,$BA213:$BE213)/SUM($BA213:$BE213)/10000*$BX$7*$BZ$34/'疲劳值&amp;地图信息'!$R$10*$BY$53)</f>
        <v>3279</v>
      </c>
      <c r="CJ213" s="50">
        <f t="shared" si="328"/>
        <v>0.75753523873196282</v>
      </c>
      <c r="CK213" s="50">
        <f t="shared" si="329"/>
        <v>5.9780489163741714E-2</v>
      </c>
      <c r="CL213" s="50">
        <f t="shared" si="330"/>
        <v>0.1826842721042955</v>
      </c>
      <c r="CM213" s="14">
        <f t="shared" si="331"/>
        <v>14478</v>
      </c>
      <c r="CN213" s="14">
        <f t="shared" si="332"/>
        <v>1710</v>
      </c>
      <c r="CO213" s="14">
        <f>INT(SUMPRODUCT($U213:$Y213,$BA213:$BE213)/SUM($BA213:$BE213)/10000*$BX$7*$BZ$34/'疲劳值&amp;地图信息'!$R$10*$BY$54)</f>
        <v>6089</v>
      </c>
      <c r="CP213" s="50">
        <f t="shared" si="333"/>
        <v>0.64990797683709656</v>
      </c>
      <c r="CQ213" s="50">
        <f t="shared" si="334"/>
        <v>7.6760784665798804E-2</v>
      </c>
      <c r="CR213" s="50">
        <f t="shared" si="335"/>
        <v>0.27333123849710461</v>
      </c>
      <c r="CS213" s="14">
        <f t="shared" si="336"/>
        <v>15696</v>
      </c>
      <c r="CT213" s="14">
        <f t="shared" si="337"/>
        <v>2984</v>
      </c>
      <c r="CU213" s="14">
        <f>INT(SUMPRODUCT($AB213:$AF213,$BA213:$BE213)/SUM($BA213:$BE213)/10000*$BX$7*$BZ$34/'疲劳值&amp;地图信息'!$R$10*$BY$55)</f>
        <v>8274</v>
      </c>
      <c r="CV213" s="50">
        <f t="shared" si="338"/>
        <v>0.58232544334792613</v>
      </c>
      <c r="CW213" s="50">
        <f t="shared" si="339"/>
        <v>0.11070713066706241</v>
      </c>
      <c r="CX213" s="50">
        <f t="shared" si="340"/>
        <v>0.30696742598501148</v>
      </c>
      <c r="CY213" s="14">
        <f t="shared" si="341"/>
        <v>18792</v>
      </c>
      <c r="CZ213" s="14">
        <f t="shared" si="342"/>
        <v>8657</v>
      </c>
      <c r="DA213" s="14">
        <f>INT(SUMPRODUCT($AI213:$AM213,$BA213:$BE213)/SUM($BA213:$BE213)/10000*$BX$7*$BZ$34/'疲劳值&amp;地图信息'!$R$10*$BY$56)</f>
        <v>12481</v>
      </c>
      <c r="DB213" s="50">
        <f t="shared" si="343"/>
        <v>0.47062359128474829</v>
      </c>
      <c r="DC213" s="50">
        <f t="shared" si="344"/>
        <v>0.21680440771349863</v>
      </c>
      <c r="DD213" s="50">
        <f t="shared" si="345"/>
        <v>0.31257200100175309</v>
      </c>
      <c r="DE213" s="14">
        <f t="shared" si="346"/>
        <v>19569</v>
      </c>
      <c r="DF213" s="14">
        <f t="shared" si="347"/>
        <v>14920</v>
      </c>
      <c r="DG213" s="14">
        <f>INT(SUMPRODUCT($AP213:$AT213,$BA213:$BE213)/SUM($BA213:$BE213)/10000*$BX$7*$BZ$34/'疲劳值&amp;地图信息'!$R$10*$BY$57)</f>
        <v>16664</v>
      </c>
      <c r="DH213" s="50">
        <f t="shared" si="348"/>
        <v>0.38255820772975191</v>
      </c>
      <c r="DI213" s="50">
        <f t="shared" si="349"/>
        <v>0.29167399761499813</v>
      </c>
      <c r="DJ213" s="50">
        <f t="shared" si="350"/>
        <v>0.32576779465524991</v>
      </c>
      <c r="DL213" s="14">
        <f t="shared" si="421"/>
        <v>17949</v>
      </c>
      <c r="DM213" s="14">
        <f t="shared" si="422"/>
        <v>22277</v>
      </c>
      <c r="DN213" s="14">
        <f t="shared" si="423"/>
        <v>26954</v>
      </c>
      <c r="DO213" s="14">
        <f t="shared" si="424"/>
        <v>39930</v>
      </c>
      <c r="DP213" s="14">
        <f t="shared" si="425"/>
        <v>51153</v>
      </c>
      <c r="DQ213" s="14">
        <f t="shared" si="426"/>
        <v>1233621</v>
      </c>
      <c r="DT213" s="14">
        <f t="shared" si="420"/>
        <v>235575</v>
      </c>
      <c r="DU213" s="50">
        <f t="shared" si="322"/>
        <v>0.16034279973536547</v>
      </c>
      <c r="DW213" s="14">
        <f t="shared" si="351"/>
        <v>1469196</v>
      </c>
      <c r="EB213" s="14">
        <v>208</v>
      </c>
      <c r="EC213" s="51">
        <f t="shared" si="352"/>
        <v>22661</v>
      </c>
      <c r="ED213" s="51">
        <f t="shared" si="353"/>
        <v>1789</v>
      </c>
      <c r="EE213" s="51">
        <f>INT(SUMPRODUCT($N213:$R213,$BF213:$BJ213)/SUM($BF213:$BJ213)/10000*$BX$7*$BZ$46/'疲劳值&amp;地图信息'!$R$10*$BY$53)</f>
        <v>440</v>
      </c>
      <c r="EF213" s="50">
        <f t="shared" si="354"/>
        <v>0.9104459622338289</v>
      </c>
      <c r="EG213" s="50">
        <f t="shared" si="355"/>
        <v>7.1876255524306945E-2</v>
      </c>
      <c r="EH213" s="50">
        <f t="shared" si="356"/>
        <v>1.7677782241864202E-2</v>
      </c>
      <c r="EI213" s="51">
        <f t="shared" si="357"/>
        <v>24131</v>
      </c>
      <c r="EJ213" s="51">
        <f t="shared" si="358"/>
        <v>2850</v>
      </c>
      <c r="EK213" s="14">
        <f>INT(SUMPRODUCT($U213:$Y213,$BF213:$BJ213)/SUM($BF213:$BJ213)/10000*$BX$7*$BZ$46/'疲劳值&amp;地图信息'!$R$10*$BY$54)</f>
        <v>817</v>
      </c>
      <c r="EL213" s="50">
        <f t="shared" si="359"/>
        <v>0.86808403482264906</v>
      </c>
      <c r="EM213" s="50">
        <f t="shared" si="360"/>
        <v>0.10252536153680121</v>
      </c>
      <c r="EN213" s="50">
        <f t="shared" si="361"/>
        <v>2.9390603640549681E-2</v>
      </c>
      <c r="EO213" s="51">
        <f t="shared" si="362"/>
        <v>26160</v>
      </c>
      <c r="EP213" s="51">
        <f t="shared" si="363"/>
        <v>4973</v>
      </c>
      <c r="EQ213" s="14">
        <f>INT(SUMPRODUCT($AB213:$AF213,$BF213:$BJ213)/SUM($BF213:$BJ213)/10000*$BX$7*$BZ$46/'疲劳值&amp;地图信息'!$R$10*$BY$55)</f>
        <v>1109</v>
      </c>
      <c r="ER213" s="50">
        <f t="shared" si="364"/>
        <v>0.81136405930153221</v>
      </c>
      <c r="ES213" s="50">
        <f t="shared" si="365"/>
        <v>0.1542398114260902</v>
      </c>
      <c r="ET213" s="50">
        <f t="shared" si="366"/>
        <v>3.4396129272377646E-2</v>
      </c>
      <c r="EU213" s="51">
        <f t="shared" si="367"/>
        <v>31321</v>
      </c>
      <c r="EV213" s="51">
        <f t="shared" si="368"/>
        <v>14428</v>
      </c>
      <c r="EW213" s="14">
        <f>INT(SUMPRODUCT($AI213:$AM213,$BF213:$BJ213)/SUM($BF213:$BJ213)/10000*$BX$7*$BZ$46/'疲劳值&amp;地图信息'!$R$10*$BY$56)</f>
        <v>1664</v>
      </c>
      <c r="EX213" s="50">
        <f t="shared" si="369"/>
        <v>0.66059941366291941</v>
      </c>
      <c r="EY213" s="50">
        <f t="shared" si="370"/>
        <v>0.30430472655178958</v>
      </c>
      <c r="EZ213" s="50">
        <f t="shared" si="371"/>
        <v>3.5095859785290957E-2</v>
      </c>
      <c r="FA213" s="51">
        <f t="shared" si="372"/>
        <v>32616</v>
      </c>
      <c r="FB213" s="51">
        <f t="shared" si="373"/>
        <v>24867</v>
      </c>
      <c r="FC213" s="14">
        <f>INT(SUMPRODUCT($AP213:$AT213,$BF213:$BJ213)/SUM($BF213:$BJ213)/10000*$BX$7*$BZ$46/'疲劳值&amp;地图信息'!$R$10*$BY$57)</f>
        <v>2219</v>
      </c>
      <c r="FD213" s="50">
        <f t="shared" si="374"/>
        <v>0.54631335633647116</v>
      </c>
      <c r="FE213" s="50">
        <f t="shared" si="375"/>
        <v>0.41651870959096848</v>
      </c>
      <c r="FF213" s="50">
        <f t="shared" si="376"/>
        <v>3.7167934072560381E-2</v>
      </c>
      <c r="FH213" s="14">
        <f t="shared" si="377"/>
        <v>24890</v>
      </c>
      <c r="FI213" s="14">
        <f t="shared" si="378"/>
        <v>27798</v>
      </c>
      <c r="FJ213" s="14">
        <f t="shared" si="379"/>
        <v>32242</v>
      </c>
      <c r="FK213" s="14">
        <f t="shared" si="380"/>
        <v>47413</v>
      </c>
      <c r="FL213" s="14">
        <f t="shared" si="381"/>
        <v>59702</v>
      </c>
      <c r="FM213" s="14">
        <f t="shared" si="382"/>
        <v>2899752</v>
      </c>
      <c r="FP213" s="14">
        <f t="shared" si="383"/>
        <v>334150</v>
      </c>
      <c r="FQ213" s="50">
        <f t="shared" si="323"/>
        <v>0.10332718802239524</v>
      </c>
      <c r="FS213" s="14">
        <f t="shared" si="384"/>
        <v>3233902</v>
      </c>
      <c r="FX213" s="14">
        <v>208</v>
      </c>
      <c r="FY213" s="51">
        <f t="shared" si="385"/>
        <v>31726</v>
      </c>
      <c r="FZ213" s="51">
        <f t="shared" si="386"/>
        <v>1789</v>
      </c>
      <c r="GA213" s="51">
        <f>INT(SUMPRODUCT($N213:$R213,$BF213:$BJ213)/SUM($BF213:$BJ213)/10000*$BX$7*$BZ$46/'疲劳值&amp;地图信息'!$R$10*$BY$53)</f>
        <v>440</v>
      </c>
      <c r="GB213" s="50">
        <f t="shared" si="387"/>
        <v>0.9343542924458843</v>
      </c>
      <c r="GC213" s="50">
        <f t="shared" si="388"/>
        <v>5.2687380356354001E-2</v>
      </c>
      <c r="GD213" s="50">
        <f t="shared" si="389"/>
        <v>1.2958327197761743E-2</v>
      </c>
      <c r="GE213" s="51">
        <f t="shared" si="390"/>
        <v>33783</v>
      </c>
      <c r="GF213" s="51">
        <f t="shared" si="391"/>
        <v>2850</v>
      </c>
      <c r="GG213" s="14">
        <f>INT(SUMPRODUCT($U213:$Y213,$BF213:$BJ213)/SUM($BF213:$BJ213)/10000*$BX$7*$BZ$46/'疲劳值&amp;地图信息'!$R$10*$BY$54)</f>
        <v>817</v>
      </c>
      <c r="GH213" s="50">
        <f t="shared" si="392"/>
        <v>0.90208277703604811</v>
      </c>
      <c r="GI213" s="50">
        <f t="shared" si="393"/>
        <v>7.6101468624833107E-2</v>
      </c>
      <c r="GJ213" s="50">
        <f t="shared" si="394"/>
        <v>2.1815754339118826E-2</v>
      </c>
      <c r="GK213" s="51">
        <f t="shared" si="395"/>
        <v>36624</v>
      </c>
      <c r="GL213" s="51">
        <f t="shared" si="396"/>
        <v>4973</v>
      </c>
      <c r="GM213" s="14">
        <f>INT(SUMPRODUCT($AB213:$AF213,$BF213:$BJ213)/SUM($BF213:$BJ213)/10000*$BX$7*$BZ$46/'疲劳值&amp;地图信息'!$R$10*$BY$55)</f>
        <v>1109</v>
      </c>
      <c r="GN213" s="50">
        <f t="shared" si="397"/>
        <v>0.85758441436800448</v>
      </c>
      <c r="GO213" s="50">
        <f t="shared" si="398"/>
        <v>0.11644733761064019</v>
      </c>
      <c r="GP213" s="50">
        <f t="shared" si="399"/>
        <v>2.5968248021355313E-2</v>
      </c>
      <c r="GQ213" s="51">
        <f t="shared" si="400"/>
        <v>43849</v>
      </c>
      <c r="GR213" s="51">
        <f t="shared" si="401"/>
        <v>14428</v>
      </c>
      <c r="GS213" s="14">
        <f>INT(SUMPRODUCT($AI213:$AM213,$BF213:$BJ213)/SUM($BF213:$BJ213)/10000*$BX$7*$BZ$46/'疲劳值&amp;地图信息'!$R$10*$BY$56)</f>
        <v>1664</v>
      </c>
      <c r="GT213" s="50">
        <f t="shared" si="402"/>
        <v>0.73153601041023675</v>
      </c>
      <c r="GU213" s="50">
        <f t="shared" si="403"/>
        <v>0.24070335830233064</v>
      </c>
      <c r="GV213" s="50">
        <f t="shared" si="404"/>
        <v>2.7760631287432641E-2</v>
      </c>
      <c r="GW213" s="51">
        <f t="shared" si="405"/>
        <v>45662</v>
      </c>
      <c r="GX213" s="51">
        <f t="shared" si="406"/>
        <v>24867</v>
      </c>
      <c r="GY213" s="14">
        <f>INT(SUMPRODUCT($AP213:$AT213,$BF213:$BJ213)/SUM($BF213:$BJ213)/10000*$BX$7*$BZ$46/'疲劳值&amp;地图信息'!$R$10*$BY$57)</f>
        <v>2219</v>
      </c>
      <c r="GZ213" s="50">
        <f t="shared" si="407"/>
        <v>0.62767361302028923</v>
      </c>
      <c r="HA213" s="50">
        <f t="shared" si="408"/>
        <v>0.34182383020839063</v>
      </c>
      <c r="HB213" s="50">
        <f t="shared" si="409"/>
        <v>3.0502556771320175E-2</v>
      </c>
      <c r="HD213" s="14">
        <f t="shared" si="410"/>
        <v>33955</v>
      </c>
      <c r="HE213" s="14">
        <f t="shared" si="411"/>
        <v>37450</v>
      </c>
      <c r="HF213" s="14">
        <f t="shared" si="412"/>
        <v>42706</v>
      </c>
      <c r="HG213" s="14">
        <f t="shared" si="413"/>
        <v>59941</v>
      </c>
      <c r="HH213" s="14">
        <f t="shared" si="414"/>
        <v>72748</v>
      </c>
      <c r="HI213" s="14">
        <f t="shared" si="415"/>
        <v>3901166</v>
      </c>
      <c r="HL213" s="14">
        <f t="shared" si="416"/>
        <v>430050</v>
      </c>
      <c r="HM213" s="50">
        <f t="shared" si="324"/>
        <v>9.9290822715837765E-2</v>
      </c>
      <c r="HO213" s="14">
        <f t="shared" si="417"/>
        <v>4331216</v>
      </c>
    </row>
    <row r="214" spans="11:223" x14ac:dyDescent="0.2">
      <c r="K214" s="14">
        <v>209</v>
      </c>
      <c r="L214" s="12">
        <f>求节点(节奏总纲!D$4:D$163,标准城池设计!AB$4:AB$163,$K214)*求节点(节奏总纲!D$4:D$163,攻城基础信息!$AC$5:$AC$164,$K214)</f>
        <v>668483.55529779429</v>
      </c>
      <c r="M214" s="12">
        <f>INDEX(其他调用!$AA$5:$AA$404,MATCH(K214,其他调用!$X$5:$X$404,0))*MIN(INDEX(其他调用!$AH$5:$AH$364,MATCH('征服点（新）'!K214,其他调用!$AG$5:$AG$364,0),1)/INDEX(其他调用!$AJ$5:$AJ$364,MATCH(K214,其他调用!$AG$5:$AG$364,0),0),5)*求节点(节奏总纲!D$4:D$163,攻城基础信息!$AC$5:$AC$164,$K214)</f>
        <v>52727.30981552077</v>
      </c>
      <c r="N214" s="12">
        <f>MIN(INDEX(其他调用!$AH$5:$AH$364,MATCH($K214,其他调用!$AG$5:$AG$364,0),1)/INDEX(其他调用!AH$5:AH$364,MATCH($K214,其他调用!$AG$5:$AG$364,0),0),1)*INDEX(其他调用!Y$5:Y$404,MATCH($K214,其他调用!$X$5:$X$404,0),0)</f>
        <v>40391.667442192193</v>
      </c>
      <c r="O214" s="12">
        <f>MIN(INDEX(其他调用!$AH$5:$AH$364,MATCH($K214,其他调用!$AG$5:$AG$364,0),1)/INDEX(其他调用!AI$5:AI$364,MATCH($K214,其他调用!$AG$5:$AG$364,0),0),1)*INDEX(其他调用!Z$5:Z$404,MATCH($K214,其他调用!$X$5:$X$404,0),0)</f>
        <v>26055.154138875678</v>
      </c>
      <c r="P214" s="12">
        <f>MIN(INDEX(其他调用!$AH$5:$AH$364,MATCH($K214,其他调用!$AG$5:$AG$364,0),1)/INDEX(其他调用!AJ$5:AJ$364,MATCH($K214,其他调用!$AG$5:$AG$364,0),0),1)*INDEX(其他调用!AA$5:AA$404,MATCH($K214,其他调用!$X$5:$X$404,0),0)</f>
        <v>15487.040290678266</v>
      </c>
      <c r="Q214" s="12">
        <f>MIN(INDEX(其他调用!$AH$5:$AH$364,MATCH($K214,其他调用!$AG$5:$AG$364,0),1)/INDEX(其他调用!AK$5:AK$364,MATCH($K214,其他调用!$AG$5:$AG$364,0),0),1)*INDEX(其他调用!AB$5:AB$404,MATCH($K214,其他调用!$X$5:$X$404,0),0)</f>
        <v>5607.5989714993857</v>
      </c>
      <c r="R214" s="12">
        <f>MIN(INDEX(其他调用!$AH$5:$AH$364,MATCH($K214,其他调用!$AG$5:$AG$364,0),1)/INDEX(其他调用!AL$5:AL$364,MATCH($K214,其他调用!$AG$5:$AG$364,0),0),1)*INDEX(其他调用!AC$5:AC$404,MATCH($K214,其他调用!$X$5:$X$404,0),0)</f>
        <v>2585.5834823544415</v>
      </c>
      <c r="S214" s="12">
        <f>求节点(节奏总纲!D$4:D$163,标准城池设计!AC$4:AC$163,$K214)*求节点(节奏总纲!D$4:D$163,攻城基础信息!$AD$5:$AD$164,$K214)</f>
        <v>712030.14405870636</v>
      </c>
      <c r="T214" s="12">
        <f>INDEX(其他调用!$AA$5:$AA$404,MATCH($K214,其他调用!$X$5:$X$404,0))*MIN(INDEX(其他调用!AI$5:AI$364,MATCH($K214,其他调用!$AG$5:$AG$364,0),1)/INDEX(其他调用!$AJ$5:$AJ$364,MATCH($K214,其他调用!$AG$5:$AG$364,0),0),5)*求节点(节奏总纲!D$4:D$163,攻城基础信息!$AD$5:$AD$164,$K214)</f>
        <v>84055.996004155371</v>
      </c>
      <c r="U214" s="12">
        <f>MIN(INDEX(其他调用!$AI$5:$AI$364,MATCH($K214,其他调用!$AG$5:$AG$364,0),1)/INDEX(其他调用!AH$5:AH$364,MATCH($K214,其他调用!$AG$5:$AG$364,0),0),1)*INDEX(其他调用!Y$5:Y$404,MATCH($K214,其他调用!$X$5:$X$404,0),0)</f>
        <v>40391.667442192193</v>
      </c>
      <c r="V214" s="12">
        <f>MIN(INDEX(其他调用!$AI$5:$AI$364,MATCH($K214,其他调用!$AG$5:$AG$364,0),1)/INDEX(其他调用!AI$5:AI$364,MATCH($K214,其他调用!$AG$5:$AG$364,0),0),1)*INDEX(其他调用!Z$5:Z$404,MATCH($K214,其他调用!$X$5:$X$404,0),0)</f>
        <v>41536.197083590123</v>
      </c>
      <c r="W214" s="12">
        <f>MIN(INDEX(其他调用!$AI$5:$AI$364,MATCH($K214,其他调用!$AG$5:$AG$364,0),1)/INDEX(其他调用!AJ$5:AJ$364,MATCH($K214,其他调用!$AG$5:$AG$364,0),0),1)*INDEX(其他调用!AA$5:AA$404,MATCH($K214,其他调用!$X$5:$X$404,0),0)</f>
        <v>24688.887055759766</v>
      </c>
      <c r="X214" s="12">
        <f>MIN(INDEX(其他调用!$AI$5:$AI$364,MATCH($K214,其他调用!$AG$5:$AG$364,0),1)/INDEX(其他调用!AK$5:AK$364,MATCH($K214,其他调用!$AG$5:$AG$364,0),0),1)*INDEX(其他调用!AB$5:AB$404,MATCH($K214,其他调用!$X$5:$X$404,0),0)</f>
        <v>8939.4342019419946</v>
      </c>
      <c r="Y214" s="12">
        <f>MIN(INDEX(其他调用!$AI$5:$AI$364,MATCH($K214,其他调用!$AG$5:$AG$364,0),1)/INDEX(其他调用!AL$5:AL$364,MATCH($K214,其他调用!$AG$5:$AG$364,0),0),1)*INDEX(其他调用!AC$5:AC$404,MATCH($K214,其他调用!$X$5:$X$404,0),0)</f>
        <v>4121.8449342777003</v>
      </c>
      <c r="Z214" s="12">
        <f>求节点(节奏总纲!D$4:D$163,标准城池设计!AD$4:AD$163,$K214)*求节点(节奏总纲!D$4:D$163,攻城基础信息!$AE$5:$AE$164,$K214)</f>
        <v>772267.62773573282</v>
      </c>
      <c r="AA214" s="12">
        <f>INDEX(其他调用!$AA$5:$AA$404,MATCH($K214,其他调用!$X$5:$X$404,0))*MIN(INDEX(其他调用!AJ$5:AJ$364,MATCH($K214,其他调用!$AG$5:$AG$364,0),1)/INDEX(其他调用!$AJ$5:$AJ$364,MATCH($K214,其他调用!$AG$5:$AG$364,0),0),5)*求节点(节奏总纲!D$4:D$163,攻城基础信息!$AE$5:$AE$164,$K214)</f>
        <v>146604.14856327532</v>
      </c>
      <c r="AB214" s="12">
        <f>MIN(INDEX(其他调用!$AJ$5:$AJ$364,MATCH($K214,其他调用!$AG$5:$AG$364,0),1)/INDEX(其他调用!AH$5:AH$364,MATCH($K214,其他调用!$AG$5:$AG$364,0),0),1)*INDEX(其他调用!Y$5:Y$404,MATCH($K214,其他调用!$X$5:$X$404,0),0)</f>
        <v>40391.667442192193</v>
      </c>
      <c r="AC214" s="12">
        <f>MIN(INDEX(其他调用!$AJ$5:$AJ$364,MATCH($K214,其他调用!$AG$5:$AG$364,0),1)/INDEX(其他调用!AI$5:AI$364,MATCH($K214,其他调用!$AG$5:$AG$364,0),0),1)*INDEX(其他调用!Z$5:Z$404,MATCH($K214,其他调用!$X$5:$X$404,0),0)</f>
        <v>41536.197083590123</v>
      </c>
      <c r="AD214" s="12">
        <f>MIN(INDEX(其他调用!$AJ$5:$AJ$364,MATCH($K214,其他调用!$AG$5:$AG$364,0),1)/INDEX(其他调用!AJ$5:AJ$364,MATCH($K214,其他调用!$AG$5:$AG$364,0),0),1)*INDEX(其他调用!AA$5:AA$404,MATCH($K214,其他调用!$X$5:$X$404,0),0)</f>
        <v>43060.500593028453</v>
      </c>
      <c r="AE214" s="12">
        <f>MIN(INDEX(其他调用!$AJ$5:$AJ$364,MATCH($K214,其他调用!$AG$5:$AG$364,0),1)/INDEX(其他调用!AK$5:AK$364,MATCH($K214,其他调用!$AG$5:$AG$364,0),0),1)*INDEX(其他调用!AB$5:AB$404,MATCH($K214,其他调用!$X$5:$X$404,0),0)</f>
        <v>15591.489032481872</v>
      </c>
      <c r="AF214" s="12">
        <f>MIN(INDEX(其他调用!$AJ$5:$AJ$364,MATCH($K214,其他调用!$AG$5:$AG$364,0),1)/INDEX(其他调用!AL$5:AL$364,MATCH($K214,其他调用!$AG$5:$AG$364,0),0),1)*INDEX(其他调用!AC$5:AC$404,MATCH($K214,其他调用!$X$5:$X$404,0),0)</f>
        <v>7189.0120375203051</v>
      </c>
      <c r="AG214" s="12">
        <f>求节点(节奏总纲!D$4:D$163,标准城池设计!AE$4:AE$163,$K214)*求节点(节奏总纲!D$4:D$163,攻城基础信息!$AF$5:$AF$164,$K214)</f>
        <v>924832.81270532147</v>
      </c>
      <c r="AH214" s="12">
        <f>INDEX(其他调用!$AA$5:$AA$404,MATCH($K214,其他调用!$X$5:$X$404,0))*MIN(INDEX(其他调用!AK$5:AK$364,MATCH($K214,其他调用!$AG$5:$AG$364,0),1)/INDEX(其他调用!$AJ$5:$AJ$364,MATCH($K214,其他调用!$AG$5:$AG$364,0),0),5)*求节点(节奏总纲!D$4:D$163,攻城基础信息!$AF$5:$AF$164,$K214)</f>
        <v>425531.57730522077</v>
      </c>
      <c r="AI214" s="12">
        <f>MIN(INDEX(其他调用!$AK$5:$AK$364,MATCH($K214,其他调用!$AG$5:$AG$364,0),1)/INDEX(其他调用!AH$5:AH$364,MATCH($K214,其他调用!$AG$5:$AG$364,0),0),1)*INDEX(其他调用!Y$5:Y$404,MATCH($K214,其他调用!$X$5:$X$404,0),0)</f>
        <v>40391.667442192193</v>
      </c>
      <c r="AJ214" s="12">
        <f>MIN(INDEX(其他调用!$AK$5:$AK$364,MATCH($K214,其他调用!$AG$5:$AG$364,0),1)/INDEX(其他调用!AI$5:AI$364,MATCH($K214,其他调用!$AG$5:$AG$364,0),0),1)*INDEX(其他调用!Z$5:Z$404,MATCH($K214,其他调用!$X$5:$X$404,0),0)</f>
        <v>41536.197083590123</v>
      </c>
      <c r="AK214" s="12">
        <f>MIN(INDEX(其他调用!$AK$5:$AK$364,MATCH($K214,其他调用!$AG$5:$AG$364,0),1)/INDEX(其他调用!AJ$5:AJ$364,MATCH($K214,其他调用!$AG$5:$AG$364,0),0),1)*INDEX(其他调用!AA$5:AA$404,MATCH($K214,其他调用!$X$5:$X$404,0),0)</f>
        <v>43060.500593028453</v>
      </c>
      <c r="AL214" s="12">
        <f>MIN(INDEX(其他调用!$AK$5:$AK$364,MATCH($K214,其他调用!$AG$5:$AG$364,0),1)/INDEX(其他调用!AK$5:AK$364,MATCH($K214,其他调用!$AG$5:$AG$364,0),0),1)*INDEX(其他调用!AB$5:AB$404,MATCH($K214,其他调用!$X$5:$X$404,0),0)</f>
        <v>45255.683318303192</v>
      </c>
      <c r="AM214" s="12">
        <f>MIN(INDEX(其他调用!$AK$5:$AK$364,MATCH($K214,其他调用!$AG$5:$AG$364,0),1)/INDEX(其他调用!AL$5:AL$364,MATCH($K214,其他调用!$AG$5:$AG$364,0),0),1)*INDEX(其他调用!AC$5:AC$404,MATCH($K214,其他调用!$X$5:$X$404,0),0)</f>
        <v>20866.746688767027</v>
      </c>
      <c r="AN214" s="12">
        <f>求节点(节奏总纲!D$4:D$163,标准城池设计!AF$4:AF$163,$K214)*求节点(节奏总纲!D$4:D$163,攻城基础信息!$AG$5:$AG$164,$K214)</f>
        <v>963304.76253275818</v>
      </c>
      <c r="AO214" s="12">
        <f>INDEX(其他调用!$AA$5:$AA$404,MATCH($K214,其他调用!$X$5:$X$404,0))*MIN(INDEX(其他调用!AL$5:AL$364,MATCH($K214,其他调用!$AG$5:$AG$364,0),1)/INDEX(其他调用!$AJ$5:$AJ$364,MATCH($K214,其他调用!$AG$5:$AG$364,0),0),5)*求节点(节奏总纲!D$4:D$163,攻城基础信息!$AG$5:$AG$164,$K214)</f>
        <v>733020.7428163765</v>
      </c>
      <c r="AP214" s="12">
        <f>MIN(INDEX(其他调用!$AL$5:$AL$364,MATCH($K214,其他调用!$AG$5:$AG$364,0),1)/INDEX(其他调用!AH$5:AH$364,MATCH($K214,其他调用!$AG$5:$AG$364,0),0),1)*INDEX(其他调用!Y$5:Y$404,MATCH($K214,其他调用!$X$5:$X$404,0),0)</f>
        <v>40391.667442192193</v>
      </c>
      <c r="AQ214" s="12">
        <f>MIN(INDEX(其他调用!$AL$5:$AL$364,MATCH($K214,其他调用!$AG$5:$AG$364,0),1)/INDEX(其他调用!AI$5:AI$364,MATCH($K214,其他调用!$AG$5:$AG$364,0),0),1)*INDEX(其他调用!Z$5:Z$404,MATCH($K214,其他调用!$X$5:$X$404,0),0)</f>
        <v>41536.197083590123</v>
      </c>
      <c r="AR214" s="12">
        <f>MIN(INDEX(其他调用!$AL$5:$AL$364,MATCH($K214,其他调用!$AG$5:$AG$364,0),1)/INDEX(其他调用!AJ$5:AJ$364,MATCH($K214,其他调用!$AG$5:$AG$364,0),0),1)*INDEX(其他调用!AA$5:AA$404,MATCH($K214,其他调用!$X$5:$X$404,0),0)</f>
        <v>43060.500593028453</v>
      </c>
      <c r="AS214" s="12">
        <f>MIN(INDEX(其他调用!$AL$5:$AL$364,MATCH($K214,其他调用!$AG$5:$AG$364,0),1)/INDEX(其他调用!AK$5:AK$364,MATCH($K214,其他调用!$AG$5:$AG$364,0),0),1)*INDEX(其他调用!AB$5:AB$404,MATCH($K214,其他调用!$X$5:$X$404,0),0)</f>
        <v>45255.683318303192</v>
      </c>
      <c r="AT214" s="12">
        <f>MIN(INDEX(其他调用!$AL$5:$AL$364,MATCH($K214,其他调用!$AG$5:$AG$364,0),1)/INDEX(其他调用!AL$5:AL$364,MATCH($K214,其他调用!$AG$5:$AG$364,0),0),1)*INDEX(其他调用!AC$5:AC$404,MATCH($K214,其他调用!$X$5:$X$404,0),0)</f>
        <v>49208.526967302525</v>
      </c>
      <c r="AV214" s="14">
        <f>IF(OR(AV$5="大R",AV$5="超R"),MAX(INDEX(其他调用!$H$5:$L$404,MATCH($K214,其他调用!$B$5:$B$404,0),MATCH(AV$5,其他调用!$H$4:$L$4,0))*120*0.85,2),INDEX(其他调用!$H$5:$L$404,MATCH($K214,其他调用!$B$5:$B$404,0),MATCH(AV$5,其他调用!$H$4:$L$4,0))*120*0.85)</f>
        <v>48.921801254999991</v>
      </c>
      <c r="AW214" s="14">
        <f>IF(OR(AW$5="大R",AW$5="超R"),MAX(INDEX(其他调用!$H$5:$L$404,MATCH($K214,其他调用!$B$5:$B$404,0),MATCH(AW$5,其他调用!$H$4:$L$4,0))*120*0.85,2),INDEX(其他调用!$H$5:$L$404,MATCH($K214,其他调用!$B$5:$B$404,0),MATCH(AW$5,其他调用!$H$4:$L$4,0))*120*0.85)</f>
        <v>48.237344010638395</v>
      </c>
      <c r="AX214" s="14">
        <f>IF(OR(AX$5="大R",AX$5="超R"),MAX(INDEX(其他调用!$H$5:$L$404,MATCH($K214,其他调用!$B$5:$B$404,0),MATCH(AX$5,其他调用!$H$4:$L$4,0))*120*0.85,2),INDEX(其他调用!$H$5:$L$404,MATCH($K214,其他调用!$B$5:$B$404,0),MATCH(AX$5,其他调用!$H$4:$L$4,0))*120*0.85)</f>
        <v>3.9376284143615998</v>
      </c>
      <c r="AY214" s="14">
        <f>IF(OR(AY$5="大R",AY$5="超R"),MAX(INDEX(其他调用!$H$5:$L$404,MATCH($K214,其他调用!$B$5:$B$404,0),MATCH(AY$5,其他调用!$H$4:$L$4,0))*120*0.85,2),INDEX(其他调用!$H$5:$L$404,MATCH($K214,其他调用!$B$5:$B$404,0),MATCH(AY$5,其他调用!$H$4:$L$4,0))*120*0.85)</f>
        <v>2</v>
      </c>
      <c r="AZ214" s="14">
        <f>IF(OR(AZ$5="大R",AZ$5="超R"),MAX(INDEX(其他调用!$H$5:$L$404,MATCH($K214,其他调用!$B$5:$B$404,0),MATCH(AZ$5,其他调用!$H$4:$L$4,0))*120*0.85,2),INDEX(其他调用!$H$5:$L$404,MATCH($K214,其他调用!$B$5:$B$404,0),MATCH(AZ$5,其他调用!$H$4:$L$4,0))*120*0.85)</f>
        <v>2</v>
      </c>
      <c r="BA214" s="14">
        <f>INDEX(其他调用!$H$5:$L$404,MATCH($K214,其他调用!$B$5:$B$404,0),MATCH(BA$5,其他调用!$H$4:$L$4,0))*INDEX(其他调用!$M$5:$M$404,MATCH($K214,其他调用!$B$5:$B$404,0))*0.6</f>
        <v>28.777530149999997</v>
      </c>
      <c r="BB214" s="14">
        <f>INDEX(其他调用!$H$5:$L$404,MATCH($K214,其他调用!$B$5:$B$404,0),MATCH(BB$5,其他调用!$H$4:$L$4,0))*INDEX(其他调用!$M$5:$M$404,MATCH($K214,其他调用!$B$5:$B$404,0))*0.6</f>
        <v>28.374908241551999</v>
      </c>
      <c r="BC214" s="14">
        <f>INDEX(其他调用!$H$5:$L$404,MATCH($K214,其他调用!$B$5:$B$404,0),MATCH(BC$5,其他调用!$H$4:$L$4,0))*INDEX(其他调用!$M$5:$M$404,MATCH($K214,其他调用!$B$5:$B$404,0))*0.6</f>
        <v>2.3162520084480001</v>
      </c>
      <c r="BD214" s="14">
        <f>INDEX(其他调用!$H$5:$L$404,MATCH($K214,其他调用!$B$5:$B$404,0),MATCH(BD$5,其他调用!$H$4:$L$4,0))*INDEX(其他调用!$M$5:$M$404,MATCH($K214,其他调用!$B$5:$B$404,0))*0.6</f>
        <v>0.4120776000000001</v>
      </c>
      <c r="BE214" s="14">
        <f>INDEX(其他调用!$H$5:$L$404,MATCH($K214,其他调用!$B$5:$B$404,0),MATCH(BE$5,其他调用!$H$4:$L$4,0))*INDEX(其他调用!$M$5:$M$404,MATCH($K214,其他调用!$B$5:$B$404,0))*0.6</f>
        <v>0.11923199999999998</v>
      </c>
      <c r="BF214" s="14">
        <f>IF(OR(BF$5="大R",BF$5="超R"),0,INDEX(其他调用!$H$5:$L$404,MATCH($K214,其他调用!$B$5:$B$404,0),MATCH(BF$5,其他调用!$H$4:$L$4,0))*50*0.4)</f>
        <v>9.5925100500000013</v>
      </c>
      <c r="BG214" s="14">
        <f>IF(OR(BG$5="大R",BG$5="超R"),0,INDEX(其他调用!$H$5:$L$404,MATCH($K214,其他调用!$B$5:$B$404,0),MATCH(BG$5,其他调用!$H$4:$L$4,0))*50*0.4)</f>
        <v>9.4583027471839998</v>
      </c>
      <c r="BH214" s="14">
        <f>IF(OR(BH$5="大R",BH$5="超R"),0,INDEX(其他调用!$H$5:$L$404,MATCH($K214,其他调用!$B$5:$B$404,0),MATCH(BH$5,其他调用!$H$4:$L$4,0))*50*0.4)</f>
        <v>0.77208400281600009</v>
      </c>
      <c r="BI214" s="14">
        <f>IF(OR(BI$5="大R",BI$5="超R"),0,INDEX(其他调用!$H$5:$L$404,MATCH($K214,其他调用!$B$5:$B$404,0),MATCH(BI$5,其他调用!$H$4:$L$4,0))*50*0.4)</f>
        <v>0</v>
      </c>
      <c r="BJ214" s="14">
        <f>IF(OR(BJ$5="大R",BJ$5="超R"),0,INDEX(其他调用!$H$5:$L$404,MATCH($K214,其他调用!$B$5:$B$404,0),MATCH(BJ$5,其他调用!$H$4:$L$4,0))*50*0.4)</f>
        <v>0</v>
      </c>
      <c r="BL214" s="14">
        <f t="shared" si="418"/>
        <v>209</v>
      </c>
      <c r="BM214" s="14">
        <f t="shared" si="325"/>
        <v>96</v>
      </c>
      <c r="BN214" s="14">
        <f>('疲劳值&amp;地图信息'!$S$10*'疲劳值&amp;地图信息'!$R$10+'疲劳值&amp;地图信息'!$S$11*'疲劳值&amp;地图信息'!$R$11+'疲劳值&amp;地图信息'!$S$12*'疲劳值&amp;地图信息'!$R$12+(BM214-'疲劳值&amp;地图信息'!$S$12-'疲劳值&amp;地图信息'!$S$11-'疲劳值&amp;地图信息'!$S$10)*'疲劳值&amp;地图信息'!$R$13)/BM214</f>
        <v>51.371477246638619</v>
      </c>
      <c r="BO214" s="14">
        <f>INDEX(其他调用!$M$5:$M$404,MATCH(BL214,其他调用!$B$5:$B$404,0))*0.6</f>
        <v>60</v>
      </c>
      <c r="BP214" s="14">
        <f>IF(BO214&gt;SUM('疲劳值&amp;地图信息'!$S$10:$S$12),('疲劳值&amp;地图信息'!$S$10*'疲劳值&amp;地图信息'!$R$10+'疲劳值&amp;地图信息'!$S$11*'疲劳值&amp;地图信息'!$R$11+'疲劳值&amp;地图信息'!$S$12*'疲劳值&amp;地图信息'!$R$12+(BO214-'疲劳值&amp;地图信息'!$S$12-'疲劳值&amp;地图信息'!$S$11-'疲劳值&amp;地图信息'!$S$10)*'疲劳值&amp;地图信息'!$R$13)/BO214,('疲劳值&amp;地图信息'!$S$10*'疲劳值&amp;地图信息'!$R$10+'疲劳值&amp;地图信息'!$S$11*'疲劳值&amp;地图信息'!$R$11+'疲劳值&amp;地图信息'!$S$12*'疲劳值&amp;地图信息'!$R$12+(BO214-'疲劳值&amp;地图信息'!$S$12-'疲劳值&amp;地图信息'!$S$11-'疲劳值&amp;地图信息'!$S$10)*'疲劳值&amp;地图信息'!$R$13)/BO214)</f>
        <v>44.158136341605953</v>
      </c>
      <c r="BQ214" s="14">
        <f t="shared" si="419"/>
        <v>20</v>
      </c>
      <c r="BR214" s="14">
        <f>('疲劳值&amp;地图信息'!$S$10*'疲劳值&amp;地图信息'!$R$10+($BQ214-'疲劳值&amp;地图信息'!$S$10)*'疲劳值&amp;地图信息'!$R$11)/$BQ214</f>
        <v>32.067203015074995</v>
      </c>
      <c r="CF214" s="14">
        <v>209</v>
      </c>
      <c r="CG214" s="51">
        <f t="shared" si="326"/>
        <v>13624</v>
      </c>
      <c r="CH214" s="51">
        <f t="shared" si="327"/>
        <v>1074</v>
      </c>
      <c r="CI214" s="51">
        <f>INT(SUMPRODUCT($N214:$R214,$BA214:$BE214)/SUM($BA214:$BE214)/10000*$BX$7*$BZ$34/'疲劳值&amp;地图信息'!$R$10*$BY$53)</f>
        <v>3281</v>
      </c>
      <c r="CJ214" s="50">
        <f t="shared" si="328"/>
        <v>0.75777295733911787</v>
      </c>
      <c r="CK214" s="50">
        <f t="shared" si="329"/>
        <v>5.9736359085599863E-2</v>
      </c>
      <c r="CL214" s="50">
        <f t="shared" si="330"/>
        <v>0.18249068357528228</v>
      </c>
      <c r="CM214" s="14">
        <f t="shared" si="331"/>
        <v>14512</v>
      </c>
      <c r="CN214" s="14">
        <f t="shared" si="332"/>
        <v>1713</v>
      </c>
      <c r="CO214" s="14">
        <f>INT(SUMPRODUCT($U214:$Y214,$BA214:$BE214)/SUM($BA214:$BE214)/10000*$BX$7*$BZ$34/'疲劳值&amp;地图信息'!$R$10*$BY$54)</f>
        <v>6093</v>
      </c>
      <c r="CP214" s="50">
        <f t="shared" si="333"/>
        <v>0.65023747647638674</v>
      </c>
      <c r="CQ214" s="50">
        <f t="shared" si="334"/>
        <v>7.6754189443498516E-2</v>
      </c>
      <c r="CR214" s="50">
        <f t="shared" si="335"/>
        <v>0.27300833408011471</v>
      </c>
      <c r="CS214" s="14">
        <f t="shared" si="336"/>
        <v>15739</v>
      </c>
      <c r="CT214" s="14">
        <f t="shared" si="337"/>
        <v>2987</v>
      </c>
      <c r="CU214" s="14">
        <f>INT(SUMPRODUCT($AB214:$AF214,$BA214:$BE214)/SUM($BA214:$BE214)/10000*$BX$7*$BZ$34/'疲劳值&amp;地图信息'!$R$10*$BY$55)</f>
        <v>8279</v>
      </c>
      <c r="CV214" s="50">
        <f t="shared" si="338"/>
        <v>0.58281799666728384</v>
      </c>
      <c r="CW214" s="50">
        <f t="shared" si="339"/>
        <v>0.1106091464543603</v>
      </c>
      <c r="CX214" s="50">
        <f t="shared" si="340"/>
        <v>0.30657285687835584</v>
      </c>
      <c r="CY214" s="14">
        <f t="shared" si="341"/>
        <v>18849</v>
      </c>
      <c r="CZ214" s="14">
        <f t="shared" si="342"/>
        <v>8672</v>
      </c>
      <c r="DA214" s="14">
        <f>INT(SUMPRODUCT($AI214:$AM214,$BA214:$BE214)/SUM($BA214:$BE214)/10000*$BX$7*$BZ$34/'疲劳值&amp;地图信息'!$R$10*$BY$56)</f>
        <v>12489</v>
      </c>
      <c r="DB214" s="50">
        <f t="shared" si="343"/>
        <v>0.47110722319420145</v>
      </c>
      <c r="DC214" s="50">
        <f t="shared" si="344"/>
        <v>0.21674581354661335</v>
      </c>
      <c r="DD214" s="50">
        <f t="shared" si="345"/>
        <v>0.31214696325918523</v>
      </c>
      <c r="DE214" s="14">
        <f t="shared" si="346"/>
        <v>19633</v>
      </c>
      <c r="DF214" s="14">
        <f t="shared" si="347"/>
        <v>14939</v>
      </c>
      <c r="DG214" s="14">
        <f>INT(SUMPRODUCT($AP214:$AT214,$BA214:$BE214)/SUM($BA214:$BE214)/10000*$BX$7*$BZ$34/'疲劳值&amp;地图信息'!$R$10*$BY$57)</f>
        <v>16675</v>
      </c>
      <c r="DH214" s="50">
        <f t="shared" si="348"/>
        <v>0.38310535250843952</v>
      </c>
      <c r="DI214" s="50">
        <f t="shared" si="349"/>
        <v>0.29150974691201437</v>
      </c>
      <c r="DJ214" s="50">
        <f t="shared" si="350"/>
        <v>0.32538490057954611</v>
      </c>
      <c r="DL214" s="14">
        <f t="shared" si="421"/>
        <v>17979</v>
      </c>
      <c r="DM214" s="14">
        <f t="shared" si="422"/>
        <v>22318</v>
      </c>
      <c r="DN214" s="14">
        <f t="shared" si="423"/>
        <v>27005</v>
      </c>
      <c r="DO214" s="14">
        <f t="shared" si="424"/>
        <v>40010</v>
      </c>
      <c r="DP214" s="14">
        <f t="shared" si="425"/>
        <v>51247</v>
      </c>
      <c r="DQ214" s="14">
        <f t="shared" si="426"/>
        <v>1235810</v>
      </c>
      <c r="DT214" s="14">
        <f t="shared" si="420"/>
        <v>235575</v>
      </c>
      <c r="DU214" s="50">
        <f t="shared" si="322"/>
        <v>0.16010425551436233</v>
      </c>
      <c r="DW214" s="14">
        <f t="shared" si="351"/>
        <v>1471385</v>
      </c>
      <c r="EB214" s="14">
        <v>209</v>
      </c>
      <c r="EC214" s="51">
        <f t="shared" si="352"/>
        <v>22707</v>
      </c>
      <c r="ED214" s="51">
        <f t="shared" si="353"/>
        <v>1791</v>
      </c>
      <c r="EE214" s="51">
        <f>INT(SUMPRODUCT($N214:$R214,$BF214:$BJ214)/SUM($BF214:$BJ214)/10000*$BX$7*$BZ$46/'疲劳值&amp;地图信息'!$R$10*$BY$53)</f>
        <v>440</v>
      </c>
      <c r="EF214" s="50">
        <f t="shared" si="354"/>
        <v>0.91053813457374289</v>
      </c>
      <c r="EG214" s="50">
        <f t="shared" si="355"/>
        <v>7.1818108910097045E-2</v>
      </c>
      <c r="EH214" s="50">
        <f t="shared" si="356"/>
        <v>1.7643756516160077E-2</v>
      </c>
      <c r="EI214" s="51">
        <f t="shared" si="357"/>
        <v>24186</v>
      </c>
      <c r="EJ214" s="51">
        <f t="shared" si="358"/>
        <v>2855</v>
      </c>
      <c r="EK214" s="14">
        <f>INT(SUMPRODUCT($U214:$Y214,$BF214:$BJ214)/SUM($BF214:$BJ214)/10000*$BX$7*$BZ$46/'疲劳值&amp;地图信息'!$R$10*$BY$54)</f>
        <v>818</v>
      </c>
      <c r="EL214" s="50">
        <f t="shared" si="359"/>
        <v>0.8681575074482214</v>
      </c>
      <c r="EM214" s="50">
        <f t="shared" si="360"/>
        <v>0.10248034746401521</v>
      </c>
      <c r="EN214" s="50">
        <f t="shared" si="361"/>
        <v>2.9362145087763379E-2</v>
      </c>
      <c r="EO214" s="51">
        <f t="shared" si="362"/>
        <v>26233</v>
      </c>
      <c r="EP214" s="51">
        <f t="shared" si="363"/>
        <v>4979</v>
      </c>
      <c r="EQ214" s="14">
        <f>INT(SUMPRODUCT($AB214:$AF214,$BF214:$BJ214)/SUM($BF214:$BJ214)/10000*$BX$7*$BZ$46/'疲劳值&amp;地图信息'!$R$10*$BY$55)</f>
        <v>1110</v>
      </c>
      <c r="ER214" s="50">
        <f t="shared" si="364"/>
        <v>0.81161438029824884</v>
      </c>
      <c r="ES214" s="50">
        <f t="shared" si="365"/>
        <v>0.15404368541550648</v>
      </c>
      <c r="ET214" s="50">
        <f t="shared" si="366"/>
        <v>3.4341934286244664E-2</v>
      </c>
      <c r="EU214" s="51">
        <f t="shared" si="367"/>
        <v>31415</v>
      </c>
      <c r="EV214" s="51">
        <f t="shared" si="368"/>
        <v>14454</v>
      </c>
      <c r="EW214" s="14">
        <f>INT(SUMPRODUCT($AI214:$AM214,$BF214:$BJ214)/SUM($BF214:$BJ214)/10000*$BX$7*$BZ$46/'疲劳值&amp;地图信息'!$R$10*$BY$56)</f>
        <v>1665</v>
      </c>
      <c r="EX214" s="50">
        <f t="shared" si="369"/>
        <v>0.66089535911137287</v>
      </c>
      <c r="EY214" s="50">
        <f t="shared" si="370"/>
        <v>0.3040770816678588</v>
      </c>
      <c r="EZ214" s="50">
        <f t="shared" si="371"/>
        <v>3.5027559220768292E-2</v>
      </c>
      <c r="FA214" s="51">
        <f t="shared" si="372"/>
        <v>32722</v>
      </c>
      <c r="FB214" s="51">
        <f t="shared" si="373"/>
        <v>24899</v>
      </c>
      <c r="FC214" s="14">
        <f>INT(SUMPRODUCT($AP214:$AT214,$BF214:$BJ214)/SUM($BF214:$BJ214)/10000*$BX$7*$BZ$46/'疲劳值&amp;地图信息'!$R$10*$BY$57)</f>
        <v>2221</v>
      </c>
      <c r="FD214" s="50">
        <f t="shared" si="374"/>
        <v>0.54680659068881388</v>
      </c>
      <c r="FE214" s="50">
        <f t="shared" si="375"/>
        <v>0.41607900805454362</v>
      </c>
      <c r="FF214" s="50">
        <f t="shared" si="376"/>
        <v>3.711440125664249E-2</v>
      </c>
      <c r="FH214" s="14">
        <f t="shared" si="377"/>
        <v>24938</v>
      </c>
      <c r="FI214" s="14">
        <f t="shared" si="378"/>
        <v>27859</v>
      </c>
      <c r="FJ214" s="14">
        <f t="shared" si="379"/>
        <v>32322</v>
      </c>
      <c r="FK214" s="14">
        <f t="shared" si="380"/>
        <v>47534</v>
      </c>
      <c r="FL214" s="14">
        <f t="shared" si="381"/>
        <v>59842</v>
      </c>
      <c r="FM214" s="14">
        <f t="shared" si="382"/>
        <v>2905880</v>
      </c>
      <c r="FP214" s="14">
        <f t="shared" si="383"/>
        <v>334150</v>
      </c>
      <c r="FQ214" s="50">
        <f t="shared" si="323"/>
        <v>0.10313176112566859</v>
      </c>
      <c r="FS214" s="14">
        <f t="shared" si="384"/>
        <v>3240030</v>
      </c>
      <c r="FX214" s="14">
        <v>209</v>
      </c>
      <c r="FY214" s="51">
        <f t="shared" si="385"/>
        <v>31790</v>
      </c>
      <c r="FZ214" s="51">
        <f t="shared" si="386"/>
        <v>1791</v>
      </c>
      <c r="GA214" s="51">
        <f>INT(SUMPRODUCT($N214:$R214,$BF214:$BJ214)/SUM($BF214:$BJ214)/10000*$BX$7*$BZ$46/'疲劳值&amp;地图信息'!$R$10*$BY$53)</f>
        <v>440</v>
      </c>
      <c r="GB214" s="50">
        <f t="shared" si="387"/>
        <v>0.9344228564710032</v>
      </c>
      <c r="GC214" s="50">
        <f t="shared" si="388"/>
        <v>5.2643955204138622E-2</v>
      </c>
      <c r="GD214" s="50">
        <f t="shared" si="389"/>
        <v>1.2933188324858175E-2</v>
      </c>
      <c r="GE214" s="51">
        <f t="shared" si="390"/>
        <v>33861</v>
      </c>
      <c r="GF214" s="51">
        <f t="shared" si="391"/>
        <v>2855</v>
      </c>
      <c r="GG214" s="14">
        <f>INT(SUMPRODUCT($U214:$Y214,$BF214:$BJ214)/SUM($BF214:$BJ214)/10000*$BX$7*$BZ$46/'疲劳值&amp;地图信息'!$R$10*$BY$54)</f>
        <v>818</v>
      </c>
      <c r="GH214" s="50">
        <f t="shared" si="392"/>
        <v>0.90214205786753343</v>
      </c>
      <c r="GI214" s="50">
        <f t="shared" si="393"/>
        <v>7.6064368306069163E-2</v>
      </c>
      <c r="GJ214" s="50">
        <f t="shared" si="394"/>
        <v>2.1793573826397399E-2</v>
      </c>
      <c r="GK214" s="51">
        <f t="shared" si="395"/>
        <v>36726</v>
      </c>
      <c r="GL214" s="51">
        <f t="shared" si="396"/>
        <v>4979</v>
      </c>
      <c r="GM214" s="14">
        <f>INT(SUMPRODUCT($AB214:$AF214,$BF214:$BJ214)/SUM($BF214:$BJ214)/10000*$BX$7*$BZ$46/'疲劳值&amp;地图信息'!$R$10*$BY$55)</f>
        <v>1110</v>
      </c>
      <c r="GN214" s="50">
        <f t="shared" si="397"/>
        <v>0.857783487095644</v>
      </c>
      <c r="GO214" s="50">
        <f t="shared" si="398"/>
        <v>0.11629101950251081</v>
      </c>
      <c r="GP214" s="50">
        <f t="shared" si="399"/>
        <v>2.5925493401845148E-2</v>
      </c>
      <c r="GQ214" s="51">
        <f t="shared" si="400"/>
        <v>43981</v>
      </c>
      <c r="GR214" s="51">
        <f t="shared" si="401"/>
        <v>14454</v>
      </c>
      <c r="GS214" s="14">
        <f>INT(SUMPRODUCT($AI214:$AM214,$BF214:$BJ214)/SUM($BF214:$BJ214)/10000*$BX$7*$BZ$46/'疲劳值&amp;地图信息'!$R$10*$BY$56)</f>
        <v>1665</v>
      </c>
      <c r="GT214" s="50">
        <f t="shared" si="402"/>
        <v>0.73179700499168054</v>
      </c>
      <c r="GU214" s="50">
        <f t="shared" si="403"/>
        <v>0.24049916805324459</v>
      </c>
      <c r="GV214" s="50">
        <f t="shared" si="404"/>
        <v>2.7703826955074874E-2</v>
      </c>
      <c r="GW214" s="51">
        <f t="shared" si="405"/>
        <v>45811</v>
      </c>
      <c r="GX214" s="51">
        <f t="shared" si="406"/>
        <v>24899</v>
      </c>
      <c r="GY214" s="14">
        <f>INT(SUMPRODUCT($AP214:$AT214,$BF214:$BJ214)/SUM($BF214:$BJ214)/10000*$BX$7*$BZ$46/'疲劳值&amp;地图信息'!$R$10*$BY$57)</f>
        <v>2221</v>
      </c>
      <c r="GZ214" s="50">
        <f t="shared" si="407"/>
        <v>0.62814166815208894</v>
      </c>
      <c r="HA214" s="50">
        <f t="shared" si="408"/>
        <v>0.34140488955313925</v>
      </c>
      <c r="HB214" s="50">
        <f t="shared" si="409"/>
        <v>3.045344229477177E-2</v>
      </c>
      <c r="HD214" s="14">
        <f t="shared" si="410"/>
        <v>34021</v>
      </c>
      <c r="HE214" s="14">
        <f t="shared" si="411"/>
        <v>37534</v>
      </c>
      <c r="HF214" s="14">
        <f t="shared" si="412"/>
        <v>42815</v>
      </c>
      <c r="HG214" s="14">
        <f t="shared" si="413"/>
        <v>60100</v>
      </c>
      <c r="HH214" s="14">
        <f t="shared" si="414"/>
        <v>72931</v>
      </c>
      <c r="HI214" s="14">
        <f t="shared" si="415"/>
        <v>3909560</v>
      </c>
      <c r="HL214" s="14">
        <f t="shared" si="416"/>
        <v>430050</v>
      </c>
      <c r="HM214" s="50">
        <f t="shared" si="324"/>
        <v>9.9098766939886299E-2</v>
      </c>
      <c r="HO214" s="14">
        <f t="shared" si="417"/>
        <v>4339610</v>
      </c>
    </row>
    <row r="215" spans="11:223" x14ac:dyDescent="0.2">
      <c r="K215" s="14">
        <v>210</v>
      </c>
      <c r="L215" s="12">
        <f>求节点(节奏总纲!D$4:D$163,标准城池设计!AB$4:AB$163,$K215)*求节点(节奏总纲!D$4:D$163,攻城基础信息!$AC$5:$AC$164,$K215)</f>
        <v>669833.91797601385</v>
      </c>
      <c r="M215" s="12">
        <f>INDEX(其他调用!$AA$5:$AA$404,MATCH(K215,其他调用!$X$5:$X$404,0))*MIN(INDEX(其他调用!$AH$5:$AH$364,MATCH('征服点（新）'!K215,其他调用!$AG$5:$AG$364,0),1)/INDEX(其他调用!$AJ$5:$AJ$364,MATCH(K215,其他调用!$AG$5:$AG$364,0),0),5)*求节点(节奏总纲!D$4:D$163,攻城基础信息!$AC$5:$AC$164,$K215)</f>
        <v>52781.203095189565</v>
      </c>
      <c r="N215" s="12">
        <f>MIN(INDEX(其他调用!$AH$5:$AH$364,MATCH($K215,其他调用!$AG$5:$AG$364,0),1)/INDEX(其他调用!AH$5:AH$364,MATCH($K215,其他调用!$AG$5:$AG$364,0),0),1)*INDEX(其他调用!Y$5:Y$404,MATCH($K215,其他调用!$X$5:$X$404,0),0)</f>
        <v>40418.075498333616</v>
      </c>
      <c r="O215" s="12">
        <f>MIN(INDEX(其他调用!$AH$5:$AH$364,MATCH($K215,其他调用!$AG$5:$AG$364,0),1)/INDEX(其他调用!AI$5:AI$364,MATCH($K215,其他调用!$AG$5:$AG$364,0),0),1)*INDEX(其他调用!Z$5:Z$404,MATCH($K215,其他调用!$X$5:$X$404,0),0)</f>
        <v>26056.740154968644</v>
      </c>
      <c r="P215" s="12">
        <f>MIN(INDEX(其他调用!$AH$5:$AH$364,MATCH($K215,其他调用!$AG$5:$AG$364,0),1)/INDEX(其他调用!AJ$5:AJ$364,MATCH($K215,其他调用!$AG$5:$AG$364,0),0),1)*INDEX(其他调用!AA$5:AA$404,MATCH($K215,其他调用!$X$5:$X$404,0),0)</f>
        <v>15492.706282914573</v>
      </c>
      <c r="Q215" s="12">
        <f>MIN(INDEX(其他调用!$AH$5:$AH$364,MATCH($K215,其他调用!$AG$5:$AG$364,0),1)/INDEX(其他调用!AK$5:AK$364,MATCH($K215,其他调用!$AG$5:$AG$364,0),0),1)*INDEX(其他调用!AB$5:AB$404,MATCH($K215,其他调用!$X$5:$X$404,0),0)</f>
        <v>5606.6581075454733</v>
      </c>
      <c r="R215" s="12">
        <f>MIN(INDEX(其他调用!$AH$5:$AH$364,MATCH($K215,其他调用!$AG$5:$AG$364,0),1)/INDEX(其他调用!AL$5:AL$364,MATCH($K215,其他调用!$AG$5:$AG$364,0),0),1)*INDEX(其他调用!AC$5:AC$404,MATCH($K215,其他调用!$X$5:$X$404,0),0)</f>
        <v>2596.2085516757074</v>
      </c>
      <c r="S215" s="12">
        <f>求节点(节奏总纲!D$4:D$163,标准城池设计!AC$4:AC$163,$K215)*求节点(节奏总纲!D$4:D$163,攻城基础信息!$AD$5:$AD$164,$K215)</f>
        <v>713666.49610049161</v>
      </c>
      <c r="T215" s="12">
        <f>INDEX(其他调用!$AA$5:$AA$404,MATCH($K215,其他调用!$X$5:$X$404,0))*MIN(INDEX(其他调用!AI$5:AI$364,MATCH($K215,其他调用!$AG$5:$AG$364,0),1)/INDEX(其他调用!$AJ$5:$AJ$364,MATCH($K215,其他调用!$AG$5:$AG$364,0),0),5)*求节点(节奏总纲!D$4:D$163,攻城基础信息!$AD$5:$AD$164,$K215)</f>
        <v>84192.267645776345</v>
      </c>
      <c r="U215" s="12">
        <f>MIN(INDEX(其他调用!$AI$5:$AI$364,MATCH($K215,其他调用!$AG$5:$AG$364,0),1)/INDEX(其他调用!AH$5:AH$364,MATCH($K215,其他调用!$AG$5:$AG$364,0),0),1)*INDEX(其他调用!Y$5:Y$404,MATCH($K215,其他调用!$X$5:$X$404,0),0)</f>
        <v>40418.075498333616</v>
      </c>
      <c r="V215" s="12">
        <f>MIN(INDEX(其他调用!$AI$5:$AI$364,MATCH($K215,其他调用!$AG$5:$AG$364,0),1)/INDEX(其他调用!AI$5:AI$364,MATCH($K215,其他调用!$AG$5:$AG$364,0),0),1)*INDEX(其他调用!Z$5:Z$404,MATCH($K215,其他调用!$X$5:$X$404,0),0)</f>
        <v>41563.58537616409</v>
      </c>
      <c r="W215" s="12">
        <f>MIN(INDEX(其他调用!$AI$5:$AI$364,MATCH($K215,其他调用!$AG$5:$AG$364,0),1)/INDEX(其他调用!AJ$5:AJ$364,MATCH($K215,其他调用!$AG$5:$AG$364,0),0),1)*INDEX(其他调用!AA$5:AA$404,MATCH($K215,其他调用!$X$5:$X$404,0),0)</f>
        <v>24712.700685813343</v>
      </c>
      <c r="X215" s="12">
        <f>MIN(INDEX(其他调用!$AI$5:$AI$364,MATCH($K215,其他调用!$AG$5:$AG$364,0),1)/INDEX(其他调用!AK$5:AK$364,MATCH($K215,其他调用!$AG$5:$AG$364,0),0),1)*INDEX(其他调用!AB$5:AB$404,MATCH($K215,其他调用!$X$5:$X$404,0),0)</f>
        <v>8943.2834476607713</v>
      </c>
      <c r="Y215" s="12">
        <f>MIN(INDEX(其他调用!$AI$5:$AI$364,MATCH($K215,其他调用!$AG$5:$AG$364,0),1)/INDEX(其他调用!AL$5:AL$364,MATCH($K215,其他调用!$AG$5:$AG$364,0),0),1)*INDEX(其他调用!AC$5:AC$404,MATCH($K215,其他调用!$X$5:$X$404,0),0)</f>
        <v>4141.2600022157467</v>
      </c>
      <c r="Z215" s="12">
        <f>求节点(节奏总纲!D$4:D$163,标准城池设计!AD$4:AD$163,$K215)*求节点(节奏总纲!D$4:D$163,攻城基础信息!$AE$5:$AE$164,$K215)</f>
        <v>774408.25947507937</v>
      </c>
      <c r="AA215" s="12">
        <f>INDEX(其他调用!$AA$5:$AA$404,MATCH($K215,其他调用!$X$5:$X$404,0))*MIN(INDEX(其他调用!AJ$5:AJ$364,MATCH($K215,其他调用!$AG$5:$AG$364,0),1)/INDEX(其他调用!$AJ$5:$AJ$364,MATCH($K215,其他调用!$AG$5:$AG$364,0),0),5)*求节点(节奏总纲!D$4:D$163,攻城基础信息!$AE$5:$AE$164,$K215)</f>
        <v>146792.88989273546</v>
      </c>
      <c r="AB215" s="12">
        <f>MIN(INDEX(其他调用!$AJ$5:$AJ$364,MATCH($K215,其他调用!$AG$5:$AG$364,0),1)/INDEX(其他调用!AH$5:AH$364,MATCH($K215,其他调用!$AG$5:$AG$364,0),0),1)*INDEX(其他调用!Y$5:Y$404,MATCH($K215,其他调用!$X$5:$X$404,0),0)</f>
        <v>40418.075498333616</v>
      </c>
      <c r="AC215" s="12">
        <f>MIN(INDEX(其他调用!$AJ$5:$AJ$364,MATCH($K215,其他调用!$AG$5:$AG$364,0),1)/INDEX(其他调用!AI$5:AI$364,MATCH($K215,其他调用!$AG$5:$AG$364,0),0),1)*INDEX(其他调用!Z$5:Z$404,MATCH($K215,其他调用!$X$5:$X$404,0),0)</f>
        <v>41563.58537616409</v>
      </c>
      <c r="AD215" s="12">
        <f>MIN(INDEX(其他调用!$AJ$5:$AJ$364,MATCH($K215,其他调用!$AG$5:$AG$364,0),1)/INDEX(其他调用!AJ$5:AJ$364,MATCH($K215,其他调用!$AG$5:$AG$364,0),0),1)*INDEX(其他调用!AA$5:AA$404,MATCH($K215,其他调用!$X$5:$X$404,0),0)</f>
        <v>43087.67125726318</v>
      </c>
      <c r="AE215" s="12">
        <f>MIN(INDEX(其他调用!$AJ$5:$AJ$364,MATCH($K215,其他调用!$AG$5:$AG$364,0),1)/INDEX(其他调用!AK$5:AK$364,MATCH($K215,其他调用!$AG$5:$AG$364,0),0),1)*INDEX(其他调用!AB$5:AB$404,MATCH($K215,其他调用!$X$5:$X$404,0),0)</f>
        <v>15593.004668022511</v>
      </c>
      <c r="AF215" s="12">
        <f>MIN(INDEX(其他调用!$AJ$5:$AJ$364,MATCH($K215,其他调用!$AG$5:$AG$364,0),1)/INDEX(其他调用!AL$5:AL$364,MATCH($K215,其他调用!$AG$5:$AG$364,0),0),1)*INDEX(其他调用!AC$5:AC$404,MATCH($K215,其他调用!$X$5:$X$404,0),0)</f>
        <v>7220.4673958908661</v>
      </c>
      <c r="AG215" s="12">
        <f>求节点(节奏总纲!D$4:D$163,标准城池设计!AE$4:AE$163,$K215)*求节点(节奏总纲!D$4:D$163,攻城基础信息!$AF$5:$AF$164,$K215)</f>
        <v>927607.77490777511</v>
      </c>
      <c r="AH215" s="12">
        <f>INDEX(其他调用!$AA$5:$AA$404,MATCH($K215,其他调用!$X$5:$X$404,0))*MIN(INDEX(其他调用!AK$5:AK$364,MATCH($K215,其他调用!$AG$5:$AG$364,0),1)/INDEX(其他调用!$AJ$5:$AJ$364,MATCH($K215,其他调用!$AG$5:$AG$364,0),0),5)*求节点(节奏总纲!D$4:D$163,攻城基础信息!$AF$5:$AF$164,$K215)</f>
        <v>426306.32991946221</v>
      </c>
      <c r="AI215" s="12">
        <f>MIN(INDEX(其他调用!$AK$5:$AK$364,MATCH($K215,其他调用!$AG$5:$AG$364,0),1)/INDEX(其他调用!AH$5:AH$364,MATCH($K215,其他调用!$AG$5:$AG$364,0),0),1)*INDEX(其他调用!Y$5:Y$404,MATCH($K215,其他调用!$X$5:$X$404,0),0)</f>
        <v>40418.075498333616</v>
      </c>
      <c r="AJ215" s="12">
        <f>MIN(INDEX(其他调用!$AK$5:$AK$364,MATCH($K215,其他调用!$AG$5:$AG$364,0),1)/INDEX(其他调用!AI$5:AI$364,MATCH($K215,其他调用!$AG$5:$AG$364,0),0),1)*INDEX(其他调用!Z$5:Z$404,MATCH($K215,其他调用!$X$5:$X$404,0),0)</f>
        <v>41563.58537616409</v>
      </c>
      <c r="AK215" s="12">
        <f>MIN(INDEX(其他调用!$AK$5:$AK$364,MATCH($K215,其他调用!$AG$5:$AG$364,0),1)/INDEX(其他调用!AJ$5:AJ$364,MATCH($K215,其他调用!$AG$5:$AG$364,0),0),1)*INDEX(其他调用!AA$5:AA$404,MATCH($K215,其他调用!$X$5:$X$404,0),0)</f>
        <v>43087.67125726318</v>
      </c>
      <c r="AL215" s="12">
        <f>MIN(INDEX(其他调用!$AK$5:$AK$364,MATCH($K215,其他调用!$AG$5:$AG$364,0),1)/INDEX(其他调用!AK$5:AK$364,MATCH($K215,其他调用!$AG$5:$AG$364,0),0),1)*INDEX(其他调用!AB$5:AB$404,MATCH($K215,其他调用!$X$5:$X$404,0),0)</f>
        <v>45284.186429595509</v>
      </c>
      <c r="AM215" s="12">
        <f>MIN(INDEX(其他调用!$AK$5:$AK$364,MATCH($K215,其他调用!$AG$5:$AG$364,0),1)/INDEX(其他调用!AL$5:AL$364,MATCH($K215,其他调用!$AG$5:$AG$364,0),0),1)*INDEX(其他调用!AC$5:AC$404,MATCH($K215,其他调用!$X$5:$X$404,0),0)</f>
        <v>20969.210144269415</v>
      </c>
      <c r="AN215" s="12">
        <f>求节点(节奏总纲!D$4:D$163,标准城池设计!AF$4:AF$163,$K215)*求节点(节奏总纲!D$4:D$163,攻城基础信息!$AG$5:$AG$164,$K215)</f>
        <v>966438.19086819072</v>
      </c>
      <c r="AO215" s="12">
        <f>INDEX(其他调用!$AA$5:$AA$404,MATCH($K215,其他调用!$X$5:$X$404,0))*MIN(INDEX(其他调用!AL$5:AL$364,MATCH($K215,其他调用!$AG$5:$AG$364,0),1)/INDEX(其他调用!$AJ$5:$AJ$364,MATCH($K215,其他调用!$AG$5:$AG$364,0),0),5)*求节点(节奏总纲!D$4:D$163,攻城基础信息!$AG$5:$AG$164,$K215)</f>
        <v>733964.44946367724</v>
      </c>
      <c r="AP215" s="12">
        <f>MIN(INDEX(其他调用!$AL$5:$AL$364,MATCH($K215,其他调用!$AG$5:$AG$364,0),1)/INDEX(其他调用!AH$5:AH$364,MATCH($K215,其他调用!$AG$5:$AG$364,0),0),1)*INDEX(其他调用!Y$5:Y$404,MATCH($K215,其他调用!$X$5:$X$404,0),0)</f>
        <v>40418.075498333616</v>
      </c>
      <c r="AQ215" s="12">
        <f>MIN(INDEX(其他调用!$AL$5:$AL$364,MATCH($K215,其他调用!$AG$5:$AG$364,0),1)/INDEX(其他调用!AI$5:AI$364,MATCH($K215,其他调用!$AG$5:$AG$364,0),0),1)*INDEX(其他调用!Z$5:Z$404,MATCH($K215,其他调用!$X$5:$X$404,0),0)</f>
        <v>41563.58537616409</v>
      </c>
      <c r="AR215" s="12">
        <f>MIN(INDEX(其他调用!$AL$5:$AL$364,MATCH($K215,其他调用!$AG$5:$AG$364,0),1)/INDEX(其他调用!AJ$5:AJ$364,MATCH($K215,其他调用!$AG$5:$AG$364,0),0),1)*INDEX(其他调用!AA$5:AA$404,MATCH($K215,其他调用!$X$5:$X$404,0),0)</f>
        <v>43087.67125726318</v>
      </c>
      <c r="AS215" s="12">
        <f>MIN(INDEX(其他调用!$AL$5:$AL$364,MATCH($K215,其他调用!$AG$5:$AG$364,0),1)/INDEX(其他调用!AK$5:AK$364,MATCH($K215,其他调用!$AG$5:$AG$364,0),0),1)*INDEX(其他调用!AB$5:AB$404,MATCH($K215,其他调用!$X$5:$X$404,0),0)</f>
        <v>45284.186429595509</v>
      </c>
      <c r="AT215" s="12">
        <f>MIN(INDEX(其他调用!$AL$5:$AL$364,MATCH($K215,其他调用!$AG$5:$AG$364,0),1)/INDEX(其他调用!AL$5:AL$364,MATCH($K215,其他调用!$AG$5:$AG$364,0),0),1)*INDEX(其他调用!AC$5:AC$404,MATCH($K215,其他调用!$X$5:$X$404,0),0)</f>
        <v>49234.572532041995</v>
      </c>
      <c r="AV215" s="14">
        <f>IF(OR(AV$5="大R",AV$5="超R"),MAX(INDEX(其他调用!$H$5:$L$404,MATCH($K215,其他调用!$B$5:$B$404,0),MATCH(AV$5,其他调用!$H$4:$L$4,0))*120*0.85,2),INDEX(其他调用!$H$5:$L$404,MATCH($K215,其他调用!$B$5:$B$404,0),MATCH(AV$5,其他调用!$H$4:$L$4,0))*120*0.85)</f>
        <v>48.921801254999991</v>
      </c>
      <c r="AW215" s="14">
        <f>IF(OR(AW$5="大R",AW$5="超R"),MAX(INDEX(其他调用!$H$5:$L$404,MATCH($K215,其他调用!$B$5:$B$404,0),MATCH(AW$5,其他调用!$H$4:$L$4,0))*120*0.85,2),INDEX(其他调用!$H$5:$L$404,MATCH($K215,其他调用!$B$5:$B$404,0),MATCH(AW$5,其他调用!$H$4:$L$4,0))*120*0.85)</f>
        <v>48.237344010638395</v>
      </c>
      <c r="AX215" s="14">
        <f>IF(OR(AX$5="大R",AX$5="超R"),MAX(INDEX(其他调用!$H$5:$L$404,MATCH($K215,其他调用!$B$5:$B$404,0),MATCH(AX$5,其他调用!$H$4:$L$4,0))*120*0.85,2),INDEX(其他调用!$H$5:$L$404,MATCH($K215,其他调用!$B$5:$B$404,0),MATCH(AX$5,其他调用!$H$4:$L$4,0))*120*0.85)</f>
        <v>3.9376284143615998</v>
      </c>
      <c r="AY215" s="14">
        <f>IF(OR(AY$5="大R",AY$5="超R"),MAX(INDEX(其他调用!$H$5:$L$404,MATCH($K215,其他调用!$B$5:$B$404,0),MATCH(AY$5,其他调用!$H$4:$L$4,0))*120*0.85,2),INDEX(其他调用!$H$5:$L$404,MATCH($K215,其他调用!$B$5:$B$404,0),MATCH(AY$5,其他调用!$H$4:$L$4,0))*120*0.85)</f>
        <v>2</v>
      </c>
      <c r="AZ215" s="14">
        <f>IF(OR(AZ$5="大R",AZ$5="超R"),MAX(INDEX(其他调用!$H$5:$L$404,MATCH($K215,其他调用!$B$5:$B$404,0),MATCH(AZ$5,其他调用!$H$4:$L$4,0))*120*0.85,2),INDEX(其他调用!$H$5:$L$404,MATCH($K215,其他调用!$B$5:$B$404,0),MATCH(AZ$5,其他调用!$H$4:$L$4,0))*120*0.85)</f>
        <v>2</v>
      </c>
      <c r="BA215" s="14">
        <f>INDEX(其他调用!$H$5:$L$404,MATCH($K215,其他调用!$B$5:$B$404,0),MATCH(BA$5,其他调用!$H$4:$L$4,0))*INDEX(其他调用!$M$5:$M$404,MATCH($K215,其他调用!$B$5:$B$404,0))*0.6</f>
        <v>28.777530149999997</v>
      </c>
      <c r="BB215" s="14">
        <f>INDEX(其他调用!$H$5:$L$404,MATCH($K215,其他调用!$B$5:$B$404,0),MATCH(BB$5,其他调用!$H$4:$L$4,0))*INDEX(其他调用!$M$5:$M$404,MATCH($K215,其他调用!$B$5:$B$404,0))*0.6</f>
        <v>28.374908241551999</v>
      </c>
      <c r="BC215" s="14">
        <f>INDEX(其他调用!$H$5:$L$404,MATCH($K215,其他调用!$B$5:$B$404,0),MATCH(BC$5,其他调用!$H$4:$L$4,0))*INDEX(其他调用!$M$5:$M$404,MATCH($K215,其他调用!$B$5:$B$404,0))*0.6</f>
        <v>2.3162520084480001</v>
      </c>
      <c r="BD215" s="14">
        <f>INDEX(其他调用!$H$5:$L$404,MATCH($K215,其他调用!$B$5:$B$404,0),MATCH(BD$5,其他调用!$H$4:$L$4,0))*INDEX(其他调用!$M$5:$M$404,MATCH($K215,其他调用!$B$5:$B$404,0))*0.6</f>
        <v>0.4120776000000001</v>
      </c>
      <c r="BE215" s="14">
        <f>INDEX(其他调用!$H$5:$L$404,MATCH($K215,其他调用!$B$5:$B$404,0),MATCH(BE$5,其他调用!$H$4:$L$4,0))*INDEX(其他调用!$M$5:$M$404,MATCH($K215,其他调用!$B$5:$B$404,0))*0.6</f>
        <v>0.11923199999999998</v>
      </c>
      <c r="BF215" s="14">
        <f>IF(OR(BF$5="大R",BF$5="超R"),0,INDEX(其他调用!$H$5:$L$404,MATCH($K215,其他调用!$B$5:$B$404,0),MATCH(BF$5,其他调用!$H$4:$L$4,0))*50*0.4)</f>
        <v>9.5925100500000013</v>
      </c>
      <c r="BG215" s="14">
        <f>IF(OR(BG$5="大R",BG$5="超R"),0,INDEX(其他调用!$H$5:$L$404,MATCH($K215,其他调用!$B$5:$B$404,0),MATCH(BG$5,其他调用!$H$4:$L$4,0))*50*0.4)</f>
        <v>9.4583027471839998</v>
      </c>
      <c r="BH215" s="14">
        <f>IF(OR(BH$5="大R",BH$5="超R"),0,INDEX(其他调用!$H$5:$L$404,MATCH($K215,其他调用!$B$5:$B$404,0),MATCH(BH$5,其他调用!$H$4:$L$4,0))*50*0.4)</f>
        <v>0.77208400281600009</v>
      </c>
      <c r="BI215" s="14">
        <f>IF(OR(BI$5="大R",BI$5="超R"),0,INDEX(其他调用!$H$5:$L$404,MATCH($K215,其他调用!$B$5:$B$404,0),MATCH(BI$5,其他调用!$H$4:$L$4,0))*50*0.4)</f>
        <v>0</v>
      </c>
      <c r="BJ215" s="14">
        <f>IF(OR(BJ$5="大R",BJ$5="超R"),0,INDEX(其他调用!$H$5:$L$404,MATCH($K215,其他调用!$B$5:$B$404,0),MATCH(BJ$5,其他调用!$H$4:$L$4,0))*50*0.4)</f>
        <v>0</v>
      </c>
      <c r="BL215" s="14">
        <f t="shared" si="418"/>
        <v>210</v>
      </c>
      <c r="BM215" s="14">
        <f t="shared" si="325"/>
        <v>96</v>
      </c>
      <c r="BN215" s="14">
        <f>('疲劳值&amp;地图信息'!$S$10*'疲劳值&amp;地图信息'!$R$10+'疲劳值&amp;地图信息'!$S$11*'疲劳值&amp;地图信息'!$R$11+'疲劳值&amp;地图信息'!$S$12*'疲劳值&amp;地图信息'!$R$12+(BM215-'疲劳值&amp;地图信息'!$S$12-'疲劳值&amp;地图信息'!$S$11-'疲劳值&amp;地图信息'!$S$10)*'疲劳值&amp;地图信息'!$R$13)/BM215</f>
        <v>51.371477246638619</v>
      </c>
      <c r="BO215" s="14">
        <f>INDEX(其他调用!$M$5:$M$404,MATCH(BL215,其他调用!$B$5:$B$404,0))*0.6</f>
        <v>60</v>
      </c>
      <c r="BP215" s="14">
        <f>IF(BO215&gt;SUM('疲劳值&amp;地图信息'!$S$10:$S$12),('疲劳值&amp;地图信息'!$S$10*'疲劳值&amp;地图信息'!$R$10+'疲劳值&amp;地图信息'!$S$11*'疲劳值&amp;地图信息'!$R$11+'疲劳值&amp;地图信息'!$S$12*'疲劳值&amp;地图信息'!$R$12+(BO215-'疲劳值&amp;地图信息'!$S$12-'疲劳值&amp;地图信息'!$S$11-'疲劳值&amp;地图信息'!$S$10)*'疲劳值&amp;地图信息'!$R$13)/BO215,('疲劳值&amp;地图信息'!$S$10*'疲劳值&amp;地图信息'!$R$10+'疲劳值&amp;地图信息'!$S$11*'疲劳值&amp;地图信息'!$R$11+'疲劳值&amp;地图信息'!$S$12*'疲劳值&amp;地图信息'!$R$12+(BO215-'疲劳值&amp;地图信息'!$S$12-'疲劳值&amp;地图信息'!$S$11-'疲劳值&amp;地图信息'!$S$10)*'疲劳值&amp;地图信息'!$R$13)/BO215)</f>
        <v>44.158136341605953</v>
      </c>
      <c r="BQ215" s="14">
        <f t="shared" si="419"/>
        <v>20</v>
      </c>
      <c r="BR215" s="14">
        <f>('疲劳值&amp;地图信息'!$S$10*'疲劳值&amp;地图信息'!$R$10+($BQ215-'疲劳值&amp;地图信息'!$S$10)*'疲劳值&amp;地图信息'!$R$11)/$BQ215</f>
        <v>32.067203015074995</v>
      </c>
      <c r="CF215" s="14">
        <v>210</v>
      </c>
      <c r="CG215" s="51">
        <f t="shared" si="326"/>
        <v>13652</v>
      </c>
      <c r="CH215" s="51">
        <f t="shared" si="327"/>
        <v>1075</v>
      </c>
      <c r="CI215" s="51">
        <f>INT(SUMPRODUCT($N215:$R215,$BA215:$BE215)/SUM($BA215:$BE215)/10000*$BX$7*$BZ$34/'疲劳值&amp;地图信息'!$R$10*$BY$53)</f>
        <v>3282</v>
      </c>
      <c r="CJ215" s="50">
        <f t="shared" si="328"/>
        <v>0.75806541173857511</v>
      </c>
      <c r="CK215" s="50">
        <f t="shared" si="329"/>
        <v>5.9692376034205116E-2</v>
      </c>
      <c r="CL215" s="50">
        <f t="shared" si="330"/>
        <v>0.18224221222721973</v>
      </c>
      <c r="CM215" s="14">
        <f t="shared" si="331"/>
        <v>14545</v>
      </c>
      <c r="CN215" s="14">
        <f t="shared" si="332"/>
        <v>1715</v>
      </c>
      <c r="CO215" s="14">
        <f>INT(SUMPRODUCT($U215:$Y215,$BA215:$BE215)/SUM($BA215:$BE215)/10000*$BX$7*$BZ$34/'疲劳值&amp;地图信息'!$R$10*$BY$54)</f>
        <v>6097</v>
      </c>
      <c r="CP215" s="50">
        <f t="shared" si="333"/>
        <v>0.65057923692803143</v>
      </c>
      <c r="CQ215" s="50">
        <f t="shared" si="334"/>
        <v>7.6709755333899898E-2</v>
      </c>
      <c r="CR215" s="50">
        <f t="shared" si="335"/>
        <v>0.27271100773806861</v>
      </c>
      <c r="CS215" s="14">
        <f t="shared" si="336"/>
        <v>15783</v>
      </c>
      <c r="CT215" s="14">
        <f t="shared" si="337"/>
        <v>2991</v>
      </c>
      <c r="CU215" s="14">
        <f>INT(SUMPRODUCT($AB215:$AF215,$BA215:$BE215)/SUM($BA215:$BE215)/10000*$BX$7*$BZ$34/'疲劳值&amp;地图信息'!$R$10*$BY$55)</f>
        <v>8285</v>
      </c>
      <c r="CV215" s="50">
        <f t="shared" si="338"/>
        <v>0.58328097860231343</v>
      </c>
      <c r="CW215" s="50">
        <f t="shared" si="339"/>
        <v>0.11053623563324587</v>
      </c>
      <c r="CX215" s="50">
        <f t="shared" si="340"/>
        <v>0.30618278576444069</v>
      </c>
      <c r="CY215" s="14">
        <f t="shared" si="341"/>
        <v>18905</v>
      </c>
      <c r="CZ215" s="14">
        <f t="shared" si="342"/>
        <v>8688</v>
      </c>
      <c r="DA215" s="14">
        <f>INT(SUMPRODUCT($AI215:$AM215,$BA215:$BE215)/SUM($BA215:$BE215)/10000*$BX$7*$BZ$34/'疲劳值&amp;地图信息'!$R$10*$BY$56)</f>
        <v>12498</v>
      </c>
      <c r="DB215" s="50">
        <f t="shared" si="343"/>
        <v>0.4715522187024519</v>
      </c>
      <c r="DC215" s="50">
        <f t="shared" si="344"/>
        <v>0.21670699159412338</v>
      </c>
      <c r="DD215" s="50">
        <f t="shared" si="345"/>
        <v>0.31174078970342473</v>
      </c>
      <c r="DE215" s="14">
        <f t="shared" si="346"/>
        <v>19697</v>
      </c>
      <c r="DF215" s="14">
        <f t="shared" si="347"/>
        <v>14959</v>
      </c>
      <c r="DG215" s="14">
        <f>INT(SUMPRODUCT($AP215:$AT215,$BA215:$BE215)/SUM($BA215:$BE215)/10000*$BX$7*$BZ$34/'疲劳值&amp;地图信息'!$R$10*$BY$57)</f>
        <v>16686</v>
      </c>
      <c r="DH215" s="50">
        <f t="shared" si="348"/>
        <v>0.38364302130809086</v>
      </c>
      <c r="DI215" s="50">
        <f t="shared" si="349"/>
        <v>0.29135990027657666</v>
      </c>
      <c r="DJ215" s="50">
        <f t="shared" si="350"/>
        <v>0.32499707841533249</v>
      </c>
      <c r="DL215" s="14">
        <f t="shared" si="421"/>
        <v>18009</v>
      </c>
      <c r="DM215" s="14">
        <f t="shared" si="422"/>
        <v>22357</v>
      </c>
      <c r="DN215" s="14">
        <f t="shared" si="423"/>
        <v>27059</v>
      </c>
      <c r="DO215" s="14">
        <f t="shared" si="424"/>
        <v>40091</v>
      </c>
      <c r="DP215" s="14">
        <f t="shared" si="425"/>
        <v>51342</v>
      </c>
      <c r="DQ215" s="14">
        <f t="shared" si="426"/>
        <v>1237950</v>
      </c>
      <c r="DT215" s="14">
        <f t="shared" si="420"/>
        <v>235575</v>
      </c>
      <c r="DU215" s="50">
        <f t="shared" si="322"/>
        <v>0.15987173614292258</v>
      </c>
      <c r="DW215" s="14">
        <f t="shared" si="351"/>
        <v>1473525</v>
      </c>
      <c r="EB215" s="14">
        <v>210</v>
      </c>
      <c r="EC215" s="51">
        <f t="shared" si="352"/>
        <v>22753</v>
      </c>
      <c r="ED215" s="51">
        <f t="shared" si="353"/>
        <v>1792</v>
      </c>
      <c r="EE215" s="51">
        <f>INT(SUMPRODUCT($N215:$R215,$BF215:$BJ215)/SUM($BF215:$BJ215)/10000*$BX$7*$BZ$46/'疲劳值&amp;地图信息'!$R$10*$BY$53)</f>
        <v>440</v>
      </c>
      <c r="EF215" s="50">
        <f t="shared" si="354"/>
        <v>0.91066639983990394</v>
      </c>
      <c r="EG215" s="50">
        <f t="shared" si="355"/>
        <v>7.1723033820292173E-2</v>
      </c>
      <c r="EH215" s="50">
        <f t="shared" si="356"/>
        <v>1.7610566339803884E-2</v>
      </c>
      <c r="EI215" s="51">
        <f t="shared" si="357"/>
        <v>24242</v>
      </c>
      <c r="EJ215" s="51">
        <f t="shared" si="358"/>
        <v>2859</v>
      </c>
      <c r="EK215" s="14">
        <f>INT(SUMPRODUCT($U215:$Y215,$BF215:$BJ215)/SUM($BF215:$BJ215)/10000*$BX$7*$BZ$46/'疲劳值&amp;地图信息'!$R$10*$BY$54)</f>
        <v>818</v>
      </c>
      <c r="EL215" s="50">
        <f t="shared" si="359"/>
        <v>0.86829757512804895</v>
      </c>
      <c r="EM215" s="50">
        <f t="shared" si="360"/>
        <v>0.10240338120992873</v>
      </c>
      <c r="EN215" s="50">
        <f t="shared" si="361"/>
        <v>2.9299043662022278E-2</v>
      </c>
      <c r="EO215" s="51">
        <f t="shared" si="362"/>
        <v>26305</v>
      </c>
      <c r="EP215" s="51">
        <f t="shared" si="363"/>
        <v>4986</v>
      </c>
      <c r="EQ215" s="14">
        <f>INT(SUMPRODUCT($AB215:$AF215,$BF215:$BJ215)/SUM($BF215:$BJ215)/10000*$BX$7*$BZ$46/'疲劳值&amp;地图信息'!$R$10*$BY$55)</f>
        <v>1111</v>
      </c>
      <c r="ER215" s="50">
        <f t="shared" si="364"/>
        <v>0.81183260292574533</v>
      </c>
      <c r="ES215" s="50">
        <f t="shared" si="365"/>
        <v>0.15387939016110116</v>
      </c>
      <c r="ET215" s="50">
        <f t="shared" si="366"/>
        <v>3.4288006913153507E-2</v>
      </c>
      <c r="EU215" s="51">
        <f t="shared" si="367"/>
        <v>31509</v>
      </c>
      <c r="EV215" s="51">
        <f t="shared" si="368"/>
        <v>14481</v>
      </c>
      <c r="EW215" s="14">
        <f>INT(SUMPRODUCT($AI215:$AM215,$BF215:$BJ215)/SUM($BF215:$BJ215)/10000*$BX$7*$BZ$46/'疲劳值&amp;地图信息'!$R$10*$BY$56)</f>
        <v>1666</v>
      </c>
      <c r="EX215" s="50">
        <f t="shared" si="369"/>
        <v>0.66117592748027532</v>
      </c>
      <c r="EY215" s="50">
        <f t="shared" si="370"/>
        <v>0.30386520060433103</v>
      </c>
      <c r="EZ215" s="50">
        <f t="shared" si="371"/>
        <v>3.4958871915393652E-2</v>
      </c>
      <c r="FA215" s="51">
        <f t="shared" si="372"/>
        <v>32828</v>
      </c>
      <c r="FB215" s="51">
        <f t="shared" si="373"/>
        <v>24931</v>
      </c>
      <c r="FC215" s="14">
        <f>INT(SUMPRODUCT($AP215:$AT215,$BF215:$BJ215)/SUM($BF215:$BJ215)/10000*$BX$7*$BZ$46/'疲劳值&amp;地图信息'!$R$10*$BY$57)</f>
        <v>2222</v>
      </c>
      <c r="FD215" s="50">
        <f t="shared" si="374"/>
        <v>0.54730664710491661</v>
      </c>
      <c r="FE215" s="50">
        <f t="shared" si="375"/>
        <v>0.41564828862473119</v>
      </c>
      <c r="FF215" s="50">
        <f t="shared" si="376"/>
        <v>3.7045064270352278E-2</v>
      </c>
      <c r="FH215" s="14">
        <f t="shared" si="377"/>
        <v>24985</v>
      </c>
      <c r="FI215" s="14">
        <f t="shared" si="378"/>
        <v>27919</v>
      </c>
      <c r="FJ215" s="14">
        <f t="shared" si="379"/>
        <v>32402</v>
      </c>
      <c r="FK215" s="14">
        <f t="shared" si="380"/>
        <v>47656</v>
      </c>
      <c r="FL215" s="14">
        <f t="shared" si="381"/>
        <v>59981</v>
      </c>
      <c r="FM215" s="14">
        <f t="shared" si="382"/>
        <v>2911910</v>
      </c>
      <c r="FP215" s="14">
        <f t="shared" si="383"/>
        <v>334150</v>
      </c>
      <c r="FQ215" s="50">
        <f t="shared" si="323"/>
        <v>0.10294017978718815</v>
      </c>
      <c r="FS215" s="14">
        <f t="shared" si="384"/>
        <v>3246060</v>
      </c>
      <c r="FX215" s="14">
        <v>210</v>
      </c>
      <c r="FY215" s="51">
        <f t="shared" si="385"/>
        <v>31854</v>
      </c>
      <c r="FZ215" s="51">
        <f t="shared" si="386"/>
        <v>1792</v>
      </c>
      <c r="GA215" s="51">
        <f>INT(SUMPRODUCT($N215:$R215,$BF215:$BJ215)/SUM($BF215:$BJ215)/10000*$BX$7*$BZ$46/'疲劳值&amp;地图信息'!$R$10*$BY$53)</f>
        <v>440</v>
      </c>
      <c r="GB215" s="50">
        <f t="shared" si="387"/>
        <v>0.9345185706741771</v>
      </c>
      <c r="GC215" s="50">
        <f t="shared" si="388"/>
        <v>5.2572903831485066E-2</v>
      </c>
      <c r="GD215" s="50">
        <f t="shared" si="389"/>
        <v>1.2908525494337851E-2</v>
      </c>
      <c r="GE215" s="51">
        <f t="shared" si="390"/>
        <v>33939</v>
      </c>
      <c r="GF215" s="51">
        <f t="shared" si="391"/>
        <v>2859</v>
      </c>
      <c r="GG215" s="14">
        <f>INT(SUMPRODUCT($U215:$Y215,$BF215:$BJ215)/SUM($BF215:$BJ215)/10000*$BX$7*$BZ$46/'疲劳值&amp;地图信息'!$R$10*$BY$54)</f>
        <v>818</v>
      </c>
      <c r="GH215" s="50">
        <f t="shared" si="392"/>
        <v>0.90224904296044239</v>
      </c>
      <c r="GI215" s="50">
        <f t="shared" si="393"/>
        <v>7.6004891535516803E-2</v>
      </c>
      <c r="GJ215" s="50">
        <f t="shared" si="394"/>
        <v>2.1746065504040835E-2</v>
      </c>
      <c r="GK215" s="51">
        <f t="shared" si="395"/>
        <v>36828</v>
      </c>
      <c r="GL215" s="51">
        <f t="shared" si="396"/>
        <v>4986</v>
      </c>
      <c r="GM215" s="14">
        <f>INT(SUMPRODUCT($AB215:$AF215,$BF215:$BJ215)/SUM($BF215:$BJ215)/10000*$BX$7*$BZ$46/'疲劳值&amp;地图信息'!$R$10*$BY$55)</f>
        <v>1111</v>
      </c>
      <c r="GN215" s="50">
        <f t="shared" si="397"/>
        <v>0.85796156086196851</v>
      </c>
      <c r="GO215" s="50">
        <f t="shared" si="398"/>
        <v>0.11615608619685498</v>
      </c>
      <c r="GP215" s="50">
        <f t="shared" si="399"/>
        <v>2.5882352941176471E-2</v>
      </c>
      <c r="GQ215" s="51">
        <f t="shared" si="400"/>
        <v>44113</v>
      </c>
      <c r="GR215" s="51">
        <f t="shared" si="401"/>
        <v>14481</v>
      </c>
      <c r="GS215" s="14">
        <f>INT(SUMPRODUCT($AI215:$AM215,$BF215:$BJ215)/SUM($BF215:$BJ215)/10000*$BX$7*$BZ$46/'疲劳值&amp;地图信息'!$R$10*$BY$56)</f>
        <v>1666</v>
      </c>
      <c r="GT215" s="50">
        <f t="shared" si="402"/>
        <v>0.73204447394623295</v>
      </c>
      <c r="GU215" s="50">
        <f t="shared" si="403"/>
        <v>0.2403086624626618</v>
      </c>
      <c r="GV215" s="50">
        <f t="shared" si="404"/>
        <v>2.7646863591105211E-2</v>
      </c>
      <c r="GW215" s="51">
        <f t="shared" si="405"/>
        <v>45960</v>
      </c>
      <c r="GX215" s="51">
        <f t="shared" si="406"/>
        <v>24931</v>
      </c>
      <c r="GY215" s="14">
        <f>INT(SUMPRODUCT($AP215:$AT215,$BF215:$BJ215)/SUM($BF215:$BJ215)/10000*$BX$7*$BZ$46/'疲劳值&amp;地图信息'!$R$10*$BY$57)</f>
        <v>2222</v>
      </c>
      <c r="GZ215" s="50">
        <f t="shared" si="407"/>
        <v>0.62861597800664726</v>
      </c>
      <c r="HA215" s="50">
        <f t="shared" si="408"/>
        <v>0.34099270991478942</v>
      </c>
      <c r="HB215" s="50">
        <f t="shared" si="409"/>
        <v>3.0391312078563319E-2</v>
      </c>
      <c r="HD215" s="14">
        <f t="shared" si="410"/>
        <v>34086</v>
      </c>
      <c r="HE215" s="14">
        <f t="shared" si="411"/>
        <v>37616</v>
      </c>
      <c r="HF215" s="14">
        <f t="shared" si="412"/>
        <v>42925</v>
      </c>
      <c r="HG215" s="14">
        <f t="shared" si="413"/>
        <v>60260</v>
      </c>
      <c r="HH215" s="14">
        <f t="shared" si="414"/>
        <v>73113</v>
      </c>
      <c r="HI215" s="14">
        <f t="shared" si="415"/>
        <v>3917813</v>
      </c>
      <c r="HL215" s="14">
        <f t="shared" si="416"/>
        <v>430050</v>
      </c>
      <c r="HM215" s="50">
        <f t="shared" si="324"/>
        <v>9.8910660248494486E-2</v>
      </c>
      <c r="HO215" s="14">
        <f t="shared" si="417"/>
        <v>4347863</v>
      </c>
    </row>
    <row r="216" spans="11:223" x14ac:dyDescent="0.2">
      <c r="K216" s="14">
        <v>211</v>
      </c>
      <c r="L216" s="12">
        <f>求节点(节奏总纲!D$4:D$163,标准城池设计!AB$4:AB$163,$K216)*求节点(节奏总纲!D$4:D$163,攻城基础信息!$AC$5:$AC$164,$K216)</f>
        <v>671185.47621905617</v>
      </c>
      <c r="M216" s="12">
        <f>INDEX(其他调用!$AA$5:$AA$404,MATCH(K216,其他调用!$X$5:$X$404,0))*MIN(INDEX(其他调用!$AH$5:$AH$364,MATCH('征服点（新）'!K216,其他调用!$AG$5:$AG$364,0),1)/INDEX(其他调用!$AJ$5:$AJ$364,MATCH(K216,其他调用!$AG$5:$AG$364,0),0),5)*求节点(节奏总纲!D$4:D$163,攻城基础信息!$AC$5:$AC$164,$K216)</f>
        <v>52835.298856360685</v>
      </c>
      <c r="N216" s="12">
        <f>MIN(INDEX(其他调用!$AH$5:$AH$364,MATCH($K216,其他调用!$AG$5:$AG$364,0),1)/INDEX(其他调用!AH$5:AH$364,MATCH($K216,其他调用!$AG$5:$AG$364,0),0),1)*INDEX(其他调用!Y$5:Y$404,MATCH($K216,其他调用!$X$5:$X$404,0),0)</f>
        <v>40444.483554475031</v>
      </c>
      <c r="O216" s="12">
        <f>MIN(INDEX(其他调用!$AH$5:$AH$364,MATCH($K216,其他调用!$AG$5:$AG$364,0),1)/INDEX(其他调用!AI$5:AI$364,MATCH($K216,其他调用!$AG$5:$AG$364,0),0),1)*INDEX(其他调用!Z$5:Z$404,MATCH($K216,其他调用!$X$5:$X$404,0),0)</f>
        <v>26058.532847491104</v>
      </c>
      <c r="P216" s="12">
        <f>MIN(INDEX(其他调用!$AH$5:$AH$364,MATCH($K216,其他调用!$AG$5:$AG$364,0),1)/INDEX(其他调用!AJ$5:AJ$364,MATCH($K216,其他调用!$AG$5:$AG$364,0),0),1)*INDEX(其他调用!AA$5:AA$404,MATCH($K216,其他调用!$X$5:$X$404,0),0)</f>
        <v>15498.424245731887</v>
      </c>
      <c r="Q216" s="12">
        <f>MIN(INDEX(其他调用!$AH$5:$AH$364,MATCH($K216,其他调用!$AG$5:$AG$364,0),1)/INDEX(其他调用!AK$5:AK$364,MATCH($K216,其他调用!$AG$5:$AG$364,0),0),1)*INDEX(其他调用!AB$5:AB$404,MATCH($K216,其他调用!$X$5:$X$404,0),0)</f>
        <v>5605.7785264555559</v>
      </c>
      <c r="R216" s="12">
        <f>MIN(INDEX(其他调用!$AH$5:$AH$364,MATCH($K216,其他调用!$AG$5:$AG$364,0),1)/INDEX(其他调用!AL$5:AL$364,MATCH($K216,其他调用!$AG$5:$AG$364,0),0),1)*INDEX(其他调用!AC$5:AC$404,MATCH($K216,其他调用!$X$5:$X$404,0),0)</f>
        <v>2606.7845868585041</v>
      </c>
      <c r="S216" s="12">
        <f>求节点(节奏总纲!D$4:D$163,标准城池设计!AC$4:AC$163,$K216)*求节点(节奏总纲!D$4:D$163,攻城基础信息!$AD$5:$AD$164,$K216)</f>
        <v>715304.38123327936</v>
      </c>
      <c r="T216" s="12">
        <f>INDEX(其他调用!$AA$5:$AA$404,MATCH($K216,其他调用!$X$5:$X$404,0))*MIN(INDEX(其他调用!AI$5:AI$364,MATCH($K216,其他调用!$AG$5:$AG$364,0),1)/INDEX(其他调用!$AJ$5:$AJ$364,MATCH($K216,其他调用!$AG$5:$AG$364,0),0),5)*求节点(节奏总纲!D$4:D$163,攻城基础信息!$AD$5:$AD$164,$K216)</f>
        <v>84328.2903291455</v>
      </c>
      <c r="U216" s="12">
        <f>MIN(INDEX(其他调用!$AI$5:$AI$364,MATCH($K216,其他调用!$AG$5:$AG$364,0),1)/INDEX(其他调用!AH$5:AH$364,MATCH($K216,其他调用!$AG$5:$AG$364,0),0),1)*INDEX(其他调用!Y$5:Y$404,MATCH($K216,其他调用!$X$5:$X$404,0),0)</f>
        <v>40444.483554475031</v>
      </c>
      <c r="V216" s="12">
        <f>MIN(INDEX(其他调用!$AI$5:$AI$364,MATCH($K216,其他调用!$AG$5:$AG$364,0),1)/INDEX(其他调用!AI$5:AI$364,MATCH($K216,其他调用!$AG$5:$AG$364,0),0),1)*INDEX(其他调用!Z$5:Z$404,MATCH($K216,其他调用!$X$5:$X$404,0),0)</f>
        <v>41590.973668738072</v>
      </c>
      <c r="W216" s="12">
        <f>MIN(INDEX(其他调用!$AI$5:$AI$364,MATCH($K216,其他调用!$AG$5:$AG$364,0),1)/INDEX(其他调用!AJ$5:AJ$364,MATCH($K216,其他调用!$AG$5:$AG$364,0),0),1)*INDEX(其他调用!AA$5:AA$404,MATCH($K216,其他调用!$X$5:$X$404,0),0)</f>
        <v>24736.410084316311</v>
      </c>
      <c r="X216" s="12">
        <f>MIN(INDEX(其他调用!$AI$5:$AI$364,MATCH($K216,其他调用!$AG$5:$AG$364,0),1)/INDEX(其他调用!AK$5:AK$364,MATCH($K216,其他调用!$AG$5:$AG$364,0),0),1)*INDEX(其他调用!AB$5:AB$404,MATCH($K216,其他调用!$X$5:$X$404,0),0)</f>
        <v>8947.1570963381328</v>
      </c>
      <c r="Y216" s="12">
        <f>MIN(INDEX(其他调用!$AI$5:$AI$364,MATCH($K216,其他调用!$AG$5:$AG$364,0),1)/INDEX(其他调用!AL$5:AL$364,MATCH($K216,其他调用!$AG$5:$AG$364,0),0),1)*INDEX(其他调用!AC$5:AC$404,MATCH($K216,其他调用!$X$5:$X$404,0),0)</f>
        <v>4160.5837806230438</v>
      </c>
      <c r="Z216" s="12">
        <f>求节点(节奏总纲!D$4:D$163,标准城池设计!AD$4:AD$163,$K216)*求节点(节奏总纲!D$4:D$163,攻城基础信息!$AE$5:$AE$164,$K216)</f>
        <v>776551.03369242139</v>
      </c>
      <c r="AA216" s="12">
        <f>INDEX(其他调用!$AA$5:$AA$404,MATCH($K216,其他调用!$X$5:$X$404,0))*MIN(INDEX(其他调用!AJ$5:AJ$364,MATCH($K216,其他调用!$AG$5:$AG$364,0),1)/INDEX(其他调用!$AJ$5:$AJ$364,MATCH($K216,其他调用!$AG$5:$AG$364,0),0),5)*求节点(节奏总纲!D$4:D$163,攻城基础信息!$AE$5:$AE$164,$K216)</f>
        <v>146981.75259297245</v>
      </c>
      <c r="AB216" s="12">
        <f>MIN(INDEX(其他调用!$AJ$5:$AJ$364,MATCH($K216,其他调用!$AG$5:$AG$364,0),1)/INDEX(其他调用!AH$5:AH$364,MATCH($K216,其他调用!$AG$5:$AG$364,0),0),1)*INDEX(其他调用!Y$5:Y$404,MATCH($K216,其他调用!$X$5:$X$404,0),0)</f>
        <v>40444.483554475031</v>
      </c>
      <c r="AC216" s="12">
        <f>MIN(INDEX(其他调用!$AJ$5:$AJ$364,MATCH($K216,其他调用!$AG$5:$AG$364,0),1)/INDEX(其他调用!AI$5:AI$364,MATCH($K216,其他调用!$AG$5:$AG$364,0),0),1)*INDEX(其他调用!Z$5:Z$404,MATCH($K216,其他调用!$X$5:$X$404,0),0)</f>
        <v>41590.973668738072</v>
      </c>
      <c r="AD216" s="12">
        <f>MIN(INDEX(其他调用!$AJ$5:$AJ$364,MATCH($K216,其他调用!$AG$5:$AG$364,0),1)/INDEX(其他调用!AJ$5:AJ$364,MATCH($K216,其他调用!$AG$5:$AG$364,0),0),1)*INDEX(其他调用!AA$5:AA$404,MATCH($K216,其他调用!$X$5:$X$404,0),0)</f>
        <v>43114.841921497908</v>
      </c>
      <c r="AE216" s="12">
        <f>MIN(INDEX(其他调用!$AJ$5:$AJ$364,MATCH($K216,其他调用!$AG$5:$AG$364,0),1)/INDEX(其他调用!AK$5:AK$364,MATCH($K216,其他调用!$AG$5:$AG$364,0),0),1)*INDEX(其他调用!AB$5:AB$404,MATCH($K216,其他调用!$X$5:$X$404,0),0)</f>
        <v>15594.634085566373</v>
      </c>
      <c r="AF216" s="12">
        <f>MIN(INDEX(其他调用!$AJ$5:$AJ$364,MATCH($K216,其他调用!$AG$5:$AG$364,0),1)/INDEX(其他调用!AL$5:AL$364,MATCH($K216,其他调用!$AG$5:$AG$364,0),0),1)*INDEX(其他调用!AC$5:AC$404,MATCH($K216,其他调用!$X$5:$X$404,0),0)</f>
        <v>7251.7762840795276</v>
      </c>
      <c r="AG216" s="12">
        <f>求节点(节奏总纲!D$4:D$163,标准城池设计!AE$4:AE$163,$K216)*求节点(节奏总纲!D$4:D$163,攻城基础信息!$AF$5:$AF$164,$K216)</f>
        <v>930385.58007853478</v>
      </c>
      <c r="AH216" s="12">
        <f>INDEX(其他调用!$AA$5:$AA$404,MATCH($K216,其他调用!$X$5:$X$404,0))*MIN(INDEX(其他调用!AK$5:AK$364,MATCH($K216,其他调用!$AG$5:$AG$364,0),1)/INDEX(其他调用!$AJ$5:$AJ$364,MATCH($K216,其他调用!$AG$5:$AG$364,0),0),5)*求节点(节奏总纲!D$4:D$163,攻城基础信息!$AF$5:$AF$164,$K216)</f>
        <v>427078.85846358148</v>
      </c>
      <c r="AI216" s="12">
        <f>MIN(INDEX(其他调用!$AK$5:$AK$364,MATCH($K216,其他调用!$AG$5:$AG$364,0),1)/INDEX(其他调用!AH$5:AH$364,MATCH($K216,其他调用!$AG$5:$AG$364,0),0),1)*INDEX(其他调用!Y$5:Y$404,MATCH($K216,其他调用!$X$5:$X$404,0),0)</f>
        <v>40444.483554475031</v>
      </c>
      <c r="AJ216" s="12">
        <f>MIN(INDEX(其他调用!$AK$5:$AK$364,MATCH($K216,其他调用!$AG$5:$AG$364,0),1)/INDEX(其他调用!AI$5:AI$364,MATCH($K216,其他调用!$AG$5:$AG$364,0),0),1)*INDEX(其他调用!Z$5:Z$404,MATCH($K216,其他调用!$X$5:$X$404,0),0)</f>
        <v>41590.973668738072</v>
      </c>
      <c r="AK216" s="12">
        <f>MIN(INDEX(其他调用!$AK$5:$AK$364,MATCH($K216,其他调用!$AG$5:$AG$364,0),1)/INDEX(其他调用!AJ$5:AJ$364,MATCH($K216,其他调用!$AG$5:$AG$364,0),0),1)*INDEX(其他调用!AA$5:AA$404,MATCH($K216,其他调用!$X$5:$X$404,0),0)</f>
        <v>43114.841921497908</v>
      </c>
      <c r="AL216" s="12">
        <f>MIN(INDEX(其他调用!$AK$5:$AK$364,MATCH($K216,其他调用!$AG$5:$AG$364,0),1)/INDEX(其他调用!AK$5:AK$364,MATCH($K216,其他调用!$AG$5:$AG$364,0),0),1)*INDEX(其他调用!AB$5:AB$404,MATCH($K216,其他调用!$X$5:$X$404,0),0)</f>
        <v>45312.689540887819</v>
      </c>
      <c r="AM216" s="12">
        <f>MIN(INDEX(其他调用!$AK$5:$AK$364,MATCH($K216,其他调用!$AG$5:$AG$364,0),1)/INDEX(其他调用!AL$5:AL$364,MATCH($K216,其他调用!$AG$5:$AG$364,0),0),1)*INDEX(其他调用!AC$5:AC$404,MATCH($K216,其他调用!$X$5:$X$404,0),0)</f>
        <v>21071.189332015329</v>
      </c>
      <c r="AN216" s="12">
        <f>求节点(节奏总纲!D$4:D$163,标准城池设计!AF$4:AF$163,$K216)*求节点(节奏总纲!D$4:D$163,攻城基础信息!$AG$5:$AG$164,$K216)</f>
        <v>969574.89909309847</v>
      </c>
      <c r="AO216" s="12">
        <f>INDEX(其他调用!$AA$5:$AA$404,MATCH($K216,其他调用!$X$5:$X$404,0))*MIN(INDEX(其他调用!AL$5:AL$364,MATCH($K216,其他调用!$AG$5:$AG$364,0),1)/INDEX(其他调用!$AJ$5:$AJ$364,MATCH($K216,其他调用!$AG$5:$AG$364,0),0),5)*求节点(节奏总纲!D$4:D$163,攻城基础信息!$AG$5:$AG$164,$K216)</f>
        <v>734908.76296486228</v>
      </c>
      <c r="AP216" s="12">
        <f>MIN(INDEX(其他调用!$AL$5:$AL$364,MATCH($K216,其他调用!$AG$5:$AG$364,0),1)/INDEX(其他调用!AH$5:AH$364,MATCH($K216,其他调用!$AG$5:$AG$364,0),0),1)*INDEX(其他调用!Y$5:Y$404,MATCH($K216,其他调用!$X$5:$X$404,0),0)</f>
        <v>40444.483554475031</v>
      </c>
      <c r="AQ216" s="12">
        <f>MIN(INDEX(其他调用!$AL$5:$AL$364,MATCH($K216,其他调用!$AG$5:$AG$364,0),1)/INDEX(其他调用!AI$5:AI$364,MATCH($K216,其他调用!$AG$5:$AG$364,0),0),1)*INDEX(其他调用!Z$5:Z$404,MATCH($K216,其他调用!$X$5:$X$404,0),0)</f>
        <v>41590.973668738072</v>
      </c>
      <c r="AR216" s="12">
        <f>MIN(INDEX(其他调用!$AL$5:$AL$364,MATCH($K216,其他调用!$AG$5:$AG$364,0),1)/INDEX(其他调用!AJ$5:AJ$364,MATCH($K216,其他调用!$AG$5:$AG$364,0),0),1)*INDEX(其他调用!AA$5:AA$404,MATCH($K216,其他调用!$X$5:$X$404,0),0)</f>
        <v>43114.841921497908</v>
      </c>
      <c r="AS216" s="12">
        <f>MIN(INDEX(其他调用!$AL$5:$AL$364,MATCH($K216,其他调用!$AG$5:$AG$364,0),1)/INDEX(其他调用!AK$5:AK$364,MATCH($K216,其他调用!$AG$5:$AG$364,0),0),1)*INDEX(其他调用!AB$5:AB$404,MATCH($K216,其他调用!$X$5:$X$404,0),0)</f>
        <v>45312.689540887819</v>
      </c>
      <c r="AT216" s="12">
        <f>MIN(INDEX(其他调用!$AL$5:$AL$364,MATCH($K216,其他调用!$AG$5:$AG$364,0),1)/INDEX(其他调用!AL$5:AL$364,MATCH($K216,其他调用!$AG$5:$AG$364,0),0),1)*INDEX(其他调用!AC$5:AC$404,MATCH($K216,其他调用!$X$5:$X$404,0),0)</f>
        <v>49260.618096781465</v>
      </c>
      <c r="AV216" s="14">
        <f>IF(OR(AV$5="大R",AV$5="超R"),MAX(INDEX(其他调用!$H$5:$L$404,MATCH($K216,其他调用!$B$5:$B$404,0),MATCH(AV$5,其他调用!$H$4:$L$4,0))*120*0.85,2),INDEX(其他调用!$H$5:$L$404,MATCH($K216,其他调用!$B$5:$B$404,0),MATCH(AV$5,其他调用!$H$4:$L$4,0))*120*0.85)</f>
        <v>48.921801254999991</v>
      </c>
      <c r="AW216" s="14">
        <f>IF(OR(AW$5="大R",AW$5="超R"),MAX(INDEX(其他调用!$H$5:$L$404,MATCH($K216,其他调用!$B$5:$B$404,0),MATCH(AW$5,其他调用!$H$4:$L$4,0))*120*0.85,2),INDEX(其他调用!$H$5:$L$404,MATCH($K216,其他调用!$B$5:$B$404,0),MATCH(AW$5,其他调用!$H$4:$L$4,0))*120*0.85)</f>
        <v>48.237344010638395</v>
      </c>
      <c r="AX216" s="14">
        <f>IF(OR(AX$5="大R",AX$5="超R"),MAX(INDEX(其他调用!$H$5:$L$404,MATCH($K216,其他调用!$B$5:$B$404,0),MATCH(AX$5,其他调用!$H$4:$L$4,0))*120*0.85,2),INDEX(其他调用!$H$5:$L$404,MATCH($K216,其他调用!$B$5:$B$404,0),MATCH(AX$5,其他调用!$H$4:$L$4,0))*120*0.85)</f>
        <v>3.9376284143615998</v>
      </c>
      <c r="AY216" s="14">
        <f>IF(OR(AY$5="大R",AY$5="超R"),MAX(INDEX(其他调用!$H$5:$L$404,MATCH($K216,其他调用!$B$5:$B$404,0),MATCH(AY$5,其他调用!$H$4:$L$4,0))*120*0.85,2),INDEX(其他调用!$H$5:$L$404,MATCH($K216,其他调用!$B$5:$B$404,0),MATCH(AY$5,其他调用!$H$4:$L$4,0))*120*0.85)</f>
        <v>2</v>
      </c>
      <c r="AZ216" s="14">
        <f>IF(OR(AZ$5="大R",AZ$5="超R"),MAX(INDEX(其他调用!$H$5:$L$404,MATCH($K216,其他调用!$B$5:$B$404,0),MATCH(AZ$5,其他调用!$H$4:$L$4,0))*120*0.85,2),INDEX(其他调用!$H$5:$L$404,MATCH($K216,其他调用!$B$5:$B$404,0),MATCH(AZ$5,其他调用!$H$4:$L$4,0))*120*0.85)</f>
        <v>2</v>
      </c>
      <c r="BA216" s="14">
        <f>INDEX(其他调用!$H$5:$L$404,MATCH($K216,其他调用!$B$5:$B$404,0),MATCH(BA$5,其他调用!$H$4:$L$4,0))*INDEX(其他调用!$M$5:$M$404,MATCH($K216,其他调用!$B$5:$B$404,0))*0.6</f>
        <v>28.777530149999997</v>
      </c>
      <c r="BB216" s="14">
        <f>INDEX(其他调用!$H$5:$L$404,MATCH($K216,其他调用!$B$5:$B$404,0),MATCH(BB$5,其他调用!$H$4:$L$4,0))*INDEX(其他调用!$M$5:$M$404,MATCH($K216,其他调用!$B$5:$B$404,0))*0.6</f>
        <v>28.374908241551999</v>
      </c>
      <c r="BC216" s="14">
        <f>INDEX(其他调用!$H$5:$L$404,MATCH($K216,其他调用!$B$5:$B$404,0),MATCH(BC$5,其他调用!$H$4:$L$4,0))*INDEX(其他调用!$M$5:$M$404,MATCH($K216,其他调用!$B$5:$B$404,0))*0.6</f>
        <v>2.3162520084480001</v>
      </c>
      <c r="BD216" s="14">
        <f>INDEX(其他调用!$H$5:$L$404,MATCH($K216,其他调用!$B$5:$B$404,0),MATCH(BD$5,其他调用!$H$4:$L$4,0))*INDEX(其他调用!$M$5:$M$404,MATCH($K216,其他调用!$B$5:$B$404,0))*0.6</f>
        <v>0.4120776000000001</v>
      </c>
      <c r="BE216" s="14">
        <f>INDEX(其他调用!$H$5:$L$404,MATCH($K216,其他调用!$B$5:$B$404,0),MATCH(BE$5,其他调用!$H$4:$L$4,0))*INDEX(其他调用!$M$5:$M$404,MATCH($K216,其他调用!$B$5:$B$404,0))*0.6</f>
        <v>0.11923199999999998</v>
      </c>
      <c r="BF216" s="14">
        <f>IF(OR(BF$5="大R",BF$5="超R"),0,INDEX(其他调用!$H$5:$L$404,MATCH($K216,其他调用!$B$5:$B$404,0),MATCH(BF$5,其他调用!$H$4:$L$4,0))*50*0.4)</f>
        <v>9.5925100500000013</v>
      </c>
      <c r="BG216" s="14">
        <f>IF(OR(BG$5="大R",BG$5="超R"),0,INDEX(其他调用!$H$5:$L$404,MATCH($K216,其他调用!$B$5:$B$404,0),MATCH(BG$5,其他调用!$H$4:$L$4,0))*50*0.4)</f>
        <v>9.4583027471839998</v>
      </c>
      <c r="BH216" s="14">
        <f>IF(OR(BH$5="大R",BH$5="超R"),0,INDEX(其他调用!$H$5:$L$404,MATCH($K216,其他调用!$B$5:$B$404,0),MATCH(BH$5,其他调用!$H$4:$L$4,0))*50*0.4)</f>
        <v>0.77208400281600009</v>
      </c>
      <c r="BI216" s="14">
        <f>IF(OR(BI$5="大R",BI$5="超R"),0,INDEX(其他调用!$H$5:$L$404,MATCH($K216,其他调用!$B$5:$B$404,0),MATCH(BI$5,其他调用!$H$4:$L$4,0))*50*0.4)</f>
        <v>0</v>
      </c>
      <c r="BJ216" s="14">
        <f>IF(OR(BJ$5="大R",BJ$5="超R"),0,INDEX(其他调用!$H$5:$L$404,MATCH($K216,其他调用!$B$5:$B$404,0),MATCH(BJ$5,其他调用!$H$4:$L$4,0))*50*0.4)</f>
        <v>0</v>
      </c>
      <c r="BL216" s="14">
        <f t="shared" si="418"/>
        <v>211</v>
      </c>
      <c r="BM216" s="14">
        <f t="shared" si="325"/>
        <v>96</v>
      </c>
      <c r="BN216" s="14">
        <f>('疲劳值&amp;地图信息'!$S$10*'疲劳值&amp;地图信息'!$R$10+'疲劳值&amp;地图信息'!$S$11*'疲劳值&amp;地图信息'!$R$11+'疲劳值&amp;地图信息'!$S$12*'疲劳值&amp;地图信息'!$R$12+(BM216-'疲劳值&amp;地图信息'!$S$12-'疲劳值&amp;地图信息'!$S$11-'疲劳值&amp;地图信息'!$S$10)*'疲劳值&amp;地图信息'!$R$13)/BM216</f>
        <v>51.371477246638619</v>
      </c>
      <c r="BO216" s="14">
        <f>INDEX(其他调用!$M$5:$M$404,MATCH(BL216,其他调用!$B$5:$B$404,0))*0.6</f>
        <v>60</v>
      </c>
      <c r="BP216" s="14">
        <f>IF(BO216&gt;SUM('疲劳值&amp;地图信息'!$S$10:$S$12),('疲劳值&amp;地图信息'!$S$10*'疲劳值&amp;地图信息'!$R$10+'疲劳值&amp;地图信息'!$S$11*'疲劳值&amp;地图信息'!$R$11+'疲劳值&amp;地图信息'!$S$12*'疲劳值&amp;地图信息'!$R$12+(BO216-'疲劳值&amp;地图信息'!$S$12-'疲劳值&amp;地图信息'!$S$11-'疲劳值&amp;地图信息'!$S$10)*'疲劳值&amp;地图信息'!$R$13)/BO216,('疲劳值&amp;地图信息'!$S$10*'疲劳值&amp;地图信息'!$R$10+'疲劳值&amp;地图信息'!$S$11*'疲劳值&amp;地图信息'!$R$11+'疲劳值&amp;地图信息'!$S$12*'疲劳值&amp;地图信息'!$R$12+(BO216-'疲劳值&amp;地图信息'!$S$12-'疲劳值&amp;地图信息'!$S$11-'疲劳值&amp;地图信息'!$S$10)*'疲劳值&amp;地图信息'!$R$13)/BO216)</f>
        <v>44.158136341605953</v>
      </c>
      <c r="BQ216" s="14">
        <f t="shared" si="419"/>
        <v>20</v>
      </c>
      <c r="BR216" s="14">
        <f>('疲劳值&amp;地图信息'!$S$10*'疲劳值&amp;地图信息'!$R$10+($BQ216-'疲劳值&amp;地图信息'!$S$10)*'疲劳值&amp;地图信息'!$R$11)/$BQ216</f>
        <v>32.067203015074995</v>
      </c>
      <c r="CF216" s="14">
        <v>211</v>
      </c>
      <c r="CG216" s="51">
        <f t="shared" si="326"/>
        <v>13679</v>
      </c>
      <c r="CH216" s="51">
        <f t="shared" si="327"/>
        <v>1076</v>
      </c>
      <c r="CI216" s="51">
        <f>INT(SUMPRODUCT($N216:$R216,$BA216:$BE216)/SUM($BA216:$BE216)/10000*$BX$7*$BZ$34/'疲劳值&amp;地图信息'!$R$10*$BY$53)</f>
        <v>3283</v>
      </c>
      <c r="CJ216" s="50">
        <f t="shared" si="328"/>
        <v>0.75834349706175852</v>
      </c>
      <c r="CK216" s="50">
        <f t="shared" si="329"/>
        <v>5.9651846102672136E-2</v>
      </c>
      <c r="CL216" s="50">
        <f t="shared" si="330"/>
        <v>0.18200465683556935</v>
      </c>
      <c r="CM216" s="14">
        <f t="shared" si="331"/>
        <v>14578</v>
      </c>
      <c r="CN216" s="14">
        <f t="shared" si="332"/>
        <v>1718</v>
      </c>
      <c r="CO216" s="14">
        <f>INT(SUMPRODUCT($U216:$Y216,$BA216:$BE216)/SUM($BA216:$BE216)/10000*$BX$7*$BZ$34/'疲劳值&amp;地图信息'!$R$10*$BY$54)</f>
        <v>6102</v>
      </c>
      <c r="CP216" s="50">
        <f t="shared" si="333"/>
        <v>0.65086168407893563</v>
      </c>
      <c r="CQ216" s="50">
        <f t="shared" si="334"/>
        <v>7.6703277078310567E-2</v>
      </c>
      <c r="CR216" s="50">
        <f t="shared" si="335"/>
        <v>0.27243503884275383</v>
      </c>
      <c r="CS216" s="14">
        <f t="shared" si="336"/>
        <v>15827</v>
      </c>
      <c r="CT216" s="14">
        <f t="shared" si="337"/>
        <v>2995</v>
      </c>
      <c r="CU216" s="14">
        <f>INT(SUMPRODUCT($AB216:$AF216,$BA216:$BE216)/SUM($BA216:$BE216)/10000*$BX$7*$BZ$34/'疲劳值&amp;地图信息'!$R$10*$BY$55)</f>
        <v>8290</v>
      </c>
      <c r="CV216" s="50">
        <f t="shared" si="338"/>
        <v>0.5837636470935379</v>
      </c>
      <c r="CW216" s="50">
        <f t="shared" si="339"/>
        <v>0.11046768958394806</v>
      </c>
      <c r="CX216" s="50">
        <f t="shared" si="340"/>
        <v>0.30576866332251401</v>
      </c>
      <c r="CY216" s="14">
        <f t="shared" si="341"/>
        <v>18962</v>
      </c>
      <c r="CZ216" s="14">
        <f t="shared" si="342"/>
        <v>8704</v>
      </c>
      <c r="DA216" s="14">
        <f>INT(SUMPRODUCT($AI216:$AM216,$BA216:$BE216)/SUM($BA216:$BE216)/10000*$BX$7*$BZ$34/'疲劳值&amp;地图信息'!$R$10*$BY$56)</f>
        <v>12506</v>
      </c>
      <c r="DB216" s="50">
        <f t="shared" si="343"/>
        <v>0.47202031265558098</v>
      </c>
      <c r="DC216" s="50">
        <f t="shared" si="344"/>
        <v>0.21666832619735138</v>
      </c>
      <c r="DD216" s="50">
        <f t="shared" si="345"/>
        <v>0.31131136114706759</v>
      </c>
      <c r="DE216" s="14">
        <f t="shared" si="346"/>
        <v>19761</v>
      </c>
      <c r="DF216" s="14">
        <f t="shared" si="347"/>
        <v>14978</v>
      </c>
      <c r="DG216" s="14">
        <f>INT(SUMPRODUCT($AP216:$AT216,$BA216:$BE216)/SUM($BA216:$BE216)/10000*$BX$7*$BZ$34/'疲劳值&amp;地图信息'!$R$10*$BY$57)</f>
        <v>16697</v>
      </c>
      <c r="DH216" s="50">
        <f t="shared" si="348"/>
        <v>0.38418617310832881</v>
      </c>
      <c r="DI216" s="50">
        <f t="shared" si="349"/>
        <v>0.29119682712497086</v>
      </c>
      <c r="DJ216" s="50">
        <f t="shared" si="350"/>
        <v>0.32461699976670039</v>
      </c>
      <c r="DL216" s="14">
        <f t="shared" si="421"/>
        <v>18038</v>
      </c>
      <c r="DM216" s="14">
        <f t="shared" si="422"/>
        <v>22398</v>
      </c>
      <c r="DN216" s="14">
        <f t="shared" si="423"/>
        <v>27112</v>
      </c>
      <c r="DO216" s="14">
        <f t="shared" si="424"/>
        <v>40172</v>
      </c>
      <c r="DP216" s="14">
        <f t="shared" si="425"/>
        <v>51436</v>
      </c>
      <c r="DQ216" s="14">
        <f t="shared" si="426"/>
        <v>1240115</v>
      </c>
      <c r="DT216" s="14">
        <f t="shared" si="420"/>
        <v>235575</v>
      </c>
      <c r="DU216" s="50">
        <f t="shared" si="322"/>
        <v>0.1596371866719975</v>
      </c>
      <c r="DW216" s="14">
        <f t="shared" si="351"/>
        <v>1475690</v>
      </c>
      <c r="EB216" s="14">
        <v>211</v>
      </c>
      <c r="EC216" s="51">
        <f t="shared" si="352"/>
        <v>22799</v>
      </c>
      <c r="ED216" s="51">
        <f t="shared" si="353"/>
        <v>1794</v>
      </c>
      <c r="EE216" s="51">
        <f>INT(SUMPRODUCT($N216:$R216,$BF216:$BJ216)/SUM($BF216:$BJ216)/10000*$BX$7*$BZ$46/'疲劳值&amp;地图信息'!$R$10*$BY$53)</f>
        <v>441</v>
      </c>
      <c r="EF216" s="50">
        <f t="shared" si="354"/>
        <v>0.91072141887033631</v>
      </c>
      <c r="EG216" s="50">
        <f t="shared" si="355"/>
        <v>7.1662538947032034E-2</v>
      </c>
      <c r="EH216" s="50">
        <f t="shared" si="356"/>
        <v>1.761604218263162E-2</v>
      </c>
      <c r="EI216" s="51">
        <f t="shared" si="357"/>
        <v>24298</v>
      </c>
      <c r="EJ216" s="51">
        <f t="shared" si="358"/>
        <v>2864</v>
      </c>
      <c r="EK216" s="14">
        <f>INT(SUMPRODUCT($U216:$Y216,$BF216:$BJ216)/SUM($BF216:$BJ216)/10000*$BX$7*$BZ$46/'疲劳值&amp;地图信息'!$R$10*$BY$54)</f>
        <v>819</v>
      </c>
      <c r="EL216" s="50">
        <f t="shared" si="359"/>
        <v>0.86837496872878028</v>
      </c>
      <c r="EM216" s="50">
        <f t="shared" si="360"/>
        <v>0.10235516957935742</v>
      </c>
      <c r="EN216" s="50">
        <f t="shared" si="361"/>
        <v>2.9269861691862336E-2</v>
      </c>
      <c r="EO216" s="51">
        <f t="shared" si="362"/>
        <v>26378</v>
      </c>
      <c r="EP216" s="51">
        <f t="shared" si="363"/>
        <v>4992</v>
      </c>
      <c r="EQ216" s="14">
        <f>INT(SUMPRODUCT($AB216:$AF216,$BF216:$BJ216)/SUM($BF216:$BJ216)/10000*$BX$7*$BZ$46/'疲劳值&amp;地图信息'!$R$10*$BY$55)</f>
        <v>1111</v>
      </c>
      <c r="ER216" s="50">
        <f t="shared" si="364"/>
        <v>0.81210553862257939</v>
      </c>
      <c r="ES216" s="50">
        <f t="shared" si="365"/>
        <v>0.15368984945044795</v>
      </c>
      <c r="ET216" s="50">
        <f t="shared" si="366"/>
        <v>3.4204611926972689E-2</v>
      </c>
      <c r="EU216" s="51">
        <f t="shared" si="367"/>
        <v>31604</v>
      </c>
      <c r="EV216" s="51">
        <f t="shared" si="368"/>
        <v>14507</v>
      </c>
      <c r="EW216" s="14">
        <f>INT(SUMPRODUCT($AI216:$AM216,$BF216:$BJ216)/SUM($BF216:$BJ216)/10000*$BX$7*$BZ$46/'疲劳值&amp;地图信息'!$R$10*$BY$56)</f>
        <v>1667</v>
      </c>
      <c r="EX216" s="50">
        <f t="shared" si="369"/>
        <v>0.66147599313491567</v>
      </c>
      <c r="EY216" s="50">
        <f t="shared" si="370"/>
        <v>0.30363347147222569</v>
      </c>
      <c r="EZ216" s="50">
        <f t="shared" si="371"/>
        <v>3.4890535392858635E-2</v>
      </c>
      <c r="FA216" s="51">
        <f t="shared" si="372"/>
        <v>32935</v>
      </c>
      <c r="FB216" s="51">
        <f t="shared" si="373"/>
        <v>24963</v>
      </c>
      <c r="FC216" s="14">
        <f>INT(SUMPRODUCT($AP216:$AT216,$BF216:$BJ216)/SUM($BF216:$BJ216)/10000*$BX$7*$BZ$46/'疲劳值&amp;地图信息'!$R$10*$BY$57)</f>
        <v>2223</v>
      </c>
      <c r="FD216" s="50">
        <f t="shared" si="374"/>
        <v>0.54781191264283691</v>
      </c>
      <c r="FE216" s="50">
        <f t="shared" si="375"/>
        <v>0.41521265448013173</v>
      </c>
      <c r="FF216" s="50">
        <f t="shared" si="376"/>
        <v>3.6975432877031318E-2</v>
      </c>
      <c r="FH216" s="14">
        <f t="shared" si="377"/>
        <v>25034</v>
      </c>
      <c r="FI216" s="14">
        <f t="shared" si="378"/>
        <v>27981</v>
      </c>
      <c r="FJ216" s="14">
        <f t="shared" si="379"/>
        <v>32481</v>
      </c>
      <c r="FK216" s="14">
        <f t="shared" si="380"/>
        <v>47778</v>
      </c>
      <c r="FL216" s="14">
        <f t="shared" si="381"/>
        <v>60121</v>
      </c>
      <c r="FM216" s="14">
        <f t="shared" si="382"/>
        <v>2918133</v>
      </c>
      <c r="FP216" s="14">
        <f t="shared" si="383"/>
        <v>334150</v>
      </c>
      <c r="FQ216" s="50">
        <f t="shared" si="323"/>
        <v>0.10274321146099524</v>
      </c>
      <c r="FS216" s="14">
        <f t="shared" si="384"/>
        <v>3252283</v>
      </c>
      <c r="FX216" s="14">
        <v>211</v>
      </c>
      <c r="FY216" s="51">
        <f t="shared" si="385"/>
        <v>31919</v>
      </c>
      <c r="FZ216" s="51">
        <f t="shared" si="386"/>
        <v>1794</v>
      </c>
      <c r="GA216" s="51">
        <f>INT(SUMPRODUCT($N216:$R216,$BF216:$BJ216)/SUM($BF216:$BJ216)/10000*$BX$7*$BZ$46/'疲劳值&amp;地图信息'!$R$10*$BY$53)</f>
        <v>441</v>
      </c>
      <c r="GB216" s="50">
        <f t="shared" si="387"/>
        <v>0.93456110558060546</v>
      </c>
      <c r="GC216" s="50">
        <f t="shared" si="388"/>
        <v>5.2526790419862975E-2</v>
      </c>
      <c r="GD216" s="50">
        <f t="shared" si="389"/>
        <v>1.2912103999531533E-2</v>
      </c>
      <c r="GE216" s="51">
        <f t="shared" si="390"/>
        <v>34017</v>
      </c>
      <c r="GF216" s="51">
        <f t="shared" si="391"/>
        <v>2864</v>
      </c>
      <c r="GG216" s="14">
        <f>INT(SUMPRODUCT($U216:$Y216,$BF216:$BJ216)/SUM($BF216:$BJ216)/10000*$BX$7*$BZ$46/'疲劳值&amp;地图信息'!$R$10*$BY$54)</f>
        <v>819</v>
      </c>
      <c r="GH216" s="50">
        <f t="shared" si="392"/>
        <v>0.90230769230769226</v>
      </c>
      <c r="GI216" s="50">
        <f t="shared" si="393"/>
        <v>7.5968169761273213E-2</v>
      </c>
      <c r="GJ216" s="50">
        <f t="shared" si="394"/>
        <v>2.1724137931034483E-2</v>
      </c>
      <c r="GK216" s="51">
        <f t="shared" si="395"/>
        <v>36929</v>
      </c>
      <c r="GL216" s="51">
        <f t="shared" si="396"/>
        <v>4992</v>
      </c>
      <c r="GM216" s="14">
        <f>INT(SUMPRODUCT($AB216:$AF216,$BF216:$BJ216)/SUM($BF216:$BJ216)/10000*$BX$7*$BZ$46/'疲劳值&amp;地图信息'!$R$10*$BY$55)</f>
        <v>1111</v>
      </c>
      <c r="GN216" s="50">
        <f t="shared" si="397"/>
        <v>0.85817531139617031</v>
      </c>
      <c r="GO216" s="50">
        <f t="shared" si="398"/>
        <v>0.11600669269380925</v>
      </c>
      <c r="GP216" s="50">
        <f t="shared" si="399"/>
        <v>2.5817995910020451E-2</v>
      </c>
      <c r="GQ216" s="51">
        <f t="shared" si="400"/>
        <v>44245</v>
      </c>
      <c r="GR216" s="51">
        <f t="shared" si="401"/>
        <v>14507</v>
      </c>
      <c r="GS216" s="14">
        <f>INT(SUMPRODUCT($AI216:$AM216,$BF216:$BJ216)/SUM($BF216:$BJ216)/10000*$BX$7*$BZ$46/'疲劳值&amp;地图信息'!$R$10*$BY$56)</f>
        <v>1667</v>
      </c>
      <c r="GT216" s="50">
        <f t="shared" si="402"/>
        <v>0.73230275244542276</v>
      </c>
      <c r="GU216" s="50">
        <f t="shared" si="403"/>
        <v>0.24010658898690809</v>
      </c>
      <c r="GV216" s="50">
        <f t="shared" si="404"/>
        <v>2.759065856766911E-2</v>
      </c>
      <c r="GW216" s="51">
        <f t="shared" si="405"/>
        <v>46109</v>
      </c>
      <c r="GX216" s="51">
        <f t="shared" si="406"/>
        <v>24963</v>
      </c>
      <c r="GY216" s="14">
        <f>INT(SUMPRODUCT($AP216:$AT216,$BF216:$BJ216)/SUM($BF216:$BJ216)/10000*$BX$7*$BZ$46/'疲劳值&amp;地图信息'!$R$10*$BY$57)</f>
        <v>2223</v>
      </c>
      <c r="GZ216" s="50">
        <f t="shared" si="407"/>
        <v>0.62908793232826254</v>
      </c>
      <c r="HA216" s="50">
        <f t="shared" si="408"/>
        <v>0.34058257725629304</v>
      </c>
      <c r="HB216" s="50">
        <f t="shared" si="409"/>
        <v>3.0329490415444436E-2</v>
      </c>
      <c r="HD216" s="14">
        <f t="shared" si="410"/>
        <v>34154</v>
      </c>
      <c r="HE216" s="14">
        <f t="shared" si="411"/>
        <v>37700</v>
      </c>
      <c r="HF216" s="14">
        <f t="shared" si="412"/>
        <v>43032</v>
      </c>
      <c r="HG216" s="14">
        <f t="shared" si="413"/>
        <v>60419</v>
      </c>
      <c r="HH216" s="14">
        <f t="shared" si="414"/>
        <v>73295</v>
      </c>
      <c r="HI216" s="14">
        <f t="shared" si="415"/>
        <v>3926295</v>
      </c>
      <c r="HL216" s="14">
        <f t="shared" si="416"/>
        <v>430050</v>
      </c>
      <c r="HM216" s="50">
        <f t="shared" si="324"/>
        <v>9.8718076736346638E-2</v>
      </c>
      <c r="HO216" s="14">
        <f t="shared" si="417"/>
        <v>4356345</v>
      </c>
    </row>
    <row r="217" spans="11:223" x14ac:dyDescent="0.2">
      <c r="K217" s="14">
        <v>212</v>
      </c>
      <c r="L217" s="12">
        <f>求节点(节奏总纲!D$4:D$163,标准城池设计!AB$4:AB$163,$K217)*求节点(节奏总纲!D$4:D$163,攻城基础信息!$AC$5:$AC$164,$K217)</f>
        <v>672538.23002692149</v>
      </c>
      <c r="M217" s="12">
        <f>INDEX(其他调用!$AA$5:$AA$404,MATCH(K217,其他调用!$X$5:$X$404,0))*MIN(INDEX(其他调用!$AH$5:$AH$364,MATCH('征服点（新）'!K217,其他调用!$AG$5:$AG$364,0),1)/INDEX(其他调用!$AJ$5:$AJ$364,MATCH(K217,其他调用!$AG$5:$AG$364,0),0),5)*求节点(节奏总纲!D$4:D$163,攻城基础信息!$AC$5:$AC$164,$K217)</f>
        <v>52889.593773915905</v>
      </c>
      <c r="N217" s="12">
        <f>MIN(INDEX(其他调用!$AH$5:$AH$364,MATCH($K217,其他调用!$AG$5:$AG$364,0),1)/INDEX(其他调用!AH$5:AH$364,MATCH($K217,其他调用!$AG$5:$AG$364,0),0),1)*INDEX(其他调用!Y$5:Y$404,MATCH($K217,其他调用!$X$5:$X$404,0),0)</f>
        <v>40470.891610616454</v>
      </c>
      <c r="O217" s="12">
        <f>MIN(INDEX(其他调用!$AH$5:$AH$364,MATCH($K217,其他调用!$AG$5:$AG$364,0),1)/INDEX(其他调用!AI$5:AI$364,MATCH($K217,其他调用!$AG$5:$AG$364,0),0),1)*INDEX(其他调用!Z$5:Z$404,MATCH($K217,其他调用!$X$5:$X$404,0),0)</f>
        <v>26060.527734760832</v>
      </c>
      <c r="P217" s="12">
        <f>MIN(INDEX(其他调用!$AH$5:$AH$364,MATCH($K217,其他调用!$AG$5:$AG$364,0),1)/INDEX(其他调用!AJ$5:AJ$364,MATCH($K217,其他调用!$AG$5:$AG$364,0),0),1)*INDEX(其他调用!AA$5:AA$404,MATCH($K217,其他调用!$X$5:$X$404,0),0)</f>
        <v>15504.193102316171</v>
      </c>
      <c r="Q217" s="12">
        <f>MIN(INDEX(其他调用!$AH$5:$AH$364,MATCH($K217,其他调用!$AG$5:$AG$364,0),1)/INDEX(其他调用!AK$5:AK$364,MATCH($K217,其他调用!$AG$5:$AG$364,0),0),1)*INDEX(其他调用!AB$5:AB$404,MATCH($K217,其他调用!$X$5:$X$404,0),0)</f>
        <v>5604.9588640589564</v>
      </c>
      <c r="R217" s="12">
        <f>MIN(INDEX(其他调用!$AH$5:$AH$364,MATCH($K217,其他调用!$AG$5:$AG$364,0),1)/INDEX(其他调用!AL$5:AL$364,MATCH($K217,其他调用!$AG$5:$AG$364,0),0),1)*INDEX(其他调用!AC$5:AC$404,MATCH($K217,其他调用!$X$5:$X$404,0),0)</f>
        <v>2617.312053613522</v>
      </c>
      <c r="S217" s="12">
        <f>求节点(节奏总纲!D$4:D$163,标准城池设计!AC$4:AC$163,$K217)*求节点(节奏总纲!D$4:D$163,攻城基础信息!$AD$5:$AD$164,$K217)</f>
        <v>716943.7994570696</v>
      </c>
      <c r="T217" s="12">
        <f>INDEX(其他调用!$AA$5:$AA$404,MATCH($K217,其他调用!$X$5:$X$404,0))*MIN(INDEX(其他调用!AI$5:AI$364,MATCH($K217,其他调用!$AG$5:$AG$364,0),1)/INDEX(其他调用!$AJ$5:$AJ$364,MATCH($K217,其他调用!$AG$5:$AG$364,0),0),5)*求节点(节奏总纲!D$4:D$163,攻城基础信息!$AD$5:$AD$164,$K217)</f>
        <v>84464.070723078548</v>
      </c>
      <c r="U217" s="12">
        <f>MIN(INDEX(其他调用!$AI$5:$AI$364,MATCH($K217,其他调用!$AG$5:$AG$364,0),1)/INDEX(其他调用!AH$5:AH$364,MATCH($K217,其他调用!$AG$5:$AG$364,0),0),1)*INDEX(其他调用!Y$5:Y$404,MATCH($K217,其他调用!$X$5:$X$404,0),0)</f>
        <v>40470.891610616454</v>
      </c>
      <c r="V217" s="12">
        <f>MIN(INDEX(其他调用!$AI$5:$AI$364,MATCH($K217,其他调用!$AG$5:$AG$364,0),1)/INDEX(其他调用!AI$5:AI$364,MATCH($K217,其他调用!$AG$5:$AG$364,0),0),1)*INDEX(其他调用!Z$5:Z$404,MATCH($K217,其他调用!$X$5:$X$404,0),0)</f>
        <v>41618.361961312054</v>
      </c>
      <c r="W217" s="12">
        <f>MIN(INDEX(其他调用!$AI$5:$AI$364,MATCH($K217,其他调用!$AG$5:$AG$364,0),1)/INDEX(其他调用!AJ$5:AJ$364,MATCH($K217,其他调用!$AG$5:$AG$364,0),0),1)*INDEX(其他调用!AA$5:AA$404,MATCH($K217,其他调用!$X$5:$X$404,0),0)</f>
        <v>24760.01741091349</v>
      </c>
      <c r="X217" s="12">
        <f>MIN(INDEX(其他调用!$AI$5:$AI$364,MATCH($K217,其他调用!$AG$5:$AG$364,0),1)/INDEX(其他调用!AK$5:AK$364,MATCH($K217,其他调用!$AG$5:$AG$364,0),0),1)*INDEX(其他调用!AB$5:AB$404,MATCH($K217,其他调用!$X$5:$X$404,0),0)</f>
        <v>8951.0546047585976</v>
      </c>
      <c r="Y217" s="12">
        <f>MIN(INDEX(其他调用!$AI$5:$AI$364,MATCH($K217,其他调用!$AG$5:$AG$364,0),1)/INDEX(其他调用!AL$5:AL$364,MATCH($K217,其他调用!$AG$5:$AG$364,0),0),1)*INDEX(其他调用!AC$5:AC$404,MATCH($K217,其他调用!$X$5:$X$404,0),0)</f>
        <v>4179.8171365385906</v>
      </c>
      <c r="Z217" s="12">
        <f>求节点(节奏总纲!D$4:D$163,标准城池设计!AD$4:AD$163,$K217)*求节点(节奏总纲!D$4:D$163,攻城基础信息!$AE$5:$AE$164,$K217)</f>
        <v>778695.95038775913</v>
      </c>
      <c r="AA217" s="12">
        <f>INDEX(其他调用!$AA$5:$AA$404,MATCH($K217,其他调用!$X$5:$X$404,0))*MIN(INDEX(其他调用!AJ$5:AJ$364,MATCH($K217,其他调用!$AG$5:$AG$364,0),1)/INDEX(其他调用!$AJ$5:$AJ$364,MATCH($K217,其他调用!$AG$5:$AG$364,0),0),5)*求节点(节奏总纲!D$4:D$163,攻城基础信息!$AE$5:$AE$164,$K217)</f>
        <v>147170.73666398632</v>
      </c>
      <c r="AB217" s="12">
        <f>MIN(INDEX(其他调用!$AJ$5:$AJ$364,MATCH($K217,其他调用!$AG$5:$AG$364,0),1)/INDEX(其他调用!AH$5:AH$364,MATCH($K217,其他调用!$AG$5:$AG$364,0),0),1)*INDEX(其他调用!Y$5:Y$404,MATCH($K217,其他调用!$X$5:$X$404,0),0)</f>
        <v>40470.891610616454</v>
      </c>
      <c r="AC217" s="12">
        <f>MIN(INDEX(其他调用!$AJ$5:$AJ$364,MATCH($K217,其他调用!$AG$5:$AG$364,0),1)/INDEX(其他调用!AI$5:AI$364,MATCH($K217,其他调用!$AG$5:$AG$364,0),0),1)*INDEX(其他调用!Z$5:Z$404,MATCH($K217,其他调用!$X$5:$X$404,0),0)</f>
        <v>41618.361961312054</v>
      </c>
      <c r="AD217" s="12">
        <f>MIN(INDEX(其他调用!$AJ$5:$AJ$364,MATCH($K217,其他调用!$AG$5:$AG$364,0),1)/INDEX(其他调用!AJ$5:AJ$364,MATCH($K217,其他调用!$AG$5:$AG$364,0),0),1)*INDEX(其他调用!AA$5:AA$404,MATCH($K217,其他调用!$X$5:$X$404,0),0)</f>
        <v>43142.012585732635</v>
      </c>
      <c r="AE217" s="12">
        <f>MIN(INDEX(其他调用!$AJ$5:$AJ$364,MATCH($K217,其他调用!$AG$5:$AG$364,0),1)/INDEX(其他调用!AK$5:AK$364,MATCH($K217,其他调用!$AG$5:$AG$364,0),0),1)*INDEX(其他调用!AB$5:AB$404,MATCH($K217,其他调用!$X$5:$X$404,0),0)</f>
        <v>15596.374752299835</v>
      </c>
      <c r="AF217" s="12">
        <f>MIN(INDEX(其他调用!$AJ$5:$AJ$364,MATCH($K217,其他调用!$AG$5:$AG$364,0),1)/INDEX(其他调用!AL$5:AL$364,MATCH($K217,其他调用!$AG$5:$AG$364,0),0),1)*INDEX(其他调用!AC$5:AC$404,MATCH($K217,其他调用!$X$5:$X$404,0),0)</f>
        <v>7282.9400932136077</v>
      </c>
      <c r="AG217" s="12">
        <f>求节点(节奏总纲!D$4:D$163,标准城池设计!AE$4:AE$163,$K217)*求节点(节奏总纲!D$4:D$163,攻城基础信息!$AF$5:$AF$164,$K217)</f>
        <v>933166.22821760119</v>
      </c>
      <c r="AH217" s="12">
        <f>INDEX(其他调用!$AA$5:$AA$404,MATCH($K217,其他调用!$X$5:$X$404,0))*MIN(INDEX(其他调用!AK$5:AK$364,MATCH($K217,其他调用!$AG$5:$AG$364,0),1)/INDEX(其他调用!$AJ$5:$AJ$364,MATCH($K217,其他调用!$AG$5:$AG$364,0),0),5)*求节点(节奏总纲!D$4:D$163,攻城基础信息!$AF$5:$AF$164,$K217)</f>
        <v>427849.21687401063</v>
      </c>
      <c r="AI217" s="12">
        <f>MIN(INDEX(其他调用!$AK$5:$AK$364,MATCH($K217,其他调用!$AG$5:$AG$364,0),1)/INDEX(其他调用!AH$5:AH$364,MATCH($K217,其他调用!$AG$5:$AG$364,0),0),1)*INDEX(其他调用!Y$5:Y$404,MATCH($K217,其他调用!$X$5:$X$404,0),0)</f>
        <v>40470.891610616454</v>
      </c>
      <c r="AJ217" s="12">
        <f>MIN(INDEX(其他调用!$AK$5:$AK$364,MATCH($K217,其他调用!$AG$5:$AG$364,0),1)/INDEX(其他调用!AI$5:AI$364,MATCH($K217,其他调用!$AG$5:$AG$364,0),0),1)*INDEX(其他调用!Z$5:Z$404,MATCH($K217,其他调用!$X$5:$X$404,0),0)</f>
        <v>41618.361961312054</v>
      </c>
      <c r="AK217" s="12">
        <f>MIN(INDEX(其他调用!$AK$5:$AK$364,MATCH($K217,其他调用!$AG$5:$AG$364,0),1)/INDEX(其他调用!AJ$5:AJ$364,MATCH($K217,其他调用!$AG$5:$AG$364,0),0),1)*INDEX(其他调用!AA$5:AA$404,MATCH($K217,其他调用!$X$5:$X$404,0),0)</f>
        <v>43142.012585732635</v>
      </c>
      <c r="AL217" s="12">
        <f>MIN(INDEX(其他调用!$AK$5:$AK$364,MATCH($K217,其他调用!$AG$5:$AG$364,0),1)/INDEX(其他调用!AK$5:AK$364,MATCH($K217,其他调用!$AG$5:$AG$364,0),0),1)*INDEX(其他调用!AB$5:AB$404,MATCH($K217,其他调用!$X$5:$X$404,0),0)</f>
        <v>45341.192652180143</v>
      </c>
      <c r="AM217" s="12">
        <f>MIN(INDEX(其他调用!$AK$5:$AK$364,MATCH($K217,其他调用!$AG$5:$AG$364,0),1)/INDEX(其他调用!AL$5:AL$364,MATCH($K217,其他调用!$AG$5:$AG$364,0),0),1)*INDEX(其他调用!AC$5:AC$404,MATCH($K217,其他调用!$X$5:$X$404,0),0)</f>
        <v>21172.688851426276</v>
      </c>
      <c r="AN217" s="12">
        <f>求节点(节奏总纲!D$4:D$163,标准城池设计!AF$4:AF$163,$K217)*求节点(节奏总纲!D$4:D$163,攻城基础信息!$AG$5:$AG$164,$K217)</f>
        <v>972714.88720748189</v>
      </c>
      <c r="AO217" s="12">
        <f>INDEX(其他调用!$AA$5:$AA$404,MATCH($K217,其他调用!$X$5:$X$404,0))*MIN(INDEX(其他调用!AL$5:AL$364,MATCH($K217,其他调用!$AG$5:$AG$364,0),1)/INDEX(其他调用!$AJ$5:$AJ$364,MATCH($K217,其他调用!$AG$5:$AG$364,0),0),5)*求节点(节奏总纲!D$4:D$163,攻城基础信息!$AG$5:$AG$164,$K217)</f>
        <v>735853.68331993162</v>
      </c>
      <c r="AP217" s="12">
        <f>MIN(INDEX(其他调用!$AL$5:$AL$364,MATCH($K217,其他调用!$AG$5:$AG$364,0),1)/INDEX(其他调用!AH$5:AH$364,MATCH($K217,其他调用!$AG$5:$AG$364,0),0),1)*INDEX(其他调用!Y$5:Y$404,MATCH($K217,其他调用!$X$5:$X$404,0),0)</f>
        <v>40470.891610616454</v>
      </c>
      <c r="AQ217" s="12">
        <f>MIN(INDEX(其他调用!$AL$5:$AL$364,MATCH($K217,其他调用!$AG$5:$AG$364,0),1)/INDEX(其他调用!AI$5:AI$364,MATCH($K217,其他调用!$AG$5:$AG$364,0),0),1)*INDEX(其他调用!Z$5:Z$404,MATCH($K217,其他调用!$X$5:$X$404,0),0)</f>
        <v>41618.361961312054</v>
      </c>
      <c r="AR217" s="12">
        <f>MIN(INDEX(其他调用!$AL$5:$AL$364,MATCH($K217,其他调用!$AG$5:$AG$364,0),1)/INDEX(其他调用!AJ$5:AJ$364,MATCH($K217,其他调用!$AG$5:$AG$364,0),0),1)*INDEX(其他调用!AA$5:AA$404,MATCH($K217,其他调用!$X$5:$X$404,0),0)</f>
        <v>43142.012585732635</v>
      </c>
      <c r="AS217" s="12">
        <f>MIN(INDEX(其他调用!$AL$5:$AL$364,MATCH($K217,其他调用!$AG$5:$AG$364,0),1)/INDEX(其他调用!AK$5:AK$364,MATCH($K217,其他调用!$AG$5:$AG$364,0),0),1)*INDEX(其他调用!AB$5:AB$404,MATCH($K217,其他调用!$X$5:$X$404,0),0)</f>
        <v>45341.192652180143</v>
      </c>
      <c r="AT217" s="12">
        <f>MIN(INDEX(其他调用!$AL$5:$AL$364,MATCH($K217,其他调用!$AG$5:$AG$364,0),1)/INDEX(其他调用!AL$5:AL$364,MATCH($K217,其他调用!$AG$5:$AG$364,0),0),1)*INDEX(其他调用!AC$5:AC$404,MATCH($K217,其他调用!$X$5:$X$404,0),0)</f>
        <v>49286.663661520935</v>
      </c>
      <c r="AV217" s="14">
        <f>IF(OR(AV$5="大R",AV$5="超R"),MAX(INDEX(其他调用!$H$5:$L$404,MATCH($K217,其他调用!$B$5:$B$404,0),MATCH(AV$5,其他调用!$H$4:$L$4,0))*120*0.85,2),INDEX(其他调用!$H$5:$L$404,MATCH($K217,其他调用!$B$5:$B$404,0),MATCH(AV$5,其他调用!$H$4:$L$4,0))*120*0.85)</f>
        <v>48.921801254999991</v>
      </c>
      <c r="AW217" s="14">
        <f>IF(OR(AW$5="大R",AW$5="超R"),MAX(INDEX(其他调用!$H$5:$L$404,MATCH($K217,其他调用!$B$5:$B$404,0),MATCH(AW$5,其他调用!$H$4:$L$4,0))*120*0.85,2),INDEX(其他调用!$H$5:$L$404,MATCH($K217,其他调用!$B$5:$B$404,0),MATCH(AW$5,其他调用!$H$4:$L$4,0))*120*0.85)</f>
        <v>48.237344010638395</v>
      </c>
      <c r="AX217" s="14">
        <f>IF(OR(AX$5="大R",AX$5="超R"),MAX(INDEX(其他调用!$H$5:$L$404,MATCH($K217,其他调用!$B$5:$B$404,0),MATCH(AX$5,其他调用!$H$4:$L$4,0))*120*0.85,2),INDEX(其他调用!$H$5:$L$404,MATCH($K217,其他调用!$B$5:$B$404,0),MATCH(AX$5,其他调用!$H$4:$L$4,0))*120*0.85)</f>
        <v>3.9376284143615998</v>
      </c>
      <c r="AY217" s="14">
        <f>IF(OR(AY$5="大R",AY$5="超R"),MAX(INDEX(其他调用!$H$5:$L$404,MATCH($K217,其他调用!$B$5:$B$404,0),MATCH(AY$5,其他调用!$H$4:$L$4,0))*120*0.85,2),INDEX(其他调用!$H$5:$L$404,MATCH($K217,其他调用!$B$5:$B$404,0),MATCH(AY$5,其他调用!$H$4:$L$4,0))*120*0.85)</f>
        <v>2</v>
      </c>
      <c r="AZ217" s="14">
        <f>IF(OR(AZ$5="大R",AZ$5="超R"),MAX(INDEX(其他调用!$H$5:$L$404,MATCH($K217,其他调用!$B$5:$B$404,0),MATCH(AZ$5,其他调用!$H$4:$L$4,0))*120*0.85,2),INDEX(其他调用!$H$5:$L$404,MATCH($K217,其他调用!$B$5:$B$404,0),MATCH(AZ$5,其他调用!$H$4:$L$4,0))*120*0.85)</f>
        <v>2</v>
      </c>
      <c r="BA217" s="14">
        <f>INDEX(其他调用!$H$5:$L$404,MATCH($K217,其他调用!$B$5:$B$404,0),MATCH(BA$5,其他调用!$H$4:$L$4,0))*INDEX(其他调用!$M$5:$M$404,MATCH($K217,其他调用!$B$5:$B$404,0))*0.6</f>
        <v>28.777530149999997</v>
      </c>
      <c r="BB217" s="14">
        <f>INDEX(其他调用!$H$5:$L$404,MATCH($K217,其他调用!$B$5:$B$404,0),MATCH(BB$5,其他调用!$H$4:$L$4,0))*INDEX(其他调用!$M$5:$M$404,MATCH($K217,其他调用!$B$5:$B$404,0))*0.6</f>
        <v>28.374908241551999</v>
      </c>
      <c r="BC217" s="14">
        <f>INDEX(其他调用!$H$5:$L$404,MATCH($K217,其他调用!$B$5:$B$404,0),MATCH(BC$5,其他调用!$H$4:$L$4,0))*INDEX(其他调用!$M$5:$M$404,MATCH($K217,其他调用!$B$5:$B$404,0))*0.6</f>
        <v>2.3162520084480001</v>
      </c>
      <c r="BD217" s="14">
        <f>INDEX(其他调用!$H$5:$L$404,MATCH($K217,其他调用!$B$5:$B$404,0),MATCH(BD$5,其他调用!$H$4:$L$4,0))*INDEX(其他调用!$M$5:$M$404,MATCH($K217,其他调用!$B$5:$B$404,0))*0.6</f>
        <v>0.4120776000000001</v>
      </c>
      <c r="BE217" s="14">
        <f>INDEX(其他调用!$H$5:$L$404,MATCH($K217,其他调用!$B$5:$B$404,0),MATCH(BE$5,其他调用!$H$4:$L$4,0))*INDEX(其他调用!$M$5:$M$404,MATCH($K217,其他调用!$B$5:$B$404,0))*0.6</f>
        <v>0.11923199999999998</v>
      </c>
      <c r="BF217" s="14">
        <f>IF(OR(BF$5="大R",BF$5="超R"),0,INDEX(其他调用!$H$5:$L$404,MATCH($K217,其他调用!$B$5:$B$404,0),MATCH(BF$5,其他调用!$H$4:$L$4,0))*50*0.4)</f>
        <v>9.5925100500000013</v>
      </c>
      <c r="BG217" s="14">
        <f>IF(OR(BG$5="大R",BG$5="超R"),0,INDEX(其他调用!$H$5:$L$404,MATCH($K217,其他调用!$B$5:$B$404,0),MATCH(BG$5,其他调用!$H$4:$L$4,0))*50*0.4)</f>
        <v>9.4583027471839998</v>
      </c>
      <c r="BH217" s="14">
        <f>IF(OR(BH$5="大R",BH$5="超R"),0,INDEX(其他调用!$H$5:$L$404,MATCH($K217,其他调用!$B$5:$B$404,0),MATCH(BH$5,其他调用!$H$4:$L$4,0))*50*0.4)</f>
        <v>0.77208400281600009</v>
      </c>
      <c r="BI217" s="14">
        <f>IF(OR(BI$5="大R",BI$5="超R"),0,INDEX(其他调用!$H$5:$L$404,MATCH($K217,其他调用!$B$5:$B$404,0),MATCH(BI$5,其他调用!$H$4:$L$4,0))*50*0.4)</f>
        <v>0</v>
      </c>
      <c r="BJ217" s="14">
        <f>IF(OR(BJ$5="大R",BJ$5="超R"),0,INDEX(其他调用!$H$5:$L$404,MATCH($K217,其他调用!$B$5:$B$404,0),MATCH(BJ$5,其他调用!$H$4:$L$4,0))*50*0.4)</f>
        <v>0</v>
      </c>
      <c r="BL217" s="14">
        <f t="shared" si="418"/>
        <v>212</v>
      </c>
      <c r="BM217" s="14">
        <f t="shared" si="325"/>
        <v>96</v>
      </c>
      <c r="BN217" s="14">
        <f>('疲劳值&amp;地图信息'!$S$10*'疲劳值&amp;地图信息'!$R$10+'疲劳值&amp;地图信息'!$S$11*'疲劳值&amp;地图信息'!$R$11+'疲劳值&amp;地图信息'!$S$12*'疲劳值&amp;地图信息'!$R$12+(BM217-'疲劳值&amp;地图信息'!$S$12-'疲劳值&amp;地图信息'!$S$11-'疲劳值&amp;地图信息'!$S$10)*'疲劳值&amp;地图信息'!$R$13)/BM217</f>
        <v>51.371477246638619</v>
      </c>
      <c r="BO217" s="14">
        <f>INDEX(其他调用!$M$5:$M$404,MATCH(BL217,其他调用!$B$5:$B$404,0))*0.6</f>
        <v>60</v>
      </c>
      <c r="BP217" s="14">
        <f>IF(BO217&gt;SUM('疲劳值&amp;地图信息'!$S$10:$S$12),('疲劳值&amp;地图信息'!$S$10*'疲劳值&amp;地图信息'!$R$10+'疲劳值&amp;地图信息'!$S$11*'疲劳值&amp;地图信息'!$R$11+'疲劳值&amp;地图信息'!$S$12*'疲劳值&amp;地图信息'!$R$12+(BO217-'疲劳值&amp;地图信息'!$S$12-'疲劳值&amp;地图信息'!$S$11-'疲劳值&amp;地图信息'!$S$10)*'疲劳值&amp;地图信息'!$R$13)/BO217,('疲劳值&amp;地图信息'!$S$10*'疲劳值&amp;地图信息'!$R$10+'疲劳值&amp;地图信息'!$S$11*'疲劳值&amp;地图信息'!$R$11+'疲劳值&amp;地图信息'!$S$12*'疲劳值&amp;地图信息'!$R$12+(BO217-'疲劳值&amp;地图信息'!$S$12-'疲劳值&amp;地图信息'!$S$11-'疲劳值&amp;地图信息'!$S$10)*'疲劳值&amp;地图信息'!$R$13)/BO217)</f>
        <v>44.158136341605953</v>
      </c>
      <c r="BQ217" s="14">
        <f t="shared" si="419"/>
        <v>20</v>
      </c>
      <c r="BR217" s="14">
        <f>('疲劳值&amp;地图信息'!$S$10*'疲劳值&amp;地图信息'!$R$10+($BQ217-'疲劳值&amp;地图信息'!$S$10)*'疲劳值&amp;地图信息'!$R$11)/$BQ217</f>
        <v>32.067203015074995</v>
      </c>
      <c r="CF217" s="14">
        <v>212</v>
      </c>
      <c r="CG217" s="51">
        <f t="shared" si="326"/>
        <v>13707</v>
      </c>
      <c r="CH217" s="51">
        <f t="shared" si="327"/>
        <v>1077</v>
      </c>
      <c r="CI217" s="51">
        <f>INT(SUMPRODUCT($N217:$R217,$BA217:$BE217)/SUM($BA217:$BE217)/10000*$BX$7*$BZ$34/'疲劳值&amp;地图信息'!$R$10*$BY$53)</f>
        <v>3285</v>
      </c>
      <c r="CJ217" s="50">
        <f t="shared" si="328"/>
        <v>0.75859206375560351</v>
      </c>
      <c r="CK217" s="50">
        <f t="shared" si="329"/>
        <v>5.9604848082350989E-2</v>
      </c>
      <c r="CL217" s="50">
        <f t="shared" si="330"/>
        <v>0.18180308816204549</v>
      </c>
      <c r="CM217" s="14">
        <f t="shared" si="331"/>
        <v>14612</v>
      </c>
      <c r="CN217" s="14">
        <f t="shared" si="332"/>
        <v>1721</v>
      </c>
      <c r="CO217" s="14">
        <f>INT(SUMPRODUCT($U217:$Y217,$BA217:$BE217)/SUM($BA217:$BE217)/10000*$BX$7*$BZ$34/'疲劳值&amp;地图信息'!$R$10*$BY$54)</f>
        <v>6106</v>
      </c>
      <c r="CP217" s="50">
        <f t="shared" si="333"/>
        <v>0.65118766433441777</v>
      </c>
      <c r="CQ217" s="50">
        <f t="shared" si="334"/>
        <v>7.6696822496546191E-2</v>
      </c>
      <c r="CR217" s="50">
        <f t="shared" si="335"/>
        <v>0.27211551316903604</v>
      </c>
      <c r="CS217" s="14">
        <f t="shared" si="336"/>
        <v>15870</v>
      </c>
      <c r="CT217" s="14">
        <f t="shared" si="337"/>
        <v>2999</v>
      </c>
      <c r="CU217" s="14">
        <f>INT(SUMPRODUCT($AB217:$AF217,$BA217:$BE217)/SUM($BA217:$BE217)/10000*$BX$7*$BZ$34/'疲劳值&amp;地图信息'!$R$10*$BY$55)</f>
        <v>8295</v>
      </c>
      <c r="CV217" s="50">
        <f t="shared" si="338"/>
        <v>0.58422912678545136</v>
      </c>
      <c r="CW217" s="50">
        <f t="shared" si="339"/>
        <v>0.11040347518774848</v>
      </c>
      <c r="CX217" s="50">
        <f t="shared" si="340"/>
        <v>0.30536739802680019</v>
      </c>
      <c r="CY217" s="14">
        <f t="shared" si="341"/>
        <v>19019</v>
      </c>
      <c r="CZ217" s="14">
        <f t="shared" si="342"/>
        <v>8720</v>
      </c>
      <c r="DA217" s="14">
        <f>INT(SUMPRODUCT($AI217:$AM217,$BA217:$BE217)/SUM($BA217:$BE217)/10000*$BX$7*$BZ$34/'疲劳值&amp;地图信息'!$R$10*$BY$56)</f>
        <v>12514</v>
      </c>
      <c r="DB217" s="50">
        <f t="shared" si="343"/>
        <v>0.47248652274364644</v>
      </c>
      <c r="DC217" s="50">
        <f t="shared" si="344"/>
        <v>0.21662981641119916</v>
      </c>
      <c r="DD217" s="50">
        <f t="shared" si="345"/>
        <v>0.3108836608451544</v>
      </c>
      <c r="DE217" s="14">
        <f t="shared" si="346"/>
        <v>19825</v>
      </c>
      <c r="DF217" s="14">
        <f t="shared" si="347"/>
        <v>14997</v>
      </c>
      <c r="DG217" s="14">
        <f>INT(SUMPRODUCT($AP217:$AT217,$BA217:$BE217)/SUM($BA217:$BE217)/10000*$BX$7*$BZ$34/'疲劳值&amp;地图信息'!$R$10*$BY$57)</f>
        <v>16708</v>
      </c>
      <c r="DH217" s="50">
        <f t="shared" si="348"/>
        <v>0.38472734329516789</v>
      </c>
      <c r="DI217" s="50">
        <f t="shared" si="349"/>
        <v>0.29103434892295749</v>
      </c>
      <c r="DJ217" s="50">
        <f t="shared" si="350"/>
        <v>0.32423830778187462</v>
      </c>
      <c r="DL217" s="14">
        <f t="shared" si="421"/>
        <v>18069</v>
      </c>
      <c r="DM217" s="14">
        <f t="shared" si="422"/>
        <v>22439</v>
      </c>
      <c r="DN217" s="14">
        <f t="shared" si="423"/>
        <v>27164</v>
      </c>
      <c r="DO217" s="14">
        <f t="shared" si="424"/>
        <v>40253</v>
      </c>
      <c r="DP217" s="14">
        <f t="shared" si="425"/>
        <v>51530</v>
      </c>
      <c r="DQ217" s="14">
        <f t="shared" si="426"/>
        <v>1242335</v>
      </c>
      <c r="DT217" s="14">
        <f t="shared" si="420"/>
        <v>235575</v>
      </c>
      <c r="DU217" s="50">
        <f t="shared" si="322"/>
        <v>0.159397392263399</v>
      </c>
      <c r="DW217" s="14">
        <f t="shared" si="351"/>
        <v>1477910</v>
      </c>
      <c r="EB217" s="14">
        <v>212</v>
      </c>
      <c r="EC217" s="51">
        <f t="shared" si="352"/>
        <v>22845</v>
      </c>
      <c r="ED217" s="51">
        <f t="shared" si="353"/>
        <v>1796</v>
      </c>
      <c r="EE217" s="51">
        <f>INT(SUMPRODUCT($N217:$R217,$BF217:$BJ217)/SUM($BF217:$BJ217)/10000*$BX$7*$BZ$46/'疲劳值&amp;地图信息'!$R$10*$BY$53)</f>
        <v>441</v>
      </c>
      <c r="EF217" s="50">
        <f t="shared" si="354"/>
        <v>0.91081253488557534</v>
      </c>
      <c r="EG217" s="50">
        <f t="shared" si="355"/>
        <v>7.1605135156686067E-2</v>
      </c>
      <c r="EH217" s="50">
        <f t="shared" si="356"/>
        <v>1.7582329957738618E-2</v>
      </c>
      <c r="EI217" s="51">
        <f t="shared" si="357"/>
        <v>24353</v>
      </c>
      <c r="EJ217" s="51">
        <f t="shared" si="358"/>
        <v>2869</v>
      </c>
      <c r="EK217" s="14">
        <f>INT(SUMPRODUCT($U217:$Y217,$BF217:$BJ217)/SUM($BF217:$BJ217)/10000*$BX$7*$BZ$46/'疲劳值&amp;地图信息'!$R$10*$BY$54)</f>
        <v>819</v>
      </c>
      <c r="EL217" s="50">
        <f t="shared" si="359"/>
        <v>0.86847829963268075</v>
      </c>
      <c r="EM217" s="50">
        <f t="shared" si="360"/>
        <v>0.10231446810028173</v>
      </c>
      <c r="EN217" s="50">
        <f t="shared" si="361"/>
        <v>2.9207232267037551E-2</v>
      </c>
      <c r="EO217" s="51">
        <f t="shared" si="362"/>
        <v>26451</v>
      </c>
      <c r="EP217" s="51">
        <f t="shared" si="363"/>
        <v>4999</v>
      </c>
      <c r="EQ217" s="14">
        <f>INT(SUMPRODUCT($AB217:$AF217,$BF217:$BJ217)/SUM($BF217:$BJ217)/10000*$BX$7*$BZ$46/'疲劳值&amp;地图信息'!$R$10*$BY$55)</f>
        <v>1112</v>
      </c>
      <c r="ER217" s="50">
        <f t="shared" si="364"/>
        <v>0.81232725262576011</v>
      </c>
      <c r="ES217" s="50">
        <f t="shared" si="365"/>
        <v>0.15352251090227872</v>
      </c>
      <c r="ET217" s="50">
        <f t="shared" si="366"/>
        <v>3.4150236471961179E-2</v>
      </c>
      <c r="EU217" s="51">
        <f t="shared" si="367"/>
        <v>31698</v>
      </c>
      <c r="EV217" s="51">
        <f t="shared" si="368"/>
        <v>14533</v>
      </c>
      <c r="EW217" s="14">
        <f>INT(SUMPRODUCT($AI217:$AM217,$BF217:$BJ217)/SUM($BF217:$BJ217)/10000*$BX$7*$BZ$46/'疲劳值&amp;地图信息'!$R$10*$BY$56)</f>
        <v>1669</v>
      </c>
      <c r="EX217" s="50">
        <f t="shared" si="369"/>
        <v>0.6617536534446764</v>
      </c>
      <c r="EY217" s="50">
        <f t="shared" si="370"/>
        <v>0.3034029227557411</v>
      </c>
      <c r="EZ217" s="50">
        <f t="shared" si="371"/>
        <v>3.4843423799582461E-2</v>
      </c>
      <c r="FA217" s="51">
        <f t="shared" si="372"/>
        <v>33041</v>
      </c>
      <c r="FB217" s="51">
        <f t="shared" si="373"/>
        <v>24996</v>
      </c>
      <c r="FC217" s="14">
        <f>INT(SUMPRODUCT($AP217:$AT217,$BF217:$BJ217)/SUM($BF217:$BJ217)/10000*$BX$7*$BZ$46/'疲劳值&amp;地图信息'!$R$10*$BY$57)</f>
        <v>2225</v>
      </c>
      <c r="FD217" s="50">
        <f t="shared" si="374"/>
        <v>0.54828913743320828</v>
      </c>
      <c r="FE217" s="50">
        <f t="shared" si="375"/>
        <v>0.41478875576648633</v>
      </c>
      <c r="FF217" s="50">
        <f t="shared" si="376"/>
        <v>3.6922106800305332E-2</v>
      </c>
      <c r="FH217" s="14">
        <f t="shared" si="377"/>
        <v>25082</v>
      </c>
      <c r="FI217" s="14">
        <f t="shared" si="378"/>
        <v>28041</v>
      </c>
      <c r="FJ217" s="14">
        <f t="shared" si="379"/>
        <v>32562</v>
      </c>
      <c r="FK217" s="14">
        <f t="shared" si="380"/>
        <v>47900</v>
      </c>
      <c r="FL217" s="14">
        <f t="shared" si="381"/>
        <v>60262</v>
      </c>
      <c r="FM217" s="14">
        <f t="shared" si="382"/>
        <v>2924221</v>
      </c>
      <c r="FP217" s="14">
        <f t="shared" si="383"/>
        <v>334150</v>
      </c>
      <c r="FQ217" s="50">
        <f t="shared" si="323"/>
        <v>0.10255124416464546</v>
      </c>
      <c r="FS217" s="14">
        <f t="shared" si="384"/>
        <v>3258371</v>
      </c>
      <c r="FX217" s="14">
        <v>212</v>
      </c>
      <c r="FY217" s="51">
        <f t="shared" si="385"/>
        <v>31983</v>
      </c>
      <c r="FZ217" s="51">
        <f t="shared" si="386"/>
        <v>1796</v>
      </c>
      <c r="GA217" s="51">
        <f>INT(SUMPRODUCT($N217:$R217,$BF217:$BJ217)/SUM($BF217:$BJ217)/10000*$BX$7*$BZ$46/'疲劳值&amp;地图信息'!$R$10*$BY$53)</f>
        <v>441</v>
      </c>
      <c r="GB217" s="50">
        <f t="shared" si="387"/>
        <v>0.93462887200467559</v>
      </c>
      <c r="GC217" s="50">
        <f t="shared" si="388"/>
        <v>5.2483927527761542E-2</v>
      </c>
      <c r="GD217" s="50">
        <f t="shared" si="389"/>
        <v>1.2887200467562828E-2</v>
      </c>
      <c r="GE217" s="51">
        <f t="shared" si="390"/>
        <v>34095</v>
      </c>
      <c r="GF217" s="51">
        <f t="shared" si="391"/>
        <v>2869</v>
      </c>
      <c r="GG217" s="14">
        <f>INT(SUMPRODUCT($U217:$Y217,$BF217:$BJ217)/SUM($BF217:$BJ217)/10000*$BX$7*$BZ$46/'疲劳值&amp;地图信息'!$R$10*$BY$54)</f>
        <v>819</v>
      </c>
      <c r="GH217" s="50">
        <f t="shared" si="392"/>
        <v>0.90238996374030644</v>
      </c>
      <c r="GI217" s="50">
        <f t="shared" si="393"/>
        <v>7.5933620940634675E-2</v>
      </c>
      <c r="GJ217" s="50">
        <f t="shared" si="394"/>
        <v>2.1676415319058836E-2</v>
      </c>
      <c r="GK217" s="51">
        <f t="shared" si="395"/>
        <v>37031</v>
      </c>
      <c r="GL217" s="51">
        <f t="shared" si="396"/>
        <v>4999</v>
      </c>
      <c r="GM217" s="14">
        <f>INT(SUMPRODUCT($AB217:$AF217,$BF217:$BJ217)/SUM($BF217:$BJ217)/10000*$BX$7*$BZ$46/'疲劳值&amp;地图信息'!$R$10*$BY$55)</f>
        <v>1112</v>
      </c>
      <c r="GN217" s="50">
        <f t="shared" si="397"/>
        <v>0.85835149042696213</v>
      </c>
      <c r="GO217" s="50">
        <f t="shared" si="398"/>
        <v>0.11587316304297436</v>
      </c>
      <c r="GP217" s="50">
        <f t="shared" si="399"/>
        <v>2.5775346530063512E-2</v>
      </c>
      <c r="GQ217" s="51">
        <f t="shared" si="400"/>
        <v>44377</v>
      </c>
      <c r="GR217" s="51">
        <f t="shared" si="401"/>
        <v>14533</v>
      </c>
      <c r="GS217" s="14">
        <f>INT(SUMPRODUCT($AI217:$AM217,$BF217:$BJ217)/SUM($BF217:$BJ217)/10000*$BX$7*$BZ$46/'疲劳值&amp;地图信息'!$R$10*$BY$56)</f>
        <v>1669</v>
      </c>
      <c r="GT217" s="50">
        <f t="shared" si="402"/>
        <v>0.73254758249558427</v>
      </c>
      <c r="GU217" s="50">
        <f t="shared" si="403"/>
        <v>0.23990161607157595</v>
      </c>
      <c r="GV217" s="50">
        <f t="shared" si="404"/>
        <v>2.7550801432839764E-2</v>
      </c>
      <c r="GW217" s="51">
        <f t="shared" si="405"/>
        <v>46258</v>
      </c>
      <c r="GX217" s="51">
        <f t="shared" si="406"/>
        <v>24996</v>
      </c>
      <c r="GY217" s="14">
        <f>INT(SUMPRODUCT($AP217:$AT217,$BF217:$BJ217)/SUM($BF217:$BJ217)/10000*$BX$7*$BZ$46/'疲劳值&amp;地图信息'!$R$10*$BY$57)</f>
        <v>2225</v>
      </c>
      <c r="GZ217" s="50">
        <f t="shared" si="407"/>
        <v>0.62954041290708906</v>
      </c>
      <c r="HA217" s="50">
        <f t="shared" si="408"/>
        <v>0.34017882660351939</v>
      </c>
      <c r="HB217" s="50">
        <f t="shared" si="409"/>
        <v>3.0280760489391528E-2</v>
      </c>
      <c r="HD217" s="14">
        <f t="shared" si="410"/>
        <v>34220</v>
      </c>
      <c r="HE217" s="14">
        <f t="shared" si="411"/>
        <v>37783</v>
      </c>
      <c r="HF217" s="14">
        <f t="shared" si="412"/>
        <v>43142</v>
      </c>
      <c r="HG217" s="14">
        <f t="shared" si="413"/>
        <v>60579</v>
      </c>
      <c r="HH217" s="14">
        <f t="shared" si="414"/>
        <v>73479</v>
      </c>
      <c r="HI217" s="14">
        <f t="shared" si="415"/>
        <v>3934648</v>
      </c>
      <c r="HL217" s="14">
        <f t="shared" si="416"/>
        <v>430050</v>
      </c>
      <c r="HM217" s="50">
        <f t="shared" si="324"/>
        <v>9.8529153677986425E-2</v>
      </c>
      <c r="HO217" s="14">
        <f t="shared" si="417"/>
        <v>4364698</v>
      </c>
    </row>
    <row r="218" spans="11:223" x14ac:dyDescent="0.2">
      <c r="K218" s="14">
        <v>213</v>
      </c>
      <c r="L218" s="12">
        <f>求节点(节奏总纲!D$4:D$163,标准城池设计!AB$4:AB$163,$K218)*求节点(节奏总纲!D$4:D$163,攻城基础信息!$AC$5:$AC$164,$K218)</f>
        <v>673892.17939960968</v>
      </c>
      <c r="M218" s="12">
        <f>INDEX(其他调用!$AA$5:$AA$404,MATCH(K218,其他调用!$X$5:$X$404,0))*MIN(INDEX(其他调用!$AH$5:$AH$364,MATCH('征服点（新）'!K218,其他调用!$AG$5:$AG$364,0),1)/INDEX(其他调用!$AJ$5:$AJ$364,MATCH(K218,其他调用!$AG$5:$AG$364,0),0),5)*求节点(节奏总纲!D$4:D$163,攻城基础信息!$AC$5:$AC$164,$K218)</f>
        <v>52944.084613967454</v>
      </c>
      <c r="N218" s="12">
        <f>MIN(INDEX(其他调用!$AH$5:$AH$364,MATCH($K218,其他调用!$AG$5:$AG$364,0),1)/INDEX(其他调用!AH$5:AH$364,MATCH($K218,其他调用!$AG$5:$AG$364,0),0),1)*INDEX(其他调用!Y$5:Y$404,MATCH($K218,其他调用!$X$5:$X$404,0),0)</f>
        <v>40497.299666757877</v>
      </c>
      <c r="O218" s="12">
        <f>MIN(INDEX(其他调用!$AH$5:$AH$364,MATCH($K218,其他调用!$AG$5:$AG$364,0),1)/INDEX(其他调用!AI$5:AI$364,MATCH($K218,其他调用!$AG$5:$AG$364,0),0),1)*INDEX(其他调用!Z$5:Z$404,MATCH($K218,其他调用!$X$5:$X$404,0),0)</f>
        <v>26062.720463743321</v>
      </c>
      <c r="P218" s="12">
        <f>MIN(INDEX(其他调用!$AH$5:$AH$364,MATCH($K218,其他调用!$AG$5:$AG$364,0),1)/INDEX(其他调用!AJ$5:AJ$364,MATCH($K218,其他调用!$AG$5:$AG$364,0),0),1)*INDEX(其他调用!AA$5:AA$404,MATCH($K218,其他调用!$X$5:$X$404,0),0)</f>
        <v>15510.011805397669</v>
      </c>
      <c r="Q218" s="12">
        <f>MIN(INDEX(其他调用!$AH$5:$AH$364,MATCH($K218,其他调用!$AG$5:$AG$364,0),1)/INDEX(其他调用!AK$5:AK$364,MATCH($K218,其他调用!$AG$5:$AG$364,0),0),1)*INDEX(其他调用!AB$5:AB$404,MATCH($K218,其他调用!$X$5:$X$404,0),0)</f>
        <v>5602.9381453857277</v>
      </c>
      <c r="R218" s="12">
        <f>MIN(INDEX(其他调用!$AH$5:$AH$364,MATCH($K218,其他调用!$AG$5:$AG$364,0),1)/INDEX(其他调用!AL$5:AL$364,MATCH($K218,其他调用!$AG$5:$AG$364,0),0),1)*INDEX(其他调用!AC$5:AC$404,MATCH($K218,其他调用!$X$5:$X$404,0),0)</f>
        <v>2627.7914117724995</v>
      </c>
      <c r="S218" s="12">
        <f>求节点(节奏总纲!D$4:D$163,标准城池设计!AC$4:AC$163,$K218)*求节点(节奏总纲!D$4:D$163,攻城基础信息!$AD$5:$AD$164,$K218)</f>
        <v>718584.75077186222</v>
      </c>
      <c r="T218" s="12">
        <f>INDEX(其他调用!$AA$5:$AA$404,MATCH($K218,其他调用!$X$5:$X$404,0))*MIN(INDEX(其他调用!AI$5:AI$364,MATCH($K218,其他调用!$AG$5:$AG$364,0),1)/INDEX(其他调用!$AJ$5:$AJ$364,MATCH($K218,其他调用!$AG$5:$AG$364,0),0),5)*求节点(节奏总纲!D$4:D$163,攻城基础信息!$AD$5:$AD$164,$K218)</f>
        <v>84599.615313420538</v>
      </c>
      <c r="U218" s="12">
        <f>MIN(INDEX(其他调用!$AI$5:$AI$364,MATCH($K218,其他调用!$AG$5:$AG$364,0),1)/INDEX(其他调用!AH$5:AH$364,MATCH($K218,其他调用!$AG$5:$AG$364,0),0),1)*INDEX(其他调用!Y$5:Y$404,MATCH($K218,其他调用!$X$5:$X$404,0),0)</f>
        <v>40497.299666757877</v>
      </c>
      <c r="V218" s="12">
        <f>MIN(INDEX(其他调用!$AI$5:$AI$364,MATCH($K218,其他调用!$AG$5:$AG$364,0),1)/INDEX(其他调用!AI$5:AI$364,MATCH($K218,其他调用!$AG$5:$AG$364,0),0),1)*INDEX(其他调用!Z$5:Z$404,MATCH($K218,其他调用!$X$5:$X$404,0),0)</f>
        <v>41645.750253886028</v>
      </c>
      <c r="W218" s="12">
        <f>MIN(INDEX(其他调用!$AI$5:$AI$364,MATCH($K218,其他调用!$AG$5:$AG$364,0),1)/INDEX(其他调用!AJ$5:AJ$364,MATCH($K218,其他调用!$AG$5:$AG$364,0),0),1)*INDEX(其他调用!AA$5:AA$404,MATCH($K218,其他调用!$X$5:$X$404,0),0)</f>
        <v>24783.524765996073</v>
      </c>
      <c r="X218" s="12">
        <f>MIN(INDEX(其他调用!$AI$5:$AI$364,MATCH($K218,其他调用!$AG$5:$AG$364,0),1)/INDEX(其他调用!AK$5:AK$364,MATCH($K218,其他调用!$AG$5:$AG$364,0),0),1)*INDEX(其他调用!AB$5:AB$404,MATCH($K218,其他调用!$X$5:$X$404,0),0)</f>
        <v>8952.9626431480974</v>
      </c>
      <c r="Y218" s="12">
        <f>MIN(INDEX(其他调用!$AI$5:$AI$364,MATCH($K218,其他调用!$AG$5:$AG$364,0),1)/INDEX(其他调用!AL$5:AL$364,MATCH($K218,其他调用!$AG$5:$AG$364,0),0),1)*INDEX(其他调用!AC$5:AC$404,MATCH($K218,其他调用!$X$5:$X$404,0),0)</f>
        <v>4198.960926056222</v>
      </c>
      <c r="Z218" s="12">
        <f>求节点(节奏总纲!D$4:D$163,标准城池设计!AD$4:AD$163,$K218)*求节点(节奏总纲!D$4:D$163,攻城基础信息!$AE$5:$AE$164,$K218)</f>
        <v>780843.00956109236</v>
      </c>
      <c r="AA218" s="12">
        <f>INDEX(其他调用!$AA$5:$AA$404,MATCH($K218,其他调用!$X$5:$X$404,0))*MIN(INDEX(其他调用!AJ$5:AJ$364,MATCH($K218,其他调用!$AG$5:$AG$364,0),1)/INDEX(其他调用!$AJ$5:$AJ$364,MATCH($K218,其他调用!$AG$5:$AG$364,0),0),5)*求节点(节奏总纲!D$4:D$163,攻城基础信息!$AE$5:$AE$164,$K218)</f>
        <v>147359.84210577703</v>
      </c>
      <c r="AB218" s="12">
        <f>MIN(INDEX(其他调用!$AJ$5:$AJ$364,MATCH($K218,其他调用!$AG$5:$AG$364,0),1)/INDEX(其他调用!AH$5:AH$364,MATCH($K218,其他调用!$AG$5:$AG$364,0),0),1)*INDEX(其他调用!Y$5:Y$404,MATCH($K218,其他调用!$X$5:$X$404,0),0)</f>
        <v>40497.299666757877</v>
      </c>
      <c r="AC218" s="12">
        <f>MIN(INDEX(其他调用!$AJ$5:$AJ$364,MATCH($K218,其他调用!$AG$5:$AG$364,0),1)/INDEX(其他调用!AI$5:AI$364,MATCH($K218,其他调用!$AG$5:$AG$364,0),0),1)*INDEX(其他调用!Z$5:Z$404,MATCH($K218,其他调用!$X$5:$X$404,0),0)</f>
        <v>41645.750253886028</v>
      </c>
      <c r="AD218" s="12">
        <f>MIN(INDEX(其他调用!$AJ$5:$AJ$364,MATCH($K218,其他调用!$AG$5:$AG$364,0),1)/INDEX(其他调用!AJ$5:AJ$364,MATCH($K218,其他调用!$AG$5:$AG$364,0),0),1)*INDEX(其他调用!AA$5:AA$404,MATCH($K218,其他调用!$X$5:$X$404,0),0)</f>
        <v>43169.183249967362</v>
      </c>
      <c r="AE218" s="12">
        <f>MIN(INDEX(其他调用!$AJ$5:$AJ$364,MATCH($K218,其他调用!$AG$5:$AG$364,0),1)/INDEX(其他调用!AK$5:AK$364,MATCH($K218,其他调用!$AG$5:$AG$364,0),0),1)*INDEX(其他调用!AB$5:AB$404,MATCH($K218,其他调用!$X$5:$X$404,0),0)</f>
        <v>15594.718209834864</v>
      </c>
      <c r="AF218" s="12">
        <f>MIN(INDEX(其他调用!$AJ$5:$AJ$364,MATCH($K218,其他调用!$AG$5:$AG$364,0),1)/INDEX(其他调用!AL$5:AL$364,MATCH($K218,其他调用!$AG$5:$AG$364,0),0),1)*INDEX(其他调用!AC$5:AC$404,MATCH($K218,其他调用!$X$5:$X$404,0),0)</f>
        <v>7313.9601968593688</v>
      </c>
      <c r="AG218" s="12">
        <f>求节点(节奏总纲!D$4:D$163,标准城池设计!AE$4:AE$163,$K218)*求节点(节奏总纲!D$4:D$163,攻城基础信息!$AF$5:$AF$164,$K218)</f>
        <v>935949.71932497388</v>
      </c>
      <c r="AH218" s="12">
        <f>INDEX(其他调用!$AA$5:$AA$404,MATCH($K218,其他调用!$X$5:$X$404,0))*MIN(INDEX(其他调用!AK$5:AK$364,MATCH($K218,其他调用!$AG$5:$AG$364,0),1)/INDEX(其他调用!$AJ$5:$AJ$364,MATCH($K218,其他调用!$AG$5:$AG$364,0),0),5)*求节点(节奏总纲!D$4:D$163,攻城基础信息!$AF$5:$AF$164,$K218)</f>
        <v>428709.97185334557</v>
      </c>
      <c r="AI218" s="12">
        <f>MIN(INDEX(其他调用!$AK$5:$AK$364,MATCH($K218,其他调用!$AG$5:$AG$364,0),1)/INDEX(其他调用!AH$5:AH$364,MATCH($K218,其他调用!$AG$5:$AG$364,0),0),1)*INDEX(其他调用!Y$5:Y$404,MATCH($K218,其他调用!$X$5:$X$404,0),0)</f>
        <v>40497.299666757877</v>
      </c>
      <c r="AJ218" s="12">
        <f>MIN(INDEX(其他调用!$AK$5:$AK$364,MATCH($K218,其他调用!$AG$5:$AG$364,0),1)/INDEX(其他调用!AI$5:AI$364,MATCH($K218,其他调用!$AG$5:$AG$364,0),0),1)*INDEX(其他调用!Z$5:Z$404,MATCH($K218,其他调用!$X$5:$X$404,0),0)</f>
        <v>41645.750253886028</v>
      </c>
      <c r="AK218" s="12">
        <f>MIN(INDEX(其他调用!$AK$5:$AK$364,MATCH($K218,其他调用!$AG$5:$AG$364,0),1)/INDEX(其他调用!AJ$5:AJ$364,MATCH($K218,其他调用!$AG$5:$AG$364,0),0),1)*INDEX(其他调用!AA$5:AA$404,MATCH($K218,其他调用!$X$5:$X$404,0),0)</f>
        <v>43169.183249967362</v>
      </c>
      <c r="AL218" s="12">
        <f>MIN(INDEX(其他调用!$AK$5:$AK$364,MATCH($K218,其他调用!$AG$5:$AG$364,0),1)/INDEX(其他调用!AK$5:AK$364,MATCH($K218,其他调用!$AG$5:$AG$364,0),0),1)*INDEX(其他调用!AB$5:AB$404,MATCH($K218,其他调用!$X$5:$X$404,0),0)</f>
        <v>45369.288601708271</v>
      </c>
      <c r="AM218" s="12">
        <f>MIN(INDEX(其他调用!$AK$5:$AK$364,MATCH($K218,其他调用!$AG$5:$AG$364,0),1)/INDEX(其他调用!AL$5:AL$364,MATCH($K218,其他调用!$AG$5:$AG$364,0),0),1)*INDEX(其他调用!AC$5:AC$404,MATCH($K218,其他调用!$X$5:$X$404,0),0)</f>
        <v>21278.305034293629</v>
      </c>
      <c r="AN218" s="12">
        <f>求节点(节奏总纲!D$4:D$163,标准城池设计!AF$4:AF$163,$K218)*求节点(节奏总纲!D$4:D$163,攻城基础信息!$AG$5:$AG$164,$K218)</f>
        <v>975858.15521134064</v>
      </c>
      <c r="AO218" s="12">
        <f>INDEX(其他调用!$AA$5:$AA$404,MATCH($K218,其他调用!$X$5:$X$404,0))*MIN(INDEX(其他调用!AL$5:AL$364,MATCH($K218,其他调用!$AG$5:$AG$364,0),1)/INDEX(其他调用!$AJ$5:$AJ$364,MATCH($K218,其他调用!$AG$5:$AG$364,0),0),5)*求节点(节奏总纲!D$4:D$163,攻城基础信息!$AG$5:$AG$164,$K218)</f>
        <v>736799.21052888513</v>
      </c>
      <c r="AP218" s="12">
        <f>MIN(INDEX(其他调用!$AL$5:$AL$364,MATCH($K218,其他调用!$AG$5:$AG$364,0),1)/INDEX(其他调用!AH$5:AH$364,MATCH($K218,其他调用!$AG$5:$AG$364,0),0),1)*INDEX(其他调用!Y$5:Y$404,MATCH($K218,其他调用!$X$5:$X$404,0),0)</f>
        <v>40497.299666757877</v>
      </c>
      <c r="AQ218" s="12">
        <f>MIN(INDEX(其他调用!$AL$5:$AL$364,MATCH($K218,其他调用!$AG$5:$AG$364,0),1)/INDEX(其他调用!AI$5:AI$364,MATCH($K218,其他调用!$AG$5:$AG$364,0),0),1)*INDEX(其他调用!Z$5:Z$404,MATCH($K218,其他调用!$X$5:$X$404,0),0)</f>
        <v>41645.750253886028</v>
      </c>
      <c r="AR218" s="12">
        <f>MIN(INDEX(其他调用!$AL$5:$AL$364,MATCH($K218,其他调用!$AG$5:$AG$364,0),1)/INDEX(其他调用!AJ$5:AJ$364,MATCH($K218,其他调用!$AG$5:$AG$364,0),0),1)*INDEX(其他调用!AA$5:AA$404,MATCH($K218,其他调用!$X$5:$X$404,0),0)</f>
        <v>43169.183249967362</v>
      </c>
      <c r="AS218" s="12">
        <f>MIN(INDEX(其他调用!$AL$5:$AL$364,MATCH($K218,其他调用!$AG$5:$AG$364,0),1)/INDEX(其他调用!AK$5:AK$364,MATCH($K218,其他调用!$AG$5:$AG$364,0),0),1)*INDEX(其他调用!AB$5:AB$404,MATCH($K218,其他调用!$X$5:$X$404,0),0)</f>
        <v>45369.288601708271</v>
      </c>
      <c r="AT218" s="12">
        <f>MIN(INDEX(其他调用!$AL$5:$AL$364,MATCH($K218,其他调用!$AG$5:$AG$364,0),1)/INDEX(其他调用!AL$5:AL$364,MATCH($K218,其他调用!$AG$5:$AG$364,0),0),1)*INDEX(其他调用!AC$5:AC$404,MATCH($K218,其他调用!$X$5:$X$404,0),0)</f>
        <v>49312.709226260406</v>
      </c>
      <c r="AV218" s="14">
        <f>IF(OR(AV$5="大R",AV$5="超R"),MAX(INDEX(其他调用!$H$5:$L$404,MATCH($K218,其他调用!$B$5:$B$404,0),MATCH(AV$5,其他调用!$H$4:$L$4,0))*120*0.85,2),INDEX(其他调用!$H$5:$L$404,MATCH($K218,其他调用!$B$5:$B$404,0),MATCH(AV$5,其他调用!$H$4:$L$4,0))*120*0.85)</f>
        <v>48.921801254999991</v>
      </c>
      <c r="AW218" s="14">
        <f>IF(OR(AW$5="大R",AW$5="超R"),MAX(INDEX(其他调用!$H$5:$L$404,MATCH($K218,其他调用!$B$5:$B$404,0),MATCH(AW$5,其他调用!$H$4:$L$4,0))*120*0.85,2),INDEX(其他调用!$H$5:$L$404,MATCH($K218,其他调用!$B$5:$B$404,0),MATCH(AW$5,其他调用!$H$4:$L$4,0))*120*0.85)</f>
        <v>48.237344010638395</v>
      </c>
      <c r="AX218" s="14">
        <f>IF(OR(AX$5="大R",AX$5="超R"),MAX(INDEX(其他调用!$H$5:$L$404,MATCH($K218,其他调用!$B$5:$B$404,0),MATCH(AX$5,其他调用!$H$4:$L$4,0))*120*0.85,2),INDEX(其他调用!$H$5:$L$404,MATCH($K218,其他调用!$B$5:$B$404,0),MATCH(AX$5,其他调用!$H$4:$L$4,0))*120*0.85)</f>
        <v>3.9376284143615998</v>
      </c>
      <c r="AY218" s="14">
        <f>IF(OR(AY$5="大R",AY$5="超R"),MAX(INDEX(其他调用!$H$5:$L$404,MATCH($K218,其他调用!$B$5:$B$404,0),MATCH(AY$5,其他调用!$H$4:$L$4,0))*120*0.85,2),INDEX(其他调用!$H$5:$L$404,MATCH($K218,其他调用!$B$5:$B$404,0),MATCH(AY$5,其他调用!$H$4:$L$4,0))*120*0.85)</f>
        <v>2</v>
      </c>
      <c r="AZ218" s="14">
        <f>IF(OR(AZ$5="大R",AZ$5="超R"),MAX(INDEX(其他调用!$H$5:$L$404,MATCH($K218,其他调用!$B$5:$B$404,0),MATCH(AZ$5,其他调用!$H$4:$L$4,0))*120*0.85,2),INDEX(其他调用!$H$5:$L$404,MATCH($K218,其他调用!$B$5:$B$404,0),MATCH(AZ$5,其他调用!$H$4:$L$4,0))*120*0.85)</f>
        <v>2</v>
      </c>
      <c r="BA218" s="14">
        <f>INDEX(其他调用!$H$5:$L$404,MATCH($K218,其他调用!$B$5:$B$404,0),MATCH(BA$5,其他调用!$H$4:$L$4,0))*INDEX(其他调用!$M$5:$M$404,MATCH($K218,其他调用!$B$5:$B$404,0))*0.6</f>
        <v>28.777530149999997</v>
      </c>
      <c r="BB218" s="14">
        <f>INDEX(其他调用!$H$5:$L$404,MATCH($K218,其他调用!$B$5:$B$404,0),MATCH(BB$5,其他调用!$H$4:$L$4,0))*INDEX(其他调用!$M$5:$M$404,MATCH($K218,其他调用!$B$5:$B$404,0))*0.6</f>
        <v>28.374908241551999</v>
      </c>
      <c r="BC218" s="14">
        <f>INDEX(其他调用!$H$5:$L$404,MATCH($K218,其他调用!$B$5:$B$404,0),MATCH(BC$5,其他调用!$H$4:$L$4,0))*INDEX(其他调用!$M$5:$M$404,MATCH($K218,其他调用!$B$5:$B$404,0))*0.6</f>
        <v>2.3162520084480001</v>
      </c>
      <c r="BD218" s="14">
        <f>INDEX(其他调用!$H$5:$L$404,MATCH($K218,其他调用!$B$5:$B$404,0),MATCH(BD$5,其他调用!$H$4:$L$4,0))*INDEX(其他调用!$M$5:$M$404,MATCH($K218,其他调用!$B$5:$B$404,0))*0.6</f>
        <v>0.4120776000000001</v>
      </c>
      <c r="BE218" s="14">
        <f>INDEX(其他调用!$H$5:$L$404,MATCH($K218,其他调用!$B$5:$B$404,0),MATCH(BE$5,其他调用!$H$4:$L$4,0))*INDEX(其他调用!$M$5:$M$404,MATCH($K218,其他调用!$B$5:$B$404,0))*0.6</f>
        <v>0.11923199999999998</v>
      </c>
      <c r="BF218" s="14">
        <f>IF(OR(BF$5="大R",BF$5="超R"),0,INDEX(其他调用!$H$5:$L$404,MATCH($K218,其他调用!$B$5:$B$404,0),MATCH(BF$5,其他调用!$H$4:$L$4,0))*50*0.4)</f>
        <v>9.5925100500000013</v>
      </c>
      <c r="BG218" s="14">
        <f>IF(OR(BG$5="大R",BG$5="超R"),0,INDEX(其他调用!$H$5:$L$404,MATCH($K218,其他调用!$B$5:$B$404,0),MATCH(BG$5,其他调用!$H$4:$L$4,0))*50*0.4)</f>
        <v>9.4583027471839998</v>
      </c>
      <c r="BH218" s="14">
        <f>IF(OR(BH$5="大R",BH$5="超R"),0,INDEX(其他调用!$H$5:$L$404,MATCH($K218,其他调用!$B$5:$B$404,0),MATCH(BH$5,其他调用!$H$4:$L$4,0))*50*0.4)</f>
        <v>0.77208400281600009</v>
      </c>
      <c r="BI218" s="14">
        <f>IF(OR(BI$5="大R",BI$5="超R"),0,INDEX(其他调用!$H$5:$L$404,MATCH($K218,其他调用!$B$5:$B$404,0),MATCH(BI$5,其他调用!$H$4:$L$4,0))*50*0.4)</f>
        <v>0</v>
      </c>
      <c r="BJ218" s="14">
        <f>IF(OR(BJ$5="大R",BJ$5="超R"),0,INDEX(其他调用!$H$5:$L$404,MATCH($K218,其他调用!$B$5:$B$404,0),MATCH(BJ$5,其他调用!$H$4:$L$4,0))*50*0.4)</f>
        <v>0</v>
      </c>
      <c r="BL218" s="14">
        <f t="shared" si="418"/>
        <v>213</v>
      </c>
      <c r="BM218" s="14">
        <f t="shared" si="325"/>
        <v>96</v>
      </c>
      <c r="BN218" s="14">
        <f>('疲劳值&amp;地图信息'!$S$10*'疲劳值&amp;地图信息'!$R$10+'疲劳值&amp;地图信息'!$S$11*'疲劳值&amp;地图信息'!$R$11+'疲劳值&amp;地图信息'!$S$12*'疲劳值&amp;地图信息'!$R$12+(BM218-'疲劳值&amp;地图信息'!$S$12-'疲劳值&amp;地图信息'!$S$11-'疲劳值&amp;地图信息'!$S$10)*'疲劳值&amp;地图信息'!$R$13)/BM218</f>
        <v>51.371477246638619</v>
      </c>
      <c r="BO218" s="14">
        <f>INDEX(其他调用!$M$5:$M$404,MATCH(BL218,其他调用!$B$5:$B$404,0))*0.6</f>
        <v>60</v>
      </c>
      <c r="BP218" s="14">
        <f>IF(BO218&gt;SUM('疲劳值&amp;地图信息'!$S$10:$S$12),('疲劳值&amp;地图信息'!$S$10*'疲劳值&amp;地图信息'!$R$10+'疲劳值&amp;地图信息'!$S$11*'疲劳值&amp;地图信息'!$R$11+'疲劳值&amp;地图信息'!$S$12*'疲劳值&amp;地图信息'!$R$12+(BO218-'疲劳值&amp;地图信息'!$S$12-'疲劳值&amp;地图信息'!$S$11-'疲劳值&amp;地图信息'!$S$10)*'疲劳值&amp;地图信息'!$R$13)/BO218,('疲劳值&amp;地图信息'!$S$10*'疲劳值&amp;地图信息'!$R$10+'疲劳值&amp;地图信息'!$S$11*'疲劳值&amp;地图信息'!$R$11+'疲劳值&amp;地图信息'!$S$12*'疲劳值&amp;地图信息'!$R$12+(BO218-'疲劳值&amp;地图信息'!$S$12-'疲劳值&amp;地图信息'!$S$11-'疲劳值&amp;地图信息'!$S$10)*'疲劳值&amp;地图信息'!$R$13)/BO218)</f>
        <v>44.158136341605953</v>
      </c>
      <c r="BQ218" s="14">
        <f t="shared" si="419"/>
        <v>20</v>
      </c>
      <c r="BR218" s="14">
        <f>('疲劳值&amp;地图信息'!$S$10*'疲劳值&amp;地图信息'!$R$10+($BQ218-'疲劳值&amp;地图信息'!$S$10)*'疲劳值&amp;地图信息'!$R$11)/$BQ218</f>
        <v>32.067203015074995</v>
      </c>
      <c r="CF218" s="14">
        <v>213</v>
      </c>
      <c r="CG218" s="51">
        <f t="shared" si="326"/>
        <v>13734</v>
      </c>
      <c r="CH218" s="51">
        <f t="shared" si="327"/>
        <v>1079</v>
      </c>
      <c r="CI218" s="51">
        <f>INT(SUMPRODUCT($N218:$R218,$BA218:$BE218)/SUM($BA218:$BE218)/10000*$BX$7*$BZ$34/'疲劳值&amp;地图信息'!$R$10*$BY$53)</f>
        <v>3286</v>
      </c>
      <c r="CJ218" s="50">
        <f t="shared" si="328"/>
        <v>0.75882645450024866</v>
      </c>
      <c r="CK218" s="50">
        <f t="shared" si="329"/>
        <v>5.9616553400740374E-2</v>
      </c>
      <c r="CL218" s="50">
        <f t="shared" si="330"/>
        <v>0.18155699209901099</v>
      </c>
      <c r="CM218" s="14">
        <f t="shared" si="331"/>
        <v>14645</v>
      </c>
      <c r="CN218" s="14">
        <f t="shared" si="332"/>
        <v>1724</v>
      </c>
      <c r="CO218" s="14">
        <f>INT(SUMPRODUCT($U218:$Y218,$BA218:$BE218)/SUM($BA218:$BE218)/10000*$BX$7*$BZ$34/'疲劳值&amp;地图信息'!$R$10*$BY$54)</f>
        <v>6110</v>
      </c>
      <c r="CP218" s="50">
        <f t="shared" si="333"/>
        <v>0.6514969527114195</v>
      </c>
      <c r="CQ218" s="50">
        <f t="shared" si="334"/>
        <v>7.6693803105120334E-2</v>
      </c>
      <c r="CR218" s="50">
        <f t="shared" si="335"/>
        <v>0.27180924418346014</v>
      </c>
      <c r="CS218" s="14">
        <f t="shared" si="336"/>
        <v>15914</v>
      </c>
      <c r="CT218" s="14">
        <f t="shared" si="337"/>
        <v>3003</v>
      </c>
      <c r="CU218" s="14">
        <f>INT(SUMPRODUCT($AB218:$AF218,$BA218:$BE218)/SUM($BA218:$BE218)/10000*$BX$7*$BZ$34/'疲劳值&amp;地图信息'!$R$10*$BY$55)</f>
        <v>8301</v>
      </c>
      <c r="CV218" s="50">
        <f t="shared" si="338"/>
        <v>0.58468660445293552</v>
      </c>
      <c r="CW218" s="50">
        <f t="shared" si="339"/>
        <v>0.11033139833933427</v>
      </c>
      <c r="CX218" s="50">
        <f t="shared" si="340"/>
        <v>0.30498199720773017</v>
      </c>
      <c r="CY218" s="14">
        <f t="shared" si="341"/>
        <v>19075</v>
      </c>
      <c r="CZ218" s="14">
        <f t="shared" si="342"/>
        <v>8737</v>
      </c>
      <c r="DA218" s="14">
        <f>INT(SUMPRODUCT($AI218:$AM218,$BA218:$BE218)/SUM($BA218:$BE218)/10000*$BX$7*$BZ$34/'疲劳值&amp;地图信息'!$R$10*$BY$56)</f>
        <v>12522</v>
      </c>
      <c r="DB218" s="50">
        <f t="shared" si="343"/>
        <v>0.47292606733772996</v>
      </c>
      <c r="DC218" s="50">
        <f t="shared" si="344"/>
        <v>0.21661625427678882</v>
      </c>
      <c r="DD218" s="50">
        <f t="shared" si="345"/>
        <v>0.31045767838548122</v>
      </c>
      <c r="DE218" s="14">
        <f t="shared" si="346"/>
        <v>19889</v>
      </c>
      <c r="DF218" s="14">
        <f t="shared" si="347"/>
        <v>15016</v>
      </c>
      <c r="DG218" s="14">
        <f>INT(SUMPRODUCT($AP218:$AT218,$BA218:$BE218)/SUM($BA218:$BE218)/10000*$BX$7*$BZ$34/'疲劳值&amp;地图信息'!$R$10*$BY$57)</f>
        <v>16719</v>
      </c>
      <c r="DH218" s="50">
        <f t="shared" si="348"/>
        <v>0.38526654269332095</v>
      </c>
      <c r="DI218" s="50">
        <f t="shared" si="349"/>
        <v>0.29087246242057957</v>
      </c>
      <c r="DJ218" s="50">
        <f t="shared" si="350"/>
        <v>0.32386099488609948</v>
      </c>
      <c r="DL218" s="14">
        <f t="shared" si="421"/>
        <v>18099</v>
      </c>
      <c r="DM218" s="14">
        <f t="shared" si="422"/>
        <v>22479</v>
      </c>
      <c r="DN218" s="14">
        <f t="shared" si="423"/>
        <v>27218</v>
      </c>
      <c r="DO218" s="14">
        <f t="shared" si="424"/>
        <v>40334</v>
      </c>
      <c r="DP218" s="14">
        <f t="shared" si="425"/>
        <v>51624</v>
      </c>
      <c r="DQ218" s="14">
        <f t="shared" si="426"/>
        <v>1244503</v>
      </c>
      <c r="DT218" s="14">
        <f t="shared" si="420"/>
        <v>235575</v>
      </c>
      <c r="DU218" s="50">
        <f t="shared" si="322"/>
        <v>0.15916390892912399</v>
      </c>
      <c r="DW218" s="14">
        <f t="shared" si="351"/>
        <v>1480078</v>
      </c>
      <c r="EB218" s="14">
        <v>213</v>
      </c>
      <c r="EC218" s="51">
        <f t="shared" si="352"/>
        <v>22891</v>
      </c>
      <c r="ED218" s="51">
        <f t="shared" si="353"/>
        <v>1798</v>
      </c>
      <c r="EE218" s="51">
        <f>INT(SUMPRODUCT($N218:$R218,$BF218:$BJ218)/SUM($BF218:$BJ218)/10000*$BX$7*$BZ$46/'疲劳值&amp;地图信息'!$R$10*$BY$53)</f>
        <v>441</v>
      </c>
      <c r="EF218" s="50">
        <f t="shared" si="354"/>
        <v>0.9109033028253084</v>
      </c>
      <c r="EG218" s="50">
        <f t="shared" si="355"/>
        <v>7.1547950656585757E-2</v>
      </c>
      <c r="EH218" s="50">
        <f t="shared" si="356"/>
        <v>1.754874651810585E-2</v>
      </c>
      <c r="EI218" s="51">
        <f t="shared" si="357"/>
        <v>24409</v>
      </c>
      <c r="EJ218" s="51">
        <f t="shared" si="358"/>
        <v>2873</v>
      </c>
      <c r="EK218" s="14">
        <f>INT(SUMPRODUCT($U218:$Y218,$BF218:$BJ218)/SUM($BF218:$BJ218)/10000*$BX$7*$BZ$46/'疲劳值&amp;地图信息'!$R$10*$BY$54)</f>
        <v>820</v>
      </c>
      <c r="EL218" s="50">
        <f t="shared" si="359"/>
        <v>0.868585865774678</v>
      </c>
      <c r="EM218" s="50">
        <f t="shared" si="360"/>
        <v>0.10223471639029251</v>
      </c>
      <c r="EN218" s="50">
        <f t="shared" si="361"/>
        <v>2.9179417835029534E-2</v>
      </c>
      <c r="EO218" s="51">
        <f t="shared" si="362"/>
        <v>26524</v>
      </c>
      <c r="EP218" s="51">
        <f t="shared" si="363"/>
        <v>5005</v>
      </c>
      <c r="EQ218" s="14">
        <f>INT(SUMPRODUCT($AB218:$AF218,$BF218:$BJ218)/SUM($BF218:$BJ218)/10000*$BX$7*$BZ$46/'疲劳值&amp;地图信息'!$R$10*$BY$55)</f>
        <v>1113</v>
      </c>
      <c r="ER218" s="50">
        <f t="shared" si="364"/>
        <v>0.81257275902211878</v>
      </c>
      <c r="ES218" s="50">
        <f t="shared" si="365"/>
        <v>0.15333006555970835</v>
      </c>
      <c r="ET218" s="50">
        <f t="shared" si="366"/>
        <v>3.4097175418172906E-2</v>
      </c>
      <c r="EU218" s="51">
        <f t="shared" si="367"/>
        <v>31793</v>
      </c>
      <c r="EV218" s="51">
        <f t="shared" si="368"/>
        <v>14562</v>
      </c>
      <c r="EW218" s="14">
        <f>INT(SUMPRODUCT($AI218:$AM218,$BF218:$BJ218)/SUM($BF218:$BJ218)/10000*$BX$7*$BZ$46/'疲劳值&amp;地图信息'!$R$10*$BY$56)</f>
        <v>1670</v>
      </c>
      <c r="EX218" s="50">
        <f t="shared" si="369"/>
        <v>0.66200937011972927</v>
      </c>
      <c r="EY218" s="50">
        <f t="shared" si="370"/>
        <v>0.30321707444039564</v>
      </c>
      <c r="EZ218" s="50">
        <f t="shared" si="371"/>
        <v>3.4773555439875065E-2</v>
      </c>
      <c r="FA218" s="51">
        <f t="shared" si="372"/>
        <v>33148</v>
      </c>
      <c r="FB218" s="51">
        <f t="shared" si="373"/>
        <v>25028</v>
      </c>
      <c r="FC218" s="14">
        <f>INT(SUMPRODUCT($AP218:$AT218,$BF218:$BJ218)/SUM($BF218:$BJ218)/10000*$BX$7*$BZ$46/'疲劳值&amp;地图信息'!$R$10*$BY$57)</f>
        <v>2226</v>
      </c>
      <c r="FD218" s="50">
        <f t="shared" si="374"/>
        <v>0.54878977517300753</v>
      </c>
      <c r="FE218" s="50">
        <f t="shared" si="375"/>
        <v>0.4143571404920367</v>
      </c>
      <c r="FF218" s="50">
        <f t="shared" si="376"/>
        <v>3.6853084334955793E-2</v>
      </c>
      <c r="FH218" s="14">
        <f t="shared" si="377"/>
        <v>25130</v>
      </c>
      <c r="FI218" s="14">
        <f t="shared" si="378"/>
        <v>28102</v>
      </c>
      <c r="FJ218" s="14">
        <f t="shared" si="379"/>
        <v>32642</v>
      </c>
      <c r="FK218" s="14">
        <f t="shared" si="380"/>
        <v>48025</v>
      </c>
      <c r="FL218" s="14">
        <f t="shared" si="381"/>
        <v>60402</v>
      </c>
      <c r="FM218" s="14">
        <f t="shared" si="382"/>
        <v>2930356</v>
      </c>
      <c r="FP218" s="14">
        <f t="shared" si="383"/>
        <v>334150</v>
      </c>
      <c r="FQ218" s="50">
        <f t="shared" si="323"/>
        <v>0.1023585191756425</v>
      </c>
      <c r="FS218" s="14">
        <f t="shared" si="384"/>
        <v>3264506</v>
      </c>
      <c r="FX218" s="14">
        <v>213</v>
      </c>
      <c r="FY218" s="51">
        <f t="shared" si="385"/>
        <v>32047</v>
      </c>
      <c r="FZ218" s="51">
        <f t="shared" si="386"/>
        <v>1798</v>
      </c>
      <c r="GA218" s="51">
        <f>INT(SUMPRODUCT($N218:$R218,$BF218:$BJ218)/SUM($BF218:$BJ218)/10000*$BX$7*$BZ$46/'疲劳值&amp;地图信息'!$R$10*$BY$53)</f>
        <v>441</v>
      </c>
      <c r="GB218" s="50">
        <f t="shared" si="387"/>
        <v>0.93469637753018719</v>
      </c>
      <c r="GC218" s="50">
        <f t="shared" si="388"/>
        <v>5.2441229656419529E-2</v>
      </c>
      <c r="GD218" s="50">
        <f t="shared" si="389"/>
        <v>1.2862392813393221E-2</v>
      </c>
      <c r="GE218" s="51">
        <f t="shared" si="390"/>
        <v>34173</v>
      </c>
      <c r="GF218" s="51">
        <f t="shared" si="391"/>
        <v>2873</v>
      </c>
      <c r="GG218" s="14">
        <f>INT(SUMPRODUCT($U218:$Y218,$BF218:$BJ218)/SUM($BF218:$BJ218)/10000*$BX$7*$BZ$46/'疲劳值&amp;地图信息'!$R$10*$BY$54)</f>
        <v>820</v>
      </c>
      <c r="GH218" s="50">
        <f t="shared" si="392"/>
        <v>0.90247187450483279</v>
      </c>
      <c r="GI218" s="50">
        <f t="shared" si="393"/>
        <v>7.5872814662229962E-2</v>
      </c>
      <c r="GJ218" s="50">
        <f t="shared" si="394"/>
        <v>2.1655310832937199E-2</v>
      </c>
      <c r="GK218" s="51">
        <f t="shared" si="395"/>
        <v>37134</v>
      </c>
      <c r="GL218" s="51">
        <f t="shared" si="396"/>
        <v>5005</v>
      </c>
      <c r="GM218" s="14">
        <f>INT(SUMPRODUCT($AB218:$AF218,$BF218:$BJ218)/SUM($BF218:$BJ218)/10000*$BX$7*$BZ$46/'疲劳值&amp;地图信息'!$R$10*$BY$55)</f>
        <v>1113</v>
      </c>
      <c r="GN218" s="50">
        <f t="shared" si="397"/>
        <v>0.85854989364653655</v>
      </c>
      <c r="GO218" s="50">
        <f t="shared" si="398"/>
        <v>0.11571719226856561</v>
      </c>
      <c r="GP218" s="50">
        <f t="shared" si="399"/>
        <v>2.5732914084897807E-2</v>
      </c>
      <c r="GQ218" s="51">
        <f t="shared" si="400"/>
        <v>44510</v>
      </c>
      <c r="GR218" s="51">
        <f t="shared" si="401"/>
        <v>14562</v>
      </c>
      <c r="GS218" s="14">
        <f>INT(SUMPRODUCT($AI218:$AM218,$BF218:$BJ218)/SUM($BF218:$BJ218)/10000*$BX$7*$BZ$46/'疲劳值&amp;地图信息'!$R$10*$BY$56)</f>
        <v>1670</v>
      </c>
      <c r="GT218" s="50">
        <f t="shared" si="402"/>
        <v>0.73277139376378786</v>
      </c>
      <c r="GU218" s="50">
        <f t="shared" si="403"/>
        <v>0.23973527378090942</v>
      </c>
      <c r="GV218" s="50">
        <f t="shared" si="404"/>
        <v>2.7493332455302756E-2</v>
      </c>
      <c r="GW218" s="51">
        <f t="shared" si="405"/>
        <v>46408</v>
      </c>
      <c r="GX218" s="51">
        <f t="shared" si="406"/>
        <v>25028</v>
      </c>
      <c r="GY218" s="14">
        <f>INT(SUMPRODUCT($AP218:$AT218,$BF218:$BJ218)/SUM($BF218:$BJ218)/10000*$BX$7*$BZ$46/'疲劳值&amp;地图信息'!$R$10*$BY$57)</f>
        <v>2226</v>
      </c>
      <c r="GZ218" s="50">
        <f t="shared" si="407"/>
        <v>0.63001276098938397</v>
      </c>
      <c r="HA218" s="50">
        <f t="shared" si="408"/>
        <v>0.33976813010778961</v>
      </c>
      <c r="HB218" s="50">
        <f t="shared" si="409"/>
        <v>3.0219108902826423E-2</v>
      </c>
      <c r="HD218" s="14">
        <f t="shared" si="410"/>
        <v>34286</v>
      </c>
      <c r="HE218" s="14">
        <f t="shared" si="411"/>
        <v>37866</v>
      </c>
      <c r="HF218" s="14">
        <f t="shared" si="412"/>
        <v>43252</v>
      </c>
      <c r="HG218" s="14">
        <f t="shared" si="413"/>
        <v>60742</v>
      </c>
      <c r="HH218" s="14">
        <f t="shared" si="414"/>
        <v>73662</v>
      </c>
      <c r="HI218" s="14">
        <f t="shared" si="415"/>
        <v>3943006</v>
      </c>
      <c r="HL218" s="14">
        <f t="shared" si="416"/>
        <v>430050</v>
      </c>
      <c r="HM218" s="50">
        <f t="shared" si="324"/>
        <v>9.8340839906920927E-2</v>
      </c>
      <c r="HO218" s="14">
        <f t="shared" si="417"/>
        <v>4373056</v>
      </c>
    </row>
    <row r="219" spans="11:223" x14ac:dyDescent="0.2">
      <c r="K219" s="14">
        <v>214</v>
      </c>
      <c r="L219" s="12">
        <f>求节点(节奏总纲!D$4:D$163,标准城池设计!AB$4:AB$163,$K219)*求节点(节奏总纲!D$4:D$163,攻城基础信息!$AC$5:$AC$164,$K219)</f>
        <v>675247.32433712087</v>
      </c>
      <c r="M219" s="12">
        <f>INDEX(其他调用!$AA$5:$AA$404,MATCH(K219,其他调用!$X$5:$X$404,0))*MIN(INDEX(其他调用!$AH$5:$AH$364,MATCH('征服点（新）'!K219,其他调用!$AG$5:$AG$364,0),1)/INDEX(其他调用!$AJ$5:$AJ$364,MATCH(K219,其他调用!$AG$5:$AG$364,0),0),5)*求节点(节奏总纲!D$4:D$163,攻城基础信息!$AC$5:$AC$164,$K219)</f>
        <v>52998.768230750495</v>
      </c>
      <c r="N219" s="12">
        <f>MIN(INDEX(其他调用!$AH$5:$AH$364,MATCH($K219,其他调用!$AG$5:$AG$364,0),1)/INDEX(其他调用!AH$5:AH$364,MATCH($K219,其他调用!$AG$5:$AG$364,0),0),1)*INDEX(其他调用!Y$5:Y$404,MATCH($K219,其他调用!$X$5:$X$404,0),0)</f>
        <v>40523.7077228993</v>
      </c>
      <c r="O219" s="12">
        <f>MIN(INDEX(其他调用!$AH$5:$AH$364,MATCH($K219,其他调用!$AG$5:$AG$364,0),1)/INDEX(其他调用!AI$5:AI$364,MATCH($K219,其他调用!$AG$5:$AG$364,0),0),1)*INDEX(其他调用!Z$5:Z$404,MATCH($K219,其他调用!$X$5:$X$404,0),0)</f>
        <v>26065.106805468593</v>
      </c>
      <c r="P219" s="12">
        <f>MIN(INDEX(其他调用!$AH$5:$AH$364,MATCH($K219,其他调用!$AG$5:$AG$364,0),1)/INDEX(其他调用!AJ$5:AJ$364,MATCH($K219,其他调用!$AG$5:$AG$364,0),0),1)*INDEX(其他调用!AA$5:AA$404,MATCH($K219,其他调用!$X$5:$X$404,0),0)</f>
        <v>15515.879336244563</v>
      </c>
      <c r="Q219" s="12">
        <f>MIN(INDEX(其他调用!$AH$5:$AH$364,MATCH($K219,其他调用!$AG$5:$AG$364,0),1)/INDEX(其他调用!AK$5:AK$364,MATCH($K219,其他调用!$AG$5:$AG$364,0),0),1)*INDEX(其他调用!AB$5:AB$404,MATCH($K219,其他调用!$X$5:$X$404,0),0)</f>
        <v>5599.2605074371804</v>
      </c>
      <c r="R219" s="12">
        <f>MIN(INDEX(其他调用!$AH$5:$AH$364,MATCH($K219,其他调用!$AG$5:$AG$364,0),1)/INDEX(其他调用!AL$5:AL$364,MATCH($K219,其他调用!$AG$5:$AG$364,0),0),1)*INDEX(其他调用!AC$5:AC$404,MATCH($K219,其他调用!$X$5:$X$404,0),0)</f>
        <v>2638.2231153807002</v>
      </c>
      <c r="S219" s="12">
        <f>求节点(节奏总纲!D$4:D$163,标准城池设计!AC$4:AC$163,$K219)*求节点(节奏总纲!D$4:D$163,攻城基础信息!$AD$5:$AD$164,$K219)</f>
        <v>720227.23517765757</v>
      </c>
      <c r="T219" s="12">
        <f>INDEX(其他调用!$AA$5:$AA$404,MATCH($K219,其他调用!$X$5:$X$404,0))*MIN(INDEX(其他调用!AI$5:AI$364,MATCH($K219,其他调用!$AG$5:$AG$364,0),1)/INDEX(其他调用!$AJ$5:$AJ$364,MATCH($K219,其他调用!$AG$5:$AG$364,0),0),5)*求节点(节奏总纲!D$4:D$163,攻城基础信息!$AD$5:$AD$164,$K219)</f>
        <v>84734.930409278328</v>
      </c>
      <c r="U219" s="12">
        <f>MIN(INDEX(其他调用!$AI$5:$AI$364,MATCH($K219,其他调用!$AG$5:$AG$364,0),1)/INDEX(其他调用!AH$5:AH$364,MATCH($K219,其他调用!$AG$5:$AG$364,0),0),1)*INDEX(其他调用!Y$5:Y$404,MATCH($K219,其他调用!$X$5:$X$404,0),0)</f>
        <v>40523.7077228993</v>
      </c>
      <c r="V219" s="12">
        <f>MIN(INDEX(其他调用!$AI$5:$AI$364,MATCH($K219,其他调用!$AG$5:$AG$364,0),1)/INDEX(其他调用!AI$5:AI$364,MATCH($K219,其他调用!$AG$5:$AG$364,0),0),1)*INDEX(其他调用!Z$5:Z$404,MATCH($K219,其他调用!$X$5:$X$404,0),0)</f>
        <v>41673.138546460003</v>
      </c>
      <c r="W219" s="12">
        <f>MIN(INDEX(其他调用!$AI$5:$AI$364,MATCH($K219,其他调用!$AG$5:$AG$364,0),1)/INDEX(其他调用!AJ$5:AJ$364,MATCH($K219,其他调用!$AG$5:$AG$364,0),0),1)*INDEX(其他调用!AA$5:AA$404,MATCH($K219,其他调用!$X$5:$X$404,0),0)</f>
        <v>24806.93419271992</v>
      </c>
      <c r="X219" s="12">
        <f>MIN(INDEX(其他调用!$AI$5:$AI$364,MATCH($K219,其他调用!$AG$5:$AG$364,0),1)/INDEX(其他调用!AK$5:AK$364,MATCH($K219,其他调用!$AG$5:$AG$364,0),0),1)*INDEX(其他调用!AB$5:AB$404,MATCH($K219,其他调用!$X$5:$X$404,0),0)</f>
        <v>8952.1504985813408</v>
      </c>
      <c r="Y219" s="12">
        <f>MIN(INDEX(其他调用!$AI$5:$AI$364,MATCH($K219,其他调用!$AG$5:$AG$364,0),1)/INDEX(其他调用!AL$5:AL$364,MATCH($K219,其他调用!$AG$5:$AG$364,0),0),1)*INDEX(其他调用!AC$5:AC$404,MATCH($K219,其他调用!$X$5:$X$404,0),0)</f>
        <v>4218.0159944967745</v>
      </c>
      <c r="Z219" s="12">
        <f>求节点(节奏总纲!D$4:D$163,标准城池设计!AD$4:AD$163,$K219)*求节点(节奏总纲!D$4:D$163,攻城基础信息!$AE$5:$AE$164,$K219)</f>
        <v>782992.2112124213</v>
      </c>
      <c r="AA219" s="12">
        <f>INDEX(其他调用!$AA$5:$AA$404,MATCH($K219,其他调用!$X$5:$X$404,0))*MIN(INDEX(其他调用!AJ$5:AJ$364,MATCH($K219,其他调用!$AG$5:$AG$364,0),1)/INDEX(其他调用!$AJ$5:$AJ$364,MATCH($K219,其他调用!$AG$5:$AG$364,0),0),5)*求节点(节奏总纲!D$4:D$163,攻城基础信息!$AE$5:$AE$164,$K219)</f>
        <v>147549.06891834465</v>
      </c>
      <c r="AB219" s="12">
        <f>MIN(INDEX(其他调用!$AJ$5:$AJ$364,MATCH($K219,其他调用!$AG$5:$AG$364,0),1)/INDEX(其他调用!AH$5:AH$364,MATCH($K219,其他调用!$AG$5:$AG$364,0),0),1)*INDEX(其他调用!Y$5:Y$404,MATCH($K219,其他调用!$X$5:$X$404,0),0)</f>
        <v>40523.7077228993</v>
      </c>
      <c r="AC219" s="12">
        <f>MIN(INDEX(其他调用!$AJ$5:$AJ$364,MATCH($K219,其他调用!$AG$5:$AG$364,0),1)/INDEX(其他调用!AI$5:AI$364,MATCH($K219,其他调用!$AG$5:$AG$364,0),0),1)*INDEX(其他调用!Z$5:Z$404,MATCH($K219,其他调用!$X$5:$X$404,0),0)</f>
        <v>41673.138546460003</v>
      </c>
      <c r="AD219" s="12">
        <f>MIN(INDEX(其他调用!$AJ$5:$AJ$364,MATCH($K219,其他调用!$AG$5:$AG$364,0),1)/INDEX(其他调用!AJ$5:AJ$364,MATCH($K219,其他调用!$AG$5:$AG$364,0),0),1)*INDEX(其他调用!AA$5:AA$404,MATCH($K219,其他调用!$X$5:$X$404,0),0)</f>
        <v>43196.353914202089</v>
      </c>
      <c r="AE219" s="12">
        <f>MIN(INDEX(其他调用!$AJ$5:$AJ$364,MATCH($K219,其他调用!$AG$5:$AG$364,0),1)/INDEX(其他调用!AK$5:AK$364,MATCH($K219,其他调用!$AG$5:$AG$364,0),0),1)*INDEX(其他调用!AB$5:AB$404,MATCH($K219,其他调用!$X$5:$X$404,0),0)</f>
        <v>15588.393883166949</v>
      </c>
      <c r="AF219" s="12">
        <f>MIN(INDEX(其他调用!$AJ$5:$AJ$364,MATCH($K219,其他调用!$AG$5:$AG$364,0),1)/INDEX(其他调用!AL$5:AL$364,MATCH($K219,其他调用!$AG$5:$AG$364,0),0),1)*INDEX(其他调用!AC$5:AC$404,MATCH($K219,其他调用!$X$5:$X$404,0),0)</f>
        <v>7344.837951298261</v>
      </c>
      <c r="AG219" s="12">
        <f>求节点(节奏总纲!D$4:D$163,标准城池设计!AE$4:AE$163,$K219)*求节点(节奏总纲!D$4:D$163,攻城基础信息!$AF$5:$AF$164,$K219)</f>
        <v>938736.05340065318</v>
      </c>
      <c r="AH219" s="12">
        <f>INDEX(其他调用!$AA$5:$AA$404,MATCH($K219,其他调用!$X$5:$X$404,0))*MIN(INDEX(其他调用!AK$5:AK$364,MATCH($K219,其他调用!$AG$5:$AG$364,0),1)/INDEX(其他调用!$AJ$5:$AJ$364,MATCH($K219,其他调用!$AG$5:$AG$364,0),0),5)*求节点(节奏总纲!D$4:D$163,攻城基础信息!$AF$5:$AF$164,$K219)</f>
        <v>429695.23056218424</v>
      </c>
      <c r="AI219" s="12">
        <f>MIN(INDEX(其他调用!$AK$5:$AK$364,MATCH($K219,其他调用!$AG$5:$AG$364,0),1)/INDEX(其他调用!AH$5:AH$364,MATCH($K219,其他调用!$AG$5:$AG$364,0),0),1)*INDEX(其他调用!Y$5:Y$404,MATCH($K219,其他调用!$X$5:$X$404,0),0)</f>
        <v>40523.7077228993</v>
      </c>
      <c r="AJ219" s="12">
        <f>MIN(INDEX(其他调用!$AK$5:$AK$364,MATCH($K219,其他调用!$AG$5:$AG$364,0),1)/INDEX(其他调用!AI$5:AI$364,MATCH($K219,其他调用!$AG$5:$AG$364,0),0),1)*INDEX(其他调用!Z$5:Z$404,MATCH($K219,其他调用!$X$5:$X$404,0),0)</f>
        <v>41673.138546460003</v>
      </c>
      <c r="AK219" s="12">
        <f>MIN(INDEX(其他调用!$AK$5:$AK$364,MATCH($K219,其他调用!$AG$5:$AG$364,0),1)/INDEX(其他调用!AJ$5:AJ$364,MATCH($K219,其他调用!$AG$5:$AG$364,0),0),1)*INDEX(其他调用!AA$5:AA$404,MATCH($K219,其他调用!$X$5:$X$404,0),0)</f>
        <v>43196.353914202089</v>
      </c>
      <c r="AL219" s="12">
        <f>MIN(INDEX(其他调用!$AK$5:$AK$364,MATCH($K219,其他调用!$AG$5:$AG$364,0),1)/INDEX(其他调用!AK$5:AK$364,MATCH($K219,其他调用!$AG$5:$AG$364,0),0),1)*INDEX(其他调用!AB$5:AB$404,MATCH($K219,其他调用!$X$5:$X$404,0),0)</f>
        <v>45396.819870333842</v>
      </c>
      <c r="AM219" s="12">
        <f>MIN(INDEX(其他调用!$AK$5:$AK$364,MATCH($K219,其他调用!$AG$5:$AG$364,0),1)/INDEX(其他调用!AL$5:AL$364,MATCH($K219,其他调用!$AG$5:$AG$364,0),0),1)*INDEX(其他调用!AC$5:AC$404,MATCH($K219,其他调用!$X$5:$X$404,0),0)</f>
        <v>21389.778058657743</v>
      </c>
      <c r="AN219" s="12">
        <f>求节点(节奏总纲!D$4:D$163,标准城池设计!AF$4:AF$163,$K219)*求节点(节奏总纲!D$4:D$163,攻城基础信息!$AG$5:$AG$164,$K219)</f>
        <v>979004.70310467482</v>
      </c>
      <c r="AO219" s="12">
        <f>INDEX(其他调用!$AA$5:$AA$404,MATCH($K219,其他调用!$X$5:$X$404,0))*MIN(INDEX(其他调用!AL$5:AL$364,MATCH($K219,其他调用!$AG$5:$AG$364,0),1)/INDEX(其他调用!$AJ$5:$AJ$364,MATCH($K219,其他调用!$AG$5:$AG$364,0),0),5)*求节点(节奏总纲!D$4:D$163,攻城基础信息!$AG$5:$AG$164,$K219)</f>
        <v>737745.34459172317</v>
      </c>
      <c r="AP219" s="12">
        <f>MIN(INDEX(其他调用!$AL$5:$AL$364,MATCH($K219,其他调用!$AG$5:$AG$364,0),1)/INDEX(其他调用!AH$5:AH$364,MATCH($K219,其他调用!$AG$5:$AG$364,0),0),1)*INDEX(其他调用!Y$5:Y$404,MATCH($K219,其他调用!$X$5:$X$404,0),0)</f>
        <v>40523.7077228993</v>
      </c>
      <c r="AQ219" s="12">
        <f>MIN(INDEX(其他调用!$AL$5:$AL$364,MATCH($K219,其他调用!$AG$5:$AG$364,0),1)/INDEX(其他调用!AI$5:AI$364,MATCH($K219,其他调用!$AG$5:$AG$364,0),0),1)*INDEX(其他调用!Z$5:Z$404,MATCH($K219,其他调用!$X$5:$X$404,0),0)</f>
        <v>41673.138546460003</v>
      </c>
      <c r="AR219" s="12">
        <f>MIN(INDEX(其他调用!$AL$5:$AL$364,MATCH($K219,其他调用!$AG$5:$AG$364,0),1)/INDEX(其他调用!AJ$5:AJ$364,MATCH($K219,其他调用!$AG$5:$AG$364,0),0),1)*INDEX(其他调用!AA$5:AA$404,MATCH($K219,其他调用!$X$5:$X$404,0),0)</f>
        <v>43196.353914202089</v>
      </c>
      <c r="AS219" s="12">
        <f>MIN(INDEX(其他调用!$AL$5:$AL$364,MATCH($K219,其他调用!$AG$5:$AG$364,0),1)/INDEX(其他调用!AK$5:AK$364,MATCH($K219,其他调用!$AG$5:$AG$364,0),0),1)*INDEX(其他调用!AB$5:AB$404,MATCH($K219,其他调用!$X$5:$X$404,0),0)</f>
        <v>45396.819870333842</v>
      </c>
      <c r="AT219" s="12">
        <f>MIN(INDEX(其他调用!$AL$5:$AL$364,MATCH($K219,其他调用!$AG$5:$AG$364,0),1)/INDEX(其他调用!AL$5:AL$364,MATCH($K219,其他调用!$AG$5:$AG$364,0),0),1)*INDEX(其他调用!AC$5:AC$404,MATCH($K219,其他调用!$X$5:$X$404,0),0)</f>
        <v>49338.754790999876</v>
      </c>
      <c r="AV219" s="14">
        <f>IF(OR(AV$5="大R",AV$5="超R"),MAX(INDEX(其他调用!$H$5:$L$404,MATCH($K219,其他调用!$B$5:$B$404,0),MATCH(AV$5,其他调用!$H$4:$L$4,0))*120*0.85,2),INDEX(其他调用!$H$5:$L$404,MATCH($K219,其他调用!$B$5:$B$404,0),MATCH(AV$5,其他调用!$H$4:$L$4,0))*120*0.85)</f>
        <v>48.921801254999991</v>
      </c>
      <c r="AW219" s="14">
        <f>IF(OR(AW$5="大R",AW$5="超R"),MAX(INDEX(其他调用!$H$5:$L$404,MATCH($K219,其他调用!$B$5:$B$404,0),MATCH(AW$5,其他调用!$H$4:$L$4,0))*120*0.85,2),INDEX(其他调用!$H$5:$L$404,MATCH($K219,其他调用!$B$5:$B$404,0),MATCH(AW$5,其他调用!$H$4:$L$4,0))*120*0.85)</f>
        <v>48.237344010638395</v>
      </c>
      <c r="AX219" s="14">
        <f>IF(OR(AX$5="大R",AX$5="超R"),MAX(INDEX(其他调用!$H$5:$L$404,MATCH($K219,其他调用!$B$5:$B$404,0),MATCH(AX$5,其他调用!$H$4:$L$4,0))*120*0.85,2),INDEX(其他调用!$H$5:$L$404,MATCH($K219,其他调用!$B$5:$B$404,0),MATCH(AX$5,其他调用!$H$4:$L$4,0))*120*0.85)</f>
        <v>3.9376284143615998</v>
      </c>
      <c r="AY219" s="14">
        <f>IF(OR(AY$5="大R",AY$5="超R"),MAX(INDEX(其他调用!$H$5:$L$404,MATCH($K219,其他调用!$B$5:$B$404,0),MATCH(AY$5,其他调用!$H$4:$L$4,0))*120*0.85,2),INDEX(其他调用!$H$5:$L$404,MATCH($K219,其他调用!$B$5:$B$404,0),MATCH(AY$5,其他调用!$H$4:$L$4,0))*120*0.85)</f>
        <v>2</v>
      </c>
      <c r="AZ219" s="14">
        <f>IF(OR(AZ$5="大R",AZ$5="超R"),MAX(INDEX(其他调用!$H$5:$L$404,MATCH($K219,其他调用!$B$5:$B$404,0),MATCH(AZ$5,其他调用!$H$4:$L$4,0))*120*0.85,2),INDEX(其他调用!$H$5:$L$404,MATCH($K219,其他调用!$B$5:$B$404,0),MATCH(AZ$5,其他调用!$H$4:$L$4,0))*120*0.85)</f>
        <v>2</v>
      </c>
      <c r="BA219" s="14">
        <f>INDEX(其他调用!$H$5:$L$404,MATCH($K219,其他调用!$B$5:$B$404,0),MATCH(BA$5,其他调用!$H$4:$L$4,0))*INDEX(其他调用!$M$5:$M$404,MATCH($K219,其他调用!$B$5:$B$404,0))*0.6</f>
        <v>28.777530149999997</v>
      </c>
      <c r="BB219" s="14">
        <f>INDEX(其他调用!$H$5:$L$404,MATCH($K219,其他调用!$B$5:$B$404,0),MATCH(BB$5,其他调用!$H$4:$L$4,0))*INDEX(其他调用!$M$5:$M$404,MATCH($K219,其他调用!$B$5:$B$404,0))*0.6</f>
        <v>28.374908241551999</v>
      </c>
      <c r="BC219" s="14">
        <f>INDEX(其他调用!$H$5:$L$404,MATCH($K219,其他调用!$B$5:$B$404,0),MATCH(BC$5,其他调用!$H$4:$L$4,0))*INDEX(其他调用!$M$5:$M$404,MATCH($K219,其他调用!$B$5:$B$404,0))*0.6</f>
        <v>2.3162520084480001</v>
      </c>
      <c r="BD219" s="14">
        <f>INDEX(其他调用!$H$5:$L$404,MATCH($K219,其他调用!$B$5:$B$404,0),MATCH(BD$5,其他调用!$H$4:$L$4,0))*INDEX(其他调用!$M$5:$M$404,MATCH($K219,其他调用!$B$5:$B$404,0))*0.6</f>
        <v>0.4120776000000001</v>
      </c>
      <c r="BE219" s="14">
        <f>INDEX(其他调用!$H$5:$L$404,MATCH($K219,其他调用!$B$5:$B$404,0),MATCH(BE$5,其他调用!$H$4:$L$4,0))*INDEX(其他调用!$M$5:$M$404,MATCH($K219,其他调用!$B$5:$B$404,0))*0.6</f>
        <v>0.11923199999999998</v>
      </c>
      <c r="BF219" s="14">
        <f>IF(OR(BF$5="大R",BF$5="超R"),0,INDEX(其他调用!$H$5:$L$404,MATCH($K219,其他调用!$B$5:$B$404,0),MATCH(BF$5,其他调用!$H$4:$L$4,0))*50*0.4)</f>
        <v>9.5925100500000013</v>
      </c>
      <c r="BG219" s="14">
        <f>IF(OR(BG$5="大R",BG$5="超R"),0,INDEX(其他调用!$H$5:$L$404,MATCH($K219,其他调用!$B$5:$B$404,0),MATCH(BG$5,其他调用!$H$4:$L$4,0))*50*0.4)</f>
        <v>9.4583027471839998</v>
      </c>
      <c r="BH219" s="14">
        <f>IF(OR(BH$5="大R",BH$5="超R"),0,INDEX(其他调用!$H$5:$L$404,MATCH($K219,其他调用!$B$5:$B$404,0),MATCH(BH$5,其他调用!$H$4:$L$4,0))*50*0.4)</f>
        <v>0.77208400281600009</v>
      </c>
      <c r="BI219" s="14">
        <f>IF(OR(BI$5="大R",BI$5="超R"),0,INDEX(其他调用!$H$5:$L$404,MATCH($K219,其他调用!$B$5:$B$404,0),MATCH(BI$5,其他调用!$H$4:$L$4,0))*50*0.4)</f>
        <v>0</v>
      </c>
      <c r="BJ219" s="14">
        <f>IF(OR(BJ$5="大R",BJ$5="超R"),0,INDEX(其他调用!$H$5:$L$404,MATCH($K219,其他调用!$B$5:$B$404,0),MATCH(BJ$5,其他调用!$H$4:$L$4,0))*50*0.4)</f>
        <v>0</v>
      </c>
      <c r="BL219" s="14">
        <f t="shared" si="418"/>
        <v>214</v>
      </c>
      <c r="BM219" s="14">
        <f t="shared" si="325"/>
        <v>96</v>
      </c>
      <c r="BN219" s="14">
        <f>('疲劳值&amp;地图信息'!$S$10*'疲劳值&amp;地图信息'!$R$10+'疲劳值&amp;地图信息'!$S$11*'疲劳值&amp;地图信息'!$R$11+'疲劳值&amp;地图信息'!$S$12*'疲劳值&amp;地图信息'!$R$12+(BM219-'疲劳值&amp;地图信息'!$S$12-'疲劳值&amp;地图信息'!$S$11-'疲劳值&amp;地图信息'!$S$10)*'疲劳值&amp;地图信息'!$R$13)/BM219</f>
        <v>51.371477246638619</v>
      </c>
      <c r="BO219" s="14">
        <f>INDEX(其他调用!$M$5:$M$404,MATCH(BL219,其他调用!$B$5:$B$404,0))*0.6</f>
        <v>60</v>
      </c>
      <c r="BP219" s="14">
        <f>IF(BO219&gt;SUM('疲劳值&amp;地图信息'!$S$10:$S$12),('疲劳值&amp;地图信息'!$S$10*'疲劳值&amp;地图信息'!$R$10+'疲劳值&amp;地图信息'!$S$11*'疲劳值&amp;地图信息'!$R$11+'疲劳值&amp;地图信息'!$S$12*'疲劳值&amp;地图信息'!$R$12+(BO219-'疲劳值&amp;地图信息'!$S$12-'疲劳值&amp;地图信息'!$S$11-'疲劳值&amp;地图信息'!$S$10)*'疲劳值&amp;地图信息'!$R$13)/BO219,('疲劳值&amp;地图信息'!$S$10*'疲劳值&amp;地图信息'!$R$10+'疲劳值&amp;地图信息'!$S$11*'疲劳值&amp;地图信息'!$R$11+'疲劳值&amp;地图信息'!$S$12*'疲劳值&amp;地图信息'!$R$12+(BO219-'疲劳值&amp;地图信息'!$S$12-'疲劳值&amp;地图信息'!$S$11-'疲劳值&amp;地图信息'!$S$10)*'疲劳值&amp;地图信息'!$R$13)/BO219)</f>
        <v>44.158136341605953</v>
      </c>
      <c r="BQ219" s="14">
        <f t="shared" si="419"/>
        <v>20</v>
      </c>
      <c r="BR219" s="14">
        <f>('疲劳值&amp;地图信息'!$S$10*'疲劳值&amp;地图信息'!$R$10+($BQ219-'疲劳值&amp;地图信息'!$S$10)*'疲劳值&amp;地图信息'!$R$11)/$BQ219</f>
        <v>32.067203015074995</v>
      </c>
      <c r="CF219" s="14">
        <v>214</v>
      </c>
      <c r="CG219" s="51">
        <f t="shared" si="326"/>
        <v>13762</v>
      </c>
      <c r="CH219" s="51">
        <f t="shared" si="327"/>
        <v>1080</v>
      </c>
      <c r="CI219" s="51">
        <f>INT(SUMPRODUCT($N219:$R219,$BA219:$BE219)/SUM($BA219:$BE219)/10000*$BX$7*$BZ$34/'疲劳值&amp;地图信息'!$R$10*$BY$53)</f>
        <v>3288</v>
      </c>
      <c r="CJ219" s="50">
        <f t="shared" si="328"/>
        <v>0.75907335907335904</v>
      </c>
      <c r="CK219" s="50">
        <f t="shared" si="329"/>
        <v>5.9569773855488138E-2</v>
      </c>
      <c r="CL219" s="50">
        <f t="shared" si="330"/>
        <v>0.18135686707115278</v>
      </c>
      <c r="CM219" s="14">
        <f t="shared" si="331"/>
        <v>14679</v>
      </c>
      <c r="CN219" s="14">
        <f t="shared" si="332"/>
        <v>1727</v>
      </c>
      <c r="CO219" s="14">
        <f>INT(SUMPRODUCT($U219:$Y219,$BA219:$BE219)/SUM($BA219:$BE219)/10000*$BX$7*$BZ$34/'疲劳值&amp;地图信息'!$R$10*$BY$54)</f>
        <v>6114</v>
      </c>
      <c r="CP219" s="50">
        <f t="shared" si="333"/>
        <v>0.65182060390763763</v>
      </c>
      <c r="CQ219" s="50">
        <f t="shared" si="334"/>
        <v>7.6687388987566607E-2</v>
      </c>
      <c r="CR219" s="50">
        <f t="shared" si="335"/>
        <v>0.27149200710479576</v>
      </c>
      <c r="CS219" s="14">
        <f t="shared" si="336"/>
        <v>15958</v>
      </c>
      <c r="CT219" s="14">
        <f t="shared" si="337"/>
        <v>3007</v>
      </c>
      <c r="CU219" s="14">
        <f>INT(SUMPRODUCT($AB219:$AF219,$BA219:$BE219)/SUM($BA219:$BE219)/10000*$BX$7*$BZ$34/'疲劳值&amp;地图信息'!$R$10*$BY$55)</f>
        <v>8306</v>
      </c>
      <c r="CV219" s="50">
        <f t="shared" si="338"/>
        <v>0.58516372703604558</v>
      </c>
      <c r="CW219" s="50">
        <f t="shared" si="339"/>
        <v>0.11026365003116864</v>
      </c>
      <c r="CX219" s="50">
        <f t="shared" si="340"/>
        <v>0.30457262293278575</v>
      </c>
      <c r="CY219" s="14">
        <f t="shared" si="341"/>
        <v>19132</v>
      </c>
      <c r="CZ219" s="14">
        <f t="shared" si="342"/>
        <v>8757</v>
      </c>
      <c r="DA219" s="14">
        <f>INT(SUMPRODUCT($AI219:$AM219,$BA219:$BE219)/SUM($BA219:$BE219)/10000*$BX$7*$BZ$34/'疲劳值&amp;地图信息'!$R$10*$BY$56)</f>
        <v>12530</v>
      </c>
      <c r="DB219" s="50">
        <f t="shared" si="343"/>
        <v>0.47334174521883271</v>
      </c>
      <c r="DC219" s="50">
        <f t="shared" si="344"/>
        <v>0.21665553328879983</v>
      </c>
      <c r="DD219" s="50">
        <f t="shared" si="345"/>
        <v>0.31000272149236746</v>
      </c>
      <c r="DE219" s="14">
        <f t="shared" si="346"/>
        <v>19953</v>
      </c>
      <c r="DF219" s="14">
        <f t="shared" si="347"/>
        <v>15036</v>
      </c>
      <c r="DG219" s="14">
        <f>INT(SUMPRODUCT($AP219:$AT219,$BA219:$BE219)/SUM($BA219:$BE219)/10000*$BX$7*$BZ$34/'疲劳值&amp;地图信息'!$R$10*$BY$57)</f>
        <v>16730</v>
      </c>
      <c r="DH219" s="50">
        <f t="shared" si="348"/>
        <v>0.38579632243469519</v>
      </c>
      <c r="DI219" s="50">
        <f t="shared" si="349"/>
        <v>0.29072487867128133</v>
      </c>
      <c r="DJ219" s="50">
        <f t="shared" si="350"/>
        <v>0.32347879889402348</v>
      </c>
      <c r="DL219" s="14">
        <f t="shared" si="421"/>
        <v>18130</v>
      </c>
      <c r="DM219" s="14">
        <f t="shared" si="422"/>
        <v>22520</v>
      </c>
      <c r="DN219" s="14">
        <f t="shared" si="423"/>
        <v>27271</v>
      </c>
      <c r="DO219" s="14">
        <f t="shared" si="424"/>
        <v>40419</v>
      </c>
      <c r="DP219" s="14">
        <f t="shared" si="425"/>
        <v>51719</v>
      </c>
      <c r="DQ219" s="14">
        <f t="shared" si="426"/>
        <v>1246728</v>
      </c>
      <c r="DT219" s="14">
        <f t="shared" si="420"/>
        <v>235575</v>
      </c>
      <c r="DU219" s="50">
        <f t="shared" si="322"/>
        <v>0.15892499711597427</v>
      </c>
      <c r="DW219" s="14">
        <f t="shared" si="351"/>
        <v>1482303</v>
      </c>
      <c r="EB219" s="14">
        <v>214</v>
      </c>
      <c r="EC219" s="51">
        <f t="shared" si="352"/>
        <v>22937</v>
      </c>
      <c r="ED219" s="51">
        <f t="shared" si="353"/>
        <v>1800</v>
      </c>
      <c r="EE219" s="51">
        <f>INT(SUMPRODUCT($N219:$R219,$BF219:$BJ219)/SUM($BF219:$BJ219)/10000*$BX$7*$BZ$46/'疲劳值&amp;地图信息'!$R$10*$BY$53)</f>
        <v>441</v>
      </c>
      <c r="EF219" s="50">
        <f t="shared" si="354"/>
        <v>0.9109937246802764</v>
      </c>
      <c r="EG219" s="50">
        <f t="shared" si="355"/>
        <v>7.1490984192549054E-2</v>
      </c>
      <c r="EH219" s="50">
        <f t="shared" si="356"/>
        <v>1.7515291127174516E-2</v>
      </c>
      <c r="EI219" s="51">
        <f t="shared" si="357"/>
        <v>24465</v>
      </c>
      <c r="EJ219" s="51">
        <f t="shared" si="358"/>
        <v>2878</v>
      </c>
      <c r="EK219" s="14">
        <f>INT(SUMPRODUCT($U219:$Y219,$BF219:$BJ219)/SUM($BF219:$BJ219)/10000*$BX$7*$BZ$46/'疲劳值&amp;地图信息'!$R$10*$BY$54)</f>
        <v>821</v>
      </c>
      <c r="EL219" s="50">
        <f t="shared" si="359"/>
        <v>0.86866212185769065</v>
      </c>
      <c r="EM219" s="50">
        <f t="shared" si="360"/>
        <v>0.1021871893196989</v>
      </c>
      <c r="EN219" s="50">
        <f t="shared" si="361"/>
        <v>2.9150688822610425E-2</v>
      </c>
      <c r="EO219" s="51">
        <f t="shared" si="362"/>
        <v>26597</v>
      </c>
      <c r="EP219" s="51">
        <f t="shared" si="363"/>
        <v>5012</v>
      </c>
      <c r="EQ219" s="14">
        <f>INT(SUMPRODUCT($AB219:$AF219,$BF219:$BJ219)/SUM($BF219:$BJ219)/10000*$BX$7*$BZ$46/'疲劳值&amp;地图信息'!$R$10*$BY$55)</f>
        <v>1114</v>
      </c>
      <c r="ER219" s="50">
        <f t="shared" si="364"/>
        <v>0.8127922256516823</v>
      </c>
      <c r="ES219" s="50">
        <f t="shared" si="365"/>
        <v>0.1531644409131192</v>
      </c>
      <c r="ET219" s="50">
        <f t="shared" si="366"/>
        <v>3.4043333435198483E-2</v>
      </c>
      <c r="EU219" s="51">
        <f t="shared" si="367"/>
        <v>31887</v>
      </c>
      <c r="EV219" s="51">
        <f t="shared" si="368"/>
        <v>14596</v>
      </c>
      <c r="EW219" s="14">
        <f>INT(SUMPRODUCT($AI219:$AM219,$BF219:$BJ219)/SUM($BF219:$BJ219)/10000*$BX$7*$BZ$46/'疲劳值&amp;地图信息'!$R$10*$BY$56)</f>
        <v>1671</v>
      </c>
      <c r="EX219" s="50">
        <f t="shared" si="369"/>
        <v>0.66218798023009506</v>
      </c>
      <c r="EY219" s="50">
        <f t="shared" si="370"/>
        <v>0.30311085268098187</v>
      </c>
      <c r="EZ219" s="50">
        <f t="shared" si="371"/>
        <v>3.4701167088923041E-2</v>
      </c>
      <c r="FA219" s="51">
        <f t="shared" si="372"/>
        <v>33255</v>
      </c>
      <c r="FB219" s="51">
        <f t="shared" si="373"/>
        <v>25060</v>
      </c>
      <c r="FC219" s="14">
        <f>INT(SUMPRODUCT($AP219:$AT219,$BF219:$BJ219)/SUM($BF219:$BJ219)/10000*$BX$7*$BZ$46/'疲劳值&amp;地图信息'!$R$10*$BY$57)</f>
        <v>2228</v>
      </c>
      <c r="FD219" s="50">
        <f t="shared" si="374"/>
        <v>0.54927902482533075</v>
      </c>
      <c r="FE219" s="50">
        <f t="shared" si="375"/>
        <v>0.41392068447219332</v>
      </c>
      <c r="FF219" s="50">
        <f t="shared" si="376"/>
        <v>3.6800290702475924E-2</v>
      </c>
      <c r="FH219" s="14">
        <f t="shared" si="377"/>
        <v>25178</v>
      </c>
      <c r="FI219" s="14">
        <f t="shared" si="378"/>
        <v>28164</v>
      </c>
      <c r="FJ219" s="14">
        <f t="shared" si="379"/>
        <v>32723</v>
      </c>
      <c r="FK219" s="14">
        <f t="shared" si="380"/>
        <v>48154</v>
      </c>
      <c r="FL219" s="14">
        <f t="shared" si="381"/>
        <v>60543</v>
      </c>
      <c r="FM219" s="14">
        <f t="shared" si="382"/>
        <v>2936554</v>
      </c>
      <c r="FP219" s="14">
        <f t="shared" si="383"/>
        <v>334150</v>
      </c>
      <c r="FQ219" s="50">
        <f t="shared" si="323"/>
        <v>0.10216454928357932</v>
      </c>
      <c r="FS219" s="14">
        <f t="shared" si="384"/>
        <v>3270704</v>
      </c>
      <c r="FX219" s="14">
        <v>214</v>
      </c>
      <c r="FY219" s="51">
        <f t="shared" si="385"/>
        <v>32112</v>
      </c>
      <c r="FZ219" s="51">
        <f t="shared" si="386"/>
        <v>1800</v>
      </c>
      <c r="GA219" s="51">
        <f>INT(SUMPRODUCT($N219:$R219,$BF219:$BJ219)/SUM($BF219:$BJ219)/10000*$BX$7*$BZ$46/'疲劳值&amp;地图信息'!$R$10*$BY$53)</f>
        <v>441</v>
      </c>
      <c r="GB219" s="50">
        <f t="shared" si="387"/>
        <v>0.93476552266177626</v>
      </c>
      <c r="GC219" s="50">
        <f t="shared" si="388"/>
        <v>5.2397170552790147E-2</v>
      </c>
      <c r="GD219" s="50">
        <f t="shared" si="389"/>
        <v>1.2837306785433586E-2</v>
      </c>
      <c r="GE219" s="51">
        <f t="shared" si="390"/>
        <v>34251</v>
      </c>
      <c r="GF219" s="51">
        <f t="shared" si="391"/>
        <v>2878</v>
      </c>
      <c r="GG219" s="14">
        <f>INT(SUMPRODUCT($U219:$Y219,$BF219:$BJ219)/SUM($BF219:$BJ219)/10000*$BX$7*$BZ$46/'疲劳值&amp;地图信息'!$R$10*$BY$54)</f>
        <v>821</v>
      </c>
      <c r="GH219" s="50">
        <f t="shared" si="392"/>
        <v>0.90252964426877469</v>
      </c>
      <c r="GI219" s="50">
        <f t="shared" si="393"/>
        <v>7.5836627140974971E-2</v>
      </c>
      <c r="GJ219" s="50">
        <f t="shared" si="394"/>
        <v>2.1633728590250329E-2</v>
      </c>
      <c r="GK219" s="51">
        <f t="shared" si="395"/>
        <v>37236</v>
      </c>
      <c r="GL219" s="51">
        <f t="shared" si="396"/>
        <v>5012</v>
      </c>
      <c r="GM219" s="14">
        <f>INT(SUMPRODUCT($AB219:$AF219,$BF219:$BJ219)/SUM($BF219:$BJ219)/10000*$BX$7*$BZ$46/'疲劳值&amp;地图信息'!$R$10*$BY$55)</f>
        <v>1114</v>
      </c>
      <c r="GN219" s="50">
        <f t="shared" si="397"/>
        <v>0.85872422858724229</v>
      </c>
      <c r="GO219" s="50">
        <f t="shared" si="398"/>
        <v>0.11558507448918408</v>
      </c>
      <c r="GP219" s="50">
        <f t="shared" si="399"/>
        <v>2.5690696923573637E-2</v>
      </c>
      <c r="GQ219" s="51">
        <f t="shared" si="400"/>
        <v>44642</v>
      </c>
      <c r="GR219" s="51">
        <f t="shared" si="401"/>
        <v>14596</v>
      </c>
      <c r="GS219" s="14">
        <f>INT(SUMPRODUCT($AI219:$AM219,$BF219:$BJ219)/SUM($BF219:$BJ219)/10000*$BX$7*$BZ$46/'疲劳值&amp;地图信息'!$R$10*$BY$56)</f>
        <v>1671</v>
      </c>
      <c r="GT219" s="50">
        <f t="shared" si="402"/>
        <v>0.73292945213351068</v>
      </c>
      <c r="GU219" s="50">
        <f t="shared" si="403"/>
        <v>0.23963617856146055</v>
      </c>
      <c r="GV219" s="50">
        <f t="shared" si="404"/>
        <v>2.7434369305028815E-2</v>
      </c>
      <c r="GW219" s="51">
        <f t="shared" si="405"/>
        <v>46557</v>
      </c>
      <c r="GX219" s="51">
        <f t="shared" si="406"/>
        <v>25060</v>
      </c>
      <c r="GY219" s="14">
        <f>INT(SUMPRODUCT($AP219:$AT219,$BF219:$BJ219)/SUM($BF219:$BJ219)/10000*$BX$7*$BZ$46/'疲劳值&amp;地图信息'!$R$10*$BY$57)</f>
        <v>2228</v>
      </c>
      <c r="GZ219" s="50">
        <f t="shared" si="407"/>
        <v>0.63046922608165756</v>
      </c>
      <c r="HA219" s="50">
        <f t="shared" si="408"/>
        <v>0.33935946915837228</v>
      </c>
      <c r="HB219" s="50">
        <f t="shared" si="409"/>
        <v>3.0171304759970208E-2</v>
      </c>
      <c r="HD219" s="14">
        <f t="shared" si="410"/>
        <v>34353</v>
      </c>
      <c r="HE219" s="14">
        <f t="shared" si="411"/>
        <v>37950</v>
      </c>
      <c r="HF219" s="14">
        <f t="shared" si="412"/>
        <v>43362</v>
      </c>
      <c r="HG219" s="14">
        <f t="shared" si="413"/>
        <v>60909</v>
      </c>
      <c r="HH219" s="14">
        <f t="shared" si="414"/>
        <v>73845</v>
      </c>
      <c r="HI219" s="14">
        <f t="shared" si="415"/>
        <v>3951469</v>
      </c>
      <c r="HL219" s="14">
        <f t="shared" si="416"/>
        <v>430050</v>
      </c>
      <c r="HM219" s="50">
        <f t="shared" si="324"/>
        <v>9.8150892418816402E-2</v>
      </c>
      <c r="HO219" s="14">
        <f t="shared" si="417"/>
        <v>4381519</v>
      </c>
    </row>
    <row r="220" spans="11:223" x14ac:dyDescent="0.2">
      <c r="K220" s="14">
        <v>215</v>
      </c>
      <c r="L220" s="12">
        <f>求节点(节奏总纲!D$4:D$163,标准城池设计!AB$4:AB$163,$K220)*求节点(节奏总纲!D$4:D$163,攻城基础信息!$AC$5:$AC$164,$K220)</f>
        <v>676603.66483945481</v>
      </c>
      <c r="M220" s="12">
        <f>INDEX(其他调用!$AA$5:$AA$404,MATCH(K220,其他调用!$X$5:$X$404,0))*MIN(INDEX(其他调用!$AH$5:$AH$364,MATCH('征服点（新）'!K220,其他调用!$AG$5:$AG$364,0),1)/INDEX(其他调用!$AJ$5:$AJ$364,MATCH(K220,其他调用!$AG$5:$AG$364,0),0),5)*求节点(节奏总纲!D$4:D$163,攻城基础信息!$AC$5:$AC$164,$K220)</f>
        <v>53053.641563641737</v>
      </c>
      <c r="N220" s="12">
        <f>MIN(INDEX(其他调用!$AH$5:$AH$364,MATCH($K220,其他调用!$AG$5:$AG$364,0),1)/INDEX(其他调用!AH$5:AH$364,MATCH($K220,其他调用!$AG$5:$AG$364,0),0),1)*INDEX(其他调用!Y$5:Y$404,MATCH($K220,其他调用!$X$5:$X$404,0),0)</f>
        <v>40550.115779040723</v>
      </c>
      <c r="O220" s="12">
        <f>MIN(INDEX(其他调用!$AH$5:$AH$364,MATCH($K220,其他调用!$AG$5:$AG$364,0),1)/INDEX(其他调用!AI$5:AI$364,MATCH($K220,其他调用!$AG$5:$AG$364,0),0),1)*INDEX(其他调用!Z$5:Z$404,MATCH($K220,其他调用!$X$5:$X$404,0),0)</f>
        <v>26067.682650642531</v>
      </c>
      <c r="P220" s="12">
        <f>MIN(INDEX(其他调用!$AH$5:$AH$364,MATCH($K220,其他调用!$AG$5:$AG$364,0),1)/INDEX(其他调用!AJ$5:AJ$364,MATCH($K220,其他调用!$AG$5:$AG$364,0),0),1)*INDEX(其他调用!AA$5:AA$404,MATCH($K220,其他调用!$X$5:$X$404,0),0)</f>
        <v>15521.794703697473</v>
      </c>
      <c r="Q220" s="12">
        <f>MIN(INDEX(其他调用!$AH$5:$AH$364,MATCH($K220,其他调用!$AG$5:$AG$364,0),1)/INDEX(其他调用!AK$5:AK$364,MATCH($K220,其他调用!$AG$5:$AG$364,0),0),1)*INDEX(其他调用!AB$5:AB$404,MATCH($K220,其他调用!$X$5:$X$404,0),0)</f>
        <v>5595.6841496566476</v>
      </c>
      <c r="R220" s="12">
        <f>MIN(INDEX(其他调用!$AH$5:$AH$364,MATCH($K220,其他调用!$AG$5:$AG$364,0),1)/INDEX(其他调用!AL$5:AL$364,MATCH($K220,其他调用!$AG$5:$AG$364,0),0),1)*INDEX(其他调用!AC$5:AC$404,MATCH($K220,其他调用!$X$5:$X$404,0),0)</f>
        <v>2648.6076127876481</v>
      </c>
      <c r="S220" s="12">
        <f>求节点(节奏总纲!D$4:D$163,标准城池设计!AC$4:AC$163,$K220)*求节点(节奏总纲!D$4:D$163,攻城基础信息!$AD$5:$AD$164,$K220)</f>
        <v>721871.25267445529</v>
      </c>
      <c r="T220" s="12">
        <f>INDEX(其他调用!$AA$5:$AA$404,MATCH($K220,其他调用!$X$5:$X$404,0))*MIN(INDEX(其他调用!AI$5:AI$364,MATCH($K220,其他调用!$AG$5:$AG$364,0),1)/INDEX(其他调用!$AJ$5:$AJ$364,MATCH($K220,其他调用!$AG$5:$AG$364,0),0),5)*求节点(节奏总纲!D$4:D$163,攻城基础信息!$AD$5:$AD$164,$K220)</f>
        <v>84870.022148999866</v>
      </c>
      <c r="U220" s="12">
        <f>MIN(INDEX(其他调用!$AI$5:$AI$364,MATCH($K220,其他调用!$AG$5:$AG$364,0),1)/INDEX(其他调用!AH$5:AH$364,MATCH($K220,其他调用!$AG$5:$AG$364,0),0),1)*INDEX(其他调用!Y$5:Y$404,MATCH($K220,其他调用!$X$5:$X$404,0),0)</f>
        <v>40550.115779040723</v>
      </c>
      <c r="V220" s="12">
        <f>MIN(INDEX(其他调用!$AI$5:$AI$364,MATCH($K220,其他调用!$AG$5:$AG$364,0),1)/INDEX(其他调用!AI$5:AI$364,MATCH($K220,其他调用!$AG$5:$AG$364,0),0),1)*INDEX(其他调用!Z$5:Z$404,MATCH($K220,其他调用!$X$5:$X$404,0),0)</f>
        <v>41700.526839033984</v>
      </c>
      <c r="W220" s="12">
        <f>MIN(INDEX(其他调用!$AI$5:$AI$364,MATCH($K220,其他调用!$AG$5:$AG$364,0),1)/INDEX(其他调用!AJ$5:AJ$364,MATCH($K220,其他调用!$AG$5:$AG$364,0),0),1)*INDEX(其他调用!AA$5:AA$404,MATCH($K220,其他调用!$X$5:$X$404,0),0)</f>
        <v>24830.247678941949</v>
      </c>
      <c r="X220" s="12">
        <f>MIN(INDEX(其他调用!$AI$5:$AI$364,MATCH($K220,其他调用!$AG$5:$AG$364,0),1)/INDEX(其他调用!AK$5:AK$364,MATCH($K220,其他调用!$AG$5:$AG$364,0),0),1)*INDEX(其他调用!AB$5:AB$404,MATCH($K220,其他调用!$X$5:$X$404,0),0)</f>
        <v>8951.4277196313233</v>
      </c>
      <c r="Y220" s="12">
        <f>MIN(INDEX(其他调用!$AI$5:$AI$364,MATCH($K220,其他调用!$AG$5:$AG$364,0),1)/INDEX(其他调用!AL$5:AL$364,MATCH($K220,其他调用!$AG$5:$AG$364,0),0),1)*INDEX(其他调用!AC$5:AC$404,MATCH($K220,其他调用!$X$5:$X$404,0),0)</f>
        <v>4236.9831765770195</v>
      </c>
      <c r="Z220" s="12">
        <f>求节点(节奏总纲!D$4:D$163,标准城池设计!AD$4:AD$163,$K220)*求节点(节奏总纲!D$4:D$163,攻城基础信息!$AE$5:$AE$164,$K220)</f>
        <v>785143.55534174573</v>
      </c>
      <c r="AA220" s="12">
        <f>INDEX(其他调用!$AA$5:$AA$404,MATCH($K220,其他调用!$X$5:$X$404,0))*MIN(INDEX(其他调用!AJ$5:AJ$364,MATCH($K220,其他调用!$AG$5:$AG$364,0),1)/INDEX(其他调用!$AJ$5:$AJ$364,MATCH($K220,其他调用!$AG$5:$AG$364,0),0),5)*求节点(节奏总纲!D$4:D$163,攻城基础信息!$AE$5:$AE$164,$K220)</f>
        <v>147738.41710168909</v>
      </c>
      <c r="AB220" s="12">
        <f>MIN(INDEX(其他调用!$AJ$5:$AJ$364,MATCH($K220,其他调用!$AG$5:$AG$364,0),1)/INDEX(其他调用!AH$5:AH$364,MATCH($K220,其他调用!$AG$5:$AG$364,0),0),1)*INDEX(其他调用!Y$5:Y$404,MATCH($K220,其他调用!$X$5:$X$404,0),0)</f>
        <v>40550.115779040723</v>
      </c>
      <c r="AC220" s="12">
        <f>MIN(INDEX(其他调用!$AJ$5:$AJ$364,MATCH($K220,其他调用!$AG$5:$AG$364,0),1)/INDEX(其他调用!AI$5:AI$364,MATCH($K220,其他调用!$AG$5:$AG$364,0),0),1)*INDEX(其他调用!Z$5:Z$404,MATCH($K220,其他调用!$X$5:$X$404,0),0)</f>
        <v>41700.526839033984</v>
      </c>
      <c r="AD220" s="12">
        <f>MIN(INDEX(其他调用!$AJ$5:$AJ$364,MATCH($K220,其他调用!$AG$5:$AG$364,0),1)/INDEX(其他调用!AJ$5:AJ$364,MATCH($K220,其他调用!$AG$5:$AG$364,0),0),1)*INDEX(其他调用!AA$5:AA$404,MATCH($K220,其他调用!$X$5:$X$404,0),0)</f>
        <v>43223.524578436816</v>
      </c>
      <c r="AE220" s="12">
        <f>MIN(INDEX(其他调用!$AJ$5:$AJ$364,MATCH($K220,其他调用!$AG$5:$AG$364,0),1)/INDEX(其他调用!AK$5:AK$364,MATCH($K220,其他调用!$AG$5:$AG$364,0),0),1)*INDEX(其他调用!AB$5:AB$404,MATCH($K220,其他调用!$X$5:$X$404,0),0)</f>
        <v>15582.295475035391</v>
      </c>
      <c r="AF220" s="12">
        <f>MIN(INDEX(其他调用!$AJ$5:$AJ$364,MATCH($K220,其他调用!$AG$5:$AG$364,0),1)/INDEX(其他调用!AL$5:AL$364,MATCH($K220,其他调用!$AG$5:$AG$364,0),0),1)*INDEX(其他调用!AC$5:AC$404,MATCH($K220,其他调用!$X$5:$X$404,0),0)</f>
        <v>7375.5746957979527</v>
      </c>
      <c r="AG220" s="12">
        <f>求节点(节奏总纲!D$4:D$163,标准城池设计!AE$4:AE$163,$K220)*求节点(节奏总纲!D$4:D$163,攻城基础信息!$AF$5:$AF$164,$K220)</f>
        <v>941525.23044463864</v>
      </c>
      <c r="AH220" s="12">
        <f>INDEX(其他调用!$AA$5:$AA$404,MATCH($K220,其他调用!$X$5:$X$404,0))*MIN(INDEX(其他调用!AK$5:AK$364,MATCH($K220,其他调用!$AG$5:$AG$364,0),1)/INDEX(其他调用!$AJ$5:$AJ$364,MATCH($K220,其他调用!$AG$5:$AG$364,0),0),5)*求节点(节奏总纲!D$4:D$163,攻城基础信息!$AF$5:$AF$164,$K220)</f>
        <v>430676.0673286441</v>
      </c>
      <c r="AI220" s="12">
        <f>MIN(INDEX(其他调用!$AK$5:$AK$364,MATCH($K220,其他调用!$AG$5:$AG$364,0),1)/INDEX(其他调用!AH$5:AH$364,MATCH($K220,其他调用!$AG$5:$AG$364,0),0),1)*INDEX(其他调用!Y$5:Y$404,MATCH($K220,其他调用!$X$5:$X$404,0),0)</f>
        <v>40550.115779040723</v>
      </c>
      <c r="AJ220" s="12">
        <f>MIN(INDEX(其他调用!$AK$5:$AK$364,MATCH($K220,其他调用!$AG$5:$AG$364,0),1)/INDEX(其他调用!AI$5:AI$364,MATCH($K220,其他调用!$AG$5:$AG$364,0),0),1)*INDEX(其他调用!Z$5:Z$404,MATCH($K220,其他调用!$X$5:$X$404,0),0)</f>
        <v>41700.526839033984</v>
      </c>
      <c r="AK220" s="12">
        <f>MIN(INDEX(其他调用!$AK$5:$AK$364,MATCH($K220,其他调用!$AG$5:$AG$364,0),1)/INDEX(其他调用!AJ$5:AJ$364,MATCH($K220,其他调用!$AG$5:$AG$364,0),0),1)*INDEX(其他调用!AA$5:AA$404,MATCH($K220,其他调用!$X$5:$X$404,0),0)</f>
        <v>43223.524578436816</v>
      </c>
      <c r="AL220" s="12">
        <f>MIN(INDEX(其他调用!$AK$5:$AK$364,MATCH($K220,其他调用!$AG$5:$AG$364,0),1)/INDEX(其他调用!AK$5:AK$364,MATCH($K220,其他调用!$AG$5:$AG$364,0),0),1)*INDEX(其他调用!AB$5:AB$404,MATCH($K220,其他调用!$X$5:$X$404,0),0)</f>
        <v>45424.351138959399</v>
      </c>
      <c r="AM220" s="12">
        <f>MIN(INDEX(其他调用!$AK$5:$AK$364,MATCH($K220,其他调用!$AG$5:$AG$364,0),1)/INDEX(其他调用!AL$5:AL$364,MATCH($K220,其他调用!$AG$5:$AG$364,0),0),1)*INDEX(其他调用!AC$5:AC$404,MATCH($K220,其他调用!$X$5:$X$404,0),0)</f>
        <v>21500.727885073618</v>
      </c>
      <c r="AN220" s="12">
        <f>求节点(节奏总纲!D$4:D$163,标准城池设计!AF$4:AF$163,$K220)*求节点(节奏总纲!D$4:D$163,攻城基础信息!$AG$5:$AG$164,$K220)</f>
        <v>982154.53088748432</v>
      </c>
      <c r="AO220" s="12">
        <f>INDEX(其他调用!$AA$5:$AA$404,MATCH($K220,其他调用!$X$5:$X$404,0))*MIN(INDEX(其他调用!AL$5:AL$364,MATCH($K220,其他调用!$AG$5:$AG$364,0),1)/INDEX(其他调用!$AJ$5:$AJ$364,MATCH($K220,其他调用!$AG$5:$AG$364,0),0),5)*求节点(节奏总纲!D$4:D$163,攻城基础信息!$AG$5:$AG$164,$K220)</f>
        <v>738692.08550844539</v>
      </c>
      <c r="AP220" s="12">
        <f>MIN(INDEX(其他调用!$AL$5:$AL$364,MATCH($K220,其他调用!$AG$5:$AG$364,0),1)/INDEX(其他调用!AH$5:AH$364,MATCH($K220,其他调用!$AG$5:$AG$364,0),0),1)*INDEX(其他调用!Y$5:Y$404,MATCH($K220,其他调用!$X$5:$X$404,0),0)</f>
        <v>40550.115779040723</v>
      </c>
      <c r="AQ220" s="12">
        <f>MIN(INDEX(其他调用!$AL$5:$AL$364,MATCH($K220,其他调用!$AG$5:$AG$364,0),1)/INDEX(其他调用!AI$5:AI$364,MATCH($K220,其他调用!$AG$5:$AG$364,0),0),1)*INDEX(其他调用!Z$5:Z$404,MATCH($K220,其他调用!$X$5:$X$404,0),0)</f>
        <v>41700.526839033984</v>
      </c>
      <c r="AR220" s="12">
        <f>MIN(INDEX(其他调用!$AL$5:$AL$364,MATCH($K220,其他调用!$AG$5:$AG$364,0),1)/INDEX(其他调用!AJ$5:AJ$364,MATCH($K220,其他调用!$AG$5:$AG$364,0),0),1)*INDEX(其他调用!AA$5:AA$404,MATCH($K220,其他调用!$X$5:$X$404,0),0)</f>
        <v>43223.524578436816</v>
      </c>
      <c r="AS220" s="12">
        <f>MIN(INDEX(其他调用!$AL$5:$AL$364,MATCH($K220,其他调用!$AG$5:$AG$364,0),1)/INDEX(其他调用!AK$5:AK$364,MATCH($K220,其他调用!$AG$5:$AG$364,0),0),1)*INDEX(其他调用!AB$5:AB$404,MATCH($K220,其他调用!$X$5:$X$404,0),0)</f>
        <v>45424.351138959399</v>
      </c>
      <c r="AT220" s="12">
        <f>MIN(INDEX(其他调用!$AL$5:$AL$364,MATCH($K220,其他调用!$AG$5:$AG$364,0),1)/INDEX(其他调用!AL$5:AL$364,MATCH($K220,其他调用!$AG$5:$AG$364,0),0),1)*INDEX(其他调用!AC$5:AC$404,MATCH($K220,其他调用!$X$5:$X$404,0),0)</f>
        <v>49364.800355739346</v>
      </c>
      <c r="AV220" s="14">
        <f>IF(OR(AV$5="大R",AV$5="超R"),MAX(INDEX(其他调用!$H$5:$L$404,MATCH($K220,其他调用!$B$5:$B$404,0),MATCH(AV$5,其他调用!$H$4:$L$4,0))*120*0.85,2),INDEX(其他调用!$H$5:$L$404,MATCH($K220,其他调用!$B$5:$B$404,0),MATCH(AV$5,其他调用!$H$4:$L$4,0))*120*0.85)</f>
        <v>48.921801254999991</v>
      </c>
      <c r="AW220" s="14">
        <f>IF(OR(AW$5="大R",AW$5="超R"),MAX(INDEX(其他调用!$H$5:$L$404,MATCH($K220,其他调用!$B$5:$B$404,0),MATCH(AW$5,其他调用!$H$4:$L$4,0))*120*0.85,2),INDEX(其他调用!$H$5:$L$404,MATCH($K220,其他调用!$B$5:$B$404,0),MATCH(AW$5,其他调用!$H$4:$L$4,0))*120*0.85)</f>
        <v>48.237344010638395</v>
      </c>
      <c r="AX220" s="14">
        <f>IF(OR(AX$5="大R",AX$5="超R"),MAX(INDEX(其他调用!$H$5:$L$404,MATCH($K220,其他调用!$B$5:$B$404,0),MATCH(AX$5,其他调用!$H$4:$L$4,0))*120*0.85,2),INDEX(其他调用!$H$5:$L$404,MATCH($K220,其他调用!$B$5:$B$404,0),MATCH(AX$5,其他调用!$H$4:$L$4,0))*120*0.85)</f>
        <v>3.9376284143615998</v>
      </c>
      <c r="AY220" s="14">
        <f>IF(OR(AY$5="大R",AY$5="超R"),MAX(INDEX(其他调用!$H$5:$L$404,MATCH($K220,其他调用!$B$5:$B$404,0),MATCH(AY$5,其他调用!$H$4:$L$4,0))*120*0.85,2),INDEX(其他调用!$H$5:$L$404,MATCH($K220,其他调用!$B$5:$B$404,0),MATCH(AY$5,其他调用!$H$4:$L$4,0))*120*0.85)</f>
        <v>2</v>
      </c>
      <c r="AZ220" s="14">
        <f>IF(OR(AZ$5="大R",AZ$5="超R"),MAX(INDEX(其他调用!$H$5:$L$404,MATCH($K220,其他调用!$B$5:$B$404,0),MATCH(AZ$5,其他调用!$H$4:$L$4,0))*120*0.85,2),INDEX(其他调用!$H$5:$L$404,MATCH($K220,其他调用!$B$5:$B$404,0),MATCH(AZ$5,其他调用!$H$4:$L$4,0))*120*0.85)</f>
        <v>2</v>
      </c>
      <c r="BA220" s="14">
        <f>INDEX(其他调用!$H$5:$L$404,MATCH($K220,其他调用!$B$5:$B$404,0),MATCH(BA$5,其他调用!$H$4:$L$4,0))*INDEX(其他调用!$M$5:$M$404,MATCH($K220,其他调用!$B$5:$B$404,0))*0.6</f>
        <v>28.777530149999997</v>
      </c>
      <c r="BB220" s="14">
        <f>INDEX(其他调用!$H$5:$L$404,MATCH($K220,其他调用!$B$5:$B$404,0),MATCH(BB$5,其他调用!$H$4:$L$4,0))*INDEX(其他调用!$M$5:$M$404,MATCH($K220,其他调用!$B$5:$B$404,0))*0.6</f>
        <v>28.374908241551999</v>
      </c>
      <c r="BC220" s="14">
        <f>INDEX(其他调用!$H$5:$L$404,MATCH($K220,其他调用!$B$5:$B$404,0),MATCH(BC$5,其他调用!$H$4:$L$4,0))*INDEX(其他调用!$M$5:$M$404,MATCH($K220,其他调用!$B$5:$B$404,0))*0.6</f>
        <v>2.3162520084480001</v>
      </c>
      <c r="BD220" s="14">
        <f>INDEX(其他调用!$H$5:$L$404,MATCH($K220,其他调用!$B$5:$B$404,0),MATCH(BD$5,其他调用!$H$4:$L$4,0))*INDEX(其他调用!$M$5:$M$404,MATCH($K220,其他调用!$B$5:$B$404,0))*0.6</f>
        <v>0.4120776000000001</v>
      </c>
      <c r="BE220" s="14">
        <f>INDEX(其他调用!$H$5:$L$404,MATCH($K220,其他调用!$B$5:$B$404,0),MATCH(BE$5,其他调用!$H$4:$L$4,0))*INDEX(其他调用!$M$5:$M$404,MATCH($K220,其他调用!$B$5:$B$404,0))*0.6</f>
        <v>0.11923199999999998</v>
      </c>
      <c r="BF220" s="14">
        <f>IF(OR(BF$5="大R",BF$5="超R"),0,INDEX(其他调用!$H$5:$L$404,MATCH($K220,其他调用!$B$5:$B$404,0),MATCH(BF$5,其他调用!$H$4:$L$4,0))*50*0.4)</f>
        <v>9.5925100500000013</v>
      </c>
      <c r="BG220" s="14">
        <f>IF(OR(BG$5="大R",BG$5="超R"),0,INDEX(其他调用!$H$5:$L$404,MATCH($K220,其他调用!$B$5:$B$404,0),MATCH(BG$5,其他调用!$H$4:$L$4,0))*50*0.4)</f>
        <v>9.4583027471839998</v>
      </c>
      <c r="BH220" s="14">
        <f>IF(OR(BH$5="大R",BH$5="超R"),0,INDEX(其他调用!$H$5:$L$404,MATCH($K220,其他调用!$B$5:$B$404,0),MATCH(BH$5,其他调用!$H$4:$L$4,0))*50*0.4)</f>
        <v>0.77208400281600009</v>
      </c>
      <c r="BI220" s="14">
        <f>IF(OR(BI$5="大R",BI$5="超R"),0,INDEX(其他调用!$H$5:$L$404,MATCH($K220,其他调用!$B$5:$B$404,0),MATCH(BI$5,其他调用!$H$4:$L$4,0))*50*0.4)</f>
        <v>0</v>
      </c>
      <c r="BJ220" s="14">
        <f>IF(OR(BJ$5="大R",BJ$5="超R"),0,INDEX(其他调用!$H$5:$L$404,MATCH($K220,其他调用!$B$5:$B$404,0),MATCH(BJ$5,其他调用!$H$4:$L$4,0))*50*0.4)</f>
        <v>0</v>
      </c>
      <c r="BL220" s="14">
        <f t="shared" si="418"/>
        <v>215</v>
      </c>
      <c r="BM220" s="14">
        <f t="shared" si="325"/>
        <v>96</v>
      </c>
      <c r="BN220" s="14">
        <f>('疲劳值&amp;地图信息'!$S$10*'疲劳值&amp;地图信息'!$R$10+'疲劳值&amp;地图信息'!$S$11*'疲劳值&amp;地图信息'!$R$11+'疲劳值&amp;地图信息'!$S$12*'疲劳值&amp;地图信息'!$R$12+(BM220-'疲劳值&amp;地图信息'!$S$12-'疲劳值&amp;地图信息'!$S$11-'疲劳值&amp;地图信息'!$S$10)*'疲劳值&amp;地图信息'!$R$13)/BM220</f>
        <v>51.371477246638619</v>
      </c>
      <c r="BO220" s="14">
        <f>INDEX(其他调用!$M$5:$M$404,MATCH(BL220,其他调用!$B$5:$B$404,0))*0.6</f>
        <v>60</v>
      </c>
      <c r="BP220" s="14">
        <f>IF(BO220&gt;SUM('疲劳值&amp;地图信息'!$S$10:$S$12),('疲劳值&amp;地图信息'!$S$10*'疲劳值&amp;地图信息'!$R$10+'疲劳值&amp;地图信息'!$S$11*'疲劳值&amp;地图信息'!$R$11+'疲劳值&amp;地图信息'!$S$12*'疲劳值&amp;地图信息'!$R$12+(BO220-'疲劳值&amp;地图信息'!$S$12-'疲劳值&amp;地图信息'!$S$11-'疲劳值&amp;地图信息'!$S$10)*'疲劳值&amp;地图信息'!$R$13)/BO220,('疲劳值&amp;地图信息'!$S$10*'疲劳值&amp;地图信息'!$R$10+'疲劳值&amp;地图信息'!$S$11*'疲劳值&amp;地图信息'!$R$11+'疲劳值&amp;地图信息'!$S$12*'疲劳值&amp;地图信息'!$R$12+(BO220-'疲劳值&amp;地图信息'!$S$12-'疲劳值&amp;地图信息'!$S$11-'疲劳值&amp;地图信息'!$S$10)*'疲劳值&amp;地图信息'!$R$13)/BO220)</f>
        <v>44.158136341605953</v>
      </c>
      <c r="BQ220" s="14">
        <f t="shared" si="419"/>
        <v>20</v>
      </c>
      <c r="BR220" s="14">
        <f>('疲劳值&amp;地图信息'!$S$10*'疲劳值&amp;地图信息'!$R$10+($BQ220-'疲劳值&amp;地图信息'!$S$10)*'疲劳值&amp;地图信息'!$R$11)/$BQ220</f>
        <v>32.067203015074995</v>
      </c>
      <c r="CF220" s="14">
        <v>215</v>
      </c>
      <c r="CG220" s="51">
        <f t="shared" si="326"/>
        <v>13790</v>
      </c>
      <c r="CH220" s="51">
        <f t="shared" si="327"/>
        <v>1081</v>
      </c>
      <c r="CI220" s="51">
        <f>INT(SUMPRODUCT($N220:$R220,$BA220:$BE220)/SUM($BA220:$BE220)/10000*$BX$7*$BZ$34/'疲劳值&amp;地图信息'!$R$10*$BY$53)</f>
        <v>3289</v>
      </c>
      <c r="CJ220" s="50">
        <f t="shared" si="328"/>
        <v>0.75936123348017626</v>
      </c>
      <c r="CK220" s="50">
        <f t="shared" si="329"/>
        <v>5.9526431718061677E-2</v>
      </c>
      <c r="CL220" s="50">
        <f t="shared" si="330"/>
        <v>0.18111233480176211</v>
      </c>
      <c r="CM220" s="14">
        <f t="shared" si="331"/>
        <v>14712</v>
      </c>
      <c r="CN220" s="14">
        <f t="shared" si="332"/>
        <v>1729</v>
      </c>
      <c r="CO220" s="14">
        <f>INT(SUMPRODUCT($U220:$Y220,$BA220:$BE220)/SUM($BA220:$BE220)/10000*$BX$7*$BZ$34/'疲劳值&amp;地图信息'!$R$10*$BY$54)</f>
        <v>6118</v>
      </c>
      <c r="CP220" s="50">
        <f t="shared" si="333"/>
        <v>0.6521565672237245</v>
      </c>
      <c r="CQ220" s="50">
        <f t="shared" si="334"/>
        <v>7.664346823884037E-2</v>
      </c>
      <c r="CR220" s="50">
        <f t="shared" si="335"/>
        <v>0.27119996453743517</v>
      </c>
      <c r="CS220" s="14">
        <f t="shared" si="336"/>
        <v>16002</v>
      </c>
      <c r="CT220" s="14">
        <f t="shared" si="337"/>
        <v>3011</v>
      </c>
      <c r="CU220" s="14">
        <f>INT(SUMPRODUCT($AB220:$AF220,$BA220:$BE220)/SUM($BA220:$BE220)/10000*$BX$7*$BZ$34/'疲劳值&amp;地图信息'!$R$10*$BY$55)</f>
        <v>8312</v>
      </c>
      <c r="CV220" s="50">
        <f t="shared" si="338"/>
        <v>0.58561756633119855</v>
      </c>
      <c r="CW220" s="50">
        <f t="shared" si="339"/>
        <v>0.11019213174748399</v>
      </c>
      <c r="CX220" s="50">
        <f t="shared" si="340"/>
        <v>0.30419030192131746</v>
      </c>
      <c r="CY220" s="14">
        <f t="shared" si="341"/>
        <v>19189</v>
      </c>
      <c r="CZ220" s="14">
        <f t="shared" si="342"/>
        <v>8777</v>
      </c>
      <c r="DA220" s="14">
        <f>INT(SUMPRODUCT($AI220:$AM220,$BA220:$BE220)/SUM($BA220:$BE220)/10000*$BX$7*$BZ$34/'疲劳值&amp;地图信息'!$R$10*$BY$56)</f>
        <v>12539</v>
      </c>
      <c r="DB220" s="50">
        <f t="shared" si="343"/>
        <v>0.47374398222441672</v>
      </c>
      <c r="DC220" s="50">
        <f t="shared" si="344"/>
        <v>0.21668929761757807</v>
      </c>
      <c r="DD220" s="50">
        <f t="shared" si="345"/>
        <v>0.30956672015800518</v>
      </c>
      <c r="DE220" s="14">
        <f t="shared" si="346"/>
        <v>20017</v>
      </c>
      <c r="DF220" s="14">
        <f t="shared" si="347"/>
        <v>15055</v>
      </c>
      <c r="DG220" s="14">
        <f>INT(SUMPRODUCT($AP220:$AT220,$BA220:$BE220)/SUM($BA220:$BE220)/10000*$BX$7*$BZ$34/'疲劳值&amp;地图信息'!$R$10*$BY$57)</f>
        <v>16741</v>
      </c>
      <c r="DH220" s="50">
        <f t="shared" si="348"/>
        <v>0.38633161561770213</v>
      </c>
      <c r="DI220" s="50">
        <f t="shared" si="349"/>
        <v>0.29056414413371162</v>
      </c>
      <c r="DJ220" s="50">
        <f t="shared" si="350"/>
        <v>0.32310424024858625</v>
      </c>
      <c r="DL220" s="14">
        <f t="shared" si="421"/>
        <v>18160</v>
      </c>
      <c r="DM220" s="14">
        <f t="shared" si="422"/>
        <v>22559</v>
      </c>
      <c r="DN220" s="14">
        <f t="shared" si="423"/>
        <v>27325</v>
      </c>
      <c r="DO220" s="14">
        <f t="shared" si="424"/>
        <v>40505</v>
      </c>
      <c r="DP220" s="14">
        <f t="shared" si="425"/>
        <v>51813</v>
      </c>
      <c r="DQ220" s="14">
        <f t="shared" si="426"/>
        <v>1248870</v>
      </c>
      <c r="DT220" s="14">
        <f t="shared" si="420"/>
        <v>235575</v>
      </c>
      <c r="DU220" s="50">
        <f t="shared" si="322"/>
        <v>0.15869567414084051</v>
      </c>
      <c r="DW220" s="14">
        <f t="shared" si="351"/>
        <v>1484445</v>
      </c>
      <c r="EB220" s="14">
        <v>215</v>
      </c>
      <c r="EC220" s="51">
        <f t="shared" si="352"/>
        <v>22983</v>
      </c>
      <c r="ED220" s="51">
        <f t="shared" si="353"/>
        <v>1802</v>
      </c>
      <c r="EE220" s="51">
        <f>INT(SUMPRODUCT($N220:$R220,$BF220:$BJ220)/SUM($BF220:$BJ220)/10000*$BX$7*$BZ$46/'疲劳值&amp;地图信息'!$R$10*$BY$53)</f>
        <v>441</v>
      </c>
      <c r="EF220" s="50">
        <f t="shared" si="354"/>
        <v>0.91108380242606835</v>
      </c>
      <c r="EG220" s="50">
        <f t="shared" si="355"/>
        <v>7.1434234519939743E-2</v>
      </c>
      <c r="EH220" s="50">
        <f t="shared" si="356"/>
        <v>1.7481963053991915E-2</v>
      </c>
      <c r="EI220" s="51">
        <f t="shared" si="357"/>
        <v>24521</v>
      </c>
      <c r="EJ220" s="51">
        <f t="shared" si="358"/>
        <v>2882</v>
      </c>
      <c r="EK220" s="14">
        <f>INT(SUMPRODUCT($U220:$Y220,$BF220:$BJ220)/SUM($BF220:$BJ220)/10000*$BX$7*$BZ$46/'疲劳值&amp;地图信息'!$R$10*$BY$54)</f>
        <v>821</v>
      </c>
      <c r="EL220" s="50">
        <f t="shared" si="359"/>
        <v>0.86879960317460314</v>
      </c>
      <c r="EM220" s="50">
        <f t="shared" si="360"/>
        <v>0.10211167800453515</v>
      </c>
      <c r="EN220" s="50">
        <f t="shared" si="361"/>
        <v>2.9088718820861677E-2</v>
      </c>
      <c r="EO220" s="51">
        <f t="shared" si="362"/>
        <v>26670</v>
      </c>
      <c r="EP220" s="51">
        <f t="shared" si="363"/>
        <v>5018</v>
      </c>
      <c r="EQ220" s="14">
        <f>INT(SUMPRODUCT($AB220:$AF220,$BF220:$BJ220)/SUM($BF220:$BJ220)/10000*$BX$7*$BZ$46/'疲劳值&amp;地图信息'!$R$10*$BY$55)</f>
        <v>1114</v>
      </c>
      <c r="ER220" s="50">
        <f t="shared" si="364"/>
        <v>0.8130601792573624</v>
      </c>
      <c r="ES220" s="50">
        <f t="shared" si="365"/>
        <v>0.1529784769221389</v>
      </c>
      <c r="ET220" s="50">
        <f t="shared" si="366"/>
        <v>3.396134382049875E-2</v>
      </c>
      <c r="EU220" s="51">
        <f t="shared" si="367"/>
        <v>31982</v>
      </c>
      <c r="EV220" s="51">
        <f t="shared" si="368"/>
        <v>14629</v>
      </c>
      <c r="EW220" s="14">
        <f>INT(SUMPRODUCT($AI220:$AM220,$BF220:$BJ220)/SUM($BF220:$BJ220)/10000*$BX$7*$BZ$46/'疲劳值&amp;地图信息'!$R$10*$BY$56)</f>
        <v>1672</v>
      </c>
      <c r="EX220" s="50">
        <f t="shared" si="369"/>
        <v>0.66238634716152678</v>
      </c>
      <c r="EY220" s="50">
        <f t="shared" si="370"/>
        <v>0.30298448729366445</v>
      </c>
      <c r="EZ220" s="50">
        <f t="shared" si="371"/>
        <v>3.4629165544808729E-2</v>
      </c>
      <c r="FA220" s="51">
        <f t="shared" si="372"/>
        <v>33362</v>
      </c>
      <c r="FB220" s="51">
        <f t="shared" si="373"/>
        <v>25092</v>
      </c>
      <c r="FC220" s="14">
        <f>INT(SUMPRODUCT($AP220:$AT220,$BF220:$BJ220)/SUM($BF220:$BJ220)/10000*$BX$7*$BZ$46/'疲劳值&amp;地图信息'!$R$10*$BY$57)</f>
        <v>2229</v>
      </c>
      <c r="FD220" s="50">
        <f t="shared" si="374"/>
        <v>0.54977506056061831</v>
      </c>
      <c r="FE220" s="50">
        <f t="shared" si="375"/>
        <v>0.41349307054694068</v>
      </c>
      <c r="FF220" s="50">
        <f t="shared" si="376"/>
        <v>3.6731868892441046E-2</v>
      </c>
      <c r="FH220" s="14">
        <f t="shared" si="377"/>
        <v>25226</v>
      </c>
      <c r="FI220" s="14">
        <f t="shared" si="378"/>
        <v>28224</v>
      </c>
      <c r="FJ220" s="14">
        <f t="shared" si="379"/>
        <v>32802</v>
      </c>
      <c r="FK220" s="14">
        <f t="shared" si="380"/>
        <v>48283</v>
      </c>
      <c r="FL220" s="14">
        <f t="shared" si="381"/>
        <v>60683</v>
      </c>
      <c r="FM220" s="14">
        <f t="shared" si="382"/>
        <v>2942646</v>
      </c>
      <c r="FP220" s="14">
        <f t="shared" si="383"/>
        <v>334150</v>
      </c>
      <c r="FQ220" s="50">
        <f t="shared" si="323"/>
        <v>0.10197461178541478</v>
      </c>
      <c r="FS220" s="14">
        <f t="shared" si="384"/>
        <v>3276796</v>
      </c>
      <c r="FX220" s="14">
        <v>215</v>
      </c>
      <c r="FY220" s="51">
        <f t="shared" si="385"/>
        <v>32176</v>
      </c>
      <c r="FZ220" s="51">
        <f t="shared" si="386"/>
        <v>1802</v>
      </c>
      <c r="GA220" s="51">
        <f>INT(SUMPRODUCT($N220:$R220,$BF220:$BJ220)/SUM($BF220:$BJ220)/10000*$BX$7*$BZ$46/'疲劳值&amp;地图信息'!$R$10*$BY$53)</f>
        <v>441</v>
      </c>
      <c r="GB220" s="50">
        <f t="shared" si="387"/>
        <v>0.934832505302304</v>
      </c>
      <c r="GC220" s="50">
        <f t="shared" si="388"/>
        <v>5.2354804032656382E-2</v>
      </c>
      <c r="GD220" s="50">
        <f t="shared" si="389"/>
        <v>1.2812690665039659E-2</v>
      </c>
      <c r="GE220" s="51">
        <f t="shared" si="390"/>
        <v>34329</v>
      </c>
      <c r="GF220" s="51">
        <f t="shared" si="391"/>
        <v>2882</v>
      </c>
      <c r="GG220" s="14">
        <f>INT(SUMPRODUCT($U220:$Y220,$BF220:$BJ220)/SUM($BF220:$BJ220)/10000*$BX$7*$BZ$46/'疲劳值&amp;地图信息'!$R$10*$BY$54)</f>
        <v>821</v>
      </c>
      <c r="GH220" s="50">
        <f t="shared" si="392"/>
        <v>0.90263462347496848</v>
      </c>
      <c r="GI220" s="50">
        <f t="shared" si="393"/>
        <v>7.5778291964661335E-2</v>
      </c>
      <c r="GJ220" s="50">
        <f t="shared" si="394"/>
        <v>2.1587084560370215E-2</v>
      </c>
      <c r="GK220" s="51">
        <f t="shared" si="395"/>
        <v>37338</v>
      </c>
      <c r="GL220" s="51">
        <f t="shared" si="396"/>
        <v>5018</v>
      </c>
      <c r="GM220" s="14">
        <f>INT(SUMPRODUCT($AB220:$AF220,$BF220:$BJ220)/SUM($BF220:$BJ220)/10000*$BX$7*$BZ$46/'疲劳值&amp;地图信息'!$R$10*$BY$55)</f>
        <v>1114</v>
      </c>
      <c r="GN220" s="50">
        <f t="shared" si="397"/>
        <v>0.8589371980676328</v>
      </c>
      <c r="GO220" s="50">
        <f t="shared" si="398"/>
        <v>0.11543593282723717</v>
      </c>
      <c r="GP220" s="50">
        <f t="shared" si="399"/>
        <v>2.5626869105129974E-2</v>
      </c>
      <c r="GQ220" s="51">
        <f t="shared" si="400"/>
        <v>44775</v>
      </c>
      <c r="GR220" s="51">
        <f t="shared" si="401"/>
        <v>14629</v>
      </c>
      <c r="GS220" s="14">
        <f>INT(SUMPRODUCT($AI220:$AM220,$BF220:$BJ220)/SUM($BF220:$BJ220)/10000*$BX$7*$BZ$46/'疲劳值&amp;地图信息'!$R$10*$BY$56)</f>
        <v>1672</v>
      </c>
      <c r="GT220" s="50">
        <f t="shared" si="402"/>
        <v>0.73310301918920684</v>
      </c>
      <c r="GU220" s="50">
        <f t="shared" si="403"/>
        <v>0.23952125221036086</v>
      </c>
      <c r="GV220" s="50">
        <f t="shared" si="404"/>
        <v>2.7375728600432248E-2</v>
      </c>
      <c r="GW220" s="51">
        <f t="shared" si="405"/>
        <v>46707</v>
      </c>
      <c r="GX220" s="51">
        <f t="shared" si="406"/>
        <v>25092</v>
      </c>
      <c r="GY220" s="14">
        <f>INT(SUMPRODUCT($AP220:$AT220,$BF220:$BJ220)/SUM($BF220:$BJ220)/10000*$BX$7*$BZ$46/'疲劳值&amp;地图信息'!$R$10*$BY$57)</f>
        <v>2229</v>
      </c>
      <c r="GZ220" s="50">
        <f t="shared" si="407"/>
        <v>0.63093694277840817</v>
      </c>
      <c r="HA220" s="50">
        <f t="shared" si="408"/>
        <v>0.33895282865942616</v>
      </c>
      <c r="HB220" s="50">
        <f t="shared" si="409"/>
        <v>3.0110228562165667E-2</v>
      </c>
      <c r="HD220" s="14">
        <f t="shared" si="410"/>
        <v>34419</v>
      </c>
      <c r="HE220" s="14">
        <f t="shared" si="411"/>
        <v>38032</v>
      </c>
      <c r="HF220" s="14">
        <f t="shared" si="412"/>
        <v>43470</v>
      </c>
      <c r="HG220" s="14">
        <f t="shared" si="413"/>
        <v>61076</v>
      </c>
      <c r="HH220" s="14">
        <f t="shared" si="414"/>
        <v>74028</v>
      </c>
      <c r="HI220" s="14">
        <f t="shared" si="415"/>
        <v>3959778</v>
      </c>
      <c r="HL220" s="14">
        <f t="shared" si="416"/>
        <v>430050</v>
      </c>
      <c r="HM220" s="50">
        <f t="shared" si="324"/>
        <v>9.7965113895122996E-2</v>
      </c>
      <c r="HO220" s="14">
        <f t="shared" si="417"/>
        <v>4389828</v>
      </c>
    </row>
    <row r="221" spans="11:223" x14ac:dyDescent="0.2">
      <c r="K221" s="14">
        <v>216</v>
      </c>
      <c r="L221" s="12">
        <f>求节点(节奏总纲!D$4:D$163,标准城池设计!AB$4:AB$163,$K221)*求节点(节奏总纲!D$4:D$163,攻城基础信息!$AC$5:$AC$164,$K221)</f>
        <v>677961.20090661186</v>
      </c>
      <c r="M221" s="12">
        <f>INDEX(其他调用!$AA$5:$AA$404,MATCH(K221,其他调用!$X$5:$X$404,0))*MIN(INDEX(其他调用!$AH$5:$AH$364,MATCH('征服点（新）'!K221,其他调用!$AG$5:$AG$364,0),1)/INDEX(其他调用!$AJ$5:$AJ$364,MATCH(K221,其他调用!$AG$5:$AG$364,0),0),5)*求节点(节奏总纲!D$4:D$163,攻城基础信息!$AC$5:$AC$164,$K221)</f>
        <v>53108.701634298355</v>
      </c>
      <c r="N221" s="12">
        <f>MIN(INDEX(其他调用!$AH$5:$AH$364,MATCH($K221,其他调用!$AG$5:$AG$364,0),1)/INDEX(其他调用!AH$5:AH$364,MATCH($K221,其他调用!$AG$5:$AG$364,0),0),1)*INDEX(其他调用!Y$5:Y$404,MATCH($K221,其他调用!$X$5:$X$404,0),0)</f>
        <v>40576.523835182139</v>
      </c>
      <c r="O221" s="12">
        <f>MIN(INDEX(其他调用!$AH$5:$AH$364,MATCH($K221,其他调用!$AG$5:$AG$364,0),1)/INDEX(其他调用!AI$5:AI$364,MATCH($K221,其他调用!$AG$5:$AG$364,0),0),1)*INDEX(其他调用!Z$5:Z$404,MATCH($K221,其他调用!$X$5:$X$404,0),0)</f>
        <v>26070.444005443249</v>
      </c>
      <c r="P221" s="12">
        <f>MIN(INDEX(其他调用!$AH$5:$AH$364,MATCH($K221,其他调用!$AG$5:$AG$364,0),1)/INDEX(其他调用!AJ$5:AJ$364,MATCH($K221,其他调用!$AG$5:$AG$364,0),0),1)*INDEX(其他调用!AA$5:AA$404,MATCH($K221,其他调用!$X$5:$X$404,0),0)</f>
        <v>15527.75694324291</v>
      </c>
      <c r="Q221" s="12">
        <f>MIN(INDEX(其他调用!$AH$5:$AH$364,MATCH($K221,其他调用!$AG$5:$AG$364,0),1)/INDEX(其他调用!AK$5:AK$364,MATCH($K221,其他调用!$AG$5:$AG$364,0),0),1)*INDEX(其他调用!AB$5:AB$404,MATCH($K221,其他调用!$X$5:$X$404,0),0)</f>
        <v>5592.2067333889463</v>
      </c>
      <c r="R221" s="12">
        <f>MIN(INDEX(其他调用!$AH$5:$AH$364,MATCH($K221,其他调用!$AG$5:$AG$364,0),1)/INDEX(其他调用!AL$5:AL$364,MATCH($K221,其他调用!$AG$5:$AG$364,0),0),1)*INDEX(其他调用!AC$5:AC$404,MATCH($K221,其他调用!$X$5:$X$404,0),0)</f>
        <v>2658.9453467361564</v>
      </c>
      <c r="S221" s="12">
        <f>求节点(节奏总纲!D$4:D$163,标准城池设计!AC$4:AC$163,$K221)*求节点(节奏总纲!D$4:D$163,攻城基础信息!$AD$5:$AD$164,$K221)</f>
        <v>723516.80326225562</v>
      </c>
      <c r="T221" s="12">
        <f>INDEX(其他调用!$AA$5:$AA$404,MATCH($K221,其他调用!$X$5:$X$404,0))*MIN(INDEX(其他调用!AI$5:AI$364,MATCH($K221,其他调用!$AG$5:$AG$364,0),1)/INDEX(其他调用!$AJ$5:$AJ$364,MATCH($K221,其他调用!$AG$5:$AG$364,0),0),5)*求节点(节奏总纲!D$4:D$163,攻城基础信息!$AD$5:$AD$164,$K221)</f>
        <v>85004.896505912518</v>
      </c>
      <c r="U221" s="12">
        <f>MIN(INDEX(其他调用!$AI$5:$AI$364,MATCH($K221,其他调用!$AG$5:$AG$364,0),1)/INDEX(其他调用!AH$5:AH$364,MATCH($K221,其他调用!$AG$5:$AG$364,0),0),1)*INDEX(其他调用!Y$5:Y$404,MATCH($K221,其他调用!$X$5:$X$404,0),0)</f>
        <v>40576.523835182139</v>
      </c>
      <c r="V221" s="12">
        <f>MIN(INDEX(其他调用!$AI$5:$AI$364,MATCH($K221,其他调用!$AG$5:$AG$364,0),1)/INDEX(其他调用!AI$5:AI$364,MATCH($K221,其他调用!$AG$5:$AG$364,0),0),1)*INDEX(其他调用!Z$5:Z$404,MATCH($K221,其他调用!$X$5:$X$404,0),0)</f>
        <v>41727.915131607966</v>
      </c>
      <c r="W221" s="12">
        <f>MIN(INDEX(其他调用!$AI$5:$AI$364,MATCH($K221,其他调用!$AG$5:$AG$364,0),1)/INDEX(其他调用!AJ$5:AJ$364,MATCH($K221,其他调用!$AG$5:$AG$364,0),0),1)*INDEX(其他调用!AA$5:AA$404,MATCH($K221,其他调用!$X$5:$X$404,0),0)</f>
        <v>24853.467159078413</v>
      </c>
      <c r="X221" s="12">
        <f>MIN(INDEX(其他调用!$AI$5:$AI$364,MATCH($K221,其他调用!$AG$5:$AG$364,0),1)/INDEX(其他调用!AK$5:AK$364,MATCH($K221,其他调用!$AG$5:$AG$364,0),0),1)*INDEX(其他调用!AB$5:AB$404,MATCH($K221,其他调用!$X$5:$X$404,0),0)</f>
        <v>8950.7922427611593</v>
      </c>
      <c r="Y221" s="12">
        <f>MIN(INDEX(其他调用!$AI$5:$AI$364,MATCH($K221,其他调用!$AG$5:$AG$364,0),1)/INDEX(其他调用!AL$5:AL$364,MATCH($K221,其他调用!$AG$5:$AG$364,0),0),1)*INDEX(其他调用!AC$5:AC$404,MATCH($K221,其他调用!$X$5:$X$404,0),0)</f>
        <v>4255.8632965754068</v>
      </c>
      <c r="Z221" s="12">
        <f>求节点(节奏总纲!D$4:D$163,标准城池设计!AD$4:AD$163,$K221)*求节点(节奏总纲!D$4:D$163,攻城基础信息!$AE$5:$AE$164,$K221)</f>
        <v>787297.04194906598</v>
      </c>
      <c r="AA221" s="12">
        <f>INDEX(其他调用!$AA$5:$AA$404,MATCH($K221,其他调用!$X$5:$X$404,0))*MIN(INDEX(其他调用!AJ$5:AJ$364,MATCH($K221,其他调用!$AG$5:$AG$364,0),1)/INDEX(其他调用!$AJ$5:$AJ$364,MATCH($K221,其他调用!$AG$5:$AG$364,0),0),5)*求节点(节奏总纲!D$4:D$163,攻城基础信息!$AE$5:$AE$164,$K221)</f>
        <v>147927.88665581041</v>
      </c>
      <c r="AB221" s="12">
        <f>MIN(INDEX(其他调用!$AJ$5:$AJ$364,MATCH($K221,其他调用!$AG$5:$AG$364,0),1)/INDEX(其他调用!AH$5:AH$364,MATCH($K221,其他调用!$AG$5:$AG$364,0),0),1)*INDEX(其他调用!Y$5:Y$404,MATCH($K221,其他调用!$X$5:$X$404,0),0)</f>
        <v>40576.523835182139</v>
      </c>
      <c r="AC221" s="12">
        <f>MIN(INDEX(其他调用!$AJ$5:$AJ$364,MATCH($K221,其他调用!$AG$5:$AG$364,0),1)/INDEX(其他调用!AI$5:AI$364,MATCH($K221,其他调用!$AG$5:$AG$364,0),0),1)*INDEX(其他调用!Z$5:Z$404,MATCH($K221,其他调用!$X$5:$X$404,0),0)</f>
        <v>41727.915131607966</v>
      </c>
      <c r="AD221" s="12">
        <f>MIN(INDEX(其他调用!$AJ$5:$AJ$364,MATCH($K221,其他调用!$AG$5:$AG$364,0),1)/INDEX(其他调用!AJ$5:AJ$364,MATCH($K221,其他调用!$AG$5:$AG$364,0),0),1)*INDEX(其他调用!AA$5:AA$404,MATCH($K221,其他调用!$X$5:$X$404,0),0)</f>
        <v>43250.695242671543</v>
      </c>
      <c r="AE221" s="12">
        <f>MIN(INDEX(其他调用!$AJ$5:$AJ$364,MATCH($K221,其他调用!$AG$5:$AG$364,0),1)/INDEX(其他调用!AK$5:AK$364,MATCH($K221,其他调用!$AG$5:$AG$364,0),0),1)*INDEX(其他调用!AB$5:AB$404,MATCH($K221,其他调用!$X$5:$X$404,0),0)</f>
        <v>15576.417768766811</v>
      </c>
      <c r="AF221" s="12">
        <f>MIN(INDEX(其他调用!$AJ$5:$AJ$364,MATCH($K221,其他调用!$AG$5:$AG$364,0),1)/INDEX(其他调用!AL$5:AL$364,MATCH($K221,其他调用!$AG$5:$AG$364,0),0),1)*INDEX(其他调用!AC$5:AC$404,MATCH($K221,其他调用!$X$5:$X$404,0),0)</f>
        <v>7406.1717528782729</v>
      </c>
      <c r="AG221" s="12">
        <f>求节点(节奏总纲!D$4:D$163,标准城池设计!AE$4:AE$163,$K221)*求节点(节奏总纲!D$4:D$163,攻城基础信息!$AF$5:$AF$164,$K221)</f>
        <v>944317.2504569306</v>
      </c>
      <c r="AH221" s="12">
        <f>INDEX(其他调用!$AA$5:$AA$404,MATCH($K221,其他调用!$X$5:$X$404,0))*MIN(INDEX(其他调用!AK$5:AK$364,MATCH($K221,其他调用!$AG$5:$AG$364,0),1)/INDEX(其他调用!$AJ$5:$AJ$364,MATCH($K221,其他调用!$AG$5:$AG$364,0),0),5)*求节点(节奏总纲!D$4:D$163,攻城基础信息!$AF$5:$AF$164,$K221)</f>
        <v>431652.57948874088</v>
      </c>
      <c r="AI221" s="12">
        <f>MIN(INDEX(其他调用!$AK$5:$AK$364,MATCH($K221,其他调用!$AG$5:$AG$364,0),1)/INDEX(其他调用!AH$5:AH$364,MATCH($K221,其他调用!$AG$5:$AG$364,0),0),1)*INDEX(其他调用!Y$5:Y$404,MATCH($K221,其他调用!$X$5:$X$404,0),0)</f>
        <v>40576.523835182139</v>
      </c>
      <c r="AJ221" s="12">
        <f>MIN(INDEX(其他调用!$AK$5:$AK$364,MATCH($K221,其他调用!$AG$5:$AG$364,0),1)/INDEX(其他调用!AI$5:AI$364,MATCH($K221,其他调用!$AG$5:$AG$364,0),0),1)*INDEX(其他调用!Z$5:Z$404,MATCH($K221,其他调用!$X$5:$X$404,0),0)</f>
        <v>41727.915131607966</v>
      </c>
      <c r="AK221" s="12">
        <f>MIN(INDEX(其他调用!$AK$5:$AK$364,MATCH($K221,其他调用!$AG$5:$AG$364,0),1)/INDEX(其他调用!AJ$5:AJ$364,MATCH($K221,其他调用!$AG$5:$AG$364,0),0),1)*INDEX(其他调用!AA$5:AA$404,MATCH($K221,其他调用!$X$5:$X$404,0),0)</f>
        <v>43250.695242671543</v>
      </c>
      <c r="AL221" s="12">
        <f>MIN(INDEX(其他调用!$AK$5:$AK$364,MATCH($K221,其他调用!$AG$5:$AG$364,0),1)/INDEX(其他调用!AK$5:AK$364,MATCH($K221,其他调用!$AG$5:$AG$364,0),0),1)*INDEX(其他调用!AB$5:AB$404,MATCH($K221,其他调用!$X$5:$X$404,0),0)</f>
        <v>45451.882407584962</v>
      </c>
      <c r="AM221" s="12">
        <f>MIN(INDEX(其他调用!$AK$5:$AK$364,MATCH($K221,其他调用!$AG$5:$AG$364,0),1)/INDEX(其他调用!AL$5:AL$364,MATCH($K221,其他调用!$AG$5:$AG$364,0),0),1)*INDEX(其他调用!AC$5:AC$404,MATCH($K221,其他调用!$X$5:$X$404,0),0)</f>
        <v>21611.159420568834</v>
      </c>
      <c r="AN221" s="12">
        <f>求节点(节奏总纲!D$4:D$163,标准城池设计!AF$4:AF$163,$K221)*求节点(节奏总纲!D$4:D$163,攻城基础信息!$AG$5:$AG$164,$K221)</f>
        <v>985307.63855976937</v>
      </c>
      <c r="AO221" s="12">
        <f>INDEX(其他调用!$AA$5:$AA$404,MATCH($K221,其他调用!$X$5:$X$404,0))*MIN(INDEX(其他调用!AL$5:AL$364,MATCH($K221,其他调用!$AG$5:$AG$364,0),1)/INDEX(其他调用!$AJ$5:$AJ$364,MATCH($K221,其他调用!$AG$5:$AG$364,0),0),5)*求节点(节奏总纲!D$4:D$163,攻城基础信息!$AG$5:$AG$164,$K221)</f>
        <v>739639.43327905191</v>
      </c>
      <c r="AP221" s="12">
        <f>MIN(INDEX(其他调用!$AL$5:$AL$364,MATCH($K221,其他调用!$AG$5:$AG$364,0),1)/INDEX(其他调用!AH$5:AH$364,MATCH($K221,其他调用!$AG$5:$AG$364,0),0),1)*INDEX(其他调用!Y$5:Y$404,MATCH($K221,其他调用!$X$5:$X$404,0),0)</f>
        <v>40576.523835182139</v>
      </c>
      <c r="AQ221" s="12">
        <f>MIN(INDEX(其他调用!$AL$5:$AL$364,MATCH($K221,其他调用!$AG$5:$AG$364,0),1)/INDEX(其他调用!AI$5:AI$364,MATCH($K221,其他调用!$AG$5:$AG$364,0),0),1)*INDEX(其他调用!Z$5:Z$404,MATCH($K221,其他调用!$X$5:$X$404,0),0)</f>
        <v>41727.915131607966</v>
      </c>
      <c r="AR221" s="12">
        <f>MIN(INDEX(其他调用!$AL$5:$AL$364,MATCH($K221,其他调用!$AG$5:$AG$364,0),1)/INDEX(其他调用!AJ$5:AJ$364,MATCH($K221,其他调用!$AG$5:$AG$364,0),0),1)*INDEX(其他调用!AA$5:AA$404,MATCH($K221,其他调用!$X$5:$X$404,0),0)</f>
        <v>43250.695242671543</v>
      </c>
      <c r="AS221" s="12">
        <f>MIN(INDEX(其他调用!$AL$5:$AL$364,MATCH($K221,其他调用!$AG$5:$AG$364,0),1)/INDEX(其他调用!AK$5:AK$364,MATCH($K221,其他调用!$AG$5:$AG$364,0),0),1)*INDEX(其他调用!AB$5:AB$404,MATCH($K221,其他调用!$X$5:$X$404,0),0)</f>
        <v>45451.882407584962</v>
      </c>
      <c r="AT221" s="12">
        <f>MIN(INDEX(其他调用!$AL$5:$AL$364,MATCH($K221,其他调用!$AG$5:$AG$364,0),1)/INDEX(其他调用!AL$5:AL$364,MATCH($K221,其他调用!$AG$5:$AG$364,0),0),1)*INDEX(其他调用!AC$5:AC$404,MATCH($K221,其他调用!$X$5:$X$404,0),0)</f>
        <v>49390.845920478816</v>
      </c>
      <c r="AV221" s="14">
        <f>IF(OR(AV$5="大R",AV$5="超R"),MAX(INDEX(其他调用!$H$5:$L$404,MATCH($K221,其他调用!$B$5:$B$404,0),MATCH(AV$5,其他调用!$H$4:$L$4,0))*120*0.85,2),INDEX(其他调用!$H$5:$L$404,MATCH($K221,其他调用!$B$5:$B$404,0),MATCH(AV$5,其他调用!$H$4:$L$4,0))*120*0.85)</f>
        <v>48.921801254999991</v>
      </c>
      <c r="AW221" s="14">
        <f>IF(OR(AW$5="大R",AW$5="超R"),MAX(INDEX(其他调用!$H$5:$L$404,MATCH($K221,其他调用!$B$5:$B$404,0),MATCH(AW$5,其他调用!$H$4:$L$4,0))*120*0.85,2),INDEX(其他调用!$H$5:$L$404,MATCH($K221,其他调用!$B$5:$B$404,0),MATCH(AW$5,其他调用!$H$4:$L$4,0))*120*0.85)</f>
        <v>48.237344010638395</v>
      </c>
      <c r="AX221" s="14">
        <f>IF(OR(AX$5="大R",AX$5="超R"),MAX(INDEX(其他调用!$H$5:$L$404,MATCH($K221,其他调用!$B$5:$B$404,0),MATCH(AX$5,其他调用!$H$4:$L$4,0))*120*0.85,2),INDEX(其他调用!$H$5:$L$404,MATCH($K221,其他调用!$B$5:$B$404,0),MATCH(AX$5,其他调用!$H$4:$L$4,0))*120*0.85)</f>
        <v>3.9376284143615998</v>
      </c>
      <c r="AY221" s="14">
        <f>IF(OR(AY$5="大R",AY$5="超R"),MAX(INDEX(其他调用!$H$5:$L$404,MATCH($K221,其他调用!$B$5:$B$404,0),MATCH(AY$5,其他调用!$H$4:$L$4,0))*120*0.85,2),INDEX(其他调用!$H$5:$L$404,MATCH($K221,其他调用!$B$5:$B$404,0),MATCH(AY$5,其他调用!$H$4:$L$4,0))*120*0.85)</f>
        <v>2</v>
      </c>
      <c r="AZ221" s="14">
        <f>IF(OR(AZ$5="大R",AZ$5="超R"),MAX(INDEX(其他调用!$H$5:$L$404,MATCH($K221,其他调用!$B$5:$B$404,0),MATCH(AZ$5,其他调用!$H$4:$L$4,0))*120*0.85,2),INDEX(其他调用!$H$5:$L$404,MATCH($K221,其他调用!$B$5:$B$404,0),MATCH(AZ$5,其他调用!$H$4:$L$4,0))*120*0.85)</f>
        <v>2</v>
      </c>
      <c r="BA221" s="14">
        <f>INDEX(其他调用!$H$5:$L$404,MATCH($K221,其他调用!$B$5:$B$404,0),MATCH(BA$5,其他调用!$H$4:$L$4,0))*INDEX(其他调用!$M$5:$M$404,MATCH($K221,其他调用!$B$5:$B$404,0))*0.6</f>
        <v>28.777530149999997</v>
      </c>
      <c r="BB221" s="14">
        <f>INDEX(其他调用!$H$5:$L$404,MATCH($K221,其他调用!$B$5:$B$404,0),MATCH(BB$5,其他调用!$H$4:$L$4,0))*INDEX(其他调用!$M$5:$M$404,MATCH($K221,其他调用!$B$5:$B$404,0))*0.6</f>
        <v>28.374908241551999</v>
      </c>
      <c r="BC221" s="14">
        <f>INDEX(其他调用!$H$5:$L$404,MATCH($K221,其他调用!$B$5:$B$404,0),MATCH(BC$5,其他调用!$H$4:$L$4,0))*INDEX(其他调用!$M$5:$M$404,MATCH($K221,其他调用!$B$5:$B$404,0))*0.6</f>
        <v>2.3162520084480001</v>
      </c>
      <c r="BD221" s="14">
        <f>INDEX(其他调用!$H$5:$L$404,MATCH($K221,其他调用!$B$5:$B$404,0),MATCH(BD$5,其他调用!$H$4:$L$4,0))*INDEX(其他调用!$M$5:$M$404,MATCH($K221,其他调用!$B$5:$B$404,0))*0.6</f>
        <v>0.4120776000000001</v>
      </c>
      <c r="BE221" s="14">
        <f>INDEX(其他调用!$H$5:$L$404,MATCH($K221,其他调用!$B$5:$B$404,0),MATCH(BE$5,其他调用!$H$4:$L$4,0))*INDEX(其他调用!$M$5:$M$404,MATCH($K221,其他调用!$B$5:$B$404,0))*0.6</f>
        <v>0.11923199999999998</v>
      </c>
      <c r="BF221" s="14">
        <f>IF(OR(BF$5="大R",BF$5="超R"),0,INDEX(其他调用!$H$5:$L$404,MATCH($K221,其他调用!$B$5:$B$404,0),MATCH(BF$5,其他调用!$H$4:$L$4,0))*50*0.4)</f>
        <v>9.5925100500000013</v>
      </c>
      <c r="BG221" s="14">
        <f>IF(OR(BG$5="大R",BG$5="超R"),0,INDEX(其他调用!$H$5:$L$404,MATCH($K221,其他调用!$B$5:$B$404,0),MATCH(BG$5,其他调用!$H$4:$L$4,0))*50*0.4)</f>
        <v>9.4583027471839998</v>
      </c>
      <c r="BH221" s="14">
        <f>IF(OR(BH$5="大R",BH$5="超R"),0,INDEX(其他调用!$H$5:$L$404,MATCH($K221,其他调用!$B$5:$B$404,0),MATCH(BH$5,其他调用!$H$4:$L$4,0))*50*0.4)</f>
        <v>0.77208400281600009</v>
      </c>
      <c r="BI221" s="14">
        <f>IF(OR(BI$5="大R",BI$5="超R"),0,INDEX(其他调用!$H$5:$L$404,MATCH($K221,其他调用!$B$5:$B$404,0),MATCH(BI$5,其他调用!$H$4:$L$4,0))*50*0.4)</f>
        <v>0</v>
      </c>
      <c r="BJ221" s="14">
        <f>IF(OR(BJ$5="大R",BJ$5="超R"),0,INDEX(其他调用!$H$5:$L$404,MATCH($K221,其他调用!$B$5:$B$404,0),MATCH(BJ$5,其他调用!$H$4:$L$4,0))*50*0.4)</f>
        <v>0</v>
      </c>
      <c r="BL221" s="14">
        <f t="shared" si="418"/>
        <v>216</v>
      </c>
      <c r="BM221" s="14">
        <f t="shared" si="325"/>
        <v>96</v>
      </c>
      <c r="BN221" s="14">
        <f>('疲劳值&amp;地图信息'!$S$10*'疲劳值&amp;地图信息'!$R$10+'疲劳值&amp;地图信息'!$S$11*'疲劳值&amp;地图信息'!$R$11+'疲劳值&amp;地图信息'!$S$12*'疲劳值&amp;地图信息'!$R$12+(BM221-'疲劳值&amp;地图信息'!$S$12-'疲劳值&amp;地图信息'!$S$11-'疲劳值&amp;地图信息'!$S$10)*'疲劳值&amp;地图信息'!$R$13)/BM221</f>
        <v>51.371477246638619</v>
      </c>
      <c r="BO221" s="14">
        <f>INDEX(其他调用!$M$5:$M$404,MATCH(BL221,其他调用!$B$5:$B$404,0))*0.6</f>
        <v>60</v>
      </c>
      <c r="BP221" s="14">
        <f>IF(BO221&gt;SUM('疲劳值&amp;地图信息'!$S$10:$S$12),('疲劳值&amp;地图信息'!$S$10*'疲劳值&amp;地图信息'!$R$10+'疲劳值&amp;地图信息'!$S$11*'疲劳值&amp;地图信息'!$R$11+'疲劳值&amp;地图信息'!$S$12*'疲劳值&amp;地图信息'!$R$12+(BO221-'疲劳值&amp;地图信息'!$S$12-'疲劳值&amp;地图信息'!$S$11-'疲劳值&amp;地图信息'!$S$10)*'疲劳值&amp;地图信息'!$R$13)/BO221,('疲劳值&amp;地图信息'!$S$10*'疲劳值&amp;地图信息'!$R$10+'疲劳值&amp;地图信息'!$S$11*'疲劳值&amp;地图信息'!$R$11+'疲劳值&amp;地图信息'!$S$12*'疲劳值&amp;地图信息'!$R$12+(BO221-'疲劳值&amp;地图信息'!$S$12-'疲劳值&amp;地图信息'!$S$11-'疲劳值&amp;地图信息'!$S$10)*'疲劳值&amp;地图信息'!$R$13)/BO221)</f>
        <v>44.158136341605953</v>
      </c>
      <c r="BQ221" s="14">
        <f t="shared" si="419"/>
        <v>20</v>
      </c>
      <c r="BR221" s="14">
        <f>('疲劳值&amp;地图信息'!$S$10*'疲劳值&amp;地图信息'!$R$10+($BQ221-'疲劳值&amp;地图信息'!$S$10)*'疲劳值&amp;地图信息'!$R$11)/$BQ221</f>
        <v>32.067203015074995</v>
      </c>
      <c r="CF221" s="14">
        <v>216</v>
      </c>
      <c r="CG221" s="51">
        <f t="shared" si="326"/>
        <v>13817</v>
      </c>
      <c r="CH221" s="51">
        <f t="shared" si="327"/>
        <v>1082</v>
      </c>
      <c r="CI221" s="51">
        <f>INT(SUMPRODUCT($N221:$R221,$BA221:$BE221)/SUM($BA221:$BE221)/10000*$BX$7*$BZ$34/'疲劳值&amp;地图信息'!$R$10*$BY$53)</f>
        <v>3290</v>
      </c>
      <c r="CJ221" s="50">
        <f t="shared" si="328"/>
        <v>0.75963494419704214</v>
      </c>
      <c r="CK221" s="50">
        <f t="shared" si="329"/>
        <v>5.9486502831381606E-2</v>
      </c>
      <c r="CL221" s="50">
        <f t="shared" si="330"/>
        <v>0.18087855297157623</v>
      </c>
      <c r="CM221" s="14">
        <f t="shared" si="331"/>
        <v>14746</v>
      </c>
      <c r="CN221" s="14">
        <f t="shared" si="332"/>
        <v>1732</v>
      </c>
      <c r="CO221" s="14">
        <f>INT(SUMPRODUCT($U221:$Y221,$BA221:$BE221)/SUM($BA221:$BE221)/10000*$BX$7*$BZ$34/'疲劳值&amp;地图信息'!$R$10*$BY$54)</f>
        <v>6122</v>
      </c>
      <c r="CP221" s="50">
        <f t="shared" si="333"/>
        <v>0.65247787610619468</v>
      </c>
      <c r="CQ221" s="50">
        <f t="shared" si="334"/>
        <v>7.6637168141592923E-2</v>
      </c>
      <c r="CR221" s="50">
        <f t="shared" si="335"/>
        <v>0.27088495575221239</v>
      </c>
      <c r="CS221" s="14">
        <f t="shared" si="336"/>
        <v>16046</v>
      </c>
      <c r="CT221" s="14">
        <f t="shared" si="337"/>
        <v>3014</v>
      </c>
      <c r="CU221" s="14">
        <f>INT(SUMPRODUCT($AB221:$AF221,$BA221:$BE221)/SUM($BA221:$BE221)/10000*$BX$7*$BZ$34/'疲劳值&amp;地图信息'!$R$10*$BY$55)</f>
        <v>8317</v>
      </c>
      <c r="CV221" s="50">
        <f t="shared" si="338"/>
        <v>0.58611243014209002</v>
      </c>
      <c r="CW221" s="50">
        <f t="shared" si="339"/>
        <v>0.11009241333966469</v>
      </c>
      <c r="CX221" s="50">
        <f t="shared" si="340"/>
        <v>0.30379515651824524</v>
      </c>
      <c r="CY221" s="14">
        <f t="shared" si="341"/>
        <v>19246</v>
      </c>
      <c r="CZ221" s="14">
        <f t="shared" si="342"/>
        <v>8797</v>
      </c>
      <c r="DA221" s="14">
        <f>INT(SUMPRODUCT($AI221:$AM221,$BA221:$BE221)/SUM($BA221:$BE221)/10000*$BX$7*$BZ$34/'疲劳值&amp;地图信息'!$R$10*$BY$56)</f>
        <v>12547</v>
      </c>
      <c r="DB221" s="50">
        <f t="shared" si="343"/>
        <v>0.47415619610741561</v>
      </c>
      <c r="DC221" s="50">
        <f t="shared" si="344"/>
        <v>0.21672825819167282</v>
      </c>
      <c r="DD221" s="50">
        <f t="shared" si="345"/>
        <v>0.30911554570091154</v>
      </c>
      <c r="DE221" s="14">
        <f t="shared" si="346"/>
        <v>20081</v>
      </c>
      <c r="DF221" s="14">
        <f t="shared" si="347"/>
        <v>15074</v>
      </c>
      <c r="DG221" s="14">
        <f>INT(SUMPRODUCT($AP221:$AT221,$BA221:$BE221)/SUM($BA221:$BE221)/10000*$BX$7*$BZ$34/'疲劳值&amp;地图信息'!$R$10*$BY$57)</f>
        <v>16752</v>
      </c>
      <c r="DH221" s="50">
        <f t="shared" si="348"/>
        <v>0.38686497004257614</v>
      </c>
      <c r="DI221" s="50">
        <f t="shared" si="349"/>
        <v>0.290403991754484</v>
      </c>
      <c r="DJ221" s="50">
        <f t="shared" si="350"/>
        <v>0.32273103820293986</v>
      </c>
      <c r="DL221" s="14">
        <f t="shared" si="421"/>
        <v>18189</v>
      </c>
      <c r="DM221" s="14">
        <f t="shared" si="422"/>
        <v>22600</v>
      </c>
      <c r="DN221" s="14">
        <f t="shared" si="423"/>
        <v>27377</v>
      </c>
      <c r="DO221" s="14">
        <f t="shared" si="424"/>
        <v>40590</v>
      </c>
      <c r="DP221" s="14">
        <f t="shared" si="425"/>
        <v>51907</v>
      </c>
      <c r="DQ221" s="14">
        <f t="shared" si="426"/>
        <v>1251034</v>
      </c>
      <c r="DT221" s="14">
        <f t="shared" si="420"/>
        <v>235575</v>
      </c>
      <c r="DU221" s="50">
        <f t="shared" si="322"/>
        <v>0.15846466690299871</v>
      </c>
      <c r="DW221" s="14">
        <f t="shared" si="351"/>
        <v>1486609</v>
      </c>
      <c r="EB221" s="14">
        <v>216</v>
      </c>
      <c r="EC221" s="51">
        <f t="shared" si="352"/>
        <v>23029</v>
      </c>
      <c r="ED221" s="51">
        <f t="shared" si="353"/>
        <v>1804</v>
      </c>
      <c r="EE221" s="51">
        <f>INT(SUMPRODUCT($N221:$R221,$BF221:$BJ221)/SUM($BF221:$BJ221)/10000*$BX$7*$BZ$46/'疲劳值&amp;地图信息'!$R$10*$BY$53)</f>
        <v>442</v>
      </c>
      <c r="EF221" s="50">
        <f t="shared" si="354"/>
        <v>0.911137487636004</v>
      </c>
      <c r="EG221" s="50">
        <f t="shared" si="355"/>
        <v>7.1374876360039571E-2</v>
      </c>
      <c r="EH221" s="50">
        <f t="shared" si="356"/>
        <v>1.7487636003956478E-2</v>
      </c>
      <c r="EI221" s="51">
        <f t="shared" si="357"/>
        <v>24577</v>
      </c>
      <c r="EJ221" s="51">
        <f t="shared" si="358"/>
        <v>2887</v>
      </c>
      <c r="EK221" s="14">
        <f>INT(SUMPRODUCT($U221:$Y221,$BF221:$BJ221)/SUM($BF221:$BJ221)/10000*$BX$7*$BZ$46/'疲劳值&amp;地图信息'!$R$10*$BY$54)</f>
        <v>822</v>
      </c>
      <c r="EL221" s="50">
        <f t="shared" si="359"/>
        <v>0.86887506186806196</v>
      </c>
      <c r="EM221" s="50">
        <f t="shared" si="360"/>
        <v>0.10206462560984232</v>
      </c>
      <c r="EN221" s="50">
        <f t="shared" si="361"/>
        <v>2.9060312522095736E-2</v>
      </c>
      <c r="EO221" s="51">
        <f t="shared" si="362"/>
        <v>26743</v>
      </c>
      <c r="EP221" s="51">
        <f t="shared" si="363"/>
        <v>5024</v>
      </c>
      <c r="EQ221" s="14">
        <f>INT(SUMPRODUCT($AB221:$AF221,$BF221:$BJ221)/SUM($BF221:$BJ221)/10000*$BX$7*$BZ$46/'疲劳值&amp;地图信息'!$R$10*$BY$55)</f>
        <v>1115</v>
      </c>
      <c r="ER221" s="50">
        <f t="shared" si="364"/>
        <v>0.81330211057721546</v>
      </c>
      <c r="ES221" s="50">
        <f t="shared" si="365"/>
        <v>0.15278875980779758</v>
      </c>
      <c r="ET221" s="50">
        <f t="shared" si="366"/>
        <v>3.3909129614986926E-2</v>
      </c>
      <c r="EU221" s="51">
        <f t="shared" si="367"/>
        <v>32077</v>
      </c>
      <c r="EV221" s="51">
        <f t="shared" si="368"/>
        <v>14662</v>
      </c>
      <c r="EW221" s="14">
        <f>INT(SUMPRODUCT($AI221:$AM221,$BF221:$BJ221)/SUM($BF221:$BJ221)/10000*$BX$7*$BZ$46/'疲劳值&amp;地图信息'!$R$10*$BY$56)</f>
        <v>1673</v>
      </c>
      <c r="EX221" s="50">
        <f t="shared" si="369"/>
        <v>0.66258365694455923</v>
      </c>
      <c r="EY221" s="50">
        <f t="shared" si="370"/>
        <v>0.30285879533999832</v>
      </c>
      <c r="EZ221" s="50">
        <f t="shared" si="371"/>
        <v>3.4557547715442449E-2</v>
      </c>
      <c r="FA221" s="51">
        <f t="shared" si="372"/>
        <v>33469</v>
      </c>
      <c r="FB221" s="51">
        <f t="shared" si="373"/>
        <v>25124</v>
      </c>
      <c r="FC221" s="14">
        <f>INT(SUMPRODUCT($AP221:$AT221,$BF221:$BJ221)/SUM($BF221:$BJ221)/10000*$BX$7*$BZ$46/'疲劳值&amp;地图信息'!$R$10*$BY$57)</f>
        <v>2231</v>
      </c>
      <c r="FD221" s="50">
        <f t="shared" si="374"/>
        <v>0.55025976588188874</v>
      </c>
      <c r="FE221" s="50">
        <f t="shared" si="375"/>
        <v>0.41306063396027881</v>
      </c>
      <c r="FF221" s="50">
        <f t="shared" si="376"/>
        <v>3.6679600157832434E-2</v>
      </c>
      <c r="FH221" s="14">
        <f t="shared" si="377"/>
        <v>25275</v>
      </c>
      <c r="FI221" s="14">
        <f t="shared" si="378"/>
        <v>28286</v>
      </c>
      <c r="FJ221" s="14">
        <f t="shared" si="379"/>
        <v>32882</v>
      </c>
      <c r="FK221" s="14">
        <f t="shared" si="380"/>
        <v>48412</v>
      </c>
      <c r="FL221" s="14">
        <f t="shared" si="381"/>
        <v>60824</v>
      </c>
      <c r="FM221" s="14">
        <f t="shared" si="382"/>
        <v>2948889</v>
      </c>
      <c r="FP221" s="14">
        <f t="shared" si="383"/>
        <v>334150</v>
      </c>
      <c r="FQ221" s="50">
        <f t="shared" si="323"/>
        <v>0.10178069770112387</v>
      </c>
      <c r="FS221" s="14">
        <f t="shared" si="384"/>
        <v>3283039</v>
      </c>
      <c r="FX221" s="14">
        <v>216</v>
      </c>
      <c r="FY221" s="51">
        <f t="shared" si="385"/>
        <v>32241</v>
      </c>
      <c r="FZ221" s="51">
        <f t="shared" si="386"/>
        <v>1804</v>
      </c>
      <c r="GA221" s="51">
        <f>INT(SUMPRODUCT($N221:$R221,$BF221:$BJ221)/SUM($BF221:$BJ221)/10000*$BX$7*$BZ$46/'疲劳值&amp;地图信息'!$R$10*$BY$53)</f>
        <v>442</v>
      </c>
      <c r="GB221" s="50">
        <f t="shared" si="387"/>
        <v>0.93487401049670893</v>
      </c>
      <c r="GC221" s="50">
        <f t="shared" si="388"/>
        <v>5.2309565923391421E-2</v>
      </c>
      <c r="GD221" s="50">
        <f t="shared" si="389"/>
        <v>1.2816423579899672E-2</v>
      </c>
      <c r="GE221" s="51">
        <f t="shared" si="390"/>
        <v>34407</v>
      </c>
      <c r="GF221" s="51">
        <f t="shared" si="391"/>
        <v>2887</v>
      </c>
      <c r="GG221" s="14">
        <f>INT(SUMPRODUCT($U221:$Y221,$BF221:$BJ221)/SUM($BF221:$BJ221)/10000*$BX$7*$BZ$46/'疲劳值&amp;地图信息'!$R$10*$BY$54)</f>
        <v>822</v>
      </c>
      <c r="GH221" s="50">
        <f t="shared" si="392"/>
        <v>0.90269178297827679</v>
      </c>
      <c r="GI221" s="50">
        <f t="shared" si="393"/>
        <v>7.5742470353657262E-2</v>
      </c>
      <c r="GJ221" s="50">
        <f t="shared" si="394"/>
        <v>2.1565746668065905E-2</v>
      </c>
      <c r="GK221" s="51">
        <f t="shared" si="395"/>
        <v>37440</v>
      </c>
      <c r="GL221" s="51">
        <f t="shared" si="396"/>
        <v>5024</v>
      </c>
      <c r="GM221" s="14">
        <f>INT(SUMPRODUCT($AB221:$AF221,$BF221:$BJ221)/SUM($BF221:$BJ221)/10000*$BX$7*$BZ$46/'疲劳值&amp;地图信息'!$R$10*$BY$55)</f>
        <v>1115</v>
      </c>
      <c r="GN221" s="50">
        <f t="shared" si="397"/>
        <v>0.85912939718671832</v>
      </c>
      <c r="GO221" s="50">
        <f t="shared" si="398"/>
        <v>0.11528488492163656</v>
      </c>
      <c r="GP221" s="50">
        <f t="shared" si="399"/>
        <v>2.5585717891645057E-2</v>
      </c>
      <c r="GQ221" s="51">
        <f t="shared" si="400"/>
        <v>44908</v>
      </c>
      <c r="GR221" s="51">
        <f t="shared" si="401"/>
        <v>14662</v>
      </c>
      <c r="GS221" s="14">
        <f>INT(SUMPRODUCT($AI221:$AM221,$BF221:$BJ221)/SUM($BF221:$BJ221)/10000*$BX$7*$BZ$46/'疲劳值&amp;地图信息'!$R$10*$BY$56)</f>
        <v>1673</v>
      </c>
      <c r="GT221" s="50">
        <f t="shared" si="402"/>
        <v>0.73327563966494125</v>
      </c>
      <c r="GU221" s="50">
        <f t="shared" si="403"/>
        <v>0.23940695263132114</v>
      </c>
      <c r="GV221" s="50">
        <f t="shared" si="404"/>
        <v>2.731740770373757E-2</v>
      </c>
      <c r="GW221" s="51">
        <f t="shared" si="405"/>
        <v>46857</v>
      </c>
      <c r="GX221" s="51">
        <f t="shared" si="406"/>
        <v>25124</v>
      </c>
      <c r="GY221" s="14">
        <f>INT(SUMPRODUCT($AP221:$AT221,$BF221:$BJ221)/SUM($BF221:$BJ221)/10000*$BX$7*$BZ$46/'疲劳值&amp;地图信息'!$R$10*$BY$57)</f>
        <v>2231</v>
      </c>
      <c r="GZ221" s="50">
        <f t="shared" si="407"/>
        <v>0.63139384466124082</v>
      </c>
      <c r="HA221" s="50">
        <f t="shared" si="408"/>
        <v>0.33854363175766722</v>
      </c>
      <c r="HB221" s="50">
        <f t="shared" si="409"/>
        <v>3.0062523581092005E-2</v>
      </c>
      <c r="HD221" s="14">
        <f t="shared" si="410"/>
        <v>34487</v>
      </c>
      <c r="HE221" s="14">
        <f t="shared" si="411"/>
        <v>38116</v>
      </c>
      <c r="HF221" s="14">
        <f t="shared" si="412"/>
        <v>43579</v>
      </c>
      <c r="HG221" s="14">
        <f t="shared" si="413"/>
        <v>61243</v>
      </c>
      <c r="HH221" s="14">
        <f t="shared" si="414"/>
        <v>74212</v>
      </c>
      <c r="HI221" s="14">
        <f t="shared" si="415"/>
        <v>3968288</v>
      </c>
      <c r="HL221" s="14">
        <f t="shared" si="416"/>
        <v>430050</v>
      </c>
      <c r="HM221" s="50">
        <f t="shared" si="324"/>
        <v>9.7775568862602191E-2</v>
      </c>
      <c r="HO221" s="14">
        <f t="shared" si="417"/>
        <v>4398338</v>
      </c>
    </row>
    <row r="222" spans="11:223" x14ac:dyDescent="0.2">
      <c r="K222" s="14">
        <v>217</v>
      </c>
      <c r="L222" s="12">
        <f>求节点(节奏总纲!D$4:D$163,标准城池设计!AB$4:AB$163,$K222)*求节点(节奏总纲!D$4:D$163,攻城基础信息!$AC$5:$AC$164,$K222)</f>
        <v>679319.93253859179</v>
      </c>
      <c r="M222" s="12">
        <f>INDEX(其他调用!$AA$5:$AA$404,MATCH(K222,其他调用!$X$5:$X$404,0))*MIN(INDEX(其他调用!$AH$5:$AH$364,MATCH('征服点（新）'!K222,其他调用!$AG$5:$AG$364,0),1)/INDEX(其他调用!$AJ$5:$AJ$364,MATCH(K222,其他调用!$AG$5:$AG$364,0),0),5)*求节点(节奏总纲!D$4:D$163,攻城基础信息!$AC$5:$AC$164,$K222)</f>
        <v>53163.945543911374</v>
      </c>
      <c r="N222" s="12">
        <f>MIN(INDEX(其他调用!$AH$5:$AH$364,MATCH($K222,其他调用!$AG$5:$AG$364,0),1)/INDEX(其他调用!AH$5:AH$364,MATCH($K222,其他调用!$AG$5:$AG$364,0),0),1)*INDEX(其他调用!Y$5:Y$404,MATCH($K222,其他调用!$X$5:$X$404,0),0)</f>
        <v>40602.931891323562</v>
      </c>
      <c r="O222" s="12">
        <f>MIN(INDEX(其他调用!$AH$5:$AH$364,MATCH($K222,其他调用!$AG$5:$AG$364,0),1)/INDEX(其他调用!AI$5:AI$364,MATCH($K222,其他调用!$AG$5:$AG$364,0),0),1)*INDEX(其他调用!Z$5:Z$404,MATCH($K222,其他调用!$X$5:$X$404,0),0)</f>
        <v>26073.386987493363</v>
      </c>
      <c r="P222" s="12">
        <f>MIN(INDEX(其他调用!$AH$5:$AH$364,MATCH($K222,其他调用!$AG$5:$AG$364,0),1)/INDEX(其他调用!AJ$5:AJ$364,MATCH($K222,其他调用!$AG$5:$AG$364,0),0),1)*INDEX(其他调用!AA$5:AA$404,MATCH($K222,其他调用!$X$5:$X$404,0),0)</f>
        <v>15533.765116123825</v>
      </c>
      <c r="Q222" s="12">
        <f>MIN(INDEX(其他调用!$AH$5:$AH$364,MATCH($K222,其他调用!$AG$5:$AG$364,0),1)/INDEX(其他调用!AK$5:AK$364,MATCH($K222,其他调用!$AG$5:$AG$364,0),0),1)*INDEX(其他调用!AB$5:AB$404,MATCH($K222,其他调用!$X$5:$X$404,0),0)</f>
        <v>5588.8259914312785</v>
      </c>
      <c r="R222" s="12">
        <f>MIN(INDEX(其他调用!$AH$5:$AH$364,MATCH($K222,其他调用!$AG$5:$AG$364,0),1)/INDEX(其他调用!AL$5:AL$364,MATCH($K222,其他调用!$AG$5:$AG$364,0),0),1)*INDEX(其他调用!AC$5:AC$404,MATCH($K222,其他调用!$X$5:$X$404,0),0)</f>
        <v>2669.236754449701</v>
      </c>
      <c r="S222" s="12">
        <f>求节点(节奏总纲!D$4:D$163,标准城池设计!AC$4:AC$163,$K222)*求节点(节奏总纲!D$4:D$163,攻城基础信息!$AD$5:$AD$164,$K222)</f>
        <v>725163.88694105833</v>
      </c>
      <c r="T222" s="12">
        <f>INDEX(其他调用!$AA$5:$AA$404,MATCH($K222,其他调用!$X$5:$X$404,0))*MIN(INDEX(其他调用!AI$5:AI$364,MATCH($K222,其他调用!$AG$5:$AG$364,0),1)/INDEX(其他调用!$AJ$5:$AJ$364,MATCH($K222,其他调用!$AG$5:$AG$364,0),0),5)*求节点(节奏总纲!D$4:D$163,攻城基础信息!$AD$5:$AD$164,$K222)</f>
        <v>85139.559293831466</v>
      </c>
      <c r="U222" s="12">
        <f>MIN(INDEX(其他调用!$AI$5:$AI$364,MATCH($K222,其他调用!$AG$5:$AG$364,0),1)/INDEX(其他调用!AH$5:AH$364,MATCH($K222,其他调用!$AG$5:$AG$364,0),0),1)*INDEX(其他调用!Y$5:Y$404,MATCH($K222,其他调用!$X$5:$X$404,0),0)</f>
        <v>40602.931891323562</v>
      </c>
      <c r="V222" s="12">
        <f>MIN(INDEX(其他调用!$AI$5:$AI$364,MATCH($K222,其他调用!$AG$5:$AG$364,0),1)/INDEX(其他调用!AI$5:AI$364,MATCH($K222,其他调用!$AG$5:$AG$364,0),0),1)*INDEX(其他调用!Z$5:Z$404,MATCH($K222,其他调用!$X$5:$X$404,0),0)</f>
        <v>41755.30342418194</v>
      </c>
      <c r="W222" s="12">
        <f>MIN(INDEX(其他调用!$AI$5:$AI$364,MATCH($K222,其他调用!$AG$5:$AG$364,0),1)/INDEX(其他调用!AJ$5:AJ$364,MATCH($K222,其他调用!$AG$5:$AG$364,0),0),1)*INDEX(其他调用!AA$5:AA$404,MATCH($K222,其他调用!$X$5:$X$404,0),0)</f>
        <v>24876.594515888773</v>
      </c>
      <c r="X222" s="12">
        <f>MIN(INDEX(其他调用!$AI$5:$AI$364,MATCH($K222,其他调用!$AG$5:$AG$364,0),1)/INDEX(其他调用!AK$5:AK$364,MATCH($K222,其他调用!$AG$5:$AG$364,0),0),1)*INDEX(其他调用!AB$5:AB$404,MATCH($K222,其他调用!$X$5:$X$404,0),0)</f>
        <v>8950.2420674807199</v>
      </c>
      <c r="Y222" s="12">
        <f>MIN(INDEX(其他调用!$AI$5:$AI$364,MATCH($K222,其他调用!$AG$5:$AG$364,0),1)/INDEX(其他调用!AL$5:AL$364,MATCH($K222,其他调用!$AG$5:$AG$364,0),0),1)*INDEX(其他调用!AC$5:AC$404,MATCH($K222,其他调用!$X$5:$X$404,0),0)</f>
        <v>4274.6571684947376</v>
      </c>
      <c r="Z222" s="12">
        <f>求节点(节奏总纲!D$4:D$163,标准城池设计!AD$4:AD$163,$K222)*求节点(节奏总纲!D$4:D$163,攻城基础信息!$AE$5:$AE$164,$K222)</f>
        <v>789452.67103438172</v>
      </c>
      <c r="AA222" s="12">
        <f>INDEX(其他调用!$AA$5:$AA$404,MATCH($K222,其他调用!$X$5:$X$404,0))*MIN(INDEX(其他调用!AJ$5:AJ$364,MATCH($K222,其他调用!$AG$5:$AG$364,0),1)/INDEX(其他调用!$AJ$5:$AJ$364,MATCH($K222,其他调用!$AG$5:$AG$364,0),0),5)*求节点(节奏总纲!D$4:D$163,攻城基础信息!$AE$5:$AE$164,$K222)</f>
        <v>148117.4775807086</v>
      </c>
      <c r="AB222" s="12">
        <f>MIN(INDEX(其他调用!$AJ$5:$AJ$364,MATCH($K222,其他调用!$AG$5:$AG$364,0),1)/INDEX(其他调用!AH$5:AH$364,MATCH($K222,其他调用!$AG$5:$AG$364,0),0),1)*INDEX(其他调用!Y$5:Y$404,MATCH($K222,其他调用!$X$5:$X$404,0),0)</f>
        <v>40602.931891323562</v>
      </c>
      <c r="AC222" s="12">
        <f>MIN(INDEX(其他调用!$AJ$5:$AJ$364,MATCH($K222,其他调用!$AG$5:$AG$364,0),1)/INDEX(其他调用!AI$5:AI$364,MATCH($K222,其他调用!$AG$5:$AG$364,0),0),1)*INDEX(其他调用!Z$5:Z$404,MATCH($K222,其他调用!$X$5:$X$404,0),0)</f>
        <v>41755.30342418194</v>
      </c>
      <c r="AD222" s="12">
        <f>MIN(INDEX(其他调用!$AJ$5:$AJ$364,MATCH($K222,其他调用!$AG$5:$AG$364,0),1)/INDEX(其他调用!AJ$5:AJ$364,MATCH($K222,其他调用!$AG$5:$AG$364,0),0),1)*INDEX(其他调用!AA$5:AA$404,MATCH($K222,其他调用!$X$5:$X$404,0),0)</f>
        <v>43277.865906906271</v>
      </c>
      <c r="AE222" s="12">
        <f>MIN(INDEX(其他调用!$AJ$5:$AJ$364,MATCH($K222,其他调用!$AG$5:$AG$364,0),1)/INDEX(其他调用!AK$5:AK$364,MATCH($K222,其他调用!$AG$5:$AG$364,0),0),1)*INDEX(其他调用!AB$5:AB$404,MATCH($K222,其他调用!$X$5:$X$404,0),0)</f>
        <v>15570.755707071636</v>
      </c>
      <c r="AF222" s="12">
        <f>MIN(INDEX(其他调用!$AJ$5:$AJ$364,MATCH($K222,其他调用!$AG$5:$AG$364,0),1)/INDEX(其他调用!AL$5:AL$364,MATCH($K222,其他调用!$AG$5:$AG$364,0),0),1)*INDEX(其他调用!AC$5:AC$404,MATCH($K222,其他调用!$X$5:$X$404,0),0)</f>
        <v>7436.6304285722044</v>
      </c>
      <c r="AG222" s="12">
        <f>求节点(节奏总纲!D$4:D$163,标准城池设计!AE$4:AE$163,$K222)*求节点(节奏总纲!D$4:D$163,攻城基础信息!$AF$5:$AF$164,$K222)</f>
        <v>947112.1134375293</v>
      </c>
      <c r="AH222" s="12">
        <f>INDEX(其他调用!$AA$5:$AA$404,MATCH($K222,其他调用!$X$5:$X$404,0))*MIN(INDEX(其他调用!AK$5:AK$364,MATCH($K222,其他调用!$AG$5:$AG$364,0),1)/INDEX(其他调用!$AJ$5:$AJ$364,MATCH($K222,其他调用!$AG$5:$AG$364,0),0),5)*求节点(节奏总纲!D$4:D$163,攻城基础信息!$AF$5:$AF$164,$K222)</f>
        <v>432624.8617792211</v>
      </c>
      <c r="AI222" s="12">
        <f>MIN(INDEX(其他调用!$AK$5:$AK$364,MATCH($K222,其他调用!$AG$5:$AG$364,0),1)/INDEX(其他调用!AH$5:AH$364,MATCH($K222,其他调用!$AG$5:$AG$364,0),0),1)*INDEX(其他调用!Y$5:Y$404,MATCH($K222,其他调用!$X$5:$X$404,0),0)</f>
        <v>40602.931891323562</v>
      </c>
      <c r="AJ222" s="12">
        <f>MIN(INDEX(其他调用!$AK$5:$AK$364,MATCH($K222,其他调用!$AG$5:$AG$364,0),1)/INDEX(其他调用!AI$5:AI$364,MATCH($K222,其他调用!$AG$5:$AG$364,0),0),1)*INDEX(其他调用!Z$5:Z$404,MATCH($K222,其他调用!$X$5:$X$404,0),0)</f>
        <v>41755.30342418194</v>
      </c>
      <c r="AK222" s="12">
        <f>MIN(INDEX(其他调用!$AK$5:$AK$364,MATCH($K222,其他调用!$AG$5:$AG$364,0),1)/INDEX(其他调用!AJ$5:AJ$364,MATCH($K222,其他调用!$AG$5:$AG$364,0),0),1)*INDEX(其他调用!AA$5:AA$404,MATCH($K222,其他调用!$X$5:$X$404,0),0)</f>
        <v>43277.865906906271</v>
      </c>
      <c r="AL222" s="12">
        <f>MIN(INDEX(其他调用!$AK$5:$AK$364,MATCH($K222,其他调用!$AG$5:$AG$364,0),1)/INDEX(其他调用!AK$5:AK$364,MATCH($K222,其他调用!$AG$5:$AG$364,0),0),1)*INDEX(其他调用!AB$5:AB$404,MATCH($K222,其他调用!$X$5:$X$404,0),0)</f>
        <v>45479.413676210534</v>
      </c>
      <c r="AM222" s="12">
        <f>MIN(INDEX(其他调用!$AK$5:$AK$364,MATCH($K222,其他调用!$AG$5:$AG$364,0),1)/INDEX(其他调用!AL$5:AL$364,MATCH($K222,其他调用!$AG$5:$AG$364,0),0),1)*INDEX(其他调用!AC$5:AC$404,MATCH($K222,其他调用!$X$5:$X$404,0),0)</f>
        <v>21721.07751099881</v>
      </c>
      <c r="AN222" s="12">
        <f>求节点(节奏总纲!D$4:D$163,标准城池设计!AF$4:AF$163,$K222)*求节点(节奏总纲!D$4:D$163,攻城基础信息!$AG$5:$AG$164,$K222)</f>
        <v>988464.02612152987</v>
      </c>
      <c r="AO222" s="12">
        <f>INDEX(其他调用!$AA$5:$AA$404,MATCH($K222,其他调用!$X$5:$X$404,0))*MIN(INDEX(其他调用!AL$5:AL$364,MATCH($K222,其他调用!$AG$5:$AG$364,0),1)/INDEX(其他调用!$AJ$5:$AJ$364,MATCH($K222,其他调用!$AG$5:$AG$364,0),0),5)*求节点(节奏总纲!D$4:D$163,攻城基础信息!$AG$5:$AG$164,$K222)</f>
        <v>740587.38790354284</v>
      </c>
      <c r="AP222" s="12">
        <f>MIN(INDEX(其他调用!$AL$5:$AL$364,MATCH($K222,其他调用!$AG$5:$AG$364,0),1)/INDEX(其他调用!AH$5:AH$364,MATCH($K222,其他调用!$AG$5:$AG$364,0),0),1)*INDEX(其他调用!Y$5:Y$404,MATCH($K222,其他调用!$X$5:$X$404,0),0)</f>
        <v>40602.931891323562</v>
      </c>
      <c r="AQ222" s="12">
        <f>MIN(INDEX(其他调用!$AL$5:$AL$364,MATCH($K222,其他调用!$AG$5:$AG$364,0),1)/INDEX(其他调用!AI$5:AI$364,MATCH($K222,其他调用!$AG$5:$AG$364,0),0),1)*INDEX(其他调用!Z$5:Z$404,MATCH($K222,其他调用!$X$5:$X$404,0),0)</f>
        <v>41755.30342418194</v>
      </c>
      <c r="AR222" s="12">
        <f>MIN(INDEX(其他调用!$AL$5:$AL$364,MATCH($K222,其他调用!$AG$5:$AG$364,0),1)/INDEX(其他调用!AJ$5:AJ$364,MATCH($K222,其他调用!$AG$5:$AG$364,0),0),1)*INDEX(其他调用!AA$5:AA$404,MATCH($K222,其他调用!$X$5:$X$404,0),0)</f>
        <v>43277.865906906271</v>
      </c>
      <c r="AS222" s="12">
        <f>MIN(INDEX(其他调用!$AL$5:$AL$364,MATCH($K222,其他调用!$AG$5:$AG$364,0),1)/INDEX(其他调用!AK$5:AK$364,MATCH($K222,其他调用!$AG$5:$AG$364,0),0),1)*INDEX(其他调用!AB$5:AB$404,MATCH($K222,其他调用!$X$5:$X$404,0),0)</f>
        <v>45479.413676210534</v>
      </c>
      <c r="AT222" s="12">
        <f>MIN(INDEX(其他调用!$AL$5:$AL$364,MATCH($K222,其他调用!$AG$5:$AG$364,0),1)/INDEX(其他调用!AL$5:AL$364,MATCH($K222,其他调用!$AG$5:$AG$364,0),0),1)*INDEX(其他调用!AC$5:AC$404,MATCH($K222,其他调用!$X$5:$X$404,0),0)</f>
        <v>49416.891485218286</v>
      </c>
      <c r="AV222" s="14">
        <f>IF(OR(AV$5="大R",AV$5="超R"),MAX(INDEX(其他调用!$H$5:$L$404,MATCH($K222,其他调用!$B$5:$B$404,0),MATCH(AV$5,其他调用!$H$4:$L$4,0))*120*0.85,2),INDEX(其他调用!$H$5:$L$404,MATCH($K222,其他调用!$B$5:$B$404,0),MATCH(AV$5,其他调用!$H$4:$L$4,0))*120*0.85)</f>
        <v>48.921801254999991</v>
      </c>
      <c r="AW222" s="14">
        <f>IF(OR(AW$5="大R",AW$5="超R"),MAX(INDEX(其他调用!$H$5:$L$404,MATCH($K222,其他调用!$B$5:$B$404,0),MATCH(AW$5,其他调用!$H$4:$L$4,0))*120*0.85,2),INDEX(其他调用!$H$5:$L$404,MATCH($K222,其他调用!$B$5:$B$404,0),MATCH(AW$5,其他调用!$H$4:$L$4,0))*120*0.85)</f>
        <v>48.237344010638395</v>
      </c>
      <c r="AX222" s="14">
        <f>IF(OR(AX$5="大R",AX$5="超R"),MAX(INDEX(其他调用!$H$5:$L$404,MATCH($K222,其他调用!$B$5:$B$404,0),MATCH(AX$5,其他调用!$H$4:$L$4,0))*120*0.85,2),INDEX(其他调用!$H$5:$L$404,MATCH($K222,其他调用!$B$5:$B$404,0),MATCH(AX$5,其他调用!$H$4:$L$4,0))*120*0.85)</f>
        <v>3.9376284143615998</v>
      </c>
      <c r="AY222" s="14">
        <f>IF(OR(AY$5="大R",AY$5="超R"),MAX(INDEX(其他调用!$H$5:$L$404,MATCH($K222,其他调用!$B$5:$B$404,0),MATCH(AY$5,其他调用!$H$4:$L$4,0))*120*0.85,2),INDEX(其他调用!$H$5:$L$404,MATCH($K222,其他调用!$B$5:$B$404,0),MATCH(AY$5,其他调用!$H$4:$L$4,0))*120*0.85)</f>
        <v>2</v>
      </c>
      <c r="AZ222" s="14">
        <f>IF(OR(AZ$5="大R",AZ$5="超R"),MAX(INDEX(其他调用!$H$5:$L$404,MATCH($K222,其他调用!$B$5:$B$404,0),MATCH(AZ$5,其他调用!$H$4:$L$4,0))*120*0.85,2),INDEX(其他调用!$H$5:$L$404,MATCH($K222,其他调用!$B$5:$B$404,0),MATCH(AZ$5,其他调用!$H$4:$L$4,0))*120*0.85)</f>
        <v>2</v>
      </c>
      <c r="BA222" s="14">
        <f>INDEX(其他调用!$H$5:$L$404,MATCH($K222,其他调用!$B$5:$B$404,0),MATCH(BA$5,其他调用!$H$4:$L$4,0))*INDEX(其他调用!$M$5:$M$404,MATCH($K222,其他调用!$B$5:$B$404,0))*0.6</f>
        <v>28.777530149999997</v>
      </c>
      <c r="BB222" s="14">
        <f>INDEX(其他调用!$H$5:$L$404,MATCH($K222,其他调用!$B$5:$B$404,0),MATCH(BB$5,其他调用!$H$4:$L$4,0))*INDEX(其他调用!$M$5:$M$404,MATCH($K222,其他调用!$B$5:$B$404,0))*0.6</f>
        <v>28.374908241551999</v>
      </c>
      <c r="BC222" s="14">
        <f>INDEX(其他调用!$H$5:$L$404,MATCH($K222,其他调用!$B$5:$B$404,0),MATCH(BC$5,其他调用!$H$4:$L$4,0))*INDEX(其他调用!$M$5:$M$404,MATCH($K222,其他调用!$B$5:$B$404,0))*0.6</f>
        <v>2.3162520084480001</v>
      </c>
      <c r="BD222" s="14">
        <f>INDEX(其他调用!$H$5:$L$404,MATCH($K222,其他调用!$B$5:$B$404,0),MATCH(BD$5,其他调用!$H$4:$L$4,0))*INDEX(其他调用!$M$5:$M$404,MATCH($K222,其他调用!$B$5:$B$404,0))*0.6</f>
        <v>0.4120776000000001</v>
      </c>
      <c r="BE222" s="14">
        <f>INDEX(其他调用!$H$5:$L$404,MATCH($K222,其他调用!$B$5:$B$404,0),MATCH(BE$5,其他调用!$H$4:$L$4,0))*INDEX(其他调用!$M$5:$M$404,MATCH($K222,其他调用!$B$5:$B$404,0))*0.6</f>
        <v>0.11923199999999998</v>
      </c>
      <c r="BF222" s="14">
        <f>IF(OR(BF$5="大R",BF$5="超R"),0,INDEX(其他调用!$H$5:$L$404,MATCH($K222,其他调用!$B$5:$B$404,0),MATCH(BF$5,其他调用!$H$4:$L$4,0))*50*0.4)</f>
        <v>9.5925100500000013</v>
      </c>
      <c r="BG222" s="14">
        <f>IF(OR(BG$5="大R",BG$5="超R"),0,INDEX(其他调用!$H$5:$L$404,MATCH($K222,其他调用!$B$5:$B$404,0),MATCH(BG$5,其他调用!$H$4:$L$4,0))*50*0.4)</f>
        <v>9.4583027471839998</v>
      </c>
      <c r="BH222" s="14">
        <f>IF(OR(BH$5="大R",BH$5="超R"),0,INDEX(其他调用!$H$5:$L$404,MATCH($K222,其他调用!$B$5:$B$404,0),MATCH(BH$5,其他调用!$H$4:$L$4,0))*50*0.4)</f>
        <v>0.77208400281600009</v>
      </c>
      <c r="BI222" s="14">
        <f>IF(OR(BI$5="大R",BI$5="超R"),0,INDEX(其他调用!$H$5:$L$404,MATCH($K222,其他调用!$B$5:$B$404,0),MATCH(BI$5,其他调用!$H$4:$L$4,0))*50*0.4)</f>
        <v>0</v>
      </c>
      <c r="BJ222" s="14">
        <f>IF(OR(BJ$5="大R",BJ$5="超R"),0,INDEX(其他调用!$H$5:$L$404,MATCH($K222,其他调用!$B$5:$B$404,0),MATCH(BJ$5,其他调用!$H$4:$L$4,0))*50*0.4)</f>
        <v>0</v>
      </c>
      <c r="BL222" s="14">
        <f t="shared" si="418"/>
        <v>217</v>
      </c>
      <c r="BM222" s="14">
        <f t="shared" si="325"/>
        <v>96</v>
      </c>
      <c r="BN222" s="14">
        <f>('疲劳值&amp;地图信息'!$S$10*'疲劳值&amp;地图信息'!$R$10+'疲劳值&amp;地图信息'!$S$11*'疲劳值&amp;地图信息'!$R$11+'疲劳值&amp;地图信息'!$S$12*'疲劳值&amp;地图信息'!$R$12+(BM222-'疲劳值&amp;地图信息'!$S$12-'疲劳值&amp;地图信息'!$S$11-'疲劳值&amp;地图信息'!$S$10)*'疲劳值&amp;地图信息'!$R$13)/BM222</f>
        <v>51.371477246638619</v>
      </c>
      <c r="BO222" s="14">
        <f>INDEX(其他调用!$M$5:$M$404,MATCH(BL222,其他调用!$B$5:$B$404,0))*0.6</f>
        <v>60</v>
      </c>
      <c r="BP222" s="14">
        <f>IF(BO222&gt;SUM('疲劳值&amp;地图信息'!$S$10:$S$12),('疲劳值&amp;地图信息'!$S$10*'疲劳值&amp;地图信息'!$R$10+'疲劳值&amp;地图信息'!$S$11*'疲劳值&amp;地图信息'!$R$11+'疲劳值&amp;地图信息'!$S$12*'疲劳值&amp;地图信息'!$R$12+(BO222-'疲劳值&amp;地图信息'!$S$12-'疲劳值&amp;地图信息'!$S$11-'疲劳值&amp;地图信息'!$S$10)*'疲劳值&amp;地图信息'!$R$13)/BO222,('疲劳值&amp;地图信息'!$S$10*'疲劳值&amp;地图信息'!$R$10+'疲劳值&amp;地图信息'!$S$11*'疲劳值&amp;地图信息'!$R$11+'疲劳值&amp;地图信息'!$S$12*'疲劳值&amp;地图信息'!$R$12+(BO222-'疲劳值&amp;地图信息'!$S$12-'疲劳值&amp;地图信息'!$S$11-'疲劳值&amp;地图信息'!$S$10)*'疲劳值&amp;地图信息'!$R$13)/BO222)</f>
        <v>44.158136341605953</v>
      </c>
      <c r="BQ222" s="14">
        <f t="shared" si="419"/>
        <v>20</v>
      </c>
      <c r="BR222" s="14">
        <f>('疲劳值&amp;地图信息'!$S$10*'疲劳值&amp;地图信息'!$R$10+($BQ222-'疲劳值&amp;地图信息'!$S$10)*'疲劳值&amp;地图信息'!$R$11)/$BQ222</f>
        <v>32.067203015074995</v>
      </c>
      <c r="CF222" s="14">
        <v>217</v>
      </c>
      <c r="CG222" s="51">
        <f t="shared" si="326"/>
        <v>13845</v>
      </c>
      <c r="CH222" s="51">
        <f t="shared" si="327"/>
        <v>1083</v>
      </c>
      <c r="CI222" s="51">
        <f>INT(SUMPRODUCT($N222:$R222,$BA222:$BE222)/SUM($BA222:$BE222)/10000*$BX$7*$BZ$34/'疲劳值&amp;地图信息'!$R$10*$BY$53)</f>
        <v>3292</v>
      </c>
      <c r="CJ222" s="50">
        <f t="shared" si="328"/>
        <v>0.75987925356750818</v>
      </c>
      <c r="CK222" s="50">
        <f t="shared" si="329"/>
        <v>5.9440175631174534E-2</v>
      </c>
      <c r="CL222" s="50">
        <f t="shared" si="330"/>
        <v>0.18068057080131725</v>
      </c>
      <c r="CM222" s="14">
        <f t="shared" si="331"/>
        <v>14779</v>
      </c>
      <c r="CN222" s="14">
        <f t="shared" si="332"/>
        <v>1735</v>
      </c>
      <c r="CO222" s="14">
        <f>INT(SUMPRODUCT($U222:$Y222,$BA222:$BE222)/SUM($BA222:$BE222)/10000*$BX$7*$BZ$34/'疲劳值&amp;地图信息'!$R$10*$BY$54)</f>
        <v>6126</v>
      </c>
      <c r="CP222" s="50">
        <f t="shared" si="333"/>
        <v>0.65278268551236751</v>
      </c>
      <c r="CQ222" s="50">
        <f t="shared" si="334"/>
        <v>7.6634275618374562E-2</v>
      </c>
      <c r="CR222" s="50">
        <f t="shared" si="335"/>
        <v>0.27058303886925794</v>
      </c>
      <c r="CS222" s="14">
        <f t="shared" si="336"/>
        <v>16090</v>
      </c>
      <c r="CT222" s="14">
        <f t="shared" si="337"/>
        <v>3018</v>
      </c>
      <c r="CU222" s="14">
        <f>INT(SUMPRODUCT($AB222:$AF222,$BA222:$BE222)/SUM($BA222:$BE222)/10000*$BX$7*$BZ$34/'疲劳值&amp;地图信息'!$R$10*$BY$55)</f>
        <v>8323</v>
      </c>
      <c r="CV222" s="50">
        <f t="shared" si="338"/>
        <v>0.58656264809886627</v>
      </c>
      <c r="CW222" s="50">
        <f t="shared" si="339"/>
        <v>0.11002150851226715</v>
      </c>
      <c r="CX222" s="50">
        <f t="shared" si="340"/>
        <v>0.30341584338886662</v>
      </c>
      <c r="CY222" s="14">
        <f t="shared" si="341"/>
        <v>19303</v>
      </c>
      <c r="CZ222" s="14">
        <f t="shared" si="342"/>
        <v>8817</v>
      </c>
      <c r="DA222" s="14">
        <f>INT(SUMPRODUCT($AI222:$AM222,$BA222:$BE222)/SUM($BA222:$BE222)/10000*$BX$7*$BZ$34/'疲劳值&amp;地图信息'!$R$10*$BY$56)</f>
        <v>12555</v>
      </c>
      <c r="DB222" s="50">
        <f t="shared" si="343"/>
        <v>0.47456668715427164</v>
      </c>
      <c r="DC222" s="50">
        <f t="shared" si="344"/>
        <v>0.21676705593116163</v>
      </c>
      <c r="DD222" s="50">
        <f t="shared" si="345"/>
        <v>0.30866625691456667</v>
      </c>
      <c r="DE222" s="14">
        <f t="shared" si="346"/>
        <v>20146</v>
      </c>
      <c r="DF222" s="14">
        <f t="shared" si="347"/>
        <v>15094</v>
      </c>
      <c r="DG222" s="14">
        <f>INT(SUMPRODUCT($AP222:$AT222,$BA222:$BE222)/SUM($BA222:$BE222)/10000*$BX$7*$BZ$34/'疲劳值&amp;地图信息'!$R$10*$BY$57)</f>
        <v>16763</v>
      </c>
      <c r="DH222" s="50">
        <f t="shared" si="348"/>
        <v>0.38740072688114147</v>
      </c>
      <c r="DI222" s="50">
        <f t="shared" si="349"/>
        <v>0.29025248543353266</v>
      </c>
      <c r="DJ222" s="50">
        <f t="shared" si="350"/>
        <v>0.32234678768532582</v>
      </c>
      <c r="DL222" s="14">
        <f t="shared" si="421"/>
        <v>18220</v>
      </c>
      <c r="DM222" s="14">
        <f t="shared" si="422"/>
        <v>22640</v>
      </c>
      <c r="DN222" s="14">
        <f t="shared" si="423"/>
        <v>27431</v>
      </c>
      <c r="DO222" s="14">
        <f t="shared" si="424"/>
        <v>40675</v>
      </c>
      <c r="DP222" s="14">
        <f t="shared" si="425"/>
        <v>52003</v>
      </c>
      <c r="DQ222" s="14">
        <f t="shared" si="426"/>
        <v>1253233</v>
      </c>
      <c r="DT222" s="14">
        <f t="shared" si="420"/>
        <v>235575</v>
      </c>
      <c r="DU222" s="50">
        <f t="shared" si="322"/>
        <v>0.15823061133470534</v>
      </c>
      <c r="DW222" s="14">
        <f t="shared" si="351"/>
        <v>1488808</v>
      </c>
      <c r="EB222" s="14">
        <v>217</v>
      </c>
      <c r="EC222" s="51">
        <f t="shared" si="352"/>
        <v>23075</v>
      </c>
      <c r="ED222" s="51">
        <f t="shared" si="353"/>
        <v>1805</v>
      </c>
      <c r="EE222" s="51">
        <f>INT(SUMPRODUCT($N222:$R222,$BF222:$BJ222)/SUM($BF222:$BJ222)/10000*$BX$7*$BZ$46/'疲劳值&amp;地图信息'!$R$10*$BY$53)</f>
        <v>442</v>
      </c>
      <c r="EF222" s="50">
        <f t="shared" si="354"/>
        <v>0.91126293341758158</v>
      </c>
      <c r="EG222" s="50">
        <f t="shared" si="355"/>
        <v>7.1281889266250689E-2</v>
      </c>
      <c r="EH222" s="50">
        <f t="shared" si="356"/>
        <v>1.7455177316167761E-2</v>
      </c>
      <c r="EI222" s="51">
        <f t="shared" si="357"/>
        <v>24632</v>
      </c>
      <c r="EJ222" s="51">
        <f t="shared" si="358"/>
        <v>2892</v>
      </c>
      <c r="EK222" s="14">
        <f>INT(SUMPRODUCT($U222:$Y222,$BF222:$BJ222)/SUM($BF222:$BJ222)/10000*$BX$7*$BZ$46/'疲劳值&amp;地图信息'!$R$10*$BY$54)</f>
        <v>822</v>
      </c>
      <c r="EL222" s="50">
        <f t="shared" si="359"/>
        <v>0.86897622239469419</v>
      </c>
      <c r="EM222" s="50">
        <f t="shared" si="360"/>
        <v>0.102024977069075</v>
      </c>
      <c r="EN222" s="50">
        <f t="shared" si="361"/>
        <v>2.899880053623086E-2</v>
      </c>
      <c r="EO222" s="51">
        <f t="shared" si="362"/>
        <v>26816</v>
      </c>
      <c r="EP222" s="51">
        <f t="shared" si="363"/>
        <v>5031</v>
      </c>
      <c r="EQ222" s="14">
        <f>INT(SUMPRODUCT($AB222:$AF222,$BF222:$BJ222)/SUM($BF222:$BJ222)/10000*$BX$7*$BZ$46/'疲劳值&amp;地图信息'!$R$10*$BY$55)</f>
        <v>1116</v>
      </c>
      <c r="ER222" s="50">
        <f t="shared" si="364"/>
        <v>0.81351818705821677</v>
      </c>
      <c r="ES222" s="50">
        <f t="shared" si="365"/>
        <v>0.15262567120711101</v>
      </c>
      <c r="ET222" s="50">
        <f t="shared" si="366"/>
        <v>3.3856141734672211E-2</v>
      </c>
      <c r="EU222" s="51">
        <f t="shared" si="367"/>
        <v>32172</v>
      </c>
      <c r="EV222" s="51">
        <f t="shared" si="368"/>
        <v>14695</v>
      </c>
      <c r="EW222" s="14">
        <f>INT(SUMPRODUCT($AI222:$AM222,$BF222:$BJ222)/SUM($BF222:$BJ222)/10000*$BX$7*$BZ$46/'疲劳值&amp;地图信息'!$R$10*$BY$56)</f>
        <v>1674</v>
      </c>
      <c r="EX222" s="50">
        <f t="shared" si="369"/>
        <v>0.66277991800745761</v>
      </c>
      <c r="EY222" s="50">
        <f t="shared" si="370"/>
        <v>0.30273377145093838</v>
      </c>
      <c r="EZ222" s="50">
        <f t="shared" si="371"/>
        <v>3.4486310541604004E-2</v>
      </c>
      <c r="FA222" s="51">
        <f t="shared" si="372"/>
        <v>33576</v>
      </c>
      <c r="FB222" s="51">
        <f t="shared" si="373"/>
        <v>25156</v>
      </c>
      <c r="FC222" s="14">
        <f>INT(SUMPRODUCT($AP222:$AT222,$BF222:$BJ222)/SUM($BF222:$BJ222)/10000*$BX$7*$BZ$46/'疲劳值&amp;地图信息'!$R$10*$BY$57)</f>
        <v>2232</v>
      </c>
      <c r="FD222" s="50">
        <f t="shared" si="374"/>
        <v>0.55075126304048294</v>
      </c>
      <c r="FE222" s="50">
        <f t="shared" si="375"/>
        <v>0.41263696607834133</v>
      </c>
      <c r="FF222" s="50">
        <f t="shared" si="376"/>
        <v>3.6611770881175773E-2</v>
      </c>
      <c r="FH222" s="14">
        <f t="shared" si="377"/>
        <v>25322</v>
      </c>
      <c r="FI222" s="14">
        <f t="shared" si="378"/>
        <v>28346</v>
      </c>
      <c r="FJ222" s="14">
        <f t="shared" si="379"/>
        <v>32963</v>
      </c>
      <c r="FK222" s="14">
        <f t="shared" si="380"/>
        <v>48541</v>
      </c>
      <c r="FL222" s="14">
        <f t="shared" si="381"/>
        <v>60964</v>
      </c>
      <c r="FM222" s="14">
        <f t="shared" si="382"/>
        <v>2954939</v>
      </c>
      <c r="FP222" s="14">
        <f t="shared" si="383"/>
        <v>334150</v>
      </c>
      <c r="FQ222" s="50">
        <f t="shared" si="323"/>
        <v>0.1015934807480126</v>
      </c>
      <c r="FS222" s="14">
        <f t="shared" si="384"/>
        <v>3289089</v>
      </c>
      <c r="FX222" s="14">
        <v>217</v>
      </c>
      <c r="FY222" s="51">
        <f t="shared" si="385"/>
        <v>32305</v>
      </c>
      <c r="FZ222" s="51">
        <f t="shared" si="386"/>
        <v>1805</v>
      </c>
      <c r="GA222" s="51">
        <f>INT(SUMPRODUCT($N222:$R222,$BF222:$BJ222)/SUM($BF222:$BJ222)/10000*$BX$7*$BZ$46/'疲劳值&amp;地图信息'!$R$10*$BY$53)</f>
        <v>442</v>
      </c>
      <c r="GB222" s="50">
        <f t="shared" si="387"/>
        <v>0.93496758508914102</v>
      </c>
      <c r="GC222" s="50">
        <f t="shared" si="388"/>
        <v>5.2240101875434125E-2</v>
      </c>
      <c r="GD222" s="50">
        <f t="shared" si="389"/>
        <v>1.2792313035424868E-2</v>
      </c>
      <c r="GE222" s="51">
        <f t="shared" si="390"/>
        <v>34486</v>
      </c>
      <c r="GF222" s="51">
        <f t="shared" si="391"/>
        <v>2892</v>
      </c>
      <c r="GG222" s="14">
        <f>INT(SUMPRODUCT($U222:$Y222,$BF222:$BJ222)/SUM($BF222:$BJ222)/10000*$BX$7*$BZ$46/'疲劳值&amp;地图信息'!$R$10*$BY$54)</f>
        <v>822</v>
      </c>
      <c r="GH222" s="50">
        <f t="shared" si="392"/>
        <v>0.90277486910994764</v>
      </c>
      <c r="GI222" s="50">
        <f t="shared" si="393"/>
        <v>7.5706806282722514E-2</v>
      </c>
      <c r="GJ222" s="50">
        <f t="shared" si="394"/>
        <v>2.1518324607329845E-2</v>
      </c>
      <c r="GK222" s="51">
        <f t="shared" si="395"/>
        <v>37543</v>
      </c>
      <c r="GL222" s="51">
        <f t="shared" si="396"/>
        <v>5031</v>
      </c>
      <c r="GM222" s="14">
        <f>INT(SUMPRODUCT($AB222:$AF222,$BF222:$BJ222)/SUM($BF222:$BJ222)/10000*$BX$7*$BZ$46/'疲劳值&amp;地图信息'!$R$10*$BY$55)</f>
        <v>1116</v>
      </c>
      <c r="GN222" s="50">
        <f t="shared" si="397"/>
        <v>0.85930418860151059</v>
      </c>
      <c r="GO222" s="50">
        <f t="shared" si="398"/>
        <v>0.11515220874341954</v>
      </c>
      <c r="GP222" s="50">
        <f t="shared" si="399"/>
        <v>2.5543602655069809E-2</v>
      </c>
      <c r="GQ222" s="51">
        <f t="shared" si="400"/>
        <v>45041</v>
      </c>
      <c r="GR222" s="51">
        <f t="shared" si="401"/>
        <v>14695</v>
      </c>
      <c r="GS222" s="14">
        <f>INT(SUMPRODUCT($AI222:$AM222,$BF222:$BJ222)/SUM($BF222:$BJ222)/10000*$BX$7*$BZ$46/'疲劳值&amp;地图信息'!$R$10*$BY$56)</f>
        <v>1674</v>
      </c>
      <c r="GT222" s="50">
        <f t="shared" si="402"/>
        <v>0.73344732128317869</v>
      </c>
      <c r="GU222" s="50">
        <f t="shared" si="403"/>
        <v>0.23929327471095913</v>
      </c>
      <c r="GV222" s="50">
        <f t="shared" si="404"/>
        <v>2.7259404005862239E-2</v>
      </c>
      <c r="GW222" s="51">
        <f t="shared" si="405"/>
        <v>47007</v>
      </c>
      <c r="GX222" s="51">
        <f t="shared" si="406"/>
        <v>25156</v>
      </c>
      <c r="GY222" s="14">
        <f>INT(SUMPRODUCT($AP222:$AT222,$BF222:$BJ222)/SUM($BF222:$BJ222)/10000*$BX$7*$BZ$46/'疲劳值&amp;地图信息'!$R$10*$BY$57)</f>
        <v>2232</v>
      </c>
      <c r="GZ222" s="50">
        <f t="shared" si="407"/>
        <v>0.63185697963572818</v>
      </c>
      <c r="HA222" s="50">
        <f t="shared" si="408"/>
        <v>0.33814100409973791</v>
      </c>
      <c r="HB222" s="50">
        <f t="shared" si="409"/>
        <v>3.0002016264533908E-2</v>
      </c>
      <c r="HD222" s="14">
        <f t="shared" si="410"/>
        <v>34552</v>
      </c>
      <c r="HE222" s="14">
        <f t="shared" si="411"/>
        <v>38200</v>
      </c>
      <c r="HF222" s="14">
        <f t="shared" si="412"/>
        <v>43690</v>
      </c>
      <c r="HG222" s="14">
        <f t="shared" si="413"/>
        <v>61410</v>
      </c>
      <c r="HH222" s="14">
        <f t="shared" si="414"/>
        <v>74395</v>
      </c>
      <c r="HI222" s="14">
        <f t="shared" si="415"/>
        <v>3976657</v>
      </c>
      <c r="HL222" s="14">
        <f t="shared" si="416"/>
        <v>430050</v>
      </c>
      <c r="HM222" s="50">
        <f t="shared" si="324"/>
        <v>9.7589878337724742E-2</v>
      </c>
      <c r="HO222" s="14">
        <f t="shared" si="417"/>
        <v>4406707</v>
      </c>
    </row>
    <row r="223" spans="11:223" x14ac:dyDescent="0.2">
      <c r="K223" s="14">
        <v>218</v>
      </c>
      <c r="L223" s="12">
        <f>求节点(节奏总纲!D$4:D$163,标准城池设计!AB$4:AB$163,$K223)*求节点(节奏总纲!D$4:D$163,攻城基础信息!$AC$5:$AC$164,$K223)</f>
        <v>680679.8597353946</v>
      </c>
      <c r="M223" s="12">
        <f>INDEX(其他调用!$AA$5:$AA$404,MATCH(K223,其他调用!$X$5:$X$404,0))*MIN(INDEX(其他调用!$AH$5:$AH$364,MATCH('征服点（新）'!K223,其他调用!$AG$5:$AG$364,0),1)/INDEX(其他调用!$AJ$5:$AJ$364,MATCH(K223,其他调用!$AG$5:$AG$364,0),0),5)*求节点(节奏总纲!D$4:D$163,攻城基础信息!$AC$5:$AC$164,$K223)</f>
        <v>53219.370470568545</v>
      </c>
      <c r="N223" s="12">
        <f>MIN(INDEX(其他调用!$AH$5:$AH$364,MATCH($K223,其他调用!$AG$5:$AG$364,0),1)/INDEX(其他调用!AH$5:AH$364,MATCH($K223,其他调用!$AG$5:$AG$364,0),0),1)*INDEX(其他调用!Y$5:Y$404,MATCH($K223,其他调用!$X$5:$X$404,0),0)</f>
        <v>40629.339947464985</v>
      </c>
      <c r="O223" s="12">
        <f>MIN(INDEX(其他调用!$AH$5:$AH$364,MATCH($K223,其他调用!$AG$5:$AG$364,0),1)/INDEX(其他调用!AI$5:AI$364,MATCH($K223,其他调用!$AG$5:$AG$364,0),0),1)*INDEX(其他调用!Z$5:Z$404,MATCH($K223,其他调用!$X$5:$X$404,0),0)</f>
        <v>26076.507821999767</v>
      </c>
      <c r="P223" s="12">
        <f>MIN(INDEX(其他调用!$AH$5:$AH$364,MATCH($K223,其他调用!$AG$5:$AG$364,0),1)/INDEX(其他调用!AJ$5:AJ$364,MATCH($K223,其他调用!$AG$5:$AG$364,0),0),1)*INDEX(其他调用!AA$5:AA$404,MATCH($K223,其他调用!$X$5:$X$404,0),0)</f>
        <v>15539.818308485572</v>
      </c>
      <c r="Q223" s="12">
        <f>MIN(INDEX(其他调用!$AH$5:$AH$364,MATCH($K223,其他调用!$AG$5:$AG$364,0),1)/INDEX(其他调用!AK$5:AK$364,MATCH($K223,其他调用!$AG$5:$AG$364,0),0),1)*INDEX(其他调用!AB$5:AB$404,MATCH($K223,其他调用!$X$5:$X$404,0),0)</f>
        <v>5585.5397253250849</v>
      </c>
      <c r="R223" s="12">
        <f>MIN(INDEX(其他调用!$AH$5:$AH$364,MATCH($K223,其他调用!$AG$5:$AG$364,0),1)/INDEX(其他调用!AL$5:AL$364,MATCH($K223,其他调用!$AG$5:$AG$364,0),0),1)*INDEX(其他调用!AC$5:AC$404,MATCH($K223,其他调用!$X$5:$X$404,0),0)</f>
        <v>2679.4822677181578</v>
      </c>
      <c r="S223" s="12">
        <f>求节点(节奏总纲!D$4:D$163,标准城池设计!AC$4:AC$163,$K223)*求节点(节奏总纲!D$4:D$163,攻城基础信息!$AD$5:$AD$164,$K223)</f>
        <v>726812.50371086353</v>
      </c>
      <c r="T223" s="12">
        <f>INDEX(其他调用!$AA$5:$AA$404,MATCH($K223,其他调用!$X$5:$X$404,0))*MIN(INDEX(其他调用!AI$5:AI$364,MATCH($K223,其他调用!$AG$5:$AG$364,0),1)/INDEX(其他调用!$AJ$5:$AJ$364,MATCH($K223,其他调用!$AG$5:$AG$364,0),0),5)*求节点(节奏总纲!D$4:D$163,攻城基础信息!$AD$5:$AD$164,$K223)</f>
        <v>85274.016172348827</v>
      </c>
      <c r="U223" s="12">
        <f>MIN(INDEX(其他调用!$AI$5:$AI$364,MATCH($K223,其他调用!$AG$5:$AG$364,0),1)/INDEX(其他调用!AH$5:AH$364,MATCH($K223,其他调用!$AG$5:$AG$364,0),0),1)*INDEX(其他调用!Y$5:Y$404,MATCH($K223,其他调用!$X$5:$X$404,0),0)</f>
        <v>40629.339947464985</v>
      </c>
      <c r="V223" s="12">
        <f>MIN(INDEX(其他调用!$AI$5:$AI$364,MATCH($K223,其他调用!$AG$5:$AG$364,0),1)/INDEX(其他调用!AI$5:AI$364,MATCH($K223,其他调用!$AG$5:$AG$364,0),0),1)*INDEX(其他调用!Z$5:Z$404,MATCH($K223,其他调用!$X$5:$X$404,0),0)</f>
        <v>41782.691716755915</v>
      </c>
      <c r="W223" s="12">
        <f>MIN(INDEX(其他调用!$AI$5:$AI$364,MATCH($K223,其他调用!$AG$5:$AG$364,0),1)/INDEX(其他调用!AJ$5:AJ$364,MATCH($K223,其他调用!$AG$5:$AG$364,0),0),1)*INDEX(其他调用!AA$5:AA$404,MATCH($K223,其他调用!$X$5:$X$404,0),0)</f>
        <v>24899.631582188547</v>
      </c>
      <c r="X223" s="12">
        <f>MIN(INDEX(其他调用!$AI$5:$AI$364,MATCH($K223,其他调用!$AG$5:$AG$364,0),1)/INDEX(其他调用!AK$5:AK$364,MATCH($K223,其他调用!$AG$5:$AG$364,0),0),1)*INDEX(其他调用!AB$5:AB$404,MATCH($K223,其他调用!$X$5:$X$404,0),0)</f>
        <v>8949.775253957072</v>
      </c>
      <c r="Y223" s="12">
        <f>MIN(INDEX(其他调用!$AI$5:$AI$364,MATCH($K223,其他调用!$AG$5:$AG$364,0),1)/INDEX(其他调用!AL$5:AL$364,MATCH($K223,其他调用!$AG$5:$AG$364,0),0),1)*INDEX(其他调用!AC$5:AC$404,MATCH($K223,其他调用!$X$5:$X$404,0),0)</f>
        <v>4293.3655962217763</v>
      </c>
      <c r="Z223" s="12">
        <f>求节点(节奏总纲!D$4:D$163,标准城池设计!AD$4:AD$163,$K223)*求节点(节奏总纲!D$4:D$163,攻城基础信息!$AE$5:$AE$164,$K223)</f>
        <v>791610.44259769295</v>
      </c>
      <c r="AA223" s="12">
        <f>INDEX(其他调用!$AA$5:$AA$404,MATCH($K223,其他调用!$X$5:$X$404,0))*MIN(INDEX(其他调用!AJ$5:AJ$364,MATCH($K223,其他调用!$AG$5:$AG$364,0),1)/INDEX(其他调用!$AJ$5:$AJ$364,MATCH($K223,其他调用!$AG$5:$AG$364,0),0),5)*求节点(节奏总纲!D$4:D$163,攻城基础信息!$AE$5:$AE$164,$K223)</f>
        <v>148307.18987638361</v>
      </c>
      <c r="AB223" s="12">
        <f>MIN(INDEX(其他调用!$AJ$5:$AJ$364,MATCH($K223,其他调用!$AG$5:$AG$364,0),1)/INDEX(其他调用!AH$5:AH$364,MATCH($K223,其他调用!$AG$5:$AG$364,0),0),1)*INDEX(其他调用!Y$5:Y$404,MATCH($K223,其他调用!$X$5:$X$404,0),0)</f>
        <v>40629.339947464985</v>
      </c>
      <c r="AC223" s="12">
        <f>MIN(INDEX(其他调用!$AJ$5:$AJ$364,MATCH($K223,其他调用!$AG$5:$AG$364,0),1)/INDEX(其他调用!AI$5:AI$364,MATCH($K223,其他调用!$AG$5:$AG$364,0),0),1)*INDEX(其他调用!Z$5:Z$404,MATCH($K223,其他调用!$X$5:$X$404,0),0)</f>
        <v>41782.691716755915</v>
      </c>
      <c r="AD223" s="12">
        <f>MIN(INDEX(其他调用!$AJ$5:$AJ$364,MATCH($K223,其他调用!$AG$5:$AG$364,0),1)/INDEX(其他调用!AJ$5:AJ$364,MATCH($K223,其他调用!$AG$5:$AG$364,0),0),1)*INDEX(其他调用!AA$5:AA$404,MATCH($K223,其他调用!$X$5:$X$404,0),0)</f>
        <v>43305.036571140998</v>
      </c>
      <c r="AE223" s="12">
        <f>MIN(INDEX(其他调用!$AJ$5:$AJ$364,MATCH($K223,其他调用!$AG$5:$AG$364,0),1)/INDEX(其他调用!AK$5:AK$364,MATCH($K223,其他调用!$AG$5:$AG$364,0),0),1)*INDEX(其他调用!AB$5:AB$404,MATCH($K223,其他调用!$X$5:$X$404,0),0)</f>
        <v>15565.304386003223</v>
      </c>
      <c r="AF223" s="12">
        <f>MIN(INDEX(其他调用!$AJ$5:$AJ$364,MATCH($K223,其他调用!$AG$5:$AG$364,0),1)/INDEX(其他调用!AL$5:AL$364,MATCH($K223,其他调用!$AG$5:$AG$364,0),0),1)*INDEX(其他调用!AC$5:AC$404,MATCH($K223,其他调用!$X$5:$X$404,0),0)</f>
        <v>7466.9520126819816</v>
      </c>
      <c r="AG223" s="12">
        <f>求节点(节奏总纲!D$4:D$163,标准城池设计!AE$4:AE$163,$K223)*求节点(节奏总纲!D$4:D$163,攻城基础信息!$AF$5:$AF$164,$K223)</f>
        <v>949909.81938643404</v>
      </c>
      <c r="AH223" s="12">
        <f>INDEX(其他调用!$AA$5:$AA$404,MATCH($K223,其他调用!$X$5:$X$404,0))*MIN(INDEX(其他调用!AK$5:AK$364,MATCH($K223,其他调用!$AG$5:$AG$364,0),1)/INDEX(其他调用!$AJ$5:$AJ$364,MATCH($K223,其他调用!$AG$5:$AG$364,0),0),5)*求节点(节奏总纲!D$4:D$163,攻城基础信息!$AF$5:$AF$164,$K223)</f>
        <v>433593.00642375142</v>
      </c>
      <c r="AI223" s="12">
        <f>MIN(INDEX(其他调用!$AK$5:$AK$364,MATCH($K223,其他调用!$AG$5:$AG$364,0),1)/INDEX(其他调用!AH$5:AH$364,MATCH($K223,其他调用!$AG$5:$AG$364,0),0),1)*INDEX(其他调用!Y$5:Y$404,MATCH($K223,其他调用!$X$5:$X$404,0),0)</f>
        <v>40629.339947464985</v>
      </c>
      <c r="AJ223" s="12">
        <f>MIN(INDEX(其他调用!$AK$5:$AK$364,MATCH($K223,其他调用!$AG$5:$AG$364,0),1)/INDEX(其他调用!AI$5:AI$364,MATCH($K223,其他调用!$AG$5:$AG$364,0),0),1)*INDEX(其他调用!Z$5:Z$404,MATCH($K223,其他调用!$X$5:$X$404,0),0)</f>
        <v>41782.691716755915</v>
      </c>
      <c r="AK223" s="12">
        <f>MIN(INDEX(其他调用!$AK$5:$AK$364,MATCH($K223,其他调用!$AG$5:$AG$364,0),1)/INDEX(其他调用!AJ$5:AJ$364,MATCH($K223,其他调用!$AG$5:$AG$364,0),0),1)*INDEX(其他调用!AA$5:AA$404,MATCH($K223,其他调用!$X$5:$X$404,0),0)</f>
        <v>43305.036571140998</v>
      </c>
      <c r="AL223" s="12">
        <f>MIN(INDEX(其他调用!$AK$5:$AK$364,MATCH($K223,其他调用!$AG$5:$AG$364,0),1)/INDEX(其他调用!AK$5:AK$364,MATCH($K223,其他调用!$AG$5:$AG$364,0),0),1)*INDEX(其他调用!AB$5:AB$404,MATCH($K223,其他调用!$X$5:$X$404,0),0)</f>
        <v>45506.94494483609</v>
      </c>
      <c r="AM223" s="12">
        <f>MIN(INDEX(其他调用!$AK$5:$AK$364,MATCH($K223,其他调用!$AG$5:$AG$364,0),1)/INDEX(其他调用!AL$5:AL$364,MATCH($K223,其他调用!$AG$5:$AG$364,0),0),1)*INDEX(其他调用!AC$5:AC$404,MATCH($K223,其他调用!$X$5:$X$404,0),0)</f>
        <v>21830.486941996998</v>
      </c>
      <c r="AN223" s="12">
        <f>求节点(节奏总纲!D$4:D$163,标准城池设计!AF$4:AF$163,$K223)*求节点(节奏总纲!D$4:D$163,攻城基础信息!$AG$5:$AG$164,$K223)</f>
        <v>991623.69357276557</v>
      </c>
      <c r="AO223" s="12">
        <f>INDEX(其他调用!$AA$5:$AA$404,MATCH($K223,其他调用!$X$5:$X$404,0))*MIN(INDEX(其他调用!AL$5:AL$364,MATCH($K223,其他调用!$AG$5:$AG$364,0),1)/INDEX(其他调用!$AJ$5:$AJ$364,MATCH($K223,其他调用!$AG$5:$AG$364,0),0),5)*求节点(节奏总纲!D$4:D$163,攻城基础信息!$AG$5:$AG$164,$K223)</f>
        <v>741535.94938191795</v>
      </c>
      <c r="AP223" s="12">
        <f>MIN(INDEX(其他调用!$AL$5:$AL$364,MATCH($K223,其他调用!$AG$5:$AG$364,0),1)/INDEX(其他调用!AH$5:AH$364,MATCH($K223,其他调用!$AG$5:$AG$364,0),0),1)*INDEX(其他调用!Y$5:Y$404,MATCH($K223,其他调用!$X$5:$X$404,0),0)</f>
        <v>40629.339947464985</v>
      </c>
      <c r="AQ223" s="12">
        <f>MIN(INDEX(其他调用!$AL$5:$AL$364,MATCH($K223,其他调用!$AG$5:$AG$364,0),1)/INDEX(其他调用!AI$5:AI$364,MATCH($K223,其他调用!$AG$5:$AG$364,0),0),1)*INDEX(其他调用!Z$5:Z$404,MATCH($K223,其他调用!$X$5:$X$404,0),0)</f>
        <v>41782.691716755915</v>
      </c>
      <c r="AR223" s="12">
        <f>MIN(INDEX(其他调用!$AL$5:$AL$364,MATCH($K223,其他调用!$AG$5:$AG$364,0),1)/INDEX(其他调用!AJ$5:AJ$364,MATCH($K223,其他调用!$AG$5:$AG$364,0),0),1)*INDEX(其他调用!AA$5:AA$404,MATCH($K223,其他调用!$X$5:$X$404,0),0)</f>
        <v>43305.036571140998</v>
      </c>
      <c r="AS223" s="12">
        <f>MIN(INDEX(其他调用!$AL$5:$AL$364,MATCH($K223,其他调用!$AG$5:$AG$364,0),1)/INDEX(其他调用!AK$5:AK$364,MATCH($K223,其他调用!$AG$5:$AG$364,0),0),1)*INDEX(其他调用!AB$5:AB$404,MATCH($K223,其他调用!$X$5:$X$404,0),0)</f>
        <v>45506.94494483609</v>
      </c>
      <c r="AT223" s="12">
        <f>MIN(INDEX(其他调用!$AL$5:$AL$364,MATCH($K223,其他调用!$AG$5:$AG$364,0),1)/INDEX(其他调用!AL$5:AL$364,MATCH($K223,其他调用!$AG$5:$AG$364,0),0),1)*INDEX(其他调用!AC$5:AC$404,MATCH($K223,其他调用!$X$5:$X$404,0),0)</f>
        <v>49442.937049957756</v>
      </c>
      <c r="AV223" s="14">
        <f>IF(OR(AV$5="大R",AV$5="超R"),MAX(INDEX(其他调用!$H$5:$L$404,MATCH($K223,其他调用!$B$5:$B$404,0),MATCH(AV$5,其他调用!$H$4:$L$4,0))*120*0.85,2),INDEX(其他调用!$H$5:$L$404,MATCH($K223,其他调用!$B$5:$B$404,0),MATCH(AV$5,其他调用!$H$4:$L$4,0))*120*0.85)</f>
        <v>48.921801254999991</v>
      </c>
      <c r="AW223" s="14">
        <f>IF(OR(AW$5="大R",AW$5="超R"),MAX(INDEX(其他调用!$H$5:$L$404,MATCH($K223,其他调用!$B$5:$B$404,0),MATCH(AW$5,其他调用!$H$4:$L$4,0))*120*0.85,2),INDEX(其他调用!$H$5:$L$404,MATCH($K223,其他调用!$B$5:$B$404,0),MATCH(AW$5,其他调用!$H$4:$L$4,0))*120*0.85)</f>
        <v>48.237344010638395</v>
      </c>
      <c r="AX223" s="14">
        <f>IF(OR(AX$5="大R",AX$5="超R"),MAX(INDEX(其他调用!$H$5:$L$404,MATCH($K223,其他调用!$B$5:$B$404,0),MATCH(AX$5,其他调用!$H$4:$L$4,0))*120*0.85,2),INDEX(其他调用!$H$5:$L$404,MATCH($K223,其他调用!$B$5:$B$404,0),MATCH(AX$5,其他调用!$H$4:$L$4,0))*120*0.85)</f>
        <v>3.9376284143615998</v>
      </c>
      <c r="AY223" s="14">
        <f>IF(OR(AY$5="大R",AY$5="超R"),MAX(INDEX(其他调用!$H$5:$L$404,MATCH($K223,其他调用!$B$5:$B$404,0),MATCH(AY$5,其他调用!$H$4:$L$4,0))*120*0.85,2),INDEX(其他调用!$H$5:$L$404,MATCH($K223,其他调用!$B$5:$B$404,0),MATCH(AY$5,其他调用!$H$4:$L$4,0))*120*0.85)</f>
        <v>2</v>
      </c>
      <c r="AZ223" s="14">
        <f>IF(OR(AZ$5="大R",AZ$5="超R"),MAX(INDEX(其他调用!$H$5:$L$404,MATCH($K223,其他调用!$B$5:$B$404,0),MATCH(AZ$5,其他调用!$H$4:$L$4,0))*120*0.85,2),INDEX(其他调用!$H$5:$L$404,MATCH($K223,其他调用!$B$5:$B$404,0),MATCH(AZ$5,其他调用!$H$4:$L$4,0))*120*0.85)</f>
        <v>2</v>
      </c>
      <c r="BA223" s="14">
        <f>INDEX(其他调用!$H$5:$L$404,MATCH($K223,其他调用!$B$5:$B$404,0),MATCH(BA$5,其他调用!$H$4:$L$4,0))*INDEX(其他调用!$M$5:$M$404,MATCH($K223,其他调用!$B$5:$B$404,0))*0.6</f>
        <v>28.777530149999997</v>
      </c>
      <c r="BB223" s="14">
        <f>INDEX(其他调用!$H$5:$L$404,MATCH($K223,其他调用!$B$5:$B$404,0),MATCH(BB$5,其他调用!$H$4:$L$4,0))*INDEX(其他调用!$M$5:$M$404,MATCH($K223,其他调用!$B$5:$B$404,0))*0.6</f>
        <v>28.374908241551999</v>
      </c>
      <c r="BC223" s="14">
        <f>INDEX(其他调用!$H$5:$L$404,MATCH($K223,其他调用!$B$5:$B$404,0),MATCH(BC$5,其他调用!$H$4:$L$4,0))*INDEX(其他调用!$M$5:$M$404,MATCH($K223,其他调用!$B$5:$B$404,0))*0.6</f>
        <v>2.3162520084480001</v>
      </c>
      <c r="BD223" s="14">
        <f>INDEX(其他调用!$H$5:$L$404,MATCH($K223,其他调用!$B$5:$B$404,0),MATCH(BD$5,其他调用!$H$4:$L$4,0))*INDEX(其他调用!$M$5:$M$404,MATCH($K223,其他调用!$B$5:$B$404,0))*0.6</f>
        <v>0.4120776000000001</v>
      </c>
      <c r="BE223" s="14">
        <f>INDEX(其他调用!$H$5:$L$404,MATCH($K223,其他调用!$B$5:$B$404,0),MATCH(BE$5,其他调用!$H$4:$L$4,0))*INDEX(其他调用!$M$5:$M$404,MATCH($K223,其他调用!$B$5:$B$404,0))*0.6</f>
        <v>0.11923199999999998</v>
      </c>
      <c r="BF223" s="14">
        <f>IF(OR(BF$5="大R",BF$5="超R"),0,INDEX(其他调用!$H$5:$L$404,MATCH($K223,其他调用!$B$5:$B$404,0),MATCH(BF$5,其他调用!$H$4:$L$4,0))*50*0.4)</f>
        <v>9.5925100500000013</v>
      </c>
      <c r="BG223" s="14">
        <f>IF(OR(BG$5="大R",BG$5="超R"),0,INDEX(其他调用!$H$5:$L$404,MATCH($K223,其他调用!$B$5:$B$404,0),MATCH(BG$5,其他调用!$H$4:$L$4,0))*50*0.4)</f>
        <v>9.4583027471839998</v>
      </c>
      <c r="BH223" s="14">
        <f>IF(OR(BH$5="大R",BH$5="超R"),0,INDEX(其他调用!$H$5:$L$404,MATCH($K223,其他调用!$B$5:$B$404,0),MATCH(BH$5,其他调用!$H$4:$L$4,0))*50*0.4)</f>
        <v>0.77208400281600009</v>
      </c>
      <c r="BI223" s="14">
        <f>IF(OR(BI$5="大R",BI$5="超R"),0,INDEX(其他调用!$H$5:$L$404,MATCH($K223,其他调用!$B$5:$B$404,0),MATCH(BI$5,其他调用!$H$4:$L$4,0))*50*0.4)</f>
        <v>0</v>
      </c>
      <c r="BJ223" s="14">
        <f>IF(OR(BJ$5="大R",BJ$5="超R"),0,INDEX(其他调用!$H$5:$L$404,MATCH($K223,其他调用!$B$5:$B$404,0),MATCH(BJ$5,其他调用!$H$4:$L$4,0))*50*0.4)</f>
        <v>0</v>
      </c>
      <c r="BL223" s="14">
        <f t="shared" si="418"/>
        <v>218</v>
      </c>
      <c r="BM223" s="14">
        <f t="shared" si="325"/>
        <v>96</v>
      </c>
      <c r="BN223" s="14">
        <f>('疲劳值&amp;地图信息'!$S$10*'疲劳值&amp;地图信息'!$R$10+'疲劳值&amp;地图信息'!$S$11*'疲劳值&amp;地图信息'!$R$11+'疲劳值&amp;地图信息'!$S$12*'疲劳值&amp;地图信息'!$R$12+(BM223-'疲劳值&amp;地图信息'!$S$12-'疲劳值&amp;地图信息'!$S$11-'疲劳值&amp;地图信息'!$S$10)*'疲劳值&amp;地图信息'!$R$13)/BM223</f>
        <v>51.371477246638619</v>
      </c>
      <c r="BO223" s="14">
        <f>INDEX(其他调用!$M$5:$M$404,MATCH(BL223,其他调用!$B$5:$B$404,0))*0.6</f>
        <v>60</v>
      </c>
      <c r="BP223" s="14">
        <f>IF(BO223&gt;SUM('疲劳值&amp;地图信息'!$S$10:$S$12),('疲劳值&amp;地图信息'!$S$10*'疲劳值&amp;地图信息'!$R$10+'疲劳值&amp;地图信息'!$S$11*'疲劳值&amp;地图信息'!$R$11+'疲劳值&amp;地图信息'!$S$12*'疲劳值&amp;地图信息'!$R$12+(BO223-'疲劳值&amp;地图信息'!$S$12-'疲劳值&amp;地图信息'!$S$11-'疲劳值&amp;地图信息'!$S$10)*'疲劳值&amp;地图信息'!$R$13)/BO223,('疲劳值&amp;地图信息'!$S$10*'疲劳值&amp;地图信息'!$R$10+'疲劳值&amp;地图信息'!$S$11*'疲劳值&amp;地图信息'!$R$11+'疲劳值&amp;地图信息'!$S$12*'疲劳值&amp;地图信息'!$R$12+(BO223-'疲劳值&amp;地图信息'!$S$12-'疲劳值&amp;地图信息'!$S$11-'疲劳值&amp;地图信息'!$S$10)*'疲劳值&amp;地图信息'!$R$13)/BO223)</f>
        <v>44.158136341605953</v>
      </c>
      <c r="BQ223" s="14">
        <f t="shared" si="419"/>
        <v>20</v>
      </c>
      <c r="BR223" s="14">
        <f>('疲劳值&amp;地图信息'!$S$10*'疲劳值&amp;地图信息'!$R$10+($BQ223-'疲劳值&amp;地图信息'!$S$10)*'疲劳值&amp;地图信息'!$R$11)/$BQ223</f>
        <v>32.067203015074995</v>
      </c>
      <c r="CF223" s="14">
        <v>218</v>
      </c>
      <c r="CG223" s="51">
        <f t="shared" si="326"/>
        <v>13873</v>
      </c>
      <c r="CH223" s="51">
        <f t="shared" si="327"/>
        <v>1084</v>
      </c>
      <c r="CI223" s="51">
        <f>INT(SUMPRODUCT($N223:$R223,$BA223:$BE223)/SUM($BA223:$BE223)/10000*$BX$7*$BZ$34/'疲劳值&amp;地图信息'!$R$10*$BY$53)</f>
        <v>3293</v>
      </c>
      <c r="CJ223" s="50">
        <f t="shared" si="328"/>
        <v>0.76016438356164384</v>
      </c>
      <c r="CK223" s="50">
        <f t="shared" si="329"/>
        <v>5.9397260273972602E-2</v>
      </c>
      <c r="CL223" s="50">
        <f t="shared" si="330"/>
        <v>0.18043835616438356</v>
      </c>
      <c r="CM223" s="14">
        <f t="shared" si="331"/>
        <v>14813</v>
      </c>
      <c r="CN223" s="14">
        <f t="shared" si="332"/>
        <v>1737</v>
      </c>
      <c r="CO223" s="14">
        <f>INT(SUMPRODUCT($U223:$Y223,$BA223:$BE223)/SUM($BA223:$BE223)/10000*$BX$7*$BZ$34/'疲劳值&amp;地图信息'!$R$10*$BY$54)</f>
        <v>6130</v>
      </c>
      <c r="CP223" s="50">
        <f t="shared" si="333"/>
        <v>0.65313051146384482</v>
      </c>
      <c r="CQ223" s="50">
        <f t="shared" si="334"/>
        <v>7.6587301587301593E-2</v>
      </c>
      <c r="CR223" s="50">
        <f t="shared" si="335"/>
        <v>0.27028218694885364</v>
      </c>
      <c r="CS223" s="14">
        <f t="shared" si="336"/>
        <v>16134</v>
      </c>
      <c r="CT223" s="14">
        <f t="shared" si="337"/>
        <v>3022</v>
      </c>
      <c r="CU223" s="14">
        <f>INT(SUMPRODUCT($AB223:$AF223,$BA223:$BE223)/SUM($BA223:$BE223)/10000*$BX$7*$BZ$34/'疲劳值&amp;地图信息'!$R$10*$BY$55)</f>
        <v>8328</v>
      </c>
      <c r="CV223" s="50">
        <f t="shared" si="338"/>
        <v>0.58703245524668901</v>
      </c>
      <c r="CW223" s="50">
        <f t="shared" si="339"/>
        <v>0.10995488284092562</v>
      </c>
      <c r="CX223" s="50">
        <f t="shared" si="340"/>
        <v>0.30301266191238541</v>
      </c>
      <c r="CY223" s="14">
        <f t="shared" si="341"/>
        <v>19360</v>
      </c>
      <c r="CZ223" s="14">
        <f t="shared" si="342"/>
        <v>8837</v>
      </c>
      <c r="DA223" s="14">
        <f>INT(SUMPRODUCT($AI223:$AM223,$BA223:$BE223)/SUM($BA223:$BE223)/10000*$BX$7*$BZ$34/'疲劳值&amp;地图信息'!$R$10*$BY$56)</f>
        <v>12563</v>
      </c>
      <c r="DB223" s="50">
        <f t="shared" si="343"/>
        <v>0.47497546614327774</v>
      </c>
      <c r="DC223" s="50">
        <f t="shared" si="344"/>
        <v>0.21680569185475956</v>
      </c>
      <c r="DD223" s="50">
        <f t="shared" si="345"/>
        <v>0.3082188420019627</v>
      </c>
      <c r="DE223" s="14">
        <f t="shared" si="346"/>
        <v>20210</v>
      </c>
      <c r="DF223" s="14">
        <f t="shared" si="347"/>
        <v>15113</v>
      </c>
      <c r="DG223" s="14">
        <f>INT(SUMPRODUCT($AP223:$AT223,$BA223:$BE223)/SUM($BA223:$BE223)/10000*$BX$7*$BZ$34/'疲劳值&amp;地图信息'!$R$10*$BY$57)</f>
        <v>16774</v>
      </c>
      <c r="DH223" s="50">
        <f t="shared" si="348"/>
        <v>0.38793020711365339</v>
      </c>
      <c r="DI223" s="50">
        <f t="shared" si="349"/>
        <v>0.29009347947098679</v>
      </c>
      <c r="DJ223" s="50">
        <f t="shared" si="350"/>
        <v>0.32197631341535982</v>
      </c>
      <c r="DL223" s="14">
        <f t="shared" si="421"/>
        <v>18250</v>
      </c>
      <c r="DM223" s="14">
        <f t="shared" si="422"/>
        <v>22680</v>
      </c>
      <c r="DN223" s="14">
        <f t="shared" si="423"/>
        <v>27484</v>
      </c>
      <c r="DO223" s="14">
        <f t="shared" si="424"/>
        <v>40760</v>
      </c>
      <c r="DP223" s="14">
        <f t="shared" si="425"/>
        <v>52097</v>
      </c>
      <c r="DQ223" s="14">
        <f t="shared" si="426"/>
        <v>1255400</v>
      </c>
      <c r="DT223" s="14">
        <f t="shared" si="420"/>
        <v>235575</v>
      </c>
      <c r="DU223" s="50">
        <f t="shared" si="322"/>
        <v>0.15800063716695451</v>
      </c>
      <c r="DW223" s="14">
        <f t="shared" si="351"/>
        <v>1490975</v>
      </c>
      <c r="EB223" s="14">
        <v>218</v>
      </c>
      <c r="EC223" s="51">
        <f t="shared" si="352"/>
        <v>23121</v>
      </c>
      <c r="ED223" s="51">
        <f t="shared" si="353"/>
        <v>1807</v>
      </c>
      <c r="EE223" s="51">
        <f>INT(SUMPRODUCT($N223:$R223,$BF223:$BJ223)/SUM($BF223:$BJ223)/10000*$BX$7*$BZ$46/'疲劳值&amp;地图信息'!$R$10*$BY$53)</f>
        <v>442</v>
      </c>
      <c r="EF223" s="50">
        <f t="shared" si="354"/>
        <v>0.91135199054000793</v>
      </c>
      <c r="EG223" s="50">
        <f t="shared" si="355"/>
        <v>7.1225857311785573E-2</v>
      </c>
      <c r="EH223" s="50">
        <f t="shared" si="356"/>
        <v>1.7422152148206544E-2</v>
      </c>
      <c r="EI223" s="51">
        <f t="shared" si="357"/>
        <v>24688</v>
      </c>
      <c r="EJ223" s="51">
        <f t="shared" si="358"/>
        <v>2896</v>
      </c>
      <c r="EK223" s="14">
        <f>INT(SUMPRODUCT($U223:$Y223,$BF223:$BJ223)/SUM($BF223:$BJ223)/10000*$BX$7*$BZ$46/'疲劳值&amp;地图信息'!$R$10*$BY$54)</f>
        <v>823</v>
      </c>
      <c r="EL223" s="50">
        <f t="shared" si="359"/>
        <v>0.86908156440314011</v>
      </c>
      <c r="EM223" s="50">
        <f t="shared" si="360"/>
        <v>0.10194670327736122</v>
      </c>
      <c r="EN223" s="50">
        <f t="shared" si="361"/>
        <v>2.8971732319498716E-2</v>
      </c>
      <c r="EO223" s="51">
        <f t="shared" si="362"/>
        <v>26890</v>
      </c>
      <c r="EP223" s="51">
        <f t="shared" si="363"/>
        <v>5037</v>
      </c>
      <c r="EQ223" s="14">
        <f>INT(SUMPRODUCT($AB223:$AF223,$BF223:$BJ223)/SUM($BF223:$BJ223)/10000*$BX$7*$BZ$46/'疲劳值&amp;地图信息'!$R$10*$BY$55)</f>
        <v>1117</v>
      </c>
      <c r="ER223" s="50">
        <f t="shared" si="364"/>
        <v>0.81376346689262802</v>
      </c>
      <c r="ES223" s="50">
        <f t="shared" si="365"/>
        <v>0.1524331194770609</v>
      </c>
      <c r="ET223" s="50">
        <f t="shared" si="366"/>
        <v>3.3803413630311099E-2</v>
      </c>
      <c r="EU223" s="51">
        <f t="shared" si="367"/>
        <v>32267</v>
      </c>
      <c r="EV223" s="51">
        <f t="shared" si="368"/>
        <v>14728</v>
      </c>
      <c r="EW223" s="14">
        <f>INT(SUMPRODUCT($AI223:$AM223,$BF223:$BJ223)/SUM($BF223:$BJ223)/10000*$BX$7*$BZ$46/'疲劳值&amp;地图信息'!$R$10*$BY$56)</f>
        <v>1675</v>
      </c>
      <c r="EX223" s="50">
        <f t="shared" si="369"/>
        <v>0.66297513868913083</v>
      </c>
      <c r="EY223" s="50">
        <f t="shared" si="370"/>
        <v>0.302609410314362</v>
      </c>
      <c r="EZ223" s="50">
        <f t="shared" si="371"/>
        <v>3.4415450996507085E-2</v>
      </c>
      <c r="FA223" s="51">
        <f t="shared" si="372"/>
        <v>33684</v>
      </c>
      <c r="FB223" s="51">
        <f t="shared" si="373"/>
        <v>25189</v>
      </c>
      <c r="FC223" s="14">
        <f>INT(SUMPRODUCT($AP223:$AT223,$BF223:$BJ223)/SUM($BF223:$BJ223)/10000*$BX$7*$BZ$46/'疲劳值&amp;地图信息'!$R$10*$BY$57)</f>
        <v>2234</v>
      </c>
      <c r="FD223" s="50">
        <f t="shared" si="374"/>
        <v>0.55122981000540039</v>
      </c>
      <c r="FE223" s="50">
        <f t="shared" si="375"/>
        <v>0.41221136694650368</v>
      </c>
      <c r="FF223" s="50">
        <f t="shared" si="376"/>
        <v>3.6558823048095962E-2</v>
      </c>
      <c r="FH223" s="14">
        <f t="shared" si="377"/>
        <v>25370</v>
      </c>
      <c r="FI223" s="14">
        <f t="shared" si="378"/>
        <v>28407</v>
      </c>
      <c r="FJ223" s="14">
        <f t="shared" si="379"/>
        <v>33044</v>
      </c>
      <c r="FK223" s="14">
        <f t="shared" si="380"/>
        <v>48670</v>
      </c>
      <c r="FL223" s="14">
        <f t="shared" si="381"/>
        <v>61107</v>
      </c>
      <c r="FM223" s="14">
        <f t="shared" si="382"/>
        <v>2961093</v>
      </c>
      <c r="FP223" s="14">
        <f t="shared" si="383"/>
        <v>334150</v>
      </c>
      <c r="FQ223" s="50">
        <f t="shared" si="323"/>
        <v>0.10140375080077554</v>
      </c>
      <c r="FS223" s="14">
        <f t="shared" si="384"/>
        <v>3295243</v>
      </c>
      <c r="FX223" s="14">
        <v>218</v>
      </c>
      <c r="FY223" s="51">
        <f t="shared" si="385"/>
        <v>32370</v>
      </c>
      <c r="FZ223" s="51">
        <f t="shared" si="386"/>
        <v>1807</v>
      </c>
      <c r="GA223" s="51">
        <f>INT(SUMPRODUCT($N223:$R223,$BF223:$BJ223)/SUM($BF223:$BJ223)/10000*$BX$7*$BZ$46/'疲劳值&amp;地图信息'!$R$10*$BY$53)</f>
        <v>442</v>
      </c>
      <c r="GB223" s="50">
        <f t="shared" si="387"/>
        <v>0.93503567405182131</v>
      </c>
      <c r="GC223" s="50">
        <f t="shared" si="388"/>
        <v>5.2196770559519337E-2</v>
      </c>
      <c r="GD223" s="50">
        <f t="shared" si="389"/>
        <v>1.2767555388659407E-2</v>
      </c>
      <c r="GE223" s="51">
        <f t="shared" si="390"/>
        <v>34564</v>
      </c>
      <c r="GF223" s="51">
        <f t="shared" si="391"/>
        <v>2896</v>
      </c>
      <c r="GG223" s="14">
        <f>INT(SUMPRODUCT($U223:$Y223,$BF223:$BJ223)/SUM($BF223:$BJ223)/10000*$BX$7*$BZ$46/'疲劳值&amp;地图信息'!$R$10*$BY$54)</f>
        <v>823</v>
      </c>
      <c r="GH223" s="50">
        <f t="shared" si="392"/>
        <v>0.90285505315675363</v>
      </c>
      <c r="GI223" s="50">
        <f t="shared" si="393"/>
        <v>7.5647154089282451E-2</v>
      </c>
      <c r="GJ223" s="50">
        <f t="shared" si="394"/>
        <v>2.14977927539639E-2</v>
      </c>
      <c r="GK223" s="51">
        <f t="shared" si="395"/>
        <v>37646</v>
      </c>
      <c r="GL223" s="51">
        <f t="shared" si="396"/>
        <v>5037</v>
      </c>
      <c r="GM223" s="14">
        <f>INT(SUMPRODUCT($AB223:$AF223,$BF223:$BJ223)/SUM($BF223:$BJ223)/10000*$BX$7*$BZ$46/'疲劳值&amp;地图信息'!$R$10*$BY$55)</f>
        <v>1117</v>
      </c>
      <c r="GN223" s="50">
        <f t="shared" si="397"/>
        <v>0.85949771689497712</v>
      </c>
      <c r="GO223" s="50">
        <f t="shared" si="398"/>
        <v>0.115</v>
      </c>
      <c r="GP223" s="50">
        <f t="shared" si="399"/>
        <v>2.5502283105022831E-2</v>
      </c>
      <c r="GQ223" s="51">
        <f t="shared" si="400"/>
        <v>45174</v>
      </c>
      <c r="GR223" s="51">
        <f t="shared" si="401"/>
        <v>14728</v>
      </c>
      <c r="GS223" s="14">
        <f>INT(SUMPRODUCT($AI223:$AM223,$BF223:$BJ223)/SUM($BF223:$BJ223)/10000*$BX$7*$BZ$46/'疲劳值&amp;地图信息'!$R$10*$BY$56)</f>
        <v>1675</v>
      </c>
      <c r="GT223" s="50">
        <f t="shared" si="402"/>
        <v>0.73361807168260873</v>
      </c>
      <c r="GU223" s="50">
        <f t="shared" si="403"/>
        <v>0.23918021339136367</v>
      </c>
      <c r="GV223" s="50">
        <f t="shared" si="404"/>
        <v>2.7201714926027576E-2</v>
      </c>
      <c r="GW223" s="51">
        <f t="shared" si="405"/>
        <v>47158</v>
      </c>
      <c r="GX223" s="51">
        <f t="shared" si="406"/>
        <v>25189</v>
      </c>
      <c r="GY223" s="14">
        <f>INT(SUMPRODUCT($AP223:$AT223,$BF223:$BJ223)/SUM($BF223:$BJ223)/10000*$BX$7*$BZ$46/'疲劳值&amp;地图信息'!$R$10*$BY$57)</f>
        <v>2234</v>
      </c>
      <c r="GZ223" s="50">
        <f t="shared" si="407"/>
        <v>0.63230581515399364</v>
      </c>
      <c r="HA223" s="50">
        <f t="shared" si="408"/>
        <v>0.33774017511162363</v>
      </c>
      <c r="HB223" s="50">
        <f t="shared" si="409"/>
        <v>2.9954009734382753E-2</v>
      </c>
      <c r="HD223" s="14">
        <f t="shared" si="410"/>
        <v>34619</v>
      </c>
      <c r="HE223" s="14">
        <f t="shared" si="411"/>
        <v>38283</v>
      </c>
      <c r="HF223" s="14">
        <f t="shared" si="412"/>
        <v>43800</v>
      </c>
      <c r="HG223" s="14">
        <f t="shared" si="413"/>
        <v>61577</v>
      </c>
      <c r="HH223" s="14">
        <f t="shared" si="414"/>
        <v>74581</v>
      </c>
      <c r="HI223" s="14">
        <f t="shared" si="415"/>
        <v>3985078</v>
      </c>
      <c r="HL223" s="14">
        <f t="shared" si="416"/>
        <v>430050</v>
      </c>
      <c r="HM223" s="50">
        <f t="shared" si="324"/>
        <v>9.7403744579998591E-2</v>
      </c>
      <c r="HO223" s="14">
        <f t="shared" si="417"/>
        <v>4415128</v>
      </c>
    </row>
    <row r="224" spans="11:223" x14ac:dyDescent="0.2">
      <c r="K224" s="14">
        <v>219</v>
      </c>
      <c r="L224" s="12">
        <f>求节点(节奏总纲!D$4:D$163,标准城池设计!AB$4:AB$163,$K224)*求节点(节奏总纲!D$4:D$163,攻城基础信息!$AC$5:$AC$164,$K224)</f>
        <v>682040.98249702028</v>
      </c>
      <c r="M224" s="12">
        <f>INDEX(其他调用!$AA$5:$AA$404,MATCH(K224,其他调用!$X$5:$X$404,0))*MIN(INDEX(其他调用!$AH$5:$AH$364,MATCH('征服点（新）'!K224,其他调用!$AG$5:$AG$364,0),1)/INDEX(其他调用!$AJ$5:$AJ$364,MATCH(K224,其他调用!$AG$5:$AG$364,0),0),5)*求节点(节奏总纲!D$4:D$163,攻城基础信息!$AC$5:$AC$164,$K224)</f>
        <v>53274.973666721213</v>
      </c>
      <c r="N224" s="12">
        <f>MIN(INDEX(其他调用!$AH$5:$AH$364,MATCH($K224,其他调用!$AG$5:$AG$364,0),1)/INDEX(其他调用!AH$5:AH$364,MATCH($K224,其他调用!$AG$5:$AG$364,0),0),1)*INDEX(其他调用!Y$5:Y$404,MATCH($K224,其他调用!$X$5:$X$404,0),0)</f>
        <v>40655.748003606408</v>
      </c>
      <c r="O224" s="12">
        <f>MIN(INDEX(其他调用!$AH$5:$AH$364,MATCH($K224,其他调用!$AG$5:$AG$364,0),1)/INDEX(其他调用!AI$5:AI$364,MATCH($K224,其他调用!$AG$5:$AG$364,0),0),1)*INDEX(其他调用!Z$5:Z$404,MATCH($K224,其他调用!$X$5:$X$404,0),0)</f>
        <v>26079.802838052616</v>
      </c>
      <c r="P224" s="12">
        <f>MIN(INDEX(其他调用!$AH$5:$AH$364,MATCH($K224,其他调用!$AG$5:$AG$364,0),1)/INDEX(其他调用!AJ$5:AJ$364,MATCH($K224,其他调用!$AG$5:$AG$364,0),0),1)*INDEX(其他调用!AA$5:AA$404,MATCH($K224,其他调用!$X$5:$X$404,0),0)</f>
        <v>15545.91563055559</v>
      </c>
      <c r="Q224" s="12">
        <f>MIN(INDEX(其他调用!$AH$5:$AH$364,MATCH($K224,其他调用!$AG$5:$AG$364,0),1)/INDEX(其他调用!AK$5:AK$364,MATCH($K224,其他调用!$AG$5:$AG$364,0),0),1)*INDEX(其他调用!AB$5:AB$404,MATCH($K224,其他调用!$X$5:$X$404,0),0)</f>
        <v>5582.3458027701417</v>
      </c>
      <c r="R224" s="12">
        <f>MIN(INDEX(其他调用!$AH$5:$AH$364,MATCH($K224,其他调用!$AG$5:$AG$364,0),1)/INDEX(其他调用!AL$5:AL$364,MATCH($K224,其他调用!$AG$5:$AG$364,0),0),1)*INDEX(其他调用!AC$5:AC$404,MATCH($K224,其他调用!$X$5:$X$404,0),0)</f>
        <v>2689.6823129819472</v>
      </c>
      <c r="S224" s="12">
        <f>求节点(节奏总纲!D$4:D$163,标准城池设计!AC$4:AC$163,$K224)*求节点(节奏总纲!D$4:D$163,攻城基础信息!$AD$5:$AD$164,$K224)</f>
        <v>728462.65357167134</v>
      </c>
      <c r="T224" s="12">
        <f>INDEX(其他调用!$AA$5:$AA$404,MATCH($K224,其他调用!$X$5:$X$404,0))*MIN(INDEX(其他调用!AI$5:AI$364,MATCH($K224,其他调用!$AG$5:$AG$364,0),1)/INDEX(其他调用!$AJ$5:$AJ$364,MATCH($K224,其他调用!$AG$5:$AG$364,0),0),5)*求节点(节奏总纲!D$4:D$163,攻城基础信息!$AD$5:$AD$164,$K224)</f>
        <v>85408.27265191394</v>
      </c>
      <c r="U224" s="12">
        <f>MIN(INDEX(其他调用!$AI$5:$AI$364,MATCH($K224,其他调用!$AG$5:$AG$364,0),1)/INDEX(其他调用!AH$5:AH$364,MATCH($K224,其他调用!$AG$5:$AG$364,0),0),1)*INDEX(其他调用!Y$5:Y$404,MATCH($K224,其他调用!$X$5:$X$404,0),0)</f>
        <v>40655.748003606408</v>
      </c>
      <c r="V224" s="12">
        <f>MIN(INDEX(其他调用!$AI$5:$AI$364,MATCH($K224,其他调用!$AG$5:$AG$364,0),1)/INDEX(其他调用!AI$5:AI$364,MATCH($K224,其他调用!$AG$5:$AG$364,0),0),1)*INDEX(其他调用!Z$5:Z$404,MATCH($K224,其他调用!$X$5:$X$404,0),0)</f>
        <v>41810.080009329889</v>
      </c>
      <c r="W224" s="12">
        <f>MIN(INDEX(其他调用!$AI$5:$AI$364,MATCH($K224,其他调用!$AG$5:$AG$364,0),1)/INDEX(其他调用!AJ$5:AJ$364,MATCH($K224,其他调用!$AG$5:$AG$364,0),0),1)*INDEX(其他调用!AA$5:AA$404,MATCH($K224,其他调用!$X$5:$X$404,0),0)</f>
        <v>24922.58014249448</v>
      </c>
      <c r="X224" s="12">
        <f>MIN(INDEX(其他调用!$AI$5:$AI$364,MATCH($K224,其他调用!$AG$5:$AG$364,0),1)/INDEX(其他调用!AK$5:AK$364,MATCH($K224,其他调用!$AG$5:$AG$364,0),0),1)*INDEX(其他调用!AB$5:AB$404,MATCH($K224,其他调用!$X$5:$X$404,0),0)</f>
        <v>8949.3899207327904</v>
      </c>
      <c r="Y224" s="12">
        <f>MIN(INDEX(其他调用!$AI$5:$AI$364,MATCH($K224,其他调用!$AG$5:$AG$364,0),1)/INDEX(其他调用!AL$5:AL$364,MATCH($K224,其他调用!$AG$5:$AG$364,0),0),1)*INDEX(其他调用!AC$5:AC$404,MATCH($K224,其他调用!$X$5:$X$404,0),0)</f>
        <v>4311.9893736839231</v>
      </c>
      <c r="Z224" s="12">
        <f>求节点(节奏总纲!D$4:D$163,标准城池设计!AD$4:AD$163,$K224)*求节点(节奏总纲!D$4:D$163,攻城基础信息!$AE$5:$AE$164,$K224)</f>
        <v>793770.35663899977</v>
      </c>
      <c r="AA224" s="12">
        <f>INDEX(其他调用!$AA$5:$AA$404,MATCH($K224,其他调用!$X$5:$X$404,0))*MIN(INDEX(其他调用!AJ$5:AJ$364,MATCH($K224,其他调用!$AG$5:$AG$364,0),1)/INDEX(其他调用!$AJ$5:$AJ$364,MATCH($K224,其他调用!$AG$5:$AG$364,0),0),5)*求节点(节奏总纲!D$4:D$163,攻城基础信息!$AE$5:$AE$164,$K224)</f>
        <v>148497.02354283549</v>
      </c>
      <c r="AB224" s="12">
        <f>MIN(INDEX(其他调用!$AJ$5:$AJ$364,MATCH($K224,其他调用!$AG$5:$AG$364,0),1)/INDEX(其他调用!AH$5:AH$364,MATCH($K224,其他调用!$AG$5:$AG$364,0),0),1)*INDEX(其他调用!Y$5:Y$404,MATCH($K224,其他调用!$X$5:$X$404,0),0)</f>
        <v>40655.748003606408</v>
      </c>
      <c r="AC224" s="12">
        <f>MIN(INDEX(其他调用!$AJ$5:$AJ$364,MATCH($K224,其他调用!$AG$5:$AG$364,0),1)/INDEX(其他调用!AI$5:AI$364,MATCH($K224,其他调用!$AG$5:$AG$364,0),0),1)*INDEX(其他调用!Z$5:Z$404,MATCH($K224,其他调用!$X$5:$X$404,0),0)</f>
        <v>41810.080009329889</v>
      </c>
      <c r="AD224" s="12">
        <f>MIN(INDEX(其他调用!$AJ$5:$AJ$364,MATCH($K224,其他调用!$AG$5:$AG$364,0),1)/INDEX(其他调用!AJ$5:AJ$364,MATCH($K224,其他调用!$AG$5:$AG$364,0),0),1)*INDEX(其他调用!AA$5:AA$404,MATCH($K224,其他调用!$X$5:$X$404,0),0)</f>
        <v>43332.207235375718</v>
      </c>
      <c r="AE224" s="12">
        <f>MIN(INDEX(其他调用!$AJ$5:$AJ$364,MATCH($K224,其他调用!$AG$5:$AG$364,0),1)/INDEX(其他调用!AK$5:AK$364,MATCH($K224,其他调用!$AG$5:$AG$364,0),0),1)*INDEX(其他调用!AB$5:AB$404,MATCH($K224,其他调用!$X$5:$X$404,0),0)</f>
        <v>15560.059049189667</v>
      </c>
      <c r="AF224" s="12">
        <f>MIN(INDEX(其他调用!$AJ$5:$AJ$364,MATCH($K224,其他调用!$AG$5:$AG$364,0),1)/INDEX(其他调用!AL$5:AL$364,MATCH($K224,其他调用!$AG$5:$AG$364,0),0),1)*INDEX(其他调用!AC$5:AC$404,MATCH($K224,其他调用!$X$5:$X$404,0),0)</f>
        <v>7497.1377790304587</v>
      </c>
      <c r="AG224" s="12">
        <f>求节点(节奏总纲!D$4:D$163,标准城池设计!AE$4:AE$163,$K224)*求节点(节奏总纲!D$4:D$163,攻城基础信息!$AF$5:$AF$164,$K224)</f>
        <v>952710.36830364564</v>
      </c>
      <c r="AH224" s="12">
        <f>INDEX(其他调用!$AA$5:$AA$404,MATCH($K224,其他调用!$X$5:$X$404,0))*MIN(INDEX(其他调用!AK$5:AK$364,MATCH($K224,其他调用!$AG$5:$AG$364,0),1)/INDEX(其他调用!$AJ$5:$AJ$364,MATCH($K224,其他调用!$AG$5:$AG$364,0),0),5)*求节点(节奏总纲!D$4:D$163,攻城基础信息!$AF$5:$AF$164,$K224)</f>
        <v>434557.10321569978</v>
      </c>
      <c r="AI224" s="12">
        <f>MIN(INDEX(其他调用!$AK$5:$AK$364,MATCH($K224,其他调用!$AG$5:$AG$364,0),1)/INDEX(其他调用!AH$5:AH$364,MATCH($K224,其他调用!$AG$5:$AG$364,0),0),1)*INDEX(其他调用!Y$5:Y$404,MATCH($K224,其他调用!$X$5:$X$404,0),0)</f>
        <v>40655.748003606408</v>
      </c>
      <c r="AJ224" s="12">
        <f>MIN(INDEX(其他调用!$AK$5:$AK$364,MATCH($K224,其他调用!$AG$5:$AG$364,0),1)/INDEX(其他调用!AI$5:AI$364,MATCH($K224,其他调用!$AG$5:$AG$364,0),0),1)*INDEX(其他调用!Z$5:Z$404,MATCH($K224,其他调用!$X$5:$X$404,0),0)</f>
        <v>41810.080009329889</v>
      </c>
      <c r="AK224" s="12">
        <f>MIN(INDEX(其他调用!$AK$5:$AK$364,MATCH($K224,其他调用!$AG$5:$AG$364,0),1)/INDEX(其他调用!AJ$5:AJ$364,MATCH($K224,其他调用!$AG$5:$AG$364,0),0),1)*INDEX(其他调用!AA$5:AA$404,MATCH($K224,其他调用!$X$5:$X$404,0),0)</f>
        <v>43332.207235375718</v>
      </c>
      <c r="AL224" s="12">
        <f>MIN(INDEX(其他调用!$AK$5:$AK$364,MATCH($K224,其他调用!$AG$5:$AG$364,0),1)/INDEX(其他调用!AK$5:AK$364,MATCH($K224,其他调用!$AG$5:$AG$364,0),0),1)*INDEX(其他调用!AB$5:AB$404,MATCH($K224,其他调用!$X$5:$X$404,0),0)</f>
        <v>45534.476213461654</v>
      </c>
      <c r="AM224" s="12">
        <f>MIN(INDEX(其他调用!$AK$5:$AK$364,MATCH($K224,其他调用!$AG$5:$AG$364,0),1)/INDEX(其他调用!AL$5:AL$364,MATCH($K224,其他调用!$AG$5:$AG$364,0),0),1)*INDEX(其他调用!AC$5:AC$404,MATCH($K224,其他调用!$X$5:$X$404,0),0)</f>
        <v>21939.392439907569</v>
      </c>
      <c r="AN224" s="12">
        <f>求节点(节奏总纲!D$4:D$163,标准城池设计!AF$4:AF$163,$K224)*求节点(节奏总纲!D$4:D$163,攻城基础信息!$AG$5:$AG$164,$K224)</f>
        <v>994786.64091347682</v>
      </c>
      <c r="AO224" s="12">
        <f>INDEX(其他调用!$AA$5:$AA$404,MATCH($K224,其他调用!$X$5:$X$404,0))*MIN(INDEX(其他调用!AL$5:AL$364,MATCH($K224,其他调用!$AG$5:$AG$364,0),1)/INDEX(其他调用!$AJ$5:$AJ$364,MATCH($K224,其他调用!$AG$5:$AG$364,0),0),5)*求节点(节奏总纲!D$4:D$163,攻城基础信息!$AG$5:$AG$164,$K224)</f>
        <v>742485.11771417747</v>
      </c>
      <c r="AP224" s="12">
        <f>MIN(INDEX(其他调用!$AL$5:$AL$364,MATCH($K224,其他调用!$AG$5:$AG$364,0),1)/INDEX(其他调用!AH$5:AH$364,MATCH($K224,其他调用!$AG$5:$AG$364,0),0),1)*INDEX(其他调用!Y$5:Y$404,MATCH($K224,其他调用!$X$5:$X$404,0),0)</f>
        <v>40655.748003606408</v>
      </c>
      <c r="AQ224" s="12">
        <f>MIN(INDEX(其他调用!$AL$5:$AL$364,MATCH($K224,其他调用!$AG$5:$AG$364,0),1)/INDEX(其他调用!AI$5:AI$364,MATCH($K224,其他调用!$AG$5:$AG$364,0),0),1)*INDEX(其他调用!Z$5:Z$404,MATCH($K224,其他调用!$X$5:$X$404,0),0)</f>
        <v>41810.080009329889</v>
      </c>
      <c r="AR224" s="12">
        <f>MIN(INDEX(其他调用!$AL$5:$AL$364,MATCH($K224,其他调用!$AG$5:$AG$364,0),1)/INDEX(其他调用!AJ$5:AJ$364,MATCH($K224,其他调用!$AG$5:$AG$364,0),0),1)*INDEX(其他调用!AA$5:AA$404,MATCH($K224,其他调用!$X$5:$X$404,0),0)</f>
        <v>43332.207235375718</v>
      </c>
      <c r="AS224" s="12">
        <f>MIN(INDEX(其他调用!$AL$5:$AL$364,MATCH($K224,其他调用!$AG$5:$AG$364,0),1)/INDEX(其他调用!AK$5:AK$364,MATCH($K224,其他调用!$AG$5:$AG$364,0),0),1)*INDEX(其他调用!AB$5:AB$404,MATCH($K224,其他调用!$X$5:$X$404,0),0)</f>
        <v>45534.476213461654</v>
      </c>
      <c r="AT224" s="12">
        <f>MIN(INDEX(其他调用!$AL$5:$AL$364,MATCH($K224,其他调用!$AG$5:$AG$364,0),1)/INDEX(其他调用!AL$5:AL$364,MATCH($K224,其他调用!$AG$5:$AG$364,0),0),1)*INDEX(其他调用!AC$5:AC$404,MATCH($K224,其他调用!$X$5:$X$404,0),0)</f>
        <v>49468.982614697226</v>
      </c>
      <c r="AV224" s="14">
        <f>IF(OR(AV$5="大R",AV$5="超R"),MAX(INDEX(其他调用!$H$5:$L$404,MATCH($K224,其他调用!$B$5:$B$404,0),MATCH(AV$5,其他调用!$H$4:$L$4,0))*120*0.85,2),INDEX(其他调用!$H$5:$L$404,MATCH($K224,其他调用!$B$5:$B$404,0),MATCH(AV$5,其他调用!$H$4:$L$4,0))*120*0.85)</f>
        <v>48.921801254999991</v>
      </c>
      <c r="AW224" s="14">
        <f>IF(OR(AW$5="大R",AW$5="超R"),MAX(INDEX(其他调用!$H$5:$L$404,MATCH($K224,其他调用!$B$5:$B$404,0),MATCH(AW$5,其他调用!$H$4:$L$4,0))*120*0.85,2),INDEX(其他调用!$H$5:$L$404,MATCH($K224,其他调用!$B$5:$B$404,0),MATCH(AW$5,其他调用!$H$4:$L$4,0))*120*0.85)</f>
        <v>48.237344010638395</v>
      </c>
      <c r="AX224" s="14">
        <f>IF(OR(AX$5="大R",AX$5="超R"),MAX(INDEX(其他调用!$H$5:$L$404,MATCH($K224,其他调用!$B$5:$B$404,0),MATCH(AX$5,其他调用!$H$4:$L$4,0))*120*0.85,2),INDEX(其他调用!$H$5:$L$404,MATCH($K224,其他调用!$B$5:$B$404,0),MATCH(AX$5,其他调用!$H$4:$L$4,0))*120*0.85)</f>
        <v>3.9376284143615998</v>
      </c>
      <c r="AY224" s="14">
        <f>IF(OR(AY$5="大R",AY$5="超R"),MAX(INDEX(其他调用!$H$5:$L$404,MATCH($K224,其他调用!$B$5:$B$404,0),MATCH(AY$5,其他调用!$H$4:$L$4,0))*120*0.85,2),INDEX(其他调用!$H$5:$L$404,MATCH($K224,其他调用!$B$5:$B$404,0),MATCH(AY$5,其他调用!$H$4:$L$4,0))*120*0.85)</f>
        <v>2</v>
      </c>
      <c r="AZ224" s="14">
        <f>IF(OR(AZ$5="大R",AZ$5="超R"),MAX(INDEX(其他调用!$H$5:$L$404,MATCH($K224,其他调用!$B$5:$B$404,0),MATCH(AZ$5,其他调用!$H$4:$L$4,0))*120*0.85,2),INDEX(其他调用!$H$5:$L$404,MATCH($K224,其他调用!$B$5:$B$404,0),MATCH(AZ$5,其他调用!$H$4:$L$4,0))*120*0.85)</f>
        <v>2</v>
      </c>
      <c r="BA224" s="14">
        <f>INDEX(其他调用!$H$5:$L$404,MATCH($K224,其他调用!$B$5:$B$404,0),MATCH(BA$5,其他调用!$H$4:$L$4,0))*INDEX(其他调用!$M$5:$M$404,MATCH($K224,其他调用!$B$5:$B$404,0))*0.6</f>
        <v>28.777530149999997</v>
      </c>
      <c r="BB224" s="14">
        <f>INDEX(其他调用!$H$5:$L$404,MATCH($K224,其他调用!$B$5:$B$404,0),MATCH(BB$5,其他调用!$H$4:$L$4,0))*INDEX(其他调用!$M$5:$M$404,MATCH($K224,其他调用!$B$5:$B$404,0))*0.6</f>
        <v>28.374908241551999</v>
      </c>
      <c r="BC224" s="14">
        <f>INDEX(其他调用!$H$5:$L$404,MATCH($K224,其他调用!$B$5:$B$404,0),MATCH(BC$5,其他调用!$H$4:$L$4,0))*INDEX(其他调用!$M$5:$M$404,MATCH($K224,其他调用!$B$5:$B$404,0))*0.6</f>
        <v>2.3162520084480001</v>
      </c>
      <c r="BD224" s="14">
        <f>INDEX(其他调用!$H$5:$L$404,MATCH($K224,其他调用!$B$5:$B$404,0),MATCH(BD$5,其他调用!$H$4:$L$4,0))*INDEX(其他调用!$M$5:$M$404,MATCH($K224,其他调用!$B$5:$B$404,0))*0.6</f>
        <v>0.4120776000000001</v>
      </c>
      <c r="BE224" s="14">
        <f>INDEX(其他调用!$H$5:$L$404,MATCH($K224,其他调用!$B$5:$B$404,0),MATCH(BE$5,其他调用!$H$4:$L$4,0))*INDEX(其他调用!$M$5:$M$404,MATCH($K224,其他调用!$B$5:$B$404,0))*0.6</f>
        <v>0.11923199999999998</v>
      </c>
      <c r="BF224" s="14">
        <f>IF(OR(BF$5="大R",BF$5="超R"),0,INDEX(其他调用!$H$5:$L$404,MATCH($K224,其他调用!$B$5:$B$404,0),MATCH(BF$5,其他调用!$H$4:$L$4,0))*50*0.4)</f>
        <v>9.5925100500000013</v>
      </c>
      <c r="BG224" s="14">
        <f>IF(OR(BG$5="大R",BG$5="超R"),0,INDEX(其他调用!$H$5:$L$404,MATCH($K224,其他调用!$B$5:$B$404,0),MATCH(BG$5,其他调用!$H$4:$L$4,0))*50*0.4)</f>
        <v>9.4583027471839998</v>
      </c>
      <c r="BH224" s="14">
        <f>IF(OR(BH$5="大R",BH$5="超R"),0,INDEX(其他调用!$H$5:$L$404,MATCH($K224,其他调用!$B$5:$B$404,0),MATCH(BH$5,其他调用!$H$4:$L$4,0))*50*0.4)</f>
        <v>0.77208400281600009</v>
      </c>
      <c r="BI224" s="14">
        <f>IF(OR(BI$5="大R",BI$5="超R"),0,INDEX(其他调用!$H$5:$L$404,MATCH($K224,其他调用!$B$5:$B$404,0),MATCH(BI$5,其他调用!$H$4:$L$4,0))*50*0.4)</f>
        <v>0</v>
      </c>
      <c r="BJ224" s="14">
        <f>IF(OR(BJ$5="大R",BJ$5="超R"),0,INDEX(其他调用!$H$5:$L$404,MATCH($K224,其他调用!$B$5:$B$404,0),MATCH(BJ$5,其他调用!$H$4:$L$4,0))*50*0.4)</f>
        <v>0</v>
      </c>
      <c r="BL224" s="14">
        <f t="shared" si="418"/>
        <v>219</v>
      </c>
      <c r="BM224" s="14">
        <f t="shared" si="325"/>
        <v>96</v>
      </c>
      <c r="BN224" s="14">
        <f>('疲劳值&amp;地图信息'!$S$10*'疲劳值&amp;地图信息'!$R$10+'疲劳值&amp;地图信息'!$S$11*'疲劳值&amp;地图信息'!$R$11+'疲劳值&amp;地图信息'!$S$12*'疲劳值&amp;地图信息'!$R$12+(BM224-'疲劳值&amp;地图信息'!$S$12-'疲劳值&amp;地图信息'!$S$11-'疲劳值&amp;地图信息'!$S$10)*'疲劳值&amp;地图信息'!$R$13)/BM224</f>
        <v>51.371477246638619</v>
      </c>
      <c r="BO224" s="14">
        <f>INDEX(其他调用!$M$5:$M$404,MATCH(BL224,其他调用!$B$5:$B$404,0))*0.6</f>
        <v>60</v>
      </c>
      <c r="BP224" s="14">
        <f>IF(BO224&gt;SUM('疲劳值&amp;地图信息'!$S$10:$S$12),('疲劳值&amp;地图信息'!$S$10*'疲劳值&amp;地图信息'!$R$10+'疲劳值&amp;地图信息'!$S$11*'疲劳值&amp;地图信息'!$R$11+'疲劳值&amp;地图信息'!$S$12*'疲劳值&amp;地图信息'!$R$12+(BO224-'疲劳值&amp;地图信息'!$S$12-'疲劳值&amp;地图信息'!$S$11-'疲劳值&amp;地图信息'!$S$10)*'疲劳值&amp;地图信息'!$R$13)/BO224,('疲劳值&amp;地图信息'!$S$10*'疲劳值&amp;地图信息'!$R$10+'疲劳值&amp;地图信息'!$S$11*'疲劳值&amp;地图信息'!$R$11+'疲劳值&amp;地图信息'!$S$12*'疲劳值&amp;地图信息'!$R$12+(BO224-'疲劳值&amp;地图信息'!$S$12-'疲劳值&amp;地图信息'!$S$11-'疲劳值&amp;地图信息'!$S$10)*'疲劳值&amp;地图信息'!$R$13)/BO224)</f>
        <v>44.158136341605953</v>
      </c>
      <c r="BQ224" s="14">
        <f t="shared" si="419"/>
        <v>20</v>
      </c>
      <c r="BR224" s="14">
        <f>('疲劳值&amp;地图信息'!$S$10*'疲劳值&amp;地图信息'!$R$10+($BQ224-'疲劳值&amp;地图信息'!$S$10)*'疲劳值&amp;地图信息'!$R$11)/$BQ224</f>
        <v>32.067203015074995</v>
      </c>
      <c r="CF224" s="14">
        <v>219</v>
      </c>
      <c r="CG224" s="51">
        <f t="shared" si="326"/>
        <v>13900</v>
      </c>
      <c r="CH224" s="51">
        <f t="shared" si="327"/>
        <v>1085</v>
      </c>
      <c r="CI224" s="51">
        <f>INT(SUMPRODUCT($N224:$R224,$BA224:$BE224)/SUM($BA224:$BE224)/10000*$BX$7*$BZ$34/'疲劳值&amp;地图信息'!$R$10*$BY$53)</f>
        <v>3295</v>
      </c>
      <c r="CJ224" s="50">
        <f t="shared" si="328"/>
        <v>0.76039387308533912</v>
      </c>
      <c r="CK224" s="50">
        <f t="shared" si="329"/>
        <v>5.9354485776805251E-2</v>
      </c>
      <c r="CL224" s="50">
        <f t="shared" si="330"/>
        <v>0.18025164113785558</v>
      </c>
      <c r="CM224" s="14">
        <f t="shared" si="331"/>
        <v>14847</v>
      </c>
      <c r="CN224" s="14">
        <f t="shared" si="332"/>
        <v>1740</v>
      </c>
      <c r="CO224" s="14">
        <f>INT(SUMPRODUCT($U224:$Y224,$BA224:$BE224)/SUM($BA224:$BE224)/10000*$BX$7*$BZ$34/'疲劳值&amp;地图信息'!$R$10*$BY$54)</f>
        <v>6134</v>
      </c>
      <c r="CP224" s="50">
        <f t="shared" si="333"/>
        <v>0.65344835174508165</v>
      </c>
      <c r="CQ224" s="50">
        <f t="shared" si="334"/>
        <v>7.6581136393644653E-2</v>
      </c>
      <c r="CR224" s="50">
        <f t="shared" si="335"/>
        <v>0.26997051186127369</v>
      </c>
      <c r="CS224" s="14">
        <f t="shared" si="336"/>
        <v>16178</v>
      </c>
      <c r="CT224" s="14">
        <f t="shared" si="337"/>
        <v>3026</v>
      </c>
      <c r="CU224" s="14">
        <f>INT(SUMPRODUCT($AB224:$AF224,$BA224:$BE224)/SUM($BA224:$BE224)/10000*$BX$7*$BZ$34/'疲劳值&amp;地图信息'!$R$10*$BY$55)</f>
        <v>8333</v>
      </c>
      <c r="CV224" s="50">
        <f t="shared" si="338"/>
        <v>0.58750045393470607</v>
      </c>
      <c r="CW224" s="50">
        <f t="shared" si="339"/>
        <v>0.10988851363619857</v>
      </c>
      <c r="CX224" s="50">
        <f t="shared" si="340"/>
        <v>0.30261103242909537</v>
      </c>
      <c r="CY224" s="14">
        <f t="shared" si="341"/>
        <v>19417</v>
      </c>
      <c r="CZ224" s="14">
        <f t="shared" si="342"/>
        <v>8856</v>
      </c>
      <c r="DA224" s="14">
        <f>INT(SUMPRODUCT($AI224:$AM224,$BA224:$BE224)/SUM($BA224:$BE224)/10000*$BX$7*$BZ$34/'疲劳值&amp;地图信息'!$R$10*$BY$56)</f>
        <v>12572</v>
      </c>
      <c r="DB224" s="50">
        <f t="shared" si="343"/>
        <v>0.47538254376300648</v>
      </c>
      <c r="DC224" s="50">
        <f t="shared" si="344"/>
        <v>0.21681968417186925</v>
      </c>
      <c r="DD224" s="50">
        <f t="shared" si="345"/>
        <v>0.30779777206512426</v>
      </c>
      <c r="DE224" s="14">
        <f t="shared" si="346"/>
        <v>20275</v>
      </c>
      <c r="DF224" s="14">
        <f t="shared" si="347"/>
        <v>15132</v>
      </c>
      <c r="DG224" s="14">
        <f>INT(SUMPRODUCT($AP224:$AT224,$BA224:$BE224)/SUM($BA224:$BE224)/10000*$BX$7*$BZ$34/'疲劳值&amp;地图信息'!$R$10*$BY$57)</f>
        <v>16785</v>
      </c>
      <c r="DH224" s="50">
        <f t="shared" si="348"/>
        <v>0.38846949724095647</v>
      </c>
      <c r="DI224" s="50">
        <f t="shared" si="349"/>
        <v>0.28992949110974864</v>
      </c>
      <c r="DJ224" s="50">
        <f t="shared" si="350"/>
        <v>0.32160101164929489</v>
      </c>
      <c r="DL224" s="14">
        <f t="shared" si="421"/>
        <v>18280</v>
      </c>
      <c r="DM224" s="14">
        <f t="shared" si="422"/>
        <v>22721</v>
      </c>
      <c r="DN224" s="14">
        <f t="shared" si="423"/>
        <v>27537</v>
      </c>
      <c r="DO224" s="14">
        <f t="shared" si="424"/>
        <v>40845</v>
      </c>
      <c r="DP224" s="14">
        <f t="shared" si="425"/>
        <v>52192</v>
      </c>
      <c r="DQ224" s="14">
        <f t="shared" si="426"/>
        <v>1257596</v>
      </c>
      <c r="DT224" s="14">
        <f t="shared" si="420"/>
        <v>235575</v>
      </c>
      <c r="DU224" s="50">
        <f t="shared" si="322"/>
        <v>0.15776826632716548</v>
      </c>
      <c r="DW224" s="14">
        <f t="shared" si="351"/>
        <v>1493171</v>
      </c>
      <c r="EB224" s="14">
        <v>219</v>
      </c>
      <c r="EC224" s="51">
        <f t="shared" si="352"/>
        <v>23168</v>
      </c>
      <c r="ED224" s="51">
        <f t="shared" si="353"/>
        <v>1809</v>
      </c>
      <c r="EE224" s="51">
        <f>INT(SUMPRODUCT($N224:$R224,$BF224:$BJ224)/SUM($BF224:$BJ224)/10000*$BX$7*$BZ$46/'疲劳值&amp;地图信息'!$R$10*$BY$53)</f>
        <v>442</v>
      </c>
      <c r="EF224" s="50">
        <f t="shared" si="354"/>
        <v>0.91144419528699006</v>
      </c>
      <c r="EG224" s="50">
        <f t="shared" si="355"/>
        <v>7.1167237106101733E-2</v>
      </c>
      <c r="EH224" s="50">
        <f t="shared" si="356"/>
        <v>1.7388567606908219E-2</v>
      </c>
      <c r="EI224" s="51">
        <f t="shared" si="357"/>
        <v>24745</v>
      </c>
      <c r="EJ224" s="51">
        <f t="shared" si="358"/>
        <v>2901</v>
      </c>
      <c r="EK224" s="14">
        <f>INT(SUMPRODUCT($U224:$Y224,$BF224:$BJ224)/SUM($BF224:$BJ224)/10000*$BX$7*$BZ$46/'疲劳值&amp;地图信息'!$R$10*$BY$54)</f>
        <v>823</v>
      </c>
      <c r="EL224" s="50">
        <f t="shared" si="359"/>
        <v>0.86919104991394147</v>
      </c>
      <c r="EM224" s="50">
        <f t="shared" si="360"/>
        <v>0.10190031262074538</v>
      </c>
      <c r="EN224" s="50">
        <f t="shared" si="361"/>
        <v>2.8908637465313147E-2</v>
      </c>
      <c r="EO224" s="51">
        <f t="shared" si="362"/>
        <v>26963</v>
      </c>
      <c r="EP224" s="51">
        <f t="shared" si="363"/>
        <v>5044</v>
      </c>
      <c r="EQ224" s="14">
        <f>INT(SUMPRODUCT($AB224:$AF224,$BF224:$BJ224)/SUM($BF224:$BJ224)/10000*$BX$7*$BZ$46/'疲劳值&amp;地图信息'!$R$10*$BY$55)</f>
        <v>1117</v>
      </c>
      <c r="ER224" s="50">
        <f t="shared" si="364"/>
        <v>0.81400193213380023</v>
      </c>
      <c r="ES224" s="50">
        <f t="shared" si="365"/>
        <v>0.15227629513343799</v>
      </c>
      <c r="ET224" s="50">
        <f t="shared" si="366"/>
        <v>3.3721772732761744E-2</v>
      </c>
      <c r="EU224" s="51">
        <f t="shared" si="367"/>
        <v>32362</v>
      </c>
      <c r="EV224" s="51">
        <f t="shared" si="368"/>
        <v>14761</v>
      </c>
      <c r="EW224" s="14">
        <f>INT(SUMPRODUCT($AI224:$AM224,$BF224:$BJ224)/SUM($BF224:$BJ224)/10000*$BX$7*$BZ$46/'疲劳值&amp;地图信息'!$R$10*$BY$56)</f>
        <v>1676</v>
      </c>
      <c r="EX224" s="50">
        <f t="shared" si="369"/>
        <v>0.6631693272403123</v>
      </c>
      <c r="EY224" s="50">
        <f t="shared" si="370"/>
        <v>0.30248570667431712</v>
      </c>
      <c r="EZ224" s="50">
        <f t="shared" si="371"/>
        <v>3.4344966085370604E-2</v>
      </c>
      <c r="FA224" s="51">
        <f t="shared" si="372"/>
        <v>33791</v>
      </c>
      <c r="FB224" s="51">
        <f t="shared" si="373"/>
        <v>25221</v>
      </c>
      <c r="FC224" s="14">
        <f>INT(SUMPRODUCT($AP224:$AT224,$BF224:$BJ224)/SUM($BF224:$BJ224)/10000*$BX$7*$BZ$46/'疲劳值&amp;地图信息'!$R$10*$BY$57)</f>
        <v>2235</v>
      </c>
      <c r="FD224" s="50">
        <f t="shared" si="374"/>
        <v>0.55171681878296075</v>
      </c>
      <c r="FE224" s="50">
        <f t="shared" si="375"/>
        <v>0.41179159795581827</v>
      </c>
      <c r="FF224" s="50">
        <f t="shared" si="376"/>
        <v>3.6491583261220956E-2</v>
      </c>
      <c r="FH224" s="14">
        <f t="shared" si="377"/>
        <v>25419</v>
      </c>
      <c r="FI224" s="14">
        <f t="shared" si="378"/>
        <v>28469</v>
      </c>
      <c r="FJ224" s="14">
        <f t="shared" si="379"/>
        <v>33124</v>
      </c>
      <c r="FK224" s="14">
        <f t="shared" si="380"/>
        <v>48799</v>
      </c>
      <c r="FL224" s="14">
        <f t="shared" si="381"/>
        <v>61247</v>
      </c>
      <c r="FM224" s="14">
        <f t="shared" si="382"/>
        <v>2967334</v>
      </c>
      <c r="FP224" s="14">
        <f t="shared" si="383"/>
        <v>334150</v>
      </c>
      <c r="FQ224" s="50">
        <f t="shared" si="323"/>
        <v>0.10121206100044706</v>
      </c>
      <c r="FS224" s="14">
        <f t="shared" si="384"/>
        <v>3301484</v>
      </c>
      <c r="FX224" s="14">
        <v>219</v>
      </c>
      <c r="FY224" s="51">
        <f t="shared" si="385"/>
        <v>32435</v>
      </c>
      <c r="FZ224" s="51">
        <f t="shared" si="386"/>
        <v>1809</v>
      </c>
      <c r="GA224" s="51">
        <f>INT(SUMPRODUCT($N224:$R224,$BF224:$BJ224)/SUM($BF224:$BJ224)/10000*$BX$7*$BZ$46/'疲劳值&amp;地图信息'!$R$10*$BY$53)</f>
        <v>442</v>
      </c>
      <c r="GB224" s="50">
        <f t="shared" si="387"/>
        <v>0.93510349997116993</v>
      </c>
      <c r="GC224" s="50">
        <f t="shared" si="388"/>
        <v>5.2153606642449404E-2</v>
      </c>
      <c r="GD224" s="50">
        <f t="shared" si="389"/>
        <v>1.2742893386380672E-2</v>
      </c>
      <c r="GE224" s="51">
        <f t="shared" si="390"/>
        <v>34643</v>
      </c>
      <c r="GF224" s="51">
        <f t="shared" si="391"/>
        <v>2901</v>
      </c>
      <c r="GG224" s="14">
        <f>INT(SUMPRODUCT($U224:$Y224,$BF224:$BJ224)/SUM($BF224:$BJ224)/10000*$BX$7*$BZ$46/'疲劳值&amp;地图信息'!$R$10*$BY$54)</f>
        <v>823</v>
      </c>
      <c r="GH224" s="50">
        <f t="shared" si="392"/>
        <v>0.90293742017879952</v>
      </c>
      <c r="GI224" s="50">
        <f t="shared" si="393"/>
        <v>7.5611853936977086E-2</v>
      </c>
      <c r="GJ224" s="50">
        <f t="shared" si="394"/>
        <v>2.1450725884223421E-2</v>
      </c>
      <c r="GK224" s="51">
        <f t="shared" si="395"/>
        <v>37748</v>
      </c>
      <c r="GL224" s="51">
        <f t="shared" si="396"/>
        <v>5044</v>
      </c>
      <c r="GM224" s="14">
        <f>INT(SUMPRODUCT($AB224:$AF224,$BF224:$BJ224)/SUM($BF224:$BJ224)/10000*$BX$7*$BZ$46/'疲劳值&amp;地图信息'!$R$10*$BY$55)</f>
        <v>1117</v>
      </c>
      <c r="GN224" s="50">
        <f t="shared" si="397"/>
        <v>0.8596870800974743</v>
      </c>
      <c r="GO224" s="50">
        <f t="shared" si="398"/>
        <v>0.11487394383839304</v>
      </c>
      <c r="GP224" s="50">
        <f t="shared" si="399"/>
        <v>2.5438976064132639E-2</v>
      </c>
      <c r="GQ224" s="51">
        <f t="shared" si="400"/>
        <v>45307</v>
      </c>
      <c r="GR224" s="51">
        <f t="shared" si="401"/>
        <v>14761</v>
      </c>
      <c r="GS224" s="14">
        <f>INT(SUMPRODUCT($AI224:$AM224,$BF224:$BJ224)/SUM($BF224:$BJ224)/10000*$BX$7*$BZ$46/'疲劳值&amp;地图信息'!$R$10*$BY$56)</f>
        <v>1676</v>
      </c>
      <c r="GT224" s="50">
        <f t="shared" si="402"/>
        <v>0.73378789841927961</v>
      </c>
      <c r="GU224" s="50">
        <f t="shared" si="403"/>
        <v>0.2390677636693444</v>
      </c>
      <c r="GV224" s="50">
        <f t="shared" si="404"/>
        <v>2.7144337911376003E-2</v>
      </c>
      <c r="GW224" s="51">
        <f t="shared" si="405"/>
        <v>47308</v>
      </c>
      <c r="GX224" s="51">
        <f t="shared" si="406"/>
        <v>25221</v>
      </c>
      <c r="GY224" s="14">
        <f>INT(SUMPRODUCT($AP224:$AT224,$BF224:$BJ224)/SUM($BF224:$BJ224)/10000*$BX$7*$BZ$46/'疲劳值&amp;地图信息'!$R$10*$BY$57)</f>
        <v>2235</v>
      </c>
      <c r="GZ224" s="50">
        <f t="shared" si="407"/>
        <v>0.63276443207961053</v>
      </c>
      <c r="HA224" s="50">
        <f t="shared" si="408"/>
        <v>0.33734150125728962</v>
      </c>
      <c r="HB224" s="50">
        <f t="shared" si="409"/>
        <v>2.9894066663099888E-2</v>
      </c>
      <c r="HD224" s="14">
        <f t="shared" si="410"/>
        <v>34686</v>
      </c>
      <c r="HE224" s="14">
        <f t="shared" si="411"/>
        <v>38367</v>
      </c>
      <c r="HF224" s="14">
        <f t="shared" si="412"/>
        <v>43909</v>
      </c>
      <c r="HG224" s="14">
        <f t="shared" si="413"/>
        <v>61744</v>
      </c>
      <c r="HH224" s="14">
        <f t="shared" si="414"/>
        <v>74764</v>
      </c>
      <c r="HI224" s="14">
        <f t="shared" si="415"/>
        <v>3993537</v>
      </c>
      <c r="HL224" s="14">
        <f t="shared" si="416"/>
        <v>430050</v>
      </c>
      <c r="HM224" s="50">
        <f t="shared" si="324"/>
        <v>9.7217484362803308E-2</v>
      </c>
      <c r="HO224" s="14">
        <f t="shared" si="417"/>
        <v>4423587</v>
      </c>
    </row>
    <row r="225" spans="11:223" x14ac:dyDescent="0.2">
      <c r="K225" s="14">
        <v>220</v>
      </c>
      <c r="L225" s="12">
        <f>求节点(节奏总纲!D$4:D$163,标准城池设计!AB$4:AB$163,$K225)*求节点(节奏总纲!D$4:D$163,攻城基础信息!$AC$5:$AC$164,$K225)</f>
        <v>683403.30082346883</v>
      </c>
      <c r="M225" s="12">
        <f>INDEX(其他调用!$AA$5:$AA$404,MATCH(K225,其他调用!$X$5:$X$404,0))*MIN(INDEX(其他调用!$AH$5:$AH$364,MATCH('征服点（新）'!K225,其他调用!$AG$5:$AG$364,0),1)/INDEX(其他调用!$AJ$5:$AJ$364,MATCH(K225,其他调用!$AG$5:$AG$364,0),0),5)*求节点(节奏总纲!D$4:D$163,攻城基础信息!$AC$5:$AC$164,$K225)</f>
        <v>53330.752456750917</v>
      </c>
      <c r="N225" s="12">
        <f>MIN(INDEX(其他调用!$AH$5:$AH$364,MATCH($K225,其他调用!$AG$5:$AG$364,0),1)/INDEX(其他调用!AH$5:AH$364,MATCH($K225,其他调用!$AG$5:$AG$364,0),0),1)*INDEX(其他调用!Y$5:Y$404,MATCH($K225,其他调用!$X$5:$X$404,0),0)</f>
        <v>40682.156059747831</v>
      </c>
      <c r="O225" s="12">
        <f>MIN(INDEX(其他调用!$AH$5:$AH$364,MATCH($K225,其他调用!$AG$5:$AG$364,0),1)/INDEX(其他调用!AI$5:AI$364,MATCH($K225,其他调用!$AG$5:$AG$364,0),0),1)*INDEX(其他调用!Z$5:Z$404,MATCH($K225,其他调用!$X$5:$X$404,0),0)</f>
        <v>26083.268465076206</v>
      </c>
      <c r="P225" s="12">
        <f>MIN(INDEX(其他调用!$AH$5:$AH$364,MATCH($K225,其他调用!$AG$5:$AG$364,0),1)/INDEX(其他调用!AJ$5:AJ$364,MATCH($K225,其他调用!$AG$5:$AG$364,0),0),1)*INDEX(其他调用!AA$5:AA$404,MATCH($K225,其他调用!$X$5:$X$404,0),0)</f>
        <v>15552.056215855362</v>
      </c>
      <c r="Q225" s="12">
        <f>MIN(INDEX(其他调用!$AH$5:$AH$364,MATCH($K225,其他调用!$AG$5:$AG$364,0),1)/INDEX(其他调用!AK$5:AK$364,MATCH($K225,其他调用!$AG$5:$AG$364,0),0),1)*INDEX(其他调用!AB$5:AB$404,MATCH($K225,其他调用!$X$5:$X$404,0),0)</f>
        <v>5579.2421551545085</v>
      </c>
      <c r="R225" s="12">
        <f>MIN(INDEX(其他调用!$AH$5:$AH$364,MATCH($K225,其他调用!$AG$5:$AG$364,0),1)/INDEX(其他调用!AL$5:AL$364,MATCH($K225,其他调用!$AG$5:$AG$364,0),0),1)*INDEX(其他调用!AC$5:AC$404,MATCH($K225,其他调用!$X$5:$X$404,0),0)</f>
        <v>2699.8373114146266</v>
      </c>
      <c r="S225" s="12">
        <f>求节点(节奏总纲!D$4:D$163,标准城池设计!AC$4:AC$163,$K225)*求节点(节奏总纲!D$4:D$163,攻城基础信息!$AD$5:$AD$164,$K225)</f>
        <v>730114.33652348153</v>
      </c>
      <c r="T225" s="12">
        <f>INDEX(其他调用!$AA$5:$AA$404,MATCH($K225,其他调用!$X$5:$X$404,0))*MIN(INDEX(其他调用!AI$5:AI$364,MATCH($K225,其他调用!$AG$5:$AG$364,0),1)/INDEX(其他调用!$AJ$5:$AJ$364,MATCH($K225,其他调用!$AG$5:$AG$364,0),0),5)*求节点(节奏总纲!D$4:D$163,攻城基础信息!$AD$5:$AD$164,$K225)</f>
        <v>85542.334098713953</v>
      </c>
      <c r="U225" s="12">
        <f>MIN(INDEX(其他调用!$AI$5:$AI$364,MATCH($K225,其他调用!$AG$5:$AG$364,0),1)/INDEX(其他调用!AH$5:AH$364,MATCH($K225,其他调用!$AG$5:$AG$364,0),0),1)*INDEX(其他调用!Y$5:Y$404,MATCH($K225,其他调用!$X$5:$X$404,0),0)</f>
        <v>40682.156059747831</v>
      </c>
      <c r="V225" s="12">
        <f>MIN(INDEX(其他调用!$AI$5:$AI$364,MATCH($K225,其他调用!$AG$5:$AG$364,0),1)/INDEX(其他调用!AI$5:AI$364,MATCH($K225,其他调用!$AG$5:$AG$364,0),0),1)*INDEX(其他调用!Z$5:Z$404,MATCH($K225,其他调用!$X$5:$X$404,0),0)</f>
        <v>41837.468301903871</v>
      </c>
      <c r="W225" s="12">
        <f>MIN(INDEX(其他调用!$AI$5:$AI$364,MATCH($K225,其他调用!$AG$5:$AG$364,0),1)/INDEX(其他调用!AJ$5:AJ$364,MATCH($K225,其他调用!$AG$5:$AG$364,0),0),1)*INDEX(其他调用!AA$5:AA$404,MATCH($K225,其他调用!$X$5:$X$404,0),0)</f>
        <v>24945.44193460514</v>
      </c>
      <c r="X225" s="12">
        <f>MIN(INDEX(其他调用!$AI$5:$AI$364,MATCH($K225,其他调用!$AG$5:$AG$364,0),1)/INDEX(其他调用!AK$5:AK$364,MATCH($K225,其他调用!$AG$5:$AG$364,0),0),1)*INDEX(其他调用!AB$5:AB$404,MATCH($K225,其他调用!$X$5:$X$404,0),0)</f>
        <v>8949.0842425464652</v>
      </c>
      <c r="Y225" s="12">
        <f>MIN(INDEX(其他调用!$AI$5:$AI$364,MATCH($K225,其他调用!$AG$5:$AG$364,0),1)/INDEX(其他调用!AL$5:AL$364,MATCH($K225,其他调用!$AG$5:$AG$364,0),0),1)*INDEX(其他调用!AC$5:AC$404,MATCH($K225,其他调用!$X$5:$X$404,0),0)</f>
        <v>4330.5292850029637</v>
      </c>
      <c r="Z225" s="12">
        <f>求节点(节奏总纲!D$4:D$163,标准城池设计!AD$4:AD$163,$K225)*求节点(节奏总纲!D$4:D$163,攻城基础信息!$AE$5:$AE$164,$K225)</f>
        <v>795932.4131583022</v>
      </c>
      <c r="AA225" s="12">
        <f>INDEX(其他调用!$AA$5:$AA$404,MATCH($K225,其他调用!$X$5:$X$404,0))*MIN(INDEX(其他调用!AJ$5:AJ$364,MATCH($K225,其他调用!$AG$5:$AG$364,0),1)/INDEX(其他调用!$AJ$5:$AJ$364,MATCH($K225,其他调用!$AG$5:$AG$364,0),0),5)*求节点(节奏总纲!D$4:D$163,攻城基础信息!$AE$5:$AE$164,$K225)</f>
        <v>148686.97858006426</v>
      </c>
      <c r="AB225" s="12">
        <f>MIN(INDEX(其他调用!$AJ$5:$AJ$364,MATCH($K225,其他调用!$AG$5:$AG$364,0),1)/INDEX(其他调用!AH$5:AH$364,MATCH($K225,其他调用!$AG$5:$AG$364,0),0),1)*INDEX(其他调用!Y$5:Y$404,MATCH($K225,其他调用!$X$5:$X$404,0),0)</f>
        <v>40682.156059747831</v>
      </c>
      <c r="AC225" s="12">
        <f>MIN(INDEX(其他调用!$AJ$5:$AJ$364,MATCH($K225,其他调用!$AG$5:$AG$364,0),1)/INDEX(其他调用!AI$5:AI$364,MATCH($K225,其他调用!$AG$5:$AG$364,0),0),1)*INDEX(其他调用!Z$5:Z$404,MATCH($K225,其他调用!$X$5:$X$404,0),0)</f>
        <v>41837.468301903871</v>
      </c>
      <c r="AD225" s="12">
        <f>MIN(INDEX(其他调用!$AJ$5:$AJ$364,MATCH($K225,其他调用!$AG$5:$AG$364,0),1)/INDEX(其他调用!AJ$5:AJ$364,MATCH($K225,其他调用!$AG$5:$AG$364,0),0),1)*INDEX(其他调用!AA$5:AA$404,MATCH($K225,其他调用!$X$5:$X$404,0),0)</f>
        <v>43359.377899610452</v>
      </c>
      <c r="AE225" s="12">
        <f>MIN(INDEX(其他调用!$AJ$5:$AJ$364,MATCH($K225,其他调用!$AG$5:$AG$364,0),1)/INDEX(其他调用!AK$5:AK$364,MATCH($K225,其他调用!$AG$5:$AG$364,0),0),1)*INDEX(其他调用!AB$5:AB$404,MATCH($K225,其他调用!$X$5:$X$404,0),0)</f>
        <v>15555.015082324033</v>
      </c>
      <c r="AF225" s="12">
        <f>MIN(INDEX(其他调用!$AJ$5:$AJ$364,MATCH($K225,其他调用!$AG$5:$AG$364,0),1)/INDEX(其他调用!AL$5:AL$364,MATCH($K225,其他调用!$AG$5:$AG$364,0),0),1)*INDEX(其他调用!AC$5:AC$404,MATCH($K225,其他调用!$X$5:$X$404,0),0)</f>
        <v>7527.188985707804</v>
      </c>
      <c r="AG225" s="12">
        <f>求节点(节奏总纲!D$4:D$163,标准城池设计!AE$4:AE$163,$K225)*求节点(节奏总纲!D$4:D$163,攻城基础信息!$AF$5:$AF$164,$K225)</f>
        <v>955513.76018916327</v>
      </c>
      <c r="AH225" s="12">
        <f>INDEX(其他调用!$AA$5:$AA$404,MATCH($K225,其他调用!$X$5:$X$404,0))*MIN(INDEX(其他调用!AK$5:AK$364,MATCH($K225,其他调用!$AG$5:$AG$364,0),1)/INDEX(其他调用!$AJ$5:$AJ$364,MATCH($K225,其他调用!$AG$5:$AG$364,0),0),5)*求节点(节奏总纲!D$4:D$163,攻城基础信息!$AF$5:$AF$164,$K225)</f>
        <v>435517.23959766643</v>
      </c>
      <c r="AI225" s="12">
        <f>MIN(INDEX(其他调用!$AK$5:$AK$364,MATCH($K225,其他调用!$AG$5:$AG$364,0),1)/INDEX(其他调用!AH$5:AH$364,MATCH($K225,其他调用!$AG$5:$AG$364,0),0),1)*INDEX(其他调用!Y$5:Y$404,MATCH($K225,其他调用!$X$5:$X$404,0),0)</f>
        <v>40682.156059747831</v>
      </c>
      <c r="AJ225" s="12">
        <f>MIN(INDEX(其他调用!$AK$5:$AK$364,MATCH($K225,其他调用!$AG$5:$AG$364,0),1)/INDEX(其他调用!AI$5:AI$364,MATCH($K225,其他调用!$AG$5:$AG$364,0),0),1)*INDEX(其他调用!Z$5:Z$404,MATCH($K225,其他调用!$X$5:$X$404,0),0)</f>
        <v>41837.468301903871</v>
      </c>
      <c r="AK225" s="12">
        <f>MIN(INDEX(其他调用!$AK$5:$AK$364,MATCH($K225,其他调用!$AG$5:$AG$364,0),1)/INDEX(其他调用!AJ$5:AJ$364,MATCH($K225,其他调用!$AG$5:$AG$364,0),0),1)*INDEX(其他调用!AA$5:AA$404,MATCH($K225,其他调用!$X$5:$X$404,0),0)</f>
        <v>43359.377899610452</v>
      </c>
      <c r="AL225" s="12">
        <f>MIN(INDEX(其他调用!$AK$5:$AK$364,MATCH($K225,其他调用!$AG$5:$AG$364,0),1)/INDEX(其他调用!AK$5:AK$364,MATCH($K225,其他调用!$AG$5:$AG$364,0),0),1)*INDEX(其他调用!AB$5:AB$404,MATCH($K225,其他调用!$X$5:$X$404,0),0)</f>
        <v>45562.007482087225</v>
      </c>
      <c r="AM225" s="12">
        <f>MIN(INDEX(其他调用!$AK$5:$AK$364,MATCH($K225,其他调用!$AG$5:$AG$364,0),1)/INDEX(其他调用!AL$5:AL$364,MATCH($K225,其他调用!$AG$5:$AG$364,0),0),1)*INDEX(其他调用!AC$5:AC$404,MATCH($K225,其他调用!$X$5:$X$404,0),0)</f>
        <v>22047.798672700719</v>
      </c>
      <c r="AN225" s="12">
        <f>求节点(节奏总纲!D$4:D$163,标准城池设计!AF$4:AF$163,$K225)*求节点(节奏总纲!D$4:D$163,攻城基础信息!$AG$5:$AG$164,$K225)</f>
        <v>997952.86814366351</v>
      </c>
      <c r="AO225" s="12">
        <f>INDEX(其他调用!$AA$5:$AA$404,MATCH($K225,其他调用!$X$5:$X$404,0))*MIN(INDEX(其他调用!AL$5:AL$364,MATCH($K225,其他调用!$AG$5:$AG$364,0),1)/INDEX(其他调用!$AJ$5:$AJ$364,MATCH($K225,其他调用!$AG$5:$AG$364,0),0),5)*求节点(节奏总纲!D$4:D$163,攻城基础信息!$AG$5:$AG$164,$K225)</f>
        <v>743434.89290032128</v>
      </c>
      <c r="AP225" s="12">
        <f>MIN(INDEX(其他调用!$AL$5:$AL$364,MATCH($K225,其他调用!$AG$5:$AG$364,0),1)/INDEX(其他调用!AH$5:AH$364,MATCH($K225,其他调用!$AG$5:$AG$364,0),0),1)*INDEX(其他调用!Y$5:Y$404,MATCH($K225,其他调用!$X$5:$X$404,0),0)</f>
        <v>40682.156059747831</v>
      </c>
      <c r="AQ225" s="12">
        <f>MIN(INDEX(其他调用!$AL$5:$AL$364,MATCH($K225,其他调用!$AG$5:$AG$364,0),1)/INDEX(其他调用!AI$5:AI$364,MATCH($K225,其他调用!$AG$5:$AG$364,0),0),1)*INDEX(其他调用!Z$5:Z$404,MATCH($K225,其他调用!$X$5:$X$404,0),0)</f>
        <v>41837.468301903871</v>
      </c>
      <c r="AR225" s="12">
        <f>MIN(INDEX(其他调用!$AL$5:$AL$364,MATCH($K225,其他调用!$AG$5:$AG$364,0),1)/INDEX(其他调用!AJ$5:AJ$364,MATCH($K225,其他调用!$AG$5:$AG$364,0),0),1)*INDEX(其他调用!AA$5:AA$404,MATCH($K225,其他调用!$X$5:$X$404,0),0)</f>
        <v>43359.377899610452</v>
      </c>
      <c r="AS225" s="12">
        <f>MIN(INDEX(其他调用!$AL$5:$AL$364,MATCH($K225,其他调用!$AG$5:$AG$364,0),1)/INDEX(其他调用!AK$5:AK$364,MATCH($K225,其他调用!$AG$5:$AG$364,0),0),1)*INDEX(其他调用!AB$5:AB$404,MATCH($K225,其他调用!$X$5:$X$404,0),0)</f>
        <v>45562.007482087225</v>
      </c>
      <c r="AT225" s="12">
        <f>MIN(INDEX(其他调用!$AL$5:$AL$364,MATCH($K225,其他调用!$AG$5:$AG$364,0),1)/INDEX(其他调用!AL$5:AL$364,MATCH($K225,其他调用!$AG$5:$AG$364,0),0),1)*INDEX(其他调用!AC$5:AC$404,MATCH($K225,其他调用!$X$5:$X$404,0),0)</f>
        <v>49495.028179436697</v>
      </c>
      <c r="AV225" s="14">
        <f>IF(OR(AV$5="大R",AV$5="超R"),MAX(INDEX(其他调用!$H$5:$L$404,MATCH($K225,其他调用!$B$5:$B$404,0),MATCH(AV$5,其他调用!$H$4:$L$4,0))*120*0.85,2),INDEX(其他调用!$H$5:$L$404,MATCH($K225,其他调用!$B$5:$B$404,0),MATCH(AV$5,其他调用!$H$4:$L$4,0))*120*0.85)</f>
        <v>48.921801254999991</v>
      </c>
      <c r="AW225" s="14">
        <f>IF(OR(AW$5="大R",AW$5="超R"),MAX(INDEX(其他调用!$H$5:$L$404,MATCH($K225,其他调用!$B$5:$B$404,0),MATCH(AW$5,其他调用!$H$4:$L$4,0))*120*0.85,2),INDEX(其他调用!$H$5:$L$404,MATCH($K225,其他调用!$B$5:$B$404,0),MATCH(AW$5,其他调用!$H$4:$L$4,0))*120*0.85)</f>
        <v>48.237344010638395</v>
      </c>
      <c r="AX225" s="14">
        <f>IF(OR(AX$5="大R",AX$5="超R"),MAX(INDEX(其他调用!$H$5:$L$404,MATCH($K225,其他调用!$B$5:$B$404,0),MATCH(AX$5,其他调用!$H$4:$L$4,0))*120*0.85,2),INDEX(其他调用!$H$5:$L$404,MATCH($K225,其他调用!$B$5:$B$404,0),MATCH(AX$5,其他调用!$H$4:$L$4,0))*120*0.85)</f>
        <v>3.9376284143615998</v>
      </c>
      <c r="AY225" s="14">
        <f>IF(OR(AY$5="大R",AY$5="超R"),MAX(INDEX(其他调用!$H$5:$L$404,MATCH($K225,其他调用!$B$5:$B$404,0),MATCH(AY$5,其他调用!$H$4:$L$4,0))*120*0.85,2),INDEX(其他调用!$H$5:$L$404,MATCH($K225,其他调用!$B$5:$B$404,0),MATCH(AY$5,其他调用!$H$4:$L$4,0))*120*0.85)</f>
        <v>2</v>
      </c>
      <c r="AZ225" s="14">
        <f>IF(OR(AZ$5="大R",AZ$5="超R"),MAX(INDEX(其他调用!$H$5:$L$404,MATCH($K225,其他调用!$B$5:$B$404,0),MATCH(AZ$5,其他调用!$H$4:$L$4,0))*120*0.85,2),INDEX(其他调用!$H$5:$L$404,MATCH($K225,其他调用!$B$5:$B$404,0),MATCH(AZ$5,其他调用!$H$4:$L$4,0))*120*0.85)</f>
        <v>2</v>
      </c>
      <c r="BA225" s="14">
        <f>INDEX(其他调用!$H$5:$L$404,MATCH($K225,其他调用!$B$5:$B$404,0),MATCH(BA$5,其他调用!$H$4:$L$4,0))*INDEX(其他调用!$M$5:$M$404,MATCH($K225,其他调用!$B$5:$B$404,0))*0.6</f>
        <v>28.777530149999997</v>
      </c>
      <c r="BB225" s="14">
        <f>INDEX(其他调用!$H$5:$L$404,MATCH($K225,其他调用!$B$5:$B$404,0),MATCH(BB$5,其他调用!$H$4:$L$4,0))*INDEX(其他调用!$M$5:$M$404,MATCH($K225,其他调用!$B$5:$B$404,0))*0.6</f>
        <v>28.374908241551999</v>
      </c>
      <c r="BC225" s="14">
        <f>INDEX(其他调用!$H$5:$L$404,MATCH($K225,其他调用!$B$5:$B$404,0),MATCH(BC$5,其他调用!$H$4:$L$4,0))*INDEX(其他调用!$M$5:$M$404,MATCH($K225,其他调用!$B$5:$B$404,0))*0.6</f>
        <v>2.3162520084480001</v>
      </c>
      <c r="BD225" s="14">
        <f>INDEX(其他调用!$H$5:$L$404,MATCH($K225,其他调用!$B$5:$B$404,0),MATCH(BD$5,其他调用!$H$4:$L$4,0))*INDEX(其他调用!$M$5:$M$404,MATCH($K225,其他调用!$B$5:$B$404,0))*0.6</f>
        <v>0.4120776000000001</v>
      </c>
      <c r="BE225" s="14">
        <f>INDEX(其他调用!$H$5:$L$404,MATCH($K225,其他调用!$B$5:$B$404,0),MATCH(BE$5,其他调用!$H$4:$L$4,0))*INDEX(其他调用!$M$5:$M$404,MATCH($K225,其他调用!$B$5:$B$404,0))*0.6</f>
        <v>0.11923199999999998</v>
      </c>
      <c r="BF225" s="14">
        <f>IF(OR(BF$5="大R",BF$5="超R"),0,INDEX(其他调用!$H$5:$L$404,MATCH($K225,其他调用!$B$5:$B$404,0),MATCH(BF$5,其他调用!$H$4:$L$4,0))*50*0.4)</f>
        <v>9.5925100500000013</v>
      </c>
      <c r="BG225" s="14">
        <f>IF(OR(BG$5="大R",BG$5="超R"),0,INDEX(其他调用!$H$5:$L$404,MATCH($K225,其他调用!$B$5:$B$404,0),MATCH(BG$5,其他调用!$H$4:$L$4,0))*50*0.4)</f>
        <v>9.4583027471839998</v>
      </c>
      <c r="BH225" s="14">
        <f>IF(OR(BH$5="大R",BH$5="超R"),0,INDEX(其他调用!$H$5:$L$404,MATCH($K225,其他调用!$B$5:$B$404,0),MATCH(BH$5,其他调用!$H$4:$L$4,0))*50*0.4)</f>
        <v>0.77208400281600009</v>
      </c>
      <c r="BI225" s="14">
        <f>IF(OR(BI$5="大R",BI$5="超R"),0,INDEX(其他调用!$H$5:$L$404,MATCH($K225,其他调用!$B$5:$B$404,0),MATCH(BI$5,其他调用!$H$4:$L$4,0))*50*0.4)</f>
        <v>0</v>
      </c>
      <c r="BJ225" s="14">
        <f>IF(OR(BJ$5="大R",BJ$5="超R"),0,INDEX(其他调用!$H$5:$L$404,MATCH($K225,其他调用!$B$5:$B$404,0),MATCH(BJ$5,其他调用!$H$4:$L$4,0))*50*0.4)</f>
        <v>0</v>
      </c>
      <c r="BL225" s="14">
        <f t="shared" si="418"/>
        <v>220</v>
      </c>
      <c r="BM225" s="14">
        <f t="shared" si="325"/>
        <v>96</v>
      </c>
      <c r="BN225" s="14">
        <f>('疲劳值&amp;地图信息'!$S$10*'疲劳值&amp;地图信息'!$R$10+'疲劳值&amp;地图信息'!$S$11*'疲劳值&amp;地图信息'!$R$11+'疲劳值&amp;地图信息'!$S$12*'疲劳值&amp;地图信息'!$R$12+(BM225-'疲劳值&amp;地图信息'!$S$12-'疲劳值&amp;地图信息'!$S$11-'疲劳值&amp;地图信息'!$S$10)*'疲劳值&amp;地图信息'!$R$13)/BM225</f>
        <v>51.371477246638619</v>
      </c>
      <c r="BO225" s="14">
        <f>INDEX(其他调用!$M$5:$M$404,MATCH(BL225,其他调用!$B$5:$B$404,0))*0.6</f>
        <v>60</v>
      </c>
      <c r="BP225" s="14">
        <f>IF(BO225&gt;SUM('疲劳值&amp;地图信息'!$S$10:$S$12),('疲劳值&amp;地图信息'!$S$10*'疲劳值&amp;地图信息'!$R$10+'疲劳值&amp;地图信息'!$S$11*'疲劳值&amp;地图信息'!$R$11+'疲劳值&amp;地图信息'!$S$12*'疲劳值&amp;地图信息'!$R$12+(BO225-'疲劳值&amp;地图信息'!$S$12-'疲劳值&amp;地图信息'!$S$11-'疲劳值&amp;地图信息'!$S$10)*'疲劳值&amp;地图信息'!$R$13)/BO225,('疲劳值&amp;地图信息'!$S$10*'疲劳值&amp;地图信息'!$R$10+'疲劳值&amp;地图信息'!$S$11*'疲劳值&amp;地图信息'!$R$11+'疲劳值&amp;地图信息'!$S$12*'疲劳值&amp;地图信息'!$R$12+(BO225-'疲劳值&amp;地图信息'!$S$12-'疲劳值&amp;地图信息'!$S$11-'疲劳值&amp;地图信息'!$S$10)*'疲劳值&amp;地图信息'!$R$13)/BO225)</f>
        <v>44.158136341605953</v>
      </c>
      <c r="BQ225" s="14">
        <f t="shared" si="419"/>
        <v>20</v>
      </c>
      <c r="BR225" s="14">
        <f>('疲劳值&amp;地图信息'!$S$10*'疲劳值&amp;地图信息'!$R$10+($BQ225-'疲劳值&amp;地图信息'!$S$10)*'疲劳值&amp;地图信息'!$R$11)/$BQ225</f>
        <v>32.067203015074995</v>
      </c>
      <c r="CF225" s="14">
        <v>220</v>
      </c>
      <c r="CG225" s="51">
        <f t="shared" si="326"/>
        <v>13928</v>
      </c>
      <c r="CH225" s="51">
        <f t="shared" si="327"/>
        <v>1086</v>
      </c>
      <c r="CI225" s="51">
        <f>INT(SUMPRODUCT($N225:$R225,$BA225:$BE225)/SUM($BA225:$BE225)/10000*$BX$7*$BZ$34/'疲劳值&amp;地图信息'!$R$10*$BY$53)</f>
        <v>3296</v>
      </c>
      <c r="CJ225" s="50">
        <f t="shared" si="328"/>
        <v>0.76067722555980344</v>
      </c>
      <c r="CK225" s="50">
        <f t="shared" si="329"/>
        <v>5.931185144729656E-2</v>
      </c>
      <c r="CL225" s="50">
        <f t="shared" si="330"/>
        <v>0.18001092299290006</v>
      </c>
      <c r="CM225" s="14">
        <f t="shared" si="331"/>
        <v>14880</v>
      </c>
      <c r="CN225" s="14">
        <f t="shared" si="332"/>
        <v>1743</v>
      </c>
      <c r="CO225" s="14">
        <f>INT(SUMPRODUCT($U225:$Y225,$BA225:$BE225)/SUM($BA225:$BE225)/10000*$BX$7*$BZ$34/'疲劳值&amp;地图信息'!$R$10*$BY$54)</f>
        <v>6138</v>
      </c>
      <c r="CP225" s="50">
        <f t="shared" si="333"/>
        <v>0.65374983524449715</v>
      </c>
      <c r="CQ225" s="50">
        <f t="shared" si="334"/>
        <v>7.6578357717147758E-2</v>
      </c>
      <c r="CR225" s="50">
        <f t="shared" si="335"/>
        <v>0.26967180703835508</v>
      </c>
      <c r="CS225" s="14">
        <f t="shared" si="336"/>
        <v>16222</v>
      </c>
      <c r="CT225" s="14">
        <f t="shared" si="337"/>
        <v>3030</v>
      </c>
      <c r="CU225" s="14">
        <f>INT(SUMPRODUCT($AB225:$AF225,$BA225:$BE225)/SUM($BA225:$BE225)/10000*$BX$7*$BZ$34/'疲劳值&amp;地图信息'!$R$10*$BY$55)</f>
        <v>8339</v>
      </c>
      <c r="CV225" s="50">
        <f t="shared" si="338"/>
        <v>0.5879453444963938</v>
      </c>
      <c r="CW225" s="50">
        <f t="shared" si="339"/>
        <v>0.10981841904969011</v>
      </c>
      <c r="CX225" s="50">
        <f t="shared" si="340"/>
        <v>0.30223623645391612</v>
      </c>
      <c r="CY225" s="14">
        <f t="shared" si="341"/>
        <v>19474</v>
      </c>
      <c r="CZ225" s="14">
        <f t="shared" si="342"/>
        <v>8876</v>
      </c>
      <c r="DA225" s="14">
        <f>INT(SUMPRODUCT($AI225:$AM225,$BA225:$BE225)/SUM($BA225:$BE225)/10000*$BX$7*$BZ$34/'疲劳值&amp;地图信息'!$R$10*$BY$56)</f>
        <v>12580</v>
      </c>
      <c r="DB225" s="50">
        <f t="shared" si="343"/>
        <v>0.47578793061324209</v>
      </c>
      <c r="DC225" s="50">
        <f t="shared" si="344"/>
        <v>0.21685805032983141</v>
      </c>
      <c r="DD225" s="50">
        <f t="shared" si="345"/>
        <v>0.30735401905692644</v>
      </c>
      <c r="DE225" s="14">
        <f t="shared" si="346"/>
        <v>20339</v>
      </c>
      <c r="DF225" s="14">
        <f t="shared" si="347"/>
        <v>15152</v>
      </c>
      <c r="DG225" s="14">
        <f>INT(SUMPRODUCT($AP225:$AT225,$BA225:$BE225)/SUM($BA225:$BE225)/10000*$BX$7*$BZ$34/'疲劳值&amp;地图信息'!$R$10*$BY$57)</f>
        <v>16796</v>
      </c>
      <c r="DH225" s="50">
        <f t="shared" si="348"/>
        <v>0.3889877024881902</v>
      </c>
      <c r="DI225" s="50">
        <f t="shared" si="349"/>
        <v>0.28978522386061545</v>
      </c>
      <c r="DJ225" s="50">
        <f t="shared" si="350"/>
        <v>0.32122707365119435</v>
      </c>
      <c r="DL225" s="14">
        <f t="shared" si="421"/>
        <v>18310</v>
      </c>
      <c r="DM225" s="14">
        <f t="shared" si="422"/>
        <v>22761</v>
      </c>
      <c r="DN225" s="14">
        <f t="shared" si="423"/>
        <v>27591</v>
      </c>
      <c r="DO225" s="14">
        <f t="shared" si="424"/>
        <v>40930</v>
      </c>
      <c r="DP225" s="14">
        <f t="shared" si="425"/>
        <v>52287</v>
      </c>
      <c r="DQ225" s="14">
        <f t="shared" si="426"/>
        <v>1259766</v>
      </c>
      <c r="DT225" s="14">
        <f t="shared" si="420"/>
        <v>235575</v>
      </c>
      <c r="DU225" s="50">
        <f t="shared" si="322"/>
        <v>0.15753931711897154</v>
      </c>
      <c r="DW225" s="14">
        <f t="shared" si="351"/>
        <v>1495341</v>
      </c>
      <c r="EB225" s="14">
        <v>220</v>
      </c>
      <c r="EC225" s="51">
        <f t="shared" si="352"/>
        <v>23214</v>
      </c>
      <c r="ED225" s="51">
        <f t="shared" si="353"/>
        <v>1811</v>
      </c>
      <c r="EE225" s="51">
        <f>INT(SUMPRODUCT($N225:$R225,$BF225:$BJ225)/SUM($BF225:$BJ225)/10000*$BX$7*$BZ$46/'疲劳值&amp;地图信息'!$R$10*$BY$53)</f>
        <v>442</v>
      </c>
      <c r="EF225" s="50">
        <f t="shared" si="354"/>
        <v>0.91153257156319945</v>
      </c>
      <c r="EG225" s="50">
        <f t="shared" si="355"/>
        <v>7.1111634664467738E-2</v>
      </c>
      <c r="EH225" s="50">
        <f t="shared" si="356"/>
        <v>1.7355793772332824E-2</v>
      </c>
      <c r="EI225" s="51">
        <f t="shared" si="357"/>
        <v>24801</v>
      </c>
      <c r="EJ225" s="51">
        <f t="shared" si="358"/>
        <v>2905</v>
      </c>
      <c r="EK225" s="14">
        <f>INT(SUMPRODUCT($U225:$Y225,$BF225:$BJ225)/SUM($BF225:$BJ225)/10000*$BX$7*$BZ$46/'疲劳值&amp;地图信息'!$R$10*$BY$54)</f>
        <v>824</v>
      </c>
      <c r="EL225" s="50">
        <f t="shared" si="359"/>
        <v>0.86929547844374344</v>
      </c>
      <c r="EM225" s="50">
        <f t="shared" si="360"/>
        <v>0.10182264283210656</v>
      </c>
      <c r="EN225" s="50">
        <f t="shared" si="361"/>
        <v>2.8881878724150017E-2</v>
      </c>
      <c r="EO225" s="51">
        <f t="shared" si="362"/>
        <v>27036</v>
      </c>
      <c r="EP225" s="51">
        <f t="shared" si="363"/>
        <v>5050</v>
      </c>
      <c r="EQ225" s="14">
        <f>INT(SUMPRODUCT($AB225:$AF225,$BF225:$BJ225)/SUM($BF225:$BJ225)/10000*$BX$7*$BZ$46/'疲劳值&amp;地图信息'!$R$10*$BY$55)</f>
        <v>1118</v>
      </c>
      <c r="ER225" s="50">
        <f t="shared" si="364"/>
        <v>0.81423924828333938</v>
      </c>
      <c r="ES225" s="50">
        <f t="shared" si="365"/>
        <v>0.15209010962534633</v>
      </c>
      <c r="ET225" s="50">
        <f t="shared" si="366"/>
        <v>3.3670642091314297E-2</v>
      </c>
      <c r="EU225" s="51">
        <f t="shared" si="367"/>
        <v>32457</v>
      </c>
      <c r="EV225" s="51">
        <f t="shared" si="368"/>
        <v>14794</v>
      </c>
      <c r="EW225" s="14">
        <f>INT(SUMPRODUCT($AI225:$AM225,$BF225:$BJ225)/SUM($BF225:$BJ225)/10000*$BX$7*$BZ$46/'疲劳值&amp;地图信息'!$R$10*$BY$56)</f>
        <v>1677</v>
      </c>
      <c r="EX225" s="50">
        <f t="shared" si="369"/>
        <v>0.66336249182472207</v>
      </c>
      <c r="EY225" s="50">
        <f t="shared" si="370"/>
        <v>0.30236265533028123</v>
      </c>
      <c r="EZ225" s="50">
        <f t="shared" si="371"/>
        <v>3.4274852844996727E-2</v>
      </c>
      <c r="FA225" s="51">
        <f t="shared" si="372"/>
        <v>33899</v>
      </c>
      <c r="FB225" s="51">
        <f t="shared" si="373"/>
        <v>25253</v>
      </c>
      <c r="FC225" s="14">
        <f>INT(SUMPRODUCT($AP225:$AT225,$BF225:$BJ225)/SUM($BF225:$BJ225)/10000*$BX$7*$BZ$46/'疲劳值&amp;地图信息'!$R$10*$BY$57)</f>
        <v>2237</v>
      </c>
      <c r="FD225" s="50">
        <f t="shared" si="374"/>
        <v>0.552199905520533</v>
      </c>
      <c r="FE225" s="50">
        <f t="shared" si="375"/>
        <v>0.41136034142924627</v>
      </c>
      <c r="FF225" s="50">
        <f t="shared" si="376"/>
        <v>3.6439753050220722E-2</v>
      </c>
      <c r="FH225" s="14">
        <f t="shared" si="377"/>
        <v>25467</v>
      </c>
      <c r="FI225" s="14">
        <f t="shared" si="378"/>
        <v>28530</v>
      </c>
      <c r="FJ225" s="14">
        <f t="shared" si="379"/>
        <v>33204</v>
      </c>
      <c r="FK225" s="14">
        <f t="shared" si="380"/>
        <v>48928</v>
      </c>
      <c r="FL225" s="14">
        <f t="shared" si="381"/>
        <v>61389</v>
      </c>
      <c r="FM225" s="14">
        <f t="shared" si="382"/>
        <v>2973481</v>
      </c>
      <c r="FP225" s="14">
        <f t="shared" si="383"/>
        <v>334150</v>
      </c>
      <c r="FQ225" s="50">
        <f t="shared" si="323"/>
        <v>0.10102396549070922</v>
      </c>
      <c r="FS225" s="14">
        <f t="shared" si="384"/>
        <v>3307631</v>
      </c>
      <c r="FX225" s="14">
        <v>220</v>
      </c>
      <c r="FY225" s="51">
        <f t="shared" si="385"/>
        <v>32500</v>
      </c>
      <c r="FZ225" s="51">
        <f t="shared" si="386"/>
        <v>1811</v>
      </c>
      <c r="GA225" s="51">
        <f>INT(SUMPRODUCT($N225:$R225,$BF225:$BJ225)/SUM($BF225:$BJ225)/10000*$BX$7*$BZ$46/'疲劳值&amp;地图信息'!$R$10*$BY$53)</f>
        <v>442</v>
      </c>
      <c r="GB225" s="50">
        <f t="shared" si="387"/>
        <v>0.93517106436854369</v>
      </c>
      <c r="GC225" s="50">
        <f t="shared" si="388"/>
        <v>5.2110609156044083E-2</v>
      </c>
      <c r="GD225" s="50">
        <f t="shared" si="389"/>
        <v>1.2718326475412194E-2</v>
      </c>
      <c r="GE225" s="51">
        <f t="shared" si="390"/>
        <v>34721</v>
      </c>
      <c r="GF225" s="51">
        <f t="shared" si="391"/>
        <v>2905</v>
      </c>
      <c r="GG225" s="14">
        <f>INT(SUMPRODUCT($U225:$Y225,$BF225:$BJ225)/SUM($BF225:$BJ225)/10000*$BX$7*$BZ$46/'疲劳值&amp;地图信息'!$R$10*$BY$54)</f>
        <v>824</v>
      </c>
      <c r="GH225" s="50">
        <f t="shared" si="392"/>
        <v>0.90301690507152144</v>
      </c>
      <c r="GI225" s="50">
        <f t="shared" si="393"/>
        <v>7.5552665799739918E-2</v>
      </c>
      <c r="GJ225" s="50">
        <f t="shared" si="394"/>
        <v>2.1430429128738621E-2</v>
      </c>
      <c r="GK225" s="51">
        <f t="shared" si="395"/>
        <v>37851</v>
      </c>
      <c r="GL225" s="51">
        <f t="shared" si="396"/>
        <v>5050</v>
      </c>
      <c r="GM225" s="14">
        <f>INT(SUMPRODUCT($AB225:$AF225,$BF225:$BJ225)/SUM($BF225:$BJ225)/10000*$BX$7*$BZ$46/'疲劳值&amp;地图信息'!$R$10*$BY$55)</f>
        <v>1118</v>
      </c>
      <c r="GN225" s="50">
        <f t="shared" si="397"/>
        <v>0.85987868874804063</v>
      </c>
      <c r="GO225" s="50">
        <f t="shared" si="398"/>
        <v>0.11472318771439606</v>
      </c>
      <c r="GP225" s="50">
        <f t="shared" si="399"/>
        <v>2.5398123537563325E-2</v>
      </c>
      <c r="GQ225" s="51">
        <f t="shared" si="400"/>
        <v>45440</v>
      </c>
      <c r="GR225" s="51">
        <f t="shared" si="401"/>
        <v>14794</v>
      </c>
      <c r="GS225" s="14">
        <f>INT(SUMPRODUCT($AI225:$AM225,$BF225:$BJ225)/SUM($BF225:$BJ225)/10000*$BX$7*$BZ$46/'疲劳值&amp;地图信息'!$R$10*$BY$56)</f>
        <v>1677</v>
      </c>
      <c r="GT225" s="50">
        <f t="shared" si="402"/>
        <v>0.73395680896771176</v>
      </c>
      <c r="GU225" s="50">
        <f t="shared" si="403"/>
        <v>0.23895592059569382</v>
      </c>
      <c r="GV225" s="50">
        <f t="shared" si="404"/>
        <v>2.7087270436594466E-2</v>
      </c>
      <c r="GW225" s="51">
        <f t="shared" si="405"/>
        <v>47459</v>
      </c>
      <c r="GX225" s="51">
        <f t="shared" si="406"/>
        <v>25253</v>
      </c>
      <c r="GY225" s="14">
        <f>INT(SUMPRODUCT($AP225:$AT225,$BF225:$BJ225)/SUM($BF225:$BJ225)/10000*$BX$7*$BZ$46/'疲劳值&amp;地图信息'!$R$10*$BY$57)</f>
        <v>2237</v>
      </c>
      <c r="GZ225" s="50">
        <f t="shared" si="407"/>
        <v>0.63321725439965848</v>
      </c>
      <c r="HA225" s="50">
        <f t="shared" si="408"/>
        <v>0.33693578299910604</v>
      </c>
      <c r="HB225" s="50">
        <f t="shared" si="409"/>
        <v>2.9846962601235507E-2</v>
      </c>
      <c r="HD225" s="14">
        <f t="shared" si="410"/>
        <v>34753</v>
      </c>
      <c r="HE225" s="14">
        <f t="shared" si="411"/>
        <v>38450</v>
      </c>
      <c r="HF225" s="14">
        <f t="shared" si="412"/>
        <v>44019</v>
      </c>
      <c r="HG225" s="14">
        <f t="shared" si="413"/>
        <v>61911</v>
      </c>
      <c r="HH225" s="14">
        <f t="shared" si="414"/>
        <v>74949</v>
      </c>
      <c r="HI225" s="14">
        <f t="shared" si="415"/>
        <v>4001955</v>
      </c>
      <c r="HL225" s="14">
        <f t="shared" si="416"/>
        <v>430050</v>
      </c>
      <c r="HM225" s="50">
        <f t="shared" si="324"/>
        <v>9.7032832769818625E-2</v>
      </c>
      <c r="HO225" s="14">
        <f t="shared" si="417"/>
        <v>4432005</v>
      </c>
    </row>
    <row r="226" spans="11:223" x14ac:dyDescent="0.2">
      <c r="K226" s="14">
        <v>221</v>
      </c>
      <c r="L226" s="12">
        <f>求节点(节奏总纲!D$4:D$163,标准城池设计!AB$4:AB$163,$K226)*求节点(节奏总纲!D$4:D$163,攻城基础信息!$AC$5:$AC$164,$K226)</f>
        <v>684766.81471474038</v>
      </c>
      <c r="M226" s="12">
        <f>INDEX(其他调用!$AA$5:$AA$404,MATCH(K226,其他调用!$X$5:$X$404,0))*MIN(INDEX(其他调用!$AH$5:$AH$364,MATCH('征服点（新）'!K226,其他调用!$AG$5:$AG$364,0),1)/INDEX(其他调用!$AJ$5:$AJ$364,MATCH(K226,其他调用!$AG$5:$AG$364,0),0),5)*求节点(节奏总纲!D$4:D$163,攻城基础信息!$AC$5:$AC$164,$K226)</f>
        <v>53386.704234630713</v>
      </c>
      <c r="N226" s="12">
        <f>MIN(INDEX(其他调用!$AH$5:$AH$364,MATCH($K226,其他调用!$AG$5:$AG$364,0),1)/INDEX(其他调用!AH$5:AH$364,MATCH($K226,其他调用!$AG$5:$AG$364,0),0),1)*INDEX(其他调用!Y$5:Y$404,MATCH($K226,其他调用!$X$5:$X$404,0),0)</f>
        <v>40708.564115889247</v>
      </c>
      <c r="O226" s="12">
        <f>MIN(INDEX(其他调用!$AH$5:$AH$364,MATCH($K226,其他调用!$AG$5:$AG$364,0),1)/INDEX(其他调用!AI$5:AI$364,MATCH($K226,其他调用!$AG$5:$AG$364,0),0),1)*INDEX(其他调用!Z$5:Z$404,MATCH($K226,其他调用!$X$5:$X$404,0),0)</f>
        <v>26086.901229424206</v>
      </c>
      <c r="P226" s="12">
        <f>MIN(INDEX(其他调用!$AH$5:$AH$364,MATCH($K226,其他调用!$AG$5:$AG$364,0),1)/INDEX(其他调用!AJ$5:AJ$364,MATCH($K226,其他调用!$AG$5:$AG$364,0),0),1)*INDEX(其他调用!AA$5:AA$404,MATCH($K226,其他调用!$X$5:$X$404,0),0)</f>
        <v>15558.239220443042</v>
      </c>
      <c r="Q226" s="12">
        <f>MIN(INDEX(其他调用!$AH$5:$AH$364,MATCH($K226,其他调用!$AG$5:$AG$364,0),1)/INDEX(其他调用!AK$5:AK$364,MATCH($K226,其他调用!$AG$5:$AG$364,0),0),1)*INDEX(其他调用!AB$5:AB$404,MATCH($K226,其他调用!$X$5:$X$404,0),0)</f>
        <v>5576.22677519432</v>
      </c>
      <c r="R226" s="12">
        <f>MIN(INDEX(其他调用!$AH$5:$AH$364,MATCH($K226,其他调用!$AG$5:$AG$364,0),1)/INDEX(其他调用!AL$5:AL$364,MATCH($K226,其他调用!$AG$5:$AG$364,0),0),1)*INDEX(其他调用!AC$5:AC$404,MATCH($K226,其他调用!$X$5:$X$404,0),0)</f>
        <v>2709.9476790039453</v>
      </c>
      <c r="S226" s="12">
        <f>求节点(节奏总纲!D$4:D$163,标准城池设计!AC$4:AC$163,$K226)*求节点(节奏总纲!D$4:D$163,攻城基础信息!$AD$5:$AD$164,$K226)</f>
        <v>731767.55256629444</v>
      </c>
      <c r="T226" s="12">
        <f>INDEX(其他调用!$AA$5:$AA$404,MATCH($K226,其他调用!$X$5:$X$404,0))*MIN(INDEX(其他调用!AI$5:AI$364,MATCH($K226,其他调用!$AG$5:$AG$364,0),1)/INDEX(其他调用!$AJ$5:$AJ$364,MATCH($K226,其他调用!$AG$5:$AG$364,0),0),5)*求节点(节奏总纲!D$4:D$163,攻城基础信息!$AD$5:$AD$164,$K226)</f>
        <v>85676.205739364072</v>
      </c>
      <c r="U226" s="12">
        <f>MIN(INDEX(其他调用!$AI$5:$AI$364,MATCH($K226,其他调用!$AG$5:$AG$364,0),1)/INDEX(其他调用!AH$5:AH$364,MATCH($K226,其他调用!$AG$5:$AG$364,0),0),1)*INDEX(其他调用!Y$5:Y$404,MATCH($K226,其他调用!$X$5:$X$404,0),0)</f>
        <v>40708.564115889247</v>
      </c>
      <c r="V226" s="12">
        <f>MIN(INDEX(其他调用!$AI$5:$AI$364,MATCH($K226,其他调用!$AG$5:$AG$364,0),1)/INDEX(其他调用!AI$5:AI$364,MATCH($K226,其他调用!$AG$5:$AG$364,0),0),1)*INDEX(其他调用!Z$5:Z$404,MATCH($K226,其他调用!$X$5:$X$404,0),0)</f>
        <v>41864.856594477846</v>
      </c>
      <c r="W226" s="12">
        <f>MIN(INDEX(其他调用!$AI$5:$AI$364,MATCH($K226,其他调用!$AG$5:$AG$364,0),1)/INDEX(其他调用!AJ$5:AJ$364,MATCH($K226,其他调用!$AG$5:$AG$364,0),0),1)*INDEX(其他调用!AA$5:AA$404,MATCH($K226,其他调用!$X$5:$X$404,0),0)</f>
        <v>24968.218651119769</v>
      </c>
      <c r="X226" s="12">
        <f>MIN(INDEX(其他调用!$AI$5:$AI$364,MATCH($K226,其他调用!$AG$5:$AG$364,0),1)/INDEX(其他调用!AK$5:AK$364,MATCH($K226,其他调用!$AG$5:$AG$364,0),0),1)*INDEX(其他调用!AB$5:AB$404,MATCH($K226,其他调用!$X$5:$X$404,0),0)</f>
        <v>8948.8564482501606</v>
      </c>
      <c r="Y226" s="12">
        <f>MIN(INDEX(其他调用!$AI$5:$AI$364,MATCH($K226,其他调用!$AG$5:$AG$364,0),1)/INDEX(其他调用!AL$5:AL$364,MATCH($K226,其他调用!$AG$5:$AG$364,0),0),1)*INDEX(其他调用!AC$5:AC$404,MATCH($K226,其他调用!$X$5:$X$404,0),0)</f>
        <v>4348.9861046459891</v>
      </c>
      <c r="Z226" s="12">
        <f>求节点(节奏总纲!D$4:D$163,标准城池设计!AD$4:AD$163,$K226)*求节点(节奏总纲!D$4:D$163,攻城基础信息!$AE$5:$AE$164,$K226)</f>
        <v>798096.61215560033</v>
      </c>
      <c r="AA226" s="12">
        <f>INDEX(其他调用!$AA$5:$AA$404,MATCH($K226,其他调用!$X$5:$X$404,0))*MIN(INDEX(其他调用!AJ$5:AJ$364,MATCH($K226,其他调用!$AG$5:$AG$364,0),1)/INDEX(其他调用!$AJ$5:$AJ$364,MATCH($K226,其他调用!$AG$5:$AG$364,0),0),5)*求节点(节奏总纲!D$4:D$163,攻城基础信息!$AE$5:$AE$164,$K226)</f>
        <v>148877.05498806987</v>
      </c>
      <c r="AB226" s="12">
        <f>MIN(INDEX(其他调用!$AJ$5:$AJ$364,MATCH($K226,其他调用!$AG$5:$AG$364,0),1)/INDEX(其他调用!AH$5:AH$364,MATCH($K226,其他调用!$AG$5:$AG$364,0),0),1)*INDEX(其他调用!Y$5:Y$404,MATCH($K226,其他调用!$X$5:$X$404,0),0)</f>
        <v>40708.564115889247</v>
      </c>
      <c r="AC226" s="12">
        <f>MIN(INDEX(其他调用!$AJ$5:$AJ$364,MATCH($K226,其他调用!$AG$5:$AG$364,0),1)/INDEX(其他调用!AI$5:AI$364,MATCH($K226,其他调用!$AG$5:$AG$364,0),0),1)*INDEX(其他调用!Z$5:Z$404,MATCH($K226,其他调用!$X$5:$X$404,0),0)</f>
        <v>41864.856594477846</v>
      </c>
      <c r="AD226" s="12">
        <f>MIN(INDEX(其他调用!$AJ$5:$AJ$364,MATCH($K226,其他调用!$AG$5:$AG$364,0),1)/INDEX(其他调用!AJ$5:AJ$364,MATCH($K226,其他调用!$AG$5:$AG$364,0),0),1)*INDEX(其他调用!AA$5:AA$404,MATCH($K226,其他调用!$X$5:$X$404,0),0)</f>
        <v>43386.548563845172</v>
      </c>
      <c r="AE226" s="12">
        <f>MIN(INDEX(其他调用!$AJ$5:$AJ$364,MATCH($K226,其他调用!$AG$5:$AG$364,0),1)/INDEX(其他调用!AK$5:AK$364,MATCH($K226,其他调用!$AG$5:$AG$364,0),0),1)*INDEX(其他调用!AB$5:AB$404,MATCH($K226,其他调用!$X$5:$X$404,0),0)</f>
        <v>15550.168007899596</v>
      </c>
      <c r="AF226" s="12">
        <f>MIN(INDEX(其他调用!$AJ$5:$AJ$364,MATCH($K226,其他调用!$AG$5:$AG$364,0),1)/INDEX(其他调用!AL$5:AL$364,MATCH($K226,其他调用!$AG$5:$AG$364,0),0),1)*INDEX(其他调用!AC$5:AC$404,MATCH($K226,其他调用!$X$5:$X$404,0),0)</f>
        <v>7557.1068753136233</v>
      </c>
      <c r="AG226" s="12">
        <f>求节点(节奏总纲!D$4:D$163,标准城池设计!AE$4:AE$163,$K226)*求节点(节奏总纲!D$4:D$163,攻城基础信息!$AF$5:$AF$164,$K226)</f>
        <v>958319.99504298775</v>
      </c>
      <c r="AH226" s="12">
        <f>INDEX(其他调用!$AA$5:$AA$404,MATCH($K226,其他调用!$X$5:$X$404,0))*MIN(INDEX(其他调用!AK$5:AK$364,MATCH($K226,其他调用!$AG$5:$AG$364,0),1)/INDEX(其他调用!$AJ$5:$AJ$364,MATCH($K226,其他调用!$AG$5:$AG$364,0),0),5)*求节点(节奏总纲!D$4:D$163,攻城基础信息!$AF$5:$AF$164,$K226)</f>
        <v>436473.50073791132</v>
      </c>
      <c r="AI226" s="12">
        <f>MIN(INDEX(其他调用!$AK$5:$AK$364,MATCH($K226,其他调用!$AG$5:$AG$364,0),1)/INDEX(其他调用!AH$5:AH$364,MATCH($K226,其他调用!$AG$5:$AG$364,0),0),1)*INDEX(其他调用!Y$5:Y$404,MATCH($K226,其他调用!$X$5:$X$404,0),0)</f>
        <v>40708.564115889247</v>
      </c>
      <c r="AJ226" s="12">
        <f>MIN(INDEX(其他调用!$AK$5:$AK$364,MATCH($K226,其他调用!$AG$5:$AG$364,0),1)/INDEX(其他调用!AI$5:AI$364,MATCH($K226,其他调用!$AG$5:$AG$364,0),0),1)*INDEX(其他调用!Z$5:Z$404,MATCH($K226,其他调用!$X$5:$X$404,0),0)</f>
        <v>41864.856594477846</v>
      </c>
      <c r="AK226" s="12">
        <f>MIN(INDEX(其他调用!$AK$5:$AK$364,MATCH($K226,其他调用!$AG$5:$AG$364,0),1)/INDEX(其他调用!AJ$5:AJ$364,MATCH($K226,其他调用!$AG$5:$AG$364,0),0),1)*INDEX(其他调用!AA$5:AA$404,MATCH($K226,其他调用!$X$5:$X$404,0),0)</f>
        <v>43386.548563845172</v>
      </c>
      <c r="AL226" s="12">
        <f>MIN(INDEX(其他调用!$AK$5:$AK$364,MATCH($K226,其他调用!$AG$5:$AG$364,0),1)/INDEX(其他调用!AK$5:AK$364,MATCH($K226,其他调用!$AG$5:$AG$364,0),0),1)*INDEX(其他调用!AB$5:AB$404,MATCH($K226,其他调用!$X$5:$X$404,0),0)</f>
        <v>45589.538750712782</v>
      </c>
      <c r="AM226" s="12">
        <f>MIN(INDEX(其他调用!$AK$5:$AK$364,MATCH($K226,其他调用!$AG$5:$AG$364,0),1)/INDEX(其他调用!AL$5:AL$364,MATCH($K226,其他调用!$AG$5:$AG$364,0),0),1)*INDEX(其他调用!AC$5:AC$404,MATCH($K226,其他调用!$X$5:$X$404,0),0)</f>
        <v>22155.71025087107</v>
      </c>
      <c r="AN226" s="12">
        <f>求节点(节奏总纲!D$4:D$163,标准城池设计!AF$4:AF$163,$K226)*求节点(节奏总纲!D$4:D$163,攻城基础信息!$AG$5:$AG$164,$K226)</f>
        <v>1001122.3752633258</v>
      </c>
      <c r="AO226" s="12">
        <f>INDEX(其他调用!$AA$5:$AA$404,MATCH($K226,其他调用!$X$5:$X$404,0))*MIN(INDEX(其他调用!AL$5:AL$364,MATCH($K226,其他调用!$AG$5:$AG$364,0),1)/INDEX(其他调用!$AJ$5:$AJ$364,MATCH($K226,其他调用!$AG$5:$AG$364,0),0),5)*求节点(节奏总纲!D$4:D$163,攻城基础信息!$AG$5:$AG$164,$K226)</f>
        <v>744385.27494034928</v>
      </c>
      <c r="AP226" s="12">
        <f>MIN(INDEX(其他调用!$AL$5:$AL$364,MATCH($K226,其他调用!$AG$5:$AG$364,0),1)/INDEX(其他调用!AH$5:AH$364,MATCH($K226,其他调用!$AG$5:$AG$364,0),0),1)*INDEX(其他调用!Y$5:Y$404,MATCH($K226,其他调用!$X$5:$X$404,0),0)</f>
        <v>40708.564115889247</v>
      </c>
      <c r="AQ226" s="12">
        <f>MIN(INDEX(其他调用!$AL$5:$AL$364,MATCH($K226,其他调用!$AG$5:$AG$364,0),1)/INDEX(其他调用!AI$5:AI$364,MATCH($K226,其他调用!$AG$5:$AG$364,0),0),1)*INDEX(其他调用!Z$5:Z$404,MATCH($K226,其他调用!$X$5:$X$404,0),0)</f>
        <v>41864.856594477846</v>
      </c>
      <c r="AR226" s="12">
        <f>MIN(INDEX(其他调用!$AL$5:$AL$364,MATCH($K226,其他调用!$AG$5:$AG$364,0),1)/INDEX(其他调用!AJ$5:AJ$364,MATCH($K226,其他调用!$AG$5:$AG$364,0),0),1)*INDEX(其他调用!AA$5:AA$404,MATCH($K226,其他调用!$X$5:$X$404,0),0)</f>
        <v>43386.548563845172</v>
      </c>
      <c r="AS226" s="12">
        <f>MIN(INDEX(其他调用!$AL$5:$AL$364,MATCH($K226,其他调用!$AG$5:$AG$364,0),1)/INDEX(其他调用!AK$5:AK$364,MATCH($K226,其他调用!$AG$5:$AG$364,0),0),1)*INDEX(其他调用!AB$5:AB$404,MATCH($K226,其他调用!$X$5:$X$404,0),0)</f>
        <v>45589.538750712782</v>
      </c>
      <c r="AT226" s="12">
        <f>MIN(INDEX(其他调用!$AL$5:$AL$364,MATCH($K226,其他调用!$AG$5:$AG$364,0),1)/INDEX(其他调用!AL$5:AL$364,MATCH($K226,其他调用!$AG$5:$AG$364,0),0),1)*INDEX(其他调用!AC$5:AC$404,MATCH($K226,其他调用!$X$5:$X$404,0),0)</f>
        <v>49521.073744176167</v>
      </c>
      <c r="AV226" s="14">
        <f>IF(OR(AV$5="大R",AV$5="超R"),MAX(INDEX(其他调用!$H$5:$L$404,MATCH($K226,其他调用!$B$5:$B$404,0),MATCH(AV$5,其他调用!$H$4:$L$4,0))*120*0.85,2),INDEX(其他调用!$H$5:$L$404,MATCH($K226,其他调用!$B$5:$B$404,0),MATCH(AV$5,其他调用!$H$4:$L$4,0))*120*0.85)</f>
        <v>48.921801254999991</v>
      </c>
      <c r="AW226" s="14">
        <f>IF(OR(AW$5="大R",AW$5="超R"),MAX(INDEX(其他调用!$H$5:$L$404,MATCH($K226,其他调用!$B$5:$B$404,0),MATCH(AW$5,其他调用!$H$4:$L$4,0))*120*0.85,2),INDEX(其他调用!$H$5:$L$404,MATCH($K226,其他调用!$B$5:$B$404,0),MATCH(AW$5,其他调用!$H$4:$L$4,0))*120*0.85)</f>
        <v>48.237344010638395</v>
      </c>
      <c r="AX226" s="14">
        <f>IF(OR(AX$5="大R",AX$5="超R"),MAX(INDEX(其他调用!$H$5:$L$404,MATCH($K226,其他调用!$B$5:$B$404,0),MATCH(AX$5,其他调用!$H$4:$L$4,0))*120*0.85,2),INDEX(其他调用!$H$5:$L$404,MATCH($K226,其他调用!$B$5:$B$404,0),MATCH(AX$5,其他调用!$H$4:$L$4,0))*120*0.85)</f>
        <v>3.9376284143615998</v>
      </c>
      <c r="AY226" s="14">
        <f>IF(OR(AY$5="大R",AY$5="超R"),MAX(INDEX(其他调用!$H$5:$L$404,MATCH($K226,其他调用!$B$5:$B$404,0),MATCH(AY$5,其他调用!$H$4:$L$4,0))*120*0.85,2),INDEX(其他调用!$H$5:$L$404,MATCH($K226,其他调用!$B$5:$B$404,0),MATCH(AY$5,其他调用!$H$4:$L$4,0))*120*0.85)</f>
        <v>2</v>
      </c>
      <c r="AZ226" s="14">
        <f>IF(OR(AZ$5="大R",AZ$5="超R"),MAX(INDEX(其他调用!$H$5:$L$404,MATCH($K226,其他调用!$B$5:$B$404,0),MATCH(AZ$5,其他调用!$H$4:$L$4,0))*120*0.85,2),INDEX(其他调用!$H$5:$L$404,MATCH($K226,其他调用!$B$5:$B$404,0),MATCH(AZ$5,其他调用!$H$4:$L$4,0))*120*0.85)</f>
        <v>2</v>
      </c>
      <c r="BA226" s="14">
        <f>INDEX(其他调用!$H$5:$L$404,MATCH($K226,其他调用!$B$5:$B$404,0),MATCH(BA$5,其他调用!$H$4:$L$4,0))*INDEX(其他调用!$M$5:$M$404,MATCH($K226,其他调用!$B$5:$B$404,0))*0.6</f>
        <v>28.777530149999997</v>
      </c>
      <c r="BB226" s="14">
        <f>INDEX(其他调用!$H$5:$L$404,MATCH($K226,其他调用!$B$5:$B$404,0),MATCH(BB$5,其他调用!$H$4:$L$4,0))*INDEX(其他调用!$M$5:$M$404,MATCH($K226,其他调用!$B$5:$B$404,0))*0.6</f>
        <v>28.374908241551999</v>
      </c>
      <c r="BC226" s="14">
        <f>INDEX(其他调用!$H$5:$L$404,MATCH($K226,其他调用!$B$5:$B$404,0),MATCH(BC$5,其他调用!$H$4:$L$4,0))*INDEX(其他调用!$M$5:$M$404,MATCH($K226,其他调用!$B$5:$B$404,0))*0.6</f>
        <v>2.3162520084480001</v>
      </c>
      <c r="BD226" s="14">
        <f>INDEX(其他调用!$H$5:$L$404,MATCH($K226,其他调用!$B$5:$B$404,0),MATCH(BD$5,其他调用!$H$4:$L$4,0))*INDEX(其他调用!$M$5:$M$404,MATCH($K226,其他调用!$B$5:$B$404,0))*0.6</f>
        <v>0.4120776000000001</v>
      </c>
      <c r="BE226" s="14">
        <f>INDEX(其他调用!$H$5:$L$404,MATCH($K226,其他调用!$B$5:$B$404,0),MATCH(BE$5,其他调用!$H$4:$L$4,0))*INDEX(其他调用!$M$5:$M$404,MATCH($K226,其他调用!$B$5:$B$404,0))*0.6</f>
        <v>0.11923199999999998</v>
      </c>
      <c r="BF226" s="14">
        <f>IF(OR(BF$5="大R",BF$5="超R"),0,INDEX(其他调用!$H$5:$L$404,MATCH($K226,其他调用!$B$5:$B$404,0),MATCH(BF$5,其他调用!$H$4:$L$4,0))*50*0.4)</f>
        <v>9.5925100500000013</v>
      </c>
      <c r="BG226" s="14">
        <f>IF(OR(BG$5="大R",BG$5="超R"),0,INDEX(其他调用!$H$5:$L$404,MATCH($K226,其他调用!$B$5:$B$404,0),MATCH(BG$5,其他调用!$H$4:$L$4,0))*50*0.4)</f>
        <v>9.4583027471839998</v>
      </c>
      <c r="BH226" s="14">
        <f>IF(OR(BH$5="大R",BH$5="超R"),0,INDEX(其他调用!$H$5:$L$404,MATCH($K226,其他调用!$B$5:$B$404,0),MATCH(BH$5,其他调用!$H$4:$L$4,0))*50*0.4)</f>
        <v>0.77208400281600009</v>
      </c>
      <c r="BI226" s="14">
        <f>IF(OR(BI$5="大R",BI$5="超R"),0,INDEX(其他调用!$H$5:$L$404,MATCH($K226,其他调用!$B$5:$B$404,0),MATCH(BI$5,其他调用!$H$4:$L$4,0))*50*0.4)</f>
        <v>0</v>
      </c>
      <c r="BJ226" s="14">
        <f>IF(OR(BJ$5="大R",BJ$5="超R"),0,INDEX(其他调用!$H$5:$L$404,MATCH($K226,其他调用!$B$5:$B$404,0),MATCH(BJ$5,其他调用!$H$4:$L$4,0))*50*0.4)</f>
        <v>0</v>
      </c>
      <c r="BL226" s="14">
        <f t="shared" si="418"/>
        <v>221</v>
      </c>
      <c r="BM226" s="14">
        <f t="shared" si="325"/>
        <v>96</v>
      </c>
      <c r="BN226" s="14">
        <f>('疲劳值&amp;地图信息'!$S$10*'疲劳值&amp;地图信息'!$R$10+'疲劳值&amp;地图信息'!$S$11*'疲劳值&amp;地图信息'!$R$11+'疲劳值&amp;地图信息'!$S$12*'疲劳值&amp;地图信息'!$R$12+(BM226-'疲劳值&amp;地图信息'!$S$12-'疲劳值&amp;地图信息'!$S$11-'疲劳值&amp;地图信息'!$S$10)*'疲劳值&amp;地图信息'!$R$13)/BM226</f>
        <v>51.371477246638619</v>
      </c>
      <c r="BO226" s="14">
        <f>INDEX(其他调用!$M$5:$M$404,MATCH(BL226,其他调用!$B$5:$B$404,0))*0.6</f>
        <v>60</v>
      </c>
      <c r="BP226" s="14">
        <f>IF(BO226&gt;SUM('疲劳值&amp;地图信息'!$S$10:$S$12),('疲劳值&amp;地图信息'!$S$10*'疲劳值&amp;地图信息'!$R$10+'疲劳值&amp;地图信息'!$S$11*'疲劳值&amp;地图信息'!$R$11+'疲劳值&amp;地图信息'!$S$12*'疲劳值&amp;地图信息'!$R$12+(BO226-'疲劳值&amp;地图信息'!$S$12-'疲劳值&amp;地图信息'!$S$11-'疲劳值&amp;地图信息'!$S$10)*'疲劳值&amp;地图信息'!$R$13)/BO226,('疲劳值&amp;地图信息'!$S$10*'疲劳值&amp;地图信息'!$R$10+'疲劳值&amp;地图信息'!$S$11*'疲劳值&amp;地图信息'!$R$11+'疲劳值&amp;地图信息'!$S$12*'疲劳值&amp;地图信息'!$R$12+(BO226-'疲劳值&amp;地图信息'!$S$12-'疲劳值&amp;地图信息'!$S$11-'疲劳值&amp;地图信息'!$S$10)*'疲劳值&amp;地图信息'!$R$13)/BO226)</f>
        <v>44.158136341605953</v>
      </c>
      <c r="BQ226" s="14">
        <f t="shared" si="419"/>
        <v>20</v>
      </c>
      <c r="BR226" s="14">
        <f>('疲劳值&amp;地图信息'!$S$10*'疲劳值&amp;地图信息'!$R$10+($BQ226-'疲劳值&amp;地图信息'!$S$10)*'疲劳值&amp;地图信息'!$R$11)/$BQ226</f>
        <v>32.067203015074995</v>
      </c>
      <c r="CF226" s="14">
        <v>221</v>
      </c>
      <c r="CG226" s="51">
        <f t="shared" si="326"/>
        <v>13956</v>
      </c>
      <c r="CH226" s="51">
        <f t="shared" si="327"/>
        <v>1088</v>
      </c>
      <c r="CI226" s="51">
        <f>INT(SUMPRODUCT($N226:$R226,$BA226:$BE226)/SUM($BA226:$BE226)/10000*$BX$7*$BZ$34/'疲劳值&amp;地图信息'!$R$10*$BY$53)</f>
        <v>3298</v>
      </c>
      <c r="CJ226" s="50">
        <f t="shared" si="328"/>
        <v>0.7608766764802094</v>
      </c>
      <c r="CK226" s="50">
        <f t="shared" si="329"/>
        <v>5.9317413586304657E-2</v>
      </c>
      <c r="CL226" s="50">
        <f t="shared" si="330"/>
        <v>0.179805909933486</v>
      </c>
      <c r="CM226" s="14">
        <f t="shared" si="331"/>
        <v>14914</v>
      </c>
      <c r="CN226" s="14">
        <f t="shared" si="332"/>
        <v>1746</v>
      </c>
      <c r="CO226" s="14">
        <f>INT(SUMPRODUCT($U226:$Y226,$BA226:$BE226)/SUM($BA226:$BE226)/10000*$BX$7*$BZ$34/'疲劳值&amp;地图信息'!$R$10*$BY$54)</f>
        <v>6142</v>
      </c>
      <c r="CP226" s="50">
        <f t="shared" si="333"/>
        <v>0.65406543285676699</v>
      </c>
      <c r="CQ226" s="50">
        <f t="shared" si="334"/>
        <v>7.6572230506095962E-2</v>
      </c>
      <c r="CR226" s="50">
        <f t="shared" si="335"/>
        <v>0.2693623366371371</v>
      </c>
      <c r="CS226" s="14">
        <f t="shared" si="336"/>
        <v>16266</v>
      </c>
      <c r="CT226" s="14">
        <f t="shared" si="337"/>
        <v>3034</v>
      </c>
      <c r="CU226" s="14">
        <f>INT(SUMPRODUCT($AB226:$AF226,$BA226:$BE226)/SUM($BA226:$BE226)/10000*$BX$7*$BZ$34/'疲劳值&amp;地图信息'!$R$10*$BY$55)</f>
        <v>8344</v>
      </c>
      <c r="CV226" s="50">
        <f t="shared" si="338"/>
        <v>0.58840978150774126</v>
      </c>
      <c r="CW226" s="50">
        <f t="shared" si="339"/>
        <v>0.10975256836926639</v>
      </c>
      <c r="CX226" s="50">
        <f t="shared" si="340"/>
        <v>0.30183765012299235</v>
      </c>
      <c r="CY226" s="14">
        <f t="shared" si="341"/>
        <v>19531</v>
      </c>
      <c r="CZ226" s="14">
        <f t="shared" si="342"/>
        <v>8895</v>
      </c>
      <c r="DA226" s="14">
        <f>INT(SUMPRODUCT($AI226:$AM226,$BA226:$BE226)/SUM($BA226:$BE226)/10000*$BX$7*$BZ$34/'疲劳值&amp;地图信息'!$R$10*$BY$56)</f>
        <v>12588</v>
      </c>
      <c r="DB226" s="50">
        <f t="shared" si="343"/>
        <v>0.47620324767152677</v>
      </c>
      <c r="DC226" s="50">
        <f t="shared" si="344"/>
        <v>0.21687716389525527</v>
      </c>
      <c r="DD226" s="50">
        <f t="shared" si="345"/>
        <v>0.30691958843321793</v>
      </c>
      <c r="DE226" s="14">
        <f t="shared" si="346"/>
        <v>20404</v>
      </c>
      <c r="DF226" s="14">
        <f t="shared" si="347"/>
        <v>15171</v>
      </c>
      <c r="DG226" s="14">
        <f>INT(SUMPRODUCT($AP226:$AT226,$BA226:$BE226)/SUM($BA226:$BE226)/10000*$BX$7*$BZ$34/'疲劳值&amp;地图信息'!$R$10*$BY$57)</f>
        <v>16806</v>
      </c>
      <c r="DH226" s="50">
        <f t="shared" si="348"/>
        <v>0.38953055497222278</v>
      </c>
      <c r="DI226" s="50">
        <f t="shared" si="349"/>
        <v>0.28962791852007408</v>
      </c>
      <c r="DJ226" s="50">
        <f t="shared" si="350"/>
        <v>0.3208415265077032</v>
      </c>
      <c r="DL226" s="14">
        <f t="shared" si="421"/>
        <v>18342</v>
      </c>
      <c r="DM226" s="14">
        <f t="shared" si="422"/>
        <v>22802</v>
      </c>
      <c r="DN226" s="14">
        <f t="shared" si="423"/>
        <v>27644</v>
      </c>
      <c r="DO226" s="14">
        <f t="shared" si="424"/>
        <v>41014</v>
      </c>
      <c r="DP226" s="14">
        <f t="shared" si="425"/>
        <v>52381</v>
      </c>
      <c r="DQ226" s="14">
        <f t="shared" si="426"/>
        <v>1262019</v>
      </c>
      <c r="DT226" s="14">
        <f t="shared" si="420"/>
        <v>235575</v>
      </c>
      <c r="DU226" s="50">
        <f t="shared" si="322"/>
        <v>0.15730231290990748</v>
      </c>
      <c r="DW226" s="14">
        <f t="shared" si="351"/>
        <v>1497594</v>
      </c>
      <c r="EB226" s="14">
        <v>221</v>
      </c>
      <c r="EC226" s="51">
        <f t="shared" si="352"/>
        <v>23260</v>
      </c>
      <c r="ED226" s="51">
        <f t="shared" si="353"/>
        <v>1813</v>
      </c>
      <c r="EE226" s="51">
        <f>INT(SUMPRODUCT($N226:$R226,$BF226:$BJ226)/SUM($BF226:$BJ226)/10000*$BX$7*$BZ$46/'疲劳值&amp;地图信息'!$R$10*$BY$53)</f>
        <v>443</v>
      </c>
      <c r="EF226" s="50">
        <f t="shared" si="354"/>
        <v>0.91158488791346604</v>
      </c>
      <c r="EG226" s="50">
        <f t="shared" si="355"/>
        <v>7.1053456654648059E-2</v>
      </c>
      <c r="EH226" s="50">
        <f t="shared" si="356"/>
        <v>1.7361655431885874E-2</v>
      </c>
      <c r="EI226" s="51">
        <f t="shared" si="357"/>
        <v>24857</v>
      </c>
      <c r="EJ226" s="51">
        <f t="shared" si="358"/>
        <v>2910</v>
      </c>
      <c r="EK226" s="14">
        <f>INT(SUMPRODUCT($U226:$Y226,$BF226:$BJ226)/SUM($BF226:$BJ226)/10000*$BX$7*$BZ$46/'疲劳值&amp;地图信息'!$R$10*$BY$54)</f>
        <v>824</v>
      </c>
      <c r="EL226" s="50">
        <f t="shared" si="359"/>
        <v>0.86939946136896229</v>
      </c>
      <c r="EM226" s="50">
        <f t="shared" si="360"/>
        <v>0.10178028050785212</v>
      </c>
      <c r="EN226" s="50">
        <f t="shared" si="361"/>
        <v>2.8820258123185619E-2</v>
      </c>
      <c r="EO226" s="51">
        <f t="shared" si="362"/>
        <v>27110</v>
      </c>
      <c r="EP226" s="51">
        <f t="shared" si="363"/>
        <v>5057</v>
      </c>
      <c r="EQ226" s="14">
        <f>INT(SUMPRODUCT($AB226:$AF226,$BF226:$BJ226)/SUM($BF226:$BJ226)/10000*$BX$7*$BZ$46/'疲劳值&amp;地图信息'!$R$10*$BY$55)</f>
        <v>1119</v>
      </c>
      <c r="ER226" s="50">
        <f t="shared" si="364"/>
        <v>0.81445652827014359</v>
      </c>
      <c r="ES226" s="50">
        <f t="shared" si="365"/>
        <v>0.15192573454305114</v>
      </c>
      <c r="ET226" s="50">
        <f t="shared" si="366"/>
        <v>3.361773718680526E-2</v>
      </c>
      <c r="EU226" s="51">
        <f t="shared" si="367"/>
        <v>32553</v>
      </c>
      <c r="EV226" s="51">
        <f t="shared" si="368"/>
        <v>14826</v>
      </c>
      <c r="EW226" s="14">
        <f>INT(SUMPRODUCT($AI226:$AM226,$BF226:$BJ226)/SUM($BF226:$BJ226)/10000*$BX$7*$BZ$46/'疲劳值&amp;地图信息'!$R$10*$BY$56)</f>
        <v>1678</v>
      </c>
      <c r="EX226" s="50">
        <f t="shared" si="369"/>
        <v>0.66357502497095211</v>
      </c>
      <c r="EY226" s="50">
        <f t="shared" si="370"/>
        <v>0.30221986668569217</v>
      </c>
      <c r="EZ226" s="50">
        <f t="shared" si="371"/>
        <v>3.4205108343355689E-2</v>
      </c>
      <c r="FA226" s="51">
        <f t="shared" si="372"/>
        <v>34006</v>
      </c>
      <c r="FB226" s="51">
        <f t="shared" si="373"/>
        <v>25285</v>
      </c>
      <c r="FC226" s="14">
        <f>INT(SUMPRODUCT($AP226:$AT226,$BF226:$BJ226)/SUM($BF226:$BJ226)/10000*$BX$7*$BZ$46/'疲劳值&amp;地图信息'!$R$10*$BY$57)</f>
        <v>2238</v>
      </c>
      <c r="FD226" s="50">
        <f t="shared" si="374"/>
        <v>0.55268247493052058</v>
      </c>
      <c r="FE226" s="50">
        <f t="shared" si="375"/>
        <v>0.41094443270652864</v>
      </c>
      <c r="FF226" s="50">
        <f t="shared" si="376"/>
        <v>3.6373092362950804E-2</v>
      </c>
      <c r="FH226" s="14">
        <f t="shared" si="377"/>
        <v>25516</v>
      </c>
      <c r="FI226" s="14">
        <f t="shared" si="378"/>
        <v>28591</v>
      </c>
      <c r="FJ226" s="14">
        <f t="shared" si="379"/>
        <v>33286</v>
      </c>
      <c r="FK226" s="14">
        <f t="shared" si="380"/>
        <v>49057</v>
      </c>
      <c r="FL226" s="14">
        <f t="shared" si="381"/>
        <v>61529</v>
      </c>
      <c r="FM226" s="14">
        <f t="shared" si="382"/>
        <v>2979682</v>
      </c>
      <c r="FP226" s="14">
        <f t="shared" si="383"/>
        <v>334150</v>
      </c>
      <c r="FQ226" s="50">
        <f t="shared" si="323"/>
        <v>0.10083492464313218</v>
      </c>
      <c r="FS226" s="14">
        <f t="shared" si="384"/>
        <v>3313832</v>
      </c>
      <c r="FX226" s="14">
        <v>221</v>
      </c>
      <c r="FY226" s="51">
        <f t="shared" si="385"/>
        <v>32565</v>
      </c>
      <c r="FZ226" s="51">
        <f t="shared" si="386"/>
        <v>1813</v>
      </c>
      <c r="GA226" s="51">
        <f>INT(SUMPRODUCT($N226:$R226,$BF226:$BJ226)/SUM($BF226:$BJ226)/10000*$BX$7*$BZ$46/'疲劳值&amp;地图信息'!$R$10*$BY$53)</f>
        <v>443</v>
      </c>
      <c r="GB226" s="50">
        <f t="shared" si="387"/>
        <v>0.93521151029551131</v>
      </c>
      <c r="GC226" s="50">
        <f t="shared" si="388"/>
        <v>5.2066281841417539E-2</v>
      </c>
      <c r="GD226" s="50">
        <f t="shared" si="389"/>
        <v>1.2722207863071135E-2</v>
      </c>
      <c r="GE226" s="51">
        <f t="shared" si="390"/>
        <v>34800</v>
      </c>
      <c r="GF226" s="51">
        <f t="shared" si="391"/>
        <v>2910</v>
      </c>
      <c r="GG226" s="14">
        <f>INT(SUMPRODUCT($U226:$Y226,$BF226:$BJ226)/SUM($BF226:$BJ226)/10000*$BX$7*$BZ$46/'疲劳值&amp;地图信息'!$R$10*$BY$54)</f>
        <v>824</v>
      </c>
      <c r="GH226" s="50">
        <f t="shared" si="392"/>
        <v>0.90309856230861063</v>
      </c>
      <c r="GI226" s="50">
        <f t="shared" si="393"/>
        <v>7.5517724606840711E-2</v>
      </c>
      <c r="GJ226" s="50">
        <f t="shared" si="394"/>
        <v>2.138371308454871E-2</v>
      </c>
      <c r="GK226" s="51">
        <f t="shared" si="395"/>
        <v>37954</v>
      </c>
      <c r="GL226" s="51">
        <f t="shared" si="396"/>
        <v>5057</v>
      </c>
      <c r="GM226" s="14">
        <f>INT(SUMPRODUCT($AB226:$AF226,$BF226:$BJ226)/SUM($BF226:$BJ226)/10000*$BX$7*$BZ$46/'疲劳值&amp;地图信息'!$R$10*$BY$55)</f>
        <v>1119</v>
      </c>
      <c r="GN226" s="50">
        <f t="shared" si="397"/>
        <v>0.86004985270790846</v>
      </c>
      <c r="GO226" s="50">
        <f t="shared" si="398"/>
        <v>0.11459324722411059</v>
      </c>
      <c r="GP226" s="50">
        <f t="shared" si="399"/>
        <v>2.5356900067980966E-2</v>
      </c>
      <c r="GQ226" s="51">
        <f t="shared" si="400"/>
        <v>45574</v>
      </c>
      <c r="GR226" s="51">
        <f t="shared" si="401"/>
        <v>14826</v>
      </c>
      <c r="GS226" s="14">
        <f>INT(SUMPRODUCT($AI226:$AM226,$BF226:$BJ226)/SUM($BF226:$BJ226)/10000*$BX$7*$BZ$46/'疲劳值&amp;地图信息'!$R$10*$BY$56)</f>
        <v>1678</v>
      </c>
      <c r="GT226" s="50">
        <f t="shared" si="402"/>
        <v>0.73414091948838556</v>
      </c>
      <c r="GU226" s="50">
        <f t="shared" si="403"/>
        <v>0.23882857050807049</v>
      </c>
      <c r="GV226" s="50">
        <f t="shared" si="404"/>
        <v>2.703051000354393E-2</v>
      </c>
      <c r="GW226" s="51">
        <f t="shared" si="405"/>
        <v>47609</v>
      </c>
      <c r="GX226" s="51">
        <f t="shared" si="406"/>
        <v>25285</v>
      </c>
      <c r="GY226" s="14">
        <f>INT(SUMPRODUCT($AP226:$AT226,$BF226:$BJ226)/SUM($BF226:$BJ226)/10000*$BX$7*$BZ$46/'疲劳值&amp;地图信息'!$R$10*$BY$57)</f>
        <v>2238</v>
      </c>
      <c r="GZ226" s="50">
        <f t="shared" si="407"/>
        <v>0.63367140499387742</v>
      </c>
      <c r="HA226" s="50">
        <f t="shared" si="408"/>
        <v>0.33654102113613371</v>
      </c>
      <c r="HB226" s="50">
        <f t="shared" si="409"/>
        <v>2.9787573869988818E-2</v>
      </c>
      <c r="HD226" s="14">
        <f t="shared" si="410"/>
        <v>34821</v>
      </c>
      <c r="HE226" s="14">
        <f t="shared" si="411"/>
        <v>38534</v>
      </c>
      <c r="HF226" s="14">
        <f t="shared" si="412"/>
        <v>44130</v>
      </c>
      <c r="HG226" s="14">
        <f t="shared" si="413"/>
        <v>62078</v>
      </c>
      <c r="HH226" s="14">
        <f t="shared" si="414"/>
        <v>75132</v>
      </c>
      <c r="HI226" s="14">
        <f t="shared" si="415"/>
        <v>4010471</v>
      </c>
      <c r="HL226" s="14">
        <f t="shared" si="416"/>
        <v>430050</v>
      </c>
      <c r="HM226" s="50">
        <f t="shared" si="324"/>
        <v>9.6846743884332495E-2</v>
      </c>
      <c r="HO226" s="14">
        <f t="shared" si="417"/>
        <v>4440521</v>
      </c>
    </row>
    <row r="227" spans="11:223" x14ac:dyDescent="0.2">
      <c r="K227" s="14">
        <v>222</v>
      </c>
      <c r="L227" s="12">
        <f>求节点(节奏总纲!D$4:D$163,标准城池设计!AB$4:AB$163,$K227)*求节点(节奏总纲!D$4:D$163,攻城基础信息!$AC$5:$AC$164,$K227)</f>
        <v>686139.80563193408</v>
      </c>
      <c r="M227" s="12">
        <f>INDEX(其他调用!$AA$5:$AA$404,MATCH(K227,其他调用!$X$5:$X$404,0))*MIN(INDEX(其他调用!$AH$5:$AH$364,MATCH('征服点（新）'!K227,其他调用!$AG$5:$AG$364,0),1)/INDEX(其他调用!$AJ$5:$AJ$364,MATCH(K227,其他调用!$AG$5:$AG$364,0),0),5)*求节点(节奏总纲!D$4:D$163,攻城基础信息!$AC$5:$AC$164,$K227)</f>
        <v>53429.815381289824</v>
      </c>
      <c r="N227" s="12">
        <f>MIN(INDEX(其他调用!$AH$5:$AH$364,MATCH($K227,其他调用!$AG$5:$AG$364,0),1)/INDEX(其他调用!AH$5:AH$364,MATCH($K227,其他调用!$AG$5:$AG$364,0),0),1)*INDEX(其他调用!Y$5:Y$404,MATCH($K227,其他调用!$X$5:$X$404,0),0)</f>
        <v>40734.842637817492</v>
      </c>
      <c r="O227" s="12">
        <f>MIN(INDEX(其他调用!$AH$5:$AH$364,MATCH($K227,其他调用!$AG$5:$AG$364,0),1)/INDEX(其他调用!AI$5:AI$364,MATCH($K227,其他调用!$AG$5:$AG$364,0),0),1)*INDEX(其他调用!Z$5:Z$404,MATCH($K227,其他调用!$X$5:$X$404,0),0)</f>
        <v>26052.721135946416</v>
      </c>
      <c r="P227" s="12">
        <f>MIN(INDEX(其他调用!$AH$5:$AH$364,MATCH($K227,其他调用!$AG$5:$AG$364,0),1)/INDEX(其他调用!AJ$5:AJ$364,MATCH($K227,其他调用!$AG$5:$AG$364,0),0),1)*INDEX(其他调用!AA$5:AA$404,MATCH($K227,其他调用!$X$5:$X$404,0),0)</f>
        <v>15560.768786045224</v>
      </c>
      <c r="Q227" s="12">
        <f>MIN(INDEX(其他调用!$AH$5:$AH$364,MATCH($K227,其他调用!$AG$5:$AG$364,0),1)/INDEX(其他调用!AK$5:AK$364,MATCH($K227,其他调用!$AG$5:$AG$364,0),0),1)*INDEX(其他调用!AB$5:AB$404,MATCH($K227,其他调用!$X$5:$X$404,0),0)</f>
        <v>5573.2278785246808</v>
      </c>
      <c r="R227" s="12">
        <f>MIN(INDEX(其他调用!$AH$5:$AH$364,MATCH($K227,其他调用!$AG$5:$AG$364,0),1)/INDEX(其他调用!AL$5:AL$364,MATCH($K227,其他调用!$AG$5:$AG$364,0),0),1)*INDEX(其他调用!AC$5:AC$404,MATCH($K227,其他调用!$X$5:$X$404,0),0)</f>
        <v>2719.9797435244814</v>
      </c>
      <c r="S227" s="12">
        <f>求节点(节奏总纲!D$4:D$163,标准城池设计!AC$4:AC$163,$K227)*求节点(节奏总纲!D$4:D$163,攻城基础信息!$AD$5:$AD$164,$K227)</f>
        <v>733454.6991865614</v>
      </c>
      <c r="T227" s="12">
        <f>INDEX(其他调用!$AA$5:$AA$404,MATCH($K227,其他调用!$X$5:$X$404,0))*MIN(INDEX(其他调用!AI$5:AI$364,MATCH($K227,其他调用!$AG$5:$AG$364,0),1)/INDEX(其他调用!$AJ$5:$AJ$364,MATCH($K227,其他调用!$AG$5:$AG$364,0),0),5)*求节点(节奏总纲!D$4:D$163,攻城基础信息!$AD$5:$AD$164,$K227)</f>
        <v>85910.035663679591</v>
      </c>
      <c r="U227" s="12">
        <f>MIN(INDEX(其他调用!$AI$5:$AI$364,MATCH($K227,其他调用!$AG$5:$AG$364,0),1)/INDEX(其他调用!AH$5:AH$364,MATCH($K227,其他调用!$AG$5:$AG$364,0),0),1)*INDEX(其他调用!Y$5:Y$404,MATCH($K227,其他调用!$X$5:$X$404,0),0)</f>
        <v>40734.842637817492</v>
      </c>
      <c r="V227" s="12">
        <f>MIN(INDEX(其他调用!$AI$5:$AI$364,MATCH($K227,其他调用!$AG$5:$AG$364,0),1)/INDEX(其他调用!AI$5:AI$364,MATCH($K227,其他调用!$AG$5:$AG$364,0),0),1)*INDEX(其他调用!Z$5:Z$404,MATCH($K227,其他调用!$X$5:$X$404,0),0)</f>
        <v>41890.285151702592</v>
      </c>
      <c r="W227" s="12">
        <f>MIN(INDEX(其他调用!$AI$5:$AI$364,MATCH($K227,其他调用!$AG$5:$AG$364,0),1)/INDEX(其他调用!AJ$5:AJ$364,MATCH($K227,其他调用!$AG$5:$AG$364,0),0),1)*INDEX(其他调用!AA$5:AA$404,MATCH($K227,其他调用!$X$5:$X$404,0),0)</f>
        <v>25020.228721051324</v>
      </c>
      <c r="X227" s="12">
        <f>MIN(INDEX(其他调用!$AI$5:$AI$364,MATCH($K227,其他调用!$AG$5:$AG$364,0),1)/INDEX(其他调用!AK$5:AK$364,MATCH($K227,其他调用!$AG$5:$AG$364,0),0),1)*INDEX(其他调用!AB$5:AB$404,MATCH($K227,其他调用!$X$5:$X$404,0),0)</f>
        <v>8961.2176719879644</v>
      </c>
      <c r="Y227" s="12">
        <f>MIN(INDEX(其他调用!$AI$5:$AI$364,MATCH($K227,其他调用!$AG$5:$AG$364,0),1)/INDEX(其他调用!AL$5:AL$364,MATCH($K227,其他调用!$AG$5:$AG$364,0),0),1)*INDEX(其他调用!AC$5:AC$404,MATCH($K227,其他调用!$X$5:$X$404,0),0)</f>
        <v>4373.4674189516772</v>
      </c>
      <c r="Z227" s="12">
        <f>求节点(节奏总纲!D$4:D$163,标准城池设计!AD$4:AD$163,$K227)*求节点(节奏总纲!D$4:D$163,攻城基础信息!$AE$5:$AE$164,$K227)</f>
        <v>800269.49026320258</v>
      </c>
      <c r="AA227" s="12">
        <f>INDEX(其他调用!$AA$5:$AA$404,MATCH($K227,其他调用!$X$5:$X$404,0))*MIN(INDEX(其他调用!AJ$5:AJ$364,MATCH($K227,其他调用!$AG$5:$AG$364,0),1)/INDEX(其他调用!$AJ$5:$AJ$364,MATCH($K227,其他调用!$AG$5:$AG$364,0),0),5)*求节点(节奏总纲!D$4:D$163,攻城基础信息!$AE$5:$AE$164,$K227)</f>
        <v>149063.21665879394</v>
      </c>
      <c r="AB227" s="12">
        <f>MIN(INDEX(其他调用!$AJ$5:$AJ$364,MATCH($K227,其他调用!$AG$5:$AG$364,0),1)/INDEX(其他调用!AH$5:AH$364,MATCH($K227,其他调用!$AG$5:$AG$364,0),0),1)*INDEX(其他调用!Y$5:Y$404,MATCH($K227,其他调用!$X$5:$X$404,0),0)</f>
        <v>40734.842637817492</v>
      </c>
      <c r="AC227" s="12">
        <f>MIN(INDEX(其他调用!$AJ$5:$AJ$364,MATCH($K227,其他调用!$AG$5:$AG$364,0),1)/INDEX(其他调用!AI$5:AI$364,MATCH($K227,其他调用!$AG$5:$AG$364,0),0),1)*INDEX(其他调用!Z$5:Z$404,MATCH($K227,其他调用!$X$5:$X$404,0),0)</f>
        <v>41890.285151702592</v>
      </c>
      <c r="AD227" s="12">
        <f>MIN(INDEX(其他调用!$AJ$5:$AJ$364,MATCH($K227,其他调用!$AG$5:$AG$364,0),1)/INDEX(其他调用!AJ$5:AJ$364,MATCH($K227,其他调用!$AG$5:$AG$364,0),0),1)*INDEX(其他调用!AA$5:AA$404,MATCH($K227,其他调用!$X$5:$X$404,0),0)</f>
        <v>43412.806733072088</v>
      </c>
      <c r="AE227" s="12">
        <f>MIN(INDEX(其他调用!$AJ$5:$AJ$364,MATCH($K227,其他调用!$AG$5:$AG$364,0),1)/INDEX(其他调用!AK$5:AK$364,MATCH($K227,其他调用!$AG$5:$AG$364,0),0),1)*INDEX(其他调用!AB$5:AB$404,MATCH($K227,其他调用!$X$5:$X$404,0),0)</f>
        <v>15548.683236443929</v>
      </c>
      <c r="AF227" s="12">
        <f>MIN(INDEX(其他调用!$AJ$5:$AJ$364,MATCH($K227,其他调用!$AG$5:$AG$364,0),1)/INDEX(其他调用!AL$5:AL$364,MATCH($K227,其他调用!$AG$5:$AG$364,0),0),1)*INDEX(其他调用!AC$5:AC$404,MATCH($K227,其他调用!$X$5:$X$404,0),0)</f>
        <v>7588.43965533337</v>
      </c>
      <c r="AG227" s="12">
        <f>求节点(节奏总纲!D$4:D$163,标准城池设计!AE$4:AE$163,$K227)*求节点(节奏总纲!D$4:D$163,攻城基础信息!$AF$5:$AF$164,$K227)</f>
        <v>961126.28087835456</v>
      </c>
      <c r="AH227" s="12">
        <f>INDEX(其他调用!$AA$5:$AA$404,MATCH($K227,其他调用!$X$5:$X$404,0))*MIN(INDEX(其他调用!AK$5:AK$364,MATCH($K227,其他调用!$AG$5:$AG$364,0),1)/INDEX(其他调用!$AJ$5:$AJ$364,MATCH($K227,其他调用!$AG$5:$AG$364,0),0),5)*求节点(节奏总纲!D$4:D$163,攻城基础信息!$AF$5:$AF$164,$K227)</f>
        <v>437324.95467488631</v>
      </c>
      <c r="AI227" s="12">
        <f>MIN(INDEX(其他调用!$AK$5:$AK$364,MATCH($K227,其他调用!$AG$5:$AG$364,0),1)/INDEX(其他调用!AH$5:AH$364,MATCH($K227,其他调用!$AG$5:$AG$364,0),0),1)*INDEX(其他调用!Y$5:Y$404,MATCH($K227,其他调用!$X$5:$X$404,0),0)</f>
        <v>40734.842637817492</v>
      </c>
      <c r="AJ227" s="12">
        <f>MIN(INDEX(其他调用!$AK$5:$AK$364,MATCH($K227,其他调用!$AG$5:$AG$364,0),1)/INDEX(其他调用!AI$5:AI$364,MATCH($K227,其他调用!$AG$5:$AG$364,0),0),1)*INDEX(其他调用!Z$5:Z$404,MATCH($K227,其他调用!$X$5:$X$404,0),0)</f>
        <v>41890.285151702592</v>
      </c>
      <c r="AK227" s="12">
        <f>MIN(INDEX(其他调用!$AK$5:$AK$364,MATCH($K227,其他调用!$AG$5:$AG$364,0),1)/INDEX(其他调用!AJ$5:AJ$364,MATCH($K227,其他调用!$AG$5:$AG$364,0),0),1)*INDEX(其他调用!AA$5:AA$404,MATCH($K227,其他调用!$X$5:$X$404,0),0)</f>
        <v>43412.806733072088</v>
      </c>
      <c r="AL227" s="12">
        <f>MIN(INDEX(其他调用!$AK$5:$AK$364,MATCH($K227,其他调用!$AG$5:$AG$364,0),1)/INDEX(其他调用!AK$5:AK$364,MATCH($K227,其他调用!$AG$5:$AG$364,0),0),1)*INDEX(其他调用!AB$5:AB$404,MATCH($K227,其他调用!$X$5:$X$404,0),0)</f>
        <v>45617.070019338345</v>
      </c>
      <c r="AM227" s="12">
        <f>MIN(INDEX(其他调用!$AK$5:$AK$364,MATCH($K227,其他调用!$AG$5:$AG$364,0),1)/INDEX(其他调用!AL$5:AL$364,MATCH($K227,其他调用!$AG$5:$AG$364,0),0),1)*INDEX(其他调用!AC$5:AC$404,MATCH($K227,其他调用!$X$5:$X$404,0),0)</f>
        <v>22263.131728319611</v>
      </c>
      <c r="AN227" s="12">
        <f>求节点(节奏总纲!D$4:D$163,标准城池设计!AF$4:AF$163,$K227)*求节点(节奏总纲!D$4:D$163,攻城基础信息!$AG$5:$AG$164,$K227)</f>
        <v>1004278.8777257026</v>
      </c>
      <c r="AO227" s="12">
        <f>INDEX(其他调用!$AA$5:$AA$404,MATCH($K227,其他调用!$X$5:$X$404,0))*MIN(INDEX(其他调用!AL$5:AL$364,MATCH($K227,其他调用!$AG$5:$AG$364,0),1)/INDEX(其他调用!$AJ$5:$AJ$364,MATCH($K227,其他调用!$AG$5:$AG$364,0),0),5)*求节点(节奏总纲!D$4:D$163,攻城基础信息!$AG$5:$AG$164,$K227)</f>
        <v>745316.08329396974</v>
      </c>
      <c r="AP227" s="12">
        <f>MIN(INDEX(其他调用!$AL$5:$AL$364,MATCH($K227,其他调用!$AG$5:$AG$364,0),1)/INDEX(其他调用!AH$5:AH$364,MATCH($K227,其他调用!$AG$5:$AG$364,0),0),1)*INDEX(其他调用!Y$5:Y$404,MATCH($K227,其他调用!$X$5:$X$404,0),0)</f>
        <v>40734.842637817492</v>
      </c>
      <c r="AQ227" s="12">
        <f>MIN(INDEX(其他调用!$AL$5:$AL$364,MATCH($K227,其他调用!$AG$5:$AG$364,0),1)/INDEX(其他调用!AI$5:AI$364,MATCH($K227,其他调用!$AG$5:$AG$364,0),0),1)*INDEX(其他调用!Z$5:Z$404,MATCH($K227,其他调用!$X$5:$X$404,0),0)</f>
        <v>41890.285151702592</v>
      </c>
      <c r="AR227" s="12">
        <f>MIN(INDEX(其他调用!$AL$5:$AL$364,MATCH($K227,其他调用!$AG$5:$AG$364,0),1)/INDEX(其他调用!AJ$5:AJ$364,MATCH($K227,其他调用!$AG$5:$AG$364,0),0),1)*INDEX(其他调用!AA$5:AA$404,MATCH($K227,其他调用!$X$5:$X$404,0),0)</f>
        <v>43412.806733072088</v>
      </c>
      <c r="AS227" s="12">
        <f>MIN(INDEX(其他调用!$AL$5:$AL$364,MATCH($K227,其他调用!$AG$5:$AG$364,0),1)/INDEX(其他调用!AK$5:AK$364,MATCH($K227,其他调用!$AG$5:$AG$364,0),0),1)*INDEX(其他调用!AB$5:AB$404,MATCH($K227,其他调用!$X$5:$X$404,0),0)</f>
        <v>45617.070019338345</v>
      </c>
      <c r="AT227" s="12">
        <f>MIN(INDEX(其他调用!$AL$5:$AL$364,MATCH($K227,其他调用!$AG$5:$AG$364,0),1)/INDEX(其他调用!AL$5:AL$364,MATCH($K227,其他调用!$AG$5:$AG$364,0),0),1)*INDEX(其他调用!AC$5:AC$404,MATCH($K227,其他调用!$X$5:$X$404,0),0)</f>
        <v>49547.119308915637</v>
      </c>
      <c r="AV227" s="14">
        <f>IF(OR(AV$5="大R",AV$5="超R"),MAX(INDEX(其他调用!$H$5:$L$404,MATCH($K227,其他调用!$B$5:$B$404,0),MATCH(AV$5,其他调用!$H$4:$L$4,0))*120*0.85,2),INDEX(其他调用!$H$5:$L$404,MATCH($K227,其他调用!$B$5:$B$404,0),MATCH(AV$5,其他调用!$H$4:$L$4,0))*120*0.85)</f>
        <v>48.921801254999991</v>
      </c>
      <c r="AW227" s="14">
        <f>IF(OR(AW$5="大R",AW$5="超R"),MAX(INDEX(其他调用!$H$5:$L$404,MATCH($K227,其他调用!$B$5:$B$404,0),MATCH(AW$5,其他调用!$H$4:$L$4,0))*120*0.85,2),INDEX(其他调用!$H$5:$L$404,MATCH($K227,其他调用!$B$5:$B$404,0),MATCH(AW$5,其他调用!$H$4:$L$4,0))*120*0.85)</f>
        <v>48.237344010638395</v>
      </c>
      <c r="AX227" s="14">
        <f>IF(OR(AX$5="大R",AX$5="超R"),MAX(INDEX(其他调用!$H$5:$L$404,MATCH($K227,其他调用!$B$5:$B$404,0),MATCH(AX$5,其他调用!$H$4:$L$4,0))*120*0.85,2),INDEX(其他调用!$H$5:$L$404,MATCH($K227,其他调用!$B$5:$B$404,0),MATCH(AX$5,其他调用!$H$4:$L$4,0))*120*0.85)</f>
        <v>3.9376284143615998</v>
      </c>
      <c r="AY227" s="14">
        <f>IF(OR(AY$5="大R",AY$5="超R"),MAX(INDEX(其他调用!$H$5:$L$404,MATCH($K227,其他调用!$B$5:$B$404,0),MATCH(AY$5,其他调用!$H$4:$L$4,0))*120*0.85,2),INDEX(其他调用!$H$5:$L$404,MATCH($K227,其他调用!$B$5:$B$404,0),MATCH(AY$5,其他调用!$H$4:$L$4,0))*120*0.85)</f>
        <v>2</v>
      </c>
      <c r="AZ227" s="14">
        <f>IF(OR(AZ$5="大R",AZ$5="超R"),MAX(INDEX(其他调用!$H$5:$L$404,MATCH($K227,其他调用!$B$5:$B$404,0),MATCH(AZ$5,其他调用!$H$4:$L$4,0))*120*0.85,2),INDEX(其他调用!$H$5:$L$404,MATCH($K227,其他调用!$B$5:$B$404,0),MATCH(AZ$5,其他调用!$H$4:$L$4,0))*120*0.85)</f>
        <v>2</v>
      </c>
      <c r="BA227" s="14">
        <f>INDEX(其他调用!$H$5:$L$404,MATCH($K227,其他调用!$B$5:$B$404,0),MATCH(BA$5,其他调用!$H$4:$L$4,0))*INDEX(其他调用!$M$5:$M$404,MATCH($K227,其他调用!$B$5:$B$404,0))*0.6</f>
        <v>28.777530149999997</v>
      </c>
      <c r="BB227" s="14">
        <f>INDEX(其他调用!$H$5:$L$404,MATCH($K227,其他调用!$B$5:$B$404,0),MATCH(BB$5,其他调用!$H$4:$L$4,0))*INDEX(其他调用!$M$5:$M$404,MATCH($K227,其他调用!$B$5:$B$404,0))*0.6</f>
        <v>28.374908241551999</v>
      </c>
      <c r="BC227" s="14">
        <f>INDEX(其他调用!$H$5:$L$404,MATCH($K227,其他调用!$B$5:$B$404,0),MATCH(BC$5,其他调用!$H$4:$L$4,0))*INDEX(其他调用!$M$5:$M$404,MATCH($K227,其他调用!$B$5:$B$404,0))*0.6</f>
        <v>2.3162520084480001</v>
      </c>
      <c r="BD227" s="14">
        <f>INDEX(其他调用!$H$5:$L$404,MATCH($K227,其他调用!$B$5:$B$404,0),MATCH(BD$5,其他调用!$H$4:$L$4,0))*INDEX(其他调用!$M$5:$M$404,MATCH($K227,其他调用!$B$5:$B$404,0))*0.6</f>
        <v>0.4120776000000001</v>
      </c>
      <c r="BE227" s="14">
        <f>INDEX(其他调用!$H$5:$L$404,MATCH($K227,其他调用!$B$5:$B$404,0),MATCH(BE$5,其他调用!$H$4:$L$4,0))*INDEX(其他调用!$M$5:$M$404,MATCH($K227,其他调用!$B$5:$B$404,0))*0.6</f>
        <v>0.11923199999999998</v>
      </c>
      <c r="BF227" s="14">
        <f>IF(OR(BF$5="大R",BF$5="超R"),0,INDEX(其他调用!$H$5:$L$404,MATCH($K227,其他调用!$B$5:$B$404,0),MATCH(BF$5,其他调用!$H$4:$L$4,0))*50*0.4)</f>
        <v>9.5925100500000013</v>
      </c>
      <c r="BG227" s="14">
        <f>IF(OR(BG$5="大R",BG$5="超R"),0,INDEX(其他调用!$H$5:$L$404,MATCH($K227,其他调用!$B$5:$B$404,0),MATCH(BG$5,其他调用!$H$4:$L$4,0))*50*0.4)</f>
        <v>9.4583027471839998</v>
      </c>
      <c r="BH227" s="14">
        <f>IF(OR(BH$5="大R",BH$5="超R"),0,INDEX(其他调用!$H$5:$L$404,MATCH($K227,其他调用!$B$5:$B$404,0),MATCH(BH$5,其他调用!$H$4:$L$4,0))*50*0.4)</f>
        <v>0.77208400281600009</v>
      </c>
      <c r="BI227" s="14">
        <f>IF(OR(BI$5="大R",BI$5="超R"),0,INDEX(其他调用!$H$5:$L$404,MATCH($K227,其他调用!$B$5:$B$404,0),MATCH(BI$5,其他调用!$H$4:$L$4,0))*50*0.4)</f>
        <v>0</v>
      </c>
      <c r="BJ227" s="14">
        <f>IF(OR(BJ$5="大R",BJ$5="超R"),0,INDEX(其他调用!$H$5:$L$404,MATCH($K227,其他调用!$B$5:$B$404,0),MATCH(BJ$5,其他调用!$H$4:$L$4,0))*50*0.4)</f>
        <v>0</v>
      </c>
      <c r="BL227" s="14">
        <f t="shared" si="418"/>
        <v>222</v>
      </c>
      <c r="BM227" s="14">
        <f t="shared" si="325"/>
        <v>96</v>
      </c>
      <c r="BN227" s="14">
        <f>('疲劳值&amp;地图信息'!$S$10*'疲劳值&amp;地图信息'!$R$10+'疲劳值&amp;地图信息'!$S$11*'疲劳值&amp;地图信息'!$R$11+'疲劳值&amp;地图信息'!$S$12*'疲劳值&amp;地图信息'!$R$12+(BM227-'疲劳值&amp;地图信息'!$S$12-'疲劳值&amp;地图信息'!$S$11-'疲劳值&amp;地图信息'!$S$10)*'疲劳值&amp;地图信息'!$R$13)/BM227</f>
        <v>51.371477246638619</v>
      </c>
      <c r="BO227" s="14">
        <f>INDEX(其他调用!$M$5:$M$404,MATCH(BL227,其他调用!$B$5:$B$404,0))*0.6</f>
        <v>60</v>
      </c>
      <c r="BP227" s="14">
        <f>IF(BO227&gt;SUM('疲劳值&amp;地图信息'!$S$10:$S$12),('疲劳值&amp;地图信息'!$S$10*'疲劳值&amp;地图信息'!$R$10+'疲劳值&amp;地图信息'!$S$11*'疲劳值&amp;地图信息'!$R$11+'疲劳值&amp;地图信息'!$S$12*'疲劳值&amp;地图信息'!$R$12+(BO227-'疲劳值&amp;地图信息'!$S$12-'疲劳值&amp;地图信息'!$S$11-'疲劳值&amp;地图信息'!$S$10)*'疲劳值&amp;地图信息'!$R$13)/BO227,('疲劳值&amp;地图信息'!$S$10*'疲劳值&amp;地图信息'!$R$10+'疲劳值&amp;地图信息'!$S$11*'疲劳值&amp;地图信息'!$R$11+'疲劳值&amp;地图信息'!$S$12*'疲劳值&amp;地图信息'!$R$12+(BO227-'疲劳值&amp;地图信息'!$S$12-'疲劳值&amp;地图信息'!$S$11-'疲劳值&amp;地图信息'!$S$10)*'疲劳值&amp;地图信息'!$R$13)/BO227)</f>
        <v>44.158136341605953</v>
      </c>
      <c r="BQ227" s="14">
        <f t="shared" si="419"/>
        <v>20</v>
      </c>
      <c r="BR227" s="14">
        <f>('疲劳值&amp;地图信息'!$S$10*'疲劳值&amp;地图信息'!$R$10+($BQ227-'疲劳值&amp;地图信息'!$S$10)*'疲劳值&amp;地图信息'!$R$11)/$BQ227</f>
        <v>32.067203015074995</v>
      </c>
      <c r="CF227" s="14">
        <v>222</v>
      </c>
      <c r="CG227" s="51">
        <f t="shared" si="326"/>
        <v>13984</v>
      </c>
      <c r="CH227" s="51">
        <f t="shared" si="327"/>
        <v>1088</v>
      </c>
      <c r="CI227" s="51">
        <f>INT(SUMPRODUCT($N227:$R227,$BA227:$BE227)/SUM($BA227:$BE227)/10000*$BX$7*$BZ$34/'疲劳值&amp;地图信息'!$R$10*$BY$53)</f>
        <v>3297</v>
      </c>
      <c r="CJ227" s="50">
        <f t="shared" si="328"/>
        <v>0.76128259567750012</v>
      </c>
      <c r="CK227" s="50">
        <f t="shared" si="329"/>
        <v>5.9230224835320373E-2</v>
      </c>
      <c r="CL227" s="50">
        <f t="shared" si="330"/>
        <v>0.17948717948717949</v>
      </c>
      <c r="CM227" s="14">
        <f t="shared" si="331"/>
        <v>14948</v>
      </c>
      <c r="CN227" s="14">
        <f t="shared" si="332"/>
        <v>1750</v>
      </c>
      <c r="CO227" s="14">
        <f>INT(SUMPRODUCT($U227:$Y227,$BA227:$BE227)/SUM($BA227:$BE227)/10000*$BX$7*$BZ$34/'疲劳值&amp;地图信息'!$R$10*$BY$54)</f>
        <v>6146</v>
      </c>
      <c r="CP227" s="50">
        <f t="shared" si="333"/>
        <v>0.65435125196988264</v>
      </c>
      <c r="CQ227" s="50">
        <f t="shared" si="334"/>
        <v>7.6606548765540183E-2</v>
      </c>
      <c r="CR227" s="50">
        <f t="shared" si="335"/>
        <v>0.26904219926457712</v>
      </c>
      <c r="CS227" s="14">
        <f t="shared" si="336"/>
        <v>16310</v>
      </c>
      <c r="CT227" s="14">
        <f t="shared" si="337"/>
        <v>3038</v>
      </c>
      <c r="CU227" s="14">
        <f>INT(SUMPRODUCT($AB227:$AF227,$BA227:$BE227)/SUM($BA227:$BE227)/10000*$BX$7*$BZ$34/'疲劳值&amp;地图信息'!$R$10*$BY$55)</f>
        <v>8349</v>
      </c>
      <c r="CV227" s="50">
        <f t="shared" si="338"/>
        <v>0.58887244105859837</v>
      </c>
      <c r="CW227" s="50">
        <f t="shared" si="339"/>
        <v>0.1096869697079106</v>
      </c>
      <c r="CX227" s="50">
        <f t="shared" si="340"/>
        <v>0.30144058923349099</v>
      </c>
      <c r="CY227" s="14">
        <f t="shared" si="341"/>
        <v>19588</v>
      </c>
      <c r="CZ227" s="14">
        <f t="shared" si="342"/>
        <v>8913</v>
      </c>
      <c r="DA227" s="14">
        <f>INT(SUMPRODUCT($AI227:$AM227,$BA227:$BE227)/SUM($BA227:$BE227)/10000*$BX$7*$BZ$34/'疲劳值&amp;地图信息'!$R$10*$BY$56)</f>
        <v>12596</v>
      </c>
      <c r="DB227" s="50">
        <f t="shared" si="343"/>
        <v>0.4766284643647955</v>
      </c>
      <c r="DC227" s="50">
        <f t="shared" si="344"/>
        <v>0.21687714431710345</v>
      </c>
      <c r="DD227" s="50">
        <f t="shared" si="345"/>
        <v>0.30649439131810108</v>
      </c>
      <c r="DE227" s="14">
        <f t="shared" si="346"/>
        <v>20468</v>
      </c>
      <c r="DF227" s="14">
        <f t="shared" si="347"/>
        <v>15190</v>
      </c>
      <c r="DG227" s="14">
        <f>INT(SUMPRODUCT($AP227:$AT227,$BA227:$BE227)/SUM($BA227:$BE227)/10000*$BX$7*$BZ$34/'疲劳值&amp;地图信息'!$R$10*$BY$57)</f>
        <v>16817</v>
      </c>
      <c r="DH227" s="50">
        <f t="shared" si="348"/>
        <v>0.39005240590757506</v>
      </c>
      <c r="DI227" s="50">
        <f t="shared" si="349"/>
        <v>0.28947117675083373</v>
      </c>
      <c r="DJ227" s="50">
        <f t="shared" si="350"/>
        <v>0.32047641734159121</v>
      </c>
      <c r="DL227" s="14">
        <f t="shared" si="421"/>
        <v>18369</v>
      </c>
      <c r="DM227" s="14">
        <f t="shared" si="422"/>
        <v>22844</v>
      </c>
      <c r="DN227" s="14">
        <f t="shared" si="423"/>
        <v>27697</v>
      </c>
      <c r="DO227" s="14">
        <f t="shared" si="424"/>
        <v>41097</v>
      </c>
      <c r="DP227" s="14">
        <f t="shared" si="425"/>
        <v>52475</v>
      </c>
      <c r="DQ227" s="14">
        <f t="shared" si="426"/>
        <v>1264155</v>
      </c>
      <c r="DT227" s="14">
        <f t="shared" si="420"/>
        <v>235575</v>
      </c>
      <c r="DU227" s="50">
        <f t="shared" si="322"/>
        <v>0.15707827408933608</v>
      </c>
      <c r="DW227" s="14">
        <f t="shared" si="351"/>
        <v>1499730</v>
      </c>
      <c r="EB227" s="14">
        <v>222</v>
      </c>
      <c r="EC227" s="51">
        <f t="shared" si="352"/>
        <v>23307</v>
      </c>
      <c r="ED227" s="51">
        <f t="shared" si="353"/>
        <v>1814</v>
      </c>
      <c r="EE227" s="51">
        <f>INT(SUMPRODUCT($N227:$R227,$BF227:$BJ227)/SUM($BF227:$BJ227)/10000*$BX$7*$BZ$46/'疲劳值&amp;地图信息'!$R$10*$BY$53)</f>
        <v>443</v>
      </c>
      <c r="EF227" s="50">
        <f t="shared" si="354"/>
        <v>0.91171178219370985</v>
      </c>
      <c r="EG227" s="50">
        <f t="shared" si="355"/>
        <v>7.0959161320607103E-2</v>
      </c>
      <c r="EH227" s="50">
        <f t="shared" si="356"/>
        <v>1.7329056485682993E-2</v>
      </c>
      <c r="EI227" s="51">
        <f t="shared" si="357"/>
        <v>24914</v>
      </c>
      <c r="EJ227" s="51">
        <f t="shared" si="358"/>
        <v>2918</v>
      </c>
      <c r="EK227" s="14">
        <f>INT(SUMPRODUCT($U227:$Y227,$BF227:$BJ227)/SUM($BF227:$BJ227)/10000*$BX$7*$BZ$46/'疲劳值&amp;地图信息'!$R$10*$BY$54)</f>
        <v>825</v>
      </c>
      <c r="EL227" s="50">
        <f t="shared" si="359"/>
        <v>0.86938618836584425</v>
      </c>
      <c r="EM227" s="50">
        <f t="shared" si="360"/>
        <v>0.10182503402310081</v>
      </c>
      <c r="EN227" s="50">
        <f t="shared" si="361"/>
        <v>2.8788777611054892E-2</v>
      </c>
      <c r="EO227" s="51">
        <f t="shared" si="362"/>
        <v>27184</v>
      </c>
      <c r="EP227" s="51">
        <f t="shared" si="363"/>
        <v>5063</v>
      </c>
      <c r="EQ227" s="14">
        <f>INT(SUMPRODUCT($AB227:$AF227,$BF227:$BJ227)/SUM($BF227:$BJ227)/10000*$BX$7*$BZ$46/'疲劳值&amp;地图信息'!$R$10*$BY$55)</f>
        <v>1119</v>
      </c>
      <c r="ER227" s="50">
        <f t="shared" si="364"/>
        <v>0.81472157285859859</v>
      </c>
      <c r="ES227" s="50">
        <f t="shared" si="365"/>
        <v>0.15174129353233831</v>
      </c>
      <c r="ET227" s="50">
        <f t="shared" si="366"/>
        <v>3.3537133609063116E-2</v>
      </c>
      <c r="EU227" s="51">
        <f t="shared" si="367"/>
        <v>32648</v>
      </c>
      <c r="EV227" s="51">
        <f t="shared" si="368"/>
        <v>14855</v>
      </c>
      <c r="EW227" s="14">
        <f>INT(SUMPRODUCT($AI227:$AM227,$BF227:$BJ227)/SUM($BF227:$BJ227)/10000*$BX$7*$BZ$46/'疲劳值&amp;地图信息'!$R$10*$BY$56)</f>
        <v>1679</v>
      </c>
      <c r="EX227" s="50">
        <f t="shared" si="369"/>
        <v>0.66382009678337606</v>
      </c>
      <c r="EY227" s="50">
        <f t="shared" si="370"/>
        <v>0.30204139725915985</v>
      </c>
      <c r="EZ227" s="50">
        <f t="shared" si="371"/>
        <v>3.4138505957464114E-2</v>
      </c>
      <c r="FA227" s="51">
        <f t="shared" si="372"/>
        <v>34114</v>
      </c>
      <c r="FB227" s="51">
        <f t="shared" si="373"/>
        <v>25317</v>
      </c>
      <c r="FC227" s="14">
        <f>INT(SUMPRODUCT($AP227:$AT227,$BF227:$BJ227)/SUM($BF227:$BJ227)/10000*$BX$7*$BZ$46/'疲劳值&amp;地图信息'!$R$10*$BY$57)</f>
        <v>2239</v>
      </c>
      <c r="FD227" s="50">
        <f t="shared" si="374"/>
        <v>0.55317009891357227</v>
      </c>
      <c r="FE227" s="50">
        <f t="shared" si="375"/>
        <v>0.41052375547267717</v>
      </c>
      <c r="FF227" s="50">
        <f t="shared" si="376"/>
        <v>3.6306145613750611E-2</v>
      </c>
      <c r="FH227" s="14">
        <f t="shared" si="377"/>
        <v>25564</v>
      </c>
      <c r="FI227" s="14">
        <f t="shared" si="378"/>
        <v>28657</v>
      </c>
      <c r="FJ227" s="14">
        <f t="shared" si="379"/>
        <v>33366</v>
      </c>
      <c r="FK227" s="14">
        <f t="shared" si="380"/>
        <v>49182</v>
      </c>
      <c r="FL227" s="14">
        <f t="shared" si="381"/>
        <v>61670</v>
      </c>
      <c r="FM227" s="14">
        <f t="shared" si="382"/>
        <v>2986061</v>
      </c>
      <c r="FP227" s="14">
        <f t="shared" si="383"/>
        <v>334150</v>
      </c>
      <c r="FQ227" s="50">
        <f t="shared" si="323"/>
        <v>0.10064119418916448</v>
      </c>
      <c r="FS227" s="14">
        <f t="shared" si="384"/>
        <v>3320211</v>
      </c>
      <c r="FX227" s="14">
        <v>222</v>
      </c>
      <c r="FY227" s="51">
        <f t="shared" si="385"/>
        <v>32630</v>
      </c>
      <c r="FZ227" s="51">
        <f t="shared" si="386"/>
        <v>1814</v>
      </c>
      <c r="GA227" s="51">
        <f>INT(SUMPRODUCT($N227:$R227,$BF227:$BJ227)/SUM($BF227:$BJ227)/10000*$BX$7*$BZ$46/'疲劳值&amp;地图信息'!$R$10*$BY$53)</f>
        <v>443</v>
      </c>
      <c r="GB227" s="50">
        <f t="shared" si="387"/>
        <v>0.93530541462435868</v>
      </c>
      <c r="GC227" s="50">
        <f t="shared" si="388"/>
        <v>5.1996445667440591E-2</v>
      </c>
      <c r="GD227" s="50">
        <f t="shared" si="389"/>
        <v>1.2698139708200763E-2</v>
      </c>
      <c r="GE227" s="51">
        <f t="shared" si="390"/>
        <v>34880</v>
      </c>
      <c r="GF227" s="51">
        <f t="shared" si="391"/>
        <v>2918</v>
      </c>
      <c r="GG227" s="14">
        <f>INT(SUMPRODUCT($U227:$Y227,$BF227:$BJ227)/SUM($BF227:$BJ227)/10000*$BX$7*$BZ$46/'疲劳值&amp;地图信息'!$R$10*$BY$54)</f>
        <v>825</v>
      </c>
      <c r="GH227" s="50">
        <f t="shared" si="392"/>
        <v>0.90308883307873544</v>
      </c>
      <c r="GI227" s="50">
        <f t="shared" si="393"/>
        <v>7.5550837583823111E-2</v>
      </c>
      <c r="GJ227" s="50">
        <f t="shared" si="394"/>
        <v>2.1360329337441419E-2</v>
      </c>
      <c r="GK227" s="51">
        <f t="shared" si="395"/>
        <v>38057</v>
      </c>
      <c r="GL227" s="51">
        <f t="shared" si="396"/>
        <v>5063</v>
      </c>
      <c r="GM227" s="14">
        <f>INT(SUMPRODUCT($AB227:$AF227,$BF227:$BJ227)/SUM($BF227:$BJ227)/10000*$BX$7*$BZ$46/'疲劳值&amp;地图信息'!$R$10*$BY$55)</f>
        <v>1119</v>
      </c>
      <c r="GN227" s="50">
        <f t="shared" si="397"/>
        <v>0.86025904744682291</v>
      </c>
      <c r="GO227" s="50">
        <f t="shared" si="398"/>
        <v>0.11444652908067542</v>
      </c>
      <c r="GP227" s="50">
        <f t="shared" si="399"/>
        <v>2.5294423472501638E-2</v>
      </c>
      <c r="GQ227" s="51">
        <f t="shared" si="400"/>
        <v>45707</v>
      </c>
      <c r="GR227" s="51">
        <f t="shared" si="401"/>
        <v>14855</v>
      </c>
      <c r="GS227" s="14">
        <f>INT(SUMPRODUCT($AI227:$AM227,$BF227:$BJ227)/SUM($BF227:$BJ227)/10000*$BX$7*$BZ$46/'疲劳值&amp;地图信息'!$R$10*$BY$56)</f>
        <v>1679</v>
      </c>
      <c r="GT227" s="50">
        <f t="shared" si="402"/>
        <v>0.73435516781542709</v>
      </c>
      <c r="GU227" s="50">
        <f t="shared" si="403"/>
        <v>0.23866904452049292</v>
      </c>
      <c r="GV227" s="50">
        <f t="shared" si="404"/>
        <v>2.6975787664079948E-2</v>
      </c>
      <c r="GW227" s="51">
        <f t="shared" si="405"/>
        <v>47759</v>
      </c>
      <c r="GX227" s="51">
        <f t="shared" si="406"/>
        <v>25317</v>
      </c>
      <c r="GY227" s="14">
        <f>INT(SUMPRODUCT($AP227:$AT227,$BF227:$BJ227)/SUM($BF227:$BJ227)/10000*$BX$7*$BZ$46/'疲劳值&amp;地图信息'!$R$10*$BY$57)</f>
        <v>2239</v>
      </c>
      <c r="GZ227" s="50">
        <f t="shared" si="407"/>
        <v>0.63412334860253605</v>
      </c>
      <c r="HA227" s="50">
        <f t="shared" si="408"/>
        <v>0.3361481776538538</v>
      </c>
      <c r="HB227" s="50">
        <f t="shared" si="409"/>
        <v>2.9728473743610172E-2</v>
      </c>
      <c r="HD227" s="14">
        <f t="shared" si="410"/>
        <v>34887</v>
      </c>
      <c r="HE227" s="14">
        <f t="shared" si="411"/>
        <v>38623</v>
      </c>
      <c r="HF227" s="14">
        <f t="shared" si="412"/>
        <v>44239</v>
      </c>
      <c r="HG227" s="14">
        <f t="shared" si="413"/>
        <v>62241</v>
      </c>
      <c r="HH227" s="14">
        <f t="shared" si="414"/>
        <v>75315</v>
      </c>
      <c r="HI227" s="14">
        <f t="shared" si="415"/>
        <v>4019114</v>
      </c>
      <c r="HL227" s="14">
        <f t="shared" si="416"/>
        <v>430050</v>
      </c>
      <c r="HM227" s="50">
        <f t="shared" si="324"/>
        <v>9.6658608223927009E-2</v>
      </c>
      <c r="HO227" s="14">
        <f t="shared" si="417"/>
        <v>4449164</v>
      </c>
    </row>
    <row r="228" spans="11:223" x14ac:dyDescent="0.2">
      <c r="K228" s="14">
        <v>223</v>
      </c>
      <c r="L228" s="12">
        <f>求节点(节奏总纲!D$4:D$163,标准城池设计!AB$4:AB$163,$K228)*求节点(节奏总纲!D$4:D$163,攻城基础信息!$AC$5:$AC$164,$K228)</f>
        <v>687565.28183816944</v>
      </c>
      <c r="M228" s="12">
        <f>INDEX(其他调用!$AA$5:$AA$404,MATCH(K228,其他调用!$X$5:$X$404,0))*MIN(INDEX(其他调用!$AH$5:$AH$364,MATCH('征服点（新）'!K228,其他调用!$AG$5:$AG$364,0),1)/INDEX(其他调用!$AJ$5:$AJ$364,MATCH(K228,其他调用!$AG$5:$AG$364,0),0),5)*求节点(节奏总纲!D$4:D$163,攻城基础信息!$AC$5:$AC$164,$K228)</f>
        <v>53452.207835739864</v>
      </c>
      <c r="N228" s="12">
        <f>MIN(INDEX(其他调用!$AH$5:$AH$364,MATCH($K228,其他调用!$AG$5:$AG$364,0),1)/INDEX(其他调用!AH$5:AH$364,MATCH($K228,其他调用!$AG$5:$AG$364,0),0),1)*INDEX(其他调用!Y$5:Y$404,MATCH($K228,其他调用!$X$5:$X$404,0),0)</f>
        <v>40760.319167070244</v>
      </c>
      <c r="O228" s="12">
        <f>MIN(INDEX(其他调用!$AH$5:$AH$364,MATCH($K228,其他调用!$AG$5:$AG$364,0),1)/INDEX(其他调用!AI$5:AI$364,MATCH($K228,其他调用!$AG$5:$AG$364,0),0),1)*INDEX(其他调用!Z$5:Z$404,MATCH($K228,其他调用!$X$5:$X$404,0),0)</f>
        <v>26013.821146400776</v>
      </c>
      <c r="P228" s="12">
        <f>MIN(INDEX(其他调用!$AH$5:$AH$364,MATCH($K228,其他调用!$AG$5:$AG$364,0),1)/INDEX(其他调用!AJ$5:AJ$364,MATCH($K228,其他调用!$AG$5:$AG$364,0),0),1)*INDEX(其他调用!AA$5:AA$404,MATCH($K228,其他调用!$X$5:$X$404,0),0)</f>
        <v>15557.848010014148</v>
      </c>
      <c r="Q228" s="12">
        <f>MIN(INDEX(其他调用!$AH$5:$AH$364,MATCH($K228,其他调用!$AG$5:$AG$364,0),1)/INDEX(其他调用!AK$5:AK$364,MATCH($K228,其他调用!$AG$5:$AG$364,0),0),1)*INDEX(其他调用!AB$5:AB$404,MATCH($K228,其他调用!$X$5:$X$404,0),0)</f>
        <v>5569.8848646302258</v>
      </c>
      <c r="R228" s="12">
        <f>MIN(INDEX(其他调用!$AH$5:$AH$364,MATCH($K228,其他调用!$AG$5:$AG$364,0),1)/INDEX(其他调用!AL$5:AL$364,MATCH($K228,其他调用!$AG$5:$AG$364,0),0),1)*INDEX(其他调用!AC$5:AC$404,MATCH($K228,其他调用!$X$5:$X$404,0),0)</f>
        <v>2729.7576810421629</v>
      </c>
      <c r="S228" s="12">
        <f>求节点(节奏总纲!D$4:D$163,标准城池设计!AC$4:AC$163,$K228)*求节点(节奏总纲!D$4:D$163,攻城基础信息!$AD$5:$AD$164,$K228)</f>
        <v>735344.08800929715</v>
      </c>
      <c r="T228" s="12">
        <f>INDEX(其他调用!$AA$5:$AA$404,MATCH($K228,其他调用!$X$5:$X$404,0))*MIN(INDEX(其他调用!AI$5:AI$364,MATCH($K228,其他调用!$AG$5:$AG$364,0),1)/INDEX(其他调用!$AJ$5:$AJ$364,MATCH($K228,其他调用!$AG$5:$AG$364,0),0),5)*求节点(节奏总纲!D$4:D$163,攻城基础信息!$AD$5:$AD$164,$K228)</f>
        <v>86126.436291963255</v>
      </c>
      <c r="U228" s="12">
        <f>MIN(INDEX(其他调用!$AI$5:$AI$364,MATCH($K228,其他调用!$AG$5:$AG$364,0),1)/INDEX(其他调用!AH$5:AH$364,MATCH($K228,其他调用!$AG$5:$AG$364,0),0),1)*INDEX(其他调用!Y$5:Y$404,MATCH($K228,其他调用!$X$5:$X$404,0),0)</f>
        <v>40760.319167070244</v>
      </c>
      <c r="V228" s="12">
        <f>MIN(INDEX(其他调用!$AI$5:$AI$364,MATCH($K228,其他调用!$AG$5:$AG$364,0),1)/INDEX(其他调用!AI$5:AI$364,MATCH($K228,其他调用!$AG$5:$AG$364,0),0),1)*INDEX(其他调用!Z$5:Z$404,MATCH($K228,其他调用!$X$5:$X$404,0),0)</f>
        <v>41915.531657009647</v>
      </c>
      <c r="W228" s="12">
        <f>MIN(INDEX(其他调用!$AI$5:$AI$364,MATCH($K228,其他调用!$AG$5:$AG$364,0),1)/INDEX(其他调用!AJ$5:AJ$364,MATCH($K228,其他调用!$AG$5:$AG$364,0),0),1)*INDEX(其他调用!AA$5:AA$404,MATCH($K228,其他调用!$X$5:$X$404,0),0)</f>
        <v>25068.038528777153</v>
      </c>
      <c r="X228" s="12">
        <f>MIN(INDEX(其他调用!$AI$5:$AI$364,MATCH($K228,其他调用!$AG$5:$AG$364,0),1)/INDEX(其他调用!AK$5:AK$364,MATCH($K228,其他调用!$AG$5:$AG$364,0),0),1)*INDEX(其他调用!AB$5:AB$404,MATCH($K228,其他调用!$X$5:$X$404,0),0)</f>
        <v>8974.640213577728</v>
      </c>
      <c r="Y228" s="12">
        <f>MIN(INDEX(其他调用!$AI$5:$AI$364,MATCH($K228,其他调用!$AG$5:$AG$364,0),1)/INDEX(其他调用!AL$5:AL$364,MATCH($K228,其他调用!$AG$5:$AG$364,0),0),1)*INDEX(其他调用!AC$5:AC$404,MATCH($K228,其他调用!$X$5:$X$404,0),0)</f>
        <v>4398.4020591115213</v>
      </c>
      <c r="Z228" s="12">
        <f>求节点(节奏总纲!D$4:D$163,标准城池设计!AD$4:AD$163,$K228)*求节点(节奏总纲!D$4:D$163,攻城基础信息!$AE$5:$AE$164,$K228)</f>
        <v>802484.95636117074</v>
      </c>
      <c r="AA228" s="12">
        <f>INDEX(其他调用!$AA$5:$AA$404,MATCH($K228,其他调用!$X$5:$X$404,0))*MIN(INDEX(其他调用!AJ$5:AJ$364,MATCH($K228,其他调用!$AG$5:$AG$364,0),1)/INDEX(其他调用!$AJ$5:$AJ$364,MATCH($K228,其他调用!$AG$5:$AG$364,0),0),5)*求节点(节奏总纲!D$4:D$163,攻城基础信息!$AE$5:$AE$164,$K228)</f>
        <v>149239.99430035977</v>
      </c>
      <c r="AB228" s="12">
        <f>MIN(INDEX(其他调用!$AJ$5:$AJ$364,MATCH($K228,其他调用!$AG$5:$AG$364,0),1)/INDEX(其他调用!AH$5:AH$364,MATCH($K228,其他调用!$AG$5:$AG$364,0),0),1)*INDEX(其他调用!Y$5:Y$404,MATCH($K228,其他调用!$X$5:$X$404,0),0)</f>
        <v>40760.319167070244</v>
      </c>
      <c r="AC228" s="12">
        <f>MIN(INDEX(其他调用!$AJ$5:$AJ$364,MATCH($K228,其他调用!$AG$5:$AG$364,0),1)/INDEX(其他调用!AI$5:AI$364,MATCH($K228,其他调用!$AG$5:$AG$364,0),0),1)*INDEX(其他调用!Z$5:Z$404,MATCH($K228,其他调用!$X$5:$X$404,0),0)</f>
        <v>41915.531657009647</v>
      </c>
      <c r="AD228" s="12">
        <f>MIN(INDEX(其他调用!$AJ$5:$AJ$364,MATCH($K228,其他调用!$AG$5:$AG$364,0),1)/INDEX(其他调用!AJ$5:AJ$364,MATCH($K228,其他调用!$AG$5:$AG$364,0),0),1)*INDEX(其他调用!AA$5:AA$404,MATCH($K228,其他调用!$X$5:$X$404,0),0)</f>
        <v>43437.92786774112</v>
      </c>
      <c r="AE228" s="12">
        <f>MIN(INDEX(其他调用!$AJ$5:$AJ$364,MATCH($K228,其他调用!$AG$5:$AG$364,0),1)/INDEX(其他调用!AK$5:AK$364,MATCH($K228,其他调用!$AG$5:$AG$364,0),0),1)*INDEX(其他调用!AB$5:AB$404,MATCH($K228,其他调用!$X$5:$X$404,0),0)</f>
        <v>15551.26755485065</v>
      </c>
      <c r="AF228" s="12">
        <f>MIN(INDEX(其他调用!$AJ$5:$AJ$364,MATCH($K228,其他调用!$AG$5:$AG$364,0),1)/INDEX(其他调用!AL$5:AL$364,MATCH($K228,其他调用!$AG$5:$AG$364,0),0),1)*INDEX(其他调用!AC$5:AC$404,MATCH($K228,其他调用!$X$5:$X$404,0),0)</f>
        <v>7621.5564754970201</v>
      </c>
      <c r="AG228" s="12">
        <f>求节点(节奏总纲!D$4:D$163,标准城池设计!AE$4:AE$163,$K228)*求节点(节奏总纲!D$4:D$163,攻城基础信息!$AF$5:$AF$164,$K228)</f>
        <v>963918.03012588143</v>
      </c>
      <c r="AH228" s="12">
        <f>INDEX(其他调用!$AA$5:$AA$404,MATCH($K228,其他调用!$X$5:$X$404,0))*MIN(INDEX(其他调用!AK$5:AK$364,MATCH($K228,其他调用!$AG$5:$AG$364,0),1)/INDEX(其他调用!$AJ$5:$AJ$364,MATCH($K228,其他调用!$AG$5:$AG$364,0),0),5)*求节点(节奏总纲!D$4:D$163,攻城基础信息!$AF$5:$AF$164,$K228)</f>
        <v>438035.03553851298</v>
      </c>
      <c r="AI228" s="12">
        <f>MIN(INDEX(其他调用!$AK$5:$AK$364,MATCH($K228,其他调用!$AG$5:$AG$364,0),1)/INDEX(其他调用!AH$5:AH$364,MATCH($K228,其他调用!$AG$5:$AG$364,0),0),1)*INDEX(其他调用!Y$5:Y$404,MATCH($K228,其他调用!$X$5:$X$404,0),0)</f>
        <v>40760.319167070244</v>
      </c>
      <c r="AJ228" s="12">
        <f>MIN(INDEX(其他调用!$AK$5:$AK$364,MATCH($K228,其他调用!$AG$5:$AG$364,0),1)/INDEX(其他调用!AI$5:AI$364,MATCH($K228,其他调用!$AG$5:$AG$364,0),0),1)*INDEX(其他调用!Z$5:Z$404,MATCH($K228,其他调用!$X$5:$X$404,0),0)</f>
        <v>41915.531657009647</v>
      </c>
      <c r="AK228" s="12">
        <f>MIN(INDEX(其他调用!$AK$5:$AK$364,MATCH($K228,其他调用!$AG$5:$AG$364,0),1)/INDEX(其他调用!AJ$5:AJ$364,MATCH($K228,其他调用!$AG$5:$AG$364,0),0),1)*INDEX(其他调用!AA$5:AA$404,MATCH($K228,其他调用!$X$5:$X$404,0),0)</f>
        <v>43437.92786774112</v>
      </c>
      <c r="AL228" s="12">
        <f>MIN(INDEX(其他调用!$AK$5:$AK$364,MATCH($K228,其他调用!$AG$5:$AG$364,0),1)/INDEX(其他调用!AK$5:AK$364,MATCH($K228,其他调用!$AG$5:$AG$364,0),0),1)*INDEX(其他调用!AB$5:AB$404,MATCH($K228,其他调用!$X$5:$X$404,0),0)</f>
        <v>45644.601287963917</v>
      </c>
      <c r="AM228" s="12">
        <f>MIN(INDEX(其他调用!$AK$5:$AK$364,MATCH($K228,其他调用!$AG$5:$AG$364,0),1)/INDEX(其他调用!AL$5:AL$364,MATCH($K228,其他调用!$AG$5:$AG$364,0),0),1)*INDEX(其他调用!AC$5:AC$404,MATCH($K228,其他调用!$X$5:$X$404,0),0)</f>
        <v>22370.06760321937</v>
      </c>
      <c r="AN228" s="12">
        <f>求节点(节奏总纲!D$4:D$163,标准城池设计!AF$4:AF$163,$K228)*求节点(节奏总纲!D$4:D$163,攻城基础信息!$AG$5:$AG$164,$K228)</f>
        <v>1007337.660811475</v>
      </c>
      <c r="AO228" s="12">
        <f>INDEX(其他调用!$AA$5:$AA$404,MATCH($K228,其他调用!$X$5:$X$404,0))*MIN(INDEX(其他调用!AL$5:AL$364,MATCH($K228,其他调用!$AG$5:$AG$364,0),1)/INDEX(其他调用!$AJ$5:$AJ$364,MATCH($K228,其他调用!$AG$5:$AG$364,0),0),5)*求节点(节奏总纲!D$4:D$163,攻城基础信息!$AG$5:$AG$164,$K228)</f>
        <v>746199.97150179883</v>
      </c>
      <c r="AP228" s="12">
        <f>MIN(INDEX(其他调用!$AL$5:$AL$364,MATCH($K228,其他调用!$AG$5:$AG$364,0),1)/INDEX(其他调用!AH$5:AH$364,MATCH($K228,其他调用!$AG$5:$AG$364,0),0),1)*INDEX(其他调用!Y$5:Y$404,MATCH($K228,其他调用!$X$5:$X$404,0),0)</f>
        <v>40760.319167070244</v>
      </c>
      <c r="AQ228" s="12">
        <f>MIN(INDEX(其他调用!$AL$5:$AL$364,MATCH($K228,其他调用!$AG$5:$AG$364,0),1)/INDEX(其他调用!AI$5:AI$364,MATCH($K228,其他调用!$AG$5:$AG$364,0),0),1)*INDEX(其他调用!Z$5:Z$404,MATCH($K228,其他调用!$X$5:$X$404,0),0)</f>
        <v>41915.531657009647</v>
      </c>
      <c r="AR228" s="12">
        <f>MIN(INDEX(其他调用!$AL$5:$AL$364,MATCH($K228,其他调用!$AG$5:$AG$364,0),1)/INDEX(其他调用!AJ$5:AJ$364,MATCH($K228,其他调用!$AG$5:$AG$364,0),0),1)*INDEX(其他调用!AA$5:AA$404,MATCH($K228,其他调用!$X$5:$X$404,0),0)</f>
        <v>43437.92786774112</v>
      </c>
      <c r="AS228" s="12">
        <f>MIN(INDEX(其他调用!$AL$5:$AL$364,MATCH($K228,其他调用!$AG$5:$AG$364,0),1)/INDEX(其他调用!AK$5:AK$364,MATCH($K228,其他调用!$AG$5:$AG$364,0),0),1)*INDEX(其他调用!AB$5:AB$404,MATCH($K228,其他调用!$X$5:$X$404,0),0)</f>
        <v>45644.601287963917</v>
      </c>
      <c r="AT228" s="12">
        <f>MIN(INDEX(其他调用!$AL$5:$AL$364,MATCH($K228,其他调用!$AG$5:$AG$364,0),1)/INDEX(其他调用!AL$5:AL$364,MATCH($K228,其他调用!$AG$5:$AG$364,0),0),1)*INDEX(其他调用!AC$5:AC$404,MATCH($K228,其他调用!$X$5:$X$404,0),0)</f>
        <v>49573.164873655107</v>
      </c>
      <c r="AV228" s="14">
        <f>IF(OR(AV$5="大R",AV$5="超R"),MAX(INDEX(其他调用!$H$5:$L$404,MATCH($K228,其他调用!$B$5:$B$404,0),MATCH(AV$5,其他调用!$H$4:$L$4,0))*120*0.85,2),INDEX(其他调用!$H$5:$L$404,MATCH($K228,其他调用!$B$5:$B$404,0),MATCH(AV$5,其他调用!$H$4:$L$4,0))*120*0.85)</f>
        <v>48.921801254999991</v>
      </c>
      <c r="AW228" s="14">
        <f>IF(OR(AW$5="大R",AW$5="超R"),MAX(INDEX(其他调用!$H$5:$L$404,MATCH($K228,其他调用!$B$5:$B$404,0),MATCH(AW$5,其他调用!$H$4:$L$4,0))*120*0.85,2),INDEX(其他调用!$H$5:$L$404,MATCH($K228,其他调用!$B$5:$B$404,0),MATCH(AW$5,其他调用!$H$4:$L$4,0))*120*0.85)</f>
        <v>48.237344010638395</v>
      </c>
      <c r="AX228" s="14">
        <f>IF(OR(AX$5="大R",AX$5="超R"),MAX(INDEX(其他调用!$H$5:$L$404,MATCH($K228,其他调用!$B$5:$B$404,0),MATCH(AX$5,其他调用!$H$4:$L$4,0))*120*0.85,2),INDEX(其他调用!$H$5:$L$404,MATCH($K228,其他调用!$B$5:$B$404,0),MATCH(AX$5,其他调用!$H$4:$L$4,0))*120*0.85)</f>
        <v>3.9376284143615998</v>
      </c>
      <c r="AY228" s="14">
        <f>IF(OR(AY$5="大R",AY$5="超R"),MAX(INDEX(其他调用!$H$5:$L$404,MATCH($K228,其他调用!$B$5:$B$404,0),MATCH(AY$5,其他调用!$H$4:$L$4,0))*120*0.85,2),INDEX(其他调用!$H$5:$L$404,MATCH($K228,其他调用!$B$5:$B$404,0),MATCH(AY$5,其他调用!$H$4:$L$4,0))*120*0.85)</f>
        <v>2</v>
      </c>
      <c r="AZ228" s="14">
        <f>IF(OR(AZ$5="大R",AZ$5="超R"),MAX(INDEX(其他调用!$H$5:$L$404,MATCH($K228,其他调用!$B$5:$B$404,0),MATCH(AZ$5,其他调用!$H$4:$L$4,0))*120*0.85,2),INDEX(其他调用!$H$5:$L$404,MATCH($K228,其他调用!$B$5:$B$404,0),MATCH(AZ$5,其他调用!$H$4:$L$4,0))*120*0.85)</f>
        <v>2</v>
      </c>
      <c r="BA228" s="14">
        <f>INDEX(其他调用!$H$5:$L$404,MATCH($K228,其他调用!$B$5:$B$404,0),MATCH(BA$5,其他调用!$H$4:$L$4,0))*INDEX(其他调用!$M$5:$M$404,MATCH($K228,其他调用!$B$5:$B$404,0))*0.6</f>
        <v>28.777530149999997</v>
      </c>
      <c r="BB228" s="14">
        <f>INDEX(其他调用!$H$5:$L$404,MATCH($K228,其他调用!$B$5:$B$404,0),MATCH(BB$5,其他调用!$H$4:$L$4,0))*INDEX(其他调用!$M$5:$M$404,MATCH($K228,其他调用!$B$5:$B$404,0))*0.6</f>
        <v>28.374908241551999</v>
      </c>
      <c r="BC228" s="14">
        <f>INDEX(其他调用!$H$5:$L$404,MATCH($K228,其他调用!$B$5:$B$404,0),MATCH(BC$5,其他调用!$H$4:$L$4,0))*INDEX(其他调用!$M$5:$M$404,MATCH($K228,其他调用!$B$5:$B$404,0))*0.6</f>
        <v>2.3162520084480001</v>
      </c>
      <c r="BD228" s="14">
        <f>INDEX(其他调用!$H$5:$L$404,MATCH($K228,其他调用!$B$5:$B$404,0),MATCH(BD$5,其他调用!$H$4:$L$4,0))*INDEX(其他调用!$M$5:$M$404,MATCH($K228,其他调用!$B$5:$B$404,0))*0.6</f>
        <v>0.4120776000000001</v>
      </c>
      <c r="BE228" s="14">
        <f>INDEX(其他调用!$H$5:$L$404,MATCH($K228,其他调用!$B$5:$B$404,0),MATCH(BE$5,其他调用!$H$4:$L$4,0))*INDEX(其他调用!$M$5:$M$404,MATCH($K228,其他调用!$B$5:$B$404,0))*0.6</f>
        <v>0.11923199999999998</v>
      </c>
      <c r="BF228" s="14">
        <f>IF(OR(BF$5="大R",BF$5="超R"),0,INDEX(其他调用!$H$5:$L$404,MATCH($K228,其他调用!$B$5:$B$404,0),MATCH(BF$5,其他调用!$H$4:$L$4,0))*50*0.4)</f>
        <v>9.5925100500000013</v>
      </c>
      <c r="BG228" s="14">
        <f>IF(OR(BG$5="大R",BG$5="超R"),0,INDEX(其他调用!$H$5:$L$404,MATCH($K228,其他调用!$B$5:$B$404,0),MATCH(BG$5,其他调用!$H$4:$L$4,0))*50*0.4)</f>
        <v>9.4583027471839998</v>
      </c>
      <c r="BH228" s="14">
        <f>IF(OR(BH$5="大R",BH$5="超R"),0,INDEX(其他调用!$H$5:$L$404,MATCH($K228,其他调用!$B$5:$B$404,0),MATCH(BH$5,其他调用!$H$4:$L$4,0))*50*0.4)</f>
        <v>0.77208400281600009</v>
      </c>
      <c r="BI228" s="14">
        <f>IF(OR(BI$5="大R",BI$5="超R"),0,INDEX(其他调用!$H$5:$L$404,MATCH($K228,其他调用!$B$5:$B$404,0),MATCH(BI$5,其他调用!$H$4:$L$4,0))*50*0.4)</f>
        <v>0</v>
      </c>
      <c r="BJ228" s="14">
        <f>IF(OR(BJ$5="大R",BJ$5="超R"),0,INDEX(其他调用!$H$5:$L$404,MATCH($K228,其他调用!$B$5:$B$404,0),MATCH(BJ$5,其他调用!$H$4:$L$4,0))*50*0.4)</f>
        <v>0</v>
      </c>
      <c r="BL228" s="14">
        <f t="shared" si="418"/>
        <v>223</v>
      </c>
      <c r="BM228" s="14">
        <f t="shared" si="325"/>
        <v>96</v>
      </c>
      <c r="BN228" s="14">
        <f>('疲劳值&amp;地图信息'!$S$10*'疲劳值&amp;地图信息'!$R$10+'疲劳值&amp;地图信息'!$S$11*'疲劳值&amp;地图信息'!$R$11+'疲劳值&amp;地图信息'!$S$12*'疲劳值&amp;地图信息'!$R$12+(BM228-'疲劳值&amp;地图信息'!$S$12-'疲劳值&amp;地图信息'!$S$11-'疲劳值&amp;地图信息'!$S$10)*'疲劳值&amp;地图信息'!$R$13)/BM228</f>
        <v>51.371477246638619</v>
      </c>
      <c r="BO228" s="14">
        <f>INDEX(其他调用!$M$5:$M$404,MATCH(BL228,其他调用!$B$5:$B$404,0))*0.6</f>
        <v>60</v>
      </c>
      <c r="BP228" s="14">
        <f>IF(BO228&gt;SUM('疲劳值&amp;地图信息'!$S$10:$S$12),('疲劳值&amp;地图信息'!$S$10*'疲劳值&amp;地图信息'!$R$10+'疲劳值&amp;地图信息'!$S$11*'疲劳值&amp;地图信息'!$R$11+'疲劳值&amp;地图信息'!$S$12*'疲劳值&amp;地图信息'!$R$12+(BO228-'疲劳值&amp;地图信息'!$S$12-'疲劳值&amp;地图信息'!$S$11-'疲劳值&amp;地图信息'!$S$10)*'疲劳值&amp;地图信息'!$R$13)/BO228,('疲劳值&amp;地图信息'!$S$10*'疲劳值&amp;地图信息'!$R$10+'疲劳值&amp;地图信息'!$S$11*'疲劳值&amp;地图信息'!$R$11+'疲劳值&amp;地图信息'!$S$12*'疲劳值&amp;地图信息'!$R$12+(BO228-'疲劳值&amp;地图信息'!$S$12-'疲劳值&amp;地图信息'!$S$11-'疲劳值&amp;地图信息'!$S$10)*'疲劳值&amp;地图信息'!$R$13)/BO228)</f>
        <v>44.158136341605953</v>
      </c>
      <c r="BQ228" s="14">
        <f t="shared" si="419"/>
        <v>20</v>
      </c>
      <c r="BR228" s="14">
        <f>('疲劳值&amp;地图信息'!$S$10*'疲劳值&amp;地图信息'!$R$10+($BQ228-'疲劳值&amp;地图信息'!$S$10)*'疲劳值&amp;地图信息'!$R$11)/$BQ228</f>
        <v>32.067203015074995</v>
      </c>
      <c r="CF228" s="14">
        <v>223</v>
      </c>
      <c r="CG228" s="51">
        <f t="shared" si="326"/>
        <v>14013</v>
      </c>
      <c r="CH228" s="51">
        <f t="shared" si="327"/>
        <v>1089</v>
      </c>
      <c r="CI228" s="51">
        <f>INT(SUMPRODUCT($N228:$R228,$BA228:$BE228)/SUM($BA228:$BE228)/10000*$BX$7*$BZ$34/'疲劳值&amp;地图信息'!$R$10*$BY$53)</f>
        <v>3297</v>
      </c>
      <c r="CJ228" s="50">
        <f t="shared" si="328"/>
        <v>0.76161747921082668</v>
      </c>
      <c r="CK228" s="50">
        <f t="shared" si="329"/>
        <v>5.9187999347790642E-2</v>
      </c>
      <c r="CL228" s="50">
        <f t="shared" si="330"/>
        <v>0.17919452144138268</v>
      </c>
      <c r="CM228" s="14">
        <f t="shared" si="331"/>
        <v>14987</v>
      </c>
      <c r="CN228" s="14">
        <f t="shared" si="332"/>
        <v>1755</v>
      </c>
      <c r="CO228" s="14">
        <f>INT(SUMPRODUCT($U228:$Y228,$BA228:$BE228)/SUM($BA228:$BE228)/10000*$BX$7*$BZ$34/'疲劳值&amp;地图信息'!$R$10*$BY$54)</f>
        <v>6150</v>
      </c>
      <c r="CP228" s="50">
        <f t="shared" si="333"/>
        <v>0.65468285864057307</v>
      </c>
      <c r="CQ228" s="50">
        <f t="shared" si="334"/>
        <v>7.6664336886248477E-2</v>
      </c>
      <c r="CR228" s="50">
        <f t="shared" si="335"/>
        <v>0.26865280447317841</v>
      </c>
      <c r="CS228" s="14">
        <f t="shared" si="336"/>
        <v>16355</v>
      </c>
      <c r="CT228" s="14">
        <f t="shared" si="337"/>
        <v>3041</v>
      </c>
      <c r="CU228" s="14">
        <f>INT(SUMPRODUCT($AB228:$AF228,$BA228:$BE228)/SUM($BA228:$BE228)/10000*$BX$7*$BZ$34/'疲劳值&amp;地图信息'!$R$10*$BY$55)</f>
        <v>8355</v>
      </c>
      <c r="CV228" s="50">
        <f t="shared" si="338"/>
        <v>0.58934813159886135</v>
      </c>
      <c r="CW228" s="50">
        <f t="shared" si="339"/>
        <v>0.10958163669777665</v>
      </c>
      <c r="CX228" s="50">
        <f t="shared" si="340"/>
        <v>0.30107023170336206</v>
      </c>
      <c r="CY228" s="14">
        <f t="shared" si="341"/>
        <v>19645</v>
      </c>
      <c r="CZ228" s="14">
        <f t="shared" si="342"/>
        <v>8927</v>
      </c>
      <c r="DA228" s="14">
        <f>INT(SUMPRODUCT($AI228:$AM228,$BA228:$BE228)/SUM($BA228:$BE228)/10000*$BX$7*$BZ$34/'疲劳值&amp;地图信息'!$R$10*$BY$56)</f>
        <v>12604</v>
      </c>
      <c r="DB228" s="50">
        <f t="shared" si="343"/>
        <v>0.47709830969496791</v>
      </c>
      <c r="DC228" s="50">
        <f t="shared" si="344"/>
        <v>0.21680104915484749</v>
      </c>
      <c r="DD228" s="50">
        <f t="shared" si="345"/>
        <v>0.30610064115018459</v>
      </c>
      <c r="DE228" s="14">
        <f t="shared" si="346"/>
        <v>20530</v>
      </c>
      <c r="DF228" s="14">
        <f t="shared" si="347"/>
        <v>15208</v>
      </c>
      <c r="DG228" s="14">
        <f>INT(SUMPRODUCT($AP228:$AT228,$BA228:$BE228)/SUM($BA228:$BE228)/10000*$BX$7*$BZ$34/'疲劳值&amp;地图信息'!$R$10*$BY$57)</f>
        <v>16827</v>
      </c>
      <c r="DH228" s="50">
        <f t="shared" si="348"/>
        <v>0.39056406354037859</v>
      </c>
      <c r="DI228" s="50">
        <f t="shared" si="349"/>
        <v>0.28931798725387614</v>
      </c>
      <c r="DJ228" s="50">
        <f t="shared" si="350"/>
        <v>0.32011794920574527</v>
      </c>
      <c r="DL228" s="14">
        <f t="shared" si="421"/>
        <v>18399</v>
      </c>
      <c r="DM228" s="14">
        <f t="shared" si="422"/>
        <v>22892</v>
      </c>
      <c r="DN228" s="14">
        <f t="shared" si="423"/>
        <v>27751</v>
      </c>
      <c r="DO228" s="14">
        <f t="shared" si="424"/>
        <v>41176</v>
      </c>
      <c r="DP228" s="14">
        <f t="shared" si="425"/>
        <v>52565</v>
      </c>
      <c r="DQ228" s="14">
        <f t="shared" si="426"/>
        <v>1266549</v>
      </c>
      <c r="DT228" s="14">
        <f t="shared" si="420"/>
        <v>235575</v>
      </c>
      <c r="DU228" s="50">
        <f t="shared" si="322"/>
        <v>0.15682793164878531</v>
      </c>
      <c r="DW228" s="14">
        <f t="shared" si="351"/>
        <v>1502124</v>
      </c>
      <c r="EB228" s="14">
        <v>223</v>
      </c>
      <c r="EC228" s="51">
        <f t="shared" si="352"/>
        <v>23355</v>
      </c>
      <c r="ED228" s="51">
        <f t="shared" si="353"/>
        <v>1815</v>
      </c>
      <c r="EE228" s="51">
        <f>INT(SUMPRODUCT($N228:$R228,$BF228:$BJ228)/SUM($BF228:$BJ228)/10000*$BX$7*$BZ$46/'疲劳值&amp;地图信息'!$R$10*$BY$53)</f>
        <v>442</v>
      </c>
      <c r="EF228" s="50">
        <f t="shared" si="354"/>
        <v>0.9118772450413869</v>
      </c>
      <c r="EG228" s="50">
        <f t="shared" si="355"/>
        <v>7.0865219428392939E-2</v>
      </c>
      <c r="EH228" s="50">
        <f t="shared" si="356"/>
        <v>1.7257535530220209E-2</v>
      </c>
      <c r="EI228" s="51">
        <f t="shared" si="357"/>
        <v>24978</v>
      </c>
      <c r="EJ228" s="51">
        <f t="shared" si="358"/>
        <v>2925</v>
      </c>
      <c r="EK228" s="14">
        <f>INT(SUMPRODUCT($U228:$Y228,$BF228:$BJ228)/SUM($BF228:$BJ228)/10000*$BX$7*$BZ$46/'疲劳值&amp;地图信息'!$R$10*$BY$54)</f>
        <v>825</v>
      </c>
      <c r="EL228" s="50">
        <f t="shared" si="359"/>
        <v>0.86946532999164583</v>
      </c>
      <c r="EM228" s="50">
        <f t="shared" si="360"/>
        <v>0.10181704260651629</v>
      </c>
      <c r="EN228" s="50">
        <f t="shared" si="361"/>
        <v>2.8717627401837927E-2</v>
      </c>
      <c r="EO228" s="51">
        <f t="shared" si="362"/>
        <v>27259</v>
      </c>
      <c r="EP228" s="51">
        <f t="shared" si="363"/>
        <v>5069</v>
      </c>
      <c r="EQ228" s="14">
        <f>INT(SUMPRODUCT($AB228:$AF228,$BF228:$BJ228)/SUM($BF228:$BJ228)/10000*$BX$7*$BZ$46/'疲劳值&amp;地图信息'!$R$10*$BY$55)</f>
        <v>1120</v>
      </c>
      <c r="ER228" s="50">
        <f t="shared" si="364"/>
        <v>0.81496651518775409</v>
      </c>
      <c r="ES228" s="50">
        <f t="shared" si="365"/>
        <v>0.15154867256637169</v>
      </c>
      <c r="ET228" s="50">
        <f t="shared" si="366"/>
        <v>3.3484812245874192E-2</v>
      </c>
      <c r="EU228" s="51">
        <f t="shared" si="367"/>
        <v>32743</v>
      </c>
      <c r="EV228" s="51">
        <f t="shared" si="368"/>
        <v>14879</v>
      </c>
      <c r="EW228" s="14">
        <f>INT(SUMPRODUCT($AI228:$AM228,$BF228:$BJ228)/SUM($BF228:$BJ228)/10000*$BX$7*$BZ$46/'疲劳值&amp;地图信息'!$R$10*$BY$56)</f>
        <v>1680</v>
      </c>
      <c r="EX228" s="50">
        <f t="shared" si="369"/>
        <v>0.66413127256500748</v>
      </c>
      <c r="EY228" s="50">
        <f t="shared" si="370"/>
        <v>0.30179303070869334</v>
      </c>
      <c r="EZ228" s="50">
        <f t="shared" si="371"/>
        <v>3.4075696726299134E-2</v>
      </c>
      <c r="FA228" s="51">
        <f t="shared" si="372"/>
        <v>34218</v>
      </c>
      <c r="FB228" s="51">
        <f t="shared" si="373"/>
        <v>25347</v>
      </c>
      <c r="FC228" s="14">
        <f>INT(SUMPRODUCT($AP228:$AT228,$BF228:$BJ228)/SUM($BF228:$BJ228)/10000*$BX$7*$BZ$46/'疲劳值&amp;地图信息'!$R$10*$BY$57)</f>
        <v>2241</v>
      </c>
      <c r="FD228" s="50">
        <f t="shared" si="374"/>
        <v>0.55363556936219782</v>
      </c>
      <c r="FE228" s="50">
        <f t="shared" si="375"/>
        <v>0.41010581496942045</v>
      </c>
      <c r="FF228" s="50">
        <f t="shared" si="376"/>
        <v>3.6258615668381712E-2</v>
      </c>
      <c r="FH228" s="14">
        <f t="shared" si="377"/>
        <v>25612</v>
      </c>
      <c r="FI228" s="14">
        <f t="shared" si="378"/>
        <v>28728</v>
      </c>
      <c r="FJ228" s="14">
        <f t="shared" si="379"/>
        <v>33448</v>
      </c>
      <c r="FK228" s="14">
        <f t="shared" si="380"/>
        <v>49302</v>
      </c>
      <c r="FL228" s="14">
        <f t="shared" si="381"/>
        <v>61806</v>
      </c>
      <c r="FM228" s="14">
        <f t="shared" si="382"/>
        <v>2992669</v>
      </c>
      <c r="FP228" s="14">
        <f t="shared" si="383"/>
        <v>334150</v>
      </c>
      <c r="FQ228" s="50">
        <f t="shared" si="323"/>
        <v>0.10044129241777205</v>
      </c>
      <c r="FS228" s="14">
        <f t="shared" si="384"/>
        <v>3326819</v>
      </c>
      <c r="FX228" s="14">
        <v>223</v>
      </c>
      <c r="FY228" s="51">
        <f t="shared" si="385"/>
        <v>32698</v>
      </c>
      <c r="FZ228" s="51">
        <f t="shared" si="386"/>
        <v>1815</v>
      </c>
      <c r="GA228" s="51">
        <f>INT(SUMPRODUCT($N228:$R228,$BF228:$BJ228)/SUM($BF228:$BJ228)/10000*$BX$7*$BZ$46/'疲劳值&amp;地图信息'!$R$10*$BY$53)</f>
        <v>442</v>
      </c>
      <c r="GB228" s="50">
        <f t="shared" si="387"/>
        <v>0.93543126877413818</v>
      </c>
      <c r="GC228" s="50">
        <f t="shared" si="388"/>
        <v>5.1923902159919898E-2</v>
      </c>
      <c r="GD228" s="50">
        <f t="shared" si="389"/>
        <v>1.2644829065941925E-2</v>
      </c>
      <c r="GE228" s="51">
        <f t="shared" si="390"/>
        <v>34970</v>
      </c>
      <c r="GF228" s="51">
        <f t="shared" si="391"/>
        <v>2925</v>
      </c>
      <c r="GG228" s="14">
        <f>INT(SUMPRODUCT($U228:$Y228,$BF228:$BJ228)/SUM($BF228:$BJ228)/10000*$BX$7*$BZ$46/'疲劳值&amp;地图信息'!$R$10*$BY$54)</f>
        <v>825</v>
      </c>
      <c r="GH228" s="50">
        <f t="shared" si="392"/>
        <v>0.90315082644628097</v>
      </c>
      <c r="GI228" s="50">
        <f t="shared" si="393"/>
        <v>7.5542355371900821E-2</v>
      </c>
      <c r="GJ228" s="50">
        <f t="shared" si="394"/>
        <v>2.130681818181818E-2</v>
      </c>
      <c r="GK228" s="51">
        <f t="shared" si="395"/>
        <v>38163</v>
      </c>
      <c r="GL228" s="51">
        <f t="shared" si="396"/>
        <v>5069</v>
      </c>
      <c r="GM228" s="14">
        <f>INT(SUMPRODUCT($AB228:$AF228,$BF228:$BJ228)/SUM($BF228:$BJ228)/10000*$BX$7*$BZ$46/'疲劳值&amp;地图信息'!$R$10*$BY$55)</f>
        <v>1120</v>
      </c>
      <c r="GN228" s="50">
        <f t="shared" si="397"/>
        <v>0.86045725108225113</v>
      </c>
      <c r="GO228" s="50">
        <f t="shared" si="398"/>
        <v>0.11429022366522366</v>
      </c>
      <c r="GP228" s="50">
        <f t="shared" si="399"/>
        <v>2.5252525252525252E-2</v>
      </c>
      <c r="GQ228" s="51">
        <f t="shared" si="400"/>
        <v>45840</v>
      </c>
      <c r="GR228" s="51">
        <f t="shared" si="401"/>
        <v>14879</v>
      </c>
      <c r="GS228" s="14">
        <f>INT(SUMPRODUCT($AI228:$AM228,$BF228:$BJ228)/SUM($BF228:$BJ228)/10000*$BX$7*$BZ$46/'疲劳值&amp;地图信息'!$R$10*$BY$56)</f>
        <v>1680</v>
      </c>
      <c r="GT228" s="50">
        <f t="shared" si="402"/>
        <v>0.73462715748649821</v>
      </c>
      <c r="GU228" s="50">
        <f t="shared" si="403"/>
        <v>0.23844933412394428</v>
      </c>
      <c r="GV228" s="50">
        <f t="shared" si="404"/>
        <v>2.6923508389557524E-2</v>
      </c>
      <c r="GW228" s="51">
        <f t="shared" si="405"/>
        <v>47905</v>
      </c>
      <c r="GX228" s="51">
        <f t="shared" si="406"/>
        <v>25347</v>
      </c>
      <c r="GY228" s="14">
        <f>INT(SUMPRODUCT($AP228:$AT228,$BF228:$BJ228)/SUM($BF228:$BJ228)/10000*$BX$7*$BZ$46/'疲劳值&amp;地图信息'!$R$10*$BY$57)</f>
        <v>2241</v>
      </c>
      <c r="GZ228" s="50">
        <f t="shared" si="407"/>
        <v>0.63456214483462048</v>
      </c>
      <c r="HA228" s="50">
        <f t="shared" si="408"/>
        <v>0.33575298372034496</v>
      </c>
      <c r="HB228" s="50">
        <f t="shared" si="409"/>
        <v>2.9684871445034639E-2</v>
      </c>
      <c r="HD228" s="14">
        <f t="shared" si="410"/>
        <v>34955</v>
      </c>
      <c r="HE228" s="14">
        <f t="shared" si="411"/>
        <v>38720</v>
      </c>
      <c r="HF228" s="14">
        <f t="shared" si="412"/>
        <v>44352</v>
      </c>
      <c r="HG228" s="14">
        <f t="shared" si="413"/>
        <v>62399</v>
      </c>
      <c r="HH228" s="14">
        <f t="shared" si="414"/>
        <v>75493</v>
      </c>
      <c r="HI228" s="14">
        <f t="shared" si="415"/>
        <v>4028237</v>
      </c>
      <c r="HL228" s="14">
        <f t="shared" si="416"/>
        <v>430050</v>
      </c>
      <c r="HM228" s="50">
        <f t="shared" si="324"/>
        <v>9.6460815555391571E-2</v>
      </c>
      <c r="HO228" s="14">
        <f t="shared" si="417"/>
        <v>4458287</v>
      </c>
    </row>
    <row r="229" spans="11:223" x14ac:dyDescent="0.2">
      <c r="K229" s="14">
        <v>224</v>
      </c>
      <c r="L229" s="12">
        <f>求节点(节奏总纲!D$4:D$163,标准城池设计!AB$4:AB$163,$K229)*求节点(节奏总纲!D$4:D$163,攻城基础信息!$AC$5:$AC$164,$K229)</f>
        <v>688991.98211446533</v>
      </c>
      <c r="M229" s="12">
        <f>INDEX(其他调用!$AA$5:$AA$404,MATCH(K229,其他调用!$X$5:$X$404,0))*MIN(INDEX(其他调用!$AH$5:$AH$364,MATCH('征服点（新）'!K229,其他调用!$AG$5:$AG$364,0),1)/INDEX(其他调用!$AJ$5:$AJ$364,MATCH(K229,其他调用!$AG$5:$AG$364,0),0),5)*求节点(节奏总纲!D$4:D$163,攻城基础信息!$AC$5:$AC$164,$K229)</f>
        <v>53475.100418833783</v>
      </c>
      <c r="N229" s="12">
        <f>MIN(INDEX(其他调用!$AH$5:$AH$364,MATCH($K229,其他调用!$AG$5:$AG$364,0),1)/INDEX(其他调用!AH$5:AH$364,MATCH($K229,其他调用!$AG$5:$AG$364,0),0),1)*INDEX(其他调用!Y$5:Y$404,MATCH($K229,其他调用!$X$5:$X$404,0),0)</f>
        <v>40785.795696322988</v>
      </c>
      <c r="O229" s="12">
        <f>MIN(INDEX(其他调用!$AH$5:$AH$364,MATCH($K229,其他调用!$AG$5:$AG$364,0),1)/INDEX(其他调用!AI$5:AI$364,MATCH($K229,其他调用!$AG$5:$AG$364,0),0),1)*INDEX(其他调用!Z$5:Z$404,MATCH($K229,其他调用!$X$5:$X$404,0),0)</f>
        <v>25975.743016487897</v>
      </c>
      <c r="P229" s="12">
        <f>MIN(INDEX(其他调用!$AH$5:$AH$364,MATCH($K229,其他调用!$AG$5:$AG$364,0),1)/INDEX(其他调用!AJ$5:AJ$364,MATCH($K229,其他调用!$AG$5:$AG$364,0),0),1)*INDEX(其他调用!AA$5:AA$404,MATCH($K229,其他调用!$X$5:$X$404,0),0)</f>
        <v>15555.076254669189</v>
      </c>
      <c r="Q229" s="12">
        <f>MIN(INDEX(其他调用!$AH$5:$AH$364,MATCH($K229,其他调用!$AG$5:$AG$364,0),1)/INDEX(其他调用!AK$5:AK$364,MATCH($K229,其他调用!$AG$5:$AG$364,0),0),1)*INDEX(其他调用!AB$5:AB$404,MATCH($K229,其他调用!$X$5:$X$404,0),0)</f>
        <v>5566.6310720780702</v>
      </c>
      <c r="R229" s="12">
        <f>MIN(INDEX(其他调用!$AH$5:$AH$364,MATCH($K229,其他调用!$AG$5:$AG$364,0),1)/INDEX(其他调用!AL$5:AL$364,MATCH($K229,其他调用!$AG$5:$AG$364,0),0),1)*INDEX(其他调用!AC$5:AC$404,MATCH($K229,其他调用!$X$5:$X$404,0),0)</f>
        <v>2739.481508034366</v>
      </c>
      <c r="S229" s="12">
        <f>求节点(节奏总纲!D$4:D$163,标准城池设计!AC$4:AC$163,$K229)*求节点(节奏总纲!D$4:D$163,攻城基础信息!$AD$5:$AD$164,$K229)</f>
        <v>737235.22883668484</v>
      </c>
      <c r="T229" s="12">
        <f>INDEX(其他调用!$AA$5:$AA$404,MATCH($K229,其他调用!$X$5:$X$404,0))*MIN(INDEX(其他调用!AI$5:AI$364,MATCH($K229,其他调用!$AG$5:$AG$364,0),1)/INDEX(其他调用!$AJ$5:$AJ$364,MATCH($K229,其他调用!$AG$5:$AG$364,0),0),5)*求节点(节奏总纲!D$4:D$163,攻城基础信息!$AD$5:$AD$164,$K229)</f>
        <v>86341.604259417189</v>
      </c>
      <c r="U229" s="12">
        <f>MIN(INDEX(其他调用!$AI$5:$AI$364,MATCH($K229,其他调用!$AG$5:$AG$364,0),1)/INDEX(其他调用!AH$5:AH$364,MATCH($K229,其他调用!$AG$5:$AG$364,0),0),1)*INDEX(其他调用!Y$5:Y$404,MATCH($K229,其他调用!$X$5:$X$404,0),0)</f>
        <v>40785.795696322988</v>
      </c>
      <c r="V229" s="12">
        <f>MIN(INDEX(其他调用!$AI$5:$AI$364,MATCH($K229,其他调用!$AG$5:$AG$364,0),1)/INDEX(其他调用!AI$5:AI$364,MATCH($K229,其他调用!$AG$5:$AG$364,0),0),1)*INDEX(其他调用!Z$5:Z$404,MATCH($K229,其他调用!$X$5:$X$404,0),0)</f>
        <v>41940.77816231671</v>
      </c>
      <c r="W229" s="12">
        <f>MIN(INDEX(其他调用!$AI$5:$AI$364,MATCH($K229,其他调用!$AG$5:$AG$364,0),1)/INDEX(其他调用!AJ$5:AJ$364,MATCH($K229,其他调用!$AG$5:$AG$364,0),0),1)*INDEX(其他调用!AA$5:AA$404,MATCH($K229,其他调用!$X$5:$X$404,0),0)</f>
        <v>25115.431811937015</v>
      </c>
      <c r="X229" s="12">
        <f>MIN(INDEX(其他调用!$AI$5:$AI$364,MATCH($K229,其他调用!$AG$5:$AG$364,0),1)/INDEX(其他调用!AK$5:AK$364,MATCH($K229,其他调用!$AG$5:$AG$364,0),0),1)*INDEX(其他调用!AB$5:AB$404,MATCH($K229,其他调用!$X$5:$X$404,0),0)</f>
        <v>8987.9561388212514</v>
      </c>
      <c r="Y229" s="12">
        <f>MIN(INDEX(其他调用!$AI$5:$AI$364,MATCH($K229,其他调用!$AG$5:$AG$364,0),1)/INDEX(其他调用!AL$5:AL$364,MATCH($K229,其他调用!$AG$5:$AG$364,0),0),1)*INDEX(其他调用!AC$5:AC$404,MATCH($K229,其他调用!$X$5:$X$404,0),0)</f>
        <v>4423.2030681589695</v>
      </c>
      <c r="Z229" s="12">
        <f>求节点(节奏总纲!D$4:D$163,标准城池设计!AD$4:AD$163,$K229)*求节点(节奏总纲!D$4:D$163,攻城基础信息!$AE$5:$AE$164,$K229)</f>
        <v>804702.5208343186</v>
      </c>
      <c r="AA229" s="12">
        <f>INDEX(其他调用!$AA$5:$AA$404,MATCH($K229,其他调用!$X$5:$X$404,0))*MIN(INDEX(其他调用!AJ$5:AJ$364,MATCH($K229,其他调用!$AG$5:$AG$364,0),1)/INDEX(其他调用!$AJ$5:$AJ$364,MATCH($K229,其他调用!$AG$5:$AG$364,0),0),5)*求节点(节奏总纲!D$4:D$163,攻城基础信息!$AE$5:$AE$164,$K229)</f>
        <v>149416.87664275648</v>
      </c>
      <c r="AB229" s="12">
        <f>MIN(INDEX(其他调用!$AJ$5:$AJ$364,MATCH($K229,其他调用!$AG$5:$AG$364,0),1)/INDEX(其他调用!AH$5:AH$364,MATCH($K229,其他调用!$AG$5:$AG$364,0),0),1)*INDEX(其他调用!Y$5:Y$404,MATCH($K229,其他调用!$X$5:$X$404,0),0)</f>
        <v>40785.795696322988</v>
      </c>
      <c r="AC229" s="12">
        <f>MIN(INDEX(其他调用!$AJ$5:$AJ$364,MATCH($K229,其他调用!$AG$5:$AG$364,0),1)/INDEX(其他调用!AI$5:AI$364,MATCH($K229,其他调用!$AG$5:$AG$364,0),0),1)*INDEX(其他调用!Z$5:Z$404,MATCH($K229,其他调用!$X$5:$X$404,0),0)</f>
        <v>41940.77816231671</v>
      </c>
      <c r="AD229" s="12">
        <f>MIN(INDEX(其他调用!$AJ$5:$AJ$364,MATCH($K229,其他调用!$AG$5:$AG$364,0),1)/INDEX(其他调用!AJ$5:AJ$364,MATCH($K229,其他调用!$AG$5:$AG$364,0),0),1)*INDEX(其他调用!AA$5:AA$404,MATCH($K229,其他调用!$X$5:$X$404,0),0)</f>
        <v>43463.04900241016</v>
      </c>
      <c r="AE229" s="12">
        <f>MIN(INDEX(其他调用!$AJ$5:$AJ$364,MATCH($K229,其他调用!$AG$5:$AG$364,0),1)/INDEX(其他调用!AK$5:AK$364,MATCH($K229,其他调用!$AG$5:$AG$364,0),0),1)*INDEX(其他调用!AB$5:AB$404,MATCH($K229,其他调用!$X$5:$X$404,0),0)</f>
        <v>15553.942333869552</v>
      </c>
      <c r="AF229" s="12">
        <f>MIN(INDEX(其他调用!$AJ$5:$AJ$364,MATCH($K229,其他调用!$AG$5:$AG$364,0),1)/INDEX(其他调用!AL$5:AL$364,MATCH($K229,其他调用!$AG$5:$AG$364,0),0),1)*INDEX(其他调用!AC$5:AC$404,MATCH($K229,其他调用!$X$5:$X$404,0),0)</f>
        <v>7654.4927890760964</v>
      </c>
      <c r="AG229" s="12">
        <f>求节点(节奏总纲!D$4:D$163,标准城池设计!AE$4:AE$163,$K229)*求节点(节奏总纲!D$4:D$163,攻城基础信息!$AF$5:$AF$164,$K229)</f>
        <v>966712.45840451284</v>
      </c>
      <c r="AH229" s="12">
        <f>INDEX(其他调用!$AA$5:$AA$404,MATCH($K229,其他调用!$X$5:$X$404,0))*MIN(INDEX(其他调用!AK$5:AK$364,MATCH($K229,其他调用!$AG$5:$AG$364,0),1)/INDEX(其他调用!$AJ$5:$AJ$364,MATCH($K229,其他调用!$AG$5:$AG$364,0),0),5)*求节点(节奏总纲!D$4:D$163,攻城基础信息!$AF$5:$AF$164,$K229)</f>
        <v>438743.26198056643</v>
      </c>
      <c r="AI229" s="12">
        <f>MIN(INDEX(其他调用!$AK$5:$AK$364,MATCH($K229,其他调用!$AG$5:$AG$364,0),1)/INDEX(其他调用!AH$5:AH$364,MATCH($K229,其他调用!$AG$5:$AG$364,0),0),1)*INDEX(其他调用!Y$5:Y$404,MATCH($K229,其他调用!$X$5:$X$404,0),0)</f>
        <v>40785.795696322988</v>
      </c>
      <c r="AJ229" s="12">
        <f>MIN(INDEX(其他调用!$AK$5:$AK$364,MATCH($K229,其他调用!$AG$5:$AG$364,0),1)/INDEX(其他调用!AI$5:AI$364,MATCH($K229,其他调用!$AG$5:$AG$364,0),0),1)*INDEX(其他调用!Z$5:Z$404,MATCH($K229,其他调用!$X$5:$X$404,0),0)</f>
        <v>41940.77816231671</v>
      </c>
      <c r="AK229" s="12">
        <f>MIN(INDEX(其他调用!$AK$5:$AK$364,MATCH($K229,其他调用!$AG$5:$AG$364,0),1)/INDEX(其他调用!AJ$5:AJ$364,MATCH($K229,其他调用!$AG$5:$AG$364,0),0),1)*INDEX(其他调用!AA$5:AA$404,MATCH($K229,其他调用!$X$5:$X$404,0),0)</f>
        <v>43463.04900241016</v>
      </c>
      <c r="AL229" s="12">
        <f>MIN(INDEX(其他调用!$AK$5:$AK$364,MATCH($K229,其他调用!$AG$5:$AG$364,0),1)/INDEX(其他调用!AK$5:AK$364,MATCH($K229,其他调用!$AG$5:$AG$364,0),0),1)*INDEX(其他调用!AB$5:AB$404,MATCH($K229,其他调用!$X$5:$X$404,0),0)</f>
        <v>45672.132556589473</v>
      </c>
      <c r="AM229" s="12">
        <f>MIN(INDEX(其他调用!$AK$5:$AK$364,MATCH($K229,其他调用!$AG$5:$AG$364,0),1)/INDEX(其他调用!AL$5:AL$364,MATCH($K229,其他调用!$AG$5:$AG$364,0),0),1)*INDEX(其他调用!AC$5:AC$404,MATCH($K229,其他调用!$X$5:$X$404,0),0)</f>
        <v>22476.424421021242</v>
      </c>
      <c r="AN229" s="12">
        <f>求节点(节奏总纲!D$4:D$163,标准城池设计!AF$4:AF$163,$K229)*求节点(节奏总纲!D$4:D$163,攻城基础信息!$AG$5:$AG$164,$K229)</f>
        <v>1010399.4150947903</v>
      </c>
      <c r="AO229" s="12">
        <f>INDEX(其他调用!$AA$5:$AA$404,MATCH($K229,其他调用!$X$5:$X$404,0))*MIN(INDEX(其他调用!AL$5:AL$364,MATCH($K229,其他调用!$AG$5:$AG$364,0),1)/INDEX(其他调用!$AJ$5:$AJ$364,MATCH($K229,其他调用!$AG$5:$AG$364,0),0),5)*求节点(节奏总纲!D$4:D$163,攻城基础信息!$AG$5:$AG$164,$K229)</f>
        <v>747084.38321378233</v>
      </c>
      <c r="AP229" s="12">
        <f>MIN(INDEX(其他调用!$AL$5:$AL$364,MATCH($K229,其他调用!$AG$5:$AG$364,0),1)/INDEX(其他调用!AH$5:AH$364,MATCH($K229,其他调用!$AG$5:$AG$364,0),0),1)*INDEX(其他调用!Y$5:Y$404,MATCH($K229,其他调用!$X$5:$X$404,0),0)</f>
        <v>40785.795696322988</v>
      </c>
      <c r="AQ229" s="12">
        <f>MIN(INDEX(其他调用!$AL$5:$AL$364,MATCH($K229,其他调用!$AG$5:$AG$364,0),1)/INDEX(其他调用!AI$5:AI$364,MATCH($K229,其他调用!$AG$5:$AG$364,0),0),1)*INDEX(其他调用!Z$5:Z$404,MATCH($K229,其他调用!$X$5:$X$404,0),0)</f>
        <v>41940.77816231671</v>
      </c>
      <c r="AR229" s="12">
        <f>MIN(INDEX(其他调用!$AL$5:$AL$364,MATCH($K229,其他调用!$AG$5:$AG$364,0),1)/INDEX(其他调用!AJ$5:AJ$364,MATCH($K229,其他调用!$AG$5:$AG$364,0),0),1)*INDEX(其他调用!AA$5:AA$404,MATCH($K229,其他调用!$X$5:$X$404,0),0)</f>
        <v>43463.04900241016</v>
      </c>
      <c r="AS229" s="12">
        <f>MIN(INDEX(其他调用!$AL$5:$AL$364,MATCH($K229,其他调用!$AG$5:$AG$364,0),1)/INDEX(其他调用!AK$5:AK$364,MATCH($K229,其他调用!$AG$5:$AG$364,0),0),1)*INDEX(其他调用!AB$5:AB$404,MATCH($K229,其他调用!$X$5:$X$404,0),0)</f>
        <v>45672.132556589473</v>
      </c>
      <c r="AT229" s="12">
        <f>MIN(INDEX(其他调用!$AL$5:$AL$364,MATCH($K229,其他调用!$AG$5:$AG$364,0),1)/INDEX(其他调用!AL$5:AL$364,MATCH($K229,其他调用!$AG$5:$AG$364,0),0),1)*INDEX(其他调用!AC$5:AC$404,MATCH($K229,其他调用!$X$5:$X$404,0),0)</f>
        <v>49598.294255223795</v>
      </c>
      <c r="AV229" s="14">
        <f>IF(OR(AV$5="大R",AV$5="超R"),MAX(INDEX(其他调用!$H$5:$L$404,MATCH($K229,其他调用!$B$5:$B$404,0),MATCH(AV$5,其他调用!$H$4:$L$4,0))*120*0.85,2),INDEX(其他调用!$H$5:$L$404,MATCH($K229,其他调用!$B$5:$B$404,0),MATCH(AV$5,其他调用!$H$4:$L$4,0))*120*0.85)</f>
        <v>48.921801254999991</v>
      </c>
      <c r="AW229" s="14">
        <f>IF(OR(AW$5="大R",AW$5="超R"),MAX(INDEX(其他调用!$H$5:$L$404,MATCH($K229,其他调用!$B$5:$B$404,0),MATCH(AW$5,其他调用!$H$4:$L$4,0))*120*0.85,2),INDEX(其他调用!$H$5:$L$404,MATCH($K229,其他调用!$B$5:$B$404,0),MATCH(AW$5,其他调用!$H$4:$L$4,0))*120*0.85)</f>
        <v>48.237344010638395</v>
      </c>
      <c r="AX229" s="14">
        <f>IF(OR(AX$5="大R",AX$5="超R"),MAX(INDEX(其他调用!$H$5:$L$404,MATCH($K229,其他调用!$B$5:$B$404,0),MATCH(AX$5,其他调用!$H$4:$L$4,0))*120*0.85,2),INDEX(其他调用!$H$5:$L$404,MATCH($K229,其他调用!$B$5:$B$404,0),MATCH(AX$5,其他调用!$H$4:$L$4,0))*120*0.85)</f>
        <v>3.9376284143615998</v>
      </c>
      <c r="AY229" s="14">
        <f>IF(OR(AY$5="大R",AY$5="超R"),MAX(INDEX(其他调用!$H$5:$L$404,MATCH($K229,其他调用!$B$5:$B$404,0),MATCH(AY$5,其他调用!$H$4:$L$4,0))*120*0.85,2),INDEX(其他调用!$H$5:$L$404,MATCH($K229,其他调用!$B$5:$B$404,0),MATCH(AY$5,其他调用!$H$4:$L$4,0))*120*0.85)</f>
        <v>2</v>
      </c>
      <c r="AZ229" s="14">
        <f>IF(OR(AZ$5="大R",AZ$5="超R"),MAX(INDEX(其他调用!$H$5:$L$404,MATCH($K229,其他调用!$B$5:$B$404,0),MATCH(AZ$5,其他调用!$H$4:$L$4,0))*120*0.85,2),INDEX(其他调用!$H$5:$L$404,MATCH($K229,其他调用!$B$5:$B$404,0),MATCH(AZ$5,其他调用!$H$4:$L$4,0))*120*0.85)</f>
        <v>2</v>
      </c>
      <c r="BA229" s="14">
        <f>INDEX(其他调用!$H$5:$L$404,MATCH($K229,其他调用!$B$5:$B$404,0),MATCH(BA$5,其他调用!$H$4:$L$4,0))*INDEX(其他调用!$M$5:$M$404,MATCH($K229,其他调用!$B$5:$B$404,0))*0.6</f>
        <v>28.777530149999997</v>
      </c>
      <c r="BB229" s="14">
        <f>INDEX(其他调用!$H$5:$L$404,MATCH($K229,其他调用!$B$5:$B$404,0),MATCH(BB$5,其他调用!$H$4:$L$4,0))*INDEX(其他调用!$M$5:$M$404,MATCH($K229,其他调用!$B$5:$B$404,0))*0.6</f>
        <v>28.374908241551999</v>
      </c>
      <c r="BC229" s="14">
        <f>INDEX(其他调用!$H$5:$L$404,MATCH($K229,其他调用!$B$5:$B$404,0),MATCH(BC$5,其他调用!$H$4:$L$4,0))*INDEX(其他调用!$M$5:$M$404,MATCH($K229,其他调用!$B$5:$B$404,0))*0.6</f>
        <v>2.3162520084480001</v>
      </c>
      <c r="BD229" s="14">
        <f>INDEX(其他调用!$H$5:$L$404,MATCH($K229,其他调用!$B$5:$B$404,0),MATCH(BD$5,其他调用!$H$4:$L$4,0))*INDEX(其他调用!$M$5:$M$404,MATCH($K229,其他调用!$B$5:$B$404,0))*0.6</f>
        <v>0.4120776000000001</v>
      </c>
      <c r="BE229" s="14">
        <f>INDEX(其他调用!$H$5:$L$404,MATCH($K229,其他调用!$B$5:$B$404,0),MATCH(BE$5,其他调用!$H$4:$L$4,0))*INDEX(其他调用!$M$5:$M$404,MATCH($K229,其他调用!$B$5:$B$404,0))*0.6</f>
        <v>0.11923199999999998</v>
      </c>
      <c r="BF229" s="14">
        <f>IF(OR(BF$5="大R",BF$5="超R"),0,INDEX(其他调用!$H$5:$L$404,MATCH($K229,其他调用!$B$5:$B$404,0),MATCH(BF$5,其他调用!$H$4:$L$4,0))*50*0.4)</f>
        <v>9.5925100500000013</v>
      </c>
      <c r="BG229" s="14">
        <f>IF(OR(BG$5="大R",BG$5="超R"),0,INDEX(其他调用!$H$5:$L$404,MATCH($K229,其他调用!$B$5:$B$404,0),MATCH(BG$5,其他调用!$H$4:$L$4,0))*50*0.4)</f>
        <v>9.4583027471839998</v>
      </c>
      <c r="BH229" s="14">
        <f>IF(OR(BH$5="大R",BH$5="超R"),0,INDEX(其他调用!$H$5:$L$404,MATCH($K229,其他调用!$B$5:$B$404,0),MATCH(BH$5,其他调用!$H$4:$L$4,0))*50*0.4)</f>
        <v>0.77208400281600009</v>
      </c>
      <c r="BI229" s="14">
        <f>IF(OR(BI$5="大R",BI$5="超R"),0,INDEX(其他调用!$H$5:$L$404,MATCH($K229,其他调用!$B$5:$B$404,0),MATCH(BI$5,其他调用!$H$4:$L$4,0))*50*0.4)</f>
        <v>0</v>
      </c>
      <c r="BJ229" s="14">
        <f>IF(OR(BJ$5="大R",BJ$5="超R"),0,INDEX(其他调用!$H$5:$L$404,MATCH($K229,其他调用!$B$5:$B$404,0),MATCH(BJ$5,其他调用!$H$4:$L$4,0))*50*0.4)</f>
        <v>0</v>
      </c>
      <c r="BL229" s="14">
        <f t="shared" si="418"/>
        <v>224</v>
      </c>
      <c r="BM229" s="14">
        <f t="shared" si="325"/>
        <v>96</v>
      </c>
      <c r="BN229" s="14">
        <f>('疲劳值&amp;地图信息'!$S$10*'疲劳值&amp;地图信息'!$R$10+'疲劳值&amp;地图信息'!$S$11*'疲劳值&amp;地图信息'!$R$11+'疲劳值&amp;地图信息'!$S$12*'疲劳值&amp;地图信息'!$R$12+(BM229-'疲劳值&amp;地图信息'!$S$12-'疲劳值&amp;地图信息'!$S$11-'疲劳值&amp;地图信息'!$S$10)*'疲劳值&amp;地图信息'!$R$13)/BM229</f>
        <v>51.371477246638619</v>
      </c>
      <c r="BO229" s="14">
        <f>INDEX(其他调用!$M$5:$M$404,MATCH(BL229,其他调用!$B$5:$B$404,0))*0.6</f>
        <v>60</v>
      </c>
      <c r="BP229" s="14">
        <f>IF(BO229&gt;SUM('疲劳值&amp;地图信息'!$S$10:$S$12),('疲劳值&amp;地图信息'!$S$10*'疲劳值&amp;地图信息'!$R$10+'疲劳值&amp;地图信息'!$S$11*'疲劳值&amp;地图信息'!$R$11+'疲劳值&amp;地图信息'!$S$12*'疲劳值&amp;地图信息'!$R$12+(BO229-'疲劳值&amp;地图信息'!$S$12-'疲劳值&amp;地图信息'!$S$11-'疲劳值&amp;地图信息'!$S$10)*'疲劳值&amp;地图信息'!$R$13)/BO229,('疲劳值&amp;地图信息'!$S$10*'疲劳值&amp;地图信息'!$R$10+'疲劳值&amp;地图信息'!$S$11*'疲劳值&amp;地图信息'!$R$11+'疲劳值&amp;地图信息'!$S$12*'疲劳值&amp;地图信息'!$R$12+(BO229-'疲劳值&amp;地图信息'!$S$12-'疲劳值&amp;地图信息'!$S$11-'疲劳值&amp;地图信息'!$S$10)*'疲劳值&amp;地图信息'!$R$13)/BO229)</f>
        <v>44.158136341605953</v>
      </c>
      <c r="BQ229" s="14">
        <f t="shared" si="419"/>
        <v>20</v>
      </c>
      <c r="BR229" s="14">
        <f>('疲劳值&amp;地图信息'!$S$10*'疲劳值&amp;地图信息'!$R$10+($BQ229-'疲劳值&amp;地图信息'!$S$10)*'疲劳值&amp;地图信息'!$R$11)/$BQ229</f>
        <v>32.067203015074995</v>
      </c>
      <c r="CF229" s="14">
        <v>224</v>
      </c>
      <c r="CG229" s="51">
        <f t="shared" si="326"/>
        <v>14042</v>
      </c>
      <c r="CH229" s="51">
        <f t="shared" si="327"/>
        <v>1089</v>
      </c>
      <c r="CI229" s="51">
        <f>INT(SUMPRODUCT($N229:$R229,$BA229:$BE229)/SUM($BA229:$BE229)/10000*$BX$7*$BZ$34/'疲劳值&amp;地图信息'!$R$10*$BY$53)</f>
        <v>3296</v>
      </c>
      <c r="CJ229" s="50">
        <f t="shared" si="328"/>
        <v>0.76203397188907585</v>
      </c>
      <c r="CK229" s="50">
        <f t="shared" si="329"/>
        <v>5.9098062625495197E-2</v>
      </c>
      <c r="CL229" s="50">
        <f t="shared" si="330"/>
        <v>0.17886796548542899</v>
      </c>
      <c r="CM229" s="14">
        <f t="shared" si="331"/>
        <v>15025</v>
      </c>
      <c r="CN229" s="14">
        <f t="shared" si="332"/>
        <v>1759</v>
      </c>
      <c r="CO229" s="14">
        <f>INT(SUMPRODUCT($U229:$Y229,$BA229:$BE229)/SUM($BA229:$BE229)/10000*$BX$7*$BZ$34/'疲劳值&amp;地图信息'!$R$10*$BY$54)</f>
        <v>6154</v>
      </c>
      <c r="CP229" s="50">
        <f t="shared" si="333"/>
        <v>0.65502659342575642</v>
      </c>
      <c r="CQ229" s="50">
        <f t="shared" si="334"/>
        <v>7.6684976894236631E-2</v>
      </c>
      <c r="CR229" s="50">
        <f t="shared" si="335"/>
        <v>0.26828842968000699</v>
      </c>
      <c r="CS229" s="14">
        <f t="shared" si="336"/>
        <v>16400</v>
      </c>
      <c r="CT229" s="14">
        <f t="shared" si="337"/>
        <v>3045</v>
      </c>
      <c r="CU229" s="14">
        <f>INT(SUMPRODUCT($AB229:$AF229,$BA229:$BE229)/SUM($BA229:$BE229)/10000*$BX$7*$BZ$34/'疲劳值&amp;地图信息'!$R$10*$BY$55)</f>
        <v>8360</v>
      </c>
      <c r="CV229" s="50">
        <f t="shared" si="338"/>
        <v>0.58982197446502427</v>
      </c>
      <c r="CW229" s="50">
        <f t="shared" si="339"/>
        <v>0.10951267757597555</v>
      </c>
      <c r="CX229" s="50">
        <f t="shared" si="340"/>
        <v>0.30066534795900018</v>
      </c>
      <c r="CY229" s="14">
        <f t="shared" si="341"/>
        <v>19702</v>
      </c>
      <c r="CZ229" s="14">
        <f t="shared" si="342"/>
        <v>8942</v>
      </c>
      <c r="DA229" s="14">
        <f>INT(SUMPRODUCT($AI229:$AM229,$BA229:$BE229)/SUM($BA229:$BE229)/10000*$BX$7*$BZ$34/'疲劳值&amp;地图信息'!$R$10*$BY$56)</f>
        <v>12612</v>
      </c>
      <c r="DB229" s="50">
        <f t="shared" si="343"/>
        <v>0.47755477991080086</v>
      </c>
      <c r="DC229" s="50">
        <f t="shared" si="344"/>
        <v>0.2167442311421369</v>
      </c>
      <c r="DD229" s="50">
        <f t="shared" si="345"/>
        <v>0.30570098894706227</v>
      </c>
      <c r="DE229" s="14">
        <f t="shared" si="346"/>
        <v>20593</v>
      </c>
      <c r="DF229" s="14">
        <f t="shared" si="347"/>
        <v>15226</v>
      </c>
      <c r="DG229" s="14">
        <f>INT(SUMPRODUCT($AP229:$AT229,$BA229:$BE229)/SUM($BA229:$BE229)/10000*$BX$7*$BZ$34/'疲劳值&amp;地图信息'!$R$10*$BY$57)</f>
        <v>16838</v>
      </c>
      <c r="DH229" s="50">
        <f t="shared" si="348"/>
        <v>0.39107810927322101</v>
      </c>
      <c r="DI229" s="50">
        <f t="shared" si="349"/>
        <v>0.28915433845452648</v>
      </c>
      <c r="DJ229" s="50">
        <f t="shared" si="350"/>
        <v>0.31976755227225251</v>
      </c>
      <c r="DL229" s="14">
        <f t="shared" si="421"/>
        <v>18427</v>
      </c>
      <c r="DM229" s="14">
        <f t="shared" si="422"/>
        <v>22938</v>
      </c>
      <c r="DN229" s="14">
        <f t="shared" si="423"/>
        <v>27805</v>
      </c>
      <c r="DO229" s="14">
        <f t="shared" si="424"/>
        <v>41256</v>
      </c>
      <c r="DP229" s="14">
        <f t="shared" si="425"/>
        <v>52657</v>
      </c>
      <c r="DQ229" s="14">
        <f t="shared" si="426"/>
        <v>1268829</v>
      </c>
      <c r="DT229" s="14">
        <f t="shared" si="420"/>
        <v>235575</v>
      </c>
      <c r="DU229" s="50">
        <f t="shared" si="322"/>
        <v>0.15659025102299648</v>
      </c>
      <c r="DW229" s="14">
        <f t="shared" si="351"/>
        <v>1504404</v>
      </c>
      <c r="EB229" s="14">
        <v>224</v>
      </c>
      <c r="EC229" s="51">
        <f t="shared" si="352"/>
        <v>23404</v>
      </c>
      <c r="ED229" s="51">
        <f t="shared" si="353"/>
        <v>1816</v>
      </c>
      <c r="EE229" s="51">
        <f>INT(SUMPRODUCT($N229:$R229,$BF229:$BJ229)/SUM($BF229:$BJ229)/10000*$BX$7*$BZ$46/'疲劳值&amp;地图信息'!$R$10*$BY$53)</f>
        <v>442</v>
      </c>
      <c r="EF229" s="50">
        <f t="shared" si="354"/>
        <v>0.91200997583976307</v>
      </c>
      <c r="EG229" s="50">
        <f t="shared" si="355"/>
        <v>7.076611331930481E-2</v>
      </c>
      <c r="EH229" s="50">
        <f t="shared" si="356"/>
        <v>1.7223910840932118E-2</v>
      </c>
      <c r="EI229" s="51">
        <f t="shared" si="357"/>
        <v>25043</v>
      </c>
      <c r="EJ229" s="51">
        <f t="shared" si="358"/>
        <v>2932</v>
      </c>
      <c r="EK229" s="14">
        <f>INT(SUMPRODUCT($U229:$Y229,$BF229:$BJ229)/SUM($BF229:$BJ229)/10000*$BX$7*$BZ$46/'疲劳值&amp;地图信息'!$R$10*$BY$54)</f>
        <v>826</v>
      </c>
      <c r="EL229" s="50">
        <f t="shared" si="359"/>
        <v>0.86951841949932296</v>
      </c>
      <c r="EM229" s="50">
        <f t="shared" si="360"/>
        <v>0.10180202076316795</v>
      </c>
      <c r="EN229" s="50">
        <f t="shared" si="361"/>
        <v>2.8679559737509113E-2</v>
      </c>
      <c r="EO229" s="51">
        <f t="shared" si="362"/>
        <v>27334</v>
      </c>
      <c r="EP229" s="51">
        <f t="shared" si="363"/>
        <v>5075</v>
      </c>
      <c r="EQ229" s="14">
        <f>INT(SUMPRODUCT($AB229:$AF229,$BF229:$BJ229)/SUM($BF229:$BJ229)/10000*$BX$7*$BZ$46/'疲劳值&amp;地图信息'!$R$10*$BY$55)</f>
        <v>1121</v>
      </c>
      <c r="ER229" s="50">
        <f t="shared" si="364"/>
        <v>0.81521025946913217</v>
      </c>
      <c r="ES229" s="50">
        <f t="shared" si="365"/>
        <v>0.15135699373695199</v>
      </c>
      <c r="ET229" s="50">
        <f t="shared" si="366"/>
        <v>3.3432746793915898E-2</v>
      </c>
      <c r="EU229" s="51">
        <f t="shared" si="367"/>
        <v>32838</v>
      </c>
      <c r="EV229" s="51">
        <f t="shared" si="368"/>
        <v>14903</v>
      </c>
      <c r="EW229" s="14">
        <f>INT(SUMPRODUCT($AI229:$AM229,$BF229:$BJ229)/SUM($BF229:$BJ229)/10000*$BX$7*$BZ$46/'疲劳值&amp;地图信息'!$R$10*$BY$56)</f>
        <v>1681</v>
      </c>
      <c r="EX229" s="50">
        <f t="shared" si="369"/>
        <v>0.66444093723442998</v>
      </c>
      <c r="EY229" s="50">
        <f t="shared" si="370"/>
        <v>0.30154587026020802</v>
      </c>
      <c r="EZ229" s="50">
        <f t="shared" si="371"/>
        <v>3.4013192505361986E-2</v>
      </c>
      <c r="FA229" s="51">
        <f t="shared" si="372"/>
        <v>34322</v>
      </c>
      <c r="FB229" s="51">
        <f t="shared" si="373"/>
        <v>25377</v>
      </c>
      <c r="FC229" s="14">
        <f>INT(SUMPRODUCT($AP229:$AT229,$BF229:$BJ229)/SUM($BF229:$BJ229)/10000*$BX$7*$BZ$46/'疲劳值&amp;地图信息'!$R$10*$BY$57)</f>
        <v>2242</v>
      </c>
      <c r="FD229" s="50">
        <f t="shared" si="374"/>
        <v>0.55410794142813324</v>
      </c>
      <c r="FE229" s="50">
        <f t="shared" si="375"/>
        <v>0.4096963239211508</v>
      </c>
      <c r="FF229" s="50">
        <f t="shared" si="376"/>
        <v>3.6195734650716002E-2</v>
      </c>
      <c r="FH229" s="14">
        <f t="shared" si="377"/>
        <v>25662</v>
      </c>
      <c r="FI229" s="14">
        <f t="shared" si="378"/>
        <v>28801</v>
      </c>
      <c r="FJ229" s="14">
        <f t="shared" si="379"/>
        <v>33530</v>
      </c>
      <c r="FK229" s="14">
        <f t="shared" si="380"/>
        <v>49422</v>
      </c>
      <c r="FL229" s="14">
        <f t="shared" si="381"/>
        <v>61941</v>
      </c>
      <c r="FM229" s="14">
        <f t="shared" si="382"/>
        <v>2999469</v>
      </c>
      <c r="FP229" s="14">
        <f t="shared" si="383"/>
        <v>334150</v>
      </c>
      <c r="FQ229" s="50">
        <f t="shared" si="323"/>
        <v>0.10023640973968531</v>
      </c>
      <c r="FS229" s="14">
        <f t="shared" si="384"/>
        <v>3333619</v>
      </c>
      <c r="FX229" s="14">
        <v>224</v>
      </c>
      <c r="FY229" s="51">
        <f t="shared" si="385"/>
        <v>32765</v>
      </c>
      <c r="FZ229" s="51">
        <f t="shared" si="386"/>
        <v>1816</v>
      </c>
      <c r="GA229" s="51">
        <f>INT(SUMPRODUCT($N229:$R229,$BF229:$BJ229)/SUM($BF229:$BJ229)/10000*$BX$7*$BZ$46/'疲劳值&amp;地图信息'!$R$10*$BY$53)</f>
        <v>442</v>
      </c>
      <c r="GB229" s="50">
        <f t="shared" si="387"/>
        <v>0.93552808154641232</v>
      </c>
      <c r="GC229" s="50">
        <f t="shared" si="388"/>
        <v>5.1851640350626733E-2</v>
      </c>
      <c r="GD229" s="50">
        <f t="shared" si="389"/>
        <v>1.2620278102960911E-2</v>
      </c>
      <c r="GE229" s="51">
        <f t="shared" si="390"/>
        <v>35060</v>
      </c>
      <c r="GF229" s="51">
        <f t="shared" si="391"/>
        <v>2932</v>
      </c>
      <c r="GG229" s="14">
        <f>INT(SUMPRODUCT($U229:$Y229,$BF229:$BJ229)/SUM($BF229:$BJ229)/10000*$BX$7*$BZ$46/'疲劳值&amp;地图信息'!$R$10*$BY$54)</f>
        <v>826</v>
      </c>
      <c r="GH229" s="50">
        <f t="shared" si="392"/>
        <v>0.9031892421041785</v>
      </c>
      <c r="GI229" s="50">
        <f t="shared" si="393"/>
        <v>7.5531969704776131E-2</v>
      </c>
      <c r="GJ229" s="50">
        <f t="shared" si="394"/>
        <v>2.1278788191045391E-2</v>
      </c>
      <c r="GK229" s="51">
        <f t="shared" si="395"/>
        <v>38268</v>
      </c>
      <c r="GL229" s="51">
        <f t="shared" si="396"/>
        <v>5075</v>
      </c>
      <c r="GM229" s="14">
        <f>INT(SUMPRODUCT($AB229:$AF229,$BF229:$BJ229)/SUM($BF229:$BJ229)/10000*$BX$7*$BZ$46/'疲劳值&amp;地图信息'!$R$10*$BY$55)</f>
        <v>1121</v>
      </c>
      <c r="GN229" s="50">
        <f t="shared" si="397"/>
        <v>0.86065131342209433</v>
      </c>
      <c r="GO229" s="50">
        <f t="shared" si="398"/>
        <v>0.11413727959697734</v>
      </c>
      <c r="GP229" s="50">
        <f t="shared" si="399"/>
        <v>2.5211406980928393E-2</v>
      </c>
      <c r="GQ229" s="51">
        <f t="shared" si="400"/>
        <v>45973</v>
      </c>
      <c r="GR229" s="51">
        <f t="shared" si="401"/>
        <v>14903</v>
      </c>
      <c r="GS229" s="14">
        <f>INT(SUMPRODUCT($AI229:$AM229,$BF229:$BJ229)/SUM($BF229:$BJ229)/10000*$BX$7*$BZ$46/'疲劳值&amp;地图信息'!$R$10*$BY$56)</f>
        <v>1681</v>
      </c>
      <c r="GT229" s="50">
        <f t="shared" si="402"/>
        <v>0.73489777323081351</v>
      </c>
      <c r="GU229" s="50">
        <f t="shared" si="403"/>
        <v>0.23823073357098326</v>
      </c>
      <c r="GV229" s="50">
        <f t="shared" si="404"/>
        <v>2.6871493198203238E-2</v>
      </c>
      <c r="GW229" s="51">
        <f t="shared" si="405"/>
        <v>48050</v>
      </c>
      <c r="GX229" s="51">
        <f t="shared" si="406"/>
        <v>25377</v>
      </c>
      <c r="GY229" s="14">
        <f>INT(SUMPRODUCT($AP229:$AT229,$BF229:$BJ229)/SUM($BF229:$BJ229)/10000*$BX$7*$BZ$46/'疲劳值&amp;地图信息'!$R$10*$BY$57)</f>
        <v>2242</v>
      </c>
      <c r="GZ229" s="50">
        <f t="shared" si="407"/>
        <v>0.63500244485852864</v>
      </c>
      <c r="HA229" s="50">
        <f t="shared" si="408"/>
        <v>0.33536851286524205</v>
      </c>
      <c r="HB229" s="50">
        <f t="shared" si="409"/>
        <v>2.9629042276229367E-2</v>
      </c>
      <c r="HD229" s="14">
        <f t="shared" si="410"/>
        <v>35023</v>
      </c>
      <c r="HE229" s="14">
        <f t="shared" si="411"/>
        <v>38818</v>
      </c>
      <c r="HF229" s="14">
        <f t="shared" si="412"/>
        <v>44464</v>
      </c>
      <c r="HG229" s="14">
        <f t="shared" si="413"/>
        <v>62557</v>
      </c>
      <c r="HH229" s="14">
        <f t="shared" si="414"/>
        <v>75669</v>
      </c>
      <c r="HI229" s="14">
        <f t="shared" si="415"/>
        <v>4037400</v>
      </c>
      <c r="HL229" s="14">
        <f t="shared" si="416"/>
        <v>430050</v>
      </c>
      <c r="HM229" s="50">
        <f t="shared" si="324"/>
        <v>9.6262968807709098E-2</v>
      </c>
      <c r="HO229" s="14">
        <f t="shared" si="417"/>
        <v>4467450</v>
      </c>
    </row>
    <row r="230" spans="11:223" x14ac:dyDescent="0.2">
      <c r="K230" s="14">
        <v>225</v>
      </c>
      <c r="L230" s="12">
        <f>求节点(节奏总纲!D$4:D$163,标准城池设计!AB$4:AB$163,$K230)*求节点(节奏总纲!D$4:D$163,攻城基础信息!$AC$5:$AC$164,$K230)</f>
        <v>690419.9064608214</v>
      </c>
      <c r="M230" s="12">
        <f>INDEX(其他调用!$AA$5:$AA$404,MATCH(K230,其他调用!$X$5:$X$404,0))*MIN(INDEX(其他调用!$AH$5:$AH$364,MATCH('征服点（新）'!K230,其他调用!$AG$5:$AG$364,0),1)/INDEX(其他调用!$AJ$5:$AJ$364,MATCH(K230,其他调用!$AG$5:$AG$364,0),0),5)*求节点(节奏总纲!D$4:D$163,攻城基础信息!$AC$5:$AC$164,$K230)</f>
        <v>53498.483641325744</v>
      </c>
      <c r="N230" s="12">
        <f>MIN(INDEX(其他调用!$AH$5:$AH$364,MATCH($K230,其他调用!$AG$5:$AG$364,0),1)/INDEX(其他调用!AH$5:AH$364,MATCH($K230,其他调用!$AG$5:$AG$364,0),0),1)*INDEX(其他调用!Y$5:Y$404,MATCH($K230,其他调用!$X$5:$X$404,0),0)</f>
        <v>40811.27222557574</v>
      </c>
      <c r="O230" s="12">
        <f>MIN(INDEX(其他调用!$AH$5:$AH$364,MATCH($K230,其他调用!$AG$5:$AG$364,0),1)/INDEX(其他调用!AI$5:AI$364,MATCH($K230,其他调用!$AG$5:$AG$364,0),0),1)*INDEX(其他调用!Z$5:Z$404,MATCH($K230,其他调用!$X$5:$X$404,0),0)</f>
        <v>25938.466878696236</v>
      </c>
      <c r="P230" s="12">
        <f>MIN(INDEX(其他调用!$AH$5:$AH$364,MATCH($K230,其他调用!$AG$5:$AG$364,0),1)/INDEX(其他调用!AJ$5:AJ$364,MATCH($K230,其他调用!$AG$5:$AG$364,0),0),1)*INDEX(其他调用!AA$5:AA$404,MATCH($K230,其他调用!$X$5:$X$404,0),0)</f>
        <v>15552.450490572517</v>
      </c>
      <c r="Q230" s="12">
        <f>MIN(INDEX(其他调用!$AH$5:$AH$364,MATCH($K230,其他调用!$AG$5:$AG$364,0),1)/INDEX(其他调用!AK$5:AK$364,MATCH($K230,其他调用!$AG$5:$AG$364,0),0),1)*INDEX(其他调用!AB$5:AB$404,MATCH($K230,其他调用!$X$5:$X$404,0),0)</f>
        <v>5563.4645741331842</v>
      </c>
      <c r="R230" s="12">
        <f>MIN(INDEX(其他调用!$AH$5:$AH$364,MATCH($K230,其他调用!$AG$5:$AG$364,0),1)/INDEX(其他调用!AL$5:AL$364,MATCH($K230,其他调用!$AG$5:$AG$364,0),0),1)*INDEX(其他调用!AC$5:AC$404,MATCH($K230,其他调用!$X$5:$X$404,0),0)</f>
        <v>2749.1579873841883</v>
      </c>
      <c r="S230" s="12">
        <f>求节点(节奏总纲!D$4:D$163,标准城池设计!AC$4:AC$163,$K230)*求节点(节奏总纲!D$4:D$163,攻城基础信息!$AD$5:$AD$164,$K230)</f>
        <v>739128.12166872423</v>
      </c>
      <c r="T230" s="12">
        <f>INDEX(其他调用!$AA$5:$AA$404,MATCH($K230,其他调用!$X$5:$X$404,0))*MIN(INDEX(其他调用!AI$5:AI$364,MATCH($K230,其他调用!$AG$5:$AG$364,0),1)/INDEX(其他调用!$AJ$5:$AJ$364,MATCH($K230,其他调用!$AG$5:$AG$364,0),0),5)*求节点(节奏总纲!D$4:D$163,攻城基础信息!$AD$5:$AD$164,$K230)</f>
        <v>86555.566089231826</v>
      </c>
      <c r="U230" s="12">
        <f>MIN(INDEX(其他调用!$AI$5:$AI$364,MATCH($K230,其他调用!$AG$5:$AG$364,0),1)/INDEX(其他调用!AH$5:AH$364,MATCH($K230,其他调用!$AG$5:$AG$364,0),0),1)*INDEX(其他调用!Y$5:Y$404,MATCH($K230,其他调用!$X$5:$X$404,0),0)</f>
        <v>40811.27222557574</v>
      </c>
      <c r="V230" s="12">
        <f>MIN(INDEX(其他调用!$AI$5:$AI$364,MATCH($K230,其他调用!$AG$5:$AG$364,0),1)/INDEX(其他调用!AI$5:AI$364,MATCH($K230,其他调用!$AG$5:$AG$364,0),0),1)*INDEX(其他调用!Z$5:Z$404,MATCH($K230,其他调用!$X$5:$X$404,0),0)</f>
        <v>41966.024667623773</v>
      </c>
      <c r="W230" s="12">
        <f>MIN(INDEX(其他调用!$AI$5:$AI$364,MATCH($K230,其他调用!$AG$5:$AG$364,0),1)/INDEX(其他调用!AJ$5:AJ$364,MATCH($K230,其他调用!$AG$5:$AG$364,0),0),1)*INDEX(其他调用!AA$5:AA$404,MATCH($K230,其他调用!$X$5:$X$404,0),0)</f>
        <v>25162.41703804853</v>
      </c>
      <c r="X230" s="12">
        <f>MIN(INDEX(其他调用!$AI$5:$AI$364,MATCH($K230,其他调用!$AG$5:$AG$364,0),1)/INDEX(其他调用!AK$5:AK$364,MATCH($K230,其他调用!$AG$5:$AG$364,0),0),1)*INDEX(其他调用!AB$5:AB$404,MATCH($K230,其他调用!$X$5:$X$404,0),0)</f>
        <v>9001.1677500987134</v>
      </c>
      <c r="Y230" s="12">
        <f>MIN(INDEX(其他调用!$AI$5:$AI$364,MATCH($K230,其他调用!$AG$5:$AG$364,0),1)/INDEX(其他调用!AL$5:AL$364,MATCH($K230,其他调用!$AG$5:$AG$364,0),0),1)*INDEX(其他调用!AC$5:AC$404,MATCH($K230,其他调用!$X$5:$X$404,0),0)</f>
        <v>4447.881690668326</v>
      </c>
      <c r="Z230" s="12">
        <f>求节点(节奏总纲!D$4:D$163,标准城池设计!AD$4:AD$163,$K230)*求节点(节奏总纲!D$4:D$163,攻城基础信息!$AE$5:$AE$164,$K230)</f>
        <v>806922.18368264625</v>
      </c>
      <c r="AA230" s="12">
        <f>INDEX(其他调用!$AA$5:$AA$404,MATCH($K230,其他调用!$X$5:$X$404,0))*MIN(INDEX(其他调用!AJ$5:AJ$364,MATCH($K230,其他调用!$AG$5:$AG$364,0),1)/INDEX(其他调用!$AJ$5:$AJ$364,MATCH($K230,其他调用!$AG$5:$AG$364,0),0),5)*求节点(节奏总纲!D$4:D$163,攻城基础信息!$AE$5:$AE$164,$K230)</f>
        <v>149593.86368598414</v>
      </c>
      <c r="AB230" s="12">
        <f>MIN(INDEX(其他调用!$AJ$5:$AJ$364,MATCH($K230,其他调用!$AG$5:$AG$364,0),1)/INDEX(其他调用!AH$5:AH$364,MATCH($K230,其他调用!$AG$5:$AG$364,0),0),1)*INDEX(其他调用!Y$5:Y$404,MATCH($K230,其他调用!$X$5:$X$404,0),0)</f>
        <v>40811.27222557574</v>
      </c>
      <c r="AC230" s="12">
        <f>MIN(INDEX(其他调用!$AJ$5:$AJ$364,MATCH($K230,其他调用!$AG$5:$AG$364,0),1)/INDEX(其他调用!AI$5:AI$364,MATCH($K230,其他调用!$AG$5:$AG$364,0),0),1)*INDEX(其他调用!Z$5:Z$404,MATCH($K230,其他调用!$X$5:$X$404,0),0)</f>
        <v>41966.024667623773</v>
      </c>
      <c r="AD230" s="12">
        <f>MIN(INDEX(其他调用!$AJ$5:$AJ$364,MATCH($K230,其他调用!$AG$5:$AG$364,0),1)/INDEX(其他调用!AJ$5:AJ$364,MATCH($K230,其他调用!$AG$5:$AG$364,0),0),1)*INDEX(其他调用!AA$5:AA$404,MATCH($K230,其他调用!$X$5:$X$404,0),0)</f>
        <v>43488.1701370792</v>
      </c>
      <c r="AE230" s="12">
        <f>MIN(INDEX(其他调用!$AJ$5:$AJ$364,MATCH($K230,其他调用!$AG$5:$AG$364,0),1)/INDEX(其他调用!AK$5:AK$364,MATCH($K230,其他调用!$AG$5:$AG$364,0),0),1)*INDEX(其他调用!AB$5:AB$404,MATCH($K230,其他调用!$X$5:$X$404,0),0)</f>
        <v>15556.705620003573</v>
      </c>
      <c r="AF230" s="12">
        <f>MIN(INDEX(其他调用!$AJ$5:$AJ$364,MATCH($K230,其他调用!$AG$5:$AG$364,0),1)/INDEX(其他调用!AL$5:AL$364,MATCH($K230,其他调用!$AG$5:$AG$364,0),0),1)*INDEX(其他调用!AC$5:AC$404,MATCH($K230,其他调用!$X$5:$X$404,0),0)</f>
        <v>7687.2676985241278</v>
      </c>
      <c r="AG230" s="12">
        <f>求节点(节奏总纲!D$4:D$163,标准城池设计!AE$4:AE$163,$K230)*求节点(节奏总纲!D$4:D$163,攻城基础信息!$AF$5:$AF$164,$K230)</f>
        <v>969509.56571424927</v>
      </c>
      <c r="AH230" s="12">
        <f>INDEX(其他调用!$AA$5:$AA$404,MATCH($K230,其他调用!$X$5:$X$404,0))*MIN(INDEX(其他调用!AK$5:AK$364,MATCH($K230,其他调用!$AG$5:$AG$364,0),1)/INDEX(其他调用!$AJ$5:$AJ$364,MATCH($K230,其他调用!$AG$5:$AG$364,0),0),5)*求节点(节奏总纲!D$4:D$163,攻城基础信息!$AF$5:$AF$164,$K230)</f>
        <v>439449.67834153492</v>
      </c>
      <c r="AI230" s="12">
        <f>MIN(INDEX(其他调用!$AK$5:$AK$364,MATCH($K230,其他调用!$AG$5:$AG$364,0),1)/INDEX(其他调用!AH$5:AH$364,MATCH($K230,其他调用!$AG$5:$AG$364,0),0),1)*INDEX(其他调用!Y$5:Y$404,MATCH($K230,其他调用!$X$5:$X$404,0),0)</f>
        <v>40811.27222557574</v>
      </c>
      <c r="AJ230" s="12">
        <f>MIN(INDEX(其他调用!$AK$5:$AK$364,MATCH($K230,其他调用!$AG$5:$AG$364,0),1)/INDEX(其他调用!AI$5:AI$364,MATCH($K230,其他调用!$AG$5:$AG$364,0),0),1)*INDEX(其他调用!Z$5:Z$404,MATCH($K230,其他调用!$X$5:$X$404,0),0)</f>
        <v>41966.024667623773</v>
      </c>
      <c r="AK230" s="12">
        <f>MIN(INDEX(其他调用!$AK$5:$AK$364,MATCH($K230,其他调用!$AG$5:$AG$364,0),1)/INDEX(其他调用!AJ$5:AJ$364,MATCH($K230,其他调用!$AG$5:$AG$364,0),0),1)*INDEX(其他调用!AA$5:AA$404,MATCH($K230,其他调用!$X$5:$X$404,0),0)</f>
        <v>43488.1701370792</v>
      </c>
      <c r="AL230" s="12">
        <f>MIN(INDEX(其他调用!$AK$5:$AK$364,MATCH($K230,其他调用!$AG$5:$AG$364,0),1)/INDEX(其他调用!AK$5:AK$364,MATCH($K230,其他调用!$AG$5:$AG$364,0),0),1)*INDEX(其他调用!AB$5:AB$404,MATCH($K230,其他调用!$X$5:$X$404,0),0)</f>
        <v>45699.663825215037</v>
      </c>
      <c r="AM230" s="12">
        <f>MIN(INDEX(其他调用!$AK$5:$AK$364,MATCH($K230,其他调用!$AG$5:$AG$364,0),1)/INDEX(其他调用!AL$5:AL$364,MATCH($K230,其他调用!$AG$5:$AG$364,0),0),1)*INDEX(其他调用!AC$5:AC$404,MATCH($K230,其他调用!$X$5:$X$404,0),0)</f>
        <v>22582.258618126787</v>
      </c>
      <c r="AN230" s="12">
        <f>求节点(节奏总纲!D$4:D$163,标准城池设计!AF$4:AF$163,$K230)*求节点(节奏总纲!D$4:D$163,攻城基础信息!$AG$5:$AG$164,$K230)</f>
        <v>1013464.1405756482</v>
      </c>
      <c r="AO230" s="12">
        <f>INDEX(其他调用!$AA$5:$AA$404,MATCH($K230,其他调用!$X$5:$X$404,0))*MIN(INDEX(其他调用!AL$5:AL$364,MATCH($K230,其他调用!$AG$5:$AG$364,0),1)/INDEX(其他调用!$AJ$5:$AJ$364,MATCH($K230,其他调用!$AG$5:$AG$364,0),0),5)*求节点(节奏总纲!D$4:D$163,攻城基础信息!$AG$5:$AG$164,$K230)</f>
        <v>747969.31842992071</v>
      </c>
      <c r="AP230" s="12">
        <f>MIN(INDEX(其他调用!$AL$5:$AL$364,MATCH($K230,其他调用!$AG$5:$AG$364,0),1)/INDEX(其他调用!AH$5:AH$364,MATCH($K230,其他调用!$AG$5:$AG$364,0),0),1)*INDEX(其他调用!Y$5:Y$404,MATCH($K230,其他调用!$X$5:$X$404,0),0)</f>
        <v>40811.27222557574</v>
      </c>
      <c r="AQ230" s="12">
        <f>MIN(INDEX(其他调用!$AL$5:$AL$364,MATCH($K230,其他调用!$AG$5:$AG$364,0),1)/INDEX(其他调用!AI$5:AI$364,MATCH($K230,其他调用!$AG$5:$AG$364,0),0),1)*INDEX(其他调用!Z$5:Z$404,MATCH($K230,其他调用!$X$5:$X$404,0),0)</f>
        <v>41966.024667623773</v>
      </c>
      <c r="AR230" s="12">
        <f>MIN(INDEX(其他调用!$AL$5:$AL$364,MATCH($K230,其他调用!$AG$5:$AG$364,0),1)/INDEX(其他调用!AJ$5:AJ$364,MATCH($K230,其他调用!$AG$5:$AG$364,0),0),1)*INDEX(其他调用!AA$5:AA$404,MATCH($K230,其他调用!$X$5:$X$404,0),0)</f>
        <v>43488.1701370792</v>
      </c>
      <c r="AS230" s="12">
        <f>MIN(INDEX(其他调用!$AL$5:$AL$364,MATCH($K230,其他调用!$AG$5:$AG$364,0),1)/INDEX(其他调用!AK$5:AK$364,MATCH($K230,其他调用!$AG$5:$AG$364,0),0),1)*INDEX(其他调用!AB$5:AB$404,MATCH($K230,其他调用!$X$5:$X$404,0),0)</f>
        <v>45699.663825215037</v>
      </c>
      <c r="AT230" s="12">
        <f>MIN(INDEX(其他调用!$AL$5:$AL$364,MATCH($K230,其他调用!$AG$5:$AG$364,0),1)/INDEX(其他调用!AL$5:AL$364,MATCH($K230,其他调用!$AG$5:$AG$364,0),0),1)*INDEX(其他调用!AC$5:AC$404,MATCH($K230,其他调用!$X$5:$X$404,0),0)</f>
        <v>49623.022240392645</v>
      </c>
      <c r="AV230" s="14">
        <f>IF(OR(AV$5="大R",AV$5="超R"),MAX(INDEX(其他调用!$H$5:$L$404,MATCH($K230,其他调用!$B$5:$B$404,0),MATCH(AV$5,其他调用!$H$4:$L$4,0))*120*0.85,2),INDEX(其他调用!$H$5:$L$404,MATCH($K230,其他调用!$B$5:$B$404,0),MATCH(AV$5,其他调用!$H$4:$L$4,0))*120*0.85)</f>
        <v>48.921801254999991</v>
      </c>
      <c r="AW230" s="14">
        <f>IF(OR(AW$5="大R",AW$5="超R"),MAX(INDEX(其他调用!$H$5:$L$404,MATCH($K230,其他调用!$B$5:$B$404,0),MATCH(AW$5,其他调用!$H$4:$L$4,0))*120*0.85,2),INDEX(其他调用!$H$5:$L$404,MATCH($K230,其他调用!$B$5:$B$404,0),MATCH(AW$5,其他调用!$H$4:$L$4,0))*120*0.85)</f>
        <v>48.237344010638395</v>
      </c>
      <c r="AX230" s="14">
        <f>IF(OR(AX$5="大R",AX$5="超R"),MAX(INDEX(其他调用!$H$5:$L$404,MATCH($K230,其他调用!$B$5:$B$404,0),MATCH(AX$5,其他调用!$H$4:$L$4,0))*120*0.85,2),INDEX(其他调用!$H$5:$L$404,MATCH($K230,其他调用!$B$5:$B$404,0),MATCH(AX$5,其他调用!$H$4:$L$4,0))*120*0.85)</f>
        <v>3.9376284143615998</v>
      </c>
      <c r="AY230" s="14">
        <f>IF(OR(AY$5="大R",AY$5="超R"),MAX(INDEX(其他调用!$H$5:$L$404,MATCH($K230,其他调用!$B$5:$B$404,0),MATCH(AY$5,其他调用!$H$4:$L$4,0))*120*0.85,2),INDEX(其他调用!$H$5:$L$404,MATCH($K230,其他调用!$B$5:$B$404,0),MATCH(AY$5,其他调用!$H$4:$L$4,0))*120*0.85)</f>
        <v>2</v>
      </c>
      <c r="AZ230" s="14">
        <f>IF(OR(AZ$5="大R",AZ$5="超R"),MAX(INDEX(其他调用!$H$5:$L$404,MATCH($K230,其他调用!$B$5:$B$404,0),MATCH(AZ$5,其他调用!$H$4:$L$4,0))*120*0.85,2),INDEX(其他调用!$H$5:$L$404,MATCH($K230,其他调用!$B$5:$B$404,0),MATCH(AZ$5,其他调用!$H$4:$L$4,0))*120*0.85)</f>
        <v>2</v>
      </c>
      <c r="BA230" s="14">
        <f>INDEX(其他调用!$H$5:$L$404,MATCH($K230,其他调用!$B$5:$B$404,0),MATCH(BA$5,其他调用!$H$4:$L$4,0))*INDEX(其他调用!$M$5:$M$404,MATCH($K230,其他调用!$B$5:$B$404,0))*0.6</f>
        <v>28.777530149999997</v>
      </c>
      <c r="BB230" s="14">
        <f>INDEX(其他调用!$H$5:$L$404,MATCH($K230,其他调用!$B$5:$B$404,0),MATCH(BB$5,其他调用!$H$4:$L$4,0))*INDEX(其他调用!$M$5:$M$404,MATCH($K230,其他调用!$B$5:$B$404,0))*0.6</f>
        <v>28.374908241551999</v>
      </c>
      <c r="BC230" s="14">
        <f>INDEX(其他调用!$H$5:$L$404,MATCH($K230,其他调用!$B$5:$B$404,0),MATCH(BC$5,其他调用!$H$4:$L$4,0))*INDEX(其他调用!$M$5:$M$404,MATCH($K230,其他调用!$B$5:$B$404,0))*0.6</f>
        <v>2.3162520084480001</v>
      </c>
      <c r="BD230" s="14">
        <f>INDEX(其他调用!$H$5:$L$404,MATCH($K230,其他调用!$B$5:$B$404,0),MATCH(BD$5,其他调用!$H$4:$L$4,0))*INDEX(其他调用!$M$5:$M$404,MATCH($K230,其他调用!$B$5:$B$404,0))*0.6</f>
        <v>0.4120776000000001</v>
      </c>
      <c r="BE230" s="14">
        <f>INDEX(其他调用!$H$5:$L$404,MATCH($K230,其他调用!$B$5:$B$404,0),MATCH(BE$5,其他调用!$H$4:$L$4,0))*INDEX(其他调用!$M$5:$M$404,MATCH($K230,其他调用!$B$5:$B$404,0))*0.6</f>
        <v>0.11923199999999998</v>
      </c>
      <c r="BF230" s="14">
        <f>IF(OR(BF$5="大R",BF$5="超R"),0,INDEX(其他调用!$H$5:$L$404,MATCH($K230,其他调用!$B$5:$B$404,0),MATCH(BF$5,其他调用!$H$4:$L$4,0))*50*0.4)</f>
        <v>9.5925100500000013</v>
      </c>
      <c r="BG230" s="14">
        <f>IF(OR(BG$5="大R",BG$5="超R"),0,INDEX(其他调用!$H$5:$L$404,MATCH($K230,其他调用!$B$5:$B$404,0),MATCH(BG$5,其他调用!$H$4:$L$4,0))*50*0.4)</f>
        <v>9.4583027471839998</v>
      </c>
      <c r="BH230" s="14">
        <f>IF(OR(BH$5="大R",BH$5="超R"),0,INDEX(其他调用!$H$5:$L$404,MATCH($K230,其他调用!$B$5:$B$404,0),MATCH(BH$5,其他调用!$H$4:$L$4,0))*50*0.4)</f>
        <v>0.77208400281600009</v>
      </c>
      <c r="BI230" s="14">
        <f>IF(OR(BI$5="大R",BI$5="超R"),0,INDEX(其他调用!$H$5:$L$404,MATCH($K230,其他调用!$B$5:$B$404,0),MATCH(BI$5,其他调用!$H$4:$L$4,0))*50*0.4)</f>
        <v>0</v>
      </c>
      <c r="BJ230" s="14">
        <f>IF(OR(BJ$5="大R",BJ$5="超R"),0,INDEX(其他调用!$H$5:$L$404,MATCH($K230,其他调用!$B$5:$B$404,0),MATCH(BJ$5,其他调用!$H$4:$L$4,0))*50*0.4)</f>
        <v>0</v>
      </c>
      <c r="BL230" s="14">
        <f t="shared" si="418"/>
        <v>225</v>
      </c>
      <c r="BM230" s="14">
        <f t="shared" si="325"/>
        <v>96</v>
      </c>
      <c r="BN230" s="14">
        <f>('疲劳值&amp;地图信息'!$S$10*'疲劳值&amp;地图信息'!$R$10+'疲劳值&amp;地图信息'!$S$11*'疲劳值&amp;地图信息'!$R$11+'疲劳值&amp;地图信息'!$S$12*'疲劳值&amp;地图信息'!$R$12+(BM230-'疲劳值&amp;地图信息'!$S$12-'疲劳值&amp;地图信息'!$S$11-'疲劳值&amp;地图信息'!$S$10)*'疲劳值&amp;地图信息'!$R$13)/BM230</f>
        <v>51.371477246638619</v>
      </c>
      <c r="BO230" s="14">
        <f>INDEX(其他调用!$M$5:$M$404,MATCH(BL230,其他调用!$B$5:$B$404,0))*0.6</f>
        <v>60</v>
      </c>
      <c r="BP230" s="14">
        <f>IF(BO230&gt;SUM('疲劳值&amp;地图信息'!$S$10:$S$12),('疲劳值&amp;地图信息'!$S$10*'疲劳值&amp;地图信息'!$R$10+'疲劳值&amp;地图信息'!$S$11*'疲劳值&amp;地图信息'!$R$11+'疲劳值&amp;地图信息'!$S$12*'疲劳值&amp;地图信息'!$R$12+(BO230-'疲劳值&amp;地图信息'!$S$12-'疲劳值&amp;地图信息'!$S$11-'疲劳值&amp;地图信息'!$S$10)*'疲劳值&amp;地图信息'!$R$13)/BO230,('疲劳值&amp;地图信息'!$S$10*'疲劳值&amp;地图信息'!$R$10+'疲劳值&amp;地图信息'!$S$11*'疲劳值&amp;地图信息'!$R$11+'疲劳值&amp;地图信息'!$S$12*'疲劳值&amp;地图信息'!$R$12+(BO230-'疲劳值&amp;地图信息'!$S$12-'疲劳值&amp;地图信息'!$S$11-'疲劳值&amp;地图信息'!$S$10)*'疲劳值&amp;地图信息'!$R$13)/BO230)</f>
        <v>44.158136341605953</v>
      </c>
      <c r="BQ230" s="14">
        <f t="shared" si="419"/>
        <v>20</v>
      </c>
      <c r="BR230" s="14">
        <f>('疲劳值&amp;地图信息'!$S$10*'疲劳值&amp;地图信息'!$R$10+($BQ230-'疲劳值&amp;地图信息'!$S$10)*'疲劳值&amp;地图信息'!$R$11)/$BQ230</f>
        <v>32.067203015074995</v>
      </c>
      <c r="CF230" s="14">
        <v>225</v>
      </c>
      <c r="CG230" s="51">
        <f t="shared" si="326"/>
        <v>14071</v>
      </c>
      <c r="CH230" s="51">
        <f t="shared" si="327"/>
        <v>1090</v>
      </c>
      <c r="CI230" s="51">
        <f>INT(SUMPRODUCT($N230:$R230,$BA230:$BE230)/SUM($BA230:$BE230)/10000*$BX$7*$BZ$34/'疲劳值&amp;地图信息'!$R$10*$BY$53)</f>
        <v>3296</v>
      </c>
      <c r="CJ230" s="50">
        <f t="shared" si="328"/>
        <v>0.76236658178468875</v>
      </c>
      <c r="CK230" s="50">
        <f t="shared" si="329"/>
        <v>5.9056184645391994E-2</v>
      </c>
      <c r="CL230" s="50">
        <f t="shared" si="330"/>
        <v>0.17857723356991928</v>
      </c>
      <c r="CM230" s="14">
        <f t="shared" si="331"/>
        <v>15064</v>
      </c>
      <c r="CN230" s="14">
        <f t="shared" si="332"/>
        <v>1764</v>
      </c>
      <c r="CO230" s="14">
        <f>INT(SUMPRODUCT($U230:$Y230,$BA230:$BE230)/SUM($BA230:$BE230)/10000*$BX$7*$BZ$34/'疲劳值&amp;地图信息'!$R$10*$BY$54)</f>
        <v>6158</v>
      </c>
      <c r="CP230" s="50">
        <f t="shared" si="333"/>
        <v>0.65535543374227789</v>
      </c>
      <c r="CQ230" s="50">
        <f t="shared" si="334"/>
        <v>7.6742364917776043E-2</v>
      </c>
      <c r="CR230" s="50">
        <f t="shared" si="335"/>
        <v>0.26790220133994608</v>
      </c>
      <c r="CS230" s="14">
        <f t="shared" si="336"/>
        <v>16446</v>
      </c>
      <c r="CT230" s="14">
        <f t="shared" si="337"/>
        <v>3048</v>
      </c>
      <c r="CU230" s="14">
        <f>INT(SUMPRODUCT($AB230:$AF230,$BA230:$BE230)/SUM($BA230:$BE230)/10000*$BX$7*$BZ$34/'疲劳值&amp;地图信息'!$R$10*$BY$55)</f>
        <v>8365</v>
      </c>
      <c r="CV230" s="50">
        <f t="shared" si="338"/>
        <v>0.59032987544420112</v>
      </c>
      <c r="CW230" s="50">
        <f t="shared" si="339"/>
        <v>0.10940809074266844</v>
      </c>
      <c r="CX230" s="50">
        <f t="shared" si="340"/>
        <v>0.30026203381313038</v>
      </c>
      <c r="CY230" s="14">
        <f t="shared" si="341"/>
        <v>19759</v>
      </c>
      <c r="CZ230" s="14">
        <f t="shared" si="342"/>
        <v>8956</v>
      </c>
      <c r="DA230" s="14">
        <f>INT(SUMPRODUCT($AI230:$AM230,$BA230:$BE230)/SUM($BA230:$BE230)/10000*$BX$7*$BZ$34/'疲劳值&amp;地图信息'!$R$10*$BY$56)</f>
        <v>12619</v>
      </c>
      <c r="DB230" s="50">
        <f t="shared" si="343"/>
        <v>0.47803261237721972</v>
      </c>
      <c r="DC230" s="50">
        <f t="shared" si="344"/>
        <v>0.21667392461411913</v>
      </c>
      <c r="DD230" s="50">
        <f t="shared" si="345"/>
        <v>0.30529346300866117</v>
      </c>
      <c r="DE230" s="14">
        <f t="shared" si="346"/>
        <v>20655</v>
      </c>
      <c r="DF230" s="14">
        <f t="shared" si="347"/>
        <v>15244</v>
      </c>
      <c r="DG230" s="14">
        <f>INT(SUMPRODUCT($AP230:$AT230,$BA230:$BE230)/SUM($BA230:$BE230)/10000*$BX$7*$BZ$34/'疲劳值&amp;地图信息'!$R$10*$BY$57)</f>
        <v>16848</v>
      </c>
      <c r="DH230" s="50">
        <f t="shared" si="348"/>
        <v>0.39158625135078773</v>
      </c>
      <c r="DI230" s="50">
        <f t="shared" si="349"/>
        <v>0.28900221813562854</v>
      </c>
      <c r="DJ230" s="50">
        <f t="shared" si="350"/>
        <v>0.31941153051358373</v>
      </c>
      <c r="DL230" s="14">
        <f t="shared" si="421"/>
        <v>18457</v>
      </c>
      <c r="DM230" s="14">
        <f t="shared" si="422"/>
        <v>22986</v>
      </c>
      <c r="DN230" s="14">
        <f t="shared" si="423"/>
        <v>27859</v>
      </c>
      <c r="DO230" s="14">
        <f t="shared" si="424"/>
        <v>41334</v>
      </c>
      <c r="DP230" s="14">
        <f t="shared" si="425"/>
        <v>52747</v>
      </c>
      <c r="DQ230" s="14">
        <f t="shared" si="426"/>
        <v>1271222</v>
      </c>
      <c r="DT230" s="14">
        <f t="shared" si="420"/>
        <v>235575</v>
      </c>
      <c r="DU230" s="50">
        <f t="shared" si="322"/>
        <v>0.15634156425849002</v>
      </c>
      <c r="DW230" s="14">
        <f t="shared" si="351"/>
        <v>1506797</v>
      </c>
      <c r="EB230" s="14">
        <v>225</v>
      </c>
      <c r="EC230" s="51">
        <f t="shared" si="352"/>
        <v>23452</v>
      </c>
      <c r="ED230" s="51">
        <f t="shared" si="353"/>
        <v>1817</v>
      </c>
      <c r="EE230" s="51">
        <f>INT(SUMPRODUCT($N230:$R230,$BF230:$BJ230)/SUM($BF230:$BJ230)/10000*$BX$7*$BZ$46/'疲劳值&amp;地图信息'!$R$10*$BY$53)</f>
        <v>442</v>
      </c>
      <c r="EF230" s="50">
        <f t="shared" si="354"/>
        <v>0.91213877328769788</v>
      </c>
      <c r="EG230" s="50">
        <f t="shared" si="355"/>
        <v>7.0670141184706936E-2</v>
      </c>
      <c r="EH230" s="50">
        <f t="shared" si="356"/>
        <v>1.7191085527595192E-2</v>
      </c>
      <c r="EI230" s="51">
        <f t="shared" si="357"/>
        <v>25107</v>
      </c>
      <c r="EJ230" s="51">
        <f t="shared" si="358"/>
        <v>2940</v>
      </c>
      <c r="EK230" s="14">
        <f>INT(SUMPRODUCT($U230:$Y230,$BF230:$BJ230)/SUM($BF230:$BJ230)/10000*$BX$7*$BZ$46/'疲劳值&amp;地图信息'!$R$10*$BY$54)</f>
        <v>827</v>
      </c>
      <c r="EL230" s="50">
        <f t="shared" si="359"/>
        <v>0.86953660732839233</v>
      </c>
      <c r="EM230" s="50">
        <f t="shared" si="360"/>
        <v>0.10182170811110342</v>
      </c>
      <c r="EN230" s="50">
        <f t="shared" si="361"/>
        <v>2.8641684560504258E-2</v>
      </c>
      <c r="EO230" s="51">
        <f t="shared" si="362"/>
        <v>27410</v>
      </c>
      <c r="EP230" s="51">
        <f t="shared" si="363"/>
        <v>5081</v>
      </c>
      <c r="EQ230" s="14">
        <f>INT(SUMPRODUCT($AB230:$AF230,$BF230:$BJ230)/SUM($BF230:$BJ230)/10000*$BX$7*$BZ$46/'疲劳值&amp;地图信息'!$R$10*$BY$55)</f>
        <v>1121</v>
      </c>
      <c r="ER230" s="50">
        <f t="shared" si="364"/>
        <v>0.81548256575032729</v>
      </c>
      <c r="ES230" s="50">
        <f t="shared" si="365"/>
        <v>0.1511662501487564</v>
      </c>
      <c r="ET230" s="50">
        <f t="shared" si="366"/>
        <v>3.3351184100916337E-2</v>
      </c>
      <c r="EU230" s="51">
        <f t="shared" si="367"/>
        <v>32933</v>
      </c>
      <c r="EV230" s="51">
        <f t="shared" si="368"/>
        <v>14927</v>
      </c>
      <c r="EW230" s="14">
        <f>INT(SUMPRODUCT($AI230:$AM230,$BF230:$BJ230)/SUM($BF230:$BJ230)/10000*$BX$7*$BZ$46/'疲劳值&amp;地图信息'!$R$10*$BY$56)</f>
        <v>1682</v>
      </c>
      <c r="EX230" s="50">
        <f t="shared" si="369"/>
        <v>0.66474910177223367</v>
      </c>
      <c r="EY230" s="50">
        <f t="shared" si="370"/>
        <v>0.30129990714948934</v>
      </c>
      <c r="EZ230" s="50">
        <f t="shared" si="371"/>
        <v>3.3950991078277017E-2</v>
      </c>
      <c r="FA230" s="51">
        <f t="shared" si="372"/>
        <v>34426</v>
      </c>
      <c r="FB230" s="51">
        <f t="shared" si="373"/>
        <v>25407</v>
      </c>
      <c r="FC230" s="14">
        <f>INT(SUMPRODUCT($AP230:$AT230,$BF230:$BJ230)/SUM($BF230:$BJ230)/10000*$BX$7*$BZ$46/'疲劳值&amp;地图信息'!$R$10*$BY$57)</f>
        <v>2243</v>
      </c>
      <c r="FD230" s="50">
        <f t="shared" si="374"/>
        <v>0.55457825890843482</v>
      </c>
      <c r="FE230" s="50">
        <f t="shared" si="375"/>
        <v>0.40928861395708488</v>
      </c>
      <c r="FF230" s="50">
        <f t="shared" si="376"/>
        <v>3.6133127134480317E-2</v>
      </c>
      <c r="FH230" s="14">
        <f t="shared" si="377"/>
        <v>25711</v>
      </c>
      <c r="FI230" s="14">
        <f t="shared" si="378"/>
        <v>28874</v>
      </c>
      <c r="FJ230" s="14">
        <f t="shared" si="379"/>
        <v>33612</v>
      </c>
      <c r="FK230" s="14">
        <f t="shared" si="380"/>
        <v>49542</v>
      </c>
      <c r="FL230" s="14">
        <f t="shared" si="381"/>
        <v>62076</v>
      </c>
      <c r="FM230" s="14">
        <f t="shared" si="382"/>
        <v>3006221</v>
      </c>
      <c r="FP230" s="14">
        <f t="shared" si="383"/>
        <v>334150</v>
      </c>
      <c r="FQ230" s="50">
        <f t="shared" si="323"/>
        <v>0.1000337986409294</v>
      </c>
      <c r="FS230" s="14">
        <f t="shared" si="384"/>
        <v>3340371</v>
      </c>
      <c r="FX230" s="14">
        <v>225</v>
      </c>
      <c r="FY230" s="51">
        <f t="shared" si="385"/>
        <v>32833</v>
      </c>
      <c r="FZ230" s="51">
        <f t="shared" si="386"/>
        <v>1817</v>
      </c>
      <c r="GA230" s="51">
        <f>INT(SUMPRODUCT($N230:$R230,$BF230:$BJ230)/SUM($BF230:$BJ230)/10000*$BX$7*$BZ$46/'疲劳值&amp;地图信息'!$R$10*$BY$53)</f>
        <v>442</v>
      </c>
      <c r="GB230" s="50">
        <f t="shared" si="387"/>
        <v>0.93562635358486268</v>
      </c>
      <c r="GC230" s="50">
        <f t="shared" si="388"/>
        <v>5.1778183061666476E-2</v>
      </c>
      <c r="GD230" s="50">
        <f t="shared" si="389"/>
        <v>1.2595463353470877E-2</v>
      </c>
      <c r="GE230" s="51">
        <f t="shared" si="390"/>
        <v>35150</v>
      </c>
      <c r="GF230" s="51">
        <f t="shared" si="391"/>
        <v>2940</v>
      </c>
      <c r="GG230" s="14">
        <f>INT(SUMPRODUCT($U230:$Y230,$BF230:$BJ230)/SUM($BF230:$BJ230)/10000*$BX$7*$BZ$46/'疲劳值&amp;地图信息'!$R$10*$BY$54)</f>
        <v>827</v>
      </c>
      <c r="GH230" s="50">
        <f t="shared" si="392"/>
        <v>0.90320425520980552</v>
      </c>
      <c r="GI230" s="50">
        <f t="shared" si="393"/>
        <v>7.5545391474162962E-2</v>
      </c>
      <c r="GJ230" s="50">
        <f t="shared" si="394"/>
        <v>2.1250353316031555E-2</v>
      </c>
      <c r="GK230" s="51">
        <f t="shared" si="395"/>
        <v>38374</v>
      </c>
      <c r="GL230" s="51">
        <f t="shared" si="396"/>
        <v>5081</v>
      </c>
      <c r="GM230" s="14">
        <f>INT(SUMPRODUCT($AB230:$AF230,$BF230:$BJ230)/SUM($BF230:$BJ230)/10000*$BX$7*$BZ$46/'疲劳值&amp;地图信息'!$R$10*$BY$55)</f>
        <v>1121</v>
      </c>
      <c r="GN230" s="50">
        <f t="shared" si="397"/>
        <v>0.8608668341708543</v>
      </c>
      <c r="GO230" s="50">
        <f t="shared" si="398"/>
        <v>0.11398510409188801</v>
      </c>
      <c r="GP230" s="50">
        <f t="shared" si="399"/>
        <v>2.5148061737257716E-2</v>
      </c>
      <c r="GQ230" s="51">
        <f t="shared" si="400"/>
        <v>46106</v>
      </c>
      <c r="GR230" s="51">
        <f t="shared" si="401"/>
        <v>14927</v>
      </c>
      <c r="GS230" s="14">
        <f>INT(SUMPRODUCT($AI230:$AM230,$BF230:$BJ230)/SUM($BF230:$BJ230)/10000*$BX$7*$BZ$46/'疲劳值&amp;地图信息'!$R$10*$BY$56)</f>
        <v>1682</v>
      </c>
      <c r="GT230" s="50">
        <f t="shared" si="402"/>
        <v>0.73516702543251211</v>
      </c>
      <c r="GU230" s="50">
        <f t="shared" si="403"/>
        <v>0.23801323447341147</v>
      </c>
      <c r="GV230" s="50">
        <f t="shared" si="404"/>
        <v>2.6819740094076377E-2</v>
      </c>
      <c r="GW230" s="51">
        <f t="shared" si="405"/>
        <v>48196</v>
      </c>
      <c r="GX230" s="51">
        <f t="shared" si="406"/>
        <v>25407</v>
      </c>
      <c r="GY230" s="14">
        <f>INT(SUMPRODUCT($AP230:$AT230,$BF230:$BJ230)/SUM($BF230:$BJ230)/10000*$BX$7*$BZ$46/'疲劳值&amp;地图信息'!$R$10*$BY$57)</f>
        <v>2243</v>
      </c>
      <c r="GZ230" s="50">
        <f t="shared" si="407"/>
        <v>0.63544550800305888</v>
      </c>
      <c r="HA230" s="50">
        <f t="shared" si="408"/>
        <v>0.3349814096985998</v>
      </c>
      <c r="HB230" s="50">
        <f t="shared" si="409"/>
        <v>2.9573082298341376E-2</v>
      </c>
      <c r="HD230" s="14">
        <f t="shared" si="410"/>
        <v>35092</v>
      </c>
      <c r="HE230" s="14">
        <f t="shared" si="411"/>
        <v>38917</v>
      </c>
      <c r="HF230" s="14">
        <f t="shared" si="412"/>
        <v>44576</v>
      </c>
      <c r="HG230" s="14">
        <f t="shared" si="413"/>
        <v>62715</v>
      </c>
      <c r="HH230" s="14">
        <f t="shared" si="414"/>
        <v>75846</v>
      </c>
      <c r="HI230" s="14">
        <f t="shared" si="415"/>
        <v>4046662</v>
      </c>
      <c r="HL230" s="14">
        <f t="shared" si="416"/>
        <v>430050</v>
      </c>
      <c r="HM230" s="50">
        <f t="shared" si="324"/>
        <v>9.6063807544465668E-2</v>
      </c>
      <c r="HO230" s="14">
        <f t="shared" si="417"/>
        <v>4476712</v>
      </c>
    </row>
    <row r="231" spans="11:223" x14ac:dyDescent="0.2">
      <c r="K231" s="14">
        <v>226</v>
      </c>
      <c r="L231" s="12">
        <f>求节点(节奏总纲!D$4:D$163,标准城池设计!AB$4:AB$163,$K231)*求节点(节奏总纲!D$4:D$163,攻城基础信息!$AC$5:$AC$164,$K231)</f>
        <v>691849.05487723777</v>
      </c>
      <c r="M231" s="12">
        <f>INDEX(其他调用!$AA$5:$AA$404,MATCH(K231,其他调用!$X$5:$X$404,0))*MIN(INDEX(其他调用!$AH$5:$AH$364,MATCH('征服点（新）'!K231,其他调用!$AG$5:$AG$364,0),1)/INDEX(其他调用!$AJ$5:$AJ$364,MATCH(K231,其他调用!$AG$5:$AG$364,0),0),5)*求节点(节奏总纲!D$4:D$163,攻城基础信息!$AC$5:$AC$164,$K231)</f>
        <v>53522.348269447401</v>
      </c>
      <c r="N231" s="12">
        <f>MIN(INDEX(其他调用!$AH$5:$AH$364,MATCH($K231,其他调用!$AG$5:$AG$364,0),1)/INDEX(其他调用!AH$5:AH$364,MATCH($K231,其他调用!$AG$5:$AG$364,0),0),1)*INDEX(其他调用!Y$5:Y$404,MATCH($K231,其他调用!$X$5:$X$404,0),0)</f>
        <v>40836.748754828484</v>
      </c>
      <c r="O231" s="12">
        <f>MIN(INDEX(其他调用!$AH$5:$AH$364,MATCH($K231,其他调用!$AG$5:$AG$364,0),1)/INDEX(其他调用!AI$5:AI$364,MATCH($K231,其他调用!$AG$5:$AG$364,0),0),1)*INDEX(其他调用!Z$5:Z$404,MATCH($K231,其他调用!$X$5:$X$404,0),0)</f>
        <v>25901.973500761149</v>
      </c>
      <c r="P231" s="12">
        <f>MIN(INDEX(其他调用!$AH$5:$AH$364,MATCH($K231,其他调用!$AG$5:$AG$364,0),1)/INDEX(其他调用!AJ$5:AJ$364,MATCH($K231,其他调用!$AG$5:$AG$364,0),0),1)*INDEX(其他调用!AA$5:AA$404,MATCH($K231,其他调用!$X$5:$X$404,0),0)</f>
        <v>15549.967769847401</v>
      </c>
      <c r="Q231" s="12">
        <f>MIN(INDEX(其他调用!$AH$5:$AH$364,MATCH($K231,其他调用!$AG$5:$AG$364,0),1)/INDEX(其他调用!AK$5:AK$364,MATCH($K231,其他调用!$AG$5:$AG$364,0),0),1)*INDEX(其他调用!AB$5:AB$404,MATCH($K231,其他调用!$X$5:$X$404,0),0)</f>
        <v>5560.3834991411668</v>
      </c>
      <c r="R231" s="12">
        <f>MIN(INDEX(其他调用!$AH$5:$AH$364,MATCH($K231,其他调用!$AG$5:$AG$364,0),1)/INDEX(其他调用!AL$5:AL$364,MATCH($K231,其他调用!$AG$5:$AG$364,0),0),1)*INDEX(其他调用!AC$5:AC$404,MATCH($K231,其他调用!$X$5:$X$404,0),0)</f>
        <v>2758.7926690681902</v>
      </c>
      <c r="S231" s="12">
        <f>求节点(节奏总纲!D$4:D$163,标准城池设计!AC$4:AC$163,$K231)*求节点(节奏总纲!D$4:D$163,攻城基础信息!$AD$5:$AD$164,$K231)</f>
        <v>741022.76650541555</v>
      </c>
      <c r="T231" s="12">
        <f>INDEX(其他调用!$AA$5:$AA$404,MATCH($K231,其他调用!$X$5:$X$404,0))*MIN(INDEX(其他调用!AI$5:AI$364,MATCH($K231,其他调用!$AG$5:$AG$364,0),1)/INDEX(其他调用!$AJ$5:$AJ$364,MATCH($K231,其他调用!$AG$5:$AG$364,0),0),5)*求节点(节奏总纲!D$4:D$163,攻城基础信息!$AD$5:$AD$164,$K231)</f>
        <v>86768.347590517282</v>
      </c>
      <c r="U231" s="12">
        <f>MIN(INDEX(其他调用!$AI$5:$AI$364,MATCH($K231,其他调用!$AG$5:$AG$364,0),1)/INDEX(其他调用!AH$5:AH$364,MATCH($K231,其他调用!$AG$5:$AG$364,0),0),1)*INDEX(其他调用!Y$5:Y$404,MATCH($K231,其他调用!$X$5:$X$404,0),0)</f>
        <v>40836.748754828484</v>
      </c>
      <c r="V231" s="12">
        <f>MIN(INDEX(其他调用!$AI$5:$AI$364,MATCH($K231,其他调用!$AG$5:$AG$364,0),1)/INDEX(其他调用!AI$5:AI$364,MATCH($K231,其他调用!$AG$5:$AG$364,0),0),1)*INDEX(其他调用!Z$5:Z$404,MATCH($K231,其他调用!$X$5:$X$404,0),0)</f>
        <v>41991.271172930828</v>
      </c>
      <c r="W231" s="12">
        <f>MIN(INDEX(其他调用!$AI$5:$AI$364,MATCH($K231,其他调用!$AG$5:$AG$364,0),1)/INDEX(其他调用!AJ$5:AJ$364,MATCH($K231,其他调用!$AG$5:$AG$364,0),0),1)*INDEX(其他调用!AA$5:AA$404,MATCH($K231,其他调用!$X$5:$X$404,0),0)</f>
        <v>25209.002446659477</v>
      </c>
      <c r="X231" s="12">
        <f>MIN(INDEX(其他调用!$AI$5:$AI$364,MATCH($K231,其他调用!$AG$5:$AG$364,0),1)/INDEX(其他调用!AK$5:AK$364,MATCH($K231,其他调用!$AG$5:$AG$364,0),0),1)*INDEX(其他调用!AB$5:AB$404,MATCH($K231,其他调用!$X$5:$X$404,0),0)</f>
        <v>9014.2772839708723</v>
      </c>
      <c r="Y231" s="12">
        <f>MIN(INDEX(其他调用!$AI$5:$AI$364,MATCH($K231,其他调用!$AG$5:$AG$364,0),1)/INDEX(其他调用!AL$5:AL$364,MATCH($K231,其他调用!$AG$5:$AG$364,0),0),1)*INDEX(其他调用!AC$5:AC$404,MATCH($K231,其他调用!$X$5:$X$404,0),0)</f>
        <v>4472.4472856607545</v>
      </c>
      <c r="Z231" s="12">
        <f>求节点(节奏总纲!D$4:D$163,标准城池设计!AD$4:AD$163,$K231)*求节点(节奏总纲!D$4:D$163,攻城基础信息!$AE$5:$AE$164,$K231)</f>
        <v>809143.94490615325</v>
      </c>
      <c r="AA231" s="12">
        <f>INDEX(其他调用!$AA$5:$AA$404,MATCH($K231,其他调用!$X$5:$X$404,0))*MIN(INDEX(其他调用!AJ$5:AJ$364,MATCH($K231,其他调用!$AG$5:$AG$364,0),1)/INDEX(其他调用!$AJ$5:$AJ$364,MATCH($K231,其他调用!$AG$5:$AG$364,0),0),5)*求节点(节奏总纲!D$4:D$163,攻城基础信息!$AE$5:$AE$164,$K231)</f>
        <v>149770.95543004264</v>
      </c>
      <c r="AB231" s="12">
        <f>MIN(INDEX(其他调用!$AJ$5:$AJ$364,MATCH($K231,其他调用!$AG$5:$AG$364,0),1)/INDEX(其他调用!AH$5:AH$364,MATCH($K231,其他调用!$AG$5:$AG$364,0),0),1)*INDEX(其他调用!Y$5:Y$404,MATCH($K231,其他调用!$X$5:$X$404,0),0)</f>
        <v>40836.748754828484</v>
      </c>
      <c r="AC231" s="12">
        <f>MIN(INDEX(其他调用!$AJ$5:$AJ$364,MATCH($K231,其他调用!$AG$5:$AG$364,0),1)/INDEX(其他调用!AI$5:AI$364,MATCH($K231,其他调用!$AG$5:$AG$364,0),0),1)*INDEX(其他调用!Z$5:Z$404,MATCH($K231,其他调用!$X$5:$X$404,0),0)</f>
        <v>41991.271172930828</v>
      </c>
      <c r="AD231" s="12">
        <f>MIN(INDEX(其他调用!$AJ$5:$AJ$364,MATCH($K231,其他调用!$AG$5:$AG$364,0),1)/INDEX(其他调用!AJ$5:AJ$364,MATCH($K231,其他调用!$AG$5:$AG$364,0),0),1)*INDEX(其他调用!AA$5:AA$404,MATCH($K231,其他调用!$X$5:$X$404,0),0)</f>
        <v>43513.291271748232</v>
      </c>
      <c r="AE231" s="12">
        <f>MIN(INDEX(其他调用!$AJ$5:$AJ$364,MATCH($K231,其他调用!$AG$5:$AG$364,0),1)/INDEX(其他调用!AK$5:AK$364,MATCH($K231,其他调用!$AG$5:$AG$364,0),0),1)*INDEX(其他调用!AB$5:AB$404,MATCH($K231,其他调用!$X$5:$X$404,0),0)</f>
        <v>15559.55551560134</v>
      </c>
      <c r="AF231" s="12">
        <f>MIN(INDEX(其他调用!$AJ$5:$AJ$364,MATCH($K231,其他调用!$AG$5:$AG$364,0),1)/INDEX(其他调用!AL$5:AL$364,MATCH($K231,其他调用!$AG$5:$AG$364,0),0),1)*INDEX(其他调用!AC$5:AC$404,MATCH($K231,其他调用!$X$5:$X$404,0),0)</f>
        <v>7719.8969634074001</v>
      </c>
      <c r="AG231" s="12">
        <f>求节点(节奏总纲!D$4:D$163,标准城池设计!AE$4:AE$163,$K231)*求节点(节奏总纲!D$4:D$163,攻城基础信息!$AF$5:$AF$164,$K231)</f>
        <v>972309.35205509025</v>
      </c>
      <c r="AH231" s="12">
        <f>INDEX(其他调用!$AA$5:$AA$404,MATCH($K231,其他调用!$X$5:$X$404,0))*MIN(INDEX(其他调用!AK$5:AK$364,MATCH($K231,其他调用!$AG$5:$AG$364,0),1)/INDEX(其他调用!$AJ$5:$AJ$364,MATCH($K231,其他调用!$AG$5:$AG$364,0),0),5)*求节点(节奏总纲!D$4:D$163,攻城基础信息!$AF$5:$AF$164,$K231)</f>
        <v>440154.32776813378</v>
      </c>
      <c r="AI231" s="12">
        <f>MIN(INDEX(其他调用!$AK$5:$AK$364,MATCH($K231,其他调用!$AG$5:$AG$364,0),1)/INDEX(其他调用!AH$5:AH$364,MATCH($K231,其他调用!$AG$5:$AG$364,0),0),1)*INDEX(其他调用!Y$5:Y$404,MATCH($K231,其他调用!$X$5:$X$404,0),0)</f>
        <v>40836.748754828484</v>
      </c>
      <c r="AJ231" s="12">
        <f>MIN(INDEX(其他调用!$AK$5:$AK$364,MATCH($K231,其他调用!$AG$5:$AG$364,0),1)/INDEX(其他调用!AI$5:AI$364,MATCH($K231,其他调用!$AG$5:$AG$364,0),0),1)*INDEX(其他调用!Z$5:Z$404,MATCH($K231,其他调用!$X$5:$X$404,0),0)</f>
        <v>41991.271172930828</v>
      </c>
      <c r="AK231" s="12">
        <f>MIN(INDEX(其他调用!$AK$5:$AK$364,MATCH($K231,其他调用!$AG$5:$AG$364,0),1)/INDEX(其他调用!AJ$5:AJ$364,MATCH($K231,其他调用!$AG$5:$AG$364,0),0),1)*INDEX(其他调用!AA$5:AA$404,MATCH($K231,其他调用!$X$5:$X$404,0),0)</f>
        <v>43513.291271748232</v>
      </c>
      <c r="AL231" s="12">
        <f>MIN(INDEX(其他调用!$AK$5:$AK$364,MATCH($K231,其他调用!$AG$5:$AG$364,0),1)/INDEX(其他调用!AK$5:AK$364,MATCH($K231,其他调用!$AG$5:$AG$364,0),0),1)*INDEX(其他调用!AB$5:AB$404,MATCH($K231,其他调用!$X$5:$X$404,0),0)</f>
        <v>45727.195093840608</v>
      </c>
      <c r="AM231" s="12">
        <f>MIN(INDEX(其他调用!$AK$5:$AK$364,MATCH($K231,其他调用!$AG$5:$AG$364,0),1)/INDEX(其他调用!AL$5:AL$364,MATCH($K231,其他调用!$AG$5:$AG$364,0),0),1)*INDEX(其他调用!AC$5:AC$404,MATCH($K231,其他调用!$X$5:$X$404,0),0)</f>
        <v>22687.616892148406</v>
      </c>
      <c r="AN231" s="12">
        <f>求节点(节奏总纲!D$4:D$163,标准城池设计!AF$4:AF$163,$K231)*求节点(节奏总纲!D$4:D$163,攻城基础信息!$AG$5:$AG$164,$K231)</f>
        <v>1016531.8372540487</v>
      </c>
      <c r="AO231" s="12">
        <f>INDEX(其他调用!$AA$5:$AA$404,MATCH($K231,其他调用!$X$5:$X$404,0))*MIN(INDEX(其他调用!AL$5:AL$364,MATCH($K231,其他调用!$AG$5:$AG$364,0),1)/INDEX(其他调用!$AJ$5:$AJ$364,MATCH($K231,其他调用!$AG$5:$AG$364,0),0),5)*求节点(节奏总纲!D$4:D$163,攻城基础信息!$AG$5:$AG$164,$K231)</f>
        <v>748854.77715021314</v>
      </c>
      <c r="AP231" s="12">
        <f>MIN(INDEX(其他调用!$AL$5:$AL$364,MATCH($K231,其他调用!$AG$5:$AG$364,0),1)/INDEX(其他调用!AH$5:AH$364,MATCH($K231,其他调用!$AG$5:$AG$364,0),0),1)*INDEX(其他调用!Y$5:Y$404,MATCH($K231,其他调用!$X$5:$X$404,0),0)</f>
        <v>40836.748754828484</v>
      </c>
      <c r="AQ231" s="12">
        <f>MIN(INDEX(其他调用!$AL$5:$AL$364,MATCH($K231,其他调用!$AG$5:$AG$364,0),1)/INDEX(其他调用!AI$5:AI$364,MATCH($K231,其他调用!$AG$5:$AG$364,0),0),1)*INDEX(其他调用!Z$5:Z$404,MATCH($K231,其他调用!$X$5:$X$404,0),0)</f>
        <v>41991.271172930828</v>
      </c>
      <c r="AR231" s="12">
        <f>MIN(INDEX(其他调用!$AL$5:$AL$364,MATCH($K231,其他调用!$AG$5:$AG$364,0),1)/INDEX(其他调用!AJ$5:AJ$364,MATCH($K231,其他调用!$AG$5:$AG$364,0),0),1)*INDEX(其他调用!AA$5:AA$404,MATCH($K231,其他调用!$X$5:$X$404,0),0)</f>
        <v>43513.291271748232</v>
      </c>
      <c r="AS231" s="12">
        <f>MIN(INDEX(其他调用!$AL$5:$AL$364,MATCH($K231,其他调用!$AG$5:$AG$364,0),1)/INDEX(其他调用!AK$5:AK$364,MATCH($K231,其他调用!$AG$5:$AG$364,0),0),1)*INDEX(其他调用!AB$5:AB$404,MATCH($K231,其他调用!$X$5:$X$404,0),0)</f>
        <v>45727.195093840608</v>
      </c>
      <c r="AT231" s="12">
        <f>MIN(INDEX(其他调用!$AL$5:$AL$364,MATCH($K231,其他调用!$AG$5:$AG$364,0),1)/INDEX(其他调用!AL$5:AL$364,MATCH($K231,其他调用!$AG$5:$AG$364,0),0),1)*INDEX(其他调用!AC$5:AC$404,MATCH($K231,其他调用!$X$5:$X$404,0),0)</f>
        <v>49647.750225561496</v>
      </c>
      <c r="AV231" s="14">
        <f>IF(OR(AV$5="大R",AV$5="超R"),MAX(INDEX(其他调用!$H$5:$L$404,MATCH($K231,其他调用!$B$5:$B$404,0),MATCH(AV$5,其他调用!$H$4:$L$4,0))*120*0.85,2),INDEX(其他调用!$H$5:$L$404,MATCH($K231,其他调用!$B$5:$B$404,0),MATCH(AV$5,其他调用!$H$4:$L$4,0))*120*0.85)</f>
        <v>48.921801254999991</v>
      </c>
      <c r="AW231" s="14">
        <f>IF(OR(AW$5="大R",AW$5="超R"),MAX(INDEX(其他调用!$H$5:$L$404,MATCH($K231,其他调用!$B$5:$B$404,0),MATCH(AW$5,其他调用!$H$4:$L$4,0))*120*0.85,2),INDEX(其他调用!$H$5:$L$404,MATCH($K231,其他调用!$B$5:$B$404,0),MATCH(AW$5,其他调用!$H$4:$L$4,0))*120*0.85)</f>
        <v>48.237344010638395</v>
      </c>
      <c r="AX231" s="14">
        <f>IF(OR(AX$5="大R",AX$5="超R"),MAX(INDEX(其他调用!$H$5:$L$404,MATCH($K231,其他调用!$B$5:$B$404,0),MATCH(AX$5,其他调用!$H$4:$L$4,0))*120*0.85,2),INDEX(其他调用!$H$5:$L$404,MATCH($K231,其他调用!$B$5:$B$404,0),MATCH(AX$5,其他调用!$H$4:$L$4,0))*120*0.85)</f>
        <v>3.9376284143615998</v>
      </c>
      <c r="AY231" s="14">
        <f>IF(OR(AY$5="大R",AY$5="超R"),MAX(INDEX(其他调用!$H$5:$L$404,MATCH($K231,其他调用!$B$5:$B$404,0),MATCH(AY$5,其他调用!$H$4:$L$4,0))*120*0.85,2),INDEX(其他调用!$H$5:$L$404,MATCH($K231,其他调用!$B$5:$B$404,0),MATCH(AY$5,其他调用!$H$4:$L$4,0))*120*0.85)</f>
        <v>2</v>
      </c>
      <c r="AZ231" s="14">
        <f>IF(OR(AZ$5="大R",AZ$5="超R"),MAX(INDEX(其他调用!$H$5:$L$404,MATCH($K231,其他调用!$B$5:$B$404,0),MATCH(AZ$5,其他调用!$H$4:$L$4,0))*120*0.85,2),INDEX(其他调用!$H$5:$L$404,MATCH($K231,其他调用!$B$5:$B$404,0),MATCH(AZ$5,其他调用!$H$4:$L$4,0))*120*0.85)</f>
        <v>2</v>
      </c>
      <c r="BA231" s="14">
        <f>INDEX(其他调用!$H$5:$L$404,MATCH($K231,其他调用!$B$5:$B$404,0),MATCH(BA$5,其他调用!$H$4:$L$4,0))*INDEX(其他调用!$M$5:$M$404,MATCH($K231,其他调用!$B$5:$B$404,0))*0.6</f>
        <v>28.777530149999997</v>
      </c>
      <c r="BB231" s="14">
        <f>INDEX(其他调用!$H$5:$L$404,MATCH($K231,其他调用!$B$5:$B$404,0),MATCH(BB$5,其他调用!$H$4:$L$4,0))*INDEX(其他调用!$M$5:$M$404,MATCH($K231,其他调用!$B$5:$B$404,0))*0.6</f>
        <v>28.374908241551999</v>
      </c>
      <c r="BC231" s="14">
        <f>INDEX(其他调用!$H$5:$L$404,MATCH($K231,其他调用!$B$5:$B$404,0),MATCH(BC$5,其他调用!$H$4:$L$4,0))*INDEX(其他调用!$M$5:$M$404,MATCH($K231,其他调用!$B$5:$B$404,0))*0.6</f>
        <v>2.3162520084480001</v>
      </c>
      <c r="BD231" s="14">
        <f>INDEX(其他调用!$H$5:$L$404,MATCH($K231,其他调用!$B$5:$B$404,0),MATCH(BD$5,其他调用!$H$4:$L$4,0))*INDEX(其他调用!$M$5:$M$404,MATCH($K231,其他调用!$B$5:$B$404,0))*0.6</f>
        <v>0.4120776000000001</v>
      </c>
      <c r="BE231" s="14">
        <f>INDEX(其他调用!$H$5:$L$404,MATCH($K231,其他调用!$B$5:$B$404,0),MATCH(BE$5,其他调用!$H$4:$L$4,0))*INDEX(其他调用!$M$5:$M$404,MATCH($K231,其他调用!$B$5:$B$404,0))*0.6</f>
        <v>0.11923199999999998</v>
      </c>
      <c r="BF231" s="14">
        <f>IF(OR(BF$5="大R",BF$5="超R"),0,INDEX(其他调用!$H$5:$L$404,MATCH($K231,其他调用!$B$5:$B$404,0),MATCH(BF$5,其他调用!$H$4:$L$4,0))*50*0.4)</f>
        <v>9.5925100500000013</v>
      </c>
      <c r="BG231" s="14">
        <f>IF(OR(BG$5="大R",BG$5="超R"),0,INDEX(其他调用!$H$5:$L$404,MATCH($K231,其他调用!$B$5:$B$404,0),MATCH(BG$5,其他调用!$H$4:$L$4,0))*50*0.4)</f>
        <v>9.4583027471839998</v>
      </c>
      <c r="BH231" s="14">
        <f>IF(OR(BH$5="大R",BH$5="超R"),0,INDEX(其他调用!$H$5:$L$404,MATCH($K231,其他调用!$B$5:$B$404,0),MATCH(BH$5,其他调用!$H$4:$L$4,0))*50*0.4)</f>
        <v>0.77208400281600009</v>
      </c>
      <c r="BI231" s="14">
        <f>IF(OR(BI$5="大R",BI$5="超R"),0,INDEX(其他调用!$H$5:$L$404,MATCH($K231,其他调用!$B$5:$B$404,0),MATCH(BI$5,其他调用!$H$4:$L$4,0))*50*0.4)</f>
        <v>0</v>
      </c>
      <c r="BJ231" s="14">
        <f>IF(OR(BJ$5="大R",BJ$5="超R"),0,INDEX(其他调用!$H$5:$L$404,MATCH($K231,其他调用!$B$5:$B$404,0),MATCH(BJ$5,其他调用!$H$4:$L$4,0))*50*0.4)</f>
        <v>0</v>
      </c>
      <c r="BL231" s="14">
        <f t="shared" si="418"/>
        <v>226</v>
      </c>
      <c r="BM231" s="14">
        <f t="shared" si="325"/>
        <v>96</v>
      </c>
      <c r="BN231" s="14">
        <f>('疲劳值&amp;地图信息'!$S$10*'疲劳值&amp;地图信息'!$R$10+'疲劳值&amp;地图信息'!$S$11*'疲劳值&amp;地图信息'!$R$11+'疲劳值&amp;地图信息'!$S$12*'疲劳值&amp;地图信息'!$R$12+(BM231-'疲劳值&amp;地图信息'!$S$12-'疲劳值&amp;地图信息'!$S$11-'疲劳值&amp;地图信息'!$S$10)*'疲劳值&amp;地图信息'!$R$13)/BM231</f>
        <v>51.371477246638619</v>
      </c>
      <c r="BO231" s="14">
        <f>INDEX(其他调用!$M$5:$M$404,MATCH(BL231,其他调用!$B$5:$B$404,0))*0.6</f>
        <v>60</v>
      </c>
      <c r="BP231" s="14">
        <f>IF(BO231&gt;SUM('疲劳值&amp;地图信息'!$S$10:$S$12),('疲劳值&amp;地图信息'!$S$10*'疲劳值&amp;地图信息'!$R$10+'疲劳值&amp;地图信息'!$S$11*'疲劳值&amp;地图信息'!$R$11+'疲劳值&amp;地图信息'!$S$12*'疲劳值&amp;地图信息'!$R$12+(BO231-'疲劳值&amp;地图信息'!$S$12-'疲劳值&amp;地图信息'!$S$11-'疲劳值&amp;地图信息'!$S$10)*'疲劳值&amp;地图信息'!$R$13)/BO231,('疲劳值&amp;地图信息'!$S$10*'疲劳值&amp;地图信息'!$R$10+'疲劳值&amp;地图信息'!$S$11*'疲劳值&amp;地图信息'!$R$11+'疲劳值&amp;地图信息'!$S$12*'疲劳值&amp;地图信息'!$R$12+(BO231-'疲劳值&amp;地图信息'!$S$12-'疲劳值&amp;地图信息'!$S$11-'疲劳值&amp;地图信息'!$S$10)*'疲劳值&amp;地图信息'!$R$13)/BO231)</f>
        <v>44.158136341605953</v>
      </c>
      <c r="BQ231" s="14">
        <f t="shared" si="419"/>
        <v>20</v>
      </c>
      <c r="BR231" s="14">
        <f>('疲劳值&amp;地图信息'!$S$10*'疲劳值&amp;地图信息'!$R$10+($BQ231-'疲劳值&amp;地图信息'!$S$10)*'疲劳值&amp;地图信息'!$R$11)/$BQ231</f>
        <v>32.067203015074995</v>
      </c>
      <c r="CF231" s="14">
        <v>226</v>
      </c>
      <c r="CG231" s="51">
        <f t="shared" si="326"/>
        <v>14100</v>
      </c>
      <c r="CH231" s="51">
        <f t="shared" si="327"/>
        <v>1090</v>
      </c>
      <c r="CI231" s="51">
        <f>INT(SUMPRODUCT($N231:$R231,$BA231:$BE231)/SUM($BA231:$BE231)/10000*$BX$7*$BZ$34/'疲劳值&amp;地图信息'!$R$10*$BY$53)</f>
        <v>3295</v>
      </c>
      <c r="CJ231" s="50">
        <f t="shared" si="328"/>
        <v>0.76278063294563159</v>
      </c>
      <c r="CK231" s="50">
        <f t="shared" si="329"/>
        <v>5.8966729780903435E-2</v>
      </c>
      <c r="CL231" s="50">
        <f t="shared" si="330"/>
        <v>0.17825263727346496</v>
      </c>
      <c r="CM231" s="14">
        <f t="shared" si="331"/>
        <v>15103</v>
      </c>
      <c r="CN231" s="14">
        <f t="shared" si="332"/>
        <v>1768</v>
      </c>
      <c r="CO231" s="14">
        <f>INT(SUMPRODUCT($U231:$Y231,$BA231:$BE231)/SUM($BA231:$BE231)/10000*$BX$7*$BZ$34/'疲劳值&amp;地图信息'!$R$10*$BY$54)</f>
        <v>6162</v>
      </c>
      <c r="CP231" s="50">
        <f t="shared" si="333"/>
        <v>0.65571137064212215</v>
      </c>
      <c r="CQ231" s="50">
        <f t="shared" si="334"/>
        <v>7.6759432119133414E-2</v>
      </c>
      <c r="CR231" s="50">
        <f t="shared" si="335"/>
        <v>0.26752919723874441</v>
      </c>
      <c r="CS231" s="14">
        <f t="shared" si="336"/>
        <v>16491</v>
      </c>
      <c r="CT231" s="14">
        <f t="shared" si="337"/>
        <v>3052</v>
      </c>
      <c r="CU231" s="14">
        <f>INT(SUMPRODUCT($AB231:$AF231,$BA231:$BE231)/SUM($BA231:$BE231)/10000*$BX$7*$BZ$34/'疲劳值&amp;地图信息'!$R$10*$BY$55)</f>
        <v>8370</v>
      </c>
      <c r="CV231" s="50">
        <f t="shared" si="338"/>
        <v>0.59079998566975966</v>
      </c>
      <c r="CW231" s="50">
        <f t="shared" si="339"/>
        <v>0.10933973417404078</v>
      </c>
      <c r="CX231" s="50">
        <f t="shared" si="340"/>
        <v>0.29986028015619964</v>
      </c>
      <c r="CY231" s="14">
        <f t="shared" si="341"/>
        <v>19816</v>
      </c>
      <c r="CZ231" s="14">
        <f t="shared" si="342"/>
        <v>8970</v>
      </c>
      <c r="DA231" s="14">
        <f>INT(SUMPRODUCT($AI231:$AM231,$BA231:$BE231)/SUM($BA231:$BE231)/10000*$BX$7*$BZ$34/'疲劳值&amp;地图信息'!$R$10*$BY$56)</f>
        <v>12627</v>
      </c>
      <c r="DB231" s="50">
        <f t="shared" si="343"/>
        <v>0.47849709028565907</v>
      </c>
      <c r="DC231" s="50">
        <f t="shared" si="344"/>
        <v>0.21659865259701061</v>
      </c>
      <c r="DD231" s="50">
        <f t="shared" si="345"/>
        <v>0.30490425711733032</v>
      </c>
      <c r="DE231" s="14">
        <f t="shared" si="346"/>
        <v>20718</v>
      </c>
      <c r="DF231" s="14">
        <f t="shared" si="347"/>
        <v>15262</v>
      </c>
      <c r="DG231" s="14">
        <f>INT(SUMPRODUCT($AP231:$AT231,$BA231:$BE231)/SUM($BA231:$BE231)/10000*$BX$7*$BZ$34/'疲劳值&amp;地图信息'!$R$10*$BY$57)</f>
        <v>16858</v>
      </c>
      <c r="DH231" s="50">
        <f t="shared" si="348"/>
        <v>0.39210416745524057</v>
      </c>
      <c r="DI231" s="50">
        <f t="shared" si="349"/>
        <v>0.2888451493243499</v>
      </c>
      <c r="DJ231" s="50">
        <f t="shared" si="350"/>
        <v>0.31905068322040958</v>
      </c>
      <c r="DL231" s="14">
        <f t="shared" si="421"/>
        <v>18485</v>
      </c>
      <c r="DM231" s="14">
        <f t="shared" si="422"/>
        <v>23033</v>
      </c>
      <c r="DN231" s="14">
        <f t="shared" si="423"/>
        <v>27913</v>
      </c>
      <c r="DO231" s="14">
        <f t="shared" si="424"/>
        <v>41413</v>
      </c>
      <c r="DP231" s="14">
        <f t="shared" si="425"/>
        <v>52838</v>
      </c>
      <c r="DQ231" s="14">
        <f t="shared" si="426"/>
        <v>1273530</v>
      </c>
      <c r="DT231" s="14">
        <f t="shared" si="420"/>
        <v>235575</v>
      </c>
      <c r="DU231" s="50">
        <f t="shared" si="322"/>
        <v>0.15610245807945769</v>
      </c>
      <c r="DW231" s="14">
        <f t="shared" si="351"/>
        <v>1509105</v>
      </c>
      <c r="EB231" s="14">
        <v>226</v>
      </c>
      <c r="EC231" s="51">
        <f t="shared" si="352"/>
        <v>23501</v>
      </c>
      <c r="ED231" s="51">
        <f t="shared" si="353"/>
        <v>1818</v>
      </c>
      <c r="EE231" s="51">
        <f>INT(SUMPRODUCT($N231:$R231,$BF231:$BJ231)/SUM($BF231:$BJ231)/10000*$BX$7*$BZ$46/'疲劳值&amp;地图信息'!$R$10*$BY$53)</f>
        <v>442</v>
      </c>
      <c r="EF231" s="50">
        <f t="shared" si="354"/>
        <v>0.91227048639416175</v>
      </c>
      <c r="EG231" s="50">
        <f t="shared" si="355"/>
        <v>7.0571794573192029E-2</v>
      </c>
      <c r="EH231" s="50">
        <f t="shared" si="356"/>
        <v>1.7157719032646249E-2</v>
      </c>
      <c r="EI231" s="51">
        <f t="shared" si="357"/>
        <v>25171</v>
      </c>
      <c r="EJ231" s="51">
        <f t="shared" si="358"/>
        <v>2947</v>
      </c>
      <c r="EK231" s="14">
        <f>INT(SUMPRODUCT($U231:$Y231,$BF231:$BJ231)/SUM($BF231:$BJ231)/10000*$BX$7*$BZ$46/'疲劳值&amp;地图信息'!$R$10*$BY$54)</f>
        <v>827</v>
      </c>
      <c r="EL231" s="50">
        <f t="shared" si="359"/>
        <v>0.86961478666436343</v>
      </c>
      <c r="EM231" s="50">
        <f t="shared" si="360"/>
        <v>0.10181378476420798</v>
      </c>
      <c r="EN231" s="50">
        <f t="shared" si="361"/>
        <v>2.8571428571428571E-2</v>
      </c>
      <c r="EO231" s="51">
        <f t="shared" si="362"/>
        <v>27485</v>
      </c>
      <c r="EP231" s="51">
        <f t="shared" si="363"/>
        <v>5087</v>
      </c>
      <c r="EQ231" s="14">
        <f>INT(SUMPRODUCT($AB231:$AF231,$BF231:$BJ231)/SUM($BF231:$BJ231)/10000*$BX$7*$BZ$46/'疲劳值&amp;地图信息'!$R$10*$BY$55)</f>
        <v>1122</v>
      </c>
      <c r="ER231" s="50">
        <f t="shared" si="364"/>
        <v>0.81572386775093486</v>
      </c>
      <c r="ES231" s="50">
        <f t="shared" si="365"/>
        <v>0.15097643497358579</v>
      </c>
      <c r="ET231" s="50">
        <f t="shared" si="366"/>
        <v>3.3299697275479316E-2</v>
      </c>
      <c r="EU231" s="51">
        <f t="shared" si="367"/>
        <v>33028</v>
      </c>
      <c r="EV231" s="51">
        <f t="shared" si="368"/>
        <v>14951</v>
      </c>
      <c r="EW231" s="14">
        <f>INT(SUMPRODUCT($AI231:$AM231,$BF231:$BJ231)/SUM($BF231:$BJ231)/10000*$BX$7*$BZ$46/'疲劳值&amp;地图信息'!$R$10*$BY$56)</f>
        <v>1684</v>
      </c>
      <c r="EX231" s="50">
        <f t="shared" si="369"/>
        <v>0.66504238567947971</v>
      </c>
      <c r="EY231" s="50">
        <f t="shared" si="370"/>
        <v>0.30104907073676579</v>
      </c>
      <c r="EZ231" s="50">
        <f t="shared" si="371"/>
        <v>3.3908543583754502E-2</v>
      </c>
      <c r="FA231" s="51">
        <f t="shared" si="372"/>
        <v>34530</v>
      </c>
      <c r="FB231" s="51">
        <f t="shared" si="373"/>
        <v>25437</v>
      </c>
      <c r="FC231" s="14">
        <f>INT(SUMPRODUCT($AP231:$AT231,$BF231:$BJ231)/SUM($BF231:$BJ231)/10000*$BX$7*$BZ$46/'疲劳值&amp;地图信息'!$R$10*$BY$57)</f>
        <v>2245</v>
      </c>
      <c r="FD231" s="50">
        <f t="shared" si="374"/>
        <v>0.55503761332218859</v>
      </c>
      <c r="FE231" s="50">
        <f t="shared" si="375"/>
        <v>0.40887610107374783</v>
      </c>
      <c r="FF231" s="50">
        <f t="shared" si="376"/>
        <v>3.6086285604063524E-2</v>
      </c>
      <c r="FH231" s="14">
        <f t="shared" si="377"/>
        <v>25761</v>
      </c>
      <c r="FI231" s="14">
        <f t="shared" si="378"/>
        <v>28945</v>
      </c>
      <c r="FJ231" s="14">
        <f t="shared" si="379"/>
        <v>33694</v>
      </c>
      <c r="FK231" s="14">
        <f t="shared" si="380"/>
        <v>49663</v>
      </c>
      <c r="FL231" s="14">
        <f t="shared" si="381"/>
        <v>62212</v>
      </c>
      <c r="FM231" s="14">
        <f t="shared" si="382"/>
        <v>3012928</v>
      </c>
      <c r="FP231" s="14">
        <f t="shared" si="383"/>
        <v>334150</v>
      </c>
      <c r="FQ231" s="50">
        <f t="shared" si="323"/>
        <v>9.9833347176253431E-2</v>
      </c>
      <c r="FS231" s="14">
        <f t="shared" si="384"/>
        <v>3347078</v>
      </c>
      <c r="FX231" s="14">
        <v>226</v>
      </c>
      <c r="FY231" s="51">
        <f t="shared" si="385"/>
        <v>32901</v>
      </c>
      <c r="FZ231" s="51">
        <f t="shared" si="386"/>
        <v>1818</v>
      </c>
      <c r="GA231" s="51">
        <f>INT(SUMPRODUCT($N231:$R231,$BF231:$BJ231)/SUM($BF231:$BJ231)/10000*$BX$7*$BZ$46/'疲劳值&amp;地图信息'!$R$10*$BY$53)</f>
        <v>442</v>
      </c>
      <c r="GB231" s="50">
        <f t="shared" si="387"/>
        <v>0.93572423992491682</v>
      </c>
      <c r="GC231" s="50">
        <f t="shared" si="388"/>
        <v>5.170501407809789E-2</v>
      </c>
      <c r="GD231" s="50">
        <f t="shared" si="389"/>
        <v>1.2570745996985296E-2</v>
      </c>
      <c r="GE231" s="51">
        <f t="shared" si="390"/>
        <v>35240</v>
      </c>
      <c r="GF231" s="51">
        <f t="shared" si="391"/>
        <v>2947</v>
      </c>
      <c r="GG231" s="14">
        <f>INT(SUMPRODUCT($U231:$Y231,$BF231:$BJ231)/SUM($BF231:$BJ231)/10000*$BX$7*$BZ$46/'疲劳值&amp;地图信息'!$R$10*$BY$54)</f>
        <v>827</v>
      </c>
      <c r="GH231" s="50">
        <f t="shared" si="392"/>
        <v>0.90326549443789406</v>
      </c>
      <c r="GI231" s="50">
        <f t="shared" si="393"/>
        <v>7.5536986722714916E-2</v>
      </c>
      <c r="GJ231" s="50">
        <f t="shared" si="394"/>
        <v>2.1197518839390989E-2</v>
      </c>
      <c r="GK231" s="51">
        <f t="shared" si="395"/>
        <v>38479</v>
      </c>
      <c r="GL231" s="51">
        <f t="shared" si="396"/>
        <v>5087</v>
      </c>
      <c r="GM231" s="14">
        <f>INT(SUMPRODUCT($AB231:$AF231,$BF231:$BJ231)/SUM($BF231:$BJ231)/10000*$BX$7*$BZ$46/'疲劳值&amp;地图信息'!$R$10*$BY$55)</f>
        <v>1122</v>
      </c>
      <c r="GN231" s="50">
        <f t="shared" si="397"/>
        <v>0.8610588972431078</v>
      </c>
      <c r="GO231" s="50">
        <f t="shared" si="398"/>
        <v>0.11383369137128535</v>
      </c>
      <c r="GP231" s="50">
        <f t="shared" si="399"/>
        <v>2.5107411385606876E-2</v>
      </c>
      <c r="GQ231" s="51">
        <f t="shared" si="400"/>
        <v>46239</v>
      </c>
      <c r="GR231" s="51">
        <f t="shared" si="401"/>
        <v>14951</v>
      </c>
      <c r="GS231" s="14">
        <f>INT(SUMPRODUCT($AI231:$AM231,$BF231:$BJ231)/SUM($BF231:$BJ231)/10000*$BX$7*$BZ$46/'疲劳值&amp;地图信息'!$R$10*$BY$56)</f>
        <v>1684</v>
      </c>
      <c r="GT231" s="50">
        <f t="shared" si="402"/>
        <v>0.73542322740719535</v>
      </c>
      <c r="GU231" s="50">
        <f t="shared" si="403"/>
        <v>0.23779304641028087</v>
      </c>
      <c r="GV231" s="50">
        <f t="shared" si="404"/>
        <v>2.6783726182523778E-2</v>
      </c>
      <c r="GW231" s="51">
        <f t="shared" si="405"/>
        <v>48342</v>
      </c>
      <c r="GX231" s="51">
        <f t="shared" si="406"/>
        <v>25437</v>
      </c>
      <c r="GY231" s="14">
        <f>INT(SUMPRODUCT($AP231:$AT231,$BF231:$BJ231)/SUM($BF231:$BJ231)/10000*$BX$7*$BZ$46/'疲劳值&amp;地图信息'!$R$10*$BY$57)</f>
        <v>2245</v>
      </c>
      <c r="GZ231" s="50">
        <f t="shared" si="407"/>
        <v>0.6358781437440808</v>
      </c>
      <c r="HA231" s="50">
        <f t="shared" si="408"/>
        <v>0.33459170788172155</v>
      </c>
      <c r="HB231" s="50">
        <f t="shared" si="409"/>
        <v>2.9530148374197623E-2</v>
      </c>
      <c r="HD231" s="14">
        <f t="shared" si="410"/>
        <v>35161</v>
      </c>
      <c r="HE231" s="14">
        <f t="shared" si="411"/>
        <v>39014</v>
      </c>
      <c r="HF231" s="14">
        <f t="shared" si="412"/>
        <v>44688</v>
      </c>
      <c r="HG231" s="14">
        <f t="shared" si="413"/>
        <v>62874</v>
      </c>
      <c r="HH231" s="14">
        <f t="shared" si="414"/>
        <v>76024</v>
      </c>
      <c r="HI231" s="14">
        <f t="shared" si="415"/>
        <v>4055831</v>
      </c>
      <c r="HL231" s="14">
        <f t="shared" si="416"/>
        <v>430050</v>
      </c>
      <c r="HM231" s="50">
        <f t="shared" si="324"/>
        <v>9.5867456136263976E-2</v>
      </c>
      <c r="HO231" s="14">
        <f t="shared" si="417"/>
        <v>4485881</v>
      </c>
    </row>
    <row r="232" spans="11:223" x14ac:dyDescent="0.2">
      <c r="K232" s="14">
        <v>227</v>
      </c>
      <c r="L232" s="12">
        <f>求节点(节奏总纲!D$4:D$163,标准城池设计!AB$4:AB$163,$K232)*求节点(节奏总纲!D$4:D$163,攻城基础信息!$AC$5:$AC$164,$K232)</f>
        <v>693279.42736371444</v>
      </c>
      <c r="M232" s="12">
        <f>INDEX(其他调用!$AA$5:$AA$404,MATCH(K232,其他调用!$X$5:$X$404,0))*MIN(INDEX(其他调用!$AH$5:$AH$364,MATCH('征服点（新）'!K232,其他调用!$AG$5:$AG$364,0),1)/INDEX(其他调用!$AJ$5:$AJ$364,MATCH(K232,其他调用!$AG$5:$AG$364,0),0),5)*求节点(节奏总纲!D$4:D$163,攻城基础信息!$AC$5:$AC$164,$K232)</f>
        <v>53546.685316367999</v>
      </c>
      <c r="N232" s="12">
        <f>MIN(INDEX(其他调用!$AH$5:$AH$364,MATCH($K232,其他调用!$AG$5:$AG$364,0),1)/INDEX(其他调用!AH$5:AH$364,MATCH($K232,其他调用!$AG$5:$AG$364,0),0),1)*INDEX(其他调用!Y$5:Y$404,MATCH($K232,其他调用!$X$5:$X$404,0),0)</f>
        <v>40862.225284081229</v>
      </c>
      <c r="O232" s="12">
        <f>MIN(INDEX(其他调用!$AH$5:$AH$364,MATCH($K232,其他调用!$AG$5:$AG$364,0),1)/INDEX(其他调用!AI$5:AI$364,MATCH($K232,其他调用!$AG$5:$AG$364,0),0),1)*INDEX(其他调用!Z$5:Z$404,MATCH($K232,其他调用!$X$5:$X$404,0),0)</f>
        <v>25866.244260476855</v>
      </c>
      <c r="P232" s="12">
        <f>MIN(INDEX(其他调用!$AH$5:$AH$364,MATCH($K232,其他调用!$AG$5:$AG$364,0),1)/INDEX(其他调用!AJ$5:AJ$364,MATCH($K232,其他调用!$AG$5:$AG$364,0),0),1)*INDEX(其他调用!AA$5:AA$404,MATCH($K232,其他调用!$X$5:$X$404,0),0)</f>
        <v>15547.62522345182</v>
      </c>
      <c r="Q232" s="12">
        <f>MIN(INDEX(其他调用!$AH$5:$AH$364,MATCH($K232,其他调用!$AG$5:$AG$364,0),1)/INDEX(其他调用!AK$5:AK$364,MATCH($K232,其他调用!$AG$5:$AG$364,0),0),1)*INDEX(其他调用!AB$5:AB$404,MATCH($K232,其他调用!$X$5:$X$404,0),0)</f>
        <v>5556.2540324290621</v>
      </c>
      <c r="R232" s="12">
        <f>MIN(INDEX(其他调用!$AH$5:$AH$364,MATCH($K232,其他调用!$AG$5:$AG$364,0),1)/INDEX(其他调用!AL$5:AL$364,MATCH($K232,其他调用!$AG$5:$AG$364,0),0),1)*INDEX(其他调用!AC$5:AC$404,MATCH($K232,其他调用!$X$5:$X$404,0),0)</f>
        <v>2768.3859295754996</v>
      </c>
      <c r="S232" s="12">
        <f>求节点(节奏总纲!D$4:D$163,标准城池设计!AC$4:AC$163,$K232)*求节点(节奏总纲!D$4:D$163,攻城基础信息!$AD$5:$AD$164,$K232)</f>
        <v>742919.16334675869</v>
      </c>
      <c r="T232" s="12">
        <f>INDEX(其他调用!$AA$5:$AA$404,MATCH($K232,其他调用!$X$5:$X$404,0))*MIN(INDEX(其他调用!AI$5:AI$364,MATCH($K232,其他调用!$AG$5:$AG$364,0),1)/INDEX(其他调用!$AJ$5:$AJ$364,MATCH($K232,其他调用!$AG$5:$AG$364,0),0),5)*求节点(节奏总纲!D$4:D$163,攻城基础信息!$AD$5:$AD$164,$K232)</f>
        <v>86979.973882174294</v>
      </c>
      <c r="U232" s="12">
        <f>MIN(INDEX(其他调用!$AI$5:$AI$364,MATCH($K232,其他调用!$AG$5:$AG$364,0),1)/INDEX(其他调用!AH$5:AH$364,MATCH($K232,其他调用!$AG$5:$AG$364,0),0),1)*INDEX(其他调用!Y$5:Y$404,MATCH($K232,其他调用!$X$5:$X$404,0),0)</f>
        <v>40862.225284081229</v>
      </c>
      <c r="V232" s="12">
        <f>MIN(INDEX(其他调用!$AI$5:$AI$364,MATCH($K232,其他调用!$AG$5:$AG$364,0),1)/INDEX(其他调用!AI$5:AI$364,MATCH($K232,其他调用!$AG$5:$AG$364,0),0),1)*INDEX(其他调用!Z$5:Z$404,MATCH($K232,其他调用!$X$5:$X$404,0),0)</f>
        <v>42016.517678237884</v>
      </c>
      <c r="W232" s="12">
        <f>MIN(INDEX(其他调用!$AI$5:$AI$364,MATCH($K232,其他调用!$AG$5:$AG$364,0),1)/INDEX(其他调用!AJ$5:AJ$364,MATCH($K232,其他调用!$AG$5:$AG$364,0),0),1)*INDEX(其他调用!AA$5:AA$404,MATCH($K232,其他调用!$X$5:$X$404,0),0)</f>
        <v>25255.196056968562</v>
      </c>
      <c r="X232" s="12">
        <f>MIN(INDEX(其他调用!$AI$5:$AI$364,MATCH($K232,其他调用!$AG$5:$AG$364,0),1)/INDEX(其他调用!AK$5:AK$364,MATCH($K232,其他调用!$AG$5:$AG$364,0),0),1)*INDEX(其他调用!AB$5:AB$404,MATCH($K232,其他调用!$X$5:$X$404,0),0)</f>
        <v>9025.4481256504005</v>
      </c>
      <c r="Y232" s="12">
        <f>MIN(INDEX(其他调用!$AI$5:$AI$364,MATCH($K232,其他调用!$AG$5:$AG$364,0),1)/INDEX(其他调用!AL$5:AL$364,MATCH($K232,其他调用!$AG$5:$AG$364,0),0),1)*INDEX(其他调用!AC$5:AC$404,MATCH($K232,其他调用!$X$5:$X$404,0),0)</f>
        <v>4496.9008712225641</v>
      </c>
      <c r="Z232" s="12">
        <f>求节点(节奏总纲!D$4:D$163,标准城池设计!AD$4:AD$163,$K232)*求节点(节奏总纲!D$4:D$163,攻城基础信息!$AE$5:$AE$164,$K232)</f>
        <v>811367.80450484017</v>
      </c>
      <c r="AA232" s="12">
        <f>INDEX(其他调用!$AA$5:$AA$404,MATCH($K232,其他调用!$X$5:$X$404,0))*MIN(INDEX(其他调用!AJ$5:AJ$364,MATCH($K232,其他调用!$AG$5:$AG$364,0),1)/INDEX(其他调用!$AJ$5:$AJ$364,MATCH($K232,其他调用!$AG$5:$AG$364,0),0),5)*求节点(节奏总纲!D$4:D$163,攻城基础信息!$AE$5:$AE$164,$K232)</f>
        <v>149948.15187493202</v>
      </c>
      <c r="AB232" s="12">
        <f>MIN(INDEX(其他调用!$AJ$5:$AJ$364,MATCH($K232,其他调用!$AG$5:$AG$364,0),1)/INDEX(其他调用!AH$5:AH$364,MATCH($K232,其他调用!$AG$5:$AG$364,0),0),1)*INDEX(其他调用!Y$5:Y$404,MATCH($K232,其他调用!$X$5:$X$404,0),0)</f>
        <v>40862.225284081229</v>
      </c>
      <c r="AC232" s="12">
        <f>MIN(INDEX(其他调用!$AJ$5:$AJ$364,MATCH($K232,其他调用!$AG$5:$AG$364,0),1)/INDEX(其他调用!AI$5:AI$364,MATCH($K232,其他调用!$AG$5:$AG$364,0),0),1)*INDEX(其他调用!Z$5:Z$404,MATCH($K232,其他调用!$X$5:$X$404,0),0)</f>
        <v>42016.517678237884</v>
      </c>
      <c r="AD232" s="12">
        <f>MIN(INDEX(其他调用!$AJ$5:$AJ$364,MATCH($K232,其他调用!$AG$5:$AG$364,0),1)/INDEX(其他调用!AJ$5:AJ$364,MATCH($K232,其他调用!$AG$5:$AG$364,0),0),1)*INDEX(其他调用!AA$5:AA$404,MATCH($K232,其他调用!$X$5:$X$404,0),0)</f>
        <v>43538.412406417265</v>
      </c>
      <c r="AE232" s="12">
        <f>MIN(INDEX(其他调用!$AJ$5:$AJ$364,MATCH($K232,其他调用!$AG$5:$AG$364,0),1)/INDEX(其他调用!AK$5:AK$364,MATCH($K232,其他调用!$AG$5:$AG$364,0),0),1)*INDEX(其他调用!AB$5:AB$404,MATCH($K232,其他调用!$X$5:$X$404,0),0)</f>
        <v>15559.320219130383</v>
      </c>
      <c r="AF232" s="12">
        <f>MIN(INDEX(其他调用!$AJ$5:$AJ$364,MATCH($K232,其他调用!$AG$5:$AG$364,0),1)/INDEX(其他调用!AL$5:AL$364,MATCH($K232,其他调用!$AG$5:$AG$364,0),0),1)*INDEX(其他调用!AC$5:AC$404,MATCH($K232,其他调用!$X$5:$X$404,0),0)</f>
        <v>7752.381895607662</v>
      </c>
      <c r="AG232" s="12">
        <f>求节点(节奏总纲!D$4:D$163,标准城池设计!AE$4:AE$163,$K232)*求节点(节奏总纲!D$4:D$163,攻城基础信息!$AF$5:$AF$164,$K232)</f>
        <v>975111.81742703624</v>
      </c>
      <c r="AH232" s="12">
        <f>INDEX(其他调用!$AA$5:$AA$404,MATCH($K232,其他调用!$X$5:$X$404,0))*MIN(INDEX(其他调用!AK$5:AK$364,MATCH($K232,其他调用!$AG$5:$AG$364,0),1)/INDEX(其他调用!$AJ$5:$AJ$364,MATCH($K232,其他调用!$AG$5:$AG$364,0),0),5)*求节点(节奏总纲!D$4:D$163,攻城基础信息!$AF$5:$AF$164,$K232)</f>
        <v>440933.30738834274</v>
      </c>
      <c r="AI232" s="12">
        <f>MIN(INDEX(其他调用!$AK$5:$AK$364,MATCH($K232,其他调用!$AG$5:$AG$364,0),1)/INDEX(其他调用!AH$5:AH$364,MATCH($K232,其他调用!$AG$5:$AG$364,0),0),1)*INDEX(其他调用!Y$5:Y$404,MATCH($K232,其他调用!$X$5:$X$404,0),0)</f>
        <v>40862.225284081229</v>
      </c>
      <c r="AJ232" s="12">
        <f>MIN(INDEX(其他调用!$AK$5:$AK$364,MATCH($K232,其他调用!$AG$5:$AG$364,0),1)/INDEX(其他调用!AI$5:AI$364,MATCH($K232,其他调用!$AG$5:$AG$364,0),0),1)*INDEX(其他调用!Z$5:Z$404,MATCH($K232,其他调用!$X$5:$X$404,0),0)</f>
        <v>42016.517678237884</v>
      </c>
      <c r="AK232" s="12">
        <f>MIN(INDEX(其他调用!$AK$5:$AK$364,MATCH($K232,其他调用!$AG$5:$AG$364,0),1)/INDEX(其他调用!AJ$5:AJ$364,MATCH($K232,其他调用!$AG$5:$AG$364,0),0),1)*INDEX(其他调用!AA$5:AA$404,MATCH($K232,其他调用!$X$5:$X$404,0),0)</f>
        <v>43538.412406417265</v>
      </c>
      <c r="AL232" s="12">
        <f>MIN(INDEX(其他调用!$AK$5:$AK$364,MATCH($K232,其他调用!$AG$5:$AG$364,0),1)/INDEX(其他调用!AK$5:AK$364,MATCH($K232,其他调用!$AG$5:$AG$364,0),0),1)*INDEX(其他调用!AB$5:AB$404,MATCH($K232,其他调用!$X$5:$X$404,0),0)</f>
        <v>45753.29831779284</v>
      </c>
      <c r="AM232" s="12">
        <f>MIN(INDEX(其他调用!$AK$5:$AK$364,MATCH($K232,其他调用!$AG$5:$AG$364,0),1)/INDEX(其他调用!AL$5:AL$364,MATCH($K232,其他调用!$AG$5:$AG$364,0),0),1)*INDEX(其他调用!AC$5:AC$404,MATCH($K232,其他调用!$X$5:$X$404,0),0)</f>
        <v>22796.435612083438</v>
      </c>
      <c r="AN232" s="12">
        <f>求节点(节奏总纲!D$4:D$163,标准城池设计!AF$4:AF$163,$K232)*求节点(节奏总纲!D$4:D$163,攻城基础信息!$AG$5:$AG$164,$K232)</f>
        <v>1019602.5051299918</v>
      </c>
      <c r="AO232" s="12">
        <f>INDEX(其他调用!$AA$5:$AA$404,MATCH($K232,其他调用!$X$5:$X$404,0))*MIN(INDEX(其他调用!AL$5:AL$364,MATCH($K232,其他调用!$AG$5:$AG$364,0),1)/INDEX(其他调用!$AJ$5:$AJ$364,MATCH($K232,其他调用!$AG$5:$AG$364,0),0),5)*求节点(节奏总纲!D$4:D$163,攻城基础信息!$AG$5:$AG$164,$K232)</f>
        <v>749740.75937466009</v>
      </c>
      <c r="AP232" s="12">
        <f>MIN(INDEX(其他调用!$AL$5:$AL$364,MATCH($K232,其他调用!$AG$5:$AG$364,0),1)/INDEX(其他调用!AH$5:AH$364,MATCH($K232,其他调用!$AG$5:$AG$364,0),0),1)*INDEX(其他调用!Y$5:Y$404,MATCH($K232,其他调用!$X$5:$X$404,0),0)</f>
        <v>40862.225284081229</v>
      </c>
      <c r="AQ232" s="12">
        <f>MIN(INDEX(其他调用!$AL$5:$AL$364,MATCH($K232,其他调用!$AG$5:$AG$364,0),1)/INDEX(其他调用!AI$5:AI$364,MATCH($K232,其他调用!$AG$5:$AG$364,0),0),1)*INDEX(其他调用!Z$5:Z$404,MATCH($K232,其他调用!$X$5:$X$404,0),0)</f>
        <v>42016.517678237884</v>
      </c>
      <c r="AR232" s="12">
        <f>MIN(INDEX(其他调用!$AL$5:$AL$364,MATCH($K232,其他调用!$AG$5:$AG$364,0),1)/INDEX(其他调用!AJ$5:AJ$364,MATCH($K232,其他调用!$AG$5:$AG$364,0),0),1)*INDEX(其他调用!AA$5:AA$404,MATCH($K232,其他调用!$X$5:$X$404,0),0)</f>
        <v>43538.412406417265</v>
      </c>
      <c r="AS232" s="12">
        <f>MIN(INDEX(其他调用!$AL$5:$AL$364,MATCH($K232,其他调用!$AG$5:$AG$364,0),1)/INDEX(其他调用!AK$5:AK$364,MATCH($K232,其他调用!$AG$5:$AG$364,0),0),1)*INDEX(其他调用!AB$5:AB$404,MATCH($K232,其他调用!$X$5:$X$404,0),0)</f>
        <v>45753.29831779284</v>
      </c>
      <c r="AT232" s="12">
        <f>MIN(INDEX(其他调用!$AL$5:$AL$364,MATCH($K232,其他调用!$AG$5:$AG$364,0),1)/INDEX(其他调用!AL$5:AL$364,MATCH($K232,其他调用!$AG$5:$AG$364,0),0),1)*INDEX(其他调用!AC$5:AC$404,MATCH($K232,其他调用!$X$5:$X$404,0),0)</f>
        <v>49672.478210730347</v>
      </c>
      <c r="AV232" s="14">
        <f>IF(OR(AV$5="大R",AV$5="超R"),MAX(INDEX(其他调用!$H$5:$L$404,MATCH($K232,其他调用!$B$5:$B$404,0),MATCH(AV$5,其他调用!$H$4:$L$4,0))*120*0.85,2),INDEX(其他调用!$H$5:$L$404,MATCH($K232,其他调用!$B$5:$B$404,0),MATCH(AV$5,其他调用!$H$4:$L$4,0))*120*0.85)</f>
        <v>48.921801254999991</v>
      </c>
      <c r="AW232" s="14">
        <f>IF(OR(AW$5="大R",AW$5="超R"),MAX(INDEX(其他调用!$H$5:$L$404,MATCH($K232,其他调用!$B$5:$B$404,0),MATCH(AW$5,其他调用!$H$4:$L$4,0))*120*0.85,2),INDEX(其他调用!$H$5:$L$404,MATCH($K232,其他调用!$B$5:$B$404,0),MATCH(AW$5,其他调用!$H$4:$L$4,0))*120*0.85)</f>
        <v>48.237344010638395</v>
      </c>
      <c r="AX232" s="14">
        <f>IF(OR(AX$5="大R",AX$5="超R"),MAX(INDEX(其他调用!$H$5:$L$404,MATCH($K232,其他调用!$B$5:$B$404,0),MATCH(AX$5,其他调用!$H$4:$L$4,0))*120*0.85,2),INDEX(其他调用!$H$5:$L$404,MATCH($K232,其他调用!$B$5:$B$404,0),MATCH(AX$5,其他调用!$H$4:$L$4,0))*120*0.85)</f>
        <v>3.9376284143615998</v>
      </c>
      <c r="AY232" s="14">
        <f>IF(OR(AY$5="大R",AY$5="超R"),MAX(INDEX(其他调用!$H$5:$L$404,MATCH($K232,其他调用!$B$5:$B$404,0),MATCH(AY$5,其他调用!$H$4:$L$4,0))*120*0.85,2),INDEX(其他调用!$H$5:$L$404,MATCH($K232,其他调用!$B$5:$B$404,0),MATCH(AY$5,其他调用!$H$4:$L$4,0))*120*0.85)</f>
        <v>2</v>
      </c>
      <c r="AZ232" s="14">
        <f>IF(OR(AZ$5="大R",AZ$5="超R"),MAX(INDEX(其他调用!$H$5:$L$404,MATCH($K232,其他调用!$B$5:$B$404,0),MATCH(AZ$5,其他调用!$H$4:$L$4,0))*120*0.85,2),INDEX(其他调用!$H$5:$L$404,MATCH($K232,其他调用!$B$5:$B$404,0),MATCH(AZ$5,其他调用!$H$4:$L$4,0))*120*0.85)</f>
        <v>2</v>
      </c>
      <c r="BA232" s="14">
        <f>INDEX(其他调用!$H$5:$L$404,MATCH($K232,其他调用!$B$5:$B$404,0),MATCH(BA$5,其他调用!$H$4:$L$4,0))*INDEX(其他调用!$M$5:$M$404,MATCH($K232,其他调用!$B$5:$B$404,0))*0.6</f>
        <v>28.777530149999997</v>
      </c>
      <c r="BB232" s="14">
        <f>INDEX(其他调用!$H$5:$L$404,MATCH($K232,其他调用!$B$5:$B$404,0),MATCH(BB$5,其他调用!$H$4:$L$4,0))*INDEX(其他调用!$M$5:$M$404,MATCH($K232,其他调用!$B$5:$B$404,0))*0.6</f>
        <v>28.374908241551999</v>
      </c>
      <c r="BC232" s="14">
        <f>INDEX(其他调用!$H$5:$L$404,MATCH($K232,其他调用!$B$5:$B$404,0),MATCH(BC$5,其他调用!$H$4:$L$4,0))*INDEX(其他调用!$M$5:$M$404,MATCH($K232,其他调用!$B$5:$B$404,0))*0.6</f>
        <v>2.3162520084480001</v>
      </c>
      <c r="BD232" s="14">
        <f>INDEX(其他调用!$H$5:$L$404,MATCH($K232,其他调用!$B$5:$B$404,0),MATCH(BD$5,其他调用!$H$4:$L$4,0))*INDEX(其他调用!$M$5:$M$404,MATCH($K232,其他调用!$B$5:$B$404,0))*0.6</f>
        <v>0.4120776000000001</v>
      </c>
      <c r="BE232" s="14">
        <f>INDEX(其他调用!$H$5:$L$404,MATCH($K232,其他调用!$B$5:$B$404,0),MATCH(BE$5,其他调用!$H$4:$L$4,0))*INDEX(其他调用!$M$5:$M$404,MATCH($K232,其他调用!$B$5:$B$404,0))*0.6</f>
        <v>0.11923199999999998</v>
      </c>
      <c r="BF232" s="14">
        <f>IF(OR(BF$5="大R",BF$5="超R"),0,INDEX(其他调用!$H$5:$L$404,MATCH($K232,其他调用!$B$5:$B$404,0),MATCH(BF$5,其他调用!$H$4:$L$4,0))*50*0.4)</f>
        <v>9.5925100500000013</v>
      </c>
      <c r="BG232" s="14">
        <f>IF(OR(BG$5="大R",BG$5="超R"),0,INDEX(其他调用!$H$5:$L$404,MATCH($K232,其他调用!$B$5:$B$404,0),MATCH(BG$5,其他调用!$H$4:$L$4,0))*50*0.4)</f>
        <v>9.4583027471839998</v>
      </c>
      <c r="BH232" s="14">
        <f>IF(OR(BH$5="大R",BH$5="超R"),0,INDEX(其他调用!$H$5:$L$404,MATCH($K232,其他调用!$B$5:$B$404,0),MATCH(BH$5,其他调用!$H$4:$L$4,0))*50*0.4)</f>
        <v>0.77208400281600009</v>
      </c>
      <c r="BI232" s="14">
        <f>IF(OR(BI$5="大R",BI$5="超R"),0,INDEX(其他调用!$H$5:$L$404,MATCH($K232,其他调用!$B$5:$B$404,0),MATCH(BI$5,其他调用!$H$4:$L$4,0))*50*0.4)</f>
        <v>0</v>
      </c>
      <c r="BJ232" s="14">
        <f>IF(OR(BJ$5="大R",BJ$5="超R"),0,INDEX(其他调用!$H$5:$L$404,MATCH($K232,其他调用!$B$5:$B$404,0),MATCH(BJ$5,其他调用!$H$4:$L$4,0))*50*0.4)</f>
        <v>0</v>
      </c>
      <c r="BL232" s="14">
        <f t="shared" si="418"/>
        <v>227</v>
      </c>
      <c r="BM232" s="14">
        <f t="shared" si="325"/>
        <v>96</v>
      </c>
      <c r="BN232" s="14">
        <f>('疲劳值&amp;地图信息'!$S$10*'疲劳值&amp;地图信息'!$R$10+'疲劳值&amp;地图信息'!$S$11*'疲劳值&amp;地图信息'!$R$11+'疲劳值&amp;地图信息'!$S$12*'疲劳值&amp;地图信息'!$R$12+(BM232-'疲劳值&amp;地图信息'!$S$12-'疲劳值&amp;地图信息'!$S$11-'疲劳值&amp;地图信息'!$S$10)*'疲劳值&amp;地图信息'!$R$13)/BM232</f>
        <v>51.371477246638619</v>
      </c>
      <c r="BO232" s="14">
        <f>INDEX(其他调用!$M$5:$M$404,MATCH(BL232,其他调用!$B$5:$B$404,0))*0.6</f>
        <v>60</v>
      </c>
      <c r="BP232" s="14">
        <f>IF(BO232&gt;SUM('疲劳值&amp;地图信息'!$S$10:$S$12),('疲劳值&amp;地图信息'!$S$10*'疲劳值&amp;地图信息'!$R$10+'疲劳值&amp;地图信息'!$S$11*'疲劳值&amp;地图信息'!$R$11+'疲劳值&amp;地图信息'!$S$12*'疲劳值&amp;地图信息'!$R$12+(BO232-'疲劳值&amp;地图信息'!$S$12-'疲劳值&amp;地图信息'!$S$11-'疲劳值&amp;地图信息'!$S$10)*'疲劳值&amp;地图信息'!$R$13)/BO232,('疲劳值&amp;地图信息'!$S$10*'疲劳值&amp;地图信息'!$R$10+'疲劳值&amp;地图信息'!$S$11*'疲劳值&amp;地图信息'!$R$11+'疲劳值&amp;地图信息'!$S$12*'疲劳值&amp;地图信息'!$R$12+(BO232-'疲劳值&amp;地图信息'!$S$12-'疲劳值&amp;地图信息'!$S$11-'疲劳值&amp;地图信息'!$S$10)*'疲劳值&amp;地图信息'!$R$13)/BO232)</f>
        <v>44.158136341605953</v>
      </c>
      <c r="BQ232" s="14">
        <f t="shared" si="419"/>
        <v>20</v>
      </c>
      <c r="BR232" s="14">
        <f>('疲劳值&amp;地图信息'!$S$10*'疲劳值&amp;地图信息'!$R$10+($BQ232-'疲劳值&amp;地图信息'!$S$10)*'疲劳值&amp;地图信息'!$R$11)/$BQ232</f>
        <v>32.067203015074995</v>
      </c>
      <c r="CF232" s="14">
        <v>227</v>
      </c>
      <c r="CG232" s="51">
        <f t="shared" si="326"/>
        <v>14129</v>
      </c>
      <c r="CH232" s="51">
        <f t="shared" si="327"/>
        <v>1091</v>
      </c>
      <c r="CI232" s="51">
        <f>INT(SUMPRODUCT($N232:$R232,$BA232:$BE232)/SUM($BA232:$BE232)/10000*$BX$7*$BZ$34/'疲劳值&amp;地图信息'!$R$10*$BY$53)</f>
        <v>3295</v>
      </c>
      <c r="CJ232" s="50">
        <f t="shared" si="328"/>
        <v>0.76311099108830682</v>
      </c>
      <c r="CK232" s="50">
        <f t="shared" si="329"/>
        <v>5.8925195787199569E-2</v>
      </c>
      <c r="CL232" s="50">
        <f t="shared" si="330"/>
        <v>0.17796381312449366</v>
      </c>
      <c r="CM232" s="14">
        <f t="shared" si="331"/>
        <v>15141</v>
      </c>
      <c r="CN232" s="14">
        <f t="shared" si="332"/>
        <v>1772</v>
      </c>
      <c r="CO232" s="14">
        <f>INT(SUMPRODUCT($U232:$Y232,$BA232:$BE232)/SUM($BA232:$BE232)/10000*$BX$7*$BZ$34/'疲劳值&amp;地图信息'!$R$10*$BY$54)</f>
        <v>6166</v>
      </c>
      <c r="CP232" s="50">
        <f t="shared" si="333"/>
        <v>0.6560509554140127</v>
      </c>
      <c r="CQ232" s="50">
        <f t="shared" si="334"/>
        <v>7.6779756488582693E-2</v>
      </c>
      <c r="CR232" s="50">
        <f t="shared" si="335"/>
        <v>0.26716928809740459</v>
      </c>
      <c r="CS232" s="14">
        <f t="shared" si="336"/>
        <v>16536</v>
      </c>
      <c r="CT232" s="14">
        <f t="shared" si="337"/>
        <v>3056</v>
      </c>
      <c r="CU232" s="14">
        <f>INT(SUMPRODUCT($AB232:$AF232,$BA232:$BE232)/SUM($BA232:$BE232)/10000*$BX$7*$BZ$34/'疲劳值&amp;地图信息'!$R$10*$BY$55)</f>
        <v>8375</v>
      </c>
      <c r="CV232" s="50">
        <f t="shared" si="338"/>
        <v>0.59126828047341506</v>
      </c>
      <c r="CW232" s="50">
        <f t="shared" si="339"/>
        <v>0.10927164157757357</v>
      </c>
      <c r="CX232" s="50">
        <f t="shared" si="340"/>
        <v>0.29946007794901136</v>
      </c>
      <c r="CY232" s="14">
        <f t="shared" si="341"/>
        <v>19874</v>
      </c>
      <c r="CZ232" s="14">
        <f t="shared" si="342"/>
        <v>8986</v>
      </c>
      <c r="DA232" s="14">
        <f>INT(SUMPRODUCT($AI232:$AM232,$BA232:$BE232)/SUM($BA232:$BE232)/10000*$BX$7*$BZ$34/'疲劳值&amp;地图信息'!$R$10*$BY$56)</f>
        <v>12635</v>
      </c>
      <c r="DB232" s="50">
        <f t="shared" si="343"/>
        <v>0.47894927099650558</v>
      </c>
      <c r="DC232" s="50">
        <f t="shared" si="344"/>
        <v>0.21655621159175803</v>
      </c>
      <c r="DD232" s="50">
        <f t="shared" si="345"/>
        <v>0.30449451741173633</v>
      </c>
      <c r="DE232" s="14">
        <f t="shared" si="346"/>
        <v>20780</v>
      </c>
      <c r="DF232" s="14">
        <f t="shared" si="347"/>
        <v>15280</v>
      </c>
      <c r="DG232" s="14">
        <f>INT(SUMPRODUCT($AP232:$AT232,$BA232:$BE232)/SUM($BA232:$BE232)/10000*$BX$7*$BZ$34/'疲劳值&amp;地图信息'!$R$10*$BY$57)</f>
        <v>16868</v>
      </c>
      <c r="DH232" s="50">
        <f t="shared" si="348"/>
        <v>0.39260882708585249</v>
      </c>
      <c r="DI232" s="50">
        <f t="shared" si="349"/>
        <v>0.28869407496977023</v>
      </c>
      <c r="DJ232" s="50">
        <f t="shared" si="350"/>
        <v>0.31869709794437728</v>
      </c>
      <c r="DL232" s="14">
        <f t="shared" si="421"/>
        <v>18515</v>
      </c>
      <c r="DM232" s="14">
        <f t="shared" si="422"/>
        <v>23079</v>
      </c>
      <c r="DN232" s="14">
        <f t="shared" si="423"/>
        <v>27967</v>
      </c>
      <c r="DO232" s="14">
        <f t="shared" si="424"/>
        <v>41495</v>
      </c>
      <c r="DP232" s="14">
        <f t="shared" si="425"/>
        <v>52928</v>
      </c>
      <c r="DQ232" s="14">
        <f t="shared" si="426"/>
        <v>1275868</v>
      </c>
      <c r="DT232" s="14">
        <f t="shared" si="420"/>
        <v>235575</v>
      </c>
      <c r="DU232" s="50">
        <f t="shared" si="322"/>
        <v>0.15586098847260532</v>
      </c>
      <c r="DW232" s="14">
        <f t="shared" si="351"/>
        <v>1511443</v>
      </c>
      <c r="EB232" s="14">
        <v>227</v>
      </c>
      <c r="EC232" s="51">
        <f t="shared" si="352"/>
        <v>23549</v>
      </c>
      <c r="ED232" s="51">
        <f t="shared" si="353"/>
        <v>1818</v>
      </c>
      <c r="EE232" s="51">
        <f>INT(SUMPRODUCT($N232:$R232,$BF232:$BJ232)/SUM($BF232:$BJ232)/10000*$BX$7*$BZ$46/'疲劳值&amp;地图信息'!$R$10*$BY$53)</f>
        <v>442</v>
      </c>
      <c r="EF232" s="50">
        <f t="shared" si="354"/>
        <v>0.91243364717734121</v>
      </c>
      <c r="EG232" s="50">
        <f t="shared" si="355"/>
        <v>7.0440543996280372E-2</v>
      </c>
      <c r="EH232" s="50">
        <f t="shared" si="356"/>
        <v>1.7125808826378396E-2</v>
      </c>
      <c r="EI232" s="51">
        <f t="shared" si="357"/>
        <v>25236</v>
      </c>
      <c r="EJ232" s="51">
        <f t="shared" si="358"/>
        <v>2954</v>
      </c>
      <c r="EK232" s="14">
        <f>INT(SUMPRODUCT($U232:$Y232,$BF232:$BJ232)/SUM($BF232:$BJ232)/10000*$BX$7*$BZ$46/'疲劳值&amp;地图信息'!$R$10*$BY$54)</f>
        <v>828</v>
      </c>
      <c r="EL232" s="50">
        <f t="shared" si="359"/>
        <v>0.8696671031773382</v>
      </c>
      <c r="EM232" s="50">
        <f t="shared" si="360"/>
        <v>0.1017988834516507</v>
      </c>
      <c r="EN232" s="50">
        <f t="shared" si="361"/>
        <v>2.8534013371011097E-2</v>
      </c>
      <c r="EO232" s="51">
        <f t="shared" si="362"/>
        <v>27561</v>
      </c>
      <c r="EP232" s="51">
        <f t="shared" si="363"/>
        <v>5093</v>
      </c>
      <c r="EQ232" s="14">
        <f>INT(SUMPRODUCT($AB232:$AF232,$BF232:$BJ232)/SUM($BF232:$BJ232)/10000*$BX$7*$BZ$46/'疲劳值&amp;地图信息'!$R$10*$BY$55)</f>
        <v>1123</v>
      </c>
      <c r="ER232" s="50">
        <f t="shared" si="364"/>
        <v>0.81596944666489035</v>
      </c>
      <c r="ES232" s="50">
        <f t="shared" si="365"/>
        <v>0.15078307724191017</v>
      </c>
      <c r="ET232" s="50">
        <f t="shared" si="366"/>
        <v>3.3247476093199516E-2</v>
      </c>
      <c r="EU232" s="51">
        <f t="shared" si="367"/>
        <v>33123</v>
      </c>
      <c r="EV232" s="51">
        <f t="shared" si="368"/>
        <v>14977</v>
      </c>
      <c r="EW232" s="14">
        <f>INT(SUMPRODUCT($AI232:$AM232,$BF232:$BJ232)/SUM($BF232:$BJ232)/10000*$BX$7*$BZ$46/'疲劳值&amp;地图信息'!$R$10*$BY$56)</f>
        <v>1685</v>
      </c>
      <c r="EX232" s="50">
        <f t="shared" si="369"/>
        <v>0.6653208797830672</v>
      </c>
      <c r="EY232" s="50">
        <f t="shared" si="370"/>
        <v>0.30083358441297581</v>
      </c>
      <c r="EZ232" s="50">
        <f t="shared" si="371"/>
        <v>3.3845535803957015E-2</v>
      </c>
      <c r="FA232" s="51">
        <f t="shared" si="372"/>
        <v>34634</v>
      </c>
      <c r="FB232" s="51">
        <f t="shared" si="373"/>
        <v>25467</v>
      </c>
      <c r="FC232" s="14">
        <f>INT(SUMPRODUCT($AP232:$AT232,$BF232:$BJ232)/SUM($BF232:$BJ232)/10000*$BX$7*$BZ$46/'疲劳值&amp;地图信息'!$R$10*$BY$57)</f>
        <v>2246</v>
      </c>
      <c r="FD232" s="50">
        <f t="shared" si="374"/>
        <v>0.55550387348228458</v>
      </c>
      <c r="FE232" s="50">
        <f t="shared" si="375"/>
        <v>0.40847193930742459</v>
      </c>
      <c r="FF232" s="50">
        <f t="shared" si="376"/>
        <v>3.6024187210290791E-2</v>
      </c>
      <c r="FH232" s="14">
        <f t="shared" si="377"/>
        <v>25809</v>
      </c>
      <c r="FI232" s="14">
        <f t="shared" si="378"/>
        <v>29018</v>
      </c>
      <c r="FJ232" s="14">
        <f t="shared" si="379"/>
        <v>33777</v>
      </c>
      <c r="FK232" s="14">
        <f t="shared" si="380"/>
        <v>49785</v>
      </c>
      <c r="FL232" s="14">
        <f t="shared" si="381"/>
        <v>62347</v>
      </c>
      <c r="FM232" s="14">
        <f t="shared" si="382"/>
        <v>3019639</v>
      </c>
      <c r="FP232" s="14">
        <f t="shared" si="383"/>
        <v>334150</v>
      </c>
      <c r="FQ232" s="50">
        <f t="shared" si="323"/>
        <v>9.963357861809434E-2</v>
      </c>
      <c r="FS232" s="14">
        <f t="shared" si="384"/>
        <v>3353789</v>
      </c>
      <c r="FX232" s="14">
        <v>227</v>
      </c>
      <c r="FY232" s="51">
        <f t="shared" si="385"/>
        <v>32969</v>
      </c>
      <c r="FZ232" s="51">
        <f t="shared" si="386"/>
        <v>1818</v>
      </c>
      <c r="GA232" s="51">
        <f>INT(SUMPRODUCT($N232:$R232,$BF232:$BJ232)/SUM($BF232:$BJ232)/10000*$BX$7*$BZ$46/'疲劳值&amp;地图信息'!$R$10*$BY$53)</f>
        <v>442</v>
      </c>
      <c r="GB232" s="50">
        <f t="shared" si="387"/>
        <v>0.93584830679269915</v>
      </c>
      <c r="GC232" s="50">
        <f t="shared" si="388"/>
        <v>5.1605211615430469E-2</v>
      </c>
      <c r="GD232" s="50">
        <f t="shared" si="389"/>
        <v>1.2546481591870334E-2</v>
      </c>
      <c r="GE232" s="51">
        <f t="shared" si="390"/>
        <v>35330</v>
      </c>
      <c r="GF232" s="51">
        <f t="shared" si="391"/>
        <v>2954</v>
      </c>
      <c r="GG232" s="14">
        <f>INT(SUMPRODUCT($U232:$Y232,$BF232:$BJ232)/SUM($BF232:$BJ232)/10000*$BX$7*$BZ$46/'疲劳值&amp;地图信息'!$R$10*$BY$54)</f>
        <v>828</v>
      </c>
      <c r="GH232" s="50">
        <f t="shared" si="392"/>
        <v>0.90330333401513607</v>
      </c>
      <c r="GI232" s="50">
        <f t="shared" si="393"/>
        <v>7.5526692575168752E-2</v>
      </c>
      <c r="GJ232" s="50">
        <f t="shared" si="394"/>
        <v>2.1169973409695234E-2</v>
      </c>
      <c r="GK232" s="51">
        <f t="shared" si="395"/>
        <v>38585</v>
      </c>
      <c r="GL232" s="51">
        <f t="shared" si="396"/>
        <v>5093</v>
      </c>
      <c r="GM232" s="14">
        <f>INT(SUMPRODUCT($AB232:$AF232,$BF232:$BJ232)/SUM($BF232:$BJ232)/10000*$BX$7*$BZ$46/'疲劳值&amp;地图信息'!$R$10*$BY$55)</f>
        <v>1123</v>
      </c>
      <c r="GN232" s="50">
        <f t="shared" si="397"/>
        <v>0.86125309702908415</v>
      </c>
      <c r="GO232" s="50">
        <f t="shared" si="398"/>
        <v>0.11368049820316511</v>
      </c>
      <c r="GP232" s="50">
        <f t="shared" si="399"/>
        <v>2.5066404767750721E-2</v>
      </c>
      <c r="GQ232" s="51">
        <f t="shared" si="400"/>
        <v>46372</v>
      </c>
      <c r="GR232" s="51">
        <f t="shared" si="401"/>
        <v>14977</v>
      </c>
      <c r="GS232" s="14">
        <f>INT(SUMPRODUCT($AI232:$AM232,$BF232:$BJ232)/SUM($BF232:$BJ232)/10000*$BX$7*$BZ$46/'疲劳值&amp;地图信息'!$R$10*$BY$56)</f>
        <v>1685</v>
      </c>
      <c r="GT232" s="50">
        <f t="shared" si="402"/>
        <v>0.73566646571691463</v>
      </c>
      <c r="GU232" s="50">
        <f t="shared" si="403"/>
        <v>0.23760192911761907</v>
      </c>
      <c r="GV232" s="50">
        <f t="shared" si="404"/>
        <v>2.6731605165466257E-2</v>
      </c>
      <c r="GW232" s="51">
        <f t="shared" si="405"/>
        <v>48488</v>
      </c>
      <c r="GX232" s="51">
        <f t="shared" si="406"/>
        <v>25467</v>
      </c>
      <c r="GY232" s="14">
        <f>INT(SUMPRODUCT($AP232:$AT232,$BF232:$BJ232)/SUM($BF232:$BJ232)/10000*$BX$7*$BZ$46/'疲劳值&amp;地图信息'!$R$10*$BY$57)</f>
        <v>2246</v>
      </c>
      <c r="GZ232" s="50">
        <f t="shared" si="407"/>
        <v>0.63631710869936087</v>
      </c>
      <c r="HA232" s="50">
        <f t="shared" si="408"/>
        <v>0.33420821249064975</v>
      </c>
      <c r="HB232" s="50">
        <f t="shared" si="409"/>
        <v>2.9474678809989371E-2</v>
      </c>
      <c r="HD232" s="14">
        <f t="shared" si="410"/>
        <v>35229</v>
      </c>
      <c r="HE232" s="14">
        <f t="shared" si="411"/>
        <v>39112</v>
      </c>
      <c r="HF232" s="14">
        <f t="shared" si="412"/>
        <v>44801</v>
      </c>
      <c r="HG232" s="14">
        <f t="shared" si="413"/>
        <v>63034</v>
      </c>
      <c r="HH232" s="14">
        <f t="shared" si="414"/>
        <v>76201</v>
      </c>
      <c r="HI232" s="14">
        <f t="shared" si="415"/>
        <v>4065004</v>
      </c>
      <c r="HL232" s="14">
        <f t="shared" si="416"/>
        <v>430050</v>
      </c>
      <c r="HM232" s="50">
        <f t="shared" si="324"/>
        <v>9.5671820627738838E-2</v>
      </c>
      <c r="HO232" s="14">
        <f t="shared" si="417"/>
        <v>4495054</v>
      </c>
    </row>
    <row r="233" spans="11:223" x14ac:dyDescent="0.2">
      <c r="K233" s="14">
        <v>228</v>
      </c>
      <c r="L233" s="12">
        <f>求节点(节奏总纲!D$4:D$163,标准城池设计!AB$4:AB$163,$K233)*求节点(节奏总纲!D$4:D$163,攻城基础信息!$AC$5:$AC$164,$K233)</f>
        <v>694711.02392025141</v>
      </c>
      <c r="M233" s="12">
        <f>INDEX(其他调用!$AA$5:$AA$404,MATCH(K233,其他调用!$X$5:$X$404,0))*MIN(INDEX(其他调用!$AH$5:$AH$364,MATCH('征服点（新）'!K233,其他调用!$AG$5:$AG$364,0),1)/INDEX(其他调用!$AJ$5:$AJ$364,MATCH(K233,其他调用!$AG$5:$AG$364,0),0),5)*求节点(节奏总纲!D$4:D$163,攻城基础信息!$AC$5:$AC$164,$K233)</f>
        <v>53571.486033994144</v>
      </c>
      <c r="N233" s="12">
        <f>MIN(INDEX(其他调用!$AH$5:$AH$364,MATCH($K233,其他调用!$AG$5:$AG$364,0),1)/INDEX(其他调用!AH$5:AH$364,MATCH($K233,其他调用!$AG$5:$AG$364,0),0),1)*INDEX(其他调用!Y$5:Y$404,MATCH($K233,其他调用!$X$5:$X$404,0),0)</f>
        <v>40887.701813333981</v>
      </c>
      <c r="O233" s="12">
        <f>MIN(INDEX(其他调用!$AH$5:$AH$364,MATCH($K233,其他调用!$AG$5:$AG$364,0),1)/INDEX(其他调用!AI$5:AI$364,MATCH($K233,其他调用!$AG$5:$AG$364,0),0),1)*INDEX(其他调用!Z$5:Z$404,MATCH($K233,其他调用!$X$5:$X$404,0),0)</f>
        <v>25831.261121697433</v>
      </c>
      <c r="P233" s="12">
        <f>MIN(INDEX(其他调用!$AH$5:$AH$364,MATCH($K233,其他调用!$AG$5:$AG$364,0),1)/INDEX(其他调用!AJ$5:AJ$364,MATCH($K233,其他调用!$AG$5:$AG$364,0),0),1)*INDEX(其他调用!AA$5:AA$404,MATCH($K233,其他调用!$X$5:$X$404,0),0)</f>
        <v>15545.420058560561</v>
      </c>
      <c r="Q233" s="12">
        <f>MIN(INDEX(其他调用!$AH$5:$AH$364,MATCH($K233,其他调用!$AG$5:$AG$364,0),1)/INDEX(其他调用!AK$5:AK$364,MATCH($K233,其他调用!$AG$5:$AG$364,0),0),1)*INDEX(其他调用!AB$5:AB$404,MATCH($K233,其他调用!$X$5:$X$404,0),0)</f>
        <v>5552.2130027323828</v>
      </c>
      <c r="R233" s="12">
        <f>MIN(INDEX(其他调用!$AH$5:$AH$364,MATCH($K233,其他调用!$AG$5:$AG$364,0),1)/INDEX(其他调用!AL$5:AL$364,MATCH($K233,其他调用!$AG$5:$AG$364,0),0),1)*INDEX(其他调用!AC$5:AC$404,MATCH($K233,其他调用!$X$5:$X$404,0),0)</f>
        <v>2777.938140887185</v>
      </c>
      <c r="S233" s="12">
        <f>求节点(节奏总纲!D$4:D$163,标准城池设计!AC$4:AC$163,$K233)*求节点(节奏总纲!D$4:D$163,攻城基础信息!$AD$5:$AD$164,$K233)</f>
        <v>744817.31219275366</v>
      </c>
      <c r="T233" s="12">
        <f>INDEX(其他调用!$AA$5:$AA$404,MATCH($K233,其他调用!$X$5:$X$404,0))*MIN(INDEX(其他调用!AI$5:AI$364,MATCH($K233,其他调用!$AG$5:$AG$364,0),1)/INDEX(其他调用!$AJ$5:$AJ$364,MATCH($K233,其他调用!$AG$5:$AG$364,0),0),5)*求节点(节奏总纲!D$4:D$163,攻城基础信息!$AD$5:$AD$164,$K233)</f>
        <v>87190.469415813524</v>
      </c>
      <c r="U233" s="12">
        <f>MIN(INDEX(其他调用!$AI$5:$AI$364,MATCH($K233,其他调用!$AG$5:$AG$364,0),1)/INDEX(其他调用!AH$5:AH$364,MATCH($K233,其他调用!$AG$5:$AG$364,0),0),1)*INDEX(其他调用!Y$5:Y$404,MATCH($K233,其他调用!$X$5:$X$404,0),0)</f>
        <v>40887.701813333981</v>
      </c>
      <c r="V233" s="12">
        <f>MIN(INDEX(其他调用!$AI$5:$AI$364,MATCH($K233,其他调用!$AG$5:$AG$364,0),1)/INDEX(其他调用!AI$5:AI$364,MATCH($K233,其他调用!$AG$5:$AG$364,0),0),1)*INDEX(其他调用!Z$5:Z$404,MATCH($K233,其他调用!$X$5:$X$404,0),0)</f>
        <v>42041.764183544939</v>
      </c>
      <c r="W233" s="12">
        <f>MIN(INDEX(其他调用!$AI$5:$AI$364,MATCH($K233,其他调用!$AG$5:$AG$364,0),1)/INDEX(其他调用!AJ$5:AJ$364,MATCH($K233,其他调用!$AG$5:$AG$364,0),0),1)*INDEX(其他调用!AA$5:AA$404,MATCH($K233,其他调用!$X$5:$X$404,0),0)</f>
        <v>25301.00567514242</v>
      </c>
      <c r="X233" s="12">
        <f>MIN(INDEX(其他调用!$AI$5:$AI$364,MATCH($K233,其他调用!$AG$5:$AG$364,0),1)/INDEX(其他调用!AK$5:AK$364,MATCH($K233,其他调用!$AG$5:$AG$364,0),0),1)*INDEX(其他调用!AB$5:AB$404,MATCH($K233,其他调用!$X$5:$X$404,0),0)</f>
        <v>9036.5247232012771</v>
      </c>
      <c r="Y233" s="12">
        <f>MIN(INDEX(其他调用!$AI$5:$AI$364,MATCH($K233,其他调用!$AG$5:$AG$364,0),1)/INDEX(其他调用!AL$5:AL$364,MATCH($K233,其他调用!$AG$5:$AG$364,0),0),1)*INDEX(其他调用!AC$5:AC$404,MATCH($K233,其他调用!$X$5:$X$404,0),0)</f>
        <v>4521.2434532495554</v>
      </c>
      <c r="Z233" s="12">
        <f>求节点(节奏总纲!D$4:D$163,标准城池设计!AD$4:AD$163,$K233)*求节点(节奏总纲!D$4:D$163,攻城基础信息!$AE$5:$AE$164,$K233)</f>
        <v>813593.76247870654</v>
      </c>
      <c r="AA233" s="12">
        <f>INDEX(其他调用!$AA$5:$AA$404,MATCH($K233,其他调用!$X$5:$X$404,0))*MIN(INDEX(其他调用!AJ$5:AJ$364,MATCH($K233,其他调用!$AG$5:$AG$364,0),1)/INDEX(其他调用!$AJ$5:$AJ$364,MATCH($K233,其他调用!$AG$5:$AG$364,0),0),5)*求节点(节奏总纲!D$4:D$163,攻城基础信息!$AE$5:$AE$164,$K233)</f>
        <v>150125.45302065238</v>
      </c>
      <c r="AB233" s="12">
        <f>MIN(INDEX(其他调用!$AJ$5:$AJ$364,MATCH($K233,其他调用!$AG$5:$AG$364,0),1)/INDEX(其他调用!AH$5:AH$364,MATCH($K233,其他调用!$AG$5:$AG$364,0),0),1)*INDEX(其他调用!Y$5:Y$404,MATCH($K233,其他调用!$X$5:$X$404,0),0)</f>
        <v>40887.701813333981</v>
      </c>
      <c r="AC233" s="12">
        <f>MIN(INDEX(其他调用!$AJ$5:$AJ$364,MATCH($K233,其他调用!$AG$5:$AG$364,0),1)/INDEX(其他调用!AI$5:AI$364,MATCH($K233,其他调用!$AG$5:$AG$364,0),0),1)*INDEX(其他调用!Z$5:Z$404,MATCH($K233,其他调用!$X$5:$X$404,0),0)</f>
        <v>42041.764183544939</v>
      </c>
      <c r="AD233" s="12">
        <f>MIN(INDEX(其他调用!$AJ$5:$AJ$364,MATCH($K233,其他调用!$AG$5:$AG$364,0),1)/INDEX(其他调用!AJ$5:AJ$364,MATCH($K233,其他调用!$AG$5:$AG$364,0),0),1)*INDEX(其他调用!AA$5:AA$404,MATCH($K233,其他调用!$X$5:$X$404,0),0)</f>
        <v>43563.533541086312</v>
      </c>
      <c r="AE233" s="12">
        <f>MIN(INDEX(其他调用!$AJ$5:$AJ$364,MATCH($K233,其他调用!$AG$5:$AG$364,0),1)/INDEX(其他调用!AK$5:AK$364,MATCH($K233,其他调用!$AG$5:$AG$364,0),0),1)*INDEX(其他调用!AB$5:AB$404,MATCH($K233,其他调用!$X$5:$X$404,0),0)</f>
        <v>15559.181833661189</v>
      </c>
      <c r="AF233" s="12">
        <f>MIN(INDEX(其他调用!$AJ$5:$AJ$364,MATCH($K233,其他调用!$AG$5:$AG$364,0),1)/INDEX(其他调用!AL$5:AL$364,MATCH($K233,其他调用!$AG$5:$AG$364,0),0),1)*INDEX(其他调用!AC$5:AC$404,MATCH($K233,其他调用!$X$5:$X$404,0),0)</f>
        <v>7784.7237912982764</v>
      </c>
      <c r="AG233" s="12">
        <f>求节点(节奏总纲!D$4:D$163,标准城池设计!AE$4:AE$163,$K233)*求节点(节奏总纲!D$4:D$163,攻城基础信息!$AF$5:$AF$164,$K233)</f>
        <v>977916.96183008701</v>
      </c>
      <c r="AH233" s="12">
        <f>INDEX(其他调用!$AA$5:$AA$404,MATCH($K233,其他调用!$X$5:$X$404,0))*MIN(INDEX(其他调用!AK$5:AK$364,MATCH($K233,其他调用!$AG$5:$AG$364,0),1)/INDEX(其他调用!$AJ$5:$AJ$364,MATCH($K233,其他调用!$AG$5:$AG$364,0),0),5)*求节点(节奏总纲!D$4:D$163,攻城基础信息!$AF$5:$AF$164,$K233)</f>
        <v>441710.35554872855</v>
      </c>
      <c r="AI233" s="12">
        <f>MIN(INDEX(其他调用!$AK$5:$AK$364,MATCH($K233,其他调用!$AG$5:$AG$364,0),1)/INDEX(其他调用!AH$5:AH$364,MATCH($K233,其他调用!$AG$5:$AG$364,0),0),1)*INDEX(其他调用!Y$5:Y$404,MATCH($K233,其他调用!$X$5:$X$404,0),0)</f>
        <v>40887.701813333981</v>
      </c>
      <c r="AJ233" s="12">
        <f>MIN(INDEX(其他调用!$AK$5:$AK$364,MATCH($K233,其他调用!$AG$5:$AG$364,0),1)/INDEX(其他调用!AI$5:AI$364,MATCH($K233,其他调用!$AG$5:$AG$364,0),0),1)*INDEX(其他调用!Z$5:Z$404,MATCH($K233,其他调用!$X$5:$X$404,0),0)</f>
        <v>42041.764183544939</v>
      </c>
      <c r="AK233" s="12">
        <f>MIN(INDEX(其他调用!$AK$5:$AK$364,MATCH($K233,其他调用!$AG$5:$AG$364,0),1)/INDEX(其他调用!AJ$5:AJ$364,MATCH($K233,其他调用!$AG$5:$AG$364,0),0),1)*INDEX(其他调用!AA$5:AA$404,MATCH($K233,其他调用!$X$5:$X$404,0),0)</f>
        <v>43563.533541086312</v>
      </c>
      <c r="AL233" s="12">
        <f>MIN(INDEX(其他调用!$AK$5:$AK$364,MATCH($K233,其他调用!$AG$5:$AG$364,0),1)/INDEX(其他调用!AK$5:AK$364,MATCH($K233,其他调用!$AG$5:$AG$364,0),0),1)*INDEX(其他调用!AB$5:AB$404,MATCH($K233,其他调用!$X$5:$X$404,0),0)</f>
        <v>45779.390513135353</v>
      </c>
      <c r="AM233" s="12">
        <f>MIN(INDEX(其他调用!$AK$5:$AK$364,MATCH($K233,其他调用!$AG$5:$AG$364,0),1)/INDEX(其他调用!AL$5:AL$364,MATCH($K233,其他调用!$AG$5:$AG$364,0),0),1)*INDEX(其他调用!AC$5:AC$404,MATCH($K233,其他调用!$X$5:$X$404,0),0)</f>
        <v>22904.797584390762</v>
      </c>
      <c r="AN233" s="12">
        <f>求节点(节奏总纲!D$4:D$163,标准城池设计!AF$4:AF$163,$K233)*求节点(节奏总纲!D$4:D$163,攻城基础信息!$AG$5:$AG$164,$K233)</f>
        <v>1022676.1442034773</v>
      </c>
      <c r="AO233" s="12">
        <f>INDEX(其他调用!$AA$5:$AA$404,MATCH($K233,其他调用!$X$5:$X$404,0))*MIN(INDEX(其他调用!AL$5:AL$364,MATCH($K233,其他调用!$AG$5:$AG$364,0),1)/INDEX(其他调用!$AJ$5:$AJ$364,MATCH($K233,其他调用!$AG$5:$AG$364,0),0),5)*求节点(节奏总纲!D$4:D$163,攻城基础信息!$AG$5:$AG$164,$K233)</f>
        <v>750627.26510326192</v>
      </c>
      <c r="AP233" s="12">
        <f>MIN(INDEX(其他调用!$AL$5:$AL$364,MATCH($K233,其他调用!$AG$5:$AG$364,0),1)/INDEX(其他调用!AH$5:AH$364,MATCH($K233,其他调用!$AG$5:$AG$364,0),0),1)*INDEX(其他调用!Y$5:Y$404,MATCH($K233,其他调用!$X$5:$X$404,0),0)</f>
        <v>40887.701813333981</v>
      </c>
      <c r="AQ233" s="12">
        <f>MIN(INDEX(其他调用!$AL$5:$AL$364,MATCH($K233,其他调用!$AG$5:$AG$364,0),1)/INDEX(其他调用!AI$5:AI$364,MATCH($K233,其他调用!$AG$5:$AG$364,0),0),1)*INDEX(其他调用!Z$5:Z$404,MATCH($K233,其他调用!$X$5:$X$404,0),0)</f>
        <v>42041.764183544939</v>
      </c>
      <c r="AR233" s="12">
        <f>MIN(INDEX(其他调用!$AL$5:$AL$364,MATCH($K233,其他调用!$AG$5:$AG$364,0),1)/INDEX(其他调用!AJ$5:AJ$364,MATCH($K233,其他调用!$AG$5:$AG$364,0),0),1)*INDEX(其他调用!AA$5:AA$404,MATCH($K233,其他调用!$X$5:$X$404,0),0)</f>
        <v>43563.533541086312</v>
      </c>
      <c r="AS233" s="12">
        <f>MIN(INDEX(其他调用!$AL$5:$AL$364,MATCH($K233,其他调用!$AG$5:$AG$364,0),1)/INDEX(其他调用!AK$5:AK$364,MATCH($K233,其他调用!$AG$5:$AG$364,0),0),1)*INDEX(其他调用!AB$5:AB$404,MATCH($K233,其他调用!$X$5:$X$404,0),0)</f>
        <v>45779.390513135353</v>
      </c>
      <c r="AT233" s="12">
        <f>MIN(INDEX(其他调用!$AL$5:$AL$364,MATCH($K233,其他调用!$AG$5:$AG$364,0),1)/INDEX(其他调用!AL$5:AL$364,MATCH($K233,其他调用!$AG$5:$AG$364,0),0),1)*INDEX(其他调用!AC$5:AC$404,MATCH($K233,其他调用!$X$5:$X$404,0),0)</f>
        <v>49697.206195899198</v>
      </c>
      <c r="AV233" s="14">
        <f>IF(OR(AV$5="大R",AV$5="超R"),MAX(INDEX(其他调用!$H$5:$L$404,MATCH($K233,其他调用!$B$5:$B$404,0),MATCH(AV$5,其他调用!$H$4:$L$4,0))*120*0.85,2),INDEX(其他调用!$H$5:$L$404,MATCH($K233,其他调用!$B$5:$B$404,0),MATCH(AV$5,其他调用!$H$4:$L$4,0))*120*0.85)</f>
        <v>48.921801254999991</v>
      </c>
      <c r="AW233" s="14">
        <f>IF(OR(AW$5="大R",AW$5="超R"),MAX(INDEX(其他调用!$H$5:$L$404,MATCH($K233,其他调用!$B$5:$B$404,0),MATCH(AW$5,其他调用!$H$4:$L$4,0))*120*0.85,2),INDEX(其他调用!$H$5:$L$404,MATCH($K233,其他调用!$B$5:$B$404,0),MATCH(AW$5,其他调用!$H$4:$L$4,0))*120*0.85)</f>
        <v>48.237344010638395</v>
      </c>
      <c r="AX233" s="14">
        <f>IF(OR(AX$5="大R",AX$5="超R"),MAX(INDEX(其他调用!$H$5:$L$404,MATCH($K233,其他调用!$B$5:$B$404,0),MATCH(AX$5,其他调用!$H$4:$L$4,0))*120*0.85,2),INDEX(其他调用!$H$5:$L$404,MATCH($K233,其他调用!$B$5:$B$404,0),MATCH(AX$5,其他调用!$H$4:$L$4,0))*120*0.85)</f>
        <v>3.9376284143615998</v>
      </c>
      <c r="AY233" s="14">
        <f>IF(OR(AY$5="大R",AY$5="超R"),MAX(INDEX(其他调用!$H$5:$L$404,MATCH($K233,其他调用!$B$5:$B$404,0),MATCH(AY$5,其他调用!$H$4:$L$4,0))*120*0.85,2),INDEX(其他调用!$H$5:$L$404,MATCH($K233,其他调用!$B$5:$B$404,0),MATCH(AY$5,其他调用!$H$4:$L$4,0))*120*0.85)</f>
        <v>2</v>
      </c>
      <c r="AZ233" s="14">
        <f>IF(OR(AZ$5="大R",AZ$5="超R"),MAX(INDEX(其他调用!$H$5:$L$404,MATCH($K233,其他调用!$B$5:$B$404,0),MATCH(AZ$5,其他调用!$H$4:$L$4,0))*120*0.85,2),INDEX(其他调用!$H$5:$L$404,MATCH($K233,其他调用!$B$5:$B$404,0),MATCH(AZ$5,其他调用!$H$4:$L$4,0))*120*0.85)</f>
        <v>2</v>
      </c>
      <c r="BA233" s="14">
        <f>INDEX(其他调用!$H$5:$L$404,MATCH($K233,其他调用!$B$5:$B$404,0),MATCH(BA$5,其他调用!$H$4:$L$4,0))*INDEX(其他调用!$M$5:$M$404,MATCH($K233,其他调用!$B$5:$B$404,0))*0.6</f>
        <v>28.777530149999997</v>
      </c>
      <c r="BB233" s="14">
        <f>INDEX(其他调用!$H$5:$L$404,MATCH($K233,其他调用!$B$5:$B$404,0),MATCH(BB$5,其他调用!$H$4:$L$4,0))*INDEX(其他调用!$M$5:$M$404,MATCH($K233,其他调用!$B$5:$B$404,0))*0.6</f>
        <v>28.374908241551999</v>
      </c>
      <c r="BC233" s="14">
        <f>INDEX(其他调用!$H$5:$L$404,MATCH($K233,其他调用!$B$5:$B$404,0),MATCH(BC$5,其他调用!$H$4:$L$4,0))*INDEX(其他调用!$M$5:$M$404,MATCH($K233,其他调用!$B$5:$B$404,0))*0.6</f>
        <v>2.3162520084480001</v>
      </c>
      <c r="BD233" s="14">
        <f>INDEX(其他调用!$H$5:$L$404,MATCH($K233,其他调用!$B$5:$B$404,0),MATCH(BD$5,其他调用!$H$4:$L$4,0))*INDEX(其他调用!$M$5:$M$404,MATCH($K233,其他调用!$B$5:$B$404,0))*0.6</f>
        <v>0.4120776000000001</v>
      </c>
      <c r="BE233" s="14">
        <f>INDEX(其他调用!$H$5:$L$404,MATCH($K233,其他调用!$B$5:$B$404,0),MATCH(BE$5,其他调用!$H$4:$L$4,0))*INDEX(其他调用!$M$5:$M$404,MATCH($K233,其他调用!$B$5:$B$404,0))*0.6</f>
        <v>0.11923199999999998</v>
      </c>
      <c r="BF233" s="14">
        <f>IF(OR(BF$5="大R",BF$5="超R"),0,INDEX(其他调用!$H$5:$L$404,MATCH($K233,其他调用!$B$5:$B$404,0),MATCH(BF$5,其他调用!$H$4:$L$4,0))*50*0.4)</f>
        <v>9.5925100500000013</v>
      </c>
      <c r="BG233" s="14">
        <f>IF(OR(BG$5="大R",BG$5="超R"),0,INDEX(其他调用!$H$5:$L$404,MATCH($K233,其他调用!$B$5:$B$404,0),MATCH(BG$5,其他调用!$H$4:$L$4,0))*50*0.4)</f>
        <v>9.4583027471839998</v>
      </c>
      <c r="BH233" s="14">
        <f>IF(OR(BH$5="大R",BH$5="超R"),0,INDEX(其他调用!$H$5:$L$404,MATCH($K233,其他调用!$B$5:$B$404,0),MATCH(BH$5,其他调用!$H$4:$L$4,0))*50*0.4)</f>
        <v>0.77208400281600009</v>
      </c>
      <c r="BI233" s="14">
        <f>IF(OR(BI$5="大R",BI$5="超R"),0,INDEX(其他调用!$H$5:$L$404,MATCH($K233,其他调用!$B$5:$B$404,0),MATCH(BI$5,其他调用!$H$4:$L$4,0))*50*0.4)</f>
        <v>0</v>
      </c>
      <c r="BJ233" s="14">
        <f>IF(OR(BJ$5="大R",BJ$5="超R"),0,INDEX(其他调用!$H$5:$L$404,MATCH($K233,其他调用!$B$5:$B$404,0),MATCH(BJ$5,其他调用!$H$4:$L$4,0))*50*0.4)</f>
        <v>0</v>
      </c>
      <c r="BL233" s="14">
        <f t="shared" si="418"/>
        <v>228</v>
      </c>
      <c r="BM233" s="14">
        <f t="shared" si="325"/>
        <v>96</v>
      </c>
      <c r="BN233" s="14">
        <f>('疲劳值&amp;地图信息'!$S$10*'疲劳值&amp;地图信息'!$R$10+'疲劳值&amp;地图信息'!$S$11*'疲劳值&amp;地图信息'!$R$11+'疲劳值&amp;地图信息'!$S$12*'疲劳值&amp;地图信息'!$R$12+(BM233-'疲劳值&amp;地图信息'!$S$12-'疲劳值&amp;地图信息'!$S$11-'疲劳值&amp;地图信息'!$S$10)*'疲劳值&amp;地图信息'!$R$13)/BM233</f>
        <v>51.371477246638619</v>
      </c>
      <c r="BO233" s="14">
        <f>INDEX(其他调用!$M$5:$M$404,MATCH(BL233,其他调用!$B$5:$B$404,0))*0.6</f>
        <v>60</v>
      </c>
      <c r="BP233" s="14">
        <f>IF(BO233&gt;SUM('疲劳值&amp;地图信息'!$S$10:$S$12),('疲劳值&amp;地图信息'!$S$10*'疲劳值&amp;地图信息'!$R$10+'疲劳值&amp;地图信息'!$S$11*'疲劳值&amp;地图信息'!$R$11+'疲劳值&amp;地图信息'!$S$12*'疲劳值&amp;地图信息'!$R$12+(BO233-'疲劳值&amp;地图信息'!$S$12-'疲劳值&amp;地图信息'!$S$11-'疲劳值&amp;地图信息'!$S$10)*'疲劳值&amp;地图信息'!$R$13)/BO233,('疲劳值&amp;地图信息'!$S$10*'疲劳值&amp;地图信息'!$R$10+'疲劳值&amp;地图信息'!$S$11*'疲劳值&amp;地图信息'!$R$11+'疲劳值&amp;地图信息'!$S$12*'疲劳值&amp;地图信息'!$R$12+(BO233-'疲劳值&amp;地图信息'!$S$12-'疲劳值&amp;地图信息'!$S$11-'疲劳值&amp;地图信息'!$S$10)*'疲劳值&amp;地图信息'!$R$13)/BO233)</f>
        <v>44.158136341605953</v>
      </c>
      <c r="BQ233" s="14">
        <f t="shared" si="419"/>
        <v>20</v>
      </c>
      <c r="BR233" s="14">
        <f>('疲劳值&amp;地图信息'!$S$10*'疲劳值&amp;地图信息'!$R$10+($BQ233-'疲劳值&amp;地图信息'!$S$10)*'疲劳值&amp;地图信息'!$R$11)/$BQ233</f>
        <v>32.067203015074995</v>
      </c>
      <c r="CF233" s="14">
        <v>228</v>
      </c>
      <c r="CG233" s="51">
        <f t="shared" si="326"/>
        <v>14159</v>
      </c>
      <c r="CH233" s="51">
        <f t="shared" si="327"/>
        <v>1091</v>
      </c>
      <c r="CI233" s="51">
        <f>INT(SUMPRODUCT($N233:$R233,$BA233:$BE233)/SUM($BA233:$BE233)/10000*$BX$7*$BZ$34/'疲劳值&amp;地图信息'!$R$10*$BY$53)</f>
        <v>3294</v>
      </c>
      <c r="CJ233" s="50">
        <f t="shared" si="328"/>
        <v>0.76353537532355475</v>
      </c>
      <c r="CK233" s="50">
        <f t="shared" si="329"/>
        <v>5.8833045729076792E-2</v>
      </c>
      <c r="CL233" s="50">
        <f t="shared" si="330"/>
        <v>0.17763157894736842</v>
      </c>
      <c r="CM233" s="14">
        <f t="shared" si="331"/>
        <v>15180</v>
      </c>
      <c r="CN233" s="14">
        <f t="shared" si="332"/>
        <v>1777</v>
      </c>
      <c r="CO233" s="14">
        <f>INT(SUMPRODUCT($U233:$Y233,$BA233:$BE233)/SUM($BA233:$BE233)/10000*$BX$7*$BZ$34/'疲劳值&amp;地图信息'!$R$10*$BY$54)</f>
        <v>6170</v>
      </c>
      <c r="CP233" s="50">
        <f t="shared" si="333"/>
        <v>0.65637566480736798</v>
      </c>
      <c r="CQ233" s="50">
        <f t="shared" si="334"/>
        <v>7.6836597915855925E-2</v>
      </c>
      <c r="CR233" s="50">
        <f t="shared" si="335"/>
        <v>0.26678773727677607</v>
      </c>
      <c r="CS233" s="14">
        <f t="shared" si="336"/>
        <v>16582</v>
      </c>
      <c r="CT233" s="14">
        <f t="shared" si="337"/>
        <v>3059</v>
      </c>
      <c r="CU233" s="14">
        <f>INT(SUMPRODUCT($AB233:$AF233,$BA233:$BE233)/SUM($BA233:$BE233)/10000*$BX$7*$BZ$34/'疲劳值&amp;地图信息'!$R$10*$BY$55)</f>
        <v>8380</v>
      </c>
      <c r="CV233" s="50">
        <f t="shared" si="338"/>
        <v>0.59177045787088256</v>
      </c>
      <c r="CW233" s="50">
        <f t="shared" si="339"/>
        <v>0.1091681239070697</v>
      </c>
      <c r="CX233" s="50">
        <f t="shared" si="340"/>
        <v>0.29906141822204774</v>
      </c>
      <c r="CY233" s="14">
        <f t="shared" si="341"/>
        <v>19931</v>
      </c>
      <c r="CZ233" s="14">
        <f t="shared" si="342"/>
        <v>9002</v>
      </c>
      <c r="DA233" s="14">
        <f>INT(SUMPRODUCT($AI233:$AM233,$BA233:$BE233)/SUM($BA233:$BE233)/10000*$BX$7*$BZ$34/'疲劳值&amp;地图信息'!$R$10*$BY$56)</f>
        <v>12643</v>
      </c>
      <c r="DB233" s="50">
        <f t="shared" si="343"/>
        <v>0.47938714643063307</v>
      </c>
      <c r="DC233" s="50">
        <f t="shared" si="344"/>
        <v>0.21651914566095826</v>
      </c>
      <c r="DD233" s="50">
        <f t="shared" si="345"/>
        <v>0.30409370790840867</v>
      </c>
      <c r="DE233" s="14">
        <f t="shared" si="346"/>
        <v>20843</v>
      </c>
      <c r="DF233" s="14">
        <f t="shared" si="347"/>
        <v>15298</v>
      </c>
      <c r="DG233" s="14">
        <f>INT(SUMPRODUCT($AP233:$AT233,$BA233:$BE233)/SUM($BA233:$BE233)/10000*$BX$7*$BZ$34/'疲劳值&amp;地图信息'!$R$10*$BY$57)</f>
        <v>16879</v>
      </c>
      <c r="DH233" s="50">
        <f t="shared" si="348"/>
        <v>0.39311580535646928</v>
      </c>
      <c r="DI233" s="50">
        <f t="shared" si="349"/>
        <v>0.28853262919652961</v>
      </c>
      <c r="DJ233" s="50">
        <f t="shared" si="350"/>
        <v>0.31835156544700111</v>
      </c>
      <c r="DL233" s="14">
        <f t="shared" si="421"/>
        <v>18544</v>
      </c>
      <c r="DM233" s="14">
        <f t="shared" si="422"/>
        <v>23127</v>
      </c>
      <c r="DN233" s="14">
        <f t="shared" si="423"/>
        <v>28021</v>
      </c>
      <c r="DO233" s="14">
        <f t="shared" si="424"/>
        <v>41576</v>
      </c>
      <c r="DP233" s="14">
        <f t="shared" si="425"/>
        <v>53020</v>
      </c>
      <c r="DQ233" s="14">
        <f t="shared" si="426"/>
        <v>1278234</v>
      </c>
      <c r="DT233" s="14">
        <f t="shared" si="420"/>
        <v>235575</v>
      </c>
      <c r="DU233" s="50">
        <f t="shared" si="322"/>
        <v>0.15561738634134162</v>
      </c>
      <c r="DW233" s="14">
        <f t="shared" si="351"/>
        <v>1513809</v>
      </c>
      <c r="EB233" s="14">
        <v>228</v>
      </c>
      <c r="EC233" s="51">
        <f t="shared" si="352"/>
        <v>23598</v>
      </c>
      <c r="ED233" s="51">
        <f t="shared" si="353"/>
        <v>1819</v>
      </c>
      <c r="EE233" s="51">
        <f>INT(SUMPRODUCT($N233:$R233,$BF233:$BJ233)/SUM($BF233:$BJ233)/10000*$BX$7*$BZ$46/'疲劳值&amp;地图信息'!$R$10*$BY$53)</f>
        <v>442</v>
      </c>
      <c r="EF233" s="50">
        <f t="shared" si="354"/>
        <v>0.91256429096252756</v>
      </c>
      <c r="EG233" s="50">
        <f t="shared" si="355"/>
        <v>7.0343014037665796E-2</v>
      </c>
      <c r="EH233" s="50">
        <f t="shared" si="356"/>
        <v>1.7092694999806642E-2</v>
      </c>
      <c r="EI233" s="51">
        <f t="shared" si="357"/>
        <v>25300</v>
      </c>
      <c r="EJ233" s="51">
        <f t="shared" si="358"/>
        <v>2961</v>
      </c>
      <c r="EK233" s="14">
        <f>INT(SUMPRODUCT($U233:$Y233,$BF233:$BJ233)/SUM($BF233:$BJ233)/10000*$BX$7*$BZ$46/'疲劳值&amp;地图信息'!$R$10*$BY$54)</f>
        <v>828</v>
      </c>
      <c r="EL233" s="50">
        <f t="shared" si="359"/>
        <v>0.86974457698786478</v>
      </c>
      <c r="EM233" s="50">
        <f t="shared" si="360"/>
        <v>0.10179105503798687</v>
      </c>
      <c r="EN233" s="50">
        <f t="shared" si="361"/>
        <v>2.8464367974148305E-2</v>
      </c>
      <c r="EO233" s="51">
        <f t="shared" si="362"/>
        <v>27636</v>
      </c>
      <c r="EP233" s="51">
        <f t="shared" si="363"/>
        <v>5099</v>
      </c>
      <c r="EQ233" s="14">
        <f>INT(SUMPRODUCT($AB233:$AF233,$BF233:$BJ233)/SUM($BF233:$BJ233)/10000*$BX$7*$BZ$46/'疲劳值&amp;地图信息'!$R$10*$BY$55)</f>
        <v>1124</v>
      </c>
      <c r="ER233" s="50">
        <f t="shared" si="364"/>
        <v>0.81620839363241682</v>
      </c>
      <c r="ES233" s="50">
        <f t="shared" si="365"/>
        <v>0.1505951150358841</v>
      </c>
      <c r="ET233" s="50">
        <f t="shared" si="366"/>
        <v>3.3196491331699107E-2</v>
      </c>
      <c r="EU233" s="51">
        <f t="shared" si="367"/>
        <v>33218</v>
      </c>
      <c r="EV233" s="51">
        <f t="shared" si="368"/>
        <v>15004</v>
      </c>
      <c r="EW233" s="14">
        <f>INT(SUMPRODUCT($AI233:$AM233,$BF233:$BJ233)/SUM($BF233:$BJ233)/10000*$BX$7*$BZ$46/'疲劳值&amp;地图信息'!$R$10*$BY$56)</f>
        <v>1686</v>
      </c>
      <c r="EX233" s="50">
        <f t="shared" si="369"/>
        <v>0.66558467580347835</v>
      </c>
      <c r="EY233" s="50">
        <f t="shared" si="370"/>
        <v>0.30063316502364351</v>
      </c>
      <c r="EZ233" s="50">
        <f t="shared" si="371"/>
        <v>3.3782159172878093E-2</v>
      </c>
      <c r="FA233" s="51">
        <f t="shared" si="372"/>
        <v>34739</v>
      </c>
      <c r="FB233" s="51">
        <f t="shared" si="373"/>
        <v>25497</v>
      </c>
      <c r="FC233" s="14">
        <f>INT(SUMPRODUCT($AP233:$AT233,$BF233:$BJ233)/SUM($BF233:$BJ233)/10000*$BX$7*$BZ$46/'疲劳值&amp;地图信息'!$R$10*$BY$57)</f>
        <v>2248</v>
      </c>
      <c r="FD233" s="50">
        <f t="shared" si="374"/>
        <v>0.55596632737980922</v>
      </c>
      <c r="FE233" s="50">
        <f t="shared" si="375"/>
        <v>0.40805646245438831</v>
      </c>
      <c r="FF233" s="50">
        <f t="shared" si="376"/>
        <v>3.5977210165802444E-2</v>
      </c>
      <c r="FH233" s="14">
        <f t="shared" si="377"/>
        <v>25859</v>
      </c>
      <c r="FI233" s="14">
        <f t="shared" si="378"/>
        <v>29089</v>
      </c>
      <c r="FJ233" s="14">
        <f t="shared" si="379"/>
        <v>33859</v>
      </c>
      <c r="FK233" s="14">
        <f t="shared" si="380"/>
        <v>49908</v>
      </c>
      <c r="FL233" s="14">
        <f t="shared" si="381"/>
        <v>62484</v>
      </c>
      <c r="FM233" s="14">
        <f t="shared" si="382"/>
        <v>3026353</v>
      </c>
      <c r="FP233" s="14">
        <f t="shared" si="383"/>
        <v>334150</v>
      </c>
      <c r="FQ233" s="50">
        <f t="shared" si="323"/>
        <v>9.9434519177635017E-2</v>
      </c>
      <c r="FS233" s="14">
        <f t="shared" si="384"/>
        <v>3360503</v>
      </c>
      <c r="FX233" s="14">
        <v>228</v>
      </c>
      <c r="FY233" s="51">
        <f t="shared" si="385"/>
        <v>33037</v>
      </c>
      <c r="FZ233" s="51">
        <f t="shared" si="386"/>
        <v>1819</v>
      </c>
      <c r="GA233" s="51">
        <f>INT(SUMPRODUCT($N233:$R233,$BF233:$BJ233)/SUM($BF233:$BJ233)/10000*$BX$7*$BZ$46/'疲劳值&amp;地图信息'!$R$10*$BY$53)</f>
        <v>442</v>
      </c>
      <c r="GB233" s="50">
        <f t="shared" si="387"/>
        <v>0.93594537934160571</v>
      </c>
      <c r="GC233" s="50">
        <f t="shared" si="388"/>
        <v>5.1532664740211911E-2</v>
      </c>
      <c r="GD233" s="50">
        <f t="shared" si="389"/>
        <v>1.2521955918182334E-2</v>
      </c>
      <c r="GE233" s="51">
        <f t="shared" si="390"/>
        <v>35420</v>
      </c>
      <c r="GF233" s="51">
        <f t="shared" si="391"/>
        <v>2961</v>
      </c>
      <c r="GG233" s="14">
        <f>INT(SUMPRODUCT($U233:$Y233,$BF233:$BJ233)/SUM($BF233:$BJ233)/10000*$BX$7*$BZ$46/'疲劳值&amp;地图信息'!$R$10*$BY$54)</f>
        <v>828</v>
      </c>
      <c r="GH233" s="50">
        <f t="shared" si="392"/>
        <v>0.90336402356601797</v>
      </c>
      <c r="GI233" s="50">
        <f t="shared" si="393"/>
        <v>7.551837588308806E-2</v>
      </c>
      <c r="GJ233" s="50">
        <f t="shared" si="394"/>
        <v>2.1117600550893928E-2</v>
      </c>
      <c r="GK233" s="51">
        <f t="shared" si="395"/>
        <v>38691</v>
      </c>
      <c r="GL233" s="51">
        <f t="shared" si="396"/>
        <v>5099</v>
      </c>
      <c r="GM233" s="14">
        <f>INT(SUMPRODUCT($AB233:$AF233,$BF233:$BJ233)/SUM($BF233:$BJ233)/10000*$BX$7*$BZ$46/'疲劳值&amp;地图信息'!$R$10*$BY$55)</f>
        <v>1124</v>
      </c>
      <c r="GN233" s="50">
        <f t="shared" si="397"/>
        <v>0.8614463196330765</v>
      </c>
      <c r="GO233" s="50">
        <f t="shared" si="398"/>
        <v>0.11352807587834528</v>
      </c>
      <c r="GP233" s="50">
        <f t="shared" si="399"/>
        <v>2.5025604488578171E-2</v>
      </c>
      <c r="GQ233" s="51">
        <f t="shared" si="400"/>
        <v>46506</v>
      </c>
      <c r="GR233" s="51">
        <f t="shared" si="401"/>
        <v>15004</v>
      </c>
      <c r="GS233" s="14">
        <f>INT(SUMPRODUCT($AI233:$AM233,$BF233:$BJ233)/SUM($BF233:$BJ233)/10000*$BX$7*$BZ$46/'疲劳值&amp;地图信息'!$R$10*$BY$56)</f>
        <v>1686</v>
      </c>
      <c r="GT233" s="50">
        <f t="shared" si="402"/>
        <v>0.73590100639280964</v>
      </c>
      <c r="GU233" s="50">
        <f t="shared" si="403"/>
        <v>0.23742008987910626</v>
      </c>
      <c r="GV233" s="50">
        <f t="shared" si="404"/>
        <v>2.6678903728084055E-2</v>
      </c>
      <c r="GW233" s="51">
        <f t="shared" si="405"/>
        <v>48634</v>
      </c>
      <c r="GX233" s="51">
        <f t="shared" si="406"/>
        <v>25497</v>
      </c>
      <c r="GY233" s="14">
        <f>INT(SUMPRODUCT($AP233:$AT233,$BF233:$BJ233)/SUM($BF233:$BJ233)/10000*$BX$7*$BZ$46/'疲劳值&amp;地图信息'!$R$10*$BY$57)</f>
        <v>2248</v>
      </c>
      <c r="GZ233" s="50">
        <f t="shared" si="407"/>
        <v>0.63674570235274097</v>
      </c>
      <c r="HA233" s="50">
        <f t="shared" si="408"/>
        <v>0.33382212388221894</v>
      </c>
      <c r="HB233" s="50">
        <f t="shared" si="409"/>
        <v>2.9432173765040127E-2</v>
      </c>
      <c r="HD233" s="14">
        <f t="shared" si="410"/>
        <v>35298</v>
      </c>
      <c r="HE233" s="14">
        <f t="shared" si="411"/>
        <v>39209</v>
      </c>
      <c r="HF233" s="14">
        <f t="shared" si="412"/>
        <v>44914</v>
      </c>
      <c r="HG233" s="14">
        <f t="shared" si="413"/>
        <v>63196</v>
      </c>
      <c r="HH233" s="14">
        <f t="shared" si="414"/>
        <v>76379</v>
      </c>
      <c r="HI233" s="14">
        <f t="shared" si="415"/>
        <v>4074184</v>
      </c>
      <c r="HL233" s="14">
        <f t="shared" si="416"/>
        <v>430050</v>
      </c>
      <c r="HM233" s="50">
        <f t="shared" si="324"/>
        <v>9.5476833574809836E-2</v>
      </c>
      <c r="HO233" s="14">
        <f t="shared" si="417"/>
        <v>4504234</v>
      </c>
    </row>
    <row r="234" spans="11:223" x14ac:dyDescent="0.2">
      <c r="K234" s="14">
        <v>229</v>
      </c>
      <c r="L234" s="12">
        <f>求节点(节奏总纲!D$4:D$163,标准城池设计!AB$4:AB$163,$K234)*求节点(节奏总纲!D$4:D$163,攻城基础信息!$AC$5:$AC$164,$K234)</f>
        <v>696143.84454684868</v>
      </c>
      <c r="M234" s="12">
        <f>INDEX(其他调用!$AA$5:$AA$404,MATCH(K234,其他调用!$X$5:$X$404,0))*MIN(INDEX(其他调用!$AH$5:$AH$364,MATCH('征服点（新）'!K234,其他调用!$AG$5:$AG$364,0),1)/INDEX(其他调用!$AJ$5:$AJ$364,MATCH(K234,其他调用!$AG$5:$AG$364,0),0),5)*求节点(节奏总纲!D$4:D$163,攻城基础信息!$AC$5:$AC$164,$K234)</f>
        <v>53596.741905094532</v>
      </c>
      <c r="N234" s="12">
        <f>MIN(INDEX(其他调用!$AH$5:$AH$364,MATCH($K234,其他调用!$AG$5:$AG$364,0),1)/INDEX(其他调用!AH$5:AH$364,MATCH($K234,其他调用!$AG$5:$AG$364,0),0),1)*INDEX(其他调用!Y$5:Y$404,MATCH($K234,其他调用!$X$5:$X$404,0),0)</f>
        <v>40913.178342586725</v>
      </c>
      <c r="O234" s="12">
        <f>MIN(INDEX(其他调用!$AH$5:$AH$364,MATCH($K234,其他调用!$AG$5:$AG$364,0),1)/INDEX(其他调用!AI$5:AI$364,MATCH($K234,其他调用!$AG$5:$AG$364,0),0),1)*INDEX(其他调用!Z$5:Z$404,MATCH($K234,其他调用!$X$5:$X$404,0),0)</f>
        <v>25797.006611461969</v>
      </c>
      <c r="P234" s="12">
        <f>MIN(INDEX(其他调用!$AH$5:$AH$364,MATCH($K234,其他调用!$AG$5:$AG$364,0),1)/INDEX(其他调用!AJ$5:AJ$364,MATCH($K234,其他调用!$AG$5:$AG$364,0),0),1)*INDEX(其他调用!AA$5:AA$404,MATCH($K234,其他调用!$X$5:$X$404,0),0)</f>
        <v>15543.349556051042</v>
      </c>
      <c r="Q234" s="12">
        <f>MIN(INDEX(其他调用!$AH$5:$AH$364,MATCH($K234,其他调用!$AG$5:$AG$364,0),1)/INDEX(其他调用!AK$5:AK$364,MATCH($K234,其他调用!$AG$5:$AG$364,0),0),1)*INDEX(其他调用!AB$5:AB$404,MATCH($K234,其他调用!$X$5:$X$404,0),0)</f>
        <v>5548.2671222592571</v>
      </c>
      <c r="R234" s="12">
        <f>MIN(INDEX(其他调用!$AH$5:$AH$364,MATCH($K234,其他调用!$AG$5:$AG$364,0),1)/INDEX(其他调用!AL$5:AL$364,MATCH($K234,其他调用!$AG$5:$AG$364,0),0),1)*INDEX(其他调用!AC$5:AC$404,MATCH($K234,其他调用!$X$5:$X$404,0),0)</f>
        <v>2787.4496705435263</v>
      </c>
      <c r="S234" s="12">
        <f>求节点(节奏总纲!D$4:D$163,标准城池设计!AC$4:AC$163,$K234)*求节点(节奏总纲!D$4:D$163,攻城基础信息!$AD$5:$AD$164,$K234)</f>
        <v>746717.21304340055</v>
      </c>
      <c r="T234" s="12">
        <f>INDEX(其他调用!$AA$5:$AA$404,MATCH($K234,其他调用!$X$5:$X$404,0))*MIN(INDEX(其他调用!AI$5:AI$364,MATCH($K234,其他调用!$AG$5:$AG$364,0),1)/INDEX(其他调用!$AJ$5:$AJ$364,MATCH($K234,其他调用!$AG$5:$AG$364,0),0),5)*求节点(节奏总纲!D$4:D$163,攻城基础信息!$AD$5:$AD$164,$K234)</f>
        <v>87399.857997767816</v>
      </c>
      <c r="U234" s="12">
        <f>MIN(INDEX(其他调用!$AI$5:$AI$364,MATCH($K234,其他调用!$AG$5:$AG$364,0),1)/INDEX(其他调用!AH$5:AH$364,MATCH($K234,其他调用!$AG$5:$AG$364,0),0),1)*INDEX(其他调用!Y$5:Y$404,MATCH($K234,其他调用!$X$5:$X$404,0),0)</f>
        <v>40913.178342586725</v>
      </c>
      <c r="V234" s="12">
        <f>MIN(INDEX(其他调用!$AI$5:$AI$364,MATCH($K234,其他调用!$AG$5:$AG$364,0),1)/INDEX(其他调用!AI$5:AI$364,MATCH($K234,其他调用!$AG$5:$AG$364,0),0),1)*INDEX(其他调用!Z$5:Z$404,MATCH($K234,其他调用!$X$5:$X$404,0),0)</f>
        <v>42067.010688851995</v>
      </c>
      <c r="W234" s="12">
        <f>MIN(INDEX(其他调用!$AI$5:$AI$364,MATCH($K234,其他调用!$AG$5:$AG$364,0),1)/INDEX(其他调用!AJ$5:AJ$364,MATCH($K234,其他调用!$AG$5:$AG$364,0),0),1)*INDEX(其他调用!AA$5:AA$404,MATCH($K234,其他调用!$X$5:$X$404,0),0)</f>
        <v>25346.438901342997</v>
      </c>
      <c r="X234" s="12">
        <f>MIN(INDEX(其他调用!$AI$5:$AI$364,MATCH($K234,其他调用!$AG$5:$AG$364,0),1)/INDEX(其他调用!AK$5:AK$364,MATCH($K234,其他调用!$AG$5:$AG$364,0),0),1)*INDEX(其他调用!AB$5:AB$404,MATCH($K234,其他调用!$X$5:$X$404,0),0)</f>
        <v>9047.5230654468178</v>
      </c>
      <c r="Y234" s="12">
        <f>MIN(INDEX(其他调用!$AI$5:$AI$364,MATCH($K234,其他调用!$AG$5:$AG$364,0),1)/INDEX(其他调用!AL$5:AL$364,MATCH($K234,其他调用!$AG$5:$AG$364,0),0),1)*INDEX(其他调用!AC$5:AC$404,MATCH($K234,其他调用!$X$5:$X$404,0),0)</f>
        <v>4545.4760256289337</v>
      </c>
      <c r="Z234" s="12">
        <f>求节点(节奏总纲!D$4:D$163,标准城池设计!AD$4:AD$163,$K234)*求节点(节奏总纲!D$4:D$163,攻城基础信息!$AE$5:$AE$164,$K234)</f>
        <v>815821.81882775272</v>
      </c>
      <c r="AA234" s="12">
        <f>INDEX(其他调用!$AA$5:$AA$404,MATCH($K234,其他调用!$X$5:$X$404,0))*MIN(INDEX(其他调用!AJ$5:AJ$364,MATCH($K234,其他调用!$AG$5:$AG$364,0),1)/INDEX(其他调用!$AJ$5:$AJ$364,MATCH($K234,其他调用!$AG$5:$AG$364,0),0),5)*求节点(节奏总纲!D$4:D$163,攻城基础信息!$AE$5:$AE$164,$K234)</f>
        <v>150302.85886720358</v>
      </c>
      <c r="AB234" s="12">
        <f>MIN(INDEX(其他调用!$AJ$5:$AJ$364,MATCH($K234,其他调用!$AG$5:$AG$364,0),1)/INDEX(其他调用!AH$5:AH$364,MATCH($K234,其他调用!$AG$5:$AG$364,0),0),1)*INDEX(其他调用!Y$5:Y$404,MATCH($K234,其他调用!$X$5:$X$404,0),0)</f>
        <v>40913.178342586725</v>
      </c>
      <c r="AC234" s="12">
        <f>MIN(INDEX(其他调用!$AJ$5:$AJ$364,MATCH($K234,其他调用!$AG$5:$AG$364,0),1)/INDEX(其他调用!AI$5:AI$364,MATCH($K234,其他调用!$AG$5:$AG$364,0),0),1)*INDEX(其他调用!Z$5:Z$404,MATCH($K234,其他调用!$X$5:$X$404,0),0)</f>
        <v>42067.010688851995</v>
      </c>
      <c r="AD234" s="12">
        <f>MIN(INDEX(其他调用!$AJ$5:$AJ$364,MATCH($K234,其他调用!$AG$5:$AG$364,0),1)/INDEX(其他调用!AJ$5:AJ$364,MATCH($K234,其他调用!$AG$5:$AG$364,0),0),1)*INDEX(其他调用!AA$5:AA$404,MATCH($K234,其他调用!$X$5:$X$404,0),0)</f>
        <v>43588.654675755344</v>
      </c>
      <c r="AE234" s="12">
        <f>MIN(INDEX(其他调用!$AJ$5:$AJ$364,MATCH($K234,其他调用!$AG$5:$AG$364,0),1)/INDEX(其他调用!AK$5:AK$364,MATCH($K234,其他调用!$AG$5:$AG$364,0),0),1)*INDEX(其他调用!AB$5:AB$404,MATCH($K234,其他调用!$X$5:$X$404,0),0)</f>
        <v>15559.162378025296</v>
      </c>
      <c r="AF234" s="12">
        <f>MIN(INDEX(其他调用!$AJ$5:$AJ$364,MATCH($K234,其他调用!$AG$5:$AG$364,0),1)/INDEX(其他调用!AL$5:AL$364,MATCH($K234,其他调用!$AG$5:$AG$364,0),0),1)*INDEX(其他调用!AC$5:AC$404,MATCH($K234,其他调用!$X$5:$X$404,0),0)</f>
        <v>7816.9239311786059</v>
      </c>
      <c r="AG234" s="12">
        <f>求节点(节奏总纲!D$4:D$163,标准城池设计!AE$4:AE$163,$K234)*求节点(节奏总纲!D$4:D$163,攻城基础信息!$AF$5:$AF$164,$K234)</f>
        <v>980724.78526424232</v>
      </c>
      <c r="AH234" s="12">
        <f>INDEX(其他调用!$AA$5:$AA$404,MATCH($K234,其他调用!$X$5:$X$404,0))*MIN(INDEX(其他调用!AK$5:AK$364,MATCH($K234,其他调用!$AG$5:$AG$364,0),1)/INDEX(其他调用!$AJ$5:$AJ$364,MATCH($K234,其他调用!$AG$5:$AG$364,0),0),5)*求节点(节奏总纲!D$4:D$163,攻城基础信息!$AF$5:$AF$164,$K234)</f>
        <v>442484.93817378994</v>
      </c>
      <c r="AI234" s="12">
        <f>MIN(INDEX(其他调用!$AK$5:$AK$364,MATCH($K234,其他调用!$AG$5:$AG$364,0),1)/INDEX(其他调用!AH$5:AH$364,MATCH($K234,其他调用!$AG$5:$AG$364,0),0),1)*INDEX(其他调用!Y$5:Y$404,MATCH($K234,其他调用!$X$5:$X$404,0),0)</f>
        <v>40913.178342586725</v>
      </c>
      <c r="AJ234" s="12">
        <f>MIN(INDEX(其他调用!$AK$5:$AK$364,MATCH($K234,其他调用!$AG$5:$AG$364,0),1)/INDEX(其他调用!AI$5:AI$364,MATCH($K234,其他调用!$AG$5:$AG$364,0),0),1)*INDEX(其他调用!Z$5:Z$404,MATCH($K234,其他调用!$X$5:$X$404,0),0)</f>
        <v>42067.010688851995</v>
      </c>
      <c r="AK234" s="12">
        <f>MIN(INDEX(其他调用!$AK$5:$AK$364,MATCH($K234,其他调用!$AG$5:$AG$364,0),1)/INDEX(其他调用!AJ$5:AJ$364,MATCH($K234,其他调用!$AG$5:$AG$364,0),0),1)*INDEX(其他调用!AA$5:AA$404,MATCH($K234,其他调用!$X$5:$X$404,0),0)</f>
        <v>43588.654675755344</v>
      </c>
      <c r="AL234" s="12">
        <f>MIN(INDEX(其他调用!$AK$5:$AK$364,MATCH($K234,其他调用!$AG$5:$AG$364,0),1)/INDEX(其他调用!AK$5:AK$364,MATCH($K234,其他调用!$AG$5:$AG$364,0),0),1)*INDEX(其他调用!AB$5:AB$404,MATCH($K234,其他调用!$X$5:$X$404,0),0)</f>
        <v>45805.482708477859</v>
      </c>
      <c r="AM234" s="12">
        <f>MIN(INDEX(其他调用!$AK$5:$AK$364,MATCH($K234,其他调用!$AG$5:$AG$364,0),1)/INDEX(其他调用!AL$5:AL$364,MATCH($K234,其他调用!$AG$5:$AG$364,0),0),1)*INDEX(其他调用!AC$5:AC$404,MATCH($K234,其他调用!$X$5:$X$404,0),0)</f>
        <v>23012.676727944247</v>
      </c>
      <c r="AN234" s="12">
        <f>求节点(节奏总纲!D$4:D$163,标准城池设计!AF$4:AF$163,$K234)*求节点(节奏总纲!D$4:D$163,攻城基础信息!$AG$5:$AG$164,$K234)</f>
        <v>1025752.7544745057</v>
      </c>
      <c r="AO234" s="12">
        <f>INDEX(其他调用!$AA$5:$AA$404,MATCH($K234,其他调用!$X$5:$X$404,0))*MIN(INDEX(其他调用!AL$5:AL$364,MATCH($K234,其他调用!$AG$5:$AG$364,0),1)/INDEX(其他调用!$AJ$5:$AJ$364,MATCH($K234,其他调用!$AG$5:$AG$364,0),0),5)*求节点(节奏总纲!D$4:D$163,攻城基础信息!$AG$5:$AG$164,$K234)</f>
        <v>751514.29433601804</v>
      </c>
      <c r="AP234" s="12">
        <f>MIN(INDEX(其他调用!$AL$5:$AL$364,MATCH($K234,其他调用!$AG$5:$AG$364,0),1)/INDEX(其他调用!AH$5:AH$364,MATCH($K234,其他调用!$AG$5:$AG$364,0),0),1)*INDEX(其他调用!Y$5:Y$404,MATCH($K234,其他调用!$X$5:$X$404,0),0)</f>
        <v>40913.178342586725</v>
      </c>
      <c r="AQ234" s="12">
        <f>MIN(INDEX(其他调用!$AL$5:$AL$364,MATCH($K234,其他调用!$AG$5:$AG$364,0),1)/INDEX(其他调用!AI$5:AI$364,MATCH($K234,其他调用!$AG$5:$AG$364,0),0),1)*INDEX(其他调用!Z$5:Z$404,MATCH($K234,其他调用!$X$5:$X$404,0),0)</f>
        <v>42067.010688851995</v>
      </c>
      <c r="AR234" s="12">
        <f>MIN(INDEX(其他调用!$AL$5:$AL$364,MATCH($K234,其他调用!$AG$5:$AG$364,0),1)/INDEX(其他调用!AJ$5:AJ$364,MATCH($K234,其他调用!$AG$5:$AG$364,0),0),1)*INDEX(其他调用!AA$5:AA$404,MATCH($K234,其他调用!$X$5:$X$404,0),0)</f>
        <v>43588.654675755344</v>
      </c>
      <c r="AS234" s="12">
        <f>MIN(INDEX(其他调用!$AL$5:$AL$364,MATCH($K234,其他调用!$AG$5:$AG$364,0),1)/INDEX(其他调用!AK$5:AK$364,MATCH($K234,其他调用!$AG$5:$AG$364,0),0),1)*INDEX(其他调用!AB$5:AB$404,MATCH($K234,其他调用!$X$5:$X$404,0),0)</f>
        <v>45805.482708477859</v>
      </c>
      <c r="AT234" s="12">
        <f>MIN(INDEX(其他调用!$AL$5:$AL$364,MATCH($K234,其他调用!$AG$5:$AG$364,0),1)/INDEX(其他调用!AL$5:AL$364,MATCH($K234,其他调用!$AG$5:$AG$364,0),0),1)*INDEX(其他调用!AC$5:AC$404,MATCH($K234,其他调用!$X$5:$X$404,0),0)</f>
        <v>49721.934181068049</v>
      </c>
      <c r="AV234" s="14">
        <f>IF(OR(AV$5="大R",AV$5="超R"),MAX(INDEX(其他调用!$H$5:$L$404,MATCH($K234,其他调用!$B$5:$B$404,0),MATCH(AV$5,其他调用!$H$4:$L$4,0))*120*0.85,2),INDEX(其他调用!$H$5:$L$404,MATCH($K234,其他调用!$B$5:$B$404,0),MATCH(AV$5,其他调用!$H$4:$L$4,0))*120*0.85)</f>
        <v>48.921801254999991</v>
      </c>
      <c r="AW234" s="14">
        <f>IF(OR(AW$5="大R",AW$5="超R"),MAX(INDEX(其他调用!$H$5:$L$404,MATCH($K234,其他调用!$B$5:$B$404,0),MATCH(AW$5,其他调用!$H$4:$L$4,0))*120*0.85,2),INDEX(其他调用!$H$5:$L$404,MATCH($K234,其他调用!$B$5:$B$404,0),MATCH(AW$5,其他调用!$H$4:$L$4,0))*120*0.85)</f>
        <v>48.237344010638395</v>
      </c>
      <c r="AX234" s="14">
        <f>IF(OR(AX$5="大R",AX$5="超R"),MAX(INDEX(其他调用!$H$5:$L$404,MATCH($K234,其他调用!$B$5:$B$404,0),MATCH(AX$5,其他调用!$H$4:$L$4,0))*120*0.85,2),INDEX(其他调用!$H$5:$L$404,MATCH($K234,其他调用!$B$5:$B$404,0),MATCH(AX$5,其他调用!$H$4:$L$4,0))*120*0.85)</f>
        <v>3.9376284143615998</v>
      </c>
      <c r="AY234" s="14">
        <f>IF(OR(AY$5="大R",AY$5="超R"),MAX(INDEX(其他调用!$H$5:$L$404,MATCH($K234,其他调用!$B$5:$B$404,0),MATCH(AY$5,其他调用!$H$4:$L$4,0))*120*0.85,2),INDEX(其他调用!$H$5:$L$404,MATCH($K234,其他调用!$B$5:$B$404,0),MATCH(AY$5,其他调用!$H$4:$L$4,0))*120*0.85)</f>
        <v>2</v>
      </c>
      <c r="AZ234" s="14">
        <f>IF(OR(AZ$5="大R",AZ$5="超R"),MAX(INDEX(其他调用!$H$5:$L$404,MATCH($K234,其他调用!$B$5:$B$404,0),MATCH(AZ$5,其他调用!$H$4:$L$4,0))*120*0.85,2),INDEX(其他调用!$H$5:$L$404,MATCH($K234,其他调用!$B$5:$B$404,0),MATCH(AZ$5,其他调用!$H$4:$L$4,0))*120*0.85)</f>
        <v>2</v>
      </c>
      <c r="BA234" s="14">
        <f>INDEX(其他调用!$H$5:$L$404,MATCH($K234,其他调用!$B$5:$B$404,0),MATCH(BA$5,其他调用!$H$4:$L$4,0))*INDEX(其他调用!$M$5:$M$404,MATCH($K234,其他调用!$B$5:$B$404,0))*0.6</f>
        <v>28.777530149999997</v>
      </c>
      <c r="BB234" s="14">
        <f>INDEX(其他调用!$H$5:$L$404,MATCH($K234,其他调用!$B$5:$B$404,0),MATCH(BB$5,其他调用!$H$4:$L$4,0))*INDEX(其他调用!$M$5:$M$404,MATCH($K234,其他调用!$B$5:$B$404,0))*0.6</f>
        <v>28.374908241551999</v>
      </c>
      <c r="BC234" s="14">
        <f>INDEX(其他调用!$H$5:$L$404,MATCH($K234,其他调用!$B$5:$B$404,0),MATCH(BC$5,其他调用!$H$4:$L$4,0))*INDEX(其他调用!$M$5:$M$404,MATCH($K234,其他调用!$B$5:$B$404,0))*0.6</f>
        <v>2.3162520084480001</v>
      </c>
      <c r="BD234" s="14">
        <f>INDEX(其他调用!$H$5:$L$404,MATCH($K234,其他调用!$B$5:$B$404,0),MATCH(BD$5,其他调用!$H$4:$L$4,0))*INDEX(其他调用!$M$5:$M$404,MATCH($K234,其他调用!$B$5:$B$404,0))*0.6</f>
        <v>0.4120776000000001</v>
      </c>
      <c r="BE234" s="14">
        <f>INDEX(其他调用!$H$5:$L$404,MATCH($K234,其他调用!$B$5:$B$404,0),MATCH(BE$5,其他调用!$H$4:$L$4,0))*INDEX(其他调用!$M$5:$M$404,MATCH($K234,其他调用!$B$5:$B$404,0))*0.6</f>
        <v>0.11923199999999998</v>
      </c>
      <c r="BF234" s="14">
        <f>IF(OR(BF$5="大R",BF$5="超R"),0,INDEX(其他调用!$H$5:$L$404,MATCH($K234,其他调用!$B$5:$B$404,0),MATCH(BF$5,其他调用!$H$4:$L$4,0))*50*0.4)</f>
        <v>9.5925100500000013</v>
      </c>
      <c r="BG234" s="14">
        <f>IF(OR(BG$5="大R",BG$5="超R"),0,INDEX(其他调用!$H$5:$L$404,MATCH($K234,其他调用!$B$5:$B$404,0),MATCH(BG$5,其他调用!$H$4:$L$4,0))*50*0.4)</f>
        <v>9.4583027471839998</v>
      </c>
      <c r="BH234" s="14">
        <f>IF(OR(BH$5="大R",BH$5="超R"),0,INDEX(其他调用!$H$5:$L$404,MATCH($K234,其他调用!$B$5:$B$404,0),MATCH(BH$5,其他调用!$H$4:$L$4,0))*50*0.4)</f>
        <v>0.77208400281600009</v>
      </c>
      <c r="BI234" s="14">
        <f>IF(OR(BI$5="大R",BI$5="超R"),0,INDEX(其他调用!$H$5:$L$404,MATCH($K234,其他调用!$B$5:$B$404,0),MATCH(BI$5,其他调用!$H$4:$L$4,0))*50*0.4)</f>
        <v>0</v>
      </c>
      <c r="BJ234" s="14">
        <f>IF(OR(BJ$5="大R",BJ$5="超R"),0,INDEX(其他调用!$H$5:$L$404,MATCH($K234,其他调用!$B$5:$B$404,0),MATCH(BJ$5,其他调用!$H$4:$L$4,0))*50*0.4)</f>
        <v>0</v>
      </c>
      <c r="BL234" s="14">
        <f t="shared" si="418"/>
        <v>229</v>
      </c>
      <c r="BM234" s="14">
        <f t="shared" si="325"/>
        <v>96</v>
      </c>
      <c r="BN234" s="14">
        <f>('疲劳值&amp;地图信息'!$S$10*'疲劳值&amp;地图信息'!$R$10+'疲劳值&amp;地图信息'!$S$11*'疲劳值&amp;地图信息'!$R$11+'疲劳值&amp;地图信息'!$S$12*'疲劳值&amp;地图信息'!$R$12+(BM234-'疲劳值&amp;地图信息'!$S$12-'疲劳值&amp;地图信息'!$S$11-'疲劳值&amp;地图信息'!$S$10)*'疲劳值&amp;地图信息'!$R$13)/BM234</f>
        <v>51.371477246638619</v>
      </c>
      <c r="BO234" s="14">
        <f>INDEX(其他调用!$M$5:$M$404,MATCH(BL234,其他调用!$B$5:$B$404,0))*0.6</f>
        <v>60</v>
      </c>
      <c r="BP234" s="14">
        <f>IF(BO234&gt;SUM('疲劳值&amp;地图信息'!$S$10:$S$12),('疲劳值&amp;地图信息'!$S$10*'疲劳值&amp;地图信息'!$R$10+'疲劳值&amp;地图信息'!$S$11*'疲劳值&amp;地图信息'!$R$11+'疲劳值&amp;地图信息'!$S$12*'疲劳值&amp;地图信息'!$R$12+(BO234-'疲劳值&amp;地图信息'!$S$12-'疲劳值&amp;地图信息'!$S$11-'疲劳值&amp;地图信息'!$S$10)*'疲劳值&amp;地图信息'!$R$13)/BO234,('疲劳值&amp;地图信息'!$S$10*'疲劳值&amp;地图信息'!$R$10+'疲劳值&amp;地图信息'!$S$11*'疲劳值&amp;地图信息'!$R$11+'疲劳值&amp;地图信息'!$S$12*'疲劳值&amp;地图信息'!$R$12+(BO234-'疲劳值&amp;地图信息'!$S$12-'疲劳值&amp;地图信息'!$S$11-'疲劳值&amp;地图信息'!$S$10)*'疲劳值&amp;地图信息'!$R$13)/BO234)</f>
        <v>44.158136341605953</v>
      </c>
      <c r="BQ234" s="14">
        <f t="shared" si="419"/>
        <v>20</v>
      </c>
      <c r="BR234" s="14">
        <f>('疲劳值&amp;地图信息'!$S$10*'疲劳值&amp;地图信息'!$R$10+($BQ234-'疲劳值&amp;地图信息'!$S$10)*'疲劳值&amp;地图信息'!$R$11)/$BQ234</f>
        <v>32.067203015074995</v>
      </c>
      <c r="CF234" s="14">
        <v>229</v>
      </c>
      <c r="CG234" s="51">
        <f t="shared" si="326"/>
        <v>14188</v>
      </c>
      <c r="CH234" s="51">
        <f t="shared" si="327"/>
        <v>1092</v>
      </c>
      <c r="CI234" s="51">
        <f>INT(SUMPRODUCT($N234:$R234,$BA234:$BE234)/SUM($BA234:$BE234)/10000*$BX$7*$BZ$34/'疲劳值&amp;地图信息'!$R$10*$BY$53)</f>
        <v>3294</v>
      </c>
      <c r="CJ234" s="50">
        <f t="shared" si="328"/>
        <v>0.76386346505868419</v>
      </c>
      <c r="CK234" s="50">
        <f t="shared" si="329"/>
        <v>5.8791859588672335E-2</v>
      </c>
      <c r="CL234" s="50">
        <f t="shared" si="330"/>
        <v>0.17734467535264348</v>
      </c>
      <c r="CM234" s="14">
        <f t="shared" si="331"/>
        <v>15219</v>
      </c>
      <c r="CN234" s="14">
        <f t="shared" si="332"/>
        <v>1781</v>
      </c>
      <c r="CO234" s="14">
        <f>INT(SUMPRODUCT($U234:$Y234,$BA234:$BE234)/SUM($BA234:$BE234)/10000*$BX$7*$BZ$34/'疲劳值&amp;地图信息'!$R$10*$BY$54)</f>
        <v>6174</v>
      </c>
      <c r="CP234" s="50">
        <f t="shared" si="333"/>
        <v>0.6567273668766721</v>
      </c>
      <c r="CQ234" s="50">
        <f t="shared" si="334"/>
        <v>7.6853370156209549E-2</v>
      </c>
      <c r="CR234" s="50">
        <f t="shared" si="335"/>
        <v>0.26641926296711832</v>
      </c>
      <c r="CS234" s="14">
        <f t="shared" si="336"/>
        <v>16627</v>
      </c>
      <c r="CT234" s="14">
        <f t="shared" si="337"/>
        <v>3063</v>
      </c>
      <c r="CU234" s="14">
        <f>INT(SUMPRODUCT($AB234:$AF234,$BA234:$BE234)/SUM($BA234:$BE234)/10000*$BX$7*$BZ$34/'疲劳值&amp;地图信息'!$R$10*$BY$55)</f>
        <v>8385</v>
      </c>
      <c r="CV234" s="50">
        <f t="shared" si="338"/>
        <v>0.59223508459483531</v>
      </c>
      <c r="CW234" s="50">
        <f t="shared" si="339"/>
        <v>0.10910062333036509</v>
      </c>
      <c r="CX234" s="50">
        <f t="shared" si="340"/>
        <v>0.29866429207479966</v>
      </c>
      <c r="CY234" s="14">
        <f t="shared" si="341"/>
        <v>19988</v>
      </c>
      <c r="CZ234" s="14">
        <f t="shared" si="342"/>
        <v>9018</v>
      </c>
      <c r="DA234" s="14">
        <f>INT(SUMPRODUCT($AI234:$AM234,$BA234:$BE234)/SUM($BA234:$BE234)/10000*$BX$7*$BZ$34/'疲劳值&amp;地图信息'!$R$10*$BY$56)</f>
        <v>12650</v>
      </c>
      <c r="DB234" s="50">
        <f t="shared" si="343"/>
        <v>0.47983483771845592</v>
      </c>
      <c r="DC234" s="50">
        <f t="shared" si="344"/>
        <v>0.21648742077971961</v>
      </c>
      <c r="DD234" s="50">
        <f t="shared" si="345"/>
        <v>0.30367774150182447</v>
      </c>
      <c r="DE234" s="14">
        <f t="shared" si="346"/>
        <v>20906</v>
      </c>
      <c r="DF234" s="14">
        <f t="shared" si="347"/>
        <v>15316</v>
      </c>
      <c r="DG234" s="14">
        <f>INT(SUMPRODUCT($AP234:$AT234,$BA234:$BE234)/SUM($BA234:$BE234)/10000*$BX$7*$BZ$34/'疲劳值&amp;地图信息'!$R$10*$BY$57)</f>
        <v>16889</v>
      </c>
      <c r="DH234" s="50">
        <f t="shared" si="348"/>
        <v>0.39362843855321872</v>
      </c>
      <c r="DI234" s="50">
        <f t="shared" si="349"/>
        <v>0.28837717233718063</v>
      </c>
      <c r="DJ234" s="50">
        <f t="shared" si="350"/>
        <v>0.31799438910960065</v>
      </c>
      <c r="DL234" s="14">
        <f t="shared" si="421"/>
        <v>18574</v>
      </c>
      <c r="DM234" s="14">
        <f t="shared" si="422"/>
        <v>23174</v>
      </c>
      <c r="DN234" s="14">
        <f t="shared" si="423"/>
        <v>28075</v>
      </c>
      <c r="DO234" s="14">
        <f t="shared" si="424"/>
        <v>41656</v>
      </c>
      <c r="DP234" s="14">
        <f t="shared" si="425"/>
        <v>53111</v>
      </c>
      <c r="DQ234" s="14">
        <f t="shared" si="426"/>
        <v>1280600</v>
      </c>
      <c r="DT234" s="14">
        <f t="shared" si="420"/>
        <v>235575</v>
      </c>
      <c r="DU234" s="50">
        <f t="shared" si="322"/>
        <v>0.1553745444951935</v>
      </c>
      <c r="DW234" s="14">
        <f t="shared" si="351"/>
        <v>1516175</v>
      </c>
      <c r="EB234" s="14">
        <v>229</v>
      </c>
      <c r="EC234" s="51">
        <f t="shared" si="352"/>
        <v>23647</v>
      </c>
      <c r="ED234" s="51">
        <f t="shared" si="353"/>
        <v>1820</v>
      </c>
      <c r="EE234" s="51">
        <f>INT(SUMPRODUCT($N234:$R234,$BF234:$BJ234)/SUM($BF234:$BJ234)/10000*$BX$7*$BZ$46/'疲劳值&amp;地图信息'!$R$10*$BY$53)</f>
        <v>442</v>
      </c>
      <c r="EF234" s="50">
        <f t="shared" si="354"/>
        <v>0.91269443050677368</v>
      </c>
      <c r="EG234" s="50">
        <f t="shared" si="355"/>
        <v>7.0245860511791269E-2</v>
      </c>
      <c r="EH234" s="50">
        <f t="shared" si="356"/>
        <v>1.7059708981435023E-2</v>
      </c>
      <c r="EI234" s="51">
        <f t="shared" si="357"/>
        <v>25365</v>
      </c>
      <c r="EJ234" s="51">
        <f t="shared" si="358"/>
        <v>2968</v>
      </c>
      <c r="EK234" s="14">
        <f>INT(SUMPRODUCT($U234:$Y234,$BF234:$BJ234)/SUM($BF234:$BJ234)/10000*$BX$7*$BZ$46/'疲劳值&amp;地图信息'!$R$10*$BY$54)</f>
        <v>829</v>
      </c>
      <c r="EL234" s="50">
        <f t="shared" si="359"/>
        <v>0.8697963102667855</v>
      </c>
      <c r="EM234" s="50">
        <f t="shared" si="360"/>
        <v>0.10177628420547287</v>
      </c>
      <c r="EN234" s="50">
        <f t="shared" si="361"/>
        <v>2.8427405527741582E-2</v>
      </c>
      <c r="EO234" s="51">
        <f t="shared" si="362"/>
        <v>27712</v>
      </c>
      <c r="EP234" s="51">
        <f t="shared" si="363"/>
        <v>5105</v>
      </c>
      <c r="EQ234" s="14">
        <f>INT(SUMPRODUCT($AB234:$AF234,$BF234:$BJ234)/SUM($BF234:$BJ234)/10000*$BX$7*$BZ$46/'疲劳值&amp;地图信息'!$R$10*$BY$55)</f>
        <v>1124</v>
      </c>
      <c r="ER234" s="50">
        <f t="shared" si="364"/>
        <v>0.81647564892018498</v>
      </c>
      <c r="ES234" s="50">
        <f t="shared" si="365"/>
        <v>0.15040806104711116</v>
      </c>
      <c r="ET234" s="50">
        <f t="shared" si="366"/>
        <v>3.3116290032703811E-2</v>
      </c>
      <c r="EU234" s="51">
        <f t="shared" si="367"/>
        <v>33314</v>
      </c>
      <c r="EV234" s="51">
        <f t="shared" si="368"/>
        <v>15030</v>
      </c>
      <c r="EW234" s="14">
        <f>INT(SUMPRODUCT($AI234:$AM234,$BF234:$BJ234)/SUM($BF234:$BJ234)/10000*$BX$7*$BZ$46/'疲劳值&amp;地图信息'!$R$10*$BY$56)</f>
        <v>1687</v>
      </c>
      <c r="EX234" s="50">
        <f t="shared" si="369"/>
        <v>0.66586716235933718</v>
      </c>
      <c r="EY234" s="50">
        <f t="shared" si="370"/>
        <v>0.30041374347904298</v>
      </c>
      <c r="EZ234" s="50">
        <f t="shared" si="371"/>
        <v>3.3719094161619799E-2</v>
      </c>
      <c r="FA234" s="51">
        <f t="shared" si="372"/>
        <v>34843</v>
      </c>
      <c r="FB234" s="51">
        <f t="shared" si="373"/>
        <v>25528</v>
      </c>
      <c r="FC234" s="14">
        <f>INT(SUMPRODUCT($AP234:$AT234,$BF234:$BJ234)/SUM($BF234:$BJ234)/10000*$BX$7*$BZ$46/'疲劳值&amp;地图信息'!$R$10*$BY$57)</f>
        <v>2249</v>
      </c>
      <c r="FD234" s="50">
        <f t="shared" si="374"/>
        <v>0.5564196742254871</v>
      </c>
      <c r="FE234" s="50">
        <f t="shared" si="375"/>
        <v>0.40766528265729801</v>
      </c>
      <c r="FF234" s="50">
        <f t="shared" si="376"/>
        <v>3.5915043117214947E-2</v>
      </c>
      <c r="FH234" s="14">
        <f t="shared" si="377"/>
        <v>25909</v>
      </c>
      <c r="FI234" s="14">
        <f t="shared" si="378"/>
        <v>29162</v>
      </c>
      <c r="FJ234" s="14">
        <f t="shared" si="379"/>
        <v>33941</v>
      </c>
      <c r="FK234" s="14">
        <f t="shared" si="380"/>
        <v>50031</v>
      </c>
      <c r="FL234" s="14">
        <f t="shared" si="381"/>
        <v>62620</v>
      </c>
      <c r="FM234" s="14">
        <f t="shared" si="382"/>
        <v>3033161</v>
      </c>
      <c r="FP234" s="14">
        <f t="shared" si="383"/>
        <v>334150</v>
      </c>
      <c r="FQ234" s="50">
        <f t="shared" si="323"/>
        <v>9.9233483334328187E-2</v>
      </c>
      <c r="FS234" s="14">
        <f t="shared" si="384"/>
        <v>3367311</v>
      </c>
      <c r="FX234" s="14">
        <v>229</v>
      </c>
      <c r="FY234" s="51">
        <f t="shared" si="385"/>
        <v>33106</v>
      </c>
      <c r="FZ234" s="51">
        <f t="shared" si="386"/>
        <v>1820</v>
      </c>
      <c r="GA234" s="51">
        <f>INT(SUMPRODUCT($N234:$R234,$BF234:$BJ234)/SUM($BF234:$BJ234)/10000*$BX$7*$BZ$46/'疲劳值&amp;地图信息'!$R$10*$BY$53)</f>
        <v>442</v>
      </c>
      <c r="GB234" s="50">
        <f t="shared" si="387"/>
        <v>0.93604388147477946</v>
      </c>
      <c r="GC234" s="50">
        <f t="shared" si="388"/>
        <v>5.145894593983262E-2</v>
      </c>
      <c r="GD234" s="50">
        <f t="shared" si="389"/>
        <v>1.2497172585387921E-2</v>
      </c>
      <c r="GE234" s="51">
        <f t="shared" si="390"/>
        <v>35511</v>
      </c>
      <c r="GF234" s="51">
        <f t="shared" si="391"/>
        <v>2968</v>
      </c>
      <c r="GG234" s="14">
        <f>INT(SUMPRODUCT($U234:$Y234,$BF234:$BJ234)/SUM($BF234:$BJ234)/10000*$BX$7*$BZ$46/'疲劳值&amp;地图信息'!$R$10*$BY$54)</f>
        <v>829</v>
      </c>
      <c r="GH234" s="50">
        <f t="shared" si="392"/>
        <v>0.90340388724941489</v>
      </c>
      <c r="GI234" s="50">
        <f t="shared" si="393"/>
        <v>7.5506258268037044E-2</v>
      </c>
      <c r="GJ234" s="50">
        <f t="shared" si="394"/>
        <v>2.1089854482548083E-2</v>
      </c>
      <c r="GK234" s="51">
        <f t="shared" si="395"/>
        <v>38797</v>
      </c>
      <c r="GL234" s="51">
        <f t="shared" si="396"/>
        <v>5105</v>
      </c>
      <c r="GM234" s="14">
        <f>INT(SUMPRODUCT($AB234:$AF234,$BF234:$BJ234)/SUM($BF234:$BJ234)/10000*$BX$7*$BZ$46/'疲劳值&amp;地图信息'!$R$10*$BY$55)</f>
        <v>1124</v>
      </c>
      <c r="GN234" s="50">
        <f t="shared" si="397"/>
        <v>0.86165770887931414</v>
      </c>
      <c r="GO234" s="50">
        <f t="shared" si="398"/>
        <v>0.11337893661440057</v>
      </c>
      <c r="GP234" s="50">
        <f t="shared" si="399"/>
        <v>2.4963354506285257E-2</v>
      </c>
      <c r="GQ234" s="51">
        <f t="shared" si="400"/>
        <v>46639</v>
      </c>
      <c r="GR234" s="51">
        <f t="shared" si="401"/>
        <v>15030</v>
      </c>
      <c r="GS234" s="14">
        <f>INT(SUMPRODUCT($AI234:$AM234,$BF234:$BJ234)/SUM($BF234:$BJ234)/10000*$BX$7*$BZ$46/'疲劳值&amp;地图信息'!$R$10*$BY$56)</f>
        <v>1687</v>
      </c>
      <c r="GT234" s="50">
        <f t="shared" si="402"/>
        <v>0.73614180188143186</v>
      </c>
      <c r="GU234" s="50">
        <f t="shared" si="403"/>
        <v>0.23723088578824419</v>
      </c>
      <c r="GV234" s="50">
        <f t="shared" si="404"/>
        <v>2.6627312330323883E-2</v>
      </c>
      <c r="GW234" s="51">
        <f t="shared" si="405"/>
        <v>48781</v>
      </c>
      <c r="GX234" s="51">
        <f t="shared" si="406"/>
        <v>25528</v>
      </c>
      <c r="GY234" s="14">
        <f>INT(SUMPRODUCT($AP234:$AT234,$BF234:$BJ234)/SUM($BF234:$BJ234)/10000*$BX$7*$BZ$46/'疲劳值&amp;地图信息'!$R$10*$BY$57)</f>
        <v>2249</v>
      </c>
      <c r="GZ234" s="50">
        <f t="shared" si="407"/>
        <v>0.63717704224248284</v>
      </c>
      <c r="HA234" s="50">
        <f t="shared" si="408"/>
        <v>0.33344653726586376</v>
      </c>
      <c r="HB234" s="50">
        <f t="shared" si="409"/>
        <v>2.9376420491653388E-2</v>
      </c>
      <c r="HD234" s="14">
        <f t="shared" si="410"/>
        <v>35368</v>
      </c>
      <c r="HE234" s="14">
        <f t="shared" si="411"/>
        <v>39308</v>
      </c>
      <c r="HF234" s="14">
        <f t="shared" si="412"/>
        <v>45026</v>
      </c>
      <c r="HG234" s="14">
        <f t="shared" si="413"/>
        <v>63356</v>
      </c>
      <c r="HH234" s="14">
        <f t="shared" si="414"/>
        <v>76558</v>
      </c>
      <c r="HI234" s="14">
        <f t="shared" si="415"/>
        <v>4083503</v>
      </c>
      <c r="HL234" s="14">
        <f t="shared" si="416"/>
        <v>430050</v>
      </c>
      <c r="HM234" s="50">
        <f t="shared" si="324"/>
        <v>9.5279705367368017E-2</v>
      </c>
      <c r="HO234" s="14">
        <f t="shared" si="417"/>
        <v>4513553</v>
      </c>
    </row>
    <row r="235" spans="11:223" x14ac:dyDescent="0.2">
      <c r="K235" s="14">
        <v>230</v>
      </c>
      <c r="L235" s="12">
        <f>求节点(节奏总纲!D$4:D$163,标准城池设计!AB$4:AB$163,$K235)*求节点(节奏总纲!D$4:D$163,攻城基础信息!$AC$5:$AC$164,$K235)</f>
        <v>697577.88924350636</v>
      </c>
      <c r="M235" s="12">
        <f>INDEX(其他调用!$AA$5:$AA$404,MATCH(K235,其他调用!$X$5:$X$404,0))*MIN(INDEX(其他调用!$AH$5:$AH$364,MATCH('征服点（新）'!K235,其他调用!$AG$5:$AG$364,0),1)/INDEX(其他调用!$AJ$5:$AJ$364,MATCH(K235,其他调用!$AG$5:$AG$364,0),0),5)*求节点(节奏总纲!D$4:D$163,攻城基础信息!$AC$5:$AC$164,$K235)</f>
        <v>53622.44463573442</v>
      </c>
      <c r="N235" s="12">
        <f>MIN(INDEX(其他调用!$AH$5:$AH$364,MATCH($K235,其他调用!$AG$5:$AG$364,0),1)/INDEX(其他调用!AH$5:AH$364,MATCH($K235,其他调用!$AG$5:$AG$364,0),0),1)*INDEX(其他调用!Y$5:Y$404,MATCH($K235,其他调用!$X$5:$X$404,0),0)</f>
        <v>40938.654871839477</v>
      </c>
      <c r="O235" s="12">
        <f>MIN(INDEX(其他调用!$AH$5:$AH$364,MATCH($K235,其他调用!$AG$5:$AG$364,0),1)/INDEX(其他调用!AI$5:AI$364,MATCH($K235,其他调用!$AG$5:$AG$364,0),0),1)*INDEX(其他调用!Z$5:Z$404,MATCH($K235,其他调用!$X$5:$X$404,0),0)</f>
        <v>25763.463798182758</v>
      </c>
      <c r="P235" s="12">
        <f>MIN(INDEX(其他调用!$AH$5:$AH$364,MATCH($K235,其他调用!$AG$5:$AG$364,0),1)/INDEX(其他调用!AJ$5:AJ$364,MATCH($K235,其他调用!$AG$5:$AG$364,0),0),1)*INDEX(其他调用!AA$5:AA$404,MATCH($K235,其他调用!$X$5:$X$404,0),0)</f>
        <v>15541.411068088008</v>
      </c>
      <c r="Q235" s="12">
        <f>MIN(INDEX(其他调用!$AH$5:$AH$364,MATCH($K235,其他调用!$AG$5:$AG$364,0),1)/INDEX(其他调用!AK$5:AK$364,MATCH($K235,其他调用!$AG$5:$AG$364,0),0),1)*INDEX(其他调用!AB$5:AB$404,MATCH($K235,其他调用!$X$5:$X$404,0),0)</f>
        <v>5544.4143604362416</v>
      </c>
      <c r="R235" s="12">
        <f>MIN(INDEX(其他调用!$AH$5:$AH$364,MATCH($K235,其他调用!$AG$5:$AG$364,0),1)/INDEX(其他调用!AL$5:AL$364,MATCH($K235,其他调用!$AG$5:$AG$364,0),0),1)*INDEX(其他调用!AC$5:AC$404,MATCH($K235,其他调用!$X$5:$X$404,0),0)</f>
        <v>2796.920881710093</v>
      </c>
      <c r="S235" s="12">
        <f>求节点(节奏总纲!D$4:D$163,标准城池设计!AC$4:AC$163,$K235)*求节点(节奏总纲!D$4:D$163,攻城基础信息!$AD$5:$AD$164,$K235)</f>
        <v>748618.86589869927</v>
      </c>
      <c r="T235" s="12">
        <f>INDEX(其他调用!$AA$5:$AA$404,MATCH($K235,其他调用!$X$5:$X$404,0))*MIN(INDEX(其他调用!AI$5:AI$364,MATCH($K235,其他调用!$AG$5:$AG$364,0),1)/INDEX(其他调用!$AJ$5:$AJ$364,MATCH($K235,其他调用!$AG$5:$AG$364,0),0),5)*求节点(节奏总纲!D$4:D$163,攻城基础信息!$AD$5:$AD$164,$K235)</f>
        <v>87608.162810238777</v>
      </c>
      <c r="U235" s="12">
        <f>MIN(INDEX(其他调用!$AI$5:$AI$364,MATCH($K235,其他调用!$AG$5:$AG$364,0),1)/INDEX(其他调用!AH$5:AH$364,MATCH($K235,其他调用!$AG$5:$AG$364,0),0),1)*INDEX(其他调用!Y$5:Y$404,MATCH($K235,其他调用!$X$5:$X$404,0),0)</f>
        <v>40938.654871839477</v>
      </c>
      <c r="V235" s="12">
        <f>MIN(INDEX(其他调用!$AI$5:$AI$364,MATCH($K235,其他调用!$AG$5:$AG$364,0),1)/INDEX(其他调用!AI$5:AI$364,MATCH($K235,其他调用!$AG$5:$AG$364,0),0),1)*INDEX(其他调用!Z$5:Z$404,MATCH($K235,其他调用!$X$5:$X$404,0),0)</f>
        <v>42092.257194159058</v>
      </c>
      <c r="W235" s="12">
        <f>MIN(INDEX(其他调用!$AI$5:$AI$364,MATCH($K235,其他调用!$AG$5:$AG$364,0),1)/INDEX(其他调用!AJ$5:AJ$364,MATCH($K235,其他调用!$AG$5:$AG$364,0),0),1)*INDEX(其他调用!AA$5:AA$404,MATCH($K235,其他调用!$X$5:$X$404,0),0)</f>
        <v>25391.503136478608</v>
      </c>
      <c r="X235" s="12">
        <f>MIN(INDEX(其他调用!$AI$5:$AI$364,MATCH($K235,其他调用!$AG$5:$AG$364,0),1)/INDEX(其他调用!AK$5:AK$364,MATCH($K235,其他调用!$AG$5:$AG$364,0),0),1)*INDEX(其他调用!AB$5:AB$404,MATCH($K235,其他调用!$X$5:$X$404,0),0)</f>
        <v>9058.4448224284406</v>
      </c>
      <c r="Y235" s="12">
        <f>MIN(INDEX(其他调用!$AI$5:$AI$364,MATCH($K235,其他调用!$AG$5:$AG$364,0),1)/INDEX(其他调用!AL$5:AL$364,MATCH($K235,其他调用!$AG$5:$AG$364,0),0),1)*INDEX(其他调用!AC$5:AC$404,MATCH($K235,其他调用!$X$5:$X$404,0),0)</f>
        <v>4569.5995704179895</v>
      </c>
      <c r="Z235" s="12">
        <f>求节点(节奏总纲!D$4:D$163,标准城池设计!AD$4:AD$163,$K235)*求节点(节奏总纲!D$4:D$163,攻城基础信息!$AE$5:$AE$164,$K235)</f>
        <v>818051.97355197859</v>
      </c>
      <c r="AA235" s="12">
        <f>INDEX(其他调用!$AA$5:$AA$404,MATCH($K235,其他调用!$X$5:$X$404,0))*MIN(INDEX(其他调用!AJ$5:AJ$364,MATCH($K235,其他调用!$AG$5:$AG$364,0),1)/INDEX(其他调用!$AJ$5:$AJ$364,MATCH($K235,其他调用!$AG$5:$AG$364,0),0),5)*求节点(节奏总纲!D$4:D$163,攻城基础信息!$AE$5:$AE$164,$K235)</f>
        <v>150480.36941458573</v>
      </c>
      <c r="AB235" s="12">
        <f>MIN(INDEX(其他调用!$AJ$5:$AJ$364,MATCH($K235,其他调用!$AG$5:$AG$364,0),1)/INDEX(其他调用!AH$5:AH$364,MATCH($K235,其他调用!$AG$5:$AG$364,0),0),1)*INDEX(其他调用!Y$5:Y$404,MATCH($K235,其他调用!$X$5:$X$404,0),0)</f>
        <v>40938.654871839477</v>
      </c>
      <c r="AC235" s="12">
        <f>MIN(INDEX(其他调用!$AJ$5:$AJ$364,MATCH($K235,其他调用!$AG$5:$AG$364,0),1)/INDEX(其他调用!AI$5:AI$364,MATCH($K235,其他调用!$AG$5:$AG$364,0),0),1)*INDEX(其他调用!Z$5:Z$404,MATCH($K235,其他调用!$X$5:$X$404,0),0)</f>
        <v>42092.257194159058</v>
      </c>
      <c r="AD235" s="12">
        <f>MIN(INDEX(其他调用!$AJ$5:$AJ$364,MATCH($K235,其他调用!$AG$5:$AG$364,0),1)/INDEX(其他调用!AJ$5:AJ$364,MATCH($K235,其他调用!$AG$5:$AG$364,0),0),1)*INDEX(其他调用!AA$5:AA$404,MATCH($K235,其他调用!$X$5:$X$404,0),0)</f>
        <v>43613.775810424384</v>
      </c>
      <c r="AE235" s="12">
        <f>MIN(INDEX(其他调用!$AJ$5:$AJ$364,MATCH($K235,其他调用!$AG$5:$AG$364,0),1)/INDEX(其他调用!AK$5:AK$364,MATCH($K235,其他调用!$AG$5:$AG$364,0),0),1)*INDEX(其他调用!AB$5:AB$404,MATCH($K235,其他调用!$X$5:$X$404,0),0)</f>
        <v>15559.259314148811</v>
      </c>
      <c r="AF235" s="12">
        <f>MIN(INDEX(其他调用!$AJ$5:$AJ$364,MATCH($K235,其他调用!$AG$5:$AG$364,0),1)/INDEX(其他调用!AL$5:AL$364,MATCH($K235,其他调用!$AG$5:$AG$364,0),0),1)*INDEX(其他调用!AC$5:AC$404,MATCH($K235,其他调用!$X$5:$X$404,0),0)</f>
        <v>7848.9835807042773</v>
      </c>
      <c r="AG235" s="12">
        <f>求节点(节奏总纲!D$4:D$163,标准城池设计!AE$4:AE$163,$K235)*求节点(节奏总纲!D$4:D$163,攻城基础信息!$AF$5:$AF$164,$K235)</f>
        <v>983535.28772950266</v>
      </c>
      <c r="AH235" s="12">
        <f>INDEX(其他调用!$AA$5:$AA$404,MATCH($K235,其他调用!$X$5:$X$404,0))*MIN(INDEX(其他调用!AK$5:AK$364,MATCH($K235,其他调用!$AG$5:$AG$364,0),1)/INDEX(其他调用!$AJ$5:$AJ$364,MATCH($K235,其他调用!$AG$5:$AG$364,0),0),5)*求节点(节奏总纲!D$4:D$163,攻城基础信息!$AF$5:$AF$164,$K235)</f>
        <v>443257.11032449879</v>
      </c>
      <c r="AI235" s="12">
        <f>MIN(INDEX(其他调用!$AK$5:$AK$364,MATCH($K235,其他调用!$AG$5:$AG$364,0),1)/INDEX(其他调用!AH$5:AH$364,MATCH($K235,其他调用!$AG$5:$AG$364,0),0),1)*INDEX(其他调用!Y$5:Y$404,MATCH($K235,其他调用!$X$5:$X$404,0),0)</f>
        <v>40938.654871839477</v>
      </c>
      <c r="AJ235" s="12">
        <f>MIN(INDEX(其他调用!$AK$5:$AK$364,MATCH($K235,其他调用!$AG$5:$AG$364,0),1)/INDEX(其他调用!AI$5:AI$364,MATCH($K235,其他调用!$AG$5:$AG$364,0),0),1)*INDEX(其他调用!Z$5:Z$404,MATCH($K235,其他调用!$X$5:$X$404,0),0)</f>
        <v>42092.257194159058</v>
      </c>
      <c r="AK235" s="12">
        <f>MIN(INDEX(其他调用!$AK$5:$AK$364,MATCH($K235,其他调用!$AG$5:$AG$364,0),1)/INDEX(其他调用!AJ$5:AJ$364,MATCH($K235,其他调用!$AG$5:$AG$364,0),0),1)*INDEX(其他调用!AA$5:AA$404,MATCH($K235,其他调用!$X$5:$X$404,0),0)</f>
        <v>43613.775810424384</v>
      </c>
      <c r="AL235" s="12">
        <f>MIN(INDEX(其他调用!$AK$5:$AK$364,MATCH($K235,其他调用!$AG$5:$AG$364,0),1)/INDEX(其他调用!AK$5:AK$364,MATCH($K235,其他调用!$AG$5:$AG$364,0),0),1)*INDEX(其他调用!AB$5:AB$404,MATCH($K235,其他调用!$X$5:$X$404,0),0)</f>
        <v>45831.574903820365</v>
      </c>
      <c r="AM235" s="12">
        <f>MIN(INDEX(其他调用!$AK$5:$AK$364,MATCH($K235,其他调用!$AG$5:$AG$364,0),1)/INDEX(其他调用!AL$5:AL$364,MATCH($K235,其他调用!$AG$5:$AG$364,0),0),1)*INDEX(其他调用!AC$5:AC$404,MATCH($K235,其他调用!$X$5:$X$404,0),0)</f>
        <v>23120.077352961311</v>
      </c>
      <c r="AN235" s="12">
        <f>求节点(节奏总纲!D$4:D$163,标准城池设计!AF$4:AF$163,$K235)*求节点(节奏总纲!D$4:D$163,攻城基础信息!$AG$5:$AG$164,$K235)</f>
        <v>1028832.3359430766</v>
      </c>
      <c r="AO235" s="12">
        <f>INDEX(其他调用!$AA$5:$AA$404,MATCH($K235,其他调用!$X$5:$X$404,0))*MIN(INDEX(其他调用!AL$5:AL$364,MATCH($K235,其他调用!$AG$5:$AG$364,0),1)/INDEX(其他调用!$AJ$5:$AJ$364,MATCH($K235,其他调用!$AG$5:$AG$364,0),0),5)*求节点(节奏总纲!D$4:D$163,攻城基础信息!$AG$5:$AG$164,$K235)</f>
        <v>752401.84707292868</v>
      </c>
      <c r="AP235" s="12">
        <f>MIN(INDEX(其他调用!$AL$5:$AL$364,MATCH($K235,其他调用!$AG$5:$AG$364,0),1)/INDEX(其他调用!AH$5:AH$364,MATCH($K235,其他调用!$AG$5:$AG$364,0),0),1)*INDEX(其他调用!Y$5:Y$404,MATCH($K235,其他调用!$X$5:$X$404,0),0)</f>
        <v>40938.654871839477</v>
      </c>
      <c r="AQ235" s="12">
        <f>MIN(INDEX(其他调用!$AL$5:$AL$364,MATCH($K235,其他调用!$AG$5:$AG$364,0),1)/INDEX(其他调用!AI$5:AI$364,MATCH($K235,其他调用!$AG$5:$AG$364,0),0),1)*INDEX(其他调用!Z$5:Z$404,MATCH($K235,其他调用!$X$5:$X$404,0),0)</f>
        <v>42092.257194159058</v>
      </c>
      <c r="AR235" s="12">
        <f>MIN(INDEX(其他调用!$AL$5:$AL$364,MATCH($K235,其他调用!$AG$5:$AG$364,0),1)/INDEX(其他调用!AJ$5:AJ$364,MATCH($K235,其他调用!$AG$5:$AG$364,0),0),1)*INDEX(其他调用!AA$5:AA$404,MATCH($K235,其他调用!$X$5:$X$404,0),0)</f>
        <v>43613.775810424384</v>
      </c>
      <c r="AS235" s="12">
        <f>MIN(INDEX(其他调用!$AL$5:$AL$364,MATCH($K235,其他调用!$AG$5:$AG$364,0),1)/INDEX(其他调用!AK$5:AK$364,MATCH($K235,其他调用!$AG$5:$AG$364,0),0),1)*INDEX(其他调用!AB$5:AB$404,MATCH($K235,其他调用!$X$5:$X$404,0),0)</f>
        <v>45831.574903820365</v>
      </c>
      <c r="AT235" s="12">
        <f>MIN(INDEX(其他调用!$AL$5:$AL$364,MATCH($K235,其他调用!$AG$5:$AG$364,0),1)/INDEX(其他调用!AL$5:AL$364,MATCH($K235,其他调用!$AG$5:$AG$364,0),0),1)*INDEX(其他调用!AC$5:AC$404,MATCH($K235,其他调用!$X$5:$X$404,0),0)</f>
        <v>49746.6621662369</v>
      </c>
      <c r="AV235" s="14">
        <f>IF(OR(AV$5="大R",AV$5="超R"),MAX(INDEX(其他调用!$H$5:$L$404,MATCH($K235,其他调用!$B$5:$B$404,0),MATCH(AV$5,其他调用!$H$4:$L$4,0))*120*0.85,2),INDEX(其他调用!$H$5:$L$404,MATCH($K235,其他调用!$B$5:$B$404,0),MATCH(AV$5,其他调用!$H$4:$L$4,0))*120*0.85)</f>
        <v>48.921801254999991</v>
      </c>
      <c r="AW235" s="14">
        <f>IF(OR(AW$5="大R",AW$5="超R"),MAX(INDEX(其他调用!$H$5:$L$404,MATCH($K235,其他调用!$B$5:$B$404,0),MATCH(AW$5,其他调用!$H$4:$L$4,0))*120*0.85,2),INDEX(其他调用!$H$5:$L$404,MATCH($K235,其他调用!$B$5:$B$404,0),MATCH(AW$5,其他调用!$H$4:$L$4,0))*120*0.85)</f>
        <v>48.237344010638395</v>
      </c>
      <c r="AX235" s="14">
        <f>IF(OR(AX$5="大R",AX$5="超R"),MAX(INDEX(其他调用!$H$5:$L$404,MATCH($K235,其他调用!$B$5:$B$404,0),MATCH(AX$5,其他调用!$H$4:$L$4,0))*120*0.85,2),INDEX(其他调用!$H$5:$L$404,MATCH($K235,其他调用!$B$5:$B$404,0),MATCH(AX$5,其他调用!$H$4:$L$4,0))*120*0.85)</f>
        <v>3.9376284143615998</v>
      </c>
      <c r="AY235" s="14">
        <f>IF(OR(AY$5="大R",AY$5="超R"),MAX(INDEX(其他调用!$H$5:$L$404,MATCH($K235,其他调用!$B$5:$B$404,0),MATCH(AY$5,其他调用!$H$4:$L$4,0))*120*0.85,2),INDEX(其他调用!$H$5:$L$404,MATCH($K235,其他调用!$B$5:$B$404,0),MATCH(AY$5,其他调用!$H$4:$L$4,0))*120*0.85)</f>
        <v>2</v>
      </c>
      <c r="AZ235" s="14">
        <f>IF(OR(AZ$5="大R",AZ$5="超R"),MAX(INDEX(其他调用!$H$5:$L$404,MATCH($K235,其他调用!$B$5:$B$404,0),MATCH(AZ$5,其他调用!$H$4:$L$4,0))*120*0.85,2),INDEX(其他调用!$H$5:$L$404,MATCH($K235,其他调用!$B$5:$B$404,0),MATCH(AZ$5,其他调用!$H$4:$L$4,0))*120*0.85)</f>
        <v>2</v>
      </c>
      <c r="BA235" s="14">
        <f>INDEX(其他调用!$H$5:$L$404,MATCH($K235,其他调用!$B$5:$B$404,0),MATCH(BA$5,其他调用!$H$4:$L$4,0))*INDEX(其他调用!$M$5:$M$404,MATCH($K235,其他调用!$B$5:$B$404,0))*0.6</f>
        <v>28.777530149999997</v>
      </c>
      <c r="BB235" s="14">
        <f>INDEX(其他调用!$H$5:$L$404,MATCH($K235,其他调用!$B$5:$B$404,0),MATCH(BB$5,其他调用!$H$4:$L$4,0))*INDEX(其他调用!$M$5:$M$404,MATCH($K235,其他调用!$B$5:$B$404,0))*0.6</f>
        <v>28.374908241551999</v>
      </c>
      <c r="BC235" s="14">
        <f>INDEX(其他调用!$H$5:$L$404,MATCH($K235,其他调用!$B$5:$B$404,0),MATCH(BC$5,其他调用!$H$4:$L$4,0))*INDEX(其他调用!$M$5:$M$404,MATCH($K235,其他调用!$B$5:$B$404,0))*0.6</f>
        <v>2.3162520084480001</v>
      </c>
      <c r="BD235" s="14">
        <f>INDEX(其他调用!$H$5:$L$404,MATCH($K235,其他调用!$B$5:$B$404,0),MATCH(BD$5,其他调用!$H$4:$L$4,0))*INDEX(其他调用!$M$5:$M$404,MATCH($K235,其他调用!$B$5:$B$404,0))*0.6</f>
        <v>0.4120776000000001</v>
      </c>
      <c r="BE235" s="14">
        <f>INDEX(其他调用!$H$5:$L$404,MATCH($K235,其他调用!$B$5:$B$404,0),MATCH(BE$5,其他调用!$H$4:$L$4,0))*INDEX(其他调用!$M$5:$M$404,MATCH($K235,其他调用!$B$5:$B$404,0))*0.6</f>
        <v>0.11923199999999998</v>
      </c>
      <c r="BF235" s="14">
        <f>IF(OR(BF$5="大R",BF$5="超R"),0,INDEX(其他调用!$H$5:$L$404,MATCH($K235,其他调用!$B$5:$B$404,0),MATCH(BF$5,其他调用!$H$4:$L$4,0))*50*0.4)</f>
        <v>9.5925100500000013</v>
      </c>
      <c r="BG235" s="14">
        <f>IF(OR(BG$5="大R",BG$5="超R"),0,INDEX(其他调用!$H$5:$L$404,MATCH($K235,其他调用!$B$5:$B$404,0),MATCH(BG$5,其他调用!$H$4:$L$4,0))*50*0.4)</f>
        <v>9.4583027471839998</v>
      </c>
      <c r="BH235" s="14">
        <f>IF(OR(BH$5="大R",BH$5="超R"),0,INDEX(其他调用!$H$5:$L$404,MATCH($K235,其他调用!$B$5:$B$404,0),MATCH(BH$5,其他调用!$H$4:$L$4,0))*50*0.4)</f>
        <v>0.77208400281600009</v>
      </c>
      <c r="BI235" s="14">
        <f>IF(OR(BI$5="大R",BI$5="超R"),0,INDEX(其他调用!$H$5:$L$404,MATCH($K235,其他调用!$B$5:$B$404,0),MATCH(BI$5,其他调用!$H$4:$L$4,0))*50*0.4)</f>
        <v>0</v>
      </c>
      <c r="BJ235" s="14">
        <f>IF(OR(BJ$5="大R",BJ$5="超R"),0,INDEX(其他调用!$H$5:$L$404,MATCH($K235,其他调用!$B$5:$B$404,0),MATCH(BJ$5,其他调用!$H$4:$L$4,0))*50*0.4)</f>
        <v>0</v>
      </c>
      <c r="BL235" s="14">
        <f t="shared" si="418"/>
        <v>230</v>
      </c>
      <c r="BM235" s="14">
        <f t="shared" si="325"/>
        <v>96</v>
      </c>
      <c r="BN235" s="14">
        <f>('疲劳值&amp;地图信息'!$S$10*'疲劳值&amp;地图信息'!$R$10+'疲劳值&amp;地图信息'!$S$11*'疲劳值&amp;地图信息'!$R$11+'疲劳值&amp;地图信息'!$S$12*'疲劳值&amp;地图信息'!$R$12+(BM235-'疲劳值&amp;地图信息'!$S$12-'疲劳值&amp;地图信息'!$S$11-'疲劳值&amp;地图信息'!$S$10)*'疲劳值&amp;地图信息'!$R$13)/BM235</f>
        <v>51.371477246638619</v>
      </c>
      <c r="BO235" s="14">
        <f>INDEX(其他调用!$M$5:$M$404,MATCH(BL235,其他调用!$B$5:$B$404,0))*0.6</f>
        <v>60</v>
      </c>
      <c r="BP235" s="14">
        <f>IF(BO235&gt;SUM('疲劳值&amp;地图信息'!$S$10:$S$12),('疲劳值&amp;地图信息'!$S$10*'疲劳值&amp;地图信息'!$R$10+'疲劳值&amp;地图信息'!$S$11*'疲劳值&amp;地图信息'!$R$11+'疲劳值&amp;地图信息'!$S$12*'疲劳值&amp;地图信息'!$R$12+(BO235-'疲劳值&amp;地图信息'!$S$12-'疲劳值&amp;地图信息'!$S$11-'疲劳值&amp;地图信息'!$S$10)*'疲劳值&amp;地图信息'!$R$13)/BO235,('疲劳值&amp;地图信息'!$S$10*'疲劳值&amp;地图信息'!$R$10+'疲劳值&amp;地图信息'!$S$11*'疲劳值&amp;地图信息'!$R$11+'疲劳值&amp;地图信息'!$S$12*'疲劳值&amp;地图信息'!$R$12+(BO235-'疲劳值&amp;地图信息'!$S$12-'疲劳值&amp;地图信息'!$S$11-'疲劳值&amp;地图信息'!$S$10)*'疲劳值&amp;地图信息'!$R$13)/BO235)</f>
        <v>44.158136341605953</v>
      </c>
      <c r="BQ235" s="14">
        <f t="shared" si="419"/>
        <v>20</v>
      </c>
      <c r="BR235" s="14">
        <f>('疲劳值&amp;地图信息'!$S$10*'疲劳值&amp;地图信息'!$R$10+($BQ235-'疲劳值&amp;地图信息'!$S$10)*'疲劳值&amp;地图信息'!$R$11)/$BQ235</f>
        <v>32.067203015074995</v>
      </c>
      <c r="CF235" s="14">
        <v>230</v>
      </c>
      <c r="CG235" s="51">
        <f t="shared" si="326"/>
        <v>14217</v>
      </c>
      <c r="CH235" s="51">
        <f t="shared" si="327"/>
        <v>1092</v>
      </c>
      <c r="CI235" s="51">
        <f>INT(SUMPRODUCT($N235:$R235,$BA235:$BE235)/SUM($BA235:$BE235)/10000*$BX$7*$BZ$34/'疲劳值&amp;地图信息'!$R$10*$BY$53)</f>
        <v>3293</v>
      </c>
      <c r="CJ235" s="50">
        <f t="shared" si="328"/>
        <v>0.76427265885388673</v>
      </c>
      <c r="CK235" s="50">
        <f t="shared" si="329"/>
        <v>5.870336522954521E-2</v>
      </c>
      <c r="CL235" s="50">
        <f t="shared" si="330"/>
        <v>0.1770239759165681</v>
      </c>
      <c r="CM235" s="14">
        <f t="shared" si="331"/>
        <v>15257</v>
      </c>
      <c r="CN235" s="14">
        <f t="shared" si="332"/>
        <v>1785</v>
      </c>
      <c r="CO235" s="14">
        <f>INT(SUMPRODUCT($U235:$Y235,$BA235:$BE235)/SUM($BA235:$BE235)/10000*$BX$7*$BZ$34/'疲劳值&amp;地图信息'!$R$10*$BY$54)</f>
        <v>6178</v>
      </c>
      <c r="CP235" s="50">
        <f t="shared" si="333"/>
        <v>0.65706287683031872</v>
      </c>
      <c r="CQ235" s="50">
        <f t="shared" si="334"/>
        <v>7.687338501291989E-2</v>
      </c>
      <c r="CR235" s="50">
        <f t="shared" si="335"/>
        <v>0.26606373815676143</v>
      </c>
      <c r="CS235" s="14">
        <f t="shared" si="336"/>
        <v>16672</v>
      </c>
      <c r="CT235" s="14">
        <f t="shared" si="337"/>
        <v>3066</v>
      </c>
      <c r="CU235" s="14">
        <f>INT(SUMPRODUCT($AB235:$AF235,$BA235:$BE235)/SUM($BA235:$BE235)/10000*$BX$7*$BZ$34/'疲劳值&amp;地图信息'!$R$10*$BY$55)</f>
        <v>8390</v>
      </c>
      <c r="CV235" s="50">
        <f t="shared" si="338"/>
        <v>0.59271899886234358</v>
      </c>
      <c r="CW235" s="50">
        <f t="shared" si="339"/>
        <v>0.10900170648464164</v>
      </c>
      <c r="CX235" s="50">
        <f t="shared" si="340"/>
        <v>0.29827929465301478</v>
      </c>
      <c r="CY235" s="14">
        <f t="shared" si="341"/>
        <v>20045</v>
      </c>
      <c r="CZ235" s="14">
        <f t="shared" si="342"/>
        <v>9034</v>
      </c>
      <c r="DA235" s="14">
        <f>INT(SUMPRODUCT($AI235:$AM235,$BA235:$BE235)/SUM($BA235:$BE235)/10000*$BX$7*$BZ$34/'疲劳值&amp;地图信息'!$R$10*$BY$56)</f>
        <v>12658</v>
      </c>
      <c r="DB235" s="50">
        <f t="shared" si="343"/>
        <v>0.48026930541246377</v>
      </c>
      <c r="DC235" s="50">
        <f t="shared" si="344"/>
        <v>0.2164506313343077</v>
      </c>
      <c r="DD235" s="50">
        <f t="shared" si="345"/>
        <v>0.30328006325322854</v>
      </c>
      <c r="DE235" s="14">
        <f t="shared" si="346"/>
        <v>20968</v>
      </c>
      <c r="DF235" s="14">
        <f t="shared" si="347"/>
        <v>15334</v>
      </c>
      <c r="DG235" s="14">
        <f>INT(SUMPRODUCT($AP235:$AT235,$BA235:$BE235)/SUM($BA235:$BE235)/10000*$BX$7*$BZ$34/'疲劳值&amp;地图信息'!$R$10*$BY$57)</f>
        <v>16899</v>
      </c>
      <c r="DH235" s="50">
        <f t="shared" si="348"/>
        <v>0.39412792992612922</v>
      </c>
      <c r="DI235" s="50">
        <f t="shared" si="349"/>
        <v>0.28822766489351703</v>
      </c>
      <c r="DJ235" s="50">
        <f t="shared" si="350"/>
        <v>0.31764440518035375</v>
      </c>
      <c r="DL235" s="14">
        <f t="shared" si="421"/>
        <v>18602</v>
      </c>
      <c r="DM235" s="14">
        <f t="shared" si="422"/>
        <v>23220</v>
      </c>
      <c r="DN235" s="14">
        <f t="shared" si="423"/>
        <v>28128</v>
      </c>
      <c r="DO235" s="14">
        <f t="shared" si="424"/>
        <v>41737</v>
      </c>
      <c r="DP235" s="14">
        <f t="shared" si="425"/>
        <v>53201</v>
      </c>
      <c r="DQ235" s="14">
        <f t="shared" si="426"/>
        <v>1282878</v>
      </c>
      <c r="DT235" s="14">
        <f t="shared" si="420"/>
        <v>235575</v>
      </c>
      <c r="DU235" s="50">
        <f t="shared" si="322"/>
        <v>0.15514144988353279</v>
      </c>
      <c r="DW235" s="14">
        <f t="shared" si="351"/>
        <v>1518453</v>
      </c>
      <c r="EB235" s="14">
        <v>230</v>
      </c>
      <c r="EC235" s="51">
        <f t="shared" si="352"/>
        <v>23695</v>
      </c>
      <c r="ED235" s="51">
        <f t="shared" si="353"/>
        <v>1821</v>
      </c>
      <c r="EE235" s="51">
        <f>INT(SUMPRODUCT($N235:$R235,$BF235:$BJ235)/SUM($BF235:$BJ235)/10000*$BX$7*$BZ$46/'疲劳值&amp;地图信息'!$R$10*$BY$53)</f>
        <v>442</v>
      </c>
      <c r="EF235" s="50">
        <f t="shared" si="354"/>
        <v>0.91282071037830337</v>
      </c>
      <c r="EG235" s="50">
        <f t="shared" si="355"/>
        <v>7.0151783650512362E-2</v>
      </c>
      <c r="EH235" s="50">
        <f t="shared" si="356"/>
        <v>1.7027505971184222E-2</v>
      </c>
      <c r="EI235" s="51">
        <f t="shared" si="357"/>
        <v>25429</v>
      </c>
      <c r="EJ235" s="51">
        <f t="shared" si="358"/>
        <v>2975</v>
      </c>
      <c r="EK235" s="14">
        <f>INT(SUMPRODUCT($U235:$Y235,$BF235:$BJ235)/SUM($BF235:$BJ235)/10000*$BX$7*$BZ$46/'疲劳值&amp;地图信息'!$R$10*$BY$54)</f>
        <v>829</v>
      </c>
      <c r="EL235" s="50">
        <f t="shared" si="359"/>
        <v>0.86987308863270962</v>
      </c>
      <c r="EM235" s="50">
        <f t="shared" si="360"/>
        <v>0.10176854924229467</v>
      </c>
      <c r="EN235" s="50">
        <f t="shared" si="361"/>
        <v>2.8358362124995724E-2</v>
      </c>
      <c r="EO235" s="51">
        <f t="shared" si="362"/>
        <v>27788</v>
      </c>
      <c r="EP235" s="51">
        <f t="shared" si="363"/>
        <v>5111</v>
      </c>
      <c r="EQ235" s="14">
        <f>INT(SUMPRODUCT($AB235:$AF235,$BF235:$BJ235)/SUM($BF235:$BJ235)/10000*$BX$7*$BZ$46/'疲劳值&amp;地图信息'!$R$10*$BY$55)</f>
        <v>1125</v>
      </c>
      <c r="ER235" s="50">
        <f t="shared" si="364"/>
        <v>0.81671761109804841</v>
      </c>
      <c r="ES235" s="50">
        <f t="shared" si="365"/>
        <v>0.15021749353397601</v>
      </c>
      <c r="ET235" s="50">
        <f t="shared" si="366"/>
        <v>3.306489536797555E-2</v>
      </c>
      <c r="EU235" s="51">
        <f t="shared" si="367"/>
        <v>33409</v>
      </c>
      <c r="EV235" s="51">
        <f t="shared" si="368"/>
        <v>15056</v>
      </c>
      <c r="EW235" s="14">
        <f>INT(SUMPRODUCT($AI235:$AM235,$BF235:$BJ235)/SUM($BF235:$BJ235)/10000*$BX$7*$BZ$46/'疲劳值&amp;地图信息'!$R$10*$BY$56)</f>
        <v>1688</v>
      </c>
      <c r="EX235" s="50">
        <f t="shared" si="369"/>
        <v>0.66614160668354838</v>
      </c>
      <c r="EY235" s="50">
        <f t="shared" si="370"/>
        <v>0.30020138376567701</v>
      </c>
      <c r="EZ235" s="50">
        <f t="shared" si="371"/>
        <v>3.3657009550774629E-2</v>
      </c>
      <c r="FA235" s="51">
        <f t="shared" si="372"/>
        <v>34948</v>
      </c>
      <c r="FB235" s="51">
        <f t="shared" si="373"/>
        <v>25558</v>
      </c>
      <c r="FC235" s="14">
        <f>INT(SUMPRODUCT($AP235:$AT235,$BF235:$BJ235)/SUM($BF235:$BJ235)/10000*$BX$7*$BZ$46/'疲劳值&amp;地图信息'!$R$10*$BY$57)</f>
        <v>2250</v>
      </c>
      <c r="FD235" s="50">
        <f t="shared" si="374"/>
        <v>0.55688699088533367</v>
      </c>
      <c r="FE235" s="50">
        <f t="shared" si="375"/>
        <v>0.4072598635986997</v>
      </c>
      <c r="FF235" s="50">
        <f t="shared" si="376"/>
        <v>3.5853145515966599E-2</v>
      </c>
      <c r="FH235" s="14">
        <f t="shared" si="377"/>
        <v>25958</v>
      </c>
      <c r="FI235" s="14">
        <f t="shared" si="378"/>
        <v>29233</v>
      </c>
      <c r="FJ235" s="14">
        <f t="shared" si="379"/>
        <v>34024</v>
      </c>
      <c r="FK235" s="14">
        <f t="shared" si="380"/>
        <v>50153</v>
      </c>
      <c r="FL235" s="14">
        <f t="shared" si="381"/>
        <v>62756</v>
      </c>
      <c r="FM235" s="14">
        <f t="shared" si="382"/>
        <v>3039826</v>
      </c>
      <c r="FP235" s="14">
        <f t="shared" si="383"/>
        <v>334150</v>
      </c>
      <c r="FQ235" s="50">
        <f t="shared" si="323"/>
        <v>9.9037456105200511E-2</v>
      </c>
      <c r="FS235" s="14">
        <f t="shared" si="384"/>
        <v>3373976</v>
      </c>
      <c r="FX235" s="14">
        <v>230</v>
      </c>
      <c r="FY235" s="51">
        <f t="shared" si="385"/>
        <v>33174</v>
      </c>
      <c r="FZ235" s="51">
        <f t="shared" si="386"/>
        <v>1821</v>
      </c>
      <c r="GA235" s="51">
        <f>INT(SUMPRODUCT($N235:$R235,$BF235:$BJ235)/SUM($BF235:$BJ235)/10000*$BX$7*$BZ$46/'疲劳值&amp;地图信息'!$R$10*$BY$53)</f>
        <v>442</v>
      </c>
      <c r="GB235" s="50">
        <f t="shared" si="387"/>
        <v>0.93614019245421454</v>
      </c>
      <c r="GC235" s="50">
        <f t="shared" si="388"/>
        <v>5.138696842283489E-2</v>
      </c>
      <c r="GD235" s="50">
        <f t="shared" si="389"/>
        <v>1.2472839122950588E-2</v>
      </c>
      <c r="GE235" s="51">
        <f t="shared" si="390"/>
        <v>35601</v>
      </c>
      <c r="GF235" s="51">
        <f t="shared" si="391"/>
        <v>2975</v>
      </c>
      <c r="GG235" s="14">
        <f>INT(SUMPRODUCT($U235:$Y235,$BF235:$BJ235)/SUM($BF235:$BJ235)/10000*$BX$7*$BZ$46/'疲劳值&amp;地图信息'!$R$10*$BY$54)</f>
        <v>829</v>
      </c>
      <c r="GH235" s="50">
        <f t="shared" si="392"/>
        <v>0.90346402740768939</v>
      </c>
      <c r="GI235" s="50">
        <f t="shared" si="393"/>
        <v>7.5498033244512111E-2</v>
      </c>
      <c r="GJ235" s="50">
        <f t="shared" si="394"/>
        <v>2.1037939347798504E-2</v>
      </c>
      <c r="GK235" s="51">
        <f t="shared" si="395"/>
        <v>38903</v>
      </c>
      <c r="GL235" s="51">
        <f t="shared" si="396"/>
        <v>5111</v>
      </c>
      <c r="GM235" s="14">
        <f>INT(SUMPRODUCT($AB235:$AF235,$BF235:$BJ235)/SUM($BF235:$BJ235)/10000*$BX$7*$BZ$46/'疲劳值&amp;地图信息'!$R$10*$BY$55)</f>
        <v>1125</v>
      </c>
      <c r="GN235" s="50">
        <f t="shared" si="397"/>
        <v>0.86184895544872508</v>
      </c>
      <c r="GO235" s="50">
        <f t="shared" si="398"/>
        <v>0.11322802897715945</v>
      </c>
      <c r="GP235" s="50">
        <f t="shared" si="399"/>
        <v>2.4923015574115508E-2</v>
      </c>
      <c r="GQ235" s="51">
        <f t="shared" si="400"/>
        <v>46773</v>
      </c>
      <c r="GR235" s="51">
        <f t="shared" si="401"/>
        <v>15056</v>
      </c>
      <c r="GS235" s="14">
        <f>INT(SUMPRODUCT($AI235:$AM235,$BF235:$BJ235)/SUM($BF235:$BJ235)/10000*$BX$7*$BZ$46/'疲劳值&amp;地图信息'!$R$10*$BY$56)</f>
        <v>1688</v>
      </c>
      <c r="GT235" s="50">
        <f t="shared" si="402"/>
        <v>0.73638553458129319</v>
      </c>
      <c r="GU235" s="50">
        <f t="shared" si="403"/>
        <v>0.2370389029708582</v>
      </c>
      <c r="GV235" s="50">
        <f t="shared" si="404"/>
        <v>2.6575562447848606E-2</v>
      </c>
      <c r="GW235" s="51">
        <f t="shared" si="405"/>
        <v>48927</v>
      </c>
      <c r="GX235" s="51">
        <f t="shared" si="406"/>
        <v>25558</v>
      </c>
      <c r="GY235" s="14">
        <f>INT(SUMPRODUCT($AP235:$AT235,$BF235:$BJ235)/SUM($BF235:$BJ235)/10000*$BX$7*$BZ$46/'疲劳值&amp;地图信息'!$R$10*$BY$57)</f>
        <v>2250</v>
      </c>
      <c r="GZ235" s="50">
        <f t="shared" si="407"/>
        <v>0.63760995634325923</v>
      </c>
      <c r="HA235" s="50">
        <f t="shared" si="408"/>
        <v>0.33306835212093566</v>
      </c>
      <c r="HB235" s="50">
        <f t="shared" si="409"/>
        <v>2.9321691535805043E-2</v>
      </c>
      <c r="HD235" s="14">
        <f t="shared" si="410"/>
        <v>35437</v>
      </c>
      <c r="HE235" s="14">
        <f t="shared" si="411"/>
        <v>39405</v>
      </c>
      <c r="HF235" s="14">
        <f t="shared" si="412"/>
        <v>45139</v>
      </c>
      <c r="HG235" s="14">
        <f t="shared" si="413"/>
        <v>63517</v>
      </c>
      <c r="HH235" s="14">
        <f t="shared" si="414"/>
        <v>76735</v>
      </c>
      <c r="HI235" s="14">
        <f t="shared" si="415"/>
        <v>4092679</v>
      </c>
      <c r="HL235" s="14">
        <f t="shared" si="416"/>
        <v>430050</v>
      </c>
      <c r="HM235" s="50">
        <f t="shared" si="324"/>
        <v>9.5086395846401592E-2</v>
      </c>
      <c r="HO235" s="14">
        <f t="shared" si="417"/>
        <v>4522729</v>
      </c>
    </row>
    <row r="236" spans="11:223" x14ac:dyDescent="0.2">
      <c r="K236" s="14">
        <v>231</v>
      </c>
      <c r="L236" s="12">
        <f>求节点(节奏总纲!D$4:D$163,标准城池设计!AB$4:AB$163,$K236)*求节点(节奏总纲!D$4:D$163,攻城基础信息!$AC$5:$AC$164,$K236)</f>
        <v>699013.15801022423</v>
      </c>
      <c r="M236" s="12">
        <f>INDEX(其他调用!$AA$5:$AA$404,MATCH(K236,其他调用!$X$5:$X$404,0))*MIN(INDEX(其他调用!$AH$5:$AH$364,MATCH('征服点（新）'!K236,其他调用!$AG$5:$AG$364,0),1)/INDEX(其他调用!$AJ$5:$AJ$364,MATCH(K236,其他调用!$AG$5:$AG$364,0),0),5)*求节点(节奏总纲!D$4:D$163,攻城基础信息!$AC$5:$AC$164,$K236)</f>
        <v>53648.586148005372</v>
      </c>
      <c r="N236" s="12">
        <f>MIN(INDEX(其他调用!$AH$5:$AH$364,MATCH($K236,其他调用!$AG$5:$AG$364,0),1)/INDEX(其他调用!AH$5:AH$364,MATCH($K236,其他调用!$AG$5:$AG$364,0),0),1)*INDEX(其他调用!Y$5:Y$404,MATCH($K236,其他调用!$X$5:$X$404,0),0)</f>
        <v>40964.131401092221</v>
      </c>
      <c r="O236" s="12">
        <f>MIN(INDEX(其他调用!$AH$5:$AH$364,MATCH($K236,其他调用!$AG$5:$AG$364,0),1)/INDEX(其他调用!AI$5:AI$364,MATCH($K236,其他调用!$AG$5:$AG$364,0),0),1)*INDEX(其他调用!Z$5:Z$404,MATCH($K236,其他调用!$X$5:$X$404,0),0)</f>
        <v>25730.616270839375</v>
      </c>
      <c r="P236" s="12">
        <f>MIN(INDEX(其他调用!$AH$5:$AH$364,MATCH($K236,其他调用!$AG$5:$AG$364,0),1)/INDEX(其他调用!AJ$5:AJ$364,MATCH($K236,其他调用!$AG$5:$AG$364,0),0),1)*INDEX(其他调用!AA$5:AA$404,MATCH($K236,其他调用!$X$5:$X$404,0),0)</f>
        <v>15539.602015802522</v>
      </c>
      <c r="Q236" s="12">
        <f>MIN(INDEX(其他调用!$AH$5:$AH$364,MATCH($K236,其他调用!$AG$5:$AG$364,0),1)/INDEX(其他调用!AK$5:AK$364,MATCH($K236,其他调用!$AG$5:$AG$364,0),0),1)*INDEX(其他调用!AB$5:AB$404,MATCH($K236,其他调用!$X$5:$X$404,0),0)</f>
        <v>5540.6527440608979</v>
      </c>
      <c r="R236" s="12">
        <f>MIN(INDEX(其他调用!$AH$5:$AH$364,MATCH($K236,其他调用!$AG$5:$AG$364,0),1)/INDEX(其他调用!AL$5:AL$364,MATCH($K236,其他调用!$AG$5:$AG$364,0),0),1)*INDEX(其他调用!AC$5:AC$404,MATCH($K236,其他调用!$X$5:$X$404,0),0)</f>
        <v>2806.3521332426317</v>
      </c>
      <c r="S236" s="12">
        <f>求节点(节奏总纲!D$4:D$163,标准城池设计!AC$4:AC$163,$K236)*求节点(节奏总纲!D$4:D$163,攻城基础信息!$AD$5:$AD$164,$K236)</f>
        <v>750522.2707586498</v>
      </c>
      <c r="T236" s="12">
        <f>INDEX(其他调用!$AA$5:$AA$404,MATCH($K236,其他调用!$X$5:$X$404,0))*MIN(INDEX(其他调用!AI$5:AI$364,MATCH($K236,其他调用!$AG$5:$AG$364,0),1)/INDEX(其他调用!$AJ$5:$AJ$364,MATCH($K236,其他调用!$AG$5:$AG$364,0),0),5)*求节点(节奏总纲!D$4:D$163,攻城基础信息!$AD$5:$AD$164,$K236)</f>
        <v>87815.406431617201</v>
      </c>
      <c r="U236" s="12">
        <f>MIN(INDEX(其他调用!$AI$5:$AI$364,MATCH($K236,其他调用!$AG$5:$AG$364,0),1)/INDEX(其他调用!AH$5:AH$364,MATCH($K236,其他调用!$AG$5:$AG$364,0),0),1)*INDEX(其他调用!Y$5:Y$404,MATCH($K236,其他调用!$X$5:$X$404,0),0)</f>
        <v>40964.131401092221</v>
      </c>
      <c r="V236" s="12">
        <f>MIN(INDEX(其他调用!$AI$5:$AI$364,MATCH($K236,其他调用!$AG$5:$AG$364,0),1)/INDEX(其他调用!AI$5:AI$364,MATCH($K236,其他调用!$AG$5:$AG$364,0),0),1)*INDEX(其他调用!Z$5:Z$404,MATCH($K236,其他调用!$X$5:$X$404,0),0)</f>
        <v>42117.503699466113</v>
      </c>
      <c r="W236" s="12">
        <f>MIN(INDEX(其他调用!$AI$5:$AI$364,MATCH($K236,其他调用!$AG$5:$AG$364,0),1)/INDEX(其他调用!AJ$5:AJ$364,MATCH($K236,其他调用!$AG$5:$AG$364,0),0),1)*INDEX(其他调用!AA$5:AA$404,MATCH($K236,其他调用!$X$5:$X$404,0),0)</f>
        <v>25436.205588691217</v>
      </c>
      <c r="X236" s="12">
        <f>MIN(INDEX(其他调用!$AI$5:$AI$364,MATCH($K236,其他调用!$AG$5:$AG$364,0),1)/INDEX(其他调用!AK$5:AK$364,MATCH($K236,其他调用!$AG$5:$AG$364,0),0),1)*INDEX(其他调用!AB$5:AB$404,MATCH($K236,其他调用!$X$5:$X$404,0),0)</f>
        <v>9069.2916170028984</v>
      </c>
      <c r="Y236" s="12">
        <f>MIN(INDEX(其他调用!$AI$5:$AI$364,MATCH($K236,其他调用!$AG$5:$AG$364,0),1)/INDEX(其他调用!AL$5:AL$364,MATCH($K236,其他调用!$AG$5:$AG$364,0),0),1)*INDEX(其他调用!AC$5:AC$404,MATCH($K236,其他调用!$X$5:$X$404,0),0)</f>
        <v>4593.6150580195717</v>
      </c>
      <c r="Z236" s="12">
        <f>求节点(节奏总纲!D$4:D$163,标准城池设计!AD$4:AD$163,$K236)*求节点(节奏总纲!D$4:D$163,攻城基础信息!$AE$5:$AE$164,$K236)</f>
        <v>820284.22665138403</v>
      </c>
      <c r="AA236" s="12">
        <f>INDEX(其他调用!$AA$5:$AA$404,MATCH($K236,其他调用!$X$5:$X$404,0))*MIN(INDEX(其他调用!AJ$5:AJ$364,MATCH($K236,其他调用!$AG$5:$AG$364,0),1)/INDEX(其他调用!$AJ$5:$AJ$364,MATCH($K236,其他调用!$AG$5:$AG$364,0),0),5)*求节点(节奏总纲!D$4:D$163,攻城基础信息!$AE$5:$AE$164,$K236)</f>
        <v>150657.98466279873</v>
      </c>
      <c r="AB236" s="12">
        <f>MIN(INDEX(其他调用!$AJ$5:$AJ$364,MATCH($K236,其他调用!$AG$5:$AG$364,0),1)/INDEX(其他调用!AH$5:AH$364,MATCH($K236,其他调用!$AG$5:$AG$364,0),0),1)*INDEX(其他调用!Y$5:Y$404,MATCH($K236,其他调用!$X$5:$X$404,0),0)</f>
        <v>40964.131401092221</v>
      </c>
      <c r="AC236" s="12">
        <f>MIN(INDEX(其他调用!$AJ$5:$AJ$364,MATCH($K236,其他调用!$AG$5:$AG$364,0),1)/INDEX(其他调用!AI$5:AI$364,MATCH($K236,其他调用!$AG$5:$AG$364,0),0),1)*INDEX(其他调用!Z$5:Z$404,MATCH($K236,其他调用!$X$5:$X$404,0),0)</f>
        <v>42117.503699466113</v>
      </c>
      <c r="AD236" s="12">
        <f>MIN(INDEX(其他调用!$AJ$5:$AJ$364,MATCH($K236,其他调用!$AG$5:$AG$364,0),1)/INDEX(其他调用!AJ$5:AJ$364,MATCH($K236,其他调用!$AG$5:$AG$364,0),0),1)*INDEX(其他调用!AA$5:AA$404,MATCH($K236,其他调用!$X$5:$X$404,0),0)</f>
        <v>43638.896945093416</v>
      </c>
      <c r="AE236" s="12">
        <f>MIN(INDEX(其他调用!$AJ$5:$AJ$364,MATCH($K236,其他调用!$AG$5:$AG$364,0),1)/INDEX(其他调用!AK$5:AK$364,MATCH($K236,其他调用!$AG$5:$AG$364,0),0),1)*INDEX(其他调用!AB$5:AB$404,MATCH($K236,其他调用!$X$5:$X$404,0),0)</f>
        <v>15559.470175667542</v>
      </c>
      <c r="AF236" s="12">
        <f>MIN(INDEX(其他调用!$AJ$5:$AJ$364,MATCH($K236,其他调用!$AG$5:$AG$364,0),1)/INDEX(其他调用!AL$5:AL$364,MATCH($K236,其他调用!$AG$5:$AG$364,0),0),1)*INDEX(其他调用!AC$5:AC$404,MATCH($K236,其他调用!$X$5:$X$404,0),0)</f>
        <v>7880.9039903132725</v>
      </c>
      <c r="AG236" s="12">
        <f>求节点(节奏总纲!D$4:D$163,标准城池设计!AE$4:AE$163,$K236)*求节点(节奏总纲!D$4:D$163,攻城基础信息!$AF$5:$AF$164,$K236)</f>
        <v>986348.46922586753</v>
      </c>
      <c r="AH236" s="12">
        <f>INDEX(其他调用!$AA$5:$AA$404,MATCH($K236,其他调用!$X$5:$X$404,0))*MIN(INDEX(其他调用!AK$5:AK$364,MATCH($K236,其他调用!$AG$5:$AG$364,0),1)/INDEX(其他调用!$AJ$5:$AJ$364,MATCH($K236,其他调用!$AG$5:$AG$364,0),0),5)*求节点(节奏总纲!D$4:D$163,攻城基础信息!$AF$5:$AF$164,$K236)</f>
        <v>444026.92562769103</v>
      </c>
      <c r="AI236" s="12">
        <f>MIN(INDEX(其他调用!$AK$5:$AK$364,MATCH($K236,其他调用!$AG$5:$AG$364,0),1)/INDEX(其他调用!AH$5:AH$364,MATCH($K236,其他调用!$AG$5:$AG$364,0),0),1)*INDEX(其他调用!Y$5:Y$404,MATCH($K236,其他调用!$X$5:$X$404,0),0)</f>
        <v>40964.131401092221</v>
      </c>
      <c r="AJ236" s="12">
        <f>MIN(INDEX(其他调用!$AK$5:$AK$364,MATCH($K236,其他调用!$AG$5:$AG$364,0),1)/INDEX(其他调用!AI$5:AI$364,MATCH($K236,其他调用!$AG$5:$AG$364,0),0),1)*INDEX(其他调用!Z$5:Z$404,MATCH($K236,其他调用!$X$5:$X$404,0),0)</f>
        <v>42117.503699466113</v>
      </c>
      <c r="AK236" s="12">
        <f>MIN(INDEX(其他调用!$AK$5:$AK$364,MATCH($K236,其他调用!$AG$5:$AG$364,0),1)/INDEX(其他调用!AJ$5:AJ$364,MATCH($K236,其他调用!$AG$5:$AG$364,0),0),1)*INDEX(其他调用!AA$5:AA$404,MATCH($K236,其他调用!$X$5:$X$404,0),0)</f>
        <v>43638.896945093416</v>
      </c>
      <c r="AL236" s="12">
        <f>MIN(INDEX(其他调用!$AK$5:$AK$364,MATCH($K236,其他调用!$AG$5:$AG$364,0),1)/INDEX(其他调用!AK$5:AK$364,MATCH($K236,其他调用!$AG$5:$AG$364,0),0),1)*INDEX(其他调用!AB$5:AB$404,MATCH($K236,其他调用!$X$5:$X$404,0),0)</f>
        <v>45857.667099162871</v>
      </c>
      <c r="AM236" s="12">
        <f>MIN(INDEX(其他调用!$AK$5:$AK$364,MATCH($K236,其他调用!$AG$5:$AG$364,0),1)/INDEX(其他调用!AL$5:AL$364,MATCH($K236,其他调用!$AG$5:$AG$364,0),0),1)*INDEX(其他调用!AC$5:AC$404,MATCH($K236,其他调用!$X$5:$X$404,0),0)</f>
        <v>23227.003718508389</v>
      </c>
      <c r="AN236" s="12">
        <f>求节点(节奏总纲!D$4:D$163,标准城池设计!AF$4:AF$163,$K236)*求节点(节奏总纲!D$4:D$163,攻城基础信息!$AG$5:$AG$164,$K236)</f>
        <v>1031914.8886091902</v>
      </c>
      <c r="AO236" s="12">
        <f>INDEX(其他调用!$AA$5:$AA$404,MATCH($K236,其他调用!$X$5:$X$404,0))*MIN(INDEX(其他调用!AL$5:AL$364,MATCH($K236,其他调用!$AG$5:$AG$364,0),1)/INDEX(其他调用!$AJ$5:$AJ$364,MATCH($K236,其他调用!$AG$5:$AG$364,0),0),5)*求节点(节奏总纲!D$4:D$163,攻城基础信息!$AG$5:$AG$164,$K236)</f>
        <v>753289.92331399361</v>
      </c>
      <c r="AP236" s="12">
        <f>MIN(INDEX(其他调用!$AL$5:$AL$364,MATCH($K236,其他调用!$AG$5:$AG$364,0),1)/INDEX(其他调用!AH$5:AH$364,MATCH($K236,其他调用!$AG$5:$AG$364,0),0),1)*INDEX(其他调用!Y$5:Y$404,MATCH($K236,其他调用!$X$5:$X$404,0),0)</f>
        <v>40964.131401092221</v>
      </c>
      <c r="AQ236" s="12">
        <f>MIN(INDEX(其他调用!$AL$5:$AL$364,MATCH($K236,其他调用!$AG$5:$AG$364,0),1)/INDEX(其他调用!AI$5:AI$364,MATCH($K236,其他调用!$AG$5:$AG$364,0),0),1)*INDEX(其他调用!Z$5:Z$404,MATCH($K236,其他调用!$X$5:$X$404,0),0)</f>
        <v>42117.503699466113</v>
      </c>
      <c r="AR236" s="12">
        <f>MIN(INDEX(其他调用!$AL$5:$AL$364,MATCH($K236,其他调用!$AG$5:$AG$364,0),1)/INDEX(其他调用!AJ$5:AJ$364,MATCH($K236,其他调用!$AG$5:$AG$364,0),0),1)*INDEX(其他调用!AA$5:AA$404,MATCH($K236,其他调用!$X$5:$X$404,0),0)</f>
        <v>43638.896945093416</v>
      </c>
      <c r="AS236" s="12">
        <f>MIN(INDEX(其他调用!$AL$5:$AL$364,MATCH($K236,其他调用!$AG$5:$AG$364,0),1)/INDEX(其他调用!AK$5:AK$364,MATCH($K236,其他调用!$AG$5:$AG$364,0),0),1)*INDEX(其他调用!AB$5:AB$404,MATCH($K236,其他调用!$X$5:$X$404,0),0)</f>
        <v>45857.667099162871</v>
      </c>
      <c r="AT236" s="12">
        <f>MIN(INDEX(其他调用!$AL$5:$AL$364,MATCH($K236,其他调用!$AG$5:$AG$364,0),1)/INDEX(其他调用!AL$5:AL$364,MATCH($K236,其他调用!$AG$5:$AG$364,0),0),1)*INDEX(其他调用!AC$5:AC$404,MATCH($K236,其他调用!$X$5:$X$404,0),0)</f>
        <v>49771.390151405751</v>
      </c>
      <c r="AV236" s="14">
        <f>IF(OR(AV$5="大R",AV$5="超R"),MAX(INDEX(其他调用!$H$5:$L$404,MATCH($K236,其他调用!$B$5:$B$404,0),MATCH(AV$5,其他调用!$H$4:$L$4,0))*120*0.85,2),INDEX(其他调用!$H$5:$L$404,MATCH($K236,其他调用!$B$5:$B$404,0),MATCH(AV$5,其他调用!$H$4:$L$4,0))*120*0.85)</f>
        <v>48.921801254999991</v>
      </c>
      <c r="AW236" s="14">
        <f>IF(OR(AW$5="大R",AW$5="超R"),MAX(INDEX(其他调用!$H$5:$L$404,MATCH($K236,其他调用!$B$5:$B$404,0),MATCH(AW$5,其他调用!$H$4:$L$4,0))*120*0.85,2),INDEX(其他调用!$H$5:$L$404,MATCH($K236,其他调用!$B$5:$B$404,0),MATCH(AW$5,其他调用!$H$4:$L$4,0))*120*0.85)</f>
        <v>48.237344010638395</v>
      </c>
      <c r="AX236" s="14">
        <f>IF(OR(AX$5="大R",AX$5="超R"),MAX(INDEX(其他调用!$H$5:$L$404,MATCH($K236,其他调用!$B$5:$B$404,0),MATCH(AX$5,其他调用!$H$4:$L$4,0))*120*0.85,2),INDEX(其他调用!$H$5:$L$404,MATCH($K236,其他调用!$B$5:$B$404,0),MATCH(AX$5,其他调用!$H$4:$L$4,0))*120*0.85)</f>
        <v>3.9376284143615998</v>
      </c>
      <c r="AY236" s="14">
        <f>IF(OR(AY$5="大R",AY$5="超R"),MAX(INDEX(其他调用!$H$5:$L$404,MATCH($K236,其他调用!$B$5:$B$404,0),MATCH(AY$5,其他调用!$H$4:$L$4,0))*120*0.85,2),INDEX(其他调用!$H$5:$L$404,MATCH($K236,其他调用!$B$5:$B$404,0),MATCH(AY$5,其他调用!$H$4:$L$4,0))*120*0.85)</f>
        <v>2</v>
      </c>
      <c r="AZ236" s="14">
        <f>IF(OR(AZ$5="大R",AZ$5="超R"),MAX(INDEX(其他调用!$H$5:$L$404,MATCH($K236,其他调用!$B$5:$B$404,0),MATCH(AZ$5,其他调用!$H$4:$L$4,0))*120*0.85,2),INDEX(其他调用!$H$5:$L$404,MATCH($K236,其他调用!$B$5:$B$404,0),MATCH(AZ$5,其他调用!$H$4:$L$4,0))*120*0.85)</f>
        <v>2</v>
      </c>
      <c r="BA236" s="14">
        <f>INDEX(其他调用!$H$5:$L$404,MATCH($K236,其他调用!$B$5:$B$404,0),MATCH(BA$5,其他调用!$H$4:$L$4,0))*INDEX(其他调用!$M$5:$M$404,MATCH($K236,其他调用!$B$5:$B$404,0))*0.6</f>
        <v>28.777530149999997</v>
      </c>
      <c r="BB236" s="14">
        <f>INDEX(其他调用!$H$5:$L$404,MATCH($K236,其他调用!$B$5:$B$404,0),MATCH(BB$5,其他调用!$H$4:$L$4,0))*INDEX(其他调用!$M$5:$M$404,MATCH($K236,其他调用!$B$5:$B$404,0))*0.6</f>
        <v>28.374908241551999</v>
      </c>
      <c r="BC236" s="14">
        <f>INDEX(其他调用!$H$5:$L$404,MATCH($K236,其他调用!$B$5:$B$404,0),MATCH(BC$5,其他调用!$H$4:$L$4,0))*INDEX(其他调用!$M$5:$M$404,MATCH($K236,其他调用!$B$5:$B$404,0))*0.6</f>
        <v>2.3162520084480001</v>
      </c>
      <c r="BD236" s="14">
        <f>INDEX(其他调用!$H$5:$L$404,MATCH($K236,其他调用!$B$5:$B$404,0),MATCH(BD$5,其他调用!$H$4:$L$4,0))*INDEX(其他调用!$M$5:$M$404,MATCH($K236,其他调用!$B$5:$B$404,0))*0.6</f>
        <v>0.4120776000000001</v>
      </c>
      <c r="BE236" s="14">
        <f>INDEX(其他调用!$H$5:$L$404,MATCH($K236,其他调用!$B$5:$B$404,0),MATCH(BE$5,其他调用!$H$4:$L$4,0))*INDEX(其他调用!$M$5:$M$404,MATCH($K236,其他调用!$B$5:$B$404,0))*0.6</f>
        <v>0.11923199999999998</v>
      </c>
      <c r="BF236" s="14">
        <f>IF(OR(BF$5="大R",BF$5="超R"),0,INDEX(其他调用!$H$5:$L$404,MATCH($K236,其他调用!$B$5:$B$404,0),MATCH(BF$5,其他调用!$H$4:$L$4,0))*50*0.4)</f>
        <v>9.5925100500000013</v>
      </c>
      <c r="BG236" s="14">
        <f>IF(OR(BG$5="大R",BG$5="超R"),0,INDEX(其他调用!$H$5:$L$404,MATCH($K236,其他调用!$B$5:$B$404,0),MATCH(BG$5,其他调用!$H$4:$L$4,0))*50*0.4)</f>
        <v>9.4583027471839998</v>
      </c>
      <c r="BH236" s="14">
        <f>IF(OR(BH$5="大R",BH$5="超R"),0,INDEX(其他调用!$H$5:$L$404,MATCH($K236,其他调用!$B$5:$B$404,0),MATCH(BH$5,其他调用!$H$4:$L$4,0))*50*0.4)</f>
        <v>0.77208400281600009</v>
      </c>
      <c r="BI236" s="14">
        <f>IF(OR(BI$5="大R",BI$5="超R"),0,INDEX(其他调用!$H$5:$L$404,MATCH($K236,其他调用!$B$5:$B$404,0),MATCH(BI$5,其他调用!$H$4:$L$4,0))*50*0.4)</f>
        <v>0</v>
      </c>
      <c r="BJ236" s="14">
        <f>IF(OR(BJ$5="大R",BJ$5="超R"),0,INDEX(其他调用!$H$5:$L$404,MATCH($K236,其他调用!$B$5:$B$404,0),MATCH(BJ$5,其他调用!$H$4:$L$4,0))*50*0.4)</f>
        <v>0</v>
      </c>
      <c r="BL236" s="14">
        <f t="shared" si="418"/>
        <v>231</v>
      </c>
      <c r="BM236" s="14">
        <f t="shared" si="325"/>
        <v>96</v>
      </c>
      <c r="BN236" s="14">
        <f>('疲劳值&amp;地图信息'!$S$10*'疲劳值&amp;地图信息'!$R$10+'疲劳值&amp;地图信息'!$S$11*'疲劳值&amp;地图信息'!$R$11+'疲劳值&amp;地图信息'!$S$12*'疲劳值&amp;地图信息'!$R$12+(BM236-'疲劳值&amp;地图信息'!$S$12-'疲劳值&amp;地图信息'!$S$11-'疲劳值&amp;地图信息'!$S$10)*'疲劳值&amp;地图信息'!$R$13)/BM236</f>
        <v>51.371477246638619</v>
      </c>
      <c r="BO236" s="14">
        <f>INDEX(其他调用!$M$5:$M$404,MATCH(BL236,其他调用!$B$5:$B$404,0))*0.6</f>
        <v>60</v>
      </c>
      <c r="BP236" s="14">
        <f>IF(BO236&gt;SUM('疲劳值&amp;地图信息'!$S$10:$S$12),('疲劳值&amp;地图信息'!$S$10*'疲劳值&amp;地图信息'!$R$10+'疲劳值&amp;地图信息'!$S$11*'疲劳值&amp;地图信息'!$R$11+'疲劳值&amp;地图信息'!$S$12*'疲劳值&amp;地图信息'!$R$12+(BO236-'疲劳值&amp;地图信息'!$S$12-'疲劳值&amp;地图信息'!$S$11-'疲劳值&amp;地图信息'!$S$10)*'疲劳值&amp;地图信息'!$R$13)/BO236,('疲劳值&amp;地图信息'!$S$10*'疲劳值&amp;地图信息'!$R$10+'疲劳值&amp;地图信息'!$S$11*'疲劳值&amp;地图信息'!$R$11+'疲劳值&amp;地图信息'!$S$12*'疲劳值&amp;地图信息'!$R$12+(BO236-'疲劳值&amp;地图信息'!$S$12-'疲劳值&amp;地图信息'!$S$11-'疲劳值&amp;地图信息'!$S$10)*'疲劳值&amp;地图信息'!$R$13)/BO236)</f>
        <v>44.158136341605953</v>
      </c>
      <c r="BQ236" s="14">
        <f t="shared" si="419"/>
        <v>20</v>
      </c>
      <c r="BR236" s="14">
        <f>('疲劳值&amp;地图信息'!$S$10*'疲劳值&amp;地图信息'!$R$10+($BQ236-'疲劳值&amp;地图信息'!$S$10)*'疲劳值&amp;地图信息'!$R$11)/$BQ236</f>
        <v>32.067203015074995</v>
      </c>
      <c r="CF236" s="14">
        <v>231</v>
      </c>
      <c r="CG236" s="51">
        <f t="shared" si="326"/>
        <v>14246</v>
      </c>
      <c r="CH236" s="51">
        <f t="shared" si="327"/>
        <v>1093</v>
      </c>
      <c r="CI236" s="51">
        <f>INT(SUMPRODUCT($N236:$R236,$BA236:$BE236)/SUM($BA236:$BE236)/10000*$BX$7*$BZ$34/'疲劳值&amp;地图信息'!$R$10*$BY$53)</f>
        <v>3293</v>
      </c>
      <c r="CJ236" s="50">
        <f t="shared" si="328"/>
        <v>0.76459854014598538</v>
      </c>
      <c r="CK236" s="50">
        <f t="shared" si="329"/>
        <v>5.8662516101331046E-2</v>
      </c>
      <c r="CL236" s="50">
        <f t="shared" si="330"/>
        <v>0.17673894375268356</v>
      </c>
      <c r="CM236" s="14">
        <f t="shared" si="331"/>
        <v>15296</v>
      </c>
      <c r="CN236" s="14">
        <f t="shared" si="332"/>
        <v>1789</v>
      </c>
      <c r="CO236" s="14">
        <f>INT(SUMPRODUCT($U236:$Y236,$BA236:$BE236)/SUM($BA236:$BE236)/10000*$BX$7*$BZ$34/'疲劳值&amp;地图信息'!$R$10*$BY$54)</f>
        <v>6182</v>
      </c>
      <c r="CP236" s="50">
        <f t="shared" si="333"/>
        <v>0.65741178493144803</v>
      </c>
      <c r="CQ236" s="50">
        <f t="shared" si="334"/>
        <v>7.6890015902350964E-2</v>
      </c>
      <c r="CR236" s="50">
        <f t="shared" si="335"/>
        <v>0.26569819916620108</v>
      </c>
      <c r="CS236" s="14">
        <f t="shared" si="336"/>
        <v>16718</v>
      </c>
      <c r="CT236" s="14">
        <f t="shared" si="337"/>
        <v>3070</v>
      </c>
      <c r="CU236" s="14">
        <f>INT(SUMPRODUCT($AB236:$AF236,$BA236:$BE236)/SUM($BA236:$BE236)/10000*$BX$7*$BZ$34/'疲劳值&amp;地图信息'!$R$10*$BY$55)</f>
        <v>8395</v>
      </c>
      <c r="CV236" s="50">
        <f t="shared" si="338"/>
        <v>0.59319447894120569</v>
      </c>
      <c r="CW236" s="50">
        <f t="shared" si="339"/>
        <v>0.10893091580030514</v>
      </c>
      <c r="CX236" s="50">
        <f t="shared" si="340"/>
        <v>0.29787460525848913</v>
      </c>
      <c r="CY236" s="14">
        <f t="shared" si="341"/>
        <v>20103</v>
      </c>
      <c r="CZ236" s="14">
        <f t="shared" si="342"/>
        <v>9049</v>
      </c>
      <c r="DA236" s="14">
        <f>INT(SUMPRODUCT($AI236:$AM236,$BA236:$BE236)/SUM($BA236:$BE236)/10000*$BX$7*$BZ$34/'疲劳值&amp;地图信息'!$R$10*$BY$56)</f>
        <v>12666</v>
      </c>
      <c r="DB236" s="50">
        <f t="shared" si="343"/>
        <v>0.48072600315653546</v>
      </c>
      <c r="DC236" s="50">
        <f t="shared" si="344"/>
        <v>0.2163900712611794</v>
      </c>
      <c r="DD236" s="50">
        <f t="shared" si="345"/>
        <v>0.30288392558228516</v>
      </c>
      <c r="DE236" s="14">
        <f t="shared" si="346"/>
        <v>21031</v>
      </c>
      <c r="DF236" s="14">
        <f t="shared" si="347"/>
        <v>15353</v>
      </c>
      <c r="DG236" s="14">
        <f>INT(SUMPRODUCT($AP236:$AT236,$BA236:$BE236)/SUM($BA236:$BE236)/10000*$BX$7*$BZ$34/'疲劳值&amp;地图信息'!$R$10*$BY$57)</f>
        <v>16910</v>
      </c>
      <c r="DH236" s="50">
        <f t="shared" si="348"/>
        <v>0.39462228393440163</v>
      </c>
      <c r="DI236" s="50">
        <f t="shared" si="349"/>
        <v>0.28808120989229558</v>
      </c>
      <c r="DJ236" s="50">
        <f t="shared" si="350"/>
        <v>0.31729650617330279</v>
      </c>
      <c r="DL236" s="14">
        <f t="shared" si="421"/>
        <v>18632</v>
      </c>
      <c r="DM236" s="14">
        <f t="shared" si="422"/>
        <v>23267</v>
      </c>
      <c r="DN236" s="14">
        <f t="shared" si="423"/>
        <v>28183</v>
      </c>
      <c r="DO236" s="14">
        <f t="shared" si="424"/>
        <v>41818</v>
      </c>
      <c r="DP236" s="14">
        <f t="shared" si="425"/>
        <v>53294</v>
      </c>
      <c r="DQ236" s="14">
        <f t="shared" si="426"/>
        <v>1285247</v>
      </c>
      <c r="DT236" s="14">
        <f t="shared" si="420"/>
        <v>235575</v>
      </c>
      <c r="DU236" s="50">
        <f t="shared" si="322"/>
        <v>0.15489978445866776</v>
      </c>
      <c r="DW236" s="14">
        <f t="shared" si="351"/>
        <v>1520822</v>
      </c>
      <c r="EB236" s="14">
        <v>231</v>
      </c>
      <c r="EC236" s="51">
        <f t="shared" si="352"/>
        <v>23744</v>
      </c>
      <c r="ED236" s="51">
        <f t="shared" si="353"/>
        <v>1822</v>
      </c>
      <c r="EE236" s="51">
        <f>INT(SUMPRODUCT($N236:$R236,$BF236:$BJ236)/SUM($BF236:$BJ236)/10000*$BX$7*$BZ$46/'疲劳值&amp;地图信息'!$R$10*$BY$53)</f>
        <v>442</v>
      </c>
      <c r="EF236" s="50">
        <f t="shared" si="354"/>
        <v>0.91294986158105196</v>
      </c>
      <c r="EG236" s="50">
        <f t="shared" si="355"/>
        <v>7.0055367579206398E-2</v>
      </c>
      <c r="EH236" s="50">
        <f t="shared" si="356"/>
        <v>1.6994770839741619E-2</v>
      </c>
      <c r="EI236" s="51">
        <f t="shared" si="357"/>
        <v>25494</v>
      </c>
      <c r="EJ236" s="51">
        <f t="shared" si="358"/>
        <v>2982</v>
      </c>
      <c r="EK236" s="14">
        <f>INT(SUMPRODUCT($U236:$Y236,$BF236:$BJ236)/SUM($BF236:$BJ236)/10000*$BX$7*$BZ$46/'疲劳值&amp;地图信息'!$R$10*$BY$54)</f>
        <v>830</v>
      </c>
      <c r="EL236" s="50">
        <f t="shared" si="359"/>
        <v>0.86992424759434928</v>
      </c>
      <c r="EM236" s="50">
        <f t="shared" si="360"/>
        <v>0.1017539070497509</v>
      </c>
      <c r="EN236" s="50">
        <f t="shared" si="361"/>
        <v>2.8321845355899815E-2</v>
      </c>
      <c r="EO236" s="51">
        <f t="shared" si="362"/>
        <v>27864</v>
      </c>
      <c r="EP236" s="51">
        <f t="shared" si="363"/>
        <v>5117</v>
      </c>
      <c r="EQ236" s="14">
        <f>INT(SUMPRODUCT($AB236:$AF236,$BF236:$BJ236)/SUM($BF236:$BJ236)/10000*$BX$7*$BZ$46/'疲劳值&amp;地图信息'!$R$10*$BY$55)</f>
        <v>1126</v>
      </c>
      <c r="ER236" s="50">
        <f t="shared" si="364"/>
        <v>0.81695839563725925</v>
      </c>
      <c r="ES236" s="50">
        <f t="shared" si="365"/>
        <v>0.15002785351980533</v>
      </c>
      <c r="ET236" s="50">
        <f t="shared" si="366"/>
        <v>3.3013750842935466E-2</v>
      </c>
      <c r="EU236" s="51">
        <f t="shared" si="367"/>
        <v>33505</v>
      </c>
      <c r="EV236" s="51">
        <f t="shared" si="368"/>
        <v>15083</v>
      </c>
      <c r="EW236" s="14">
        <f>INT(SUMPRODUCT($AI236:$AM236,$BF236:$BJ236)/SUM($BF236:$BJ236)/10000*$BX$7*$BZ$46/'疲劳值&amp;地图信息'!$R$10*$BY$56)</f>
        <v>1689</v>
      </c>
      <c r="EX236" s="50">
        <f t="shared" si="369"/>
        <v>0.66640809913081533</v>
      </c>
      <c r="EY236" s="50">
        <f t="shared" si="370"/>
        <v>0.29999801101895501</v>
      </c>
      <c r="EZ236" s="50">
        <f t="shared" si="371"/>
        <v>3.3593889850229729E-2</v>
      </c>
      <c r="FA236" s="51">
        <f t="shared" si="372"/>
        <v>35052</v>
      </c>
      <c r="FB236" s="51">
        <f t="shared" si="373"/>
        <v>25588</v>
      </c>
      <c r="FC236" s="14">
        <f>INT(SUMPRODUCT($AP236:$AT236,$BF236:$BJ236)/SUM($BF236:$BJ236)/10000*$BX$7*$BZ$46/'疲劳值&amp;地图信息'!$R$10*$BY$57)</f>
        <v>2252</v>
      </c>
      <c r="FD236" s="50">
        <f t="shared" si="374"/>
        <v>0.55733638618584236</v>
      </c>
      <c r="FE236" s="50">
        <f t="shared" si="375"/>
        <v>0.40685619792660432</v>
      </c>
      <c r="FF236" s="50">
        <f t="shared" si="376"/>
        <v>3.5807415887553269E-2</v>
      </c>
      <c r="FH236" s="14">
        <f t="shared" si="377"/>
        <v>26008</v>
      </c>
      <c r="FI236" s="14">
        <f t="shared" si="378"/>
        <v>29306</v>
      </c>
      <c r="FJ236" s="14">
        <f t="shared" si="379"/>
        <v>34107</v>
      </c>
      <c r="FK236" s="14">
        <f t="shared" si="380"/>
        <v>50277</v>
      </c>
      <c r="FL236" s="14">
        <f t="shared" si="381"/>
        <v>62892</v>
      </c>
      <c r="FM236" s="14">
        <f t="shared" si="382"/>
        <v>3046640</v>
      </c>
      <c r="FP236" s="14">
        <f t="shared" si="383"/>
        <v>334150</v>
      </c>
      <c r="FQ236" s="50">
        <f t="shared" si="323"/>
        <v>9.8837845592302395E-2</v>
      </c>
      <c r="FS236" s="14">
        <f t="shared" si="384"/>
        <v>3380790</v>
      </c>
      <c r="FX236" s="14">
        <v>231</v>
      </c>
      <c r="FY236" s="51">
        <f t="shared" si="385"/>
        <v>33242</v>
      </c>
      <c r="FZ236" s="51">
        <f t="shared" si="386"/>
        <v>1822</v>
      </c>
      <c r="GA236" s="51">
        <f>INT(SUMPRODUCT($N236:$R236,$BF236:$BJ236)/SUM($BF236:$BJ236)/10000*$BX$7*$BZ$46/'疲劳值&amp;地图信息'!$R$10*$BY$53)</f>
        <v>442</v>
      </c>
      <c r="GB236" s="50">
        <f t="shared" si="387"/>
        <v>0.93623612910494003</v>
      </c>
      <c r="GC236" s="50">
        <f t="shared" si="388"/>
        <v>5.131527065848026E-2</v>
      </c>
      <c r="GD236" s="50">
        <f t="shared" si="389"/>
        <v>1.2448600236579732E-2</v>
      </c>
      <c r="GE236" s="51">
        <f t="shared" si="390"/>
        <v>35692</v>
      </c>
      <c r="GF236" s="51">
        <f t="shared" si="391"/>
        <v>2982</v>
      </c>
      <c r="GG236" s="14">
        <f>INT(SUMPRODUCT($U236:$Y236,$BF236:$BJ236)/SUM($BF236:$BJ236)/10000*$BX$7*$BZ$46/'疲劳值&amp;地图信息'!$R$10*$BY$54)</f>
        <v>830</v>
      </c>
      <c r="GH236" s="50">
        <f t="shared" si="392"/>
        <v>0.9035034426893479</v>
      </c>
      <c r="GI236" s="50">
        <f t="shared" si="393"/>
        <v>7.5486026731470229E-2</v>
      </c>
      <c r="GJ236" s="50">
        <f t="shared" si="394"/>
        <v>2.1010530579181855E-2</v>
      </c>
      <c r="GK236" s="51">
        <f t="shared" si="395"/>
        <v>39009</v>
      </c>
      <c r="GL236" s="51">
        <f t="shared" si="396"/>
        <v>5117</v>
      </c>
      <c r="GM236" s="14">
        <f>INT(SUMPRODUCT($AB236:$AF236,$BF236:$BJ236)/SUM($BF236:$BJ236)/10000*$BX$7*$BZ$46/'疲劳值&amp;地图信息'!$R$10*$BY$55)</f>
        <v>1126</v>
      </c>
      <c r="GN236" s="50">
        <f t="shared" si="397"/>
        <v>0.8620392468841156</v>
      </c>
      <c r="GO236" s="50">
        <f t="shared" si="398"/>
        <v>0.11307787501104924</v>
      </c>
      <c r="GP236" s="50">
        <f t="shared" si="399"/>
        <v>2.4882878104835145E-2</v>
      </c>
      <c r="GQ236" s="51">
        <f t="shared" si="400"/>
        <v>46907</v>
      </c>
      <c r="GR236" s="51">
        <f t="shared" si="401"/>
        <v>15083</v>
      </c>
      <c r="GS236" s="14">
        <f>INT(SUMPRODUCT($AI236:$AM236,$BF236:$BJ236)/SUM($BF236:$BJ236)/10000*$BX$7*$BZ$46/'疲劳值&amp;地图信息'!$R$10*$BY$56)</f>
        <v>1689</v>
      </c>
      <c r="GT236" s="50">
        <f t="shared" si="402"/>
        <v>0.73661646696713201</v>
      </c>
      <c r="GU236" s="50">
        <f t="shared" si="403"/>
        <v>0.23685987531211231</v>
      </c>
      <c r="GV236" s="50">
        <f t="shared" si="404"/>
        <v>2.6523657720755666E-2</v>
      </c>
      <c r="GW236" s="51">
        <f t="shared" si="405"/>
        <v>49074</v>
      </c>
      <c r="GX236" s="51">
        <f t="shared" si="406"/>
        <v>25588</v>
      </c>
      <c r="GY236" s="14">
        <f>INT(SUMPRODUCT($AP236:$AT236,$BF236:$BJ236)/SUM($BF236:$BJ236)/10000*$BX$7*$BZ$46/'疲劳值&amp;地图信息'!$R$10*$BY$57)</f>
        <v>2252</v>
      </c>
      <c r="GZ236" s="50">
        <f t="shared" si="407"/>
        <v>0.63803728840003116</v>
      </c>
      <c r="HA236" s="50">
        <f t="shared" si="408"/>
        <v>0.33268325662428166</v>
      </c>
      <c r="HB236" s="50">
        <f t="shared" si="409"/>
        <v>2.9279454975687132E-2</v>
      </c>
      <c r="HD236" s="14">
        <f t="shared" si="410"/>
        <v>35506</v>
      </c>
      <c r="HE236" s="14">
        <f t="shared" si="411"/>
        <v>39504</v>
      </c>
      <c r="HF236" s="14">
        <f t="shared" si="412"/>
        <v>45252</v>
      </c>
      <c r="HG236" s="14">
        <f t="shared" si="413"/>
        <v>63679</v>
      </c>
      <c r="HH236" s="14">
        <f t="shared" si="414"/>
        <v>76914</v>
      </c>
      <c r="HI236" s="14">
        <f t="shared" si="415"/>
        <v>4101957</v>
      </c>
      <c r="HL236" s="14">
        <f t="shared" si="416"/>
        <v>430050</v>
      </c>
      <c r="HM236" s="50">
        <f t="shared" si="324"/>
        <v>9.4891733397587427E-2</v>
      </c>
      <c r="HO236" s="14">
        <f t="shared" si="417"/>
        <v>4532007</v>
      </c>
    </row>
    <row r="237" spans="11:223" x14ac:dyDescent="0.2">
      <c r="K237" s="14">
        <v>232</v>
      </c>
      <c r="L237" s="12">
        <f>求节点(节奏总纲!D$4:D$163,标准城池设计!AB$4:AB$163,$K237)*求节点(节奏总纲!D$4:D$163,攻城基础信息!$AC$5:$AC$164,$K237)</f>
        <v>700449.6508470024</v>
      </c>
      <c r="M237" s="12">
        <f>INDEX(其他调用!$AA$5:$AA$404,MATCH(K237,其他调用!$X$5:$X$404,0))*MIN(INDEX(其他调用!$AH$5:$AH$364,MATCH('征服点（新）'!K237,其他调用!$AG$5:$AG$364,0),1)/INDEX(其他调用!$AJ$5:$AJ$364,MATCH(K237,其他调用!$AG$5:$AG$364,0),0),5)*求节点(节奏总纲!D$4:D$163,攻城基础信息!$AC$5:$AC$164,$K237)</f>
        <v>53675.158573037552</v>
      </c>
      <c r="N237" s="12">
        <f>MIN(INDEX(其他调用!$AH$5:$AH$364,MATCH($K237,其他调用!$AG$5:$AG$364,0),1)/INDEX(其他调用!AH$5:AH$364,MATCH($K237,其他调用!$AG$5:$AG$364,0),0),1)*INDEX(其他调用!Y$5:Y$404,MATCH($K237,其他调用!$X$5:$X$404,0),0)</f>
        <v>40989.607930344966</v>
      </c>
      <c r="O237" s="12">
        <f>MIN(INDEX(其他调用!$AH$5:$AH$364,MATCH($K237,其他调用!$AG$5:$AG$364,0),1)/INDEX(其他调用!AI$5:AI$364,MATCH($K237,其他调用!$AG$5:$AG$364,0),0),1)*INDEX(其他调用!Z$5:Z$404,MATCH($K237,其他调用!$X$5:$X$404,0),0)</f>
        <v>25698.44811912506</v>
      </c>
      <c r="P237" s="12">
        <f>MIN(INDEX(其他调用!$AH$5:$AH$364,MATCH($K237,其他调用!$AG$5:$AG$364,0),1)/INDEX(其他调用!AJ$5:AJ$364,MATCH($K237,其他调用!$AG$5:$AG$364,0),0),1)*INDEX(其他调用!AA$5:AA$404,MATCH($K237,其他调用!$X$5:$X$404,0),0)</f>
        <v>15537.919887061133</v>
      </c>
      <c r="Q237" s="12">
        <f>MIN(INDEX(其他调用!$AH$5:$AH$364,MATCH($K237,其他调用!$AG$5:$AG$364,0),1)/INDEX(其他调用!AK$5:AK$364,MATCH($K237,其他调用!$AG$5:$AG$364,0),0),1)*INDEX(其他调用!AB$5:AB$404,MATCH($K237,其他调用!$X$5:$X$404,0),0)</f>
        <v>5536.9803552898211</v>
      </c>
      <c r="R237" s="12">
        <f>MIN(INDEX(其他调用!$AH$5:$AH$364,MATCH($K237,其他调用!$AG$5:$AG$364,0),1)/INDEX(其他调用!AL$5:AL$364,MATCH($K237,其他调用!$AG$5:$AG$364,0),0),1)*INDEX(其他调用!AC$5:AC$404,MATCH($K237,其他调用!$X$5:$X$404,0),0)</f>
        <v>2815.7437797508151</v>
      </c>
      <c r="S237" s="12">
        <f>求节点(节奏总纲!D$4:D$163,标准城池设计!AC$4:AC$163,$K237)*求节点(节奏总纲!D$4:D$163,攻城基础信息!$AD$5:$AD$164,$K237)</f>
        <v>752427.42762325215</v>
      </c>
      <c r="T237" s="12">
        <f>INDEX(其他调用!$AA$5:$AA$404,MATCH($K237,其他调用!$X$5:$X$404,0))*MIN(INDEX(其他调用!AI$5:AI$364,MATCH($K237,其他调用!$AG$5:$AG$364,0),1)/INDEX(其他调用!$AJ$5:$AJ$364,MATCH($K237,其他调用!$AG$5:$AG$364,0),0),5)*求节点(节奏总纲!D$4:D$163,攻城基础信息!$AD$5:$AD$164,$K237)</f>
        <v>88021.610856014755</v>
      </c>
      <c r="U237" s="12">
        <f>MIN(INDEX(其他调用!$AI$5:$AI$364,MATCH($K237,其他调用!$AG$5:$AG$364,0),1)/INDEX(其他调用!AH$5:AH$364,MATCH($K237,其他调用!$AG$5:$AG$364,0),0),1)*INDEX(其他调用!Y$5:Y$404,MATCH($K237,其他调用!$X$5:$X$404,0),0)</f>
        <v>40989.607930344966</v>
      </c>
      <c r="V237" s="12">
        <f>MIN(INDEX(其他调用!$AI$5:$AI$364,MATCH($K237,其他调用!$AG$5:$AG$364,0),1)/INDEX(其他调用!AI$5:AI$364,MATCH($K237,其他调用!$AG$5:$AG$364,0),0),1)*INDEX(其他调用!Z$5:Z$404,MATCH($K237,其他调用!$X$5:$X$404,0),0)</f>
        <v>42142.750204773169</v>
      </c>
      <c r="W237" s="12">
        <f>MIN(INDEX(其他调用!$AI$5:$AI$364,MATCH($K237,其他调用!$AG$5:$AG$364,0),1)/INDEX(其他调用!AJ$5:AJ$364,MATCH($K237,其他调用!$AG$5:$AG$364,0),0),1)*INDEX(其他调用!AA$5:AA$404,MATCH($K237,其他调用!$X$5:$X$404,0),0)</f>
        <v>25480.55327959191</v>
      </c>
      <c r="X237" s="12">
        <f>MIN(INDEX(其他调用!$AI$5:$AI$364,MATCH($K237,其他调用!$AG$5:$AG$364,0),1)/INDEX(其他调用!AK$5:AK$364,MATCH($K237,其他调用!$AG$5:$AG$364,0),0),1)*INDEX(其他调用!AB$5:AB$404,MATCH($K237,其他调用!$X$5:$X$404,0),0)</f>
        <v>9080.0650264970009</v>
      </c>
      <c r="Y237" s="12">
        <f>MIN(INDEX(其他调用!$AI$5:$AI$364,MATCH($K237,其他调用!$AG$5:$AG$364,0),1)/INDEX(其他调用!AL$5:AL$364,MATCH($K237,其他调用!$AG$5:$AG$364,0),0),1)*INDEX(其他调用!AC$5:AC$404,MATCH($K237,其他调用!$X$5:$X$404,0),0)</f>
        <v>4617.5234473544742</v>
      </c>
      <c r="Z237" s="12">
        <f>求节点(节奏总纲!D$4:D$163,标准城池设计!AD$4:AD$163,$K237)*求节点(节奏总纲!D$4:D$163,攻城基础信息!$AE$5:$AE$164,$K237)</f>
        <v>822518.57812596904</v>
      </c>
      <c r="AA237" s="12">
        <f>INDEX(其他调用!$AA$5:$AA$404,MATCH($K237,其他调用!$X$5:$X$404,0))*MIN(INDEX(其他调用!AJ$5:AJ$364,MATCH($K237,其他调用!$AG$5:$AG$364,0),1)/INDEX(其他调用!$AJ$5:$AJ$364,MATCH($K237,其他调用!$AG$5:$AG$364,0),0),5)*求节点(节奏总纲!D$4:D$163,攻城基础信息!$AE$5:$AE$164,$K237)</f>
        <v>150835.70461184264</v>
      </c>
      <c r="AB237" s="12">
        <f>MIN(INDEX(其他调用!$AJ$5:$AJ$364,MATCH($K237,其他调用!$AG$5:$AG$364,0),1)/INDEX(其他调用!AH$5:AH$364,MATCH($K237,其他调用!$AG$5:$AG$364,0),0),1)*INDEX(其他调用!Y$5:Y$404,MATCH($K237,其他调用!$X$5:$X$404,0),0)</f>
        <v>40989.607930344966</v>
      </c>
      <c r="AC237" s="12">
        <f>MIN(INDEX(其他调用!$AJ$5:$AJ$364,MATCH($K237,其他调用!$AG$5:$AG$364,0),1)/INDEX(其他调用!AI$5:AI$364,MATCH($K237,其他调用!$AG$5:$AG$364,0),0),1)*INDEX(其他调用!Z$5:Z$404,MATCH($K237,其他调用!$X$5:$X$404,0),0)</f>
        <v>42142.750204773169</v>
      </c>
      <c r="AD237" s="12">
        <f>MIN(INDEX(其他调用!$AJ$5:$AJ$364,MATCH($K237,其他调用!$AG$5:$AG$364,0),1)/INDEX(其他调用!AJ$5:AJ$364,MATCH($K237,其他调用!$AG$5:$AG$364,0),0),1)*INDEX(其他调用!AA$5:AA$404,MATCH($K237,其他调用!$X$5:$X$404,0),0)</f>
        <v>43664.018079762456</v>
      </c>
      <c r="AE237" s="12">
        <f>MIN(INDEX(其他调用!$AJ$5:$AJ$364,MATCH($K237,其他调用!$AG$5:$AG$364,0),1)/INDEX(其他调用!AK$5:AK$364,MATCH($K237,其他调用!$AG$5:$AG$364,0),0),1)*INDEX(其他调用!AB$5:AB$404,MATCH($K237,其他调用!$X$5:$X$404,0),0)</f>
        <v>15559.792565412208</v>
      </c>
      <c r="AF237" s="12">
        <f>MIN(INDEX(其他调用!$AJ$5:$AJ$364,MATCH($K237,其他调用!$AG$5:$AG$364,0),1)/INDEX(其他调用!AL$5:AL$364,MATCH($K237,其他调用!$AG$5:$AG$364,0),0),1)*INDEX(其他调用!AC$5:AC$404,MATCH($K237,其他调用!$X$5:$X$404,0),0)</f>
        <v>7912.6863956480747</v>
      </c>
      <c r="AG237" s="12">
        <f>求节点(节奏总纲!D$4:D$163,标准城池设计!AE$4:AE$163,$K237)*求节点(节奏总纲!D$4:D$163,攻城基础信息!$AF$5:$AF$164,$K237)</f>
        <v>989164.32975333743</v>
      </c>
      <c r="AH237" s="12">
        <f>INDEX(其他调用!$AA$5:$AA$404,MATCH($K237,其他调用!$X$5:$X$404,0))*MIN(INDEX(其他调用!AK$5:AK$364,MATCH($K237,其他调用!$AG$5:$AG$364,0),1)/INDEX(其他调用!$AJ$5:$AJ$364,MATCH($K237,其他调用!$AG$5:$AG$364,0),0),5)*求节点(节奏总纲!D$4:D$163,攻城基础信息!$AF$5:$AF$164,$K237)</f>
        <v>444794.43632245855</v>
      </c>
      <c r="AI237" s="12">
        <f>MIN(INDEX(其他调用!$AK$5:$AK$364,MATCH($K237,其他调用!$AG$5:$AG$364,0),1)/INDEX(其他调用!AH$5:AH$364,MATCH($K237,其他调用!$AG$5:$AG$364,0),0),1)*INDEX(其他调用!Y$5:Y$404,MATCH($K237,其他调用!$X$5:$X$404,0),0)</f>
        <v>40989.607930344966</v>
      </c>
      <c r="AJ237" s="12">
        <f>MIN(INDEX(其他调用!$AK$5:$AK$364,MATCH($K237,其他调用!$AG$5:$AG$364,0),1)/INDEX(其他调用!AI$5:AI$364,MATCH($K237,其他调用!$AG$5:$AG$364,0),0),1)*INDEX(其他调用!Z$5:Z$404,MATCH($K237,其他调用!$X$5:$X$404,0),0)</f>
        <v>42142.750204773169</v>
      </c>
      <c r="AK237" s="12">
        <f>MIN(INDEX(其他调用!$AK$5:$AK$364,MATCH($K237,其他调用!$AG$5:$AG$364,0),1)/INDEX(其他调用!AJ$5:AJ$364,MATCH($K237,其他调用!$AG$5:$AG$364,0),0),1)*INDEX(其他调用!AA$5:AA$404,MATCH($K237,其他调用!$X$5:$X$404,0),0)</f>
        <v>43664.018079762456</v>
      </c>
      <c r="AL237" s="12">
        <f>MIN(INDEX(其他调用!$AK$5:$AK$364,MATCH($K237,其他调用!$AG$5:$AG$364,0),1)/INDEX(其他调用!AK$5:AK$364,MATCH($K237,其他调用!$AG$5:$AG$364,0),0),1)*INDEX(其他调用!AB$5:AB$404,MATCH($K237,其他调用!$X$5:$X$404,0),0)</f>
        <v>45883.759294505384</v>
      </c>
      <c r="AM237" s="12">
        <f>MIN(INDEX(其他调用!$AK$5:$AK$364,MATCH($K237,其他调用!$AG$5:$AG$364,0),1)/INDEX(其他调用!AL$5:AL$364,MATCH($K237,其他调用!$AG$5:$AG$364,0),0),1)*INDEX(其他调用!AC$5:AC$404,MATCH($K237,其他调用!$X$5:$X$404,0),0)</f>
        <v>23333.460033257543</v>
      </c>
      <c r="AN237" s="12">
        <f>求节点(节奏总纲!D$4:D$163,标准城池设计!AF$4:AF$163,$K237)*求节点(节奏总纲!D$4:D$163,攻城基础信息!$AG$5:$AG$164,$K237)</f>
        <v>1035000.4124728462</v>
      </c>
      <c r="AO237" s="12">
        <f>INDEX(其他调用!$AA$5:$AA$404,MATCH($K237,其他调用!$X$5:$X$404,0))*MIN(INDEX(其他调用!AL$5:AL$364,MATCH($K237,其他调用!$AG$5:$AG$364,0),1)/INDEX(其他调用!$AJ$5:$AJ$364,MATCH($K237,其他调用!$AG$5:$AG$364,0),0),5)*求节点(节奏总纲!D$4:D$163,攻城基础信息!$AG$5:$AG$164,$K237)</f>
        <v>754178.5230592133</v>
      </c>
      <c r="AP237" s="12">
        <f>MIN(INDEX(其他调用!$AL$5:$AL$364,MATCH($K237,其他调用!$AG$5:$AG$364,0),1)/INDEX(其他调用!AH$5:AH$364,MATCH($K237,其他调用!$AG$5:$AG$364,0),0),1)*INDEX(其他调用!Y$5:Y$404,MATCH($K237,其他调用!$X$5:$X$404,0),0)</f>
        <v>40989.607930344966</v>
      </c>
      <c r="AQ237" s="12">
        <f>MIN(INDEX(其他调用!$AL$5:$AL$364,MATCH($K237,其他调用!$AG$5:$AG$364,0),1)/INDEX(其他调用!AI$5:AI$364,MATCH($K237,其他调用!$AG$5:$AG$364,0),0),1)*INDEX(其他调用!Z$5:Z$404,MATCH($K237,其他调用!$X$5:$X$404,0),0)</f>
        <v>42142.750204773169</v>
      </c>
      <c r="AR237" s="12">
        <f>MIN(INDEX(其他调用!$AL$5:$AL$364,MATCH($K237,其他调用!$AG$5:$AG$364,0),1)/INDEX(其他调用!AJ$5:AJ$364,MATCH($K237,其他调用!$AG$5:$AG$364,0),0),1)*INDEX(其他调用!AA$5:AA$404,MATCH($K237,其他调用!$X$5:$X$404,0),0)</f>
        <v>43664.018079762456</v>
      </c>
      <c r="AS237" s="12">
        <f>MIN(INDEX(其他调用!$AL$5:$AL$364,MATCH($K237,其他调用!$AG$5:$AG$364,0),1)/INDEX(其他调用!AK$5:AK$364,MATCH($K237,其他调用!$AG$5:$AG$364,0),0),1)*INDEX(其他调用!AB$5:AB$404,MATCH($K237,其他调用!$X$5:$X$404,0),0)</f>
        <v>45883.759294505384</v>
      </c>
      <c r="AT237" s="12">
        <f>MIN(INDEX(其他调用!$AL$5:$AL$364,MATCH($K237,其他调用!$AG$5:$AG$364,0),1)/INDEX(其他调用!AL$5:AL$364,MATCH($K237,其他调用!$AG$5:$AG$364,0),0),1)*INDEX(其他调用!AC$5:AC$404,MATCH($K237,其他调用!$X$5:$X$404,0),0)</f>
        <v>49796.118136574602</v>
      </c>
      <c r="AV237" s="14">
        <f>IF(OR(AV$5="大R",AV$5="超R"),MAX(INDEX(其他调用!$H$5:$L$404,MATCH($K237,其他调用!$B$5:$B$404,0),MATCH(AV$5,其他调用!$H$4:$L$4,0))*120*0.85,2),INDEX(其他调用!$H$5:$L$404,MATCH($K237,其他调用!$B$5:$B$404,0),MATCH(AV$5,其他调用!$H$4:$L$4,0))*120*0.85)</f>
        <v>48.921801254999991</v>
      </c>
      <c r="AW237" s="14">
        <f>IF(OR(AW$5="大R",AW$5="超R"),MAX(INDEX(其他调用!$H$5:$L$404,MATCH($K237,其他调用!$B$5:$B$404,0),MATCH(AW$5,其他调用!$H$4:$L$4,0))*120*0.85,2),INDEX(其他调用!$H$5:$L$404,MATCH($K237,其他调用!$B$5:$B$404,0),MATCH(AW$5,其他调用!$H$4:$L$4,0))*120*0.85)</f>
        <v>48.237344010638395</v>
      </c>
      <c r="AX237" s="14">
        <f>IF(OR(AX$5="大R",AX$5="超R"),MAX(INDEX(其他调用!$H$5:$L$404,MATCH($K237,其他调用!$B$5:$B$404,0),MATCH(AX$5,其他调用!$H$4:$L$4,0))*120*0.85,2),INDEX(其他调用!$H$5:$L$404,MATCH($K237,其他调用!$B$5:$B$404,0),MATCH(AX$5,其他调用!$H$4:$L$4,0))*120*0.85)</f>
        <v>3.9376284143615998</v>
      </c>
      <c r="AY237" s="14">
        <f>IF(OR(AY$5="大R",AY$5="超R"),MAX(INDEX(其他调用!$H$5:$L$404,MATCH($K237,其他调用!$B$5:$B$404,0),MATCH(AY$5,其他调用!$H$4:$L$4,0))*120*0.85,2),INDEX(其他调用!$H$5:$L$404,MATCH($K237,其他调用!$B$5:$B$404,0),MATCH(AY$5,其他调用!$H$4:$L$4,0))*120*0.85)</f>
        <v>2</v>
      </c>
      <c r="AZ237" s="14">
        <f>IF(OR(AZ$5="大R",AZ$5="超R"),MAX(INDEX(其他调用!$H$5:$L$404,MATCH($K237,其他调用!$B$5:$B$404,0),MATCH(AZ$5,其他调用!$H$4:$L$4,0))*120*0.85,2),INDEX(其他调用!$H$5:$L$404,MATCH($K237,其他调用!$B$5:$B$404,0),MATCH(AZ$5,其他调用!$H$4:$L$4,0))*120*0.85)</f>
        <v>2</v>
      </c>
      <c r="BA237" s="14">
        <f>INDEX(其他调用!$H$5:$L$404,MATCH($K237,其他调用!$B$5:$B$404,0),MATCH(BA$5,其他调用!$H$4:$L$4,0))*INDEX(其他调用!$M$5:$M$404,MATCH($K237,其他调用!$B$5:$B$404,0))*0.6</f>
        <v>28.777530149999997</v>
      </c>
      <c r="BB237" s="14">
        <f>INDEX(其他调用!$H$5:$L$404,MATCH($K237,其他调用!$B$5:$B$404,0),MATCH(BB$5,其他调用!$H$4:$L$4,0))*INDEX(其他调用!$M$5:$M$404,MATCH($K237,其他调用!$B$5:$B$404,0))*0.6</f>
        <v>28.374908241551999</v>
      </c>
      <c r="BC237" s="14">
        <f>INDEX(其他调用!$H$5:$L$404,MATCH($K237,其他调用!$B$5:$B$404,0),MATCH(BC$5,其他调用!$H$4:$L$4,0))*INDEX(其他调用!$M$5:$M$404,MATCH($K237,其他调用!$B$5:$B$404,0))*0.6</f>
        <v>2.3162520084480001</v>
      </c>
      <c r="BD237" s="14">
        <f>INDEX(其他调用!$H$5:$L$404,MATCH($K237,其他调用!$B$5:$B$404,0),MATCH(BD$5,其他调用!$H$4:$L$4,0))*INDEX(其他调用!$M$5:$M$404,MATCH($K237,其他调用!$B$5:$B$404,0))*0.6</f>
        <v>0.4120776000000001</v>
      </c>
      <c r="BE237" s="14">
        <f>INDEX(其他调用!$H$5:$L$404,MATCH($K237,其他调用!$B$5:$B$404,0),MATCH(BE$5,其他调用!$H$4:$L$4,0))*INDEX(其他调用!$M$5:$M$404,MATCH($K237,其他调用!$B$5:$B$404,0))*0.6</f>
        <v>0.11923199999999998</v>
      </c>
      <c r="BF237" s="14">
        <f>IF(OR(BF$5="大R",BF$5="超R"),0,INDEX(其他调用!$H$5:$L$404,MATCH($K237,其他调用!$B$5:$B$404,0),MATCH(BF$5,其他调用!$H$4:$L$4,0))*50*0.4)</f>
        <v>9.5925100500000013</v>
      </c>
      <c r="BG237" s="14">
        <f>IF(OR(BG$5="大R",BG$5="超R"),0,INDEX(其他调用!$H$5:$L$404,MATCH($K237,其他调用!$B$5:$B$404,0),MATCH(BG$5,其他调用!$H$4:$L$4,0))*50*0.4)</f>
        <v>9.4583027471839998</v>
      </c>
      <c r="BH237" s="14">
        <f>IF(OR(BH$5="大R",BH$5="超R"),0,INDEX(其他调用!$H$5:$L$404,MATCH($K237,其他调用!$B$5:$B$404,0),MATCH(BH$5,其他调用!$H$4:$L$4,0))*50*0.4)</f>
        <v>0.77208400281600009</v>
      </c>
      <c r="BI237" s="14">
        <f>IF(OR(BI$5="大R",BI$5="超R"),0,INDEX(其他调用!$H$5:$L$404,MATCH($K237,其他调用!$B$5:$B$404,0),MATCH(BI$5,其他调用!$H$4:$L$4,0))*50*0.4)</f>
        <v>0</v>
      </c>
      <c r="BJ237" s="14">
        <f>IF(OR(BJ$5="大R",BJ$5="超R"),0,INDEX(其他调用!$H$5:$L$404,MATCH($K237,其他调用!$B$5:$B$404,0),MATCH(BJ$5,其他调用!$H$4:$L$4,0))*50*0.4)</f>
        <v>0</v>
      </c>
      <c r="BL237" s="14">
        <f t="shared" si="418"/>
        <v>232</v>
      </c>
      <c r="BM237" s="14">
        <f t="shared" si="325"/>
        <v>96</v>
      </c>
      <c r="BN237" s="14">
        <f>('疲劳值&amp;地图信息'!$S$10*'疲劳值&amp;地图信息'!$R$10+'疲劳值&amp;地图信息'!$S$11*'疲劳值&amp;地图信息'!$R$11+'疲劳值&amp;地图信息'!$S$12*'疲劳值&amp;地图信息'!$R$12+(BM237-'疲劳值&amp;地图信息'!$S$12-'疲劳值&amp;地图信息'!$S$11-'疲劳值&amp;地图信息'!$S$10)*'疲劳值&amp;地图信息'!$R$13)/BM237</f>
        <v>51.371477246638619</v>
      </c>
      <c r="BO237" s="14">
        <f>INDEX(其他调用!$M$5:$M$404,MATCH(BL237,其他调用!$B$5:$B$404,0))*0.6</f>
        <v>60</v>
      </c>
      <c r="BP237" s="14">
        <f>IF(BO237&gt;SUM('疲劳值&amp;地图信息'!$S$10:$S$12),('疲劳值&amp;地图信息'!$S$10*'疲劳值&amp;地图信息'!$R$10+'疲劳值&amp;地图信息'!$S$11*'疲劳值&amp;地图信息'!$R$11+'疲劳值&amp;地图信息'!$S$12*'疲劳值&amp;地图信息'!$R$12+(BO237-'疲劳值&amp;地图信息'!$S$12-'疲劳值&amp;地图信息'!$S$11-'疲劳值&amp;地图信息'!$S$10)*'疲劳值&amp;地图信息'!$R$13)/BO237,('疲劳值&amp;地图信息'!$S$10*'疲劳值&amp;地图信息'!$R$10+'疲劳值&amp;地图信息'!$S$11*'疲劳值&amp;地图信息'!$R$11+'疲劳值&amp;地图信息'!$S$12*'疲劳值&amp;地图信息'!$R$12+(BO237-'疲劳值&amp;地图信息'!$S$12-'疲劳值&amp;地图信息'!$S$11-'疲劳值&amp;地图信息'!$S$10)*'疲劳值&amp;地图信息'!$R$13)/BO237)</f>
        <v>44.158136341605953</v>
      </c>
      <c r="BQ237" s="14">
        <f t="shared" si="419"/>
        <v>20</v>
      </c>
      <c r="BR237" s="14">
        <f>('疲劳值&amp;地图信息'!$S$10*'疲劳值&amp;地图信息'!$R$10+($BQ237-'疲劳值&amp;地图信息'!$S$10)*'疲劳值&amp;地图信息'!$R$11)/$BQ237</f>
        <v>32.067203015074995</v>
      </c>
      <c r="CF237" s="14">
        <v>232</v>
      </c>
      <c r="CG237" s="51">
        <f t="shared" si="326"/>
        <v>14276</v>
      </c>
      <c r="CH237" s="51">
        <f t="shared" si="327"/>
        <v>1093</v>
      </c>
      <c r="CI237" s="51">
        <f>INT(SUMPRODUCT($N237:$R237,$BA237:$BE237)/SUM($BA237:$BE237)/10000*$BX$7*$BZ$34/'疲劳值&amp;地图信息'!$R$10*$BY$53)</f>
        <v>3293</v>
      </c>
      <c r="CJ237" s="50">
        <f t="shared" si="328"/>
        <v>0.76497695852534564</v>
      </c>
      <c r="CK237" s="50">
        <f t="shared" si="329"/>
        <v>5.8568213481941911E-2</v>
      </c>
      <c r="CL237" s="50">
        <f t="shared" si="330"/>
        <v>0.17645482799271248</v>
      </c>
      <c r="CM237" s="14">
        <f t="shared" si="331"/>
        <v>15335</v>
      </c>
      <c r="CN237" s="14">
        <f t="shared" si="332"/>
        <v>1793</v>
      </c>
      <c r="CO237" s="14">
        <f>INT(SUMPRODUCT($U237:$Y237,$BA237:$BE237)/SUM($BA237:$BE237)/10000*$BX$7*$BZ$34/'疲劳值&amp;地图信息'!$R$10*$BY$54)</f>
        <v>6186</v>
      </c>
      <c r="CP237" s="50">
        <f t="shared" si="333"/>
        <v>0.65775928626576308</v>
      </c>
      <c r="CQ237" s="50">
        <f t="shared" si="334"/>
        <v>7.6906579737496789E-2</v>
      </c>
      <c r="CR237" s="50">
        <f t="shared" si="335"/>
        <v>0.26533413399674016</v>
      </c>
      <c r="CS237" s="14">
        <f t="shared" si="336"/>
        <v>16763</v>
      </c>
      <c r="CT237" s="14">
        <f t="shared" si="337"/>
        <v>3074</v>
      </c>
      <c r="CU237" s="14">
        <f>INT(SUMPRODUCT($AB237:$AF237,$BA237:$BE237)/SUM($BA237:$BE237)/10000*$BX$7*$BZ$34/'疲劳值&amp;地图信息'!$R$10*$BY$55)</f>
        <v>8401</v>
      </c>
      <c r="CV237" s="50">
        <f t="shared" si="338"/>
        <v>0.59363269353353632</v>
      </c>
      <c r="CW237" s="50">
        <f t="shared" si="339"/>
        <v>0.10886040087824916</v>
      </c>
      <c r="CX237" s="50">
        <f t="shared" si="340"/>
        <v>0.29750690558821447</v>
      </c>
      <c r="CY237" s="14">
        <f t="shared" si="341"/>
        <v>20160</v>
      </c>
      <c r="CZ237" s="14">
        <f t="shared" si="342"/>
        <v>9065</v>
      </c>
      <c r="DA237" s="14">
        <f>INT(SUMPRODUCT($AI237:$AM237,$BA237:$BE237)/SUM($BA237:$BE237)/10000*$BX$7*$BZ$34/'疲劳值&amp;地图信息'!$R$10*$BY$56)</f>
        <v>12674</v>
      </c>
      <c r="DB237" s="50">
        <f t="shared" si="343"/>
        <v>0.48115706818778492</v>
      </c>
      <c r="DC237" s="50">
        <f t="shared" si="344"/>
        <v>0.21635361225804911</v>
      </c>
      <c r="DD237" s="50">
        <f t="shared" si="345"/>
        <v>0.30248931955416597</v>
      </c>
      <c r="DE237" s="14">
        <f t="shared" si="346"/>
        <v>21094</v>
      </c>
      <c r="DF237" s="14">
        <f t="shared" si="347"/>
        <v>15371</v>
      </c>
      <c r="DG237" s="14">
        <f>INT(SUMPRODUCT($AP237:$AT237,$BA237:$BE237)/SUM($BA237:$BE237)/10000*$BX$7*$BZ$34/'疲劳值&amp;地图信息'!$R$10*$BY$57)</f>
        <v>16920</v>
      </c>
      <c r="DH237" s="50">
        <f t="shared" si="348"/>
        <v>0.3951297180856046</v>
      </c>
      <c r="DI237" s="50">
        <f t="shared" si="349"/>
        <v>0.28792732040835439</v>
      </c>
      <c r="DJ237" s="50">
        <f t="shared" si="350"/>
        <v>0.31694296150604101</v>
      </c>
      <c r="DL237" s="14">
        <f t="shared" si="421"/>
        <v>18662</v>
      </c>
      <c r="DM237" s="14">
        <f t="shared" si="422"/>
        <v>23314</v>
      </c>
      <c r="DN237" s="14">
        <f t="shared" si="423"/>
        <v>28238</v>
      </c>
      <c r="DO237" s="14">
        <f t="shared" si="424"/>
        <v>41899</v>
      </c>
      <c r="DP237" s="14">
        <f t="shared" si="425"/>
        <v>53385</v>
      </c>
      <c r="DQ237" s="14">
        <f t="shared" si="426"/>
        <v>1287616</v>
      </c>
      <c r="DT237" s="14">
        <f t="shared" si="420"/>
        <v>235575</v>
      </c>
      <c r="DU237" s="50">
        <f t="shared" si="322"/>
        <v>0.15465887075225629</v>
      </c>
      <c r="DW237" s="14">
        <f t="shared" si="351"/>
        <v>1523191</v>
      </c>
      <c r="EB237" s="14">
        <v>232</v>
      </c>
      <c r="EC237" s="51">
        <f t="shared" si="352"/>
        <v>23793</v>
      </c>
      <c r="ED237" s="51">
        <f t="shared" si="353"/>
        <v>1823</v>
      </c>
      <c r="EE237" s="51">
        <f>INT(SUMPRODUCT($N237:$R237,$BF237:$BJ237)/SUM($BF237:$BJ237)/10000*$BX$7*$BZ$46/'疲劳值&amp;地图信息'!$R$10*$BY$53)</f>
        <v>442</v>
      </c>
      <c r="EF237" s="50">
        <f t="shared" si="354"/>
        <v>0.91307851715404098</v>
      </c>
      <c r="EG237" s="50">
        <f t="shared" si="355"/>
        <v>6.995932151354671E-2</v>
      </c>
      <c r="EH237" s="50">
        <f t="shared" si="356"/>
        <v>1.6962161332412309E-2</v>
      </c>
      <c r="EI237" s="51">
        <f t="shared" si="357"/>
        <v>25559</v>
      </c>
      <c r="EJ237" s="51">
        <f t="shared" si="358"/>
        <v>2989</v>
      </c>
      <c r="EK237" s="14">
        <f>INT(SUMPRODUCT($U237:$Y237,$BF237:$BJ237)/SUM($BF237:$BJ237)/10000*$BX$7*$BZ$46/'疲劳值&amp;地图信息'!$R$10*$BY$54)</f>
        <v>830</v>
      </c>
      <c r="EL237" s="50">
        <f t="shared" si="359"/>
        <v>0.87000476547076044</v>
      </c>
      <c r="EM237" s="50">
        <f t="shared" si="360"/>
        <v>0.10174280073524405</v>
      </c>
      <c r="EN237" s="50">
        <f t="shared" si="361"/>
        <v>2.8252433793995505E-2</v>
      </c>
      <c r="EO237" s="51">
        <f t="shared" si="362"/>
        <v>27939</v>
      </c>
      <c r="EP237" s="51">
        <f t="shared" si="363"/>
        <v>5123</v>
      </c>
      <c r="EQ237" s="14">
        <f>INT(SUMPRODUCT($AB237:$AF237,$BF237:$BJ237)/SUM($BF237:$BJ237)/10000*$BX$7*$BZ$46/'疲劳值&amp;地图信息'!$R$10*$BY$55)</f>
        <v>1126</v>
      </c>
      <c r="ER237" s="50">
        <f t="shared" si="364"/>
        <v>0.81721656721656721</v>
      </c>
      <c r="ES237" s="50">
        <f t="shared" si="365"/>
        <v>0.14984789984789984</v>
      </c>
      <c r="ET237" s="50">
        <f t="shared" si="366"/>
        <v>3.2935532935532932E-2</v>
      </c>
      <c r="EU237" s="51">
        <f t="shared" si="367"/>
        <v>33600</v>
      </c>
      <c r="EV237" s="51">
        <f t="shared" si="368"/>
        <v>15109</v>
      </c>
      <c r="EW237" s="14">
        <f>INT(SUMPRODUCT($AI237:$AM237,$BF237:$BJ237)/SUM($BF237:$BJ237)/10000*$BX$7*$BZ$46/'疲劳值&amp;地图信息'!$R$10*$BY$56)</f>
        <v>1690</v>
      </c>
      <c r="EX237" s="50">
        <f t="shared" si="369"/>
        <v>0.6666798944423501</v>
      </c>
      <c r="EY237" s="50">
        <f t="shared" si="370"/>
        <v>0.29978769420028173</v>
      </c>
      <c r="EZ237" s="50">
        <f t="shared" si="371"/>
        <v>3.3532411357368203E-2</v>
      </c>
      <c r="FA237" s="51">
        <f t="shared" si="372"/>
        <v>35157</v>
      </c>
      <c r="FB237" s="51">
        <f t="shared" si="373"/>
        <v>25618</v>
      </c>
      <c r="FC237" s="14">
        <f>INT(SUMPRODUCT($AP237:$AT237,$BF237:$BJ237)/SUM($BF237:$BJ237)/10000*$BX$7*$BZ$46/'疲劳值&amp;地图信息'!$R$10*$BY$57)</f>
        <v>2253</v>
      </c>
      <c r="FD237" s="50">
        <f t="shared" si="374"/>
        <v>0.55779970806625623</v>
      </c>
      <c r="FE237" s="50">
        <f t="shared" si="375"/>
        <v>0.4064542742907914</v>
      </c>
      <c r="FF237" s="50">
        <f t="shared" si="376"/>
        <v>3.5746017642952335E-2</v>
      </c>
      <c r="FH237" s="14">
        <f t="shared" si="377"/>
        <v>26058</v>
      </c>
      <c r="FI237" s="14">
        <f t="shared" si="378"/>
        <v>29378</v>
      </c>
      <c r="FJ237" s="14">
        <f t="shared" si="379"/>
        <v>34188</v>
      </c>
      <c r="FK237" s="14">
        <f t="shared" si="380"/>
        <v>50399</v>
      </c>
      <c r="FL237" s="14">
        <f t="shared" si="381"/>
        <v>63028</v>
      </c>
      <c r="FM237" s="14">
        <f t="shared" si="382"/>
        <v>3053394</v>
      </c>
      <c r="FP237" s="14">
        <f t="shared" si="383"/>
        <v>334150</v>
      </c>
      <c r="FQ237" s="50">
        <f t="shared" si="323"/>
        <v>9.8640785182421253E-2</v>
      </c>
      <c r="FS237" s="14">
        <f t="shared" si="384"/>
        <v>3387544</v>
      </c>
      <c r="FX237" s="14">
        <v>232</v>
      </c>
      <c r="FY237" s="51">
        <f t="shared" si="385"/>
        <v>33310</v>
      </c>
      <c r="FZ237" s="51">
        <f t="shared" si="386"/>
        <v>1823</v>
      </c>
      <c r="GA237" s="51">
        <f>INT(SUMPRODUCT($N237:$R237,$BF237:$BJ237)/SUM($BF237:$BJ237)/10000*$BX$7*$BZ$46/'疲劳值&amp;地图信息'!$R$10*$BY$53)</f>
        <v>442</v>
      </c>
      <c r="GB237" s="50">
        <f t="shared" si="387"/>
        <v>0.93633169360505974</v>
      </c>
      <c r="GC237" s="50">
        <f t="shared" si="388"/>
        <v>5.1243851018973996E-2</v>
      </c>
      <c r="GD237" s="50">
        <f t="shared" si="389"/>
        <v>1.2424455375966268E-2</v>
      </c>
      <c r="GE237" s="51">
        <f t="shared" si="390"/>
        <v>35782</v>
      </c>
      <c r="GF237" s="51">
        <f t="shared" si="391"/>
        <v>2989</v>
      </c>
      <c r="GG237" s="14">
        <f>INT(SUMPRODUCT($U237:$Y237,$BF237:$BJ237)/SUM($BF237:$BJ237)/10000*$BX$7*$BZ$46/'疲劳值&amp;地图信息'!$R$10*$BY$54)</f>
        <v>830</v>
      </c>
      <c r="GH237" s="50">
        <f t="shared" si="392"/>
        <v>0.90356304133734</v>
      </c>
      <c r="GI237" s="50">
        <f t="shared" si="393"/>
        <v>7.5477891972424938E-2</v>
      </c>
      <c r="GJ237" s="50">
        <f t="shared" si="394"/>
        <v>2.0959066690235097E-2</v>
      </c>
      <c r="GK237" s="51">
        <f t="shared" si="395"/>
        <v>39115</v>
      </c>
      <c r="GL237" s="51">
        <f t="shared" si="396"/>
        <v>5123</v>
      </c>
      <c r="GM237" s="14">
        <f>INT(SUMPRODUCT($AB237:$AF237,$BF237:$BJ237)/SUM($BF237:$BJ237)/10000*$BX$7*$BZ$46/'疲劳值&amp;地图信息'!$R$10*$BY$55)</f>
        <v>1126</v>
      </c>
      <c r="GN237" s="50">
        <f t="shared" si="397"/>
        <v>0.86224759721364963</v>
      </c>
      <c r="GO237" s="50">
        <f t="shared" si="398"/>
        <v>0.11293095846927079</v>
      </c>
      <c r="GP237" s="50">
        <f t="shared" si="399"/>
        <v>2.4821444317079621E-2</v>
      </c>
      <c r="GQ237" s="51">
        <f t="shared" si="400"/>
        <v>47041</v>
      </c>
      <c r="GR237" s="51">
        <f t="shared" si="401"/>
        <v>15109</v>
      </c>
      <c r="GS237" s="14">
        <f>INT(SUMPRODUCT($AI237:$AM237,$BF237:$BJ237)/SUM($BF237:$BJ237)/10000*$BX$7*$BZ$46/'疲劳值&amp;地图信息'!$R$10*$BY$56)</f>
        <v>1690</v>
      </c>
      <c r="GT237" s="50">
        <f t="shared" si="402"/>
        <v>0.73685776942355885</v>
      </c>
      <c r="GU237" s="50">
        <f t="shared" si="403"/>
        <v>0.23666979949874686</v>
      </c>
      <c r="GV237" s="50">
        <f t="shared" si="404"/>
        <v>2.6472431077694234E-2</v>
      </c>
      <c r="GW237" s="51">
        <f t="shared" si="405"/>
        <v>49220</v>
      </c>
      <c r="GX237" s="51">
        <f t="shared" si="406"/>
        <v>25618</v>
      </c>
      <c r="GY237" s="14">
        <f>INT(SUMPRODUCT($AP237:$AT237,$BF237:$BJ237)/SUM($BF237:$BJ237)/10000*$BX$7*$BZ$46/'疲劳值&amp;地图信息'!$R$10*$BY$57)</f>
        <v>2253</v>
      </c>
      <c r="GZ237" s="50">
        <f t="shared" si="407"/>
        <v>0.63846622822378751</v>
      </c>
      <c r="HA237" s="50">
        <f t="shared" si="408"/>
        <v>0.33230857039083678</v>
      </c>
      <c r="HB237" s="50">
        <f t="shared" si="409"/>
        <v>2.9225201385375724E-2</v>
      </c>
      <c r="HD237" s="14">
        <f t="shared" si="410"/>
        <v>35575</v>
      </c>
      <c r="HE237" s="14">
        <f t="shared" si="411"/>
        <v>39601</v>
      </c>
      <c r="HF237" s="14">
        <f t="shared" si="412"/>
        <v>45364</v>
      </c>
      <c r="HG237" s="14">
        <f t="shared" si="413"/>
        <v>63840</v>
      </c>
      <c r="HH237" s="14">
        <f t="shared" si="414"/>
        <v>77091</v>
      </c>
      <c r="HI237" s="14">
        <f t="shared" si="415"/>
        <v>4111128</v>
      </c>
      <c r="HL237" s="14">
        <f t="shared" si="416"/>
        <v>430050</v>
      </c>
      <c r="HM237" s="50">
        <f t="shared" si="324"/>
        <v>9.4700097639863492E-2</v>
      </c>
      <c r="HO237" s="14">
        <f t="shared" si="417"/>
        <v>4541178</v>
      </c>
    </row>
    <row r="238" spans="11:223" x14ac:dyDescent="0.2">
      <c r="K238" s="14">
        <v>233</v>
      </c>
      <c r="L238" s="12">
        <f>求节点(节奏总纲!D$4:D$163,标准城池设计!AB$4:AB$163,$K238)*求节点(节奏总纲!D$4:D$163,攻城基础信息!$AC$5:$AC$164,$K238)</f>
        <v>701887.36775384098</v>
      </c>
      <c r="M238" s="12">
        <f>INDEX(其他调用!$AA$5:$AA$404,MATCH(K238,其他调用!$X$5:$X$404,0))*MIN(INDEX(其他调用!$AH$5:$AH$364,MATCH('征服点（新）'!K238,其他调用!$AG$5:$AG$364,0),1)/INDEX(其他调用!$AJ$5:$AJ$364,MATCH(K238,其他调用!$AG$5:$AG$364,0),0),5)*求节点(节奏总纲!D$4:D$163,攻城基础信息!$AC$5:$AC$164,$K238)</f>
        <v>53702.154244281264</v>
      </c>
      <c r="N238" s="12">
        <f>MIN(INDEX(其他调用!$AH$5:$AH$364,MATCH($K238,其他调用!$AG$5:$AG$364,0),1)/INDEX(其他调用!AH$5:AH$364,MATCH($K238,其他调用!$AG$5:$AG$364,0),0),1)*INDEX(其他调用!Y$5:Y$404,MATCH($K238,其他调用!$X$5:$X$404,0),0)</f>
        <v>41015.084459597718</v>
      </c>
      <c r="O238" s="12">
        <f>MIN(INDEX(其他调用!$AH$5:$AH$364,MATCH($K238,其他调用!$AG$5:$AG$364,0),1)/INDEX(其他调用!AI$5:AI$364,MATCH($K238,其他调用!$AG$5:$AG$364,0),0),1)*INDEX(其他调用!Z$5:Z$404,MATCH($K238,其他调用!$X$5:$X$404,0),0)</f>
        <v>25666.94391449479</v>
      </c>
      <c r="P238" s="12">
        <f>MIN(INDEX(其他调用!$AH$5:$AH$364,MATCH($K238,其他调用!$AG$5:$AG$364,0),1)/INDEX(其他调用!AJ$5:AJ$364,MATCH($K238,其他调用!$AG$5:$AG$364,0),0),1)*INDEX(其他调用!AA$5:AA$404,MATCH($K238,其他调用!$X$5:$X$404,0),0)</f>
        <v>15536.362234321005</v>
      </c>
      <c r="Q238" s="12">
        <f>MIN(INDEX(其他调用!$AH$5:$AH$364,MATCH($K238,其他调用!$AG$5:$AG$364,0),1)/INDEX(其他调用!AK$5:AK$364,MATCH($K238,其他调用!$AG$5:$AG$364,0),0),1)*INDEX(其他调用!AB$5:AB$404,MATCH($K238,其他调用!$X$5:$X$404,0),0)</f>
        <v>5533.3953297107664</v>
      </c>
      <c r="R238" s="12">
        <f>MIN(INDEX(其他调用!$AH$5:$AH$364,MATCH($K238,其他调用!$AG$5:$AG$364,0),1)/INDEX(其他调用!AL$5:AL$364,MATCH($K238,其他调用!$AG$5:$AG$364,0),0),1)*INDEX(其他调用!AC$5:AC$404,MATCH($K238,其他调用!$X$5:$X$404,0),0)</f>
        <v>2825.0961716608563</v>
      </c>
      <c r="S238" s="12">
        <f>求节点(节奏总纲!D$4:D$163,标准城池设计!AC$4:AC$163,$K238)*求节点(节奏总纲!D$4:D$163,攻城基础信息!$AD$5:$AD$164,$K238)</f>
        <v>754334.33649250644</v>
      </c>
      <c r="T238" s="12">
        <f>INDEX(其他调用!$AA$5:$AA$404,MATCH($K238,其他调用!$X$5:$X$404,0))*MIN(INDEX(其他调用!AI$5:AI$364,MATCH($K238,其他调用!$AG$5:$AG$364,0),1)/INDEX(其他调用!$AJ$5:$AJ$364,MATCH($K238,其他调用!$AG$5:$AG$364,0),0),5)*求节点(节奏总纲!D$4:D$163,攻城基础信息!$AD$5:$AD$164,$K238)</f>
        <v>88226.797512042103</v>
      </c>
      <c r="U238" s="12">
        <f>MIN(INDEX(其他调用!$AI$5:$AI$364,MATCH($K238,其他调用!$AG$5:$AG$364,0),1)/INDEX(其他调用!AH$5:AH$364,MATCH($K238,其他调用!$AG$5:$AG$364,0),0),1)*INDEX(其他调用!Y$5:Y$404,MATCH($K238,其他调用!$X$5:$X$404,0),0)</f>
        <v>41015.084459597718</v>
      </c>
      <c r="V238" s="12">
        <f>MIN(INDEX(其他调用!$AI$5:$AI$364,MATCH($K238,其他调用!$AG$5:$AG$364,0),1)/INDEX(其他调用!AI$5:AI$364,MATCH($K238,其他调用!$AG$5:$AG$364,0),0),1)*INDEX(其他调用!Z$5:Z$404,MATCH($K238,其他调用!$X$5:$X$404,0),0)</f>
        <v>42167.996710080231</v>
      </c>
      <c r="W238" s="12">
        <f>MIN(INDEX(其他调用!$AI$5:$AI$364,MATCH($K238,其他调用!$AG$5:$AG$364,0),1)/INDEX(其他调用!AJ$5:AJ$364,MATCH($K238,其他调用!$AG$5:$AG$364,0),0),1)*INDEX(其他调用!AA$5:AA$404,MATCH($K238,其他调用!$X$5:$X$404,0),0)</f>
        <v>25524.55305025581</v>
      </c>
      <c r="X238" s="12">
        <f>MIN(INDEX(其他调用!$AI$5:$AI$364,MATCH($K238,其他调用!$AG$5:$AG$364,0),1)/INDEX(其他调用!AK$5:AK$364,MATCH($K238,其他调用!$AG$5:$AG$364,0),0),1)*INDEX(其他调用!AB$5:AB$404,MATCH($K238,其他调用!$X$5:$X$404,0),0)</f>
        <v>9090.7665842931983</v>
      </c>
      <c r="Y238" s="12">
        <f>MIN(INDEX(其他调用!$AI$5:$AI$364,MATCH($K238,其他调用!$AG$5:$AG$364,0),1)/INDEX(其他调用!AL$5:AL$364,MATCH($K238,其他调用!$AG$5:$AG$364,0),0),1)*INDEX(其他调用!AC$5:AC$404,MATCH($K238,其他调用!$X$5:$X$404,0),0)</f>
        <v>4641.3256860307465</v>
      </c>
      <c r="Z238" s="12">
        <f>求节点(节奏总纲!D$4:D$163,标准城池设计!AD$4:AD$163,$K238)*求节点(节奏总纲!D$4:D$163,攻城基础信息!$AE$5:$AE$164,$K238)</f>
        <v>824755.02797573374</v>
      </c>
      <c r="AA238" s="12">
        <f>INDEX(其他调用!$AA$5:$AA$404,MATCH($K238,其他调用!$X$5:$X$404,0))*MIN(INDEX(其他调用!AJ$5:AJ$364,MATCH($K238,其他调用!$AG$5:$AG$364,0),1)/INDEX(其他调用!$AJ$5:$AJ$364,MATCH($K238,其他调用!$AG$5:$AG$364,0),0),5)*求节点(节奏总纲!D$4:D$163,攻城基础信息!$AE$5:$AE$164,$K238)</f>
        <v>151013.52926171746</v>
      </c>
      <c r="AB238" s="12">
        <f>MIN(INDEX(其他调用!$AJ$5:$AJ$364,MATCH($K238,其他调用!$AG$5:$AG$364,0),1)/INDEX(其他调用!AH$5:AH$364,MATCH($K238,其他调用!$AG$5:$AG$364,0),0),1)*INDEX(其他调用!Y$5:Y$404,MATCH($K238,其他调用!$X$5:$X$404,0),0)</f>
        <v>41015.084459597718</v>
      </c>
      <c r="AC238" s="12">
        <f>MIN(INDEX(其他调用!$AJ$5:$AJ$364,MATCH($K238,其他调用!$AG$5:$AG$364,0),1)/INDEX(其他调用!AI$5:AI$364,MATCH($K238,其他调用!$AG$5:$AG$364,0),0),1)*INDEX(其他调用!Z$5:Z$404,MATCH($K238,其他调用!$X$5:$X$404,0),0)</f>
        <v>42167.996710080231</v>
      </c>
      <c r="AD238" s="12">
        <f>MIN(INDEX(其他调用!$AJ$5:$AJ$364,MATCH($K238,其他调用!$AG$5:$AG$364,0),1)/INDEX(其他调用!AJ$5:AJ$364,MATCH($K238,其他调用!$AG$5:$AG$364,0),0),1)*INDEX(其他调用!AA$5:AA$404,MATCH($K238,其他调用!$X$5:$X$404,0),0)</f>
        <v>43689.139214431489</v>
      </c>
      <c r="AE238" s="12">
        <f>MIN(INDEX(其他调用!$AJ$5:$AJ$364,MATCH($K238,其他调用!$AG$5:$AG$364,0),1)/INDEX(其他调用!AK$5:AK$364,MATCH($K238,其他调用!$AG$5:$AG$364,0),0),1)*INDEX(其他调用!AB$5:AB$404,MATCH($K238,其他调用!$X$5:$X$404,0),0)</f>
        <v>15560.224152998711</v>
      </c>
      <c r="AF238" s="12">
        <f>MIN(INDEX(其他调用!$AJ$5:$AJ$364,MATCH($K238,其他调用!$AG$5:$AG$364,0),1)/INDEX(其他调用!AL$5:AL$364,MATCH($K238,其他调用!$AG$5:$AG$364,0),0),1)*INDEX(其他调用!AC$5:AC$404,MATCH($K238,其他调用!$X$5:$X$404,0),0)</f>
        <v>7944.3320177738342</v>
      </c>
      <c r="AG238" s="12">
        <f>求节点(节奏总纲!D$4:D$163,标准城池设计!AE$4:AE$163,$K238)*求节点(节奏总纲!D$4:D$163,攻城基础信息!$AF$5:$AF$164,$K238)</f>
        <v>991982.86931191175</v>
      </c>
      <c r="AH238" s="12">
        <f>INDEX(其他调用!$AA$5:$AA$404,MATCH($K238,其他调用!$X$5:$X$404,0))*MIN(INDEX(其他调用!AK$5:AK$364,MATCH($K238,其他调用!$AG$5:$AG$364,0),1)/INDEX(其他调用!$AJ$5:$AJ$364,MATCH($K238,其他调用!$AG$5:$AG$364,0),0),5)*求节点(节奏总纲!D$4:D$163,攻城基础信息!$AF$5:$AF$164,$K238)</f>
        <v>445559.69330474857</v>
      </c>
      <c r="AI238" s="12">
        <f>MIN(INDEX(其他调用!$AK$5:$AK$364,MATCH($K238,其他调用!$AG$5:$AG$364,0),1)/INDEX(其他调用!AH$5:AH$364,MATCH($K238,其他调用!$AG$5:$AG$364,0),0),1)*INDEX(其他调用!Y$5:Y$404,MATCH($K238,其他调用!$X$5:$X$404,0),0)</f>
        <v>41015.084459597718</v>
      </c>
      <c r="AJ238" s="12">
        <f>MIN(INDEX(其他调用!$AK$5:$AK$364,MATCH($K238,其他调用!$AG$5:$AG$364,0),1)/INDEX(其他调用!AI$5:AI$364,MATCH($K238,其他调用!$AG$5:$AG$364,0),0),1)*INDEX(其他调用!Z$5:Z$404,MATCH($K238,其他调用!$X$5:$X$404,0),0)</f>
        <v>42167.996710080231</v>
      </c>
      <c r="AK238" s="12">
        <f>MIN(INDEX(其他调用!$AK$5:$AK$364,MATCH($K238,其他调用!$AG$5:$AG$364,0),1)/INDEX(其他调用!AJ$5:AJ$364,MATCH($K238,其他调用!$AG$5:$AG$364,0),0),1)*INDEX(其他调用!AA$5:AA$404,MATCH($K238,其他调用!$X$5:$X$404,0),0)</f>
        <v>43689.139214431489</v>
      </c>
      <c r="AL238" s="12">
        <f>MIN(INDEX(其他调用!$AK$5:$AK$364,MATCH($K238,其他调用!$AG$5:$AG$364,0),1)/INDEX(其他调用!AK$5:AK$364,MATCH($K238,其他调用!$AG$5:$AG$364,0),0),1)*INDEX(其他调用!AB$5:AB$404,MATCH($K238,其他调用!$X$5:$X$404,0),0)</f>
        <v>45909.85148984789</v>
      </c>
      <c r="AM238" s="12">
        <f>MIN(INDEX(其他调用!$AK$5:$AK$364,MATCH($K238,其他调用!$AG$5:$AG$364,0),1)/INDEX(其他调用!AL$5:AL$364,MATCH($K238,其他调用!$AG$5:$AG$364,0),0),1)*INDEX(其他调用!AC$5:AC$404,MATCH($K238,其他调用!$X$5:$X$404,0),0)</f>
        <v>23439.450456229595</v>
      </c>
      <c r="AN238" s="12">
        <f>求节点(节奏总纲!D$4:D$163,标准城池设计!AF$4:AF$163,$K238)*求节点(节奏总纲!D$4:D$163,攻城基础信息!$AG$5:$AG$164,$K238)</f>
        <v>1038088.9075340451</v>
      </c>
      <c r="AO238" s="12">
        <f>INDEX(其他调用!$AA$5:$AA$404,MATCH($K238,其他调用!$X$5:$X$404,0))*MIN(INDEX(其他调用!AL$5:AL$364,MATCH($K238,其他调用!$AG$5:$AG$364,0),1)/INDEX(其他调用!$AJ$5:$AJ$364,MATCH($K238,其他调用!$AG$5:$AG$364,0),0),5)*求节点(节奏总纲!D$4:D$163,攻城基础信息!$AG$5:$AG$164,$K238)</f>
        <v>755067.64630858728</v>
      </c>
      <c r="AP238" s="12">
        <f>MIN(INDEX(其他调用!$AL$5:$AL$364,MATCH($K238,其他调用!$AG$5:$AG$364,0),1)/INDEX(其他调用!AH$5:AH$364,MATCH($K238,其他调用!$AG$5:$AG$364,0),0),1)*INDEX(其他调用!Y$5:Y$404,MATCH($K238,其他调用!$X$5:$X$404,0),0)</f>
        <v>41015.084459597718</v>
      </c>
      <c r="AQ238" s="12">
        <f>MIN(INDEX(其他调用!$AL$5:$AL$364,MATCH($K238,其他调用!$AG$5:$AG$364,0),1)/INDEX(其他调用!AI$5:AI$364,MATCH($K238,其他调用!$AG$5:$AG$364,0),0),1)*INDEX(其他调用!Z$5:Z$404,MATCH($K238,其他调用!$X$5:$X$404,0),0)</f>
        <v>42167.996710080231</v>
      </c>
      <c r="AR238" s="12">
        <f>MIN(INDEX(其他调用!$AL$5:$AL$364,MATCH($K238,其他调用!$AG$5:$AG$364,0),1)/INDEX(其他调用!AJ$5:AJ$364,MATCH($K238,其他调用!$AG$5:$AG$364,0),0),1)*INDEX(其他调用!AA$5:AA$404,MATCH($K238,其他调用!$X$5:$X$404,0),0)</f>
        <v>43689.139214431489</v>
      </c>
      <c r="AS238" s="12">
        <f>MIN(INDEX(其他调用!$AL$5:$AL$364,MATCH($K238,其他调用!$AG$5:$AG$364,0),1)/INDEX(其他调用!AK$5:AK$364,MATCH($K238,其他调用!$AG$5:$AG$364,0),0),1)*INDEX(其他调用!AB$5:AB$404,MATCH($K238,其他调用!$X$5:$X$404,0),0)</f>
        <v>45909.85148984789</v>
      </c>
      <c r="AT238" s="12">
        <f>MIN(INDEX(其他调用!$AL$5:$AL$364,MATCH($K238,其他调用!$AG$5:$AG$364,0),1)/INDEX(其他调用!AL$5:AL$364,MATCH($K238,其他调用!$AG$5:$AG$364,0),0),1)*INDEX(其他调用!AC$5:AC$404,MATCH($K238,其他调用!$X$5:$X$404,0),0)</f>
        <v>49820.846121743452</v>
      </c>
      <c r="AV238" s="14">
        <f>IF(OR(AV$5="大R",AV$5="超R"),MAX(INDEX(其他调用!$H$5:$L$404,MATCH($K238,其他调用!$B$5:$B$404,0),MATCH(AV$5,其他调用!$H$4:$L$4,0))*120*0.85,2),INDEX(其他调用!$H$5:$L$404,MATCH($K238,其他调用!$B$5:$B$404,0),MATCH(AV$5,其他调用!$H$4:$L$4,0))*120*0.85)</f>
        <v>48.921801254999991</v>
      </c>
      <c r="AW238" s="14">
        <f>IF(OR(AW$5="大R",AW$5="超R"),MAX(INDEX(其他调用!$H$5:$L$404,MATCH($K238,其他调用!$B$5:$B$404,0),MATCH(AW$5,其他调用!$H$4:$L$4,0))*120*0.85,2),INDEX(其他调用!$H$5:$L$404,MATCH($K238,其他调用!$B$5:$B$404,0),MATCH(AW$5,其他调用!$H$4:$L$4,0))*120*0.85)</f>
        <v>48.237344010638395</v>
      </c>
      <c r="AX238" s="14">
        <f>IF(OR(AX$5="大R",AX$5="超R"),MAX(INDEX(其他调用!$H$5:$L$404,MATCH($K238,其他调用!$B$5:$B$404,0),MATCH(AX$5,其他调用!$H$4:$L$4,0))*120*0.85,2),INDEX(其他调用!$H$5:$L$404,MATCH($K238,其他调用!$B$5:$B$404,0),MATCH(AX$5,其他调用!$H$4:$L$4,0))*120*0.85)</f>
        <v>3.9376284143615998</v>
      </c>
      <c r="AY238" s="14">
        <f>IF(OR(AY$5="大R",AY$5="超R"),MAX(INDEX(其他调用!$H$5:$L$404,MATCH($K238,其他调用!$B$5:$B$404,0),MATCH(AY$5,其他调用!$H$4:$L$4,0))*120*0.85,2),INDEX(其他调用!$H$5:$L$404,MATCH($K238,其他调用!$B$5:$B$404,0),MATCH(AY$5,其他调用!$H$4:$L$4,0))*120*0.85)</f>
        <v>2</v>
      </c>
      <c r="AZ238" s="14">
        <f>IF(OR(AZ$5="大R",AZ$5="超R"),MAX(INDEX(其他调用!$H$5:$L$404,MATCH($K238,其他调用!$B$5:$B$404,0),MATCH(AZ$5,其他调用!$H$4:$L$4,0))*120*0.85,2),INDEX(其他调用!$H$5:$L$404,MATCH($K238,其他调用!$B$5:$B$404,0),MATCH(AZ$5,其他调用!$H$4:$L$4,0))*120*0.85)</f>
        <v>2</v>
      </c>
      <c r="BA238" s="14">
        <f>INDEX(其他调用!$H$5:$L$404,MATCH($K238,其他调用!$B$5:$B$404,0),MATCH(BA$5,其他调用!$H$4:$L$4,0))*INDEX(其他调用!$M$5:$M$404,MATCH($K238,其他调用!$B$5:$B$404,0))*0.6</f>
        <v>28.777530149999997</v>
      </c>
      <c r="BB238" s="14">
        <f>INDEX(其他调用!$H$5:$L$404,MATCH($K238,其他调用!$B$5:$B$404,0),MATCH(BB$5,其他调用!$H$4:$L$4,0))*INDEX(其他调用!$M$5:$M$404,MATCH($K238,其他调用!$B$5:$B$404,0))*0.6</f>
        <v>28.374908241551999</v>
      </c>
      <c r="BC238" s="14">
        <f>INDEX(其他调用!$H$5:$L$404,MATCH($K238,其他调用!$B$5:$B$404,0),MATCH(BC$5,其他调用!$H$4:$L$4,0))*INDEX(其他调用!$M$5:$M$404,MATCH($K238,其他调用!$B$5:$B$404,0))*0.6</f>
        <v>2.3162520084480001</v>
      </c>
      <c r="BD238" s="14">
        <f>INDEX(其他调用!$H$5:$L$404,MATCH($K238,其他调用!$B$5:$B$404,0),MATCH(BD$5,其他调用!$H$4:$L$4,0))*INDEX(其他调用!$M$5:$M$404,MATCH($K238,其他调用!$B$5:$B$404,0))*0.6</f>
        <v>0.4120776000000001</v>
      </c>
      <c r="BE238" s="14">
        <f>INDEX(其他调用!$H$5:$L$404,MATCH($K238,其他调用!$B$5:$B$404,0),MATCH(BE$5,其他调用!$H$4:$L$4,0))*INDEX(其他调用!$M$5:$M$404,MATCH($K238,其他调用!$B$5:$B$404,0))*0.6</f>
        <v>0.11923199999999998</v>
      </c>
      <c r="BF238" s="14">
        <f>IF(OR(BF$5="大R",BF$5="超R"),0,INDEX(其他调用!$H$5:$L$404,MATCH($K238,其他调用!$B$5:$B$404,0),MATCH(BF$5,其他调用!$H$4:$L$4,0))*50*0.4)</f>
        <v>9.5925100500000013</v>
      </c>
      <c r="BG238" s="14">
        <f>IF(OR(BG$5="大R",BG$5="超R"),0,INDEX(其他调用!$H$5:$L$404,MATCH($K238,其他调用!$B$5:$B$404,0),MATCH(BG$5,其他调用!$H$4:$L$4,0))*50*0.4)</f>
        <v>9.4583027471839998</v>
      </c>
      <c r="BH238" s="14">
        <f>IF(OR(BH$5="大R",BH$5="超R"),0,INDEX(其他调用!$H$5:$L$404,MATCH($K238,其他调用!$B$5:$B$404,0),MATCH(BH$5,其他调用!$H$4:$L$4,0))*50*0.4)</f>
        <v>0.77208400281600009</v>
      </c>
      <c r="BI238" s="14">
        <f>IF(OR(BI$5="大R",BI$5="超R"),0,INDEX(其他调用!$H$5:$L$404,MATCH($K238,其他调用!$B$5:$B$404,0),MATCH(BI$5,其他调用!$H$4:$L$4,0))*50*0.4)</f>
        <v>0</v>
      </c>
      <c r="BJ238" s="14">
        <f>IF(OR(BJ$5="大R",BJ$5="超R"),0,INDEX(其他调用!$H$5:$L$404,MATCH($K238,其他调用!$B$5:$B$404,0),MATCH(BJ$5,其他调用!$H$4:$L$4,0))*50*0.4)</f>
        <v>0</v>
      </c>
      <c r="BL238" s="14">
        <f t="shared" si="418"/>
        <v>233</v>
      </c>
      <c r="BM238" s="14">
        <f t="shared" si="325"/>
        <v>96</v>
      </c>
      <c r="BN238" s="14">
        <f>('疲劳值&amp;地图信息'!$S$10*'疲劳值&amp;地图信息'!$R$10+'疲劳值&amp;地图信息'!$S$11*'疲劳值&amp;地图信息'!$R$11+'疲劳值&amp;地图信息'!$S$12*'疲劳值&amp;地图信息'!$R$12+(BM238-'疲劳值&amp;地图信息'!$S$12-'疲劳值&amp;地图信息'!$S$11-'疲劳值&amp;地图信息'!$S$10)*'疲劳值&amp;地图信息'!$R$13)/BM238</f>
        <v>51.371477246638619</v>
      </c>
      <c r="BO238" s="14">
        <f>INDEX(其他调用!$M$5:$M$404,MATCH(BL238,其他调用!$B$5:$B$404,0))*0.6</f>
        <v>60</v>
      </c>
      <c r="BP238" s="14">
        <f>IF(BO238&gt;SUM('疲劳值&amp;地图信息'!$S$10:$S$12),('疲劳值&amp;地图信息'!$S$10*'疲劳值&amp;地图信息'!$R$10+'疲劳值&amp;地图信息'!$S$11*'疲劳值&amp;地图信息'!$R$11+'疲劳值&amp;地图信息'!$S$12*'疲劳值&amp;地图信息'!$R$12+(BO238-'疲劳值&amp;地图信息'!$S$12-'疲劳值&amp;地图信息'!$S$11-'疲劳值&amp;地图信息'!$S$10)*'疲劳值&amp;地图信息'!$R$13)/BO238,('疲劳值&amp;地图信息'!$S$10*'疲劳值&amp;地图信息'!$R$10+'疲劳值&amp;地图信息'!$S$11*'疲劳值&amp;地图信息'!$R$11+'疲劳值&amp;地图信息'!$S$12*'疲劳值&amp;地图信息'!$R$12+(BO238-'疲劳值&amp;地图信息'!$S$12-'疲劳值&amp;地图信息'!$S$11-'疲劳值&amp;地图信息'!$S$10)*'疲劳值&amp;地图信息'!$R$13)/BO238)</f>
        <v>44.158136341605953</v>
      </c>
      <c r="BQ238" s="14">
        <f t="shared" si="419"/>
        <v>20</v>
      </c>
      <c r="BR238" s="14">
        <f>('疲劳值&amp;地图信息'!$S$10*'疲劳值&amp;地图信息'!$R$10+($BQ238-'疲劳值&amp;地图信息'!$S$10)*'疲劳值&amp;地图信息'!$R$11)/$BQ238</f>
        <v>32.067203015074995</v>
      </c>
      <c r="CF238" s="14">
        <v>233</v>
      </c>
      <c r="CG238" s="51">
        <f t="shared" si="326"/>
        <v>14305</v>
      </c>
      <c r="CH238" s="51">
        <f t="shared" si="327"/>
        <v>1094</v>
      </c>
      <c r="CI238" s="51">
        <f>INT(SUMPRODUCT($N238:$R238,$BA238:$BE238)/SUM($BA238:$BE238)/10000*$BX$7*$BZ$34/'疲劳值&amp;地图信息'!$R$10*$BY$53)</f>
        <v>3292</v>
      </c>
      <c r="CJ238" s="50">
        <f t="shared" si="328"/>
        <v>0.76534160826066022</v>
      </c>
      <c r="CK238" s="50">
        <f t="shared" si="329"/>
        <v>5.8530843721577228E-2</v>
      </c>
      <c r="CL238" s="50">
        <f t="shared" si="330"/>
        <v>0.17612754801776256</v>
      </c>
      <c r="CM238" s="14">
        <f t="shared" si="331"/>
        <v>15374</v>
      </c>
      <c r="CN238" s="14">
        <f t="shared" si="332"/>
        <v>1798</v>
      </c>
      <c r="CO238" s="14">
        <f>INT(SUMPRODUCT($U238:$Y238,$BA238:$BE238)/SUM($BA238:$BE238)/10000*$BX$7*$BZ$34/'疲劳值&amp;地图信息'!$R$10*$BY$54)</f>
        <v>6190</v>
      </c>
      <c r="CP238" s="50">
        <f t="shared" si="333"/>
        <v>0.65807721941614583</v>
      </c>
      <c r="CQ238" s="50">
        <f t="shared" si="334"/>
        <v>7.6962588819450395E-2</v>
      </c>
      <c r="CR238" s="50">
        <f t="shared" si="335"/>
        <v>0.26496019176440372</v>
      </c>
      <c r="CS238" s="14">
        <f t="shared" si="336"/>
        <v>16809</v>
      </c>
      <c r="CT238" s="14">
        <f t="shared" si="337"/>
        <v>3077</v>
      </c>
      <c r="CU238" s="14">
        <f>INT(SUMPRODUCT($AB238:$AF238,$BA238:$BE238)/SUM($BA238:$BE238)/10000*$BX$7*$BZ$34/'疲劳值&amp;地图信息'!$R$10*$BY$55)</f>
        <v>8406</v>
      </c>
      <c r="CV238" s="50">
        <f t="shared" si="338"/>
        <v>0.59412554785805172</v>
      </c>
      <c r="CW238" s="50">
        <f t="shared" si="339"/>
        <v>0.10875865969178566</v>
      </c>
      <c r="CX238" s="50">
        <f t="shared" si="340"/>
        <v>0.29711579245016256</v>
      </c>
      <c r="CY238" s="14">
        <f t="shared" si="341"/>
        <v>20217</v>
      </c>
      <c r="CZ238" s="14">
        <f t="shared" si="342"/>
        <v>9081</v>
      </c>
      <c r="DA238" s="14">
        <f>INT(SUMPRODUCT($AI238:$AM238,$BA238:$BE238)/SUM($BA238:$BE238)/10000*$BX$7*$BZ$34/'疲劳值&amp;地图信息'!$R$10*$BY$56)</f>
        <v>12682</v>
      </c>
      <c r="DB238" s="50">
        <f t="shared" si="343"/>
        <v>0.4815864697474988</v>
      </c>
      <c r="DC238" s="50">
        <f t="shared" si="344"/>
        <v>0.21631729394949975</v>
      </c>
      <c r="DD238" s="50">
        <f t="shared" si="345"/>
        <v>0.30209623630300142</v>
      </c>
      <c r="DE238" s="14">
        <f t="shared" si="346"/>
        <v>21157</v>
      </c>
      <c r="DF238" s="14">
        <f t="shared" si="347"/>
        <v>15389</v>
      </c>
      <c r="DG238" s="14">
        <f>INT(SUMPRODUCT($AP238:$AT238,$BA238:$BE238)/SUM($BA238:$BE238)/10000*$BX$7*$BZ$34/'疲劳值&amp;地图信息'!$R$10*$BY$57)</f>
        <v>16930</v>
      </c>
      <c r="DH238" s="50">
        <f t="shared" si="348"/>
        <v>0.39563542523748974</v>
      </c>
      <c r="DI238" s="50">
        <f t="shared" si="349"/>
        <v>0.28777395467125438</v>
      </c>
      <c r="DJ238" s="50">
        <f t="shared" si="350"/>
        <v>0.31659062009125588</v>
      </c>
      <c r="DL238" s="14">
        <f t="shared" si="421"/>
        <v>18691</v>
      </c>
      <c r="DM238" s="14">
        <f t="shared" si="422"/>
        <v>23362</v>
      </c>
      <c r="DN238" s="14">
        <f t="shared" si="423"/>
        <v>28292</v>
      </c>
      <c r="DO238" s="14">
        <f t="shared" si="424"/>
        <v>41980</v>
      </c>
      <c r="DP238" s="14">
        <f t="shared" si="425"/>
        <v>53476</v>
      </c>
      <c r="DQ238" s="14">
        <f t="shared" si="426"/>
        <v>1289981</v>
      </c>
      <c r="DT238" s="14">
        <f t="shared" si="420"/>
        <v>235575</v>
      </c>
      <c r="DU238" s="50">
        <f t="shared" si="322"/>
        <v>0.15441911014738233</v>
      </c>
      <c r="DW238" s="14">
        <f t="shared" si="351"/>
        <v>1525556</v>
      </c>
      <c r="EB238" s="14">
        <v>233</v>
      </c>
      <c r="EC238" s="51">
        <f t="shared" si="352"/>
        <v>23842</v>
      </c>
      <c r="ED238" s="51">
        <f t="shared" si="353"/>
        <v>1824</v>
      </c>
      <c r="EE238" s="51">
        <f>INT(SUMPRODUCT($N238:$R238,$BF238:$BJ238)/SUM($BF238:$BJ238)/10000*$BX$7*$BZ$46/'疲劳值&amp;地图信息'!$R$10*$BY$53)</f>
        <v>442</v>
      </c>
      <c r="EF238" s="50">
        <f t="shared" si="354"/>
        <v>0.9132066799448445</v>
      </c>
      <c r="EG238" s="50">
        <f t="shared" si="355"/>
        <v>6.9863643327715649E-2</v>
      </c>
      <c r="EH238" s="50">
        <f t="shared" si="356"/>
        <v>1.6929676727439866E-2</v>
      </c>
      <c r="EI238" s="51">
        <f t="shared" si="357"/>
        <v>25623</v>
      </c>
      <c r="EJ238" s="51">
        <f t="shared" si="358"/>
        <v>2996</v>
      </c>
      <c r="EK238" s="14">
        <f>INT(SUMPRODUCT($U238:$Y238,$BF238:$BJ238)/SUM($BF238:$BJ238)/10000*$BX$7*$BZ$46/'疲劳值&amp;地图信息'!$R$10*$BY$54)</f>
        <v>831</v>
      </c>
      <c r="EL238" s="50">
        <f t="shared" si="359"/>
        <v>0.87005093378607812</v>
      </c>
      <c r="EM238" s="50">
        <f t="shared" si="360"/>
        <v>0.10173174872665534</v>
      </c>
      <c r="EN238" s="50">
        <f t="shared" si="361"/>
        <v>2.8217317487266552E-2</v>
      </c>
      <c r="EO238" s="51">
        <f t="shared" si="362"/>
        <v>28015</v>
      </c>
      <c r="EP238" s="51">
        <f t="shared" si="363"/>
        <v>5129</v>
      </c>
      <c r="EQ238" s="14">
        <f>INT(SUMPRODUCT($AB238:$AF238,$BF238:$BJ238)/SUM($BF238:$BJ238)/10000*$BX$7*$BZ$46/'疲劳值&amp;地图信息'!$R$10*$BY$55)</f>
        <v>1127</v>
      </c>
      <c r="ER238" s="50">
        <f t="shared" si="364"/>
        <v>0.81745499110034725</v>
      </c>
      <c r="ES238" s="50">
        <f t="shared" si="365"/>
        <v>0.14966006244346533</v>
      </c>
      <c r="ET238" s="50">
        <f t="shared" si="366"/>
        <v>3.2884946456187447E-2</v>
      </c>
      <c r="EU238" s="51">
        <f t="shared" si="367"/>
        <v>33696</v>
      </c>
      <c r="EV238" s="51">
        <f t="shared" si="368"/>
        <v>15135</v>
      </c>
      <c r="EW238" s="14">
        <f>INT(SUMPRODUCT($AI238:$AM238,$BF238:$BJ238)/SUM($BF238:$BJ238)/10000*$BX$7*$BZ$46/'疲劳值&amp;地图信息'!$R$10*$BY$56)</f>
        <v>1691</v>
      </c>
      <c r="EX238" s="50">
        <f t="shared" si="369"/>
        <v>0.66695696924112269</v>
      </c>
      <c r="EY238" s="50">
        <f t="shared" si="370"/>
        <v>0.29957246348125571</v>
      </c>
      <c r="EZ238" s="50">
        <f t="shared" si="371"/>
        <v>3.3470567277621627E-2</v>
      </c>
      <c r="FA238" s="51">
        <f t="shared" si="372"/>
        <v>35262</v>
      </c>
      <c r="FB238" s="51">
        <f t="shared" si="373"/>
        <v>25648</v>
      </c>
      <c r="FC238" s="14">
        <f>INT(SUMPRODUCT($AP238:$AT238,$BF238:$BJ238)/SUM($BF238:$BJ238)/10000*$BX$7*$BZ$46/'疲劳值&amp;地图信息'!$R$10*$BY$57)</f>
        <v>2254</v>
      </c>
      <c r="FD238" s="50">
        <f t="shared" si="374"/>
        <v>0.55826103476663924</v>
      </c>
      <c r="FE238" s="50">
        <f t="shared" si="375"/>
        <v>0.40605408143879423</v>
      </c>
      <c r="FF238" s="50">
        <f t="shared" si="376"/>
        <v>3.5684883794566524E-2</v>
      </c>
      <c r="FH238" s="14">
        <f t="shared" si="377"/>
        <v>26108</v>
      </c>
      <c r="FI238" s="14">
        <f t="shared" si="378"/>
        <v>29450</v>
      </c>
      <c r="FJ238" s="14">
        <f t="shared" si="379"/>
        <v>34271</v>
      </c>
      <c r="FK238" s="14">
        <f t="shared" si="380"/>
        <v>50522</v>
      </c>
      <c r="FL238" s="14">
        <f t="shared" si="381"/>
        <v>63164</v>
      </c>
      <c r="FM238" s="14">
        <f t="shared" si="382"/>
        <v>3060158</v>
      </c>
      <c r="FP238" s="14">
        <f t="shared" si="383"/>
        <v>334150</v>
      </c>
      <c r="FQ238" s="50">
        <f t="shared" si="323"/>
        <v>9.8444218968932698E-2</v>
      </c>
      <c r="FS238" s="14">
        <f t="shared" si="384"/>
        <v>3394308</v>
      </c>
      <c r="FX238" s="14">
        <v>233</v>
      </c>
      <c r="FY238" s="51">
        <f t="shared" si="385"/>
        <v>33379</v>
      </c>
      <c r="FZ238" s="51">
        <f t="shared" si="386"/>
        <v>1824</v>
      </c>
      <c r="GA238" s="51">
        <f>INT(SUMPRODUCT($N238:$R238,$BF238:$BJ238)/SUM($BF238:$BJ238)/10000*$BX$7*$BZ$46/'疲劳值&amp;地图信息'!$R$10*$BY$53)</f>
        <v>442</v>
      </c>
      <c r="GB238" s="50">
        <f t="shared" si="387"/>
        <v>0.93642867162294852</v>
      </c>
      <c r="GC238" s="50">
        <f t="shared" si="388"/>
        <v>5.1171272268200306E-2</v>
      </c>
      <c r="GD238" s="50">
        <f t="shared" si="389"/>
        <v>1.2400056108851171E-2</v>
      </c>
      <c r="GE238" s="51">
        <f t="shared" si="390"/>
        <v>35873</v>
      </c>
      <c r="GF238" s="51">
        <f t="shared" si="391"/>
        <v>2996</v>
      </c>
      <c r="GG238" s="14">
        <f>INT(SUMPRODUCT($U238:$Y238,$BF238:$BJ238)/SUM($BF238:$BJ238)/10000*$BX$7*$BZ$46/'疲劳值&amp;地图信息'!$R$10*$BY$54)</f>
        <v>831</v>
      </c>
      <c r="GH238" s="50">
        <f t="shared" si="392"/>
        <v>0.90360201511335014</v>
      </c>
      <c r="GI238" s="50">
        <f t="shared" si="393"/>
        <v>7.546599496221662E-2</v>
      </c>
      <c r="GJ238" s="50">
        <f t="shared" si="394"/>
        <v>2.093198992443325E-2</v>
      </c>
      <c r="GK238" s="51">
        <f t="shared" si="395"/>
        <v>39222</v>
      </c>
      <c r="GL238" s="51">
        <f t="shared" si="396"/>
        <v>5129</v>
      </c>
      <c r="GM238" s="14">
        <f>INT(SUMPRODUCT($AB238:$AF238,$BF238:$BJ238)/SUM($BF238:$BJ238)/10000*$BX$7*$BZ$46/'疲劳值&amp;地图信息'!$R$10*$BY$55)</f>
        <v>1127</v>
      </c>
      <c r="GN238" s="50">
        <f t="shared" si="397"/>
        <v>0.86243898148555342</v>
      </c>
      <c r="GO238" s="50">
        <f t="shared" si="398"/>
        <v>0.11277980562029992</v>
      </c>
      <c r="GP238" s="50">
        <f t="shared" si="399"/>
        <v>2.4781212894146622E-2</v>
      </c>
      <c r="GQ238" s="51">
        <f t="shared" si="400"/>
        <v>47175</v>
      </c>
      <c r="GR238" s="51">
        <f t="shared" si="401"/>
        <v>15135</v>
      </c>
      <c r="GS238" s="14">
        <f>INT(SUMPRODUCT($AI238:$AM238,$BF238:$BJ238)/SUM($BF238:$BJ238)/10000*$BX$7*$BZ$46/'疲劳值&amp;地图信息'!$R$10*$BY$56)</f>
        <v>1691</v>
      </c>
      <c r="GT238" s="50">
        <f t="shared" si="402"/>
        <v>0.73709785784597115</v>
      </c>
      <c r="GU238" s="50">
        <f t="shared" si="403"/>
        <v>0.23648067998937516</v>
      </c>
      <c r="GV238" s="50">
        <f t="shared" si="404"/>
        <v>2.6421462164653676E-2</v>
      </c>
      <c r="GW238" s="51">
        <f t="shared" si="405"/>
        <v>49367</v>
      </c>
      <c r="GX238" s="51">
        <f t="shared" si="406"/>
        <v>25648</v>
      </c>
      <c r="GY238" s="14">
        <f>INT(SUMPRODUCT($AP238:$AT238,$BF238:$BJ238)/SUM($BF238:$BJ238)/10000*$BX$7*$BZ$46/'疲劳值&amp;地图信息'!$R$10*$BY$57)</f>
        <v>2254</v>
      </c>
      <c r="GZ238" s="50">
        <f t="shared" si="407"/>
        <v>0.63889787625050154</v>
      </c>
      <c r="HA238" s="50">
        <f t="shared" si="408"/>
        <v>0.33193130492176681</v>
      </c>
      <c r="HB238" s="50">
        <f t="shared" si="409"/>
        <v>2.917081882773169E-2</v>
      </c>
      <c r="HD238" s="14">
        <f t="shared" si="410"/>
        <v>35645</v>
      </c>
      <c r="HE238" s="14">
        <f t="shared" si="411"/>
        <v>39700</v>
      </c>
      <c r="HF238" s="14">
        <f t="shared" si="412"/>
        <v>45478</v>
      </c>
      <c r="HG238" s="14">
        <f t="shared" si="413"/>
        <v>64001</v>
      </c>
      <c r="HH238" s="14">
        <f t="shared" si="414"/>
        <v>77269</v>
      </c>
      <c r="HI238" s="14">
        <f t="shared" si="415"/>
        <v>4120455</v>
      </c>
      <c r="HL238" s="14">
        <f t="shared" si="416"/>
        <v>430050</v>
      </c>
      <c r="HM238" s="50">
        <f t="shared" si="324"/>
        <v>9.4505994389633682E-2</v>
      </c>
      <c r="HO238" s="14">
        <f t="shared" si="417"/>
        <v>4550505</v>
      </c>
    </row>
    <row r="239" spans="11:223" x14ac:dyDescent="0.2">
      <c r="K239" s="14">
        <v>234</v>
      </c>
      <c r="L239" s="12">
        <f>求节点(节奏总纲!D$4:D$163,标准城池设计!AB$4:AB$163,$K239)*求节点(节奏总纲!D$4:D$163,攻城基础信息!$AC$5:$AC$164,$K239)</f>
        <v>703326.30873073975</v>
      </c>
      <c r="M239" s="12">
        <f>INDEX(其他调用!$AA$5:$AA$404,MATCH(K239,其他调用!$X$5:$X$404,0))*MIN(INDEX(其他调用!$AH$5:$AH$364,MATCH('征服点（新）'!K239,其他调用!$AG$5:$AG$364,0),1)/INDEX(其他调用!$AJ$5:$AJ$364,MATCH(K239,其他调用!$AG$5:$AG$364,0),0),5)*求节点(节奏总纲!D$4:D$163,攻城基础信息!$AC$5:$AC$164,$K239)</f>
        <v>53729.565691046133</v>
      </c>
      <c r="N239" s="12">
        <f>MIN(INDEX(其他调用!$AH$5:$AH$364,MATCH($K239,其他调用!$AG$5:$AG$364,0),1)/INDEX(其他调用!AH$5:AH$364,MATCH($K239,其他调用!$AG$5:$AG$364,0),0),1)*INDEX(其他调用!Y$5:Y$404,MATCH($K239,其他调用!$X$5:$X$404,0),0)</f>
        <v>41040.560988850462</v>
      </c>
      <c r="O239" s="12">
        <f>MIN(INDEX(其他调用!$AH$5:$AH$364,MATCH($K239,其他调用!$AG$5:$AG$364,0),1)/INDEX(其他调用!AI$5:AI$364,MATCH($K239,其他调用!$AG$5:$AG$364,0),0),1)*INDEX(其他调用!Z$5:Z$404,MATCH($K239,其他调用!$X$5:$X$404,0),0)</f>
        <v>25636.088692067682</v>
      </c>
      <c r="P239" s="12">
        <f>MIN(INDEX(其他调用!$AH$5:$AH$364,MATCH($K239,其他调用!$AG$5:$AG$364,0),1)/INDEX(其他调用!AJ$5:AJ$364,MATCH($K239,其他调用!$AG$5:$AG$364,0),0),1)*INDEX(其他调用!AA$5:AA$404,MATCH($K239,其他调用!$X$5:$X$404,0),0)</f>
        <v>15534.926672567317</v>
      </c>
      <c r="Q239" s="12">
        <f>MIN(INDEX(其他调用!$AH$5:$AH$364,MATCH($K239,其他调用!$AG$5:$AG$364,0),1)/INDEX(其他调用!AK$5:AK$364,MATCH($K239,其他调用!$AG$5:$AG$364,0),0),1)*INDEX(其他调用!AB$5:AB$404,MATCH($K239,其他调用!$X$5:$X$404,0),0)</f>
        <v>5529.8958544947773</v>
      </c>
      <c r="R239" s="12">
        <f>MIN(INDEX(其他调用!$AH$5:$AH$364,MATCH($K239,其他调用!$AG$5:$AG$364,0),1)/INDEX(其他调用!AL$5:AL$364,MATCH($K239,其他调用!$AG$5:$AG$364,0),0),1)*INDEX(其他调用!AC$5:AC$404,MATCH($K239,其他调用!$X$5:$X$404,0),0)</f>
        <v>2834.4096552770184</v>
      </c>
      <c r="S239" s="12">
        <f>求节点(节奏总纲!D$4:D$163,标准城池设计!AC$4:AC$163,$K239)*求节点(节奏总纲!D$4:D$163,攻城基础信息!$AD$5:$AD$164,$K239)</f>
        <v>756242.99736641243</v>
      </c>
      <c r="T239" s="12">
        <f>INDEX(其他调用!$AA$5:$AA$404,MATCH($K239,其他调用!$X$5:$X$404,0))*MIN(INDEX(其他调用!AI$5:AI$364,MATCH($K239,其他调用!$AG$5:$AG$364,0),1)/INDEX(其他调用!$AJ$5:$AJ$364,MATCH($K239,其他调用!$AG$5:$AG$364,0),0),5)*求节点(节奏总纲!D$4:D$163,攻城基础信息!$AD$5:$AD$164,$K239)</f>
        <v>88430.987280867877</v>
      </c>
      <c r="U239" s="12">
        <f>MIN(INDEX(其他调用!$AI$5:$AI$364,MATCH($K239,其他调用!$AG$5:$AG$364,0),1)/INDEX(其他调用!AH$5:AH$364,MATCH($K239,其他调用!$AG$5:$AG$364,0),0),1)*INDEX(其他调用!Y$5:Y$404,MATCH($K239,其他调用!$X$5:$X$404,0),0)</f>
        <v>41040.560988850462</v>
      </c>
      <c r="V239" s="12">
        <f>MIN(INDEX(其他调用!$AI$5:$AI$364,MATCH($K239,其他调用!$AG$5:$AG$364,0),1)/INDEX(其他调用!AI$5:AI$364,MATCH($K239,其他调用!$AG$5:$AG$364,0),0),1)*INDEX(其他调用!Z$5:Z$404,MATCH($K239,其他调用!$X$5:$X$404,0),0)</f>
        <v>42193.243215387287</v>
      </c>
      <c r="W239" s="12">
        <f>MIN(INDEX(其他调用!$AI$5:$AI$364,MATCH($K239,其他调用!$AG$5:$AG$364,0),1)/INDEX(其他调用!AJ$5:AJ$364,MATCH($K239,其他调用!$AG$5:$AG$364,0),0),1)*INDEX(其他调用!AA$5:AA$404,MATCH($K239,其他调用!$X$5:$X$404,0),0)</f>
        <v>25568.211566987407</v>
      </c>
      <c r="X239" s="12">
        <f>MIN(INDEX(其他调用!$AI$5:$AI$364,MATCH($K239,其他调用!$AG$5:$AG$364,0),1)/INDEX(其他调用!AK$5:AK$364,MATCH($K239,其他调用!$AG$5:$AG$364,0),0),1)*INDEX(其他调用!AB$5:AB$404,MATCH($K239,其他调用!$X$5:$X$404,0),0)</f>
        <v>9101.3977813493548</v>
      </c>
      <c r="Y239" s="12">
        <f>MIN(INDEX(其他调用!$AI$5:$AI$364,MATCH($K239,其他调用!$AG$5:$AG$364,0),1)/INDEX(其他调用!AL$5:AL$364,MATCH($K239,其他调用!$AG$5:$AG$364,0),0),1)*INDEX(其他调用!AC$5:AC$404,MATCH($K239,其他调用!$X$5:$X$404,0),0)</f>
        <v>4665.0227105100366</v>
      </c>
      <c r="Z239" s="12">
        <f>求节点(节奏总纲!D$4:D$163,标准城池设计!AD$4:AD$163,$K239)*求节点(节奏总纲!D$4:D$163,攻城基础信息!$AE$5:$AE$164,$K239)</f>
        <v>826993.57620067813</v>
      </c>
      <c r="AA239" s="12">
        <f>INDEX(其他调用!$AA$5:$AA$404,MATCH($K239,其他调用!$X$5:$X$404,0))*MIN(INDEX(其他调用!AJ$5:AJ$364,MATCH($K239,其他调用!$AG$5:$AG$364,0),1)/INDEX(其他调用!$AJ$5:$AJ$364,MATCH($K239,其他调用!$AG$5:$AG$364,0),0),5)*求节点(节奏总纲!D$4:D$163,攻城基础信息!$AE$5:$AE$164,$K239)</f>
        <v>151191.45861242316</v>
      </c>
      <c r="AB239" s="12">
        <f>MIN(INDEX(其他调用!$AJ$5:$AJ$364,MATCH($K239,其他调用!$AG$5:$AG$364,0),1)/INDEX(其他调用!AH$5:AH$364,MATCH($K239,其他调用!$AG$5:$AG$364,0),0),1)*INDEX(其他调用!Y$5:Y$404,MATCH($K239,其他调用!$X$5:$X$404,0),0)</f>
        <v>41040.560988850462</v>
      </c>
      <c r="AC239" s="12">
        <f>MIN(INDEX(其他调用!$AJ$5:$AJ$364,MATCH($K239,其他调用!$AG$5:$AG$364,0),1)/INDEX(其他调用!AI$5:AI$364,MATCH($K239,其他调用!$AG$5:$AG$364,0),0),1)*INDEX(其他调用!Z$5:Z$404,MATCH($K239,其他调用!$X$5:$X$404,0),0)</f>
        <v>42193.243215387287</v>
      </c>
      <c r="AD239" s="12">
        <f>MIN(INDEX(其他调用!$AJ$5:$AJ$364,MATCH($K239,其他调用!$AG$5:$AG$364,0),1)/INDEX(其他调用!AJ$5:AJ$364,MATCH($K239,其他调用!$AG$5:$AG$364,0),0),1)*INDEX(其他调用!AA$5:AA$404,MATCH($K239,其他调用!$X$5:$X$404,0),0)</f>
        <v>43714.260349100528</v>
      </c>
      <c r="AE239" s="12">
        <f>MIN(INDEX(其他调用!$AJ$5:$AJ$364,MATCH($K239,其他调用!$AG$5:$AG$364,0),1)/INDEX(其他调用!AK$5:AK$364,MATCH($K239,其他调用!$AG$5:$AG$364,0),0),1)*INDEX(其他调用!AB$5:AB$404,MATCH($K239,其他调用!$X$5:$X$404,0),0)</f>
        <v>15560.762672518427</v>
      </c>
      <c r="AF239" s="12">
        <f>MIN(INDEX(其他调用!$AJ$5:$AJ$364,MATCH($K239,其他调用!$AG$5:$AG$364,0),1)/INDEX(其他调用!AL$5:AL$364,MATCH($K239,其他调用!$AG$5:$AG$364,0),0),1)*INDEX(其他调用!AC$5:AC$404,MATCH($K239,其他调用!$X$5:$X$404,0),0)</f>
        <v>7975.8420633927162</v>
      </c>
      <c r="AG239" s="12">
        <f>求节点(节奏总纲!D$4:D$163,标准城池设计!AE$4:AE$163,$K239)*求节点(节奏总纲!D$4:D$163,攻城基础信息!$AF$5:$AF$164,$K239)</f>
        <v>994804.08790159121</v>
      </c>
      <c r="AH239" s="12">
        <f>INDEX(其他调用!$AA$5:$AA$404,MATCH($K239,其他调用!$X$5:$X$404,0))*MIN(INDEX(其他调用!AK$5:AK$364,MATCH($K239,其他调用!$AG$5:$AG$364,0),1)/INDEX(其他调用!$AJ$5:$AJ$364,MATCH($K239,其他调用!$AG$5:$AG$364,0),0),5)*求节点(节奏总纲!D$4:D$163,攻城基础信息!$AF$5:$AF$164,$K239)</f>
        <v>446322.74617025786</v>
      </c>
      <c r="AI239" s="12">
        <f>MIN(INDEX(其他调用!$AK$5:$AK$364,MATCH($K239,其他调用!$AG$5:$AG$364,0),1)/INDEX(其他调用!AH$5:AH$364,MATCH($K239,其他调用!$AG$5:$AG$364,0),0),1)*INDEX(其他调用!Y$5:Y$404,MATCH($K239,其他调用!$X$5:$X$404,0),0)</f>
        <v>41040.560988850462</v>
      </c>
      <c r="AJ239" s="12">
        <f>MIN(INDEX(其他调用!$AK$5:$AK$364,MATCH($K239,其他调用!$AG$5:$AG$364,0),1)/INDEX(其他调用!AI$5:AI$364,MATCH($K239,其他调用!$AG$5:$AG$364,0),0),1)*INDEX(其他调用!Z$5:Z$404,MATCH($K239,其他调用!$X$5:$X$404,0),0)</f>
        <v>42193.243215387287</v>
      </c>
      <c r="AK239" s="12">
        <f>MIN(INDEX(其他调用!$AK$5:$AK$364,MATCH($K239,其他调用!$AG$5:$AG$364,0),1)/INDEX(其他调用!AJ$5:AJ$364,MATCH($K239,其他调用!$AG$5:$AG$364,0),0),1)*INDEX(其他调用!AA$5:AA$404,MATCH($K239,其他调用!$X$5:$X$404,0),0)</f>
        <v>43714.260349100528</v>
      </c>
      <c r="AL239" s="12">
        <f>MIN(INDEX(其他调用!$AK$5:$AK$364,MATCH($K239,其他调用!$AG$5:$AG$364,0),1)/INDEX(其他调用!AK$5:AK$364,MATCH($K239,其他调用!$AG$5:$AG$364,0),0),1)*INDEX(其他调用!AB$5:AB$404,MATCH($K239,其他调用!$X$5:$X$404,0),0)</f>
        <v>45935.943685190403</v>
      </c>
      <c r="AM239" s="12">
        <f>MIN(INDEX(其他调用!$AK$5:$AK$364,MATCH($K239,其他调用!$AG$5:$AG$364,0),1)/INDEX(其他调用!AL$5:AL$364,MATCH($K239,其他调用!$AG$5:$AG$364,0),0),1)*INDEX(其他调用!AC$5:AC$404,MATCH($K239,其他调用!$X$5:$X$404,0),0)</f>
        <v>23544.979097524163</v>
      </c>
      <c r="AN239" s="12">
        <f>求节点(节奏总纲!D$4:D$163,标准城池设计!AF$4:AF$163,$K239)*求节点(节奏总纲!D$4:D$163,攻城基础信息!$AG$5:$AG$164,$K239)</f>
        <v>1041180.3737927866</v>
      </c>
      <c r="AO239" s="12">
        <f>INDEX(其他调用!$AA$5:$AA$404,MATCH($K239,其他调用!$X$5:$X$404,0))*MIN(INDEX(其他调用!AL$5:AL$364,MATCH($K239,其他调用!$AG$5:$AG$364,0),1)/INDEX(其他调用!$AJ$5:$AJ$364,MATCH($K239,其他调用!$AG$5:$AG$364,0),0),5)*求节点(节奏总纲!D$4:D$163,攻城基础信息!$AG$5:$AG$164,$K239)</f>
        <v>755957.29306211579</v>
      </c>
      <c r="AP239" s="12">
        <f>MIN(INDEX(其他调用!$AL$5:$AL$364,MATCH($K239,其他调用!$AG$5:$AG$364,0),1)/INDEX(其他调用!AH$5:AH$364,MATCH($K239,其他调用!$AG$5:$AG$364,0),0),1)*INDEX(其他调用!Y$5:Y$404,MATCH($K239,其他调用!$X$5:$X$404,0),0)</f>
        <v>41040.560988850462</v>
      </c>
      <c r="AQ239" s="12">
        <f>MIN(INDEX(其他调用!$AL$5:$AL$364,MATCH($K239,其他调用!$AG$5:$AG$364,0),1)/INDEX(其他调用!AI$5:AI$364,MATCH($K239,其他调用!$AG$5:$AG$364,0),0),1)*INDEX(其他调用!Z$5:Z$404,MATCH($K239,其他调用!$X$5:$X$404,0),0)</f>
        <v>42193.243215387287</v>
      </c>
      <c r="AR239" s="12">
        <f>MIN(INDEX(其他调用!$AL$5:$AL$364,MATCH($K239,其他调用!$AG$5:$AG$364,0),1)/INDEX(其他调用!AJ$5:AJ$364,MATCH($K239,其他调用!$AG$5:$AG$364,0),0),1)*INDEX(其他调用!AA$5:AA$404,MATCH($K239,其他调用!$X$5:$X$404,0),0)</f>
        <v>43714.260349100528</v>
      </c>
      <c r="AS239" s="12">
        <f>MIN(INDEX(其他调用!$AL$5:$AL$364,MATCH($K239,其他调用!$AG$5:$AG$364,0),1)/INDEX(其他调用!AK$5:AK$364,MATCH($K239,其他调用!$AG$5:$AG$364,0),0),1)*INDEX(其他调用!AB$5:AB$404,MATCH($K239,其他调用!$X$5:$X$404,0),0)</f>
        <v>45935.943685190403</v>
      </c>
      <c r="AT239" s="12">
        <f>MIN(INDEX(其他调用!$AL$5:$AL$364,MATCH($K239,其他调用!$AG$5:$AG$364,0),1)/INDEX(其他调用!AL$5:AL$364,MATCH($K239,其他调用!$AG$5:$AG$364,0),0),1)*INDEX(其他调用!AC$5:AC$404,MATCH($K239,其他调用!$X$5:$X$404,0),0)</f>
        <v>49845.574106912303</v>
      </c>
      <c r="AV239" s="14">
        <f>IF(OR(AV$5="大R",AV$5="超R"),MAX(INDEX(其他调用!$H$5:$L$404,MATCH($K239,其他调用!$B$5:$B$404,0),MATCH(AV$5,其他调用!$H$4:$L$4,0))*120*0.85,2),INDEX(其他调用!$H$5:$L$404,MATCH($K239,其他调用!$B$5:$B$404,0),MATCH(AV$5,其他调用!$H$4:$L$4,0))*120*0.85)</f>
        <v>48.921801254999991</v>
      </c>
      <c r="AW239" s="14">
        <f>IF(OR(AW$5="大R",AW$5="超R"),MAX(INDEX(其他调用!$H$5:$L$404,MATCH($K239,其他调用!$B$5:$B$404,0),MATCH(AW$5,其他调用!$H$4:$L$4,0))*120*0.85,2),INDEX(其他调用!$H$5:$L$404,MATCH($K239,其他调用!$B$5:$B$404,0),MATCH(AW$5,其他调用!$H$4:$L$4,0))*120*0.85)</f>
        <v>48.237344010638395</v>
      </c>
      <c r="AX239" s="14">
        <f>IF(OR(AX$5="大R",AX$5="超R"),MAX(INDEX(其他调用!$H$5:$L$404,MATCH($K239,其他调用!$B$5:$B$404,0),MATCH(AX$5,其他调用!$H$4:$L$4,0))*120*0.85,2),INDEX(其他调用!$H$5:$L$404,MATCH($K239,其他调用!$B$5:$B$404,0),MATCH(AX$5,其他调用!$H$4:$L$4,0))*120*0.85)</f>
        <v>3.9376284143615998</v>
      </c>
      <c r="AY239" s="14">
        <f>IF(OR(AY$5="大R",AY$5="超R"),MAX(INDEX(其他调用!$H$5:$L$404,MATCH($K239,其他调用!$B$5:$B$404,0),MATCH(AY$5,其他调用!$H$4:$L$4,0))*120*0.85,2),INDEX(其他调用!$H$5:$L$404,MATCH($K239,其他调用!$B$5:$B$404,0),MATCH(AY$5,其他调用!$H$4:$L$4,0))*120*0.85)</f>
        <v>2</v>
      </c>
      <c r="AZ239" s="14">
        <f>IF(OR(AZ$5="大R",AZ$5="超R"),MAX(INDEX(其他调用!$H$5:$L$404,MATCH($K239,其他调用!$B$5:$B$404,0),MATCH(AZ$5,其他调用!$H$4:$L$4,0))*120*0.85,2),INDEX(其他调用!$H$5:$L$404,MATCH($K239,其他调用!$B$5:$B$404,0),MATCH(AZ$5,其他调用!$H$4:$L$4,0))*120*0.85)</f>
        <v>2</v>
      </c>
      <c r="BA239" s="14">
        <f>INDEX(其他调用!$H$5:$L$404,MATCH($K239,其他调用!$B$5:$B$404,0),MATCH(BA$5,其他调用!$H$4:$L$4,0))*INDEX(其他调用!$M$5:$M$404,MATCH($K239,其他调用!$B$5:$B$404,0))*0.6</f>
        <v>28.777530149999997</v>
      </c>
      <c r="BB239" s="14">
        <f>INDEX(其他调用!$H$5:$L$404,MATCH($K239,其他调用!$B$5:$B$404,0),MATCH(BB$5,其他调用!$H$4:$L$4,0))*INDEX(其他调用!$M$5:$M$404,MATCH($K239,其他调用!$B$5:$B$404,0))*0.6</f>
        <v>28.374908241551999</v>
      </c>
      <c r="BC239" s="14">
        <f>INDEX(其他调用!$H$5:$L$404,MATCH($K239,其他调用!$B$5:$B$404,0),MATCH(BC$5,其他调用!$H$4:$L$4,0))*INDEX(其他调用!$M$5:$M$404,MATCH($K239,其他调用!$B$5:$B$404,0))*0.6</f>
        <v>2.3162520084480001</v>
      </c>
      <c r="BD239" s="14">
        <f>INDEX(其他调用!$H$5:$L$404,MATCH($K239,其他调用!$B$5:$B$404,0),MATCH(BD$5,其他调用!$H$4:$L$4,0))*INDEX(其他调用!$M$5:$M$404,MATCH($K239,其他调用!$B$5:$B$404,0))*0.6</f>
        <v>0.4120776000000001</v>
      </c>
      <c r="BE239" s="14">
        <f>INDEX(其他调用!$H$5:$L$404,MATCH($K239,其他调用!$B$5:$B$404,0),MATCH(BE$5,其他调用!$H$4:$L$4,0))*INDEX(其他调用!$M$5:$M$404,MATCH($K239,其他调用!$B$5:$B$404,0))*0.6</f>
        <v>0.11923199999999998</v>
      </c>
      <c r="BF239" s="14">
        <f>IF(OR(BF$5="大R",BF$5="超R"),0,INDEX(其他调用!$H$5:$L$404,MATCH($K239,其他调用!$B$5:$B$404,0),MATCH(BF$5,其他调用!$H$4:$L$4,0))*50*0.4)</f>
        <v>9.5925100500000013</v>
      </c>
      <c r="BG239" s="14">
        <f>IF(OR(BG$5="大R",BG$5="超R"),0,INDEX(其他调用!$H$5:$L$404,MATCH($K239,其他调用!$B$5:$B$404,0),MATCH(BG$5,其他调用!$H$4:$L$4,0))*50*0.4)</f>
        <v>9.4583027471839998</v>
      </c>
      <c r="BH239" s="14">
        <f>IF(OR(BH$5="大R",BH$5="超R"),0,INDEX(其他调用!$H$5:$L$404,MATCH($K239,其他调用!$B$5:$B$404,0),MATCH(BH$5,其他调用!$H$4:$L$4,0))*50*0.4)</f>
        <v>0.77208400281600009</v>
      </c>
      <c r="BI239" s="14">
        <f>IF(OR(BI$5="大R",BI$5="超R"),0,INDEX(其他调用!$H$5:$L$404,MATCH($K239,其他调用!$B$5:$B$404,0),MATCH(BI$5,其他调用!$H$4:$L$4,0))*50*0.4)</f>
        <v>0</v>
      </c>
      <c r="BJ239" s="14">
        <f>IF(OR(BJ$5="大R",BJ$5="超R"),0,INDEX(其他调用!$H$5:$L$404,MATCH($K239,其他调用!$B$5:$B$404,0),MATCH(BJ$5,其他调用!$H$4:$L$4,0))*50*0.4)</f>
        <v>0</v>
      </c>
      <c r="BL239" s="14">
        <f t="shared" si="418"/>
        <v>234</v>
      </c>
      <c r="BM239" s="14">
        <f t="shared" si="325"/>
        <v>96</v>
      </c>
      <c r="BN239" s="14">
        <f>('疲劳值&amp;地图信息'!$S$10*'疲劳值&amp;地图信息'!$R$10+'疲劳值&amp;地图信息'!$S$11*'疲劳值&amp;地图信息'!$R$11+'疲劳值&amp;地图信息'!$S$12*'疲劳值&amp;地图信息'!$R$12+(BM239-'疲劳值&amp;地图信息'!$S$12-'疲劳值&amp;地图信息'!$S$11-'疲劳值&amp;地图信息'!$S$10)*'疲劳值&amp;地图信息'!$R$13)/BM239</f>
        <v>51.371477246638619</v>
      </c>
      <c r="BO239" s="14">
        <f>INDEX(其他调用!$M$5:$M$404,MATCH(BL239,其他调用!$B$5:$B$404,0))*0.6</f>
        <v>60</v>
      </c>
      <c r="BP239" s="14">
        <f>IF(BO239&gt;SUM('疲劳值&amp;地图信息'!$S$10:$S$12),('疲劳值&amp;地图信息'!$S$10*'疲劳值&amp;地图信息'!$R$10+'疲劳值&amp;地图信息'!$S$11*'疲劳值&amp;地图信息'!$R$11+'疲劳值&amp;地图信息'!$S$12*'疲劳值&amp;地图信息'!$R$12+(BO239-'疲劳值&amp;地图信息'!$S$12-'疲劳值&amp;地图信息'!$S$11-'疲劳值&amp;地图信息'!$S$10)*'疲劳值&amp;地图信息'!$R$13)/BO239,('疲劳值&amp;地图信息'!$S$10*'疲劳值&amp;地图信息'!$R$10+'疲劳值&amp;地图信息'!$S$11*'疲劳值&amp;地图信息'!$R$11+'疲劳值&amp;地图信息'!$S$12*'疲劳值&amp;地图信息'!$R$12+(BO239-'疲劳值&amp;地图信息'!$S$12-'疲劳值&amp;地图信息'!$S$11-'疲劳值&amp;地图信息'!$S$10)*'疲劳值&amp;地图信息'!$R$13)/BO239)</f>
        <v>44.158136341605953</v>
      </c>
      <c r="BQ239" s="14">
        <f t="shared" si="419"/>
        <v>20</v>
      </c>
      <c r="BR239" s="14">
        <f>('疲劳值&amp;地图信息'!$S$10*'疲劳值&amp;地图信息'!$R$10+($BQ239-'疲劳值&amp;地图信息'!$S$10)*'疲劳值&amp;地图信息'!$R$11)/$BQ239</f>
        <v>32.067203015074995</v>
      </c>
      <c r="CF239" s="14">
        <v>234</v>
      </c>
      <c r="CG239" s="51">
        <f t="shared" si="326"/>
        <v>14334</v>
      </c>
      <c r="CH239" s="51">
        <f t="shared" si="327"/>
        <v>1095</v>
      </c>
      <c r="CI239" s="51">
        <f>INT(SUMPRODUCT($N239:$R239,$BA239:$BE239)/SUM($BA239:$BE239)/10000*$BX$7*$BZ$34/'疲劳值&amp;地图信息'!$R$10*$BY$53)</f>
        <v>3292</v>
      </c>
      <c r="CJ239" s="50">
        <f t="shared" si="328"/>
        <v>0.76566422733828321</v>
      </c>
      <c r="CK239" s="50">
        <f t="shared" si="329"/>
        <v>5.849046525292452E-2</v>
      </c>
      <c r="CL239" s="50">
        <f t="shared" si="330"/>
        <v>0.17584530740879226</v>
      </c>
      <c r="CM239" s="14">
        <f t="shared" si="331"/>
        <v>15413</v>
      </c>
      <c r="CN239" s="14">
        <f t="shared" si="332"/>
        <v>1802</v>
      </c>
      <c r="CO239" s="14">
        <f>INT(SUMPRODUCT($U239:$Y239,$BA239:$BE239)/SUM($BA239:$BE239)/10000*$BX$7*$BZ$34/'疲劳值&amp;地图信息'!$R$10*$BY$54)</f>
        <v>6194</v>
      </c>
      <c r="CP239" s="50">
        <f t="shared" si="333"/>
        <v>0.65842197445426975</v>
      </c>
      <c r="CQ239" s="50">
        <f t="shared" si="334"/>
        <v>7.6978939724037757E-2</v>
      </c>
      <c r="CR239" s="50">
        <f t="shared" si="335"/>
        <v>0.2645990858216925</v>
      </c>
      <c r="CS239" s="14">
        <f t="shared" si="336"/>
        <v>16855</v>
      </c>
      <c r="CT239" s="14">
        <f t="shared" si="337"/>
        <v>3081</v>
      </c>
      <c r="CU239" s="14">
        <f>INT(SUMPRODUCT($AB239:$AF239,$BA239:$BE239)/SUM($BA239:$BE239)/10000*$BX$7*$BZ$34/'疲劳值&amp;地图信息'!$R$10*$BY$55)</f>
        <v>8411</v>
      </c>
      <c r="CV239" s="50">
        <f t="shared" si="338"/>
        <v>0.59459554802977388</v>
      </c>
      <c r="CW239" s="50">
        <f t="shared" si="339"/>
        <v>0.10868875013228912</v>
      </c>
      <c r="CX239" s="50">
        <f t="shared" si="340"/>
        <v>0.296715701837937</v>
      </c>
      <c r="CY239" s="14">
        <f t="shared" si="341"/>
        <v>20275</v>
      </c>
      <c r="CZ239" s="14">
        <f t="shared" si="342"/>
        <v>9096</v>
      </c>
      <c r="DA239" s="14">
        <f>INT(SUMPRODUCT($AI239:$AM239,$BA239:$BE239)/SUM($BA239:$BE239)/10000*$BX$7*$BZ$34/'疲劳值&amp;地图信息'!$R$10*$BY$56)</f>
        <v>12689</v>
      </c>
      <c r="DB239" s="50">
        <f t="shared" si="343"/>
        <v>0.48204945316214931</v>
      </c>
      <c r="DC239" s="50">
        <f t="shared" si="344"/>
        <v>0.21626248216833097</v>
      </c>
      <c r="DD239" s="50">
        <f t="shared" si="345"/>
        <v>0.30168806466951975</v>
      </c>
      <c r="DE239" s="14">
        <f t="shared" si="346"/>
        <v>21220</v>
      </c>
      <c r="DF239" s="14">
        <f t="shared" si="347"/>
        <v>15407</v>
      </c>
      <c r="DG239" s="14">
        <f>INT(SUMPRODUCT($AP239:$AT239,$BA239:$BE239)/SUM($BA239:$BE239)/10000*$BX$7*$BZ$34/'疲劳值&amp;地图信息'!$R$10*$BY$57)</f>
        <v>16940</v>
      </c>
      <c r="DH239" s="50">
        <f t="shared" si="348"/>
        <v>0.39613941419157317</v>
      </c>
      <c r="DI239" s="50">
        <f t="shared" si="349"/>
        <v>0.28762111001176099</v>
      </c>
      <c r="DJ239" s="50">
        <f t="shared" si="350"/>
        <v>0.31623947579666584</v>
      </c>
      <c r="DL239" s="14">
        <f t="shared" si="421"/>
        <v>18721</v>
      </c>
      <c r="DM239" s="14">
        <f t="shared" si="422"/>
        <v>23409</v>
      </c>
      <c r="DN239" s="14">
        <f t="shared" si="423"/>
        <v>28347</v>
      </c>
      <c r="DO239" s="14">
        <f t="shared" si="424"/>
        <v>42060</v>
      </c>
      <c r="DP239" s="14">
        <f t="shared" si="425"/>
        <v>53567</v>
      </c>
      <c r="DQ239" s="14">
        <f t="shared" si="426"/>
        <v>1292350</v>
      </c>
      <c r="DT239" s="14">
        <f t="shared" si="420"/>
        <v>235575</v>
      </c>
      <c r="DU239" s="50">
        <f t="shared" si="322"/>
        <v>0.15417968813914296</v>
      </c>
      <c r="DW239" s="14">
        <f t="shared" si="351"/>
        <v>1527925</v>
      </c>
      <c r="EB239" s="14">
        <v>234</v>
      </c>
      <c r="EC239" s="51">
        <f t="shared" si="352"/>
        <v>23891</v>
      </c>
      <c r="ED239" s="51">
        <f t="shared" si="353"/>
        <v>1825</v>
      </c>
      <c r="EE239" s="51">
        <f>INT(SUMPRODUCT($N239:$R239,$BF239:$BJ239)/SUM($BF239:$BJ239)/10000*$BX$7*$BZ$46/'疲劳值&amp;地图信息'!$R$10*$BY$53)</f>
        <v>442</v>
      </c>
      <c r="EF239" s="50">
        <f t="shared" si="354"/>
        <v>0.91333435277926445</v>
      </c>
      <c r="EG239" s="50">
        <f t="shared" si="355"/>
        <v>6.9768330912149248E-2</v>
      </c>
      <c r="EH239" s="50">
        <f t="shared" si="356"/>
        <v>1.6897316308586284E-2</v>
      </c>
      <c r="EI239" s="51">
        <f t="shared" si="357"/>
        <v>25688</v>
      </c>
      <c r="EJ239" s="51">
        <f t="shared" si="358"/>
        <v>3003</v>
      </c>
      <c r="EK239" s="14">
        <f>INT(SUMPRODUCT($U239:$Y239,$BF239:$BJ239)/SUM($BF239:$BJ239)/10000*$BX$7*$BZ$46/'疲劳值&amp;地图信息'!$R$10*$BY$54)</f>
        <v>831</v>
      </c>
      <c r="EL239" s="50">
        <f t="shared" si="359"/>
        <v>0.87013074994919049</v>
      </c>
      <c r="EM239" s="50">
        <f t="shared" si="360"/>
        <v>0.10172075062665131</v>
      </c>
      <c r="EN239" s="50">
        <f t="shared" si="361"/>
        <v>2.8148499424158254E-2</v>
      </c>
      <c r="EO239" s="51">
        <f t="shared" si="362"/>
        <v>28091</v>
      </c>
      <c r="EP239" s="51">
        <f t="shared" si="363"/>
        <v>5135</v>
      </c>
      <c r="EQ239" s="14">
        <f>INT(SUMPRODUCT($AB239:$AF239,$BF239:$BJ239)/SUM($BF239:$BJ239)/10000*$BX$7*$BZ$46/'疲劳值&amp;地图信息'!$R$10*$BY$55)</f>
        <v>1128</v>
      </c>
      <c r="ER239" s="50">
        <f t="shared" si="364"/>
        <v>0.81769226290970487</v>
      </c>
      <c r="ES239" s="50">
        <f t="shared" si="365"/>
        <v>0.14947313267741746</v>
      </c>
      <c r="ET239" s="50">
        <f t="shared" si="366"/>
        <v>3.2834604412877687E-2</v>
      </c>
      <c r="EU239" s="51">
        <f t="shared" si="367"/>
        <v>33792</v>
      </c>
      <c r="EV239" s="51">
        <f t="shared" si="368"/>
        <v>15161</v>
      </c>
      <c r="EW239" s="14">
        <f>INT(SUMPRODUCT($AI239:$AM239,$BF239:$BJ239)/SUM($BF239:$BJ239)/10000*$BX$7*$BZ$46/'疲劳值&amp;地图信息'!$R$10*$BY$56)</f>
        <v>1692</v>
      </c>
      <c r="EX239" s="50">
        <f t="shared" si="369"/>
        <v>0.66723269819330633</v>
      </c>
      <c r="EY239" s="50">
        <f t="shared" si="370"/>
        <v>0.29935827821107708</v>
      </c>
      <c r="EZ239" s="50">
        <f t="shared" si="371"/>
        <v>3.3409023595616545E-2</v>
      </c>
      <c r="FA239" s="51">
        <f t="shared" si="372"/>
        <v>35367</v>
      </c>
      <c r="FB239" s="51">
        <f t="shared" si="373"/>
        <v>25678</v>
      </c>
      <c r="FC239" s="14">
        <f>INT(SUMPRODUCT($AP239:$AT239,$BF239:$BJ239)/SUM($BF239:$BJ239)/10000*$BX$7*$BZ$46/'疲劳值&amp;地图信息'!$R$10*$BY$57)</f>
        <v>2256</v>
      </c>
      <c r="FD239" s="50">
        <f t="shared" si="374"/>
        <v>0.55871155274008311</v>
      </c>
      <c r="FE239" s="50">
        <f t="shared" si="375"/>
        <v>0.40564919985466263</v>
      </c>
      <c r="FF239" s="50">
        <f t="shared" si="376"/>
        <v>3.563924740525426E-2</v>
      </c>
      <c r="FH239" s="14">
        <f t="shared" si="377"/>
        <v>26158</v>
      </c>
      <c r="FI239" s="14">
        <f t="shared" si="378"/>
        <v>29522</v>
      </c>
      <c r="FJ239" s="14">
        <f t="shared" si="379"/>
        <v>34354</v>
      </c>
      <c r="FK239" s="14">
        <f t="shared" si="380"/>
        <v>50645</v>
      </c>
      <c r="FL239" s="14">
        <f t="shared" si="381"/>
        <v>63301</v>
      </c>
      <c r="FM239" s="14">
        <f t="shared" si="382"/>
        <v>3066924</v>
      </c>
      <c r="FP239" s="14">
        <f t="shared" si="383"/>
        <v>334150</v>
      </c>
      <c r="FQ239" s="50">
        <f t="shared" si="323"/>
        <v>9.82483768362582E-2</v>
      </c>
      <c r="FS239" s="14">
        <f t="shared" si="384"/>
        <v>3401074</v>
      </c>
      <c r="FX239" s="14">
        <v>234</v>
      </c>
      <c r="FY239" s="51">
        <f t="shared" si="385"/>
        <v>33447</v>
      </c>
      <c r="FZ239" s="51">
        <f t="shared" si="386"/>
        <v>1825</v>
      </c>
      <c r="GA239" s="51">
        <f>INT(SUMPRODUCT($N239:$R239,$BF239:$BJ239)/SUM($BF239:$BJ239)/10000*$BX$7*$BZ$46/'疲劳值&amp;地图信息'!$R$10*$BY$53)</f>
        <v>442</v>
      </c>
      <c r="GB239" s="50">
        <f t="shared" si="387"/>
        <v>0.93652349218793751</v>
      </c>
      <c r="GC239" s="50">
        <f t="shared" si="388"/>
        <v>5.1100408803270429E-2</v>
      </c>
      <c r="GD239" s="50">
        <f t="shared" si="389"/>
        <v>1.2376099008792071E-2</v>
      </c>
      <c r="GE239" s="51">
        <f t="shared" si="390"/>
        <v>35964</v>
      </c>
      <c r="GF239" s="51">
        <f t="shared" si="391"/>
        <v>3003</v>
      </c>
      <c r="GG239" s="14">
        <f>INT(SUMPRODUCT($U239:$Y239,$BF239:$BJ239)/SUM($BF239:$BJ239)/10000*$BX$7*$BZ$46/'疲劳值&amp;地图信息'!$R$10*$BY$54)</f>
        <v>831</v>
      </c>
      <c r="GH239" s="50">
        <f t="shared" si="392"/>
        <v>0.90366350067842605</v>
      </c>
      <c r="GI239" s="50">
        <f t="shared" si="393"/>
        <v>7.545605306799337E-2</v>
      </c>
      <c r="GJ239" s="50">
        <f t="shared" si="394"/>
        <v>2.0880446253580581E-2</v>
      </c>
      <c r="GK239" s="51">
        <f t="shared" si="395"/>
        <v>39328</v>
      </c>
      <c r="GL239" s="51">
        <f t="shared" si="396"/>
        <v>5135</v>
      </c>
      <c r="GM239" s="14">
        <f>INT(SUMPRODUCT($AB239:$AF239,$BF239:$BJ239)/SUM($BF239:$BJ239)/10000*$BX$7*$BZ$46/'疲劳值&amp;地图信息'!$R$10*$BY$55)</f>
        <v>1128</v>
      </c>
      <c r="GN239" s="50">
        <f t="shared" si="397"/>
        <v>0.86262639556052734</v>
      </c>
      <c r="GO239" s="50">
        <f t="shared" si="398"/>
        <v>0.11263187909894497</v>
      </c>
      <c r="GP239" s="50">
        <f t="shared" si="399"/>
        <v>2.4741725340527737E-2</v>
      </c>
      <c r="GQ239" s="51">
        <f t="shared" si="400"/>
        <v>47309</v>
      </c>
      <c r="GR239" s="51">
        <f t="shared" si="401"/>
        <v>15161</v>
      </c>
      <c r="GS239" s="14">
        <f>INT(SUMPRODUCT($AI239:$AM239,$BF239:$BJ239)/SUM($BF239:$BJ239)/10000*$BX$7*$BZ$46/'疲劳值&amp;地图信息'!$R$10*$BY$56)</f>
        <v>1692</v>
      </c>
      <c r="GT239" s="50">
        <f t="shared" si="402"/>
        <v>0.73733674137339855</v>
      </c>
      <c r="GU239" s="50">
        <f t="shared" si="403"/>
        <v>0.23629250958511269</v>
      </c>
      <c r="GV239" s="50">
        <f t="shared" si="404"/>
        <v>2.6370749041488731E-2</v>
      </c>
      <c r="GW239" s="51">
        <f t="shared" si="405"/>
        <v>49514</v>
      </c>
      <c r="GX239" s="51">
        <f t="shared" si="406"/>
        <v>25678</v>
      </c>
      <c r="GY239" s="14">
        <f>INT(SUMPRODUCT($AP239:$AT239,$BF239:$BJ239)/SUM($BF239:$BJ239)/10000*$BX$7*$BZ$46/'疲劳值&amp;地图信息'!$R$10*$BY$57)</f>
        <v>2256</v>
      </c>
      <c r="GZ239" s="50">
        <f t="shared" si="407"/>
        <v>0.63931928519781012</v>
      </c>
      <c r="HA239" s="50">
        <f t="shared" si="408"/>
        <v>0.33155149261439931</v>
      </c>
      <c r="HB239" s="50">
        <f t="shared" si="409"/>
        <v>2.9129222187790519E-2</v>
      </c>
      <c r="HD239" s="14">
        <f t="shared" si="410"/>
        <v>35714</v>
      </c>
      <c r="HE239" s="14">
        <f t="shared" si="411"/>
        <v>39798</v>
      </c>
      <c r="HF239" s="14">
        <f t="shared" si="412"/>
        <v>45591</v>
      </c>
      <c r="HG239" s="14">
        <f t="shared" si="413"/>
        <v>64162</v>
      </c>
      <c r="HH239" s="14">
        <f t="shared" si="414"/>
        <v>77448</v>
      </c>
      <c r="HI239" s="14">
        <f t="shared" si="415"/>
        <v>4129683</v>
      </c>
      <c r="HL239" s="14">
        <f t="shared" si="416"/>
        <v>430050</v>
      </c>
      <c r="HM239" s="50">
        <f t="shared" si="324"/>
        <v>9.4314732902123874E-2</v>
      </c>
      <c r="HO239" s="14">
        <f t="shared" si="417"/>
        <v>4559733</v>
      </c>
    </row>
    <row r="240" spans="11:223" x14ac:dyDescent="0.2">
      <c r="K240" s="14">
        <v>235</v>
      </c>
      <c r="L240" s="12">
        <f>求节点(节奏总纲!D$4:D$163,标准城池设计!AB$4:AB$163,$K240)*求节点(节奏总纲!D$4:D$163,攻城基础信息!$AC$5:$AC$164,$K240)</f>
        <v>704766.47377769894</v>
      </c>
      <c r="M240" s="12">
        <f>INDEX(其他调用!$AA$5:$AA$404,MATCH(K240,其他调用!$X$5:$X$404,0))*MIN(INDEX(其他调用!$AH$5:$AH$364,MATCH('征服点（新）'!K240,其他调用!$AG$5:$AG$364,0),1)/INDEX(其他调用!$AJ$5:$AJ$364,MATCH(K240,其他调用!$AG$5:$AG$364,0),0),5)*求节点(节奏总纲!D$4:D$163,攻城基础信息!$AC$5:$AC$164,$K240)</f>
        <v>53757.385632286176</v>
      </c>
      <c r="N240" s="12">
        <f>MIN(INDEX(其他调用!$AH$5:$AH$364,MATCH($K240,其他调用!$AG$5:$AG$364,0),1)/INDEX(其他调用!AH$5:AH$364,MATCH($K240,其他调用!$AG$5:$AG$364,0),0),1)*INDEX(其他调用!Y$5:Y$404,MATCH($K240,其他调用!$X$5:$X$404,0),0)</f>
        <v>41066.037518103214</v>
      </c>
      <c r="O240" s="12">
        <f>MIN(INDEX(其他调用!$AH$5:$AH$364,MATCH($K240,其他调用!$AG$5:$AG$364,0),1)/INDEX(其他调用!AI$5:AI$364,MATCH($K240,其他调用!$AG$5:$AG$364,0),0),1)*INDEX(其他调用!Z$5:Z$404,MATCH($K240,其他调用!$X$5:$X$404,0),0)</f>
        <v>25605.867933339094</v>
      </c>
      <c r="P240" s="12">
        <f>MIN(INDEX(其他调用!$AH$5:$AH$364,MATCH($K240,其他调用!$AG$5:$AG$364,0),1)/INDEX(其他调用!AJ$5:AJ$364,MATCH($K240,其他调用!$AG$5:$AG$364,0),0),1)*INDEX(其他调用!AA$5:AA$404,MATCH($K240,其他调用!$X$5:$X$404,0),0)</f>
        <v>15533.610877329133</v>
      </c>
      <c r="Q240" s="12">
        <f>MIN(INDEX(其他调用!$AH$5:$AH$364,MATCH($K240,其他调用!$AG$5:$AG$364,0),1)/INDEX(其他调用!AK$5:AK$364,MATCH($K240,其他调用!$AG$5:$AG$364,0),0),1)*INDEX(其他调用!AB$5:AB$404,MATCH($K240,其他调用!$X$5:$X$404,0),0)</f>
        <v>5526.4801666244748</v>
      </c>
      <c r="R240" s="12">
        <f>MIN(INDEX(其他调用!$AH$5:$AH$364,MATCH($K240,其他调用!$AG$5:$AG$364,0),1)/INDEX(其他调用!AL$5:AL$364,MATCH($K240,其他调用!$AG$5:$AG$364,0),0),1)*INDEX(其他调用!AC$5:AC$404,MATCH($K240,其他调用!$X$5:$X$404,0),0)</f>
        <v>2843.684572842044</v>
      </c>
      <c r="S240" s="12">
        <f>求节点(节奏总纲!D$4:D$163,标准城池设计!AC$4:AC$163,$K240)*求节点(节奏总纲!D$4:D$163,攻城基础信息!$AD$5:$AD$164,$K240)</f>
        <v>758153.41024497035</v>
      </c>
      <c r="T240" s="12">
        <f>INDEX(其他调用!$AA$5:$AA$404,MATCH($K240,其他调用!$X$5:$X$404,0))*MIN(INDEX(其他调用!AI$5:AI$364,MATCH($K240,其他调用!$AG$5:$AG$364,0),1)/INDEX(其他调用!$AJ$5:$AJ$364,MATCH($K240,其他调用!$AG$5:$AG$364,0),0),5)*求节点(节奏总纲!D$4:D$163,攻城基础信息!$AD$5:$AD$164,$K240)</f>
        <v>88634.200513589763</v>
      </c>
      <c r="U240" s="12">
        <f>MIN(INDEX(其他调用!$AI$5:$AI$364,MATCH($K240,其他调用!$AG$5:$AG$364,0),1)/INDEX(其他调用!AH$5:AH$364,MATCH($K240,其他调用!$AG$5:$AG$364,0),0),1)*INDEX(其他调用!Y$5:Y$404,MATCH($K240,其他调用!$X$5:$X$404,0),0)</f>
        <v>41066.037518103214</v>
      </c>
      <c r="V240" s="12">
        <f>MIN(INDEX(其他调用!$AI$5:$AI$364,MATCH($K240,其他调用!$AG$5:$AG$364,0),1)/INDEX(其他调用!AI$5:AI$364,MATCH($K240,其他调用!$AG$5:$AG$364,0),0),1)*INDEX(其他调用!Z$5:Z$404,MATCH($K240,其他调用!$X$5:$X$404,0),0)</f>
        <v>42218.489720694342</v>
      </c>
      <c r="W240" s="12">
        <f>MIN(INDEX(其他调用!$AI$5:$AI$364,MATCH($K240,其他调用!$AG$5:$AG$364,0),1)/INDEX(其他调用!AJ$5:AJ$364,MATCH($K240,其他调用!$AG$5:$AG$364,0),0),1)*INDEX(其他调用!AA$5:AA$404,MATCH($K240,其他调用!$X$5:$X$404,0),0)</f>
        <v>25611.535326866247</v>
      </c>
      <c r="X240" s="12">
        <f>MIN(INDEX(其他调用!$AI$5:$AI$364,MATCH($K240,其他调用!$AG$5:$AG$364,0),1)/INDEX(其他调用!AK$5:AK$364,MATCH($K240,其他调用!$AG$5:$AG$364,0),0),1)*INDEX(其他调用!AB$5:AB$404,MATCH($K240,其他调用!$X$5:$X$404,0),0)</f>
        <v>9111.9600676559003</v>
      </c>
      <c r="Y240" s="12">
        <f>MIN(INDEX(其他调用!$AI$5:$AI$364,MATCH($K240,其他调用!$AG$5:$AG$364,0),1)/INDEX(其他调用!AL$5:AL$364,MATCH($K240,其他调用!$AG$5:$AG$364,0),0),1)*INDEX(其他调用!AC$5:AC$404,MATCH($K240,其他调用!$X$5:$X$404,0),0)</f>
        <v>4688.6154462709983</v>
      </c>
      <c r="Z240" s="12">
        <f>求节点(节奏总纲!D$4:D$163,标准城池设计!AD$4:AD$163,$K240)*求节点(节奏总纲!D$4:D$163,攻城基础信息!$AE$5:$AE$164,$K240)</f>
        <v>829234.22280080221</v>
      </c>
      <c r="AA240" s="12">
        <f>INDEX(其他调用!$AA$5:$AA$404,MATCH($K240,其他调用!$X$5:$X$404,0))*MIN(INDEX(其他调用!AJ$5:AJ$364,MATCH($K240,其他调用!$AG$5:$AG$364,0),1)/INDEX(其他调用!$AJ$5:$AJ$364,MATCH($K240,其他调用!$AG$5:$AG$364,0),0),5)*求节点(节奏总纲!D$4:D$163,攻城基础信息!$AE$5:$AE$164,$K240)</f>
        <v>151369.4926639598</v>
      </c>
      <c r="AB240" s="12">
        <f>MIN(INDEX(其他调用!$AJ$5:$AJ$364,MATCH($K240,其他调用!$AG$5:$AG$364,0),1)/INDEX(其他调用!AH$5:AH$364,MATCH($K240,其他调用!$AG$5:$AG$364,0),0),1)*INDEX(其他调用!Y$5:Y$404,MATCH($K240,其他调用!$X$5:$X$404,0),0)</f>
        <v>41066.037518103214</v>
      </c>
      <c r="AC240" s="12">
        <f>MIN(INDEX(其他调用!$AJ$5:$AJ$364,MATCH($K240,其他调用!$AG$5:$AG$364,0),1)/INDEX(其他调用!AI$5:AI$364,MATCH($K240,其他调用!$AG$5:$AG$364,0),0),1)*INDEX(其他调用!Z$5:Z$404,MATCH($K240,其他调用!$X$5:$X$404,0),0)</f>
        <v>42218.489720694342</v>
      </c>
      <c r="AD240" s="12">
        <f>MIN(INDEX(其他调用!$AJ$5:$AJ$364,MATCH($K240,其他调用!$AG$5:$AG$364,0),1)/INDEX(其他调用!AJ$5:AJ$364,MATCH($K240,其他调用!$AG$5:$AG$364,0),0),1)*INDEX(其他调用!AA$5:AA$404,MATCH($K240,其他调用!$X$5:$X$404,0),0)</f>
        <v>43739.381483769568</v>
      </c>
      <c r="AE240" s="12">
        <f>MIN(INDEX(其他调用!$AJ$5:$AJ$364,MATCH($K240,其他调用!$AG$5:$AG$364,0),1)/INDEX(其他调用!AK$5:AK$364,MATCH($K240,其他调用!$AG$5:$AG$364,0),0),1)*INDEX(其他调用!AB$5:AB$404,MATCH($K240,其他调用!$X$5:$X$404,0),0)</f>
        <v>15561.405920323707</v>
      </c>
      <c r="AF240" s="12">
        <f>MIN(INDEX(其他调用!$AJ$5:$AJ$364,MATCH($K240,其他调用!$AG$5:$AG$364,0),1)/INDEX(其他调用!AL$5:AL$364,MATCH($K240,其他调用!$AG$5:$AG$364,0),0),1)*INDEX(其他调用!AC$5:AC$404,MATCH($K240,其他调用!$X$5:$X$404,0),0)</f>
        <v>8007.2177250544519</v>
      </c>
      <c r="AG240" s="12">
        <f>求节点(节奏总纲!D$4:D$163,标准城池设计!AE$4:AE$163,$K240)*求节点(节奏总纲!D$4:D$163,攻城基础信息!$AF$5:$AF$164,$K240)</f>
        <v>997627.98552237509</v>
      </c>
      <c r="AH240" s="12">
        <f>INDEX(其他调用!$AA$5:$AA$404,MATCH($K240,其他调用!$X$5:$X$404,0))*MIN(INDEX(其他调用!AK$5:AK$364,MATCH($K240,其他调用!$AG$5:$AG$364,0),1)/INDEX(其他调用!$AJ$5:$AJ$364,MATCH($K240,其他调用!$AG$5:$AG$364,0),0),5)*求节点(节奏总纲!D$4:D$163,攻城基础信息!$AF$5:$AF$164,$K240)</f>
        <v>447083.64325568971</v>
      </c>
      <c r="AI240" s="12">
        <f>MIN(INDEX(其他调用!$AK$5:$AK$364,MATCH($K240,其他调用!$AG$5:$AG$364,0),1)/INDEX(其他调用!AH$5:AH$364,MATCH($K240,其他调用!$AG$5:$AG$364,0),0),1)*INDEX(其他调用!Y$5:Y$404,MATCH($K240,其他调用!$X$5:$X$404,0),0)</f>
        <v>41066.037518103214</v>
      </c>
      <c r="AJ240" s="12">
        <f>MIN(INDEX(其他调用!$AK$5:$AK$364,MATCH($K240,其他调用!$AG$5:$AG$364,0),1)/INDEX(其他调用!AI$5:AI$364,MATCH($K240,其他调用!$AG$5:$AG$364,0),0),1)*INDEX(其他调用!Z$5:Z$404,MATCH($K240,其他调用!$X$5:$X$404,0),0)</f>
        <v>42218.489720694342</v>
      </c>
      <c r="AK240" s="12">
        <f>MIN(INDEX(其他调用!$AK$5:$AK$364,MATCH($K240,其他调用!$AG$5:$AG$364,0),1)/INDEX(其他调用!AJ$5:AJ$364,MATCH($K240,其他调用!$AG$5:$AG$364,0),0),1)*INDEX(其他调用!AA$5:AA$404,MATCH($K240,其他调用!$X$5:$X$404,0),0)</f>
        <v>43739.381483769568</v>
      </c>
      <c r="AL240" s="12">
        <f>MIN(INDEX(其他调用!$AK$5:$AK$364,MATCH($K240,其他调用!$AG$5:$AG$364,0),1)/INDEX(其他调用!AK$5:AK$364,MATCH($K240,其他调用!$AG$5:$AG$364,0),0),1)*INDEX(其他调用!AB$5:AB$404,MATCH($K240,其他调用!$X$5:$X$404,0),0)</f>
        <v>45962.035880532909</v>
      </c>
      <c r="AM240" s="12">
        <f>MIN(INDEX(其他调用!$AK$5:$AK$364,MATCH($K240,其他调用!$AG$5:$AG$364,0),1)/INDEX(其他调用!AL$5:AL$364,MATCH($K240,其他调用!$AG$5:$AG$364,0),0),1)*INDEX(其他调用!AC$5:AC$404,MATCH($K240,其他调用!$X$5:$X$404,0),0)</f>
        <v>23650.050019036848</v>
      </c>
      <c r="AN240" s="12">
        <f>求节点(节奏总纲!D$4:D$163,标准城池设计!AF$4:AF$163,$K240)*求节点(节奏总纲!D$4:D$163,攻城基础信息!$AG$5:$AG$164,$K240)</f>
        <v>1044274.8112490705</v>
      </c>
      <c r="AO240" s="12">
        <f>INDEX(其他调用!$AA$5:$AA$404,MATCH($K240,其他调用!$X$5:$X$404,0))*MIN(INDEX(其他调用!AL$5:AL$364,MATCH($K240,其他调用!$AG$5:$AG$364,0),1)/INDEX(其他调用!$AJ$5:$AJ$364,MATCH($K240,其他调用!$AG$5:$AG$364,0),0),5)*求节点(节奏总纲!D$4:D$163,攻城基础信息!$AG$5:$AG$164,$K240)</f>
        <v>756847.46331979893</v>
      </c>
      <c r="AP240" s="12">
        <f>MIN(INDEX(其他调用!$AL$5:$AL$364,MATCH($K240,其他调用!$AG$5:$AG$364,0),1)/INDEX(其他调用!AH$5:AH$364,MATCH($K240,其他调用!$AG$5:$AG$364,0),0),1)*INDEX(其他调用!Y$5:Y$404,MATCH($K240,其他调用!$X$5:$X$404,0),0)</f>
        <v>41066.037518103214</v>
      </c>
      <c r="AQ240" s="12">
        <f>MIN(INDEX(其他调用!$AL$5:$AL$364,MATCH($K240,其他调用!$AG$5:$AG$364,0),1)/INDEX(其他调用!AI$5:AI$364,MATCH($K240,其他调用!$AG$5:$AG$364,0),0),1)*INDEX(其他调用!Z$5:Z$404,MATCH($K240,其他调用!$X$5:$X$404,0),0)</f>
        <v>42218.489720694342</v>
      </c>
      <c r="AR240" s="12">
        <f>MIN(INDEX(其他调用!$AL$5:$AL$364,MATCH($K240,其他调用!$AG$5:$AG$364,0),1)/INDEX(其他调用!AJ$5:AJ$364,MATCH($K240,其他调用!$AG$5:$AG$364,0),0),1)*INDEX(其他调用!AA$5:AA$404,MATCH($K240,其他调用!$X$5:$X$404,0),0)</f>
        <v>43739.381483769568</v>
      </c>
      <c r="AS240" s="12">
        <f>MIN(INDEX(其他调用!$AL$5:$AL$364,MATCH($K240,其他调用!$AG$5:$AG$364,0),1)/INDEX(其他调用!AK$5:AK$364,MATCH($K240,其他调用!$AG$5:$AG$364,0),0),1)*INDEX(其他调用!AB$5:AB$404,MATCH($K240,其他调用!$X$5:$X$404,0),0)</f>
        <v>45962.035880532909</v>
      </c>
      <c r="AT240" s="12">
        <f>MIN(INDEX(其他调用!$AL$5:$AL$364,MATCH($K240,其他调用!$AG$5:$AG$364,0),1)/INDEX(其他调用!AL$5:AL$364,MATCH($K240,其他调用!$AG$5:$AG$364,0),0),1)*INDEX(其他调用!AC$5:AC$404,MATCH($K240,其他调用!$X$5:$X$404,0),0)</f>
        <v>49870.302092081154</v>
      </c>
      <c r="AV240" s="14">
        <f>IF(OR(AV$5="大R",AV$5="超R"),MAX(INDEX(其他调用!$H$5:$L$404,MATCH($K240,其他调用!$B$5:$B$404,0),MATCH(AV$5,其他调用!$H$4:$L$4,0))*120*0.85,2),INDEX(其他调用!$H$5:$L$404,MATCH($K240,其他调用!$B$5:$B$404,0),MATCH(AV$5,其他调用!$H$4:$L$4,0))*120*0.85)</f>
        <v>48.921801254999991</v>
      </c>
      <c r="AW240" s="14">
        <f>IF(OR(AW$5="大R",AW$5="超R"),MAX(INDEX(其他调用!$H$5:$L$404,MATCH($K240,其他调用!$B$5:$B$404,0),MATCH(AW$5,其他调用!$H$4:$L$4,0))*120*0.85,2),INDEX(其他调用!$H$5:$L$404,MATCH($K240,其他调用!$B$5:$B$404,0),MATCH(AW$5,其他调用!$H$4:$L$4,0))*120*0.85)</f>
        <v>48.237344010638395</v>
      </c>
      <c r="AX240" s="14">
        <f>IF(OR(AX$5="大R",AX$5="超R"),MAX(INDEX(其他调用!$H$5:$L$404,MATCH($K240,其他调用!$B$5:$B$404,0),MATCH(AX$5,其他调用!$H$4:$L$4,0))*120*0.85,2),INDEX(其他调用!$H$5:$L$404,MATCH($K240,其他调用!$B$5:$B$404,0),MATCH(AX$5,其他调用!$H$4:$L$4,0))*120*0.85)</f>
        <v>3.9376284143615998</v>
      </c>
      <c r="AY240" s="14">
        <f>IF(OR(AY$5="大R",AY$5="超R"),MAX(INDEX(其他调用!$H$5:$L$404,MATCH($K240,其他调用!$B$5:$B$404,0),MATCH(AY$5,其他调用!$H$4:$L$4,0))*120*0.85,2),INDEX(其他调用!$H$5:$L$404,MATCH($K240,其他调用!$B$5:$B$404,0),MATCH(AY$5,其他调用!$H$4:$L$4,0))*120*0.85)</f>
        <v>2</v>
      </c>
      <c r="AZ240" s="14">
        <f>IF(OR(AZ$5="大R",AZ$5="超R"),MAX(INDEX(其他调用!$H$5:$L$404,MATCH($K240,其他调用!$B$5:$B$404,0),MATCH(AZ$5,其他调用!$H$4:$L$4,0))*120*0.85,2),INDEX(其他调用!$H$5:$L$404,MATCH($K240,其他调用!$B$5:$B$404,0),MATCH(AZ$5,其他调用!$H$4:$L$4,0))*120*0.85)</f>
        <v>2</v>
      </c>
      <c r="BA240" s="14">
        <f>INDEX(其他调用!$H$5:$L$404,MATCH($K240,其他调用!$B$5:$B$404,0),MATCH(BA$5,其他调用!$H$4:$L$4,0))*INDEX(其他调用!$M$5:$M$404,MATCH($K240,其他调用!$B$5:$B$404,0))*0.6</f>
        <v>28.777530149999997</v>
      </c>
      <c r="BB240" s="14">
        <f>INDEX(其他调用!$H$5:$L$404,MATCH($K240,其他调用!$B$5:$B$404,0),MATCH(BB$5,其他调用!$H$4:$L$4,0))*INDEX(其他调用!$M$5:$M$404,MATCH($K240,其他调用!$B$5:$B$404,0))*0.6</f>
        <v>28.374908241551999</v>
      </c>
      <c r="BC240" s="14">
        <f>INDEX(其他调用!$H$5:$L$404,MATCH($K240,其他调用!$B$5:$B$404,0),MATCH(BC$5,其他调用!$H$4:$L$4,0))*INDEX(其他调用!$M$5:$M$404,MATCH($K240,其他调用!$B$5:$B$404,0))*0.6</f>
        <v>2.3162520084480001</v>
      </c>
      <c r="BD240" s="14">
        <f>INDEX(其他调用!$H$5:$L$404,MATCH($K240,其他调用!$B$5:$B$404,0),MATCH(BD$5,其他调用!$H$4:$L$4,0))*INDEX(其他调用!$M$5:$M$404,MATCH($K240,其他调用!$B$5:$B$404,0))*0.6</f>
        <v>0.4120776000000001</v>
      </c>
      <c r="BE240" s="14">
        <f>INDEX(其他调用!$H$5:$L$404,MATCH($K240,其他调用!$B$5:$B$404,0),MATCH(BE$5,其他调用!$H$4:$L$4,0))*INDEX(其他调用!$M$5:$M$404,MATCH($K240,其他调用!$B$5:$B$404,0))*0.6</f>
        <v>0.11923199999999998</v>
      </c>
      <c r="BF240" s="14">
        <f>IF(OR(BF$5="大R",BF$5="超R"),0,INDEX(其他调用!$H$5:$L$404,MATCH($K240,其他调用!$B$5:$B$404,0),MATCH(BF$5,其他调用!$H$4:$L$4,0))*50*0.4)</f>
        <v>9.5925100500000013</v>
      </c>
      <c r="BG240" s="14">
        <f>IF(OR(BG$5="大R",BG$5="超R"),0,INDEX(其他调用!$H$5:$L$404,MATCH($K240,其他调用!$B$5:$B$404,0),MATCH(BG$5,其他调用!$H$4:$L$4,0))*50*0.4)</f>
        <v>9.4583027471839998</v>
      </c>
      <c r="BH240" s="14">
        <f>IF(OR(BH$5="大R",BH$5="超R"),0,INDEX(其他调用!$H$5:$L$404,MATCH($K240,其他调用!$B$5:$B$404,0),MATCH(BH$5,其他调用!$H$4:$L$4,0))*50*0.4)</f>
        <v>0.77208400281600009</v>
      </c>
      <c r="BI240" s="14">
        <f>IF(OR(BI$5="大R",BI$5="超R"),0,INDEX(其他调用!$H$5:$L$404,MATCH($K240,其他调用!$B$5:$B$404,0),MATCH(BI$5,其他调用!$H$4:$L$4,0))*50*0.4)</f>
        <v>0</v>
      </c>
      <c r="BJ240" s="14">
        <f>IF(OR(BJ$5="大R",BJ$5="超R"),0,INDEX(其他调用!$H$5:$L$404,MATCH($K240,其他调用!$B$5:$B$404,0),MATCH(BJ$5,其他调用!$H$4:$L$4,0))*50*0.4)</f>
        <v>0</v>
      </c>
      <c r="BL240" s="14">
        <f t="shared" si="418"/>
        <v>235</v>
      </c>
      <c r="BM240" s="14">
        <f t="shared" si="325"/>
        <v>96</v>
      </c>
      <c r="BN240" s="14">
        <f>('疲劳值&amp;地图信息'!$S$10*'疲劳值&amp;地图信息'!$R$10+'疲劳值&amp;地图信息'!$S$11*'疲劳值&amp;地图信息'!$R$11+'疲劳值&amp;地图信息'!$S$12*'疲劳值&amp;地图信息'!$R$12+(BM240-'疲劳值&amp;地图信息'!$S$12-'疲劳值&amp;地图信息'!$S$11-'疲劳值&amp;地图信息'!$S$10)*'疲劳值&amp;地图信息'!$R$13)/BM240</f>
        <v>51.371477246638619</v>
      </c>
      <c r="BO240" s="14">
        <f>INDEX(其他调用!$M$5:$M$404,MATCH(BL240,其他调用!$B$5:$B$404,0))*0.6</f>
        <v>60</v>
      </c>
      <c r="BP240" s="14">
        <f>IF(BO240&gt;SUM('疲劳值&amp;地图信息'!$S$10:$S$12),('疲劳值&amp;地图信息'!$S$10*'疲劳值&amp;地图信息'!$R$10+'疲劳值&amp;地图信息'!$S$11*'疲劳值&amp;地图信息'!$R$11+'疲劳值&amp;地图信息'!$S$12*'疲劳值&amp;地图信息'!$R$12+(BO240-'疲劳值&amp;地图信息'!$S$12-'疲劳值&amp;地图信息'!$S$11-'疲劳值&amp;地图信息'!$S$10)*'疲劳值&amp;地图信息'!$R$13)/BO240,('疲劳值&amp;地图信息'!$S$10*'疲劳值&amp;地图信息'!$R$10+'疲劳值&amp;地图信息'!$S$11*'疲劳值&amp;地图信息'!$R$11+'疲劳值&amp;地图信息'!$S$12*'疲劳值&amp;地图信息'!$R$12+(BO240-'疲劳值&amp;地图信息'!$S$12-'疲劳值&amp;地图信息'!$S$11-'疲劳值&amp;地图信息'!$S$10)*'疲劳值&amp;地图信息'!$R$13)/BO240)</f>
        <v>44.158136341605953</v>
      </c>
      <c r="BQ240" s="14">
        <f t="shared" si="419"/>
        <v>20</v>
      </c>
      <c r="BR240" s="14">
        <f>('疲劳值&amp;地图信息'!$S$10*'疲劳值&amp;地图信息'!$R$10+($BQ240-'疲劳值&amp;地图信息'!$S$10)*'疲劳值&amp;地图信息'!$R$11)/$BQ240</f>
        <v>32.067203015074995</v>
      </c>
      <c r="CF240" s="14">
        <v>235</v>
      </c>
      <c r="CG240" s="51">
        <f t="shared" si="326"/>
        <v>14364</v>
      </c>
      <c r="CH240" s="51">
        <f t="shared" si="327"/>
        <v>1095</v>
      </c>
      <c r="CI240" s="51">
        <f>INT(SUMPRODUCT($N240:$R240,$BA240:$BE240)/SUM($BA240:$BE240)/10000*$BX$7*$BZ$34/'疲劳值&amp;地图信息'!$R$10*$BY$53)</f>
        <v>3292</v>
      </c>
      <c r="CJ240" s="50">
        <f t="shared" si="328"/>
        <v>0.76603914457895583</v>
      </c>
      <c r="CK240" s="50">
        <f t="shared" si="329"/>
        <v>5.8396885499440027E-2</v>
      </c>
      <c r="CL240" s="50">
        <f t="shared" si="330"/>
        <v>0.17556396992160417</v>
      </c>
      <c r="CM240" s="14">
        <f t="shared" si="331"/>
        <v>15452</v>
      </c>
      <c r="CN240" s="14">
        <f t="shared" si="332"/>
        <v>1806</v>
      </c>
      <c r="CO240" s="14">
        <f>INT(SUMPRODUCT($U240:$Y240,$BA240:$BE240)/SUM($BA240:$BE240)/10000*$BX$7*$BZ$34/'疲劳值&amp;地图信息'!$R$10*$BY$54)</f>
        <v>6198</v>
      </c>
      <c r="CP240" s="50">
        <f t="shared" si="333"/>
        <v>0.65876534788540242</v>
      </c>
      <c r="CQ240" s="50">
        <f t="shared" si="334"/>
        <v>7.6995225102319237E-2</v>
      </c>
      <c r="CR240" s="50">
        <f t="shared" si="335"/>
        <v>0.26423942701227832</v>
      </c>
      <c r="CS240" s="14">
        <f t="shared" si="336"/>
        <v>16900</v>
      </c>
      <c r="CT240" s="14">
        <f t="shared" si="337"/>
        <v>3085</v>
      </c>
      <c r="CU240" s="14">
        <f>INT(SUMPRODUCT($AB240:$AF240,$BA240:$BE240)/SUM($BA240:$BE240)/10000*$BX$7*$BZ$34/'疲劳值&amp;地图信息'!$R$10*$BY$55)</f>
        <v>8416</v>
      </c>
      <c r="CV240" s="50">
        <f t="shared" si="338"/>
        <v>0.59504947008908138</v>
      </c>
      <c r="CW240" s="50">
        <f t="shared" si="339"/>
        <v>0.10862293581211929</v>
      </c>
      <c r="CX240" s="50">
        <f t="shared" si="340"/>
        <v>0.29632759409879933</v>
      </c>
      <c r="CY240" s="14">
        <f t="shared" si="341"/>
        <v>20332</v>
      </c>
      <c r="CZ240" s="14">
        <f t="shared" si="342"/>
        <v>9112</v>
      </c>
      <c r="DA240" s="14">
        <f>INT(SUMPRODUCT($AI240:$AM240,$BA240:$BE240)/SUM($BA240:$BE240)/10000*$BX$7*$BZ$34/'疲劳值&amp;地图信息'!$R$10*$BY$56)</f>
        <v>12697</v>
      </c>
      <c r="DB240" s="50">
        <f t="shared" si="343"/>
        <v>0.4824754989202914</v>
      </c>
      <c r="DC240" s="50">
        <f t="shared" si="344"/>
        <v>0.21622647777698678</v>
      </c>
      <c r="DD240" s="50">
        <f t="shared" si="345"/>
        <v>0.30129802330272182</v>
      </c>
      <c r="DE240" s="14">
        <f t="shared" si="346"/>
        <v>21283</v>
      </c>
      <c r="DF240" s="14">
        <f t="shared" si="347"/>
        <v>15425</v>
      </c>
      <c r="DG240" s="14">
        <f>INT(SUMPRODUCT($AP240:$AT240,$BA240:$BE240)/SUM($BA240:$BE240)/10000*$BX$7*$BZ$34/'疲劳值&amp;地图信息'!$R$10*$BY$57)</f>
        <v>16951</v>
      </c>
      <c r="DH240" s="50">
        <f t="shared" si="348"/>
        <v>0.3966343017946663</v>
      </c>
      <c r="DI240" s="50">
        <f t="shared" si="349"/>
        <v>0.28746342645222611</v>
      </c>
      <c r="DJ240" s="50">
        <f t="shared" si="350"/>
        <v>0.31590227175310759</v>
      </c>
      <c r="DL240" s="14">
        <f t="shared" si="421"/>
        <v>18751</v>
      </c>
      <c r="DM240" s="14">
        <f t="shared" si="422"/>
        <v>23456</v>
      </c>
      <c r="DN240" s="14">
        <f t="shared" si="423"/>
        <v>28401</v>
      </c>
      <c r="DO240" s="14">
        <f t="shared" si="424"/>
        <v>42141</v>
      </c>
      <c r="DP240" s="14">
        <f t="shared" si="425"/>
        <v>53659</v>
      </c>
      <c r="DQ240" s="14">
        <f t="shared" si="426"/>
        <v>1294716</v>
      </c>
      <c r="DT240" s="14">
        <f t="shared" si="420"/>
        <v>235575</v>
      </c>
      <c r="DU240" s="50">
        <f t="shared" si="322"/>
        <v>0.15394130920197532</v>
      </c>
      <c r="DW240" s="14">
        <f t="shared" si="351"/>
        <v>1530291</v>
      </c>
      <c r="EB240" s="14">
        <v>235</v>
      </c>
      <c r="EC240" s="51">
        <f t="shared" si="352"/>
        <v>23940</v>
      </c>
      <c r="ED240" s="51">
        <f t="shared" si="353"/>
        <v>1826</v>
      </c>
      <c r="EE240" s="51">
        <f>INT(SUMPRODUCT($N240:$R240,$BF240:$BJ240)/SUM($BF240:$BJ240)/10000*$BX$7*$BZ$46/'疲劳值&amp;地图信息'!$R$10*$BY$53)</f>
        <v>442</v>
      </c>
      <c r="EF240" s="50">
        <f t="shared" si="354"/>
        <v>0.91346153846153844</v>
      </c>
      <c r="EG240" s="50">
        <f t="shared" si="355"/>
        <v>6.9673382173382176E-2</v>
      </c>
      <c r="EH240" s="50">
        <f t="shared" si="356"/>
        <v>1.6865079365079364E-2</v>
      </c>
      <c r="EI240" s="51">
        <f t="shared" si="357"/>
        <v>25753</v>
      </c>
      <c r="EJ240" s="51">
        <f t="shared" si="358"/>
        <v>3010</v>
      </c>
      <c r="EK240" s="14">
        <f>INT(SUMPRODUCT($U240:$Y240,$BF240:$BJ240)/SUM($BF240:$BJ240)/10000*$BX$7*$BZ$46/'疲劳值&amp;地图信息'!$R$10*$BY$54)</f>
        <v>832</v>
      </c>
      <c r="EL240" s="50">
        <f t="shared" si="359"/>
        <v>0.87018077377935465</v>
      </c>
      <c r="EM240" s="50">
        <f t="shared" si="360"/>
        <v>0.10170636931914175</v>
      </c>
      <c r="EN240" s="50">
        <f t="shared" si="361"/>
        <v>2.8112856901503631E-2</v>
      </c>
      <c r="EO240" s="51">
        <f t="shared" si="362"/>
        <v>28168</v>
      </c>
      <c r="EP240" s="51">
        <f t="shared" si="363"/>
        <v>5141</v>
      </c>
      <c r="EQ240" s="14">
        <f>INT(SUMPRODUCT($AB240:$AF240,$BF240:$BJ240)/SUM($BF240:$BJ240)/10000*$BX$7*$BZ$46/'疲劳值&amp;地图信息'!$R$10*$BY$55)</f>
        <v>1128</v>
      </c>
      <c r="ER240" s="50">
        <f t="shared" si="364"/>
        <v>0.81795742950895833</v>
      </c>
      <c r="ES240" s="50">
        <f t="shared" si="365"/>
        <v>0.14928710398699074</v>
      </c>
      <c r="ET240" s="50">
        <f t="shared" si="366"/>
        <v>3.2755466504050874E-2</v>
      </c>
      <c r="EU240" s="51">
        <f t="shared" si="367"/>
        <v>33888</v>
      </c>
      <c r="EV240" s="51">
        <f t="shared" si="368"/>
        <v>15186</v>
      </c>
      <c r="EW240" s="14">
        <f>INT(SUMPRODUCT($AI240:$AM240,$BF240:$BJ240)/SUM($BF240:$BJ240)/10000*$BX$7*$BZ$46/'疲劳值&amp;地图信息'!$R$10*$BY$56)</f>
        <v>1693</v>
      </c>
      <c r="EX240" s="50">
        <f t="shared" si="369"/>
        <v>0.66752023952567607</v>
      </c>
      <c r="EY240" s="50">
        <f t="shared" si="370"/>
        <v>0.29913132546733112</v>
      </c>
      <c r="EZ240" s="50">
        <f t="shared" si="371"/>
        <v>3.3348435006992729E-2</v>
      </c>
      <c r="FA240" s="51">
        <f t="shared" si="372"/>
        <v>35472</v>
      </c>
      <c r="FB240" s="51">
        <f t="shared" si="373"/>
        <v>25709</v>
      </c>
      <c r="FC240" s="14">
        <f>INT(SUMPRODUCT($AP240:$AT240,$BF240:$BJ240)/SUM($BF240:$BJ240)/10000*$BX$7*$BZ$46/'疲劳值&amp;地图信息'!$R$10*$BY$57)</f>
        <v>2257</v>
      </c>
      <c r="FD240" s="50">
        <f t="shared" si="374"/>
        <v>0.55916012484630662</v>
      </c>
      <c r="FE240" s="50">
        <f t="shared" si="375"/>
        <v>0.40526183044862701</v>
      </c>
      <c r="FF240" s="50">
        <f t="shared" si="376"/>
        <v>3.5578044705066363E-2</v>
      </c>
      <c r="FH240" s="14">
        <f t="shared" si="377"/>
        <v>26208</v>
      </c>
      <c r="FI240" s="14">
        <f t="shared" si="378"/>
        <v>29595</v>
      </c>
      <c r="FJ240" s="14">
        <f t="shared" si="379"/>
        <v>34437</v>
      </c>
      <c r="FK240" s="14">
        <f t="shared" si="380"/>
        <v>50767</v>
      </c>
      <c r="FL240" s="14">
        <f t="shared" si="381"/>
        <v>63438</v>
      </c>
      <c r="FM240" s="14">
        <f t="shared" si="382"/>
        <v>3073736</v>
      </c>
      <c r="FP240" s="14">
        <f t="shared" si="383"/>
        <v>334150</v>
      </c>
      <c r="FQ240" s="50">
        <f t="shared" si="323"/>
        <v>9.8051988828264797E-2</v>
      </c>
      <c r="FS240" s="14">
        <f t="shared" si="384"/>
        <v>3407886</v>
      </c>
      <c r="FX240" s="14">
        <v>235</v>
      </c>
      <c r="FY240" s="51">
        <f t="shared" si="385"/>
        <v>33516</v>
      </c>
      <c r="FZ240" s="51">
        <f t="shared" si="386"/>
        <v>1826</v>
      </c>
      <c r="GA240" s="51">
        <f>INT(SUMPRODUCT($N240:$R240,$BF240:$BJ240)/SUM($BF240:$BJ240)/10000*$BX$7*$BZ$46/'疲劳值&amp;地图信息'!$R$10*$BY$53)</f>
        <v>442</v>
      </c>
      <c r="GB240" s="50">
        <f t="shared" si="387"/>
        <v>0.93661971830985913</v>
      </c>
      <c r="GC240" s="50">
        <f t="shared" si="388"/>
        <v>5.1028392577688354E-2</v>
      </c>
      <c r="GD240" s="50">
        <f t="shared" si="389"/>
        <v>1.2351889112452493E-2</v>
      </c>
      <c r="GE240" s="51">
        <f t="shared" si="390"/>
        <v>36055</v>
      </c>
      <c r="GF240" s="51">
        <f t="shared" si="391"/>
        <v>3010</v>
      </c>
      <c r="GG240" s="14">
        <f>INT(SUMPRODUCT($U240:$Y240,$BF240:$BJ240)/SUM($BF240:$BJ240)/10000*$BX$7*$BZ$46/'疲劳值&amp;地图信息'!$R$10*$BY$54)</f>
        <v>832</v>
      </c>
      <c r="GH240" s="50">
        <f t="shared" si="392"/>
        <v>0.90370203273429084</v>
      </c>
      <c r="GI240" s="50">
        <f t="shared" si="393"/>
        <v>7.5444268992656091E-2</v>
      </c>
      <c r="GJ240" s="50">
        <f t="shared" si="394"/>
        <v>2.0853698273053112E-2</v>
      </c>
      <c r="GK240" s="51">
        <f t="shared" si="395"/>
        <v>39435</v>
      </c>
      <c r="GL240" s="51">
        <f t="shared" si="396"/>
        <v>5141</v>
      </c>
      <c r="GM240" s="14">
        <f>INT(SUMPRODUCT($AB240:$AF240,$BF240:$BJ240)/SUM($BF240:$BJ240)/10000*$BX$7*$BZ$46/'疲劳值&amp;地图信息'!$R$10*$BY$55)</f>
        <v>1128</v>
      </c>
      <c r="GN240" s="50">
        <f t="shared" si="397"/>
        <v>0.86283476282163485</v>
      </c>
      <c r="GO240" s="50">
        <f t="shared" si="398"/>
        <v>0.11248468405391213</v>
      </c>
      <c r="GP240" s="50">
        <f t="shared" si="399"/>
        <v>2.4680553124453001E-2</v>
      </c>
      <c r="GQ240" s="51">
        <f t="shared" si="400"/>
        <v>47443</v>
      </c>
      <c r="GR240" s="51">
        <f t="shared" si="401"/>
        <v>15186</v>
      </c>
      <c r="GS240" s="14">
        <f>INT(SUMPRODUCT($AI240:$AM240,$BF240:$BJ240)/SUM($BF240:$BJ240)/10000*$BX$7*$BZ$46/'疲劳值&amp;地图信息'!$R$10*$BY$56)</f>
        <v>1693</v>
      </c>
      <c r="GT240" s="50">
        <f t="shared" si="402"/>
        <v>0.73758589596094648</v>
      </c>
      <c r="GU240" s="50">
        <f t="shared" si="403"/>
        <v>0.23609340505581294</v>
      </c>
      <c r="GV240" s="50">
        <f t="shared" si="404"/>
        <v>2.6320698983240572E-2</v>
      </c>
      <c r="GW240" s="51">
        <f t="shared" si="405"/>
        <v>49661</v>
      </c>
      <c r="GX240" s="51">
        <f t="shared" si="406"/>
        <v>25709</v>
      </c>
      <c r="GY240" s="14">
        <f>INT(SUMPRODUCT($AP240:$AT240,$BF240:$BJ240)/SUM($BF240:$BJ240)/10000*$BX$7*$BZ$46/'疲劳值&amp;地图信息'!$R$10*$BY$57)</f>
        <v>2257</v>
      </c>
      <c r="GZ240" s="50">
        <f t="shared" si="407"/>
        <v>0.6397387506924137</v>
      </c>
      <c r="HA240" s="50">
        <f t="shared" si="408"/>
        <v>0.33118631404021798</v>
      </c>
      <c r="HB240" s="50">
        <f t="shared" si="409"/>
        <v>2.9074935267368311E-2</v>
      </c>
      <c r="HD240" s="14">
        <f t="shared" si="410"/>
        <v>35784</v>
      </c>
      <c r="HE240" s="14">
        <f t="shared" si="411"/>
        <v>39897</v>
      </c>
      <c r="HF240" s="14">
        <f t="shared" si="412"/>
        <v>45704</v>
      </c>
      <c r="HG240" s="14">
        <f t="shared" si="413"/>
        <v>64322</v>
      </c>
      <c r="HH240" s="14">
        <f t="shared" si="414"/>
        <v>77627</v>
      </c>
      <c r="HI240" s="14">
        <f t="shared" si="415"/>
        <v>4139006</v>
      </c>
      <c r="HL240" s="14">
        <f t="shared" si="416"/>
        <v>430050</v>
      </c>
      <c r="HM240" s="50">
        <f t="shared" si="324"/>
        <v>9.4122286966935836E-2</v>
      </c>
      <c r="HO240" s="14">
        <f t="shared" si="417"/>
        <v>4569056</v>
      </c>
    </row>
    <row r="241" spans="11:223" x14ac:dyDescent="0.2">
      <c r="K241" s="14">
        <v>236</v>
      </c>
      <c r="L241" s="12">
        <f>求节点(节奏总纲!D$4:D$163,标准城池设计!AB$4:AB$163,$K241)*求节点(节奏总纲!D$4:D$163,攻城基础信息!$AC$5:$AC$164,$K241)</f>
        <v>706207.86289471842</v>
      </c>
      <c r="M241" s="12">
        <f>INDEX(其他调用!$AA$5:$AA$404,MATCH(K241,其他调用!$X$5:$X$404,0))*MIN(INDEX(其他调用!$AH$5:$AH$364,MATCH('征服点（新）'!K241,其他调用!$AG$5:$AG$364,0),1)/INDEX(其他调用!$AJ$5:$AJ$364,MATCH(K241,其他调用!$AG$5:$AG$364,0),0),5)*求节点(节奏总纲!D$4:D$163,攻城基础信息!$AC$5:$AC$164,$K241)</f>
        <v>53785.606970619992</v>
      </c>
      <c r="N241" s="12">
        <f>MIN(INDEX(其他调用!$AH$5:$AH$364,MATCH($K241,其他调用!$AG$5:$AG$364,0),1)/INDEX(其他调用!AH$5:AH$364,MATCH($K241,其他调用!$AG$5:$AG$364,0),0),1)*INDEX(其他调用!Y$5:Y$404,MATCH($K241,其他调用!$X$5:$X$404,0),0)</f>
        <v>41091.514047355966</v>
      </c>
      <c r="O241" s="12">
        <f>MIN(INDEX(其他调用!$AH$5:$AH$364,MATCH($K241,其他调用!$AG$5:$AG$364,0),1)/INDEX(其他调用!AI$5:AI$364,MATCH($K241,其他调用!$AG$5:$AG$364,0),0),1)*INDEX(其他调用!Z$5:Z$404,MATCH($K241,其他调用!$X$5:$X$404,0),0)</f>
        <v>25576.267549660617</v>
      </c>
      <c r="P241" s="12">
        <f>MIN(INDEX(其他调用!$AH$5:$AH$364,MATCH($K241,其他调用!$AG$5:$AG$364,0),1)/INDEX(其他调用!AJ$5:AJ$364,MATCH($K241,其他调用!$AG$5:$AG$364,0),0),1)*INDEX(其他调用!AA$5:AA$404,MATCH($K241,其他调用!$X$5:$X$404,0),0)</f>
        <v>15532.412582770368</v>
      </c>
      <c r="Q241" s="12">
        <f>MIN(INDEX(其他调用!$AH$5:$AH$364,MATCH($K241,其他调用!$AG$5:$AG$364,0),1)/INDEX(其他调用!AK$5:AK$364,MATCH($K241,其他调用!$AG$5:$AG$364,0),0),1)*INDEX(其他调用!AB$5:AB$404,MATCH($K241,其他调用!$X$5:$X$404,0),0)</f>
        <v>5523.1465511948718</v>
      </c>
      <c r="R241" s="12">
        <f>MIN(INDEX(其他调用!$AH$5:$AH$364,MATCH($K241,其他调用!$AG$5:$AG$364,0),1)/INDEX(其他调用!AL$5:AL$364,MATCH($K241,其他调用!$AG$5:$AG$364,0),0),1)*INDEX(其他调用!AC$5:AC$404,MATCH($K241,其他调用!$X$5:$X$404,0),0)</f>
        <v>2852.9212625965247</v>
      </c>
      <c r="S241" s="12">
        <f>求节点(节奏总纲!D$4:D$163,标准城池设计!AC$4:AC$163,$K241)*求节点(节奏总纲!D$4:D$163,攻城基础信息!$AD$5:$AD$164,$K241)</f>
        <v>760065.57512818021</v>
      </c>
      <c r="T241" s="12">
        <f>INDEX(其他调用!$AA$5:$AA$404,MATCH($K241,其他调用!$X$5:$X$404,0))*MIN(INDEX(其他调用!AI$5:AI$364,MATCH($K241,其他调用!$AG$5:$AG$364,0),1)/INDEX(其他调用!$AJ$5:$AJ$364,MATCH($K241,其他调用!$AG$5:$AG$364,0),0),5)*求节点(节奏总纲!D$4:D$163,攻城基础信息!$AD$5:$AD$164,$K241)</f>
        <v>88836.457047948061</v>
      </c>
      <c r="U241" s="12">
        <f>MIN(INDEX(其他调用!$AI$5:$AI$364,MATCH($K241,其他调用!$AG$5:$AG$364,0),1)/INDEX(其他调用!AH$5:AH$364,MATCH($K241,其他调用!$AG$5:$AG$364,0),0),1)*INDEX(其他调用!Y$5:Y$404,MATCH($K241,其他调用!$X$5:$X$404,0),0)</f>
        <v>41091.514047355966</v>
      </c>
      <c r="V241" s="12">
        <f>MIN(INDEX(其他调用!$AI$5:$AI$364,MATCH($K241,其他调用!$AG$5:$AG$364,0),1)/INDEX(其他调用!AI$5:AI$364,MATCH($K241,其他调用!$AG$5:$AG$364,0),0),1)*INDEX(其他调用!Z$5:Z$404,MATCH($K241,其他调用!$X$5:$X$404,0),0)</f>
        <v>42243.736226001405</v>
      </c>
      <c r="W241" s="12">
        <f>MIN(INDEX(其他调用!$AI$5:$AI$364,MATCH($K241,其他调用!$AG$5:$AG$364,0),1)/INDEX(其他调用!AJ$5:AJ$364,MATCH($K241,其他调用!$AG$5:$AG$364,0),0),1)*INDEX(其他调用!AA$5:AA$404,MATCH($K241,其他调用!$X$5:$X$404,0),0)</f>
        <v>25654.530663082751</v>
      </c>
      <c r="X241" s="12">
        <f>MIN(INDEX(其他调用!$AI$5:$AI$364,MATCH($K241,其他调用!$AG$5:$AG$364,0),1)/INDEX(其他调用!AK$5:AK$364,MATCH($K241,其他调用!$AG$5:$AG$364,0),0),1)*INDEX(其他调用!AB$5:AB$404,MATCH($K241,其他调用!$X$5:$X$404,0),0)</f>
        <v>9122.4548536333059</v>
      </c>
      <c r="Y241" s="12">
        <f>MIN(INDEX(其他调用!$AI$5:$AI$364,MATCH($K241,其他调用!$AG$5:$AG$364,0),1)/INDEX(其他调用!AL$5:AL$364,MATCH($K241,其他调用!$AG$5:$AG$364,0),0),1)*INDEX(其他调用!AC$5:AC$404,MATCH($K241,其他调用!$X$5:$X$404,0),0)</f>
        <v>4712.1048079698267</v>
      </c>
      <c r="Z241" s="12">
        <f>求节点(节奏总纲!D$4:D$163,标准城池设计!AD$4:AD$163,$K241)*求节点(节奏总纲!D$4:D$163,攻城基础信息!$AE$5:$AE$164,$K241)</f>
        <v>831476.96777610597</v>
      </c>
      <c r="AA241" s="12">
        <f>INDEX(其他调用!$AA$5:$AA$404,MATCH($K241,其他调用!$X$5:$X$404,0))*MIN(INDEX(其他调用!AJ$5:AJ$364,MATCH($K241,其他调用!$AG$5:$AG$364,0),1)/INDEX(其他调用!$AJ$5:$AJ$364,MATCH($K241,其他调用!$AG$5:$AG$364,0),0),5)*求节点(节奏总纲!D$4:D$163,攻城基础信息!$AE$5:$AE$164,$K241)</f>
        <v>151547.63141632732</v>
      </c>
      <c r="AB241" s="12">
        <f>MIN(INDEX(其他调用!$AJ$5:$AJ$364,MATCH($K241,其他调用!$AG$5:$AG$364,0),1)/INDEX(其他调用!AH$5:AH$364,MATCH($K241,其他调用!$AG$5:$AG$364,0),0),1)*INDEX(其他调用!Y$5:Y$404,MATCH($K241,其他调用!$X$5:$X$404,0),0)</f>
        <v>41091.514047355966</v>
      </c>
      <c r="AC241" s="12">
        <f>MIN(INDEX(其他调用!$AJ$5:$AJ$364,MATCH($K241,其他调用!$AG$5:$AG$364,0),1)/INDEX(其他调用!AI$5:AI$364,MATCH($K241,其他调用!$AG$5:$AG$364,0),0),1)*INDEX(其他调用!Z$5:Z$404,MATCH($K241,其他调用!$X$5:$X$404,0),0)</f>
        <v>42243.736226001405</v>
      </c>
      <c r="AD241" s="12">
        <f>MIN(INDEX(其他调用!$AJ$5:$AJ$364,MATCH($K241,其他调用!$AG$5:$AG$364,0),1)/INDEX(其他调用!AJ$5:AJ$364,MATCH($K241,其他调用!$AG$5:$AG$364,0),0),1)*INDEX(其他调用!AA$5:AA$404,MATCH($K241,其他调用!$X$5:$X$404,0),0)</f>
        <v>43764.502618438608</v>
      </c>
      <c r="AE241" s="12">
        <f>MIN(INDEX(其他调用!$AJ$5:$AJ$364,MATCH($K241,其他调用!$AG$5:$AG$364,0),1)/INDEX(其他调用!AK$5:AK$364,MATCH($K241,其他调用!$AG$5:$AG$364,0),0),1)*INDEX(其他调用!AB$5:AB$404,MATCH($K241,其他调用!$X$5:$X$404,0),0)</f>
        <v>15562.151752904008</v>
      </c>
      <c r="AF241" s="12">
        <f>MIN(INDEX(其他调用!$AJ$5:$AJ$364,MATCH($K241,其他调用!$AG$5:$AG$364,0),1)/INDEX(其他调用!AL$5:AL$364,MATCH($K241,其他调用!$AG$5:$AG$364,0),0),1)*INDEX(其他调用!AC$5:AC$404,MATCH($K241,其他调用!$X$5:$X$404,0),0)</f>
        <v>8038.4601813632262</v>
      </c>
      <c r="AG241" s="12">
        <f>求节点(节奏总纲!D$4:D$163,标准城池设计!AE$4:AE$163,$K241)*求节点(节奏总纲!D$4:D$163,攻城基础信息!$AF$5:$AF$164,$K241)</f>
        <v>1000454.5621742642</v>
      </c>
      <c r="AH241" s="12">
        <f>INDEX(其他调用!$AA$5:$AA$404,MATCH($K241,其他调用!$X$5:$X$404,0))*MIN(INDEX(其他调用!AK$5:AK$364,MATCH($K241,其他调用!$AG$5:$AG$364,0),1)/INDEX(其他调用!$AJ$5:$AJ$364,MATCH($K241,其他调用!$AG$5:$AG$364,0),0),5)*求节点(节奏总纲!D$4:D$163,攻城基础信息!$AF$5:$AF$164,$K241)</f>
        <v>447842.43167845247</v>
      </c>
      <c r="AI241" s="12">
        <f>MIN(INDEX(其他调用!$AK$5:$AK$364,MATCH($K241,其他调用!$AG$5:$AG$364,0),1)/INDEX(其他调用!AH$5:AH$364,MATCH($K241,其他调用!$AG$5:$AG$364,0),0),1)*INDEX(其他调用!Y$5:Y$404,MATCH($K241,其他调用!$X$5:$X$404,0),0)</f>
        <v>41091.514047355966</v>
      </c>
      <c r="AJ241" s="12">
        <f>MIN(INDEX(其他调用!$AK$5:$AK$364,MATCH($K241,其他调用!$AG$5:$AG$364,0),1)/INDEX(其他调用!AI$5:AI$364,MATCH($K241,其他调用!$AG$5:$AG$364,0),0),1)*INDEX(其他调用!Z$5:Z$404,MATCH($K241,其他调用!$X$5:$X$404,0),0)</f>
        <v>42243.736226001405</v>
      </c>
      <c r="AK241" s="12">
        <f>MIN(INDEX(其他调用!$AK$5:$AK$364,MATCH($K241,其他调用!$AG$5:$AG$364,0),1)/INDEX(其他调用!AJ$5:AJ$364,MATCH($K241,其他调用!$AG$5:$AG$364,0),0),1)*INDEX(其他调用!AA$5:AA$404,MATCH($K241,其他调用!$X$5:$X$404,0),0)</f>
        <v>43764.502618438608</v>
      </c>
      <c r="AL241" s="12">
        <f>MIN(INDEX(其他调用!$AK$5:$AK$364,MATCH($K241,其他调用!$AG$5:$AG$364,0),1)/INDEX(其他调用!AK$5:AK$364,MATCH($K241,其他调用!$AG$5:$AG$364,0),0),1)*INDEX(其他调用!AB$5:AB$404,MATCH($K241,其他调用!$X$5:$X$404,0),0)</f>
        <v>45988.128075875415</v>
      </c>
      <c r="AM241" s="12">
        <f>MIN(INDEX(其他调用!$AK$5:$AK$364,MATCH($K241,其他调用!$AG$5:$AG$364,0),1)/INDEX(其他调用!AL$5:AL$364,MATCH($K241,其他调用!$AG$5:$AG$364,0),0),1)*INDEX(其他调用!AC$5:AC$404,MATCH($K241,其他调用!$X$5:$X$404,0),0)</f>
        <v>23754.66723516387</v>
      </c>
      <c r="AN241" s="12">
        <f>求节点(节奏总纲!D$4:D$163,标准城池设计!AF$4:AF$163,$K241)*求节点(节奏总纲!D$4:D$163,攻城基础信息!$AG$5:$AG$164,$K241)</f>
        <v>1047372.2199028974</v>
      </c>
      <c r="AO241" s="12">
        <f>INDEX(其他调用!$AA$5:$AA$404,MATCH($K241,其他调用!$X$5:$X$404,0))*MIN(INDEX(其他调用!AL$5:AL$364,MATCH($K241,其他调用!$AG$5:$AG$364,0),1)/INDEX(其他调用!$AJ$5:$AJ$364,MATCH($K241,其他调用!$AG$5:$AG$364,0),0),5)*求节点(节奏总纲!D$4:D$163,攻城基础信息!$AG$5:$AG$164,$K241)</f>
        <v>757738.15708163672</v>
      </c>
      <c r="AP241" s="12">
        <f>MIN(INDEX(其他调用!$AL$5:$AL$364,MATCH($K241,其他调用!$AG$5:$AG$364,0),1)/INDEX(其他调用!AH$5:AH$364,MATCH($K241,其他调用!$AG$5:$AG$364,0),0),1)*INDEX(其他调用!Y$5:Y$404,MATCH($K241,其他调用!$X$5:$X$404,0),0)</f>
        <v>41091.514047355966</v>
      </c>
      <c r="AQ241" s="12">
        <f>MIN(INDEX(其他调用!$AL$5:$AL$364,MATCH($K241,其他调用!$AG$5:$AG$364,0),1)/INDEX(其他调用!AI$5:AI$364,MATCH($K241,其他调用!$AG$5:$AG$364,0),0),1)*INDEX(其他调用!Z$5:Z$404,MATCH($K241,其他调用!$X$5:$X$404,0),0)</f>
        <v>42243.736226001405</v>
      </c>
      <c r="AR241" s="12">
        <f>MIN(INDEX(其他调用!$AL$5:$AL$364,MATCH($K241,其他调用!$AG$5:$AG$364,0),1)/INDEX(其他调用!AJ$5:AJ$364,MATCH($K241,其他调用!$AG$5:$AG$364,0),0),1)*INDEX(其他调用!AA$5:AA$404,MATCH($K241,其他调用!$X$5:$X$404,0),0)</f>
        <v>43764.502618438608</v>
      </c>
      <c r="AS241" s="12">
        <f>MIN(INDEX(其他调用!$AL$5:$AL$364,MATCH($K241,其他调用!$AG$5:$AG$364,0),1)/INDEX(其他调用!AK$5:AK$364,MATCH($K241,其他调用!$AG$5:$AG$364,0),0),1)*INDEX(其他调用!AB$5:AB$404,MATCH($K241,其他调用!$X$5:$X$404,0),0)</f>
        <v>45988.128075875415</v>
      </c>
      <c r="AT241" s="12">
        <f>MIN(INDEX(其他调用!$AL$5:$AL$364,MATCH($K241,其他调用!$AG$5:$AG$364,0),1)/INDEX(其他调用!AL$5:AL$364,MATCH($K241,其他调用!$AG$5:$AG$364,0),0),1)*INDEX(其他调用!AC$5:AC$404,MATCH($K241,其他调用!$X$5:$X$404,0),0)</f>
        <v>49895.030077250005</v>
      </c>
      <c r="AV241" s="14">
        <f>IF(OR(AV$5="大R",AV$5="超R"),MAX(INDEX(其他调用!$H$5:$L$404,MATCH($K241,其他调用!$B$5:$B$404,0),MATCH(AV$5,其他调用!$H$4:$L$4,0))*120*0.85,2),INDEX(其他调用!$H$5:$L$404,MATCH($K241,其他调用!$B$5:$B$404,0),MATCH(AV$5,其他调用!$H$4:$L$4,0))*120*0.85)</f>
        <v>48.921801254999991</v>
      </c>
      <c r="AW241" s="14">
        <f>IF(OR(AW$5="大R",AW$5="超R"),MAX(INDEX(其他调用!$H$5:$L$404,MATCH($K241,其他调用!$B$5:$B$404,0),MATCH(AW$5,其他调用!$H$4:$L$4,0))*120*0.85,2),INDEX(其他调用!$H$5:$L$404,MATCH($K241,其他调用!$B$5:$B$404,0),MATCH(AW$5,其他调用!$H$4:$L$4,0))*120*0.85)</f>
        <v>48.237344010638395</v>
      </c>
      <c r="AX241" s="14">
        <f>IF(OR(AX$5="大R",AX$5="超R"),MAX(INDEX(其他调用!$H$5:$L$404,MATCH($K241,其他调用!$B$5:$B$404,0),MATCH(AX$5,其他调用!$H$4:$L$4,0))*120*0.85,2),INDEX(其他调用!$H$5:$L$404,MATCH($K241,其他调用!$B$5:$B$404,0),MATCH(AX$5,其他调用!$H$4:$L$4,0))*120*0.85)</f>
        <v>3.9376284143615998</v>
      </c>
      <c r="AY241" s="14">
        <f>IF(OR(AY$5="大R",AY$5="超R"),MAX(INDEX(其他调用!$H$5:$L$404,MATCH($K241,其他调用!$B$5:$B$404,0),MATCH(AY$5,其他调用!$H$4:$L$4,0))*120*0.85,2),INDEX(其他调用!$H$5:$L$404,MATCH($K241,其他调用!$B$5:$B$404,0),MATCH(AY$5,其他调用!$H$4:$L$4,0))*120*0.85)</f>
        <v>2</v>
      </c>
      <c r="AZ241" s="14">
        <f>IF(OR(AZ$5="大R",AZ$5="超R"),MAX(INDEX(其他调用!$H$5:$L$404,MATCH($K241,其他调用!$B$5:$B$404,0),MATCH(AZ$5,其他调用!$H$4:$L$4,0))*120*0.85,2),INDEX(其他调用!$H$5:$L$404,MATCH($K241,其他调用!$B$5:$B$404,0),MATCH(AZ$5,其他调用!$H$4:$L$4,0))*120*0.85)</f>
        <v>2</v>
      </c>
      <c r="BA241" s="14">
        <f>INDEX(其他调用!$H$5:$L$404,MATCH($K241,其他调用!$B$5:$B$404,0),MATCH(BA$5,其他调用!$H$4:$L$4,0))*INDEX(其他调用!$M$5:$M$404,MATCH($K241,其他调用!$B$5:$B$404,0))*0.6</f>
        <v>28.777530149999997</v>
      </c>
      <c r="BB241" s="14">
        <f>INDEX(其他调用!$H$5:$L$404,MATCH($K241,其他调用!$B$5:$B$404,0),MATCH(BB$5,其他调用!$H$4:$L$4,0))*INDEX(其他调用!$M$5:$M$404,MATCH($K241,其他调用!$B$5:$B$404,0))*0.6</f>
        <v>28.374908241551999</v>
      </c>
      <c r="BC241" s="14">
        <f>INDEX(其他调用!$H$5:$L$404,MATCH($K241,其他调用!$B$5:$B$404,0),MATCH(BC$5,其他调用!$H$4:$L$4,0))*INDEX(其他调用!$M$5:$M$404,MATCH($K241,其他调用!$B$5:$B$404,0))*0.6</f>
        <v>2.3162520084480001</v>
      </c>
      <c r="BD241" s="14">
        <f>INDEX(其他调用!$H$5:$L$404,MATCH($K241,其他调用!$B$5:$B$404,0),MATCH(BD$5,其他调用!$H$4:$L$4,0))*INDEX(其他调用!$M$5:$M$404,MATCH($K241,其他调用!$B$5:$B$404,0))*0.6</f>
        <v>0.4120776000000001</v>
      </c>
      <c r="BE241" s="14">
        <f>INDEX(其他调用!$H$5:$L$404,MATCH($K241,其他调用!$B$5:$B$404,0),MATCH(BE$5,其他调用!$H$4:$L$4,0))*INDEX(其他调用!$M$5:$M$404,MATCH($K241,其他调用!$B$5:$B$404,0))*0.6</f>
        <v>0.11923199999999998</v>
      </c>
      <c r="BF241" s="14">
        <f>IF(OR(BF$5="大R",BF$5="超R"),0,INDEX(其他调用!$H$5:$L$404,MATCH($K241,其他调用!$B$5:$B$404,0),MATCH(BF$5,其他调用!$H$4:$L$4,0))*50*0.4)</f>
        <v>9.5925100500000013</v>
      </c>
      <c r="BG241" s="14">
        <f>IF(OR(BG$5="大R",BG$5="超R"),0,INDEX(其他调用!$H$5:$L$404,MATCH($K241,其他调用!$B$5:$B$404,0),MATCH(BG$5,其他调用!$H$4:$L$4,0))*50*0.4)</f>
        <v>9.4583027471839998</v>
      </c>
      <c r="BH241" s="14">
        <f>IF(OR(BH$5="大R",BH$5="超R"),0,INDEX(其他调用!$H$5:$L$404,MATCH($K241,其他调用!$B$5:$B$404,0),MATCH(BH$5,其他调用!$H$4:$L$4,0))*50*0.4)</f>
        <v>0.77208400281600009</v>
      </c>
      <c r="BI241" s="14">
        <f>IF(OR(BI$5="大R",BI$5="超R"),0,INDEX(其他调用!$H$5:$L$404,MATCH($K241,其他调用!$B$5:$B$404,0),MATCH(BI$5,其他调用!$H$4:$L$4,0))*50*0.4)</f>
        <v>0</v>
      </c>
      <c r="BJ241" s="14">
        <f>IF(OR(BJ$5="大R",BJ$5="超R"),0,INDEX(其他调用!$H$5:$L$404,MATCH($K241,其他调用!$B$5:$B$404,0),MATCH(BJ$5,其他调用!$H$4:$L$4,0))*50*0.4)</f>
        <v>0</v>
      </c>
      <c r="BL241" s="14">
        <f t="shared" si="418"/>
        <v>236</v>
      </c>
      <c r="BM241" s="14">
        <f t="shared" si="325"/>
        <v>96</v>
      </c>
      <c r="BN241" s="14">
        <f>('疲劳值&amp;地图信息'!$S$10*'疲劳值&amp;地图信息'!$R$10+'疲劳值&amp;地图信息'!$S$11*'疲劳值&amp;地图信息'!$R$11+'疲劳值&amp;地图信息'!$S$12*'疲劳值&amp;地图信息'!$R$12+(BM241-'疲劳值&amp;地图信息'!$S$12-'疲劳值&amp;地图信息'!$S$11-'疲劳值&amp;地图信息'!$S$10)*'疲劳值&amp;地图信息'!$R$13)/BM241</f>
        <v>51.371477246638619</v>
      </c>
      <c r="BO241" s="14">
        <f>INDEX(其他调用!$M$5:$M$404,MATCH(BL241,其他调用!$B$5:$B$404,0))*0.6</f>
        <v>60</v>
      </c>
      <c r="BP241" s="14">
        <f>IF(BO241&gt;SUM('疲劳值&amp;地图信息'!$S$10:$S$12),('疲劳值&amp;地图信息'!$S$10*'疲劳值&amp;地图信息'!$R$10+'疲劳值&amp;地图信息'!$S$11*'疲劳值&amp;地图信息'!$R$11+'疲劳值&amp;地图信息'!$S$12*'疲劳值&amp;地图信息'!$R$12+(BO241-'疲劳值&amp;地图信息'!$S$12-'疲劳值&amp;地图信息'!$S$11-'疲劳值&amp;地图信息'!$S$10)*'疲劳值&amp;地图信息'!$R$13)/BO241,('疲劳值&amp;地图信息'!$S$10*'疲劳值&amp;地图信息'!$R$10+'疲劳值&amp;地图信息'!$S$11*'疲劳值&amp;地图信息'!$R$11+'疲劳值&amp;地图信息'!$S$12*'疲劳值&amp;地图信息'!$R$12+(BO241-'疲劳值&amp;地图信息'!$S$12-'疲劳值&amp;地图信息'!$S$11-'疲劳值&amp;地图信息'!$S$10)*'疲劳值&amp;地图信息'!$R$13)/BO241)</f>
        <v>44.158136341605953</v>
      </c>
      <c r="BQ241" s="14">
        <f t="shared" si="419"/>
        <v>20</v>
      </c>
      <c r="BR241" s="14">
        <f>('疲劳值&amp;地图信息'!$S$10*'疲劳值&amp;地图信息'!$R$10+($BQ241-'疲劳值&amp;地图信息'!$S$10)*'疲劳值&amp;地图信息'!$R$11)/$BQ241</f>
        <v>32.067203015074995</v>
      </c>
      <c r="CF241" s="14">
        <v>236</v>
      </c>
      <c r="CG241" s="51">
        <f t="shared" si="326"/>
        <v>14393</v>
      </c>
      <c r="CH241" s="51">
        <f t="shared" si="327"/>
        <v>1096</v>
      </c>
      <c r="CI241" s="51">
        <f>INT(SUMPRODUCT($N241:$R241,$BA241:$BE241)/SUM($BA241:$BE241)/10000*$BX$7*$BZ$34/'疲劳值&amp;地图信息'!$R$10*$BY$53)</f>
        <v>3292</v>
      </c>
      <c r="CJ241" s="50">
        <f t="shared" si="328"/>
        <v>0.76635961876364411</v>
      </c>
      <c r="CK241" s="50">
        <f t="shared" si="329"/>
        <v>5.8356850007986794E-2</v>
      </c>
      <c r="CL241" s="50">
        <f t="shared" si="330"/>
        <v>0.17528353122836909</v>
      </c>
      <c r="CM241" s="14">
        <f t="shared" si="331"/>
        <v>15491</v>
      </c>
      <c r="CN241" s="14">
        <f t="shared" si="332"/>
        <v>1810</v>
      </c>
      <c r="CO241" s="14">
        <f>INT(SUMPRODUCT($U241:$Y241,$BA241:$BE241)/SUM($BA241:$BE241)/10000*$BX$7*$BZ$34/'疲劳值&amp;地图信息'!$R$10*$BY$54)</f>
        <v>6201</v>
      </c>
      <c r="CP241" s="50">
        <f t="shared" si="333"/>
        <v>0.65913539273253341</v>
      </c>
      <c r="CQ241" s="50">
        <f t="shared" si="334"/>
        <v>7.7014722151306267E-2</v>
      </c>
      <c r="CR241" s="50">
        <f t="shared" si="335"/>
        <v>0.26384988511616031</v>
      </c>
      <c r="CS241" s="14">
        <f t="shared" si="336"/>
        <v>16946</v>
      </c>
      <c r="CT241" s="14">
        <f t="shared" si="337"/>
        <v>3088</v>
      </c>
      <c r="CU241" s="14">
        <f>INT(SUMPRODUCT($AB241:$AF241,$BA241:$BE241)/SUM($BA241:$BE241)/10000*$BX$7*$BZ$34/'疲劳值&amp;地图信息'!$R$10*$BY$55)</f>
        <v>8421</v>
      </c>
      <c r="CV241" s="50">
        <f t="shared" si="338"/>
        <v>0.59553681251098223</v>
      </c>
      <c r="CW241" s="50">
        <f t="shared" si="339"/>
        <v>0.10852222807942365</v>
      </c>
      <c r="CX241" s="50">
        <f t="shared" si="340"/>
        <v>0.29594095940959408</v>
      </c>
      <c r="CY241" s="14">
        <f t="shared" si="341"/>
        <v>20390</v>
      </c>
      <c r="CZ241" s="14">
        <f t="shared" si="342"/>
        <v>9127</v>
      </c>
      <c r="DA241" s="14">
        <f>INT(SUMPRODUCT($AI241:$AM241,$BA241:$BE241)/SUM($BA241:$BE241)/10000*$BX$7*$BZ$34/'疲劳值&amp;地图信息'!$R$10*$BY$56)</f>
        <v>12705</v>
      </c>
      <c r="DB241" s="50">
        <f t="shared" si="343"/>
        <v>0.48292359433470705</v>
      </c>
      <c r="DC241" s="50">
        <f t="shared" si="344"/>
        <v>0.21616692719435365</v>
      </c>
      <c r="DD241" s="50">
        <f t="shared" si="345"/>
        <v>0.3009094784709393</v>
      </c>
      <c r="DE241" s="14">
        <f t="shared" si="346"/>
        <v>21346</v>
      </c>
      <c r="DF241" s="14">
        <f t="shared" si="347"/>
        <v>15443</v>
      </c>
      <c r="DG241" s="14">
        <f>INT(SUMPRODUCT($AP241:$AT241,$BA241:$BE241)/SUM($BA241:$BE241)/10000*$BX$7*$BZ$34/'疲劳值&amp;地图信息'!$R$10*$BY$57)</f>
        <v>16961</v>
      </c>
      <c r="DH241" s="50">
        <f t="shared" si="348"/>
        <v>0.39713488372093025</v>
      </c>
      <c r="DI241" s="50">
        <f t="shared" si="349"/>
        <v>0.28731162790697673</v>
      </c>
      <c r="DJ241" s="50">
        <f t="shared" si="350"/>
        <v>0.31555348837209302</v>
      </c>
      <c r="DL241" s="14">
        <f t="shared" si="421"/>
        <v>18781</v>
      </c>
      <c r="DM241" s="14">
        <f t="shared" si="422"/>
        <v>23502</v>
      </c>
      <c r="DN241" s="14">
        <f t="shared" si="423"/>
        <v>28455</v>
      </c>
      <c r="DO241" s="14">
        <f t="shared" si="424"/>
        <v>42222</v>
      </c>
      <c r="DP241" s="14">
        <f t="shared" si="425"/>
        <v>53750</v>
      </c>
      <c r="DQ241" s="14">
        <f t="shared" si="426"/>
        <v>1297054</v>
      </c>
      <c r="DT241" s="14">
        <f t="shared" si="420"/>
        <v>235575</v>
      </c>
      <c r="DU241" s="50">
        <f t="shared" si="322"/>
        <v>0.15370647430004261</v>
      </c>
      <c r="DW241" s="14">
        <f t="shared" si="351"/>
        <v>1532629</v>
      </c>
      <c r="EB241" s="14">
        <v>236</v>
      </c>
      <c r="EC241" s="51">
        <f t="shared" si="352"/>
        <v>23989</v>
      </c>
      <c r="ED241" s="51">
        <f t="shared" si="353"/>
        <v>1827</v>
      </c>
      <c r="EE241" s="51">
        <f>INT(SUMPRODUCT($N241:$R241,$BF241:$BJ241)/SUM($BF241:$BJ241)/10000*$BX$7*$BZ$46/'疲劳值&amp;地图信息'!$R$10*$BY$53)</f>
        <v>442</v>
      </c>
      <c r="EF241" s="50">
        <f t="shared" si="354"/>
        <v>0.91358823977454495</v>
      </c>
      <c r="EG241" s="50">
        <f t="shared" si="355"/>
        <v>6.9578795033894428E-2</v>
      </c>
      <c r="EH241" s="50">
        <f t="shared" si="356"/>
        <v>1.6832965191560668E-2</v>
      </c>
      <c r="EI241" s="51">
        <f t="shared" si="357"/>
        <v>25818</v>
      </c>
      <c r="EJ241" s="51">
        <f t="shared" si="358"/>
        <v>3017</v>
      </c>
      <c r="EK241" s="14">
        <f>INT(SUMPRODUCT($U241:$Y241,$BF241:$BJ241)/SUM($BF241:$BJ241)/10000*$BX$7*$BZ$46/'疲劳值&amp;地图信息'!$R$10*$BY$54)</f>
        <v>832</v>
      </c>
      <c r="EL241" s="50">
        <f t="shared" si="359"/>
        <v>0.87025988472039639</v>
      </c>
      <c r="EM241" s="50">
        <f t="shared" si="360"/>
        <v>0.10169548656756666</v>
      </c>
      <c r="EN241" s="50">
        <f t="shared" si="361"/>
        <v>2.8044628712036942E-2</v>
      </c>
      <c r="EO241" s="51">
        <f t="shared" si="362"/>
        <v>28244</v>
      </c>
      <c r="EP241" s="51">
        <f t="shared" si="363"/>
        <v>5147</v>
      </c>
      <c r="EQ241" s="14">
        <f>INT(SUMPRODUCT($AB241:$AF241,$BF241:$BJ241)/SUM($BF241:$BJ241)/10000*$BX$7*$BZ$46/'疲劳值&amp;地图信息'!$R$10*$BY$55)</f>
        <v>1129</v>
      </c>
      <c r="ER241" s="50">
        <f t="shared" si="364"/>
        <v>0.81819235225955966</v>
      </c>
      <c r="ES241" s="50">
        <f t="shared" si="365"/>
        <v>0.14910196987253765</v>
      </c>
      <c r="ET241" s="50">
        <f t="shared" si="366"/>
        <v>3.2705677867902662E-2</v>
      </c>
      <c r="EU241" s="51">
        <f t="shared" si="367"/>
        <v>33984</v>
      </c>
      <c r="EV241" s="51">
        <f t="shared" si="368"/>
        <v>15212</v>
      </c>
      <c r="EW241" s="14">
        <f>INT(SUMPRODUCT($AI241:$AM241,$BF241:$BJ241)/SUM($BF241:$BJ241)/10000*$BX$7*$BZ$46/'疲劳值&amp;地图信息'!$R$10*$BY$56)</f>
        <v>1694</v>
      </c>
      <c r="EX241" s="50">
        <f t="shared" si="369"/>
        <v>0.66779327962271562</v>
      </c>
      <c r="EY241" s="50">
        <f t="shared" si="370"/>
        <v>0.29891923757123207</v>
      </c>
      <c r="EZ241" s="50">
        <f t="shared" si="371"/>
        <v>3.3287482806052267E-2</v>
      </c>
      <c r="FA241" s="51">
        <f t="shared" si="372"/>
        <v>35578</v>
      </c>
      <c r="FB241" s="51">
        <f t="shared" si="373"/>
        <v>25739</v>
      </c>
      <c r="FC241" s="14">
        <f>INT(SUMPRODUCT($AP241:$AT241,$BF241:$BJ241)/SUM($BF241:$BJ241)/10000*$BX$7*$BZ$46/'疲劳值&amp;地图信息'!$R$10*$BY$57)</f>
        <v>2259</v>
      </c>
      <c r="FD241" s="50">
        <f t="shared" si="374"/>
        <v>0.5596136907008934</v>
      </c>
      <c r="FE241" s="50">
        <f t="shared" si="375"/>
        <v>0.40485403296841577</v>
      </c>
      <c r="FF241" s="50">
        <f t="shared" si="376"/>
        <v>3.5532276330690823E-2</v>
      </c>
      <c r="FH241" s="14">
        <f t="shared" si="377"/>
        <v>26258</v>
      </c>
      <c r="FI241" s="14">
        <f t="shared" si="378"/>
        <v>29667</v>
      </c>
      <c r="FJ241" s="14">
        <f t="shared" si="379"/>
        <v>34520</v>
      </c>
      <c r="FK241" s="14">
        <f t="shared" si="380"/>
        <v>50890</v>
      </c>
      <c r="FL241" s="14">
        <f t="shared" si="381"/>
        <v>63576</v>
      </c>
      <c r="FM241" s="14">
        <f t="shared" si="382"/>
        <v>3080504</v>
      </c>
      <c r="FP241" s="14">
        <f t="shared" si="383"/>
        <v>334150</v>
      </c>
      <c r="FQ241" s="50">
        <f t="shared" si="323"/>
        <v>9.7857645313405101E-2</v>
      </c>
      <c r="FS241" s="14">
        <f t="shared" si="384"/>
        <v>3414654</v>
      </c>
      <c r="FX241" s="14">
        <v>236</v>
      </c>
      <c r="FY241" s="51">
        <f t="shared" si="385"/>
        <v>33584</v>
      </c>
      <c r="FZ241" s="51">
        <f t="shared" si="386"/>
        <v>1827</v>
      </c>
      <c r="GA241" s="51">
        <f>INT(SUMPRODUCT($N241:$R241,$BF241:$BJ241)/SUM($BF241:$BJ241)/10000*$BX$7*$BZ$46/'疲劳值&amp;地图信息'!$R$10*$BY$53)</f>
        <v>442</v>
      </c>
      <c r="GB241" s="50">
        <f t="shared" si="387"/>
        <v>0.93671380358686862</v>
      </c>
      <c r="GC241" s="50">
        <f t="shared" si="388"/>
        <v>5.0958078821855914E-2</v>
      </c>
      <c r="GD241" s="50">
        <f t="shared" si="389"/>
        <v>1.2328117591275486E-2</v>
      </c>
      <c r="GE241" s="51">
        <f t="shared" si="390"/>
        <v>36145</v>
      </c>
      <c r="GF241" s="51">
        <f t="shared" si="391"/>
        <v>3017</v>
      </c>
      <c r="GG241" s="14">
        <f>INT(SUMPRODUCT($U241:$Y241,$BF241:$BJ241)/SUM($BF241:$BJ241)/10000*$BX$7*$BZ$46/'疲劳值&amp;地图信息'!$R$10*$BY$54)</f>
        <v>832</v>
      </c>
      <c r="GH241" s="50">
        <f t="shared" si="392"/>
        <v>0.90376056408461269</v>
      </c>
      <c r="GI241" s="50">
        <f t="shared" si="393"/>
        <v>7.5436315447317104E-2</v>
      </c>
      <c r="GJ241" s="50">
        <f t="shared" si="394"/>
        <v>2.0803120468070209E-2</v>
      </c>
      <c r="GK241" s="51">
        <f t="shared" si="395"/>
        <v>39542</v>
      </c>
      <c r="GL241" s="51">
        <f t="shared" si="396"/>
        <v>5147</v>
      </c>
      <c r="GM241" s="14">
        <f>INT(SUMPRODUCT($AB241:$AF241,$BF241:$BJ241)/SUM($BF241:$BJ241)/10000*$BX$7*$BZ$46/'疲劳值&amp;地图信息'!$R$10*$BY$55)</f>
        <v>1129</v>
      </c>
      <c r="GN241" s="50">
        <f t="shared" si="397"/>
        <v>0.86302326596534118</v>
      </c>
      <c r="GO241" s="50">
        <f t="shared" si="398"/>
        <v>0.1123357632371557</v>
      </c>
      <c r="GP241" s="50">
        <f t="shared" si="399"/>
        <v>2.4640970797503166E-2</v>
      </c>
      <c r="GQ241" s="51">
        <f t="shared" si="400"/>
        <v>47577</v>
      </c>
      <c r="GR241" s="51">
        <f t="shared" si="401"/>
        <v>15212</v>
      </c>
      <c r="GS241" s="14">
        <f>INT(SUMPRODUCT($AI241:$AM241,$BF241:$BJ241)/SUM($BF241:$BJ241)/10000*$BX$7*$BZ$46/'疲劳值&amp;地图信息'!$R$10*$BY$56)</f>
        <v>1694</v>
      </c>
      <c r="GT241" s="50">
        <f t="shared" si="402"/>
        <v>0.7378223717879131</v>
      </c>
      <c r="GU241" s="50">
        <f t="shared" si="403"/>
        <v>0.23590713831552501</v>
      </c>
      <c r="GV241" s="50">
        <f t="shared" si="404"/>
        <v>2.6270489896561885E-2</v>
      </c>
      <c r="GW241" s="51">
        <f t="shared" si="405"/>
        <v>49809</v>
      </c>
      <c r="GX241" s="51">
        <f t="shared" si="406"/>
        <v>25739</v>
      </c>
      <c r="GY241" s="14">
        <f>INT(SUMPRODUCT($AP241:$AT241,$BF241:$BJ241)/SUM($BF241:$BJ241)/10000*$BX$7*$BZ$46/'疲劳值&amp;地图信息'!$R$10*$BY$57)</f>
        <v>2259</v>
      </c>
      <c r="GZ241" s="50">
        <f t="shared" si="407"/>
        <v>0.64016091097202055</v>
      </c>
      <c r="HA241" s="50">
        <f t="shared" si="408"/>
        <v>0.33080571156836791</v>
      </c>
      <c r="HB241" s="50">
        <f t="shared" si="409"/>
        <v>2.9033377459611601E-2</v>
      </c>
      <c r="HD241" s="14">
        <f t="shared" si="410"/>
        <v>35853</v>
      </c>
      <c r="HE241" s="14">
        <f t="shared" si="411"/>
        <v>39994</v>
      </c>
      <c r="HF241" s="14">
        <f t="shared" si="412"/>
        <v>45818</v>
      </c>
      <c r="HG241" s="14">
        <f t="shared" si="413"/>
        <v>64483</v>
      </c>
      <c r="HH241" s="14">
        <f t="shared" si="414"/>
        <v>77807</v>
      </c>
      <c r="HI241" s="14">
        <f t="shared" si="415"/>
        <v>4148191</v>
      </c>
      <c r="HL241" s="14">
        <f t="shared" si="416"/>
        <v>430050</v>
      </c>
      <c r="HM241" s="50">
        <f t="shared" si="324"/>
        <v>9.39334561024638E-2</v>
      </c>
      <c r="HO241" s="14">
        <f t="shared" si="417"/>
        <v>4578241</v>
      </c>
    </row>
    <row r="242" spans="11:223" x14ac:dyDescent="0.2">
      <c r="K242" s="14">
        <v>237</v>
      </c>
      <c r="L242" s="12">
        <f>求节点(节奏总纲!D$4:D$163,标准城池设计!AB$4:AB$163,$K242)*求节点(节奏总纲!D$4:D$163,攻城基础信息!$AC$5:$AC$164,$K242)</f>
        <v>707650.47608179809</v>
      </c>
      <c r="M242" s="12">
        <f>INDEX(其他调用!$AA$5:$AA$404,MATCH(K242,其他调用!$X$5:$X$404,0))*MIN(INDEX(其他调用!$AH$5:$AH$364,MATCH('征服点（新）'!K242,其他调用!$AG$5:$AG$364,0),1)/INDEX(其他调用!$AJ$5:$AJ$364,MATCH(K242,其他调用!$AG$5:$AG$364,0),0),5)*求节点(节奏总纲!D$4:D$163,攻城基础信息!$AC$5:$AC$164,$K242)</f>
        <v>53814.222786575985</v>
      </c>
      <c r="N242" s="12">
        <f>MIN(INDEX(其他调用!$AH$5:$AH$364,MATCH($K242,其他调用!$AG$5:$AG$364,0),1)/INDEX(其他调用!AH$5:AH$364,MATCH($K242,其他调用!$AG$5:$AG$364,0),0),1)*INDEX(其他调用!Y$5:Y$404,MATCH($K242,其他调用!$X$5:$X$404,0),0)</f>
        <v>41116.99057660871</v>
      </c>
      <c r="O242" s="12">
        <f>MIN(INDEX(其他调用!$AH$5:$AH$364,MATCH($K242,其他调用!$AG$5:$AG$364,0),1)/INDEX(其他调用!AI$5:AI$364,MATCH($K242,其他调用!$AG$5:$AG$364,0),0),1)*INDEX(其他调用!Z$5:Z$404,MATCH($K242,其他调用!$X$5:$X$404,0),0)</f>
        <v>25556.330919176988</v>
      </c>
      <c r="P242" s="12">
        <f>MIN(INDEX(其他调用!$AH$5:$AH$364,MATCH($K242,其他调用!$AG$5:$AG$364,0),1)/INDEX(其他调用!AJ$5:AJ$364,MATCH($K242,其他调用!$AG$5:$AG$364,0),0),1)*INDEX(其他调用!AA$5:AA$404,MATCH($K242,其他调用!$X$5:$X$404,0),0)</f>
        <v>15531.329579852569</v>
      </c>
      <c r="Q242" s="12">
        <f>MIN(INDEX(其他调用!$AH$5:$AH$364,MATCH($K242,其他调用!$AG$5:$AG$364,0),1)/INDEX(其他调用!AK$5:AK$364,MATCH($K242,其他调用!$AG$5:$AG$364,0),0),1)*INDEX(其他调用!AB$5:AB$404,MATCH($K242,其他调用!$X$5:$X$404,0),0)</f>
        <v>5519.8933397832807</v>
      </c>
      <c r="R242" s="12">
        <f>MIN(INDEX(其他调用!$AH$5:$AH$364,MATCH($K242,其他调用!$AG$5:$AG$364,0),1)/INDEX(其他调用!AL$5:AL$364,MATCH($K242,其他调用!$AG$5:$AG$364,0),0),1)*INDEX(其他调用!AC$5:AC$404,MATCH($K242,其他调用!$X$5:$X$404,0),0)</f>
        <v>2862.1200588372308</v>
      </c>
      <c r="S242" s="12">
        <f>求节点(节奏总纲!D$4:D$163,标准城池设计!AC$4:AC$163,$K242)*求节点(节奏总纲!D$4:D$163,攻城基础信息!$AD$5:$AD$164,$K242)</f>
        <v>761979.49201604188</v>
      </c>
      <c r="T242" s="12">
        <f>INDEX(其他调用!$AA$5:$AA$404,MATCH($K242,其他调用!$X$5:$X$404,0))*MIN(INDEX(其他调用!AI$5:AI$364,MATCH($K242,其他调用!$AG$5:$AG$364,0),1)/INDEX(其他调用!$AJ$5:$AJ$364,MATCH($K242,其他调用!$AG$5:$AG$364,0),0),5)*求节点(节奏总纲!D$4:D$163,攻城基础信息!$AD$5:$AD$164,$K242)</f>
        <v>89004.382986564626</v>
      </c>
      <c r="U242" s="12">
        <f>MIN(INDEX(其他调用!$AI$5:$AI$364,MATCH($K242,其他调用!$AG$5:$AG$364,0),1)/INDEX(其他调用!AH$5:AH$364,MATCH($K242,其他调用!$AG$5:$AG$364,0),0),1)*INDEX(其他调用!Y$5:Y$404,MATCH($K242,其他调用!$X$5:$X$404,0),0)</f>
        <v>41116.99057660871</v>
      </c>
      <c r="V242" s="12">
        <f>MIN(INDEX(其他调用!$AI$5:$AI$364,MATCH($K242,其他调用!$AG$5:$AG$364,0),1)/INDEX(其他调用!AI$5:AI$364,MATCH($K242,其他调用!$AG$5:$AG$364,0),0),1)*INDEX(其他调用!Z$5:Z$404,MATCH($K242,其他调用!$X$5:$X$404,0),0)</f>
        <v>42268.109564321712</v>
      </c>
      <c r="W242" s="12">
        <f>MIN(INDEX(其他调用!$AI$5:$AI$364,MATCH($K242,其他调用!$AG$5:$AG$364,0),1)/INDEX(其他调用!AJ$5:AJ$364,MATCH($K242,其他调用!$AG$5:$AG$364,0),0),1)*INDEX(其他调用!AA$5:AA$404,MATCH($K242,其他调用!$X$5:$X$404,0),0)</f>
        <v>25687.566123515364</v>
      </c>
      <c r="X242" s="12">
        <f>MIN(INDEX(其他调用!$AI$5:$AI$364,MATCH($K242,其他调用!$AG$5:$AG$364,0),1)/INDEX(其他调用!AK$5:AK$364,MATCH($K242,其他调用!$AG$5:$AG$364,0),0),1)*INDEX(其他调用!AB$5:AB$404,MATCH($K242,其他调用!$X$5:$X$404,0),0)</f>
        <v>9129.4582625025378</v>
      </c>
      <c r="Y242" s="12">
        <f>MIN(INDEX(其他调用!$AI$5:$AI$364,MATCH($K242,其他调用!$AG$5:$AG$364,0),1)/INDEX(其他调用!AL$5:AL$364,MATCH($K242,其他调用!$AG$5:$AG$364,0),0),1)*INDEX(其他调用!AC$5:AC$404,MATCH($K242,其他调用!$X$5:$X$404,0),0)</f>
        <v>4733.7156736531606</v>
      </c>
      <c r="Z242" s="12">
        <f>求节点(节奏总纲!D$4:D$163,标准城池设计!AD$4:AD$163,$K242)*求节点(节奏总纲!D$4:D$163,攻城基础信息!$AE$5:$AE$164,$K242)</f>
        <v>833721.81112658931</v>
      </c>
      <c r="AA242" s="12">
        <f>INDEX(其他调用!$AA$5:$AA$404,MATCH($K242,其他调用!$X$5:$X$404,0))*MIN(INDEX(其他调用!AJ$5:AJ$364,MATCH($K242,其他调用!$AG$5:$AG$364,0),1)/INDEX(其他调用!$AJ$5:$AJ$364,MATCH($K242,其他调用!$AG$5:$AG$364,0),0),5)*求节点(节奏总纲!D$4:D$163,攻城基础信息!$AE$5:$AE$164,$K242)</f>
        <v>151725.87486952572</v>
      </c>
      <c r="AB242" s="12">
        <f>MIN(INDEX(其他调用!$AJ$5:$AJ$364,MATCH($K242,其他调用!$AG$5:$AG$364,0),1)/INDEX(其他调用!AH$5:AH$364,MATCH($K242,其他调用!$AG$5:$AG$364,0),0),1)*INDEX(其他调用!Y$5:Y$404,MATCH($K242,其他调用!$X$5:$X$404,0),0)</f>
        <v>41116.99057660871</v>
      </c>
      <c r="AC242" s="12">
        <f>MIN(INDEX(其他调用!$AJ$5:$AJ$364,MATCH($K242,其他调用!$AG$5:$AG$364,0),1)/INDEX(其他调用!AI$5:AI$364,MATCH($K242,其他调用!$AG$5:$AG$364,0),0),1)*INDEX(其他调用!Z$5:Z$404,MATCH($K242,其他调用!$X$5:$X$404,0),0)</f>
        <v>42268.109564321712</v>
      </c>
      <c r="AD242" s="12">
        <f>MIN(INDEX(其他调用!$AJ$5:$AJ$364,MATCH($K242,其他调用!$AG$5:$AG$364,0),1)/INDEX(其他调用!AJ$5:AJ$364,MATCH($K242,其他调用!$AG$5:$AG$364,0),0),1)*INDEX(其他调用!AA$5:AA$404,MATCH($K242,其他调用!$X$5:$X$404,0),0)</f>
        <v>43789.62375310764</v>
      </c>
      <c r="AE242" s="12">
        <f>MIN(INDEX(其他调用!$AJ$5:$AJ$364,MATCH($K242,其他调用!$AG$5:$AG$364,0),1)/INDEX(其他调用!AK$5:AK$364,MATCH($K242,其他调用!$AG$5:$AG$364,0),0),1)*INDEX(其他调用!AB$5:AB$404,MATCH($K242,其他调用!$X$5:$X$404,0),0)</f>
        <v>15562.998084848385</v>
      </c>
      <c r="AF242" s="12">
        <f>MIN(INDEX(其他调用!$AJ$5:$AJ$364,MATCH($K242,其他调用!$AG$5:$AG$364,0),1)/INDEX(其他调用!AL$5:AL$364,MATCH($K242,其他调用!$AG$5:$AG$364,0),0),1)*INDEX(其他调用!AC$5:AC$404,MATCH($K242,其他调用!$X$5:$X$404,0),0)</f>
        <v>8069.5705971809239</v>
      </c>
      <c r="AG242" s="12">
        <f>求节点(节奏总纲!D$4:D$163,标准城池设计!AE$4:AE$163,$K242)*求节点(节奏总纲!D$4:D$163,攻城基础信息!$AF$5:$AF$164,$K242)</f>
        <v>1003283.8178572578</v>
      </c>
      <c r="AH242" s="12">
        <f>INDEX(其他调用!$AA$5:$AA$404,MATCH($K242,其他调用!$X$5:$X$404,0))*MIN(INDEX(其他调用!AK$5:AK$364,MATCH($K242,其他调用!$AG$5:$AG$364,0),1)/INDEX(其他调用!$AJ$5:$AJ$364,MATCH($K242,其他调用!$AG$5:$AG$364,0),0),5)*求节点(节奏总纲!D$4:D$163,攻城基础信息!$AF$5:$AF$164,$K242)</f>
        <v>448599.15737486386</v>
      </c>
      <c r="AI242" s="12">
        <f>MIN(INDEX(其他调用!$AK$5:$AK$364,MATCH($K242,其他调用!$AG$5:$AG$364,0),1)/INDEX(其他调用!AH$5:AH$364,MATCH($K242,其他调用!$AG$5:$AG$364,0),0),1)*INDEX(其他调用!Y$5:Y$404,MATCH($K242,其他调用!$X$5:$X$404,0),0)</f>
        <v>41116.99057660871</v>
      </c>
      <c r="AJ242" s="12">
        <f>MIN(INDEX(其他调用!$AK$5:$AK$364,MATCH($K242,其他调用!$AG$5:$AG$364,0),1)/INDEX(其他调用!AI$5:AI$364,MATCH($K242,其他调用!$AG$5:$AG$364,0),0),1)*INDEX(其他调用!Z$5:Z$404,MATCH($K242,其他调用!$X$5:$X$404,0),0)</f>
        <v>42268.109564321712</v>
      </c>
      <c r="AK242" s="12">
        <f>MIN(INDEX(其他调用!$AK$5:$AK$364,MATCH($K242,其他调用!$AG$5:$AG$364,0),1)/INDEX(其他调用!AJ$5:AJ$364,MATCH($K242,其他调用!$AG$5:$AG$364,0),0),1)*INDEX(其他调用!AA$5:AA$404,MATCH($K242,其他调用!$X$5:$X$404,0),0)</f>
        <v>43789.62375310764</v>
      </c>
      <c r="AL242" s="12">
        <f>MIN(INDEX(其他调用!$AK$5:$AK$364,MATCH($K242,其他调用!$AG$5:$AG$364,0),1)/INDEX(其他调用!AK$5:AK$364,MATCH($K242,其他调用!$AG$5:$AG$364,0),0),1)*INDEX(其他调用!AB$5:AB$404,MATCH($K242,其他调用!$X$5:$X$404,0),0)</f>
        <v>46014.220271217928</v>
      </c>
      <c r="AM242" s="12">
        <f>MIN(INDEX(其他调用!$AK$5:$AK$364,MATCH($K242,其他调用!$AG$5:$AG$364,0),1)/INDEX(其他调用!AL$5:AL$364,MATCH($K242,其他调用!$AG$5:$AG$364,0),0),1)*INDEX(其他调用!AC$5:AC$404,MATCH($K242,其他调用!$X$5:$X$404,0),0)</f>
        <v>23858.834713494343</v>
      </c>
      <c r="AN242" s="12">
        <f>求节点(节奏总纲!D$4:D$163,标准城池设计!AF$4:AF$163,$K242)*求节点(节奏总纲!D$4:D$163,攻城基础信息!$AG$5:$AG$164,$K242)</f>
        <v>1050472.5997542664</v>
      </c>
      <c r="AO242" s="12">
        <f>INDEX(其他调用!$AA$5:$AA$404,MATCH($K242,其他调用!$X$5:$X$404,0))*MIN(INDEX(其他调用!AL$5:AL$364,MATCH($K242,其他调用!$AG$5:$AG$364,0),1)/INDEX(其他调用!$AJ$5:$AJ$364,MATCH($K242,其他调用!$AG$5:$AG$364,0),0),5)*求节点(节奏总纲!D$4:D$163,攻城基础信息!$AG$5:$AG$164,$K242)</f>
        <v>758629.37434762856</v>
      </c>
      <c r="AP242" s="12">
        <f>MIN(INDEX(其他调用!$AL$5:$AL$364,MATCH($K242,其他调用!$AG$5:$AG$364,0),1)/INDEX(其他调用!AH$5:AH$364,MATCH($K242,其他调用!$AG$5:$AG$364,0),0),1)*INDEX(其他调用!Y$5:Y$404,MATCH($K242,其他调用!$X$5:$X$404,0),0)</f>
        <v>41116.99057660871</v>
      </c>
      <c r="AQ242" s="12">
        <f>MIN(INDEX(其他调用!$AL$5:$AL$364,MATCH($K242,其他调用!$AG$5:$AG$364,0),1)/INDEX(其他调用!AI$5:AI$364,MATCH($K242,其他调用!$AG$5:$AG$364,0),0),1)*INDEX(其他调用!Z$5:Z$404,MATCH($K242,其他调用!$X$5:$X$404,0),0)</f>
        <v>42268.109564321712</v>
      </c>
      <c r="AR242" s="12">
        <f>MIN(INDEX(其他调用!$AL$5:$AL$364,MATCH($K242,其他调用!$AG$5:$AG$364,0),1)/INDEX(其他调用!AJ$5:AJ$364,MATCH($K242,其他调用!$AG$5:$AG$364,0),0),1)*INDEX(其他调用!AA$5:AA$404,MATCH($K242,其他调用!$X$5:$X$404,0),0)</f>
        <v>43789.62375310764</v>
      </c>
      <c r="AS242" s="12">
        <f>MIN(INDEX(其他调用!$AL$5:$AL$364,MATCH($K242,其他调用!$AG$5:$AG$364,0),1)/INDEX(其他调用!AK$5:AK$364,MATCH($K242,其他调用!$AG$5:$AG$364,0),0),1)*INDEX(其他调用!AB$5:AB$404,MATCH($K242,其他调用!$X$5:$X$404,0),0)</f>
        <v>46014.220271217928</v>
      </c>
      <c r="AT242" s="12">
        <f>MIN(INDEX(其他调用!$AL$5:$AL$364,MATCH($K242,其他调用!$AG$5:$AG$364,0),1)/INDEX(其他调用!AL$5:AL$364,MATCH($K242,其他调用!$AG$5:$AG$364,0),0),1)*INDEX(其他调用!AC$5:AC$404,MATCH($K242,其他调用!$X$5:$X$404,0),0)</f>
        <v>49919.758062418856</v>
      </c>
      <c r="AV242" s="14">
        <f>IF(OR(AV$5="大R",AV$5="超R"),MAX(INDEX(其他调用!$H$5:$L$404,MATCH($K242,其他调用!$B$5:$B$404,0),MATCH(AV$5,其他调用!$H$4:$L$4,0))*120*0.85,2),INDEX(其他调用!$H$5:$L$404,MATCH($K242,其他调用!$B$5:$B$404,0),MATCH(AV$5,其他调用!$H$4:$L$4,0))*120*0.85)</f>
        <v>48.921801254999991</v>
      </c>
      <c r="AW242" s="14">
        <f>IF(OR(AW$5="大R",AW$5="超R"),MAX(INDEX(其他调用!$H$5:$L$404,MATCH($K242,其他调用!$B$5:$B$404,0),MATCH(AW$5,其他调用!$H$4:$L$4,0))*120*0.85,2),INDEX(其他调用!$H$5:$L$404,MATCH($K242,其他调用!$B$5:$B$404,0),MATCH(AW$5,其他调用!$H$4:$L$4,0))*120*0.85)</f>
        <v>48.237344010638395</v>
      </c>
      <c r="AX242" s="14">
        <f>IF(OR(AX$5="大R",AX$5="超R"),MAX(INDEX(其他调用!$H$5:$L$404,MATCH($K242,其他调用!$B$5:$B$404,0),MATCH(AX$5,其他调用!$H$4:$L$4,0))*120*0.85,2),INDEX(其他调用!$H$5:$L$404,MATCH($K242,其他调用!$B$5:$B$404,0),MATCH(AX$5,其他调用!$H$4:$L$4,0))*120*0.85)</f>
        <v>3.9376284143615998</v>
      </c>
      <c r="AY242" s="14">
        <f>IF(OR(AY$5="大R",AY$5="超R"),MAX(INDEX(其他调用!$H$5:$L$404,MATCH($K242,其他调用!$B$5:$B$404,0),MATCH(AY$5,其他调用!$H$4:$L$4,0))*120*0.85,2),INDEX(其他调用!$H$5:$L$404,MATCH($K242,其他调用!$B$5:$B$404,0),MATCH(AY$5,其他调用!$H$4:$L$4,0))*120*0.85)</f>
        <v>2</v>
      </c>
      <c r="AZ242" s="14">
        <f>IF(OR(AZ$5="大R",AZ$5="超R"),MAX(INDEX(其他调用!$H$5:$L$404,MATCH($K242,其他调用!$B$5:$B$404,0),MATCH(AZ$5,其他调用!$H$4:$L$4,0))*120*0.85,2),INDEX(其他调用!$H$5:$L$404,MATCH($K242,其他调用!$B$5:$B$404,0),MATCH(AZ$5,其他调用!$H$4:$L$4,0))*120*0.85)</f>
        <v>2</v>
      </c>
      <c r="BA242" s="14">
        <f>INDEX(其他调用!$H$5:$L$404,MATCH($K242,其他调用!$B$5:$B$404,0),MATCH(BA$5,其他调用!$H$4:$L$4,0))*INDEX(其他调用!$M$5:$M$404,MATCH($K242,其他调用!$B$5:$B$404,0))*0.6</f>
        <v>28.777530149999997</v>
      </c>
      <c r="BB242" s="14">
        <f>INDEX(其他调用!$H$5:$L$404,MATCH($K242,其他调用!$B$5:$B$404,0),MATCH(BB$5,其他调用!$H$4:$L$4,0))*INDEX(其他调用!$M$5:$M$404,MATCH($K242,其他调用!$B$5:$B$404,0))*0.6</f>
        <v>28.374908241551999</v>
      </c>
      <c r="BC242" s="14">
        <f>INDEX(其他调用!$H$5:$L$404,MATCH($K242,其他调用!$B$5:$B$404,0),MATCH(BC$5,其他调用!$H$4:$L$4,0))*INDEX(其他调用!$M$5:$M$404,MATCH($K242,其他调用!$B$5:$B$404,0))*0.6</f>
        <v>2.3162520084480001</v>
      </c>
      <c r="BD242" s="14">
        <f>INDEX(其他调用!$H$5:$L$404,MATCH($K242,其他调用!$B$5:$B$404,0),MATCH(BD$5,其他调用!$H$4:$L$4,0))*INDEX(其他调用!$M$5:$M$404,MATCH($K242,其他调用!$B$5:$B$404,0))*0.6</f>
        <v>0.4120776000000001</v>
      </c>
      <c r="BE242" s="14">
        <f>INDEX(其他调用!$H$5:$L$404,MATCH($K242,其他调用!$B$5:$B$404,0),MATCH(BE$5,其他调用!$H$4:$L$4,0))*INDEX(其他调用!$M$5:$M$404,MATCH($K242,其他调用!$B$5:$B$404,0))*0.6</f>
        <v>0.11923199999999998</v>
      </c>
      <c r="BF242" s="14">
        <f>IF(OR(BF$5="大R",BF$5="超R"),0,INDEX(其他调用!$H$5:$L$404,MATCH($K242,其他调用!$B$5:$B$404,0),MATCH(BF$5,其他调用!$H$4:$L$4,0))*50*0.4)</f>
        <v>9.5925100500000013</v>
      </c>
      <c r="BG242" s="14">
        <f>IF(OR(BG$5="大R",BG$5="超R"),0,INDEX(其他调用!$H$5:$L$404,MATCH($K242,其他调用!$B$5:$B$404,0),MATCH(BG$5,其他调用!$H$4:$L$4,0))*50*0.4)</f>
        <v>9.4583027471839998</v>
      </c>
      <c r="BH242" s="14">
        <f>IF(OR(BH$5="大R",BH$5="超R"),0,INDEX(其他调用!$H$5:$L$404,MATCH($K242,其他调用!$B$5:$B$404,0),MATCH(BH$5,其他调用!$H$4:$L$4,0))*50*0.4)</f>
        <v>0.77208400281600009</v>
      </c>
      <c r="BI242" s="14">
        <f>IF(OR(BI$5="大R",BI$5="超R"),0,INDEX(其他调用!$H$5:$L$404,MATCH($K242,其他调用!$B$5:$B$404,0),MATCH(BI$5,其他调用!$H$4:$L$4,0))*50*0.4)</f>
        <v>0</v>
      </c>
      <c r="BJ242" s="14">
        <f>IF(OR(BJ$5="大R",BJ$5="超R"),0,INDEX(其他调用!$H$5:$L$404,MATCH($K242,其他调用!$B$5:$B$404,0),MATCH(BJ$5,其他调用!$H$4:$L$4,0))*50*0.4)</f>
        <v>0</v>
      </c>
      <c r="BL242" s="14">
        <f t="shared" si="418"/>
        <v>237</v>
      </c>
      <c r="BM242" s="14">
        <f t="shared" si="325"/>
        <v>96</v>
      </c>
      <c r="BN242" s="14">
        <f>('疲劳值&amp;地图信息'!$S$10*'疲劳值&amp;地图信息'!$R$10+'疲劳值&amp;地图信息'!$S$11*'疲劳值&amp;地图信息'!$R$11+'疲劳值&amp;地图信息'!$S$12*'疲劳值&amp;地图信息'!$R$12+(BM242-'疲劳值&amp;地图信息'!$S$12-'疲劳值&amp;地图信息'!$S$11-'疲劳值&amp;地图信息'!$S$10)*'疲劳值&amp;地图信息'!$R$13)/BM242</f>
        <v>51.371477246638619</v>
      </c>
      <c r="BO242" s="14">
        <f>INDEX(其他调用!$M$5:$M$404,MATCH(BL242,其他调用!$B$5:$B$404,0))*0.6</f>
        <v>60</v>
      </c>
      <c r="BP242" s="14">
        <f>IF(BO242&gt;SUM('疲劳值&amp;地图信息'!$S$10:$S$12),('疲劳值&amp;地图信息'!$S$10*'疲劳值&amp;地图信息'!$R$10+'疲劳值&amp;地图信息'!$S$11*'疲劳值&amp;地图信息'!$R$11+'疲劳值&amp;地图信息'!$S$12*'疲劳值&amp;地图信息'!$R$12+(BO242-'疲劳值&amp;地图信息'!$S$12-'疲劳值&amp;地图信息'!$S$11-'疲劳值&amp;地图信息'!$S$10)*'疲劳值&amp;地图信息'!$R$13)/BO242,('疲劳值&amp;地图信息'!$S$10*'疲劳值&amp;地图信息'!$R$10+'疲劳值&amp;地图信息'!$S$11*'疲劳值&amp;地图信息'!$R$11+'疲劳值&amp;地图信息'!$S$12*'疲劳值&amp;地图信息'!$R$12+(BO242-'疲劳值&amp;地图信息'!$S$12-'疲劳值&amp;地图信息'!$S$11-'疲劳值&amp;地图信息'!$S$10)*'疲劳值&amp;地图信息'!$R$13)/BO242)</f>
        <v>44.158136341605953</v>
      </c>
      <c r="BQ242" s="14">
        <f t="shared" si="419"/>
        <v>20</v>
      </c>
      <c r="BR242" s="14">
        <f>('疲劳值&amp;地图信息'!$S$10*'疲劳值&amp;地图信息'!$R$10+($BQ242-'疲劳值&amp;地图信息'!$S$10)*'疲劳值&amp;地图信息'!$R$11)/$BQ242</f>
        <v>32.067203015074995</v>
      </c>
      <c r="CF242" s="14">
        <v>237</v>
      </c>
      <c r="CG242" s="51">
        <f t="shared" si="326"/>
        <v>14422</v>
      </c>
      <c r="CH242" s="51">
        <f t="shared" si="327"/>
        <v>1096</v>
      </c>
      <c r="CI242" s="51">
        <f>INT(SUMPRODUCT($N242:$R242,$BA242:$BE242)/SUM($BA242:$BE242)/10000*$BX$7*$BZ$34/'疲劳值&amp;地图信息'!$R$10*$BY$53)</f>
        <v>3292</v>
      </c>
      <c r="CJ242" s="50">
        <f t="shared" si="328"/>
        <v>0.76671982987772458</v>
      </c>
      <c r="CK242" s="50">
        <f t="shared" si="329"/>
        <v>5.8266879319510897E-2</v>
      </c>
      <c r="CL242" s="50">
        <f t="shared" si="330"/>
        <v>0.17501329080276448</v>
      </c>
      <c r="CM242" s="14">
        <f t="shared" si="331"/>
        <v>15530</v>
      </c>
      <c r="CN242" s="14">
        <f t="shared" si="332"/>
        <v>1814</v>
      </c>
      <c r="CO242" s="14">
        <f>INT(SUMPRODUCT($U242:$Y242,$BA242:$BE242)/SUM($BA242:$BE242)/10000*$BX$7*$BZ$34/'疲劳值&amp;地图信息'!$R$10*$BY$54)</f>
        <v>6205</v>
      </c>
      <c r="CP242" s="50">
        <f t="shared" si="333"/>
        <v>0.65947598624145398</v>
      </c>
      <c r="CQ242" s="50">
        <f t="shared" si="334"/>
        <v>7.7030871799227144E-2</v>
      </c>
      <c r="CR242" s="50">
        <f t="shared" si="335"/>
        <v>0.26349314195931889</v>
      </c>
      <c r="CS242" s="14">
        <f t="shared" si="336"/>
        <v>16992</v>
      </c>
      <c r="CT242" s="14">
        <f t="shared" si="337"/>
        <v>3092</v>
      </c>
      <c r="CU242" s="14">
        <f>INT(SUMPRODUCT($AB242:$AF242,$BA242:$BE242)/SUM($BA242:$BE242)/10000*$BX$7*$BZ$34/'疲劳值&amp;地图信息'!$R$10*$BY$55)</f>
        <v>8426</v>
      </c>
      <c r="CV242" s="50">
        <f t="shared" si="338"/>
        <v>0.59600140301648541</v>
      </c>
      <c r="CW242" s="50">
        <f t="shared" si="339"/>
        <v>0.10845317432479831</v>
      </c>
      <c r="CX242" s="50">
        <f t="shared" si="340"/>
        <v>0.29554542265871625</v>
      </c>
      <c r="CY242" s="14">
        <f t="shared" si="341"/>
        <v>20448</v>
      </c>
      <c r="CZ242" s="14">
        <f t="shared" si="342"/>
        <v>9143</v>
      </c>
      <c r="DA242" s="14">
        <f>INT(SUMPRODUCT($AI242:$AM242,$BA242:$BE242)/SUM($BA242:$BE242)/10000*$BX$7*$BZ$34/'疲劳值&amp;地图信息'!$R$10*$BY$56)</f>
        <v>12713</v>
      </c>
      <c r="DB242" s="50">
        <f t="shared" si="343"/>
        <v>0.48335854765506808</v>
      </c>
      <c r="DC242" s="50">
        <f t="shared" si="344"/>
        <v>0.21612613464447805</v>
      </c>
      <c r="DD242" s="50">
        <f t="shared" si="345"/>
        <v>0.30051531770045387</v>
      </c>
      <c r="DE242" s="14">
        <f t="shared" si="346"/>
        <v>21409</v>
      </c>
      <c r="DF242" s="14">
        <f t="shared" si="347"/>
        <v>15461</v>
      </c>
      <c r="DG242" s="14">
        <f>INT(SUMPRODUCT($AP242:$AT242,$BA242:$BE242)/SUM($BA242:$BE242)/10000*$BX$7*$BZ$34/'疲劳值&amp;地图信息'!$R$10*$BY$57)</f>
        <v>16971</v>
      </c>
      <c r="DH242" s="50">
        <f t="shared" si="348"/>
        <v>0.39763377351832246</v>
      </c>
      <c r="DI242" s="50">
        <f t="shared" si="349"/>
        <v>0.28716034248992406</v>
      </c>
      <c r="DJ242" s="50">
        <f t="shared" si="350"/>
        <v>0.31520588399175348</v>
      </c>
      <c r="DL242" s="14">
        <f t="shared" si="421"/>
        <v>18810</v>
      </c>
      <c r="DM242" s="14">
        <f t="shared" si="422"/>
        <v>23549</v>
      </c>
      <c r="DN242" s="14">
        <f t="shared" si="423"/>
        <v>28510</v>
      </c>
      <c r="DO242" s="14">
        <f t="shared" si="424"/>
        <v>42304</v>
      </c>
      <c r="DP242" s="14">
        <f t="shared" si="425"/>
        <v>53841</v>
      </c>
      <c r="DQ242" s="14">
        <f t="shared" si="426"/>
        <v>1299394</v>
      </c>
      <c r="DT242" s="14">
        <f t="shared" si="420"/>
        <v>235575</v>
      </c>
      <c r="DU242" s="50">
        <f t="shared" si="322"/>
        <v>0.15347215481224702</v>
      </c>
      <c r="DW242" s="14">
        <f t="shared" si="351"/>
        <v>1534969</v>
      </c>
      <c r="EB242" s="14">
        <v>237</v>
      </c>
      <c r="EC242" s="51">
        <f t="shared" si="352"/>
        <v>24038</v>
      </c>
      <c r="ED242" s="51">
        <f t="shared" si="353"/>
        <v>1828</v>
      </c>
      <c r="EE242" s="51">
        <f>INT(SUMPRODUCT($N242:$R242,$BF242:$BJ242)/SUM($BF242:$BJ242)/10000*$BX$7*$BZ$46/'疲劳值&amp;地图信息'!$R$10*$BY$53)</f>
        <v>442</v>
      </c>
      <c r="EF242" s="50">
        <f t="shared" si="354"/>
        <v>0.91371445948000607</v>
      </c>
      <c r="EG242" s="50">
        <f t="shared" si="355"/>
        <v>6.9484567431959854E-2</v>
      </c>
      <c r="EH242" s="50">
        <f t="shared" si="356"/>
        <v>1.680097308803406E-2</v>
      </c>
      <c r="EI242" s="51">
        <f t="shared" si="357"/>
        <v>25883</v>
      </c>
      <c r="EJ242" s="51">
        <f t="shared" si="358"/>
        <v>3023</v>
      </c>
      <c r="EK242" s="14">
        <f>INT(SUMPRODUCT($U242:$Y242,$BF242:$BJ242)/SUM($BF242:$BJ242)/10000*$BX$7*$BZ$46/'疲劳值&amp;地图信息'!$R$10*$BY$54)</f>
        <v>833</v>
      </c>
      <c r="EL242" s="50">
        <f t="shared" si="359"/>
        <v>0.87033861259625411</v>
      </c>
      <c r="EM242" s="50">
        <f t="shared" si="360"/>
        <v>0.10165103063317529</v>
      </c>
      <c r="EN242" s="50">
        <f t="shared" si="361"/>
        <v>2.8010356770570632E-2</v>
      </c>
      <c r="EO242" s="51">
        <f t="shared" si="362"/>
        <v>28320</v>
      </c>
      <c r="EP242" s="51">
        <f t="shared" si="363"/>
        <v>5153</v>
      </c>
      <c r="EQ242" s="14">
        <f>INT(SUMPRODUCT($AB242:$AF242,$BF242:$BJ242)/SUM($BF242:$BJ242)/10000*$BX$7*$BZ$46/'疲劳值&amp;地图信息'!$R$10*$BY$55)</f>
        <v>1130</v>
      </c>
      <c r="ER242" s="50">
        <f t="shared" si="364"/>
        <v>0.81842614802184777</v>
      </c>
      <c r="ES242" s="50">
        <f t="shared" si="365"/>
        <v>0.14891772389677196</v>
      </c>
      <c r="ET242" s="50">
        <f t="shared" si="366"/>
        <v>3.2656128081380228E-2</v>
      </c>
      <c r="EU242" s="51">
        <f t="shared" si="367"/>
        <v>34080</v>
      </c>
      <c r="EV242" s="51">
        <f t="shared" si="368"/>
        <v>15238</v>
      </c>
      <c r="EW242" s="14">
        <f>INT(SUMPRODUCT($AI242:$AM242,$BF242:$BJ242)/SUM($BF242:$BJ242)/10000*$BX$7*$BZ$46/'疲劳值&amp;地图信息'!$R$10*$BY$56)</f>
        <v>1695</v>
      </c>
      <c r="EX242" s="50">
        <f t="shared" si="369"/>
        <v>0.66806500303844119</v>
      </c>
      <c r="EY242" s="50">
        <f t="shared" si="370"/>
        <v>0.29870817242663633</v>
      </c>
      <c r="EZ242" s="50">
        <f t="shared" si="371"/>
        <v>3.3226824534922469E-2</v>
      </c>
      <c r="FA242" s="51">
        <f t="shared" si="372"/>
        <v>35683</v>
      </c>
      <c r="FB242" s="51">
        <f t="shared" si="373"/>
        <v>25769</v>
      </c>
      <c r="FC242" s="14">
        <f>INT(SUMPRODUCT($AP242:$AT242,$BF242:$BJ242)/SUM($BF242:$BJ242)/10000*$BX$7*$BZ$46/'疲劳值&amp;地图信息'!$R$10*$BY$57)</f>
        <v>2260</v>
      </c>
      <c r="FD242" s="50">
        <f t="shared" si="374"/>
        <v>0.56006717729784028</v>
      </c>
      <c r="FE242" s="50">
        <f t="shared" si="375"/>
        <v>0.40446069814163738</v>
      </c>
      <c r="FF242" s="50">
        <f t="shared" si="376"/>
        <v>3.5472124560522351E-2</v>
      </c>
      <c r="FH242" s="14">
        <f t="shared" si="377"/>
        <v>26308</v>
      </c>
      <c r="FI242" s="14">
        <f t="shared" si="378"/>
        <v>29739</v>
      </c>
      <c r="FJ242" s="14">
        <f t="shared" si="379"/>
        <v>34603</v>
      </c>
      <c r="FK242" s="14">
        <f t="shared" si="380"/>
        <v>51013</v>
      </c>
      <c r="FL242" s="14">
        <f t="shared" si="381"/>
        <v>63712</v>
      </c>
      <c r="FM242" s="14">
        <f t="shared" si="382"/>
        <v>3087268</v>
      </c>
      <c r="FP242" s="14">
        <f t="shared" si="383"/>
        <v>334150</v>
      </c>
      <c r="FQ242" s="50">
        <f t="shared" si="323"/>
        <v>9.7664184849673444E-2</v>
      </c>
      <c r="FS242" s="14">
        <f t="shared" si="384"/>
        <v>3421418</v>
      </c>
      <c r="FX242" s="14">
        <v>237</v>
      </c>
      <c r="FY242" s="51">
        <f t="shared" si="385"/>
        <v>33653</v>
      </c>
      <c r="FZ242" s="51">
        <f t="shared" si="386"/>
        <v>1828</v>
      </c>
      <c r="GA242" s="51">
        <f>INT(SUMPRODUCT($N242:$R242,$BF242:$BJ242)/SUM($BF242:$BJ242)/10000*$BX$7*$BZ$46/'疲劳值&amp;地图信息'!$R$10*$BY$53)</f>
        <v>442</v>
      </c>
      <c r="GB242" s="50">
        <f t="shared" si="387"/>
        <v>0.93680928652952145</v>
      </c>
      <c r="GC242" s="50">
        <f t="shared" si="388"/>
        <v>5.0886618600896362E-2</v>
      </c>
      <c r="GD242" s="50">
        <f t="shared" si="389"/>
        <v>1.2304094869582161E-2</v>
      </c>
      <c r="GE242" s="51">
        <f t="shared" si="390"/>
        <v>36236</v>
      </c>
      <c r="GF242" s="51">
        <f t="shared" si="391"/>
        <v>3023</v>
      </c>
      <c r="GG242" s="14">
        <f>INT(SUMPRODUCT($U242:$Y242,$BF242:$BJ242)/SUM($BF242:$BJ242)/10000*$BX$7*$BZ$46/'疲劳值&amp;地图信息'!$R$10*$BY$54)</f>
        <v>833</v>
      </c>
      <c r="GH242" s="50">
        <f t="shared" si="392"/>
        <v>0.90382121121420733</v>
      </c>
      <c r="GI242" s="50">
        <f t="shared" si="393"/>
        <v>7.5401576374339016E-2</v>
      </c>
      <c r="GJ242" s="50">
        <f t="shared" si="394"/>
        <v>2.0777212411453656E-2</v>
      </c>
      <c r="GK242" s="51">
        <f t="shared" si="395"/>
        <v>39648</v>
      </c>
      <c r="GL242" s="51">
        <f t="shared" si="396"/>
        <v>5153</v>
      </c>
      <c r="GM242" s="14">
        <f>INT(SUMPRODUCT($AB242:$AF242,$BF242:$BJ242)/SUM($BF242:$BJ242)/10000*$BX$7*$BZ$46/'疲劳值&amp;地图信息'!$R$10*$BY$55)</f>
        <v>1130</v>
      </c>
      <c r="GN242" s="50">
        <f t="shared" si="397"/>
        <v>0.86320785526115262</v>
      </c>
      <c r="GO242" s="50">
        <f t="shared" si="398"/>
        <v>0.1121900241666848</v>
      </c>
      <c r="GP242" s="50">
        <f t="shared" si="399"/>
        <v>2.4602120572162593E-2</v>
      </c>
      <c r="GQ242" s="51">
        <f t="shared" si="400"/>
        <v>47712</v>
      </c>
      <c r="GR242" s="51">
        <f t="shared" si="401"/>
        <v>15238</v>
      </c>
      <c r="GS242" s="14">
        <f>INT(SUMPRODUCT($AI242:$AM242,$BF242:$BJ242)/SUM($BF242:$BJ242)/10000*$BX$7*$BZ$46/'疲劳值&amp;地图信息'!$R$10*$BY$56)</f>
        <v>1695</v>
      </c>
      <c r="GT242" s="50">
        <f t="shared" si="402"/>
        <v>0.73806172171088247</v>
      </c>
      <c r="GU242" s="50">
        <f t="shared" si="403"/>
        <v>0.23571815298940366</v>
      </c>
      <c r="GV242" s="50">
        <f t="shared" si="404"/>
        <v>2.622012529971382E-2</v>
      </c>
      <c r="GW242" s="51">
        <f t="shared" si="405"/>
        <v>49956</v>
      </c>
      <c r="GX242" s="51">
        <f t="shared" si="406"/>
        <v>25769</v>
      </c>
      <c r="GY242" s="14">
        <f>INT(SUMPRODUCT($AP242:$AT242,$BF242:$BJ242)/SUM($BF242:$BJ242)/10000*$BX$7*$BZ$46/'疲劳值&amp;地图信息'!$R$10*$BY$57)</f>
        <v>2260</v>
      </c>
      <c r="GZ242" s="50">
        <f t="shared" si="407"/>
        <v>0.64058472783227549</v>
      </c>
      <c r="HA242" s="50">
        <f t="shared" si="408"/>
        <v>0.33043534012951209</v>
      </c>
      <c r="HB242" s="50">
        <f t="shared" si="409"/>
        <v>2.8979932038212478E-2</v>
      </c>
      <c r="HD242" s="14">
        <f t="shared" si="410"/>
        <v>35923</v>
      </c>
      <c r="HE242" s="14">
        <f t="shared" si="411"/>
        <v>40092</v>
      </c>
      <c r="HF242" s="14">
        <f t="shared" si="412"/>
        <v>45931</v>
      </c>
      <c r="HG242" s="14">
        <f t="shared" si="413"/>
        <v>64645</v>
      </c>
      <c r="HH242" s="14">
        <f t="shared" si="414"/>
        <v>77985</v>
      </c>
      <c r="HI242" s="14">
        <f t="shared" si="415"/>
        <v>4157468</v>
      </c>
      <c r="HL242" s="14">
        <f t="shared" si="416"/>
        <v>430050</v>
      </c>
      <c r="HM242" s="50">
        <f t="shared" si="324"/>
        <v>9.3743501387896458E-2</v>
      </c>
      <c r="HO242" s="14">
        <f t="shared" si="417"/>
        <v>4587518</v>
      </c>
    </row>
    <row r="243" spans="11:223" x14ac:dyDescent="0.2">
      <c r="K243" s="14">
        <v>238</v>
      </c>
      <c r="L243" s="12">
        <f>求节点(节奏总纲!D$4:D$163,标准城池设计!AB$4:AB$163,$K243)*求节点(节奏总纲!D$4:D$163,攻城基础信息!$AC$5:$AC$164,$K243)</f>
        <v>709082.43679177295</v>
      </c>
      <c r="M243" s="12">
        <f>INDEX(其他调用!$AA$5:$AA$404,MATCH(K243,其他调用!$X$5:$X$404,0))*MIN(INDEX(其他调用!$AH$5:$AH$364,MATCH('征服点（新）'!K243,其他调用!$AG$5:$AG$364,0),1)/INDEX(其他调用!$AJ$5:$AJ$364,MATCH(K243,其他调用!$AG$5:$AG$364,0),0),5)*求节点(节奏总纲!D$4:D$163,攻城基础信息!$AC$5:$AC$164,$K243)</f>
        <v>53829.841677873468</v>
      </c>
      <c r="N243" s="12">
        <f>MIN(INDEX(其他调用!$AH$5:$AH$364,MATCH($K243,其他调用!$AG$5:$AG$364,0),1)/INDEX(其他调用!AH$5:AH$364,MATCH($K243,其他调用!$AG$5:$AG$364,0),0),1)*INDEX(其他调用!Y$5:Y$404,MATCH($K243,其他调用!$X$5:$X$404,0),0)</f>
        <v>41142.134766234405</v>
      </c>
      <c r="O243" s="12">
        <f>MIN(INDEX(其他调用!$AH$5:$AH$364,MATCH($K243,其他调用!$AG$5:$AG$364,0),1)/INDEX(其他调用!AI$5:AI$364,MATCH($K243,其他调用!$AG$5:$AG$364,0),0),1)*INDEX(其他调用!Z$5:Z$404,MATCH($K243,其他调用!$X$5:$X$404,0),0)</f>
        <v>25542.202258470439</v>
      </c>
      <c r="P243" s="12">
        <f>MIN(INDEX(其他调用!$AH$5:$AH$364,MATCH($K243,其他调用!$AG$5:$AG$364,0),1)/INDEX(其他调用!AJ$5:AJ$364,MATCH($K243,其他调用!$AG$5:$AG$364,0),0),1)*INDEX(其他调用!AA$5:AA$404,MATCH($K243,其他调用!$X$5:$X$404,0),0)</f>
        <v>15526.588808420875</v>
      </c>
      <c r="Q243" s="12">
        <f>MIN(INDEX(其他调用!$AH$5:$AH$364,MATCH($K243,其他调用!$AG$5:$AG$364,0),1)/INDEX(其他调用!AK$5:AK$364,MATCH($K243,其他调用!$AG$5:$AG$364,0),0),1)*INDEX(其他调用!AB$5:AB$404,MATCH($K243,其他调用!$X$5:$X$404,0),0)</f>
        <v>5516.7899360809697</v>
      </c>
      <c r="R243" s="12">
        <f>MIN(INDEX(其他调用!$AH$5:$AH$364,MATCH($K243,其他调用!$AG$5:$AG$364,0),1)/INDEX(其他调用!AL$5:AL$364,MATCH($K243,其他调用!$AG$5:$AG$364,0),0),1)*INDEX(其他调用!AC$5:AC$404,MATCH($K243,其他调用!$X$5:$X$404,0),0)</f>
        <v>2871.3182594295945</v>
      </c>
      <c r="S243" s="12">
        <f>求节点(节奏总纲!D$4:D$163,标准城池设计!AC$4:AC$163,$K243)*求节点(节奏总纲!D$4:D$163,攻城基础信息!$AD$5:$AD$164,$K243)</f>
        <v>763880.79549973866</v>
      </c>
      <c r="T243" s="12">
        <f>INDEX(其他调用!$AA$5:$AA$404,MATCH($K243,其他调用!$X$5:$X$404,0))*MIN(INDEX(其他调用!AI$5:AI$364,MATCH($K243,其他调用!$AG$5:$AG$364,0),1)/INDEX(其他调用!$AJ$5:$AJ$364,MATCH($K243,其他调用!$AG$5:$AG$364,0),0),5)*求节点(节奏总纲!D$4:D$163,攻城基础信息!$AD$5:$AD$164,$K243)</f>
        <v>89129.797520529493</v>
      </c>
      <c r="U243" s="12">
        <f>MIN(INDEX(其他调用!$AI$5:$AI$364,MATCH($K243,其他调用!$AG$5:$AG$364,0),1)/INDEX(其他调用!AH$5:AH$364,MATCH($K243,其他调用!$AG$5:$AG$364,0),0),1)*INDEX(其他调用!Y$5:Y$404,MATCH($K243,其他调用!$X$5:$X$404,0),0)</f>
        <v>41142.134766234405</v>
      </c>
      <c r="V243" s="12">
        <f>MIN(INDEX(其他调用!$AI$5:$AI$364,MATCH($K243,其他调用!$AG$5:$AG$364,0),1)/INDEX(其他调用!AI$5:AI$364,MATCH($K243,其他调用!$AG$5:$AG$364,0),0),1)*INDEX(其他调用!Z$5:Z$404,MATCH($K243,其他调用!$X$5:$X$404,0),0)</f>
        <v>42291.993521906574</v>
      </c>
      <c r="W243" s="12">
        <f>MIN(INDEX(其他调用!$AI$5:$AI$364,MATCH($K243,其他调用!$AG$5:$AG$364,0),1)/INDEX(其他调用!AJ$5:AJ$364,MATCH($K243,其他调用!$AG$5:$AG$364,0),0),1)*INDEX(其他调用!AA$5:AA$404,MATCH($K243,其他调用!$X$5:$X$404,0),0)</f>
        <v>25708.448576914736</v>
      </c>
      <c r="X243" s="12">
        <f>MIN(INDEX(其他调用!$AI$5:$AI$364,MATCH($K243,其他调用!$AG$5:$AG$364,0),1)/INDEX(其他调用!AK$5:AK$364,MATCH($K243,其他调用!$AG$5:$AG$364,0),0),1)*INDEX(其他调用!AB$5:AB$404,MATCH($K243,其他调用!$X$5:$X$404,0),0)</f>
        <v>9134.5312309976034</v>
      </c>
      <c r="Y243" s="12">
        <f>MIN(INDEX(其他调用!$AI$5:$AI$364,MATCH($K243,其他调用!$AG$5:$AG$364,0),1)/INDEX(其他调用!AL$5:AL$364,MATCH($K243,其他调用!$AG$5:$AG$364,0),0),1)*INDEX(其他调用!AC$5:AC$404,MATCH($K243,其他调用!$X$5:$X$404,0),0)</f>
        <v>4754.2405309572696</v>
      </c>
      <c r="Z243" s="12">
        <f>求节点(节奏总纲!D$4:D$163,标准城池设计!AD$4:AD$163,$K243)*求节点(节奏总纲!D$4:D$163,攻城基础信息!$AE$5:$AE$164,$K243)</f>
        <v>835952.83670971508</v>
      </c>
      <c r="AA243" s="12">
        <f>INDEX(其他调用!$AA$5:$AA$404,MATCH($K243,其他调用!$X$5:$X$404,0))*MIN(INDEX(其他调用!AJ$5:AJ$364,MATCH($K243,其他调用!$AG$5:$AG$364,0),1)/INDEX(其他调用!$AJ$5:$AJ$364,MATCH($K243,其他调用!$AG$5:$AG$364,0),0),5)*求节点(节奏总纲!D$4:D$163,攻城基础信息!$AE$5:$AE$164,$K243)</f>
        <v>151900.10523685755</v>
      </c>
      <c r="AB243" s="12">
        <f>MIN(INDEX(其他调用!$AJ$5:$AJ$364,MATCH($K243,其他调用!$AG$5:$AG$364,0),1)/INDEX(其他调用!AH$5:AH$364,MATCH($K243,其他调用!$AG$5:$AG$364,0),0),1)*INDEX(其他调用!Y$5:Y$404,MATCH($K243,其他调用!$X$5:$X$404,0),0)</f>
        <v>41142.134766234405</v>
      </c>
      <c r="AC243" s="12">
        <f>MIN(INDEX(其他调用!$AJ$5:$AJ$364,MATCH($K243,其他调用!$AG$5:$AG$364,0),1)/INDEX(其他调用!AI$5:AI$364,MATCH($K243,其他调用!$AG$5:$AG$364,0),0),1)*INDEX(其他调用!Z$5:Z$404,MATCH($K243,其他调用!$X$5:$X$404,0),0)</f>
        <v>42291.993521906574</v>
      </c>
      <c r="AD243" s="12">
        <f>MIN(INDEX(其他调用!$AJ$5:$AJ$364,MATCH($K243,其他调用!$AG$5:$AG$364,0),1)/INDEX(其他调用!AJ$5:AJ$364,MATCH($K243,其他调用!$AG$5:$AG$364,0),0),1)*INDEX(其他调用!AA$5:AA$404,MATCH($K243,其他调用!$X$5:$X$404,0),0)</f>
        <v>43813.810341151213</v>
      </c>
      <c r="AE243" s="12">
        <f>MIN(INDEX(其他调用!$AJ$5:$AJ$364,MATCH($K243,其他调用!$AG$5:$AG$364,0),1)/INDEX(其他调用!AK$5:AK$364,MATCH($K243,其他调用!$AG$5:$AG$364,0),0),1)*INDEX(其他调用!AB$5:AB$404,MATCH($K243,其他调用!$X$5:$X$404,0),0)</f>
        <v>15567.591241955903</v>
      </c>
      <c r="AF243" s="12">
        <f>MIN(INDEX(其他调用!$AJ$5:$AJ$364,MATCH($K243,其他调用!$AG$5:$AG$364,0),1)/INDEX(其他调用!AL$5:AL$364,MATCH($K243,其他调用!$AG$5:$AG$364,0),0),1)*INDEX(其他调用!AC$5:AC$404,MATCH($K243,其他调用!$X$5:$X$404,0),0)</f>
        <v>8102.4489796176595</v>
      </c>
      <c r="AG243" s="12">
        <f>求节点(节奏总纲!D$4:D$163,标准城池设计!AE$4:AE$163,$K243)*求节点(节奏总纲!D$4:D$163,攻城基础信息!$AF$5:$AF$164,$K243)</f>
        <v>1006091.6373486924</v>
      </c>
      <c r="AH243" s="12">
        <f>INDEX(其他调用!$AA$5:$AA$404,MATCH($K243,其他调用!$X$5:$X$404,0))*MIN(INDEX(其他调用!AK$5:AK$364,MATCH($K243,其他调用!$AG$5:$AG$364,0),1)/INDEX(其他调用!$AJ$5:$AJ$364,MATCH($K243,其他调用!$AG$5:$AG$364,0),0),5)*求节点(节奏总纲!D$4:D$163,攻城基础信息!$AF$5:$AF$164,$K243)</f>
        <v>449236.37832680345</v>
      </c>
      <c r="AI243" s="12">
        <f>MIN(INDEX(其他调用!$AK$5:$AK$364,MATCH($K243,其他调用!$AG$5:$AG$364,0),1)/INDEX(其他调用!AH$5:AH$364,MATCH($K243,其他调用!$AG$5:$AG$364,0),0),1)*INDEX(其他调用!Y$5:Y$404,MATCH($K243,其他调用!$X$5:$X$404,0),0)</f>
        <v>41142.134766234405</v>
      </c>
      <c r="AJ243" s="12">
        <f>MIN(INDEX(其他调用!$AK$5:$AK$364,MATCH($K243,其他调用!$AG$5:$AG$364,0),1)/INDEX(其他调用!AI$5:AI$364,MATCH($K243,其他调用!$AG$5:$AG$364,0),0),1)*INDEX(其他调用!Z$5:Z$404,MATCH($K243,其他调用!$X$5:$X$404,0),0)</f>
        <v>42291.993521906574</v>
      </c>
      <c r="AK243" s="12">
        <f>MIN(INDEX(其他调用!$AK$5:$AK$364,MATCH($K243,其他调用!$AG$5:$AG$364,0),1)/INDEX(其他调用!AJ$5:AJ$364,MATCH($K243,其他调用!$AG$5:$AG$364,0),0),1)*INDEX(其他调用!AA$5:AA$404,MATCH($K243,其他调用!$X$5:$X$404,0),0)</f>
        <v>43813.810341151213</v>
      </c>
      <c r="AL243" s="12">
        <f>MIN(INDEX(其他调用!$AK$5:$AK$364,MATCH($K243,其他调用!$AG$5:$AG$364,0),1)/INDEX(其他调用!AK$5:AK$364,MATCH($K243,其他调用!$AG$5:$AG$364,0),0),1)*INDEX(其他调用!AB$5:AB$404,MATCH($K243,其他调用!$X$5:$X$404,0),0)</f>
        <v>46040.312466560434</v>
      </c>
      <c r="AM243" s="12">
        <f>MIN(INDEX(其他调用!$AK$5:$AK$364,MATCH($K243,其他调用!$AG$5:$AG$364,0),1)/INDEX(其他调用!AL$5:AL$364,MATCH($K243,其他调用!$AG$5:$AG$364,0),0),1)*INDEX(其他调用!AC$5:AC$404,MATCH($K243,其他调用!$X$5:$X$404,0),0)</f>
        <v>23962.556375490516</v>
      </c>
      <c r="AN243" s="12">
        <f>求节点(节奏总纲!D$4:D$163,标准城池设计!AF$4:AF$163,$K243)*求节点(节奏总纲!D$4:D$163,攻城基础信息!$AG$5:$AG$164,$K243)</f>
        <v>1053529.3812360892</v>
      </c>
      <c r="AO243" s="12">
        <f>INDEX(其他调用!$AA$5:$AA$404,MATCH($K243,其他调用!$X$5:$X$404,0))*MIN(INDEX(其他调用!AL$5:AL$364,MATCH($K243,其他调用!$AG$5:$AG$364,0),1)/INDEX(其他调用!$AJ$5:$AJ$364,MATCH($K243,其他调用!$AG$5:$AG$364,0),0),5)*求节点(节奏总纲!D$4:D$163,攻城基础信息!$AG$5:$AG$164,$K243)</f>
        <v>759500.52618428762</v>
      </c>
      <c r="AP243" s="12">
        <f>MIN(INDEX(其他调用!$AL$5:$AL$364,MATCH($K243,其他调用!$AG$5:$AG$364,0),1)/INDEX(其他调用!AH$5:AH$364,MATCH($K243,其他调用!$AG$5:$AG$364,0),0),1)*INDEX(其他调用!Y$5:Y$404,MATCH($K243,其他调用!$X$5:$X$404,0),0)</f>
        <v>41142.134766234405</v>
      </c>
      <c r="AQ243" s="12">
        <f>MIN(INDEX(其他调用!$AL$5:$AL$364,MATCH($K243,其他调用!$AG$5:$AG$364,0),1)/INDEX(其他调用!AI$5:AI$364,MATCH($K243,其他调用!$AG$5:$AG$364,0),0),1)*INDEX(其他调用!Z$5:Z$404,MATCH($K243,其他调用!$X$5:$X$404,0),0)</f>
        <v>42291.993521906574</v>
      </c>
      <c r="AR243" s="12">
        <f>MIN(INDEX(其他调用!$AL$5:$AL$364,MATCH($K243,其他调用!$AG$5:$AG$364,0),1)/INDEX(其他调用!AJ$5:AJ$364,MATCH($K243,其他调用!$AG$5:$AG$364,0),0),1)*INDEX(其他调用!AA$5:AA$404,MATCH($K243,其他调用!$X$5:$X$404,0),0)</f>
        <v>43813.810341151213</v>
      </c>
      <c r="AS243" s="12">
        <f>MIN(INDEX(其他调用!$AL$5:$AL$364,MATCH($K243,其他调用!$AG$5:$AG$364,0),1)/INDEX(其他调用!AK$5:AK$364,MATCH($K243,其他调用!$AG$5:$AG$364,0),0),1)*INDEX(其他调用!AB$5:AB$404,MATCH($K243,其他调用!$X$5:$X$404,0),0)</f>
        <v>46040.312466560434</v>
      </c>
      <c r="AT243" s="12">
        <f>MIN(INDEX(其他调用!$AL$5:$AL$364,MATCH($K243,其他调用!$AG$5:$AG$364,0),1)/INDEX(其他调用!AL$5:AL$364,MATCH($K243,其他调用!$AG$5:$AG$364,0),0),1)*INDEX(其他调用!AC$5:AC$404,MATCH($K243,其他调用!$X$5:$X$404,0),0)</f>
        <v>49944.486047587707</v>
      </c>
      <c r="AV243" s="14">
        <f>IF(OR(AV$5="大R",AV$5="超R"),MAX(INDEX(其他调用!$H$5:$L$404,MATCH($K243,其他调用!$B$5:$B$404,0),MATCH(AV$5,其他调用!$H$4:$L$4,0))*120*0.85,2),INDEX(其他调用!$H$5:$L$404,MATCH($K243,其他调用!$B$5:$B$404,0),MATCH(AV$5,其他调用!$H$4:$L$4,0))*120*0.85)</f>
        <v>48.921801254999991</v>
      </c>
      <c r="AW243" s="14">
        <f>IF(OR(AW$5="大R",AW$5="超R"),MAX(INDEX(其他调用!$H$5:$L$404,MATCH($K243,其他调用!$B$5:$B$404,0),MATCH(AW$5,其他调用!$H$4:$L$4,0))*120*0.85,2),INDEX(其他调用!$H$5:$L$404,MATCH($K243,其他调用!$B$5:$B$404,0),MATCH(AW$5,其他调用!$H$4:$L$4,0))*120*0.85)</f>
        <v>48.237344010638395</v>
      </c>
      <c r="AX243" s="14">
        <f>IF(OR(AX$5="大R",AX$5="超R"),MAX(INDEX(其他调用!$H$5:$L$404,MATCH($K243,其他调用!$B$5:$B$404,0),MATCH(AX$5,其他调用!$H$4:$L$4,0))*120*0.85,2),INDEX(其他调用!$H$5:$L$404,MATCH($K243,其他调用!$B$5:$B$404,0),MATCH(AX$5,其他调用!$H$4:$L$4,0))*120*0.85)</f>
        <v>3.9376284143615998</v>
      </c>
      <c r="AY243" s="14">
        <f>IF(OR(AY$5="大R",AY$5="超R"),MAX(INDEX(其他调用!$H$5:$L$404,MATCH($K243,其他调用!$B$5:$B$404,0),MATCH(AY$5,其他调用!$H$4:$L$4,0))*120*0.85,2),INDEX(其他调用!$H$5:$L$404,MATCH($K243,其他调用!$B$5:$B$404,0),MATCH(AY$5,其他调用!$H$4:$L$4,0))*120*0.85)</f>
        <v>2</v>
      </c>
      <c r="AZ243" s="14">
        <f>IF(OR(AZ$5="大R",AZ$5="超R"),MAX(INDEX(其他调用!$H$5:$L$404,MATCH($K243,其他调用!$B$5:$B$404,0),MATCH(AZ$5,其他调用!$H$4:$L$4,0))*120*0.85,2),INDEX(其他调用!$H$5:$L$404,MATCH($K243,其他调用!$B$5:$B$404,0),MATCH(AZ$5,其他调用!$H$4:$L$4,0))*120*0.85)</f>
        <v>2</v>
      </c>
      <c r="BA243" s="14">
        <f>INDEX(其他调用!$H$5:$L$404,MATCH($K243,其他调用!$B$5:$B$404,0),MATCH(BA$5,其他调用!$H$4:$L$4,0))*INDEX(其他调用!$M$5:$M$404,MATCH($K243,其他调用!$B$5:$B$404,0))*0.6</f>
        <v>28.777530149999997</v>
      </c>
      <c r="BB243" s="14">
        <f>INDEX(其他调用!$H$5:$L$404,MATCH($K243,其他调用!$B$5:$B$404,0),MATCH(BB$5,其他调用!$H$4:$L$4,0))*INDEX(其他调用!$M$5:$M$404,MATCH($K243,其他调用!$B$5:$B$404,0))*0.6</f>
        <v>28.374908241551999</v>
      </c>
      <c r="BC243" s="14">
        <f>INDEX(其他调用!$H$5:$L$404,MATCH($K243,其他调用!$B$5:$B$404,0),MATCH(BC$5,其他调用!$H$4:$L$4,0))*INDEX(其他调用!$M$5:$M$404,MATCH($K243,其他调用!$B$5:$B$404,0))*0.6</f>
        <v>2.3162520084480001</v>
      </c>
      <c r="BD243" s="14">
        <f>INDEX(其他调用!$H$5:$L$404,MATCH($K243,其他调用!$B$5:$B$404,0),MATCH(BD$5,其他调用!$H$4:$L$4,0))*INDEX(其他调用!$M$5:$M$404,MATCH($K243,其他调用!$B$5:$B$404,0))*0.6</f>
        <v>0.4120776000000001</v>
      </c>
      <c r="BE243" s="14">
        <f>INDEX(其他调用!$H$5:$L$404,MATCH($K243,其他调用!$B$5:$B$404,0),MATCH(BE$5,其他调用!$H$4:$L$4,0))*INDEX(其他调用!$M$5:$M$404,MATCH($K243,其他调用!$B$5:$B$404,0))*0.6</f>
        <v>0.11923199999999998</v>
      </c>
      <c r="BF243" s="14">
        <f>IF(OR(BF$5="大R",BF$5="超R"),0,INDEX(其他调用!$H$5:$L$404,MATCH($K243,其他调用!$B$5:$B$404,0),MATCH(BF$5,其他调用!$H$4:$L$4,0))*50*0.4)</f>
        <v>9.5925100500000013</v>
      </c>
      <c r="BG243" s="14">
        <f>IF(OR(BG$5="大R",BG$5="超R"),0,INDEX(其他调用!$H$5:$L$404,MATCH($K243,其他调用!$B$5:$B$404,0),MATCH(BG$5,其他调用!$H$4:$L$4,0))*50*0.4)</f>
        <v>9.4583027471839998</v>
      </c>
      <c r="BH243" s="14">
        <f>IF(OR(BH$5="大R",BH$5="超R"),0,INDEX(其他调用!$H$5:$L$404,MATCH($K243,其他调用!$B$5:$B$404,0),MATCH(BH$5,其他调用!$H$4:$L$4,0))*50*0.4)</f>
        <v>0.77208400281600009</v>
      </c>
      <c r="BI243" s="14">
        <f>IF(OR(BI$5="大R",BI$5="超R"),0,INDEX(其他调用!$H$5:$L$404,MATCH($K243,其他调用!$B$5:$B$404,0),MATCH(BI$5,其他调用!$H$4:$L$4,0))*50*0.4)</f>
        <v>0</v>
      </c>
      <c r="BJ243" s="14">
        <f>IF(OR(BJ$5="大R",BJ$5="超R"),0,INDEX(其他调用!$H$5:$L$404,MATCH($K243,其他调用!$B$5:$B$404,0),MATCH(BJ$5,其他调用!$H$4:$L$4,0))*50*0.4)</f>
        <v>0</v>
      </c>
      <c r="BL243" s="14">
        <f t="shared" si="418"/>
        <v>238</v>
      </c>
      <c r="BM243" s="14">
        <f t="shared" si="325"/>
        <v>96</v>
      </c>
      <c r="BN243" s="14">
        <f>('疲劳值&amp;地图信息'!$S$10*'疲劳值&amp;地图信息'!$R$10+'疲劳值&amp;地图信息'!$S$11*'疲劳值&amp;地图信息'!$R$11+'疲劳值&amp;地图信息'!$S$12*'疲劳值&amp;地图信息'!$R$12+(BM243-'疲劳值&amp;地图信息'!$S$12-'疲劳值&amp;地图信息'!$S$11-'疲劳值&amp;地图信息'!$S$10)*'疲劳值&amp;地图信息'!$R$13)/BM243</f>
        <v>51.371477246638619</v>
      </c>
      <c r="BO243" s="14">
        <f>INDEX(其他调用!$M$5:$M$404,MATCH(BL243,其他调用!$B$5:$B$404,0))*0.6</f>
        <v>60</v>
      </c>
      <c r="BP243" s="14">
        <f>IF(BO243&gt;SUM('疲劳值&amp;地图信息'!$S$10:$S$12),('疲劳值&amp;地图信息'!$S$10*'疲劳值&amp;地图信息'!$R$10+'疲劳值&amp;地图信息'!$S$11*'疲劳值&amp;地图信息'!$R$11+'疲劳值&amp;地图信息'!$S$12*'疲劳值&amp;地图信息'!$R$12+(BO243-'疲劳值&amp;地图信息'!$S$12-'疲劳值&amp;地图信息'!$S$11-'疲劳值&amp;地图信息'!$S$10)*'疲劳值&amp;地图信息'!$R$13)/BO243,('疲劳值&amp;地图信息'!$S$10*'疲劳值&amp;地图信息'!$R$10+'疲劳值&amp;地图信息'!$S$11*'疲劳值&amp;地图信息'!$R$11+'疲劳值&amp;地图信息'!$S$12*'疲劳值&amp;地图信息'!$R$12+(BO243-'疲劳值&amp;地图信息'!$S$12-'疲劳值&amp;地图信息'!$S$11-'疲劳值&amp;地图信息'!$S$10)*'疲劳值&amp;地图信息'!$R$13)/BO243)</f>
        <v>44.158136341605953</v>
      </c>
      <c r="BQ243" s="14">
        <f t="shared" si="419"/>
        <v>20</v>
      </c>
      <c r="BR243" s="14">
        <f>('疲劳值&amp;地图信息'!$S$10*'疲劳值&amp;地图信息'!$R$10+($BQ243-'疲劳值&amp;地图信息'!$S$10)*'疲劳值&amp;地图信息'!$R$11)/$BQ243</f>
        <v>32.067203015074995</v>
      </c>
      <c r="CF243" s="14">
        <v>238</v>
      </c>
      <c r="CG243" s="51">
        <f t="shared" si="326"/>
        <v>14452</v>
      </c>
      <c r="CH243" s="51">
        <f t="shared" si="327"/>
        <v>1097</v>
      </c>
      <c r="CI243" s="51">
        <f>INT(SUMPRODUCT($N243:$R243,$BA243:$BE243)/SUM($BA243:$BE243)/10000*$BX$7*$BZ$34/'疲劳值&amp;地图信息'!$R$10*$BY$53)</f>
        <v>3293</v>
      </c>
      <c r="CJ243" s="50">
        <f t="shared" si="328"/>
        <v>0.76700987156352829</v>
      </c>
      <c r="CK243" s="50">
        <f t="shared" si="329"/>
        <v>5.8220995648020378E-2</v>
      </c>
      <c r="CL243" s="50">
        <f t="shared" si="330"/>
        <v>0.17476913278845133</v>
      </c>
      <c r="CM243" s="14">
        <f t="shared" si="331"/>
        <v>15568</v>
      </c>
      <c r="CN243" s="14">
        <f t="shared" si="332"/>
        <v>1816</v>
      </c>
      <c r="CO243" s="14">
        <f>INT(SUMPRODUCT($U243:$Y243,$BA243:$BE243)/SUM($BA243:$BE243)/10000*$BX$7*$BZ$34/'疲劳值&amp;地图信息'!$R$10*$BY$54)</f>
        <v>6209</v>
      </c>
      <c r="CP243" s="50">
        <f t="shared" si="333"/>
        <v>0.65985673716780402</v>
      </c>
      <c r="CQ243" s="50">
        <f t="shared" si="334"/>
        <v>7.6971983215360487E-2</v>
      </c>
      <c r="CR243" s="50">
        <f t="shared" si="335"/>
        <v>0.26317127961683551</v>
      </c>
      <c r="CS243" s="14">
        <f t="shared" si="336"/>
        <v>17037</v>
      </c>
      <c r="CT243" s="14">
        <f t="shared" si="337"/>
        <v>3095</v>
      </c>
      <c r="CU243" s="14">
        <f>INT(SUMPRODUCT($AB243:$AF243,$BA243:$BE243)/SUM($BA243:$BE243)/10000*$BX$7*$BZ$34/'疲劳值&amp;地图信息'!$R$10*$BY$55)</f>
        <v>8431</v>
      </c>
      <c r="CV243" s="50">
        <f t="shared" si="338"/>
        <v>0.59647095893288515</v>
      </c>
      <c r="CW243" s="50">
        <f t="shared" si="339"/>
        <v>0.10835696530476491</v>
      </c>
      <c r="CX243" s="50">
        <f t="shared" si="340"/>
        <v>0.29517207576234988</v>
      </c>
      <c r="CY243" s="14">
        <f t="shared" si="341"/>
        <v>20505</v>
      </c>
      <c r="CZ243" s="14">
        <f t="shared" si="342"/>
        <v>9156</v>
      </c>
      <c r="DA243" s="14">
        <f>INT(SUMPRODUCT($AI243:$AM243,$BA243:$BE243)/SUM($BA243:$BE243)/10000*$BX$7*$BZ$34/'疲劳值&amp;地图信息'!$R$10*$BY$56)</f>
        <v>12720</v>
      </c>
      <c r="DB243" s="50">
        <f t="shared" si="343"/>
        <v>0.48382529907269767</v>
      </c>
      <c r="DC243" s="50">
        <f t="shared" si="344"/>
        <v>0.21604020669639698</v>
      </c>
      <c r="DD243" s="50">
        <f t="shared" si="345"/>
        <v>0.30013449423090538</v>
      </c>
      <c r="DE243" s="14">
        <f t="shared" si="346"/>
        <v>21472</v>
      </c>
      <c r="DF243" s="14">
        <f t="shared" si="347"/>
        <v>15479</v>
      </c>
      <c r="DG243" s="14">
        <f>INT(SUMPRODUCT($AP243:$AT243,$BA243:$BE243)/SUM($BA243:$BE243)/10000*$BX$7*$BZ$34/'疲劳值&amp;地图信息'!$R$10*$BY$57)</f>
        <v>16981</v>
      </c>
      <c r="DH243" s="50">
        <f t="shared" si="348"/>
        <v>0.39813097975228062</v>
      </c>
      <c r="DI243" s="50">
        <f t="shared" si="349"/>
        <v>0.28700956760364904</v>
      </c>
      <c r="DJ243" s="50">
        <f t="shared" si="350"/>
        <v>0.31485945264407034</v>
      </c>
      <c r="DL243" s="14">
        <f t="shared" si="421"/>
        <v>18842</v>
      </c>
      <c r="DM243" s="14">
        <f t="shared" si="422"/>
        <v>23593</v>
      </c>
      <c r="DN243" s="14">
        <f t="shared" si="423"/>
        <v>28563</v>
      </c>
      <c r="DO243" s="14">
        <f t="shared" si="424"/>
        <v>42381</v>
      </c>
      <c r="DP243" s="14">
        <f t="shared" si="425"/>
        <v>53932</v>
      </c>
      <c r="DQ243" s="14">
        <f t="shared" si="426"/>
        <v>1301729</v>
      </c>
      <c r="DT243" s="14">
        <f t="shared" si="420"/>
        <v>235575</v>
      </c>
      <c r="DU243" s="50">
        <f t="shared" si="322"/>
        <v>0.15323904705900721</v>
      </c>
      <c r="DW243" s="14">
        <f t="shared" si="351"/>
        <v>1537304</v>
      </c>
      <c r="EB243" s="14">
        <v>238</v>
      </c>
      <c r="EC243" s="51">
        <f t="shared" si="352"/>
        <v>24086</v>
      </c>
      <c r="ED243" s="51">
        <f t="shared" si="353"/>
        <v>1828</v>
      </c>
      <c r="EE243" s="51">
        <f>INT(SUMPRODUCT($N243:$R243,$BF243:$BJ243)/SUM($BF243:$BJ243)/10000*$BX$7*$BZ$46/'疲劳值&amp;地图信息'!$R$10*$BY$53)</f>
        <v>442</v>
      </c>
      <c r="EF243" s="50">
        <f t="shared" si="354"/>
        <v>0.91387160418879954</v>
      </c>
      <c r="EG243" s="50">
        <f t="shared" si="355"/>
        <v>6.9358020943997567E-2</v>
      </c>
      <c r="EH243" s="50">
        <f t="shared" si="356"/>
        <v>1.6770374867202915E-2</v>
      </c>
      <c r="EI243" s="51">
        <f t="shared" si="357"/>
        <v>25948</v>
      </c>
      <c r="EJ243" s="51">
        <f t="shared" si="358"/>
        <v>3027</v>
      </c>
      <c r="EK243" s="14">
        <f>INT(SUMPRODUCT($U243:$Y243,$BF243:$BJ243)/SUM($BF243:$BJ243)/10000*$BX$7*$BZ$46/'疲劳值&amp;地图信息'!$R$10*$BY$54)</f>
        <v>833</v>
      </c>
      <c r="EL243" s="50">
        <f t="shared" si="359"/>
        <v>0.87050456253354802</v>
      </c>
      <c r="EM243" s="50">
        <f t="shared" si="360"/>
        <v>0.1015499194847021</v>
      </c>
      <c r="EN243" s="50">
        <f t="shared" si="361"/>
        <v>2.7945517981749865E-2</v>
      </c>
      <c r="EO243" s="51">
        <f t="shared" si="362"/>
        <v>28396</v>
      </c>
      <c r="EP243" s="51">
        <f t="shared" si="363"/>
        <v>5159</v>
      </c>
      <c r="EQ243" s="14">
        <f>INT(SUMPRODUCT($AB243:$AF243,$BF243:$BJ243)/SUM($BF243:$BJ243)/10000*$BX$7*$BZ$46/'疲劳值&amp;地图信息'!$R$10*$BY$55)</f>
        <v>1130</v>
      </c>
      <c r="ER243" s="50">
        <f t="shared" si="364"/>
        <v>0.81868242756234688</v>
      </c>
      <c r="ES243" s="50">
        <f t="shared" si="365"/>
        <v>0.14873864783047427</v>
      </c>
      <c r="ET243" s="50">
        <f t="shared" si="366"/>
        <v>3.2578924607178893E-2</v>
      </c>
      <c r="EU243" s="51">
        <f t="shared" si="367"/>
        <v>34175</v>
      </c>
      <c r="EV243" s="51">
        <f t="shared" si="368"/>
        <v>15260</v>
      </c>
      <c r="EW243" s="14">
        <f>INT(SUMPRODUCT($AI243:$AM243,$BF243:$BJ243)/SUM($BF243:$BJ243)/10000*$BX$7*$BZ$46/'疲劳值&amp;地图信息'!$R$10*$BY$56)</f>
        <v>1696</v>
      </c>
      <c r="EX243" s="50">
        <f t="shared" si="369"/>
        <v>0.6683812168743033</v>
      </c>
      <c r="EY243" s="50">
        <f t="shared" si="370"/>
        <v>0.29844908177035456</v>
      </c>
      <c r="EZ243" s="50">
        <f t="shared" si="371"/>
        <v>3.3169701355342161E-2</v>
      </c>
      <c r="FA243" s="51">
        <f t="shared" si="372"/>
        <v>35787</v>
      </c>
      <c r="FB243" s="51">
        <f t="shared" si="373"/>
        <v>25799</v>
      </c>
      <c r="FC243" s="14">
        <f>INT(SUMPRODUCT($AP243:$AT243,$BF243:$BJ243)/SUM($BF243:$BJ243)/10000*$BX$7*$BZ$46/'疲劳值&amp;地图信息'!$R$10*$BY$57)</f>
        <v>2261</v>
      </c>
      <c r="FD243" s="50">
        <f t="shared" si="374"/>
        <v>0.56051184863815062</v>
      </c>
      <c r="FE243" s="50">
        <f t="shared" si="375"/>
        <v>0.40407536767585006</v>
      </c>
      <c r="FF243" s="50">
        <f t="shared" si="376"/>
        <v>3.5412783685999344E-2</v>
      </c>
      <c r="FH243" s="14">
        <f t="shared" si="377"/>
        <v>26356</v>
      </c>
      <c r="FI243" s="14">
        <f t="shared" si="378"/>
        <v>29808</v>
      </c>
      <c r="FJ243" s="14">
        <f t="shared" si="379"/>
        <v>34685</v>
      </c>
      <c r="FK243" s="14">
        <f t="shared" si="380"/>
        <v>51131</v>
      </c>
      <c r="FL243" s="14">
        <f t="shared" si="381"/>
        <v>63847</v>
      </c>
      <c r="FM243" s="14">
        <f t="shared" si="382"/>
        <v>3093774</v>
      </c>
      <c r="FP243" s="14">
        <f t="shared" si="383"/>
        <v>334150</v>
      </c>
      <c r="FQ243" s="50">
        <f t="shared" si="323"/>
        <v>9.7478823917916499E-2</v>
      </c>
      <c r="FS243" s="14">
        <f t="shared" si="384"/>
        <v>3427924</v>
      </c>
      <c r="FX243" s="14">
        <v>238</v>
      </c>
      <c r="FY243" s="51">
        <f t="shared" si="385"/>
        <v>33721</v>
      </c>
      <c r="FZ243" s="51">
        <f t="shared" si="386"/>
        <v>1828</v>
      </c>
      <c r="GA243" s="51">
        <f>INT(SUMPRODUCT($N243:$R243,$BF243:$BJ243)/SUM($BF243:$BJ243)/10000*$BX$7*$BZ$46/'疲劳值&amp;地图信息'!$R$10*$BY$53)</f>
        <v>442</v>
      </c>
      <c r="GB243" s="50">
        <f t="shared" si="387"/>
        <v>0.9369286766135978</v>
      </c>
      <c r="GC243" s="50">
        <f t="shared" si="388"/>
        <v>5.0790475396626934E-2</v>
      </c>
      <c r="GD243" s="50">
        <f t="shared" si="389"/>
        <v>1.2280847989775221E-2</v>
      </c>
      <c r="GE243" s="51">
        <f t="shared" si="390"/>
        <v>36327</v>
      </c>
      <c r="GF243" s="51">
        <f t="shared" si="391"/>
        <v>3027</v>
      </c>
      <c r="GG243" s="14">
        <f>INT(SUMPRODUCT($U243:$Y243,$BF243:$BJ243)/SUM($BF243:$BJ243)/10000*$BX$7*$BZ$46/'疲劳值&amp;地图信息'!$R$10*$BY$54)</f>
        <v>833</v>
      </c>
      <c r="GH243" s="50">
        <f t="shared" si="392"/>
        <v>0.90394903824619899</v>
      </c>
      <c r="GI243" s="50">
        <f t="shared" si="393"/>
        <v>7.5322865603304548E-2</v>
      </c>
      <c r="GJ243" s="50">
        <f t="shared" si="394"/>
        <v>2.0728096150496429E-2</v>
      </c>
      <c r="GK243" s="51">
        <f t="shared" si="395"/>
        <v>39754</v>
      </c>
      <c r="GL243" s="51">
        <f t="shared" si="396"/>
        <v>5159</v>
      </c>
      <c r="GM243" s="14">
        <f>INT(SUMPRODUCT($AB243:$AF243,$BF243:$BJ243)/SUM($BF243:$BJ243)/10000*$BX$7*$BZ$46/'疲劳值&amp;地图信息'!$R$10*$BY$55)</f>
        <v>1130</v>
      </c>
      <c r="GN243" s="50">
        <f t="shared" si="397"/>
        <v>0.86341029038073103</v>
      </c>
      <c r="GO243" s="50">
        <f t="shared" si="398"/>
        <v>0.11204743392046565</v>
      </c>
      <c r="GP243" s="50">
        <f t="shared" si="399"/>
        <v>2.4542275698803292E-2</v>
      </c>
      <c r="GQ243" s="51">
        <f t="shared" si="400"/>
        <v>47846</v>
      </c>
      <c r="GR243" s="51">
        <f t="shared" si="401"/>
        <v>15260</v>
      </c>
      <c r="GS243" s="14">
        <f>INT(SUMPRODUCT($AI243:$AM243,$BF243:$BJ243)/SUM($BF243:$BJ243)/10000*$BX$7*$BZ$46/'疲劳值&amp;地图信息'!$R$10*$BY$56)</f>
        <v>1696</v>
      </c>
      <c r="GT243" s="50">
        <f t="shared" si="402"/>
        <v>0.73834140921576497</v>
      </c>
      <c r="GU243" s="50">
        <f t="shared" si="403"/>
        <v>0.23548655905681923</v>
      </c>
      <c r="GV243" s="50">
        <f t="shared" si="404"/>
        <v>2.617203172741582E-2</v>
      </c>
      <c r="GW243" s="51">
        <f t="shared" si="405"/>
        <v>50102</v>
      </c>
      <c r="GX243" s="51">
        <f t="shared" si="406"/>
        <v>25799</v>
      </c>
      <c r="GY243" s="14">
        <f>INT(SUMPRODUCT($AP243:$AT243,$BF243:$BJ243)/SUM($BF243:$BJ243)/10000*$BX$7*$BZ$46/'疲劳值&amp;地图信息'!$R$10*$BY$57)</f>
        <v>2261</v>
      </c>
      <c r="GZ243" s="50">
        <f t="shared" si="407"/>
        <v>0.64100202144264473</v>
      </c>
      <c r="HA243" s="50">
        <f t="shared" si="408"/>
        <v>0.33007087843197463</v>
      </c>
      <c r="HB243" s="50">
        <f t="shared" si="409"/>
        <v>2.892710012538062E-2</v>
      </c>
      <c r="HD243" s="14">
        <f t="shared" si="410"/>
        <v>35991</v>
      </c>
      <c r="HE243" s="14">
        <f t="shared" si="411"/>
        <v>40187</v>
      </c>
      <c r="HF243" s="14">
        <f t="shared" si="412"/>
        <v>46043</v>
      </c>
      <c r="HG243" s="14">
        <f t="shared" si="413"/>
        <v>64802</v>
      </c>
      <c r="HH243" s="14">
        <f t="shared" si="414"/>
        <v>78162</v>
      </c>
      <c r="HI243" s="14">
        <f t="shared" si="415"/>
        <v>4166486</v>
      </c>
      <c r="HL243" s="14">
        <f t="shared" si="416"/>
        <v>430050</v>
      </c>
      <c r="HM243" s="50">
        <f t="shared" si="324"/>
        <v>9.3559584869997756E-2</v>
      </c>
      <c r="HO243" s="14">
        <f t="shared" si="417"/>
        <v>4596536</v>
      </c>
    </row>
    <row r="244" spans="11:223" x14ac:dyDescent="0.2">
      <c r="K244" s="14">
        <v>239</v>
      </c>
      <c r="L244" s="12">
        <f>求节点(节奏总纲!D$4:D$163,标准城池设计!AB$4:AB$163,$K244)*求节点(节奏总纲!D$4:D$163,攻城基础信息!$AC$5:$AC$164,$K244)</f>
        <v>710444.68432914198</v>
      </c>
      <c r="M244" s="12">
        <f>INDEX(其他调用!$AA$5:$AA$404,MATCH(K244,其他调用!$X$5:$X$404,0))*MIN(INDEX(其他调用!$AH$5:$AH$364,MATCH('征服点（新）'!K244,其他调用!$AG$5:$AG$364,0),1)/INDEX(其他调用!$AJ$5:$AJ$364,MATCH(K244,其他调用!$AG$5:$AG$364,0),0),5)*求节点(节奏总纲!D$4:D$163,攻城基础信息!$AC$5:$AC$164,$K244)</f>
        <v>53843.143548084758</v>
      </c>
      <c r="N244" s="12">
        <f>MIN(INDEX(其他调用!$AH$5:$AH$364,MATCH($K244,其他调用!$AG$5:$AG$364,0),1)/INDEX(其他调用!AH$5:AH$364,MATCH($K244,其他调用!$AG$5:$AG$364,0),0),1)*INDEX(其他调用!Y$5:Y$404,MATCH($K244,其他调用!$X$5:$X$404,0),0)</f>
        <v>41165.296213765912</v>
      </c>
      <c r="O244" s="12">
        <f>MIN(INDEX(其他调用!$AH$5:$AH$364,MATCH($K244,其他调用!$AG$5:$AG$364,0),1)/INDEX(其他调用!AI$5:AI$364,MATCH($K244,其他调用!$AG$5:$AG$364,0),0),1)*INDEX(其他调用!Z$5:Z$404,MATCH($K244,其他调用!$X$5:$X$404,0),0)</f>
        <v>25530.372839831118</v>
      </c>
      <c r="P244" s="12">
        <f>MIN(INDEX(其他调用!$AH$5:$AH$364,MATCH($K244,其他调用!$AG$5:$AG$364,0),1)/INDEX(其他调用!AJ$5:AJ$364,MATCH($K244,其他调用!$AG$5:$AG$364,0),0),1)*INDEX(其他调用!AA$5:AA$404,MATCH($K244,其他调用!$X$5:$X$404,0),0)</f>
        <v>15521.720539061298</v>
      </c>
      <c r="Q244" s="12">
        <f>MIN(INDEX(其他调用!$AH$5:$AH$364,MATCH($K244,其他调用!$AG$5:$AG$364,0),1)/INDEX(其他调用!AK$5:AK$364,MATCH($K244,其他调用!$AG$5:$AG$364,0),0),1)*INDEX(其他调用!AB$5:AB$404,MATCH($K244,其他调用!$X$5:$X$404,0),0)</f>
        <v>5514.1840176517971</v>
      </c>
      <c r="R244" s="12">
        <f>MIN(INDEX(其他调用!$AH$5:$AH$364,MATCH($K244,其他调用!$AG$5:$AG$364,0),1)/INDEX(其他调用!AL$5:AL$364,MATCH($K244,其他调用!$AG$5:$AG$364,0),0),1)*INDEX(其他调用!AC$5:AC$404,MATCH($K244,其他调用!$X$5:$X$404,0),0)</f>
        <v>2880.6990637172976</v>
      </c>
      <c r="S244" s="12">
        <f>求节点(节奏总纲!D$4:D$163,标准城池设计!AC$4:AC$163,$K244)*求节点(节奏总纲!D$4:D$163,攻城基础信息!$AD$5:$AD$164,$K244)</f>
        <v>765698.03524857154</v>
      </c>
      <c r="T244" s="12">
        <f>INDEX(其他调用!$AA$5:$AA$404,MATCH($K244,其他调用!$X$5:$X$404,0))*MIN(INDEX(其他调用!AI$5:AI$364,MATCH($K244,其他调用!$AG$5:$AG$364,0),1)/INDEX(其他调用!$AJ$5:$AJ$364,MATCH($K244,其他调用!$AG$5:$AG$364,0),0),5)*求节点(节奏总纲!D$4:D$163,攻城基础信息!$AD$5:$AD$164,$K244)</f>
        <v>89243.501447685732</v>
      </c>
      <c r="U244" s="12">
        <f>MIN(INDEX(其他调用!$AI$5:$AI$364,MATCH($K244,其他调用!$AG$5:$AG$364,0),1)/INDEX(其他调用!AH$5:AH$364,MATCH($K244,其他调用!$AG$5:$AG$364,0),0),1)*INDEX(其他调用!Y$5:Y$404,MATCH($K244,其他调用!$X$5:$X$404,0),0)</f>
        <v>41165.296213765912</v>
      </c>
      <c r="V244" s="12">
        <f>MIN(INDEX(其他调用!$AI$5:$AI$364,MATCH($K244,其他调用!$AG$5:$AG$364,0),1)/INDEX(其他调用!AI$5:AI$364,MATCH($K244,其他调用!$AG$5:$AG$364,0),0),1)*INDEX(其他调用!Z$5:Z$404,MATCH($K244,其他调用!$X$5:$X$404,0),0)</f>
        <v>42315.877479491435</v>
      </c>
      <c r="W244" s="12">
        <f>MIN(INDEX(其他调用!$AI$5:$AI$364,MATCH($K244,其他调用!$AG$5:$AG$364,0),1)/INDEX(其他调用!AJ$5:AJ$364,MATCH($K244,其他调用!$AG$5:$AG$364,0),0),1)*INDEX(其他调用!AA$5:AA$404,MATCH($K244,其他调用!$X$5:$X$404,0),0)</f>
        <v>25726.81678886788</v>
      </c>
      <c r="X244" s="12">
        <f>MIN(INDEX(其他调用!$AI$5:$AI$364,MATCH($K244,其他调用!$AG$5:$AG$364,0),1)/INDEX(其他调用!AK$5:AK$364,MATCH($K244,其他调用!$AG$5:$AG$364,0),0),1)*INDEX(其他调用!AB$5:AB$404,MATCH($K244,其他调用!$X$5:$X$404,0),0)</f>
        <v>9139.6054712637251</v>
      </c>
      <c r="Y244" s="12">
        <f>MIN(INDEX(其他调用!$AI$5:$AI$364,MATCH($K244,其他调用!$AG$5:$AG$364,0),1)/INDEX(其他调用!AL$5:AL$364,MATCH($K244,其他调用!$AG$5:$AG$364,0),0),1)*INDEX(其他调用!AC$5:AC$404,MATCH($K244,其他调用!$X$5:$X$404,0),0)</f>
        <v>4774.6779649596856</v>
      </c>
      <c r="Z244" s="12">
        <f>求节点(节奏总纲!D$4:D$163,标准城池设计!AD$4:AD$163,$K244)*求节点(节奏总纲!D$4:D$163,攻城基础信息!$AE$5:$AE$164,$K244)</f>
        <v>838090.87490302464</v>
      </c>
      <c r="AA244" s="12">
        <f>INDEX(其他调用!$AA$5:$AA$404,MATCH($K244,其他调用!$X$5:$X$404,0))*MIN(INDEX(其他调用!AJ$5:AJ$364,MATCH($K244,其他调用!$AG$5:$AG$364,0),1)/INDEX(其他调用!$AJ$5:$AJ$364,MATCH($K244,其他调用!$AG$5:$AG$364,0),0),5)*求节点(节奏总纲!D$4:D$163,攻城基础信息!$AE$5:$AE$164,$K244)</f>
        <v>152067.98839725458</v>
      </c>
      <c r="AB244" s="12">
        <f>MIN(INDEX(其他调用!$AJ$5:$AJ$364,MATCH($K244,其他调用!$AG$5:$AG$364,0),1)/INDEX(其他调用!AH$5:AH$364,MATCH($K244,其他调用!$AG$5:$AG$364,0),0),1)*INDEX(其他调用!Y$5:Y$404,MATCH($K244,其他调用!$X$5:$X$404,0),0)</f>
        <v>41165.296213765912</v>
      </c>
      <c r="AC244" s="12">
        <f>MIN(INDEX(其他调用!$AJ$5:$AJ$364,MATCH($K244,其他调用!$AG$5:$AG$364,0),1)/INDEX(其他调用!AI$5:AI$364,MATCH($K244,其他调用!$AG$5:$AG$364,0),0),1)*INDEX(其他调用!Z$5:Z$404,MATCH($K244,其他调用!$X$5:$X$404,0),0)</f>
        <v>42315.877479491435</v>
      </c>
      <c r="AD244" s="12">
        <f>MIN(INDEX(其他调用!$AJ$5:$AJ$364,MATCH($K244,其他调用!$AG$5:$AG$364,0),1)/INDEX(其他调用!AJ$5:AJ$364,MATCH($K244,其他调用!$AG$5:$AG$364,0),0),1)*INDEX(其他调用!AA$5:AA$404,MATCH($K244,其他调用!$X$5:$X$404,0),0)</f>
        <v>43837.648831396305</v>
      </c>
      <c r="AE244" s="12">
        <f>MIN(INDEX(其他调用!$AJ$5:$AJ$364,MATCH($K244,其他调用!$AG$5:$AG$364,0),1)/INDEX(其他调用!AK$5:AK$364,MATCH($K244,其他调用!$AG$5:$AG$364,0),0),1)*INDEX(其他调用!AB$5:AB$404,MATCH($K244,其他调用!$X$5:$X$404,0),0)</f>
        <v>15573.586829449285</v>
      </c>
      <c r="AF244" s="12">
        <f>MIN(INDEX(其他调用!$AJ$5:$AJ$364,MATCH($K244,其他调用!$AG$5:$AG$364,0),1)/INDEX(其他调用!AL$5:AL$364,MATCH($K244,其他调用!$AG$5:$AG$364,0),0),1)*INDEX(其他调用!AC$5:AC$404,MATCH($K244,其他调用!$X$5:$X$404,0),0)</f>
        <v>8135.8940606083215</v>
      </c>
      <c r="AG244" s="12">
        <f>求节点(节奏总纲!D$4:D$163,标准城池设计!AE$4:AE$163,$K244)*求节点(节奏总纲!D$4:D$163,攻城基础信息!$AF$5:$AF$164,$K244)</f>
        <v>1008758.0798274892</v>
      </c>
      <c r="AH244" s="12">
        <f>INDEX(其他调用!$AA$5:$AA$404,MATCH($K244,其他调用!$X$5:$X$404,0))*MIN(INDEX(其他调用!AK$5:AK$364,MATCH($K244,其他调用!$AG$5:$AG$364,0),1)/INDEX(其他调用!$AJ$5:$AJ$364,MATCH($K244,其他调用!$AG$5:$AG$364,0),0),5)*求节点(节奏总纲!D$4:D$163,攻城基础信息!$AF$5:$AF$164,$K244)</f>
        <v>449814.52033790795</v>
      </c>
      <c r="AI244" s="12">
        <f>MIN(INDEX(其他调用!$AK$5:$AK$364,MATCH($K244,其他调用!$AG$5:$AG$364,0),1)/INDEX(其他调用!AH$5:AH$364,MATCH($K244,其他调用!$AG$5:$AG$364,0),0),1)*INDEX(其他调用!Y$5:Y$404,MATCH($K244,其他调用!$X$5:$X$404,0),0)</f>
        <v>41165.296213765912</v>
      </c>
      <c r="AJ244" s="12">
        <f>MIN(INDEX(其他调用!$AK$5:$AK$364,MATCH($K244,其他调用!$AG$5:$AG$364,0),1)/INDEX(其他调用!AI$5:AI$364,MATCH($K244,其他调用!$AG$5:$AG$364,0),0),1)*INDEX(其他调用!Z$5:Z$404,MATCH($K244,其他调用!$X$5:$X$404,0),0)</f>
        <v>42315.877479491435</v>
      </c>
      <c r="AK244" s="12">
        <f>MIN(INDEX(其他调用!$AK$5:$AK$364,MATCH($K244,其他调用!$AG$5:$AG$364,0),1)/INDEX(其他调用!AJ$5:AJ$364,MATCH($K244,其他调用!$AG$5:$AG$364,0),0),1)*INDEX(其他调用!AA$5:AA$404,MATCH($K244,其他调用!$X$5:$X$404,0),0)</f>
        <v>43837.648831396305</v>
      </c>
      <c r="AL244" s="12">
        <f>MIN(INDEX(其他调用!$AK$5:$AK$364,MATCH($K244,其他调用!$AG$5:$AG$364,0),1)/INDEX(其他调用!AK$5:AK$364,MATCH($K244,其他调用!$AG$5:$AG$364,0),0),1)*INDEX(其他调用!AB$5:AB$404,MATCH($K244,其他调用!$X$5:$X$404,0),0)</f>
        <v>46066.40466190294</v>
      </c>
      <c r="AM244" s="12">
        <f>MIN(INDEX(其他调用!$AK$5:$AK$364,MATCH($K244,其他调用!$AG$5:$AG$364,0),1)/INDEX(其他调用!AL$5:AL$364,MATCH($K244,其他调用!$AG$5:$AG$364,0),0),1)*INDEX(其他调用!AC$5:AC$404,MATCH($K244,其他调用!$X$5:$X$404,0),0)</f>
        <v>24065.836097156116</v>
      </c>
      <c r="AN244" s="12">
        <f>求节点(节奏总纲!D$4:D$163,标准城池设计!AF$4:AF$163,$K244)*求节点(节奏总纲!D$4:D$163,攻城基础信息!$AG$5:$AG$164,$K244)</f>
        <v>1056311.0047124191</v>
      </c>
      <c r="AO244" s="12">
        <f>INDEX(其他调用!$AA$5:$AA$404,MATCH($K244,其他调用!$X$5:$X$404,0))*MIN(INDEX(其他调用!AL$5:AL$364,MATCH($K244,其他调用!$AG$5:$AG$364,0),1)/INDEX(其他调用!$AJ$5:$AJ$364,MATCH($K244,其他调用!$AG$5:$AG$364,0),0),5)*求节点(节奏总纲!D$4:D$163,攻城基础信息!$AG$5:$AG$164,$K244)</f>
        <v>760339.94198627281</v>
      </c>
      <c r="AP244" s="12">
        <f>MIN(INDEX(其他调用!$AL$5:$AL$364,MATCH($K244,其他调用!$AG$5:$AG$364,0),1)/INDEX(其他调用!AH$5:AH$364,MATCH($K244,其他调用!$AG$5:$AG$364,0),0),1)*INDEX(其他调用!Y$5:Y$404,MATCH($K244,其他调用!$X$5:$X$404,0),0)</f>
        <v>41165.296213765912</v>
      </c>
      <c r="AQ244" s="12">
        <f>MIN(INDEX(其他调用!$AL$5:$AL$364,MATCH($K244,其他调用!$AG$5:$AG$364,0),1)/INDEX(其他调用!AI$5:AI$364,MATCH($K244,其他调用!$AG$5:$AG$364,0),0),1)*INDEX(其他调用!Z$5:Z$404,MATCH($K244,其他调用!$X$5:$X$404,0),0)</f>
        <v>42315.877479491435</v>
      </c>
      <c r="AR244" s="12">
        <f>MIN(INDEX(其他调用!$AL$5:$AL$364,MATCH($K244,其他调用!$AG$5:$AG$364,0),1)/INDEX(其他调用!AJ$5:AJ$364,MATCH($K244,其他调用!$AG$5:$AG$364,0),0),1)*INDEX(其他调用!AA$5:AA$404,MATCH($K244,其他调用!$X$5:$X$404,0),0)</f>
        <v>43837.648831396305</v>
      </c>
      <c r="AS244" s="12">
        <f>MIN(INDEX(其他调用!$AL$5:$AL$364,MATCH($K244,其他调用!$AG$5:$AG$364,0),1)/INDEX(其他调用!AK$5:AK$364,MATCH($K244,其他调用!$AG$5:$AG$364,0),0),1)*INDEX(其他调用!AB$5:AB$404,MATCH($K244,其他调用!$X$5:$X$404,0),0)</f>
        <v>46066.40466190294</v>
      </c>
      <c r="AT244" s="12">
        <f>MIN(INDEX(其他调用!$AL$5:$AL$364,MATCH($K244,其他调用!$AG$5:$AG$364,0),1)/INDEX(其他调用!AL$5:AL$364,MATCH($K244,其他调用!$AG$5:$AG$364,0),0),1)*INDEX(其他调用!AC$5:AC$404,MATCH($K244,其他调用!$X$5:$X$404,0),0)</f>
        <v>49969.214032756558</v>
      </c>
      <c r="AV244" s="14">
        <f>IF(OR(AV$5="大R",AV$5="超R"),MAX(INDEX(其他调用!$H$5:$L$404,MATCH($K244,其他调用!$B$5:$B$404,0),MATCH(AV$5,其他调用!$H$4:$L$4,0))*120*0.85,2),INDEX(其他调用!$H$5:$L$404,MATCH($K244,其他调用!$B$5:$B$404,0),MATCH(AV$5,其他调用!$H$4:$L$4,0))*120*0.85)</f>
        <v>48.921801254999991</v>
      </c>
      <c r="AW244" s="14">
        <f>IF(OR(AW$5="大R",AW$5="超R"),MAX(INDEX(其他调用!$H$5:$L$404,MATCH($K244,其他调用!$B$5:$B$404,0),MATCH(AW$5,其他调用!$H$4:$L$4,0))*120*0.85,2),INDEX(其他调用!$H$5:$L$404,MATCH($K244,其他调用!$B$5:$B$404,0),MATCH(AW$5,其他调用!$H$4:$L$4,0))*120*0.85)</f>
        <v>48.237344010638395</v>
      </c>
      <c r="AX244" s="14">
        <f>IF(OR(AX$5="大R",AX$5="超R"),MAX(INDEX(其他调用!$H$5:$L$404,MATCH($K244,其他调用!$B$5:$B$404,0),MATCH(AX$5,其他调用!$H$4:$L$4,0))*120*0.85,2),INDEX(其他调用!$H$5:$L$404,MATCH($K244,其他调用!$B$5:$B$404,0),MATCH(AX$5,其他调用!$H$4:$L$4,0))*120*0.85)</f>
        <v>3.9376284143615998</v>
      </c>
      <c r="AY244" s="14">
        <f>IF(OR(AY$5="大R",AY$5="超R"),MAX(INDEX(其他调用!$H$5:$L$404,MATCH($K244,其他调用!$B$5:$B$404,0),MATCH(AY$5,其他调用!$H$4:$L$4,0))*120*0.85,2),INDEX(其他调用!$H$5:$L$404,MATCH($K244,其他调用!$B$5:$B$404,0),MATCH(AY$5,其他调用!$H$4:$L$4,0))*120*0.85)</f>
        <v>2</v>
      </c>
      <c r="AZ244" s="14">
        <f>IF(OR(AZ$5="大R",AZ$5="超R"),MAX(INDEX(其他调用!$H$5:$L$404,MATCH($K244,其他调用!$B$5:$B$404,0),MATCH(AZ$5,其他调用!$H$4:$L$4,0))*120*0.85,2),INDEX(其他调用!$H$5:$L$404,MATCH($K244,其他调用!$B$5:$B$404,0),MATCH(AZ$5,其他调用!$H$4:$L$4,0))*120*0.85)</f>
        <v>2</v>
      </c>
      <c r="BA244" s="14">
        <f>INDEX(其他调用!$H$5:$L$404,MATCH($K244,其他调用!$B$5:$B$404,0),MATCH(BA$5,其他调用!$H$4:$L$4,0))*INDEX(其他调用!$M$5:$M$404,MATCH($K244,其他调用!$B$5:$B$404,0))*0.6</f>
        <v>28.777530149999997</v>
      </c>
      <c r="BB244" s="14">
        <f>INDEX(其他调用!$H$5:$L$404,MATCH($K244,其他调用!$B$5:$B$404,0),MATCH(BB$5,其他调用!$H$4:$L$4,0))*INDEX(其他调用!$M$5:$M$404,MATCH($K244,其他调用!$B$5:$B$404,0))*0.6</f>
        <v>28.374908241551999</v>
      </c>
      <c r="BC244" s="14">
        <f>INDEX(其他调用!$H$5:$L$404,MATCH($K244,其他调用!$B$5:$B$404,0),MATCH(BC$5,其他调用!$H$4:$L$4,0))*INDEX(其他调用!$M$5:$M$404,MATCH($K244,其他调用!$B$5:$B$404,0))*0.6</f>
        <v>2.3162520084480001</v>
      </c>
      <c r="BD244" s="14">
        <f>INDEX(其他调用!$H$5:$L$404,MATCH($K244,其他调用!$B$5:$B$404,0),MATCH(BD$5,其他调用!$H$4:$L$4,0))*INDEX(其他调用!$M$5:$M$404,MATCH($K244,其他调用!$B$5:$B$404,0))*0.6</f>
        <v>0.4120776000000001</v>
      </c>
      <c r="BE244" s="14">
        <f>INDEX(其他调用!$H$5:$L$404,MATCH($K244,其他调用!$B$5:$B$404,0),MATCH(BE$5,其他调用!$H$4:$L$4,0))*INDEX(其他调用!$M$5:$M$404,MATCH($K244,其他调用!$B$5:$B$404,0))*0.6</f>
        <v>0.11923199999999998</v>
      </c>
      <c r="BF244" s="14">
        <f>IF(OR(BF$5="大R",BF$5="超R"),0,INDEX(其他调用!$H$5:$L$404,MATCH($K244,其他调用!$B$5:$B$404,0),MATCH(BF$5,其他调用!$H$4:$L$4,0))*50*0.4)</f>
        <v>9.5925100500000013</v>
      </c>
      <c r="BG244" s="14">
        <f>IF(OR(BG$5="大R",BG$5="超R"),0,INDEX(其他调用!$H$5:$L$404,MATCH($K244,其他调用!$B$5:$B$404,0),MATCH(BG$5,其他调用!$H$4:$L$4,0))*50*0.4)</f>
        <v>9.4583027471839998</v>
      </c>
      <c r="BH244" s="14">
        <f>IF(OR(BH$5="大R",BH$5="超R"),0,INDEX(其他调用!$H$5:$L$404,MATCH($K244,其他调用!$B$5:$B$404,0),MATCH(BH$5,其他调用!$H$4:$L$4,0))*50*0.4)</f>
        <v>0.77208400281600009</v>
      </c>
      <c r="BI244" s="14">
        <f>IF(OR(BI$5="大R",BI$5="超R"),0,INDEX(其他调用!$H$5:$L$404,MATCH($K244,其他调用!$B$5:$B$404,0),MATCH(BI$5,其他调用!$H$4:$L$4,0))*50*0.4)</f>
        <v>0</v>
      </c>
      <c r="BJ244" s="14">
        <f>IF(OR(BJ$5="大R",BJ$5="超R"),0,INDEX(其他调用!$H$5:$L$404,MATCH($K244,其他调用!$B$5:$B$404,0),MATCH(BJ$5,其他调用!$H$4:$L$4,0))*50*0.4)</f>
        <v>0</v>
      </c>
      <c r="BL244" s="14">
        <f t="shared" si="418"/>
        <v>239</v>
      </c>
      <c r="BM244" s="14">
        <f t="shared" si="325"/>
        <v>96</v>
      </c>
      <c r="BN244" s="14">
        <f>('疲劳值&amp;地图信息'!$S$10*'疲劳值&amp;地图信息'!$R$10+'疲劳值&amp;地图信息'!$S$11*'疲劳值&amp;地图信息'!$R$11+'疲劳值&amp;地图信息'!$S$12*'疲劳值&amp;地图信息'!$R$12+(BM244-'疲劳值&amp;地图信息'!$S$12-'疲劳值&amp;地图信息'!$S$11-'疲劳值&amp;地图信息'!$S$10)*'疲劳值&amp;地图信息'!$R$13)/BM244</f>
        <v>51.371477246638619</v>
      </c>
      <c r="BO244" s="14">
        <f>INDEX(其他调用!$M$5:$M$404,MATCH(BL244,其他调用!$B$5:$B$404,0))*0.6</f>
        <v>60</v>
      </c>
      <c r="BP244" s="14">
        <f>IF(BO244&gt;SUM('疲劳值&amp;地图信息'!$S$10:$S$12),('疲劳值&amp;地图信息'!$S$10*'疲劳值&amp;地图信息'!$R$10+'疲劳值&amp;地图信息'!$S$11*'疲劳值&amp;地图信息'!$R$11+'疲劳值&amp;地图信息'!$S$12*'疲劳值&amp;地图信息'!$R$12+(BO244-'疲劳值&amp;地图信息'!$S$12-'疲劳值&amp;地图信息'!$S$11-'疲劳值&amp;地图信息'!$S$10)*'疲劳值&amp;地图信息'!$R$13)/BO244,('疲劳值&amp;地图信息'!$S$10*'疲劳值&amp;地图信息'!$R$10+'疲劳值&amp;地图信息'!$S$11*'疲劳值&amp;地图信息'!$R$11+'疲劳值&amp;地图信息'!$S$12*'疲劳值&amp;地图信息'!$R$12+(BO244-'疲劳值&amp;地图信息'!$S$12-'疲劳值&amp;地图信息'!$S$11-'疲劳值&amp;地图信息'!$S$10)*'疲劳值&amp;地图信息'!$R$13)/BO244)</f>
        <v>44.158136341605953</v>
      </c>
      <c r="BQ244" s="14">
        <f t="shared" si="419"/>
        <v>20</v>
      </c>
      <c r="BR244" s="14">
        <f>('疲劳值&amp;地图信息'!$S$10*'疲劳值&amp;地图信息'!$R$10+($BQ244-'疲劳值&amp;地图信息'!$S$10)*'疲劳值&amp;地图信息'!$R$11)/$BQ244</f>
        <v>32.067203015074995</v>
      </c>
      <c r="CF244" s="14">
        <v>239</v>
      </c>
      <c r="CG244" s="51">
        <f t="shared" si="326"/>
        <v>14479</v>
      </c>
      <c r="CH244" s="51">
        <f t="shared" si="327"/>
        <v>1097</v>
      </c>
      <c r="CI244" s="51">
        <f>INT(SUMPRODUCT($N244:$R244,$BA244:$BE244)/SUM($BA244:$BE244)/10000*$BX$7*$BZ$34/'疲劳值&amp;地图信息'!$R$10*$BY$53)</f>
        <v>3293</v>
      </c>
      <c r="CJ244" s="50">
        <f t="shared" si="328"/>
        <v>0.76734326143409826</v>
      </c>
      <c r="CK244" s="50">
        <f t="shared" si="329"/>
        <v>5.8137686151889342E-2</v>
      </c>
      <c r="CL244" s="50">
        <f t="shared" si="330"/>
        <v>0.17451905241401239</v>
      </c>
      <c r="CM244" s="14">
        <f t="shared" si="331"/>
        <v>15605</v>
      </c>
      <c r="CN244" s="14">
        <f t="shared" si="332"/>
        <v>1818</v>
      </c>
      <c r="CO244" s="14">
        <f>INT(SUMPRODUCT($U244:$Y244,$BA244:$BE244)/SUM($BA244:$BE244)/10000*$BX$7*$BZ$34/'疲劳值&amp;地图信息'!$R$10*$BY$54)</f>
        <v>6213</v>
      </c>
      <c r="CP244" s="50">
        <f t="shared" si="333"/>
        <v>0.66022169571839562</v>
      </c>
      <c r="CQ244" s="50">
        <f t="shared" si="334"/>
        <v>7.6916567947199185E-2</v>
      </c>
      <c r="CR244" s="50">
        <f t="shared" si="335"/>
        <v>0.26286173633440513</v>
      </c>
      <c r="CS244" s="14">
        <f t="shared" si="336"/>
        <v>17081</v>
      </c>
      <c r="CT244" s="14">
        <f t="shared" si="337"/>
        <v>3099</v>
      </c>
      <c r="CU244" s="14">
        <f>INT(SUMPRODUCT($AB244:$AF244,$BA244:$BE244)/SUM($BA244:$BE244)/10000*$BX$7*$BZ$34/'疲劳值&amp;地图信息'!$R$10*$BY$55)</f>
        <v>8436</v>
      </c>
      <c r="CV244" s="50">
        <f t="shared" si="338"/>
        <v>0.59690383002516079</v>
      </c>
      <c r="CW244" s="50">
        <f t="shared" si="339"/>
        <v>0.10829605814928711</v>
      </c>
      <c r="CX244" s="50">
        <f t="shared" si="340"/>
        <v>0.29480011182555216</v>
      </c>
      <c r="CY244" s="14">
        <f t="shared" si="341"/>
        <v>20559</v>
      </c>
      <c r="CZ244" s="14">
        <f t="shared" si="342"/>
        <v>9167</v>
      </c>
      <c r="DA244" s="14">
        <f>INT(SUMPRODUCT($AI244:$AM244,$BA244:$BE244)/SUM($BA244:$BE244)/10000*$BX$7*$BZ$34/'疲劳值&amp;地图信息'!$R$10*$BY$56)</f>
        <v>12727</v>
      </c>
      <c r="DB244" s="50">
        <f t="shared" si="343"/>
        <v>0.48427672955974843</v>
      </c>
      <c r="DC244" s="50">
        <f t="shared" si="344"/>
        <v>0.21593291404612158</v>
      </c>
      <c r="DD244" s="50">
        <f t="shared" si="345"/>
        <v>0.29979035639412999</v>
      </c>
      <c r="DE244" s="14">
        <f t="shared" si="346"/>
        <v>21528</v>
      </c>
      <c r="DF244" s="14">
        <f t="shared" si="347"/>
        <v>15496</v>
      </c>
      <c r="DG244" s="14">
        <f>INT(SUMPRODUCT($AP244:$AT244,$BA244:$BE244)/SUM($BA244:$BE244)/10000*$BX$7*$BZ$34/'疲劳值&amp;地图信息'!$R$10*$BY$57)</f>
        <v>16991</v>
      </c>
      <c r="DH244" s="50">
        <f t="shared" si="348"/>
        <v>0.39855595667870036</v>
      </c>
      <c r="DI244" s="50">
        <f t="shared" si="349"/>
        <v>0.28688327316486162</v>
      </c>
      <c r="DJ244" s="50">
        <f t="shared" si="350"/>
        <v>0.31456077015643802</v>
      </c>
      <c r="DL244" s="14">
        <f t="shared" si="421"/>
        <v>18869</v>
      </c>
      <c r="DM244" s="14">
        <f t="shared" si="422"/>
        <v>23636</v>
      </c>
      <c r="DN244" s="14">
        <f t="shared" si="423"/>
        <v>28616</v>
      </c>
      <c r="DO244" s="14">
        <f t="shared" si="424"/>
        <v>42453</v>
      </c>
      <c r="DP244" s="14">
        <f t="shared" si="425"/>
        <v>54015</v>
      </c>
      <c r="DQ244" s="14">
        <f t="shared" si="426"/>
        <v>1303888</v>
      </c>
      <c r="DT244" s="14">
        <f t="shared" si="420"/>
        <v>235575</v>
      </c>
      <c r="DU244" s="50">
        <f t="shared" si="322"/>
        <v>0.15302413893675912</v>
      </c>
      <c r="DW244" s="14">
        <f t="shared" si="351"/>
        <v>1539463</v>
      </c>
      <c r="EB244" s="14">
        <v>239</v>
      </c>
      <c r="EC244" s="51">
        <f t="shared" si="352"/>
        <v>24132</v>
      </c>
      <c r="ED244" s="51">
        <f t="shared" si="353"/>
        <v>1828</v>
      </c>
      <c r="EE244" s="51">
        <f>INT(SUMPRODUCT($N244:$R244,$BF244:$BJ244)/SUM($BF244:$BJ244)/10000*$BX$7*$BZ$46/'疲劳值&amp;地图信息'!$R$10*$BY$53)</f>
        <v>442</v>
      </c>
      <c r="EF244" s="50">
        <f t="shared" si="354"/>
        <v>0.91402166502537685</v>
      </c>
      <c r="EG244" s="50">
        <f t="shared" si="355"/>
        <v>6.9237179001590793E-2</v>
      </c>
      <c r="EH244" s="50">
        <f t="shared" si="356"/>
        <v>1.6741155973032346E-2</v>
      </c>
      <c r="EI244" s="51">
        <f t="shared" si="357"/>
        <v>26009</v>
      </c>
      <c r="EJ244" s="51">
        <f t="shared" si="358"/>
        <v>3031</v>
      </c>
      <c r="EK244" s="14">
        <f>INT(SUMPRODUCT($U244:$Y244,$BF244:$BJ244)/SUM($BF244:$BJ244)/10000*$BX$7*$BZ$46/'疲劳值&amp;地图信息'!$R$10*$BY$54)</f>
        <v>834</v>
      </c>
      <c r="EL244" s="50">
        <f t="shared" si="359"/>
        <v>0.87062328446140458</v>
      </c>
      <c r="EM244" s="50">
        <f t="shared" si="360"/>
        <v>0.10145946307826204</v>
      </c>
      <c r="EN244" s="50">
        <f t="shared" si="361"/>
        <v>2.79172524603334E-2</v>
      </c>
      <c r="EO244" s="51">
        <f t="shared" si="362"/>
        <v>28468</v>
      </c>
      <c r="EP244" s="51">
        <f t="shared" si="363"/>
        <v>5165</v>
      </c>
      <c r="EQ244" s="14">
        <f>INT(SUMPRODUCT($AB244:$AF244,$BF244:$BJ244)/SUM($BF244:$BJ244)/10000*$BX$7*$BZ$46/'疲劳值&amp;地图信息'!$R$10*$BY$55)</f>
        <v>1131</v>
      </c>
      <c r="ER244" s="50">
        <f t="shared" si="364"/>
        <v>0.81889310781267977</v>
      </c>
      <c r="ES244" s="50">
        <f t="shared" si="365"/>
        <v>0.14857323668162467</v>
      </c>
      <c r="ET244" s="50">
        <f t="shared" si="366"/>
        <v>3.253365550569555E-2</v>
      </c>
      <c r="EU244" s="51">
        <f t="shared" si="367"/>
        <v>34266</v>
      </c>
      <c r="EV244" s="51">
        <f t="shared" si="368"/>
        <v>15279</v>
      </c>
      <c r="EW244" s="14">
        <f>INT(SUMPRODUCT($AI244:$AM244,$BF244:$BJ244)/SUM($BF244:$BJ244)/10000*$BX$7*$BZ$46/'疲劳值&amp;地图信息'!$R$10*$BY$56)</f>
        <v>1697</v>
      </c>
      <c r="EX244" s="50">
        <f t="shared" si="369"/>
        <v>0.66870926193357016</v>
      </c>
      <c r="EY244" s="50">
        <f t="shared" si="370"/>
        <v>0.29817337340462902</v>
      </c>
      <c r="EZ244" s="50">
        <f t="shared" si="371"/>
        <v>3.3117364661800867E-2</v>
      </c>
      <c r="FA244" s="51">
        <f t="shared" si="372"/>
        <v>35881</v>
      </c>
      <c r="FB244" s="51">
        <f t="shared" si="373"/>
        <v>25827</v>
      </c>
      <c r="FC244" s="14">
        <f>INT(SUMPRODUCT($AP244:$AT244,$BF244:$BJ244)/SUM($BF244:$BJ244)/10000*$BX$7*$BZ$46/'疲劳值&amp;地图信息'!$R$10*$BY$57)</f>
        <v>2263</v>
      </c>
      <c r="FD244" s="50">
        <f t="shared" si="374"/>
        <v>0.56089478044739027</v>
      </c>
      <c r="FE244" s="50">
        <f t="shared" si="375"/>
        <v>0.4037298150724547</v>
      </c>
      <c r="FF244" s="50">
        <f t="shared" si="376"/>
        <v>3.5375404480155068E-2</v>
      </c>
      <c r="FH244" s="14">
        <f t="shared" si="377"/>
        <v>26402</v>
      </c>
      <c r="FI244" s="14">
        <f t="shared" si="378"/>
        <v>29874</v>
      </c>
      <c r="FJ244" s="14">
        <f t="shared" si="379"/>
        <v>34764</v>
      </c>
      <c r="FK244" s="14">
        <f t="shared" si="380"/>
        <v>51242</v>
      </c>
      <c r="FL244" s="14">
        <f t="shared" si="381"/>
        <v>63971</v>
      </c>
      <c r="FM244" s="14">
        <f t="shared" si="382"/>
        <v>3099989</v>
      </c>
      <c r="FP244" s="14">
        <f t="shared" si="383"/>
        <v>334150</v>
      </c>
      <c r="FQ244" s="50">
        <f t="shared" si="323"/>
        <v>9.7302409716088958E-2</v>
      </c>
      <c r="FS244" s="14">
        <f t="shared" si="384"/>
        <v>3434139</v>
      </c>
      <c r="FX244" s="14">
        <v>239</v>
      </c>
      <c r="FY244" s="51">
        <f t="shared" si="385"/>
        <v>33786</v>
      </c>
      <c r="FZ244" s="51">
        <f t="shared" si="386"/>
        <v>1828</v>
      </c>
      <c r="GA244" s="51">
        <f>INT(SUMPRODUCT($N244:$R244,$BF244:$BJ244)/SUM($BF244:$BJ244)/10000*$BX$7*$BZ$46/'疲劳值&amp;地图信息'!$R$10*$BY$53)</f>
        <v>442</v>
      </c>
      <c r="GB244" s="50">
        <f t="shared" si="387"/>
        <v>0.93704237852229866</v>
      </c>
      <c r="GC244" s="50">
        <f t="shared" si="388"/>
        <v>5.0698912802307525E-2</v>
      </c>
      <c r="GD244" s="50">
        <f t="shared" si="389"/>
        <v>1.2258708675393831E-2</v>
      </c>
      <c r="GE244" s="51">
        <f t="shared" si="390"/>
        <v>36413</v>
      </c>
      <c r="GF244" s="51">
        <f t="shared" si="391"/>
        <v>3031</v>
      </c>
      <c r="GG244" s="14">
        <f>INT(SUMPRODUCT($U244:$Y244,$BF244:$BJ244)/SUM($BF244:$BJ244)/10000*$BX$7*$BZ$46/'疲劳值&amp;地图信息'!$R$10*$BY$54)</f>
        <v>834</v>
      </c>
      <c r="GH244" s="50">
        <f t="shared" si="392"/>
        <v>0.90404190873429668</v>
      </c>
      <c r="GI244" s="50">
        <f t="shared" si="393"/>
        <v>7.5251998609662848E-2</v>
      </c>
      <c r="GJ244" s="50">
        <f t="shared" si="394"/>
        <v>2.0706092656040519E-2</v>
      </c>
      <c r="GK244" s="51">
        <f t="shared" si="395"/>
        <v>39856</v>
      </c>
      <c r="GL244" s="51">
        <f t="shared" si="396"/>
        <v>5165</v>
      </c>
      <c r="GM244" s="14">
        <f>INT(SUMPRODUCT($AB244:$AF244,$BF244:$BJ244)/SUM($BF244:$BJ244)/10000*$BX$7*$BZ$46/'疲劳值&amp;地图信息'!$R$10*$BY$55)</f>
        <v>1131</v>
      </c>
      <c r="GN244" s="50">
        <f t="shared" si="397"/>
        <v>0.86358120991506326</v>
      </c>
      <c r="GO244" s="50">
        <f t="shared" si="398"/>
        <v>0.11191280984572716</v>
      </c>
      <c r="GP244" s="50">
        <f t="shared" si="399"/>
        <v>2.4505980239209569E-2</v>
      </c>
      <c r="GQ244" s="51">
        <f t="shared" si="400"/>
        <v>47972</v>
      </c>
      <c r="GR244" s="51">
        <f t="shared" si="401"/>
        <v>15279</v>
      </c>
      <c r="GS244" s="14">
        <f>INT(SUMPRODUCT($AI244:$AM244,$BF244:$BJ244)/SUM($BF244:$BJ244)/10000*$BX$7*$BZ$46/'疲劳值&amp;地图信息'!$R$10*$BY$56)</f>
        <v>1697</v>
      </c>
      <c r="GT244" s="50">
        <f t="shared" si="402"/>
        <v>0.7386216665640204</v>
      </c>
      <c r="GU244" s="50">
        <f t="shared" si="403"/>
        <v>0.23524973825214018</v>
      </c>
      <c r="GV244" s="50">
        <f t="shared" si="404"/>
        <v>2.6128595183839379E-2</v>
      </c>
      <c r="GW244" s="51">
        <f t="shared" si="405"/>
        <v>50234</v>
      </c>
      <c r="GX244" s="51">
        <f t="shared" si="406"/>
        <v>25827</v>
      </c>
      <c r="GY244" s="14">
        <f>INT(SUMPRODUCT($AP244:$AT244,$BF244:$BJ244)/SUM($BF244:$BJ244)/10000*$BX$7*$BZ$46/'疲劳值&amp;地图信息'!$R$10*$BY$57)</f>
        <v>2263</v>
      </c>
      <c r="GZ244" s="50">
        <f t="shared" si="407"/>
        <v>0.64136152392625501</v>
      </c>
      <c r="HA244" s="50">
        <f t="shared" si="408"/>
        <v>0.32974567182472803</v>
      </c>
      <c r="HB244" s="50">
        <f t="shared" si="409"/>
        <v>2.8892804249016905E-2</v>
      </c>
      <c r="HD244" s="14">
        <f t="shared" si="410"/>
        <v>36056</v>
      </c>
      <c r="HE244" s="14">
        <f t="shared" si="411"/>
        <v>40278</v>
      </c>
      <c r="HF244" s="14">
        <f t="shared" si="412"/>
        <v>46152</v>
      </c>
      <c r="HG244" s="14">
        <f t="shared" si="413"/>
        <v>64948</v>
      </c>
      <c r="HH244" s="14">
        <f t="shared" si="414"/>
        <v>78324</v>
      </c>
      <c r="HI244" s="14">
        <f t="shared" si="415"/>
        <v>4175101</v>
      </c>
      <c r="HL244" s="14">
        <f t="shared" si="416"/>
        <v>430050</v>
      </c>
      <c r="HM244" s="50">
        <f t="shared" si="324"/>
        <v>9.3384560028541952E-2</v>
      </c>
      <c r="HO244" s="14">
        <f t="shared" si="417"/>
        <v>4605151</v>
      </c>
    </row>
    <row r="245" spans="11:223" x14ac:dyDescent="0.2">
      <c r="K245" s="14">
        <v>240</v>
      </c>
      <c r="L245" s="12">
        <f>求节点(节奏总纲!D$4:D$163,标准城池设计!AB$4:AB$163,$K245)*求节点(节奏总纲!D$4:D$163,攻城基础信息!$AC$5:$AC$164,$K245)</f>
        <v>711808.01318224741</v>
      </c>
      <c r="M245" s="12">
        <f>INDEX(其他调用!$AA$5:$AA$404,MATCH(K245,其他调用!$X$5:$X$404,0))*MIN(INDEX(其他调用!$AH$5:$AH$364,MATCH('征服点（新）'!K245,其他调用!$AG$5:$AG$364,0),1)/INDEX(其他调用!$AJ$5:$AJ$364,MATCH(K245,其他调用!$AG$5:$AG$364,0),0),5)*求节点(节奏总纲!D$4:D$163,攻城基础信息!$AC$5:$AC$164,$K245)</f>
        <v>53856.973982421616</v>
      </c>
      <c r="N245" s="12">
        <f>MIN(INDEX(其他调用!$AH$5:$AH$364,MATCH($K245,其他调用!$AG$5:$AG$364,0),1)/INDEX(其他调用!AH$5:AH$364,MATCH($K245,其他调用!$AG$5:$AG$364,0),0),1)*INDEX(其他调用!Y$5:Y$404,MATCH($K245,其他调用!$X$5:$X$404,0),0)</f>
        <v>41188.45766129742</v>
      </c>
      <c r="O245" s="12">
        <f>MIN(INDEX(其他调用!$AH$5:$AH$364,MATCH($K245,其他调用!$AG$5:$AG$364,0),1)/INDEX(其他调用!AI$5:AI$364,MATCH($K245,其他调用!$AG$5:$AG$364,0),0),1)*INDEX(其他调用!Z$5:Z$404,MATCH($K245,其他调用!$X$5:$X$404,0),0)</f>
        <v>25518.862121853141</v>
      </c>
      <c r="P245" s="12">
        <f>MIN(INDEX(其他调用!$AH$5:$AH$364,MATCH($K245,其他调用!$AG$5:$AG$364,0),1)/INDEX(其他调用!AJ$5:AJ$364,MATCH($K245,其他调用!$AG$5:$AG$364,0),0),1)*INDEX(其他调用!AA$5:AA$404,MATCH($K245,其他调用!$X$5:$X$404,0),0)</f>
        <v>15517.01001145271</v>
      </c>
      <c r="Q245" s="12">
        <f>MIN(INDEX(其他调用!$AH$5:$AH$364,MATCH($K245,其他调用!$AG$5:$AG$364,0),1)/INDEX(其他调用!AK$5:AK$364,MATCH($K245,其他调用!$AG$5:$AG$364,0),0),1)*INDEX(其他调用!AB$5:AB$404,MATCH($K245,其他调用!$X$5:$X$404,0),0)</f>
        <v>5511.6477890740225</v>
      </c>
      <c r="R245" s="12">
        <f>MIN(INDEX(其他调用!$AH$5:$AH$364,MATCH($K245,其他调用!$AG$5:$AG$364,0),1)/INDEX(其他调用!AL$5:AL$364,MATCH($K245,其他调用!$AG$5:$AG$364,0),0),1)*INDEX(其他调用!AC$5:AC$404,MATCH($K245,其他调用!$X$5:$X$404,0),0)</f>
        <v>2890.0417236245607</v>
      </c>
      <c r="S245" s="12">
        <f>求节点(节奏总纲!D$4:D$163,标准城池设计!AC$4:AC$163,$K245)*求节点(节奏总纲!D$4:D$163,攻城基础信息!$AD$5:$AD$164,$K245)</f>
        <v>767516.83192106953</v>
      </c>
      <c r="T245" s="12">
        <f>INDEX(其他调用!$AA$5:$AA$404,MATCH($K245,其他调用!$X$5:$X$404,0))*MIN(INDEX(其他调用!AI$5:AI$364,MATCH($K245,其他调用!$AG$5:$AG$364,0),1)/INDEX(其他调用!$AJ$5:$AJ$364,MATCH($K245,其他调用!$AG$5:$AG$364,0),0),5)*求节点(节奏总纲!D$4:D$163,攻城基础信息!$AD$5:$AD$164,$K245)</f>
        <v>89357.096693814703</v>
      </c>
      <c r="U245" s="12">
        <f>MIN(INDEX(其他调用!$AI$5:$AI$364,MATCH($K245,其他调用!$AG$5:$AG$364,0),1)/INDEX(其他调用!AH$5:AH$364,MATCH($K245,其他调用!$AG$5:$AG$364,0),0),1)*INDEX(其他调用!Y$5:Y$404,MATCH($K245,其他调用!$X$5:$X$404,0),0)</f>
        <v>41188.45766129742</v>
      </c>
      <c r="V245" s="12">
        <f>MIN(INDEX(其他调用!$AI$5:$AI$364,MATCH($K245,其他调用!$AG$5:$AG$364,0),1)/INDEX(其他调用!AI$5:AI$364,MATCH($K245,其他调用!$AG$5:$AG$364,0),0),1)*INDEX(其他调用!Z$5:Z$404,MATCH($K245,其他调用!$X$5:$X$404,0),0)</f>
        <v>42339.761437076304</v>
      </c>
      <c r="W245" s="12">
        <f>MIN(INDEX(其他调用!$AI$5:$AI$364,MATCH($K245,其他调用!$AG$5:$AG$364,0),1)/INDEX(其他调用!AJ$5:AJ$364,MATCH($K245,其他调用!$AG$5:$AG$364,0),0),1)*INDEX(其他调用!AA$5:AA$404,MATCH($K245,其他调用!$X$5:$X$404,0),0)</f>
        <v>25745.133108384969</v>
      </c>
      <c r="X245" s="12">
        <f>MIN(INDEX(其他调用!$AI$5:$AI$364,MATCH($K245,其他调用!$AG$5:$AG$364,0),1)/INDEX(其他调用!AK$5:AK$364,MATCH($K245,其他调用!$AG$5:$AG$364,0),0),1)*INDEX(其他调用!AB$5:AB$404,MATCH($K245,其他调用!$X$5:$X$404,0),0)</f>
        <v>9144.6809579625879</v>
      </c>
      <c r="Y245" s="12">
        <f>MIN(INDEX(其他调用!$AI$5:$AI$364,MATCH($K245,其他调用!$AG$5:$AG$364,0),1)/INDEX(其他调用!AL$5:AL$364,MATCH($K245,其他调用!$AG$5:$AG$364,0),0),1)*INDEX(其他调用!AC$5:AC$404,MATCH($K245,其他调用!$X$5:$X$404,0),0)</f>
        <v>4795.0287335372313</v>
      </c>
      <c r="Z245" s="12">
        <f>求节点(节奏总纲!D$4:D$163,标准城池设计!AD$4:AD$163,$K245)*求节点(节奏总纲!D$4:D$163,攻城基础信息!$AE$5:$AE$164,$K245)</f>
        <v>840230.78433257516</v>
      </c>
      <c r="AA245" s="12">
        <f>INDEX(其他调用!$AA$5:$AA$404,MATCH($K245,其他调用!$X$5:$X$404,0))*MIN(INDEX(其他调用!AJ$5:AJ$364,MATCH($K245,其他调用!$AG$5:$AG$364,0),1)/INDEX(其他调用!$AJ$5:$AJ$364,MATCH($K245,其他调用!$AG$5:$AG$364,0),0),5)*求节点(节奏总纲!D$4:D$163,攻城基础信息!$AE$5:$AE$164,$K245)</f>
        <v>152235.96425912218</v>
      </c>
      <c r="AB245" s="12">
        <f>MIN(INDEX(其他调用!$AJ$5:$AJ$364,MATCH($K245,其他调用!$AG$5:$AG$364,0),1)/INDEX(其他调用!AH$5:AH$364,MATCH($K245,其他调用!$AG$5:$AG$364,0),0),1)*INDEX(其他调用!Y$5:Y$404,MATCH($K245,其他调用!$X$5:$X$404,0),0)</f>
        <v>41188.45766129742</v>
      </c>
      <c r="AC245" s="12">
        <f>MIN(INDEX(其他调用!$AJ$5:$AJ$364,MATCH($K245,其他调用!$AG$5:$AG$364,0),1)/INDEX(其他调用!AI$5:AI$364,MATCH($K245,其他调用!$AG$5:$AG$364,0),0),1)*INDEX(其他调用!Z$5:Z$404,MATCH($K245,其他调用!$X$5:$X$404,0),0)</f>
        <v>42339.761437076304</v>
      </c>
      <c r="AD245" s="12">
        <f>MIN(INDEX(其他调用!$AJ$5:$AJ$364,MATCH($K245,其他调用!$AG$5:$AG$364,0),1)/INDEX(其他调用!AJ$5:AJ$364,MATCH($K245,其他调用!$AG$5:$AG$364,0),0),1)*INDEX(其他调用!AA$5:AA$404,MATCH($K245,其他调用!$X$5:$X$404,0),0)</f>
        <v>43861.487321641391</v>
      </c>
      <c r="AE245" s="12">
        <f>MIN(INDEX(其他调用!$AJ$5:$AJ$364,MATCH($K245,其他调用!$AG$5:$AG$364,0),1)/INDEX(其他调用!AK$5:AK$364,MATCH($K245,其他调用!$AG$5:$AG$364,0),0),1)*INDEX(其他调用!AB$5:AB$404,MATCH($K245,其他调用!$X$5:$X$404,0),0)</f>
        <v>15579.616784637903</v>
      </c>
      <c r="AF245" s="12">
        <f>MIN(INDEX(其他调用!$AJ$5:$AJ$364,MATCH($K245,其他调用!$AG$5:$AG$364,0),1)/INDEX(其他调用!AL$5:AL$364,MATCH($K245,其他调用!$AG$5:$AG$364,0),0),1)*INDEX(其他调用!AC$5:AC$404,MATCH($K245,其他调用!$X$5:$X$404,0),0)</f>
        <v>8169.1980817318436</v>
      </c>
      <c r="AG245" s="12">
        <f>求节点(节奏总纲!D$4:D$163,标准城池设计!AE$4:AE$163,$K245)*求节点(节奏总纲!D$4:D$163,攻城基础信息!$AF$5:$AF$164,$K245)</f>
        <v>1011426.8789322901</v>
      </c>
      <c r="AH245" s="12">
        <f>INDEX(其他调用!$AA$5:$AA$404,MATCH($K245,其他调用!$X$5:$X$404,0))*MIN(INDEX(其他调用!AK$5:AK$364,MATCH($K245,其他调用!$AG$5:$AG$364,0),1)/INDEX(其他调用!$AJ$5:$AJ$364,MATCH($K245,其他调用!$AG$5:$AG$364,0),0),5)*求节点(节奏总纲!D$4:D$163,攻城基础信息!$AF$5:$AF$164,$K245)</f>
        <v>450392.06041911669</v>
      </c>
      <c r="AI245" s="12">
        <f>MIN(INDEX(其他调用!$AK$5:$AK$364,MATCH($K245,其他调用!$AG$5:$AG$364,0),1)/INDEX(其他调用!AH$5:AH$364,MATCH($K245,其他调用!$AG$5:$AG$364,0),0),1)*INDEX(其他调用!Y$5:Y$404,MATCH($K245,其他调用!$X$5:$X$404,0),0)</f>
        <v>41188.45766129742</v>
      </c>
      <c r="AJ245" s="12">
        <f>MIN(INDEX(其他调用!$AK$5:$AK$364,MATCH($K245,其他调用!$AG$5:$AG$364,0),1)/INDEX(其他调用!AI$5:AI$364,MATCH($K245,其他调用!$AG$5:$AG$364,0),0),1)*INDEX(其他调用!Z$5:Z$404,MATCH($K245,其他调用!$X$5:$X$404,0),0)</f>
        <v>42339.761437076304</v>
      </c>
      <c r="AK245" s="12">
        <f>MIN(INDEX(其他调用!$AK$5:$AK$364,MATCH($K245,其他调用!$AG$5:$AG$364,0),1)/INDEX(其他调用!AJ$5:AJ$364,MATCH($K245,其他调用!$AG$5:$AG$364,0),0),1)*INDEX(其他调用!AA$5:AA$404,MATCH($K245,其他调用!$X$5:$X$404,0),0)</f>
        <v>43861.487321641391</v>
      </c>
      <c r="AL245" s="12">
        <f>MIN(INDEX(其他调用!$AK$5:$AK$364,MATCH($K245,其他调用!$AG$5:$AG$364,0),1)/INDEX(其他调用!AK$5:AK$364,MATCH($K245,其他调用!$AG$5:$AG$364,0),0),1)*INDEX(其他调用!AB$5:AB$404,MATCH($K245,其他调用!$X$5:$X$404,0),0)</f>
        <v>46092.496857245445</v>
      </c>
      <c r="AM245" s="12">
        <f>MIN(INDEX(其他调用!$AK$5:$AK$364,MATCH($K245,其他调用!$AG$5:$AG$364,0),1)/INDEX(其他调用!AL$5:AL$364,MATCH($K245,其他调用!$AG$5:$AG$364,0),0),1)*INDEX(其他调用!AC$5:AC$404,MATCH($K245,其他调用!$X$5:$X$404,0),0)</f>
        <v>24168.677709693224</v>
      </c>
      <c r="AN245" s="12">
        <f>求节点(节奏总纲!D$4:D$163,标准城池设计!AF$4:AF$163,$K245)*求节点(节奏总纲!D$4:D$163,攻城基础信息!$AG$5:$AG$164,$K245)</f>
        <v>1059095.0841117033</v>
      </c>
      <c r="AO245" s="12">
        <f>INDEX(其他调用!$AA$5:$AA$404,MATCH($K245,其他调用!$X$5:$X$404,0))*MIN(INDEX(其他调用!AL$5:AL$364,MATCH($K245,其他调用!$AG$5:$AG$364,0),1)/INDEX(其他调用!$AJ$5:$AJ$364,MATCH($K245,其他调用!$AG$5:$AG$364,0),0),5)*求节点(节奏总纲!D$4:D$163,攻城基础信息!$AG$5:$AG$164,$K245)</f>
        <v>761179.82129561086</v>
      </c>
      <c r="AP245" s="12">
        <f>MIN(INDEX(其他调用!$AL$5:$AL$364,MATCH($K245,其他调用!$AG$5:$AG$364,0),1)/INDEX(其他调用!AH$5:AH$364,MATCH($K245,其他调用!$AG$5:$AG$364,0),0),1)*INDEX(其他调用!Y$5:Y$404,MATCH($K245,其他调用!$X$5:$X$404,0),0)</f>
        <v>41188.45766129742</v>
      </c>
      <c r="AQ245" s="12">
        <f>MIN(INDEX(其他调用!$AL$5:$AL$364,MATCH($K245,其他调用!$AG$5:$AG$364,0),1)/INDEX(其他调用!AI$5:AI$364,MATCH($K245,其他调用!$AG$5:$AG$364,0),0),1)*INDEX(其他调用!Z$5:Z$404,MATCH($K245,其他调用!$X$5:$X$404,0),0)</f>
        <v>42339.761437076304</v>
      </c>
      <c r="AR245" s="12">
        <f>MIN(INDEX(其他调用!$AL$5:$AL$364,MATCH($K245,其他调用!$AG$5:$AG$364,0),1)/INDEX(其他调用!AJ$5:AJ$364,MATCH($K245,其他调用!$AG$5:$AG$364,0),0),1)*INDEX(其他调用!AA$5:AA$404,MATCH($K245,其他调用!$X$5:$X$404,0),0)</f>
        <v>43861.487321641391</v>
      </c>
      <c r="AS245" s="12">
        <f>MIN(INDEX(其他调用!$AL$5:$AL$364,MATCH($K245,其他调用!$AG$5:$AG$364,0),1)/INDEX(其他调用!AK$5:AK$364,MATCH($K245,其他调用!$AG$5:$AG$364,0),0),1)*INDEX(其他调用!AB$5:AB$404,MATCH($K245,其他调用!$X$5:$X$404,0),0)</f>
        <v>46092.496857245445</v>
      </c>
      <c r="AT245" s="12">
        <f>MIN(INDEX(其他调用!$AL$5:$AL$364,MATCH($K245,其他调用!$AG$5:$AG$364,0),1)/INDEX(其他调用!AL$5:AL$364,MATCH($K245,其他调用!$AG$5:$AG$364,0),0),1)*INDEX(其他调用!AC$5:AC$404,MATCH($K245,其他调用!$X$5:$X$404,0),0)</f>
        <v>49993.942017925408</v>
      </c>
      <c r="AV245" s="14">
        <f>IF(OR(AV$5="大R",AV$5="超R"),MAX(INDEX(其他调用!$H$5:$L$404,MATCH($K245,其他调用!$B$5:$B$404,0),MATCH(AV$5,其他调用!$H$4:$L$4,0))*120*0.85,2),INDEX(其他调用!$H$5:$L$404,MATCH($K245,其他调用!$B$5:$B$404,0),MATCH(AV$5,其他调用!$H$4:$L$4,0))*120*0.85)</f>
        <v>48.921801254999991</v>
      </c>
      <c r="AW245" s="14">
        <f>IF(OR(AW$5="大R",AW$5="超R"),MAX(INDEX(其他调用!$H$5:$L$404,MATCH($K245,其他调用!$B$5:$B$404,0),MATCH(AW$5,其他调用!$H$4:$L$4,0))*120*0.85,2),INDEX(其他调用!$H$5:$L$404,MATCH($K245,其他调用!$B$5:$B$404,0),MATCH(AW$5,其他调用!$H$4:$L$4,0))*120*0.85)</f>
        <v>48.237344010638395</v>
      </c>
      <c r="AX245" s="14">
        <f>IF(OR(AX$5="大R",AX$5="超R"),MAX(INDEX(其他调用!$H$5:$L$404,MATCH($K245,其他调用!$B$5:$B$404,0),MATCH(AX$5,其他调用!$H$4:$L$4,0))*120*0.85,2),INDEX(其他调用!$H$5:$L$404,MATCH($K245,其他调用!$B$5:$B$404,0),MATCH(AX$5,其他调用!$H$4:$L$4,0))*120*0.85)</f>
        <v>3.9376284143615998</v>
      </c>
      <c r="AY245" s="14">
        <f>IF(OR(AY$5="大R",AY$5="超R"),MAX(INDEX(其他调用!$H$5:$L$404,MATCH($K245,其他调用!$B$5:$B$404,0),MATCH(AY$5,其他调用!$H$4:$L$4,0))*120*0.85,2),INDEX(其他调用!$H$5:$L$404,MATCH($K245,其他调用!$B$5:$B$404,0),MATCH(AY$5,其他调用!$H$4:$L$4,0))*120*0.85)</f>
        <v>2</v>
      </c>
      <c r="AZ245" s="14">
        <f>IF(OR(AZ$5="大R",AZ$5="超R"),MAX(INDEX(其他调用!$H$5:$L$404,MATCH($K245,其他调用!$B$5:$B$404,0),MATCH(AZ$5,其他调用!$H$4:$L$4,0))*120*0.85,2),INDEX(其他调用!$H$5:$L$404,MATCH($K245,其他调用!$B$5:$B$404,0),MATCH(AZ$5,其他调用!$H$4:$L$4,0))*120*0.85)</f>
        <v>2</v>
      </c>
      <c r="BA245" s="14">
        <f>INDEX(其他调用!$H$5:$L$404,MATCH($K245,其他调用!$B$5:$B$404,0),MATCH(BA$5,其他调用!$H$4:$L$4,0))*INDEX(其他调用!$M$5:$M$404,MATCH($K245,其他调用!$B$5:$B$404,0))*0.6</f>
        <v>28.777530149999997</v>
      </c>
      <c r="BB245" s="14">
        <f>INDEX(其他调用!$H$5:$L$404,MATCH($K245,其他调用!$B$5:$B$404,0),MATCH(BB$5,其他调用!$H$4:$L$4,0))*INDEX(其他调用!$M$5:$M$404,MATCH($K245,其他调用!$B$5:$B$404,0))*0.6</f>
        <v>28.374908241551999</v>
      </c>
      <c r="BC245" s="14">
        <f>INDEX(其他调用!$H$5:$L$404,MATCH($K245,其他调用!$B$5:$B$404,0),MATCH(BC$5,其他调用!$H$4:$L$4,0))*INDEX(其他调用!$M$5:$M$404,MATCH($K245,其他调用!$B$5:$B$404,0))*0.6</f>
        <v>2.3162520084480001</v>
      </c>
      <c r="BD245" s="14">
        <f>INDEX(其他调用!$H$5:$L$404,MATCH($K245,其他调用!$B$5:$B$404,0),MATCH(BD$5,其他调用!$H$4:$L$4,0))*INDEX(其他调用!$M$5:$M$404,MATCH($K245,其他调用!$B$5:$B$404,0))*0.6</f>
        <v>0.4120776000000001</v>
      </c>
      <c r="BE245" s="14">
        <f>INDEX(其他调用!$H$5:$L$404,MATCH($K245,其他调用!$B$5:$B$404,0),MATCH(BE$5,其他调用!$H$4:$L$4,0))*INDEX(其他调用!$M$5:$M$404,MATCH($K245,其他调用!$B$5:$B$404,0))*0.6</f>
        <v>0.11923199999999998</v>
      </c>
      <c r="BF245" s="14">
        <f>IF(OR(BF$5="大R",BF$5="超R"),0,INDEX(其他调用!$H$5:$L$404,MATCH($K245,其他调用!$B$5:$B$404,0),MATCH(BF$5,其他调用!$H$4:$L$4,0))*50*0.4)</f>
        <v>9.5925100500000013</v>
      </c>
      <c r="BG245" s="14">
        <f>IF(OR(BG$5="大R",BG$5="超R"),0,INDEX(其他调用!$H$5:$L$404,MATCH($K245,其他调用!$B$5:$B$404,0),MATCH(BG$5,其他调用!$H$4:$L$4,0))*50*0.4)</f>
        <v>9.4583027471839998</v>
      </c>
      <c r="BH245" s="14">
        <f>IF(OR(BH$5="大R",BH$5="超R"),0,INDEX(其他调用!$H$5:$L$404,MATCH($K245,其他调用!$B$5:$B$404,0),MATCH(BH$5,其他调用!$H$4:$L$4,0))*50*0.4)</f>
        <v>0.77208400281600009</v>
      </c>
      <c r="BI245" s="14">
        <f>IF(OR(BI$5="大R",BI$5="超R"),0,INDEX(其他调用!$H$5:$L$404,MATCH($K245,其他调用!$B$5:$B$404,0),MATCH(BI$5,其他调用!$H$4:$L$4,0))*50*0.4)</f>
        <v>0</v>
      </c>
      <c r="BJ245" s="14">
        <f>IF(OR(BJ$5="大R",BJ$5="超R"),0,INDEX(其他调用!$H$5:$L$404,MATCH($K245,其他调用!$B$5:$B$404,0),MATCH(BJ$5,其他调用!$H$4:$L$4,0))*50*0.4)</f>
        <v>0</v>
      </c>
      <c r="BL245" s="14">
        <f t="shared" si="418"/>
        <v>240</v>
      </c>
      <c r="BM245" s="14">
        <f t="shared" si="325"/>
        <v>96</v>
      </c>
      <c r="BN245" s="14">
        <f>('疲劳值&amp;地图信息'!$S$10*'疲劳值&amp;地图信息'!$R$10+'疲劳值&amp;地图信息'!$S$11*'疲劳值&amp;地图信息'!$R$11+'疲劳值&amp;地图信息'!$S$12*'疲劳值&amp;地图信息'!$R$12+(BM245-'疲劳值&amp;地图信息'!$S$12-'疲劳值&amp;地图信息'!$S$11-'疲劳值&amp;地图信息'!$S$10)*'疲劳值&amp;地图信息'!$R$13)/BM245</f>
        <v>51.371477246638619</v>
      </c>
      <c r="BO245" s="14">
        <f>INDEX(其他调用!$M$5:$M$404,MATCH(BL245,其他调用!$B$5:$B$404,0))*0.6</f>
        <v>60</v>
      </c>
      <c r="BP245" s="14">
        <f>IF(BO245&gt;SUM('疲劳值&amp;地图信息'!$S$10:$S$12),('疲劳值&amp;地图信息'!$S$10*'疲劳值&amp;地图信息'!$R$10+'疲劳值&amp;地图信息'!$S$11*'疲劳值&amp;地图信息'!$R$11+'疲劳值&amp;地图信息'!$S$12*'疲劳值&amp;地图信息'!$R$12+(BO245-'疲劳值&amp;地图信息'!$S$12-'疲劳值&amp;地图信息'!$S$11-'疲劳值&amp;地图信息'!$S$10)*'疲劳值&amp;地图信息'!$R$13)/BO245,('疲劳值&amp;地图信息'!$S$10*'疲劳值&amp;地图信息'!$R$10+'疲劳值&amp;地图信息'!$S$11*'疲劳值&amp;地图信息'!$R$11+'疲劳值&amp;地图信息'!$S$12*'疲劳值&amp;地图信息'!$R$12+(BO245-'疲劳值&amp;地图信息'!$S$12-'疲劳值&amp;地图信息'!$S$11-'疲劳值&amp;地图信息'!$S$10)*'疲劳值&amp;地图信息'!$R$13)/BO245)</f>
        <v>44.158136341605953</v>
      </c>
      <c r="BQ245" s="14">
        <f t="shared" si="419"/>
        <v>20</v>
      </c>
      <c r="BR245" s="14">
        <f>('疲劳值&amp;地图信息'!$S$10*'疲劳值&amp;地图信息'!$R$10+($BQ245-'疲劳值&amp;地图信息'!$S$10)*'疲劳值&amp;地图信息'!$R$11)/$BQ245</f>
        <v>32.067203015074995</v>
      </c>
      <c r="CF245" s="14">
        <v>240</v>
      </c>
      <c r="CG245" s="51">
        <f t="shared" si="326"/>
        <v>14507</v>
      </c>
      <c r="CH245" s="51">
        <f t="shared" si="327"/>
        <v>1097</v>
      </c>
      <c r="CI245" s="51">
        <f>INT(SUMPRODUCT($N245:$R245,$BA245:$BE245)/SUM($BA245:$BE245)/10000*$BX$7*$BZ$34/'疲劳值&amp;地图信息'!$R$10*$BY$53)</f>
        <v>3294</v>
      </c>
      <c r="CJ245" s="50">
        <f t="shared" si="328"/>
        <v>0.76764737009207329</v>
      </c>
      <c r="CK245" s="50">
        <f t="shared" si="329"/>
        <v>5.8048470737644194E-2</v>
      </c>
      <c r="CL245" s="50">
        <f t="shared" si="330"/>
        <v>0.17430415917028258</v>
      </c>
      <c r="CM245" s="14">
        <f t="shared" si="331"/>
        <v>15642</v>
      </c>
      <c r="CN245" s="14">
        <f t="shared" si="332"/>
        <v>1821</v>
      </c>
      <c r="CO245" s="14">
        <f>INT(SUMPRODUCT($U245:$Y245,$BA245:$BE245)/SUM($BA245:$BE245)/10000*$BX$7*$BZ$34/'疲劳值&amp;地图信息'!$R$10*$BY$54)</f>
        <v>6216</v>
      </c>
      <c r="CP245" s="50">
        <f t="shared" si="333"/>
        <v>0.66058532877232989</v>
      </c>
      <c r="CQ245" s="50">
        <f t="shared" si="334"/>
        <v>7.6903585455466869E-2</v>
      </c>
      <c r="CR245" s="50">
        <f t="shared" si="335"/>
        <v>0.26251108577220322</v>
      </c>
      <c r="CS245" s="14">
        <f t="shared" si="336"/>
        <v>17124</v>
      </c>
      <c r="CT245" s="14">
        <f t="shared" si="337"/>
        <v>3102</v>
      </c>
      <c r="CU245" s="14">
        <f>INT(SUMPRODUCT($AB245:$AF245,$BA245:$BE245)/SUM($BA245:$BE245)/10000*$BX$7*$BZ$34/'疲劳值&amp;地图信息'!$R$10*$BY$55)</f>
        <v>8440</v>
      </c>
      <c r="CV245" s="50">
        <f t="shared" si="338"/>
        <v>0.59736272936579915</v>
      </c>
      <c r="CW245" s="50">
        <f t="shared" si="339"/>
        <v>0.10821181887950883</v>
      </c>
      <c r="CX245" s="50">
        <f t="shared" si="340"/>
        <v>0.29442545175469198</v>
      </c>
      <c r="CY245" s="14">
        <f t="shared" si="341"/>
        <v>20614</v>
      </c>
      <c r="CZ245" s="14">
        <f t="shared" si="342"/>
        <v>9179</v>
      </c>
      <c r="DA245" s="14">
        <f>INT(SUMPRODUCT($AI245:$AM245,$BA245:$BE245)/SUM($BA245:$BE245)/10000*$BX$7*$BZ$34/'疲劳值&amp;地图信息'!$R$10*$BY$56)</f>
        <v>12734</v>
      </c>
      <c r="DB245" s="50">
        <f t="shared" si="343"/>
        <v>0.48472734968373032</v>
      </c>
      <c r="DC245" s="50">
        <f t="shared" si="344"/>
        <v>0.21583934911938299</v>
      </c>
      <c r="DD245" s="50">
        <f t="shared" si="345"/>
        <v>0.29943330119688666</v>
      </c>
      <c r="DE245" s="14">
        <f t="shared" si="346"/>
        <v>21585</v>
      </c>
      <c r="DF245" s="14">
        <f t="shared" si="347"/>
        <v>15513</v>
      </c>
      <c r="DG245" s="14">
        <f>INT(SUMPRODUCT($AP245:$AT245,$BA245:$BE245)/SUM($BA245:$BE245)/10000*$BX$7*$BZ$34/'疲劳值&amp;地图信息'!$R$10*$BY$57)</f>
        <v>17000</v>
      </c>
      <c r="DH245" s="50">
        <f t="shared" si="348"/>
        <v>0.39899811453288475</v>
      </c>
      <c r="DI245" s="50">
        <f t="shared" si="349"/>
        <v>0.28675736626122961</v>
      </c>
      <c r="DJ245" s="50">
        <f t="shared" si="350"/>
        <v>0.31424451920588564</v>
      </c>
      <c r="DL245" s="14">
        <f t="shared" si="421"/>
        <v>18898</v>
      </c>
      <c r="DM245" s="14">
        <f t="shared" si="422"/>
        <v>23679</v>
      </c>
      <c r="DN245" s="14">
        <f t="shared" si="423"/>
        <v>28666</v>
      </c>
      <c r="DO245" s="14">
        <f t="shared" si="424"/>
        <v>42527</v>
      </c>
      <c r="DP245" s="14">
        <f t="shared" si="425"/>
        <v>54098</v>
      </c>
      <c r="DQ245" s="14">
        <f t="shared" si="426"/>
        <v>1306099</v>
      </c>
      <c r="DT245" s="14">
        <f t="shared" si="420"/>
        <v>235575</v>
      </c>
      <c r="DU245" s="50">
        <f t="shared" si="322"/>
        <v>0.15280467855071825</v>
      </c>
      <c r="DW245" s="14">
        <f t="shared" si="351"/>
        <v>1541674</v>
      </c>
      <c r="EB245" s="14">
        <v>240</v>
      </c>
      <c r="EC245" s="51">
        <f t="shared" si="352"/>
        <v>24179</v>
      </c>
      <c r="ED245" s="51">
        <f t="shared" si="353"/>
        <v>1829</v>
      </c>
      <c r="EE245" s="51">
        <f>INT(SUMPRODUCT($N245:$R245,$BF245:$BJ245)/SUM($BF245:$BJ245)/10000*$BX$7*$BZ$46/'疲劳值&amp;地图信息'!$R$10*$BY$53)</f>
        <v>442</v>
      </c>
      <c r="EF245" s="50">
        <f t="shared" si="354"/>
        <v>0.91413988657844991</v>
      </c>
      <c r="EG245" s="50">
        <f t="shared" si="355"/>
        <v>6.9149338374291117E-2</v>
      </c>
      <c r="EH245" s="50">
        <f t="shared" si="356"/>
        <v>1.6710775047258979E-2</v>
      </c>
      <c r="EI245" s="51">
        <f t="shared" si="357"/>
        <v>26071</v>
      </c>
      <c r="EJ245" s="51">
        <f t="shared" si="358"/>
        <v>3035</v>
      </c>
      <c r="EK245" s="14">
        <f>INT(SUMPRODUCT($U245:$Y245,$BF245:$BJ245)/SUM($BF245:$BJ245)/10000*$BX$7*$BZ$46/'疲劳值&amp;地图信息'!$R$10*$BY$54)</f>
        <v>834</v>
      </c>
      <c r="EL245" s="50">
        <f t="shared" si="359"/>
        <v>0.87077488309953244</v>
      </c>
      <c r="EM245" s="50">
        <f t="shared" si="360"/>
        <v>0.10136940547762191</v>
      </c>
      <c r="EN245" s="50">
        <f t="shared" si="361"/>
        <v>2.7855711422845691E-2</v>
      </c>
      <c r="EO245" s="51">
        <f t="shared" si="362"/>
        <v>28541</v>
      </c>
      <c r="EP245" s="51">
        <f t="shared" si="363"/>
        <v>5171</v>
      </c>
      <c r="EQ245" s="14">
        <f>INT(SUMPRODUCT($AB245:$AF245,$BF245:$BJ245)/SUM($BF245:$BJ245)/10000*$BX$7*$BZ$46/'疲劳值&amp;地图信息'!$R$10*$BY$55)</f>
        <v>1132</v>
      </c>
      <c r="ER245" s="50">
        <f t="shared" si="364"/>
        <v>0.8191080243370451</v>
      </c>
      <c r="ES245" s="50">
        <f t="shared" si="365"/>
        <v>0.14840431638158649</v>
      </c>
      <c r="ET245" s="50">
        <f t="shared" si="366"/>
        <v>3.2487659281368382E-2</v>
      </c>
      <c r="EU245" s="51">
        <f t="shared" si="367"/>
        <v>34356</v>
      </c>
      <c r="EV245" s="51">
        <f t="shared" si="368"/>
        <v>15299</v>
      </c>
      <c r="EW245" s="14">
        <f>INT(SUMPRODUCT($AI245:$AM245,$BF245:$BJ245)/SUM($BF245:$BJ245)/10000*$BX$7*$BZ$46/'疲劳值&amp;地图信息'!$R$10*$BY$56)</f>
        <v>1698</v>
      </c>
      <c r="EX245" s="50">
        <f t="shared" si="369"/>
        <v>0.66901641578875626</v>
      </c>
      <c r="EY245" s="50">
        <f t="shared" si="370"/>
        <v>0.2979183299904582</v>
      </c>
      <c r="EZ245" s="50">
        <f t="shared" si="371"/>
        <v>3.3065254220785545E-2</v>
      </c>
      <c r="FA245" s="51">
        <f t="shared" si="372"/>
        <v>35976</v>
      </c>
      <c r="FB245" s="51">
        <f t="shared" si="373"/>
        <v>25856</v>
      </c>
      <c r="FC245" s="14">
        <f>INT(SUMPRODUCT($AP245:$AT245,$BF245:$BJ245)/SUM($BF245:$BJ245)/10000*$BX$7*$BZ$46/'疲劳值&amp;地图信息'!$R$10*$BY$57)</f>
        <v>2264</v>
      </c>
      <c r="FD245" s="50">
        <f t="shared" si="374"/>
        <v>0.56128307538691957</v>
      </c>
      <c r="FE245" s="50">
        <f t="shared" si="375"/>
        <v>0.40339490763854219</v>
      </c>
      <c r="FF245" s="50">
        <f t="shared" si="376"/>
        <v>3.5322016974538191E-2</v>
      </c>
      <c r="FH245" s="14">
        <f t="shared" si="377"/>
        <v>26450</v>
      </c>
      <c r="FI245" s="14">
        <f t="shared" si="378"/>
        <v>29940</v>
      </c>
      <c r="FJ245" s="14">
        <f t="shared" si="379"/>
        <v>34844</v>
      </c>
      <c r="FK245" s="14">
        <f t="shared" si="380"/>
        <v>51353</v>
      </c>
      <c r="FL245" s="14">
        <f t="shared" si="381"/>
        <v>64096</v>
      </c>
      <c r="FM245" s="14">
        <f t="shared" si="382"/>
        <v>3106308</v>
      </c>
      <c r="FP245" s="14">
        <f t="shared" si="383"/>
        <v>334150</v>
      </c>
      <c r="FQ245" s="50">
        <f t="shared" si="323"/>
        <v>9.7123696903144874E-2</v>
      </c>
      <c r="FS245" s="14">
        <f t="shared" si="384"/>
        <v>3440458</v>
      </c>
      <c r="FX245" s="14">
        <v>240</v>
      </c>
      <c r="FY245" s="51">
        <f t="shared" si="385"/>
        <v>33850</v>
      </c>
      <c r="FZ245" s="51">
        <f t="shared" si="386"/>
        <v>1829</v>
      </c>
      <c r="GA245" s="51">
        <f>INT(SUMPRODUCT($N245:$R245,$BF245:$BJ245)/SUM($BF245:$BJ245)/10000*$BX$7*$BZ$46/'疲劳值&amp;地图信息'!$R$10*$BY$53)</f>
        <v>442</v>
      </c>
      <c r="GB245" s="50">
        <f t="shared" si="387"/>
        <v>0.93712798648985352</v>
      </c>
      <c r="GC245" s="50">
        <f t="shared" si="388"/>
        <v>5.0635364469422219E-2</v>
      </c>
      <c r="GD245" s="50">
        <f t="shared" si="389"/>
        <v>1.2236649040724232E-2</v>
      </c>
      <c r="GE245" s="51">
        <f t="shared" si="390"/>
        <v>36500</v>
      </c>
      <c r="GF245" s="51">
        <f t="shared" si="391"/>
        <v>3035</v>
      </c>
      <c r="GG245" s="14">
        <f>INT(SUMPRODUCT($U245:$Y245,$BF245:$BJ245)/SUM($BF245:$BJ245)/10000*$BX$7*$BZ$46/'疲劳值&amp;地图信息'!$R$10*$BY$54)</f>
        <v>834</v>
      </c>
      <c r="GH245" s="50">
        <f t="shared" si="392"/>
        <v>0.9041591320072333</v>
      </c>
      <c r="GI245" s="50">
        <f t="shared" si="393"/>
        <v>7.5181451113478168E-2</v>
      </c>
      <c r="GJ245" s="50">
        <f t="shared" si="394"/>
        <v>2.0659416879288562E-2</v>
      </c>
      <c r="GK245" s="51">
        <f t="shared" si="395"/>
        <v>39958</v>
      </c>
      <c r="GL245" s="51">
        <f t="shared" si="396"/>
        <v>5171</v>
      </c>
      <c r="GM245" s="14">
        <f>INT(SUMPRODUCT($AB245:$AF245,$BF245:$BJ245)/SUM($BF245:$BJ245)/10000*$BX$7*$BZ$46/'疲劳值&amp;地图信息'!$R$10*$BY$55)</f>
        <v>1132</v>
      </c>
      <c r="GN245" s="50">
        <f t="shared" si="397"/>
        <v>0.86375132400942478</v>
      </c>
      <c r="GO245" s="50">
        <f t="shared" si="398"/>
        <v>0.11177882017249952</v>
      </c>
      <c r="GP245" s="50">
        <f t="shared" si="399"/>
        <v>2.44698558180757E-2</v>
      </c>
      <c r="GQ245" s="51">
        <f t="shared" si="400"/>
        <v>48099</v>
      </c>
      <c r="GR245" s="51">
        <f t="shared" si="401"/>
        <v>15299</v>
      </c>
      <c r="GS245" s="14">
        <f>INT(SUMPRODUCT($AI245:$AM245,$BF245:$BJ245)/SUM($BF245:$BJ245)/10000*$BX$7*$BZ$46/'疲劳值&amp;地图信息'!$R$10*$BY$56)</f>
        <v>1698</v>
      </c>
      <c r="GT245" s="50">
        <f t="shared" si="402"/>
        <v>0.73889332677891117</v>
      </c>
      <c r="GU245" s="50">
        <f t="shared" si="403"/>
        <v>0.23502212117488017</v>
      </c>
      <c r="GV245" s="50">
        <f t="shared" si="404"/>
        <v>2.6084552046208676E-2</v>
      </c>
      <c r="GW245" s="51">
        <f t="shared" si="405"/>
        <v>50366</v>
      </c>
      <c r="GX245" s="51">
        <f t="shared" si="406"/>
        <v>25856</v>
      </c>
      <c r="GY245" s="14">
        <f>INT(SUMPRODUCT($AP245:$AT245,$BF245:$BJ245)/SUM($BF245:$BJ245)/10000*$BX$7*$BZ$46/'疲劳值&amp;地图信息'!$R$10*$BY$57)</f>
        <v>2264</v>
      </c>
      <c r="GZ245" s="50">
        <f t="shared" si="407"/>
        <v>0.64171954233876105</v>
      </c>
      <c r="HA245" s="50">
        <f t="shared" si="408"/>
        <v>0.32943454883673523</v>
      </c>
      <c r="HB245" s="50">
        <f t="shared" si="409"/>
        <v>2.8845908824503733E-2</v>
      </c>
      <c r="HD245" s="14">
        <f t="shared" si="410"/>
        <v>36121</v>
      </c>
      <c r="HE245" s="14">
        <f t="shared" si="411"/>
        <v>40369</v>
      </c>
      <c r="HF245" s="14">
        <f t="shared" si="412"/>
        <v>46261</v>
      </c>
      <c r="HG245" s="14">
        <f t="shared" si="413"/>
        <v>65096</v>
      </c>
      <c r="HH245" s="14">
        <f t="shared" si="414"/>
        <v>78486</v>
      </c>
      <c r="HI245" s="14">
        <f t="shared" si="415"/>
        <v>4183720</v>
      </c>
      <c r="HL245" s="14">
        <f t="shared" si="416"/>
        <v>430050</v>
      </c>
      <c r="HM245" s="50">
        <f t="shared" si="324"/>
        <v>9.3210108002782968E-2</v>
      </c>
      <c r="HO245" s="14">
        <f t="shared" si="417"/>
        <v>4613770</v>
      </c>
    </row>
    <row r="246" spans="11:223" x14ac:dyDescent="0.2">
      <c r="K246" s="14">
        <v>241</v>
      </c>
      <c r="L246" s="12">
        <f>求节点(节奏总纲!D$4:D$163,标准城池设计!AB$4:AB$163,$K246)*求节点(节奏总纲!D$4:D$163,攻城基础信息!$AC$5:$AC$164,$K246)</f>
        <v>713172.42335108959</v>
      </c>
      <c r="M246" s="12">
        <f>INDEX(其他调用!$AA$5:$AA$404,MATCH(K246,其他调用!$X$5:$X$404,0))*MIN(INDEX(其他调用!$AH$5:$AH$364,MATCH('征服点（新）'!K246,其他调用!$AG$5:$AG$364,0),1)/INDEX(其他调用!$AJ$5:$AJ$364,MATCH(K246,其他调用!$AG$5:$AG$364,0),0),5)*求节点(节奏总纲!D$4:D$163,攻城基础信息!$AC$5:$AC$164,$K246)</f>
        <v>53871.323347454105</v>
      </c>
      <c r="N246" s="12">
        <f>MIN(INDEX(其他调用!$AH$5:$AH$364,MATCH($K246,其他调用!$AG$5:$AG$364,0),1)/INDEX(其他调用!AH$5:AH$364,MATCH($K246,其他调用!$AG$5:$AG$364,0),0),1)*INDEX(其他调用!Y$5:Y$404,MATCH($K246,其他调用!$X$5:$X$404,0),0)</f>
        <v>41211.61910882892</v>
      </c>
      <c r="O246" s="12">
        <f>MIN(INDEX(其他调用!$AH$5:$AH$364,MATCH($K246,其他调用!$AG$5:$AG$364,0),1)/INDEX(其他调用!AI$5:AI$364,MATCH($K246,其他调用!$AG$5:$AG$364,0),0),1)*INDEX(其他调用!Z$5:Z$404,MATCH($K246,其他调用!$X$5:$X$404,0),0)</f>
        <v>25507.663807125708</v>
      </c>
      <c r="P246" s="12">
        <f>MIN(INDEX(其他调用!$AH$5:$AH$364,MATCH($K246,其他调用!$AG$5:$AG$364,0),1)/INDEX(其他调用!AJ$5:AJ$364,MATCH($K246,其他调用!$AG$5:$AG$364,0),0),1)*INDEX(其他调用!AA$5:AA$404,MATCH($K246,其他调用!$X$5:$X$404,0),0)</f>
        <v>15512.454186659117</v>
      </c>
      <c r="Q246" s="12">
        <f>MIN(INDEX(其他调用!$AH$5:$AH$364,MATCH($K246,其他调用!$AG$5:$AG$364,0),1)/INDEX(其他调用!AK$5:AK$364,MATCH($K246,其他调用!$AG$5:$AG$364,0),0),1)*INDEX(其他调用!AB$5:AB$404,MATCH($K246,其他调用!$X$5:$X$404,0),0)</f>
        <v>5508.4864328980411</v>
      </c>
      <c r="R246" s="12">
        <f>MIN(INDEX(其他调用!$AH$5:$AH$364,MATCH($K246,其他调用!$AG$5:$AG$364,0),1)/INDEX(其他调用!AL$5:AL$364,MATCH($K246,其他调用!$AG$5:$AG$364,0),0),1)*INDEX(其他调用!AC$5:AC$404,MATCH($K246,其他调用!$X$5:$X$404,0),0)</f>
        <v>2899.2280898384697</v>
      </c>
      <c r="S246" s="12">
        <f>求节点(节奏总纲!D$4:D$163,标准城池设计!AC$4:AC$163,$K246)*求节点(节奏总纲!D$4:D$163,攻城基础信息!$AD$5:$AD$164,$K246)</f>
        <v>769337.18551723298</v>
      </c>
      <c r="T246" s="12">
        <f>INDEX(其他调用!$AA$5:$AA$404,MATCH($K246,其他调用!$X$5:$X$404,0))*MIN(INDEX(其他调用!AI$5:AI$364,MATCH($K246,其他调用!$AG$5:$AG$364,0),1)/INDEX(其他调用!$AJ$5:$AJ$364,MATCH($K246,其他调用!$AG$5:$AG$364,0),0),5)*求节点(节奏总纲!D$4:D$163,攻城基础信息!$AD$5:$AD$164,$K246)</f>
        <v>89470.586428034047</v>
      </c>
      <c r="U246" s="12">
        <f>MIN(INDEX(其他调用!$AI$5:$AI$364,MATCH($K246,其他调用!$AG$5:$AG$364,0),1)/INDEX(其他调用!AH$5:AH$364,MATCH($K246,其他调用!$AG$5:$AG$364,0),0),1)*INDEX(其他调用!Y$5:Y$404,MATCH($K246,其他调用!$X$5:$X$404,0),0)</f>
        <v>41211.61910882892</v>
      </c>
      <c r="V246" s="12">
        <f>MIN(INDEX(其他调用!$AI$5:$AI$364,MATCH($K246,其他调用!$AG$5:$AG$364,0),1)/INDEX(其他调用!AI$5:AI$364,MATCH($K246,其他调用!$AG$5:$AG$364,0),0),1)*INDEX(其他调用!Z$5:Z$404,MATCH($K246,其他调用!$X$5:$X$404,0),0)</f>
        <v>42363.645394661165</v>
      </c>
      <c r="W246" s="12">
        <f>MIN(INDEX(其他调用!$AI$5:$AI$364,MATCH($K246,其他调用!$AG$5:$AG$364,0),1)/INDEX(其他调用!AJ$5:AJ$364,MATCH($K246,其他调用!$AG$5:$AG$364,0),0),1)*INDEX(其他调用!AA$5:AA$404,MATCH($K246,其他调用!$X$5:$X$404,0),0)</f>
        <v>25763.398535187349</v>
      </c>
      <c r="X246" s="12">
        <f>MIN(INDEX(其他调用!$AI$5:$AI$364,MATCH($K246,其他调用!$AG$5:$AG$364,0),1)/INDEX(其他调用!AK$5:AK$364,MATCH($K246,其他调用!$AG$5:$AG$364,0),0),1)*INDEX(其他调用!AB$5:AB$404,MATCH($K246,其他调用!$X$5:$X$404,0),0)</f>
        <v>9148.6059903065016</v>
      </c>
      <c r="Y246" s="12">
        <f>MIN(INDEX(其他调用!$AI$5:$AI$364,MATCH($K246,其他调用!$AG$5:$AG$364,0),1)/INDEX(其他调用!AL$5:AL$364,MATCH($K246,其他调用!$AG$5:$AG$364,0),0),1)*INDEX(其他调用!AC$5:AC$404,MATCH($K246,其他调用!$X$5:$X$404,0),0)</f>
        <v>4815.0968134465847</v>
      </c>
      <c r="Z246" s="12">
        <f>求节点(节奏总纲!D$4:D$163,标准城池设计!AD$4:AD$163,$K246)*求节点(节奏总纲!D$4:D$163,攻城基础信息!$AE$5:$AE$164,$K246)</f>
        <v>842372.56499836699</v>
      </c>
      <c r="AA246" s="12">
        <f>INDEX(其他调用!$AA$5:$AA$404,MATCH($K246,其他调用!$X$5:$X$404,0))*MIN(INDEX(其他调用!AJ$5:AJ$364,MATCH($K246,其他调用!$AG$5:$AG$364,0),1)/INDEX(其他调用!$AJ$5:$AJ$364,MATCH($K246,其他调用!$AG$5:$AG$364,0),0),5)*求节点(节奏总纲!D$4:D$163,攻城基础信息!$AE$5:$AE$164,$K246)</f>
        <v>152404.03282246049</v>
      </c>
      <c r="AB246" s="12">
        <f>MIN(INDEX(其他调用!$AJ$5:$AJ$364,MATCH($K246,其他调用!$AG$5:$AG$364,0),1)/INDEX(其他调用!AH$5:AH$364,MATCH($K246,其他调用!$AG$5:$AG$364,0),0),1)*INDEX(其他调用!Y$5:Y$404,MATCH($K246,其他调用!$X$5:$X$404,0),0)</f>
        <v>41211.61910882892</v>
      </c>
      <c r="AC246" s="12">
        <f>MIN(INDEX(其他调用!$AJ$5:$AJ$364,MATCH($K246,其他调用!$AG$5:$AG$364,0),1)/INDEX(其他调用!AI$5:AI$364,MATCH($K246,其他调用!$AG$5:$AG$364,0),0),1)*INDEX(其他调用!Z$5:Z$404,MATCH($K246,其他调用!$X$5:$X$404,0),0)</f>
        <v>42363.645394661165</v>
      </c>
      <c r="AD246" s="12">
        <f>MIN(INDEX(其他调用!$AJ$5:$AJ$364,MATCH($K246,其他调用!$AG$5:$AG$364,0),1)/INDEX(其他调用!AJ$5:AJ$364,MATCH($K246,其他调用!$AG$5:$AG$364,0),0),1)*INDEX(其他调用!AA$5:AA$404,MATCH($K246,其他调用!$X$5:$X$404,0),0)</f>
        <v>43885.325811886491</v>
      </c>
      <c r="AE246" s="12">
        <f>MIN(INDEX(其他调用!$AJ$5:$AJ$364,MATCH($K246,其他调用!$AG$5:$AG$364,0),1)/INDEX(其他调用!AK$5:AK$364,MATCH($K246,其他调用!$AG$5:$AG$364,0),0),1)*INDEX(其他调用!AB$5:AB$404,MATCH($K246,其他调用!$X$5:$X$404,0),0)</f>
        <v>15583.718664322472</v>
      </c>
      <c r="AF246" s="12">
        <f>MIN(INDEX(其他调用!$AJ$5:$AJ$364,MATCH($K246,其他调用!$AG$5:$AG$364,0),1)/INDEX(其他调用!AL$5:AL$364,MATCH($K246,其他调用!$AG$5:$AG$364,0),0),1)*INDEX(其他调用!AC$5:AC$404,MATCH($K246,其他调用!$X$5:$X$404,0),0)</f>
        <v>8202.0270805993314</v>
      </c>
      <c r="AG246" s="12">
        <f>求节点(节奏总纲!D$4:D$163,标准城池设计!AE$4:AE$163,$K246)*求节点(节奏总纲!D$4:D$163,攻城基础信息!$AF$5:$AF$164,$K246)</f>
        <v>1014098.0346630961</v>
      </c>
      <c r="AH246" s="12">
        <f>INDEX(其他调用!$AA$5:$AA$404,MATCH($K246,其他调用!$X$5:$X$404,0))*MIN(INDEX(其他调用!AK$5:AK$364,MATCH($K246,其他调用!$AG$5:$AG$364,0),1)/INDEX(其他调用!$AJ$5:$AJ$364,MATCH($K246,其他调用!$AG$5:$AG$364,0),0),5)*求节点(节奏总纲!D$4:D$163,攻城基础信息!$AF$5:$AF$164,$K246)</f>
        <v>451013.62585577194</v>
      </c>
      <c r="AI246" s="12">
        <f>MIN(INDEX(其他调用!$AK$5:$AK$364,MATCH($K246,其他调用!$AG$5:$AG$364,0),1)/INDEX(其他调用!AH$5:AH$364,MATCH($K246,其他调用!$AG$5:$AG$364,0),0),1)*INDEX(其他调用!Y$5:Y$404,MATCH($K246,其他调用!$X$5:$X$404,0),0)</f>
        <v>41211.61910882892</v>
      </c>
      <c r="AJ246" s="12">
        <f>MIN(INDEX(其他调用!$AK$5:$AK$364,MATCH($K246,其他调用!$AG$5:$AG$364,0),1)/INDEX(其他调用!AI$5:AI$364,MATCH($K246,其他调用!$AG$5:$AG$364,0),0),1)*INDEX(其他调用!Z$5:Z$404,MATCH($K246,其他调用!$X$5:$X$404,0),0)</f>
        <v>42363.645394661165</v>
      </c>
      <c r="AK246" s="12">
        <f>MIN(INDEX(其他调用!$AK$5:$AK$364,MATCH($K246,其他调用!$AG$5:$AG$364,0),1)/INDEX(其他调用!AJ$5:AJ$364,MATCH($K246,其他调用!$AG$5:$AG$364,0),0),1)*INDEX(其他调用!AA$5:AA$404,MATCH($K246,其他调用!$X$5:$X$404,0),0)</f>
        <v>43885.325811886491</v>
      </c>
      <c r="AL246" s="12">
        <f>MIN(INDEX(其他调用!$AK$5:$AK$364,MATCH($K246,其他调用!$AG$5:$AG$364,0),1)/INDEX(其他调用!AK$5:AK$364,MATCH($K246,其他调用!$AG$5:$AG$364,0),0),1)*INDEX(其他调用!AB$5:AB$404,MATCH($K246,其他调用!$X$5:$X$404,0),0)</f>
        <v>46117.345643339999</v>
      </c>
      <c r="AM246" s="12">
        <f>MIN(INDEX(其他调用!$AK$5:$AK$364,MATCH($K246,其他调用!$AG$5:$AG$364,0),1)/INDEX(其他调用!AL$5:AL$364,MATCH($K246,其他调用!$AG$5:$AG$364,0),0),1)*INDEX(其他调用!AC$5:AC$404,MATCH($K246,其他调用!$X$5:$X$404,0),0)</f>
        <v>24272.494004785705</v>
      </c>
      <c r="AN246" s="12">
        <f>求节点(节奏总纲!D$4:D$163,标准城池设计!AF$4:AF$163,$K246)*求节点(节奏总纲!D$4:D$163,攻城基础信息!$AG$5:$AG$164,$K246)</f>
        <v>1061881.6194339413</v>
      </c>
      <c r="AO246" s="12">
        <f>INDEX(其他调用!$AA$5:$AA$404,MATCH($K246,其他调用!$X$5:$X$404,0))*MIN(INDEX(其他调用!AL$5:AL$364,MATCH($K246,其他调用!$AG$5:$AG$364,0),1)/INDEX(其他调用!$AJ$5:$AJ$364,MATCH($K246,其他调用!$AG$5:$AG$364,0),0),5)*求节点(节奏总纲!D$4:D$163,攻城基础信息!$AG$5:$AG$164,$K246)</f>
        <v>762020.16411230247</v>
      </c>
      <c r="AP246" s="12">
        <f>MIN(INDEX(其他调用!$AL$5:$AL$364,MATCH($K246,其他调用!$AG$5:$AG$364,0),1)/INDEX(其他调用!AH$5:AH$364,MATCH($K246,其他调用!$AG$5:$AG$364,0),0),1)*INDEX(其他调用!Y$5:Y$404,MATCH($K246,其他调用!$X$5:$X$404,0),0)</f>
        <v>41211.61910882892</v>
      </c>
      <c r="AQ246" s="12">
        <f>MIN(INDEX(其他调用!$AL$5:$AL$364,MATCH($K246,其他调用!$AG$5:$AG$364,0),1)/INDEX(其他调用!AI$5:AI$364,MATCH($K246,其他调用!$AG$5:$AG$364,0),0),1)*INDEX(其他调用!Z$5:Z$404,MATCH($K246,其他调用!$X$5:$X$404,0),0)</f>
        <v>42363.645394661165</v>
      </c>
      <c r="AR246" s="12">
        <f>MIN(INDEX(其他调用!$AL$5:$AL$364,MATCH($K246,其他调用!$AG$5:$AG$364,0),1)/INDEX(其他调用!AJ$5:AJ$364,MATCH($K246,其他调用!$AG$5:$AG$364,0),0),1)*INDEX(其他调用!AA$5:AA$404,MATCH($K246,其他调用!$X$5:$X$404,0),0)</f>
        <v>43885.325811886491</v>
      </c>
      <c r="AS246" s="12">
        <f>MIN(INDEX(其他调用!$AL$5:$AL$364,MATCH($K246,其他调用!$AG$5:$AG$364,0),1)/INDEX(其他调用!AK$5:AK$364,MATCH($K246,其他调用!$AG$5:$AG$364,0),0),1)*INDEX(其他调用!AB$5:AB$404,MATCH($K246,其他调用!$X$5:$X$404,0),0)</f>
        <v>46117.345643339999</v>
      </c>
      <c r="AT246" s="12">
        <f>MIN(INDEX(其他调用!$AL$5:$AL$364,MATCH($K246,其他调用!$AG$5:$AG$364,0),1)/INDEX(其他调用!AL$5:AL$364,MATCH($K246,其他调用!$AG$5:$AG$364,0),0),1)*INDEX(其他调用!AC$5:AC$404,MATCH($K246,其他调用!$X$5:$X$404,0),0)</f>
        <v>50018.341706641106</v>
      </c>
      <c r="AV246" s="14">
        <f>IF(OR(AV$5="大R",AV$5="超R"),MAX(INDEX(其他调用!$H$5:$L$404,MATCH($K246,其他调用!$B$5:$B$404,0),MATCH(AV$5,其他调用!$H$4:$L$4,0))*120*0.85,2),INDEX(其他调用!$H$5:$L$404,MATCH($K246,其他调用!$B$5:$B$404,0),MATCH(AV$5,其他调用!$H$4:$L$4,0))*120*0.85)</f>
        <v>48.921801254999991</v>
      </c>
      <c r="AW246" s="14">
        <f>IF(OR(AW$5="大R",AW$5="超R"),MAX(INDEX(其他调用!$H$5:$L$404,MATCH($K246,其他调用!$B$5:$B$404,0),MATCH(AW$5,其他调用!$H$4:$L$4,0))*120*0.85,2),INDEX(其他调用!$H$5:$L$404,MATCH($K246,其他调用!$B$5:$B$404,0),MATCH(AW$5,其他调用!$H$4:$L$4,0))*120*0.85)</f>
        <v>48.237344010638395</v>
      </c>
      <c r="AX246" s="14">
        <f>IF(OR(AX$5="大R",AX$5="超R"),MAX(INDEX(其他调用!$H$5:$L$404,MATCH($K246,其他调用!$B$5:$B$404,0),MATCH(AX$5,其他调用!$H$4:$L$4,0))*120*0.85,2),INDEX(其他调用!$H$5:$L$404,MATCH($K246,其他调用!$B$5:$B$404,0),MATCH(AX$5,其他调用!$H$4:$L$4,0))*120*0.85)</f>
        <v>3.9376284143615998</v>
      </c>
      <c r="AY246" s="14">
        <f>IF(OR(AY$5="大R",AY$5="超R"),MAX(INDEX(其他调用!$H$5:$L$404,MATCH($K246,其他调用!$B$5:$B$404,0),MATCH(AY$5,其他调用!$H$4:$L$4,0))*120*0.85,2),INDEX(其他调用!$H$5:$L$404,MATCH($K246,其他调用!$B$5:$B$404,0),MATCH(AY$5,其他调用!$H$4:$L$4,0))*120*0.85)</f>
        <v>2</v>
      </c>
      <c r="AZ246" s="14">
        <f>IF(OR(AZ$5="大R",AZ$5="超R"),MAX(INDEX(其他调用!$H$5:$L$404,MATCH($K246,其他调用!$B$5:$B$404,0),MATCH(AZ$5,其他调用!$H$4:$L$4,0))*120*0.85,2),INDEX(其他调用!$H$5:$L$404,MATCH($K246,其他调用!$B$5:$B$404,0),MATCH(AZ$5,其他调用!$H$4:$L$4,0))*120*0.85)</f>
        <v>2</v>
      </c>
      <c r="BA246" s="14">
        <f>INDEX(其他调用!$H$5:$L$404,MATCH($K246,其他调用!$B$5:$B$404,0),MATCH(BA$5,其他调用!$H$4:$L$4,0))*INDEX(其他调用!$M$5:$M$404,MATCH($K246,其他调用!$B$5:$B$404,0))*0.6</f>
        <v>28.777530149999997</v>
      </c>
      <c r="BB246" s="14">
        <f>INDEX(其他调用!$H$5:$L$404,MATCH($K246,其他调用!$B$5:$B$404,0),MATCH(BB$5,其他调用!$H$4:$L$4,0))*INDEX(其他调用!$M$5:$M$404,MATCH($K246,其他调用!$B$5:$B$404,0))*0.6</f>
        <v>28.374908241551999</v>
      </c>
      <c r="BC246" s="14">
        <f>INDEX(其他调用!$H$5:$L$404,MATCH($K246,其他调用!$B$5:$B$404,0),MATCH(BC$5,其他调用!$H$4:$L$4,0))*INDEX(其他调用!$M$5:$M$404,MATCH($K246,其他调用!$B$5:$B$404,0))*0.6</f>
        <v>2.3162520084480001</v>
      </c>
      <c r="BD246" s="14">
        <f>INDEX(其他调用!$H$5:$L$404,MATCH($K246,其他调用!$B$5:$B$404,0),MATCH(BD$5,其他调用!$H$4:$L$4,0))*INDEX(其他调用!$M$5:$M$404,MATCH($K246,其他调用!$B$5:$B$404,0))*0.6</f>
        <v>0.4120776000000001</v>
      </c>
      <c r="BE246" s="14">
        <f>INDEX(其他调用!$H$5:$L$404,MATCH($K246,其他调用!$B$5:$B$404,0),MATCH(BE$5,其他调用!$H$4:$L$4,0))*INDEX(其他调用!$M$5:$M$404,MATCH($K246,其他调用!$B$5:$B$404,0))*0.6</f>
        <v>0.11923199999999998</v>
      </c>
      <c r="BF246" s="14">
        <f>IF(OR(BF$5="大R",BF$5="超R"),0,INDEX(其他调用!$H$5:$L$404,MATCH($K246,其他调用!$B$5:$B$404,0),MATCH(BF$5,其他调用!$H$4:$L$4,0))*50*0.4)</f>
        <v>9.5925100500000013</v>
      </c>
      <c r="BG246" s="14">
        <f>IF(OR(BG$5="大R",BG$5="超R"),0,INDEX(其他调用!$H$5:$L$404,MATCH($K246,其他调用!$B$5:$B$404,0),MATCH(BG$5,其他调用!$H$4:$L$4,0))*50*0.4)</f>
        <v>9.4583027471839998</v>
      </c>
      <c r="BH246" s="14">
        <f>IF(OR(BH$5="大R",BH$5="超R"),0,INDEX(其他调用!$H$5:$L$404,MATCH($K246,其他调用!$B$5:$B$404,0),MATCH(BH$5,其他调用!$H$4:$L$4,0))*50*0.4)</f>
        <v>0.77208400281600009</v>
      </c>
      <c r="BI246" s="14">
        <f>IF(OR(BI$5="大R",BI$5="超R"),0,INDEX(其他调用!$H$5:$L$404,MATCH($K246,其他调用!$B$5:$B$404,0),MATCH(BI$5,其他调用!$H$4:$L$4,0))*50*0.4)</f>
        <v>0</v>
      </c>
      <c r="BJ246" s="14">
        <f>IF(OR(BJ$5="大R",BJ$5="超R"),0,INDEX(其他调用!$H$5:$L$404,MATCH($K246,其他调用!$B$5:$B$404,0),MATCH(BJ$5,其他调用!$H$4:$L$4,0))*50*0.4)</f>
        <v>0</v>
      </c>
      <c r="BL246" s="14">
        <f t="shared" si="418"/>
        <v>241</v>
      </c>
      <c r="BM246" s="14">
        <f t="shared" si="325"/>
        <v>96</v>
      </c>
      <c r="BN246" s="14">
        <f>('疲劳值&amp;地图信息'!$S$10*'疲劳值&amp;地图信息'!$R$10+'疲劳值&amp;地图信息'!$S$11*'疲劳值&amp;地图信息'!$R$11+'疲劳值&amp;地图信息'!$S$12*'疲劳值&amp;地图信息'!$R$12+(BM246-'疲劳值&amp;地图信息'!$S$12-'疲劳值&amp;地图信息'!$S$11-'疲劳值&amp;地图信息'!$S$10)*'疲劳值&amp;地图信息'!$R$13)/BM246</f>
        <v>51.371477246638619</v>
      </c>
      <c r="BO246" s="14">
        <f>INDEX(其他调用!$M$5:$M$404,MATCH(BL246,其他调用!$B$5:$B$404,0))*0.6</f>
        <v>60</v>
      </c>
      <c r="BP246" s="14">
        <f>IF(BO246&gt;SUM('疲劳值&amp;地图信息'!$S$10:$S$12),('疲劳值&amp;地图信息'!$S$10*'疲劳值&amp;地图信息'!$R$10+'疲劳值&amp;地图信息'!$S$11*'疲劳值&amp;地图信息'!$R$11+'疲劳值&amp;地图信息'!$S$12*'疲劳值&amp;地图信息'!$R$12+(BO246-'疲劳值&amp;地图信息'!$S$12-'疲劳值&amp;地图信息'!$S$11-'疲劳值&amp;地图信息'!$S$10)*'疲劳值&amp;地图信息'!$R$13)/BO246,('疲劳值&amp;地图信息'!$S$10*'疲劳值&amp;地图信息'!$R$10+'疲劳值&amp;地图信息'!$S$11*'疲劳值&amp;地图信息'!$R$11+'疲劳值&amp;地图信息'!$S$12*'疲劳值&amp;地图信息'!$R$12+(BO246-'疲劳值&amp;地图信息'!$S$12-'疲劳值&amp;地图信息'!$S$11-'疲劳值&amp;地图信息'!$S$10)*'疲劳值&amp;地图信息'!$R$13)/BO246)</f>
        <v>44.158136341605953</v>
      </c>
      <c r="BQ246" s="14">
        <f t="shared" si="419"/>
        <v>20</v>
      </c>
      <c r="BR246" s="14">
        <f>('疲劳值&amp;地图信息'!$S$10*'疲劳值&amp;地图信息'!$R$10+($BQ246-'疲劳值&amp;地图信息'!$S$10)*'疲劳值&amp;地图信息'!$R$11)/$BQ246</f>
        <v>32.067203015074995</v>
      </c>
      <c r="CF246" s="14">
        <v>241</v>
      </c>
      <c r="CG246" s="51">
        <f t="shared" si="326"/>
        <v>14535</v>
      </c>
      <c r="CH246" s="51">
        <f t="shared" si="327"/>
        <v>1097</v>
      </c>
      <c r="CI246" s="51">
        <f>INT(SUMPRODUCT($N246:$R246,$BA246:$BE246)/SUM($BA246:$BE246)/10000*$BX$7*$BZ$34/'疲劳值&amp;地图信息'!$R$10*$BY$53)</f>
        <v>3294</v>
      </c>
      <c r="CJ246" s="50">
        <f t="shared" si="328"/>
        <v>0.76799112332241359</v>
      </c>
      <c r="CK246" s="50">
        <f t="shared" si="329"/>
        <v>5.7962591144457364E-2</v>
      </c>
      <c r="CL246" s="50">
        <f t="shared" si="330"/>
        <v>0.17404628553312904</v>
      </c>
      <c r="CM246" s="14">
        <f t="shared" si="331"/>
        <v>15680</v>
      </c>
      <c r="CN246" s="14">
        <f t="shared" si="332"/>
        <v>1823</v>
      </c>
      <c r="CO246" s="14">
        <f>INT(SUMPRODUCT($U246:$Y246,$BA246:$BE246)/SUM($BA246:$BE246)/10000*$BX$7*$BZ$34/'疲劳值&amp;地图信息'!$R$10*$BY$54)</f>
        <v>6220</v>
      </c>
      <c r="CP246" s="50">
        <f t="shared" si="333"/>
        <v>0.66096193567424022</v>
      </c>
      <c r="CQ246" s="50">
        <f t="shared" si="334"/>
        <v>7.684525565906504E-2</v>
      </c>
      <c r="CR246" s="50">
        <f t="shared" si="335"/>
        <v>0.26219280866669475</v>
      </c>
      <c r="CS246" s="14">
        <f t="shared" si="336"/>
        <v>17168</v>
      </c>
      <c r="CT246" s="14">
        <f t="shared" si="337"/>
        <v>3106</v>
      </c>
      <c r="CU246" s="14">
        <f>INT(SUMPRODUCT($AB246:$AF246,$BA246:$BE246)/SUM($BA246:$BE246)/10000*$BX$7*$BZ$34/'疲劳值&amp;地图信息'!$R$10*$BY$55)</f>
        <v>8445</v>
      </c>
      <c r="CV246" s="50">
        <f t="shared" si="338"/>
        <v>0.59779240224241792</v>
      </c>
      <c r="CW246" s="50">
        <f t="shared" si="339"/>
        <v>0.10815139802917929</v>
      </c>
      <c r="CX246" s="50">
        <f t="shared" si="340"/>
        <v>0.2940561997284028</v>
      </c>
      <c r="CY246" s="14">
        <f t="shared" si="341"/>
        <v>20668</v>
      </c>
      <c r="CZ246" s="14">
        <f t="shared" si="342"/>
        <v>9192</v>
      </c>
      <c r="DA246" s="14">
        <f>INT(SUMPRODUCT($AI246:$AM246,$BA246:$BE246)/SUM($BA246:$BE246)/10000*$BX$7*$BZ$34/'疲劳值&amp;地图信息'!$R$10*$BY$56)</f>
        <v>12742</v>
      </c>
      <c r="DB246" s="50">
        <f t="shared" si="343"/>
        <v>0.48514154265057979</v>
      </c>
      <c r="DC246" s="50">
        <f t="shared" si="344"/>
        <v>0.21576451809774189</v>
      </c>
      <c r="DD246" s="50">
        <f t="shared" si="345"/>
        <v>0.29909393925167832</v>
      </c>
      <c r="DE246" s="14">
        <f t="shared" si="346"/>
        <v>21642</v>
      </c>
      <c r="DF246" s="14">
        <f t="shared" si="347"/>
        <v>15530</v>
      </c>
      <c r="DG246" s="14">
        <f>INT(SUMPRODUCT($AP246:$AT246,$BA246:$BE246)/SUM($BA246:$BE246)/10000*$BX$7*$BZ$34/'疲劳值&amp;地图信息'!$R$10*$BY$57)</f>
        <v>17010</v>
      </c>
      <c r="DH246" s="50">
        <f t="shared" si="348"/>
        <v>0.39943154553172638</v>
      </c>
      <c r="DI246" s="50">
        <f t="shared" si="349"/>
        <v>0.2866265549444465</v>
      </c>
      <c r="DJ246" s="50">
        <f t="shared" si="350"/>
        <v>0.31394189952382712</v>
      </c>
      <c r="DL246" s="14">
        <f t="shared" si="421"/>
        <v>18926</v>
      </c>
      <c r="DM246" s="14">
        <f t="shared" si="422"/>
        <v>23723</v>
      </c>
      <c r="DN246" s="14">
        <f t="shared" si="423"/>
        <v>28719</v>
      </c>
      <c r="DO246" s="14">
        <f t="shared" si="424"/>
        <v>42602</v>
      </c>
      <c r="DP246" s="14">
        <f t="shared" si="425"/>
        <v>54182</v>
      </c>
      <c r="DQ246" s="14">
        <f t="shared" si="426"/>
        <v>1308317</v>
      </c>
      <c r="DT246" s="14">
        <f t="shared" si="420"/>
        <v>235575</v>
      </c>
      <c r="DU246" s="50">
        <f t="shared" si="322"/>
        <v>0.15258515492016281</v>
      </c>
      <c r="DW246" s="14">
        <f t="shared" si="351"/>
        <v>1543892</v>
      </c>
      <c r="EB246" s="14">
        <v>241</v>
      </c>
      <c r="EC246" s="51">
        <f t="shared" si="352"/>
        <v>24225</v>
      </c>
      <c r="ED246" s="51">
        <f t="shared" si="353"/>
        <v>1829</v>
      </c>
      <c r="EE246" s="51">
        <f>INT(SUMPRODUCT($N246:$R246,$BF246:$BJ246)/SUM($BF246:$BJ246)/10000*$BX$7*$BZ$46/'疲劳值&amp;地图信息'!$R$10*$BY$53)</f>
        <v>442</v>
      </c>
      <c r="EF246" s="50">
        <f t="shared" si="354"/>
        <v>0.91428894927536231</v>
      </c>
      <c r="EG246" s="50">
        <f t="shared" si="355"/>
        <v>6.9029287439613521E-2</v>
      </c>
      <c r="EH246" s="50">
        <f t="shared" si="356"/>
        <v>1.6681763285024156E-2</v>
      </c>
      <c r="EI246" s="51">
        <f t="shared" si="357"/>
        <v>26133</v>
      </c>
      <c r="EJ246" s="51">
        <f t="shared" si="358"/>
        <v>3039</v>
      </c>
      <c r="EK246" s="14">
        <f>INT(SUMPRODUCT($U246:$Y246,$BF246:$BJ246)/SUM($BF246:$BJ246)/10000*$BX$7*$BZ$46/'疲劳值&amp;地图信息'!$R$10*$BY$54)</f>
        <v>835</v>
      </c>
      <c r="EL246" s="50">
        <f t="shared" si="359"/>
        <v>0.87089679074882531</v>
      </c>
      <c r="EM246" s="50">
        <f t="shared" si="360"/>
        <v>0.10127636884726897</v>
      </c>
      <c r="EN246" s="50">
        <f t="shared" si="361"/>
        <v>2.7826840403905755E-2</v>
      </c>
      <c r="EO246" s="51">
        <f t="shared" si="362"/>
        <v>28614</v>
      </c>
      <c r="EP246" s="51">
        <f t="shared" si="363"/>
        <v>5176</v>
      </c>
      <c r="EQ246" s="14">
        <f>INT(SUMPRODUCT($AB246:$AF246,$BF246:$BJ246)/SUM($BF246:$BJ246)/10000*$BX$7*$BZ$46/'疲劳值&amp;地图信息'!$R$10*$BY$55)</f>
        <v>1132</v>
      </c>
      <c r="ER246" s="50">
        <f t="shared" si="364"/>
        <v>0.81936887921653967</v>
      </c>
      <c r="ES246" s="50">
        <f t="shared" si="365"/>
        <v>0.14821602428268713</v>
      </c>
      <c r="ET246" s="50">
        <f t="shared" si="366"/>
        <v>3.241509650077315E-2</v>
      </c>
      <c r="EU246" s="51">
        <f t="shared" si="367"/>
        <v>34447</v>
      </c>
      <c r="EV246" s="51">
        <f t="shared" si="368"/>
        <v>15320</v>
      </c>
      <c r="EW246" s="14">
        <f>INT(SUMPRODUCT($AI246:$AM246,$BF246:$BJ246)/SUM($BF246:$BJ246)/10000*$BX$7*$BZ$46/'疲劳值&amp;地图信息'!$R$10*$BY$56)</f>
        <v>1699</v>
      </c>
      <c r="EX246" s="50">
        <f t="shared" si="369"/>
        <v>0.66931566471068282</v>
      </c>
      <c r="EY246" s="50">
        <f t="shared" si="370"/>
        <v>0.2976722496405394</v>
      </c>
      <c r="EZ246" s="50">
        <f t="shared" si="371"/>
        <v>3.3012085648777834E-2</v>
      </c>
      <c r="FA246" s="51">
        <f t="shared" si="372"/>
        <v>36070</v>
      </c>
      <c r="FB246" s="51">
        <f t="shared" si="373"/>
        <v>25884</v>
      </c>
      <c r="FC246" s="14">
        <f>INT(SUMPRODUCT($AP246:$AT246,$BF246:$BJ246)/SUM($BF246:$BJ246)/10000*$BX$7*$BZ$46/'疲劳值&amp;地图信息'!$R$10*$BY$57)</f>
        <v>2265</v>
      </c>
      <c r="FD246" s="50">
        <f t="shared" si="374"/>
        <v>0.56167177937993429</v>
      </c>
      <c r="FE246" s="50">
        <f t="shared" si="375"/>
        <v>0.4030582849312509</v>
      </c>
      <c r="FF246" s="50">
        <f t="shared" si="376"/>
        <v>3.5269935688814834E-2</v>
      </c>
      <c r="FH246" s="14">
        <f t="shared" si="377"/>
        <v>26496</v>
      </c>
      <c r="FI246" s="14">
        <f t="shared" si="378"/>
        <v>30007</v>
      </c>
      <c r="FJ246" s="14">
        <f t="shared" si="379"/>
        <v>34922</v>
      </c>
      <c r="FK246" s="14">
        <f t="shared" si="380"/>
        <v>51466</v>
      </c>
      <c r="FL246" s="14">
        <f t="shared" si="381"/>
        <v>64219</v>
      </c>
      <c r="FM246" s="14">
        <f t="shared" si="382"/>
        <v>3112569</v>
      </c>
      <c r="FP246" s="14">
        <f t="shared" si="383"/>
        <v>334150</v>
      </c>
      <c r="FQ246" s="50">
        <f t="shared" si="323"/>
        <v>9.6947270723258844E-2</v>
      </c>
      <c r="FS246" s="14">
        <f t="shared" si="384"/>
        <v>3446719</v>
      </c>
      <c r="FX246" s="14">
        <v>241</v>
      </c>
      <c r="FY246" s="51">
        <f t="shared" si="385"/>
        <v>33915</v>
      </c>
      <c r="FZ246" s="51">
        <f t="shared" si="386"/>
        <v>1829</v>
      </c>
      <c r="GA246" s="51">
        <f>INT(SUMPRODUCT($N246:$R246,$BF246:$BJ246)/SUM($BF246:$BJ246)/10000*$BX$7*$BZ$46/'疲劳值&amp;地图信息'!$R$10*$BY$53)</f>
        <v>442</v>
      </c>
      <c r="GB246" s="50">
        <f t="shared" si="387"/>
        <v>0.93724092190349861</v>
      </c>
      <c r="GC246" s="50">
        <f t="shared" si="388"/>
        <v>5.0544409440114964E-2</v>
      </c>
      <c r="GD246" s="50">
        <f t="shared" si="389"/>
        <v>1.2214668656386448E-2</v>
      </c>
      <c r="GE246" s="51">
        <f t="shared" si="390"/>
        <v>36586</v>
      </c>
      <c r="GF246" s="51">
        <f t="shared" si="391"/>
        <v>3039</v>
      </c>
      <c r="GG246" s="14">
        <f>INT(SUMPRODUCT($U246:$Y246,$BF246:$BJ246)/SUM($BF246:$BJ246)/10000*$BX$7*$BZ$46/'疲劳值&amp;地图信息'!$R$10*$BY$54)</f>
        <v>835</v>
      </c>
      <c r="GH246" s="50">
        <f t="shared" si="392"/>
        <v>0.90425111220958976</v>
      </c>
      <c r="GI246" s="50">
        <f t="shared" si="393"/>
        <v>7.5111220958971825E-2</v>
      </c>
      <c r="GJ246" s="50">
        <f t="shared" si="394"/>
        <v>2.0637666831438459E-2</v>
      </c>
      <c r="GK246" s="51">
        <f t="shared" si="395"/>
        <v>40060</v>
      </c>
      <c r="GL246" s="51">
        <f t="shared" si="396"/>
        <v>5176</v>
      </c>
      <c r="GM246" s="14">
        <f>INT(SUMPRODUCT($AB246:$AF246,$BF246:$BJ246)/SUM($BF246:$BJ246)/10000*$BX$7*$BZ$46/'疲劳值&amp;地图信息'!$R$10*$BY$55)</f>
        <v>1132</v>
      </c>
      <c r="GN246" s="50">
        <f t="shared" si="397"/>
        <v>0.86395790200138023</v>
      </c>
      <c r="GO246" s="50">
        <f t="shared" si="398"/>
        <v>0.11162870945479642</v>
      </c>
      <c r="GP246" s="50">
        <f t="shared" si="399"/>
        <v>2.4413388543823328E-2</v>
      </c>
      <c r="GQ246" s="51">
        <f t="shared" si="400"/>
        <v>48226</v>
      </c>
      <c r="GR246" s="51">
        <f t="shared" si="401"/>
        <v>15320</v>
      </c>
      <c r="GS246" s="14">
        <f>INT(SUMPRODUCT($AI246:$AM246,$BF246:$BJ246)/SUM($BF246:$BJ246)/10000*$BX$7*$BZ$46/'疲劳值&amp;地图信息'!$R$10*$BY$56)</f>
        <v>1699</v>
      </c>
      <c r="GT246" s="50">
        <f t="shared" si="402"/>
        <v>0.73915242547321636</v>
      </c>
      <c r="GU246" s="50">
        <f t="shared" si="403"/>
        <v>0.23480726492451529</v>
      </c>
      <c r="GV246" s="50">
        <f t="shared" si="404"/>
        <v>2.6040309602268372E-2</v>
      </c>
      <c r="GW246" s="51">
        <f t="shared" si="405"/>
        <v>50499</v>
      </c>
      <c r="GX246" s="51">
        <f t="shared" si="406"/>
        <v>25884</v>
      </c>
      <c r="GY246" s="14">
        <f>INT(SUMPRODUCT($AP246:$AT246,$BF246:$BJ246)/SUM($BF246:$BJ246)/10000*$BX$7*$BZ$46/'疲劳值&amp;地图信息'!$R$10*$BY$57)</f>
        <v>2265</v>
      </c>
      <c r="GZ246" s="50">
        <f t="shared" si="407"/>
        <v>0.64208880073237717</v>
      </c>
      <c r="HA246" s="50">
        <f t="shared" si="408"/>
        <v>0.32911199267622826</v>
      </c>
      <c r="HB246" s="50">
        <f t="shared" si="409"/>
        <v>2.879920659139457E-2</v>
      </c>
      <c r="HD246" s="14">
        <f t="shared" si="410"/>
        <v>36186</v>
      </c>
      <c r="HE246" s="14">
        <f t="shared" si="411"/>
        <v>40460</v>
      </c>
      <c r="HF246" s="14">
        <f t="shared" si="412"/>
        <v>46368</v>
      </c>
      <c r="HG246" s="14">
        <f t="shared" si="413"/>
        <v>65245</v>
      </c>
      <c r="HH246" s="14">
        <f t="shared" si="414"/>
        <v>78648</v>
      </c>
      <c r="HI246" s="14">
        <f t="shared" si="415"/>
        <v>4192333</v>
      </c>
      <c r="HL246" s="14">
        <f t="shared" si="416"/>
        <v>430050</v>
      </c>
      <c r="HM246" s="50">
        <f t="shared" si="324"/>
        <v>9.3036427314655668E-2</v>
      </c>
      <c r="HO246" s="14">
        <f t="shared" si="417"/>
        <v>4622383</v>
      </c>
    </row>
    <row r="247" spans="11:223" x14ac:dyDescent="0.2">
      <c r="K247" s="14">
        <v>242</v>
      </c>
      <c r="L247" s="12">
        <f>求节点(节奏总纲!D$4:D$163,标准城池设计!AB$4:AB$163,$K247)*求节点(节奏总纲!D$4:D$163,攻城基础信息!$AC$5:$AC$164,$K247)</f>
        <v>714537.9148356684</v>
      </c>
      <c r="M247" s="12">
        <f>INDEX(其他调用!$AA$5:$AA$404,MATCH(K247,其他调用!$X$5:$X$404,0))*MIN(INDEX(其他调用!$AH$5:$AH$364,MATCH('征服点（新）'!K247,其他调用!$AG$5:$AG$364,0),1)/INDEX(其他调用!$AJ$5:$AJ$364,MATCH(K247,其他调用!$AG$5:$AG$364,0),0),5)*求节点(节奏总纲!D$4:D$163,攻城基础信息!$AC$5:$AC$164,$K247)</f>
        <v>53886.182255627326</v>
      </c>
      <c r="N247" s="12">
        <f>MIN(INDEX(其他调用!$AH$5:$AH$364,MATCH($K247,其他调用!$AG$5:$AG$364,0),1)/INDEX(其他调用!AH$5:AH$364,MATCH($K247,其他调用!$AG$5:$AG$364,0),0),1)*INDEX(其他调用!Y$5:Y$404,MATCH($K247,其他调用!$X$5:$X$404,0),0)</f>
        <v>41234.780556360427</v>
      </c>
      <c r="O247" s="12">
        <f>MIN(INDEX(其他调用!$AH$5:$AH$364,MATCH($K247,其他调用!$AG$5:$AG$364,0),1)/INDEX(其他调用!AI$5:AI$364,MATCH($K247,其他调用!$AG$5:$AG$364,0),0),1)*INDEX(其他调用!Z$5:Z$404,MATCH($K247,其他调用!$X$5:$X$404,0),0)</f>
        <v>25496.771763065171</v>
      </c>
      <c r="P247" s="12">
        <f>MIN(INDEX(其他调用!$AH$5:$AH$364,MATCH($K247,其他调用!$AG$5:$AG$364,0),1)/INDEX(其他调用!AJ$5:AJ$364,MATCH($K247,其他调用!$AG$5:$AG$364,0),0),1)*INDEX(其他调用!AA$5:AA$404,MATCH($K247,其他调用!$X$5:$X$404,0),0)</f>
        <v>15508.050103307616</v>
      </c>
      <c r="Q247" s="12">
        <f>MIN(INDEX(其他调用!$AH$5:$AH$364,MATCH($K247,其他调用!$AG$5:$AG$364,0),1)/INDEX(其他调用!AK$5:AK$364,MATCH($K247,其他调用!$AG$5:$AG$364,0),0),1)*INDEX(其他调用!AB$5:AB$404,MATCH($K247,其他调用!$X$5:$X$404,0),0)</f>
        <v>5505.0890240455556</v>
      </c>
      <c r="R247" s="12">
        <f>MIN(INDEX(其他调用!$AH$5:$AH$364,MATCH($K247,其他调用!$AG$5:$AG$364,0),1)/INDEX(其他调用!AL$5:AL$364,MATCH($K247,其他调用!$AG$5:$AG$364,0),0),1)*INDEX(其他调用!AC$5:AC$404,MATCH($K247,其他调用!$X$5:$X$404,0),0)</f>
        <v>2907.9661759285859</v>
      </c>
      <c r="S247" s="12">
        <f>求节点(节奏总纲!D$4:D$163,标准城池设计!AC$4:AC$163,$K247)*求节点(节奏总纲!D$4:D$163,攻城基础信息!$AD$5:$AD$164,$K247)</f>
        <v>771159.09603706188</v>
      </c>
      <c r="T247" s="12">
        <f>INDEX(其他调用!$AA$5:$AA$404,MATCH($K247,其他调用!$X$5:$X$404,0))*MIN(INDEX(其他调用!AI$5:AI$364,MATCH($K247,其他调用!$AG$5:$AG$364,0),1)/INDEX(其他调用!$AJ$5:$AJ$364,MATCH($K247,其他调用!$AG$5:$AG$364,0),0),5)*求节点(节奏总纲!D$4:D$163,攻城基础信息!$AD$5:$AD$164,$K247)</f>
        <v>89583.973738575456</v>
      </c>
      <c r="U247" s="12">
        <f>MIN(INDEX(其他调用!$AI$5:$AI$364,MATCH($K247,其他调用!$AG$5:$AG$364,0),1)/INDEX(其他调用!AH$5:AH$364,MATCH($K247,其他调用!$AG$5:$AG$364,0),0),1)*INDEX(其他调用!Y$5:Y$404,MATCH($K247,其他调用!$X$5:$X$404,0),0)</f>
        <v>41234.780556360427</v>
      </c>
      <c r="V247" s="12">
        <f>MIN(INDEX(其他调用!$AI$5:$AI$364,MATCH($K247,其他调用!$AG$5:$AG$364,0),1)/INDEX(其他调用!AI$5:AI$364,MATCH($K247,其他调用!$AG$5:$AG$364,0),0),1)*INDEX(其他调用!Z$5:Z$404,MATCH($K247,其他调用!$X$5:$X$404,0),0)</f>
        <v>42387.529352246027</v>
      </c>
      <c r="W247" s="12">
        <f>MIN(INDEX(其他调用!$AI$5:$AI$364,MATCH($K247,其他调用!$AG$5:$AG$364,0),1)/INDEX(其他调用!AJ$5:AJ$364,MATCH($K247,其他调用!$AG$5:$AG$364,0),0),1)*INDEX(其他调用!AA$5:AA$404,MATCH($K247,其他调用!$X$5:$X$404,0),0)</f>
        <v>25781.614043480324</v>
      </c>
      <c r="X247" s="12">
        <f>MIN(INDEX(其他调用!$AI$5:$AI$364,MATCH($K247,其他调用!$AG$5:$AG$364,0),1)/INDEX(其他调用!AK$5:AK$364,MATCH($K247,其他调用!$AG$5:$AG$364,0),0),1)*INDEX(其他调用!AB$5:AB$404,MATCH($K247,其他调用!$X$5:$X$404,0),0)</f>
        <v>9152.0261765643172</v>
      </c>
      <c r="Y247" s="12">
        <f>MIN(INDEX(其他调用!$AI$5:$AI$364,MATCH($K247,其他调用!$AG$5:$AG$364,0),1)/INDEX(其他调用!AL$5:AL$364,MATCH($K247,其他调用!$AG$5:$AG$364,0),0),1)*INDEX(其他调用!AC$5:AC$404,MATCH($K247,其他调用!$X$5:$X$404,0),0)</f>
        <v>4834.3964005697844</v>
      </c>
      <c r="Z247" s="12">
        <f>求节点(节奏总纲!D$4:D$163,标准城池设计!AD$4:AD$163,$K247)*求节点(节奏总纲!D$4:D$163,攻城基础信息!$AE$5:$AE$164,$K247)</f>
        <v>844516.21690039965</v>
      </c>
      <c r="AA247" s="12">
        <f>INDEX(其他调用!$AA$5:$AA$404,MATCH($K247,其他调用!$X$5:$X$404,0))*MIN(INDEX(其他调用!AJ$5:AJ$364,MATCH($K247,其他调用!$AG$5:$AG$364,0),1)/INDEX(其他调用!$AJ$5:$AJ$364,MATCH($K247,其他调用!$AG$5:$AG$364,0),0),5)*求节点(节奏总纲!D$4:D$163,攻城基础信息!$AE$5:$AE$164,$K247)</f>
        <v>152572.1940872694</v>
      </c>
      <c r="AB247" s="12">
        <f>MIN(INDEX(其他调用!$AJ$5:$AJ$364,MATCH($K247,其他调用!$AG$5:$AG$364,0),1)/INDEX(其他调用!AH$5:AH$364,MATCH($K247,其他调用!$AG$5:$AG$364,0),0),1)*INDEX(其他调用!Y$5:Y$404,MATCH($K247,其他调用!$X$5:$X$404,0),0)</f>
        <v>41234.780556360427</v>
      </c>
      <c r="AC247" s="12">
        <f>MIN(INDEX(其他调用!$AJ$5:$AJ$364,MATCH($K247,其他调用!$AG$5:$AG$364,0),1)/INDEX(其他调用!AI$5:AI$364,MATCH($K247,其他调用!$AG$5:$AG$364,0),0),1)*INDEX(其他调用!Z$5:Z$404,MATCH($K247,其他调用!$X$5:$X$404,0),0)</f>
        <v>42387.529352246027</v>
      </c>
      <c r="AD247" s="12">
        <f>MIN(INDEX(其他调用!$AJ$5:$AJ$364,MATCH($K247,其他调用!$AG$5:$AG$364,0),1)/INDEX(其他调用!AJ$5:AJ$364,MATCH($K247,其他调用!$AG$5:$AG$364,0),0),1)*INDEX(其他调用!AA$5:AA$404,MATCH($K247,其他调用!$X$5:$X$404,0),0)</f>
        <v>43909.164302131583</v>
      </c>
      <c r="AE247" s="12">
        <f>MIN(INDEX(其他调用!$AJ$5:$AJ$364,MATCH($K247,其他调用!$AG$5:$AG$364,0),1)/INDEX(其他调用!AK$5:AK$364,MATCH($K247,其他调用!$AG$5:$AG$364,0),0),1)*INDEX(其他调用!AB$5:AB$404,MATCH($K247,其他调用!$X$5:$X$404,0),0)</f>
        <v>15586.992358447545</v>
      </c>
      <c r="AF247" s="12">
        <f>MIN(INDEX(其他调用!$AJ$5:$AJ$364,MATCH($K247,其他调用!$AG$5:$AG$364,0),1)/INDEX(其他调用!AL$5:AL$364,MATCH($K247,其他调用!$AG$5:$AG$364,0),0),1)*INDEX(其他调用!AC$5:AC$404,MATCH($K247,其他调用!$X$5:$X$404,0),0)</f>
        <v>8233.5537835705163</v>
      </c>
      <c r="AG247" s="12">
        <f>求节点(节奏总纲!D$4:D$163,标准城池设计!AE$4:AE$163,$K247)*求节点(节奏总纲!D$4:D$163,攻城基础信息!$AF$5:$AF$164,$K247)</f>
        <v>1016771.5470199061</v>
      </c>
      <c r="AH247" s="12">
        <f>INDEX(其他调用!$AA$5:$AA$404,MATCH($K247,其他调用!$X$5:$X$404,0))*MIN(INDEX(其他调用!AK$5:AK$364,MATCH($K247,其他调用!$AG$5:$AG$364,0),1)/INDEX(其他调用!$AJ$5:$AJ$364,MATCH($K247,其他调用!$AG$5:$AG$364,0),0),5)*求节点(节奏总纲!D$4:D$163,攻城基础信息!$AF$5:$AF$164,$K247)</f>
        <v>451654.178291074</v>
      </c>
      <c r="AI247" s="12">
        <f>MIN(INDEX(其他调用!$AK$5:$AK$364,MATCH($K247,其他调用!$AG$5:$AG$364,0),1)/INDEX(其他调用!AH$5:AH$364,MATCH($K247,其他调用!$AG$5:$AG$364,0),0),1)*INDEX(其他调用!Y$5:Y$404,MATCH($K247,其他调用!$X$5:$X$404,0),0)</f>
        <v>41234.780556360427</v>
      </c>
      <c r="AJ247" s="12">
        <f>MIN(INDEX(其他调用!$AK$5:$AK$364,MATCH($K247,其他调用!$AG$5:$AG$364,0),1)/INDEX(其他调用!AI$5:AI$364,MATCH($K247,其他调用!$AG$5:$AG$364,0),0),1)*INDEX(其他调用!Z$5:Z$404,MATCH($K247,其他调用!$X$5:$X$404,0),0)</f>
        <v>42387.529352246027</v>
      </c>
      <c r="AK247" s="12">
        <f>MIN(INDEX(其他调用!$AK$5:$AK$364,MATCH($K247,其他调用!$AG$5:$AG$364,0),1)/INDEX(其他调用!AJ$5:AJ$364,MATCH($K247,其他调用!$AG$5:$AG$364,0),0),1)*INDEX(其他调用!AA$5:AA$404,MATCH($K247,其他调用!$X$5:$X$404,0),0)</f>
        <v>43909.164302131583</v>
      </c>
      <c r="AL247" s="12">
        <f>MIN(INDEX(其他调用!$AK$5:$AK$364,MATCH($K247,其他调用!$AG$5:$AG$364,0),1)/INDEX(其他调用!AK$5:AK$364,MATCH($K247,其他调用!$AG$5:$AG$364,0),0),1)*INDEX(其他调用!AB$5:AB$404,MATCH($K247,其他调用!$X$5:$X$404,0),0)</f>
        <v>46141.633262854717</v>
      </c>
      <c r="AM247" s="12">
        <f>MIN(INDEX(其他调用!$AK$5:$AK$364,MATCH($K247,其他调用!$AG$5:$AG$364,0),1)/INDEX(其他调用!AL$5:AL$364,MATCH($K247,其他调用!$AG$5:$AG$364,0),0),1)*INDEX(其他调用!AC$5:AC$404,MATCH($K247,其他调用!$X$5:$X$404,0),0)</f>
        <v>24373.503906005597</v>
      </c>
      <c r="AN247" s="12">
        <f>求节点(节奏总纲!D$4:D$163,标准城池设计!AF$4:AF$163,$K247)*求节点(节奏总纲!D$4:D$163,攻城基础信息!$AG$5:$AG$164,$K247)</f>
        <v>1064670.6106791333</v>
      </c>
      <c r="AO247" s="12">
        <f>INDEX(其他调用!$AA$5:$AA$404,MATCH($K247,其他调用!$X$5:$X$404,0))*MIN(INDEX(其他调用!AL$5:AL$364,MATCH($K247,其他调用!$AG$5:$AG$364,0),1)/INDEX(其他调用!$AJ$5:$AJ$364,MATCH($K247,其他调用!$AG$5:$AG$364,0),0),5)*求节点(节奏总纲!D$4:D$163,攻城基础信息!$AG$5:$AG$164,$K247)</f>
        <v>762860.97043634695</v>
      </c>
      <c r="AP247" s="12">
        <f>MIN(INDEX(其他调用!$AL$5:$AL$364,MATCH($K247,其他调用!$AG$5:$AG$364,0),1)/INDEX(其他调用!AH$5:AH$364,MATCH($K247,其他调用!$AG$5:$AG$364,0),0),1)*INDEX(其他调用!Y$5:Y$404,MATCH($K247,其他调用!$X$5:$X$404,0),0)</f>
        <v>41234.780556360427</v>
      </c>
      <c r="AQ247" s="12">
        <f>MIN(INDEX(其他调用!$AL$5:$AL$364,MATCH($K247,其他调用!$AG$5:$AG$364,0),1)/INDEX(其他调用!AI$5:AI$364,MATCH($K247,其他调用!$AG$5:$AG$364,0),0),1)*INDEX(其他调用!Z$5:Z$404,MATCH($K247,其他调用!$X$5:$X$404,0),0)</f>
        <v>42387.529352246027</v>
      </c>
      <c r="AR247" s="12">
        <f>MIN(INDEX(其他调用!$AL$5:$AL$364,MATCH($K247,其他调用!$AG$5:$AG$364,0),1)/INDEX(其他调用!AJ$5:AJ$364,MATCH($K247,其他调用!$AG$5:$AG$364,0),0),1)*INDEX(其他调用!AA$5:AA$404,MATCH($K247,其他调用!$X$5:$X$404,0),0)</f>
        <v>43909.164302131583</v>
      </c>
      <c r="AS247" s="12">
        <f>MIN(INDEX(其他调用!$AL$5:$AL$364,MATCH($K247,其他调用!$AG$5:$AG$364,0),1)/INDEX(其他调用!AK$5:AK$364,MATCH($K247,其他调用!$AG$5:$AG$364,0),0),1)*INDEX(其他调用!AB$5:AB$404,MATCH($K247,其他调用!$X$5:$X$404,0),0)</f>
        <v>46141.633262854717</v>
      </c>
      <c r="AT247" s="12">
        <f>MIN(INDEX(其他调用!$AL$5:$AL$364,MATCH($K247,其他调用!$AG$5:$AG$364,0),1)/INDEX(其他调用!AL$5:AL$364,MATCH($K247,其他调用!$AG$5:$AG$364,0),0),1)*INDEX(其他调用!AC$5:AC$404,MATCH($K247,其他调用!$X$5:$X$404,0),0)</f>
        <v>50041.604100631295</v>
      </c>
      <c r="AV247" s="14">
        <f>IF(OR(AV$5="大R",AV$5="超R"),MAX(INDEX(其他调用!$H$5:$L$404,MATCH($K247,其他调用!$B$5:$B$404,0),MATCH(AV$5,其他调用!$H$4:$L$4,0))*120*0.85,2),INDEX(其他调用!$H$5:$L$404,MATCH($K247,其他调用!$B$5:$B$404,0),MATCH(AV$5,其他调用!$H$4:$L$4,0))*120*0.85)</f>
        <v>48.921801254999991</v>
      </c>
      <c r="AW247" s="14">
        <f>IF(OR(AW$5="大R",AW$5="超R"),MAX(INDEX(其他调用!$H$5:$L$404,MATCH($K247,其他调用!$B$5:$B$404,0),MATCH(AW$5,其他调用!$H$4:$L$4,0))*120*0.85,2),INDEX(其他调用!$H$5:$L$404,MATCH($K247,其他调用!$B$5:$B$404,0),MATCH(AW$5,其他调用!$H$4:$L$4,0))*120*0.85)</f>
        <v>48.237344010638395</v>
      </c>
      <c r="AX247" s="14">
        <f>IF(OR(AX$5="大R",AX$5="超R"),MAX(INDEX(其他调用!$H$5:$L$404,MATCH($K247,其他调用!$B$5:$B$404,0),MATCH(AX$5,其他调用!$H$4:$L$4,0))*120*0.85,2),INDEX(其他调用!$H$5:$L$404,MATCH($K247,其他调用!$B$5:$B$404,0),MATCH(AX$5,其他调用!$H$4:$L$4,0))*120*0.85)</f>
        <v>3.9376284143615998</v>
      </c>
      <c r="AY247" s="14">
        <f>IF(OR(AY$5="大R",AY$5="超R"),MAX(INDEX(其他调用!$H$5:$L$404,MATCH($K247,其他调用!$B$5:$B$404,0),MATCH(AY$5,其他调用!$H$4:$L$4,0))*120*0.85,2),INDEX(其他调用!$H$5:$L$404,MATCH($K247,其他调用!$B$5:$B$404,0),MATCH(AY$5,其他调用!$H$4:$L$4,0))*120*0.85)</f>
        <v>2</v>
      </c>
      <c r="AZ247" s="14">
        <f>IF(OR(AZ$5="大R",AZ$5="超R"),MAX(INDEX(其他调用!$H$5:$L$404,MATCH($K247,其他调用!$B$5:$B$404,0),MATCH(AZ$5,其他调用!$H$4:$L$4,0))*120*0.85,2),INDEX(其他调用!$H$5:$L$404,MATCH($K247,其他调用!$B$5:$B$404,0),MATCH(AZ$5,其他调用!$H$4:$L$4,0))*120*0.85)</f>
        <v>2</v>
      </c>
      <c r="BA247" s="14">
        <f>INDEX(其他调用!$H$5:$L$404,MATCH($K247,其他调用!$B$5:$B$404,0),MATCH(BA$5,其他调用!$H$4:$L$4,0))*INDEX(其他调用!$M$5:$M$404,MATCH($K247,其他调用!$B$5:$B$404,0))*0.6</f>
        <v>28.777530149999997</v>
      </c>
      <c r="BB247" s="14">
        <f>INDEX(其他调用!$H$5:$L$404,MATCH($K247,其他调用!$B$5:$B$404,0),MATCH(BB$5,其他调用!$H$4:$L$4,0))*INDEX(其他调用!$M$5:$M$404,MATCH($K247,其他调用!$B$5:$B$404,0))*0.6</f>
        <v>28.374908241551999</v>
      </c>
      <c r="BC247" s="14">
        <f>INDEX(其他调用!$H$5:$L$404,MATCH($K247,其他调用!$B$5:$B$404,0),MATCH(BC$5,其他调用!$H$4:$L$4,0))*INDEX(其他调用!$M$5:$M$404,MATCH($K247,其他调用!$B$5:$B$404,0))*0.6</f>
        <v>2.3162520084480001</v>
      </c>
      <c r="BD247" s="14">
        <f>INDEX(其他调用!$H$5:$L$404,MATCH($K247,其他调用!$B$5:$B$404,0),MATCH(BD$5,其他调用!$H$4:$L$4,0))*INDEX(其他调用!$M$5:$M$404,MATCH($K247,其他调用!$B$5:$B$404,0))*0.6</f>
        <v>0.4120776000000001</v>
      </c>
      <c r="BE247" s="14">
        <f>INDEX(其他调用!$H$5:$L$404,MATCH($K247,其他调用!$B$5:$B$404,0),MATCH(BE$5,其他调用!$H$4:$L$4,0))*INDEX(其他调用!$M$5:$M$404,MATCH($K247,其他调用!$B$5:$B$404,0))*0.6</f>
        <v>0.11923199999999998</v>
      </c>
      <c r="BF247" s="14">
        <f>IF(OR(BF$5="大R",BF$5="超R"),0,INDEX(其他调用!$H$5:$L$404,MATCH($K247,其他调用!$B$5:$B$404,0),MATCH(BF$5,其他调用!$H$4:$L$4,0))*50*0.4)</f>
        <v>9.5925100500000013</v>
      </c>
      <c r="BG247" s="14">
        <f>IF(OR(BG$5="大R",BG$5="超R"),0,INDEX(其他调用!$H$5:$L$404,MATCH($K247,其他调用!$B$5:$B$404,0),MATCH(BG$5,其他调用!$H$4:$L$4,0))*50*0.4)</f>
        <v>9.4583027471839998</v>
      </c>
      <c r="BH247" s="14">
        <f>IF(OR(BH$5="大R",BH$5="超R"),0,INDEX(其他调用!$H$5:$L$404,MATCH($K247,其他调用!$B$5:$B$404,0),MATCH(BH$5,其他调用!$H$4:$L$4,0))*50*0.4)</f>
        <v>0.77208400281600009</v>
      </c>
      <c r="BI247" s="14">
        <f>IF(OR(BI$5="大R",BI$5="超R"),0,INDEX(其他调用!$H$5:$L$404,MATCH($K247,其他调用!$B$5:$B$404,0),MATCH(BI$5,其他调用!$H$4:$L$4,0))*50*0.4)</f>
        <v>0</v>
      </c>
      <c r="BJ247" s="14">
        <f>IF(OR(BJ$5="大R",BJ$5="超R"),0,INDEX(其他调用!$H$5:$L$404,MATCH($K247,其他调用!$B$5:$B$404,0),MATCH(BJ$5,其他调用!$H$4:$L$4,0))*50*0.4)</f>
        <v>0</v>
      </c>
      <c r="BL247" s="14">
        <f t="shared" si="418"/>
        <v>242</v>
      </c>
      <c r="BM247" s="14">
        <f t="shared" si="325"/>
        <v>96</v>
      </c>
      <c r="BN247" s="14">
        <f>('疲劳值&amp;地图信息'!$S$10*'疲劳值&amp;地图信息'!$R$10+'疲劳值&amp;地图信息'!$S$11*'疲劳值&amp;地图信息'!$R$11+'疲劳值&amp;地图信息'!$S$12*'疲劳值&amp;地图信息'!$R$12+(BM247-'疲劳值&amp;地图信息'!$S$12-'疲劳值&amp;地图信息'!$S$11-'疲劳值&amp;地图信息'!$S$10)*'疲劳值&amp;地图信息'!$R$13)/BM247</f>
        <v>51.371477246638619</v>
      </c>
      <c r="BO247" s="14">
        <f>INDEX(其他调用!$M$5:$M$404,MATCH(BL247,其他调用!$B$5:$B$404,0))*0.6</f>
        <v>60</v>
      </c>
      <c r="BP247" s="14">
        <f>IF(BO247&gt;SUM('疲劳值&amp;地图信息'!$S$10:$S$12),('疲劳值&amp;地图信息'!$S$10*'疲劳值&amp;地图信息'!$R$10+'疲劳值&amp;地图信息'!$S$11*'疲劳值&amp;地图信息'!$R$11+'疲劳值&amp;地图信息'!$S$12*'疲劳值&amp;地图信息'!$R$12+(BO247-'疲劳值&amp;地图信息'!$S$12-'疲劳值&amp;地图信息'!$S$11-'疲劳值&amp;地图信息'!$S$10)*'疲劳值&amp;地图信息'!$R$13)/BO247,('疲劳值&amp;地图信息'!$S$10*'疲劳值&amp;地图信息'!$R$10+'疲劳值&amp;地图信息'!$S$11*'疲劳值&amp;地图信息'!$R$11+'疲劳值&amp;地图信息'!$S$12*'疲劳值&amp;地图信息'!$R$12+(BO247-'疲劳值&amp;地图信息'!$S$12-'疲劳值&amp;地图信息'!$S$11-'疲劳值&amp;地图信息'!$S$10)*'疲劳值&amp;地图信息'!$R$13)/BO247)</f>
        <v>44.158136341605953</v>
      </c>
      <c r="BQ247" s="14">
        <f t="shared" si="419"/>
        <v>20</v>
      </c>
      <c r="BR247" s="14">
        <f>('疲劳值&amp;地图信息'!$S$10*'疲劳值&amp;地图信息'!$R$10+($BQ247-'疲劳值&amp;地图信息'!$S$10)*'疲劳值&amp;地图信息'!$R$11)/$BQ247</f>
        <v>32.067203015074995</v>
      </c>
      <c r="CF247" s="14">
        <v>242</v>
      </c>
      <c r="CG247" s="51">
        <f t="shared" si="326"/>
        <v>14563</v>
      </c>
      <c r="CH247" s="51">
        <f t="shared" si="327"/>
        <v>1098</v>
      </c>
      <c r="CI247" s="51">
        <f>INT(SUMPRODUCT($N247:$R247,$BA247:$BE247)/SUM($BA247:$BE247)/10000*$BX$7*$BZ$34/'疲劳值&amp;地图信息'!$R$10*$BY$53)</f>
        <v>3295</v>
      </c>
      <c r="CJ247" s="50">
        <f t="shared" si="328"/>
        <v>0.76825279594851237</v>
      </c>
      <c r="CK247" s="50">
        <f t="shared" si="329"/>
        <v>5.7923612576492929E-2</v>
      </c>
      <c r="CL247" s="50">
        <f t="shared" si="330"/>
        <v>0.17382359147499474</v>
      </c>
      <c r="CM247" s="14">
        <f t="shared" si="331"/>
        <v>15717</v>
      </c>
      <c r="CN247" s="14">
        <f t="shared" si="332"/>
        <v>1825</v>
      </c>
      <c r="CO247" s="14">
        <f>INT(SUMPRODUCT($U247:$Y247,$BA247:$BE247)/SUM($BA247:$BE247)/10000*$BX$7*$BZ$34/'疲劳值&amp;地图信息'!$R$10*$BY$54)</f>
        <v>6223</v>
      </c>
      <c r="CP247" s="50">
        <f t="shared" si="333"/>
        <v>0.66135072585735322</v>
      </c>
      <c r="CQ247" s="50">
        <f t="shared" si="334"/>
        <v>7.6793604039553973E-2</v>
      </c>
      <c r="CR247" s="50">
        <f t="shared" si="335"/>
        <v>0.2618556701030928</v>
      </c>
      <c r="CS247" s="14">
        <f t="shared" si="336"/>
        <v>17212</v>
      </c>
      <c r="CT247" s="14">
        <f t="shared" si="337"/>
        <v>3109</v>
      </c>
      <c r="CU247" s="14">
        <f>INT(SUMPRODUCT($AB247:$AF247,$BA247:$BE247)/SUM($BA247:$BE247)/10000*$BX$7*$BZ$34/'疲劳值&amp;地图信息'!$R$10*$BY$55)</f>
        <v>8450</v>
      </c>
      <c r="CV247" s="50">
        <f t="shared" si="338"/>
        <v>0.5982412846268812</v>
      </c>
      <c r="CW247" s="50">
        <f t="shared" si="339"/>
        <v>0.10806019950644746</v>
      </c>
      <c r="CX247" s="50">
        <f t="shared" si="340"/>
        <v>0.29369851586667128</v>
      </c>
      <c r="CY247" s="14">
        <f t="shared" si="341"/>
        <v>20723</v>
      </c>
      <c r="CZ247" s="14">
        <f t="shared" si="342"/>
        <v>9205</v>
      </c>
      <c r="DA247" s="14">
        <f>INT(SUMPRODUCT($AI247:$AM247,$BA247:$BE247)/SUM($BA247:$BE247)/10000*$BX$7*$BZ$34/'疲劳值&amp;地图信息'!$R$10*$BY$56)</f>
        <v>12749</v>
      </c>
      <c r="DB247" s="50">
        <f t="shared" si="343"/>
        <v>0.48557771164796026</v>
      </c>
      <c r="DC247" s="50">
        <f t="shared" si="344"/>
        <v>0.21568995009021252</v>
      </c>
      <c r="DD247" s="50">
        <f t="shared" si="345"/>
        <v>0.29873233826182721</v>
      </c>
      <c r="DE247" s="14">
        <f t="shared" si="346"/>
        <v>21699</v>
      </c>
      <c r="DF247" s="14">
        <f t="shared" si="347"/>
        <v>15548</v>
      </c>
      <c r="DG247" s="14">
        <f>INT(SUMPRODUCT($AP247:$AT247,$BA247:$BE247)/SUM($BA247:$BE247)/10000*$BX$7*$BZ$34/'疲劳值&amp;地图信息'!$R$10*$BY$57)</f>
        <v>17019</v>
      </c>
      <c r="DH247" s="50">
        <f t="shared" si="348"/>
        <v>0.39986363468838682</v>
      </c>
      <c r="DI247" s="50">
        <f t="shared" si="349"/>
        <v>0.28651457634614674</v>
      </c>
      <c r="DJ247" s="50">
        <f t="shared" si="350"/>
        <v>0.31362178896546639</v>
      </c>
      <c r="DL247" s="14">
        <f t="shared" si="421"/>
        <v>18956</v>
      </c>
      <c r="DM247" s="14">
        <f t="shared" si="422"/>
        <v>23765</v>
      </c>
      <c r="DN247" s="14">
        <f t="shared" si="423"/>
        <v>28771</v>
      </c>
      <c r="DO247" s="14">
        <f t="shared" si="424"/>
        <v>42677</v>
      </c>
      <c r="DP247" s="14">
        <f t="shared" si="425"/>
        <v>54266</v>
      </c>
      <c r="DQ247" s="14">
        <f t="shared" si="426"/>
        <v>1310533</v>
      </c>
      <c r="DT247" s="14">
        <f t="shared" si="420"/>
        <v>235575</v>
      </c>
      <c r="DU247" s="50">
        <f t="shared" si="322"/>
        <v>0.15236645822930869</v>
      </c>
      <c r="DW247" s="14">
        <f t="shared" si="351"/>
        <v>1546108</v>
      </c>
      <c r="EB247" s="14">
        <v>242</v>
      </c>
      <c r="EC247" s="51">
        <f t="shared" si="352"/>
        <v>24272</v>
      </c>
      <c r="ED247" s="51">
        <f t="shared" si="353"/>
        <v>1830</v>
      </c>
      <c r="EE247" s="51">
        <f>INT(SUMPRODUCT($N247:$R247,$BF247:$BJ247)/SUM($BF247:$BJ247)/10000*$BX$7*$BZ$46/'疲劳值&amp;地图信息'!$R$10*$BY$53)</f>
        <v>442</v>
      </c>
      <c r="EF247" s="50">
        <f t="shared" si="354"/>
        <v>0.91440626883664855</v>
      </c>
      <c r="EG247" s="50">
        <f t="shared" si="355"/>
        <v>6.8942133815551532E-2</v>
      </c>
      <c r="EH247" s="50">
        <f t="shared" si="356"/>
        <v>1.665159734779988E-2</v>
      </c>
      <c r="EI247" s="51">
        <f t="shared" si="357"/>
        <v>26195</v>
      </c>
      <c r="EJ247" s="51">
        <f t="shared" si="358"/>
        <v>3043</v>
      </c>
      <c r="EK247" s="14">
        <f>INT(SUMPRODUCT($U247:$Y247,$BF247:$BJ247)/SUM($BF247:$BJ247)/10000*$BX$7*$BZ$46/'疲劳值&amp;地图信息'!$R$10*$BY$54)</f>
        <v>835</v>
      </c>
      <c r="EL247" s="50">
        <f t="shared" si="359"/>
        <v>0.87104711867788387</v>
      </c>
      <c r="EM247" s="50">
        <f t="shared" si="360"/>
        <v>0.10118711136235162</v>
      </c>
      <c r="EN247" s="50">
        <f t="shared" si="361"/>
        <v>2.7765769959764573E-2</v>
      </c>
      <c r="EO247" s="51">
        <f t="shared" si="362"/>
        <v>28687</v>
      </c>
      <c r="EP247" s="51">
        <f t="shared" si="363"/>
        <v>5182</v>
      </c>
      <c r="EQ247" s="14">
        <f>INT(SUMPRODUCT($AB247:$AF247,$BF247:$BJ247)/SUM($BF247:$BJ247)/10000*$BX$7*$BZ$46/'疲劳值&amp;地图信息'!$R$10*$BY$55)</f>
        <v>1133</v>
      </c>
      <c r="ER247" s="50">
        <f t="shared" si="364"/>
        <v>0.81958173818638935</v>
      </c>
      <c r="ES247" s="50">
        <f t="shared" si="365"/>
        <v>0.14804868293240386</v>
      </c>
      <c r="ET247" s="50">
        <f t="shared" si="366"/>
        <v>3.2369578881206791E-2</v>
      </c>
      <c r="EU247" s="51">
        <f t="shared" si="367"/>
        <v>34538</v>
      </c>
      <c r="EV247" s="51">
        <f t="shared" si="368"/>
        <v>15342</v>
      </c>
      <c r="EW247" s="14">
        <f>INT(SUMPRODUCT($AI247:$AM247,$BF247:$BJ247)/SUM($BF247:$BJ247)/10000*$BX$7*$BZ$46/'疲劳值&amp;地图信息'!$R$10*$BY$56)</f>
        <v>1700</v>
      </c>
      <c r="EX247" s="50">
        <f t="shared" si="369"/>
        <v>0.66960062039550217</v>
      </c>
      <c r="EY247" s="50">
        <f t="shared" si="370"/>
        <v>0.297440868553703</v>
      </c>
      <c r="EZ247" s="50">
        <f t="shared" si="371"/>
        <v>3.2958511050794885E-2</v>
      </c>
      <c r="FA247" s="51">
        <f t="shared" si="372"/>
        <v>36165</v>
      </c>
      <c r="FB247" s="51">
        <f t="shared" si="373"/>
        <v>25913</v>
      </c>
      <c r="FC247" s="14">
        <f>INT(SUMPRODUCT($AP247:$AT247,$BF247:$BJ247)/SUM($BF247:$BJ247)/10000*$BX$7*$BZ$46/'疲劳值&amp;地图信息'!$R$10*$BY$57)</f>
        <v>2266</v>
      </c>
      <c r="FD247" s="50">
        <f t="shared" si="374"/>
        <v>0.56205706825811264</v>
      </c>
      <c r="FE247" s="50">
        <f t="shared" si="375"/>
        <v>0.40272597289568568</v>
      </c>
      <c r="FF247" s="50">
        <f t="shared" si="376"/>
        <v>3.5216958846201664E-2</v>
      </c>
      <c r="FH247" s="14">
        <f t="shared" si="377"/>
        <v>26544</v>
      </c>
      <c r="FI247" s="14">
        <f t="shared" si="378"/>
        <v>30073</v>
      </c>
      <c r="FJ247" s="14">
        <f t="shared" si="379"/>
        <v>35002</v>
      </c>
      <c r="FK247" s="14">
        <f t="shared" si="380"/>
        <v>51580</v>
      </c>
      <c r="FL247" s="14">
        <f t="shared" si="381"/>
        <v>64344</v>
      </c>
      <c r="FM247" s="14">
        <f t="shared" si="382"/>
        <v>3118894</v>
      </c>
      <c r="FP247" s="14">
        <f t="shared" si="383"/>
        <v>334150</v>
      </c>
      <c r="FQ247" s="50">
        <f t="shared" si="323"/>
        <v>9.6769690742428999E-2</v>
      </c>
      <c r="FS247" s="14">
        <f t="shared" si="384"/>
        <v>3453044</v>
      </c>
      <c r="FX247" s="14">
        <v>242</v>
      </c>
      <c r="FY247" s="51">
        <f t="shared" si="385"/>
        <v>33980</v>
      </c>
      <c r="FZ247" s="51">
        <f t="shared" si="386"/>
        <v>1830</v>
      </c>
      <c r="GA247" s="51">
        <f>INT(SUMPRODUCT($N247:$R247,$BF247:$BJ247)/SUM($BF247:$BJ247)/10000*$BX$7*$BZ$46/'疲劳值&amp;地图信息'!$R$10*$BY$53)</f>
        <v>442</v>
      </c>
      <c r="GB247" s="50">
        <f t="shared" si="387"/>
        <v>0.93732759571885693</v>
      </c>
      <c r="GC247" s="50">
        <f t="shared" si="388"/>
        <v>5.0479973518702419E-2</v>
      </c>
      <c r="GD247" s="50">
        <f t="shared" si="389"/>
        <v>1.2192430762440693E-2</v>
      </c>
      <c r="GE247" s="51">
        <f t="shared" si="390"/>
        <v>36673</v>
      </c>
      <c r="GF247" s="51">
        <f t="shared" si="391"/>
        <v>3043</v>
      </c>
      <c r="GG247" s="14">
        <f>INT(SUMPRODUCT($U247:$Y247,$BF247:$BJ247)/SUM($BF247:$BJ247)/10000*$BX$7*$BZ$46/'疲劳值&amp;地图信息'!$R$10*$BY$54)</f>
        <v>835</v>
      </c>
      <c r="GH247" s="50">
        <f t="shared" si="392"/>
        <v>0.90436733989297424</v>
      </c>
      <c r="GI247" s="50">
        <f t="shared" si="393"/>
        <v>7.504130600971616E-2</v>
      </c>
      <c r="GJ247" s="50">
        <f t="shared" si="394"/>
        <v>2.0591354097309562E-2</v>
      </c>
      <c r="GK247" s="51">
        <f t="shared" si="395"/>
        <v>40162</v>
      </c>
      <c r="GL247" s="51">
        <f t="shared" si="396"/>
        <v>5182</v>
      </c>
      <c r="GM247" s="14">
        <f>INT(SUMPRODUCT($AB247:$AF247,$BF247:$BJ247)/SUM($BF247:$BJ247)/10000*$BX$7*$BZ$46/'疲劳值&amp;地图信息'!$R$10*$BY$55)</f>
        <v>1133</v>
      </c>
      <c r="GN247" s="50">
        <f t="shared" si="397"/>
        <v>0.86412634206166494</v>
      </c>
      <c r="GO247" s="50">
        <f t="shared" si="398"/>
        <v>0.11149600877853562</v>
      </c>
      <c r="GP247" s="50">
        <f t="shared" si="399"/>
        <v>2.437764915979947E-2</v>
      </c>
      <c r="GQ247" s="51">
        <f t="shared" si="400"/>
        <v>48353</v>
      </c>
      <c r="GR247" s="51">
        <f t="shared" si="401"/>
        <v>15342</v>
      </c>
      <c r="GS247" s="14">
        <f>INT(SUMPRODUCT($AI247:$AM247,$BF247:$BJ247)/SUM($BF247:$BJ247)/10000*$BX$7*$BZ$46/'疲劳值&amp;地图信息'!$R$10*$BY$56)</f>
        <v>1700</v>
      </c>
      <c r="GT247" s="50">
        <f t="shared" si="402"/>
        <v>0.73939903662359507</v>
      </c>
      <c r="GU247" s="50">
        <f t="shared" si="403"/>
        <v>0.23460509213242603</v>
      </c>
      <c r="GV247" s="50">
        <f t="shared" si="404"/>
        <v>2.5995871243978896E-2</v>
      </c>
      <c r="GW247" s="51">
        <f t="shared" si="405"/>
        <v>50631</v>
      </c>
      <c r="GX247" s="51">
        <f t="shared" si="406"/>
        <v>25913</v>
      </c>
      <c r="GY247" s="14">
        <f>INT(SUMPRODUCT($AP247:$AT247,$BF247:$BJ247)/SUM($BF247:$BJ247)/10000*$BX$7*$BZ$46/'疲劳值&amp;地图信息'!$R$10*$BY$57)</f>
        <v>2266</v>
      </c>
      <c r="GZ247" s="50">
        <f t="shared" si="407"/>
        <v>0.64244385230300727</v>
      </c>
      <c r="HA247" s="50">
        <f t="shared" si="408"/>
        <v>0.32880345133866262</v>
      </c>
      <c r="HB247" s="50">
        <f t="shared" si="409"/>
        <v>2.8752696358330162E-2</v>
      </c>
      <c r="HD247" s="14">
        <f t="shared" si="410"/>
        <v>36252</v>
      </c>
      <c r="HE247" s="14">
        <f t="shared" si="411"/>
        <v>40551</v>
      </c>
      <c r="HF247" s="14">
        <f t="shared" si="412"/>
        <v>46477</v>
      </c>
      <c r="HG247" s="14">
        <f t="shared" si="413"/>
        <v>65395</v>
      </c>
      <c r="HH247" s="14">
        <f t="shared" si="414"/>
        <v>78810</v>
      </c>
      <c r="HI247" s="14">
        <f t="shared" si="415"/>
        <v>4201004</v>
      </c>
      <c r="HL247" s="14">
        <f t="shared" si="416"/>
        <v>430050</v>
      </c>
      <c r="HM247" s="50">
        <f t="shared" si="324"/>
        <v>9.2862229634981586E-2</v>
      </c>
      <c r="HO247" s="14">
        <f t="shared" si="417"/>
        <v>4631054</v>
      </c>
    </row>
    <row r="248" spans="11:223" x14ac:dyDescent="0.2">
      <c r="K248" s="14">
        <v>243</v>
      </c>
      <c r="L248" s="12">
        <f>求节点(节奏总纲!D$4:D$163,标准城池设计!AB$4:AB$163,$K248)*求节点(节奏总纲!D$4:D$163,攻城基础信息!$AC$5:$AC$164,$K248)</f>
        <v>715904.48763598374</v>
      </c>
      <c r="M248" s="12">
        <f>INDEX(其他调用!$AA$5:$AA$404,MATCH(K248,其他调用!$X$5:$X$404,0))*MIN(INDEX(其他调用!$AH$5:$AH$364,MATCH('征服点（新）'!K248,其他调用!$AG$5:$AG$364,0),1)/INDEX(其他调用!$AJ$5:$AJ$364,MATCH(K248,其他调用!$AG$5:$AG$364,0),0),5)*求节点(节奏总纲!D$4:D$163,攻城基础信息!$AC$5:$AC$164,$K248)</f>
        <v>53901.541557466924</v>
      </c>
      <c r="N248" s="12">
        <f>MIN(INDEX(其他调用!$AH$5:$AH$364,MATCH($K248,其他调用!$AG$5:$AG$364,0),1)/INDEX(其他调用!AH$5:AH$364,MATCH($K248,其他调用!$AG$5:$AG$364,0),0),1)*INDEX(其他调用!Y$5:Y$404,MATCH($K248,其他调用!$X$5:$X$404,0),0)</f>
        <v>41257.942003891934</v>
      </c>
      <c r="O248" s="12">
        <f>MIN(INDEX(其他调用!$AH$5:$AH$364,MATCH($K248,其他调用!$AG$5:$AG$364,0),1)/INDEX(其他调用!AI$5:AI$364,MATCH($K248,其他调用!$AG$5:$AG$364,0),0),1)*INDEX(其他调用!Z$5:Z$404,MATCH($K248,其他调用!$X$5:$X$404,0),0)</f>
        <v>25486.18001655738</v>
      </c>
      <c r="P248" s="12">
        <f>MIN(INDEX(其他调用!$AH$5:$AH$364,MATCH($K248,其他调用!$AG$5:$AG$364,0),1)/INDEX(其他调用!AJ$5:AJ$364,MATCH($K248,其他调用!$AG$5:$AG$364,0),0),1)*INDEX(其他调用!AA$5:AA$404,MATCH($K248,其他调用!$X$5:$X$404,0),0)</f>
        <v>15503.794875129543</v>
      </c>
      <c r="Q248" s="12">
        <f>MIN(INDEX(其他调用!$AH$5:$AH$364,MATCH($K248,其他调用!$AG$5:$AG$364,0),1)/INDEX(其他调用!AK$5:AK$364,MATCH($K248,其他调用!$AG$5:$AG$364,0),0),1)*INDEX(其他调用!AB$5:AB$404,MATCH($K248,其他调用!$X$5:$X$404,0),0)</f>
        <v>5501.76880604083</v>
      </c>
      <c r="R248" s="12">
        <f>MIN(INDEX(其他调用!$AH$5:$AH$364,MATCH($K248,其他调用!$AG$5:$AG$364,0),1)/INDEX(其他调用!AL$5:AL$364,MATCH($K248,其他调用!$AG$5:$AG$364,0),0),1)*INDEX(其他调用!AC$5:AC$404,MATCH($K248,其他调用!$X$5:$X$404,0),0)</f>
        <v>2916.6665356976964</v>
      </c>
      <c r="S248" s="12">
        <f>求节点(节奏总纲!D$4:D$163,标准城池设计!AC$4:AC$163,$K248)*求节点(节奏总纲!D$4:D$163,攻城基础信息!$AD$5:$AD$164,$K248)</f>
        <v>772982.56348055601</v>
      </c>
      <c r="T248" s="12">
        <f>INDEX(其他调用!$AA$5:$AA$404,MATCH($K248,其他调用!$X$5:$X$404,0))*MIN(INDEX(其他调用!AI$5:AI$364,MATCH($K248,其他调用!$AG$5:$AG$364,0),1)/INDEX(其他调用!$AJ$5:$AJ$364,MATCH($K248,其他调用!$AG$5:$AG$364,0),0),5)*求节点(节奏总纲!D$4:D$163,攻城基础信息!$AD$5:$AD$164,$K248)</f>
        <v>89697.261635349205</v>
      </c>
      <c r="U248" s="12">
        <f>MIN(INDEX(其他调用!$AI$5:$AI$364,MATCH($K248,其他调用!$AG$5:$AG$364,0),1)/INDEX(其他调用!AH$5:AH$364,MATCH($K248,其他调用!$AG$5:$AG$364,0),0),1)*INDEX(其他调用!Y$5:Y$404,MATCH($K248,其他调用!$X$5:$X$404,0),0)</f>
        <v>41257.942003891934</v>
      </c>
      <c r="V248" s="12">
        <f>MIN(INDEX(其他调用!$AI$5:$AI$364,MATCH($K248,其他调用!$AG$5:$AG$364,0),1)/INDEX(其他调用!AI$5:AI$364,MATCH($K248,其他调用!$AG$5:$AG$364,0),0),1)*INDEX(其他调用!Z$5:Z$404,MATCH($K248,其他调用!$X$5:$X$404,0),0)</f>
        <v>42411.413309830896</v>
      </c>
      <c r="W248" s="12">
        <f>MIN(INDEX(其他调用!$AI$5:$AI$364,MATCH($K248,其他调用!$AG$5:$AG$364,0),1)/INDEX(其他调用!AJ$5:AJ$364,MATCH($K248,其他调用!$AG$5:$AG$364,0),0),1)*INDEX(其他调用!AA$5:AA$404,MATCH($K248,其他调用!$X$5:$X$404,0),0)</f>
        <v>25799.78058276212</v>
      </c>
      <c r="X248" s="12">
        <f>MIN(INDEX(其他调用!$AI$5:$AI$364,MATCH($K248,其他调用!$AG$5:$AG$364,0),1)/INDEX(其他调用!AK$5:AK$364,MATCH($K248,其他调用!$AG$5:$AG$364,0),0),1)*INDEX(其他调用!AB$5:AB$404,MATCH($K248,其他调用!$X$5:$X$404,0),0)</f>
        <v>9155.4634949820647</v>
      </c>
      <c r="Y248" s="12">
        <f>MIN(INDEX(其他调用!$AI$5:$AI$364,MATCH($K248,其他调用!$AG$5:$AG$364,0),1)/INDEX(其他调用!AL$5:AL$364,MATCH($K248,其他调用!$AG$5:$AG$364,0),0),1)*INDEX(其他调用!AC$5:AC$404,MATCH($K248,其他调用!$X$5:$X$404,0),0)</f>
        <v>4853.6088912526166</v>
      </c>
      <c r="Z248" s="12">
        <f>求节点(节奏总纲!D$4:D$163,标准城池设计!AD$4:AD$163,$K248)*求节点(节奏总纲!D$4:D$163,攻城基础信息!$AE$5:$AE$164,$K248)</f>
        <v>846661.74003867363</v>
      </c>
      <c r="AA248" s="12">
        <f>INDEX(其他调用!$AA$5:$AA$404,MATCH($K248,其他调用!$X$5:$X$404,0))*MIN(INDEX(其他调用!AJ$5:AJ$364,MATCH($K248,其他调用!$AG$5:$AG$364,0),1)/INDEX(其他调用!$AJ$5:$AJ$364,MATCH($K248,其他调用!$AG$5:$AG$364,0),0),5)*求节点(节奏总纲!D$4:D$163,攻城基础信息!$AE$5:$AE$164,$K248)</f>
        <v>152740.4480535489</v>
      </c>
      <c r="AB248" s="12">
        <f>MIN(INDEX(其他调用!$AJ$5:$AJ$364,MATCH($K248,其他调用!$AG$5:$AG$364,0),1)/INDEX(其他调用!AH$5:AH$364,MATCH($K248,其他调用!$AG$5:$AG$364,0),0),1)*INDEX(其他调用!Y$5:Y$404,MATCH($K248,其他调用!$X$5:$X$404,0),0)</f>
        <v>41257.942003891934</v>
      </c>
      <c r="AC248" s="12">
        <f>MIN(INDEX(其他调用!$AJ$5:$AJ$364,MATCH($K248,其他调用!$AG$5:$AG$364,0),1)/INDEX(其他调用!AI$5:AI$364,MATCH($K248,其他调用!$AG$5:$AG$364,0),0),1)*INDEX(其他调用!Z$5:Z$404,MATCH($K248,其他调用!$X$5:$X$404,0),0)</f>
        <v>42411.413309830896</v>
      </c>
      <c r="AD248" s="12">
        <f>MIN(INDEX(其他调用!$AJ$5:$AJ$364,MATCH($K248,其他调用!$AG$5:$AG$364,0),1)/INDEX(其他调用!AJ$5:AJ$364,MATCH($K248,其他调用!$AG$5:$AG$364,0),0),1)*INDEX(其他调用!AA$5:AA$404,MATCH($K248,其他调用!$X$5:$X$404,0),0)</f>
        <v>43933.002792376668</v>
      </c>
      <c r="AE248" s="12">
        <f>MIN(INDEX(其他调用!$AJ$5:$AJ$364,MATCH($K248,其他调用!$AG$5:$AG$364,0),1)/INDEX(其他调用!AK$5:AK$364,MATCH($K248,其他调用!$AG$5:$AG$364,0),0),1)*INDEX(其他调用!AB$5:AB$404,MATCH($K248,其他调用!$X$5:$X$404,0),0)</f>
        <v>15590.326514609736</v>
      </c>
      <c r="AF248" s="12">
        <f>MIN(INDEX(其他调用!$AJ$5:$AJ$364,MATCH($K248,其他调用!$AG$5:$AG$364,0),1)/INDEX(其他调用!AL$5:AL$364,MATCH($K248,其他调用!$AG$5:$AG$364,0),0),1)*INDEX(其他调用!AC$5:AC$404,MATCH($K248,其他调用!$X$5:$X$404,0),0)</f>
        <v>8264.9390094028731</v>
      </c>
      <c r="AG248" s="12">
        <f>求节点(节奏总纲!D$4:D$163,标准城池设计!AE$4:AE$163,$K248)*求节点(节奏总纲!D$4:D$163,攻城基础信息!$AF$5:$AF$164,$K248)</f>
        <v>1019447.4160027209</v>
      </c>
      <c r="AH248" s="12">
        <f>INDEX(其他调用!$AA$5:$AA$404,MATCH($K248,其他调用!$X$5:$X$404,0))*MIN(INDEX(其他调用!AK$5:AK$364,MATCH($K248,其他调用!$AG$5:$AG$364,0),1)/INDEX(其他调用!$AJ$5:$AJ$364,MATCH($K248,其他调用!$AG$5:$AG$364,0),0),5)*求节点(节奏总纲!D$4:D$163,攻城基础信息!$AF$5:$AF$164,$K248)</f>
        <v>452293.50608981203</v>
      </c>
      <c r="AI248" s="12">
        <f>MIN(INDEX(其他调用!$AK$5:$AK$364,MATCH($K248,其他调用!$AG$5:$AG$364,0),1)/INDEX(其他调用!AH$5:AH$364,MATCH($K248,其他调用!$AG$5:$AG$364,0),0),1)*INDEX(其他调用!Y$5:Y$404,MATCH($K248,其他调用!$X$5:$X$404,0),0)</f>
        <v>41257.942003891934</v>
      </c>
      <c r="AJ248" s="12">
        <f>MIN(INDEX(其他调用!$AK$5:$AK$364,MATCH($K248,其他调用!$AG$5:$AG$364,0),1)/INDEX(其他调用!AI$5:AI$364,MATCH($K248,其他调用!$AG$5:$AG$364,0),0),1)*INDEX(其他调用!Z$5:Z$404,MATCH($K248,其他调用!$X$5:$X$404,0),0)</f>
        <v>42411.413309830896</v>
      </c>
      <c r="AK248" s="12">
        <f>MIN(INDEX(其他调用!$AK$5:$AK$364,MATCH($K248,其他调用!$AG$5:$AG$364,0),1)/INDEX(其他调用!AJ$5:AJ$364,MATCH($K248,其他调用!$AG$5:$AG$364,0),0),1)*INDEX(其他调用!AA$5:AA$404,MATCH($K248,其他调用!$X$5:$X$404,0),0)</f>
        <v>43933.002792376668</v>
      </c>
      <c r="AL248" s="12">
        <f>MIN(INDEX(其他调用!$AK$5:$AK$364,MATCH($K248,其他调用!$AG$5:$AG$364,0),1)/INDEX(其他调用!AK$5:AK$364,MATCH($K248,其他调用!$AG$5:$AG$364,0),0),1)*INDEX(其他调用!AB$5:AB$404,MATCH($K248,其他调用!$X$5:$X$404,0),0)</f>
        <v>46165.920882369435</v>
      </c>
      <c r="AM248" s="12">
        <f>MIN(INDEX(其他调用!$AK$5:$AK$364,MATCH($K248,其他调用!$AG$5:$AG$364,0),1)/INDEX(其他调用!AL$5:AL$364,MATCH($K248,其他调用!$AG$5:$AG$364,0),0),1)*INDEX(其他调用!AC$5:AC$404,MATCH($K248,其他调用!$X$5:$X$404,0),0)</f>
        <v>24474.055758110157</v>
      </c>
      <c r="AN248" s="12">
        <f>求节点(节奏总纲!D$4:D$163,标准城池设计!AF$4:AF$163,$K248)*求节点(节奏总纲!D$4:D$163,攻城基础信息!$AG$5:$AG$164,$K248)</f>
        <v>1067462.0578472794</v>
      </c>
      <c r="AO248" s="12">
        <f>INDEX(其他调用!$AA$5:$AA$404,MATCH($K248,其他调用!$X$5:$X$404,0))*MIN(INDEX(其他调用!AL$5:AL$364,MATCH($K248,其他调用!$AG$5:$AG$364,0),1)/INDEX(其他调用!$AJ$5:$AJ$364,MATCH($K248,其他调用!$AG$5:$AG$364,0),0),5)*求节点(节奏总纲!D$4:D$163,攻城基础信息!$AG$5:$AG$164,$K248)</f>
        <v>763702.24026774452</v>
      </c>
      <c r="AP248" s="12">
        <f>MIN(INDEX(其他调用!$AL$5:$AL$364,MATCH($K248,其他调用!$AG$5:$AG$364,0),1)/INDEX(其他调用!AH$5:AH$364,MATCH($K248,其他调用!$AG$5:$AG$364,0),0),1)*INDEX(其他调用!Y$5:Y$404,MATCH($K248,其他调用!$X$5:$X$404,0),0)</f>
        <v>41257.942003891934</v>
      </c>
      <c r="AQ248" s="12">
        <f>MIN(INDEX(其他调用!$AL$5:$AL$364,MATCH($K248,其他调用!$AG$5:$AG$364,0),1)/INDEX(其他调用!AI$5:AI$364,MATCH($K248,其他调用!$AG$5:$AG$364,0),0),1)*INDEX(其他调用!Z$5:Z$404,MATCH($K248,其他调用!$X$5:$X$404,0),0)</f>
        <v>42411.413309830896</v>
      </c>
      <c r="AR248" s="12">
        <f>MIN(INDEX(其他调用!$AL$5:$AL$364,MATCH($K248,其他调用!$AG$5:$AG$364,0),1)/INDEX(其他调用!AJ$5:AJ$364,MATCH($K248,其他调用!$AG$5:$AG$364,0),0),1)*INDEX(其他调用!AA$5:AA$404,MATCH($K248,其他调用!$X$5:$X$404,0),0)</f>
        <v>43933.002792376668</v>
      </c>
      <c r="AS248" s="12">
        <f>MIN(INDEX(其他调用!$AL$5:$AL$364,MATCH($K248,其他调用!$AG$5:$AG$364,0),1)/INDEX(其他调用!AK$5:AK$364,MATCH($K248,其他调用!$AG$5:$AG$364,0),0),1)*INDEX(其他调用!AB$5:AB$404,MATCH($K248,其他调用!$X$5:$X$404,0),0)</f>
        <v>46165.920882369435</v>
      </c>
      <c r="AT248" s="12">
        <f>MIN(INDEX(其他调用!$AL$5:$AL$364,MATCH($K248,其他调用!$AG$5:$AG$364,0),1)/INDEX(其他调用!AL$5:AL$364,MATCH($K248,其他调用!$AG$5:$AG$364,0),0),1)*INDEX(其他调用!AC$5:AC$404,MATCH($K248,其他调用!$X$5:$X$404,0),0)</f>
        <v>50064.866494621485</v>
      </c>
      <c r="AV248" s="14">
        <f>IF(OR(AV$5="大R",AV$5="超R"),MAX(INDEX(其他调用!$H$5:$L$404,MATCH($K248,其他调用!$B$5:$B$404,0),MATCH(AV$5,其他调用!$H$4:$L$4,0))*120*0.85,2),INDEX(其他调用!$H$5:$L$404,MATCH($K248,其他调用!$B$5:$B$404,0),MATCH(AV$5,其他调用!$H$4:$L$4,0))*120*0.85)</f>
        <v>48.921801254999991</v>
      </c>
      <c r="AW248" s="14">
        <f>IF(OR(AW$5="大R",AW$5="超R"),MAX(INDEX(其他调用!$H$5:$L$404,MATCH($K248,其他调用!$B$5:$B$404,0),MATCH(AW$5,其他调用!$H$4:$L$4,0))*120*0.85,2),INDEX(其他调用!$H$5:$L$404,MATCH($K248,其他调用!$B$5:$B$404,0),MATCH(AW$5,其他调用!$H$4:$L$4,0))*120*0.85)</f>
        <v>48.237344010638395</v>
      </c>
      <c r="AX248" s="14">
        <f>IF(OR(AX$5="大R",AX$5="超R"),MAX(INDEX(其他调用!$H$5:$L$404,MATCH($K248,其他调用!$B$5:$B$404,0),MATCH(AX$5,其他调用!$H$4:$L$4,0))*120*0.85,2),INDEX(其他调用!$H$5:$L$404,MATCH($K248,其他调用!$B$5:$B$404,0),MATCH(AX$5,其他调用!$H$4:$L$4,0))*120*0.85)</f>
        <v>3.9376284143615998</v>
      </c>
      <c r="AY248" s="14">
        <f>IF(OR(AY$5="大R",AY$5="超R"),MAX(INDEX(其他调用!$H$5:$L$404,MATCH($K248,其他调用!$B$5:$B$404,0),MATCH(AY$5,其他调用!$H$4:$L$4,0))*120*0.85,2),INDEX(其他调用!$H$5:$L$404,MATCH($K248,其他调用!$B$5:$B$404,0),MATCH(AY$5,其他调用!$H$4:$L$4,0))*120*0.85)</f>
        <v>2</v>
      </c>
      <c r="AZ248" s="14">
        <f>IF(OR(AZ$5="大R",AZ$5="超R"),MAX(INDEX(其他调用!$H$5:$L$404,MATCH($K248,其他调用!$B$5:$B$404,0),MATCH(AZ$5,其他调用!$H$4:$L$4,0))*120*0.85,2),INDEX(其他调用!$H$5:$L$404,MATCH($K248,其他调用!$B$5:$B$404,0),MATCH(AZ$5,其他调用!$H$4:$L$4,0))*120*0.85)</f>
        <v>2</v>
      </c>
      <c r="BA248" s="14">
        <f>INDEX(其他调用!$H$5:$L$404,MATCH($K248,其他调用!$B$5:$B$404,0),MATCH(BA$5,其他调用!$H$4:$L$4,0))*INDEX(其他调用!$M$5:$M$404,MATCH($K248,其他调用!$B$5:$B$404,0))*0.6</f>
        <v>28.777530149999997</v>
      </c>
      <c r="BB248" s="14">
        <f>INDEX(其他调用!$H$5:$L$404,MATCH($K248,其他调用!$B$5:$B$404,0),MATCH(BB$5,其他调用!$H$4:$L$4,0))*INDEX(其他调用!$M$5:$M$404,MATCH($K248,其他调用!$B$5:$B$404,0))*0.6</f>
        <v>28.374908241551999</v>
      </c>
      <c r="BC248" s="14">
        <f>INDEX(其他调用!$H$5:$L$404,MATCH($K248,其他调用!$B$5:$B$404,0),MATCH(BC$5,其他调用!$H$4:$L$4,0))*INDEX(其他调用!$M$5:$M$404,MATCH($K248,其他调用!$B$5:$B$404,0))*0.6</f>
        <v>2.3162520084480001</v>
      </c>
      <c r="BD248" s="14">
        <f>INDEX(其他调用!$H$5:$L$404,MATCH($K248,其他调用!$B$5:$B$404,0),MATCH(BD$5,其他调用!$H$4:$L$4,0))*INDEX(其他调用!$M$5:$M$404,MATCH($K248,其他调用!$B$5:$B$404,0))*0.6</f>
        <v>0.4120776000000001</v>
      </c>
      <c r="BE248" s="14">
        <f>INDEX(其他调用!$H$5:$L$404,MATCH($K248,其他调用!$B$5:$B$404,0),MATCH(BE$5,其他调用!$H$4:$L$4,0))*INDEX(其他调用!$M$5:$M$404,MATCH($K248,其他调用!$B$5:$B$404,0))*0.6</f>
        <v>0.11923199999999998</v>
      </c>
      <c r="BF248" s="14">
        <f>IF(OR(BF$5="大R",BF$5="超R"),0,INDEX(其他调用!$H$5:$L$404,MATCH($K248,其他调用!$B$5:$B$404,0),MATCH(BF$5,其他调用!$H$4:$L$4,0))*50*0.4)</f>
        <v>9.5925100500000013</v>
      </c>
      <c r="BG248" s="14">
        <f>IF(OR(BG$5="大R",BG$5="超R"),0,INDEX(其他调用!$H$5:$L$404,MATCH($K248,其他调用!$B$5:$B$404,0),MATCH(BG$5,其他调用!$H$4:$L$4,0))*50*0.4)</f>
        <v>9.4583027471839998</v>
      </c>
      <c r="BH248" s="14">
        <f>IF(OR(BH$5="大R",BH$5="超R"),0,INDEX(其他调用!$H$5:$L$404,MATCH($K248,其他调用!$B$5:$B$404,0),MATCH(BH$5,其他调用!$H$4:$L$4,0))*50*0.4)</f>
        <v>0.77208400281600009</v>
      </c>
      <c r="BI248" s="14">
        <f>IF(OR(BI$5="大R",BI$5="超R"),0,INDEX(其他调用!$H$5:$L$404,MATCH($K248,其他调用!$B$5:$B$404,0),MATCH(BI$5,其他调用!$H$4:$L$4,0))*50*0.4)</f>
        <v>0</v>
      </c>
      <c r="BJ248" s="14">
        <f>IF(OR(BJ$5="大R",BJ$5="超R"),0,INDEX(其他调用!$H$5:$L$404,MATCH($K248,其他调用!$B$5:$B$404,0),MATCH(BJ$5,其他调用!$H$4:$L$4,0))*50*0.4)</f>
        <v>0</v>
      </c>
      <c r="BL248" s="14">
        <f t="shared" si="418"/>
        <v>243</v>
      </c>
      <c r="BM248" s="14">
        <f t="shared" si="325"/>
        <v>96</v>
      </c>
      <c r="BN248" s="14">
        <f>('疲劳值&amp;地图信息'!$S$10*'疲劳值&amp;地图信息'!$R$10+'疲劳值&amp;地图信息'!$S$11*'疲劳值&amp;地图信息'!$R$11+'疲劳值&amp;地图信息'!$S$12*'疲劳值&amp;地图信息'!$R$12+(BM248-'疲劳值&amp;地图信息'!$S$12-'疲劳值&amp;地图信息'!$S$11-'疲劳值&amp;地图信息'!$S$10)*'疲劳值&amp;地图信息'!$R$13)/BM248</f>
        <v>51.371477246638619</v>
      </c>
      <c r="BO248" s="14">
        <f>INDEX(其他调用!$M$5:$M$404,MATCH(BL248,其他调用!$B$5:$B$404,0))*0.6</f>
        <v>60</v>
      </c>
      <c r="BP248" s="14">
        <f>IF(BO248&gt;SUM('疲劳值&amp;地图信息'!$S$10:$S$12),('疲劳值&amp;地图信息'!$S$10*'疲劳值&amp;地图信息'!$R$10+'疲劳值&amp;地图信息'!$S$11*'疲劳值&amp;地图信息'!$R$11+'疲劳值&amp;地图信息'!$S$12*'疲劳值&amp;地图信息'!$R$12+(BO248-'疲劳值&amp;地图信息'!$S$12-'疲劳值&amp;地图信息'!$S$11-'疲劳值&amp;地图信息'!$S$10)*'疲劳值&amp;地图信息'!$R$13)/BO248,('疲劳值&amp;地图信息'!$S$10*'疲劳值&amp;地图信息'!$R$10+'疲劳值&amp;地图信息'!$S$11*'疲劳值&amp;地图信息'!$R$11+'疲劳值&amp;地图信息'!$S$12*'疲劳值&amp;地图信息'!$R$12+(BO248-'疲劳值&amp;地图信息'!$S$12-'疲劳值&amp;地图信息'!$S$11-'疲劳值&amp;地图信息'!$S$10)*'疲劳值&amp;地图信息'!$R$13)/BO248)</f>
        <v>44.158136341605953</v>
      </c>
      <c r="BQ248" s="14">
        <f t="shared" si="419"/>
        <v>20</v>
      </c>
      <c r="BR248" s="14">
        <f>('疲劳值&amp;地图信息'!$S$10*'疲劳值&amp;地图信息'!$R$10+($BQ248-'疲劳值&amp;地图信息'!$S$10)*'疲劳值&amp;地图信息'!$R$11)/$BQ248</f>
        <v>32.067203015074995</v>
      </c>
      <c r="CF248" s="14">
        <v>243</v>
      </c>
      <c r="CG248" s="51">
        <f t="shared" si="326"/>
        <v>14591</v>
      </c>
      <c r="CH248" s="51">
        <f t="shared" si="327"/>
        <v>1098</v>
      </c>
      <c r="CI248" s="51">
        <f>INT(SUMPRODUCT($N248:$R248,$BA248:$BE248)/SUM($BA248:$BE248)/10000*$BX$7*$BZ$34/'疲劳值&amp;地图信息'!$R$10*$BY$53)</f>
        <v>3295</v>
      </c>
      <c r="CJ248" s="50">
        <f t="shared" si="328"/>
        <v>0.76859460598398655</v>
      </c>
      <c r="CK248" s="50">
        <f t="shared" si="329"/>
        <v>5.7838179519595447E-2</v>
      </c>
      <c r="CL248" s="50">
        <f t="shared" si="330"/>
        <v>0.17356721449641804</v>
      </c>
      <c r="CM248" s="14">
        <f t="shared" si="331"/>
        <v>15754</v>
      </c>
      <c r="CN248" s="14">
        <f t="shared" si="332"/>
        <v>1828</v>
      </c>
      <c r="CO248" s="14">
        <f>INT(SUMPRODUCT($U248:$Y248,$BA248:$BE248)/SUM($BA248:$BE248)/10000*$BX$7*$BZ$34/'疲劳值&amp;地图信息'!$R$10*$BY$54)</f>
        <v>6227</v>
      </c>
      <c r="CP248" s="50">
        <f t="shared" si="333"/>
        <v>0.66168255701625434</v>
      </c>
      <c r="CQ248" s="50">
        <f t="shared" si="334"/>
        <v>7.6777689109160399E-2</v>
      </c>
      <c r="CR248" s="50">
        <f t="shared" si="335"/>
        <v>0.26153975387458522</v>
      </c>
      <c r="CS248" s="14">
        <f t="shared" si="336"/>
        <v>17256</v>
      </c>
      <c r="CT248" s="14">
        <f t="shared" si="337"/>
        <v>3113</v>
      </c>
      <c r="CU248" s="14">
        <f>INT(SUMPRODUCT($AB248:$AF248,$BA248:$BE248)/SUM($BA248:$BE248)/10000*$BX$7*$BZ$34/'疲劳值&amp;地图信息'!$R$10*$BY$55)</f>
        <v>8455</v>
      </c>
      <c r="CV248" s="50">
        <f t="shared" si="338"/>
        <v>0.59866777685262285</v>
      </c>
      <c r="CW248" s="50">
        <f t="shared" si="339"/>
        <v>0.10800027754648904</v>
      </c>
      <c r="CX248" s="50">
        <f t="shared" si="340"/>
        <v>0.29333194560088816</v>
      </c>
      <c r="CY248" s="14">
        <f t="shared" si="341"/>
        <v>20777</v>
      </c>
      <c r="CZ248" s="14">
        <f t="shared" si="342"/>
        <v>9218</v>
      </c>
      <c r="DA248" s="14">
        <f>INT(SUMPRODUCT($AI248:$AM248,$BA248:$BE248)/SUM($BA248:$BE248)/10000*$BX$7*$BZ$34/'疲劳值&amp;地图信息'!$R$10*$BY$56)</f>
        <v>12756</v>
      </c>
      <c r="DB248" s="50">
        <f t="shared" si="343"/>
        <v>0.48600032747771982</v>
      </c>
      <c r="DC248" s="50">
        <f t="shared" si="344"/>
        <v>0.2156206872353863</v>
      </c>
      <c r="DD248" s="50">
        <f t="shared" si="345"/>
        <v>0.29837898528689388</v>
      </c>
      <c r="DE248" s="14">
        <f t="shared" si="346"/>
        <v>21756</v>
      </c>
      <c r="DF248" s="14">
        <f t="shared" si="347"/>
        <v>15565</v>
      </c>
      <c r="DG248" s="14">
        <f>INT(SUMPRODUCT($AP248:$AT248,$BA248:$BE248)/SUM($BA248:$BE248)/10000*$BX$7*$BZ$34/'疲劳值&amp;地图信息'!$R$10*$BY$57)</f>
        <v>17029</v>
      </c>
      <c r="DH248" s="50">
        <f t="shared" si="348"/>
        <v>0.400294388224471</v>
      </c>
      <c r="DI248" s="50">
        <f t="shared" si="349"/>
        <v>0.28638454461821528</v>
      </c>
      <c r="DJ248" s="50">
        <f t="shared" si="350"/>
        <v>0.31332106715731373</v>
      </c>
      <c r="DL248" s="14">
        <f t="shared" si="421"/>
        <v>18984</v>
      </c>
      <c r="DM248" s="14">
        <f t="shared" si="422"/>
        <v>23809</v>
      </c>
      <c r="DN248" s="14">
        <f t="shared" si="423"/>
        <v>28824</v>
      </c>
      <c r="DO248" s="14">
        <f t="shared" si="424"/>
        <v>42751</v>
      </c>
      <c r="DP248" s="14">
        <f t="shared" si="425"/>
        <v>54350</v>
      </c>
      <c r="DQ248" s="14">
        <f t="shared" si="426"/>
        <v>1312751</v>
      </c>
      <c r="DT248" s="14">
        <f t="shared" si="420"/>
        <v>235575</v>
      </c>
      <c r="DU248" s="50">
        <f t="shared" si="322"/>
        <v>0.15214819101403709</v>
      </c>
      <c r="DW248" s="14">
        <f t="shared" si="351"/>
        <v>1548326</v>
      </c>
      <c r="EB248" s="14">
        <v>243</v>
      </c>
      <c r="EC248" s="51">
        <f t="shared" si="352"/>
        <v>24318</v>
      </c>
      <c r="ED248" s="51">
        <f t="shared" si="353"/>
        <v>1830</v>
      </c>
      <c r="EE248" s="51">
        <f>INT(SUMPRODUCT($N248:$R248,$BF248:$BJ248)/SUM($BF248:$BJ248)/10000*$BX$7*$BZ$46/'疲劳值&amp;地图信息'!$R$10*$BY$53)</f>
        <v>442</v>
      </c>
      <c r="EF248" s="50">
        <f t="shared" si="354"/>
        <v>0.91455434373824751</v>
      </c>
      <c r="EG248" s="50">
        <f t="shared" si="355"/>
        <v>6.8822865738999622E-2</v>
      </c>
      <c r="EH248" s="50">
        <f t="shared" si="356"/>
        <v>1.6622790522752916E-2</v>
      </c>
      <c r="EI248" s="51">
        <f t="shared" si="357"/>
        <v>26257</v>
      </c>
      <c r="EJ248" s="51">
        <f t="shared" si="358"/>
        <v>3046</v>
      </c>
      <c r="EK248" s="14">
        <f>INT(SUMPRODUCT($U248:$Y248,$BF248:$BJ248)/SUM($BF248:$BJ248)/10000*$BX$7*$BZ$46/'疲劳值&amp;地图信息'!$R$10*$BY$54)</f>
        <v>836</v>
      </c>
      <c r="EL248" s="50">
        <f t="shared" si="359"/>
        <v>0.87119678821460567</v>
      </c>
      <c r="EM248" s="50">
        <f t="shared" si="360"/>
        <v>0.10106506519791632</v>
      </c>
      <c r="EN248" s="50">
        <f t="shared" si="361"/>
        <v>2.7738146587478019E-2</v>
      </c>
      <c r="EO248" s="51">
        <f t="shared" si="362"/>
        <v>28760</v>
      </c>
      <c r="EP248" s="51">
        <f t="shared" si="363"/>
        <v>5188</v>
      </c>
      <c r="EQ248" s="14">
        <f>INT(SUMPRODUCT($AB248:$AF248,$BF248:$BJ248)/SUM($BF248:$BJ248)/10000*$BX$7*$BZ$46/'疲劳值&amp;地图信息'!$R$10*$BY$55)</f>
        <v>1134</v>
      </c>
      <c r="ER248" s="50">
        <f t="shared" si="364"/>
        <v>0.81979362636109687</v>
      </c>
      <c r="ES248" s="50">
        <f t="shared" si="365"/>
        <v>0.14788210478307964</v>
      </c>
      <c r="ET248" s="50">
        <f t="shared" si="366"/>
        <v>3.2324268855823499E-2</v>
      </c>
      <c r="EU248" s="51">
        <f t="shared" si="367"/>
        <v>34629</v>
      </c>
      <c r="EV248" s="51">
        <f t="shared" si="368"/>
        <v>15363</v>
      </c>
      <c r="EW248" s="14">
        <f>INT(SUMPRODUCT($AI248:$AM248,$BF248:$BJ248)/SUM($BF248:$BJ248)/10000*$BX$7*$BZ$46/'疲劳值&amp;地图信息'!$R$10*$BY$56)</f>
        <v>1701</v>
      </c>
      <c r="EX248" s="50">
        <f t="shared" si="369"/>
        <v>0.66989727816145317</v>
      </c>
      <c r="EY248" s="50">
        <f t="shared" si="370"/>
        <v>0.29719691254134989</v>
      </c>
      <c r="EZ248" s="50">
        <f t="shared" si="371"/>
        <v>3.2905809297196914E-2</v>
      </c>
      <c r="FA248" s="51">
        <f t="shared" si="372"/>
        <v>36260</v>
      </c>
      <c r="FB248" s="51">
        <f t="shared" si="373"/>
        <v>25942</v>
      </c>
      <c r="FC248" s="14">
        <f>INT(SUMPRODUCT($AP248:$AT248,$BF248:$BJ248)/SUM($BF248:$BJ248)/10000*$BX$7*$BZ$46/'疲劳值&amp;地图信息'!$R$10*$BY$57)</f>
        <v>2268</v>
      </c>
      <c r="FD248" s="50">
        <f t="shared" si="374"/>
        <v>0.56243213897937028</v>
      </c>
      <c r="FE248" s="50">
        <f t="shared" si="375"/>
        <v>0.40238870792616721</v>
      </c>
      <c r="FF248" s="50">
        <f t="shared" si="376"/>
        <v>3.517915309446254E-2</v>
      </c>
      <c r="FH248" s="14">
        <f t="shared" si="377"/>
        <v>26590</v>
      </c>
      <c r="FI248" s="14">
        <f t="shared" si="378"/>
        <v>30139</v>
      </c>
      <c r="FJ248" s="14">
        <f t="shared" si="379"/>
        <v>35082</v>
      </c>
      <c r="FK248" s="14">
        <f t="shared" si="380"/>
        <v>51693</v>
      </c>
      <c r="FL248" s="14">
        <f t="shared" si="381"/>
        <v>64470</v>
      </c>
      <c r="FM248" s="14">
        <f t="shared" si="382"/>
        <v>3125121</v>
      </c>
      <c r="FP248" s="14">
        <f t="shared" si="383"/>
        <v>334150</v>
      </c>
      <c r="FQ248" s="50">
        <f t="shared" si="323"/>
        <v>9.6595496565605871E-2</v>
      </c>
      <c r="FS248" s="14">
        <f t="shared" si="384"/>
        <v>3459271</v>
      </c>
      <c r="FX248" s="14">
        <v>243</v>
      </c>
      <c r="FY248" s="51">
        <f t="shared" si="385"/>
        <v>34045</v>
      </c>
      <c r="FZ248" s="51">
        <f t="shared" si="386"/>
        <v>1830</v>
      </c>
      <c r="GA248" s="51">
        <f>INT(SUMPRODUCT($N248:$R248,$BF248:$BJ248)/SUM($BF248:$BJ248)/10000*$BX$7*$BZ$46/'疲劳值&amp;地图信息'!$R$10*$BY$53)</f>
        <v>442</v>
      </c>
      <c r="GB248" s="50">
        <f t="shared" si="387"/>
        <v>0.93743976650053695</v>
      </c>
      <c r="GC248" s="50">
        <f t="shared" si="388"/>
        <v>5.038962469366963E-2</v>
      </c>
      <c r="GD248" s="50">
        <f t="shared" si="389"/>
        <v>1.217060880579343E-2</v>
      </c>
      <c r="GE248" s="51">
        <f t="shared" si="390"/>
        <v>36760</v>
      </c>
      <c r="GF248" s="51">
        <f t="shared" si="391"/>
        <v>3046</v>
      </c>
      <c r="GG248" s="14">
        <f>INT(SUMPRODUCT($U248:$Y248,$BF248:$BJ248)/SUM($BF248:$BJ248)/10000*$BX$7*$BZ$46/'疲劳值&amp;地图信息'!$R$10*$BY$54)</f>
        <v>836</v>
      </c>
      <c r="GH248" s="50">
        <f t="shared" si="392"/>
        <v>0.90448304709413907</v>
      </c>
      <c r="GI248" s="50">
        <f t="shared" si="393"/>
        <v>7.494709906008562E-2</v>
      </c>
      <c r="GJ248" s="50">
        <f t="shared" si="394"/>
        <v>2.0569853845775306E-2</v>
      </c>
      <c r="GK248" s="51">
        <f t="shared" si="395"/>
        <v>40264</v>
      </c>
      <c r="GL248" s="51">
        <f t="shared" si="396"/>
        <v>5188</v>
      </c>
      <c r="GM248" s="14">
        <f>INT(SUMPRODUCT($AB248:$AF248,$BF248:$BJ248)/SUM($BF248:$BJ248)/10000*$BX$7*$BZ$46/'疲劳值&amp;地图信息'!$R$10*$BY$55)</f>
        <v>1134</v>
      </c>
      <c r="GN248" s="50">
        <f t="shared" si="397"/>
        <v>0.86429399390374795</v>
      </c>
      <c r="GO248" s="50">
        <f t="shared" si="398"/>
        <v>0.11136392907740524</v>
      </c>
      <c r="GP248" s="50">
        <f t="shared" si="399"/>
        <v>2.4342077018846865E-2</v>
      </c>
      <c r="GQ248" s="51">
        <f t="shared" si="400"/>
        <v>48481</v>
      </c>
      <c r="GR248" s="51">
        <f t="shared" si="401"/>
        <v>15363</v>
      </c>
      <c r="GS248" s="14">
        <f>INT(SUMPRODUCT($AI248:$AM248,$BF248:$BJ248)/SUM($BF248:$BJ248)/10000*$BX$7*$BZ$46/'疲劳值&amp;地图信息'!$R$10*$BY$56)</f>
        <v>1701</v>
      </c>
      <c r="GT248" s="50">
        <f t="shared" si="402"/>
        <v>0.73965977572660002</v>
      </c>
      <c r="GU248" s="50">
        <f t="shared" si="403"/>
        <v>0.23438858799298193</v>
      </c>
      <c r="GV248" s="50">
        <f t="shared" si="404"/>
        <v>2.5951636280418033E-2</v>
      </c>
      <c r="GW248" s="51">
        <f t="shared" si="405"/>
        <v>50764</v>
      </c>
      <c r="GX248" s="51">
        <f t="shared" si="406"/>
        <v>25942</v>
      </c>
      <c r="GY248" s="14">
        <f>INT(SUMPRODUCT($AP248:$AT248,$BF248:$BJ248)/SUM($BF248:$BJ248)/10000*$BX$7*$BZ$46/'疲劳值&amp;地图信息'!$R$10*$BY$57)</f>
        <v>2268</v>
      </c>
      <c r="GZ248" s="50">
        <f t="shared" si="407"/>
        <v>0.64279383088104947</v>
      </c>
      <c r="HA248" s="50">
        <f t="shared" si="408"/>
        <v>0.32848785676298531</v>
      </c>
      <c r="HB248" s="50">
        <f t="shared" si="409"/>
        <v>2.8718312355965253E-2</v>
      </c>
      <c r="HD248" s="14">
        <f t="shared" si="410"/>
        <v>36317</v>
      </c>
      <c r="HE248" s="14">
        <f t="shared" si="411"/>
        <v>40642</v>
      </c>
      <c r="HF248" s="14">
        <f t="shared" si="412"/>
        <v>46586</v>
      </c>
      <c r="HG248" s="14">
        <f t="shared" si="413"/>
        <v>65545</v>
      </c>
      <c r="HH248" s="14">
        <f t="shared" si="414"/>
        <v>78974</v>
      </c>
      <c r="HI248" s="14">
        <f t="shared" si="415"/>
        <v>4209631</v>
      </c>
      <c r="HL248" s="14">
        <f t="shared" si="416"/>
        <v>430050</v>
      </c>
      <c r="HM248" s="50">
        <f t="shared" si="324"/>
        <v>9.2689562062564221E-2</v>
      </c>
      <c r="HO248" s="14">
        <f t="shared" si="417"/>
        <v>4639681</v>
      </c>
    </row>
    <row r="249" spans="11:223" x14ac:dyDescent="0.2">
      <c r="K249" s="14">
        <v>244</v>
      </c>
      <c r="L249" s="12">
        <f>求节点(节奏总纲!D$4:D$163,标准城池设计!AB$4:AB$163,$K249)*求节点(节奏总纲!D$4:D$163,攻城基础信息!$AC$5:$AC$164,$K249)</f>
        <v>717272.14175203594</v>
      </c>
      <c r="M249" s="12">
        <f>INDEX(其他调用!$AA$5:$AA$404,MATCH(K249,其他调用!$X$5:$X$404,0))*MIN(INDEX(其他调用!$AH$5:$AH$364,MATCH('征服点（新）'!K249,其他调用!$AG$5:$AG$364,0),1)/INDEX(其他调用!$AJ$5:$AJ$364,MATCH(K249,其他调用!$AG$5:$AG$364,0),0),5)*求节点(节奏总纲!D$4:D$163,攻城基础信息!$AC$5:$AC$164,$K249)</f>
        <v>53917.392334079021</v>
      </c>
      <c r="N249" s="12">
        <f>MIN(INDEX(其他调用!$AH$5:$AH$364,MATCH($K249,其他调用!$AG$5:$AG$364,0),1)/INDEX(其他调用!AH$5:AH$364,MATCH($K249,其他调用!$AG$5:$AG$364,0),0),1)*INDEX(其他调用!Y$5:Y$404,MATCH($K249,其他调用!$X$5:$X$404,0),0)</f>
        <v>41281.103451423442</v>
      </c>
      <c r="O249" s="12">
        <f>MIN(INDEX(其他调用!$AH$5:$AH$364,MATCH($K249,其他调用!$AG$5:$AG$364,0),1)/INDEX(其他调用!AI$5:AI$364,MATCH($K249,其他调用!$AG$5:$AG$364,0),0),1)*INDEX(其他调用!Z$5:Z$404,MATCH($K249,其他调用!$X$5:$X$404,0),0)</f>
        <v>25475.882748807657</v>
      </c>
      <c r="P249" s="12">
        <f>MIN(INDEX(其他调用!$AH$5:$AH$364,MATCH($K249,其他调用!$AG$5:$AG$364,0),1)/INDEX(其他调用!AJ$5:AJ$364,MATCH($K249,其他调用!$AG$5:$AG$364,0),0),1)*INDEX(其他调用!AA$5:AA$404,MATCH($K249,其他调用!$X$5:$X$404,0),0)</f>
        <v>15499.685688594534</v>
      </c>
      <c r="Q249" s="12">
        <f>MIN(INDEX(其他调用!$AH$5:$AH$364,MATCH($K249,其他调用!$AG$5:$AG$364,0),1)/INDEX(其他调用!AK$5:AK$364,MATCH($K249,其他调用!$AG$5:$AG$364,0),0),1)*INDEX(其他调用!AB$5:AB$404,MATCH($K249,其他调用!$X$5:$X$404,0),0)</f>
        <v>5498.52424895282</v>
      </c>
      <c r="R249" s="12">
        <f>MIN(INDEX(其他调用!$AH$5:$AH$364,MATCH($K249,其他调用!$AG$5:$AG$364,0),1)/INDEX(其他调用!AL$5:AL$364,MATCH($K249,其他调用!$AG$5:$AG$364,0),0),1)*INDEX(其他调用!AC$5:AC$404,MATCH($K249,其他调用!$X$5:$X$404,0),0)</f>
        <v>2925.3295094762038</v>
      </c>
      <c r="S249" s="12">
        <f>求节点(节奏总纲!D$4:D$163,标准城池设计!AC$4:AC$163,$K249)*求节点(节奏总纲!D$4:D$163,攻城基础信息!$AD$5:$AD$164,$K249)</f>
        <v>774807.58784771559</v>
      </c>
      <c r="T249" s="12">
        <f>INDEX(其他调用!$AA$5:$AA$404,MATCH($K249,其他调用!$X$5:$X$404,0))*MIN(INDEX(其他调用!AI$5:AI$364,MATCH($K249,其他调用!$AG$5:$AG$364,0),1)/INDEX(其他调用!$AJ$5:$AJ$364,MATCH($K249,其他调用!$AG$5:$AG$364,0),0),5)*求节点(节奏总纲!D$4:D$163,攻城基础信息!$AD$5:$AD$164,$K249)</f>
        <v>89810.453052411336</v>
      </c>
      <c r="U249" s="12">
        <f>MIN(INDEX(其他调用!$AI$5:$AI$364,MATCH($K249,其他调用!$AG$5:$AG$364,0),1)/INDEX(其他调用!AH$5:AH$364,MATCH($K249,其他调用!$AG$5:$AG$364,0),0),1)*INDEX(其他调用!Y$5:Y$404,MATCH($K249,其他调用!$X$5:$X$404,0),0)</f>
        <v>41281.103451423442</v>
      </c>
      <c r="V249" s="12">
        <f>MIN(INDEX(其他调用!$AI$5:$AI$364,MATCH($K249,其他调用!$AG$5:$AG$364,0),1)/INDEX(其他调用!AI$5:AI$364,MATCH($K249,其他调用!$AG$5:$AG$364,0),0),1)*INDEX(其他调用!Z$5:Z$404,MATCH($K249,其他调用!$X$5:$X$404,0),0)</f>
        <v>42435.29726741575</v>
      </c>
      <c r="W249" s="12">
        <f>MIN(INDEX(其他调用!$AI$5:$AI$364,MATCH($K249,其他调用!$AG$5:$AG$364,0),1)/INDEX(其他调用!AJ$5:AJ$364,MATCH($K249,其他调用!$AG$5:$AG$364,0),0),1)*INDEX(其他调用!AA$5:AA$404,MATCH($K249,其他调用!$X$5:$X$404,0),0)</f>
        <v>25817.89907860219</v>
      </c>
      <c r="X249" s="12">
        <f>MIN(INDEX(其他调用!$AI$5:$AI$364,MATCH($K249,其他调用!$AG$5:$AG$364,0),1)/INDEX(其他调用!AK$5:AK$364,MATCH($K249,其他调用!$AG$5:$AG$364,0),0),1)*INDEX(其他调用!AB$5:AB$404,MATCH($K249,其他调用!$X$5:$X$404,0),0)</f>
        <v>9158.9176059984584</v>
      </c>
      <c r="Y249" s="12">
        <f>MIN(INDEX(其他调用!$AI$5:$AI$364,MATCH($K249,其他调用!$AG$5:$AG$364,0),1)/INDEX(其他调用!AL$5:AL$364,MATCH($K249,其他调用!$AG$5:$AG$364,0),0),1)*INDEX(其他调用!AC$5:AC$404,MATCH($K249,其他调用!$X$5:$X$404,0),0)</f>
        <v>4872.7350711949784</v>
      </c>
      <c r="Z249" s="12">
        <f>求节点(节奏总纲!D$4:D$163,标准城池设计!AD$4:AD$163,$K249)*求节点(节奏总纲!D$4:D$163,攻城基础信息!$AE$5:$AE$164,$K249)</f>
        <v>848809.13441318856</v>
      </c>
      <c r="AA249" s="12">
        <f>INDEX(其他调用!$AA$5:$AA$404,MATCH($K249,其他调用!$X$5:$X$404,0))*MIN(INDEX(其他调用!AJ$5:AJ$364,MATCH($K249,其他调用!$AG$5:$AG$364,0),1)/INDEX(其他调用!$AJ$5:$AJ$364,MATCH($K249,其他调用!$AG$5:$AG$364,0),0),5)*求节点(节奏总纲!D$4:D$163,攻城基础信息!$AE$5:$AE$164,$K249)</f>
        <v>152908.79472129905</v>
      </c>
      <c r="AB249" s="12">
        <f>MIN(INDEX(其他调用!$AJ$5:$AJ$364,MATCH($K249,其他调用!$AG$5:$AG$364,0),1)/INDEX(其他调用!AH$5:AH$364,MATCH($K249,其他调用!$AG$5:$AG$364,0),0),1)*INDEX(其他调用!Y$5:Y$404,MATCH($K249,其他调用!$X$5:$X$404,0),0)</f>
        <v>41281.103451423442</v>
      </c>
      <c r="AC249" s="12">
        <f>MIN(INDEX(其他调用!$AJ$5:$AJ$364,MATCH($K249,其他调用!$AG$5:$AG$364,0),1)/INDEX(其他调用!AI$5:AI$364,MATCH($K249,其他调用!$AG$5:$AG$364,0),0),1)*INDEX(其他调用!Z$5:Z$404,MATCH($K249,其他调用!$X$5:$X$404,0),0)</f>
        <v>42435.29726741575</v>
      </c>
      <c r="AD249" s="12">
        <f>MIN(INDEX(其他调用!$AJ$5:$AJ$364,MATCH($K249,其他调用!$AG$5:$AG$364,0),1)/INDEX(其他调用!AJ$5:AJ$364,MATCH($K249,其他调用!$AG$5:$AG$364,0),0),1)*INDEX(其他调用!AA$5:AA$404,MATCH($K249,其他调用!$X$5:$X$404,0),0)</f>
        <v>43956.841282621761</v>
      </c>
      <c r="AE249" s="12">
        <f>MIN(INDEX(其他调用!$AJ$5:$AJ$364,MATCH($K249,其他调用!$AG$5:$AG$364,0),1)/INDEX(其他调用!AK$5:AK$364,MATCH($K249,其他调用!$AG$5:$AG$364,0),0),1)*INDEX(其他调用!AB$5:AB$404,MATCH($K249,其他调用!$X$5:$X$404,0),0)</f>
        <v>15593.719934444851</v>
      </c>
      <c r="AF249" s="12">
        <f>MIN(INDEX(其他调用!$AJ$5:$AJ$364,MATCH($K249,其他调用!$AG$5:$AG$364,0),1)/INDEX(其他调用!AL$5:AL$364,MATCH($K249,其他调用!$AG$5:$AG$364,0),0),1)*INDEX(其他调用!AC$5:AC$404,MATCH($K249,其他调用!$X$5:$X$404,0),0)</f>
        <v>8296.1840343663953</v>
      </c>
      <c r="AG249" s="12">
        <f>求节点(节奏总纲!D$4:D$163,标准城池设计!AE$4:AE$163,$K249)*求节点(节奏总纲!D$4:D$163,攻城基础信息!$AF$5:$AF$164,$K249)</f>
        <v>1022125.6416115401</v>
      </c>
      <c r="AH249" s="12">
        <f>INDEX(其他调用!$AA$5:$AA$404,MATCH($K249,其他调用!$X$5:$X$404,0))*MIN(INDEX(其他调用!AK$5:AK$364,MATCH($K249,其他调用!$AG$5:$AG$364,0),1)/INDEX(其他调用!$AJ$5:$AJ$364,MATCH($K249,其他调用!$AG$5:$AG$364,0),0),5)*求节点(节奏总纲!D$4:D$163,攻城基础信息!$AF$5:$AF$164,$K249)</f>
        <v>452931.63784142642</v>
      </c>
      <c r="AI249" s="12">
        <f>MIN(INDEX(其他调用!$AK$5:$AK$364,MATCH($K249,其他调用!$AG$5:$AG$364,0),1)/INDEX(其他调用!AH$5:AH$364,MATCH($K249,其他调用!$AG$5:$AG$364,0),0),1)*INDEX(其他调用!Y$5:Y$404,MATCH($K249,其他调用!$X$5:$X$404,0),0)</f>
        <v>41281.103451423442</v>
      </c>
      <c r="AJ249" s="12">
        <f>MIN(INDEX(其他调用!$AK$5:$AK$364,MATCH($K249,其他调用!$AG$5:$AG$364,0),1)/INDEX(其他调用!AI$5:AI$364,MATCH($K249,其他调用!$AG$5:$AG$364,0),0),1)*INDEX(其他调用!Z$5:Z$404,MATCH($K249,其他调用!$X$5:$X$404,0),0)</f>
        <v>42435.29726741575</v>
      </c>
      <c r="AK249" s="12">
        <f>MIN(INDEX(其他调用!$AK$5:$AK$364,MATCH($K249,其他调用!$AG$5:$AG$364,0),1)/INDEX(其他调用!AJ$5:AJ$364,MATCH($K249,其他调用!$AG$5:$AG$364,0),0),1)*INDEX(其他调用!AA$5:AA$404,MATCH($K249,其他调用!$X$5:$X$404,0),0)</f>
        <v>43956.841282621761</v>
      </c>
      <c r="AL249" s="12">
        <f>MIN(INDEX(其他调用!$AK$5:$AK$364,MATCH($K249,其他调用!$AG$5:$AG$364,0),1)/INDEX(其他调用!AK$5:AK$364,MATCH($K249,其他调用!$AG$5:$AG$364,0),0),1)*INDEX(其他调用!AB$5:AB$404,MATCH($K249,其他调用!$X$5:$X$404,0),0)</f>
        <v>46190.208501884154</v>
      </c>
      <c r="AM249" s="12">
        <f>MIN(INDEX(其他调用!$AK$5:$AK$364,MATCH($K249,其他调用!$AG$5:$AG$364,0),1)/INDEX(其他调用!AL$5:AL$364,MATCH($K249,其他调用!$AG$5:$AG$364,0),0),1)*INDEX(其他调用!AC$5:AC$404,MATCH($K249,其他调用!$X$5:$X$404,0),0)</f>
        <v>24574.153693175747</v>
      </c>
      <c r="AN249" s="12">
        <f>求节点(节奏总纲!D$4:D$163,标准城池设计!AF$4:AF$163,$K249)*求节点(节奏总纲!D$4:D$163,攻城基础信息!$AG$5:$AG$164,$K249)</f>
        <v>1070255.9609383792</v>
      </c>
      <c r="AO249" s="12">
        <f>INDEX(其他调用!$AA$5:$AA$404,MATCH($K249,其他调用!$X$5:$X$404,0))*MIN(INDEX(其他调用!AL$5:AL$364,MATCH($K249,其他调用!$AG$5:$AG$364,0),1)/INDEX(其他调用!$AJ$5:$AJ$364,MATCH($K249,其他调用!$AG$5:$AG$364,0),0),5)*求节点(节奏总纲!D$4:D$163,攻城基础信息!$AG$5:$AG$164,$K249)</f>
        <v>764543.9736064953</v>
      </c>
      <c r="AP249" s="12">
        <f>MIN(INDEX(其他调用!$AL$5:$AL$364,MATCH($K249,其他调用!$AG$5:$AG$364,0),1)/INDEX(其他调用!AH$5:AH$364,MATCH($K249,其他调用!$AG$5:$AG$364,0),0),1)*INDEX(其他调用!Y$5:Y$404,MATCH($K249,其他调用!$X$5:$X$404,0),0)</f>
        <v>41281.103451423442</v>
      </c>
      <c r="AQ249" s="12">
        <f>MIN(INDEX(其他调用!$AL$5:$AL$364,MATCH($K249,其他调用!$AG$5:$AG$364,0),1)/INDEX(其他调用!AI$5:AI$364,MATCH($K249,其他调用!$AG$5:$AG$364,0),0),1)*INDEX(其他调用!Z$5:Z$404,MATCH($K249,其他调用!$X$5:$X$404,0),0)</f>
        <v>42435.29726741575</v>
      </c>
      <c r="AR249" s="12">
        <f>MIN(INDEX(其他调用!$AL$5:$AL$364,MATCH($K249,其他调用!$AG$5:$AG$364,0),1)/INDEX(其他调用!AJ$5:AJ$364,MATCH($K249,其他调用!$AG$5:$AG$364,0),0),1)*INDEX(其他调用!AA$5:AA$404,MATCH($K249,其他调用!$X$5:$X$404,0),0)</f>
        <v>43956.841282621761</v>
      </c>
      <c r="AS249" s="12">
        <f>MIN(INDEX(其他调用!$AL$5:$AL$364,MATCH($K249,其他调用!$AG$5:$AG$364,0),1)/INDEX(其他调用!AK$5:AK$364,MATCH($K249,其他调用!$AG$5:$AG$364,0),0),1)*INDEX(其他调用!AB$5:AB$404,MATCH($K249,其他调用!$X$5:$X$404,0),0)</f>
        <v>46190.208501884154</v>
      </c>
      <c r="AT249" s="12">
        <f>MIN(INDEX(其他调用!$AL$5:$AL$364,MATCH($K249,其他调用!$AG$5:$AG$364,0),1)/INDEX(其他调用!AL$5:AL$364,MATCH($K249,其他调用!$AG$5:$AG$364,0),0),1)*INDEX(其他调用!AC$5:AC$404,MATCH($K249,其他调用!$X$5:$X$404,0),0)</f>
        <v>50088.128888611696</v>
      </c>
      <c r="AV249" s="14">
        <f>IF(OR(AV$5="大R",AV$5="超R"),MAX(INDEX(其他调用!$H$5:$L$404,MATCH($K249,其他调用!$B$5:$B$404,0),MATCH(AV$5,其他调用!$H$4:$L$4,0))*120*0.85,2),INDEX(其他调用!$H$5:$L$404,MATCH($K249,其他调用!$B$5:$B$404,0),MATCH(AV$5,其他调用!$H$4:$L$4,0))*120*0.85)</f>
        <v>48.921801254999991</v>
      </c>
      <c r="AW249" s="14">
        <f>IF(OR(AW$5="大R",AW$5="超R"),MAX(INDEX(其他调用!$H$5:$L$404,MATCH($K249,其他调用!$B$5:$B$404,0),MATCH(AW$5,其他调用!$H$4:$L$4,0))*120*0.85,2),INDEX(其他调用!$H$5:$L$404,MATCH($K249,其他调用!$B$5:$B$404,0),MATCH(AW$5,其他调用!$H$4:$L$4,0))*120*0.85)</f>
        <v>48.237344010638395</v>
      </c>
      <c r="AX249" s="14">
        <f>IF(OR(AX$5="大R",AX$5="超R"),MAX(INDEX(其他调用!$H$5:$L$404,MATCH($K249,其他调用!$B$5:$B$404,0),MATCH(AX$5,其他调用!$H$4:$L$4,0))*120*0.85,2),INDEX(其他调用!$H$5:$L$404,MATCH($K249,其他调用!$B$5:$B$404,0),MATCH(AX$5,其他调用!$H$4:$L$4,0))*120*0.85)</f>
        <v>3.9376284143615998</v>
      </c>
      <c r="AY249" s="14">
        <f>IF(OR(AY$5="大R",AY$5="超R"),MAX(INDEX(其他调用!$H$5:$L$404,MATCH($K249,其他调用!$B$5:$B$404,0),MATCH(AY$5,其他调用!$H$4:$L$4,0))*120*0.85,2),INDEX(其他调用!$H$5:$L$404,MATCH($K249,其他调用!$B$5:$B$404,0),MATCH(AY$5,其他调用!$H$4:$L$4,0))*120*0.85)</f>
        <v>2</v>
      </c>
      <c r="AZ249" s="14">
        <f>IF(OR(AZ$5="大R",AZ$5="超R"),MAX(INDEX(其他调用!$H$5:$L$404,MATCH($K249,其他调用!$B$5:$B$404,0),MATCH(AZ$5,其他调用!$H$4:$L$4,0))*120*0.85,2),INDEX(其他调用!$H$5:$L$404,MATCH($K249,其他调用!$B$5:$B$404,0),MATCH(AZ$5,其他调用!$H$4:$L$4,0))*120*0.85)</f>
        <v>2</v>
      </c>
      <c r="BA249" s="14">
        <f>INDEX(其他调用!$H$5:$L$404,MATCH($K249,其他调用!$B$5:$B$404,0),MATCH(BA$5,其他调用!$H$4:$L$4,0))*INDEX(其他调用!$M$5:$M$404,MATCH($K249,其他调用!$B$5:$B$404,0))*0.6</f>
        <v>28.777530149999997</v>
      </c>
      <c r="BB249" s="14">
        <f>INDEX(其他调用!$H$5:$L$404,MATCH($K249,其他调用!$B$5:$B$404,0),MATCH(BB$5,其他调用!$H$4:$L$4,0))*INDEX(其他调用!$M$5:$M$404,MATCH($K249,其他调用!$B$5:$B$404,0))*0.6</f>
        <v>28.374908241551999</v>
      </c>
      <c r="BC249" s="14">
        <f>INDEX(其他调用!$H$5:$L$404,MATCH($K249,其他调用!$B$5:$B$404,0),MATCH(BC$5,其他调用!$H$4:$L$4,0))*INDEX(其他调用!$M$5:$M$404,MATCH($K249,其他调用!$B$5:$B$404,0))*0.6</f>
        <v>2.3162520084480001</v>
      </c>
      <c r="BD249" s="14">
        <f>INDEX(其他调用!$H$5:$L$404,MATCH($K249,其他调用!$B$5:$B$404,0),MATCH(BD$5,其他调用!$H$4:$L$4,0))*INDEX(其他调用!$M$5:$M$404,MATCH($K249,其他调用!$B$5:$B$404,0))*0.6</f>
        <v>0.4120776000000001</v>
      </c>
      <c r="BE249" s="14">
        <f>INDEX(其他调用!$H$5:$L$404,MATCH($K249,其他调用!$B$5:$B$404,0),MATCH(BE$5,其他调用!$H$4:$L$4,0))*INDEX(其他调用!$M$5:$M$404,MATCH($K249,其他调用!$B$5:$B$404,0))*0.6</f>
        <v>0.11923199999999998</v>
      </c>
      <c r="BF249" s="14">
        <f>IF(OR(BF$5="大R",BF$5="超R"),0,INDEX(其他调用!$H$5:$L$404,MATCH($K249,其他调用!$B$5:$B$404,0),MATCH(BF$5,其他调用!$H$4:$L$4,0))*50*0.4)</f>
        <v>9.5925100500000013</v>
      </c>
      <c r="BG249" s="14">
        <f>IF(OR(BG$5="大R",BG$5="超R"),0,INDEX(其他调用!$H$5:$L$404,MATCH($K249,其他调用!$B$5:$B$404,0),MATCH(BG$5,其他调用!$H$4:$L$4,0))*50*0.4)</f>
        <v>9.4583027471839998</v>
      </c>
      <c r="BH249" s="14">
        <f>IF(OR(BH$5="大R",BH$5="超R"),0,INDEX(其他调用!$H$5:$L$404,MATCH($K249,其他调用!$B$5:$B$404,0),MATCH(BH$5,其他调用!$H$4:$L$4,0))*50*0.4)</f>
        <v>0.77208400281600009</v>
      </c>
      <c r="BI249" s="14">
        <f>IF(OR(BI$5="大R",BI$5="超R"),0,INDEX(其他调用!$H$5:$L$404,MATCH($K249,其他调用!$B$5:$B$404,0),MATCH(BI$5,其他调用!$H$4:$L$4,0))*50*0.4)</f>
        <v>0</v>
      </c>
      <c r="BJ249" s="14">
        <f>IF(OR(BJ$5="大R",BJ$5="超R"),0,INDEX(其他调用!$H$5:$L$404,MATCH($K249,其他调用!$B$5:$B$404,0),MATCH(BJ$5,其他调用!$H$4:$L$4,0))*50*0.4)</f>
        <v>0</v>
      </c>
      <c r="BL249" s="14">
        <f t="shared" si="418"/>
        <v>244</v>
      </c>
      <c r="BM249" s="14">
        <f t="shared" si="325"/>
        <v>96</v>
      </c>
      <c r="BN249" s="14">
        <f>('疲劳值&amp;地图信息'!$S$10*'疲劳值&amp;地图信息'!$R$10+'疲劳值&amp;地图信息'!$S$11*'疲劳值&amp;地图信息'!$R$11+'疲劳值&amp;地图信息'!$S$12*'疲劳值&amp;地图信息'!$R$12+(BM249-'疲劳值&amp;地图信息'!$S$12-'疲劳值&amp;地图信息'!$S$11-'疲劳值&amp;地图信息'!$S$10)*'疲劳值&amp;地图信息'!$R$13)/BM249</f>
        <v>51.371477246638619</v>
      </c>
      <c r="BO249" s="14">
        <f>INDEX(其他调用!$M$5:$M$404,MATCH(BL249,其他调用!$B$5:$B$404,0))*0.6</f>
        <v>60</v>
      </c>
      <c r="BP249" s="14">
        <f>IF(BO249&gt;SUM('疲劳值&amp;地图信息'!$S$10:$S$12),('疲劳值&amp;地图信息'!$S$10*'疲劳值&amp;地图信息'!$R$10+'疲劳值&amp;地图信息'!$S$11*'疲劳值&amp;地图信息'!$R$11+'疲劳值&amp;地图信息'!$S$12*'疲劳值&amp;地图信息'!$R$12+(BO249-'疲劳值&amp;地图信息'!$S$12-'疲劳值&amp;地图信息'!$S$11-'疲劳值&amp;地图信息'!$S$10)*'疲劳值&amp;地图信息'!$R$13)/BO249,('疲劳值&amp;地图信息'!$S$10*'疲劳值&amp;地图信息'!$R$10+'疲劳值&amp;地图信息'!$S$11*'疲劳值&amp;地图信息'!$R$11+'疲劳值&amp;地图信息'!$S$12*'疲劳值&amp;地图信息'!$R$12+(BO249-'疲劳值&amp;地图信息'!$S$12-'疲劳值&amp;地图信息'!$S$11-'疲劳值&amp;地图信息'!$S$10)*'疲劳值&amp;地图信息'!$R$13)/BO249)</f>
        <v>44.158136341605953</v>
      </c>
      <c r="BQ249" s="14">
        <f t="shared" si="419"/>
        <v>20</v>
      </c>
      <c r="BR249" s="14">
        <f>('疲劳值&amp;地图信息'!$S$10*'疲劳值&amp;地图信息'!$R$10+($BQ249-'疲劳值&amp;地图信息'!$S$10)*'疲劳值&amp;地图信息'!$R$11)/$BQ249</f>
        <v>32.067203015074995</v>
      </c>
      <c r="CF249" s="14">
        <v>244</v>
      </c>
      <c r="CG249" s="51">
        <f t="shared" si="326"/>
        <v>14618</v>
      </c>
      <c r="CH249" s="51">
        <f t="shared" si="327"/>
        <v>1098</v>
      </c>
      <c r="CI249" s="51">
        <f>INT(SUMPRODUCT($N249:$R249,$BA249:$BE249)/SUM($BA249:$BE249)/10000*$BX$7*$BZ$34/'疲劳值&amp;地图信息'!$R$10*$BY$53)</f>
        <v>3296</v>
      </c>
      <c r="CJ249" s="50">
        <f t="shared" si="328"/>
        <v>0.76888281085630128</v>
      </c>
      <c r="CK249" s="50">
        <f t="shared" si="329"/>
        <v>5.7752998106459077E-2</v>
      </c>
      <c r="CL249" s="50">
        <f t="shared" si="330"/>
        <v>0.17336419103723963</v>
      </c>
      <c r="CM249" s="14">
        <f t="shared" si="331"/>
        <v>15791</v>
      </c>
      <c r="CN249" s="14">
        <f t="shared" si="332"/>
        <v>1830</v>
      </c>
      <c r="CO249" s="14">
        <f>INT(SUMPRODUCT($U249:$Y249,$BA249:$BE249)/SUM($BA249:$BE249)/10000*$BX$7*$BZ$34/'疲劳值&amp;地图信息'!$R$10*$BY$54)</f>
        <v>6230</v>
      </c>
      <c r="CP249" s="50">
        <f t="shared" si="333"/>
        <v>0.66206867636577083</v>
      </c>
      <c r="CQ249" s="50">
        <f t="shared" si="334"/>
        <v>7.6726342710997444E-2</v>
      </c>
      <c r="CR249" s="50">
        <f t="shared" si="335"/>
        <v>0.26120498092323174</v>
      </c>
      <c r="CS249" s="14">
        <f t="shared" si="336"/>
        <v>17299</v>
      </c>
      <c r="CT249" s="14">
        <f t="shared" si="337"/>
        <v>3116</v>
      </c>
      <c r="CU249" s="14">
        <f>INT(SUMPRODUCT($AB249:$AF249,$BA249:$BE249)/SUM($BA249:$BE249)/10000*$BX$7*$BZ$34/'疲劳值&amp;地图信息'!$R$10*$BY$55)</f>
        <v>8459</v>
      </c>
      <c r="CV249" s="50">
        <f t="shared" si="338"/>
        <v>0.59912031585509451</v>
      </c>
      <c r="CW249" s="50">
        <f t="shared" si="339"/>
        <v>0.10791715730414907</v>
      </c>
      <c r="CX249" s="50">
        <f t="shared" si="340"/>
        <v>0.29296252684075641</v>
      </c>
      <c r="CY249" s="14">
        <f t="shared" si="341"/>
        <v>20832</v>
      </c>
      <c r="CZ249" s="14">
        <f t="shared" si="342"/>
        <v>9231</v>
      </c>
      <c r="DA249" s="14">
        <f>INT(SUMPRODUCT($AI249:$AM249,$BA249:$BE249)/SUM($BA249:$BE249)/10000*$BX$7*$BZ$34/'疲劳值&amp;地图信息'!$R$10*$BY$56)</f>
        <v>12763</v>
      </c>
      <c r="DB249" s="50">
        <f t="shared" si="343"/>
        <v>0.48643347499182737</v>
      </c>
      <c r="DC249" s="50">
        <f t="shared" si="344"/>
        <v>0.21554663055153411</v>
      </c>
      <c r="DD249" s="50">
        <f t="shared" si="345"/>
        <v>0.29801989445663851</v>
      </c>
      <c r="DE249" s="14">
        <f t="shared" si="346"/>
        <v>21813</v>
      </c>
      <c r="DF249" s="14">
        <f t="shared" si="347"/>
        <v>15582</v>
      </c>
      <c r="DG249" s="14">
        <f>INT(SUMPRODUCT($AP249:$AT249,$BA249:$BE249)/SUM($BA249:$BE249)/10000*$BX$7*$BZ$34/'疲劳值&amp;地图信息'!$R$10*$BY$57)</f>
        <v>17038</v>
      </c>
      <c r="DH249" s="50">
        <f t="shared" si="348"/>
        <v>0.40073117410394432</v>
      </c>
      <c r="DI249" s="50">
        <f t="shared" si="349"/>
        <v>0.28626017305678542</v>
      </c>
      <c r="DJ249" s="50">
        <f t="shared" si="350"/>
        <v>0.31300865283927032</v>
      </c>
      <c r="DL249" s="14">
        <f t="shared" si="421"/>
        <v>19012</v>
      </c>
      <c r="DM249" s="14">
        <f t="shared" si="422"/>
        <v>23851</v>
      </c>
      <c r="DN249" s="14">
        <f t="shared" si="423"/>
        <v>28874</v>
      </c>
      <c r="DO249" s="14">
        <f t="shared" si="424"/>
        <v>42826</v>
      </c>
      <c r="DP249" s="14">
        <f t="shared" si="425"/>
        <v>54433</v>
      </c>
      <c r="DQ249" s="14">
        <f t="shared" si="426"/>
        <v>1314905</v>
      </c>
      <c r="DT249" s="14">
        <f t="shared" si="420"/>
        <v>235575</v>
      </c>
      <c r="DU249" s="50">
        <f t="shared" si="322"/>
        <v>0.15193681956555388</v>
      </c>
      <c r="DW249" s="14">
        <f t="shared" si="351"/>
        <v>1550480</v>
      </c>
      <c r="EB249" s="14">
        <v>244</v>
      </c>
      <c r="EC249" s="51">
        <f t="shared" si="352"/>
        <v>24364</v>
      </c>
      <c r="ED249" s="51">
        <f t="shared" si="353"/>
        <v>1831</v>
      </c>
      <c r="EE249" s="51">
        <f>INT(SUMPRODUCT($N249:$R249,$BF249:$BJ249)/SUM($BF249:$BJ249)/10000*$BX$7*$BZ$46/'疲劳值&amp;地图信息'!$R$10*$BY$53)</f>
        <v>442</v>
      </c>
      <c r="EF249" s="50">
        <f t="shared" si="354"/>
        <v>0.91466756766903179</v>
      </c>
      <c r="EG249" s="50">
        <f t="shared" si="355"/>
        <v>6.8738972106468441E-2</v>
      </c>
      <c r="EH249" s="50">
        <f t="shared" si="356"/>
        <v>1.6593460224499756E-2</v>
      </c>
      <c r="EI249" s="51">
        <f t="shared" si="357"/>
        <v>26319</v>
      </c>
      <c r="EJ249" s="51">
        <f t="shared" si="358"/>
        <v>3050</v>
      </c>
      <c r="EK249" s="14">
        <f>INT(SUMPRODUCT($U249:$Y249,$BF249:$BJ249)/SUM($BF249:$BJ249)/10000*$BX$7*$BZ$46/'疲劳值&amp;地图信息'!$R$10*$BY$54)</f>
        <v>836</v>
      </c>
      <c r="EL249" s="50">
        <f t="shared" si="359"/>
        <v>0.87134580367488823</v>
      </c>
      <c r="EM249" s="50">
        <f t="shared" si="360"/>
        <v>0.10097665949346135</v>
      </c>
      <c r="EN249" s="50">
        <f t="shared" si="361"/>
        <v>2.767753683165039E-2</v>
      </c>
      <c r="EO249" s="51">
        <f t="shared" si="362"/>
        <v>28833</v>
      </c>
      <c r="EP249" s="51">
        <f t="shared" si="363"/>
        <v>5194</v>
      </c>
      <c r="EQ249" s="14">
        <f>INT(SUMPRODUCT($AB249:$AF249,$BF249:$BJ249)/SUM($BF249:$BJ249)/10000*$BX$7*$BZ$46/'疲劳值&amp;地图信息'!$R$10*$BY$55)</f>
        <v>1134</v>
      </c>
      <c r="ER249" s="50">
        <f t="shared" si="364"/>
        <v>0.8200278717897671</v>
      </c>
      <c r="ES249" s="50">
        <f t="shared" si="365"/>
        <v>0.1477204857654788</v>
      </c>
      <c r="ET249" s="50">
        <f t="shared" si="366"/>
        <v>3.2251642444754133E-2</v>
      </c>
      <c r="EU249" s="51">
        <f t="shared" si="367"/>
        <v>34720</v>
      </c>
      <c r="EV249" s="51">
        <f t="shared" si="368"/>
        <v>15385</v>
      </c>
      <c r="EW249" s="14">
        <f>INT(SUMPRODUCT($AI249:$AM249,$BF249:$BJ249)/SUM($BF249:$BJ249)/10000*$BX$7*$BZ$46/'疲劳值&amp;地图信息'!$R$10*$BY$56)</f>
        <v>1702</v>
      </c>
      <c r="EX249" s="50">
        <f t="shared" si="369"/>
        <v>0.67017970544521011</v>
      </c>
      <c r="EY249" s="50">
        <f t="shared" si="370"/>
        <v>0.29696759125214739</v>
      </c>
      <c r="EZ249" s="50">
        <f t="shared" si="371"/>
        <v>3.2852703302642498E-2</v>
      </c>
      <c r="FA249" s="51">
        <f t="shared" si="372"/>
        <v>36355</v>
      </c>
      <c r="FB249" s="51">
        <f t="shared" si="373"/>
        <v>25970</v>
      </c>
      <c r="FC249" s="14">
        <f>INT(SUMPRODUCT($AP249:$AT249,$BF249:$BJ249)/SUM($BF249:$BJ249)/10000*$BX$7*$BZ$46/'疲劳值&amp;地图信息'!$R$10*$BY$57)</f>
        <v>2269</v>
      </c>
      <c r="FD249" s="50">
        <f t="shared" si="374"/>
        <v>0.56282317243087598</v>
      </c>
      <c r="FE249" s="50">
        <f t="shared" si="375"/>
        <v>0.40204972598074123</v>
      </c>
      <c r="FF249" s="50">
        <f t="shared" si="376"/>
        <v>3.5127101588382822E-2</v>
      </c>
      <c r="FH249" s="14">
        <f t="shared" si="377"/>
        <v>26637</v>
      </c>
      <c r="FI249" s="14">
        <f t="shared" si="378"/>
        <v>30205</v>
      </c>
      <c r="FJ249" s="14">
        <f t="shared" si="379"/>
        <v>35161</v>
      </c>
      <c r="FK249" s="14">
        <f t="shared" si="380"/>
        <v>51807</v>
      </c>
      <c r="FL249" s="14">
        <f t="shared" si="381"/>
        <v>64594</v>
      </c>
      <c r="FM249" s="14">
        <f t="shared" si="382"/>
        <v>3131391</v>
      </c>
      <c r="FP249" s="14">
        <f t="shared" si="383"/>
        <v>334150</v>
      </c>
      <c r="FQ249" s="50">
        <f t="shared" si="323"/>
        <v>9.6420732001150755E-2</v>
      </c>
      <c r="FS249" s="14">
        <f t="shared" si="384"/>
        <v>3465541</v>
      </c>
      <c r="FX249" s="14">
        <v>244</v>
      </c>
      <c r="FY249" s="51">
        <f t="shared" si="385"/>
        <v>34110</v>
      </c>
      <c r="FZ249" s="51">
        <f t="shared" si="386"/>
        <v>1831</v>
      </c>
      <c r="GA249" s="51">
        <f>INT(SUMPRODUCT($N249:$R249,$BF249:$BJ249)/SUM($BF249:$BJ249)/10000*$BX$7*$BZ$46/'疲劳值&amp;地图信息'!$R$10*$BY$53)</f>
        <v>442</v>
      </c>
      <c r="GB249" s="50">
        <f t="shared" si="387"/>
        <v>0.93752576752879091</v>
      </c>
      <c r="GC249" s="50">
        <f t="shared" si="388"/>
        <v>5.0325701563917212E-2</v>
      </c>
      <c r="GD249" s="50">
        <f t="shared" si="389"/>
        <v>1.2148530907291868E-2</v>
      </c>
      <c r="GE249" s="51">
        <f t="shared" si="390"/>
        <v>36847</v>
      </c>
      <c r="GF249" s="51">
        <f t="shared" si="391"/>
        <v>3050</v>
      </c>
      <c r="GG249" s="14">
        <f>INT(SUMPRODUCT($U249:$Y249,$BF249:$BJ249)/SUM($BF249:$BJ249)/10000*$BX$7*$BZ$46/'疲劳值&amp;地图信息'!$R$10*$BY$54)</f>
        <v>836</v>
      </c>
      <c r="GH249" s="50">
        <f t="shared" si="392"/>
        <v>0.90459823730145095</v>
      </c>
      <c r="GI249" s="50">
        <f t="shared" si="393"/>
        <v>7.487786315763631E-2</v>
      </c>
      <c r="GJ249" s="50">
        <f t="shared" si="394"/>
        <v>2.0523899540912775E-2</v>
      </c>
      <c r="GK249" s="51">
        <f t="shared" si="395"/>
        <v>40366</v>
      </c>
      <c r="GL249" s="51">
        <f t="shared" si="396"/>
        <v>5194</v>
      </c>
      <c r="GM249" s="14">
        <f>INT(SUMPRODUCT($AB249:$AF249,$BF249:$BJ249)/SUM($BF249:$BJ249)/10000*$BX$7*$BZ$46/'疲劳值&amp;地图信息'!$R$10*$BY$55)</f>
        <v>1134</v>
      </c>
      <c r="GN249" s="50">
        <f t="shared" si="397"/>
        <v>0.86447937636527172</v>
      </c>
      <c r="GO249" s="50">
        <f t="shared" si="398"/>
        <v>0.11123484816036322</v>
      </c>
      <c r="GP249" s="50">
        <f t="shared" si="399"/>
        <v>2.4285775474365015E-2</v>
      </c>
      <c r="GQ249" s="51">
        <f t="shared" si="400"/>
        <v>48608</v>
      </c>
      <c r="GR249" s="51">
        <f t="shared" si="401"/>
        <v>15385</v>
      </c>
      <c r="GS249" s="14">
        <f>INT(SUMPRODUCT($AI249:$AM249,$BF249:$BJ249)/SUM($BF249:$BJ249)/10000*$BX$7*$BZ$46/'疲劳值&amp;地图信息'!$R$10*$BY$56)</f>
        <v>1702</v>
      </c>
      <c r="GT249" s="50">
        <f t="shared" si="402"/>
        <v>0.73990410229088976</v>
      </c>
      <c r="GU249" s="50">
        <f t="shared" si="403"/>
        <v>0.23418829439074512</v>
      </c>
      <c r="GV249" s="50">
        <f t="shared" si="404"/>
        <v>2.5907603318365172E-2</v>
      </c>
      <c r="GW249" s="51">
        <f t="shared" si="405"/>
        <v>50897</v>
      </c>
      <c r="GX249" s="51">
        <f t="shared" si="406"/>
        <v>25970</v>
      </c>
      <c r="GY249" s="14">
        <f>INT(SUMPRODUCT($AP249:$AT249,$BF249:$BJ249)/SUM($BF249:$BJ249)/10000*$BX$7*$BZ$46/'疲劳值&amp;地图信息'!$R$10*$BY$57)</f>
        <v>2269</v>
      </c>
      <c r="GZ249" s="50">
        <f t="shared" si="407"/>
        <v>0.64315861302062272</v>
      </c>
      <c r="HA249" s="50">
        <f t="shared" si="408"/>
        <v>0.32816922765871409</v>
      </c>
      <c r="HB249" s="50">
        <f t="shared" si="409"/>
        <v>2.8672159320663162E-2</v>
      </c>
      <c r="HD249" s="14">
        <f t="shared" si="410"/>
        <v>36383</v>
      </c>
      <c r="HE249" s="14">
        <f t="shared" si="411"/>
        <v>40733</v>
      </c>
      <c r="HF249" s="14">
        <f t="shared" si="412"/>
        <v>46694</v>
      </c>
      <c r="HG249" s="14">
        <f t="shared" si="413"/>
        <v>65695</v>
      </c>
      <c r="HH249" s="14">
        <f t="shared" si="414"/>
        <v>79136</v>
      </c>
      <c r="HI249" s="14">
        <f t="shared" si="415"/>
        <v>4218299</v>
      </c>
      <c r="HL249" s="14">
        <f t="shared" si="416"/>
        <v>430050</v>
      </c>
      <c r="HM249" s="50">
        <f t="shared" si="324"/>
        <v>9.2516719377137985E-2</v>
      </c>
      <c r="HO249" s="14">
        <f t="shared" si="417"/>
        <v>4648349</v>
      </c>
    </row>
    <row r="250" spans="11:223" x14ac:dyDescent="0.2">
      <c r="K250" s="14">
        <v>245</v>
      </c>
      <c r="L250" s="12">
        <f>求节点(节奏总纲!D$4:D$163,标准城池设计!AB$4:AB$163,$K250)*求节点(节奏总纲!D$4:D$163,攻城基础信息!$AC$5:$AC$164,$K250)</f>
        <v>718640.87718382454</v>
      </c>
      <c r="M250" s="12">
        <f>INDEX(其他调用!$AA$5:$AA$404,MATCH(K250,其他调用!$X$5:$X$404,0))*MIN(INDEX(其他调用!$AH$5:$AH$364,MATCH('征服点（新）'!K250,其他调用!$AG$5:$AG$364,0),1)/INDEX(其他调用!$AJ$5:$AJ$364,MATCH(K250,其他调用!$AG$5:$AG$364,0),0),5)*求节点(节奏总纲!D$4:D$163,攻城基础信息!$AC$5:$AC$164,$K250)</f>
        <v>53933.725889931928</v>
      </c>
      <c r="N250" s="12">
        <f>MIN(INDEX(其他调用!$AH$5:$AH$364,MATCH($K250,其他调用!$AG$5:$AG$364,0),1)/INDEX(其他调用!AH$5:AH$364,MATCH($K250,其他调用!$AG$5:$AG$364,0),0),1)*INDEX(其他调用!Y$5:Y$404,MATCH($K250,其他调用!$X$5:$X$404,0),0)</f>
        <v>41304.264898954949</v>
      </c>
      <c r="O250" s="12">
        <f>MIN(INDEX(其他调用!$AH$5:$AH$364,MATCH($K250,其他调用!$AG$5:$AG$364,0),1)/INDEX(其他调用!AI$5:AI$364,MATCH($K250,其他调用!$AG$5:$AG$364,0),0),1)*INDEX(其他调用!Z$5:Z$404,MATCH($K250,其他调用!$X$5:$X$404,0),0)</f>
        <v>25465.874290389147</v>
      </c>
      <c r="P250" s="12">
        <f>MIN(INDEX(其他调用!$AH$5:$AH$364,MATCH($K250,其他调用!$AG$5:$AG$364,0),1)/INDEX(其他调用!AJ$5:AJ$364,MATCH($K250,其他调用!$AG$5:$AG$364,0),0),1)*INDEX(其他调用!AA$5:AA$404,MATCH($K250,其他调用!$X$5:$X$404,0),0)</f>
        <v>15495.719800633478</v>
      </c>
      <c r="Q250" s="12">
        <f>MIN(INDEX(其他调用!$AH$5:$AH$364,MATCH($K250,其他调用!$AG$5:$AG$364,0),1)/INDEX(其他调用!AK$5:AK$364,MATCH($K250,其他调用!$AG$5:$AG$364,0),0),1)*INDEX(其他调用!AB$5:AB$404,MATCH($K250,其他调用!$X$5:$X$404,0),0)</f>
        <v>5495.3538630163175</v>
      </c>
      <c r="R250" s="12">
        <f>MIN(INDEX(其他调用!$AH$5:$AH$364,MATCH($K250,其他调用!$AG$5:$AG$364,0),1)/INDEX(其他调用!AL$5:AL$364,MATCH($K250,其他调用!$AG$5:$AG$364,0),0),1)*INDEX(其他调用!AC$5:AC$404,MATCH($K250,其他调用!$X$5:$X$404,0),0)</f>
        <v>2933.9554335132657</v>
      </c>
      <c r="S250" s="12">
        <f>求节点(节奏总纲!D$4:D$163,标准城池设计!AC$4:AC$163,$K250)*求节点(节奏总纲!D$4:D$163,攻城基础信息!$AD$5:$AD$164,$K250)</f>
        <v>776634.16913854051</v>
      </c>
      <c r="T250" s="12">
        <f>INDEX(其他调用!$AA$5:$AA$404,MATCH($K250,其他调用!$X$5:$X$404,0))*MIN(INDEX(其他调用!AI$5:AI$364,MATCH($K250,其他调用!$AG$5:$AG$364,0),1)/INDEX(其他调用!$AJ$5:$AJ$364,MATCH($K250,其他调用!$AG$5:$AG$364,0),0),5)*求节点(节奏总纲!D$4:D$163,攻城基础信息!$AD$5:$AD$164,$K250)</f>
        <v>89923.550850338157</v>
      </c>
      <c r="U250" s="12">
        <f>MIN(INDEX(其他调用!$AI$5:$AI$364,MATCH($K250,其他调用!$AG$5:$AG$364,0),1)/INDEX(其他调用!AH$5:AH$364,MATCH($K250,其他调用!$AG$5:$AG$364,0),0),1)*INDEX(其他调用!Y$5:Y$404,MATCH($K250,其他调用!$X$5:$X$404,0),0)</f>
        <v>41304.264898954949</v>
      </c>
      <c r="V250" s="12">
        <f>MIN(INDEX(其他调用!$AI$5:$AI$364,MATCH($K250,其他调用!$AG$5:$AG$364,0),1)/INDEX(其他调用!AI$5:AI$364,MATCH($K250,其他调用!$AG$5:$AG$364,0),0),1)*INDEX(其他调用!Z$5:Z$404,MATCH($K250,其他调用!$X$5:$X$404,0),0)</f>
        <v>42459.181225000619</v>
      </c>
      <c r="W250" s="12">
        <f>MIN(INDEX(其他调用!$AI$5:$AI$364,MATCH($K250,其他调用!$AG$5:$AG$364,0),1)/INDEX(其他调用!AJ$5:AJ$364,MATCH($K250,其他调用!$AG$5:$AG$364,0),0),1)*INDEX(其他调用!AA$5:AA$404,MATCH($K250,其他调用!$X$5:$X$404,0),0)</f>
        <v>25835.970433390266</v>
      </c>
      <c r="X250" s="12">
        <f>MIN(INDEX(其他调用!$AI$5:$AI$364,MATCH($K250,其他调用!$AG$5:$AG$364,0),1)/INDEX(其他调用!AK$5:AK$364,MATCH($K250,其他调用!$AG$5:$AG$364,0),0),1)*INDEX(其他调用!AB$5:AB$404,MATCH($K250,其他调用!$X$5:$X$404,0),0)</f>
        <v>9162.3881789668394</v>
      </c>
      <c r="Y250" s="12">
        <f>MIN(INDEX(其他调用!$AI$5:$AI$364,MATCH($K250,其他调用!$AG$5:$AG$364,0),1)/INDEX(其他调用!AL$5:AL$364,MATCH($K250,其他调用!$AG$5:$AG$364,0),0),1)*INDEX(其他调用!AC$5:AC$404,MATCH($K250,其他调用!$X$5:$X$404,0),0)</f>
        <v>4891.7757166746533</v>
      </c>
      <c r="Z250" s="12">
        <f>求节点(节奏总纲!D$4:D$163,标准城池设计!AD$4:AD$163,$K250)*求节点(节奏总纲!D$4:D$163,攻城基础信息!$AE$5:$AE$164,$K250)</f>
        <v>850958.40002394456</v>
      </c>
      <c r="AA250" s="12">
        <f>INDEX(其他调用!$AA$5:$AA$404,MATCH($K250,其他调用!$X$5:$X$404,0))*MIN(INDEX(其他调用!AJ$5:AJ$364,MATCH($K250,其他调用!$AG$5:$AG$364,0),1)/INDEX(其他调用!$AJ$5:$AJ$364,MATCH($K250,其他调用!$AG$5:$AG$364,0),0),5)*求节点(节奏总纲!D$4:D$163,攻城基础信息!$AE$5:$AE$164,$K250)</f>
        <v>153077.23409051984</v>
      </c>
      <c r="AB250" s="12">
        <f>MIN(INDEX(其他调用!$AJ$5:$AJ$364,MATCH($K250,其他调用!$AG$5:$AG$364,0),1)/INDEX(其他调用!AH$5:AH$364,MATCH($K250,其他调用!$AG$5:$AG$364,0),0),1)*INDEX(其他调用!Y$5:Y$404,MATCH($K250,其他调用!$X$5:$X$404,0),0)</f>
        <v>41304.264898954949</v>
      </c>
      <c r="AC250" s="12">
        <f>MIN(INDEX(其他调用!$AJ$5:$AJ$364,MATCH($K250,其他调用!$AG$5:$AG$364,0),1)/INDEX(其他调用!AI$5:AI$364,MATCH($K250,其他调用!$AG$5:$AG$364,0),0),1)*INDEX(其他调用!Z$5:Z$404,MATCH($K250,其他调用!$X$5:$X$404,0),0)</f>
        <v>42459.181225000619</v>
      </c>
      <c r="AD250" s="12">
        <f>MIN(INDEX(其他调用!$AJ$5:$AJ$364,MATCH($K250,其他调用!$AG$5:$AG$364,0),1)/INDEX(其他调用!AJ$5:AJ$364,MATCH($K250,其他调用!$AG$5:$AG$364,0),0),1)*INDEX(其他调用!AA$5:AA$404,MATCH($K250,其他调用!$X$5:$X$404,0),0)</f>
        <v>43980.679772866853</v>
      </c>
      <c r="AE250" s="12">
        <f>MIN(INDEX(其他调用!$AJ$5:$AJ$364,MATCH($K250,其他调用!$AG$5:$AG$364,0),1)/INDEX(其他调用!AK$5:AK$364,MATCH($K250,其他调用!$AG$5:$AG$364,0),0),1)*INDEX(其他调用!AB$5:AB$404,MATCH($K250,其他调用!$X$5:$X$404,0),0)</f>
        <v>15597.171451049793</v>
      </c>
      <c r="AF250" s="12">
        <f>MIN(INDEX(其他调用!$AJ$5:$AJ$364,MATCH($K250,其他调用!$AG$5:$AG$364,0),1)/INDEX(其他调用!AL$5:AL$364,MATCH($K250,其他调用!$AG$5:$AG$364,0),0),1)*INDEX(其他调用!AC$5:AC$404,MATCH($K250,其他调用!$X$5:$X$404,0),0)</f>
        <v>8327.2901194260448</v>
      </c>
      <c r="AG250" s="12">
        <f>求节点(节奏总纲!D$4:D$163,标准城池设计!AE$4:AE$163,$K250)*求节点(节奏总纲!D$4:D$163,攻城基础信息!$AF$5:$AF$164,$K250)</f>
        <v>1024806.223846364</v>
      </c>
      <c r="AH250" s="12">
        <f>INDEX(其他调用!$AA$5:$AA$404,MATCH($K250,其他调用!$X$5:$X$404,0))*MIN(INDEX(其他调用!AK$5:AK$364,MATCH($K250,其他调用!$AG$5:$AG$364,0),1)/INDEX(其他调用!$AJ$5:$AJ$364,MATCH($K250,其他调用!$AG$5:$AG$364,0),0),5)*求节点(节奏总纲!D$4:D$163,攻城基础信息!$AF$5:$AF$164,$K250)</f>
        <v>453568.60141937097</v>
      </c>
      <c r="AI250" s="12">
        <f>MIN(INDEX(其他调用!$AK$5:$AK$364,MATCH($K250,其他调用!$AG$5:$AG$364,0),1)/INDEX(其他调用!AH$5:AH$364,MATCH($K250,其他调用!$AG$5:$AG$364,0),0),1)*INDEX(其他调用!Y$5:Y$404,MATCH($K250,其他调用!$X$5:$X$404,0),0)</f>
        <v>41304.264898954949</v>
      </c>
      <c r="AJ250" s="12">
        <f>MIN(INDEX(其他调用!$AK$5:$AK$364,MATCH($K250,其他调用!$AG$5:$AG$364,0),1)/INDEX(其他调用!AI$5:AI$364,MATCH($K250,其他调用!$AG$5:$AG$364,0),0),1)*INDEX(其他调用!Z$5:Z$404,MATCH($K250,其他调用!$X$5:$X$404,0),0)</f>
        <v>42459.181225000619</v>
      </c>
      <c r="AK250" s="12">
        <f>MIN(INDEX(其他调用!$AK$5:$AK$364,MATCH($K250,其他调用!$AG$5:$AG$364,0),1)/INDEX(其他调用!AJ$5:AJ$364,MATCH($K250,其他调用!$AG$5:$AG$364,0),0),1)*INDEX(其他调用!AA$5:AA$404,MATCH($K250,其他调用!$X$5:$X$404,0),0)</f>
        <v>43980.679772866853</v>
      </c>
      <c r="AL250" s="12">
        <f>MIN(INDEX(其他调用!$AK$5:$AK$364,MATCH($K250,其他调用!$AG$5:$AG$364,0),1)/INDEX(其他调用!AK$5:AK$364,MATCH($K250,其他调用!$AG$5:$AG$364,0),0),1)*INDEX(其他调用!AB$5:AB$404,MATCH($K250,其他调用!$X$5:$X$404,0),0)</f>
        <v>46214.496121398872</v>
      </c>
      <c r="AM250" s="12">
        <f>MIN(INDEX(其他调用!$AK$5:$AK$364,MATCH($K250,其他调用!$AG$5:$AG$364,0),1)/INDEX(其他调用!AL$5:AL$364,MATCH($K250,其他调用!$AG$5:$AG$364,0),0),1)*INDEX(其他调用!AC$5:AC$404,MATCH($K250,其他调用!$X$5:$X$404,0),0)</f>
        <v>24673.801793726878</v>
      </c>
      <c r="AN250" s="12">
        <f>求节点(节奏总纲!D$4:D$163,标准城池设计!AF$4:AF$163,$K250)*求节点(节奏总纲!D$4:D$163,攻城基础信息!$AG$5:$AG$164,$K250)</f>
        <v>1073052.319952433</v>
      </c>
      <c r="AO250" s="12">
        <f>INDEX(其他调用!$AA$5:$AA$404,MATCH($K250,其他调用!$X$5:$X$404,0))*MIN(INDEX(其他调用!AL$5:AL$364,MATCH($K250,其他调用!$AG$5:$AG$364,0),1)/INDEX(其他调用!$AJ$5:$AJ$364,MATCH($K250,其他调用!$AG$5:$AG$364,0),0),5)*求节点(节奏总纲!D$4:D$163,攻城基础信息!$AG$5:$AG$164,$K250)</f>
        <v>765386.17045259918</v>
      </c>
      <c r="AP250" s="12">
        <f>MIN(INDEX(其他调用!$AL$5:$AL$364,MATCH($K250,其他调用!$AG$5:$AG$364,0),1)/INDEX(其他调用!AH$5:AH$364,MATCH($K250,其他调用!$AG$5:$AG$364,0),0),1)*INDEX(其他调用!Y$5:Y$404,MATCH($K250,其他调用!$X$5:$X$404,0),0)</f>
        <v>41304.264898954949</v>
      </c>
      <c r="AQ250" s="12">
        <f>MIN(INDEX(其他调用!$AL$5:$AL$364,MATCH($K250,其他调用!$AG$5:$AG$364,0),1)/INDEX(其他调用!AI$5:AI$364,MATCH($K250,其他调用!$AG$5:$AG$364,0),0),1)*INDEX(其他调用!Z$5:Z$404,MATCH($K250,其他调用!$X$5:$X$404,0),0)</f>
        <v>42459.181225000619</v>
      </c>
      <c r="AR250" s="12">
        <f>MIN(INDEX(其他调用!$AL$5:$AL$364,MATCH($K250,其他调用!$AG$5:$AG$364,0),1)/INDEX(其他调用!AJ$5:AJ$364,MATCH($K250,其他调用!$AG$5:$AG$364,0),0),1)*INDEX(其他调用!AA$5:AA$404,MATCH($K250,其他调用!$X$5:$X$404,0),0)</f>
        <v>43980.679772866853</v>
      </c>
      <c r="AS250" s="12">
        <f>MIN(INDEX(其他调用!$AL$5:$AL$364,MATCH($K250,其他调用!$AG$5:$AG$364,0),1)/INDEX(其他调用!AK$5:AK$364,MATCH($K250,其他调用!$AG$5:$AG$364,0),0),1)*INDEX(其他调用!AB$5:AB$404,MATCH($K250,其他调用!$X$5:$X$404,0),0)</f>
        <v>46214.496121398872</v>
      </c>
      <c r="AT250" s="12">
        <f>MIN(INDEX(其他调用!$AL$5:$AL$364,MATCH($K250,其他调用!$AG$5:$AG$364,0),1)/INDEX(其他调用!AL$5:AL$364,MATCH($K250,其他调用!$AG$5:$AG$364,0),0),1)*INDEX(其他调用!AC$5:AC$404,MATCH($K250,其他调用!$X$5:$X$404,0),0)</f>
        <v>50111.391282601886</v>
      </c>
      <c r="AV250" s="14">
        <f>IF(OR(AV$5="大R",AV$5="超R"),MAX(INDEX(其他调用!$H$5:$L$404,MATCH($K250,其他调用!$B$5:$B$404,0),MATCH(AV$5,其他调用!$H$4:$L$4,0))*120*0.85,2),INDEX(其他调用!$H$5:$L$404,MATCH($K250,其他调用!$B$5:$B$404,0),MATCH(AV$5,其他调用!$H$4:$L$4,0))*120*0.85)</f>
        <v>48.921801254999991</v>
      </c>
      <c r="AW250" s="14">
        <f>IF(OR(AW$5="大R",AW$5="超R"),MAX(INDEX(其他调用!$H$5:$L$404,MATCH($K250,其他调用!$B$5:$B$404,0),MATCH(AW$5,其他调用!$H$4:$L$4,0))*120*0.85,2),INDEX(其他调用!$H$5:$L$404,MATCH($K250,其他调用!$B$5:$B$404,0),MATCH(AW$5,其他调用!$H$4:$L$4,0))*120*0.85)</f>
        <v>48.237344010638395</v>
      </c>
      <c r="AX250" s="14">
        <f>IF(OR(AX$5="大R",AX$5="超R"),MAX(INDEX(其他调用!$H$5:$L$404,MATCH($K250,其他调用!$B$5:$B$404,0),MATCH(AX$5,其他调用!$H$4:$L$4,0))*120*0.85,2),INDEX(其他调用!$H$5:$L$404,MATCH($K250,其他调用!$B$5:$B$404,0),MATCH(AX$5,其他调用!$H$4:$L$4,0))*120*0.85)</f>
        <v>3.9376284143615998</v>
      </c>
      <c r="AY250" s="14">
        <f>IF(OR(AY$5="大R",AY$5="超R"),MAX(INDEX(其他调用!$H$5:$L$404,MATCH($K250,其他调用!$B$5:$B$404,0),MATCH(AY$5,其他调用!$H$4:$L$4,0))*120*0.85,2),INDEX(其他调用!$H$5:$L$404,MATCH($K250,其他调用!$B$5:$B$404,0),MATCH(AY$5,其他调用!$H$4:$L$4,0))*120*0.85)</f>
        <v>2</v>
      </c>
      <c r="AZ250" s="14">
        <f>IF(OR(AZ$5="大R",AZ$5="超R"),MAX(INDEX(其他调用!$H$5:$L$404,MATCH($K250,其他调用!$B$5:$B$404,0),MATCH(AZ$5,其他调用!$H$4:$L$4,0))*120*0.85,2),INDEX(其他调用!$H$5:$L$404,MATCH($K250,其他调用!$B$5:$B$404,0),MATCH(AZ$5,其他调用!$H$4:$L$4,0))*120*0.85)</f>
        <v>2</v>
      </c>
      <c r="BA250" s="14">
        <f>INDEX(其他调用!$H$5:$L$404,MATCH($K250,其他调用!$B$5:$B$404,0),MATCH(BA$5,其他调用!$H$4:$L$4,0))*INDEX(其他调用!$M$5:$M$404,MATCH($K250,其他调用!$B$5:$B$404,0))*0.6</f>
        <v>28.777530149999997</v>
      </c>
      <c r="BB250" s="14">
        <f>INDEX(其他调用!$H$5:$L$404,MATCH($K250,其他调用!$B$5:$B$404,0),MATCH(BB$5,其他调用!$H$4:$L$4,0))*INDEX(其他调用!$M$5:$M$404,MATCH($K250,其他调用!$B$5:$B$404,0))*0.6</f>
        <v>28.374908241551999</v>
      </c>
      <c r="BC250" s="14">
        <f>INDEX(其他调用!$H$5:$L$404,MATCH($K250,其他调用!$B$5:$B$404,0),MATCH(BC$5,其他调用!$H$4:$L$4,0))*INDEX(其他调用!$M$5:$M$404,MATCH($K250,其他调用!$B$5:$B$404,0))*0.6</f>
        <v>2.3162520084480001</v>
      </c>
      <c r="BD250" s="14">
        <f>INDEX(其他调用!$H$5:$L$404,MATCH($K250,其他调用!$B$5:$B$404,0),MATCH(BD$5,其他调用!$H$4:$L$4,0))*INDEX(其他调用!$M$5:$M$404,MATCH($K250,其他调用!$B$5:$B$404,0))*0.6</f>
        <v>0.4120776000000001</v>
      </c>
      <c r="BE250" s="14">
        <f>INDEX(其他调用!$H$5:$L$404,MATCH($K250,其他调用!$B$5:$B$404,0),MATCH(BE$5,其他调用!$H$4:$L$4,0))*INDEX(其他调用!$M$5:$M$404,MATCH($K250,其他调用!$B$5:$B$404,0))*0.6</f>
        <v>0.11923199999999998</v>
      </c>
      <c r="BF250" s="14">
        <f>IF(OR(BF$5="大R",BF$5="超R"),0,INDEX(其他调用!$H$5:$L$404,MATCH($K250,其他调用!$B$5:$B$404,0),MATCH(BF$5,其他调用!$H$4:$L$4,0))*50*0.4)</f>
        <v>9.5925100500000013</v>
      </c>
      <c r="BG250" s="14">
        <f>IF(OR(BG$5="大R",BG$5="超R"),0,INDEX(其他调用!$H$5:$L$404,MATCH($K250,其他调用!$B$5:$B$404,0),MATCH(BG$5,其他调用!$H$4:$L$4,0))*50*0.4)</f>
        <v>9.4583027471839998</v>
      </c>
      <c r="BH250" s="14">
        <f>IF(OR(BH$5="大R",BH$5="超R"),0,INDEX(其他调用!$H$5:$L$404,MATCH($K250,其他调用!$B$5:$B$404,0),MATCH(BH$5,其他调用!$H$4:$L$4,0))*50*0.4)</f>
        <v>0.77208400281600009</v>
      </c>
      <c r="BI250" s="14">
        <f>IF(OR(BI$5="大R",BI$5="超R"),0,INDEX(其他调用!$H$5:$L$404,MATCH($K250,其他调用!$B$5:$B$404,0),MATCH(BI$5,其他调用!$H$4:$L$4,0))*50*0.4)</f>
        <v>0</v>
      </c>
      <c r="BJ250" s="14">
        <f>IF(OR(BJ$5="大R",BJ$5="超R"),0,INDEX(其他调用!$H$5:$L$404,MATCH($K250,其他调用!$B$5:$B$404,0),MATCH(BJ$5,其他调用!$H$4:$L$4,0))*50*0.4)</f>
        <v>0</v>
      </c>
      <c r="BL250" s="14">
        <f t="shared" si="418"/>
        <v>245</v>
      </c>
      <c r="BM250" s="14">
        <f t="shared" si="325"/>
        <v>96</v>
      </c>
      <c r="BN250" s="14">
        <f>('疲劳值&amp;地图信息'!$S$10*'疲劳值&amp;地图信息'!$R$10+'疲劳值&amp;地图信息'!$S$11*'疲劳值&amp;地图信息'!$R$11+'疲劳值&amp;地图信息'!$S$12*'疲劳值&amp;地图信息'!$R$12+(BM250-'疲劳值&amp;地图信息'!$S$12-'疲劳值&amp;地图信息'!$S$11-'疲劳值&amp;地图信息'!$S$10)*'疲劳值&amp;地图信息'!$R$13)/BM250</f>
        <v>51.371477246638619</v>
      </c>
      <c r="BO250" s="14">
        <f>INDEX(其他调用!$M$5:$M$404,MATCH(BL250,其他调用!$B$5:$B$404,0))*0.6</f>
        <v>60</v>
      </c>
      <c r="BP250" s="14">
        <f>IF(BO250&gt;SUM('疲劳值&amp;地图信息'!$S$10:$S$12),('疲劳值&amp;地图信息'!$S$10*'疲劳值&amp;地图信息'!$R$10+'疲劳值&amp;地图信息'!$S$11*'疲劳值&amp;地图信息'!$R$11+'疲劳值&amp;地图信息'!$S$12*'疲劳值&amp;地图信息'!$R$12+(BO250-'疲劳值&amp;地图信息'!$S$12-'疲劳值&amp;地图信息'!$S$11-'疲劳值&amp;地图信息'!$S$10)*'疲劳值&amp;地图信息'!$R$13)/BO250,('疲劳值&amp;地图信息'!$S$10*'疲劳值&amp;地图信息'!$R$10+'疲劳值&amp;地图信息'!$S$11*'疲劳值&amp;地图信息'!$R$11+'疲劳值&amp;地图信息'!$S$12*'疲劳值&amp;地图信息'!$R$12+(BO250-'疲劳值&amp;地图信息'!$S$12-'疲劳值&amp;地图信息'!$S$11-'疲劳值&amp;地图信息'!$S$10)*'疲劳值&amp;地图信息'!$R$13)/BO250)</f>
        <v>44.158136341605953</v>
      </c>
      <c r="BQ250" s="14">
        <f t="shared" si="419"/>
        <v>20</v>
      </c>
      <c r="BR250" s="14">
        <f>('疲劳值&amp;地图信息'!$S$10*'疲劳值&amp;地图信息'!$R$10+($BQ250-'疲劳值&amp;地图信息'!$S$10)*'疲劳值&amp;地图信息'!$R$11)/$BQ250</f>
        <v>32.067203015074995</v>
      </c>
      <c r="CF250" s="14">
        <v>245</v>
      </c>
      <c r="CG250" s="51">
        <f t="shared" si="326"/>
        <v>14646</v>
      </c>
      <c r="CH250" s="51">
        <f t="shared" si="327"/>
        <v>1099</v>
      </c>
      <c r="CI250" s="51">
        <f>INT(SUMPRODUCT($N250:$R250,$BA250:$BE250)/SUM($BA250:$BE250)/10000*$BX$7*$BZ$34/'疲劳值&amp;地图信息'!$R$10*$BY$53)</f>
        <v>3297</v>
      </c>
      <c r="CJ250" s="50">
        <f t="shared" si="328"/>
        <v>0.76914189685957357</v>
      </c>
      <c r="CK250" s="50">
        <f t="shared" si="329"/>
        <v>5.7714525785106607E-2</v>
      </c>
      <c r="CL250" s="50">
        <f t="shared" si="330"/>
        <v>0.17314357735531982</v>
      </c>
      <c r="CM250" s="14">
        <f t="shared" si="331"/>
        <v>15828</v>
      </c>
      <c r="CN250" s="14">
        <f t="shared" si="332"/>
        <v>1832</v>
      </c>
      <c r="CO250" s="14">
        <f>INT(SUMPRODUCT($U250:$Y250,$BA250:$BE250)/SUM($BA250:$BE250)/10000*$BX$7*$BZ$34/'疲劳值&amp;地图信息'!$R$10*$BY$54)</f>
        <v>6234</v>
      </c>
      <c r="CP250" s="50">
        <f t="shared" si="333"/>
        <v>0.66242571356825986</v>
      </c>
      <c r="CQ250" s="50">
        <f t="shared" si="334"/>
        <v>7.6671967858039675E-2</v>
      </c>
      <c r="CR250" s="50">
        <f t="shared" si="335"/>
        <v>0.2609023185737005</v>
      </c>
      <c r="CS250" s="14">
        <f t="shared" si="336"/>
        <v>17343</v>
      </c>
      <c r="CT250" s="14">
        <f t="shared" si="337"/>
        <v>3119</v>
      </c>
      <c r="CU250" s="14">
        <f>INT(SUMPRODUCT($AB250:$AF250,$BA250:$BE250)/SUM($BA250:$BE250)/10000*$BX$7*$BZ$34/'疲劳值&amp;地图信息'!$R$10*$BY$55)</f>
        <v>8464</v>
      </c>
      <c r="CV250" s="50">
        <f t="shared" si="338"/>
        <v>0.59956440572495329</v>
      </c>
      <c r="CW250" s="50">
        <f t="shared" si="339"/>
        <v>0.10782686856115606</v>
      </c>
      <c r="CX250" s="50">
        <f t="shared" si="340"/>
        <v>0.29260872571389063</v>
      </c>
      <c r="CY250" s="14">
        <f t="shared" si="341"/>
        <v>20886</v>
      </c>
      <c r="CZ250" s="14">
        <f t="shared" si="342"/>
        <v>9244</v>
      </c>
      <c r="DA250" s="14">
        <f>INT(SUMPRODUCT($AI250:$AM250,$BA250:$BE250)/SUM($BA250:$BE250)/10000*$BX$7*$BZ$34/'疲劳值&amp;地图信息'!$R$10*$BY$56)</f>
        <v>12771</v>
      </c>
      <c r="DB250" s="50">
        <f t="shared" si="343"/>
        <v>0.48684179855947413</v>
      </c>
      <c r="DC250" s="50">
        <f t="shared" si="344"/>
        <v>0.21547283280110022</v>
      </c>
      <c r="DD250" s="50">
        <f t="shared" si="345"/>
        <v>0.29768536863942563</v>
      </c>
      <c r="DE250" s="14">
        <f t="shared" si="346"/>
        <v>21870</v>
      </c>
      <c r="DF250" s="14">
        <f t="shared" si="347"/>
        <v>15599</v>
      </c>
      <c r="DG250" s="14">
        <f>INT(SUMPRODUCT($AP250:$AT250,$BA250:$BE250)/SUM($BA250:$BE250)/10000*$BX$7*$BZ$34/'疲劳值&amp;地图信息'!$R$10*$BY$57)</f>
        <v>17048</v>
      </c>
      <c r="DH250" s="50">
        <f t="shared" si="348"/>
        <v>0.40115927141992408</v>
      </c>
      <c r="DI250" s="50">
        <f t="shared" si="349"/>
        <v>0.28613093163600345</v>
      </c>
      <c r="DJ250" s="50">
        <f t="shared" si="350"/>
        <v>0.31270979694407247</v>
      </c>
      <c r="DL250" s="14">
        <f t="shared" si="421"/>
        <v>19042</v>
      </c>
      <c r="DM250" s="14">
        <f t="shared" si="422"/>
        <v>23894</v>
      </c>
      <c r="DN250" s="14">
        <f t="shared" si="423"/>
        <v>28926</v>
      </c>
      <c r="DO250" s="14">
        <f t="shared" si="424"/>
        <v>42901</v>
      </c>
      <c r="DP250" s="14">
        <f t="shared" si="425"/>
        <v>54517</v>
      </c>
      <c r="DQ250" s="14">
        <f t="shared" si="426"/>
        <v>1317150</v>
      </c>
      <c r="DT250" s="14">
        <f t="shared" si="420"/>
        <v>235575</v>
      </c>
      <c r="DU250" s="50">
        <f t="shared" si="322"/>
        <v>0.15171714244312418</v>
      </c>
      <c r="DW250" s="14">
        <f t="shared" si="351"/>
        <v>1552725</v>
      </c>
      <c r="EB250" s="14">
        <v>245</v>
      </c>
      <c r="EC250" s="51">
        <f t="shared" si="352"/>
        <v>24411</v>
      </c>
      <c r="ED250" s="51">
        <f t="shared" si="353"/>
        <v>1832</v>
      </c>
      <c r="EE250" s="51">
        <f>INT(SUMPRODUCT($N250:$R250,$BF250:$BJ250)/SUM($BF250:$BJ250)/10000*$BX$7*$BZ$46/'疲劳值&amp;地图信息'!$R$10*$BY$53)</f>
        <v>442</v>
      </c>
      <c r="EF250" s="50">
        <f t="shared" si="354"/>
        <v>0.91478358628442946</v>
      </c>
      <c r="EG250" s="50">
        <f t="shared" si="355"/>
        <v>6.8652801199175564E-2</v>
      </c>
      <c r="EH250" s="50">
        <f t="shared" si="356"/>
        <v>1.6563612516394977E-2</v>
      </c>
      <c r="EI250" s="51">
        <f t="shared" si="357"/>
        <v>26381</v>
      </c>
      <c r="EJ250" s="51">
        <f t="shared" si="358"/>
        <v>3054</v>
      </c>
      <c r="EK250" s="14">
        <f>INT(SUMPRODUCT($U250:$Y250,$BF250:$BJ250)/SUM($BF250:$BJ250)/10000*$BX$7*$BZ$46/'疲劳值&amp;地图信息'!$R$10*$BY$54)</f>
        <v>837</v>
      </c>
      <c r="EL250" s="50">
        <f t="shared" si="359"/>
        <v>0.87146538054968292</v>
      </c>
      <c r="EM250" s="50">
        <f t="shared" si="360"/>
        <v>0.1008853065539112</v>
      </c>
      <c r="EN250" s="50">
        <f t="shared" si="361"/>
        <v>2.7649312896405921E-2</v>
      </c>
      <c r="EO250" s="51">
        <f t="shared" si="362"/>
        <v>28906</v>
      </c>
      <c r="EP250" s="51">
        <f t="shared" si="363"/>
        <v>5199</v>
      </c>
      <c r="EQ250" s="14">
        <f>INT(SUMPRODUCT($AB250:$AF250,$BF250:$BJ250)/SUM($BF250:$BJ250)/10000*$BX$7*$BZ$46/'疲劳值&amp;地图信息'!$R$10*$BY$55)</f>
        <v>1135</v>
      </c>
      <c r="ER250" s="50">
        <f t="shared" si="364"/>
        <v>0.82026106696935297</v>
      </c>
      <c r="ES250" s="50">
        <f t="shared" si="365"/>
        <v>0.14753121452894438</v>
      </c>
      <c r="ET250" s="50">
        <f t="shared" si="366"/>
        <v>3.2207718501702613E-2</v>
      </c>
      <c r="EU250" s="51">
        <f t="shared" si="367"/>
        <v>34811</v>
      </c>
      <c r="EV250" s="51">
        <f t="shared" si="368"/>
        <v>15407</v>
      </c>
      <c r="EW250" s="14">
        <f>INT(SUMPRODUCT($AI250:$AM250,$BF250:$BJ250)/SUM($BF250:$BJ250)/10000*$BX$7*$BZ$46/'疲劳值&amp;地图信息'!$R$10*$BY$56)</f>
        <v>1703</v>
      </c>
      <c r="EX250" s="50">
        <f t="shared" si="369"/>
        <v>0.67046089250977448</v>
      </c>
      <c r="EY250" s="50">
        <f t="shared" si="370"/>
        <v>0.29673927697848657</v>
      </c>
      <c r="EZ250" s="50">
        <f t="shared" si="371"/>
        <v>3.2799830511738987E-2</v>
      </c>
      <c r="FA250" s="51">
        <f t="shared" si="372"/>
        <v>36450</v>
      </c>
      <c r="FB250" s="51">
        <f t="shared" si="373"/>
        <v>25999</v>
      </c>
      <c r="FC250" s="14">
        <f>INT(SUMPRODUCT($AP250:$AT250,$BF250:$BJ250)/SUM($BF250:$BJ250)/10000*$BX$7*$BZ$46/'疲劳值&amp;地图信息'!$R$10*$BY$57)</f>
        <v>2270</v>
      </c>
      <c r="FD250" s="50">
        <f t="shared" si="374"/>
        <v>0.56320400500625778</v>
      </c>
      <c r="FE250" s="50">
        <f t="shared" si="375"/>
        <v>0.4017212874117338</v>
      </c>
      <c r="FF250" s="50">
        <f t="shared" si="376"/>
        <v>3.5074707582008376E-2</v>
      </c>
      <c r="FH250" s="14">
        <f t="shared" si="377"/>
        <v>26685</v>
      </c>
      <c r="FI250" s="14">
        <f t="shared" si="378"/>
        <v>30272</v>
      </c>
      <c r="FJ250" s="14">
        <f t="shared" si="379"/>
        <v>35240</v>
      </c>
      <c r="FK250" s="14">
        <f t="shared" si="380"/>
        <v>51921</v>
      </c>
      <c r="FL250" s="14">
        <f t="shared" si="381"/>
        <v>64719</v>
      </c>
      <c r="FM250" s="14">
        <f t="shared" si="382"/>
        <v>3137761</v>
      </c>
      <c r="FP250" s="14">
        <f t="shared" si="383"/>
        <v>334150</v>
      </c>
      <c r="FQ250" s="50">
        <f t="shared" si="323"/>
        <v>9.6243826526659235E-2</v>
      </c>
      <c r="FS250" s="14">
        <f t="shared" si="384"/>
        <v>3471911</v>
      </c>
      <c r="FX250" s="14">
        <v>245</v>
      </c>
      <c r="FY250" s="51">
        <f t="shared" si="385"/>
        <v>34175</v>
      </c>
      <c r="FZ250" s="51">
        <f t="shared" si="386"/>
        <v>1832</v>
      </c>
      <c r="GA250" s="51">
        <f>INT(SUMPRODUCT($N250:$R250,$BF250:$BJ250)/SUM($BF250:$BJ250)/10000*$BX$7*$BZ$46/'疲劳值&amp;地图信息'!$R$10*$BY$53)</f>
        <v>442</v>
      </c>
      <c r="GB250" s="50">
        <f t="shared" si="387"/>
        <v>0.93761145710444727</v>
      </c>
      <c r="GC250" s="50">
        <f t="shared" si="388"/>
        <v>5.0262009931685371E-2</v>
      </c>
      <c r="GD250" s="50">
        <f t="shared" si="389"/>
        <v>1.2126532963867322E-2</v>
      </c>
      <c r="GE250" s="51">
        <f t="shared" si="390"/>
        <v>36933</v>
      </c>
      <c r="GF250" s="51">
        <f t="shared" si="391"/>
        <v>3054</v>
      </c>
      <c r="GG250" s="14">
        <f>INT(SUMPRODUCT($U250:$Y250,$BF250:$BJ250)/SUM($BF250:$BJ250)/10000*$BX$7*$BZ$46/'疲劳值&amp;地图信息'!$R$10*$BY$54)</f>
        <v>837</v>
      </c>
      <c r="GH250" s="50">
        <f t="shared" si="392"/>
        <v>0.90468841857730742</v>
      </c>
      <c r="GI250" s="50">
        <f t="shared" si="393"/>
        <v>7.4808935920047032E-2</v>
      </c>
      <c r="GJ250" s="50">
        <f t="shared" si="394"/>
        <v>2.0502645502645502E-2</v>
      </c>
      <c r="GK250" s="51">
        <f t="shared" si="395"/>
        <v>40468</v>
      </c>
      <c r="GL250" s="51">
        <f t="shared" si="396"/>
        <v>5199</v>
      </c>
      <c r="GM250" s="14">
        <f>INT(SUMPRODUCT($AB250:$AF250,$BF250:$BJ250)/SUM($BF250:$BJ250)/10000*$BX$7*$BZ$46/'疲劳值&amp;地图信息'!$R$10*$BY$55)</f>
        <v>1135</v>
      </c>
      <c r="GN250" s="50">
        <f t="shared" si="397"/>
        <v>0.86466390325199782</v>
      </c>
      <c r="GO250" s="50">
        <f t="shared" si="398"/>
        <v>0.11108499636767659</v>
      </c>
      <c r="GP250" s="50">
        <f t="shared" si="399"/>
        <v>2.4251100380325626E-2</v>
      </c>
      <c r="GQ250" s="51">
        <f t="shared" si="400"/>
        <v>48736</v>
      </c>
      <c r="GR250" s="51">
        <f t="shared" si="401"/>
        <v>15407</v>
      </c>
      <c r="GS250" s="14">
        <f>INT(SUMPRODUCT($AI250:$AM250,$BF250:$BJ250)/SUM($BF250:$BJ250)/10000*$BX$7*$BZ$46/'疲劳值&amp;地图信息'!$R$10*$BY$56)</f>
        <v>1703</v>
      </c>
      <c r="GT250" s="50">
        <f t="shared" si="402"/>
        <v>0.74015126203565895</v>
      </c>
      <c r="GU250" s="50">
        <f t="shared" si="403"/>
        <v>0.23398535977887799</v>
      </c>
      <c r="GV250" s="50">
        <f t="shared" si="404"/>
        <v>2.5863378185463051E-2</v>
      </c>
      <c r="GW250" s="51">
        <f t="shared" si="405"/>
        <v>51030</v>
      </c>
      <c r="GX250" s="51">
        <f t="shared" si="406"/>
        <v>25999</v>
      </c>
      <c r="GY250" s="14">
        <f>INT(SUMPRODUCT($AP250:$AT250,$BF250:$BJ250)/SUM($BF250:$BJ250)/10000*$BX$7*$BZ$46/'疲劳值&amp;地图信息'!$R$10*$BY$57)</f>
        <v>2270</v>
      </c>
      <c r="GZ250" s="50">
        <f t="shared" si="407"/>
        <v>0.64351378958120531</v>
      </c>
      <c r="HA250" s="50">
        <f t="shared" si="408"/>
        <v>0.32786037654951511</v>
      </c>
      <c r="HB250" s="50">
        <f t="shared" si="409"/>
        <v>2.8625833869279561E-2</v>
      </c>
      <c r="HD250" s="14">
        <f t="shared" si="410"/>
        <v>36449</v>
      </c>
      <c r="HE250" s="14">
        <f t="shared" si="411"/>
        <v>40824</v>
      </c>
      <c r="HF250" s="14">
        <f t="shared" si="412"/>
        <v>46802</v>
      </c>
      <c r="HG250" s="14">
        <f t="shared" si="413"/>
        <v>65846</v>
      </c>
      <c r="HH250" s="14">
        <f t="shared" si="414"/>
        <v>79299</v>
      </c>
      <c r="HI250" s="14">
        <f t="shared" si="415"/>
        <v>4226970</v>
      </c>
      <c r="HL250" s="14">
        <f t="shared" si="416"/>
        <v>430050</v>
      </c>
      <c r="HM250" s="50">
        <f t="shared" si="324"/>
        <v>9.2344460620740296E-2</v>
      </c>
      <c r="HO250" s="14">
        <f t="shared" si="417"/>
        <v>4657020</v>
      </c>
    </row>
    <row r="251" spans="11:223" x14ac:dyDescent="0.2">
      <c r="K251" s="14">
        <v>246</v>
      </c>
      <c r="L251" s="12">
        <f>求节点(节奏总纲!D$4:D$163,标准城池设计!AB$4:AB$163,$K251)*求节点(节奏总纲!D$4:D$163,攻城基础信息!$AC$5:$AC$164,$K251)</f>
        <v>720010.6939313499</v>
      </c>
      <c r="M251" s="12">
        <f>INDEX(其他调用!$AA$5:$AA$404,MATCH(K251,其他调用!$X$5:$X$404,0))*MIN(INDEX(其他调用!$AH$5:$AH$364,MATCH('征服点（新）'!K251,其他调用!$AG$5:$AG$364,0),1)/INDEX(其他调用!$AJ$5:$AJ$364,MATCH(K251,其他调用!$AG$5:$AG$364,0),0),5)*求节点(节奏总纲!D$4:D$163,攻城基础信息!$AC$5:$AC$164,$K251)</f>
        <v>53950.533745907502</v>
      </c>
      <c r="N251" s="12">
        <f>MIN(INDEX(其他调用!$AH$5:$AH$364,MATCH($K251,其他调用!$AG$5:$AG$364,0),1)/INDEX(其他调用!AH$5:AH$364,MATCH($K251,其他调用!$AG$5:$AG$364,0),0),1)*INDEX(其他调用!Y$5:Y$404,MATCH($K251,其他调用!$X$5:$X$404,0),0)</f>
        <v>41327.426346486449</v>
      </c>
      <c r="O251" s="12">
        <f>MIN(INDEX(其他调用!$AH$5:$AH$364,MATCH($K251,其他调用!$AG$5:$AG$364,0),1)/INDEX(其他调用!AI$5:AI$364,MATCH($K251,其他调用!$AG$5:$AG$364,0),0),1)*INDEX(其他调用!Z$5:Z$404,MATCH($K251,其他调用!$X$5:$X$404,0),0)</f>
        <v>25456.149116480501</v>
      </c>
      <c r="P251" s="12">
        <f>MIN(INDEX(其他调用!$AH$5:$AH$364,MATCH($K251,其他调用!$AG$5:$AG$364,0),1)/INDEX(其他调用!AJ$5:AJ$364,MATCH($K251,其他调用!$AG$5:$AG$364,0),0),1)*INDEX(其他调用!AA$5:AA$404,MATCH($K251,其他调用!$X$5:$X$404,0),0)</f>
        <v>15491.894536446483</v>
      </c>
      <c r="Q251" s="12">
        <f>MIN(INDEX(其他调用!$AH$5:$AH$364,MATCH($K251,其他调用!$AG$5:$AG$364,0),1)/INDEX(其他调用!AK$5:AK$364,MATCH($K251,其他调用!$AG$5:$AG$364,0),0),1)*INDEX(其他调用!AB$5:AB$404,MATCH($K251,其他调用!$X$5:$X$404,0),0)</f>
        <v>5492.2561973224401</v>
      </c>
      <c r="R251" s="12">
        <f>MIN(INDEX(其他调用!$AH$5:$AH$364,MATCH($K251,其他调用!$AG$5:$AG$364,0),1)/INDEX(其他调用!AL$5:AL$364,MATCH($K251,其他调用!$AG$5:$AG$364,0),0),1)*INDEX(其他调用!AC$5:AC$404,MATCH($K251,其他调用!$X$5:$X$404,0),0)</f>
        <v>2942.5446400378032</v>
      </c>
      <c r="S251" s="12">
        <f>求节点(节奏总纲!D$4:D$163,标准城池设计!AC$4:AC$163,$K251)*求节点(节奏总纲!D$4:D$163,攻城基础信息!$AD$5:$AD$164,$K251)</f>
        <v>778462.30735303089</v>
      </c>
      <c r="T251" s="12">
        <f>INDEX(其他调用!$AA$5:$AA$404,MATCH($K251,其他调用!$X$5:$X$404,0))*MIN(INDEX(其他调用!AI$5:AI$364,MATCH($K251,其他调用!$AG$5:$AG$364,0),1)/INDEX(其他调用!$AJ$5:$AJ$364,MATCH($K251,其他调用!$AG$5:$AG$364,0),0),5)*求节点(节奏总纲!D$4:D$163,攻城基础信息!$AD$5:$AD$164,$K251)</f>
        <v>90036.557818512229</v>
      </c>
      <c r="U251" s="12">
        <f>MIN(INDEX(其他调用!$AI$5:$AI$364,MATCH($K251,其他调用!$AG$5:$AG$364,0),1)/INDEX(其他调用!AH$5:AH$364,MATCH($K251,其他调用!$AG$5:$AG$364,0),0),1)*INDEX(其他调用!Y$5:Y$404,MATCH($K251,其他调用!$X$5:$X$404,0),0)</f>
        <v>41327.426346486449</v>
      </c>
      <c r="V251" s="12">
        <f>MIN(INDEX(其他调用!$AI$5:$AI$364,MATCH($K251,其他调用!$AG$5:$AG$364,0),1)/INDEX(其他调用!AI$5:AI$364,MATCH($K251,其他调用!$AG$5:$AG$364,0),0),1)*INDEX(其他调用!Z$5:Z$404,MATCH($K251,其他调用!$X$5:$X$404,0),0)</f>
        <v>42483.06518258548</v>
      </c>
      <c r="W251" s="12">
        <f>MIN(INDEX(其他调用!$AI$5:$AI$364,MATCH($K251,其他调用!$AG$5:$AG$364,0),1)/INDEX(其他调用!AJ$5:AJ$364,MATCH($K251,其他调用!$AG$5:$AG$364,0),0),1)*INDEX(其他调用!AA$5:AA$404,MATCH($K251,其他调用!$X$5:$X$404,0),0)</f>
        <v>25853.995527057505</v>
      </c>
      <c r="X251" s="12">
        <f>MIN(INDEX(其他调用!$AI$5:$AI$364,MATCH($K251,其他调用!$AG$5:$AG$364,0),1)/INDEX(其他调用!AK$5:AK$364,MATCH($K251,其他调用!$AG$5:$AG$364,0),0),1)*INDEX(其他调用!AB$5:AB$404,MATCH($K251,其他调用!$X$5:$X$404,0),0)</f>
        <v>9165.8748918645397</v>
      </c>
      <c r="Y251" s="12">
        <f>MIN(INDEX(其他调用!$AI$5:$AI$364,MATCH($K251,其他调用!$AG$5:$AG$364,0),1)/INDEX(其他调用!AL$5:AL$364,MATCH($K251,其他调用!$AG$5:$AG$364,0),0),1)*INDEX(其他调用!AC$5:AC$404,MATCH($K251,其他调用!$X$5:$X$404,0),0)</f>
        <v>4910.7315946881454</v>
      </c>
      <c r="Z251" s="12">
        <f>求节点(节奏总纲!D$4:D$163,标准城池设计!AD$4:AD$163,$K251)*求节点(节奏总纲!D$4:D$163,攻城基础信息!$AE$5:$AE$164,$K251)</f>
        <v>853109.53687094187</v>
      </c>
      <c r="AA251" s="12">
        <f>INDEX(其他调用!$AA$5:$AA$404,MATCH($K251,其他调用!$X$5:$X$404,0))*MIN(INDEX(其他调用!AJ$5:AJ$364,MATCH($K251,其他调用!$AG$5:$AG$364,0),1)/INDEX(其他调用!$AJ$5:$AJ$364,MATCH($K251,其他调用!$AG$5:$AG$364,0),0),5)*求节点(节奏总纲!D$4:D$163,攻城基础信息!$AE$5:$AE$164,$K251)</f>
        <v>153245.76616121124</v>
      </c>
      <c r="AB251" s="12">
        <f>MIN(INDEX(其他调用!$AJ$5:$AJ$364,MATCH($K251,其他调用!$AG$5:$AG$364,0),1)/INDEX(其他调用!AH$5:AH$364,MATCH($K251,其他调用!$AG$5:$AG$364,0),0),1)*INDEX(其他调用!Y$5:Y$404,MATCH($K251,其他调用!$X$5:$X$404,0),0)</f>
        <v>41327.426346486449</v>
      </c>
      <c r="AC251" s="12">
        <f>MIN(INDEX(其他调用!$AJ$5:$AJ$364,MATCH($K251,其他调用!$AG$5:$AG$364,0),1)/INDEX(其他调用!AI$5:AI$364,MATCH($K251,其他调用!$AG$5:$AG$364,0),0),1)*INDEX(其他调用!Z$5:Z$404,MATCH($K251,其他调用!$X$5:$X$404,0),0)</f>
        <v>42483.06518258548</v>
      </c>
      <c r="AD251" s="12">
        <f>MIN(INDEX(其他调用!$AJ$5:$AJ$364,MATCH($K251,其他调用!$AG$5:$AG$364,0),1)/INDEX(其他调用!AJ$5:AJ$364,MATCH($K251,其他调用!$AG$5:$AG$364,0),0),1)*INDEX(其他调用!AA$5:AA$404,MATCH($K251,其他调用!$X$5:$X$404,0),0)</f>
        <v>44004.518263111939</v>
      </c>
      <c r="AE251" s="12">
        <f>MIN(INDEX(其他调用!$AJ$5:$AJ$364,MATCH($K251,其他调用!$AG$5:$AG$364,0),1)/INDEX(其他调用!AK$5:AK$364,MATCH($K251,其他调用!$AG$5:$AG$364,0),0),1)*INDEX(其他调用!AB$5:AB$404,MATCH($K251,其他调用!$X$5:$X$404,0),0)</f>
        <v>15600.679927956851</v>
      </c>
      <c r="AF251" s="12">
        <f>MIN(INDEX(其他调用!$AJ$5:$AJ$364,MATCH($K251,其他调用!$AG$5:$AG$364,0),1)/INDEX(其他调用!AL$5:AL$364,MATCH($K251,其他调用!$AG$5:$AG$364,0),0),1)*INDEX(其他调用!AC$5:AC$404,MATCH($K251,其他调用!$X$5:$X$404,0),0)</f>
        <v>8358.2585104705267</v>
      </c>
      <c r="AG251" s="12">
        <f>求节点(节奏总纲!D$4:D$163,标准城池设计!AE$4:AE$163,$K251)*求节点(节奏总纲!D$4:D$163,攻城基础信息!$AF$5:$AF$164,$K251)</f>
        <v>1027489.1627071922</v>
      </c>
      <c r="AH251" s="12">
        <f>INDEX(其他调用!$AA$5:$AA$404,MATCH($K251,其他调用!$X$5:$X$404,0))*MIN(INDEX(其他调用!AK$5:AK$364,MATCH($K251,其他调用!$AG$5:$AG$364,0),1)/INDEX(其他调用!$AJ$5:$AJ$364,MATCH($K251,其他调用!$AG$5:$AG$364,0),0),5)*求节点(节奏总纲!D$4:D$163,攻城基础信息!$AF$5:$AF$164,$K251)</f>
        <v>454204.42400338809</v>
      </c>
      <c r="AI251" s="12">
        <f>MIN(INDEX(其他调用!$AK$5:$AK$364,MATCH($K251,其他调用!$AG$5:$AG$364,0),1)/INDEX(其他调用!AH$5:AH$364,MATCH($K251,其他调用!$AG$5:$AG$364,0),0),1)*INDEX(其他调用!Y$5:Y$404,MATCH($K251,其他调用!$X$5:$X$404,0),0)</f>
        <v>41327.426346486449</v>
      </c>
      <c r="AJ251" s="12">
        <f>MIN(INDEX(其他调用!$AK$5:$AK$364,MATCH($K251,其他调用!$AG$5:$AG$364,0),1)/INDEX(其他调用!AI$5:AI$364,MATCH($K251,其他调用!$AG$5:$AG$364,0),0),1)*INDEX(其他调用!Z$5:Z$404,MATCH($K251,其他调用!$X$5:$X$404,0),0)</f>
        <v>42483.06518258548</v>
      </c>
      <c r="AK251" s="12">
        <f>MIN(INDEX(其他调用!$AK$5:$AK$364,MATCH($K251,其他调用!$AG$5:$AG$364,0),1)/INDEX(其他调用!AJ$5:AJ$364,MATCH($K251,其他调用!$AG$5:$AG$364,0),0),1)*INDEX(其他调用!AA$5:AA$404,MATCH($K251,其他调用!$X$5:$X$404,0),0)</f>
        <v>44004.518263111939</v>
      </c>
      <c r="AL251" s="12">
        <f>MIN(INDEX(其他调用!$AK$5:$AK$364,MATCH($K251,其他调用!$AG$5:$AG$364,0),1)/INDEX(其他调用!AK$5:AK$364,MATCH($K251,其他调用!$AG$5:$AG$364,0),0),1)*INDEX(其他调用!AB$5:AB$404,MATCH($K251,其他调用!$X$5:$X$404,0),0)</f>
        <v>46238.78374091359</v>
      </c>
      <c r="AM251" s="12">
        <f>MIN(INDEX(其他调用!$AK$5:$AK$364,MATCH($K251,其他调用!$AG$5:$AG$364,0),1)/INDEX(其他调用!AL$5:AL$364,MATCH($K251,其他调用!$AG$5:$AG$364,0),0),1)*INDEX(其他调用!AC$5:AC$404,MATCH($K251,其他调用!$X$5:$X$404,0),0)</f>
        <v>24773.004093476851</v>
      </c>
      <c r="AN251" s="12">
        <f>求节点(节奏总纲!D$4:D$163,标准城池设计!AF$4:AF$163,$K251)*求节点(节奏总纲!D$4:D$163,攻城基础信息!$AG$5:$AG$164,$K251)</f>
        <v>1075851.1348894408</v>
      </c>
      <c r="AO251" s="12">
        <f>INDEX(其他调用!$AA$5:$AA$404,MATCH($K251,其他调用!$X$5:$X$404,0))*MIN(INDEX(其他调用!AL$5:AL$364,MATCH($K251,其他调用!$AG$5:$AG$364,0),1)/INDEX(其他调用!$AJ$5:$AJ$364,MATCH($K251,其他调用!$AG$5:$AG$364,0),0),5)*求节点(节奏总纲!D$4:D$163,攻城基础信息!$AG$5:$AG$164,$K251)</f>
        <v>766228.83080605615</v>
      </c>
      <c r="AP251" s="12">
        <f>MIN(INDEX(其他调用!$AL$5:$AL$364,MATCH($K251,其他调用!$AG$5:$AG$364,0),1)/INDEX(其他调用!AH$5:AH$364,MATCH($K251,其他调用!$AG$5:$AG$364,0),0),1)*INDEX(其他调用!Y$5:Y$404,MATCH($K251,其他调用!$X$5:$X$404,0),0)</f>
        <v>41327.426346486449</v>
      </c>
      <c r="AQ251" s="12">
        <f>MIN(INDEX(其他调用!$AL$5:$AL$364,MATCH($K251,其他调用!$AG$5:$AG$364,0),1)/INDEX(其他调用!AI$5:AI$364,MATCH($K251,其他调用!$AG$5:$AG$364,0),0),1)*INDEX(其他调用!Z$5:Z$404,MATCH($K251,其他调用!$X$5:$X$404,0),0)</f>
        <v>42483.06518258548</v>
      </c>
      <c r="AR251" s="12">
        <f>MIN(INDEX(其他调用!$AL$5:$AL$364,MATCH($K251,其他调用!$AG$5:$AG$364,0),1)/INDEX(其他调用!AJ$5:AJ$364,MATCH($K251,其他调用!$AG$5:$AG$364,0),0),1)*INDEX(其他调用!AA$5:AA$404,MATCH($K251,其他调用!$X$5:$X$404,0),0)</f>
        <v>44004.518263111939</v>
      </c>
      <c r="AS251" s="12">
        <f>MIN(INDEX(其他调用!$AL$5:$AL$364,MATCH($K251,其他调用!$AG$5:$AG$364,0),1)/INDEX(其他调用!AK$5:AK$364,MATCH($K251,其他调用!$AG$5:$AG$364,0),0),1)*INDEX(其他调用!AB$5:AB$404,MATCH($K251,其他调用!$X$5:$X$404,0),0)</f>
        <v>46238.78374091359</v>
      </c>
      <c r="AT251" s="12">
        <f>MIN(INDEX(其他调用!$AL$5:$AL$364,MATCH($K251,其他调用!$AG$5:$AG$364,0),1)/INDEX(其他调用!AL$5:AL$364,MATCH($K251,其他调用!$AG$5:$AG$364,0),0),1)*INDEX(其他调用!AC$5:AC$404,MATCH($K251,其他调用!$X$5:$X$404,0),0)</f>
        <v>50134.653676592075</v>
      </c>
      <c r="AV251" s="14">
        <f>IF(OR(AV$5="大R",AV$5="超R"),MAX(INDEX(其他调用!$H$5:$L$404,MATCH($K251,其他调用!$B$5:$B$404,0),MATCH(AV$5,其他调用!$H$4:$L$4,0))*120*0.85,2),INDEX(其他调用!$H$5:$L$404,MATCH($K251,其他调用!$B$5:$B$404,0),MATCH(AV$5,其他调用!$H$4:$L$4,0))*120*0.85)</f>
        <v>48.921801254999991</v>
      </c>
      <c r="AW251" s="14">
        <f>IF(OR(AW$5="大R",AW$5="超R"),MAX(INDEX(其他调用!$H$5:$L$404,MATCH($K251,其他调用!$B$5:$B$404,0),MATCH(AW$5,其他调用!$H$4:$L$4,0))*120*0.85,2),INDEX(其他调用!$H$5:$L$404,MATCH($K251,其他调用!$B$5:$B$404,0),MATCH(AW$5,其他调用!$H$4:$L$4,0))*120*0.85)</f>
        <v>48.237344010638395</v>
      </c>
      <c r="AX251" s="14">
        <f>IF(OR(AX$5="大R",AX$5="超R"),MAX(INDEX(其他调用!$H$5:$L$404,MATCH($K251,其他调用!$B$5:$B$404,0),MATCH(AX$5,其他调用!$H$4:$L$4,0))*120*0.85,2),INDEX(其他调用!$H$5:$L$404,MATCH($K251,其他调用!$B$5:$B$404,0),MATCH(AX$5,其他调用!$H$4:$L$4,0))*120*0.85)</f>
        <v>3.9376284143615998</v>
      </c>
      <c r="AY251" s="14">
        <f>IF(OR(AY$5="大R",AY$5="超R"),MAX(INDEX(其他调用!$H$5:$L$404,MATCH($K251,其他调用!$B$5:$B$404,0),MATCH(AY$5,其他调用!$H$4:$L$4,0))*120*0.85,2),INDEX(其他调用!$H$5:$L$404,MATCH($K251,其他调用!$B$5:$B$404,0),MATCH(AY$5,其他调用!$H$4:$L$4,0))*120*0.85)</f>
        <v>2</v>
      </c>
      <c r="AZ251" s="14">
        <f>IF(OR(AZ$5="大R",AZ$5="超R"),MAX(INDEX(其他调用!$H$5:$L$404,MATCH($K251,其他调用!$B$5:$B$404,0),MATCH(AZ$5,其他调用!$H$4:$L$4,0))*120*0.85,2),INDEX(其他调用!$H$5:$L$404,MATCH($K251,其他调用!$B$5:$B$404,0),MATCH(AZ$5,其他调用!$H$4:$L$4,0))*120*0.85)</f>
        <v>2</v>
      </c>
      <c r="BA251" s="14">
        <f>INDEX(其他调用!$H$5:$L$404,MATCH($K251,其他调用!$B$5:$B$404,0),MATCH(BA$5,其他调用!$H$4:$L$4,0))*INDEX(其他调用!$M$5:$M$404,MATCH($K251,其他调用!$B$5:$B$404,0))*0.6</f>
        <v>28.777530149999997</v>
      </c>
      <c r="BB251" s="14">
        <f>INDEX(其他调用!$H$5:$L$404,MATCH($K251,其他调用!$B$5:$B$404,0),MATCH(BB$5,其他调用!$H$4:$L$4,0))*INDEX(其他调用!$M$5:$M$404,MATCH($K251,其他调用!$B$5:$B$404,0))*0.6</f>
        <v>28.374908241551999</v>
      </c>
      <c r="BC251" s="14">
        <f>INDEX(其他调用!$H$5:$L$404,MATCH($K251,其他调用!$B$5:$B$404,0),MATCH(BC$5,其他调用!$H$4:$L$4,0))*INDEX(其他调用!$M$5:$M$404,MATCH($K251,其他调用!$B$5:$B$404,0))*0.6</f>
        <v>2.3162520084480001</v>
      </c>
      <c r="BD251" s="14">
        <f>INDEX(其他调用!$H$5:$L$404,MATCH($K251,其他调用!$B$5:$B$404,0),MATCH(BD$5,其他调用!$H$4:$L$4,0))*INDEX(其他调用!$M$5:$M$404,MATCH($K251,其他调用!$B$5:$B$404,0))*0.6</f>
        <v>0.4120776000000001</v>
      </c>
      <c r="BE251" s="14">
        <f>INDEX(其他调用!$H$5:$L$404,MATCH($K251,其他调用!$B$5:$B$404,0),MATCH(BE$5,其他调用!$H$4:$L$4,0))*INDEX(其他调用!$M$5:$M$404,MATCH($K251,其他调用!$B$5:$B$404,0))*0.6</f>
        <v>0.11923199999999998</v>
      </c>
      <c r="BF251" s="14">
        <f>IF(OR(BF$5="大R",BF$5="超R"),0,INDEX(其他调用!$H$5:$L$404,MATCH($K251,其他调用!$B$5:$B$404,0),MATCH(BF$5,其他调用!$H$4:$L$4,0))*50*0.4)</f>
        <v>9.5925100500000013</v>
      </c>
      <c r="BG251" s="14">
        <f>IF(OR(BG$5="大R",BG$5="超R"),0,INDEX(其他调用!$H$5:$L$404,MATCH($K251,其他调用!$B$5:$B$404,0),MATCH(BG$5,其他调用!$H$4:$L$4,0))*50*0.4)</f>
        <v>9.4583027471839998</v>
      </c>
      <c r="BH251" s="14">
        <f>IF(OR(BH$5="大R",BH$5="超R"),0,INDEX(其他调用!$H$5:$L$404,MATCH($K251,其他调用!$B$5:$B$404,0),MATCH(BH$5,其他调用!$H$4:$L$4,0))*50*0.4)</f>
        <v>0.77208400281600009</v>
      </c>
      <c r="BI251" s="14">
        <f>IF(OR(BI$5="大R",BI$5="超R"),0,INDEX(其他调用!$H$5:$L$404,MATCH($K251,其他调用!$B$5:$B$404,0),MATCH(BI$5,其他调用!$H$4:$L$4,0))*50*0.4)</f>
        <v>0</v>
      </c>
      <c r="BJ251" s="14">
        <f>IF(OR(BJ$5="大R",BJ$5="超R"),0,INDEX(其他调用!$H$5:$L$404,MATCH($K251,其他调用!$B$5:$B$404,0),MATCH(BJ$5,其他调用!$H$4:$L$4,0))*50*0.4)</f>
        <v>0</v>
      </c>
      <c r="BL251" s="14">
        <f t="shared" si="418"/>
        <v>246</v>
      </c>
      <c r="BM251" s="14">
        <f t="shared" si="325"/>
        <v>96</v>
      </c>
      <c r="BN251" s="14">
        <f>('疲劳值&amp;地图信息'!$S$10*'疲劳值&amp;地图信息'!$R$10+'疲劳值&amp;地图信息'!$S$11*'疲劳值&amp;地图信息'!$R$11+'疲劳值&amp;地图信息'!$S$12*'疲劳值&amp;地图信息'!$R$12+(BM251-'疲劳值&amp;地图信息'!$S$12-'疲劳值&amp;地图信息'!$S$11-'疲劳值&amp;地图信息'!$S$10)*'疲劳值&amp;地图信息'!$R$13)/BM251</f>
        <v>51.371477246638619</v>
      </c>
      <c r="BO251" s="14">
        <f>INDEX(其他调用!$M$5:$M$404,MATCH(BL251,其他调用!$B$5:$B$404,0))*0.6</f>
        <v>60</v>
      </c>
      <c r="BP251" s="14">
        <f>IF(BO251&gt;SUM('疲劳值&amp;地图信息'!$S$10:$S$12),('疲劳值&amp;地图信息'!$S$10*'疲劳值&amp;地图信息'!$R$10+'疲劳值&amp;地图信息'!$S$11*'疲劳值&amp;地图信息'!$R$11+'疲劳值&amp;地图信息'!$S$12*'疲劳值&amp;地图信息'!$R$12+(BO251-'疲劳值&amp;地图信息'!$S$12-'疲劳值&amp;地图信息'!$S$11-'疲劳值&amp;地图信息'!$S$10)*'疲劳值&amp;地图信息'!$R$13)/BO251,('疲劳值&amp;地图信息'!$S$10*'疲劳值&amp;地图信息'!$R$10+'疲劳值&amp;地图信息'!$S$11*'疲劳值&amp;地图信息'!$R$11+'疲劳值&amp;地图信息'!$S$12*'疲劳值&amp;地图信息'!$R$12+(BO251-'疲劳值&amp;地图信息'!$S$12-'疲劳值&amp;地图信息'!$S$11-'疲劳值&amp;地图信息'!$S$10)*'疲劳值&amp;地图信息'!$R$13)/BO251)</f>
        <v>44.158136341605953</v>
      </c>
      <c r="BQ251" s="14">
        <f t="shared" si="419"/>
        <v>20</v>
      </c>
      <c r="BR251" s="14">
        <f>('疲劳值&amp;地图信息'!$S$10*'疲劳值&amp;地图信息'!$R$10+($BQ251-'疲劳值&amp;地图信息'!$S$10)*'疲劳值&amp;地图信息'!$R$11)/$BQ251</f>
        <v>32.067203015074995</v>
      </c>
      <c r="CF251" s="14">
        <v>246</v>
      </c>
      <c r="CG251" s="51">
        <f t="shared" si="326"/>
        <v>14674</v>
      </c>
      <c r="CH251" s="51">
        <f t="shared" si="327"/>
        <v>1099</v>
      </c>
      <c r="CI251" s="51">
        <f>INT(SUMPRODUCT($N251:$R251,$BA251:$BE251)/SUM($BA251:$BE251)/10000*$BX$7*$BZ$34/'疲劳值&amp;地图信息'!$R$10*$BY$53)</f>
        <v>3297</v>
      </c>
      <c r="CJ251" s="50">
        <f t="shared" si="328"/>
        <v>0.76948085998951232</v>
      </c>
      <c r="CK251" s="50">
        <f t="shared" si="329"/>
        <v>5.7629785002621919E-2</v>
      </c>
      <c r="CL251" s="50">
        <f t="shared" si="330"/>
        <v>0.17288935500786576</v>
      </c>
      <c r="CM251" s="14">
        <f t="shared" si="331"/>
        <v>15866</v>
      </c>
      <c r="CN251" s="14">
        <f t="shared" si="332"/>
        <v>1835</v>
      </c>
      <c r="CO251" s="14">
        <f>INT(SUMPRODUCT($U251:$Y251,$BA251:$BE251)/SUM($BA251:$BE251)/10000*$BX$7*$BZ$34/'疲劳值&amp;地图信息'!$R$10*$BY$54)</f>
        <v>6237</v>
      </c>
      <c r="CP251" s="50">
        <f t="shared" si="333"/>
        <v>0.66279555518422595</v>
      </c>
      <c r="CQ251" s="50">
        <f t="shared" si="334"/>
        <v>7.6656362269195422E-2</v>
      </c>
      <c r="CR251" s="50">
        <f t="shared" si="335"/>
        <v>0.26054808254657869</v>
      </c>
      <c r="CS251" s="14">
        <f t="shared" si="336"/>
        <v>17387</v>
      </c>
      <c r="CT251" s="14">
        <f t="shared" si="337"/>
        <v>3123</v>
      </c>
      <c r="CU251" s="14">
        <f>INT(SUMPRODUCT($AB251:$AF251,$BA251:$BE251)/SUM($BA251:$BE251)/10000*$BX$7*$BZ$34/'疲劳值&amp;地图信息'!$R$10*$BY$55)</f>
        <v>8469</v>
      </c>
      <c r="CV251" s="50">
        <f t="shared" si="338"/>
        <v>0.59998619690120436</v>
      </c>
      <c r="CW251" s="50">
        <f t="shared" si="339"/>
        <v>0.10776769384726871</v>
      </c>
      <c r="CX251" s="50">
        <f t="shared" si="340"/>
        <v>0.29224610925152694</v>
      </c>
      <c r="CY251" s="14">
        <f t="shared" si="341"/>
        <v>20941</v>
      </c>
      <c r="CZ251" s="14">
        <f t="shared" si="342"/>
        <v>9257</v>
      </c>
      <c r="DA251" s="14">
        <f>INT(SUMPRODUCT($AI251:$AM251,$BA251:$BE251)/SUM($BA251:$BE251)/10000*$BX$7*$BZ$34/'疲劳值&amp;地图信息'!$R$10*$BY$56)</f>
        <v>12778</v>
      </c>
      <c r="DB251" s="50">
        <f t="shared" si="343"/>
        <v>0.48727196574832465</v>
      </c>
      <c r="DC251" s="50">
        <f t="shared" si="344"/>
        <v>0.21539929262844379</v>
      </c>
      <c r="DD251" s="50">
        <f t="shared" si="345"/>
        <v>0.29732874162323158</v>
      </c>
      <c r="DE251" s="14">
        <f t="shared" si="346"/>
        <v>21927</v>
      </c>
      <c r="DF251" s="14">
        <f t="shared" si="347"/>
        <v>15616</v>
      </c>
      <c r="DG251" s="14">
        <f>INT(SUMPRODUCT($AP251:$AT251,$BA251:$BE251)/SUM($BA251:$BE251)/10000*$BX$7*$BZ$34/'疲劳值&amp;地图信息'!$R$10*$BY$57)</f>
        <v>17058</v>
      </c>
      <c r="DH251" s="50">
        <f t="shared" si="348"/>
        <v>0.40158605153751764</v>
      </c>
      <c r="DI251" s="50">
        <f t="shared" si="349"/>
        <v>0.28600208787384845</v>
      </c>
      <c r="DJ251" s="50">
        <f t="shared" si="350"/>
        <v>0.31241186058863391</v>
      </c>
      <c r="DL251" s="14">
        <f t="shared" si="421"/>
        <v>19070</v>
      </c>
      <c r="DM251" s="14">
        <f t="shared" si="422"/>
        <v>23938</v>
      </c>
      <c r="DN251" s="14">
        <f t="shared" si="423"/>
        <v>28979</v>
      </c>
      <c r="DO251" s="14">
        <f t="shared" si="424"/>
        <v>42976</v>
      </c>
      <c r="DP251" s="14">
        <f t="shared" si="425"/>
        <v>54601</v>
      </c>
      <c r="DQ251" s="14">
        <f t="shared" si="426"/>
        <v>1319368</v>
      </c>
      <c r="DT251" s="14">
        <f t="shared" si="420"/>
        <v>235575</v>
      </c>
      <c r="DU251" s="50">
        <f t="shared" si="322"/>
        <v>0.15150073025184846</v>
      </c>
      <c r="DW251" s="14">
        <f t="shared" si="351"/>
        <v>1554943</v>
      </c>
      <c r="EB251" s="14">
        <v>246</v>
      </c>
      <c r="EC251" s="51">
        <f t="shared" si="352"/>
        <v>24457</v>
      </c>
      <c r="ED251" s="51">
        <f t="shared" si="353"/>
        <v>1832</v>
      </c>
      <c r="EE251" s="51">
        <f>INT(SUMPRODUCT($N251:$R251,$BF251:$BJ251)/SUM($BF251:$BJ251)/10000*$BX$7*$BZ$46/'疲劳值&amp;地图信息'!$R$10*$BY$53)</f>
        <v>443</v>
      </c>
      <c r="EF251" s="50">
        <f t="shared" si="354"/>
        <v>0.91489600478826871</v>
      </c>
      <c r="EG251" s="50">
        <f t="shared" si="355"/>
        <v>6.8532096363908418E-2</v>
      </c>
      <c r="EH251" s="50">
        <f t="shared" si="356"/>
        <v>1.6571898847822834E-2</v>
      </c>
      <c r="EI251" s="51">
        <f t="shared" si="357"/>
        <v>26443</v>
      </c>
      <c r="EJ251" s="51">
        <f t="shared" si="358"/>
        <v>3058</v>
      </c>
      <c r="EK251" s="14">
        <f>INT(SUMPRODUCT($U251:$Y251,$BF251:$BJ251)/SUM($BF251:$BJ251)/10000*$BX$7*$BZ$46/'疲劳值&amp;地图信息'!$R$10*$BY$54)</f>
        <v>837</v>
      </c>
      <c r="EL251" s="50">
        <f t="shared" si="359"/>
        <v>0.87161315841518883</v>
      </c>
      <c r="EM251" s="50">
        <f t="shared" si="360"/>
        <v>0.10079767947788253</v>
      </c>
      <c r="EN251" s="50">
        <f t="shared" si="361"/>
        <v>2.7589162106928605E-2</v>
      </c>
      <c r="EO251" s="51">
        <f t="shared" si="362"/>
        <v>28979</v>
      </c>
      <c r="EP251" s="51">
        <f t="shared" si="363"/>
        <v>5205</v>
      </c>
      <c r="EQ251" s="14">
        <f>INT(SUMPRODUCT($AB251:$AF251,$BF251:$BJ251)/SUM($BF251:$BJ251)/10000*$BX$7*$BZ$46/'疲劳值&amp;地图信息'!$R$10*$BY$55)</f>
        <v>1135</v>
      </c>
      <c r="ER251" s="50">
        <f t="shared" si="364"/>
        <v>0.82049321894730887</v>
      </c>
      <c r="ES251" s="50">
        <f t="shared" si="365"/>
        <v>0.14737110337212264</v>
      </c>
      <c r="ET251" s="50">
        <f t="shared" si="366"/>
        <v>3.2135677680568533E-2</v>
      </c>
      <c r="EU251" s="51">
        <f t="shared" si="367"/>
        <v>34902</v>
      </c>
      <c r="EV251" s="51">
        <f t="shared" si="368"/>
        <v>15428</v>
      </c>
      <c r="EW251" s="14">
        <f>INT(SUMPRODUCT($AI251:$AM251,$BF251:$BJ251)/SUM($BF251:$BJ251)/10000*$BX$7*$BZ$46/'疲劳值&amp;地图信息'!$R$10*$BY$56)</f>
        <v>1703</v>
      </c>
      <c r="EX251" s="50">
        <f t="shared" si="369"/>
        <v>0.67076662887014016</v>
      </c>
      <c r="EY251" s="50">
        <f t="shared" si="370"/>
        <v>0.29650414160244459</v>
      </c>
      <c r="EZ251" s="50">
        <f t="shared" si="371"/>
        <v>3.2729229527415298E-2</v>
      </c>
      <c r="FA251" s="51">
        <f t="shared" si="372"/>
        <v>36545</v>
      </c>
      <c r="FB251" s="51">
        <f t="shared" si="373"/>
        <v>26027</v>
      </c>
      <c r="FC251" s="14">
        <f>INT(SUMPRODUCT($AP251:$AT251,$BF251:$BJ251)/SUM($BF251:$BJ251)/10000*$BX$7*$BZ$46/'疲劳值&amp;地图信息'!$R$10*$BY$57)</f>
        <v>2271</v>
      </c>
      <c r="FD251" s="50">
        <f t="shared" si="374"/>
        <v>0.56359206082383606</v>
      </c>
      <c r="FE251" s="50">
        <f t="shared" si="375"/>
        <v>0.40138488348780904</v>
      </c>
      <c r="FF251" s="50">
        <f t="shared" si="376"/>
        <v>3.5023055688354947E-2</v>
      </c>
      <c r="FH251" s="14">
        <f t="shared" si="377"/>
        <v>26732</v>
      </c>
      <c r="FI251" s="14">
        <f t="shared" si="378"/>
        <v>30338</v>
      </c>
      <c r="FJ251" s="14">
        <f t="shared" si="379"/>
        <v>35319</v>
      </c>
      <c r="FK251" s="14">
        <f t="shared" si="380"/>
        <v>52033</v>
      </c>
      <c r="FL251" s="14">
        <f t="shared" si="381"/>
        <v>64843</v>
      </c>
      <c r="FM251" s="14">
        <f t="shared" si="382"/>
        <v>3144027</v>
      </c>
      <c r="FP251" s="14">
        <f t="shared" si="383"/>
        <v>334150</v>
      </c>
      <c r="FQ251" s="50">
        <f t="shared" si="323"/>
        <v>9.6070441498520634E-2</v>
      </c>
      <c r="FS251" s="14">
        <f t="shared" si="384"/>
        <v>3478177</v>
      </c>
      <c r="FX251" s="14">
        <v>246</v>
      </c>
      <c r="FY251" s="51">
        <f t="shared" si="385"/>
        <v>34241</v>
      </c>
      <c r="FZ251" s="51">
        <f t="shared" si="386"/>
        <v>1832</v>
      </c>
      <c r="GA251" s="51">
        <f>INT(SUMPRODUCT($N251:$R251,$BF251:$BJ251)/SUM($BF251:$BJ251)/10000*$BX$7*$BZ$46/'疲劳值&amp;地图信息'!$R$10*$BY$53)</f>
        <v>443</v>
      </c>
      <c r="GB251" s="50">
        <f t="shared" si="387"/>
        <v>0.9376985431043926</v>
      </c>
      <c r="GC251" s="50">
        <f t="shared" si="388"/>
        <v>5.0169788585825395E-2</v>
      </c>
      <c r="GD251" s="50">
        <f t="shared" si="389"/>
        <v>1.2131668309782013E-2</v>
      </c>
      <c r="GE251" s="51">
        <f t="shared" si="390"/>
        <v>37020</v>
      </c>
      <c r="GF251" s="51">
        <f t="shared" si="391"/>
        <v>3058</v>
      </c>
      <c r="GG251" s="14">
        <f>INT(SUMPRODUCT($U251:$Y251,$BF251:$BJ251)/SUM($BF251:$BJ251)/10000*$BX$7*$BZ$46/'疲劳值&amp;地图信息'!$R$10*$BY$54)</f>
        <v>837</v>
      </c>
      <c r="GH251" s="50">
        <f t="shared" si="392"/>
        <v>0.90480263961872176</v>
      </c>
      <c r="GI251" s="50">
        <f t="shared" si="393"/>
        <v>7.4740315287791764E-2</v>
      </c>
      <c r="GJ251" s="50">
        <f t="shared" si="394"/>
        <v>2.0457045093486496E-2</v>
      </c>
      <c r="GK251" s="51">
        <f t="shared" si="395"/>
        <v>40570</v>
      </c>
      <c r="GL251" s="51">
        <f t="shared" si="396"/>
        <v>5205</v>
      </c>
      <c r="GM251" s="14">
        <f>INT(SUMPRODUCT($AB251:$AF251,$BF251:$BJ251)/SUM($BF251:$BJ251)/10000*$BX$7*$BZ$46/'疲劳值&amp;地图信息'!$R$10*$BY$55)</f>
        <v>1135</v>
      </c>
      <c r="GN251" s="50">
        <f t="shared" si="397"/>
        <v>0.86484758047324661</v>
      </c>
      <c r="GO251" s="50">
        <f t="shared" si="398"/>
        <v>0.11095715199317843</v>
      </c>
      <c r="GP251" s="50">
        <f t="shared" si="399"/>
        <v>2.419526753357493E-2</v>
      </c>
      <c r="GQ251" s="51">
        <f t="shared" si="400"/>
        <v>48863</v>
      </c>
      <c r="GR251" s="51">
        <f t="shared" si="401"/>
        <v>15428</v>
      </c>
      <c r="GS251" s="14">
        <f>INT(SUMPRODUCT($AI251:$AM251,$BF251:$BJ251)/SUM($BF251:$BJ251)/10000*$BX$7*$BZ$46/'疲劳值&amp;地图信息'!$R$10*$BY$56)</f>
        <v>1703</v>
      </c>
      <c r="GT251" s="50">
        <f t="shared" si="402"/>
        <v>0.74041579537533719</v>
      </c>
      <c r="GU251" s="50">
        <f t="shared" si="403"/>
        <v>0.23377882837833741</v>
      </c>
      <c r="GV251" s="50">
        <f t="shared" si="404"/>
        <v>2.5805376246325423E-2</v>
      </c>
      <c r="GW251" s="51">
        <f t="shared" si="405"/>
        <v>51163</v>
      </c>
      <c r="GX251" s="51">
        <f t="shared" si="406"/>
        <v>26027</v>
      </c>
      <c r="GY251" s="14">
        <f>INT(SUMPRODUCT($AP251:$AT251,$BF251:$BJ251)/SUM($BF251:$BJ251)/10000*$BX$7*$BZ$46/'疲劳值&amp;地图信息'!$R$10*$BY$57)</f>
        <v>2271</v>
      </c>
      <c r="GZ251" s="50">
        <f t="shared" si="407"/>
        <v>0.64387561193541487</v>
      </c>
      <c r="HA251" s="50">
        <f t="shared" si="408"/>
        <v>0.32754432992285526</v>
      </c>
      <c r="HB251" s="50">
        <f t="shared" si="409"/>
        <v>2.8580058141729904E-2</v>
      </c>
      <c r="HD251" s="14">
        <f t="shared" si="410"/>
        <v>36516</v>
      </c>
      <c r="HE251" s="14">
        <f t="shared" si="411"/>
        <v>40915</v>
      </c>
      <c r="HF251" s="14">
        <f t="shared" si="412"/>
        <v>46910</v>
      </c>
      <c r="HG251" s="14">
        <f t="shared" si="413"/>
        <v>65994</v>
      </c>
      <c r="HH251" s="14">
        <f t="shared" si="414"/>
        <v>79461</v>
      </c>
      <c r="HI251" s="14">
        <f t="shared" si="415"/>
        <v>4235683</v>
      </c>
      <c r="HL251" s="14">
        <f t="shared" si="416"/>
        <v>430050</v>
      </c>
      <c r="HM251" s="50">
        <f t="shared" si="324"/>
        <v>9.217201241476955E-2</v>
      </c>
      <c r="HO251" s="14">
        <f t="shared" si="417"/>
        <v>4665733</v>
      </c>
    </row>
    <row r="252" spans="11:223" x14ac:dyDescent="0.2">
      <c r="K252" s="14">
        <v>247</v>
      </c>
      <c r="L252" s="12">
        <f>求节点(节奏总纲!D$4:D$163,标准城池设计!AB$4:AB$163,$K252)*求节点(节奏总纲!D$4:D$163,攻城基础信息!$AC$5:$AC$164,$K252)</f>
        <v>721381.59199461178</v>
      </c>
      <c r="M252" s="12">
        <f>INDEX(其他调用!$AA$5:$AA$404,MATCH(K252,其他调用!$X$5:$X$404,0))*MIN(INDEX(其他调用!$AH$5:$AH$364,MATCH('征服点（新）'!K252,其他调用!$AG$5:$AG$364,0),1)/INDEX(其他调用!$AJ$5:$AJ$364,MATCH(K252,其他调用!$AG$5:$AG$364,0),0),5)*求节点(节奏总纲!D$4:D$163,攻城基础信息!$AC$5:$AC$164,$K252)</f>
        <v>53967.807632610093</v>
      </c>
      <c r="N252" s="12">
        <f>MIN(INDEX(其他调用!$AH$5:$AH$364,MATCH($K252,其他调用!$AG$5:$AG$364,0),1)/INDEX(其他调用!AH$5:AH$364,MATCH($K252,其他调用!$AG$5:$AG$364,0),0),1)*INDEX(其他调用!Y$5:Y$404,MATCH($K252,其他调用!$X$5:$X$404,0),0)</f>
        <v>41350.587794017956</v>
      </c>
      <c r="O252" s="12">
        <f>MIN(INDEX(其他调用!$AH$5:$AH$364,MATCH($K252,其他调用!$AG$5:$AG$364,0),1)/INDEX(其他调用!AI$5:AI$364,MATCH($K252,其他调用!$AG$5:$AG$364,0),0),1)*INDEX(其他调用!Z$5:Z$404,MATCH($K252,其他调用!$X$5:$X$404,0),0)</f>
        <v>25446.701842284707</v>
      </c>
      <c r="P252" s="12">
        <f>MIN(INDEX(其他调用!$AH$5:$AH$364,MATCH($K252,其他调用!$AG$5:$AG$364,0),1)/INDEX(其他调用!AJ$5:AJ$364,MATCH($K252,其他调用!$AG$5:$AG$364,0),0),1)*INDEX(其他调用!AA$5:AA$404,MATCH($K252,其他调用!$X$5:$X$404,0),0)</f>
        <v>15488.207287392161</v>
      </c>
      <c r="Q252" s="12">
        <f>MIN(INDEX(其他调用!$AH$5:$AH$364,MATCH($K252,其他调用!$AG$5:$AG$364,0),1)/INDEX(其他调用!AK$5:AK$364,MATCH($K252,其他调用!$AG$5:$AG$364,0),0),1)*INDEX(其他调用!AB$5:AB$404,MATCH($K252,其他调用!$X$5:$X$404,0),0)</f>
        <v>5489.2298385600043</v>
      </c>
      <c r="R252" s="12">
        <f>MIN(INDEX(其他调用!$AH$5:$AH$364,MATCH($K252,其他调用!$AG$5:$AG$364,0),1)/INDEX(其他调用!AL$5:AL$364,MATCH($K252,其他调用!$AG$5:$AG$364,0),0),1)*INDEX(其他调用!AC$5:AC$404,MATCH($K252,其他调用!$X$5:$X$404,0),0)</f>
        <v>2951.0974573183998</v>
      </c>
      <c r="S252" s="12">
        <f>求节点(节奏总纲!D$4:D$163,标准城池设计!AC$4:AC$163,$K252)*求节点(节奏总纲!D$4:D$163,攻城基础信息!$AD$5:$AD$164,$K252)</f>
        <v>780292.00249118637</v>
      </c>
      <c r="T252" s="12">
        <f>INDEX(其他调用!$AA$5:$AA$404,MATCH($K252,其他调用!$X$5:$X$404,0))*MIN(INDEX(其他调用!AI$5:AI$364,MATCH($K252,其他调用!$AG$5:$AG$364,0),1)/INDEX(其他调用!$AJ$5:$AJ$364,MATCH($K252,其他调用!$AG$5:$AG$364,0),0),5)*求节点(节奏总纲!D$4:D$163,攻城基础信息!$AD$5:$AD$164,$K252)</f>
        <v>90149.476677323662</v>
      </c>
      <c r="U252" s="12">
        <f>MIN(INDEX(其他调用!$AI$5:$AI$364,MATCH($K252,其他调用!$AG$5:$AG$364,0),1)/INDEX(其他调用!AH$5:AH$364,MATCH($K252,其他调用!$AG$5:$AG$364,0),0),1)*INDEX(其他调用!Y$5:Y$404,MATCH($K252,其他调用!$X$5:$X$404,0),0)</f>
        <v>41350.587794017956</v>
      </c>
      <c r="V252" s="12">
        <f>MIN(INDEX(其他调用!$AI$5:$AI$364,MATCH($K252,其他调用!$AG$5:$AG$364,0),1)/INDEX(其他调用!AI$5:AI$364,MATCH($K252,其他调用!$AG$5:$AG$364,0),0),1)*INDEX(其他调用!Z$5:Z$404,MATCH($K252,其他调用!$X$5:$X$404,0),0)</f>
        <v>42506.949140170349</v>
      </c>
      <c r="W252" s="12">
        <f>MIN(INDEX(其他调用!$AI$5:$AI$364,MATCH($K252,其他调用!$AG$5:$AG$364,0),1)/INDEX(其他调用!AJ$5:AJ$364,MATCH($K252,其他调用!$AG$5:$AG$364,0),0),1)*INDEX(其他调用!AA$5:AA$404,MATCH($K252,其他调用!$X$5:$X$404,0),0)</f>
        <v>25871.975217770872</v>
      </c>
      <c r="X252" s="12">
        <f>MIN(INDEX(其他调用!$AI$5:$AI$364,MATCH($K252,其他调用!$AG$5:$AG$364,0),1)/INDEX(其他调用!AK$5:AK$364,MATCH($K252,其他调用!$AG$5:$AG$364,0),0),1)*INDEX(其他调用!AB$5:AB$404,MATCH($K252,其他调用!$X$5:$X$404,0),0)</f>
        <v>9169.3774310135213</v>
      </c>
      <c r="Y252" s="12">
        <f>MIN(INDEX(其他调用!$AI$5:$AI$364,MATCH($K252,其他调用!$AG$5:$AG$364,0),1)/INDEX(其他调用!AL$5:AL$364,MATCH($K252,其他调用!$AG$5:$AG$364,0),0),1)*INDEX(其他调用!AC$5:AC$404,MATCH($K252,其他调用!$X$5:$X$404,0),0)</f>
        <v>4929.6034630889744</v>
      </c>
      <c r="Z252" s="12">
        <f>求节点(节奏总纲!D$4:D$163,标准城池设计!AD$4:AD$163,$K252)*求节点(节奏总纲!D$4:D$163,攻城基础信息!$AE$5:$AE$164,$K252)</f>
        <v>855262.54495418002</v>
      </c>
      <c r="AA252" s="12">
        <f>INDEX(其他调用!$AA$5:$AA$404,MATCH($K252,其他调用!$X$5:$X$404,0))*MIN(INDEX(其他调用!AJ$5:AJ$364,MATCH($K252,其他调用!$AG$5:$AG$364,0),1)/INDEX(其他调用!$AJ$5:$AJ$364,MATCH($K252,其他调用!$AG$5:$AG$364,0),0),5)*求节点(节奏总纲!D$4:D$163,攻城基础信息!$AE$5:$AE$164,$K252)</f>
        <v>153414.39093337327</v>
      </c>
      <c r="AB252" s="12">
        <f>MIN(INDEX(其他调用!$AJ$5:$AJ$364,MATCH($K252,其他调用!$AG$5:$AG$364,0),1)/INDEX(其他调用!AH$5:AH$364,MATCH($K252,其他调用!$AG$5:$AG$364,0),0),1)*INDEX(其他调用!Y$5:Y$404,MATCH($K252,其他调用!$X$5:$X$404,0),0)</f>
        <v>41350.587794017956</v>
      </c>
      <c r="AC252" s="12">
        <f>MIN(INDEX(其他调用!$AJ$5:$AJ$364,MATCH($K252,其他调用!$AG$5:$AG$364,0),1)/INDEX(其他调用!AI$5:AI$364,MATCH($K252,其他调用!$AG$5:$AG$364,0),0),1)*INDEX(其他调用!Z$5:Z$404,MATCH($K252,其他调用!$X$5:$X$404,0),0)</f>
        <v>42506.949140170349</v>
      </c>
      <c r="AD252" s="12">
        <f>MIN(INDEX(其他调用!$AJ$5:$AJ$364,MATCH($K252,其他调用!$AG$5:$AG$364,0),1)/INDEX(其他调用!AJ$5:AJ$364,MATCH($K252,其他调用!$AG$5:$AG$364,0),0),1)*INDEX(其他调用!AA$5:AA$404,MATCH($K252,其他调用!$X$5:$X$404,0),0)</f>
        <v>44028.356753357031</v>
      </c>
      <c r="AE252" s="12">
        <f>MIN(INDEX(其他调用!$AJ$5:$AJ$364,MATCH($K252,其他调用!$AG$5:$AG$364,0),1)/INDEX(其他调用!AK$5:AK$364,MATCH($K252,其他调用!$AG$5:$AG$364,0),0),1)*INDEX(其他调用!AB$5:AB$404,MATCH($K252,其他调用!$X$5:$X$404,0),0)</f>
        <v>15604.244258147815</v>
      </c>
      <c r="AF252" s="12">
        <f>MIN(INDEX(其他调用!$AJ$5:$AJ$364,MATCH($K252,其他调用!$AG$5:$AG$364,0),1)/INDEX(其他调用!AL$5:AL$364,MATCH($K252,其他调用!$AG$5:$AG$364,0),0),1)*INDEX(其他调用!AC$5:AC$404,MATCH($K252,其他调用!$X$5:$X$404,0),0)</f>
        <v>8389.090438536914</v>
      </c>
      <c r="AG252" s="12">
        <f>求节点(节奏总纲!D$4:D$163,标准城池设计!AE$4:AE$163,$K252)*求节点(节奏总纲!D$4:D$163,攻城基础信息!$AF$5:$AF$164,$K252)</f>
        <v>1030174.4581940252</v>
      </c>
      <c r="AH252" s="12">
        <f>INDEX(其他调用!$AA$5:$AA$404,MATCH($K252,其他调用!$X$5:$X$404,0))*MIN(INDEX(其他调用!AK$5:AK$364,MATCH($K252,其他调用!$AG$5:$AG$364,0),1)/INDEX(其他调用!$AJ$5:$AJ$364,MATCH($K252,其他调用!$AG$5:$AG$364,0),0),5)*求节点(节奏总纲!D$4:D$163,攻城基础信息!$AF$5:$AF$164,$K252)</f>
        <v>454839.13210095692</v>
      </c>
      <c r="AI252" s="12">
        <f>MIN(INDEX(其他调用!$AK$5:$AK$364,MATCH($K252,其他调用!$AG$5:$AG$364,0),1)/INDEX(其他调用!AH$5:AH$364,MATCH($K252,其他调用!$AG$5:$AG$364,0),0),1)*INDEX(其他调用!Y$5:Y$404,MATCH($K252,其他调用!$X$5:$X$404,0),0)</f>
        <v>41350.587794017956</v>
      </c>
      <c r="AJ252" s="12">
        <f>MIN(INDEX(其他调用!$AK$5:$AK$364,MATCH($K252,其他调用!$AG$5:$AG$364,0),1)/INDEX(其他调用!AI$5:AI$364,MATCH($K252,其他调用!$AG$5:$AG$364,0),0),1)*INDEX(其他调用!Z$5:Z$404,MATCH($K252,其他调用!$X$5:$X$404,0),0)</f>
        <v>42506.949140170349</v>
      </c>
      <c r="AK252" s="12">
        <f>MIN(INDEX(其他调用!$AK$5:$AK$364,MATCH($K252,其他调用!$AG$5:$AG$364,0),1)/INDEX(其他调用!AJ$5:AJ$364,MATCH($K252,其他调用!$AG$5:$AG$364,0),0),1)*INDEX(其他调用!AA$5:AA$404,MATCH($K252,其他调用!$X$5:$X$404,0),0)</f>
        <v>44028.356753357031</v>
      </c>
      <c r="AL252" s="12">
        <f>MIN(INDEX(其他调用!$AK$5:$AK$364,MATCH($K252,其他调用!$AG$5:$AG$364,0),1)/INDEX(其他调用!AK$5:AK$364,MATCH($K252,其他调用!$AG$5:$AG$364,0),0),1)*INDEX(其他调用!AB$5:AB$404,MATCH($K252,其他调用!$X$5:$X$404,0),0)</f>
        <v>46263.071360428308</v>
      </c>
      <c r="AM252" s="12">
        <f>MIN(INDEX(其他调用!$AK$5:$AK$364,MATCH($K252,其他调用!$AG$5:$AG$364,0),1)/INDEX(其他调用!AL$5:AL$364,MATCH($K252,其他调用!$AG$5:$AG$364,0),0),1)*INDEX(其他调用!AC$5:AC$404,MATCH($K252,其他调用!$X$5:$X$404,0),0)</f>
        <v>24871.764578055074</v>
      </c>
      <c r="AN252" s="12">
        <f>求节点(节奏总纲!D$4:D$163,标准城池设计!AF$4:AF$163,$K252)*求节点(节奏总纲!D$4:D$163,攻城基础信息!$AG$5:$AG$164,$K252)</f>
        <v>1078652.4057494025</v>
      </c>
      <c r="AO252" s="12">
        <f>INDEX(其他调用!$AA$5:$AA$404,MATCH($K252,其他调用!$X$5:$X$404,0))*MIN(INDEX(其他调用!AL$5:AL$364,MATCH($K252,其他调用!$AG$5:$AG$364,0),1)/INDEX(其他调用!$AJ$5:$AJ$364,MATCH($K252,其他调用!$AG$5:$AG$364,0),0),5)*求节点(节奏总纲!D$4:D$163,攻城基础信息!$AG$5:$AG$164,$K252)</f>
        <v>767071.95466686634</v>
      </c>
      <c r="AP252" s="12">
        <f>MIN(INDEX(其他调用!$AL$5:$AL$364,MATCH($K252,其他调用!$AG$5:$AG$364,0),1)/INDEX(其他调用!AH$5:AH$364,MATCH($K252,其他调用!$AG$5:$AG$364,0),0),1)*INDEX(其他调用!Y$5:Y$404,MATCH($K252,其他调用!$X$5:$X$404,0),0)</f>
        <v>41350.587794017956</v>
      </c>
      <c r="AQ252" s="12">
        <f>MIN(INDEX(其他调用!$AL$5:$AL$364,MATCH($K252,其他调用!$AG$5:$AG$364,0),1)/INDEX(其他调用!AI$5:AI$364,MATCH($K252,其他调用!$AG$5:$AG$364,0),0),1)*INDEX(其他调用!Z$5:Z$404,MATCH($K252,其他调用!$X$5:$X$404,0),0)</f>
        <v>42506.949140170349</v>
      </c>
      <c r="AR252" s="12">
        <f>MIN(INDEX(其他调用!$AL$5:$AL$364,MATCH($K252,其他调用!$AG$5:$AG$364,0),1)/INDEX(其他调用!AJ$5:AJ$364,MATCH($K252,其他调用!$AG$5:$AG$364,0),0),1)*INDEX(其他调用!AA$5:AA$404,MATCH($K252,其他调用!$X$5:$X$404,0),0)</f>
        <v>44028.356753357031</v>
      </c>
      <c r="AS252" s="12">
        <f>MIN(INDEX(其他调用!$AL$5:$AL$364,MATCH($K252,其他调用!$AG$5:$AG$364,0),1)/INDEX(其他调用!AK$5:AK$364,MATCH($K252,其他调用!$AG$5:$AG$364,0),0),1)*INDEX(其他调用!AB$5:AB$404,MATCH($K252,其他调用!$X$5:$X$404,0),0)</f>
        <v>46263.071360428308</v>
      </c>
      <c r="AT252" s="12">
        <f>MIN(INDEX(其他调用!$AL$5:$AL$364,MATCH($K252,其他调用!$AG$5:$AG$364,0),1)/INDEX(其他调用!AL$5:AL$364,MATCH($K252,其他调用!$AG$5:$AG$364,0),0),1)*INDEX(其他调用!AC$5:AC$404,MATCH($K252,其他调用!$X$5:$X$404,0),0)</f>
        <v>50157.916070582287</v>
      </c>
      <c r="AV252" s="14">
        <f>IF(OR(AV$5="大R",AV$5="超R"),MAX(INDEX(其他调用!$H$5:$L$404,MATCH($K252,其他调用!$B$5:$B$404,0),MATCH(AV$5,其他调用!$H$4:$L$4,0))*120*0.85,2),INDEX(其他调用!$H$5:$L$404,MATCH($K252,其他调用!$B$5:$B$404,0),MATCH(AV$5,其他调用!$H$4:$L$4,0))*120*0.85)</f>
        <v>48.921801254999991</v>
      </c>
      <c r="AW252" s="14">
        <f>IF(OR(AW$5="大R",AW$5="超R"),MAX(INDEX(其他调用!$H$5:$L$404,MATCH($K252,其他调用!$B$5:$B$404,0),MATCH(AW$5,其他调用!$H$4:$L$4,0))*120*0.85,2),INDEX(其他调用!$H$5:$L$404,MATCH($K252,其他调用!$B$5:$B$404,0),MATCH(AW$5,其他调用!$H$4:$L$4,0))*120*0.85)</f>
        <v>48.237344010638395</v>
      </c>
      <c r="AX252" s="14">
        <f>IF(OR(AX$5="大R",AX$5="超R"),MAX(INDEX(其他调用!$H$5:$L$404,MATCH($K252,其他调用!$B$5:$B$404,0),MATCH(AX$5,其他调用!$H$4:$L$4,0))*120*0.85,2),INDEX(其他调用!$H$5:$L$404,MATCH($K252,其他调用!$B$5:$B$404,0),MATCH(AX$5,其他调用!$H$4:$L$4,0))*120*0.85)</f>
        <v>3.9376284143615998</v>
      </c>
      <c r="AY252" s="14">
        <f>IF(OR(AY$5="大R",AY$5="超R"),MAX(INDEX(其他调用!$H$5:$L$404,MATCH($K252,其他调用!$B$5:$B$404,0),MATCH(AY$5,其他调用!$H$4:$L$4,0))*120*0.85,2),INDEX(其他调用!$H$5:$L$404,MATCH($K252,其他调用!$B$5:$B$404,0),MATCH(AY$5,其他调用!$H$4:$L$4,0))*120*0.85)</f>
        <v>2</v>
      </c>
      <c r="AZ252" s="14">
        <f>IF(OR(AZ$5="大R",AZ$5="超R"),MAX(INDEX(其他调用!$H$5:$L$404,MATCH($K252,其他调用!$B$5:$B$404,0),MATCH(AZ$5,其他调用!$H$4:$L$4,0))*120*0.85,2),INDEX(其他调用!$H$5:$L$404,MATCH($K252,其他调用!$B$5:$B$404,0),MATCH(AZ$5,其他调用!$H$4:$L$4,0))*120*0.85)</f>
        <v>2</v>
      </c>
      <c r="BA252" s="14">
        <f>INDEX(其他调用!$H$5:$L$404,MATCH($K252,其他调用!$B$5:$B$404,0),MATCH(BA$5,其他调用!$H$4:$L$4,0))*INDEX(其他调用!$M$5:$M$404,MATCH($K252,其他调用!$B$5:$B$404,0))*0.6</f>
        <v>28.777530149999997</v>
      </c>
      <c r="BB252" s="14">
        <f>INDEX(其他调用!$H$5:$L$404,MATCH($K252,其他调用!$B$5:$B$404,0),MATCH(BB$5,其他调用!$H$4:$L$4,0))*INDEX(其他调用!$M$5:$M$404,MATCH($K252,其他调用!$B$5:$B$404,0))*0.6</f>
        <v>28.374908241551999</v>
      </c>
      <c r="BC252" s="14">
        <f>INDEX(其他调用!$H$5:$L$404,MATCH($K252,其他调用!$B$5:$B$404,0),MATCH(BC$5,其他调用!$H$4:$L$4,0))*INDEX(其他调用!$M$5:$M$404,MATCH($K252,其他调用!$B$5:$B$404,0))*0.6</f>
        <v>2.3162520084480001</v>
      </c>
      <c r="BD252" s="14">
        <f>INDEX(其他调用!$H$5:$L$404,MATCH($K252,其他调用!$B$5:$B$404,0),MATCH(BD$5,其他调用!$H$4:$L$4,0))*INDEX(其他调用!$M$5:$M$404,MATCH($K252,其他调用!$B$5:$B$404,0))*0.6</f>
        <v>0.4120776000000001</v>
      </c>
      <c r="BE252" s="14">
        <f>INDEX(其他调用!$H$5:$L$404,MATCH($K252,其他调用!$B$5:$B$404,0),MATCH(BE$5,其他调用!$H$4:$L$4,0))*INDEX(其他调用!$M$5:$M$404,MATCH($K252,其他调用!$B$5:$B$404,0))*0.6</f>
        <v>0.11923199999999998</v>
      </c>
      <c r="BF252" s="14">
        <f>IF(OR(BF$5="大R",BF$5="超R"),0,INDEX(其他调用!$H$5:$L$404,MATCH($K252,其他调用!$B$5:$B$404,0),MATCH(BF$5,其他调用!$H$4:$L$4,0))*50*0.4)</f>
        <v>9.5925100500000013</v>
      </c>
      <c r="BG252" s="14">
        <f>IF(OR(BG$5="大R",BG$5="超R"),0,INDEX(其他调用!$H$5:$L$404,MATCH($K252,其他调用!$B$5:$B$404,0),MATCH(BG$5,其他调用!$H$4:$L$4,0))*50*0.4)</f>
        <v>9.4583027471839998</v>
      </c>
      <c r="BH252" s="14">
        <f>IF(OR(BH$5="大R",BH$5="超R"),0,INDEX(其他调用!$H$5:$L$404,MATCH($K252,其他调用!$B$5:$B$404,0),MATCH(BH$5,其他调用!$H$4:$L$4,0))*50*0.4)</f>
        <v>0.77208400281600009</v>
      </c>
      <c r="BI252" s="14">
        <f>IF(OR(BI$5="大R",BI$5="超R"),0,INDEX(其他调用!$H$5:$L$404,MATCH($K252,其他调用!$B$5:$B$404,0),MATCH(BI$5,其他调用!$H$4:$L$4,0))*50*0.4)</f>
        <v>0</v>
      </c>
      <c r="BJ252" s="14">
        <f>IF(OR(BJ$5="大R",BJ$5="超R"),0,INDEX(其他调用!$H$5:$L$404,MATCH($K252,其他调用!$B$5:$B$404,0),MATCH(BJ$5,其他调用!$H$4:$L$4,0))*50*0.4)</f>
        <v>0</v>
      </c>
      <c r="BL252" s="14">
        <f t="shared" si="418"/>
        <v>247</v>
      </c>
      <c r="BM252" s="14">
        <f t="shared" si="325"/>
        <v>96</v>
      </c>
      <c r="BN252" s="14">
        <f>('疲劳值&amp;地图信息'!$S$10*'疲劳值&amp;地图信息'!$R$10+'疲劳值&amp;地图信息'!$S$11*'疲劳值&amp;地图信息'!$R$11+'疲劳值&amp;地图信息'!$S$12*'疲劳值&amp;地图信息'!$R$12+(BM252-'疲劳值&amp;地图信息'!$S$12-'疲劳值&amp;地图信息'!$S$11-'疲劳值&amp;地图信息'!$S$10)*'疲劳值&amp;地图信息'!$R$13)/BM252</f>
        <v>51.371477246638619</v>
      </c>
      <c r="BO252" s="14">
        <f>INDEX(其他调用!$M$5:$M$404,MATCH(BL252,其他调用!$B$5:$B$404,0))*0.6</f>
        <v>60</v>
      </c>
      <c r="BP252" s="14">
        <f>IF(BO252&gt;SUM('疲劳值&amp;地图信息'!$S$10:$S$12),('疲劳值&amp;地图信息'!$S$10*'疲劳值&amp;地图信息'!$R$10+'疲劳值&amp;地图信息'!$S$11*'疲劳值&amp;地图信息'!$R$11+'疲劳值&amp;地图信息'!$S$12*'疲劳值&amp;地图信息'!$R$12+(BO252-'疲劳值&amp;地图信息'!$S$12-'疲劳值&amp;地图信息'!$S$11-'疲劳值&amp;地图信息'!$S$10)*'疲劳值&amp;地图信息'!$R$13)/BO252,('疲劳值&amp;地图信息'!$S$10*'疲劳值&amp;地图信息'!$R$10+'疲劳值&amp;地图信息'!$S$11*'疲劳值&amp;地图信息'!$R$11+'疲劳值&amp;地图信息'!$S$12*'疲劳值&amp;地图信息'!$R$12+(BO252-'疲劳值&amp;地图信息'!$S$12-'疲劳值&amp;地图信息'!$S$11-'疲劳值&amp;地图信息'!$S$10)*'疲劳值&amp;地图信息'!$R$13)/BO252)</f>
        <v>44.158136341605953</v>
      </c>
      <c r="BQ252" s="14">
        <f t="shared" si="419"/>
        <v>20</v>
      </c>
      <c r="BR252" s="14">
        <f>('疲劳值&amp;地图信息'!$S$10*'疲劳值&amp;地图信息'!$R$10+($BQ252-'疲劳值&amp;地图信息'!$S$10)*'疲劳值&amp;地图信息'!$R$11)/$BQ252</f>
        <v>32.067203015074995</v>
      </c>
      <c r="CF252" s="14">
        <v>247</v>
      </c>
      <c r="CG252" s="51">
        <f t="shared" si="326"/>
        <v>14702</v>
      </c>
      <c r="CH252" s="51">
        <f t="shared" si="327"/>
        <v>1099</v>
      </c>
      <c r="CI252" s="51">
        <f>INT(SUMPRODUCT($N252:$R252,$BA252:$BE252)/SUM($BA252:$BE252)/10000*$BX$7*$BZ$34/'疲劳值&amp;地图信息'!$R$10*$BY$53)</f>
        <v>3298</v>
      </c>
      <c r="CJ252" s="50">
        <f t="shared" si="328"/>
        <v>0.76977852243572964</v>
      </c>
      <c r="CK252" s="50">
        <f t="shared" si="329"/>
        <v>5.7542279700507883E-2</v>
      </c>
      <c r="CL252" s="50">
        <f t="shared" si="330"/>
        <v>0.17267919786376251</v>
      </c>
      <c r="CM252" s="14">
        <f t="shared" si="331"/>
        <v>15903</v>
      </c>
      <c r="CN252" s="14">
        <f t="shared" si="332"/>
        <v>1837</v>
      </c>
      <c r="CO252" s="14">
        <f>INT(SUMPRODUCT($U252:$Y252,$BA252:$BE252)/SUM($BA252:$BE252)/10000*$BX$7*$BZ$34/'疲劳值&amp;地图信息'!$R$10*$BY$54)</f>
        <v>6241</v>
      </c>
      <c r="CP252" s="50">
        <f t="shared" si="333"/>
        <v>0.66314999374504813</v>
      </c>
      <c r="CQ252" s="50">
        <f t="shared" si="334"/>
        <v>7.6602310162211751E-2</v>
      </c>
      <c r="CR252" s="50">
        <f t="shared" si="335"/>
        <v>0.26024769609274007</v>
      </c>
      <c r="CS252" s="14">
        <f t="shared" si="336"/>
        <v>17431</v>
      </c>
      <c r="CT252" s="14">
        <f t="shared" si="337"/>
        <v>3126</v>
      </c>
      <c r="CU252" s="14">
        <f>INT(SUMPRODUCT($AB252:$AF252,$BA252:$BE252)/SUM($BA252:$BE252)/10000*$BX$7*$BZ$34/'疲劳值&amp;地图信息'!$R$10*$BY$55)</f>
        <v>8474</v>
      </c>
      <c r="CV252" s="50">
        <f t="shared" si="338"/>
        <v>0.60042712962006128</v>
      </c>
      <c r="CW252" s="50">
        <f t="shared" si="339"/>
        <v>0.10767799937997313</v>
      </c>
      <c r="CX252" s="50">
        <f t="shared" si="340"/>
        <v>0.29189487099996553</v>
      </c>
      <c r="CY252" s="14">
        <f t="shared" si="341"/>
        <v>20996</v>
      </c>
      <c r="CZ252" s="14">
        <f t="shared" si="342"/>
        <v>9270</v>
      </c>
      <c r="DA252" s="14">
        <f>INT(SUMPRODUCT($AI252:$AM252,$BA252:$BE252)/SUM($BA252:$BE252)/10000*$BX$7*$BZ$34/'疲劳值&amp;地图信息'!$R$10*$BY$56)</f>
        <v>12785</v>
      </c>
      <c r="DB252" s="50">
        <f t="shared" si="343"/>
        <v>0.48770063413161135</v>
      </c>
      <c r="DC252" s="50">
        <f t="shared" si="344"/>
        <v>0.21532600868737078</v>
      </c>
      <c r="DD252" s="50">
        <f t="shared" si="345"/>
        <v>0.29697335718101786</v>
      </c>
      <c r="DE252" s="14">
        <f t="shared" si="346"/>
        <v>21984</v>
      </c>
      <c r="DF252" s="14">
        <f t="shared" si="347"/>
        <v>15633</v>
      </c>
      <c r="DG252" s="14">
        <f>INT(SUMPRODUCT($AP252:$AT252,$BA252:$BE252)/SUM($BA252:$BE252)/10000*$BX$7*$BZ$34/'疲劳值&amp;地图信息'!$R$10*$BY$57)</f>
        <v>17067</v>
      </c>
      <c r="DH252" s="50">
        <f t="shared" si="348"/>
        <v>0.40201887206495501</v>
      </c>
      <c r="DI252" s="50">
        <f t="shared" si="349"/>
        <v>0.28587886767610271</v>
      </c>
      <c r="DJ252" s="50">
        <f t="shared" si="350"/>
        <v>0.31210226025894228</v>
      </c>
      <c r="DL252" s="14">
        <f t="shared" si="421"/>
        <v>19099</v>
      </c>
      <c r="DM252" s="14">
        <f t="shared" si="422"/>
        <v>23981</v>
      </c>
      <c r="DN252" s="14">
        <f t="shared" si="423"/>
        <v>29031</v>
      </c>
      <c r="DO252" s="14">
        <f t="shared" si="424"/>
        <v>43051</v>
      </c>
      <c r="DP252" s="14">
        <f t="shared" si="425"/>
        <v>54684</v>
      </c>
      <c r="DQ252" s="14">
        <f t="shared" si="426"/>
        <v>1321584</v>
      </c>
      <c r="DT252" s="14">
        <f t="shared" si="420"/>
        <v>235575</v>
      </c>
      <c r="DU252" s="50">
        <f t="shared" si="322"/>
        <v>0.15128512887893913</v>
      </c>
      <c r="DW252" s="14">
        <f t="shared" si="351"/>
        <v>1557159</v>
      </c>
      <c r="EB252" s="14">
        <v>247</v>
      </c>
      <c r="EC252" s="51">
        <f t="shared" si="352"/>
        <v>24504</v>
      </c>
      <c r="ED252" s="51">
        <f t="shared" si="353"/>
        <v>1833</v>
      </c>
      <c r="EE252" s="51">
        <f>INT(SUMPRODUCT($N252:$R252,$BF252:$BJ252)/SUM($BF252:$BJ252)/10000*$BX$7*$BZ$46/'疲劳值&amp;地图信息'!$R$10*$BY$53)</f>
        <v>443</v>
      </c>
      <c r="EF252" s="50">
        <f t="shared" si="354"/>
        <v>0.91501120238984313</v>
      </c>
      <c r="EG252" s="50">
        <f t="shared" si="355"/>
        <v>6.8446601941747579E-2</v>
      </c>
      <c r="EH252" s="50">
        <f t="shared" si="356"/>
        <v>1.6542195668409261E-2</v>
      </c>
      <c r="EI252" s="51">
        <f t="shared" si="357"/>
        <v>26505</v>
      </c>
      <c r="EJ252" s="51">
        <f t="shared" si="358"/>
        <v>3062</v>
      </c>
      <c r="EK252" s="14">
        <f>INT(SUMPRODUCT($U252:$Y252,$BF252:$BJ252)/SUM($BF252:$BJ252)/10000*$BX$7*$BZ$46/'疲劳值&amp;地图信息'!$R$10*$BY$54)</f>
        <v>838</v>
      </c>
      <c r="EL252" s="50">
        <f t="shared" si="359"/>
        <v>0.87173162308830787</v>
      </c>
      <c r="EM252" s="50">
        <f t="shared" si="360"/>
        <v>0.10070712053938496</v>
      </c>
      <c r="EN252" s="50">
        <f t="shared" si="361"/>
        <v>2.7561256372307188E-2</v>
      </c>
      <c r="EO252" s="51">
        <f t="shared" si="362"/>
        <v>29052</v>
      </c>
      <c r="EP252" s="51">
        <f t="shared" si="363"/>
        <v>5211</v>
      </c>
      <c r="EQ252" s="14">
        <f>INT(SUMPRODUCT($AB252:$AF252,$BF252:$BJ252)/SUM($BF252:$BJ252)/10000*$BX$7*$BZ$46/'疲劳值&amp;地图信息'!$R$10*$BY$55)</f>
        <v>1136</v>
      </c>
      <c r="ER252" s="50">
        <f t="shared" si="364"/>
        <v>0.82070114974999298</v>
      </c>
      <c r="ES252" s="50">
        <f t="shared" si="365"/>
        <v>0.14720754823582588</v>
      </c>
      <c r="ET252" s="50">
        <f t="shared" si="366"/>
        <v>3.2091302014181193E-2</v>
      </c>
      <c r="EU252" s="51">
        <f t="shared" si="367"/>
        <v>34993</v>
      </c>
      <c r="EV252" s="51">
        <f t="shared" si="368"/>
        <v>15450</v>
      </c>
      <c r="EW252" s="14">
        <f>INT(SUMPRODUCT($AI252:$AM252,$BF252:$BJ252)/SUM($BF252:$BJ252)/10000*$BX$7*$BZ$46/'疲劳值&amp;地图信息'!$R$10*$BY$56)</f>
        <v>1704</v>
      </c>
      <c r="EX252" s="50">
        <f t="shared" si="369"/>
        <v>0.67104531420791225</v>
      </c>
      <c r="EY252" s="50">
        <f t="shared" si="370"/>
        <v>0.29627782998063168</v>
      </c>
      <c r="EZ252" s="50">
        <f t="shared" si="371"/>
        <v>3.2676855811456074E-2</v>
      </c>
      <c r="FA252" s="51">
        <f t="shared" si="372"/>
        <v>36640</v>
      </c>
      <c r="FB252" s="51">
        <f t="shared" si="373"/>
        <v>26056</v>
      </c>
      <c r="FC252" s="14">
        <f>INT(SUMPRODUCT($AP252:$AT252,$BF252:$BJ252)/SUM($BF252:$BJ252)/10000*$BX$7*$BZ$46/'疲劳值&amp;地图信息'!$R$10*$BY$57)</f>
        <v>2273</v>
      </c>
      <c r="FD252" s="50">
        <f t="shared" si="374"/>
        <v>0.56396127383829209</v>
      </c>
      <c r="FE252" s="50">
        <f t="shared" si="375"/>
        <v>0.40105280980159769</v>
      </c>
      <c r="FF252" s="50">
        <f t="shared" si="376"/>
        <v>3.4985916360110204E-2</v>
      </c>
      <c r="FH252" s="14">
        <f t="shared" si="377"/>
        <v>26780</v>
      </c>
      <c r="FI252" s="14">
        <f t="shared" si="378"/>
        <v>30405</v>
      </c>
      <c r="FJ252" s="14">
        <f t="shared" si="379"/>
        <v>35399</v>
      </c>
      <c r="FK252" s="14">
        <f t="shared" si="380"/>
        <v>52147</v>
      </c>
      <c r="FL252" s="14">
        <f t="shared" si="381"/>
        <v>64969</v>
      </c>
      <c r="FM252" s="14">
        <f t="shared" si="382"/>
        <v>3150402</v>
      </c>
      <c r="FP252" s="14">
        <f t="shared" si="383"/>
        <v>334150</v>
      </c>
      <c r="FQ252" s="50">
        <f t="shared" si="323"/>
        <v>9.5894680291756296E-2</v>
      </c>
      <c r="FS252" s="14">
        <f t="shared" si="384"/>
        <v>3484552</v>
      </c>
      <c r="FX252" s="14">
        <v>247</v>
      </c>
      <c r="FY252" s="51">
        <f t="shared" si="385"/>
        <v>34306</v>
      </c>
      <c r="FZ252" s="51">
        <f t="shared" si="386"/>
        <v>1833</v>
      </c>
      <c r="GA252" s="51">
        <f>INT(SUMPRODUCT($N252:$R252,$BF252:$BJ252)/SUM($BF252:$BJ252)/10000*$BX$7*$BZ$46/'疲劳值&amp;地图信息'!$R$10*$BY$53)</f>
        <v>443</v>
      </c>
      <c r="GB252" s="50">
        <f t="shared" si="387"/>
        <v>0.93778360942540051</v>
      </c>
      <c r="GC252" s="50">
        <f t="shared" si="388"/>
        <v>5.0106609808102345E-2</v>
      </c>
      <c r="GD252" s="50">
        <f t="shared" si="389"/>
        <v>1.2109780766497184E-2</v>
      </c>
      <c r="GE252" s="51">
        <f t="shared" si="390"/>
        <v>37107</v>
      </c>
      <c r="GF252" s="51">
        <f t="shared" si="391"/>
        <v>3062</v>
      </c>
      <c r="GG252" s="14">
        <f>INT(SUMPRODUCT($U252:$Y252,$BF252:$BJ252)/SUM($BF252:$BJ252)/10000*$BX$7*$BZ$46/'疲劳值&amp;地图信息'!$R$10*$BY$54)</f>
        <v>838</v>
      </c>
      <c r="GH252" s="50">
        <f t="shared" si="392"/>
        <v>0.90489428634135638</v>
      </c>
      <c r="GI252" s="50">
        <f t="shared" si="393"/>
        <v>7.4670178262247908E-2</v>
      </c>
      <c r="GJ252" s="50">
        <f t="shared" si="394"/>
        <v>2.0435535396395737E-2</v>
      </c>
      <c r="GK252" s="51">
        <f t="shared" si="395"/>
        <v>40673</v>
      </c>
      <c r="GL252" s="51">
        <f t="shared" si="396"/>
        <v>5211</v>
      </c>
      <c r="GM252" s="14">
        <f>INT(SUMPRODUCT($AB252:$AF252,$BF252:$BJ252)/SUM($BF252:$BJ252)/10000*$BX$7*$BZ$46/'疲劳值&amp;地图信息'!$R$10*$BY$55)</f>
        <v>1136</v>
      </c>
      <c r="GN252" s="50">
        <f t="shared" si="397"/>
        <v>0.86501488728200771</v>
      </c>
      <c r="GO252" s="50">
        <f t="shared" si="398"/>
        <v>0.11082518077413867</v>
      </c>
      <c r="GP252" s="50">
        <f t="shared" si="399"/>
        <v>2.4159931943853678E-2</v>
      </c>
      <c r="GQ252" s="51">
        <f t="shared" si="400"/>
        <v>48991</v>
      </c>
      <c r="GR252" s="51">
        <f t="shared" si="401"/>
        <v>15450</v>
      </c>
      <c r="GS252" s="14">
        <f>INT(SUMPRODUCT($AI252:$AM252,$BF252:$BJ252)/SUM($BF252:$BJ252)/10000*$BX$7*$BZ$46/'疲劳值&amp;地图信息'!$R$10*$BY$56)</f>
        <v>1704</v>
      </c>
      <c r="GT252" s="50">
        <f t="shared" si="402"/>
        <v>0.74066066974072109</v>
      </c>
      <c r="GU252" s="50">
        <f t="shared" si="403"/>
        <v>0.23357774586136518</v>
      </c>
      <c r="GV252" s="50">
        <f t="shared" si="404"/>
        <v>2.5761584397913675E-2</v>
      </c>
      <c r="GW252" s="51">
        <f t="shared" si="405"/>
        <v>51296</v>
      </c>
      <c r="GX252" s="51">
        <f t="shared" si="406"/>
        <v>26056</v>
      </c>
      <c r="GY252" s="14">
        <f>INT(SUMPRODUCT($AP252:$AT252,$BF252:$BJ252)/SUM($BF252:$BJ252)/10000*$BX$7*$BZ$46/'疲劳值&amp;地图信息'!$R$10*$BY$57)</f>
        <v>2273</v>
      </c>
      <c r="GZ252" s="50">
        <f t="shared" si="407"/>
        <v>0.64421978021978021</v>
      </c>
      <c r="HA252" s="50">
        <f t="shared" si="408"/>
        <v>0.32723390894819465</v>
      </c>
      <c r="HB252" s="50">
        <f t="shared" si="409"/>
        <v>2.8546310832025117E-2</v>
      </c>
      <c r="HD252" s="14">
        <f t="shared" si="410"/>
        <v>36582</v>
      </c>
      <c r="HE252" s="14">
        <f t="shared" si="411"/>
        <v>41007</v>
      </c>
      <c r="HF252" s="14">
        <f t="shared" si="412"/>
        <v>47020</v>
      </c>
      <c r="HG252" s="14">
        <f t="shared" si="413"/>
        <v>66145</v>
      </c>
      <c r="HH252" s="14">
        <f t="shared" si="414"/>
        <v>79625</v>
      </c>
      <c r="HI252" s="14">
        <f t="shared" si="415"/>
        <v>4244413</v>
      </c>
      <c r="HL252" s="14">
        <f t="shared" si="416"/>
        <v>430050</v>
      </c>
      <c r="HM252" s="50">
        <f t="shared" si="324"/>
        <v>9.1999872498723378E-2</v>
      </c>
      <c r="HO252" s="14">
        <f t="shared" si="417"/>
        <v>4674463</v>
      </c>
    </row>
    <row r="253" spans="11:223" x14ac:dyDescent="0.2">
      <c r="K253" s="14">
        <v>248</v>
      </c>
      <c r="L253" s="12">
        <f>求节点(节奏总纲!D$4:D$163,标准城池设计!AB$4:AB$163,$K253)*求节点(节奏总纲!D$4:D$163,攻城基础信息!$AC$5:$AC$164,$K253)</f>
        <v>722753.57137361029</v>
      </c>
      <c r="M253" s="12">
        <f>INDEX(其他调用!$AA$5:$AA$404,MATCH(K253,其他调用!$X$5:$X$404,0))*MIN(INDEX(其他调用!$AH$5:$AH$364,MATCH('征服点（新）'!K253,其他调用!$AG$5:$AG$364,0),1)/INDEX(其他调用!$AJ$5:$AJ$364,MATCH(K253,其他调用!$AG$5:$AG$364,0),0),5)*求节点(节奏总纲!D$4:D$163,攻城基础信息!$AC$5:$AC$164,$K253)</f>
        <v>53985.539483922315</v>
      </c>
      <c r="N253" s="12">
        <f>MIN(INDEX(其他调用!$AH$5:$AH$364,MATCH($K253,其他调用!$AG$5:$AG$364,0),1)/INDEX(其他调用!AH$5:AH$364,MATCH($K253,其他调用!$AG$5:$AG$364,0),0),1)*INDEX(其他调用!Y$5:Y$404,MATCH($K253,其他调用!$X$5:$X$404,0),0)</f>
        <v>41373.749241549463</v>
      </c>
      <c r="O253" s="12">
        <f>MIN(INDEX(其他调用!$AH$5:$AH$364,MATCH($K253,其他调用!$AG$5:$AG$364,0),1)/INDEX(其他调用!AI$5:AI$364,MATCH($K253,其他调用!$AG$5:$AG$364,0),0),1)*INDEX(其他调用!Z$5:Z$404,MATCH($K253,其他调用!$X$5:$X$404,0),0)</f>
        <v>25437.527218620911</v>
      </c>
      <c r="P253" s="12">
        <f>MIN(INDEX(其他调用!$AH$5:$AH$364,MATCH($K253,其他调用!$AG$5:$AG$364,0),1)/INDEX(其他调用!AJ$5:AJ$364,MATCH($K253,其他调用!$AG$5:$AG$364,0),0),1)*INDEX(其他调用!AA$5:AA$404,MATCH($K253,其他调用!$X$5:$X$404,0),0)</f>
        <v>15484.65550895474</v>
      </c>
      <c r="Q253" s="12">
        <f>MIN(INDEX(其他调用!$AH$5:$AH$364,MATCH($K253,其他调用!$AG$5:$AG$364,0),1)/INDEX(其他调用!AK$5:AK$364,MATCH($K253,其他调用!$AG$5:$AG$364,0),0),1)*INDEX(其他调用!AB$5:AB$404,MATCH($K253,其他调用!$X$5:$X$404,0),0)</f>
        <v>5486.2734098055325</v>
      </c>
      <c r="R253" s="12">
        <f>MIN(INDEX(其他调用!$AH$5:$AH$364,MATCH($K253,其他调用!$AG$5:$AG$364,0),1)/INDEX(其他调用!AL$5:AL$364,MATCH($K253,其他调用!$AG$5:$AG$364,0),0),1)*INDEX(其他调用!AC$5:AC$404,MATCH($K253,其他调用!$X$5:$X$404,0),0)</f>
        <v>2959.6142097221341</v>
      </c>
      <c r="S253" s="12">
        <f>求节点(节奏总纲!D$4:D$163,标准城池设计!AC$4:AC$163,$K253)*求节点(节奏总纲!D$4:D$163,攻城基础信息!$AD$5:$AD$164,$K253)</f>
        <v>782123.25455300731</v>
      </c>
      <c r="T253" s="12">
        <f>INDEX(其他调用!$AA$5:$AA$404,MATCH($K253,其他调用!$X$5:$X$404,0))*MIN(INDEX(其他调用!AI$5:AI$364,MATCH($K253,其他调用!$AG$5:$AG$364,0),1)/INDEX(其他调用!$AJ$5:$AJ$364,MATCH($K253,其他调用!$AG$5:$AG$364,0),0),5)*求节点(节奏总纲!D$4:D$163,攻城基础信息!$AD$5:$AD$164,$K253)</f>
        <v>90262.310080289855</v>
      </c>
      <c r="U253" s="12">
        <f>MIN(INDEX(其他调用!$AI$5:$AI$364,MATCH($K253,其他调用!$AG$5:$AG$364,0),1)/INDEX(其他调用!AH$5:AH$364,MATCH($K253,其他调用!$AG$5:$AG$364,0),0),1)*INDEX(其他调用!Y$5:Y$404,MATCH($K253,其他调用!$X$5:$X$404,0),0)</f>
        <v>41373.749241549463</v>
      </c>
      <c r="V253" s="12">
        <f>MIN(INDEX(其他调用!$AI$5:$AI$364,MATCH($K253,其他调用!$AG$5:$AG$364,0),1)/INDEX(其他调用!AI$5:AI$364,MATCH($K253,其他调用!$AG$5:$AG$364,0),0),1)*INDEX(其他调用!Z$5:Z$404,MATCH($K253,其他调用!$X$5:$X$404,0),0)</f>
        <v>42530.83309775521</v>
      </c>
      <c r="W253" s="12">
        <f>MIN(INDEX(其他调用!$AI$5:$AI$364,MATCH($K253,其他调用!$AG$5:$AG$364,0),1)/INDEX(其他调用!AJ$5:AJ$364,MATCH($K253,其他调用!$AG$5:$AG$364,0),0),1)*INDEX(其他调用!AA$5:AA$404,MATCH($K253,其他调用!$X$5:$X$404,0),0)</f>
        <v>25889.910342601859</v>
      </c>
      <c r="X253" s="12">
        <f>MIN(INDEX(其他调用!$AI$5:$AI$364,MATCH($K253,其他调用!$AG$5:$AG$364,0),1)/INDEX(其他调用!AK$5:AK$364,MATCH($K253,其他调用!$AG$5:$AG$364,0),0),1)*INDEX(其他调用!AB$5:AB$404,MATCH($K253,其他调用!$X$5:$X$404,0),0)</f>
        <v>9172.8954908118503</v>
      </c>
      <c r="Y253" s="12">
        <f>MIN(INDEX(其他调用!$AI$5:$AI$364,MATCH($K253,其他调用!$AG$5:$AG$364,0),1)/INDEX(其他调用!AL$5:AL$364,MATCH($K253,其他调用!$AG$5:$AG$364,0),0),1)*INDEX(其他调用!AC$5:AC$404,MATCH($K253,其他调用!$X$5:$X$404,0),0)</f>
        <v>4948.3920707234938</v>
      </c>
      <c r="Z253" s="12">
        <f>求节点(节奏总纲!D$4:D$163,标准城池设计!AD$4:AD$163,$K253)*求节点(节奏总纲!D$4:D$163,攻城基础信息!$AE$5:$AE$164,$K253)</f>
        <v>857417.42427365936</v>
      </c>
      <c r="AA253" s="12">
        <f>INDEX(其他调用!$AA$5:$AA$404,MATCH($K253,其他调用!$X$5:$X$404,0))*MIN(INDEX(其他调用!AJ$5:AJ$364,MATCH($K253,其他调用!$AG$5:$AG$364,0),1)/INDEX(其他调用!$AJ$5:$AJ$364,MATCH($K253,其他调用!$AG$5:$AG$364,0),0),5)*求节点(节奏总纲!D$4:D$163,攻城基础信息!$AE$5:$AE$164,$K253)</f>
        <v>153583.10840700593</v>
      </c>
      <c r="AB253" s="12">
        <f>MIN(INDEX(其他调用!$AJ$5:$AJ$364,MATCH($K253,其他调用!$AG$5:$AG$364,0),1)/INDEX(其他调用!AH$5:AH$364,MATCH($K253,其他调用!$AG$5:$AG$364,0),0),1)*INDEX(其他调用!Y$5:Y$404,MATCH($K253,其他调用!$X$5:$X$404,0),0)</f>
        <v>41373.749241549463</v>
      </c>
      <c r="AC253" s="12">
        <f>MIN(INDEX(其他调用!$AJ$5:$AJ$364,MATCH($K253,其他调用!$AG$5:$AG$364,0),1)/INDEX(其他调用!AI$5:AI$364,MATCH($K253,其他调用!$AG$5:$AG$364,0),0),1)*INDEX(其他调用!Z$5:Z$404,MATCH($K253,其他调用!$X$5:$X$404,0),0)</f>
        <v>42530.83309775521</v>
      </c>
      <c r="AD253" s="12">
        <f>MIN(INDEX(其他调用!$AJ$5:$AJ$364,MATCH($K253,其他调用!$AG$5:$AG$364,0),1)/INDEX(其他调用!AJ$5:AJ$364,MATCH($K253,其他调用!$AG$5:$AG$364,0),0),1)*INDEX(其他调用!AA$5:AA$404,MATCH($K253,其他调用!$X$5:$X$404,0),0)</f>
        <v>44052.195243602124</v>
      </c>
      <c r="AE253" s="12">
        <f>MIN(INDEX(其他调用!$AJ$5:$AJ$364,MATCH($K253,其他调用!$AG$5:$AG$364,0),1)/INDEX(其他调用!AK$5:AK$364,MATCH($K253,其他调用!$AG$5:$AG$364,0),0),1)*INDEX(其他调用!AB$5:AB$404,MATCH($K253,其他调用!$X$5:$X$404,0),0)</f>
        <v>15607.863363106253</v>
      </c>
      <c r="AF253" s="12">
        <f>MIN(INDEX(其他调用!$AJ$5:$AJ$364,MATCH($K253,其他调用!$AG$5:$AG$364,0),1)/INDEX(其他调用!AL$5:AL$364,MATCH($K253,其他调用!$AG$5:$AG$364,0),0),1)*INDEX(其他调用!AC$5:AC$404,MATCH($K253,其他调用!$X$5:$X$404,0),0)</f>
        <v>8419.7871200312893</v>
      </c>
      <c r="AG253" s="12">
        <f>求节点(节奏总纲!D$4:D$163,标准城池设计!AE$4:AE$163,$K253)*求节点(节奏总纲!D$4:D$163,攻城基础信息!$AF$5:$AF$164,$K253)</f>
        <v>1032862.1103068624</v>
      </c>
      <c r="AH253" s="12">
        <f>INDEX(其他调用!$AA$5:$AA$404,MATCH($K253,其他调用!$X$5:$X$404,0))*MIN(INDEX(其他调用!AK$5:AK$364,MATCH($K253,其他调用!$AG$5:$AG$364,0),1)/INDEX(其他调用!$AJ$5:$AJ$364,MATCH($K253,其他调用!$AG$5:$AG$364,0),0),5)*求节点(节奏总纲!D$4:D$163,攻城基础信息!$AF$5:$AF$164,$K253)</f>
        <v>455472.75156794908</v>
      </c>
      <c r="AI253" s="12">
        <f>MIN(INDEX(其他调用!$AK$5:$AK$364,MATCH($K253,其他调用!$AG$5:$AG$364,0),1)/INDEX(其他调用!AH$5:AH$364,MATCH($K253,其他调用!$AG$5:$AG$364,0),0),1)*INDEX(其他调用!Y$5:Y$404,MATCH($K253,其他调用!$X$5:$X$404,0),0)</f>
        <v>41373.749241549463</v>
      </c>
      <c r="AJ253" s="12">
        <f>MIN(INDEX(其他调用!$AK$5:$AK$364,MATCH($K253,其他调用!$AG$5:$AG$364,0),1)/INDEX(其他调用!AI$5:AI$364,MATCH($K253,其他调用!$AG$5:$AG$364,0),0),1)*INDEX(其他调用!Z$5:Z$404,MATCH($K253,其他调用!$X$5:$X$404,0),0)</f>
        <v>42530.83309775521</v>
      </c>
      <c r="AK253" s="12">
        <f>MIN(INDEX(其他调用!$AK$5:$AK$364,MATCH($K253,其他调用!$AG$5:$AG$364,0),1)/INDEX(其他调用!AJ$5:AJ$364,MATCH($K253,其他调用!$AG$5:$AG$364,0),0),1)*INDEX(其他调用!AA$5:AA$404,MATCH($K253,其他调用!$X$5:$X$404,0),0)</f>
        <v>44052.195243602124</v>
      </c>
      <c r="AL253" s="12">
        <f>MIN(INDEX(其他调用!$AK$5:$AK$364,MATCH($K253,其他调用!$AG$5:$AG$364,0),1)/INDEX(其他调用!AK$5:AK$364,MATCH($K253,其他调用!$AG$5:$AG$364,0),0),1)*INDEX(其他调用!AB$5:AB$404,MATCH($K253,其他调用!$X$5:$X$404,0),0)</f>
        <v>46287.358979943026</v>
      </c>
      <c r="AM253" s="12">
        <f>MIN(INDEX(其他调用!$AK$5:$AK$364,MATCH($K253,其他调用!$AG$5:$AG$364,0),1)/INDEX(其他调用!AL$5:AL$364,MATCH($K253,其他调用!$AG$5:$AG$364,0),0),1)*INDEX(其他调用!AC$5:AC$404,MATCH($K253,其他调用!$X$5:$X$404,0),0)</f>
        <v>24970.087185721331</v>
      </c>
      <c r="AN253" s="12">
        <f>求节点(节奏总纲!D$4:D$163,标准城池设计!AF$4:AF$163,$K253)*求节点(节奏总纲!D$4:D$163,攻城基础信息!$AG$5:$AG$164,$K253)</f>
        <v>1081456.1325323181</v>
      </c>
      <c r="AO253" s="12">
        <f>INDEX(其他调用!$AA$5:$AA$404,MATCH($K253,其他调用!$X$5:$X$404,0))*MIN(INDEX(其他调用!AL$5:AL$364,MATCH($K253,其他调用!$AG$5:$AG$364,0),1)/INDEX(其他调用!$AJ$5:$AJ$364,MATCH($K253,其他调用!$AG$5:$AG$364,0),0),5)*求节点(节奏总纲!D$4:D$163,攻城基础信息!$AG$5:$AG$164,$K253)</f>
        <v>767915.54203502962</v>
      </c>
      <c r="AP253" s="12">
        <f>MIN(INDEX(其他调用!$AL$5:$AL$364,MATCH($K253,其他调用!$AG$5:$AG$364,0),1)/INDEX(其他调用!AH$5:AH$364,MATCH($K253,其他调用!$AG$5:$AG$364,0),0),1)*INDEX(其他调用!Y$5:Y$404,MATCH($K253,其他调用!$X$5:$X$404,0),0)</f>
        <v>41373.749241549463</v>
      </c>
      <c r="AQ253" s="12">
        <f>MIN(INDEX(其他调用!$AL$5:$AL$364,MATCH($K253,其他调用!$AG$5:$AG$364,0),1)/INDEX(其他调用!AI$5:AI$364,MATCH($K253,其他调用!$AG$5:$AG$364,0),0),1)*INDEX(其他调用!Z$5:Z$404,MATCH($K253,其他调用!$X$5:$X$404,0),0)</f>
        <v>42530.83309775521</v>
      </c>
      <c r="AR253" s="12">
        <f>MIN(INDEX(其他调用!$AL$5:$AL$364,MATCH($K253,其他调用!$AG$5:$AG$364,0),1)/INDEX(其他调用!AJ$5:AJ$364,MATCH($K253,其他调用!$AG$5:$AG$364,0),0),1)*INDEX(其他调用!AA$5:AA$404,MATCH($K253,其他调用!$X$5:$X$404,0),0)</f>
        <v>44052.195243602124</v>
      </c>
      <c r="AS253" s="12">
        <f>MIN(INDEX(其他调用!$AL$5:$AL$364,MATCH($K253,其他调用!$AG$5:$AG$364,0),1)/INDEX(其他调用!AK$5:AK$364,MATCH($K253,其他调用!$AG$5:$AG$364,0),0),1)*INDEX(其他调用!AB$5:AB$404,MATCH($K253,其他调用!$X$5:$X$404,0),0)</f>
        <v>46287.358979943026</v>
      </c>
      <c r="AT253" s="12">
        <f>MIN(INDEX(其他调用!$AL$5:$AL$364,MATCH($K253,其他调用!$AG$5:$AG$364,0),1)/INDEX(其他调用!AL$5:AL$364,MATCH($K253,其他调用!$AG$5:$AG$364,0),0),1)*INDEX(其他调用!AC$5:AC$404,MATCH($K253,其他调用!$X$5:$X$404,0),0)</f>
        <v>50181.178464572477</v>
      </c>
      <c r="AV253" s="14">
        <f>IF(OR(AV$5="大R",AV$5="超R"),MAX(INDEX(其他调用!$H$5:$L$404,MATCH($K253,其他调用!$B$5:$B$404,0),MATCH(AV$5,其他调用!$H$4:$L$4,0))*120*0.85,2),INDEX(其他调用!$H$5:$L$404,MATCH($K253,其他调用!$B$5:$B$404,0),MATCH(AV$5,其他调用!$H$4:$L$4,0))*120*0.85)</f>
        <v>48.921801254999991</v>
      </c>
      <c r="AW253" s="14">
        <f>IF(OR(AW$5="大R",AW$5="超R"),MAX(INDEX(其他调用!$H$5:$L$404,MATCH($K253,其他调用!$B$5:$B$404,0),MATCH(AW$5,其他调用!$H$4:$L$4,0))*120*0.85,2),INDEX(其他调用!$H$5:$L$404,MATCH($K253,其他调用!$B$5:$B$404,0),MATCH(AW$5,其他调用!$H$4:$L$4,0))*120*0.85)</f>
        <v>48.237344010638395</v>
      </c>
      <c r="AX253" s="14">
        <f>IF(OR(AX$5="大R",AX$5="超R"),MAX(INDEX(其他调用!$H$5:$L$404,MATCH($K253,其他调用!$B$5:$B$404,0),MATCH(AX$5,其他调用!$H$4:$L$4,0))*120*0.85,2),INDEX(其他调用!$H$5:$L$404,MATCH($K253,其他调用!$B$5:$B$404,0),MATCH(AX$5,其他调用!$H$4:$L$4,0))*120*0.85)</f>
        <v>3.9376284143615998</v>
      </c>
      <c r="AY253" s="14">
        <f>IF(OR(AY$5="大R",AY$5="超R"),MAX(INDEX(其他调用!$H$5:$L$404,MATCH($K253,其他调用!$B$5:$B$404,0),MATCH(AY$5,其他调用!$H$4:$L$4,0))*120*0.85,2),INDEX(其他调用!$H$5:$L$404,MATCH($K253,其他调用!$B$5:$B$404,0),MATCH(AY$5,其他调用!$H$4:$L$4,0))*120*0.85)</f>
        <v>2</v>
      </c>
      <c r="AZ253" s="14">
        <f>IF(OR(AZ$5="大R",AZ$5="超R"),MAX(INDEX(其他调用!$H$5:$L$404,MATCH($K253,其他调用!$B$5:$B$404,0),MATCH(AZ$5,其他调用!$H$4:$L$4,0))*120*0.85,2),INDEX(其他调用!$H$5:$L$404,MATCH($K253,其他调用!$B$5:$B$404,0),MATCH(AZ$5,其他调用!$H$4:$L$4,0))*120*0.85)</f>
        <v>2</v>
      </c>
      <c r="BA253" s="14">
        <f>INDEX(其他调用!$H$5:$L$404,MATCH($K253,其他调用!$B$5:$B$404,0),MATCH(BA$5,其他调用!$H$4:$L$4,0))*INDEX(其他调用!$M$5:$M$404,MATCH($K253,其他调用!$B$5:$B$404,0))*0.6</f>
        <v>28.777530149999997</v>
      </c>
      <c r="BB253" s="14">
        <f>INDEX(其他调用!$H$5:$L$404,MATCH($K253,其他调用!$B$5:$B$404,0),MATCH(BB$5,其他调用!$H$4:$L$4,0))*INDEX(其他调用!$M$5:$M$404,MATCH($K253,其他调用!$B$5:$B$404,0))*0.6</f>
        <v>28.374908241551999</v>
      </c>
      <c r="BC253" s="14">
        <f>INDEX(其他调用!$H$5:$L$404,MATCH($K253,其他调用!$B$5:$B$404,0),MATCH(BC$5,其他调用!$H$4:$L$4,0))*INDEX(其他调用!$M$5:$M$404,MATCH($K253,其他调用!$B$5:$B$404,0))*0.6</f>
        <v>2.3162520084480001</v>
      </c>
      <c r="BD253" s="14">
        <f>INDEX(其他调用!$H$5:$L$404,MATCH($K253,其他调用!$B$5:$B$404,0),MATCH(BD$5,其他调用!$H$4:$L$4,0))*INDEX(其他调用!$M$5:$M$404,MATCH($K253,其他调用!$B$5:$B$404,0))*0.6</f>
        <v>0.4120776000000001</v>
      </c>
      <c r="BE253" s="14">
        <f>INDEX(其他调用!$H$5:$L$404,MATCH($K253,其他调用!$B$5:$B$404,0),MATCH(BE$5,其他调用!$H$4:$L$4,0))*INDEX(其他调用!$M$5:$M$404,MATCH($K253,其他调用!$B$5:$B$404,0))*0.6</f>
        <v>0.11923199999999998</v>
      </c>
      <c r="BF253" s="14">
        <f>IF(OR(BF$5="大R",BF$5="超R"),0,INDEX(其他调用!$H$5:$L$404,MATCH($K253,其他调用!$B$5:$B$404,0),MATCH(BF$5,其他调用!$H$4:$L$4,0))*50*0.4)</f>
        <v>9.5925100500000013</v>
      </c>
      <c r="BG253" s="14">
        <f>IF(OR(BG$5="大R",BG$5="超R"),0,INDEX(其他调用!$H$5:$L$404,MATCH($K253,其他调用!$B$5:$B$404,0),MATCH(BG$5,其他调用!$H$4:$L$4,0))*50*0.4)</f>
        <v>9.4583027471839998</v>
      </c>
      <c r="BH253" s="14">
        <f>IF(OR(BH$5="大R",BH$5="超R"),0,INDEX(其他调用!$H$5:$L$404,MATCH($K253,其他调用!$B$5:$B$404,0),MATCH(BH$5,其他调用!$H$4:$L$4,0))*50*0.4)</f>
        <v>0.77208400281600009</v>
      </c>
      <c r="BI253" s="14">
        <f>IF(OR(BI$5="大R",BI$5="超R"),0,INDEX(其他调用!$H$5:$L$404,MATCH($K253,其他调用!$B$5:$B$404,0),MATCH(BI$5,其他调用!$H$4:$L$4,0))*50*0.4)</f>
        <v>0</v>
      </c>
      <c r="BJ253" s="14">
        <f>IF(OR(BJ$5="大R",BJ$5="超R"),0,INDEX(其他调用!$H$5:$L$404,MATCH($K253,其他调用!$B$5:$B$404,0),MATCH(BJ$5,其他调用!$H$4:$L$4,0))*50*0.4)</f>
        <v>0</v>
      </c>
      <c r="BL253" s="14">
        <f t="shared" si="418"/>
        <v>248</v>
      </c>
      <c r="BM253" s="14">
        <f t="shared" si="325"/>
        <v>96</v>
      </c>
      <c r="BN253" s="14">
        <f>('疲劳值&amp;地图信息'!$S$10*'疲劳值&amp;地图信息'!$R$10+'疲劳值&amp;地图信息'!$S$11*'疲劳值&amp;地图信息'!$R$11+'疲劳值&amp;地图信息'!$S$12*'疲劳值&amp;地图信息'!$R$12+(BM253-'疲劳值&amp;地图信息'!$S$12-'疲劳值&amp;地图信息'!$S$11-'疲劳值&amp;地图信息'!$S$10)*'疲劳值&amp;地图信息'!$R$13)/BM253</f>
        <v>51.371477246638619</v>
      </c>
      <c r="BO253" s="14">
        <f>INDEX(其他调用!$M$5:$M$404,MATCH(BL253,其他调用!$B$5:$B$404,0))*0.6</f>
        <v>60</v>
      </c>
      <c r="BP253" s="14">
        <f>IF(BO253&gt;SUM('疲劳值&amp;地图信息'!$S$10:$S$12),('疲劳值&amp;地图信息'!$S$10*'疲劳值&amp;地图信息'!$R$10+'疲劳值&amp;地图信息'!$S$11*'疲劳值&amp;地图信息'!$R$11+'疲劳值&amp;地图信息'!$S$12*'疲劳值&amp;地图信息'!$R$12+(BO253-'疲劳值&amp;地图信息'!$S$12-'疲劳值&amp;地图信息'!$S$11-'疲劳值&amp;地图信息'!$S$10)*'疲劳值&amp;地图信息'!$R$13)/BO253,('疲劳值&amp;地图信息'!$S$10*'疲劳值&amp;地图信息'!$R$10+'疲劳值&amp;地图信息'!$S$11*'疲劳值&amp;地图信息'!$R$11+'疲劳值&amp;地图信息'!$S$12*'疲劳值&amp;地图信息'!$R$12+(BO253-'疲劳值&amp;地图信息'!$S$12-'疲劳值&amp;地图信息'!$S$11-'疲劳值&amp;地图信息'!$S$10)*'疲劳值&amp;地图信息'!$R$13)/BO253)</f>
        <v>44.158136341605953</v>
      </c>
      <c r="BQ253" s="14">
        <f t="shared" si="419"/>
        <v>20</v>
      </c>
      <c r="BR253" s="14">
        <f>('疲劳值&amp;地图信息'!$S$10*'疲劳值&amp;地图信息'!$R$10+($BQ253-'疲劳值&amp;地图信息'!$S$10)*'疲劳值&amp;地图信息'!$R$11)/$BQ253</f>
        <v>32.067203015074995</v>
      </c>
      <c r="CF253" s="14">
        <v>248</v>
      </c>
      <c r="CG253" s="51">
        <f t="shared" si="326"/>
        <v>14730</v>
      </c>
      <c r="CH253" s="51">
        <f t="shared" si="327"/>
        <v>1100</v>
      </c>
      <c r="CI253" s="51">
        <f>INT(SUMPRODUCT($N253:$R253,$BA253:$BE253)/SUM($BA253:$BE253)/10000*$BX$7*$BZ$34/'疲劳值&amp;地图信息'!$R$10*$BY$53)</f>
        <v>3299</v>
      </c>
      <c r="CJ253" s="50">
        <f t="shared" si="328"/>
        <v>0.77003502535417434</v>
      </c>
      <c r="CK253" s="50">
        <f t="shared" si="329"/>
        <v>5.7504312823461759E-2</v>
      </c>
      <c r="CL253" s="50">
        <f t="shared" si="330"/>
        <v>0.17246066182236394</v>
      </c>
      <c r="CM253" s="14">
        <f t="shared" si="331"/>
        <v>15940</v>
      </c>
      <c r="CN253" s="14">
        <f t="shared" si="332"/>
        <v>1839</v>
      </c>
      <c r="CO253" s="14">
        <f>INT(SUMPRODUCT($U253:$Y253,$BA253:$BE253)/SUM($BA253:$BE253)/10000*$BX$7*$BZ$34/'疲劳值&amp;地图信息'!$R$10*$BY$54)</f>
        <v>6244</v>
      </c>
      <c r="CP253" s="50">
        <f t="shared" si="333"/>
        <v>0.66353078299962531</v>
      </c>
      <c r="CQ253" s="50">
        <f t="shared" si="334"/>
        <v>7.6551638013570331E-2</v>
      </c>
      <c r="CR253" s="50">
        <f t="shared" si="335"/>
        <v>0.25991757898680429</v>
      </c>
      <c r="CS253" s="14">
        <f t="shared" si="336"/>
        <v>17475</v>
      </c>
      <c r="CT253" s="14">
        <f t="shared" si="337"/>
        <v>3130</v>
      </c>
      <c r="CU253" s="14">
        <f>INT(SUMPRODUCT($AB253:$AF253,$BA253:$BE253)/SUM($BA253:$BE253)/10000*$BX$7*$BZ$34/'疲劳值&amp;地图信息'!$R$10*$BY$55)</f>
        <v>8478</v>
      </c>
      <c r="CV253" s="50">
        <f t="shared" si="338"/>
        <v>0.60086648557576594</v>
      </c>
      <c r="CW253" s="50">
        <f t="shared" si="339"/>
        <v>0.10762301000584534</v>
      </c>
      <c r="CX253" s="50">
        <f t="shared" si="340"/>
        <v>0.29151050441838877</v>
      </c>
      <c r="CY253" s="14">
        <f t="shared" si="341"/>
        <v>21051</v>
      </c>
      <c r="CZ253" s="14">
        <f t="shared" si="342"/>
        <v>9283</v>
      </c>
      <c r="DA253" s="14">
        <f>INT(SUMPRODUCT($AI253:$AM253,$BA253:$BE253)/SUM($BA253:$BE253)/10000*$BX$7*$BZ$34/'疲劳值&amp;地图信息'!$R$10*$BY$56)</f>
        <v>12792</v>
      </c>
      <c r="DB253" s="50">
        <f t="shared" si="343"/>
        <v>0.48812781152900803</v>
      </c>
      <c r="DC253" s="50">
        <f t="shared" si="344"/>
        <v>0.21525297964105181</v>
      </c>
      <c r="DD253" s="50">
        <f t="shared" si="345"/>
        <v>0.2966192088299402</v>
      </c>
      <c r="DE253" s="14">
        <f t="shared" si="346"/>
        <v>22041</v>
      </c>
      <c r="DF253" s="14">
        <f t="shared" si="347"/>
        <v>15651</v>
      </c>
      <c r="DG253" s="14">
        <f>INT(SUMPRODUCT($AP253:$AT253,$BA253:$BE253)/SUM($BA253:$BE253)/10000*$BX$7*$BZ$34/'疲劳值&amp;地图信息'!$R$10*$BY$57)</f>
        <v>17077</v>
      </c>
      <c r="DH253" s="50">
        <f t="shared" si="348"/>
        <v>0.40243568442001865</v>
      </c>
      <c r="DI253" s="50">
        <f t="shared" si="349"/>
        <v>0.28576384451058079</v>
      </c>
      <c r="DJ253" s="50">
        <f t="shared" si="350"/>
        <v>0.31180047106940056</v>
      </c>
      <c r="DL253" s="14">
        <f t="shared" si="421"/>
        <v>19129</v>
      </c>
      <c r="DM253" s="14">
        <f t="shared" si="422"/>
        <v>24023</v>
      </c>
      <c r="DN253" s="14">
        <f t="shared" si="423"/>
        <v>29083</v>
      </c>
      <c r="DO253" s="14">
        <f t="shared" si="424"/>
        <v>43126</v>
      </c>
      <c r="DP253" s="14">
        <f t="shared" si="425"/>
        <v>54769</v>
      </c>
      <c r="DQ253" s="14">
        <f t="shared" si="426"/>
        <v>1323800</v>
      </c>
      <c r="DT253" s="14">
        <f t="shared" si="420"/>
        <v>235575</v>
      </c>
      <c r="DU253" s="50">
        <f t="shared" si="322"/>
        <v>0.15107014028056112</v>
      </c>
      <c r="DW253" s="14">
        <f t="shared" si="351"/>
        <v>1559375</v>
      </c>
      <c r="EB253" s="14">
        <v>248</v>
      </c>
      <c r="EC253" s="51">
        <f t="shared" si="352"/>
        <v>24551</v>
      </c>
      <c r="ED253" s="51">
        <f t="shared" si="353"/>
        <v>1833</v>
      </c>
      <c r="EE253" s="51">
        <f>INT(SUMPRODUCT($N253:$R253,$BF253:$BJ253)/SUM($BF253:$BJ253)/10000*$BX$7*$BZ$46/'疲劳值&amp;地图信息'!$R$10*$BY$53)</f>
        <v>443</v>
      </c>
      <c r="EF253" s="50">
        <f t="shared" si="354"/>
        <v>0.9151600998993551</v>
      </c>
      <c r="EG253" s="50">
        <f t="shared" si="355"/>
        <v>6.832668580161777E-2</v>
      </c>
      <c r="EH253" s="50">
        <f t="shared" si="356"/>
        <v>1.65132142990271E-2</v>
      </c>
      <c r="EI253" s="51">
        <f t="shared" si="357"/>
        <v>26567</v>
      </c>
      <c r="EJ253" s="51">
        <f t="shared" si="358"/>
        <v>3066</v>
      </c>
      <c r="EK253" s="14">
        <f>INT(SUMPRODUCT($U253:$Y253,$BF253:$BJ253)/SUM($BF253:$BJ253)/10000*$BX$7*$BZ$46/'疲劳值&amp;地图信息'!$R$10*$BY$54)</f>
        <v>838</v>
      </c>
      <c r="EL253" s="50">
        <f t="shared" si="359"/>
        <v>0.87187817925240396</v>
      </c>
      <c r="EM253" s="50">
        <f t="shared" si="360"/>
        <v>0.10062026188835287</v>
      </c>
      <c r="EN253" s="50">
        <f t="shared" si="361"/>
        <v>2.7501558859243214E-2</v>
      </c>
      <c r="EO253" s="51">
        <f t="shared" si="362"/>
        <v>29125</v>
      </c>
      <c r="EP253" s="51">
        <f t="shared" si="363"/>
        <v>5217</v>
      </c>
      <c r="EQ253" s="14">
        <f>INT(SUMPRODUCT($AB253:$AF253,$BF253:$BJ253)/SUM($BF253:$BJ253)/10000*$BX$7*$BZ$46/'疲劳值&amp;地图信息'!$R$10*$BY$55)</f>
        <v>1137</v>
      </c>
      <c r="ER253" s="50">
        <f t="shared" si="364"/>
        <v>0.8209081428450633</v>
      </c>
      <c r="ES253" s="50">
        <f t="shared" si="365"/>
        <v>0.14704473068575777</v>
      </c>
      <c r="ET253" s="50">
        <f t="shared" si="366"/>
        <v>3.2047126469178948E-2</v>
      </c>
      <c r="EU253" s="51">
        <f t="shared" si="367"/>
        <v>35085</v>
      </c>
      <c r="EV253" s="51">
        <f t="shared" si="368"/>
        <v>15471</v>
      </c>
      <c r="EW253" s="14">
        <f>INT(SUMPRODUCT($AI253:$AM253,$BF253:$BJ253)/SUM($BF253:$BJ253)/10000*$BX$7*$BZ$46/'疲劳值&amp;地图信息'!$R$10*$BY$56)</f>
        <v>1705</v>
      </c>
      <c r="EX253" s="50">
        <f t="shared" si="369"/>
        <v>0.6713419184477909</v>
      </c>
      <c r="EY253" s="50">
        <f t="shared" si="370"/>
        <v>0.29603337096496429</v>
      </c>
      <c r="EZ253" s="50">
        <f t="shared" si="371"/>
        <v>3.2624710587244789E-2</v>
      </c>
      <c r="FA253" s="51">
        <f t="shared" si="372"/>
        <v>36735</v>
      </c>
      <c r="FB253" s="51">
        <f t="shared" si="373"/>
        <v>26085</v>
      </c>
      <c r="FC253" s="14">
        <f>INT(SUMPRODUCT($AP253:$AT253,$BF253:$BJ253)/SUM($BF253:$BJ253)/10000*$BX$7*$BZ$46/'疲劳值&amp;地图信息'!$R$10*$BY$57)</f>
        <v>2274</v>
      </c>
      <c r="FD253" s="50">
        <f t="shared" si="374"/>
        <v>0.56433772697944506</v>
      </c>
      <c r="FE253" s="50">
        <f t="shared" si="375"/>
        <v>0.40072817771223151</v>
      </c>
      <c r="FF253" s="50">
        <f t="shared" si="376"/>
        <v>3.4934095308323344E-2</v>
      </c>
      <c r="FH253" s="14">
        <f t="shared" si="377"/>
        <v>26827</v>
      </c>
      <c r="FI253" s="14">
        <f t="shared" si="378"/>
        <v>30471</v>
      </c>
      <c r="FJ253" s="14">
        <f t="shared" si="379"/>
        <v>35479</v>
      </c>
      <c r="FK253" s="14">
        <f t="shared" si="380"/>
        <v>52261</v>
      </c>
      <c r="FL253" s="14">
        <f t="shared" si="381"/>
        <v>65094</v>
      </c>
      <c r="FM253" s="14">
        <f t="shared" si="382"/>
        <v>3156678</v>
      </c>
      <c r="FP253" s="14">
        <f t="shared" si="383"/>
        <v>334150</v>
      </c>
      <c r="FQ253" s="50">
        <f t="shared" si="323"/>
        <v>9.5722275632027704E-2</v>
      </c>
      <c r="FS253" s="14">
        <f t="shared" si="384"/>
        <v>3490828</v>
      </c>
      <c r="FX253" s="14">
        <v>248</v>
      </c>
      <c r="FY253" s="51">
        <f t="shared" si="385"/>
        <v>34371</v>
      </c>
      <c r="FZ253" s="51">
        <f t="shared" si="386"/>
        <v>1833</v>
      </c>
      <c r="GA253" s="51">
        <f>INT(SUMPRODUCT($N253:$R253,$BF253:$BJ253)/SUM($BF253:$BJ253)/10000*$BX$7*$BZ$46/'疲劳值&amp;地图信息'!$R$10*$BY$53)</f>
        <v>443</v>
      </c>
      <c r="GB253" s="50">
        <f t="shared" si="387"/>
        <v>0.93789396130651892</v>
      </c>
      <c r="GC253" s="50">
        <f t="shared" si="388"/>
        <v>5.0017736786094356E-2</v>
      </c>
      <c r="GD253" s="50">
        <f t="shared" si="389"/>
        <v>1.2088301907386689E-2</v>
      </c>
      <c r="GE253" s="51">
        <f t="shared" si="390"/>
        <v>37194</v>
      </c>
      <c r="GF253" s="51">
        <f t="shared" si="391"/>
        <v>3066</v>
      </c>
      <c r="GG253" s="14">
        <f>INT(SUMPRODUCT($U253:$Y253,$BF253:$BJ253)/SUM($BF253:$BJ253)/10000*$BX$7*$BZ$46/'疲劳值&amp;地图信息'!$R$10*$BY$54)</f>
        <v>838</v>
      </c>
      <c r="GH253" s="50">
        <f t="shared" si="392"/>
        <v>0.90500754294612873</v>
      </c>
      <c r="GI253" s="50">
        <f t="shared" si="393"/>
        <v>7.4602170421918343E-2</v>
      </c>
      <c r="GJ253" s="50">
        <f t="shared" si="394"/>
        <v>2.0390286631952893E-2</v>
      </c>
      <c r="GK253" s="51">
        <f t="shared" si="395"/>
        <v>40775</v>
      </c>
      <c r="GL253" s="51">
        <f t="shared" si="396"/>
        <v>5217</v>
      </c>
      <c r="GM253" s="14">
        <f>INT(SUMPRODUCT($AB253:$AF253,$BF253:$BJ253)/SUM($BF253:$BJ253)/10000*$BX$7*$BZ$46/'疲劳值&amp;地图信息'!$R$10*$BY$55)</f>
        <v>1137</v>
      </c>
      <c r="GN253" s="50">
        <f t="shared" si="397"/>
        <v>0.86517855248360886</v>
      </c>
      <c r="GO253" s="50">
        <f t="shared" si="398"/>
        <v>0.11069617433003034</v>
      </c>
      <c r="GP253" s="50">
        <f t="shared" si="399"/>
        <v>2.4125273186360839E-2</v>
      </c>
      <c r="GQ253" s="51">
        <f t="shared" si="400"/>
        <v>49119</v>
      </c>
      <c r="GR253" s="51">
        <f t="shared" si="401"/>
        <v>15471</v>
      </c>
      <c r="GS253" s="14">
        <f>INT(SUMPRODUCT($AI253:$AM253,$BF253:$BJ253)/SUM($BF253:$BJ253)/10000*$BX$7*$BZ$46/'疲劳值&amp;地图信息'!$R$10*$BY$56)</f>
        <v>1705</v>
      </c>
      <c r="GT253" s="50">
        <f t="shared" si="402"/>
        <v>0.74091560449506</v>
      </c>
      <c r="GU253" s="50">
        <f t="shared" si="403"/>
        <v>0.23336601553661665</v>
      </c>
      <c r="GV253" s="50">
        <f t="shared" si="404"/>
        <v>2.5718379968323404E-2</v>
      </c>
      <c r="GW253" s="51">
        <f t="shared" si="405"/>
        <v>51430</v>
      </c>
      <c r="GX253" s="51">
        <f t="shared" si="406"/>
        <v>26085</v>
      </c>
      <c r="GY253" s="14">
        <f>INT(SUMPRODUCT($AP253:$AT253,$BF253:$BJ253)/SUM($BF253:$BJ253)/10000*$BX$7*$BZ$46/'疲劳值&amp;地图信息'!$R$10*$BY$57)</f>
        <v>2274</v>
      </c>
      <c r="GZ253" s="50">
        <f t="shared" si="407"/>
        <v>0.64457506673852283</v>
      </c>
      <c r="HA253" s="50">
        <f t="shared" si="408"/>
        <v>0.32692476406522203</v>
      </c>
      <c r="HB253" s="50">
        <f t="shared" si="409"/>
        <v>2.8500169196255122E-2</v>
      </c>
      <c r="HD253" s="14">
        <f t="shared" si="410"/>
        <v>36647</v>
      </c>
      <c r="HE253" s="14">
        <f t="shared" si="411"/>
        <v>41098</v>
      </c>
      <c r="HF253" s="14">
        <f t="shared" si="412"/>
        <v>47129</v>
      </c>
      <c r="HG253" s="14">
        <f t="shared" si="413"/>
        <v>66295</v>
      </c>
      <c r="HH253" s="14">
        <f t="shared" si="414"/>
        <v>79789</v>
      </c>
      <c r="HI253" s="14">
        <f t="shared" si="415"/>
        <v>4253040</v>
      </c>
      <c r="HL253" s="14">
        <f t="shared" si="416"/>
        <v>430050</v>
      </c>
      <c r="HM253" s="50">
        <f t="shared" si="324"/>
        <v>9.1830394034707857E-2</v>
      </c>
      <c r="HO253" s="14">
        <f t="shared" si="417"/>
        <v>4683090</v>
      </c>
    </row>
    <row r="254" spans="11:223" x14ac:dyDescent="0.2">
      <c r="K254" s="14">
        <v>249</v>
      </c>
      <c r="L254" s="12">
        <f>求节点(节奏总纲!D$4:D$163,标准城池设计!AB$4:AB$163,$K254)*求节点(节奏总纲!D$4:D$163,攻城基础信息!$AC$5:$AC$164,$K254)</f>
        <v>724126.63206834556</v>
      </c>
      <c r="M254" s="12">
        <f>INDEX(其他调用!$AA$5:$AA$404,MATCH(K254,其他调用!$X$5:$X$404,0))*MIN(INDEX(其他调用!$AH$5:$AH$364,MATCH('征服点（新）'!K254,其他调用!$AG$5:$AG$364,0),1)/INDEX(其他调用!$AJ$5:$AJ$364,MATCH(K254,其他调用!$AG$5:$AG$364,0),0),5)*求节点(节奏总纲!D$4:D$163,攻城基础信息!$AC$5:$AC$164,$K254)</f>
        <v>54003.721430796963</v>
      </c>
      <c r="N254" s="12">
        <f>MIN(INDEX(其他调用!$AH$5:$AH$364,MATCH($K254,其他调用!$AG$5:$AG$364,0),1)/INDEX(其他调用!AH$5:AH$364,MATCH($K254,其他调用!$AG$5:$AG$364,0),0),1)*INDEX(其他调用!Y$5:Y$404,MATCH($K254,其他调用!$X$5:$X$404,0),0)</f>
        <v>41396.910689080963</v>
      </c>
      <c r="O254" s="12">
        <f>MIN(INDEX(其他调用!$AH$5:$AH$364,MATCH($K254,其他调用!$AG$5:$AG$364,0),1)/INDEX(其他调用!AI$5:AI$364,MATCH($K254,其他调用!$AG$5:$AG$364,0),0),1)*INDEX(其他调用!Z$5:Z$404,MATCH($K254,其他调用!$X$5:$X$404,0),0)</f>
        <v>25428.620127681828</v>
      </c>
      <c r="P254" s="12">
        <f>MIN(INDEX(其他调用!$AH$5:$AH$364,MATCH($K254,其他调用!$AG$5:$AG$364,0),1)/INDEX(其他调用!AJ$5:AJ$364,MATCH($K254,其他调用!$AG$5:$AG$364,0),0),1)*INDEX(其他调用!AA$5:AA$404,MATCH($K254,其他调用!$X$5:$X$404,0),0)</f>
        <v>15481.236718785674</v>
      </c>
      <c r="Q254" s="12">
        <f>MIN(INDEX(其他调用!$AH$5:$AH$364,MATCH($K254,其他调用!$AG$5:$AG$364,0),1)/INDEX(其他调用!AK$5:AK$364,MATCH($K254,其他调用!$AG$5:$AG$364,0),0),1)*INDEX(其他调用!AB$5:AB$404,MATCH($K254,其他调用!$X$5:$X$404,0),0)</f>
        <v>5483.3855693596643</v>
      </c>
      <c r="R254" s="12">
        <f>MIN(INDEX(其他调用!$AH$5:$AH$364,MATCH($K254,其他调用!$AG$5:$AG$364,0),1)/INDEX(其他调用!AL$5:AL$364,MATCH($K254,其他调用!$AG$5:$AG$364,0),0),1)*INDEX(其他调用!AC$5:AC$404,MATCH($K254,其他调用!$X$5:$X$404,0),0)</f>
        <v>2968.0952177723761</v>
      </c>
      <c r="S254" s="12">
        <f>求节点(节奏总纲!D$4:D$163,标准城池设计!AC$4:AC$163,$K254)*求节点(节奏总纲!D$4:D$163,攻城基础信息!$AD$5:$AD$164,$K254)</f>
        <v>783956.0635384937</v>
      </c>
      <c r="T254" s="12">
        <f>INDEX(其他调用!$AA$5:$AA$404,MATCH($K254,其他调用!$X$5:$X$404,0))*MIN(INDEX(其他调用!AI$5:AI$364,MATCH($K254,其他调用!$AG$5:$AG$364,0),1)/INDEX(其他调用!$AJ$5:$AJ$364,MATCH($K254,其他调用!$AG$5:$AG$364,0),0),5)*求节点(节奏总纲!D$4:D$163,攻城基础信息!$AD$5:$AD$164,$K254)</f>
        <v>90375.060616097791</v>
      </c>
      <c r="U254" s="12">
        <f>MIN(INDEX(其他调用!$AI$5:$AI$364,MATCH($K254,其他调用!$AG$5:$AG$364,0),1)/INDEX(其他调用!AH$5:AH$364,MATCH($K254,其他调用!$AG$5:$AG$364,0),0),1)*INDEX(其他调用!Y$5:Y$404,MATCH($K254,其他调用!$X$5:$X$404,0),0)</f>
        <v>41396.910689080963</v>
      </c>
      <c r="V254" s="12">
        <f>MIN(INDEX(其他调用!$AI$5:$AI$364,MATCH($K254,其他调用!$AG$5:$AG$364,0),1)/INDEX(其他调用!AI$5:AI$364,MATCH($K254,其他调用!$AG$5:$AG$364,0),0),1)*INDEX(其他调用!Z$5:Z$404,MATCH($K254,其他调用!$X$5:$X$404,0),0)</f>
        <v>42554.717055340072</v>
      </c>
      <c r="W254" s="12">
        <f>MIN(INDEX(其他调用!$AI$5:$AI$364,MATCH($K254,其他调用!$AG$5:$AG$364,0),1)/INDEX(其他调用!AJ$5:AJ$364,MATCH($K254,其他调用!$AG$5:$AG$364,0),0),1)*INDEX(其他调用!AA$5:AA$404,MATCH($K254,其他调用!$X$5:$X$404,0),0)</f>
        <v>25907.801718170715</v>
      </c>
      <c r="X254" s="12">
        <f>MIN(INDEX(其他调用!$AI$5:$AI$364,MATCH($K254,其他调用!$AG$5:$AG$364,0),1)/INDEX(其他调用!AK$5:AK$364,MATCH($K254,其他调用!$AG$5:$AG$364,0),0),1)*INDEX(其他调用!AB$5:AB$404,MATCH($K254,其他调用!$X$5:$X$404,0),0)</f>
        <v>9176.4287734754034</v>
      </c>
      <c r="Y254" s="12">
        <f>MIN(INDEX(其他调用!$AI$5:$AI$364,MATCH($K254,其他调用!$AG$5:$AG$364,0),1)/INDEX(其他调用!AL$5:AL$364,MATCH($K254,其他调用!$AG$5:$AG$364,0),0),1)*INDEX(其他调用!AC$5:AC$404,MATCH($K254,其他调用!$X$5:$X$404,0),0)</f>
        <v>4967.0981575643218</v>
      </c>
      <c r="Z254" s="12">
        <f>求节点(节奏总纲!D$4:D$163,标准城池设计!AD$4:AD$163,$K254)*求节点(节奏总纲!D$4:D$163,攻城基础信息!$AE$5:$AE$164,$K254)</f>
        <v>859574.17482937989</v>
      </c>
      <c r="AA254" s="12">
        <f>INDEX(其他调用!$AA$5:$AA$404,MATCH($K254,其他调用!$X$5:$X$404,0))*MIN(INDEX(其他调用!AJ$5:AJ$364,MATCH($K254,其他调用!$AG$5:$AG$364,0),1)/INDEX(其他调用!$AJ$5:$AJ$364,MATCH($K254,其他调用!$AG$5:$AG$364,0),0),5)*求节点(节奏总纲!D$4:D$163,攻城基础信息!$AE$5:$AE$164,$K254)</f>
        <v>153751.91858210921</v>
      </c>
      <c r="AB254" s="12">
        <f>MIN(INDEX(其他调用!$AJ$5:$AJ$364,MATCH($K254,其他调用!$AG$5:$AG$364,0),1)/INDEX(其他调用!AH$5:AH$364,MATCH($K254,其他调用!$AG$5:$AG$364,0),0),1)*INDEX(其他调用!Y$5:Y$404,MATCH($K254,其他调用!$X$5:$X$404,0),0)</f>
        <v>41396.910689080963</v>
      </c>
      <c r="AC254" s="12">
        <f>MIN(INDEX(其他调用!$AJ$5:$AJ$364,MATCH($K254,其他调用!$AG$5:$AG$364,0),1)/INDEX(其他调用!AI$5:AI$364,MATCH($K254,其他调用!$AG$5:$AG$364,0),0),1)*INDEX(其他调用!Z$5:Z$404,MATCH($K254,其他调用!$X$5:$X$404,0),0)</f>
        <v>42554.717055340072</v>
      </c>
      <c r="AD254" s="12">
        <f>MIN(INDEX(其他调用!$AJ$5:$AJ$364,MATCH($K254,其他调用!$AG$5:$AG$364,0),1)/INDEX(其他调用!AJ$5:AJ$364,MATCH($K254,其他调用!$AG$5:$AG$364,0),0),1)*INDEX(其他调用!AA$5:AA$404,MATCH($K254,其他调用!$X$5:$X$404,0),0)</f>
        <v>44076.033733847216</v>
      </c>
      <c r="AE254" s="12">
        <f>MIN(INDEX(其他调用!$AJ$5:$AJ$364,MATCH($K254,其他调用!$AG$5:$AG$364,0),1)/INDEX(其他调用!AK$5:AK$364,MATCH($K254,其他调用!$AG$5:$AG$364,0),0),1)*INDEX(其他调用!AB$5:AB$404,MATCH($K254,其他调用!$X$5:$X$404,0),0)</f>
        <v>15611.536191906062</v>
      </c>
      <c r="AF254" s="12">
        <f>MIN(INDEX(其他调用!$AJ$5:$AJ$364,MATCH($K254,其他调用!$AG$5:$AG$364,0),1)/INDEX(其他调用!AL$5:AL$364,MATCH($K254,其他调用!$AG$5:$AG$364,0),0),1)*INDEX(其他调用!AC$5:AC$404,MATCH($K254,其他调用!$X$5:$X$404,0),0)</f>
        <v>8450.3497569454739</v>
      </c>
      <c r="AG254" s="12">
        <f>求节点(节奏总纲!D$4:D$163,标准城池设计!AE$4:AE$163,$K254)*求节点(节奏总纲!D$4:D$163,攻城基础信息!$AF$5:$AF$164,$K254)</f>
        <v>1035552.1190457045</v>
      </c>
      <c r="AH254" s="12">
        <f>INDEX(其他调用!$AA$5:$AA$404,MATCH($K254,其他调用!$X$5:$X$404,0))*MIN(INDEX(其他调用!AK$5:AK$364,MATCH($K254,其他调用!$AG$5:$AG$364,0),1)/INDEX(其他调用!$AJ$5:$AJ$364,MATCH($K254,其他调用!$AG$5:$AG$364,0),0),5)*求节点(节奏总纲!D$4:D$163,攻城基础信息!$AF$5:$AF$164,$K254)</f>
        <v>456105.3076285299</v>
      </c>
      <c r="AI254" s="12">
        <f>MIN(INDEX(其他调用!$AK$5:$AK$364,MATCH($K254,其他调用!$AG$5:$AG$364,0),1)/INDEX(其他调用!AH$5:AH$364,MATCH($K254,其他调用!$AG$5:$AG$364,0),0),1)*INDEX(其他调用!Y$5:Y$404,MATCH($K254,其他调用!$X$5:$X$404,0),0)</f>
        <v>41396.910689080963</v>
      </c>
      <c r="AJ254" s="12">
        <f>MIN(INDEX(其他调用!$AK$5:$AK$364,MATCH($K254,其他调用!$AG$5:$AG$364,0),1)/INDEX(其他调用!AI$5:AI$364,MATCH($K254,其他调用!$AG$5:$AG$364,0),0),1)*INDEX(其他调用!Z$5:Z$404,MATCH($K254,其他调用!$X$5:$X$404,0),0)</f>
        <v>42554.717055340072</v>
      </c>
      <c r="AK254" s="12">
        <f>MIN(INDEX(其他调用!$AK$5:$AK$364,MATCH($K254,其他调用!$AG$5:$AG$364,0),1)/INDEX(其他调用!AJ$5:AJ$364,MATCH($K254,其他调用!$AG$5:$AG$364,0),0),1)*INDEX(其他调用!AA$5:AA$404,MATCH($K254,其他调用!$X$5:$X$404,0),0)</f>
        <v>44076.033733847216</v>
      </c>
      <c r="AL254" s="12">
        <f>MIN(INDEX(其他调用!$AK$5:$AK$364,MATCH($K254,其他调用!$AG$5:$AG$364,0),1)/INDEX(其他调用!AK$5:AK$364,MATCH($K254,其他调用!$AG$5:$AG$364,0),0),1)*INDEX(其他调用!AB$5:AB$404,MATCH($K254,其他调用!$X$5:$X$404,0),0)</f>
        <v>46311.646599457745</v>
      </c>
      <c r="AM254" s="12">
        <f>MIN(INDEX(其他调用!$AK$5:$AK$364,MATCH($K254,其他调用!$AG$5:$AG$364,0),1)/INDEX(其他调用!AL$5:AL$364,MATCH($K254,其他调用!$AG$5:$AG$364,0),0),1)*INDEX(其他调用!AC$5:AC$404,MATCH($K254,其他调用!$X$5:$X$404,0),0)</f>
        <v>25067.975808067567</v>
      </c>
      <c r="AN254" s="12">
        <f>求节点(节奏总纲!D$4:D$163,标准城池设计!AF$4:AF$163,$K254)*求节点(节奏总纲!D$4:D$163,攻城基础信息!$AG$5:$AG$164,$K254)</f>
        <v>1084262.3152381878</v>
      </c>
      <c r="AO254" s="12">
        <f>INDEX(其他调用!$AA$5:$AA$404,MATCH($K254,其他调用!$X$5:$X$404,0))*MIN(INDEX(其他调用!AL$5:AL$364,MATCH($K254,其他调用!$AG$5:$AG$364,0),1)/INDEX(其他调用!$AJ$5:$AJ$364,MATCH($K254,其他调用!$AG$5:$AG$364,0),0),5)*求节点(节奏总纲!D$4:D$163,攻城基础信息!$AG$5:$AG$164,$K254)</f>
        <v>768759.59291054599</v>
      </c>
      <c r="AP254" s="12">
        <f>MIN(INDEX(其他调用!$AL$5:$AL$364,MATCH($K254,其他调用!$AG$5:$AG$364,0),1)/INDEX(其他调用!AH$5:AH$364,MATCH($K254,其他调用!$AG$5:$AG$364,0),0),1)*INDEX(其他调用!Y$5:Y$404,MATCH($K254,其他调用!$X$5:$X$404,0),0)</f>
        <v>41396.910689080963</v>
      </c>
      <c r="AQ254" s="12">
        <f>MIN(INDEX(其他调用!$AL$5:$AL$364,MATCH($K254,其他调用!$AG$5:$AG$364,0),1)/INDEX(其他调用!AI$5:AI$364,MATCH($K254,其他调用!$AG$5:$AG$364,0),0),1)*INDEX(其他调用!Z$5:Z$404,MATCH($K254,其他调用!$X$5:$X$404,0),0)</f>
        <v>42554.717055340072</v>
      </c>
      <c r="AR254" s="12">
        <f>MIN(INDEX(其他调用!$AL$5:$AL$364,MATCH($K254,其他调用!$AG$5:$AG$364,0),1)/INDEX(其他调用!AJ$5:AJ$364,MATCH($K254,其他调用!$AG$5:$AG$364,0),0),1)*INDEX(其他调用!AA$5:AA$404,MATCH($K254,其他调用!$X$5:$X$404,0),0)</f>
        <v>44076.033733847216</v>
      </c>
      <c r="AS254" s="12">
        <f>MIN(INDEX(其他调用!$AL$5:$AL$364,MATCH($K254,其他调用!$AG$5:$AG$364,0),1)/INDEX(其他调用!AK$5:AK$364,MATCH($K254,其他调用!$AG$5:$AG$364,0),0),1)*INDEX(其他调用!AB$5:AB$404,MATCH($K254,其他调用!$X$5:$X$404,0),0)</f>
        <v>46311.646599457745</v>
      </c>
      <c r="AT254" s="12">
        <f>MIN(INDEX(其他调用!$AL$5:$AL$364,MATCH($K254,其他调用!$AG$5:$AG$364,0),1)/INDEX(其他调用!AL$5:AL$364,MATCH($K254,其他调用!$AG$5:$AG$364,0),0),1)*INDEX(其他调用!AC$5:AC$404,MATCH($K254,其他调用!$X$5:$X$404,0),0)</f>
        <v>50204.440858562666</v>
      </c>
      <c r="AV254" s="14">
        <f>IF(OR(AV$5="大R",AV$5="超R"),MAX(INDEX(其他调用!$H$5:$L$404,MATCH($K254,其他调用!$B$5:$B$404,0),MATCH(AV$5,其他调用!$H$4:$L$4,0))*120*0.85,2),INDEX(其他调用!$H$5:$L$404,MATCH($K254,其他调用!$B$5:$B$404,0),MATCH(AV$5,其他调用!$H$4:$L$4,0))*120*0.85)</f>
        <v>48.921801254999991</v>
      </c>
      <c r="AW254" s="14">
        <f>IF(OR(AW$5="大R",AW$5="超R"),MAX(INDEX(其他调用!$H$5:$L$404,MATCH($K254,其他调用!$B$5:$B$404,0),MATCH(AW$5,其他调用!$H$4:$L$4,0))*120*0.85,2),INDEX(其他调用!$H$5:$L$404,MATCH($K254,其他调用!$B$5:$B$404,0),MATCH(AW$5,其他调用!$H$4:$L$4,0))*120*0.85)</f>
        <v>48.237344010638395</v>
      </c>
      <c r="AX254" s="14">
        <f>IF(OR(AX$5="大R",AX$5="超R"),MAX(INDEX(其他调用!$H$5:$L$404,MATCH($K254,其他调用!$B$5:$B$404,0),MATCH(AX$5,其他调用!$H$4:$L$4,0))*120*0.85,2),INDEX(其他调用!$H$5:$L$404,MATCH($K254,其他调用!$B$5:$B$404,0),MATCH(AX$5,其他调用!$H$4:$L$4,0))*120*0.85)</f>
        <v>3.9376284143615998</v>
      </c>
      <c r="AY254" s="14">
        <f>IF(OR(AY$5="大R",AY$5="超R"),MAX(INDEX(其他调用!$H$5:$L$404,MATCH($K254,其他调用!$B$5:$B$404,0),MATCH(AY$5,其他调用!$H$4:$L$4,0))*120*0.85,2),INDEX(其他调用!$H$5:$L$404,MATCH($K254,其他调用!$B$5:$B$404,0),MATCH(AY$5,其他调用!$H$4:$L$4,0))*120*0.85)</f>
        <v>2</v>
      </c>
      <c r="AZ254" s="14">
        <f>IF(OR(AZ$5="大R",AZ$5="超R"),MAX(INDEX(其他调用!$H$5:$L$404,MATCH($K254,其他调用!$B$5:$B$404,0),MATCH(AZ$5,其他调用!$H$4:$L$4,0))*120*0.85,2),INDEX(其他调用!$H$5:$L$404,MATCH($K254,其他调用!$B$5:$B$404,0),MATCH(AZ$5,其他调用!$H$4:$L$4,0))*120*0.85)</f>
        <v>2</v>
      </c>
      <c r="BA254" s="14">
        <f>INDEX(其他调用!$H$5:$L$404,MATCH($K254,其他调用!$B$5:$B$404,0),MATCH(BA$5,其他调用!$H$4:$L$4,0))*INDEX(其他调用!$M$5:$M$404,MATCH($K254,其他调用!$B$5:$B$404,0))*0.6</f>
        <v>28.777530149999997</v>
      </c>
      <c r="BB254" s="14">
        <f>INDEX(其他调用!$H$5:$L$404,MATCH($K254,其他调用!$B$5:$B$404,0),MATCH(BB$5,其他调用!$H$4:$L$4,0))*INDEX(其他调用!$M$5:$M$404,MATCH($K254,其他调用!$B$5:$B$404,0))*0.6</f>
        <v>28.374908241551999</v>
      </c>
      <c r="BC254" s="14">
        <f>INDEX(其他调用!$H$5:$L$404,MATCH($K254,其他调用!$B$5:$B$404,0),MATCH(BC$5,其他调用!$H$4:$L$4,0))*INDEX(其他调用!$M$5:$M$404,MATCH($K254,其他调用!$B$5:$B$404,0))*0.6</f>
        <v>2.3162520084480001</v>
      </c>
      <c r="BD254" s="14">
        <f>INDEX(其他调用!$H$5:$L$404,MATCH($K254,其他调用!$B$5:$B$404,0),MATCH(BD$5,其他调用!$H$4:$L$4,0))*INDEX(其他调用!$M$5:$M$404,MATCH($K254,其他调用!$B$5:$B$404,0))*0.6</f>
        <v>0.4120776000000001</v>
      </c>
      <c r="BE254" s="14">
        <f>INDEX(其他调用!$H$5:$L$404,MATCH($K254,其他调用!$B$5:$B$404,0),MATCH(BE$5,其他调用!$H$4:$L$4,0))*INDEX(其他调用!$M$5:$M$404,MATCH($K254,其他调用!$B$5:$B$404,0))*0.6</f>
        <v>0.11923199999999998</v>
      </c>
      <c r="BF254" s="14">
        <f>IF(OR(BF$5="大R",BF$5="超R"),0,INDEX(其他调用!$H$5:$L$404,MATCH($K254,其他调用!$B$5:$B$404,0),MATCH(BF$5,其他调用!$H$4:$L$4,0))*50*0.4)</f>
        <v>9.5925100500000013</v>
      </c>
      <c r="BG254" s="14">
        <f>IF(OR(BG$5="大R",BG$5="超R"),0,INDEX(其他调用!$H$5:$L$404,MATCH($K254,其他调用!$B$5:$B$404,0),MATCH(BG$5,其他调用!$H$4:$L$4,0))*50*0.4)</f>
        <v>9.4583027471839998</v>
      </c>
      <c r="BH254" s="14">
        <f>IF(OR(BH$5="大R",BH$5="超R"),0,INDEX(其他调用!$H$5:$L$404,MATCH($K254,其他调用!$B$5:$B$404,0),MATCH(BH$5,其他调用!$H$4:$L$4,0))*50*0.4)</f>
        <v>0.77208400281600009</v>
      </c>
      <c r="BI254" s="14">
        <f>IF(OR(BI$5="大R",BI$5="超R"),0,INDEX(其他调用!$H$5:$L$404,MATCH($K254,其他调用!$B$5:$B$404,0),MATCH(BI$5,其他调用!$H$4:$L$4,0))*50*0.4)</f>
        <v>0</v>
      </c>
      <c r="BJ254" s="14">
        <f>IF(OR(BJ$5="大R",BJ$5="超R"),0,INDEX(其他调用!$H$5:$L$404,MATCH($K254,其他调用!$B$5:$B$404,0),MATCH(BJ$5,其他调用!$H$4:$L$4,0))*50*0.4)</f>
        <v>0</v>
      </c>
      <c r="BL254" s="14">
        <f t="shared" si="418"/>
        <v>249</v>
      </c>
      <c r="BM254" s="14">
        <f t="shared" si="325"/>
        <v>96</v>
      </c>
      <c r="BN254" s="14">
        <f>('疲劳值&amp;地图信息'!$S$10*'疲劳值&amp;地图信息'!$R$10+'疲劳值&amp;地图信息'!$S$11*'疲劳值&amp;地图信息'!$R$11+'疲劳值&amp;地图信息'!$S$12*'疲劳值&amp;地图信息'!$R$12+(BM254-'疲劳值&amp;地图信息'!$S$12-'疲劳值&amp;地图信息'!$S$11-'疲劳值&amp;地图信息'!$S$10)*'疲劳值&amp;地图信息'!$R$13)/BM254</f>
        <v>51.371477246638619</v>
      </c>
      <c r="BO254" s="14">
        <f>INDEX(其他调用!$M$5:$M$404,MATCH(BL254,其他调用!$B$5:$B$404,0))*0.6</f>
        <v>60</v>
      </c>
      <c r="BP254" s="14">
        <f>IF(BO254&gt;SUM('疲劳值&amp;地图信息'!$S$10:$S$12),('疲劳值&amp;地图信息'!$S$10*'疲劳值&amp;地图信息'!$R$10+'疲劳值&amp;地图信息'!$S$11*'疲劳值&amp;地图信息'!$R$11+'疲劳值&amp;地图信息'!$S$12*'疲劳值&amp;地图信息'!$R$12+(BO254-'疲劳值&amp;地图信息'!$S$12-'疲劳值&amp;地图信息'!$S$11-'疲劳值&amp;地图信息'!$S$10)*'疲劳值&amp;地图信息'!$R$13)/BO254,('疲劳值&amp;地图信息'!$S$10*'疲劳值&amp;地图信息'!$R$10+'疲劳值&amp;地图信息'!$S$11*'疲劳值&amp;地图信息'!$R$11+'疲劳值&amp;地图信息'!$S$12*'疲劳值&amp;地图信息'!$R$12+(BO254-'疲劳值&amp;地图信息'!$S$12-'疲劳值&amp;地图信息'!$S$11-'疲劳值&amp;地图信息'!$S$10)*'疲劳值&amp;地图信息'!$R$13)/BO254)</f>
        <v>44.158136341605953</v>
      </c>
      <c r="BQ254" s="14">
        <f t="shared" si="419"/>
        <v>20</v>
      </c>
      <c r="BR254" s="14">
        <f>('疲劳值&amp;地图信息'!$S$10*'疲劳值&amp;地图信息'!$R$10+($BQ254-'疲劳值&amp;地图信息'!$S$10)*'疲劳值&amp;地图信息'!$R$11)/$BQ254</f>
        <v>32.067203015074995</v>
      </c>
      <c r="CF254" s="14">
        <v>249</v>
      </c>
      <c r="CG254" s="51">
        <f t="shared" si="326"/>
        <v>14758</v>
      </c>
      <c r="CH254" s="51">
        <f t="shared" si="327"/>
        <v>1100</v>
      </c>
      <c r="CI254" s="51">
        <f>INT(SUMPRODUCT($N254:$R254,$BA254:$BE254)/SUM($BA254:$BE254)/10000*$BX$7*$BZ$34/'疲劳值&amp;地图信息'!$R$10*$BY$53)</f>
        <v>3299</v>
      </c>
      <c r="CJ254" s="50">
        <f t="shared" si="328"/>
        <v>0.77037114370726101</v>
      </c>
      <c r="CK254" s="50">
        <f t="shared" si="329"/>
        <v>5.7420264133215014E-2</v>
      </c>
      <c r="CL254" s="50">
        <f t="shared" si="330"/>
        <v>0.17220859215952394</v>
      </c>
      <c r="CM254" s="14">
        <f t="shared" si="331"/>
        <v>15978</v>
      </c>
      <c r="CN254" s="14">
        <f t="shared" si="332"/>
        <v>1841</v>
      </c>
      <c r="CO254" s="14">
        <f>INT(SUMPRODUCT($U254:$Y254,$BA254:$BE254)/SUM($BA254:$BE254)/10000*$BX$7*$BZ$34/'疲劳值&amp;地图信息'!$R$10*$BY$54)</f>
        <v>6248</v>
      </c>
      <c r="CP254" s="50">
        <f t="shared" si="333"/>
        <v>0.66389662193044419</v>
      </c>
      <c r="CQ254" s="50">
        <f t="shared" si="334"/>
        <v>7.6494785390784067E-2</v>
      </c>
      <c r="CR254" s="50">
        <f t="shared" si="335"/>
        <v>0.25960859267877179</v>
      </c>
      <c r="CS254" s="14">
        <f t="shared" si="336"/>
        <v>17519</v>
      </c>
      <c r="CT254" s="14">
        <f t="shared" si="337"/>
        <v>3133</v>
      </c>
      <c r="CU254" s="14">
        <f>INT(SUMPRODUCT($AB254:$AF254,$BA254:$BE254)/SUM($BA254:$BE254)/10000*$BX$7*$BZ$34/'疲劳值&amp;地图信息'!$R$10*$BY$55)</f>
        <v>8483</v>
      </c>
      <c r="CV254" s="50">
        <f t="shared" si="338"/>
        <v>0.60130427321091473</v>
      </c>
      <c r="CW254" s="50">
        <f t="shared" si="339"/>
        <v>0.10753389394199417</v>
      </c>
      <c r="CX254" s="50">
        <f t="shared" si="340"/>
        <v>0.29116183284709113</v>
      </c>
      <c r="CY254" s="14">
        <f t="shared" si="341"/>
        <v>21105</v>
      </c>
      <c r="CZ254" s="14">
        <f t="shared" si="342"/>
        <v>9296</v>
      </c>
      <c r="DA254" s="14">
        <f>INT(SUMPRODUCT($AI254:$AM254,$BA254:$BE254)/SUM($BA254:$BE254)/10000*$BX$7*$BZ$34/'疲劳值&amp;地图信息'!$R$10*$BY$56)</f>
        <v>12799</v>
      </c>
      <c r="DB254" s="50">
        <f t="shared" si="343"/>
        <v>0.48854166666666665</v>
      </c>
      <c r="DC254" s="50">
        <f t="shared" si="344"/>
        <v>0.21518518518518517</v>
      </c>
      <c r="DD254" s="50">
        <f t="shared" si="345"/>
        <v>0.29627314814814815</v>
      </c>
      <c r="DE254" s="14">
        <f t="shared" si="346"/>
        <v>22098</v>
      </c>
      <c r="DF254" s="14">
        <f t="shared" si="347"/>
        <v>15668</v>
      </c>
      <c r="DG254" s="14">
        <f>INT(SUMPRODUCT($AP254:$AT254,$BA254:$BE254)/SUM($BA254:$BE254)/10000*$BX$7*$BZ$34/'疲劳值&amp;地图信息'!$R$10*$BY$57)</f>
        <v>17086</v>
      </c>
      <c r="DH254" s="50">
        <f t="shared" si="348"/>
        <v>0.40286589367753228</v>
      </c>
      <c r="DI254" s="50">
        <f t="shared" si="349"/>
        <v>0.28564136221104064</v>
      </c>
      <c r="DJ254" s="50">
        <f t="shared" si="350"/>
        <v>0.31149274411142713</v>
      </c>
      <c r="DL254" s="14">
        <f t="shared" si="421"/>
        <v>19157</v>
      </c>
      <c r="DM254" s="14">
        <f t="shared" si="422"/>
        <v>24067</v>
      </c>
      <c r="DN254" s="14">
        <f t="shared" si="423"/>
        <v>29135</v>
      </c>
      <c r="DO254" s="14">
        <f t="shared" si="424"/>
        <v>43200</v>
      </c>
      <c r="DP254" s="14">
        <f t="shared" si="425"/>
        <v>54852</v>
      </c>
      <c r="DQ254" s="14">
        <f t="shared" si="426"/>
        <v>1326015</v>
      </c>
      <c r="DT254" s="14">
        <f t="shared" si="420"/>
        <v>235575</v>
      </c>
      <c r="DU254" s="50">
        <f t="shared" si="322"/>
        <v>0.15085585845196242</v>
      </c>
      <c r="DW254" s="14">
        <f t="shared" si="351"/>
        <v>1561590</v>
      </c>
      <c r="EB254" s="14">
        <v>249</v>
      </c>
      <c r="EC254" s="51">
        <f t="shared" si="352"/>
        <v>24597</v>
      </c>
      <c r="ED254" s="51">
        <f t="shared" si="353"/>
        <v>1834</v>
      </c>
      <c r="EE254" s="51">
        <f>INT(SUMPRODUCT($N254:$R254,$BF254:$BJ254)/SUM($BF254:$BJ254)/10000*$BX$7*$BZ$46/'疲劳值&amp;地图信息'!$R$10*$BY$53)</f>
        <v>443</v>
      </c>
      <c r="EF254" s="50">
        <f t="shared" si="354"/>
        <v>0.91527126590756869</v>
      </c>
      <c r="EG254" s="50">
        <f t="shared" si="355"/>
        <v>6.8244399791620156E-2</v>
      </c>
      <c r="EH254" s="50">
        <f t="shared" si="356"/>
        <v>1.6484334300811192E-2</v>
      </c>
      <c r="EI254" s="51">
        <f t="shared" si="357"/>
        <v>26630</v>
      </c>
      <c r="EJ254" s="51">
        <f t="shared" si="358"/>
        <v>3069</v>
      </c>
      <c r="EK254" s="14">
        <f>INT(SUMPRODUCT($U254:$Y254,$BF254:$BJ254)/SUM($BF254:$BJ254)/10000*$BX$7*$BZ$46/'疲劳值&amp;地图信息'!$R$10*$BY$54)</f>
        <v>839</v>
      </c>
      <c r="EL254" s="50">
        <f t="shared" si="359"/>
        <v>0.87202829261903203</v>
      </c>
      <c r="EM254" s="50">
        <f t="shared" si="360"/>
        <v>0.10049774052000786</v>
      </c>
      <c r="EN254" s="50">
        <f t="shared" si="361"/>
        <v>2.7473966860960115E-2</v>
      </c>
      <c r="EO254" s="51">
        <f t="shared" si="362"/>
        <v>29198</v>
      </c>
      <c r="EP254" s="51">
        <f t="shared" si="363"/>
        <v>5222</v>
      </c>
      <c r="EQ254" s="14">
        <f>INT(SUMPRODUCT($AB254:$AF254,$BF254:$BJ254)/SUM($BF254:$BJ254)/10000*$BX$7*$BZ$46/'疲劳值&amp;地图信息'!$R$10*$BY$55)</f>
        <v>1137</v>
      </c>
      <c r="ER254" s="50">
        <f t="shared" si="364"/>
        <v>0.82116039035914168</v>
      </c>
      <c r="ES254" s="50">
        <f t="shared" si="365"/>
        <v>0.14686278369941222</v>
      </c>
      <c r="ET254" s="50">
        <f t="shared" si="366"/>
        <v>3.197682594144613E-2</v>
      </c>
      <c r="EU254" s="51">
        <f t="shared" si="367"/>
        <v>35176</v>
      </c>
      <c r="EV254" s="51">
        <f t="shared" si="368"/>
        <v>15493</v>
      </c>
      <c r="EW254" s="14">
        <f>INT(SUMPRODUCT($AI254:$AM254,$BF254:$BJ254)/SUM($BF254:$BJ254)/10000*$BX$7*$BZ$46/'疲劳值&amp;地图信息'!$R$10*$BY$56)</f>
        <v>1706</v>
      </c>
      <c r="EX254" s="50">
        <f t="shared" si="369"/>
        <v>0.67161813842482099</v>
      </c>
      <c r="EY254" s="50">
        <f t="shared" si="370"/>
        <v>0.29580906921241051</v>
      </c>
      <c r="EZ254" s="50">
        <f t="shared" si="371"/>
        <v>3.2572792362768499E-2</v>
      </c>
      <c r="FA254" s="51">
        <f t="shared" si="372"/>
        <v>36831</v>
      </c>
      <c r="FB254" s="51">
        <f t="shared" si="373"/>
        <v>26113</v>
      </c>
      <c r="FC254" s="14">
        <f>INT(SUMPRODUCT($AP254:$AT254,$BF254:$BJ254)/SUM($BF254:$BJ254)/10000*$BX$7*$BZ$46/'疲劳值&amp;地图信息'!$R$10*$BY$57)</f>
        <v>2275</v>
      </c>
      <c r="FD254" s="50">
        <f t="shared" si="374"/>
        <v>0.56472807004093895</v>
      </c>
      <c r="FE254" s="50">
        <f t="shared" si="375"/>
        <v>0.40038945706005918</v>
      </c>
      <c r="FF254" s="50">
        <f t="shared" si="376"/>
        <v>3.4882472899001822E-2</v>
      </c>
      <c r="FH254" s="14">
        <f t="shared" si="377"/>
        <v>26874</v>
      </c>
      <c r="FI254" s="14">
        <f t="shared" si="378"/>
        <v>30538</v>
      </c>
      <c r="FJ254" s="14">
        <f t="shared" si="379"/>
        <v>35557</v>
      </c>
      <c r="FK254" s="14">
        <f t="shared" si="380"/>
        <v>52375</v>
      </c>
      <c r="FL254" s="14">
        <f t="shared" si="381"/>
        <v>65219</v>
      </c>
      <c r="FM254" s="14">
        <f t="shared" si="382"/>
        <v>3162994</v>
      </c>
      <c r="FP254" s="14">
        <f t="shared" si="383"/>
        <v>334150</v>
      </c>
      <c r="FQ254" s="50">
        <f t="shared" si="323"/>
        <v>9.5549396879282072E-2</v>
      </c>
      <c r="FS254" s="14">
        <f t="shared" si="384"/>
        <v>3497144</v>
      </c>
      <c r="FX254" s="14">
        <v>249</v>
      </c>
      <c r="FY254" s="51">
        <f t="shared" si="385"/>
        <v>34436</v>
      </c>
      <c r="FZ254" s="51">
        <f t="shared" si="386"/>
        <v>1834</v>
      </c>
      <c r="GA254" s="51">
        <f>INT(SUMPRODUCT($N254:$R254,$BF254:$BJ254)/SUM($BF254:$BJ254)/10000*$BX$7*$BZ$46/'疲劳值&amp;地图信息'!$R$10*$BY$53)</f>
        <v>443</v>
      </c>
      <c r="GB254" s="50">
        <f t="shared" si="387"/>
        <v>0.93797837278348273</v>
      </c>
      <c r="GC254" s="50">
        <f t="shared" si="388"/>
        <v>4.9955056791872086E-2</v>
      </c>
      <c r="GD254" s="50">
        <f t="shared" si="389"/>
        <v>1.206657042464522E-2</v>
      </c>
      <c r="GE254" s="51">
        <f t="shared" si="390"/>
        <v>37282</v>
      </c>
      <c r="GF254" s="51">
        <f t="shared" si="391"/>
        <v>3069</v>
      </c>
      <c r="GG254" s="14">
        <f>INT(SUMPRODUCT($U254:$Y254,$BF254:$BJ254)/SUM($BF254:$BJ254)/10000*$BX$7*$BZ$46/'疲劳值&amp;地图信息'!$R$10*$BY$54)</f>
        <v>839</v>
      </c>
      <c r="GH254" s="50">
        <f t="shared" si="392"/>
        <v>0.90512260257344013</v>
      </c>
      <c r="GI254" s="50">
        <f t="shared" si="393"/>
        <v>7.450837581937364E-2</v>
      </c>
      <c r="GJ254" s="50">
        <f t="shared" si="394"/>
        <v>2.0369021607186209E-2</v>
      </c>
      <c r="GK254" s="51">
        <f t="shared" si="395"/>
        <v>40878</v>
      </c>
      <c r="GL254" s="51">
        <f t="shared" si="396"/>
        <v>5222</v>
      </c>
      <c r="GM254" s="14">
        <f>INT(SUMPRODUCT($AB254:$AF254,$BF254:$BJ254)/SUM($BF254:$BJ254)/10000*$BX$7*$BZ$46/'疲劳值&amp;地图信息'!$R$10*$BY$55)</f>
        <v>1137</v>
      </c>
      <c r="GN254" s="50">
        <f t="shared" si="397"/>
        <v>0.86538095137286453</v>
      </c>
      <c r="GO254" s="50">
        <f t="shared" si="398"/>
        <v>0.11054893409827042</v>
      </c>
      <c r="GP254" s="50">
        <f t="shared" si="399"/>
        <v>2.4070114528865084E-2</v>
      </c>
      <c r="GQ254" s="51">
        <f t="shared" si="400"/>
        <v>49247</v>
      </c>
      <c r="GR254" s="51">
        <f t="shared" si="401"/>
        <v>15493</v>
      </c>
      <c r="GS254" s="14">
        <f>INT(SUMPRODUCT($AI254:$AM254,$BF254:$BJ254)/SUM($BF254:$BJ254)/10000*$BX$7*$BZ$46/'疲劳值&amp;地图信息'!$R$10*$BY$56)</f>
        <v>1706</v>
      </c>
      <c r="GT254" s="50">
        <f t="shared" si="402"/>
        <v>0.7411582337537248</v>
      </c>
      <c r="GU254" s="50">
        <f t="shared" si="403"/>
        <v>0.2331667820485808</v>
      </c>
      <c r="GV254" s="50">
        <f t="shared" si="404"/>
        <v>2.5674984197694369E-2</v>
      </c>
      <c r="GW254" s="51">
        <f t="shared" si="405"/>
        <v>51563</v>
      </c>
      <c r="GX254" s="51">
        <f t="shared" si="406"/>
        <v>26113</v>
      </c>
      <c r="GY254" s="14">
        <f>INT(SUMPRODUCT($AP254:$AT254,$BF254:$BJ254)/SUM($BF254:$BJ254)/10000*$BX$7*$BZ$46/'疲劳值&amp;地图信息'!$R$10*$BY$57)</f>
        <v>2275</v>
      </c>
      <c r="GZ254" s="50">
        <f t="shared" si="407"/>
        <v>0.64493252116921618</v>
      </c>
      <c r="HA254" s="50">
        <f t="shared" si="408"/>
        <v>0.32661255018698954</v>
      </c>
      <c r="HB254" s="50">
        <f t="shared" si="409"/>
        <v>2.8454928643794324E-2</v>
      </c>
      <c r="HD254" s="14">
        <f t="shared" si="410"/>
        <v>36713</v>
      </c>
      <c r="HE254" s="14">
        <f t="shared" si="411"/>
        <v>41190</v>
      </c>
      <c r="HF254" s="14">
        <f t="shared" si="412"/>
        <v>47237</v>
      </c>
      <c r="HG254" s="14">
        <f t="shared" si="413"/>
        <v>66446</v>
      </c>
      <c r="HH254" s="14">
        <f t="shared" si="414"/>
        <v>79951</v>
      </c>
      <c r="HI254" s="14">
        <f t="shared" si="415"/>
        <v>4261758</v>
      </c>
      <c r="HL254" s="14">
        <f t="shared" si="416"/>
        <v>430050</v>
      </c>
      <c r="HM254" s="50">
        <f t="shared" si="324"/>
        <v>9.1659761013238389E-2</v>
      </c>
      <c r="HO254" s="14">
        <f t="shared" si="417"/>
        <v>4691808</v>
      </c>
    </row>
    <row r="255" spans="11:223" x14ac:dyDescent="0.2">
      <c r="K255" s="14">
        <v>250</v>
      </c>
      <c r="L255" s="12">
        <f>求节点(节奏总纲!D$4:D$163,标准城池设计!AB$4:AB$163,$K255)*求节点(节奏总纲!D$4:D$163,攻城基础信息!$AC$5:$AC$164,$K255)</f>
        <v>725500.77407881734</v>
      </c>
      <c r="M255" s="12">
        <f>INDEX(其他调用!$AA$5:$AA$404,MATCH(K255,其他调用!$X$5:$X$404,0))*MIN(INDEX(其他调用!$AH$5:$AH$364,MATCH('征服点（新）'!K255,其他调用!$AG$5:$AG$364,0),1)/INDEX(其他调用!$AJ$5:$AJ$364,MATCH(K255,其他调用!$AG$5:$AG$364,0),0),5)*求节点(节奏总纲!D$4:D$163,攻城基础信息!$AC$5:$AC$164,$K255)</f>
        <v>54022.345795275061</v>
      </c>
      <c r="N255" s="12">
        <f>MIN(INDEX(其他调用!$AH$5:$AH$364,MATCH($K255,其他调用!$AG$5:$AG$364,0),1)/INDEX(其他调用!AH$5:AH$364,MATCH($K255,其他调用!$AG$5:$AG$364,0),0),1)*INDEX(其他调用!Y$5:Y$404,MATCH($K255,其他调用!$X$5:$X$404,0),0)</f>
        <v>41420.072136612471</v>
      </c>
      <c r="O255" s="12">
        <f>MIN(INDEX(其他调用!$AH$5:$AH$364,MATCH($K255,其他调用!$AG$5:$AG$364,0),1)/INDEX(其他调用!AI$5:AI$364,MATCH($K255,其他调用!$AG$5:$AG$364,0),0),1)*INDEX(其他调用!Z$5:Z$404,MATCH($K255,其他调用!$X$5:$X$404,0),0)</f>
        <v>25419.975578949299</v>
      </c>
      <c r="P255" s="12">
        <f>MIN(INDEX(其他调用!$AH$5:$AH$364,MATCH($K255,其他调用!$AG$5:$AG$364,0),1)/INDEX(其他调用!AJ$5:AJ$364,MATCH($K255,其他调用!$AG$5:$AG$364,0),0),1)*INDEX(其他调用!AA$5:AA$404,MATCH($K255,其他调用!$X$5:$X$404,0),0)</f>
        <v>15477.94849481661</v>
      </c>
      <c r="Q255" s="12">
        <f>MIN(INDEX(其他调用!$AH$5:$AH$364,MATCH($K255,其他调用!$AG$5:$AG$364,0),1)/INDEX(其他调用!AK$5:AK$364,MATCH($K255,其他调用!$AG$5:$AG$364,0),0),1)*INDEX(其他调用!AB$5:AB$404,MATCH($K255,其他调用!$X$5:$X$404,0),0)</f>
        <v>5480.5650096279542</v>
      </c>
      <c r="R255" s="12">
        <f>MIN(INDEX(其他调用!$AH$5:$AH$364,MATCH($K255,其他调用!$AG$5:$AG$364,0),1)/INDEX(其他调用!AL$5:AL$364,MATCH($K255,其他调用!$AG$5:$AG$364,0),0),1)*INDEX(其他调用!AC$5:AC$404,MATCH($K255,其他调用!$X$5:$X$404,0),0)</f>
        <v>2976.5407982055517</v>
      </c>
      <c r="S255" s="12">
        <f>求节点(节奏总纲!D$4:D$163,标准城池设计!AC$4:AC$163,$K255)*求节点(节奏总纲!D$4:D$163,攻城基础信息!$AD$5:$AD$164,$K255)</f>
        <v>785790.42944764544</v>
      </c>
      <c r="T255" s="12">
        <f>INDEX(其他调用!$AA$5:$AA$404,MATCH($K255,其他调用!$X$5:$X$404,0))*MIN(INDEX(其他调用!AI$5:AI$364,MATCH($K255,其他调用!$AG$5:$AG$364,0),1)/INDEX(其他调用!$AJ$5:$AJ$364,MATCH($K255,其他调用!$AG$5:$AG$364,0),0),5)*求节点(节奏总纲!D$4:D$163,攻城基础信息!$AD$5:$AD$164,$K255)</f>
        <v>90487.730810572073</v>
      </c>
      <c r="U255" s="12">
        <f>MIN(INDEX(其他调用!$AI$5:$AI$364,MATCH($K255,其他调用!$AG$5:$AG$364,0),1)/INDEX(其他调用!AH$5:AH$364,MATCH($K255,其他调用!$AG$5:$AG$364,0),0),1)*INDEX(其他调用!Y$5:Y$404,MATCH($K255,其他调用!$X$5:$X$404,0),0)</f>
        <v>41420.072136612471</v>
      </c>
      <c r="V255" s="12">
        <f>MIN(INDEX(其他调用!$AI$5:$AI$364,MATCH($K255,其他调用!$AG$5:$AG$364,0),1)/INDEX(其他调用!AI$5:AI$364,MATCH($K255,其他调用!$AG$5:$AG$364,0),0),1)*INDEX(其他调用!Z$5:Z$404,MATCH($K255,其他调用!$X$5:$X$404,0),0)</f>
        <v>42578.601012924941</v>
      </c>
      <c r="W255" s="12">
        <f>MIN(INDEX(其他调用!$AI$5:$AI$364,MATCH($K255,其他调用!$AG$5:$AG$364,0),1)/INDEX(其他调用!AJ$5:AJ$364,MATCH($K255,其他调用!$AG$5:$AG$364,0),0),1)*INDEX(其他调用!AA$5:AA$404,MATCH($K255,其他调用!$X$5:$X$404,0),0)</f>
        <v>25925.650141267313</v>
      </c>
      <c r="X255" s="12">
        <f>MIN(INDEX(其他调用!$AI$5:$AI$364,MATCH($K255,其他调用!$AG$5:$AG$364,0),1)/INDEX(其他调用!AK$5:AK$364,MATCH($K255,其他调用!$AG$5:$AG$364,0),0),1)*INDEX(其他调用!AB$5:AB$404,MATCH($K255,其他调用!$X$5:$X$404,0),0)</f>
        <v>9179.9769887895072</v>
      </c>
      <c r="Y255" s="12">
        <f>MIN(INDEX(其他调用!$AI$5:$AI$364,MATCH($K255,其他调用!$AG$5:$AG$364,0),1)/INDEX(其他调用!AL$5:AL$364,MATCH($K255,其他调用!$AG$5:$AG$364,0),0),1)*INDEX(其他调用!AC$5:AC$404,MATCH($K255,其他调用!$X$5:$X$404,0),0)</f>
        <v>4985.7224548413915</v>
      </c>
      <c r="Z255" s="12">
        <f>求节点(节奏总纲!D$4:D$163,标准城池设计!AD$4:AD$163,$K255)*求节点(节奏总纲!D$4:D$163,攻城基础信息!$AE$5:$AE$164,$K255)</f>
        <v>861732.79662134149</v>
      </c>
      <c r="AA255" s="12">
        <f>INDEX(其他调用!$AA$5:$AA$404,MATCH($K255,其他调用!$X$5:$X$404,0))*MIN(INDEX(其他调用!AJ$5:AJ$364,MATCH($K255,其他调用!$AG$5:$AG$364,0),1)/INDEX(其他调用!$AJ$5:$AJ$364,MATCH($K255,其他调用!$AG$5:$AG$364,0),0),5)*求节点(节奏总纲!D$4:D$163,攻城基础信息!$AE$5:$AE$164,$K255)</f>
        <v>153920.82145868312</v>
      </c>
      <c r="AB255" s="12">
        <f>MIN(INDEX(其他调用!$AJ$5:$AJ$364,MATCH($K255,其他调用!$AG$5:$AG$364,0),1)/INDEX(其他调用!AH$5:AH$364,MATCH($K255,其他调用!$AG$5:$AG$364,0),0),1)*INDEX(其他调用!Y$5:Y$404,MATCH($K255,其他调用!$X$5:$X$404,0),0)</f>
        <v>41420.072136612471</v>
      </c>
      <c r="AC255" s="12">
        <f>MIN(INDEX(其他调用!$AJ$5:$AJ$364,MATCH($K255,其他调用!$AG$5:$AG$364,0),1)/INDEX(其他调用!AI$5:AI$364,MATCH($K255,其他调用!$AG$5:$AG$364,0),0),1)*INDEX(其他调用!Z$5:Z$404,MATCH($K255,其他调用!$X$5:$X$404,0),0)</f>
        <v>42578.601012924941</v>
      </c>
      <c r="AD255" s="12">
        <f>MIN(INDEX(其他调用!$AJ$5:$AJ$364,MATCH($K255,其他调用!$AG$5:$AG$364,0),1)/INDEX(其他调用!AJ$5:AJ$364,MATCH($K255,其他调用!$AG$5:$AG$364,0),0),1)*INDEX(其他调用!AA$5:AA$404,MATCH($K255,其他调用!$X$5:$X$404,0),0)</f>
        <v>44099.872224092309</v>
      </c>
      <c r="AE255" s="12">
        <f>MIN(INDEX(其他调用!$AJ$5:$AJ$364,MATCH($K255,其他调用!$AG$5:$AG$364,0),1)/INDEX(其他调用!AK$5:AK$364,MATCH($K255,其他调用!$AG$5:$AG$364,0),0),1)*INDEX(其他调用!AB$5:AB$404,MATCH($K255,其他调用!$X$5:$X$404,0),0)</f>
        <v>15615.261720334838</v>
      </c>
      <c r="AF255" s="12">
        <f>MIN(INDEX(其他调用!$AJ$5:$AJ$364,MATCH($K255,其他调用!$AG$5:$AG$364,0),1)/INDEX(其他调用!AL$5:AL$364,MATCH($K255,其他调用!$AG$5:$AG$364,0),0),1)*INDEX(其他调用!AC$5:AC$404,MATCH($K255,其他调用!$X$5:$X$404,0),0)</f>
        <v>8480.7795370698987</v>
      </c>
      <c r="AG255" s="12">
        <f>求节点(节奏总纲!D$4:D$163,标准城池设计!AE$4:AE$163,$K255)*求节点(节奏总纲!D$4:D$163,攻城基础信息!$AF$5:$AF$164,$K255)</f>
        <v>1038244.4844105508</v>
      </c>
      <c r="AH255" s="12">
        <f>INDEX(其他调用!$AA$5:$AA$404,MATCH($K255,其他调用!$X$5:$X$404,0))*MIN(INDEX(其他调用!AK$5:AK$364,MATCH($K255,其他调用!$AG$5:$AG$364,0),1)/INDEX(其他调用!$AJ$5:$AJ$364,MATCH($K255,其他调用!$AG$5:$AG$364,0),0),5)*求节点(节奏总纲!D$4:D$163,攻城基础信息!$AF$5:$AF$164,$K255)</f>
        <v>456736.82489433256</v>
      </c>
      <c r="AI255" s="12">
        <f>MIN(INDEX(其他调用!$AK$5:$AK$364,MATCH($K255,其他调用!$AG$5:$AG$364,0),1)/INDEX(其他调用!AH$5:AH$364,MATCH($K255,其他调用!$AG$5:$AG$364,0),0),1)*INDEX(其他调用!Y$5:Y$404,MATCH($K255,其他调用!$X$5:$X$404,0),0)</f>
        <v>41420.072136612471</v>
      </c>
      <c r="AJ255" s="12">
        <f>MIN(INDEX(其他调用!$AK$5:$AK$364,MATCH($K255,其他调用!$AG$5:$AG$364,0),1)/INDEX(其他调用!AI$5:AI$364,MATCH($K255,其他调用!$AG$5:$AG$364,0),0),1)*INDEX(其他调用!Z$5:Z$404,MATCH($K255,其他调用!$X$5:$X$404,0),0)</f>
        <v>42578.601012924941</v>
      </c>
      <c r="AK255" s="12">
        <f>MIN(INDEX(其他调用!$AK$5:$AK$364,MATCH($K255,其他调用!$AG$5:$AG$364,0),1)/INDEX(其他调用!AJ$5:AJ$364,MATCH($K255,其他调用!$AG$5:$AG$364,0),0),1)*INDEX(其他调用!AA$5:AA$404,MATCH($K255,其他调用!$X$5:$X$404,0),0)</f>
        <v>44099.872224092309</v>
      </c>
      <c r="AL255" s="12">
        <f>MIN(INDEX(其他调用!$AK$5:$AK$364,MATCH($K255,其他调用!$AG$5:$AG$364,0),1)/INDEX(其他调用!AK$5:AK$364,MATCH($K255,其他调用!$AG$5:$AG$364,0),0),1)*INDEX(其他调用!AB$5:AB$404,MATCH($K255,其他调用!$X$5:$X$404,0),0)</f>
        <v>46335.934218972463</v>
      </c>
      <c r="AM255" s="12">
        <f>MIN(INDEX(其他调用!$AK$5:$AK$364,MATCH($K255,其他调用!$AG$5:$AG$364,0),1)/INDEX(其他调用!AL$5:AL$364,MATCH($K255,其他调用!$AG$5:$AG$364,0),0),1)*INDEX(其他调用!AC$5:AC$404,MATCH($K255,其他调用!$X$5:$X$404,0),0)</f>
        <v>25165.434290706995</v>
      </c>
      <c r="AN255" s="12">
        <f>求节点(节奏总纲!D$4:D$163,标准城池设计!AF$4:AF$163,$K255)*求节点(节奏总纲!D$4:D$163,攻城基础信息!$AG$5:$AG$164,$K255)</f>
        <v>1087070.953867011</v>
      </c>
      <c r="AO255" s="12">
        <f>INDEX(其他调用!$AA$5:$AA$404,MATCH($K255,其他调用!$X$5:$X$404,0))*MIN(INDEX(其他调用!AL$5:AL$364,MATCH($K255,其他调用!$AG$5:$AG$364,0),1)/INDEX(其他调用!$AJ$5:$AJ$364,MATCH($K255,其他调用!$AG$5:$AG$364,0),0),5)*求节点(节奏总纲!D$4:D$163,攻城基础信息!$AG$5:$AG$164,$K255)</f>
        <v>769604.10729341558</v>
      </c>
      <c r="AP255" s="12">
        <f>MIN(INDEX(其他调用!$AL$5:$AL$364,MATCH($K255,其他调用!$AG$5:$AG$364,0),1)/INDEX(其他调用!AH$5:AH$364,MATCH($K255,其他调用!$AG$5:$AG$364,0),0),1)*INDEX(其他调用!Y$5:Y$404,MATCH($K255,其他调用!$X$5:$X$404,0),0)</f>
        <v>41420.072136612471</v>
      </c>
      <c r="AQ255" s="12">
        <f>MIN(INDEX(其他调用!$AL$5:$AL$364,MATCH($K255,其他调用!$AG$5:$AG$364,0),1)/INDEX(其他调用!AI$5:AI$364,MATCH($K255,其他调用!$AG$5:$AG$364,0),0),1)*INDEX(其他调用!Z$5:Z$404,MATCH($K255,其他调用!$X$5:$X$404,0),0)</f>
        <v>42578.601012924941</v>
      </c>
      <c r="AR255" s="12">
        <f>MIN(INDEX(其他调用!$AL$5:$AL$364,MATCH($K255,其他调用!$AG$5:$AG$364,0),1)/INDEX(其他调用!AJ$5:AJ$364,MATCH($K255,其他调用!$AG$5:$AG$364,0),0),1)*INDEX(其他调用!AA$5:AA$404,MATCH($K255,其他调用!$X$5:$X$404,0),0)</f>
        <v>44099.872224092309</v>
      </c>
      <c r="AS255" s="12">
        <f>MIN(INDEX(其他调用!$AL$5:$AL$364,MATCH($K255,其他调用!$AG$5:$AG$364,0),1)/INDEX(其他调用!AK$5:AK$364,MATCH($K255,其他调用!$AG$5:$AG$364,0),0),1)*INDEX(其他调用!AB$5:AB$404,MATCH($K255,其他调用!$X$5:$X$404,0),0)</f>
        <v>46335.934218972463</v>
      </c>
      <c r="AT255" s="12">
        <f>MIN(INDEX(其他调用!$AL$5:$AL$364,MATCH($K255,其他调用!$AG$5:$AG$364,0),1)/INDEX(其他调用!AL$5:AL$364,MATCH($K255,其他调用!$AG$5:$AG$364,0),0),1)*INDEX(其他调用!AC$5:AC$404,MATCH($K255,其他调用!$X$5:$X$404,0),0)</f>
        <v>50227.703252552878</v>
      </c>
      <c r="AV255" s="14">
        <f>IF(OR(AV$5="大R",AV$5="超R"),MAX(INDEX(其他调用!$H$5:$L$404,MATCH($K255,其他调用!$B$5:$B$404,0),MATCH(AV$5,其他调用!$H$4:$L$4,0))*120*0.85,2),INDEX(其他调用!$H$5:$L$404,MATCH($K255,其他调用!$B$5:$B$404,0),MATCH(AV$5,其他调用!$H$4:$L$4,0))*120*0.85)</f>
        <v>48.921801254999991</v>
      </c>
      <c r="AW255" s="14">
        <f>IF(OR(AW$5="大R",AW$5="超R"),MAX(INDEX(其他调用!$H$5:$L$404,MATCH($K255,其他调用!$B$5:$B$404,0),MATCH(AW$5,其他调用!$H$4:$L$4,0))*120*0.85,2),INDEX(其他调用!$H$5:$L$404,MATCH($K255,其他调用!$B$5:$B$404,0),MATCH(AW$5,其他调用!$H$4:$L$4,0))*120*0.85)</f>
        <v>48.237344010638395</v>
      </c>
      <c r="AX255" s="14">
        <f>IF(OR(AX$5="大R",AX$5="超R"),MAX(INDEX(其他调用!$H$5:$L$404,MATCH($K255,其他调用!$B$5:$B$404,0),MATCH(AX$5,其他调用!$H$4:$L$4,0))*120*0.85,2),INDEX(其他调用!$H$5:$L$404,MATCH($K255,其他调用!$B$5:$B$404,0),MATCH(AX$5,其他调用!$H$4:$L$4,0))*120*0.85)</f>
        <v>3.9376284143615998</v>
      </c>
      <c r="AY255" s="14">
        <f>IF(OR(AY$5="大R",AY$5="超R"),MAX(INDEX(其他调用!$H$5:$L$404,MATCH($K255,其他调用!$B$5:$B$404,0),MATCH(AY$5,其他调用!$H$4:$L$4,0))*120*0.85,2),INDEX(其他调用!$H$5:$L$404,MATCH($K255,其他调用!$B$5:$B$404,0),MATCH(AY$5,其他调用!$H$4:$L$4,0))*120*0.85)</f>
        <v>2</v>
      </c>
      <c r="AZ255" s="14">
        <f>IF(OR(AZ$5="大R",AZ$5="超R"),MAX(INDEX(其他调用!$H$5:$L$404,MATCH($K255,其他调用!$B$5:$B$404,0),MATCH(AZ$5,其他调用!$H$4:$L$4,0))*120*0.85,2),INDEX(其他调用!$H$5:$L$404,MATCH($K255,其他调用!$B$5:$B$404,0),MATCH(AZ$5,其他调用!$H$4:$L$4,0))*120*0.85)</f>
        <v>2</v>
      </c>
      <c r="BA255" s="14">
        <f>INDEX(其他调用!$H$5:$L$404,MATCH($K255,其他调用!$B$5:$B$404,0),MATCH(BA$5,其他调用!$H$4:$L$4,0))*INDEX(其他调用!$M$5:$M$404,MATCH($K255,其他调用!$B$5:$B$404,0))*0.6</f>
        <v>28.777530149999997</v>
      </c>
      <c r="BB255" s="14">
        <f>INDEX(其他调用!$H$5:$L$404,MATCH($K255,其他调用!$B$5:$B$404,0),MATCH(BB$5,其他调用!$H$4:$L$4,0))*INDEX(其他调用!$M$5:$M$404,MATCH($K255,其他调用!$B$5:$B$404,0))*0.6</f>
        <v>28.374908241551999</v>
      </c>
      <c r="BC255" s="14">
        <f>INDEX(其他调用!$H$5:$L$404,MATCH($K255,其他调用!$B$5:$B$404,0),MATCH(BC$5,其他调用!$H$4:$L$4,0))*INDEX(其他调用!$M$5:$M$404,MATCH($K255,其他调用!$B$5:$B$404,0))*0.6</f>
        <v>2.3162520084480001</v>
      </c>
      <c r="BD255" s="14">
        <f>INDEX(其他调用!$H$5:$L$404,MATCH($K255,其他调用!$B$5:$B$404,0),MATCH(BD$5,其他调用!$H$4:$L$4,0))*INDEX(其他调用!$M$5:$M$404,MATCH($K255,其他调用!$B$5:$B$404,0))*0.6</f>
        <v>0.4120776000000001</v>
      </c>
      <c r="BE255" s="14">
        <f>INDEX(其他调用!$H$5:$L$404,MATCH($K255,其他调用!$B$5:$B$404,0),MATCH(BE$5,其他调用!$H$4:$L$4,0))*INDEX(其他调用!$M$5:$M$404,MATCH($K255,其他调用!$B$5:$B$404,0))*0.6</f>
        <v>0.11923199999999998</v>
      </c>
      <c r="BF255" s="14">
        <f>IF(OR(BF$5="大R",BF$5="超R"),0,INDEX(其他调用!$H$5:$L$404,MATCH($K255,其他调用!$B$5:$B$404,0),MATCH(BF$5,其他调用!$H$4:$L$4,0))*50*0.4)</f>
        <v>9.5925100500000013</v>
      </c>
      <c r="BG255" s="14">
        <f>IF(OR(BG$5="大R",BG$5="超R"),0,INDEX(其他调用!$H$5:$L$404,MATCH($K255,其他调用!$B$5:$B$404,0),MATCH(BG$5,其他调用!$H$4:$L$4,0))*50*0.4)</f>
        <v>9.4583027471839998</v>
      </c>
      <c r="BH255" s="14">
        <f>IF(OR(BH$5="大R",BH$5="超R"),0,INDEX(其他调用!$H$5:$L$404,MATCH($K255,其他调用!$B$5:$B$404,0),MATCH(BH$5,其他调用!$H$4:$L$4,0))*50*0.4)</f>
        <v>0.77208400281600009</v>
      </c>
      <c r="BI255" s="14">
        <f>IF(OR(BI$5="大R",BI$5="超R"),0,INDEX(其他调用!$H$5:$L$404,MATCH($K255,其他调用!$B$5:$B$404,0),MATCH(BI$5,其他调用!$H$4:$L$4,0))*50*0.4)</f>
        <v>0</v>
      </c>
      <c r="BJ255" s="14">
        <f>IF(OR(BJ$5="大R",BJ$5="超R"),0,INDEX(其他调用!$H$5:$L$404,MATCH($K255,其他调用!$B$5:$B$404,0),MATCH(BJ$5,其他调用!$H$4:$L$4,0))*50*0.4)</f>
        <v>0</v>
      </c>
      <c r="BL255" s="14">
        <f t="shared" si="418"/>
        <v>250</v>
      </c>
      <c r="BM255" s="14">
        <f t="shared" si="325"/>
        <v>96</v>
      </c>
      <c r="BN255" s="14">
        <f>('疲劳值&amp;地图信息'!$S$10*'疲劳值&amp;地图信息'!$R$10+'疲劳值&amp;地图信息'!$S$11*'疲劳值&amp;地图信息'!$R$11+'疲劳值&amp;地图信息'!$S$12*'疲劳值&amp;地图信息'!$R$12+(BM255-'疲劳值&amp;地图信息'!$S$12-'疲劳值&amp;地图信息'!$S$11-'疲劳值&amp;地图信息'!$S$10)*'疲劳值&amp;地图信息'!$R$13)/BM255</f>
        <v>51.371477246638619</v>
      </c>
      <c r="BO255" s="14">
        <f>INDEX(其他调用!$M$5:$M$404,MATCH(BL255,其他调用!$B$5:$B$404,0))*0.6</f>
        <v>60</v>
      </c>
      <c r="BP255" s="14">
        <f>IF(BO255&gt;SUM('疲劳值&amp;地图信息'!$S$10:$S$12),('疲劳值&amp;地图信息'!$S$10*'疲劳值&amp;地图信息'!$R$10+'疲劳值&amp;地图信息'!$S$11*'疲劳值&amp;地图信息'!$R$11+'疲劳值&amp;地图信息'!$S$12*'疲劳值&amp;地图信息'!$R$12+(BO255-'疲劳值&amp;地图信息'!$S$12-'疲劳值&amp;地图信息'!$S$11-'疲劳值&amp;地图信息'!$S$10)*'疲劳值&amp;地图信息'!$R$13)/BO255,('疲劳值&amp;地图信息'!$S$10*'疲劳值&amp;地图信息'!$R$10+'疲劳值&amp;地图信息'!$S$11*'疲劳值&amp;地图信息'!$R$11+'疲劳值&amp;地图信息'!$S$12*'疲劳值&amp;地图信息'!$R$12+(BO255-'疲劳值&amp;地图信息'!$S$12-'疲劳值&amp;地图信息'!$S$11-'疲劳值&amp;地图信息'!$S$10)*'疲劳值&amp;地图信息'!$R$13)/BO255)</f>
        <v>44.158136341605953</v>
      </c>
      <c r="BQ255" s="14">
        <f t="shared" si="419"/>
        <v>20</v>
      </c>
      <c r="BR255" s="14">
        <f>('疲劳值&amp;地图信息'!$S$10*'疲劳值&amp;地图信息'!$R$10+($BQ255-'疲劳值&amp;地图信息'!$S$10)*'疲劳值&amp;地图信息'!$R$11)/$BQ255</f>
        <v>32.067203015074995</v>
      </c>
      <c r="CF255" s="14">
        <v>250</v>
      </c>
      <c r="CG255" s="51">
        <f t="shared" si="326"/>
        <v>14786</v>
      </c>
      <c r="CH255" s="51">
        <f t="shared" si="327"/>
        <v>1101</v>
      </c>
      <c r="CI255" s="51">
        <f>INT(SUMPRODUCT($N255:$R255,$BA255:$BE255)/SUM($BA255:$BE255)/10000*$BX$7*$BZ$34/'疲劳值&amp;地图信息'!$R$10*$BY$53)</f>
        <v>3300</v>
      </c>
      <c r="CJ255" s="50">
        <f t="shared" si="328"/>
        <v>0.77062594465002343</v>
      </c>
      <c r="CK255" s="50">
        <f t="shared" si="329"/>
        <v>5.7382602803981865E-2</v>
      </c>
      <c r="CL255" s="50">
        <f t="shared" si="330"/>
        <v>0.17199145254599468</v>
      </c>
      <c r="CM255" s="14">
        <f t="shared" si="331"/>
        <v>16015</v>
      </c>
      <c r="CN255" s="14">
        <f t="shared" si="332"/>
        <v>1844</v>
      </c>
      <c r="CO255" s="14">
        <f>INT(SUMPRODUCT($U255:$Y255,$BA255:$BE255)/SUM($BA255:$BE255)/10000*$BX$7*$BZ$34/'疲劳值&amp;地图信息'!$R$10*$BY$54)</f>
        <v>6251</v>
      </c>
      <c r="CP255" s="50">
        <f t="shared" si="333"/>
        <v>0.6642472003318125</v>
      </c>
      <c r="CQ255" s="50">
        <f t="shared" si="334"/>
        <v>7.6482787225217758E-2</v>
      </c>
      <c r="CR255" s="50">
        <f t="shared" si="335"/>
        <v>0.25927001244296971</v>
      </c>
      <c r="CS255" s="14">
        <f t="shared" si="336"/>
        <v>17563</v>
      </c>
      <c r="CT255" s="14">
        <f t="shared" si="337"/>
        <v>3137</v>
      </c>
      <c r="CU255" s="14">
        <f>INT(SUMPRODUCT($AB255:$AF255,$BA255:$BE255)/SUM($BA255:$BE255)/10000*$BX$7*$BZ$34/'疲劳值&amp;地图信息'!$R$10*$BY$55)</f>
        <v>8488</v>
      </c>
      <c r="CV255" s="50">
        <f t="shared" si="338"/>
        <v>0.60171988488419903</v>
      </c>
      <c r="CW255" s="50">
        <f t="shared" si="339"/>
        <v>0.10747567493490476</v>
      </c>
      <c r="CX255" s="50">
        <f t="shared" si="340"/>
        <v>0.29080444018089624</v>
      </c>
      <c r="CY255" s="14">
        <f t="shared" si="341"/>
        <v>21160</v>
      </c>
      <c r="CZ255" s="14">
        <f t="shared" si="342"/>
        <v>9308</v>
      </c>
      <c r="DA255" s="14">
        <f>INT(SUMPRODUCT($AI255:$AM255,$BA255:$BE255)/SUM($BA255:$BE255)/10000*$BX$7*$BZ$34/'疲劳值&amp;地图信息'!$R$10*$BY$56)</f>
        <v>12807</v>
      </c>
      <c r="DB255" s="50">
        <f t="shared" si="343"/>
        <v>0.48896591565569036</v>
      </c>
      <c r="DC255" s="50">
        <f t="shared" si="344"/>
        <v>0.2150895436164067</v>
      </c>
      <c r="DD255" s="50">
        <f t="shared" si="345"/>
        <v>0.29594454072790294</v>
      </c>
      <c r="DE255" s="14">
        <f t="shared" si="346"/>
        <v>22155</v>
      </c>
      <c r="DF255" s="14">
        <f t="shared" si="347"/>
        <v>15685</v>
      </c>
      <c r="DG255" s="14">
        <f>INT(SUMPRODUCT($AP255:$AT255,$BA255:$BE255)/SUM($BA255:$BE255)/10000*$BX$7*$BZ$34/'疲劳值&amp;地图信息'!$R$10*$BY$57)</f>
        <v>17096</v>
      </c>
      <c r="DH255" s="50">
        <f t="shared" si="348"/>
        <v>0.40328746177370028</v>
      </c>
      <c r="DI255" s="50">
        <f t="shared" si="349"/>
        <v>0.28551405271588759</v>
      </c>
      <c r="DJ255" s="50">
        <f t="shared" si="350"/>
        <v>0.31119848551041213</v>
      </c>
      <c r="DL255" s="14">
        <f t="shared" si="421"/>
        <v>19187</v>
      </c>
      <c r="DM255" s="14">
        <f t="shared" si="422"/>
        <v>24110</v>
      </c>
      <c r="DN255" s="14">
        <f t="shared" si="423"/>
        <v>29188</v>
      </c>
      <c r="DO255" s="14">
        <f t="shared" si="424"/>
        <v>43275</v>
      </c>
      <c r="DP255" s="14">
        <f t="shared" si="425"/>
        <v>54936</v>
      </c>
      <c r="DQ255" s="14">
        <f t="shared" si="426"/>
        <v>1328263</v>
      </c>
      <c r="DT255" s="14">
        <f t="shared" si="420"/>
        <v>235575</v>
      </c>
      <c r="DU255" s="50">
        <f t="shared" si="322"/>
        <v>0.15063900480740333</v>
      </c>
      <c r="DW255" s="14">
        <f t="shared" si="351"/>
        <v>1563838</v>
      </c>
      <c r="EB255" s="14">
        <v>250</v>
      </c>
      <c r="EC255" s="51">
        <f t="shared" si="352"/>
        <v>24644</v>
      </c>
      <c r="ED255" s="51">
        <f t="shared" si="353"/>
        <v>1835</v>
      </c>
      <c r="EE255" s="51">
        <f>INT(SUMPRODUCT($N255:$R255,$BF255:$BJ255)/SUM($BF255:$BJ255)/10000*$BX$7*$BZ$46/'疲劳值&amp;地图信息'!$R$10*$BY$53)</f>
        <v>443</v>
      </c>
      <c r="EF255" s="50">
        <f t="shared" si="354"/>
        <v>0.91538518683604486</v>
      </c>
      <c r="EG255" s="50">
        <f t="shared" si="355"/>
        <v>6.8159869251912933E-2</v>
      </c>
      <c r="EH255" s="50">
        <f t="shared" si="356"/>
        <v>1.6454943912042195E-2</v>
      </c>
      <c r="EI255" s="51">
        <f t="shared" si="357"/>
        <v>26692</v>
      </c>
      <c r="EJ255" s="51">
        <f t="shared" si="358"/>
        <v>3073</v>
      </c>
      <c r="EK255" s="14">
        <f>INT(SUMPRODUCT($U255:$Y255,$BF255:$BJ255)/SUM($BF255:$BJ255)/10000*$BX$7*$BZ$46/'疲劳值&amp;地图信息'!$R$10*$BY$54)</f>
        <v>839</v>
      </c>
      <c r="EL255" s="50">
        <f t="shared" si="359"/>
        <v>0.87217357208208079</v>
      </c>
      <c r="EM255" s="50">
        <f t="shared" si="360"/>
        <v>0.10041171088746569</v>
      </c>
      <c r="EN255" s="50">
        <f t="shared" si="361"/>
        <v>2.7414717030453537E-2</v>
      </c>
      <c r="EO255" s="51">
        <f t="shared" si="362"/>
        <v>29272</v>
      </c>
      <c r="EP255" s="51">
        <f t="shared" si="363"/>
        <v>5228</v>
      </c>
      <c r="EQ255" s="14">
        <f>INT(SUMPRODUCT($AB255:$AF255,$BF255:$BJ255)/SUM($BF255:$BJ255)/10000*$BX$7*$BZ$46/'疲劳值&amp;地图信息'!$R$10*$BY$55)</f>
        <v>1138</v>
      </c>
      <c r="ER255" s="50">
        <f t="shared" si="364"/>
        <v>0.82137044727538022</v>
      </c>
      <c r="ES255" s="50">
        <f t="shared" si="365"/>
        <v>0.1466973455300522</v>
      </c>
      <c r="ET255" s="50">
        <f t="shared" si="366"/>
        <v>3.1932207194567595E-2</v>
      </c>
      <c r="EU255" s="51">
        <f t="shared" si="367"/>
        <v>35267</v>
      </c>
      <c r="EV255" s="51">
        <f t="shared" si="368"/>
        <v>15514</v>
      </c>
      <c r="EW255" s="14">
        <f>INT(SUMPRODUCT($AI255:$AM255,$BF255:$BJ255)/SUM($BF255:$BJ255)/10000*$BX$7*$BZ$46/'疲劳值&amp;地图信息'!$R$10*$BY$56)</f>
        <v>1707</v>
      </c>
      <c r="EX255" s="50">
        <f t="shared" si="369"/>
        <v>0.67190595945739984</v>
      </c>
      <c r="EY255" s="50">
        <f t="shared" si="370"/>
        <v>0.2955723212924859</v>
      </c>
      <c r="EZ255" s="50">
        <f t="shared" si="371"/>
        <v>3.2521719250114309E-2</v>
      </c>
      <c r="FA255" s="51">
        <f t="shared" si="372"/>
        <v>36926</v>
      </c>
      <c r="FB255" s="51">
        <f t="shared" si="373"/>
        <v>26142</v>
      </c>
      <c r="FC255" s="14">
        <f>INT(SUMPRODUCT($AP255:$AT255,$BF255:$BJ255)/SUM($BF255:$BJ255)/10000*$BX$7*$BZ$46/'疲劳值&amp;地图信息'!$R$10*$BY$57)</f>
        <v>2277</v>
      </c>
      <c r="FD255" s="50">
        <f t="shared" si="374"/>
        <v>0.56509296809243248</v>
      </c>
      <c r="FE255" s="50">
        <f t="shared" si="375"/>
        <v>0.40006121355880325</v>
      </c>
      <c r="FF255" s="50">
        <f t="shared" si="376"/>
        <v>3.4845818348764254E-2</v>
      </c>
      <c r="FH255" s="14">
        <f t="shared" si="377"/>
        <v>26922</v>
      </c>
      <c r="FI255" s="14">
        <f t="shared" si="378"/>
        <v>30604</v>
      </c>
      <c r="FJ255" s="14">
        <f t="shared" si="379"/>
        <v>35638</v>
      </c>
      <c r="FK255" s="14">
        <f t="shared" si="380"/>
        <v>52488</v>
      </c>
      <c r="FL255" s="14">
        <f t="shared" si="381"/>
        <v>65345</v>
      </c>
      <c r="FM255" s="14">
        <f t="shared" si="382"/>
        <v>3169323</v>
      </c>
      <c r="FP255" s="14">
        <f t="shared" si="383"/>
        <v>334150</v>
      </c>
      <c r="FQ255" s="50">
        <f t="shared" si="323"/>
        <v>9.5376787547670552E-2</v>
      </c>
      <c r="FS255" s="14">
        <f t="shared" si="384"/>
        <v>3503473</v>
      </c>
      <c r="FX255" s="14">
        <v>250</v>
      </c>
      <c r="FY255" s="51">
        <f t="shared" si="385"/>
        <v>34502</v>
      </c>
      <c r="FZ255" s="51">
        <f t="shared" si="386"/>
        <v>1835</v>
      </c>
      <c r="GA255" s="51">
        <f>INT(SUMPRODUCT($N255:$R255,$BF255:$BJ255)/SUM($BF255:$BJ255)/10000*$BX$7*$BZ$46/'疲劳值&amp;地图信息'!$R$10*$BY$53)</f>
        <v>443</v>
      </c>
      <c r="GB255" s="50">
        <f t="shared" si="387"/>
        <v>0.93806416530723225</v>
      </c>
      <c r="GC255" s="50">
        <f t="shared" si="388"/>
        <v>4.9891245241979333E-2</v>
      </c>
      <c r="GD255" s="50">
        <f t="shared" si="389"/>
        <v>1.2044589450788472E-2</v>
      </c>
      <c r="GE255" s="51">
        <f t="shared" si="390"/>
        <v>37369</v>
      </c>
      <c r="GF255" s="51">
        <f t="shared" si="391"/>
        <v>3073</v>
      </c>
      <c r="GG255" s="14">
        <f>INT(SUMPRODUCT($U255:$Y255,$BF255:$BJ255)/SUM($BF255:$BJ255)/10000*$BX$7*$BZ$46/'疲劳值&amp;地图信息'!$R$10*$BY$54)</f>
        <v>839</v>
      </c>
      <c r="GH255" s="50">
        <f t="shared" si="392"/>
        <v>0.9052348538068361</v>
      </c>
      <c r="GI255" s="50">
        <f t="shared" si="393"/>
        <v>7.44410261379327E-2</v>
      </c>
      <c r="GJ255" s="50">
        <f t="shared" si="394"/>
        <v>2.032412005523122E-2</v>
      </c>
      <c r="GK255" s="51">
        <f t="shared" si="395"/>
        <v>40980</v>
      </c>
      <c r="GL255" s="51">
        <f t="shared" si="396"/>
        <v>5228</v>
      </c>
      <c r="GM255" s="14">
        <f>INT(SUMPRODUCT($AB255:$AF255,$BF255:$BJ255)/SUM($BF255:$BJ255)/10000*$BX$7*$BZ$46/'疲劳值&amp;地图信息'!$R$10*$BY$55)</f>
        <v>1138</v>
      </c>
      <c r="GN255" s="50">
        <f t="shared" si="397"/>
        <v>0.86554302369788372</v>
      </c>
      <c r="GO255" s="50">
        <f t="shared" si="398"/>
        <v>0.11042115490220927</v>
      </c>
      <c r="GP255" s="50">
        <f t="shared" si="399"/>
        <v>2.4035821399907068E-2</v>
      </c>
      <c r="GQ255" s="51">
        <f t="shared" si="400"/>
        <v>49375</v>
      </c>
      <c r="GR255" s="51">
        <f t="shared" si="401"/>
        <v>15514</v>
      </c>
      <c r="GS255" s="14">
        <f>INT(SUMPRODUCT($AI255:$AM255,$BF255:$BJ255)/SUM($BF255:$BJ255)/10000*$BX$7*$BZ$46/'疲劳值&amp;地图信息'!$R$10*$BY$56)</f>
        <v>1707</v>
      </c>
      <c r="GT255" s="50">
        <f t="shared" si="402"/>
        <v>0.74141089554928219</v>
      </c>
      <c r="GU255" s="50">
        <f t="shared" si="403"/>
        <v>0.23295693435041143</v>
      </c>
      <c r="GV255" s="50">
        <f t="shared" si="404"/>
        <v>2.5632170100306325E-2</v>
      </c>
      <c r="GW255" s="51">
        <f t="shared" si="405"/>
        <v>51697</v>
      </c>
      <c r="GX255" s="51">
        <f t="shared" si="406"/>
        <v>26142</v>
      </c>
      <c r="GY255" s="14">
        <f>INT(SUMPRODUCT($AP255:$AT255,$BF255:$BJ255)/SUM($BF255:$BJ255)/10000*$BX$7*$BZ$46/'疲劳值&amp;地图信息'!$R$10*$BY$57)</f>
        <v>2277</v>
      </c>
      <c r="GZ255" s="50">
        <f t="shared" si="407"/>
        <v>0.64527684856957412</v>
      </c>
      <c r="HA255" s="50">
        <f t="shared" si="408"/>
        <v>0.32630186229966551</v>
      </c>
      <c r="HB255" s="50">
        <f t="shared" si="409"/>
        <v>2.8421289130760398E-2</v>
      </c>
      <c r="HD255" s="14">
        <f t="shared" si="410"/>
        <v>36780</v>
      </c>
      <c r="HE255" s="14">
        <f t="shared" si="411"/>
        <v>41281</v>
      </c>
      <c r="HF255" s="14">
        <f t="shared" si="412"/>
        <v>47346</v>
      </c>
      <c r="HG255" s="14">
        <f t="shared" si="413"/>
        <v>66596</v>
      </c>
      <c r="HH255" s="14">
        <f t="shared" si="414"/>
        <v>80116</v>
      </c>
      <c r="HI255" s="14">
        <f t="shared" si="415"/>
        <v>4270484</v>
      </c>
      <c r="HL255" s="14">
        <f t="shared" si="416"/>
        <v>430050</v>
      </c>
      <c r="HM255" s="50">
        <f t="shared" si="324"/>
        <v>9.1489605223576728E-2</v>
      </c>
      <c r="HO255" s="14">
        <f t="shared" si="417"/>
        <v>4700534</v>
      </c>
    </row>
    <row r="256" spans="11:223" x14ac:dyDescent="0.2">
      <c r="K256" s="14">
        <v>251</v>
      </c>
      <c r="L256" s="12">
        <f>求节点(节奏总纲!D$4:D$163,标准城池设计!AB$4:AB$163,$K256)*求节点(节奏总纲!D$4:D$163,攻城基础信息!$AC$5:$AC$164,$K256)</f>
        <v>726875.99740502564</v>
      </c>
      <c r="M256" s="12">
        <f>INDEX(其他调用!$AA$5:$AA$404,MATCH(K256,其他调用!$X$5:$X$404,0))*MIN(INDEX(其他调用!$AH$5:$AH$364,MATCH('征服点（新）'!K256,其他调用!$AG$5:$AG$364,0),1)/INDEX(其他调用!$AJ$5:$AJ$364,MATCH(K256,其他调用!$AG$5:$AG$364,0),0),5)*求节点(节奏总纲!D$4:D$163,攻城基础信息!$AC$5:$AC$164,$K256)</f>
        <v>54041.405084720514</v>
      </c>
      <c r="N256" s="12">
        <f>MIN(INDEX(其他调用!$AH$5:$AH$364,MATCH($K256,其他调用!$AG$5:$AG$364,0),1)/INDEX(其他调用!AH$5:AH$364,MATCH($K256,其他调用!$AG$5:$AG$364,0),0),1)*INDEX(其他调用!Y$5:Y$404,MATCH($K256,其他调用!$X$5:$X$404,0),0)</f>
        <v>41443.233584143978</v>
      </c>
      <c r="O256" s="12">
        <f>MIN(INDEX(其他调用!$AH$5:$AH$364,MATCH($K256,其他调用!$AG$5:$AG$364,0),1)/INDEX(其他调用!AI$5:AI$364,MATCH($K256,其他调用!$AG$5:$AG$364,0),0),1)*INDEX(其他调用!Z$5:Z$404,MATCH($K256,其他调用!$X$5:$X$404,0),0)</f>
        <v>25411.588705261369</v>
      </c>
      <c r="P256" s="12">
        <f>MIN(INDEX(其他调用!$AH$5:$AH$364,MATCH($K256,其他调用!$AG$5:$AG$364,0),1)/INDEX(其他调用!AJ$5:AJ$364,MATCH($K256,其他调用!$AG$5:$AG$364,0),0),1)*INDEX(其他调用!AA$5:AA$404,MATCH($K256,其他调用!$X$5:$X$404,0),0)</f>
        <v>15474.78847344064</v>
      </c>
      <c r="Q256" s="12">
        <f>MIN(INDEX(其他调用!$AH$5:$AH$364,MATCH($K256,其他调用!$AG$5:$AG$364,0),1)/INDEX(其他调用!AK$5:AK$364,MATCH($K256,其他调用!$AG$5:$AG$364,0),0),1)*INDEX(其他调用!AB$5:AB$404,MATCH($K256,其他调用!$X$5:$X$404,0),0)</f>
        <v>5477.8104560440552</v>
      </c>
      <c r="R256" s="12">
        <f>MIN(INDEX(其他调用!$AH$5:$AH$364,MATCH($K256,其他调用!$AG$5:$AG$364,0),1)/INDEX(其他调用!AL$5:AL$364,MATCH($K256,其他调用!$AG$5:$AG$364,0),0),1)*INDEX(其他调用!AC$5:AC$404,MATCH($K256,其他调用!$X$5:$X$404,0),0)</f>
        <v>2984.951264026899</v>
      </c>
      <c r="S256" s="12">
        <f>求节点(节奏总纲!D$4:D$163,标准城池设计!AC$4:AC$163,$K256)*求节点(节奏总纲!D$4:D$163,攻城基础信息!$AD$5:$AD$164,$K256)</f>
        <v>787626.35228046251</v>
      </c>
      <c r="T256" s="12">
        <f>INDEX(其他调用!$AA$5:$AA$404,MATCH($K256,其他调用!$X$5:$X$404,0))*MIN(INDEX(其他调用!AI$5:AI$364,MATCH($K256,其他调用!$AG$5:$AG$364,0),1)/INDEX(其他调用!$AJ$5:$AJ$364,MATCH($K256,其他调用!$AG$5:$AG$364,0),0),5)*求节点(节奏总纲!D$4:D$163,攻城基础信息!$AD$5:$AD$164,$K256)</f>
        <v>90600.323128571516</v>
      </c>
      <c r="U256" s="12">
        <f>MIN(INDEX(其他调用!$AI$5:$AI$364,MATCH($K256,其他调用!$AG$5:$AG$364,0),1)/INDEX(其他调用!AH$5:AH$364,MATCH($K256,其他调用!$AG$5:$AG$364,0),0),1)*INDEX(其他调用!Y$5:Y$404,MATCH($K256,其他调用!$X$5:$X$404,0),0)</f>
        <v>41443.233584143978</v>
      </c>
      <c r="V256" s="12">
        <f>MIN(INDEX(其他调用!$AI$5:$AI$364,MATCH($K256,其他调用!$AG$5:$AG$364,0),1)/INDEX(其他调用!AI$5:AI$364,MATCH($K256,其他调用!$AG$5:$AG$364,0),0),1)*INDEX(其他调用!Z$5:Z$404,MATCH($K256,其他调用!$X$5:$X$404,0),0)</f>
        <v>42602.484970509802</v>
      </c>
      <c r="W256" s="12">
        <f>MIN(INDEX(其他调用!$AI$5:$AI$364,MATCH($K256,其他调用!$AG$5:$AG$364,0),1)/INDEX(其他调用!AJ$5:AJ$364,MATCH($K256,其他调用!$AG$5:$AG$364,0),0),1)*INDEX(其他调用!AA$5:AA$404,MATCH($K256,其他调用!$X$5:$X$404,0),0)</f>
        <v>25943.456389449402</v>
      </c>
      <c r="X256" s="12">
        <f>MIN(INDEX(其他调用!$AI$5:$AI$364,MATCH($K256,其他调用!$AG$5:$AG$364,0),1)/INDEX(其他调用!AK$5:AK$364,MATCH($K256,其他调用!$AG$5:$AG$364,0),0),1)*INDEX(其他调用!AB$5:AB$404,MATCH($K256,其他调用!$X$5:$X$404,0),0)</f>
        <v>9183.5398538699137</v>
      </c>
      <c r="Y256" s="12">
        <f>MIN(INDEX(其他调用!$AI$5:$AI$364,MATCH($K256,其他调用!$AG$5:$AG$364,0),1)/INDEX(其他调用!AL$5:AL$364,MATCH($K256,其他调用!$AG$5:$AG$364,0),0),1)*INDEX(其他调用!AC$5:AC$404,MATCH($K256,其他调用!$X$5:$X$404,0),0)</f>
        <v>5004.2656851706761</v>
      </c>
      <c r="Z256" s="12">
        <f>求节点(节奏总纲!D$4:D$163,标准城池设计!AD$4:AD$163,$K256)*求节点(节奏总纲!D$4:D$163,攻城基础信息!$AE$5:$AE$164,$K256)</f>
        <v>863893.28964954393</v>
      </c>
      <c r="AA256" s="12">
        <f>INDEX(其他调用!$AA$5:$AA$404,MATCH($K256,其他调用!$X$5:$X$404,0))*MIN(INDEX(其他调用!AJ$5:AJ$364,MATCH($K256,其他调用!$AG$5:$AG$364,0),1)/INDEX(其他调用!$AJ$5:$AJ$364,MATCH($K256,其他调用!$AG$5:$AG$364,0),0),5)*求节点(节奏总纲!D$4:D$163,攻城基础信息!$AE$5:$AE$164,$K256)</f>
        <v>154089.81703672765</v>
      </c>
      <c r="AB256" s="12">
        <f>MIN(INDEX(其他调用!$AJ$5:$AJ$364,MATCH($K256,其他调用!$AG$5:$AG$364,0),1)/INDEX(其他调用!AH$5:AH$364,MATCH($K256,其他调用!$AG$5:$AG$364,0),0),1)*INDEX(其他调用!Y$5:Y$404,MATCH($K256,其他调用!$X$5:$X$404,0),0)</f>
        <v>41443.233584143978</v>
      </c>
      <c r="AC256" s="12">
        <f>MIN(INDEX(其他调用!$AJ$5:$AJ$364,MATCH($K256,其他调用!$AG$5:$AG$364,0),1)/INDEX(其他调用!AI$5:AI$364,MATCH($K256,其他调用!$AG$5:$AG$364,0),0),1)*INDEX(其他调用!Z$5:Z$404,MATCH($K256,其他调用!$X$5:$X$404,0),0)</f>
        <v>42602.484970509802</v>
      </c>
      <c r="AD256" s="12">
        <f>MIN(INDEX(其他调用!$AJ$5:$AJ$364,MATCH($K256,其他调用!$AG$5:$AG$364,0),1)/INDEX(其他调用!AJ$5:AJ$364,MATCH($K256,其他调用!$AG$5:$AG$364,0),0),1)*INDEX(其他调用!AA$5:AA$404,MATCH($K256,其他调用!$X$5:$X$404,0),0)</f>
        <v>44123.710714337394</v>
      </c>
      <c r="AE256" s="12">
        <f>MIN(INDEX(其他调用!$AJ$5:$AJ$364,MATCH($K256,其他调用!$AG$5:$AG$364,0),1)/INDEX(其他调用!AK$5:AK$364,MATCH($K256,其他调用!$AG$5:$AG$364,0),0),1)*INDEX(其他调用!AB$5:AB$404,MATCH($K256,其他调用!$X$5:$X$404,0),0)</f>
        <v>15619.03895005041</v>
      </c>
      <c r="AF256" s="12">
        <f>MIN(INDEX(其他调用!$AJ$5:$AJ$364,MATCH($K256,其他调用!$AG$5:$AG$364,0),1)/INDEX(其他调用!AL$5:AL$364,MATCH($K256,其他调用!$AG$5:$AG$364,0),0),1)*INDEX(其他调用!AC$5:AC$404,MATCH($K256,其他调用!$X$5:$X$404,0),0)</f>
        <v>8511.0776342027148</v>
      </c>
      <c r="AG256" s="12">
        <f>求节点(节奏总纲!D$4:D$163,标准城池设计!AE$4:AE$163,$K256)*求节点(节奏总纲!D$4:D$163,攻城基础信息!$AF$5:$AF$164,$K256)</f>
        <v>1040939.2064014018</v>
      </c>
      <c r="AH256" s="12">
        <f>INDEX(其他调用!$AA$5:$AA$404,MATCH($K256,其他调用!$X$5:$X$404,0))*MIN(INDEX(其他调用!AK$5:AK$364,MATCH($K256,其他调用!$AG$5:$AG$364,0),1)/INDEX(其他调用!$AJ$5:$AJ$364,MATCH($K256,其他调用!$AG$5:$AG$364,0),0),5)*求节点(节奏总纲!D$4:D$163,攻城基础信息!$AF$5:$AF$164,$K256)</f>
        <v>457367.32738293981</v>
      </c>
      <c r="AI256" s="12">
        <f>MIN(INDEX(其他调用!$AK$5:$AK$364,MATCH($K256,其他调用!$AG$5:$AG$364,0),1)/INDEX(其他调用!AH$5:AH$364,MATCH($K256,其他调用!$AG$5:$AG$364,0),0),1)*INDEX(其他调用!Y$5:Y$404,MATCH($K256,其他调用!$X$5:$X$404,0),0)</f>
        <v>41443.233584143978</v>
      </c>
      <c r="AJ256" s="12">
        <f>MIN(INDEX(其他调用!$AK$5:$AK$364,MATCH($K256,其他调用!$AG$5:$AG$364,0),1)/INDEX(其他调用!AI$5:AI$364,MATCH($K256,其他调用!$AG$5:$AG$364,0),0),1)*INDEX(其他调用!Z$5:Z$404,MATCH($K256,其他调用!$X$5:$X$404,0),0)</f>
        <v>42602.484970509802</v>
      </c>
      <c r="AK256" s="12">
        <f>MIN(INDEX(其他调用!$AK$5:$AK$364,MATCH($K256,其他调用!$AG$5:$AG$364,0),1)/INDEX(其他调用!AJ$5:AJ$364,MATCH($K256,其他调用!$AG$5:$AG$364,0),0),1)*INDEX(其他调用!AA$5:AA$404,MATCH($K256,其他调用!$X$5:$X$404,0),0)</f>
        <v>44123.710714337394</v>
      </c>
      <c r="AL256" s="12">
        <f>MIN(INDEX(其他调用!$AK$5:$AK$364,MATCH($K256,其他调用!$AG$5:$AG$364,0),1)/INDEX(其他调用!AK$5:AK$364,MATCH($K256,其他调用!$AG$5:$AG$364,0),0),1)*INDEX(其他调用!AB$5:AB$404,MATCH($K256,其他调用!$X$5:$X$404,0),0)</f>
        <v>46360.221838487181</v>
      </c>
      <c r="AM256" s="12">
        <f>MIN(INDEX(其他调用!$AK$5:$AK$364,MATCH($K256,其他调用!$AG$5:$AG$364,0),1)/INDEX(其他调用!AL$5:AL$364,MATCH($K256,其他调用!$AG$5:$AG$364,0),0),1)*INDEX(其他调用!AC$5:AC$404,MATCH($K256,其他调用!$X$5:$X$404,0),0)</f>
        <v>25262.466433951176</v>
      </c>
      <c r="AN256" s="12">
        <f>求节点(节奏总纲!D$4:D$163,标准城池设计!AF$4:AF$163,$K256)*求节点(节奏总纲!D$4:D$163,攻城基础信息!$AG$5:$AG$164,$K256)</f>
        <v>1089882.0484187885</v>
      </c>
      <c r="AO256" s="12">
        <f>INDEX(其他调用!$AA$5:$AA$404,MATCH($K256,其他调用!$X$5:$X$404,0))*MIN(INDEX(其他调用!AL$5:AL$364,MATCH($K256,其他调用!$AG$5:$AG$364,0),1)/INDEX(其他调用!$AJ$5:$AJ$364,MATCH($K256,其他调用!$AG$5:$AG$364,0),0),5)*求节点(节奏总纲!D$4:D$163,攻城基础信息!$AG$5:$AG$164,$K256)</f>
        <v>770449.08518363815</v>
      </c>
      <c r="AP256" s="12">
        <f>MIN(INDEX(其他调用!$AL$5:$AL$364,MATCH($K256,其他调用!$AG$5:$AG$364,0),1)/INDEX(其他调用!AH$5:AH$364,MATCH($K256,其他调用!$AG$5:$AG$364,0),0),1)*INDEX(其他调用!Y$5:Y$404,MATCH($K256,其他调用!$X$5:$X$404,0),0)</f>
        <v>41443.233584143978</v>
      </c>
      <c r="AQ256" s="12">
        <f>MIN(INDEX(其他调用!$AL$5:$AL$364,MATCH($K256,其他调用!$AG$5:$AG$364,0),1)/INDEX(其他调用!AI$5:AI$364,MATCH($K256,其他调用!$AG$5:$AG$364,0),0),1)*INDEX(其他调用!Z$5:Z$404,MATCH($K256,其他调用!$X$5:$X$404,0),0)</f>
        <v>42602.484970509802</v>
      </c>
      <c r="AR256" s="12">
        <f>MIN(INDEX(其他调用!$AL$5:$AL$364,MATCH($K256,其他调用!$AG$5:$AG$364,0),1)/INDEX(其他调用!AJ$5:AJ$364,MATCH($K256,其他调用!$AG$5:$AG$364,0),0),1)*INDEX(其他调用!AA$5:AA$404,MATCH($K256,其他调用!$X$5:$X$404,0),0)</f>
        <v>44123.710714337394</v>
      </c>
      <c r="AS256" s="12">
        <f>MIN(INDEX(其他调用!$AL$5:$AL$364,MATCH($K256,其他调用!$AG$5:$AG$364,0),1)/INDEX(其他调用!AK$5:AK$364,MATCH($K256,其他调用!$AG$5:$AG$364,0),0),1)*INDEX(其他调用!AB$5:AB$404,MATCH($K256,其他调用!$X$5:$X$404,0),0)</f>
        <v>46360.221838487181</v>
      </c>
      <c r="AT256" s="12">
        <f>MIN(INDEX(其他调用!$AL$5:$AL$364,MATCH($K256,其他调用!$AG$5:$AG$364,0),1)/INDEX(其他调用!AL$5:AL$364,MATCH($K256,其他调用!$AG$5:$AG$364,0),0),1)*INDEX(其他调用!AC$5:AC$404,MATCH($K256,其他调用!$X$5:$X$404,0),0)</f>
        <v>50250.965646543067</v>
      </c>
      <c r="AV256" s="14">
        <f>IF(OR(AV$5="大R",AV$5="超R"),MAX(INDEX(其他调用!$H$5:$L$404,MATCH($K256,其他调用!$B$5:$B$404,0),MATCH(AV$5,其他调用!$H$4:$L$4,0))*120*0.85,2),INDEX(其他调用!$H$5:$L$404,MATCH($K256,其他调用!$B$5:$B$404,0),MATCH(AV$5,其他调用!$H$4:$L$4,0))*120*0.85)</f>
        <v>48.921801254999991</v>
      </c>
      <c r="AW256" s="14">
        <f>IF(OR(AW$5="大R",AW$5="超R"),MAX(INDEX(其他调用!$H$5:$L$404,MATCH($K256,其他调用!$B$5:$B$404,0),MATCH(AW$5,其他调用!$H$4:$L$4,0))*120*0.85,2),INDEX(其他调用!$H$5:$L$404,MATCH($K256,其他调用!$B$5:$B$404,0),MATCH(AW$5,其他调用!$H$4:$L$4,0))*120*0.85)</f>
        <v>48.237344010638395</v>
      </c>
      <c r="AX256" s="14">
        <f>IF(OR(AX$5="大R",AX$5="超R"),MAX(INDEX(其他调用!$H$5:$L$404,MATCH($K256,其他调用!$B$5:$B$404,0),MATCH(AX$5,其他调用!$H$4:$L$4,0))*120*0.85,2),INDEX(其他调用!$H$5:$L$404,MATCH($K256,其他调用!$B$5:$B$404,0),MATCH(AX$5,其他调用!$H$4:$L$4,0))*120*0.85)</f>
        <v>3.9376284143615998</v>
      </c>
      <c r="AY256" s="14">
        <f>IF(OR(AY$5="大R",AY$5="超R"),MAX(INDEX(其他调用!$H$5:$L$404,MATCH($K256,其他调用!$B$5:$B$404,0),MATCH(AY$5,其他调用!$H$4:$L$4,0))*120*0.85,2),INDEX(其他调用!$H$5:$L$404,MATCH($K256,其他调用!$B$5:$B$404,0),MATCH(AY$5,其他调用!$H$4:$L$4,0))*120*0.85)</f>
        <v>2</v>
      </c>
      <c r="AZ256" s="14">
        <f>IF(OR(AZ$5="大R",AZ$5="超R"),MAX(INDEX(其他调用!$H$5:$L$404,MATCH($K256,其他调用!$B$5:$B$404,0),MATCH(AZ$5,其他调用!$H$4:$L$4,0))*120*0.85,2),INDEX(其他调用!$H$5:$L$404,MATCH($K256,其他调用!$B$5:$B$404,0),MATCH(AZ$5,其他调用!$H$4:$L$4,0))*120*0.85)</f>
        <v>2</v>
      </c>
      <c r="BA256" s="14">
        <f>INDEX(其他调用!$H$5:$L$404,MATCH($K256,其他调用!$B$5:$B$404,0),MATCH(BA$5,其他调用!$H$4:$L$4,0))*INDEX(其他调用!$M$5:$M$404,MATCH($K256,其他调用!$B$5:$B$404,0))*0.6</f>
        <v>28.777530149999997</v>
      </c>
      <c r="BB256" s="14">
        <f>INDEX(其他调用!$H$5:$L$404,MATCH($K256,其他调用!$B$5:$B$404,0),MATCH(BB$5,其他调用!$H$4:$L$4,0))*INDEX(其他调用!$M$5:$M$404,MATCH($K256,其他调用!$B$5:$B$404,0))*0.6</f>
        <v>28.374908241551999</v>
      </c>
      <c r="BC256" s="14">
        <f>INDEX(其他调用!$H$5:$L$404,MATCH($K256,其他调用!$B$5:$B$404,0),MATCH(BC$5,其他调用!$H$4:$L$4,0))*INDEX(其他调用!$M$5:$M$404,MATCH($K256,其他调用!$B$5:$B$404,0))*0.6</f>
        <v>2.3162520084480001</v>
      </c>
      <c r="BD256" s="14">
        <f>INDEX(其他调用!$H$5:$L$404,MATCH($K256,其他调用!$B$5:$B$404,0),MATCH(BD$5,其他调用!$H$4:$L$4,0))*INDEX(其他调用!$M$5:$M$404,MATCH($K256,其他调用!$B$5:$B$404,0))*0.6</f>
        <v>0.4120776000000001</v>
      </c>
      <c r="BE256" s="14">
        <f>INDEX(其他调用!$H$5:$L$404,MATCH($K256,其他调用!$B$5:$B$404,0),MATCH(BE$5,其他调用!$H$4:$L$4,0))*INDEX(其他调用!$M$5:$M$404,MATCH($K256,其他调用!$B$5:$B$404,0))*0.6</f>
        <v>0.11923199999999998</v>
      </c>
      <c r="BF256" s="14">
        <f>IF(OR(BF$5="大R",BF$5="超R"),0,INDEX(其他调用!$H$5:$L$404,MATCH($K256,其他调用!$B$5:$B$404,0),MATCH(BF$5,其他调用!$H$4:$L$4,0))*50*0.4)</f>
        <v>9.5925100500000013</v>
      </c>
      <c r="BG256" s="14">
        <f>IF(OR(BG$5="大R",BG$5="超R"),0,INDEX(其他调用!$H$5:$L$404,MATCH($K256,其他调用!$B$5:$B$404,0),MATCH(BG$5,其他调用!$H$4:$L$4,0))*50*0.4)</f>
        <v>9.4583027471839998</v>
      </c>
      <c r="BH256" s="14">
        <f>IF(OR(BH$5="大R",BH$5="超R"),0,INDEX(其他调用!$H$5:$L$404,MATCH($K256,其他调用!$B$5:$B$404,0),MATCH(BH$5,其他调用!$H$4:$L$4,0))*50*0.4)</f>
        <v>0.77208400281600009</v>
      </c>
      <c r="BI256" s="14">
        <f>IF(OR(BI$5="大R",BI$5="超R"),0,INDEX(其他调用!$H$5:$L$404,MATCH($K256,其他调用!$B$5:$B$404,0),MATCH(BI$5,其他调用!$H$4:$L$4,0))*50*0.4)</f>
        <v>0</v>
      </c>
      <c r="BJ256" s="14">
        <f>IF(OR(BJ$5="大R",BJ$5="超R"),0,INDEX(其他调用!$H$5:$L$404,MATCH($K256,其他调用!$B$5:$B$404,0),MATCH(BJ$5,其他调用!$H$4:$L$4,0))*50*0.4)</f>
        <v>0</v>
      </c>
      <c r="BL256" s="14">
        <f t="shared" si="418"/>
        <v>251</v>
      </c>
      <c r="BM256" s="14">
        <f t="shared" si="325"/>
        <v>96</v>
      </c>
      <c r="BN256" s="14">
        <f>('疲劳值&amp;地图信息'!$S$10*'疲劳值&amp;地图信息'!$R$10+'疲劳值&amp;地图信息'!$S$11*'疲劳值&amp;地图信息'!$R$11+'疲劳值&amp;地图信息'!$S$12*'疲劳值&amp;地图信息'!$R$12+(BM256-'疲劳值&amp;地图信息'!$S$12-'疲劳值&amp;地图信息'!$S$11-'疲劳值&amp;地图信息'!$S$10)*'疲劳值&amp;地图信息'!$R$13)/BM256</f>
        <v>51.371477246638619</v>
      </c>
      <c r="BO256" s="14">
        <f>INDEX(其他调用!$M$5:$M$404,MATCH(BL256,其他调用!$B$5:$B$404,0))*0.6</f>
        <v>60</v>
      </c>
      <c r="BP256" s="14">
        <f>IF(BO256&gt;SUM('疲劳值&amp;地图信息'!$S$10:$S$12),('疲劳值&amp;地图信息'!$S$10*'疲劳值&amp;地图信息'!$R$10+'疲劳值&amp;地图信息'!$S$11*'疲劳值&amp;地图信息'!$R$11+'疲劳值&amp;地图信息'!$S$12*'疲劳值&amp;地图信息'!$R$12+(BO256-'疲劳值&amp;地图信息'!$S$12-'疲劳值&amp;地图信息'!$S$11-'疲劳值&amp;地图信息'!$S$10)*'疲劳值&amp;地图信息'!$R$13)/BO256,('疲劳值&amp;地图信息'!$S$10*'疲劳值&amp;地图信息'!$R$10+'疲劳值&amp;地图信息'!$S$11*'疲劳值&amp;地图信息'!$R$11+'疲劳值&amp;地图信息'!$S$12*'疲劳值&amp;地图信息'!$R$12+(BO256-'疲劳值&amp;地图信息'!$S$12-'疲劳值&amp;地图信息'!$S$11-'疲劳值&amp;地图信息'!$S$10)*'疲劳值&amp;地图信息'!$R$13)/BO256)</f>
        <v>44.158136341605953</v>
      </c>
      <c r="BQ256" s="14">
        <f t="shared" si="419"/>
        <v>20</v>
      </c>
      <c r="BR256" s="14">
        <f>('疲劳值&amp;地图信息'!$S$10*'疲劳值&amp;地图信息'!$R$10+($BQ256-'疲劳值&amp;地图信息'!$S$10)*'疲劳值&amp;地图信息'!$R$11)/$BQ256</f>
        <v>32.067203015074995</v>
      </c>
      <c r="CF256" s="14">
        <v>251</v>
      </c>
      <c r="CG256" s="51">
        <f t="shared" si="326"/>
        <v>14814</v>
      </c>
      <c r="CH256" s="51">
        <f t="shared" si="327"/>
        <v>1101</v>
      </c>
      <c r="CI256" s="51">
        <f>INT(SUMPRODUCT($N256:$R256,$BA256:$BE256)/SUM($BA256:$BE256)/10000*$BX$7*$BZ$34/'疲劳值&amp;地图信息'!$R$10*$BY$53)</f>
        <v>3301</v>
      </c>
      <c r="CJ256" s="50">
        <f t="shared" si="328"/>
        <v>0.77092006661115742</v>
      </c>
      <c r="CK256" s="50">
        <f t="shared" si="329"/>
        <v>5.7296003330557871E-2</v>
      </c>
      <c r="CL256" s="50">
        <f t="shared" si="330"/>
        <v>0.17178393005828477</v>
      </c>
      <c r="CM256" s="14">
        <f t="shared" si="331"/>
        <v>16052</v>
      </c>
      <c r="CN256" s="14">
        <f t="shared" si="332"/>
        <v>1846</v>
      </c>
      <c r="CO256" s="14">
        <f>INT(SUMPRODUCT($U256:$Y256,$BA256:$BE256)/SUM($BA256:$BE256)/10000*$BX$7*$BZ$34/'疲劳值&amp;地图信息'!$R$10*$BY$54)</f>
        <v>6255</v>
      </c>
      <c r="CP256" s="50">
        <f t="shared" si="333"/>
        <v>0.66459653045170375</v>
      </c>
      <c r="CQ256" s="50">
        <f t="shared" si="334"/>
        <v>7.6429429056431908E-2</v>
      </c>
      <c r="CR256" s="50">
        <f t="shared" si="335"/>
        <v>0.25897404049186434</v>
      </c>
      <c r="CS256" s="14">
        <f t="shared" si="336"/>
        <v>17607</v>
      </c>
      <c r="CT256" s="14">
        <f t="shared" si="337"/>
        <v>3140</v>
      </c>
      <c r="CU256" s="14">
        <f>INT(SUMPRODUCT($AB256:$AF256,$BA256:$BE256)/SUM($BA256:$BE256)/10000*$BX$7*$BZ$34/'疲劳值&amp;地图信息'!$R$10*$BY$55)</f>
        <v>8493</v>
      </c>
      <c r="CV256" s="50">
        <f t="shared" si="338"/>
        <v>0.60215458276333789</v>
      </c>
      <c r="CW256" s="50">
        <f t="shared" si="339"/>
        <v>0.10738714090287278</v>
      </c>
      <c r="CX256" s="50">
        <f t="shared" si="340"/>
        <v>0.29045827633378934</v>
      </c>
      <c r="CY256" s="14">
        <f t="shared" si="341"/>
        <v>21215</v>
      </c>
      <c r="CZ256" s="14">
        <f t="shared" si="342"/>
        <v>9321</v>
      </c>
      <c r="DA256" s="14">
        <f>INT(SUMPRODUCT($AI256:$AM256,$BA256:$BE256)/SUM($BA256:$BE256)/10000*$BX$7*$BZ$34/'疲劳值&amp;地图信息'!$R$10*$BY$56)</f>
        <v>12814</v>
      </c>
      <c r="DB256" s="50">
        <f t="shared" si="343"/>
        <v>0.48938869665513263</v>
      </c>
      <c r="DC256" s="50">
        <f t="shared" si="344"/>
        <v>0.2150173010380623</v>
      </c>
      <c r="DD256" s="50">
        <f t="shared" si="345"/>
        <v>0.29559400230680505</v>
      </c>
      <c r="DE256" s="14">
        <f t="shared" si="346"/>
        <v>22213</v>
      </c>
      <c r="DF256" s="14">
        <f t="shared" si="347"/>
        <v>15702</v>
      </c>
      <c r="DG256" s="14">
        <f>INT(SUMPRODUCT($AP256:$AT256,$BA256:$BE256)/SUM($BA256:$BE256)/10000*$BX$7*$BZ$34/'疲劳值&amp;地图信息'!$R$10*$BY$57)</f>
        <v>17105</v>
      </c>
      <c r="DH256" s="50">
        <f t="shared" si="348"/>
        <v>0.40372591784805523</v>
      </c>
      <c r="DI256" s="50">
        <f t="shared" si="349"/>
        <v>0.28538713195201743</v>
      </c>
      <c r="DJ256" s="50">
        <f t="shared" si="350"/>
        <v>0.31088695019992729</v>
      </c>
      <c r="DL256" s="14">
        <f t="shared" si="421"/>
        <v>19216</v>
      </c>
      <c r="DM256" s="14">
        <f t="shared" si="422"/>
        <v>24153</v>
      </c>
      <c r="DN256" s="14">
        <f t="shared" si="423"/>
        <v>29240</v>
      </c>
      <c r="DO256" s="14">
        <f t="shared" si="424"/>
        <v>43350</v>
      </c>
      <c r="DP256" s="14">
        <f t="shared" si="425"/>
        <v>55020</v>
      </c>
      <c r="DQ256" s="14">
        <f t="shared" si="426"/>
        <v>1330479</v>
      </c>
      <c r="DT256" s="14">
        <f t="shared" si="420"/>
        <v>235575</v>
      </c>
      <c r="DU256" s="50">
        <f t="shared" si="322"/>
        <v>0.15042584738457296</v>
      </c>
      <c r="DW256" s="14">
        <f t="shared" si="351"/>
        <v>1566054</v>
      </c>
      <c r="EB256" s="14">
        <v>251</v>
      </c>
      <c r="EC256" s="51">
        <f t="shared" si="352"/>
        <v>24691</v>
      </c>
      <c r="ED256" s="51">
        <f t="shared" si="353"/>
        <v>1835</v>
      </c>
      <c r="EE256" s="51">
        <f>INT(SUMPRODUCT($N256:$R256,$BF256:$BJ256)/SUM($BF256:$BJ256)/10000*$BX$7*$BZ$46/'疲劳值&amp;地图信息'!$R$10*$BY$53)</f>
        <v>443</v>
      </c>
      <c r="EF256" s="50">
        <f t="shared" si="354"/>
        <v>0.91553264859653671</v>
      </c>
      <c r="EG256" s="50">
        <f t="shared" si="355"/>
        <v>6.8041084207794131E-2</v>
      </c>
      <c r="EH256" s="50">
        <f t="shared" si="356"/>
        <v>1.64262671956691E-2</v>
      </c>
      <c r="EI256" s="51">
        <f t="shared" si="357"/>
        <v>26754</v>
      </c>
      <c r="EJ256" s="51">
        <f t="shared" si="358"/>
        <v>3077</v>
      </c>
      <c r="EK256" s="14">
        <f>INT(SUMPRODUCT($U256:$Y256,$BF256:$BJ256)/SUM($BF256:$BJ256)/10000*$BX$7*$BZ$46/'疲劳值&amp;地图信息'!$R$10*$BY$54)</f>
        <v>840</v>
      </c>
      <c r="EL256" s="50">
        <f t="shared" si="359"/>
        <v>0.87228978513905642</v>
      </c>
      <c r="EM256" s="50">
        <f t="shared" si="360"/>
        <v>0.10032278047667177</v>
      </c>
      <c r="EN256" s="50">
        <f t="shared" si="361"/>
        <v>2.7387434384271787E-2</v>
      </c>
      <c r="EO256" s="51">
        <f t="shared" si="362"/>
        <v>29345</v>
      </c>
      <c r="EP256" s="51">
        <f t="shared" si="363"/>
        <v>5234</v>
      </c>
      <c r="EQ256" s="14">
        <f>INT(SUMPRODUCT($AB256:$AF256,$BF256:$BJ256)/SUM($BF256:$BJ256)/10000*$BX$7*$BZ$46/'疲劳值&amp;地图信息'!$R$10*$BY$55)</f>
        <v>1139</v>
      </c>
      <c r="ER256" s="50">
        <f t="shared" si="364"/>
        <v>0.82157455624615039</v>
      </c>
      <c r="ES256" s="50">
        <f t="shared" si="365"/>
        <v>0.14653676017694159</v>
      </c>
      <c r="ET256" s="50">
        <f t="shared" si="366"/>
        <v>3.1888683576908002E-2</v>
      </c>
      <c r="EU256" s="51">
        <f t="shared" si="367"/>
        <v>35359</v>
      </c>
      <c r="EV256" s="51">
        <f t="shared" si="368"/>
        <v>15536</v>
      </c>
      <c r="EW256" s="14">
        <f>INT(SUMPRODUCT($AI256:$AM256,$BF256:$BJ256)/SUM($BF256:$BJ256)/10000*$BX$7*$BZ$46/'疲劳值&amp;地图信息'!$R$10*$BY$56)</f>
        <v>1708</v>
      </c>
      <c r="EX256" s="50">
        <f t="shared" si="369"/>
        <v>0.67218599699636905</v>
      </c>
      <c r="EY256" s="50">
        <f t="shared" si="370"/>
        <v>0.29534437199399272</v>
      </c>
      <c r="EZ256" s="50">
        <f t="shared" si="371"/>
        <v>3.2469631009638233E-2</v>
      </c>
      <c r="FA256" s="51">
        <f t="shared" si="372"/>
        <v>37022</v>
      </c>
      <c r="FB256" s="51">
        <f t="shared" si="373"/>
        <v>26171</v>
      </c>
      <c r="FC256" s="14">
        <f>INT(SUMPRODUCT($AP256:$AT256,$BF256:$BJ256)/SUM($BF256:$BJ256)/10000*$BX$7*$BZ$46/'疲劳值&amp;地图信息'!$R$10*$BY$57)</f>
        <v>2278</v>
      </c>
      <c r="FD256" s="50">
        <f t="shared" si="374"/>
        <v>0.56547173557758401</v>
      </c>
      <c r="FE256" s="50">
        <f t="shared" si="375"/>
        <v>0.39973423347741749</v>
      </c>
      <c r="FF256" s="50">
        <f t="shared" si="376"/>
        <v>3.4794030944998548E-2</v>
      </c>
      <c r="FH256" s="14">
        <f t="shared" si="377"/>
        <v>26969</v>
      </c>
      <c r="FI256" s="14">
        <f t="shared" si="378"/>
        <v>30671</v>
      </c>
      <c r="FJ256" s="14">
        <f t="shared" si="379"/>
        <v>35718</v>
      </c>
      <c r="FK256" s="14">
        <f t="shared" si="380"/>
        <v>52603</v>
      </c>
      <c r="FL256" s="14">
        <f t="shared" si="381"/>
        <v>65471</v>
      </c>
      <c r="FM256" s="14">
        <f t="shared" si="382"/>
        <v>3175651</v>
      </c>
      <c r="FP256" s="14">
        <f t="shared" si="383"/>
        <v>334150</v>
      </c>
      <c r="FQ256" s="50">
        <f t="shared" si="323"/>
        <v>9.5204827852063412E-2</v>
      </c>
      <c r="FS256" s="14">
        <f t="shared" si="384"/>
        <v>3509801</v>
      </c>
      <c r="FX256" s="14">
        <v>251</v>
      </c>
      <c r="FY256" s="51">
        <f t="shared" si="385"/>
        <v>34567</v>
      </c>
      <c r="FZ256" s="51">
        <f t="shared" si="386"/>
        <v>1835</v>
      </c>
      <c r="GA256" s="51">
        <f>INT(SUMPRODUCT($N256:$R256,$BF256:$BJ256)/SUM($BF256:$BJ256)/10000*$BX$7*$BZ$46/'疲劳值&amp;地图信息'!$R$10*$BY$53)</f>
        <v>443</v>
      </c>
      <c r="GB256" s="50">
        <f t="shared" si="387"/>
        <v>0.93817342923056046</v>
      </c>
      <c r="GC256" s="50">
        <f t="shared" si="388"/>
        <v>4.9803229746234225E-2</v>
      </c>
      <c r="GD256" s="50">
        <f t="shared" si="389"/>
        <v>1.2023341023205319E-2</v>
      </c>
      <c r="GE256" s="51">
        <f t="shared" si="390"/>
        <v>37456</v>
      </c>
      <c r="GF256" s="51">
        <f t="shared" si="391"/>
        <v>3077</v>
      </c>
      <c r="GG256" s="14">
        <f>INT(SUMPRODUCT($U256:$Y256,$BF256:$BJ256)/SUM($BF256:$BJ256)/10000*$BX$7*$BZ$46/'疲劳值&amp;地图信息'!$R$10*$BY$54)</f>
        <v>840</v>
      </c>
      <c r="GH256" s="50">
        <f t="shared" si="392"/>
        <v>0.90532472868779157</v>
      </c>
      <c r="GI256" s="50">
        <f t="shared" si="393"/>
        <v>7.4372175090034562E-2</v>
      </c>
      <c r="GJ256" s="50">
        <f t="shared" si="394"/>
        <v>2.0303096222173883E-2</v>
      </c>
      <c r="GK256" s="51">
        <f t="shared" si="395"/>
        <v>41083</v>
      </c>
      <c r="GL256" s="51">
        <f t="shared" si="396"/>
        <v>5234</v>
      </c>
      <c r="GM256" s="14">
        <f>INT(SUMPRODUCT($AB256:$AF256,$BF256:$BJ256)/SUM($BF256:$BJ256)/10000*$BX$7*$BZ$46/'疲劳值&amp;地图信息'!$R$10*$BY$55)</f>
        <v>1139</v>
      </c>
      <c r="GN256" s="50">
        <f t="shared" si="397"/>
        <v>0.86570718138907621</v>
      </c>
      <c r="GO256" s="50">
        <f t="shared" si="398"/>
        <v>0.11029163857046527</v>
      </c>
      <c r="GP256" s="50">
        <f t="shared" si="399"/>
        <v>2.4001180040458529E-2</v>
      </c>
      <c r="GQ256" s="51">
        <f t="shared" si="400"/>
        <v>49503</v>
      </c>
      <c r="GR256" s="51">
        <f t="shared" si="401"/>
        <v>15536</v>
      </c>
      <c r="GS256" s="14">
        <f>INT(SUMPRODUCT($AI256:$AM256,$BF256:$BJ256)/SUM($BF256:$BJ256)/10000*$BX$7*$BZ$46/'疲劳值&amp;地图信息'!$R$10*$BY$56)</f>
        <v>1708</v>
      </c>
      <c r="GT256" s="50">
        <f t="shared" si="402"/>
        <v>0.74165131017124364</v>
      </c>
      <c r="GU256" s="50">
        <f t="shared" si="403"/>
        <v>0.23275952477264897</v>
      </c>
      <c r="GV256" s="50">
        <f t="shared" si="404"/>
        <v>2.558916505610739E-2</v>
      </c>
      <c r="GW256" s="51">
        <f t="shared" si="405"/>
        <v>51830</v>
      </c>
      <c r="GX256" s="51">
        <f t="shared" si="406"/>
        <v>26171</v>
      </c>
      <c r="GY256" s="14">
        <f>INT(SUMPRODUCT($AP256:$AT256,$BF256:$BJ256)/SUM($BF256:$BJ256)/10000*$BX$7*$BZ$46/'疲劳值&amp;地图信息'!$R$10*$BY$57)</f>
        <v>2278</v>
      </c>
      <c r="GZ256" s="50">
        <f t="shared" si="407"/>
        <v>0.64562338843284051</v>
      </c>
      <c r="HA256" s="50">
        <f t="shared" si="408"/>
        <v>0.32600057300165675</v>
      </c>
      <c r="HB256" s="50">
        <f t="shared" si="409"/>
        <v>2.8376038565502811E-2</v>
      </c>
      <c r="HD256" s="14">
        <f t="shared" si="410"/>
        <v>36845</v>
      </c>
      <c r="HE256" s="14">
        <f t="shared" si="411"/>
        <v>41373</v>
      </c>
      <c r="HF256" s="14">
        <f t="shared" si="412"/>
        <v>47456</v>
      </c>
      <c r="HG256" s="14">
        <f t="shared" si="413"/>
        <v>66747</v>
      </c>
      <c r="HH256" s="14">
        <f t="shared" si="414"/>
        <v>80279</v>
      </c>
      <c r="HI256" s="14">
        <f t="shared" si="415"/>
        <v>4279163</v>
      </c>
      <c r="HL256" s="14">
        <f t="shared" si="416"/>
        <v>430050</v>
      </c>
      <c r="HM256" s="50">
        <f t="shared" si="324"/>
        <v>9.132099142680529E-2</v>
      </c>
      <c r="HO256" s="14">
        <f t="shared" si="417"/>
        <v>4709213</v>
      </c>
    </row>
    <row r="257" spans="11:223" x14ac:dyDescent="0.2">
      <c r="K257" s="14">
        <v>252</v>
      </c>
      <c r="L257" s="12">
        <f>求节点(节奏总纲!D$4:D$163,标准城池设计!AB$4:AB$163,$K257)*求节点(节奏总纲!D$4:D$163,攻城基础信息!$AC$5:$AC$164,$K257)</f>
        <v>728252.30204697081</v>
      </c>
      <c r="M257" s="12">
        <f>INDEX(其他调用!$AA$5:$AA$404,MATCH(K257,其他调用!$X$5:$X$404,0))*MIN(INDEX(其他调用!$AH$5:$AH$364,MATCH('征服点（新）'!K257,其他调用!$AG$5:$AG$364,0),1)/INDEX(其他调用!$AJ$5:$AJ$364,MATCH(K257,其他调用!$AG$5:$AG$364,0),0),5)*求节点(节奏总纲!D$4:D$163,攻城基础信息!$AC$5:$AC$164,$K257)</f>
        <v>54060.891986262221</v>
      </c>
      <c r="N257" s="12">
        <f>MIN(INDEX(其他调用!$AH$5:$AH$364,MATCH($K257,其他调用!$AG$5:$AG$364,0),1)/INDEX(其他调用!AH$5:AH$364,MATCH($K257,其他调用!$AG$5:$AG$364,0),0),1)*INDEX(其他调用!Y$5:Y$404,MATCH($K257,其他调用!$X$5:$X$404,0),0)</f>
        <v>41466.395031675485</v>
      </c>
      <c r="O257" s="12">
        <f>MIN(INDEX(其他调用!$AH$5:$AH$364,MATCH($K257,其他调用!$AG$5:$AG$364,0),1)/INDEX(其他调用!AI$5:AI$364,MATCH($K257,其他调用!$AG$5:$AG$364,0),0),1)*INDEX(其他调用!Z$5:Z$404,MATCH($K257,其他调用!$X$5:$X$404,0),0)</f>
        <v>25403.454759024313</v>
      </c>
      <c r="P257" s="12">
        <f>MIN(INDEX(其他调用!$AH$5:$AH$364,MATCH($K257,其他调用!$AG$5:$AG$364,0),1)/INDEX(其他调用!AJ$5:AJ$364,MATCH($K257,其他调用!$AG$5:$AG$364,0),0),1)*INDEX(其他调用!AA$5:AA$404,MATCH($K257,其他调用!$X$5:$X$404,0),0)</f>
        <v>15471.754347759043</v>
      </c>
      <c r="Q257" s="12">
        <f>MIN(INDEX(其他调用!$AH$5:$AH$364,MATCH($K257,其他调用!$AG$5:$AG$364,0),1)/INDEX(其他调用!AK$5:AK$364,MATCH($K257,其他调用!$AG$5:$AG$364,0),0),1)*INDEX(其他调用!AB$5:AB$404,MATCH($K257,其他调用!$X$5:$X$404,0),0)</f>
        <v>5475.1206660334719</v>
      </c>
      <c r="R257" s="12">
        <f>MIN(INDEX(其他调用!$AH$5:$AH$364,MATCH($K257,其他调用!$AG$5:$AG$364,0),1)/INDEX(其他调用!AL$5:AL$364,MATCH($K257,其他调用!$AG$5:$AG$364,0),0),1)*INDEX(其他调用!AC$5:AC$404,MATCH($K257,其他调用!$X$5:$X$404,0),0)</f>
        <v>2993.3269245652614</v>
      </c>
      <c r="S257" s="12">
        <f>求节点(节奏总纲!D$4:D$163,标准城池设计!AC$4:AC$163,$K257)*求节点(节奏总纲!D$4:D$163,攻城基础信息!$AD$5:$AD$164,$K257)</f>
        <v>789463.83203694492</v>
      </c>
      <c r="T257" s="12">
        <f>INDEX(其他调用!$AA$5:$AA$404,MATCH($K257,其他调用!$X$5:$X$404,0))*MIN(INDEX(其他调用!AI$5:AI$364,MATCH($K257,其他调用!$AG$5:$AG$364,0),1)/INDEX(其他调用!$AJ$5:$AJ$364,MATCH($K257,其他调用!$AG$5:$AG$364,0),0),5)*求节点(节奏总纲!D$4:D$163,攻城基础信息!$AD$5:$AD$164,$K257)</f>
        <v>90712.839975817435</v>
      </c>
      <c r="U257" s="12">
        <f>MIN(INDEX(其他调用!$AI$5:$AI$364,MATCH($K257,其他调用!$AG$5:$AG$364,0),1)/INDEX(其他调用!AH$5:AH$364,MATCH($K257,其他调用!$AG$5:$AG$364,0),0),1)*INDEX(其他调用!Y$5:Y$404,MATCH($K257,其他调用!$X$5:$X$404,0),0)</f>
        <v>41466.395031675485</v>
      </c>
      <c r="V257" s="12">
        <f>MIN(INDEX(其他调用!$AI$5:$AI$364,MATCH($K257,其他调用!$AG$5:$AG$364,0),1)/INDEX(其他调用!AI$5:AI$364,MATCH($K257,其他调用!$AG$5:$AG$364,0),0),1)*INDEX(其他调用!Z$5:Z$404,MATCH($K257,其他调用!$X$5:$X$404,0),0)</f>
        <v>42626.368928094671</v>
      </c>
      <c r="W257" s="12">
        <f>MIN(INDEX(其他调用!$AI$5:$AI$364,MATCH($K257,其他调用!$AG$5:$AG$364,0),1)/INDEX(其他调用!AJ$5:AJ$364,MATCH($K257,其他调用!$AG$5:$AG$364,0),0),1)*INDEX(其他调用!AA$5:AA$404,MATCH($K257,其他调用!$X$5:$X$404,0),0)</f>
        <v>25961.22122161938</v>
      </c>
      <c r="X257" s="12">
        <f>MIN(INDEX(其他调用!$AI$5:$AI$364,MATCH($K257,其他调用!$AG$5:$AG$364,0),1)/INDEX(其他调用!AK$5:AK$364,MATCH($K257,其他调用!$AG$5:$AG$364,0),0),1)*INDEX(其他调用!AB$5:AB$404,MATCH($K257,其他调用!$X$5:$X$404,0),0)</f>
        <v>9187.1170929328346</v>
      </c>
      <c r="Y257" s="12">
        <f>MIN(INDEX(其他调用!$AI$5:$AI$364,MATCH($K257,其他调用!$AG$5:$AG$364,0),1)/INDEX(其他调用!AL$5:AL$364,MATCH($K257,其他调用!$AG$5:$AG$364,0),0),1)*INDEX(其他调用!AC$5:AC$404,MATCH($K257,其他调用!$X$5:$X$404,0),0)</f>
        <v>5022.7285626806797</v>
      </c>
      <c r="Z257" s="12">
        <f>求节点(节奏总纲!D$4:D$163,标准城池设计!AD$4:AD$163,$K257)*求节点(节奏总纲!D$4:D$163,攻城基础信息!$AE$5:$AE$164,$K257)</f>
        <v>866055.6539139878</v>
      </c>
      <c r="AA257" s="12">
        <f>INDEX(其他调用!$AA$5:$AA$404,MATCH($K257,其他调用!$X$5:$X$404,0))*MIN(INDEX(其他调用!AJ$5:AJ$364,MATCH($K257,其他调用!$AG$5:$AG$364,0),1)/INDEX(其他调用!$AJ$5:$AJ$364,MATCH($K257,其他调用!$AG$5:$AG$364,0),0),5)*求节点(节奏总纲!D$4:D$163,攻城基础信息!$AE$5:$AE$164,$K257)</f>
        <v>154258.9053162428</v>
      </c>
      <c r="AB257" s="12">
        <f>MIN(INDEX(其他调用!$AJ$5:$AJ$364,MATCH($K257,其他调用!$AG$5:$AG$364,0),1)/INDEX(其他调用!AH$5:AH$364,MATCH($K257,其他调用!$AG$5:$AG$364,0),0),1)*INDEX(其他调用!Y$5:Y$404,MATCH($K257,其他调用!$X$5:$X$404,0),0)</f>
        <v>41466.395031675485</v>
      </c>
      <c r="AC257" s="12">
        <f>MIN(INDEX(其他调用!$AJ$5:$AJ$364,MATCH($K257,其他调用!$AG$5:$AG$364,0),1)/INDEX(其他调用!AI$5:AI$364,MATCH($K257,其他调用!$AG$5:$AG$364,0),0),1)*INDEX(其他调用!Z$5:Z$404,MATCH($K257,其他调用!$X$5:$X$404,0),0)</f>
        <v>42626.368928094671</v>
      </c>
      <c r="AD257" s="12">
        <f>MIN(INDEX(其他调用!$AJ$5:$AJ$364,MATCH($K257,其他调用!$AG$5:$AG$364,0),1)/INDEX(其他调用!AJ$5:AJ$364,MATCH($K257,其他调用!$AG$5:$AG$364,0),0),1)*INDEX(其他调用!AA$5:AA$404,MATCH($K257,其他调用!$X$5:$X$404,0),0)</f>
        <v>44147.549204582487</v>
      </c>
      <c r="AE257" s="12">
        <f>MIN(INDEX(其他调用!$AJ$5:$AJ$364,MATCH($K257,其他调用!$AG$5:$AG$364,0),1)/INDEX(其他调用!AK$5:AK$364,MATCH($K257,其他调用!$AG$5:$AG$364,0),0),1)*INDEX(其他调用!AB$5:AB$404,MATCH($K257,其他调用!$X$5:$X$404,0),0)</f>
        <v>15622.866907769208</v>
      </c>
      <c r="AF257" s="12">
        <f>MIN(INDEX(其他调用!$AJ$5:$AJ$364,MATCH($K257,其他调用!$AG$5:$AG$364,0),1)/INDEX(其他调用!AL$5:AL$364,MATCH($K257,其他调用!$AG$5:$AG$364,0),0),1)*INDEX(其他调用!AC$5:AC$404,MATCH($K257,其他调用!$X$5:$X$404,0),0)</f>
        <v>8541.2452083552507</v>
      </c>
      <c r="AG257" s="12">
        <f>求节点(节奏总纲!D$4:D$163,标准城池设计!AE$4:AE$163,$K257)*求节点(节奏总纲!D$4:D$163,攻城基础信息!$AF$5:$AF$164,$K257)</f>
        <v>1043636.2850182572</v>
      </c>
      <c r="AH257" s="12">
        <f>INDEX(其他调用!$AA$5:$AA$404,MATCH($K257,其他调用!$X$5:$X$404,0))*MIN(INDEX(其他调用!AK$5:AK$364,MATCH($K257,其他调用!$AG$5:$AG$364,0),1)/INDEX(其他调用!$AJ$5:$AJ$364,MATCH($K257,其他调用!$AG$5:$AG$364,0),0),5)*求节点(节奏总纲!D$4:D$163,攻城基础信息!$AF$5:$AF$164,$K257)</f>
        <v>457996.83853569865</v>
      </c>
      <c r="AI257" s="12">
        <f>MIN(INDEX(其他调用!$AK$5:$AK$364,MATCH($K257,其他调用!$AG$5:$AG$364,0),1)/INDEX(其他调用!AH$5:AH$364,MATCH($K257,其他调用!$AG$5:$AG$364,0),0),1)*INDEX(其他调用!Y$5:Y$404,MATCH($K257,其他调用!$X$5:$X$404,0),0)</f>
        <v>41466.395031675485</v>
      </c>
      <c r="AJ257" s="12">
        <f>MIN(INDEX(其他调用!$AK$5:$AK$364,MATCH($K257,其他调用!$AG$5:$AG$364,0),1)/INDEX(其他调用!AI$5:AI$364,MATCH($K257,其他调用!$AG$5:$AG$364,0),0),1)*INDEX(其他调用!Z$5:Z$404,MATCH($K257,其他调用!$X$5:$X$404,0),0)</f>
        <v>42626.368928094671</v>
      </c>
      <c r="AK257" s="12">
        <f>MIN(INDEX(其他调用!$AK$5:$AK$364,MATCH($K257,其他调用!$AG$5:$AG$364,0),1)/INDEX(其他调用!AJ$5:AJ$364,MATCH($K257,其他调用!$AG$5:$AG$364,0),0),1)*INDEX(其他调用!AA$5:AA$404,MATCH($K257,其他调用!$X$5:$X$404,0),0)</f>
        <v>44147.549204582487</v>
      </c>
      <c r="AL257" s="12">
        <f>MIN(INDEX(其他调用!$AK$5:$AK$364,MATCH($K257,其他调用!$AG$5:$AG$364,0),1)/INDEX(其他调用!AK$5:AK$364,MATCH($K257,其他调用!$AG$5:$AG$364,0),0),1)*INDEX(其他调用!AB$5:AB$404,MATCH($K257,其他调用!$X$5:$X$404,0),0)</f>
        <v>46384.509458001899</v>
      </c>
      <c r="AM257" s="12">
        <f>MIN(INDEX(其他调用!$AK$5:$AK$364,MATCH($K257,其他调用!$AG$5:$AG$364,0),1)/INDEX(其他调用!AL$5:AL$364,MATCH($K257,其他调用!$AG$5:$AG$364,0),0),1)*INDEX(其他调用!AC$5:AC$404,MATCH($K257,其他调用!$X$5:$X$404,0),0)</f>
        <v>25359.075993475151</v>
      </c>
      <c r="AN257" s="12">
        <f>求节点(节奏总纲!D$4:D$163,标准城池设计!AF$4:AF$163,$K257)*求节点(节奏总纲!D$4:D$163,攻城基础信息!$AG$5:$AG$164,$K257)</f>
        <v>1092695.59889352</v>
      </c>
      <c r="AO257" s="12">
        <f>INDEX(其他调用!$AA$5:$AA$404,MATCH($K257,其他调用!$X$5:$X$404,0))*MIN(INDEX(其他调用!AL$5:AL$364,MATCH($K257,其他调用!$AG$5:$AG$364,0),1)/INDEX(其他调用!$AJ$5:$AJ$364,MATCH($K257,其他调用!$AG$5:$AG$364,0),0),5)*求节点(节奏总纲!D$4:D$163,攻城基础信息!$AG$5:$AG$164,$K257)</f>
        <v>771294.52658121416</v>
      </c>
      <c r="AP257" s="12">
        <f>MIN(INDEX(其他调用!$AL$5:$AL$364,MATCH($K257,其他调用!$AG$5:$AG$364,0),1)/INDEX(其他调用!AH$5:AH$364,MATCH($K257,其他调用!$AG$5:$AG$364,0),0),1)*INDEX(其他调用!Y$5:Y$404,MATCH($K257,其他调用!$X$5:$X$404,0),0)</f>
        <v>41466.395031675485</v>
      </c>
      <c r="AQ257" s="12">
        <f>MIN(INDEX(其他调用!$AL$5:$AL$364,MATCH($K257,其他调用!$AG$5:$AG$364,0),1)/INDEX(其他调用!AI$5:AI$364,MATCH($K257,其他调用!$AG$5:$AG$364,0),0),1)*INDEX(其他调用!Z$5:Z$404,MATCH($K257,其他调用!$X$5:$X$404,0),0)</f>
        <v>42626.368928094671</v>
      </c>
      <c r="AR257" s="12">
        <f>MIN(INDEX(其他调用!$AL$5:$AL$364,MATCH($K257,其他调用!$AG$5:$AG$364,0),1)/INDEX(其他调用!AJ$5:AJ$364,MATCH($K257,其他调用!$AG$5:$AG$364,0),0),1)*INDEX(其他调用!AA$5:AA$404,MATCH($K257,其他调用!$X$5:$X$404,0),0)</f>
        <v>44147.549204582487</v>
      </c>
      <c r="AS257" s="12">
        <f>MIN(INDEX(其他调用!$AL$5:$AL$364,MATCH($K257,其他调用!$AG$5:$AG$364,0),1)/INDEX(其他调用!AK$5:AK$364,MATCH($K257,其他调用!$AG$5:$AG$364,0),0),1)*INDEX(其他调用!AB$5:AB$404,MATCH($K257,其他调用!$X$5:$X$404,0),0)</f>
        <v>46384.509458001899</v>
      </c>
      <c r="AT257" s="12">
        <f>MIN(INDEX(其他调用!$AL$5:$AL$364,MATCH($K257,其他调用!$AG$5:$AG$364,0),1)/INDEX(其他调用!AL$5:AL$364,MATCH($K257,其他调用!$AG$5:$AG$364,0),0),1)*INDEX(其他调用!AC$5:AC$404,MATCH($K257,其他调用!$X$5:$X$404,0),0)</f>
        <v>50274.228040533257</v>
      </c>
      <c r="AV257" s="14">
        <f>IF(OR(AV$5="大R",AV$5="超R"),MAX(INDEX(其他调用!$H$5:$L$404,MATCH($K257,其他调用!$B$5:$B$404,0),MATCH(AV$5,其他调用!$H$4:$L$4,0))*120*0.85,2),INDEX(其他调用!$H$5:$L$404,MATCH($K257,其他调用!$B$5:$B$404,0),MATCH(AV$5,其他调用!$H$4:$L$4,0))*120*0.85)</f>
        <v>48.921801254999991</v>
      </c>
      <c r="AW257" s="14">
        <f>IF(OR(AW$5="大R",AW$5="超R"),MAX(INDEX(其他调用!$H$5:$L$404,MATCH($K257,其他调用!$B$5:$B$404,0),MATCH(AW$5,其他调用!$H$4:$L$4,0))*120*0.85,2),INDEX(其他调用!$H$5:$L$404,MATCH($K257,其他调用!$B$5:$B$404,0),MATCH(AW$5,其他调用!$H$4:$L$4,0))*120*0.85)</f>
        <v>48.237344010638395</v>
      </c>
      <c r="AX257" s="14">
        <f>IF(OR(AX$5="大R",AX$5="超R"),MAX(INDEX(其他调用!$H$5:$L$404,MATCH($K257,其他调用!$B$5:$B$404,0),MATCH(AX$5,其他调用!$H$4:$L$4,0))*120*0.85,2),INDEX(其他调用!$H$5:$L$404,MATCH($K257,其他调用!$B$5:$B$404,0),MATCH(AX$5,其他调用!$H$4:$L$4,0))*120*0.85)</f>
        <v>3.9376284143615998</v>
      </c>
      <c r="AY257" s="14">
        <f>IF(OR(AY$5="大R",AY$5="超R"),MAX(INDEX(其他调用!$H$5:$L$404,MATCH($K257,其他调用!$B$5:$B$404,0),MATCH(AY$5,其他调用!$H$4:$L$4,0))*120*0.85,2),INDEX(其他调用!$H$5:$L$404,MATCH($K257,其他调用!$B$5:$B$404,0),MATCH(AY$5,其他调用!$H$4:$L$4,0))*120*0.85)</f>
        <v>2</v>
      </c>
      <c r="AZ257" s="14">
        <f>IF(OR(AZ$5="大R",AZ$5="超R"),MAX(INDEX(其他调用!$H$5:$L$404,MATCH($K257,其他调用!$B$5:$B$404,0),MATCH(AZ$5,其他调用!$H$4:$L$4,0))*120*0.85,2),INDEX(其他调用!$H$5:$L$404,MATCH($K257,其他调用!$B$5:$B$404,0),MATCH(AZ$5,其他调用!$H$4:$L$4,0))*120*0.85)</f>
        <v>2</v>
      </c>
      <c r="BA257" s="14">
        <f>INDEX(其他调用!$H$5:$L$404,MATCH($K257,其他调用!$B$5:$B$404,0),MATCH(BA$5,其他调用!$H$4:$L$4,0))*INDEX(其他调用!$M$5:$M$404,MATCH($K257,其他调用!$B$5:$B$404,0))*0.6</f>
        <v>28.777530149999997</v>
      </c>
      <c r="BB257" s="14">
        <f>INDEX(其他调用!$H$5:$L$404,MATCH($K257,其他调用!$B$5:$B$404,0),MATCH(BB$5,其他调用!$H$4:$L$4,0))*INDEX(其他调用!$M$5:$M$404,MATCH($K257,其他调用!$B$5:$B$404,0))*0.6</f>
        <v>28.374908241551999</v>
      </c>
      <c r="BC257" s="14">
        <f>INDEX(其他调用!$H$5:$L$404,MATCH($K257,其他调用!$B$5:$B$404,0),MATCH(BC$5,其他调用!$H$4:$L$4,0))*INDEX(其他调用!$M$5:$M$404,MATCH($K257,其他调用!$B$5:$B$404,0))*0.6</f>
        <v>2.3162520084480001</v>
      </c>
      <c r="BD257" s="14">
        <f>INDEX(其他调用!$H$5:$L$404,MATCH($K257,其他调用!$B$5:$B$404,0),MATCH(BD$5,其他调用!$H$4:$L$4,0))*INDEX(其他调用!$M$5:$M$404,MATCH($K257,其他调用!$B$5:$B$404,0))*0.6</f>
        <v>0.4120776000000001</v>
      </c>
      <c r="BE257" s="14">
        <f>INDEX(其他调用!$H$5:$L$404,MATCH($K257,其他调用!$B$5:$B$404,0),MATCH(BE$5,其他调用!$H$4:$L$4,0))*INDEX(其他调用!$M$5:$M$404,MATCH($K257,其他调用!$B$5:$B$404,0))*0.6</f>
        <v>0.11923199999999998</v>
      </c>
      <c r="BF257" s="14">
        <f>IF(OR(BF$5="大R",BF$5="超R"),0,INDEX(其他调用!$H$5:$L$404,MATCH($K257,其他调用!$B$5:$B$404,0),MATCH(BF$5,其他调用!$H$4:$L$4,0))*50*0.4)</f>
        <v>9.5925100500000013</v>
      </c>
      <c r="BG257" s="14">
        <f>IF(OR(BG$5="大R",BG$5="超R"),0,INDEX(其他调用!$H$5:$L$404,MATCH($K257,其他调用!$B$5:$B$404,0),MATCH(BG$5,其他调用!$H$4:$L$4,0))*50*0.4)</f>
        <v>9.4583027471839998</v>
      </c>
      <c r="BH257" s="14">
        <f>IF(OR(BH$5="大R",BH$5="超R"),0,INDEX(其他调用!$H$5:$L$404,MATCH($K257,其他调用!$B$5:$B$404,0),MATCH(BH$5,其他调用!$H$4:$L$4,0))*50*0.4)</f>
        <v>0.77208400281600009</v>
      </c>
      <c r="BI257" s="14">
        <f>IF(OR(BI$5="大R",BI$5="超R"),0,INDEX(其他调用!$H$5:$L$404,MATCH($K257,其他调用!$B$5:$B$404,0),MATCH(BI$5,其他调用!$H$4:$L$4,0))*50*0.4)</f>
        <v>0</v>
      </c>
      <c r="BJ257" s="14">
        <f>IF(OR(BJ$5="大R",BJ$5="超R"),0,INDEX(其他调用!$H$5:$L$404,MATCH($K257,其他调用!$B$5:$B$404,0),MATCH(BJ$5,其他调用!$H$4:$L$4,0))*50*0.4)</f>
        <v>0</v>
      </c>
      <c r="BL257" s="14">
        <f t="shared" si="418"/>
        <v>252</v>
      </c>
      <c r="BM257" s="14">
        <f t="shared" si="325"/>
        <v>96</v>
      </c>
      <c r="BN257" s="14">
        <f>('疲劳值&amp;地图信息'!$S$10*'疲劳值&amp;地图信息'!$R$10+'疲劳值&amp;地图信息'!$S$11*'疲劳值&amp;地图信息'!$R$11+'疲劳值&amp;地图信息'!$S$12*'疲劳值&amp;地图信息'!$R$12+(BM257-'疲劳值&amp;地图信息'!$S$12-'疲劳值&amp;地图信息'!$S$11-'疲劳值&amp;地图信息'!$S$10)*'疲劳值&amp;地图信息'!$R$13)/BM257</f>
        <v>51.371477246638619</v>
      </c>
      <c r="BO257" s="14">
        <f>INDEX(其他调用!$M$5:$M$404,MATCH(BL257,其他调用!$B$5:$B$404,0))*0.6</f>
        <v>60</v>
      </c>
      <c r="BP257" s="14">
        <f>IF(BO257&gt;SUM('疲劳值&amp;地图信息'!$S$10:$S$12),('疲劳值&amp;地图信息'!$S$10*'疲劳值&amp;地图信息'!$R$10+'疲劳值&amp;地图信息'!$S$11*'疲劳值&amp;地图信息'!$R$11+'疲劳值&amp;地图信息'!$S$12*'疲劳值&amp;地图信息'!$R$12+(BO257-'疲劳值&amp;地图信息'!$S$12-'疲劳值&amp;地图信息'!$S$11-'疲劳值&amp;地图信息'!$S$10)*'疲劳值&amp;地图信息'!$R$13)/BO257,('疲劳值&amp;地图信息'!$S$10*'疲劳值&amp;地图信息'!$R$10+'疲劳值&amp;地图信息'!$S$11*'疲劳值&amp;地图信息'!$R$11+'疲劳值&amp;地图信息'!$S$12*'疲劳值&amp;地图信息'!$R$12+(BO257-'疲劳值&amp;地图信息'!$S$12-'疲劳值&amp;地图信息'!$S$11-'疲劳值&amp;地图信息'!$S$10)*'疲劳值&amp;地图信息'!$R$13)/BO257)</f>
        <v>44.158136341605953</v>
      </c>
      <c r="BQ257" s="14">
        <f t="shared" si="419"/>
        <v>20</v>
      </c>
      <c r="BR257" s="14">
        <f>('疲劳值&amp;地图信息'!$S$10*'疲劳值&amp;地图信息'!$R$10+($BQ257-'疲劳值&amp;地图信息'!$S$10)*'疲劳值&amp;地图信息'!$R$11)/$BQ257</f>
        <v>32.067203015074995</v>
      </c>
      <c r="CF257" s="14">
        <v>252</v>
      </c>
      <c r="CG257" s="51">
        <f t="shared" si="326"/>
        <v>14842</v>
      </c>
      <c r="CH257" s="51">
        <f t="shared" si="327"/>
        <v>1101</v>
      </c>
      <c r="CI257" s="51">
        <f>INT(SUMPRODUCT($N257:$R257,$BA257:$BE257)/SUM($BA257:$BE257)/10000*$BX$7*$BZ$34/'疲劳值&amp;地图信息'!$R$10*$BY$53)</f>
        <v>3302</v>
      </c>
      <c r="CJ257" s="50">
        <f t="shared" si="328"/>
        <v>0.77121330215640427</v>
      </c>
      <c r="CK257" s="50">
        <f t="shared" si="329"/>
        <v>5.7209664848012473E-2</v>
      </c>
      <c r="CL257" s="50">
        <f t="shared" si="330"/>
        <v>0.17157703299558327</v>
      </c>
      <c r="CM257" s="14">
        <f t="shared" si="331"/>
        <v>16090</v>
      </c>
      <c r="CN257" s="14">
        <f t="shared" si="332"/>
        <v>1848</v>
      </c>
      <c r="CO257" s="14">
        <f>INT(SUMPRODUCT($U257:$Y257,$BA257:$BE257)/SUM($BA257:$BE257)/10000*$BX$7*$BZ$34/'疲劳值&amp;地图信息'!$R$10*$BY$54)</f>
        <v>6258</v>
      </c>
      <c r="CP257" s="50">
        <f t="shared" si="333"/>
        <v>0.66498594809059353</v>
      </c>
      <c r="CQ257" s="50">
        <f t="shared" si="334"/>
        <v>7.6376260538932053E-2</v>
      </c>
      <c r="CR257" s="50">
        <f t="shared" si="335"/>
        <v>0.25863779137047443</v>
      </c>
      <c r="CS257" s="14">
        <f t="shared" si="336"/>
        <v>17651</v>
      </c>
      <c r="CT257" s="14">
        <f t="shared" si="337"/>
        <v>3143</v>
      </c>
      <c r="CU257" s="14">
        <f>INT(SUMPRODUCT($AB257:$AF257,$BA257:$BE257)/SUM($BA257:$BE257)/10000*$BX$7*$BZ$34/'疲劳值&amp;地图信息'!$R$10*$BY$55)</f>
        <v>8498</v>
      </c>
      <c r="CV257" s="50">
        <f t="shared" si="338"/>
        <v>0.60258773726614778</v>
      </c>
      <c r="CW257" s="50">
        <f t="shared" si="339"/>
        <v>0.10729892120715553</v>
      </c>
      <c r="CX257" s="50">
        <f t="shared" si="340"/>
        <v>0.29011334152669671</v>
      </c>
      <c r="CY257" s="14">
        <f t="shared" si="341"/>
        <v>21270</v>
      </c>
      <c r="CZ257" s="14">
        <f t="shared" si="342"/>
        <v>9334</v>
      </c>
      <c r="DA257" s="14">
        <f>INT(SUMPRODUCT($AI257:$AM257,$BA257:$BE257)/SUM($BA257:$BE257)/10000*$BX$7*$BZ$34/'疲劳值&amp;地图信息'!$R$10*$BY$56)</f>
        <v>12821</v>
      </c>
      <c r="DB257" s="50">
        <f t="shared" si="343"/>
        <v>0.48981001727115719</v>
      </c>
      <c r="DC257" s="50">
        <f t="shared" si="344"/>
        <v>0.21494530800230283</v>
      </c>
      <c r="DD257" s="50">
        <f t="shared" si="345"/>
        <v>0.29524467472654004</v>
      </c>
      <c r="DE257" s="14">
        <f t="shared" si="346"/>
        <v>22270</v>
      </c>
      <c r="DF257" s="14">
        <f t="shared" si="347"/>
        <v>15719</v>
      </c>
      <c r="DG257" s="14">
        <f>INT(SUMPRODUCT($AP257:$AT257,$BA257:$BE257)/SUM($BA257:$BE257)/10000*$BX$7*$BZ$34/'疲劳值&amp;地图信息'!$R$10*$BY$57)</f>
        <v>17115</v>
      </c>
      <c r="DH257" s="50">
        <f t="shared" si="348"/>
        <v>0.40414488966318235</v>
      </c>
      <c r="DI257" s="50">
        <f t="shared" si="349"/>
        <v>0.28526059814169569</v>
      </c>
      <c r="DJ257" s="50">
        <f t="shared" si="350"/>
        <v>0.31059451219512196</v>
      </c>
      <c r="DL257" s="14">
        <f t="shared" si="421"/>
        <v>19245</v>
      </c>
      <c r="DM257" s="14">
        <f t="shared" si="422"/>
        <v>24196</v>
      </c>
      <c r="DN257" s="14">
        <f t="shared" si="423"/>
        <v>29292</v>
      </c>
      <c r="DO257" s="14">
        <f t="shared" si="424"/>
        <v>43425</v>
      </c>
      <c r="DP257" s="14">
        <f t="shared" si="425"/>
        <v>55104</v>
      </c>
      <c r="DQ257" s="14">
        <f t="shared" si="426"/>
        <v>1332695</v>
      </c>
      <c r="DT257" s="14">
        <f t="shared" si="420"/>
        <v>235575</v>
      </c>
      <c r="DU257" s="50">
        <f t="shared" si="322"/>
        <v>0.15021329235399516</v>
      </c>
      <c r="DW257" s="14">
        <f t="shared" si="351"/>
        <v>1568270</v>
      </c>
      <c r="EB257" s="14">
        <v>252</v>
      </c>
      <c r="EC257" s="51">
        <f t="shared" si="352"/>
        <v>24737</v>
      </c>
      <c r="ED257" s="51">
        <f t="shared" si="353"/>
        <v>1836</v>
      </c>
      <c r="EE257" s="51">
        <f>INT(SUMPRODUCT($N257:$R257,$BF257:$BJ257)/SUM($BF257:$BJ257)/10000*$BX$7*$BZ$46/'疲劳值&amp;地图信息'!$R$10*$BY$53)</f>
        <v>443</v>
      </c>
      <c r="EF257" s="50">
        <f t="shared" si="354"/>
        <v>0.91564258217352679</v>
      </c>
      <c r="EG257" s="50">
        <f t="shared" si="355"/>
        <v>6.7959727568848091E-2</v>
      </c>
      <c r="EH257" s="50">
        <f t="shared" si="356"/>
        <v>1.6397690257625112E-2</v>
      </c>
      <c r="EI257" s="51">
        <f t="shared" si="357"/>
        <v>26817</v>
      </c>
      <c r="EJ257" s="51">
        <f t="shared" si="358"/>
        <v>3081</v>
      </c>
      <c r="EK257" s="14">
        <f>INT(SUMPRODUCT($U257:$Y257,$BF257:$BJ257)/SUM($BF257:$BJ257)/10000*$BX$7*$BZ$46/'疲劳值&amp;地图信息'!$R$10*$BY$54)</f>
        <v>840</v>
      </c>
      <c r="EL257" s="50">
        <f t="shared" si="359"/>
        <v>0.87243802459496389</v>
      </c>
      <c r="EM257" s="50">
        <f t="shared" si="360"/>
        <v>0.10023423775131758</v>
      </c>
      <c r="EN257" s="50">
        <f t="shared" si="361"/>
        <v>2.7327737653718525E-2</v>
      </c>
      <c r="EO257" s="51">
        <f t="shared" si="362"/>
        <v>29418</v>
      </c>
      <c r="EP257" s="51">
        <f t="shared" si="363"/>
        <v>5239</v>
      </c>
      <c r="EQ257" s="14">
        <f>INT(SUMPRODUCT($AB257:$AF257,$BF257:$BJ257)/SUM($BF257:$BJ257)/10000*$BX$7*$BZ$46/'疲劳值&amp;地图信息'!$R$10*$BY$55)</f>
        <v>1139</v>
      </c>
      <c r="ER257" s="50">
        <f t="shared" si="364"/>
        <v>0.82182366744887692</v>
      </c>
      <c r="ES257" s="50">
        <f t="shared" si="365"/>
        <v>0.14635713487540508</v>
      </c>
      <c r="ET257" s="50">
        <f t="shared" si="366"/>
        <v>3.1819197675717954E-2</v>
      </c>
      <c r="EU257" s="51">
        <f t="shared" si="367"/>
        <v>35451</v>
      </c>
      <c r="EV257" s="51">
        <f t="shared" si="368"/>
        <v>15557</v>
      </c>
      <c r="EW257" s="14">
        <f>INT(SUMPRODUCT($AI257:$AM257,$BF257:$BJ257)/SUM($BF257:$BJ257)/10000*$BX$7*$BZ$46/'疲劳值&amp;地图信息'!$R$10*$BY$56)</f>
        <v>1709</v>
      </c>
      <c r="EX257" s="50">
        <f t="shared" si="369"/>
        <v>0.67247756890566612</v>
      </c>
      <c r="EY257" s="50">
        <f t="shared" si="370"/>
        <v>0.29510404613312596</v>
      </c>
      <c r="EZ257" s="50">
        <f t="shared" si="371"/>
        <v>3.2418384961207962E-2</v>
      </c>
      <c r="FA257" s="51">
        <f t="shared" si="372"/>
        <v>37117</v>
      </c>
      <c r="FB257" s="51">
        <f t="shared" si="373"/>
        <v>26199</v>
      </c>
      <c r="FC257" s="14">
        <f>INT(SUMPRODUCT($AP257:$AT257,$BF257:$BJ257)/SUM($BF257:$BJ257)/10000*$BX$7*$BZ$46/'疲劳值&amp;地图信息'!$R$10*$BY$57)</f>
        <v>2279</v>
      </c>
      <c r="FD257" s="50">
        <f t="shared" si="374"/>
        <v>0.56585105572071037</v>
      </c>
      <c r="FE257" s="50">
        <f t="shared" si="375"/>
        <v>0.39940544248799453</v>
      </c>
      <c r="FF257" s="50">
        <f t="shared" si="376"/>
        <v>3.4743501791295067E-2</v>
      </c>
      <c r="FH257" s="14">
        <f t="shared" si="377"/>
        <v>27016</v>
      </c>
      <c r="FI257" s="14">
        <f t="shared" si="378"/>
        <v>30738</v>
      </c>
      <c r="FJ257" s="14">
        <f t="shared" si="379"/>
        <v>35796</v>
      </c>
      <c r="FK257" s="14">
        <f t="shared" si="380"/>
        <v>52717</v>
      </c>
      <c r="FL257" s="14">
        <f t="shared" si="381"/>
        <v>65595</v>
      </c>
      <c r="FM257" s="14">
        <f t="shared" si="382"/>
        <v>3181966</v>
      </c>
      <c r="FP257" s="14">
        <f t="shared" si="383"/>
        <v>334150</v>
      </c>
      <c r="FQ257" s="50">
        <f t="shared" si="323"/>
        <v>9.5033838474043522E-2</v>
      </c>
      <c r="FS257" s="14">
        <f t="shared" si="384"/>
        <v>3516116</v>
      </c>
      <c r="FX257" s="14">
        <v>252</v>
      </c>
      <c r="FY257" s="51">
        <f t="shared" si="385"/>
        <v>34633</v>
      </c>
      <c r="FZ257" s="51">
        <f t="shared" si="386"/>
        <v>1836</v>
      </c>
      <c r="GA257" s="51">
        <f>INT(SUMPRODUCT($N257:$R257,$BF257:$BJ257)/SUM($BF257:$BJ257)/10000*$BX$7*$BZ$46/'疲劳值&amp;地图信息'!$R$10*$BY$53)</f>
        <v>443</v>
      </c>
      <c r="GB257" s="50">
        <f t="shared" si="387"/>
        <v>0.93825856090160387</v>
      </c>
      <c r="GC257" s="50">
        <f t="shared" si="388"/>
        <v>4.973992197659298E-2</v>
      </c>
      <c r="GD257" s="50">
        <f t="shared" si="389"/>
        <v>1.2001517121803208E-2</v>
      </c>
      <c r="GE257" s="51">
        <f t="shared" si="390"/>
        <v>37544</v>
      </c>
      <c r="GF257" s="51">
        <f t="shared" si="391"/>
        <v>3081</v>
      </c>
      <c r="GG257" s="14">
        <f>INT(SUMPRODUCT($U257:$Y257,$BF257:$BJ257)/SUM($BF257:$BJ257)/10000*$BX$7*$BZ$46/'疲劳值&amp;地图信息'!$R$10*$BY$54)</f>
        <v>840</v>
      </c>
      <c r="GH257" s="50">
        <f t="shared" si="392"/>
        <v>0.90543832147594361</v>
      </c>
      <c r="GI257" s="50">
        <f t="shared" si="393"/>
        <v>7.430362956710479E-2</v>
      </c>
      <c r="GJ257" s="50">
        <f t="shared" si="394"/>
        <v>2.0258048956951647E-2</v>
      </c>
      <c r="GK257" s="51">
        <f t="shared" si="395"/>
        <v>41186</v>
      </c>
      <c r="GL257" s="51">
        <f t="shared" si="396"/>
        <v>5239</v>
      </c>
      <c r="GM257" s="14">
        <f>INT(SUMPRODUCT($AB257:$AF257,$BF257:$BJ257)/SUM($BF257:$BJ257)/10000*$BX$7*$BZ$46/'疲劳值&amp;地图信息'!$R$10*$BY$55)</f>
        <v>1139</v>
      </c>
      <c r="GN257" s="50">
        <f t="shared" si="397"/>
        <v>0.86590698847868131</v>
      </c>
      <c r="GO257" s="50">
        <f t="shared" si="398"/>
        <v>0.11014632915650492</v>
      </c>
      <c r="GP257" s="50">
        <f t="shared" si="399"/>
        <v>2.3946682364813725E-2</v>
      </c>
      <c r="GQ257" s="51">
        <f t="shared" si="400"/>
        <v>49631</v>
      </c>
      <c r="GR257" s="51">
        <f t="shared" si="401"/>
        <v>15557</v>
      </c>
      <c r="GS257" s="14">
        <f>INT(SUMPRODUCT($AI257:$AM257,$BF257:$BJ257)/SUM($BF257:$BJ257)/10000*$BX$7*$BZ$46/'疲劳值&amp;地图信息'!$R$10*$BY$56)</f>
        <v>1709</v>
      </c>
      <c r="GT257" s="50">
        <f t="shared" si="402"/>
        <v>0.74190172952449285</v>
      </c>
      <c r="GU257" s="50">
        <f t="shared" si="403"/>
        <v>0.23255153444848051</v>
      </c>
      <c r="GV257" s="50">
        <f t="shared" si="404"/>
        <v>2.5546736027026624E-2</v>
      </c>
      <c r="GW257" s="51">
        <f t="shared" si="405"/>
        <v>51964</v>
      </c>
      <c r="GX257" s="51">
        <f t="shared" si="406"/>
        <v>26199</v>
      </c>
      <c r="GY257" s="14">
        <f>INT(SUMPRODUCT($AP257:$AT257,$BF257:$BJ257)/SUM($BF257:$BJ257)/10000*$BX$7*$BZ$46/'疲劳值&amp;地图信息'!$R$10*$BY$57)</f>
        <v>2279</v>
      </c>
      <c r="GZ257" s="50">
        <f t="shared" si="407"/>
        <v>0.64598095522239629</v>
      </c>
      <c r="HA257" s="50">
        <f t="shared" si="408"/>
        <v>0.3256880733944954</v>
      </c>
      <c r="HB257" s="50">
        <f t="shared" si="409"/>
        <v>2.8330971383108326E-2</v>
      </c>
      <c r="HD257" s="14">
        <f t="shared" si="410"/>
        <v>36912</v>
      </c>
      <c r="HE257" s="14">
        <f t="shared" si="411"/>
        <v>41465</v>
      </c>
      <c r="HF257" s="14">
        <f t="shared" si="412"/>
        <v>47564</v>
      </c>
      <c r="HG257" s="14">
        <f t="shared" si="413"/>
        <v>66897</v>
      </c>
      <c r="HH257" s="14">
        <f t="shared" si="414"/>
        <v>80442</v>
      </c>
      <c r="HI257" s="14">
        <f t="shared" si="415"/>
        <v>4287930</v>
      </c>
      <c r="HL257" s="14">
        <f t="shared" si="416"/>
        <v>430050</v>
      </c>
      <c r="HM257" s="50">
        <f t="shared" si="324"/>
        <v>9.1151297801177616E-2</v>
      </c>
      <c r="HO257" s="14">
        <f t="shared" si="417"/>
        <v>4717980</v>
      </c>
    </row>
    <row r="258" spans="11:223" x14ac:dyDescent="0.2">
      <c r="K258" s="14">
        <v>253</v>
      </c>
      <c r="L258" s="12">
        <f>求节点(节奏总纲!D$4:D$163,标准城池设计!AB$4:AB$163,$K258)*求节点(节奏总纲!D$4:D$163,攻城基础信息!$AC$5:$AC$164,$K258)</f>
        <v>729629.68800465239</v>
      </c>
      <c r="M258" s="12">
        <f>INDEX(其他调用!$AA$5:$AA$404,MATCH(K258,其他调用!$X$5:$X$404,0))*MIN(INDEX(其他调用!$AH$5:$AH$364,MATCH('征服点（新）'!K258,其他调用!$AG$5:$AG$364,0),1)/INDEX(其他调用!$AJ$5:$AJ$364,MATCH(K258,其他调用!$AG$5:$AG$364,0),0),5)*求节点(节奏总纲!D$4:D$163,攻城基础信息!$AC$5:$AC$164,$K258)</f>
        <v>54080.799361434983</v>
      </c>
      <c r="N258" s="12">
        <f>MIN(INDEX(其他调用!$AH$5:$AH$364,MATCH($K258,其他调用!$AG$5:$AG$364,0),1)/INDEX(其他调用!AH$5:AH$364,MATCH($K258,其他调用!$AG$5:$AG$364,0),0),1)*INDEX(其他调用!Y$5:Y$404,MATCH($K258,其他调用!$X$5:$X$404,0),0)</f>
        <v>41489.556479206993</v>
      </c>
      <c r="O258" s="12">
        <f>MIN(INDEX(其他调用!$AH$5:$AH$364,MATCH($K258,其他调用!$AG$5:$AG$364,0),1)/INDEX(其他调用!AI$5:AI$364,MATCH($K258,其他调用!$AG$5:$AG$364,0),0),1)*INDEX(其他调用!Z$5:Z$404,MATCH($K258,其他调用!$X$5:$X$404,0),0)</f>
        <v>25395.569108563319</v>
      </c>
      <c r="P258" s="12">
        <f>MIN(INDEX(其他调用!$AH$5:$AH$364,MATCH($K258,其他调用!$AG$5:$AG$364,0),1)/INDEX(其他调用!AJ$5:AJ$364,MATCH($K258,其他调用!$AG$5:$AG$364,0),0),1)*INDEX(其他调用!AA$5:AA$404,MATCH($K258,其他调用!$X$5:$X$404,0),0)</f>
        <v>15468.843865890727</v>
      </c>
      <c r="Q258" s="12">
        <f>MIN(INDEX(其他调用!$AH$5:$AH$364,MATCH($K258,其他调用!$AG$5:$AG$364,0),1)/INDEX(其他调用!AK$5:AK$364,MATCH($K258,其他调用!$AG$5:$AG$364,0),0),1)*INDEX(其他调用!AB$5:AB$404,MATCH($K258,其他调用!$X$5:$X$404,0),0)</f>
        <v>5472.4944280160498</v>
      </c>
      <c r="R258" s="12">
        <f>MIN(INDEX(其他调用!$AH$5:$AH$364,MATCH($K258,其他调用!$AG$5:$AG$364,0),1)/INDEX(其他调用!AL$5:AL$364,MATCH($K258,其他调用!$AG$5:$AG$364,0),0),1)*INDEX(其他调用!AC$5:AC$404,MATCH($K258,其他调用!$X$5:$X$404,0),0)</f>
        <v>3001.6680855268983</v>
      </c>
      <c r="S258" s="12">
        <f>求节点(节奏总纲!D$4:D$163,标准城池设计!AC$4:AC$163,$K258)*求节点(节奏总纲!D$4:D$163,攻城基础信息!$AD$5:$AD$164,$K258)</f>
        <v>791302.86871709267</v>
      </c>
      <c r="T258" s="12">
        <f>INDEX(其他调用!$AA$5:$AA$404,MATCH($K258,其他调用!$X$5:$X$404,0))*MIN(INDEX(其他调用!AI$5:AI$364,MATCH($K258,其他调用!$AG$5:$AG$364,0),1)/INDEX(其他调用!$AJ$5:$AJ$364,MATCH($K258,其他调用!$AG$5:$AG$364,0),0),5)*求节点(节奏总纲!D$4:D$163,攻城基础信息!$AD$5:$AD$164,$K258)</f>
        <v>90825.283700656742</v>
      </c>
      <c r="U258" s="12">
        <f>MIN(INDEX(其他调用!$AI$5:$AI$364,MATCH($K258,其他调用!$AG$5:$AG$364,0),1)/INDEX(其他调用!AH$5:AH$364,MATCH($K258,其他调用!$AG$5:$AG$364,0),0),1)*INDEX(其他调用!Y$5:Y$404,MATCH($K258,其他调用!$X$5:$X$404,0),0)</f>
        <v>41489.556479206993</v>
      </c>
      <c r="V258" s="12">
        <f>MIN(INDEX(其他调用!$AI$5:$AI$364,MATCH($K258,其他调用!$AG$5:$AG$364,0),1)/INDEX(其他调用!AI$5:AI$364,MATCH($K258,其他调用!$AG$5:$AG$364,0),0),1)*INDEX(其他调用!Z$5:Z$404,MATCH($K258,其他调用!$X$5:$X$404,0),0)</f>
        <v>42650.252885679525</v>
      </c>
      <c r="W258" s="12">
        <f>MIN(INDEX(其他调用!$AI$5:$AI$364,MATCH($K258,其他调用!$AG$5:$AG$364,0),1)/INDEX(其他调用!AJ$5:AJ$364,MATCH($K258,其他调用!$AG$5:$AG$364,0),0),1)*INDEX(其他调用!AA$5:AA$404,MATCH($K258,其他调用!$X$5:$X$404,0),0)</f>
        <v>25978.945378580469</v>
      </c>
      <c r="X258" s="12">
        <f>MIN(INDEX(其他调用!$AI$5:$AI$364,MATCH($K258,其他调用!$AG$5:$AG$364,0),1)/INDEX(其他调用!AK$5:AK$364,MATCH($K258,其他调用!$AG$5:$AG$364,0),0),1)*INDEX(其他调用!AB$5:AB$404,MATCH($K258,其他调用!$X$5:$X$404,0),0)</f>
        <v>9190.7084370735247</v>
      </c>
      <c r="Y258" s="12">
        <f>MIN(INDEX(其他调用!$AI$5:$AI$364,MATCH($K258,其他调用!$AG$5:$AG$364,0),1)/INDEX(其他调用!AL$5:AL$364,MATCH($K258,其他调用!$AG$5:$AG$364,0),0),1)*INDEX(其他调用!AC$5:AC$404,MATCH($K258,其他调用!$X$5:$X$404,0),0)</f>
        <v>5041.1117931366643</v>
      </c>
      <c r="Z258" s="12">
        <f>求节点(节奏总纲!D$4:D$163,标准城池设计!AD$4:AD$163,$K258)*求节点(节奏总纲!D$4:D$163,攻城基础信息!$AE$5:$AE$164,$K258)</f>
        <v>868219.88941467262</v>
      </c>
      <c r="AA258" s="12">
        <f>INDEX(其他调用!$AA$5:$AA$404,MATCH($K258,其他调用!$X$5:$X$404,0))*MIN(INDEX(其他调用!AJ$5:AJ$364,MATCH($K258,其他调用!$AG$5:$AG$364,0),1)/INDEX(其他调用!$AJ$5:$AJ$364,MATCH($K258,其他调用!$AG$5:$AG$364,0),0),5)*求节点(节奏总纲!D$4:D$163,攻城基础信息!$AE$5:$AE$164,$K258)</f>
        <v>154428.08629722861</v>
      </c>
      <c r="AB258" s="12">
        <f>MIN(INDEX(其他调用!$AJ$5:$AJ$364,MATCH($K258,其他调用!$AG$5:$AG$364,0),1)/INDEX(其他调用!AH$5:AH$364,MATCH($K258,其他调用!$AG$5:$AG$364,0),0),1)*INDEX(其他调用!Y$5:Y$404,MATCH($K258,其他调用!$X$5:$X$404,0),0)</f>
        <v>41489.556479206993</v>
      </c>
      <c r="AC258" s="12">
        <f>MIN(INDEX(其他调用!$AJ$5:$AJ$364,MATCH($K258,其他调用!$AG$5:$AG$364,0),1)/INDEX(其他调用!AI$5:AI$364,MATCH($K258,其他调用!$AG$5:$AG$364,0),0),1)*INDEX(其他调用!Z$5:Z$404,MATCH($K258,其他调用!$X$5:$X$404,0),0)</f>
        <v>42650.252885679525</v>
      </c>
      <c r="AD258" s="12">
        <f>MIN(INDEX(其他调用!$AJ$5:$AJ$364,MATCH($K258,其他调用!$AG$5:$AG$364,0),1)/INDEX(其他调用!AJ$5:AJ$364,MATCH($K258,其他调用!$AG$5:$AG$364,0),0),1)*INDEX(其他调用!AA$5:AA$404,MATCH($K258,其他调用!$X$5:$X$404,0),0)</f>
        <v>44171.387694827579</v>
      </c>
      <c r="AE258" s="12">
        <f>MIN(INDEX(其他调用!$AJ$5:$AJ$364,MATCH($K258,其他调用!$AG$5:$AG$364,0),1)/INDEX(其他调用!AK$5:AK$364,MATCH($K258,其他调用!$AG$5:$AG$364,0),0),1)*INDEX(其他调用!AB$5:AB$404,MATCH($K258,其他调用!$X$5:$X$404,0),0)</f>
        <v>15626.744644484879</v>
      </c>
      <c r="AF258" s="12">
        <f>MIN(INDEX(其他调用!$AJ$5:$AJ$364,MATCH($K258,其他调用!$AG$5:$AG$364,0),1)/INDEX(其他调用!AL$5:AL$364,MATCH($K258,其他调用!$AG$5:$AG$364,0),0),1)*INDEX(其他调用!AC$5:AC$404,MATCH($K258,其他调用!$X$5:$X$404,0),0)</f>
        <v>8571.2834059538054</v>
      </c>
      <c r="AG258" s="12">
        <f>求节点(节奏总纲!D$4:D$163,标准城池设计!AE$4:AE$163,$K258)*求节点(节奏总纲!D$4:D$163,攻城基础信息!$AF$5:$AF$164,$K258)</f>
        <v>1046335.7202611173</v>
      </c>
      <c r="AH258" s="12">
        <f>INDEX(其他调用!$AA$5:$AA$404,MATCH($K258,其他调用!$X$5:$X$404,0))*MIN(INDEX(其他调用!AK$5:AK$364,MATCH($K258,其他调用!$AG$5:$AG$364,0),1)/INDEX(其他调用!$AJ$5:$AJ$364,MATCH($K258,其他调用!$AG$5:$AG$364,0),0),5)*求节点(节奏总纲!D$4:D$163,攻城基础信息!$AF$5:$AF$164,$K258)</f>
        <v>458625.38123489986</v>
      </c>
      <c r="AI258" s="12">
        <f>MIN(INDEX(其他调用!$AK$5:$AK$364,MATCH($K258,其他调用!$AG$5:$AG$364,0),1)/INDEX(其他调用!AH$5:AH$364,MATCH($K258,其他调用!$AG$5:$AG$364,0),0),1)*INDEX(其他调用!Y$5:Y$404,MATCH($K258,其他调用!$X$5:$X$404,0),0)</f>
        <v>41489.556479206993</v>
      </c>
      <c r="AJ258" s="12">
        <f>MIN(INDEX(其他调用!$AK$5:$AK$364,MATCH($K258,其他调用!$AG$5:$AG$364,0),1)/INDEX(其他调用!AI$5:AI$364,MATCH($K258,其他调用!$AG$5:$AG$364,0),0),1)*INDEX(其他调用!Z$5:Z$404,MATCH($K258,其他调用!$X$5:$X$404,0),0)</f>
        <v>42650.252885679525</v>
      </c>
      <c r="AK258" s="12">
        <f>MIN(INDEX(其他调用!$AK$5:$AK$364,MATCH($K258,其他调用!$AG$5:$AG$364,0),1)/INDEX(其他调用!AJ$5:AJ$364,MATCH($K258,其他调用!$AG$5:$AG$364,0),0),1)*INDEX(其他调用!AA$5:AA$404,MATCH($K258,其他调用!$X$5:$X$404,0),0)</f>
        <v>44171.387694827579</v>
      </c>
      <c r="AL258" s="12">
        <f>MIN(INDEX(其他调用!$AK$5:$AK$364,MATCH($K258,其他调用!$AG$5:$AG$364,0),1)/INDEX(其他调用!AK$5:AK$364,MATCH($K258,其他调用!$AG$5:$AG$364,0),0),1)*INDEX(其他调用!AB$5:AB$404,MATCH($K258,其他调用!$X$5:$X$404,0),0)</f>
        <v>46408.797077516618</v>
      </c>
      <c r="AM258" s="12">
        <f>MIN(INDEX(其他调用!$AK$5:$AK$364,MATCH($K258,其他调用!$AG$5:$AG$364,0),1)/INDEX(其他调用!AL$5:AL$364,MATCH($K258,其他调用!$AG$5:$AG$364,0),0),1)*INDEX(其他调用!AC$5:AC$404,MATCH($K258,其他调用!$X$5:$X$404,0),0)</f>
        <v>25455.266680970853</v>
      </c>
      <c r="AN258" s="12">
        <f>求节点(节奏总纲!D$4:D$163,标准城池设计!AF$4:AF$163,$K258)*求节点(节奏总纲!D$4:D$163,攻城基础信息!$AG$5:$AG$164,$K258)</f>
        <v>1095511.6052912052</v>
      </c>
      <c r="AO258" s="12">
        <f>INDEX(其他调用!$AA$5:$AA$404,MATCH($K258,其他调用!$X$5:$X$404,0))*MIN(INDEX(其他调用!AL$5:AL$364,MATCH($K258,其他调用!$AG$5:$AG$364,0),1)/INDEX(其他调用!$AJ$5:$AJ$364,MATCH($K258,其他调用!$AG$5:$AG$364,0),0),5)*求节点(节奏总纲!D$4:D$163,攻城基础信息!$AG$5:$AG$164,$K258)</f>
        <v>772140.43148614303</v>
      </c>
      <c r="AP258" s="12">
        <f>MIN(INDEX(其他调用!$AL$5:$AL$364,MATCH($K258,其他调用!$AG$5:$AG$364,0),1)/INDEX(其他调用!AH$5:AH$364,MATCH($K258,其他调用!$AG$5:$AG$364,0),0),1)*INDEX(其他调用!Y$5:Y$404,MATCH($K258,其他调用!$X$5:$X$404,0),0)</f>
        <v>41489.556479206993</v>
      </c>
      <c r="AQ258" s="12">
        <f>MIN(INDEX(其他调用!$AL$5:$AL$364,MATCH($K258,其他调用!$AG$5:$AG$364,0),1)/INDEX(其他调用!AI$5:AI$364,MATCH($K258,其他调用!$AG$5:$AG$364,0),0),1)*INDEX(其他调用!Z$5:Z$404,MATCH($K258,其他调用!$X$5:$X$404,0),0)</f>
        <v>42650.252885679525</v>
      </c>
      <c r="AR258" s="12">
        <f>MIN(INDEX(其他调用!$AL$5:$AL$364,MATCH($K258,其他调用!$AG$5:$AG$364,0),1)/INDEX(其他调用!AJ$5:AJ$364,MATCH($K258,其他调用!$AG$5:$AG$364,0),0),1)*INDEX(其他调用!AA$5:AA$404,MATCH($K258,其他调用!$X$5:$X$404,0),0)</f>
        <v>44171.387694827579</v>
      </c>
      <c r="AS258" s="12">
        <f>MIN(INDEX(其他调用!$AL$5:$AL$364,MATCH($K258,其他调用!$AG$5:$AG$364,0),1)/INDEX(其他调用!AK$5:AK$364,MATCH($K258,其他调用!$AG$5:$AG$364,0),0),1)*INDEX(其他调用!AB$5:AB$404,MATCH($K258,其他调用!$X$5:$X$404,0),0)</f>
        <v>46408.797077516618</v>
      </c>
      <c r="AT258" s="12">
        <f>MIN(INDEX(其他调用!$AL$5:$AL$364,MATCH($K258,其他调用!$AG$5:$AG$364,0),1)/INDEX(其他调用!AL$5:AL$364,MATCH($K258,其他调用!$AG$5:$AG$364,0),0),1)*INDEX(其他调用!AC$5:AC$404,MATCH($K258,其他调用!$X$5:$X$404,0),0)</f>
        <v>50297.490434523454</v>
      </c>
      <c r="AV258" s="14">
        <f>IF(OR(AV$5="大R",AV$5="超R"),MAX(INDEX(其他调用!$H$5:$L$404,MATCH($K258,其他调用!$B$5:$B$404,0),MATCH(AV$5,其他调用!$H$4:$L$4,0))*120*0.85,2),INDEX(其他调用!$H$5:$L$404,MATCH($K258,其他调用!$B$5:$B$404,0),MATCH(AV$5,其他调用!$H$4:$L$4,0))*120*0.85)</f>
        <v>48.921801254999991</v>
      </c>
      <c r="AW258" s="14">
        <f>IF(OR(AW$5="大R",AW$5="超R"),MAX(INDEX(其他调用!$H$5:$L$404,MATCH($K258,其他调用!$B$5:$B$404,0),MATCH(AW$5,其他调用!$H$4:$L$4,0))*120*0.85,2),INDEX(其他调用!$H$5:$L$404,MATCH($K258,其他调用!$B$5:$B$404,0),MATCH(AW$5,其他调用!$H$4:$L$4,0))*120*0.85)</f>
        <v>48.237344010638395</v>
      </c>
      <c r="AX258" s="14">
        <f>IF(OR(AX$5="大R",AX$5="超R"),MAX(INDEX(其他调用!$H$5:$L$404,MATCH($K258,其他调用!$B$5:$B$404,0),MATCH(AX$5,其他调用!$H$4:$L$4,0))*120*0.85,2),INDEX(其他调用!$H$5:$L$404,MATCH($K258,其他调用!$B$5:$B$404,0),MATCH(AX$5,其他调用!$H$4:$L$4,0))*120*0.85)</f>
        <v>3.9376284143615998</v>
      </c>
      <c r="AY258" s="14">
        <f>IF(OR(AY$5="大R",AY$5="超R"),MAX(INDEX(其他调用!$H$5:$L$404,MATCH($K258,其他调用!$B$5:$B$404,0),MATCH(AY$5,其他调用!$H$4:$L$4,0))*120*0.85,2),INDEX(其他调用!$H$5:$L$404,MATCH($K258,其他调用!$B$5:$B$404,0),MATCH(AY$5,其他调用!$H$4:$L$4,0))*120*0.85)</f>
        <v>2</v>
      </c>
      <c r="AZ258" s="14">
        <f>IF(OR(AZ$5="大R",AZ$5="超R"),MAX(INDEX(其他调用!$H$5:$L$404,MATCH($K258,其他调用!$B$5:$B$404,0),MATCH(AZ$5,其他调用!$H$4:$L$4,0))*120*0.85,2),INDEX(其他调用!$H$5:$L$404,MATCH($K258,其他调用!$B$5:$B$404,0),MATCH(AZ$5,其他调用!$H$4:$L$4,0))*120*0.85)</f>
        <v>2</v>
      </c>
      <c r="BA258" s="14">
        <f>INDEX(其他调用!$H$5:$L$404,MATCH($K258,其他调用!$B$5:$B$404,0),MATCH(BA$5,其他调用!$H$4:$L$4,0))*INDEX(其他调用!$M$5:$M$404,MATCH($K258,其他调用!$B$5:$B$404,0))*0.6</f>
        <v>28.777530149999997</v>
      </c>
      <c r="BB258" s="14">
        <f>INDEX(其他调用!$H$5:$L$404,MATCH($K258,其他调用!$B$5:$B$404,0),MATCH(BB$5,其他调用!$H$4:$L$4,0))*INDEX(其他调用!$M$5:$M$404,MATCH($K258,其他调用!$B$5:$B$404,0))*0.6</f>
        <v>28.374908241551999</v>
      </c>
      <c r="BC258" s="14">
        <f>INDEX(其他调用!$H$5:$L$404,MATCH($K258,其他调用!$B$5:$B$404,0),MATCH(BC$5,其他调用!$H$4:$L$4,0))*INDEX(其他调用!$M$5:$M$404,MATCH($K258,其他调用!$B$5:$B$404,0))*0.6</f>
        <v>2.3162520084480001</v>
      </c>
      <c r="BD258" s="14">
        <f>INDEX(其他调用!$H$5:$L$404,MATCH($K258,其他调用!$B$5:$B$404,0),MATCH(BD$5,其他调用!$H$4:$L$4,0))*INDEX(其他调用!$M$5:$M$404,MATCH($K258,其他调用!$B$5:$B$404,0))*0.6</f>
        <v>0.4120776000000001</v>
      </c>
      <c r="BE258" s="14">
        <f>INDEX(其他调用!$H$5:$L$404,MATCH($K258,其他调用!$B$5:$B$404,0),MATCH(BE$5,其他调用!$H$4:$L$4,0))*INDEX(其他调用!$M$5:$M$404,MATCH($K258,其他调用!$B$5:$B$404,0))*0.6</f>
        <v>0.11923199999999998</v>
      </c>
      <c r="BF258" s="14">
        <f>IF(OR(BF$5="大R",BF$5="超R"),0,INDEX(其他调用!$H$5:$L$404,MATCH($K258,其他调用!$B$5:$B$404,0),MATCH(BF$5,其他调用!$H$4:$L$4,0))*50*0.4)</f>
        <v>9.5925100500000013</v>
      </c>
      <c r="BG258" s="14">
        <f>IF(OR(BG$5="大R",BG$5="超R"),0,INDEX(其他调用!$H$5:$L$404,MATCH($K258,其他调用!$B$5:$B$404,0),MATCH(BG$5,其他调用!$H$4:$L$4,0))*50*0.4)</f>
        <v>9.4583027471839998</v>
      </c>
      <c r="BH258" s="14">
        <f>IF(OR(BH$5="大R",BH$5="超R"),0,INDEX(其他调用!$H$5:$L$404,MATCH($K258,其他调用!$B$5:$B$404,0),MATCH(BH$5,其他调用!$H$4:$L$4,0))*50*0.4)</f>
        <v>0.77208400281600009</v>
      </c>
      <c r="BI258" s="14">
        <f>IF(OR(BI$5="大R",BI$5="超R"),0,INDEX(其他调用!$H$5:$L$404,MATCH($K258,其他调用!$B$5:$B$404,0),MATCH(BI$5,其他调用!$H$4:$L$4,0))*50*0.4)</f>
        <v>0</v>
      </c>
      <c r="BJ258" s="14">
        <f>IF(OR(BJ$5="大R",BJ$5="超R"),0,INDEX(其他调用!$H$5:$L$404,MATCH($K258,其他调用!$B$5:$B$404,0),MATCH(BJ$5,其他调用!$H$4:$L$4,0))*50*0.4)</f>
        <v>0</v>
      </c>
      <c r="BL258" s="14">
        <f t="shared" si="418"/>
        <v>253</v>
      </c>
      <c r="BM258" s="14">
        <f t="shared" si="325"/>
        <v>96</v>
      </c>
      <c r="BN258" s="14">
        <f>('疲劳值&amp;地图信息'!$S$10*'疲劳值&amp;地图信息'!$R$10+'疲劳值&amp;地图信息'!$S$11*'疲劳值&amp;地图信息'!$R$11+'疲劳值&amp;地图信息'!$S$12*'疲劳值&amp;地图信息'!$R$12+(BM258-'疲劳值&amp;地图信息'!$S$12-'疲劳值&amp;地图信息'!$S$11-'疲劳值&amp;地图信息'!$S$10)*'疲劳值&amp;地图信息'!$R$13)/BM258</f>
        <v>51.371477246638619</v>
      </c>
      <c r="BO258" s="14">
        <f>INDEX(其他调用!$M$5:$M$404,MATCH(BL258,其他调用!$B$5:$B$404,0))*0.6</f>
        <v>60</v>
      </c>
      <c r="BP258" s="14">
        <f>IF(BO258&gt;SUM('疲劳值&amp;地图信息'!$S$10:$S$12),('疲劳值&amp;地图信息'!$S$10*'疲劳值&amp;地图信息'!$R$10+'疲劳值&amp;地图信息'!$S$11*'疲劳值&amp;地图信息'!$R$11+'疲劳值&amp;地图信息'!$S$12*'疲劳值&amp;地图信息'!$R$12+(BO258-'疲劳值&amp;地图信息'!$S$12-'疲劳值&amp;地图信息'!$S$11-'疲劳值&amp;地图信息'!$S$10)*'疲劳值&amp;地图信息'!$R$13)/BO258,('疲劳值&amp;地图信息'!$S$10*'疲劳值&amp;地图信息'!$R$10+'疲劳值&amp;地图信息'!$S$11*'疲劳值&amp;地图信息'!$R$11+'疲劳值&amp;地图信息'!$S$12*'疲劳值&amp;地图信息'!$R$12+(BO258-'疲劳值&amp;地图信息'!$S$12-'疲劳值&amp;地图信息'!$S$11-'疲劳值&amp;地图信息'!$S$10)*'疲劳值&amp;地图信息'!$R$13)/BO258)</f>
        <v>44.158136341605953</v>
      </c>
      <c r="BQ258" s="14">
        <f t="shared" si="419"/>
        <v>20</v>
      </c>
      <c r="BR258" s="14">
        <f>('疲劳值&amp;地图信息'!$S$10*'疲劳值&amp;地图信息'!$R$10+($BQ258-'疲劳值&amp;地图信息'!$S$10)*'疲劳值&amp;地图信息'!$R$11)/$BQ258</f>
        <v>32.067203015074995</v>
      </c>
      <c r="CF258" s="14">
        <v>253</v>
      </c>
      <c r="CG258" s="51">
        <f t="shared" si="326"/>
        <v>14870</v>
      </c>
      <c r="CH258" s="51">
        <f t="shared" si="327"/>
        <v>1102</v>
      </c>
      <c r="CI258" s="51">
        <f>INT(SUMPRODUCT($N258:$R258,$BA258:$BE258)/SUM($BA258:$BE258)/10000*$BX$7*$BZ$34/'疲劳值&amp;地图信息'!$R$10*$BY$53)</f>
        <v>3302</v>
      </c>
      <c r="CJ258" s="50">
        <f t="shared" si="328"/>
        <v>0.77150565528691506</v>
      </c>
      <c r="CK258" s="50">
        <f t="shared" si="329"/>
        <v>5.7175469544464043E-2</v>
      </c>
      <c r="CL258" s="50">
        <f t="shared" si="330"/>
        <v>0.17131887516862093</v>
      </c>
      <c r="CM258" s="14">
        <f t="shared" si="331"/>
        <v>16127</v>
      </c>
      <c r="CN258" s="14">
        <f t="shared" si="332"/>
        <v>1851</v>
      </c>
      <c r="CO258" s="14">
        <f>INT(SUMPRODUCT($U258:$Y258,$BA258:$BE258)/SUM($BA258:$BE258)/10000*$BX$7*$BZ$34/'疲劳值&amp;地图信息'!$R$10*$BY$54)</f>
        <v>6262</v>
      </c>
      <c r="CP258" s="50">
        <f t="shared" si="333"/>
        <v>0.66530528052805282</v>
      </c>
      <c r="CQ258" s="50">
        <f t="shared" si="334"/>
        <v>7.636138613861386E-2</v>
      </c>
      <c r="CR258" s="50">
        <f t="shared" si="335"/>
        <v>0.25833333333333336</v>
      </c>
      <c r="CS258" s="14">
        <f t="shared" si="336"/>
        <v>17695</v>
      </c>
      <c r="CT258" s="14">
        <f t="shared" si="337"/>
        <v>3147</v>
      </c>
      <c r="CU258" s="14">
        <f>INT(SUMPRODUCT($AB258:$AF258,$BA258:$BE258)/SUM($BA258:$BE258)/10000*$BX$7*$BZ$34/'疲劳值&amp;地图信息'!$R$10*$BY$55)</f>
        <v>8502</v>
      </c>
      <c r="CV258" s="50">
        <f t="shared" si="338"/>
        <v>0.60301935659760086</v>
      </c>
      <c r="CW258" s="50">
        <f t="shared" si="339"/>
        <v>0.10724509269356598</v>
      </c>
      <c r="CX258" s="50">
        <f t="shared" si="340"/>
        <v>0.28973555070883317</v>
      </c>
      <c r="CY258" s="14">
        <f t="shared" si="341"/>
        <v>21325</v>
      </c>
      <c r="CZ258" s="14">
        <f t="shared" si="342"/>
        <v>9347</v>
      </c>
      <c r="DA258" s="14">
        <f>INT(SUMPRODUCT($AI258:$AM258,$BA258:$BE258)/SUM($BA258:$BE258)/10000*$BX$7*$BZ$34/'疲劳值&amp;地图信息'!$R$10*$BY$56)</f>
        <v>12828</v>
      </c>
      <c r="DB258" s="50">
        <f t="shared" si="343"/>
        <v>0.49022988505747128</v>
      </c>
      <c r="DC258" s="50">
        <f t="shared" si="344"/>
        <v>0.2148735632183908</v>
      </c>
      <c r="DD258" s="50">
        <f t="shared" si="345"/>
        <v>0.29489655172413792</v>
      </c>
      <c r="DE258" s="14">
        <f t="shared" si="346"/>
        <v>22327</v>
      </c>
      <c r="DF258" s="14">
        <f t="shared" si="347"/>
        <v>15737</v>
      </c>
      <c r="DG258" s="14">
        <f>INT(SUMPRODUCT($AP258:$AT258,$BA258:$BE258)/SUM($BA258:$BE258)/10000*$BX$7*$BZ$34/'疲劳值&amp;地图信息'!$R$10*$BY$57)</f>
        <v>17124</v>
      </c>
      <c r="DH258" s="50">
        <f t="shared" si="348"/>
        <v>0.4045625860694354</v>
      </c>
      <c r="DI258" s="50">
        <f t="shared" si="349"/>
        <v>0.28515256939914474</v>
      </c>
      <c r="DJ258" s="50">
        <f t="shared" si="350"/>
        <v>0.31028484453141986</v>
      </c>
      <c r="DL258" s="14">
        <f t="shared" si="421"/>
        <v>19274</v>
      </c>
      <c r="DM258" s="14">
        <f t="shared" si="422"/>
        <v>24240</v>
      </c>
      <c r="DN258" s="14">
        <f t="shared" si="423"/>
        <v>29344</v>
      </c>
      <c r="DO258" s="14">
        <f t="shared" si="424"/>
        <v>43500</v>
      </c>
      <c r="DP258" s="14">
        <f t="shared" si="425"/>
        <v>55188</v>
      </c>
      <c r="DQ258" s="14">
        <f t="shared" si="426"/>
        <v>1334939</v>
      </c>
      <c r="DT258" s="14">
        <f t="shared" si="420"/>
        <v>235575</v>
      </c>
      <c r="DU258" s="50">
        <f t="shared" si="322"/>
        <v>0.14999866285814709</v>
      </c>
      <c r="DW258" s="14">
        <f t="shared" si="351"/>
        <v>1570514</v>
      </c>
      <c r="EB258" s="14">
        <v>253</v>
      </c>
      <c r="EC258" s="51">
        <f t="shared" si="352"/>
        <v>24784</v>
      </c>
      <c r="ED258" s="51">
        <f t="shared" si="353"/>
        <v>1837</v>
      </c>
      <c r="EE258" s="51">
        <f>INT(SUMPRODUCT($N258:$R258,$BF258:$BJ258)/SUM($BF258:$BJ258)/10000*$BX$7*$BZ$46/'疲劳值&amp;地图信息'!$R$10*$BY$53)</f>
        <v>443</v>
      </c>
      <c r="EF258" s="50">
        <f t="shared" si="354"/>
        <v>0.91575524682234699</v>
      </c>
      <c r="EG258" s="50">
        <f t="shared" si="355"/>
        <v>6.7876145433047597E-2</v>
      </c>
      <c r="EH258" s="50">
        <f t="shared" si="356"/>
        <v>1.6368607744605381E-2</v>
      </c>
      <c r="EI258" s="51">
        <f t="shared" si="357"/>
        <v>26879</v>
      </c>
      <c r="EJ258" s="51">
        <f t="shared" si="358"/>
        <v>3085</v>
      </c>
      <c r="EK258" s="14">
        <f>INT(SUMPRODUCT($U258:$Y258,$BF258:$BJ258)/SUM($BF258:$BJ258)/10000*$BX$7*$BZ$46/'疲劳值&amp;地图信息'!$R$10*$BY$54)</f>
        <v>840</v>
      </c>
      <c r="EL258" s="50">
        <f t="shared" si="359"/>
        <v>0.87258148292429549</v>
      </c>
      <c r="EM258" s="50">
        <f t="shared" si="360"/>
        <v>0.10014933125568108</v>
      </c>
      <c r="EN258" s="50">
        <f t="shared" si="361"/>
        <v>2.7269185820023373E-2</v>
      </c>
      <c r="EO258" s="51">
        <f t="shared" si="362"/>
        <v>29492</v>
      </c>
      <c r="EP258" s="51">
        <f t="shared" si="363"/>
        <v>5245</v>
      </c>
      <c r="EQ258" s="14">
        <f>INT(SUMPRODUCT($AB258:$AF258,$BF258:$BJ258)/SUM($BF258:$BJ258)/10000*$BX$7*$BZ$46/'疲劳值&amp;地图信息'!$R$10*$BY$55)</f>
        <v>1140</v>
      </c>
      <c r="ER258" s="50">
        <f t="shared" si="364"/>
        <v>0.8220308275496836</v>
      </c>
      <c r="ES258" s="50">
        <f t="shared" si="365"/>
        <v>0.14619394040750341</v>
      </c>
      <c r="ET258" s="50">
        <f t="shared" si="366"/>
        <v>3.1775232042812941E-2</v>
      </c>
      <c r="EU258" s="51">
        <f t="shared" si="367"/>
        <v>35542</v>
      </c>
      <c r="EV258" s="51">
        <f t="shared" si="368"/>
        <v>15578</v>
      </c>
      <c r="EW258" s="14">
        <f>INT(SUMPRODUCT($AI258:$AM258,$BF258:$BJ258)/SUM($BF258:$BJ258)/10000*$BX$7*$BZ$46/'疲劳值&amp;地图信息'!$R$10*$BY$56)</f>
        <v>1710</v>
      </c>
      <c r="EX258" s="50">
        <f t="shared" si="369"/>
        <v>0.6727616884346016</v>
      </c>
      <c r="EY258" s="50">
        <f t="shared" si="370"/>
        <v>0.29487033882263863</v>
      </c>
      <c r="EZ258" s="50">
        <f t="shared" si="371"/>
        <v>3.2367972742759793E-2</v>
      </c>
      <c r="FA258" s="51">
        <f t="shared" si="372"/>
        <v>37213</v>
      </c>
      <c r="FB258" s="51">
        <f t="shared" si="373"/>
        <v>26228</v>
      </c>
      <c r="FC258" s="14">
        <f>INT(SUMPRODUCT($AP258:$AT258,$BF258:$BJ258)/SUM($BF258:$BJ258)/10000*$BX$7*$BZ$46/'疲劳值&amp;地图信息'!$R$10*$BY$57)</f>
        <v>2280</v>
      </c>
      <c r="FD258" s="50">
        <f t="shared" si="374"/>
        <v>0.56622692898769034</v>
      </c>
      <c r="FE258" s="50">
        <f t="shared" si="375"/>
        <v>0.39908096346677624</v>
      </c>
      <c r="FF258" s="50">
        <f t="shared" si="376"/>
        <v>3.4692107545533389E-2</v>
      </c>
      <c r="FH258" s="14">
        <f t="shared" si="377"/>
        <v>27064</v>
      </c>
      <c r="FI258" s="14">
        <f t="shared" si="378"/>
        <v>30804</v>
      </c>
      <c r="FJ258" s="14">
        <f t="shared" si="379"/>
        <v>35877</v>
      </c>
      <c r="FK258" s="14">
        <f t="shared" si="380"/>
        <v>52830</v>
      </c>
      <c r="FL258" s="14">
        <f t="shared" si="381"/>
        <v>65721</v>
      </c>
      <c r="FM258" s="14">
        <f t="shared" si="382"/>
        <v>3188295</v>
      </c>
      <c r="FP258" s="14">
        <f t="shared" si="383"/>
        <v>334150</v>
      </c>
      <c r="FQ258" s="50">
        <f t="shared" si="323"/>
        <v>9.4863085158178484E-2</v>
      </c>
      <c r="FS258" s="14">
        <f t="shared" si="384"/>
        <v>3522445</v>
      </c>
      <c r="FX258" s="14">
        <v>253</v>
      </c>
      <c r="FY258" s="51">
        <f t="shared" si="385"/>
        <v>34698</v>
      </c>
      <c r="FZ258" s="51">
        <f t="shared" si="386"/>
        <v>1837</v>
      </c>
      <c r="GA258" s="51">
        <f>INT(SUMPRODUCT($N258:$R258,$BF258:$BJ258)/SUM($BF258:$BJ258)/10000*$BX$7*$BZ$46/'疲劳值&amp;地图信息'!$R$10*$BY$53)</f>
        <v>443</v>
      </c>
      <c r="GB258" s="50">
        <f t="shared" si="387"/>
        <v>0.93834171669641409</v>
      </c>
      <c r="GC258" s="50">
        <f t="shared" si="388"/>
        <v>4.9678187030126018E-2</v>
      </c>
      <c r="GD258" s="50">
        <f t="shared" si="389"/>
        <v>1.1980096273459894E-2</v>
      </c>
      <c r="GE258" s="51">
        <f t="shared" si="390"/>
        <v>37631</v>
      </c>
      <c r="GF258" s="51">
        <f t="shared" si="391"/>
        <v>3085</v>
      </c>
      <c r="GG258" s="14">
        <f>INT(SUMPRODUCT($U258:$Y258,$BF258:$BJ258)/SUM($BF258:$BJ258)/10000*$BX$7*$BZ$46/'疲劳值&amp;地图信息'!$R$10*$BY$54)</f>
        <v>840</v>
      </c>
      <c r="GH258" s="50">
        <f t="shared" si="392"/>
        <v>0.90554913851188756</v>
      </c>
      <c r="GI258" s="50">
        <f t="shared" si="393"/>
        <v>7.4237173933968614E-2</v>
      </c>
      <c r="GJ258" s="50">
        <f t="shared" si="394"/>
        <v>2.0213687554143805E-2</v>
      </c>
      <c r="GK258" s="51">
        <f t="shared" si="395"/>
        <v>41289</v>
      </c>
      <c r="GL258" s="51">
        <f t="shared" si="396"/>
        <v>5245</v>
      </c>
      <c r="GM258" s="14">
        <f>INT(SUMPRODUCT($AB258:$AF258,$BF258:$BJ258)/SUM($BF258:$BJ258)/10000*$BX$7*$BZ$46/'疲劳值&amp;地图信息'!$R$10*$BY$55)</f>
        <v>1140</v>
      </c>
      <c r="GN258" s="50">
        <f t="shared" si="397"/>
        <v>0.86606955573268452</v>
      </c>
      <c r="GO258" s="50">
        <f t="shared" si="398"/>
        <v>0.11001803918278306</v>
      </c>
      <c r="GP258" s="50">
        <f t="shared" si="399"/>
        <v>2.3912405084532448E-2</v>
      </c>
      <c r="GQ258" s="51">
        <f t="shared" si="400"/>
        <v>49759</v>
      </c>
      <c r="GR258" s="51">
        <f t="shared" si="401"/>
        <v>15578</v>
      </c>
      <c r="GS258" s="14">
        <f>INT(SUMPRODUCT($AI258:$AM258,$BF258:$BJ258)/SUM($BF258:$BJ258)/10000*$BX$7*$BZ$46/'疲劳值&amp;地图信息'!$R$10*$BY$56)</f>
        <v>1710</v>
      </c>
      <c r="GT258" s="50">
        <f t="shared" si="402"/>
        <v>0.74215102838307456</v>
      </c>
      <c r="GU258" s="50">
        <f t="shared" si="403"/>
        <v>0.232344474771429</v>
      </c>
      <c r="GV258" s="50">
        <f t="shared" si="404"/>
        <v>2.5504496845496442E-2</v>
      </c>
      <c r="GW258" s="51">
        <f t="shared" si="405"/>
        <v>52098</v>
      </c>
      <c r="GX258" s="51">
        <f t="shared" si="406"/>
        <v>26228</v>
      </c>
      <c r="GY258" s="14">
        <f>INT(SUMPRODUCT($AP258:$AT258,$BF258:$BJ258)/SUM($BF258:$BJ258)/10000*$BX$7*$BZ$46/'疲劳值&amp;地图信息'!$R$10*$BY$57)</f>
        <v>2280</v>
      </c>
      <c r="GZ258" s="50">
        <f t="shared" si="407"/>
        <v>0.64632905739026869</v>
      </c>
      <c r="HA258" s="50">
        <f t="shared" si="408"/>
        <v>0.32538520705654667</v>
      </c>
      <c r="HB258" s="50">
        <f t="shared" si="409"/>
        <v>2.8285735553184626E-2</v>
      </c>
      <c r="HD258" s="14">
        <f t="shared" si="410"/>
        <v>36978</v>
      </c>
      <c r="HE258" s="14">
        <f t="shared" si="411"/>
        <v>41556</v>
      </c>
      <c r="HF258" s="14">
        <f t="shared" si="412"/>
        <v>47674</v>
      </c>
      <c r="HG258" s="14">
        <f t="shared" si="413"/>
        <v>67047</v>
      </c>
      <c r="HH258" s="14">
        <f t="shared" si="414"/>
        <v>80606</v>
      </c>
      <c r="HI258" s="14">
        <f t="shared" si="415"/>
        <v>4296609</v>
      </c>
      <c r="HL258" s="14">
        <f t="shared" si="416"/>
        <v>430050</v>
      </c>
      <c r="HM258" s="50">
        <f t="shared" si="324"/>
        <v>9.0983927547978391E-2</v>
      </c>
      <c r="HO258" s="14">
        <f t="shared" si="417"/>
        <v>4726659</v>
      </c>
    </row>
    <row r="259" spans="11:223" x14ac:dyDescent="0.2">
      <c r="K259" s="14">
        <v>254</v>
      </c>
      <c r="L259" s="12">
        <f>求节点(节奏总纲!D$4:D$163,标准城池设计!AB$4:AB$163,$K259)*求节点(节奏总纲!D$4:D$163,攻城基础信息!$AC$5:$AC$164,$K259)</f>
        <v>731008.15527807083</v>
      </c>
      <c r="M259" s="12">
        <f>INDEX(其他调用!$AA$5:$AA$404,MATCH(K259,其他调用!$X$5:$X$404,0))*MIN(INDEX(其他调用!$AH$5:$AH$364,MATCH('征服点（新）'!K259,其他调用!$AG$5:$AG$364,0),1)/INDEX(其他调用!$AJ$5:$AJ$364,MATCH(K259,其他调用!$AG$5:$AG$364,0),0),5)*求节点(节奏总纲!D$4:D$163,攻城基础信息!$AC$5:$AC$164,$K259)</f>
        <v>54100.672546088361</v>
      </c>
      <c r="N259" s="12">
        <f>MIN(INDEX(其他调用!$AH$5:$AH$364,MATCH($K259,其他调用!$AG$5:$AG$364,0),1)/INDEX(其他调用!AH$5:AH$364,MATCH($K259,其他调用!$AG$5:$AG$364,0),0),1)*INDEX(其他调用!Y$5:Y$404,MATCH($K259,其他调用!$X$5:$X$404,0),0)</f>
        <v>41512.717926738493</v>
      </c>
      <c r="O259" s="12">
        <f>MIN(INDEX(其他调用!$AH$5:$AH$364,MATCH($K259,其他调用!$AG$5:$AG$364,0),1)/INDEX(其他调用!AI$5:AI$364,MATCH($K259,其他调用!$AG$5:$AG$364,0),0),1)*INDEX(其他调用!Z$5:Z$404,MATCH($K259,其他调用!$X$5:$X$404,0),0)</f>
        <v>25395.912289160347</v>
      </c>
      <c r="P259" s="12">
        <f>MIN(INDEX(其他调用!$AH$5:$AH$364,MATCH($K259,其他调用!$AG$5:$AG$364,0),1)/INDEX(其他调用!AJ$5:AJ$364,MATCH($K259,其他调用!$AG$5:$AG$364,0),0),1)*INDEX(其他调用!AA$5:AA$404,MATCH($K259,其他调用!$X$5:$X$404,0),0)</f>
        <v>15465.926845407426</v>
      </c>
      <c r="Q259" s="12">
        <f>MIN(INDEX(其他调用!$AH$5:$AH$364,MATCH($K259,其他调用!$AG$5:$AG$364,0),1)/INDEX(其他调用!AK$5:AK$364,MATCH($K259,其他调用!$AG$5:$AG$364,0),0),1)*INDEX(其他调用!AB$5:AB$404,MATCH($K259,其他调用!$X$5:$X$404,0),0)</f>
        <v>5469.9305604455831</v>
      </c>
      <c r="R259" s="12">
        <f>MIN(INDEX(其他调用!$AH$5:$AH$364,MATCH($K259,其他调用!$AG$5:$AG$364,0),1)/INDEX(其他调用!AL$5:AL$364,MATCH($K259,其他调用!$AG$5:$AG$364,0),0),1)*INDEX(其他调用!AC$5:AC$404,MATCH($K259,其他调用!$X$5:$X$404,0),0)</f>
        <v>3009.9750490483593</v>
      </c>
      <c r="S259" s="12">
        <f>求节点(节奏总纲!D$4:D$163,标准城池设计!AC$4:AC$163,$K259)*求节点(节奏总纲!D$4:D$163,攻城基础信息!$AD$5:$AD$164,$K259)</f>
        <v>793143.46232090588</v>
      </c>
      <c r="T259" s="12">
        <f>INDEX(其他调用!$AA$5:$AA$404,MATCH($K259,其他调用!$X$5:$X$404,0))*MIN(INDEX(其他调用!AI$5:AI$364,MATCH($K259,其他调用!$AG$5:$AG$364,0),1)/INDEX(其他调用!$AJ$5:$AJ$364,MATCH($K259,其他调用!$AG$5:$AG$364,0),0),5)*求节点(节奏总纲!D$4:D$163,攻城基础信息!$AD$5:$AD$164,$K259)</f>
        <v>90904.745577287555</v>
      </c>
      <c r="U259" s="12">
        <f>MIN(INDEX(其他调用!$AI$5:$AI$364,MATCH($K259,其他调用!$AG$5:$AG$364,0),1)/INDEX(其他调用!AH$5:AH$364,MATCH($K259,其他调用!$AG$5:$AG$364,0),0),1)*INDEX(其他调用!Y$5:Y$404,MATCH($K259,其他调用!$X$5:$X$404,0),0)</f>
        <v>41512.717926738493</v>
      </c>
      <c r="V259" s="12">
        <f>MIN(INDEX(其他调用!$AI$5:$AI$364,MATCH($K259,其他调用!$AG$5:$AG$364,0),1)/INDEX(其他调用!AI$5:AI$364,MATCH($K259,其他调用!$AG$5:$AG$364,0),0),1)*INDEX(其他调用!Z$5:Z$404,MATCH($K259,其他调用!$X$5:$X$404,0),0)</f>
        <v>42672.462960280733</v>
      </c>
      <c r="W259" s="12">
        <f>MIN(INDEX(其他调用!$AI$5:$AI$364,MATCH($K259,其他调用!$AG$5:$AG$364,0),1)/INDEX(其他调用!AJ$5:AJ$364,MATCH($K259,其他调用!$AG$5:$AG$364,0),0),1)*INDEX(其他调用!AA$5:AA$404,MATCH($K259,其他调用!$X$5:$X$404,0),0)</f>
        <v>25987.221208775089</v>
      </c>
      <c r="X259" s="12">
        <f>MIN(INDEX(其他调用!$AI$5:$AI$364,MATCH($K259,其他调用!$AG$5:$AG$364,0),1)/INDEX(其他调用!AK$5:AK$364,MATCH($K259,其他调用!$AG$5:$AG$364,0),0),1)*INDEX(其他调用!AB$5:AB$404,MATCH($K259,其他调用!$X$5:$X$404,0),0)</f>
        <v>9191.0621905695316</v>
      </c>
      <c r="Y259" s="12">
        <f>MIN(INDEX(其他调用!$AI$5:$AI$364,MATCH($K259,其他调用!$AG$5:$AG$364,0),1)/INDEX(其他调用!AL$5:AL$364,MATCH($K259,其他调用!$AG$5:$AG$364,0),0),1)*INDEX(其他调用!AC$5:AC$404,MATCH($K259,其他调用!$X$5:$X$404,0),0)</f>
        <v>5057.626886146878</v>
      </c>
      <c r="Z259" s="12">
        <f>求节点(节奏总纲!D$4:D$163,标准城池设计!AD$4:AD$163,$K259)*求节点(节奏总纲!D$4:D$163,攻城基础信息!$AE$5:$AE$164,$K259)</f>
        <v>870385.99615159864</v>
      </c>
      <c r="AA259" s="12">
        <f>INDEX(其他调用!$AA$5:$AA$404,MATCH($K259,其他调用!$X$5:$X$404,0))*MIN(INDEX(其他调用!AJ$5:AJ$364,MATCH($K259,其他调用!$AG$5:$AG$364,0),1)/INDEX(其他调用!$AJ$5:$AJ$364,MATCH($K259,其他调用!$AG$5:$AG$364,0),0),5)*求节点(节奏总纲!D$4:D$163,攻城基础信息!$AE$5:$AE$164,$K259)</f>
        <v>154596.83712355429</v>
      </c>
      <c r="AB259" s="12">
        <f>MIN(INDEX(其他调用!$AJ$5:$AJ$364,MATCH($K259,其他调用!$AG$5:$AG$364,0),1)/INDEX(其他调用!AH$5:AH$364,MATCH($K259,其他调用!$AG$5:$AG$364,0),0),1)*INDEX(其他调用!Y$5:Y$404,MATCH($K259,其他调用!$X$5:$X$404,0),0)</f>
        <v>41512.717926738493</v>
      </c>
      <c r="AC259" s="12">
        <f>MIN(INDEX(其他调用!$AJ$5:$AJ$364,MATCH($K259,其他调用!$AG$5:$AG$364,0),1)/INDEX(其他调用!AI$5:AI$364,MATCH($K259,其他调用!$AG$5:$AG$364,0),0),1)*INDEX(其他调用!Z$5:Z$404,MATCH($K259,其他调用!$X$5:$X$404,0),0)</f>
        <v>42672.462960280733</v>
      </c>
      <c r="AD259" s="12">
        <f>MIN(INDEX(其他调用!$AJ$5:$AJ$364,MATCH($K259,其他调用!$AG$5:$AG$364,0),1)/INDEX(其他调用!AJ$5:AJ$364,MATCH($K259,其他调用!$AG$5:$AG$364,0),0),1)*INDEX(其他调用!AA$5:AA$404,MATCH($K259,其他调用!$X$5:$X$404,0),0)</f>
        <v>44195.076714570954</v>
      </c>
      <c r="AE259" s="12">
        <f>MIN(INDEX(其他调用!$AJ$5:$AJ$364,MATCH($K259,其他调用!$AG$5:$AG$364,0),1)/INDEX(其他调用!AK$5:AK$364,MATCH($K259,其他调用!$AG$5:$AG$364,0),0),1)*INDEX(其他调用!AB$5:AB$404,MATCH($K259,其他调用!$X$5:$X$404,0),0)</f>
        <v>15630.747717784143</v>
      </c>
      <c r="AF259" s="12">
        <f>MIN(INDEX(其他调用!$AJ$5:$AJ$364,MATCH($K259,其他调用!$AG$5:$AG$364,0),1)/INDEX(其他调用!AL$5:AL$364,MATCH($K259,其他调用!$AG$5:$AG$364,0),0),1)*INDEX(其他调用!AC$5:AC$404,MATCH($K259,其他调用!$X$5:$X$404,0),0)</f>
        <v>8601.2354468842277</v>
      </c>
      <c r="AG259" s="12">
        <f>求节点(节奏总纲!D$4:D$163,标准城池设计!AE$4:AE$163,$K259)*求节点(节奏总纲!D$4:D$163,攻城基础信息!$AF$5:$AF$164,$K259)</f>
        <v>1049037.5121299818</v>
      </c>
      <c r="AH259" s="12">
        <f>INDEX(其他调用!$AA$5:$AA$404,MATCH($K259,其他调用!$X$5:$X$404,0))*MIN(INDEX(其他调用!AK$5:AK$364,MATCH($K259,其他调用!$AG$5:$AG$364,0),1)/INDEX(其他调用!$AJ$5:$AJ$364,MATCH($K259,其他调用!$AG$5:$AG$364,0),0),5)*求节点(节奏总纲!D$4:D$163,攻城基础信息!$AF$5:$AF$164,$K259)</f>
        <v>459249.17743274692</v>
      </c>
      <c r="AI259" s="12">
        <f>MIN(INDEX(其他调用!$AK$5:$AK$364,MATCH($K259,其他调用!$AG$5:$AG$364,0),1)/INDEX(其他调用!AH$5:AH$364,MATCH($K259,其他调用!$AG$5:$AG$364,0),0),1)*INDEX(其他调用!Y$5:Y$404,MATCH($K259,其他调用!$X$5:$X$404,0),0)</f>
        <v>41512.717926738493</v>
      </c>
      <c r="AJ259" s="12">
        <f>MIN(INDEX(其他调用!$AK$5:$AK$364,MATCH($K259,其他调用!$AG$5:$AG$364,0),1)/INDEX(其他调用!AI$5:AI$364,MATCH($K259,其他调用!$AG$5:$AG$364,0),0),1)*INDEX(其他调用!Z$5:Z$404,MATCH($K259,其他调用!$X$5:$X$404,0),0)</f>
        <v>42672.462960280733</v>
      </c>
      <c r="AK259" s="12">
        <f>MIN(INDEX(其他调用!$AK$5:$AK$364,MATCH($K259,其他调用!$AG$5:$AG$364,0),1)/INDEX(其他调用!AJ$5:AJ$364,MATCH($K259,其他调用!$AG$5:$AG$364,0),0),1)*INDEX(其他调用!AA$5:AA$404,MATCH($K259,其他调用!$X$5:$X$404,0),0)</f>
        <v>44195.076714570954</v>
      </c>
      <c r="AL259" s="12">
        <f>MIN(INDEX(其他调用!$AK$5:$AK$364,MATCH($K259,其他调用!$AG$5:$AG$364,0),1)/INDEX(其他调用!AK$5:AK$364,MATCH($K259,其他调用!$AG$5:$AG$364,0),0),1)*INDEX(其他调用!AB$5:AB$404,MATCH($K259,其他调用!$X$5:$X$404,0),0)</f>
        <v>46433.084697031336</v>
      </c>
      <c r="AM259" s="12">
        <f>MIN(INDEX(其他调用!$AK$5:$AK$364,MATCH($K259,其他调用!$AG$5:$AG$364,0),1)/INDEX(其他调用!AL$5:AL$364,MATCH($K259,其他调用!$AG$5:$AG$364,0),0),1)*INDEX(其他调用!AC$5:AC$404,MATCH($K259,其他调用!$X$5:$X$404,0),0)</f>
        <v>25551.042164789087</v>
      </c>
      <c r="AN259" s="12">
        <f>求节点(节奏总纲!D$4:D$163,标准城池设计!AF$4:AF$163,$K259)*求节点(节奏总纲!D$4:D$163,攻城基础信息!$AG$5:$AG$164,$K259)</f>
        <v>1098330.0676118445</v>
      </c>
      <c r="AO259" s="12">
        <f>INDEX(其他调用!$AA$5:$AA$404,MATCH($K259,其他调用!$X$5:$X$404,0))*MIN(INDEX(其他调用!AL$5:AL$364,MATCH($K259,其他调用!$AG$5:$AG$364,0),1)/INDEX(其他调用!$AJ$5:$AJ$364,MATCH($K259,其他调用!$AG$5:$AG$364,0),0),5)*求节点(节奏总纲!D$4:D$163,攻城基础信息!$AG$5:$AG$164,$K259)</f>
        <v>772984.18561777147</v>
      </c>
      <c r="AP259" s="12">
        <f>MIN(INDEX(其他调用!$AL$5:$AL$364,MATCH($K259,其他调用!$AG$5:$AG$364,0),1)/INDEX(其他调用!AH$5:AH$364,MATCH($K259,其他调用!$AG$5:$AG$364,0),0),1)*INDEX(其他调用!Y$5:Y$404,MATCH($K259,其他调用!$X$5:$X$404,0),0)</f>
        <v>41512.717926738493</v>
      </c>
      <c r="AQ259" s="12">
        <f>MIN(INDEX(其他调用!$AL$5:$AL$364,MATCH($K259,其他调用!$AG$5:$AG$364,0),1)/INDEX(其他调用!AI$5:AI$364,MATCH($K259,其他调用!$AG$5:$AG$364,0),0),1)*INDEX(其他调用!Z$5:Z$404,MATCH($K259,其他调用!$X$5:$X$404,0),0)</f>
        <v>42672.462960280733</v>
      </c>
      <c r="AR259" s="12">
        <f>MIN(INDEX(其他调用!$AL$5:$AL$364,MATCH($K259,其他调用!$AG$5:$AG$364,0),1)/INDEX(其他调用!AJ$5:AJ$364,MATCH($K259,其他调用!$AG$5:$AG$364,0),0),1)*INDEX(其他调用!AA$5:AA$404,MATCH($K259,其他调用!$X$5:$X$404,0),0)</f>
        <v>44195.076714570954</v>
      </c>
      <c r="AS259" s="12">
        <f>MIN(INDEX(其他调用!$AL$5:$AL$364,MATCH($K259,其他调用!$AG$5:$AG$364,0),1)/INDEX(其他调用!AK$5:AK$364,MATCH($K259,其他调用!$AG$5:$AG$364,0),0),1)*INDEX(其他调用!AB$5:AB$404,MATCH($K259,其他调用!$X$5:$X$404,0),0)</f>
        <v>46433.084697031336</v>
      </c>
      <c r="AT259" s="12">
        <f>MIN(INDEX(其他调用!$AL$5:$AL$364,MATCH($K259,其他调用!$AG$5:$AG$364,0),1)/INDEX(其他调用!AL$5:AL$364,MATCH($K259,其他调用!$AG$5:$AG$364,0),0),1)*INDEX(其他调用!AC$5:AC$404,MATCH($K259,其他调用!$X$5:$X$404,0),0)</f>
        <v>50320.752828513658</v>
      </c>
      <c r="AV259" s="14">
        <f>IF(OR(AV$5="大R",AV$5="超R"),MAX(INDEX(其他调用!$H$5:$L$404,MATCH($K259,其他调用!$B$5:$B$404,0),MATCH(AV$5,其他调用!$H$4:$L$4,0))*120*0.85,2),INDEX(其他调用!$H$5:$L$404,MATCH($K259,其他调用!$B$5:$B$404,0),MATCH(AV$5,其他调用!$H$4:$L$4,0))*120*0.85)</f>
        <v>48.921801254999991</v>
      </c>
      <c r="AW259" s="14">
        <f>IF(OR(AW$5="大R",AW$5="超R"),MAX(INDEX(其他调用!$H$5:$L$404,MATCH($K259,其他调用!$B$5:$B$404,0),MATCH(AW$5,其他调用!$H$4:$L$4,0))*120*0.85,2),INDEX(其他调用!$H$5:$L$404,MATCH($K259,其他调用!$B$5:$B$404,0),MATCH(AW$5,其他调用!$H$4:$L$4,0))*120*0.85)</f>
        <v>48.237344010638395</v>
      </c>
      <c r="AX259" s="14">
        <f>IF(OR(AX$5="大R",AX$5="超R"),MAX(INDEX(其他调用!$H$5:$L$404,MATCH($K259,其他调用!$B$5:$B$404,0),MATCH(AX$5,其他调用!$H$4:$L$4,0))*120*0.85,2),INDEX(其他调用!$H$5:$L$404,MATCH($K259,其他调用!$B$5:$B$404,0),MATCH(AX$5,其他调用!$H$4:$L$4,0))*120*0.85)</f>
        <v>3.9376284143615998</v>
      </c>
      <c r="AY259" s="14">
        <f>IF(OR(AY$5="大R",AY$5="超R"),MAX(INDEX(其他调用!$H$5:$L$404,MATCH($K259,其他调用!$B$5:$B$404,0),MATCH(AY$5,其他调用!$H$4:$L$4,0))*120*0.85,2),INDEX(其他调用!$H$5:$L$404,MATCH($K259,其他调用!$B$5:$B$404,0),MATCH(AY$5,其他调用!$H$4:$L$4,0))*120*0.85)</f>
        <v>2</v>
      </c>
      <c r="AZ259" s="14">
        <f>IF(OR(AZ$5="大R",AZ$5="超R"),MAX(INDEX(其他调用!$H$5:$L$404,MATCH($K259,其他调用!$B$5:$B$404,0),MATCH(AZ$5,其他调用!$H$4:$L$4,0))*120*0.85,2),INDEX(其他调用!$H$5:$L$404,MATCH($K259,其他调用!$B$5:$B$404,0),MATCH(AZ$5,其他调用!$H$4:$L$4,0))*120*0.85)</f>
        <v>2</v>
      </c>
      <c r="BA259" s="14">
        <f>INDEX(其他调用!$H$5:$L$404,MATCH($K259,其他调用!$B$5:$B$404,0),MATCH(BA$5,其他调用!$H$4:$L$4,0))*INDEX(其他调用!$M$5:$M$404,MATCH($K259,其他调用!$B$5:$B$404,0))*0.6</f>
        <v>28.777530149999997</v>
      </c>
      <c r="BB259" s="14">
        <f>INDEX(其他调用!$H$5:$L$404,MATCH($K259,其他调用!$B$5:$B$404,0),MATCH(BB$5,其他调用!$H$4:$L$4,0))*INDEX(其他调用!$M$5:$M$404,MATCH($K259,其他调用!$B$5:$B$404,0))*0.6</f>
        <v>28.374908241551999</v>
      </c>
      <c r="BC259" s="14">
        <f>INDEX(其他调用!$H$5:$L$404,MATCH($K259,其他调用!$B$5:$B$404,0),MATCH(BC$5,其他调用!$H$4:$L$4,0))*INDEX(其他调用!$M$5:$M$404,MATCH($K259,其他调用!$B$5:$B$404,0))*0.6</f>
        <v>2.3162520084480001</v>
      </c>
      <c r="BD259" s="14">
        <f>INDEX(其他调用!$H$5:$L$404,MATCH($K259,其他调用!$B$5:$B$404,0),MATCH(BD$5,其他调用!$H$4:$L$4,0))*INDEX(其他调用!$M$5:$M$404,MATCH($K259,其他调用!$B$5:$B$404,0))*0.6</f>
        <v>0.4120776000000001</v>
      </c>
      <c r="BE259" s="14">
        <f>INDEX(其他调用!$H$5:$L$404,MATCH($K259,其他调用!$B$5:$B$404,0),MATCH(BE$5,其他调用!$H$4:$L$4,0))*INDEX(其他调用!$M$5:$M$404,MATCH($K259,其他调用!$B$5:$B$404,0))*0.6</f>
        <v>0.11923199999999998</v>
      </c>
      <c r="BF259" s="14">
        <f>IF(OR(BF$5="大R",BF$5="超R"),0,INDEX(其他调用!$H$5:$L$404,MATCH($K259,其他调用!$B$5:$B$404,0),MATCH(BF$5,其他调用!$H$4:$L$4,0))*50*0.4)</f>
        <v>9.5925100500000013</v>
      </c>
      <c r="BG259" s="14">
        <f>IF(OR(BG$5="大R",BG$5="超R"),0,INDEX(其他调用!$H$5:$L$404,MATCH($K259,其他调用!$B$5:$B$404,0),MATCH(BG$5,其他调用!$H$4:$L$4,0))*50*0.4)</f>
        <v>9.4583027471839998</v>
      </c>
      <c r="BH259" s="14">
        <f>IF(OR(BH$5="大R",BH$5="超R"),0,INDEX(其他调用!$H$5:$L$404,MATCH($K259,其他调用!$B$5:$B$404,0),MATCH(BH$5,其他调用!$H$4:$L$4,0))*50*0.4)</f>
        <v>0.77208400281600009</v>
      </c>
      <c r="BI259" s="14">
        <f>IF(OR(BI$5="大R",BI$5="超R"),0,INDEX(其他调用!$H$5:$L$404,MATCH($K259,其他调用!$B$5:$B$404,0),MATCH(BI$5,其他调用!$H$4:$L$4,0))*50*0.4)</f>
        <v>0</v>
      </c>
      <c r="BJ259" s="14">
        <f>IF(OR(BJ$5="大R",BJ$5="超R"),0,INDEX(其他调用!$H$5:$L$404,MATCH($K259,其他调用!$B$5:$B$404,0),MATCH(BJ$5,其他调用!$H$4:$L$4,0))*50*0.4)</f>
        <v>0</v>
      </c>
      <c r="BL259" s="14">
        <f t="shared" si="418"/>
        <v>254</v>
      </c>
      <c r="BM259" s="14">
        <f t="shared" si="325"/>
        <v>96</v>
      </c>
      <c r="BN259" s="14">
        <f>('疲劳值&amp;地图信息'!$S$10*'疲劳值&amp;地图信息'!$R$10+'疲劳值&amp;地图信息'!$S$11*'疲劳值&amp;地图信息'!$R$11+'疲劳值&amp;地图信息'!$S$12*'疲劳值&amp;地图信息'!$R$12+(BM259-'疲劳值&amp;地图信息'!$S$12-'疲劳值&amp;地图信息'!$S$11-'疲劳值&amp;地图信息'!$S$10)*'疲劳值&amp;地图信息'!$R$13)/BM259</f>
        <v>51.371477246638619</v>
      </c>
      <c r="BO259" s="14">
        <f>INDEX(其他调用!$M$5:$M$404,MATCH(BL259,其他调用!$B$5:$B$404,0))*0.6</f>
        <v>60</v>
      </c>
      <c r="BP259" s="14">
        <f>IF(BO259&gt;SUM('疲劳值&amp;地图信息'!$S$10:$S$12),('疲劳值&amp;地图信息'!$S$10*'疲劳值&amp;地图信息'!$R$10+'疲劳值&amp;地图信息'!$S$11*'疲劳值&amp;地图信息'!$R$11+'疲劳值&amp;地图信息'!$S$12*'疲劳值&amp;地图信息'!$R$12+(BO259-'疲劳值&amp;地图信息'!$S$12-'疲劳值&amp;地图信息'!$S$11-'疲劳值&amp;地图信息'!$S$10)*'疲劳值&amp;地图信息'!$R$13)/BO259,('疲劳值&amp;地图信息'!$S$10*'疲劳值&amp;地图信息'!$R$10+'疲劳值&amp;地图信息'!$S$11*'疲劳值&amp;地图信息'!$R$11+'疲劳值&amp;地图信息'!$S$12*'疲劳值&amp;地图信息'!$R$12+(BO259-'疲劳值&amp;地图信息'!$S$12-'疲劳值&amp;地图信息'!$S$11-'疲劳值&amp;地图信息'!$S$10)*'疲劳值&amp;地图信息'!$R$13)/BO259)</f>
        <v>44.158136341605953</v>
      </c>
      <c r="BQ259" s="14">
        <f t="shared" si="419"/>
        <v>20</v>
      </c>
      <c r="BR259" s="14">
        <f>('疲劳值&amp;地图信息'!$S$10*'疲劳值&amp;地图信息'!$R$10+($BQ259-'疲劳值&amp;地图信息'!$S$10)*'疲劳值&amp;地图信息'!$R$11)/$BQ259</f>
        <v>32.067203015074995</v>
      </c>
      <c r="CF259" s="14">
        <v>254</v>
      </c>
      <c r="CG259" s="51">
        <f t="shared" si="326"/>
        <v>14898</v>
      </c>
      <c r="CH259" s="51">
        <f t="shared" si="327"/>
        <v>1102</v>
      </c>
      <c r="CI259" s="51">
        <f>INT(SUMPRODUCT($N259:$R259,$BA259:$BE259)/SUM($BA259:$BE259)/10000*$BX$7*$BZ$34/'疲劳值&amp;地图信息'!$R$10*$BY$53)</f>
        <v>3303</v>
      </c>
      <c r="CJ259" s="50">
        <f t="shared" si="328"/>
        <v>0.77179712997979588</v>
      </c>
      <c r="CK259" s="50">
        <f t="shared" si="329"/>
        <v>5.7089571569186134E-2</v>
      </c>
      <c r="CL259" s="50">
        <f t="shared" si="330"/>
        <v>0.17111329845101797</v>
      </c>
      <c r="CM259" s="14">
        <f t="shared" si="331"/>
        <v>16165</v>
      </c>
      <c r="CN259" s="14">
        <f t="shared" si="332"/>
        <v>1852</v>
      </c>
      <c r="CO259" s="14">
        <f>INT(SUMPRODUCT($U259:$Y259,$BA259:$BE259)/SUM($BA259:$BE259)/10000*$BX$7*$BZ$34/'疲劳值&amp;地图信息'!$R$10*$BY$54)</f>
        <v>6265</v>
      </c>
      <c r="CP259" s="50">
        <f t="shared" si="333"/>
        <v>0.6657194629766906</v>
      </c>
      <c r="CQ259" s="50">
        <f t="shared" si="334"/>
        <v>7.6270488427641878E-2</v>
      </c>
      <c r="CR259" s="50">
        <f t="shared" si="335"/>
        <v>0.25801004859566756</v>
      </c>
      <c r="CS259" s="14">
        <f t="shared" si="336"/>
        <v>17739</v>
      </c>
      <c r="CT259" s="14">
        <f t="shared" si="337"/>
        <v>3150</v>
      </c>
      <c r="CU259" s="14">
        <f>INT(SUMPRODUCT($AB259:$AF259,$BA259:$BE259)/SUM($BA259:$BE259)/10000*$BX$7*$BZ$34/'疲劳值&amp;地图信息'!$R$10*$BY$55)</f>
        <v>8507</v>
      </c>
      <c r="CV259" s="50">
        <f t="shared" si="338"/>
        <v>0.60344944890461283</v>
      </c>
      <c r="CW259" s="50">
        <f t="shared" si="339"/>
        <v>0.10715743638590285</v>
      </c>
      <c r="CX259" s="50">
        <f t="shared" si="340"/>
        <v>0.28939311470948426</v>
      </c>
      <c r="CY259" s="14">
        <f t="shared" si="341"/>
        <v>21380</v>
      </c>
      <c r="CZ259" s="14">
        <f t="shared" si="342"/>
        <v>9360</v>
      </c>
      <c r="DA259" s="14">
        <f>INT(SUMPRODUCT($AI259:$AM259,$BA259:$BE259)/SUM($BA259:$BE259)/10000*$BX$7*$BZ$34/'疲劳值&amp;地图信息'!$R$10*$BY$56)</f>
        <v>12835</v>
      </c>
      <c r="DB259" s="50">
        <f t="shared" si="343"/>
        <v>0.49064830751577737</v>
      </c>
      <c r="DC259" s="50">
        <f t="shared" si="344"/>
        <v>0.21480206540447505</v>
      </c>
      <c r="DD259" s="50">
        <f t="shared" si="345"/>
        <v>0.29454962707974758</v>
      </c>
      <c r="DE259" s="14">
        <f t="shared" si="346"/>
        <v>22385</v>
      </c>
      <c r="DF259" s="14">
        <f t="shared" si="347"/>
        <v>15754</v>
      </c>
      <c r="DG259" s="14">
        <f>INT(SUMPRODUCT($AP259:$AT259,$BA259:$BE259)/SUM($BA259:$BE259)/10000*$BX$7*$BZ$34/'疲劳值&amp;地图信息'!$R$10*$BY$57)</f>
        <v>17134</v>
      </c>
      <c r="DH259" s="50">
        <f t="shared" si="348"/>
        <v>0.40498977801096375</v>
      </c>
      <c r="DI259" s="50">
        <f t="shared" si="349"/>
        <v>0.28502161995911207</v>
      </c>
      <c r="DJ259" s="50">
        <f t="shared" si="350"/>
        <v>0.30998860202992418</v>
      </c>
      <c r="DL259" s="14">
        <f t="shared" si="421"/>
        <v>19303</v>
      </c>
      <c r="DM259" s="14">
        <f t="shared" si="422"/>
        <v>24282</v>
      </c>
      <c r="DN259" s="14">
        <f t="shared" si="423"/>
        <v>29396</v>
      </c>
      <c r="DO259" s="14">
        <f t="shared" si="424"/>
        <v>43575</v>
      </c>
      <c r="DP259" s="14">
        <f t="shared" si="425"/>
        <v>55273</v>
      </c>
      <c r="DQ259" s="14">
        <f t="shared" si="426"/>
        <v>1337127</v>
      </c>
      <c r="DT259" s="14">
        <f t="shared" si="420"/>
        <v>235575</v>
      </c>
      <c r="DU259" s="50">
        <f t="shared" si="322"/>
        <v>0.14978997928406018</v>
      </c>
      <c r="DW259" s="14">
        <f t="shared" si="351"/>
        <v>1572702</v>
      </c>
      <c r="EB259" s="14">
        <v>254</v>
      </c>
      <c r="EC259" s="51">
        <f t="shared" si="352"/>
        <v>24831</v>
      </c>
      <c r="ED259" s="51">
        <f t="shared" si="353"/>
        <v>1837</v>
      </c>
      <c r="EE259" s="51">
        <f>INT(SUMPRODUCT($N259:$R259,$BF259:$BJ259)/SUM($BF259:$BJ259)/10000*$BX$7*$BZ$46/'疲劳值&amp;地图信息'!$R$10*$BY$53)</f>
        <v>443</v>
      </c>
      <c r="EF259" s="50">
        <f t="shared" si="354"/>
        <v>0.91590129467743719</v>
      </c>
      <c r="EG259" s="50">
        <f t="shared" si="355"/>
        <v>6.7758474419977135E-2</v>
      </c>
      <c r="EH259" s="50">
        <f t="shared" si="356"/>
        <v>1.6340230902585667E-2</v>
      </c>
      <c r="EI259" s="51">
        <f t="shared" si="357"/>
        <v>26942</v>
      </c>
      <c r="EJ259" s="51">
        <f t="shared" si="358"/>
        <v>3087</v>
      </c>
      <c r="EK259" s="14">
        <f>INT(SUMPRODUCT($U259:$Y259,$BF259:$BJ259)/SUM($BF259:$BJ259)/10000*$BX$7*$BZ$46/'疲劳值&amp;地图信息'!$R$10*$BY$54)</f>
        <v>841</v>
      </c>
      <c r="EL259" s="50">
        <f t="shared" si="359"/>
        <v>0.87275672173631358</v>
      </c>
      <c r="EM259" s="50">
        <f t="shared" si="360"/>
        <v>0.1</v>
      </c>
      <c r="EN259" s="50">
        <f t="shared" si="361"/>
        <v>2.7243278263686426E-2</v>
      </c>
      <c r="EO259" s="51">
        <f t="shared" si="362"/>
        <v>29565</v>
      </c>
      <c r="EP259" s="51">
        <f t="shared" si="363"/>
        <v>5251</v>
      </c>
      <c r="EQ259" s="14">
        <f>INT(SUMPRODUCT($AB259:$AF259,$BF259:$BJ259)/SUM($BF259:$BJ259)/10000*$BX$7*$BZ$46/'疲劳值&amp;地图信息'!$R$10*$BY$55)</f>
        <v>1141</v>
      </c>
      <c r="ER259" s="50">
        <f t="shared" si="364"/>
        <v>0.8222321105765219</v>
      </c>
      <c r="ES259" s="50">
        <f t="shared" si="365"/>
        <v>0.1460355424534861</v>
      </c>
      <c r="ET259" s="50">
        <f t="shared" si="366"/>
        <v>3.1732346969991936E-2</v>
      </c>
      <c r="EU259" s="51">
        <f t="shared" si="367"/>
        <v>35634</v>
      </c>
      <c r="EV259" s="51">
        <f t="shared" si="368"/>
        <v>15600</v>
      </c>
      <c r="EW259" s="14">
        <f>INT(SUMPRODUCT($AI259:$AM259,$BF259:$BJ259)/SUM($BF259:$BJ259)/10000*$BX$7*$BZ$46/'疲劳值&amp;地图信息'!$R$10*$BY$56)</f>
        <v>1711</v>
      </c>
      <c r="EX259" s="50">
        <f t="shared" si="369"/>
        <v>0.67303805836245156</v>
      </c>
      <c r="EY259" s="50">
        <f t="shared" si="370"/>
        <v>0.29464538672207008</v>
      </c>
      <c r="EZ259" s="50">
        <f t="shared" si="371"/>
        <v>3.2316554915478329E-2</v>
      </c>
      <c r="FA259" s="51">
        <f t="shared" si="372"/>
        <v>37308</v>
      </c>
      <c r="FB259" s="51">
        <f t="shared" si="373"/>
        <v>26257</v>
      </c>
      <c r="FC259" s="14">
        <f>INT(SUMPRODUCT($AP259:$AT259,$BF259:$BJ259)/SUM($BF259:$BJ259)/10000*$BX$7*$BZ$46/'疲劳值&amp;地图信息'!$R$10*$BY$57)</f>
        <v>2282</v>
      </c>
      <c r="FD259" s="50">
        <f t="shared" si="374"/>
        <v>0.56658617704679026</v>
      </c>
      <c r="FE259" s="50">
        <f t="shared" si="375"/>
        <v>0.39875772624417211</v>
      </c>
      <c r="FF259" s="50">
        <f t="shared" si="376"/>
        <v>3.4656096709037618E-2</v>
      </c>
      <c r="FH259" s="14">
        <f t="shared" si="377"/>
        <v>27111</v>
      </c>
      <c r="FI259" s="14">
        <f t="shared" si="378"/>
        <v>30870</v>
      </c>
      <c r="FJ259" s="14">
        <f t="shared" si="379"/>
        <v>35957</v>
      </c>
      <c r="FK259" s="14">
        <f t="shared" si="380"/>
        <v>52945</v>
      </c>
      <c r="FL259" s="14">
        <f t="shared" si="381"/>
        <v>65847</v>
      </c>
      <c r="FM259" s="14">
        <f t="shared" si="382"/>
        <v>3194575</v>
      </c>
      <c r="FP259" s="14">
        <f t="shared" si="383"/>
        <v>334150</v>
      </c>
      <c r="FQ259" s="50">
        <f t="shared" si="323"/>
        <v>9.4694259257947277E-2</v>
      </c>
      <c r="FS259" s="14">
        <f t="shared" si="384"/>
        <v>3528725</v>
      </c>
      <c r="FX259" s="14">
        <v>254</v>
      </c>
      <c r="FY259" s="51">
        <f t="shared" si="385"/>
        <v>34764</v>
      </c>
      <c r="FZ259" s="51">
        <f t="shared" si="386"/>
        <v>1837</v>
      </c>
      <c r="GA259" s="51">
        <f>INT(SUMPRODUCT($N259:$R259,$BF259:$BJ259)/SUM($BF259:$BJ259)/10000*$BX$7*$BZ$46/'疲劳值&amp;地图信息'!$R$10*$BY$53)</f>
        <v>443</v>
      </c>
      <c r="GB259" s="50">
        <f t="shared" si="387"/>
        <v>0.93845157110463229</v>
      </c>
      <c r="GC259" s="50">
        <f t="shared" si="388"/>
        <v>4.958967714069755E-2</v>
      </c>
      <c r="GD259" s="50">
        <f t="shared" si="389"/>
        <v>1.1958751754670122E-2</v>
      </c>
      <c r="GE259" s="51">
        <f t="shared" si="390"/>
        <v>37719</v>
      </c>
      <c r="GF259" s="51">
        <f t="shared" si="391"/>
        <v>3087</v>
      </c>
      <c r="GG259" s="14">
        <f>INT(SUMPRODUCT($U259:$Y259,$BF259:$BJ259)/SUM($BF259:$BJ259)/10000*$BX$7*$BZ$46/'疲劳值&amp;地图信息'!$R$10*$BY$54)</f>
        <v>841</v>
      </c>
      <c r="GH259" s="50">
        <f t="shared" si="392"/>
        <v>0.90568348260378895</v>
      </c>
      <c r="GI259" s="50">
        <f t="shared" si="393"/>
        <v>7.4122986049415321E-2</v>
      </c>
      <c r="GJ259" s="50">
        <f t="shared" si="394"/>
        <v>2.0193531346795687E-2</v>
      </c>
      <c r="GK259" s="51">
        <f t="shared" si="395"/>
        <v>41392</v>
      </c>
      <c r="GL259" s="51">
        <f t="shared" si="396"/>
        <v>5251</v>
      </c>
      <c r="GM259" s="14">
        <f>INT(SUMPRODUCT($AB259:$AF259,$BF259:$BJ259)/SUM($BF259:$BJ259)/10000*$BX$7*$BZ$46/'疲劳值&amp;地图信息'!$R$10*$BY$55)</f>
        <v>1141</v>
      </c>
      <c r="GN259" s="50">
        <f t="shared" si="397"/>
        <v>0.86623137451866739</v>
      </c>
      <c r="GO259" s="50">
        <f t="shared" si="398"/>
        <v>0.10989033986271556</v>
      </c>
      <c r="GP259" s="50">
        <f t="shared" si="399"/>
        <v>2.3878285618617111E-2</v>
      </c>
      <c r="GQ259" s="51">
        <f t="shared" si="400"/>
        <v>49888</v>
      </c>
      <c r="GR259" s="51">
        <f t="shared" si="401"/>
        <v>15600</v>
      </c>
      <c r="GS259" s="14">
        <f>INT(SUMPRODUCT($AI259:$AM259,$BF259:$BJ259)/SUM($BF259:$BJ259)/10000*$BX$7*$BZ$46/'疲劳值&amp;地图信息'!$R$10*$BY$56)</f>
        <v>1711</v>
      </c>
      <c r="GT259" s="50">
        <f t="shared" si="402"/>
        <v>0.74239199988095061</v>
      </c>
      <c r="GU259" s="50">
        <f t="shared" si="403"/>
        <v>0.23214631170106698</v>
      </c>
      <c r="GV259" s="50">
        <f t="shared" si="404"/>
        <v>2.5461688417982409E-2</v>
      </c>
      <c r="GW259" s="51">
        <f t="shared" si="405"/>
        <v>52232</v>
      </c>
      <c r="GX259" s="51">
        <f t="shared" si="406"/>
        <v>26257</v>
      </c>
      <c r="GY259" s="14">
        <f>INT(SUMPRODUCT($AP259:$AT259,$BF259:$BJ259)/SUM($BF259:$BJ259)/10000*$BX$7*$BZ$46/'疲劳值&amp;地图信息'!$R$10*$BY$57)</f>
        <v>2282</v>
      </c>
      <c r="GZ259" s="50">
        <f t="shared" si="407"/>
        <v>0.64666773965903601</v>
      </c>
      <c r="HA259" s="50">
        <f t="shared" si="408"/>
        <v>0.32507954587661414</v>
      </c>
      <c r="HB259" s="50">
        <f t="shared" si="409"/>
        <v>2.8252714464349828E-2</v>
      </c>
      <c r="HD259" s="14">
        <f t="shared" si="410"/>
        <v>37044</v>
      </c>
      <c r="HE259" s="14">
        <f t="shared" si="411"/>
        <v>41647</v>
      </c>
      <c r="HF259" s="14">
        <f t="shared" si="412"/>
        <v>47784</v>
      </c>
      <c r="HG259" s="14">
        <f t="shared" si="413"/>
        <v>67199</v>
      </c>
      <c r="HH259" s="14">
        <f t="shared" si="414"/>
        <v>80771</v>
      </c>
      <c r="HI259" s="14">
        <f t="shared" si="415"/>
        <v>4305295</v>
      </c>
      <c r="HL259" s="14">
        <f t="shared" si="416"/>
        <v>430050</v>
      </c>
      <c r="HM259" s="50">
        <f t="shared" si="324"/>
        <v>9.0817036562277936E-2</v>
      </c>
      <c r="HO259" s="14">
        <f t="shared" si="417"/>
        <v>4735345</v>
      </c>
    </row>
    <row r="260" spans="11:223" x14ac:dyDescent="0.2">
      <c r="K260" s="14">
        <v>255</v>
      </c>
      <c r="L260" s="12">
        <f>求节点(节奏总纲!D$4:D$163,标准城池设计!AB$4:AB$163,$K260)*求节点(节奏总纲!D$4:D$163,攻城基础信息!$AC$5:$AC$164,$K260)</f>
        <v>732387.70386722567</v>
      </c>
      <c r="M260" s="12">
        <f>INDEX(其他调用!$AA$5:$AA$404,MATCH(K260,其他调用!$X$5:$X$404,0))*MIN(INDEX(其他调用!$AH$5:$AH$364,MATCH('征服点（新）'!K260,其他调用!$AG$5:$AG$364,0),1)/INDEX(其他调用!$AJ$5:$AJ$364,MATCH(K260,其他调用!$AG$5:$AG$364,0),0),5)*求节点(节奏总纲!D$4:D$163,攻城基础信息!$AC$5:$AC$164,$K260)</f>
        <v>54115.927162901731</v>
      </c>
      <c r="N260" s="12">
        <f>MIN(INDEX(其他调用!$AH$5:$AH$364,MATCH($K260,其他调用!$AG$5:$AG$364,0),1)/INDEX(其他调用!AH$5:AH$364,MATCH($K260,其他调用!$AG$5:$AG$364,0),0),1)*INDEX(其他调用!Y$5:Y$404,MATCH($K260,其他调用!$X$5:$X$404,0),0)</f>
        <v>41535.87937427</v>
      </c>
      <c r="O260" s="12">
        <f>MIN(INDEX(其他调用!$AH$5:$AH$364,MATCH($K260,其他调用!$AG$5:$AG$364,0),1)/INDEX(其他调用!AI$5:AI$364,MATCH($K260,其他调用!$AG$5:$AG$364,0),0),1)*INDEX(其他调用!Z$5:Z$404,MATCH($K260,其他调用!$X$5:$X$404,0),0)</f>
        <v>25397.801289123174</v>
      </c>
      <c r="P260" s="12">
        <f>MIN(INDEX(其他调用!$AH$5:$AH$364,MATCH($K260,其他调用!$AG$5:$AG$364,0),1)/INDEX(其他调用!AJ$5:AJ$364,MATCH($K260,其他调用!$AG$5:$AG$364,0),0),1)*INDEX(其他调用!AA$5:AA$404,MATCH($K260,其他调用!$X$5:$X$404,0),0)</f>
        <v>15461.693475114791</v>
      </c>
      <c r="Q260" s="12">
        <f>MIN(INDEX(其他调用!$AH$5:$AH$364,MATCH($K260,其他调用!$AG$5:$AG$364,0),1)/INDEX(其他调用!AK$5:AK$364,MATCH($K260,其他调用!$AG$5:$AG$364,0),0),1)*INDEX(其他调用!AB$5:AB$404,MATCH($K260,其他调用!$X$5:$X$404,0),0)</f>
        <v>5468.5428954037743</v>
      </c>
      <c r="R260" s="12">
        <f>MIN(INDEX(其他调用!$AH$5:$AH$364,MATCH($K260,其他调用!$AG$5:$AG$364,0),1)/INDEX(其他调用!AL$5:AL$364,MATCH($K260,其他调用!$AG$5:$AG$364,0),0),1)*INDEX(其他调用!AC$5:AC$404,MATCH($K260,其他调用!$X$5:$X$404,0),0)</f>
        <v>3018.2481137484428</v>
      </c>
      <c r="S260" s="12">
        <f>求节点(节奏总纲!D$4:D$163,标准城池设计!AC$4:AC$163,$K260)*求节点(节奏总纲!D$4:D$163,攻城基础信息!$AD$5:$AD$164,$K260)</f>
        <v>794985.61284838442</v>
      </c>
      <c r="T260" s="12">
        <f>INDEX(其他调用!$AA$5:$AA$404,MATCH($K260,其他调用!$X$5:$X$404,0))*MIN(INDEX(其他调用!AI$5:AI$364,MATCH($K260,其他调用!$AG$5:$AG$364,0),1)/INDEX(其他调用!$AJ$5:$AJ$364,MATCH($K260,其他调用!$AG$5:$AG$364,0),0),5)*求节点(节奏总纲!D$4:D$163,攻城基础信息!$AD$5:$AD$164,$K260)</f>
        <v>90970.303629995979</v>
      </c>
      <c r="U260" s="12">
        <f>MIN(INDEX(其他调用!$AI$5:$AI$364,MATCH($K260,其他调用!$AG$5:$AG$364,0),1)/INDEX(其他调用!AH$5:AH$364,MATCH($K260,其他调用!$AG$5:$AG$364,0),0),1)*INDEX(其他调用!Y$5:Y$404,MATCH($K260,其他调用!$X$5:$X$404,0),0)</f>
        <v>41535.87937427</v>
      </c>
      <c r="V260" s="12">
        <f>MIN(INDEX(其他调用!$AI$5:$AI$364,MATCH($K260,其他调用!$AG$5:$AG$364,0),1)/INDEX(其他调用!AI$5:AI$364,MATCH($K260,其他调用!$AG$5:$AG$364,0),0),1)*INDEX(其他调用!Z$5:Z$404,MATCH($K260,其他调用!$X$5:$X$404,0),0)</f>
        <v>42694.375130095272</v>
      </c>
      <c r="W260" s="12">
        <f>MIN(INDEX(其他调用!$AI$5:$AI$364,MATCH($K260,其他调用!$AG$5:$AG$364,0),1)/INDEX(其他调用!AJ$5:AJ$364,MATCH($K260,其他调用!$AG$5:$AG$364,0),0),1)*INDEX(其他调用!AA$5:AA$404,MATCH($K260,其他调用!$X$5:$X$404,0),0)</f>
        <v>25991.515322856012</v>
      </c>
      <c r="X260" s="12">
        <f>MIN(INDEX(其他调用!$AI$5:$AI$364,MATCH($K260,其他调用!$AG$5:$AG$364,0),1)/INDEX(其他调用!AK$5:AK$364,MATCH($K260,其他调用!$AG$5:$AG$364,0),0),1)*INDEX(其他调用!AB$5:AB$404,MATCH($K260,其他调用!$X$5:$X$404,0),0)</f>
        <v>9192.7651190567503</v>
      </c>
      <c r="Y260" s="12">
        <f>MIN(INDEX(其他调用!$AI$5:$AI$364,MATCH($K260,其他调用!$AG$5:$AG$364,0),1)/INDEX(其他调用!AL$5:AL$364,MATCH($K260,其他调用!$AG$5:$AG$364,0),0),1)*INDEX(其他调用!AC$5:AC$404,MATCH($K260,其他调用!$X$5:$X$404,0),0)</f>
        <v>5073.7548395287604</v>
      </c>
      <c r="Z260" s="12">
        <f>求节点(节奏总纲!D$4:D$163,标准城池设计!AD$4:AD$163,$K260)*求节点(节奏总纲!D$4:D$163,攻城基础信息!$AE$5:$AE$164,$K260)</f>
        <v>872553.97412476549</v>
      </c>
      <c r="AA260" s="12">
        <f>INDEX(其他调用!$AA$5:$AA$404,MATCH($K260,其他调用!$X$5:$X$404,0))*MIN(INDEX(其他调用!AJ$5:AJ$364,MATCH($K260,其他调用!$AG$5:$AG$364,0),1)/INDEX(其他调用!$AJ$5:$AJ$364,MATCH($K260,其他调用!$AG$5:$AG$364,0),0),5)*求节点(节奏总纲!D$4:D$163,攻城基础信息!$AE$5:$AE$164,$K260)</f>
        <v>154759.78439618531</v>
      </c>
      <c r="AB260" s="12">
        <f>MIN(INDEX(其他调用!$AJ$5:$AJ$364,MATCH($K260,其他调用!$AG$5:$AG$364,0),1)/INDEX(其他调用!AH$5:AH$364,MATCH($K260,其他调用!$AG$5:$AG$364,0),0),1)*INDEX(其他调用!Y$5:Y$404,MATCH($K260,其他调用!$X$5:$X$404,0),0)</f>
        <v>41535.87937427</v>
      </c>
      <c r="AC260" s="12">
        <f>MIN(INDEX(其他调用!$AJ$5:$AJ$364,MATCH($K260,其他调用!$AG$5:$AG$364,0),1)/INDEX(其他调用!AI$5:AI$364,MATCH($K260,其他调用!$AG$5:$AG$364,0),0),1)*INDEX(其他调用!Z$5:Z$404,MATCH($K260,其他调用!$X$5:$X$404,0),0)</f>
        <v>42694.375130095272</v>
      </c>
      <c r="AD260" s="12">
        <f>MIN(INDEX(其他调用!$AJ$5:$AJ$364,MATCH($K260,其他调用!$AG$5:$AG$364,0),1)/INDEX(其他调用!AJ$5:AJ$364,MATCH($K260,其他调用!$AG$5:$AG$364,0),0),1)*INDEX(其他调用!AA$5:AA$404,MATCH($K260,其他调用!$X$5:$X$404,0),0)</f>
        <v>44217.081256052974</v>
      </c>
      <c r="AE260" s="12">
        <f>MIN(INDEX(其他调用!$AJ$5:$AJ$364,MATCH($K260,其他调用!$AG$5:$AG$364,0),1)/INDEX(其他调用!AK$5:AK$364,MATCH($K260,其他调用!$AG$5:$AG$364,0),0),1)*INDEX(其他调用!AB$5:AB$404,MATCH($K260,其他调用!$X$5:$X$404,0),0)</f>
        <v>15638.843568297081</v>
      </c>
      <c r="AF260" s="12">
        <f>MIN(INDEX(其他调用!$AJ$5:$AJ$364,MATCH($K260,其他调用!$AG$5:$AG$364,0),1)/INDEX(其他调用!AL$5:AL$364,MATCH($K260,其他调用!$AG$5:$AG$364,0),0),1)*INDEX(其他调用!AC$5:AC$404,MATCH($K260,其他调用!$X$5:$X$404,0),0)</f>
        <v>8631.533299463028</v>
      </c>
      <c r="AG260" s="12">
        <f>求节点(节奏总纲!D$4:D$163,标准城池设计!AE$4:AE$163,$K260)*求节点(节奏总纲!D$4:D$163,攻城基础信息!$AF$5:$AF$164,$K260)</f>
        <v>1051741.660624851</v>
      </c>
      <c r="AH260" s="12">
        <f>INDEX(其他调用!$AA$5:$AA$404,MATCH($K260,其他调用!$X$5:$X$404,0))*MIN(INDEX(其他调用!AK$5:AK$364,MATCH($K260,其他调用!$AG$5:$AG$364,0),1)/INDEX(其他调用!$AJ$5:$AJ$364,MATCH($K260,其他调用!$AG$5:$AG$364,0),0),5)*求节点(节奏总纲!D$4:D$163,攻城基础信息!$AF$5:$AF$164,$K260)</f>
        <v>459733.94714658771</v>
      </c>
      <c r="AI260" s="12">
        <f>MIN(INDEX(其他调用!$AK$5:$AK$364,MATCH($K260,其他调用!$AG$5:$AG$364,0),1)/INDEX(其他调用!AH$5:AH$364,MATCH($K260,其他调用!$AG$5:$AG$364,0),0),1)*INDEX(其他调用!Y$5:Y$404,MATCH($K260,其他调用!$X$5:$X$404,0),0)</f>
        <v>41535.87937427</v>
      </c>
      <c r="AJ260" s="12">
        <f>MIN(INDEX(其他调用!$AK$5:$AK$364,MATCH($K260,其他调用!$AG$5:$AG$364,0),1)/INDEX(其他调用!AI$5:AI$364,MATCH($K260,其他调用!$AG$5:$AG$364,0),0),1)*INDEX(其他调用!Z$5:Z$404,MATCH($K260,其他调用!$X$5:$X$404,0),0)</f>
        <v>42694.375130095272</v>
      </c>
      <c r="AK260" s="12">
        <f>MIN(INDEX(其他调用!$AK$5:$AK$364,MATCH($K260,其他调用!$AG$5:$AG$364,0),1)/INDEX(其他调用!AJ$5:AJ$364,MATCH($K260,其他调用!$AG$5:$AG$364,0),0),1)*INDEX(其他调用!AA$5:AA$404,MATCH($K260,其他调用!$X$5:$X$404,0),0)</f>
        <v>44217.081256052974</v>
      </c>
      <c r="AL260" s="12">
        <f>MIN(INDEX(其他调用!$AK$5:$AK$364,MATCH($K260,其他调用!$AG$5:$AG$364,0),1)/INDEX(其他调用!AK$5:AK$364,MATCH($K260,其他调用!$AG$5:$AG$364,0),0),1)*INDEX(其他调用!AB$5:AB$404,MATCH($K260,其他调用!$X$5:$X$404,0),0)</f>
        <v>46457.206634868278</v>
      </c>
      <c r="AM260" s="12">
        <f>MIN(INDEX(其他调用!$AK$5:$AK$364,MATCH($K260,其他调用!$AG$5:$AG$364,0),1)/INDEX(其他调用!AL$5:AL$364,MATCH($K260,其他调用!$AG$5:$AG$364,0),0),1)*INDEX(其他调用!AC$5:AC$404,MATCH($K260,其他调用!$X$5:$X$404,0),0)</f>
        <v>25641.085564779067</v>
      </c>
      <c r="AN260" s="12">
        <f>求节点(节奏总纲!D$4:D$163,标准城池设计!AF$4:AF$163,$K260)*求节点(节奏总纲!D$4:D$163,攻城基础信息!$AG$5:$AG$164,$K260)</f>
        <v>1101150.9858554378</v>
      </c>
      <c r="AO260" s="12">
        <f>INDEX(其他调用!$AA$5:$AA$404,MATCH($K260,其他调用!$X$5:$X$404,0))*MIN(INDEX(其他调用!AL$5:AL$364,MATCH($K260,其他调用!$AG$5:$AG$364,0),1)/INDEX(其他调用!$AJ$5:$AJ$364,MATCH($K260,其他调用!$AG$5:$AG$364,0),0),5)*求节点(节奏总纲!D$4:D$163,攻城基础信息!$AG$5:$AG$164,$K260)</f>
        <v>773798.92198092653</v>
      </c>
      <c r="AP260" s="12">
        <f>MIN(INDEX(其他调用!$AL$5:$AL$364,MATCH($K260,其他调用!$AG$5:$AG$364,0),1)/INDEX(其他调用!AH$5:AH$364,MATCH($K260,其他调用!$AG$5:$AG$364,0),0),1)*INDEX(其他调用!Y$5:Y$404,MATCH($K260,其他调用!$X$5:$X$404,0),0)</f>
        <v>41535.87937427</v>
      </c>
      <c r="AQ260" s="12">
        <f>MIN(INDEX(其他调用!$AL$5:$AL$364,MATCH($K260,其他调用!$AG$5:$AG$364,0),1)/INDEX(其他调用!AI$5:AI$364,MATCH($K260,其他调用!$AG$5:$AG$364,0),0),1)*INDEX(其他调用!Z$5:Z$404,MATCH($K260,其他调用!$X$5:$X$404,0),0)</f>
        <v>42694.375130095272</v>
      </c>
      <c r="AR260" s="12">
        <f>MIN(INDEX(其他调用!$AL$5:$AL$364,MATCH($K260,其他调用!$AG$5:$AG$364,0),1)/INDEX(其他调用!AJ$5:AJ$364,MATCH($K260,其他调用!$AG$5:$AG$364,0),0),1)*INDEX(其他调用!AA$5:AA$404,MATCH($K260,其他调用!$X$5:$X$404,0),0)</f>
        <v>44217.081256052974</v>
      </c>
      <c r="AS260" s="12">
        <f>MIN(INDEX(其他调用!$AL$5:$AL$364,MATCH($K260,其他调用!$AG$5:$AG$364,0),1)/INDEX(其他调用!AK$5:AK$364,MATCH($K260,其他调用!$AG$5:$AG$364,0),0),1)*INDEX(其他调用!AB$5:AB$404,MATCH($K260,其他调用!$X$5:$X$404,0),0)</f>
        <v>46457.206634868278</v>
      </c>
      <c r="AT260" s="12">
        <f>MIN(INDEX(其他调用!$AL$5:$AL$364,MATCH($K260,其他调用!$AG$5:$AG$364,0),1)/INDEX(其他调用!AL$5:AL$364,MATCH($K260,其他调用!$AG$5:$AG$364,0),0),1)*INDEX(其他调用!AC$5:AC$404,MATCH($K260,其他调用!$X$5:$X$404,0),0)</f>
        <v>50344.015222503847</v>
      </c>
      <c r="AV260" s="14">
        <f>IF(OR(AV$5="大R",AV$5="超R"),MAX(INDEX(其他调用!$H$5:$L$404,MATCH($K260,其他调用!$B$5:$B$404,0),MATCH(AV$5,其他调用!$H$4:$L$4,0))*120*0.85,2),INDEX(其他调用!$H$5:$L$404,MATCH($K260,其他调用!$B$5:$B$404,0),MATCH(AV$5,其他调用!$H$4:$L$4,0))*120*0.85)</f>
        <v>48.921801254999991</v>
      </c>
      <c r="AW260" s="14">
        <f>IF(OR(AW$5="大R",AW$5="超R"),MAX(INDEX(其他调用!$H$5:$L$404,MATCH($K260,其他调用!$B$5:$B$404,0),MATCH(AW$5,其他调用!$H$4:$L$4,0))*120*0.85,2),INDEX(其他调用!$H$5:$L$404,MATCH($K260,其他调用!$B$5:$B$404,0),MATCH(AW$5,其他调用!$H$4:$L$4,0))*120*0.85)</f>
        <v>48.237344010638395</v>
      </c>
      <c r="AX260" s="14">
        <f>IF(OR(AX$5="大R",AX$5="超R"),MAX(INDEX(其他调用!$H$5:$L$404,MATCH($K260,其他调用!$B$5:$B$404,0),MATCH(AX$5,其他调用!$H$4:$L$4,0))*120*0.85,2),INDEX(其他调用!$H$5:$L$404,MATCH($K260,其他调用!$B$5:$B$404,0),MATCH(AX$5,其他调用!$H$4:$L$4,0))*120*0.85)</f>
        <v>3.9376284143615998</v>
      </c>
      <c r="AY260" s="14">
        <f>IF(OR(AY$5="大R",AY$5="超R"),MAX(INDEX(其他调用!$H$5:$L$404,MATCH($K260,其他调用!$B$5:$B$404,0),MATCH(AY$5,其他调用!$H$4:$L$4,0))*120*0.85,2),INDEX(其他调用!$H$5:$L$404,MATCH($K260,其他调用!$B$5:$B$404,0),MATCH(AY$5,其他调用!$H$4:$L$4,0))*120*0.85)</f>
        <v>2</v>
      </c>
      <c r="AZ260" s="14">
        <f>IF(OR(AZ$5="大R",AZ$5="超R"),MAX(INDEX(其他调用!$H$5:$L$404,MATCH($K260,其他调用!$B$5:$B$404,0),MATCH(AZ$5,其他调用!$H$4:$L$4,0))*120*0.85,2),INDEX(其他调用!$H$5:$L$404,MATCH($K260,其他调用!$B$5:$B$404,0),MATCH(AZ$5,其他调用!$H$4:$L$4,0))*120*0.85)</f>
        <v>2</v>
      </c>
      <c r="BA260" s="14">
        <f>INDEX(其他调用!$H$5:$L$404,MATCH($K260,其他调用!$B$5:$B$404,0),MATCH(BA$5,其他调用!$H$4:$L$4,0))*INDEX(其他调用!$M$5:$M$404,MATCH($K260,其他调用!$B$5:$B$404,0))*0.6</f>
        <v>28.777530149999997</v>
      </c>
      <c r="BB260" s="14">
        <f>INDEX(其他调用!$H$5:$L$404,MATCH($K260,其他调用!$B$5:$B$404,0),MATCH(BB$5,其他调用!$H$4:$L$4,0))*INDEX(其他调用!$M$5:$M$404,MATCH($K260,其他调用!$B$5:$B$404,0))*0.6</f>
        <v>28.374908241551999</v>
      </c>
      <c r="BC260" s="14">
        <f>INDEX(其他调用!$H$5:$L$404,MATCH($K260,其他调用!$B$5:$B$404,0),MATCH(BC$5,其他调用!$H$4:$L$4,0))*INDEX(其他调用!$M$5:$M$404,MATCH($K260,其他调用!$B$5:$B$404,0))*0.6</f>
        <v>2.3162520084480001</v>
      </c>
      <c r="BD260" s="14">
        <f>INDEX(其他调用!$H$5:$L$404,MATCH($K260,其他调用!$B$5:$B$404,0),MATCH(BD$5,其他调用!$H$4:$L$4,0))*INDEX(其他调用!$M$5:$M$404,MATCH($K260,其他调用!$B$5:$B$404,0))*0.6</f>
        <v>0.4120776000000001</v>
      </c>
      <c r="BE260" s="14">
        <f>INDEX(其他调用!$H$5:$L$404,MATCH($K260,其他调用!$B$5:$B$404,0),MATCH(BE$5,其他调用!$H$4:$L$4,0))*INDEX(其他调用!$M$5:$M$404,MATCH($K260,其他调用!$B$5:$B$404,0))*0.6</f>
        <v>0.11923199999999998</v>
      </c>
      <c r="BF260" s="14">
        <f>IF(OR(BF$5="大R",BF$5="超R"),0,INDEX(其他调用!$H$5:$L$404,MATCH($K260,其他调用!$B$5:$B$404,0),MATCH(BF$5,其他调用!$H$4:$L$4,0))*50*0.4)</f>
        <v>9.5925100500000013</v>
      </c>
      <c r="BG260" s="14">
        <f>IF(OR(BG$5="大R",BG$5="超R"),0,INDEX(其他调用!$H$5:$L$404,MATCH($K260,其他调用!$B$5:$B$404,0),MATCH(BG$5,其他调用!$H$4:$L$4,0))*50*0.4)</f>
        <v>9.4583027471839998</v>
      </c>
      <c r="BH260" s="14">
        <f>IF(OR(BH$5="大R",BH$5="超R"),0,INDEX(其他调用!$H$5:$L$404,MATCH($K260,其他调用!$B$5:$B$404,0),MATCH(BH$5,其他调用!$H$4:$L$4,0))*50*0.4)</f>
        <v>0.77208400281600009</v>
      </c>
      <c r="BI260" s="14">
        <f>IF(OR(BI$5="大R",BI$5="超R"),0,INDEX(其他调用!$H$5:$L$404,MATCH($K260,其他调用!$B$5:$B$404,0),MATCH(BI$5,其他调用!$H$4:$L$4,0))*50*0.4)</f>
        <v>0</v>
      </c>
      <c r="BJ260" s="14">
        <f>IF(OR(BJ$5="大R",BJ$5="超R"),0,INDEX(其他调用!$H$5:$L$404,MATCH($K260,其他调用!$B$5:$B$404,0),MATCH(BJ$5,其他调用!$H$4:$L$4,0))*50*0.4)</f>
        <v>0</v>
      </c>
      <c r="BL260" s="14">
        <f t="shared" si="418"/>
        <v>255</v>
      </c>
      <c r="BM260" s="14">
        <f t="shared" si="325"/>
        <v>96</v>
      </c>
      <c r="BN260" s="14">
        <f>('疲劳值&amp;地图信息'!$S$10*'疲劳值&amp;地图信息'!$R$10+'疲劳值&amp;地图信息'!$S$11*'疲劳值&amp;地图信息'!$R$11+'疲劳值&amp;地图信息'!$S$12*'疲劳值&amp;地图信息'!$R$12+(BM260-'疲劳值&amp;地图信息'!$S$12-'疲劳值&amp;地图信息'!$S$11-'疲劳值&amp;地图信息'!$S$10)*'疲劳值&amp;地图信息'!$R$13)/BM260</f>
        <v>51.371477246638619</v>
      </c>
      <c r="BO260" s="14">
        <f>INDEX(其他调用!$M$5:$M$404,MATCH(BL260,其他调用!$B$5:$B$404,0))*0.6</f>
        <v>60</v>
      </c>
      <c r="BP260" s="14">
        <f>IF(BO260&gt;SUM('疲劳值&amp;地图信息'!$S$10:$S$12),('疲劳值&amp;地图信息'!$S$10*'疲劳值&amp;地图信息'!$R$10+'疲劳值&amp;地图信息'!$S$11*'疲劳值&amp;地图信息'!$R$11+'疲劳值&amp;地图信息'!$S$12*'疲劳值&amp;地图信息'!$R$12+(BO260-'疲劳值&amp;地图信息'!$S$12-'疲劳值&amp;地图信息'!$S$11-'疲劳值&amp;地图信息'!$S$10)*'疲劳值&amp;地图信息'!$R$13)/BO260,('疲劳值&amp;地图信息'!$S$10*'疲劳值&amp;地图信息'!$R$10+'疲劳值&amp;地图信息'!$S$11*'疲劳值&amp;地图信息'!$R$11+'疲劳值&amp;地图信息'!$S$12*'疲劳值&amp;地图信息'!$R$12+(BO260-'疲劳值&amp;地图信息'!$S$12-'疲劳值&amp;地图信息'!$S$11-'疲劳值&amp;地图信息'!$S$10)*'疲劳值&amp;地图信息'!$R$13)/BO260)</f>
        <v>44.158136341605953</v>
      </c>
      <c r="BQ260" s="14">
        <f t="shared" si="419"/>
        <v>20</v>
      </c>
      <c r="BR260" s="14">
        <f>('疲劳值&amp;地图信息'!$S$10*'疲劳值&amp;地图信息'!$R$10+($BQ260-'疲劳值&amp;地图信息'!$S$10)*'疲劳值&amp;地图信息'!$R$11)/$BQ260</f>
        <v>32.067203015074995</v>
      </c>
      <c r="CF260" s="14">
        <v>255</v>
      </c>
      <c r="CG260" s="51">
        <f t="shared" si="326"/>
        <v>14927</v>
      </c>
      <c r="CH260" s="51">
        <f t="shared" si="327"/>
        <v>1102</v>
      </c>
      <c r="CI260" s="51">
        <f>INT(SUMPRODUCT($N260:$R260,$BA260:$BE260)/SUM($BA260:$BE260)/10000*$BX$7*$BZ$34/'疲劳值&amp;地图信息'!$R$10*$BY$53)</f>
        <v>3305</v>
      </c>
      <c r="CJ260" s="50">
        <f t="shared" si="328"/>
        <v>0.77205958415227061</v>
      </c>
      <c r="CK260" s="50">
        <f t="shared" si="329"/>
        <v>5.699803455053274E-2</v>
      </c>
      <c r="CL260" s="50">
        <f t="shared" si="330"/>
        <v>0.17094238129719666</v>
      </c>
      <c r="CM260" s="14">
        <f t="shared" si="331"/>
        <v>16202</v>
      </c>
      <c r="CN260" s="14">
        <f t="shared" si="332"/>
        <v>1854</v>
      </c>
      <c r="CO260" s="14">
        <f>INT(SUMPRODUCT($U260:$Y260,$BA260:$BE260)/SUM($BA260:$BE260)/10000*$BX$7*$BZ$34/'疲劳值&amp;地图信息'!$R$10*$BY$54)</f>
        <v>6269</v>
      </c>
      <c r="CP260" s="50">
        <f t="shared" si="333"/>
        <v>0.66606372045220963</v>
      </c>
      <c r="CQ260" s="50">
        <f t="shared" si="334"/>
        <v>7.6217882836587869E-2</v>
      </c>
      <c r="CR260" s="50">
        <f t="shared" si="335"/>
        <v>0.25771839671120245</v>
      </c>
      <c r="CS260" s="14">
        <f t="shared" si="336"/>
        <v>17783</v>
      </c>
      <c r="CT260" s="14">
        <f t="shared" si="337"/>
        <v>3154</v>
      </c>
      <c r="CU260" s="14">
        <f>INT(SUMPRODUCT($AB260:$AF260,$BA260:$BE260)/SUM($BA260:$BE260)/10000*$BX$7*$BZ$34/'疲劳值&amp;地图信息'!$R$10*$BY$55)</f>
        <v>8511</v>
      </c>
      <c r="CV260" s="50">
        <f t="shared" si="338"/>
        <v>0.60387802227655529</v>
      </c>
      <c r="CW260" s="50">
        <f t="shared" si="339"/>
        <v>0.10710404781309427</v>
      </c>
      <c r="CX260" s="50">
        <f t="shared" si="340"/>
        <v>0.28901792991035047</v>
      </c>
      <c r="CY260" s="14">
        <f t="shared" si="341"/>
        <v>21435</v>
      </c>
      <c r="CZ260" s="14">
        <f t="shared" si="342"/>
        <v>9369</v>
      </c>
      <c r="DA260" s="14">
        <f>INT(SUMPRODUCT($AI260:$AM260,$BA260:$BE260)/SUM($BA260:$BE260)/10000*$BX$7*$BZ$34/'疲劳值&amp;地图信息'!$R$10*$BY$56)</f>
        <v>12842</v>
      </c>
      <c r="DB260" s="50">
        <f t="shared" si="343"/>
        <v>0.49111029647619486</v>
      </c>
      <c r="DC260" s="50">
        <f t="shared" si="344"/>
        <v>0.21465884617147046</v>
      </c>
      <c r="DD260" s="50">
        <f t="shared" si="345"/>
        <v>0.29423085735233467</v>
      </c>
      <c r="DE260" s="14">
        <f t="shared" si="346"/>
        <v>22442</v>
      </c>
      <c r="DF260" s="14">
        <f t="shared" si="347"/>
        <v>15771</v>
      </c>
      <c r="DG260" s="14">
        <f>INT(SUMPRODUCT($AP260:$AT260,$BA260:$BE260)/SUM($BA260:$BE260)/10000*$BX$7*$BZ$34/'疲劳值&amp;地图信息'!$R$10*$BY$57)</f>
        <v>17143</v>
      </c>
      <c r="DH260" s="50">
        <f t="shared" si="348"/>
        <v>0.40541224076884169</v>
      </c>
      <c r="DI260" s="50">
        <f t="shared" si="349"/>
        <v>0.28490136570561458</v>
      </c>
      <c r="DJ260" s="50">
        <f t="shared" si="350"/>
        <v>0.30968639352554378</v>
      </c>
      <c r="DL260" s="14">
        <f t="shared" si="421"/>
        <v>19334</v>
      </c>
      <c r="DM260" s="14">
        <f t="shared" si="422"/>
        <v>24325</v>
      </c>
      <c r="DN260" s="14">
        <f t="shared" si="423"/>
        <v>29448</v>
      </c>
      <c r="DO260" s="14">
        <f t="shared" si="424"/>
        <v>43646</v>
      </c>
      <c r="DP260" s="14">
        <f t="shared" si="425"/>
        <v>55356</v>
      </c>
      <c r="DQ260" s="14">
        <f t="shared" si="426"/>
        <v>1339399</v>
      </c>
      <c r="DT260" s="14">
        <f t="shared" si="420"/>
        <v>235575</v>
      </c>
      <c r="DU260" s="50">
        <f t="shared" si="322"/>
        <v>0.1495738977278355</v>
      </c>
      <c r="DW260" s="14">
        <f t="shared" si="351"/>
        <v>1574974</v>
      </c>
      <c r="EB260" s="14">
        <v>255</v>
      </c>
      <c r="EC260" s="51">
        <f t="shared" si="352"/>
        <v>24878</v>
      </c>
      <c r="ED260" s="51">
        <f t="shared" si="353"/>
        <v>1838</v>
      </c>
      <c r="EE260" s="51">
        <f>INT(SUMPRODUCT($N260:$R260,$BF260:$BJ260)/SUM($BF260:$BJ260)/10000*$BX$7*$BZ$46/'疲劳值&amp;地图信息'!$R$10*$BY$53)</f>
        <v>444</v>
      </c>
      <c r="EF260" s="50">
        <f t="shared" si="354"/>
        <v>0.91597938144329893</v>
      </c>
      <c r="EG260" s="50">
        <f t="shared" si="355"/>
        <v>6.7673048600883648E-2</v>
      </c>
      <c r="EH260" s="50">
        <f t="shared" si="356"/>
        <v>1.6347569955817379E-2</v>
      </c>
      <c r="EI260" s="51">
        <f t="shared" si="357"/>
        <v>27004</v>
      </c>
      <c r="EJ260" s="51">
        <f t="shared" si="358"/>
        <v>3090</v>
      </c>
      <c r="EK260" s="14">
        <f>INT(SUMPRODUCT($U260:$Y260,$BF260:$BJ260)/SUM($BF260:$BJ260)/10000*$BX$7*$BZ$46/'疲劳值&amp;地图信息'!$R$10*$BY$54)</f>
        <v>841</v>
      </c>
      <c r="EL260" s="50">
        <f t="shared" si="359"/>
        <v>0.87292710522062389</v>
      </c>
      <c r="EM260" s="50">
        <f t="shared" si="360"/>
        <v>9.9886859544205592E-2</v>
      </c>
      <c r="EN260" s="50">
        <f t="shared" si="361"/>
        <v>2.7186035235170519E-2</v>
      </c>
      <c r="EO260" s="51">
        <f t="shared" si="362"/>
        <v>29639</v>
      </c>
      <c r="EP260" s="51">
        <f t="shared" si="363"/>
        <v>5257</v>
      </c>
      <c r="EQ260" s="14">
        <f>INT(SUMPRODUCT($AB260:$AF260,$BF260:$BJ260)/SUM($BF260:$BJ260)/10000*$BX$7*$BZ$46/'疲劳值&amp;地图信息'!$R$10*$BY$55)</f>
        <v>1141</v>
      </c>
      <c r="ER260" s="50">
        <f t="shared" si="364"/>
        <v>0.82246024918833416</v>
      </c>
      <c r="ES260" s="50">
        <f t="shared" si="365"/>
        <v>0.14587784776757221</v>
      </c>
      <c r="ET260" s="50">
        <f t="shared" si="366"/>
        <v>3.1661903044093567E-2</v>
      </c>
      <c r="EU260" s="51">
        <f t="shared" si="367"/>
        <v>35726</v>
      </c>
      <c r="EV260" s="51">
        <f t="shared" si="368"/>
        <v>15616</v>
      </c>
      <c r="EW260" s="14">
        <f>INT(SUMPRODUCT($AI260:$AM260,$BF260:$BJ260)/SUM($BF260:$BJ260)/10000*$BX$7*$BZ$46/'疲劳值&amp;地图信息'!$R$10*$BY$56)</f>
        <v>1712</v>
      </c>
      <c r="EX260" s="50">
        <f t="shared" si="369"/>
        <v>0.67338937686131106</v>
      </c>
      <c r="EY260" s="50">
        <f t="shared" si="370"/>
        <v>0.29434161420439553</v>
      </c>
      <c r="EZ260" s="50">
        <f t="shared" si="371"/>
        <v>3.226900893429336E-2</v>
      </c>
      <c r="FA260" s="51">
        <f t="shared" si="372"/>
        <v>37404</v>
      </c>
      <c r="FB260" s="51">
        <f t="shared" si="373"/>
        <v>26285</v>
      </c>
      <c r="FC260" s="14">
        <f>INT(SUMPRODUCT($AP260:$AT260,$BF260:$BJ260)/SUM($BF260:$BJ260)/10000*$BX$7*$BZ$46/'疲劳值&amp;地图信息'!$R$10*$BY$57)</f>
        <v>2283</v>
      </c>
      <c r="FD260" s="50">
        <f t="shared" si="374"/>
        <v>0.566967804523131</v>
      </c>
      <c r="FE260" s="50">
        <f t="shared" si="375"/>
        <v>0.39842660522645973</v>
      </c>
      <c r="FF260" s="50">
        <f t="shared" si="376"/>
        <v>3.4605590250409261E-2</v>
      </c>
      <c r="FH260" s="14">
        <f t="shared" si="377"/>
        <v>27160</v>
      </c>
      <c r="FI260" s="14">
        <f t="shared" si="378"/>
        <v>30935</v>
      </c>
      <c r="FJ260" s="14">
        <f t="shared" si="379"/>
        <v>36037</v>
      </c>
      <c r="FK260" s="14">
        <f t="shared" si="380"/>
        <v>53054</v>
      </c>
      <c r="FL260" s="14">
        <f t="shared" si="381"/>
        <v>65972</v>
      </c>
      <c r="FM260" s="14">
        <f t="shared" si="382"/>
        <v>3200890</v>
      </c>
      <c r="FP260" s="14">
        <f t="shared" si="383"/>
        <v>334150</v>
      </c>
      <c r="FQ260" s="50">
        <f t="shared" si="323"/>
        <v>9.4525097311487283E-2</v>
      </c>
      <c r="FS260" s="14">
        <f t="shared" si="384"/>
        <v>3535040</v>
      </c>
      <c r="FX260" s="14">
        <v>255</v>
      </c>
      <c r="FY260" s="51">
        <f t="shared" si="385"/>
        <v>34829</v>
      </c>
      <c r="FZ260" s="51">
        <f t="shared" si="386"/>
        <v>1838</v>
      </c>
      <c r="GA260" s="51">
        <f>INT(SUMPRODUCT($N260:$R260,$BF260:$BJ260)/SUM($BF260:$BJ260)/10000*$BX$7*$BZ$46/'疲劳值&amp;地图信息'!$R$10*$BY$53)</f>
        <v>444</v>
      </c>
      <c r="GB260" s="50">
        <f t="shared" si="387"/>
        <v>0.93850879793053277</v>
      </c>
      <c r="GC260" s="50">
        <f t="shared" si="388"/>
        <v>4.952709439249818E-2</v>
      </c>
      <c r="GD260" s="50">
        <f t="shared" si="389"/>
        <v>1.1964107676969093E-2</v>
      </c>
      <c r="GE260" s="51">
        <f t="shared" si="390"/>
        <v>37806</v>
      </c>
      <c r="GF260" s="51">
        <f t="shared" si="391"/>
        <v>3090</v>
      </c>
      <c r="GG260" s="14">
        <f>INT(SUMPRODUCT($U260:$Y260,$BF260:$BJ260)/SUM($BF260:$BJ260)/10000*$BX$7*$BZ$46/'疲劳值&amp;地图信息'!$R$10*$BY$54)</f>
        <v>841</v>
      </c>
      <c r="GH260" s="50">
        <f t="shared" si="392"/>
        <v>0.90581498430649066</v>
      </c>
      <c r="GI260" s="50">
        <f t="shared" si="393"/>
        <v>7.4035028871265299E-2</v>
      </c>
      <c r="GJ260" s="50">
        <f t="shared" si="394"/>
        <v>2.0149986822244052E-2</v>
      </c>
      <c r="GK260" s="51">
        <f t="shared" si="395"/>
        <v>41495</v>
      </c>
      <c r="GL260" s="51">
        <f t="shared" si="396"/>
        <v>5257</v>
      </c>
      <c r="GM260" s="14">
        <f>INT(SUMPRODUCT($AB260:$AF260,$BF260:$BJ260)/SUM($BF260:$BJ260)/10000*$BX$7*$BZ$46/'疲劳值&amp;地图信息'!$R$10*$BY$55)</f>
        <v>1141</v>
      </c>
      <c r="GN260" s="50">
        <f t="shared" si="397"/>
        <v>0.86641054016244545</v>
      </c>
      <c r="GO260" s="50">
        <f t="shared" si="398"/>
        <v>0.10976551896936922</v>
      </c>
      <c r="GP260" s="50">
        <f t="shared" si="399"/>
        <v>2.3823940868185331E-2</v>
      </c>
      <c r="GQ260" s="51">
        <f t="shared" si="400"/>
        <v>50016</v>
      </c>
      <c r="GR260" s="51">
        <f t="shared" si="401"/>
        <v>15616</v>
      </c>
      <c r="GS260" s="14">
        <f>INT(SUMPRODUCT($AI260:$AM260,$BF260:$BJ260)/SUM($BF260:$BJ260)/10000*$BX$7*$BZ$46/'疲劳值&amp;地图信息'!$R$10*$BY$56)</f>
        <v>1712</v>
      </c>
      <c r="GT260" s="50">
        <f t="shared" si="402"/>
        <v>0.74269422665716323</v>
      </c>
      <c r="GU260" s="50">
        <f t="shared" si="403"/>
        <v>0.2318840579710145</v>
      </c>
      <c r="GV260" s="50">
        <f t="shared" si="404"/>
        <v>2.5421715371822286E-2</v>
      </c>
      <c r="GW260" s="51">
        <f t="shared" si="405"/>
        <v>52366</v>
      </c>
      <c r="GX260" s="51">
        <f t="shared" si="406"/>
        <v>26285</v>
      </c>
      <c r="GY260" s="14">
        <f>INT(SUMPRODUCT($AP260:$AT260,$BF260:$BJ260)/SUM($BF260:$BJ260)/10000*$BX$7*$BZ$46/'疲劳值&amp;地图信息'!$R$10*$BY$57)</f>
        <v>2283</v>
      </c>
      <c r="GZ260" s="50">
        <f t="shared" si="407"/>
        <v>0.64702102948081153</v>
      </c>
      <c r="HA260" s="50">
        <f t="shared" si="408"/>
        <v>0.32477080089949834</v>
      </c>
      <c r="HB260" s="50">
        <f t="shared" si="409"/>
        <v>2.8208169619690117E-2</v>
      </c>
      <c r="HD260" s="14">
        <f t="shared" si="410"/>
        <v>37111</v>
      </c>
      <c r="HE260" s="14">
        <f t="shared" si="411"/>
        <v>41737</v>
      </c>
      <c r="HF260" s="14">
        <f t="shared" si="412"/>
        <v>47893</v>
      </c>
      <c r="HG260" s="14">
        <f t="shared" si="413"/>
        <v>67344</v>
      </c>
      <c r="HH260" s="14">
        <f t="shared" si="414"/>
        <v>80934</v>
      </c>
      <c r="HI260" s="14">
        <f t="shared" si="415"/>
        <v>4313959</v>
      </c>
      <c r="HL260" s="14">
        <f t="shared" si="416"/>
        <v>430050</v>
      </c>
      <c r="HM260" s="50">
        <f t="shared" si="324"/>
        <v>9.0651177095153065E-2</v>
      </c>
      <c r="HO260" s="14">
        <f t="shared" si="417"/>
        <v>4744009</v>
      </c>
    </row>
    <row r="261" spans="11:223" x14ac:dyDescent="0.2">
      <c r="K261" s="14">
        <v>256</v>
      </c>
      <c r="L261" s="12">
        <f>求节点(节奏总纲!D$4:D$163,标准城池设计!AB$4:AB$163,$K261)*求节点(节奏总纲!D$4:D$163,攻城基础信息!$AC$5:$AC$164,$K261)</f>
        <v>733526.38949901366</v>
      </c>
      <c r="M261" s="12">
        <f>INDEX(其他调用!$AA$5:$AA$404,MATCH(K261,其他调用!$X$5:$X$404,0))*MIN(INDEX(其他调用!$AH$5:$AH$364,MATCH('征服点（新）'!K261,其他调用!$AG$5:$AG$364,0),1)/INDEX(其他调用!$AJ$5:$AJ$364,MATCH(K261,其他调用!$AG$5:$AG$364,0),0),5)*求节点(节奏总纲!D$4:D$163,攻城基础信息!$AC$5:$AC$164,$K261)</f>
        <v>54091.298507981846</v>
      </c>
      <c r="N261" s="12">
        <f>MIN(INDEX(其他调用!$AH$5:$AH$364,MATCH($K261,其他调用!$AG$5:$AG$364,0),1)/INDEX(其他调用!AH$5:AH$364,MATCH($K261,其他调用!$AG$5:$AG$364,0),0),1)*INDEX(其他调用!Y$5:Y$404,MATCH($K261,其他调用!$X$5:$X$404,0),0)</f>
        <v>41557.923607445897</v>
      </c>
      <c r="O261" s="12">
        <f>MIN(INDEX(其他调用!$AH$5:$AH$364,MATCH($K261,其他调用!$AG$5:$AG$364,0),1)/INDEX(其他调用!AI$5:AI$364,MATCH($K261,其他调用!$AG$5:$AG$364,0),0),1)*INDEX(其他调用!Z$5:Z$404,MATCH($K261,其他调用!$X$5:$X$404,0),0)</f>
        <v>25394.984435711274</v>
      </c>
      <c r="P261" s="12">
        <f>MIN(INDEX(其他调用!$AH$5:$AH$364,MATCH($K261,其他调用!$AG$5:$AG$364,0),1)/INDEX(其他调用!AJ$5:AJ$364,MATCH($K261,其他调用!$AG$5:$AG$364,0),0),1)*INDEX(其他调用!AA$5:AA$404,MATCH($K261,其他调用!$X$5:$X$404,0),0)</f>
        <v>15454.656716566251</v>
      </c>
      <c r="Q261" s="12">
        <f>MIN(INDEX(其他调用!$AH$5:$AH$364,MATCH($K261,其他调用!$AG$5:$AG$364,0),1)/INDEX(其他调用!AK$5:AK$364,MATCH($K261,其他调用!$AG$5:$AG$364,0),0),1)*INDEX(其他调用!AB$5:AB$404,MATCH($K261,其他调用!$X$5:$X$404,0),0)</f>
        <v>5474.8578825713794</v>
      </c>
      <c r="R261" s="12">
        <f>MIN(INDEX(其他调用!$AH$5:$AH$364,MATCH($K261,其他调用!$AG$5:$AG$364,0),1)/INDEX(其他调用!AL$5:AL$364,MATCH($K261,其他调用!$AG$5:$AG$364,0),0),1)*INDEX(其他调用!AC$5:AC$404,MATCH($K261,其他调用!$X$5:$X$404,0),0)</f>
        <v>3025.9133561662825</v>
      </c>
      <c r="S261" s="12">
        <f>求节点(节奏总纲!D$4:D$163,标准城池设计!AC$4:AC$163,$K261)*求节点(节奏总纲!D$4:D$163,攻城基础信息!$AD$5:$AD$164,$K261)</f>
        <v>796477.46896034665</v>
      </c>
      <c r="T261" s="12">
        <f>INDEX(其他调用!$AA$5:$AA$404,MATCH($K261,其他调用!$X$5:$X$404,0))*MIN(INDEX(其他调用!AI$5:AI$364,MATCH($K261,其他调用!$AG$5:$AG$364,0),1)/INDEX(其他调用!$AJ$5:$AJ$364,MATCH($K261,其他调用!$AG$5:$AG$364,0),0),5)*求节点(节奏总纲!D$4:D$163,攻城基础信息!$AD$5:$AD$164,$K261)</f>
        <v>90985.661099398887</v>
      </c>
      <c r="U261" s="12">
        <f>MIN(INDEX(其他调用!$AI$5:$AI$364,MATCH($K261,其他调用!$AG$5:$AG$364,0),1)/INDEX(其他调用!AH$5:AH$364,MATCH($K261,其他调用!$AG$5:$AG$364,0),0),1)*INDEX(其他调用!Y$5:Y$404,MATCH($K261,其他调用!$X$5:$X$404,0),0)</f>
        <v>41557.923607445897</v>
      </c>
      <c r="V261" s="12">
        <f>MIN(INDEX(其他调用!$AI$5:$AI$364,MATCH($K261,其他调用!$AG$5:$AG$364,0),1)/INDEX(其他调用!AI$5:AI$364,MATCH($K261,其他调用!$AG$5:$AG$364,0),0),1)*INDEX(其他调用!Z$5:Z$404,MATCH($K261,其他调用!$X$5:$X$404,0),0)</f>
        <v>42716.287299909804</v>
      </c>
      <c r="W261" s="12">
        <f>MIN(INDEX(其他调用!$AI$5:$AI$364,MATCH($K261,其他调用!$AG$5:$AG$364,0),1)/INDEX(其他调用!AJ$5:AJ$364,MATCH($K261,其他调用!$AG$5:$AG$364,0),0),1)*INDEX(其他调用!AA$5:AA$404,MATCH($K261,其他调用!$X$5:$X$404,0),0)</f>
        <v>25995.903171256839</v>
      </c>
      <c r="X261" s="12">
        <f>MIN(INDEX(其他调用!$AI$5:$AI$364,MATCH($K261,其他调用!$AG$5:$AG$364,0),1)/INDEX(其他调用!AK$5:AK$364,MATCH($K261,其他调用!$AG$5:$AG$364,0),0),1)*INDEX(其他调用!AB$5:AB$404,MATCH($K261,其他调用!$X$5:$X$404,0),0)</f>
        <v>9209.1256377863847</v>
      </c>
      <c r="Y261" s="12">
        <f>MIN(INDEX(其他调用!$AI$5:$AI$364,MATCH($K261,其他调用!$AG$5:$AG$364,0),1)/INDEX(其他调用!AL$5:AL$364,MATCH($K261,其他调用!$AG$5:$AG$364,0),0),1)*INDEX(其他调用!AC$5:AC$404,MATCH($K261,其他调用!$X$5:$X$404,0),0)</f>
        <v>5089.8154552467231</v>
      </c>
      <c r="Z261" s="12">
        <f>求节点(节奏总纲!D$4:D$163,标准城池设计!AD$4:AD$163,$K261)*求节点(节奏总纲!D$4:D$163,攻城基础信息!$AE$5:$AE$164,$K261)</f>
        <v>874057.96927997551</v>
      </c>
      <c r="AA261" s="12">
        <f>INDEX(其他调用!$AA$5:$AA$404,MATCH($K261,其他调用!$X$5:$X$404,0))*MIN(INDEX(其他调用!AJ$5:AJ$364,MATCH($K261,其他调用!$AG$5:$AG$364,0),1)/INDEX(其他调用!$AJ$5:$AJ$364,MATCH($K261,其他调用!$AG$5:$AG$364,0),0),5)*求节点(节奏总纲!D$4:D$163,攻城基础信息!$AE$5:$AE$164,$K261)</f>
        <v>154836.8002913724</v>
      </c>
      <c r="AB261" s="12">
        <f>MIN(INDEX(其他调用!$AJ$5:$AJ$364,MATCH($K261,其他调用!$AG$5:$AG$364,0),1)/INDEX(其他调用!AH$5:AH$364,MATCH($K261,其他调用!$AG$5:$AG$364,0),0),1)*INDEX(其他调用!Y$5:Y$404,MATCH($K261,其他调用!$X$5:$X$404,0),0)</f>
        <v>41557.923607445897</v>
      </c>
      <c r="AC261" s="12">
        <f>MIN(INDEX(其他调用!$AJ$5:$AJ$364,MATCH($K261,其他调用!$AG$5:$AG$364,0),1)/INDEX(其他调用!AI$5:AI$364,MATCH($K261,其他调用!$AG$5:$AG$364,0),0),1)*INDEX(其他调用!Z$5:Z$404,MATCH($K261,其他调用!$X$5:$X$404,0),0)</f>
        <v>42716.287299909804</v>
      </c>
      <c r="AD261" s="12">
        <f>MIN(INDEX(其他调用!$AJ$5:$AJ$364,MATCH($K261,其他调用!$AG$5:$AG$364,0),1)/INDEX(其他调用!AJ$5:AJ$364,MATCH($K261,其他调用!$AG$5:$AG$364,0),0),1)*INDEX(其他调用!AA$5:AA$404,MATCH($K261,其他调用!$X$5:$X$404,0),0)</f>
        <v>44239.085797535001</v>
      </c>
      <c r="AE261" s="12">
        <f>MIN(INDEX(其他调用!$AJ$5:$AJ$364,MATCH($K261,其他调用!$AG$5:$AG$364,0),1)/INDEX(其他调用!AK$5:AK$364,MATCH($K261,其他调用!$AG$5:$AG$364,0),0),1)*INDEX(其他调用!AB$5:AB$404,MATCH($K261,其他调用!$X$5:$X$404,0),0)</f>
        <v>15671.827076997617</v>
      </c>
      <c r="AF261" s="12">
        <f>MIN(INDEX(其他调用!$AJ$5:$AJ$364,MATCH($K261,其他调用!$AG$5:$AG$364,0),1)/INDEX(其他调用!AL$5:AL$364,MATCH($K261,其他调用!$AG$5:$AG$364,0),0),1)*INDEX(其他调用!AC$5:AC$404,MATCH($K261,其他调用!$X$5:$X$404,0),0)</f>
        <v>8661.7026204053636</v>
      </c>
      <c r="AG261" s="12">
        <f>求节点(节奏总纲!D$4:D$163,标准城池设计!AE$4:AE$163,$K261)*求节点(节奏总纲!D$4:D$163,攻城基础信息!$AF$5:$AF$164,$K261)</f>
        <v>1053652.8076383523</v>
      </c>
      <c r="AH261" s="12">
        <f>INDEX(其他调用!$AA$5:$AA$404,MATCH($K261,其他调用!$X$5:$X$404,0))*MIN(INDEX(其他调用!AK$5:AK$364,MATCH($K261,其他调用!$AG$5:$AG$364,0),1)/INDEX(其他调用!$AJ$5:$AJ$364,MATCH($K261,其他调用!$AG$5:$AG$364,0),0),5)*求节点(节奏总纲!D$4:D$163,攻城基础信息!$AF$5:$AF$164,$K261)</f>
        <v>459220.17807236279</v>
      </c>
      <c r="AI261" s="12">
        <f>MIN(INDEX(其他调用!$AK$5:$AK$364,MATCH($K261,其他调用!$AG$5:$AG$364,0),1)/INDEX(其他调用!AH$5:AH$364,MATCH($K261,其他调用!$AG$5:$AG$364,0),0),1)*INDEX(其他调用!Y$5:Y$404,MATCH($K261,其他调用!$X$5:$X$404,0),0)</f>
        <v>41557.923607445897</v>
      </c>
      <c r="AJ261" s="12">
        <f>MIN(INDEX(其他调用!$AK$5:$AK$364,MATCH($K261,其他调用!$AG$5:$AG$364,0),1)/INDEX(其他调用!AI$5:AI$364,MATCH($K261,其他调用!$AG$5:$AG$364,0),0),1)*INDEX(其他调用!Z$5:Z$404,MATCH($K261,其他调用!$X$5:$X$404,0),0)</f>
        <v>42716.287299909804</v>
      </c>
      <c r="AK261" s="12">
        <f>MIN(INDEX(其他调用!$AK$5:$AK$364,MATCH($K261,其他调用!$AG$5:$AG$364,0),1)/INDEX(其他调用!AJ$5:AJ$364,MATCH($K261,其他调用!$AG$5:$AG$364,0),0),1)*INDEX(其他调用!AA$5:AA$404,MATCH($K261,其他调用!$X$5:$X$404,0),0)</f>
        <v>44239.085797535001</v>
      </c>
      <c r="AL261" s="12">
        <f>MIN(INDEX(其他调用!$AK$5:$AK$364,MATCH($K261,其他调用!$AG$5:$AG$364,0),1)/INDEX(其他调用!AK$5:AK$364,MATCH($K261,其他调用!$AG$5:$AG$364,0),0),1)*INDEX(其他调用!AB$5:AB$404,MATCH($K261,其他调用!$X$5:$X$404,0),0)</f>
        <v>46480.030635321353</v>
      </c>
      <c r="AM261" s="12">
        <f>MIN(INDEX(其他调用!$AK$5:$AK$364,MATCH($K261,其他调用!$AG$5:$AG$364,0),1)/INDEX(其他调用!AL$5:AL$364,MATCH($K261,其他调用!$AG$5:$AG$364,0),0),1)*INDEX(其他调用!AC$5:AC$404,MATCH($K261,其他调用!$X$5:$X$404,0),0)</f>
        <v>25689.168287301782</v>
      </c>
      <c r="AN261" s="12">
        <f>求节点(节奏总纲!D$4:D$163,标准城池设计!AF$4:AF$163,$K261)*求节点(节奏总纲!D$4:D$163,攻城基础信息!$AG$5:$AG$164,$K261)</f>
        <v>1103156.0620149737</v>
      </c>
      <c r="AO261" s="12">
        <f>INDEX(其他调用!$AA$5:$AA$404,MATCH($K261,其他调用!$X$5:$X$404,0))*MIN(INDEX(其他调用!AL$5:AL$364,MATCH($K261,其他调用!$AG$5:$AG$364,0),1)/INDEX(其他调用!$AJ$5:$AJ$364,MATCH($K261,其他调用!$AG$5:$AG$364,0),0),5)*求节点(节奏总纲!D$4:D$163,攻城基础信息!$AG$5:$AG$164,$K261)</f>
        <v>774184.00145686197</v>
      </c>
      <c r="AP261" s="12">
        <f>MIN(INDEX(其他调用!$AL$5:$AL$364,MATCH($K261,其他调用!$AG$5:$AG$364,0),1)/INDEX(其他调用!AH$5:AH$364,MATCH($K261,其他调用!$AG$5:$AG$364,0),0),1)*INDEX(其他调用!Y$5:Y$404,MATCH($K261,其他调用!$X$5:$X$404,0),0)</f>
        <v>41557.923607445897</v>
      </c>
      <c r="AQ261" s="12">
        <f>MIN(INDEX(其他调用!$AL$5:$AL$364,MATCH($K261,其他调用!$AG$5:$AG$364,0),1)/INDEX(其他调用!AI$5:AI$364,MATCH($K261,其他调用!$AG$5:$AG$364,0),0),1)*INDEX(其他调用!Z$5:Z$404,MATCH($K261,其他调用!$X$5:$X$404,0),0)</f>
        <v>42716.287299909804</v>
      </c>
      <c r="AR261" s="12">
        <f>MIN(INDEX(其他调用!$AL$5:$AL$364,MATCH($K261,其他调用!$AG$5:$AG$364,0),1)/INDEX(其他调用!AJ$5:AJ$364,MATCH($K261,其他调用!$AG$5:$AG$364,0),0),1)*INDEX(其他调用!AA$5:AA$404,MATCH($K261,其他调用!$X$5:$X$404,0),0)</f>
        <v>44239.085797535001</v>
      </c>
      <c r="AS261" s="12">
        <f>MIN(INDEX(其他调用!$AL$5:$AL$364,MATCH($K261,其他调用!$AG$5:$AG$364,0),1)/INDEX(其他调用!AK$5:AK$364,MATCH($K261,其他调用!$AG$5:$AG$364,0),0),1)*INDEX(其他调用!AB$5:AB$404,MATCH($K261,其他调用!$X$5:$X$404,0),0)</f>
        <v>46480.030635321353</v>
      </c>
      <c r="AT261" s="12">
        <f>MIN(INDEX(其他调用!$AL$5:$AL$364,MATCH($K261,其他调用!$AG$5:$AG$364,0),1)/INDEX(其他调用!AL$5:AL$364,MATCH($K261,其他调用!$AG$5:$AG$364,0),0),1)*INDEX(其他调用!AC$5:AC$404,MATCH($K261,其他调用!$X$5:$X$404,0),0)</f>
        <v>50367.277616494044</v>
      </c>
      <c r="AV261" s="14">
        <f>IF(OR(AV$5="大R",AV$5="超R"),MAX(INDEX(其他调用!$H$5:$L$404,MATCH($K261,其他调用!$B$5:$B$404,0),MATCH(AV$5,其他调用!$H$4:$L$4,0))*120*0.85,2),INDEX(其他调用!$H$5:$L$404,MATCH($K261,其他调用!$B$5:$B$404,0),MATCH(AV$5,其他调用!$H$4:$L$4,0))*120*0.85)</f>
        <v>48.921801254999991</v>
      </c>
      <c r="AW261" s="14">
        <f>IF(OR(AW$5="大R",AW$5="超R"),MAX(INDEX(其他调用!$H$5:$L$404,MATCH($K261,其他调用!$B$5:$B$404,0),MATCH(AW$5,其他调用!$H$4:$L$4,0))*120*0.85,2),INDEX(其他调用!$H$5:$L$404,MATCH($K261,其他调用!$B$5:$B$404,0),MATCH(AW$5,其他调用!$H$4:$L$4,0))*120*0.85)</f>
        <v>48.237344010638395</v>
      </c>
      <c r="AX261" s="14">
        <f>IF(OR(AX$5="大R",AX$5="超R"),MAX(INDEX(其他调用!$H$5:$L$404,MATCH($K261,其他调用!$B$5:$B$404,0),MATCH(AX$5,其他调用!$H$4:$L$4,0))*120*0.85,2),INDEX(其他调用!$H$5:$L$404,MATCH($K261,其他调用!$B$5:$B$404,0),MATCH(AX$5,其他调用!$H$4:$L$4,0))*120*0.85)</f>
        <v>3.9376284143615998</v>
      </c>
      <c r="AY261" s="14">
        <f>IF(OR(AY$5="大R",AY$5="超R"),MAX(INDEX(其他调用!$H$5:$L$404,MATCH($K261,其他调用!$B$5:$B$404,0),MATCH(AY$5,其他调用!$H$4:$L$4,0))*120*0.85,2),INDEX(其他调用!$H$5:$L$404,MATCH($K261,其他调用!$B$5:$B$404,0),MATCH(AY$5,其他调用!$H$4:$L$4,0))*120*0.85)</f>
        <v>2</v>
      </c>
      <c r="AZ261" s="14">
        <f>IF(OR(AZ$5="大R",AZ$5="超R"),MAX(INDEX(其他调用!$H$5:$L$404,MATCH($K261,其他调用!$B$5:$B$404,0),MATCH(AZ$5,其他调用!$H$4:$L$4,0))*120*0.85,2),INDEX(其他调用!$H$5:$L$404,MATCH($K261,其他调用!$B$5:$B$404,0),MATCH(AZ$5,其他调用!$H$4:$L$4,0))*120*0.85)</f>
        <v>2</v>
      </c>
      <c r="BA261" s="14">
        <f>INDEX(其他调用!$H$5:$L$404,MATCH($K261,其他调用!$B$5:$B$404,0),MATCH(BA$5,其他调用!$H$4:$L$4,0))*INDEX(其他调用!$M$5:$M$404,MATCH($K261,其他调用!$B$5:$B$404,0))*0.6</f>
        <v>28.777530149999997</v>
      </c>
      <c r="BB261" s="14">
        <f>INDEX(其他调用!$H$5:$L$404,MATCH($K261,其他调用!$B$5:$B$404,0),MATCH(BB$5,其他调用!$H$4:$L$4,0))*INDEX(其他调用!$M$5:$M$404,MATCH($K261,其他调用!$B$5:$B$404,0))*0.6</f>
        <v>28.374908241551999</v>
      </c>
      <c r="BC261" s="14">
        <f>INDEX(其他调用!$H$5:$L$404,MATCH($K261,其他调用!$B$5:$B$404,0),MATCH(BC$5,其他调用!$H$4:$L$4,0))*INDEX(其他调用!$M$5:$M$404,MATCH($K261,其他调用!$B$5:$B$404,0))*0.6</f>
        <v>2.3162520084480001</v>
      </c>
      <c r="BD261" s="14">
        <f>INDEX(其他调用!$H$5:$L$404,MATCH($K261,其他调用!$B$5:$B$404,0),MATCH(BD$5,其他调用!$H$4:$L$4,0))*INDEX(其他调用!$M$5:$M$404,MATCH($K261,其他调用!$B$5:$B$404,0))*0.6</f>
        <v>0.4120776000000001</v>
      </c>
      <c r="BE261" s="14">
        <f>INDEX(其他调用!$H$5:$L$404,MATCH($K261,其他调用!$B$5:$B$404,0),MATCH(BE$5,其他调用!$H$4:$L$4,0))*INDEX(其他调用!$M$5:$M$404,MATCH($K261,其他调用!$B$5:$B$404,0))*0.6</f>
        <v>0.11923199999999998</v>
      </c>
      <c r="BF261" s="14">
        <f>IF(OR(BF$5="大R",BF$5="超R"),0,INDEX(其他调用!$H$5:$L$404,MATCH($K261,其他调用!$B$5:$B$404,0),MATCH(BF$5,其他调用!$H$4:$L$4,0))*50*0.4)</f>
        <v>9.5925100500000013</v>
      </c>
      <c r="BG261" s="14">
        <f>IF(OR(BG$5="大R",BG$5="超R"),0,INDEX(其他调用!$H$5:$L$404,MATCH($K261,其他调用!$B$5:$B$404,0),MATCH(BG$5,其他调用!$H$4:$L$4,0))*50*0.4)</f>
        <v>9.4583027471839998</v>
      </c>
      <c r="BH261" s="14">
        <f>IF(OR(BH$5="大R",BH$5="超R"),0,INDEX(其他调用!$H$5:$L$404,MATCH($K261,其他调用!$B$5:$B$404,0),MATCH(BH$5,其他调用!$H$4:$L$4,0))*50*0.4)</f>
        <v>0.77208400281600009</v>
      </c>
      <c r="BI261" s="14">
        <f>IF(OR(BI$5="大R",BI$5="超R"),0,INDEX(其他调用!$H$5:$L$404,MATCH($K261,其他调用!$B$5:$B$404,0),MATCH(BI$5,其他调用!$H$4:$L$4,0))*50*0.4)</f>
        <v>0</v>
      </c>
      <c r="BJ261" s="14">
        <f>IF(OR(BJ$5="大R",BJ$5="超R"),0,INDEX(其他调用!$H$5:$L$404,MATCH($K261,其他调用!$B$5:$B$404,0),MATCH(BJ$5,其他调用!$H$4:$L$4,0))*50*0.4)</f>
        <v>0</v>
      </c>
      <c r="BL261" s="14">
        <f t="shared" si="418"/>
        <v>256</v>
      </c>
      <c r="BM261" s="14">
        <f t="shared" si="325"/>
        <v>96</v>
      </c>
      <c r="BN261" s="14">
        <f>('疲劳值&amp;地图信息'!$S$10*'疲劳值&amp;地图信息'!$R$10+'疲劳值&amp;地图信息'!$S$11*'疲劳值&amp;地图信息'!$R$11+'疲劳值&amp;地图信息'!$S$12*'疲劳值&amp;地图信息'!$R$12+(BM261-'疲劳值&amp;地图信息'!$S$12-'疲劳值&amp;地图信息'!$S$11-'疲劳值&amp;地图信息'!$S$10)*'疲劳值&amp;地图信息'!$R$13)/BM261</f>
        <v>51.371477246638619</v>
      </c>
      <c r="BO261" s="14">
        <f>INDEX(其他调用!$M$5:$M$404,MATCH(BL261,其他调用!$B$5:$B$404,0))*0.6</f>
        <v>60</v>
      </c>
      <c r="BP261" s="14">
        <f>IF(BO261&gt;SUM('疲劳值&amp;地图信息'!$S$10:$S$12),('疲劳值&amp;地图信息'!$S$10*'疲劳值&amp;地图信息'!$R$10+'疲劳值&amp;地图信息'!$S$11*'疲劳值&amp;地图信息'!$R$11+'疲劳值&amp;地图信息'!$S$12*'疲劳值&amp;地图信息'!$R$12+(BO261-'疲劳值&amp;地图信息'!$S$12-'疲劳值&amp;地图信息'!$S$11-'疲劳值&amp;地图信息'!$S$10)*'疲劳值&amp;地图信息'!$R$13)/BO261,('疲劳值&amp;地图信息'!$S$10*'疲劳值&amp;地图信息'!$R$10+'疲劳值&amp;地图信息'!$S$11*'疲劳值&amp;地图信息'!$R$11+'疲劳值&amp;地图信息'!$S$12*'疲劳值&amp;地图信息'!$R$12+(BO261-'疲劳值&amp;地图信息'!$S$12-'疲劳值&amp;地图信息'!$S$11-'疲劳值&amp;地图信息'!$S$10)*'疲劳值&amp;地图信息'!$R$13)/BO261)</f>
        <v>44.158136341605953</v>
      </c>
      <c r="BQ261" s="14">
        <f t="shared" si="419"/>
        <v>20</v>
      </c>
      <c r="BR261" s="14">
        <f>('疲劳值&amp;地图信息'!$S$10*'疲劳值&amp;地图信息'!$R$10+($BQ261-'疲劳值&amp;地图信息'!$S$10)*'疲劳值&amp;地图信息'!$R$11)/$BQ261</f>
        <v>32.067203015074995</v>
      </c>
      <c r="CF261" s="14">
        <v>256</v>
      </c>
      <c r="CG261" s="51">
        <f t="shared" si="326"/>
        <v>14950</v>
      </c>
      <c r="CH261" s="51">
        <f t="shared" si="327"/>
        <v>1102</v>
      </c>
      <c r="CI261" s="51">
        <f>INT(SUMPRODUCT($N261:$R261,$BA261:$BE261)/SUM($BA261:$BE261)/10000*$BX$7*$BZ$34/'疲劳值&amp;地图信息'!$R$10*$BY$53)</f>
        <v>3306</v>
      </c>
      <c r="CJ261" s="50">
        <f t="shared" si="328"/>
        <v>0.77229052588077285</v>
      </c>
      <c r="CK261" s="50">
        <f t="shared" si="329"/>
        <v>5.6927368529806802E-2</v>
      </c>
      <c r="CL261" s="50">
        <f t="shared" si="330"/>
        <v>0.17078210558942039</v>
      </c>
      <c r="CM261" s="14">
        <f t="shared" si="331"/>
        <v>16233</v>
      </c>
      <c r="CN261" s="14">
        <f t="shared" si="332"/>
        <v>1854</v>
      </c>
      <c r="CO261" s="14">
        <f>INT(SUMPRODUCT($U261:$Y261,$BA261:$BE261)/SUM($BA261:$BE261)/10000*$BX$7*$BZ$34/'疲劳值&amp;地图信息'!$R$10*$BY$54)</f>
        <v>6272</v>
      </c>
      <c r="CP261" s="50">
        <f t="shared" si="333"/>
        <v>0.66640666694035056</v>
      </c>
      <c r="CQ261" s="50">
        <f t="shared" si="334"/>
        <v>7.6111498830001234E-2</v>
      </c>
      <c r="CR261" s="50">
        <f t="shared" si="335"/>
        <v>0.25748183422964815</v>
      </c>
      <c r="CS261" s="14">
        <f t="shared" si="336"/>
        <v>17814</v>
      </c>
      <c r="CT261" s="14">
        <f t="shared" si="337"/>
        <v>3155</v>
      </c>
      <c r="CU261" s="14">
        <f>INT(SUMPRODUCT($AB261:$AF261,$BA261:$BE261)/SUM($BA261:$BE261)/10000*$BX$7*$BZ$34/'疲劳值&amp;地图信息'!$R$10*$BY$55)</f>
        <v>8516</v>
      </c>
      <c r="CV261" s="50">
        <f t="shared" si="338"/>
        <v>0.60417161268441577</v>
      </c>
      <c r="CW261" s="50">
        <f t="shared" si="339"/>
        <v>0.10700356113277938</v>
      </c>
      <c r="CX261" s="50">
        <f t="shared" si="340"/>
        <v>0.28882482618280481</v>
      </c>
      <c r="CY261" s="14">
        <f t="shared" si="341"/>
        <v>21474</v>
      </c>
      <c r="CZ261" s="14">
        <f t="shared" si="342"/>
        <v>9359</v>
      </c>
      <c r="DA261" s="14">
        <f>INT(SUMPRODUCT($AI261:$AM261,$BA261:$BE261)/SUM($BA261:$BE261)/10000*$BX$7*$BZ$34/'疲劳值&amp;地图信息'!$R$10*$BY$56)</f>
        <v>12849</v>
      </c>
      <c r="DB261" s="50">
        <f t="shared" si="343"/>
        <v>0.49159837003800194</v>
      </c>
      <c r="DC261" s="50">
        <f t="shared" si="344"/>
        <v>0.214253010393297</v>
      </c>
      <c r="DD261" s="50">
        <f t="shared" si="345"/>
        <v>0.29414861956870109</v>
      </c>
      <c r="DE261" s="14">
        <f t="shared" si="346"/>
        <v>22483</v>
      </c>
      <c r="DF261" s="14">
        <f t="shared" si="347"/>
        <v>15778</v>
      </c>
      <c r="DG261" s="14">
        <f>INT(SUMPRODUCT($AP261:$AT261,$BA261:$BE261)/SUM($BA261:$BE261)/10000*$BX$7*$BZ$34/'疲劳值&amp;地图信息'!$R$10*$BY$57)</f>
        <v>17152</v>
      </c>
      <c r="DH261" s="50">
        <f t="shared" si="348"/>
        <v>0.4057351163084475</v>
      </c>
      <c r="DI261" s="50">
        <f t="shared" si="349"/>
        <v>0.28473462905816327</v>
      </c>
      <c r="DJ261" s="50">
        <f t="shared" si="350"/>
        <v>0.30953025463338929</v>
      </c>
      <c r="DL261" s="14">
        <f t="shared" si="421"/>
        <v>19358</v>
      </c>
      <c r="DM261" s="14">
        <f t="shared" si="422"/>
        <v>24359</v>
      </c>
      <c r="DN261" s="14">
        <f t="shared" si="423"/>
        <v>29485</v>
      </c>
      <c r="DO261" s="14">
        <f t="shared" si="424"/>
        <v>43682</v>
      </c>
      <c r="DP261" s="14">
        <f t="shared" si="425"/>
        <v>55413</v>
      </c>
      <c r="DQ261" s="14">
        <f t="shared" si="426"/>
        <v>1341161</v>
      </c>
      <c r="DT261" s="14">
        <f t="shared" si="420"/>
        <v>235575</v>
      </c>
      <c r="DU261" s="50">
        <f t="shared" si="322"/>
        <v>0.14940674913238489</v>
      </c>
      <c r="DW261" s="14">
        <f t="shared" si="351"/>
        <v>1576736</v>
      </c>
      <c r="EB261" s="14">
        <v>256</v>
      </c>
      <c r="EC261" s="51">
        <f t="shared" si="352"/>
        <v>24917</v>
      </c>
      <c r="ED261" s="51">
        <f t="shared" si="353"/>
        <v>1837</v>
      </c>
      <c r="EE261" s="51">
        <f>INT(SUMPRODUCT($N261:$R261,$BF261:$BJ261)/SUM($BF261:$BJ261)/10000*$BX$7*$BZ$46/'疲劳值&amp;地图信息'!$R$10*$BY$53)</f>
        <v>444</v>
      </c>
      <c r="EF261" s="50">
        <f t="shared" si="354"/>
        <v>0.91613353923082574</v>
      </c>
      <c r="EG261" s="50">
        <f t="shared" si="355"/>
        <v>6.7541731009633066E-2</v>
      </c>
      <c r="EH261" s="50">
        <f t="shared" si="356"/>
        <v>1.6324729759541141E-2</v>
      </c>
      <c r="EI261" s="51">
        <f t="shared" si="357"/>
        <v>27055</v>
      </c>
      <c r="EJ261" s="51">
        <f t="shared" si="358"/>
        <v>3090</v>
      </c>
      <c r="EK261" s="14">
        <f>INT(SUMPRODUCT($U261:$Y261,$BF261:$BJ261)/SUM($BF261:$BJ261)/10000*$BX$7*$BZ$46/'疲劳值&amp;地图信息'!$R$10*$BY$54)</f>
        <v>842</v>
      </c>
      <c r="EL261" s="50">
        <f t="shared" si="359"/>
        <v>0.87310807758092102</v>
      </c>
      <c r="EM261" s="50">
        <f t="shared" si="360"/>
        <v>9.9719237099428787E-2</v>
      </c>
      <c r="EN261" s="50">
        <f t="shared" si="361"/>
        <v>2.7172685319650176E-2</v>
      </c>
      <c r="EO261" s="51">
        <f t="shared" si="362"/>
        <v>29690</v>
      </c>
      <c r="EP261" s="51">
        <f t="shared" si="363"/>
        <v>5259</v>
      </c>
      <c r="EQ261" s="14">
        <f>INT(SUMPRODUCT($AB261:$AF261,$BF261:$BJ261)/SUM($BF261:$BJ261)/10000*$BX$7*$BZ$46/'疲劳值&amp;地图信息'!$R$10*$BY$55)</f>
        <v>1142</v>
      </c>
      <c r="ER261" s="50">
        <f t="shared" si="364"/>
        <v>0.82264276412401982</v>
      </c>
      <c r="ES261" s="50">
        <f t="shared" si="365"/>
        <v>0.14571499819899697</v>
      </c>
      <c r="ET261" s="50">
        <f t="shared" si="366"/>
        <v>3.1642237676983181E-2</v>
      </c>
      <c r="EU261" s="51">
        <f t="shared" si="367"/>
        <v>35791</v>
      </c>
      <c r="EV261" s="51">
        <f t="shared" si="368"/>
        <v>15599</v>
      </c>
      <c r="EW261" s="14">
        <f>INT(SUMPRODUCT($AI261:$AM261,$BF261:$BJ261)/SUM($BF261:$BJ261)/10000*$BX$7*$BZ$46/'疲劳值&amp;地图信息'!$R$10*$BY$56)</f>
        <v>1713</v>
      </c>
      <c r="EX261" s="50">
        <f t="shared" si="369"/>
        <v>0.6739920531796697</v>
      </c>
      <c r="EY261" s="50">
        <f t="shared" si="370"/>
        <v>0.29374988230420129</v>
      </c>
      <c r="EZ261" s="50">
        <f t="shared" si="371"/>
        <v>3.2258064516129031E-2</v>
      </c>
      <c r="FA261" s="51">
        <f t="shared" si="372"/>
        <v>37472</v>
      </c>
      <c r="FB261" s="51">
        <f t="shared" si="373"/>
        <v>26298</v>
      </c>
      <c r="FC261" s="14">
        <f>INT(SUMPRODUCT($AP261:$AT261,$BF261:$BJ261)/SUM($BF261:$BJ261)/10000*$BX$7*$BZ$46/'疲劳值&amp;地图信息'!$R$10*$BY$57)</f>
        <v>2284</v>
      </c>
      <c r="FD261" s="50">
        <f t="shared" si="374"/>
        <v>0.56729342659036541</v>
      </c>
      <c r="FE261" s="50">
        <f t="shared" si="375"/>
        <v>0.39812880370605869</v>
      </c>
      <c r="FF261" s="50">
        <f t="shared" si="376"/>
        <v>3.4577769703575865E-2</v>
      </c>
      <c r="FH261" s="14">
        <f t="shared" si="377"/>
        <v>27198</v>
      </c>
      <c r="FI261" s="14">
        <f t="shared" si="378"/>
        <v>30987</v>
      </c>
      <c r="FJ261" s="14">
        <f t="shared" si="379"/>
        <v>36091</v>
      </c>
      <c r="FK261" s="14">
        <f t="shared" si="380"/>
        <v>53103</v>
      </c>
      <c r="FL261" s="14">
        <f t="shared" si="381"/>
        <v>66054</v>
      </c>
      <c r="FM261" s="14">
        <f t="shared" si="382"/>
        <v>3205732</v>
      </c>
      <c r="FP261" s="14">
        <f t="shared" si="383"/>
        <v>334150</v>
      </c>
      <c r="FQ261" s="50">
        <f t="shared" si="323"/>
        <v>9.4395801893961434E-2</v>
      </c>
      <c r="FS261" s="14">
        <f t="shared" si="384"/>
        <v>3539882</v>
      </c>
      <c r="FX261" s="14">
        <v>256</v>
      </c>
      <c r="FY261" s="51">
        <f t="shared" si="385"/>
        <v>34883</v>
      </c>
      <c r="FZ261" s="51">
        <f t="shared" si="386"/>
        <v>1837</v>
      </c>
      <c r="GA261" s="51">
        <f>INT(SUMPRODUCT($N261:$R261,$BF261:$BJ261)/SUM($BF261:$BJ261)/10000*$BX$7*$BZ$46/'疲劳值&amp;地图信息'!$R$10*$BY$53)</f>
        <v>444</v>
      </c>
      <c r="GB261" s="50">
        <f t="shared" si="387"/>
        <v>0.93862339898826819</v>
      </c>
      <c r="GC261" s="50">
        <f t="shared" si="388"/>
        <v>4.9429555483801527E-2</v>
      </c>
      <c r="GD261" s="50">
        <f t="shared" si="389"/>
        <v>1.1947045527930255E-2</v>
      </c>
      <c r="GE261" s="51">
        <f t="shared" si="390"/>
        <v>37877</v>
      </c>
      <c r="GF261" s="51">
        <f t="shared" si="391"/>
        <v>3090</v>
      </c>
      <c r="GG261" s="14">
        <f>INT(SUMPRODUCT($U261:$Y261,$BF261:$BJ261)/SUM($BF261:$BJ261)/10000*$BX$7*$BZ$46/'疲劳值&amp;地图信息'!$R$10*$BY$54)</f>
        <v>842</v>
      </c>
      <c r="GH261" s="50">
        <f t="shared" si="392"/>
        <v>0.90595326365136697</v>
      </c>
      <c r="GI261" s="50">
        <f t="shared" si="393"/>
        <v>7.3907531871128224E-2</v>
      </c>
      <c r="GJ261" s="50">
        <f t="shared" si="394"/>
        <v>2.0139204477504842E-2</v>
      </c>
      <c r="GK261" s="51">
        <f t="shared" si="395"/>
        <v>41567</v>
      </c>
      <c r="GL261" s="51">
        <f t="shared" si="396"/>
        <v>5259</v>
      </c>
      <c r="GM261" s="14">
        <f>INT(SUMPRODUCT($AB261:$AF261,$BF261:$BJ261)/SUM($BF261:$BJ261)/10000*$BX$7*$BZ$46/'疲劳值&amp;地图信息'!$R$10*$BY$55)</f>
        <v>1142</v>
      </c>
      <c r="GN261" s="50">
        <f t="shared" si="397"/>
        <v>0.86655687124749836</v>
      </c>
      <c r="GO261" s="50">
        <f t="shared" si="398"/>
        <v>0.10963559039359573</v>
      </c>
      <c r="GP261" s="50">
        <f t="shared" si="399"/>
        <v>2.3807538358905936E-2</v>
      </c>
      <c r="GQ261" s="51">
        <f t="shared" si="400"/>
        <v>50107</v>
      </c>
      <c r="GR261" s="51">
        <f t="shared" si="401"/>
        <v>15599</v>
      </c>
      <c r="GS261" s="14">
        <f>INT(SUMPRODUCT($AI261:$AM261,$BF261:$BJ261)/SUM($BF261:$BJ261)/10000*$BX$7*$BZ$46/'疲劳值&amp;地图信息'!$R$10*$BY$56)</f>
        <v>1713</v>
      </c>
      <c r="GT261" s="50">
        <f t="shared" si="402"/>
        <v>0.74321778727065069</v>
      </c>
      <c r="GU261" s="50">
        <f t="shared" si="403"/>
        <v>0.23137394503033271</v>
      </c>
      <c r="GV261" s="50">
        <f t="shared" si="404"/>
        <v>2.5408267699016596E-2</v>
      </c>
      <c r="GW261" s="51">
        <f t="shared" si="405"/>
        <v>52462</v>
      </c>
      <c r="GX261" s="51">
        <f t="shared" si="406"/>
        <v>26298</v>
      </c>
      <c r="GY261" s="14">
        <f>INT(SUMPRODUCT($AP261:$AT261,$BF261:$BJ261)/SUM($BF261:$BJ261)/10000*$BX$7*$BZ$46/'疲劳值&amp;地图信息'!$R$10*$BY$57)</f>
        <v>2284</v>
      </c>
      <c r="GZ261" s="50">
        <f t="shared" si="407"/>
        <v>0.64732737772074433</v>
      </c>
      <c r="HA261" s="50">
        <f t="shared" si="408"/>
        <v>0.32449040027639309</v>
      </c>
      <c r="HB261" s="50">
        <f t="shared" si="409"/>
        <v>2.8182222002862644E-2</v>
      </c>
      <c r="HD261" s="14">
        <f t="shared" si="410"/>
        <v>37164</v>
      </c>
      <c r="HE261" s="14">
        <f t="shared" si="411"/>
        <v>41809</v>
      </c>
      <c r="HF261" s="14">
        <f t="shared" si="412"/>
        <v>47968</v>
      </c>
      <c r="HG261" s="14">
        <f t="shared" si="413"/>
        <v>67419</v>
      </c>
      <c r="HH261" s="14">
        <f t="shared" si="414"/>
        <v>81044</v>
      </c>
      <c r="HI261" s="14">
        <f t="shared" si="415"/>
        <v>4320691</v>
      </c>
      <c r="HL261" s="14">
        <f t="shared" si="416"/>
        <v>430050</v>
      </c>
      <c r="HM261" s="50">
        <f t="shared" si="324"/>
        <v>9.0522720560855668E-2</v>
      </c>
      <c r="HO261" s="14">
        <f t="shared" si="417"/>
        <v>4750741</v>
      </c>
    </row>
    <row r="262" spans="11:223" x14ac:dyDescent="0.2">
      <c r="K262" s="14">
        <v>257</v>
      </c>
      <c r="L262" s="12">
        <f>求节点(节奏总纲!D$4:D$163,标准城池设计!AB$4:AB$163,$K262)*求节点(节奏总纲!D$4:D$163,攻城基础信息!$AC$5:$AC$164,$K262)</f>
        <v>734665.07513080165</v>
      </c>
      <c r="M262" s="12">
        <f>INDEX(其他调用!$AA$5:$AA$404,MATCH(K262,其他调用!$X$5:$X$404,0))*MIN(INDEX(其他调用!$AH$5:$AH$364,MATCH('征服点（新）'!K262,其他调用!$AG$5:$AG$364,0),1)/INDEX(其他调用!$AJ$5:$AJ$364,MATCH(K262,其他调用!$AG$5:$AG$364,0),0),5)*求节点(节奏总纲!D$4:D$163,攻城基础信息!$AC$5:$AC$164,$K262)</f>
        <v>54067.225338271142</v>
      </c>
      <c r="N262" s="12">
        <f>MIN(INDEX(其他调用!$AH$5:$AH$364,MATCH($K262,其他调用!$AG$5:$AG$364,0),1)/INDEX(其他调用!AH$5:AH$364,MATCH($K262,其他调用!$AG$5:$AG$364,0),0),1)*INDEX(其他调用!Y$5:Y$404,MATCH($K262,其他调用!$X$5:$X$404,0),0)</f>
        <v>41579.967840621786</v>
      </c>
      <c r="O262" s="12">
        <f>MIN(INDEX(其他调用!$AH$5:$AH$364,MATCH($K262,其他调用!$AG$5:$AG$364,0),1)/INDEX(其他调用!AI$5:AI$364,MATCH($K262,其他调用!$AG$5:$AG$364,0),0),1)*INDEX(其他调用!Z$5:Z$404,MATCH($K262,其他调用!$X$5:$X$404,0),0)</f>
        <v>25392.32762601618</v>
      </c>
      <c r="P262" s="12">
        <f>MIN(INDEX(其他调用!$AH$5:$AH$364,MATCH($K262,其他调用!$AG$5:$AG$364,0),1)/INDEX(其他调用!AJ$5:AJ$364,MATCH($K262,其他调用!$AG$5:$AG$364,0),0),1)*INDEX(其他调用!AA$5:AA$404,MATCH($K262,其他调用!$X$5:$X$404,0),0)</f>
        <v>15447.778668077479</v>
      </c>
      <c r="Q262" s="12">
        <f>MIN(INDEX(其他调用!$AH$5:$AH$364,MATCH($K262,其他调用!$AG$5:$AG$364,0),1)/INDEX(其他调用!AK$5:AK$364,MATCH($K262,其他调用!$AG$5:$AG$364,0),0),1)*INDEX(其他调用!AB$5:AB$404,MATCH($K262,其他调用!$X$5:$X$404,0),0)</f>
        <v>5481.1452851164086</v>
      </c>
      <c r="R262" s="12">
        <f>MIN(INDEX(其他调用!$AH$5:$AH$364,MATCH($K262,其他调用!$AG$5:$AG$364,0),1)/INDEX(其他调用!AL$5:AL$364,MATCH($K262,其他调用!$AG$5:$AG$364,0),0),1)*INDEX(其他调用!AC$5:AC$404,MATCH($K262,其他调用!$X$5:$X$404,0),0)</f>
        <v>3033.5480812196911</v>
      </c>
      <c r="S262" s="12">
        <f>求节点(节奏总纲!D$4:D$163,标准城池设计!AC$4:AC$163,$K262)*求节点(节奏总纲!D$4:D$163,攻城基础信息!$AD$5:$AD$164,$K262)</f>
        <v>797969.32507230889</v>
      </c>
      <c r="T262" s="12">
        <f>INDEX(其他调用!$AA$5:$AA$404,MATCH($K262,其他调用!$X$5:$X$404,0))*MIN(INDEX(其他调用!AI$5:AI$364,MATCH($K262,其他调用!$AG$5:$AG$364,0),1)/INDEX(其他调用!$AJ$5:$AJ$364,MATCH($K262,其他调用!$AG$5:$AG$364,0),0),5)*求节点(节奏总纲!D$4:D$163,攻城基础信息!$AD$5:$AD$164,$K262)</f>
        <v>91001.340850456676</v>
      </c>
      <c r="U262" s="12">
        <f>MIN(INDEX(其他调用!$AI$5:$AI$364,MATCH($K262,其他调用!$AG$5:$AG$364,0),1)/INDEX(其他调用!AH$5:AH$364,MATCH($K262,其他调用!$AG$5:$AG$364,0),0),1)*INDEX(其他调用!Y$5:Y$404,MATCH($K262,其他调用!$X$5:$X$404,0),0)</f>
        <v>41579.967840621786</v>
      </c>
      <c r="V262" s="12">
        <f>MIN(INDEX(其他调用!$AI$5:$AI$364,MATCH($K262,其他调用!$AG$5:$AG$364,0),1)/INDEX(其他调用!AI$5:AI$364,MATCH($K262,其他调用!$AG$5:$AG$364,0),0),1)*INDEX(其他调用!Z$5:Z$404,MATCH($K262,其他调用!$X$5:$X$404,0),0)</f>
        <v>42738.199469724335</v>
      </c>
      <c r="W262" s="12">
        <f>MIN(INDEX(其他调用!$AI$5:$AI$364,MATCH($K262,其他调用!$AG$5:$AG$364,0),1)/INDEX(其他调用!AJ$5:AJ$364,MATCH($K262,其他调用!$AG$5:$AG$364,0),0),1)*INDEX(其他调用!AA$5:AA$404,MATCH($K262,其他调用!$X$5:$X$404,0),0)</f>
        <v>26000.383100130497</v>
      </c>
      <c r="X262" s="12">
        <f>MIN(INDEX(其他调用!$AI$5:$AI$364,MATCH($K262,其他调用!$AG$5:$AG$364,0),1)/INDEX(其他调用!AK$5:AK$364,MATCH($K262,其他调用!$AG$5:$AG$364,0),0),1)*INDEX(其他调用!AB$5:AB$404,MATCH($K262,其他调用!$X$5:$X$404,0),0)</f>
        <v>9225.3961105099552</v>
      </c>
      <c r="Y262" s="12">
        <f>MIN(INDEX(其他调用!$AI$5:$AI$364,MATCH($K262,其他调用!$AG$5:$AG$364,0),1)/INDEX(其他调用!AL$5:AL$364,MATCH($K262,其他调用!$AG$5:$AG$364,0),0),1)*INDEX(其他调用!AC$5:AC$404,MATCH($K262,其他调用!$X$5:$X$404,0),0)</f>
        <v>5105.8093179032967</v>
      </c>
      <c r="Z262" s="12">
        <f>求节点(节奏总纲!D$4:D$163,标准城池设计!AD$4:AD$163,$K262)*求节点(节奏总纲!D$4:D$163,攻城基础信息!$AE$5:$AE$164,$K262)</f>
        <v>875561.96443518531</v>
      </c>
      <c r="AA262" s="12">
        <f>INDEX(其他调用!$AA$5:$AA$404,MATCH($K262,其他调用!$X$5:$X$404,0))*MIN(INDEX(其他调用!AJ$5:AJ$364,MATCH($K262,其他调用!$AG$5:$AG$364,0),1)/INDEX(其他调用!$AJ$5:$AJ$364,MATCH($K262,其他调用!$AG$5:$AG$364,0),0),5)*求节点(节奏总纲!D$4:D$163,攻城基础信息!$AE$5:$AE$164,$K262)</f>
        <v>154913.81618655947</v>
      </c>
      <c r="AB262" s="12">
        <f>MIN(INDEX(其他调用!$AJ$5:$AJ$364,MATCH($K262,其他调用!$AG$5:$AG$364,0),1)/INDEX(其他调用!AH$5:AH$364,MATCH($K262,其他调用!$AG$5:$AG$364,0),0),1)*INDEX(其他调用!Y$5:Y$404,MATCH($K262,其他调用!$X$5:$X$404,0),0)</f>
        <v>41579.967840621786</v>
      </c>
      <c r="AC262" s="12">
        <f>MIN(INDEX(其他调用!$AJ$5:$AJ$364,MATCH($K262,其他调用!$AG$5:$AG$364,0),1)/INDEX(其他调用!AI$5:AI$364,MATCH($K262,其他调用!$AG$5:$AG$364,0),0),1)*INDEX(其他调用!Z$5:Z$404,MATCH($K262,其他调用!$X$5:$X$404,0),0)</f>
        <v>42738.199469724335</v>
      </c>
      <c r="AD262" s="12">
        <f>MIN(INDEX(其他调用!$AJ$5:$AJ$364,MATCH($K262,其他调用!$AG$5:$AG$364,0),1)/INDEX(其他调用!AJ$5:AJ$364,MATCH($K262,其他调用!$AG$5:$AG$364,0),0),1)*INDEX(其他调用!AA$5:AA$404,MATCH($K262,其他调用!$X$5:$X$404,0),0)</f>
        <v>44261.090339017021</v>
      </c>
      <c r="AE262" s="12">
        <f>MIN(INDEX(其他调用!$AJ$5:$AJ$364,MATCH($K262,其他调用!$AG$5:$AG$364,0),1)/INDEX(其他调用!AK$5:AK$364,MATCH($K262,其他调用!$AG$5:$AG$364,0),0),1)*INDEX(其他调用!AB$5:AB$404,MATCH($K262,其他调用!$X$5:$X$404,0),0)</f>
        <v>15704.618239200017</v>
      </c>
      <c r="AF262" s="12">
        <f>MIN(INDEX(其他调用!$AJ$5:$AJ$364,MATCH($K262,其他调用!$AG$5:$AG$364,0),1)/INDEX(其他调用!AL$5:AL$364,MATCH($K262,其他调用!$AG$5:$AG$364,0),0),1)*INDEX(其他调用!AC$5:AC$404,MATCH($K262,其他调用!$X$5:$X$404,0),0)</f>
        <v>8691.7445255788716</v>
      </c>
      <c r="AG262" s="12">
        <f>求节点(节奏总纲!D$4:D$163,标准城池设计!AE$4:AE$163,$K262)*求节点(节奏总纲!D$4:D$163,攻城基础信息!$AF$5:$AF$164,$K262)</f>
        <v>1055563.9546518533</v>
      </c>
      <c r="AH262" s="12">
        <f>INDEX(其他调用!$AA$5:$AA$404,MATCH($K262,其他调用!$X$5:$X$404,0))*MIN(INDEX(其他调用!AK$5:AK$364,MATCH($K262,其他调用!$AG$5:$AG$364,0),1)/INDEX(其他调用!$AJ$5:$AJ$364,MATCH($K262,其他调用!$AG$5:$AG$364,0),0),5)*求节点(节奏总纲!D$4:D$163,攻城基础信息!$AF$5:$AF$164,$K262)</f>
        <v>458714.40906567487</v>
      </c>
      <c r="AI262" s="12">
        <f>MIN(INDEX(其他调用!$AK$5:$AK$364,MATCH($K262,其他调用!$AG$5:$AG$364,0),1)/INDEX(其他调用!AH$5:AH$364,MATCH($K262,其他调用!$AG$5:$AG$364,0),0),1)*INDEX(其他调用!Y$5:Y$404,MATCH($K262,其他调用!$X$5:$X$404,0),0)</f>
        <v>41579.967840621786</v>
      </c>
      <c r="AJ262" s="12">
        <f>MIN(INDEX(其他调用!$AK$5:$AK$364,MATCH($K262,其他调用!$AG$5:$AG$364,0),1)/INDEX(其他调用!AI$5:AI$364,MATCH($K262,其他调用!$AG$5:$AG$364,0),0),1)*INDEX(其他调用!Z$5:Z$404,MATCH($K262,其他调用!$X$5:$X$404,0),0)</f>
        <v>42738.199469724335</v>
      </c>
      <c r="AK262" s="12">
        <f>MIN(INDEX(其他调用!$AK$5:$AK$364,MATCH($K262,其他调用!$AG$5:$AG$364,0),1)/INDEX(其他调用!AJ$5:AJ$364,MATCH($K262,其他调用!$AG$5:$AG$364,0),0),1)*INDEX(其他调用!AA$5:AA$404,MATCH($K262,其他调用!$X$5:$X$404,0),0)</f>
        <v>44261.090339017021</v>
      </c>
      <c r="AL262" s="12">
        <f>MIN(INDEX(其他调用!$AK$5:$AK$364,MATCH($K262,其他调用!$AG$5:$AG$364,0),1)/INDEX(其他调用!AK$5:AK$364,MATCH($K262,其他调用!$AG$5:$AG$364,0),0),1)*INDEX(其他调用!AB$5:AB$404,MATCH($K262,其他调用!$X$5:$X$404,0),0)</f>
        <v>46502.854635774434</v>
      </c>
      <c r="AM262" s="12">
        <f>MIN(INDEX(其他调用!$AK$5:$AK$364,MATCH($K262,其他调用!$AG$5:$AG$364,0),1)/INDEX(其他调用!AL$5:AL$364,MATCH($K262,其他调用!$AG$5:$AG$364,0),0),1)*INDEX(其他调用!AC$5:AC$404,MATCH($K262,其他调用!$X$5:$X$404,0),0)</f>
        <v>25737.074664788008</v>
      </c>
      <c r="AN262" s="12">
        <f>求节点(节奏总纲!D$4:D$163,标准城池设计!AF$4:AF$163,$K262)*求节点(节奏总纲!D$4:D$163,攻城基础信息!$AG$5:$AG$164,$K262)</f>
        <v>1105161.1381745099</v>
      </c>
      <c r="AO262" s="12">
        <f>INDEX(其他调用!$AA$5:$AA$404,MATCH($K262,其他调用!$X$5:$X$404,0))*MIN(INDEX(其他调用!AL$5:AL$364,MATCH($K262,其他调用!$AG$5:$AG$364,0),1)/INDEX(其他调用!$AJ$5:$AJ$364,MATCH($K262,其他调用!$AG$5:$AG$364,0),0),5)*求节点(节奏总纲!D$4:D$163,攻城基础信息!$AG$5:$AG$164,$K262)</f>
        <v>774569.0809327974</v>
      </c>
      <c r="AP262" s="12">
        <f>MIN(INDEX(其他调用!$AL$5:$AL$364,MATCH($K262,其他调用!$AG$5:$AG$364,0),1)/INDEX(其他调用!AH$5:AH$364,MATCH($K262,其他调用!$AG$5:$AG$364,0),0),1)*INDEX(其他调用!Y$5:Y$404,MATCH($K262,其他调用!$X$5:$X$404,0),0)</f>
        <v>41579.967840621786</v>
      </c>
      <c r="AQ262" s="12">
        <f>MIN(INDEX(其他调用!$AL$5:$AL$364,MATCH($K262,其他调用!$AG$5:$AG$364,0),1)/INDEX(其他调用!AI$5:AI$364,MATCH($K262,其他调用!$AG$5:$AG$364,0),0),1)*INDEX(其他调用!Z$5:Z$404,MATCH($K262,其他调用!$X$5:$X$404,0),0)</f>
        <v>42738.199469724335</v>
      </c>
      <c r="AR262" s="12">
        <f>MIN(INDEX(其他调用!$AL$5:$AL$364,MATCH($K262,其他调用!$AG$5:$AG$364,0),1)/INDEX(其他调用!AJ$5:AJ$364,MATCH($K262,其他调用!$AG$5:$AG$364,0),0),1)*INDEX(其他调用!AA$5:AA$404,MATCH($K262,其他调用!$X$5:$X$404,0),0)</f>
        <v>44261.090339017021</v>
      </c>
      <c r="AS262" s="12">
        <f>MIN(INDEX(其他调用!$AL$5:$AL$364,MATCH($K262,其他调用!$AG$5:$AG$364,0),1)/INDEX(其他调用!AK$5:AK$364,MATCH($K262,其他调用!$AG$5:$AG$364,0),0),1)*INDEX(其他调用!AB$5:AB$404,MATCH($K262,其他调用!$X$5:$X$404,0),0)</f>
        <v>46502.854635774434</v>
      </c>
      <c r="AT262" s="12">
        <f>MIN(INDEX(其他调用!$AL$5:$AL$364,MATCH($K262,其他调用!$AG$5:$AG$364,0),1)/INDEX(其他调用!AL$5:AL$364,MATCH($K262,其他调用!$AG$5:$AG$364,0),0),1)*INDEX(其他调用!AC$5:AC$404,MATCH($K262,其他调用!$X$5:$X$404,0),0)</f>
        <v>50390.540010484248</v>
      </c>
      <c r="AV262" s="14">
        <f>IF(OR(AV$5="大R",AV$5="超R"),MAX(INDEX(其他调用!$H$5:$L$404,MATCH($K262,其他调用!$B$5:$B$404,0),MATCH(AV$5,其他调用!$H$4:$L$4,0))*120*0.85,2),INDEX(其他调用!$H$5:$L$404,MATCH($K262,其他调用!$B$5:$B$404,0),MATCH(AV$5,其他调用!$H$4:$L$4,0))*120*0.85)</f>
        <v>48.921801254999991</v>
      </c>
      <c r="AW262" s="14">
        <f>IF(OR(AW$5="大R",AW$5="超R"),MAX(INDEX(其他调用!$H$5:$L$404,MATCH($K262,其他调用!$B$5:$B$404,0),MATCH(AW$5,其他调用!$H$4:$L$4,0))*120*0.85,2),INDEX(其他调用!$H$5:$L$404,MATCH($K262,其他调用!$B$5:$B$404,0),MATCH(AW$5,其他调用!$H$4:$L$4,0))*120*0.85)</f>
        <v>48.237344010638395</v>
      </c>
      <c r="AX262" s="14">
        <f>IF(OR(AX$5="大R",AX$5="超R"),MAX(INDEX(其他调用!$H$5:$L$404,MATCH($K262,其他调用!$B$5:$B$404,0),MATCH(AX$5,其他调用!$H$4:$L$4,0))*120*0.85,2),INDEX(其他调用!$H$5:$L$404,MATCH($K262,其他调用!$B$5:$B$404,0),MATCH(AX$5,其他调用!$H$4:$L$4,0))*120*0.85)</f>
        <v>3.9376284143615998</v>
      </c>
      <c r="AY262" s="14">
        <f>IF(OR(AY$5="大R",AY$5="超R"),MAX(INDEX(其他调用!$H$5:$L$404,MATCH($K262,其他调用!$B$5:$B$404,0),MATCH(AY$5,其他调用!$H$4:$L$4,0))*120*0.85,2),INDEX(其他调用!$H$5:$L$404,MATCH($K262,其他调用!$B$5:$B$404,0),MATCH(AY$5,其他调用!$H$4:$L$4,0))*120*0.85)</f>
        <v>2</v>
      </c>
      <c r="AZ262" s="14">
        <f>IF(OR(AZ$5="大R",AZ$5="超R"),MAX(INDEX(其他调用!$H$5:$L$404,MATCH($K262,其他调用!$B$5:$B$404,0),MATCH(AZ$5,其他调用!$H$4:$L$4,0))*120*0.85,2),INDEX(其他调用!$H$5:$L$404,MATCH($K262,其他调用!$B$5:$B$404,0),MATCH(AZ$5,其他调用!$H$4:$L$4,0))*120*0.85)</f>
        <v>2</v>
      </c>
      <c r="BA262" s="14">
        <f>INDEX(其他调用!$H$5:$L$404,MATCH($K262,其他调用!$B$5:$B$404,0),MATCH(BA$5,其他调用!$H$4:$L$4,0))*INDEX(其他调用!$M$5:$M$404,MATCH($K262,其他调用!$B$5:$B$404,0))*0.6</f>
        <v>28.777530149999997</v>
      </c>
      <c r="BB262" s="14">
        <f>INDEX(其他调用!$H$5:$L$404,MATCH($K262,其他调用!$B$5:$B$404,0),MATCH(BB$5,其他调用!$H$4:$L$4,0))*INDEX(其他调用!$M$5:$M$404,MATCH($K262,其他调用!$B$5:$B$404,0))*0.6</f>
        <v>28.374908241551999</v>
      </c>
      <c r="BC262" s="14">
        <f>INDEX(其他调用!$H$5:$L$404,MATCH($K262,其他调用!$B$5:$B$404,0),MATCH(BC$5,其他调用!$H$4:$L$4,0))*INDEX(其他调用!$M$5:$M$404,MATCH($K262,其他调用!$B$5:$B$404,0))*0.6</f>
        <v>2.3162520084480001</v>
      </c>
      <c r="BD262" s="14">
        <f>INDEX(其他调用!$H$5:$L$404,MATCH($K262,其他调用!$B$5:$B$404,0),MATCH(BD$5,其他调用!$H$4:$L$4,0))*INDEX(其他调用!$M$5:$M$404,MATCH($K262,其他调用!$B$5:$B$404,0))*0.6</f>
        <v>0.4120776000000001</v>
      </c>
      <c r="BE262" s="14">
        <f>INDEX(其他调用!$H$5:$L$404,MATCH($K262,其他调用!$B$5:$B$404,0),MATCH(BE$5,其他调用!$H$4:$L$4,0))*INDEX(其他调用!$M$5:$M$404,MATCH($K262,其他调用!$B$5:$B$404,0))*0.6</f>
        <v>0.11923199999999998</v>
      </c>
      <c r="BF262" s="14">
        <f>IF(OR(BF$5="大R",BF$5="超R"),0,INDEX(其他调用!$H$5:$L$404,MATCH($K262,其他调用!$B$5:$B$404,0),MATCH(BF$5,其他调用!$H$4:$L$4,0))*50*0.4)</f>
        <v>9.5925100500000013</v>
      </c>
      <c r="BG262" s="14">
        <f>IF(OR(BG$5="大R",BG$5="超R"),0,INDEX(其他调用!$H$5:$L$404,MATCH($K262,其他调用!$B$5:$B$404,0),MATCH(BG$5,其他调用!$H$4:$L$4,0))*50*0.4)</f>
        <v>9.4583027471839998</v>
      </c>
      <c r="BH262" s="14">
        <f>IF(OR(BH$5="大R",BH$5="超R"),0,INDEX(其他调用!$H$5:$L$404,MATCH($K262,其他调用!$B$5:$B$404,0),MATCH(BH$5,其他调用!$H$4:$L$4,0))*50*0.4)</f>
        <v>0.77208400281600009</v>
      </c>
      <c r="BI262" s="14">
        <f>IF(OR(BI$5="大R",BI$5="超R"),0,INDEX(其他调用!$H$5:$L$404,MATCH($K262,其他调用!$B$5:$B$404,0),MATCH(BI$5,其他调用!$H$4:$L$4,0))*50*0.4)</f>
        <v>0</v>
      </c>
      <c r="BJ262" s="14">
        <f>IF(OR(BJ$5="大R",BJ$5="超R"),0,INDEX(其他调用!$H$5:$L$404,MATCH($K262,其他调用!$B$5:$B$404,0),MATCH(BJ$5,其他调用!$H$4:$L$4,0))*50*0.4)</f>
        <v>0</v>
      </c>
      <c r="BL262" s="14">
        <f t="shared" si="418"/>
        <v>257</v>
      </c>
      <c r="BM262" s="14">
        <f t="shared" si="325"/>
        <v>96</v>
      </c>
      <c r="BN262" s="14">
        <f>('疲劳值&amp;地图信息'!$S$10*'疲劳值&amp;地图信息'!$R$10+'疲劳值&amp;地图信息'!$S$11*'疲劳值&amp;地图信息'!$R$11+'疲劳值&amp;地图信息'!$S$12*'疲劳值&amp;地图信息'!$R$12+(BM262-'疲劳值&amp;地图信息'!$S$12-'疲劳值&amp;地图信息'!$S$11-'疲劳值&amp;地图信息'!$S$10)*'疲劳值&amp;地图信息'!$R$13)/BM262</f>
        <v>51.371477246638619</v>
      </c>
      <c r="BO262" s="14">
        <f>INDEX(其他调用!$M$5:$M$404,MATCH(BL262,其他调用!$B$5:$B$404,0))*0.6</f>
        <v>60</v>
      </c>
      <c r="BP262" s="14">
        <f>IF(BO262&gt;SUM('疲劳值&amp;地图信息'!$S$10:$S$12),('疲劳值&amp;地图信息'!$S$10*'疲劳值&amp;地图信息'!$R$10+'疲劳值&amp;地图信息'!$S$11*'疲劳值&amp;地图信息'!$R$11+'疲劳值&amp;地图信息'!$S$12*'疲劳值&amp;地图信息'!$R$12+(BO262-'疲劳值&amp;地图信息'!$S$12-'疲劳值&amp;地图信息'!$S$11-'疲劳值&amp;地图信息'!$S$10)*'疲劳值&amp;地图信息'!$R$13)/BO262,('疲劳值&amp;地图信息'!$S$10*'疲劳值&amp;地图信息'!$R$10+'疲劳值&amp;地图信息'!$S$11*'疲劳值&amp;地图信息'!$R$11+'疲劳值&amp;地图信息'!$S$12*'疲劳值&amp;地图信息'!$R$12+(BO262-'疲劳值&amp;地图信息'!$S$12-'疲劳值&amp;地图信息'!$S$11-'疲劳值&amp;地图信息'!$S$10)*'疲劳值&amp;地图信息'!$R$13)/BO262)</f>
        <v>44.158136341605953</v>
      </c>
      <c r="BQ262" s="14">
        <f t="shared" si="419"/>
        <v>20</v>
      </c>
      <c r="BR262" s="14">
        <f>('疲劳值&amp;地图信息'!$S$10*'疲劳值&amp;地图信息'!$R$10+($BQ262-'疲劳值&amp;地图信息'!$S$10)*'疲劳值&amp;地图信息'!$R$11)/$BQ262</f>
        <v>32.067203015074995</v>
      </c>
      <c r="CF262" s="14">
        <v>257</v>
      </c>
      <c r="CG262" s="51">
        <f t="shared" si="326"/>
        <v>14973</v>
      </c>
      <c r="CH262" s="51">
        <f t="shared" si="327"/>
        <v>1101</v>
      </c>
      <c r="CI262" s="51">
        <f>INT(SUMPRODUCT($N262:$R262,$BA262:$BE262)/SUM($BA262:$BE262)/10000*$BX$7*$BZ$34/'疲劳值&amp;地图信息'!$R$10*$BY$53)</f>
        <v>3306</v>
      </c>
      <c r="CJ262" s="50">
        <f t="shared" si="328"/>
        <v>0.77260061919504641</v>
      </c>
      <c r="CK262" s="50">
        <f t="shared" si="329"/>
        <v>5.6811145510835916E-2</v>
      </c>
      <c r="CL262" s="50">
        <f t="shared" si="330"/>
        <v>0.17058823529411765</v>
      </c>
      <c r="CM262" s="14">
        <f t="shared" si="331"/>
        <v>16263</v>
      </c>
      <c r="CN262" s="14">
        <f t="shared" si="332"/>
        <v>1854</v>
      </c>
      <c r="CO262" s="14">
        <f>INT(SUMPRODUCT($U262:$Y262,$BA262:$BE262)/SUM($BA262:$BE262)/10000*$BX$7*$BZ$34/'疲劳值&amp;地图信息'!$R$10*$BY$54)</f>
        <v>6275</v>
      </c>
      <c r="CP262" s="50">
        <f t="shared" si="333"/>
        <v>0.66673499508035416</v>
      </c>
      <c r="CQ262" s="50">
        <f t="shared" si="334"/>
        <v>7.6008527386028202E-2</v>
      </c>
      <c r="CR262" s="50">
        <f t="shared" si="335"/>
        <v>0.25725647753361758</v>
      </c>
      <c r="CS262" s="14">
        <f t="shared" si="336"/>
        <v>17845</v>
      </c>
      <c r="CT262" s="14">
        <f t="shared" si="337"/>
        <v>3157</v>
      </c>
      <c r="CU262" s="14">
        <f>INT(SUMPRODUCT($AB262:$AF262,$BA262:$BE262)/SUM($BA262:$BE262)/10000*$BX$7*$BZ$34/'疲劳值&amp;地图信息'!$R$10*$BY$55)</f>
        <v>8520</v>
      </c>
      <c r="CV262" s="50">
        <f t="shared" si="338"/>
        <v>0.60446446717702051</v>
      </c>
      <c r="CW262" s="50">
        <f t="shared" si="339"/>
        <v>0.106937199376736</v>
      </c>
      <c r="CX262" s="50">
        <f t="shared" si="340"/>
        <v>0.28859833344624347</v>
      </c>
      <c r="CY262" s="14">
        <f t="shared" si="341"/>
        <v>21513</v>
      </c>
      <c r="CZ262" s="14">
        <f t="shared" si="342"/>
        <v>9349</v>
      </c>
      <c r="DA262" s="14">
        <f>INT(SUMPRODUCT($AI262:$AM262,$BA262:$BE262)/SUM($BA262:$BE262)/10000*$BX$7*$BZ$34/'疲劳值&amp;地图信息'!$R$10*$BY$56)</f>
        <v>12855</v>
      </c>
      <c r="DB262" s="50">
        <f t="shared" si="343"/>
        <v>0.49209689594436945</v>
      </c>
      <c r="DC262" s="50">
        <f t="shared" si="344"/>
        <v>0.21385273463412402</v>
      </c>
      <c r="DD262" s="50">
        <f t="shared" si="345"/>
        <v>0.29405036942150653</v>
      </c>
      <c r="DE262" s="14">
        <f t="shared" si="346"/>
        <v>22524</v>
      </c>
      <c r="DF262" s="14">
        <f t="shared" si="347"/>
        <v>15786</v>
      </c>
      <c r="DG262" s="14">
        <f>INT(SUMPRODUCT($AP262:$AT262,$BA262:$BE262)/SUM($BA262:$BE262)/10000*$BX$7*$BZ$34/'疲劳值&amp;地图信息'!$R$10*$BY$57)</f>
        <v>17161</v>
      </c>
      <c r="DH262" s="50">
        <f t="shared" si="348"/>
        <v>0.40605000811234698</v>
      </c>
      <c r="DI262" s="50">
        <f t="shared" si="349"/>
        <v>0.28458113248364009</v>
      </c>
      <c r="DJ262" s="50">
        <f t="shared" si="350"/>
        <v>0.30936885940401293</v>
      </c>
      <c r="DL262" s="14">
        <f t="shared" si="421"/>
        <v>19380</v>
      </c>
      <c r="DM262" s="14">
        <f t="shared" si="422"/>
        <v>24392</v>
      </c>
      <c r="DN262" s="14">
        <f t="shared" si="423"/>
        <v>29522</v>
      </c>
      <c r="DO262" s="14">
        <f t="shared" si="424"/>
        <v>43717</v>
      </c>
      <c r="DP262" s="14">
        <f t="shared" si="425"/>
        <v>55471</v>
      </c>
      <c r="DQ262" s="14">
        <f t="shared" si="426"/>
        <v>1342838</v>
      </c>
      <c r="DT262" s="14">
        <f t="shared" si="420"/>
        <v>235575</v>
      </c>
      <c r="DU262" s="50">
        <f t="shared" ref="DU262:DU325" si="427">DT262/(DQ262+DT262)</f>
        <v>0.14924801050168746</v>
      </c>
      <c r="DW262" s="14">
        <f t="shared" si="351"/>
        <v>1578413</v>
      </c>
      <c r="EB262" s="14">
        <v>257</v>
      </c>
      <c r="EC262" s="51">
        <f t="shared" si="352"/>
        <v>24955</v>
      </c>
      <c r="ED262" s="51">
        <f t="shared" si="353"/>
        <v>1836</v>
      </c>
      <c r="EE262" s="51">
        <f>INT(SUMPRODUCT($N262:$R262,$BF262:$BJ262)/SUM($BF262:$BJ262)/10000*$BX$7*$BZ$46/'疲劳值&amp;地图信息'!$R$10*$BY$53)</f>
        <v>444</v>
      </c>
      <c r="EF262" s="50">
        <f t="shared" si="354"/>
        <v>0.91628419313383513</v>
      </c>
      <c r="EG262" s="50">
        <f t="shared" si="355"/>
        <v>6.7413255002753816E-2</v>
      </c>
      <c r="EH262" s="50">
        <f t="shared" si="356"/>
        <v>1.6302551863411053E-2</v>
      </c>
      <c r="EI262" s="51">
        <f t="shared" si="357"/>
        <v>27106</v>
      </c>
      <c r="EJ262" s="51">
        <f t="shared" si="358"/>
        <v>3091</v>
      </c>
      <c r="EK262" s="14">
        <f>INT(SUMPRODUCT($U262:$Y262,$BF262:$BJ262)/SUM($BF262:$BJ262)/10000*$BX$7*$BZ$46/'疲劳值&amp;地图信息'!$R$10*$BY$54)</f>
        <v>842</v>
      </c>
      <c r="EL262" s="50">
        <f t="shared" si="359"/>
        <v>0.87328844357099134</v>
      </c>
      <c r="EM262" s="50">
        <f t="shared" si="360"/>
        <v>9.9584393827120712E-2</v>
      </c>
      <c r="EN262" s="50">
        <f t="shared" si="361"/>
        <v>2.7127162601887949E-2</v>
      </c>
      <c r="EO262" s="51">
        <f t="shared" si="362"/>
        <v>29741</v>
      </c>
      <c r="EP262" s="51">
        <f t="shared" si="363"/>
        <v>5262</v>
      </c>
      <c r="EQ262" s="14">
        <f>INT(SUMPRODUCT($AB262:$AF262,$BF262:$BJ262)/SUM($BF262:$BJ262)/10000*$BX$7*$BZ$46/'疲劳值&amp;地图信息'!$R$10*$BY$55)</f>
        <v>1142</v>
      </c>
      <c r="ER262" s="50">
        <f t="shared" si="364"/>
        <v>0.82282473371144005</v>
      </c>
      <c r="ES262" s="50">
        <f t="shared" si="365"/>
        <v>0.14558030156314844</v>
      </c>
      <c r="ET262" s="50">
        <f t="shared" si="366"/>
        <v>3.159496472541154E-2</v>
      </c>
      <c r="EU262" s="51">
        <f t="shared" si="367"/>
        <v>35856</v>
      </c>
      <c r="EV262" s="51">
        <f t="shared" si="368"/>
        <v>15581</v>
      </c>
      <c r="EW262" s="14">
        <f>INT(SUMPRODUCT($AI262:$AM262,$BF262:$BJ262)/SUM($BF262:$BJ262)/10000*$BX$7*$BZ$46/'疲劳值&amp;地图信息'!$R$10*$BY$56)</f>
        <v>1714</v>
      </c>
      <c r="EX262" s="50">
        <f t="shared" si="369"/>
        <v>0.67460631032341822</v>
      </c>
      <c r="EY262" s="50">
        <f t="shared" si="370"/>
        <v>0.29314594269157684</v>
      </c>
      <c r="EZ262" s="50">
        <f t="shared" si="371"/>
        <v>3.2247746985004988E-2</v>
      </c>
      <c r="FA262" s="51">
        <f t="shared" si="372"/>
        <v>37541</v>
      </c>
      <c r="FB262" s="51">
        <f t="shared" si="373"/>
        <v>26311</v>
      </c>
      <c r="FC262" s="14">
        <f>INT(SUMPRODUCT($AP262:$AT262,$BF262:$BJ262)/SUM($BF262:$BJ262)/10000*$BX$7*$BZ$46/'疲劳值&amp;地图信息'!$R$10*$BY$57)</f>
        <v>2285</v>
      </c>
      <c r="FD262" s="50">
        <f t="shared" si="374"/>
        <v>0.56762477886810714</v>
      </c>
      <c r="FE262" s="50">
        <f t="shared" si="375"/>
        <v>0.39782572538820932</v>
      </c>
      <c r="FF262" s="50">
        <f t="shared" si="376"/>
        <v>3.4549495743683566E-2</v>
      </c>
      <c r="FH262" s="14">
        <f t="shared" si="377"/>
        <v>27235</v>
      </c>
      <c r="FI262" s="14">
        <f t="shared" si="378"/>
        <v>31039</v>
      </c>
      <c r="FJ262" s="14">
        <f t="shared" si="379"/>
        <v>36145</v>
      </c>
      <c r="FK262" s="14">
        <f t="shared" si="380"/>
        <v>53151</v>
      </c>
      <c r="FL262" s="14">
        <f t="shared" si="381"/>
        <v>66137</v>
      </c>
      <c r="FM262" s="14">
        <f t="shared" si="382"/>
        <v>3210525</v>
      </c>
      <c r="FP262" s="14">
        <f t="shared" si="383"/>
        <v>334150</v>
      </c>
      <c r="FQ262" s="50">
        <f t="shared" ref="FQ262:FQ325" si="428">FP262/(FM262+FP262)</f>
        <v>9.4268162807591663E-2</v>
      </c>
      <c r="FS262" s="14">
        <f t="shared" si="384"/>
        <v>3544675</v>
      </c>
      <c r="FX262" s="14">
        <v>257</v>
      </c>
      <c r="FY262" s="51">
        <f t="shared" si="385"/>
        <v>34937</v>
      </c>
      <c r="FZ262" s="51">
        <f t="shared" si="386"/>
        <v>1836</v>
      </c>
      <c r="GA262" s="51">
        <f>INT(SUMPRODUCT($N262:$R262,$BF262:$BJ262)/SUM($BF262:$BJ262)/10000*$BX$7*$BZ$46/'疲劳值&amp;地图信息'!$R$10*$BY$53)</f>
        <v>444</v>
      </c>
      <c r="GB262" s="50">
        <f t="shared" si="387"/>
        <v>0.93873767364376492</v>
      </c>
      <c r="GC262" s="50">
        <f t="shared" si="388"/>
        <v>4.9332294381599806E-2</v>
      </c>
      <c r="GD262" s="50">
        <f t="shared" si="389"/>
        <v>1.1930031974635248E-2</v>
      </c>
      <c r="GE262" s="51">
        <f t="shared" si="390"/>
        <v>37948</v>
      </c>
      <c r="GF262" s="51">
        <f t="shared" si="391"/>
        <v>3091</v>
      </c>
      <c r="GG262" s="14">
        <f>INT(SUMPRODUCT($U262:$Y262,$BF262:$BJ262)/SUM($BF262:$BJ262)/10000*$BX$7*$BZ$46/'疲劳值&amp;地图信息'!$R$10*$BY$54)</f>
        <v>842</v>
      </c>
      <c r="GH262" s="50">
        <f t="shared" si="392"/>
        <v>0.9060910675485303</v>
      </c>
      <c r="GI262" s="50">
        <f t="shared" si="393"/>
        <v>7.3804350421432158E-2</v>
      </c>
      <c r="GJ262" s="50">
        <f t="shared" si="394"/>
        <v>2.0104582030037486E-2</v>
      </c>
      <c r="GK262" s="51">
        <f t="shared" si="395"/>
        <v>41638</v>
      </c>
      <c r="GL262" s="51">
        <f t="shared" si="396"/>
        <v>5262</v>
      </c>
      <c r="GM262" s="14">
        <f>INT(SUMPRODUCT($AB262:$AF262,$BF262:$BJ262)/SUM($BF262:$BJ262)/10000*$BX$7*$BZ$46/'疲劳值&amp;地图信息'!$R$10*$BY$55)</f>
        <v>1142</v>
      </c>
      <c r="GN262" s="50">
        <f t="shared" si="397"/>
        <v>0.86669997085883188</v>
      </c>
      <c r="GO262" s="50">
        <f t="shared" si="398"/>
        <v>0.10952916198326465</v>
      </c>
      <c r="GP262" s="50">
        <f t="shared" si="399"/>
        <v>2.37708671579035E-2</v>
      </c>
      <c r="GQ262" s="51">
        <f t="shared" si="400"/>
        <v>50198</v>
      </c>
      <c r="GR262" s="51">
        <f t="shared" si="401"/>
        <v>15581</v>
      </c>
      <c r="GS262" s="14">
        <f>INT(SUMPRODUCT($AI262:$AM262,$BF262:$BJ262)/SUM($BF262:$BJ262)/10000*$BX$7*$BZ$46/'疲劳值&amp;地图信息'!$R$10*$BY$56)</f>
        <v>1714</v>
      </c>
      <c r="GT262" s="50">
        <f t="shared" si="402"/>
        <v>0.7437512038285452</v>
      </c>
      <c r="GU262" s="50">
        <f t="shared" si="403"/>
        <v>0.23085356999985185</v>
      </c>
      <c r="GV262" s="50">
        <f t="shared" si="404"/>
        <v>2.5395226171602982E-2</v>
      </c>
      <c r="GW262" s="51">
        <f t="shared" si="405"/>
        <v>52557</v>
      </c>
      <c r="GX262" s="51">
        <f t="shared" si="406"/>
        <v>26311</v>
      </c>
      <c r="GY262" s="14">
        <f>INT(SUMPRODUCT($AP262:$AT262,$BF262:$BJ262)/SUM($BF262:$BJ262)/10000*$BX$7*$BZ$46/'疲劳值&amp;地图信息'!$R$10*$BY$57)</f>
        <v>2285</v>
      </c>
      <c r="GZ262" s="50">
        <f t="shared" si="407"/>
        <v>0.64762855347306936</v>
      </c>
      <c r="HA262" s="50">
        <f t="shared" si="408"/>
        <v>0.3242147548457851</v>
      </c>
      <c r="HB262" s="50">
        <f t="shared" si="409"/>
        <v>2.8156691681145492E-2</v>
      </c>
      <c r="HD262" s="14">
        <f t="shared" si="410"/>
        <v>37217</v>
      </c>
      <c r="HE262" s="14">
        <f t="shared" si="411"/>
        <v>41881</v>
      </c>
      <c r="HF262" s="14">
        <f t="shared" si="412"/>
        <v>48042</v>
      </c>
      <c r="HG262" s="14">
        <f t="shared" si="413"/>
        <v>67493</v>
      </c>
      <c r="HH262" s="14">
        <f t="shared" si="414"/>
        <v>81153</v>
      </c>
      <c r="HI262" s="14">
        <f t="shared" si="415"/>
        <v>4327414</v>
      </c>
      <c r="HL262" s="14">
        <f t="shared" si="416"/>
        <v>430050</v>
      </c>
      <c r="HM262" s="50">
        <f t="shared" ref="HM262:HM325" si="429">HL262/(HI262+HL262)</f>
        <v>9.0394798573357568E-2</v>
      </c>
      <c r="HO262" s="14">
        <f t="shared" si="417"/>
        <v>4757464</v>
      </c>
    </row>
    <row r="263" spans="11:223" x14ac:dyDescent="0.2">
      <c r="K263" s="14">
        <v>258</v>
      </c>
      <c r="L263" s="12">
        <f>求节点(节奏总纲!D$4:D$163,标准城池设计!AB$4:AB$163,$K263)*求节点(节奏总纲!D$4:D$163,攻城基础信息!$AC$5:$AC$164,$K263)</f>
        <v>735803.76076258952</v>
      </c>
      <c r="M263" s="12">
        <f>INDEX(其他调用!$AA$5:$AA$404,MATCH(K263,其他调用!$X$5:$X$404,0))*MIN(INDEX(其他调用!$AH$5:$AH$364,MATCH('征服点（新）'!K263,其他调用!$AG$5:$AG$364,0),1)/INDEX(其他调用!$AJ$5:$AJ$364,MATCH(K263,其他调用!$AG$5:$AG$364,0),0),5)*求节点(节奏总纲!D$4:D$163,攻城基础信息!$AC$5:$AC$164,$K263)</f>
        <v>54043.697910101961</v>
      </c>
      <c r="N263" s="12">
        <f>MIN(INDEX(其他调用!$AH$5:$AH$364,MATCH($K263,其他调用!$AG$5:$AG$364,0),1)/INDEX(其他调用!AH$5:AH$364,MATCH($K263,其他调用!$AG$5:$AG$364,0),0),1)*INDEX(其他调用!Y$5:Y$404,MATCH($K263,其他调用!$X$5:$X$404,0),0)</f>
        <v>41602.012073797683</v>
      </c>
      <c r="O263" s="12">
        <f>MIN(INDEX(其他调用!$AH$5:$AH$364,MATCH($K263,其他调用!$AG$5:$AG$364,0),1)/INDEX(其他调用!AI$5:AI$364,MATCH($K263,其他调用!$AG$5:$AG$364,0),0),1)*INDEX(其他调用!Z$5:Z$404,MATCH($K263,其他调用!$X$5:$X$404,0),0)</f>
        <v>25389.828206110651</v>
      </c>
      <c r="P263" s="12">
        <f>MIN(INDEX(其他调用!$AH$5:$AH$364,MATCH($K263,其他调用!$AG$5:$AG$364,0),1)/INDEX(其他调用!AJ$5:AJ$364,MATCH($K263,其他调用!$AG$5:$AG$364,0),0),1)*INDEX(其他调用!AA$5:AA$404,MATCH($K263,其他调用!$X$5:$X$404,0),0)</f>
        <v>15441.056545743428</v>
      </c>
      <c r="Q263" s="12">
        <f>MIN(INDEX(其他调用!$AH$5:$AH$364,MATCH($K263,其他调用!$AG$5:$AG$364,0),1)/INDEX(其他调用!AK$5:AK$364,MATCH($K263,其他调用!$AG$5:$AG$364,0),0),1)*INDEX(其他调用!AB$5:AB$404,MATCH($K263,其他调用!$X$5:$X$404,0),0)</f>
        <v>5487.4054565539836</v>
      </c>
      <c r="R263" s="12">
        <f>MIN(INDEX(其他调用!$AH$5:$AH$364,MATCH($K263,其他调用!$AG$5:$AG$364,0),1)/INDEX(其他调用!AL$5:AL$364,MATCH($K263,其他调用!$AG$5:$AG$364,0),0),1)*INDEX(其他调用!AC$5:AC$404,MATCH($K263,其他调用!$X$5:$X$404,0),0)</f>
        <v>3041.0433975006754</v>
      </c>
      <c r="S263" s="12">
        <f>求节点(节奏总纲!D$4:D$163,标准城池设计!AC$4:AC$163,$K263)*求节点(节奏总纲!D$4:D$163,攻城基础信息!$AD$5:$AD$164,$K263)</f>
        <v>799461.181184271</v>
      </c>
      <c r="T263" s="12">
        <f>INDEX(其他调用!$AA$5:$AA$404,MATCH($K263,其他调用!$X$5:$X$404,0))*MIN(INDEX(其他调用!AI$5:AI$364,MATCH($K263,其他调用!$AG$5:$AG$364,0),1)/INDEX(其他调用!$AJ$5:$AJ$364,MATCH($K263,其他调用!$AG$5:$AG$364,0),0),5)*求节点(节奏总纲!D$4:D$163,攻城基础信息!$AD$5:$AD$164,$K263)</f>
        <v>91017.337230084071</v>
      </c>
      <c r="U263" s="12">
        <f>MIN(INDEX(其他调用!$AI$5:$AI$364,MATCH($K263,其他调用!$AG$5:$AG$364,0),1)/INDEX(其他调用!AH$5:AH$364,MATCH($K263,其他调用!$AG$5:$AG$364,0),0),1)*INDEX(其他调用!Y$5:Y$404,MATCH($K263,其他调用!$X$5:$X$404,0),0)</f>
        <v>41602.012073797683</v>
      </c>
      <c r="V263" s="12">
        <f>MIN(INDEX(其他调用!$AI$5:$AI$364,MATCH($K263,其他调用!$AG$5:$AG$364,0),1)/INDEX(其他调用!AI$5:AI$364,MATCH($K263,其他调用!$AG$5:$AG$364,0),0),1)*INDEX(其他调用!Z$5:Z$404,MATCH($K263,其他调用!$X$5:$X$404,0),0)</f>
        <v>42760.111639538874</v>
      </c>
      <c r="W263" s="12">
        <f>MIN(INDEX(其他调用!$AI$5:$AI$364,MATCH($K263,其他调用!$AG$5:$AG$364,0),1)/INDEX(其他调用!AJ$5:AJ$364,MATCH($K263,其他调用!$AG$5:$AG$364,0),0),1)*INDEX(其他调用!AA$5:AA$404,MATCH($K263,其他调用!$X$5:$X$404,0),0)</f>
        <v>26004.95349430975</v>
      </c>
      <c r="X263" s="12">
        <f>MIN(INDEX(其他调用!$AI$5:$AI$364,MATCH($K263,其他调用!$AG$5:$AG$364,0),1)/INDEX(其他调用!AK$5:AK$364,MATCH($K263,其他调用!$AG$5:$AG$364,0),0),1)*INDEX(其他调用!AB$5:AB$404,MATCH($K263,其他调用!$X$5:$X$404,0),0)</f>
        <v>9241.5776912264046</v>
      </c>
      <c r="Y263" s="12">
        <f>MIN(INDEX(其他调用!$AI$5:$AI$364,MATCH($K263,其他调用!$AG$5:$AG$364,0),1)/INDEX(其他调用!AL$5:AL$364,MATCH($K263,其他调用!$AG$5:$AG$364,0),0),1)*INDEX(其他调用!AC$5:AC$404,MATCH($K263,其他调用!$X$5:$X$404,0),0)</f>
        <v>5121.5531716955629</v>
      </c>
      <c r="Z263" s="12">
        <f>求节点(节奏总纲!D$4:D$163,标准城池设计!AD$4:AD$163,$K263)*求节点(节奏总纲!D$4:D$163,攻城基础信息!$AE$5:$AE$164,$K263)</f>
        <v>877065.95959039533</v>
      </c>
      <c r="AA263" s="12">
        <f>INDEX(其他调用!$AA$5:$AA$404,MATCH($K263,其他调用!$X$5:$X$404,0))*MIN(INDEX(其他调用!AJ$5:AJ$364,MATCH($K263,其他调用!$AG$5:$AG$364,0),1)/INDEX(其他调用!$AJ$5:$AJ$364,MATCH($K263,其他调用!$AG$5:$AG$364,0),0),5)*求节点(节奏总纲!D$4:D$163,攻城基础信息!$AE$5:$AE$164,$K263)</f>
        <v>154990.83208174657</v>
      </c>
      <c r="AB263" s="12">
        <f>MIN(INDEX(其他调用!$AJ$5:$AJ$364,MATCH($K263,其他调用!$AG$5:$AG$364,0),1)/INDEX(其他调用!AH$5:AH$364,MATCH($K263,其他调用!$AG$5:$AG$364,0),0),1)*INDEX(其他调用!Y$5:Y$404,MATCH($K263,其他调用!$X$5:$X$404,0),0)</f>
        <v>41602.012073797683</v>
      </c>
      <c r="AC263" s="12">
        <f>MIN(INDEX(其他调用!$AJ$5:$AJ$364,MATCH($K263,其他调用!$AG$5:$AG$364,0),1)/INDEX(其他调用!AI$5:AI$364,MATCH($K263,其他调用!$AG$5:$AG$364,0),0),1)*INDEX(其他调用!Z$5:Z$404,MATCH($K263,其他调用!$X$5:$X$404,0),0)</f>
        <v>42760.111639538874</v>
      </c>
      <c r="AD263" s="12">
        <f>MIN(INDEX(其他调用!$AJ$5:$AJ$364,MATCH($K263,其他调用!$AG$5:$AG$364,0),1)/INDEX(其他调用!AJ$5:AJ$364,MATCH($K263,其他调用!$AG$5:$AG$364,0),0),1)*INDEX(其他调用!AA$5:AA$404,MATCH($K263,其他调用!$X$5:$X$404,0),0)</f>
        <v>44283.094880499048</v>
      </c>
      <c r="AE263" s="12">
        <f>MIN(INDEX(其他调用!$AJ$5:$AJ$364,MATCH($K263,其他调用!$AG$5:$AG$364,0),1)/INDEX(其他调用!AK$5:AK$364,MATCH($K263,其他调用!$AG$5:$AG$364,0),0),1)*INDEX(其他调用!AB$5:AB$404,MATCH($K263,其他调用!$X$5:$X$404,0),0)</f>
        <v>15737.219519951494</v>
      </c>
      <c r="AF263" s="12">
        <f>MIN(INDEX(其他调用!$AJ$5:$AJ$364,MATCH($K263,其他调用!$AG$5:$AG$364,0),1)/INDEX(其他调用!AL$5:AL$364,MATCH($K263,其他调用!$AG$5:$AG$364,0),0),1)*INDEX(其他调用!AC$5:AC$404,MATCH($K263,其他调用!$X$5:$X$404,0),0)</f>
        <v>8721.3470728698703</v>
      </c>
      <c r="AG263" s="12">
        <f>求节点(节奏总纲!D$4:D$163,标准城池设计!AE$4:AE$163,$K263)*求节点(节奏总纲!D$4:D$163,攻城基础信息!$AF$5:$AF$164,$K263)</f>
        <v>1057475.1016653546</v>
      </c>
      <c r="AH263" s="12">
        <f>INDEX(其他调用!$AA$5:$AA$404,MATCH($K263,其他调用!$X$5:$X$404,0))*MIN(INDEX(其他调用!AK$5:AK$364,MATCH($K263,其他调用!$AG$5:$AG$364,0),1)/INDEX(其他调用!$AJ$5:$AJ$364,MATCH($K263,其他调用!$AG$5:$AG$364,0),0),5)*求节点(节奏总纲!D$4:D$163,攻城基础信息!$AF$5:$AF$164,$K263)</f>
        <v>458216.49979875656</v>
      </c>
      <c r="AI263" s="12">
        <f>MIN(INDEX(其他调用!$AK$5:$AK$364,MATCH($K263,其他调用!$AG$5:$AG$364,0),1)/INDEX(其他调用!AH$5:AH$364,MATCH($K263,其他调用!$AG$5:$AG$364,0),0),1)*INDEX(其他调用!Y$5:Y$404,MATCH($K263,其他调用!$X$5:$X$404,0),0)</f>
        <v>41602.012073797683</v>
      </c>
      <c r="AJ263" s="12">
        <f>MIN(INDEX(其他调用!$AK$5:$AK$364,MATCH($K263,其他调用!$AG$5:$AG$364,0),1)/INDEX(其他调用!AI$5:AI$364,MATCH($K263,其他调用!$AG$5:$AG$364,0),0),1)*INDEX(其他调用!Z$5:Z$404,MATCH($K263,其他调用!$X$5:$X$404,0),0)</f>
        <v>42760.111639538874</v>
      </c>
      <c r="AK263" s="12">
        <f>MIN(INDEX(其他调用!$AK$5:$AK$364,MATCH($K263,其他调用!$AG$5:$AG$364,0),1)/INDEX(其他调用!AJ$5:AJ$364,MATCH($K263,其他调用!$AG$5:$AG$364,0),0),1)*INDEX(其他调用!AA$5:AA$404,MATCH($K263,其他调用!$X$5:$X$404,0),0)</f>
        <v>44283.094880499048</v>
      </c>
      <c r="AL263" s="12">
        <f>MIN(INDEX(其他调用!$AK$5:$AK$364,MATCH($K263,其他调用!$AG$5:$AG$364,0),1)/INDEX(其他调用!AK$5:AK$364,MATCH($K263,其他调用!$AG$5:$AG$364,0),0),1)*INDEX(其他调用!AB$5:AB$404,MATCH($K263,其他调用!$X$5:$X$404,0),0)</f>
        <v>46525.678636227509</v>
      </c>
      <c r="AM263" s="12">
        <f>MIN(INDEX(其他调用!$AK$5:$AK$364,MATCH($K263,其他调用!$AG$5:$AG$364,0),1)/INDEX(其他调用!AL$5:AL$364,MATCH($K263,其他调用!$AG$5:$AG$364,0),0),1)*INDEX(其他调用!AC$5:AC$404,MATCH($K263,其他调用!$X$5:$X$404,0),0)</f>
        <v>25783.880734008959</v>
      </c>
      <c r="AN263" s="12">
        <f>求节点(节奏总纲!D$4:D$163,标准城池设计!AF$4:AF$163,$K263)*求节点(节奏总纲!D$4:D$163,攻城基础信息!$AG$5:$AG$164,$K263)</f>
        <v>1107166.214334046</v>
      </c>
      <c r="AO263" s="12">
        <f>INDEX(其他调用!$AA$5:$AA$404,MATCH($K263,其他调用!$X$5:$X$404,0))*MIN(INDEX(其他调用!AL$5:AL$364,MATCH($K263,其他调用!$AG$5:$AG$364,0),1)/INDEX(其他调用!$AJ$5:$AJ$364,MATCH($K263,其他调用!$AG$5:$AG$364,0),0),5)*求节点(节奏总纲!D$4:D$163,攻城基础信息!$AG$5:$AG$164,$K263)</f>
        <v>774954.16040873295</v>
      </c>
      <c r="AP263" s="12">
        <f>MIN(INDEX(其他调用!$AL$5:$AL$364,MATCH($K263,其他调用!$AG$5:$AG$364,0),1)/INDEX(其他调用!AH$5:AH$364,MATCH($K263,其他调用!$AG$5:$AG$364,0),0),1)*INDEX(其他调用!Y$5:Y$404,MATCH($K263,其他调用!$X$5:$X$404,0),0)</f>
        <v>41602.012073797683</v>
      </c>
      <c r="AQ263" s="12">
        <f>MIN(INDEX(其他调用!$AL$5:$AL$364,MATCH($K263,其他调用!$AG$5:$AG$364,0),1)/INDEX(其他调用!AI$5:AI$364,MATCH($K263,其他调用!$AG$5:$AG$364,0),0),1)*INDEX(其他调用!Z$5:Z$404,MATCH($K263,其他调用!$X$5:$X$404,0),0)</f>
        <v>42760.111639538874</v>
      </c>
      <c r="AR263" s="12">
        <f>MIN(INDEX(其他调用!$AL$5:$AL$364,MATCH($K263,其他调用!$AG$5:$AG$364,0),1)/INDEX(其他调用!AJ$5:AJ$364,MATCH($K263,其他调用!$AG$5:$AG$364,0),0),1)*INDEX(其他调用!AA$5:AA$404,MATCH($K263,其他调用!$X$5:$X$404,0),0)</f>
        <v>44283.094880499048</v>
      </c>
      <c r="AS263" s="12">
        <f>MIN(INDEX(其他调用!$AL$5:$AL$364,MATCH($K263,其他调用!$AG$5:$AG$364,0),1)/INDEX(其他调用!AK$5:AK$364,MATCH($K263,其他调用!$AG$5:$AG$364,0),0),1)*INDEX(其他调用!AB$5:AB$404,MATCH($K263,其他调用!$X$5:$X$404,0),0)</f>
        <v>46525.678636227509</v>
      </c>
      <c r="AT263" s="12">
        <f>MIN(INDEX(其他调用!$AL$5:$AL$364,MATCH($K263,其他调用!$AG$5:$AG$364,0),1)/INDEX(其他调用!AL$5:AL$364,MATCH($K263,其他调用!$AG$5:$AG$364,0),0),1)*INDEX(其他调用!AC$5:AC$404,MATCH($K263,其他调用!$X$5:$X$404,0),0)</f>
        <v>50413.461620620568</v>
      </c>
      <c r="AV263" s="14">
        <f>IF(OR(AV$5="大R",AV$5="超R"),MAX(INDEX(其他调用!$H$5:$L$404,MATCH($K263,其他调用!$B$5:$B$404,0),MATCH(AV$5,其他调用!$H$4:$L$4,0))*120*0.85,2),INDEX(其他调用!$H$5:$L$404,MATCH($K263,其他调用!$B$5:$B$404,0),MATCH(AV$5,其他调用!$H$4:$L$4,0))*120*0.85)</f>
        <v>48.921801254999991</v>
      </c>
      <c r="AW263" s="14">
        <f>IF(OR(AW$5="大R",AW$5="超R"),MAX(INDEX(其他调用!$H$5:$L$404,MATCH($K263,其他调用!$B$5:$B$404,0),MATCH(AW$5,其他调用!$H$4:$L$4,0))*120*0.85,2),INDEX(其他调用!$H$5:$L$404,MATCH($K263,其他调用!$B$5:$B$404,0),MATCH(AW$5,其他调用!$H$4:$L$4,0))*120*0.85)</f>
        <v>48.237344010638395</v>
      </c>
      <c r="AX263" s="14">
        <f>IF(OR(AX$5="大R",AX$5="超R"),MAX(INDEX(其他调用!$H$5:$L$404,MATCH($K263,其他调用!$B$5:$B$404,0),MATCH(AX$5,其他调用!$H$4:$L$4,0))*120*0.85,2),INDEX(其他调用!$H$5:$L$404,MATCH($K263,其他调用!$B$5:$B$404,0),MATCH(AX$5,其他调用!$H$4:$L$4,0))*120*0.85)</f>
        <v>3.9376284143615998</v>
      </c>
      <c r="AY263" s="14">
        <f>IF(OR(AY$5="大R",AY$5="超R"),MAX(INDEX(其他调用!$H$5:$L$404,MATCH($K263,其他调用!$B$5:$B$404,0),MATCH(AY$5,其他调用!$H$4:$L$4,0))*120*0.85,2),INDEX(其他调用!$H$5:$L$404,MATCH($K263,其他调用!$B$5:$B$404,0),MATCH(AY$5,其他调用!$H$4:$L$4,0))*120*0.85)</f>
        <v>2</v>
      </c>
      <c r="AZ263" s="14">
        <f>IF(OR(AZ$5="大R",AZ$5="超R"),MAX(INDEX(其他调用!$H$5:$L$404,MATCH($K263,其他调用!$B$5:$B$404,0),MATCH(AZ$5,其他调用!$H$4:$L$4,0))*120*0.85,2),INDEX(其他调用!$H$5:$L$404,MATCH($K263,其他调用!$B$5:$B$404,0),MATCH(AZ$5,其他调用!$H$4:$L$4,0))*120*0.85)</f>
        <v>2</v>
      </c>
      <c r="BA263" s="14">
        <f>INDEX(其他调用!$H$5:$L$404,MATCH($K263,其他调用!$B$5:$B$404,0),MATCH(BA$5,其他调用!$H$4:$L$4,0))*INDEX(其他调用!$M$5:$M$404,MATCH($K263,其他调用!$B$5:$B$404,0))*0.6</f>
        <v>28.777530149999997</v>
      </c>
      <c r="BB263" s="14">
        <f>INDEX(其他调用!$H$5:$L$404,MATCH($K263,其他调用!$B$5:$B$404,0),MATCH(BB$5,其他调用!$H$4:$L$4,0))*INDEX(其他调用!$M$5:$M$404,MATCH($K263,其他调用!$B$5:$B$404,0))*0.6</f>
        <v>28.374908241551999</v>
      </c>
      <c r="BC263" s="14">
        <f>INDEX(其他调用!$H$5:$L$404,MATCH($K263,其他调用!$B$5:$B$404,0),MATCH(BC$5,其他调用!$H$4:$L$4,0))*INDEX(其他调用!$M$5:$M$404,MATCH($K263,其他调用!$B$5:$B$404,0))*0.6</f>
        <v>2.3162520084480001</v>
      </c>
      <c r="BD263" s="14">
        <f>INDEX(其他调用!$H$5:$L$404,MATCH($K263,其他调用!$B$5:$B$404,0),MATCH(BD$5,其他调用!$H$4:$L$4,0))*INDEX(其他调用!$M$5:$M$404,MATCH($K263,其他调用!$B$5:$B$404,0))*0.6</f>
        <v>0.4120776000000001</v>
      </c>
      <c r="BE263" s="14">
        <f>INDEX(其他调用!$H$5:$L$404,MATCH($K263,其他调用!$B$5:$B$404,0),MATCH(BE$5,其他调用!$H$4:$L$4,0))*INDEX(其他调用!$M$5:$M$404,MATCH($K263,其他调用!$B$5:$B$404,0))*0.6</f>
        <v>0.11923199999999998</v>
      </c>
      <c r="BF263" s="14">
        <f>IF(OR(BF$5="大R",BF$5="超R"),0,INDEX(其他调用!$H$5:$L$404,MATCH($K263,其他调用!$B$5:$B$404,0),MATCH(BF$5,其他调用!$H$4:$L$4,0))*50*0.4)</f>
        <v>9.5925100500000013</v>
      </c>
      <c r="BG263" s="14">
        <f>IF(OR(BG$5="大R",BG$5="超R"),0,INDEX(其他调用!$H$5:$L$404,MATCH($K263,其他调用!$B$5:$B$404,0),MATCH(BG$5,其他调用!$H$4:$L$4,0))*50*0.4)</f>
        <v>9.4583027471839998</v>
      </c>
      <c r="BH263" s="14">
        <f>IF(OR(BH$5="大R",BH$5="超R"),0,INDEX(其他调用!$H$5:$L$404,MATCH($K263,其他调用!$B$5:$B$404,0),MATCH(BH$5,其他调用!$H$4:$L$4,0))*50*0.4)</f>
        <v>0.77208400281600009</v>
      </c>
      <c r="BI263" s="14">
        <f>IF(OR(BI$5="大R",BI$5="超R"),0,INDEX(其他调用!$H$5:$L$404,MATCH($K263,其他调用!$B$5:$B$404,0),MATCH(BI$5,其他调用!$H$4:$L$4,0))*50*0.4)</f>
        <v>0</v>
      </c>
      <c r="BJ263" s="14">
        <f>IF(OR(BJ$5="大R",BJ$5="超R"),0,INDEX(其他调用!$H$5:$L$404,MATCH($K263,其他调用!$B$5:$B$404,0),MATCH(BJ$5,其他调用!$H$4:$L$4,0))*50*0.4)</f>
        <v>0</v>
      </c>
      <c r="BL263" s="14">
        <f t="shared" si="418"/>
        <v>258</v>
      </c>
      <c r="BM263" s="14">
        <f t="shared" ref="BM263:BM326" si="430">120*0.8</f>
        <v>96</v>
      </c>
      <c r="BN263" s="14">
        <f>('疲劳值&amp;地图信息'!$S$10*'疲劳值&amp;地图信息'!$R$10+'疲劳值&amp;地图信息'!$S$11*'疲劳值&amp;地图信息'!$R$11+'疲劳值&amp;地图信息'!$S$12*'疲劳值&amp;地图信息'!$R$12+(BM263-'疲劳值&amp;地图信息'!$S$12-'疲劳值&amp;地图信息'!$S$11-'疲劳值&amp;地图信息'!$S$10)*'疲劳值&amp;地图信息'!$R$13)/BM263</f>
        <v>51.371477246638619</v>
      </c>
      <c r="BO263" s="14">
        <f>INDEX(其他调用!$M$5:$M$404,MATCH(BL263,其他调用!$B$5:$B$404,0))*0.6</f>
        <v>60</v>
      </c>
      <c r="BP263" s="14">
        <f>IF(BO263&gt;SUM('疲劳值&amp;地图信息'!$S$10:$S$12),('疲劳值&amp;地图信息'!$S$10*'疲劳值&amp;地图信息'!$R$10+'疲劳值&amp;地图信息'!$S$11*'疲劳值&amp;地图信息'!$R$11+'疲劳值&amp;地图信息'!$S$12*'疲劳值&amp;地图信息'!$R$12+(BO263-'疲劳值&amp;地图信息'!$S$12-'疲劳值&amp;地图信息'!$S$11-'疲劳值&amp;地图信息'!$S$10)*'疲劳值&amp;地图信息'!$R$13)/BO263,('疲劳值&amp;地图信息'!$S$10*'疲劳值&amp;地图信息'!$R$10+'疲劳值&amp;地图信息'!$S$11*'疲劳值&amp;地图信息'!$R$11+'疲劳值&amp;地图信息'!$S$12*'疲劳值&amp;地图信息'!$R$12+(BO263-'疲劳值&amp;地图信息'!$S$12-'疲劳值&amp;地图信息'!$S$11-'疲劳值&amp;地图信息'!$S$10)*'疲劳值&amp;地图信息'!$R$13)/BO263)</f>
        <v>44.158136341605953</v>
      </c>
      <c r="BQ263" s="14">
        <f t="shared" si="419"/>
        <v>20</v>
      </c>
      <c r="BR263" s="14">
        <f>('疲劳值&amp;地图信息'!$S$10*'疲劳值&amp;地图信息'!$R$10+($BQ263-'疲劳值&amp;地图信息'!$S$10)*'疲劳值&amp;地图信息'!$R$11)/$BQ263</f>
        <v>32.067203015074995</v>
      </c>
      <c r="CF263" s="14">
        <v>258</v>
      </c>
      <c r="CG263" s="51">
        <f t="shared" ref="CG263:CG326" si="431">INT(INDEX($L$6:$AT$365,MATCH($CF263,$K$6:$K$365,0),MATCH(CG$4,$L$4:$AT$4,0))*$BX$34/$BP263/10000*$BX$5)</f>
        <v>14996</v>
      </c>
      <c r="CH263" s="51">
        <f t="shared" ref="CH263:CH326" si="432">INT(INDEX($L$6:$AT$365,MATCH($CF263,$K$6:$K$365,0),MATCH(CG$4,$L$4:$AT$4,0)+1)*$BY$34/$BP263/10000*$BX$6)</f>
        <v>1101</v>
      </c>
      <c r="CI263" s="51">
        <f>INT(SUMPRODUCT($N263:$R263,$BA263:$BE263)/SUM($BA263:$BE263)/10000*$BX$7*$BZ$34/'疲劳值&amp;地图信息'!$R$10*$BY$53)</f>
        <v>3307</v>
      </c>
      <c r="CJ263" s="50">
        <f t="shared" ref="CJ263:CJ326" si="433">CG263/SUM(CG263:CI263)</f>
        <v>0.77283034425891572</v>
      </c>
      <c r="CK263" s="50">
        <f t="shared" ref="CK263:CK326" si="434">CH263/SUM(CG263:CI263)</f>
        <v>5.6740878169449595E-2</v>
      </c>
      <c r="CL263" s="50">
        <f t="shared" ref="CL263:CL326" si="435">CI263/SUM(CG263:CI263)</f>
        <v>0.17042877757163472</v>
      </c>
      <c r="CM263" s="14">
        <f t="shared" ref="CM263:CM326" si="436">INT(INDEX($L$6:$AT$365,MATCH($CF263,$K$6:$K$365,0),MATCH(CM$4,$L$4:$AT$4,0))*$BX$34/$BP263/10000*$BX$5)</f>
        <v>16294</v>
      </c>
      <c r="CN263" s="14">
        <f t="shared" ref="CN263:CN326" si="437">INT(INDEX($L$6:$AT$365,MATCH($CF263,$K$6:$K$365,0),MATCH(CM$4,$L$4:$AT$4,0)+1)*$BY$34/$BP263/10000*$BX$6)</f>
        <v>1855</v>
      </c>
      <c r="CO263" s="14">
        <f>INT(SUMPRODUCT($U263:$Y263,$BA263:$BE263)/SUM($BA263:$BE263)/10000*$BX$7*$BZ$34/'疲劳值&amp;地图信息'!$R$10*$BY$54)</f>
        <v>6278</v>
      </c>
      <c r="CP263" s="50">
        <f t="shared" ref="CP263:CP326" si="438">CM263/SUM(CM263:CO263)</f>
        <v>0.66704875752241377</v>
      </c>
      <c r="CQ263" s="50">
        <f t="shared" ref="CQ263:CQ326" si="439">CN263/SUM(CM263:CO263)</f>
        <v>7.5940557579727355E-2</v>
      </c>
      <c r="CR263" s="50">
        <f t="shared" ref="CR263:CR326" si="440">CO263/SUM(CM263:CO263)</f>
        <v>0.25701068489785894</v>
      </c>
      <c r="CS263" s="14">
        <f t="shared" ref="CS263:CS326" si="441">INT(INDEX($L$6:$AT$365,MATCH($CF263,$K$6:$K$365,0),MATCH(CS$4,$L$4:$AT$4,0))*$BX$34/$BP263/10000*$BX$5)</f>
        <v>17875</v>
      </c>
      <c r="CT263" s="14">
        <f t="shared" ref="CT263:CT326" si="442">INT(INDEX($L$6:$AT$365,MATCH($CF263,$K$6:$K$365,0),MATCH(CS$4,$L$4:$AT$4,0)+1)*$BY$34/$BP263/10000*$BX$6)</f>
        <v>3158</v>
      </c>
      <c r="CU263" s="14">
        <f>INT(SUMPRODUCT($AB263:$AF263,$BA263:$BE263)/SUM($BA263:$BE263)/10000*$BX$7*$BZ$34/'疲劳值&amp;地图信息'!$R$10*$BY$55)</f>
        <v>8525</v>
      </c>
      <c r="CV263" s="50">
        <f t="shared" ref="CV263:CV326" si="443">CS263/SUM(CS263:CU263)</f>
        <v>0.60474321672643616</v>
      </c>
      <c r="CW263" s="50">
        <f t="shared" ref="CW263:CW326" si="444">CT263/SUM(CS263:CU263)</f>
        <v>0.10684078760403275</v>
      </c>
      <c r="CX263" s="50">
        <f t="shared" ref="CX263:CX326" si="445">CU263/SUM(CS263:CU263)</f>
        <v>0.28841599566953108</v>
      </c>
      <c r="CY263" s="14">
        <f t="shared" ref="CY263:CY326" si="446">INT(INDEX($L$6:$AT$365,MATCH($CF263,$K$6:$K$365,0),MATCH(CY$4,$L$4:$AT$4,0))*$BX$34/$BP263/10000*$BX$5)</f>
        <v>21552</v>
      </c>
      <c r="CZ263" s="14">
        <f t="shared" ref="CZ263:CZ326" si="447">INT(INDEX($L$6:$AT$365,MATCH($CF263,$K$6:$K$365,0),MATCH(CY$4,$L$4:$AT$4,0)+1)*$BY$34/$BP263/10000*$BX$6)</f>
        <v>9339</v>
      </c>
      <c r="DA263" s="14">
        <f>INT(SUMPRODUCT($AI263:$AM263,$BA263:$BE263)/SUM($BA263:$BE263)/10000*$BX$7*$BZ$34/'疲劳值&amp;地图信息'!$R$10*$BY$56)</f>
        <v>12862</v>
      </c>
      <c r="DB263" s="50">
        <f t="shared" ref="DB263:DB326" si="448">CY263/SUM(CY263:DA263)</f>
        <v>0.49258336571206546</v>
      </c>
      <c r="DC263" s="50">
        <f t="shared" ref="DC263:DC326" si="449">CZ263/SUM(CY263:DA263)</f>
        <v>0.21344822069343816</v>
      </c>
      <c r="DD263" s="50">
        <f t="shared" ref="DD263:DD326" si="450">DA263/SUM(CY263:DA263)</f>
        <v>0.29396841359449638</v>
      </c>
      <c r="DE263" s="14">
        <f t="shared" ref="DE263:DE326" si="451">INT(INDEX($L$6:$AT$365,MATCH($CF263,$K$6:$K$365,0),MATCH(DE$4,$L$4:$AT$4,0))*$BX$34/$BP263/10000*$BX$5)</f>
        <v>22565</v>
      </c>
      <c r="DF263" s="14">
        <f t="shared" ref="DF263:DF326" si="452">INT(INDEX($L$6:$AT$365,MATCH($CF263,$K$6:$K$365,0),MATCH(DE$4,$L$4:$AT$4,0)+1)*$BY$34/$BP263/10000*$BX$6)</f>
        <v>15794</v>
      </c>
      <c r="DG263" s="14">
        <f>INT(SUMPRODUCT($AP263:$AT263,$BA263:$BE263)/SUM($BA263:$BE263)/10000*$BX$7*$BZ$34/'疲劳值&amp;地图信息'!$R$10*$BY$57)</f>
        <v>17170</v>
      </c>
      <c r="DH263" s="50">
        <f t="shared" ref="DH263:DH326" si="453">DE263/SUM(DE263:DG263)</f>
        <v>0.40636424210772748</v>
      </c>
      <c r="DI263" s="50">
        <f t="shared" ref="DI263:DI326" si="454">DF263/SUM(DE263:DG263)</f>
        <v>0.28442795656323722</v>
      </c>
      <c r="DJ263" s="50">
        <f t="shared" ref="DJ263:DJ326" si="455">DG263/SUM(DE263:DG263)</f>
        <v>0.3092078013290353</v>
      </c>
      <c r="DL263" s="14">
        <f t="shared" si="421"/>
        <v>19404</v>
      </c>
      <c r="DM263" s="14">
        <f t="shared" si="422"/>
        <v>24427</v>
      </c>
      <c r="DN263" s="14">
        <f t="shared" si="423"/>
        <v>29558</v>
      </c>
      <c r="DO263" s="14">
        <f t="shared" si="424"/>
        <v>43753</v>
      </c>
      <c r="DP263" s="14">
        <f t="shared" si="425"/>
        <v>55529</v>
      </c>
      <c r="DQ263" s="14">
        <f t="shared" si="426"/>
        <v>1344627</v>
      </c>
      <c r="DT263" s="14">
        <f t="shared" si="420"/>
        <v>235575</v>
      </c>
      <c r="DU263" s="50">
        <f t="shared" si="427"/>
        <v>0.14907904179339096</v>
      </c>
      <c r="DW263" s="14">
        <f t="shared" ref="DW263:DW326" si="456">DQ263+DT263</f>
        <v>1580202</v>
      </c>
      <c r="EB263" s="14">
        <v>258</v>
      </c>
      <c r="EC263" s="51">
        <f t="shared" ref="EC263:EC326" si="457">INT(INDEX($L$6:$AT$365,MATCH($CF263,$K$6:$K$365,0),MATCH(EC$4,$L$4:$AT$4,0))*$BX$46/$BP263/10000*$BX$5)</f>
        <v>24994</v>
      </c>
      <c r="ED263" s="51">
        <f t="shared" ref="ED263:ED326" si="458">INT(INDEX($L$6:$AT$365,MATCH($CF263,$K$6:$K$365,0),MATCH(EC$4,$L$4:$AT$4,0)+1)*$BY$46/$BP263/10000*$BX$6)</f>
        <v>1835</v>
      </c>
      <c r="EE263" s="51">
        <f>INT(SUMPRODUCT($N263:$R263,$BF263:$BJ263)/SUM($BF263:$BJ263)/10000*$BX$7*$BZ$46/'疲劳值&amp;地图信息'!$R$10*$BY$53)</f>
        <v>444</v>
      </c>
      <c r="EF263" s="50">
        <f t="shared" ref="EF263:EF326" si="459">EC263/SUM(EC263:EE263)</f>
        <v>0.91643750229164378</v>
      </c>
      <c r="EG263" s="50">
        <f t="shared" ref="EG263:EG326" si="460">ED263/SUM(EC263:EE263)</f>
        <v>6.7282660506728265E-2</v>
      </c>
      <c r="EH263" s="50">
        <f t="shared" ref="EH263:EH326" si="461">EE263/SUM(EC263:EE263)</f>
        <v>1.6279837201627984E-2</v>
      </c>
      <c r="EI263" s="51">
        <f t="shared" ref="EI263:EI326" si="462">INT(INDEX($L$6:$AT$365,MATCH($CF263,$K$6:$K$365,0),MATCH(EI$4,$L$4:$AT$4,0))*$BX$46/$BP263/10000*$BX$5)</f>
        <v>27156</v>
      </c>
      <c r="EJ263" s="51">
        <f t="shared" ref="EJ263:EJ326" si="463">INT(INDEX($L$6:$AT$365,MATCH($CF263,$K$6:$K$365,0),MATCH(EI$4,$L$4:$AT$4,0)+1)*$BY$46/$BP263/10000*$BX$6)</f>
        <v>3091</v>
      </c>
      <c r="EK263" s="14">
        <f>INT(SUMPRODUCT($U263:$Y263,$BF263:$BJ263)/SUM($BF263:$BJ263)/10000*$BX$7*$BZ$46/'疲劳值&amp;地图信息'!$R$10*$BY$54)</f>
        <v>843</v>
      </c>
      <c r="EL263" s="50">
        <f t="shared" ref="EL263:EL326" si="464">EI263/SUM(EI263:EK263)</f>
        <v>0.87346413637825671</v>
      </c>
      <c r="EM263" s="50">
        <f t="shared" ref="EM263:EM326" si="465">EJ263/SUM(EI263:EK263)</f>
        <v>9.9421035702798324E-2</v>
      </c>
      <c r="EN263" s="50">
        <f t="shared" ref="EN263:EN326" si="466">EK263/SUM(EI263:EK263)</f>
        <v>2.7114827918944998E-2</v>
      </c>
      <c r="EO263" s="51">
        <f t="shared" ref="EO263:EO326" si="467">INT(INDEX($L$6:$AT$365,MATCH($CF263,$K$6:$K$365,0),MATCH(EO$4,$L$4:$AT$4,0))*$BX$46/$BP263/10000*$BX$5)</f>
        <v>29792</v>
      </c>
      <c r="EP263" s="51">
        <f t="shared" ref="EP263:EP326" si="468">INT(INDEX($L$6:$AT$365,MATCH($CF263,$K$6:$K$365,0),MATCH(EO$4,$L$4:$AT$4,0)+1)*$BY$46/$BP263/10000*$BX$6)</f>
        <v>5264</v>
      </c>
      <c r="EQ263" s="14">
        <f>INT(SUMPRODUCT($AB263:$AF263,$BF263:$BJ263)/SUM($BF263:$BJ263)/10000*$BX$7*$BZ$46/'疲劳值&amp;地图信息'!$R$10*$BY$55)</f>
        <v>1143</v>
      </c>
      <c r="ER263" s="50">
        <f t="shared" ref="ER263:ER326" si="469">EO263/SUM(EO263:EQ263)</f>
        <v>0.82300616039117103</v>
      </c>
      <c r="ES263" s="50">
        <f t="shared" ref="ES263:ES326" si="470">EP263/SUM(EO263:EQ263)</f>
        <v>0.14541838172325203</v>
      </c>
      <c r="ET263" s="50">
        <f t="shared" ref="ET263:ET326" si="471">EQ263/SUM(EO263:EQ263)</f>
        <v>3.1575457885576946E-2</v>
      </c>
      <c r="EU263" s="51">
        <f t="shared" ref="EU263:EU326" si="472">INT(INDEX($L$6:$AT$365,MATCH($CF263,$K$6:$K$365,0),MATCH(EU$4,$L$4:$AT$4,0))*$BX$46/$BP263/10000*$BX$5)</f>
        <v>35921</v>
      </c>
      <c r="EV263" s="51">
        <f t="shared" ref="EV263:EV326" si="473">INT(INDEX($L$6:$AT$365,MATCH($CF263,$K$6:$K$365,0),MATCH(EU$4,$L$4:$AT$4,0)+1)*$BY$46/$BP263/10000*$BX$6)</f>
        <v>15565</v>
      </c>
      <c r="EW263" s="14">
        <f>INT(SUMPRODUCT($AI263:$AM263,$BF263:$BJ263)/SUM($BF263:$BJ263)/10000*$BX$7*$BZ$46/'疲劳值&amp;地图信息'!$R$10*$BY$56)</f>
        <v>1715</v>
      </c>
      <c r="EX263" s="50">
        <f t="shared" ref="EX263:EX326" si="474">EU263/SUM(EU263:EW263)</f>
        <v>0.6751940752993365</v>
      </c>
      <c r="EY263" s="50">
        <f t="shared" ref="EY263:EY326" si="475">EV263/SUM(EU263:EW263)</f>
        <v>0.29256968853968912</v>
      </c>
      <c r="EZ263" s="50">
        <f t="shared" ref="EZ263:EZ326" si="476">EW263/SUM(EU263:EW263)</f>
        <v>3.2236236160974416E-2</v>
      </c>
      <c r="FA263" s="51">
        <f t="shared" ref="FA263:FA326" si="477">INT(INDEX($L$6:$AT$365,MATCH($CF263,$K$6:$K$365,0),MATCH(FA$4,$L$4:$AT$4,0))*$BX$46/$BP263/10000*$BX$5)</f>
        <v>37609</v>
      </c>
      <c r="FB263" s="51">
        <f t="shared" ref="FB263:FB326" si="478">INT(INDEX($L$6:$AT$365,MATCH($CF263,$K$6:$K$365,0),MATCH(FA$4,$L$4:$AT$4,0)+1)*$BY$46/$BP263/10000*$BX$6)</f>
        <v>26324</v>
      </c>
      <c r="FC263" s="14">
        <f>INT(SUMPRODUCT($AP263:$AT263,$BF263:$BJ263)/SUM($BF263:$BJ263)/10000*$BX$7*$BZ$46/'疲劳值&amp;地图信息'!$R$10*$BY$57)</f>
        <v>2286</v>
      </c>
      <c r="FD263" s="50">
        <f t="shared" ref="FD263:FD326" si="479">FA263/SUM(FA263:FC263)</f>
        <v>0.56794877603104854</v>
      </c>
      <c r="FE263" s="50">
        <f t="shared" ref="FE263:FE326" si="480">FB263/SUM(FA263:FC263)</f>
        <v>0.3975294099880699</v>
      </c>
      <c r="FF263" s="50">
        <f t="shared" ref="FF263:FF326" si="481">FC263/SUM(FA263:FC263)</f>
        <v>3.4521813980881617E-2</v>
      </c>
      <c r="FH263" s="14">
        <f t="shared" ref="FH263:FH326" si="482">SUM(EC263:EE263)</f>
        <v>27273</v>
      </c>
      <c r="FI263" s="14">
        <f t="shared" ref="FI263:FI326" si="483">SUM(EI263:EK263)</f>
        <v>31090</v>
      </c>
      <c r="FJ263" s="14">
        <f t="shared" ref="FJ263:FJ326" si="484">SUM(EO263:EQ263)</f>
        <v>36199</v>
      </c>
      <c r="FK263" s="14">
        <f t="shared" ref="FK263:FK326" si="485">SUM(EU263:EW263)</f>
        <v>53201</v>
      </c>
      <c r="FL263" s="14">
        <f t="shared" ref="FL263:FL326" si="486">SUM(FA263:FC263)</f>
        <v>66219</v>
      </c>
      <c r="FM263" s="14">
        <f t="shared" ref="FM263:FM326" si="487">INT(SUMPRODUCT(FH263:FL263,$AV263:$AZ263))</f>
        <v>3215321</v>
      </c>
      <c r="FP263" s="14">
        <f t="shared" ref="FP263:FP326" si="488">SUM($BX$11:$BX$27)+SUM($BY$11:$BY$27)*(($BX$46+$BY$46+$BZ$46)/60-($BX$46+$BY$46)/60/2)</f>
        <v>334150</v>
      </c>
      <c r="FQ263" s="50">
        <f t="shared" si="428"/>
        <v>9.4140788866848041E-2</v>
      </c>
      <c r="FS263" s="14">
        <f t="shared" ref="FS263:FS326" si="489">FM263+FP263</f>
        <v>3549471</v>
      </c>
      <c r="FX263" s="14">
        <v>258</v>
      </c>
      <c r="FY263" s="51">
        <f t="shared" ref="FY263:FY326" si="490">INT(INDEX($L$6:$AT$365,MATCH($CF263,$K$6:$K$365,0),MATCH(FY$4,$L$4:$AT$4,0))*$BX$47/$BP263/10000*$BX$5)</f>
        <v>34992</v>
      </c>
      <c r="FZ263" s="51">
        <f t="shared" ref="FZ263:FZ326" si="491">INT(INDEX($L$6:$AT$365,MATCH($CF263,$K$6:$K$365,0),MATCH(FY$4,$L$4:$AT$4,0)+1)*$BY$46/$BP263/10000*$BX$6)</f>
        <v>1835</v>
      </c>
      <c r="GA263" s="51">
        <f>INT(SUMPRODUCT($N263:$R263,$BF263:$BJ263)/SUM($BF263:$BJ263)/10000*$BX$7*$BZ$46/'疲劳值&amp;地图信息'!$R$10*$BY$53)</f>
        <v>444</v>
      </c>
      <c r="GB263" s="50">
        <f t="shared" ref="GB263:GB326" si="492">FY263/SUM(FY263:GA263)</f>
        <v>0.93885326393174318</v>
      </c>
      <c r="GC263" s="50">
        <f t="shared" ref="GC263:GC326" si="493">FZ263/SUM(FY263:GA263)</f>
        <v>4.9233988892168172E-2</v>
      </c>
      <c r="GD263" s="50">
        <f t="shared" ref="GD263:GD326" si="494">GA263/SUM(FY263:GA263)</f>
        <v>1.1912747176088648E-2</v>
      </c>
      <c r="GE263" s="51">
        <f t="shared" ref="GE263:GE326" si="495">INT(INDEX($L$6:$AT$365,MATCH($CF263,$K$6:$K$365,0),MATCH(GE$4,$L$4:$AT$4,0))*$BX$47/$BP263/10000*$BX$5)</f>
        <v>38019</v>
      </c>
      <c r="GF263" s="51">
        <f t="shared" ref="GF263:GF326" si="496">INT(INDEX($L$6:$AT$365,MATCH($CF263,$K$6:$K$365,0),MATCH(GE$4,$L$4:$AT$4,0)+1)*$BY$46/$BP263/10000*$BX$6)</f>
        <v>3091</v>
      </c>
      <c r="GG263" s="14">
        <f>INT(SUMPRODUCT($U263:$Y263,$BF263:$BJ263)/SUM($BF263:$BJ263)/10000*$BX$7*$BZ$46/'疲劳值&amp;地图信息'!$R$10*$BY$54)</f>
        <v>843</v>
      </c>
      <c r="GH263" s="50">
        <f t="shared" ref="GH263:GH326" si="497">GE263/SUM(GE263:GG263)</f>
        <v>0.90622839844587988</v>
      </c>
      <c r="GI263" s="50">
        <f t="shared" ref="GI263:GI326" si="498">GF263/SUM(GE263:GG263)</f>
        <v>7.3677686935380071E-2</v>
      </c>
      <c r="GJ263" s="50">
        <f t="shared" ref="GJ263:GJ326" si="499">GG263/SUM(GE263:GG263)</f>
        <v>2.0093914618740018E-2</v>
      </c>
      <c r="GK263" s="51">
        <f t="shared" ref="GK263:GK326" si="500">INT(INDEX($L$6:$AT$365,MATCH($CF263,$K$6:$K$365,0),MATCH(GK$4,$L$4:$AT$4,0))*$BX$47/$BP263/10000*$BX$5)</f>
        <v>41710</v>
      </c>
      <c r="GL263" s="51">
        <f t="shared" ref="GL263:GL326" si="501">INT(INDEX($L$6:$AT$365,MATCH($CF263,$K$6:$K$365,0),MATCH(GK$4,$L$4:$AT$4,0)+1)*$BY$46/$BP263/10000*$BX$6)</f>
        <v>5264</v>
      </c>
      <c r="GM263" s="14">
        <f>INT(SUMPRODUCT($AB263:$AF263,$BF263:$BJ263)/SUM($BF263:$BJ263)/10000*$BX$7*$BZ$46/'疲劳值&amp;地图信息'!$R$10*$BY$55)</f>
        <v>1143</v>
      </c>
      <c r="GN263" s="50">
        <f t="shared" ref="GN263:GN326" si="502">GK263/SUM(GK263:GM263)</f>
        <v>0.86684539767649682</v>
      </c>
      <c r="GO263" s="50">
        <f t="shared" ref="GO263:GO326" si="503">GL263/SUM(GK263:GM263)</f>
        <v>0.10940000415653511</v>
      </c>
      <c r="GP263" s="50">
        <f t="shared" ref="GP263:GP326" si="504">GM263/SUM(GK263:GM263)</f>
        <v>2.3754598166968014E-2</v>
      </c>
      <c r="GQ263" s="51">
        <f t="shared" ref="GQ263:GQ326" si="505">INT(INDEX($L$6:$AT$365,MATCH($CF263,$K$6:$K$365,0),MATCH(GQ$4,$L$4:$AT$4,0))*$BX$47/$BP263/10000*$BX$5)</f>
        <v>50289</v>
      </c>
      <c r="GR263" s="51">
        <f t="shared" ref="GR263:GR326" si="506">INT(INDEX($L$6:$AT$365,MATCH($CF263,$K$6:$K$365,0),MATCH(GQ$4,$L$4:$AT$4,0)+1)*$BY$46/$BP263/10000*$BX$6)</f>
        <v>15565</v>
      </c>
      <c r="GS263" s="14">
        <f>INT(SUMPRODUCT($AI263:$AM263,$BF263:$BJ263)/SUM($BF263:$BJ263)/10000*$BX$7*$BZ$46/'疲劳值&amp;地图信息'!$R$10*$BY$56)</f>
        <v>1715</v>
      </c>
      <c r="GT263" s="50">
        <f t="shared" ref="GT263:GT326" si="507">GQ263/SUM(GQ263:GS263)</f>
        <v>0.7442614216578608</v>
      </c>
      <c r="GU263" s="50">
        <f t="shared" ref="GU263:GU326" si="508">GR263/SUM(GQ263:GS263)</f>
        <v>0.2303571164291317</v>
      </c>
      <c r="GV263" s="50">
        <f t="shared" ref="GV263:GV326" si="509">GS263/SUM(GQ263:GS263)</f>
        <v>2.5381461913007445E-2</v>
      </c>
      <c r="GW263" s="51">
        <f t="shared" ref="GW263:GW326" si="510">INT(INDEX($L$6:$AT$365,MATCH($CF263,$K$6:$K$365,0),MATCH(GW$4,$L$4:$AT$4,0))*$BX$47/$BP263/10000*$BX$5)</f>
        <v>52652</v>
      </c>
      <c r="GX263" s="51">
        <f t="shared" ref="GX263:GX326" si="511">INT(INDEX($L$6:$AT$365,MATCH($CF263,$K$6:$K$365,0),MATCH(GW$4,$L$4:$AT$4,0)+1)*$BY$46/$BP263/10000*$BX$6)</f>
        <v>26324</v>
      </c>
      <c r="GY263" s="14">
        <f>INT(SUMPRODUCT($AP263:$AT263,$BF263:$BJ263)/SUM($BF263:$BJ263)/10000*$BX$7*$BZ$46/'疲劳值&amp;地图信息'!$R$10*$BY$57)</f>
        <v>2286</v>
      </c>
      <c r="GZ263" s="50">
        <f t="shared" ref="GZ263:GZ326" si="512">GW263/SUM(GW263:GY263)</f>
        <v>0.64792892126701285</v>
      </c>
      <c r="HA263" s="50">
        <f t="shared" ref="HA263:HA326" si="513">GX263/SUM(GW263:GY263)</f>
        <v>0.32393984888385713</v>
      </c>
      <c r="HB263" s="50">
        <f t="shared" ref="HB263:HB326" si="514">GY263/SUM(GW263:GY263)</f>
        <v>2.8131229849129975E-2</v>
      </c>
      <c r="HD263" s="14">
        <f t="shared" ref="HD263:HD326" si="515">SUM(FY263:GA263)</f>
        <v>37271</v>
      </c>
      <c r="HE263" s="14">
        <f t="shared" ref="HE263:HE326" si="516">SUM(GE263:GG263)</f>
        <v>41953</v>
      </c>
      <c r="HF263" s="14">
        <f t="shared" ref="HF263:HF326" si="517">SUM(GK263:GM263)</f>
        <v>48117</v>
      </c>
      <c r="HG263" s="14">
        <f t="shared" ref="HG263:HG326" si="518">SUM(GQ263:GS263)</f>
        <v>67569</v>
      </c>
      <c r="HH263" s="14">
        <f t="shared" ref="HH263:HH326" si="519">SUM(GW263:GY263)</f>
        <v>81262</v>
      </c>
      <c r="HI263" s="14">
        <f t="shared" ref="HI263:HI326" si="520">INT(SUMPRODUCT(HD263:HH263,$AV263:$AZ263))</f>
        <v>4334194</v>
      </c>
      <c r="HL263" s="14">
        <f t="shared" ref="HL263:HL326" si="521">SUM($BX$11:$BX$27)+SUM($BY$11:$BY$27)*(60-($BX$46+$BY$46)/60/2)</f>
        <v>430050</v>
      </c>
      <c r="HM263" s="50">
        <f t="shared" si="429"/>
        <v>9.0266157652714674E-2</v>
      </c>
      <c r="HO263" s="14">
        <f t="shared" ref="HO263:HO326" si="522">HI263+HL263</f>
        <v>4764244</v>
      </c>
    </row>
    <row r="264" spans="11:223" x14ac:dyDescent="0.2">
      <c r="K264" s="14">
        <v>259</v>
      </c>
      <c r="L264" s="12">
        <f>求节点(节奏总纲!D$4:D$163,标准城池设计!AB$4:AB$163,$K264)*求节点(节奏总纲!D$4:D$163,攻城基础信息!$AC$5:$AC$164,$K264)</f>
        <v>736942.4463943775</v>
      </c>
      <c r="M264" s="12">
        <f>INDEX(其他调用!$AA$5:$AA$404,MATCH(K264,其他调用!$X$5:$X$404,0))*MIN(INDEX(其他调用!$AH$5:$AH$364,MATCH('征服点（新）'!K264,其他调用!$AG$5:$AG$364,0),1)/INDEX(其他调用!$AJ$5:$AJ$364,MATCH(K264,其他调用!$AG$5:$AG$364,0),0),5)*求节点(节奏总纲!D$4:D$163,攻城基础信息!$AC$5:$AC$164,$K264)</f>
        <v>54020.706706364486</v>
      </c>
      <c r="N264" s="12">
        <f>MIN(INDEX(其他调用!$AH$5:$AH$364,MATCH($K264,其他调用!$AG$5:$AG$364,0),1)/INDEX(其他调用!AH$5:AH$364,MATCH($K264,其他调用!$AG$5:$AG$364,0),0),1)*INDEX(其他调用!Y$5:Y$404,MATCH($K264,其他调用!$X$5:$X$404,0),0)</f>
        <v>41624.05630697358</v>
      </c>
      <c r="O264" s="12">
        <f>MIN(INDEX(其他调用!$AH$5:$AH$364,MATCH($K264,其他调用!$AG$5:$AG$364,0),1)/INDEX(其他调用!AI$5:AI$364,MATCH($K264,其他调用!$AG$5:$AG$364,0),0),1)*INDEX(其他调用!Z$5:Z$404,MATCH($K264,其他调用!$X$5:$X$404,0),0)</f>
        <v>25387.483580423275</v>
      </c>
      <c r="P264" s="12">
        <f>MIN(INDEX(其他调用!$AH$5:$AH$364,MATCH($K264,其他调用!$AG$5:$AG$364,0),1)/INDEX(其他调用!AJ$5:AJ$364,MATCH($K264,其他调用!$AG$5:$AG$364,0),0),1)*INDEX(其他调用!AA$5:AA$404,MATCH($K264,其他调用!$X$5:$X$404,0),0)</f>
        <v>15434.487630389864</v>
      </c>
      <c r="Q264" s="12">
        <f>MIN(INDEX(其他调用!$AH$5:$AH$364,MATCH($K264,其他调用!$AG$5:$AG$364,0),1)/INDEX(其他调用!AK$5:AK$364,MATCH($K264,其他调用!$AG$5:$AG$364,0),0),1)*INDEX(其他调用!AB$5:AB$404,MATCH($K264,其他调用!$X$5:$X$404,0),0)</f>
        <v>5493.6387443842286</v>
      </c>
      <c r="R264" s="12">
        <f>MIN(INDEX(其他调用!$AH$5:$AH$364,MATCH($K264,其他调用!$AG$5:$AG$364,0),1)/INDEX(其他调用!AL$5:AL$364,MATCH($K264,其他调用!$AG$5:$AG$364,0),0),1)*INDEX(其他调用!AC$5:AC$404,MATCH($K264,其他调用!$X$5:$X$404,0),0)</f>
        <v>3048.3453200011868</v>
      </c>
      <c r="S264" s="12">
        <f>求节点(节奏总纲!D$4:D$163,标准城池设计!AC$4:AC$163,$K264)*求节点(节奏总纲!D$4:D$163,攻城基础信息!$AD$5:$AD$164,$K264)</f>
        <v>800953.03729623323</v>
      </c>
      <c r="T264" s="12">
        <f>INDEX(其他调用!$AA$5:$AA$404,MATCH($K264,其他调用!$X$5:$X$404,0))*MIN(INDEX(其他调用!AI$5:AI$364,MATCH($K264,其他调用!$AG$5:$AG$364,0),1)/INDEX(其他调用!$AJ$5:$AJ$364,MATCH($K264,其他调用!$AG$5:$AG$364,0),0),5)*求节点(节奏总纲!D$4:D$163,攻城基础信息!$AD$5:$AD$164,$K264)</f>
        <v>91033.644716639974</v>
      </c>
      <c r="U264" s="12">
        <f>MIN(INDEX(其他调用!$AI$5:$AI$364,MATCH($K264,其他调用!$AG$5:$AG$364,0),1)/INDEX(其他调用!AH$5:AH$364,MATCH($K264,其他调用!$AG$5:$AG$364,0),0),1)*INDEX(其他调用!Y$5:Y$404,MATCH($K264,其他调用!$X$5:$X$404,0),0)</f>
        <v>41624.05630697358</v>
      </c>
      <c r="V264" s="12">
        <f>MIN(INDEX(其他调用!$AI$5:$AI$364,MATCH($K264,其他调用!$AG$5:$AG$364,0),1)/INDEX(其他调用!AI$5:AI$364,MATCH($K264,其他调用!$AG$5:$AG$364,0),0),1)*INDEX(其他调用!Z$5:Z$404,MATCH($K264,其他调用!$X$5:$X$404,0),0)</f>
        <v>42782.023809353414</v>
      </c>
      <c r="W264" s="12">
        <f>MIN(INDEX(其他调用!$AI$5:$AI$364,MATCH($K264,其他调用!$AG$5:$AG$364,0),1)/INDEX(其他调用!AJ$5:AJ$364,MATCH($K264,其他调用!$AG$5:$AG$364,0),0),1)*INDEX(其他调用!AA$5:AA$404,MATCH($K264,其他调用!$X$5:$X$404,0),0)</f>
        <v>26009.612776182865</v>
      </c>
      <c r="X264" s="12">
        <f>MIN(INDEX(其他调用!$AI$5:$AI$364,MATCH($K264,其他调用!$AG$5:$AG$364,0),1)/INDEX(其他调用!AK$5:AK$364,MATCH($K264,其他调用!$AG$5:$AG$364,0),0),1)*INDEX(其他调用!AB$5:AB$404,MATCH($K264,其他调用!$X$5:$X$404,0),0)</f>
        <v>9257.6715142995636</v>
      </c>
      <c r="Y264" s="12">
        <f>MIN(INDEX(其他调用!$AI$5:$AI$364,MATCH($K264,其他调用!$AG$5:$AG$364,0),1)/INDEX(其他调用!AL$5:AL$364,MATCH($K264,其他调用!$AG$5:$AG$364,0),0),1)*INDEX(其他调用!AC$5:AC$404,MATCH($K264,其他调用!$X$5:$X$404,0),0)</f>
        <v>5136.9558407114673</v>
      </c>
      <c r="Z264" s="12">
        <f>求节点(节奏总纲!D$4:D$163,标准城池设计!AD$4:AD$163,$K264)*求节点(节奏总纲!D$4:D$163,攻城基础信息!$AE$5:$AE$164,$K264)</f>
        <v>878569.95474560512</v>
      </c>
      <c r="AA264" s="12">
        <f>INDEX(其他调用!$AA$5:$AA$404,MATCH($K264,其他调用!$X$5:$X$404,0))*MIN(INDEX(其他调用!AJ$5:AJ$364,MATCH($K264,其他调用!$AG$5:$AG$364,0),1)/INDEX(其他调用!$AJ$5:$AJ$364,MATCH($K264,其他调用!$AG$5:$AG$364,0),0),5)*求节点(节奏总纲!D$4:D$163,攻城基础信息!$AE$5:$AE$164,$K264)</f>
        <v>155067.84797693364</v>
      </c>
      <c r="AB264" s="12">
        <f>MIN(INDEX(其他调用!$AJ$5:$AJ$364,MATCH($K264,其他调用!$AG$5:$AG$364,0),1)/INDEX(其他调用!AH$5:AH$364,MATCH($K264,其他调用!$AG$5:$AG$364,0),0),1)*INDEX(其他调用!Y$5:Y$404,MATCH($K264,其他调用!$X$5:$X$404,0),0)</f>
        <v>41624.05630697358</v>
      </c>
      <c r="AC264" s="12">
        <f>MIN(INDEX(其他调用!$AJ$5:$AJ$364,MATCH($K264,其他调用!$AG$5:$AG$364,0),1)/INDEX(其他调用!AI$5:AI$364,MATCH($K264,其他调用!$AG$5:$AG$364,0),0),1)*INDEX(其他调用!Z$5:Z$404,MATCH($K264,其他调用!$X$5:$X$404,0),0)</f>
        <v>42782.023809353414</v>
      </c>
      <c r="AD264" s="12">
        <f>MIN(INDEX(其他调用!$AJ$5:$AJ$364,MATCH($K264,其他调用!$AG$5:$AG$364,0),1)/INDEX(其他调用!AJ$5:AJ$364,MATCH($K264,其他调用!$AG$5:$AG$364,0),0),1)*INDEX(其他调用!AA$5:AA$404,MATCH($K264,其他调用!$X$5:$X$404,0),0)</f>
        <v>44305.099421981067</v>
      </c>
      <c r="AE264" s="12">
        <f>MIN(INDEX(其他调用!$AJ$5:$AJ$364,MATCH($K264,其他调用!$AG$5:$AG$364,0),1)/INDEX(其他调用!AK$5:AK$364,MATCH($K264,其他调用!$AG$5:$AG$364,0),0),1)*INDEX(其他调用!AB$5:AB$404,MATCH($K264,其他调用!$X$5:$X$404,0),0)</f>
        <v>15769.633342356856</v>
      </c>
      <c r="AF264" s="12">
        <f>MIN(INDEX(其他调用!$AJ$5:$AJ$364,MATCH($K264,其他调用!$AG$5:$AG$364,0),1)/INDEX(其他调用!AL$5:AL$364,MATCH($K264,其他调用!$AG$5:$AG$364,0),0),1)*INDEX(其他调用!AC$5:AC$404,MATCH($K264,其他调用!$X$5:$X$404,0),0)</f>
        <v>8750.3547710428156</v>
      </c>
      <c r="AG264" s="12">
        <f>求节点(节奏总纲!D$4:D$163,标准城池设计!AE$4:AE$163,$K264)*求节点(节奏总纲!D$4:D$163,攻城基础信息!$AF$5:$AF$164,$K264)</f>
        <v>1059386.2486788558</v>
      </c>
      <c r="AH264" s="12">
        <f>INDEX(其他调用!$AA$5:$AA$404,MATCH($K264,其他调用!$X$5:$X$404,0))*MIN(INDEX(其他调用!AK$5:AK$364,MATCH($K264,其他调用!$AG$5:$AG$364,0),1)/INDEX(其他调用!$AJ$5:$AJ$364,MATCH($K264,其他调用!$AG$5:$AG$364,0),0),5)*求节点(节奏总纲!D$4:D$163,攻城基础信息!$AF$5:$AF$164,$K264)</f>
        <v>457726.31320671423</v>
      </c>
      <c r="AI264" s="12">
        <f>MIN(INDEX(其他调用!$AK$5:$AK$364,MATCH($K264,其他调用!$AG$5:$AG$364,0),1)/INDEX(其他调用!AH$5:AH$364,MATCH($K264,其他调用!$AG$5:$AG$364,0),0),1)*INDEX(其他调用!Y$5:Y$404,MATCH($K264,其他调用!$X$5:$X$404,0),0)</f>
        <v>41624.05630697358</v>
      </c>
      <c r="AJ264" s="12">
        <f>MIN(INDEX(其他调用!$AK$5:$AK$364,MATCH($K264,其他调用!$AG$5:$AG$364,0),1)/INDEX(其他调用!AI$5:AI$364,MATCH($K264,其他调用!$AG$5:$AG$364,0),0),1)*INDEX(其他调用!Z$5:Z$404,MATCH($K264,其他调用!$X$5:$X$404,0),0)</f>
        <v>42782.023809353414</v>
      </c>
      <c r="AK264" s="12">
        <f>MIN(INDEX(其他调用!$AK$5:$AK$364,MATCH($K264,其他调用!$AG$5:$AG$364,0),1)/INDEX(其他调用!AJ$5:AJ$364,MATCH($K264,其他调用!$AG$5:$AG$364,0),0),1)*INDEX(其他调用!AA$5:AA$404,MATCH($K264,其他调用!$X$5:$X$404,0),0)</f>
        <v>44305.099421981067</v>
      </c>
      <c r="AL264" s="12">
        <f>MIN(INDEX(其他调用!$AK$5:$AK$364,MATCH($K264,其他调用!$AG$5:$AG$364,0),1)/INDEX(其他调用!AK$5:AK$364,MATCH($K264,其他调用!$AG$5:$AG$364,0),0),1)*INDEX(其他调用!AB$5:AB$404,MATCH($K264,其他调用!$X$5:$X$404,0),0)</f>
        <v>46548.502636680583</v>
      </c>
      <c r="AM264" s="12">
        <f>MIN(INDEX(其他调用!$AK$5:$AK$364,MATCH($K264,其他调用!$AG$5:$AG$364,0),1)/INDEX(其他调用!AL$5:AL$364,MATCH($K264,其他调用!$AG$5:$AG$364,0),0),1)*INDEX(其他调用!AC$5:AC$404,MATCH($K264,其他调用!$X$5:$X$404,0),0)</f>
        <v>25829.130157245712</v>
      </c>
      <c r="AN264" s="12">
        <f>求节点(节奏总纲!D$4:D$163,标准城池设计!AF$4:AF$163,$K264)*求节点(节奏总纲!D$4:D$163,攻城基础信息!$AG$5:$AG$164,$K264)</f>
        <v>1109171.2904935821</v>
      </c>
      <c r="AO264" s="12">
        <f>INDEX(其他调用!$AA$5:$AA$404,MATCH($K264,其他调用!$X$5:$X$404,0))*MIN(INDEX(其他调用!AL$5:AL$364,MATCH($K264,其他调用!$AG$5:$AG$364,0),1)/INDEX(其他调用!$AJ$5:$AJ$364,MATCH($K264,其他调用!$AG$5:$AG$364,0),0),5)*求节点(节奏总纲!D$4:D$163,攻城基础信息!$AG$5:$AG$164,$K264)</f>
        <v>775339.23988466826</v>
      </c>
      <c r="AP264" s="12">
        <f>MIN(INDEX(其他调用!$AL$5:$AL$364,MATCH($K264,其他调用!$AG$5:$AG$364,0),1)/INDEX(其他调用!AH$5:AH$364,MATCH($K264,其他调用!$AG$5:$AG$364,0),0),1)*INDEX(其他调用!Y$5:Y$404,MATCH($K264,其他调用!$X$5:$X$404,0),0)</f>
        <v>41624.05630697358</v>
      </c>
      <c r="AQ264" s="12">
        <f>MIN(INDEX(其他调用!$AL$5:$AL$364,MATCH($K264,其他调用!$AG$5:$AG$364,0),1)/INDEX(其他调用!AI$5:AI$364,MATCH($K264,其他调用!$AG$5:$AG$364,0),0),1)*INDEX(其他调用!Z$5:Z$404,MATCH($K264,其他调用!$X$5:$X$404,0),0)</f>
        <v>42782.023809353414</v>
      </c>
      <c r="AR264" s="12">
        <f>MIN(INDEX(其他调用!$AL$5:$AL$364,MATCH($K264,其他调用!$AG$5:$AG$364,0),1)/INDEX(其他调用!AJ$5:AJ$364,MATCH($K264,其他调用!$AG$5:$AG$364,0),0),1)*INDEX(其他调用!AA$5:AA$404,MATCH($K264,其他调用!$X$5:$X$404,0),0)</f>
        <v>44305.099421981067</v>
      </c>
      <c r="AS264" s="12">
        <f>MIN(INDEX(其他调用!$AL$5:$AL$364,MATCH($K264,其他调用!$AG$5:$AG$364,0),1)/INDEX(其他调用!AK$5:AK$364,MATCH($K264,其他调用!$AG$5:$AG$364,0),0),1)*INDEX(其他调用!AB$5:AB$404,MATCH($K264,其他调用!$X$5:$X$404,0),0)</f>
        <v>46548.502636680583</v>
      </c>
      <c r="AT264" s="12">
        <f>MIN(INDEX(其他调用!$AL$5:$AL$364,MATCH($K264,其他调用!$AG$5:$AG$364,0),1)/INDEX(其他调用!AL$5:AL$364,MATCH($K264,其他调用!$AG$5:$AG$364,0),0),1)*INDEX(其他调用!AC$5:AC$404,MATCH($K264,其他调用!$X$5:$X$404,0),0)</f>
        <v>50435.87307839335</v>
      </c>
      <c r="AV264" s="14">
        <f>IF(OR(AV$5="大R",AV$5="超R"),MAX(INDEX(其他调用!$H$5:$L$404,MATCH($K264,其他调用!$B$5:$B$404,0),MATCH(AV$5,其他调用!$H$4:$L$4,0))*120*0.85,2),INDEX(其他调用!$H$5:$L$404,MATCH($K264,其他调用!$B$5:$B$404,0),MATCH(AV$5,其他调用!$H$4:$L$4,0))*120*0.85)</f>
        <v>48.921801254999991</v>
      </c>
      <c r="AW264" s="14">
        <f>IF(OR(AW$5="大R",AW$5="超R"),MAX(INDEX(其他调用!$H$5:$L$404,MATCH($K264,其他调用!$B$5:$B$404,0),MATCH(AW$5,其他调用!$H$4:$L$4,0))*120*0.85,2),INDEX(其他调用!$H$5:$L$404,MATCH($K264,其他调用!$B$5:$B$404,0),MATCH(AW$5,其他调用!$H$4:$L$4,0))*120*0.85)</f>
        <v>48.237344010638395</v>
      </c>
      <c r="AX264" s="14">
        <f>IF(OR(AX$5="大R",AX$5="超R"),MAX(INDEX(其他调用!$H$5:$L$404,MATCH($K264,其他调用!$B$5:$B$404,0),MATCH(AX$5,其他调用!$H$4:$L$4,0))*120*0.85,2),INDEX(其他调用!$H$5:$L$404,MATCH($K264,其他调用!$B$5:$B$404,0),MATCH(AX$5,其他调用!$H$4:$L$4,0))*120*0.85)</f>
        <v>3.9376284143615998</v>
      </c>
      <c r="AY264" s="14">
        <f>IF(OR(AY$5="大R",AY$5="超R"),MAX(INDEX(其他调用!$H$5:$L$404,MATCH($K264,其他调用!$B$5:$B$404,0),MATCH(AY$5,其他调用!$H$4:$L$4,0))*120*0.85,2),INDEX(其他调用!$H$5:$L$404,MATCH($K264,其他调用!$B$5:$B$404,0),MATCH(AY$5,其他调用!$H$4:$L$4,0))*120*0.85)</f>
        <v>2</v>
      </c>
      <c r="AZ264" s="14">
        <f>IF(OR(AZ$5="大R",AZ$5="超R"),MAX(INDEX(其他调用!$H$5:$L$404,MATCH($K264,其他调用!$B$5:$B$404,0),MATCH(AZ$5,其他调用!$H$4:$L$4,0))*120*0.85,2),INDEX(其他调用!$H$5:$L$404,MATCH($K264,其他调用!$B$5:$B$404,0),MATCH(AZ$5,其他调用!$H$4:$L$4,0))*120*0.85)</f>
        <v>2</v>
      </c>
      <c r="BA264" s="14">
        <f>INDEX(其他调用!$H$5:$L$404,MATCH($K264,其他调用!$B$5:$B$404,0),MATCH(BA$5,其他调用!$H$4:$L$4,0))*INDEX(其他调用!$M$5:$M$404,MATCH($K264,其他调用!$B$5:$B$404,0))*0.6</f>
        <v>28.777530149999997</v>
      </c>
      <c r="BB264" s="14">
        <f>INDEX(其他调用!$H$5:$L$404,MATCH($K264,其他调用!$B$5:$B$404,0),MATCH(BB$5,其他调用!$H$4:$L$4,0))*INDEX(其他调用!$M$5:$M$404,MATCH($K264,其他调用!$B$5:$B$404,0))*0.6</f>
        <v>28.374908241551999</v>
      </c>
      <c r="BC264" s="14">
        <f>INDEX(其他调用!$H$5:$L$404,MATCH($K264,其他调用!$B$5:$B$404,0),MATCH(BC$5,其他调用!$H$4:$L$4,0))*INDEX(其他调用!$M$5:$M$404,MATCH($K264,其他调用!$B$5:$B$404,0))*0.6</f>
        <v>2.3162520084480001</v>
      </c>
      <c r="BD264" s="14">
        <f>INDEX(其他调用!$H$5:$L$404,MATCH($K264,其他调用!$B$5:$B$404,0),MATCH(BD$5,其他调用!$H$4:$L$4,0))*INDEX(其他调用!$M$5:$M$404,MATCH($K264,其他调用!$B$5:$B$404,0))*0.6</f>
        <v>0.4120776000000001</v>
      </c>
      <c r="BE264" s="14">
        <f>INDEX(其他调用!$H$5:$L$404,MATCH($K264,其他调用!$B$5:$B$404,0),MATCH(BE$5,其他调用!$H$4:$L$4,0))*INDEX(其他调用!$M$5:$M$404,MATCH($K264,其他调用!$B$5:$B$404,0))*0.6</f>
        <v>0.11923199999999998</v>
      </c>
      <c r="BF264" s="14">
        <f>IF(OR(BF$5="大R",BF$5="超R"),0,INDEX(其他调用!$H$5:$L$404,MATCH($K264,其他调用!$B$5:$B$404,0),MATCH(BF$5,其他调用!$H$4:$L$4,0))*50*0.4)</f>
        <v>9.5925100500000013</v>
      </c>
      <c r="BG264" s="14">
        <f>IF(OR(BG$5="大R",BG$5="超R"),0,INDEX(其他调用!$H$5:$L$404,MATCH($K264,其他调用!$B$5:$B$404,0),MATCH(BG$5,其他调用!$H$4:$L$4,0))*50*0.4)</f>
        <v>9.4583027471839998</v>
      </c>
      <c r="BH264" s="14">
        <f>IF(OR(BH$5="大R",BH$5="超R"),0,INDEX(其他调用!$H$5:$L$404,MATCH($K264,其他调用!$B$5:$B$404,0),MATCH(BH$5,其他调用!$H$4:$L$4,0))*50*0.4)</f>
        <v>0.77208400281600009</v>
      </c>
      <c r="BI264" s="14">
        <f>IF(OR(BI$5="大R",BI$5="超R"),0,INDEX(其他调用!$H$5:$L$404,MATCH($K264,其他调用!$B$5:$B$404,0),MATCH(BI$5,其他调用!$H$4:$L$4,0))*50*0.4)</f>
        <v>0</v>
      </c>
      <c r="BJ264" s="14">
        <f>IF(OR(BJ$5="大R",BJ$5="超R"),0,INDEX(其他调用!$H$5:$L$404,MATCH($K264,其他调用!$B$5:$B$404,0),MATCH(BJ$5,其他调用!$H$4:$L$4,0))*50*0.4)</f>
        <v>0</v>
      </c>
      <c r="BL264" s="14">
        <f t="shared" ref="BL264:BL327" si="523">BL263+1</f>
        <v>259</v>
      </c>
      <c r="BM264" s="14">
        <f t="shared" si="430"/>
        <v>96</v>
      </c>
      <c r="BN264" s="14">
        <f>('疲劳值&amp;地图信息'!$S$10*'疲劳值&amp;地图信息'!$R$10+'疲劳值&amp;地图信息'!$S$11*'疲劳值&amp;地图信息'!$R$11+'疲劳值&amp;地图信息'!$S$12*'疲劳值&amp;地图信息'!$R$12+(BM264-'疲劳值&amp;地图信息'!$S$12-'疲劳值&amp;地图信息'!$S$11-'疲劳值&amp;地图信息'!$S$10)*'疲劳值&amp;地图信息'!$R$13)/BM264</f>
        <v>51.371477246638619</v>
      </c>
      <c r="BO264" s="14">
        <f>INDEX(其他调用!$M$5:$M$404,MATCH(BL264,其他调用!$B$5:$B$404,0))*0.6</f>
        <v>60</v>
      </c>
      <c r="BP264" s="14">
        <f>IF(BO264&gt;SUM('疲劳值&amp;地图信息'!$S$10:$S$12),('疲劳值&amp;地图信息'!$S$10*'疲劳值&amp;地图信息'!$R$10+'疲劳值&amp;地图信息'!$S$11*'疲劳值&amp;地图信息'!$R$11+'疲劳值&amp;地图信息'!$S$12*'疲劳值&amp;地图信息'!$R$12+(BO264-'疲劳值&amp;地图信息'!$S$12-'疲劳值&amp;地图信息'!$S$11-'疲劳值&amp;地图信息'!$S$10)*'疲劳值&amp;地图信息'!$R$13)/BO264,('疲劳值&amp;地图信息'!$S$10*'疲劳值&amp;地图信息'!$R$10+'疲劳值&amp;地图信息'!$S$11*'疲劳值&amp;地图信息'!$R$11+'疲劳值&amp;地图信息'!$S$12*'疲劳值&amp;地图信息'!$R$12+(BO264-'疲劳值&amp;地图信息'!$S$12-'疲劳值&amp;地图信息'!$S$11-'疲劳值&amp;地图信息'!$S$10)*'疲劳值&amp;地图信息'!$R$13)/BO264)</f>
        <v>44.158136341605953</v>
      </c>
      <c r="BQ264" s="14">
        <f t="shared" ref="BQ264:BQ327" si="524">50*0.4</f>
        <v>20</v>
      </c>
      <c r="BR264" s="14">
        <f>('疲劳值&amp;地图信息'!$S$10*'疲劳值&amp;地图信息'!$R$10+($BQ264-'疲劳值&amp;地图信息'!$S$10)*'疲劳值&amp;地图信息'!$R$11)/$BQ264</f>
        <v>32.067203015074995</v>
      </c>
      <c r="CF264" s="14">
        <v>259</v>
      </c>
      <c r="CG264" s="51">
        <f t="shared" si="431"/>
        <v>15019</v>
      </c>
      <c r="CH264" s="51">
        <f t="shared" si="432"/>
        <v>1101</v>
      </c>
      <c r="CI264" s="51">
        <f>INT(SUMPRODUCT($N264:$R264,$BA264:$BE264)/SUM($BA264:$BE264)/10000*$BX$7*$BZ$34/'疲劳值&amp;地图信息'!$R$10*$BY$53)</f>
        <v>3308</v>
      </c>
      <c r="CJ264" s="50">
        <f t="shared" si="433"/>
        <v>0.77305950175005145</v>
      </c>
      <c r="CK264" s="50">
        <f t="shared" si="434"/>
        <v>5.6670784434836322E-2</v>
      </c>
      <c r="CL264" s="50">
        <f t="shared" si="435"/>
        <v>0.17026971381511222</v>
      </c>
      <c r="CM264" s="14">
        <f t="shared" si="436"/>
        <v>16324</v>
      </c>
      <c r="CN264" s="14">
        <f t="shared" si="437"/>
        <v>1855</v>
      </c>
      <c r="CO264" s="14">
        <f>INT(SUMPRODUCT($U264:$Y264,$BA264:$BE264)/SUM($BA264:$BE264)/10000*$BX$7*$BZ$34/'疲劳值&amp;地图信息'!$R$10*$BY$54)</f>
        <v>6281</v>
      </c>
      <c r="CP264" s="50">
        <f t="shared" si="438"/>
        <v>0.66737530662305811</v>
      </c>
      <c r="CQ264" s="50">
        <f t="shared" si="439"/>
        <v>7.5838103025347506E-2</v>
      </c>
      <c r="CR264" s="50">
        <f t="shared" si="440"/>
        <v>0.25678659035159446</v>
      </c>
      <c r="CS264" s="14">
        <f t="shared" si="441"/>
        <v>17906</v>
      </c>
      <c r="CT264" s="14">
        <f t="shared" si="442"/>
        <v>3160</v>
      </c>
      <c r="CU264" s="14">
        <f>INT(SUMPRODUCT($AB264:$AF264,$BA264:$BE264)/SUM($BA264:$BE264)/10000*$BX$7*$BZ$34/'疲劳值&amp;地图信息'!$R$10*$BY$55)</f>
        <v>8529</v>
      </c>
      <c r="CV264" s="50">
        <f t="shared" si="443"/>
        <v>0.60503463422875481</v>
      </c>
      <c r="CW264" s="50">
        <f t="shared" si="444"/>
        <v>0.10677479303936475</v>
      </c>
      <c r="CX264" s="50">
        <f t="shared" si="445"/>
        <v>0.28819057273188037</v>
      </c>
      <c r="CY264" s="14">
        <f t="shared" si="446"/>
        <v>21591</v>
      </c>
      <c r="CZ264" s="14">
        <f t="shared" si="447"/>
        <v>9329</v>
      </c>
      <c r="DA264" s="14">
        <f>INT(SUMPRODUCT($AI264:$AM264,$BA264:$BE264)/SUM($BA264:$BE264)/10000*$BX$7*$BZ$34/'疲劳值&amp;地图信息'!$R$10*$BY$56)</f>
        <v>12869</v>
      </c>
      <c r="DB264" s="50">
        <f t="shared" si="448"/>
        <v>0.49306903560254861</v>
      </c>
      <c r="DC264" s="50">
        <f t="shared" si="449"/>
        <v>0.21304437187421499</v>
      </c>
      <c r="DD264" s="50">
        <f t="shared" si="450"/>
        <v>0.29388659252323646</v>
      </c>
      <c r="DE264" s="14">
        <f t="shared" si="451"/>
        <v>22606</v>
      </c>
      <c r="DF264" s="14">
        <f t="shared" si="452"/>
        <v>15802</v>
      </c>
      <c r="DG264" s="14">
        <f>INT(SUMPRODUCT($AP264:$AT264,$BA264:$BE264)/SUM($BA264:$BE264)/10000*$BX$7*$BZ$34/'疲劳值&amp;地图信息'!$R$10*$BY$57)</f>
        <v>17179</v>
      </c>
      <c r="DH264" s="50">
        <f t="shared" si="453"/>
        <v>0.40667782035367983</v>
      </c>
      <c r="DI264" s="50">
        <f t="shared" si="454"/>
        <v>0.28427510029323405</v>
      </c>
      <c r="DJ264" s="50">
        <f t="shared" si="455"/>
        <v>0.30904707935308617</v>
      </c>
      <c r="DL264" s="14">
        <f t="shared" si="421"/>
        <v>19428</v>
      </c>
      <c r="DM264" s="14">
        <f t="shared" si="422"/>
        <v>24460</v>
      </c>
      <c r="DN264" s="14">
        <f t="shared" si="423"/>
        <v>29595</v>
      </c>
      <c r="DO264" s="14">
        <f t="shared" si="424"/>
        <v>43789</v>
      </c>
      <c r="DP264" s="14">
        <f t="shared" si="425"/>
        <v>55587</v>
      </c>
      <c r="DQ264" s="14">
        <f t="shared" si="426"/>
        <v>1346361</v>
      </c>
      <c r="DT264" s="14">
        <f t="shared" si="420"/>
        <v>235575</v>
      </c>
      <c r="DU264" s="50">
        <f t="shared" si="427"/>
        <v>0.14891563249082138</v>
      </c>
      <c r="DW264" s="14">
        <f t="shared" si="456"/>
        <v>1581936</v>
      </c>
      <c r="EB264" s="14">
        <v>259</v>
      </c>
      <c r="EC264" s="51">
        <f t="shared" si="457"/>
        <v>25033</v>
      </c>
      <c r="ED264" s="51">
        <f t="shared" si="458"/>
        <v>1835</v>
      </c>
      <c r="EE264" s="51">
        <f>INT(SUMPRODUCT($N264:$R264,$BF264:$BJ264)/SUM($BF264:$BJ264)/10000*$BX$7*$BZ$46/'疲劳值&amp;地图信息'!$R$10*$BY$53)</f>
        <v>444</v>
      </c>
      <c r="EF264" s="50">
        <f t="shared" si="459"/>
        <v>0.91655682483889866</v>
      </c>
      <c r="EG264" s="50">
        <f t="shared" si="460"/>
        <v>6.718658465143526E-2</v>
      </c>
      <c r="EH264" s="50">
        <f t="shared" si="461"/>
        <v>1.6256590509666081E-2</v>
      </c>
      <c r="EI264" s="51">
        <f t="shared" si="462"/>
        <v>27207</v>
      </c>
      <c r="EJ264" s="51">
        <f t="shared" si="463"/>
        <v>3092</v>
      </c>
      <c r="EK264" s="14">
        <f>INT(SUMPRODUCT($U264:$Y264,$BF264:$BJ264)/SUM($BF264:$BJ264)/10000*$BX$7*$BZ$46/'疲劳值&amp;地图信息'!$R$10*$BY$54)</f>
        <v>843</v>
      </c>
      <c r="EL264" s="50">
        <f t="shared" si="464"/>
        <v>0.8736433112837968</v>
      </c>
      <c r="EM264" s="50">
        <f t="shared" si="465"/>
        <v>9.9287136343202104E-2</v>
      </c>
      <c r="EN264" s="50">
        <f t="shared" si="466"/>
        <v>2.7069552373001092E-2</v>
      </c>
      <c r="EO264" s="51">
        <f t="shared" si="467"/>
        <v>29843</v>
      </c>
      <c r="EP264" s="51">
        <f t="shared" si="468"/>
        <v>5267</v>
      </c>
      <c r="EQ264" s="14">
        <f>INT(SUMPRODUCT($AB264:$AF264,$BF264:$BJ264)/SUM($BF264:$BJ264)/10000*$BX$7*$BZ$46/'疲劳值&amp;地图信息'!$R$10*$BY$55)</f>
        <v>1144</v>
      </c>
      <c r="ER264" s="50">
        <f t="shared" si="469"/>
        <v>0.82316434048656695</v>
      </c>
      <c r="ES264" s="50">
        <f t="shared" si="470"/>
        <v>0.14528052077012191</v>
      </c>
      <c r="ET264" s="50">
        <f t="shared" si="471"/>
        <v>3.1555138743311083E-2</v>
      </c>
      <c r="EU264" s="51">
        <f t="shared" si="472"/>
        <v>35986</v>
      </c>
      <c r="EV264" s="51">
        <f t="shared" si="473"/>
        <v>15548</v>
      </c>
      <c r="EW264" s="14">
        <f>INT(SUMPRODUCT($AI264:$AM264,$BF264:$BJ264)/SUM($BF264:$BJ264)/10000*$BX$7*$BZ$46/'疲劳值&amp;地图信息'!$R$10*$BY$56)</f>
        <v>1716</v>
      </c>
      <c r="EX264" s="50">
        <f t="shared" si="474"/>
        <v>0.67579342723004698</v>
      </c>
      <c r="EY264" s="50">
        <f t="shared" si="475"/>
        <v>0.291981220657277</v>
      </c>
      <c r="EZ264" s="50">
        <f t="shared" si="476"/>
        <v>3.2225352112676055E-2</v>
      </c>
      <c r="FA264" s="51">
        <f t="shared" si="477"/>
        <v>37677</v>
      </c>
      <c r="FB264" s="51">
        <f t="shared" si="478"/>
        <v>26337</v>
      </c>
      <c r="FC264" s="14">
        <f>INT(SUMPRODUCT($AP264:$AT264,$BF264:$BJ264)/SUM($BF264:$BJ264)/10000*$BX$7*$BZ$46/'疲劳值&amp;地图信息'!$R$10*$BY$57)</f>
        <v>2288</v>
      </c>
      <c r="FD264" s="50">
        <f t="shared" si="479"/>
        <v>0.56826340080238902</v>
      </c>
      <c r="FE264" s="50">
        <f t="shared" si="480"/>
        <v>0.39722783626436609</v>
      </c>
      <c r="FF264" s="50">
        <f t="shared" si="481"/>
        <v>3.4508762933244848E-2</v>
      </c>
      <c r="FH264" s="14">
        <f t="shared" si="482"/>
        <v>27312</v>
      </c>
      <c r="FI264" s="14">
        <f t="shared" si="483"/>
        <v>31142</v>
      </c>
      <c r="FJ264" s="14">
        <f t="shared" si="484"/>
        <v>36254</v>
      </c>
      <c r="FK264" s="14">
        <f t="shared" si="485"/>
        <v>53250</v>
      </c>
      <c r="FL264" s="14">
        <f t="shared" si="486"/>
        <v>66302</v>
      </c>
      <c r="FM264" s="14">
        <f t="shared" si="487"/>
        <v>3220218</v>
      </c>
      <c r="FP264" s="14">
        <f t="shared" si="488"/>
        <v>334150</v>
      </c>
      <c r="FQ264" s="50">
        <f t="shared" si="428"/>
        <v>9.4011087203125843E-2</v>
      </c>
      <c r="FS264" s="14">
        <f t="shared" si="489"/>
        <v>3554368</v>
      </c>
      <c r="FX264" s="14">
        <v>259</v>
      </c>
      <c r="FY264" s="51">
        <f t="shared" si="490"/>
        <v>35046</v>
      </c>
      <c r="FZ264" s="51">
        <f t="shared" si="491"/>
        <v>1835</v>
      </c>
      <c r="GA264" s="51">
        <f>INT(SUMPRODUCT($N264:$R264,$BF264:$BJ264)/SUM($BF264:$BJ264)/10000*$BX$7*$BZ$46/'疲劳值&amp;地图信息'!$R$10*$BY$53)</f>
        <v>444</v>
      </c>
      <c r="GB264" s="50">
        <f t="shared" si="492"/>
        <v>0.9389417280643001</v>
      </c>
      <c r="GC264" s="50">
        <f t="shared" si="493"/>
        <v>4.916275954454119E-2</v>
      </c>
      <c r="GD264" s="50">
        <f t="shared" si="494"/>
        <v>1.1895512391158741E-2</v>
      </c>
      <c r="GE264" s="51">
        <f t="shared" si="495"/>
        <v>38090</v>
      </c>
      <c r="GF264" s="51">
        <f t="shared" si="496"/>
        <v>3092</v>
      </c>
      <c r="GG264" s="14">
        <f>INT(SUMPRODUCT($U264:$Y264,$BF264:$BJ264)/SUM($BF264:$BJ264)/10000*$BX$7*$BZ$46/'疲劳值&amp;地图信息'!$R$10*$BY$54)</f>
        <v>843</v>
      </c>
      <c r="GH264" s="50">
        <f t="shared" si="497"/>
        <v>0.906365258774539</v>
      </c>
      <c r="GI264" s="50">
        <f t="shared" si="498"/>
        <v>7.3575252825698989E-2</v>
      </c>
      <c r="GJ264" s="50">
        <f t="shared" si="499"/>
        <v>2.0059488399762047E-2</v>
      </c>
      <c r="GK264" s="51">
        <f t="shared" si="500"/>
        <v>41781</v>
      </c>
      <c r="GL264" s="51">
        <f t="shared" si="501"/>
        <v>5267</v>
      </c>
      <c r="GM264" s="14">
        <f>INT(SUMPRODUCT($AB264:$AF264,$BF264:$BJ264)/SUM($BF264:$BJ264)/10000*$BX$7*$BZ$46/'疲劳值&amp;地图信息'!$R$10*$BY$55)</f>
        <v>1144</v>
      </c>
      <c r="GN264" s="50">
        <f t="shared" si="502"/>
        <v>0.86696962151394419</v>
      </c>
      <c r="GO264" s="50">
        <f t="shared" si="503"/>
        <v>0.10929199867197875</v>
      </c>
      <c r="GP264" s="50">
        <f t="shared" si="504"/>
        <v>2.3738379814077025E-2</v>
      </c>
      <c r="GQ264" s="51">
        <f t="shared" si="505"/>
        <v>50380</v>
      </c>
      <c r="GR264" s="51">
        <f t="shared" si="506"/>
        <v>15548</v>
      </c>
      <c r="GS264" s="14">
        <f>INT(SUMPRODUCT($AI264:$AM264,$BF264:$BJ264)/SUM($BF264:$BJ264)/10000*$BX$7*$BZ$46/'疲劳值&amp;地图信息'!$R$10*$BY$56)</f>
        <v>1716</v>
      </c>
      <c r="GT264" s="50">
        <f t="shared" si="507"/>
        <v>0.74478150316362135</v>
      </c>
      <c r="GU264" s="50">
        <f t="shared" si="508"/>
        <v>0.22985039323517237</v>
      </c>
      <c r="GV264" s="50">
        <f t="shared" si="509"/>
        <v>2.5368103601206317E-2</v>
      </c>
      <c r="GW264" s="51">
        <f t="shared" si="510"/>
        <v>52748</v>
      </c>
      <c r="GX264" s="51">
        <f t="shared" si="511"/>
        <v>26337</v>
      </c>
      <c r="GY264" s="14">
        <f>INT(SUMPRODUCT($AP264:$AT264,$BF264:$BJ264)/SUM($BF264:$BJ264)/10000*$BX$7*$BZ$46/'疲劳值&amp;地图信息'!$R$10*$BY$57)</f>
        <v>2288</v>
      </c>
      <c r="GZ264" s="50">
        <f t="shared" si="512"/>
        <v>0.64822484116353085</v>
      </c>
      <c r="HA264" s="50">
        <f t="shared" si="513"/>
        <v>0.32365772430658818</v>
      </c>
      <c r="HB264" s="50">
        <f t="shared" si="514"/>
        <v>2.8117434529880917E-2</v>
      </c>
      <c r="HD264" s="14">
        <f t="shared" si="515"/>
        <v>37325</v>
      </c>
      <c r="HE264" s="14">
        <f t="shared" si="516"/>
        <v>42025</v>
      </c>
      <c r="HF264" s="14">
        <f t="shared" si="517"/>
        <v>48192</v>
      </c>
      <c r="HG264" s="14">
        <f t="shared" si="518"/>
        <v>67644</v>
      </c>
      <c r="HH264" s="14">
        <f t="shared" si="519"/>
        <v>81373</v>
      </c>
      <c r="HI264" s="14">
        <f t="shared" si="520"/>
        <v>4340976</v>
      </c>
      <c r="HL264" s="14">
        <f t="shared" si="521"/>
        <v>430050</v>
      </c>
      <c r="HM264" s="50">
        <f t="shared" si="429"/>
        <v>9.013784456425096E-2</v>
      </c>
      <c r="HO264" s="14">
        <f t="shared" si="522"/>
        <v>4771026</v>
      </c>
    </row>
    <row r="265" spans="11:223" x14ac:dyDescent="0.2">
      <c r="K265" s="14">
        <v>260</v>
      </c>
      <c r="L265" s="12">
        <f>求节点(节奏总纲!D$4:D$163,标准城池设计!AB$4:AB$163,$K265)*求节点(节奏总纲!D$4:D$163,攻城基础信息!$AC$5:$AC$164,$K265)</f>
        <v>738081.13202616549</v>
      </c>
      <c r="M265" s="12">
        <f>INDEX(其他调用!$AA$5:$AA$404,MATCH(K265,其他调用!$X$5:$X$404,0))*MIN(INDEX(其他调用!$AH$5:$AH$364,MATCH('征服点（新）'!K265,其他调用!$AG$5:$AG$364,0),1)/INDEX(其他调用!$AJ$5:$AJ$364,MATCH(K265,其他调用!$AG$5:$AG$364,0),0),5)*求节点(节奏总纲!D$4:D$163,攻城基础信息!$AC$5:$AC$164,$K265)</f>
        <v>53998.242429960141</v>
      </c>
      <c r="N265" s="12">
        <f>MIN(INDEX(其他调用!$AH$5:$AH$364,MATCH($K265,其他调用!$AG$5:$AG$364,0),1)/INDEX(其他调用!AH$5:AH$364,MATCH($K265,其他调用!$AG$5:$AG$364,0),0),1)*INDEX(其他调用!Y$5:Y$404,MATCH($K265,其他调用!$X$5:$X$404,0),0)</f>
        <v>41646.100540149477</v>
      </c>
      <c r="O265" s="12">
        <f>MIN(INDEX(其他调用!$AH$5:$AH$364,MATCH($K265,其他调用!$AG$5:$AG$364,0),1)/INDEX(其他调用!AI$5:AI$364,MATCH($K265,其他调用!$AG$5:$AG$364,0),0),1)*INDEX(其他调用!Z$5:Z$404,MATCH($K265,其他调用!$X$5:$X$404,0),0)</f>
        <v>25385.291210143281</v>
      </c>
      <c r="P265" s="12">
        <f>MIN(INDEX(其他调用!$AH$5:$AH$364,MATCH($K265,其他调用!$AG$5:$AG$364,0),1)/INDEX(其他调用!AJ$5:AJ$364,MATCH($K265,其他调用!$AG$5:$AG$364,0),0),1)*INDEX(其他调用!AA$5:AA$404,MATCH($K265,其他调用!$X$5:$X$404,0),0)</f>
        <v>15428.069265702907</v>
      </c>
      <c r="Q265" s="12">
        <f>MIN(INDEX(其他调用!$AH$5:$AH$364,MATCH($K265,其他调用!$AG$5:$AG$364,0),1)/INDEX(其他调用!AK$5:AK$364,MATCH($K265,其他调用!$AG$5:$AG$364,0),0),1)*INDEX(其他调用!AB$5:AB$404,MATCH($K265,其他调用!$X$5:$X$404,0),0)</f>
        <v>5499.8454902196463</v>
      </c>
      <c r="R265" s="12">
        <f>MIN(INDEX(其他调用!$AH$5:$AH$364,MATCH($K265,其他调用!$AG$5:$AG$364,0),1)/INDEX(其他调用!AL$5:AL$364,MATCH($K265,其他调用!$AG$5:$AG$364,0),0),1)*INDEX(其他调用!AC$5:AC$404,MATCH($K265,其他调用!$X$5:$X$404,0),0)</f>
        <v>3055.6175191967413</v>
      </c>
      <c r="S265" s="12">
        <f>求节点(节奏总纲!D$4:D$163,标准城池设计!AC$4:AC$163,$K265)*求节点(节奏总纲!D$4:D$163,攻城基础信息!$AD$5:$AD$164,$K265)</f>
        <v>802444.89340819558</v>
      </c>
      <c r="T265" s="12">
        <f>INDEX(其他调用!$AA$5:$AA$404,MATCH($K265,其他调用!$X$5:$X$404,0))*MIN(INDEX(其他调用!AI$5:AI$364,MATCH($K265,其他调用!$AG$5:$AG$364,0),1)/INDEX(其他调用!$AJ$5:$AJ$364,MATCH($K265,其他调用!$AG$5:$AG$364,0),0),5)*求节点(节奏总纲!D$4:D$163,攻城基础信息!$AD$5:$AD$164,$K265)</f>
        <v>91050.257916129616</v>
      </c>
      <c r="U265" s="12">
        <f>MIN(INDEX(其他调用!$AI$5:$AI$364,MATCH($K265,其他调用!$AG$5:$AG$364,0),1)/INDEX(其他调用!AH$5:AH$364,MATCH($K265,其他调用!$AG$5:$AG$364,0),0),1)*INDEX(其他调用!Y$5:Y$404,MATCH($K265,其他调用!$X$5:$X$404,0),0)</f>
        <v>41646.100540149477</v>
      </c>
      <c r="V265" s="12">
        <f>MIN(INDEX(其他调用!$AI$5:$AI$364,MATCH($K265,其他调用!$AG$5:$AG$364,0),1)/INDEX(其他调用!AI$5:AI$364,MATCH($K265,其他调用!$AG$5:$AG$364,0),0),1)*INDEX(其他调用!Z$5:Z$404,MATCH($K265,其他调用!$X$5:$X$404,0),0)</f>
        <v>42803.935979167953</v>
      </c>
      <c r="W265" s="12">
        <f>MIN(INDEX(其他调用!$AI$5:$AI$364,MATCH($K265,其他调用!$AG$5:$AG$364,0),1)/INDEX(其他调用!AJ$5:AJ$364,MATCH($K265,其他调用!$AG$5:$AG$364,0),0),1)*INDEX(其他调用!AA$5:AA$404,MATCH($K265,其他调用!$X$5:$X$404,0),0)</f>
        <v>26014.35940460848</v>
      </c>
      <c r="X265" s="12">
        <f>MIN(INDEX(其他调用!$AI$5:$AI$364,MATCH($K265,其他调用!$AG$5:$AG$364,0),1)/INDEX(其他调用!AK$5:AK$364,MATCH($K265,其他调用!$AG$5:$AG$364,0),0),1)*INDEX(其他调用!AB$5:AB$404,MATCH($K265,其他调用!$X$5:$X$404,0),0)</f>
        <v>9273.6786948739737</v>
      </c>
      <c r="Y265" s="12">
        <f>MIN(INDEX(其他调用!$AI$5:$AI$364,MATCH($K265,其他调用!$AG$5:$AG$364,0),1)/INDEX(其他调用!AL$5:AL$364,MATCH($K265,其他调用!$AG$5:$AG$364,0),0),1)*INDEX(其他调用!AC$5:AC$404,MATCH($K265,其他调用!$X$5:$X$404,0),0)</f>
        <v>5152.2929394743414</v>
      </c>
      <c r="Z265" s="12">
        <f>求节点(节奏总纲!D$4:D$163,标准城池设计!AD$4:AD$163,$K265)*求节点(节奏总纲!D$4:D$163,攻城基础信息!$AE$5:$AE$164,$K265)</f>
        <v>880073.94990081503</v>
      </c>
      <c r="AA265" s="12">
        <f>INDEX(其他调用!$AA$5:$AA$404,MATCH($K265,其他调用!$X$5:$X$404,0))*MIN(INDEX(其他调用!AJ$5:AJ$364,MATCH($K265,其他调用!$AG$5:$AG$364,0),1)/INDEX(其他调用!$AJ$5:$AJ$364,MATCH($K265,其他调用!$AG$5:$AG$364,0),0),5)*求节点(节奏总纲!D$4:D$163,攻城基础信息!$AE$5:$AE$164,$K265)</f>
        <v>155144.86387212071</v>
      </c>
      <c r="AB265" s="12">
        <f>MIN(INDEX(其他调用!$AJ$5:$AJ$364,MATCH($K265,其他调用!$AG$5:$AG$364,0),1)/INDEX(其他调用!AH$5:AH$364,MATCH($K265,其他调用!$AG$5:$AG$364,0),0),1)*INDEX(其他调用!Y$5:Y$404,MATCH($K265,其他调用!$X$5:$X$404,0),0)</f>
        <v>41646.100540149477</v>
      </c>
      <c r="AC265" s="12">
        <f>MIN(INDEX(其他调用!$AJ$5:$AJ$364,MATCH($K265,其他调用!$AG$5:$AG$364,0),1)/INDEX(其他调用!AI$5:AI$364,MATCH($K265,其他调用!$AG$5:$AG$364,0),0),1)*INDEX(其他调用!Z$5:Z$404,MATCH($K265,其他调用!$X$5:$X$404,0),0)</f>
        <v>42803.935979167953</v>
      </c>
      <c r="AD265" s="12">
        <f>MIN(INDEX(其他调用!$AJ$5:$AJ$364,MATCH($K265,其他调用!$AG$5:$AG$364,0),1)/INDEX(其他调用!AJ$5:AJ$364,MATCH($K265,其他调用!$AG$5:$AG$364,0),0),1)*INDEX(其他调用!AA$5:AA$404,MATCH($K265,其他调用!$X$5:$X$404,0),0)</f>
        <v>44327.103963463087</v>
      </c>
      <c r="AE265" s="12">
        <f>MIN(INDEX(其他调用!$AJ$5:$AJ$364,MATCH($K265,其他调用!$AG$5:$AG$364,0),1)/INDEX(其他调用!AK$5:AK$364,MATCH($K265,其他调用!$AG$5:$AG$364,0),0),1)*INDEX(其他调用!AB$5:AB$404,MATCH($K265,其他调用!$X$5:$X$404,0),0)</f>
        <v>15801.862088466754</v>
      </c>
      <c r="AF265" s="12">
        <f>MIN(INDEX(其他调用!$AJ$5:$AJ$364,MATCH($K265,其他调用!$AG$5:$AG$364,0),1)/INDEX(其他调用!AL$5:AL$364,MATCH($K265,其他调用!$AG$5:$AG$364,0),0),1)*INDEX(其他调用!AC$5:AC$404,MATCH($K265,其他调用!$X$5:$X$404,0),0)</f>
        <v>8779.2369293489901</v>
      </c>
      <c r="AG265" s="12">
        <f>求节点(节奏总纲!D$4:D$163,标准城池设计!AE$4:AE$163,$K265)*求节点(节奏总纲!D$4:D$163,攻城基础信息!$AF$5:$AF$164,$K265)</f>
        <v>1061297.3956923571</v>
      </c>
      <c r="AH265" s="12">
        <f>INDEX(其他调用!$AA$5:$AA$404,MATCH($K265,其他调用!$X$5:$X$404,0))*MIN(INDEX(其他调用!AK$5:AK$364,MATCH($K265,其他调用!$AG$5:$AG$364,0),1)/INDEX(其他调用!$AJ$5:$AJ$364,MATCH($K265,其他调用!$AG$5:$AG$364,0),0),5)*求节点(节奏总纲!D$4:D$163,攻城基础信息!$AF$5:$AF$164,$K265)</f>
        <v>457243.71539324312</v>
      </c>
      <c r="AI265" s="12">
        <f>MIN(INDEX(其他调用!$AK$5:$AK$364,MATCH($K265,其他调用!$AG$5:$AG$364,0),1)/INDEX(其他调用!AH$5:AH$364,MATCH($K265,其他调用!$AG$5:$AG$364,0),0),1)*INDEX(其他调用!Y$5:Y$404,MATCH($K265,其他调用!$X$5:$X$404,0),0)</f>
        <v>41646.100540149477</v>
      </c>
      <c r="AJ265" s="12">
        <f>MIN(INDEX(其他调用!$AK$5:$AK$364,MATCH($K265,其他调用!$AG$5:$AG$364,0),1)/INDEX(其他调用!AI$5:AI$364,MATCH($K265,其他调用!$AG$5:$AG$364,0),0),1)*INDEX(其他调用!Z$5:Z$404,MATCH($K265,其他调用!$X$5:$X$404,0),0)</f>
        <v>42803.935979167953</v>
      </c>
      <c r="AK265" s="12">
        <f>MIN(INDEX(其他调用!$AK$5:$AK$364,MATCH($K265,其他调用!$AG$5:$AG$364,0),1)/INDEX(其他调用!AJ$5:AJ$364,MATCH($K265,其他调用!$AG$5:$AG$364,0),0),1)*INDEX(其他调用!AA$5:AA$404,MATCH($K265,其他调用!$X$5:$X$404,0),0)</f>
        <v>44327.103963463087</v>
      </c>
      <c r="AL265" s="12">
        <f>MIN(INDEX(其他调用!$AK$5:$AK$364,MATCH($K265,其他调用!$AG$5:$AG$364,0),1)/INDEX(其他调用!AK$5:AK$364,MATCH($K265,其他调用!$AG$5:$AG$364,0),0),1)*INDEX(其他调用!AB$5:AB$404,MATCH($K265,其他调用!$X$5:$X$404,0),0)</f>
        <v>46571.326637133658</v>
      </c>
      <c r="AM265" s="12">
        <f>MIN(INDEX(其他调用!$AK$5:$AK$364,MATCH($K265,其他调用!$AG$5:$AG$364,0),1)/INDEX(其他调用!AL$5:AL$364,MATCH($K265,其他调用!$AG$5:$AG$364,0),0),1)*INDEX(其他调用!AC$5:AC$404,MATCH($K265,其他调用!$X$5:$X$404,0),0)</f>
        <v>25874.210796961186</v>
      </c>
      <c r="AN265" s="12">
        <f>求节点(节奏总纲!D$4:D$163,标准城池设计!AF$4:AF$163,$K265)*求节点(节奏总纲!D$4:D$163,攻城基础信息!$AG$5:$AG$164,$K265)</f>
        <v>1111176.366653118</v>
      </c>
      <c r="AO265" s="12">
        <f>INDEX(其他调用!$AA$5:$AA$404,MATCH($K265,其他调用!$X$5:$X$404,0))*MIN(INDEX(其他调用!AL$5:AL$364,MATCH($K265,其他调用!$AG$5:$AG$364,0),1)/INDEX(其他调用!$AJ$5:$AJ$364,MATCH($K265,其他调用!$AG$5:$AG$364,0),0),5)*求节点(节奏总纲!D$4:D$163,攻城基础信息!$AG$5:$AG$164,$K265)</f>
        <v>775724.31936060358</v>
      </c>
      <c r="AP265" s="12">
        <f>MIN(INDEX(其他调用!$AL$5:$AL$364,MATCH($K265,其他调用!$AG$5:$AG$364,0),1)/INDEX(其他调用!AH$5:AH$364,MATCH($K265,其他调用!$AG$5:$AG$364,0),0),1)*INDEX(其他调用!Y$5:Y$404,MATCH($K265,其他调用!$X$5:$X$404,0),0)</f>
        <v>41646.100540149477</v>
      </c>
      <c r="AQ265" s="12">
        <f>MIN(INDEX(其他调用!$AL$5:$AL$364,MATCH($K265,其他调用!$AG$5:$AG$364,0),1)/INDEX(其他调用!AI$5:AI$364,MATCH($K265,其他调用!$AG$5:$AG$364,0),0),1)*INDEX(其他调用!Z$5:Z$404,MATCH($K265,其他调用!$X$5:$X$404,0),0)</f>
        <v>42803.935979167953</v>
      </c>
      <c r="AR265" s="12">
        <f>MIN(INDEX(其他调用!$AL$5:$AL$364,MATCH($K265,其他调用!$AG$5:$AG$364,0),1)/INDEX(其他调用!AJ$5:AJ$364,MATCH($K265,其他调用!$AG$5:$AG$364,0),0),1)*INDEX(其他调用!AA$5:AA$404,MATCH($K265,其他调用!$X$5:$X$404,0),0)</f>
        <v>44327.103963463087</v>
      </c>
      <c r="AS265" s="12">
        <f>MIN(INDEX(其他调用!$AL$5:$AL$364,MATCH($K265,其他调用!$AG$5:$AG$364,0),1)/INDEX(其他调用!AK$5:AK$364,MATCH($K265,其他调用!$AG$5:$AG$364,0),0),1)*INDEX(其他调用!AB$5:AB$404,MATCH($K265,其他调用!$X$5:$X$404,0),0)</f>
        <v>46571.326637133658</v>
      </c>
      <c r="AT265" s="12">
        <f>MIN(INDEX(其他调用!$AL$5:$AL$364,MATCH($K265,其他调用!$AG$5:$AG$364,0),1)/INDEX(其他调用!AL$5:AL$364,MATCH($K265,其他调用!$AG$5:$AG$364,0),0),1)*INDEX(其他调用!AC$5:AC$404,MATCH($K265,其他调用!$X$5:$X$404,0),0)</f>
        <v>50458.284536166131</v>
      </c>
      <c r="AV265" s="14">
        <f>IF(OR(AV$5="大R",AV$5="超R"),MAX(INDEX(其他调用!$H$5:$L$404,MATCH($K265,其他调用!$B$5:$B$404,0),MATCH(AV$5,其他调用!$H$4:$L$4,0))*120*0.85,2),INDEX(其他调用!$H$5:$L$404,MATCH($K265,其他调用!$B$5:$B$404,0),MATCH(AV$5,其他调用!$H$4:$L$4,0))*120*0.85)</f>
        <v>48.921801254999991</v>
      </c>
      <c r="AW265" s="14">
        <f>IF(OR(AW$5="大R",AW$5="超R"),MAX(INDEX(其他调用!$H$5:$L$404,MATCH($K265,其他调用!$B$5:$B$404,0),MATCH(AW$5,其他调用!$H$4:$L$4,0))*120*0.85,2),INDEX(其他调用!$H$5:$L$404,MATCH($K265,其他调用!$B$5:$B$404,0),MATCH(AW$5,其他调用!$H$4:$L$4,0))*120*0.85)</f>
        <v>48.237344010638395</v>
      </c>
      <c r="AX265" s="14">
        <f>IF(OR(AX$5="大R",AX$5="超R"),MAX(INDEX(其他调用!$H$5:$L$404,MATCH($K265,其他调用!$B$5:$B$404,0),MATCH(AX$5,其他调用!$H$4:$L$4,0))*120*0.85,2),INDEX(其他调用!$H$5:$L$404,MATCH($K265,其他调用!$B$5:$B$404,0),MATCH(AX$5,其他调用!$H$4:$L$4,0))*120*0.85)</f>
        <v>3.9376284143615998</v>
      </c>
      <c r="AY265" s="14">
        <f>IF(OR(AY$5="大R",AY$5="超R"),MAX(INDEX(其他调用!$H$5:$L$404,MATCH($K265,其他调用!$B$5:$B$404,0),MATCH(AY$5,其他调用!$H$4:$L$4,0))*120*0.85,2),INDEX(其他调用!$H$5:$L$404,MATCH($K265,其他调用!$B$5:$B$404,0),MATCH(AY$5,其他调用!$H$4:$L$4,0))*120*0.85)</f>
        <v>2</v>
      </c>
      <c r="AZ265" s="14">
        <f>IF(OR(AZ$5="大R",AZ$5="超R"),MAX(INDEX(其他调用!$H$5:$L$404,MATCH($K265,其他调用!$B$5:$B$404,0),MATCH(AZ$5,其他调用!$H$4:$L$4,0))*120*0.85,2),INDEX(其他调用!$H$5:$L$404,MATCH($K265,其他调用!$B$5:$B$404,0),MATCH(AZ$5,其他调用!$H$4:$L$4,0))*120*0.85)</f>
        <v>2</v>
      </c>
      <c r="BA265" s="14">
        <f>INDEX(其他调用!$H$5:$L$404,MATCH($K265,其他调用!$B$5:$B$404,0),MATCH(BA$5,其他调用!$H$4:$L$4,0))*INDEX(其他调用!$M$5:$M$404,MATCH($K265,其他调用!$B$5:$B$404,0))*0.6</f>
        <v>28.777530149999997</v>
      </c>
      <c r="BB265" s="14">
        <f>INDEX(其他调用!$H$5:$L$404,MATCH($K265,其他调用!$B$5:$B$404,0),MATCH(BB$5,其他调用!$H$4:$L$4,0))*INDEX(其他调用!$M$5:$M$404,MATCH($K265,其他调用!$B$5:$B$404,0))*0.6</f>
        <v>28.374908241551999</v>
      </c>
      <c r="BC265" s="14">
        <f>INDEX(其他调用!$H$5:$L$404,MATCH($K265,其他调用!$B$5:$B$404,0),MATCH(BC$5,其他调用!$H$4:$L$4,0))*INDEX(其他调用!$M$5:$M$404,MATCH($K265,其他调用!$B$5:$B$404,0))*0.6</f>
        <v>2.3162520084480001</v>
      </c>
      <c r="BD265" s="14">
        <f>INDEX(其他调用!$H$5:$L$404,MATCH($K265,其他调用!$B$5:$B$404,0),MATCH(BD$5,其他调用!$H$4:$L$4,0))*INDEX(其他调用!$M$5:$M$404,MATCH($K265,其他调用!$B$5:$B$404,0))*0.6</f>
        <v>0.4120776000000001</v>
      </c>
      <c r="BE265" s="14">
        <f>INDEX(其他调用!$H$5:$L$404,MATCH($K265,其他调用!$B$5:$B$404,0),MATCH(BE$5,其他调用!$H$4:$L$4,0))*INDEX(其他调用!$M$5:$M$404,MATCH($K265,其他调用!$B$5:$B$404,0))*0.6</f>
        <v>0.11923199999999998</v>
      </c>
      <c r="BF265" s="14">
        <f>IF(OR(BF$5="大R",BF$5="超R"),0,INDEX(其他调用!$H$5:$L$404,MATCH($K265,其他调用!$B$5:$B$404,0),MATCH(BF$5,其他调用!$H$4:$L$4,0))*50*0.4)</f>
        <v>9.5925100500000013</v>
      </c>
      <c r="BG265" s="14">
        <f>IF(OR(BG$5="大R",BG$5="超R"),0,INDEX(其他调用!$H$5:$L$404,MATCH($K265,其他调用!$B$5:$B$404,0),MATCH(BG$5,其他调用!$H$4:$L$4,0))*50*0.4)</f>
        <v>9.4583027471839998</v>
      </c>
      <c r="BH265" s="14">
        <f>IF(OR(BH$5="大R",BH$5="超R"),0,INDEX(其他调用!$H$5:$L$404,MATCH($K265,其他调用!$B$5:$B$404,0),MATCH(BH$5,其他调用!$H$4:$L$4,0))*50*0.4)</f>
        <v>0.77208400281600009</v>
      </c>
      <c r="BI265" s="14">
        <f>IF(OR(BI$5="大R",BI$5="超R"),0,INDEX(其他调用!$H$5:$L$404,MATCH($K265,其他调用!$B$5:$B$404,0),MATCH(BI$5,其他调用!$H$4:$L$4,0))*50*0.4)</f>
        <v>0</v>
      </c>
      <c r="BJ265" s="14">
        <f>IF(OR(BJ$5="大R",BJ$5="超R"),0,INDEX(其他调用!$H$5:$L$404,MATCH($K265,其他调用!$B$5:$B$404,0),MATCH(BJ$5,其他调用!$H$4:$L$4,0))*50*0.4)</f>
        <v>0</v>
      </c>
      <c r="BL265" s="14">
        <f t="shared" si="523"/>
        <v>260</v>
      </c>
      <c r="BM265" s="14">
        <f t="shared" si="430"/>
        <v>96</v>
      </c>
      <c r="BN265" s="14">
        <f>('疲劳值&amp;地图信息'!$S$10*'疲劳值&amp;地图信息'!$R$10+'疲劳值&amp;地图信息'!$S$11*'疲劳值&amp;地图信息'!$R$11+'疲劳值&amp;地图信息'!$S$12*'疲劳值&amp;地图信息'!$R$12+(BM265-'疲劳值&amp;地图信息'!$S$12-'疲劳值&amp;地图信息'!$S$11-'疲劳值&amp;地图信息'!$S$10)*'疲劳值&amp;地图信息'!$R$13)/BM265</f>
        <v>51.371477246638619</v>
      </c>
      <c r="BO265" s="14">
        <f>INDEX(其他调用!$M$5:$M$404,MATCH(BL265,其他调用!$B$5:$B$404,0))*0.6</f>
        <v>60</v>
      </c>
      <c r="BP265" s="14">
        <f>IF(BO265&gt;SUM('疲劳值&amp;地图信息'!$S$10:$S$12),('疲劳值&amp;地图信息'!$S$10*'疲劳值&amp;地图信息'!$R$10+'疲劳值&amp;地图信息'!$S$11*'疲劳值&amp;地图信息'!$R$11+'疲劳值&amp;地图信息'!$S$12*'疲劳值&amp;地图信息'!$R$12+(BO265-'疲劳值&amp;地图信息'!$S$12-'疲劳值&amp;地图信息'!$S$11-'疲劳值&amp;地图信息'!$S$10)*'疲劳值&amp;地图信息'!$R$13)/BO265,('疲劳值&amp;地图信息'!$S$10*'疲劳值&amp;地图信息'!$R$10+'疲劳值&amp;地图信息'!$S$11*'疲劳值&amp;地图信息'!$R$11+'疲劳值&amp;地图信息'!$S$12*'疲劳值&amp;地图信息'!$R$12+(BO265-'疲劳值&amp;地图信息'!$S$12-'疲劳值&amp;地图信息'!$S$11-'疲劳值&amp;地图信息'!$S$10)*'疲劳值&amp;地图信息'!$R$13)/BO265)</f>
        <v>44.158136341605953</v>
      </c>
      <c r="BQ265" s="14">
        <f t="shared" si="524"/>
        <v>20</v>
      </c>
      <c r="BR265" s="14">
        <f>('疲劳值&amp;地图信息'!$S$10*'疲劳值&amp;地图信息'!$R$10+($BQ265-'疲劳值&amp;地图信息'!$S$10)*'疲劳值&amp;地图信息'!$R$11)/$BQ265</f>
        <v>32.067203015074995</v>
      </c>
      <c r="CF265" s="14">
        <v>260</v>
      </c>
      <c r="CG265" s="51">
        <f t="shared" si="431"/>
        <v>15043</v>
      </c>
      <c r="CH265" s="51">
        <f t="shared" si="432"/>
        <v>1100</v>
      </c>
      <c r="CI265" s="51">
        <f>INT(SUMPRODUCT($N265:$R265,$BA265:$BE265)/SUM($BA265:$BE265)/10000*$BX$7*$BZ$34/'疲劳值&amp;地图信息'!$R$10*$BY$53)</f>
        <v>3309</v>
      </c>
      <c r="CJ265" s="50">
        <f t="shared" si="433"/>
        <v>0.77333950236479543</v>
      </c>
      <c r="CK265" s="50">
        <f t="shared" si="434"/>
        <v>5.6549455068887519E-2</v>
      </c>
      <c r="CL265" s="50">
        <f t="shared" si="435"/>
        <v>0.17011104256631709</v>
      </c>
      <c r="CM265" s="14">
        <f t="shared" si="436"/>
        <v>16354</v>
      </c>
      <c r="CN265" s="14">
        <f t="shared" si="437"/>
        <v>1855</v>
      </c>
      <c r="CO265" s="14">
        <f>INT(SUMPRODUCT($U265:$Y265,$BA265:$BE265)/SUM($BA265:$BE265)/10000*$BX$7*$BZ$34/'疲劳值&amp;地图信息'!$R$10*$BY$54)</f>
        <v>6285</v>
      </c>
      <c r="CP265" s="50">
        <f t="shared" si="438"/>
        <v>0.66767371601208458</v>
      </c>
      <c r="CQ265" s="50">
        <f t="shared" si="439"/>
        <v>7.5732832530415614E-2</v>
      </c>
      <c r="CR265" s="50">
        <f t="shared" si="440"/>
        <v>0.25659345145749979</v>
      </c>
      <c r="CS265" s="14">
        <f t="shared" si="441"/>
        <v>17937</v>
      </c>
      <c r="CT265" s="14">
        <f t="shared" si="442"/>
        <v>3162</v>
      </c>
      <c r="CU265" s="14">
        <f>INT(SUMPRODUCT($AB265:$AF265,$BA265:$BE265)/SUM($BA265:$BE265)/10000*$BX$7*$BZ$34/'疲劳值&amp;地图信息'!$R$10*$BY$55)</f>
        <v>8534</v>
      </c>
      <c r="CV265" s="50">
        <f t="shared" si="443"/>
        <v>0.60530489656801534</v>
      </c>
      <c r="CW265" s="50">
        <f t="shared" si="444"/>
        <v>0.10670536226504235</v>
      </c>
      <c r="CX265" s="50">
        <f t="shared" si="445"/>
        <v>0.28798974116694226</v>
      </c>
      <c r="CY265" s="14">
        <f t="shared" si="446"/>
        <v>21630</v>
      </c>
      <c r="CZ265" s="14">
        <f t="shared" si="447"/>
        <v>9319</v>
      </c>
      <c r="DA265" s="14">
        <f>INT(SUMPRODUCT($AI265:$AM265,$BA265:$BE265)/SUM($BA265:$BE265)/10000*$BX$7*$BZ$34/'疲劳值&amp;地图信息'!$R$10*$BY$56)</f>
        <v>12876</v>
      </c>
      <c r="DB265" s="50">
        <f t="shared" si="448"/>
        <v>0.49355390758699375</v>
      </c>
      <c r="DC265" s="50">
        <f t="shared" si="449"/>
        <v>0.21264118653736452</v>
      </c>
      <c r="DD265" s="50">
        <f t="shared" si="450"/>
        <v>0.29380490587564173</v>
      </c>
      <c r="DE265" s="14">
        <f t="shared" si="451"/>
        <v>22647</v>
      </c>
      <c r="DF265" s="14">
        <f t="shared" si="452"/>
        <v>15810</v>
      </c>
      <c r="DG265" s="14">
        <f>INT(SUMPRODUCT($AP265:$AT265,$BA265:$BE265)/SUM($BA265:$BE265)/10000*$BX$7*$BZ$34/'疲劳值&amp;地图信息'!$R$10*$BY$57)</f>
        <v>17187</v>
      </c>
      <c r="DH265" s="50">
        <f t="shared" si="453"/>
        <v>0.40699805908992881</v>
      </c>
      <c r="DI265" s="50">
        <f t="shared" si="454"/>
        <v>0.28412766875134787</v>
      </c>
      <c r="DJ265" s="50">
        <f t="shared" si="455"/>
        <v>0.30887427215872332</v>
      </c>
      <c r="DL265" s="14">
        <f t="shared" si="421"/>
        <v>19452</v>
      </c>
      <c r="DM265" s="14">
        <f t="shared" si="422"/>
        <v>24494</v>
      </c>
      <c r="DN265" s="14">
        <f t="shared" si="423"/>
        <v>29633</v>
      </c>
      <c r="DO265" s="14">
        <f t="shared" si="424"/>
        <v>43825</v>
      </c>
      <c r="DP265" s="14">
        <f t="shared" si="425"/>
        <v>55644</v>
      </c>
      <c r="DQ265" s="14">
        <f t="shared" si="426"/>
        <v>1348126</v>
      </c>
      <c r="DT265" s="14">
        <f t="shared" si="420"/>
        <v>235575</v>
      </c>
      <c r="DU265" s="50">
        <f t="shared" si="427"/>
        <v>0.14874966928732128</v>
      </c>
      <c r="DW265" s="14">
        <f t="shared" si="456"/>
        <v>1583701</v>
      </c>
      <c r="EB265" s="14">
        <v>260</v>
      </c>
      <c r="EC265" s="51">
        <f t="shared" si="457"/>
        <v>25071</v>
      </c>
      <c r="ED265" s="51">
        <f t="shared" si="458"/>
        <v>1834</v>
      </c>
      <c r="EE265" s="51">
        <f>INT(SUMPRODUCT($N265:$R265,$BF265:$BJ265)/SUM($BF265:$BJ265)/10000*$BX$7*$BZ$46/'疲劳值&amp;地图信息'!$R$10*$BY$53)</f>
        <v>444</v>
      </c>
      <c r="EF265" s="50">
        <f t="shared" si="459"/>
        <v>0.91670627810888883</v>
      </c>
      <c r="EG265" s="50">
        <f t="shared" si="460"/>
        <v>6.705912464806757E-2</v>
      </c>
      <c r="EH265" s="50">
        <f t="shared" si="461"/>
        <v>1.623459724304362E-2</v>
      </c>
      <c r="EI265" s="51">
        <f t="shared" si="462"/>
        <v>27258</v>
      </c>
      <c r="EJ265" s="51">
        <f t="shared" si="463"/>
        <v>3092</v>
      </c>
      <c r="EK265" s="14">
        <f>INT(SUMPRODUCT($U265:$Y265,$BF265:$BJ265)/SUM($BF265:$BJ265)/10000*$BX$7*$BZ$46/'疲劳值&amp;地图信息'!$R$10*$BY$54)</f>
        <v>843</v>
      </c>
      <c r="EL265" s="50">
        <f t="shared" si="464"/>
        <v>0.87384990222165226</v>
      </c>
      <c r="EM265" s="50">
        <f t="shared" si="465"/>
        <v>9.9124803641842715E-2</v>
      </c>
      <c r="EN265" s="50">
        <f t="shared" si="466"/>
        <v>2.7025294136504986E-2</v>
      </c>
      <c r="EO265" s="51">
        <f t="shared" si="467"/>
        <v>29895</v>
      </c>
      <c r="EP265" s="51">
        <f t="shared" si="468"/>
        <v>5270</v>
      </c>
      <c r="EQ265" s="14">
        <f>INT(SUMPRODUCT($AB265:$AF265,$BF265:$BJ265)/SUM($BF265:$BJ265)/10000*$BX$7*$BZ$46/'疲劳值&amp;地图信息'!$R$10*$BY$55)</f>
        <v>1144</v>
      </c>
      <c r="ER265" s="50">
        <f t="shared" si="469"/>
        <v>0.82334958274807901</v>
      </c>
      <c r="ES265" s="50">
        <f t="shared" si="470"/>
        <v>0.14514307747390454</v>
      </c>
      <c r="ET265" s="50">
        <f t="shared" si="471"/>
        <v>3.1507339778016473E-2</v>
      </c>
      <c r="EU265" s="51">
        <f t="shared" si="472"/>
        <v>36051</v>
      </c>
      <c r="EV265" s="51">
        <f t="shared" si="473"/>
        <v>15532</v>
      </c>
      <c r="EW265" s="14">
        <f>INT(SUMPRODUCT($AI265:$AM265,$BF265:$BJ265)/SUM($BF265:$BJ265)/10000*$BX$7*$BZ$46/'疲劳值&amp;地图信息'!$R$10*$BY$56)</f>
        <v>1716</v>
      </c>
      <c r="EX265" s="50">
        <f t="shared" si="474"/>
        <v>0.67639167714216031</v>
      </c>
      <c r="EY265" s="50">
        <f t="shared" si="475"/>
        <v>0.2914125968592281</v>
      </c>
      <c r="EZ265" s="50">
        <f t="shared" si="476"/>
        <v>3.2195725998611605E-2</v>
      </c>
      <c r="FA265" s="51">
        <f t="shared" si="477"/>
        <v>37745</v>
      </c>
      <c r="FB265" s="51">
        <f t="shared" si="478"/>
        <v>26350</v>
      </c>
      <c r="FC265" s="14">
        <f>INT(SUMPRODUCT($AP265:$AT265,$BF265:$BJ265)/SUM($BF265:$BJ265)/10000*$BX$7*$BZ$46/'疲劳值&amp;地图信息'!$R$10*$BY$57)</f>
        <v>2289</v>
      </c>
      <c r="FD265" s="50">
        <f t="shared" si="479"/>
        <v>0.56858580380814649</v>
      </c>
      <c r="FE265" s="50">
        <f t="shared" si="480"/>
        <v>0.39693299590262715</v>
      </c>
      <c r="FF265" s="50">
        <f t="shared" si="481"/>
        <v>3.448120028922632E-2</v>
      </c>
      <c r="FH265" s="14">
        <f t="shared" si="482"/>
        <v>27349</v>
      </c>
      <c r="FI265" s="14">
        <f t="shared" si="483"/>
        <v>31193</v>
      </c>
      <c r="FJ265" s="14">
        <f t="shared" si="484"/>
        <v>36309</v>
      </c>
      <c r="FK265" s="14">
        <f t="shared" si="485"/>
        <v>53299</v>
      </c>
      <c r="FL265" s="14">
        <f t="shared" si="486"/>
        <v>66384</v>
      </c>
      <c r="FM265" s="14">
        <f t="shared" si="487"/>
        <v>3224967</v>
      </c>
      <c r="FP265" s="14">
        <f t="shared" si="488"/>
        <v>334150</v>
      </c>
      <c r="FQ265" s="50">
        <f t="shared" si="428"/>
        <v>9.3885646355542682E-2</v>
      </c>
      <c r="FS265" s="14">
        <f t="shared" si="489"/>
        <v>3559117</v>
      </c>
      <c r="FX265" s="14">
        <v>260</v>
      </c>
      <c r="FY265" s="51">
        <f t="shared" si="490"/>
        <v>35100</v>
      </c>
      <c r="FZ265" s="51">
        <f t="shared" si="491"/>
        <v>1834</v>
      </c>
      <c r="GA265" s="51">
        <f>INT(SUMPRODUCT($N265:$R265,$BF265:$BJ265)/SUM($BF265:$BJ265)/10000*$BX$7*$BZ$46/'疲劳值&amp;地图信息'!$R$10*$BY$53)</f>
        <v>444</v>
      </c>
      <c r="GB265" s="50">
        <f t="shared" si="492"/>
        <v>0.93905505912568887</v>
      </c>
      <c r="GC265" s="50">
        <f t="shared" si="493"/>
        <v>4.9066295681951949E-2</v>
      </c>
      <c r="GD265" s="50">
        <f t="shared" si="494"/>
        <v>1.1878645192359141E-2</v>
      </c>
      <c r="GE265" s="51">
        <f t="shared" si="495"/>
        <v>38161</v>
      </c>
      <c r="GF265" s="51">
        <f t="shared" si="496"/>
        <v>3092</v>
      </c>
      <c r="GG265" s="14">
        <f>INT(SUMPRODUCT($U265:$Y265,$BF265:$BJ265)/SUM($BF265:$BJ265)/10000*$BX$7*$BZ$46/'疲劳值&amp;地图信息'!$R$10*$BY$54)</f>
        <v>843</v>
      </c>
      <c r="GH265" s="50">
        <f t="shared" si="497"/>
        <v>0.90652318510072216</v>
      </c>
      <c r="GI265" s="50">
        <f t="shared" si="498"/>
        <v>7.3451159255036105E-2</v>
      </c>
      <c r="GJ265" s="50">
        <f t="shared" si="499"/>
        <v>2.0025655644241733E-2</v>
      </c>
      <c r="GK265" s="51">
        <f t="shared" si="500"/>
        <v>41853</v>
      </c>
      <c r="GL265" s="51">
        <f t="shared" si="501"/>
        <v>5270</v>
      </c>
      <c r="GM265" s="14">
        <f>INT(SUMPRODUCT($AB265:$AF265,$BF265:$BJ265)/SUM($BF265:$BJ265)/10000*$BX$7*$BZ$46/'疲劳值&amp;地图信息'!$R$10*$BY$55)</f>
        <v>1144</v>
      </c>
      <c r="GN265" s="50">
        <f t="shared" si="502"/>
        <v>0.86711417738827767</v>
      </c>
      <c r="GO265" s="50">
        <f t="shared" si="503"/>
        <v>0.10918432883750803</v>
      </c>
      <c r="GP265" s="50">
        <f t="shared" si="504"/>
        <v>2.3701493774214266E-2</v>
      </c>
      <c r="GQ265" s="51">
        <f t="shared" si="505"/>
        <v>50471</v>
      </c>
      <c r="GR265" s="51">
        <f t="shared" si="506"/>
        <v>15532</v>
      </c>
      <c r="GS265" s="14">
        <f>INT(SUMPRODUCT($AI265:$AM265,$BF265:$BJ265)/SUM($BF265:$BJ265)/10000*$BX$7*$BZ$46/'疲劳值&amp;地图信息'!$R$10*$BY$56)</f>
        <v>1716</v>
      </c>
      <c r="GT265" s="50">
        <f t="shared" si="507"/>
        <v>0.74530043267029933</v>
      </c>
      <c r="GU265" s="50">
        <f t="shared" si="508"/>
        <v>0.22935955935557228</v>
      </c>
      <c r="GV265" s="50">
        <f t="shared" si="509"/>
        <v>2.5340007974128383E-2</v>
      </c>
      <c r="GW265" s="51">
        <f t="shared" si="510"/>
        <v>52843</v>
      </c>
      <c r="GX265" s="51">
        <f t="shared" si="511"/>
        <v>26350</v>
      </c>
      <c r="GY265" s="14">
        <f>INT(SUMPRODUCT($AP265:$AT265,$BF265:$BJ265)/SUM($BF265:$BJ265)/10000*$BX$7*$BZ$46/'疲劳值&amp;地图信息'!$R$10*$BY$57)</f>
        <v>2289</v>
      </c>
      <c r="GZ265" s="50">
        <f t="shared" si="512"/>
        <v>0.64852360030436174</v>
      </c>
      <c r="HA265" s="50">
        <f t="shared" si="513"/>
        <v>0.32338430573623622</v>
      </c>
      <c r="HB265" s="50">
        <f t="shared" si="514"/>
        <v>2.8092093959402077E-2</v>
      </c>
      <c r="HD265" s="14">
        <f t="shared" si="515"/>
        <v>37378</v>
      </c>
      <c r="HE265" s="14">
        <f t="shared" si="516"/>
        <v>42096</v>
      </c>
      <c r="HF265" s="14">
        <f t="shared" si="517"/>
        <v>48267</v>
      </c>
      <c r="HG265" s="14">
        <f t="shared" si="518"/>
        <v>67719</v>
      </c>
      <c r="HH265" s="14">
        <f t="shared" si="519"/>
        <v>81482</v>
      </c>
      <c r="HI265" s="14">
        <f t="shared" si="520"/>
        <v>4347657</v>
      </c>
      <c r="HL265" s="14">
        <f t="shared" si="521"/>
        <v>430050</v>
      </c>
      <c r="HM265" s="50">
        <f t="shared" si="429"/>
        <v>9.0011798546876146E-2</v>
      </c>
      <c r="HO265" s="14">
        <f t="shared" si="522"/>
        <v>4777707</v>
      </c>
    </row>
    <row r="266" spans="11:223" x14ac:dyDescent="0.2">
      <c r="K266" s="14">
        <v>261</v>
      </c>
      <c r="L266" s="12">
        <f>求节点(节奏总纲!D$4:D$163,标准城池设计!AB$4:AB$163,$K266)*求节点(节奏总纲!D$4:D$163,攻城基础信息!$AC$5:$AC$164,$K266)</f>
        <v>739219.81765795348</v>
      </c>
      <c r="M266" s="12">
        <f>INDEX(其他调用!$AA$5:$AA$404,MATCH(K266,其他调用!$X$5:$X$404,0))*MIN(INDEX(其他调用!$AH$5:$AH$364,MATCH('征服点（新）'!K266,其他调用!$AG$5:$AG$364,0),1)/INDEX(其他调用!$AJ$5:$AJ$364,MATCH(K266,其他调用!$AG$5:$AG$364,0),0),5)*求节点(节奏总纲!D$4:D$163,攻城基础信息!$AC$5:$AC$164,$K266)</f>
        <v>53976.295997480323</v>
      </c>
      <c r="N266" s="12">
        <f>MIN(INDEX(其他调用!$AH$5:$AH$364,MATCH($K266,其他调用!$AG$5:$AG$364,0),1)/INDEX(其他调用!AH$5:AH$364,MATCH($K266,其他调用!$AG$5:$AG$364,0),0),1)*INDEX(其他调用!Y$5:Y$404,MATCH($K266,其他调用!$X$5:$X$404,0),0)</f>
        <v>41668.144773325374</v>
      </c>
      <c r="O266" s="12">
        <f>MIN(INDEX(其他调用!$AH$5:$AH$364,MATCH($K266,其他调用!$AG$5:$AG$364,0),1)/INDEX(其他调用!AI$5:AI$364,MATCH($K266,其他调用!$AG$5:$AG$364,0),0),1)*INDEX(其他调用!Z$5:Z$404,MATCH($K266,其他调用!$X$5:$X$404,0),0)</f>
        <v>25383.248611677416</v>
      </c>
      <c r="P266" s="12">
        <f>MIN(INDEX(其他调用!$AH$5:$AH$364,MATCH($K266,其他调用!$AG$5:$AG$364,0),1)/INDEX(其他调用!AJ$5:AJ$364,MATCH($K266,其他调用!$AG$5:$AG$364,0),0),1)*INDEX(其他调用!AA$5:AA$404,MATCH($K266,其他调用!$X$5:$X$404,0),0)</f>
        <v>15421.79885642296</v>
      </c>
      <c r="Q266" s="12">
        <f>MIN(INDEX(其他调用!$AH$5:$AH$364,MATCH($K266,其他调用!$AG$5:$AG$364,0),1)/INDEX(其他调用!AK$5:AK$364,MATCH($K266,其他调用!$AG$5:$AG$364,0),0),1)*INDEX(其他调用!AB$5:AB$404,MATCH($K266,其他调用!$X$5:$X$404,0),0)</f>
        <v>5506.0260299092752</v>
      </c>
      <c r="R266" s="12">
        <f>MIN(INDEX(其他调用!$AH$5:$AH$364,MATCH($K266,其他调用!$AG$5:$AG$364,0),1)/INDEX(其他调用!AL$5:AL$364,MATCH($K266,其他调用!$AG$5:$AG$364,0),0),1)*INDEX(其他调用!AC$5:AC$404,MATCH($K266,其他调用!$X$5:$X$404,0),0)</f>
        <v>3062.8602565491551</v>
      </c>
      <c r="S266" s="12">
        <f>求节点(节奏总纲!D$4:D$163,标准城池设计!AC$4:AC$163,$K266)*求节点(节奏总纲!D$4:D$163,攻城基础信息!$AD$5:$AD$164,$K266)</f>
        <v>803936.74952015781</v>
      </c>
      <c r="T266" s="12">
        <f>INDEX(其他调用!$AA$5:$AA$404,MATCH($K266,其他调用!$X$5:$X$404,0))*MIN(INDEX(其他调用!AI$5:AI$364,MATCH($K266,其他调用!$AG$5:$AG$364,0),1)/INDEX(其他调用!$AJ$5:$AJ$364,MATCH($K266,其他调用!$AG$5:$AG$364,0),0),5)*求节点(节奏总纲!D$4:D$163,攻城基础信息!$AD$5:$AD$164,$K266)</f>
        <v>91067.171558536997</v>
      </c>
      <c r="U266" s="12">
        <f>MIN(INDEX(其他调用!$AI$5:$AI$364,MATCH($K266,其他调用!$AG$5:$AG$364,0),1)/INDEX(其他调用!AH$5:AH$364,MATCH($K266,其他调用!$AG$5:$AG$364,0),0),1)*INDEX(其他调用!Y$5:Y$404,MATCH($K266,其他调用!$X$5:$X$404,0),0)</f>
        <v>41668.144773325374</v>
      </c>
      <c r="V266" s="12">
        <f>MIN(INDEX(其他调用!$AI$5:$AI$364,MATCH($K266,其他调用!$AG$5:$AG$364,0),1)/INDEX(其他调用!AI$5:AI$364,MATCH($K266,其他调用!$AG$5:$AG$364,0),0),1)*INDEX(其他调用!Z$5:Z$404,MATCH($K266,其他调用!$X$5:$X$404,0),0)</f>
        <v>42825.848148982484</v>
      </c>
      <c r="W266" s="12">
        <f>MIN(INDEX(其他调用!$AI$5:$AI$364,MATCH($K266,其他调用!$AG$5:$AG$364,0),1)/INDEX(其他调用!AJ$5:AJ$364,MATCH($K266,其他调用!$AG$5:$AG$364,0),0),1)*INDEX(其他调用!AA$5:AA$404,MATCH($K266,其他调用!$X$5:$X$404,0),0)</f>
        <v>26019.19187386773</v>
      </c>
      <c r="X266" s="12">
        <f>MIN(INDEX(其他调用!$AI$5:$AI$364,MATCH($K266,其他调用!$AG$5:$AG$364,0),1)/INDEX(其他调用!AK$5:AK$364,MATCH($K266,其他调用!$AG$5:$AG$364,0),0),1)*INDEX(其他调用!AB$5:AB$404,MATCH($K266,其他调用!$X$5:$X$404,0),0)</f>
        <v>9289.6003292801906</v>
      </c>
      <c r="Y266" s="12">
        <f>MIN(INDEX(其他调用!$AI$5:$AI$364,MATCH($K266,其他调用!$AG$5:$AG$364,0),1)/INDEX(其他调用!AL$5:AL$364,MATCH($K266,其他调用!$AG$5:$AG$364,0),0),1)*INDEX(其他调用!AC$5:AC$404,MATCH($K266,其他调用!$X$5:$X$404,0),0)</f>
        <v>5167.5650447746011</v>
      </c>
      <c r="Z266" s="12">
        <f>求节点(节奏总纲!D$4:D$163,标准城池设计!AD$4:AD$163,$K266)*求节点(节奏总纲!D$4:D$163,攻城基础信息!$AE$5:$AE$164,$K266)</f>
        <v>881577.94505602494</v>
      </c>
      <c r="AA266" s="12">
        <f>INDEX(其他调用!$AA$5:$AA$404,MATCH($K266,其他调用!$X$5:$X$404,0))*MIN(INDEX(其他调用!AJ$5:AJ$364,MATCH($K266,其他调用!$AG$5:$AG$364,0),1)/INDEX(其他调用!$AJ$5:$AJ$364,MATCH($K266,其他调用!$AG$5:$AG$364,0),0),5)*求节点(节奏总纲!D$4:D$163,攻城基础信息!$AE$5:$AE$164,$K266)</f>
        <v>155221.87976730778</v>
      </c>
      <c r="AB266" s="12">
        <f>MIN(INDEX(其他调用!$AJ$5:$AJ$364,MATCH($K266,其他调用!$AG$5:$AG$364,0),1)/INDEX(其他调用!AH$5:AH$364,MATCH($K266,其他调用!$AG$5:$AG$364,0),0),1)*INDEX(其他调用!Y$5:Y$404,MATCH($K266,其他调用!$X$5:$X$404,0),0)</f>
        <v>41668.144773325374</v>
      </c>
      <c r="AC266" s="12">
        <f>MIN(INDEX(其他调用!$AJ$5:$AJ$364,MATCH($K266,其他调用!$AG$5:$AG$364,0),1)/INDEX(其他调用!AI$5:AI$364,MATCH($K266,其他调用!$AG$5:$AG$364,0),0),1)*INDEX(其他调用!Z$5:Z$404,MATCH($K266,其他调用!$X$5:$X$404,0),0)</f>
        <v>42825.848148982484</v>
      </c>
      <c r="AD266" s="12">
        <f>MIN(INDEX(其他调用!$AJ$5:$AJ$364,MATCH($K266,其他调用!$AG$5:$AG$364,0),1)/INDEX(其他调用!AJ$5:AJ$364,MATCH($K266,其他调用!$AG$5:$AG$364,0),0),1)*INDEX(其他调用!AA$5:AA$404,MATCH($K266,其他调用!$X$5:$X$404,0),0)</f>
        <v>44349.108504945107</v>
      </c>
      <c r="AE266" s="12">
        <f>MIN(INDEX(其他调用!$AJ$5:$AJ$364,MATCH($K266,其他调用!$AG$5:$AG$364,0),1)/INDEX(其他调用!AK$5:AK$364,MATCH($K266,其他调用!$AG$5:$AG$364,0),0),1)*INDEX(其他调用!AB$5:AB$404,MATCH($K266,其他调用!$X$5:$X$404,0),0)</f>
        <v>15833.908100143453</v>
      </c>
      <c r="AF266" s="12">
        <f>MIN(INDEX(其他调用!$AJ$5:$AJ$364,MATCH($K266,其他调用!$AG$5:$AG$364,0),1)/INDEX(其他调用!AL$5:AL$364,MATCH($K266,其他调用!$AG$5:$AG$364,0),0),1)*INDEX(其他调用!AC$5:AC$404,MATCH($K266,其他调用!$X$5:$X$404,0),0)</f>
        <v>8807.9946521030561</v>
      </c>
      <c r="AG266" s="12">
        <f>求节点(节奏总纲!D$4:D$163,标准城池设计!AE$4:AE$163,$K266)*求节点(节奏总纲!D$4:D$163,攻城基础信息!$AF$5:$AF$164,$K266)</f>
        <v>1063208.5427058584</v>
      </c>
      <c r="AH266" s="12">
        <f>INDEX(其他调用!$AA$5:$AA$404,MATCH($K266,其他调用!$X$5:$X$404,0))*MIN(INDEX(其他调用!AK$5:AK$364,MATCH($K266,其他调用!$AG$5:$AG$364,0),1)/INDEX(其他调用!$AJ$5:$AJ$364,MATCH($K266,其他调用!$AG$5:$AG$364,0),0),5)*求节点(节奏总纲!D$4:D$163,攻城基础信息!$AF$5:$AF$164,$K266)</f>
        <v>456768.57553959091</v>
      </c>
      <c r="AI266" s="12">
        <f>MIN(INDEX(其他调用!$AK$5:$AK$364,MATCH($K266,其他调用!$AG$5:$AG$364,0),1)/INDEX(其他调用!AH$5:AH$364,MATCH($K266,其他调用!$AG$5:$AG$364,0),0),1)*INDEX(其他调用!Y$5:Y$404,MATCH($K266,其他调用!$X$5:$X$404,0),0)</f>
        <v>41668.144773325374</v>
      </c>
      <c r="AJ266" s="12">
        <f>MIN(INDEX(其他调用!$AK$5:$AK$364,MATCH($K266,其他调用!$AG$5:$AG$364,0),1)/INDEX(其他调用!AI$5:AI$364,MATCH($K266,其他调用!$AG$5:$AG$364,0),0),1)*INDEX(其他调用!Z$5:Z$404,MATCH($K266,其他调用!$X$5:$X$404,0),0)</f>
        <v>42825.848148982484</v>
      </c>
      <c r="AK266" s="12">
        <f>MIN(INDEX(其他调用!$AK$5:$AK$364,MATCH($K266,其他调用!$AG$5:$AG$364,0),1)/INDEX(其他调用!AJ$5:AJ$364,MATCH($K266,其他调用!$AG$5:$AG$364,0),0),1)*INDEX(其他调用!AA$5:AA$404,MATCH($K266,其他调用!$X$5:$X$404,0),0)</f>
        <v>44349.108504945107</v>
      </c>
      <c r="AL266" s="12">
        <f>MIN(INDEX(其他调用!$AK$5:$AK$364,MATCH($K266,其他调用!$AG$5:$AG$364,0),1)/INDEX(其他调用!AK$5:AK$364,MATCH($K266,其他调用!$AG$5:$AG$364,0),0),1)*INDEX(其他调用!AB$5:AB$404,MATCH($K266,其他调用!$X$5:$X$404,0),0)</f>
        <v>46594.150637586732</v>
      </c>
      <c r="AM266" s="12">
        <f>MIN(INDEX(其他调用!$AK$5:$AK$364,MATCH($K266,其他调用!$AG$5:$AG$364,0),1)/INDEX(其他调用!AL$5:AL$364,MATCH($K266,其他调用!$AG$5:$AG$364,0),0),1)*INDEX(其他调用!AC$5:AC$404,MATCH($K266,其他调用!$X$5:$X$404,0),0)</f>
        <v>25919.124137863982</v>
      </c>
      <c r="AN266" s="12">
        <f>求节点(节奏总纲!D$4:D$163,标准城池设计!AF$4:AF$163,$K266)*求节点(节奏总纲!D$4:D$163,攻城基础信息!$AG$5:$AG$164,$K266)</f>
        <v>1113181.4428126542</v>
      </c>
      <c r="AO266" s="12">
        <f>INDEX(其他调用!$AA$5:$AA$404,MATCH($K266,其他调用!$X$5:$X$404,0))*MIN(INDEX(其他调用!AL$5:AL$364,MATCH($K266,其他调用!$AG$5:$AG$364,0),1)/INDEX(其他调用!$AJ$5:$AJ$364,MATCH($K266,其他调用!$AG$5:$AG$364,0),0),5)*求节点(节奏总纲!D$4:D$163,攻城基础信息!$AG$5:$AG$164,$K266)</f>
        <v>776109.39883653889</v>
      </c>
      <c r="AP266" s="12">
        <f>MIN(INDEX(其他调用!$AL$5:$AL$364,MATCH($K266,其他调用!$AG$5:$AG$364,0),1)/INDEX(其他调用!AH$5:AH$364,MATCH($K266,其他调用!$AG$5:$AG$364,0),0),1)*INDEX(其他调用!Y$5:Y$404,MATCH($K266,其他调用!$X$5:$X$404,0),0)</f>
        <v>41668.144773325374</v>
      </c>
      <c r="AQ266" s="12">
        <f>MIN(INDEX(其他调用!$AL$5:$AL$364,MATCH($K266,其他调用!$AG$5:$AG$364,0),1)/INDEX(其他调用!AI$5:AI$364,MATCH($K266,其他调用!$AG$5:$AG$364,0),0),1)*INDEX(其他调用!Z$5:Z$404,MATCH($K266,其他调用!$X$5:$X$404,0),0)</f>
        <v>42825.848148982484</v>
      </c>
      <c r="AR266" s="12">
        <f>MIN(INDEX(其他调用!$AL$5:$AL$364,MATCH($K266,其他调用!$AG$5:$AG$364,0),1)/INDEX(其他调用!AJ$5:AJ$364,MATCH($K266,其他调用!$AG$5:$AG$364,0),0),1)*INDEX(其他调用!AA$5:AA$404,MATCH($K266,其他调用!$X$5:$X$404,0),0)</f>
        <v>44349.108504945107</v>
      </c>
      <c r="AS266" s="12">
        <f>MIN(INDEX(其他调用!$AL$5:$AL$364,MATCH($K266,其他调用!$AG$5:$AG$364,0),1)/INDEX(其他调用!AK$5:AK$364,MATCH($K266,其他调用!$AG$5:$AG$364,0),0),1)*INDEX(其他调用!AB$5:AB$404,MATCH($K266,其他调用!$X$5:$X$404,0),0)</f>
        <v>46594.150637586732</v>
      </c>
      <c r="AT266" s="12">
        <f>MIN(INDEX(其他调用!$AL$5:$AL$364,MATCH($K266,其他调用!$AG$5:$AG$364,0),1)/INDEX(其他调用!AL$5:AL$364,MATCH($K266,其他调用!$AG$5:$AG$364,0),0),1)*INDEX(其他调用!AC$5:AC$404,MATCH($K266,其他调用!$X$5:$X$404,0),0)</f>
        <v>50480.695993938905</v>
      </c>
      <c r="AV266" s="14">
        <f>IF(OR(AV$5="大R",AV$5="超R"),MAX(INDEX(其他调用!$H$5:$L$404,MATCH($K266,其他调用!$B$5:$B$404,0),MATCH(AV$5,其他调用!$H$4:$L$4,0))*120*0.85,2),INDEX(其他调用!$H$5:$L$404,MATCH($K266,其他调用!$B$5:$B$404,0),MATCH(AV$5,其他调用!$H$4:$L$4,0))*120*0.85)</f>
        <v>48.921801254999991</v>
      </c>
      <c r="AW266" s="14">
        <f>IF(OR(AW$5="大R",AW$5="超R"),MAX(INDEX(其他调用!$H$5:$L$404,MATCH($K266,其他调用!$B$5:$B$404,0),MATCH(AW$5,其他调用!$H$4:$L$4,0))*120*0.85,2),INDEX(其他调用!$H$5:$L$404,MATCH($K266,其他调用!$B$5:$B$404,0),MATCH(AW$5,其他调用!$H$4:$L$4,0))*120*0.85)</f>
        <v>48.237344010638395</v>
      </c>
      <c r="AX266" s="14">
        <f>IF(OR(AX$5="大R",AX$5="超R"),MAX(INDEX(其他调用!$H$5:$L$404,MATCH($K266,其他调用!$B$5:$B$404,0),MATCH(AX$5,其他调用!$H$4:$L$4,0))*120*0.85,2),INDEX(其他调用!$H$5:$L$404,MATCH($K266,其他调用!$B$5:$B$404,0),MATCH(AX$5,其他调用!$H$4:$L$4,0))*120*0.85)</f>
        <v>3.9376284143615998</v>
      </c>
      <c r="AY266" s="14">
        <f>IF(OR(AY$5="大R",AY$5="超R"),MAX(INDEX(其他调用!$H$5:$L$404,MATCH($K266,其他调用!$B$5:$B$404,0),MATCH(AY$5,其他调用!$H$4:$L$4,0))*120*0.85,2),INDEX(其他调用!$H$5:$L$404,MATCH($K266,其他调用!$B$5:$B$404,0),MATCH(AY$5,其他调用!$H$4:$L$4,0))*120*0.85)</f>
        <v>2</v>
      </c>
      <c r="AZ266" s="14">
        <f>IF(OR(AZ$5="大R",AZ$5="超R"),MAX(INDEX(其他调用!$H$5:$L$404,MATCH($K266,其他调用!$B$5:$B$404,0),MATCH(AZ$5,其他调用!$H$4:$L$4,0))*120*0.85,2),INDEX(其他调用!$H$5:$L$404,MATCH($K266,其他调用!$B$5:$B$404,0),MATCH(AZ$5,其他调用!$H$4:$L$4,0))*120*0.85)</f>
        <v>2</v>
      </c>
      <c r="BA266" s="14">
        <f>INDEX(其他调用!$H$5:$L$404,MATCH($K266,其他调用!$B$5:$B$404,0),MATCH(BA$5,其他调用!$H$4:$L$4,0))*INDEX(其他调用!$M$5:$M$404,MATCH($K266,其他调用!$B$5:$B$404,0))*0.6</f>
        <v>28.777530149999997</v>
      </c>
      <c r="BB266" s="14">
        <f>INDEX(其他调用!$H$5:$L$404,MATCH($K266,其他调用!$B$5:$B$404,0),MATCH(BB$5,其他调用!$H$4:$L$4,0))*INDEX(其他调用!$M$5:$M$404,MATCH($K266,其他调用!$B$5:$B$404,0))*0.6</f>
        <v>28.374908241551999</v>
      </c>
      <c r="BC266" s="14">
        <f>INDEX(其他调用!$H$5:$L$404,MATCH($K266,其他调用!$B$5:$B$404,0),MATCH(BC$5,其他调用!$H$4:$L$4,0))*INDEX(其他调用!$M$5:$M$404,MATCH($K266,其他调用!$B$5:$B$404,0))*0.6</f>
        <v>2.3162520084480001</v>
      </c>
      <c r="BD266" s="14">
        <f>INDEX(其他调用!$H$5:$L$404,MATCH($K266,其他调用!$B$5:$B$404,0),MATCH(BD$5,其他调用!$H$4:$L$4,0))*INDEX(其他调用!$M$5:$M$404,MATCH($K266,其他调用!$B$5:$B$404,0))*0.6</f>
        <v>0.4120776000000001</v>
      </c>
      <c r="BE266" s="14">
        <f>INDEX(其他调用!$H$5:$L$404,MATCH($K266,其他调用!$B$5:$B$404,0),MATCH(BE$5,其他调用!$H$4:$L$4,0))*INDEX(其他调用!$M$5:$M$404,MATCH($K266,其他调用!$B$5:$B$404,0))*0.6</f>
        <v>0.11923199999999998</v>
      </c>
      <c r="BF266" s="14">
        <f>IF(OR(BF$5="大R",BF$5="超R"),0,INDEX(其他调用!$H$5:$L$404,MATCH($K266,其他调用!$B$5:$B$404,0),MATCH(BF$5,其他调用!$H$4:$L$4,0))*50*0.4)</f>
        <v>9.5925100500000013</v>
      </c>
      <c r="BG266" s="14">
        <f>IF(OR(BG$5="大R",BG$5="超R"),0,INDEX(其他调用!$H$5:$L$404,MATCH($K266,其他调用!$B$5:$B$404,0),MATCH(BG$5,其他调用!$H$4:$L$4,0))*50*0.4)</f>
        <v>9.4583027471839998</v>
      </c>
      <c r="BH266" s="14">
        <f>IF(OR(BH$5="大R",BH$5="超R"),0,INDEX(其他调用!$H$5:$L$404,MATCH($K266,其他调用!$B$5:$B$404,0),MATCH(BH$5,其他调用!$H$4:$L$4,0))*50*0.4)</f>
        <v>0.77208400281600009</v>
      </c>
      <c r="BI266" s="14">
        <f>IF(OR(BI$5="大R",BI$5="超R"),0,INDEX(其他调用!$H$5:$L$404,MATCH($K266,其他调用!$B$5:$B$404,0),MATCH(BI$5,其他调用!$H$4:$L$4,0))*50*0.4)</f>
        <v>0</v>
      </c>
      <c r="BJ266" s="14">
        <f>IF(OR(BJ$5="大R",BJ$5="超R"),0,INDEX(其他调用!$H$5:$L$404,MATCH($K266,其他调用!$B$5:$B$404,0),MATCH(BJ$5,其他调用!$H$4:$L$4,0))*50*0.4)</f>
        <v>0</v>
      </c>
      <c r="BL266" s="14">
        <f t="shared" si="523"/>
        <v>261</v>
      </c>
      <c r="BM266" s="14">
        <f t="shared" si="430"/>
        <v>96</v>
      </c>
      <c r="BN266" s="14">
        <f>('疲劳值&amp;地图信息'!$S$10*'疲劳值&amp;地图信息'!$R$10+'疲劳值&amp;地图信息'!$S$11*'疲劳值&amp;地图信息'!$R$11+'疲劳值&amp;地图信息'!$S$12*'疲劳值&amp;地图信息'!$R$12+(BM266-'疲劳值&amp;地图信息'!$S$12-'疲劳值&amp;地图信息'!$S$11-'疲劳值&amp;地图信息'!$S$10)*'疲劳值&amp;地图信息'!$R$13)/BM266</f>
        <v>51.371477246638619</v>
      </c>
      <c r="BO266" s="14">
        <f>INDEX(其他调用!$M$5:$M$404,MATCH(BL266,其他调用!$B$5:$B$404,0))*0.6</f>
        <v>60</v>
      </c>
      <c r="BP266" s="14">
        <f>IF(BO266&gt;SUM('疲劳值&amp;地图信息'!$S$10:$S$12),('疲劳值&amp;地图信息'!$S$10*'疲劳值&amp;地图信息'!$R$10+'疲劳值&amp;地图信息'!$S$11*'疲劳值&amp;地图信息'!$R$11+'疲劳值&amp;地图信息'!$S$12*'疲劳值&amp;地图信息'!$R$12+(BO266-'疲劳值&amp;地图信息'!$S$12-'疲劳值&amp;地图信息'!$S$11-'疲劳值&amp;地图信息'!$S$10)*'疲劳值&amp;地图信息'!$R$13)/BO266,('疲劳值&amp;地图信息'!$S$10*'疲劳值&amp;地图信息'!$R$10+'疲劳值&amp;地图信息'!$S$11*'疲劳值&amp;地图信息'!$R$11+'疲劳值&amp;地图信息'!$S$12*'疲劳值&amp;地图信息'!$R$12+(BO266-'疲劳值&amp;地图信息'!$S$12-'疲劳值&amp;地图信息'!$S$11-'疲劳值&amp;地图信息'!$S$10)*'疲劳值&amp;地图信息'!$R$13)/BO266)</f>
        <v>44.158136341605953</v>
      </c>
      <c r="BQ266" s="14">
        <f t="shared" si="524"/>
        <v>20</v>
      </c>
      <c r="BR266" s="14">
        <f>('疲劳值&amp;地图信息'!$S$10*'疲劳值&amp;地图信息'!$R$10+($BQ266-'疲劳值&amp;地图信息'!$S$10)*'疲劳值&amp;地图信息'!$R$11)/$BQ266</f>
        <v>32.067203015074995</v>
      </c>
      <c r="CF266" s="14">
        <v>261</v>
      </c>
      <c r="CG266" s="51">
        <f t="shared" si="431"/>
        <v>15066</v>
      </c>
      <c r="CH266" s="51">
        <f t="shared" si="432"/>
        <v>1100</v>
      </c>
      <c r="CI266" s="51">
        <f>INT(SUMPRODUCT($N266:$R266,$BA266:$BE266)/SUM($BA266:$BE266)/10000*$BX$7*$BZ$34/'疲劳值&amp;地图信息'!$R$10*$BY$53)</f>
        <v>3310</v>
      </c>
      <c r="CJ266" s="50">
        <f t="shared" si="433"/>
        <v>0.7735674676524954</v>
      </c>
      <c r="CK266" s="50">
        <f t="shared" si="434"/>
        <v>5.6479769973300474E-2</v>
      </c>
      <c r="CL266" s="50">
        <f t="shared" si="435"/>
        <v>0.16995276237420415</v>
      </c>
      <c r="CM266" s="14">
        <f t="shared" si="436"/>
        <v>16385</v>
      </c>
      <c r="CN266" s="14">
        <f t="shared" si="437"/>
        <v>1856</v>
      </c>
      <c r="CO266" s="14">
        <f>INT(SUMPRODUCT($U266:$Y266,$BA266:$BE266)/SUM($BA266:$BE266)/10000*$BX$7*$BZ$34/'疲劳值&amp;地图信息'!$R$10*$BY$54)</f>
        <v>6288</v>
      </c>
      <c r="CP266" s="50">
        <f t="shared" si="438"/>
        <v>0.66798483427779365</v>
      </c>
      <c r="CQ266" s="50">
        <f t="shared" si="439"/>
        <v>7.5665538750050956E-2</v>
      </c>
      <c r="CR266" s="50">
        <f t="shared" si="440"/>
        <v>0.25634962697215541</v>
      </c>
      <c r="CS266" s="14">
        <f t="shared" si="441"/>
        <v>17967</v>
      </c>
      <c r="CT266" s="14">
        <f t="shared" si="442"/>
        <v>3163</v>
      </c>
      <c r="CU266" s="14">
        <f>INT(SUMPRODUCT($AB266:$AF266,$BA266:$BE266)/SUM($BA266:$BE266)/10000*$BX$7*$BZ$34/'疲劳值&amp;地图信息'!$R$10*$BY$55)</f>
        <v>8538</v>
      </c>
      <c r="CV266" s="50">
        <f t="shared" si="443"/>
        <v>0.6056019954159364</v>
      </c>
      <c r="CW266" s="50">
        <f t="shared" si="444"/>
        <v>0.10661318592422812</v>
      </c>
      <c r="CX266" s="50">
        <f t="shared" si="445"/>
        <v>0.28778481865983552</v>
      </c>
      <c r="CY266" s="14">
        <f t="shared" si="446"/>
        <v>21669</v>
      </c>
      <c r="CZ266" s="14">
        <f t="shared" si="447"/>
        <v>9309</v>
      </c>
      <c r="DA266" s="14">
        <f>INT(SUMPRODUCT($AI266:$AM266,$BA266:$BE266)/SUM($BA266:$BE266)/10000*$BX$7*$BZ$34/'疲劳值&amp;地图信息'!$R$10*$BY$56)</f>
        <v>12882</v>
      </c>
      <c r="DB266" s="50">
        <f t="shared" si="448"/>
        <v>0.49404924760601915</v>
      </c>
      <c r="DC266" s="50">
        <f t="shared" si="449"/>
        <v>0.21224350205198358</v>
      </c>
      <c r="DD266" s="50">
        <f t="shared" si="450"/>
        <v>0.29370725034199724</v>
      </c>
      <c r="DE266" s="14">
        <f t="shared" si="451"/>
        <v>22688</v>
      </c>
      <c r="DF266" s="14">
        <f t="shared" si="452"/>
        <v>15818</v>
      </c>
      <c r="DG266" s="14">
        <f>INT(SUMPRODUCT($AP266:$AT266,$BA266:$BE266)/SUM($BA266:$BE266)/10000*$BX$7*$BZ$34/'疲劳值&amp;地图信息'!$R$10*$BY$57)</f>
        <v>17196</v>
      </c>
      <c r="DH266" s="50">
        <f t="shared" si="453"/>
        <v>0.40731032997019856</v>
      </c>
      <c r="DI266" s="50">
        <f t="shared" si="454"/>
        <v>0.28397544073821407</v>
      </c>
      <c r="DJ266" s="50">
        <f t="shared" si="455"/>
        <v>0.30871422929158737</v>
      </c>
      <c r="DL266" s="14">
        <f t="shared" si="421"/>
        <v>19476</v>
      </c>
      <c r="DM266" s="14">
        <f t="shared" si="422"/>
        <v>24529</v>
      </c>
      <c r="DN266" s="14">
        <f t="shared" si="423"/>
        <v>29668</v>
      </c>
      <c r="DO266" s="14">
        <f t="shared" si="424"/>
        <v>43860</v>
      </c>
      <c r="DP266" s="14">
        <f t="shared" si="425"/>
        <v>55702</v>
      </c>
      <c r="DQ266" s="14">
        <f t="shared" si="426"/>
        <v>1349913</v>
      </c>
      <c r="DT266" s="14">
        <f t="shared" si="420"/>
        <v>235575</v>
      </c>
      <c r="DU266" s="50">
        <f t="shared" si="427"/>
        <v>0.14858201386576247</v>
      </c>
      <c r="DW266" s="14">
        <f t="shared" si="456"/>
        <v>1585488</v>
      </c>
      <c r="EB266" s="14">
        <v>261</v>
      </c>
      <c r="EC266" s="51">
        <f t="shared" si="457"/>
        <v>25110</v>
      </c>
      <c r="ED266" s="51">
        <f t="shared" si="458"/>
        <v>1833</v>
      </c>
      <c r="EE266" s="51">
        <f>INT(SUMPRODUCT($N266:$R266,$BF266:$BJ266)/SUM($BF266:$BJ266)/10000*$BX$7*$BZ$46/'疲劳值&amp;地图信息'!$R$10*$BY$53)</f>
        <v>444</v>
      </c>
      <c r="EF266" s="50">
        <f t="shared" si="459"/>
        <v>0.91685836345711469</v>
      </c>
      <c r="EG266" s="50">
        <f t="shared" si="460"/>
        <v>6.692956512213824E-2</v>
      </c>
      <c r="EH266" s="50">
        <f t="shared" si="461"/>
        <v>1.6212071420747071E-2</v>
      </c>
      <c r="EI266" s="51">
        <f t="shared" si="462"/>
        <v>27308</v>
      </c>
      <c r="EJ266" s="51">
        <f t="shared" si="463"/>
        <v>3093</v>
      </c>
      <c r="EK266" s="14">
        <f>INT(SUMPRODUCT($U266:$Y266,$BF266:$BJ266)/SUM($BF266:$BJ266)/10000*$BX$7*$BZ$46/'疲劳值&amp;地图信息'!$R$10*$BY$54)</f>
        <v>844</v>
      </c>
      <c r="EL266" s="50">
        <f t="shared" si="464"/>
        <v>0.87399583933429348</v>
      </c>
      <c r="EM266" s="50">
        <f t="shared" si="465"/>
        <v>9.8991838694191064E-2</v>
      </c>
      <c r="EN266" s="50">
        <f t="shared" si="466"/>
        <v>2.7012321971515443E-2</v>
      </c>
      <c r="EO266" s="51">
        <f t="shared" si="467"/>
        <v>29946</v>
      </c>
      <c r="EP266" s="51">
        <f t="shared" si="468"/>
        <v>5272</v>
      </c>
      <c r="EQ266" s="14">
        <f>INT(SUMPRODUCT($AB266:$AF266,$BF266:$BJ266)/SUM($BF266:$BJ266)/10000*$BX$7*$BZ$46/'疲劳值&amp;地图信息'!$R$10*$BY$55)</f>
        <v>1145</v>
      </c>
      <c r="ER266" s="50">
        <f t="shared" si="469"/>
        <v>0.82352941176470584</v>
      </c>
      <c r="ES266" s="50">
        <f t="shared" si="470"/>
        <v>0.14498253719440091</v>
      </c>
      <c r="ET266" s="50">
        <f t="shared" si="471"/>
        <v>3.1488051040893215E-2</v>
      </c>
      <c r="EU266" s="51">
        <f t="shared" si="472"/>
        <v>36115</v>
      </c>
      <c r="EV266" s="51">
        <f t="shared" si="473"/>
        <v>15515</v>
      </c>
      <c r="EW266" s="14">
        <f>INT(SUMPRODUCT($AI266:$AM266,$BF266:$BJ266)/SUM($BF266:$BJ266)/10000*$BX$7*$BZ$46/'疲劳值&amp;地图信息'!$R$10*$BY$56)</f>
        <v>1717</v>
      </c>
      <c r="EX266" s="50">
        <f t="shared" si="474"/>
        <v>0.67698277316437661</v>
      </c>
      <c r="EY266" s="50">
        <f t="shared" si="475"/>
        <v>0.29083172437063004</v>
      </c>
      <c r="EZ266" s="50">
        <f t="shared" si="476"/>
        <v>3.2185502464993347E-2</v>
      </c>
      <c r="FA266" s="51">
        <f t="shared" si="477"/>
        <v>37813</v>
      </c>
      <c r="FB266" s="51">
        <f t="shared" si="478"/>
        <v>26363</v>
      </c>
      <c r="FC266" s="14">
        <f>INT(SUMPRODUCT($AP266:$AT266,$BF266:$BJ266)/SUM($BF266:$BJ266)/10000*$BX$7*$BZ$46/'疲劳值&amp;地图信息'!$R$10*$BY$57)</f>
        <v>2290</v>
      </c>
      <c r="FD266" s="50">
        <f t="shared" si="479"/>
        <v>0.56890741130803724</v>
      </c>
      <c r="FE266" s="50">
        <f t="shared" si="480"/>
        <v>0.3966388830379442</v>
      </c>
      <c r="FF266" s="50">
        <f t="shared" si="481"/>
        <v>3.4453705654018597E-2</v>
      </c>
      <c r="FH266" s="14">
        <f t="shared" si="482"/>
        <v>27387</v>
      </c>
      <c r="FI266" s="14">
        <f t="shared" si="483"/>
        <v>31245</v>
      </c>
      <c r="FJ266" s="14">
        <f t="shared" si="484"/>
        <v>36363</v>
      </c>
      <c r="FK266" s="14">
        <f t="shared" si="485"/>
        <v>53347</v>
      </c>
      <c r="FL266" s="14">
        <f t="shared" si="486"/>
        <v>66466</v>
      </c>
      <c r="FM266" s="14">
        <f t="shared" si="487"/>
        <v>3229807</v>
      </c>
      <c r="FP266" s="14">
        <f t="shared" si="488"/>
        <v>334150</v>
      </c>
      <c r="FQ266" s="50">
        <f t="shared" si="428"/>
        <v>9.3758145791321273E-2</v>
      </c>
      <c r="FS266" s="14">
        <f t="shared" si="489"/>
        <v>3563957</v>
      </c>
      <c r="FX266" s="14">
        <v>261</v>
      </c>
      <c r="FY266" s="51">
        <f t="shared" si="490"/>
        <v>35154</v>
      </c>
      <c r="FZ266" s="51">
        <f t="shared" si="491"/>
        <v>1833</v>
      </c>
      <c r="GA266" s="51">
        <f>INT(SUMPRODUCT($N266:$R266,$BF266:$BJ266)/SUM($BF266:$BJ266)/10000*$BX$7*$BZ$46/'疲劳值&amp;地图信息'!$R$10*$BY$53)</f>
        <v>444</v>
      </c>
      <c r="GB266" s="50">
        <f t="shared" si="492"/>
        <v>0.93916806924741525</v>
      </c>
      <c r="GC266" s="50">
        <f t="shared" si="493"/>
        <v>4.8970104993187463E-2</v>
      </c>
      <c r="GD266" s="50">
        <f t="shared" si="494"/>
        <v>1.1861825759397291E-2</v>
      </c>
      <c r="GE266" s="51">
        <f t="shared" si="495"/>
        <v>38232</v>
      </c>
      <c r="GF266" s="51">
        <f t="shared" si="496"/>
        <v>3093</v>
      </c>
      <c r="GG266" s="14">
        <f>INT(SUMPRODUCT($U266:$Y266,$BF266:$BJ266)/SUM($BF266:$BJ266)/10000*$BX$7*$BZ$46/'疲劳值&amp;地图信息'!$R$10*$BY$54)</f>
        <v>844</v>
      </c>
      <c r="GH266" s="50">
        <f t="shared" si="497"/>
        <v>0.90663757736726036</v>
      </c>
      <c r="GI266" s="50">
        <f t="shared" si="498"/>
        <v>7.3347719889018004E-2</v>
      </c>
      <c r="GJ266" s="50">
        <f t="shared" si="499"/>
        <v>2.0014702743721691E-2</v>
      </c>
      <c r="GK266" s="51">
        <f t="shared" si="500"/>
        <v>41924</v>
      </c>
      <c r="GL266" s="51">
        <f t="shared" si="501"/>
        <v>5272</v>
      </c>
      <c r="GM266" s="14">
        <f>INT(SUMPRODUCT($AB266:$AF266,$BF266:$BJ266)/SUM($BF266:$BJ266)/10000*$BX$7*$BZ$46/'疲劳值&amp;地图信息'!$R$10*$BY$55)</f>
        <v>1145</v>
      </c>
      <c r="GN266" s="50">
        <f t="shared" si="502"/>
        <v>0.86725553877660788</v>
      </c>
      <c r="GO266" s="50">
        <f t="shared" si="503"/>
        <v>0.10905856312446992</v>
      </c>
      <c r="GP266" s="50">
        <f t="shared" si="504"/>
        <v>2.3685898098922239E-2</v>
      </c>
      <c r="GQ266" s="51">
        <f t="shared" si="505"/>
        <v>50562</v>
      </c>
      <c r="GR266" s="51">
        <f t="shared" si="506"/>
        <v>15515</v>
      </c>
      <c r="GS266" s="14">
        <f>INT(SUMPRODUCT($AI266:$AM266,$BF266:$BJ266)/SUM($BF266:$BJ266)/10000*$BX$7*$BZ$46/'疲劳值&amp;地图信息'!$R$10*$BY$56)</f>
        <v>1717</v>
      </c>
      <c r="GT266" s="50">
        <f t="shared" si="507"/>
        <v>0.74581821400123904</v>
      </c>
      <c r="GU266" s="50">
        <f t="shared" si="508"/>
        <v>0.22885506091984542</v>
      </c>
      <c r="GV266" s="50">
        <f t="shared" si="509"/>
        <v>2.5326725078915539E-2</v>
      </c>
      <c r="GW266" s="51">
        <f t="shared" si="510"/>
        <v>52938</v>
      </c>
      <c r="GX266" s="51">
        <f t="shared" si="511"/>
        <v>26363</v>
      </c>
      <c r="GY266" s="14">
        <f>INT(SUMPRODUCT($AP266:$AT266,$BF266:$BJ266)/SUM($BF266:$BJ266)/10000*$BX$7*$BZ$46/'疲劳值&amp;地图信息'!$R$10*$BY$57)</f>
        <v>2290</v>
      </c>
      <c r="GZ266" s="50">
        <f t="shared" si="512"/>
        <v>0.64882156120160317</v>
      </c>
      <c r="HA266" s="50">
        <f t="shared" si="513"/>
        <v>0.3231116177029329</v>
      </c>
      <c r="HB266" s="50">
        <f t="shared" si="514"/>
        <v>2.8066821095463962E-2</v>
      </c>
      <c r="HD266" s="14">
        <f t="shared" si="515"/>
        <v>37431</v>
      </c>
      <c r="HE266" s="14">
        <f t="shared" si="516"/>
        <v>42169</v>
      </c>
      <c r="HF266" s="14">
        <f t="shared" si="517"/>
        <v>48341</v>
      </c>
      <c r="HG266" s="14">
        <f t="shared" si="518"/>
        <v>67794</v>
      </c>
      <c r="HH266" s="14">
        <f t="shared" si="519"/>
        <v>81591</v>
      </c>
      <c r="HI266" s="14">
        <f t="shared" si="520"/>
        <v>4354431</v>
      </c>
      <c r="HL266" s="14">
        <f t="shared" si="521"/>
        <v>430050</v>
      </c>
      <c r="HM266" s="50">
        <f t="shared" si="429"/>
        <v>8.9884357362898917E-2</v>
      </c>
      <c r="HO266" s="14">
        <f t="shared" si="522"/>
        <v>4784481</v>
      </c>
    </row>
    <row r="267" spans="11:223" x14ac:dyDescent="0.2">
      <c r="K267" s="14">
        <v>262</v>
      </c>
      <c r="L267" s="12">
        <f>求节点(节奏总纲!D$4:D$163,标准城池设计!AB$4:AB$163,$K267)*求节点(节奏总纲!D$4:D$163,攻城基础信息!$AC$5:$AC$164,$K267)</f>
        <v>740358.50328974135</v>
      </c>
      <c r="M267" s="12">
        <f>INDEX(其他调用!$AA$5:$AA$404,MATCH(K267,其他调用!$X$5:$X$404,0))*MIN(INDEX(其他调用!$AH$5:$AH$364,MATCH('征服点（新）'!K267,其他调用!$AG$5:$AG$364,0),1)/INDEX(其他调用!$AJ$5:$AJ$364,MATCH(K267,其他调用!$AG$5:$AG$364,0),0),5)*求节点(节奏总纲!D$4:D$163,攻城基础信息!$AC$5:$AC$164,$K267)</f>
        <v>53954.858533102139</v>
      </c>
      <c r="N267" s="12">
        <f>MIN(INDEX(其他调用!$AH$5:$AH$364,MATCH($K267,其他调用!$AG$5:$AG$364,0),1)/INDEX(其他调用!AH$5:AH$364,MATCH($K267,其他调用!$AG$5:$AG$364,0),0),1)*INDEX(其他调用!Y$5:Y$404,MATCH($K267,其他调用!$X$5:$X$404,0),0)</f>
        <v>41690.189006501263</v>
      </c>
      <c r="O267" s="12">
        <f>MIN(INDEX(其他调用!$AH$5:$AH$364,MATCH($K267,其他调用!$AG$5:$AG$364,0),1)/INDEX(其他调用!AI$5:AI$364,MATCH($K267,其他调用!$AG$5:$AG$364,0),0),1)*INDEX(其他调用!Z$5:Z$404,MATCH($K267,其他调用!$X$5:$X$404,0),0)</f>
        <v>25381.353355156851</v>
      </c>
      <c r="P267" s="12">
        <f>MIN(INDEX(其他调用!$AH$5:$AH$364,MATCH($K267,其他调用!$AG$5:$AG$364,0),1)/INDEX(其他调用!AJ$5:AJ$364,MATCH($K267,其他调用!$AG$5:$AG$364,0),0),1)*INDEX(其他调用!AA$5:AA$404,MATCH($K267,其他调用!$X$5:$X$404,0),0)</f>
        <v>15415.67386660062</v>
      </c>
      <c r="Q267" s="12">
        <f>MIN(INDEX(其他调用!$AH$5:$AH$364,MATCH($K267,其他调用!$AG$5:$AG$364,0),1)/INDEX(其他调用!AK$5:AK$364,MATCH($K267,其他调用!$AG$5:$AG$364,0),0),1)*INDEX(其他调用!AB$5:AB$404,MATCH($K267,其他调用!$X$5:$X$404,0),0)</f>
        <v>5512.180693659735</v>
      </c>
      <c r="R267" s="12">
        <f>MIN(INDEX(其他调用!$AH$5:$AH$364,MATCH($K267,其他调用!$AG$5:$AG$364,0),1)/INDEX(其他调用!AL$5:AL$364,MATCH($K267,其他调用!$AG$5:$AG$364,0),0),1)*INDEX(其他调用!AC$5:AC$404,MATCH($K267,其他调用!$X$5:$X$404,0),0)</f>
        <v>3070.0737904625985</v>
      </c>
      <c r="S267" s="12">
        <f>求节点(节奏总纲!D$4:D$163,标准城池设计!AC$4:AC$163,$K267)*求节点(节奏总纲!D$4:D$163,攻城基础信息!$AD$5:$AD$164,$K267)</f>
        <v>805428.60563211993</v>
      </c>
      <c r="T267" s="12">
        <f>INDEX(其他调用!$AA$5:$AA$404,MATCH($K267,其他调用!$X$5:$X$404,0))*MIN(INDEX(其他调用!AI$5:AI$364,MATCH($K267,其他调用!$AG$5:$AG$364,0),1)/INDEX(其他调用!$AJ$5:$AJ$364,MATCH($K267,其他调用!$AG$5:$AG$364,0),0),5)*求节点(节奏总纲!D$4:D$163,攻城基础信息!$AD$5:$AD$164,$K267)</f>
        <v>91084.380494283309</v>
      </c>
      <c r="U267" s="12">
        <f>MIN(INDEX(其他调用!$AI$5:$AI$364,MATCH($K267,其他调用!$AG$5:$AG$364,0),1)/INDEX(其他调用!AH$5:AH$364,MATCH($K267,其他调用!$AG$5:$AG$364,0),0),1)*INDEX(其他调用!Y$5:Y$404,MATCH($K267,其他调用!$X$5:$X$404,0),0)</f>
        <v>41690.189006501263</v>
      </c>
      <c r="V267" s="12">
        <f>MIN(INDEX(其他调用!$AI$5:$AI$364,MATCH($K267,其他调用!$AG$5:$AG$364,0),1)/INDEX(其他调用!AI$5:AI$364,MATCH($K267,其他调用!$AG$5:$AG$364,0),0),1)*INDEX(其他调用!Z$5:Z$404,MATCH($K267,其他调用!$X$5:$X$404,0),0)</f>
        <v>42847.760318797024</v>
      </c>
      <c r="W267" s="12">
        <f>MIN(INDEX(其他调用!$AI$5:$AI$364,MATCH($K267,其他调用!$AG$5:$AG$364,0),1)/INDEX(其他调用!AJ$5:AJ$364,MATCH($K267,其他调用!$AG$5:$AG$364,0),0),1)*INDEX(其他调用!AA$5:AA$404,MATCH($K267,其他调用!$X$5:$X$404,0),0)</f>
        <v>26024.108712652389</v>
      </c>
      <c r="X267" s="12">
        <f>MIN(INDEX(其他调用!$AI$5:$AI$364,MATCH($K267,其他调用!$AG$5:$AG$364,0),1)/INDEX(其他调用!AK$5:AK$364,MATCH($K267,其他调用!$AG$5:$AG$364,0),0),1)*INDEX(其他调用!AB$5:AB$404,MATCH($K267,其他调用!$X$5:$X$404,0),0)</f>
        <v>9305.4374954299255</v>
      </c>
      <c r="Y267" s="12">
        <f>MIN(INDEX(其他调用!$AI$5:$AI$364,MATCH($K267,其他调用!$AG$5:$AG$364,0),1)/INDEX(其他调用!AL$5:AL$364,MATCH($K267,其他调用!$AG$5:$AG$364,0),0),1)*INDEX(其他调用!AC$5:AC$404,MATCH($K267,其他调用!$X$5:$X$404,0),0)</f>
        <v>5182.7727266574357</v>
      </c>
      <c r="Z267" s="12">
        <f>求节点(节奏总纲!D$4:D$163,标准城池设计!AD$4:AD$163,$K267)*求节点(节奏总纲!D$4:D$163,攻城基础信息!$AE$5:$AE$164,$K267)</f>
        <v>883081.94021123485</v>
      </c>
      <c r="AA267" s="12">
        <f>INDEX(其他调用!$AA$5:$AA$404,MATCH($K267,其他调用!$X$5:$X$404,0))*MIN(INDEX(其他调用!AJ$5:AJ$364,MATCH($K267,其他调用!$AG$5:$AG$364,0),1)/INDEX(其他调用!$AJ$5:$AJ$364,MATCH($K267,其他调用!$AG$5:$AG$364,0),0),5)*求节点(节奏总纲!D$4:D$163,攻城基础信息!$AE$5:$AE$164,$K267)</f>
        <v>155298.89566249488</v>
      </c>
      <c r="AB267" s="12">
        <f>MIN(INDEX(其他调用!$AJ$5:$AJ$364,MATCH($K267,其他调用!$AG$5:$AG$364,0),1)/INDEX(其他调用!AH$5:AH$364,MATCH($K267,其他调用!$AG$5:$AG$364,0),0),1)*INDEX(其他调用!Y$5:Y$404,MATCH($K267,其他调用!$X$5:$X$404,0),0)</f>
        <v>41690.189006501263</v>
      </c>
      <c r="AC267" s="12">
        <f>MIN(INDEX(其他调用!$AJ$5:$AJ$364,MATCH($K267,其他调用!$AG$5:$AG$364,0),1)/INDEX(其他调用!AI$5:AI$364,MATCH($K267,其他调用!$AG$5:$AG$364,0),0),1)*INDEX(其他调用!Z$5:Z$404,MATCH($K267,其他调用!$X$5:$X$404,0),0)</f>
        <v>42847.760318797024</v>
      </c>
      <c r="AD267" s="12">
        <f>MIN(INDEX(其他调用!$AJ$5:$AJ$364,MATCH($K267,其他调用!$AG$5:$AG$364,0),1)/INDEX(其他调用!AJ$5:AJ$364,MATCH($K267,其他调用!$AG$5:$AG$364,0),0),1)*INDEX(其他调用!AA$5:AA$404,MATCH($K267,其他调用!$X$5:$X$404,0),0)</f>
        <v>44371.113046427134</v>
      </c>
      <c r="AE267" s="12">
        <f>MIN(INDEX(其他调用!$AJ$5:$AJ$364,MATCH($K267,其他调用!$AG$5:$AG$364,0),1)/INDEX(其他调用!AK$5:AK$364,MATCH($K267,其他调用!$AG$5:$AG$364,0),0),1)*INDEX(其他调用!AB$5:AB$404,MATCH($K267,其他调用!$X$5:$X$404,0),0)</f>
        <v>15865.773679904858</v>
      </c>
      <c r="AF267" s="12">
        <f>MIN(INDEX(其他调用!$AJ$5:$AJ$364,MATCH($K267,其他调用!$AG$5:$AG$364,0),1)/INDEX(其他调用!AL$5:AL$364,MATCH($K267,其他调用!$AG$5:$AG$364,0),0),1)*INDEX(其他调用!AC$5:AC$404,MATCH($K267,其他调用!$X$5:$X$404,0),0)</f>
        <v>8836.6290307053623</v>
      </c>
      <c r="AG267" s="12">
        <f>求节点(节奏总纲!D$4:D$163,标准城池设计!AE$4:AE$163,$K267)*求节点(节奏总纲!D$4:D$163,攻城基础信息!$AF$5:$AF$164,$K267)</f>
        <v>1065119.6897193596</v>
      </c>
      <c r="AH267" s="12">
        <f>INDEX(其他调用!$AA$5:$AA$404,MATCH($K267,其他调用!$X$5:$X$404,0))*MIN(INDEX(其他调用!AK$5:AK$364,MATCH($K267,其他调用!$AG$5:$AG$364,0),1)/INDEX(其他调用!$AJ$5:$AJ$364,MATCH($K267,其他调用!$AG$5:$AG$364,0),0),5)*求节点(节奏总纲!D$4:D$163,攻城基础信息!$AF$5:$AF$164,$K267)</f>
        <v>456300.76581664232</v>
      </c>
      <c r="AI267" s="12">
        <f>MIN(INDEX(其他调用!$AK$5:$AK$364,MATCH($K267,其他调用!$AG$5:$AG$364,0),1)/INDEX(其他调用!AH$5:AH$364,MATCH($K267,其他调用!$AG$5:$AG$364,0),0),1)*INDEX(其他调用!Y$5:Y$404,MATCH($K267,其他调用!$X$5:$X$404,0),0)</f>
        <v>41690.189006501263</v>
      </c>
      <c r="AJ267" s="12">
        <f>MIN(INDEX(其他调用!$AK$5:$AK$364,MATCH($K267,其他调用!$AG$5:$AG$364,0),1)/INDEX(其他调用!AI$5:AI$364,MATCH($K267,其他调用!$AG$5:$AG$364,0),0),1)*INDEX(其他调用!Z$5:Z$404,MATCH($K267,其他调用!$X$5:$X$404,0),0)</f>
        <v>42847.760318797024</v>
      </c>
      <c r="AK267" s="12">
        <f>MIN(INDEX(其他调用!$AK$5:$AK$364,MATCH($K267,其他调用!$AG$5:$AG$364,0),1)/INDEX(其他调用!AJ$5:AJ$364,MATCH($K267,其他调用!$AG$5:$AG$364,0),0),1)*INDEX(其他调用!AA$5:AA$404,MATCH($K267,其他调用!$X$5:$X$404,0),0)</f>
        <v>44371.113046427134</v>
      </c>
      <c r="AL267" s="12">
        <f>MIN(INDEX(其他调用!$AK$5:$AK$364,MATCH($K267,其他调用!$AG$5:$AG$364,0),1)/INDEX(其他调用!AK$5:AK$364,MATCH($K267,其他调用!$AG$5:$AG$364,0),0),1)*INDEX(其他调用!AB$5:AB$404,MATCH($K267,其他调用!$X$5:$X$404,0),0)</f>
        <v>46616.974638039814</v>
      </c>
      <c r="AM267" s="12">
        <f>MIN(INDEX(其他调用!$AK$5:$AK$364,MATCH($K267,其他调用!$AG$5:$AG$364,0),1)/INDEX(其他调用!AL$5:AL$364,MATCH($K267,其他调用!$AG$5:$AG$364,0),0),1)*INDEX(其他调用!AC$5:AC$404,MATCH($K267,其他调用!$X$5:$X$404,0),0)</f>
        <v>25963.871647299868</v>
      </c>
      <c r="AN267" s="12">
        <f>求节点(节奏总纲!D$4:D$163,标准城池设计!AF$4:AF$163,$K267)*求节点(节奏总纲!D$4:D$163,攻城基础信息!$AG$5:$AG$164,$K267)</f>
        <v>1115186.5189721903</v>
      </c>
      <c r="AO267" s="12">
        <f>INDEX(其他调用!$AA$5:$AA$404,MATCH($K267,其他调用!$X$5:$X$404,0))*MIN(INDEX(其他调用!AL$5:AL$364,MATCH($K267,其他调用!$AG$5:$AG$364,0),1)/INDEX(其他调用!$AJ$5:$AJ$364,MATCH($K267,其他调用!$AG$5:$AG$364,0),0),5)*求节点(节奏总纲!D$4:D$163,攻城基础信息!$AG$5:$AG$164,$K267)</f>
        <v>776494.47831247433</v>
      </c>
      <c r="AP267" s="12">
        <f>MIN(INDEX(其他调用!$AL$5:$AL$364,MATCH($K267,其他调用!$AG$5:$AG$364,0),1)/INDEX(其他调用!AH$5:AH$364,MATCH($K267,其他调用!$AG$5:$AG$364,0),0),1)*INDEX(其他调用!Y$5:Y$404,MATCH($K267,其他调用!$X$5:$X$404,0),0)</f>
        <v>41690.189006501263</v>
      </c>
      <c r="AQ267" s="12">
        <f>MIN(INDEX(其他调用!$AL$5:$AL$364,MATCH($K267,其他调用!$AG$5:$AG$364,0),1)/INDEX(其他调用!AI$5:AI$364,MATCH($K267,其他调用!$AG$5:$AG$364,0),0),1)*INDEX(其他调用!Z$5:Z$404,MATCH($K267,其他调用!$X$5:$X$404,0),0)</f>
        <v>42847.760318797024</v>
      </c>
      <c r="AR267" s="12">
        <f>MIN(INDEX(其他调用!$AL$5:$AL$364,MATCH($K267,其他调用!$AG$5:$AG$364,0),1)/INDEX(其他调用!AJ$5:AJ$364,MATCH($K267,其他调用!$AG$5:$AG$364,0),0),1)*INDEX(其他调用!AA$5:AA$404,MATCH($K267,其他调用!$X$5:$X$404,0),0)</f>
        <v>44371.113046427134</v>
      </c>
      <c r="AS267" s="12">
        <f>MIN(INDEX(其他调用!$AL$5:$AL$364,MATCH($K267,其他调用!$AG$5:$AG$364,0),1)/INDEX(其他调用!AK$5:AK$364,MATCH($K267,其他调用!$AG$5:$AG$364,0),0),1)*INDEX(其他调用!AB$5:AB$404,MATCH($K267,其他调用!$X$5:$X$404,0),0)</f>
        <v>46616.974638039814</v>
      </c>
      <c r="AT267" s="12">
        <f>MIN(INDEX(其他调用!$AL$5:$AL$364,MATCH($K267,其他调用!$AG$5:$AG$364,0),1)/INDEX(其他调用!AL$5:AL$364,MATCH($K267,其他调用!$AG$5:$AG$364,0),0),1)*INDEX(其他调用!AC$5:AC$404,MATCH($K267,其他调用!$X$5:$X$404,0),0)</f>
        <v>50503.107451711672</v>
      </c>
      <c r="AV267" s="14">
        <f>IF(OR(AV$5="大R",AV$5="超R"),MAX(INDEX(其他调用!$H$5:$L$404,MATCH($K267,其他调用!$B$5:$B$404,0),MATCH(AV$5,其他调用!$H$4:$L$4,0))*120*0.85,2),INDEX(其他调用!$H$5:$L$404,MATCH($K267,其他调用!$B$5:$B$404,0),MATCH(AV$5,其他调用!$H$4:$L$4,0))*120*0.85)</f>
        <v>48.921801254999991</v>
      </c>
      <c r="AW267" s="14">
        <f>IF(OR(AW$5="大R",AW$5="超R"),MAX(INDEX(其他调用!$H$5:$L$404,MATCH($K267,其他调用!$B$5:$B$404,0),MATCH(AW$5,其他调用!$H$4:$L$4,0))*120*0.85,2),INDEX(其他调用!$H$5:$L$404,MATCH($K267,其他调用!$B$5:$B$404,0),MATCH(AW$5,其他调用!$H$4:$L$4,0))*120*0.85)</f>
        <v>48.237344010638395</v>
      </c>
      <c r="AX267" s="14">
        <f>IF(OR(AX$5="大R",AX$5="超R"),MAX(INDEX(其他调用!$H$5:$L$404,MATCH($K267,其他调用!$B$5:$B$404,0),MATCH(AX$5,其他调用!$H$4:$L$4,0))*120*0.85,2),INDEX(其他调用!$H$5:$L$404,MATCH($K267,其他调用!$B$5:$B$404,0),MATCH(AX$5,其他调用!$H$4:$L$4,0))*120*0.85)</f>
        <v>3.9376284143615998</v>
      </c>
      <c r="AY267" s="14">
        <f>IF(OR(AY$5="大R",AY$5="超R"),MAX(INDEX(其他调用!$H$5:$L$404,MATCH($K267,其他调用!$B$5:$B$404,0),MATCH(AY$5,其他调用!$H$4:$L$4,0))*120*0.85,2),INDEX(其他调用!$H$5:$L$404,MATCH($K267,其他调用!$B$5:$B$404,0),MATCH(AY$5,其他调用!$H$4:$L$4,0))*120*0.85)</f>
        <v>2</v>
      </c>
      <c r="AZ267" s="14">
        <f>IF(OR(AZ$5="大R",AZ$5="超R"),MAX(INDEX(其他调用!$H$5:$L$404,MATCH($K267,其他调用!$B$5:$B$404,0),MATCH(AZ$5,其他调用!$H$4:$L$4,0))*120*0.85,2),INDEX(其他调用!$H$5:$L$404,MATCH($K267,其他调用!$B$5:$B$404,0),MATCH(AZ$5,其他调用!$H$4:$L$4,0))*120*0.85)</f>
        <v>2</v>
      </c>
      <c r="BA267" s="14">
        <f>INDEX(其他调用!$H$5:$L$404,MATCH($K267,其他调用!$B$5:$B$404,0),MATCH(BA$5,其他调用!$H$4:$L$4,0))*INDEX(其他调用!$M$5:$M$404,MATCH($K267,其他调用!$B$5:$B$404,0))*0.6</f>
        <v>28.777530149999997</v>
      </c>
      <c r="BB267" s="14">
        <f>INDEX(其他调用!$H$5:$L$404,MATCH($K267,其他调用!$B$5:$B$404,0),MATCH(BB$5,其他调用!$H$4:$L$4,0))*INDEX(其他调用!$M$5:$M$404,MATCH($K267,其他调用!$B$5:$B$404,0))*0.6</f>
        <v>28.374908241551999</v>
      </c>
      <c r="BC267" s="14">
        <f>INDEX(其他调用!$H$5:$L$404,MATCH($K267,其他调用!$B$5:$B$404,0),MATCH(BC$5,其他调用!$H$4:$L$4,0))*INDEX(其他调用!$M$5:$M$404,MATCH($K267,其他调用!$B$5:$B$404,0))*0.6</f>
        <v>2.3162520084480001</v>
      </c>
      <c r="BD267" s="14">
        <f>INDEX(其他调用!$H$5:$L$404,MATCH($K267,其他调用!$B$5:$B$404,0),MATCH(BD$5,其他调用!$H$4:$L$4,0))*INDEX(其他调用!$M$5:$M$404,MATCH($K267,其他调用!$B$5:$B$404,0))*0.6</f>
        <v>0.4120776000000001</v>
      </c>
      <c r="BE267" s="14">
        <f>INDEX(其他调用!$H$5:$L$404,MATCH($K267,其他调用!$B$5:$B$404,0),MATCH(BE$5,其他调用!$H$4:$L$4,0))*INDEX(其他调用!$M$5:$M$404,MATCH($K267,其他调用!$B$5:$B$404,0))*0.6</f>
        <v>0.11923199999999998</v>
      </c>
      <c r="BF267" s="14">
        <f>IF(OR(BF$5="大R",BF$5="超R"),0,INDEX(其他调用!$H$5:$L$404,MATCH($K267,其他调用!$B$5:$B$404,0),MATCH(BF$5,其他调用!$H$4:$L$4,0))*50*0.4)</f>
        <v>9.5925100500000013</v>
      </c>
      <c r="BG267" s="14">
        <f>IF(OR(BG$5="大R",BG$5="超R"),0,INDEX(其他调用!$H$5:$L$404,MATCH($K267,其他调用!$B$5:$B$404,0),MATCH(BG$5,其他调用!$H$4:$L$4,0))*50*0.4)</f>
        <v>9.4583027471839998</v>
      </c>
      <c r="BH267" s="14">
        <f>IF(OR(BH$5="大R",BH$5="超R"),0,INDEX(其他调用!$H$5:$L$404,MATCH($K267,其他调用!$B$5:$B$404,0),MATCH(BH$5,其他调用!$H$4:$L$4,0))*50*0.4)</f>
        <v>0.77208400281600009</v>
      </c>
      <c r="BI267" s="14">
        <f>IF(OR(BI$5="大R",BI$5="超R"),0,INDEX(其他调用!$H$5:$L$404,MATCH($K267,其他调用!$B$5:$B$404,0),MATCH(BI$5,其他调用!$H$4:$L$4,0))*50*0.4)</f>
        <v>0</v>
      </c>
      <c r="BJ267" s="14">
        <f>IF(OR(BJ$5="大R",BJ$5="超R"),0,INDEX(其他调用!$H$5:$L$404,MATCH($K267,其他调用!$B$5:$B$404,0),MATCH(BJ$5,其他调用!$H$4:$L$4,0))*50*0.4)</f>
        <v>0</v>
      </c>
      <c r="BL267" s="14">
        <f t="shared" si="523"/>
        <v>262</v>
      </c>
      <c r="BM267" s="14">
        <f t="shared" si="430"/>
        <v>96</v>
      </c>
      <c r="BN267" s="14">
        <f>('疲劳值&amp;地图信息'!$S$10*'疲劳值&amp;地图信息'!$R$10+'疲劳值&amp;地图信息'!$S$11*'疲劳值&amp;地图信息'!$R$11+'疲劳值&amp;地图信息'!$S$12*'疲劳值&amp;地图信息'!$R$12+(BM267-'疲劳值&amp;地图信息'!$S$12-'疲劳值&amp;地图信息'!$S$11-'疲劳值&amp;地图信息'!$S$10)*'疲劳值&amp;地图信息'!$R$13)/BM267</f>
        <v>51.371477246638619</v>
      </c>
      <c r="BO267" s="14">
        <f>INDEX(其他调用!$M$5:$M$404,MATCH(BL267,其他调用!$B$5:$B$404,0))*0.6</f>
        <v>60</v>
      </c>
      <c r="BP267" s="14">
        <f>IF(BO267&gt;SUM('疲劳值&amp;地图信息'!$S$10:$S$12),('疲劳值&amp;地图信息'!$S$10*'疲劳值&amp;地图信息'!$R$10+'疲劳值&amp;地图信息'!$S$11*'疲劳值&amp;地图信息'!$R$11+'疲劳值&amp;地图信息'!$S$12*'疲劳值&amp;地图信息'!$R$12+(BO267-'疲劳值&amp;地图信息'!$S$12-'疲劳值&amp;地图信息'!$S$11-'疲劳值&amp;地图信息'!$S$10)*'疲劳值&amp;地图信息'!$R$13)/BO267,('疲劳值&amp;地图信息'!$S$10*'疲劳值&amp;地图信息'!$R$10+'疲劳值&amp;地图信息'!$S$11*'疲劳值&amp;地图信息'!$R$11+'疲劳值&amp;地图信息'!$S$12*'疲劳值&amp;地图信息'!$R$12+(BO267-'疲劳值&amp;地图信息'!$S$12-'疲劳值&amp;地图信息'!$S$11-'疲劳值&amp;地图信息'!$S$10)*'疲劳值&amp;地图信息'!$R$13)/BO267)</f>
        <v>44.158136341605953</v>
      </c>
      <c r="BQ267" s="14">
        <f t="shared" si="524"/>
        <v>20</v>
      </c>
      <c r="BR267" s="14">
        <f>('疲劳值&amp;地图信息'!$S$10*'疲劳值&amp;地图信息'!$R$10+($BQ267-'疲劳值&amp;地图信息'!$S$10)*'疲劳值&amp;地图信息'!$R$11)/$BQ267</f>
        <v>32.067203015074995</v>
      </c>
      <c r="CF267" s="14">
        <v>262</v>
      </c>
      <c r="CG267" s="51">
        <f t="shared" si="431"/>
        <v>15089</v>
      </c>
      <c r="CH267" s="51">
        <f t="shared" si="432"/>
        <v>1099</v>
      </c>
      <c r="CI267" s="51">
        <f>INT(SUMPRODUCT($N267:$R267,$BA267:$BE267)/SUM($BA267:$BE267)/10000*$BX$7*$BZ$34/'疲劳值&amp;地图信息'!$R$10*$BY$53)</f>
        <v>3311</v>
      </c>
      <c r="CJ267" s="50">
        <f t="shared" si="433"/>
        <v>0.77383455561823689</v>
      </c>
      <c r="CK267" s="50">
        <f t="shared" si="434"/>
        <v>5.6361864711010824E-2</v>
      </c>
      <c r="CL267" s="50">
        <f t="shared" si="435"/>
        <v>0.16980357967075235</v>
      </c>
      <c r="CM267" s="14">
        <f t="shared" si="436"/>
        <v>16415</v>
      </c>
      <c r="CN267" s="14">
        <f t="shared" si="437"/>
        <v>1856</v>
      </c>
      <c r="CO267" s="14">
        <f>INT(SUMPRODUCT($U267:$Y267,$BA267:$BE267)/SUM($BA267:$BE267)/10000*$BX$7*$BZ$34/'疲劳值&amp;地图信息'!$R$10*$BY$54)</f>
        <v>6291</v>
      </c>
      <c r="CP267" s="50">
        <f t="shared" si="438"/>
        <v>0.66830876964416575</v>
      </c>
      <c r="CQ267" s="50">
        <f t="shared" si="439"/>
        <v>7.5563879162934611E-2</v>
      </c>
      <c r="CR267" s="50">
        <f t="shared" si="440"/>
        <v>0.25612735119289959</v>
      </c>
      <c r="CS267" s="14">
        <f t="shared" si="441"/>
        <v>17998</v>
      </c>
      <c r="CT267" s="14">
        <f t="shared" si="442"/>
        <v>3165</v>
      </c>
      <c r="CU267" s="14">
        <f>INT(SUMPRODUCT($AB267:$AF267,$BA267:$BE267)/SUM($BA267:$BE267)/10000*$BX$7*$BZ$34/'疲劳值&amp;地图信息'!$R$10*$BY$55)</f>
        <v>8543</v>
      </c>
      <c r="CV267" s="50">
        <f t="shared" si="443"/>
        <v>0.60587086783814714</v>
      </c>
      <c r="CW267" s="50">
        <f t="shared" si="444"/>
        <v>0.10654413249848516</v>
      </c>
      <c r="CX267" s="50">
        <f t="shared" si="445"/>
        <v>0.28758499966336765</v>
      </c>
      <c r="CY267" s="14">
        <f t="shared" si="446"/>
        <v>21708</v>
      </c>
      <c r="CZ267" s="14">
        <f t="shared" si="447"/>
        <v>9300</v>
      </c>
      <c r="DA267" s="14">
        <f>INT(SUMPRODUCT($AI267:$AM267,$BA267:$BE267)/SUM($BA267:$BE267)/10000*$BX$7*$BZ$34/'疲劳值&amp;地图信息'!$R$10*$BY$56)</f>
        <v>12889</v>
      </c>
      <c r="DB267" s="50">
        <f t="shared" si="448"/>
        <v>0.49452126569013827</v>
      </c>
      <c r="DC267" s="50">
        <f t="shared" si="449"/>
        <v>0.21185958038134725</v>
      </c>
      <c r="DD267" s="50">
        <f t="shared" si="450"/>
        <v>0.29361915392851445</v>
      </c>
      <c r="DE267" s="14">
        <f t="shared" si="451"/>
        <v>22728</v>
      </c>
      <c r="DF267" s="14">
        <f t="shared" si="452"/>
        <v>15825</v>
      </c>
      <c r="DG267" s="14">
        <f>INT(SUMPRODUCT($AP267:$AT267,$BA267:$BE267)/SUM($BA267:$BE267)/10000*$BX$7*$BZ$34/'疲劳值&amp;地图信息'!$R$10*$BY$57)</f>
        <v>17205</v>
      </c>
      <c r="DH267" s="50">
        <f t="shared" si="453"/>
        <v>0.40761863768427847</v>
      </c>
      <c r="DI267" s="50">
        <f t="shared" si="454"/>
        <v>0.28381577531475305</v>
      </c>
      <c r="DJ267" s="50">
        <f t="shared" si="455"/>
        <v>0.30856558700096848</v>
      </c>
      <c r="DL267" s="14">
        <f t="shared" si="421"/>
        <v>19499</v>
      </c>
      <c r="DM267" s="14">
        <f t="shared" si="422"/>
        <v>24562</v>
      </c>
      <c r="DN267" s="14">
        <f t="shared" si="423"/>
        <v>29706</v>
      </c>
      <c r="DO267" s="14">
        <f t="shared" si="424"/>
        <v>43897</v>
      </c>
      <c r="DP267" s="14">
        <f t="shared" si="425"/>
        <v>55758</v>
      </c>
      <c r="DQ267" s="14">
        <f t="shared" si="426"/>
        <v>1351621</v>
      </c>
      <c r="DT267" s="14">
        <f t="shared" ref="DT267:DT330" si="525">SUM($BX$11:$BX$27)/2+SUM($BY$11:$BY$27)*(60-($BX$34+$BY$34)/60/2)/2</f>
        <v>235575</v>
      </c>
      <c r="DU267" s="50">
        <f t="shared" si="427"/>
        <v>0.1484221230396246</v>
      </c>
      <c r="DW267" s="14">
        <f t="shared" si="456"/>
        <v>1587196</v>
      </c>
      <c r="EB267" s="14">
        <v>262</v>
      </c>
      <c r="EC267" s="51">
        <f t="shared" si="457"/>
        <v>25149</v>
      </c>
      <c r="ED267" s="51">
        <f t="shared" si="458"/>
        <v>1832</v>
      </c>
      <c r="EE267" s="51">
        <f>INT(SUMPRODUCT($N267:$R267,$BF267:$BJ267)/SUM($BF267:$BJ267)/10000*$BX$7*$BZ$46/'疲劳值&amp;地图信息'!$R$10*$BY$53)</f>
        <v>444</v>
      </c>
      <c r="EF267" s="50">
        <f t="shared" si="459"/>
        <v>0.91701002734731085</v>
      </c>
      <c r="EG267" s="50">
        <f t="shared" si="460"/>
        <v>6.6800364630811307E-2</v>
      </c>
      <c r="EH267" s="50">
        <f t="shared" si="461"/>
        <v>1.6189608021877848E-2</v>
      </c>
      <c r="EI267" s="51">
        <f t="shared" si="462"/>
        <v>27359</v>
      </c>
      <c r="EJ267" s="51">
        <f t="shared" si="463"/>
        <v>3094</v>
      </c>
      <c r="EK267" s="14">
        <f>INT(SUMPRODUCT($U267:$Y267,$BF267:$BJ267)/SUM($BF267:$BJ267)/10000*$BX$7*$BZ$46/'疲劳值&amp;地图信息'!$R$10*$BY$54)</f>
        <v>844</v>
      </c>
      <c r="EL267" s="50">
        <f t="shared" si="464"/>
        <v>0.87417324344186342</v>
      </c>
      <c r="EM267" s="50">
        <f t="shared" si="465"/>
        <v>9.8859315589353611E-2</v>
      </c>
      <c r="EN267" s="50">
        <f t="shared" si="466"/>
        <v>2.6967440968782952E-2</v>
      </c>
      <c r="EO267" s="51">
        <f t="shared" si="467"/>
        <v>29997</v>
      </c>
      <c r="EP267" s="51">
        <f t="shared" si="468"/>
        <v>5275</v>
      </c>
      <c r="EQ267" s="14">
        <f>INT(SUMPRODUCT($AB267:$AF267,$BF267:$BJ267)/SUM($BF267:$BJ267)/10000*$BX$7*$BZ$46/'疲劳值&amp;地图信息'!$R$10*$BY$55)</f>
        <v>1145</v>
      </c>
      <c r="ER267" s="50">
        <f t="shared" si="469"/>
        <v>0.82370870747178515</v>
      </c>
      <c r="ES267" s="50">
        <f t="shared" si="470"/>
        <v>0.14484993272372793</v>
      </c>
      <c r="ET267" s="50">
        <f t="shared" si="471"/>
        <v>3.1441359804486917E-2</v>
      </c>
      <c r="EU267" s="51">
        <f t="shared" si="472"/>
        <v>36180</v>
      </c>
      <c r="EV267" s="51">
        <f t="shared" si="473"/>
        <v>15500</v>
      </c>
      <c r="EW267" s="14">
        <f>INT(SUMPRODUCT($AI267:$AM267,$BF267:$BJ267)/SUM($BF267:$BJ267)/10000*$BX$7*$BZ$46/'疲劳值&amp;地图信息'!$R$10*$BY$56)</f>
        <v>1718</v>
      </c>
      <c r="EX267" s="50">
        <f t="shared" si="474"/>
        <v>0.67755346642196335</v>
      </c>
      <c r="EY267" s="50">
        <f t="shared" si="475"/>
        <v>0.29027304393422976</v>
      </c>
      <c r="EZ267" s="50">
        <f t="shared" si="476"/>
        <v>3.2173489643806882E-2</v>
      </c>
      <c r="FA267" s="51">
        <f t="shared" si="477"/>
        <v>37881</v>
      </c>
      <c r="FB267" s="51">
        <f t="shared" si="478"/>
        <v>26376</v>
      </c>
      <c r="FC267" s="14">
        <f>INT(SUMPRODUCT($AP267:$AT267,$BF267:$BJ267)/SUM($BF267:$BJ267)/10000*$BX$7*$BZ$46/'疲劳值&amp;地图信息'!$R$10*$BY$57)</f>
        <v>2291</v>
      </c>
      <c r="FD267" s="50">
        <f t="shared" si="479"/>
        <v>0.56922822624271208</v>
      </c>
      <c r="FE267" s="50">
        <f t="shared" si="480"/>
        <v>0.3963454949810663</v>
      </c>
      <c r="FF267" s="50">
        <f t="shared" si="481"/>
        <v>3.4426278776221675E-2</v>
      </c>
      <c r="FH267" s="14">
        <f t="shared" si="482"/>
        <v>27425</v>
      </c>
      <c r="FI267" s="14">
        <f t="shared" si="483"/>
        <v>31297</v>
      </c>
      <c r="FJ267" s="14">
        <f t="shared" si="484"/>
        <v>36417</v>
      </c>
      <c r="FK267" s="14">
        <f t="shared" si="485"/>
        <v>53398</v>
      </c>
      <c r="FL267" s="14">
        <f t="shared" si="486"/>
        <v>66548</v>
      </c>
      <c r="FM267" s="14">
        <f t="shared" si="487"/>
        <v>3234653</v>
      </c>
      <c r="FP267" s="14">
        <f t="shared" si="488"/>
        <v>334150</v>
      </c>
      <c r="FQ267" s="50">
        <f t="shared" si="428"/>
        <v>9.3630833643661468E-2</v>
      </c>
      <c r="FS267" s="14">
        <f t="shared" si="489"/>
        <v>3568803</v>
      </c>
      <c r="FX267" s="14">
        <v>262</v>
      </c>
      <c r="FY267" s="51">
        <f t="shared" si="490"/>
        <v>35208</v>
      </c>
      <c r="FZ267" s="51">
        <f t="shared" si="491"/>
        <v>1832</v>
      </c>
      <c r="GA267" s="51">
        <f>INT(SUMPRODUCT($N267:$R267,$BF267:$BJ267)/SUM($BF267:$BJ267)/10000*$BX$7*$BZ$46/'疲劳值&amp;地图信息'!$R$10*$BY$53)</f>
        <v>444</v>
      </c>
      <c r="GB267" s="50">
        <f t="shared" si="492"/>
        <v>0.93928075979084413</v>
      </c>
      <c r="GC267" s="50">
        <f t="shared" si="493"/>
        <v>4.8874186319496318E-2</v>
      </c>
      <c r="GD267" s="50">
        <f t="shared" si="494"/>
        <v>1.1845053889659589E-2</v>
      </c>
      <c r="GE267" s="51">
        <f t="shared" si="495"/>
        <v>38303</v>
      </c>
      <c r="GF267" s="51">
        <f t="shared" si="496"/>
        <v>3094</v>
      </c>
      <c r="GG267" s="14">
        <f>INT(SUMPRODUCT($U267:$Y267,$BF267:$BJ267)/SUM($BF267:$BJ267)/10000*$BX$7*$BZ$46/'疲劳值&amp;地图信息'!$R$10*$BY$54)</f>
        <v>844</v>
      </c>
      <c r="GH267" s="50">
        <f t="shared" si="497"/>
        <v>0.90677304041097517</v>
      </c>
      <c r="GI267" s="50">
        <f t="shared" si="498"/>
        <v>7.3246372008238442E-2</v>
      </c>
      <c r="GJ267" s="50">
        <f t="shared" si="499"/>
        <v>1.9980587580786441E-2</v>
      </c>
      <c r="GK267" s="51">
        <f t="shared" si="500"/>
        <v>41996</v>
      </c>
      <c r="GL267" s="51">
        <f t="shared" si="501"/>
        <v>5275</v>
      </c>
      <c r="GM267" s="14">
        <f>INT(SUMPRODUCT($AB267:$AF267,$BF267:$BJ267)/SUM($BF267:$BJ267)/10000*$BX$7*$BZ$46/'疲劳值&amp;地图信息'!$R$10*$BY$55)</f>
        <v>1145</v>
      </c>
      <c r="GN267" s="50">
        <f t="shared" si="502"/>
        <v>0.86739920687376071</v>
      </c>
      <c r="GO267" s="50">
        <f t="shared" si="503"/>
        <v>0.10895158625247851</v>
      </c>
      <c r="GP267" s="50">
        <f t="shared" si="504"/>
        <v>2.364920687376074E-2</v>
      </c>
      <c r="GQ267" s="51">
        <f t="shared" si="505"/>
        <v>50653</v>
      </c>
      <c r="GR267" s="51">
        <f t="shared" si="506"/>
        <v>15500</v>
      </c>
      <c r="GS267" s="14">
        <f>INT(SUMPRODUCT($AI267:$AM267,$BF267:$BJ267)/SUM($BF267:$BJ267)/10000*$BX$7*$BZ$46/'疲劳值&amp;地图信息'!$R$10*$BY$56)</f>
        <v>1718</v>
      </c>
      <c r="GT267" s="50">
        <f t="shared" si="507"/>
        <v>0.74631285821632209</v>
      </c>
      <c r="GU267" s="50">
        <f t="shared" si="508"/>
        <v>0.22837441617185544</v>
      </c>
      <c r="GV267" s="50">
        <f t="shared" si="509"/>
        <v>2.5312725611822427E-2</v>
      </c>
      <c r="GW267" s="51">
        <f t="shared" si="510"/>
        <v>53034</v>
      </c>
      <c r="GX267" s="51">
        <f t="shared" si="511"/>
        <v>26376</v>
      </c>
      <c r="GY267" s="14">
        <f>INT(SUMPRODUCT($AP267:$AT267,$BF267:$BJ267)/SUM($BF267:$BJ267)/10000*$BX$7*$BZ$46/'疲劳值&amp;地图信息'!$R$10*$BY$57)</f>
        <v>2291</v>
      </c>
      <c r="GZ267" s="50">
        <f t="shared" si="512"/>
        <v>0.64912302175003977</v>
      </c>
      <c r="HA267" s="50">
        <f t="shared" si="513"/>
        <v>0.32283570580531451</v>
      </c>
      <c r="HB267" s="50">
        <f t="shared" si="514"/>
        <v>2.8041272444645722E-2</v>
      </c>
      <c r="HD267" s="14">
        <f t="shared" si="515"/>
        <v>37484</v>
      </c>
      <c r="HE267" s="14">
        <f t="shared" si="516"/>
        <v>42241</v>
      </c>
      <c r="HF267" s="14">
        <f t="shared" si="517"/>
        <v>48416</v>
      </c>
      <c r="HG267" s="14">
        <f t="shared" si="518"/>
        <v>67871</v>
      </c>
      <c r="HH267" s="14">
        <f t="shared" si="519"/>
        <v>81701</v>
      </c>
      <c r="HI267" s="14">
        <f t="shared" si="520"/>
        <v>4361166</v>
      </c>
      <c r="HL267" s="14">
        <f t="shared" si="521"/>
        <v>430050</v>
      </c>
      <c r="HM267" s="50">
        <f t="shared" si="429"/>
        <v>8.9758007153090152E-2</v>
      </c>
      <c r="HO267" s="14">
        <f t="shared" si="522"/>
        <v>4791216</v>
      </c>
    </row>
    <row r="268" spans="11:223" x14ac:dyDescent="0.2">
      <c r="K268" s="14">
        <v>263</v>
      </c>
      <c r="L268" s="12">
        <f>求节点(节奏总纲!D$4:D$163,标准城池设计!AB$4:AB$163,$K268)*求节点(节奏总纲!D$4:D$163,攻城基础信息!$AC$5:$AC$164,$K268)</f>
        <v>741497.18892152933</v>
      </c>
      <c r="M268" s="12">
        <f>INDEX(其他调用!$AA$5:$AA$404,MATCH(K268,其他调用!$X$5:$X$404,0))*MIN(INDEX(其他调用!$AH$5:$AH$364,MATCH('征服点（新）'!K268,其他调用!$AG$5:$AG$364,0),1)/INDEX(其他调用!$AJ$5:$AJ$364,MATCH(K268,其他调用!$AG$5:$AG$364,0),0),5)*求节点(节奏总纲!D$4:D$163,攻城基础信息!$AC$5:$AC$164,$K268)</f>
        <v>53933.921362691952</v>
      </c>
      <c r="N268" s="12">
        <f>MIN(INDEX(其他调用!$AH$5:$AH$364,MATCH($K268,其他调用!$AG$5:$AG$364,0),1)/INDEX(其他调用!AH$5:AH$364,MATCH($K268,其他调用!$AG$5:$AG$364,0),0),1)*INDEX(其他调用!Y$5:Y$404,MATCH($K268,其他调用!$X$5:$X$404,0),0)</f>
        <v>41712.23323967716</v>
      </c>
      <c r="O268" s="12">
        <f>MIN(INDEX(其他调用!$AH$5:$AH$364,MATCH($K268,其他调用!$AG$5:$AG$364,0),1)/INDEX(其他调用!AI$5:AI$364,MATCH($K268,其他调用!$AG$5:$AG$364,0),0),1)*INDEX(其他调用!Z$5:Z$404,MATCH($K268,其他调用!$X$5:$X$404,0),0)</f>
        <v>25379.603062992359</v>
      </c>
      <c r="P268" s="12">
        <f>MIN(INDEX(其他调用!$AH$5:$AH$364,MATCH($K268,其他调用!$AG$5:$AG$364,0),1)/INDEX(其他调用!AJ$5:AJ$364,MATCH($K268,其他调用!$AG$5:$AG$364,0),0),1)*INDEX(其他调用!AA$5:AA$404,MATCH($K268,其他调用!$X$5:$X$404,0),0)</f>
        <v>15409.691817911997</v>
      </c>
      <c r="Q268" s="12">
        <f>MIN(INDEX(其他调用!$AH$5:$AH$364,MATCH($K268,其他调用!$AG$5:$AG$364,0),1)/INDEX(其他调用!AK$5:AK$364,MATCH($K268,其他调用!$AG$5:$AG$364,0),0),1)*INDEX(其他调用!AB$5:AB$404,MATCH($K268,其他调用!$X$5:$X$404,0),0)</f>
        <v>5518.3098061532301</v>
      </c>
      <c r="R268" s="12">
        <f>MIN(INDEX(其他调用!$AH$5:$AH$364,MATCH($K268,其他调用!$AG$5:$AG$364,0),1)/INDEX(其他调用!AL$5:AL$364,MATCH($K268,其他调用!$AG$5:$AG$364,0),0),1)*INDEX(其他调用!AC$5:AC$404,MATCH($K268,其他调用!$X$5:$X$404,0),0)</f>
        <v>3077.2583763281746</v>
      </c>
      <c r="S268" s="12">
        <f>求节点(节奏总纲!D$4:D$163,标准城池设计!AC$4:AC$163,$K268)*求节点(节奏总纲!D$4:D$163,攻城基础信息!$AD$5:$AD$164,$K268)</f>
        <v>806920.46174408216</v>
      </c>
      <c r="T268" s="12">
        <f>INDEX(其他调用!$AA$5:$AA$404,MATCH($K268,其他调用!$X$5:$X$404,0))*MIN(INDEX(其他调用!AI$5:AI$364,MATCH($K268,其他调用!$AG$5:$AG$364,0),1)/INDEX(其他调用!$AJ$5:$AJ$364,MATCH($K268,其他调用!$AG$5:$AG$364,0),0),5)*求节点(节奏总纲!D$4:D$163,攻城基础信息!$AD$5:$AD$164,$K268)</f>
        <v>91101.879690805712</v>
      </c>
      <c r="U268" s="12">
        <f>MIN(INDEX(其他调用!$AI$5:$AI$364,MATCH($K268,其他调用!$AG$5:$AG$364,0),1)/INDEX(其他调用!AH$5:AH$364,MATCH($K268,其他调用!$AG$5:$AG$364,0),0),1)*INDEX(其他调用!Y$5:Y$404,MATCH($K268,其他调用!$X$5:$X$404,0),0)</f>
        <v>41712.23323967716</v>
      </c>
      <c r="V268" s="12">
        <f>MIN(INDEX(其他调用!$AI$5:$AI$364,MATCH($K268,其他调用!$AG$5:$AG$364,0),1)/INDEX(其他调用!AI$5:AI$364,MATCH($K268,其他调用!$AG$5:$AG$364,0),0),1)*INDEX(其他调用!Z$5:Z$404,MATCH($K268,其他调用!$X$5:$X$404,0),0)</f>
        <v>42869.672488611555</v>
      </c>
      <c r="W268" s="12">
        <f>MIN(INDEX(其他调用!$AI$5:$AI$364,MATCH($K268,其他调用!$AG$5:$AG$364,0),1)/INDEX(其他调用!AJ$5:AJ$364,MATCH($K268,其他调用!$AG$5:$AG$364,0),0),1)*INDEX(其他调用!AA$5:AA$404,MATCH($K268,其他调用!$X$5:$X$404,0),0)</f>
        <v>26029.108483087362</v>
      </c>
      <c r="X268" s="12">
        <f>MIN(INDEX(其他调用!$AI$5:$AI$364,MATCH($K268,其他调用!$AG$5:$AG$364,0),1)/INDEX(其他调用!AK$5:AK$364,MATCH($K268,其他调用!$AG$5:$AG$364,0),0),1)*INDEX(其他调用!AB$5:AB$404,MATCH($K268,其他调用!$X$5:$X$404,0),0)</f>
        <v>9321.1912532011884</v>
      </c>
      <c r="Y268" s="12">
        <f>MIN(INDEX(其他调用!$AI$5:$AI$364,MATCH($K268,其他调用!$AG$5:$AG$364,0),1)/INDEX(其他调用!AL$5:AL$364,MATCH($K268,其他调用!$AG$5:$AG$364,0),0),1)*INDEX(其他调用!AC$5:AC$404,MATCH($K268,其他调用!$X$5:$X$404,0),0)</f>
        <v>5197.9165485211233</v>
      </c>
      <c r="Z268" s="12">
        <f>求节点(节奏总纲!D$4:D$163,标准城池设计!AD$4:AD$163,$K268)*求节点(节奏总纲!D$4:D$163,攻城基础信息!$AE$5:$AE$164,$K268)</f>
        <v>884585.93536644476</v>
      </c>
      <c r="AA268" s="12">
        <f>INDEX(其他调用!$AA$5:$AA$404,MATCH($K268,其他调用!$X$5:$X$404,0))*MIN(INDEX(其他调用!AJ$5:AJ$364,MATCH($K268,其他调用!$AG$5:$AG$364,0),1)/INDEX(其他调用!$AJ$5:$AJ$364,MATCH($K268,其他调用!$AG$5:$AG$364,0),0),5)*求节点(节奏总纲!D$4:D$163,攻城基础信息!$AE$5:$AE$164,$K268)</f>
        <v>155375.91155768195</v>
      </c>
      <c r="AB268" s="12">
        <f>MIN(INDEX(其他调用!$AJ$5:$AJ$364,MATCH($K268,其他调用!$AG$5:$AG$364,0),1)/INDEX(其他调用!AH$5:AH$364,MATCH($K268,其他调用!$AG$5:$AG$364,0),0),1)*INDEX(其他调用!Y$5:Y$404,MATCH($K268,其他调用!$X$5:$X$404,0),0)</f>
        <v>41712.23323967716</v>
      </c>
      <c r="AC268" s="12">
        <f>MIN(INDEX(其他调用!$AJ$5:$AJ$364,MATCH($K268,其他调用!$AG$5:$AG$364,0),1)/INDEX(其他调用!AI$5:AI$364,MATCH($K268,其他调用!$AG$5:$AG$364,0),0),1)*INDEX(其他调用!Z$5:Z$404,MATCH($K268,其他调用!$X$5:$X$404,0),0)</f>
        <v>42869.672488611555</v>
      </c>
      <c r="AD268" s="12">
        <f>MIN(INDEX(其他调用!$AJ$5:$AJ$364,MATCH($K268,其他调用!$AG$5:$AG$364,0),1)/INDEX(其他调用!AJ$5:AJ$364,MATCH($K268,其他调用!$AG$5:$AG$364,0),0),1)*INDEX(其他调用!AA$5:AA$404,MATCH($K268,其他调用!$X$5:$X$404,0),0)</f>
        <v>44393.117587909153</v>
      </c>
      <c r="AE268" s="12">
        <f>MIN(INDEX(其他调用!$AJ$5:$AJ$364,MATCH($K268,其他调用!$AG$5:$AG$364,0),1)/INDEX(其他调用!AK$5:AK$364,MATCH($K268,其他调用!$AG$5:$AG$364,0),0),1)*INDEX(其他调用!AB$5:AB$404,MATCH($K268,其他调用!$X$5:$X$404,0),0)</f>
        <v>15897.461091747289</v>
      </c>
      <c r="AF268" s="12">
        <f>MIN(INDEX(其他调用!$AJ$5:$AJ$364,MATCH($K268,其他调用!$AG$5:$AG$364,0),1)/INDEX(其他调用!AL$5:AL$364,MATCH($K268,其他调用!$AG$5:$AG$364,0),0),1)*INDEX(其他调用!AC$5:AC$404,MATCH($K268,其他调用!$X$5:$X$404,0),0)</f>
        <v>8865.1411438301875</v>
      </c>
      <c r="AG268" s="12">
        <f>求节点(节奏总纲!D$4:D$163,标准城池设计!AE$4:AE$163,$K268)*求节点(节奏总纲!D$4:D$163,攻城基础信息!$AF$5:$AF$164,$K268)</f>
        <v>1067030.8367328609</v>
      </c>
      <c r="AH268" s="12">
        <f>INDEX(其他调用!$AA$5:$AA$404,MATCH($K268,其他调用!$X$5:$X$404,0))*MIN(INDEX(其他调用!AK$5:AK$364,MATCH($K268,其他调用!$AG$5:$AG$364,0),1)/INDEX(其他调用!$AJ$5:$AJ$364,MATCH($K268,其他调用!$AG$5:$AG$364,0),0),5)*求节点(节奏总纲!D$4:D$163,攻城基础信息!$AF$5:$AF$164,$K268)</f>
        <v>455840.1613000005</v>
      </c>
      <c r="AI268" s="12">
        <f>MIN(INDEX(其他调用!$AK$5:$AK$364,MATCH($K268,其他调用!$AG$5:$AG$364,0),1)/INDEX(其他调用!AH$5:AH$364,MATCH($K268,其他调用!$AG$5:$AG$364,0),0),1)*INDEX(其他调用!Y$5:Y$404,MATCH($K268,其他调用!$X$5:$X$404,0),0)</f>
        <v>41712.23323967716</v>
      </c>
      <c r="AJ268" s="12">
        <f>MIN(INDEX(其他调用!$AK$5:$AK$364,MATCH($K268,其他调用!$AG$5:$AG$364,0),1)/INDEX(其他调用!AI$5:AI$364,MATCH($K268,其他调用!$AG$5:$AG$364,0),0),1)*INDEX(其他调用!Z$5:Z$404,MATCH($K268,其他调用!$X$5:$X$404,0),0)</f>
        <v>42869.672488611555</v>
      </c>
      <c r="AK268" s="12">
        <f>MIN(INDEX(其他调用!$AK$5:$AK$364,MATCH($K268,其他调用!$AG$5:$AG$364,0),1)/INDEX(其他调用!AJ$5:AJ$364,MATCH($K268,其他调用!$AG$5:$AG$364,0),0),1)*INDEX(其他调用!AA$5:AA$404,MATCH($K268,其他调用!$X$5:$X$404,0),0)</f>
        <v>44393.117587909153</v>
      </c>
      <c r="AL268" s="12">
        <f>MIN(INDEX(其他调用!$AK$5:$AK$364,MATCH($K268,其他调用!$AG$5:$AG$364,0),1)/INDEX(其他调用!AK$5:AK$364,MATCH($K268,其他调用!$AG$5:$AG$364,0),0),1)*INDEX(其他调用!AB$5:AB$404,MATCH($K268,其他调用!$X$5:$X$404,0),0)</f>
        <v>46639.798638492888</v>
      </c>
      <c r="AM268" s="12">
        <f>MIN(INDEX(其他调用!$AK$5:$AK$364,MATCH($K268,其他调用!$AG$5:$AG$364,0),1)/INDEX(其他调用!AL$5:AL$364,MATCH($K268,其他调用!$AG$5:$AG$364,0),0),1)*INDEX(其他调用!AC$5:AC$404,MATCH($K268,其他调用!$X$5:$X$404,0),0)</f>
        <v>26008.454775504924</v>
      </c>
      <c r="AN268" s="12">
        <f>求节点(节奏总纲!D$4:D$163,标准城池设计!AF$4:AF$163,$K268)*求节点(节奏总纲!D$4:D$163,攻城基础信息!$AG$5:$AG$164,$K268)</f>
        <v>1117191.5951317265</v>
      </c>
      <c r="AO268" s="12">
        <f>INDEX(其他调用!$AA$5:$AA$404,MATCH($K268,其他调用!$X$5:$X$404,0))*MIN(INDEX(其他调用!AL$5:AL$364,MATCH($K268,其他调用!$AG$5:$AG$364,0),1)/INDEX(其他调用!$AJ$5:$AJ$364,MATCH($K268,其他调用!$AG$5:$AG$364,0),0),5)*求节点(节奏总纲!D$4:D$163,攻城基础信息!$AG$5:$AG$164,$K268)</f>
        <v>776879.55778840976</v>
      </c>
      <c r="AP268" s="12">
        <f>MIN(INDEX(其他调用!$AL$5:$AL$364,MATCH($K268,其他调用!$AG$5:$AG$364,0),1)/INDEX(其他调用!AH$5:AH$364,MATCH($K268,其他调用!$AG$5:$AG$364,0),0),1)*INDEX(其他调用!Y$5:Y$404,MATCH($K268,其他调用!$X$5:$X$404,0),0)</f>
        <v>41712.23323967716</v>
      </c>
      <c r="AQ268" s="12">
        <f>MIN(INDEX(其他调用!$AL$5:$AL$364,MATCH($K268,其他调用!$AG$5:$AG$364,0),1)/INDEX(其他调用!AI$5:AI$364,MATCH($K268,其他调用!$AG$5:$AG$364,0),0),1)*INDEX(其他调用!Z$5:Z$404,MATCH($K268,其他调用!$X$5:$X$404,0),0)</f>
        <v>42869.672488611555</v>
      </c>
      <c r="AR268" s="12">
        <f>MIN(INDEX(其他调用!$AL$5:$AL$364,MATCH($K268,其他调用!$AG$5:$AG$364,0),1)/INDEX(其他调用!AJ$5:AJ$364,MATCH($K268,其他调用!$AG$5:$AG$364,0),0),1)*INDEX(其他调用!AA$5:AA$404,MATCH($K268,其他调用!$X$5:$X$404,0),0)</f>
        <v>44393.117587909153</v>
      </c>
      <c r="AS268" s="12">
        <f>MIN(INDEX(其他调用!$AL$5:$AL$364,MATCH($K268,其他调用!$AG$5:$AG$364,0),1)/INDEX(其他调用!AK$5:AK$364,MATCH($K268,其他调用!$AG$5:$AG$364,0),0),1)*INDEX(其他调用!AB$5:AB$404,MATCH($K268,其他调用!$X$5:$X$404,0),0)</f>
        <v>46639.798638492888</v>
      </c>
      <c r="AT268" s="12">
        <f>MIN(INDEX(其他调用!$AL$5:$AL$364,MATCH($K268,其他调用!$AG$5:$AG$364,0),1)/INDEX(其他调用!AL$5:AL$364,MATCH($K268,其他调用!$AG$5:$AG$364,0),0),1)*INDEX(其他调用!AC$5:AC$404,MATCH($K268,其他调用!$X$5:$X$404,0),0)</f>
        <v>50525.518909484454</v>
      </c>
      <c r="AV268" s="14">
        <f>IF(OR(AV$5="大R",AV$5="超R"),MAX(INDEX(其他调用!$H$5:$L$404,MATCH($K268,其他调用!$B$5:$B$404,0),MATCH(AV$5,其他调用!$H$4:$L$4,0))*120*0.85,2),INDEX(其他调用!$H$5:$L$404,MATCH($K268,其他调用!$B$5:$B$404,0),MATCH(AV$5,其他调用!$H$4:$L$4,0))*120*0.85)</f>
        <v>48.921801254999991</v>
      </c>
      <c r="AW268" s="14">
        <f>IF(OR(AW$5="大R",AW$5="超R"),MAX(INDEX(其他调用!$H$5:$L$404,MATCH($K268,其他调用!$B$5:$B$404,0),MATCH(AW$5,其他调用!$H$4:$L$4,0))*120*0.85,2),INDEX(其他调用!$H$5:$L$404,MATCH($K268,其他调用!$B$5:$B$404,0),MATCH(AW$5,其他调用!$H$4:$L$4,0))*120*0.85)</f>
        <v>48.237344010638395</v>
      </c>
      <c r="AX268" s="14">
        <f>IF(OR(AX$5="大R",AX$5="超R"),MAX(INDEX(其他调用!$H$5:$L$404,MATCH($K268,其他调用!$B$5:$B$404,0),MATCH(AX$5,其他调用!$H$4:$L$4,0))*120*0.85,2),INDEX(其他调用!$H$5:$L$404,MATCH($K268,其他调用!$B$5:$B$404,0),MATCH(AX$5,其他调用!$H$4:$L$4,0))*120*0.85)</f>
        <v>3.9376284143615998</v>
      </c>
      <c r="AY268" s="14">
        <f>IF(OR(AY$5="大R",AY$5="超R"),MAX(INDEX(其他调用!$H$5:$L$404,MATCH($K268,其他调用!$B$5:$B$404,0),MATCH(AY$5,其他调用!$H$4:$L$4,0))*120*0.85,2),INDEX(其他调用!$H$5:$L$404,MATCH($K268,其他调用!$B$5:$B$404,0),MATCH(AY$5,其他调用!$H$4:$L$4,0))*120*0.85)</f>
        <v>2</v>
      </c>
      <c r="AZ268" s="14">
        <f>IF(OR(AZ$5="大R",AZ$5="超R"),MAX(INDEX(其他调用!$H$5:$L$404,MATCH($K268,其他调用!$B$5:$B$404,0),MATCH(AZ$5,其他调用!$H$4:$L$4,0))*120*0.85,2),INDEX(其他调用!$H$5:$L$404,MATCH($K268,其他调用!$B$5:$B$404,0),MATCH(AZ$5,其他调用!$H$4:$L$4,0))*120*0.85)</f>
        <v>2</v>
      </c>
      <c r="BA268" s="14">
        <f>INDEX(其他调用!$H$5:$L$404,MATCH($K268,其他调用!$B$5:$B$404,0),MATCH(BA$5,其他调用!$H$4:$L$4,0))*INDEX(其他调用!$M$5:$M$404,MATCH($K268,其他调用!$B$5:$B$404,0))*0.6</f>
        <v>28.777530149999997</v>
      </c>
      <c r="BB268" s="14">
        <f>INDEX(其他调用!$H$5:$L$404,MATCH($K268,其他调用!$B$5:$B$404,0),MATCH(BB$5,其他调用!$H$4:$L$4,0))*INDEX(其他调用!$M$5:$M$404,MATCH($K268,其他调用!$B$5:$B$404,0))*0.6</f>
        <v>28.374908241551999</v>
      </c>
      <c r="BC268" s="14">
        <f>INDEX(其他调用!$H$5:$L$404,MATCH($K268,其他调用!$B$5:$B$404,0),MATCH(BC$5,其他调用!$H$4:$L$4,0))*INDEX(其他调用!$M$5:$M$404,MATCH($K268,其他调用!$B$5:$B$404,0))*0.6</f>
        <v>2.3162520084480001</v>
      </c>
      <c r="BD268" s="14">
        <f>INDEX(其他调用!$H$5:$L$404,MATCH($K268,其他调用!$B$5:$B$404,0),MATCH(BD$5,其他调用!$H$4:$L$4,0))*INDEX(其他调用!$M$5:$M$404,MATCH($K268,其他调用!$B$5:$B$404,0))*0.6</f>
        <v>0.4120776000000001</v>
      </c>
      <c r="BE268" s="14">
        <f>INDEX(其他调用!$H$5:$L$404,MATCH($K268,其他调用!$B$5:$B$404,0),MATCH(BE$5,其他调用!$H$4:$L$4,0))*INDEX(其他调用!$M$5:$M$404,MATCH($K268,其他调用!$B$5:$B$404,0))*0.6</f>
        <v>0.11923199999999998</v>
      </c>
      <c r="BF268" s="14">
        <f>IF(OR(BF$5="大R",BF$5="超R"),0,INDEX(其他调用!$H$5:$L$404,MATCH($K268,其他调用!$B$5:$B$404,0),MATCH(BF$5,其他调用!$H$4:$L$4,0))*50*0.4)</f>
        <v>9.5925100500000013</v>
      </c>
      <c r="BG268" s="14">
        <f>IF(OR(BG$5="大R",BG$5="超R"),0,INDEX(其他调用!$H$5:$L$404,MATCH($K268,其他调用!$B$5:$B$404,0),MATCH(BG$5,其他调用!$H$4:$L$4,0))*50*0.4)</f>
        <v>9.4583027471839998</v>
      </c>
      <c r="BH268" s="14">
        <f>IF(OR(BH$5="大R",BH$5="超R"),0,INDEX(其他调用!$H$5:$L$404,MATCH($K268,其他调用!$B$5:$B$404,0),MATCH(BH$5,其他调用!$H$4:$L$4,0))*50*0.4)</f>
        <v>0.77208400281600009</v>
      </c>
      <c r="BI268" s="14">
        <f>IF(OR(BI$5="大R",BI$5="超R"),0,INDEX(其他调用!$H$5:$L$404,MATCH($K268,其他调用!$B$5:$B$404,0),MATCH(BI$5,其他调用!$H$4:$L$4,0))*50*0.4)</f>
        <v>0</v>
      </c>
      <c r="BJ268" s="14">
        <f>IF(OR(BJ$5="大R",BJ$5="超R"),0,INDEX(其他调用!$H$5:$L$404,MATCH($K268,其他调用!$B$5:$B$404,0),MATCH(BJ$5,其他调用!$H$4:$L$4,0))*50*0.4)</f>
        <v>0</v>
      </c>
      <c r="BL268" s="14">
        <f t="shared" si="523"/>
        <v>263</v>
      </c>
      <c r="BM268" s="14">
        <f t="shared" si="430"/>
        <v>96</v>
      </c>
      <c r="BN268" s="14">
        <f>('疲劳值&amp;地图信息'!$S$10*'疲劳值&amp;地图信息'!$R$10+'疲劳值&amp;地图信息'!$S$11*'疲劳值&amp;地图信息'!$R$11+'疲劳值&amp;地图信息'!$S$12*'疲劳值&amp;地图信息'!$R$12+(BM268-'疲劳值&amp;地图信息'!$S$12-'疲劳值&amp;地图信息'!$S$11-'疲劳值&amp;地图信息'!$S$10)*'疲劳值&amp;地图信息'!$R$13)/BM268</f>
        <v>51.371477246638619</v>
      </c>
      <c r="BO268" s="14">
        <f>INDEX(其他调用!$M$5:$M$404,MATCH(BL268,其他调用!$B$5:$B$404,0))*0.6</f>
        <v>60</v>
      </c>
      <c r="BP268" s="14">
        <f>IF(BO268&gt;SUM('疲劳值&amp;地图信息'!$S$10:$S$12),('疲劳值&amp;地图信息'!$S$10*'疲劳值&amp;地图信息'!$R$10+'疲劳值&amp;地图信息'!$S$11*'疲劳值&amp;地图信息'!$R$11+'疲劳值&amp;地图信息'!$S$12*'疲劳值&amp;地图信息'!$R$12+(BO268-'疲劳值&amp;地图信息'!$S$12-'疲劳值&amp;地图信息'!$S$11-'疲劳值&amp;地图信息'!$S$10)*'疲劳值&amp;地图信息'!$R$13)/BO268,('疲劳值&amp;地图信息'!$S$10*'疲劳值&amp;地图信息'!$R$10+'疲劳值&amp;地图信息'!$S$11*'疲劳值&amp;地图信息'!$R$11+'疲劳值&amp;地图信息'!$S$12*'疲劳值&amp;地图信息'!$R$12+(BO268-'疲劳值&amp;地图信息'!$S$12-'疲劳值&amp;地图信息'!$S$11-'疲劳值&amp;地图信息'!$S$10)*'疲劳值&amp;地图信息'!$R$13)/BO268)</f>
        <v>44.158136341605953</v>
      </c>
      <c r="BQ268" s="14">
        <f t="shared" si="524"/>
        <v>20</v>
      </c>
      <c r="BR268" s="14">
        <f>('疲劳值&amp;地图信息'!$S$10*'疲劳值&amp;地图信息'!$R$10+($BQ268-'疲劳值&amp;地图信息'!$S$10)*'疲劳值&amp;地图信息'!$R$11)/$BQ268</f>
        <v>32.067203015074995</v>
      </c>
      <c r="CF268" s="14">
        <v>263</v>
      </c>
      <c r="CG268" s="51">
        <f t="shared" si="431"/>
        <v>15112</v>
      </c>
      <c r="CH268" s="51">
        <f t="shared" si="432"/>
        <v>1099</v>
      </c>
      <c r="CI268" s="51">
        <f>INT(SUMPRODUCT($N268:$R268,$BA268:$BE268)/SUM($BA268:$BE268)/10000*$BX$7*$BZ$34/'疲劳值&amp;地图信息'!$R$10*$BY$53)</f>
        <v>3312</v>
      </c>
      <c r="CJ268" s="50">
        <f t="shared" si="433"/>
        <v>0.77406136351995081</v>
      </c>
      <c r="CK268" s="50">
        <f t="shared" si="434"/>
        <v>5.6292577984940841E-2</v>
      </c>
      <c r="CL268" s="50">
        <f t="shared" si="435"/>
        <v>0.16964605849510833</v>
      </c>
      <c r="CM268" s="14">
        <f t="shared" si="436"/>
        <v>16446</v>
      </c>
      <c r="CN268" s="14">
        <f t="shared" si="437"/>
        <v>1856</v>
      </c>
      <c r="CO268" s="14">
        <f>INT(SUMPRODUCT($U268:$Y268,$BA268:$BE268)/SUM($BA268:$BE268)/10000*$BX$7*$BZ$34/'疲劳值&amp;地图信息'!$R$10*$BY$54)</f>
        <v>6294</v>
      </c>
      <c r="CP268" s="50">
        <f t="shared" si="438"/>
        <v>0.66864530818019186</v>
      </c>
      <c r="CQ268" s="50">
        <f t="shared" si="439"/>
        <v>7.5459424296633604E-2</v>
      </c>
      <c r="CR268" s="50">
        <f t="shared" si="440"/>
        <v>0.25589526752317449</v>
      </c>
      <c r="CS268" s="14">
        <f t="shared" si="441"/>
        <v>18029</v>
      </c>
      <c r="CT268" s="14">
        <f t="shared" si="442"/>
        <v>3166</v>
      </c>
      <c r="CU268" s="14">
        <f>INT(SUMPRODUCT($AB268:$AF268,$BA268:$BE268)/SUM($BA268:$BE268)/10000*$BX$7*$BZ$34/'疲劳值&amp;地图信息'!$R$10*$BY$55)</f>
        <v>8547</v>
      </c>
      <c r="CV268" s="50">
        <f t="shared" si="443"/>
        <v>0.60617981305897384</v>
      </c>
      <c r="CW268" s="50">
        <f t="shared" si="444"/>
        <v>0.10644879295272679</v>
      </c>
      <c r="CX268" s="50">
        <f t="shared" si="445"/>
        <v>0.28737139398829936</v>
      </c>
      <c r="CY268" s="14">
        <f t="shared" si="446"/>
        <v>21747</v>
      </c>
      <c r="CZ268" s="14">
        <f t="shared" si="447"/>
        <v>9290</v>
      </c>
      <c r="DA268" s="14">
        <f>INT(SUMPRODUCT($AI268:$AM268,$BA268:$BE268)/SUM($BA268:$BE268)/10000*$BX$7*$BZ$34/'疲劳值&amp;地图信息'!$R$10*$BY$56)</f>
        <v>12896</v>
      </c>
      <c r="DB268" s="50">
        <f t="shared" si="448"/>
        <v>0.49500375571893568</v>
      </c>
      <c r="DC268" s="50">
        <f t="shared" si="449"/>
        <v>0.21145835704368016</v>
      </c>
      <c r="DD268" s="50">
        <f t="shared" si="450"/>
        <v>0.29353788723738422</v>
      </c>
      <c r="DE268" s="14">
        <f t="shared" si="451"/>
        <v>22769</v>
      </c>
      <c r="DF268" s="14">
        <f t="shared" si="452"/>
        <v>15833</v>
      </c>
      <c r="DG268" s="14">
        <f>INT(SUMPRODUCT($AP268:$AT268,$BA268:$BE268)/SUM($BA268:$BE268)/10000*$BX$7*$BZ$34/'疲劳值&amp;地图信息'!$R$10*$BY$57)</f>
        <v>17214</v>
      </c>
      <c r="DH268" s="50">
        <f t="shared" si="453"/>
        <v>0.40792962591371651</v>
      </c>
      <c r="DI268" s="50">
        <f t="shared" si="454"/>
        <v>0.28366418231331519</v>
      </c>
      <c r="DJ268" s="50">
        <f t="shared" si="455"/>
        <v>0.30840619177296835</v>
      </c>
      <c r="DL268" s="14">
        <f t="shared" si="421"/>
        <v>19523</v>
      </c>
      <c r="DM268" s="14">
        <f t="shared" si="422"/>
        <v>24596</v>
      </c>
      <c r="DN268" s="14">
        <f t="shared" si="423"/>
        <v>29742</v>
      </c>
      <c r="DO268" s="14">
        <f t="shared" si="424"/>
        <v>43933</v>
      </c>
      <c r="DP268" s="14">
        <f t="shared" si="425"/>
        <v>55816</v>
      </c>
      <c r="DQ268" s="14">
        <f t="shared" si="426"/>
        <v>1353381</v>
      </c>
      <c r="DT268" s="14">
        <f t="shared" si="525"/>
        <v>235575</v>
      </c>
      <c r="DU268" s="50">
        <f t="shared" si="427"/>
        <v>0.14825772393949235</v>
      </c>
      <c r="DW268" s="14">
        <f t="shared" si="456"/>
        <v>1588956</v>
      </c>
      <c r="EB268" s="14">
        <v>263</v>
      </c>
      <c r="EC268" s="51">
        <f t="shared" si="457"/>
        <v>25187</v>
      </c>
      <c r="ED268" s="51">
        <f t="shared" si="458"/>
        <v>1832</v>
      </c>
      <c r="EE268" s="51">
        <f>INT(SUMPRODUCT($N268:$R268,$BF268:$BJ268)/SUM($BF268:$BJ268)/10000*$BX$7*$BZ$46/'疲劳值&amp;地图信息'!$R$10*$BY$53)</f>
        <v>445</v>
      </c>
      <c r="EF268" s="50">
        <f t="shared" si="459"/>
        <v>0.91709146519079521</v>
      </c>
      <c r="EG268" s="50">
        <f t="shared" si="460"/>
        <v>6.670550538887271E-2</v>
      </c>
      <c r="EH268" s="50">
        <f t="shared" si="461"/>
        <v>1.6203029420332072E-2</v>
      </c>
      <c r="EI268" s="51">
        <f t="shared" si="462"/>
        <v>27410</v>
      </c>
      <c r="EJ268" s="51">
        <f t="shared" si="463"/>
        <v>3094</v>
      </c>
      <c r="EK268" s="14">
        <f>INT(SUMPRODUCT($U268:$Y268,$BF268:$BJ268)/SUM($BF268:$BJ268)/10000*$BX$7*$BZ$46/'疲劳值&amp;地图信息'!$R$10*$BY$54)</f>
        <v>845</v>
      </c>
      <c r="EL268" s="50">
        <f t="shared" si="464"/>
        <v>0.87435005901304663</v>
      </c>
      <c r="EM268" s="50">
        <f t="shared" si="465"/>
        <v>9.8695333184471601E-2</v>
      </c>
      <c r="EN268" s="50">
        <f t="shared" si="466"/>
        <v>2.6954607802481739E-2</v>
      </c>
      <c r="EO268" s="51">
        <f t="shared" si="467"/>
        <v>30048</v>
      </c>
      <c r="EP268" s="51">
        <f t="shared" si="468"/>
        <v>5277</v>
      </c>
      <c r="EQ268" s="14">
        <f>INT(SUMPRODUCT($AB268:$AF268,$BF268:$BJ268)/SUM($BF268:$BJ268)/10000*$BX$7*$BZ$46/'疲劳值&amp;地图信息'!$R$10*$BY$55)</f>
        <v>1146</v>
      </c>
      <c r="ER268" s="50">
        <f t="shared" si="469"/>
        <v>0.82388747223821668</v>
      </c>
      <c r="ES268" s="50">
        <f t="shared" si="470"/>
        <v>0.14469030188368842</v>
      </c>
      <c r="ET268" s="50">
        <f t="shared" si="471"/>
        <v>3.1422225878094928E-2</v>
      </c>
      <c r="EU268" s="51">
        <f t="shared" si="472"/>
        <v>36245</v>
      </c>
      <c r="EV268" s="51">
        <f t="shared" si="473"/>
        <v>15484</v>
      </c>
      <c r="EW268" s="14">
        <f>INT(SUMPRODUCT($AI268:$AM268,$BF268:$BJ268)/SUM($BF268:$BJ268)/10000*$BX$7*$BZ$46/'疲劳值&amp;地图信息'!$R$10*$BY$56)</f>
        <v>1719</v>
      </c>
      <c r="EX268" s="50">
        <f t="shared" si="474"/>
        <v>0.6781357581200419</v>
      </c>
      <c r="EY268" s="50">
        <f t="shared" si="475"/>
        <v>0.28970214039814401</v>
      </c>
      <c r="EZ268" s="50">
        <f t="shared" si="476"/>
        <v>3.2162101481814101E-2</v>
      </c>
      <c r="FA268" s="51">
        <f t="shared" si="477"/>
        <v>37949</v>
      </c>
      <c r="FB268" s="51">
        <f t="shared" si="478"/>
        <v>26389</v>
      </c>
      <c r="FC268" s="14">
        <f>INT(SUMPRODUCT($AP268:$AT268,$BF268:$BJ268)/SUM($BF268:$BJ268)/10000*$BX$7*$BZ$46/'疲劳值&amp;地图信息'!$R$10*$BY$57)</f>
        <v>2292</v>
      </c>
      <c r="FD268" s="50">
        <f t="shared" si="479"/>
        <v>0.5695482515383461</v>
      </c>
      <c r="FE268" s="50">
        <f t="shared" si="480"/>
        <v>0.39605282905598077</v>
      </c>
      <c r="FF268" s="50">
        <f t="shared" si="481"/>
        <v>3.439891940567312E-2</v>
      </c>
      <c r="FH268" s="14">
        <f t="shared" si="482"/>
        <v>27464</v>
      </c>
      <c r="FI268" s="14">
        <f t="shared" si="483"/>
        <v>31349</v>
      </c>
      <c r="FJ268" s="14">
        <f t="shared" si="484"/>
        <v>36471</v>
      </c>
      <c r="FK268" s="14">
        <f t="shared" si="485"/>
        <v>53448</v>
      </c>
      <c r="FL268" s="14">
        <f t="shared" si="486"/>
        <v>66630</v>
      </c>
      <c r="FM268" s="14">
        <f t="shared" si="487"/>
        <v>3239546</v>
      </c>
      <c r="FP268" s="14">
        <f t="shared" si="488"/>
        <v>334150</v>
      </c>
      <c r="FQ268" s="50">
        <f t="shared" si="428"/>
        <v>9.3502637045792369E-2</v>
      </c>
      <c r="FS268" s="14">
        <f t="shared" si="489"/>
        <v>3573696</v>
      </c>
      <c r="FX268" s="14">
        <v>263</v>
      </c>
      <c r="FY268" s="51">
        <f t="shared" si="490"/>
        <v>35262</v>
      </c>
      <c r="FZ268" s="51">
        <f t="shared" si="491"/>
        <v>1832</v>
      </c>
      <c r="GA268" s="51">
        <f>INT(SUMPRODUCT($N268:$R268,$BF268:$BJ268)/SUM($BF268:$BJ268)/10000*$BX$7*$BZ$46/'疲劳值&amp;地图信息'!$R$10*$BY$53)</f>
        <v>445</v>
      </c>
      <c r="GB268" s="50">
        <f t="shared" si="492"/>
        <v>0.93934308319347881</v>
      </c>
      <c r="GC268" s="50">
        <f t="shared" si="493"/>
        <v>4.8802578651535734E-2</v>
      </c>
      <c r="GD268" s="50">
        <f t="shared" si="494"/>
        <v>1.1854338154985482E-2</v>
      </c>
      <c r="GE268" s="51">
        <f t="shared" si="495"/>
        <v>38374</v>
      </c>
      <c r="GF268" s="51">
        <f t="shared" si="496"/>
        <v>3094</v>
      </c>
      <c r="GG268" s="14">
        <f>INT(SUMPRODUCT($U268:$Y268,$BF268:$BJ268)/SUM($BF268:$BJ268)/10000*$BX$7*$BZ$46/'疲劳值&amp;地图信息'!$R$10*$BY$54)</f>
        <v>845</v>
      </c>
      <c r="GH268" s="50">
        <f t="shared" si="497"/>
        <v>0.90690804244558409</v>
      </c>
      <c r="GI268" s="50">
        <f t="shared" si="498"/>
        <v>7.3121735636801924E-2</v>
      </c>
      <c r="GJ268" s="50">
        <f t="shared" si="499"/>
        <v>1.9970221917613971E-2</v>
      </c>
      <c r="GK268" s="51">
        <f t="shared" si="500"/>
        <v>42067</v>
      </c>
      <c r="GL268" s="51">
        <f t="shared" si="501"/>
        <v>5277</v>
      </c>
      <c r="GM268" s="14">
        <f>INT(SUMPRODUCT($AB268:$AF268,$BF268:$BJ268)/SUM($BF268:$BJ268)/10000*$BX$7*$BZ$46/'疲劳值&amp;地图信息'!$R$10*$BY$55)</f>
        <v>1146</v>
      </c>
      <c r="GN268" s="50">
        <f t="shared" si="502"/>
        <v>0.86753969890699112</v>
      </c>
      <c r="GO268" s="50">
        <f t="shared" si="503"/>
        <v>0.10882656217776861</v>
      </c>
      <c r="GP268" s="50">
        <f t="shared" si="504"/>
        <v>2.3633738915240256E-2</v>
      </c>
      <c r="GQ268" s="51">
        <f t="shared" si="505"/>
        <v>50744</v>
      </c>
      <c r="GR268" s="51">
        <f t="shared" si="506"/>
        <v>15484</v>
      </c>
      <c r="GS268" s="14">
        <f>INT(SUMPRODUCT($AI268:$AM268,$BF268:$BJ268)/SUM($BF268:$BJ268)/10000*$BX$7*$BZ$46/'疲劳值&amp;地图信息'!$R$10*$BY$56)</f>
        <v>1719</v>
      </c>
      <c r="GT268" s="50">
        <f t="shared" si="507"/>
        <v>0.74681737236375412</v>
      </c>
      <c r="GU268" s="50">
        <f t="shared" si="508"/>
        <v>0.22788349743182187</v>
      </c>
      <c r="GV268" s="50">
        <f t="shared" si="509"/>
        <v>2.5299130204424036E-2</v>
      </c>
      <c r="GW268" s="51">
        <f t="shared" si="510"/>
        <v>53129</v>
      </c>
      <c r="GX268" s="51">
        <f t="shared" si="511"/>
        <v>26389</v>
      </c>
      <c r="GY268" s="14">
        <f>INT(SUMPRODUCT($AP268:$AT268,$BF268:$BJ268)/SUM($BF268:$BJ268)/10000*$BX$7*$BZ$46/'疲劳值&amp;地图信息'!$R$10*$BY$57)</f>
        <v>2292</v>
      </c>
      <c r="GZ268" s="50">
        <f t="shared" si="512"/>
        <v>0.64941938638308272</v>
      </c>
      <c r="HA268" s="50">
        <f t="shared" si="513"/>
        <v>0.32256447867008925</v>
      </c>
      <c r="HB268" s="50">
        <f t="shared" si="514"/>
        <v>2.8016134946828017E-2</v>
      </c>
      <c r="HD268" s="14">
        <f t="shared" si="515"/>
        <v>37539</v>
      </c>
      <c r="HE268" s="14">
        <f t="shared" si="516"/>
        <v>42313</v>
      </c>
      <c r="HF268" s="14">
        <f t="shared" si="517"/>
        <v>48490</v>
      </c>
      <c r="HG268" s="14">
        <f t="shared" si="518"/>
        <v>67947</v>
      </c>
      <c r="HH268" s="14">
        <f t="shared" si="519"/>
        <v>81810</v>
      </c>
      <c r="HI268" s="14">
        <f t="shared" si="520"/>
        <v>4367991</v>
      </c>
      <c r="HL268" s="14">
        <f t="shared" si="521"/>
        <v>430050</v>
      </c>
      <c r="HM268" s="50">
        <f t="shared" si="429"/>
        <v>8.9630330378585754E-2</v>
      </c>
      <c r="HO268" s="14">
        <f t="shared" si="522"/>
        <v>4798041</v>
      </c>
    </row>
    <row r="269" spans="11:223" x14ac:dyDescent="0.2">
      <c r="K269" s="14">
        <v>264</v>
      </c>
      <c r="L269" s="12">
        <f>求节点(节奏总纲!D$4:D$163,标准城池设计!AB$4:AB$163,$K269)*求节点(节奏总纲!D$4:D$163,攻城基础信息!$AC$5:$AC$164,$K269)</f>
        <v>742635.87455331732</v>
      </c>
      <c r="M269" s="12">
        <f>INDEX(其他调用!$AA$5:$AA$404,MATCH(K269,其他调用!$X$5:$X$404,0))*MIN(INDEX(其他调用!$AH$5:$AH$364,MATCH('征服点（新）'!K269,其他调用!$AG$5:$AG$364,0),1)/INDEX(其他调用!$AJ$5:$AJ$364,MATCH(K269,其他调用!$AG$5:$AG$364,0),0),5)*求节点(节奏总纲!D$4:D$163,攻城基础信息!$AC$5:$AC$164,$K269)</f>
        <v>53913.476008109006</v>
      </c>
      <c r="N269" s="12">
        <f>MIN(INDEX(其他调用!$AH$5:$AH$364,MATCH($K269,其他调用!$AG$5:$AG$364,0),1)/INDEX(其他调用!AH$5:AH$364,MATCH($K269,其他调用!$AG$5:$AG$364,0),0),1)*INDEX(其他调用!Y$5:Y$404,MATCH($K269,其他调用!$X$5:$X$404,0),0)</f>
        <v>41734.277472853057</v>
      </c>
      <c r="O269" s="12">
        <f>MIN(INDEX(其他调用!$AH$5:$AH$364,MATCH($K269,其他调用!$AG$5:$AG$364,0),1)/INDEX(其他调用!AI$5:AI$364,MATCH($K269,其他调用!$AG$5:$AG$364,0),0),1)*INDEX(其他调用!Z$5:Z$404,MATCH($K269,其他调用!$X$5:$X$404,0),0)</f>
        <v>25377.995408475745</v>
      </c>
      <c r="P269" s="12">
        <f>MIN(INDEX(其他调用!$AH$5:$AH$364,MATCH($K269,其他调用!$AG$5:$AG$364,0),1)/INDEX(其他调用!AJ$5:AJ$364,MATCH($K269,其他调用!$AG$5:$AG$364,0),0),1)*INDEX(其他调用!AA$5:AA$404,MATCH($K269,其他调用!$X$5:$X$404,0),0)</f>
        <v>15403.850288031155</v>
      </c>
      <c r="Q269" s="12">
        <f>MIN(INDEX(其他调用!$AH$5:$AH$364,MATCH($K269,其他调用!$AG$5:$AG$364,0),1)/INDEX(其他调用!AK$5:AK$364,MATCH($K269,其他调用!$AG$5:$AG$364,0),0),1)*INDEX(其他调用!AB$5:AB$404,MATCH($K269,其他调用!$X$5:$X$404,0),0)</f>
        <v>5524.4136866625795</v>
      </c>
      <c r="R269" s="12">
        <f>MIN(INDEX(其他调用!$AH$5:$AH$364,MATCH($K269,其他调用!$AG$5:$AG$364,0),1)/INDEX(其他调用!AL$5:AL$364,MATCH($K269,其他调用!$AG$5:$AG$364,0),0),1)*INDEX(其他调用!AC$5:AC$404,MATCH($K269,其他调用!$X$5:$X$404,0),0)</f>
        <v>3084.4142665676886</v>
      </c>
      <c r="S269" s="12">
        <f>求节点(节奏总纲!D$4:D$163,标准城池设计!AC$4:AC$163,$K269)*求节点(节奏总纲!D$4:D$163,攻城基础信息!$AD$5:$AD$164,$K269)</f>
        <v>808412.31785604439</v>
      </c>
      <c r="T269" s="12">
        <f>INDEX(其他调用!$AA$5:$AA$404,MATCH($K269,其他调用!$X$5:$X$404,0))*MIN(INDEX(其他调用!AI$5:AI$364,MATCH($K269,其他调用!$AG$5:$AG$364,0),1)/INDEX(其他调用!$AJ$5:$AJ$364,MATCH($K269,其他调用!$AG$5:$AG$364,0),0),5)*求节点(节奏总纲!D$4:D$163,攻城基础信息!$AD$5:$AD$164,$K269)</f>
        <v>91119.664229252885</v>
      </c>
      <c r="U269" s="12">
        <f>MIN(INDEX(其他调用!$AI$5:$AI$364,MATCH($K269,其他调用!$AG$5:$AG$364,0),1)/INDEX(其他调用!AH$5:AH$364,MATCH($K269,其他调用!$AG$5:$AG$364,0),0),1)*INDEX(其他调用!Y$5:Y$404,MATCH($K269,其他调用!$X$5:$X$404,0),0)</f>
        <v>41734.277472853057</v>
      </c>
      <c r="V269" s="12">
        <f>MIN(INDEX(其他调用!$AI$5:$AI$364,MATCH($K269,其他调用!$AG$5:$AG$364,0),1)/INDEX(其他调用!AI$5:AI$364,MATCH($K269,其他调用!$AG$5:$AG$364,0),0),1)*INDEX(其他调用!Z$5:Z$404,MATCH($K269,其他调用!$X$5:$X$404,0),0)</f>
        <v>42891.584658426087</v>
      </c>
      <c r="W269" s="12">
        <f>MIN(INDEX(其他调用!$AI$5:$AI$364,MATCH($K269,其他调用!$AG$5:$AG$364,0),1)/INDEX(其他调用!AJ$5:AJ$364,MATCH($K269,其他调用!$AG$5:$AG$364,0),0),1)*INDEX(其他调用!AA$5:AA$404,MATCH($K269,其他调用!$X$5:$X$404,0),0)</f>
        <v>26034.189779786557</v>
      </c>
      <c r="X269" s="12">
        <f>MIN(INDEX(其他调用!$AI$5:$AI$364,MATCH($K269,其他调用!$AG$5:$AG$364,0),1)/INDEX(其他调用!AK$5:AK$364,MATCH($K269,其他调用!$AG$5:$AG$364,0),0),1)*INDEX(其他调用!AB$5:AB$404,MATCH($K269,其他调用!$X$5:$X$404,0),0)</f>
        <v>9336.8626448138984</v>
      </c>
      <c r="Y269" s="12">
        <f>MIN(INDEX(其他调用!$AI$5:$AI$364,MATCH($K269,其他调用!$AG$5:$AG$364,0),1)/INDEX(其他调用!AL$5:AL$364,MATCH($K269,其他调用!$AG$5:$AG$364,0),0),1)*INDEX(其他调用!AC$5:AC$404,MATCH($K269,其他调用!$X$5:$X$404,0),0)</f>
        <v>5212.9970672136369</v>
      </c>
      <c r="Z269" s="12">
        <f>求节点(节奏总纲!D$4:D$163,标准城池设计!AD$4:AD$163,$K269)*求节点(节奏总纲!D$4:D$163,攻城基础信息!$AE$5:$AE$164,$K269)</f>
        <v>886089.93052165466</v>
      </c>
      <c r="AA269" s="12">
        <f>INDEX(其他调用!$AA$5:$AA$404,MATCH($K269,其他调用!$X$5:$X$404,0))*MIN(INDEX(其他调用!AJ$5:AJ$364,MATCH($K269,其他调用!$AG$5:$AG$364,0),1)/INDEX(其他调用!$AJ$5:$AJ$364,MATCH($K269,其他调用!$AG$5:$AG$364,0),0),5)*求节点(节奏总纲!D$4:D$163,攻城基础信息!$AE$5:$AE$164,$K269)</f>
        <v>155452.92745286904</v>
      </c>
      <c r="AB269" s="12">
        <f>MIN(INDEX(其他调用!$AJ$5:$AJ$364,MATCH($K269,其他调用!$AG$5:$AG$364,0),1)/INDEX(其他调用!AH$5:AH$364,MATCH($K269,其他调用!$AG$5:$AG$364,0),0),1)*INDEX(其他调用!Y$5:Y$404,MATCH($K269,其他调用!$X$5:$X$404,0),0)</f>
        <v>41734.277472853057</v>
      </c>
      <c r="AC269" s="12">
        <f>MIN(INDEX(其他调用!$AJ$5:$AJ$364,MATCH($K269,其他调用!$AG$5:$AG$364,0),1)/INDEX(其他调用!AI$5:AI$364,MATCH($K269,其他调用!$AG$5:$AG$364,0),0),1)*INDEX(其他调用!Z$5:Z$404,MATCH($K269,其他调用!$X$5:$X$404,0),0)</f>
        <v>42891.584658426087</v>
      </c>
      <c r="AD269" s="12">
        <f>MIN(INDEX(其他调用!$AJ$5:$AJ$364,MATCH($K269,其他调用!$AG$5:$AG$364,0),1)/INDEX(其他调用!AJ$5:AJ$364,MATCH($K269,其他调用!$AG$5:$AG$364,0),0),1)*INDEX(其他调用!AA$5:AA$404,MATCH($K269,其他调用!$X$5:$X$404,0),0)</f>
        <v>44415.12212939118</v>
      </c>
      <c r="AE269" s="12">
        <f>MIN(INDEX(其他调用!$AJ$5:$AJ$364,MATCH($K269,其他调用!$AG$5:$AG$364,0),1)/INDEX(其他调用!AK$5:AK$364,MATCH($K269,其他调用!$AG$5:$AG$364,0),0),1)*INDEX(其他调用!AB$5:AB$404,MATCH($K269,其他调用!$X$5:$X$404,0),0)</f>
        <v>15928.972561947714</v>
      </c>
      <c r="AF269" s="12">
        <f>MIN(INDEX(其他调用!$AJ$5:$AJ$364,MATCH($K269,其他调用!$AG$5:$AG$364,0),1)/INDEX(其他调用!AL$5:AL$364,MATCH($K269,其他调用!$AG$5:$AG$364,0),0),1)*INDEX(其他调用!AC$5:AC$404,MATCH($K269,其他调用!$X$5:$X$404,0),0)</f>
        <v>8893.5320576106678</v>
      </c>
      <c r="AG269" s="12">
        <f>求节点(节奏总纲!D$4:D$163,标准城池设计!AE$4:AE$163,$K269)*求节点(节奏总纲!D$4:D$163,攻城基础信息!$AF$5:$AF$164,$K269)</f>
        <v>1068941.9837463622</v>
      </c>
      <c r="AH269" s="12">
        <f>INDEX(其他调用!$AA$5:$AA$404,MATCH($K269,其他调用!$X$5:$X$404,0))*MIN(INDEX(其他调用!AK$5:AK$364,MATCH($K269,其他调用!$AG$5:$AG$364,0),1)/INDEX(其他调用!$AJ$5:$AJ$364,MATCH($K269,其他调用!$AG$5:$AG$364,0),0),5)*求节点(节奏总纲!D$4:D$163,攻城基础信息!$AF$5:$AF$164,$K269)</f>
        <v>455386.63988794695</v>
      </c>
      <c r="AI269" s="12">
        <f>MIN(INDEX(其他调用!$AK$5:$AK$364,MATCH($K269,其他调用!$AG$5:$AG$364,0),1)/INDEX(其他调用!AH$5:AH$364,MATCH($K269,其他调用!$AG$5:$AG$364,0),0),1)*INDEX(其他调用!Y$5:Y$404,MATCH($K269,其他调用!$X$5:$X$404,0),0)</f>
        <v>41734.277472853057</v>
      </c>
      <c r="AJ269" s="12">
        <f>MIN(INDEX(其他调用!$AK$5:$AK$364,MATCH($K269,其他调用!$AG$5:$AG$364,0),1)/INDEX(其他调用!AI$5:AI$364,MATCH($K269,其他调用!$AG$5:$AG$364,0),0),1)*INDEX(其他调用!Z$5:Z$404,MATCH($K269,其他调用!$X$5:$X$404,0),0)</f>
        <v>42891.584658426087</v>
      </c>
      <c r="AK269" s="12">
        <f>MIN(INDEX(其他调用!$AK$5:$AK$364,MATCH($K269,其他调用!$AG$5:$AG$364,0),1)/INDEX(其他调用!AJ$5:AJ$364,MATCH($K269,其他调用!$AG$5:$AG$364,0),0),1)*INDEX(其他调用!AA$5:AA$404,MATCH($K269,其他调用!$X$5:$X$404,0),0)</f>
        <v>44415.12212939118</v>
      </c>
      <c r="AL269" s="12">
        <f>MIN(INDEX(其他调用!$AK$5:$AK$364,MATCH($K269,其他调用!$AG$5:$AG$364,0),1)/INDEX(其他调用!AK$5:AK$364,MATCH($K269,其他调用!$AG$5:$AG$364,0),0),1)*INDEX(其他调用!AB$5:AB$404,MATCH($K269,其他调用!$X$5:$X$404,0),0)</f>
        <v>46662.622638945963</v>
      </c>
      <c r="AM269" s="12">
        <f>MIN(INDEX(其他调用!$AK$5:$AK$364,MATCH($K269,其他调用!$AG$5:$AG$364,0),1)/INDEX(其他调用!AL$5:AL$364,MATCH($K269,其他调用!$AG$5:$AG$364,0),0),1)*INDEX(其他调用!AC$5:AC$404,MATCH($K269,其他调用!$X$5:$X$404,0),0)</f>
        <v>26052.874955854135</v>
      </c>
      <c r="AN269" s="12">
        <f>求节点(节奏总纲!D$4:D$163,标准城池设计!AF$4:AF$163,$K269)*求节点(节奏总纲!D$4:D$163,攻城基础信息!$AG$5:$AG$164,$K269)</f>
        <v>1119196.6712912624</v>
      </c>
      <c r="AO269" s="12">
        <f>INDEX(其他调用!$AA$5:$AA$404,MATCH($K269,其他调用!$X$5:$X$404,0))*MIN(INDEX(其他调用!AL$5:AL$364,MATCH($K269,其他调用!$AG$5:$AG$364,0),1)/INDEX(其他调用!$AJ$5:$AJ$364,MATCH($K269,其他调用!$AG$5:$AG$364,0),0),5)*求节点(节奏总纲!D$4:D$163,攻城基础信息!$AG$5:$AG$164,$K269)</f>
        <v>777264.63726434519</v>
      </c>
      <c r="AP269" s="12">
        <f>MIN(INDEX(其他调用!$AL$5:$AL$364,MATCH($K269,其他调用!$AG$5:$AG$364,0),1)/INDEX(其他调用!AH$5:AH$364,MATCH($K269,其他调用!$AG$5:$AG$364,0),0),1)*INDEX(其他调用!Y$5:Y$404,MATCH($K269,其他调用!$X$5:$X$404,0),0)</f>
        <v>41734.277472853057</v>
      </c>
      <c r="AQ269" s="12">
        <f>MIN(INDEX(其他调用!$AL$5:$AL$364,MATCH($K269,其他调用!$AG$5:$AG$364,0),1)/INDEX(其他调用!AI$5:AI$364,MATCH($K269,其他调用!$AG$5:$AG$364,0),0),1)*INDEX(其他调用!Z$5:Z$404,MATCH($K269,其他调用!$X$5:$X$404,0),0)</f>
        <v>42891.584658426087</v>
      </c>
      <c r="AR269" s="12">
        <f>MIN(INDEX(其他调用!$AL$5:$AL$364,MATCH($K269,其他调用!$AG$5:$AG$364,0),1)/INDEX(其他调用!AJ$5:AJ$364,MATCH($K269,其他调用!$AG$5:$AG$364,0),0),1)*INDEX(其他调用!AA$5:AA$404,MATCH($K269,其他调用!$X$5:$X$404,0),0)</f>
        <v>44415.12212939118</v>
      </c>
      <c r="AS269" s="12">
        <f>MIN(INDEX(其他调用!$AL$5:$AL$364,MATCH($K269,其他调用!$AG$5:$AG$364,0),1)/INDEX(其他调用!AK$5:AK$364,MATCH($K269,其他调用!$AG$5:$AG$364,0),0),1)*INDEX(其他调用!AB$5:AB$404,MATCH($K269,其他调用!$X$5:$X$404,0),0)</f>
        <v>46662.622638945963</v>
      </c>
      <c r="AT269" s="12">
        <f>MIN(INDEX(其他调用!$AL$5:$AL$364,MATCH($K269,其他调用!$AG$5:$AG$364,0),1)/INDEX(其他调用!AL$5:AL$364,MATCH($K269,其他调用!$AG$5:$AG$364,0),0),1)*INDEX(其他调用!AC$5:AC$404,MATCH($K269,其他调用!$X$5:$X$404,0),0)</f>
        <v>50547.930367257228</v>
      </c>
      <c r="AV269" s="14">
        <f>IF(OR(AV$5="大R",AV$5="超R"),MAX(INDEX(其他调用!$H$5:$L$404,MATCH($K269,其他调用!$B$5:$B$404,0),MATCH(AV$5,其他调用!$H$4:$L$4,0))*120*0.85,2),INDEX(其他调用!$H$5:$L$404,MATCH($K269,其他调用!$B$5:$B$404,0),MATCH(AV$5,其他调用!$H$4:$L$4,0))*120*0.85)</f>
        <v>48.921801254999991</v>
      </c>
      <c r="AW269" s="14">
        <f>IF(OR(AW$5="大R",AW$5="超R"),MAX(INDEX(其他调用!$H$5:$L$404,MATCH($K269,其他调用!$B$5:$B$404,0),MATCH(AW$5,其他调用!$H$4:$L$4,0))*120*0.85,2),INDEX(其他调用!$H$5:$L$404,MATCH($K269,其他调用!$B$5:$B$404,0),MATCH(AW$5,其他调用!$H$4:$L$4,0))*120*0.85)</f>
        <v>48.237344010638395</v>
      </c>
      <c r="AX269" s="14">
        <f>IF(OR(AX$5="大R",AX$5="超R"),MAX(INDEX(其他调用!$H$5:$L$404,MATCH($K269,其他调用!$B$5:$B$404,0),MATCH(AX$5,其他调用!$H$4:$L$4,0))*120*0.85,2),INDEX(其他调用!$H$5:$L$404,MATCH($K269,其他调用!$B$5:$B$404,0),MATCH(AX$5,其他调用!$H$4:$L$4,0))*120*0.85)</f>
        <v>3.9376284143615998</v>
      </c>
      <c r="AY269" s="14">
        <f>IF(OR(AY$5="大R",AY$5="超R"),MAX(INDEX(其他调用!$H$5:$L$404,MATCH($K269,其他调用!$B$5:$B$404,0),MATCH(AY$5,其他调用!$H$4:$L$4,0))*120*0.85,2),INDEX(其他调用!$H$5:$L$404,MATCH($K269,其他调用!$B$5:$B$404,0),MATCH(AY$5,其他调用!$H$4:$L$4,0))*120*0.85)</f>
        <v>2</v>
      </c>
      <c r="AZ269" s="14">
        <f>IF(OR(AZ$5="大R",AZ$5="超R"),MAX(INDEX(其他调用!$H$5:$L$404,MATCH($K269,其他调用!$B$5:$B$404,0),MATCH(AZ$5,其他调用!$H$4:$L$4,0))*120*0.85,2),INDEX(其他调用!$H$5:$L$404,MATCH($K269,其他调用!$B$5:$B$404,0),MATCH(AZ$5,其他调用!$H$4:$L$4,0))*120*0.85)</f>
        <v>2</v>
      </c>
      <c r="BA269" s="14">
        <f>INDEX(其他调用!$H$5:$L$404,MATCH($K269,其他调用!$B$5:$B$404,0),MATCH(BA$5,其他调用!$H$4:$L$4,0))*INDEX(其他调用!$M$5:$M$404,MATCH($K269,其他调用!$B$5:$B$404,0))*0.6</f>
        <v>28.777530149999997</v>
      </c>
      <c r="BB269" s="14">
        <f>INDEX(其他调用!$H$5:$L$404,MATCH($K269,其他调用!$B$5:$B$404,0),MATCH(BB$5,其他调用!$H$4:$L$4,0))*INDEX(其他调用!$M$5:$M$404,MATCH($K269,其他调用!$B$5:$B$404,0))*0.6</f>
        <v>28.374908241551999</v>
      </c>
      <c r="BC269" s="14">
        <f>INDEX(其他调用!$H$5:$L$404,MATCH($K269,其他调用!$B$5:$B$404,0),MATCH(BC$5,其他调用!$H$4:$L$4,0))*INDEX(其他调用!$M$5:$M$404,MATCH($K269,其他调用!$B$5:$B$404,0))*0.6</f>
        <v>2.3162520084480001</v>
      </c>
      <c r="BD269" s="14">
        <f>INDEX(其他调用!$H$5:$L$404,MATCH($K269,其他调用!$B$5:$B$404,0),MATCH(BD$5,其他调用!$H$4:$L$4,0))*INDEX(其他调用!$M$5:$M$404,MATCH($K269,其他调用!$B$5:$B$404,0))*0.6</f>
        <v>0.4120776000000001</v>
      </c>
      <c r="BE269" s="14">
        <f>INDEX(其他调用!$H$5:$L$404,MATCH($K269,其他调用!$B$5:$B$404,0),MATCH(BE$5,其他调用!$H$4:$L$4,0))*INDEX(其他调用!$M$5:$M$404,MATCH($K269,其他调用!$B$5:$B$404,0))*0.6</f>
        <v>0.11923199999999998</v>
      </c>
      <c r="BF269" s="14">
        <f>IF(OR(BF$5="大R",BF$5="超R"),0,INDEX(其他调用!$H$5:$L$404,MATCH($K269,其他调用!$B$5:$B$404,0),MATCH(BF$5,其他调用!$H$4:$L$4,0))*50*0.4)</f>
        <v>9.5925100500000013</v>
      </c>
      <c r="BG269" s="14">
        <f>IF(OR(BG$5="大R",BG$5="超R"),0,INDEX(其他调用!$H$5:$L$404,MATCH($K269,其他调用!$B$5:$B$404,0),MATCH(BG$5,其他调用!$H$4:$L$4,0))*50*0.4)</f>
        <v>9.4583027471839998</v>
      </c>
      <c r="BH269" s="14">
        <f>IF(OR(BH$5="大R",BH$5="超R"),0,INDEX(其他调用!$H$5:$L$404,MATCH($K269,其他调用!$B$5:$B$404,0),MATCH(BH$5,其他调用!$H$4:$L$4,0))*50*0.4)</f>
        <v>0.77208400281600009</v>
      </c>
      <c r="BI269" s="14">
        <f>IF(OR(BI$5="大R",BI$5="超R"),0,INDEX(其他调用!$H$5:$L$404,MATCH($K269,其他调用!$B$5:$B$404,0),MATCH(BI$5,其他调用!$H$4:$L$4,0))*50*0.4)</f>
        <v>0</v>
      </c>
      <c r="BJ269" s="14">
        <f>IF(OR(BJ$5="大R",BJ$5="超R"),0,INDEX(其他调用!$H$5:$L$404,MATCH($K269,其他调用!$B$5:$B$404,0),MATCH(BJ$5,其他调用!$H$4:$L$4,0))*50*0.4)</f>
        <v>0</v>
      </c>
      <c r="BL269" s="14">
        <f t="shared" si="523"/>
        <v>264</v>
      </c>
      <c r="BM269" s="14">
        <f t="shared" si="430"/>
        <v>96</v>
      </c>
      <c r="BN269" s="14">
        <f>('疲劳值&amp;地图信息'!$S$10*'疲劳值&amp;地图信息'!$R$10+'疲劳值&amp;地图信息'!$S$11*'疲劳值&amp;地图信息'!$R$11+'疲劳值&amp;地图信息'!$S$12*'疲劳值&amp;地图信息'!$R$12+(BM269-'疲劳值&amp;地图信息'!$S$12-'疲劳值&amp;地图信息'!$S$11-'疲劳值&amp;地图信息'!$S$10)*'疲劳值&amp;地图信息'!$R$13)/BM269</f>
        <v>51.371477246638619</v>
      </c>
      <c r="BO269" s="14">
        <f>INDEX(其他调用!$M$5:$M$404,MATCH(BL269,其他调用!$B$5:$B$404,0))*0.6</f>
        <v>60</v>
      </c>
      <c r="BP269" s="14">
        <f>IF(BO269&gt;SUM('疲劳值&amp;地图信息'!$S$10:$S$12),('疲劳值&amp;地图信息'!$S$10*'疲劳值&amp;地图信息'!$R$10+'疲劳值&amp;地图信息'!$S$11*'疲劳值&amp;地图信息'!$R$11+'疲劳值&amp;地图信息'!$S$12*'疲劳值&amp;地图信息'!$R$12+(BO269-'疲劳值&amp;地图信息'!$S$12-'疲劳值&amp;地图信息'!$S$11-'疲劳值&amp;地图信息'!$S$10)*'疲劳值&amp;地图信息'!$R$13)/BO269,('疲劳值&amp;地图信息'!$S$10*'疲劳值&amp;地图信息'!$R$10+'疲劳值&amp;地图信息'!$S$11*'疲劳值&amp;地图信息'!$R$11+'疲劳值&amp;地图信息'!$S$12*'疲劳值&amp;地图信息'!$R$12+(BO269-'疲劳值&amp;地图信息'!$S$12-'疲劳值&amp;地图信息'!$S$11-'疲劳值&amp;地图信息'!$S$10)*'疲劳值&amp;地图信息'!$R$13)/BO269)</f>
        <v>44.158136341605953</v>
      </c>
      <c r="BQ269" s="14">
        <f t="shared" si="524"/>
        <v>20</v>
      </c>
      <c r="BR269" s="14">
        <f>('疲劳值&amp;地图信息'!$S$10*'疲劳值&amp;地图信息'!$R$10+($BQ269-'疲劳值&amp;地图信息'!$S$10)*'疲劳值&amp;地图信息'!$R$11)/$BQ269</f>
        <v>32.067203015074995</v>
      </c>
      <c r="CF269" s="14">
        <v>264</v>
      </c>
      <c r="CG269" s="51">
        <f t="shared" si="431"/>
        <v>15135</v>
      </c>
      <c r="CH269" s="51">
        <f t="shared" si="432"/>
        <v>1098</v>
      </c>
      <c r="CI269" s="51">
        <f>INT(SUMPRODUCT($N269:$R269,$BA269:$BE269)/SUM($BA269:$BE269)/10000*$BX$7*$BZ$34/'疲劳值&amp;地图信息'!$R$10*$BY$53)</f>
        <v>3313</v>
      </c>
      <c r="CJ269" s="50">
        <f t="shared" si="433"/>
        <v>0.77432722807735599</v>
      </c>
      <c r="CK269" s="50">
        <f t="shared" si="434"/>
        <v>5.6175176506702139E-2</v>
      </c>
      <c r="CL269" s="50">
        <f t="shared" si="435"/>
        <v>0.16949759541594189</v>
      </c>
      <c r="CM269" s="14">
        <f t="shared" si="436"/>
        <v>16476</v>
      </c>
      <c r="CN269" s="14">
        <f t="shared" si="437"/>
        <v>1857</v>
      </c>
      <c r="CO269" s="14">
        <f>INT(SUMPRODUCT($U269:$Y269,$BA269:$BE269)/SUM($BA269:$BE269)/10000*$BX$7*$BZ$34/'疲劳值&amp;地图信息'!$R$10*$BY$54)</f>
        <v>6298</v>
      </c>
      <c r="CP269" s="50">
        <f t="shared" si="438"/>
        <v>0.66891315821525721</v>
      </c>
      <c r="CQ269" s="50">
        <f t="shared" si="439"/>
        <v>7.5392797693962899E-2</v>
      </c>
      <c r="CR269" s="50">
        <f t="shared" si="440"/>
        <v>0.25569404409077989</v>
      </c>
      <c r="CS269" s="14">
        <f t="shared" si="441"/>
        <v>18059</v>
      </c>
      <c r="CT269" s="14">
        <f t="shared" si="442"/>
        <v>3168</v>
      </c>
      <c r="CU269" s="14">
        <f>INT(SUMPRODUCT($AB269:$AF269,$BA269:$BE269)/SUM($BA269:$BE269)/10000*$BX$7*$BZ$34/'疲劳值&amp;地图信息'!$R$10*$BY$55)</f>
        <v>8552</v>
      </c>
      <c r="CV269" s="50">
        <f t="shared" si="443"/>
        <v>0.60643406427348134</v>
      </c>
      <c r="CW269" s="50">
        <f t="shared" si="444"/>
        <v>0.10638369320662211</v>
      </c>
      <c r="CX269" s="50">
        <f t="shared" si="445"/>
        <v>0.28718224251989655</v>
      </c>
      <c r="CY269" s="14">
        <f t="shared" si="446"/>
        <v>21786</v>
      </c>
      <c r="CZ269" s="14">
        <f t="shared" si="447"/>
        <v>9281</v>
      </c>
      <c r="DA269" s="14">
        <f>INT(SUMPRODUCT($AI269:$AM269,$BA269:$BE269)/SUM($BA269:$BE269)/10000*$BX$7*$BZ$34/'疲劳值&amp;地图信息'!$R$10*$BY$56)</f>
        <v>12902</v>
      </c>
      <c r="DB269" s="50">
        <f t="shared" si="448"/>
        <v>0.49548545566194363</v>
      </c>
      <c r="DC269" s="50">
        <f t="shared" si="449"/>
        <v>0.2110805340125998</v>
      </c>
      <c r="DD269" s="50">
        <f t="shared" si="450"/>
        <v>0.29343401032545657</v>
      </c>
      <c r="DE269" s="14">
        <f t="shared" si="451"/>
        <v>22810</v>
      </c>
      <c r="DF269" s="14">
        <f t="shared" si="452"/>
        <v>15841</v>
      </c>
      <c r="DG269" s="14">
        <f>INT(SUMPRODUCT($AP269:$AT269,$BA269:$BE269)/SUM($BA269:$BE269)/10000*$BX$7*$BZ$34/'疲劳值&amp;地图信息'!$R$10*$BY$57)</f>
        <v>17223</v>
      </c>
      <c r="DH269" s="50">
        <f t="shared" si="453"/>
        <v>0.40823996850055483</v>
      </c>
      <c r="DI269" s="50">
        <f t="shared" si="454"/>
        <v>0.2835129040340767</v>
      </c>
      <c r="DJ269" s="50">
        <f t="shared" si="455"/>
        <v>0.30824712746536853</v>
      </c>
      <c r="DL269" s="14">
        <f t="shared" si="421"/>
        <v>19546</v>
      </c>
      <c r="DM269" s="14">
        <f t="shared" si="422"/>
        <v>24631</v>
      </c>
      <c r="DN269" s="14">
        <f t="shared" si="423"/>
        <v>29779</v>
      </c>
      <c r="DO269" s="14">
        <f t="shared" si="424"/>
        <v>43969</v>
      </c>
      <c r="DP269" s="14">
        <f t="shared" si="425"/>
        <v>55874</v>
      </c>
      <c r="DQ269" s="14">
        <f t="shared" si="426"/>
        <v>1355144</v>
      </c>
      <c r="DT269" s="14">
        <f t="shared" si="525"/>
        <v>235575</v>
      </c>
      <c r="DU269" s="50">
        <f t="shared" si="427"/>
        <v>0.14809340933250939</v>
      </c>
      <c r="DW269" s="14">
        <f t="shared" si="456"/>
        <v>1590719</v>
      </c>
      <c r="EB269" s="14">
        <v>264</v>
      </c>
      <c r="EC269" s="51">
        <f t="shared" si="457"/>
        <v>25226</v>
      </c>
      <c r="ED269" s="51">
        <f t="shared" si="458"/>
        <v>1831</v>
      </c>
      <c r="EE269" s="51">
        <f>INT(SUMPRODUCT($N269:$R269,$BF269:$BJ269)/SUM($BF269:$BJ269)/10000*$BX$7*$BZ$46/'疲劳值&amp;地图信息'!$R$10*$BY$53)</f>
        <v>445</v>
      </c>
      <c r="EF269" s="50">
        <f t="shared" si="459"/>
        <v>0.91724238237219113</v>
      </c>
      <c r="EG269" s="50">
        <f t="shared" si="460"/>
        <v>6.657697621991128E-2</v>
      </c>
      <c r="EH269" s="50">
        <f t="shared" si="461"/>
        <v>1.6180641407897607E-2</v>
      </c>
      <c r="EI269" s="51">
        <f t="shared" si="462"/>
        <v>27460</v>
      </c>
      <c r="EJ269" s="51">
        <f t="shared" si="463"/>
        <v>3095</v>
      </c>
      <c r="EK269" s="14">
        <f>INT(SUMPRODUCT($U269:$Y269,$BF269:$BJ269)/SUM($BF269:$BJ269)/10000*$BX$7*$BZ$46/'疲劳值&amp;地图信息'!$R$10*$BY$54)</f>
        <v>845</v>
      </c>
      <c r="EL269" s="50">
        <f t="shared" si="464"/>
        <v>0.8745222929936306</v>
      </c>
      <c r="EM269" s="50">
        <f t="shared" si="465"/>
        <v>9.8566878980891726E-2</v>
      </c>
      <c r="EN269" s="50">
        <f t="shared" si="466"/>
        <v>2.6910828025477708E-2</v>
      </c>
      <c r="EO269" s="51">
        <f t="shared" si="467"/>
        <v>30099</v>
      </c>
      <c r="EP269" s="51">
        <f t="shared" si="468"/>
        <v>5280</v>
      </c>
      <c r="EQ269" s="14">
        <f>INT(SUMPRODUCT($AB269:$AF269,$BF269:$BJ269)/SUM($BF269:$BJ269)/10000*$BX$7*$BZ$46/'疲劳值&amp;地图信息'!$R$10*$BY$55)</f>
        <v>1147</v>
      </c>
      <c r="ER269" s="50">
        <f t="shared" si="469"/>
        <v>0.82404314734709527</v>
      </c>
      <c r="ES269" s="50">
        <f t="shared" si="470"/>
        <v>0.14455456387231014</v>
      </c>
      <c r="ET269" s="50">
        <f t="shared" si="471"/>
        <v>3.1402288780594645E-2</v>
      </c>
      <c r="EU269" s="51">
        <f t="shared" si="472"/>
        <v>36310</v>
      </c>
      <c r="EV269" s="51">
        <f t="shared" si="473"/>
        <v>15468</v>
      </c>
      <c r="EW269" s="14">
        <f>INT(SUMPRODUCT($AI269:$AM269,$BF269:$BJ269)/SUM($BF269:$BJ269)/10000*$BX$7*$BZ$46/'疲劳值&amp;地图信息'!$R$10*$BY$56)</f>
        <v>1720</v>
      </c>
      <c r="EX269" s="50">
        <f t="shared" si="474"/>
        <v>0.67871696138173387</v>
      </c>
      <c r="EY269" s="50">
        <f t="shared" si="475"/>
        <v>0.28913230401136492</v>
      </c>
      <c r="EZ269" s="50">
        <f t="shared" si="476"/>
        <v>3.2150734606901189E-2</v>
      </c>
      <c r="FA269" s="51">
        <f t="shared" si="477"/>
        <v>38017</v>
      </c>
      <c r="FB269" s="51">
        <f t="shared" si="478"/>
        <v>26402</v>
      </c>
      <c r="FC269" s="14">
        <f>INT(SUMPRODUCT($AP269:$AT269,$BF269:$BJ269)/SUM($BF269:$BJ269)/10000*$BX$7*$BZ$46/'疲劳值&amp;地图信息'!$R$10*$BY$57)</f>
        <v>2294</v>
      </c>
      <c r="FD269" s="50">
        <f t="shared" si="479"/>
        <v>0.56985894803111836</v>
      </c>
      <c r="FE269" s="50">
        <f t="shared" si="480"/>
        <v>0.39575495030953489</v>
      </c>
      <c r="FF269" s="50">
        <f t="shared" si="481"/>
        <v>3.4386101659346753E-2</v>
      </c>
      <c r="FH269" s="14">
        <f t="shared" si="482"/>
        <v>27502</v>
      </c>
      <c r="FI269" s="14">
        <f t="shared" si="483"/>
        <v>31400</v>
      </c>
      <c r="FJ269" s="14">
        <f t="shared" si="484"/>
        <v>36526</v>
      </c>
      <c r="FK269" s="14">
        <f t="shared" si="485"/>
        <v>53498</v>
      </c>
      <c r="FL269" s="14">
        <f t="shared" si="486"/>
        <v>66713</v>
      </c>
      <c r="FM269" s="14">
        <f t="shared" si="487"/>
        <v>3244347</v>
      </c>
      <c r="FP269" s="14">
        <f t="shared" si="488"/>
        <v>334150</v>
      </c>
      <c r="FQ269" s="50">
        <f t="shared" si="428"/>
        <v>9.337719159747794E-2</v>
      </c>
      <c r="FS269" s="14">
        <f t="shared" si="489"/>
        <v>3578497</v>
      </c>
      <c r="FX269" s="14">
        <v>264</v>
      </c>
      <c r="FY269" s="51">
        <f t="shared" si="490"/>
        <v>35317</v>
      </c>
      <c r="FZ269" s="51">
        <f t="shared" si="491"/>
        <v>1831</v>
      </c>
      <c r="GA269" s="51">
        <f>INT(SUMPRODUCT($N269:$R269,$BF269:$BJ269)/SUM($BF269:$BJ269)/10000*$BX$7*$BZ$46/'疲劳值&amp;地图信息'!$R$10*$BY$53)</f>
        <v>445</v>
      </c>
      <c r="GB269" s="50">
        <f t="shared" si="492"/>
        <v>0.93945681376852075</v>
      </c>
      <c r="GC269" s="50">
        <f t="shared" si="493"/>
        <v>4.8705876093953659E-2</v>
      </c>
      <c r="GD269" s="50">
        <f t="shared" si="494"/>
        <v>1.1837310137525604E-2</v>
      </c>
      <c r="GE269" s="51">
        <f t="shared" si="495"/>
        <v>38445</v>
      </c>
      <c r="GF269" s="51">
        <f t="shared" si="496"/>
        <v>3095</v>
      </c>
      <c r="GG269" s="14">
        <f>INT(SUMPRODUCT($U269:$Y269,$BF269:$BJ269)/SUM($BF269:$BJ269)/10000*$BX$7*$BZ$46/'疲劳值&amp;地图信息'!$R$10*$BY$54)</f>
        <v>845</v>
      </c>
      <c r="GH269" s="50">
        <f t="shared" si="497"/>
        <v>0.90704258582045538</v>
      </c>
      <c r="GI269" s="50">
        <f t="shared" si="498"/>
        <v>7.3021115960835201E-2</v>
      </c>
      <c r="GJ269" s="50">
        <f t="shared" si="499"/>
        <v>1.9936298218709448E-2</v>
      </c>
      <c r="GK269" s="51">
        <f t="shared" si="500"/>
        <v>42139</v>
      </c>
      <c r="GL269" s="51">
        <f t="shared" si="501"/>
        <v>5280</v>
      </c>
      <c r="GM269" s="14">
        <f>INT(SUMPRODUCT($AB269:$AF269,$BF269:$BJ269)/SUM($BF269:$BJ269)/10000*$BX$7*$BZ$46/'疲劳值&amp;地图信息'!$R$10*$BY$55)</f>
        <v>1147</v>
      </c>
      <c r="GN269" s="50">
        <f t="shared" si="502"/>
        <v>0.86766462134003208</v>
      </c>
      <c r="GO269" s="50">
        <f t="shared" si="503"/>
        <v>0.10871803319194498</v>
      </c>
      <c r="GP269" s="50">
        <f t="shared" si="504"/>
        <v>2.3617345468022896E-2</v>
      </c>
      <c r="GQ269" s="51">
        <f t="shared" si="505"/>
        <v>50834</v>
      </c>
      <c r="GR269" s="51">
        <f t="shared" si="506"/>
        <v>15468</v>
      </c>
      <c r="GS269" s="14">
        <f>INT(SUMPRODUCT($AI269:$AM269,$BF269:$BJ269)/SUM($BF269:$BJ269)/10000*$BX$7*$BZ$46/'疲劳值&amp;地图信息'!$R$10*$BY$56)</f>
        <v>1720</v>
      </c>
      <c r="GT269" s="50">
        <f t="shared" si="507"/>
        <v>0.74731704448560765</v>
      </c>
      <c r="GU269" s="50">
        <f t="shared" si="508"/>
        <v>0.22739701861162565</v>
      </c>
      <c r="GV269" s="50">
        <f t="shared" si="509"/>
        <v>2.5285936902766752E-2</v>
      </c>
      <c r="GW269" s="51">
        <f t="shared" si="510"/>
        <v>53224</v>
      </c>
      <c r="GX269" s="51">
        <f t="shared" si="511"/>
        <v>26402</v>
      </c>
      <c r="GY269" s="14">
        <f>INT(SUMPRODUCT($AP269:$AT269,$BF269:$BJ269)/SUM($BF269:$BJ269)/10000*$BX$7*$BZ$46/'疲劳值&amp;地图信息'!$R$10*$BY$57)</f>
        <v>2294</v>
      </c>
      <c r="GZ269" s="50">
        <f t="shared" si="512"/>
        <v>0.64970703124999996</v>
      </c>
      <c r="HA269" s="50">
        <f t="shared" si="513"/>
        <v>0.32229003906249998</v>
      </c>
      <c r="HB269" s="50">
        <f t="shared" si="514"/>
        <v>2.8002929687500001E-2</v>
      </c>
      <c r="HD269" s="14">
        <f t="shared" si="515"/>
        <v>37593</v>
      </c>
      <c r="HE269" s="14">
        <f t="shared" si="516"/>
        <v>42385</v>
      </c>
      <c r="HF269" s="14">
        <f t="shared" si="517"/>
        <v>48566</v>
      </c>
      <c r="HG269" s="14">
        <f t="shared" si="518"/>
        <v>68022</v>
      </c>
      <c r="HH269" s="14">
        <f t="shared" si="519"/>
        <v>81920</v>
      </c>
      <c r="HI269" s="14">
        <f t="shared" si="520"/>
        <v>4374775</v>
      </c>
      <c r="HL269" s="14">
        <f t="shared" si="521"/>
        <v>430050</v>
      </c>
      <c r="HM269" s="50">
        <f t="shared" si="429"/>
        <v>8.9503780054424456E-2</v>
      </c>
      <c r="HO269" s="14">
        <f t="shared" si="522"/>
        <v>4804825</v>
      </c>
    </row>
    <row r="270" spans="11:223" x14ac:dyDescent="0.2">
      <c r="K270" s="14">
        <v>265</v>
      </c>
      <c r="L270" s="12">
        <f>求节点(节奏总纲!D$4:D$163,标准城池设计!AB$4:AB$163,$K270)*求节点(节奏总纲!D$4:D$163,攻城基础信息!$AC$5:$AC$164,$K270)</f>
        <v>743774.56018510531</v>
      </c>
      <c r="M270" s="12">
        <f>INDEX(其他调用!$AA$5:$AA$404,MATCH(K270,其他调用!$X$5:$X$404,0))*MIN(INDEX(其他调用!$AH$5:$AH$364,MATCH('征服点（新）'!K270,其他调用!$AG$5:$AG$364,0),1)/INDEX(其他调用!$AJ$5:$AJ$364,MATCH(K270,其他调用!$AG$5:$AG$364,0),0),5)*求节点(节奏总纲!D$4:D$163,攻城基础信息!$AC$5:$AC$164,$K270)</f>
        <v>53893.514181700892</v>
      </c>
      <c r="N270" s="12">
        <f>MIN(INDEX(其他调用!$AH$5:$AH$364,MATCH($K270,其他调用!$AG$5:$AG$364,0),1)/INDEX(其他调用!AH$5:AH$364,MATCH($K270,其他调用!$AG$5:$AG$364,0),0),1)*INDEX(其他调用!Y$5:Y$404,MATCH($K270,其他调用!$X$5:$X$404,0),0)</f>
        <v>41756.321706028946</v>
      </c>
      <c r="O270" s="12">
        <f>MIN(INDEX(其他调用!$AH$5:$AH$364,MATCH($K270,其他调用!$AG$5:$AG$364,0),1)/INDEX(其他调用!AI$5:AI$364,MATCH($K270,其他调用!$AG$5:$AG$364,0),0),1)*INDEX(其他调用!Z$5:Z$404,MATCH($K270,其他调用!$X$5:$X$404,0),0)</f>
        <v>25376.528114426084</v>
      </c>
      <c r="P270" s="12">
        <f>MIN(INDEX(其他调用!$AH$5:$AH$364,MATCH($K270,其他调用!$AG$5:$AG$364,0),1)/INDEX(其他调用!AJ$5:AJ$364,MATCH($K270,其他调用!$AG$5:$AG$364,0),0),1)*INDEX(其他调用!AA$5:AA$404,MATCH($K270,其他调用!$X$5:$X$404,0),0)</f>
        <v>15398.146909057408</v>
      </c>
      <c r="Q270" s="12">
        <f>MIN(INDEX(其他调用!$AH$5:$AH$364,MATCH($K270,其他调用!$AG$5:$AG$364,0),1)/INDEX(其他调用!AK$5:AK$364,MATCH($K270,其他调用!$AG$5:$AG$364,0),0),1)*INDEX(其他调用!AB$5:AB$404,MATCH($K270,其他调用!$X$5:$X$404,0),0)</f>
        <v>5530.4926491634296</v>
      </c>
      <c r="R270" s="12">
        <f>MIN(INDEX(其他调用!$AH$5:$AH$364,MATCH($K270,其他调用!$AG$5:$AG$364,0),1)/INDEX(其他调用!AL$5:AL$364,MATCH($K270,其他调用!$AG$5:$AG$364,0),0),1)*INDEX(其他调用!AC$5:AC$404,MATCH($K270,其他调用!$X$5:$X$404,0),0)</f>
        <v>3091.5417106766959</v>
      </c>
      <c r="S270" s="12">
        <f>求节点(节奏总纲!D$4:D$163,标准城池设计!AC$4:AC$163,$K270)*求节点(节奏总纲!D$4:D$163,攻城基础信息!$AD$5:$AD$164,$K270)</f>
        <v>809904.17396800662</v>
      </c>
      <c r="T270" s="12">
        <f>INDEX(其他调用!$AA$5:$AA$404,MATCH($K270,其他调用!$X$5:$X$404,0))*MIN(INDEX(其他调用!AI$5:AI$364,MATCH($K270,其他调用!$AG$5:$AG$364,0),1)/INDEX(其他调用!$AJ$5:$AJ$364,MATCH($K270,其他调用!$AG$5:$AG$364,0),0),5)*求节点(节奏总纲!D$4:D$163,攻城基础信息!$AD$5:$AD$164,$K270)</f>
        <v>91137.729301290892</v>
      </c>
      <c r="U270" s="12">
        <f>MIN(INDEX(其他调用!$AI$5:$AI$364,MATCH($K270,其他调用!$AG$5:$AG$364,0),1)/INDEX(其他调用!AH$5:AH$364,MATCH($K270,其他调用!$AG$5:$AG$364,0),0),1)*INDEX(其他调用!Y$5:Y$404,MATCH($K270,其他调用!$X$5:$X$404,0),0)</f>
        <v>41756.321706028946</v>
      </c>
      <c r="V270" s="12">
        <f>MIN(INDEX(其他调用!$AI$5:$AI$364,MATCH($K270,其他调用!$AG$5:$AG$364,0),1)/INDEX(其他调用!AI$5:AI$364,MATCH($K270,其他调用!$AG$5:$AG$364,0),0),1)*INDEX(其他调用!Z$5:Z$404,MATCH($K270,其他调用!$X$5:$X$404,0),0)</f>
        <v>42913.496828240626</v>
      </c>
      <c r="W270" s="12">
        <f>MIN(INDEX(其他调用!$AI$5:$AI$364,MATCH($K270,其他调用!$AG$5:$AG$364,0),1)/INDEX(其他调用!AJ$5:AJ$364,MATCH($K270,其他调用!$AG$5:$AG$364,0),0),1)*INDEX(其他调用!AA$5:AA$404,MATCH($K270,其他调用!$X$5:$X$404,0),0)</f>
        <v>26039.351228940272</v>
      </c>
      <c r="X270" s="12">
        <f>MIN(INDEX(其他调用!$AI$5:$AI$364,MATCH($K270,其他调用!$AG$5:$AG$364,0),1)/INDEX(其他调用!AK$5:AK$364,MATCH($K270,其他调用!$AG$5:$AG$364,0),0),1)*INDEX(其他调用!AB$5:AB$404,MATCH($K270,其他调用!$X$5:$X$404,0),0)</f>
        <v>9352.4526951960634</v>
      </c>
      <c r="Y270" s="12">
        <f>MIN(INDEX(其他调用!$AI$5:$AI$364,MATCH($K270,其他调用!$AG$5:$AG$364,0),1)/INDEX(其他调用!AL$5:AL$364,MATCH($K270,其他调用!$AG$5:$AG$364,0),0),1)*INDEX(其他调用!AC$5:AC$404,MATCH($K270,其他调用!$X$5:$X$404,0),0)</f>
        <v>5228.0148331275541</v>
      </c>
      <c r="Z270" s="12">
        <f>求节点(节奏总纲!D$4:D$163,标准城池设计!AD$4:AD$163,$K270)*求节点(节奏总纲!D$4:D$163,攻城基础信息!$AE$5:$AE$164,$K270)</f>
        <v>887593.92567686457</v>
      </c>
      <c r="AA270" s="12">
        <f>INDEX(其他调用!$AA$5:$AA$404,MATCH($K270,其他调用!$X$5:$X$404,0))*MIN(INDEX(其他调用!AJ$5:AJ$364,MATCH($K270,其他调用!$AG$5:$AG$364,0),1)/INDEX(其他调用!$AJ$5:$AJ$364,MATCH($K270,其他调用!$AG$5:$AG$364,0),0),5)*求节点(节奏总纲!D$4:D$163,攻城基础信息!$AE$5:$AE$164,$K270)</f>
        <v>155529.94334805611</v>
      </c>
      <c r="AB270" s="12">
        <f>MIN(INDEX(其他调用!$AJ$5:$AJ$364,MATCH($K270,其他调用!$AG$5:$AG$364,0),1)/INDEX(其他调用!AH$5:AH$364,MATCH($K270,其他调用!$AG$5:$AG$364,0),0),1)*INDEX(其他调用!Y$5:Y$404,MATCH($K270,其他调用!$X$5:$X$404,0),0)</f>
        <v>41756.321706028946</v>
      </c>
      <c r="AC270" s="12">
        <f>MIN(INDEX(其他调用!$AJ$5:$AJ$364,MATCH($K270,其他调用!$AG$5:$AG$364,0),1)/INDEX(其他调用!AI$5:AI$364,MATCH($K270,其他调用!$AG$5:$AG$364,0),0),1)*INDEX(其他调用!Z$5:Z$404,MATCH($K270,其他调用!$X$5:$X$404,0),0)</f>
        <v>42913.496828240626</v>
      </c>
      <c r="AD270" s="12">
        <f>MIN(INDEX(其他调用!$AJ$5:$AJ$364,MATCH($K270,其他调用!$AG$5:$AG$364,0),1)/INDEX(其他调用!AJ$5:AJ$364,MATCH($K270,其他调用!$AG$5:$AG$364,0),0),1)*INDEX(其他调用!AA$5:AA$404,MATCH($K270,其他调用!$X$5:$X$404,0),0)</f>
        <v>44437.1266708732</v>
      </c>
      <c r="AE270" s="12">
        <f>MIN(INDEX(其他调用!$AJ$5:$AJ$364,MATCH($K270,其他调用!$AG$5:$AG$364,0),1)/INDEX(其他调用!AK$5:AK$364,MATCH($K270,其他调用!$AG$5:$AG$364,0),0),1)*INDEX(其他调用!AB$5:AB$404,MATCH($K270,其他调用!$X$5:$X$404,0),0)</f>
        <v>15960.310279846035</v>
      </c>
      <c r="AF270" s="12">
        <f>MIN(INDEX(其他调用!$AJ$5:$AJ$364,MATCH($K270,其他调用!$AG$5:$AG$364,0),1)/INDEX(其他调用!AL$5:AL$364,MATCH($K270,其他调用!$AG$5:$AG$364,0),0),1)*INDEX(其他调用!AC$5:AC$404,MATCH($K270,其他调用!$X$5:$X$404,0),0)</f>
        <v>8921.8028258205504</v>
      </c>
      <c r="AG270" s="12">
        <f>求节点(节奏总纲!D$4:D$163,标准城池设计!AE$4:AE$163,$K270)*求节点(节奏总纲!D$4:D$163,攻城基础信息!$AF$5:$AF$164,$K270)</f>
        <v>1070853.1307598632</v>
      </c>
      <c r="AH270" s="12">
        <f>INDEX(其他调用!$AA$5:$AA$404,MATCH($K270,其他调用!$X$5:$X$404,0))*MIN(INDEX(其他调用!AK$5:AK$364,MATCH($K270,其他调用!$AG$5:$AG$364,0),1)/INDEX(其他调用!$AJ$5:$AJ$364,MATCH($K270,其他调用!$AG$5:$AG$364,0),0),5)*求节点(节奏总纲!D$4:D$163,攻城基础信息!$AF$5:$AF$164,$K270)</f>
        <v>454940.08222216554</v>
      </c>
      <c r="AI270" s="12">
        <f>MIN(INDEX(其他调用!$AK$5:$AK$364,MATCH($K270,其他调用!$AG$5:$AG$364,0),1)/INDEX(其他调用!AH$5:AH$364,MATCH($K270,其他调用!$AG$5:$AG$364,0),0),1)*INDEX(其他调用!Y$5:Y$404,MATCH($K270,其他调用!$X$5:$X$404,0),0)</f>
        <v>41756.321706028946</v>
      </c>
      <c r="AJ270" s="12">
        <f>MIN(INDEX(其他调用!$AK$5:$AK$364,MATCH($K270,其他调用!$AG$5:$AG$364,0),1)/INDEX(其他调用!AI$5:AI$364,MATCH($K270,其他调用!$AG$5:$AG$364,0),0),1)*INDEX(其他调用!Z$5:Z$404,MATCH($K270,其他调用!$X$5:$X$404,0),0)</f>
        <v>42913.496828240626</v>
      </c>
      <c r="AK270" s="12">
        <f>MIN(INDEX(其他调用!$AK$5:$AK$364,MATCH($K270,其他调用!$AG$5:$AG$364,0),1)/INDEX(其他调用!AJ$5:AJ$364,MATCH($K270,其他调用!$AG$5:$AG$364,0),0),1)*INDEX(其他调用!AA$5:AA$404,MATCH($K270,其他调用!$X$5:$X$404,0),0)</f>
        <v>44437.1266708732</v>
      </c>
      <c r="AL270" s="12">
        <f>MIN(INDEX(其他调用!$AK$5:$AK$364,MATCH($K270,其他调用!$AG$5:$AG$364,0),1)/INDEX(其他调用!AK$5:AK$364,MATCH($K270,其他调用!$AG$5:$AG$364,0),0),1)*INDEX(其他调用!AB$5:AB$404,MATCH($K270,其他调用!$X$5:$X$404,0),0)</f>
        <v>46685.446639399044</v>
      </c>
      <c r="AM270" s="12">
        <f>MIN(INDEX(其他调用!$AK$5:$AK$364,MATCH($K270,其他调用!$AG$5:$AG$364,0),1)/INDEX(其他调用!AL$5:AL$364,MATCH($K270,其他调用!$AG$5:$AG$364,0),0),1)*INDEX(其他调用!AC$5:AC$404,MATCH($K270,其他调用!$X$5:$X$404,0),0)</f>
        <v>26097.133605105762</v>
      </c>
      <c r="AN270" s="12">
        <f>求节点(节奏总纲!D$4:D$163,标准城池设计!AF$4:AF$163,$K270)*求节点(节奏总纲!D$4:D$163,攻城基础信息!$AG$5:$AG$164,$K270)</f>
        <v>1121201.7474507985</v>
      </c>
      <c r="AO270" s="12">
        <f>INDEX(其他调用!$AA$5:$AA$404,MATCH($K270,其他调用!$X$5:$X$404,0))*MIN(INDEX(其他调用!AL$5:AL$364,MATCH($K270,其他调用!$AG$5:$AG$364,0),1)/INDEX(其他调用!$AJ$5:$AJ$364,MATCH($K270,其他调用!$AG$5:$AG$364,0),0),5)*求节点(节奏总纲!D$4:D$163,攻城基础信息!$AG$5:$AG$164,$K270)</f>
        <v>777649.71674028051</v>
      </c>
      <c r="AP270" s="12">
        <f>MIN(INDEX(其他调用!$AL$5:$AL$364,MATCH($K270,其他调用!$AG$5:$AG$364,0),1)/INDEX(其他调用!AH$5:AH$364,MATCH($K270,其他调用!$AG$5:$AG$364,0),0),1)*INDEX(其他调用!Y$5:Y$404,MATCH($K270,其他调用!$X$5:$X$404,0),0)</f>
        <v>41756.321706028946</v>
      </c>
      <c r="AQ270" s="12">
        <f>MIN(INDEX(其他调用!$AL$5:$AL$364,MATCH($K270,其他调用!$AG$5:$AG$364,0),1)/INDEX(其他调用!AI$5:AI$364,MATCH($K270,其他调用!$AG$5:$AG$364,0),0),1)*INDEX(其他调用!Z$5:Z$404,MATCH($K270,其他调用!$X$5:$X$404,0),0)</f>
        <v>42913.496828240626</v>
      </c>
      <c r="AR270" s="12">
        <f>MIN(INDEX(其他调用!$AL$5:$AL$364,MATCH($K270,其他调用!$AG$5:$AG$364,0),1)/INDEX(其他调用!AJ$5:AJ$364,MATCH($K270,其他调用!$AG$5:$AG$364,0),0),1)*INDEX(其他调用!AA$5:AA$404,MATCH($K270,其他调用!$X$5:$X$404,0),0)</f>
        <v>44437.1266708732</v>
      </c>
      <c r="AS270" s="12">
        <f>MIN(INDEX(其他调用!$AL$5:$AL$364,MATCH($K270,其他调用!$AG$5:$AG$364,0),1)/INDEX(其他调用!AK$5:AK$364,MATCH($K270,其他调用!$AG$5:$AG$364,0),0),1)*INDEX(其他调用!AB$5:AB$404,MATCH($K270,其他调用!$X$5:$X$404,0),0)</f>
        <v>46685.446639399044</v>
      </c>
      <c r="AT270" s="12">
        <f>MIN(INDEX(其他调用!$AL$5:$AL$364,MATCH($K270,其他调用!$AG$5:$AG$364,0),1)/INDEX(其他调用!AL$5:AL$364,MATCH($K270,其他调用!$AG$5:$AG$364,0),0),1)*INDEX(其他调用!AC$5:AC$404,MATCH($K270,其他调用!$X$5:$X$404,0),0)</f>
        <v>50570.341825030002</v>
      </c>
      <c r="AV270" s="14">
        <f>IF(OR(AV$5="大R",AV$5="超R"),MAX(INDEX(其他调用!$H$5:$L$404,MATCH($K270,其他调用!$B$5:$B$404,0),MATCH(AV$5,其他调用!$H$4:$L$4,0))*120*0.85,2),INDEX(其他调用!$H$5:$L$404,MATCH($K270,其他调用!$B$5:$B$404,0),MATCH(AV$5,其他调用!$H$4:$L$4,0))*120*0.85)</f>
        <v>48.921801254999991</v>
      </c>
      <c r="AW270" s="14">
        <f>IF(OR(AW$5="大R",AW$5="超R"),MAX(INDEX(其他调用!$H$5:$L$404,MATCH($K270,其他调用!$B$5:$B$404,0),MATCH(AW$5,其他调用!$H$4:$L$4,0))*120*0.85,2),INDEX(其他调用!$H$5:$L$404,MATCH($K270,其他调用!$B$5:$B$404,0),MATCH(AW$5,其他调用!$H$4:$L$4,0))*120*0.85)</f>
        <v>48.237344010638395</v>
      </c>
      <c r="AX270" s="14">
        <f>IF(OR(AX$5="大R",AX$5="超R"),MAX(INDEX(其他调用!$H$5:$L$404,MATCH($K270,其他调用!$B$5:$B$404,0),MATCH(AX$5,其他调用!$H$4:$L$4,0))*120*0.85,2),INDEX(其他调用!$H$5:$L$404,MATCH($K270,其他调用!$B$5:$B$404,0),MATCH(AX$5,其他调用!$H$4:$L$4,0))*120*0.85)</f>
        <v>3.9376284143615998</v>
      </c>
      <c r="AY270" s="14">
        <f>IF(OR(AY$5="大R",AY$5="超R"),MAX(INDEX(其他调用!$H$5:$L$404,MATCH($K270,其他调用!$B$5:$B$404,0),MATCH(AY$5,其他调用!$H$4:$L$4,0))*120*0.85,2),INDEX(其他调用!$H$5:$L$404,MATCH($K270,其他调用!$B$5:$B$404,0),MATCH(AY$5,其他调用!$H$4:$L$4,0))*120*0.85)</f>
        <v>2</v>
      </c>
      <c r="AZ270" s="14">
        <f>IF(OR(AZ$5="大R",AZ$5="超R"),MAX(INDEX(其他调用!$H$5:$L$404,MATCH($K270,其他调用!$B$5:$B$404,0),MATCH(AZ$5,其他调用!$H$4:$L$4,0))*120*0.85,2),INDEX(其他调用!$H$5:$L$404,MATCH($K270,其他调用!$B$5:$B$404,0),MATCH(AZ$5,其他调用!$H$4:$L$4,0))*120*0.85)</f>
        <v>2</v>
      </c>
      <c r="BA270" s="14">
        <f>INDEX(其他调用!$H$5:$L$404,MATCH($K270,其他调用!$B$5:$B$404,0),MATCH(BA$5,其他调用!$H$4:$L$4,0))*INDEX(其他调用!$M$5:$M$404,MATCH($K270,其他调用!$B$5:$B$404,0))*0.6</f>
        <v>28.777530149999997</v>
      </c>
      <c r="BB270" s="14">
        <f>INDEX(其他调用!$H$5:$L$404,MATCH($K270,其他调用!$B$5:$B$404,0),MATCH(BB$5,其他调用!$H$4:$L$4,0))*INDEX(其他调用!$M$5:$M$404,MATCH($K270,其他调用!$B$5:$B$404,0))*0.6</f>
        <v>28.374908241551999</v>
      </c>
      <c r="BC270" s="14">
        <f>INDEX(其他调用!$H$5:$L$404,MATCH($K270,其他调用!$B$5:$B$404,0),MATCH(BC$5,其他调用!$H$4:$L$4,0))*INDEX(其他调用!$M$5:$M$404,MATCH($K270,其他调用!$B$5:$B$404,0))*0.6</f>
        <v>2.3162520084480001</v>
      </c>
      <c r="BD270" s="14">
        <f>INDEX(其他调用!$H$5:$L$404,MATCH($K270,其他调用!$B$5:$B$404,0),MATCH(BD$5,其他调用!$H$4:$L$4,0))*INDEX(其他调用!$M$5:$M$404,MATCH($K270,其他调用!$B$5:$B$404,0))*0.6</f>
        <v>0.4120776000000001</v>
      </c>
      <c r="BE270" s="14">
        <f>INDEX(其他调用!$H$5:$L$404,MATCH($K270,其他调用!$B$5:$B$404,0),MATCH(BE$5,其他调用!$H$4:$L$4,0))*INDEX(其他调用!$M$5:$M$404,MATCH($K270,其他调用!$B$5:$B$404,0))*0.6</f>
        <v>0.11923199999999998</v>
      </c>
      <c r="BF270" s="14">
        <f>IF(OR(BF$5="大R",BF$5="超R"),0,INDEX(其他调用!$H$5:$L$404,MATCH($K270,其他调用!$B$5:$B$404,0),MATCH(BF$5,其他调用!$H$4:$L$4,0))*50*0.4)</f>
        <v>9.5925100500000013</v>
      </c>
      <c r="BG270" s="14">
        <f>IF(OR(BG$5="大R",BG$5="超R"),0,INDEX(其他调用!$H$5:$L$404,MATCH($K270,其他调用!$B$5:$B$404,0),MATCH(BG$5,其他调用!$H$4:$L$4,0))*50*0.4)</f>
        <v>9.4583027471839998</v>
      </c>
      <c r="BH270" s="14">
        <f>IF(OR(BH$5="大R",BH$5="超R"),0,INDEX(其他调用!$H$5:$L$404,MATCH($K270,其他调用!$B$5:$B$404,0),MATCH(BH$5,其他调用!$H$4:$L$4,0))*50*0.4)</f>
        <v>0.77208400281600009</v>
      </c>
      <c r="BI270" s="14">
        <f>IF(OR(BI$5="大R",BI$5="超R"),0,INDEX(其他调用!$H$5:$L$404,MATCH($K270,其他调用!$B$5:$B$404,0),MATCH(BI$5,其他调用!$H$4:$L$4,0))*50*0.4)</f>
        <v>0</v>
      </c>
      <c r="BJ270" s="14">
        <f>IF(OR(BJ$5="大R",BJ$5="超R"),0,INDEX(其他调用!$H$5:$L$404,MATCH($K270,其他调用!$B$5:$B$404,0),MATCH(BJ$5,其他调用!$H$4:$L$4,0))*50*0.4)</f>
        <v>0</v>
      </c>
      <c r="BL270" s="14">
        <f t="shared" si="523"/>
        <v>265</v>
      </c>
      <c r="BM270" s="14">
        <f t="shared" si="430"/>
        <v>96</v>
      </c>
      <c r="BN270" s="14">
        <f>('疲劳值&amp;地图信息'!$S$10*'疲劳值&amp;地图信息'!$R$10+'疲劳值&amp;地图信息'!$S$11*'疲劳值&amp;地图信息'!$R$11+'疲劳值&amp;地图信息'!$S$12*'疲劳值&amp;地图信息'!$R$12+(BM270-'疲劳值&amp;地图信息'!$S$12-'疲劳值&amp;地图信息'!$S$11-'疲劳值&amp;地图信息'!$S$10)*'疲劳值&amp;地图信息'!$R$13)/BM270</f>
        <v>51.371477246638619</v>
      </c>
      <c r="BO270" s="14">
        <f>INDEX(其他调用!$M$5:$M$404,MATCH(BL270,其他调用!$B$5:$B$404,0))*0.6</f>
        <v>60</v>
      </c>
      <c r="BP270" s="14">
        <f>IF(BO270&gt;SUM('疲劳值&amp;地图信息'!$S$10:$S$12),('疲劳值&amp;地图信息'!$S$10*'疲劳值&amp;地图信息'!$R$10+'疲劳值&amp;地图信息'!$S$11*'疲劳值&amp;地图信息'!$R$11+'疲劳值&amp;地图信息'!$S$12*'疲劳值&amp;地图信息'!$R$12+(BO270-'疲劳值&amp;地图信息'!$S$12-'疲劳值&amp;地图信息'!$S$11-'疲劳值&amp;地图信息'!$S$10)*'疲劳值&amp;地图信息'!$R$13)/BO270,('疲劳值&amp;地图信息'!$S$10*'疲劳值&amp;地图信息'!$R$10+'疲劳值&amp;地图信息'!$S$11*'疲劳值&amp;地图信息'!$R$11+'疲劳值&amp;地图信息'!$S$12*'疲劳值&amp;地图信息'!$R$12+(BO270-'疲劳值&amp;地图信息'!$S$12-'疲劳值&amp;地图信息'!$S$11-'疲劳值&amp;地图信息'!$S$10)*'疲劳值&amp;地图信息'!$R$13)/BO270)</f>
        <v>44.158136341605953</v>
      </c>
      <c r="BQ270" s="14">
        <f t="shared" si="524"/>
        <v>20</v>
      </c>
      <c r="BR270" s="14">
        <f>('疲劳值&amp;地图信息'!$S$10*'疲劳值&amp;地图信息'!$R$10+($BQ270-'疲劳值&amp;地图信息'!$S$10)*'疲劳值&amp;地图信息'!$R$11)/$BQ270</f>
        <v>32.067203015074995</v>
      </c>
      <c r="CF270" s="14">
        <v>265</v>
      </c>
      <c r="CG270" s="51">
        <f t="shared" si="431"/>
        <v>15159</v>
      </c>
      <c r="CH270" s="51">
        <f t="shared" si="432"/>
        <v>1098</v>
      </c>
      <c r="CI270" s="51">
        <f>INT(SUMPRODUCT($N270:$R270,$BA270:$BE270)/SUM($BA270:$BE270)/10000*$BX$7*$BZ$34/'疲劳值&amp;地图信息'!$R$10*$BY$53)</f>
        <v>3314</v>
      </c>
      <c r="CJ270" s="50">
        <f t="shared" si="433"/>
        <v>0.77456440651985081</v>
      </c>
      <c r="CK270" s="50">
        <f t="shared" si="434"/>
        <v>5.6103418323028974E-2</v>
      </c>
      <c r="CL270" s="50">
        <f t="shared" si="435"/>
        <v>0.16933217515712023</v>
      </c>
      <c r="CM270" s="14">
        <f t="shared" si="436"/>
        <v>16506</v>
      </c>
      <c r="CN270" s="14">
        <f t="shared" si="437"/>
        <v>1857</v>
      </c>
      <c r="CO270" s="14">
        <f>INT(SUMPRODUCT($U270:$Y270,$BA270:$BE270)/SUM($BA270:$BE270)/10000*$BX$7*$BZ$34/'疲劳值&amp;地图信息'!$R$10*$BY$54)</f>
        <v>6301</v>
      </c>
      <c r="CP270" s="50">
        <f t="shared" si="438"/>
        <v>0.66923451183911775</v>
      </c>
      <c r="CQ270" s="50">
        <f t="shared" si="439"/>
        <v>7.5291923451183906E-2</v>
      </c>
      <c r="CR270" s="50">
        <f t="shared" si="440"/>
        <v>0.25547356470969834</v>
      </c>
      <c r="CS270" s="14">
        <f t="shared" si="441"/>
        <v>18090</v>
      </c>
      <c r="CT270" s="14">
        <f t="shared" si="442"/>
        <v>3169</v>
      </c>
      <c r="CU270" s="14">
        <f>INT(SUMPRODUCT($AB270:$AF270,$BA270:$BE270)/SUM($BA270:$BE270)/10000*$BX$7*$BZ$34/'疲劳值&amp;地图信息'!$R$10*$BY$55)</f>
        <v>8556</v>
      </c>
      <c r="CV270" s="50">
        <f t="shared" si="443"/>
        <v>0.6067415730337079</v>
      </c>
      <c r="CW270" s="50">
        <f t="shared" si="444"/>
        <v>0.10628878081502599</v>
      </c>
      <c r="CX270" s="50">
        <f t="shared" si="445"/>
        <v>0.28696964615126613</v>
      </c>
      <c r="CY270" s="14">
        <f t="shared" si="446"/>
        <v>21825</v>
      </c>
      <c r="CZ270" s="14">
        <f t="shared" si="447"/>
        <v>9272</v>
      </c>
      <c r="DA270" s="14">
        <f>INT(SUMPRODUCT($AI270:$AM270,$BA270:$BE270)/SUM($BA270:$BE270)/10000*$BX$7*$BZ$34/'疲劳值&amp;地图信息'!$R$10*$BY$56)</f>
        <v>12909</v>
      </c>
      <c r="DB270" s="50">
        <f t="shared" si="448"/>
        <v>0.4959550970322229</v>
      </c>
      <c r="DC270" s="50">
        <f t="shared" si="449"/>
        <v>0.21069854110803071</v>
      </c>
      <c r="DD270" s="50">
        <f t="shared" si="450"/>
        <v>0.29334636185974639</v>
      </c>
      <c r="DE270" s="14">
        <f t="shared" si="451"/>
        <v>22851</v>
      </c>
      <c r="DF270" s="14">
        <f t="shared" si="452"/>
        <v>15849</v>
      </c>
      <c r="DG270" s="14">
        <f>INT(SUMPRODUCT($AP270:$AT270,$BA270:$BE270)/SUM($BA270:$BE270)/10000*$BX$7*$BZ$34/'疲劳值&amp;地图信息'!$R$10*$BY$57)</f>
        <v>17232</v>
      </c>
      <c r="DH270" s="50">
        <f t="shared" si="453"/>
        <v>0.40854966745333621</v>
      </c>
      <c r="DI270" s="50">
        <f t="shared" si="454"/>
        <v>0.28336193949796179</v>
      </c>
      <c r="DJ270" s="50">
        <f t="shared" si="455"/>
        <v>0.308088393048702</v>
      </c>
      <c r="DL270" s="14">
        <f t="shared" si="421"/>
        <v>19571</v>
      </c>
      <c r="DM270" s="14">
        <f t="shared" si="422"/>
        <v>24664</v>
      </c>
      <c r="DN270" s="14">
        <f t="shared" si="423"/>
        <v>29815</v>
      </c>
      <c r="DO270" s="14">
        <f t="shared" si="424"/>
        <v>44006</v>
      </c>
      <c r="DP270" s="14">
        <f t="shared" si="425"/>
        <v>55932</v>
      </c>
      <c r="DQ270" s="14">
        <f t="shared" si="426"/>
        <v>1356905</v>
      </c>
      <c r="DT270" s="14">
        <f t="shared" si="525"/>
        <v>235575</v>
      </c>
      <c r="DU270" s="50">
        <f t="shared" si="427"/>
        <v>0.14792964432834321</v>
      </c>
      <c r="DW270" s="14">
        <f t="shared" si="456"/>
        <v>1592480</v>
      </c>
      <c r="EB270" s="14">
        <v>265</v>
      </c>
      <c r="EC270" s="51">
        <f t="shared" si="457"/>
        <v>25265</v>
      </c>
      <c r="ED270" s="51">
        <f t="shared" si="458"/>
        <v>1830</v>
      </c>
      <c r="EE270" s="51">
        <f>INT(SUMPRODUCT($N270:$R270,$BF270:$BJ270)/SUM($BF270:$BJ270)/10000*$BX$7*$BZ$46/'疲劳值&amp;地图信息'!$R$10*$BY$53)</f>
        <v>445</v>
      </c>
      <c r="EF270" s="50">
        <f t="shared" si="459"/>
        <v>0.91739288307915756</v>
      </c>
      <c r="EG270" s="50">
        <f t="shared" si="460"/>
        <v>6.6448801742919394E-2</v>
      </c>
      <c r="EH270" s="50">
        <f t="shared" si="461"/>
        <v>1.615831517792302E-2</v>
      </c>
      <c r="EI270" s="51">
        <f t="shared" si="462"/>
        <v>27511</v>
      </c>
      <c r="EJ270" s="51">
        <f t="shared" si="463"/>
        <v>3095</v>
      </c>
      <c r="EK270" s="14">
        <f>INT(SUMPRODUCT($U270:$Y270,$BF270:$BJ270)/SUM($BF270:$BJ270)/10000*$BX$7*$BZ$46/'疲劳值&amp;地图信息'!$R$10*$BY$54)</f>
        <v>846</v>
      </c>
      <c r="EL270" s="50">
        <f t="shared" si="464"/>
        <v>0.87469795243545723</v>
      </c>
      <c r="EM270" s="50">
        <f t="shared" si="465"/>
        <v>9.8403917079994907E-2</v>
      </c>
      <c r="EN270" s="50">
        <f t="shared" si="466"/>
        <v>2.6898130484547884E-2</v>
      </c>
      <c r="EO270" s="51">
        <f t="shared" si="467"/>
        <v>30150</v>
      </c>
      <c r="EP270" s="51">
        <f t="shared" si="468"/>
        <v>5283</v>
      </c>
      <c r="EQ270" s="14">
        <f>INT(SUMPRODUCT($AB270:$AF270,$BF270:$BJ270)/SUM($BF270:$BJ270)/10000*$BX$7*$BZ$46/'疲劳值&amp;地图信息'!$R$10*$BY$55)</f>
        <v>1147</v>
      </c>
      <c r="ER270" s="50">
        <f t="shared" si="469"/>
        <v>0.82422088572990704</v>
      </c>
      <c r="ES270" s="50">
        <f t="shared" si="470"/>
        <v>0.14442318206670313</v>
      </c>
      <c r="ET270" s="50">
        <f t="shared" si="471"/>
        <v>3.1355932203389829E-2</v>
      </c>
      <c r="EU270" s="51">
        <f t="shared" si="472"/>
        <v>36375</v>
      </c>
      <c r="EV270" s="51">
        <f t="shared" si="473"/>
        <v>15453</v>
      </c>
      <c r="EW270" s="14">
        <f>INT(SUMPRODUCT($AI270:$AM270,$BF270:$BJ270)/SUM($BF270:$BJ270)/10000*$BX$7*$BZ$46/'疲劳值&amp;地图信息'!$R$10*$BY$56)</f>
        <v>1721</v>
      </c>
      <c r="EX270" s="50">
        <f t="shared" si="474"/>
        <v>0.67928439373284277</v>
      </c>
      <c r="EY270" s="50">
        <f t="shared" si="475"/>
        <v>0.28857681749425762</v>
      </c>
      <c r="EZ270" s="50">
        <f t="shared" si="476"/>
        <v>3.2138788772899586E-2</v>
      </c>
      <c r="FA270" s="51">
        <f t="shared" si="477"/>
        <v>38085</v>
      </c>
      <c r="FB270" s="51">
        <f t="shared" si="478"/>
        <v>26415</v>
      </c>
      <c r="FC270" s="14">
        <f>INT(SUMPRODUCT($AP270:$AT270,$BF270:$BJ270)/SUM($BF270:$BJ270)/10000*$BX$7*$BZ$46/'疲劳值&amp;地图信息'!$R$10*$BY$57)</f>
        <v>2295</v>
      </c>
      <c r="FD270" s="50">
        <f t="shared" si="479"/>
        <v>0.57017740848865928</v>
      </c>
      <c r="FE270" s="50">
        <f t="shared" si="480"/>
        <v>0.39546373231529308</v>
      </c>
      <c r="FF270" s="50">
        <f t="shared" si="481"/>
        <v>3.4358859196047607E-2</v>
      </c>
      <c r="FH270" s="14">
        <f t="shared" si="482"/>
        <v>27540</v>
      </c>
      <c r="FI270" s="14">
        <f t="shared" si="483"/>
        <v>31452</v>
      </c>
      <c r="FJ270" s="14">
        <f t="shared" si="484"/>
        <v>36580</v>
      </c>
      <c r="FK270" s="14">
        <f t="shared" si="485"/>
        <v>53549</v>
      </c>
      <c r="FL270" s="14">
        <f t="shared" si="486"/>
        <v>66795</v>
      </c>
      <c r="FM270" s="14">
        <f t="shared" si="487"/>
        <v>3249193</v>
      </c>
      <c r="FP270" s="14">
        <f t="shared" si="488"/>
        <v>334150</v>
      </c>
      <c r="FQ270" s="50">
        <f t="shared" si="428"/>
        <v>9.3250911230099931E-2</v>
      </c>
      <c r="FS270" s="14">
        <f t="shared" si="489"/>
        <v>3583343</v>
      </c>
      <c r="FX270" s="14">
        <v>265</v>
      </c>
      <c r="FY270" s="51">
        <f t="shared" si="490"/>
        <v>35371</v>
      </c>
      <c r="FZ270" s="51">
        <f t="shared" si="491"/>
        <v>1830</v>
      </c>
      <c r="GA270" s="51">
        <f>INT(SUMPRODUCT($N270:$R270,$BF270:$BJ270)/SUM($BF270:$BJ270)/10000*$BX$7*$BZ$46/'疲劳值&amp;地图信息'!$R$10*$BY$53)</f>
        <v>445</v>
      </c>
      <c r="GB270" s="50">
        <f t="shared" si="492"/>
        <v>0.93956861286723692</v>
      </c>
      <c r="GC270" s="50">
        <f t="shared" si="493"/>
        <v>4.8610742177123731E-2</v>
      </c>
      <c r="GD270" s="50">
        <f t="shared" si="494"/>
        <v>1.1820644955639377E-2</v>
      </c>
      <c r="GE270" s="51">
        <f t="shared" si="495"/>
        <v>38516</v>
      </c>
      <c r="GF270" s="51">
        <f t="shared" si="496"/>
        <v>3095</v>
      </c>
      <c r="GG270" s="14">
        <f>INT(SUMPRODUCT($U270:$Y270,$BF270:$BJ270)/SUM($BF270:$BJ270)/10000*$BX$7*$BZ$46/'疲劳值&amp;地图信息'!$R$10*$BY$54)</f>
        <v>846</v>
      </c>
      <c r="GH270" s="50">
        <f t="shared" si="497"/>
        <v>0.90717667286902037</v>
      </c>
      <c r="GI270" s="50">
        <f t="shared" si="498"/>
        <v>7.2897284311185431E-2</v>
      </c>
      <c r="GJ270" s="50">
        <f t="shared" si="499"/>
        <v>1.9926042819794144E-2</v>
      </c>
      <c r="GK270" s="51">
        <f t="shared" si="500"/>
        <v>42210</v>
      </c>
      <c r="GL270" s="51">
        <f t="shared" si="501"/>
        <v>5283</v>
      </c>
      <c r="GM270" s="14">
        <f>INT(SUMPRODUCT($AB270:$AF270,$BF270:$BJ270)/SUM($BF270:$BJ270)/10000*$BX$7*$BZ$46/'疲劳值&amp;地图信息'!$R$10*$BY$55)</f>
        <v>1147</v>
      </c>
      <c r="GN270" s="50">
        <f t="shared" si="502"/>
        <v>0.86780427631578949</v>
      </c>
      <c r="GO270" s="50">
        <f t="shared" si="503"/>
        <v>0.10861430921052631</v>
      </c>
      <c r="GP270" s="50">
        <f t="shared" si="504"/>
        <v>2.3581414473684212E-2</v>
      </c>
      <c r="GQ270" s="51">
        <f t="shared" si="505"/>
        <v>50925</v>
      </c>
      <c r="GR270" s="51">
        <f t="shared" si="506"/>
        <v>15453</v>
      </c>
      <c r="GS270" s="14">
        <f>INT(SUMPRODUCT($AI270:$AM270,$BF270:$BJ270)/SUM($BF270:$BJ270)/10000*$BX$7*$BZ$46/'疲劳值&amp;地图信息'!$R$10*$BY$56)</f>
        <v>1721</v>
      </c>
      <c r="GT270" s="50">
        <f t="shared" si="507"/>
        <v>0.74780833786105527</v>
      </c>
      <c r="GU270" s="50">
        <f t="shared" si="508"/>
        <v>0.22691963171265364</v>
      </c>
      <c r="GV270" s="50">
        <f t="shared" si="509"/>
        <v>2.5272030426291135E-2</v>
      </c>
      <c r="GW270" s="51">
        <f t="shared" si="510"/>
        <v>53320</v>
      </c>
      <c r="GX270" s="51">
        <f t="shared" si="511"/>
        <v>26415</v>
      </c>
      <c r="GY270" s="14">
        <f>INT(SUMPRODUCT($AP270:$AT270,$BF270:$BJ270)/SUM($BF270:$BJ270)/10000*$BX$7*$BZ$46/'疲劳值&amp;地图信息'!$R$10*$BY$57)</f>
        <v>2295</v>
      </c>
      <c r="GZ270" s="50">
        <f t="shared" si="512"/>
        <v>0.65000609533097642</v>
      </c>
      <c r="HA270" s="50">
        <f t="shared" si="513"/>
        <v>0.32201633548701697</v>
      </c>
      <c r="HB270" s="50">
        <f t="shared" si="514"/>
        <v>2.7977569182006584E-2</v>
      </c>
      <c r="HD270" s="14">
        <f t="shared" si="515"/>
        <v>37646</v>
      </c>
      <c r="HE270" s="14">
        <f t="shared" si="516"/>
        <v>42457</v>
      </c>
      <c r="HF270" s="14">
        <f t="shared" si="517"/>
        <v>48640</v>
      </c>
      <c r="HG270" s="14">
        <f t="shared" si="518"/>
        <v>68099</v>
      </c>
      <c r="HH270" s="14">
        <f t="shared" si="519"/>
        <v>82030</v>
      </c>
      <c r="HI270" s="14">
        <f t="shared" si="520"/>
        <v>4381507</v>
      </c>
      <c r="HL270" s="14">
        <f t="shared" si="521"/>
        <v>430050</v>
      </c>
      <c r="HM270" s="50">
        <f t="shared" si="429"/>
        <v>8.9378552514290069E-2</v>
      </c>
      <c r="HO270" s="14">
        <f t="shared" si="522"/>
        <v>4811557</v>
      </c>
    </row>
    <row r="271" spans="11:223" x14ac:dyDescent="0.2">
      <c r="K271" s="14">
        <v>266</v>
      </c>
      <c r="L271" s="12">
        <f>求节点(节奏总纲!D$4:D$163,标准城池设计!AB$4:AB$163,$K271)*求节点(节奏总纲!D$4:D$163,攻城基础信息!$AC$5:$AC$164,$K271)</f>
        <v>744913.24581689318</v>
      </c>
      <c r="M271" s="12">
        <f>INDEX(其他调用!$AA$5:$AA$404,MATCH(K271,其他调用!$X$5:$X$404,0))*MIN(INDEX(其他调用!$AH$5:$AH$364,MATCH('征服点（新）'!K271,其他调用!$AG$5:$AG$364,0),1)/INDEX(其他调用!$AJ$5:$AJ$364,MATCH(K271,其他调用!$AG$5:$AG$364,0),0),5)*求节点(节奏总纲!D$4:D$163,攻城基础信息!$AC$5:$AC$164,$K271)</f>
        <v>53874.027780983473</v>
      </c>
      <c r="N271" s="12">
        <f>MIN(INDEX(其他调用!$AH$5:$AH$364,MATCH($K271,其他调用!$AG$5:$AG$364,0),1)/INDEX(其他调用!AH$5:AH$364,MATCH($K271,其他调用!$AG$5:$AG$364,0),0),1)*INDEX(其他调用!Y$5:Y$404,MATCH($K271,其他调用!$X$5:$X$404,0),0)</f>
        <v>41778.365939204843</v>
      </c>
      <c r="O271" s="12">
        <f>MIN(INDEX(其他调用!$AH$5:$AH$364,MATCH($K271,其他调用!$AG$5:$AG$364,0),1)/INDEX(其他调用!AI$5:AI$364,MATCH($K271,其他调用!$AG$5:$AG$364,0),0),1)*INDEX(其他调用!Z$5:Z$404,MATCH($K271,其他调用!$X$5:$X$404,0),0)</f>
        <v>25375.198951878807</v>
      </c>
      <c r="P271" s="12">
        <f>MIN(INDEX(其他调用!$AH$5:$AH$364,MATCH($K271,其他调用!$AG$5:$AG$364,0),1)/INDEX(其他调用!AJ$5:AJ$364,MATCH($K271,其他调用!$AG$5:$AG$364,0),0),1)*INDEX(其他调用!AA$5:AA$404,MATCH($K271,其他调用!$X$5:$X$404,0),0)</f>
        <v>15392.579365995287</v>
      </c>
      <c r="Q271" s="12">
        <f>MIN(INDEX(其他调用!$AH$5:$AH$364,MATCH($K271,其他调用!$AG$5:$AG$364,0),1)/INDEX(其他调用!AK$5:AK$364,MATCH($K271,其他调用!$AG$5:$AG$364,0),0),1)*INDEX(其他调用!AB$5:AB$404,MATCH($K271,其他调用!$X$5:$X$404,0),0)</f>
        <v>5536.5470024436354</v>
      </c>
      <c r="R271" s="12">
        <f>MIN(INDEX(其他调用!$AH$5:$AH$364,MATCH($K271,其他调用!$AG$5:$AG$364,0),1)/INDEX(其他调用!AL$5:AL$364,MATCH($K271,其他调用!$AG$5:$AG$364,0),0),1)*INDEX(其他调用!AC$5:AC$404,MATCH($K271,其他调用!$X$5:$X$404,0),0)</f>
        <v>3098.640955266771</v>
      </c>
      <c r="S271" s="12">
        <f>求节点(节奏总纲!D$4:D$163,标准城池设计!AC$4:AC$163,$K271)*求节点(节奏总纲!D$4:D$163,攻城基础信息!$AD$5:$AD$164,$K271)</f>
        <v>811396.03007996874</v>
      </c>
      <c r="T271" s="12">
        <f>INDEX(其他调用!$AA$5:$AA$404,MATCH($K271,其他调用!$X$5:$X$404,0))*MIN(INDEX(其他调用!AI$5:AI$364,MATCH($K271,其他调用!$AG$5:$AG$364,0),1)/INDEX(其他调用!$AJ$5:$AJ$364,MATCH($K271,其他调用!$AG$5:$AG$364,0),0),5)*求节点(节奏总纲!D$4:D$163,攻城基础信息!$AD$5:$AD$164,$K271)</f>
        <v>91156.070206016928</v>
      </c>
      <c r="U271" s="12">
        <f>MIN(INDEX(其他调用!$AI$5:$AI$364,MATCH($K271,其他调用!$AG$5:$AG$364,0),1)/INDEX(其他调用!AH$5:AH$364,MATCH($K271,其他调用!$AG$5:$AG$364,0),0),1)*INDEX(其他调用!Y$5:Y$404,MATCH($K271,其他调用!$X$5:$X$404,0),0)</f>
        <v>41778.365939204843</v>
      </c>
      <c r="V271" s="12">
        <f>MIN(INDEX(其他调用!$AI$5:$AI$364,MATCH($K271,其他调用!$AG$5:$AG$364,0),1)/INDEX(其他调用!AI$5:AI$364,MATCH($K271,其他调用!$AG$5:$AG$364,0),0),1)*INDEX(其他调用!Z$5:Z$404,MATCH($K271,其他调用!$X$5:$X$404,0),0)</f>
        <v>42935.408998055165</v>
      </c>
      <c r="W271" s="12">
        <f>MIN(INDEX(其他调用!$AI$5:$AI$364,MATCH($K271,其他调用!$AG$5:$AG$364,0),1)/INDEX(其他调用!AJ$5:AJ$364,MATCH($K271,其他调用!$AG$5:$AG$364,0),0),1)*INDEX(其他调用!AA$5:AA$404,MATCH($K271,其他调用!$X$5:$X$404,0),0)</f>
        <v>26044.591487433423</v>
      </c>
      <c r="X271" s="12">
        <f>MIN(INDEX(其他调用!$AI$5:$AI$364,MATCH($K271,其他调用!$AG$5:$AG$364,0),1)/INDEX(其他调用!AK$5:AK$364,MATCH($K271,其他调用!$AG$5:$AG$364,0),0),1)*INDEX(其他调用!AB$5:AB$404,MATCH($K271,其他调用!$X$5:$X$404,0),0)</f>
        <v>9367.9624123409376</v>
      </c>
      <c r="Y271" s="12">
        <f>MIN(INDEX(其他调用!$AI$5:$AI$364,MATCH($K271,其他调用!$AG$5:$AG$364,0),1)/INDEX(其他调用!AL$5:AL$364,MATCH($K271,其他调用!$AG$5:$AG$364,0),0),1)*INDEX(其他调用!AC$5:AC$404,MATCH($K271,其他调用!$X$5:$X$404,0),0)</f>
        <v>5242.9703902933406</v>
      </c>
      <c r="Z271" s="12">
        <f>求节点(节奏总纲!D$4:D$163,标准城池设计!AD$4:AD$163,$K271)*求节点(节奏总纲!D$4:D$163,攻城基础信息!$AE$5:$AE$164,$K271)</f>
        <v>889097.92083207448</v>
      </c>
      <c r="AA271" s="12">
        <f>INDEX(其他调用!$AA$5:$AA$404,MATCH($K271,其他调用!$X$5:$X$404,0))*MIN(INDEX(其他调用!AJ$5:AJ$364,MATCH($K271,其他调用!$AG$5:$AG$364,0),1)/INDEX(其他调用!$AJ$5:$AJ$364,MATCH($K271,其他调用!$AG$5:$AG$364,0),0),5)*求节点(节奏总纲!D$4:D$163,攻城基础信息!$AE$5:$AE$164,$K271)</f>
        <v>155606.95924324318</v>
      </c>
      <c r="AB271" s="12">
        <f>MIN(INDEX(其他调用!$AJ$5:$AJ$364,MATCH($K271,其他调用!$AG$5:$AG$364,0),1)/INDEX(其他调用!AH$5:AH$364,MATCH($K271,其他调用!$AG$5:$AG$364,0),0),1)*INDEX(其他调用!Y$5:Y$404,MATCH($K271,其他调用!$X$5:$X$404,0),0)</f>
        <v>41778.365939204843</v>
      </c>
      <c r="AC271" s="12">
        <f>MIN(INDEX(其他调用!$AJ$5:$AJ$364,MATCH($K271,其他调用!$AG$5:$AG$364,0),1)/INDEX(其他调用!AI$5:AI$364,MATCH($K271,其他调用!$AG$5:$AG$364,0),0),1)*INDEX(其他调用!Z$5:Z$404,MATCH($K271,其他调用!$X$5:$X$404,0),0)</f>
        <v>42935.408998055165</v>
      </c>
      <c r="AD271" s="12">
        <f>MIN(INDEX(其他调用!$AJ$5:$AJ$364,MATCH($K271,其他调用!$AG$5:$AG$364,0),1)/INDEX(其他调用!AJ$5:AJ$364,MATCH($K271,其他调用!$AG$5:$AG$364,0),0),1)*INDEX(其他调用!AA$5:AA$404,MATCH($K271,其他调用!$X$5:$X$404,0),0)</f>
        <v>44459.131212355227</v>
      </c>
      <c r="AE271" s="12">
        <f>MIN(INDEX(其他调用!$AJ$5:$AJ$364,MATCH($K271,其他调用!$AG$5:$AG$364,0),1)/INDEX(其他调用!AK$5:AK$364,MATCH($K271,其他调用!$AG$5:$AG$364,0),0),1)*INDEX(其他调用!AB$5:AB$404,MATCH($K271,其他调用!$X$5:$X$404,0),0)</f>
        <v>15991.476398607967</v>
      </c>
      <c r="AF271" s="12">
        <f>MIN(INDEX(其他调用!$AJ$5:$AJ$364,MATCH($K271,其他调用!$AG$5:$AG$364,0),1)/INDEX(其他调用!AL$5:AL$364,MATCH($K271,其他调用!$AG$5:$AG$364,0),0),1)*INDEX(其他调用!AC$5:AC$404,MATCH($K271,其他调用!$X$5:$X$404,0),0)</f>
        <v>8949.9544900527708</v>
      </c>
      <c r="AG271" s="12">
        <f>求节点(节奏总纲!D$4:D$163,标准城池设计!AE$4:AE$163,$K271)*求节点(节奏总纲!D$4:D$163,攻城基础信息!$AF$5:$AF$164,$K271)</f>
        <v>1072764.2777733644</v>
      </c>
      <c r="AH271" s="12">
        <f>INDEX(其他调用!$AA$5:$AA$404,MATCH($K271,其他调用!$X$5:$X$404,0))*MIN(INDEX(其他调用!AK$5:AK$364,MATCH($K271,其他调用!$AG$5:$AG$364,0),1)/INDEX(其他调用!$AJ$5:$AJ$364,MATCH($K271,其他调用!$AG$5:$AG$364,0),0),5)*求节点(节奏总纲!D$4:D$163,攻城基础信息!$AF$5:$AF$164,$K271)</f>
        <v>454500.37161112414</v>
      </c>
      <c r="AI271" s="12">
        <f>MIN(INDEX(其他调用!$AK$5:$AK$364,MATCH($K271,其他调用!$AG$5:$AG$364,0),1)/INDEX(其他调用!AH$5:AH$364,MATCH($K271,其他调用!$AG$5:$AG$364,0),0),1)*INDEX(其他调用!Y$5:Y$404,MATCH($K271,其他调用!$X$5:$X$404,0),0)</f>
        <v>41778.365939204843</v>
      </c>
      <c r="AJ271" s="12">
        <f>MIN(INDEX(其他调用!$AK$5:$AK$364,MATCH($K271,其他调用!$AG$5:$AG$364,0),1)/INDEX(其他调用!AI$5:AI$364,MATCH($K271,其他调用!$AG$5:$AG$364,0),0),1)*INDEX(其他调用!Z$5:Z$404,MATCH($K271,其他调用!$X$5:$X$404,0),0)</f>
        <v>42935.408998055165</v>
      </c>
      <c r="AK271" s="12">
        <f>MIN(INDEX(其他调用!$AK$5:$AK$364,MATCH($K271,其他调用!$AG$5:$AG$364,0),1)/INDEX(其他调用!AJ$5:AJ$364,MATCH($K271,其他调用!$AG$5:$AG$364,0),0),1)*INDEX(其他调用!AA$5:AA$404,MATCH($K271,其他调用!$X$5:$X$404,0),0)</f>
        <v>44459.131212355227</v>
      </c>
      <c r="AL271" s="12">
        <f>MIN(INDEX(其他调用!$AK$5:$AK$364,MATCH($K271,其他调用!$AG$5:$AG$364,0),1)/INDEX(其他调用!AK$5:AK$364,MATCH($K271,其他调用!$AG$5:$AG$364,0),0),1)*INDEX(其他调用!AB$5:AB$404,MATCH($K271,其他调用!$X$5:$X$404,0),0)</f>
        <v>46708.270639852119</v>
      </c>
      <c r="AM271" s="12">
        <f>MIN(INDEX(其他调用!$AK$5:$AK$364,MATCH($K271,其他调用!$AG$5:$AG$364,0),1)/INDEX(其他调用!AL$5:AL$364,MATCH($K271,其他调用!$AG$5:$AG$364,0),0),1)*INDEX(其他调用!AC$5:AC$404,MATCH($K271,其他调用!$X$5:$X$404,0),0)</f>
        <v>26141.232123641435</v>
      </c>
      <c r="AN271" s="12">
        <f>求节点(节奏总纲!D$4:D$163,标准城池设计!AF$4:AF$163,$K271)*求节点(节奏总纲!D$4:D$163,攻城基础信息!$AG$5:$AG$164,$K271)</f>
        <v>1123206.8236103344</v>
      </c>
      <c r="AO271" s="12">
        <f>INDEX(其他调用!$AA$5:$AA$404,MATCH($K271,其他调用!$X$5:$X$404,0))*MIN(INDEX(其他调用!AL$5:AL$364,MATCH($K271,其他调用!$AG$5:$AG$364,0),1)/INDEX(其他调用!$AJ$5:$AJ$364,MATCH($K271,其他调用!$AG$5:$AG$364,0),0),5)*求节点(节奏总纲!D$4:D$163,攻城基础信息!$AG$5:$AG$164,$K271)</f>
        <v>778034.79621621594</v>
      </c>
      <c r="AP271" s="12">
        <f>MIN(INDEX(其他调用!$AL$5:$AL$364,MATCH($K271,其他调用!$AG$5:$AG$364,0),1)/INDEX(其他调用!AH$5:AH$364,MATCH($K271,其他调用!$AG$5:$AG$364,0),0),1)*INDEX(其他调用!Y$5:Y$404,MATCH($K271,其他调用!$X$5:$X$404,0),0)</f>
        <v>41778.365939204843</v>
      </c>
      <c r="AQ271" s="12">
        <f>MIN(INDEX(其他调用!$AL$5:$AL$364,MATCH($K271,其他调用!$AG$5:$AG$364,0),1)/INDEX(其他调用!AI$5:AI$364,MATCH($K271,其他调用!$AG$5:$AG$364,0),0),1)*INDEX(其他调用!Z$5:Z$404,MATCH($K271,其他调用!$X$5:$X$404,0),0)</f>
        <v>42935.408998055165</v>
      </c>
      <c r="AR271" s="12">
        <f>MIN(INDEX(其他调用!$AL$5:$AL$364,MATCH($K271,其他调用!$AG$5:$AG$364,0),1)/INDEX(其他调用!AJ$5:AJ$364,MATCH($K271,其他调用!$AG$5:$AG$364,0),0),1)*INDEX(其他调用!AA$5:AA$404,MATCH($K271,其他调用!$X$5:$X$404,0),0)</f>
        <v>44459.131212355227</v>
      </c>
      <c r="AS271" s="12">
        <f>MIN(INDEX(其他调用!$AL$5:$AL$364,MATCH($K271,其他调用!$AG$5:$AG$364,0),1)/INDEX(其他调用!AK$5:AK$364,MATCH($K271,其他调用!$AG$5:$AG$364,0),0),1)*INDEX(其他调用!AB$5:AB$404,MATCH($K271,其他调用!$X$5:$X$404,0),0)</f>
        <v>46708.270639852119</v>
      </c>
      <c r="AT271" s="12">
        <f>MIN(INDEX(其他调用!$AL$5:$AL$364,MATCH($K271,其他调用!$AG$5:$AG$364,0),1)/INDEX(其他调用!AL$5:AL$364,MATCH($K271,其他调用!$AG$5:$AG$364,0),0),1)*INDEX(其他调用!AC$5:AC$404,MATCH($K271,其他调用!$X$5:$X$404,0),0)</f>
        <v>50592.753282802783</v>
      </c>
      <c r="AV271" s="14">
        <f>IF(OR(AV$5="大R",AV$5="超R"),MAX(INDEX(其他调用!$H$5:$L$404,MATCH($K271,其他调用!$B$5:$B$404,0),MATCH(AV$5,其他调用!$H$4:$L$4,0))*120*0.85,2),INDEX(其他调用!$H$5:$L$404,MATCH($K271,其他调用!$B$5:$B$404,0),MATCH(AV$5,其他调用!$H$4:$L$4,0))*120*0.85)</f>
        <v>48.921801254999991</v>
      </c>
      <c r="AW271" s="14">
        <f>IF(OR(AW$5="大R",AW$5="超R"),MAX(INDEX(其他调用!$H$5:$L$404,MATCH($K271,其他调用!$B$5:$B$404,0),MATCH(AW$5,其他调用!$H$4:$L$4,0))*120*0.85,2),INDEX(其他调用!$H$5:$L$404,MATCH($K271,其他调用!$B$5:$B$404,0),MATCH(AW$5,其他调用!$H$4:$L$4,0))*120*0.85)</f>
        <v>48.237344010638395</v>
      </c>
      <c r="AX271" s="14">
        <f>IF(OR(AX$5="大R",AX$5="超R"),MAX(INDEX(其他调用!$H$5:$L$404,MATCH($K271,其他调用!$B$5:$B$404,0),MATCH(AX$5,其他调用!$H$4:$L$4,0))*120*0.85,2),INDEX(其他调用!$H$5:$L$404,MATCH($K271,其他调用!$B$5:$B$404,0),MATCH(AX$5,其他调用!$H$4:$L$4,0))*120*0.85)</f>
        <v>3.9376284143615998</v>
      </c>
      <c r="AY271" s="14">
        <f>IF(OR(AY$5="大R",AY$5="超R"),MAX(INDEX(其他调用!$H$5:$L$404,MATCH($K271,其他调用!$B$5:$B$404,0),MATCH(AY$5,其他调用!$H$4:$L$4,0))*120*0.85,2),INDEX(其他调用!$H$5:$L$404,MATCH($K271,其他调用!$B$5:$B$404,0),MATCH(AY$5,其他调用!$H$4:$L$4,0))*120*0.85)</f>
        <v>2</v>
      </c>
      <c r="AZ271" s="14">
        <f>IF(OR(AZ$5="大R",AZ$5="超R"),MAX(INDEX(其他调用!$H$5:$L$404,MATCH($K271,其他调用!$B$5:$B$404,0),MATCH(AZ$5,其他调用!$H$4:$L$4,0))*120*0.85,2),INDEX(其他调用!$H$5:$L$404,MATCH($K271,其他调用!$B$5:$B$404,0),MATCH(AZ$5,其他调用!$H$4:$L$4,0))*120*0.85)</f>
        <v>2</v>
      </c>
      <c r="BA271" s="14">
        <f>INDEX(其他调用!$H$5:$L$404,MATCH($K271,其他调用!$B$5:$B$404,0),MATCH(BA$5,其他调用!$H$4:$L$4,0))*INDEX(其他调用!$M$5:$M$404,MATCH($K271,其他调用!$B$5:$B$404,0))*0.6</f>
        <v>28.777530149999997</v>
      </c>
      <c r="BB271" s="14">
        <f>INDEX(其他调用!$H$5:$L$404,MATCH($K271,其他调用!$B$5:$B$404,0),MATCH(BB$5,其他调用!$H$4:$L$4,0))*INDEX(其他调用!$M$5:$M$404,MATCH($K271,其他调用!$B$5:$B$404,0))*0.6</f>
        <v>28.374908241551999</v>
      </c>
      <c r="BC271" s="14">
        <f>INDEX(其他调用!$H$5:$L$404,MATCH($K271,其他调用!$B$5:$B$404,0),MATCH(BC$5,其他调用!$H$4:$L$4,0))*INDEX(其他调用!$M$5:$M$404,MATCH($K271,其他调用!$B$5:$B$404,0))*0.6</f>
        <v>2.3162520084480001</v>
      </c>
      <c r="BD271" s="14">
        <f>INDEX(其他调用!$H$5:$L$404,MATCH($K271,其他调用!$B$5:$B$404,0),MATCH(BD$5,其他调用!$H$4:$L$4,0))*INDEX(其他调用!$M$5:$M$404,MATCH($K271,其他调用!$B$5:$B$404,0))*0.6</f>
        <v>0.4120776000000001</v>
      </c>
      <c r="BE271" s="14">
        <f>INDEX(其他调用!$H$5:$L$404,MATCH($K271,其他调用!$B$5:$B$404,0),MATCH(BE$5,其他调用!$H$4:$L$4,0))*INDEX(其他调用!$M$5:$M$404,MATCH($K271,其他调用!$B$5:$B$404,0))*0.6</f>
        <v>0.11923199999999998</v>
      </c>
      <c r="BF271" s="14">
        <f>IF(OR(BF$5="大R",BF$5="超R"),0,INDEX(其他调用!$H$5:$L$404,MATCH($K271,其他调用!$B$5:$B$404,0),MATCH(BF$5,其他调用!$H$4:$L$4,0))*50*0.4)</f>
        <v>9.5925100500000013</v>
      </c>
      <c r="BG271" s="14">
        <f>IF(OR(BG$5="大R",BG$5="超R"),0,INDEX(其他调用!$H$5:$L$404,MATCH($K271,其他调用!$B$5:$B$404,0),MATCH(BG$5,其他调用!$H$4:$L$4,0))*50*0.4)</f>
        <v>9.4583027471839998</v>
      </c>
      <c r="BH271" s="14">
        <f>IF(OR(BH$5="大R",BH$5="超R"),0,INDEX(其他调用!$H$5:$L$404,MATCH($K271,其他调用!$B$5:$B$404,0),MATCH(BH$5,其他调用!$H$4:$L$4,0))*50*0.4)</f>
        <v>0.77208400281600009</v>
      </c>
      <c r="BI271" s="14">
        <f>IF(OR(BI$5="大R",BI$5="超R"),0,INDEX(其他调用!$H$5:$L$404,MATCH($K271,其他调用!$B$5:$B$404,0),MATCH(BI$5,其他调用!$H$4:$L$4,0))*50*0.4)</f>
        <v>0</v>
      </c>
      <c r="BJ271" s="14">
        <f>IF(OR(BJ$5="大R",BJ$5="超R"),0,INDEX(其他调用!$H$5:$L$404,MATCH($K271,其他调用!$B$5:$B$404,0),MATCH(BJ$5,其他调用!$H$4:$L$4,0))*50*0.4)</f>
        <v>0</v>
      </c>
      <c r="BL271" s="14">
        <f t="shared" si="523"/>
        <v>266</v>
      </c>
      <c r="BM271" s="14">
        <f t="shared" si="430"/>
        <v>96</v>
      </c>
      <c r="BN271" s="14">
        <f>('疲劳值&amp;地图信息'!$S$10*'疲劳值&amp;地图信息'!$R$10+'疲劳值&amp;地图信息'!$S$11*'疲劳值&amp;地图信息'!$R$11+'疲劳值&amp;地图信息'!$S$12*'疲劳值&amp;地图信息'!$R$12+(BM271-'疲劳值&amp;地图信息'!$S$12-'疲劳值&amp;地图信息'!$S$11-'疲劳值&amp;地图信息'!$S$10)*'疲劳值&amp;地图信息'!$R$13)/BM271</f>
        <v>51.371477246638619</v>
      </c>
      <c r="BO271" s="14">
        <f>INDEX(其他调用!$M$5:$M$404,MATCH(BL271,其他调用!$B$5:$B$404,0))*0.6</f>
        <v>60</v>
      </c>
      <c r="BP271" s="14">
        <f>IF(BO271&gt;SUM('疲劳值&amp;地图信息'!$S$10:$S$12),('疲劳值&amp;地图信息'!$S$10*'疲劳值&amp;地图信息'!$R$10+'疲劳值&amp;地图信息'!$S$11*'疲劳值&amp;地图信息'!$R$11+'疲劳值&amp;地图信息'!$S$12*'疲劳值&amp;地图信息'!$R$12+(BO271-'疲劳值&amp;地图信息'!$S$12-'疲劳值&amp;地图信息'!$S$11-'疲劳值&amp;地图信息'!$S$10)*'疲劳值&amp;地图信息'!$R$13)/BO271,('疲劳值&amp;地图信息'!$S$10*'疲劳值&amp;地图信息'!$R$10+'疲劳值&amp;地图信息'!$S$11*'疲劳值&amp;地图信息'!$R$11+'疲劳值&amp;地图信息'!$S$12*'疲劳值&amp;地图信息'!$R$12+(BO271-'疲劳值&amp;地图信息'!$S$12-'疲劳值&amp;地图信息'!$S$11-'疲劳值&amp;地图信息'!$S$10)*'疲劳值&amp;地图信息'!$R$13)/BO271)</f>
        <v>44.158136341605953</v>
      </c>
      <c r="BQ271" s="14">
        <f t="shared" si="524"/>
        <v>20</v>
      </c>
      <c r="BR271" s="14">
        <f>('疲劳值&amp;地图信息'!$S$10*'疲劳值&amp;地图信息'!$R$10+($BQ271-'疲劳值&amp;地图信息'!$S$10)*'疲劳值&amp;地图信息'!$R$11)/$BQ271</f>
        <v>32.067203015074995</v>
      </c>
      <c r="CF271" s="14">
        <v>266</v>
      </c>
      <c r="CG271" s="51">
        <f t="shared" si="431"/>
        <v>15182</v>
      </c>
      <c r="CH271" s="51">
        <f t="shared" si="432"/>
        <v>1098</v>
      </c>
      <c r="CI271" s="51">
        <f>INT(SUMPRODUCT($N271:$R271,$BA271:$BE271)/SUM($BA271:$BE271)/10000*$BX$7*$BZ$34/'疲劳值&amp;地图信息'!$R$10*$BY$53)</f>
        <v>3315</v>
      </c>
      <c r="CJ271" s="50">
        <f t="shared" si="433"/>
        <v>0.77478948711405971</v>
      </c>
      <c r="CK271" s="50">
        <f t="shared" si="434"/>
        <v>5.6034702730288335E-2</v>
      </c>
      <c r="CL271" s="50">
        <f t="shared" si="435"/>
        <v>0.16917581015565195</v>
      </c>
      <c r="CM271" s="14">
        <f t="shared" si="436"/>
        <v>16537</v>
      </c>
      <c r="CN271" s="14">
        <f t="shared" si="437"/>
        <v>1857</v>
      </c>
      <c r="CO271" s="14">
        <f>INT(SUMPRODUCT($U271:$Y271,$BA271:$BE271)/SUM($BA271:$BE271)/10000*$BX$7*$BZ$34/'疲劳值&amp;地图信息'!$R$10*$BY$54)</f>
        <v>6304</v>
      </c>
      <c r="CP271" s="50">
        <f t="shared" si="438"/>
        <v>0.66956838610413794</v>
      </c>
      <c r="CQ271" s="50">
        <f t="shared" si="439"/>
        <v>7.5188274354198725E-2</v>
      </c>
      <c r="CR271" s="50">
        <f t="shared" si="440"/>
        <v>0.25524333954166328</v>
      </c>
      <c r="CS271" s="14">
        <f t="shared" si="441"/>
        <v>18120</v>
      </c>
      <c r="CT271" s="14">
        <f t="shared" si="442"/>
        <v>3171</v>
      </c>
      <c r="CU271" s="14">
        <f>INT(SUMPRODUCT($AB271:$AF271,$BA271:$BE271)/SUM($BA271:$BE271)/10000*$BX$7*$BZ$34/'疲劳值&amp;地图信息'!$R$10*$BY$55)</f>
        <v>8561</v>
      </c>
      <c r="CV271" s="50">
        <f t="shared" si="443"/>
        <v>0.60699450623073836</v>
      </c>
      <c r="CW271" s="50">
        <f t="shared" si="444"/>
        <v>0.10622403859037921</v>
      </c>
      <c r="CX271" s="50">
        <f t="shared" si="445"/>
        <v>0.28678145517888248</v>
      </c>
      <c r="CY271" s="14">
        <f t="shared" si="446"/>
        <v>21864</v>
      </c>
      <c r="CZ271" s="14">
        <f t="shared" si="447"/>
        <v>9263</v>
      </c>
      <c r="DA271" s="14">
        <f>INT(SUMPRODUCT($AI271:$AM271,$BA271:$BE271)/SUM($BA271:$BE271)/10000*$BX$7*$BZ$34/'疲劳值&amp;地图信息'!$R$10*$BY$56)</f>
        <v>12916</v>
      </c>
      <c r="DB271" s="50">
        <f t="shared" si="448"/>
        <v>0.49642394932225326</v>
      </c>
      <c r="DC271" s="50">
        <f t="shared" si="449"/>
        <v>0.21031719001884522</v>
      </c>
      <c r="DD271" s="50">
        <f t="shared" si="450"/>
        <v>0.29325886065890155</v>
      </c>
      <c r="DE271" s="14">
        <f t="shared" si="451"/>
        <v>22892</v>
      </c>
      <c r="DF271" s="14">
        <f t="shared" si="452"/>
        <v>15857</v>
      </c>
      <c r="DG271" s="14">
        <f>INT(SUMPRODUCT($AP271:$AT271,$BA271:$BE271)/SUM($BA271:$BE271)/10000*$BX$7*$BZ$34/'疲劳值&amp;地图信息'!$R$10*$BY$57)</f>
        <v>17241</v>
      </c>
      <c r="DH271" s="50">
        <f t="shared" si="453"/>
        <v>0.40885872477228075</v>
      </c>
      <c r="DI271" s="50">
        <f t="shared" si="454"/>
        <v>0.2832112877299518</v>
      </c>
      <c r="DJ271" s="50">
        <f t="shared" si="455"/>
        <v>0.30792998749776745</v>
      </c>
      <c r="DL271" s="14">
        <f t="shared" ref="DL271:DL334" si="526">SUM(CG271:CI271)</f>
        <v>19595</v>
      </c>
      <c r="DM271" s="14">
        <f t="shared" ref="DM271:DM334" si="527">SUM(CM271:CO271)</f>
        <v>24698</v>
      </c>
      <c r="DN271" s="14">
        <f t="shared" ref="DN271:DN334" si="528">SUM(CS271:CU271)</f>
        <v>29852</v>
      </c>
      <c r="DO271" s="14">
        <f t="shared" ref="DO271:DO334" si="529">SUM(CY271:DA271)</f>
        <v>44043</v>
      </c>
      <c r="DP271" s="14">
        <f t="shared" ref="DP271:DP334" si="530">SUM(DE271:DG271)</f>
        <v>55990</v>
      </c>
      <c r="DQ271" s="14">
        <f t="shared" ref="DQ271:DQ334" si="531">INT(SUMPRODUCT(DL271:DP271,$BA271:$BE271))</f>
        <v>1358668</v>
      </c>
      <c r="DT271" s="14">
        <f t="shared" si="525"/>
        <v>235575</v>
      </c>
      <c r="DU271" s="50">
        <f t="shared" si="427"/>
        <v>0.14776605573930698</v>
      </c>
      <c r="DW271" s="14">
        <f t="shared" si="456"/>
        <v>1594243</v>
      </c>
      <c r="EB271" s="14">
        <v>266</v>
      </c>
      <c r="EC271" s="51">
        <f t="shared" si="457"/>
        <v>25303</v>
      </c>
      <c r="ED271" s="51">
        <f t="shared" si="458"/>
        <v>1830</v>
      </c>
      <c r="EE271" s="51">
        <f>INT(SUMPRODUCT($N271:$R271,$BF271:$BJ271)/SUM($BF271:$BJ271)/10000*$BX$7*$BZ$46/'疲劳值&amp;地图信息'!$R$10*$BY$53)</f>
        <v>445</v>
      </c>
      <c r="EF271" s="50">
        <f t="shared" si="459"/>
        <v>0.91750670824570313</v>
      </c>
      <c r="EG271" s="50">
        <f t="shared" si="460"/>
        <v>6.6357241279280582E-2</v>
      </c>
      <c r="EH271" s="50">
        <f t="shared" si="461"/>
        <v>1.6136050475016317E-2</v>
      </c>
      <c r="EI271" s="51">
        <f t="shared" si="462"/>
        <v>27562</v>
      </c>
      <c r="EJ271" s="51">
        <f t="shared" si="463"/>
        <v>3096</v>
      </c>
      <c r="EK271" s="14">
        <f>INT(SUMPRODUCT($U271:$Y271,$BF271:$BJ271)/SUM($BF271:$BJ271)/10000*$BX$7*$BZ$46/'疲劳值&amp;地图信息'!$R$10*$BY$54)</f>
        <v>846</v>
      </c>
      <c r="EL271" s="50">
        <f t="shared" si="464"/>
        <v>0.87487303199593702</v>
      </c>
      <c r="EM271" s="50">
        <f t="shared" si="465"/>
        <v>9.8273235144743523E-2</v>
      </c>
      <c r="EN271" s="50">
        <f t="shared" si="466"/>
        <v>2.6853732859319451E-2</v>
      </c>
      <c r="EO271" s="51">
        <f t="shared" si="467"/>
        <v>30201</v>
      </c>
      <c r="EP271" s="51">
        <f t="shared" si="468"/>
        <v>5285</v>
      </c>
      <c r="EQ271" s="14">
        <f>INT(SUMPRODUCT($AB271:$AF271,$BF271:$BJ271)/SUM($BF271:$BJ271)/10000*$BX$7*$BZ$46/'疲劳值&amp;地图信息'!$R$10*$BY$55)</f>
        <v>1148</v>
      </c>
      <c r="ER271" s="50">
        <f t="shared" si="469"/>
        <v>0.82439810012556647</v>
      </c>
      <c r="ES271" s="50">
        <f t="shared" si="470"/>
        <v>0.1442648905388437</v>
      </c>
      <c r="ET271" s="50">
        <f t="shared" si="471"/>
        <v>3.1337009335589888E-2</v>
      </c>
      <c r="EU271" s="51">
        <f t="shared" si="472"/>
        <v>36440</v>
      </c>
      <c r="EV271" s="51">
        <f t="shared" si="473"/>
        <v>15438</v>
      </c>
      <c r="EW271" s="14">
        <f>INT(SUMPRODUCT($AI271:$AM271,$BF271:$BJ271)/SUM($BF271:$BJ271)/10000*$BX$7*$BZ$46/'疲劳值&amp;地图信息'!$R$10*$BY$56)</f>
        <v>1722</v>
      </c>
      <c r="EX271" s="50">
        <f t="shared" si="474"/>
        <v>0.67985074626865671</v>
      </c>
      <c r="EY271" s="50">
        <f t="shared" si="475"/>
        <v>0.28802238805970148</v>
      </c>
      <c r="EZ271" s="50">
        <f t="shared" si="476"/>
        <v>3.2126865671641788E-2</v>
      </c>
      <c r="FA271" s="51">
        <f t="shared" si="477"/>
        <v>38154</v>
      </c>
      <c r="FB271" s="51">
        <f t="shared" si="478"/>
        <v>26428</v>
      </c>
      <c r="FC271" s="14">
        <f>INT(SUMPRODUCT($AP271:$AT271,$BF271:$BJ271)/SUM($BF271:$BJ271)/10000*$BX$7*$BZ$46/'疲劳值&amp;地图信息'!$R$10*$BY$57)</f>
        <v>2296</v>
      </c>
      <c r="FD271" s="50">
        <f t="shared" si="479"/>
        <v>0.57050151021262596</v>
      </c>
      <c r="FE271" s="50">
        <f t="shared" si="480"/>
        <v>0.3951673195968779</v>
      </c>
      <c r="FF271" s="50">
        <f t="shared" si="481"/>
        <v>3.4331170190496127E-2</v>
      </c>
      <c r="FH271" s="14">
        <f t="shared" si="482"/>
        <v>27578</v>
      </c>
      <c r="FI271" s="14">
        <f t="shared" si="483"/>
        <v>31504</v>
      </c>
      <c r="FJ271" s="14">
        <f t="shared" si="484"/>
        <v>36634</v>
      </c>
      <c r="FK271" s="14">
        <f t="shared" si="485"/>
        <v>53600</v>
      </c>
      <c r="FL271" s="14">
        <f t="shared" si="486"/>
        <v>66878</v>
      </c>
      <c r="FM271" s="14">
        <f t="shared" si="487"/>
        <v>3254041</v>
      </c>
      <c r="FP271" s="14">
        <f t="shared" si="488"/>
        <v>334150</v>
      </c>
      <c r="FQ271" s="50">
        <f t="shared" si="428"/>
        <v>9.3124920050242588E-2</v>
      </c>
      <c r="FS271" s="14">
        <f t="shared" si="489"/>
        <v>3588191</v>
      </c>
      <c r="FX271" s="14">
        <v>266</v>
      </c>
      <c r="FY271" s="51">
        <f t="shared" si="490"/>
        <v>35425</v>
      </c>
      <c r="FZ271" s="51">
        <f t="shared" si="491"/>
        <v>1830</v>
      </c>
      <c r="GA271" s="51">
        <f>INT(SUMPRODUCT($N271:$R271,$BF271:$BJ271)/SUM($BF271:$BJ271)/10000*$BX$7*$BZ$46/'疲劳值&amp;地图信息'!$R$10*$BY$53)</f>
        <v>445</v>
      </c>
      <c r="GB271" s="50">
        <f t="shared" si="492"/>
        <v>0.93965517241379315</v>
      </c>
      <c r="GC271" s="50">
        <f t="shared" si="493"/>
        <v>4.8541114058355435E-2</v>
      </c>
      <c r="GD271" s="50">
        <f t="shared" si="494"/>
        <v>1.1803713527851459E-2</v>
      </c>
      <c r="GE271" s="51">
        <f t="shared" si="495"/>
        <v>38587</v>
      </c>
      <c r="GF271" s="51">
        <f t="shared" si="496"/>
        <v>3096</v>
      </c>
      <c r="GG271" s="14">
        <f>INT(SUMPRODUCT($U271:$Y271,$BF271:$BJ271)/SUM($BF271:$BJ271)/10000*$BX$7*$BZ$46/'疲劳值&amp;地图信息'!$R$10*$BY$54)</f>
        <v>846</v>
      </c>
      <c r="GH271" s="50">
        <f t="shared" si="497"/>
        <v>0.90731030590890926</v>
      </c>
      <c r="GI271" s="50">
        <f t="shared" si="498"/>
        <v>7.2797385313550747E-2</v>
      </c>
      <c r="GJ271" s="50">
        <f t="shared" si="499"/>
        <v>1.989230877754003E-2</v>
      </c>
      <c r="GK271" s="51">
        <f t="shared" si="500"/>
        <v>42282</v>
      </c>
      <c r="GL271" s="51">
        <f t="shared" si="501"/>
        <v>5285</v>
      </c>
      <c r="GM271" s="14">
        <f>INT(SUMPRODUCT($AB271:$AF271,$BF271:$BJ271)/SUM($BF271:$BJ271)/10000*$BX$7*$BZ$46/'疲劳值&amp;地图信息'!$R$10*$BY$55)</f>
        <v>1148</v>
      </c>
      <c r="GN271" s="50">
        <f t="shared" si="502"/>
        <v>0.867946217797393</v>
      </c>
      <c r="GO271" s="50">
        <f t="shared" si="503"/>
        <v>0.10848814533511239</v>
      </c>
      <c r="GP271" s="50">
        <f t="shared" si="504"/>
        <v>2.3565636867494612E-2</v>
      </c>
      <c r="GQ271" s="51">
        <f t="shared" si="505"/>
        <v>51016</v>
      </c>
      <c r="GR271" s="51">
        <f t="shared" si="506"/>
        <v>15438</v>
      </c>
      <c r="GS271" s="14">
        <f>INT(SUMPRODUCT($AI271:$AM271,$BF271:$BJ271)/SUM($BF271:$BJ271)/10000*$BX$7*$BZ$46/'疲劳值&amp;地图信息'!$R$10*$BY$56)</f>
        <v>1722</v>
      </c>
      <c r="GT271" s="50">
        <f t="shared" si="507"/>
        <v>0.74829852147383247</v>
      </c>
      <c r="GU271" s="50">
        <f t="shared" si="508"/>
        <v>0.22644332316357663</v>
      </c>
      <c r="GV271" s="50">
        <f t="shared" si="509"/>
        <v>2.5258155362590941E-2</v>
      </c>
      <c r="GW271" s="51">
        <f t="shared" si="510"/>
        <v>53415</v>
      </c>
      <c r="GX271" s="51">
        <f t="shared" si="511"/>
        <v>26428</v>
      </c>
      <c r="GY271" s="14">
        <f>INT(SUMPRODUCT($AP271:$AT271,$BF271:$BJ271)/SUM($BF271:$BJ271)/10000*$BX$7*$BZ$46/'疲劳值&amp;地图信息'!$R$10*$BY$57)</f>
        <v>2296</v>
      </c>
      <c r="GZ271" s="50">
        <f t="shared" si="512"/>
        <v>0.65030010104822311</v>
      </c>
      <c r="HA271" s="50">
        <f t="shared" si="513"/>
        <v>0.32174728204628739</v>
      </c>
      <c r="HB271" s="50">
        <f t="shared" si="514"/>
        <v>2.7952616905489475E-2</v>
      </c>
      <c r="HD271" s="14">
        <f t="shared" si="515"/>
        <v>37700</v>
      </c>
      <c r="HE271" s="14">
        <f t="shared" si="516"/>
        <v>42529</v>
      </c>
      <c r="HF271" s="14">
        <f t="shared" si="517"/>
        <v>48715</v>
      </c>
      <c r="HG271" s="14">
        <f t="shared" si="518"/>
        <v>68176</v>
      </c>
      <c r="HH271" s="14">
        <f t="shared" si="519"/>
        <v>82139</v>
      </c>
      <c r="HI271" s="14">
        <f t="shared" si="520"/>
        <v>4388289</v>
      </c>
      <c r="HL271" s="14">
        <f t="shared" si="521"/>
        <v>430050</v>
      </c>
      <c r="HM271" s="50">
        <f t="shared" si="429"/>
        <v>8.9252748716933367E-2</v>
      </c>
      <c r="HO271" s="14">
        <f t="shared" si="522"/>
        <v>4818339</v>
      </c>
    </row>
    <row r="272" spans="11:223" x14ac:dyDescent="0.2">
      <c r="K272" s="14">
        <v>267</v>
      </c>
      <c r="L272" s="12">
        <f>求节点(节奏总纲!D$4:D$163,标准城池设计!AB$4:AB$163,$K272)*求节点(节奏总纲!D$4:D$163,攻城基础信息!$AC$5:$AC$164,$K272)</f>
        <v>746051.93144868116</v>
      </c>
      <c r="M272" s="12">
        <f>INDEX(其他调用!$AA$5:$AA$404,MATCH(K272,其他调用!$X$5:$X$404,0))*MIN(INDEX(其他调用!$AH$5:$AH$364,MATCH('征服点（新）'!K272,其他调用!$AG$5:$AG$364,0),1)/INDEX(其他调用!$AJ$5:$AJ$364,MATCH(K272,其他调用!$AG$5:$AG$364,0),0),5)*求节点(节奏总纲!D$4:D$163,攻城基础信息!$AC$5:$AC$164,$K272)</f>
        <v>53855.008883498209</v>
      </c>
      <c r="N272" s="12">
        <f>MIN(INDEX(其他调用!$AH$5:$AH$364,MATCH($K272,其他调用!$AG$5:$AG$364,0),1)/INDEX(其他调用!AH$5:AH$364,MATCH($K272,其他调用!$AG$5:$AG$364,0),0),1)*INDEX(其他调用!Y$5:Y$404,MATCH($K272,其他调用!$X$5:$X$404,0),0)</f>
        <v>41800.410172380733</v>
      </c>
      <c r="O272" s="12">
        <f>MIN(INDEX(其他调用!$AH$5:$AH$364,MATCH($K272,其他调用!$AG$5:$AG$364,0),1)/INDEX(其他调用!AI$5:AI$364,MATCH($K272,其他调用!$AG$5:$AG$364,0),0),1)*INDEX(其他调用!Z$5:Z$404,MATCH($K272,其他调用!$X$5:$X$404,0),0)</f>
        <v>25374.00573881629</v>
      </c>
      <c r="P272" s="12">
        <f>MIN(INDEX(其他调用!$AH$5:$AH$364,MATCH($K272,其他调用!$AG$5:$AG$364,0),1)/INDEX(其他调用!AJ$5:AJ$364,MATCH($K272,其他调用!$AG$5:$AG$364,0),0),1)*INDEX(其他调用!AA$5:AA$404,MATCH($K272,其他调用!$X$5:$X$404,0),0)</f>
        <v>15387.145395285212</v>
      </c>
      <c r="Q272" s="12">
        <f>MIN(INDEX(其他调用!$AH$5:$AH$364,MATCH($K272,其他调用!$AG$5:$AG$364,0),1)/INDEX(其他调用!AK$5:AK$364,MATCH($K272,其他调用!$AG$5:$AG$364,0),0),1)*INDEX(其他调用!AB$5:AB$404,MATCH($K272,其他调用!$X$5:$X$404,0),0)</f>
        <v>5542.5770502099831</v>
      </c>
      <c r="R272" s="12">
        <f>MIN(INDEX(其他调用!$AH$5:$AH$364,MATCH($K272,其他调用!$AG$5:$AG$364,0),1)/INDEX(其他调用!AL$5:AL$364,MATCH($K272,其他调用!$AG$5:$AG$364,0),0),1)*INDEX(其他调用!AC$5:AC$404,MATCH($K272,其他调用!$X$5:$X$404,0),0)</f>
        <v>3105.7122441070624</v>
      </c>
      <c r="S272" s="12">
        <f>求节点(节奏总纲!D$4:D$163,标准城池设计!AC$4:AC$163,$K272)*求节点(节奏总纲!D$4:D$163,攻城基础信息!$AD$5:$AD$164,$K272)</f>
        <v>812887.88619193109</v>
      </c>
      <c r="T272" s="12">
        <f>INDEX(其他调用!$AA$5:$AA$404,MATCH($K272,其他调用!$X$5:$X$404,0))*MIN(INDEX(其他调用!AI$5:AI$364,MATCH($K272,其他调用!$AG$5:$AG$364,0),1)/INDEX(其他调用!$AJ$5:$AJ$364,MATCH($K272,其他调用!$AG$5:$AG$364,0),0),5)*求节点(节奏总纲!D$4:D$163,攻城基础信息!$AD$5:$AD$164,$K272)</f>
        <v>91174.682346975489</v>
      </c>
      <c r="U272" s="12">
        <f>MIN(INDEX(其他调用!$AI$5:$AI$364,MATCH($K272,其他调用!$AG$5:$AG$364,0),1)/INDEX(其他调用!AH$5:AH$364,MATCH($K272,其他调用!$AG$5:$AG$364,0),0),1)*INDEX(其他调用!Y$5:Y$404,MATCH($K272,其他调用!$X$5:$X$404,0),0)</f>
        <v>41800.410172380733</v>
      </c>
      <c r="V272" s="12">
        <f>MIN(INDEX(其他调用!$AI$5:$AI$364,MATCH($K272,其他调用!$AG$5:$AG$364,0),1)/INDEX(其他调用!AI$5:AI$364,MATCH($K272,其他调用!$AG$5:$AG$364,0),0),1)*INDEX(其他调用!Z$5:Z$404,MATCH($K272,其他调用!$X$5:$X$404,0),0)</f>
        <v>42957.321167869697</v>
      </c>
      <c r="W272" s="12">
        <f>MIN(INDEX(其他调用!$AI$5:$AI$364,MATCH($K272,其他调用!$AG$5:$AG$364,0),1)/INDEX(其他调用!AJ$5:AJ$364,MATCH($K272,其他调用!$AG$5:$AG$364,0),0),1)*INDEX(其他调用!AA$5:AA$404,MATCH($K272,其他调用!$X$5:$X$404,0),0)</f>
        <v>26049.909241993013</v>
      </c>
      <c r="X272" s="12">
        <f>MIN(INDEX(其他调用!$AI$5:$AI$364,MATCH($K272,其他调用!$AG$5:$AG$364,0),1)/INDEX(其他调用!AK$5:AK$364,MATCH($K272,其他调用!$AG$5:$AG$364,0),0),1)*INDEX(其他调用!AB$5:AB$404,MATCH($K272,其他调用!$X$5:$X$404,0),0)</f>
        <v>9383.3927876553462</v>
      </c>
      <c r="Y272" s="12">
        <f>MIN(INDEX(其他调用!$AI$5:$AI$364,MATCH($K272,其他调用!$AG$5:$AG$364,0),1)/INDEX(其他调用!AL$5:AL$364,MATCH($K272,其他调用!$AG$5:$AG$364,0),0),1)*INDEX(其他调用!AC$5:AC$404,MATCH($K272,其他调用!$X$5:$X$404,0),0)</f>
        <v>5257.8642764710039</v>
      </c>
      <c r="Z272" s="12">
        <f>求节点(节奏总纲!D$4:D$163,标准城池设计!AD$4:AD$163,$K272)*求节点(节奏总纲!D$4:D$163,攻城基础信息!$AE$5:$AE$164,$K272)</f>
        <v>890601.91598728439</v>
      </c>
      <c r="AA272" s="12">
        <f>INDEX(其他调用!$AA$5:$AA$404,MATCH($K272,其他调用!$X$5:$X$404,0))*MIN(INDEX(其他调用!AJ$5:AJ$364,MATCH($K272,其他调用!$AG$5:$AG$364,0),1)/INDEX(其他调用!$AJ$5:$AJ$364,MATCH($K272,其他调用!$AG$5:$AG$364,0),0),5)*求节点(节奏总纲!D$4:D$163,攻城基础信息!$AE$5:$AE$164,$K272)</f>
        <v>155683.97513843025</v>
      </c>
      <c r="AB272" s="12">
        <f>MIN(INDEX(其他调用!$AJ$5:$AJ$364,MATCH($K272,其他调用!$AG$5:$AG$364,0),1)/INDEX(其他调用!AH$5:AH$364,MATCH($K272,其他调用!$AG$5:$AG$364,0),0),1)*INDEX(其他调用!Y$5:Y$404,MATCH($K272,其他调用!$X$5:$X$404,0),0)</f>
        <v>41800.410172380733</v>
      </c>
      <c r="AC272" s="12">
        <f>MIN(INDEX(其他调用!$AJ$5:$AJ$364,MATCH($K272,其他调用!$AG$5:$AG$364,0),1)/INDEX(其他调用!AI$5:AI$364,MATCH($K272,其他调用!$AG$5:$AG$364,0),0),1)*INDEX(其他调用!Z$5:Z$404,MATCH($K272,其他调用!$X$5:$X$404,0),0)</f>
        <v>42957.321167869697</v>
      </c>
      <c r="AD272" s="12">
        <f>MIN(INDEX(其他调用!$AJ$5:$AJ$364,MATCH($K272,其他调用!$AG$5:$AG$364,0),1)/INDEX(其他调用!AJ$5:AJ$364,MATCH($K272,其他调用!$AG$5:$AG$364,0),0),1)*INDEX(其他调用!AA$5:AA$404,MATCH($K272,其他调用!$X$5:$X$404,0),0)</f>
        <v>44481.135753837247</v>
      </c>
      <c r="AE272" s="12">
        <f>MIN(INDEX(其他调用!$AJ$5:$AJ$364,MATCH($K272,其他调用!$AG$5:$AG$364,0),1)/INDEX(其他调用!AK$5:AK$364,MATCH($K272,其他调用!$AG$5:$AG$364,0),0),1)*INDEX(其他调用!AB$5:AB$404,MATCH($K272,其他调用!$X$5:$X$404,0),0)</f>
        <v>16022.473035969077</v>
      </c>
      <c r="AF272" s="12">
        <f>MIN(INDEX(其他调用!$AJ$5:$AJ$364,MATCH($K272,其他调用!$AG$5:$AG$364,0),1)/INDEX(其他调用!AL$5:AL$364,MATCH($K272,其他调用!$AG$5:$AG$364,0),0),1)*INDEX(其他调用!AC$5:AC$404,MATCH($K272,其他调用!$X$5:$X$404,0),0)</f>
        <v>8977.9880798949289</v>
      </c>
      <c r="AG272" s="12">
        <f>求节点(节奏总纲!D$4:D$163,标准城池设计!AE$4:AE$163,$K272)*求节点(节奏总纲!D$4:D$163,攻城基础信息!$AF$5:$AF$164,$K272)</f>
        <v>1074675.4247868657</v>
      </c>
      <c r="AH272" s="12">
        <f>INDEX(其他调用!$AA$5:$AA$404,MATCH($K272,其他调用!$X$5:$X$404,0))*MIN(INDEX(其他调用!AK$5:AK$364,MATCH($K272,其他调用!$AG$5:$AG$364,0),1)/INDEX(其他调用!$AJ$5:$AJ$364,MATCH($K272,其他调用!$AG$5:$AG$364,0),0),5)*求节点(节奏总纲!D$4:D$163,攻城基础信息!$AF$5:$AF$164,$K272)</f>
        <v>454067.39395600918</v>
      </c>
      <c r="AI272" s="12">
        <f>MIN(INDEX(其他调用!$AK$5:$AK$364,MATCH($K272,其他调用!$AG$5:$AG$364,0),1)/INDEX(其他调用!AH$5:AH$364,MATCH($K272,其他调用!$AG$5:$AG$364,0),0),1)*INDEX(其他调用!Y$5:Y$404,MATCH($K272,其他调用!$X$5:$X$404,0),0)</f>
        <v>41800.410172380733</v>
      </c>
      <c r="AJ272" s="12">
        <f>MIN(INDEX(其他调用!$AK$5:$AK$364,MATCH($K272,其他调用!$AG$5:$AG$364,0),1)/INDEX(其他调用!AI$5:AI$364,MATCH($K272,其他调用!$AG$5:$AG$364,0),0),1)*INDEX(其他调用!Z$5:Z$404,MATCH($K272,其他调用!$X$5:$X$404,0),0)</f>
        <v>42957.321167869697</v>
      </c>
      <c r="AK272" s="12">
        <f>MIN(INDEX(其他调用!$AK$5:$AK$364,MATCH($K272,其他调用!$AG$5:$AG$364,0),1)/INDEX(其他调用!AJ$5:AJ$364,MATCH($K272,其他调用!$AG$5:$AG$364,0),0),1)*INDEX(其他调用!AA$5:AA$404,MATCH($K272,其他调用!$X$5:$X$404,0),0)</f>
        <v>44481.135753837247</v>
      </c>
      <c r="AL272" s="12">
        <f>MIN(INDEX(其他调用!$AK$5:$AK$364,MATCH($K272,其他调用!$AG$5:$AG$364,0),1)/INDEX(其他调用!AK$5:AK$364,MATCH($K272,其他调用!$AG$5:$AG$364,0),0),1)*INDEX(其他调用!AB$5:AB$404,MATCH($K272,其他调用!$X$5:$X$404,0),0)</f>
        <v>46731.094640305193</v>
      </c>
      <c r="AM272" s="12">
        <f>MIN(INDEX(其他调用!$AK$5:$AK$364,MATCH($K272,其他调用!$AG$5:$AG$364,0),1)/INDEX(其他调用!AL$5:AL$364,MATCH($K272,其他调用!$AG$5:$AG$364,0),0),1)*INDEX(其他调用!AC$5:AC$404,MATCH($K272,其他调用!$X$5:$X$404,0),0)</f>
        <v>26185.171895702078</v>
      </c>
      <c r="AN272" s="12">
        <f>求节点(节奏总纲!D$4:D$163,标准城池设计!AF$4:AF$163,$K272)*求节点(节奏总纲!D$4:D$163,攻城基础信息!$AG$5:$AG$164,$K272)</f>
        <v>1125211.8997698706</v>
      </c>
      <c r="AO272" s="12">
        <f>INDEX(其他调用!$AA$5:$AA$404,MATCH($K272,其他调用!$X$5:$X$404,0))*MIN(INDEX(其他调用!AL$5:AL$364,MATCH($K272,其他调用!$AG$5:$AG$364,0),1)/INDEX(其他调用!$AJ$5:$AJ$364,MATCH($K272,其他调用!$AG$5:$AG$364,0),0),5)*求节点(节奏总纲!D$4:D$163,攻城基础信息!$AG$5:$AG$164,$K272)</f>
        <v>778419.87569215125</v>
      </c>
      <c r="AP272" s="12">
        <f>MIN(INDEX(其他调用!$AL$5:$AL$364,MATCH($K272,其他调用!$AG$5:$AG$364,0),1)/INDEX(其他调用!AH$5:AH$364,MATCH($K272,其他调用!$AG$5:$AG$364,0),0),1)*INDEX(其他调用!Y$5:Y$404,MATCH($K272,其他调用!$X$5:$X$404,0),0)</f>
        <v>41800.410172380733</v>
      </c>
      <c r="AQ272" s="12">
        <f>MIN(INDEX(其他调用!$AL$5:$AL$364,MATCH($K272,其他调用!$AG$5:$AG$364,0),1)/INDEX(其他调用!AI$5:AI$364,MATCH($K272,其他调用!$AG$5:$AG$364,0),0),1)*INDEX(其他调用!Z$5:Z$404,MATCH($K272,其他调用!$X$5:$X$404,0),0)</f>
        <v>42957.321167869697</v>
      </c>
      <c r="AR272" s="12">
        <f>MIN(INDEX(其他调用!$AL$5:$AL$364,MATCH($K272,其他调用!$AG$5:$AG$364,0),1)/INDEX(其他调用!AJ$5:AJ$364,MATCH($K272,其他调用!$AG$5:$AG$364,0),0),1)*INDEX(其他调用!AA$5:AA$404,MATCH($K272,其他调用!$X$5:$X$404,0),0)</f>
        <v>44481.135753837247</v>
      </c>
      <c r="AS272" s="12">
        <f>MIN(INDEX(其他调用!$AL$5:$AL$364,MATCH($K272,其他调用!$AG$5:$AG$364,0),1)/INDEX(其他调用!AK$5:AK$364,MATCH($K272,其他调用!$AG$5:$AG$364,0),0),1)*INDEX(其他调用!AB$5:AB$404,MATCH($K272,其他调用!$X$5:$X$404,0),0)</f>
        <v>46731.094640305193</v>
      </c>
      <c r="AT272" s="12">
        <f>MIN(INDEX(其他调用!$AL$5:$AL$364,MATCH($K272,其他调用!$AG$5:$AG$364,0),1)/INDEX(其他调用!AL$5:AL$364,MATCH($K272,其他调用!$AG$5:$AG$364,0),0),1)*INDEX(其他调用!AC$5:AC$404,MATCH($K272,其他调用!$X$5:$X$404,0),0)</f>
        <v>50615.16474057555</v>
      </c>
      <c r="AV272" s="14">
        <f>IF(OR(AV$5="大R",AV$5="超R"),MAX(INDEX(其他调用!$H$5:$L$404,MATCH($K272,其他调用!$B$5:$B$404,0),MATCH(AV$5,其他调用!$H$4:$L$4,0))*120*0.85,2),INDEX(其他调用!$H$5:$L$404,MATCH($K272,其他调用!$B$5:$B$404,0),MATCH(AV$5,其他调用!$H$4:$L$4,0))*120*0.85)</f>
        <v>48.921801254999991</v>
      </c>
      <c r="AW272" s="14">
        <f>IF(OR(AW$5="大R",AW$5="超R"),MAX(INDEX(其他调用!$H$5:$L$404,MATCH($K272,其他调用!$B$5:$B$404,0),MATCH(AW$5,其他调用!$H$4:$L$4,0))*120*0.85,2),INDEX(其他调用!$H$5:$L$404,MATCH($K272,其他调用!$B$5:$B$404,0),MATCH(AW$5,其他调用!$H$4:$L$4,0))*120*0.85)</f>
        <v>48.237344010638395</v>
      </c>
      <c r="AX272" s="14">
        <f>IF(OR(AX$5="大R",AX$5="超R"),MAX(INDEX(其他调用!$H$5:$L$404,MATCH($K272,其他调用!$B$5:$B$404,0),MATCH(AX$5,其他调用!$H$4:$L$4,0))*120*0.85,2),INDEX(其他调用!$H$5:$L$404,MATCH($K272,其他调用!$B$5:$B$404,0),MATCH(AX$5,其他调用!$H$4:$L$4,0))*120*0.85)</f>
        <v>3.9376284143615998</v>
      </c>
      <c r="AY272" s="14">
        <f>IF(OR(AY$5="大R",AY$5="超R"),MAX(INDEX(其他调用!$H$5:$L$404,MATCH($K272,其他调用!$B$5:$B$404,0),MATCH(AY$5,其他调用!$H$4:$L$4,0))*120*0.85,2),INDEX(其他调用!$H$5:$L$404,MATCH($K272,其他调用!$B$5:$B$404,0),MATCH(AY$5,其他调用!$H$4:$L$4,0))*120*0.85)</f>
        <v>2</v>
      </c>
      <c r="AZ272" s="14">
        <f>IF(OR(AZ$5="大R",AZ$5="超R"),MAX(INDEX(其他调用!$H$5:$L$404,MATCH($K272,其他调用!$B$5:$B$404,0),MATCH(AZ$5,其他调用!$H$4:$L$4,0))*120*0.85,2),INDEX(其他调用!$H$5:$L$404,MATCH($K272,其他调用!$B$5:$B$404,0),MATCH(AZ$5,其他调用!$H$4:$L$4,0))*120*0.85)</f>
        <v>2</v>
      </c>
      <c r="BA272" s="14">
        <f>INDEX(其他调用!$H$5:$L$404,MATCH($K272,其他调用!$B$5:$B$404,0),MATCH(BA$5,其他调用!$H$4:$L$4,0))*INDEX(其他调用!$M$5:$M$404,MATCH($K272,其他调用!$B$5:$B$404,0))*0.6</f>
        <v>28.777530149999997</v>
      </c>
      <c r="BB272" s="14">
        <f>INDEX(其他调用!$H$5:$L$404,MATCH($K272,其他调用!$B$5:$B$404,0),MATCH(BB$5,其他调用!$H$4:$L$4,0))*INDEX(其他调用!$M$5:$M$404,MATCH($K272,其他调用!$B$5:$B$404,0))*0.6</f>
        <v>28.374908241551999</v>
      </c>
      <c r="BC272" s="14">
        <f>INDEX(其他调用!$H$5:$L$404,MATCH($K272,其他调用!$B$5:$B$404,0),MATCH(BC$5,其他调用!$H$4:$L$4,0))*INDEX(其他调用!$M$5:$M$404,MATCH($K272,其他调用!$B$5:$B$404,0))*0.6</f>
        <v>2.3162520084480001</v>
      </c>
      <c r="BD272" s="14">
        <f>INDEX(其他调用!$H$5:$L$404,MATCH($K272,其他调用!$B$5:$B$404,0),MATCH(BD$5,其他调用!$H$4:$L$4,0))*INDEX(其他调用!$M$5:$M$404,MATCH($K272,其他调用!$B$5:$B$404,0))*0.6</f>
        <v>0.4120776000000001</v>
      </c>
      <c r="BE272" s="14">
        <f>INDEX(其他调用!$H$5:$L$404,MATCH($K272,其他调用!$B$5:$B$404,0),MATCH(BE$5,其他调用!$H$4:$L$4,0))*INDEX(其他调用!$M$5:$M$404,MATCH($K272,其他调用!$B$5:$B$404,0))*0.6</f>
        <v>0.11923199999999998</v>
      </c>
      <c r="BF272" s="14">
        <f>IF(OR(BF$5="大R",BF$5="超R"),0,INDEX(其他调用!$H$5:$L$404,MATCH($K272,其他调用!$B$5:$B$404,0),MATCH(BF$5,其他调用!$H$4:$L$4,0))*50*0.4)</f>
        <v>9.5925100500000013</v>
      </c>
      <c r="BG272" s="14">
        <f>IF(OR(BG$5="大R",BG$5="超R"),0,INDEX(其他调用!$H$5:$L$404,MATCH($K272,其他调用!$B$5:$B$404,0),MATCH(BG$5,其他调用!$H$4:$L$4,0))*50*0.4)</f>
        <v>9.4583027471839998</v>
      </c>
      <c r="BH272" s="14">
        <f>IF(OR(BH$5="大R",BH$5="超R"),0,INDEX(其他调用!$H$5:$L$404,MATCH($K272,其他调用!$B$5:$B$404,0),MATCH(BH$5,其他调用!$H$4:$L$4,0))*50*0.4)</f>
        <v>0.77208400281600009</v>
      </c>
      <c r="BI272" s="14">
        <f>IF(OR(BI$5="大R",BI$5="超R"),0,INDEX(其他调用!$H$5:$L$404,MATCH($K272,其他调用!$B$5:$B$404,0),MATCH(BI$5,其他调用!$H$4:$L$4,0))*50*0.4)</f>
        <v>0</v>
      </c>
      <c r="BJ272" s="14">
        <f>IF(OR(BJ$5="大R",BJ$5="超R"),0,INDEX(其他调用!$H$5:$L$404,MATCH($K272,其他调用!$B$5:$B$404,0),MATCH(BJ$5,其他调用!$H$4:$L$4,0))*50*0.4)</f>
        <v>0</v>
      </c>
      <c r="BL272" s="14">
        <f t="shared" si="523"/>
        <v>267</v>
      </c>
      <c r="BM272" s="14">
        <f t="shared" si="430"/>
        <v>96</v>
      </c>
      <c r="BN272" s="14">
        <f>('疲劳值&amp;地图信息'!$S$10*'疲劳值&amp;地图信息'!$R$10+'疲劳值&amp;地图信息'!$S$11*'疲劳值&amp;地图信息'!$R$11+'疲劳值&amp;地图信息'!$S$12*'疲劳值&amp;地图信息'!$R$12+(BM272-'疲劳值&amp;地图信息'!$S$12-'疲劳值&amp;地图信息'!$S$11-'疲劳值&amp;地图信息'!$S$10)*'疲劳值&amp;地图信息'!$R$13)/BM272</f>
        <v>51.371477246638619</v>
      </c>
      <c r="BO272" s="14">
        <f>INDEX(其他调用!$M$5:$M$404,MATCH(BL272,其他调用!$B$5:$B$404,0))*0.6</f>
        <v>60</v>
      </c>
      <c r="BP272" s="14">
        <f>IF(BO272&gt;SUM('疲劳值&amp;地图信息'!$S$10:$S$12),('疲劳值&amp;地图信息'!$S$10*'疲劳值&amp;地图信息'!$R$10+'疲劳值&amp;地图信息'!$S$11*'疲劳值&amp;地图信息'!$R$11+'疲劳值&amp;地图信息'!$S$12*'疲劳值&amp;地图信息'!$R$12+(BO272-'疲劳值&amp;地图信息'!$S$12-'疲劳值&amp;地图信息'!$S$11-'疲劳值&amp;地图信息'!$S$10)*'疲劳值&amp;地图信息'!$R$13)/BO272,('疲劳值&amp;地图信息'!$S$10*'疲劳值&amp;地图信息'!$R$10+'疲劳值&amp;地图信息'!$S$11*'疲劳值&amp;地图信息'!$R$11+'疲劳值&amp;地图信息'!$S$12*'疲劳值&amp;地图信息'!$R$12+(BO272-'疲劳值&amp;地图信息'!$S$12-'疲劳值&amp;地图信息'!$S$11-'疲劳值&amp;地图信息'!$S$10)*'疲劳值&amp;地图信息'!$R$13)/BO272)</f>
        <v>44.158136341605953</v>
      </c>
      <c r="BQ272" s="14">
        <f t="shared" si="524"/>
        <v>20</v>
      </c>
      <c r="BR272" s="14">
        <f>('疲劳值&amp;地图信息'!$S$10*'疲劳值&amp;地图信息'!$R$10+($BQ272-'疲劳值&amp;地图信息'!$S$10)*'疲劳值&amp;地图信息'!$R$11)/$BQ272</f>
        <v>32.067203015074995</v>
      </c>
      <c r="CF272" s="14">
        <v>267</v>
      </c>
      <c r="CG272" s="51">
        <f t="shared" si="431"/>
        <v>15205</v>
      </c>
      <c r="CH272" s="51">
        <f t="shared" si="432"/>
        <v>1097</v>
      </c>
      <c r="CI272" s="51">
        <f>INT(SUMPRODUCT($N272:$R272,$BA272:$BE272)/SUM($BA272:$BE272)/10000*$BX$7*$BZ$34/'疲劳值&amp;地图信息'!$R$10*$BY$53)</f>
        <v>3316</v>
      </c>
      <c r="CJ272" s="50">
        <f t="shared" si="433"/>
        <v>0.77505352227546132</v>
      </c>
      <c r="CK272" s="50">
        <f t="shared" si="434"/>
        <v>5.5918034458150676E-2</v>
      </c>
      <c r="CL272" s="50">
        <f t="shared" si="435"/>
        <v>0.16902844326638802</v>
      </c>
      <c r="CM272" s="14">
        <f t="shared" si="436"/>
        <v>16567</v>
      </c>
      <c r="CN272" s="14">
        <f t="shared" si="437"/>
        <v>1858</v>
      </c>
      <c r="CO272" s="14">
        <f>INT(SUMPRODUCT($U272:$Y272,$BA272:$BE272)/SUM($BA272:$BE272)/10000*$BX$7*$BZ$34/'疲劳值&amp;地图信息'!$R$10*$BY$54)</f>
        <v>6307</v>
      </c>
      <c r="CP272" s="50">
        <f t="shared" si="438"/>
        <v>0.6698609089438784</v>
      </c>
      <c r="CQ272" s="50">
        <f t="shared" si="439"/>
        <v>7.5125343684295645E-2</v>
      </c>
      <c r="CR272" s="50">
        <f t="shared" si="440"/>
        <v>0.25501374737182597</v>
      </c>
      <c r="CS272" s="14">
        <f t="shared" si="441"/>
        <v>18151</v>
      </c>
      <c r="CT272" s="14">
        <f t="shared" si="442"/>
        <v>3173</v>
      </c>
      <c r="CU272" s="14">
        <f>INT(SUMPRODUCT($AB272:$AF272,$BA272:$BE272)/SUM($BA272:$BE272)/10000*$BX$7*$BZ$34/'疲劳值&amp;地图信息'!$R$10*$BY$55)</f>
        <v>8565</v>
      </c>
      <c r="CV272" s="50">
        <f t="shared" si="443"/>
        <v>0.60728027033356757</v>
      </c>
      <c r="CW272" s="50">
        <f t="shared" si="444"/>
        <v>0.10615945665629496</v>
      </c>
      <c r="CX272" s="50">
        <f t="shared" si="445"/>
        <v>0.28656027301013753</v>
      </c>
      <c r="CY272" s="14">
        <f t="shared" si="446"/>
        <v>21903</v>
      </c>
      <c r="CZ272" s="14">
        <f t="shared" si="447"/>
        <v>9254</v>
      </c>
      <c r="DA272" s="14">
        <f>INT(SUMPRODUCT($AI272:$AM272,$BA272:$BE272)/SUM($BA272:$BE272)/10000*$BX$7*$BZ$34/'疲劳值&amp;地图信息'!$R$10*$BY$56)</f>
        <v>12923</v>
      </c>
      <c r="DB272" s="50">
        <f t="shared" si="448"/>
        <v>0.49689201451905624</v>
      </c>
      <c r="DC272" s="50">
        <f t="shared" si="449"/>
        <v>0.20993647912885663</v>
      </c>
      <c r="DD272" s="50">
        <f t="shared" si="450"/>
        <v>0.29317150635208711</v>
      </c>
      <c r="DE272" s="14">
        <f t="shared" si="451"/>
        <v>22933</v>
      </c>
      <c r="DF272" s="14">
        <f t="shared" si="452"/>
        <v>15865</v>
      </c>
      <c r="DG272" s="14">
        <f>INT(SUMPRODUCT($AP272:$AT272,$BA272:$BE272)/SUM($BA272:$BE272)/10000*$BX$7*$BZ$34/'疲劳值&amp;地图信息'!$R$10*$BY$57)</f>
        <v>17250</v>
      </c>
      <c r="DH272" s="50">
        <f t="shared" si="453"/>
        <v>0.40916714244932917</v>
      </c>
      <c r="DI272" s="50">
        <f t="shared" si="454"/>
        <v>0.28306094775906365</v>
      </c>
      <c r="DJ272" s="50">
        <f t="shared" si="455"/>
        <v>0.30777190979160718</v>
      </c>
      <c r="DL272" s="14">
        <f t="shared" si="526"/>
        <v>19618</v>
      </c>
      <c r="DM272" s="14">
        <f t="shared" si="527"/>
        <v>24732</v>
      </c>
      <c r="DN272" s="14">
        <f t="shared" si="528"/>
        <v>29889</v>
      </c>
      <c r="DO272" s="14">
        <f t="shared" si="529"/>
        <v>44080</v>
      </c>
      <c r="DP272" s="14">
        <f t="shared" si="530"/>
        <v>56048</v>
      </c>
      <c r="DQ272" s="14">
        <f t="shared" si="531"/>
        <v>1360403</v>
      </c>
      <c r="DT272" s="14">
        <f t="shared" si="525"/>
        <v>235575</v>
      </c>
      <c r="DU272" s="50">
        <f t="shared" si="427"/>
        <v>0.14760541811979863</v>
      </c>
      <c r="DW272" s="14">
        <f t="shared" si="456"/>
        <v>1595978</v>
      </c>
      <c r="EB272" s="14">
        <v>267</v>
      </c>
      <c r="EC272" s="51">
        <f t="shared" si="457"/>
        <v>25342</v>
      </c>
      <c r="ED272" s="51">
        <f t="shared" si="458"/>
        <v>1829</v>
      </c>
      <c r="EE272" s="51">
        <f>INT(SUMPRODUCT($N272:$R272,$BF272:$BJ272)/SUM($BF272:$BJ272)/10000*$BX$7*$BZ$46/'疲劳值&amp;地图信息'!$R$10*$BY$53)</f>
        <v>445</v>
      </c>
      <c r="EF272" s="50">
        <f t="shared" si="459"/>
        <v>0.91765643105446115</v>
      </c>
      <c r="EG272" s="50">
        <f t="shared" si="460"/>
        <v>6.6229721900347621E-2</v>
      </c>
      <c r="EH272" s="50">
        <f t="shared" si="461"/>
        <v>1.6113847045191195E-2</v>
      </c>
      <c r="EI272" s="51">
        <f t="shared" si="462"/>
        <v>27612</v>
      </c>
      <c r="EJ272" s="51">
        <f t="shared" si="463"/>
        <v>3097</v>
      </c>
      <c r="EK272" s="14">
        <f>INT(SUMPRODUCT($U272:$Y272,$BF272:$BJ272)/SUM($BF272:$BJ272)/10000*$BX$7*$BZ$46/'疲劳值&amp;地图信息'!$R$10*$BY$54)</f>
        <v>847</v>
      </c>
      <c r="EL272" s="50">
        <f t="shared" si="464"/>
        <v>0.8750158448472557</v>
      </c>
      <c r="EM272" s="50">
        <f t="shared" si="465"/>
        <v>9.8142983901635186E-2</v>
      </c>
      <c r="EN272" s="50">
        <f t="shared" si="466"/>
        <v>2.6841171251109141E-2</v>
      </c>
      <c r="EO272" s="51">
        <f t="shared" si="467"/>
        <v>30252</v>
      </c>
      <c r="EP272" s="51">
        <f t="shared" si="468"/>
        <v>5288</v>
      </c>
      <c r="EQ272" s="14">
        <f>INT(SUMPRODUCT($AB272:$AF272,$BF272:$BJ272)/SUM($BF272:$BJ272)/10000*$BX$7*$BZ$46/'疲劳值&amp;地图信息'!$R$10*$BY$55)</f>
        <v>1148</v>
      </c>
      <c r="ER272" s="50">
        <f t="shared" si="469"/>
        <v>0.82457479284779767</v>
      </c>
      <c r="ES272" s="50">
        <f t="shared" si="470"/>
        <v>0.14413432184910596</v>
      </c>
      <c r="ET272" s="50">
        <f t="shared" si="471"/>
        <v>3.1290885303096379E-2</v>
      </c>
      <c r="EU272" s="51">
        <f t="shared" si="472"/>
        <v>36505</v>
      </c>
      <c r="EV272" s="51">
        <f t="shared" si="473"/>
        <v>15424</v>
      </c>
      <c r="EW272" s="14">
        <f>INT(SUMPRODUCT($AI272:$AM272,$BF272:$BJ272)/SUM($BF272:$BJ272)/10000*$BX$7*$BZ$46/'疲劳值&amp;地图信息'!$R$10*$BY$56)</f>
        <v>1723</v>
      </c>
      <c r="EX272" s="50">
        <f t="shared" si="474"/>
        <v>0.68040334004324166</v>
      </c>
      <c r="EY272" s="50">
        <f t="shared" si="475"/>
        <v>0.28748229329754715</v>
      </c>
      <c r="EZ272" s="50">
        <f t="shared" si="476"/>
        <v>3.2114366659211212E-2</v>
      </c>
      <c r="FA272" s="51">
        <f t="shared" si="477"/>
        <v>38222</v>
      </c>
      <c r="FB272" s="51">
        <f t="shared" si="478"/>
        <v>26442</v>
      </c>
      <c r="FC272" s="14">
        <f>INT(SUMPRODUCT($AP272:$AT272,$BF272:$BJ272)/SUM($BF272:$BJ272)/10000*$BX$7*$BZ$46/'疲劳值&amp;地图信息'!$R$10*$BY$57)</f>
        <v>2297</v>
      </c>
      <c r="FD272" s="50">
        <f t="shared" si="479"/>
        <v>0.57080987440450415</v>
      </c>
      <c r="FE272" s="50">
        <f t="shared" si="480"/>
        <v>0.39488657576798436</v>
      </c>
      <c r="FF272" s="50">
        <f t="shared" si="481"/>
        <v>3.4303549827511534E-2</v>
      </c>
      <c r="FH272" s="14">
        <f t="shared" si="482"/>
        <v>27616</v>
      </c>
      <c r="FI272" s="14">
        <f t="shared" si="483"/>
        <v>31556</v>
      </c>
      <c r="FJ272" s="14">
        <f t="shared" si="484"/>
        <v>36688</v>
      </c>
      <c r="FK272" s="14">
        <f t="shared" si="485"/>
        <v>53652</v>
      </c>
      <c r="FL272" s="14">
        <f t="shared" si="486"/>
        <v>66961</v>
      </c>
      <c r="FM272" s="14">
        <f t="shared" si="487"/>
        <v>3258891</v>
      </c>
      <c r="FP272" s="14">
        <f t="shared" si="488"/>
        <v>334150</v>
      </c>
      <c r="FQ272" s="50">
        <f t="shared" si="428"/>
        <v>9.299921709771751E-2</v>
      </c>
      <c r="FS272" s="14">
        <f t="shared" si="489"/>
        <v>3593041</v>
      </c>
      <c r="FX272" s="14">
        <v>267</v>
      </c>
      <c r="FY272" s="51">
        <f t="shared" si="490"/>
        <v>35479</v>
      </c>
      <c r="FZ272" s="51">
        <f t="shared" si="491"/>
        <v>1829</v>
      </c>
      <c r="GA272" s="51">
        <f>INT(SUMPRODUCT($N272:$R272,$BF272:$BJ272)/SUM($BF272:$BJ272)/10000*$BX$7*$BZ$46/'疲劳值&amp;地图信息'!$R$10*$BY$53)</f>
        <v>445</v>
      </c>
      <c r="GB272" s="50">
        <f t="shared" si="492"/>
        <v>0.9397663761820253</v>
      </c>
      <c r="GC272" s="50">
        <f t="shared" si="493"/>
        <v>4.8446481074351705E-2</v>
      </c>
      <c r="GD272" s="50">
        <f t="shared" si="494"/>
        <v>1.1787142743623023E-2</v>
      </c>
      <c r="GE272" s="51">
        <f t="shared" si="495"/>
        <v>38657</v>
      </c>
      <c r="GF272" s="51">
        <f t="shared" si="496"/>
        <v>3097</v>
      </c>
      <c r="GG272" s="14">
        <f>INT(SUMPRODUCT($U272:$Y272,$BF272:$BJ272)/SUM($BF272:$BJ272)/10000*$BX$7*$BZ$46/'疲劳值&amp;地图信息'!$R$10*$BY$54)</f>
        <v>847</v>
      </c>
      <c r="GH272" s="50">
        <f t="shared" si="497"/>
        <v>0.90742001361470392</v>
      </c>
      <c r="GI272" s="50">
        <f t="shared" si="498"/>
        <v>7.2697823994741909E-2</v>
      </c>
      <c r="GJ272" s="50">
        <f t="shared" si="499"/>
        <v>1.9882162390554212E-2</v>
      </c>
      <c r="GK272" s="51">
        <f t="shared" si="500"/>
        <v>42353</v>
      </c>
      <c r="GL272" s="51">
        <f t="shared" si="501"/>
        <v>5288</v>
      </c>
      <c r="GM272" s="14">
        <f>INT(SUMPRODUCT($AB272:$AF272,$BF272:$BJ272)/SUM($BF272:$BJ272)/10000*$BX$7*$BZ$46/'疲劳值&amp;地图信息'!$R$10*$BY$55)</f>
        <v>1148</v>
      </c>
      <c r="GN272" s="50">
        <f t="shared" si="502"/>
        <v>0.86808501916415581</v>
      </c>
      <c r="GO272" s="50">
        <f t="shared" si="503"/>
        <v>0.108385086802353</v>
      </c>
      <c r="GP272" s="50">
        <f t="shared" si="504"/>
        <v>2.3529894033491157E-2</v>
      </c>
      <c r="GQ272" s="51">
        <f t="shared" si="505"/>
        <v>51107</v>
      </c>
      <c r="GR272" s="51">
        <f t="shared" si="506"/>
        <v>15424</v>
      </c>
      <c r="GS272" s="14">
        <f>INT(SUMPRODUCT($AI272:$AM272,$BF272:$BJ272)/SUM($BF272:$BJ272)/10000*$BX$7*$BZ$46/'疲劳值&amp;地图信息'!$R$10*$BY$56)</f>
        <v>1723</v>
      </c>
      <c r="GT272" s="50">
        <f t="shared" si="507"/>
        <v>0.74877662847598681</v>
      </c>
      <c r="GU272" s="50">
        <f t="shared" si="508"/>
        <v>0.22597942977700941</v>
      </c>
      <c r="GV272" s="50">
        <f t="shared" si="509"/>
        <v>2.524394174700384E-2</v>
      </c>
      <c r="GW272" s="51">
        <f t="shared" si="510"/>
        <v>53510</v>
      </c>
      <c r="GX272" s="51">
        <f t="shared" si="511"/>
        <v>26442</v>
      </c>
      <c r="GY272" s="14">
        <f>INT(SUMPRODUCT($AP272:$AT272,$BF272:$BJ272)/SUM($BF272:$BJ272)/10000*$BX$7*$BZ$46/'疲劳值&amp;地图信息'!$R$10*$BY$57)</f>
        <v>2297</v>
      </c>
      <c r="GZ272" s="50">
        <f t="shared" si="512"/>
        <v>0.65058541745188392</v>
      </c>
      <c r="HA272" s="50">
        <f t="shared" si="513"/>
        <v>0.32148719133363324</v>
      </c>
      <c r="HB272" s="50">
        <f t="shared" si="514"/>
        <v>2.7927391214482851E-2</v>
      </c>
      <c r="HD272" s="14">
        <f t="shared" si="515"/>
        <v>37753</v>
      </c>
      <c r="HE272" s="14">
        <f t="shared" si="516"/>
        <v>42601</v>
      </c>
      <c r="HF272" s="14">
        <f t="shared" si="517"/>
        <v>48789</v>
      </c>
      <c r="HG272" s="14">
        <f t="shared" si="518"/>
        <v>68254</v>
      </c>
      <c r="HH272" s="14">
        <f t="shared" si="519"/>
        <v>82249</v>
      </c>
      <c r="HI272" s="14">
        <f t="shared" si="520"/>
        <v>4395022</v>
      </c>
      <c r="HL272" s="14">
        <f t="shared" si="521"/>
        <v>430050</v>
      </c>
      <c r="HM272" s="50">
        <f t="shared" si="429"/>
        <v>8.9128203682763696E-2</v>
      </c>
      <c r="HO272" s="14">
        <f t="shared" si="522"/>
        <v>4825072</v>
      </c>
    </row>
    <row r="273" spans="11:223" x14ac:dyDescent="0.2">
      <c r="K273" s="14">
        <v>268</v>
      </c>
      <c r="L273" s="12">
        <f>求节点(节奏总纲!D$4:D$163,标准城池设计!AB$4:AB$163,$K273)*求节点(节奏总纲!D$4:D$163,攻城基础信息!$AC$5:$AC$164,$K273)</f>
        <v>747190.61708046915</v>
      </c>
      <c r="M273" s="12">
        <f>INDEX(其他调用!$AA$5:$AA$404,MATCH(K273,其他调用!$X$5:$X$404,0))*MIN(INDEX(其他调用!$AH$5:$AH$364,MATCH('征服点（新）'!K273,其他调用!$AG$5:$AG$364,0),1)/INDEX(其他调用!$AJ$5:$AJ$364,MATCH(K273,其他调用!$AG$5:$AG$364,0),0),5)*求节点(节奏总纲!D$4:D$163,攻城基础信息!$AC$5:$AC$164,$K273)</f>
        <v>53836.449741839948</v>
      </c>
      <c r="N273" s="12">
        <f>MIN(INDEX(其他调用!$AH$5:$AH$364,MATCH($K273,其他调用!$AG$5:$AG$364,0),1)/INDEX(其他调用!AH$5:AH$364,MATCH($K273,其他调用!$AG$5:$AG$364,0),0),1)*INDEX(其他调用!Y$5:Y$404,MATCH($K273,其他调用!$X$5:$X$404,0),0)</f>
        <v>41822.454405556629</v>
      </c>
      <c r="O273" s="12">
        <f>MIN(INDEX(其他调用!$AH$5:$AH$364,MATCH($K273,其他调用!$AG$5:$AG$364,0),1)/INDEX(其他调用!AI$5:AI$364,MATCH($K273,其他调用!$AG$5:$AG$364,0),0),1)*INDEX(其他调用!Z$5:Z$404,MATCH($K273,其他调用!$X$5:$X$404,0),0)</f>
        <v>25372.94633893836</v>
      </c>
      <c r="P273" s="12">
        <f>MIN(INDEX(其他调用!$AH$5:$AH$364,MATCH($K273,其他调用!$AG$5:$AG$364,0),1)/INDEX(其他调用!AJ$5:AJ$364,MATCH($K273,其他调用!$AG$5:$AG$364,0),0),1)*INDEX(其他调用!AA$5:AA$404,MATCH($K273,其他调用!$X$5:$X$404,0),0)</f>
        <v>15381.842783382852</v>
      </c>
      <c r="Q273" s="12">
        <f>MIN(INDEX(其他调用!$AH$5:$AH$364,MATCH($K273,其他调用!$AG$5:$AG$364,0),1)/INDEX(其他调用!AK$5:AK$364,MATCH($K273,其他调用!$AG$5:$AG$364,0),0),1)*INDEX(其他调用!AB$5:AB$404,MATCH($K273,其他调用!$X$5:$X$404,0),0)</f>
        <v>5548.5830911922676</v>
      </c>
      <c r="R273" s="12">
        <f>MIN(INDEX(其他调用!$AH$5:$AH$364,MATCH($K273,其他调用!$AG$5:$AG$364,0),1)/INDEX(其他调用!AL$5:AL$364,MATCH($K273,其他调用!$AG$5:$AG$364,0),0),1)*INDEX(其他调用!AC$5:AC$404,MATCH($K273,其他调用!$X$5:$X$404,0),0)</f>
        <v>3112.7558181651279</v>
      </c>
      <c r="S273" s="12">
        <f>求节点(节奏总纲!D$4:D$163,标准城池设计!AC$4:AC$163,$K273)*求节点(节奏总纲!D$4:D$163,攻城基础信息!$AD$5:$AD$164,$K273)</f>
        <v>814379.74230389332</v>
      </c>
      <c r="T273" s="12">
        <f>INDEX(其他调用!$AA$5:$AA$404,MATCH($K273,其他调用!$X$5:$X$404,0))*MIN(INDEX(其他调用!AI$5:AI$364,MATCH($K273,其他调用!$AG$5:$AG$364,0),1)/INDEX(其他调用!$AJ$5:$AJ$364,MATCH($K273,其他调用!$AG$5:$AG$364,0),0),5)*求节点(节奏总纲!D$4:D$163,攻城基础信息!$AD$5:$AD$164,$K273)</f>
        <v>91193.561229273604</v>
      </c>
      <c r="U273" s="12">
        <f>MIN(INDEX(其他调用!$AI$5:$AI$364,MATCH($K273,其他调用!$AG$5:$AG$364,0),1)/INDEX(其他调用!AH$5:AH$364,MATCH($K273,其他调用!$AG$5:$AG$364,0),0),1)*INDEX(其他调用!Y$5:Y$404,MATCH($K273,其他调用!$X$5:$X$404,0),0)</f>
        <v>41822.454405556629</v>
      </c>
      <c r="V273" s="12">
        <f>MIN(INDEX(其他调用!$AI$5:$AI$364,MATCH($K273,其他调用!$AG$5:$AG$364,0),1)/INDEX(其他调用!AI$5:AI$364,MATCH($K273,其他调用!$AG$5:$AG$364,0),0),1)*INDEX(其他调用!Z$5:Z$404,MATCH($K273,其他调用!$X$5:$X$404,0),0)</f>
        <v>42979.233337684229</v>
      </c>
      <c r="W273" s="12">
        <f>MIN(INDEX(其他调用!$AI$5:$AI$364,MATCH($K273,其他调用!$AG$5:$AG$364,0),1)/INDEX(其他调用!AJ$5:AJ$364,MATCH($K273,其他调用!$AG$5:$AG$364,0),0),1)*INDEX(其他调用!AA$5:AA$404,MATCH($K273,其他调用!$X$5:$X$404,0),0)</f>
        <v>26055.303208363905</v>
      </c>
      <c r="X273" s="12">
        <f>MIN(INDEX(其他调用!$AI$5:$AI$364,MATCH($K273,其他调用!$AG$5:$AG$364,0),1)/INDEX(其他调用!AK$5:AK$364,MATCH($K273,其他调用!$AG$5:$AG$364,0),0),1)*INDEX(其他调用!AB$5:AB$404,MATCH($K273,其他调用!$X$5:$X$404,0),0)</f>
        <v>9398.7447962994356</v>
      </c>
      <c r="Y273" s="12">
        <f>MIN(INDEX(其他调用!$AI$5:$AI$364,MATCH($K273,其他调用!$AG$5:$AG$364,0),1)/INDEX(其他调用!AL$5:AL$364,MATCH($K273,其他调用!$AG$5:$AG$364,0),0),1)*INDEX(其他调用!AC$5:AC$404,MATCH($K273,其他调用!$X$5:$X$404,0),0)</f>
        <v>5272.6970232401845</v>
      </c>
      <c r="Z273" s="12">
        <f>求节点(节奏总纲!D$4:D$163,标准城池设计!AD$4:AD$163,$K273)*求节点(节奏总纲!D$4:D$163,攻城基础信息!$AE$5:$AE$164,$K273)</f>
        <v>892105.9111424943</v>
      </c>
      <c r="AA273" s="12">
        <f>INDEX(其他调用!$AA$5:$AA$404,MATCH($K273,其他调用!$X$5:$X$404,0))*MIN(INDEX(其他调用!AJ$5:AJ$364,MATCH($K273,其他调用!$AG$5:$AG$364,0),1)/INDEX(其他调用!$AJ$5:$AJ$364,MATCH($K273,其他调用!$AG$5:$AG$364,0),0),5)*求节点(节奏总纲!D$4:D$163,攻城基础信息!$AE$5:$AE$164,$K273)</f>
        <v>155760.99103361735</v>
      </c>
      <c r="AB273" s="12">
        <f>MIN(INDEX(其他调用!$AJ$5:$AJ$364,MATCH($K273,其他调用!$AG$5:$AG$364,0),1)/INDEX(其他调用!AH$5:AH$364,MATCH($K273,其他调用!$AG$5:$AG$364,0),0),1)*INDEX(其他调用!Y$5:Y$404,MATCH($K273,其他调用!$X$5:$X$404,0),0)</f>
        <v>41822.454405556629</v>
      </c>
      <c r="AC273" s="12">
        <f>MIN(INDEX(其他调用!$AJ$5:$AJ$364,MATCH($K273,其他调用!$AG$5:$AG$364,0),1)/INDEX(其他调用!AI$5:AI$364,MATCH($K273,其他调用!$AG$5:$AG$364,0),0),1)*INDEX(其他调用!Z$5:Z$404,MATCH($K273,其他调用!$X$5:$X$404,0),0)</f>
        <v>42979.233337684229</v>
      </c>
      <c r="AD273" s="12">
        <f>MIN(INDEX(其他调用!$AJ$5:$AJ$364,MATCH($K273,其他调用!$AG$5:$AG$364,0),1)/INDEX(其他调用!AJ$5:AJ$364,MATCH($K273,其他调用!$AG$5:$AG$364,0),0),1)*INDEX(其他调用!AA$5:AA$404,MATCH($K273,其他调用!$X$5:$X$404,0),0)</f>
        <v>44503.140295319274</v>
      </c>
      <c r="AE273" s="12">
        <f>MIN(INDEX(其他调用!$AJ$5:$AJ$364,MATCH($K273,其他调用!$AG$5:$AG$364,0),1)/INDEX(其他调用!AK$5:AK$364,MATCH($K273,其他调用!$AG$5:$AG$364,0),0),1)*INDEX(其他调用!AB$5:AB$404,MATCH($K273,其他调用!$X$5:$X$404,0),0)</f>
        <v>16053.302274960572</v>
      </c>
      <c r="AF273" s="12">
        <f>MIN(INDEX(其他调用!$AJ$5:$AJ$364,MATCH($K273,其他调用!$AG$5:$AG$364,0),1)/INDEX(其他调用!AL$5:AL$364,MATCH($K273,其他调用!$AG$5:$AG$364,0),0),1)*INDEX(其他调用!AC$5:AC$404,MATCH($K273,其他调用!$X$5:$X$404,0),0)</f>
        <v>9005.9046131017858</v>
      </c>
      <c r="AG273" s="12">
        <f>求节点(节奏总纲!D$4:D$163,标准城池设计!AE$4:AE$163,$K273)*求节点(节奏总纲!D$4:D$163,攻城基础信息!$AF$5:$AF$164,$K273)</f>
        <v>1076586.571800367</v>
      </c>
      <c r="AH273" s="12">
        <f>INDEX(其他调用!$AA$5:$AA$404,MATCH($K273,其他调用!$X$5:$X$404,0))*MIN(INDEX(其他调用!AK$5:AK$364,MATCH($K273,其他调用!$AG$5:$AG$364,0),1)/INDEX(其他调用!$AJ$5:$AJ$364,MATCH($K273,其他调用!$AG$5:$AG$364,0),0),5)*求节点(节奏总纲!D$4:D$163,攻城基础信息!$AF$5:$AF$164,$K273)</f>
        <v>453641.03767911578</v>
      </c>
      <c r="AI273" s="12">
        <f>MIN(INDEX(其他调用!$AK$5:$AK$364,MATCH($K273,其他调用!$AG$5:$AG$364,0),1)/INDEX(其他调用!AH$5:AH$364,MATCH($K273,其他调用!$AG$5:$AG$364,0),0),1)*INDEX(其他调用!Y$5:Y$404,MATCH($K273,其他调用!$X$5:$X$404,0),0)</f>
        <v>41822.454405556629</v>
      </c>
      <c r="AJ273" s="12">
        <f>MIN(INDEX(其他调用!$AK$5:$AK$364,MATCH($K273,其他调用!$AG$5:$AG$364,0),1)/INDEX(其他调用!AI$5:AI$364,MATCH($K273,其他调用!$AG$5:$AG$364,0),0),1)*INDEX(其他调用!Z$5:Z$404,MATCH($K273,其他调用!$X$5:$X$404,0),0)</f>
        <v>42979.233337684229</v>
      </c>
      <c r="AK273" s="12">
        <f>MIN(INDEX(其他调用!$AK$5:$AK$364,MATCH($K273,其他调用!$AG$5:$AG$364,0),1)/INDEX(其他调用!AJ$5:AJ$364,MATCH($K273,其他调用!$AG$5:$AG$364,0),0),1)*INDEX(其他调用!AA$5:AA$404,MATCH($K273,其他调用!$X$5:$X$404,0),0)</f>
        <v>44503.140295319274</v>
      </c>
      <c r="AL273" s="12">
        <f>MIN(INDEX(其他调用!$AK$5:$AK$364,MATCH($K273,其他调用!$AG$5:$AG$364,0),1)/INDEX(其他调用!AK$5:AK$364,MATCH($K273,其他调用!$AG$5:$AG$364,0),0),1)*INDEX(其他调用!AB$5:AB$404,MATCH($K273,其他调用!$X$5:$X$404,0),0)</f>
        <v>46753.918640758267</v>
      </c>
      <c r="AM273" s="12">
        <f>MIN(INDEX(其他调用!$AK$5:$AK$364,MATCH($K273,其他调用!$AG$5:$AG$364,0),1)/INDEX(其他调用!AL$5:AL$364,MATCH($K273,其他调用!$AG$5:$AG$364,0),0),1)*INDEX(其他调用!AC$5:AC$404,MATCH($K273,其他调用!$X$5:$X$404,0),0)</f>
        <v>26228.954289619804</v>
      </c>
      <c r="AN273" s="12">
        <f>求节点(节奏总纲!D$4:D$163,标准城池设计!AF$4:AF$163,$K273)*求节点(节奏总纲!D$4:D$163,攻城基础信息!$AG$5:$AG$164,$K273)</f>
        <v>1127216.9759294065</v>
      </c>
      <c r="AO273" s="12">
        <f>INDEX(其他调用!$AA$5:$AA$404,MATCH($K273,其他调用!$X$5:$X$404,0))*MIN(INDEX(其他调用!AL$5:AL$364,MATCH($K273,其他调用!$AG$5:$AG$364,0),1)/INDEX(其他调用!$AJ$5:$AJ$364,MATCH($K273,其他调用!$AG$5:$AG$364,0),0),5)*求节点(节奏总纲!D$4:D$163,攻城基础信息!$AG$5:$AG$164,$K273)</f>
        <v>778804.9551680868</v>
      </c>
      <c r="AP273" s="12">
        <f>MIN(INDEX(其他调用!$AL$5:$AL$364,MATCH($K273,其他调用!$AG$5:$AG$364,0),1)/INDEX(其他调用!AH$5:AH$364,MATCH($K273,其他调用!$AG$5:$AG$364,0),0),1)*INDEX(其他调用!Y$5:Y$404,MATCH($K273,其他调用!$X$5:$X$404,0),0)</f>
        <v>41822.454405556629</v>
      </c>
      <c r="AQ273" s="12">
        <f>MIN(INDEX(其他调用!$AL$5:$AL$364,MATCH($K273,其他调用!$AG$5:$AG$364,0),1)/INDEX(其他调用!AI$5:AI$364,MATCH($K273,其他调用!$AG$5:$AG$364,0),0),1)*INDEX(其他调用!Z$5:Z$404,MATCH($K273,其他调用!$X$5:$X$404,0),0)</f>
        <v>42979.233337684229</v>
      </c>
      <c r="AR273" s="12">
        <f>MIN(INDEX(其他调用!$AL$5:$AL$364,MATCH($K273,其他调用!$AG$5:$AG$364,0),1)/INDEX(其他调用!AJ$5:AJ$364,MATCH($K273,其他调用!$AG$5:$AG$364,0),0),1)*INDEX(其他调用!AA$5:AA$404,MATCH($K273,其他调用!$X$5:$X$404,0),0)</f>
        <v>44503.140295319274</v>
      </c>
      <c r="AS273" s="12">
        <f>MIN(INDEX(其他调用!$AL$5:$AL$364,MATCH($K273,其他调用!$AG$5:$AG$364,0),1)/INDEX(其他调用!AK$5:AK$364,MATCH($K273,其他调用!$AG$5:$AG$364,0),0),1)*INDEX(其他调用!AB$5:AB$404,MATCH($K273,其他调用!$X$5:$X$404,0),0)</f>
        <v>46753.918640758267</v>
      </c>
      <c r="AT273" s="12">
        <f>MIN(INDEX(其他调用!$AL$5:$AL$364,MATCH($K273,其他调用!$AG$5:$AG$364,0),1)/INDEX(其他调用!AL$5:AL$364,MATCH($K273,其他调用!$AG$5:$AG$364,0),0),1)*INDEX(其他调用!AC$5:AC$404,MATCH($K273,其他调用!$X$5:$X$404,0),0)</f>
        <v>50637.576198348324</v>
      </c>
      <c r="AV273" s="14">
        <f>IF(OR(AV$5="大R",AV$5="超R"),MAX(INDEX(其他调用!$H$5:$L$404,MATCH($K273,其他调用!$B$5:$B$404,0),MATCH(AV$5,其他调用!$H$4:$L$4,0))*120*0.85,2),INDEX(其他调用!$H$5:$L$404,MATCH($K273,其他调用!$B$5:$B$404,0),MATCH(AV$5,其他调用!$H$4:$L$4,0))*120*0.85)</f>
        <v>48.921801254999991</v>
      </c>
      <c r="AW273" s="14">
        <f>IF(OR(AW$5="大R",AW$5="超R"),MAX(INDEX(其他调用!$H$5:$L$404,MATCH($K273,其他调用!$B$5:$B$404,0),MATCH(AW$5,其他调用!$H$4:$L$4,0))*120*0.85,2),INDEX(其他调用!$H$5:$L$404,MATCH($K273,其他调用!$B$5:$B$404,0),MATCH(AW$5,其他调用!$H$4:$L$4,0))*120*0.85)</f>
        <v>48.237344010638395</v>
      </c>
      <c r="AX273" s="14">
        <f>IF(OR(AX$5="大R",AX$5="超R"),MAX(INDEX(其他调用!$H$5:$L$404,MATCH($K273,其他调用!$B$5:$B$404,0),MATCH(AX$5,其他调用!$H$4:$L$4,0))*120*0.85,2),INDEX(其他调用!$H$5:$L$404,MATCH($K273,其他调用!$B$5:$B$404,0),MATCH(AX$5,其他调用!$H$4:$L$4,0))*120*0.85)</f>
        <v>3.9376284143615998</v>
      </c>
      <c r="AY273" s="14">
        <f>IF(OR(AY$5="大R",AY$5="超R"),MAX(INDEX(其他调用!$H$5:$L$404,MATCH($K273,其他调用!$B$5:$B$404,0),MATCH(AY$5,其他调用!$H$4:$L$4,0))*120*0.85,2),INDEX(其他调用!$H$5:$L$404,MATCH($K273,其他调用!$B$5:$B$404,0),MATCH(AY$5,其他调用!$H$4:$L$4,0))*120*0.85)</f>
        <v>2</v>
      </c>
      <c r="AZ273" s="14">
        <f>IF(OR(AZ$5="大R",AZ$5="超R"),MAX(INDEX(其他调用!$H$5:$L$404,MATCH($K273,其他调用!$B$5:$B$404,0),MATCH(AZ$5,其他调用!$H$4:$L$4,0))*120*0.85,2),INDEX(其他调用!$H$5:$L$404,MATCH($K273,其他调用!$B$5:$B$404,0),MATCH(AZ$5,其他调用!$H$4:$L$4,0))*120*0.85)</f>
        <v>2</v>
      </c>
      <c r="BA273" s="14">
        <f>INDEX(其他调用!$H$5:$L$404,MATCH($K273,其他调用!$B$5:$B$404,0),MATCH(BA$5,其他调用!$H$4:$L$4,0))*INDEX(其他调用!$M$5:$M$404,MATCH($K273,其他调用!$B$5:$B$404,0))*0.6</f>
        <v>28.777530149999997</v>
      </c>
      <c r="BB273" s="14">
        <f>INDEX(其他调用!$H$5:$L$404,MATCH($K273,其他调用!$B$5:$B$404,0),MATCH(BB$5,其他调用!$H$4:$L$4,0))*INDEX(其他调用!$M$5:$M$404,MATCH($K273,其他调用!$B$5:$B$404,0))*0.6</f>
        <v>28.374908241551999</v>
      </c>
      <c r="BC273" s="14">
        <f>INDEX(其他调用!$H$5:$L$404,MATCH($K273,其他调用!$B$5:$B$404,0),MATCH(BC$5,其他调用!$H$4:$L$4,0))*INDEX(其他调用!$M$5:$M$404,MATCH($K273,其他调用!$B$5:$B$404,0))*0.6</f>
        <v>2.3162520084480001</v>
      </c>
      <c r="BD273" s="14">
        <f>INDEX(其他调用!$H$5:$L$404,MATCH($K273,其他调用!$B$5:$B$404,0),MATCH(BD$5,其他调用!$H$4:$L$4,0))*INDEX(其他调用!$M$5:$M$404,MATCH($K273,其他调用!$B$5:$B$404,0))*0.6</f>
        <v>0.4120776000000001</v>
      </c>
      <c r="BE273" s="14">
        <f>INDEX(其他调用!$H$5:$L$404,MATCH($K273,其他调用!$B$5:$B$404,0),MATCH(BE$5,其他调用!$H$4:$L$4,0))*INDEX(其他调用!$M$5:$M$404,MATCH($K273,其他调用!$B$5:$B$404,0))*0.6</f>
        <v>0.11923199999999998</v>
      </c>
      <c r="BF273" s="14">
        <f>IF(OR(BF$5="大R",BF$5="超R"),0,INDEX(其他调用!$H$5:$L$404,MATCH($K273,其他调用!$B$5:$B$404,0),MATCH(BF$5,其他调用!$H$4:$L$4,0))*50*0.4)</f>
        <v>9.5925100500000013</v>
      </c>
      <c r="BG273" s="14">
        <f>IF(OR(BG$5="大R",BG$5="超R"),0,INDEX(其他调用!$H$5:$L$404,MATCH($K273,其他调用!$B$5:$B$404,0),MATCH(BG$5,其他调用!$H$4:$L$4,0))*50*0.4)</f>
        <v>9.4583027471839998</v>
      </c>
      <c r="BH273" s="14">
        <f>IF(OR(BH$5="大R",BH$5="超R"),0,INDEX(其他调用!$H$5:$L$404,MATCH($K273,其他调用!$B$5:$B$404,0),MATCH(BH$5,其他调用!$H$4:$L$4,0))*50*0.4)</f>
        <v>0.77208400281600009</v>
      </c>
      <c r="BI273" s="14">
        <f>IF(OR(BI$5="大R",BI$5="超R"),0,INDEX(其他调用!$H$5:$L$404,MATCH($K273,其他调用!$B$5:$B$404,0),MATCH(BI$5,其他调用!$H$4:$L$4,0))*50*0.4)</f>
        <v>0</v>
      </c>
      <c r="BJ273" s="14">
        <f>IF(OR(BJ$5="大R",BJ$5="超R"),0,INDEX(其他调用!$H$5:$L$404,MATCH($K273,其他调用!$B$5:$B$404,0),MATCH(BJ$5,其他调用!$H$4:$L$4,0))*50*0.4)</f>
        <v>0</v>
      </c>
      <c r="BL273" s="14">
        <f t="shared" si="523"/>
        <v>268</v>
      </c>
      <c r="BM273" s="14">
        <f t="shared" si="430"/>
        <v>96</v>
      </c>
      <c r="BN273" s="14">
        <f>('疲劳值&amp;地图信息'!$S$10*'疲劳值&amp;地图信息'!$R$10+'疲劳值&amp;地图信息'!$S$11*'疲劳值&amp;地图信息'!$R$11+'疲劳值&amp;地图信息'!$S$12*'疲劳值&amp;地图信息'!$R$12+(BM273-'疲劳值&amp;地图信息'!$S$12-'疲劳值&amp;地图信息'!$S$11-'疲劳值&amp;地图信息'!$S$10)*'疲劳值&amp;地图信息'!$R$13)/BM273</f>
        <v>51.371477246638619</v>
      </c>
      <c r="BO273" s="14">
        <f>INDEX(其他调用!$M$5:$M$404,MATCH(BL273,其他调用!$B$5:$B$404,0))*0.6</f>
        <v>60</v>
      </c>
      <c r="BP273" s="14">
        <f>IF(BO273&gt;SUM('疲劳值&amp;地图信息'!$S$10:$S$12),('疲劳值&amp;地图信息'!$S$10*'疲劳值&amp;地图信息'!$R$10+'疲劳值&amp;地图信息'!$S$11*'疲劳值&amp;地图信息'!$R$11+'疲劳值&amp;地图信息'!$S$12*'疲劳值&amp;地图信息'!$R$12+(BO273-'疲劳值&amp;地图信息'!$S$12-'疲劳值&amp;地图信息'!$S$11-'疲劳值&amp;地图信息'!$S$10)*'疲劳值&amp;地图信息'!$R$13)/BO273,('疲劳值&amp;地图信息'!$S$10*'疲劳值&amp;地图信息'!$R$10+'疲劳值&amp;地图信息'!$S$11*'疲劳值&amp;地图信息'!$R$11+'疲劳值&amp;地图信息'!$S$12*'疲劳值&amp;地图信息'!$R$12+(BO273-'疲劳值&amp;地图信息'!$S$12-'疲劳值&amp;地图信息'!$S$11-'疲劳值&amp;地图信息'!$S$10)*'疲劳值&amp;地图信息'!$R$13)/BO273)</f>
        <v>44.158136341605953</v>
      </c>
      <c r="BQ273" s="14">
        <f t="shared" si="524"/>
        <v>20</v>
      </c>
      <c r="BR273" s="14">
        <f>('疲劳值&amp;地图信息'!$S$10*'疲劳值&amp;地图信息'!$R$10+($BQ273-'疲劳值&amp;地图信息'!$S$10)*'疲劳值&amp;地图信息'!$R$11)/$BQ273</f>
        <v>32.067203015074995</v>
      </c>
      <c r="CF273" s="14">
        <v>268</v>
      </c>
      <c r="CG273" s="51">
        <f t="shared" si="431"/>
        <v>15228</v>
      </c>
      <c r="CH273" s="51">
        <f t="shared" si="432"/>
        <v>1097</v>
      </c>
      <c r="CI273" s="51">
        <f>INT(SUMPRODUCT($N273:$R273,$BA273:$BE273)/SUM($BA273:$BE273)/10000*$BX$7*$BZ$34/'疲劳值&amp;地图信息'!$R$10*$BY$53)</f>
        <v>3317</v>
      </c>
      <c r="CJ273" s="50">
        <f t="shared" si="433"/>
        <v>0.77527746665309027</v>
      </c>
      <c r="CK273" s="50">
        <f t="shared" si="434"/>
        <v>5.5849709805518788E-2</v>
      </c>
      <c r="CL273" s="50">
        <f t="shared" si="435"/>
        <v>0.16887282354139091</v>
      </c>
      <c r="CM273" s="14">
        <f t="shared" si="436"/>
        <v>16598</v>
      </c>
      <c r="CN273" s="14">
        <f t="shared" si="437"/>
        <v>1858</v>
      </c>
      <c r="CO273" s="14">
        <f>INT(SUMPRODUCT($U273:$Y273,$BA273:$BE273)/SUM($BA273:$BE273)/10000*$BX$7*$BZ$34/'疲劳值&amp;地图信息'!$R$10*$BY$54)</f>
        <v>6311</v>
      </c>
      <c r="CP273" s="50">
        <f t="shared" si="438"/>
        <v>0.67016594662252194</v>
      </c>
      <c r="CQ273" s="50">
        <f t="shared" si="439"/>
        <v>7.5019178745911894E-2</v>
      </c>
      <c r="CR273" s="50">
        <f t="shared" si="440"/>
        <v>0.25481487463156621</v>
      </c>
      <c r="CS273" s="14">
        <f t="shared" si="441"/>
        <v>18182</v>
      </c>
      <c r="CT273" s="14">
        <f t="shared" si="442"/>
        <v>3174</v>
      </c>
      <c r="CU273" s="14">
        <f>INT(SUMPRODUCT($AB273:$AF273,$BA273:$BE273)/SUM($BA273:$BE273)/10000*$BX$7*$BZ$34/'疲劳值&amp;地图信息'!$R$10*$BY$55)</f>
        <v>8570</v>
      </c>
      <c r="CV273" s="50">
        <f t="shared" si="443"/>
        <v>0.60756532780859451</v>
      </c>
      <c r="CW273" s="50">
        <f t="shared" si="444"/>
        <v>0.10606161865935976</v>
      </c>
      <c r="CX273" s="50">
        <f t="shared" si="445"/>
        <v>0.28637305353204573</v>
      </c>
      <c r="CY273" s="14">
        <f t="shared" si="446"/>
        <v>21942</v>
      </c>
      <c r="CZ273" s="14">
        <f t="shared" si="447"/>
        <v>9245</v>
      </c>
      <c r="DA273" s="14">
        <f>INT(SUMPRODUCT($AI273:$AM273,$BA273:$BE273)/SUM($BA273:$BE273)/10000*$BX$7*$BZ$34/'疲劳值&amp;地图信息'!$R$10*$BY$56)</f>
        <v>12929</v>
      </c>
      <c r="DB273" s="50">
        <f t="shared" si="448"/>
        <v>0.49737056850122402</v>
      </c>
      <c r="DC273" s="50">
        <f t="shared" si="449"/>
        <v>0.20956115694985947</v>
      </c>
      <c r="DD273" s="50">
        <f t="shared" si="450"/>
        <v>0.29306827454891649</v>
      </c>
      <c r="DE273" s="14">
        <f t="shared" si="451"/>
        <v>22974</v>
      </c>
      <c r="DF273" s="14">
        <f t="shared" si="452"/>
        <v>15873</v>
      </c>
      <c r="DG273" s="14">
        <f>INT(SUMPRODUCT($AP273:$AT273,$BA273:$BE273)/SUM($BA273:$BE273)/10000*$BX$7*$BZ$34/'疲劳值&amp;地图信息'!$R$10*$BY$57)</f>
        <v>17259</v>
      </c>
      <c r="DH273" s="50">
        <f t="shared" si="453"/>
        <v>0.40947492246818523</v>
      </c>
      <c r="DI273" s="50">
        <f t="shared" si="454"/>
        <v>0.28291091861832957</v>
      </c>
      <c r="DJ273" s="50">
        <f t="shared" si="455"/>
        <v>0.3076141589134852</v>
      </c>
      <c r="DL273" s="14">
        <f t="shared" si="526"/>
        <v>19642</v>
      </c>
      <c r="DM273" s="14">
        <f t="shared" si="527"/>
        <v>24767</v>
      </c>
      <c r="DN273" s="14">
        <f t="shared" si="528"/>
        <v>29926</v>
      </c>
      <c r="DO273" s="14">
        <f t="shared" si="529"/>
        <v>44116</v>
      </c>
      <c r="DP273" s="14">
        <f t="shared" si="530"/>
        <v>56106</v>
      </c>
      <c r="DQ273" s="14">
        <f t="shared" si="531"/>
        <v>1362194</v>
      </c>
      <c r="DT273" s="14">
        <f t="shared" si="525"/>
        <v>235575</v>
      </c>
      <c r="DU273" s="50">
        <f t="shared" si="427"/>
        <v>0.14743996159645106</v>
      </c>
      <c r="DW273" s="14">
        <f t="shared" si="456"/>
        <v>1597769</v>
      </c>
      <c r="EB273" s="14">
        <v>268</v>
      </c>
      <c r="EC273" s="51">
        <f t="shared" si="457"/>
        <v>25381</v>
      </c>
      <c r="ED273" s="51">
        <f t="shared" si="458"/>
        <v>1828</v>
      </c>
      <c r="EE273" s="51">
        <f>INT(SUMPRODUCT($N273:$R273,$BF273:$BJ273)/SUM($BF273:$BJ273)/10000*$BX$7*$BZ$46/'疲劳值&amp;地图信息'!$R$10*$BY$53)</f>
        <v>445</v>
      </c>
      <c r="EF273" s="50">
        <f t="shared" si="459"/>
        <v>0.91780574238808132</v>
      </c>
      <c r="EG273" s="50">
        <f t="shared" si="460"/>
        <v>6.6102552976061324E-2</v>
      </c>
      <c r="EH273" s="50">
        <f t="shared" si="461"/>
        <v>1.6091704635857379E-2</v>
      </c>
      <c r="EI273" s="51">
        <f t="shared" si="462"/>
        <v>27663</v>
      </c>
      <c r="EJ273" s="51">
        <f t="shared" si="463"/>
        <v>3097</v>
      </c>
      <c r="EK273" s="14">
        <f>INT(SUMPRODUCT($U273:$Y273,$BF273:$BJ273)/SUM($BF273:$BJ273)/10000*$BX$7*$BZ$46/'疲劳值&amp;地图信息'!$R$10*$BY$54)</f>
        <v>847</v>
      </c>
      <c r="EL273" s="50">
        <f t="shared" si="464"/>
        <v>0.87521751510741297</v>
      </c>
      <c r="EM273" s="50">
        <f t="shared" si="465"/>
        <v>9.798462365931597E-2</v>
      </c>
      <c r="EN273" s="50">
        <f t="shared" si="466"/>
        <v>2.679786123327111E-2</v>
      </c>
      <c r="EO273" s="51">
        <f t="shared" si="467"/>
        <v>30303</v>
      </c>
      <c r="EP273" s="51">
        <f t="shared" si="468"/>
        <v>5291</v>
      </c>
      <c r="EQ273" s="14">
        <f>INT(SUMPRODUCT($AB273:$AF273,$BF273:$BJ273)/SUM($BF273:$BJ273)/10000*$BX$7*$BZ$46/'疲劳值&amp;地图信息'!$R$10*$BY$55)</f>
        <v>1149</v>
      </c>
      <c r="ER273" s="50">
        <f t="shared" si="469"/>
        <v>0.82472851971804151</v>
      </c>
      <c r="ES273" s="50">
        <f t="shared" si="470"/>
        <v>0.14400021772854693</v>
      </c>
      <c r="ET273" s="50">
        <f t="shared" si="471"/>
        <v>3.1271262553411533E-2</v>
      </c>
      <c r="EU273" s="51">
        <f t="shared" si="472"/>
        <v>36570</v>
      </c>
      <c r="EV273" s="51">
        <f t="shared" si="473"/>
        <v>15409</v>
      </c>
      <c r="EW273" s="14">
        <f>INT(SUMPRODUCT($AI273:$AM273,$BF273:$BJ273)/SUM($BF273:$BJ273)/10000*$BX$7*$BZ$46/'疲劳值&amp;地图信息'!$R$10*$BY$56)</f>
        <v>1724</v>
      </c>
      <c r="EX273" s="50">
        <f t="shared" si="474"/>
        <v>0.68096754371264179</v>
      </c>
      <c r="EY273" s="50">
        <f t="shared" si="475"/>
        <v>0.28692996666852877</v>
      </c>
      <c r="EZ273" s="50">
        <f t="shared" si="476"/>
        <v>3.2102489618829486E-2</v>
      </c>
      <c r="FA273" s="51">
        <f t="shared" si="477"/>
        <v>38290</v>
      </c>
      <c r="FB273" s="51">
        <f t="shared" si="478"/>
        <v>26455</v>
      </c>
      <c r="FC273" s="14">
        <f>INT(SUMPRODUCT($AP273:$AT273,$BF273:$BJ273)/SUM($BF273:$BJ273)/10000*$BX$7*$BZ$46/'疲劳值&amp;地图信息'!$R$10*$BY$57)</f>
        <v>2298</v>
      </c>
      <c r="FD273" s="50">
        <f t="shared" si="479"/>
        <v>0.57112599376519546</v>
      </c>
      <c r="FE273" s="50">
        <f t="shared" si="480"/>
        <v>0.39459749712870845</v>
      </c>
      <c r="FF273" s="50">
        <f t="shared" si="481"/>
        <v>3.4276509106096087E-2</v>
      </c>
      <c r="FH273" s="14">
        <f t="shared" si="482"/>
        <v>27654</v>
      </c>
      <c r="FI273" s="14">
        <f t="shared" si="483"/>
        <v>31607</v>
      </c>
      <c r="FJ273" s="14">
        <f t="shared" si="484"/>
        <v>36743</v>
      </c>
      <c r="FK273" s="14">
        <f t="shared" si="485"/>
        <v>53703</v>
      </c>
      <c r="FL273" s="14">
        <f t="shared" si="486"/>
        <v>67043</v>
      </c>
      <c r="FM273" s="14">
        <f t="shared" si="487"/>
        <v>3263693</v>
      </c>
      <c r="FP273" s="14">
        <f t="shared" si="488"/>
        <v>334150</v>
      </c>
      <c r="FQ273" s="50">
        <f t="shared" si="428"/>
        <v>9.287509210379663E-2</v>
      </c>
      <c r="FS273" s="14">
        <f t="shared" si="489"/>
        <v>3597843</v>
      </c>
      <c r="FX273" s="14">
        <v>268</v>
      </c>
      <c r="FY273" s="51">
        <f t="shared" si="490"/>
        <v>35533</v>
      </c>
      <c r="FZ273" s="51">
        <f t="shared" si="491"/>
        <v>1828</v>
      </c>
      <c r="GA273" s="51">
        <f>INT(SUMPRODUCT($N273:$R273,$BF273:$BJ273)/SUM($BF273:$BJ273)/10000*$BX$7*$BZ$46/'疲劳值&amp;地图信息'!$R$10*$BY$53)</f>
        <v>445</v>
      </c>
      <c r="GB273" s="50">
        <f t="shared" si="492"/>
        <v>0.93987726815849337</v>
      </c>
      <c r="GC273" s="50">
        <f t="shared" si="493"/>
        <v>4.8352113421150082E-2</v>
      </c>
      <c r="GD273" s="50">
        <f t="shared" si="494"/>
        <v>1.1770618420356557E-2</v>
      </c>
      <c r="GE273" s="51">
        <f t="shared" si="495"/>
        <v>38728</v>
      </c>
      <c r="GF273" s="51">
        <f t="shared" si="496"/>
        <v>3097</v>
      </c>
      <c r="GG273" s="14">
        <f>INT(SUMPRODUCT($U273:$Y273,$BF273:$BJ273)/SUM($BF273:$BJ273)/10000*$BX$7*$BZ$46/'疲劳值&amp;地图信息'!$R$10*$BY$54)</f>
        <v>847</v>
      </c>
      <c r="GH273" s="50">
        <f t="shared" si="497"/>
        <v>0.90757405324334461</v>
      </c>
      <c r="GI273" s="50">
        <f t="shared" si="498"/>
        <v>7.257686539182602E-2</v>
      </c>
      <c r="GJ273" s="50">
        <f t="shared" si="499"/>
        <v>1.9849081364829397E-2</v>
      </c>
      <c r="GK273" s="51">
        <f t="shared" si="500"/>
        <v>42425</v>
      </c>
      <c r="GL273" s="51">
        <f t="shared" si="501"/>
        <v>5291</v>
      </c>
      <c r="GM273" s="14">
        <f>INT(SUMPRODUCT($AB273:$AF273,$BF273:$BJ273)/SUM($BF273:$BJ273)/10000*$BX$7*$BZ$46/'疲劳值&amp;地图信息'!$R$10*$BY$55)</f>
        <v>1149</v>
      </c>
      <c r="GN273" s="50">
        <f t="shared" si="502"/>
        <v>0.86820832906988643</v>
      </c>
      <c r="GO273" s="50">
        <f t="shared" si="503"/>
        <v>0.10827790852348307</v>
      </c>
      <c r="GP273" s="50">
        <f t="shared" si="504"/>
        <v>2.3513762406630511E-2</v>
      </c>
      <c r="GQ273" s="51">
        <f t="shared" si="505"/>
        <v>51198</v>
      </c>
      <c r="GR273" s="51">
        <f t="shared" si="506"/>
        <v>15409</v>
      </c>
      <c r="GS273" s="14">
        <f>INT(SUMPRODUCT($AI273:$AM273,$BF273:$BJ273)/SUM($BF273:$BJ273)/10000*$BX$7*$BZ$46/'疲劳值&amp;地图信息'!$R$10*$BY$56)</f>
        <v>1724</v>
      </c>
      <c r="GT273" s="50">
        <f t="shared" si="507"/>
        <v>0.74926460903543046</v>
      </c>
      <c r="GU273" s="50">
        <f t="shared" si="508"/>
        <v>0.22550526115525896</v>
      </c>
      <c r="GV273" s="50">
        <f t="shared" si="509"/>
        <v>2.5230129809310563E-2</v>
      </c>
      <c r="GW273" s="51">
        <f t="shared" si="510"/>
        <v>53606</v>
      </c>
      <c r="GX273" s="51">
        <f t="shared" si="511"/>
        <v>26455</v>
      </c>
      <c r="GY273" s="14">
        <f>INT(SUMPRODUCT($AP273:$AT273,$BF273:$BJ273)/SUM($BF273:$BJ273)/10000*$BX$7*$BZ$46/'疲劳值&amp;地图信息'!$R$10*$BY$57)</f>
        <v>2298</v>
      </c>
      <c r="GZ273" s="50">
        <f t="shared" si="512"/>
        <v>0.65088211367306548</v>
      </c>
      <c r="HA273" s="50">
        <f t="shared" si="513"/>
        <v>0.32121565341978414</v>
      </c>
      <c r="HB273" s="50">
        <f t="shared" si="514"/>
        <v>2.7902232907150402E-2</v>
      </c>
      <c r="HD273" s="14">
        <f t="shared" si="515"/>
        <v>37806</v>
      </c>
      <c r="HE273" s="14">
        <f t="shared" si="516"/>
        <v>42672</v>
      </c>
      <c r="HF273" s="14">
        <f t="shared" si="517"/>
        <v>48865</v>
      </c>
      <c r="HG273" s="14">
        <f t="shared" si="518"/>
        <v>68331</v>
      </c>
      <c r="HH273" s="14">
        <f t="shared" si="519"/>
        <v>82359</v>
      </c>
      <c r="HI273" s="14">
        <f t="shared" si="520"/>
        <v>4401713</v>
      </c>
      <c r="HL273" s="14">
        <f t="shared" si="521"/>
        <v>430050</v>
      </c>
      <c r="HM273" s="50">
        <f t="shared" si="429"/>
        <v>8.9004779414884383E-2</v>
      </c>
      <c r="HO273" s="14">
        <f t="shared" si="522"/>
        <v>4831763</v>
      </c>
    </row>
    <row r="274" spans="11:223" x14ac:dyDescent="0.2">
      <c r="K274" s="14">
        <v>269</v>
      </c>
      <c r="L274" s="12">
        <f>求节点(节奏总纲!D$4:D$163,标准城池设计!AB$4:AB$163,$K274)*求节点(节奏总纲!D$4:D$163,攻城基础信息!$AC$5:$AC$164,$K274)</f>
        <v>748329.30271225714</v>
      </c>
      <c r="M274" s="12">
        <f>INDEX(其他调用!$AA$5:$AA$404,MATCH(K274,其他调用!$X$5:$X$404,0))*MIN(INDEX(其他调用!$AH$5:$AH$364,MATCH('征服点（新）'!K274,其他调用!$AG$5:$AG$364,0),1)/INDEX(其他调用!$AJ$5:$AJ$364,MATCH(K274,其他调用!$AG$5:$AG$364,0),0),5)*求节点(节奏总纲!D$4:D$163,攻城基础信息!$AC$5:$AC$164,$K274)</f>
        <v>53818.342778848404</v>
      </c>
      <c r="N274" s="12">
        <f>MIN(INDEX(其他调用!$AH$5:$AH$364,MATCH($K274,其他调用!$AG$5:$AG$364,0),1)/INDEX(其他调用!AH$5:AH$364,MATCH($K274,其他调用!$AG$5:$AG$364,0),0),1)*INDEX(其他调用!Y$5:Y$404,MATCH($K274,其他调用!$X$5:$X$404,0),0)</f>
        <v>41844.498638732526</v>
      </c>
      <c r="O274" s="12">
        <f>MIN(INDEX(其他调用!$AH$5:$AH$364,MATCH($K274,其他调用!$AG$5:$AG$364,0),1)/INDEX(其他调用!AI$5:AI$364,MATCH($K274,其他调用!$AG$5:$AG$364,0),0),1)*INDEX(其他调用!Z$5:Z$404,MATCH($K274,其他调用!$X$5:$X$404,0),0)</f>
        <v>25372.018660471156</v>
      </c>
      <c r="P274" s="12">
        <f>MIN(INDEX(其他调用!$AH$5:$AH$364,MATCH($K274,其他调用!$AG$5:$AG$364,0),1)/INDEX(其他调用!AJ$5:AJ$364,MATCH($K274,其他调用!$AG$5:$AG$364,0),0),1)*INDEX(其他调用!AA$5:AA$404,MATCH($K274,其他调用!$X$5:$X$404,0),0)</f>
        <v>15376.669365385267</v>
      </c>
      <c r="Q274" s="12">
        <f>MIN(INDEX(其他调用!$AH$5:$AH$364,MATCH($K274,其他调用!$AG$5:$AG$364,0),1)/INDEX(其他调用!AK$5:AK$364,MATCH($K274,其他调用!$AG$5:$AG$364,0),0),1)*INDEX(其他调用!AB$5:AB$404,MATCH($K274,其他调用!$X$5:$X$404,0),0)</f>
        <v>5554.5654192448201</v>
      </c>
      <c r="R274" s="12">
        <f>MIN(INDEX(其他调用!$AH$5:$AH$364,MATCH($K274,其他调用!$AG$5:$AG$364,0),1)/INDEX(其他调用!AL$5:AL$364,MATCH($K274,其他调用!$AG$5:$AG$364,0),0),1)*INDEX(其他调用!AC$5:AC$404,MATCH($K274,其他调用!$X$5:$X$404,0),0)</f>
        <v>3119.7719156470644</v>
      </c>
      <c r="S274" s="12">
        <f>求节点(节奏总纲!D$4:D$163,标准城池设计!AC$4:AC$163,$K274)*求节点(节奏总纲!D$4:D$163,攻城基础信息!$AD$5:$AD$164,$K274)</f>
        <v>815871.59841585555</v>
      </c>
      <c r="T274" s="12">
        <f>INDEX(其他调用!$AA$5:$AA$404,MATCH($K274,其他调用!$X$5:$X$404,0))*MIN(INDEX(其他调用!AI$5:AI$364,MATCH($K274,其他调用!$AG$5:$AG$364,0),1)/INDEX(其他调用!$AJ$5:$AJ$364,MATCH($K274,其他调用!$AG$5:$AG$364,0),0),5)*求节点(节奏总纲!D$4:D$163,攻城基础信息!$AD$5:$AD$164,$K274)</f>
        <v>91212.702456791056</v>
      </c>
      <c r="U274" s="12">
        <f>MIN(INDEX(其他调用!$AI$5:$AI$364,MATCH($K274,其他调用!$AG$5:$AG$364,0),1)/INDEX(其他调用!AH$5:AH$364,MATCH($K274,其他调用!$AG$5:$AG$364,0),0),1)*INDEX(其他调用!Y$5:Y$404,MATCH($K274,其他调用!$X$5:$X$404,0),0)</f>
        <v>41844.498638732526</v>
      </c>
      <c r="V274" s="12">
        <f>MIN(INDEX(其他调用!$AI$5:$AI$364,MATCH($K274,其他调用!$AG$5:$AG$364,0),1)/INDEX(其他调用!AI$5:AI$364,MATCH($K274,其他调用!$AG$5:$AG$364,0),0),1)*INDEX(其他调用!Z$5:Z$404,MATCH($K274,其他调用!$X$5:$X$404,0),0)</f>
        <v>43001.145507498768</v>
      </c>
      <c r="W274" s="12">
        <f>MIN(INDEX(其他调用!$AI$5:$AI$364,MATCH($K274,其他调用!$AG$5:$AG$364,0),1)/INDEX(其他调用!AJ$5:AJ$364,MATCH($K274,其他调用!$AG$5:$AG$364,0),0),1)*INDEX(其他调用!AA$5:AA$404,MATCH($K274,其他调用!$X$5:$X$404,0),0)</f>
        <v>26060.772130511745</v>
      </c>
      <c r="X274" s="12">
        <f>MIN(INDEX(其他调用!$AI$5:$AI$364,MATCH($K274,其他调用!$AG$5:$AG$364,0),1)/INDEX(其他调用!AK$5:AK$364,MATCH($K274,其他调用!$AG$5:$AG$364,0),0),1)*INDEX(其他调用!AB$5:AB$404,MATCH($K274,其他调用!$X$5:$X$404,0),0)</f>
        <v>9414.0193975181301</v>
      </c>
      <c r="Y274" s="12">
        <f>MIN(INDEX(其他调用!$AI$5:$AI$364,MATCH($K274,其他调用!$AG$5:$AG$364,0),1)/INDEX(其他调用!AL$5:AL$364,MATCH($K274,其他调用!$AG$5:$AG$364,0),0),1)*INDEX(其他调用!AC$5:AC$404,MATCH($K274,其他调用!$X$5:$X$404,0),0)</f>
        <v>5287.4691560886768</v>
      </c>
      <c r="Z274" s="12">
        <f>求节点(节奏总纲!D$4:D$163,标准城池设计!AD$4:AD$163,$K274)*求节点(节奏总纲!D$4:D$163,攻城基础信息!$AE$5:$AE$164,$K274)</f>
        <v>893609.9062977042</v>
      </c>
      <c r="AA274" s="12">
        <f>INDEX(其他调用!$AA$5:$AA$404,MATCH($K274,其他调用!$X$5:$X$404,0))*MIN(INDEX(其他调用!AJ$5:AJ$364,MATCH($K274,其他调用!$AG$5:$AG$364,0),1)/INDEX(其他调用!$AJ$5:$AJ$364,MATCH($K274,其他调用!$AG$5:$AG$364,0),0),5)*求节点(节奏总纲!D$4:D$163,攻城基础信息!$AE$5:$AE$164,$K274)</f>
        <v>155838.00692880442</v>
      </c>
      <c r="AB274" s="12">
        <f>MIN(INDEX(其他调用!$AJ$5:$AJ$364,MATCH($K274,其他调用!$AG$5:$AG$364,0),1)/INDEX(其他调用!AH$5:AH$364,MATCH($K274,其他调用!$AG$5:$AG$364,0),0),1)*INDEX(其他调用!Y$5:Y$404,MATCH($K274,其他调用!$X$5:$X$404,0),0)</f>
        <v>41844.498638732526</v>
      </c>
      <c r="AC274" s="12">
        <f>MIN(INDEX(其他调用!$AJ$5:$AJ$364,MATCH($K274,其他调用!$AG$5:$AG$364,0),1)/INDEX(其他调用!AI$5:AI$364,MATCH($K274,其他调用!$AG$5:$AG$364,0),0),1)*INDEX(其他调用!Z$5:Z$404,MATCH($K274,其他调用!$X$5:$X$404,0),0)</f>
        <v>43001.145507498768</v>
      </c>
      <c r="AD274" s="12">
        <f>MIN(INDEX(其他调用!$AJ$5:$AJ$364,MATCH($K274,其他调用!$AG$5:$AG$364,0),1)/INDEX(其他调用!AJ$5:AJ$364,MATCH($K274,其他调用!$AG$5:$AG$364,0),0),1)*INDEX(其他调用!AA$5:AA$404,MATCH($K274,其他调用!$X$5:$X$404,0),0)</f>
        <v>44525.144836801293</v>
      </c>
      <c r="AE274" s="12">
        <f>MIN(INDEX(其他调用!$AJ$5:$AJ$364,MATCH($K274,其他调用!$AG$5:$AG$364,0),1)/INDEX(其他调用!AK$5:AK$364,MATCH($K274,其他调用!$AG$5:$AG$364,0),0),1)*INDEX(其他调用!AB$5:AB$404,MATCH($K274,其他调用!$X$5:$X$404,0),0)</f>
        <v>16083.966164617268</v>
      </c>
      <c r="AF274" s="12">
        <f>MIN(INDEX(其他调用!$AJ$5:$AJ$364,MATCH($K274,其他调用!$AG$5:$AG$364,0),1)/INDEX(其他调用!AL$5:AL$364,MATCH($K274,其他调用!$AG$5:$AG$364,0),0),1)*INDEX(其他调用!AC$5:AC$404,MATCH($K274,其他调用!$X$5:$X$404,0),0)</f>
        <v>9033.705095764748</v>
      </c>
      <c r="AG274" s="12">
        <f>求节点(节奏总纲!D$4:D$163,标准城池设计!AE$4:AE$163,$K274)*求节点(节奏总纲!D$4:D$163,攻城基础信息!$AF$5:$AF$164,$K274)</f>
        <v>1078497.7188138682</v>
      </c>
      <c r="AH274" s="12">
        <f>INDEX(其他调用!$AA$5:$AA$404,MATCH($K274,其他调用!$X$5:$X$404,0))*MIN(INDEX(其他调用!AK$5:AK$364,MATCH($K274,其他调用!$AG$5:$AG$364,0),1)/INDEX(其他调用!$AJ$5:$AJ$364,MATCH($K274,其他调用!$AG$5:$AG$364,0),0),5)*求节点(节奏总纲!D$4:D$163,攻城基础信息!$AF$5:$AF$164,$K274)</f>
        <v>453221.19365459745</v>
      </c>
      <c r="AI274" s="12">
        <f>MIN(INDEX(其他调用!$AK$5:$AK$364,MATCH($K274,其他调用!$AG$5:$AG$364,0),1)/INDEX(其他调用!AH$5:AH$364,MATCH($K274,其他调用!$AG$5:$AG$364,0),0),1)*INDEX(其他调用!Y$5:Y$404,MATCH($K274,其他调用!$X$5:$X$404,0),0)</f>
        <v>41844.498638732526</v>
      </c>
      <c r="AJ274" s="12">
        <f>MIN(INDEX(其他调用!$AK$5:$AK$364,MATCH($K274,其他调用!$AG$5:$AG$364,0),1)/INDEX(其他调用!AI$5:AI$364,MATCH($K274,其他调用!$AG$5:$AG$364,0),0),1)*INDEX(其他调用!Z$5:Z$404,MATCH($K274,其他调用!$X$5:$X$404,0),0)</f>
        <v>43001.145507498768</v>
      </c>
      <c r="AK274" s="12">
        <f>MIN(INDEX(其他调用!$AK$5:$AK$364,MATCH($K274,其他调用!$AG$5:$AG$364,0),1)/INDEX(其他调用!AJ$5:AJ$364,MATCH($K274,其他调用!$AG$5:$AG$364,0),0),1)*INDEX(其他调用!AA$5:AA$404,MATCH($K274,其他调用!$X$5:$X$404,0),0)</f>
        <v>44525.144836801293</v>
      </c>
      <c r="AL274" s="12">
        <f>MIN(INDEX(其他调用!$AK$5:$AK$364,MATCH($K274,其他调用!$AG$5:$AG$364,0),1)/INDEX(其他调用!AK$5:AK$364,MATCH($K274,其他调用!$AG$5:$AG$364,0),0),1)*INDEX(其他调用!AB$5:AB$404,MATCH($K274,其他调用!$X$5:$X$404,0),0)</f>
        <v>46776.742641211342</v>
      </c>
      <c r="AM274" s="12">
        <f>MIN(INDEX(其他调用!$AK$5:$AK$364,MATCH($K274,其他调用!$AG$5:$AG$364,0),1)/INDEX(其他调用!AL$5:AL$364,MATCH($K274,其他调用!$AG$5:$AG$364,0),0),1)*INDEX(其他调用!AC$5:AC$404,MATCH($K274,其他调用!$X$5:$X$404,0),0)</f>
        <v>26272.580658045823</v>
      </c>
      <c r="AN274" s="12">
        <f>求节点(节奏总纲!D$4:D$163,标准城池设计!AF$4:AF$163,$K274)*求节点(节奏总纲!D$4:D$163,攻城基础信息!$AG$5:$AG$164,$K274)</f>
        <v>1129222.0520889426</v>
      </c>
      <c r="AO274" s="12">
        <f>INDEX(其他调用!$AA$5:$AA$404,MATCH($K274,其他调用!$X$5:$X$404,0))*MIN(INDEX(其他调用!AL$5:AL$364,MATCH($K274,其他调用!$AG$5:$AG$364,0),1)/INDEX(其他调用!$AJ$5:$AJ$364,MATCH($K274,其他调用!$AG$5:$AG$364,0),0),5)*求节点(节奏总纲!D$4:D$163,攻城基础信息!$AG$5:$AG$164,$K274)</f>
        <v>779190.03464402212</v>
      </c>
      <c r="AP274" s="12">
        <f>MIN(INDEX(其他调用!$AL$5:$AL$364,MATCH($K274,其他调用!$AG$5:$AG$364,0),1)/INDEX(其他调用!AH$5:AH$364,MATCH($K274,其他调用!$AG$5:$AG$364,0),0),1)*INDEX(其他调用!Y$5:Y$404,MATCH($K274,其他调用!$X$5:$X$404,0),0)</f>
        <v>41844.498638732526</v>
      </c>
      <c r="AQ274" s="12">
        <f>MIN(INDEX(其他调用!$AL$5:$AL$364,MATCH($K274,其他调用!$AG$5:$AG$364,0),1)/INDEX(其他调用!AI$5:AI$364,MATCH($K274,其他调用!$AG$5:$AG$364,0),0),1)*INDEX(其他调用!Z$5:Z$404,MATCH($K274,其他调用!$X$5:$X$404,0),0)</f>
        <v>43001.145507498768</v>
      </c>
      <c r="AR274" s="12">
        <f>MIN(INDEX(其他调用!$AL$5:$AL$364,MATCH($K274,其他调用!$AG$5:$AG$364,0),1)/INDEX(其他调用!AJ$5:AJ$364,MATCH($K274,其他调用!$AG$5:$AG$364,0),0),1)*INDEX(其他调用!AA$5:AA$404,MATCH($K274,其他调用!$X$5:$X$404,0),0)</f>
        <v>44525.144836801293</v>
      </c>
      <c r="AS274" s="12">
        <f>MIN(INDEX(其他调用!$AL$5:$AL$364,MATCH($K274,其他调用!$AG$5:$AG$364,0),1)/INDEX(其他调用!AK$5:AK$364,MATCH($K274,其他调用!$AG$5:$AG$364,0),0),1)*INDEX(其他调用!AB$5:AB$404,MATCH($K274,其他调用!$X$5:$X$404,0),0)</f>
        <v>46776.742641211342</v>
      </c>
      <c r="AT274" s="12">
        <f>MIN(INDEX(其他调用!$AL$5:$AL$364,MATCH($K274,其他调用!$AG$5:$AG$364,0),1)/INDEX(其他调用!AL$5:AL$364,MATCH($K274,其他调用!$AG$5:$AG$364,0),0),1)*INDEX(其他调用!AC$5:AC$404,MATCH($K274,其他调用!$X$5:$X$404,0),0)</f>
        <v>50659.987656121106</v>
      </c>
      <c r="AV274" s="14">
        <f>IF(OR(AV$5="大R",AV$5="超R"),MAX(INDEX(其他调用!$H$5:$L$404,MATCH($K274,其他调用!$B$5:$B$404,0),MATCH(AV$5,其他调用!$H$4:$L$4,0))*120*0.85,2),INDEX(其他调用!$H$5:$L$404,MATCH($K274,其他调用!$B$5:$B$404,0),MATCH(AV$5,其他调用!$H$4:$L$4,0))*120*0.85)</f>
        <v>48.921801254999991</v>
      </c>
      <c r="AW274" s="14">
        <f>IF(OR(AW$5="大R",AW$5="超R"),MAX(INDEX(其他调用!$H$5:$L$404,MATCH($K274,其他调用!$B$5:$B$404,0),MATCH(AW$5,其他调用!$H$4:$L$4,0))*120*0.85,2),INDEX(其他调用!$H$5:$L$404,MATCH($K274,其他调用!$B$5:$B$404,0),MATCH(AW$5,其他调用!$H$4:$L$4,0))*120*0.85)</f>
        <v>48.237344010638395</v>
      </c>
      <c r="AX274" s="14">
        <f>IF(OR(AX$5="大R",AX$5="超R"),MAX(INDEX(其他调用!$H$5:$L$404,MATCH($K274,其他调用!$B$5:$B$404,0),MATCH(AX$5,其他调用!$H$4:$L$4,0))*120*0.85,2),INDEX(其他调用!$H$5:$L$404,MATCH($K274,其他调用!$B$5:$B$404,0),MATCH(AX$5,其他调用!$H$4:$L$4,0))*120*0.85)</f>
        <v>3.9376284143615998</v>
      </c>
      <c r="AY274" s="14">
        <f>IF(OR(AY$5="大R",AY$5="超R"),MAX(INDEX(其他调用!$H$5:$L$404,MATCH($K274,其他调用!$B$5:$B$404,0),MATCH(AY$5,其他调用!$H$4:$L$4,0))*120*0.85,2),INDEX(其他调用!$H$5:$L$404,MATCH($K274,其他调用!$B$5:$B$404,0),MATCH(AY$5,其他调用!$H$4:$L$4,0))*120*0.85)</f>
        <v>2</v>
      </c>
      <c r="AZ274" s="14">
        <f>IF(OR(AZ$5="大R",AZ$5="超R"),MAX(INDEX(其他调用!$H$5:$L$404,MATCH($K274,其他调用!$B$5:$B$404,0),MATCH(AZ$5,其他调用!$H$4:$L$4,0))*120*0.85,2),INDEX(其他调用!$H$5:$L$404,MATCH($K274,其他调用!$B$5:$B$404,0),MATCH(AZ$5,其他调用!$H$4:$L$4,0))*120*0.85)</f>
        <v>2</v>
      </c>
      <c r="BA274" s="14">
        <f>INDEX(其他调用!$H$5:$L$404,MATCH($K274,其他调用!$B$5:$B$404,0),MATCH(BA$5,其他调用!$H$4:$L$4,0))*INDEX(其他调用!$M$5:$M$404,MATCH($K274,其他调用!$B$5:$B$404,0))*0.6</f>
        <v>28.777530149999997</v>
      </c>
      <c r="BB274" s="14">
        <f>INDEX(其他调用!$H$5:$L$404,MATCH($K274,其他调用!$B$5:$B$404,0),MATCH(BB$5,其他调用!$H$4:$L$4,0))*INDEX(其他调用!$M$5:$M$404,MATCH($K274,其他调用!$B$5:$B$404,0))*0.6</f>
        <v>28.374908241551999</v>
      </c>
      <c r="BC274" s="14">
        <f>INDEX(其他调用!$H$5:$L$404,MATCH($K274,其他调用!$B$5:$B$404,0),MATCH(BC$5,其他调用!$H$4:$L$4,0))*INDEX(其他调用!$M$5:$M$404,MATCH($K274,其他调用!$B$5:$B$404,0))*0.6</f>
        <v>2.3162520084480001</v>
      </c>
      <c r="BD274" s="14">
        <f>INDEX(其他调用!$H$5:$L$404,MATCH($K274,其他调用!$B$5:$B$404,0),MATCH(BD$5,其他调用!$H$4:$L$4,0))*INDEX(其他调用!$M$5:$M$404,MATCH($K274,其他调用!$B$5:$B$404,0))*0.6</f>
        <v>0.4120776000000001</v>
      </c>
      <c r="BE274" s="14">
        <f>INDEX(其他调用!$H$5:$L$404,MATCH($K274,其他调用!$B$5:$B$404,0),MATCH(BE$5,其他调用!$H$4:$L$4,0))*INDEX(其他调用!$M$5:$M$404,MATCH($K274,其他调用!$B$5:$B$404,0))*0.6</f>
        <v>0.11923199999999998</v>
      </c>
      <c r="BF274" s="14">
        <f>IF(OR(BF$5="大R",BF$5="超R"),0,INDEX(其他调用!$H$5:$L$404,MATCH($K274,其他调用!$B$5:$B$404,0),MATCH(BF$5,其他调用!$H$4:$L$4,0))*50*0.4)</f>
        <v>9.5925100500000013</v>
      </c>
      <c r="BG274" s="14">
        <f>IF(OR(BG$5="大R",BG$5="超R"),0,INDEX(其他调用!$H$5:$L$404,MATCH($K274,其他调用!$B$5:$B$404,0),MATCH(BG$5,其他调用!$H$4:$L$4,0))*50*0.4)</f>
        <v>9.4583027471839998</v>
      </c>
      <c r="BH274" s="14">
        <f>IF(OR(BH$5="大R",BH$5="超R"),0,INDEX(其他调用!$H$5:$L$404,MATCH($K274,其他调用!$B$5:$B$404,0),MATCH(BH$5,其他调用!$H$4:$L$4,0))*50*0.4)</f>
        <v>0.77208400281600009</v>
      </c>
      <c r="BI274" s="14">
        <f>IF(OR(BI$5="大R",BI$5="超R"),0,INDEX(其他调用!$H$5:$L$404,MATCH($K274,其他调用!$B$5:$B$404,0),MATCH(BI$5,其他调用!$H$4:$L$4,0))*50*0.4)</f>
        <v>0</v>
      </c>
      <c r="BJ274" s="14">
        <f>IF(OR(BJ$5="大R",BJ$5="超R"),0,INDEX(其他调用!$H$5:$L$404,MATCH($K274,其他调用!$B$5:$B$404,0),MATCH(BJ$5,其他调用!$H$4:$L$4,0))*50*0.4)</f>
        <v>0</v>
      </c>
      <c r="BL274" s="14">
        <f t="shared" si="523"/>
        <v>269</v>
      </c>
      <c r="BM274" s="14">
        <f t="shared" si="430"/>
        <v>96</v>
      </c>
      <c r="BN274" s="14">
        <f>('疲劳值&amp;地图信息'!$S$10*'疲劳值&amp;地图信息'!$R$10+'疲劳值&amp;地图信息'!$S$11*'疲劳值&amp;地图信息'!$R$11+'疲劳值&amp;地图信息'!$S$12*'疲劳值&amp;地图信息'!$R$12+(BM274-'疲劳值&amp;地图信息'!$S$12-'疲劳值&amp;地图信息'!$S$11-'疲劳值&amp;地图信息'!$S$10)*'疲劳值&amp;地图信息'!$R$13)/BM274</f>
        <v>51.371477246638619</v>
      </c>
      <c r="BO274" s="14">
        <f>INDEX(其他调用!$M$5:$M$404,MATCH(BL274,其他调用!$B$5:$B$404,0))*0.6</f>
        <v>60</v>
      </c>
      <c r="BP274" s="14">
        <f>IF(BO274&gt;SUM('疲劳值&amp;地图信息'!$S$10:$S$12),('疲劳值&amp;地图信息'!$S$10*'疲劳值&amp;地图信息'!$R$10+'疲劳值&amp;地图信息'!$S$11*'疲劳值&amp;地图信息'!$R$11+'疲劳值&amp;地图信息'!$S$12*'疲劳值&amp;地图信息'!$R$12+(BO274-'疲劳值&amp;地图信息'!$S$12-'疲劳值&amp;地图信息'!$S$11-'疲劳值&amp;地图信息'!$S$10)*'疲劳值&amp;地图信息'!$R$13)/BO274,('疲劳值&amp;地图信息'!$S$10*'疲劳值&amp;地图信息'!$R$10+'疲劳值&amp;地图信息'!$S$11*'疲劳值&amp;地图信息'!$R$11+'疲劳值&amp;地图信息'!$S$12*'疲劳值&amp;地图信息'!$R$12+(BO274-'疲劳值&amp;地图信息'!$S$12-'疲劳值&amp;地图信息'!$S$11-'疲劳值&amp;地图信息'!$S$10)*'疲劳值&amp;地图信息'!$R$13)/BO274)</f>
        <v>44.158136341605953</v>
      </c>
      <c r="BQ274" s="14">
        <f t="shared" si="524"/>
        <v>20</v>
      </c>
      <c r="BR274" s="14">
        <f>('疲劳值&amp;地图信息'!$S$10*'疲劳值&amp;地图信息'!$R$10+($BQ274-'疲劳值&amp;地图信息'!$S$10)*'疲劳值&amp;地图信息'!$R$11)/$BQ274</f>
        <v>32.067203015074995</v>
      </c>
      <c r="CF274" s="14">
        <v>269</v>
      </c>
      <c r="CG274" s="51">
        <f t="shared" si="431"/>
        <v>15251</v>
      </c>
      <c r="CH274" s="51">
        <f t="shared" si="432"/>
        <v>1096</v>
      </c>
      <c r="CI274" s="51">
        <f>INT(SUMPRODUCT($N274:$R274,$BA274:$BE274)/SUM($BA274:$BE274)/10000*$BX$7*$BZ$34/'疲劳值&amp;地图信息'!$R$10*$BY$53)</f>
        <v>3318</v>
      </c>
      <c r="CJ274" s="50">
        <f t="shared" si="433"/>
        <v>0.77554030002542584</v>
      </c>
      <c r="CK274" s="50">
        <f t="shared" si="434"/>
        <v>5.5733536740401726E-2</v>
      </c>
      <c r="CL274" s="50">
        <f t="shared" si="435"/>
        <v>0.16872616323417239</v>
      </c>
      <c r="CM274" s="14">
        <f t="shared" si="436"/>
        <v>16628</v>
      </c>
      <c r="CN274" s="14">
        <f t="shared" si="437"/>
        <v>1859</v>
      </c>
      <c r="CO274" s="14">
        <f>INT(SUMPRODUCT($U274:$Y274,$BA274:$BE274)/SUM($BA274:$BE274)/10000*$BX$7*$BZ$34/'疲劳值&amp;地图信息'!$R$10*$BY$54)</f>
        <v>6314</v>
      </c>
      <c r="CP274" s="50">
        <f t="shared" si="438"/>
        <v>0.67045683641788634</v>
      </c>
      <c r="CQ274" s="50">
        <f t="shared" si="439"/>
        <v>7.4956654973589776E-2</v>
      </c>
      <c r="CR274" s="50">
        <f t="shared" si="440"/>
        <v>0.25458650860852383</v>
      </c>
      <c r="CS274" s="14">
        <f t="shared" si="441"/>
        <v>18212</v>
      </c>
      <c r="CT274" s="14">
        <f t="shared" si="442"/>
        <v>3176</v>
      </c>
      <c r="CU274" s="14">
        <f>INT(SUMPRODUCT($AB274:$AF274,$BA274:$BE274)/SUM($BA274:$BE274)/10000*$BX$7*$BZ$34/'疲劳值&amp;地图信息'!$R$10*$BY$55)</f>
        <v>8574</v>
      </c>
      <c r="CV274" s="50">
        <f t="shared" si="443"/>
        <v>0.60783659301782256</v>
      </c>
      <c r="CW274" s="50">
        <f t="shared" si="444"/>
        <v>0.10600093451705493</v>
      </c>
      <c r="CX274" s="50">
        <f t="shared" si="445"/>
        <v>0.2861624724651225</v>
      </c>
      <c r="CY274" s="14">
        <f t="shared" si="446"/>
        <v>21981</v>
      </c>
      <c r="CZ274" s="14">
        <f t="shared" si="447"/>
        <v>9237</v>
      </c>
      <c r="DA274" s="14">
        <f>INT(SUMPRODUCT($AI274:$AM274,$BA274:$BE274)/SUM($BA274:$BE274)/10000*$BX$7*$BZ$34/'疲劳值&amp;地图信息'!$R$10*$BY$56)</f>
        <v>12936</v>
      </c>
      <c r="DB274" s="50">
        <f t="shared" si="448"/>
        <v>0.49782579154776463</v>
      </c>
      <c r="DC274" s="50">
        <f t="shared" si="449"/>
        <v>0.20919961951352087</v>
      </c>
      <c r="DD274" s="50">
        <f t="shared" si="450"/>
        <v>0.29297458893871448</v>
      </c>
      <c r="DE274" s="14">
        <f t="shared" si="451"/>
        <v>23015</v>
      </c>
      <c r="DF274" s="14">
        <f t="shared" si="452"/>
        <v>15880</v>
      </c>
      <c r="DG274" s="14">
        <f>INT(SUMPRODUCT($AP274:$AT274,$BA274:$BE274)/SUM($BA274:$BE274)/10000*$BX$7*$BZ$34/'疲劳值&amp;地图信息'!$R$10*$BY$57)</f>
        <v>17268</v>
      </c>
      <c r="DH274" s="50">
        <f t="shared" si="453"/>
        <v>0.4097893631038228</v>
      </c>
      <c r="DI274" s="50">
        <f t="shared" si="454"/>
        <v>0.28274842868080408</v>
      </c>
      <c r="DJ274" s="50">
        <f t="shared" si="455"/>
        <v>0.30746220821537312</v>
      </c>
      <c r="DL274" s="14">
        <f t="shared" si="526"/>
        <v>19665</v>
      </c>
      <c r="DM274" s="14">
        <f t="shared" si="527"/>
        <v>24801</v>
      </c>
      <c r="DN274" s="14">
        <f t="shared" si="528"/>
        <v>29962</v>
      </c>
      <c r="DO274" s="14">
        <f t="shared" si="529"/>
        <v>44154</v>
      </c>
      <c r="DP274" s="14">
        <f t="shared" si="530"/>
        <v>56163</v>
      </c>
      <c r="DQ274" s="14">
        <f t="shared" si="531"/>
        <v>1363927</v>
      </c>
      <c r="DT274" s="14">
        <f t="shared" si="525"/>
        <v>235575</v>
      </c>
      <c r="DU274" s="50">
        <f t="shared" si="427"/>
        <v>0.1472802159672198</v>
      </c>
      <c r="DW274" s="14">
        <f t="shared" si="456"/>
        <v>1599502</v>
      </c>
      <c r="EB274" s="14">
        <v>269</v>
      </c>
      <c r="EC274" s="51">
        <f t="shared" si="457"/>
        <v>25419</v>
      </c>
      <c r="ED274" s="51">
        <f t="shared" si="458"/>
        <v>1828</v>
      </c>
      <c r="EE274" s="51">
        <f>INT(SUMPRODUCT($N274:$R274,$BF274:$BJ274)/SUM($BF274:$BJ274)/10000*$BX$7*$BZ$46/'疲劳值&amp;地图信息'!$R$10*$BY$53)</f>
        <v>445</v>
      </c>
      <c r="EF274" s="50">
        <f t="shared" si="459"/>
        <v>0.91791853242813815</v>
      </c>
      <c r="EG274" s="50">
        <f t="shared" si="460"/>
        <v>6.6011844576050846E-2</v>
      </c>
      <c r="EH274" s="50">
        <f t="shared" si="461"/>
        <v>1.6069622995811064E-2</v>
      </c>
      <c r="EI274" s="51">
        <f t="shared" si="462"/>
        <v>27714</v>
      </c>
      <c r="EJ274" s="51">
        <f t="shared" si="463"/>
        <v>3098</v>
      </c>
      <c r="EK274" s="14">
        <f>INT(SUMPRODUCT($U274:$Y274,$BF274:$BJ274)/SUM($BF274:$BJ274)/10000*$BX$7*$BZ$46/'疲劳值&amp;地图信息'!$R$10*$BY$54)</f>
        <v>847</v>
      </c>
      <c r="EL274" s="50">
        <f t="shared" si="464"/>
        <v>0.87539088410878418</v>
      </c>
      <c r="EM274" s="50">
        <f t="shared" si="465"/>
        <v>9.785527022331722E-2</v>
      </c>
      <c r="EN274" s="50">
        <f t="shared" si="466"/>
        <v>2.6753845667898544E-2</v>
      </c>
      <c r="EO274" s="51">
        <f t="shared" si="467"/>
        <v>30354</v>
      </c>
      <c r="EP274" s="51">
        <f t="shared" si="468"/>
        <v>5293</v>
      </c>
      <c r="EQ274" s="14">
        <f>INT(SUMPRODUCT($AB274:$AF274,$BF274:$BJ274)/SUM($BF274:$BJ274)/10000*$BX$7*$BZ$46/'疲劳值&amp;地图信息'!$R$10*$BY$55)</f>
        <v>1149</v>
      </c>
      <c r="ER274" s="50">
        <f t="shared" si="469"/>
        <v>0.82492662245896298</v>
      </c>
      <c r="ES274" s="50">
        <f t="shared" si="470"/>
        <v>0.14384715729970649</v>
      </c>
      <c r="ET274" s="50">
        <f t="shared" si="471"/>
        <v>3.1226220241330579E-2</v>
      </c>
      <c r="EU274" s="51">
        <f t="shared" si="472"/>
        <v>36635</v>
      </c>
      <c r="EV274" s="51">
        <f t="shared" si="473"/>
        <v>15395</v>
      </c>
      <c r="EW274" s="14">
        <f>INT(SUMPRODUCT($AI274:$AM274,$BF274:$BJ274)/SUM($BF274:$BJ274)/10000*$BX$7*$BZ$46/'疲劳值&amp;地图信息'!$R$10*$BY$56)</f>
        <v>1724</v>
      </c>
      <c r="EX274" s="50">
        <f t="shared" si="474"/>
        <v>0.68153067678684376</v>
      </c>
      <c r="EY274" s="50">
        <f t="shared" si="475"/>
        <v>0.28639729136436359</v>
      </c>
      <c r="EZ274" s="50">
        <f t="shared" si="476"/>
        <v>3.2072031848792648E-2</v>
      </c>
      <c r="FA274" s="51">
        <f t="shared" si="477"/>
        <v>38358</v>
      </c>
      <c r="FB274" s="51">
        <f t="shared" si="478"/>
        <v>26468</v>
      </c>
      <c r="FC274" s="14">
        <f>INT(SUMPRODUCT($AP274:$AT274,$BF274:$BJ274)/SUM($BF274:$BJ274)/10000*$BX$7*$BZ$46/'疲劳值&amp;地图信息'!$R$10*$BY$57)</f>
        <v>2299</v>
      </c>
      <c r="FD274" s="50">
        <f t="shared" si="479"/>
        <v>0.57144134078212294</v>
      </c>
      <c r="FE274" s="50">
        <f t="shared" si="480"/>
        <v>0.39430912476722535</v>
      </c>
      <c r="FF274" s="50">
        <f t="shared" si="481"/>
        <v>3.4249534450651771E-2</v>
      </c>
      <c r="FH274" s="14">
        <f t="shared" si="482"/>
        <v>27692</v>
      </c>
      <c r="FI274" s="14">
        <f t="shared" si="483"/>
        <v>31659</v>
      </c>
      <c r="FJ274" s="14">
        <f t="shared" si="484"/>
        <v>36796</v>
      </c>
      <c r="FK274" s="14">
        <f t="shared" si="485"/>
        <v>53754</v>
      </c>
      <c r="FL274" s="14">
        <f t="shared" si="486"/>
        <v>67125</v>
      </c>
      <c r="FM274" s="14">
        <f t="shared" si="487"/>
        <v>3268535</v>
      </c>
      <c r="FP274" s="14">
        <f t="shared" si="488"/>
        <v>334150</v>
      </c>
      <c r="FQ274" s="50">
        <f t="shared" si="428"/>
        <v>9.2750268202743236E-2</v>
      </c>
      <c r="FS274" s="14">
        <f t="shared" si="489"/>
        <v>3602685</v>
      </c>
      <c r="FX274" s="14">
        <v>269</v>
      </c>
      <c r="FY274" s="51">
        <f t="shared" si="490"/>
        <v>35587</v>
      </c>
      <c r="FZ274" s="51">
        <f t="shared" si="491"/>
        <v>1828</v>
      </c>
      <c r="GA274" s="51">
        <f>INT(SUMPRODUCT($N274:$R274,$BF274:$BJ274)/SUM($BF274:$BJ274)/10000*$BX$7*$BZ$46/'疲劳值&amp;地图信息'!$R$10*$BY$53)</f>
        <v>445</v>
      </c>
      <c r="GB274" s="50">
        <f t="shared" si="492"/>
        <v>0.93996302165874268</v>
      </c>
      <c r="GC274" s="50">
        <f t="shared" si="493"/>
        <v>4.8283148441627045E-2</v>
      </c>
      <c r="GD274" s="50">
        <f t="shared" si="494"/>
        <v>1.1753829899630216E-2</v>
      </c>
      <c r="GE274" s="51">
        <f t="shared" si="495"/>
        <v>38799</v>
      </c>
      <c r="GF274" s="51">
        <f t="shared" si="496"/>
        <v>3098</v>
      </c>
      <c r="GG274" s="14">
        <f>INT(SUMPRODUCT($U274:$Y274,$BF274:$BJ274)/SUM($BF274:$BJ274)/10000*$BX$7*$BZ$46/'疲劳值&amp;地图信息'!$R$10*$BY$54)</f>
        <v>847</v>
      </c>
      <c r="GH274" s="50">
        <f t="shared" si="497"/>
        <v>0.90770634475014034</v>
      </c>
      <c r="GI274" s="50">
        <f t="shared" si="498"/>
        <v>7.2478008609395475E-2</v>
      </c>
      <c r="GJ274" s="50">
        <f t="shared" si="499"/>
        <v>1.981564664046416E-2</v>
      </c>
      <c r="GK274" s="51">
        <f t="shared" si="500"/>
        <v>42496</v>
      </c>
      <c r="GL274" s="51">
        <f t="shared" si="501"/>
        <v>5293</v>
      </c>
      <c r="GM274" s="14">
        <f>INT(SUMPRODUCT($AB274:$AF274,$BF274:$BJ274)/SUM($BF274:$BJ274)/10000*$BX$7*$BZ$46/'疲劳值&amp;地图信息'!$R$10*$BY$55)</f>
        <v>1149</v>
      </c>
      <c r="GN274" s="50">
        <f t="shared" si="502"/>
        <v>0.86836405247455961</v>
      </c>
      <c r="GO274" s="50">
        <f t="shared" si="503"/>
        <v>0.10815726020679227</v>
      </c>
      <c r="GP274" s="50">
        <f t="shared" si="504"/>
        <v>2.3478687318648085E-2</v>
      </c>
      <c r="GQ274" s="51">
        <f t="shared" si="505"/>
        <v>51289</v>
      </c>
      <c r="GR274" s="51">
        <f t="shared" si="506"/>
        <v>15395</v>
      </c>
      <c r="GS274" s="14">
        <f>INT(SUMPRODUCT($AI274:$AM274,$BF274:$BJ274)/SUM($BF274:$BJ274)/10000*$BX$7*$BZ$46/'疲劳值&amp;地图信息'!$R$10*$BY$56)</f>
        <v>1724</v>
      </c>
      <c r="GT274" s="50">
        <f t="shared" si="507"/>
        <v>0.74975149105367789</v>
      </c>
      <c r="GU274" s="50">
        <f t="shared" si="508"/>
        <v>0.22504677815460181</v>
      </c>
      <c r="GV274" s="50">
        <f t="shared" si="509"/>
        <v>2.5201730791720268E-2</v>
      </c>
      <c r="GW274" s="51">
        <f t="shared" si="510"/>
        <v>53701</v>
      </c>
      <c r="GX274" s="51">
        <f t="shared" si="511"/>
        <v>26468</v>
      </c>
      <c r="GY274" s="14">
        <f>INT(SUMPRODUCT($AP274:$AT274,$BF274:$BJ274)/SUM($BF274:$BJ274)/10000*$BX$7*$BZ$46/'疲劳值&amp;地图信息'!$R$10*$BY$57)</f>
        <v>2299</v>
      </c>
      <c r="GZ274" s="50">
        <f t="shared" si="512"/>
        <v>0.65117378862104092</v>
      </c>
      <c r="HA274" s="50">
        <f t="shared" si="513"/>
        <v>0.32094873162923798</v>
      </c>
      <c r="HB274" s="50">
        <f t="shared" si="514"/>
        <v>2.7877479749721105E-2</v>
      </c>
      <c r="HD274" s="14">
        <f t="shared" si="515"/>
        <v>37860</v>
      </c>
      <c r="HE274" s="14">
        <f t="shared" si="516"/>
        <v>42744</v>
      </c>
      <c r="HF274" s="14">
        <f t="shared" si="517"/>
        <v>48938</v>
      </c>
      <c r="HG274" s="14">
        <f t="shared" si="518"/>
        <v>68408</v>
      </c>
      <c r="HH274" s="14">
        <f t="shared" si="519"/>
        <v>82468</v>
      </c>
      <c r="HI274" s="14">
        <f t="shared" si="520"/>
        <v>4408488</v>
      </c>
      <c r="HL274" s="14">
        <f t="shared" si="521"/>
        <v>430050</v>
      </c>
      <c r="HM274" s="50">
        <f t="shared" si="429"/>
        <v>8.8880153467845044E-2</v>
      </c>
      <c r="HO274" s="14">
        <f t="shared" si="522"/>
        <v>4838538</v>
      </c>
    </row>
    <row r="275" spans="11:223" x14ac:dyDescent="0.2">
      <c r="K275" s="14">
        <v>270</v>
      </c>
      <c r="L275" s="12">
        <f>求节点(节奏总纲!D$4:D$163,标准城池设计!AB$4:AB$163,$K275)*求节点(节奏总纲!D$4:D$163,攻城基础信息!$AC$5:$AC$164,$K275)</f>
        <v>749467.98834404501</v>
      </c>
      <c r="M275" s="12">
        <f>INDEX(其他调用!$AA$5:$AA$404,MATCH(K275,其他调用!$X$5:$X$404,0))*MIN(INDEX(其他调用!$AH$5:$AH$364,MATCH('征服点（新）'!K275,其他调用!$AG$5:$AG$364,0),1)/INDEX(其他调用!$AJ$5:$AJ$364,MATCH(K275,其他调用!$AG$5:$AG$364,0),0),5)*求节点(节奏总纲!D$4:D$163,攻城基础信息!$AC$5:$AC$164,$K275)</f>
        <v>53800.680582957531</v>
      </c>
      <c r="N275" s="12">
        <f>MIN(INDEX(其他调用!$AH$5:$AH$364,MATCH($K275,其他调用!$AG$5:$AG$364,0),1)/INDEX(其他调用!AH$5:AH$364,MATCH($K275,其他调用!$AG$5:$AG$364,0),0),1)*INDEX(其他调用!Y$5:Y$404,MATCH($K275,其他调用!$X$5:$X$404,0),0)</f>
        <v>41866.542871908416</v>
      </c>
      <c r="O275" s="12">
        <f>MIN(INDEX(其他调用!$AH$5:$AH$364,MATCH($K275,其他调用!$AG$5:$AG$364,0),1)/INDEX(其他调用!AI$5:AI$364,MATCH($K275,其他调用!$AG$5:$AG$364,0),0),1)*INDEX(其他调用!Z$5:Z$404,MATCH($K275,其他调用!$X$5:$X$404,0),0)</f>
        <v>25371.220655013069</v>
      </c>
      <c r="P275" s="12">
        <f>MIN(INDEX(其他调用!$AH$5:$AH$364,MATCH($K275,其他调用!$AG$5:$AG$364,0),1)/INDEX(其他调用!AJ$5:AJ$364,MATCH($K275,其他调用!$AG$5:$AG$364,0),0),1)*INDEX(其他调用!AA$5:AA$404,MATCH($K275,其他调用!$X$5:$X$404,0),0)</f>
        <v>15371.623023702161</v>
      </c>
      <c r="Q275" s="12">
        <f>MIN(INDEX(其他调用!$AH$5:$AH$364,MATCH($K275,其他调用!$AG$5:$AG$364,0),1)/INDEX(其他调用!AK$5:AK$364,MATCH($K275,其他调用!$AG$5:$AG$364,0),0),1)*INDEX(其他调用!AB$5:AB$404,MATCH($K275,其他调用!$X$5:$X$404,0),0)</f>
        <v>5560.5243234455784</v>
      </c>
      <c r="R275" s="12">
        <f>MIN(INDEX(其他调用!$AH$5:$AH$364,MATCH($K275,其他调用!$AG$5:$AG$364,0),1)/INDEX(其他调用!AL$5:AL$364,MATCH($K275,其他调用!$AG$5:$AG$364,0),0),1)*INDEX(其他调用!AC$5:AC$404,MATCH($K275,其他调用!$X$5:$X$404,0),0)</f>
        <v>3126.760772036951</v>
      </c>
      <c r="S275" s="12">
        <f>求节点(节奏总纲!D$4:D$163,标准城池设计!AC$4:AC$163,$K275)*求节点(节奏总纲!D$4:D$163,攻城基础信息!$AD$5:$AD$164,$K275)</f>
        <v>817363.45452781767</v>
      </c>
      <c r="T275" s="12">
        <f>INDEX(其他调用!$AA$5:$AA$404,MATCH($K275,其他调用!$X$5:$X$404,0))*MIN(INDEX(其他调用!AI$5:AI$364,MATCH($K275,其他调用!$AG$5:$AG$364,0),1)/INDEX(其他调用!$AJ$5:$AJ$364,MATCH($K275,其他调用!$AG$5:$AG$364,0),0),5)*求节点(节奏总纲!D$4:D$163,攻城基础信息!$AD$5:$AD$164,$K275)</f>
        <v>91232.10172948218</v>
      </c>
      <c r="U275" s="12">
        <f>MIN(INDEX(其他调用!$AI$5:$AI$364,MATCH($K275,其他调用!$AG$5:$AG$364,0),1)/INDEX(其他调用!AH$5:AH$364,MATCH($K275,其他调用!$AG$5:$AG$364,0),0),1)*INDEX(其他调用!Y$5:Y$404,MATCH($K275,其他调用!$X$5:$X$404,0),0)</f>
        <v>41866.542871908416</v>
      </c>
      <c r="V275" s="12">
        <f>MIN(INDEX(其他调用!$AI$5:$AI$364,MATCH($K275,其他调用!$AG$5:$AG$364,0),1)/INDEX(其他调用!AI$5:AI$364,MATCH($K275,其他调用!$AG$5:$AG$364,0),0),1)*INDEX(其他调用!Z$5:Z$404,MATCH($K275,其他调用!$X$5:$X$404,0),0)</f>
        <v>43023.057677313307</v>
      </c>
      <c r="W275" s="12">
        <f>MIN(INDEX(其他调用!$AI$5:$AI$364,MATCH($K275,其他调用!$AG$5:$AG$364,0),1)/INDEX(其他调用!AJ$5:AJ$364,MATCH($K275,其他调用!$AG$5:$AG$364,0),0),1)*INDEX(其他调用!AA$5:AA$404,MATCH($K275,其他调用!$X$5:$X$404,0),0)</f>
        <v>26066.314779852066</v>
      </c>
      <c r="X275" s="12">
        <f>MIN(INDEX(其他调用!$AI$5:$AI$364,MATCH($K275,其他调用!$AG$5:$AG$364,0),1)/INDEX(其他调用!AK$5:AK$364,MATCH($K275,其他调用!$AG$5:$AG$364,0),0),1)*INDEX(其他调用!AB$5:AB$404,MATCH($K275,其他调用!$X$5:$X$404,0),0)</f>
        <v>9429.2175349644986</v>
      </c>
      <c r="Y275" s="12">
        <f>MIN(INDEX(其他调用!$AI$5:$AI$364,MATCH($K275,其他调用!$AG$5:$AG$364,0),1)/INDEX(其他调用!AL$5:AL$364,MATCH($K275,其他调用!$AG$5:$AG$364,0),0),1)*INDEX(其他调用!AC$5:AC$404,MATCH($K275,其他调用!$X$5:$X$404,0),0)</f>
        <v>5302.1811944994543</v>
      </c>
      <c r="Z275" s="12">
        <f>求节点(节奏总纲!D$4:D$163,标准城池设计!AD$4:AD$163,$K275)*求节点(节奏总纲!D$4:D$163,攻城基础信息!$AE$5:$AE$164,$K275)</f>
        <v>895113.90145291411</v>
      </c>
      <c r="AA275" s="12">
        <f>INDEX(其他调用!$AA$5:$AA$404,MATCH($K275,其他调用!$X$5:$X$404,0))*MIN(INDEX(其他调用!AJ$5:AJ$364,MATCH($K275,其他调用!$AG$5:$AG$364,0),1)/INDEX(其他调用!$AJ$5:$AJ$364,MATCH($K275,其他调用!$AG$5:$AG$364,0),0),5)*求节点(节奏总纲!D$4:D$163,攻城基础信息!$AE$5:$AE$164,$K275)</f>
        <v>155915.02282399149</v>
      </c>
      <c r="AB275" s="12">
        <f>MIN(INDEX(其他调用!$AJ$5:$AJ$364,MATCH($K275,其他调用!$AG$5:$AG$364,0),1)/INDEX(其他调用!AH$5:AH$364,MATCH($K275,其他调用!$AG$5:$AG$364,0),0),1)*INDEX(其他调用!Y$5:Y$404,MATCH($K275,其他调用!$X$5:$X$404,0),0)</f>
        <v>41866.542871908416</v>
      </c>
      <c r="AC275" s="12">
        <f>MIN(INDEX(其他调用!$AJ$5:$AJ$364,MATCH($K275,其他调用!$AG$5:$AG$364,0),1)/INDEX(其他调用!AI$5:AI$364,MATCH($K275,其他调用!$AG$5:$AG$364,0),0),1)*INDEX(其他调用!Z$5:Z$404,MATCH($K275,其他调用!$X$5:$X$404,0),0)</f>
        <v>43023.057677313307</v>
      </c>
      <c r="AD275" s="12">
        <f>MIN(INDEX(其他调用!$AJ$5:$AJ$364,MATCH($K275,其他调用!$AG$5:$AG$364,0),1)/INDEX(其他调用!AJ$5:AJ$364,MATCH($K275,其他调用!$AG$5:$AG$364,0),0),1)*INDEX(其他调用!AA$5:AA$404,MATCH($K275,其他调用!$X$5:$X$404,0),0)</f>
        <v>44547.149378283313</v>
      </c>
      <c r="AE275" s="12">
        <f>MIN(INDEX(其他调用!$AJ$5:$AJ$364,MATCH($K275,其他调用!$AG$5:$AG$364,0),1)/INDEX(其他调用!AK$5:AK$364,MATCH($K275,其他调用!$AG$5:$AG$364,0),0),1)*INDEX(其他调用!AB$5:AB$404,MATCH($K275,其他调用!$X$5:$X$404,0),0)</f>
        <v>16114.466720668355</v>
      </c>
      <c r="AF275" s="12">
        <f>MIN(INDEX(其他调用!$AJ$5:$AJ$364,MATCH($K275,其他调用!$AG$5:$AG$364,0),1)/INDEX(其他调用!AL$5:AL$364,MATCH($K275,其他调用!$AG$5:$AG$364,0),0),1)*INDEX(其他调用!AC$5:AC$404,MATCH($K275,其他调用!$X$5:$X$404,0),0)</f>
        <v>9061.3905224784648</v>
      </c>
      <c r="AG275" s="12">
        <f>求节点(节奏总纲!D$4:D$163,标准城池设计!AE$4:AE$163,$K275)*求节点(节奏总纲!D$4:D$163,攻城基础信息!$AF$5:$AF$164,$K275)</f>
        <v>1080408.8658273695</v>
      </c>
      <c r="AH275" s="12">
        <f>INDEX(其他调用!$AA$5:$AA$404,MATCH($K275,其他调用!$X$5:$X$404,0))*MIN(INDEX(其他调用!AK$5:AK$364,MATCH($K275,其他调用!$AG$5:$AG$364,0),1)/INDEX(其他调用!$AJ$5:$AJ$364,MATCH($K275,其他调用!$AG$5:$AG$364,0),0),5)*求节点(节奏总纲!D$4:D$163,攻城基础信息!$AF$5:$AF$164,$K275)</f>
        <v>452807.75514148589</v>
      </c>
      <c r="AI275" s="12">
        <f>MIN(INDEX(其他调用!$AK$5:$AK$364,MATCH($K275,其他调用!$AG$5:$AG$364,0),1)/INDEX(其他调用!AH$5:AH$364,MATCH($K275,其他调用!$AG$5:$AG$364,0),0),1)*INDEX(其他调用!Y$5:Y$404,MATCH($K275,其他调用!$X$5:$X$404,0),0)</f>
        <v>41866.542871908416</v>
      </c>
      <c r="AJ275" s="12">
        <f>MIN(INDEX(其他调用!$AK$5:$AK$364,MATCH($K275,其他调用!$AG$5:$AG$364,0),1)/INDEX(其他调用!AI$5:AI$364,MATCH($K275,其他调用!$AG$5:$AG$364,0),0),1)*INDEX(其他调用!Z$5:Z$404,MATCH($K275,其他调用!$X$5:$X$404,0),0)</f>
        <v>43023.057677313307</v>
      </c>
      <c r="AK275" s="12">
        <f>MIN(INDEX(其他调用!$AK$5:$AK$364,MATCH($K275,其他调用!$AG$5:$AG$364,0),1)/INDEX(其他调用!AJ$5:AJ$364,MATCH($K275,其他调用!$AG$5:$AG$364,0),0),1)*INDEX(其他调用!AA$5:AA$404,MATCH($K275,其他调用!$X$5:$X$404,0),0)</f>
        <v>44547.149378283313</v>
      </c>
      <c r="AL275" s="12">
        <f>MIN(INDEX(其他调用!$AK$5:$AK$364,MATCH($K275,其他调用!$AG$5:$AG$364,0),1)/INDEX(其他调用!AK$5:AK$364,MATCH($K275,其他调用!$AG$5:$AG$364,0),0),1)*INDEX(其他调用!AB$5:AB$404,MATCH($K275,其他调用!$X$5:$X$404,0),0)</f>
        <v>46799.566641664424</v>
      </c>
      <c r="AM275" s="12">
        <f>MIN(INDEX(其他调用!$AK$5:$AK$364,MATCH($K275,其他调用!$AG$5:$AG$364,0),1)/INDEX(其他调用!AL$5:AL$364,MATCH($K275,其他调用!$AG$5:$AG$364,0),0),1)*INDEX(其他调用!AC$5:AC$404,MATCH($K275,其他调用!$X$5:$X$404,0),0)</f>
        <v>26316.052338174355</v>
      </c>
      <c r="AN275" s="12">
        <f>求节点(节奏总纲!D$4:D$163,标准城池设计!AF$4:AF$163,$K275)*求节点(节奏总纲!D$4:D$163,攻城基础信息!$AG$5:$AG$164,$K275)</f>
        <v>1131227.1282484788</v>
      </c>
      <c r="AO275" s="12">
        <f>INDEX(其他调用!$AA$5:$AA$404,MATCH($K275,其他调用!$X$5:$X$404,0))*MIN(INDEX(其他调用!AL$5:AL$364,MATCH($K275,其他调用!$AG$5:$AG$364,0),1)/INDEX(其他调用!$AJ$5:$AJ$364,MATCH($K275,其他调用!$AG$5:$AG$364,0),0),5)*求节点(节奏总纲!D$4:D$163,攻城基础信息!$AG$5:$AG$164,$K275)</f>
        <v>779575.11411995743</v>
      </c>
      <c r="AP275" s="12">
        <f>MIN(INDEX(其他调用!$AL$5:$AL$364,MATCH($K275,其他调用!$AG$5:$AG$364,0),1)/INDEX(其他调用!AH$5:AH$364,MATCH($K275,其他调用!$AG$5:$AG$364,0),0),1)*INDEX(其他调用!Y$5:Y$404,MATCH($K275,其他调用!$X$5:$X$404,0),0)</f>
        <v>41866.542871908416</v>
      </c>
      <c r="AQ275" s="12">
        <f>MIN(INDEX(其他调用!$AL$5:$AL$364,MATCH($K275,其他调用!$AG$5:$AG$364,0),1)/INDEX(其他调用!AI$5:AI$364,MATCH($K275,其他调用!$AG$5:$AG$364,0),0),1)*INDEX(其他调用!Z$5:Z$404,MATCH($K275,其他调用!$X$5:$X$404,0),0)</f>
        <v>43023.057677313307</v>
      </c>
      <c r="AR275" s="12">
        <f>MIN(INDEX(其他调用!$AL$5:$AL$364,MATCH($K275,其他调用!$AG$5:$AG$364,0),1)/INDEX(其他调用!AJ$5:AJ$364,MATCH($K275,其他调用!$AG$5:$AG$364,0),0),1)*INDEX(其他调用!AA$5:AA$404,MATCH($K275,其他调用!$X$5:$X$404,0),0)</f>
        <v>44547.149378283313</v>
      </c>
      <c r="AS275" s="12">
        <f>MIN(INDEX(其他调用!$AL$5:$AL$364,MATCH($K275,其他调用!$AG$5:$AG$364,0),1)/INDEX(其他调用!AK$5:AK$364,MATCH($K275,其他调用!$AG$5:$AG$364,0),0),1)*INDEX(其他调用!AB$5:AB$404,MATCH($K275,其他调用!$X$5:$X$404,0),0)</f>
        <v>46799.566641664424</v>
      </c>
      <c r="AT275" s="12">
        <f>MIN(INDEX(其他调用!$AL$5:$AL$364,MATCH($K275,其他调用!$AG$5:$AG$364,0),1)/INDEX(其他调用!AL$5:AL$364,MATCH($K275,其他调用!$AG$5:$AG$364,0),0),1)*INDEX(其他调用!AC$5:AC$404,MATCH($K275,其他调用!$X$5:$X$404,0),0)</f>
        <v>50682.399113893887</v>
      </c>
      <c r="AV275" s="14">
        <f>IF(OR(AV$5="大R",AV$5="超R"),MAX(INDEX(其他调用!$H$5:$L$404,MATCH($K275,其他调用!$B$5:$B$404,0),MATCH(AV$5,其他调用!$H$4:$L$4,0))*120*0.85,2),INDEX(其他调用!$H$5:$L$404,MATCH($K275,其他调用!$B$5:$B$404,0),MATCH(AV$5,其他调用!$H$4:$L$4,0))*120*0.85)</f>
        <v>48.921801254999991</v>
      </c>
      <c r="AW275" s="14">
        <f>IF(OR(AW$5="大R",AW$5="超R"),MAX(INDEX(其他调用!$H$5:$L$404,MATCH($K275,其他调用!$B$5:$B$404,0),MATCH(AW$5,其他调用!$H$4:$L$4,0))*120*0.85,2),INDEX(其他调用!$H$5:$L$404,MATCH($K275,其他调用!$B$5:$B$404,0),MATCH(AW$5,其他调用!$H$4:$L$4,0))*120*0.85)</f>
        <v>48.237344010638395</v>
      </c>
      <c r="AX275" s="14">
        <f>IF(OR(AX$5="大R",AX$5="超R"),MAX(INDEX(其他调用!$H$5:$L$404,MATCH($K275,其他调用!$B$5:$B$404,0),MATCH(AX$5,其他调用!$H$4:$L$4,0))*120*0.85,2),INDEX(其他调用!$H$5:$L$404,MATCH($K275,其他调用!$B$5:$B$404,0),MATCH(AX$5,其他调用!$H$4:$L$4,0))*120*0.85)</f>
        <v>3.9376284143615998</v>
      </c>
      <c r="AY275" s="14">
        <f>IF(OR(AY$5="大R",AY$5="超R"),MAX(INDEX(其他调用!$H$5:$L$404,MATCH($K275,其他调用!$B$5:$B$404,0),MATCH(AY$5,其他调用!$H$4:$L$4,0))*120*0.85,2),INDEX(其他调用!$H$5:$L$404,MATCH($K275,其他调用!$B$5:$B$404,0),MATCH(AY$5,其他调用!$H$4:$L$4,0))*120*0.85)</f>
        <v>2</v>
      </c>
      <c r="AZ275" s="14">
        <f>IF(OR(AZ$5="大R",AZ$5="超R"),MAX(INDEX(其他调用!$H$5:$L$404,MATCH($K275,其他调用!$B$5:$B$404,0),MATCH(AZ$5,其他调用!$H$4:$L$4,0))*120*0.85,2),INDEX(其他调用!$H$5:$L$404,MATCH($K275,其他调用!$B$5:$B$404,0),MATCH(AZ$5,其他调用!$H$4:$L$4,0))*120*0.85)</f>
        <v>2</v>
      </c>
      <c r="BA275" s="14">
        <f>INDEX(其他调用!$H$5:$L$404,MATCH($K275,其他调用!$B$5:$B$404,0),MATCH(BA$5,其他调用!$H$4:$L$4,0))*INDEX(其他调用!$M$5:$M$404,MATCH($K275,其他调用!$B$5:$B$404,0))*0.6</f>
        <v>28.777530149999997</v>
      </c>
      <c r="BB275" s="14">
        <f>INDEX(其他调用!$H$5:$L$404,MATCH($K275,其他调用!$B$5:$B$404,0),MATCH(BB$5,其他调用!$H$4:$L$4,0))*INDEX(其他调用!$M$5:$M$404,MATCH($K275,其他调用!$B$5:$B$404,0))*0.6</f>
        <v>28.374908241551999</v>
      </c>
      <c r="BC275" s="14">
        <f>INDEX(其他调用!$H$5:$L$404,MATCH($K275,其他调用!$B$5:$B$404,0),MATCH(BC$5,其他调用!$H$4:$L$4,0))*INDEX(其他调用!$M$5:$M$404,MATCH($K275,其他调用!$B$5:$B$404,0))*0.6</f>
        <v>2.3162520084480001</v>
      </c>
      <c r="BD275" s="14">
        <f>INDEX(其他调用!$H$5:$L$404,MATCH($K275,其他调用!$B$5:$B$404,0),MATCH(BD$5,其他调用!$H$4:$L$4,0))*INDEX(其他调用!$M$5:$M$404,MATCH($K275,其他调用!$B$5:$B$404,0))*0.6</f>
        <v>0.4120776000000001</v>
      </c>
      <c r="BE275" s="14">
        <f>INDEX(其他调用!$H$5:$L$404,MATCH($K275,其他调用!$B$5:$B$404,0),MATCH(BE$5,其他调用!$H$4:$L$4,0))*INDEX(其他调用!$M$5:$M$404,MATCH($K275,其他调用!$B$5:$B$404,0))*0.6</f>
        <v>0.11923199999999998</v>
      </c>
      <c r="BF275" s="14">
        <f>IF(OR(BF$5="大R",BF$5="超R"),0,INDEX(其他调用!$H$5:$L$404,MATCH($K275,其他调用!$B$5:$B$404,0),MATCH(BF$5,其他调用!$H$4:$L$4,0))*50*0.4)</f>
        <v>9.5925100500000013</v>
      </c>
      <c r="BG275" s="14">
        <f>IF(OR(BG$5="大R",BG$5="超R"),0,INDEX(其他调用!$H$5:$L$404,MATCH($K275,其他调用!$B$5:$B$404,0),MATCH(BG$5,其他调用!$H$4:$L$4,0))*50*0.4)</f>
        <v>9.4583027471839998</v>
      </c>
      <c r="BH275" s="14">
        <f>IF(OR(BH$5="大R",BH$5="超R"),0,INDEX(其他调用!$H$5:$L$404,MATCH($K275,其他调用!$B$5:$B$404,0),MATCH(BH$5,其他调用!$H$4:$L$4,0))*50*0.4)</f>
        <v>0.77208400281600009</v>
      </c>
      <c r="BI275" s="14">
        <f>IF(OR(BI$5="大R",BI$5="超R"),0,INDEX(其他调用!$H$5:$L$404,MATCH($K275,其他调用!$B$5:$B$404,0),MATCH(BI$5,其他调用!$H$4:$L$4,0))*50*0.4)</f>
        <v>0</v>
      </c>
      <c r="BJ275" s="14">
        <f>IF(OR(BJ$5="大R",BJ$5="超R"),0,INDEX(其他调用!$H$5:$L$404,MATCH($K275,其他调用!$B$5:$B$404,0),MATCH(BJ$5,其他调用!$H$4:$L$4,0))*50*0.4)</f>
        <v>0</v>
      </c>
      <c r="BL275" s="14">
        <f t="shared" si="523"/>
        <v>270</v>
      </c>
      <c r="BM275" s="14">
        <f t="shared" si="430"/>
        <v>96</v>
      </c>
      <c r="BN275" s="14">
        <f>('疲劳值&amp;地图信息'!$S$10*'疲劳值&amp;地图信息'!$R$10+'疲劳值&amp;地图信息'!$S$11*'疲劳值&amp;地图信息'!$R$11+'疲劳值&amp;地图信息'!$S$12*'疲劳值&amp;地图信息'!$R$12+(BM275-'疲劳值&amp;地图信息'!$S$12-'疲劳值&amp;地图信息'!$S$11-'疲劳值&amp;地图信息'!$S$10)*'疲劳值&amp;地图信息'!$R$13)/BM275</f>
        <v>51.371477246638619</v>
      </c>
      <c r="BO275" s="14">
        <f>INDEX(其他调用!$M$5:$M$404,MATCH(BL275,其他调用!$B$5:$B$404,0))*0.6</f>
        <v>60</v>
      </c>
      <c r="BP275" s="14">
        <f>IF(BO275&gt;SUM('疲劳值&amp;地图信息'!$S$10:$S$12),('疲劳值&amp;地图信息'!$S$10*'疲劳值&amp;地图信息'!$R$10+'疲劳值&amp;地图信息'!$S$11*'疲劳值&amp;地图信息'!$R$11+'疲劳值&amp;地图信息'!$S$12*'疲劳值&amp;地图信息'!$R$12+(BO275-'疲劳值&amp;地图信息'!$S$12-'疲劳值&amp;地图信息'!$S$11-'疲劳值&amp;地图信息'!$S$10)*'疲劳值&amp;地图信息'!$R$13)/BO275,('疲劳值&amp;地图信息'!$S$10*'疲劳值&amp;地图信息'!$R$10+'疲劳值&amp;地图信息'!$S$11*'疲劳值&amp;地图信息'!$R$11+'疲劳值&amp;地图信息'!$S$12*'疲劳值&amp;地图信息'!$R$12+(BO275-'疲劳值&amp;地图信息'!$S$12-'疲劳值&amp;地图信息'!$S$11-'疲劳值&amp;地图信息'!$S$10)*'疲劳值&amp;地图信息'!$R$13)/BO275)</f>
        <v>44.158136341605953</v>
      </c>
      <c r="BQ275" s="14">
        <f t="shared" si="524"/>
        <v>20</v>
      </c>
      <c r="BR275" s="14">
        <f>('疲劳值&amp;地图信息'!$S$10*'疲劳值&amp;地图信息'!$R$10+($BQ275-'疲劳值&amp;地图信息'!$S$10)*'疲劳值&amp;地图信息'!$R$11)/$BQ275</f>
        <v>32.067203015074995</v>
      </c>
      <c r="CF275" s="14">
        <v>270</v>
      </c>
      <c r="CG275" s="51">
        <f t="shared" si="431"/>
        <v>15275</v>
      </c>
      <c r="CH275" s="51">
        <f t="shared" si="432"/>
        <v>1096</v>
      </c>
      <c r="CI275" s="51">
        <f>INT(SUMPRODUCT($N275:$R275,$BA275:$BE275)/SUM($BA275:$BE275)/10000*$BX$7*$BZ$34/'疲劳值&amp;地图信息'!$R$10*$BY$53)</f>
        <v>3319</v>
      </c>
      <c r="CJ275" s="50">
        <f t="shared" si="433"/>
        <v>0.77577450482478416</v>
      </c>
      <c r="CK275" s="50">
        <f t="shared" si="434"/>
        <v>5.5662772981208739E-2</v>
      </c>
      <c r="CL275" s="50">
        <f t="shared" si="435"/>
        <v>0.16856272219400711</v>
      </c>
      <c r="CM275" s="14">
        <f t="shared" si="436"/>
        <v>16658</v>
      </c>
      <c r="CN275" s="14">
        <f t="shared" si="437"/>
        <v>1859</v>
      </c>
      <c r="CO275" s="14">
        <f>INT(SUMPRODUCT($U275:$Y275,$BA275:$BE275)/SUM($BA275:$BE275)/10000*$BX$7*$BZ$34/'疲劳值&amp;地图信息'!$R$10*$BY$54)</f>
        <v>6317</v>
      </c>
      <c r="CP275" s="50">
        <f t="shared" si="438"/>
        <v>0.67077393895465898</v>
      </c>
      <c r="CQ275" s="50">
        <f t="shared" si="439"/>
        <v>7.4857050817427717E-2</v>
      </c>
      <c r="CR275" s="50">
        <f t="shared" si="440"/>
        <v>0.25436901022791336</v>
      </c>
      <c r="CS275" s="14">
        <f t="shared" si="441"/>
        <v>18243</v>
      </c>
      <c r="CT275" s="14">
        <f t="shared" si="442"/>
        <v>3177</v>
      </c>
      <c r="CU275" s="14">
        <f>INT(SUMPRODUCT($AB275:$AF275,$BA275:$BE275)/SUM($BA275:$BE275)/10000*$BX$7*$BZ$34/'疲劳值&amp;地图信息'!$R$10*$BY$55)</f>
        <v>8579</v>
      </c>
      <c r="CV275" s="50">
        <f t="shared" si="443"/>
        <v>0.60812027067568919</v>
      </c>
      <c r="CW275" s="50">
        <f t="shared" si="444"/>
        <v>0.10590353011767059</v>
      </c>
      <c r="CX275" s="50">
        <f t="shared" si="445"/>
        <v>0.28597619920664025</v>
      </c>
      <c r="CY275" s="14">
        <f t="shared" si="446"/>
        <v>22020</v>
      </c>
      <c r="CZ275" s="14">
        <f t="shared" si="447"/>
        <v>9228</v>
      </c>
      <c r="DA275" s="14">
        <f>INT(SUMPRODUCT($AI275:$AM275,$BA275:$BE275)/SUM($BA275:$BE275)/10000*$BX$7*$BZ$34/'疲劳值&amp;地图信息'!$R$10*$BY$56)</f>
        <v>12943</v>
      </c>
      <c r="DB275" s="50">
        <f t="shared" si="448"/>
        <v>0.4982915073204951</v>
      </c>
      <c r="DC275" s="50">
        <f t="shared" si="449"/>
        <v>0.20882080061550995</v>
      </c>
      <c r="DD275" s="50">
        <f t="shared" si="450"/>
        <v>0.29288769206399495</v>
      </c>
      <c r="DE275" s="14">
        <f t="shared" si="451"/>
        <v>23055</v>
      </c>
      <c r="DF275" s="14">
        <f t="shared" si="452"/>
        <v>15888</v>
      </c>
      <c r="DG275" s="14">
        <f>INT(SUMPRODUCT($AP275:$AT275,$BA275:$BE275)/SUM($BA275:$BE275)/10000*$BX$7*$BZ$34/'疲劳值&amp;地图信息'!$R$10*$BY$57)</f>
        <v>17277</v>
      </c>
      <c r="DH275" s="50">
        <f t="shared" si="453"/>
        <v>0.41008537886872998</v>
      </c>
      <c r="DI275" s="50">
        <f t="shared" si="454"/>
        <v>0.28260405549626466</v>
      </c>
      <c r="DJ275" s="50">
        <f t="shared" si="455"/>
        <v>0.30731056563500536</v>
      </c>
      <c r="DL275" s="14">
        <f t="shared" si="526"/>
        <v>19690</v>
      </c>
      <c r="DM275" s="14">
        <f t="shared" si="527"/>
        <v>24834</v>
      </c>
      <c r="DN275" s="14">
        <f t="shared" si="528"/>
        <v>29999</v>
      </c>
      <c r="DO275" s="14">
        <f t="shared" si="529"/>
        <v>44191</v>
      </c>
      <c r="DP275" s="14">
        <f t="shared" si="530"/>
        <v>56220</v>
      </c>
      <c r="DQ275" s="14">
        <f t="shared" si="531"/>
        <v>1365690</v>
      </c>
      <c r="DT275" s="14">
        <f t="shared" si="525"/>
        <v>235575</v>
      </c>
      <c r="DU275" s="50">
        <f t="shared" si="427"/>
        <v>0.14711805978398329</v>
      </c>
      <c r="DW275" s="14">
        <f t="shared" si="456"/>
        <v>1601265</v>
      </c>
      <c r="EB275" s="14">
        <v>270</v>
      </c>
      <c r="EC275" s="51">
        <f t="shared" si="457"/>
        <v>25458</v>
      </c>
      <c r="ED275" s="51">
        <f t="shared" si="458"/>
        <v>1827</v>
      </c>
      <c r="EE275" s="51">
        <f>INT(SUMPRODUCT($N275:$R275,$BF275:$BJ275)/SUM($BF275:$BJ275)/10000*$BX$7*$BZ$46/'疲劳值&amp;地图信息'!$R$10*$BY$53)</f>
        <v>445</v>
      </c>
      <c r="EF275" s="50">
        <f t="shared" si="459"/>
        <v>0.91806707536963572</v>
      </c>
      <c r="EG275" s="50">
        <f t="shared" si="460"/>
        <v>6.5885322755138837E-2</v>
      </c>
      <c r="EH275" s="50">
        <f t="shared" si="461"/>
        <v>1.6047601875225387E-2</v>
      </c>
      <c r="EI275" s="51">
        <f t="shared" si="462"/>
        <v>27764</v>
      </c>
      <c r="EJ275" s="51">
        <f t="shared" si="463"/>
        <v>3099</v>
      </c>
      <c r="EK275" s="14">
        <f>INT(SUMPRODUCT($U275:$Y275,$BF275:$BJ275)/SUM($BF275:$BJ275)/10000*$BX$7*$BZ$46/'疲劳值&amp;地图信息'!$R$10*$BY$54)</f>
        <v>848</v>
      </c>
      <c r="EL275" s="50">
        <f t="shared" si="464"/>
        <v>0.87553214972722404</v>
      </c>
      <c r="EM275" s="50">
        <f t="shared" si="465"/>
        <v>9.7726341017312604E-2</v>
      </c>
      <c r="EN275" s="50">
        <f t="shared" si="466"/>
        <v>2.6741509255463404E-2</v>
      </c>
      <c r="EO275" s="51">
        <f t="shared" si="467"/>
        <v>30405</v>
      </c>
      <c r="EP275" s="51">
        <f t="shared" si="468"/>
        <v>5296</v>
      </c>
      <c r="EQ275" s="14">
        <f>INT(SUMPRODUCT($AB275:$AF275,$BF275:$BJ275)/SUM($BF275:$BJ275)/10000*$BX$7*$BZ$46/'疲劳值&amp;地图信息'!$R$10*$BY$55)</f>
        <v>1150</v>
      </c>
      <c r="ER275" s="50">
        <f t="shared" si="469"/>
        <v>0.82507937369406525</v>
      </c>
      <c r="ES275" s="50">
        <f t="shared" si="470"/>
        <v>0.14371387479308567</v>
      </c>
      <c r="ET275" s="50">
        <f t="shared" si="471"/>
        <v>3.1206751512849042E-2</v>
      </c>
      <c r="EU275" s="51">
        <f t="shared" si="472"/>
        <v>36700</v>
      </c>
      <c r="EV275" s="51">
        <f t="shared" si="473"/>
        <v>15381</v>
      </c>
      <c r="EW275" s="14">
        <f>INT(SUMPRODUCT($AI275:$AM275,$BF275:$BJ275)/SUM($BF275:$BJ275)/10000*$BX$7*$BZ$46/'疲劳值&amp;地图信息'!$R$10*$BY$56)</f>
        <v>1725</v>
      </c>
      <c r="EX275" s="50">
        <f t="shared" si="474"/>
        <v>0.68208006542021338</v>
      </c>
      <c r="EY275" s="50">
        <f t="shared" si="475"/>
        <v>0.28586031297624798</v>
      </c>
      <c r="EZ275" s="50">
        <f t="shared" si="476"/>
        <v>3.2059621603538639E-2</v>
      </c>
      <c r="FA275" s="51">
        <f t="shared" si="477"/>
        <v>38426</v>
      </c>
      <c r="FB275" s="51">
        <f t="shared" si="478"/>
        <v>26481</v>
      </c>
      <c r="FC275" s="14">
        <f>INT(SUMPRODUCT($AP275:$AT275,$BF275:$BJ275)/SUM($BF275:$BJ275)/10000*$BX$7*$BZ$46/'疲劳值&amp;地图信息'!$R$10*$BY$57)</f>
        <v>2301</v>
      </c>
      <c r="FD275" s="50">
        <f t="shared" si="479"/>
        <v>0.57174741102249738</v>
      </c>
      <c r="FE275" s="50">
        <f t="shared" si="480"/>
        <v>0.39401559338174025</v>
      </c>
      <c r="FF275" s="50">
        <f t="shared" si="481"/>
        <v>3.4236995595762411E-2</v>
      </c>
      <c r="FH275" s="14">
        <f t="shared" si="482"/>
        <v>27730</v>
      </c>
      <c r="FI275" s="14">
        <f t="shared" si="483"/>
        <v>31711</v>
      </c>
      <c r="FJ275" s="14">
        <f t="shared" si="484"/>
        <v>36851</v>
      </c>
      <c r="FK275" s="14">
        <f t="shared" si="485"/>
        <v>53806</v>
      </c>
      <c r="FL275" s="14">
        <f t="shared" si="486"/>
        <v>67208</v>
      </c>
      <c r="FM275" s="14">
        <f t="shared" si="487"/>
        <v>3273389</v>
      </c>
      <c r="FP275" s="14">
        <f t="shared" si="488"/>
        <v>334150</v>
      </c>
      <c r="FQ275" s="50">
        <f t="shared" si="428"/>
        <v>9.262547127002646E-2</v>
      </c>
      <c r="FS275" s="14">
        <f t="shared" si="489"/>
        <v>3607539</v>
      </c>
      <c r="FX275" s="14">
        <v>270</v>
      </c>
      <c r="FY275" s="51">
        <f t="shared" si="490"/>
        <v>35641</v>
      </c>
      <c r="FZ275" s="51">
        <f t="shared" si="491"/>
        <v>1827</v>
      </c>
      <c r="GA275" s="51">
        <f>INT(SUMPRODUCT($N275:$R275,$BF275:$BJ275)/SUM($BF275:$BJ275)/10000*$BX$7*$BZ$46/'疲劳值&amp;地图信息'!$R$10*$BY$53)</f>
        <v>445</v>
      </c>
      <c r="GB275" s="50">
        <f t="shared" si="492"/>
        <v>0.94007332577216263</v>
      </c>
      <c r="GC275" s="50">
        <f t="shared" si="493"/>
        <v>4.8189275446416796E-2</v>
      </c>
      <c r="GD275" s="50">
        <f t="shared" si="494"/>
        <v>1.173739878142062E-2</v>
      </c>
      <c r="GE275" s="51">
        <f t="shared" si="495"/>
        <v>38870</v>
      </c>
      <c r="GF275" s="51">
        <f t="shared" si="496"/>
        <v>3099</v>
      </c>
      <c r="GG275" s="14">
        <f>INT(SUMPRODUCT($U275:$Y275,$BF275:$BJ275)/SUM($BF275:$BJ275)/10000*$BX$7*$BZ$46/'疲劳值&amp;地图信息'!$R$10*$BY$54)</f>
        <v>848</v>
      </c>
      <c r="GH275" s="50">
        <f t="shared" si="497"/>
        <v>0.9078169885793026</v>
      </c>
      <c r="GI275" s="50">
        <f t="shared" si="498"/>
        <v>7.2377793866922016E-2</v>
      </c>
      <c r="GJ275" s="50">
        <f t="shared" si="499"/>
        <v>1.9805217553775369E-2</v>
      </c>
      <c r="GK275" s="51">
        <f t="shared" si="500"/>
        <v>42568</v>
      </c>
      <c r="GL275" s="51">
        <f t="shared" si="501"/>
        <v>5296</v>
      </c>
      <c r="GM275" s="14">
        <f>INT(SUMPRODUCT($AB275:$AF275,$BF275:$BJ275)/SUM($BF275:$BJ275)/10000*$BX$7*$BZ$46/'疲劳值&amp;地图信息'!$R$10*$BY$55)</f>
        <v>1150</v>
      </c>
      <c r="GN275" s="50">
        <f t="shared" si="502"/>
        <v>0.8684865548618762</v>
      </c>
      <c r="GO275" s="50">
        <f t="shared" si="503"/>
        <v>0.10805076100705921</v>
      </c>
      <c r="GP275" s="50">
        <f t="shared" si="504"/>
        <v>2.3462684131064594E-2</v>
      </c>
      <c r="GQ275" s="51">
        <f t="shared" si="505"/>
        <v>51380</v>
      </c>
      <c r="GR275" s="51">
        <f t="shared" si="506"/>
        <v>15381</v>
      </c>
      <c r="GS275" s="14">
        <f>INT(SUMPRODUCT($AI275:$AM275,$BF275:$BJ275)/SUM($BF275:$BJ275)/10000*$BX$7*$BZ$46/'疲劳值&amp;地图信息'!$R$10*$BY$56)</f>
        <v>1725</v>
      </c>
      <c r="GT275" s="50">
        <f t="shared" si="507"/>
        <v>0.75022632362818675</v>
      </c>
      <c r="GU275" s="50">
        <f t="shared" si="508"/>
        <v>0.22458604678328417</v>
      </c>
      <c r="GV275" s="50">
        <f t="shared" si="509"/>
        <v>2.5187629588529041E-2</v>
      </c>
      <c r="GW275" s="51">
        <f t="shared" si="510"/>
        <v>53797</v>
      </c>
      <c r="GX275" s="51">
        <f t="shared" si="511"/>
        <v>26481</v>
      </c>
      <c r="GY275" s="14">
        <f>INT(SUMPRODUCT($AP275:$AT275,$BF275:$BJ275)/SUM($BF275:$BJ275)/10000*$BX$7*$BZ$46/'疲劳值&amp;地图信息'!$R$10*$BY$57)</f>
        <v>2301</v>
      </c>
      <c r="GZ275" s="50">
        <f t="shared" si="512"/>
        <v>0.6514610252001114</v>
      </c>
      <c r="HA275" s="50">
        <f t="shared" si="513"/>
        <v>0.32067474781724165</v>
      </c>
      <c r="HB275" s="50">
        <f t="shared" si="514"/>
        <v>2.7864226982646921E-2</v>
      </c>
      <c r="HD275" s="14">
        <f t="shared" si="515"/>
        <v>37913</v>
      </c>
      <c r="HE275" s="14">
        <f t="shared" si="516"/>
        <v>42817</v>
      </c>
      <c r="HF275" s="14">
        <f t="shared" si="517"/>
        <v>49014</v>
      </c>
      <c r="HG275" s="14">
        <f t="shared" si="518"/>
        <v>68486</v>
      </c>
      <c r="HH275" s="14">
        <f t="shared" si="519"/>
        <v>82579</v>
      </c>
      <c r="HI275" s="14">
        <f t="shared" si="520"/>
        <v>4415279</v>
      </c>
      <c r="HL275" s="14">
        <f t="shared" si="521"/>
        <v>430050</v>
      </c>
      <c r="HM275" s="50">
        <f t="shared" si="429"/>
        <v>8.8755582954222506E-2</v>
      </c>
      <c r="HO275" s="14">
        <f t="shared" si="522"/>
        <v>4845329</v>
      </c>
    </row>
    <row r="276" spans="11:223" x14ac:dyDescent="0.2">
      <c r="K276" s="14">
        <v>271</v>
      </c>
      <c r="L276" s="12">
        <f>求节点(节奏总纲!D$4:D$163,标准城池设计!AB$4:AB$163,$K276)*求节点(节奏总纲!D$4:D$163,攻城基础信息!$AC$5:$AC$164,$K276)</f>
        <v>750606.67397583299</v>
      </c>
      <c r="M276" s="12">
        <f>INDEX(其他调用!$AA$5:$AA$404,MATCH(K276,其他调用!$X$5:$X$404,0))*MIN(INDEX(其他调用!$AH$5:$AH$364,MATCH('征服点（新）'!K276,其他调用!$AG$5:$AG$364,0),1)/INDEX(其他调用!$AJ$5:$AJ$364,MATCH(K276,其他调用!$AG$5:$AG$364,0),0),5)*求节点(节奏总纲!D$4:D$163,攻城基础信息!$AC$5:$AC$164,$K276)</f>
        <v>53783.455903696391</v>
      </c>
      <c r="N276" s="12">
        <f>MIN(INDEX(其他调用!$AH$5:$AH$364,MATCH($K276,其他调用!$AG$5:$AG$364,0),1)/INDEX(其他调用!AH$5:AH$364,MATCH($K276,其他调用!$AG$5:$AG$364,0),0),1)*INDEX(其他调用!Y$5:Y$404,MATCH($K276,其他调用!$X$5:$X$404,0),0)</f>
        <v>41888.587105084312</v>
      </c>
      <c r="O276" s="12">
        <f>MIN(INDEX(其他调用!$AH$5:$AH$364,MATCH($K276,其他调用!$AG$5:$AG$364,0),1)/INDEX(其他调用!AI$5:AI$364,MATCH($K276,其他调用!$AG$5:$AG$364,0),0),1)*INDEX(其他调用!Z$5:Z$404,MATCH($K276,其他调用!$X$5:$X$404,0),0)</f>
        <v>25370.550316416462</v>
      </c>
      <c r="P276" s="12">
        <f>MIN(INDEX(其他调用!$AH$5:$AH$364,MATCH($K276,其他调用!$AG$5:$AG$364,0),1)/INDEX(其他调用!AJ$5:AJ$364,MATCH($K276,其他调用!$AG$5:$AG$364,0),0),1)*INDEX(其他调用!AA$5:AA$404,MATCH($K276,其他调用!$X$5:$X$404,0),0)</f>
        <v>15366.701686770408</v>
      </c>
      <c r="Q276" s="12">
        <f>MIN(INDEX(其他调用!$AH$5:$AH$364,MATCH($K276,其他调用!$AG$5:$AG$364,0),1)/INDEX(其他调用!AK$5:AK$364,MATCH($K276,其他调用!$AG$5:$AG$364,0),0),1)*INDEX(其他调用!AB$5:AB$404,MATCH($K276,其他调用!$X$5:$X$404,0),0)</f>
        <v>5566.4600881927354</v>
      </c>
      <c r="R276" s="12">
        <f>MIN(INDEX(其他调用!$AH$5:$AH$364,MATCH($K276,其他调用!$AG$5:$AG$364,0),1)/INDEX(其他调用!AL$5:AL$364,MATCH($K276,其他调用!$AG$5:$AG$364,0),0),1)*INDEX(其他调用!AC$5:AC$404,MATCH($K276,其他调用!$X$5:$X$404,0),0)</f>
        <v>3133.7226201356284</v>
      </c>
      <c r="S276" s="12">
        <f>求节点(节奏总纲!D$4:D$163,标准城池设计!AC$4:AC$163,$K276)*求节点(节奏总纲!D$4:D$163,攻城基础信息!$AD$5:$AD$164,$K276)</f>
        <v>818855.3106397799</v>
      </c>
      <c r="T276" s="12">
        <f>INDEX(其他调用!$AA$5:$AA$404,MATCH($K276,其他调用!$X$5:$X$404,0))*MIN(INDEX(其他调用!AI$5:AI$364,MATCH($K276,其他调用!$AG$5:$AG$364,0),1)/INDEX(其他调用!$AJ$5:$AJ$364,MATCH($K276,其他调用!$AG$5:$AG$364,0),0),5)*求节点(节奏总纲!D$4:D$163,攻城基础信息!$AD$5:$AD$164,$K276)</f>
        <v>91251.754840765512</v>
      </c>
      <c r="U276" s="12">
        <f>MIN(INDEX(其他调用!$AI$5:$AI$364,MATCH($K276,其他调用!$AG$5:$AG$364,0),1)/INDEX(其他调用!AH$5:AH$364,MATCH($K276,其他调用!$AG$5:$AG$364,0),0),1)*INDEX(其他调用!Y$5:Y$404,MATCH($K276,其他调用!$X$5:$X$404,0),0)</f>
        <v>41888.587105084312</v>
      </c>
      <c r="V276" s="12">
        <f>MIN(INDEX(其他调用!$AI$5:$AI$364,MATCH($K276,其他调用!$AG$5:$AG$364,0),1)/INDEX(其他调用!AI$5:AI$364,MATCH($K276,其他调用!$AG$5:$AG$364,0),0),1)*INDEX(其他调用!Z$5:Z$404,MATCH($K276,其他调用!$X$5:$X$404,0),0)</f>
        <v>43044.969847127839</v>
      </c>
      <c r="W276" s="12">
        <f>MIN(INDEX(其他调用!$AI$5:$AI$364,MATCH($K276,其他调用!$AG$5:$AG$364,0),1)/INDEX(其他调用!AJ$5:AJ$364,MATCH($K276,其他调用!$AG$5:$AG$364,0),0),1)*INDEX(其他调用!AA$5:AA$404,MATCH($K276,其他调用!$X$5:$X$404,0),0)</f>
        <v>26071.929954504449</v>
      </c>
      <c r="X276" s="12">
        <f>MIN(INDEX(其他调用!$AI$5:$AI$364,MATCH($K276,其他调用!$AG$5:$AG$364,0),1)/INDEX(其他调用!AK$5:AK$364,MATCH($K276,其他调用!$AG$5:$AG$364,0),0),1)*INDEX(其他调用!AB$5:AB$404,MATCH($K276,其他调用!$X$5:$X$404,0),0)</f>
        <v>9444.340137015246</v>
      </c>
      <c r="Y276" s="12">
        <f>MIN(INDEX(其他调用!$AI$5:$AI$364,MATCH($K276,其他调用!$AG$5:$AG$364,0),1)/INDEX(其他调用!AL$5:AL$364,MATCH($K276,其他调用!$AG$5:$AG$364,0),0),1)*INDEX(其他调用!AC$5:AC$404,MATCH($K276,其他调用!$X$5:$X$404,0),0)</f>
        <v>5316.8336520361936</v>
      </c>
      <c r="Z276" s="12">
        <f>求节点(节奏总纲!D$4:D$163,标准城池设计!AD$4:AD$163,$K276)*求节点(节奏总纲!D$4:D$163,攻城基础信息!$AE$5:$AE$164,$K276)</f>
        <v>896617.89660812402</v>
      </c>
      <c r="AA276" s="12">
        <f>INDEX(其他调用!$AA$5:$AA$404,MATCH($K276,其他调用!$X$5:$X$404,0))*MIN(INDEX(其他调用!AJ$5:AJ$364,MATCH($K276,其他调用!$AG$5:$AG$364,0),1)/INDEX(其他调用!$AJ$5:$AJ$364,MATCH($K276,其他调用!$AG$5:$AG$364,0),0),5)*求节点(节奏总纲!D$4:D$163,攻城基础信息!$AE$5:$AE$164,$K276)</f>
        <v>155992.03871917856</v>
      </c>
      <c r="AB276" s="12">
        <f>MIN(INDEX(其他调用!$AJ$5:$AJ$364,MATCH($K276,其他调用!$AG$5:$AG$364,0),1)/INDEX(其他调用!AH$5:AH$364,MATCH($K276,其他调用!$AG$5:$AG$364,0),0),1)*INDEX(其他调用!Y$5:Y$404,MATCH($K276,其他调用!$X$5:$X$404,0),0)</f>
        <v>41888.587105084312</v>
      </c>
      <c r="AC276" s="12">
        <f>MIN(INDEX(其他调用!$AJ$5:$AJ$364,MATCH($K276,其他调用!$AG$5:$AG$364,0),1)/INDEX(其他调用!AI$5:AI$364,MATCH($K276,其他调用!$AG$5:$AG$364,0),0),1)*INDEX(其他调用!Z$5:Z$404,MATCH($K276,其他调用!$X$5:$X$404,0),0)</f>
        <v>43044.969847127839</v>
      </c>
      <c r="AD276" s="12">
        <f>MIN(INDEX(其他调用!$AJ$5:$AJ$364,MATCH($K276,其他调用!$AG$5:$AG$364,0),1)/INDEX(其他调用!AJ$5:AJ$364,MATCH($K276,其他调用!$AG$5:$AG$364,0),0),1)*INDEX(其他调用!AA$5:AA$404,MATCH($K276,其他调用!$X$5:$X$404,0),0)</f>
        <v>44569.153919765333</v>
      </c>
      <c r="AE276" s="12">
        <f>MIN(INDEX(其他调用!$AJ$5:$AJ$364,MATCH($K276,其他调用!$AG$5:$AG$364,0),1)/INDEX(其他调用!AK$5:AK$364,MATCH($K276,其他调用!$AG$5:$AG$364,0),0),1)*INDEX(其他调用!AB$5:AB$404,MATCH($K276,其他调用!$X$5:$X$404,0),0)</f>
        <v>16144.805926211331</v>
      </c>
      <c r="AF276" s="12">
        <f>MIN(INDEX(其他调用!$AJ$5:$AJ$364,MATCH($K276,其他调用!$AG$5:$AG$364,0),1)/INDEX(其他调用!AL$5:AL$364,MATCH($K276,其他调用!$AG$5:$AG$364,0),0),1)*INDEX(其他调用!AC$5:AC$404,MATCH($K276,其他调用!$X$5:$X$404,0),0)</f>
        <v>9088.961876504598</v>
      </c>
      <c r="AG276" s="12">
        <f>求节点(节奏总纲!D$4:D$163,标准城池设计!AE$4:AE$163,$K276)*求节点(节奏总纲!D$4:D$163,攻城基础信息!$AF$5:$AF$164,$K276)</f>
        <v>1082320.0128408708</v>
      </c>
      <c r="AH276" s="12">
        <f>INDEX(其他调用!$AA$5:$AA$404,MATCH($K276,其他调用!$X$5:$X$404,0))*MIN(INDEX(其他调用!AK$5:AK$364,MATCH($K276,其他调用!$AG$5:$AG$364,0),1)/INDEX(其他调用!$AJ$5:$AJ$364,MATCH($K276,其他调用!$AG$5:$AG$364,0),0),5)*求节点(节奏总纲!D$4:D$163,攻城基础信息!$AF$5:$AF$164,$K276)</f>
        <v>452400.6177188959</v>
      </c>
      <c r="AI276" s="12">
        <f>MIN(INDEX(其他调用!$AK$5:$AK$364,MATCH($K276,其他调用!$AG$5:$AG$364,0),1)/INDEX(其他调用!AH$5:AH$364,MATCH($K276,其他调用!$AG$5:$AG$364,0),0),1)*INDEX(其他调用!Y$5:Y$404,MATCH($K276,其他调用!$X$5:$X$404,0),0)</f>
        <v>41888.587105084312</v>
      </c>
      <c r="AJ276" s="12">
        <f>MIN(INDEX(其他调用!$AK$5:$AK$364,MATCH($K276,其他调用!$AG$5:$AG$364,0),1)/INDEX(其他调用!AI$5:AI$364,MATCH($K276,其他调用!$AG$5:$AG$364,0),0),1)*INDEX(其他调用!Z$5:Z$404,MATCH($K276,其他调用!$X$5:$X$404,0),0)</f>
        <v>43044.969847127839</v>
      </c>
      <c r="AK276" s="12">
        <f>MIN(INDEX(其他调用!$AK$5:$AK$364,MATCH($K276,其他调用!$AG$5:$AG$364,0),1)/INDEX(其他调用!AJ$5:AJ$364,MATCH($K276,其他调用!$AG$5:$AG$364,0),0),1)*INDEX(其他调用!AA$5:AA$404,MATCH($K276,其他调用!$X$5:$X$404,0),0)</f>
        <v>44569.153919765333</v>
      </c>
      <c r="AL276" s="12">
        <f>MIN(INDEX(其他调用!$AK$5:$AK$364,MATCH($K276,其他调用!$AG$5:$AG$364,0),1)/INDEX(其他调用!AK$5:AK$364,MATCH($K276,其他调用!$AG$5:$AG$364,0),0),1)*INDEX(其他调用!AB$5:AB$404,MATCH($K276,其他调用!$X$5:$X$404,0),0)</f>
        <v>46822.390642117498</v>
      </c>
      <c r="AM276" s="12">
        <f>MIN(INDEX(其他调用!$AK$5:$AK$364,MATCH($K276,其他调用!$AG$5:$AG$364,0),1)/INDEX(其他调用!AL$5:AL$364,MATCH($K276,其他调用!$AG$5:$AG$364,0),0),1)*INDEX(其他调用!AC$5:AC$404,MATCH($K276,其他调用!$X$5:$X$404,0),0)</f>
        <v>26359.370651962898</v>
      </c>
      <c r="AN276" s="12">
        <f>求节点(节奏总纲!D$4:D$163,标准城池设计!AF$4:AF$163,$K276)*求节点(节奏总纲!D$4:D$163,攻城基础信息!$AG$5:$AG$164,$K276)</f>
        <v>1133232.2044080149</v>
      </c>
      <c r="AO276" s="12">
        <f>INDEX(其他调用!$AA$5:$AA$404,MATCH($K276,其他调用!$X$5:$X$404,0))*MIN(INDEX(其他调用!AL$5:AL$364,MATCH($K276,其他调用!$AG$5:$AG$364,0),1)/INDEX(其他调用!$AJ$5:$AJ$364,MATCH($K276,其他调用!$AG$5:$AG$364,0),0),5)*求节点(节奏总纲!D$4:D$163,攻城基础信息!$AG$5:$AG$164,$K276)</f>
        <v>779960.19359589275</v>
      </c>
      <c r="AP276" s="12">
        <f>MIN(INDEX(其他调用!$AL$5:$AL$364,MATCH($K276,其他调用!$AG$5:$AG$364,0),1)/INDEX(其他调用!AH$5:AH$364,MATCH($K276,其他调用!$AG$5:$AG$364,0),0),1)*INDEX(其他调用!Y$5:Y$404,MATCH($K276,其他调用!$X$5:$X$404,0),0)</f>
        <v>41888.587105084312</v>
      </c>
      <c r="AQ276" s="12">
        <f>MIN(INDEX(其他调用!$AL$5:$AL$364,MATCH($K276,其他调用!$AG$5:$AG$364,0),1)/INDEX(其他调用!AI$5:AI$364,MATCH($K276,其他调用!$AG$5:$AG$364,0),0),1)*INDEX(其他调用!Z$5:Z$404,MATCH($K276,其他调用!$X$5:$X$404,0),0)</f>
        <v>43044.969847127839</v>
      </c>
      <c r="AR276" s="12">
        <f>MIN(INDEX(其他调用!$AL$5:$AL$364,MATCH($K276,其他调用!$AG$5:$AG$364,0),1)/INDEX(其他调用!AJ$5:AJ$364,MATCH($K276,其他调用!$AG$5:$AG$364,0),0),1)*INDEX(其他调用!AA$5:AA$404,MATCH($K276,其他调用!$X$5:$X$404,0),0)</f>
        <v>44569.153919765333</v>
      </c>
      <c r="AS276" s="12">
        <f>MIN(INDEX(其他调用!$AL$5:$AL$364,MATCH($K276,其他调用!$AG$5:$AG$364,0),1)/INDEX(其他调用!AK$5:AK$364,MATCH($K276,其他调用!$AG$5:$AG$364,0),0),1)*INDEX(其他调用!AB$5:AB$404,MATCH($K276,其他调用!$X$5:$X$404,0),0)</f>
        <v>46822.390642117498</v>
      </c>
      <c r="AT276" s="12">
        <f>MIN(INDEX(其他调用!$AL$5:$AL$364,MATCH($K276,其他调用!$AG$5:$AG$364,0),1)/INDEX(其他调用!AL$5:AL$364,MATCH($K276,其他调用!$AG$5:$AG$364,0),0),1)*INDEX(其他调用!AC$5:AC$404,MATCH($K276,其他调用!$X$5:$X$404,0),0)</f>
        <v>50704.810571666647</v>
      </c>
      <c r="AV276" s="14">
        <f>IF(OR(AV$5="大R",AV$5="超R"),MAX(INDEX(其他调用!$H$5:$L$404,MATCH($K276,其他调用!$B$5:$B$404,0),MATCH(AV$5,其他调用!$H$4:$L$4,0))*120*0.85,2),INDEX(其他调用!$H$5:$L$404,MATCH($K276,其他调用!$B$5:$B$404,0),MATCH(AV$5,其他调用!$H$4:$L$4,0))*120*0.85)</f>
        <v>48.921801254999991</v>
      </c>
      <c r="AW276" s="14">
        <f>IF(OR(AW$5="大R",AW$5="超R"),MAX(INDEX(其他调用!$H$5:$L$404,MATCH($K276,其他调用!$B$5:$B$404,0),MATCH(AW$5,其他调用!$H$4:$L$4,0))*120*0.85,2),INDEX(其他调用!$H$5:$L$404,MATCH($K276,其他调用!$B$5:$B$404,0),MATCH(AW$5,其他调用!$H$4:$L$4,0))*120*0.85)</f>
        <v>48.237344010638395</v>
      </c>
      <c r="AX276" s="14">
        <f>IF(OR(AX$5="大R",AX$5="超R"),MAX(INDEX(其他调用!$H$5:$L$404,MATCH($K276,其他调用!$B$5:$B$404,0),MATCH(AX$5,其他调用!$H$4:$L$4,0))*120*0.85,2),INDEX(其他调用!$H$5:$L$404,MATCH($K276,其他调用!$B$5:$B$404,0),MATCH(AX$5,其他调用!$H$4:$L$4,0))*120*0.85)</f>
        <v>3.9376284143615998</v>
      </c>
      <c r="AY276" s="14">
        <f>IF(OR(AY$5="大R",AY$5="超R"),MAX(INDEX(其他调用!$H$5:$L$404,MATCH($K276,其他调用!$B$5:$B$404,0),MATCH(AY$5,其他调用!$H$4:$L$4,0))*120*0.85,2),INDEX(其他调用!$H$5:$L$404,MATCH($K276,其他调用!$B$5:$B$404,0),MATCH(AY$5,其他调用!$H$4:$L$4,0))*120*0.85)</f>
        <v>2</v>
      </c>
      <c r="AZ276" s="14">
        <f>IF(OR(AZ$5="大R",AZ$5="超R"),MAX(INDEX(其他调用!$H$5:$L$404,MATCH($K276,其他调用!$B$5:$B$404,0),MATCH(AZ$5,其他调用!$H$4:$L$4,0))*120*0.85,2),INDEX(其他调用!$H$5:$L$404,MATCH($K276,其他调用!$B$5:$B$404,0),MATCH(AZ$5,其他调用!$H$4:$L$4,0))*120*0.85)</f>
        <v>2</v>
      </c>
      <c r="BA276" s="14">
        <f>INDEX(其他调用!$H$5:$L$404,MATCH($K276,其他调用!$B$5:$B$404,0),MATCH(BA$5,其他调用!$H$4:$L$4,0))*INDEX(其他调用!$M$5:$M$404,MATCH($K276,其他调用!$B$5:$B$404,0))*0.6</f>
        <v>28.777530149999997</v>
      </c>
      <c r="BB276" s="14">
        <f>INDEX(其他调用!$H$5:$L$404,MATCH($K276,其他调用!$B$5:$B$404,0),MATCH(BB$5,其他调用!$H$4:$L$4,0))*INDEX(其他调用!$M$5:$M$404,MATCH($K276,其他调用!$B$5:$B$404,0))*0.6</f>
        <v>28.374908241551999</v>
      </c>
      <c r="BC276" s="14">
        <f>INDEX(其他调用!$H$5:$L$404,MATCH($K276,其他调用!$B$5:$B$404,0),MATCH(BC$5,其他调用!$H$4:$L$4,0))*INDEX(其他调用!$M$5:$M$404,MATCH($K276,其他调用!$B$5:$B$404,0))*0.6</f>
        <v>2.3162520084480001</v>
      </c>
      <c r="BD276" s="14">
        <f>INDEX(其他调用!$H$5:$L$404,MATCH($K276,其他调用!$B$5:$B$404,0),MATCH(BD$5,其他调用!$H$4:$L$4,0))*INDEX(其他调用!$M$5:$M$404,MATCH($K276,其他调用!$B$5:$B$404,0))*0.6</f>
        <v>0.4120776000000001</v>
      </c>
      <c r="BE276" s="14">
        <f>INDEX(其他调用!$H$5:$L$404,MATCH($K276,其他调用!$B$5:$B$404,0),MATCH(BE$5,其他调用!$H$4:$L$4,0))*INDEX(其他调用!$M$5:$M$404,MATCH($K276,其他调用!$B$5:$B$404,0))*0.6</f>
        <v>0.11923199999999998</v>
      </c>
      <c r="BF276" s="14">
        <f>IF(OR(BF$5="大R",BF$5="超R"),0,INDEX(其他调用!$H$5:$L$404,MATCH($K276,其他调用!$B$5:$B$404,0),MATCH(BF$5,其他调用!$H$4:$L$4,0))*50*0.4)</f>
        <v>9.5925100500000013</v>
      </c>
      <c r="BG276" s="14">
        <f>IF(OR(BG$5="大R",BG$5="超R"),0,INDEX(其他调用!$H$5:$L$404,MATCH($K276,其他调用!$B$5:$B$404,0),MATCH(BG$5,其他调用!$H$4:$L$4,0))*50*0.4)</f>
        <v>9.4583027471839998</v>
      </c>
      <c r="BH276" s="14">
        <f>IF(OR(BH$5="大R",BH$5="超R"),0,INDEX(其他调用!$H$5:$L$404,MATCH($K276,其他调用!$B$5:$B$404,0),MATCH(BH$5,其他调用!$H$4:$L$4,0))*50*0.4)</f>
        <v>0.77208400281600009</v>
      </c>
      <c r="BI276" s="14">
        <f>IF(OR(BI$5="大R",BI$5="超R"),0,INDEX(其他调用!$H$5:$L$404,MATCH($K276,其他调用!$B$5:$B$404,0),MATCH(BI$5,其他调用!$H$4:$L$4,0))*50*0.4)</f>
        <v>0</v>
      </c>
      <c r="BJ276" s="14">
        <f>IF(OR(BJ$5="大R",BJ$5="超R"),0,INDEX(其他调用!$H$5:$L$404,MATCH($K276,其他调用!$B$5:$B$404,0),MATCH(BJ$5,其他调用!$H$4:$L$4,0))*50*0.4)</f>
        <v>0</v>
      </c>
      <c r="BL276" s="14">
        <f t="shared" si="523"/>
        <v>271</v>
      </c>
      <c r="BM276" s="14">
        <f t="shared" si="430"/>
        <v>96</v>
      </c>
      <c r="BN276" s="14">
        <f>('疲劳值&amp;地图信息'!$S$10*'疲劳值&amp;地图信息'!$R$10+'疲劳值&amp;地图信息'!$S$11*'疲劳值&amp;地图信息'!$R$11+'疲劳值&amp;地图信息'!$S$12*'疲劳值&amp;地图信息'!$R$12+(BM276-'疲劳值&amp;地图信息'!$S$12-'疲劳值&amp;地图信息'!$S$11-'疲劳值&amp;地图信息'!$S$10)*'疲劳值&amp;地图信息'!$R$13)/BM276</f>
        <v>51.371477246638619</v>
      </c>
      <c r="BO276" s="14">
        <f>INDEX(其他调用!$M$5:$M$404,MATCH(BL276,其他调用!$B$5:$B$404,0))*0.6</f>
        <v>60</v>
      </c>
      <c r="BP276" s="14">
        <f>IF(BO276&gt;SUM('疲劳值&amp;地图信息'!$S$10:$S$12),('疲劳值&amp;地图信息'!$S$10*'疲劳值&amp;地图信息'!$R$10+'疲劳值&amp;地图信息'!$S$11*'疲劳值&amp;地图信息'!$R$11+'疲劳值&amp;地图信息'!$S$12*'疲劳值&amp;地图信息'!$R$12+(BO276-'疲劳值&amp;地图信息'!$S$12-'疲劳值&amp;地图信息'!$S$11-'疲劳值&amp;地图信息'!$S$10)*'疲劳值&amp;地图信息'!$R$13)/BO276,('疲劳值&amp;地图信息'!$S$10*'疲劳值&amp;地图信息'!$R$10+'疲劳值&amp;地图信息'!$S$11*'疲劳值&amp;地图信息'!$R$11+'疲劳值&amp;地图信息'!$S$12*'疲劳值&amp;地图信息'!$R$12+(BO276-'疲劳值&amp;地图信息'!$S$12-'疲劳值&amp;地图信息'!$S$11-'疲劳值&amp;地图信息'!$S$10)*'疲劳值&amp;地图信息'!$R$13)/BO276)</f>
        <v>44.158136341605953</v>
      </c>
      <c r="BQ276" s="14">
        <f t="shared" si="524"/>
        <v>20</v>
      </c>
      <c r="BR276" s="14">
        <f>('疲劳值&amp;地图信息'!$S$10*'疲劳值&amp;地图信息'!$R$10+($BQ276-'疲劳值&amp;地图信息'!$S$10)*'疲劳值&amp;地图信息'!$R$11)/$BQ276</f>
        <v>32.067203015074995</v>
      </c>
      <c r="CF276" s="14">
        <v>271</v>
      </c>
      <c r="CG276" s="51">
        <f t="shared" si="431"/>
        <v>15298</v>
      </c>
      <c r="CH276" s="51">
        <f t="shared" si="432"/>
        <v>1096</v>
      </c>
      <c r="CI276" s="51">
        <f>INT(SUMPRODUCT($N276:$R276,$BA276:$BE276)/SUM($BA276:$BE276)/10000*$BX$7*$BZ$34/'疲劳值&amp;地图信息'!$R$10*$BY$53)</f>
        <v>3320</v>
      </c>
      <c r="CJ276" s="50">
        <f t="shared" si="433"/>
        <v>0.77599675357613873</v>
      </c>
      <c r="CK276" s="50">
        <f t="shared" si="434"/>
        <v>5.5595008623313381E-2</v>
      </c>
      <c r="CL276" s="50">
        <f t="shared" si="435"/>
        <v>0.16840823780054784</v>
      </c>
      <c r="CM276" s="14">
        <f t="shared" si="436"/>
        <v>16689</v>
      </c>
      <c r="CN276" s="14">
        <f t="shared" si="437"/>
        <v>1859</v>
      </c>
      <c r="CO276" s="14">
        <f>INT(SUMPRODUCT($U276:$Y276,$BA276:$BE276)/SUM($BA276:$BE276)/10000*$BX$7*$BZ$34/'疲劳值&amp;地图信息'!$R$10*$BY$54)</f>
        <v>6320</v>
      </c>
      <c r="CP276" s="50">
        <f t="shared" si="438"/>
        <v>0.67110342608975393</v>
      </c>
      <c r="CQ276" s="50">
        <f t="shared" si="439"/>
        <v>7.4754704841563449E-2</v>
      </c>
      <c r="CR276" s="50">
        <f t="shared" si="440"/>
        <v>0.25414186906868264</v>
      </c>
      <c r="CS276" s="14">
        <f t="shared" si="441"/>
        <v>18274</v>
      </c>
      <c r="CT276" s="14">
        <f t="shared" si="442"/>
        <v>3179</v>
      </c>
      <c r="CU276" s="14">
        <f>INT(SUMPRODUCT($AB276:$AF276,$BA276:$BE276)/SUM($BA276:$BE276)/10000*$BX$7*$BZ$34/'疲劳值&amp;地图信息'!$R$10*$BY$55)</f>
        <v>8583</v>
      </c>
      <c r="CV276" s="50">
        <f t="shared" si="443"/>
        <v>0.60840324943401247</v>
      </c>
      <c r="CW276" s="50">
        <f t="shared" si="444"/>
        <v>0.10583965907577574</v>
      </c>
      <c r="CX276" s="50">
        <f t="shared" si="445"/>
        <v>0.28575709149021172</v>
      </c>
      <c r="CY276" s="14">
        <f t="shared" si="446"/>
        <v>22059</v>
      </c>
      <c r="CZ276" s="14">
        <f t="shared" si="447"/>
        <v>9220</v>
      </c>
      <c r="DA276" s="14">
        <f>INT(SUMPRODUCT($AI276:$AM276,$BA276:$BE276)/SUM($BA276:$BE276)/10000*$BX$7*$BZ$34/'疲劳值&amp;地图信息'!$R$10*$BY$56)</f>
        <v>12949</v>
      </c>
      <c r="DB276" s="50">
        <f t="shared" si="448"/>
        <v>0.49875644388170387</v>
      </c>
      <c r="DC276" s="50">
        <f t="shared" si="449"/>
        <v>0.20846522564891018</v>
      </c>
      <c r="DD276" s="50">
        <f t="shared" si="450"/>
        <v>0.29277833046938589</v>
      </c>
      <c r="DE276" s="14">
        <f t="shared" si="451"/>
        <v>23096</v>
      </c>
      <c r="DF276" s="14">
        <f t="shared" si="452"/>
        <v>15896</v>
      </c>
      <c r="DG276" s="14">
        <f>INT(SUMPRODUCT($AP276:$AT276,$BA276:$BE276)/SUM($BA276:$BE276)/10000*$BX$7*$BZ$34/'疲劳值&amp;地图信息'!$R$10*$BY$57)</f>
        <v>17286</v>
      </c>
      <c r="DH276" s="50">
        <f t="shared" si="453"/>
        <v>0.41039127190020969</v>
      </c>
      <c r="DI276" s="50">
        <f t="shared" si="454"/>
        <v>0.28245495575535734</v>
      </c>
      <c r="DJ276" s="50">
        <f t="shared" si="455"/>
        <v>0.30715377234443297</v>
      </c>
      <c r="DL276" s="14">
        <f t="shared" si="526"/>
        <v>19714</v>
      </c>
      <c r="DM276" s="14">
        <f t="shared" si="527"/>
        <v>24868</v>
      </c>
      <c r="DN276" s="14">
        <f t="shared" si="528"/>
        <v>30036</v>
      </c>
      <c r="DO276" s="14">
        <f t="shared" si="529"/>
        <v>44228</v>
      </c>
      <c r="DP276" s="14">
        <f t="shared" si="530"/>
        <v>56278</v>
      </c>
      <c r="DQ276" s="14">
        <f t="shared" si="531"/>
        <v>1367453</v>
      </c>
      <c r="DT276" s="14">
        <f t="shared" si="525"/>
        <v>235575</v>
      </c>
      <c r="DU276" s="50">
        <f t="shared" si="427"/>
        <v>0.14695626027742498</v>
      </c>
      <c r="DW276" s="14">
        <f t="shared" si="456"/>
        <v>1603028</v>
      </c>
      <c r="EB276" s="14">
        <v>271</v>
      </c>
      <c r="EC276" s="51">
        <f t="shared" si="457"/>
        <v>25497</v>
      </c>
      <c r="ED276" s="51">
        <f t="shared" si="458"/>
        <v>1826</v>
      </c>
      <c r="EE276" s="51">
        <f>INT(SUMPRODUCT($N276:$R276,$BF276:$BJ276)/SUM($BF276:$BJ276)/10000*$BX$7*$BZ$46/'疲劳值&amp;地图信息'!$R$10*$BY$53)</f>
        <v>446</v>
      </c>
      <c r="EF276" s="50">
        <f t="shared" si="459"/>
        <v>0.91818214555799638</v>
      </c>
      <c r="EG276" s="50">
        <f t="shared" si="460"/>
        <v>6.575677914220894E-2</v>
      </c>
      <c r="EH276" s="50">
        <f t="shared" si="461"/>
        <v>1.6061075299794735E-2</v>
      </c>
      <c r="EI276" s="51">
        <f t="shared" si="462"/>
        <v>27815</v>
      </c>
      <c r="EJ276" s="51">
        <f t="shared" si="463"/>
        <v>3099</v>
      </c>
      <c r="EK276" s="14">
        <f>INT(SUMPRODUCT($U276:$Y276,$BF276:$BJ276)/SUM($BF276:$BJ276)/10000*$BX$7*$BZ$46/'疲劳值&amp;地图信息'!$R$10*$BY$54)</f>
        <v>848</v>
      </c>
      <c r="EL276" s="50">
        <f t="shared" si="464"/>
        <v>0.87573200680057928</v>
      </c>
      <c r="EM276" s="50">
        <f t="shared" si="465"/>
        <v>9.7569422580442045E-2</v>
      </c>
      <c r="EN276" s="50">
        <f t="shared" si="466"/>
        <v>2.6698570618978654E-2</v>
      </c>
      <c r="EO276" s="51">
        <f t="shared" si="467"/>
        <v>30457</v>
      </c>
      <c r="EP276" s="51">
        <f t="shared" si="468"/>
        <v>5298</v>
      </c>
      <c r="EQ276" s="14">
        <f>INT(SUMPRODUCT($AB276:$AF276,$BF276:$BJ276)/SUM($BF276:$BJ276)/10000*$BX$7*$BZ$46/'疲劳值&amp;地图信息'!$R$10*$BY$55)</f>
        <v>1151</v>
      </c>
      <c r="ER276" s="50">
        <f t="shared" si="469"/>
        <v>0.82525876551238286</v>
      </c>
      <c r="ES276" s="50">
        <f t="shared" si="470"/>
        <v>0.14355389367582508</v>
      </c>
      <c r="ET276" s="50">
        <f t="shared" si="471"/>
        <v>3.1187340811792121E-2</v>
      </c>
      <c r="EU276" s="51">
        <f t="shared" si="472"/>
        <v>36765</v>
      </c>
      <c r="EV276" s="51">
        <f t="shared" si="473"/>
        <v>15367</v>
      </c>
      <c r="EW276" s="14">
        <f>INT(SUMPRODUCT($AI276:$AM276,$BF276:$BJ276)/SUM($BF276:$BJ276)/10000*$BX$7*$BZ$46/'疲劳值&amp;地图信息'!$R$10*$BY$56)</f>
        <v>1726</v>
      </c>
      <c r="EX276" s="50">
        <f t="shared" si="474"/>
        <v>0.68262839318207136</v>
      </c>
      <c r="EY276" s="50">
        <f t="shared" si="475"/>
        <v>0.28532437149541384</v>
      </c>
      <c r="EZ276" s="50">
        <f t="shared" si="476"/>
        <v>3.2047235322514758E-2</v>
      </c>
      <c r="FA276" s="51">
        <f t="shared" si="477"/>
        <v>38494</v>
      </c>
      <c r="FB276" s="51">
        <f t="shared" si="478"/>
        <v>26494</v>
      </c>
      <c r="FC276" s="14">
        <f>INT(SUMPRODUCT($AP276:$AT276,$BF276:$BJ276)/SUM($BF276:$BJ276)/10000*$BX$7*$BZ$46/'疲劳值&amp;地图信息'!$R$10*$BY$57)</f>
        <v>2302</v>
      </c>
      <c r="FD276" s="50">
        <f t="shared" si="479"/>
        <v>0.57206122752266308</v>
      </c>
      <c r="FE276" s="50">
        <f t="shared" si="480"/>
        <v>0.39372863724178925</v>
      </c>
      <c r="FF276" s="50">
        <f t="shared" si="481"/>
        <v>3.4210135235547633E-2</v>
      </c>
      <c r="FH276" s="14">
        <f t="shared" si="482"/>
        <v>27769</v>
      </c>
      <c r="FI276" s="14">
        <f t="shared" si="483"/>
        <v>31762</v>
      </c>
      <c r="FJ276" s="14">
        <f t="shared" si="484"/>
        <v>36906</v>
      </c>
      <c r="FK276" s="14">
        <f t="shared" si="485"/>
        <v>53858</v>
      </c>
      <c r="FL276" s="14">
        <f t="shared" si="486"/>
        <v>67290</v>
      </c>
      <c r="FM276" s="14">
        <f t="shared" si="487"/>
        <v>3278242</v>
      </c>
      <c r="FP276" s="14">
        <f t="shared" si="488"/>
        <v>334150</v>
      </c>
      <c r="FQ276" s="50">
        <f t="shared" si="428"/>
        <v>9.2501035325069925E-2</v>
      </c>
      <c r="FS276" s="14">
        <f t="shared" si="489"/>
        <v>3612392</v>
      </c>
      <c r="FX276" s="14">
        <v>271</v>
      </c>
      <c r="FY276" s="51">
        <f t="shared" si="490"/>
        <v>35696</v>
      </c>
      <c r="FZ276" s="51">
        <f t="shared" si="491"/>
        <v>1826</v>
      </c>
      <c r="GA276" s="51">
        <f>INT(SUMPRODUCT($N276:$R276,$BF276:$BJ276)/SUM($BF276:$BJ276)/10000*$BX$7*$BZ$46/'疲劳值&amp;地图信息'!$R$10*$BY$53)</f>
        <v>446</v>
      </c>
      <c r="GB276" s="50">
        <f t="shared" si="492"/>
        <v>0.94016013485040029</v>
      </c>
      <c r="GC276" s="50">
        <f t="shared" si="493"/>
        <v>4.809313105773283E-2</v>
      </c>
      <c r="GD276" s="50">
        <f t="shared" si="494"/>
        <v>1.1746734091866835E-2</v>
      </c>
      <c r="GE276" s="51">
        <f t="shared" si="495"/>
        <v>38941</v>
      </c>
      <c r="GF276" s="51">
        <f t="shared" si="496"/>
        <v>3099</v>
      </c>
      <c r="GG276" s="14">
        <f>INT(SUMPRODUCT($U276:$Y276,$BF276:$BJ276)/SUM($BF276:$BJ276)/10000*$BX$7*$BZ$46/'疲劳值&amp;地图信息'!$R$10*$BY$54)</f>
        <v>848</v>
      </c>
      <c r="GH276" s="50">
        <f t="shared" si="497"/>
        <v>0.9079695952247715</v>
      </c>
      <c r="GI276" s="50">
        <f t="shared" si="498"/>
        <v>7.225797425853385E-2</v>
      </c>
      <c r="GJ276" s="50">
        <f t="shared" si="499"/>
        <v>1.9772430516694646E-2</v>
      </c>
      <c r="GK276" s="51">
        <f t="shared" si="500"/>
        <v>42639</v>
      </c>
      <c r="GL276" s="51">
        <f t="shared" si="501"/>
        <v>5298</v>
      </c>
      <c r="GM276" s="14">
        <f>INT(SUMPRODUCT($AB276:$AF276,$BF276:$BJ276)/SUM($BF276:$BJ276)/10000*$BX$7*$BZ$46/'疲劳值&amp;地图信息'!$R$10*$BY$55)</f>
        <v>1151</v>
      </c>
      <c r="GN276" s="50">
        <f t="shared" si="502"/>
        <v>0.86862369621903524</v>
      </c>
      <c r="GO276" s="50">
        <f t="shared" si="503"/>
        <v>0.10792861799217732</v>
      </c>
      <c r="GP276" s="50">
        <f t="shared" si="504"/>
        <v>2.3447685788787483E-2</v>
      </c>
      <c r="GQ276" s="51">
        <f t="shared" si="505"/>
        <v>51471</v>
      </c>
      <c r="GR276" s="51">
        <f t="shared" si="506"/>
        <v>15367</v>
      </c>
      <c r="GS276" s="14">
        <f>INT(SUMPRODUCT($AI276:$AM276,$BF276:$BJ276)/SUM($BF276:$BJ276)/10000*$BX$7*$BZ$46/'疲劳值&amp;地图信息'!$R$10*$BY$56)</f>
        <v>1726</v>
      </c>
      <c r="GT276" s="50">
        <f t="shared" si="507"/>
        <v>0.75070007584154952</v>
      </c>
      <c r="GU276" s="50">
        <f t="shared" si="508"/>
        <v>0.22412636368939967</v>
      </c>
      <c r="GV276" s="50">
        <f t="shared" si="509"/>
        <v>2.5173560469050813E-2</v>
      </c>
      <c r="GW276" s="51">
        <f t="shared" si="510"/>
        <v>53892</v>
      </c>
      <c r="GX276" s="51">
        <f t="shared" si="511"/>
        <v>26494</v>
      </c>
      <c r="GY276" s="14">
        <f>INT(SUMPRODUCT($AP276:$AT276,$BF276:$BJ276)/SUM($BF276:$BJ276)/10000*$BX$7*$BZ$46/'疲劳值&amp;地图信息'!$R$10*$BY$57)</f>
        <v>2302</v>
      </c>
      <c r="GZ276" s="50">
        <f t="shared" si="512"/>
        <v>0.65175116099071206</v>
      </c>
      <c r="HA276" s="50">
        <f t="shared" si="513"/>
        <v>0.32040924922600617</v>
      </c>
      <c r="HB276" s="50">
        <f t="shared" si="514"/>
        <v>2.7839589783281733E-2</v>
      </c>
      <c r="HD276" s="14">
        <f t="shared" si="515"/>
        <v>37968</v>
      </c>
      <c r="HE276" s="14">
        <f t="shared" si="516"/>
        <v>42888</v>
      </c>
      <c r="HF276" s="14">
        <f t="shared" si="517"/>
        <v>49088</v>
      </c>
      <c r="HG276" s="14">
        <f t="shared" si="518"/>
        <v>68564</v>
      </c>
      <c r="HH276" s="14">
        <f t="shared" si="519"/>
        <v>82688</v>
      </c>
      <c r="HI276" s="14">
        <f t="shared" si="520"/>
        <v>4422060</v>
      </c>
      <c r="HL276" s="14">
        <f t="shared" si="521"/>
        <v>430050</v>
      </c>
      <c r="HM276" s="50">
        <f t="shared" si="429"/>
        <v>8.8631543802593096E-2</v>
      </c>
      <c r="HO276" s="14">
        <f t="shared" si="522"/>
        <v>4852110</v>
      </c>
    </row>
    <row r="277" spans="11:223" x14ac:dyDescent="0.2">
      <c r="K277" s="14">
        <v>272</v>
      </c>
      <c r="L277" s="12">
        <f>求节点(节奏总纲!D$4:D$163,标准城池设计!AB$4:AB$163,$K277)*求节点(节奏总纲!D$4:D$163,攻城基础信息!$AC$5:$AC$164,$K277)</f>
        <v>751745.35960762098</v>
      </c>
      <c r="M277" s="12">
        <f>INDEX(其他调用!$AA$5:$AA$404,MATCH(K277,其他调用!$X$5:$X$404,0))*MIN(INDEX(其他调用!$AH$5:$AH$364,MATCH('征服点（新）'!K277,其他调用!$AG$5:$AG$364,0),1)/INDEX(其他调用!$AJ$5:$AJ$364,MATCH(K277,其他调用!$AG$5:$AG$364,0),0),5)*求节点(节奏总纲!D$4:D$163,攻城基础信息!$AC$5:$AC$164,$K277)</f>
        <v>53766.661647335866</v>
      </c>
      <c r="N277" s="12">
        <f>MIN(INDEX(其他调用!$AH$5:$AH$364,MATCH($K277,其他调用!$AG$5:$AG$364,0),1)/INDEX(其他调用!AH$5:AH$364,MATCH($K277,其他调用!$AG$5:$AG$364,0),0),1)*INDEX(其他调用!Y$5:Y$404,MATCH($K277,其他调用!$X$5:$X$404,0),0)</f>
        <v>41910.631338260209</v>
      </c>
      <c r="O277" s="12">
        <f>MIN(INDEX(其他调用!$AH$5:$AH$364,MATCH($K277,其他调用!$AG$5:$AG$364,0),1)/INDEX(其他调用!AI$5:AI$364,MATCH($K277,其他调用!$AG$5:$AG$364,0),0),1)*INDEX(其他调用!Z$5:Z$404,MATCH($K277,其他调用!$X$5:$X$404,0),0)</f>
        <v>25368.473268926238</v>
      </c>
      <c r="P277" s="12">
        <f>MIN(INDEX(其他调用!$AH$5:$AH$364,MATCH($K277,其他调用!$AG$5:$AG$364,0),1)/INDEX(其他调用!AJ$5:AJ$364,MATCH($K277,其他调用!$AG$5:$AG$364,0),0),1)*INDEX(其他调用!AA$5:AA$404,MATCH($K277,其他调用!$X$5:$X$404,0),0)</f>
        <v>15361.903327810258</v>
      </c>
      <c r="Q277" s="12">
        <f>MIN(INDEX(其他调用!$AH$5:$AH$364,MATCH($K277,其他调用!$AG$5:$AG$364,0),1)/INDEX(其他调用!AK$5:AK$364,MATCH($K277,其他调用!$AG$5:$AG$364,0),0),1)*INDEX(其他调用!AB$5:AB$404,MATCH($K277,其他调用!$X$5:$X$404,0),0)</f>
        <v>5572.3729932990518</v>
      </c>
      <c r="R277" s="12">
        <f>MIN(INDEX(其他调用!$AH$5:$AH$364,MATCH($K277,其他调用!$AG$5:$AG$364,0),1)/INDEX(其他调用!AL$5:AL$364,MATCH($K277,其他调用!$AG$5:$AG$364,0),0),1)*INDEX(其他调用!AC$5:AC$404,MATCH($K277,其他调用!$X$5:$X$404,0),0)</f>
        <v>3140.6576900987948</v>
      </c>
      <c r="S277" s="12">
        <f>求节点(节奏总纲!D$4:D$163,标准城池设计!AC$4:AC$163,$K277)*求节点(节奏总纲!D$4:D$163,攻城基础信息!$AD$5:$AD$164,$K277)</f>
        <v>820347.16675174213</v>
      </c>
      <c r="T277" s="12">
        <f>INDEX(其他调用!$AA$5:$AA$404,MATCH($K277,其他调用!$X$5:$X$404,0))*MIN(INDEX(其他调用!AI$5:AI$364,MATCH($K277,其他调用!$AG$5:$AG$364,0),1)/INDEX(其他调用!$AJ$5:$AJ$364,MATCH($K277,其他调用!$AG$5:$AG$364,0),0),5)*求节点(节奏总纲!D$4:D$163,攻城基础信息!$AD$5:$AD$164,$K277)</f>
        <v>91275.82584071772</v>
      </c>
      <c r="U277" s="12">
        <f>MIN(INDEX(其他调用!$AI$5:$AI$364,MATCH($K277,其他调用!$AG$5:$AG$364,0),1)/INDEX(其他调用!AH$5:AH$364,MATCH($K277,其他调用!$AG$5:$AG$364,0),0),1)*INDEX(其他调用!Y$5:Y$404,MATCH($K277,其他调用!$X$5:$X$404,0),0)</f>
        <v>41910.631338260209</v>
      </c>
      <c r="V277" s="12">
        <f>MIN(INDEX(其他调用!$AI$5:$AI$364,MATCH($K277,其他调用!$AG$5:$AG$364,0),1)/INDEX(其他调用!AI$5:AI$364,MATCH($K277,其他调用!$AG$5:$AG$364,0),0),1)*INDEX(其他调用!Z$5:Z$404,MATCH($K277,其他调用!$X$5:$X$404,0),0)</f>
        <v>43066.247317479661</v>
      </c>
      <c r="W277" s="12">
        <f>MIN(INDEX(其他调用!$AI$5:$AI$364,MATCH($K277,其他调用!$AG$5:$AG$364,0),1)/INDEX(其他调用!AJ$5:AJ$364,MATCH($K277,其他调用!$AG$5:$AG$364,0),0),1)*INDEX(其他调用!AA$5:AA$404,MATCH($K277,其他调用!$X$5:$X$404,0),0)</f>
        <v>26078.807383062223</v>
      </c>
      <c r="X277" s="12">
        <f>MIN(INDEX(其他调用!$AI$5:$AI$364,MATCH($K277,其他调用!$AG$5:$AG$364,0),1)/INDEX(其他调用!AK$5:AK$364,MATCH($K277,其他调用!$AG$5:$AG$364,0),0),1)*INDEX(其他调用!AB$5:AB$404,MATCH($K277,其他调用!$X$5:$X$404,0),0)</f>
        <v>9459.8201054776746</v>
      </c>
      <c r="Y277" s="12">
        <f>MIN(INDEX(其他调用!$AI$5:$AI$364,MATCH($K277,其他调用!$AG$5:$AG$364,0),1)/INDEX(其他调用!AL$5:AL$364,MATCH($K277,其他调用!$AG$5:$AG$364,0),0),1)*INDEX(其他调用!AC$5:AC$404,MATCH($K277,其他调用!$X$5:$X$404,0),0)</f>
        <v>5331.6705103816448</v>
      </c>
      <c r="Z277" s="12">
        <f>求节点(节奏总纲!D$4:D$163,标准城池设计!AD$4:AD$163,$K277)*求节点(节奏总纲!D$4:D$163,攻城基础信息!$AE$5:$AE$164,$K277)</f>
        <v>898121.89176333393</v>
      </c>
      <c r="AA277" s="12">
        <f>INDEX(其他调用!$AA$5:$AA$404,MATCH($K277,其他调用!$X$5:$X$404,0))*MIN(INDEX(其他调用!AJ$5:AJ$364,MATCH($K277,其他调用!$AG$5:$AG$364,0),1)/INDEX(其他调用!$AJ$5:$AJ$364,MATCH($K277,其他调用!$AG$5:$AG$364,0),0),5)*求节点(节奏总纲!D$4:D$163,攻城基础信息!$AE$5:$AE$164,$K277)</f>
        <v>156069.05461436565</v>
      </c>
      <c r="AB277" s="12">
        <f>MIN(INDEX(其他调用!$AJ$5:$AJ$364,MATCH($K277,其他调用!$AG$5:$AG$364,0),1)/INDEX(其他调用!AH$5:AH$364,MATCH($K277,其他调用!$AG$5:$AG$364,0),0),1)*INDEX(其他调用!Y$5:Y$404,MATCH($K277,其他调用!$X$5:$X$404,0),0)</f>
        <v>41910.631338260209</v>
      </c>
      <c r="AC277" s="12">
        <f>MIN(INDEX(其他调用!$AJ$5:$AJ$364,MATCH($K277,其他调用!$AG$5:$AG$364,0),1)/INDEX(其他调用!AI$5:AI$364,MATCH($K277,其他调用!$AG$5:$AG$364,0),0),1)*INDEX(其他调用!Z$5:Z$404,MATCH($K277,其他调用!$X$5:$X$404,0),0)</f>
        <v>43066.247317479661</v>
      </c>
      <c r="AD277" s="12">
        <f>MIN(INDEX(其他调用!$AJ$5:$AJ$364,MATCH($K277,其他调用!$AG$5:$AG$364,0),1)/INDEX(其他调用!AJ$5:AJ$364,MATCH($K277,其他调用!$AG$5:$AG$364,0),0),1)*INDEX(其他调用!AA$5:AA$404,MATCH($K277,其他调用!$X$5:$X$404,0),0)</f>
        <v>44591.15846124736</v>
      </c>
      <c r="AE277" s="12">
        <f>MIN(INDEX(其他调用!$AJ$5:$AJ$364,MATCH($K277,其他调用!$AG$5:$AG$364,0),1)/INDEX(其他调用!AK$5:AK$364,MATCH($K277,其他调用!$AG$5:$AG$364,0),0),1)*INDEX(其他调用!AB$5:AB$404,MATCH($K277,其他调用!$X$5:$X$404,0),0)</f>
        <v>16174.985732369685</v>
      </c>
      <c r="AF277" s="12">
        <f>MIN(INDEX(其他调用!$AJ$5:$AJ$364,MATCH($K277,其他调用!$AG$5:$AG$364,0),1)/INDEX(其他调用!AL$5:AL$364,MATCH($K277,其他调用!$AG$5:$AG$364,0),0),1)*INDEX(其他调用!AC$5:AC$404,MATCH($K277,其他调用!$X$5:$X$404,0),0)</f>
        <v>9116.4201299327578</v>
      </c>
      <c r="AG277" s="12">
        <f>求节点(节奏总纲!D$4:D$163,标准城池设计!AE$4:AE$163,$K277)*求节点(节奏总纲!D$4:D$163,攻城基础信息!$AF$5:$AF$164,$K277)</f>
        <v>1084231.159854372</v>
      </c>
      <c r="AH277" s="12">
        <f>INDEX(其他调用!$AA$5:$AA$404,MATCH($K277,其他调用!$X$5:$X$404,0))*MIN(INDEX(其他调用!AK$5:AK$364,MATCH($K277,其他调用!$AG$5:$AG$364,0),1)/INDEX(其他调用!$AJ$5:$AJ$364,MATCH($K277,其他调用!$AG$5:$AG$364,0),0),5)*求节点(节奏总纲!D$4:D$163,攻城基础信息!$AF$5:$AF$164,$K277)</f>
        <v>451999.67922332953</v>
      </c>
      <c r="AI277" s="12">
        <f>MIN(INDEX(其他调用!$AK$5:$AK$364,MATCH($K277,其他调用!$AG$5:$AG$364,0),1)/INDEX(其他调用!AH$5:AH$364,MATCH($K277,其他调用!$AG$5:$AG$364,0),0),1)*INDEX(其他调用!Y$5:Y$404,MATCH($K277,其他调用!$X$5:$X$404,0),0)</f>
        <v>41910.631338260209</v>
      </c>
      <c r="AJ277" s="12">
        <f>MIN(INDEX(其他调用!$AK$5:$AK$364,MATCH($K277,其他调用!$AG$5:$AG$364,0),1)/INDEX(其他调用!AI$5:AI$364,MATCH($K277,其他调用!$AG$5:$AG$364,0),0),1)*INDEX(其他调用!Z$5:Z$404,MATCH($K277,其他调用!$X$5:$X$404,0),0)</f>
        <v>43066.247317479661</v>
      </c>
      <c r="AK277" s="12">
        <f>MIN(INDEX(其他调用!$AK$5:$AK$364,MATCH($K277,其他调用!$AG$5:$AG$364,0),1)/INDEX(其他调用!AJ$5:AJ$364,MATCH($K277,其他调用!$AG$5:$AG$364,0),0),1)*INDEX(其他调用!AA$5:AA$404,MATCH($K277,其他调用!$X$5:$X$404,0),0)</f>
        <v>44591.15846124736</v>
      </c>
      <c r="AL277" s="12">
        <f>MIN(INDEX(其他调用!$AK$5:$AK$364,MATCH($K277,其他调用!$AG$5:$AG$364,0),1)/INDEX(其他调用!AK$5:AK$364,MATCH($K277,其他调用!$AG$5:$AG$364,0),0),1)*INDEX(其他调用!AB$5:AB$404,MATCH($K277,其他调用!$X$5:$X$404,0),0)</f>
        <v>46845.214642570572</v>
      </c>
      <c r="AM277" s="12">
        <f>MIN(INDEX(其他调用!$AK$5:$AK$364,MATCH($K277,其他调用!$AG$5:$AG$364,0),1)/INDEX(其他调用!AL$5:AL$364,MATCH($K277,其他调用!$AG$5:$AG$364,0),0),1)*INDEX(其他调用!AC$5:AC$404,MATCH($K277,其他调用!$X$5:$X$404,0),0)</f>
        <v>26402.536906348509</v>
      </c>
      <c r="AN277" s="12">
        <f>求节点(节奏总纲!D$4:D$163,标准城池设计!AF$4:AF$163,$K277)*求节点(节奏总纲!D$4:D$163,攻城基础信息!$AG$5:$AG$164,$K277)</f>
        <v>1135237.2805675508</v>
      </c>
      <c r="AO277" s="12">
        <f>INDEX(其他调用!$AA$5:$AA$404,MATCH($K277,其他调用!$X$5:$X$404,0))*MIN(INDEX(其他调用!AL$5:AL$364,MATCH($K277,其他调用!$AG$5:$AG$364,0),1)/INDEX(其他调用!$AJ$5:$AJ$364,MATCH($K277,其他调用!$AG$5:$AG$364,0),0),5)*求节点(节奏总纲!D$4:D$163,攻城基础信息!$AG$5:$AG$164,$K277)</f>
        <v>780345.2730718283</v>
      </c>
      <c r="AP277" s="12">
        <f>MIN(INDEX(其他调用!$AL$5:$AL$364,MATCH($K277,其他调用!$AG$5:$AG$364,0),1)/INDEX(其他调用!AH$5:AH$364,MATCH($K277,其他调用!$AG$5:$AG$364,0),0),1)*INDEX(其他调用!Y$5:Y$404,MATCH($K277,其他调用!$X$5:$X$404,0),0)</f>
        <v>41910.631338260209</v>
      </c>
      <c r="AQ277" s="12">
        <f>MIN(INDEX(其他调用!$AL$5:$AL$364,MATCH($K277,其他调用!$AG$5:$AG$364,0),1)/INDEX(其他调用!AI$5:AI$364,MATCH($K277,其他调用!$AG$5:$AG$364,0),0),1)*INDEX(其他调用!Z$5:Z$404,MATCH($K277,其他调用!$X$5:$X$404,0),0)</f>
        <v>43066.247317479661</v>
      </c>
      <c r="AR277" s="12">
        <f>MIN(INDEX(其他调用!$AL$5:$AL$364,MATCH($K277,其他调用!$AG$5:$AG$364,0),1)/INDEX(其他调用!AJ$5:AJ$364,MATCH($K277,其他调用!$AG$5:$AG$364,0),0),1)*INDEX(其他调用!AA$5:AA$404,MATCH($K277,其他调用!$X$5:$X$404,0),0)</f>
        <v>44591.15846124736</v>
      </c>
      <c r="AS277" s="12">
        <f>MIN(INDEX(其他调用!$AL$5:$AL$364,MATCH($K277,其他调用!$AG$5:$AG$364,0),1)/INDEX(其他调用!AK$5:AK$364,MATCH($K277,其他调用!$AG$5:$AG$364,0),0),1)*INDEX(其他调用!AB$5:AB$404,MATCH($K277,其他调用!$X$5:$X$404,0),0)</f>
        <v>46845.214642570572</v>
      </c>
      <c r="AT277" s="12">
        <f>MIN(INDEX(其他调用!$AL$5:$AL$364,MATCH($K277,其他调用!$AG$5:$AG$364,0),1)/INDEX(其他调用!AL$5:AL$364,MATCH($K277,其他调用!$AG$5:$AG$364,0),0),1)*INDEX(其他调用!AC$5:AC$404,MATCH($K277,其他调用!$X$5:$X$404,0),0)</f>
        <v>50727.222029439428</v>
      </c>
      <c r="AV277" s="14">
        <f>IF(OR(AV$5="大R",AV$5="超R"),MAX(INDEX(其他调用!$H$5:$L$404,MATCH($K277,其他调用!$B$5:$B$404,0),MATCH(AV$5,其他调用!$H$4:$L$4,0))*120*0.85,2),INDEX(其他调用!$H$5:$L$404,MATCH($K277,其他调用!$B$5:$B$404,0),MATCH(AV$5,其他调用!$H$4:$L$4,0))*120*0.85)</f>
        <v>48.921801254999991</v>
      </c>
      <c r="AW277" s="14">
        <f>IF(OR(AW$5="大R",AW$5="超R"),MAX(INDEX(其他调用!$H$5:$L$404,MATCH($K277,其他调用!$B$5:$B$404,0),MATCH(AW$5,其他调用!$H$4:$L$4,0))*120*0.85,2),INDEX(其他调用!$H$5:$L$404,MATCH($K277,其他调用!$B$5:$B$404,0),MATCH(AW$5,其他调用!$H$4:$L$4,0))*120*0.85)</f>
        <v>48.237344010638395</v>
      </c>
      <c r="AX277" s="14">
        <f>IF(OR(AX$5="大R",AX$5="超R"),MAX(INDEX(其他调用!$H$5:$L$404,MATCH($K277,其他调用!$B$5:$B$404,0),MATCH(AX$5,其他调用!$H$4:$L$4,0))*120*0.85,2),INDEX(其他调用!$H$5:$L$404,MATCH($K277,其他调用!$B$5:$B$404,0),MATCH(AX$5,其他调用!$H$4:$L$4,0))*120*0.85)</f>
        <v>3.9376284143615998</v>
      </c>
      <c r="AY277" s="14">
        <f>IF(OR(AY$5="大R",AY$5="超R"),MAX(INDEX(其他调用!$H$5:$L$404,MATCH($K277,其他调用!$B$5:$B$404,0),MATCH(AY$5,其他调用!$H$4:$L$4,0))*120*0.85,2),INDEX(其他调用!$H$5:$L$404,MATCH($K277,其他调用!$B$5:$B$404,0),MATCH(AY$5,其他调用!$H$4:$L$4,0))*120*0.85)</f>
        <v>2</v>
      </c>
      <c r="AZ277" s="14">
        <f>IF(OR(AZ$5="大R",AZ$5="超R"),MAX(INDEX(其他调用!$H$5:$L$404,MATCH($K277,其他调用!$B$5:$B$404,0),MATCH(AZ$5,其他调用!$H$4:$L$4,0))*120*0.85,2),INDEX(其他调用!$H$5:$L$404,MATCH($K277,其他调用!$B$5:$B$404,0),MATCH(AZ$5,其他调用!$H$4:$L$4,0))*120*0.85)</f>
        <v>2</v>
      </c>
      <c r="BA277" s="14">
        <f>INDEX(其他调用!$H$5:$L$404,MATCH($K277,其他调用!$B$5:$B$404,0),MATCH(BA$5,其他调用!$H$4:$L$4,0))*INDEX(其他调用!$M$5:$M$404,MATCH($K277,其他调用!$B$5:$B$404,0))*0.6</f>
        <v>28.777530149999997</v>
      </c>
      <c r="BB277" s="14">
        <f>INDEX(其他调用!$H$5:$L$404,MATCH($K277,其他调用!$B$5:$B$404,0),MATCH(BB$5,其他调用!$H$4:$L$4,0))*INDEX(其他调用!$M$5:$M$404,MATCH($K277,其他调用!$B$5:$B$404,0))*0.6</f>
        <v>28.374908241551999</v>
      </c>
      <c r="BC277" s="14">
        <f>INDEX(其他调用!$H$5:$L$404,MATCH($K277,其他调用!$B$5:$B$404,0),MATCH(BC$5,其他调用!$H$4:$L$4,0))*INDEX(其他调用!$M$5:$M$404,MATCH($K277,其他调用!$B$5:$B$404,0))*0.6</f>
        <v>2.3162520084480001</v>
      </c>
      <c r="BD277" s="14">
        <f>INDEX(其他调用!$H$5:$L$404,MATCH($K277,其他调用!$B$5:$B$404,0),MATCH(BD$5,其他调用!$H$4:$L$4,0))*INDEX(其他调用!$M$5:$M$404,MATCH($K277,其他调用!$B$5:$B$404,0))*0.6</f>
        <v>0.4120776000000001</v>
      </c>
      <c r="BE277" s="14">
        <f>INDEX(其他调用!$H$5:$L$404,MATCH($K277,其他调用!$B$5:$B$404,0),MATCH(BE$5,其他调用!$H$4:$L$4,0))*INDEX(其他调用!$M$5:$M$404,MATCH($K277,其他调用!$B$5:$B$404,0))*0.6</f>
        <v>0.11923199999999998</v>
      </c>
      <c r="BF277" s="14">
        <f>IF(OR(BF$5="大R",BF$5="超R"),0,INDEX(其他调用!$H$5:$L$404,MATCH($K277,其他调用!$B$5:$B$404,0),MATCH(BF$5,其他调用!$H$4:$L$4,0))*50*0.4)</f>
        <v>9.5925100500000013</v>
      </c>
      <c r="BG277" s="14">
        <f>IF(OR(BG$5="大R",BG$5="超R"),0,INDEX(其他调用!$H$5:$L$404,MATCH($K277,其他调用!$B$5:$B$404,0),MATCH(BG$5,其他调用!$H$4:$L$4,0))*50*0.4)</f>
        <v>9.4583027471839998</v>
      </c>
      <c r="BH277" s="14">
        <f>IF(OR(BH$5="大R",BH$5="超R"),0,INDEX(其他调用!$H$5:$L$404,MATCH($K277,其他调用!$B$5:$B$404,0),MATCH(BH$5,其他调用!$H$4:$L$4,0))*50*0.4)</f>
        <v>0.77208400281600009</v>
      </c>
      <c r="BI277" s="14">
        <f>IF(OR(BI$5="大R",BI$5="超R"),0,INDEX(其他调用!$H$5:$L$404,MATCH($K277,其他调用!$B$5:$B$404,0),MATCH(BI$5,其他调用!$H$4:$L$4,0))*50*0.4)</f>
        <v>0</v>
      </c>
      <c r="BJ277" s="14">
        <f>IF(OR(BJ$5="大R",BJ$5="超R"),0,INDEX(其他调用!$H$5:$L$404,MATCH($K277,其他调用!$B$5:$B$404,0),MATCH(BJ$5,其他调用!$H$4:$L$4,0))*50*0.4)</f>
        <v>0</v>
      </c>
      <c r="BL277" s="14">
        <f t="shared" si="523"/>
        <v>272</v>
      </c>
      <c r="BM277" s="14">
        <f t="shared" si="430"/>
        <v>96</v>
      </c>
      <c r="BN277" s="14">
        <f>('疲劳值&amp;地图信息'!$S$10*'疲劳值&amp;地图信息'!$R$10+'疲劳值&amp;地图信息'!$S$11*'疲劳值&amp;地图信息'!$R$11+'疲劳值&amp;地图信息'!$S$12*'疲劳值&amp;地图信息'!$R$12+(BM277-'疲劳值&amp;地图信息'!$S$12-'疲劳值&amp;地图信息'!$S$11-'疲劳值&amp;地图信息'!$S$10)*'疲劳值&amp;地图信息'!$R$13)/BM277</f>
        <v>51.371477246638619</v>
      </c>
      <c r="BO277" s="14">
        <f>INDEX(其他调用!$M$5:$M$404,MATCH(BL277,其他调用!$B$5:$B$404,0))*0.6</f>
        <v>60</v>
      </c>
      <c r="BP277" s="14">
        <f>IF(BO277&gt;SUM('疲劳值&amp;地图信息'!$S$10:$S$12),('疲劳值&amp;地图信息'!$S$10*'疲劳值&amp;地图信息'!$R$10+'疲劳值&amp;地图信息'!$S$11*'疲劳值&amp;地图信息'!$R$11+'疲劳值&amp;地图信息'!$S$12*'疲劳值&amp;地图信息'!$R$12+(BO277-'疲劳值&amp;地图信息'!$S$12-'疲劳值&amp;地图信息'!$S$11-'疲劳值&amp;地图信息'!$S$10)*'疲劳值&amp;地图信息'!$R$13)/BO277,('疲劳值&amp;地图信息'!$S$10*'疲劳值&amp;地图信息'!$R$10+'疲劳值&amp;地图信息'!$S$11*'疲劳值&amp;地图信息'!$R$11+'疲劳值&amp;地图信息'!$S$12*'疲劳值&amp;地图信息'!$R$12+(BO277-'疲劳值&amp;地图信息'!$S$12-'疲劳值&amp;地图信息'!$S$11-'疲劳值&amp;地图信息'!$S$10)*'疲劳值&amp;地图信息'!$R$13)/BO277)</f>
        <v>44.158136341605953</v>
      </c>
      <c r="BQ277" s="14">
        <f t="shared" si="524"/>
        <v>20</v>
      </c>
      <c r="BR277" s="14">
        <f>('疲劳值&amp;地图信息'!$S$10*'疲劳值&amp;地图信息'!$R$10+($BQ277-'疲劳值&amp;地图信息'!$S$10)*'疲劳值&amp;地图信息'!$R$11)/$BQ277</f>
        <v>32.067203015074995</v>
      </c>
      <c r="CF277" s="14">
        <v>272</v>
      </c>
      <c r="CG277" s="51">
        <f t="shared" si="431"/>
        <v>15321</v>
      </c>
      <c r="CH277" s="51">
        <f t="shared" si="432"/>
        <v>1095</v>
      </c>
      <c r="CI277" s="51">
        <f>INT(SUMPRODUCT($N277:$R277,$BA277:$BE277)/SUM($BA277:$BE277)/10000*$BX$7*$BZ$34/'疲劳值&amp;地图信息'!$R$10*$BY$53)</f>
        <v>3321</v>
      </c>
      <c r="CJ277" s="50">
        <f t="shared" si="433"/>
        <v>0.77625778993768046</v>
      </c>
      <c r="CK277" s="50">
        <f t="shared" si="434"/>
        <v>5.5479556163550693E-2</v>
      </c>
      <c r="CL277" s="50">
        <f t="shared" si="435"/>
        <v>0.16826265389876882</v>
      </c>
      <c r="CM277" s="14">
        <f t="shared" si="436"/>
        <v>16719</v>
      </c>
      <c r="CN277" s="14">
        <f t="shared" si="437"/>
        <v>1860</v>
      </c>
      <c r="CO277" s="14">
        <f>INT(SUMPRODUCT($U277:$Y277,$BA277:$BE277)/SUM($BA277:$BE277)/10000*$BX$7*$BZ$34/'疲劳值&amp;地图信息'!$R$10*$BY$54)</f>
        <v>6324</v>
      </c>
      <c r="CP277" s="50">
        <f t="shared" si="438"/>
        <v>0.67136489579568726</v>
      </c>
      <c r="CQ277" s="50">
        <f t="shared" si="439"/>
        <v>7.4689796410071077E-2</v>
      </c>
      <c r="CR277" s="50">
        <f t="shared" si="440"/>
        <v>0.25394530779424168</v>
      </c>
      <c r="CS277" s="14">
        <f t="shared" si="441"/>
        <v>18304</v>
      </c>
      <c r="CT277" s="14">
        <f t="shared" si="442"/>
        <v>3180</v>
      </c>
      <c r="CU277" s="14">
        <f>INT(SUMPRODUCT($AB277:$AF277,$BA277:$BE277)/SUM($BA277:$BE277)/10000*$BX$7*$BZ$34/'疲劳值&amp;地图信息'!$R$10*$BY$55)</f>
        <v>8587</v>
      </c>
      <c r="CV277" s="50">
        <f t="shared" si="443"/>
        <v>0.60869276046689502</v>
      </c>
      <c r="CW277" s="50">
        <f t="shared" si="444"/>
        <v>0.10574972564929666</v>
      </c>
      <c r="CX277" s="50">
        <f t="shared" si="445"/>
        <v>0.28555751388380834</v>
      </c>
      <c r="CY277" s="14">
        <f t="shared" si="446"/>
        <v>22098</v>
      </c>
      <c r="CZ277" s="14">
        <f t="shared" si="447"/>
        <v>9212</v>
      </c>
      <c r="DA277" s="14">
        <f>INT(SUMPRODUCT($AI277:$AM277,$BA277:$BE277)/SUM($BA277:$BE277)/10000*$BX$7*$BZ$34/'疲劳值&amp;地图信息'!$R$10*$BY$56)</f>
        <v>12956</v>
      </c>
      <c r="DB277" s="50">
        <f t="shared" si="448"/>
        <v>0.4992093254416482</v>
      </c>
      <c r="DC277" s="50">
        <f t="shared" si="449"/>
        <v>0.20810554375818913</v>
      </c>
      <c r="DD277" s="50">
        <f t="shared" si="450"/>
        <v>0.29268513080016267</v>
      </c>
      <c r="DE277" s="14">
        <f t="shared" si="451"/>
        <v>23137</v>
      </c>
      <c r="DF277" s="14">
        <f t="shared" si="452"/>
        <v>15904</v>
      </c>
      <c r="DG277" s="14">
        <f>INT(SUMPRODUCT($AP277:$AT277,$BA277:$BE277)/SUM($BA277:$BE277)/10000*$BX$7*$BZ$34/'疲劳值&amp;地图信息'!$R$10*$BY$57)</f>
        <v>17294</v>
      </c>
      <c r="DH277" s="50">
        <f t="shared" si="453"/>
        <v>0.4107038253306115</v>
      </c>
      <c r="DI277" s="50">
        <f t="shared" si="454"/>
        <v>0.28231117422561464</v>
      </c>
      <c r="DJ277" s="50">
        <f t="shared" si="455"/>
        <v>0.30698500044377386</v>
      </c>
      <c r="DL277" s="14">
        <f t="shared" si="526"/>
        <v>19737</v>
      </c>
      <c r="DM277" s="14">
        <f t="shared" si="527"/>
        <v>24903</v>
      </c>
      <c r="DN277" s="14">
        <f t="shared" si="528"/>
        <v>30071</v>
      </c>
      <c r="DO277" s="14">
        <f t="shared" si="529"/>
        <v>44266</v>
      </c>
      <c r="DP277" s="14">
        <f t="shared" si="530"/>
        <v>56335</v>
      </c>
      <c r="DQ277" s="14">
        <f t="shared" si="531"/>
        <v>1369212</v>
      </c>
      <c r="DT277" s="14">
        <f t="shared" si="525"/>
        <v>235575</v>
      </c>
      <c r="DU277" s="50">
        <f t="shared" si="427"/>
        <v>0.14679518216436199</v>
      </c>
      <c r="DW277" s="14">
        <f t="shared" si="456"/>
        <v>1604787</v>
      </c>
      <c r="EB277" s="14">
        <v>272</v>
      </c>
      <c r="EC277" s="51">
        <f t="shared" si="457"/>
        <v>25535</v>
      </c>
      <c r="ED277" s="51">
        <f t="shared" si="458"/>
        <v>1826</v>
      </c>
      <c r="EE277" s="51">
        <f>INT(SUMPRODUCT($N277:$R277,$BF277:$BJ277)/SUM($BF277:$BJ277)/10000*$BX$7*$BZ$46/'疲劳值&amp;地图信息'!$R$10*$BY$53)</f>
        <v>446</v>
      </c>
      <c r="EF277" s="50">
        <f t="shared" si="459"/>
        <v>0.91829395475959286</v>
      </c>
      <c r="EG277" s="50">
        <f t="shared" si="460"/>
        <v>6.5666918401841259E-2</v>
      </c>
      <c r="EH277" s="50">
        <f t="shared" si="461"/>
        <v>1.6039126838565829E-2</v>
      </c>
      <c r="EI277" s="51">
        <f t="shared" si="462"/>
        <v>27866</v>
      </c>
      <c r="EJ277" s="51">
        <f t="shared" si="463"/>
        <v>3100</v>
      </c>
      <c r="EK277" s="14">
        <f>INT(SUMPRODUCT($U277:$Y277,$BF277:$BJ277)/SUM($BF277:$BJ277)/10000*$BX$7*$BZ$46/'疲劳值&amp;地图信息'!$R$10*$BY$54)</f>
        <v>849</v>
      </c>
      <c r="EL277" s="50">
        <f t="shared" si="464"/>
        <v>0.87587615904447591</v>
      </c>
      <c r="EM277" s="50">
        <f t="shared" si="465"/>
        <v>9.7438315260097441E-2</v>
      </c>
      <c r="EN277" s="50">
        <f t="shared" si="466"/>
        <v>2.6685525695426687E-2</v>
      </c>
      <c r="EO277" s="51">
        <f t="shared" si="467"/>
        <v>30508</v>
      </c>
      <c r="EP277" s="51">
        <f t="shared" si="468"/>
        <v>5301</v>
      </c>
      <c r="EQ277" s="14">
        <f>INT(SUMPRODUCT($AB277:$AF277,$BF277:$BJ277)/SUM($BF277:$BJ277)/10000*$BX$7*$BZ$46/'疲劳值&amp;地图信息'!$R$10*$BY$55)</f>
        <v>1151</v>
      </c>
      <c r="ER277" s="50">
        <f t="shared" si="469"/>
        <v>0.82543290043290041</v>
      </c>
      <c r="ES277" s="50">
        <f t="shared" si="470"/>
        <v>0.14342532467532468</v>
      </c>
      <c r="ET277" s="50">
        <f t="shared" si="471"/>
        <v>3.1141774891774891E-2</v>
      </c>
      <c r="EU277" s="51">
        <f t="shared" si="472"/>
        <v>36830</v>
      </c>
      <c r="EV277" s="51">
        <f t="shared" si="473"/>
        <v>15353</v>
      </c>
      <c r="EW277" s="14">
        <f>INT(SUMPRODUCT($AI277:$AM277,$BF277:$BJ277)/SUM($BF277:$BJ277)/10000*$BX$7*$BZ$46/'疲劳值&amp;地图信息'!$R$10*$BY$56)</f>
        <v>1727</v>
      </c>
      <c r="EX277" s="50">
        <f t="shared" si="474"/>
        <v>0.68317566314227418</v>
      </c>
      <c r="EY277" s="50">
        <f t="shared" si="475"/>
        <v>0.28478946392135041</v>
      </c>
      <c r="EZ277" s="50">
        <f t="shared" si="476"/>
        <v>3.2034872936375441E-2</v>
      </c>
      <c r="FA277" s="51">
        <f t="shared" si="477"/>
        <v>38562</v>
      </c>
      <c r="FB277" s="51">
        <f t="shared" si="478"/>
        <v>26507</v>
      </c>
      <c r="FC277" s="14">
        <f>INT(SUMPRODUCT($AP277:$AT277,$BF277:$BJ277)/SUM($BF277:$BJ277)/10000*$BX$7*$BZ$46/'疲劳值&amp;地图信息'!$R$10*$BY$57)</f>
        <v>2303</v>
      </c>
      <c r="FD277" s="50">
        <f t="shared" si="479"/>
        <v>0.57237428011636882</v>
      </c>
      <c r="FE277" s="50">
        <f t="shared" si="480"/>
        <v>0.39344237962358247</v>
      </c>
      <c r="FF277" s="50">
        <f t="shared" si="481"/>
        <v>3.4183340260048684E-2</v>
      </c>
      <c r="FH277" s="14">
        <f t="shared" si="482"/>
        <v>27807</v>
      </c>
      <c r="FI277" s="14">
        <f t="shared" si="483"/>
        <v>31815</v>
      </c>
      <c r="FJ277" s="14">
        <f t="shared" si="484"/>
        <v>36960</v>
      </c>
      <c r="FK277" s="14">
        <f t="shared" si="485"/>
        <v>53910</v>
      </c>
      <c r="FL277" s="14">
        <f t="shared" si="486"/>
        <v>67372</v>
      </c>
      <c r="FM277" s="14">
        <f t="shared" si="487"/>
        <v>3283138</v>
      </c>
      <c r="FP277" s="14">
        <f t="shared" si="488"/>
        <v>334150</v>
      </c>
      <c r="FQ277" s="50">
        <f t="shared" si="428"/>
        <v>9.2375835156061667E-2</v>
      </c>
      <c r="FS277" s="14">
        <f t="shared" si="489"/>
        <v>3617288</v>
      </c>
      <c r="FX277" s="14">
        <v>272</v>
      </c>
      <c r="FY277" s="51">
        <f t="shared" si="490"/>
        <v>35750</v>
      </c>
      <c r="FZ277" s="51">
        <f t="shared" si="491"/>
        <v>1826</v>
      </c>
      <c r="GA277" s="51">
        <f>INT(SUMPRODUCT($N277:$R277,$BF277:$BJ277)/SUM($BF277:$BJ277)/10000*$BX$7*$BZ$46/'疲劳值&amp;地图信息'!$R$10*$BY$53)</f>
        <v>446</v>
      </c>
      <c r="GB277" s="50">
        <f t="shared" si="492"/>
        <v>0.94024512124559467</v>
      </c>
      <c r="GC277" s="50">
        <f t="shared" si="493"/>
        <v>4.8024827731313453E-2</v>
      </c>
      <c r="GD277" s="50">
        <f t="shared" si="494"/>
        <v>1.1730051023091895E-2</v>
      </c>
      <c r="GE277" s="51">
        <f t="shared" si="495"/>
        <v>39012</v>
      </c>
      <c r="GF277" s="51">
        <f t="shared" si="496"/>
        <v>3100</v>
      </c>
      <c r="GG277" s="14">
        <f>INT(SUMPRODUCT($U277:$Y277,$BF277:$BJ277)/SUM($BF277:$BJ277)/10000*$BX$7*$BZ$46/'疲劳值&amp;地图信息'!$R$10*$BY$54)</f>
        <v>849</v>
      </c>
      <c r="GH277" s="50">
        <f t="shared" si="497"/>
        <v>0.90807942087009152</v>
      </c>
      <c r="GI277" s="50">
        <f t="shared" si="498"/>
        <v>7.2158469309373613E-2</v>
      </c>
      <c r="GJ277" s="50">
        <f t="shared" si="499"/>
        <v>1.9762109820534904E-2</v>
      </c>
      <c r="GK277" s="51">
        <f t="shared" si="500"/>
        <v>42711</v>
      </c>
      <c r="GL277" s="51">
        <f t="shared" si="501"/>
        <v>5301</v>
      </c>
      <c r="GM277" s="14">
        <f>INT(SUMPRODUCT($AB277:$AF277,$BF277:$BJ277)/SUM($BF277:$BJ277)/10000*$BX$7*$BZ$46/'疲劳值&amp;地图信息'!$R$10*$BY$55)</f>
        <v>1151</v>
      </c>
      <c r="GN277" s="50">
        <f t="shared" si="502"/>
        <v>0.86876309419685538</v>
      </c>
      <c r="GO277" s="50">
        <f t="shared" si="503"/>
        <v>0.10782499033826251</v>
      </c>
      <c r="GP277" s="50">
        <f t="shared" si="504"/>
        <v>2.3411915464882128E-2</v>
      </c>
      <c r="GQ277" s="51">
        <f t="shared" si="505"/>
        <v>51562</v>
      </c>
      <c r="GR277" s="51">
        <f t="shared" si="506"/>
        <v>15353</v>
      </c>
      <c r="GS277" s="14">
        <f>INT(SUMPRODUCT($AI277:$AM277,$BF277:$BJ277)/SUM($BF277:$BJ277)/10000*$BX$7*$BZ$46/'疲劳值&amp;地图信息'!$R$10*$BY$56)</f>
        <v>1727</v>
      </c>
      <c r="GT277" s="50">
        <f t="shared" si="507"/>
        <v>0.75117275137670814</v>
      </c>
      <c r="GU277" s="50">
        <f t="shared" si="508"/>
        <v>0.22366772529937939</v>
      </c>
      <c r="GV277" s="50">
        <f t="shared" si="509"/>
        <v>2.5159523323912473E-2</v>
      </c>
      <c r="GW277" s="51">
        <f t="shared" si="510"/>
        <v>53987</v>
      </c>
      <c r="GX277" s="51">
        <f t="shared" si="511"/>
        <v>26507</v>
      </c>
      <c r="GY277" s="14">
        <f>INT(SUMPRODUCT($AP277:$AT277,$BF277:$BJ277)/SUM($BF277:$BJ277)/10000*$BX$7*$BZ$46/'疲劳值&amp;地图信息'!$R$10*$BY$57)</f>
        <v>2303</v>
      </c>
      <c r="GZ277" s="50">
        <f t="shared" si="512"/>
        <v>0.65204053286954844</v>
      </c>
      <c r="HA277" s="50">
        <f t="shared" si="513"/>
        <v>0.32014444967812844</v>
      </c>
      <c r="HB277" s="50">
        <f t="shared" si="514"/>
        <v>2.7815017452323152E-2</v>
      </c>
      <c r="HD277" s="14">
        <f t="shared" si="515"/>
        <v>38022</v>
      </c>
      <c r="HE277" s="14">
        <f t="shared" si="516"/>
        <v>42961</v>
      </c>
      <c r="HF277" s="14">
        <f t="shared" si="517"/>
        <v>49163</v>
      </c>
      <c r="HG277" s="14">
        <f t="shared" si="518"/>
        <v>68642</v>
      </c>
      <c r="HH277" s="14">
        <f t="shared" si="519"/>
        <v>82797</v>
      </c>
      <c r="HI277" s="14">
        <f t="shared" si="520"/>
        <v>4428892</v>
      </c>
      <c r="HL277" s="14">
        <f t="shared" si="521"/>
        <v>430050</v>
      </c>
      <c r="HM277" s="50">
        <f t="shared" si="429"/>
        <v>8.8506921877231706E-2</v>
      </c>
      <c r="HO277" s="14">
        <f t="shared" si="522"/>
        <v>4858942</v>
      </c>
    </row>
    <row r="278" spans="11:223" x14ac:dyDescent="0.2">
      <c r="K278" s="14">
        <v>273</v>
      </c>
      <c r="L278" s="12">
        <f>求节点(节奏总纲!D$4:D$163,标准城池设计!AB$4:AB$163,$K278)*求节点(节奏总纲!D$4:D$163,攻城基础信息!$AC$5:$AC$164,$K278)</f>
        <v>752884.04523940897</v>
      </c>
      <c r="M278" s="12">
        <f>INDEX(其他调用!$AA$5:$AA$404,MATCH(K278,其他调用!$X$5:$X$404,0))*MIN(INDEX(其他调用!$AH$5:$AH$364,MATCH('征服点（新）'!K278,其他调用!$AG$5:$AG$364,0),1)/INDEX(其他调用!$AJ$5:$AJ$364,MATCH(K278,其他调用!$AG$5:$AG$364,0),0),5)*求节点(节奏总纲!D$4:D$163,攻城基础信息!$AC$5:$AC$164,$K278)</f>
        <v>53731.736308351821</v>
      </c>
      <c r="N278" s="12">
        <f>MIN(INDEX(其他调用!$AH$5:$AH$364,MATCH($K278,其他调用!$AG$5:$AG$364,0),1)/INDEX(其他调用!AH$5:AH$364,MATCH($K278,其他调用!$AG$5:$AG$364,0),0),1)*INDEX(其他调用!Y$5:Y$404,MATCH($K278,其他调用!$X$5:$X$404,0),0)</f>
        <v>41932.675571436106</v>
      </c>
      <c r="O278" s="12">
        <f>MIN(INDEX(其他调用!$AH$5:$AH$364,MATCH($K278,其他调用!$AG$5:$AG$364,0),1)/INDEX(其他调用!AI$5:AI$364,MATCH($K278,其他调用!$AG$5:$AG$364,0),0),1)*INDEX(其他调用!Z$5:Z$404,MATCH($K278,其他调用!$X$5:$X$404,0),0)</f>
        <v>25364.743189261309</v>
      </c>
      <c r="P278" s="12">
        <f>MIN(INDEX(其他调用!$AH$5:$AH$364,MATCH($K278,其他调用!$AG$5:$AG$364,0),1)/INDEX(其他调用!AJ$5:AJ$364,MATCH($K278,其他调用!$AG$5:$AG$364,0),0),1)*INDEX(其他调用!AA$5:AA$404,MATCH($K278,其他调用!$X$5:$X$404,0),0)</f>
        <v>15351.924659529101</v>
      </c>
      <c r="Q278" s="12">
        <f>MIN(INDEX(其他调用!$AH$5:$AH$364,MATCH($K278,其他调用!$AG$5:$AG$364,0),1)/INDEX(其他调用!AK$5:AK$364,MATCH($K278,其他调用!$AG$5:$AG$364,0),0),1)*INDEX(其他调用!AB$5:AB$404,MATCH($K278,其他调用!$X$5:$X$404,0),0)</f>
        <v>5577.6812296957014</v>
      </c>
      <c r="R278" s="12">
        <f>MIN(INDEX(其他调用!$AH$5:$AH$364,MATCH($K278,其他调用!$AG$5:$AG$364,0),1)/INDEX(其他调用!AL$5:AL$364,MATCH($K278,其他调用!$AG$5:$AG$364,0),0),1)*INDEX(其他调用!AC$5:AC$404,MATCH($K278,其他调用!$X$5:$X$404,0),0)</f>
        <v>3147.5662094744807</v>
      </c>
      <c r="S278" s="12">
        <f>求节点(节奏总纲!D$4:D$163,标准城池设计!AC$4:AC$163,$K278)*求节点(节奏总纲!D$4:D$163,攻城基础信息!$AD$5:$AD$164,$K278)</f>
        <v>821839.02286370436</v>
      </c>
      <c r="T278" s="12">
        <f>INDEX(其他调用!$AA$5:$AA$404,MATCH($K278,其他调用!$X$5:$X$404,0))*MIN(INDEX(其他调用!AI$5:AI$364,MATCH($K278,其他调用!$AG$5:$AG$364,0),1)/INDEX(其他调用!$AJ$5:$AJ$364,MATCH($K278,其他调用!$AG$5:$AG$364,0),0),5)*求节点(节奏总纲!D$4:D$163,攻城基础信息!$AD$5:$AD$164,$K278)</f>
        <v>91273.446647102464</v>
      </c>
      <c r="U278" s="12">
        <f>MIN(INDEX(其他调用!$AI$5:$AI$364,MATCH($K278,其他调用!$AG$5:$AG$364,0),1)/INDEX(其他调用!AH$5:AH$364,MATCH($K278,其他调用!$AG$5:$AG$364,0),0),1)*INDEX(其他调用!Y$5:Y$404,MATCH($K278,其他调用!$X$5:$X$404,0),0)</f>
        <v>41932.675571436106</v>
      </c>
      <c r="V278" s="12">
        <f>MIN(INDEX(其他调用!$AI$5:$AI$364,MATCH($K278,其他调用!$AG$5:$AG$364,0),1)/INDEX(其他调用!AI$5:AI$364,MATCH($K278,其他调用!$AG$5:$AG$364,0),0),1)*INDEX(其他调用!Z$5:Z$404,MATCH($K278,其他调用!$X$5:$X$404,0),0)</f>
        <v>43086.780611678179</v>
      </c>
      <c r="W278" s="12">
        <f>MIN(INDEX(其他调用!$AI$5:$AI$364,MATCH($K278,其他调用!$AG$5:$AG$364,0),1)/INDEX(其他调用!AJ$5:AJ$364,MATCH($K278,其他调用!$AG$5:$AG$364,0),0),1)*INDEX(其他调用!AA$5:AA$404,MATCH($K278,其他调用!$X$5:$X$404,0),0)</f>
        <v>26078.127613457862</v>
      </c>
      <c r="X278" s="12">
        <f>MIN(INDEX(其他调用!$AI$5:$AI$364,MATCH($K278,其他调用!$AG$5:$AG$364,0),1)/INDEX(其他调用!AK$5:AK$364,MATCH($K278,其他调用!$AG$5:$AG$364,0),0),1)*INDEX(其他调用!AB$5:AB$404,MATCH($K278,其他调用!$X$5:$X$404,0),0)</f>
        <v>9474.7392343999891</v>
      </c>
      <c r="Y278" s="12">
        <f>MIN(INDEX(其他调用!$AI$5:$AI$364,MATCH($K278,其他调用!$AG$5:$AG$364,0),1)/INDEX(其他调用!AL$5:AL$364,MATCH($K278,其他调用!$AG$5:$AG$364,0),0),1)*INDEX(其他调用!AC$5:AC$404,MATCH($K278,其他调用!$X$5:$X$404,0),0)</f>
        <v>5346.7324197382513</v>
      </c>
      <c r="Z278" s="12">
        <f>求节点(节奏总纲!D$4:D$163,标准城池设计!AD$4:AD$163,$K278)*求节点(节奏总纲!D$4:D$163,攻城基础信息!$AE$5:$AE$164,$K278)</f>
        <v>899625.88691854384</v>
      </c>
      <c r="AA278" s="12">
        <f>INDEX(其他调用!$AA$5:$AA$404,MATCH($K278,其他调用!$X$5:$X$404,0))*MIN(INDEX(其他调用!AJ$5:AJ$364,MATCH($K278,其他调用!$AG$5:$AG$364,0),1)/INDEX(其他调用!$AJ$5:$AJ$364,MATCH($K278,其他调用!$AG$5:$AG$364,0),0),5)*求节点(节奏总纲!D$4:D$163,攻城基础信息!$AE$5:$AE$164,$K278)</f>
        <v>156141.50795001697</v>
      </c>
      <c r="AB278" s="12">
        <f>MIN(INDEX(其他调用!$AJ$5:$AJ$364,MATCH($K278,其他调用!$AG$5:$AG$364,0),1)/INDEX(其他调用!AH$5:AH$364,MATCH($K278,其他调用!$AG$5:$AG$364,0),0),1)*INDEX(其他调用!Y$5:Y$404,MATCH($K278,其他调用!$X$5:$X$404,0),0)</f>
        <v>41932.675571436106</v>
      </c>
      <c r="AC278" s="12">
        <f>MIN(INDEX(其他调用!$AJ$5:$AJ$364,MATCH($K278,其他调用!$AG$5:$AG$364,0),1)/INDEX(其他调用!AI$5:AI$364,MATCH($K278,其他调用!$AG$5:$AG$364,0),0),1)*INDEX(其他调用!Z$5:Z$404,MATCH($K278,其他调用!$X$5:$X$404,0),0)</f>
        <v>43086.780611678179</v>
      </c>
      <c r="AD278" s="12">
        <f>MIN(INDEX(其他调用!$AJ$5:$AJ$364,MATCH($K278,其他调用!$AG$5:$AG$364,0),1)/INDEX(其他调用!AJ$5:AJ$364,MATCH($K278,其他调用!$AG$5:$AG$364,0),0),1)*INDEX(其他调用!AA$5:AA$404,MATCH($K278,其他调用!$X$5:$X$404,0),0)</f>
        <v>44611.859414290593</v>
      </c>
      <c r="AE278" s="12">
        <f>MIN(INDEX(其他调用!$AJ$5:$AJ$364,MATCH($K278,其他调用!$AG$5:$AG$364,0),1)/INDEX(其他调用!AK$5:AK$364,MATCH($K278,其他调用!$AG$5:$AG$364,0),0),1)*INDEX(其他调用!AB$5:AB$404,MATCH($K278,其他调用!$X$5:$X$404,0),0)</f>
        <v>16208.438772037633</v>
      </c>
      <c r="AF278" s="12">
        <f>MIN(INDEX(其他调用!$AJ$5:$AJ$364,MATCH($K278,其他调用!$AG$5:$AG$364,0),1)/INDEX(其他调用!AL$5:AL$364,MATCH($K278,其他调用!$AG$5:$AG$364,0),0),1)*INDEX(其他调用!AC$5:AC$404,MATCH($K278,其他调用!$X$5:$X$404,0),0)</f>
        <v>9146.6564843443048</v>
      </c>
      <c r="AG278" s="12">
        <f>求节点(节奏总纲!D$4:D$163,标准城池设计!AE$4:AE$163,$K278)*求节点(节奏总纲!D$4:D$163,攻城基础信息!$AF$5:$AF$164,$K278)</f>
        <v>1086142.3068678731</v>
      </c>
      <c r="AH278" s="12">
        <f>INDEX(其他调用!$AA$5:$AA$404,MATCH($K278,其他调用!$X$5:$X$404,0))*MIN(INDEX(其他调用!AK$5:AK$364,MATCH($K278,其他调用!$AG$5:$AG$364,0),1)/INDEX(其他调用!$AJ$5:$AJ$364,MATCH($K278,其他调用!$AG$5:$AG$364,0),0),5)*求节点(节奏总纲!D$4:D$163,攻城基础信息!$AF$5:$AF$164,$K278)</f>
        <v>451486.30392217572</v>
      </c>
      <c r="AI278" s="12">
        <f>MIN(INDEX(其他调用!$AK$5:$AK$364,MATCH($K278,其他调用!$AG$5:$AG$364,0),1)/INDEX(其他调用!AH$5:AH$364,MATCH($K278,其他调用!$AG$5:$AG$364,0),0),1)*INDEX(其他调用!Y$5:Y$404,MATCH($K278,其他调用!$X$5:$X$404,0),0)</f>
        <v>41932.675571436106</v>
      </c>
      <c r="AJ278" s="12">
        <f>MIN(INDEX(其他调用!$AK$5:$AK$364,MATCH($K278,其他调用!$AG$5:$AG$364,0),1)/INDEX(其他调用!AI$5:AI$364,MATCH($K278,其他调用!$AG$5:$AG$364,0),0),1)*INDEX(其他调用!Z$5:Z$404,MATCH($K278,其他调用!$X$5:$X$404,0),0)</f>
        <v>43086.780611678179</v>
      </c>
      <c r="AK278" s="12">
        <f>MIN(INDEX(其他调用!$AK$5:$AK$364,MATCH($K278,其他调用!$AG$5:$AG$364,0),1)/INDEX(其他调用!AJ$5:AJ$364,MATCH($K278,其他调用!$AG$5:$AG$364,0),0),1)*INDEX(其他调用!AA$5:AA$404,MATCH($K278,其他调用!$X$5:$X$404,0),0)</f>
        <v>44611.859414290593</v>
      </c>
      <c r="AL278" s="12">
        <f>MIN(INDEX(其他调用!$AK$5:$AK$364,MATCH($K278,其他调用!$AG$5:$AG$364,0),1)/INDEX(其他调用!AK$5:AK$364,MATCH($K278,其他调用!$AG$5:$AG$364,0),0),1)*INDEX(其他调用!AB$5:AB$404,MATCH($K278,其他调用!$X$5:$X$404,0),0)</f>
        <v>46867.026004889834</v>
      </c>
      <c r="AM278" s="12">
        <f>MIN(INDEX(其他调用!$AK$5:$AK$364,MATCH($K278,其他调用!$AG$5:$AG$364,0),1)/INDEX(其他调用!AL$5:AL$364,MATCH($K278,其他调用!$AG$5:$AG$364,0),0),1)*INDEX(其他调用!AC$5:AC$404,MATCH($K278,其他调用!$X$5:$X$404,0),0)</f>
        <v>26447.74079346249</v>
      </c>
      <c r="AN278" s="12">
        <f>求节点(节奏总纲!D$4:D$163,标准城池设计!AF$4:AF$163,$K278)*求节点(节奏总纲!D$4:D$163,攻城基础信息!$AG$5:$AG$164,$K278)</f>
        <v>1137242.3567270869</v>
      </c>
      <c r="AO278" s="12">
        <f>INDEX(其他调用!$AA$5:$AA$404,MATCH($K278,其他调用!$X$5:$X$404,0))*MIN(INDEX(其他调用!AL$5:AL$364,MATCH($K278,其他调用!$AG$5:$AG$364,0),1)/INDEX(其他调用!$AJ$5:$AJ$364,MATCH($K278,其他调用!$AG$5:$AG$364,0),0),5)*求节点(节奏总纲!D$4:D$163,攻城基础信息!$AG$5:$AG$164,$K278)</f>
        <v>780707.53975008486</v>
      </c>
      <c r="AP278" s="12">
        <f>MIN(INDEX(其他调用!$AL$5:$AL$364,MATCH($K278,其他调用!$AG$5:$AG$364,0),1)/INDEX(其他调用!AH$5:AH$364,MATCH($K278,其他调用!$AG$5:$AG$364,0),0),1)*INDEX(其他调用!Y$5:Y$404,MATCH($K278,其他调用!$X$5:$X$404,0),0)</f>
        <v>41932.675571436106</v>
      </c>
      <c r="AQ278" s="12">
        <f>MIN(INDEX(其他调用!$AL$5:$AL$364,MATCH($K278,其他调用!$AG$5:$AG$364,0),1)/INDEX(其他调用!AI$5:AI$364,MATCH($K278,其他调用!$AG$5:$AG$364,0),0),1)*INDEX(其他调用!Z$5:Z$404,MATCH($K278,其他调用!$X$5:$X$404,0),0)</f>
        <v>43086.780611678179</v>
      </c>
      <c r="AR278" s="12">
        <f>MIN(INDEX(其他调用!$AL$5:$AL$364,MATCH($K278,其他调用!$AG$5:$AG$364,0),1)/INDEX(其他调用!AJ$5:AJ$364,MATCH($K278,其他调用!$AG$5:$AG$364,0),0),1)*INDEX(其他调用!AA$5:AA$404,MATCH($K278,其他调用!$X$5:$X$404,0),0)</f>
        <v>44611.859414290593</v>
      </c>
      <c r="AS278" s="12">
        <f>MIN(INDEX(其他调用!$AL$5:$AL$364,MATCH($K278,其他调用!$AG$5:$AG$364,0),1)/INDEX(其他调用!AK$5:AK$364,MATCH($K278,其他调用!$AG$5:$AG$364,0),0),1)*INDEX(其他调用!AB$5:AB$404,MATCH($K278,其他调用!$X$5:$X$404,0),0)</f>
        <v>46867.026004889834</v>
      </c>
      <c r="AT278" s="12">
        <f>MIN(INDEX(其他调用!$AL$5:$AL$364,MATCH($K278,其他调用!$AG$5:$AG$364,0),1)/INDEX(其他调用!AL$5:AL$364,MATCH($K278,其他调用!$AG$5:$AG$364,0),0),1)*INDEX(其他调用!AC$5:AC$404,MATCH($K278,其他调用!$X$5:$X$404,0),0)</f>
        <v>50749.63348721221</v>
      </c>
      <c r="AV278" s="14">
        <f>IF(OR(AV$5="大R",AV$5="超R"),MAX(INDEX(其他调用!$H$5:$L$404,MATCH($K278,其他调用!$B$5:$B$404,0),MATCH(AV$5,其他调用!$H$4:$L$4,0))*120*0.85,2),INDEX(其他调用!$H$5:$L$404,MATCH($K278,其他调用!$B$5:$B$404,0),MATCH(AV$5,其他调用!$H$4:$L$4,0))*120*0.85)</f>
        <v>48.921801254999991</v>
      </c>
      <c r="AW278" s="14">
        <f>IF(OR(AW$5="大R",AW$5="超R"),MAX(INDEX(其他调用!$H$5:$L$404,MATCH($K278,其他调用!$B$5:$B$404,0),MATCH(AW$5,其他调用!$H$4:$L$4,0))*120*0.85,2),INDEX(其他调用!$H$5:$L$404,MATCH($K278,其他调用!$B$5:$B$404,0),MATCH(AW$5,其他调用!$H$4:$L$4,0))*120*0.85)</f>
        <v>48.237344010638395</v>
      </c>
      <c r="AX278" s="14">
        <f>IF(OR(AX$5="大R",AX$5="超R"),MAX(INDEX(其他调用!$H$5:$L$404,MATCH($K278,其他调用!$B$5:$B$404,0),MATCH(AX$5,其他调用!$H$4:$L$4,0))*120*0.85,2),INDEX(其他调用!$H$5:$L$404,MATCH($K278,其他调用!$B$5:$B$404,0),MATCH(AX$5,其他调用!$H$4:$L$4,0))*120*0.85)</f>
        <v>3.9376284143615998</v>
      </c>
      <c r="AY278" s="14">
        <f>IF(OR(AY$5="大R",AY$5="超R"),MAX(INDEX(其他调用!$H$5:$L$404,MATCH($K278,其他调用!$B$5:$B$404,0),MATCH(AY$5,其他调用!$H$4:$L$4,0))*120*0.85,2),INDEX(其他调用!$H$5:$L$404,MATCH($K278,其他调用!$B$5:$B$404,0),MATCH(AY$5,其他调用!$H$4:$L$4,0))*120*0.85)</f>
        <v>2</v>
      </c>
      <c r="AZ278" s="14">
        <f>IF(OR(AZ$5="大R",AZ$5="超R"),MAX(INDEX(其他调用!$H$5:$L$404,MATCH($K278,其他调用!$B$5:$B$404,0),MATCH(AZ$5,其他调用!$H$4:$L$4,0))*120*0.85,2),INDEX(其他调用!$H$5:$L$404,MATCH($K278,其他调用!$B$5:$B$404,0),MATCH(AZ$5,其他调用!$H$4:$L$4,0))*120*0.85)</f>
        <v>2</v>
      </c>
      <c r="BA278" s="14">
        <f>INDEX(其他调用!$H$5:$L$404,MATCH($K278,其他调用!$B$5:$B$404,0),MATCH(BA$5,其他调用!$H$4:$L$4,0))*INDEX(其他调用!$M$5:$M$404,MATCH($K278,其他调用!$B$5:$B$404,0))*0.6</f>
        <v>28.777530149999997</v>
      </c>
      <c r="BB278" s="14">
        <f>INDEX(其他调用!$H$5:$L$404,MATCH($K278,其他调用!$B$5:$B$404,0),MATCH(BB$5,其他调用!$H$4:$L$4,0))*INDEX(其他调用!$M$5:$M$404,MATCH($K278,其他调用!$B$5:$B$404,0))*0.6</f>
        <v>28.374908241551999</v>
      </c>
      <c r="BC278" s="14">
        <f>INDEX(其他调用!$H$5:$L$404,MATCH($K278,其他调用!$B$5:$B$404,0),MATCH(BC$5,其他调用!$H$4:$L$4,0))*INDEX(其他调用!$M$5:$M$404,MATCH($K278,其他调用!$B$5:$B$404,0))*0.6</f>
        <v>2.3162520084480001</v>
      </c>
      <c r="BD278" s="14">
        <f>INDEX(其他调用!$H$5:$L$404,MATCH($K278,其他调用!$B$5:$B$404,0),MATCH(BD$5,其他调用!$H$4:$L$4,0))*INDEX(其他调用!$M$5:$M$404,MATCH($K278,其他调用!$B$5:$B$404,0))*0.6</f>
        <v>0.4120776000000001</v>
      </c>
      <c r="BE278" s="14">
        <f>INDEX(其他调用!$H$5:$L$404,MATCH($K278,其他调用!$B$5:$B$404,0),MATCH(BE$5,其他调用!$H$4:$L$4,0))*INDEX(其他调用!$M$5:$M$404,MATCH($K278,其他调用!$B$5:$B$404,0))*0.6</f>
        <v>0.11923199999999998</v>
      </c>
      <c r="BF278" s="14">
        <f>IF(OR(BF$5="大R",BF$5="超R"),0,INDEX(其他调用!$H$5:$L$404,MATCH($K278,其他调用!$B$5:$B$404,0),MATCH(BF$5,其他调用!$H$4:$L$4,0))*50*0.4)</f>
        <v>9.5925100500000013</v>
      </c>
      <c r="BG278" s="14">
        <f>IF(OR(BG$5="大R",BG$5="超R"),0,INDEX(其他调用!$H$5:$L$404,MATCH($K278,其他调用!$B$5:$B$404,0),MATCH(BG$5,其他调用!$H$4:$L$4,0))*50*0.4)</f>
        <v>9.4583027471839998</v>
      </c>
      <c r="BH278" s="14">
        <f>IF(OR(BH$5="大R",BH$5="超R"),0,INDEX(其他调用!$H$5:$L$404,MATCH($K278,其他调用!$B$5:$B$404,0),MATCH(BH$5,其他调用!$H$4:$L$4,0))*50*0.4)</f>
        <v>0.77208400281600009</v>
      </c>
      <c r="BI278" s="14">
        <f>IF(OR(BI$5="大R",BI$5="超R"),0,INDEX(其他调用!$H$5:$L$404,MATCH($K278,其他调用!$B$5:$B$404,0),MATCH(BI$5,其他调用!$H$4:$L$4,0))*50*0.4)</f>
        <v>0</v>
      </c>
      <c r="BJ278" s="14">
        <f>IF(OR(BJ$5="大R",BJ$5="超R"),0,INDEX(其他调用!$H$5:$L$404,MATCH($K278,其他调用!$B$5:$B$404,0),MATCH(BJ$5,其他调用!$H$4:$L$4,0))*50*0.4)</f>
        <v>0</v>
      </c>
      <c r="BL278" s="14">
        <f t="shared" si="523"/>
        <v>273</v>
      </c>
      <c r="BM278" s="14">
        <f t="shared" si="430"/>
        <v>96</v>
      </c>
      <c r="BN278" s="14">
        <f>('疲劳值&amp;地图信息'!$S$10*'疲劳值&amp;地图信息'!$R$10+'疲劳值&amp;地图信息'!$S$11*'疲劳值&amp;地图信息'!$R$11+'疲劳值&amp;地图信息'!$S$12*'疲劳值&amp;地图信息'!$R$12+(BM278-'疲劳值&amp;地图信息'!$S$12-'疲劳值&amp;地图信息'!$S$11-'疲劳值&amp;地图信息'!$S$10)*'疲劳值&amp;地图信息'!$R$13)/BM278</f>
        <v>51.371477246638619</v>
      </c>
      <c r="BO278" s="14">
        <f>INDEX(其他调用!$M$5:$M$404,MATCH(BL278,其他调用!$B$5:$B$404,0))*0.6</f>
        <v>60</v>
      </c>
      <c r="BP278" s="14">
        <f>IF(BO278&gt;SUM('疲劳值&amp;地图信息'!$S$10:$S$12),('疲劳值&amp;地图信息'!$S$10*'疲劳值&amp;地图信息'!$R$10+'疲劳值&amp;地图信息'!$S$11*'疲劳值&amp;地图信息'!$R$11+'疲劳值&amp;地图信息'!$S$12*'疲劳值&amp;地图信息'!$R$12+(BO278-'疲劳值&amp;地图信息'!$S$12-'疲劳值&amp;地图信息'!$S$11-'疲劳值&amp;地图信息'!$S$10)*'疲劳值&amp;地图信息'!$R$13)/BO278,('疲劳值&amp;地图信息'!$S$10*'疲劳值&amp;地图信息'!$R$10+'疲劳值&amp;地图信息'!$S$11*'疲劳值&amp;地图信息'!$R$11+'疲劳值&amp;地图信息'!$S$12*'疲劳值&amp;地图信息'!$R$12+(BO278-'疲劳值&amp;地图信息'!$S$12-'疲劳值&amp;地图信息'!$S$11-'疲劳值&amp;地图信息'!$S$10)*'疲劳值&amp;地图信息'!$R$13)/BO278)</f>
        <v>44.158136341605953</v>
      </c>
      <c r="BQ278" s="14">
        <f t="shared" si="524"/>
        <v>20</v>
      </c>
      <c r="BR278" s="14">
        <f>('疲劳值&amp;地图信息'!$S$10*'疲劳值&amp;地图信息'!$R$10+($BQ278-'疲劳值&amp;地图信息'!$S$10)*'疲劳值&amp;地图信息'!$R$11)/$BQ278</f>
        <v>32.067203015074995</v>
      </c>
      <c r="CF278" s="14">
        <v>273</v>
      </c>
      <c r="CG278" s="51">
        <f t="shared" si="431"/>
        <v>15344</v>
      </c>
      <c r="CH278" s="51">
        <f t="shared" si="432"/>
        <v>1095</v>
      </c>
      <c r="CI278" s="51">
        <f>INT(SUMPRODUCT($N278:$R278,$BA278:$BE278)/SUM($BA278:$BE278)/10000*$BX$7*$BZ$34/'疲劳值&amp;地图信息'!$R$10*$BY$53)</f>
        <v>3322</v>
      </c>
      <c r="CJ278" s="50">
        <f t="shared" si="433"/>
        <v>0.77647892313142053</v>
      </c>
      <c r="CK278" s="50">
        <f t="shared" si="434"/>
        <v>5.5412175497191435E-2</v>
      </c>
      <c r="CL278" s="50">
        <f t="shared" si="435"/>
        <v>0.16810890137138809</v>
      </c>
      <c r="CM278" s="14">
        <f t="shared" si="436"/>
        <v>16750</v>
      </c>
      <c r="CN278" s="14">
        <f t="shared" si="437"/>
        <v>1860</v>
      </c>
      <c r="CO278" s="14">
        <f>INT(SUMPRODUCT($U278:$Y278,$BA278:$BE278)/SUM($BA278:$BE278)/10000*$BX$7*$BZ$34/'疲劳值&amp;地图信息'!$R$10*$BY$54)</f>
        <v>6327</v>
      </c>
      <c r="CP278" s="50">
        <f t="shared" si="438"/>
        <v>0.67169266551710305</v>
      </c>
      <c r="CQ278" s="50">
        <f t="shared" si="439"/>
        <v>7.4587961663391752E-2</v>
      </c>
      <c r="CR278" s="50">
        <f t="shared" si="440"/>
        <v>0.25371937281950513</v>
      </c>
      <c r="CS278" s="14">
        <f t="shared" si="441"/>
        <v>18335</v>
      </c>
      <c r="CT278" s="14">
        <f t="shared" si="442"/>
        <v>3182</v>
      </c>
      <c r="CU278" s="14">
        <f>INT(SUMPRODUCT($AB278:$AF278,$BA278:$BE278)/SUM($BA278:$BE278)/10000*$BX$7*$BZ$34/'疲劳值&amp;地图信息'!$R$10*$BY$55)</f>
        <v>8592</v>
      </c>
      <c r="CV278" s="50">
        <f t="shared" si="443"/>
        <v>0.60895413331561987</v>
      </c>
      <c r="CW278" s="50">
        <f t="shared" si="444"/>
        <v>0.10568268623999469</v>
      </c>
      <c r="CX278" s="50">
        <f t="shared" si="445"/>
        <v>0.28536318044438541</v>
      </c>
      <c r="CY278" s="14">
        <f t="shared" si="446"/>
        <v>22136</v>
      </c>
      <c r="CZ278" s="14">
        <f t="shared" si="447"/>
        <v>9201</v>
      </c>
      <c r="DA278" s="14">
        <f>INT(SUMPRODUCT($AI278:$AM278,$BA278:$BE278)/SUM($BA278:$BE278)/10000*$BX$7*$BZ$34/'疲劳值&amp;地图信息'!$R$10*$BY$56)</f>
        <v>12962</v>
      </c>
      <c r="DB278" s="50">
        <f t="shared" si="448"/>
        <v>0.49969525271450821</v>
      </c>
      <c r="DC278" s="50">
        <f t="shared" si="449"/>
        <v>0.20770220546739204</v>
      </c>
      <c r="DD278" s="50">
        <f t="shared" si="450"/>
        <v>0.29260254181809975</v>
      </c>
      <c r="DE278" s="14">
        <f t="shared" si="451"/>
        <v>23178</v>
      </c>
      <c r="DF278" s="14">
        <f t="shared" si="452"/>
        <v>15911</v>
      </c>
      <c r="DG278" s="14">
        <f>INT(SUMPRODUCT($AP278:$AT278,$BA278:$BE278)/SUM($BA278:$BE278)/10000*$BX$7*$BZ$34/'疲劳值&amp;地图信息'!$R$10*$BY$57)</f>
        <v>17303</v>
      </c>
      <c r="DH278" s="50">
        <f t="shared" si="453"/>
        <v>0.41101574691445597</v>
      </c>
      <c r="DI278" s="50">
        <f t="shared" si="454"/>
        <v>0.28214995034756701</v>
      </c>
      <c r="DJ278" s="50">
        <f t="shared" si="455"/>
        <v>0.30683430273797702</v>
      </c>
      <c r="DL278" s="14">
        <f t="shared" si="526"/>
        <v>19761</v>
      </c>
      <c r="DM278" s="14">
        <f t="shared" si="527"/>
        <v>24937</v>
      </c>
      <c r="DN278" s="14">
        <f t="shared" si="528"/>
        <v>30109</v>
      </c>
      <c r="DO278" s="14">
        <f t="shared" si="529"/>
        <v>44299</v>
      </c>
      <c r="DP278" s="14">
        <f t="shared" si="530"/>
        <v>56392</v>
      </c>
      <c r="DQ278" s="14">
        <f t="shared" si="531"/>
        <v>1370976</v>
      </c>
      <c r="DT278" s="14">
        <f t="shared" si="525"/>
        <v>235575</v>
      </c>
      <c r="DU278" s="50">
        <f t="shared" si="427"/>
        <v>0.14663400041455266</v>
      </c>
      <c r="DW278" s="14">
        <f t="shared" si="456"/>
        <v>1606551</v>
      </c>
      <c r="EB278" s="14">
        <v>273</v>
      </c>
      <c r="EC278" s="51">
        <f t="shared" si="457"/>
        <v>25574</v>
      </c>
      <c r="ED278" s="51">
        <f t="shared" si="458"/>
        <v>1825</v>
      </c>
      <c r="EE278" s="51">
        <f>INT(SUMPRODUCT($N278:$R278,$BF278:$BJ278)/SUM($BF278:$BJ278)/10000*$BX$7*$BZ$46/'疲劳值&amp;地图信息'!$R$10*$BY$53)</f>
        <v>446</v>
      </c>
      <c r="EF278" s="50">
        <f t="shared" si="459"/>
        <v>0.91844137188005026</v>
      </c>
      <c r="EG278" s="50">
        <f t="shared" si="460"/>
        <v>6.5541389836595437E-2</v>
      </c>
      <c r="EH278" s="50">
        <f t="shared" si="461"/>
        <v>1.6017238283354284E-2</v>
      </c>
      <c r="EI278" s="51">
        <f t="shared" si="462"/>
        <v>27916</v>
      </c>
      <c r="EJ278" s="51">
        <f t="shared" si="463"/>
        <v>3100</v>
      </c>
      <c r="EK278" s="14">
        <f>INT(SUMPRODUCT($U278:$Y278,$BF278:$BJ278)/SUM($BF278:$BJ278)/10000*$BX$7*$BZ$46/'疲劳值&amp;地图信息'!$R$10*$BY$54)</f>
        <v>849</v>
      </c>
      <c r="EL278" s="50">
        <f t="shared" si="464"/>
        <v>0.87607092421151733</v>
      </c>
      <c r="EM278" s="50">
        <f t="shared" si="465"/>
        <v>9.7285422877765579E-2</v>
      </c>
      <c r="EN278" s="50">
        <f t="shared" si="466"/>
        <v>2.6643652910717089E-2</v>
      </c>
      <c r="EO278" s="51">
        <f t="shared" si="467"/>
        <v>30559</v>
      </c>
      <c r="EP278" s="51">
        <f t="shared" si="468"/>
        <v>5303</v>
      </c>
      <c r="EQ278" s="14">
        <f>INT(SUMPRODUCT($AB278:$AF278,$BF278:$BJ278)/SUM($BF278:$BJ278)/10000*$BX$7*$BZ$46/'疲劳值&amp;地图信息'!$R$10*$BY$55)</f>
        <v>1152</v>
      </c>
      <c r="ER278" s="50">
        <f t="shared" si="469"/>
        <v>0.82560652725995565</v>
      </c>
      <c r="ES278" s="50">
        <f t="shared" si="470"/>
        <v>0.1432701140109148</v>
      </c>
      <c r="ET278" s="50">
        <f t="shared" si="471"/>
        <v>3.1123358729129517E-2</v>
      </c>
      <c r="EU278" s="51">
        <f t="shared" si="472"/>
        <v>36894</v>
      </c>
      <c r="EV278" s="51">
        <f t="shared" si="473"/>
        <v>15336</v>
      </c>
      <c r="EW278" s="14">
        <f>INT(SUMPRODUCT($AI278:$AM278,$BF278:$BJ278)/SUM($BF278:$BJ278)/10000*$BX$7*$BZ$46/'疲劳值&amp;地图信息'!$R$10*$BY$56)</f>
        <v>1728</v>
      </c>
      <c r="EX278" s="50">
        <f t="shared" si="474"/>
        <v>0.6837540309129323</v>
      </c>
      <c r="EY278" s="50">
        <f t="shared" si="475"/>
        <v>0.28422106082508619</v>
      </c>
      <c r="EZ278" s="50">
        <f t="shared" si="476"/>
        <v>3.2024908261981538E-2</v>
      </c>
      <c r="FA278" s="51">
        <f t="shared" si="477"/>
        <v>38630</v>
      </c>
      <c r="FB278" s="51">
        <f t="shared" si="478"/>
        <v>26519</v>
      </c>
      <c r="FC278" s="14">
        <f>INT(SUMPRODUCT($AP278:$AT278,$BF278:$BJ278)/SUM($BF278:$BJ278)/10000*$BX$7*$BZ$46/'疲劳值&amp;地图信息'!$R$10*$BY$57)</f>
        <v>2304</v>
      </c>
      <c r="FD278" s="50">
        <f t="shared" si="479"/>
        <v>0.57269506174669771</v>
      </c>
      <c r="FE278" s="50">
        <f t="shared" si="480"/>
        <v>0.39314782144604393</v>
      </c>
      <c r="FF278" s="50">
        <f t="shared" si="481"/>
        <v>3.4157116807258386E-2</v>
      </c>
      <c r="FH278" s="14">
        <f t="shared" si="482"/>
        <v>27845</v>
      </c>
      <c r="FI278" s="14">
        <f t="shared" si="483"/>
        <v>31865</v>
      </c>
      <c r="FJ278" s="14">
        <f t="shared" si="484"/>
        <v>37014</v>
      </c>
      <c r="FK278" s="14">
        <f t="shared" si="485"/>
        <v>53958</v>
      </c>
      <c r="FL278" s="14">
        <f t="shared" si="486"/>
        <v>67453</v>
      </c>
      <c r="FM278" s="14">
        <f t="shared" si="487"/>
        <v>3287879</v>
      </c>
      <c r="FP278" s="14">
        <f t="shared" si="488"/>
        <v>334150</v>
      </c>
      <c r="FQ278" s="50">
        <f t="shared" si="428"/>
        <v>9.2254921205766158E-2</v>
      </c>
      <c r="FS278" s="14">
        <f t="shared" si="489"/>
        <v>3622029</v>
      </c>
      <c r="FX278" s="14">
        <v>273</v>
      </c>
      <c r="FY278" s="51">
        <f t="shared" si="490"/>
        <v>35804</v>
      </c>
      <c r="FZ278" s="51">
        <f t="shared" si="491"/>
        <v>1825</v>
      </c>
      <c r="GA278" s="51">
        <f>INT(SUMPRODUCT($N278:$R278,$BF278:$BJ278)/SUM($BF278:$BJ278)/10000*$BX$7*$BZ$46/'疲劳值&amp;地图信息'!$R$10*$BY$53)</f>
        <v>446</v>
      </c>
      <c r="GB278" s="50">
        <f t="shared" si="492"/>
        <v>0.94035456336178591</v>
      </c>
      <c r="GC278" s="50">
        <f t="shared" si="493"/>
        <v>4.7931713722915298E-2</v>
      </c>
      <c r="GD278" s="50">
        <f t="shared" si="494"/>
        <v>1.1713722915298753E-2</v>
      </c>
      <c r="GE278" s="51">
        <f t="shared" si="495"/>
        <v>39083</v>
      </c>
      <c r="GF278" s="51">
        <f t="shared" si="496"/>
        <v>3100</v>
      </c>
      <c r="GG278" s="14">
        <f>INT(SUMPRODUCT($U278:$Y278,$BF278:$BJ278)/SUM($BF278:$BJ278)/10000*$BX$7*$BZ$46/'疲劳值&amp;地图信息'!$R$10*$BY$54)</f>
        <v>849</v>
      </c>
      <c r="GH278" s="50">
        <f t="shared" si="497"/>
        <v>0.90823108384458073</v>
      </c>
      <c r="GI278" s="50">
        <f t="shared" si="498"/>
        <v>7.2039412530210081E-2</v>
      </c>
      <c r="GJ278" s="50">
        <f t="shared" si="499"/>
        <v>1.9729503625209147E-2</v>
      </c>
      <c r="GK278" s="51">
        <f t="shared" si="500"/>
        <v>42782</v>
      </c>
      <c r="GL278" s="51">
        <f t="shared" si="501"/>
        <v>5303</v>
      </c>
      <c r="GM278" s="14">
        <f>INT(SUMPRODUCT($AB278:$AF278,$BF278:$BJ278)/SUM($BF278:$BJ278)/10000*$BX$7*$BZ$46/'疲劳值&amp;地图信息'!$R$10*$BY$55)</f>
        <v>1152</v>
      </c>
      <c r="GN278" s="50">
        <f t="shared" si="502"/>
        <v>0.86889940491906492</v>
      </c>
      <c r="GO278" s="50">
        <f t="shared" si="503"/>
        <v>0.10770355626865975</v>
      </c>
      <c r="GP278" s="50">
        <f t="shared" si="504"/>
        <v>2.3397038812275322E-2</v>
      </c>
      <c r="GQ278" s="51">
        <f t="shared" si="505"/>
        <v>51652</v>
      </c>
      <c r="GR278" s="51">
        <f t="shared" si="506"/>
        <v>15336</v>
      </c>
      <c r="GS278" s="14">
        <f>INT(SUMPRODUCT($AI278:$AM278,$BF278:$BJ278)/SUM($BF278:$BJ278)/10000*$BX$7*$BZ$46/'疲劳值&amp;地图信息'!$R$10*$BY$56)</f>
        <v>1728</v>
      </c>
      <c r="GT278" s="50">
        <f t="shared" si="507"/>
        <v>0.75167355492170673</v>
      </c>
      <c r="GU278" s="50">
        <f t="shared" si="508"/>
        <v>0.22317946329821292</v>
      </c>
      <c r="GV278" s="50">
        <f t="shared" si="509"/>
        <v>2.5146981780080329E-2</v>
      </c>
      <c r="GW278" s="51">
        <f t="shared" si="510"/>
        <v>54083</v>
      </c>
      <c r="GX278" s="51">
        <f t="shared" si="511"/>
        <v>26519</v>
      </c>
      <c r="GY278" s="14">
        <f>INT(SUMPRODUCT($AP278:$AT278,$BF278:$BJ278)/SUM($BF278:$BJ278)/10000*$BX$7*$BZ$46/'疲劳值&amp;地图信息'!$R$10*$BY$57)</f>
        <v>2304</v>
      </c>
      <c r="GZ278" s="50">
        <f t="shared" si="512"/>
        <v>0.65234120570284415</v>
      </c>
      <c r="HA278" s="50">
        <f t="shared" si="513"/>
        <v>0.31986828456324029</v>
      </c>
      <c r="HB278" s="50">
        <f t="shared" si="514"/>
        <v>2.779050973391552E-2</v>
      </c>
      <c r="HD278" s="14">
        <f t="shared" si="515"/>
        <v>38075</v>
      </c>
      <c r="HE278" s="14">
        <f t="shared" si="516"/>
        <v>43032</v>
      </c>
      <c r="HF278" s="14">
        <f t="shared" si="517"/>
        <v>49237</v>
      </c>
      <c r="HG278" s="14">
        <f t="shared" si="518"/>
        <v>68716</v>
      </c>
      <c r="HH278" s="14">
        <f t="shared" si="519"/>
        <v>82906</v>
      </c>
      <c r="HI278" s="14">
        <f t="shared" si="520"/>
        <v>4435567</v>
      </c>
      <c r="HL278" s="14">
        <f t="shared" si="521"/>
        <v>430050</v>
      </c>
      <c r="HM278" s="50">
        <f t="shared" si="429"/>
        <v>8.8385501777061365E-2</v>
      </c>
      <c r="HO278" s="14">
        <f t="shared" si="522"/>
        <v>4865617</v>
      </c>
    </row>
    <row r="279" spans="11:223" x14ac:dyDescent="0.2">
      <c r="K279" s="14">
        <v>274</v>
      </c>
      <c r="L279" s="12">
        <f>求节点(节奏总纲!D$4:D$163,标准城池设计!AB$4:AB$163,$K279)*求节点(节奏总纲!D$4:D$163,攻城基础信息!$AC$5:$AC$164,$K279)</f>
        <v>754036.20868332859</v>
      </c>
      <c r="M279" s="12">
        <f>INDEX(其他调用!$AA$5:$AA$404,MATCH(K279,其他调用!$X$5:$X$404,0))*MIN(INDEX(其他调用!$AH$5:$AH$364,MATCH('征服点（新）'!K279,其他调用!$AG$5:$AG$364,0),1)/INDEX(其他调用!$AJ$5:$AJ$364,MATCH(K279,其他调用!$AG$5:$AG$364,0),0),5)*求节点(节奏总纲!D$4:D$163,攻城基础信息!$AC$5:$AC$164,$K279)</f>
        <v>53711.176879826307</v>
      </c>
      <c r="N279" s="12">
        <f>MIN(INDEX(其他调用!$AH$5:$AH$364,MATCH($K279,其他调用!$AG$5:$AG$364,0),1)/INDEX(其他调用!AH$5:AH$364,MATCH($K279,其他调用!$AG$5:$AG$364,0),0),1)*INDEX(其他调用!Y$5:Y$404,MATCH($K279,其他调用!$X$5:$X$404,0),0)</f>
        <v>41953.635004801239</v>
      </c>
      <c r="O279" s="12">
        <f>MIN(INDEX(其他调用!$AH$5:$AH$364,MATCH($K279,其他调用!$AG$5:$AG$364,0),1)/INDEX(其他调用!AI$5:AI$364,MATCH($K279,其他调用!$AG$5:$AG$364,0),0),1)*INDEX(其他调用!Z$5:Z$404,MATCH($K279,其他调用!$X$5:$X$404,0),0)</f>
        <v>25370.288823610474</v>
      </c>
      <c r="P279" s="12">
        <f>MIN(INDEX(其他调用!$AH$5:$AH$364,MATCH($K279,其他调用!$AG$5:$AG$364,0),1)/INDEX(其他调用!AJ$5:AJ$364,MATCH($K279,其他调用!$AG$5:$AG$364,0),0),1)*INDEX(其他调用!AA$5:AA$404,MATCH($K279,其他调用!$X$5:$X$404,0),0)</f>
        <v>15346.050537093241</v>
      </c>
      <c r="Q279" s="12">
        <f>MIN(INDEX(其他调用!$AH$5:$AH$364,MATCH($K279,其他调用!$AG$5:$AG$364,0),1)/INDEX(其他调用!AK$5:AK$364,MATCH($K279,其他调用!$AG$5:$AG$364,0),0),1)*INDEX(其他调用!AB$5:AB$404,MATCH($K279,其他调用!$X$5:$X$404,0),0)</f>
        <v>5584.0544658898416</v>
      </c>
      <c r="R279" s="12">
        <f>MIN(INDEX(其他调用!$AH$5:$AH$364,MATCH($K279,其他调用!$AG$5:$AG$364,0),1)/INDEX(其他调用!AL$5:AL$364,MATCH($K279,其他调用!$AG$5:$AG$364,0),0),1)*INDEX(其他调用!AC$5:AC$404,MATCH($K279,其他调用!$X$5:$X$404,0),0)</f>
        <v>3155.5836188589456</v>
      </c>
      <c r="S279" s="12">
        <f>求节点(节奏总纲!D$4:D$163,标准城池设计!AC$4:AC$163,$K279)*求节点(节奏总纲!D$4:D$163,攻城基础信息!$AD$5:$AD$164,$K279)</f>
        <v>823287.61592329037</v>
      </c>
      <c r="T279" s="12">
        <f>INDEX(其他调用!$AA$5:$AA$404,MATCH($K279,其他调用!$X$5:$X$404,0))*MIN(INDEX(其他调用!AI$5:AI$364,MATCH($K279,其他调用!$AG$5:$AG$364,0),1)/INDEX(其他调用!$AJ$5:$AJ$364,MATCH($K279,其他调用!$AG$5:$AG$364,0),0),5)*求节点(节奏总纲!D$4:D$163,攻城基础信息!$AD$5:$AD$164,$K279)</f>
        <v>91262.04979810871</v>
      </c>
      <c r="U279" s="12">
        <f>MIN(INDEX(其他调用!$AI$5:$AI$364,MATCH($K279,其他调用!$AG$5:$AG$364,0),1)/INDEX(其他调用!AH$5:AH$364,MATCH($K279,其他调用!$AG$5:$AG$364,0),0),1)*INDEX(其他调用!Y$5:Y$404,MATCH($K279,其他调用!$X$5:$X$404,0),0)</f>
        <v>41953.635004801239</v>
      </c>
      <c r="V279" s="12">
        <f>MIN(INDEX(其他调用!$AI$5:$AI$364,MATCH($K279,其他调用!$AG$5:$AG$364,0),1)/INDEX(其他调用!AI$5:AI$364,MATCH($K279,其他调用!$AG$5:$AG$364,0),0),1)*INDEX(其他调用!Z$5:Z$404,MATCH($K279,其他调用!$X$5:$X$404,0),0)</f>
        <v>43107.313905876705</v>
      </c>
      <c r="W279" s="12">
        <f>MIN(INDEX(其他调用!$AI$5:$AI$364,MATCH($K279,其他调用!$AG$5:$AG$364,0),1)/INDEX(其他调用!AJ$5:AJ$364,MATCH($K279,其他调用!$AG$5:$AG$364,0),0),1)*INDEX(其他调用!AA$5:AA$404,MATCH($K279,其他调用!$X$5:$X$404,0),0)</f>
        <v>26074.871370888221</v>
      </c>
      <c r="X279" s="12">
        <f>MIN(INDEX(其他调用!$AI$5:$AI$364,MATCH($K279,其他调用!$AG$5:$AG$364,0),1)/INDEX(其他调用!AK$5:AK$364,MATCH($K279,其他调用!$AG$5:$AG$364,0),0),1)*INDEX(其他调用!AB$5:AB$404,MATCH($K279,其他调用!$X$5:$X$404,0),0)</f>
        <v>9488.0113664535675</v>
      </c>
      <c r="Y279" s="12">
        <f>MIN(INDEX(其他调用!$AI$5:$AI$364,MATCH($K279,其他调用!$AG$5:$AG$364,0),1)/INDEX(其他调用!AL$5:AL$364,MATCH($K279,其他调用!$AG$5:$AG$364,0),0),1)*INDEX(其他调用!AC$5:AC$404,MATCH($K279,其他调用!$X$5:$X$404,0),0)</f>
        <v>5361.7337413913037</v>
      </c>
      <c r="Z279" s="12">
        <f>求节点(节奏总纲!D$4:D$163,标准城池设计!AD$4:AD$163,$K279)*求节点(节奏总纲!D$4:D$163,攻城基础信息!$AE$5:$AE$164,$K279)</f>
        <v>901075.79345026147</v>
      </c>
      <c r="AA279" s="12">
        <f>INDEX(其他调用!$AA$5:$AA$404,MATCH($K279,其他调用!$X$5:$X$404,0))*MIN(INDEX(其他调用!AJ$5:AJ$364,MATCH($K279,其他调用!$AG$5:$AG$364,0),1)/INDEX(其他调用!$AJ$5:$AJ$364,MATCH($K279,其他调用!$AG$5:$AG$364,0),0),5)*求节点(节奏总纲!D$4:D$163,攻城基础信息!$AE$5:$AE$164,$K279)</f>
        <v>156212.58078059013</v>
      </c>
      <c r="AB279" s="12">
        <f>MIN(INDEX(其他调用!$AJ$5:$AJ$364,MATCH($K279,其他调用!$AG$5:$AG$364,0),1)/INDEX(其他调用!AH$5:AH$364,MATCH($K279,其他调用!$AG$5:$AG$364,0),0),1)*INDEX(其他调用!Y$5:Y$404,MATCH($K279,其他调用!$X$5:$X$404,0),0)</f>
        <v>41953.635004801239</v>
      </c>
      <c r="AC279" s="12">
        <f>MIN(INDEX(其他调用!$AJ$5:$AJ$364,MATCH($K279,其他调用!$AG$5:$AG$364,0),1)/INDEX(其他调用!AI$5:AI$364,MATCH($K279,其他调用!$AG$5:$AG$364,0),0),1)*INDEX(其他调用!Z$5:Z$404,MATCH($K279,其他调用!$X$5:$X$404,0),0)</f>
        <v>43107.313905876705</v>
      </c>
      <c r="AD279" s="12">
        <f>MIN(INDEX(其他调用!$AJ$5:$AJ$364,MATCH($K279,其他调用!$AG$5:$AG$364,0),1)/INDEX(其他调用!AJ$5:AJ$364,MATCH($K279,其他调用!$AG$5:$AG$364,0),0),1)*INDEX(其他调用!AA$5:AA$404,MATCH($K279,其他调用!$X$5:$X$404,0),0)</f>
        <v>44632.165937311496</v>
      </c>
      <c r="AE279" s="12">
        <f>MIN(INDEX(其他调用!$AJ$5:$AJ$364,MATCH($K279,其他调用!$AG$5:$AG$364,0),1)/INDEX(其他调用!AK$5:AK$364,MATCH($K279,其他调用!$AG$5:$AG$364,0),0),1)*INDEX(其他调用!AB$5:AB$404,MATCH($K279,其他调用!$X$5:$X$404,0),0)</f>
        <v>16240.559414434725</v>
      </c>
      <c r="AF279" s="12">
        <f>MIN(INDEX(其他调用!$AJ$5:$AJ$364,MATCH($K279,其他调用!$AG$5:$AG$364,0),1)/INDEX(其他调用!AL$5:AL$364,MATCH($K279,其他调用!$AG$5:$AG$364,0),0),1)*INDEX(其他调用!AC$5:AC$404,MATCH($K279,其他调用!$X$5:$X$404,0),0)</f>
        <v>9177.6402902848495</v>
      </c>
      <c r="AG279" s="12">
        <f>求节点(节奏总纲!D$4:D$163,标准城池设计!AE$4:AE$163,$K279)*求节点(节奏总纲!D$4:D$163,攻城基础信息!$AF$5:$AF$164,$K279)</f>
        <v>1087976.6825498696</v>
      </c>
      <c r="AH279" s="12">
        <f>INDEX(其他调用!$AA$5:$AA$404,MATCH($K279,其他调用!$X$5:$X$404,0))*MIN(INDEX(其他调用!AK$5:AK$364,MATCH($K279,其他调用!$AG$5:$AG$364,0),1)/INDEX(其他调用!$AJ$5:$AJ$364,MATCH($K279,其他调用!$AG$5:$AG$364,0),0),5)*求节点(节奏总纲!D$4:D$163,攻城基础信息!$AF$5:$AF$164,$K279)</f>
        <v>450992.74519370362</v>
      </c>
      <c r="AI279" s="12">
        <f>MIN(INDEX(其他调用!$AK$5:$AK$364,MATCH($K279,其他调用!$AG$5:$AG$364,0),1)/INDEX(其他调用!AH$5:AH$364,MATCH($K279,其他调用!$AG$5:$AG$364,0),0),1)*INDEX(其他调用!Y$5:Y$404,MATCH($K279,其他调用!$X$5:$X$404,0),0)</f>
        <v>41953.635004801239</v>
      </c>
      <c r="AJ279" s="12">
        <f>MIN(INDEX(其他调用!$AK$5:$AK$364,MATCH($K279,其他调用!$AG$5:$AG$364,0),1)/INDEX(其他调用!AI$5:AI$364,MATCH($K279,其他调用!$AG$5:$AG$364,0),0),1)*INDEX(其他调用!Z$5:Z$404,MATCH($K279,其他调用!$X$5:$X$404,0),0)</f>
        <v>43107.313905876705</v>
      </c>
      <c r="AK279" s="12">
        <f>MIN(INDEX(其他调用!$AK$5:$AK$364,MATCH($K279,其他调用!$AG$5:$AG$364,0),1)/INDEX(其他调用!AJ$5:AJ$364,MATCH($K279,其他调用!$AG$5:$AG$364,0),0),1)*INDEX(其他调用!AA$5:AA$404,MATCH($K279,其他调用!$X$5:$X$404,0),0)</f>
        <v>44632.165937311496</v>
      </c>
      <c r="AL279" s="12">
        <f>MIN(INDEX(其他调用!$AK$5:$AK$364,MATCH($K279,其他调用!$AG$5:$AG$364,0),1)/INDEX(其他调用!AK$5:AK$364,MATCH($K279,其他调用!$AG$5:$AG$364,0),0),1)*INDEX(其他调用!AB$5:AB$404,MATCH($K279,其他调用!$X$5:$X$404,0),0)</f>
        <v>46887.225325883861</v>
      </c>
      <c r="AM279" s="12">
        <f>MIN(INDEX(其他调用!$AK$5:$AK$364,MATCH($K279,其他调用!$AG$5:$AG$364,0),1)/INDEX(其他调用!AL$5:AL$364,MATCH($K279,其他调用!$AG$5:$AG$364,0),0),1)*INDEX(其他调用!AC$5:AC$404,MATCH($K279,其他调用!$X$5:$X$404,0),0)</f>
        <v>26496.260213058278</v>
      </c>
      <c r="AN279" s="12">
        <f>求节点(节奏总纲!D$4:D$163,标准城池设计!AF$4:AF$163,$K279)*求节点(节奏总纲!D$4:D$163,攻城基础信息!$AG$5:$AG$164,$K279)</f>
        <v>1139116.5763490703</v>
      </c>
      <c r="AO279" s="12">
        <f>INDEX(其他调用!$AA$5:$AA$404,MATCH($K279,其他调用!$X$5:$X$404,0))*MIN(INDEX(其他调用!AL$5:AL$364,MATCH($K279,其他调用!$AG$5:$AG$364,0),1)/INDEX(其他调用!$AJ$5:$AJ$364,MATCH($K279,其他调用!$AG$5:$AG$364,0),0),5)*求节点(节奏总纲!D$4:D$163,攻城基础信息!$AG$5:$AG$164,$K279)</f>
        <v>781062.90390295058</v>
      </c>
      <c r="AP279" s="12">
        <f>MIN(INDEX(其他调用!$AL$5:$AL$364,MATCH($K279,其他调用!$AG$5:$AG$364,0),1)/INDEX(其他调用!AH$5:AH$364,MATCH($K279,其他调用!$AG$5:$AG$364,0),0),1)*INDEX(其他调用!Y$5:Y$404,MATCH($K279,其他调用!$X$5:$X$404,0),0)</f>
        <v>41953.635004801239</v>
      </c>
      <c r="AQ279" s="12">
        <f>MIN(INDEX(其他调用!$AL$5:$AL$364,MATCH($K279,其他调用!$AG$5:$AG$364,0),1)/INDEX(其他调用!AI$5:AI$364,MATCH($K279,其他调用!$AG$5:$AG$364,0),0),1)*INDEX(其他调用!Z$5:Z$404,MATCH($K279,其他调用!$X$5:$X$404,0),0)</f>
        <v>43107.313905876705</v>
      </c>
      <c r="AR279" s="12">
        <f>MIN(INDEX(其他调用!$AL$5:$AL$364,MATCH($K279,其他调用!$AG$5:$AG$364,0),1)/INDEX(其他调用!AJ$5:AJ$364,MATCH($K279,其他调用!$AG$5:$AG$364,0),0),1)*INDEX(其他调用!AA$5:AA$404,MATCH($K279,其他调用!$X$5:$X$404,0),0)</f>
        <v>44632.165937311496</v>
      </c>
      <c r="AS279" s="12">
        <f>MIN(INDEX(其他调用!$AL$5:$AL$364,MATCH($K279,其他调用!$AG$5:$AG$364,0),1)/INDEX(其他调用!AK$5:AK$364,MATCH($K279,其他调用!$AG$5:$AG$364,0),0),1)*INDEX(其他调用!AB$5:AB$404,MATCH($K279,其他调用!$X$5:$X$404,0),0)</f>
        <v>46887.225325883861</v>
      </c>
      <c r="AT279" s="12">
        <f>MIN(INDEX(其他调用!$AL$5:$AL$364,MATCH($K279,其他调用!$AG$5:$AG$364,0),1)/INDEX(其他调用!AL$5:AL$364,MATCH($K279,其他调用!$AG$5:$AG$364,0),0),1)*INDEX(其他调用!AC$5:AC$404,MATCH($K279,其他调用!$X$5:$X$404,0),0)</f>
        <v>50772.044944984984</v>
      </c>
      <c r="AV279" s="14">
        <f>IF(OR(AV$5="大R",AV$5="超R"),MAX(INDEX(其他调用!$H$5:$L$404,MATCH($K279,其他调用!$B$5:$B$404,0),MATCH(AV$5,其他调用!$H$4:$L$4,0))*120*0.85,2),INDEX(其他调用!$H$5:$L$404,MATCH($K279,其他调用!$B$5:$B$404,0),MATCH(AV$5,其他调用!$H$4:$L$4,0))*120*0.85)</f>
        <v>48.921801254999991</v>
      </c>
      <c r="AW279" s="14">
        <f>IF(OR(AW$5="大R",AW$5="超R"),MAX(INDEX(其他调用!$H$5:$L$404,MATCH($K279,其他调用!$B$5:$B$404,0),MATCH(AW$5,其他调用!$H$4:$L$4,0))*120*0.85,2),INDEX(其他调用!$H$5:$L$404,MATCH($K279,其他调用!$B$5:$B$404,0),MATCH(AW$5,其他调用!$H$4:$L$4,0))*120*0.85)</f>
        <v>48.237344010638395</v>
      </c>
      <c r="AX279" s="14">
        <f>IF(OR(AX$5="大R",AX$5="超R"),MAX(INDEX(其他调用!$H$5:$L$404,MATCH($K279,其他调用!$B$5:$B$404,0),MATCH(AX$5,其他调用!$H$4:$L$4,0))*120*0.85,2),INDEX(其他调用!$H$5:$L$404,MATCH($K279,其他调用!$B$5:$B$404,0),MATCH(AX$5,其他调用!$H$4:$L$4,0))*120*0.85)</f>
        <v>3.9376284143615998</v>
      </c>
      <c r="AY279" s="14">
        <f>IF(OR(AY$5="大R",AY$5="超R"),MAX(INDEX(其他调用!$H$5:$L$404,MATCH($K279,其他调用!$B$5:$B$404,0),MATCH(AY$5,其他调用!$H$4:$L$4,0))*120*0.85,2),INDEX(其他调用!$H$5:$L$404,MATCH($K279,其他调用!$B$5:$B$404,0),MATCH(AY$5,其他调用!$H$4:$L$4,0))*120*0.85)</f>
        <v>2</v>
      </c>
      <c r="AZ279" s="14">
        <f>IF(OR(AZ$5="大R",AZ$5="超R"),MAX(INDEX(其他调用!$H$5:$L$404,MATCH($K279,其他调用!$B$5:$B$404,0),MATCH(AZ$5,其他调用!$H$4:$L$4,0))*120*0.85,2),INDEX(其他调用!$H$5:$L$404,MATCH($K279,其他调用!$B$5:$B$404,0),MATCH(AZ$5,其他调用!$H$4:$L$4,0))*120*0.85)</f>
        <v>2</v>
      </c>
      <c r="BA279" s="14">
        <f>INDEX(其他调用!$H$5:$L$404,MATCH($K279,其他调用!$B$5:$B$404,0),MATCH(BA$5,其他调用!$H$4:$L$4,0))*INDEX(其他调用!$M$5:$M$404,MATCH($K279,其他调用!$B$5:$B$404,0))*0.6</f>
        <v>28.777530149999997</v>
      </c>
      <c r="BB279" s="14">
        <f>INDEX(其他调用!$H$5:$L$404,MATCH($K279,其他调用!$B$5:$B$404,0),MATCH(BB$5,其他调用!$H$4:$L$4,0))*INDEX(其他调用!$M$5:$M$404,MATCH($K279,其他调用!$B$5:$B$404,0))*0.6</f>
        <v>28.374908241551999</v>
      </c>
      <c r="BC279" s="14">
        <f>INDEX(其他调用!$H$5:$L$404,MATCH($K279,其他调用!$B$5:$B$404,0),MATCH(BC$5,其他调用!$H$4:$L$4,0))*INDEX(其他调用!$M$5:$M$404,MATCH($K279,其他调用!$B$5:$B$404,0))*0.6</f>
        <v>2.3162520084480001</v>
      </c>
      <c r="BD279" s="14">
        <f>INDEX(其他调用!$H$5:$L$404,MATCH($K279,其他调用!$B$5:$B$404,0),MATCH(BD$5,其他调用!$H$4:$L$4,0))*INDEX(其他调用!$M$5:$M$404,MATCH($K279,其他调用!$B$5:$B$404,0))*0.6</f>
        <v>0.4120776000000001</v>
      </c>
      <c r="BE279" s="14">
        <f>INDEX(其他调用!$H$5:$L$404,MATCH($K279,其他调用!$B$5:$B$404,0),MATCH(BE$5,其他调用!$H$4:$L$4,0))*INDEX(其他调用!$M$5:$M$404,MATCH($K279,其他调用!$B$5:$B$404,0))*0.6</f>
        <v>0.11923199999999998</v>
      </c>
      <c r="BF279" s="14">
        <f>IF(OR(BF$5="大R",BF$5="超R"),0,INDEX(其他调用!$H$5:$L$404,MATCH($K279,其他调用!$B$5:$B$404,0),MATCH(BF$5,其他调用!$H$4:$L$4,0))*50*0.4)</f>
        <v>9.5925100500000013</v>
      </c>
      <c r="BG279" s="14">
        <f>IF(OR(BG$5="大R",BG$5="超R"),0,INDEX(其他调用!$H$5:$L$404,MATCH($K279,其他调用!$B$5:$B$404,0),MATCH(BG$5,其他调用!$H$4:$L$4,0))*50*0.4)</f>
        <v>9.4583027471839998</v>
      </c>
      <c r="BH279" s="14">
        <f>IF(OR(BH$5="大R",BH$5="超R"),0,INDEX(其他调用!$H$5:$L$404,MATCH($K279,其他调用!$B$5:$B$404,0),MATCH(BH$5,其他调用!$H$4:$L$4,0))*50*0.4)</f>
        <v>0.77208400281600009</v>
      </c>
      <c r="BI279" s="14">
        <f>IF(OR(BI$5="大R",BI$5="超R"),0,INDEX(其他调用!$H$5:$L$404,MATCH($K279,其他调用!$B$5:$B$404,0),MATCH(BI$5,其他调用!$H$4:$L$4,0))*50*0.4)</f>
        <v>0</v>
      </c>
      <c r="BJ279" s="14">
        <f>IF(OR(BJ$5="大R",BJ$5="超R"),0,INDEX(其他调用!$H$5:$L$404,MATCH($K279,其他调用!$B$5:$B$404,0),MATCH(BJ$5,其他调用!$H$4:$L$4,0))*50*0.4)</f>
        <v>0</v>
      </c>
      <c r="BL279" s="14">
        <f t="shared" si="523"/>
        <v>274</v>
      </c>
      <c r="BM279" s="14">
        <f t="shared" si="430"/>
        <v>96</v>
      </c>
      <c r="BN279" s="14">
        <f>('疲劳值&amp;地图信息'!$S$10*'疲劳值&amp;地图信息'!$R$10+'疲劳值&amp;地图信息'!$S$11*'疲劳值&amp;地图信息'!$R$11+'疲劳值&amp;地图信息'!$S$12*'疲劳值&amp;地图信息'!$R$12+(BM279-'疲劳值&amp;地图信息'!$S$12-'疲劳值&amp;地图信息'!$S$11-'疲劳值&amp;地图信息'!$S$10)*'疲劳值&amp;地图信息'!$R$13)/BM279</f>
        <v>51.371477246638619</v>
      </c>
      <c r="BO279" s="14">
        <f>INDEX(其他调用!$M$5:$M$404,MATCH(BL279,其他调用!$B$5:$B$404,0))*0.6</f>
        <v>60</v>
      </c>
      <c r="BP279" s="14">
        <f>IF(BO279&gt;SUM('疲劳值&amp;地图信息'!$S$10:$S$12),('疲劳值&amp;地图信息'!$S$10*'疲劳值&amp;地图信息'!$R$10+'疲劳值&amp;地图信息'!$S$11*'疲劳值&amp;地图信息'!$R$11+'疲劳值&amp;地图信息'!$S$12*'疲劳值&amp;地图信息'!$R$12+(BO279-'疲劳值&amp;地图信息'!$S$12-'疲劳值&amp;地图信息'!$S$11-'疲劳值&amp;地图信息'!$S$10)*'疲劳值&amp;地图信息'!$R$13)/BO279,('疲劳值&amp;地图信息'!$S$10*'疲劳值&amp;地图信息'!$R$10+'疲劳值&amp;地图信息'!$S$11*'疲劳值&amp;地图信息'!$R$11+'疲劳值&amp;地图信息'!$S$12*'疲劳值&amp;地图信息'!$R$12+(BO279-'疲劳值&amp;地图信息'!$S$12-'疲劳值&amp;地图信息'!$S$11-'疲劳值&amp;地图信息'!$S$10)*'疲劳值&amp;地图信息'!$R$13)/BO279)</f>
        <v>44.158136341605953</v>
      </c>
      <c r="BQ279" s="14">
        <f t="shared" si="524"/>
        <v>20</v>
      </c>
      <c r="BR279" s="14">
        <f>('疲劳值&amp;地图信息'!$S$10*'疲劳值&amp;地图信息'!$R$10+($BQ279-'疲劳值&amp;地图信息'!$S$10)*'疲劳值&amp;地图信息'!$R$11)/$BQ279</f>
        <v>32.067203015074995</v>
      </c>
      <c r="CF279" s="14">
        <v>274</v>
      </c>
      <c r="CG279" s="51">
        <f t="shared" si="431"/>
        <v>15368</v>
      </c>
      <c r="CH279" s="51">
        <f t="shared" si="432"/>
        <v>1094</v>
      </c>
      <c r="CI279" s="51">
        <f>INT(SUMPRODUCT($N279:$R279,$BA279:$BE279)/SUM($BA279:$BE279)/10000*$BX$7*$BZ$34/'疲劳值&amp;地图信息'!$R$10*$BY$53)</f>
        <v>3323</v>
      </c>
      <c r="CJ279" s="50">
        <f t="shared" si="433"/>
        <v>0.77675006317917616</v>
      </c>
      <c r="CK279" s="50">
        <f t="shared" si="434"/>
        <v>5.529441496082891E-2</v>
      </c>
      <c r="CL279" s="50">
        <f t="shared" si="435"/>
        <v>0.16795552185999493</v>
      </c>
      <c r="CM279" s="14">
        <f t="shared" si="436"/>
        <v>16779</v>
      </c>
      <c r="CN279" s="14">
        <f t="shared" si="437"/>
        <v>1860</v>
      </c>
      <c r="CO279" s="14">
        <f>INT(SUMPRODUCT($U279:$Y279,$BA279:$BE279)/SUM($BA279:$BE279)/10000*$BX$7*$BZ$34/'疲劳值&amp;地图信息'!$R$10*$BY$54)</f>
        <v>6330</v>
      </c>
      <c r="CP279" s="50">
        <f t="shared" si="438"/>
        <v>0.67199327165685452</v>
      </c>
      <c r="CQ279" s="50">
        <f t="shared" si="439"/>
        <v>7.4492370539468944E-2</v>
      </c>
      <c r="CR279" s="50">
        <f t="shared" si="440"/>
        <v>0.25351435780367654</v>
      </c>
      <c r="CS279" s="14">
        <f t="shared" si="441"/>
        <v>18365</v>
      </c>
      <c r="CT279" s="14">
        <f t="shared" si="442"/>
        <v>3183</v>
      </c>
      <c r="CU279" s="14">
        <f>INT(SUMPRODUCT($AB279:$AF279,$BA279:$BE279)/SUM($BA279:$BE279)/10000*$BX$7*$BZ$34/'疲劳值&amp;地图信息'!$R$10*$BY$55)</f>
        <v>8596</v>
      </c>
      <c r="CV279" s="50">
        <f t="shared" si="443"/>
        <v>0.60924230360934184</v>
      </c>
      <c r="CW279" s="50">
        <f t="shared" si="444"/>
        <v>0.10559315286624203</v>
      </c>
      <c r="CX279" s="50">
        <f t="shared" si="445"/>
        <v>0.28516454352441611</v>
      </c>
      <c r="CY279" s="14">
        <f t="shared" si="446"/>
        <v>22174</v>
      </c>
      <c r="CZ279" s="14">
        <f t="shared" si="447"/>
        <v>9191</v>
      </c>
      <c r="DA279" s="14">
        <f>INT(SUMPRODUCT($AI279:$AM279,$BA279:$BE279)/SUM($BA279:$BE279)/10000*$BX$7*$BZ$34/'疲劳值&amp;地图信息'!$R$10*$BY$56)</f>
        <v>12969</v>
      </c>
      <c r="DB279" s="50">
        <f t="shared" si="448"/>
        <v>0.50015789236252084</v>
      </c>
      <c r="DC279" s="50">
        <f t="shared" si="449"/>
        <v>0.20731267198989489</v>
      </c>
      <c r="DD279" s="50">
        <f t="shared" si="450"/>
        <v>0.29252943564758427</v>
      </c>
      <c r="DE279" s="14">
        <f t="shared" si="451"/>
        <v>23216</v>
      </c>
      <c r="DF279" s="14">
        <f t="shared" si="452"/>
        <v>15919</v>
      </c>
      <c r="DG279" s="14">
        <f>INT(SUMPRODUCT($AP279:$AT279,$BA279:$BE279)/SUM($BA279:$BE279)/10000*$BX$7*$BZ$34/'疲劳值&amp;地图信息'!$R$10*$BY$57)</f>
        <v>17311</v>
      </c>
      <c r="DH279" s="50">
        <f t="shared" si="453"/>
        <v>0.41129575169188248</v>
      </c>
      <c r="DI279" s="50">
        <f t="shared" si="454"/>
        <v>0.28202175530595613</v>
      </c>
      <c r="DJ279" s="50">
        <f t="shared" si="455"/>
        <v>0.30668249300216138</v>
      </c>
      <c r="DL279" s="14">
        <f t="shared" si="526"/>
        <v>19785</v>
      </c>
      <c r="DM279" s="14">
        <f t="shared" si="527"/>
        <v>24969</v>
      </c>
      <c r="DN279" s="14">
        <f t="shared" si="528"/>
        <v>30144</v>
      </c>
      <c r="DO279" s="14">
        <f t="shared" si="529"/>
        <v>44334</v>
      </c>
      <c r="DP279" s="14">
        <f t="shared" si="530"/>
        <v>56446</v>
      </c>
      <c r="DQ279" s="14">
        <f t="shared" si="531"/>
        <v>1372676</v>
      </c>
      <c r="DT279" s="14">
        <f t="shared" si="525"/>
        <v>235575</v>
      </c>
      <c r="DU279" s="50">
        <f t="shared" si="427"/>
        <v>0.14647900110119627</v>
      </c>
      <c r="DW279" s="14">
        <f t="shared" si="456"/>
        <v>1608251</v>
      </c>
      <c r="EB279" s="14">
        <v>274</v>
      </c>
      <c r="EC279" s="51">
        <f t="shared" si="457"/>
        <v>25613</v>
      </c>
      <c r="ED279" s="51">
        <f t="shared" si="458"/>
        <v>1824</v>
      </c>
      <c r="EE279" s="51">
        <f>INT(SUMPRODUCT($N279:$R279,$BF279:$BJ279)/SUM($BF279:$BJ279)/10000*$BX$7*$BZ$46/'疲劳值&amp;地图信息'!$R$10*$BY$53)</f>
        <v>446</v>
      </c>
      <c r="EF279" s="50">
        <f t="shared" si="459"/>
        <v>0.91858838718932678</v>
      </c>
      <c r="EG279" s="50">
        <f t="shared" si="460"/>
        <v>6.5416203421439584E-2</v>
      </c>
      <c r="EH279" s="50">
        <f t="shared" si="461"/>
        <v>1.5995409389233581E-2</v>
      </c>
      <c r="EI279" s="51">
        <f t="shared" si="462"/>
        <v>27966</v>
      </c>
      <c r="EJ279" s="51">
        <f t="shared" si="463"/>
        <v>3100</v>
      </c>
      <c r="EK279" s="14">
        <f>INT(SUMPRODUCT($U279:$Y279,$BF279:$BJ279)/SUM($BF279:$BJ279)/10000*$BX$7*$BZ$46/'疲劳值&amp;地图信息'!$R$10*$BY$54)</f>
        <v>850</v>
      </c>
      <c r="EL279" s="50">
        <f t="shared" si="464"/>
        <v>0.87623762376237624</v>
      </c>
      <c r="EM279" s="50">
        <f t="shared" si="465"/>
        <v>9.7129966161173073E-2</v>
      </c>
      <c r="EN279" s="50">
        <f t="shared" si="466"/>
        <v>2.6632410076450681E-2</v>
      </c>
      <c r="EO279" s="51">
        <f t="shared" si="467"/>
        <v>30608</v>
      </c>
      <c r="EP279" s="51">
        <f t="shared" si="468"/>
        <v>5306</v>
      </c>
      <c r="EQ279" s="14">
        <f>INT(SUMPRODUCT($AB279:$AF279,$BF279:$BJ279)/SUM($BF279:$BJ279)/10000*$BX$7*$BZ$46/'疲劳值&amp;地图信息'!$R$10*$BY$55)</f>
        <v>1152</v>
      </c>
      <c r="ER279" s="50">
        <f t="shared" si="469"/>
        <v>0.8257702476663249</v>
      </c>
      <c r="ES279" s="50">
        <f t="shared" si="470"/>
        <v>0.14315005665569525</v>
      </c>
      <c r="ET279" s="50">
        <f t="shared" si="471"/>
        <v>3.1079695677979819E-2</v>
      </c>
      <c r="EU279" s="51">
        <f t="shared" si="472"/>
        <v>36957</v>
      </c>
      <c r="EV279" s="51">
        <f t="shared" si="473"/>
        <v>15319</v>
      </c>
      <c r="EW279" s="14">
        <f>INT(SUMPRODUCT($AI279:$AM279,$BF279:$BJ279)/SUM($BF279:$BJ279)/10000*$BX$7*$BZ$46/'疲劳值&amp;地图信息'!$R$10*$BY$56)</f>
        <v>1729</v>
      </c>
      <c r="EX279" s="50">
        <f t="shared" si="474"/>
        <v>0.68432552541431346</v>
      </c>
      <c r="EY279" s="50">
        <f t="shared" si="475"/>
        <v>0.28365892047032681</v>
      </c>
      <c r="EZ279" s="50">
        <f t="shared" si="476"/>
        <v>3.2015554115359689E-2</v>
      </c>
      <c r="FA279" s="51">
        <f t="shared" si="477"/>
        <v>38694</v>
      </c>
      <c r="FB279" s="51">
        <f t="shared" si="478"/>
        <v>26531</v>
      </c>
      <c r="FC279" s="14">
        <f>INT(SUMPRODUCT($AP279:$AT279,$BF279:$BJ279)/SUM($BF279:$BJ279)/10000*$BX$7*$BZ$46/'疲劳值&amp;地图信息'!$R$10*$BY$57)</f>
        <v>2305</v>
      </c>
      <c r="FD279" s="50">
        <f t="shared" si="479"/>
        <v>0.57298978231896935</v>
      </c>
      <c r="FE279" s="50">
        <f t="shared" si="480"/>
        <v>0.39287723974529837</v>
      </c>
      <c r="FF279" s="50">
        <f t="shared" si="481"/>
        <v>3.4132977935732264E-2</v>
      </c>
      <c r="FH279" s="14">
        <f t="shared" si="482"/>
        <v>27883</v>
      </c>
      <c r="FI279" s="14">
        <f t="shared" si="483"/>
        <v>31916</v>
      </c>
      <c r="FJ279" s="14">
        <f t="shared" si="484"/>
        <v>37066</v>
      </c>
      <c r="FK279" s="14">
        <f t="shared" si="485"/>
        <v>54005</v>
      </c>
      <c r="FL279" s="14">
        <f t="shared" si="486"/>
        <v>67530</v>
      </c>
      <c r="FM279" s="14">
        <f t="shared" si="487"/>
        <v>3292651</v>
      </c>
      <c r="FP279" s="14">
        <f t="shared" si="488"/>
        <v>334150</v>
      </c>
      <c r="FQ279" s="50">
        <f t="shared" si="428"/>
        <v>9.2133535862596261E-2</v>
      </c>
      <c r="FS279" s="14">
        <f t="shared" si="489"/>
        <v>3626801</v>
      </c>
      <c r="FX279" s="14">
        <v>274</v>
      </c>
      <c r="FY279" s="51">
        <f t="shared" si="490"/>
        <v>35859</v>
      </c>
      <c r="FZ279" s="51">
        <f t="shared" si="491"/>
        <v>1824</v>
      </c>
      <c r="GA279" s="51">
        <f>INT(SUMPRODUCT($N279:$R279,$BF279:$BJ279)/SUM($BF279:$BJ279)/10000*$BX$7*$BZ$46/'疲劳值&amp;地图信息'!$R$10*$BY$53)</f>
        <v>446</v>
      </c>
      <c r="GB279" s="50">
        <f t="shared" si="492"/>
        <v>0.94046526266096675</v>
      </c>
      <c r="GC279" s="50">
        <f t="shared" si="493"/>
        <v>4.7837603923522778E-2</v>
      </c>
      <c r="GD279" s="50">
        <f t="shared" si="494"/>
        <v>1.1697133415510505E-2</v>
      </c>
      <c r="GE279" s="51">
        <f t="shared" si="495"/>
        <v>39152</v>
      </c>
      <c r="GF279" s="51">
        <f t="shared" si="496"/>
        <v>3100</v>
      </c>
      <c r="GG279" s="14">
        <f>INT(SUMPRODUCT($U279:$Y279,$BF279:$BJ279)/SUM($BF279:$BJ279)/10000*$BX$7*$BZ$46/'疲劳值&amp;地图信息'!$R$10*$BY$54)</f>
        <v>850</v>
      </c>
      <c r="GH279" s="50">
        <f t="shared" si="497"/>
        <v>0.9083569207925386</v>
      </c>
      <c r="GI279" s="50">
        <f t="shared" si="498"/>
        <v>7.1922416593197536E-2</v>
      </c>
      <c r="GJ279" s="50">
        <f t="shared" si="499"/>
        <v>1.9720662614263838E-2</v>
      </c>
      <c r="GK279" s="51">
        <f t="shared" si="500"/>
        <v>42851</v>
      </c>
      <c r="GL279" s="51">
        <f t="shared" si="501"/>
        <v>5306</v>
      </c>
      <c r="GM279" s="14">
        <f>INT(SUMPRODUCT($AB279:$AF279,$BF279:$BJ279)/SUM($BF279:$BJ279)/10000*$BX$7*$BZ$46/'疲劳值&amp;地图信息'!$R$10*$BY$55)</f>
        <v>1152</v>
      </c>
      <c r="GN279" s="50">
        <f t="shared" si="502"/>
        <v>0.86902999452432617</v>
      </c>
      <c r="GO279" s="50">
        <f t="shared" si="503"/>
        <v>0.10760713054411973</v>
      </c>
      <c r="GP279" s="50">
        <f t="shared" si="504"/>
        <v>2.3362874931554076E-2</v>
      </c>
      <c r="GQ279" s="51">
        <f t="shared" si="505"/>
        <v>51740</v>
      </c>
      <c r="GR279" s="51">
        <f t="shared" si="506"/>
        <v>15319</v>
      </c>
      <c r="GS279" s="14">
        <f>INT(SUMPRODUCT($AI279:$AM279,$BF279:$BJ279)/SUM($BF279:$BJ279)/10000*$BX$7*$BZ$46/'疲劳值&amp;地图信息'!$R$10*$BY$56)</f>
        <v>1729</v>
      </c>
      <c r="GT279" s="50">
        <f t="shared" si="507"/>
        <v>0.75216607547828107</v>
      </c>
      <c r="GU279" s="50">
        <f t="shared" si="508"/>
        <v>0.22269872652206779</v>
      </c>
      <c r="GV279" s="50">
        <f t="shared" si="509"/>
        <v>2.5135197999651103E-2</v>
      </c>
      <c r="GW279" s="51">
        <f t="shared" si="510"/>
        <v>54172</v>
      </c>
      <c r="GX279" s="51">
        <f t="shared" si="511"/>
        <v>26531</v>
      </c>
      <c r="GY279" s="14">
        <f>INT(SUMPRODUCT($AP279:$AT279,$BF279:$BJ279)/SUM($BF279:$BJ279)/10000*$BX$7*$BZ$46/'疲劳值&amp;地图信息'!$R$10*$BY$57)</f>
        <v>2305</v>
      </c>
      <c r="GZ279" s="50">
        <f t="shared" si="512"/>
        <v>0.65261179645335388</v>
      </c>
      <c r="HA279" s="50">
        <f t="shared" si="513"/>
        <v>0.31961979568234389</v>
      </c>
      <c r="HB279" s="50">
        <f t="shared" si="514"/>
        <v>2.7768407864302236E-2</v>
      </c>
      <c r="HD279" s="14">
        <f t="shared" si="515"/>
        <v>38129</v>
      </c>
      <c r="HE279" s="14">
        <f t="shared" si="516"/>
        <v>43102</v>
      </c>
      <c r="HF279" s="14">
        <f t="shared" si="517"/>
        <v>49309</v>
      </c>
      <c r="HG279" s="14">
        <f t="shared" si="518"/>
        <v>68788</v>
      </c>
      <c r="HH279" s="14">
        <f t="shared" si="519"/>
        <v>83008</v>
      </c>
      <c r="HI279" s="14">
        <f t="shared" si="520"/>
        <v>4442217</v>
      </c>
      <c r="HL279" s="14">
        <f t="shared" si="521"/>
        <v>430050</v>
      </c>
      <c r="HM279" s="50">
        <f t="shared" si="429"/>
        <v>8.8264867257890428E-2</v>
      </c>
      <c r="HO279" s="14">
        <f t="shared" si="522"/>
        <v>4872267</v>
      </c>
    </row>
    <row r="280" spans="11:223" x14ac:dyDescent="0.2">
      <c r="K280" s="14">
        <v>275</v>
      </c>
      <c r="L280" s="12">
        <f>求节点(节奏总纲!D$4:D$163,标准城池设计!AB$4:AB$163,$K280)*求节点(节奏总纲!D$4:D$163,攻城基础信息!$AC$5:$AC$164,$K280)</f>
        <v>755196.42458688235</v>
      </c>
      <c r="M280" s="12">
        <f>INDEX(其他调用!$AA$5:$AA$404,MATCH(K280,其他调用!$X$5:$X$404,0))*MIN(INDEX(其他调用!$AH$5:$AH$364,MATCH('征服点（新）'!K280,其他调用!$AG$5:$AG$364,0),1)/INDEX(其他调用!$AJ$5:$AJ$364,MATCH(K280,其他调用!$AG$5:$AG$364,0),0),5)*求节点(节奏总纲!D$4:D$163,攻城基础信息!$AC$5:$AC$164,$K280)</f>
        <v>53702.575274829651</v>
      </c>
      <c r="N280" s="12">
        <f>MIN(INDEX(其他调用!$AH$5:$AH$364,MATCH($K280,其他调用!$AG$5:$AG$364,0),1)/INDEX(其他调用!AH$5:AH$364,MATCH($K280,其他调用!$AG$5:$AG$364,0),0),1)*INDEX(其他调用!Y$5:Y$404,MATCH($K280,其他调用!$X$5:$X$404,0),0)</f>
        <v>41973.946313188659</v>
      </c>
      <c r="O280" s="12">
        <f>MIN(INDEX(其他调用!$AH$5:$AH$364,MATCH($K280,其他调用!$AG$5:$AG$364,0),1)/INDEX(其他调用!AI$5:AI$364,MATCH($K280,其他调用!$AG$5:$AG$364,0),0),1)*INDEX(其他调用!Z$5:Z$404,MATCH($K280,其他调用!$X$5:$X$404,0),0)</f>
        <v>25381.323104076873</v>
      </c>
      <c r="P280" s="12">
        <f>MIN(INDEX(其他调用!$AH$5:$AH$364,MATCH($K280,其他调用!$AG$5:$AG$364,0),1)/INDEX(其他调用!AJ$5:AJ$364,MATCH($K280,其他调用!$AG$5:$AG$364,0),0),1)*INDEX(其他调用!AA$5:AA$404,MATCH($K280,其他调用!$X$5:$X$404,0),0)</f>
        <v>15343.592935665623</v>
      </c>
      <c r="Q280" s="12">
        <f>MIN(INDEX(其他调用!$AH$5:$AH$364,MATCH($K280,其他调用!$AG$5:$AG$364,0),1)/INDEX(其他调用!AK$5:AK$364,MATCH($K280,其他调用!$AG$5:$AG$364,0),0),1)*INDEX(其他调用!AB$5:AB$404,MATCH($K280,其他调用!$X$5:$X$404,0),0)</f>
        <v>5591.5935114470722</v>
      </c>
      <c r="R280" s="12">
        <f>MIN(INDEX(其他调用!$AH$5:$AH$364,MATCH($K280,其他调用!$AG$5:$AG$364,0),1)/INDEX(其他调用!AL$5:AL$364,MATCH($K280,其他调用!$AG$5:$AG$364,0),0),1)*INDEX(其他调用!AC$5:AC$404,MATCH($K280,其他调用!$X$5:$X$404,0),0)</f>
        <v>3164.3987492447491</v>
      </c>
      <c r="S280" s="12">
        <f>求节点(节奏总纲!D$4:D$163,标准城池设计!AC$4:AC$163,$K280)*求节点(节奏总纲!D$4:D$163,攻城基础信息!$AD$5:$AD$164,$K280)</f>
        <v>824710.36102035036</v>
      </c>
      <c r="T280" s="12">
        <f>INDEX(其他调用!$AA$5:$AA$404,MATCH($K280,其他调用!$X$5:$X$404,0))*MIN(INDEX(其他调用!AI$5:AI$364,MATCH($K280,其他调用!$AG$5:$AG$364,0),1)/INDEX(其他调用!$AJ$5:$AJ$364,MATCH($K280,其他调用!$AG$5:$AG$364,0),0),5)*求节点(节奏总纲!D$4:D$163,攻城基础信息!$AD$5:$AD$164,$K280)</f>
        <v>91251.210632568313</v>
      </c>
      <c r="U280" s="12">
        <f>MIN(INDEX(其他调用!$AI$5:$AI$364,MATCH($K280,其他调用!$AG$5:$AG$364,0),1)/INDEX(其他调用!AH$5:AH$364,MATCH($K280,其他调用!$AG$5:$AG$364,0),0),1)*INDEX(其他调用!Y$5:Y$404,MATCH($K280,其他调用!$X$5:$X$404,0),0)</f>
        <v>41973.946313188659</v>
      </c>
      <c r="V280" s="12">
        <f>MIN(INDEX(其他调用!$AI$5:$AI$364,MATCH($K280,其他调用!$AG$5:$AG$364,0),1)/INDEX(其他调用!AI$5:AI$364,MATCH($K280,其他调用!$AG$5:$AG$364,0),0),1)*INDEX(其他调用!Z$5:Z$404,MATCH($K280,其他调用!$X$5:$X$404,0),0)</f>
        <v>43127.847200075237</v>
      </c>
      <c r="W280" s="12">
        <f>MIN(INDEX(其他调用!$AI$5:$AI$364,MATCH($K280,其他调用!$AG$5:$AG$364,0),1)/INDEX(其他调用!AJ$5:AJ$364,MATCH($K280,其他调用!$AG$5:$AG$364,0),0),1)*INDEX(其他调用!AA$5:AA$404,MATCH($K280,其他调用!$X$5:$X$404,0),0)</f>
        <v>26071.774466448107</v>
      </c>
      <c r="X280" s="12">
        <f>MIN(INDEX(其他调用!$AI$5:$AI$364,MATCH($K280,其他调用!$AG$5:$AG$364,0),1)/INDEX(其他调用!AK$5:AK$364,MATCH($K280,其他调用!$AG$5:$AG$364,0),0),1)*INDEX(其他调用!AB$5:AB$404,MATCH($K280,其他调用!$X$5:$X$404,0),0)</f>
        <v>9501.2143211669772</v>
      </c>
      <c r="Y280" s="12">
        <f>MIN(INDEX(其他调用!$AI$5:$AI$364,MATCH($K280,其他调用!$AG$5:$AG$364,0),1)/INDEX(其他调用!AL$5:AL$364,MATCH($K280,其他调用!$AG$5:$AG$364,0),0),1)*INDEX(其他调用!AC$5:AC$404,MATCH($K280,其他调用!$X$5:$X$404,0),0)</f>
        <v>5376.9342590188153</v>
      </c>
      <c r="Z280" s="12">
        <f>求节点(节奏总纲!D$4:D$163,标准城池设计!AD$4:AD$163,$K280)*求节点(节奏总纲!D$4:D$163,攻城基础信息!$AE$5:$AE$164,$K280)</f>
        <v>902493.38416891661</v>
      </c>
      <c r="AA280" s="12">
        <f>INDEX(其他调用!$AA$5:$AA$404,MATCH($K280,其他调用!$X$5:$X$404,0))*MIN(INDEX(其他调用!AJ$5:AJ$364,MATCH($K280,其他调用!$AG$5:$AG$364,0),1)/INDEX(其他调用!$AJ$5:$AJ$364,MATCH($K280,其他调用!$AG$5:$AG$364,0),0),5)*求节点(节奏总纲!D$4:D$163,攻城基础信息!$AE$5:$AE$164,$K280)</f>
        <v>156283.65361116329</v>
      </c>
      <c r="AB280" s="12">
        <f>MIN(INDEX(其他调用!$AJ$5:$AJ$364,MATCH($K280,其他调用!$AG$5:$AG$364,0),1)/INDEX(其他调用!AH$5:AH$364,MATCH($K280,其他调用!$AG$5:$AG$364,0),0),1)*INDEX(其他调用!Y$5:Y$404,MATCH($K280,其他调用!$X$5:$X$404,0),0)</f>
        <v>41973.946313188659</v>
      </c>
      <c r="AC280" s="12">
        <f>MIN(INDEX(其他调用!$AJ$5:$AJ$364,MATCH($K280,其他调用!$AG$5:$AG$364,0),1)/INDEX(其他调用!AI$5:AI$364,MATCH($K280,其他调用!$AG$5:$AG$364,0),0),1)*INDEX(其他调用!Z$5:Z$404,MATCH($K280,其他调用!$X$5:$X$404,0),0)</f>
        <v>43127.847200075237</v>
      </c>
      <c r="AD280" s="12">
        <f>MIN(INDEX(其他调用!$AJ$5:$AJ$364,MATCH($K280,其他调用!$AG$5:$AG$364,0),1)/INDEX(其他调用!AJ$5:AJ$364,MATCH($K280,其他调用!$AG$5:$AG$364,0),0),1)*INDEX(其他调用!AA$5:AA$404,MATCH($K280,其他调用!$X$5:$X$404,0),0)</f>
        <v>44652.472460332399</v>
      </c>
      <c r="AE280" s="12">
        <f>MIN(INDEX(其他调用!$AJ$5:$AJ$364,MATCH($K280,其他调用!$AG$5:$AG$364,0),1)/INDEX(其他调用!AK$5:AK$364,MATCH($K280,其他调用!$AG$5:$AG$364,0),0),1)*INDEX(其他调用!AB$5:AB$404,MATCH($K280,其他调用!$X$5:$X$404,0),0)</f>
        <v>16272.490825724082</v>
      </c>
      <c r="AF280" s="12">
        <f>MIN(INDEX(其他调用!$AJ$5:$AJ$364,MATCH($K280,其他调用!$AG$5:$AG$364,0),1)/INDEX(其他调用!AL$5:AL$364,MATCH($K280,其他调用!$AG$5:$AG$364,0),0),1)*INDEX(其他调用!AC$5:AC$404,MATCH($K280,其他调用!$X$5:$X$404,0),0)</f>
        <v>9208.9400831091407</v>
      </c>
      <c r="AG280" s="12">
        <f>求节点(节奏总纲!D$4:D$163,标准城池设计!AE$4:AE$163,$K280)*求节点(节奏总纲!D$4:D$163,攻城基础信息!$AF$5:$AF$164,$K280)</f>
        <v>1089765.1903979802</v>
      </c>
      <c r="AH280" s="12">
        <f>INDEX(其他调用!$AA$5:$AA$404,MATCH($K280,其他调用!$X$5:$X$404,0))*MIN(INDEX(其他调用!AK$5:AK$364,MATCH($K280,其他调用!$AG$5:$AG$364,0),1)/INDEX(其他调用!$AJ$5:$AJ$364,MATCH($K280,其他调用!$AG$5:$AG$364,0),0),5)*求节点(节奏总纲!D$4:D$163,攻城基础信息!$AF$5:$AF$164,$K280)</f>
        <v>450506.55021513597</v>
      </c>
      <c r="AI280" s="12">
        <f>MIN(INDEX(其他调用!$AK$5:$AK$364,MATCH($K280,其他调用!$AG$5:$AG$364,0),1)/INDEX(其他调用!AH$5:AH$364,MATCH($K280,其他调用!$AG$5:$AG$364,0),0),1)*INDEX(其他调用!Y$5:Y$404,MATCH($K280,其他调用!$X$5:$X$404,0),0)</f>
        <v>41973.946313188659</v>
      </c>
      <c r="AJ280" s="12">
        <f>MIN(INDEX(其他调用!$AK$5:$AK$364,MATCH($K280,其他调用!$AG$5:$AG$364,0),1)/INDEX(其他调用!AI$5:AI$364,MATCH($K280,其他调用!$AG$5:$AG$364,0),0),1)*INDEX(其他调用!Z$5:Z$404,MATCH($K280,其他调用!$X$5:$X$404,0),0)</f>
        <v>43127.847200075237</v>
      </c>
      <c r="AK280" s="12">
        <f>MIN(INDEX(其他调用!$AK$5:$AK$364,MATCH($K280,其他调用!$AG$5:$AG$364,0),1)/INDEX(其他调用!AJ$5:AJ$364,MATCH($K280,其他调用!$AG$5:$AG$364,0),0),1)*INDEX(其他调用!AA$5:AA$404,MATCH($K280,其他调用!$X$5:$X$404,0),0)</f>
        <v>44652.472460332399</v>
      </c>
      <c r="AL280" s="12">
        <f>MIN(INDEX(其他调用!$AK$5:$AK$364,MATCH($K280,其他调用!$AG$5:$AG$364,0),1)/INDEX(其他调用!AK$5:AK$364,MATCH($K280,其他调用!$AG$5:$AG$364,0),0),1)*INDEX(其他调用!AB$5:AB$404,MATCH($K280,其他调用!$X$5:$X$404,0),0)</f>
        <v>46907.424646877873</v>
      </c>
      <c r="AM280" s="12">
        <f>MIN(INDEX(其他调用!$AK$5:$AK$364,MATCH($K280,其他调用!$AG$5:$AG$364,0),1)/INDEX(其他调用!AL$5:AL$364,MATCH($K280,其他调用!$AG$5:$AG$364,0),0),1)*INDEX(其他调用!AC$5:AC$404,MATCH($K280,其他调用!$X$5:$X$404,0),0)</f>
        <v>26545.884563854648</v>
      </c>
      <c r="AN280" s="12">
        <f>求节点(节奏总纲!D$4:D$163,标准城池设计!AF$4:AF$163,$K280)*求节点(节奏总纲!D$4:D$163,攻城基础信息!$AG$5:$AG$164,$K280)</f>
        <v>1140912.6143658925</v>
      </c>
      <c r="AO280" s="12">
        <f>INDEX(其他调用!$AA$5:$AA$404,MATCH($K280,其他调用!$X$5:$X$404,0))*MIN(INDEX(其他调用!AL$5:AL$364,MATCH($K280,其他调用!$AG$5:$AG$364,0),1)/INDEX(其他调用!$AJ$5:$AJ$364,MATCH($K280,其他调用!$AG$5:$AG$364,0),0),5)*求节点(节奏总纲!D$4:D$163,攻城基础信息!$AG$5:$AG$164,$K280)</f>
        <v>781418.26805581641</v>
      </c>
      <c r="AP280" s="12">
        <f>MIN(INDEX(其他调用!$AL$5:$AL$364,MATCH($K280,其他调用!$AG$5:$AG$364,0),1)/INDEX(其他调用!AH$5:AH$364,MATCH($K280,其他调用!$AG$5:$AG$364,0),0),1)*INDEX(其他调用!Y$5:Y$404,MATCH($K280,其他调用!$X$5:$X$404,0),0)</f>
        <v>41973.946313188659</v>
      </c>
      <c r="AQ280" s="12">
        <f>MIN(INDEX(其他调用!$AL$5:$AL$364,MATCH($K280,其他调用!$AG$5:$AG$364,0),1)/INDEX(其他调用!AI$5:AI$364,MATCH($K280,其他调用!$AG$5:$AG$364,0),0),1)*INDEX(其他调用!Z$5:Z$404,MATCH($K280,其他调用!$X$5:$X$404,0),0)</f>
        <v>43127.847200075237</v>
      </c>
      <c r="AR280" s="12">
        <f>MIN(INDEX(其他调用!$AL$5:$AL$364,MATCH($K280,其他调用!$AG$5:$AG$364,0),1)/INDEX(其他调用!AJ$5:AJ$364,MATCH($K280,其他调用!$AG$5:$AG$364,0),0),1)*INDEX(其他调用!AA$5:AA$404,MATCH($K280,其他调用!$X$5:$X$404,0),0)</f>
        <v>44652.472460332399</v>
      </c>
      <c r="AS280" s="12">
        <f>MIN(INDEX(其他调用!$AL$5:$AL$364,MATCH($K280,其他调用!$AG$5:$AG$364,0),1)/INDEX(其他调用!AK$5:AK$364,MATCH($K280,其他调用!$AG$5:$AG$364,0),0),1)*INDEX(其他调用!AB$5:AB$404,MATCH($K280,其他调用!$X$5:$X$404,0),0)</f>
        <v>46907.424646877873</v>
      </c>
      <c r="AT280" s="12">
        <f>MIN(INDEX(其他调用!$AL$5:$AL$364,MATCH($K280,其他调用!$AG$5:$AG$364,0),1)/INDEX(其他调用!AL$5:AL$364,MATCH($K280,其他调用!$AG$5:$AG$364,0),0),1)*INDEX(其他调用!AC$5:AC$404,MATCH($K280,其他调用!$X$5:$X$404,0),0)</f>
        <v>50794.111793776829</v>
      </c>
      <c r="AV280" s="14">
        <f>IF(OR(AV$5="大R",AV$5="超R"),MAX(INDEX(其他调用!$H$5:$L$404,MATCH($K280,其他调用!$B$5:$B$404,0),MATCH(AV$5,其他调用!$H$4:$L$4,0))*120*0.85,2),INDEX(其他调用!$H$5:$L$404,MATCH($K280,其他调用!$B$5:$B$404,0),MATCH(AV$5,其他调用!$H$4:$L$4,0))*120*0.85)</f>
        <v>48.921801254999991</v>
      </c>
      <c r="AW280" s="14">
        <f>IF(OR(AW$5="大R",AW$5="超R"),MAX(INDEX(其他调用!$H$5:$L$404,MATCH($K280,其他调用!$B$5:$B$404,0),MATCH(AW$5,其他调用!$H$4:$L$4,0))*120*0.85,2),INDEX(其他调用!$H$5:$L$404,MATCH($K280,其他调用!$B$5:$B$404,0),MATCH(AW$5,其他调用!$H$4:$L$4,0))*120*0.85)</f>
        <v>48.237344010638395</v>
      </c>
      <c r="AX280" s="14">
        <f>IF(OR(AX$5="大R",AX$5="超R"),MAX(INDEX(其他调用!$H$5:$L$404,MATCH($K280,其他调用!$B$5:$B$404,0),MATCH(AX$5,其他调用!$H$4:$L$4,0))*120*0.85,2),INDEX(其他调用!$H$5:$L$404,MATCH($K280,其他调用!$B$5:$B$404,0),MATCH(AX$5,其他调用!$H$4:$L$4,0))*120*0.85)</f>
        <v>3.9376284143615998</v>
      </c>
      <c r="AY280" s="14">
        <f>IF(OR(AY$5="大R",AY$5="超R"),MAX(INDEX(其他调用!$H$5:$L$404,MATCH($K280,其他调用!$B$5:$B$404,0),MATCH(AY$5,其他调用!$H$4:$L$4,0))*120*0.85,2),INDEX(其他调用!$H$5:$L$404,MATCH($K280,其他调用!$B$5:$B$404,0),MATCH(AY$5,其他调用!$H$4:$L$4,0))*120*0.85)</f>
        <v>2</v>
      </c>
      <c r="AZ280" s="14">
        <f>IF(OR(AZ$5="大R",AZ$5="超R"),MAX(INDEX(其他调用!$H$5:$L$404,MATCH($K280,其他调用!$B$5:$B$404,0),MATCH(AZ$5,其他调用!$H$4:$L$4,0))*120*0.85,2),INDEX(其他调用!$H$5:$L$404,MATCH($K280,其他调用!$B$5:$B$404,0),MATCH(AZ$5,其他调用!$H$4:$L$4,0))*120*0.85)</f>
        <v>2</v>
      </c>
      <c r="BA280" s="14">
        <f>INDEX(其他调用!$H$5:$L$404,MATCH($K280,其他调用!$B$5:$B$404,0),MATCH(BA$5,其他调用!$H$4:$L$4,0))*INDEX(其他调用!$M$5:$M$404,MATCH($K280,其他调用!$B$5:$B$404,0))*0.6</f>
        <v>28.777530149999997</v>
      </c>
      <c r="BB280" s="14">
        <f>INDEX(其他调用!$H$5:$L$404,MATCH($K280,其他调用!$B$5:$B$404,0),MATCH(BB$5,其他调用!$H$4:$L$4,0))*INDEX(其他调用!$M$5:$M$404,MATCH($K280,其他调用!$B$5:$B$404,0))*0.6</f>
        <v>28.374908241551999</v>
      </c>
      <c r="BC280" s="14">
        <f>INDEX(其他调用!$H$5:$L$404,MATCH($K280,其他调用!$B$5:$B$404,0),MATCH(BC$5,其他调用!$H$4:$L$4,0))*INDEX(其他调用!$M$5:$M$404,MATCH($K280,其他调用!$B$5:$B$404,0))*0.6</f>
        <v>2.3162520084480001</v>
      </c>
      <c r="BD280" s="14">
        <f>INDEX(其他调用!$H$5:$L$404,MATCH($K280,其他调用!$B$5:$B$404,0),MATCH(BD$5,其他调用!$H$4:$L$4,0))*INDEX(其他调用!$M$5:$M$404,MATCH($K280,其他调用!$B$5:$B$404,0))*0.6</f>
        <v>0.4120776000000001</v>
      </c>
      <c r="BE280" s="14">
        <f>INDEX(其他调用!$H$5:$L$404,MATCH($K280,其他调用!$B$5:$B$404,0),MATCH(BE$5,其他调用!$H$4:$L$4,0))*INDEX(其他调用!$M$5:$M$404,MATCH($K280,其他调用!$B$5:$B$404,0))*0.6</f>
        <v>0.11923199999999998</v>
      </c>
      <c r="BF280" s="14">
        <f>IF(OR(BF$5="大R",BF$5="超R"),0,INDEX(其他调用!$H$5:$L$404,MATCH($K280,其他调用!$B$5:$B$404,0),MATCH(BF$5,其他调用!$H$4:$L$4,0))*50*0.4)</f>
        <v>9.5925100500000013</v>
      </c>
      <c r="BG280" s="14">
        <f>IF(OR(BG$5="大R",BG$5="超R"),0,INDEX(其他调用!$H$5:$L$404,MATCH($K280,其他调用!$B$5:$B$404,0),MATCH(BG$5,其他调用!$H$4:$L$4,0))*50*0.4)</f>
        <v>9.4583027471839998</v>
      </c>
      <c r="BH280" s="14">
        <f>IF(OR(BH$5="大R",BH$5="超R"),0,INDEX(其他调用!$H$5:$L$404,MATCH($K280,其他调用!$B$5:$B$404,0),MATCH(BH$5,其他调用!$H$4:$L$4,0))*50*0.4)</f>
        <v>0.77208400281600009</v>
      </c>
      <c r="BI280" s="14">
        <f>IF(OR(BI$5="大R",BI$5="超R"),0,INDEX(其他调用!$H$5:$L$404,MATCH($K280,其他调用!$B$5:$B$404,0),MATCH(BI$5,其他调用!$H$4:$L$4,0))*50*0.4)</f>
        <v>0</v>
      </c>
      <c r="BJ280" s="14">
        <f>IF(OR(BJ$5="大R",BJ$5="超R"),0,INDEX(其他调用!$H$5:$L$404,MATCH($K280,其他调用!$B$5:$B$404,0),MATCH(BJ$5,其他调用!$H$4:$L$4,0))*50*0.4)</f>
        <v>0</v>
      </c>
      <c r="BL280" s="14">
        <f t="shared" si="523"/>
        <v>275</v>
      </c>
      <c r="BM280" s="14">
        <f t="shared" si="430"/>
        <v>96</v>
      </c>
      <c r="BN280" s="14">
        <f>('疲劳值&amp;地图信息'!$S$10*'疲劳值&amp;地图信息'!$R$10+'疲劳值&amp;地图信息'!$S$11*'疲劳值&amp;地图信息'!$R$11+'疲劳值&amp;地图信息'!$S$12*'疲劳值&amp;地图信息'!$R$12+(BM280-'疲劳值&amp;地图信息'!$S$12-'疲劳值&amp;地图信息'!$S$11-'疲劳值&amp;地图信息'!$S$10)*'疲劳值&amp;地图信息'!$R$13)/BM280</f>
        <v>51.371477246638619</v>
      </c>
      <c r="BO280" s="14">
        <f>INDEX(其他调用!$M$5:$M$404,MATCH(BL280,其他调用!$B$5:$B$404,0))*0.6</f>
        <v>60</v>
      </c>
      <c r="BP280" s="14">
        <f>IF(BO280&gt;SUM('疲劳值&amp;地图信息'!$S$10:$S$12),('疲劳值&amp;地图信息'!$S$10*'疲劳值&amp;地图信息'!$R$10+'疲劳值&amp;地图信息'!$S$11*'疲劳值&amp;地图信息'!$R$11+'疲劳值&amp;地图信息'!$S$12*'疲劳值&amp;地图信息'!$R$12+(BO280-'疲劳值&amp;地图信息'!$S$12-'疲劳值&amp;地图信息'!$S$11-'疲劳值&amp;地图信息'!$S$10)*'疲劳值&amp;地图信息'!$R$13)/BO280,('疲劳值&amp;地图信息'!$S$10*'疲劳值&amp;地图信息'!$R$10+'疲劳值&amp;地图信息'!$S$11*'疲劳值&amp;地图信息'!$R$11+'疲劳值&amp;地图信息'!$S$12*'疲劳值&amp;地图信息'!$R$12+(BO280-'疲劳值&amp;地图信息'!$S$12-'疲劳值&amp;地图信息'!$S$11-'疲劳值&amp;地图信息'!$S$10)*'疲劳值&amp;地图信息'!$R$13)/BO280)</f>
        <v>44.158136341605953</v>
      </c>
      <c r="BQ280" s="14">
        <f t="shared" si="524"/>
        <v>20</v>
      </c>
      <c r="BR280" s="14">
        <f>('疲劳值&amp;地图信息'!$S$10*'疲劳值&amp;地图信息'!$R$10+($BQ280-'疲劳值&amp;地图信息'!$S$10)*'疲劳值&amp;地图信息'!$R$11)/$BQ280</f>
        <v>32.067203015074995</v>
      </c>
      <c r="CF280" s="14">
        <v>275</v>
      </c>
      <c r="CG280" s="51">
        <f t="shared" si="431"/>
        <v>15391</v>
      </c>
      <c r="CH280" s="51">
        <f t="shared" si="432"/>
        <v>1094</v>
      </c>
      <c r="CI280" s="51">
        <f>INT(SUMPRODUCT($N280:$R280,$BA280:$BE280)/SUM($BA280:$BE280)/10000*$BX$7*$BZ$34/'疲劳值&amp;地图信息'!$R$10*$BY$53)</f>
        <v>3325</v>
      </c>
      <c r="CJ280" s="50">
        <f t="shared" si="433"/>
        <v>0.77693084300858151</v>
      </c>
      <c r="CK280" s="50">
        <f t="shared" si="434"/>
        <v>5.5224634023220594E-2</v>
      </c>
      <c r="CL280" s="50">
        <f t="shared" si="435"/>
        <v>0.16784452296819788</v>
      </c>
      <c r="CM280" s="14">
        <f t="shared" si="436"/>
        <v>16808</v>
      </c>
      <c r="CN280" s="14">
        <f t="shared" si="437"/>
        <v>1859</v>
      </c>
      <c r="CO280" s="14">
        <f>INT(SUMPRODUCT($U280:$Y280,$BA280:$BE280)/SUM($BA280:$BE280)/10000*$BX$7*$BZ$34/'疲劳值&amp;地图信息'!$R$10*$BY$54)</f>
        <v>6333</v>
      </c>
      <c r="CP280" s="50">
        <f t="shared" si="438"/>
        <v>0.67232000000000003</v>
      </c>
      <c r="CQ280" s="50">
        <f t="shared" si="439"/>
        <v>7.4359999999999996E-2</v>
      </c>
      <c r="CR280" s="50">
        <f t="shared" si="440"/>
        <v>0.25331999999999999</v>
      </c>
      <c r="CS280" s="14">
        <f t="shared" si="441"/>
        <v>18393</v>
      </c>
      <c r="CT280" s="14">
        <f t="shared" si="442"/>
        <v>3185</v>
      </c>
      <c r="CU280" s="14">
        <f>INT(SUMPRODUCT($AB280:$AF280,$BA280:$BE280)/SUM($BA280:$BE280)/10000*$BX$7*$BZ$34/'疲劳值&amp;地图信息'!$R$10*$BY$55)</f>
        <v>8600</v>
      </c>
      <c r="CV280" s="50">
        <f t="shared" si="443"/>
        <v>0.60948372986944133</v>
      </c>
      <c r="CW280" s="50">
        <f t="shared" si="444"/>
        <v>0.10554045993770296</v>
      </c>
      <c r="CX280" s="50">
        <f t="shared" si="445"/>
        <v>0.28497581019285573</v>
      </c>
      <c r="CY280" s="14">
        <f t="shared" si="446"/>
        <v>22210</v>
      </c>
      <c r="CZ280" s="14">
        <f t="shared" si="447"/>
        <v>9181</v>
      </c>
      <c r="DA280" s="14">
        <f>INT(SUMPRODUCT($AI280:$AM280,$BA280:$BE280)/SUM($BA280:$BE280)/10000*$BX$7*$BZ$34/'疲劳值&amp;地图信息'!$R$10*$BY$56)</f>
        <v>12975</v>
      </c>
      <c r="DB280" s="50">
        <f t="shared" si="448"/>
        <v>0.50060857413334536</v>
      </c>
      <c r="DC280" s="50">
        <f t="shared" si="449"/>
        <v>0.20693774512013705</v>
      </c>
      <c r="DD280" s="50">
        <f t="shared" si="450"/>
        <v>0.29245368074651762</v>
      </c>
      <c r="DE280" s="14">
        <f t="shared" si="451"/>
        <v>23253</v>
      </c>
      <c r="DF280" s="14">
        <f t="shared" si="452"/>
        <v>15926</v>
      </c>
      <c r="DG280" s="14">
        <f>INT(SUMPRODUCT($AP280:$AT280,$BA280:$BE280)/SUM($BA280:$BE280)/10000*$BX$7*$BZ$34/'疲劳值&amp;地图信息'!$R$10*$BY$57)</f>
        <v>17320</v>
      </c>
      <c r="DH280" s="50">
        <f t="shared" si="453"/>
        <v>0.41156480645675142</v>
      </c>
      <c r="DI280" s="50">
        <f t="shared" si="454"/>
        <v>0.28188109524062371</v>
      </c>
      <c r="DJ280" s="50">
        <f t="shared" si="455"/>
        <v>0.30655409830262481</v>
      </c>
      <c r="DL280" s="14">
        <f t="shared" si="526"/>
        <v>19810</v>
      </c>
      <c r="DM280" s="14">
        <f t="shared" si="527"/>
        <v>25000</v>
      </c>
      <c r="DN280" s="14">
        <f t="shared" si="528"/>
        <v>30178</v>
      </c>
      <c r="DO280" s="14">
        <f t="shared" si="529"/>
        <v>44366</v>
      </c>
      <c r="DP280" s="14">
        <f t="shared" si="530"/>
        <v>56499</v>
      </c>
      <c r="DQ280" s="14">
        <f t="shared" si="531"/>
        <v>1374374</v>
      </c>
      <c r="DT280" s="14">
        <f t="shared" si="525"/>
        <v>235575</v>
      </c>
      <c r="DU280" s="50">
        <f t="shared" si="427"/>
        <v>0.14632451090065585</v>
      </c>
      <c r="DW280" s="14">
        <f t="shared" si="456"/>
        <v>1609949</v>
      </c>
      <c r="EB280" s="14">
        <v>275</v>
      </c>
      <c r="EC280" s="51">
        <f t="shared" si="457"/>
        <v>25653</v>
      </c>
      <c r="ED280" s="51">
        <f t="shared" si="458"/>
        <v>1824</v>
      </c>
      <c r="EE280" s="51">
        <f>INT(SUMPRODUCT($N280:$R280,$BF280:$BJ280)/SUM($BF280:$BJ280)/10000*$BX$7*$BZ$46/'疲劳值&amp;地图信息'!$R$10*$BY$53)</f>
        <v>446</v>
      </c>
      <c r="EF280" s="50">
        <f t="shared" si="459"/>
        <v>0.91870501020663964</v>
      </c>
      <c r="EG280" s="50">
        <f t="shared" si="460"/>
        <v>6.5322494001360878E-2</v>
      </c>
      <c r="EH280" s="50">
        <f t="shared" si="461"/>
        <v>1.5972495791999428E-2</v>
      </c>
      <c r="EI280" s="51">
        <f t="shared" si="462"/>
        <v>28014</v>
      </c>
      <c r="EJ280" s="51">
        <f t="shared" si="463"/>
        <v>3099</v>
      </c>
      <c r="EK280" s="14">
        <f>INT(SUMPRODUCT($U280:$Y280,$BF280:$BJ280)/SUM($BF280:$BJ280)/10000*$BX$7*$BZ$46/'疲劳值&amp;地图信息'!$R$10*$BY$54)</f>
        <v>850</v>
      </c>
      <c r="EL280" s="50">
        <f t="shared" si="464"/>
        <v>0.87645089634890339</v>
      </c>
      <c r="EM280" s="50">
        <f t="shared" si="465"/>
        <v>9.6955855207583763E-2</v>
      </c>
      <c r="EN280" s="50">
        <f t="shared" si="466"/>
        <v>2.6593248443512813E-2</v>
      </c>
      <c r="EO280" s="51">
        <f t="shared" si="467"/>
        <v>30656</v>
      </c>
      <c r="EP280" s="51">
        <f t="shared" si="468"/>
        <v>5308</v>
      </c>
      <c r="EQ280" s="14">
        <f>INT(SUMPRODUCT($AB280:$AF280,$BF280:$BJ280)/SUM($BF280:$BJ280)/10000*$BX$7*$BZ$46/'疲劳值&amp;地图信息'!$R$10*$BY$55)</f>
        <v>1153</v>
      </c>
      <c r="ER280" s="50">
        <f t="shared" si="469"/>
        <v>0.82592881967831455</v>
      </c>
      <c r="ES280" s="50">
        <f t="shared" si="470"/>
        <v>0.14300724735296494</v>
      </c>
      <c r="ET280" s="50">
        <f t="shared" si="471"/>
        <v>3.1063932968720533E-2</v>
      </c>
      <c r="EU280" s="51">
        <f t="shared" si="472"/>
        <v>37018</v>
      </c>
      <c r="EV280" s="51">
        <f t="shared" si="473"/>
        <v>15303</v>
      </c>
      <c r="EW280" s="14">
        <f>INT(SUMPRODUCT($AI280:$AM280,$BF280:$BJ280)/SUM($BF280:$BJ280)/10000*$BX$7*$BZ$46/'疲劳值&amp;地图信息'!$R$10*$BY$56)</f>
        <v>1730</v>
      </c>
      <c r="EX280" s="50">
        <f t="shared" si="474"/>
        <v>0.68487169525078162</v>
      </c>
      <c r="EY280" s="50">
        <f t="shared" si="475"/>
        <v>0.28312149636454459</v>
      </c>
      <c r="EZ280" s="50">
        <f t="shared" si="476"/>
        <v>3.2006808384673735E-2</v>
      </c>
      <c r="FA280" s="51">
        <f t="shared" si="477"/>
        <v>38755</v>
      </c>
      <c r="FB280" s="51">
        <f t="shared" si="478"/>
        <v>26543</v>
      </c>
      <c r="FC280" s="14">
        <f>INT(SUMPRODUCT($AP280:$AT280,$BF280:$BJ280)/SUM($BF280:$BJ280)/10000*$BX$7*$BZ$46/'疲劳值&amp;地图信息'!$R$10*$BY$57)</f>
        <v>2306</v>
      </c>
      <c r="FD280" s="50">
        <f t="shared" si="479"/>
        <v>0.57326489556830962</v>
      </c>
      <c r="FE280" s="50">
        <f t="shared" si="480"/>
        <v>0.39262469676350514</v>
      </c>
      <c r="FF280" s="50">
        <f t="shared" si="481"/>
        <v>3.4110407668185315E-2</v>
      </c>
      <c r="FH280" s="14">
        <f t="shared" si="482"/>
        <v>27923</v>
      </c>
      <c r="FI280" s="14">
        <f t="shared" si="483"/>
        <v>31963</v>
      </c>
      <c r="FJ280" s="14">
        <f t="shared" si="484"/>
        <v>37117</v>
      </c>
      <c r="FK280" s="14">
        <f t="shared" si="485"/>
        <v>54051</v>
      </c>
      <c r="FL280" s="14">
        <f t="shared" si="486"/>
        <v>67604</v>
      </c>
      <c r="FM280" s="14">
        <f t="shared" si="487"/>
        <v>3297316</v>
      </c>
      <c r="FP280" s="14">
        <f t="shared" si="488"/>
        <v>334150</v>
      </c>
      <c r="FQ280" s="50">
        <f t="shared" si="428"/>
        <v>9.2015180646053144E-2</v>
      </c>
      <c r="FS280" s="14">
        <f t="shared" si="489"/>
        <v>3631466</v>
      </c>
      <c r="FX280" s="14">
        <v>275</v>
      </c>
      <c r="FY280" s="51">
        <f t="shared" si="490"/>
        <v>35914</v>
      </c>
      <c r="FZ280" s="51">
        <f t="shared" si="491"/>
        <v>1824</v>
      </c>
      <c r="GA280" s="51">
        <f>INT(SUMPRODUCT($N280:$R280,$BF280:$BJ280)/SUM($BF280:$BJ280)/10000*$BX$7*$BZ$46/'疲劳值&amp;地图信息'!$R$10*$BY$53)</f>
        <v>446</v>
      </c>
      <c r="GB280" s="50">
        <f t="shared" si="492"/>
        <v>0.94055101613241143</v>
      </c>
      <c r="GC280" s="50">
        <f t="shared" si="493"/>
        <v>4.7768698931489627E-2</v>
      </c>
      <c r="GD280" s="50">
        <f t="shared" si="494"/>
        <v>1.168028493609889E-2</v>
      </c>
      <c r="GE280" s="51">
        <f t="shared" si="495"/>
        <v>39220</v>
      </c>
      <c r="GF280" s="51">
        <f t="shared" si="496"/>
        <v>3099</v>
      </c>
      <c r="GG280" s="14">
        <f>INT(SUMPRODUCT($U280:$Y280,$BF280:$BJ280)/SUM($BF280:$BJ280)/10000*$BX$7*$BZ$46/'疲劳值&amp;地图信息'!$R$10*$BY$54)</f>
        <v>850</v>
      </c>
      <c r="GH280" s="50">
        <f t="shared" si="497"/>
        <v>0.9085223192568741</v>
      </c>
      <c r="GI280" s="50">
        <f t="shared" si="498"/>
        <v>7.1787625379323122E-2</v>
      </c>
      <c r="GJ280" s="50">
        <f t="shared" si="499"/>
        <v>1.9690055363802729E-2</v>
      </c>
      <c r="GK280" s="51">
        <f t="shared" si="500"/>
        <v>42919</v>
      </c>
      <c r="GL280" s="51">
        <f t="shared" si="501"/>
        <v>5308</v>
      </c>
      <c r="GM280" s="14">
        <f>INT(SUMPRODUCT($AB280:$AF280,$BF280:$BJ280)/SUM($BF280:$BJ280)/10000*$BX$7*$BZ$46/'疲劳值&amp;地图信息'!$R$10*$BY$55)</f>
        <v>1153</v>
      </c>
      <c r="GN280" s="50">
        <f t="shared" si="502"/>
        <v>0.86915755366545155</v>
      </c>
      <c r="GO280" s="50">
        <f t="shared" si="503"/>
        <v>0.10749291211016605</v>
      </c>
      <c r="GP280" s="50">
        <f t="shared" si="504"/>
        <v>2.3349534224382341E-2</v>
      </c>
      <c r="GQ280" s="51">
        <f t="shared" si="505"/>
        <v>51825</v>
      </c>
      <c r="GR280" s="51">
        <f t="shared" si="506"/>
        <v>15303</v>
      </c>
      <c r="GS280" s="14">
        <f>INT(SUMPRODUCT($AI280:$AM280,$BF280:$BJ280)/SUM($BF280:$BJ280)/10000*$BX$7*$BZ$46/'疲劳值&amp;地图信息'!$R$10*$BY$56)</f>
        <v>1730</v>
      </c>
      <c r="GT280" s="50">
        <f t="shared" si="507"/>
        <v>0.75263585930465593</v>
      </c>
      <c r="GU280" s="50">
        <f t="shared" si="508"/>
        <v>0.22223997211652968</v>
      </c>
      <c r="GV280" s="50">
        <f t="shared" si="509"/>
        <v>2.512416857881437E-2</v>
      </c>
      <c r="GW280" s="51">
        <f t="shared" si="510"/>
        <v>54257</v>
      </c>
      <c r="GX280" s="51">
        <f t="shared" si="511"/>
        <v>26543</v>
      </c>
      <c r="GY280" s="14">
        <f>INT(SUMPRODUCT($AP280:$AT280,$BF280:$BJ280)/SUM($BF280:$BJ280)/10000*$BX$7*$BZ$46/'疲劳值&amp;地图信息'!$R$10*$BY$57)</f>
        <v>2306</v>
      </c>
      <c r="GZ280" s="50">
        <f t="shared" si="512"/>
        <v>0.65286501576300149</v>
      </c>
      <c r="HA280" s="50">
        <f t="shared" si="513"/>
        <v>0.31938728852309101</v>
      </c>
      <c r="HB280" s="50">
        <f t="shared" si="514"/>
        <v>2.774769571390754E-2</v>
      </c>
      <c r="HD280" s="14">
        <f t="shared" si="515"/>
        <v>38184</v>
      </c>
      <c r="HE280" s="14">
        <f t="shared" si="516"/>
        <v>43169</v>
      </c>
      <c r="HF280" s="14">
        <f t="shared" si="517"/>
        <v>49380</v>
      </c>
      <c r="HG280" s="14">
        <f t="shared" si="518"/>
        <v>68858</v>
      </c>
      <c r="HH280" s="14">
        <f t="shared" si="519"/>
        <v>83106</v>
      </c>
      <c r="HI280" s="14">
        <f t="shared" si="520"/>
        <v>4448756</v>
      </c>
      <c r="HL280" s="14">
        <f t="shared" si="521"/>
        <v>430050</v>
      </c>
      <c r="HM280" s="50">
        <f t="shared" si="429"/>
        <v>8.8146567008403287E-2</v>
      </c>
      <c r="HO280" s="14">
        <f t="shared" si="522"/>
        <v>4878806</v>
      </c>
    </row>
    <row r="281" spans="11:223" x14ac:dyDescent="0.2">
      <c r="K281" s="14">
        <v>276</v>
      </c>
      <c r="L281" s="12">
        <f>求节点(节奏总纲!D$4:D$163,标准城池设计!AB$4:AB$163,$K281)*求节点(节奏总纲!D$4:D$163,攻城基础信息!$AC$5:$AC$164,$K281)</f>
        <v>756356.64049043611</v>
      </c>
      <c r="M281" s="12">
        <f>INDEX(其他调用!$AA$5:$AA$404,MATCH(K281,其他调用!$X$5:$X$404,0))*MIN(INDEX(其他调用!$AH$5:$AH$364,MATCH('征服点（新）'!K281,其他调用!$AG$5:$AG$364,0),1)/INDEX(其他调用!$AJ$5:$AJ$364,MATCH(K281,其他调用!$AG$5:$AG$364,0),0),5)*求节点(节奏总纲!D$4:D$163,攻城基础信息!$AC$5:$AC$164,$K281)</f>
        <v>53694.319554035079</v>
      </c>
      <c r="N281" s="12">
        <f>MIN(INDEX(其他调用!$AH$5:$AH$364,MATCH($K281,其他调用!$AG$5:$AG$364,0),1)/INDEX(其他调用!AH$5:AH$364,MATCH($K281,其他调用!$AG$5:$AG$364,0),0),1)*INDEX(其他调用!Y$5:Y$404,MATCH($K281,其他调用!$X$5:$X$404,0),0)</f>
        <v>41994.257621576078</v>
      </c>
      <c r="O281" s="12">
        <f>MIN(INDEX(其他调用!$AH$5:$AH$364,MATCH($K281,其他调用!$AG$5:$AG$364,0),1)/INDEX(其他调用!AI$5:AI$364,MATCH($K281,其他调用!$AG$5:$AG$364,0),0),1)*INDEX(其他调用!Z$5:Z$404,MATCH($K281,其他调用!$X$5:$X$404,0),0)</f>
        <v>25392.367149873171</v>
      </c>
      <c r="P281" s="12">
        <f>MIN(INDEX(其他调用!$AH$5:$AH$364,MATCH($K281,其他调用!$AG$5:$AG$364,0),1)/INDEX(其他调用!AJ$5:AJ$364,MATCH($K281,其他调用!$AG$5:$AG$364,0),0),1)*INDEX(其他调用!AA$5:AA$404,MATCH($K281,其他调用!$X$5:$X$404,0),0)</f>
        <v>15341.234158295747</v>
      </c>
      <c r="Q281" s="12">
        <f>MIN(INDEX(其他调用!$AH$5:$AH$364,MATCH($K281,其他调用!$AG$5:$AG$364,0),1)/INDEX(其他调用!AK$5:AK$364,MATCH($K281,其他调用!$AG$5:$AG$364,0),0),1)*INDEX(其他调用!AB$5:AB$404,MATCH($K281,其他调用!$X$5:$X$404,0),0)</f>
        <v>5599.0940876031336</v>
      </c>
      <c r="R281" s="12">
        <f>MIN(INDEX(其他调用!$AH$5:$AH$364,MATCH($K281,其他调用!$AG$5:$AG$364,0),1)/INDEX(其他调用!AL$5:AL$364,MATCH($K281,其他调用!$AG$5:$AG$364,0),0),1)*INDEX(其他调用!AC$5:AC$404,MATCH($K281,其他调用!$X$5:$X$404,0),0)</f>
        <v>3173.7134084500385</v>
      </c>
      <c r="S281" s="12">
        <f>求节点(节奏总纲!D$4:D$163,标准城池设计!AC$4:AC$163,$K281)*求节点(节奏总纲!D$4:D$163,攻城基础信息!$AD$5:$AD$164,$K281)</f>
        <v>826133.10611741047</v>
      </c>
      <c r="T281" s="12">
        <f>INDEX(其他调用!$AA$5:$AA$404,MATCH($K281,其他调用!$X$5:$X$404,0))*MIN(INDEX(其他调用!AI$5:AI$364,MATCH($K281,其他调用!$AG$5:$AG$364,0),1)/INDEX(其他调用!$AJ$5:$AJ$364,MATCH($K281,其他调用!$AG$5:$AG$364,0),0),5)*求节点(节奏总纲!D$4:D$163,攻城基础信息!$AD$5:$AD$164,$K281)</f>
        <v>91240.919636364066</v>
      </c>
      <c r="U281" s="12">
        <f>MIN(INDEX(其他调用!$AI$5:$AI$364,MATCH($K281,其他调用!$AG$5:$AG$364,0),1)/INDEX(其他调用!AH$5:AH$364,MATCH($K281,其他调用!$AG$5:$AG$364,0),0),1)*INDEX(其他调用!Y$5:Y$404,MATCH($K281,其他调用!$X$5:$X$404,0),0)</f>
        <v>41994.257621576078</v>
      </c>
      <c r="V281" s="12">
        <f>MIN(INDEX(其他调用!$AI$5:$AI$364,MATCH($K281,其他调用!$AG$5:$AG$364,0),1)/INDEX(其他调用!AI$5:AI$364,MATCH($K281,其他调用!$AG$5:$AG$364,0),0),1)*INDEX(其他调用!Z$5:Z$404,MATCH($K281,其他调用!$X$5:$X$404,0),0)</f>
        <v>43148.380494273755</v>
      </c>
      <c r="W281" s="12">
        <f>MIN(INDEX(其他调用!$AI$5:$AI$364,MATCH($K281,其他调用!$AG$5:$AG$364,0),1)/INDEX(其他调用!AJ$5:AJ$364,MATCH($K281,其他调用!$AG$5:$AG$364,0),0),1)*INDEX(其他调用!AA$5:AA$404,MATCH($K281,其他调用!$X$5:$X$404,0),0)</f>
        <v>26068.834181818322</v>
      </c>
      <c r="X281" s="12">
        <f>MIN(INDEX(其他调用!$AI$5:$AI$364,MATCH($K281,其他调用!$AG$5:$AG$364,0),1)/INDEX(其他调用!AK$5:AK$364,MATCH($K281,其他调用!$AG$5:$AG$364,0),0),1)*INDEX(其他调用!AB$5:AB$404,MATCH($K281,其他调用!$X$5:$X$404,0),0)</f>
        <v>9514.3489651513337</v>
      </c>
      <c r="Y281" s="12">
        <f>MIN(INDEX(其他调用!$AI$5:$AI$364,MATCH($K281,其他调用!$AG$5:$AG$364,0),1)/INDEX(其他调用!AL$5:AL$364,MATCH($K281,其他调用!$AG$5:$AG$364,0),0),1)*INDEX(其他调用!AC$5:AC$404,MATCH($K281,其他调用!$X$5:$X$404,0),0)</f>
        <v>5392.9825809195854</v>
      </c>
      <c r="Z281" s="12">
        <f>求节点(节奏总纲!D$4:D$163,标准城池设计!AD$4:AD$163,$K281)*求节点(节奏总纲!D$4:D$163,攻城基础信息!$AE$5:$AE$164,$K281)</f>
        <v>903910.97488757176</v>
      </c>
      <c r="AA281" s="12">
        <f>INDEX(其他调用!$AA$5:$AA$404,MATCH($K281,其他调用!$X$5:$X$404,0))*MIN(INDEX(其他调用!AJ$5:AJ$364,MATCH($K281,其他调用!$AG$5:$AG$364,0),1)/INDEX(其他调用!$AJ$5:$AJ$364,MATCH($K281,其他调用!$AG$5:$AG$364,0),0),5)*求节点(节奏总纲!D$4:D$163,攻城基础信息!$AE$5:$AE$164,$K281)</f>
        <v>156354.72644173645</v>
      </c>
      <c r="AB281" s="12">
        <f>MIN(INDEX(其他调用!$AJ$5:$AJ$364,MATCH($K281,其他调用!$AG$5:$AG$364,0),1)/INDEX(其他调用!AH$5:AH$364,MATCH($K281,其他调用!$AG$5:$AG$364,0),0),1)*INDEX(其他调用!Y$5:Y$404,MATCH($K281,其他调用!$X$5:$X$404,0),0)</f>
        <v>41994.257621576078</v>
      </c>
      <c r="AC281" s="12">
        <f>MIN(INDEX(其他调用!$AJ$5:$AJ$364,MATCH($K281,其他调用!$AG$5:$AG$364,0),1)/INDEX(其他调用!AI$5:AI$364,MATCH($K281,其他调用!$AG$5:$AG$364,0),0),1)*INDEX(其他调用!Z$5:Z$404,MATCH($K281,其他调用!$X$5:$X$404,0),0)</f>
        <v>43148.380494273755</v>
      </c>
      <c r="AD281" s="12">
        <f>MIN(INDEX(其他调用!$AJ$5:$AJ$364,MATCH($K281,其他调用!$AG$5:$AG$364,0),1)/INDEX(其他调用!AJ$5:AJ$364,MATCH($K281,其他调用!$AG$5:$AG$364,0),0),1)*INDEX(其他调用!AA$5:AA$404,MATCH($K281,其他调用!$X$5:$X$404,0),0)</f>
        <v>44672.778983353302</v>
      </c>
      <c r="AE281" s="12">
        <f>MIN(INDEX(其他调用!$AJ$5:$AJ$364,MATCH($K281,其他调用!$AG$5:$AG$364,0),1)/INDEX(其他调用!AK$5:AK$364,MATCH($K281,其他调用!$AG$5:$AG$364,0),0),1)*INDEX(其他调用!AB$5:AB$404,MATCH($K281,其他调用!$X$5:$X$404,0),0)</f>
        <v>16304.235376476485</v>
      </c>
      <c r="AF281" s="12">
        <f>MIN(INDEX(其他调用!$AJ$5:$AJ$364,MATCH($K281,其他调用!$AG$5:$AG$364,0),1)/INDEX(其他调用!AL$5:AL$364,MATCH($K281,其他调用!$AG$5:$AG$364,0),0),1)*INDEX(其他调用!AC$5:AC$404,MATCH($K281,其他调用!$X$5:$X$404,0),0)</f>
        <v>9241.6683162043337</v>
      </c>
      <c r="AG281" s="12">
        <f>求节点(节奏总纲!D$4:D$163,标准城池设计!AE$4:AE$163,$K281)*求节点(节奏总纲!D$4:D$163,攻城基础信息!$AF$5:$AF$164,$K281)</f>
        <v>1091553.6982460904</v>
      </c>
      <c r="AH281" s="12">
        <f>INDEX(其他调用!$AA$5:$AA$404,MATCH($K281,其他调用!$X$5:$X$404,0))*MIN(INDEX(其他调用!AK$5:AK$364,MATCH($K281,其他调用!$AG$5:$AG$364,0),1)/INDEX(其他调用!$AJ$5:$AJ$364,MATCH($K281,其他调用!$AG$5:$AG$364,0),0),5)*求节点(节奏总纲!D$4:D$163,攻城基础信息!$AF$5:$AF$164,$K281)</f>
        <v>450027.59336040472</v>
      </c>
      <c r="AI281" s="12">
        <f>MIN(INDEX(其他调用!$AK$5:$AK$364,MATCH($K281,其他调用!$AG$5:$AG$364,0),1)/INDEX(其他调用!AH$5:AH$364,MATCH($K281,其他调用!$AG$5:$AG$364,0),0),1)*INDEX(其他调用!Y$5:Y$404,MATCH($K281,其他调用!$X$5:$X$404,0),0)</f>
        <v>41994.257621576078</v>
      </c>
      <c r="AJ281" s="12">
        <f>MIN(INDEX(其他调用!$AK$5:$AK$364,MATCH($K281,其他调用!$AG$5:$AG$364,0),1)/INDEX(其他调用!AI$5:AI$364,MATCH($K281,其他调用!$AG$5:$AG$364,0),0),1)*INDEX(其他调用!Z$5:Z$404,MATCH($K281,其他调用!$X$5:$X$404,0),0)</f>
        <v>43148.380494273755</v>
      </c>
      <c r="AK281" s="12">
        <f>MIN(INDEX(其他调用!$AK$5:$AK$364,MATCH($K281,其他调用!$AG$5:$AG$364,0),1)/INDEX(其他调用!AJ$5:AJ$364,MATCH($K281,其他调用!$AG$5:$AG$364,0),0),1)*INDEX(其他调用!AA$5:AA$404,MATCH($K281,其他调用!$X$5:$X$404,0),0)</f>
        <v>44672.778983353302</v>
      </c>
      <c r="AL281" s="12">
        <f>MIN(INDEX(其他调用!$AK$5:$AK$364,MATCH($K281,其他调用!$AG$5:$AG$364,0),1)/INDEX(其他调用!AK$5:AK$364,MATCH($K281,其他调用!$AG$5:$AG$364,0),0),1)*INDEX(其他调用!AB$5:AB$404,MATCH($K281,其他调用!$X$5:$X$404,0),0)</f>
        <v>46927.623967871899</v>
      </c>
      <c r="AM281" s="12">
        <f>MIN(INDEX(其他调用!$AK$5:$AK$364,MATCH($K281,其他调用!$AG$5:$AG$364,0),1)/INDEX(其他调用!AL$5:AL$364,MATCH($K281,其他调用!$AG$5:$AG$364,0),0),1)*INDEX(其他调用!AC$5:AC$404,MATCH($K281,其他调用!$X$5:$X$404,0),0)</f>
        <v>26599.808305291874</v>
      </c>
      <c r="AN281" s="12">
        <f>求节点(节奏总纲!D$4:D$163,标准城池设计!AF$4:AF$163,$K281)*求节点(节奏总纲!D$4:D$163,攻城基础信息!$AG$5:$AG$164,$K281)</f>
        <v>1142708.6523827142</v>
      </c>
      <c r="AO281" s="12">
        <f>INDEX(其他调用!$AA$5:$AA$404,MATCH($K281,其他调用!$X$5:$X$404,0))*MIN(INDEX(其他调用!AL$5:AL$364,MATCH($K281,其他调用!$AG$5:$AG$364,0),1)/INDEX(其他调用!$AJ$5:$AJ$364,MATCH($K281,其他调用!$AG$5:$AG$364,0),0),5)*求节点(节奏总纲!D$4:D$163,攻城基础信息!$AG$5:$AG$164,$K281)</f>
        <v>781773.63220868225</v>
      </c>
      <c r="AP281" s="12">
        <f>MIN(INDEX(其他调用!$AL$5:$AL$364,MATCH($K281,其他调用!$AG$5:$AG$364,0),1)/INDEX(其他调用!AH$5:AH$364,MATCH($K281,其他调用!$AG$5:$AG$364,0),0),1)*INDEX(其他调用!Y$5:Y$404,MATCH($K281,其他调用!$X$5:$X$404,0),0)</f>
        <v>41994.257621576078</v>
      </c>
      <c r="AQ281" s="12">
        <f>MIN(INDEX(其他调用!$AL$5:$AL$364,MATCH($K281,其他调用!$AG$5:$AG$364,0),1)/INDEX(其他调用!AI$5:AI$364,MATCH($K281,其他调用!$AG$5:$AG$364,0),0),1)*INDEX(其他调用!Z$5:Z$404,MATCH($K281,其他调用!$X$5:$X$404,0),0)</f>
        <v>43148.380494273755</v>
      </c>
      <c r="AR281" s="12">
        <f>MIN(INDEX(其他调用!$AL$5:$AL$364,MATCH($K281,其他调用!$AG$5:$AG$364,0),1)/INDEX(其他调用!AJ$5:AJ$364,MATCH($K281,其他调用!$AG$5:$AG$364,0),0),1)*INDEX(其他调用!AA$5:AA$404,MATCH($K281,其他调用!$X$5:$X$404,0),0)</f>
        <v>44672.778983353302</v>
      </c>
      <c r="AS281" s="12">
        <f>MIN(INDEX(其他调用!$AL$5:$AL$364,MATCH($K281,其他调用!$AG$5:$AG$364,0),1)/INDEX(其他调用!AK$5:AK$364,MATCH($K281,其他调用!$AG$5:$AG$364,0),0),1)*INDEX(其他调用!AB$5:AB$404,MATCH($K281,其他调用!$X$5:$X$404,0),0)</f>
        <v>46927.623967871899</v>
      </c>
      <c r="AT281" s="12">
        <f>MIN(INDEX(其他调用!$AL$5:$AL$364,MATCH($K281,其他调用!$AG$5:$AG$364,0),1)/INDEX(其他调用!AL$5:AL$364,MATCH($K281,其他调用!$AG$5:$AG$364,0),0),1)*INDEX(其他调用!AC$5:AC$404,MATCH($K281,其他调用!$X$5:$X$404,0),0)</f>
        <v>50814.972356045851</v>
      </c>
      <c r="AV281" s="14">
        <f>IF(OR(AV$5="大R",AV$5="超R"),MAX(INDEX(其他调用!$H$5:$L$404,MATCH($K281,其他调用!$B$5:$B$404,0),MATCH(AV$5,其他调用!$H$4:$L$4,0))*120*0.85,2),INDEX(其他调用!$H$5:$L$404,MATCH($K281,其他调用!$B$5:$B$404,0),MATCH(AV$5,其他调用!$H$4:$L$4,0))*120*0.85)</f>
        <v>48.921801254999991</v>
      </c>
      <c r="AW281" s="14">
        <f>IF(OR(AW$5="大R",AW$5="超R"),MAX(INDEX(其他调用!$H$5:$L$404,MATCH($K281,其他调用!$B$5:$B$404,0),MATCH(AW$5,其他调用!$H$4:$L$4,0))*120*0.85,2),INDEX(其他调用!$H$5:$L$404,MATCH($K281,其他调用!$B$5:$B$404,0),MATCH(AW$5,其他调用!$H$4:$L$4,0))*120*0.85)</f>
        <v>48.237344010638395</v>
      </c>
      <c r="AX281" s="14">
        <f>IF(OR(AX$5="大R",AX$5="超R"),MAX(INDEX(其他调用!$H$5:$L$404,MATCH($K281,其他调用!$B$5:$B$404,0),MATCH(AX$5,其他调用!$H$4:$L$4,0))*120*0.85,2),INDEX(其他调用!$H$5:$L$404,MATCH($K281,其他调用!$B$5:$B$404,0),MATCH(AX$5,其他调用!$H$4:$L$4,0))*120*0.85)</f>
        <v>3.9376284143615998</v>
      </c>
      <c r="AY281" s="14">
        <f>IF(OR(AY$5="大R",AY$5="超R"),MAX(INDEX(其他调用!$H$5:$L$404,MATCH($K281,其他调用!$B$5:$B$404,0),MATCH(AY$5,其他调用!$H$4:$L$4,0))*120*0.85,2),INDEX(其他调用!$H$5:$L$404,MATCH($K281,其他调用!$B$5:$B$404,0),MATCH(AY$5,其他调用!$H$4:$L$4,0))*120*0.85)</f>
        <v>2</v>
      </c>
      <c r="AZ281" s="14">
        <f>IF(OR(AZ$5="大R",AZ$5="超R"),MAX(INDEX(其他调用!$H$5:$L$404,MATCH($K281,其他调用!$B$5:$B$404,0),MATCH(AZ$5,其他调用!$H$4:$L$4,0))*120*0.85,2),INDEX(其他调用!$H$5:$L$404,MATCH($K281,其他调用!$B$5:$B$404,0),MATCH(AZ$5,其他调用!$H$4:$L$4,0))*120*0.85)</f>
        <v>2</v>
      </c>
      <c r="BA281" s="14">
        <f>INDEX(其他调用!$H$5:$L$404,MATCH($K281,其他调用!$B$5:$B$404,0),MATCH(BA$5,其他调用!$H$4:$L$4,0))*INDEX(其他调用!$M$5:$M$404,MATCH($K281,其他调用!$B$5:$B$404,0))*0.6</f>
        <v>28.777530149999997</v>
      </c>
      <c r="BB281" s="14">
        <f>INDEX(其他调用!$H$5:$L$404,MATCH($K281,其他调用!$B$5:$B$404,0),MATCH(BB$5,其他调用!$H$4:$L$4,0))*INDEX(其他调用!$M$5:$M$404,MATCH($K281,其他调用!$B$5:$B$404,0))*0.6</f>
        <v>28.374908241551999</v>
      </c>
      <c r="BC281" s="14">
        <f>INDEX(其他调用!$H$5:$L$404,MATCH($K281,其他调用!$B$5:$B$404,0),MATCH(BC$5,其他调用!$H$4:$L$4,0))*INDEX(其他调用!$M$5:$M$404,MATCH($K281,其他调用!$B$5:$B$404,0))*0.6</f>
        <v>2.3162520084480001</v>
      </c>
      <c r="BD281" s="14">
        <f>INDEX(其他调用!$H$5:$L$404,MATCH($K281,其他调用!$B$5:$B$404,0),MATCH(BD$5,其他调用!$H$4:$L$4,0))*INDEX(其他调用!$M$5:$M$404,MATCH($K281,其他调用!$B$5:$B$404,0))*0.6</f>
        <v>0.4120776000000001</v>
      </c>
      <c r="BE281" s="14">
        <f>INDEX(其他调用!$H$5:$L$404,MATCH($K281,其他调用!$B$5:$B$404,0),MATCH(BE$5,其他调用!$H$4:$L$4,0))*INDEX(其他调用!$M$5:$M$404,MATCH($K281,其他调用!$B$5:$B$404,0))*0.6</f>
        <v>0.11923199999999998</v>
      </c>
      <c r="BF281" s="14">
        <f>IF(OR(BF$5="大R",BF$5="超R"),0,INDEX(其他调用!$H$5:$L$404,MATCH($K281,其他调用!$B$5:$B$404,0),MATCH(BF$5,其他调用!$H$4:$L$4,0))*50*0.4)</f>
        <v>9.5925100500000013</v>
      </c>
      <c r="BG281" s="14">
        <f>IF(OR(BG$5="大R",BG$5="超R"),0,INDEX(其他调用!$H$5:$L$404,MATCH($K281,其他调用!$B$5:$B$404,0),MATCH(BG$5,其他调用!$H$4:$L$4,0))*50*0.4)</f>
        <v>9.4583027471839998</v>
      </c>
      <c r="BH281" s="14">
        <f>IF(OR(BH$5="大R",BH$5="超R"),0,INDEX(其他调用!$H$5:$L$404,MATCH($K281,其他调用!$B$5:$B$404,0),MATCH(BH$5,其他调用!$H$4:$L$4,0))*50*0.4)</f>
        <v>0.77208400281600009</v>
      </c>
      <c r="BI281" s="14">
        <f>IF(OR(BI$5="大R",BI$5="超R"),0,INDEX(其他调用!$H$5:$L$404,MATCH($K281,其他调用!$B$5:$B$404,0),MATCH(BI$5,其他调用!$H$4:$L$4,0))*50*0.4)</f>
        <v>0</v>
      </c>
      <c r="BJ281" s="14">
        <f>IF(OR(BJ$5="大R",BJ$5="超R"),0,INDEX(其他调用!$H$5:$L$404,MATCH($K281,其他调用!$B$5:$B$404,0),MATCH(BJ$5,其他调用!$H$4:$L$4,0))*50*0.4)</f>
        <v>0</v>
      </c>
      <c r="BL281" s="14">
        <f t="shared" si="523"/>
        <v>276</v>
      </c>
      <c r="BM281" s="14">
        <f t="shared" si="430"/>
        <v>96</v>
      </c>
      <c r="BN281" s="14">
        <f>('疲劳值&amp;地图信息'!$S$10*'疲劳值&amp;地图信息'!$R$10+'疲劳值&amp;地图信息'!$S$11*'疲劳值&amp;地图信息'!$R$11+'疲劳值&amp;地图信息'!$S$12*'疲劳值&amp;地图信息'!$R$12+(BM281-'疲劳值&amp;地图信息'!$S$12-'疲劳值&amp;地图信息'!$S$11-'疲劳值&amp;地图信息'!$S$10)*'疲劳值&amp;地图信息'!$R$13)/BM281</f>
        <v>51.371477246638619</v>
      </c>
      <c r="BO281" s="14">
        <f>INDEX(其他调用!$M$5:$M$404,MATCH(BL281,其他调用!$B$5:$B$404,0))*0.6</f>
        <v>60</v>
      </c>
      <c r="BP281" s="14">
        <f>IF(BO281&gt;SUM('疲劳值&amp;地图信息'!$S$10:$S$12),('疲劳值&amp;地图信息'!$S$10*'疲劳值&amp;地图信息'!$R$10+'疲劳值&amp;地图信息'!$S$11*'疲劳值&amp;地图信息'!$R$11+'疲劳值&amp;地图信息'!$S$12*'疲劳值&amp;地图信息'!$R$12+(BO281-'疲劳值&amp;地图信息'!$S$12-'疲劳值&amp;地图信息'!$S$11-'疲劳值&amp;地图信息'!$S$10)*'疲劳值&amp;地图信息'!$R$13)/BO281,('疲劳值&amp;地图信息'!$S$10*'疲劳值&amp;地图信息'!$R$10+'疲劳值&amp;地图信息'!$S$11*'疲劳值&amp;地图信息'!$R$11+'疲劳值&amp;地图信息'!$S$12*'疲劳值&amp;地图信息'!$R$12+(BO281-'疲劳值&amp;地图信息'!$S$12-'疲劳值&amp;地图信息'!$S$11-'疲劳值&amp;地图信息'!$S$10)*'疲劳值&amp;地图信息'!$R$13)/BO281)</f>
        <v>44.158136341605953</v>
      </c>
      <c r="BQ281" s="14">
        <f t="shared" si="524"/>
        <v>20</v>
      </c>
      <c r="BR281" s="14">
        <f>('疲劳值&amp;地图信息'!$S$10*'疲劳值&amp;地图信息'!$R$10+($BQ281-'疲劳值&amp;地图信息'!$S$10)*'疲劳值&amp;地图信息'!$R$11)/$BQ281</f>
        <v>32.067203015074995</v>
      </c>
      <c r="CF281" s="14">
        <v>276</v>
      </c>
      <c r="CG281" s="51">
        <f t="shared" si="431"/>
        <v>15415</v>
      </c>
      <c r="CH281" s="51">
        <f t="shared" si="432"/>
        <v>1094</v>
      </c>
      <c r="CI281" s="51">
        <f>INT(SUMPRODUCT($N281:$R281,$BA281:$BE281)/SUM($BA281:$BE281)/10000*$BX$7*$BZ$34/'疲劳值&amp;地图信息'!$R$10*$BY$53)</f>
        <v>3326</v>
      </c>
      <c r="CJ281" s="50">
        <f t="shared" si="433"/>
        <v>0.77716158306024707</v>
      </c>
      <c r="CK281" s="50">
        <f t="shared" si="434"/>
        <v>5.5155028989160575E-2</v>
      </c>
      <c r="CL281" s="50">
        <f t="shared" si="435"/>
        <v>0.1676833879505924</v>
      </c>
      <c r="CM281" s="14">
        <f t="shared" si="436"/>
        <v>16837</v>
      </c>
      <c r="CN281" s="14">
        <f t="shared" si="437"/>
        <v>1859</v>
      </c>
      <c r="CO281" s="14">
        <f>INT(SUMPRODUCT($U281:$Y281,$BA281:$BE281)/SUM($BA281:$BE281)/10000*$BX$7*$BZ$34/'疲劳值&amp;地图信息'!$R$10*$BY$54)</f>
        <v>6336</v>
      </c>
      <c r="CP281" s="50">
        <f t="shared" si="438"/>
        <v>0.67261904761904767</v>
      </c>
      <c r="CQ281" s="50">
        <f t="shared" si="439"/>
        <v>7.4264940875679128E-2</v>
      </c>
      <c r="CR281" s="50">
        <f t="shared" si="440"/>
        <v>0.25311601150527324</v>
      </c>
      <c r="CS281" s="14">
        <f t="shared" si="441"/>
        <v>18422</v>
      </c>
      <c r="CT281" s="14">
        <f t="shared" si="442"/>
        <v>3186</v>
      </c>
      <c r="CU281" s="14">
        <f>INT(SUMPRODUCT($AB281:$AF281,$BA281:$BE281)/SUM($BA281:$BE281)/10000*$BX$7*$BZ$34/'疲劳值&amp;地图信息'!$R$10*$BY$55)</f>
        <v>8604</v>
      </c>
      <c r="CV281" s="50">
        <f t="shared" si="443"/>
        <v>0.60975771216735075</v>
      </c>
      <c r="CW281" s="50">
        <f t="shared" si="444"/>
        <v>0.10545478617767774</v>
      </c>
      <c r="CX281" s="50">
        <f t="shared" si="445"/>
        <v>0.28478750165497152</v>
      </c>
      <c r="CY281" s="14">
        <f t="shared" si="446"/>
        <v>22247</v>
      </c>
      <c r="CZ281" s="14">
        <f t="shared" si="447"/>
        <v>9172</v>
      </c>
      <c r="DA281" s="14">
        <f>INT(SUMPRODUCT($AI281:$AM281,$BA281:$BE281)/SUM($BA281:$BE281)/10000*$BX$7*$BZ$34/'疲劳值&amp;地图信息'!$R$10*$BY$56)</f>
        <v>12981</v>
      </c>
      <c r="DB281" s="50">
        <f t="shared" si="448"/>
        <v>0.50105855855855852</v>
      </c>
      <c r="DC281" s="50">
        <f t="shared" si="449"/>
        <v>0.20657657657657658</v>
      </c>
      <c r="DD281" s="50">
        <f t="shared" si="450"/>
        <v>0.29236486486486485</v>
      </c>
      <c r="DE281" s="14">
        <f t="shared" si="451"/>
        <v>23289</v>
      </c>
      <c r="DF281" s="14">
        <f t="shared" si="452"/>
        <v>15933</v>
      </c>
      <c r="DG281" s="14">
        <f>INT(SUMPRODUCT($AP281:$AT281,$BA281:$BE281)/SUM($BA281:$BE281)/10000*$BX$7*$BZ$34/'疲劳值&amp;地图信息'!$R$10*$BY$57)</f>
        <v>17328</v>
      </c>
      <c r="DH281" s="50">
        <f t="shared" si="453"/>
        <v>0.41183023872679048</v>
      </c>
      <c r="DI281" s="50">
        <f t="shared" si="454"/>
        <v>0.28175066312997349</v>
      </c>
      <c r="DJ281" s="50">
        <f t="shared" si="455"/>
        <v>0.30641909814323609</v>
      </c>
      <c r="DL281" s="14">
        <f t="shared" si="526"/>
        <v>19835</v>
      </c>
      <c r="DM281" s="14">
        <f t="shared" si="527"/>
        <v>25032</v>
      </c>
      <c r="DN281" s="14">
        <f t="shared" si="528"/>
        <v>30212</v>
      </c>
      <c r="DO281" s="14">
        <f t="shared" si="529"/>
        <v>44400</v>
      </c>
      <c r="DP281" s="14">
        <f t="shared" si="530"/>
        <v>56550</v>
      </c>
      <c r="DQ281" s="14">
        <f t="shared" si="531"/>
        <v>1376100</v>
      </c>
      <c r="DT281" s="14">
        <f t="shared" si="525"/>
        <v>235575</v>
      </c>
      <c r="DU281" s="50">
        <f t="shared" si="427"/>
        <v>0.14616780678486668</v>
      </c>
      <c r="DW281" s="14">
        <f t="shared" si="456"/>
        <v>1611675</v>
      </c>
      <c r="EB281" s="14">
        <v>276</v>
      </c>
      <c r="EC281" s="51">
        <f t="shared" si="457"/>
        <v>25692</v>
      </c>
      <c r="ED281" s="51">
        <f t="shared" si="458"/>
        <v>1823</v>
      </c>
      <c r="EE281" s="51">
        <f>INT(SUMPRODUCT($N281:$R281,$BF281:$BJ281)/SUM($BF281:$BJ281)/10000*$BX$7*$BZ$46/'疲劳值&amp;地图信息'!$R$10*$BY$53)</f>
        <v>446</v>
      </c>
      <c r="EF281" s="50">
        <f t="shared" si="459"/>
        <v>0.91885125710811488</v>
      </c>
      <c r="EG281" s="50">
        <f t="shared" si="460"/>
        <v>6.5197954293480201E-2</v>
      </c>
      <c r="EH281" s="50">
        <f t="shared" si="461"/>
        <v>1.595078859840492E-2</v>
      </c>
      <c r="EI281" s="51">
        <f t="shared" si="462"/>
        <v>28062</v>
      </c>
      <c r="EJ281" s="51">
        <f t="shared" si="463"/>
        <v>3099</v>
      </c>
      <c r="EK281" s="14">
        <f>INT(SUMPRODUCT($U281:$Y281,$BF281:$BJ281)/SUM($BF281:$BJ281)/10000*$BX$7*$BZ$46/'疲劳值&amp;地图信息'!$R$10*$BY$54)</f>
        <v>850</v>
      </c>
      <c r="EL281" s="50">
        <f t="shared" si="464"/>
        <v>0.87663615632126457</v>
      </c>
      <c r="EM281" s="50">
        <f t="shared" si="465"/>
        <v>9.6810471400456094E-2</v>
      </c>
      <c r="EN281" s="50">
        <f t="shared" si="466"/>
        <v>2.6553372278279343E-2</v>
      </c>
      <c r="EO281" s="51">
        <f t="shared" si="467"/>
        <v>30704</v>
      </c>
      <c r="EP281" s="51">
        <f t="shared" si="468"/>
        <v>5311</v>
      </c>
      <c r="EQ281" s="14">
        <f>INT(SUMPRODUCT($AB281:$AF281,$BF281:$BJ281)/SUM($BF281:$BJ281)/10000*$BX$7*$BZ$46/'疲劳值&amp;地图信息'!$R$10*$BY$55)</f>
        <v>1154</v>
      </c>
      <c r="ER281" s="50">
        <f t="shared" si="469"/>
        <v>0.82606473136215663</v>
      </c>
      <c r="ES281" s="50">
        <f t="shared" si="470"/>
        <v>0.1428878904463397</v>
      </c>
      <c r="ET281" s="50">
        <f t="shared" si="471"/>
        <v>3.1047378191503671E-2</v>
      </c>
      <c r="EU281" s="51">
        <f t="shared" si="472"/>
        <v>37078</v>
      </c>
      <c r="EV281" s="51">
        <f t="shared" si="473"/>
        <v>15286</v>
      </c>
      <c r="EW281" s="14">
        <f>INT(SUMPRODUCT($AI281:$AM281,$BF281:$BJ281)/SUM($BF281:$BJ281)/10000*$BX$7*$BZ$46/'疲劳值&amp;地图信息'!$R$10*$BY$56)</f>
        <v>1731</v>
      </c>
      <c r="EX281" s="50">
        <f t="shared" si="474"/>
        <v>0.6854237914779554</v>
      </c>
      <c r="EY281" s="50">
        <f t="shared" si="475"/>
        <v>0.28257694796191885</v>
      </c>
      <c r="EZ281" s="50">
        <f t="shared" si="476"/>
        <v>3.1999260560125704E-2</v>
      </c>
      <c r="FA281" s="51">
        <f t="shared" si="477"/>
        <v>38816</v>
      </c>
      <c r="FB281" s="51">
        <f t="shared" si="478"/>
        <v>26555</v>
      </c>
      <c r="FC281" s="14">
        <f>INT(SUMPRODUCT($AP281:$AT281,$BF281:$BJ281)/SUM($BF281:$BJ281)/10000*$BX$7*$BZ$46/'疲劳值&amp;地图信息'!$R$10*$BY$57)</f>
        <v>2308</v>
      </c>
      <c r="FD281" s="50">
        <f t="shared" si="479"/>
        <v>0.57353093278564993</v>
      </c>
      <c r="FE281" s="50">
        <f t="shared" si="480"/>
        <v>0.39236690849451084</v>
      </c>
      <c r="FF281" s="50">
        <f t="shared" si="481"/>
        <v>3.4102158719839244E-2</v>
      </c>
      <c r="FH281" s="14">
        <f t="shared" si="482"/>
        <v>27961</v>
      </c>
      <c r="FI281" s="14">
        <f t="shared" si="483"/>
        <v>32011</v>
      </c>
      <c r="FJ281" s="14">
        <f t="shared" si="484"/>
        <v>37169</v>
      </c>
      <c r="FK281" s="14">
        <f t="shared" si="485"/>
        <v>54095</v>
      </c>
      <c r="FL281" s="14">
        <f t="shared" si="486"/>
        <v>67679</v>
      </c>
      <c r="FM281" s="14">
        <f t="shared" si="487"/>
        <v>3301933</v>
      </c>
      <c r="FP281" s="14">
        <f t="shared" si="488"/>
        <v>334150</v>
      </c>
      <c r="FQ281" s="50">
        <f t="shared" si="428"/>
        <v>9.1898342254563489E-2</v>
      </c>
      <c r="FS281" s="14">
        <f t="shared" si="489"/>
        <v>3636083</v>
      </c>
      <c r="FX281" s="14">
        <v>276</v>
      </c>
      <c r="FY281" s="51">
        <f t="shared" si="490"/>
        <v>35969</v>
      </c>
      <c r="FZ281" s="51">
        <f t="shared" si="491"/>
        <v>1823</v>
      </c>
      <c r="GA281" s="51">
        <f>INT(SUMPRODUCT($N281:$R281,$BF281:$BJ281)/SUM($BF281:$BJ281)/10000*$BX$7*$BZ$46/'疲劳值&amp;地图信息'!$R$10*$BY$53)</f>
        <v>446</v>
      </c>
      <c r="GB281" s="50">
        <f t="shared" si="492"/>
        <v>0.94066112244364242</v>
      </c>
      <c r="GC281" s="50">
        <f t="shared" si="493"/>
        <v>4.7675087609184583E-2</v>
      </c>
      <c r="GD281" s="50">
        <f t="shared" si="494"/>
        <v>1.1663789947172969E-2</v>
      </c>
      <c r="GE281" s="51">
        <f t="shared" si="495"/>
        <v>39287</v>
      </c>
      <c r="GF281" s="51">
        <f t="shared" si="496"/>
        <v>3099</v>
      </c>
      <c r="GG281" s="14">
        <f>INT(SUMPRODUCT($U281:$Y281,$BF281:$BJ281)/SUM($BF281:$BJ281)/10000*$BX$7*$BZ$46/'疲劳值&amp;地图信息'!$R$10*$BY$54)</f>
        <v>850</v>
      </c>
      <c r="GH281" s="50">
        <f t="shared" si="497"/>
        <v>0.90866407623276901</v>
      </c>
      <c r="GI281" s="50">
        <f t="shared" si="498"/>
        <v>7.1676380793782954E-2</v>
      </c>
      <c r="GJ281" s="50">
        <f t="shared" si="499"/>
        <v>1.9659542973448053E-2</v>
      </c>
      <c r="GK281" s="51">
        <f t="shared" si="500"/>
        <v>42986</v>
      </c>
      <c r="GL281" s="51">
        <f t="shared" si="501"/>
        <v>5311</v>
      </c>
      <c r="GM281" s="14">
        <f>INT(SUMPRODUCT($AB281:$AF281,$BF281:$BJ281)/SUM($BF281:$BJ281)/10000*$BX$7*$BZ$46/'疲劳值&amp;地图信息'!$R$10*$BY$55)</f>
        <v>1154</v>
      </c>
      <c r="GN281" s="50">
        <f t="shared" si="502"/>
        <v>0.869264524478777</v>
      </c>
      <c r="GO281" s="50">
        <f t="shared" si="503"/>
        <v>0.10739924369577966</v>
      </c>
      <c r="GP281" s="50">
        <f t="shared" si="504"/>
        <v>2.3336231825443369E-2</v>
      </c>
      <c r="GQ281" s="51">
        <f t="shared" si="505"/>
        <v>51910</v>
      </c>
      <c r="GR281" s="51">
        <f t="shared" si="506"/>
        <v>15286</v>
      </c>
      <c r="GS281" s="14">
        <f>INT(SUMPRODUCT($AI281:$AM281,$BF281:$BJ281)/SUM($BF281:$BJ281)/10000*$BX$7*$BZ$46/'疲劳值&amp;地图信息'!$R$10*$BY$56)</f>
        <v>1731</v>
      </c>
      <c r="GT281" s="50">
        <f t="shared" si="507"/>
        <v>0.75311561507101721</v>
      </c>
      <c r="GU281" s="50">
        <f t="shared" si="508"/>
        <v>0.22177085902476534</v>
      </c>
      <c r="GV281" s="50">
        <f t="shared" si="509"/>
        <v>2.5113525904217504E-2</v>
      </c>
      <c r="GW281" s="51">
        <f t="shared" si="510"/>
        <v>54343</v>
      </c>
      <c r="GX281" s="51">
        <f t="shared" si="511"/>
        <v>26555</v>
      </c>
      <c r="GY281" s="14">
        <f>INT(SUMPRODUCT($AP281:$AT281,$BF281:$BJ281)/SUM($BF281:$BJ281)/10000*$BX$7*$BZ$46/'疲劳值&amp;地图信息'!$R$10*$BY$57)</f>
        <v>2308</v>
      </c>
      <c r="GZ281" s="50">
        <f t="shared" si="512"/>
        <v>0.65311395812801964</v>
      </c>
      <c r="HA281" s="50">
        <f t="shared" si="513"/>
        <v>0.31914765762084463</v>
      </c>
      <c r="HB281" s="50">
        <f t="shared" si="514"/>
        <v>2.7738384251135735E-2</v>
      </c>
      <c r="HD281" s="14">
        <f t="shared" si="515"/>
        <v>38238</v>
      </c>
      <c r="HE281" s="14">
        <f t="shared" si="516"/>
        <v>43236</v>
      </c>
      <c r="HF281" s="14">
        <f t="shared" si="517"/>
        <v>49451</v>
      </c>
      <c r="HG281" s="14">
        <f t="shared" si="518"/>
        <v>68927</v>
      </c>
      <c r="HH281" s="14">
        <f t="shared" si="519"/>
        <v>83206</v>
      </c>
      <c r="HI281" s="14">
        <f t="shared" si="520"/>
        <v>4455247</v>
      </c>
      <c r="HL281" s="14">
        <f t="shared" si="521"/>
        <v>430050</v>
      </c>
      <c r="HM281" s="50">
        <f t="shared" si="429"/>
        <v>8.8029448363118962E-2</v>
      </c>
      <c r="HO281" s="14">
        <f t="shared" si="522"/>
        <v>4885297</v>
      </c>
    </row>
    <row r="282" spans="11:223" x14ac:dyDescent="0.2">
      <c r="K282" s="14">
        <v>277</v>
      </c>
      <c r="L282" s="12">
        <f>求节点(节奏总纲!D$4:D$163,标准城池设计!AB$4:AB$163,$K282)*求节点(节奏总纲!D$4:D$163,攻城基础信息!$AC$5:$AC$164,$K282)</f>
        <v>757516.85639398987</v>
      </c>
      <c r="M282" s="12">
        <f>INDEX(其他调用!$AA$5:$AA$404,MATCH(K282,其他调用!$X$5:$X$404,0))*MIN(INDEX(其他调用!$AH$5:$AH$364,MATCH('征服点（新）'!K282,其他调用!$AG$5:$AG$364,0),1)/INDEX(其他调用!$AJ$5:$AJ$364,MATCH(K282,其他调用!$AG$5:$AG$364,0),0),5)*求节点(节奏总纲!D$4:D$163,攻城基础信息!$AC$5:$AC$164,$K282)</f>
        <v>53686.403850001174</v>
      </c>
      <c r="N282" s="12">
        <f>MIN(INDEX(其他调用!$AH$5:$AH$364,MATCH($K282,其他调用!$AG$5:$AG$364,0),1)/INDEX(其他调用!AH$5:AH$364,MATCH($K282,其他调用!$AG$5:$AG$364,0),0),1)*INDEX(其他调用!Y$5:Y$404,MATCH($K282,其他调用!$X$5:$X$404,0),0)</f>
        <v>42014.568929963505</v>
      </c>
      <c r="O282" s="12">
        <f>MIN(INDEX(其他调用!$AH$5:$AH$364,MATCH($K282,其他调用!$AG$5:$AG$364,0),1)/INDEX(其他调用!AI$5:AI$364,MATCH($K282,其他调用!$AG$5:$AG$364,0),0),1)*INDEX(其他调用!Z$5:Z$404,MATCH($K282,其他调用!$X$5:$X$404,0),0)</f>
        <v>25403.420811701035</v>
      </c>
      <c r="P282" s="12">
        <f>MIN(INDEX(其他调用!$AH$5:$AH$364,MATCH($K282,其他调用!$AG$5:$AG$364,0),1)/INDEX(其他调用!AJ$5:AJ$364,MATCH($K282,其他调用!$AG$5:$AG$364,0),0),1)*INDEX(其他调用!AA$5:AA$404,MATCH($K282,其他调用!$X$5:$X$404,0),0)</f>
        <v>15338.972528571774</v>
      </c>
      <c r="Q282" s="12">
        <f>MIN(INDEX(其他调用!$AH$5:$AH$364,MATCH($K282,其他调用!$AG$5:$AG$364,0),1)/INDEX(其他调用!AK$5:AK$364,MATCH($K282,其他调用!$AG$5:$AG$364,0),0),1)*INDEX(其他调用!AB$5:AB$404,MATCH($K282,其他调用!$X$5:$X$404,0),0)</f>
        <v>5606.5566742749534</v>
      </c>
      <c r="R282" s="12">
        <f>MIN(INDEX(其他调用!$AH$5:$AH$364,MATCH($K282,其他调用!$AG$5:$AG$364,0),1)/INDEX(其他调用!AL$5:AL$364,MATCH($K282,其他调用!$AG$5:$AG$364,0),0),1)*INDEX(其他调用!AC$5:AC$404,MATCH($K282,其他调用!$X$5:$X$404,0),0)</f>
        <v>3182.9936581014995</v>
      </c>
      <c r="S282" s="12">
        <f>求节点(节奏总纲!D$4:D$163,标准城池设计!AC$4:AC$163,$K282)*求节点(节奏总纲!D$4:D$163,攻城基础信息!$AD$5:$AD$164,$K282)</f>
        <v>827555.85121447046</v>
      </c>
      <c r="T282" s="12">
        <f>INDEX(其他调用!$AA$5:$AA$404,MATCH($K282,其他调用!$X$5:$X$404,0))*MIN(INDEX(其他调用!AI$5:AI$364,MATCH($K282,其他调用!$AG$5:$AG$364,0),1)/INDEX(其他调用!$AJ$5:$AJ$364,MATCH($K282,其他调用!$AG$5:$AG$364,0),0),5)*求节点(节奏总纲!D$4:D$163,攻城基础信息!$AD$5:$AD$164,$K282)</f>
        <v>91231.167510570376</v>
      </c>
      <c r="U282" s="12">
        <f>MIN(INDEX(其他调用!$AI$5:$AI$364,MATCH($K282,其他调用!$AG$5:$AG$364,0),1)/INDEX(其他调用!AH$5:AH$364,MATCH($K282,其他调用!$AG$5:$AG$364,0),0),1)*INDEX(其他调用!Y$5:Y$404,MATCH($K282,其他调用!$X$5:$X$404,0),0)</f>
        <v>42014.568929963505</v>
      </c>
      <c r="V282" s="12">
        <f>MIN(INDEX(其他调用!$AI$5:$AI$364,MATCH($K282,其他调用!$AG$5:$AG$364,0),1)/INDEX(其他调用!AI$5:AI$364,MATCH($K282,其他调用!$AG$5:$AG$364,0),0),1)*INDEX(其他调用!Z$5:Z$404,MATCH($K282,其他调用!$X$5:$X$404,0),0)</f>
        <v>43168.91378847228</v>
      </c>
      <c r="W282" s="12">
        <f>MIN(INDEX(其他调用!$AI$5:$AI$364,MATCH($K282,其他调用!$AG$5:$AG$364,0),1)/INDEX(其他调用!AJ$5:AJ$364,MATCH($K282,其他调用!$AG$5:$AG$364,0),0),1)*INDEX(其他调用!AA$5:AA$404,MATCH($K282,其他调用!$X$5:$X$404,0),0)</f>
        <v>26066.04786016298</v>
      </c>
      <c r="X282" s="12">
        <f>MIN(INDEX(其他调用!$AI$5:$AI$364,MATCH($K282,其他调用!$AG$5:$AG$364,0),1)/INDEX(其他调用!AK$5:AK$364,MATCH($K282,其他调用!$AG$5:$AG$364,0),0),1)*INDEX(其他调用!AB$5:AB$404,MATCH($K282,其他调用!$X$5:$X$404,0),0)</f>
        <v>9527.4161506027831</v>
      </c>
      <c r="Y282" s="12">
        <f>MIN(INDEX(其他调用!$AI$5:$AI$364,MATCH($K282,其他调用!$AG$5:$AG$364,0),1)/INDEX(其他调用!AL$5:AL$364,MATCH($K282,其他调用!$AG$5:$AG$364,0),0),1)*INDEX(其他调用!AC$5:AC$404,MATCH($K282,其他调用!$X$5:$X$404,0),0)</f>
        <v>5408.9714859404712</v>
      </c>
      <c r="Z282" s="12">
        <f>求节点(节奏总纲!D$4:D$163,标准城池设计!AD$4:AD$163,$K282)*求节点(节奏总纲!D$4:D$163,攻城基础信息!$AE$5:$AE$164,$K282)</f>
        <v>905328.5656062268</v>
      </c>
      <c r="AA282" s="12">
        <f>INDEX(其他调用!$AA$5:$AA$404,MATCH($K282,其他调用!$X$5:$X$404,0))*MIN(INDEX(其他调用!AJ$5:AJ$364,MATCH($K282,其他调用!$AG$5:$AG$364,0),1)/INDEX(其他调用!$AJ$5:$AJ$364,MATCH($K282,其他调用!$AG$5:$AG$364,0),0),5)*求节点(节奏总纲!D$4:D$163,攻城基础信息!$AE$5:$AE$164,$K282)</f>
        <v>156425.79927230961</v>
      </c>
      <c r="AB282" s="12">
        <f>MIN(INDEX(其他调用!$AJ$5:$AJ$364,MATCH($K282,其他调用!$AG$5:$AG$364,0),1)/INDEX(其他调用!AH$5:AH$364,MATCH($K282,其他调用!$AG$5:$AG$364,0),0),1)*INDEX(其他调用!Y$5:Y$404,MATCH($K282,其他调用!$X$5:$X$404,0),0)</f>
        <v>42014.568929963505</v>
      </c>
      <c r="AC282" s="12">
        <f>MIN(INDEX(其他调用!$AJ$5:$AJ$364,MATCH($K282,其他调用!$AG$5:$AG$364,0),1)/INDEX(其他调用!AI$5:AI$364,MATCH($K282,其他调用!$AG$5:$AG$364,0),0),1)*INDEX(其他调用!Z$5:Z$404,MATCH($K282,其他调用!$X$5:$X$404,0),0)</f>
        <v>43168.91378847228</v>
      </c>
      <c r="AD282" s="12">
        <f>MIN(INDEX(其他调用!$AJ$5:$AJ$364,MATCH($K282,其他调用!$AG$5:$AG$364,0),1)/INDEX(其他调用!AJ$5:AJ$364,MATCH($K282,其他调用!$AG$5:$AG$364,0),0),1)*INDEX(其他调用!AA$5:AA$404,MATCH($K282,其他调用!$X$5:$X$404,0),0)</f>
        <v>44693.085506374206</v>
      </c>
      <c r="AE282" s="12">
        <f>MIN(INDEX(其他调用!$AJ$5:$AJ$364,MATCH($K282,其他调用!$AG$5:$AG$364,0),1)/INDEX(其他调用!AK$5:AK$364,MATCH($K282,其他调用!$AG$5:$AG$364,0),0),1)*INDEX(其他调用!AB$5:AB$404,MATCH($K282,其他调用!$X$5:$X$404,0),0)</f>
        <v>16335.795397831296</v>
      </c>
      <c r="AF282" s="12">
        <f>MIN(INDEX(其他调用!$AJ$5:$AJ$364,MATCH($K282,其他调用!$AG$5:$AG$364,0),1)/INDEX(其他调用!AL$5:AL$364,MATCH($K282,其他调用!$AG$5:$AG$364,0),0),1)*INDEX(其他调用!AC$5:AC$404,MATCH($K282,其他调用!$X$5:$X$404,0),0)</f>
        <v>9274.2722801540149</v>
      </c>
      <c r="AG282" s="12">
        <f>求节点(节奏总纲!D$4:D$163,标准城池设计!AE$4:AE$163,$K282)*求节点(节奏总纲!D$4:D$163,攻城基础信息!$AF$5:$AF$164,$K282)</f>
        <v>1093342.2060942007</v>
      </c>
      <c r="AH282" s="12">
        <f>INDEX(其他调用!$AA$5:$AA$404,MATCH($K282,其他调用!$X$5:$X$404,0))*MIN(INDEX(其他调用!AK$5:AK$364,MATCH($K282,其他调用!$AG$5:$AG$364,0),1)/INDEX(其他调用!$AJ$5:$AJ$364,MATCH($K282,其他调用!$AG$5:$AG$364,0),0),5)*求节点(节奏总纲!D$4:D$163,攻城基础信息!$AF$5:$AF$164,$K282)</f>
        <v>449555.75184486917</v>
      </c>
      <c r="AI282" s="12">
        <f>MIN(INDEX(其他调用!$AK$5:$AK$364,MATCH($K282,其他调用!$AG$5:$AG$364,0),1)/INDEX(其他调用!AH$5:AH$364,MATCH($K282,其他调用!$AG$5:$AG$364,0),0),1)*INDEX(其他调用!Y$5:Y$404,MATCH($K282,其他调用!$X$5:$X$404,0),0)</f>
        <v>42014.568929963505</v>
      </c>
      <c r="AJ282" s="12">
        <f>MIN(INDEX(其他调用!$AK$5:$AK$364,MATCH($K282,其他调用!$AG$5:$AG$364,0),1)/INDEX(其他调用!AI$5:AI$364,MATCH($K282,其他调用!$AG$5:$AG$364,0),0),1)*INDEX(其他调用!Z$5:Z$404,MATCH($K282,其他调用!$X$5:$X$404,0),0)</f>
        <v>43168.91378847228</v>
      </c>
      <c r="AK282" s="12">
        <f>MIN(INDEX(其他调用!$AK$5:$AK$364,MATCH($K282,其他调用!$AG$5:$AG$364,0),1)/INDEX(其他调用!AJ$5:AJ$364,MATCH($K282,其他调用!$AG$5:$AG$364,0),0),1)*INDEX(其他调用!AA$5:AA$404,MATCH($K282,其他调用!$X$5:$X$404,0),0)</f>
        <v>44693.085506374206</v>
      </c>
      <c r="AL282" s="12">
        <f>MIN(INDEX(其他调用!$AK$5:$AK$364,MATCH($K282,其他调用!$AG$5:$AG$364,0),1)/INDEX(其他调用!AK$5:AK$364,MATCH($K282,其他调用!$AG$5:$AG$364,0),0),1)*INDEX(其他调用!AB$5:AB$404,MATCH($K282,其他调用!$X$5:$X$404,0),0)</f>
        <v>46947.823288865919</v>
      </c>
      <c r="AM282" s="12">
        <f>MIN(INDEX(其他调用!$AK$5:$AK$364,MATCH($K282,其他调用!$AG$5:$AG$364,0),1)/INDEX(其他调用!AL$5:AL$364,MATCH($K282,其他调用!$AG$5:$AG$364,0),0),1)*INDEX(其他调用!AC$5:AC$404,MATCH($K282,其他调用!$X$5:$X$404,0),0)</f>
        <v>26653.547350336055</v>
      </c>
      <c r="AN282" s="12">
        <f>求节点(节奏总纲!D$4:D$163,标准城池设计!AF$4:AF$163,$K282)*求节点(节奏总纲!D$4:D$163,攻城基础信息!$AG$5:$AG$164,$K282)</f>
        <v>1144504.6903995364</v>
      </c>
      <c r="AO282" s="12">
        <f>INDEX(其他调用!$AA$5:$AA$404,MATCH($K282,其他调用!$X$5:$X$404,0))*MIN(INDEX(其他调用!AL$5:AL$364,MATCH($K282,其他调用!$AG$5:$AG$364,0),1)/INDEX(其他调用!$AJ$5:$AJ$364,MATCH($K282,其他调用!$AG$5:$AG$364,0),0),5)*求节点(节奏总纲!D$4:D$163,攻城基础信息!$AG$5:$AG$164,$K282)</f>
        <v>782128.99636154808</v>
      </c>
      <c r="AP282" s="12">
        <f>MIN(INDEX(其他调用!$AL$5:$AL$364,MATCH($K282,其他调用!$AG$5:$AG$364,0),1)/INDEX(其他调用!AH$5:AH$364,MATCH($K282,其他调用!$AG$5:$AG$364,0),0),1)*INDEX(其他调用!Y$5:Y$404,MATCH($K282,其他调用!$X$5:$X$404,0),0)</f>
        <v>42014.568929963505</v>
      </c>
      <c r="AQ282" s="12">
        <f>MIN(INDEX(其他调用!$AL$5:$AL$364,MATCH($K282,其他调用!$AG$5:$AG$364,0),1)/INDEX(其他调用!AI$5:AI$364,MATCH($K282,其他调用!$AG$5:$AG$364,0),0),1)*INDEX(其他调用!Z$5:Z$404,MATCH($K282,其他调用!$X$5:$X$404,0),0)</f>
        <v>43168.91378847228</v>
      </c>
      <c r="AR282" s="12">
        <f>MIN(INDEX(其他调用!$AL$5:$AL$364,MATCH($K282,其他调用!$AG$5:$AG$364,0),1)/INDEX(其他调用!AJ$5:AJ$364,MATCH($K282,其他调用!$AG$5:$AG$364,0),0),1)*INDEX(其他调用!AA$5:AA$404,MATCH($K282,其他调用!$X$5:$X$404,0),0)</f>
        <v>44693.085506374206</v>
      </c>
      <c r="AS282" s="12">
        <f>MIN(INDEX(其他调用!$AL$5:$AL$364,MATCH($K282,其他调用!$AG$5:$AG$364,0),1)/INDEX(其他调用!AK$5:AK$364,MATCH($K282,其他调用!$AG$5:$AG$364,0),0),1)*INDEX(其他调用!AB$5:AB$404,MATCH($K282,其他调用!$X$5:$X$404,0),0)</f>
        <v>46947.823288865919</v>
      </c>
      <c r="AT282" s="12">
        <f>MIN(INDEX(其他调用!$AL$5:$AL$364,MATCH($K282,其他调用!$AG$5:$AG$364,0),1)/INDEX(其他调用!AL$5:AL$364,MATCH($K282,其他调用!$AG$5:$AG$364,0),0),1)*INDEX(其他调用!AC$5:AC$404,MATCH($K282,其他调用!$X$5:$X$404,0),0)</f>
        <v>50835.832918314867</v>
      </c>
      <c r="AV282" s="14">
        <f>IF(OR(AV$5="大R",AV$5="超R"),MAX(INDEX(其他调用!$H$5:$L$404,MATCH($K282,其他调用!$B$5:$B$404,0),MATCH(AV$5,其他调用!$H$4:$L$4,0))*120*0.85,2),INDEX(其他调用!$H$5:$L$404,MATCH($K282,其他调用!$B$5:$B$404,0),MATCH(AV$5,其他调用!$H$4:$L$4,0))*120*0.85)</f>
        <v>48.921801254999991</v>
      </c>
      <c r="AW282" s="14">
        <f>IF(OR(AW$5="大R",AW$5="超R"),MAX(INDEX(其他调用!$H$5:$L$404,MATCH($K282,其他调用!$B$5:$B$404,0),MATCH(AW$5,其他调用!$H$4:$L$4,0))*120*0.85,2),INDEX(其他调用!$H$5:$L$404,MATCH($K282,其他调用!$B$5:$B$404,0),MATCH(AW$5,其他调用!$H$4:$L$4,0))*120*0.85)</f>
        <v>48.237344010638395</v>
      </c>
      <c r="AX282" s="14">
        <f>IF(OR(AX$5="大R",AX$5="超R"),MAX(INDEX(其他调用!$H$5:$L$404,MATCH($K282,其他调用!$B$5:$B$404,0),MATCH(AX$5,其他调用!$H$4:$L$4,0))*120*0.85,2),INDEX(其他调用!$H$5:$L$404,MATCH($K282,其他调用!$B$5:$B$404,0),MATCH(AX$5,其他调用!$H$4:$L$4,0))*120*0.85)</f>
        <v>3.9376284143615998</v>
      </c>
      <c r="AY282" s="14">
        <f>IF(OR(AY$5="大R",AY$5="超R"),MAX(INDEX(其他调用!$H$5:$L$404,MATCH($K282,其他调用!$B$5:$B$404,0),MATCH(AY$5,其他调用!$H$4:$L$4,0))*120*0.85,2),INDEX(其他调用!$H$5:$L$404,MATCH($K282,其他调用!$B$5:$B$404,0),MATCH(AY$5,其他调用!$H$4:$L$4,0))*120*0.85)</f>
        <v>2</v>
      </c>
      <c r="AZ282" s="14">
        <f>IF(OR(AZ$5="大R",AZ$5="超R"),MAX(INDEX(其他调用!$H$5:$L$404,MATCH($K282,其他调用!$B$5:$B$404,0),MATCH(AZ$5,其他调用!$H$4:$L$4,0))*120*0.85,2),INDEX(其他调用!$H$5:$L$404,MATCH($K282,其他调用!$B$5:$B$404,0),MATCH(AZ$5,其他调用!$H$4:$L$4,0))*120*0.85)</f>
        <v>2</v>
      </c>
      <c r="BA282" s="14">
        <f>INDEX(其他调用!$H$5:$L$404,MATCH($K282,其他调用!$B$5:$B$404,0),MATCH(BA$5,其他调用!$H$4:$L$4,0))*INDEX(其他调用!$M$5:$M$404,MATCH($K282,其他调用!$B$5:$B$404,0))*0.6</f>
        <v>28.777530149999997</v>
      </c>
      <c r="BB282" s="14">
        <f>INDEX(其他调用!$H$5:$L$404,MATCH($K282,其他调用!$B$5:$B$404,0),MATCH(BB$5,其他调用!$H$4:$L$4,0))*INDEX(其他调用!$M$5:$M$404,MATCH($K282,其他调用!$B$5:$B$404,0))*0.6</f>
        <v>28.374908241551999</v>
      </c>
      <c r="BC282" s="14">
        <f>INDEX(其他调用!$H$5:$L$404,MATCH($K282,其他调用!$B$5:$B$404,0),MATCH(BC$5,其他调用!$H$4:$L$4,0))*INDEX(其他调用!$M$5:$M$404,MATCH($K282,其他调用!$B$5:$B$404,0))*0.6</f>
        <v>2.3162520084480001</v>
      </c>
      <c r="BD282" s="14">
        <f>INDEX(其他调用!$H$5:$L$404,MATCH($K282,其他调用!$B$5:$B$404,0),MATCH(BD$5,其他调用!$H$4:$L$4,0))*INDEX(其他调用!$M$5:$M$404,MATCH($K282,其他调用!$B$5:$B$404,0))*0.6</f>
        <v>0.4120776000000001</v>
      </c>
      <c r="BE282" s="14">
        <f>INDEX(其他调用!$H$5:$L$404,MATCH($K282,其他调用!$B$5:$B$404,0),MATCH(BE$5,其他调用!$H$4:$L$4,0))*INDEX(其他调用!$M$5:$M$404,MATCH($K282,其他调用!$B$5:$B$404,0))*0.6</f>
        <v>0.11923199999999998</v>
      </c>
      <c r="BF282" s="14">
        <f>IF(OR(BF$5="大R",BF$5="超R"),0,INDEX(其他调用!$H$5:$L$404,MATCH($K282,其他调用!$B$5:$B$404,0),MATCH(BF$5,其他调用!$H$4:$L$4,0))*50*0.4)</f>
        <v>9.5925100500000013</v>
      </c>
      <c r="BG282" s="14">
        <f>IF(OR(BG$5="大R",BG$5="超R"),0,INDEX(其他调用!$H$5:$L$404,MATCH($K282,其他调用!$B$5:$B$404,0),MATCH(BG$5,其他调用!$H$4:$L$4,0))*50*0.4)</f>
        <v>9.4583027471839998</v>
      </c>
      <c r="BH282" s="14">
        <f>IF(OR(BH$5="大R",BH$5="超R"),0,INDEX(其他调用!$H$5:$L$404,MATCH($K282,其他调用!$B$5:$B$404,0),MATCH(BH$5,其他调用!$H$4:$L$4,0))*50*0.4)</f>
        <v>0.77208400281600009</v>
      </c>
      <c r="BI282" s="14">
        <f>IF(OR(BI$5="大R",BI$5="超R"),0,INDEX(其他调用!$H$5:$L$404,MATCH($K282,其他调用!$B$5:$B$404,0),MATCH(BI$5,其他调用!$H$4:$L$4,0))*50*0.4)</f>
        <v>0</v>
      </c>
      <c r="BJ282" s="14">
        <f>IF(OR(BJ$5="大R",BJ$5="超R"),0,INDEX(其他调用!$H$5:$L$404,MATCH($K282,其他调用!$B$5:$B$404,0),MATCH(BJ$5,其他调用!$H$4:$L$4,0))*50*0.4)</f>
        <v>0</v>
      </c>
      <c r="BL282" s="14">
        <f t="shared" si="523"/>
        <v>277</v>
      </c>
      <c r="BM282" s="14">
        <f t="shared" si="430"/>
        <v>96</v>
      </c>
      <c r="BN282" s="14">
        <f>('疲劳值&amp;地图信息'!$S$10*'疲劳值&amp;地图信息'!$R$10+'疲劳值&amp;地图信息'!$S$11*'疲劳值&amp;地图信息'!$R$11+'疲劳值&amp;地图信息'!$S$12*'疲劳值&amp;地图信息'!$R$12+(BM282-'疲劳值&amp;地图信息'!$S$12-'疲劳值&amp;地图信息'!$S$11-'疲劳值&amp;地图信息'!$S$10)*'疲劳值&amp;地图信息'!$R$13)/BM282</f>
        <v>51.371477246638619</v>
      </c>
      <c r="BO282" s="14">
        <f>INDEX(其他调用!$M$5:$M$404,MATCH(BL282,其他调用!$B$5:$B$404,0))*0.6</f>
        <v>60</v>
      </c>
      <c r="BP282" s="14">
        <f>IF(BO282&gt;SUM('疲劳值&amp;地图信息'!$S$10:$S$12),('疲劳值&amp;地图信息'!$S$10*'疲劳值&amp;地图信息'!$R$10+'疲劳值&amp;地图信息'!$S$11*'疲劳值&amp;地图信息'!$R$11+'疲劳值&amp;地图信息'!$S$12*'疲劳值&amp;地图信息'!$R$12+(BO282-'疲劳值&amp;地图信息'!$S$12-'疲劳值&amp;地图信息'!$S$11-'疲劳值&amp;地图信息'!$S$10)*'疲劳值&amp;地图信息'!$R$13)/BO282,('疲劳值&amp;地图信息'!$S$10*'疲劳值&amp;地图信息'!$R$10+'疲劳值&amp;地图信息'!$S$11*'疲劳值&amp;地图信息'!$R$11+'疲劳值&amp;地图信息'!$S$12*'疲劳值&amp;地图信息'!$R$12+(BO282-'疲劳值&amp;地图信息'!$S$12-'疲劳值&amp;地图信息'!$S$11-'疲劳值&amp;地图信息'!$S$10)*'疲劳值&amp;地图信息'!$R$13)/BO282)</f>
        <v>44.158136341605953</v>
      </c>
      <c r="BQ282" s="14">
        <f t="shared" si="524"/>
        <v>20</v>
      </c>
      <c r="BR282" s="14">
        <f>('疲劳值&amp;地图信息'!$S$10*'疲劳值&amp;地图信息'!$R$10+($BQ282-'疲劳值&amp;地图信息'!$S$10)*'疲劳值&amp;地图信息'!$R$11)/$BQ282</f>
        <v>32.067203015074995</v>
      </c>
      <c r="CF282" s="14">
        <v>277</v>
      </c>
      <c r="CG282" s="51">
        <f t="shared" si="431"/>
        <v>15439</v>
      </c>
      <c r="CH282" s="51">
        <f t="shared" si="432"/>
        <v>1094</v>
      </c>
      <c r="CI282" s="51">
        <f>INT(SUMPRODUCT($N282:$R282,$BA282:$BE282)/SUM($BA282:$BE282)/10000*$BX$7*$BZ$34/'疲劳值&amp;地图信息'!$R$10*$BY$53)</f>
        <v>3328</v>
      </c>
      <c r="CJ282" s="50">
        <f t="shared" si="433"/>
        <v>0.77735260057398925</v>
      </c>
      <c r="CK282" s="50">
        <f t="shared" si="434"/>
        <v>5.5082825638185388E-2</v>
      </c>
      <c r="CL282" s="50">
        <f t="shared" si="435"/>
        <v>0.16756457378782538</v>
      </c>
      <c r="CM282" s="14">
        <f t="shared" si="436"/>
        <v>16866</v>
      </c>
      <c r="CN282" s="14">
        <f t="shared" si="437"/>
        <v>1859</v>
      </c>
      <c r="CO282" s="14">
        <f>INT(SUMPRODUCT($U282:$Y282,$BA282:$BE282)/SUM($BA282:$BE282)/10000*$BX$7*$BZ$34/'疲劳值&amp;地图信息'!$R$10*$BY$54)</f>
        <v>6339</v>
      </c>
      <c r="CP282" s="50">
        <f t="shared" si="438"/>
        <v>0.67291733163102463</v>
      </c>
      <c r="CQ282" s="50">
        <f t="shared" si="439"/>
        <v>7.4170124481327801E-2</v>
      </c>
      <c r="CR282" s="50">
        <f t="shared" si="440"/>
        <v>0.25291254388764761</v>
      </c>
      <c r="CS282" s="14">
        <f t="shared" si="441"/>
        <v>18451</v>
      </c>
      <c r="CT282" s="14">
        <f t="shared" si="442"/>
        <v>3188</v>
      </c>
      <c r="CU282" s="14">
        <f>INT(SUMPRODUCT($AB282:$AF282,$BA282:$BE282)/SUM($BA282:$BE282)/10000*$BX$7*$BZ$34/'疲劳值&amp;地图信息'!$R$10*$BY$55)</f>
        <v>8608</v>
      </c>
      <c r="CV282" s="50">
        <f t="shared" si="443"/>
        <v>0.61001091017290976</v>
      </c>
      <c r="CW282" s="50">
        <f t="shared" si="444"/>
        <v>0.105398882533805</v>
      </c>
      <c r="CX282" s="50">
        <f t="shared" si="445"/>
        <v>0.28459020729328527</v>
      </c>
      <c r="CY282" s="14">
        <f t="shared" si="446"/>
        <v>22283</v>
      </c>
      <c r="CZ282" s="14">
        <f t="shared" si="447"/>
        <v>9162</v>
      </c>
      <c r="DA282" s="14">
        <f>INT(SUMPRODUCT($AI282:$AM282,$BA282:$BE282)/SUM($BA282:$BE282)/10000*$BX$7*$BZ$34/'疲劳值&amp;地图信息'!$R$10*$BY$56)</f>
        <v>12987</v>
      </c>
      <c r="DB282" s="50">
        <f t="shared" si="448"/>
        <v>0.50150792221822105</v>
      </c>
      <c r="DC282" s="50">
        <f t="shared" si="449"/>
        <v>0.20620273676629455</v>
      </c>
      <c r="DD282" s="50">
        <f t="shared" si="450"/>
        <v>0.29228934101548432</v>
      </c>
      <c r="DE282" s="14">
        <f t="shared" si="451"/>
        <v>23326</v>
      </c>
      <c r="DF282" s="14">
        <f t="shared" si="452"/>
        <v>15940</v>
      </c>
      <c r="DG282" s="14">
        <f>INT(SUMPRODUCT($AP282:$AT282,$BA282:$BE282)/SUM($BA282:$BE282)/10000*$BX$7*$BZ$34/'疲劳值&amp;地图信息'!$R$10*$BY$57)</f>
        <v>17336</v>
      </c>
      <c r="DH282" s="50">
        <f t="shared" si="453"/>
        <v>0.41210557930815167</v>
      </c>
      <c r="DI282" s="50">
        <f t="shared" si="454"/>
        <v>0.28161549061870605</v>
      </c>
      <c r="DJ282" s="50">
        <f t="shared" si="455"/>
        <v>0.30627893007314227</v>
      </c>
      <c r="DL282" s="14">
        <f t="shared" si="526"/>
        <v>19861</v>
      </c>
      <c r="DM282" s="14">
        <f t="shared" si="527"/>
        <v>25064</v>
      </c>
      <c r="DN282" s="14">
        <f t="shared" si="528"/>
        <v>30247</v>
      </c>
      <c r="DO282" s="14">
        <f t="shared" si="529"/>
        <v>44432</v>
      </c>
      <c r="DP282" s="14">
        <f t="shared" si="530"/>
        <v>56602</v>
      </c>
      <c r="DQ282" s="14">
        <f t="shared" si="531"/>
        <v>1377857</v>
      </c>
      <c r="DT282" s="14">
        <f t="shared" si="525"/>
        <v>235575</v>
      </c>
      <c r="DU282" s="50">
        <f t="shared" si="427"/>
        <v>0.14600863252991139</v>
      </c>
      <c r="DW282" s="14">
        <f t="shared" si="456"/>
        <v>1613432</v>
      </c>
      <c r="EB282" s="14">
        <v>277</v>
      </c>
      <c r="EC282" s="51">
        <f t="shared" si="457"/>
        <v>25731</v>
      </c>
      <c r="ED282" s="51">
        <f t="shared" si="458"/>
        <v>1823</v>
      </c>
      <c r="EE282" s="51">
        <f>INT(SUMPRODUCT($N282:$R282,$BF282:$BJ282)/SUM($BF282:$BJ282)/10000*$BX$7*$BZ$46/'疲劳值&amp;地图信息'!$R$10*$BY$53)</f>
        <v>447</v>
      </c>
      <c r="EF282" s="50">
        <f t="shared" si="459"/>
        <v>0.91893146673333093</v>
      </c>
      <c r="EG282" s="50">
        <f t="shared" si="460"/>
        <v>6.510481768508268E-2</v>
      </c>
      <c r="EH282" s="50">
        <f t="shared" si="461"/>
        <v>1.5963715581586373E-2</v>
      </c>
      <c r="EI282" s="51">
        <f t="shared" si="462"/>
        <v>28111</v>
      </c>
      <c r="EJ282" s="51">
        <f t="shared" si="463"/>
        <v>3099</v>
      </c>
      <c r="EK282" s="14">
        <f>INT(SUMPRODUCT($U282:$Y282,$BF282:$BJ282)/SUM($BF282:$BJ282)/10000*$BX$7*$BZ$46/'疲劳值&amp;地图信息'!$R$10*$BY$54)</f>
        <v>851</v>
      </c>
      <c r="EL282" s="50">
        <f t="shared" si="464"/>
        <v>0.87679735504195133</v>
      </c>
      <c r="EM282" s="50">
        <f t="shared" si="465"/>
        <v>9.6659492841770375E-2</v>
      </c>
      <c r="EN282" s="50">
        <f t="shared" si="466"/>
        <v>2.6543152116278345E-2</v>
      </c>
      <c r="EO282" s="51">
        <f t="shared" si="467"/>
        <v>30752</v>
      </c>
      <c r="EP282" s="51">
        <f t="shared" si="468"/>
        <v>5313</v>
      </c>
      <c r="EQ282" s="14">
        <f>INT(SUMPRODUCT($AB282:$AF282,$BF282:$BJ282)/SUM($BF282:$BJ282)/10000*$BX$7*$BZ$46/'疲劳值&amp;地图信息'!$R$10*$BY$55)</f>
        <v>1154</v>
      </c>
      <c r="ER282" s="50">
        <f t="shared" si="469"/>
        <v>0.82624465998549124</v>
      </c>
      <c r="ES282" s="50">
        <f t="shared" si="470"/>
        <v>0.14274967086703028</v>
      </c>
      <c r="ET282" s="50">
        <f t="shared" si="471"/>
        <v>3.1005669147478439E-2</v>
      </c>
      <c r="EU282" s="51">
        <f t="shared" si="472"/>
        <v>37139</v>
      </c>
      <c r="EV282" s="51">
        <f t="shared" si="473"/>
        <v>15270</v>
      </c>
      <c r="EW282" s="14">
        <f>INT(SUMPRODUCT($AI282:$AM282,$BF282:$BJ282)/SUM($BF282:$BJ282)/10000*$BX$7*$BZ$46/'疲劳值&amp;地图信息'!$R$10*$BY$56)</f>
        <v>1731</v>
      </c>
      <c r="EX282" s="50">
        <f t="shared" si="474"/>
        <v>0.68598079054303662</v>
      </c>
      <c r="EY282" s="50">
        <f t="shared" si="475"/>
        <v>0.2820465459918729</v>
      </c>
      <c r="EZ282" s="50">
        <f t="shared" si="476"/>
        <v>3.1972663465090506E-2</v>
      </c>
      <c r="FA282" s="51">
        <f t="shared" si="477"/>
        <v>38877</v>
      </c>
      <c r="FB282" s="51">
        <f t="shared" si="478"/>
        <v>26568</v>
      </c>
      <c r="FC282" s="14">
        <f>INT(SUMPRODUCT($AP282:$AT282,$BF282:$BJ282)/SUM($BF282:$BJ282)/10000*$BX$7*$BZ$46/'疲劳值&amp;地图信息'!$R$10*$BY$57)</f>
        <v>2309</v>
      </c>
      <c r="FD282" s="50">
        <f t="shared" si="479"/>
        <v>0.57379638102547448</v>
      </c>
      <c r="FE282" s="50">
        <f t="shared" si="480"/>
        <v>0.39212445021696135</v>
      </c>
      <c r="FF282" s="50">
        <f t="shared" si="481"/>
        <v>3.4079168757564129E-2</v>
      </c>
      <c r="FH282" s="14">
        <f t="shared" si="482"/>
        <v>28001</v>
      </c>
      <c r="FI282" s="14">
        <f t="shared" si="483"/>
        <v>32061</v>
      </c>
      <c r="FJ282" s="14">
        <f t="shared" si="484"/>
        <v>37219</v>
      </c>
      <c r="FK282" s="14">
        <f t="shared" si="485"/>
        <v>54140</v>
      </c>
      <c r="FL282" s="14">
        <f t="shared" si="486"/>
        <v>67754</v>
      </c>
      <c r="FM282" s="14">
        <f t="shared" si="487"/>
        <v>3306739</v>
      </c>
      <c r="FP282" s="14">
        <f t="shared" si="488"/>
        <v>334150</v>
      </c>
      <c r="FQ282" s="50">
        <f t="shared" si="428"/>
        <v>9.1777035773405888E-2</v>
      </c>
      <c r="FS282" s="14">
        <f t="shared" si="489"/>
        <v>3640889</v>
      </c>
      <c r="FX282" s="14">
        <v>277</v>
      </c>
      <c r="FY282" s="51">
        <f t="shared" si="490"/>
        <v>36024</v>
      </c>
      <c r="FZ282" s="51">
        <f t="shared" si="491"/>
        <v>1823</v>
      </c>
      <c r="GA282" s="51">
        <f>INT(SUMPRODUCT($N282:$R282,$BF282:$BJ282)/SUM($BF282:$BJ282)/10000*$BX$7*$BZ$46/'疲劳值&amp;地图信息'!$R$10*$BY$53)</f>
        <v>447</v>
      </c>
      <c r="GB282" s="50">
        <f t="shared" si="492"/>
        <v>0.94072178409150253</v>
      </c>
      <c r="GC282" s="50">
        <f t="shared" si="493"/>
        <v>4.7605368987308716E-2</v>
      </c>
      <c r="GD282" s="50">
        <f t="shared" si="494"/>
        <v>1.1672846921188697E-2</v>
      </c>
      <c r="GE282" s="51">
        <f t="shared" si="495"/>
        <v>39355</v>
      </c>
      <c r="GF282" s="51">
        <f t="shared" si="496"/>
        <v>3099</v>
      </c>
      <c r="GG282" s="14">
        <f>INT(SUMPRODUCT($U282:$Y282,$BF282:$BJ282)/SUM($BF282:$BJ282)/10000*$BX$7*$BZ$46/'疲劳值&amp;地图信息'!$R$10*$BY$54)</f>
        <v>851</v>
      </c>
      <c r="GH282" s="50">
        <f t="shared" si="497"/>
        <v>0.90878651425932344</v>
      </c>
      <c r="GI282" s="50">
        <f t="shared" si="498"/>
        <v>7.1562175268444758E-2</v>
      </c>
      <c r="GJ282" s="50">
        <f t="shared" si="499"/>
        <v>1.9651310472231846E-2</v>
      </c>
      <c r="GK282" s="51">
        <f t="shared" si="500"/>
        <v>43054</v>
      </c>
      <c r="GL282" s="51">
        <f t="shared" si="501"/>
        <v>5313</v>
      </c>
      <c r="GM282" s="14">
        <f>INT(SUMPRODUCT($AB282:$AF282,$BF282:$BJ282)/SUM($BF282:$BJ282)/10000*$BX$7*$BZ$46/'疲劳值&amp;地图信息'!$R$10*$BY$55)</f>
        <v>1154</v>
      </c>
      <c r="GN282" s="50">
        <f t="shared" si="502"/>
        <v>0.86940893762242277</v>
      </c>
      <c r="GO282" s="50">
        <f t="shared" si="503"/>
        <v>0.1072878172896347</v>
      </c>
      <c r="GP282" s="50">
        <f t="shared" si="504"/>
        <v>2.330324508794249E-2</v>
      </c>
      <c r="GQ282" s="51">
        <f t="shared" si="505"/>
        <v>51995</v>
      </c>
      <c r="GR282" s="51">
        <f t="shared" si="506"/>
        <v>15270</v>
      </c>
      <c r="GS282" s="14">
        <f>INT(SUMPRODUCT($AI282:$AM282,$BF282:$BJ282)/SUM($BF282:$BJ282)/10000*$BX$7*$BZ$46/'疲劳值&amp;地图信息'!$R$10*$BY$56)</f>
        <v>1731</v>
      </c>
      <c r="GT282" s="50">
        <f t="shared" si="507"/>
        <v>0.75359441127021853</v>
      </c>
      <c r="GU282" s="50">
        <f t="shared" si="508"/>
        <v>0.22131717780740912</v>
      </c>
      <c r="GV282" s="50">
        <f t="shared" si="509"/>
        <v>2.5088410922372312E-2</v>
      </c>
      <c r="GW282" s="51">
        <f t="shared" si="510"/>
        <v>54428</v>
      </c>
      <c r="GX282" s="51">
        <f t="shared" si="511"/>
        <v>26568</v>
      </c>
      <c r="GY282" s="14">
        <f>INT(SUMPRODUCT($AP282:$AT282,$BF282:$BJ282)/SUM($BF282:$BJ282)/10000*$BX$7*$BZ$46/'疲劳值&amp;地图信息'!$R$10*$BY$57)</f>
        <v>2309</v>
      </c>
      <c r="GZ282" s="50">
        <f t="shared" si="512"/>
        <v>0.65335814176820117</v>
      </c>
      <c r="HA282" s="50">
        <f t="shared" si="513"/>
        <v>0.31892443430766459</v>
      </c>
      <c r="HB282" s="50">
        <f t="shared" si="514"/>
        <v>2.7717423924134205E-2</v>
      </c>
      <c r="HD282" s="14">
        <f t="shared" si="515"/>
        <v>38294</v>
      </c>
      <c r="HE282" s="14">
        <f t="shared" si="516"/>
        <v>43305</v>
      </c>
      <c r="HF282" s="14">
        <f t="shared" si="517"/>
        <v>49521</v>
      </c>
      <c r="HG282" s="14">
        <f t="shared" si="518"/>
        <v>68996</v>
      </c>
      <c r="HH282" s="14">
        <f t="shared" si="519"/>
        <v>83305</v>
      </c>
      <c r="HI282" s="14">
        <f t="shared" si="520"/>
        <v>4461926</v>
      </c>
      <c r="HL282" s="14">
        <f t="shared" si="521"/>
        <v>430050</v>
      </c>
      <c r="HM282" s="50">
        <f t="shared" si="429"/>
        <v>8.7909262024180007E-2</v>
      </c>
      <c r="HO282" s="14">
        <f t="shared" si="522"/>
        <v>4891976</v>
      </c>
    </row>
    <row r="283" spans="11:223" x14ac:dyDescent="0.2">
      <c r="K283" s="14">
        <v>278</v>
      </c>
      <c r="L283" s="12">
        <f>求节点(节奏总纲!D$4:D$163,标准城池设计!AB$4:AB$163,$K283)*求节点(节奏总纲!D$4:D$163,攻城基础信息!$AC$5:$AC$164,$K283)</f>
        <v>758677.07229754364</v>
      </c>
      <c r="M283" s="12">
        <f>INDEX(其他调用!$AA$5:$AA$404,MATCH(K283,其他调用!$X$5:$X$404,0))*MIN(INDEX(其他调用!$AH$5:$AH$364,MATCH('征服点（新）'!K283,其他调用!$AG$5:$AG$364,0),1)/INDEX(其他调用!$AJ$5:$AJ$364,MATCH(K283,其他调用!$AG$5:$AG$364,0),0),5)*求节点(节奏总纲!D$4:D$163,攻城基础信息!$AC$5:$AC$164,$K283)</f>
        <v>53678.822427250918</v>
      </c>
      <c r="N283" s="12">
        <f>MIN(INDEX(其他调用!$AH$5:$AH$364,MATCH($K283,其他调用!$AG$5:$AG$364,0),1)/INDEX(其他调用!AH$5:AH$364,MATCH($K283,其他调用!$AG$5:$AG$364,0),0),1)*INDEX(其他调用!Y$5:Y$404,MATCH($K283,其他调用!$X$5:$X$404,0),0)</f>
        <v>42034.880238350932</v>
      </c>
      <c r="O283" s="12">
        <f>MIN(INDEX(其他调用!$AH$5:$AH$364,MATCH($K283,其他调用!$AG$5:$AG$364,0),1)/INDEX(其他调用!AI$5:AI$364,MATCH($K283,其他调用!$AG$5:$AG$364,0),0),1)*INDEX(其他调用!Z$5:Z$404,MATCH($K283,其他调用!$X$5:$X$404,0),0)</f>
        <v>25414.483943290128</v>
      </c>
      <c r="P283" s="12">
        <f>MIN(INDEX(其他调用!$AH$5:$AH$364,MATCH($K283,其他调用!$AG$5:$AG$364,0),1)/INDEX(其他调用!AJ$5:AJ$364,MATCH($K283,其他调用!$AG$5:$AG$364,0),0),1)*INDEX(其他调用!AA$5:AA$404,MATCH($K283,其他调用!$X$5:$X$404,0),0)</f>
        <v>15336.806407785987</v>
      </c>
      <c r="Q283" s="12">
        <f>MIN(INDEX(其他调用!$AH$5:$AH$364,MATCH($K283,其他调用!$AG$5:$AG$364,0),1)/INDEX(其他调用!AK$5:AK$364,MATCH($K283,其他调用!$AG$5:$AG$364,0),0),1)*INDEX(其他调用!AB$5:AB$404,MATCH($K283,其他调用!$X$5:$X$404,0),0)</f>
        <v>5613.9817434297192</v>
      </c>
      <c r="R283" s="12">
        <f>MIN(INDEX(其他调用!$AH$5:$AH$364,MATCH($K283,其他调用!$AG$5:$AG$364,0),1)/INDEX(其他调用!AL$5:AL$364,MATCH($K283,其他调用!$AG$5:$AG$364,0),0),1)*INDEX(其他调用!AC$5:AC$404,MATCH($K283,其他调用!$X$5:$X$404,0),0)</f>
        <v>3192.2397613812082</v>
      </c>
      <c r="S283" s="12">
        <f>求节点(节奏总纲!D$4:D$163,标准城池设计!AC$4:AC$163,$K283)*求节点(节奏总纲!D$4:D$163,攻城基础信息!$AD$5:$AD$164,$K283)</f>
        <v>828978.59631153045</v>
      </c>
      <c r="T283" s="12">
        <f>INDEX(其他调用!$AA$5:$AA$404,MATCH($K283,其他调用!$X$5:$X$404,0))*MIN(INDEX(其他调用!AI$5:AI$364,MATCH($K283,其他调用!$AG$5:$AG$364,0),1)/INDEX(其他调用!$AJ$5:$AJ$364,MATCH($K283,其他调用!$AG$5:$AG$364,0),0),5)*求节点(节奏总纲!D$4:D$163,攻城基础信息!$AD$5:$AD$164,$K283)</f>
        <v>91221.945165403362</v>
      </c>
      <c r="U283" s="12">
        <f>MIN(INDEX(其他调用!$AI$5:$AI$364,MATCH($K283,其他调用!$AG$5:$AG$364,0),1)/INDEX(其他调用!AH$5:AH$364,MATCH($K283,其他调用!$AG$5:$AG$364,0),0),1)*INDEX(其他调用!Y$5:Y$404,MATCH($K283,其他调用!$X$5:$X$404,0),0)</f>
        <v>42034.880238350932</v>
      </c>
      <c r="V283" s="12">
        <f>MIN(INDEX(其他调用!$AI$5:$AI$364,MATCH($K283,其他调用!$AG$5:$AG$364,0),1)/INDEX(其他调用!AI$5:AI$364,MATCH($K283,其他调用!$AG$5:$AG$364,0),0),1)*INDEX(其他调用!Z$5:Z$404,MATCH($K283,其他调用!$X$5:$X$404,0),0)</f>
        <v>43189.447082670806</v>
      </c>
      <c r="W283" s="12">
        <f>MIN(INDEX(其他调用!$AI$5:$AI$364,MATCH($K283,其他调用!$AG$5:$AG$364,0),1)/INDEX(其他调用!AJ$5:AJ$364,MATCH($K283,其他调用!$AG$5:$AG$364,0),0),1)*INDEX(其他调用!AA$5:AA$404,MATCH($K283,其他调用!$X$5:$X$404,0),0)</f>
        <v>26063.412904400979</v>
      </c>
      <c r="X283" s="12">
        <f>MIN(INDEX(其他调用!$AI$5:$AI$364,MATCH($K283,其他调用!$AG$5:$AG$364,0),1)/INDEX(其他调用!AK$5:AK$364,MATCH($K283,其他调用!$AG$5:$AG$364,0),0),1)*INDEX(其他调用!AB$5:AB$404,MATCH($K283,其他调用!$X$5:$X$404,0),0)</f>
        <v>9540.4167156009808</v>
      </c>
      <c r="Y283" s="12">
        <f>MIN(INDEX(其他调用!$AI$5:$AI$364,MATCH($K283,其他调用!$AG$5:$AG$364,0),1)/INDEX(其他调用!AL$5:AL$364,MATCH($K283,其他调用!$AG$5:$AG$364,0),0),1)*INDEX(其他调用!AC$5:AC$404,MATCH($K283,其他调用!$X$5:$X$404,0),0)</f>
        <v>5424.9014285325175</v>
      </c>
      <c r="Z283" s="12">
        <f>求节点(节奏总纲!D$4:D$163,标准城池设计!AD$4:AD$163,$K283)*求节点(节奏总纲!D$4:D$163,攻城基础信息!$AE$5:$AE$164,$K283)</f>
        <v>906746.15632488194</v>
      </c>
      <c r="AA283" s="12">
        <f>INDEX(其他调用!$AA$5:$AA$404,MATCH($K283,其他调用!$X$5:$X$404,0))*MIN(INDEX(其他调用!AJ$5:AJ$364,MATCH($K283,其他调用!$AG$5:$AG$364,0),1)/INDEX(其他调用!$AJ$5:$AJ$364,MATCH($K283,其他调用!$AG$5:$AG$364,0),0),5)*求节点(节奏总纲!D$4:D$163,攻城基础信息!$AE$5:$AE$164,$K283)</f>
        <v>156496.87210288277</v>
      </c>
      <c r="AB283" s="12">
        <f>MIN(INDEX(其他调用!$AJ$5:$AJ$364,MATCH($K283,其他调用!$AG$5:$AG$364,0),1)/INDEX(其他调用!AH$5:AH$364,MATCH($K283,其他调用!$AG$5:$AG$364,0),0),1)*INDEX(其他调用!Y$5:Y$404,MATCH($K283,其他调用!$X$5:$X$404,0),0)</f>
        <v>42034.880238350932</v>
      </c>
      <c r="AC283" s="12">
        <f>MIN(INDEX(其他调用!$AJ$5:$AJ$364,MATCH($K283,其他调用!$AG$5:$AG$364,0),1)/INDEX(其他调用!AI$5:AI$364,MATCH($K283,其他调用!$AG$5:$AG$364,0),0),1)*INDEX(其他调用!Z$5:Z$404,MATCH($K283,其他调用!$X$5:$X$404,0),0)</f>
        <v>43189.447082670806</v>
      </c>
      <c r="AD283" s="12">
        <f>MIN(INDEX(其他调用!$AJ$5:$AJ$364,MATCH($K283,其他调用!$AG$5:$AG$364,0),1)/INDEX(其他调用!AJ$5:AJ$364,MATCH($K283,其他调用!$AG$5:$AG$364,0),0),1)*INDEX(其他调用!AA$5:AA$404,MATCH($K283,其他调用!$X$5:$X$404,0),0)</f>
        <v>44713.392029395109</v>
      </c>
      <c r="AE283" s="12">
        <f>MIN(INDEX(其他调用!$AJ$5:$AJ$364,MATCH($K283,其他调用!$AG$5:$AG$364,0),1)/INDEX(其他调用!AK$5:AK$364,MATCH($K283,其他调用!$AG$5:$AG$364,0),0),1)*INDEX(其他调用!AB$5:AB$404,MATCH($K283,其他调用!$X$5:$X$404,0),0)</f>
        <v>16367.173182312939</v>
      </c>
      <c r="AF283" s="12">
        <f>MIN(INDEX(其他调用!$AJ$5:$AJ$364,MATCH($K283,其他调用!$AG$5:$AG$364,0),1)/INDEX(其他调用!AL$5:AL$364,MATCH($K283,其他调用!$AG$5:$AG$364,0),0),1)*INDEX(其他调用!AC$5:AC$404,MATCH($K283,其他调用!$X$5:$X$404,0),0)</f>
        <v>9306.752925432922</v>
      </c>
      <c r="AG283" s="12">
        <f>求节点(节奏总纲!D$4:D$163,标准城池设计!AE$4:AE$163,$K283)*求节点(节奏总纲!D$4:D$163,攻城基础信息!$AF$5:$AF$164,$K283)</f>
        <v>1095130.7139423115</v>
      </c>
      <c r="AH283" s="12">
        <f>INDEX(其他调用!$AA$5:$AA$404,MATCH($K283,其他调用!$X$5:$X$404,0))*MIN(INDEX(其他调用!AK$5:AK$364,MATCH($K283,其他调用!$AG$5:$AG$364,0),1)/INDEX(其他调用!$AJ$5:$AJ$364,MATCH($K283,其他调用!$AG$5:$AG$364,0),0),5)*求节点(节奏总纲!D$4:D$163,攻城基础信息!$AF$5:$AF$164,$K283)</f>
        <v>449090.90564543271</v>
      </c>
      <c r="AI283" s="12">
        <f>MIN(INDEX(其他调用!$AK$5:$AK$364,MATCH($K283,其他调用!$AG$5:$AG$364,0),1)/INDEX(其他调用!AH$5:AH$364,MATCH($K283,其他调用!$AG$5:$AG$364,0),0),1)*INDEX(其他调用!Y$5:Y$404,MATCH($K283,其他调用!$X$5:$X$404,0),0)</f>
        <v>42034.880238350932</v>
      </c>
      <c r="AJ283" s="12">
        <f>MIN(INDEX(其他调用!$AK$5:$AK$364,MATCH($K283,其他调用!$AG$5:$AG$364,0),1)/INDEX(其他调用!AI$5:AI$364,MATCH($K283,其他调用!$AG$5:$AG$364,0),0),1)*INDEX(其他调用!Z$5:Z$404,MATCH($K283,其他调用!$X$5:$X$404,0),0)</f>
        <v>43189.447082670806</v>
      </c>
      <c r="AK283" s="12">
        <f>MIN(INDEX(其他调用!$AK$5:$AK$364,MATCH($K283,其他调用!$AG$5:$AG$364,0),1)/INDEX(其他调用!AJ$5:AJ$364,MATCH($K283,其他调用!$AG$5:$AG$364,0),0),1)*INDEX(其他调用!AA$5:AA$404,MATCH($K283,其他调用!$X$5:$X$404,0),0)</f>
        <v>44713.392029395109</v>
      </c>
      <c r="AL283" s="12">
        <f>MIN(INDEX(其他调用!$AK$5:$AK$364,MATCH($K283,其他调用!$AG$5:$AG$364,0),1)/INDEX(其他调用!AK$5:AK$364,MATCH($K283,其他调用!$AG$5:$AG$364,0),0),1)*INDEX(其他调用!AB$5:AB$404,MATCH($K283,其他调用!$X$5:$X$404,0),0)</f>
        <v>46968.022609859938</v>
      </c>
      <c r="AM283" s="12">
        <f>MIN(INDEX(其他调用!$AK$5:$AK$364,MATCH($K283,其他调用!$AG$5:$AG$364,0),1)/INDEX(其他调用!AL$5:AL$364,MATCH($K283,其他调用!$AG$5:$AG$364,0),0),1)*INDEX(其他调用!AC$5:AC$404,MATCH($K283,其他调用!$X$5:$X$404,0),0)</f>
        <v>26707.103111640794</v>
      </c>
      <c r="AN283" s="12">
        <f>求节点(节奏总纲!D$4:D$163,标准城池设计!AF$4:AF$163,$K283)*求节点(节奏总纲!D$4:D$163,攻城基础信息!$AG$5:$AG$164,$K283)</f>
        <v>1146300.7284163584</v>
      </c>
      <c r="AO283" s="12">
        <f>INDEX(其他调用!$AA$5:$AA$404,MATCH($K283,其他调用!$X$5:$X$404,0))*MIN(INDEX(其他调用!AL$5:AL$364,MATCH($K283,其他调用!$AG$5:$AG$364,0),1)/INDEX(其他调用!$AJ$5:$AJ$364,MATCH($K283,其他调用!$AG$5:$AG$364,0),0),5)*求节点(节奏总纲!D$4:D$163,攻城基础信息!$AG$5:$AG$164,$K283)</f>
        <v>782484.3605144138</v>
      </c>
      <c r="AP283" s="12">
        <f>MIN(INDEX(其他调用!$AL$5:$AL$364,MATCH($K283,其他调用!$AG$5:$AG$364,0),1)/INDEX(其他调用!AH$5:AH$364,MATCH($K283,其他调用!$AG$5:$AG$364,0),0),1)*INDEX(其他调用!Y$5:Y$404,MATCH($K283,其他调用!$X$5:$X$404,0),0)</f>
        <v>42034.880238350932</v>
      </c>
      <c r="AQ283" s="12">
        <f>MIN(INDEX(其他调用!$AL$5:$AL$364,MATCH($K283,其他调用!$AG$5:$AG$364,0),1)/INDEX(其他调用!AI$5:AI$364,MATCH($K283,其他调用!$AG$5:$AG$364,0),0),1)*INDEX(其他调用!Z$5:Z$404,MATCH($K283,其他调用!$X$5:$X$404,0),0)</f>
        <v>43189.447082670806</v>
      </c>
      <c r="AR283" s="12">
        <f>MIN(INDEX(其他调用!$AL$5:$AL$364,MATCH($K283,其他调用!$AG$5:$AG$364,0),1)/INDEX(其他调用!AJ$5:AJ$364,MATCH($K283,其他调用!$AG$5:$AG$364,0),0),1)*INDEX(其他调用!AA$5:AA$404,MATCH($K283,其他调用!$X$5:$X$404,0),0)</f>
        <v>44713.392029395109</v>
      </c>
      <c r="AS283" s="12">
        <f>MIN(INDEX(其他调用!$AL$5:$AL$364,MATCH($K283,其他调用!$AG$5:$AG$364,0),1)/INDEX(其他调用!AK$5:AK$364,MATCH($K283,其他调用!$AG$5:$AG$364,0),0),1)*INDEX(其他调用!AB$5:AB$404,MATCH($K283,其他调用!$X$5:$X$404,0),0)</f>
        <v>46968.022609859938</v>
      </c>
      <c r="AT283" s="12">
        <f>MIN(INDEX(其他调用!$AL$5:$AL$364,MATCH($K283,其他调用!$AG$5:$AG$364,0),1)/INDEX(其他调用!AL$5:AL$364,MATCH($K283,其他调用!$AG$5:$AG$364,0),0),1)*INDEX(其他调用!AC$5:AC$404,MATCH($K283,其他调用!$X$5:$X$404,0),0)</f>
        <v>50856.693480583897</v>
      </c>
      <c r="AV283" s="14">
        <f>IF(OR(AV$5="大R",AV$5="超R"),MAX(INDEX(其他调用!$H$5:$L$404,MATCH($K283,其他调用!$B$5:$B$404,0),MATCH(AV$5,其他调用!$H$4:$L$4,0))*120*0.85,2),INDEX(其他调用!$H$5:$L$404,MATCH($K283,其他调用!$B$5:$B$404,0),MATCH(AV$5,其他调用!$H$4:$L$4,0))*120*0.85)</f>
        <v>48.921801254999991</v>
      </c>
      <c r="AW283" s="14">
        <f>IF(OR(AW$5="大R",AW$5="超R"),MAX(INDEX(其他调用!$H$5:$L$404,MATCH($K283,其他调用!$B$5:$B$404,0),MATCH(AW$5,其他调用!$H$4:$L$4,0))*120*0.85,2),INDEX(其他调用!$H$5:$L$404,MATCH($K283,其他调用!$B$5:$B$404,0),MATCH(AW$5,其他调用!$H$4:$L$4,0))*120*0.85)</f>
        <v>48.237344010638395</v>
      </c>
      <c r="AX283" s="14">
        <f>IF(OR(AX$5="大R",AX$5="超R"),MAX(INDEX(其他调用!$H$5:$L$404,MATCH($K283,其他调用!$B$5:$B$404,0),MATCH(AX$5,其他调用!$H$4:$L$4,0))*120*0.85,2),INDEX(其他调用!$H$5:$L$404,MATCH($K283,其他调用!$B$5:$B$404,0),MATCH(AX$5,其他调用!$H$4:$L$4,0))*120*0.85)</f>
        <v>3.9376284143615998</v>
      </c>
      <c r="AY283" s="14">
        <f>IF(OR(AY$5="大R",AY$5="超R"),MAX(INDEX(其他调用!$H$5:$L$404,MATCH($K283,其他调用!$B$5:$B$404,0),MATCH(AY$5,其他调用!$H$4:$L$4,0))*120*0.85,2),INDEX(其他调用!$H$5:$L$404,MATCH($K283,其他调用!$B$5:$B$404,0),MATCH(AY$5,其他调用!$H$4:$L$4,0))*120*0.85)</f>
        <v>2</v>
      </c>
      <c r="AZ283" s="14">
        <f>IF(OR(AZ$5="大R",AZ$5="超R"),MAX(INDEX(其他调用!$H$5:$L$404,MATCH($K283,其他调用!$B$5:$B$404,0),MATCH(AZ$5,其他调用!$H$4:$L$4,0))*120*0.85,2),INDEX(其他调用!$H$5:$L$404,MATCH($K283,其他调用!$B$5:$B$404,0),MATCH(AZ$5,其他调用!$H$4:$L$4,0))*120*0.85)</f>
        <v>2</v>
      </c>
      <c r="BA283" s="14">
        <f>INDEX(其他调用!$H$5:$L$404,MATCH($K283,其他调用!$B$5:$B$404,0),MATCH(BA$5,其他调用!$H$4:$L$4,0))*INDEX(其他调用!$M$5:$M$404,MATCH($K283,其他调用!$B$5:$B$404,0))*0.6</f>
        <v>28.777530149999997</v>
      </c>
      <c r="BB283" s="14">
        <f>INDEX(其他调用!$H$5:$L$404,MATCH($K283,其他调用!$B$5:$B$404,0),MATCH(BB$5,其他调用!$H$4:$L$4,0))*INDEX(其他调用!$M$5:$M$404,MATCH($K283,其他调用!$B$5:$B$404,0))*0.6</f>
        <v>28.374908241551999</v>
      </c>
      <c r="BC283" s="14">
        <f>INDEX(其他调用!$H$5:$L$404,MATCH($K283,其他调用!$B$5:$B$404,0),MATCH(BC$5,其他调用!$H$4:$L$4,0))*INDEX(其他调用!$M$5:$M$404,MATCH($K283,其他调用!$B$5:$B$404,0))*0.6</f>
        <v>2.3162520084480001</v>
      </c>
      <c r="BD283" s="14">
        <f>INDEX(其他调用!$H$5:$L$404,MATCH($K283,其他调用!$B$5:$B$404,0),MATCH(BD$5,其他调用!$H$4:$L$4,0))*INDEX(其他调用!$M$5:$M$404,MATCH($K283,其他调用!$B$5:$B$404,0))*0.6</f>
        <v>0.4120776000000001</v>
      </c>
      <c r="BE283" s="14">
        <f>INDEX(其他调用!$H$5:$L$404,MATCH($K283,其他调用!$B$5:$B$404,0),MATCH(BE$5,其他调用!$H$4:$L$4,0))*INDEX(其他调用!$M$5:$M$404,MATCH($K283,其他调用!$B$5:$B$404,0))*0.6</f>
        <v>0.11923199999999998</v>
      </c>
      <c r="BF283" s="14">
        <f>IF(OR(BF$5="大R",BF$5="超R"),0,INDEX(其他调用!$H$5:$L$404,MATCH($K283,其他调用!$B$5:$B$404,0),MATCH(BF$5,其他调用!$H$4:$L$4,0))*50*0.4)</f>
        <v>9.5925100500000013</v>
      </c>
      <c r="BG283" s="14">
        <f>IF(OR(BG$5="大R",BG$5="超R"),0,INDEX(其他调用!$H$5:$L$404,MATCH($K283,其他调用!$B$5:$B$404,0),MATCH(BG$5,其他调用!$H$4:$L$4,0))*50*0.4)</f>
        <v>9.4583027471839998</v>
      </c>
      <c r="BH283" s="14">
        <f>IF(OR(BH$5="大R",BH$5="超R"),0,INDEX(其他调用!$H$5:$L$404,MATCH($K283,其他调用!$B$5:$B$404,0),MATCH(BH$5,其他调用!$H$4:$L$4,0))*50*0.4)</f>
        <v>0.77208400281600009</v>
      </c>
      <c r="BI283" s="14">
        <f>IF(OR(BI$5="大R",BI$5="超R"),0,INDEX(其他调用!$H$5:$L$404,MATCH($K283,其他调用!$B$5:$B$404,0),MATCH(BI$5,其他调用!$H$4:$L$4,0))*50*0.4)</f>
        <v>0</v>
      </c>
      <c r="BJ283" s="14">
        <f>IF(OR(BJ$5="大R",BJ$5="超R"),0,INDEX(其他调用!$H$5:$L$404,MATCH($K283,其他调用!$B$5:$B$404,0),MATCH(BJ$5,其他调用!$H$4:$L$4,0))*50*0.4)</f>
        <v>0</v>
      </c>
      <c r="BL283" s="14">
        <f t="shared" si="523"/>
        <v>278</v>
      </c>
      <c r="BM283" s="14">
        <f t="shared" si="430"/>
        <v>96</v>
      </c>
      <c r="BN283" s="14">
        <f>('疲劳值&amp;地图信息'!$S$10*'疲劳值&amp;地图信息'!$R$10+'疲劳值&amp;地图信息'!$S$11*'疲劳值&amp;地图信息'!$R$11+'疲劳值&amp;地图信息'!$S$12*'疲劳值&amp;地图信息'!$R$12+(BM283-'疲劳值&amp;地图信息'!$S$12-'疲劳值&amp;地图信息'!$S$11-'疲劳值&amp;地图信息'!$S$10)*'疲劳值&amp;地图信息'!$R$13)/BM283</f>
        <v>51.371477246638619</v>
      </c>
      <c r="BO283" s="14">
        <f>INDEX(其他调用!$M$5:$M$404,MATCH(BL283,其他调用!$B$5:$B$404,0))*0.6</f>
        <v>60</v>
      </c>
      <c r="BP283" s="14">
        <f>IF(BO283&gt;SUM('疲劳值&amp;地图信息'!$S$10:$S$12),('疲劳值&amp;地图信息'!$S$10*'疲劳值&amp;地图信息'!$R$10+'疲劳值&amp;地图信息'!$S$11*'疲劳值&amp;地图信息'!$R$11+'疲劳值&amp;地图信息'!$S$12*'疲劳值&amp;地图信息'!$R$12+(BO283-'疲劳值&amp;地图信息'!$S$12-'疲劳值&amp;地图信息'!$S$11-'疲劳值&amp;地图信息'!$S$10)*'疲劳值&amp;地图信息'!$R$13)/BO283,('疲劳值&amp;地图信息'!$S$10*'疲劳值&amp;地图信息'!$R$10+'疲劳值&amp;地图信息'!$S$11*'疲劳值&amp;地图信息'!$R$11+'疲劳值&amp;地图信息'!$S$12*'疲劳值&amp;地图信息'!$R$12+(BO283-'疲劳值&amp;地图信息'!$S$12-'疲劳值&amp;地图信息'!$S$11-'疲劳值&amp;地图信息'!$S$10)*'疲劳值&amp;地图信息'!$R$13)/BO283)</f>
        <v>44.158136341605953</v>
      </c>
      <c r="BQ283" s="14">
        <f t="shared" si="524"/>
        <v>20</v>
      </c>
      <c r="BR283" s="14">
        <f>('疲劳值&amp;地图信息'!$S$10*'疲劳值&amp;地图信息'!$R$10+($BQ283-'疲劳值&amp;地图信息'!$S$10)*'疲劳值&amp;地图信息'!$R$11)/$BQ283</f>
        <v>32.067203015074995</v>
      </c>
      <c r="CF283" s="14">
        <v>278</v>
      </c>
      <c r="CG283" s="51">
        <f t="shared" si="431"/>
        <v>15462</v>
      </c>
      <c r="CH283" s="51">
        <f t="shared" si="432"/>
        <v>1094</v>
      </c>
      <c r="CI283" s="51">
        <f>INT(SUMPRODUCT($N283:$R283,$BA283:$BE283)/SUM($BA283:$BE283)/10000*$BX$7*$BZ$34/'疲劳值&amp;地图信息'!$R$10*$BY$53)</f>
        <v>3329</v>
      </c>
      <c r="CJ283" s="50">
        <f t="shared" si="433"/>
        <v>0.77757103344229317</v>
      </c>
      <c r="CK283" s="50">
        <f t="shared" si="434"/>
        <v>5.5016343977872771E-2</v>
      </c>
      <c r="CL283" s="50">
        <f t="shared" si="435"/>
        <v>0.16741262257983405</v>
      </c>
      <c r="CM283" s="14">
        <f t="shared" si="436"/>
        <v>16895</v>
      </c>
      <c r="CN283" s="14">
        <f t="shared" si="437"/>
        <v>1859</v>
      </c>
      <c r="CO283" s="14">
        <f>INT(SUMPRODUCT($U283:$Y283,$BA283:$BE283)/SUM($BA283:$BE283)/10000*$BX$7*$BZ$34/'疲劳值&amp;地图信息'!$R$10*$BY$54)</f>
        <v>6341</v>
      </c>
      <c r="CP283" s="50">
        <f t="shared" si="438"/>
        <v>0.6732416816098824</v>
      </c>
      <c r="CQ283" s="50">
        <f t="shared" si="439"/>
        <v>7.4078501693564461E-2</v>
      </c>
      <c r="CR283" s="50">
        <f t="shared" si="440"/>
        <v>0.25267981669655309</v>
      </c>
      <c r="CS283" s="14">
        <f t="shared" si="441"/>
        <v>18480</v>
      </c>
      <c r="CT283" s="14">
        <f t="shared" si="442"/>
        <v>3189</v>
      </c>
      <c r="CU283" s="14">
        <f>INT(SUMPRODUCT($AB283:$AF283,$BA283:$BE283)/SUM($BA283:$BE283)/10000*$BX$7*$BZ$34/'疲劳值&amp;地图信息'!$R$10*$BY$55)</f>
        <v>8613</v>
      </c>
      <c r="CV283" s="50">
        <f t="shared" si="443"/>
        <v>0.61026352288488206</v>
      </c>
      <c r="CW283" s="50">
        <f t="shared" si="444"/>
        <v>0.1053100851991282</v>
      </c>
      <c r="CX283" s="50">
        <f t="shared" si="445"/>
        <v>0.28442639191598967</v>
      </c>
      <c r="CY283" s="14">
        <f t="shared" si="446"/>
        <v>22320</v>
      </c>
      <c r="CZ283" s="14">
        <f t="shared" si="447"/>
        <v>9153</v>
      </c>
      <c r="DA283" s="14">
        <f>INT(SUMPRODUCT($AI283:$AM283,$BA283:$BE283)/SUM($BA283:$BE283)/10000*$BX$7*$BZ$34/'疲劳值&amp;地图信息'!$R$10*$BY$56)</f>
        <v>12994</v>
      </c>
      <c r="DB283" s="50">
        <f t="shared" si="448"/>
        <v>0.50194526277913953</v>
      </c>
      <c r="DC283" s="50">
        <f t="shared" si="449"/>
        <v>0.20583803719612298</v>
      </c>
      <c r="DD283" s="50">
        <f t="shared" si="450"/>
        <v>0.29221670002473743</v>
      </c>
      <c r="DE283" s="14">
        <f t="shared" si="451"/>
        <v>23363</v>
      </c>
      <c r="DF283" s="14">
        <f t="shared" si="452"/>
        <v>15948</v>
      </c>
      <c r="DG283" s="14">
        <f>INT(SUMPRODUCT($AP283:$AT283,$BA283:$BE283)/SUM($BA283:$BE283)/10000*$BX$7*$BZ$34/'疲劳值&amp;地图信息'!$R$10*$BY$57)</f>
        <v>17345</v>
      </c>
      <c r="DH283" s="50">
        <f t="shared" si="453"/>
        <v>0.41236585710251339</v>
      </c>
      <c r="DI283" s="50">
        <f t="shared" si="454"/>
        <v>0.28148828014685118</v>
      </c>
      <c r="DJ283" s="50">
        <f t="shared" si="455"/>
        <v>0.30614586275063543</v>
      </c>
      <c r="DL283" s="14">
        <f t="shared" si="526"/>
        <v>19885</v>
      </c>
      <c r="DM283" s="14">
        <f t="shared" si="527"/>
        <v>25095</v>
      </c>
      <c r="DN283" s="14">
        <f t="shared" si="528"/>
        <v>30282</v>
      </c>
      <c r="DO283" s="14">
        <f t="shared" si="529"/>
        <v>44467</v>
      </c>
      <c r="DP283" s="14">
        <f t="shared" si="530"/>
        <v>56656</v>
      </c>
      <c r="DQ283" s="14">
        <f t="shared" si="531"/>
        <v>1379529</v>
      </c>
      <c r="DT283" s="14">
        <f t="shared" si="525"/>
        <v>235575</v>
      </c>
      <c r="DU283" s="50">
        <f t="shared" si="427"/>
        <v>0.14585748038516405</v>
      </c>
      <c r="DW283" s="14">
        <f t="shared" si="456"/>
        <v>1615104</v>
      </c>
      <c r="EB283" s="14">
        <v>278</v>
      </c>
      <c r="EC283" s="51">
        <f t="shared" si="457"/>
        <v>25771</v>
      </c>
      <c r="ED283" s="51">
        <f t="shared" si="458"/>
        <v>1823</v>
      </c>
      <c r="EE283" s="51">
        <f>INT(SUMPRODUCT($N283:$R283,$BF283:$BJ283)/SUM($BF283:$BJ283)/10000*$BX$7*$BZ$46/'疲劳值&amp;地图信息'!$R$10*$BY$53)</f>
        <v>447</v>
      </c>
      <c r="EF283" s="50">
        <f t="shared" si="459"/>
        <v>0.91904710958952962</v>
      </c>
      <c r="EG283" s="50">
        <f t="shared" si="460"/>
        <v>6.5011946792197142E-2</v>
      </c>
      <c r="EH283" s="50">
        <f t="shared" si="461"/>
        <v>1.5940943618273244E-2</v>
      </c>
      <c r="EI283" s="51">
        <f t="shared" si="462"/>
        <v>28159</v>
      </c>
      <c r="EJ283" s="51">
        <f t="shared" si="463"/>
        <v>3098</v>
      </c>
      <c r="EK283" s="14">
        <f>INT(SUMPRODUCT($U283:$Y283,$BF283:$BJ283)/SUM($BF283:$BJ283)/10000*$BX$7*$BZ$46/'疲劳值&amp;地图信息'!$R$10*$BY$54)</f>
        <v>851</v>
      </c>
      <c r="EL283" s="50">
        <f t="shared" si="464"/>
        <v>0.87700884514762678</v>
      </c>
      <c r="EM283" s="50">
        <f t="shared" si="465"/>
        <v>9.6486856858103903E-2</v>
      </c>
      <c r="EN283" s="50">
        <f t="shared" si="466"/>
        <v>2.650429799426934E-2</v>
      </c>
      <c r="EO283" s="51">
        <f t="shared" si="467"/>
        <v>30801</v>
      </c>
      <c r="EP283" s="51">
        <f t="shared" si="468"/>
        <v>5316</v>
      </c>
      <c r="EQ283" s="14">
        <f>INT(SUMPRODUCT($AB283:$AF283,$BF283:$BJ283)/SUM($BF283:$BJ283)/10000*$BX$7*$BZ$46/'疲劳值&amp;地图信息'!$R$10*$BY$55)</f>
        <v>1155</v>
      </c>
      <c r="ER283" s="50">
        <f t="shared" si="469"/>
        <v>0.82638441725692213</v>
      </c>
      <c r="ES283" s="50">
        <f t="shared" si="470"/>
        <v>0.14262717321313587</v>
      </c>
      <c r="ET283" s="50">
        <f t="shared" si="471"/>
        <v>3.0988409529942047E-2</v>
      </c>
      <c r="EU283" s="51">
        <f t="shared" si="472"/>
        <v>37200</v>
      </c>
      <c r="EV283" s="51">
        <f t="shared" si="473"/>
        <v>15255</v>
      </c>
      <c r="EW283" s="14">
        <f>INT(SUMPRODUCT($AI283:$AM283,$BF283:$BJ283)/SUM($BF283:$BJ283)/10000*$BX$7*$BZ$46/'疲劳值&amp;地图信息'!$R$10*$BY$56)</f>
        <v>1732</v>
      </c>
      <c r="EX283" s="50">
        <f t="shared" si="474"/>
        <v>0.68651152490449741</v>
      </c>
      <c r="EY283" s="50">
        <f t="shared" si="475"/>
        <v>0.28152508904349755</v>
      </c>
      <c r="EZ283" s="50">
        <f t="shared" si="476"/>
        <v>3.1963386052005091E-2</v>
      </c>
      <c r="FA283" s="51">
        <f t="shared" si="477"/>
        <v>38938</v>
      </c>
      <c r="FB283" s="51">
        <f t="shared" si="478"/>
        <v>26580</v>
      </c>
      <c r="FC283" s="14">
        <f>INT(SUMPRODUCT($AP283:$AT283,$BF283:$BJ283)/SUM($BF283:$BJ283)/10000*$BX$7*$BZ$46/'疲劳值&amp;地图信息'!$R$10*$BY$57)</f>
        <v>2310</v>
      </c>
      <c r="FD283" s="50">
        <f t="shared" si="479"/>
        <v>0.57406970572624871</v>
      </c>
      <c r="FE283" s="50">
        <f t="shared" si="480"/>
        <v>0.39187356254054373</v>
      </c>
      <c r="FF283" s="50">
        <f t="shared" si="481"/>
        <v>3.4056731733207522E-2</v>
      </c>
      <c r="FH283" s="14">
        <f t="shared" si="482"/>
        <v>28041</v>
      </c>
      <c r="FI283" s="14">
        <f t="shared" si="483"/>
        <v>32108</v>
      </c>
      <c r="FJ283" s="14">
        <f t="shared" si="484"/>
        <v>37272</v>
      </c>
      <c r="FK283" s="14">
        <f t="shared" si="485"/>
        <v>54187</v>
      </c>
      <c r="FL283" s="14">
        <f t="shared" si="486"/>
        <v>67828</v>
      </c>
      <c r="FM283" s="14">
        <f t="shared" si="487"/>
        <v>3311414</v>
      </c>
      <c r="FP283" s="14">
        <f t="shared" si="488"/>
        <v>334150</v>
      </c>
      <c r="FQ283" s="50">
        <f t="shared" si="428"/>
        <v>9.165934269704222E-2</v>
      </c>
      <c r="FS283" s="14">
        <f t="shared" si="489"/>
        <v>3645564</v>
      </c>
      <c r="FX283" s="14">
        <v>278</v>
      </c>
      <c r="FY283" s="51">
        <f t="shared" si="490"/>
        <v>36079</v>
      </c>
      <c r="FZ283" s="51">
        <f t="shared" si="491"/>
        <v>1823</v>
      </c>
      <c r="GA283" s="51">
        <f>INT(SUMPRODUCT($N283:$R283,$BF283:$BJ283)/SUM($BF283:$BJ283)/10000*$BX$7*$BZ$46/'疲劳值&amp;地图信息'!$R$10*$BY$53)</f>
        <v>447</v>
      </c>
      <c r="GB283" s="50">
        <f t="shared" si="492"/>
        <v>0.94080680069884481</v>
      </c>
      <c r="GC283" s="50">
        <f t="shared" si="493"/>
        <v>4.7537093535685415E-2</v>
      </c>
      <c r="GD283" s="50">
        <f t="shared" si="494"/>
        <v>1.1656105765469764E-2</v>
      </c>
      <c r="GE283" s="51">
        <f t="shared" si="495"/>
        <v>39423</v>
      </c>
      <c r="GF283" s="51">
        <f t="shared" si="496"/>
        <v>3098</v>
      </c>
      <c r="GG283" s="14">
        <f>INT(SUMPRODUCT($U283:$Y283,$BF283:$BJ283)/SUM($BF283:$BJ283)/10000*$BX$7*$BZ$46/'疲劳值&amp;地图信息'!$R$10*$BY$54)</f>
        <v>851</v>
      </c>
      <c r="GH283" s="50">
        <f t="shared" si="497"/>
        <v>0.90895047496080417</v>
      </c>
      <c r="GI283" s="50">
        <f t="shared" si="498"/>
        <v>7.1428571428571425E-2</v>
      </c>
      <c r="GJ283" s="50">
        <f t="shared" si="499"/>
        <v>1.9620953610624367E-2</v>
      </c>
      <c r="GK283" s="51">
        <f t="shared" si="500"/>
        <v>43121</v>
      </c>
      <c r="GL283" s="51">
        <f t="shared" si="501"/>
        <v>5316</v>
      </c>
      <c r="GM283" s="14">
        <f>INT(SUMPRODUCT($AB283:$AF283,$BF283:$BJ283)/SUM($BF283:$BJ283)/10000*$BX$7*$BZ$46/'疲劳值&amp;地图信息'!$R$10*$BY$55)</f>
        <v>1155</v>
      </c>
      <c r="GN283" s="50">
        <f t="shared" si="502"/>
        <v>0.86951524439425709</v>
      </c>
      <c r="GO283" s="50">
        <f t="shared" si="503"/>
        <v>0.10719470882400386</v>
      </c>
      <c r="GP283" s="50">
        <f t="shared" si="504"/>
        <v>2.3290046781738991E-2</v>
      </c>
      <c r="GQ283" s="51">
        <f t="shared" si="505"/>
        <v>52080</v>
      </c>
      <c r="GR283" s="51">
        <f t="shared" si="506"/>
        <v>15255</v>
      </c>
      <c r="GS283" s="14">
        <f>INT(SUMPRODUCT($AI283:$AM283,$BF283:$BJ283)/SUM($BF283:$BJ283)/10000*$BX$7*$BZ$46/'疲劳值&amp;地图信息'!$R$10*$BY$56)</f>
        <v>1732</v>
      </c>
      <c r="GT283" s="50">
        <f t="shared" si="507"/>
        <v>0.75405041481460033</v>
      </c>
      <c r="GU283" s="50">
        <f t="shared" si="508"/>
        <v>0.22087248613664992</v>
      </c>
      <c r="GV283" s="50">
        <f t="shared" si="509"/>
        <v>2.5077099048749763E-2</v>
      </c>
      <c r="GW283" s="51">
        <f t="shared" si="510"/>
        <v>54513</v>
      </c>
      <c r="GX283" s="51">
        <f t="shared" si="511"/>
        <v>26580</v>
      </c>
      <c r="GY283" s="14">
        <f>INT(SUMPRODUCT($AP283:$AT283,$BF283:$BJ283)/SUM($BF283:$BJ283)/10000*$BX$7*$BZ$46/'疲劳值&amp;地图信息'!$R$10*$BY$57)</f>
        <v>2310</v>
      </c>
      <c r="GZ283" s="50">
        <f t="shared" si="512"/>
        <v>0.6536095823891227</v>
      </c>
      <c r="HA283" s="50">
        <f t="shared" si="513"/>
        <v>0.31869357217366284</v>
      </c>
      <c r="HB283" s="50">
        <f t="shared" si="514"/>
        <v>2.7696845437214488E-2</v>
      </c>
      <c r="HD283" s="14">
        <f t="shared" si="515"/>
        <v>38349</v>
      </c>
      <c r="HE283" s="14">
        <f t="shared" si="516"/>
        <v>43372</v>
      </c>
      <c r="HF283" s="14">
        <f t="shared" si="517"/>
        <v>49592</v>
      </c>
      <c r="HG283" s="14">
        <f t="shared" si="518"/>
        <v>69067</v>
      </c>
      <c r="HH283" s="14">
        <f t="shared" si="519"/>
        <v>83403</v>
      </c>
      <c r="HI283" s="14">
        <f t="shared" si="520"/>
        <v>4468467</v>
      </c>
      <c r="HL283" s="14">
        <f t="shared" si="521"/>
        <v>430050</v>
      </c>
      <c r="HM283" s="50">
        <f t="shared" si="429"/>
        <v>8.7791876602653418E-2</v>
      </c>
      <c r="HO283" s="14">
        <f t="shared" si="522"/>
        <v>4898517</v>
      </c>
    </row>
    <row r="284" spans="11:223" x14ac:dyDescent="0.2">
      <c r="K284" s="14">
        <v>279</v>
      </c>
      <c r="L284" s="12">
        <f>求节点(节奏总纲!D$4:D$163,标准城池设计!AB$4:AB$163,$K284)*求节点(节奏总纲!D$4:D$163,攻城基础信息!$AC$5:$AC$164,$K284)</f>
        <v>759837.28820109752</v>
      </c>
      <c r="M284" s="12">
        <f>INDEX(其他调用!$AA$5:$AA$404,MATCH(K284,其他调用!$X$5:$X$404,0))*MIN(INDEX(其他调用!$AH$5:$AH$364,MATCH('征服点（新）'!K284,其他调用!$AG$5:$AG$364,0),1)/INDEX(其他调用!$AJ$5:$AJ$364,MATCH(K284,其他调用!$AG$5:$AG$364,0),0),5)*求节点(节奏总纲!D$4:D$163,攻城基础信息!$AC$5:$AC$164,$K284)</f>
        <v>53671.569678582397</v>
      </c>
      <c r="N284" s="12">
        <f>MIN(INDEX(其他调用!$AH$5:$AH$364,MATCH($K284,其他调用!$AG$5:$AG$364,0),1)/INDEX(其他调用!AH$5:AH$364,MATCH($K284,其他调用!$AG$5:$AG$364,0),0),1)*INDEX(其他调用!Y$5:Y$404,MATCH($K284,其他调用!$X$5:$X$404,0),0)</f>
        <v>42055.191546738359</v>
      </c>
      <c r="O284" s="12">
        <f>MIN(INDEX(其他调用!$AH$5:$AH$364,MATCH($K284,其他调用!$AG$5:$AG$364,0),1)/INDEX(其他调用!AI$5:AI$364,MATCH($K284,其他调用!$AG$5:$AG$364,0),0),1)*INDEX(其他调用!Z$5:Z$404,MATCH($K284,其他调用!$X$5:$X$404,0),0)</f>
        <v>25425.55640132169</v>
      </c>
      <c r="P284" s="12">
        <f>MIN(INDEX(其他调用!$AH$5:$AH$364,MATCH($K284,其他调用!$AG$5:$AG$364,0),1)/INDEX(其他调用!AJ$5:AJ$364,MATCH($K284,其他调用!$AG$5:$AG$364,0),0),1)*INDEX(其他调用!AA$5:AA$404,MATCH($K284,其他调用!$X$5:$X$404,0),0)</f>
        <v>15334.734193880695</v>
      </c>
      <c r="Q284" s="12">
        <f>MIN(INDEX(其他调用!$AH$5:$AH$364,MATCH($K284,其他调用!$AG$5:$AG$364,0),1)/INDEX(其他调用!AK$5:AK$364,MATCH($K284,其他调用!$AG$5:$AG$364,0),0),1)*INDEX(其他调用!AB$5:AB$404,MATCH($K284,其他调用!$X$5:$X$404,0),0)</f>
        <v>5621.3697592488006</v>
      </c>
      <c r="R284" s="12">
        <f>MIN(INDEX(其他调用!$AH$5:$AH$364,MATCH($K284,其他调用!$AG$5:$AG$364,0),1)/INDEX(其他调用!AL$5:AL$364,MATCH($K284,其他调用!$AG$5:$AG$364,0),0),1)*INDEX(其他调用!AC$5:AC$404,MATCH($K284,其他调用!$X$5:$X$404,0),0)</f>
        <v>3201.4519787941263</v>
      </c>
      <c r="S284" s="12">
        <f>求节点(节奏总纲!D$4:D$163,标准城池设计!AC$4:AC$163,$K284)*求节点(节奏总纲!D$4:D$163,攻城基础信息!$AD$5:$AD$164,$K284)</f>
        <v>830401.34140859044</v>
      </c>
      <c r="T284" s="12">
        <f>INDEX(其他调用!$AA$5:$AA$404,MATCH($K284,其他调用!$X$5:$X$404,0))*MIN(INDEX(其他调用!AI$5:AI$364,MATCH($K284,其他调用!$AG$5:$AG$364,0),1)/INDEX(其他调用!$AJ$5:$AJ$364,MATCH($K284,其他调用!$AG$5:$AG$364,0),0),5)*求节点(节奏总纲!D$4:D$163,攻城基础信息!$AD$5:$AD$164,$K284)</f>
        <v>91213.243714374112</v>
      </c>
      <c r="U284" s="12">
        <f>MIN(INDEX(其他调用!$AI$5:$AI$364,MATCH($K284,其他调用!$AG$5:$AG$364,0),1)/INDEX(其他调用!AH$5:AH$364,MATCH($K284,其他调用!$AG$5:$AG$364,0),0),1)*INDEX(其他调用!Y$5:Y$404,MATCH($K284,其他调用!$X$5:$X$404,0),0)</f>
        <v>42055.191546738359</v>
      </c>
      <c r="V284" s="12">
        <f>MIN(INDEX(其他调用!$AI$5:$AI$364,MATCH($K284,其他调用!$AG$5:$AG$364,0),1)/INDEX(其他调用!AI$5:AI$364,MATCH($K284,其他调用!$AG$5:$AG$364,0),0),1)*INDEX(其他调用!Z$5:Z$404,MATCH($K284,其他调用!$X$5:$X$404,0),0)</f>
        <v>43209.980376869324</v>
      </c>
      <c r="W284" s="12">
        <f>MIN(INDEX(其他调用!$AI$5:$AI$364,MATCH($K284,其他调用!$AG$5:$AG$364,0),1)/INDEX(其他调用!AJ$5:AJ$364,MATCH($K284,其他调用!$AG$5:$AG$364,0),0),1)*INDEX(其他调用!AA$5:AA$404,MATCH($K284,其他调用!$X$5:$X$404,0),0)</f>
        <v>26060.926775535478</v>
      </c>
      <c r="X284" s="12">
        <f>MIN(INDEX(其他调用!$AI$5:$AI$364,MATCH($K284,其他调用!$AG$5:$AG$364,0),1)/INDEX(其他调用!AK$5:AK$364,MATCH($K284,其他调用!$AG$5:$AG$364,0),0),1)*INDEX(其他调用!AB$5:AB$404,MATCH($K284,其他调用!$X$5:$X$404,0),0)</f>
        <v>9553.3514844001911</v>
      </c>
      <c r="Y284" s="12">
        <f>MIN(INDEX(其他调用!$AI$5:$AI$364,MATCH($K284,其他调用!$AG$5:$AG$364,0),1)/INDEX(其他调用!AL$5:AL$364,MATCH($K284,其他调用!$AG$5:$AG$364,0),0),1)*INDEX(其他调用!AC$5:AC$404,MATCH($K284,其他调用!$X$5:$X$404,0),0)</f>
        <v>5440.7728585240584</v>
      </c>
      <c r="Z284" s="12">
        <f>求节点(节奏总纲!D$4:D$163,标准城池设计!AD$4:AD$163,$K284)*求节点(节奏总纲!D$4:D$163,攻城基础信息!$AE$5:$AE$164,$K284)</f>
        <v>908163.74704353698</v>
      </c>
      <c r="AA284" s="12">
        <f>INDEX(其他调用!$AA$5:$AA$404,MATCH($K284,其他调用!$X$5:$X$404,0))*MIN(INDEX(其他调用!AJ$5:AJ$364,MATCH($K284,其他调用!$AG$5:$AG$364,0),1)/INDEX(其他调用!$AJ$5:$AJ$364,MATCH($K284,其他调用!$AG$5:$AG$364,0),0),5)*求节点(节奏总纲!D$4:D$163,攻城基础信息!$AE$5:$AE$164,$K284)</f>
        <v>156567.94493345593</v>
      </c>
      <c r="AB284" s="12">
        <f>MIN(INDEX(其他调用!$AJ$5:$AJ$364,MATCH($K284,其他调用!$AG$5:$AG$364,0),1)/INDEX(其他调用!AH$5:AH$364,MATCH($K284,其他调用!$AG$5:$AG$364,0),0),1)*INDEX(其他调用!Y$5:Y$404,MATCH($K284,其他调用!$X$5:$X$404,0),0)</f>
        <v>42055.191546738359</v>
      </c>
      <c r="AC284" s="12">
        <f>MIN(INDEX(其他调用!$AJ$5:$AJ$364,MATCH($K284,其他调用!$AG$5:$AG$364,0),1)/INDEX(其他调用!AI$5:AI$364,MATCH($K284,其他调用!$AG$5:$AG$364,0),0),1)*INDEX(其他调用!Z$5:Z$404,MATCH($K284,其他调用!$X$5:$X$404,0),0)</f>
        <v>43209.980376869324</v>
      </c>
      <c r="AD284" s="12">
        <f>MIN(INDEX(其他调用!$AJ$5:$AJ$364,MATCH($K284,其他调用!$AG$5:$AG$364,0),1)/INDEX(其他调用!AJ$5:AJ$364,MATCH($K284,其他调用!$AG$5:$AG$364,0),0),1)*INDEX(其他调用!AA$5:AA$404,MATCH($K284,其他调用!$X$5:$X$404,0),0)</f>
        <v>44733.698552416012</v>
      </c>
      <c r="AE284" s="12">
        <f>MIN(INDEX(其他调用!$AJ$5:$AJ$364,MATCH($K284,其他调用!$AG$5:$AG$364,0),1)/INDEX(其他调用!AK$5:AK$364,MATCH($K284,其他调用!$AG$5:$AG$364,0),0),1)*INDEX(其他调用!AB$5:AB$404,MATCH($K284,其他调用!$X$5:$X$404,0),0)</f>
        <v>16398.370984627167</v>
      </c>
      <c r="AF284" s="12">
        <f>MIN(INDEX(其他调用!$AJ$5:$AJ$364,MATCH($K284,其他调用!$AG$5:$AG$364,0),1)/INDEX(其他调用!AL$5:AL$364,MATCH($K284,其他调用!$AG$5:$AG$364,0),0),1)*INDEX(其他调用!AC$5:AC$404,MATCH($K284,其他调用!$X$5:$X$404,0),0)</f>
        <v>9339.1111928474802</v>
      </c>
      <c r="AG284" s="12">
        <f>求节点(节奏总纲!D$4:D$163,标准城池设计!AE$4:AE$163,$K284)*求节点(节奏总纲!D$4:D$163,攻城基础信息!$AF$5:$AF$164,$K284)</f>
        <v>1096919.2217904218</v>
      </c>
      <c r="AH284" s="12">
        <f>INDEX(其他调用!$AA$5:$AA$404,MATCH($K284,其他调用!$X$5:$X$404,0))*MIN(INDEX(其他调用!AK$5:AK$364,MATCH($K284,其他调用!$AG$5:$AG$364,0),1)/INDEX(其他调用!$AJ$5:$AJ$364,MATCH($K284,其他调用!$AG$5:$AG$364,0),0),5)*求节点(节奏总纲!D$4:D$163,攻城基础信息!$AF$5:$AF$164,$K284)</f>
        <v>448632.93742333975</v>
      </c>
      <c r="AI284" s="12">
        <f>MIN(INDEX(其他调用!$AK$5:$AK$364,MATCH($K284,其他调用!$AG$5:$AG$364,0),1)/INDEX(其他调用!AH$5:AH$364,MATCH($K284,其他调用!$AG$5:$AG$364,0),0),1)*INDEX(其他调用!Y$5:Y$404,MATCH($K284,其他调用!$X$5:$X$404,0),0)</f>
        <v>42055.191546738359</v>
      </c>
      <c r="AJ284" s="12">
        <f>MIN(INDEX(其他调用!$AK$5:$AK$364,MATCH($K284,其他调用!$AG$5:$AG$364,0),1)/INDEX(其他调用!AI$5:AI$364,MATCH($K284,其他调用!$AG$5:$AG$364,0),0),1)*INDEX(其他调用!Z$5:Z$404,MATCH($K284,其他调用!$X$5:$X$404,0),0)</f>
        <v>43209.980376869324</v>
      </c>
      <c r="AK284" s="12">
        <f>MIN(INDEX(其他调用!$AK$5:$AK$364,MATCH($K284,其他调用!$AG$5:$AG$364,0),1)/INDEX(其他调用!AJ$5:AJ$364,MATCH($K284,其他调用!$AG$5:$AG$364,0),0),1)*INDEX(其他调用!AA$5:AA$404,MATCH($K284,其他调用!$X$5:$X$404,0),0)</f>
        <v>44733.698552416012</v>
      </c>
      <c r="AL284" s="12">
        <f>MIN(INDEX(其他调用!$AK$5:$AK$364,MATCH($K284,其他调用!$AG$5:$AG$364,0),1)/INDEX(其他调用!AK$5:AK$364,MATCH($K284,其他调用!$AG$5:$AG$364,0),0),1)*INDEX(其他调用!AB$5:AB$404,MATCH($K284,其他调用!$X$5:$X$404,0),0)</f>
        <v>46988.221930853964</v>
      </c>
      <c r="AM284" s="12">
        <f>MIN(INDEX(其他调用!$AK$5:$AK$364,MATCH($K284,其他调用!$AG$5:$AG$364,0),1)/INDEX(其他调用!AL$5:AL$364,MATCH($K284,其他调用!$AG$5:$AG$364,0),0),1)*INDEX(其他调用!AC$5:AC$404,MATCH($K284,其他调用!$X$5:$X$404,0),0)</f>
        <v>26760.476987490041</v>
      </c>
      <c r="AN284" s="12">
        <f>求节点(节奏总纲!D$4:D$163,标准城池设计!AF$4:AF$163,$K284)*求节点(节奏总纲!D$4:D$163,攻城基础信息!$AG$5:$AG$164,$K284)</f>
        <v>1148096.7664331803</v>
      </c>
      <c r="AO284" s="12">
        <f>INDEX(其他调用!$AA$5:$AA$404,MATCH($K284,其他调用!$X$5:$X$404,0))*MIN(INDEX(其他调用!AL$5:AL$364,MATCH($K284,其他调用!$AG$5:$AG$364,0),1)/INDEX(其他调用!$AJ$5:$AJ$364,MATCH($K284,其他调用!$AG$5:$AG$364,0),0),5)*求节点(节奏总纲!D$4:D$163,攻城基础信息!$AG$5:$AG$164,$K284)</f>
        <v>782839.72466727963</v>
      </c>
      <c r="AP284" s="12">
        <f>MIN(INDEX(其他调用!$AL$5:$AL$364,MATCH($K284,其他调用!$AG$5:$AG$364,0),1)/INDEX(其他调用!AH$5:AH$364,MATCH($K284,其他调用!$AG$5:$AG$364,0),0),1)*INDEX(其他调用!Y$5:Y$404,MATCH($K284,其他调用!$X$5:$X$404,0),0)</f>
        <v>42055.191546738359</v>
      </c>
      <c r="AQ284" s="12">
        <f>MIN(INDEX(其他调用!$AL$5:$AL$364,MATCH($K284,其他调用!$AG$5:$AG$364,0),1)/INDEX(其他调用!AI$5:AI$364,MATCH($K284,其他调用!$AG$5:$AG$364,0),0),1)*INDEX(其他调用!Z$5:Z$404,MATCH($K284,其他调用!$X$5:$X$404,0),0)</f>
        <v>43209.980376869324</v>
      </c>
      <c r="AR284" s="12">
        <f>MIN(INDEX(其他调用!$AL$5:$AL$364,MATCH($K284,其他调用!$AG$5:$AG$364,0),1)/INDEX(其他调用!AJ$5:AJ$364,MATCH($K284,其他调用!$AG$5:$AG$364,0),0),1)*INDEX(其他调用!AA$5:AA$404,MATCH($K284,其他调用!$X$5:$X$404,0),0)</f>
        <v>44733.698552416012</v>
      </c>
      <c r="AS284" s="12">
        <f>MIN(INDEX(其他调用!$AL$5:$AL$364,MATCH($K284,其他调用!$AG$5:$AG$364,0),1)/INDEX(其他调用!AK$5:AK$364,MATCH($K284,其他调用!$AG$5:$AG$364,0),0),1)*INDEX(其他调用!AB$5:AB$404,MATCH($K284,其他调用!$X$5:$X$404,0),0)</f>
        <v>46988.221930853964</v>
      </c>
      <c r="AT284" s="12">
        <f>MIN(INDEX(其他调用!$AL$5:$AL$364,MATCH($K284,其他调用!$AG$5:$AG$364,0),1)/INDEX(其他调用!AL$5:AL$364,MATCH($K284,其他调用!$AG$5:$AG$364,0),0),1)*INDEX(其他调用!AC$5:AC$404,MATCH($K284,其他调用!$X$5:$X$404,0),0)</f>
        <v>50877.55404285292</v>
      </c>
      <c r="AV284" s="14">
        <f>IF(OR(AV$5="大R",AV$5="超R"),MAX(INDEX(其他调用!$H$5:$L$404,MATCH($K284,其他调用!$B$5:$B$404,0),MATCH(AV$5,其他调用!$H$4:$L$4,0))*120*0.85,2),INDEX(其他调用!$H$5:$L$404,MATCH($K284,其他调用!$B$5:$B$404,0),MATCH(AV$5,其他调用!$H$4:$L$4,0))*120*0.85)</f>
        <v>48.921801254999991</v>
      </c>
      <c r="AW284" s="14">
        <f>IF(OR(AW$5="大R",AW$5="超R"),MAX(INDEX(其他调用!$H$5:$L$404,MATCH($K284,其他调用!$B$5:$B$404,0),MATCH(AW$5,其他调用!$H$4:$L$4,0))*120*0.85,2),INDEX(其他调用!$H$5:$L$404,MATCH($K284,其他调用!$B$5:$B$404,0),MATCH(AW$5,其他调用!$H$4:$L$4,0))*120*0.85)</f>
        <v>48.237344010638395</v>
      </c>
      <c r="AX284" s="14">
        <f>IF(OR(AX$5="大R",AX$5="超R"),MAX(INDEX(其他调用!$H$5:$L$404,MATCH($K284,其他调用!$B$5:$B$404,0),MATCH(AX$5,其他调用!$H$4:$L$4,0))*120*0.85,2),INDEX(其他调用!$H$5:$L$404,MATCH($K284,其他调用!$B$5:$B$404,0),MATCH(AX$5,其他调用!$H$4:$L$4,0))*120*0.85)</f>
        <v>3.9376284143615998</v>
      </c>
      <c r="AY284" s="14">
        <f>IF(OR(AY$5="大R",AY$5="超R"),MAX(INDEX(其他调用!$H$5:$L$404,MATCH($K284,其他调用!$B$5:$B$404,0),MATCH(AY$5,其他调用!$H$4:$L$4,0))*120*0.85,2),INDEX(其他调用!$H$5:$L$404,MATCH($K284,其他调用!$B$5:$B$404,0),MATCH(AY$5,其他调用!$H$4:$L$4,0))*120*0.85)</f>
        <v>2</v>
      </c>
      <c r="AZ284" s="14">
        <f>IF(OR(AZ$5="大R",AZ$5="超R"),MAX(INDEX(其他调用!$H$5:$L$404,MATCH($K284,其他调用!$B$5:$B$404,0),MATCH(AZ$5,其他调用!$H$4:$L$4,0))*120*0.85,2),INDEX(其他调用!$H$5:$L$404,MATCH($K284,其他调用!$B$5:$B$404,0),MATCH(AZ$5,其他调用!$H$4:$L$4,0))*120*0.85)</f>
        <v>2</v>
      </c>
      <c r="BA284" s="14">
        <f>INDEX(其他调用!$H$5:$L$404,MATCH($K284,其他调用!$B$5:$B$404,0),MATCH(BA$5,其他调用!$H$4:$L$4,0))*INDEX(其他调用!$M$5:$M$404,MATCH($K284,其他调用!$B$5:$B$404,0))*0.6</f>
        <v>28.777530149999997</v>
      </c>
      <c r="BB284" s="14">
        <f>INDEX(其他调用!$H$5:$L$404,MATCH($K284,其他调用!$B$5:$B$404,0),MATCH(BB$5,其他调用!$H$4:$L$4,0))*INDEX(其他调用!$M$5:$M$404,MATCH($K284,其他调用!$B$5:$B$404,0))*0.6</f>
        <v>28.374908241551999</v>
      </c>
      <c r="BC284" s="14">
        <f>INDEX(其他调用!$H$5:$L$404,MATCH($K284,其他调用!$B$5:$B$404,0),MATCH(BC$5,其他调用!$H$4:$L$4,0))*INDEX(其他调用!$M$5:$M$404,MATCH($K284,其他调用!$B$5:$B$404,0))*0.6</f>
        <v>2.3162520084480001</v>
      </c>
      <c r="BD284" s="14">
        <f>INDEX(其他调用!$H$5:$L$404,MATCH($K284,其他调用!$B$5:$B$404,0),MATCH(BD$5,其他调用!$H$4:$L$4,0))*INDEX(其他调用!$M$5:$M$404,MATCH($K284,其他调用!$B$5:$B$404,0))*0.6</f>
        <v>0.4120776000000001</v>
      </c>
      <c r="BE284" s="14">
        <f>INDEX(其他调用!$H$5:$L$404,MATCH($K284,其他调用!$B$5:$B$404,0),MATCH(BE$5,其他调用!$H$4:$L$4,0))*INDEX(其他调用!$M$5:$M$404,MATCH($K284,其他调用!$B$5:$B$404,0))*0.6</f>
        <v>0.11923199999999998</v>
      </c>
      <c r="BF284" s="14">
        <f>IF(OR(BF$5="大R",BF$5="超R"),0,INDEX(其他调用!$H$5:$L$404,MATCH($K284,其他调用!$B$5:$B$404,0),MATCH(BF$5,其他调用!$H$4:$L$4,0))*50*0.4)</f>
        <v>9.5925100500000013</v>
      </c>
      <c r="BG284" s="14">
        <f>IF(OR(BG$5="大R",BG$5="超R"),0,INDEX(其他调用!$H$5:$L$404,MATCH($K284,其他调用!$B$5:$B$404,0),MATCH(BG$5,其他调用!$H$4:$L$4,0))*50*0.4)</f>
        <v>9.4583027471839998</v>
      </c>
      <c r="BH284" s="14">
        <f>IF(OR(BH$5="大R",BH$5="超R"),0,INDEX(其他调用!$H$5:$L$404,MATCH($K284,其他调用!$B$5:$B$404,0),MATCH(BH$5,其他调用!$H$4:$L$4,0))*50*0.4)</f>
        <v>0.77208400281600009</v>
      </c>
      <c r="BI284" s="14">
        <f>IF(OR(BI$5="大R",BI$5="超R"),0,INDEX(其他调用!$H$5:$L$404,MATCH($K284,其他调用!$B$5:$B$404,0),MATCH(BI$5,其他调用!$H$4:$L$4,0))*50*0.4)</f>
        <v>0</v>
      </c>
      <c r="BJ284" s="14">
        <f>IF(OR(BJ$5="大R",BJ$5="超R"),0,INDEX(其他调用!$H$5:$L$404,MATCH($K284,其他调用!$B$5:$B$404,0),MATCH(BJ$5,其他调用!$H$4:$L$4,0))*50*0.4)</f>
        <v>0</v>
      </c>
      <c r="BL284" s="14">
        <f t="shared" si="523"/>
        <v>279</v>
      </c>
      <c r="BM284" s="14">
        <f t="shared" si="430"/>
        <v>96</v>
      </c>
      <c r="BN284" s="14">
        <f>('疲劳值&amp;地图信息'!$S$10*'疲劳值&amp;地图信息'!$R$10+'疲劳值&amp;地图信息'!$S$11*'疲劳值&amp;地图信息'!$R$11+'疲劳值&amp;地图信息'!$S$12*'疲劳值&amp;地图信息'!$R$12+(BM284-'疲劳值&amp;地图信息'!$S$12-'疲劳值&amp;地图信息'!$S$11-'疲劳值&amp;地图信息'!$S$10)*'疲劳值&amp;地图信息'!$R$13)/BM284</f>
        <v>51.371477246638619</v>
      </c>
      <c r="BO284" s="14">
        <f>INDEX(其他调用!$M$5:$M$404,MATCH(BL284,其他调用!$B$5:$B$404,0))*0.6</f>
        <v>60</v>
      </c>
      <c r="BP284" s="14">
        <f>IF(BO284&gt;SUM('疲劳值&amp;地图信息'!$S$10:$S$12),('疲劳值&amp;地图信息'!$S$10*'疲劳值&amp;地图信息'!$R$10+'疲劳值&amp;地图信息'!$S$11*'疲劳值&amp;地图信息'!$R$11+'疲劳值&amp;地图信息'!$S$12*'疲劳值&amp;地图信息'!$R$12+(BO284-'疲劳值&amp;地图信息'!$S$12-'疲劳值&amp;地图信息'!$S$11-'疲劳值&amp;地图信息'!$S$10)*'疲劳值&amp;地图信息'!$R$13)/BO284,('疲劳值&amp;地图信息'!$S$10*'疲劳值&amp;地图信息'!$R$10+'疲劳值&amp;地图信息'!$S$11*'疲劳值&amp;地图信息'!$R$11+'疲劳值&amp;地图信息'!$S$12*'疲劳值&amp;地图信息'!$R$12+(BO284-'疲劳值&amp;地图信息'!$S$12-'疲劳值&amp;地图信息'!$S$11-'疲劳值&amp;地图信息'!$S$10)*'疲劳值&amp;地图信息'!$R$13)/BO284)</f>
        <v>44.158136341605953</v>
      </c>
      <c r="BQ284" s="14">
        <f t="shared" si="524"/>
        <v>20</v>
      </c>
      <c r="BR284" s="14">
        <f>('疲劳值&amp;地图信息'!$S$10*'疲劳值&amp;地图信息'!$R$10+($BQ284-'疲劳值&amp;地图信息'!$S$10)*'疲劳值&amp;地图信息'!$R$11)/$BQ284</f>
        <v>32.067203015074995</v>
      </c>
      <c r="CF284" s="14">
        <v>279</v>
      </c>
      <c r="CG284" s="51">
        <f t="shared" si="431"/>
        <v>15486</v>
      </c>
      <c r="CH284" s="51">
        <f t="shared" si="432"/>
        <v>1093</v>
      </c>
      <c r="CI284" s="51">
        <f>INT(SUMPRODUCT($N284:$R284,$BA284:$BE284)/SUM($BA284:$BE284)/10000*$BX$7*$BZ$34/'疲劳值&amp;地图信息'!$R$10*$BY$53)</f>
        <v>3331</v>
      </c>
      <c r="CJ284" s="50">
        <f t="shared" si="433"/>
        <v>0.77780010045203418</v>
      </c>
      <c r="CK284" s="50">
        <f t="shared" si="434"/>
        <v>5.4897036664992467E-2</v>
      </c>
      <c r="CL284" s="50">
        <f t="shared" si="435"/>
        <v>0.16730286288297339</v>
      </c>
      <c r="CM284" s="14">
        <f t="shared" si="436"/>
        <v>16924</v>
      </c>
      <c r="CN284" s="14">
        <f t="shared" si="437"/>
        <v>1859</v>
      </c>
      <c r="CO284" s="14">
        <f>INT(SUMPRODUCT($U284:$Y284,$BA284:$BE284)/SUM($BA284:$BE284)/10000*$BX$7*$BZ$34/'疲劳值&amp;地图信息'!$R$10*$BY$54)</f>
        <v>6344</v>
      </c>
      <c r="CP284" s="50">
        <f t="shared" si="438"/>
        <v>0.67353842480200576</v>
      </c>
      <c r="CQ284" s="50">
        <f t="shared" si="439"/>
        <v>7.3984160464838619E-2</v>
      </c>
      <c r="CR284" s="50">
        <f t="shared" si="440"/>
        <v>0.25247741473315555</v>
      </c>
      <c r="CS284" s="14">
        <f t="shared" si="441"/>
        <v>18509</v>
      </c>
      <c r="CT284" s="14">
        <f t="shared" si="442"/>
        <v>3191</v>
      </c>
      <c r="CU284" s="14">
        <f>INT(SUMPRODUCT($AB284:$AF284,$BA284:$BE284)/SUM($BA284:$BE284)/10000*$BX$7*$BZ$34/'疲劳值&amp;地图信息'!$R$10*$BY$55)</f>
        <v>8617</v>
      </c>
      <c r="CV284" s="50">
        <f t="shared" si="443"/>
        <v>0.61051555233037569</v>
      </c>
      <c r="CW284" s="50">
        <f t="shared" si="444"/>
        <v>0.10525447768578686</v>
      </c>
      <c r="CX284" s="50">
        <f t="shared" si="445"/>
        <v>0.28422996998383743</v>
      </c>
      <c r="CY284" s="14">
        <f t="shared" si="446"/>
        <v>22356</v>
      </c>
      <c r="CZ284" s="14">
        <f t="shared" si="447"/>
        <v>9143</v>
      </c>
      <c r="DA284" s="14">
        <f>INT(SUMPRODUCT($AI284:$AM284,$BA284:$BE284)/SUM($BA284:$BE284)/10000*$BX$7*$BZ$34/'疲劳值&amp;地图信息'!$R$10*$BY$56)</f>
        <v>13000</v>
      </c>
      <c r="DB284" s="50">
        <f t="shared" si="448"/>
        <v>0.50239331220926309</v>
      </c>
      <c r="DC284" s="50">
        <f t="shared" si="449"/>
        <v>0.20546529135486191</v>
      </c>
      <c r="DD284" s="50">
        <f t="shared" si="450"/>
        <v>0.29214139643587494</v>
      </c>
      <c r="DE284" s="14">
        <f t="shared" si="451"/>
        <v>23399</v>
      </c>
      <c r="DF284" s="14">
        <f t="shared" si="452"/>
        <v>15955</v>
      </c>
      <c r="DG284" s="14">
        <f>INT(SUMPRODUCT($AP284:$AT284,$BA284:$BE284)/SUM($BA284:$BE284)/10000*$BX$7*$BZ$34/'疲劳值&amp;地图信息'!$R$10*$BY$57)</f>
        <v>17353</v>
      </c>
      <c r="DH284" s="50">
        <f t="shared" si="453"/>
        <v>0.41262983405928721</v>
      </c>
      <c r="DI284" s="50">
        <f t="shared" si="454"/>
        <v>0.28135856243497276</v>
      </c>
      <c r="DJ284" s="50">
        <f t="shared" si="455"/>
        <v>0.30601160350574003</v>
      </c>
      <c r="DL284" s="14">
        <f t="shared" si="526"/>
        <v>19910</v>
      </c>
      <c r="DM284" s="14">
        <f t="shared" si="527"/>
        <v>25127</v>
      </c>
      <c r="DN284" s="14">
        <f t="shared" si="528"/>
        <v>30317</v>
      </c>
      <c r="DO284" s="14">
        <f t="shared" si="529"/>
        <v>44499</v>
      </c>
      <c r="DP284" s="14">
        <f t="shared" si="530"/>
        <v>56707</v>
      </c>
      <c r="DQ284" s="14">
        <f t="shared" si="531"/>
        <v>1381257</v>
      </c>
      <c r="DT284" s="14">
        <f t="shared" si="525"/>
        <v>235575</v>
      </c>
      <c r="DU284" s="50">
        <f t="shared" si="427"/>
        <v>0.14570159422871393</v>
      </c>
      <c r="DW284" s="14">
        <f t="shared" si="456"/>
        <v>1616832</v>
      </c>
      <c r="EB284" s="14">
        <v>279</v>
      </c>
      <c r="EC284" s="51">
        <f t="shared" si="457"/>
        <v>25810</v>
      </c>
      <c r="ED284" s="51">
        <f t="shared" si="458"/>
        <v>1823</v>
      </c>
      <c r="EE284" s="51">
        <f>INT(SUMPRODUCT($N284:$R284,$BF284:$BJ284)/SUM($BF284:$BJ284)/10000*$BX$7*$BZ$46/'疲劳值&amp;地图信息'!$R$10*$BY$53)</f>
        <v>447</v>
      </c>
      <c r="EF284" s="50">
        <f t="shared" si="459"/>
        <v>0.91915954415954415</v>
      </c>
      <c r="EG284" s="50">
        <f t="shared" si="460"/>
        <v>6.4921652421652418E-2</v>
      </c>
      <c r="EH284" s="50">
        <f t="shared" si="461"/>
        <v>1.5918803418803418E-2</v>
      </c>
      <c r="EI284" s="51">
        <f t="shared" si="462"/>
        <v>28207</v>
      </c>
      <c r="EJ284" s="51">
        <f t="shared" si="463"/>
        <v>3098</v>
      </c>
      <c r="EK284" s="14">
        <f>INT(SUMPRODUCT($U284:$Y284,$BF284:$BJ284)/SUM($BF284:$BJ284)/10000*$BX$7*$BZ$46/'疲劳值&amp;地图信息'!$R$10*$BY$54)</f>
        <v>851</v>
      </c>
      <c r="EL284" s="50">
        <f t="shared" si="464"/>
        <v>0.8771924368702575</v>
      </c>
      <c r="EM284" s="50">
        <f t="shared" si="465"/>
        <v>9.6342828710038561E-2</v>
      </c>
      <c r="EN284" s="50">
        <f t="shared" si="466"/>
        <v>2.6464734419703942E-2</v>
      </c>
      <c r="EO284" s="51">
        <f t="shared" si="467"/>
        <v>30849</v>
      </c>
      <c r="EP284" s="51">
        <f t="shared" si="468"/>
        <v>5318</v>
      </c>
      <c r="EQ284" s="14">
        <f>INT(SUMPRODUCT($AB284:$AF284,$BF284:$BJ284)/SUM($BF284:$BJ284)/10000*$BX$7*$BZ$46/'疲劳值&amp;地图信息'!$R$10*$BY$55)</f>
        <v>1155</v>
      </c>
      <c r="ER284" s="50">
        <f t="shared" si="469"/>
        <v>0.82656342103852953</v>
      </c>
      <c r="ES284" s="50">
        <f t="shared" si="470"/>
        <v>0.14248968436846901</v>
      </c>
      <c r="ET284" s="50">
        <f t="shared" si="471"/>
        <v>3.0946894593001446E-2</v>
      </c>
      <c r="EU284" s="51">
        <f t="shared" si="472"/>
        <v>37261</v>
      </c>
      <c r="EV284" s="51">
        <f t="shared" si="473"/>
        <v>15239</v>
      </c>
      <c r="EW284" s="14">
        <f>INT(SUMPRODUCT($AI284:$AM284,$BF284:$BJ284)/SUM($BF284:$BJ284)/10000*$BX$7*$BZ$46/'疲劳值&amp;地图信息'!$R$10*$BY$56)</f>
        <v>1733</v>
      </c>
      <c r="EX284" s="50">
        <f t="shared" si="474"/>
        <v>0.68705400770748437</v>
      </c>
      <c r="EY284" s="50">
        <f t="shared" si="475"/>
        <v>0.28099127837294635</v>
      </c>
      <c r="EZ284" s="50">
        <f t="shared" si="476"/>
        <v>3.1954713919569264E-2</v>
      </c>
      <c r="FA284" s="51">
        <f t="shared" si="477"/>
        <v>38999</v>
      </c>
      <c r="FB284" s="51">
        <f t="shared" si="478"/>
        <v>26592</v>
      </c>
      <c r="FC284" s="14">
        <f>INT(SUMPRODUCT($AP284:$AT284,$BF284:$BJ284)/SUM($BF284:$BJ284)/10000*$BX$7*$BZ$46/'疲劳值&amp;地图信息'!$R$10*$BY$57)</f>
        <v>2311</v>
      </c>
      <c r="FD284" s="50">
        <f t="shared" si="479"/>
        <v>0.57434243468528168</v>
      </c>
      <c r="FE284" s="50">
        <f t="shared" si="480"/>
        <v>0.39162322170186448</v>
      </c>
      <c r="FF284" s="50">
        <f t="shared" si="481"/>
        <v>3.4034343612853818E-2</v>
      </c>
      <c r="FH284" s="14">
        <f t="shared" si="482"/>
        <v>28080</v>
      </c>
      <c r="FI284" s="14">
        <f t="shared" si="483"/>
        <v>32156</v>
      </c>
      <c r="FJ284" s="14">
        <f t="shared" si="484"/>
        <v>37322</v>
      </c>
      <c r="FK284" s="14">
        <f t="shared" si="485"/>
        <v>54233</v>
      </c>
      <c r="FL284" s="14">
        <f t="shared" si="486"/>
        <v>67902</v>
      </c>
      <c r="FM284" s="14">
        <f t="shared" si="487"/>
        <v>3316074</v>
      </c>
      <c r="FP284" s="14">
        <f t="shared" si="488"/>
        <v>334150</v>
      </c>
      <c r="FQ284" s="50">
        <f t="shared" si="428"/>
        <v>9.1542327265395226E-2</v>
      </c>
      <c r="FS284" s="14">
        <f t="shared" si="489"/>
        <v>3650224</v>
      </c>
      <c r="FX284" s="14">
        <v>279</v>
      </c>
      <c r="FY284" s="51">
        <f t="shared" si="490"/>
        <v>36135</v>
      </c>
      <c r="FZ284" s="51">
        <f t="shared" si="491"/>
        <v>1823</v>
      </c>
      <c r="GA284" s="51">
        <f>INT(SUMPRODUCT($N284:$R284,$BF284:$BJ284)/SUM($BF284:$BJ284)/10000*$BX$7*$BZ$46/'疲劳值&amp;地图信息'!$R$10*$BY$53)</f>
        <v>447</v>
      </c>
      <c r="GB284" s="50">
        <f t="shared" si="492"/>
        <v>0.94089311287592758</v>
      </c>
      <c r="GC284" s="50">
        <f t="shared" si="493"/>
        <v>4.746777763312069E-2</v>
      </c>
      <c r="GD284" s="50">
        <f t="shared" si="494"/>
        <v>1.1639109490951699E-2</v>
      </c>
      <c r="GE284" s="51">
        <f t="shared" si="495"/>
        <v>39490</v>
      </c>
      <c r="GF284" s="51">
        <f t="shared" si="496"/>
        <v>3098</v>
      </c>
      <c r="GG284" s="14">
        <f>INT(SUMPRODUCT($U284:$Y284,$BF284:$BJ284)/SUM($BF284:$BJ284)/10000*$BX$7*$BZ$46/'疲劳值&amp;地图信息'!$R$10*$BY$54)</f>
        <v>851</v>
      </c>
      <c r="GH284" s="50">
        <f t="shared" si="497"/>
        <v>0.90909090909090906</v>
      </c>
      <c r="GI284" s="50">
        <f t="shared" si="498"/>
        <v>7.1318400515665639E-2</v>
      </c>
      <c r="GJ284" s="50">
        <f t="shared" si="499"/>
        <v>1.9590690393425262E-2</v>
      </c>
      <c r="GK284" s="51">
        <f t="shared" si="500"/>
        <v>43188</v>
      </c>
      <c r="GL284" s="51">
        <f t="shared" si="501"/>
        <v>5318</v>
      </c>
      <c r="GM284" s="14">
        <f>INT(SUMPRODUCT($AB284:$AF284,$BF284:$BJ284)/SUM($BF284:$BJ284)/10000*$BX$7*$BZ$46/'疲劳值&amp;地图信息'!$R$10*$BY$55)</f>
        <v>1155</v>
      </c>
      <c r="GN284" s="50">
        <f t="shared" si="502"/>
        <v>0.86965626950725927</v>
      </c>
      <c r="GO284" s="50">
        <f t="shared" si="503"/>
        <v>0.10708604337407623</v>
      </c>
      <c r="GP284" s="50">
        <f t="shared" si="504"/>
        <v>2.3257687118664546E-2</v>
      </c>
      <c r="GQ284" s="51">
        <f t="shared" si="505"/>
        <v>52165</v>
      </c>
      <c r="GR284" s="51">
        <f t="shared" si="506"/>
        <v>15239</v>
      </c>
      <c r="GS284" s="14">
        <f>INT(SUMPRODUCT($AI284:$AM284,$BF284:$BJ284)/SUM($BF284:$BJ284)/10000*$BX$7*$BZ$46/'疲劳值&amp;地图信息'!$R$10*$BY$56)</f>
        <v>1733</v>
      </c>
      <c r="GT284" s="50">
        <f t="shared" si="507"/>
        <v>0.75451639498387257</v>
      </c>
      <c r="GU284" s="50">
        <f t="shared" si="508"/>
        <v>0.22041743205519476</v>
      </c>
      <c r="GV284" s="50">
        <f t="shared" si="509"/>
        <v>2.506617296093264E-2</v>
      </c>
      <c r="GW284" s="51">
        <f t="shared" si="510"/>
        <v>54599</v>
      </c>
      <c r="GX284" s="51">
        <f t="shared" si="511"/>
        <v>26592</v>
      </c>
      <c r="GY284" s="14">
        <f>INT(SUMPRODUCT($AP284:$AT284,$BF284:$BJ284)/SUM($BF284:$BJ284)/10000*$BX$7*$BZ$46/'疲劳值&amp;地图信息'!$R$10*$BY$57)</f>
        <v>2311</v>
      </c>
      <c r="GZ284" s="50">
        <f t="shared" si="512"/>
        <v>0.65386457809393783</v>
      </c>
      <c r="HA284" s="50">
        <f t="shared" si="513"/>
        <v>0.3184594380972911</v>
      </c>
      <c r="HB284" s="50">
        <f t="shared" si="514"/>
        <v>2.7675983808771048E-2</v>
      </c>
      <c r="HD284" s="14">
        <f t="shared" si="515"/>
        <v>38405</v>
      </c>
      <c r="HE284" s="14">
        <f t="shared" si="516"/>
        <v>43439</v>
      </c>
      <c r="HF284" s="14">
        <f t="shared" si="517"/>
        <v>49661</v>
      </c>
      <c r="HG284" s="14">
        <f t="shared" si="518"/>
        <v>69137</v>
      </c>
      <c r="HH284" s="14">
        <f t="shared" si="519"/>
        <v>83502</v>
      </c>
      <c r="HI284" s="14">
        <f t="shared" si="520"/>
        <v>4475048</v>
      </c>
      <c r="HL284" s="14">
        <f t="shared" si="521"/>
        <v>430050</v>
      </c>
      <c r="HM284" s="50">
        <f t="shared" si="429"/>
        <v>8.76740892842508E-2</v>
      </c>
      <c r="HO284" s="14">
        <f t="shared" si="522"/>
        <v>4905098</v>
      </c>
    </row>
    <row r="285" spans="11:223" x14ac:dyDescent="0.2">
      <c r="K285" s="14">
        <v>280</v>
      </c>
      <c r="L285" s="12">
        <f>求节点(节奏总纲!D$4:D$163,标准城池设计!AB$4:AB$163,$K285)*求节点(节奏总纲!D$4:D$163,攻城基础信息!$AC$5:$AC$164,$K285)</f>
        <v>760997.50410465128</v>
      </c>
      <c r="M285" s="12">
        <f>INDEX(其他调用!$AA$5:$AA$404,MATCH(K285,其他调用!$X$5:$X$404,0))*MIN(INDEX(其他调用!$AH$5:$AH$364,MATCH('征服点（新）'!K285,其他调用!$AG$5:$AG$364,0),1)/INDEX(其他调用!$AJ$5:$AJ$364,MATCH(K285,其他调用!$AG$5:$AG$364,0),0),5)*求节点(节奏总纲!D$4:D$163,攻城基础信息!$AC$5:$AC$164,$K285)</f>
        <v>53664.640121502634</v>
      </c>
      <c r="N285" s="12">
        <f>MIN(INDEX(其他调用!$AH$5:$AH$364,MATCH($K285,其他调用!$AG$5:$AG$364,0),1)/INDEX(其他调用!AH$5:AH$364,MATCH($K285,其他调用!$AG$5:$AG$364,0),0),1)*INDEX(其他调用!Y$5:Y$404,MATCH($K285,其他调用!$X$5:$X$404,0),0)</f>
        <v>42075.502855125786</v>
      </c>
      <c r="O285" s="12">
        <f>MIN(INDEX(其他调用!$AH$5:$AH$364,MATCH($K285,其他调用!$AG$5:$AG$364,0),1)/INDEX(其他调用!AI$5:AI$364,MATCH($K285,其他调用!$AG$5:$AG$364,0),0),1)*INDEX(其他调用!Z$5:Z$404,MATCH($K285,其他调用!$X$5:$X$404,0),0)</f>
        <v>25436.638045354535</v>
      </c>
      <c r="P285" s="12">
        <f>MIN(INDEX(其他调用!$AH$5:$AH$364,MATCH($K285,其他调用!$AG$5:$AG$364,0),1)/INDEX(其他调用!AJ$5:AJ$364,MATCH($K285,其他调用!$AG$5:$AG$364,0),0),1)*INDEX(其他调用!AA$5:AA$404,MATCH($K285,其他调用!$X$5:$X$404,0),0)</f>
        <v>15332.754320429334</v>
      </c>
      <c r="Q285" s="12">
        <f>MIN(INDEX(其他调用!$AH$5:$AH$364,MATCH($K285,其他调用!$AG$5:$AG$364,0),1)/INDEX(其他调用!AK$5:AK$364,MATCH($K285,其他调用!$AG$5:$AG$364,0),0),1)*INDEX(其他调用!AB$5:AB$404,MATCH($K285,其他调用!$X$5:$X$404,0),0)</f>
        <v>5628.7211782876411</v>
      </c>
      <c r="R285" s="12">
        <f>MIN(INDEX(其他调用!$AH$5:$AH$364,MATCH($K285,其他调用!$AG$5:$AG$364,0),1)/INDEX(其他调用!AL$5:AL$364,MATCH($K285,其他调用!$AG$5:$AG$364,0),0),1)*INDEX(其他调用!AC$5:AC$404,MATCH($K285,其他调用!$X$5:$X$404,0),0)</f>
        <v>3210.630568202062</v>
      </c>
      <c r="S285" s="12">
        <f>求节点(节奏总纲!D$4:D$163,标准城池设计!AC$4:AC$163,$K285)*求节点(节奏总纲!D$4:D$163,攻城基础信息!$AD$5:$AD$164,$K285)</f>
        <v>831824.08650565043</v>
      </c>
      <c r="T285" s="12">
        <f>INDEX(其他调用!$AA$5:$AA$404,MATCH($K285,其他调用!$X$5:$X$404,0))*MIN(INDEX(其他调用!AI$5:AI$364,MATCH($K285,其他调用!$AG$5:$AG$364,0),1)/INDEX(其他调用!$AJ$5:$AJ$364,MATCH($K285,其他调用!$AG$5:$AG$364,0),0),5)*求节点(节奏总纲!D$4:D$163,攻城基础信息!$AD$5:$AD$164,$K285)</f>
        <v>91205.054468636663</v>
      </c>
      <c r="U285" s="12">
        <f>MIN(INDEX(其他调用!$AI$5:$AI$364,MATCH($K285,其他调用!$AG$5:$AG$364,0),1)/INDEX(其他调用!AH$5:AH$364,MATCH($K285,其他调用!$AG$5:$AG$364,0),0),1)*INDEX(其他调用!Y$5:Y$404,MATCH($K285,其他调用!$X$5:$X$404,0),0)</f>
        <v>42075.502855125786</v>
      </c>
      <c r="V285" s="12">
        <f>MIN(INDEX(其他调用!$AI$5:$AI$364,MATCH($K285,其他调用!$AG$5:$AG$364,0),1)/INDEX(其他调用!AI$5:AI$364,MATCH($K285,其他调用!$AG$5:$AG$364,0),0),1)*INDEX(其他调用!Z$5:Z$404,MATCH($K285,其他调用!$X$5:$X$404,0),0)</f>
        <v>43230.513671067849</v>
      </c>
      <c r="W285" s="12">
        <f>MIN(INDEX(其他调用!$AI$5:$AI$364,MATCH($K285,其他调用!$AG$5:$AG$364,0),1)/INDEX(其他调用!AJ$5:AJ$364,MATCH($K285,其他调用!$AG$5:$AG$364,0),0),1)*INDEX(其他调用!AA$5:AA$404,MATCH($K285,其他调用!$X$5:$X$404,0),0)</f>
        <v>26058.586991039061</v>
      </c>
      <c r="X285" s="12">
        <f>MIN(INDEX(其他调用!$AI$5:$AI$364,MATCH($K285,其他调用!$AG$5:$AG$364,0),1)/INDEX(其他调用!AK$5:AK$364,MATCH($K285,其他调用!$AG$5:$AG$364,0),0),1)*INDEX(其他调用!AB$5:AB$404,MATCH($K285,其他调用!$X$5:$X$404,0),0)</f>
        <v>9566.2212677131884</v>
      </c>
      <c r="Y285" s="12">
        <f>MIN(INDEX(其他调用!$AI$5:$AI$364,MATCH($K285,其他调用!$AG$5:$AG$364,0),1)/INDEX(其他调用!AL$5:AL$364,MATCH($K285,其他调用!$AG$5:$AG$364,0),0),1)*INDEX(其他调用!AC$5:AC$404,MATCH($K285,其他调用!$X$5:$X$404,0),0)</f>
        <v>5456.5862211793346</v>
      </c>
      <c r="Z285" s="12">
        <f>求节点(节奏总纲!D$4:D$163,标准城池设计!AD$4:AD$163,$K285)*求节点(节奏总纲!D$4:D$163,攻城基础信息!$AE$5:$AE$164,$K285)</f>
        <v>909581.33776219201</v>
      </c>
      <c r="AA285" s="12">
        <f>INDEX(其他调用!$AA$5:$AA$404,MATCH($K285,其他调用!$X$5:$X$404,0))*MIN(INDEX(其他调用!AJ$5:AJ$364,MATCH($K285,其他调用!$AG$5:$AG$364,0),1)/INDEX(其他调用!$AJ$5:$AJ$364,MATCH($K285,其他调用!$AG$5:$AG$364,0),0),5)*求节点(节奏总纲!D$4:D$163,攻城基础信息!$AE$5:$AE$164,$K285)</f>
        <v>156639.01776402909</v>
      </c>
      <c r="AB285" s="12">
        <f>MIN(INDEX(其他调用!$AJ$5:$AJ$364,MATCH($K285,其他调用!$AG$5:$AG$364,0),1)/INDEX(其他调用!AH$5:AH$364,MATCH($K285,其他调用!$AG$5:$AG$364,0),0),1)*INDEX(其他调用!Y$5:Y$404,MATCH($K285,其他调用!$X$5:$X$404,0),0)</f>
        <v>42075.502855125786</v>
      </c>
      <c r="AC285" s="12">
        <f>MIN(INDEX(其他调用!$AJ$5:$AJ$364,MATCH($K285,其他调用!$AG$5:$AG$364,0),1)/INDEX(其他调用!AI$5:AI$364,MATCH($K285,其他调用!$AG$5:$AG$364,0),0),1)*INDEX(其他调用!Z$5:Z$404,MATCH($K285,其他调用!$X$5:$X$404,0),0)</f>
        <v>43230.513671067849</v>
      </c>
      <c r="AD285" s="12">
        <f>MIN(INDEX(其他调用!$AJ$5:$AJ$364,MATCH($K285,其他调用!$AG$5:$AG$364,0),1)/INDEX(其他调用!AJ$5:AJ$364,MATCH($K285,其他调用!$AG$5:$AG$364,0),0),1)*INDEX(其他调用!AA$5:AA$404,MATCH($K285,其他调用!$X$5:$X$404,0),0)</f>
        <v>44754.005075436915</v>
      </c>
      <c r="AE285" s="12">
        <f>MIN(INDEX(其他调用!$AJ$5:$AJ$364,MATCH($K285,其他调用!$AG$5:$AG$364,0),1)/INDEX(其他调用!AK$5:AK$364,MATCH($K285,其他调用!$AG$5:$AG$364,0),0),1)*INDEX(其他调用!AB$5:AB$404,MATCH($K285,其他调用!$X$5:$X$404,0),0)</f>
        <v>16429.391022437685</v>
      </c>
      <c r="AF285" s="12">
        <f>MIN(INDEX(其他调用!$AJ$5:$AJ$364,MATCH($K285,其他调用!$AG$5:$AG$364,0),1)/INDEX(其他调用!AL$5:AL$364,MATCH($K285,其他调用!$AG$5:$AG$364,0),0),1)*INDEX(其他调用!AC$5:AC$404,MATCH($K285,其他调用!$X$5:$X$404,0),0)</f>
        <v>9371.3480136584203</v>
      </c>
      <c r="AG285" s="12">
        <f>求节点(节奏总纲!D$4:D$163,标准城池设计!AE$4:AE$163,$K285)*求节点(节奏总纲!D$4:D$163,攻城基础信息!$AF$5:$AF$164,$K285)</f>
        <v>1098707.729638532</v>
      </c>
      <c r="AH285" s="12">
        <f>INDEX(其他调用!$AA$5:$AA$404,MATCH($K285,其他调用!$X$5:$X$404,0))*MIN(INDEX(其他调用!AK$5:AK$364,MATCH($K285,其他调用!$AG$5:$AG$364,0),1)/INDEX(其他调用!$AJ$5:$AJ$364,MATCH($K285,其他调用!$AG$5:$AG$364,0),0),5)*求节点(节奏总纲!D$4:D$163,攻城基础信息!$AF$5:$AF$164,$K285)</f>
        <v>448181.73244954844</v>
      </c>
      <c r="AI285" s="12">
        <f>MIN(INDEX(其他调用!$AK$5:$AK$364,MATCH($K285,其他调用!$AG$5:$AG$364,0),1)/INDEX(其他调用!AH$5:AH$364,MATCH($K285,其他调用!$AG$5:$AG$364,0),0),1)*INDEX(其他调用!Y$5:Y$404,MATCH($K285,其他调用!$X$5:$X$404,0),0)</f>
        <v>42075.502855125786</v>
      </c>
      <c r="AJ285" s="12">
        <f>MIN(INDEX(其他调用!$AK$5:$AK$364,MATCH($K285,其他调用!$AG$5:$AG$364,0),1)/INDEX(其他调用!AI$5:AI$364,MATCH($K285,其他调用!$AG$5:$AG$364,0),0),1)*INDEX(其他调用!Z$5:Z$404,MATCH($K285,其他调用!$X$5:$X$404,0),0)</f>
        <v>43230.513671067849</v>
      </c>
      <c r="AK285" s="12">
        <f>MIN(INDEX(其他调用!$AK$5:$AK$364,MATCH($K285,其他调用!$AG$5:$AG$364,0),1)/INDEX(其他调用!AJ$5:AJ$364,MATCH($K285,其他调用!$AG$5:$AG$364,0),0),1)*INDEX(其他调用!AA$5:AA$404,MATCH($K285,其他调用!$X$5:$X$404,0),0)</f>
        <v>44754.005075436915</v>
      </c>
      <c r="AL285" s="12">
        <f>MIN(INDEX(其他调用!$AK$5:$AK$364,MATCH($K285,其他调用!$AG$5:$AG$364,0),1)/INDEX(其他调用!AK$5:AK$364,MATCH($K285,其他调用!$AG$5:$AG$364,0),0),1)*INDEX(其他调用!AB$5:AB$404,MATCH($K285,其他调用!$X$5:$X$404,0),0)</f>
        <v>47008.421251847984</v>
      </c>
      <c r="AM285" s="12">
        <f>MIN(INDEX(其他调用!$AK$5:$AK$364,MATCH($K285,其他调用!$AG$5:$AG$364,0),1)/INDEX(其他调用!AL$5:AL$364,MATCH($K285,其他调用!$AG$5:$AG$364,0),0),1)*INDEX(其他调用!AC$5:AC$404,MATCH($K285,其他调用!$X$5:$X$404,0),0)</f>
        <v>26813.670361980381</v>
      </c>
      <c r="AN285" s="12">
        <f>求节点(节奏总纲!D$4:D$163,标准城池设计!AF$4:AF$163,$K285)*求节点(节奏总纲!D$4:D$163,攻城基础信息!$AG$5:$AG$164,$K285)</f>
        <v>1149892.8044500023</v>
      </c>
      <c r="AO285" s="12">
        <f>INDEX(其他调用!$AA$5:$AA$404,MATCH($K285,其他调用!$X$5:$X$404,0))*MIN(INDEX(其他调用!AL$5:AL$364,MATCH($K285,其他调用!$AG$5:$AG$364,0),1)/INDEX(其他调用!$AJ$5:$AJ$364,MATCH($K285,其他调用!$AG$5:$AG$364,0),0),5)*求节点(节奏总纲!D$4:D$163,攻城基础信息!$AG$5:$AG$164,$K285)</f>
        <v>783195.08882014547</v>
      </c>
      <c r="AP285" s="12">
        <f>MIN(INDEX(其他调用!$AL$5:$AL$364,MATCH($K285,其他调用!$AG$5:$AG$364,0),1)/INDEX(其他调用!AH$5:AH$364,MATCH($K285,其他调用!$AG$5:$AG$364,0),0),1)*INDEX(其他调用!Y$5:Y$404,MATCH($K285,其他调用!$X$5:$X$404,0),0)</f>
        <v>42075.502855125786</v>
      </c>
      <c r="AQ285" s="12">
        <f>MIN(INDEX(其他调用!$AL$5:$AL$364,MATCH($K285,其他调用!$AG$5:$AG$364,0),1)/INDEX(其他调用!AI$5:AI$364,MATCH($K285,其他调用!$AG$5:$AG$364,0),0),1)*INDEX(其他调用!Z$5:Z$404,MATCH($K285,其他调用!$X$5:$X$404,0),0)</f>
        <v>43230.513671067849</v>
      </c>
      <c r="AR285" s="12">
        <f>MIN(INDEX(其他调用!$AL$5:$AL$364,MATCH($K285,其他调用!$AG$5:$AG$364,0),1)/INDEX(其他调用!AJ$5:AJ$364,MATCH($K285,其他调用!$AG$5:$AG$364,0),0),1)*INDEX(其他调用!AA$5:AA$404,MATCH($K285,其他调用!$X$5:$X$404,0),0)</f>
        <v>44754.005075436915</v>
      </c>
      <c r="AS285" s="12">
        <f>MIN(INDEX(其他调用!$AL$5:$AL$364,MATCH($K285,其他调用!$AG$5:$AG$364,0),1)/INDEX(其他调用!AK$5:AK$364,MATCH($K285,其他调用!$AG$5:$AG$364,0),0),1)*INDEX(其他调用!AB$5:AB$404,MATCH($K285,其他调用!$X$5:$X$404,0),0)</f>
        <v>47008.421251847984</v>
      </c>
      <c r="AT285" s="12">
        <f>MIN(INDEX(其他调用!$AL$5:$AL$364,MATCH($K285,其他调用!$AG$5:$AG$364,0),1)/INDEX(其他调用!AL$5:AL$364,MATCH($K285,其他调用!$AG$5:$AG$364,0),0),1)*INDEX(其他调用!AC$5:AC$404,MATCH($K285,其他调用!$X$5:$X$404,0),0)</f>
        <v>50898.414605121943</v>
      </c>
      <c r="AV285" s="14">
        <f>IF(OR(AV$5="大R",AV$5="超R"),MAX(INDEX(其他调用!$H$5:$L$404,MATCH($K285,其他调用!$B$5:$B$404,0),MATCH(AV$5,其他调用!$H$4:$L$4,0))*120*0.85,2),INDEX(其他调用!$H$5:$L$404,MATCH($K285,其他调用!$B$5:$B$404,0),MATCH(AV$5,其他调用!$H$4:$L$4,0))*120*0.85)</f>
        <v>48.921801254999991</v>
      </c>
      <c r="AW285" s="14">
        <f>IF(OR(AW$5="大R",AW$5="超R"),MAX(INDEX(其他调用!$H$5:$L$404,MATCH($K285,其他调用!$B$5:$B$404,0),MATCH(AW$5,其他调用!$H$4:$L$4,0))*120*0.85,2),INDEX(其他调用!$H$5:$L$404,MATCH($K285,其他调用!$B$5:$B$404,0),MATCH(AW$5,其他调用!$H$4:$L$4,0))*120*0.85)</f>
        <v>48.237344010638395</v>
      </c>
      <c r="AX285" s="14">
        <f>IF(OR(AX$5="大R",AX$5="超R"),MAX(INDEX(其他调用!$H$5:$L$404,MATCH($K285,其他调用!$B$5:$B$404,0),MATCH(AX$5,其他调用!$H$4:$L$4,0))*120*0.85,2),INDEX(其他调用!$H$5:$L$404,MATCH($K285,其他调用!$B$5:$B$404,0),MATCH(AX$5,其他调用!$H$4:$L$4,0))*120*0.85)</f>
        <v>3.9376284143615998</v>
      </c>
      <c r="AY285" s="14">
        <f>IF(OR(AY$5="大R",AY$5="超R"),MAX(INDEX(其他调用!$H$5:$L$404,MATCH($K285,其他调用!$B$5:$B$404,0),MATCH(AY$5,其他调用!$H$4:$L$4,0))*120*0.85,2),INDEX(其他调用!$H$5:$L$404,MATCH($K285,其他调用!$B$5:$B$404,0),MATCH(AY$5,其他调用!$H$4:$L$4,0))*120*0.85)</f>
        <v>2</v>
      </c>
      <c r="AZ285" s="14">
        <f>IF(OR(AZ$5="大R",AZ$5="超R"),MAX(INDEX(其他调用!$H$5:$L$404,MATCH($K285,其他调用!$B$5:$B$404,0),MATCH(AZ$5,其他调用!$H$4:$L$4,0))*120*0.85,2),INDEX(其他调用!$H$5:$L$404,MATCH($K285,其他调用!$B$5:$B$404,0),MATCH(AZ$5,其他调用!$H$4:$L$4,0))*120*0.85)</f>
        <v>2</v>
      </c>
      <c r="BA285" s="14">
        <f>INDEX(其他调用!$H$5:$L$404,MATCH($K285,其他调用!$B$5:$B$404,0),MATCH(BA$5,其他调用!$H$4:$L$4,0))*INDEX(其他调用!$M$5:$M$404,MATCH($K285,其他调用!$B$5:$B$404,0))*0.6</f>
        <v>28.777530149999997</v>
      </c>
      <c r="BB285" s="14">
        <f>INDEX(其他调用!$H$5:$L$404,MATCH($K285,其他调用!$B$5:$B$404,0),MATCH(BB$5,其他调用!$H$4:$L$4,0))*INDEX(其他调用!$M$5:$M$404,MATCH($K285,其他调用!$B$5:$B$404,0))*0.6</f>
        <v>28.374908241551999</v>
      </c>
      <c r="BC285" s="14">
        <f>INDEX(其他调用!$H$5:$L$404,MATCH($K285,其他调用!$B$5:$B$404,0),MATCH(BC$5,其他调用!$H$4:$L$4,0))*INDEX(其他调用!$M$5:$M$404,MATCH($K285,其他调用!$B$5:$B$404,0))*0.6</f>
        <v>2.3162520084480001</v>
      </c>
      <c r="BD285" s="14">
        <f>INDEX(其他调用!$H$5:$L$404,MATCH($K285,其他调用!$B$5:$B$404,0),MATCH(BD$5,其他调用!$H$4:$L$4,0))*INDEX(其他调用!$M$5:$M$404,MATCH($K285,其他调用!$B$5:$B$404,0))*0.6</f>
        <v>0.4120776000000001</v>
      </c>
      <c r="BE285" s="14">
        <f>INDEX(其他调用!$H$5:$L$404,MATCH($K285,其他调用!$B$5:$B$404,0),MATCH(BE$5,其他调用!$H$4:$L$4,0))*INDEX(其他调用!$M$5:$M$404,MATCH($K285,其他调用!$B$5:$B$404,0))*0.6</f>
        <v>0.11923199999999998</v>
      </c>
      <c r="BF285" s="14">
        <f>IF(OR(BF$5="大R",BF$5="超R"),0,INDEX(其他调用!$H$5:$L$404,MATCH($K285,其他调用!$B$5:$B$404,0),MATCH(BF$5,其他调用!$H$4:$L$4,0))*50*0.4)</f>
        <v>9.5925100500000013</v>
      </c>
      <c r="BG285" s="14">
        <f>IF(OR(BG$5="大R",BG$5="超R"),0,INDEX(其他调用!$H$5:$L$404,MATCH($K285,其他调用!$B$5:$B$404,0),MATCH(BG$5,其他调用!$H$4:$L$4,0))*50*0.4)</f>
        <v>9.4583027471839998</v>
      </c>
      <c r="BH285" s="14">
        <f>IF(OR(BH$5="大R",BH$5="超R"),0,INDEX(其他调用!$H$5:$L$404,MATCH($K285,其他调用!$B$5:$B$404,0),MATCH(BH$5,其他调用!$H$4:$L$4,0))*50*0.4)</f>
        <v>0.77208400281600009</v>
      </c>
      <c r="BI285" s="14">
        <f>IF(OR(BI$5="大R",BI$5="超R"),0,INDEX(其他调用!$H$5:$L$404,MATCH($K285,其他调用!$B$5:$B$404,0),MATCH(BI$5,其他调用!$H$4:$L$4,0))*50*0.4)</f>
        <v>0</v>
      </c>
      <c r="BJ285" s="14">
        <f>IF(OR(BJ$5="大R",BJ$5="超R"),0,INDEX(其他调用!$H$5:$L$404,MATCH($K285,其他调用!$B$5:$B$404,0),MATCH(BJ$5,其他调用!$H$4:$L$4,0))*50*0.4)</f>
        <v>0</v>
      </c>
      <c r="BL285" s="14">
        <f t="shared" si="523"/>
        <v>280</v>
      </c>
      <c r="BM285" s="14">
        <f t="shared" si="430"/>
        <v>96</v>
      </c>
      <c r="BN285" s="14">
        <f>('疲劳值&amp;地图信息'!$S$10*'疲劳值&amp;地图信息'!$R$10+'疲劳值&amp;地图信息'!$S$11*'疲劳值&amp;地图信息'!$R$11+'疲劳值&amp;地图信息'!$S$12*'疲劳值&amp;地图信息'!$R$12+(BM285-'疲劳值&amp;地图信息'!$S$12-'疲劳值&amp;地图信息'!$S$11-'疲劳值&amp;地图信息'!$S$10)*'疲劳值&amp;地图信息'!$R$13)/BM285</f>
        <v>51.371477246638619</v>
      </c>
      <c r="BO285" s="14">
        <f>INDEX(其他调用!$M$5:$M$404,MATCH(BL285,其他调用!$B$5:$B$404,0))*0.6</f>
        <v>60</v>
      </c>
      <c r="BP285" s="14">
        <f>IF(BO285&gt;SUM('疲劳值&amp;地图信息'!$S$10:$S$12),('疲劳值&amp;地图信息'!$S$10*'疲劳值&amp;地图信息'!$R$10+'疲劳值&amp;地图信息'!$S$11*'疲劳值&amp;地图信息'!$R$11+'疲劳值&amp;地图信息'!$S$12*'疲劳值&amp;地图信息'!$R$12+(BO285-'疲劳值&amp;地图信息'!$S$12-'疲劳值&amp;地图信息'!$S$11-'疲劳值&amp;地图信息'!$S$10)*'疲劳值&amp;地图信息'!$R$13)/BO285,('疲劳值&amp;地图信息'!$S$10*'疲劳值&amp;地图信息'!$R$10+'疲劳值&amp;地图信息'!$S$11*'疲劳值&amp;地图信息'!$R$11+'疲劳值&amp;地图信息'!$S$12*'疲劳值&amp;地图信息'!$R$12+(BO285-'疲劳值&amp;地图信息'!$S$12-'疲劳值&amp;地图信息'!$S$11-'疲劳值&amp;地图信息'!$S$10)*'疲劳值&amp;地图信息'!$R$13)/BO285)</f>
        <v>44.158136341605953</v>
      </c>
      <c r="BQ285" s="14">
        <f t="shared" si="524"/>
        <v>20</v>
      </c>
      <c r="BR285" s="14">
        <f>('疲劳值&amp;地图信息'!$S$10*'疲劳值&amp;地图信息'!$R$10+($BQ285-'疲劳值&amp;地图信息'!$S$10)*'疲劳值&amp;地图信息'!$R$11)/$BQ285</f>
        <v>32.067203015074995</v>
      </c>
      <c r="CF285" s="14">
        <v>280</v>
      </c>
      <c r="CG285" s="51">
        <f t="shared" si="431"/>
        <v>15510</v>
      </c>
      <c r="CH285" s="51">
        <f t="shared" si="432"/>
        <v>1093</v>
      </c>
      <c r="CI285" s="51">
        <f>INT(SUMPRODUCT($N285:$R285,$BA285:$BE285)/SUM($BA285:$BE285)/10000*$BX$7*$BZ$34/'疲劳值&amp;地图信息'!$R$10*$BY$53)</f>
        <v>3332</v>
      </c>
      <c r="CJ285" s="50">
        <f t="shared" si="433"/>
        <v>0.77802859292701276</v>
      </c>
      <c r="CK285" s="50">
        <f t="shared" si="434"/>
        <v>5.4828191622774018E-2</v>
      </c>
      <c r="CL285" s="50">
        <f t="shared" si="435"/>
        <v>0.16714321545021318</v>
      </c>
      <c r="CM285" s="14">
        <f t="shared" si="436"/>
        <v>16953</v>
      </c>
      <c r="CN285" s="14">
        <f t="shared" si="437"/>
        <v>1858</v>
      </c>
      <c r="CO285" s="14">
        <f>INT(SUMPRODUCT($U285:$Y285,$BA285:$BE285)/SUM($BA285:$BE285)/10000*$BX$7*$BZ$34/'疲劳值&amp;地图信息'!$R$10*$BY$54)</f>
        <v>6347</v>
      </c>
      <c r="CP285" s="50">
        <f t="shared" si="438"/>
        <v>0.67386119723348437</v>
      </c>
      <c r="CQ285" s="50">
        <f t="shared" si="439"/>
        <v>7.3853247475951983E-2</v>
      </c>
      <c r="CR285" s="50">
        <f t="shared" si="440"/>
        <v>0.25228555529056362</v>
      </c>
      <c r="CS285" s="14">
        <f t="shared" si="441"/>
        <v>18538</v>
      </c>
      <c r="CT285" s="14">
        <f t="shared" si="442"/>
        <v>3192</v>
      </c>
      <c r="CU285" s="14">
        <f>INT(SUMPRODUCT($AB285:$AF285,$BA285:$BE285)/SUM($BA285:$BE285)/10000*$BX$7*$BZ$34/'疲劳值&amp;地图信息'!$R$10*$BY$55)</f>
        <v>8621</v>
      </c>
      <c r="CV285" s="50">
        <f t="shared" si="443"/>
        <v>0.61078712398273538</v>
      </c>
      <c r="CW285" s="50">
        <f t="shared" si="444"/>
        <v>0.10516951665513492</v>
      </c>
      <c r="CX285" s="50">
        <f t="shared" si="445"/>
        <v>0.28404335936212977</v>
      </c>
      <c r="CY285" s="14">
        <f t="shared" si="446"/>
        <v>22393</v>
      </c>
      <c r="CZ285" s="14">
        <f t="shared" si="447"/>
        <v>9134</v>
      </c>
      <c r="DA285" s="14">
        <f>INT(SUMPRODUCT($AI285:$AM285,$BA285:$BE285)/SUM($BA285:$BE285)/10000*$BX$7*$BZ$34/'疲劳值&amp;地图信息'!$R$10*$BY$56)</f>
        <v>13006</v>
      </c>
      <c r="DB285" s="50">
        <f t="shared" si="448"/>
        <v>0.50284059012417759</v>
      </c>
      <c r="DC285" s="50">
        <f t="shared" si="449"/>
        <v>0.20510632564615006</v>
      </c>
      <c r="DD285" s="50">
        <f t="shared" si="450"/>
        <v>0.29205308422967236</v>
      </c>
      <c r="DE285" s="14">
        <f t="shared" si="451"/>
        <v>23436</v>
      </c>
      <c r="DF285" s="14">
        <f t="shared" si="452"/>
        <v>15962</v>
      </c>
      <c r="DG285" s="14">
        <f>INT(SUMPRODUCT($AP285:$AT285,$BA285:$BE285)/SUM($BA285:$BE285)/10000*$BX$7*$BZ$34/'疲劳值&amp;地图信息'!$R$10*$BY$57)</f>
        <v>17361</v>
      </c>
      <c r="DH285" s="50">
        <f t="shared" si="453"/>
        <v>0.41290368047358128</v>
      </c>
      <c r="DI285" s="50">
        <f t="shared" si="454"/>
        <v>0.2812241230465653</v>
      </c>
      <c r="DJ285" s="50">
        <f t="shared" si="455"/>
        <v>0.30587219647985342</v>
      </c>
      <c r="DL285" s="14">
        <f t="shared" si="526"/>
        <v>19935</v>
      </c>
      <c r="DM285" s="14">
        <f t="shared" si="527"/>
        <v>25158</v>
      </c>
      <c r="DN285" s="14">
        <f t="shared" si="528"/>
        <v>30351</v>
      </c>
      <c r="DO285" s="14">
        <f t="shared" si="529"/>
        <v>44533</v>
      </c>
      <c r="DP285" s="14">
        <f t="shared" si="530"/>
        <v>56759</v>
      </c>
      <c r="DQ285" s="14">
        <f t="shared" si="531"/>
        <v>1382955</v>
      </c>
      <c r="DT285" s="14">
        <f t="shared" si="525"/>
        <v>235575</v>
      </c>
      <c r="DU285" s="50">
        <f t="shared" si="427"/>
        <v>0.14554873867027487</v>
      </c>
      <c r="DW285" s="14">
        <f t="shared" si="456"/>
        <v>1618530</v>
      </c>
      <c r="EB285" s="14">
        <v>280</v>
      </c>
      <c r="EC285" s="51">
        <f t="shared" si="457"/>
        <v>25850</v>
      </c>
      <c r="ED285" s="51">
        <f t="shared" si="458"/>
        <v>1822</v>
      </c>
      <c r="EE285" s="51">
        <f>INT(SUMPRODUCT($N285:$R285,$BF285:$BJ285)/SUM($BF285:$BJ285)/10000*$BX$7*$BZ$46/'疲劳值&amp;地图信息'!$R$10*$BY$53)</f>
        <v>447</v>
      </c>
      <c r="EF285" s="50">
        <f t="shared" si="459"/>
        <v>0.91930722998684167</v>
      </c>
      <c r="EG285" s="50">
        <f t="shared" si="460"/>
        <v>6.4796045378569644E-2</v>
      </c>
      <c r="EH285" s="50">
        <f t="shared" si="461"/>
        <v>1.5896724634588712E-2</v>
      </c>
      <c r="EI285" s="51">
        <f t="shared" si="462"/>
        <v>28256</v>
      </c>
      <c r="EJ285" s="51">
        <f t="shared" si="463"/>
        <v>3098</v>
      </c>
      <c r="EK285" s="14">
        <f>INT(SUMPRODUCT($U285:$Y285,$BF285:$BJ285)/SUM($BF285:$BJ285)/10000*$BX$7*$BZ$46/'疲劳值&amp;地图信息'!$R$10*$BY$54)</f>
        <v>852</v>
      </c>
      <c r="EL285" s="50">
        <f t="shared" si="464"/>
        <v>0.8773520462025709</v>
      </c>
      <c r="EM285" s="50">
        <f t="shared" si="465"/>
        <v>9.6193255915046891E-2</v>
      </c>
      <c r="EN285" s="50">
        <f t="shared" si="466"/>
        <v>2.6454697882382163E-2</v>
      </c>
      <c r="EO285" s="51">
        <f t="shared" si="467"/>
        <v>30897</v>
      </c>
      <c r="EP285" s="51">
        <f t="shared" si="468"/>
        <v>5320</v>
      </c>
      <c r="EQ285" s="14">
        <f>INT(SUMPRODUCT($AB285:$AF285,$BF285:$BJ285)/SUM($BF285:$BJ285)/10000*$BX$7*$BZ$46/'疲劳值&amp;地图信息'!$R$10*$BY$55)</f>
        <v>1156</v>
      </c>
      <c r="ER285" s="50">
        <f t="shared" si="469"/>
        <v>0.82671982447221259</v>
      </c>
      <c r="ES285" s="50">
        <f t="shared" si="470"/>
        <v>0.14234875444839859</v>
      </c>
      <c r="ET285" s="50">
        <f t="shared" si="471"/>
        <v>3.0931421079388864E-2</v>
      </c>
      <c r="EU285" s="51">
        <f t="shared" si="472"/>
        <v>37321</v>
      </c>
      <c r="EV285" s="51">
        <f t="shared" si="473"/>
        <v>15224</v>
      </c>
      <c r="EW285" s="14">
        <f>INT(SUMPRODUCT($AI285:$AM285,$BF285:$BJ285)/SUM($BF285:$BJ285)/10000*$BX$7*$BZ$46/'疲劳值&amp;地图信息'!$R$10*$BY$56)</f>
        <v>1734</v>
      </c>
      <c r="EX285" s="50">
        <f t="shared" si="474"/>
        <v>0.68757714769984712</v>
      </c>
      <c r="EY285" s="50">
        <f t="shared" si="475"/>
        <v>0.28047679581421914</v>
      </c>
      <c r="EZ285" s="50">
        <f t="shared" si="476"/>
        <v>3.1946056485933787E-2</v>
      </c>
      <c r="FA285" s="51">
        <f t="shared" si="477"/>
        <v>39060</v>
      </c>
      <c r="FB285" s="51">
        <f t="shared" si="478"/>
        <v>26604</v>
      </c>
      <c r="FC285" s="14">
        <f>INT(SUMPRODUCT($AP285:$AT285,$BF285:$BJ285)/SUM($BF285:$BJ285)/10000*$BX$7*$BZ$46/'疲劳值&amp;地图信息'!$R$10*$BY$57)</f>
        <v>2312</v>
      </c>
      <c r="FD285" s="50">
        <f t="shared" si="479"/>
        <v>0.57461456984818171</v>
      </c>
      <c r="FE285" s="50">
        <f t="shared" si="480"/>
        <v>0.39137342591502883</v>
      </c>
      <c r="FF285" s="50">
        <f t="shared" si="481"/>
        <v>3.4012004236789455E-2</v>
      </c>
      <c r="FH285" s="14">
        <f t="shared" si="482"/>
        <v>28119</v>
      </c>
      <c r="FI285" s="14">
        <f t="shared" si="483"/>
        <v>32206</v>
      </c>
      <c r="FJ285" s="14">
        <f t="shared" si="484"/>
        <v>37373</v>
      </c>
      <c r="FK285" s="14">
        <f t="shared" si="485"/>
        <v>54279</v>
      </c>
      <c r="FL285" s="14">
        <f t="shared" si="486"/>
        <v>67976</v>
      </c>
      <c r="FM285" s="14">
        <f t="shared" si="487"/>
        <v>3320835</v>
      </c>
      <c r="FP285" s="14">
        <f t="shared" si="488"/>
        <v>334150</v>
      </c>
      <c r="FQ285" s="50">
        <f t="shared" si="428"/>
        <v>9.1423083815665454E-2</v>
      </c>
      <c r="FS285" s="14">
        <f t="shared" si="489"/>
        <v>3654985</v>
      </c>
      <c r="FX285" s="14">
        <v>280</v>
      </c>
      <c r="FY285" s="51">
        <f t="shared" si="490"/>
        <v>36190</v>
      </c>
      <c r="FZ285" s="51">
        <f t="shared" si="491"/>
        <v>1822</v>
      </c>
      <c r="GA285" s="51">
        <f>INT(SUMPRODUCT($N285:$R285,$BF285:$BJ285)/SUM($BF285:$BJ285)/10000*$BX$7*$BZ$46/'疲劳值&amp;地图信息'!$R$10*$BY$53)</f>
        <v>447</v>
      </c>
      <c r="GB285" s="50">
        <f t="shared" si="492"/>
        <v>0.94100210613900515</v>
      </c>
      <c r="GC285" s="50">
        <f t="shared" si="493"/>
        <v>4.7375126758366054E-2</v>
      </c>
      <c r="GD285" s="50">
        <f t="shared" si="494"/>
        <v>1.1622767102628773E-2</v>
      </c>
      <c r="GE285" s="51">
        <f t="shared" si="495"/>
        <v>39558</v>
      </c>
      <c r="GF285" s="51">
        <f t="shared" si="496"/>
        <v>3098</v>
      </c>
      <c r="GG285" s="14">
        <f>INT(SUMPRODUCT($U285:$Y285,$BF285:$BJ285)/SUM($BF285:$BJ285)/10000*$BX$7*$BZ$46/'疲劳值&amp;地图信息'!$R$10*$BY$54)</f>
        <v>852</v>
      </c>
      <c r="GH285" s="50">
        <f t="shared" si="497"/>
        <v>0.90921209892433574</v>
      </c>
      <c r="GI285" s="50">
        <f t="shared" si="498"/>
        <v>7.1205295577824762E-2</v>
      </c>
      <c r="GJ285" s="50">
        <f t="shared" si="499"/>
        <v>1.9582605497839477E-2</v>
      </c>
      <c r="GK285" s="51">
        <f t="shared" si="500"/>
        <v>43256</v>
      </c>
      <c r="GL285" s="51">
        <f t="shared" si="501"/>
        <v>5320</v>
      </c>
      <c r="GM285" s="14">
        <f>INT(SUMPRODUCT($AB285:$AF285,$BF285:$BJ285)/SUM($BF285:$BJ285)/10000*$BX$7*$BZ$46/'疲劳值&amp;地图信息'!$R$10*$BY$55)</f>
        <v>1156</v>
      </c>
      <c r="GN285" s="50">
        <f t="shared" si="502"/>
        <v>0.86978203168985768</v>
      </c>
      <c r="GO285" s="50">
        <f t="shared" si="503"/>
        <v>0.10697337730234055</v>
      </c>
      <c r="GP285" s="50">
        <f t="shared" si="504"/>
        <v>2.3244591007801817E-2</v>
      </c>
      <c r="GQ285" s="51">
        <f t="shared" si="505"/>
        <v>52250</v>
      </c>
      <c r="GR285" s="51">
        <f t="shared" si="506"/>
        <v>15224</v>
      </c>
      <c r="GS285" s="14">
        <f>INT(SUMPRODUCT($AI285:$AM285,$BF285:$BJ285)/SUM($BF285:$BJ285)/10000*$BX$7*$BZ$46/'疲劳值&amp;地图信息'!$R$10*$BY$56)</f>
        <v>1734</v>
      </c>
      <c r="GT285" s="50">
        <f t="shared" si="507"/>
        <v>0.75497052363888573</v>
      </c>
      <c r="GU285" s="50">
        <f t="shared" si="508"/>
        <v>0.21997456941394058</v>
      </c>
      <c r="GV285" s="50">
        <f t="shared" si="509"/>
        <v>2.5054906947173737E-2</v>
      </c>
      <c r="GW285" s="51">
        <f t="shared" si="510"/>
        <v>54684</v>
      </c>
      <c r="GX285" s="51">
        <f t="shared" si="511"/>
        <v>26604</v>
      </c>
      <c r="GY285" s="14">
        <f>INT(SUMPRODUCT($AP285:$AT285,$BF285:$BJ285)/SUM($BF285:$BJ285)/10000*$BX$7*$BZ$46/'疲劳值&amp;地图信息'!$R$10*$BY$57)</f>
        <v>2312</v>
      </c>
      <c r="GZ285" s="50">
        <f t="shared" si="512"/>
        <v>0.6541148325358852</v>
      </c>
      <c r="HA285" s="50">
        <f t="shared" si="513"/>
        <v>0.31822966507177036</v>
      </c>
      <c r="HB285" s="50">
        <f t="shared" si="514"/>
        <v>2.7655502392344499E-2</v>
      </c>
      <c r="HD285" s="14">
        <f t="shared" si="515"/>
        <v>38459</v>
      </c>
      <c r="HE285" s="14">
        <f t="shared" si="516"/>
        <v>43508</v>
      </c>
      <c r="HF285" s="14">
        <f t="shared" si="517"/>
        <v>49732</v>
      </c>
      <c r="HG285" s="14">
        <f t="shared" si="518"/>
        <v>69208</v>
      </c>
      <c r="HH285" s="14">
        <f t="shared" si="519"/>
        <v>83600</v>
      </c>
      <c r="HI285" s="14">
        <f t="shared" si="520"/>
        <v>4481636</v>
      </c>
      <c r="HL285" s="14">
        <f t="shared" si="521"/>
        <v>430050</v>
      </c>
      <c r="HM285" s="50">
        <f t="shared" si="429"/>
        <v>8.7556492821405929E-2</v>
      </c>
      <c r="HO285" s="14">
        <f t="shared" si="522"/>
        <v>4911686</v>
      </c>
    </row>
    <row r="286" spans="11:223" x14ac:dyDescent="0.2">
      <c r="K286" s="14">
        <v>281</v>
      </c>
      <c r="L286" s="12">
        <f>求节点(节奏总纲!D$4:D$163,标准城池设计!AB$4:AB$163,$K286)*求节点(节奏总纲!D$4:D$163,攻城基础信息!$AC$5:$AC$164,$K286)</f>
        <v>762157.72000820504</v>
      </c>
      <c r="M286" s="12">
        <f>INDEX(其他调用!$AA$5:$AA$404,MATCH(K286,其他调用!$X$5:$X$404,0))*MIN(INDEX(其他调用!$AH$5:$AH$364,MATCH('征服点（新）'!K286,其他调用!$AG$5:$AG$364,0),1)/INDEX(其他调用!$AJ$5:$AJ$364,MATCH(K286,其他调用!$AG$5:$AG$364,0),0),5)*求节点(节奏总纲!D$4:D$163,攻城基础信息!$AC$5:$AC$164,$K286)</f>
        <v>53658.028394779692</v>
      </c>
      <c r="N286" s="12">
        <f>MIN(INDEX(其他调用!$AH$5:$AH$364,MATCH($K286,其他调用!$AG$5:$AG$364,0),1)/INDEX(其他调用!AH$5:AH$364,MATCH($K286,其他调用!$AG$5:$AG$364,0),0),1)*INDEX(其他调用!Y$5:Y$404,MATCH($K286,其他调用!$X$5:$X$404,0),0)</f>
        <v>42095.814163513205</v>
      </c>
      <c r="O286" s="12">
        <f>MIN(INDEX(其他调用!$AH$5:$AH$364,MATCH($K286,其他调用!$AG$5:$AG$364,0),1)/INDEX(其他调用!AI$5:AI$364,MATCH($K286,其他调用!$AG$5:$AG$364,0),0),1)*INDEX(其他调用!Z$5:Z$404,MATCH($K286,其他调用!$X$5:$X$404,0),0)</f>
        <v>25447.728737753128</v>
      </c>
      <c r="P286" s="12">
        <f>MIN(INDEX(其他调用!$AH$5:$AH$364,MATCH($K286,其他调用!$AG$5:$AG$364,0),1)/INDEX(其他调用!AJ$5:AJ$364,MATCH($K286,其他调用!$AG$5:$AG$364,0),0),1)*INDEX(其他调用!AA$5:AA$404,MATCH($K286,其他调用!$X$5:$X$404,0),0)</f>
        <v>15330.86525565135</v>
      </c>
      <c r="Q286" s="12">
        <f>MIN(INDEX(其他调用!$AH$5:$AH$364,MATCH($K286,其他调用!$AG$5:$AG$364,0),1)/INDEX(其他调用!AK$5:AK$364,MATCH($K286,其他调用!$AG$5:$AG$364,0),0),1)*INDEX(其他调用!AB$5:AB$404,MATCH($K286,其他调用!$X$5:$X$404,0),0)</f>
        <v>5636.0364496317161</v>
      </c>
      <c r="R286" s="12">
        <f>MIN(INDEX(其他调用!$AH$5:$AH$364,MATCH($K286,其他调用!$AG$5:$AG$364,0),1)/INDEX(其他调用!AL$5:AL$364,MATCH($K286,其他调用!$AG$5:$AG$364,0),0),1)*INDEX(其他调用!AC$5:AC$404,MATCH($K286,其他调用!$X$5:$X$404,0),0)</f>
        <v>3219.7757848570996</v>
      </c>
      <c r="S286" s="12">
        <f>求节点(节奏总纲!D$4:D$163,标准城池设计!AC$4:AC$163,$K286)*求节点(节奏总纲!D$4:D$163,攻城基础信息!$AD$5:$AD$164,$K286)</f>
        <v>833246.83160271053</v>
      </c>
      <c r="T286" s="12">
        <f>INDEX(其他调用!$AA$5:$AA$404,MATCH($K286,其他调用!$X$5:$X$404,0))*MIN(INDEX(其他调用!AI$5:AI$364,MATCH($K286,其他调用!$AG$5:$AG$364,0),1)/INDEX(其他调用!$AJ$5:$AJ$364,MATCH($K286,其他调用!$AG$5:$AG$364,0),0),5)*求节点(节奏总纲!D$4:D$163,攻城基础信息!$AD$5:$AD$164,$K286)</f>
        <v>91197.368931523815</v>
      </c>
      <c r="U286" s="12">
        <f>MIN(INDEX(其他调用!$AI$5:$AI$364,MATCH($K286,其他调用!$AG$5:$AG$364,0),1)/INDEX(其他调用!AH$5:AH$364,MATCH($K286,其他调用!$AG$5:$AG$364,0),0),1)*INDEX(其他调用!Y$5:Y$404,MATCH($K286,其他调用!$X$5:$X$404,0),0)</f>
        <v>42095.814163513205</v>
      </c>
      <c r="V286" s="12">
        <f>MIN(INDEX(其他调用!$AI$5:$AI$364,MATCH($K286,其他调用!$AG$5:$AG$364,0),1)/INDEX(其他调用!AI$5:AI$364,MATCH($K286,其他调用!$AG$5:$AG$364,0),0),1)*INDEX(其他调用!Z$5:Z$404,MATCH($K286,其他调用!$X$5:$X$404,0),0)</f>
        <v>43251.046965266374</v>
      </c>
      <c r="W286" s="12">
        <f>MIN(INDEX(其他调用!$AI$5:$AI$364,MATCH($K286,其他调用!$AG$5:$AG$364,0),1)/INDEX(其他调用!AJ$5:AJ$364,MATCH($K286,其他调用!$AG$5:$AG$364,0),0),1)*INDEX(其他调用!AA$5:AA$404,MATCH($K286,其他调用!$X$5:$X$404,0),0)</f>
        <v>26056.391123292535</v>
      </c>
      <c r="X286" s="12">
        <f>MIN(INDEX(其他调用!$AI$5:$AI$364,MATCH($K286,其他调用!$AG$5:$AG$364,0),1)/INDEX(其他调用!AK$5:AK$364,MATCH($K286,其他调用!$AG$5:$AG$364,0),0),1)*INDEX(其他调用!AB$5:AB$404,MATCH($K286,其他调用!$X$5:$X$404,0),0)</f>
        <v>9579.0268629882194</v>
      </c>
      <c r="Y286" s="12">
        <f>MIN(INDEX(其他调用!$AI$5:$AI$364,MATCH($K286,其他调用!$AG$5:$AG$364,0),1)/INDEX(其他调用!AL$5:AL$364,MATCH($K286,其他调用!$AG$5:$AG$364,0),0),1)*INDEX(其他调用!AC$5:AC$404,MATCH($K286,其他调用!$X$5:$X$404,0),0)</f>
        <v>5472.3419572562407</v>
      </c>
      <c r="Z286" s="12">
        <f>求节点(节奏总纲!D$4:D$163,标准城池设计!AD$4:AD$163,$K286)*求节点(节奏总纲!D$4:D$163,攻城基础信息!$AE$5:$AE$164,$K286)</f>
        <v>910998.92848084704</v>
      </c>
      <c r="AA286" s="12">
        <f>INDEX(其他调用!$AA$5:$AA$404,MATCH($K286,其他调用!$X$5:$X$404,0))*MIN(INDEX(其他调用!AJ$5:AJ$364,MATCH($K286,其他调用!$AG$5:$AG$364,0),1)/INDEX(其他调用!$AJ$5:$AJ$364,MATCH($K286,其他调用!$AG$5:$AG$364,0),0),5)*求节点(节奏总纲!D$4:D$163,攻城基础信息!$AE$5:$AE$164,$K286)</f>
        <v>156710.09059460225</v>
      </c>
      <c r="AB286" s="12">
        <f>MIN(INDEX(其他调用!$AJ$5:$AJ$364,MATCH($K286,其他调用!$AG$5:$AG$364,0),1)/INDEX(其他调用!AH$5:AH$364,MATCH($K286,其他调用!$AG$5:$AG$364,0),0),1)*INDEX(其他调用!Y$5:Y$404,MATCH($K286,其他调用!$X$5:$X$404,0),0)</f>
        <v>42095.814163513205</v>
      </c>
      <c r="AC286" s="12">
        <f>MIN(INDEX(其他调用!$AJ$5:$AJ$364,MATCH($K286,其他调用!$AG$5:$AG$364,0),1)/INDEX(其他调用!AI$5:AI$364,MATCH($K286,其他调用!$AG$5:$AG$364,0),0),1)*INDEX(其他调用!Z$5:Z$404,MATCH($K286,其他调用!$X$5:$X$404,0),0)</f>
        <v>43251.046965266374</v>
      </c>
      <c r="AD286" s="12">
        <f>MIN(INDEX(其他调用!$AJ$5:$AJ$364,MATCH($K286,其他调用!$AG$5:$AG$364,0),1)/INDEX(其他调用!AJ$5:AJ$364,MATCH($K286,其他调用!$AG$5:$AG$364,0),0),1)*INDEX(其他调用!AA$5:AA$404,MATCH($K286,其他调用!$X$5:$X$404,0),0)</f>
        <v>44774.311598457818</v>
      </c>
      <c r="AE286" s="12">
        <f>MIN(INDEX(其他调用!$AJ$5:$AJ$364,MATCH($K286,其他调用!$AG$5:$AG$364,0),1)/INDEX(其他调用!AK$5:AK$364,MATCH($K286,其他调用!$AG$5:$AG$364,0),0),1)*INDEX(其他调用!AB$5:AB$404,MATCH($K286,其他调用!$X$5:$X$404,0),0)</f>
        <v>16460.235477123762</v>
      </c>
      <c r="AF286" s="12">
        <f>MIN(INDEX(其他调用!$AJ$5:$AJ$364,MATCH($K286,其他调用!$AG$5:$AG$364,0),1)/INDEX(其他调用!AL$5:AL$364,MATCH($K286,其他调用!$AG$5:$AG$364,0),0),1)*INDEX(其他调用!AC$5:AC$404,MATCH($K286,其他调用!$X$5:$X$404,0),0)</f>
        <v>9403.4643097015414</v>
      </c>
      <c r="AG286" s="12">
        <f>求节点(节奏总纲!D$4:D$163,标准城池设计!AE$4:AE$163,$K286)*求节点(节奏总纲!D$4:D$163,攻城基础信息!$AF$5:$AF$164,$K286)</f>
        <v>1100496.2374866426</v>
      </c>
      <c r="AH286" s="12">
        <f>INDEX(其他调用!$AA$5:$AA$404,MATCH($K286,其他调用!$X$5:$X$404,0))*MIN(INDEX(其他调用!AK$5:AK$364,MATCH($K286,其他调用!$AG$5:$AG$364,0),1)/INDEX(其他调用!$AJ$5:$AJ$364,MATCH($K286,其他调用!$AG$5:$AG$364,0),0),5)*求节点(节奏总纲!D$4:D$163,攻城基础信息!$AF$5:$AF$164,$K286)</f>
        <v>447737.17853257863</v>
      </c>
      <c r="AI286" s="12">
        <f>MIN(INDEX(其他调用!$AK$5:$AK$364,MATCH($K286,其他调用!$AG$5:$AG$364,0),1)/INDEX(其他调用!AH$5:AH$364,MATCH($K286,其他调用!$AG$5:$AG$364,0),0),1)*INDEX(其他调用!Y$5:Y$404,MATCH($K286,其他调用!$X$5:$X$404,0),0)</f>
        <v>42095.814163513205</v>
      </c>
      <c r="AJ286" s="12">
        <f>MIN(INDEX(其他调用!$AK$5:$AK$364,MATCH($K286,其他调用!$AG$5:$AG$364,0),1)/INDEX(其他调用!AI$5:AI$364,MATCH($K286,其他调用!$AG$5:$AG$364,0),0),1)*INDEX(其他调用!Z$5:Z$404,MATCH($K286,其他调用!$X$5:$X$404,0),0)</f>
        <v>43251.046965266374</v>
      </c>
      <c r="AK286" s="12">
        <f>MIN(INDEX(其他调用!$AK$5:$AK$364,MATCH($K286,其他调用!$AG$5:$AG$364,0),1)/INDEX(其他调用!AJ$5:AJ$364,MATCH($K286,其他调用!$AG$5:$AG$364,0),0),1)*INDEX(其他调用!AA$5:AA$404,MATCH($K286,其他调用!$X$5:$X$404,0),0)</f>
        <v>44774.311598457818</v>
      </c>
      <c r="AL286" s="12">
        <f>MIN(INDEX(其他调用!$AK$5:$AK$364,MATCH($K286,其他调用!$AG$5:$AG$364,0),1)/INDEX(其他调用!AK$5:AK$364,MATCH($K286,其他调用!$AG$5:$AG$364,0),0),1)*INDEX(其他调用!AB$5:AB$404,MATCH($K286,其他调用!$X$5:$X$404,0),0)</f>
        <v>47028.620572842003</v>
      </c>
      <c r="AM286" s="12">
        <f>MIN(INDEX(其他调用!$AK$5:$AK$364,MATCH($K286,其他调用!$AG$5:$AG$364,0),1)/INDEX(其他调用!AL$5:AL$364,MATCH($K286,其他调用!$AG$5:$AG$364,0),0),1)*INDEX(其他调用!AC$5:AC$404,MATCH($K286,其他调用!$X$5:$X$404,0),0)</f>
        <v>26866.684605200466</v>
      </c>
      <c r="AN286" s="12">
        <f>求节点(节奏总纲!D$4:D$163,标准城池设计!AF$4:AF$163,$K286)*求节点(节奏总纲!D$4:D$163,攻城基础信息!$AG$5:$AG$164,$K286)</f>
        <v>1151688.8424668242</v>
      </c>
      <c r="AO286" s="12">
        <f>INDEX(其他调用!$AA$5:$AA$404,MATCH($K286,其他调用!$X$5:$X$404,0))*MIN(INDEX(其他调用!AL$5:AL$364,MATCH($K286,其他调用!$AG$5:$AG$364,0),1)/INDEX(其他调用!$AJ$5:$AJ$364,MATCH($K286,其他调用!$AG$5:$AG$364,0),0),5)*求节点(节奏总纲!D$4:D$163,攻城基础信息!$AG$5:$AG$164,$K286)</f>
        <v>783550.4529730113</v>
      </c>
      <c r="AP286" s="12">
        <f>MIN(INDEX(其他调用!$AL$5:$AL$364,MATCH($K286,其他调用!$AG$5:$AG$364,0),1)/INDEX(其他调用!AH$5:AH$364,MATCH($K286,其他调用!$AG$5:$AG$364,0),0),1)*INDEX(其他调用!Y$5:Y$404,MATCH($K286,其他调用!$X$5:$X$404,0),0)</f>
        <v>42095.814163513205</v>
      </c>
      <c r="AQ286" s="12">
        <f>MIN(INDEX(其他调用!$AL$5:$AL$364,MATCH($K286,其他调用!$AG$5:$AG$364,0),1)/INDEX(其他调用!AI$5:AI$364,MATCH($K286,其他调用!$AG$5:$AG$364,0),0),1)*INDEX(其他调用!Z$5:Z$404,MATCH($K286,其他调用!$X$5:$X$404,0),0)</f>
        <v>43251.046965266374</v>
      </c>
      <c r="AR286" s="12">
        <f>MIN(INDEX(其他调用!$AL$5:$AL$364,MATCH($K286,其他调用!$AG$5:$AG$364,0),1)/INDEX(其他调用!AJ$5:AJ$364,MATCH($K286,其他调用!$AG$5:$AG$364,0),0),1)*INDEX(其他调用!AA$5:AA$404,MATCH($K286,其他调用!$X$5:$X$404,0),0)</f>
        <v>44774.311598457818</v>
      </c>
      <c r="AS286" s="12">
        <f>MIN(INDEX(其他调用!$AL$5:$AL$364,MATCH($K286,其他调用!$AG$5:$AG$364,0),1)/INDEX(其他调用!AK$5:AK$364,MATCH($K286,其他调用!$AG$5:$AG$364,0),0),1)*INDEX(其他调用!AB$5:AB$404,MATCH($K286,其他调用!$X$5:$X$404,0),0)</f>
        <v>47028.620572842003</v>
      </c>
      <c r="AT286" s="12">
        <f>MIN(INDEX(其他调用!$AL$5:$AL$364,MATCH($K286,其他调用!$AG$5:$AG$364,0),1)/INDEX(其他调用!AL$5:AL$364,MATCH($K286,其他调用!$AG$5:$AG$364,0),0),1)*INDEX(其他调用!AC$5:AC$404,MATCH($K286,其他调用!$X$5:$X$404,0),0)</f>
        <v>50919.275167390973</v>
      </c>
      <c r="AV286" s="14">
        <f>IF(OR(AV$5="大R",AV$5="超R"),MAX(INDEX(其他调用!$H$5:$L$404,MATCH($K286,其他调用!$B$5:$B$404,0),MATCH(AV$5,其他调用!$H$4:$L$4,0))*120*0.85,2),INDEX(其他调用!$H$5:$L$404,MATCH($K286,其他调用!$B$5:$B$404,0),MATCH(AV$5,其他调用!$H$4:$L$4,0))*120*0.85)</f>
        <v>48.921801254999991</v>
      </c>
      <c r="AW286" s="14">
        <f>IF(OR(AW$5="大R",AW$5="超R"),MAX(INDEX(其他调用!$H$5:$L$404,MATCH($K286,其他调用!$B$5:$B$404,0),MATCH(AW$5,其他调用!$H$4:$L$4,0))*120*0.85,2),INDEX(其他调用!$H$5:$L$404,MATCH($K286,其他调用!$B$5:$B$404,0),MATCH(AW$5,其他调用!$H$4:$L$4,0))*120*0.85)</f>
        <v>48.237344010638395</v>
      </c>
      <c r="AX286" s="14">
        <f>IF(OR(AX$5="大R",AX$5="超R"),MAX(INDEX(其他调用!$H$5:$L$404,MATCH($K286,其他调用!$B$5:$B$404,0),MATCH(AX$5,其他调用!$H$4:$L$4,0))*120*0.85,2),INDEX(其他调用!$H$5:$L$404,MATCH($K286,其他调用!$B$5:$B$404,0),MATCH(AX$5,其他调用!$H$4:$L$4,0))*120*0.85)</f>
        <v>3.9376284143615998</v>
      </c>
      <c r="AY286" s="14">
        <f>IF(OR(AY$5="大R",AY$5="超R"),MAX(INDEX(其他调用!$H$5:$L$404,MATCH($K286,其他调用!$B$5:$B$404,0),MATCH(AY$5,其他调用!$H$4:$L$4,0))*120*0.85,2),INDEX(其他调用!$H$5:$L$404,MATCH($K286,其他调用!$B$5:$B$404,0),MATCH(AY$5,其他调用!$H$4:$L$4,0))*120*0.85)</f>
        <v>2</v>
      </c>
      <c r="AZ286" s="14">
        <f>IF(OR(AZ$5="大R",AZ$5="超R"),MAX(INDEX(其他调用!$H$5:$L$404,MATCH($K286,其他调用!$B$5:$B$404,0),MATCH(AZ$5,其他调用!$H$4:$L$4,0))*120*0.85,2),INDEX(其他调用!$H$5:$L$404,MATCH($K286,其他调用!$B$5:$B$404,0),MATCH(AZ$5,其他调用!$H$4:$L$4,0))*120*0.85)</f>
        <v>2</v>
      </c>
      <c r="BA286" s="14">
        <f>INDEX(其他调用!$H$5:$L$404,MATCH($K286,其他调用!$B$5:$B$404,0),MATCH(BA$5,其他调用!$H$4:$L$4,0))*INDEX(其他调用!$M$5:$M$404,MATCH($K286,其他调用!$B$5:$B$404,0))*0.6</f>
        <v>28.777530149999997</v>
      </c>
      <c r="BB286" s="14">
        <f>INDEX(其他调用!$H$5:$L$404,MATCH($K286,其他调用!$B$5:$B$404,0),MATCH(BB$5,其他调用!$H$4:$L$4,0))*INDEX(其他调用!$M$5:$M$404,MATCH($K286,其他调用!$B$5:$B$404,0))*0.6</f>
        <v>28.374908241551999</v>
      </c>
      <c r="BC286" s="14">
        <f>INDEX(其他调用!$H$5:$L$404,MATCH($K286,其他调用!$B$5:$B$404,0),MATCH(BC$5,其他调用!$H$4:$L$4,0))*INDEX(其他调用!$M$5:$M$404,MATCH($K286,其他调用!$B$5:$B$404,0))*0.6</f>
        <v>2.3162520084480001</v>
      </c>
      <c r="BD286" s="14">
        <f>INDEX(其他调用!$H$5:$L$404,MATCH($K286,其他调用!$B$5:$B$404,0),MATCH(BD$5,其他调用!$H$4:$L$4,0))*INDEX(其他调用!$M$5:$M$404,MATCH($K286,其他调用!$B$5:$B$404,0))*0.6</f>
        <v>0.4120776000000001</v>
      </c>
      <c r="BE286" s="14">
        <f>INDEX(其他调用!$H$5:$L$404,MATCH($K286,其他调用!$B$5:$B$404,0),MATCH(BE$5,其他调用!$H$4:$L$4,0))*INDEX(其他调用!$M$5:$M$404,MATCH($K286,其他调用!$B$5:$B$404,0))*0.6</f>
        <v>0.11923199999999998</v>
      </c>
      <c r="BF286" s="14">
        <f>IF(OR(BF$5="大R",BF$5="超R"),0,INDEX(其他调用!$H$5:$L$404,MATCH($K286,其他调用!$B$5:$B$404,0),MATCH(BF$5,其他调用!$H$4:$L$4,0))*50*0.4)</f>
        <v>9.5925100500000013</v>
      </c>
      <c r="BG286" s="14">
        <f>IF(OR(BG$5="大R",BG$5="超R"),0,INDEX(其他调用!$H$5:$L$404,MATCH($K286,其他调用!$B$5:$B$404,0),MATCH(BG$5,其他调用!$H$4:$L$4,0))*50*0.4)</f>
        <v>9.4583027471839998</v>
      </c>
      <c r="BH286" s="14">
        <f>IF(OR(BH$5="大R",BH$5="超R"),0,INDEX(其他调用!$H$5:$L$404,MATCH($K286,其他调用!$B$5:$B$404,0),MATCH(BH$5,其他调用!$H$4:$L$4,0))*50*0.4)</f>
        <v>0.77208400281600009</v>
      </c>
      <c r="BI286" s="14">
        <f>IF(OR(BI$5="大R",BI$5="超R"),0,INDEX(其他调用!$H$5:$L$404,MATCH($K286,其他调用!$B$5:$B$404,0),MATCH(BI$5,其他调用!$H$4:$L$4,0))*50*0.4)</f>
        <v>0</v>
      </c>
      <c r="BJ286" s="14">
        <f>IF(OR(BJ$5="大R",BJ$5="超R"),0,INDEX(其他调用!$H$5:$L$404,MATCH($K286,其他调用!$B$5:$B$404,0),MATCH(BJ$5,其他调用!$H$4:$L$4,0))*50*0.4)</f>
        <v>0</v>
      </c>
      <c r="BL286" s="14">
        <f t="shared" si="523"/>
        <v>281</v>
      </c>
      <c r="BM286" s="14">
        <f t="shared" si="430"/>
        <v>96</v>
      </c>
      <c r="BN286" s="14">
        <f>('疲劳值&amp;地图信息'!$S$10*'疲劳值&amp;地图信息'!$R$10+'疲劳值&amp;地图信息'!$S$11*'疲劳值&amp;地图信息'!$R$11+'疲劳值&amp;地图信息'!$S$12*'疲劳值&amp;地图信息'!$R$12+(BM286-'疲劳值&amp;地图信息'!$S$12-'疲劳值&amp;地图信息'!$S$11-'疲劳值&amp;地图信息'!$S$10)*'疲劳值&amp;地图信息'!$R$13)/BM286</f>
        <v>51.371477246638619</v>
      </c>
      <c r="BO286" s="14">
        <f>INDEX(其他调用!$M$5:$M$404,MATCH(BL286,其他调用!$B$5:$B$404,0))*0.6</f>
        <v>60</v>
      </c>
      <c r="BP286" s="14">
        <f>IF(BO286&gt;SUM('疲劳值&amp;地图信息'!$S$10:$S$12),('疲劳值&amp;地图信息'!$S$10*'疲劳值&amp;地图信息'!$R$10+'疲劳值&amp;地图信息'!$S$11*'疲劳值&amp;地图信息'!$R$11+'疲劳值&amp;地图信息'!$S$12*'疲劳值&amp;地图信息'!$R$12+(BO286-'疲劳值&amp;地图信息'!$S$12-'疲劳值&amp;地图信息'!$S$11-'疲劳值&amp;地图信息'!$S$10)*'疲劳值&amp;地图信息'!$R$13)/BO286,('疲劳值&amp;地图信息'!$S$10*'疲劳值&amp;地图信息'!$R$10+'疲劳值&amp;地图信息'!$S$11*'疲劳值&amp;地图信息'!$R$11+'疲劳值&amp;地图信息'!$S$12*'疲劳值&amp;地图信息'!$R$12+(BO286-'疲劳值&amp;地图信息'!$S$12-'疲劳值&amp;地图信息'!$S$11-'疲劳值&amp;地图信息'!$S$10)*'疲劳值&amp;地图信息'!$R$13)/BO286)</f>
        <v>44.158136341605953</v>
      </c>
      <c r="BQ286" s="14">
        <f t="shared" si="524"/>
        <v>20</v>
      </c>
      <c r="BR286" s="14">
        <f>('疲劳值&amp;地图信息'!$S$10*'疲劳值&amp;地图信息'!$R$10+($BQ286-'疲劳值&amp;地图信息'!$S$10)*'疲劳值&amp;地图信息'!$R$11)/$BQ286</f>
        <v>32.067203015074995</v>
      </c>
      <c r="CF286" s="14">
        <v>281</v>
      </c>
      <c r="CG286" s="51">
        <f t="shared" si="431"/>
        <v>15533</v>
      </c>
      <c r="CH286" s="51">
        <f t="shared" si="432"/>
        <v>1093</v>
      </c>
      <c r="CI286" s="51">
        <f>INT(SUMPRODUCT($N286:$R286,$BA286:$BE286)/SUM($BA286:$BE286)/10000*$BX$7*$BZ$34/'疲劳值&amp;地图信息'!$R$10*$BY$53)</f>
        <v>3334</v>
      </c>
      <c r="CJ286" s="50">
        <f t="shared" si="433"/>
        <v>0.77820641282565128</v>
      </c>
      <c r="CK286" s="50">
        <f t="shared" si="434"/>
        <v>5.4759519038076153E-2</v>
      </c>
      <c r="CL286" s="50">
        <f t="shared" si="435"/>
        <v>0.16703406813627256</v>
      </c>
      <c r="CM286" s="14">
        <f t="shared" si="436"/>
        <v>16982</v>
      </c>
      <c r="CN286" s="14">
        <f t="shared" si="437"/>
        <v>1858</v>
      </c>
      <c r="CO286" s="14">
        <f>INT(SUMPRODUCT($U286:$Y286,$BA286:$BE286)/SUM($BA286:$BE286)/10000*$BX$7*$BZ$34/'疲劳值&amp;地图信息'!$R$10*$BY$54)</f>
        <v>6350</v>
      </c>
      <c r="CP286" s="50">
        <f t="shared" si="438"/>
        <v>0.67415641127431525</v>
      </c>
      <c r="CQ286" s="50">
        <f t="shared" si="439"/>
        <v>7.3759428344581185E-2</v>
      </c>
      <c r="CR286" s="50">
        <f t="shared" si="440"/>
        <v>0.25208416038110359</v>
      </c>
      <c r="CS286" s="14">
        <f t="shared" si="441"/>
        <v>18567</v>
      </c>
      <c r="CT286" s="14">
        <f t="shared" si="442"/>
        <v>3193</v>
      </c>
      <c r="CU286" s="14">
        <f>INT(SUMPRODUCT($AB286:$AF286,$BA286:$BE286)/SUM($BA286:$BE286)/10000*$BX$7*$BZ$34/'疲劳值&amp;地图信息'!$R$10*$BY$55)</f>
        <v>8625</v>
      </c>
      <c r="CV286" s="50">
        <f t="shared" si="443"/>
        <v>0.61105808787230542</v>
      </c>
      <c r="CW286" s="50">
        <f t="shared" si="444"/>
        <v>0.10508474576271186</v>
      </c>
      <c r="CX286" s="50">
        <f t="shared" si="445"/>
        <v>0.2838571663649827</v>
      </c>
      <c r="CY286" s="14">
        <f t="shared" si="446"/>
        <v>22429</v>
      </c>
      <c r="CZ286" s="14">
        <f t="shared" si="447"/>
        <v>9125</v>
      </c>
      <c r="DA286" s="14">
        <f>INT(SUMPRODUCT($AI286:$AM286,$BA286:$BE286)/SUM($BA286:$BE286)/10000*$BX$7*$BZ$34/'疲劳值&amp;地图信息'!$R$10*$BY$56)</f>
        <v>13012</v>
      </c>
      <c r="DB286" s="50">
        <f t="shared" si="448"/>
        <v>0.50327604003051651</v>
      </c>
      <c r="DC286" s="50">
        <f t="shared" si="449"/>
        <v>0.20475250190728359</v>
      </c>
      <c r="DD286" s="50">
        <f t="shared" si="450"/>
        <v>0.29197145806219987</v>
      </c>
      <c r="DE286" s="14">
        <f t="shared" si="451"/>
        <v>23472</v>
      </c>
      <c r="DF286" s="14">
        <f t="shared" si="452"/>
        <v>15969</v>
      </c>
      <c r="DG286" s="14">
        <f>INT(SUMPRODUCT($AP286:$AT286,$BA286:$BE286)/SUM($BA286:$BE286)/10000*$BX$7*$BZ$34/'疲劳值&amp;地图信息'!$R$10*$BY$57)</f>
        <v>17369</v>
      </c>
      <c r="DH286" s="50">
        <f t="shared" si="453"/>
        <v>0.41316669600422462</v>
      </c>
      <c r="DI286" s="50">
        <f t="shared" si="454"/>
        <v>0.28109487766238339</v>
      </c>
      <c r="DJ286" s="50">
        <f t="shared" si="455"/>
        <v>0.30573842633339199</v>
      </c>
      <c r="DL286" s="14">
        <f t="shared" si="526"/>
        <v>19960</v>
      </c>
      <c r="DM286" s="14">
        <f t="shared" si="527"/>
        <v>25190</v>
      </c>
      <c r="DN286" s="14">
        <f t="shared" si="528"/>
        <v>30385</v>
      </c>
      <c r="DO286" s="14">
        <f t="shared" si="529"/>
        <v>44566</v>
      </c>
      <c r="DP286" s="14">
        <f t="shared" si="530"/>
        <v>56810</v>
      </c>
      <c r="DQ286" s="14">
        <f t="shared" si="531"/>
        <v>1384680</v>
      </c>
      <c r="DT286" s="14">
        <f t="shared" si="525"/>
        <v>235575</v>
      </c>
      <c r="DU286" s="50">
        <f t="shared" si="427"/>
        <v>0.14539378060860791</v>
      </c>
      <c r="DW286" s="14">
        <f t="shared" si="456"/>
        <v>1620255</v>
      </c>
      <c r="EB286" s="14">
        <v>281</v>
      </c>
      <c r="EC286" s="51">
        <f t="shared" si="457"/>
        <v>25889</v>
      </c>
      <c r="ED286" s="51">
        <f t="shared" si="458"/>
        <v>1822</v>
      </c>
      <c r="EE286" s="51">
        <f>INT(SUMPRODUCT($N286:$R286,$BF286:$BJ286)/SUM($BF286:$BJ286)/10000*$BX$7*$BZ$46/'疲劳值&amp;地图信息'!$R$10*$BY$53)</f>
        <v>447</v>
      </c>
      <c r="EF286" s="50">
        <f t="shared" si="459"/>
        <v>0.91941899282619499</v>
      </c>
      <c r="EG286" s="50">
        <f t="shared" si="460"/>
        <v>6.4706300163363872E-2</v>
      </c>
      <c r="EH286" s="50">
        <f t="shared" si="461"/>
        <v>1.5874707010441084E-2</v>
      </c>
      <c r="EI286" s="51">
        <f t="shared" si="462"/>
        <v>28304</v>
      </c>
      <c r="EJ286" s="51">
        <f t="shared" si="463"/>
        <v>3097</v>
      </c>
      <c r="EK286" s="14">
        <f>INT(SUMPRODUCT($U286:$Y286,$BF286:$BJ286)/SUM($BF286:$BJ286)/10000*$BX$7*$BZ$46/'疲劳值&amp;地图信息'!$R$10*$BY$54)</f>
        <v>852</v>
      </c>
      <c r="EL286" s="50">
        <f t="shared" si="464"/>
        <v>0.87756177719902029</v>
      </c>
      <c r="EM286" s="50">
        <f t="shared" si="465"/>
        <v>9.6022075465848136E-2</v>
      </c>
      <c r="EN286" s="50">
        <f t="shared" si="466"/>
        <v>2.6416147335131614E-2</v>
      </c>
      <c r="EO286" s="51">
        <f t="shared" si="467"/>
        <v>30945</v>
      </c>
      <c r="EP286" s="51">
        <f t="shared" si="468"/>
        <v>5323</v>
      </c>
      <c r="EQ286" s="14">
        <f>INT(SUMPRODUCT($AB286:$AF286,$BF286:$BJ286)/SUM($BF286:$BJ286)/10000*$BX$7*$BZ$46/'疲劳值&amp;地图信息'!$R$10*$BY$55)</f>
        <v>1156</v>
      </c>
      <c r="ER286" s="50">
        <f t="shared" si="469"/>
        <v>0.82687580162462593</v>
      </c>
      <c r="ES286" s="50">
        <f t="shared" si="470"/>
        <v>0.14223492945703292</v>
      </c>
      <c r="ET286" s="50">
        <f t="shared" si="471"/>
        <v>3.0889268918341171E-2</v>
      </c>
      <c r="EU286" s="51">
        <f t="shared" si="472"/>
        <v>37382</v>
      </c>
      <c r="EV286" s="51">
        <f t="shared" si="473"/>
        <v>15209</v>
      </c>
      <c r="EW286" s="14">
        <f>INT(SUMPRODUCT($AI286:$AM286,$BF286:$BJ286)/SUM($BF286:$BJ286)/10000*$BX$7*$BZ$46/'疲劳值&amp;地图信息'!$R$10*$BY$56)</f>
        <v>1735</v>
      </c>
      <c r="EX286" s="50">
        <f t="shared" si="474"/>
        <v>0.68810514302543901</v>
      </c>
      <c r="EY286" s="50">
        <f t="shared" si="475"/>
        <v>0.27995803114530793</v>
      </c>
      <c r="EZ286" s="50">
        <f t="shared" si="476"/>
        <v>3.1936825829253029E-2</v>
      </c>
      <c r="FA286" s="51">
        <f t="shared" si="477"/>
        <v>39121</v>
      </c>
      <c r="FB286" s="51">
        <f t="shared" si="478"/>
        <v>26616</v>
      </c>
      <c r="FC286" s="14">
        <f>INT(SUMPRODUCT($AP286:$AT286,$BF286:$BJ286)/SUM($BF286:$BJ286)/10000*$BX$7*$BZ$46/'疲劳值&amp;地图信息'!$R$10*$BY$57)</f>
        <v>2313</v>
      </c>
      <c r="FD286" s="50">
        <f t="shared" si="479"/>
        <v>0.57488611315209404</v>
      </c>
      <c r="FE286" s="50">
        <f t="shared" si="480"/>
        <v>0.39112417340191036</v>
      </c>
      <c r="FF286" s="50">
        <f t="shared" si="481"/>
        <v>3.3989713445995592E-2</v>
      </c>
      <c r="FH286" s="14">
        <f t="shared" si="482"/>
        <v>28158</v>
      </c>
      <c r="FI286" s="14">
        <f t="shared" si="483"/>
        <v>32253</v>
      </c>
      <c r="FJ286" s="14">
        <f t="shared" si="484"/>
        <v>37424</v>
      </c>
      <c r="FK286" s="14">
        <f t="shared" si="485"/>
        <v>54326</v>
      </c>
      <c r="FL286" s="14">
        <f t="shared" si="486"/>
        <v>68050</v>
      </c>
      <c r="FM286" s="14">
        <f t="shared" si="487"/>
        <v>3325452</v>
      </c>
      <c r="FP286" s="14">
        <f t="shared" si="488"/>
        <v>334150</v>
      </c>
      <c r="FQ286" s="50">
        <f t="shared" si="428"/>
        <v>9.1307743301047489E-2</v>
      </c>
      <c r="FS286" s="14">
        <f t="shared" si="489"/>
        <v>3659602</v>
      </c>
      <c r="FX286" s="14">
        <v>281</v>
      </c>
      <c r="FY286" s="51">
        <f t="shared" si="490"/>
        <v>36245</v>
      </c>
      <c r="FZ286" s="51">
        <f t="shared" si="491"/>
        <v>1822</v>
      </c>
      <c r="GA286" s="51">
        <f>INT(SUMPRODUCT($N286:$R286,$BF286:$BJ286)/SUM($BF286:$BJ286)/10000*$BX$7*$BZ$46/'疲劳值&amp;地图信息'!$R$10*$BY$53)</f>
        <v>447</v>
      </c>
      <c r="GB286" s="50">
        <f t="shared" si="492"/>
        <v>0.94108635820740505</v>
      </c>
      <c r="GC286" s="50">
        <f t="shared" si="493"/>
        <v>4.7307472607363558E-2</v>
      </c>
      <c r="GD286" s="50">
        <f t="shared" si="494"/>
        <v>1.1606169185231344E-2</v>
      </c>
      <c r="GE286" s="51">
        <f t="shared" si="495"/>
        <v>39626</v>
      </c>
      <c r="GF286" s="51">
        <f t="shared" si="496"/>
        <v>3097</v>
      </c>
      <c r="GG286" s="14">
        <f>INT(SUMPRODUCT($U286:$Y286,$BF286:$BJ286)/SUM($BF286:$BJ286)/10000*$BX$7*$BZ$46/'疲劳值&amp;地图信息'!$R$10*$BY$54)</f>
        <v>852</v>
      </c>
      <c r="GH286" s="50">
        <f t="shared" si="497"/>
        <v>0.9093746414228342</v>
      </c>
      <c r="GI286" s="50">
        <f t="shared" si="498"/>
        <v>7.1072862880091792E-2</v>
      </c>
      <c r="GJ286" s="50">
        <f t="shared" si="499"/>
        <v>1.9552495697074009E-2</v>
      </c>
      <c r="GK286" s="51">
        <f t="shared" si="500"/>
        <v>43323</v>
      </c>
      <c r="GL286" s="51">
        <f t="shared" si="501"/>
        <v>5323</v>
      </c>
      <c r="GM286" s="14">
        <f>INT(SUMPRODUCT($AB286:$AF286,$BF286:$BJ286)/SUM($BF286:$BJ286)/10000*$BX$7*$BZ$46/'疲劳值&amp;地图信息'!$R$10*$BY$55)</f>
        <v>1156</v>
      </c>
      <c r="GN286" s="50">
        <f t="shared" si="502"/>
        <v>0.86990482309947392</v>
      </c>
      <c r="GO286" s="50">
        <f t="shared" si="503"/>
        <v>0.10688325770049395</v>
      </c>
      <c r="GP286" s="50">
        <f t="shared" si="504"/>
        <v>2.3211919200032127E-2</v>
      </c>
      <c r="GQ286" s="51">
        <f t="shared" si="505"/>
        <v>52335</v>
      </c>
      <c r="GR286" s="51">
        <f t="shared" si="506"/>
        <v>15209</v>
      </c>
      <c r="GS286" s="14">
        <f>INT(SUMPRODUCT($AI286:$AM286,$BF286:$BJ286)/SUM($BF286:$BJ286)/10000*$BX$7*$BZ$46/'疲劳值&amp;地图信息'!$R$10*$BY$56)</f>
        <v>1735</v>
      </c>
      <c r="GT286" s="50">
        <f t="shared" si="507"/>
        <v>0.7554237214740398</v>
      </c>
      <c r="GU286" s="50">
        <f t="shared" si="508"/>
        <v>0.21953261450078668</v>
      </c>
      <c r="GV286" s="50">
        <f t="shared" si="509"/>
        <v>2.5043664025173575E-2</v>
      </c>
      <c r="GW286" s="51">
        <f t="shared" si="510"/>
        <v>54770</v>
      </c>
      <c r="GX286" s="51">
        <f t="shared" si="511"/>
        <v>26616</v>
      </c>
      <c r="GY286" s="14">
        <f>INT(SUMPRODUCT($AP286:$AT286,$BF286:$BJ286)/SUM($BF286:$BJ286)/10000*$BX$7*$BZ$46/'疲劳值&amp;地图信息'!$R$10*$BY$57)</f>
        <v>2313</v>
      </c>
      <c r="GZ286" s="50">
        <f t="shared" si="512"/>
        <v>0.65436863044958726</v>
      </c>
      <c r="HA286" s="50">
        <f t="shared" si="513"/>
        <v>0.31799663078411927</v>
      </c>
      <c r="HB286" s="50">
        <f t="shared" si="514"/>
        <v>2.7634738766293503E-2</v>
      </c>
      <c r="HD286" s="14">
        <f t="shared" si="515"/>
        <v>38514</v>
      </c>
      <c r="HE286" s="14">
        <f t="shared" si="516"/>
        <v>43575</v>
      </c>
      <c r="HF286" s="14">
        <f t="shared" si="517"/>
        <v>49802</v>
      </c>
      <c r="HG286" s="14">
        <f t="shared" si="518"/>
        <v>69279</v>
      </c>
      <c r="HH286" s="14">
        <f t="shared" si="519"/>
        <v>83699</v>
      </c>
      <c r="HI286" s="14">
        <f t="shared" si="520"/>
        <v>4488174</v>
      </c>
      <c r="HL286" s="14">
        <f t="shared" si="521"/>
        <v>430050</v>
      </c>
      <c r="HM286" s="50">
        <f t="shared" si="429"/>
        <v>8.7440100328899206E-2</v>
      </c>
      <c r="HO286" s="14">
        <f t="shared" si="522"/>
        <v>4918224</v>
      </c>
    </row>
    <row r="287" spans="11:223" x14ac:dyDescent="0.2">
      <c r="K287" s="14">
        <v>282</v>
      </c>
      <c r="L287" s="12">
        <f>求节点(节奏总纲!D$4:D$163,标准城池设计!AB$4:AB$163,$K287)*求节点(节奏总纲!D$4:D$163,攻城基础信息!$AC$5:$AC$164,$K287)</f>
        <v>763317.9359117588</v>
      </c>
      <c r="M287" s="12">
        <f>INDEX(其他调用!$AA$5:$AA$404,MATCH(K287,其他调用!$X$5:$X$404,0))*MIN(INDEX(其他调用!$AH$5:$AH$364,MATCH('征服点（新）'!K287,其他调用!$AG$5:$AG$364,0),1)/INDEX(其他调用!$AJ$5:$AJ$364,MATCH(K287,其他调用!$AG$5:$AG$364,0),0),5)*求节点(节奏总纲!D$4:D$163,攻城基础信息!$AC$5:$AC$164,$K287)</f>
        <v>53651.729255108599</v>
      </c>
      <c r="N287" s="12">
        <f>MIN(INDEX(其他调用!$AH$5:$AH$364,MATCH($K287,其他调用!$AG$5:$AG$364,0),1)/INDEX(其他调用!AH$5:AH$364,MATCH($K287,其他调用!$AG$5:$AG$364,0),0),1)*INDEX(其他调用!Y$5:Y$404,MATCH($K287,其他调用!$X$5:$X$404,0),0)</f>
        <v>42116.125471900625</v>
      </c>
      <c r="O287" s="12">
        <f>MIN(INDEX(其他调用!$AH$5:$AH$364,MATCH($K287,其他调用!$AG$5:$AG$364,0),1)/INDEX(其他调用!AI$5:AI$364,MATCH($K287,其他调用!$AG$5:$AG$364,0),0),1)*INDEX(其他调用!Z$5:Z$404,MATCH($K287,其他调用!$X$5:$X$404,0),0)</f>
        <v>25458.828343617901</v>
      </c>
      <c r="P287" s="12">
        <f>MIN(INDEX(其他调用!$AH$5:$AH$364,MATCH($K287,其他调用!$AG$5:$AG$364,0),1)/INDEX(其他调用!AJ$5:AJ$364,MATCH($K287,其他调用!$AG$5:$AG$364,0),0),1)*INDEX(其他调用!AA$5:AA$404,MATCH($K287,其他调用!$X$5:$X$404,0),0)</f>
        <v>15329.06550145961</v>
      </c>
      <c r="Q287" s="12">
        <f>MIN(INDEX(其他调用!$AH$5:$AH$364,MATCH($K287,其他调用!$AG$5:$AG$364,0),1)/INDEX(其他调用!AK$5:AK$364,MATCH($K287,其他调用!$AG$5:$AG$364,0),0),1)*INDEX(其他调用!AB$5:AB$404,MATCH($K287,其他调用!$X$5:$X$404,0),0)</f>
        <v>5643.3160150487029</v>
      </c>
      <c r="R287" s="12">
        <f>MIN(INDEX(其他调用!$AH$5:$AH$364,MATCH($K287,其他调用!$AG$5:$AG$364,0),1)/INDEX(其他调用!AL$5:AL$364,MATCH($K287,其他调用!$AG$5:$AG$364,0),0),1)*INDEX(其他调用!AC$5:AC$404,MATCH($K287,其他调用!$X$5:$X$404,0),0)</f>
        <v>3228.8878814345362</v>
      </c>
      <c r="S287" s="12">
        <f>求节点(节奏总纲!D$4:D$163,标准城池设计!AC$4:AC$163,$K287)*求节点(节奏总纲!D$4:D$163,攻城基础信息!$AD$5:$AD$164,$K287)</f>
        <v>834669.57669977052</v>
      </c>
      <c r="T287" s="12">
        <f>INDEX(其他调用!$AA$5:$AA$404,MATCH($K287,其他调用!$X$5:$X$404,0))*MIN(INDEX(其他调用!AI$5:AI$364,MATCH($K287,其他调用!$AG$5:$AG$364,0),1)/INDEX(其他调用!$AJ$5:$AJ$364,MATCH($K287,其他调用!$AG$5:$AG$364,0),0),5)*求节点(节奏总纲!D$4:D$163,攻城基础信息!$AD$5:$AD$164,$K287)</f>
        <v>91190.178793263185</v>
      </c>
      <c r="U287" s="12">
        <f>MIN(INDEX(其他调用!$AI$5:$AI$364,MATCH($K287,其他调用!$AG$5:$AG$364,0),1)/INDEX(其他调用!AH$5:AH$364,MATCH($K287,其他调用!$AG$5:$AG$364,0),0),1)*INDEX(其他调用!Y$5:Y$404,MATCH($K287,其他调用!$X$5:$X$404,0),0)</f>
        <v>42116.125471900625</v>
      </c>
      <c r="V287" s="12">
        <f>MIN(INDEX(其他调用!$AI$5:$AI$364,MATCH($K287,其他调用!$AG$5:$AG$364,0),1)/INDEX(其他调用!AI$5:AI$364,MATCH($K287,其他调用!$AG$5:$AG$364,0),0),1)*INDEX(其他调用!Z$5:Z$404,MATCH($K287,其他调用!$X$5:$X$404,0),0)</f>
        <v>43271.580259464899</v>
      </c>
      <c r="W287" s="12">
        <f>MIN(INDEX(其他调用!$AI$5:$AI$364,MATCH($K287,其他调用!$AG$5:$AG$364,0),1)/INDEX(其他调用!AJ$5:AJ$364,MATCH($K287,其他调用!$AG$5:$AG$364,0),0),1)*INDEX(其他调用!AA$5:AA$404,MATCH($K287,其他调用!$X$5:$X$404,0),0)</f>
        <v>26054.336798075212</v>
      </c>
      <c r="X287" s="12">
        <f>MIN(INDEX(其他调用!$AI$5:$AI$364,MATCH($K287,其他调用!$AG$5:$AG$364,0),1)/INDEX(其他调用!AK$5:AK$364,MATCH($K287,其他调用!$AG$5:$AG$364,0),0),1)*INDEX(其他调用!AB$5:AB$404,MATCH($K287,其他调用!$X$5:$X$404,0),0)</f>
        <v>9591.7690546791891</v>
      </c>
      <c r="Y287" s="12">
        <f>MIN(INDEX(其他调用!$AI$5:$AI$364,MATCH($K287,其他调用!$AG$5:$AG$364,0),1)/INDEX(其他调用!AL$5:AL$364,MATCH($K287,其他调用!$AG$5:$AG$364,0),0),1)*INDEX(其他调用!AC$5:AC$404,MATCH($K287,其他调用!$X$5:$X$404,0),0)</f>
        <v>5488.0405030631873</v>
      </c>
      <c r="Z287" s="12">
        <f>求节点(节奏总纲!D$4:D$163,标准城池设计!AD$4:AD$163,$K287)*求节点(节奏总纲!D$4:D$163,攻城基础信息!$AE$5:$AE$164,$K287)</f>
        <v>912416.51919950219</v>
      </c>
      <c r="AA287" s="12">
        <f>INDEX(其他调用!$AA$5:$AA$404,MATCH($K287,其他调用!$X$5:$X$404,0))*MIN(INDEX(其他调用!AJ$5:AJ$364,MATCH($K287,其他调用!$AG$5:$AG$364,0),1)/INDEX(其他调用!$AJ$5:$AJ$364,MATCH($K287,其他调用!$AG$5:$AG$364,0),0),5)*求节点(节奏总纲!D$4:D$163,攻城基础信息!$AE$5:$AE$164,$K287)</f>
        <v>156781.16342517539</v>
      </c>
      <c r="AB287" s="12">
        <f>MIN(INDEX(其他调用!$AJ$5:$AJ$364,MATCH($K287,其他调用!$AG$5:$AG$364,0),1)/INDEX(其他调用!AH$5:AH$364,MATCH($K287,其他调用!$AG$5:$AG$364,0),0),1)*INDEX(其他调用!Y$5:Y$404,MATCH($K287,其他调用!$X$5:$X$404,0),0)</f>
        <v>42116.125471900625</v>
      </c>
      <c r="AC287" s="12">
        <f>MIN(INDEX(其他调用!$AJ$5:$AJ$364,MATCH($K287,其他调用!$AG$5:$AG$364,0),1)/INDEX(其他调用!AI$5:AI$364,MATCH($K287,其他调用!$AG$5:$AG$364,0),0),1)*INDEX(其他调用!Z$5:Z$404,MATCH($K287,其他调用!$X$5:$X$404,0),0)</f>
        <v>43271.580259464899</v>
      </c>
      <c r="AD287" s="12">
        <f>MIN(INDEX(其他调用!$AJ$5:$AJ$364,MATCH($K287,其他调用!$AG$5:$AG$364,0),1)/INDEX(其他调用!AJ$5:AJ$364,MATCH($K287,其他调用!$AG$5:$AG$364,0),0),1)*INDEX(其他调用!AA$5:AA$404,MATCH($K287,其他调用!$X$5:$X$404,0),0)</f>
        <v>44794.618121478714</v>
      </c>
      <c r="AE287" s="12">
        <f>MIN(INDEX(其他调用!$AJ$5:$AJ$364,MATCH($K287,其他调用!$AG$5:$AG$364,0),1)/INDEX(其他调用!AK$5:AK$364,MATCH($K287,其他调用!$AG$5:$AG$364,0),0),1)*INDEX(其他调用!AB$5:AB$404,MATCH($K287,其他调用!$X$5:$X$404,0),0)</f>
        <v>16490.906494519277</v>
      </c>
      <c r="AF287" s="12">
        <f>MIN(INDEX(其他调用!$AJ$5:$AJ$364,MATCH($K287,其他调用!$AG$5:$AG$364,0),1)/INDEX(其他调用!AL$5:AL$364,MATCH($K287,其他调用!$AG$5:$AG$364,0),0),1)*INDEX(其他调用!AC$5:AC$404,MATCH($K287,其他调用!$X$5:$X$404,0),0)</f>
        <v>9435.4609935066419</v>
      </c>
      <c r="AG287" s="12">
        <f>求节点(节奏总纲!D$4:D$163,标准城池设计!AE$4:AE$163,$K287)*求节点(节奏总纲!D$4:D$163,攻城基础信息!$AF$5:$AF$164,$K287)</f>
        <v>1102284.7453347528</v>
      </c>
      <c r="AH287" s="12">
        <f>INDEX(其他调用!$AA$5:$AA$404,MATCH($K287,其他调用!$X$5:$X$404,0))*MIN(INDEX(其他调用!AK$5:AK$364,MATCH($K287,其他调用!$AG$5:$AG$364,0),1)/INDEX(其他调用!$AJ$5:$AJ$364,MATCH($K287,其他调用!$AG$5:$AG$364,0),0),5)*求节点(节奏总纲!D$4:D$163,攻城基础信息!$AF$5:$AF$164,$K287)</f>
        <v>447299.16594874102</v>
      </c>
      <c r="AI287" s="12">
        <f>MIN(INDEX(其他调用!$AK$5:$AK$364,MATCH($K287,其他调用!$AG$5:$AG$364,0),1)/INDEX(其他调用!AH$5:AH$364,MATCH($K287,其他调用!$AG$5:$AG$364,0),0),1)*INDEX(其他调用!Y$5:Y$404,MATCH($K287,其他调用!$X$5:$X$404,0),0)</f>
        <v>42116.125471900625</v>
      </c>
      <c r="AJ287" s="12">
        <f>MIN(INDEX(其他调用!$AK$5:$AK$364,MATCH($K287,其他调用!$AG$5:$AG$364,0),1)/INDEX(其他调用!AI$5:AI$364,MATCH($K287,其他调用!$AG$5:$AG$364,0),0),1)*INDEX(其他调用!Z$5:Z$404,MATCH($K287,其他调用!$X$5:$X$404,0),0)</f>
        <v>43271.580259464899</v>
      </c>
      <c r="AK287" s="12">
        <f>MIN(INDEX(其他调用!$AK$5:$AK$364,MATCH($K287,其他调用!$AG$5:$AG$364,0),1)/INDEX(其他调用!AJ$5:AJ$364,MATCH($K287,其他调用!$AG$5:$AG$364,0),0),1)*INDEX(其他调用!AA$5:AA$404,MATCH($K287,其他调用!$X$5:$X$404,0),0)</f>
        <v>44794.618121478714</v>
      </c>
      <c r="AL287" s="12">
        <f>MIN(INDEX(其他调用!$AK$5:$AK$364,MATCH($K287,其他调用!$AG$5:$AG$364,0),1)/INDEX(其他调用!AK$5:AK$364,MATCH($K287,其他调用!$AG$5:$AG$364,0),0),1)*INDEX(其他调用!AB$5:AB$404,MATCH($K287,其他调用!$X$5:$X$404,0),0)</f>
        <v>47048.819893836029</v>
      </c>
      <c r="AM287" s="12">
        <f>MIN(INDEX(其他调用!$AK$5:$AK$364,MATCH($K287,其他调用!$AG$5:$AG$364,0),1)/INDEX(其他调用!AL$5:AL$364,MATCH($K287,其他调用!$AG$5:$AG$364,0),0),1)*INDEX(其他调用!AC$5:AC$404,MATCH($K287,其他调用!$X$5:$X$404,0),0)</f>
        <v>26919.521073407792</v>
      </c>
      <c r="AN287" s="12">
        <f>求节点(节奏总纲!D$4:D$163,标准城池设计!AF$4:AF$163,$K287)*求节点(节奏总纲!D$4:D$163,攻城基础信息!$AG$5:$AG$164,$K287)</f>
        <v>1153484.8804836464</v>
      </c>
      <c r="AO287" s="12">
        <f>INDEX(其他调用!$AA$5:$AA$404,MATCH($K287,其他调用!$X$5:$X$404,0))*MIN(INDEX(其他调用!AL$5:AL$364,MATCH($K287,其他调用!$AG$5:$AG$364,0),1)/INDEX(其他调用!$AJ$5:$AJ$364,MATCH($K287,其他调用!$AG$5:$AG$364,0),0),5)*求节点(节奏总纲!D$4:D$163,攻城基础信息!$AG$5:$AG$164,$K287)</f>
        <v>783905.81712587702</v>
      </c>
      <c r="AP287" s="12">
        <f>MIN(INDEX(其他调用!$AL$5:$AL$364,MATCH($K287,其他调用!$AG$5:$AG$364,0),1)/INDEX(其他调用!AH$5:AH$364,MATCH($K287,其他调用!$AG$5:$AG$364,0),0),1)*INDEX(其他调用!Y$5:Y$404,MATCH($K287,其他调用!$X$5:$X$404,0),0)</f>
        <v>42116.125471900625</v>
      </c>
      <c r="AQ287" s="12">
        <f>MIN(INDEX(其他调用!$AL$5:$AL$364,MATCH($K287,其他调用!$AG$5:$AG$364,0),1)/INDEX(其他调用!AI$5:AI$364,MATCH($K287,其他调用!$AG$5:$AG$364,0),0),1)*INDEX(其他调用!Z$5:Z$404,MATCH($K287,其他调用!$X$5:$X$404,0),0)</f>
        <v>43271.580259464899</v>
      </c>
      <c r="AR287" s="12">
        <f>MIN(INDEX(其他调用!$AL$5:$AL$364,MATCH($K287,其他调用!$AG$5:$AG$364,0),1)/INDEX(其他调用!AJ$5:AJ$364,MATCH($K287,其他调用!$AG$5:$AG$364,0),0),1)*INDEX(其他调用!AA$5:AA$404,MATCH($K287,其他调用!$X$5:$X$404,0),0)</f>
        <v>44794.618121478714</v>
      </c>
      <c r="AS287" s="12">
        <f>MIN(INDEX(其他调用!$AL$5:$AL$364,MATCH($K287,其他调用!$AG$5:$AG$364,0),1)/INDEX(其他调用!AK$5:AK$364,MATCH($K287,其他调用!$AG$5:$AG$364,0),0),1)*INDEX(其他调用!AB$5:AB$404,MATCH($K287,其他调用!$X$5:$X$404,0),0)</f>
        <v>47048.819893836029</v>
      </c>
      <c r="AT287" s="12">
        <f>MIN(INDEX(其他调用!$AL$5:$AL$364,MATCH($K287,其他调用!$AG$5:$AG$364,0),1)/INDEX(其他调用!AL$5:AL$364,MATCH($K287,其他调用!$AG$5:$AG$364,0),0),1)*INDEX(其他调用!AC$5:AC$404,MATCH($K287,其他调用!$X$5:$X$404,0),0)</f>
        <v>50940.135729659989</v>
      </c>
      <c r="AV287" s="14">
        <f>IF(OR(AV$5="大R",AV$5="超R"),MAX(INDEX(其他调用!$H$5:$L$404,MATCH($K287,其他调用!$B$5:$B$404,0),MATCH(AV$5,其他调用!$H$4:$L$4,0))*120*0.85,2),INDEX(其他调用!$H$5:$L$404,MATCH($K287,其他调用!$B$5:$B$404,0),MATCH(AV$5,其他调用!$H$4:$L$4,0))*120*0.85)</f>
        <v>48.921801254999991</v>
      </c>
      <c r="AW287" s="14">
        <f>IF(OR(AW$5="大R",AW$5="超R"),MAX(INDEX(其他调用!$H$5:$L$404,MATCH($K287,其他调用!$B$5:$B$404,0),MATCH(AW$5,其他调用!$H$4:$L$4,0))*120*0.85,2),INDEX(其他调用!$H$5:$L$404,MATCH($K287,其他调用!$B$5:$B$404,0),MATCH(AW$5,其他调用!$H$4:$L$4,0))*120*0.85)</f>
        <v>48.237344010638395</v>
      </c>
      <c r="AX287" s="14">
        <f>IF(OR(AX$5="大R",AX$5="超R"),MAX(INDEX(其他调用!$H$5:$L$404,MATCH($K287,其他调用!$B$5:$B$404,0),MATCH(AX$5,其他调用!$H$4:$L$4,0))*120*0.85,2),INDEX(其他调用!$H$5:$L$404,MATCH($K287,其他调用!$B$5:$B$404,0),MATCH(AX$5,其他调用!$H$4:$L$4,0))*120*0.85)</f>
        <v>3.9376284143615998</v>
      </c>
      <c r="AY287" s="14">
        <f>IF(OR(AY$5="大R",AY$5="超R"),MAX(INDEX(其他调用!$H$5:$L$404,MATCH($K287,其他调用!$B$5:$B$404,0),MATCH(AY$5,其他调用!$H$4:$L$4,0))*120*0.85,2),INDEX(其他调用!$H$5:$L$404,MATCH($K287,其他调用!$B$5:$B$404,0),MATCH(AY$5,其他调用!$H$4:$L$4,0))*120*0.85)</f>
        <v>2</v>
      </c>
      <c r="AZ287" s="14">
        <f>IF(OR(AZ$5="大R",AZ$5="超R"),MAX(INDEX(其他调用!$H$5:$L$404,MATCH($K287,其他调用!$B$5:$B$404,0),MATCH(AZ$5,其他调用!$H$4:$L$4,0))*120*0.85,2),INDEX(其他调用!$H$5:$L$404,MATCH($K287,其他调用!$B$5:$B$404,0),MATCH(AZ$5,其他调用!$H$4:$L$4,0))*120*0.85)</f>
        <v>2</v>
      </c>
      <c r="BA287" s="14">
        <f>INDEX(其他调用!$H$5:$L$404,MATCH($K287,其他调用!$B$5:$B$404,0),MATCH(BA$5,其他调用!$H$4:$L$4,0))*INDEX(其他调用!$M$5:$M$404,MATCH($K287,其他调用!$B$5:$B$404,0))*0.6</f>
        <v>28.777530149999997</v>
      </c>
      <c r="BB287" s="14">
        <f>INDEX(其他调用!$H$5:$L$404,MATCH($K287,其他调用!$B$5:$B$404,0),MATCH(BB$5,其他调用!$H$4:$L$4,0))*INDEX(其他调用!$M$5:$M$404,MATCH($K287,其他调用!$B$5:$B$404,0))*0.6</f>
        <v>28.374908241551999</v>
      </c>
      <c r="BC287" s="14">
        <f>INDEX(其他调用!$H$5:$L$404,MATCH($K287,其他调用!$B$5:$B$404,0),MATCH(BC$5,其他调用!$H$4:$L$4,0))*INDEX(其他调用!$M$5:$M$404,MATCH($K287,其他调用!$B$5:$B$404,0))*0.6</f>
        <v>2.3162520084480001</v>
      </c>
      <c r="BD287" s="14">
        <f>INDEX(其他调用!$H$5:$L$404,MATCH($K287,其他调用!$B$5:$B$404,0),MATCH(BD$5,其他调用!$H$4:$L$4,0))*INDEX(其他调用!$M$5:$M$404,MATCH($K287,其他调用!$B$5:$B$404,0))*0.6</f>
        <v>0.4120776000000001</v>
      </c>
      <c r="BE287" s="14">
        <f>INDEX(其他调用!$H$5:$L$404,MATCH($K287,其他调用!$B$5:$B$404,0),MATCH(BE$5,其他调用!$H$4:$L$4,0))*INDEX(其他调用!$M$5:$M$404,MATCH($K287,其他调用!$B$5:$B$404,0))*0.6</f>
        <v>0.11923199999999998</v>
      </c>
      <c r="BF287" s="14">
        <f>IF(OR(BF$5="大R",BF$5="超R"),0,INDEX(其他调用!$H$5:$L$404,MATCH($K287,其他调用!$B$5:$B$404,0),MATCH(BF$5,其他调用!$H$4:$L$4,0))*50*0.4)</f>
        <v>9.5925100500000013</v>
      </c>
      <c r="BG287" s="14">
        <f>IF(OR(BG$5="大R",BG$5="超R"),0,INDEX(其他调用!$H$5:$L$404,MATCH($K287,其他调用!$B$5:$B$404,0),MATCH(BG$5,其他调用!$H$4:$L$4,0))*50*0.4)</f>
        <v>9.4583027471839998</v>
      </c>
      <c r="BH287" s="14">
        <f>IF(OR(BH$5="大R",BH$5="超R"),0,INDEX(其他调用!$H$5:$L$404,MATCH($K287,其他调用!$B$5:$B$404,0),MATCH(BH$5,其他调用!$H$4:$L$4,0))*50*0.4)</f>
        <v>0.77208400281600009</v>
      </c>
      <c r="BI287" s="14">
        <f>IF(OR(BI$5="大R",BI$5="超R"),0,INDEX(其他调用!$H$5:$L$404,MATCH($K287,其他调用!$B$5:$B$404,0),MATCH(BI$5,其他调用!$H$4:$L$4,0))*50*0.4)</f>
        <v>0</v>
      </c>
      <c r="BJ287" s="14">
        <f>IF(OR(BJ$5="大R",BJ$5="超R"),0,INDEX(其他调用!$H$5:$L$404,MATCH($K287,其他调用!$B$5:$B$404,0),MATCH(BJ$5,其他调用!$H$4:$L$4,0))*50*0.4)</f>
        <v>0</v>
      </c>
      <c r="BL287" s="14">
        <f t="shared" si="523"/>
        <v>282</v>
      </c>
      <c r="BM287" s="14">
        <f t="shared" si="430"/>
        <v>96</v>
      </c>
      <c r="BN287" s="14">
        <f>('疲劳值&amp;地图信息'!$S$10*'疲劳值&amp;地图信息'!$R$10+'疲劳值&amp;地图信息'!$S$11*'疲劳值&amp;地图信息'!$R$11+'疲劳值&amp;地图信息'!$S$12*'疲劳值&amp;地图信息'!$R$12+(BM287-'疲劳值&amp;地图信息'!$S$12-'疲劳值&amp;地图信息'!$S$11-'疲劳值&amp;地图信息'!$S$10)*'疲劳值&amp;地图信息'!$R$13)/BM287</f>
        <v>51.371477246638619</v>
      </c>
      <c r="BO287" s="14">
        <f>INDEX(其他调用!$M$5:$M$404,MATCH(BL287,其他调用!$B$5:$B$404,0))*0.6</f>
        <v>60</v>
      </c>
      <c r="BP287" s="14">
        <f>IF(BO287&gt;SUM('疲劳值&amp;地图信息'!$S$10:$S$12),('疲劳值&amp;地图信息'!$S$10*'疲劳值&amp;地图信息'!$R$10+'疲劳值&amp;地图信息'!$S$11*'疲劳值&amp;地图信息'!$R$11+'疲劳值&amp;地图信息'!$S$12*'疲劳值&amp;地图信息'!$R$12+(BO287-'疲劳值&amp;地图信息'!$S$12-'疲劳值&amp;地图信息'!$S$11-'疲劳值&amp;地图信息'!$S$10)*'疲劳值&amp;地图信息'!$R$13)/BO287,('疲劳值&amp;地图信息'!$S$10*'疲劳值&amp;地图信息'!$R$10+'疲劳值&amp;地图信息'!$S$11*'疲劳值&amp;地图信息'!$R$11+'疲劳值&amp;地图信息'!$S$12*'疲劳值&amp;地图信息'!$R$12+(BO287-'疲劳值&amp;地图信息'!$S$12-'疲劳值&amp;地图信息'!$S$11-'疲劳值&amp;地图信息'!$S$10)*'疲劳值&amp;地图信息'!$R$13)/BO287)</f>
        <v>44.158136341605953</v>
      </c>
      <c r="BQ287" s="14">
        <f t="shared" si="524"/>
        <v>20</v>
      </c>
      <c r="BR287" s="14">
        <f>('疲劳值&amp;地图信息'!$S$10*'疲劳值&amp;地图信息'!$R$10+($BQ287-'疲劳值&amp;地图信息'!$S$10)*'疲劳值&amp;地图信息'!$R$11)/$BQ287</f>
        <v>32.067203015074995</v>
      </c>
      <c r="CF287" s="14">
        <v>282</v>
      </c>
      <c r="CG287" s="51">
        <f t="shared" si="431"/>
        <v>15557</v>
      </c>
      <c r="CH287" s="51">
        <f t="shared" si="432"/>
        <v>1093</v>
      </c>
      <c r="CI287" s="51">
        <f>INT(SUMPRODUCT($N287:$R287,$BA287:$BE287)/SUM($BA287:$BE287)/10000*$BX$7*$BZ$34/'疲劳值&amp;地图信息'!$R$10*$BY$53)</f>
        <v>3335</v>
      </c>
      <c r="CJ287" s="50">
        <f t="shared" si="433"/>
        <v>0.77843382536902672</v>
      </c>
      <c r="CK287" s="50">
        <f t="shared" si="434"/>
        <v>5.4691018263697773E-2</v>
      </c>
      <c r="CL287" s="50">
        <f t="shared" si="435"/>
        <v>0.16687515636727546</v>
      </c>
      <c r="CM287" s="14">
        <f t="shared" si="436"/>
        <v>17011</v>
      </c>
      <c r="CN287" s="14">
        <f t="shared" si="437"/>
        <v>1858</v>
      </c>
      <c r="CO287" s="14">
        <f>INT(SUMPRODUCT($U287:$Y287,$BA287:$BE287)/SUM($BA287:$BE287)/10000*$BX$7*$BZ$34/'疲劳值&amp;地图信息'!$R$10*$BY$54)</f>
        <v>6353</v>
      </c>
      <c r="CP287" s="50">
        <f t="shared" si="438"/>
        <v>0.67445087621917377</v>
      </c>
      <c r="CQ287" s="50">
        <f t="shared" si="439"/>
        <v>7.3665847276187454E-2</v>
      </c>
      <c r="CR287" s="50">
        <f t="shared" si="440"/>
        <v>0.25188327650463882</v>
      </c>
      <c r="CS287" s="14">
        <f t="shared" si="441"/>
        <v>18596</v>
      </c>
      <c r="CT287" s="14">
        <f t="shared" si="442"/>
        <v>3195</v>
      </c>
      <c r="CU287" s="14">
        <f>INT(SUMPRODUCT($AB287:$AF287,$BA287:$BE287)/SUM($BA287:$BE287)/10000*$BX$7*$BZ$34/'疲劳值&amp;地图信息'!$R$10*$BY$55)</f>
        <v>8629</v>
      </c>
      <c r="CV287" s="50">
        <f t="shared" si="443"/>
        <v>0.61130834976988824</v>
      </c>
      <c r="CW287" s="50">
        <f t="shared" si="444"/>
        <v>0.10502958579881656</v>
      </c>
      <c r="CX287" s="50">
        <f t="shared" si="445"/>
        <v>0.28366206443129521</v>
      </c>
      <c r="CY287" s="14">
        <f t="shared" si="446"/>
        <v>22465</v>
      </c>
      <c r="CZ287" s="14">
        <f t="shared" si="447"/>
        <v>9116</v>
      </c>
      <c r="DA287" s="14">
        <f>INT(SUMPRODUCT($AI287:$AM287,$BA287:$BE287)/SUM($BA287:$BE287)/10000*$BX$7*$BZ$34/'疲劳值&amp;地图信息'!$R$10*$BY$56)</f>
        <v>13019</v>
      </c>
      <c r="DB287" s="50">
        <f t="shared" si="448"/>
        <v>0.50369955156950674</v>
      </c>
      <c r="DC287" s="50">
        <f t="shared" si="449"/>
        <v>0.20439461883408072</v>
      </c>
      <c r="DD287" s="50">
        <f t="shared" si="450"/>
        <v>0.29190582959641254</v>
      </c>
      <c r="DE287" s="14">
        <f t="shared" si="451"/>
        <v>23509</v>
      </c>
      <c r="DF287" s="14">
        <f t="shared" si="452"/>
        <v>15977</v>
      </c>
      <c r="DG287" s="14">
        <f>INT(SUMPRODUCT($AP287:$AT287,$BA287:$BE287)/SUM($BA287:$BE287)/10000*$BX$7*$BZ$34/'疲劳值&amp;地图信息'!$R$10*$BY$57)</f>
        <v>17378</v>
      </c>
      <c r="DH287" s="50">
        <f t="shared" si="453"/>
        <v>0.41342501406865506</v>
      </c>
      <c r="DI287" s="50">
        <f t="shared" si="454"/>
        <v>0.28096862689926844</v>
      </c>
      <c r="DJ287" s="50">
        <f t="shared" si="455"/>
        <v>0.30560635903207656</v>
      </c>
      <c r="DL287" s="14">
        <f t="shared" si="526"/>
        <v>19985</v>
      </c>
      <c r="DM287" s="14">
        <f t="shared" si="527"/>
        <v>25222</v>
      </c>
      <c r="DN287" s="14">
        <f t="shared" si="528"/>
        <v>30420</v>
      </c>
      <c r="DO287" s="14">
        <f t="shared" si="529"/>
        <v>44600</v>
      </c>
      <c r="DP287" s="14">
        <f t="shared" si="530"/>
        <v>56864</v>
      </c>
      <c r="DQ287" s="14">
        <f t="shared" si="531"/>
        <v>1386409</v>
      </c>
      <c r="DT287" s="14">
        <f t="shared" si="525"/>
        <v>235575</v>
      </c>
      <c r="DU287" s="50">
        <f t="shared" si="427"/>
        <v>0.14523879397084066</v>
      </c>
      <c r="DW287" s="14">
        <f t="shared" si="456"/>
        <v>1621984</v>
      </c>
      <c r="EB287" s="14">
        <v>282</v>
      </c>
      <c r="EC287" s="51">
        <f t="shared" si="457"/>
        <v>25929</v>
      </c>
      <c r="ED287" s="51">
        <f t="shared" si="458"/>
        <v>1822</v>
      </c>
      <c r="EE287" s="51">
        <f>INT(SUMPRODUCT($N287:$R287,$BF287:$BJ287)/SUM($BF287:$BJ287)/10000*$BX$7*$BZ$46/'疲劳值&amp;地图信息'!$R$10*$BY$53)</f>
        <v>448</v>
      </c>
      <c r="EF287" s="50">
        <f t="shared" si="459"/>
        <v>0.91950069151388347</v>
      </c>
      <c r="EG287" s="50">
        <f t="shared" si="460"/>
        <v>6.4612220291499697E-2</v>
      </c>
      <c r="EH287" s="50">
        <f t="shared" si="461"/>
        <v>1.588708819461683E-2</v>
      </c>
      <c r="EI287" s="51">
        <f t="shared" si="462"/>
        <v>28352</v>
      </c>
      <c r="EJ287" s="51">
        <f t="shared" si="463"/>
        <v>3097</v>
      </c>
      <c r="EK287" s="14">
        <f>INT(SUMPRODUCT($U287:$Y287,$BF287:$BJ287)/SUM($BF287:$BJ287)/10000*$BX$7*$BZ$46/'疲劳值&amp;地图信息'!$R$10*$BY$54)</f>
        <v>853</v>
      </c>
      <c r="EL287" s="50">
        <f t="shared" si="464"/>
        <v>0.87771655005881988</v>
      </c>
      <c r="EM287" s="50">
        <f t="shared" si="465"/>
        <v>9.5876416320970839E-2</v>
      </c>
      <c r="EN287" s="50">
        <f t="shared" si="466"/>
        <v>2.6407033620209276E-2</v>
      </c>
      <c r="EO287" s="51">
        <f t="shared" si="467"/>
        <v>30993</v>
      </c>
      <c r="EP287" s="51">
        <f t="shared" si="468"/>
        <v>5325</v>
      </c>
      <c r="EQ287" s="14">
        <f>INT(SUMPRODUCT($AB287:$AF287,$BF287:$BJ287)/SUM($BF287:$BJ287)/10000*$BX$7*$BZ$46/'疲劳值&amp;地图信息'!$R$10*$BY$55)</f>
        <v>1157</v>
      </c>
      <c r="ER287" s="50">
        <f t="shared" si="469"/>
        <v>0.82703135423615748</v>
      </c>
      <c r="ES287" s="50">
        <f t="shared" si="470"/>
        <v>0.14209472981987992</v>
      </c>
      <c r="ET287" s="50">
        <f t="shared" si="471"/>
        <v>3.0873915943962642E-2</v>
      </c>
      <c r="EU287" s="51">
        <f t="shared" si="472"/>
        <v>37443</v>
      </c>
      <c r="EV287" s="51">
        <f t="shared" si="473"/>
        <v>15194</v>
      </c>
      <c r="EW287" s="14">
        <f>INT(SUMPRODUCT($AI287:$AM287,$BF287:$BJ287)/SUM($BF287:$BJ287)/10000*$BX$7*$BZ$46/'疲劳值&amp;地图信息'!$R$10*$BY$56)</f>
        <v>1735</v>
      </c>
      <c r="EX287" s="50">
        <f t="shared" si="474"/>
        <v>0.68864489075259327</v>
      </c>
      <c r="EY287" s="50">
        <f t="shared" si="475"/>
        <v>0.27944530272934598</v>
      </c>
      <c r="EZ287" s="50">
        <f t="shared" si="476"/>
        <v>3.1909806518060767E-2</v>
      </c>
      <c r="FA287" s="51">
        <f t="shared" si="477"/>
        <v>39182</v>
      </c>
      <c r="FB287" s="51">
        <f t="shared" si="478"/>
        <v>26628</v>
      </c>
      <c r="FC287" s="14">
        <f>INT(SUMPRODUCT($AP287:$AT287,$BF287:$BJ287)/SUM($BF287:$BJ287)/10000*$BX$7*$BZ$46/'疲劳值&amp;地图信息'!$R$10*$BY$57)</f>
        <v>2314</v>
      </c>
      <c r="FD287" s="50">
        <f t="shared" si="479"/>
        <v>0.57515706652574716</v>
      </c>
      <c r="FE287" s="50">
        <f t="shared" si="480"/>
        <v>0.39087546239210852</v>
      </c>
      <c r="FF287" s="50">
        <f t="shared" si="481"/>
        <v>3.3967471082144325E-2</v>
      </c>
      <c r="FH287" s="14">
        <f t="shared" si="482"/>
        <v>28199</v>
      </c>
      <c r="FI287" s="14">
        <f t="shared" si="483"/>
        <v>32302</v>
      </c>
      <c r="FJ287" s="14">
        <f t="shared" si="484"/>
        <v>37475</v>
      </c>
      <c r="FK287" s="14">
        <f t="shared" si="485"/>
        <v>54372</v>
      </c>
      <c r="FL287" s="14">
        <f t="shared" si="486"/>
        <v>68124</v>
      </c>
      <c r="FM287" s="14">
        <f t="shared" si="487"/>
        <v>3330263</v>
      </c>
      <c r="FP287" s="14">
        <f t="shared" si="488"/>
        <v>334150</v>
      </c>
      <c r="FQ287" s="50">
        <f t="shared" si="428"/>
        <v>9.1187865559913692E-2</v>
      </c>
      <c r="FS287" s="14">
        <f t="shared" si="489"/>
        <v>3664413</v>
      </c>
      <c r="FX287" s="14">
        <v>282</v>
      </c>
      <c r="FY287" s="51">
        <f t="shared" si="490"/>
        <v>36300</v>
      </c>
      <c r="FZ287" s="51">
        <f t="shared" si="491"/>
        <v>1822</v>
      </c>
      <c r="GA287" s="51">
        <f>INT(SUMPRODUCT($N287:$R287,$BF287:$BJ287)/SUM($BF287:$BJ287)/10000*$BX$7*$BZ$46/'疲劳值&amp;地图信息'!$R$10*$BY$53)</f>
        <v>448</v>
      </c>
      <c r="GB287" s="50">
        <f t="shared" si="492"/>
        <v>0.94114596836919884</v>
      </c>
      <c r="GC287" s="50">
        <f t="shared" si="493"/>
        <v>4.723878662172673E-2</v>
      </c>
      <c r="GD287" s="50">
        <f t="shared" si="494"/>
        <v>1.1615245009074409E-2</v>
      </c>
      <c r="GE287" s="51">
        <f t="shared" si="495"/>
        <v>39693</v>
      </c>
      <c r="GF287" s="51">
        <f t="shared" si="496"/>
        <v>3097</v>
      </c>
      <c r="GG287" s="14">
        <f>INT(SUMPRODUCT($U287:$Y287,$BF287:$BJ287)/SUM($BF287:$BJ287)/10000*$BX$7*$BZ$46/'疲劳值&amp;地图信息'!$R$10*$BY$54)</f>
        <v>853</v>
      </c>
      <c r="GH287" s="50">
        <f t="shared" si="497"/>
        <v>0.90949293128336728</v>
      </c>
      <c r="GI287" s="50">
        <f t="shared" si="498"/>
        <v>7.0962124510230734E-2</v>
      </c>
      <c r="GJ287" s="50">
        <f t="shared" si="499"/>
        <v>1.9544944206401942E-2</v>
      </c>
      <c r="GK287" s="51">
        <f t="shared" si="500"/>
        <v>43391</v>
      </c>
      <c r="GL287" s="51">
        <f t="shared" si="501"/>
        <v>5325</v>
      </c>
      <c r="GM287" s="14">
        <f>INT(SUMPRODUCT($AB287:$AF287,$BF287:$BJ287)/SUM($BF287:$BJ287)/10000*$BX$7*$BZ$46/'疲劳值&amp;地图信息'!$R$10*$BY$55)</f>
        <v>1157</v>
      </c>
      <c r="GN287" s="50">
        <f t="shared" si="502"/>
        <v>0.87002987588474723</v>
      </c>
      <c r="GO287" s="50">
        <f t="shared" si="503"/>
        <v>0.10677119884506647</v>
      </c>
      <c r="GP287" s="50">
        <f t="shared" si="504"/>
        <v>2.3198925270186275E-2</v>
      </c>
      <c r="GQ287" s="51">
        <f t="shared" si="505"/>
        <v>52420</v>
      </c>
      <c r="GR287" s="51">
        <f t="shared" si="506"/>
        <v>15194</v>
      </c>
      <c r="GS287" s="14">
        <f>INT(SUMPRODUCT($AI287:$AM287,$BF287:$BJ287)/SUM($BF287:$BJ287)/10000*$BX$7*$BZ$46/'疲劳值&amp;地图信息'!$R$10*$BY$56)</f>
        <v>1735</v>
      </c>
      <c r="GT287" s="50">
        <f t="shared" si="507"/>
        <v>0.75588689094291195</v>
      </c>
      <c r="GU287" s="50">
        <f t="shared" si="508"/>
        <v>0.21909472378837475</v>
      </c>
      <c r="GV287" s="50">
        <f t="shared" si="509"/>
        <v>2.501838526871332E-2</v>
      </c>
      <c r="GW287" s="51">
        <f t="shared" si="510"/>
        <v>54855</v>
      </c>
      <c r="GX287" s="51">
        <f t="shared" si="511"/>
        <v>26628</v>
      </c>
      <c r="GY287" s="14">
        <f>INT(SUMPRODUCT($AP287:$AT287,$BF287:$BJ287)/SUM($BF287:$BJ287)/10000*$BX$7*$BZ$46/'疲劳值&amp;地图信息'!$R$10*$BY$57)</f>
        <v>2314</v>
      </c>
      <c r="GZ287" s="50">
        <f t="shared" si="512"/>
        <v>0.65461770707781897</v>
      </c>
      <c r="HA287" s="50">
        <f t="shared" si="513"/>
        <v>0.31776793918636703</v>
      </c>
      <c r="HB287" s="50">
        <f t="shared" si="514"/>
        <v>2.7614353735813932E-2</v>
      </c>
      <c r="HD287" s="14">
        <f t="shared" si="515"/>
        <v>38570</v>
      </c>
      <c r="HE287" s="14">
        <f t="shared" si="516"/>
        <v>43643</v>
      </c>
      <c r="HF287" s="14">
        <f t="shared" si="517"/>
        <v>49873</v>
      </c>
      <c r="HG287" s="14">
        <f t="shared" si="518"/>
        <v>69349</v>
      </c>
      <c r="HH287" s="14">
        <f t="shared" si="519"/>
        <v>83797</v>
      </c>
      <c r="HI287" s="14">
        <f t="shared" si="520"/>
        <v>4494809</v>
      </c>
      <c r="HL287" s="14">
        <f t="shared" si="521"/>
        <v>430050</v>
      </c>
      <c r="HM287" s="50">
        <f t="shared" si="429"/>
        <v>8.7322296942917557E-2</v>
      </c>
      <c r="HO287" s="14">
        <f t="shared" si="522"/>
        <v>4924859</v>
      </c>
    </row>
    <row r="288" spans="11:223" x14ac:dyDescent="0.2">
      <c r="K288" s="14">
        <v>283</v>
      </c>
      <c r="L288" s="12">
        <f>求节点(节奏总纲!D$4:D$163,标准城池设计!AB$4:AB$163,$K288)*求节点(节奏总纲!D$4:D$163,攻城基础信息!$AC$5:$AC$164,$K288)</f>
        <v>764478.15181531268</v>
      </c>
      <c r="M288" s="12">
        <f>INDEX(其他调用!$AA$5:$AA$404,MATCH(K288,其他调用!$X$5:$X$404,0))*MIN(INDEX(其他调用!$AH$5:$AH$364,MATCH('征服点（新）'!K288,其他调用!$AG$5:$AG$364,0),1)/INDEX(其他调用!$AJ$5:$AJ$364,MATCH(K288,其他调用!$AG$5:$AG$364,0),0),5)*求节点(节奏总纲!D$4:D$163,攻城基础信息!$AC$5:$AC$164,$K288)</f>
        <v>53645.737573886669</v>
      </c>
      <c r="N288" s="12">
        <f>MIN(INDEX(其他调用!$AH$5:$AH$364,MATCH($K288,其他调用!$AG$5:$AG$364,0),1)/INDEX(其他调用!AH$5:AH$364,MATCH($K288,其他调用!$AG$5:$AG$364,0),0),1)*INDEX(其他调用!Y$5:Y$404,MATCH($K288,其他调用!$X$5:$X$404,0),0)</f>
        <v>42136.436780288052</v>
      </c>
      <c r="O288" s="12">
        <f>MIN(INDEX(其他调用!$AH$5:$AH$364,MATCH($K288,其他调用!$AG$5:$AG$364,0),1)/INDEX(其他调用!AI$5:AI$364,MATCH($K288,其他调用!$AG$5:$AG$364,0),0),1)*INDEX(其他调用!Z$5:Z$404,MATCH($K288,其他调用!$X$5:$X$404,0),0)</f>
        <v>25469.936730717585</v>
      </c>
      <c r="P288" s="12">
        <f>MIN(INDEX(其他调用!$AH$5:$AH$364,MATCH($K288,其他调用!$AG$5:$AG$364,0),1)/INDEX(其他调用!AJ$5:AJ$364,MATCH($K288,其他调用!$AG$5:$AG$364,0),0),1)*INDEX(其他调用!AA$5:AA$404,MATCH($K288,其他调用!$X$5:$X$404,0),0)</f>
        <v>15327.353592539057</v>
      </c>
      <c r="Q288" s="12">
        <f>MIN(INDEX(其他调用!$AH$5:$AH$364,MATCH($K288,其他调用!$AG$5:$AG$364,0),1)/INDEX(其他调用!AK$5:AK$364,MATCH($K288,其他调用!$AG$5:$AG$364,0),0),1)*INDEX(其他调用!AB$5:AB$404,MATCH($K288,其他调用!$X$5:$X$404,0),0)</f>
        <v>5650.5603091369057</v>
      </c>
      <c r="R288" s="12">
        <f>MIN(INDEX(其他调用!$AH$5:$AH$364,MATCH($K288,其他调用!$AG$5:$AG$364,0),1)/INDEX(其他调用!AL$5:AL$364,MATCH($K288,其他调用!$AG$5:$AG$364,0),0),1)*INDEX(其他调用!AC$5:AC$404,MATCH($K288,其他调用!$X$5:$X$404,0),0)</f>
        <v>3237.9671080653143</v>
      </c>
      <c r="S288" s="12">
        <f>求节点(节奏总纲!D$4:D$163,标准城池设计!AC$4:AC$163,$K288)*求节点(节奏总纲!D$4:D$163,攻城基础信息!$AD$5:$AD$164,$K288)</f>
        <v>836092.32179683051</v>
      </c>
      <c r="T288" s="12">
        <f>INDEX(其他调用!$AA$5:$AA$404,MATCH($K288,其他调用!$X$5:$X$404,0))*MIN(INDEX(其他调用!AI$5:AI$364,MATCH($K288,其他调用!$AG$5:$AG$364,0),1)/INDEX(其他调用!$AJ$5:$AJ$364,MATCH($K288,其他调用!$AG$5:$AG$364,0),0),5)*求节点(节奏总纲!D$4:D$163,攻城基础信息!$AD$5:$AD$164,$K288)</f>
        <v>91183.475925866514</v>
      </c>
      <c r="U288" s="12">
        <f>MIN(INDEX(其他调用!$AI$5:$AI$364,MATCH($K288,其他调用!$AG$5:$AG$364,0),1)/INDEX(其他调用!AH$5:AH$364,MATCH($K288,其他调用!$AG$5:$AG$364,0),0),1)*INDEX(其他调用!Y$5:Y$404,MATCH($K288,其他调用!$X$5:$X$404,0),0)</f>
        <v>42136.436780288052</v>
      </c>
      <c r="V288" s="12">
        <f>MIN(INDEX(其他调用!$AI$5:$AI$364,MATCH($K288,其他调用!$AG$5:$AG$364,0),1)/INDEX(其他调用!AI$5:AI$364,MATCH($K288,其他调用!$AG$5:$AG$364,0),0),1)*INDEX(其他调用!Z$5:Z$404,MATCH($K288,其他调用!$X$5:$X$404,0),0)</f>
        <v>43292.113553663425</v>
      </c>
      <c r="W288" s="12">
        <f>MIN(INDEX(其他调用!$AI$5:$AI$364,MATCH($K288,其他调用!$AG$5:$AG$364,0),1)/INDEX(其他调用!AJ$5:AJ$364,MATCH($K288,其他调用!$AG$5:$AG$364,0),0),1)*INDEX(其他调用!AA$5:AA$404,MATCH($K288,其他调用!$X$5:$X$404,0),0)</f>
        <v>26052.421693104734</v>
      </c>
      <c r="X288" s="12">
        <f>MIN(INDEX(其他调用!$AI$5:$AI$364,MATCH($K288,其他调用!$AG$5:$AG$364,0),1)/INDEX(其他调用!AK$5:AK$364,MATCH($K288,其他调用!$AG$5:$AG$364,0),0),1)*INDEX(其他调用!AB$5:AB$404,MATCH($K288,其他调用!$X$5:$X$404,0),0)</f>
        <v>9604.448614509236</v>
      </c>
      <c r="Y288" s="12">
        <f>MIN(INDEX(其他调用!$AI$5:$AI$364,MATCH($K288,其他调用!$AG$5:$AG$364,0),1)/INDEX(其他调用!AL$5:AL$364,MATCH($K288,其他调用!$AG$5:$AG$364,0),0),1)*INDEX(其他调用!AC$5:AC$404,MATCH($K288,其他调用!$X$5:$X$404,0),0)</f>
        <v>5503.6822905151121</v>
      </c>
      <c r="Z288" s="12">
        <f>求节点(节奏总纲!D$4:D$163,标准城池设计!AD$4:AD$163,$K288)*求节点(节奏总纲!D$4:D$163,攻城基础信息!$AE$5:$AE$164,$K288)</f>
        <v>913834.10991815722</v>
      </c>
      <c r="AA288" s="12">
        <f>INDEX(其他调用!$AA$5:$AA$404,MATCH($K288,其他调用!$X$5:$X$404,0))*MIN(INDEX(其他调用!AJ$5:AJ$364,MATCH($K288,其他调用!$AG$5:$AG$364,0),1)/INDEX(其他调用!$AJ$5:$AJ$364,MATCH($K288,其他调用!$AG$5:$AG$364,0),0),5)*求节点(节奏总纲!D$4:D$163,攻城基础信息!$AE$5:$AE$164,$K288)</f>
        <v>156852.23625574855</v>
      </c>
      <c r="AB288" s="12">
        <f>MIN(INDEX(其他调用!$AJ$5:$AJ$364,MATCH($K288,其他调用!$AG$5:$AG$364,0),1)/INDEX(其他调用!AH$5:AH$364,MATCH($K288,其他调用!$AG$5:$AG$364,0),0),1)*INDEX(其他调用!Y$5:Y$404,MATCH($K288,其他调用!$X$5:$X$404,0),0)</f>
        <v>42136.436780288052</v>
      </c>
      <c r="AC288" s="12">
        <f>MIN(INDEX(其他调用!$AJ$5:$AJ$364,MATCH($K288,其他调用!$AG$5:$AG$364,0),1)/INDEX(其他调用!AI$5:AI$364,MATCH($K288,其他调用!$AG$5:$AG$364,0),0),1)*INDEX(其他调用!Z$5:Z$404,MATCH($K288,其他调用!$X$5:$X$404,0),0)</f>
        <v>43292.113553663425</v>
      </c>
      <c r="AD288" s="12">
        <f>MIN(INDEX(其他调用!$AJ$5:$AJ$364,MATCH($K288,其他调用!$AG$5:$AG$364,0),1)/INDEX(其他调用!AJ$5:AJ$364,MATCH($K288,其他调用!$AG$5:$AG$364,0),0),1)*INDEX(其他调用!AA$5:AA$404,MATCH($K288,其他调用!$X$5:$X$404,0),0)</f>
        <v>44814.924644499617</v>
      </c>
      <c r="AE288" s="12">
        <f>MIN(INDEX(其他调用!$AJ$5:$AJ$364,MATCH($K288,其他调用!$AG$5:$AG$364,0),1)/INDEX(其他调用!AK$5:AK$364,MATCH($K288,其他调用!$AG$5:$AG$364,0),0),1)*INDEX(其他调用!AB$5:AB$404,MATCH($K288,其他调用!$X$5:$X$404,0),0)</f>
        <v>16521.406185633779</v>
      </c>
      <c r="AF288" s="12">
        <f>MIN(INDEX(其他调用!$AJ$5:$AJ$364,MATCH($K288,其他调用!$AG$5:$AG$364,0),1)/INDEX(其他调用!AL$5:AL$364,MATCH($K288,其他调用!$AG$5:$AG$364,0),0),1)*INDEX(其他调用!AC$5:AC$404,MATCH($K288,其他调用!$X$5:$X$404,0),0)</f>
        <v>9467.3389684146568</v>
      </c>
      <c r="AG288" s="12">
        <f>求节点(节奏总纲!D$4:D$163,标准城池设计!AE$4:AE$163,$K288)*求节点(节奏总纲!D$4:D$163,攻城基础信息!$AF$5:$AF$164,$K288)</f>
        <v>1104073.2531828631</v>
      </c>
      <c r="AH288" s="12">
        <f>INDEX(其他调用!$AA$5:$AA$404,MATCH($K288,其他调用!$X$5:$X$404,0))*MIN(INDEX(其他调用!AK$5:AK$364,MATCH($K288,其他调用!$AG$5:$AG$364,0),1)/INDEX(其他调用!$AJ$5:$AJ$364,MATCH($K288,其他调用!$AG$5:$AG$364,0),0),5)*求节点(节奏总纲!D$4:D$163,攻城基础信息!$AF$5:$AF$164,$K288)</f>
        <v>446867.58737465634</v>
      </c>
      <c r="AI288" s="12">
        <f>MIN(INDEX(其他调用!$AK$5:$AK$364,MATCH($K288,其他调用!$AG$5:$AG$364,0),1)/INDEX(其他调用!AH$5:AH$364,MATCH($K288,其他调用!$AG$5:$AG$364,0),0),1)*INDEX(其他调用!Y$5:Y$404,MATCH($K288,其他调用!$X$5:$X$404,0),0)</f>
        <v>42136.436780288052</v>
      </c>
      <c r="AJ288" s="12">
        <f>MIN(INDEX(其他调用!$AK$5:$AK$364,MATCH($K288,其他调用!$AG$5:$AG$364,0),1)/INDEX(其他调用!AI$5:AI$364,MATCH($K288,其他调用!$AG$5:$AG$364,0),0),1)*INDEX(其他调用!Z$5:Z$404,MATCH($K288,其他调用!$X$5:$X$404,0),0)</f>
        <v>43292.113553663425</v>
      </c>
      <c r="AK288" s="12">
        <f>MIN(INDEX(其他调用!$AK$5:$AK$364,MATCH($K288,其他调用!$AG$5:$AG$364,0),1)/INDEX(其他调用!AJ$5:AJ$364,MATCH($K288,其他调用!$AG$5:$AG$364,0),0),1)*INDEX(其他调用!AA$5:AA$404,MATCH($K288,其他调用!$X$5:$X$404,0),0)</f>
        <v>44814.924644499617</v>
      </c>
      <c r="AL288" s="12">
        <f>MIN(INDEX(其他调用!$AK$5:$AK$364,MATCH($K288,其他调用!$AG$5:$AG$364,0),1)/INDEX(其他调用!AK$5:AK$364,MATCH($K288,其他调用!$AG$5:$AG$364,0),0),1)*INDEX(其他调用!AB$5:AB$404,MATCH($K288,其他调用!$X$5:$X$404,0),0)</f>
        <v>47069.019214830048</v>
      </c>
      <c r="AM288" s="12">
        <f>MIN(INDEX(其他调用!$AK$5:$AK$364,MATCH($K288,其他调用!$AG$5:$AG$364,0),1)/INDEX(其他调用!AL$5:AL$364,MATCH($K288,其他调用!$AG$5:$AG$364,0),0),1)*INDEX(其他调用!AC$5:AC$404,MATCH($K288,其他调用!$X$5:$X$404,0),0)</f>
        <v>26972.181109202866</v>
      </c>
      <c r="AN288" s="12">
        <f>求节点(节奏总纲!D$4:D$163,标准城池设计!AF$4:AF$163,$K288)*求节点(节奏总纲!D$4:D$163,攻城基础信息!$AG$5:$AG$164,$K288)</f>
        <v>1155280.9185004681</v>
      </c>
      <c r="AO288" s="12">
        <f>INDEX(其他调用!$AA$5:$AA$404,MATCH($K288,其他调用!$X$5:$X$404,0))*MIN(INDEX(其他调用!AL$5:AL$364,MATCH($K288,其他调用!$AG$5:$AG$364,0),1)/INDEX(其他调用!$AJ$5:$AJ$364,MATCH($K288,其他调用!$AG$5:$AG$364,0),0),5)*求节点(节奏总纲!D$4:D$163,攻城基础信息!$AG$5:$AG$164,$K288)</f>
        <v>784261.18127874273</v>
      </c>
      <c r="AP288" s="12">
        <f>MIN(INDEX(其他调用!$AL$5:$AL$364,MATCH($K288,其他调用!$AG$5:$AG$364,0),1)/INDEX(其他调用!AH$5:AH$364,MATCH($K288,其他调用!$AG$5:$AG$364,0),0),1)*INDEX(其他调用!Y$5:Y$404,MATCH($K288,其他调用!$X$5:$X$404,0),0)</f>
        <v>42136.436780288052</v>
      </c>
      <c r="AQ288" s="12">
        <f>MIN(INDEX(其他调用!$AL$5:$AL$364,MATCH($K288,其他调用!$AG$5:$AG$364,0),1)/INDEX(其他调用!AI$5:AI$364,MATCH($K288,其他调用!$AG$5:$AG$364,0),0),1)*INDEX(其他调用!Z$5:Z$404,MATCH($K288,其他调用!$X$5:$X$404,0),0)</f>
        <v>43292.113553663425</v>
      </c>
      <c r="AR288" s="12">
        <f>MIN(INDEX(其他调用!$AL$5:$AL$364,MATCH($K288,其他调用!$AG$5:$AG$364,0),1)/INDEX(其他调用!AJ$5:AJ$364,MATCH($K288,其他调用!$AG$5:$AG$364,0),0),1)*INDEX(其他调用!AA$5:AA$404,MATCH($K288,其他调用!$X$5:$X$404,0),0)</f>
        <v>44814.924644499617</v>
      </c>
      <c r="AS288" s="12">
        <f>MIN(INDEX(其他调用!$AL$5:$AL$364,MATCH($K288,其他调用!$AG$5:$AG$364,0),1)/INDEX(其他调用!AK$5:AK$364,MATCH($K288,其他调用!$AG$5:$AG$364,0),0),1)*INDEX(其他调用!AB$5:AB$404,MATCH($K288,其他调用!$X$5:$X$404,0),0)</f>
        <v>47069.019214830048</v>
      </c>
      <c r="AT288" s="12">
        <f>MIN(INDEX(其他调用!$AL$5:$AL$364,MATCH($K288,其他调用!$AG$5:$AG$364,0),1)/INDEX(其他调用!AL$5:AL$364,MATCH($K288,其他调用!$AG$5:$AG$364,0),0),1)*INDEX(其他调用!AC$5:AC$404,MATCH($K288,其他调用!$X$5:$X$404,0),0)</f>
        <v>50960.996291929012</v>
      </c>
      <c r="AV288" s="14">
        <f>IF(OR(AV$5="大R",AV$5="超R"),MAX(INDEX(其他调用!$H$5:$L$404,MATCH($K288,其他调用!$B$5:$B$404,0),MATCH(AV$5,其他调用!$H$4:$L$4,0))*120*0.85,2),INDEX(其他调用!$H$5:$L$404,MATCH($K288,其他调用!$B$5:$B$404,0),MATCH(AV$5,其他调用!$H$4:$L$4,0))*120*0.85)</f>
        <v>48.921801254999991</v>
      </c>
      <c r="AW288" s="14">
        <f>IF(OR(AW$5="大R",AW$5="超R"),MAX(INDEX(其他调用!$H$5:$L$404,MATCH($K288,其他调用!$B$5:$B$404,0),MATCH(AW$5,其他调用!$H$4:$L$4,0))*120*0.85,2),INDEX(其他调用!$H$5:$L$404,MATCH($K288,其他调用!$B$5:$B$404,0),MATCH(AW$5,其他调用!$H$4:$L$4,0))*120*0.85)</f>
        <v>48.237344010638395</v>
      </c>
      <c r="AX288" s="14">
        <f>IF(OR(AX$5="大R",AX$5="超R"),MAX(INDEX(其他调用!$H$5:$L$404,MATCH($K288,其他调用!$B$5:$B$404,0),MATCH(AX$5,其他调用!$H$4:$L$4,0))*120*0.85,2),INDEX(其他调用!$H$5:$L$404,MATCH($K288,其他调用!$B$5:$B$404,0),MATCH(AX$5,其他调用!$H$4:$L$4,0))*120*0.85)</f>
        <v>3.9376284143615998</v>
      </c>
      <c r="AY288" s="14">
        <f>IF(OR(AY$5="大R",AY$5="超R"),MAX(INDEX(其他调用!$H$5:$L$404,MATCH($K288,其他调用!$B$5:$B$404,0),MATCH(AY$5,其他调用!$H$4:$L$4,0))*120*0.85,2),INDEX(其他调用!$H$5:$L$404,MATCH($K288,其他调用!$B$5:$B$404,0),MATCH(AY$5,其他调用!$H$4:$L$4,0))*120*0.85)</f>
        <v>2</v>
      </c>
      <c r="AZ288" s="14">
        <f>IF(OR(AZ$5="大R",AZ$5="超R"),MAX(INDEX(其他调用!$H$5:$L$404,MATCH($K288,其他调用!$B$5:$B$404,0),MATCH(AZ$5,其他调用!$H$4:$L$4,0))*120*0.85,2),INDEX(其他调用!$H$5:$L$404,MATCH($K288,其他调用!$B$5:$B$404,0),MATCH(AZ$5,其他调用!$H$4:$L$4,0))*120*0.85)</f>
        <v>2</v>
      </c>
      <c r="BA288" s="14">
        <f>INDEX(其他调用!$H$5:$L$404,MATCH($K288,其他调用!$B$5:$B$404,0),MATCH(BA$5,其他调用!$H$4:$L$4,0))*INDEX(其他调用!$M$5:$M$404,MATCH($K288,其他调用!$B$5:$B$404,0))*0.6</f>
        <v>28.777530149999997</v>
      </c>
      <c r="BB288" s="14">
        <f>INDEX(其他调用!$H$5:$L$404,MATCH($K288,其他调用!$B$5:$B$404,0),MATCH(BB$5,其他调用!$H$4:$L$4,0))*INDEX(其他调用!$M$5:$M$404,MATCH($K288,其他调用!$B$5:$B$404,0))*0.6</f>
        <v>28.374908241551999</v>
      </c>
      <c r="BC288" s="14">
        <f>INDEX(其他调用!$H$5:$L$404,MATCH($K288,其他调用!$B$5:$B$404,0),MATCH(BC$5,其他调用!$H$4:$L$4,0))*INDEX(其他调用!$M$5:$M$404,MATCH($K288,其他调用!$B$5:$B$404,0))*0.6</f>
        <v>2.3162520084480001</v>
      </c>
      <c r="BD288" s="14">
        <f>INDEX(其他调用!$H$5:$L$404,MATCH($K288,其他调用!$B$5:$B$404,0),MATCH(BD$5,其他调用!$H$4:$L$4,0))*INDEX(其他调用!$M$5:$M$404,MATCH($K288,其他调用!$B$5:$B$404,0))*0.6</f>
        <v>0.4120776000000001</v>
      </c>
      <c r="BE288" s="14">
        <f>INDEX(其他调用!$H$5:$L$404,MATCH($K288,其他调用!$B$5:$B$404,0),MATCH(BE$5,其他调用!$H$4:$L$4,0))*INDEX(其他调用!$M$5:$M$404,MATCH($K288,其他调用!$B$5:$B$404,0))*0.6</f>
        <v>0.11923199999999998</v>
      </c>
      <c r="BF288" s="14">
        <f>IF(OR(BF$5="大R",BF$5="超R"),0,INDEX(其他调用!$H$5:$L$404,MATCH($K288,其他调用!$B$5:$B$404,0),MATCH(BF$5,其他调用!$H$4:$L$4,0))*50*0.4)</f>
        <v>9.5925100500000013</v>
      </c>
      <c r="BG288" s="14">
        <f>IF(OR(BG$5="大R",BG$5="超R"),0,INDEX(其他调用!$H$5:$L$404,MATCH($K288,其他调用!$B$5:$B$404,0),MATCH(BG$5,其他调用!$H$4:$L$4,0))*50*0.4)</f>
        <v>9.4583027471839998</v>
      </c>
      <c r="BH288" s="14">
        <f>IF(OR(BH$5="大R",BH$5="超R"),0,INDEX(其他调用!$H$5:$L$404,MATCH($K288,其他调用!$B$5:$B$404,0),MATCH(BH$5,其他调用!$H$4:$L$4,0))*50*0.4)</f>
        <v>0.77208400281600009</v>
      </c>
      <c r="BI288" s="14">
        <f>IF(OR(BI$5="大R",BI$5="超R"),0,INDEX(其他调用!$H$5:$L$404,MATCH($K288,其他调用!$B$5:$B$404,0),MATCH(BI$5,其他调用!$H$4:$L$4,0))*50*0.4)</f>
        <v>0</v>
      </c>
      <c r="BJ288" s="14">
        <f>IF(OR(BJ$5="大R",BJ$5="超R"),0,INDEX(其他调用!$H$5:$L$404,MATCH($K288,其他调用!$B$5:$B$404,0),MATCH(BJ$5,其他调用!$H$4:$L$4,0))*50*0.4)</f>
        <v>0</v>
      </c>
      <c r="BL288" s="14">
        <f t="shared" si="523"/>
        <v>283</v>
      </c>
      <c r="BM288" s="14">
        <f t="shared" si="430"/>
        <v>96</v>
      </c>
      <c r="BN288" s="14">
        <f>('疲劳值&amp;地图信息'!$S$10*'疲劳值&amp;地图信息'!$R$10+'疲劳值&amp;地图信息'!$S$11*'疲劳值&amp;地图信息'!$R$11+'疲劳值&amp;地图信息'!$S$12*'疲劳值&amp;地图信息'!$R$12+(BM288-'疲劳值&amp;地图信息'!$S$12-'疲劳值&amp;地图信息'!$S$11-'疲劳值&amp;地图信息'!$S$10)*'疲劳值&amp;地图信息'!$R$13)/BM288</f>
        <v>51.371477246638619</v>
      </c>
      <c r="BO288" s="14">
        <f>INDEX(其他调用!$M$5:$M$404,MATCH(BL288,其他调用!$B$5:$B$404,0))*0.6</f>
        <v>60</v>
      </c>
      <c r="BP288" s="14">
        <f>IF(BO288&gt;SUM('疲劳值&amp;地图信息'!$S$10:$S$12),('疲劳值&amp;地图信息'!$S$10*'疲劳值&amp;地图信息'!$R$10+'疲劳值&amp;地图信息'!$S$11*'疲劳值&amp;地图信息'!$R$11+'疲劳值&amp;地图信息'!$S$12*'疲劳值&amp;地图信息'!$R$12+(BO288-'疲劳值&amp;地图信息'!$S$12-'疲劳值&amp;地图信息'!$S$11-'疲劳值&amp;地图信息'!$S$10)*'疲劳值&amp;地图信息'!$R$13)/BO288,('疲劳值&amp;地图信息'!$S$10*'疲劳值&amp;地图信息'!$R$10+'疲劳值&amp;地图信息'!$S$11*'疲劳值&amp;地图信息'!$R$11+'疲劳值&amp;地图信息'!$S$12*'疲劳值&amp;地图信息'!$R$12+(BO288-'疲劳值&amp;地图信息'!$S$12-'疲劳值&amp;地图信息'!$S$11-'疲劳值&amp;地图信息'!$S$10)*'疲劳值&amp;地图信息'!$R$13)/BO288)</f>
        <v>44.158136341605953</v>
      </c>
      <c r="BQ288" s="14">
        <f t="shared" si="524"/>
        <v>20</v>
      </c>
      <c r="BR288" s="14">
        <f>('疲劳值&amp;地图信息'!$S$10*'疲劳值&amp;地图信息'!$R$10+($BQ288-'疲劳值&amp;地图信息'!$S$10)*'疲劳值&amp;地图信息'!$R$11)/$BQ288</f>
        <v>32.067203015074995</v>
      </c>
      <c r="CF288" s="14">
        <v>283</v>
      </c>
      <c r="CG288" s="51">
        <f t="shared" si="431"/>
        <v>15581</v>
      </c>
      <c r="CH288" s="51">
        <f t="shared" si="432"/>
        <v>1093</v>
      </c>
      <c r="CI288" s="51">
        <f>INT(SUMPRODUCT($N288:$R288,$BA288:$BE288)/SUM($BA288:$BE288)/10000*$BX$7*$BZ$34/'疲劳值&amp;地图信息'!$R$10*$BY$53)</f>
        <v>3337</v>
      </c>
      <c r="CJ288" s="50">
        <f t="shared" si="433"/>
        <v>0.77862175803308176</v>
      </c>
      <c r="CK288" s="50">
        <f t="shared" si="434"/>
        <v>5.4619959022537606E-2</v>
      </c>
      <c r="CL288" s="50">
        <f t="shared" si="435"/>
        <v>0.16675828294438058</v>
      </c>
      <c r="CM288" s="14">
        <f t="shared" si="436"/>
        <v>17040</v>
      </c>
      <c r="CN288" s="14">
        <f t="shared" si="437"/>
        <v>1858</v>
      </c>
      <c r="CO288" s="14">
        <f>INT(SUMPRODUCT($U288:$Y288,$BA288:$BE288)/SUM($BA288:$BE288)/10000*$BX$7*$BZ$34/'疲劳值&amp;地图信息'!$R$10*$BY$54)</f>
        <v>6356</v>
      </c>
      <c r="CP288" s="50">
        <f t="shared" si="438"/>
        <v>0.67474459491565697</v>
      </c>
      <c r="CQ288" s="50">
        <f t="shared" si="439"/>
        <v>7.3572503365803441E-2</v>
      </c>
      <c r="CR288" s="50">
        <f t="shared" si="440"/>
        <v>0.25168290171853963</v>
      </c>
      <c r="CS288" s="14">
        <f t="shared" si="441"/>
        <v>18625</v>
      </c>
      <c r="CT288" s="14">
        <f t="shared" si="442"/>
        <v>3196</v>
      </c>
      <c r="CU288" s="14">
        <f>INT(SUMPRODUCT($AB288:$AF288,$BA288:$BE288)/SUM($BA288:$BE288)/10000*$BX$7*$BZ$34/'疲劳值&amp;地图信息'!$R$10*$BY$55)</f>
        <v>8633</v>
      </c>
      <c r="CV288" s="50">
        <f t="shared" si="443"/>
        <v>0.61157811781703553</v>
      </c>
      <c r="CW288" s="50">
        <f t="shared" si="444"/>
        <v>0.10494516319695278</v>
      </c>
      <c r="CX288" s="50">
        <f t="shared" si="445"/>
        <v>0.28347671898601168</v>
      </c>
      <c r="CY288" s="14">
        <f t="shared" si="446"/>
        <v>22502</v>
      </c>
      <c r="CZ288" s="14">
        <f t="shared" si="447"/>
        <v>9107</v>
      </c>
      <c r="DA288" s="14">
        <f>INT(SUMPRODUCT($AI288:$AM288,$BA288:$BE288)/SUM($BA288:$BE288)/10000*$BX$7*$BZ$34/'疲劳值&amp;地图信息'!$R$10*$BY$56)</f>
        <v>13025</v>
      </c>
      <c r="DB288" s="50">
        <f t="shared" si="448"/>
        <v>0.50414482233275082</v>
      </c>
      <c r="DC288" s="50">
        <f t="shared" si="449"/>
        <v>0.20403728099654972</v>
      </c>
      <c r="DD288" s="50">
        <f t="shared" si="450"/>
        <v>0.29181789667069946</v>
      </c>
      <c r="DE288" s="14">
        <f t="shared" si="451"/>
        <v>23546</v>
      </c>
      <c r="DF288" s="14">
        <f t="shared" si="452"/>
        <v>15984</v>
      </c>
      <c r="DG288" s="14">
        <f>INT(SUMPRODUCT($AP288:$AT288,$BA288:$BE288)/SUM($BA288:$BE288)/10000*$BX$7*$BZ$34/'疲劳值&amp;地图信息'!$R$10*$BY$57)</f>
        <v>17386</v>
      </c>
      <c r="DH288" s="50">
        <f t="shared" si="453"/>
        <v>0.41369737859301425</v>
      </c>
      <c r="DI288" s="50">
        <f t="shared" si="454"/>
        <v>0.28083491461100568</v>
      </c>
      <c r="DJ288" s="50">
        <f t="shared" si="455"/>
        <v>0.30546770679598007</v>
      </c>
      <c r="DL288" s="14">
        <f t="shared" si="526"/>
        <v>20011</v>
      </c>
      <c r="DM288" s="14">
        <f t="shared" si="527"/>
        <v>25254</v>
      </c>
      <c r="DN288" s="14">
        <f t="shared" si="528"/>
        <v>30454</v>
      </c>
      <c r="DO288" s="14">
        <f t="shared" si="529"/>
        <v>44634</v>
      </c>
      <c r="DP288" s="14">
        <f t="shared" si="530"/>
        <v>56916</v>
      </c>
      <c r="DQ288" s="14">
        <f t="shared" si="531"/>
        <v>1388165</v>
      </c>
      <c r="DT288" s="14">
        <f t="shared" si="525"/>
        <v>235575</v>
      </c>
      <c r="DU288" s="50">
        <f t="shared" si="427"/>
        <v>0.14508172490669688</v>
      </c>
      <c r="DW288" s="14">
        <f t="shared" si="456"/>
        <v>1623740</v>
      </c>
      <c r="EB288" s="14">
        <v>283</v>
      </c>
      <c r="EC288" s="51">
        <f t="shared" si="457"/>
        <v>25968</v>
      </c>
      <c r="ED288" s="51">
        <f t="shared" si="458"/>
        <v>1822</v>
      </c>
      <c r="EE288" s="51">
        <f>INT(SUMPRODUCT($N288:$R288,$BF288:$BJ288)/SUM($BF288:$BJ288)/10000*$BX$7*$BZ$46/'疲劳值&amp;地图信息'!$R$10*$BY$53)</f>
        <v>448</v>
      </c>
      <c r="EF288" s="50">
        <f t="shared" si="459"/>
        <v>0.91961187052907434</v>
      </c>
      <c r="EG288" s="50">
        <f t="shared" si="460"/>
        <v>6.4522983214108653E-2</v>
      </c>
      <c r="EH288" s="50">
        <f t="shared" si="461"/>
        <v>1.5865146256817054E-2</v>
      </c>
      <c r="EI288" s="51">
        <f t="shared" si="462"/>
        <v>28401</v>
      </c>
      <c r="EJ288" s="51">
        <f t="shared" si="463"/>
        <v>3097</v>
      </c>
      <c r="EK288" s="14">
        <f>INT(SUMPRODUCT($U288:$Y288,$BF288:$BJ288)/SUM($BF288:$BJ288)/10000*$BX$7*$BZ$46/'疲劳值&amp;地图信息'!$R$10*$BY$54)</f>
        <v>853</v>
      </c>
      <c r="EL288" s="50">
        <f t="shared" si="464"/>
        <v>0.87790176501499184</v>
      </c>
      <c r="EM288" s="50">
        <f t="shared" si="465"/>
        <v>9.5731198417359581E-2</v>
      </c>
      <c r="EN288" s="50">
        <f t="shared" si="466"/>
        <v>2.6367036567648605E-2</v>
      </c>
      <c r="EO288" s="51">
        <f t="shared" si="467"/>
        <v>31041</v>
      </c>
      <c r="EP288" s="51">
        <f t="shared" si="468"/>
        <v>5328</v>
      </c>
      <c r="EQ288" s="14">
        <f>INT(SUMPRODUCT($AB288:$AF288,$BF288:$BJ288)/SUM($BF288:$BJ288)/10000*$BX$7*$BZ$46/'疲劳值&amp;地图信息'!$R$10*$BY$55)</f>
        <v>1157</v>
      </c>
      <c r="ER288" s="50">
        <f t="shared" si="469"/>
        <v>0.82718648403773387</v>
      </c>
      <c r="ES288" s="50">
        <f t="shared" si="470"/>
        <v>0.14198155945211322</v>
      </c>
      <c r="ET288" s="50">
        <f t="shared" si="471"/>
        <v>3.0831956510152962E-2</v>
      </c>
      <c r="EU288" s="51">
        <f t="shared" si="472"/>
        <v>37504</v>
      </c>
      <c r="EV288" s="51">
        <f t="shared" si="473"/>
        <v>15179</v>
      </c>
      <c r="EW288" s="14">
        <f>INT(SUMPRODUCT($AI288:$AM288,$BF288:$BJ288)/SUM($BF288:$BJ288)/10000*$BX$7*$BZ$46/'疲劳值&amp;地图信息'!$R$10*$BY$56)</f>
        <v>1736</v>
      </c>
      <c r="EX288" s="50">
        <f t="shared" si="474"/>
        <v>0.68917106157775776</v>
      </c>
      <c r="EY288" s="50">
        <f t="shared" si="475"/>
        <v>0.27892831547804997</v>
      </c>
      <c r="EZ288" s="50">
        <f t="shared" si="476"/>
        <v>3.1900622944192283E-2</v>
      </c>
      <c r="FA288" s="51">
        <f t="shared" si="477"/>
        <v>39243</v>
      </c>
      <c r="FB288" s="51">
        <f t="shared" si="478"/>
        <v>26640</v>
      </c>
      <c r="FC288" s="14">
        <f>INT(SUMPRODUCT($AP288:$AT288,$BF288:$BJ288)/SUM($BF288:$BJ288)/10000*$BX$7*$BZ$46/'疲劳值&amp;地图信息'!$R$10*$BY$57)</f>
        <v>2315</v>
      </c>
      <c r="FD288" s="50">
        <f t="shared" si="479"/>
        <v>0.57542743188949819</v>
      </c>
      <c r="FE288" s="50">
        <f t="shared" si="480"/>
        <v>0.39062729112290684</v>
      </c>
      <c r="FF288" s="50">
        <f t="shared" si="481"/>
        <v>3.3945276987594947E-2</v>
      </c>
      <c r="FH288" s="14">
        <f t="shared" si="482"/>
        <v>28238</v>
      </c>
      <c r="FI288" s="14">
        <f t="shared" si="483"/>
        <v>32351</v>
      </c>
      <c r="FJ288" s="14">
        <f t="shared" si="484"/>
        <v>37526</v>
      </c>
      <c r="FK288" s="14">
        <f t="shared" si="485"/>
        <v>54419</v>
      </c>
      <c r="FL288" s="14">
        <f t="shared" si="486"/>
        <v>68198</v>
      </c>
      <c r="FM288" s="14">
        <f t="shared" si="487"/>
        <v>3334977</v>
      </c>
      <c r="FP288" s="14">
        <f t="shared" si="488"/>
        <v>334150</v>
      </c>
      <c r="FQ288" s="50">
        <f t="shared" si="428"/>
        <v>9.1070709735585606E-2</v>
      </c>
      <c r="FS288" s="14">
        <f t="shared" si="489"/>
        <v>3669127</v>
      </c>
      <c r="FX288" s="14">
        <v>283</v>
      </c>
      <c r="FY288" s="51">
        <f t="shared" si="490"/>
        <v>36355</v>
      </c>
      <c r="FZ288" s="51">
        <f t="shared" si="491"/>
        <v>1822</v>
      </c>
      <c r="GA288" s="51">
        <f>INT(SUMPRODUCT($N288:$R288,$BF288:$BJ288)/SUM($BF288:$BJ288)/10000*$BX$7*$BZ$46/'疲劳值&amp;地图信息'!$R$10*$BY$53)</f>
        <v>448</v>
      </c>
      <c r="GB288" s="50">
        <f t="shared" si="492"/>
        <v>0.94122977346278314</v>
      </c>
      <c r="GC288" s="50">
        <f t="shared" si="493"/>
        <v>4.7171521035598706E-2</v>
      </c>
      <c r="GD288" s="50">
        <f t="shared" si="494"/>
        <v>1.1598705501618123E-2</v>
      </c>
      <c r="GE288" s="51">
        <f t="shared" si="495"/>
        <v>39761</v>
      </c>
      <c r="GF288" s="51">
        <f t="shared" si="496"/>
        <v>3097</v>
      </c>
      <c r="GG288" s="14">
        <f>INT(SUMPRODUCT($U288:$Y288,$BF288:$BJ288)/SUM($BF288:$BJ288)/10000*$BX$7*$BZ$46/'疲劳值&amp;地图信息'!$R$10*$BY$54)</f>
        <v>853</v>
      </c>
      <c r="GH288" s="50">
        <f t="shared" si="497"/>
        <v>0.90963373063988473</v>
      </c>
      <c r="GI288" s="50">
        <f t="shared" si="498"/>
        <v>7.0851730685639769E-2</v>
      </c>
      <c r="GJ288" s="50">
        <f t="shared" si="499"/>
        <v>1.9514538674475532E-2</v>
      </c>
      <c r="GK288" s="51">
        <f t="shared" si="500"/>
        <v>43458</v>
      </c>
      <c r="GL288" s="51">
        <f t="shared" si="501"/>
        <v>5328</v>
      </c>
      <c r="GM288" s="14">
        <f>INT(SUMPRODUCT($AB288:$AF288,$BF288:$BJ288)/SUM($BF288:$BJ288)/10000*$BX$7*$BZ$46/'疲劳值&amp;地图信息'!$R$10*$BY$55)</f>
        <v>1157</v>
      </c>
      <c r="GN288" s="50">
        <f t="shared" si="502"/>
        <v>0.87015197324950444</v>
      </c>
      <c r="GO288" s="50">
        <f t="shared" si="503"/>
        <v>0.10668161704342952</v>
      </c>
      <c r="GP288" s="50">
        <f t="shared" si="504"/>
        <v>2.3166409707066054E-2</v>
      </c>
      <c r="GQ288" s="51">
        <f t="shared" si="505"/>
        <v>52505</v>
      </c>
      <c r="GR288" s="51">
        <f t="shared" si="506"/>
        <v>15179</v>
      </c>
      <c r="GS288" s="14">
        <f>INT(SUMPRODUCT($AI288:$AM288,$BF288:$BJ288)/SUM($BF288:$BJ288)/10000*$BX$7*$BZ$46/'疲劳值&amp;地图信息'!$R$10*$BY$56)</f>
        <v>1736</v>
      </c>
      <c r="GT288" s="50">
        <f t="shared" si="507"/>
        <v>0.75633823105733222</v>
      </c>
      <c r="GU288" s="50">
        <f t="shared" si="508"/>
        <v>0.21865456640737541</v>
      </c>
      <c r="GV288" s="50">
        <f t="shared" si="509"/>
        <v>2.5007202535292424E-2</v>
      </c>
      <c r="GW288" s="51">
        <f t="shared" si="510"/>
        <v>54940</v>
      </c>
      <c r="GX288" s="51">
        <f t="shared" si="511"/>
        <v>26640</v>
      </c>
      <c r="GY288" s="14">
        <f>INT(SUMPRODUCT($AP288:$AT288,$BF288:$BJ288)/SUM($BF288:$BJ288)/10000*$BX$7*$BZ$46/'疲劳值&amp;地图信息'!$R$10*$BY$57)</f>
        <v>2315</v>
      </c>
      <c r="GZ288" s="50">
        <f t="shared" si="512"/>
        <v>0.65486620179986887</v>
      </c>
      <c r="HA288" s="50">
        <f t="shared" si="513"/>
        <v>0.31753978187019488</v>
      </c>
      <c r="HB288" s="50">
        <f t="shared" si="514"/>
        <v>2.759401632993623E-2</v>
      </c>
      <c r="HD288" s="14">
        <f t="shared" si="515"/>
        <v>38625</v>
      </c>
      <c r="HE288" s="14">
        <f t="shared" si="516"/>
        <v>43711</v>
      </c>
      <c r="HF288" s="14">
        <f t="shared" si="517"/>
        <v>49943</v>
      </c>
      <c r="HG288" s="14">
        <f t="shared" si="518"/>
        <v>69420</v>
      </c>
      <c r="HH288" s="14">
        <f t="shared" si="519"/>
        <v>83895</v>
      </c>
      <c r="HI288" s="14">
        <f t="shared" si="520"/>
        <v>4501394</v>
      </c>
      <c r="HL288" s="14">
        <f t="shared" si="521"/>
        <v>430050</v>
      </c>
      <c r="HM288" s="50">
        <f t="shared" si="429"/>
        <v>8.7205694721464944E-2</v>
      </c>
      <c r="HO288" s="14">
        <f t="shared" si="522"/>
        <v>4931444</v>
      </c>
    </row>
    <row r="289" spans="11:223" x14ac:dyDescent="0.2">
      <c r="K289" s="14">
        <v>284</v>
      </c>
      <c r="L289" s="12">
        <f>求节点(节奏总纲!D$4:D$163,标准城池设计!AB$4:AB$163,$K289)*求节点(节奏总纲!D$4:D$163,攻城基础信息!$AC$5:$AC$164,$K289)</f>
        <v>765638.36771886644</v>
      </c>
      <c r="M289" s="12">
        <f>INDEX(其他调用!$AA$5:$AA$404,MATCH(K289,其他调用!$X$5:$X$404,0))*MIN(INDEX(其他调用!$AH$5:$AH$364,MATCH('征服点（新）'!K289,其他调用!$AG$5:$AG$364,0),1)/INDEX(其他调用!$AJ$5:$AJ$364,MATCH(K289,其他调用!$AG$5:$AG$364,0),0),5)*求节点(节奏总纲!D$4:D$163,攻城基础信息!$AC$5:$AC$164,$K289)</f>
        <v>53640.048334093939</v>
      </c>
      <c r="N289" s="12">
        <f>MIN(INDEX(其他调用!$AH$5:$AH$364,MATCH($K289,其他调用!$AG$5:$AG$364,0),1)/INDEX(其他调用!AH$5:AH$364,MATCH($K289,其他调用!$AG$5:$AG$364,0),0),1)*INDEX(其他调用!Y$5:Y$404,MATCH($K289,其他调用!$X$5:$X$404,0),0)</f>
        <v>42156.748088675478</v>
      </c>
      <c r="O289" s="12">
        <f>MIN(INDEX(其他调用!$AH$5:$AH$364,MATCH($K289,其他调用!$AG$5:$AG$364,0),1)/INDEX(其他调用!AI$5:AI$364,MATCH($K289,其他调用!$AG$5:$AG$364,0),0),1)*INDEX(其他调用!Z$5:Z$404,MATCH($K289,其他调用!$X$5:$X$404,0),0)</f>
        <v>25481.053769423608</v>
      </c>
      <c r="P289" s="12">
        <f>MIN(INDEX(其他调用!$AH$5:$AH$364,MATCH($K289,其他调用!$AG$5:$AG$364,0),1)/INDEX(其他调用!AJ$5:AJ$364,MATCH($K289,其他调用!$AG$5:$AG$364,0),0),1)*INDEX(其他调用!AA$5:AA$404,MATCH($K289,其他调用!$X$5:$X$404,0),0)</f>
        <v>15325.728095455421</v>
      </c>
      <c r="Q289" s="12">
        <f>MIN(INDEX(其他调用!$AH$5:$AH$364,MATCH($K289,其他调用!$AG$5:$AG$364,0),1)/INDEX(其他调用!AK$5:AK$364,MATCH($K289,其他调用!$AG$5:$AG$364,0),0),1)*INDEX(其他调用!AB$5:AB$404,MATCH($K289,其他调用!$X$5:$X$404,0),0)</f>
        <v>5657.7697594701322</v>
      </c>
      <c r="R289" s="12">
        <f>MIN(INDEX(其他调用!$AH$5:$AH$364,MATCH($K289,其他调用!$AG$5:$AG$364,0),1)/INDEX(其他调用!AL$5:AL$364,MATCH($K289,其他调用!$AG$5:$AG$364,0),0),1)*INDEX(其他调用!AC$5:AC$404,MATCH($K289,其他调用!$X$5:$X$404,0),0)</f>
        <v>3247.0137123679692</v>
      </c>
      <c r="S289" s="12">
        <f>求节点(节奏总纲!D$4:D$163,标准城池设计!AC$4:AC$163,$K289)*求节点(节奏总纲!D$4:D$163,攻城基础信息!$AD$5:$AD$164,$K289)</f>
        <v>837515.0668938905</v>
      </c>
      <c r="T289" s="12">
        <f>INDEX(其他调用!$AA$5:$AA$404,MATCH($K289,其他调用!$X$5:$X$404,0))*MIN(INDEX(其他调用!AI$5:AI$364,MATCH($K289,其他调用!$AG$5:$AG$364,0),1)/INDEX(其他调用!$AJ$5:$AJ$364,MATCH($K289,其他调用!$AG$5:$AG$364,0),0),5)*求节点(节奏总纲!D$4:D$163,攻城基础信息!$AD$5:$AD$164,$K289)</f>
        <v>91177.252378185702</v>
      </c>
      <c r="U289" s="12">
        <f>MIN(INDEX(其他调用!$AI$5:$AI$364,MATCH($K289,其他调用!$AG$5:$AG$364,0),1)/INDEX(其他调用!AH$5:AH$364,MATCH($K289,其他调用!$AG$5:$AG$364,0),0),1)*INDEX(其他调用!Y$5:Y$404,MATCH($K289,其他调用!$X$5:$X$404,0),0)</f>
        <v>42156.748088675478</v>
      </c>
      <c r="V289" s="12">
        <f>MIN(INDEX(其他调用!$AI$5:$AI$364,MATCH($K289,其他调用!$AG$5:$AG$364,0),1)/INDEX(其他调用!AI$5:AI$364,MATCH($K289,其他调用!$AG$5:$AG$364,0),0),1)*INDEX(其他调用!Z$5:Z$404,MATCH($K289,其他调用!$X$5:$X$404,0),0)</f>
        <v>43312.64684786195</v>
      </c>
      <c r="W289" s="12">
        <f>MIN(INDEX(其他调用!$AI$5:$AI$364,MATCH($K289,其他调用!$AG$5:$AG$364,0),1)/INDEX(其他调用!AJ$5:AJ$364,MATCH($K289,其他调用!$AG$5:$AG$364,0),0),1)*INDEX(其他调用!AA$5:AA$404,MATCH($K289,其他调用!$X$5:$X$404,0),0)</f>
        <v>26050.643536624502</v>
      </c>
      <c r="X289" s="12">
        <f>MIN(INDEX(其他调用!$AI$5:$AI$364,MATCH($K289,其他调用!$AG$5:$AG$364,0),1)/INDEX(其他调用!AK$5:AK$364,MATCH($K289,其他调用!$AG$5:$AG$364,0),0),1)*INDEX(其他调用!AB$5:AB$404,MATCH($K289,其他调用!$X$5:$X$404,0),0)</f>
        <v>9617.0663017279876</v>
      </c>
      <c r="Y289" s="12">
        <f>MIN(INDEX(其他调用!$AI$5:$AI$364,MATCH($K289,其他调用!$AG$5:$AG$364,0),1)/INDEX(其他调用!AL$5:AL$364,MATCH($K289,其他调用!$AG$5:$AG$364,0),0),1)*INDEX(其他调用!AC$5:AC$404,MATCH($K289,其他调用!$X$5:$X$404,0),0)</f>
        <v>5519.2677471886327</v>
      </c>
      <c r="Z289" s="12">
        <f>求节点(节奏总纲!D$4:D$163,标准城池设计!AD$4:AD$163,$K289)*求节点(节奏总纲!D$4:D$163,攻城基础信息!$AE$5:$AE$164,$K289)</f>
        <v>915251.70063681225</v>
      </c>
      <c r="AA289" s="12">
        <f>INDEX(其他调用!$AA$5:$AA$404,MATCH($K289,其他调用!$X$5:$X$404,0))*MIN(INDEX(其他调用!AJ$5:AJ$364,MATCH($K289,其他调用!$AG$5:$AG$364,0),1)/INDEX(其他调用!$AJ$5:$AJ$364,MATCH($K289,其他调用!$AG$5:$AG$364,0),0),5)*求节点(节奏总纲!D$4:D$163,攻城基础信息!$AE$5:$AE$164,$K289)</f>
        <v>156923.30908632171</v>
      </c>
      <c r="AB289" s="12">
        <f>MIN(INDEX(其他调用!$AJ$5:$AJ$364,MATCH($K289,其他调用!$AG$5:$AG$364,0),1)/INDEX(其他调用!AH$5:AH$364,MATCH($K289,其他调用!$AG$5:$AG$364,0),0),1)*INDEX(其他调用!Y$5:Y$404,MATCH($K289,其他调用!$X$5:$X$404,0),0)</f>
        <v>42156.748088675478</v>
      </c>
      <c r="AC289" s="12">
        <f>MIN(INDEX(其他调用!$AJ$5:$AJ$364,MATCH($K289,其他调用!$AG$5:$AG$364,0),1)/INDEX(其他调用!AI$5:AI$364,MATCH($K289,其他调用!$AG$5:$AG$364,0),0),1)*INDEX(其他调用!Z$5:Z$404,MATCH($K289,其他调用!$X$5:$X$404,0),0)</f>
        <v>43312.64684786195</v>
      </c>
      <c r="AD289" s="12">
        <f>MIN(INDEX(其他调用!$AJ$5:$AJ$364,MATCH($K289,其他调用!$AG$5:$AG$364,0),1)/INDEX(其他调用!AJ$5:AJ$364,MATCH($K289,其他调用!$AG$5:$AG$364,0),0),1)*INDEX(其他调用!AA$5:AA$404,MATCH($K289,其他调用!$X$5:$X$404,0),0)</f>
        <v>44835.23116752052</v>
      </c>
      <c r="AE289" s="12">
        <f>MIN(INDEX(其他调用!$AJ$5:$AJ$364,MATCH($K289,其他调用!$AG$5:$AG$364,0),1)/INDEX(其他调用!AK$5:AK$364,MATCH($K289,其他调用!$AG$5:$AG$364,0),0),1)*INDEX(其他调用!AB$5:AB$404,MATCH($K289,其他调用!$X$5:$X$404,0),0)</f>
        <v>16551.736627356127</v>
      </c>
      <c r="AF289" s="12">
        <f>MIN(INDEX(其他调用!$AJ$5:$AJ$364,MATCH($K289,其他调用!$AG$5:$AG$364,0),1)/INDEX(其他调用!AL$5:AL$364,MATCH($K289,其他调用!$AG$5:$AG$364,0),0),1)*INDEX(其他调用!AC$5:AC$404,MATCH($K289,其他调用!$X$5:$X$404,0),0)</f>
        <v>9499.0991286930312</v>
      </c>
      <c r="AG289" s="12">
        <f>求节点(节奏总纲!D$4:D$163,标准城池设计!AE$4:AE$163,$K289)*求节点(节奏总纲!D$4:D$163,攻城基础信息!$AF$5:$AF$164,$K289)</f>
        <v>1105861.7610309736</v>
      </c>
      <c r="AH289" s="12">
        <f>INDEX(其他调用!$AA$5:$AA$404,MATCH($K289,其他调用!$X$5:$X$404,0))*MIN(INDEX(其他调用!AK$5:AK$364,MATCH($K289,其他调用!$AG$5:$AG$364,0),1)/INDEX(其他调用!$AJ$5:$AJ$364,MATCH($K289,其他调用!$AG$5:$AG$364,0),0),5)*求节点(节奏总纲!D$4:D$163,攻城基础信息!$AF$5:$AF$164,$K289)</f>
        <v>446442.33782197424</v>
      </c>
      <c r="AI289" s="12">
        <f>MIN(INDEX(其他调用!$AK$5:$AK$364,MATCH($K289,其他调用!$AG$5:$AG$364,0),1)/INDEX(其他调用!AH$5:AH$364,MATCH($K289,其他调用!$AG$5:$AG$364,0),0),1)*INDEX(其他调用!Y$5:Y$404,MATCH($K289,其他调用!$X$5:$X$404,0),0)</f>
        <v>42156.748088675478</v>
      </c>
      <c r="AJ289" s="12">
        <f>MIN(INDEX(其他调用!$AK$5:$AK$364,MATCH($K289,其他调用!$AG$5:$AG$364,0),1)/INDEX(其他调用!AI$5:AI$364,MATCH($K289,其他调用!$AG$5:$AG$364,0),0),1)*INDEX(其他调用!Z$5:Z$404,MATCH($K289,其他调用!$X$5:$X$404,0),0)</f>
        <v>43312.64684786195</v>
      </c>
      <c r="AK289" s="12">
        <f>MIN(INDEX(其他调用!$AK$5:$AK$364,MATCH($K289,其他调用!$AG$5:$AG$364,0),1)/INDEX(其他调用!AJ$5:AJ$364,MATCH($K289,其他调用!$AG$5:$AG$364,0),0),1)*INDEX(其他调用!AA$5:AA$404,MATCH($K289,其他调用!$X$5:$X$404,0),0)</f>
        <v>44835.23116752052</v>
      </c>
      <c r="AL289" s="12">
        <f>MIN(INDEX(其他调用!$AK$5:$AK$364,MATCH($K289,其他调用!$AG$5:$AG$364,0),1)/INDEX(其他调用!AK$5:AK$364,MATCH($K289,其他调用!$AG$5:$AG$364,0),0),1)*INDEX(其他调用!AB$5:AB$404,MATCH($K289,其他调用!$X$5:$X$404,0),0)</f>
        <v>47089.218535824068</v>
      </c>
      <c r="AM289" s="12">
        <f>MIN(INDEX(其他调用!$AK$5:$AK$364,MATCH($K289,其他调用!$AG$5:$AG$364,0),1)/INDEX(其他调用!AL$5:AL$364,MATCH($K289,其他调用!$AG$5:$AG$364,0),0),1)*INDEX(其他调用!AC$5:AC$404,MATCH($K289,其他调用!$X$5:$X$404,0),0)</f>
        <v>27024.666041700533</v>
      </c>
      <c r="AN289" s="12">
        <f>求节点(节奏总纲!D$4:D$163,标准城池设计!AF$4:AF$163,$K289)*求节点(节奏总纲!D$4:D$163,攻城基础信息!$AG$5:$AG$164,$K289)</f>
        <v>1157076.9565172903</v>
      </c>
      <c r="AO289" s="12">
        <f>INDEX(其他调用!$AA$5:$AA$404,MATCH($K289,其他调用!$X$5:$X$404,0))*MIN(INDEX(其他调用!AL$5:AL$364,MATCH($K289,其他调用!$AG$5:$AG$364,0),1)/INDEX(其他调用!$AJ$5:$AJ$364,MATCH($K289,其他调用!$AG$5:$AG$364,0),0),5)*求节点(节奏总纲!D$4:D$163,攻城基础信息!$AG$5:$AG$164,$K289)</f>
        <v>784616.54543160857</v>
      </c>
      <c r="AP289" s="12">
        <f>MIN(INDEX(其他调用!$AL$5:$AL$364,MATCH($K289,其他调用!$AG$5:$AG$364,0),1)/INDEX(其他调用!AH$5:AH$364,MATCH($K289,其他调用!$AG$5:$AG$364,0),0),1)*INDEX(其他调用!Y$5:Y$404,MATCH($K289,其他调用!$X$5:$X$404,0),0)</f>
        <v>42156.748088675478</v>
      </c>
      <c r="AQ289" s="12">
        <f>MIN(INDEX(其他调用!$AL$5:$AL$364,MATCH($K289,其他调用!$AG$5:$AG$364,0),1)/INDEX(其他调用!AI$5:AI$364,MATCH($K289,其他调用!$AG$5:$AG$364,0),0),1)*INDEX(其他调用!Z$5:Z$404,MATCH($K289,其他调用!$X$5:$X$404,0),0)</f>
        <v>43312.64684786195</v>
      </c>
      <c r="AR289" s="12">
        <f>MIN(INDEX(其他调用!$AL$5:$AL$364,MATCH($K289,其他调用!$AG$5:$AG$364,0),1)/INDEX(其他调用!AJ$5:AJ$364,MATCH($K289,其他调用!$AG$5:$AG$364,0),0),1)*INDEX(其他调用!AA$5:AA$404,MATCH($K289,其他调用!$X$5:$X$404,0),0)</f>
        <v>44835.23116752052</v>
      </c>
      <c r="AS289" s="12">
        <f>MIN(INDEX(其他调用!$AL$5:$AL$364,MATCH($K289,其他调用!$AG$5:$AG$364,0),1)/INDEX(其他调用!AK$5:AK$364,MATCH($K289,其他调用!$AG$5:$AG$364,0),0),1)*INDEX(其他调用!AB$5:AB$404,MATCH($K289,其他调用!$X$5:$X$404,0),0)</f>
        <v>47089.218535824068</v>
      </c>
      <c r="AT289" s="12">
        <f>MIN(INDEX(其他调用!$AL$5:$AL$364,MATCH($K289,其他调用!$AG$5:$AG$364,0),1)/INDEX(其他调用!AL$5:AL$364,MATCH($K289,其他调用!$AG$5:$AG$364,0),0),1)*INDEX(其他调用!AC$5:AC$404,MATCH($K289,其他调用!$X$5:$X$404,0),0)</f>
        <v>50981.856854198042</v>
      </c>
      <c r="AV289" s="14">
        <f>IF(OR(AV$5="大R",AV$5="超R"),MAX(INDEX(其他调用!$H$5:$L$404,MATCH($K289,其他调用!$B$5:$B$404,0),MATCH(AV$5,其他调用!$H$4:$L$4,0))*120*0.85,2),INDEX(其他调用!$H$5:$L$404,MATCH($K289,其他调用!$B$5:$B$404,0),MATCH(AV$5,其他调用!$H$4:$L$4,0))*120*0.85)</f>
        <v>48.921801254999991</v>
      </c>
      <c r="AW289" s="14">
        <f>IF(OR(AW$5="大R",AW$5="超R"),MAX(INDEX(其他调用!$H$5:$L$404,MATCH($K289,其他调用!$B$5:$B$404,0),MATCH(AW$5,其他调用!$H$4:$L$4,0))*120*0.85,2),INDEX(其他调用!$H$5:$L$404,MATCH($K289,其他调用!$B$5:$B$404,0),MATCH(AW$5,其他调用!$H$4:$L$4,0))*120*0.85)</f>
        <v>48.237344010638395</v>
      </c>
      <c r="AX289" s="14">
        <f>IF(OR(AX$5="大R",AX$5="超R"),MAX(INDEX(其他调用!$H$5:$L$404,MATCH($K289,其他调用!$B$5:$B$404,0),MATCH(AX$5,其他调用!$H$4:$L$4,0))*120*0.85,2),INDEX(其他调用!$H$5:$L$404,MATCH($K289,其他调用!$B$5:$B$404,0),MATCH(AX$5,其他调用!$H$4:$L$4,0))*120*0.85)</f>
        <v>3.9376284143615998</v>
      </c>
      <c r="AY289" s="14">
        <f>IF(OR(AY$5="大R",AY$5="超R"),MAX(INDEX(其他调用!$H$5:$L$404,MATCH($K289,其他调用!$B$5:$B$404,0),MATCH(AY$5,其他调用!$H$4:$L$4,0))*120*0.85,2),INDEX(其他调用!$H$5:$L$404,MATCH($K289,其他调用!$B$5:$B$404,0),MATCH(AY$5,其他调用!$H$4:$L$4,0))*120*0.85)</f>
        <v>2</v>
      </c>
      <c r="AZ289" s="14">
        <f>IF(OR(AZ$5="大R",AZ$5="超R"),MAX(INDEX(其他调用!$H$5:$L$404,MATCH($K289,其他调用!$B$5:$B$404,0),MATCH(AZ$5,其他调用!$H$4:$L$4,0))*120*0.85,2),INDEX(其他调用!$H$5:$L$404,MATCH($K289,其他调用!$B$5:$B$404,0),MATCH(AZ$5,其他调用!$H$4:$L$4,0))*120*0.85)</f>
        <v>2</v>
      </c>
      <c r="BA289" s="14">
        <f>INDEX(其他调用!$H$5:$L$404,MATCH($K289,其他调用!$B$5:$B$404,0),MATCH(BA$5,其他调用!$H$4:$L$4,0))*INDEX(其他调用!$M$5:$M$404,MATCH($K289,其他调用!$B$5:$B$404,0))*0.6</f>
        <v>28.777530149999997</v>
      </c>
      <c r="BB289" s="14">
        <f>INDEX(其他调用!$H$5:$L$404,MATCH($K289,其他调用!$B$5:$B$404,0),MATCH(BB$5,其他调用!$H$4:$L$4,0))*INDEX(其他调用!$M$5:$M$404,MATCH($K289,其他调用!$B$5:$B$404,0))*0.6</f>
        <v>28.374908241551999</v>
      </c>
      <c r="BC289" s="14">
        <f>INDEX(其他调用!$H$5:$L$404,MATCH($K289,其他调用!$B$5:$B$404,0),MATCH(BC$5,其他调用!$H$4:$L$4,0))*INDEX(其他调用!$M$5:$M$404,MATCH($K289,其他调用!$B$5:$B$404,0))*0.6</f>
        <v>2.3162520084480001</v>
      </c>
      <c r="BD289" s="14">
        <f>INDEX(其他调用!$H$5:$L$404,MATCH($K289,其他调用!$B$5:$B$404,0),MATCH(BD$5,其他调用!$H$4:$L$4,0))*INDEX(其他调用!$M$5:$M$404,MATCH($K289,其他调用!$B$5:$B$404,0))*0.6</f>
        <v>0.4120776000000001</v>
      </c>
      <c r="BE289" s="14">
        <f>INDEX(其他调用!$H$5:$L$404,MATCH($K289,其他调用!$B$5:$B$404,0),MATCH(BE$5,其他调用!$H$4:$L$4,0))*INDEX(其他调用!$M$5:$M$404,MATCH($K289,其他调用!$B$5:$B$404,0))*0.6</f>
        <v>0.11923199999999998</v>
      </c>
      <c r="BF289" s="14">
        <f>IF(OR(BF$5="大R",BF$5="超R"),0,INDEX(其他调用!$H$5:$L$404,MATCH($K289,其他调用!$B$5:$B$404,0),MATCH(BF$5,其他调用!$H$4:$L$4,0))*50*0.4)</f>
        <v>9.5925100500000013</v>
      </c>
      <c r="BG289" s="14">
        <f>IF(OR(BG$5="大R",BG$5="超R"),0,INDEX(其他调用!$H$5:$L$404,MATCH($K289,其他调用!$B$5:$B$404,0),MATCH(BG$5,其他调用!$H$4:$L$4,0))*50*0.4)</f>
        <v>9.4583027471839998</v>
      </c>
      <c r="BH289" s="14">
        <f>IF(OR(BH$5="大R",BH$5="超R"),0,INDEX(其他调用!$H$5:$L$404,MATCH($K289,其他调用!$B$5:$B$404,0),MATCH(BH$5,其他调用!$H$4:$L$4,0))*50*0.4)</f>
        <v>0.77208400281600009</v>
      </c>
      <c r="BI289" s="14">
        <f>IF(OR(BI$5="大R",BI$5="超R"),0,INDEX(其他调用!$H$5:$L$404,MATCH($K289,其他调用!$B$5:$B$404,0),MATCH(BI$5,其他调用!$H$4:$L$4,0))*50*0.4)</f>
        <v>0</v>
      </c>
      <c r="BJ289" s="14">
        <f>IF(OR(BJ$5="大R",BJ$5="超R"),0,INDEX(其他调用!$H$5:$L$404,MATCH($K289,其他调用!$B$5:$B$404,0),MATCH(BJ$5,其他调用!$H$4:$L$4,0))*50*0.4)</f>
        <v>0</v>
      </c>
      <c r="BL289" s="14">
        <f t="shared" si="523"/>
        <v>284</v>
      </c>
      <c r="BM289" s="14">
        <f t="shared" si="430"/>
        <v>96</v>
      </c>
      <c r="BN289" s="14">
        <f>('疲劳值&amp;地图信息'!$S$10*'疲劳值&amp;地图信息'!$R$10+'疲劳值&amp;地图信息'!$S$11*'疲劳值&amp;地图信息'!$R$11+'疲劳值&amp;地图信息'!$S$12*'疲劳值&amp;地图信息'!$R$12+(BM289-'疲劳值&amp;地图信息'!$S$12-'疲劳值&amp;地图信息'!$S$11-'疲劳值&amp;地图信息'!$S$10)*'疲劳值&amp;地图信息'!$R$13)/BM289</f>
        <v>51.371477246638619</v>
      </c>
      <c r="BO289" s="14">
        <f>INDEX(其他调用!$M$5:$M$404,MATCH(BL289,其他调用!$B$5:$B$404,0))*0.6</f>
        <v>60</v>
      </c>
      <c r="BP289" s="14">
        <f>IF(BO289&gt;SUM('疲劳值&amp;地图信息'!$S$10:$S$12),('疲劳值&amp;地图信息'!$S$10*'疲劳值&amp;地图信息'!$R$10+'疲劳值&amp;地图信息'!$S$11*'疲劳值&amp;地图信息'!$R$11+'疲劳值&amp;地图信息'!$S$12*'疲劳值&amp;地图信息'!$R$12+(BO289-'疲劳值&amp;地图信息'!$S$12-'疲劳值&amp;地图信息'!$S$11-'疲劳值&amp;地图信息'!$S$10)*'疲劳值&amp;地图信息'!$R$13)/BO289,('疲劳值&amp;地图信息'!$S$10*'疲劳值&amp;地图信息'!$R$10+'疲劳值&amp;地图信息'!$S$11*'疲劳值&amp;地图信息'!$R$11+'疲劳值&amp;地图信息'!$S$12*'疲劳值&amp;地图信息'!$R$12+(BO289-'疲劳值&amp;地图信息'!$S$12-'疲劳值&amp;地图信息'!$S$11-'疲劳值&amp;地图信息'!$S$10)*'疲劳值&amp;地图信息'!$R$13)/BO289)</f>
        <v>44.158136341605953</v>
      </c>
      <c r="BQ289" s="14">
        <f t="shared" si="524"/>
        <v>20</v>
      </c>
      <c r="BR289" s="14">
        <f>('疲劳值&amp;地图信息'!$S$10*'疲劳值&amp;地图信息'!$R$10+($BQ289-'疲劳值&amp;地图信息'!$S$10)*'疲劳值&amp;地图信息'!$R$11)/$BQ289</f>
        <v>32.067203015074995</v>
      </c>
      <c r="CF289" s="14">
        <v>284</v>
      </c>
      <c r="CG289" s="51">
        <f t="shared" si="431"/>
        <v>15604</v>
      </c>
      <c r="CH289" s="51">
        <f t="shared" si="432"/>
        <v>1093</v>
      </c>
      <c r="CI289" s="51">
        <f>INT(SUMPRODUCT($N289:$R289,$BA289:$BE289)/SUM($BA289:$BE289)/10000*$BX$7*$BZ$34/'疲劳值&amp;地图信息'!$R$10*$BY$53)</f>
        <v>3338</v>
      </c>
      <c r="CJ289" s="50">
        <f t="shared" si="433"/>
        <v>0.77883703518842029</v>
      </c>
      <c r="CK289" s="50">
        <f t="shared" si="434"/>
        <v>5.4554529573246816E-2</v>
      </c>
      <c r="CL289" s="50">
        <f t="shared" si="435"/>
        <v>0.16660843523833291</v>
      </c>
      <c r="CM289" s="14">
        <f t="shared" si="436"/>
        <v>17069</v>
      </c>
      <c r="CN289" s="14">
        <f t="shared" si="437"/>
        <v>1858</v>
      </c>
      <c r="CO289" s="14">
        <f>INT(SUMPRODUCT($U289:$Y289,$BA289:$BE289)/SUM($BA289:$BE289)/10000*$BX$7*$BZ$34/'疲劳值&amp;地图信息'!$R$10*$BY$54)</f>
        <v>6359</v>
      </c>
      <c r="CP289" s="50">
        <f t="shared" si="438"/>
        <v>0.67503757019694688</v>
      </c>
      <c r="CQ289" s="50">
        <f t="shared" si="439"/>
        <v>7.3479395713042794E-2</v>
      </c>
      <c r="CR289" s="50">
        <f t="shared" si="440"/>
        <v>0.25148303409001027</v>
      </c>
      <c r="CS289" s="14">
        <f t="shared" si="441"/>
        <v>18654</v>
      </c>
      <c r="CT289" s="14">
        <f t="shared" si="442"/>
        <v>3198</v>
      </c>
      <c r="CU289" s="14">
        <f>INT(SUMPRODUCT($AB289:$AF289,$BA289:$BE289)/SUM($BA289:$BE289)/10000*$BX$7*$BZ$34/'疲劳值&amp;地图信息'!$R$10*$BY$55)</f>
        <v>8638</v>
      </c>
      <c r="CV289" s="50">
        <f t="shared" si="443"/>
        <v>0.61180714988520823</v>
      </c>
      <c r="CW289" s="50">
        <f t="shared" si="444"/>
        <v>0.10488684814693341</v>
      </c>
      <c r="CX289" s="50">
        <f t="shared" si="445"/>
        <v>0.28330600196785832</v>
      </c>
      <c r="CY289" s="14">
        <f t="shared" si="446"/>
        <v>22538</v>
      </c>
      <c r="CZ289" s="14">
        <f t="shared" si="447"/>
        <v>9099</v>
      </c>
      <c r="DA289" s="14">
        <f>INT(SUMPRODUCT($AI289:$AM289,$BA289:$BE289)/SUM($BA289:$BE289)/10000*$BX$7*$BZ$34/'疲劳值&amp;地图信息'!$R$10*$BY$56)</f>
        <v>13031</v>
      </c>
      <c r="DB289" s="50">
        <f t="shared" si="448"/>
        <v>0.50456702784991492</v>
      </c>
      <c r="DC289" s="50">
        <f t="shared" si="449"/>
        <v>0.20370287454105848</v>
      </c>
      <c r="DD289" s="50">
        <f t="shared" si="450"/>
        <v>0.29173009760902657</v>
      </c>
      <c r="DE289" s="14">
        <f t="shared" si="451"/>
        <v>23582</v>
      </c>
      <c r="DF289" s="14">
        <f t="shared" si="452"/>
        <v>15991</v>
      </c>
      <c r="DG289" s="14">
        <f>INT(SUMPRODUCT($AP289:$AT289,$BA289:$BE289)/SUM($BA289:$BE289)/10000*$BX$7*$BZ$34/'疲劳值&amp;地图信息'!$R$10*$BY$57)</f>
        <v>17394</v>
      </c>
      <c r="DH289" s="50">
        <f t="shared" si="453"/>
        <v>0.41395895869538507</v>
      </c>
      <c r="DI289" s="50">
        <f t="shared" si="454"/>
        <v>0.28070637386557129</v>
      </c>
      <c r="DJ289" s="50">
        <f t="shared" si="455"/>
        <v>0.30533466743904364</v>
      </c>
      <c r="DL289" s="14">
        <f t="shared" si="526"/>
        <v>20035</v>
      </c>
      <c r="DM289" s="14">
        <f t="shared" si="527"/>
        <v>25286</v>
      </c>
      <c r="DN289" s="14">
        <f t="shared" si="528"/>
        <v>30490</v>
      </c>
      <c r="DO289" s="14">
        <f t="shared" si="529"/>
        <v>44668</v>
      </c>
      <c r="DP289" s="14">
        <f t="shared" si="530"/>
        <v>56967</v>
      </c>
      <c r="DQ289" s="14">
        <f t="shared" si="531"/>
        <v>1389867</v>
      </c>
      <c r="DT289" s="14">
        <f t="shared" si="525"/>
        <v>235575</v>
      </c>
      <c r="DU289" s="50">
        <f t="shared" si="427"/>
        <v>0.14492980986094858</v>
      </c>
      <c r="DW289" s="14">
        <f t="shared" si="456"/>
        <v>1625442</v>
      </c>
      <c r="EB289" s="14">
        <v>284</v>
      </c>
      <c r="EC289" s="51">
        <f t="shared" si="457"/>
        <v>26007</v>
      </c>
      <c r="ED289" s="51">
        <f t="shared" si="458"/>
        <v>1822</v>
      </c>
      <c r="EE289" s="51">
        <f>INT(SUMPRODUCT($N289:$R289,$BF289:$BJ289)/SUM($BF289:$BJ289)/10000*$BX$7*$BZ$46/'疲劳值&amp;地图信息'!$R$10*$BY$53)</f>
        <v>448</v>
      </c>
      <c r="EF289" s="50">
        <f t="shared" si="459"/>
        <v>0.91972274286522615</v>
      </c>
      <c r="EG289" s="50">
        <f t="shared" si="460"/>
        <v>6.443399229055416E-2</v>
      </c>
      <c r="EH289" s="50">
        <f t="shared" si="461"/>
        <v>1.5843264844219683E-2</v>
      </c>
      <c r="EI289" s="51">
        <f t="shared" si="462"/>
        <v>28449</v>
      </c>
      <c r="EJ289" s="51">
        <f t="shared" si="463"/>
        <v>3097</v>
      </c>
      <c r="EK289" s="14">
        <f>INT(SUMPRODUCT($U289:$Y289,$BF289:$BJ289)/SUM($BF289:$BJ289)/10000*$BX$7*$BZ$46/'疲劳值&amp;地图信息'!$R$10*$BY$54)</f>
        <v>853</v>
      </c>
      <c r="EL289" s="50">
        <f t="shared" si="464"/>
        <v>0.87808265687212572</v>
      </c>
      <c r="EM289" s="50">
        <f t="shared" si="465"/>
        <v>9.5589370042285252E-2</v>
      </c>
      <c r="EN289" s="50">
        <f t="shared" si="466"/>
        <v>2.6327973085589061E-2</v>
      </c>
      <c r="EO289" s="51">
        <f t="shared" si="467"/>
        <v>31090</v>
      </c>
      <c r="EP289" s="51">
        <f t="shared" si="468"/>
        <v>5330</v>
      </c>
      <c r="EQ289" s="14">
        <f>INT(SUMPRODUCT($AB289:$AF289,$BF289:$BJ289)/SUM($BF289:$BJ289)/10000*$BX$7*$BZ$46/'疲劳值&amp;地图信息'!$R$10*$BY$55)</f>
        <v>1158</v>
      </c>
      <c r="ER289" s="50">
        <f t="shared" si="469"/>
        <v>0.82734578742881471</v>
      </c>
      <c r="ES289" s="50">
        <f t="shared" si="470"/>
        <v>0.14183830964926286</v>
      </c>
      <c r="ET289" s="50">
        <f t="shared" si="471"/>
        <v>3.0815902921922402E-2</v>
      </c>
      <c r="EU289" s="51">
        <f t="shared" si="472"/>
        <v>37564</v>
      </c>
      <c r="EV289" s="51">
        <f t="shared" si="473"/>
        <v>15165</v>
      </c>
      <c r="EW289" s="14">
        <f>INT(SUMPRODUCT($AI289:$AM289,$BF289:$BJ289)/SUM($BF289:$BJ289)/10000*$BX$7*$BZ$46/'疲劳值&amp;地图信息'!$R$10*$BY$56)</f>
        <v>1737</v>
      </c>
      <c r="EX289" s="50">
        <f t="shared" si="474"/>
        <v>0.6896779642345684</v>
      </c>
      <c r="EY289" s="50">
        <f t="shared" si="475"/>
        <v>0.2784305805456615</v>
      </c>
      <c r="EZ289" s="50">
        <f t="shared" si="476"/>
        <v>3.1891455219770132E-2</v>
      </c>
      <c r="FA289" s="51">
        <f t="shared" si="477"/>
        <v>39304</v>
      </c>
      <c r="FB289" s="51">
        <f t="shared" si="478"/>
        <v>26652</v>
      </c>
      <c r="FC289" s="14">
        <f>INT(SUMPRODUCT($AP289:$AT289,$BF289:$BJ289)/SUM($BF289:$BJ289)/10000*$BX$7*$BZ$46/'疲劳值&amp;地图信息'!$R$10*$BY$57)</f>
        <v>2316</v>
      </c>
      <c r="FD289" s="50">
        <f t="shared" si="479"/>
        <v>0.57569721115537853</v>
      </c>
      <c r="FE289" s="50">
        <f t="shared" si="480"/>
        <v>0.39037965783923129</v>
      </c>
      <c r="FF289" s="50">
        <f t="shared" si="481"/>
        <v>3.3923131005390204E-2</v>
      </c>
      <c r="FH289" s="14">
        <f t="shared" si="482"/>
        <v>28277</v>
      </c>
      <c r="FI289" s="14">
        <f t="shared" si="483"/>
        <v>32399</v>
      </c>
      <c r="FJ289" s="14">
        <f t="shared" si="484"/>
        <v>37578</v>
      </c>
      <c r="FK289" s="14">
        <f t="shared" si="485"/>
        <v>54466</v>
      </c>
      <c r="FL289" s="14">
        <f t="shared" si="486"/>
        <v>68272</v>
      </c>
      <c r="FM289" s="14">
        <f t="shared" si="487"/>
        <v>3339647</v>
      </c>
      <c r="FP289" s="14">
        <f t="shared" si="488"/>
        <v>334150</v>
      </c>
      <c r="FQ289" s="50">
        <f t="shared" si="428"/>
        <v>9.0954943890476259E-2</v>
      </c>
      <c r="FS289" s="14">
        <f t="shared" si="489"/>
        <v>3673797</v>
      </c>
      <c r="FX289" s="14">
        <v>284</v>
      </c>
      <c r="FY289" s="51">
        <f t="shared" si="490"/>
        <v>36410</v>
      </c>
      <c r="FZ289" s="51">
        <f t="shared" si="491"/>
        <v>1822</v>
      </c>
      <c r="GA289" s="51">
        <f>INT(SUMPRODUCT($N289:$R289,$BF289:$BJ289)/SUM($BF289:$BJ289)/10000*$BX$7*$BZ$46/'疲劳值&amp;地图信息'!$R$10*$BY$53)</f>
        <v>448</v>
      </c>
      <c r="GB289" s="50">
        <f t="shared" si="492"/>
        <v>0.94131334022750779</v>
      </c>
      <c r="GC289" s="50">
        <f t="shared" si="493"/>
        <v>4.7104446742502588E-2</v>
      </c>
      <c r="GD289" s="50">
        <f t="shared" si="494"/>
        <v>1.1582213029989659E-2</v>
      </c>
      <c r="GE289" s="51">
        <f t="shared" si="495"/>
        <v>39829</v>
      </c>
      <c r="GF289" s="51">
        <f t="shared" si="496"/>
        <v>3097</v>
      </c>
      <c r="GG289" s="14">
        <f>INT(SUMPRODUCT($U289:$Y289,$BF289:$BJ289)/SUM($BF289:$BJ289)/10000*$BX$7*$BZ$46/'疲劳值&amp;地图信息'!$R$10*$BY$54)</f>
        <v>853</v>
      </c>
      <c r="GH289" s="50">
        <f t="shared" si="497"/>
        <v>0.90977409260147557</v>
      </c>
      <c r="GI289" s="50">
        <f t="shared" si="498"/>
        <v>7.0741679800817747E-2</v>
      </c>
      <c r="GJ289" s="50">
        <f t="shared" si="499"/>
        <v>1.9484227597706662E-2</v>
      </c>
      <c r="GK289" s="51">
        <f t="shared" si="500"/>
        <v>43526</v>
      </c>
      <c r="GL289" s="51">
        <f t="shared" si="501"/>
        <v>5330</v>
      </c>
      <c r="GM289" s="14">
        <f>INT(SUMPRODUCT($AB289:$AF289,$BF289:$BJ289)/SUM($BF289:$BJ289)/10000*$BX$7*$BZ$46/'疲劳值&amp;地图信息'!$R$10*$BY$55)</f>
        <v>1158</v>
      </c>
      <c r="GN289" s="50">
        <f t="shared" si="502"/>
        <v>0.8702763226296637</v>
      </c>
      <c r="GO289" s="50">
        <f t="shared" si="503"/>
        <v>0.10657016035510057</v>
      </c>
      <c r="GP289" s="50">
        <f t="shared" si="504"/>
        <v>2.3153517015235735E-2</v>
      </c>
      <c r="GQ289" s="51">
        <f t="shared" si="505"/>
        <v>52590</v>
      </c>
      <c r="GR289" s="51">
        <f t="shared" si="506"/>
        <v>15165</v>
      </c>
      <c r="GS289" s="14">
        <f>INT(SUMPRODUCT($AI289:$AM289,$BF289:$BJ289)/SUM($BF289:$BJ289)/10000*$BX$7*$BZ$46/'疲劳值&amp;地图信息'!$R$10*$BY$56)</f>
        <v>1737</v>
      </c>
      <c r="GT289" s="50">
        <f t="shared" si="507"/>
        <v>0.75677775859091689</v>
      </c>
      <c r="GU289" s="50">
        <f t="shared" si="508"/>
        <v>0.21822655845277153</v>
      </c>
      <c r="GV289" s="50">
        <f t="shared" si="509"/>
        <v>2.4995682956311518E-2</v>
      </c>
      <c r="GW289" s="51">
        <f t="shared" si="510"/>
        <v>55026</v>
      </c>
      <c r="GX289" s="51">
        <f t="shared" si="511"/>
        <v>26652</v>
      </c>
      <c r="GY289" s="14">
        <f>INT(SUMPRODUCT($AP289:$AT289,$BF289:$BJ289)/SUM($BF289:$BJ289)/10000*$BX$7*$BZ$46/'疲劳值&amp;地图信息'!$R$10*$BY$57)</f>
        <v>2316</v>
      </c>
      <c r="GZ289" s="50">
        <f t="shared" si="512"/>
        <v>0.65511822273019504</v>
      </c>
      <c r="HA289" s="50">
        <f t="shared" si="513"/>
        <v>0.3173083791699407</v>
      </c>
      <c r="HB289" s="50">
        <f t="shared" si="514"/>
        <v>2.7573398099864276E-2</v>
      </c>
      <c r="HD289" s="14">
        <f t="shared" si="515"/>
        <v>38680</v>
      </c>
      <c r="HE289" s="14">
        <f t="shared" si="516"/>
        <v>43779</v>
      </c>
      <c r="HF289" s="14">
        <f t="shared" si="517"/>
        <v>50014</v>
      </c>
      <c r="HG289" s="14">
        <f t="shared" si="518"/>
        <v>69492</v>
      </c>
      <c r="HH289" s="14">
        <f t="shared" si="519"/>
        <v>83994</v>
      </c>
      <c r="HI289" s="14">
        <f t="shared" si="520"/>
        <v>4507986</v>
      </c>
      <c r="HL289" s="14">
        <f t="shared" si="521"/>
        <v>430050</v>
      </c>
      <c r="HM289" s="50">
        <f t="shared" si="429"/>
        <v>8.7089280029550215E-2</v>
      </c>
      <c r="HO289" s="14">
        <f t="shared" si="522"/>
        <v>4938036</v>
      </c>
    </row>
    <row r="290" spans="11:223" x14ac:dyDescent="0.2">
      <c r="K290" s="14">
        <v>285</v>
      </c>
      <c r="L290" s="12">
        <f>求节点(节奏总纲!D$4:D$163,标准城池设计!AB$4:AB$163,$K290)*求节点(节奏总纲!D$4:D$163,攻城基础信息!$AC$5:$AC$164,$K290)</f>
        <v>766798.58362242032</v>
      </c>
      <c r="M290" s="12">
        <f>INDEX(其他调用!$AA$5:$AA$404,MATCH(K290,其他调用!$X$5:$X$404,0))*MIN(INDEX(其他调用!$AH$5:$AH$364,MATCH('征服点（新）'!K290,其他调用!$AG$5:$AG$364,0),1)/INDEX(其他调用!$AJ$5:$AJ$364,MATCH(K290,其他调用!$AG$5:$AG$364,0),0),5)*求节点(节奏总纲!D$4:D$163,攻城基础信息!$AC$5:$AC$164,$K290)</f>
        <v>53634.656627275057</v>
      </c>
      <c r="N290" s="12">
        <f>MIN(INDEX(其他调用!$AH$5:$AH$364,MATCH($K290,其他调用!$AG$5:$AG$364,0),1)/INDEX(其他调用!AH$5:AH$364,MATCH($K290,其他调用!$AG$5:$AG$364,0),0),1)*INDEX(其他调用!Y$5:Y$404,MATCH($K290,其他调用!$X$5:$X$404,0),0)</f>
        <v>42177.059397062898</v>
      </c>
      <c r="O290" s="12">
        <f>MIN(INDEX(其他调用!$AH$5:$AH$364,MATCH($K290,其他调用!$AG$5:$AG$364,0),1)/INDEX(其他调用!AI$5:AI$364,MATCH($K290,其他调用!$AG$5:$AG$364,0),0),1)*INDEX(其他调用!Z$5:Z$404,MATCH($K290,其他调用!$X$5:$X$404,0),0)</f>
        <v>25492.179332646305</v>
      </c>
      <c r="P290" s="12">
        <f>MIN(INDEX(其他调用!$AH$5:$AH$364,MATCH($K290,其他调用!$AG$5:$AG$364,0),1)/INDEX(其他调用!AJ$5:AJ$364,MATCH($K290,其他调用!$AG$5:$AG$364,0),0),1)*INDEX(其他调用!AA$5:AA$404,MATCH($K290,其他调用!$X$5:$X$404,0),0)</f>
        <v>15324.187607792883</v>
      </c>
      <c r="Q290" s="12">
        <f>MIN(INDEX(其他调用!$AH$5:$AH$364,MATCH($K290,其他调用!$AG$5:$AG$364,0),1)/INDEX(其他调用!AK$5:AK$364,MATCH($K290,其他调用!$AG$5:$AG$364,0),0),1)*INDEX(其他调用!AB$5:AB$404,MATCH($K290,其他调用!$X$5:$X$404,0),0)</f>
        <v>5664.9447867390199</v>
      </c>
      <c r="R290" s="12">
        <f>MIN(INDEX(其他调用!$AH$5:$AH$364,MATCH($K290,其他调用!$AG$5:$AG$364,0),1)/INDEX(其他调用!AL$5:AL$364,MATCH($K290,其他调用!$AG$5:$AG$364,0),0),1)*INDEX(其他调用!AC$5:AC$404,MATCH($K290,其他调用!$X$5:$X$404,0),0)</f>
        <v>3256.02793948009</v>
      </c>
      <c r="S290" s="12">
        <f>求节点(节奏总纲!D$4:D$163,标准城池设计!AC$4:AC$163,$K290)*求节点(节奏总纲!D$4:D$163,攻城基础信息!$AD$5:$AD$164,$K290)</f>
        <v>838937.81199095061</v>
      </c>
      <c r="T290" s="12">
        <f>INDEX(其他调用!$AA$5:$AA$404,MATCH($K290,其他调用!$X$5:$X$404,0))*MIN(INDEX(其他调用!AI$5:AI$364,MATCH($K290,其他调用!$AG$5:$AG$364,0),1)/INDEX(其他调用!$AJ$5:$AJ$364,MATCH($K290,其他调用!$AG$5:$AG$364,0),0),5)*求节点(节奏总纲!D$4:D$163,攻城基础信息!$AD$5:$AD$164,$K290)</f>
        <v>91171.500371129718</v>
      </c>
      <c r="U290" s="12">
        <f>MIN(INDEX(其他调用!$AI$5:$AI$364,MATCH($K290,其他调用!$AG$5:$AG$364,0),1)/INDEX(其他调用!AH$5:AH$364,MATCH($K290,其他调用!$AG$5:$AG$364,0),0),1)*INDEX(其他调用!Y$5:Y$404,MATCH($K290,其他调用!$X$5:$X$404,0),0)</f>
        <v>42177.059397062898</v>
      </c>
      <c r="V290" s="12">
        <f>MIN(INDEX(其他调用!$AI$5:$AI$364,MATCH($K290,其他调用!$AG$5:$AG$364,0),1)/INDEX(其他调用!AI$5:AI$364,MATCH($K290,其他调用!$AG$5:$AG$364,0),0),1)*INDEX(其他调用!Z$5:Z$404,MATCH($K290,其他调用!$X$5:$X$404,0),0)</f>
        <v>43333.180142060475</v>
      </c>
      <c r="W290" s="12">
        <f>MIN(INDEX(其他调用!$AI$5:$AI$364,MATCH($K290,其他调用!$AG$5:$AG$364,0),1)/INDEX(其他调用!AJ$5:AJ$364,MATCH($K290,其他调用!$AG$5:$AG$364,0),0),1)*INDEX(其他调用!AA$5:AA$404,MATCH($K290,其他调用!$X$5:$X$404,0),0)</f>
        <v>26049.000106037078</v>
      </c>
      <c r="X290" s="12">
        <f>MIN(INDEX(其他调用!$AI$5:$AI$364,MATCH($K290,其他调用!$AG$5:$AG$364,0),1)/INDEX(其他调用!AK$5:AK$364,MATCH($K290,其他调用!$AG$5:$AG$364,0),0),1)*INDEX(其他调用!AB$5:AB$404,MATCH($K290,其他调用!$X$5:$X$404,0),0)</f>
        <v>9629.6228633625196</v>
      </c>
      <c r="Y290" s="12">
        <f>MIN(INDEX(其他调用!$AI$5:$AI$364,MATCH($K290,其他调用!$AG$5:$AG$364,0),1)/INDEX(其他调用!AL$5:AL$364,MATCH($K290,其他调用!$AG$5:$AG$364,0),0),1)*INDEX(其他调用!AC$5:AC$404,MATCH($K290,其他调用!$X$5:$X$404,0),0)</f>
        <v>5534.797296376385</v>
      </c>
      <c r="Z290" s="12">
        <f>求节点(节奏总纲!D$4:D$163,标准城池设计!AD$4:AD$163,$K290)*求节点(节奏总纲!D$4:D$163,攻城基础信息!$AE$5:$AE$164,$K290)</f>
        <v>916669.2913554674</v>
      </c>
      <c r="AA290" s="12">
        <f>INDEX(其他调用!$AA$5:$AA$404,MATCH($K290,其他调用!$X$5:$X$404,0))*MIN(INDEX(其他调用!AJ$5:AJ$364,MATCH($K290,其他调用!$AG$5:$AG$364,0),1)/INDEX(其他调用!$AJ$5:$AJ$364,MATCH($K290,其他调用!$AG$5:$AG$364,0),0),5)*求节点(节奏总纲!D$4:D$163,攻城基础信息!$AE$5:$AE$164,$K290)</f>
        <v>156994.38191689487</v>
      </c>
      <c r="AB290" s="12">
        <f>MIN(INDEX(其他调用!$AJ$5:$AJ$364,MATCH($K290,其他调用!$AG$5:$AG$364,0),1)/INDEX(其他调用!AH$5:AH$364,MATCH($K290,其他调用!$AG$5:$AG$364,0),0),1)*INDEX(其他调用!Y$5:Y$404,MATCH($K290,其他调用!$X$5:$X$404,0),0)</f>
        <v>42177.059397062898</v>
      </c>
      <c r="AC290" s="12">
        <f>MIN(INDEX(其他调用!$AJ$5:$AJ$364,MATCH($K290,其他调用!$AG$5:$AG$364,0),1)/INDEX(其他调用!AI$5:AI$364,MATCH($K290,其他调用!$AG$5:$AG$364,0),0),1)*INDEX(其他调用!Z$5:Z$404,MATCH($K290,其他调用!$X$5:$X$404,0),0)</f>
        <v>43333.180142060475</v>
      </c>
      <c r="AD290" s="12">
        <f>MIN(INDEX(其他调用!$AJ$5:$AJ$364,MATCH($K290,其他调用!$AG$5:$AG$364,0),1)/INDEX(其他调用!AJ$5:AJ$364,MATCH($K290,其他调用!$AG$5:$AG$364,0),0),1)*INDEX(其他调用!AA$5:AA$404,MATCH($K290,其他调用!$X$5:$X$404,0),0)</f>
        <v>44855.537690541423</v>
      </c>
      <c r="AE290" s="12">
        <f>MIN(INDEX(其他调用!$AJ$5:$AJ$364,MATCH($K290,其他调用!$AG$5:$AG$364,0),1)/INDEX(其他调用!AK$5:AK$364,MATCH($K290,其他调用!$AG$5:$AG$364,0),0),1)*INDEX(其他调用!AB$5:AB$404,MATCH($K290,其他调用!$X$5:$X$404,0),0)</f>
        <v>16581.899863141032</v>
      </c>
      <c r="AF290" s="12">
        <f>MIN(INDEX(其他调用!$AJ$5:$AJ$364,MATCH($K290,其他调用!$AG$5:$AG$364,0),1)/INDEX(其他调用!AL$5:AL$364,MATCH($K290,其他调用!$AG$5:$AG$364,0),0),1)*INDEX(其他调用!AC$5:AC$404,MATCH($K290,其他调用!$X$5:$X$404,0),0)</f>
        <v>9530.7423596493409</v>
      </c>
      <c r="AG290" s="12">
        <f>求节点(节奏总纲!D$4:D$163,标准城池设计!AE$4:AE$163,$K290)*求节点(节奏总纲!D$4:D$163,攻城基础信息!$AF$5:$AF$164,$K290)</f>
        <v>1107650.2688790839</v>
      </c>
      <c r="AH290" s="12">
        <f>INDEX(其他调用!$AA$5:$AA$404,MATCH($K290,其他调用!$X$5:$X$404,0))*MIN(INDEX(其他调用!AK$5:AK$364,MATCH($K290,其他调用!$AG$5:$AG$364,0),1)/INDEX(其他调用!$AJ$5:$AJ$364,MATCH($K290,其他调用!$AG$5:$AG$364,0),0),5)*求节点(节奏总纲!D$4:D$163,攻城基础信息!$AF$5:$AF$164,$K290)</f>
        <v>446023.31457421515</v>
      </c>
      <c r="AI290" s="12">
        <f>MIN(INDEX(其他调用!$AK$5:$AK$364,MATCH($K290,其他调用!$AG$5:$AG$364,0),1)/INDEX(其他调用!AH$5:AH$364,MATCH($K290,其他调用!$AG$5:$AG$364,0),0),1)*INDEX(其他调用!Y$5:Y$404,MATCH($K290,其他调用!$X$5:$X$404,0),0)</f>
        <v>42177.059397062898</v>
      </c>
      <c r="AJ290" s="12">
        <f>MIN(INDEX(其他调用!$AK$5:$AK$364,MATCH($K290,其他调用!$AG$5:$AG$364,0),1)/INDEX(其他调用!AI$5:AI$364,MATCH($K290,其他调用!$AG$5:$AG$364,0),0),1)*INDEX(其他调用!Z$5:Z$404,MATCH($K290,其他调用!$X$5:$X$404,0),0)</f>
        <v>43333.180142060475</v>
      </c>
      <c r="AK290" s="12">
        <f>MIN(INDEX(其他调用!$AK$5:$AK$364,MATCH($K290,其他调用!$AG$5:$AG$364,0),1)/INDEX(其他调用!AJ$5:AJ$364,MATCH($K290,其他调用!$AG$5:$AG$364,0),0),1)*INDEX(其他调用!AA$5:AA$404,MATCH($K290,其他调用!$X$5:$X$404,0),0)</f>
        <v>44855.537690541423</v>
      </c>
      <c r="AL290" s="12">
        <f>MIN(INDEX(其他调用!$AK$5:$AK$364,MATCH($K290,其他调用!$AG$5:$AG$364,0),1)/INDEX(其他调用!AK$5:AK$364,MATCH($K290,其他调用!$AG$5:$AG$364,0),0),1)*INDEX(其他调用!AB$5:AB$404,MATCH($K290,其他调用!$X$5:$X$404,0),0)</f>
        <v>47109.417856818094</v>
      </c>
      <c r="AM290" s="12">
        <f>MIN(INDEX(其他调用!$AK$5:$AK$364,MATCH($K290,其他调用!$AG$5:$AG$364,0),1)/INDEX(其他调用!AL$5:AL$364,MATCH($K290,其他调用!$AG$5:$AG$364,0),0),1)*INDEX(其他调用!AC$5:AC$404,MATCH($K290,其他调用!$X$5:$X$404,0),0)</f>
        <v>27076.977186699016</v>
      </c>
      <c r="AN290" s="12">
        <f>求节点(节奏总纲!D$4:D$163,标准城池设计!AF$4:AF$163,$K290)*求节点(节奏总纲!D$4:D$163,攻城基础信息!$AG$5:$AG$164,$K290)</f>
        <v>1158872.994534112</v>
      </c>
      <c r="AO290" s="12">
        <f>INDEX(其他调用!$AA$5:$AA$404,MATCH($K290,其他调用!$X$5:$X$404,0))*MIN(INDEX(其他调用!AL$5:AL$364,MATCH($K290,其他调用!$AG$5:$AG$364,0),1)/INDEX(其他调用!$AJ$5:$AJ$364,MATCH($K290,其他调用!$AG$5:$AG$364,0),0),5)*求节点(节奏总纲!D$4:D$163,攻城基础信息!$AG$5:$AG$164,$K290)</f>
        <v>784971.9095844744</v>
      </c>
      <c r="AP290" s="12">
        <f>MIN(INDEX(其他调用!$AL$5:$AL$364,MATCH($K290,其他调用!$AG$5:$AG$364,0),1)/INDEX(其他调用!AH$5:AH$364,MATCH($K290,其他调用!$AG$5:$AG$364,0),0),1)*INDEX(其他调用!Y$5:Y$404,MATCH($K290,其他调用!$X$5:$X$404,0),0)</f>
        <v>42177.059397062898</v>
      </c>
      <c r="AQ290" s="12">
        <f>MIN(INDEX(其他调用!$AL$5:$AL$364,MATCH($K290,其他调用!$AG$5:$AG$364,0),1)/INDEX(其他调用!AI$5:AI$364,MATCH($K290,其他调用!$AG$5:$AG$364,0),0),1)*INDEX(其他调用!Z$5:Z$404,MATCH($K290,其他调用!$X$5:$X$404,0),0)</f>
        <v>43333.180142060475</v>
      </c>
      <c r="AR290" s="12">
        <f>MIN(INDEX(其他调用!$AL$5:$AL$364,MATCH($K290,其他调用!$AG$5:$AG$364,0),1)/INDEX(其他调用!AJ$5:AJ$364,MATCH($K290,其他调用!$AG$5:$AG$364,0),0),1)*INDEX(其他调用!AA$5:AA$404,MATCH($K290,其他调用!$X$5:$X$404,0),0)</f>
        <v>44855.537690541423</v>
      </c>
      <c r="AS290" s="12">
        <f>MIN(INDEX(其他调用!$AL$5:$AL$364,MATCH($K290,其他调用!$AG$5:$AG$364,0),1)/INDEX(其他调用!AK$5:AK$364,MATCH($K290,其他调用!$AG$5:$AG$364,0),0),1)*INDEX(其他调用!AB$5:AB$404,MATCH($K290,其他调用!$X$5:$X$404,0),0)</f>
        <v>47109.417856818094</v>
      </c>
      <c r="AT290" s="12">
        <f>MIN(INDEX(其他调用!$AL$5:$AL$364,MATCH($K290,其他调用!$AG$5:$AG$364,0),1)/INDEX(其他调用!AL$5:AL$364,MATCH($K290,其他调用!$AG$5:$AG$364,0),0),1)*INDEX(其他调用!AC$5:AC$404,MATCH($K290,其他调用!$X$5:$X$404,0),0)</f>
        <v>51002.717416467072</v>
      </c>
      <c r="AV290" s="14">
        <f>IF(OR(AV$5="大R",AV$5="超R"),MAX(INDEX(其他调用!$H$5:$L$404,MATCH($K290,其他调用!$B$5:$B$404,0),MATCH(AV$5,其他调用!$H$4:$L$4,0))*120*0.85,2),INDEX(其他调用!$H$5:$L$404,MATCH($K290,其他调用!$B$5:$B$404,0),MATCH(AV$5,其他调用!$H$4:$L$4,0))*120*0.85)</f>
        <v>48.921801254999991</v>
      </c>
      <c r="AW290" s="14">
        <f>IF(OR(AW$5="大R",AW$5="超R"),MAX(INDEX(其他调用!$H$5:$L$404,MATCH($K290,其他调用!$B$5:$B$404,0),MATCH(AW$5,其他调用!$H$4:$L$4,0))*120*0.85,2),INDEX(其他调用!$H$5:$L$404,MATCH($K290,其他调用!$B$5:$B$404,0),MATCH(AW$5,其他调用!$H$4:$L$4,0))*120*0.85)</f>
        <v>48.237344010638395</v>
      </c>
      <c r="AX290" s="14">
        <f>IF(OR(AX$5="大R",AX$5="超R"),MAX(INDEX(其他调用!$H$5:$L$404,MATCH($K290,其他调用!$B$5:$B$404,0),MATCH(AX$5,其他调用!$H$4:$L$4,0))*120*0.85,2),INDEX(其他调用!$H$5:$L$404,MATCH($K290,其他调用!$B$5:$B$404,0),MATCH(AX$5,其他调用!$H$4:$L$4,0))*120*0.85)</f>
        <v>3.9376284143615998</v>
      </c>
      <c r="AY290" s="14">
        <f>IF(OR(AY$5="大R",AY$5="超R"),MAX(INDEX(其他调用!$H$5:$L$404,MATCH($K290,其他调用!$B$5:$B$404,0),MATCH(AY$5,其他调用!$H$4:$L$4,0))*120*0.85,2),INDEX(其他调用!$H$5:$L$404,MATCH($K290,其他调用!$B$5:$B$404,0),MATCH(AY$5,其他调用!$H$4:$L$4,0))*120*0.85)</f>
        <v>2</v>
      </c>
      <c r="AZ290" s="14">
        <f>IF(OR(AZ$5="大R",AZ$5="超R"),MAX(INDEX(其他调用!$H$5:$L$404,MATCH($K290,其他调用!$B$5:$B$404,0),MATCH(AZ$5,其他调用!$H$4:$L$4,0))*120*0.85,2),INDEX(其他调用!$H$5:$L$404,MATCH($K290,其他调用!$B$5:$B$404,0),MATCH(AZ$5,其他调用!$H$4:$L$4,0))*120*0.85)</f>
        <v>2</v>
      </c>
      <c r="BA290" s="14">
        <f>INDEX(其他调用!$H$5:$L$404,MATCH($K290,其他调用!$B$5:$B$404,0),MATCH(BA$5,其他调用!$H$4:$L$4,0))*INDEX(其他调用!$M$5:$M$404,MATCH($K290,其他调用!$B$5:$B$404,0))*0.6</f>
        <v>28.777530149999997</v>
      </c>
      <c r="BB290" s="14">
        <f>INDEX(其他调用!$H$5:$L$404,MATCH($K290,其他调用!$B$5:$B$404,0),MATCH(BB$5,其他调用!$H$4:$L$4,0))*INDEX(其他调用!$M$5:$M$404,MATCH($K290,其他调用!$B$5:$B$404,0))*0.6</f>
        <v>28.374908241551999</v>
      </c>
      <c r="BC290" s="14">
        <f>INDEX(其他调用!$H$5:$L$404,MATCH($K290,其他调用!$B$5:$B$404,0),MATCH(BC$5,其他调用!$H$4:$L$4,0))*INDEX(其他调用!$M$5:$M$404,MATCH($K290,其他调用!$B$5:$B$404,0))*0.6</f>
        <v>2.3162520084480001</v>
      </c>
      <c r="BD290" s="14">
        <f>INDEX(其他调用!$H$5:$L$404,MATCH($K290,其他调用!$B$5:$B$404,0),MATCH(BD$5,其他调用!$H$4:$L$4,0))*INDEX(其他调用!$M$5:$M$404,MATCH($K290,其他调用!$B$5:$B$404,0))*0.6</f>
        <v>0.4120776000000001</v>
      </c>
      <c r="BE290" s="14">
        <f>INDEX(其他调用!$H$5:$L$404,MATCH($K290,其他调用!$B$5:$B$404,0),MATCH(BE$5,其他调用!$H$4:$L$4,0))*INDEX(其他调用!$M$5:$M$404,MATCH($K290,其他调用!$B$5:$B$404,0))*0.6</f>
        <v>0.11923199999999998</v>
      </c>
      <c r="BF290" s="14">
        <f>IF(OR(BF$5="大R",BF$5="超R"),0,INDEX(其他调用!$H$5:$L$404,MATCH($K290,其他调用!$B$5:$B$404,0),MATCH(BF$5,其他调用!$H$4:$L$4,0))*50*0.4)</f>
        <v>9.5925100500000013</v>
      </c>
      <c r="BG290" s="14">
        <f>IF(OR(BG$5="大R",BG$5="超R"),0,INDEX(其他调用!$H$5:$L$404,MATCH($K290,其他调用!$B$5:$B$404,0),MATCH(BG$5,其他调用!$H$4:$L$4,0))*50*0.4)</f>
        <v>9.4583027471839998</v>
      </c>
      <c r="BH290" s="14">
        <f>IF(OR(BH$5="大R",BH$5="超R"),0,INDEX(其他调用!$H$5:$L$404,MATCH($K290,其他调用!$B$5:$B$404,0),MATCH(BH$5,其他调用!$H$4:$L$4,0))*50*0.4)</f>
        <v>0.77208400281600009</v>
      </c>
      <c r="BI290" s="14">
        <f>IF(OR(BI$5="大R",BI$5="超R"),0,INDEX(其他调用!$H$5:$L$404,MATCH($K290,其他调用!$B$5:$B$404,0),MATCH(BI$5,其他调用!$H$4:$L$4,0))*50*0.4)</f>
        <v>0</v>
      </c>
      <c r="BJ290" s="14">
        <f>IF(OR(BJ$5="大R",BJ$5="超R"),0,INDEX(其他调用!$H$5:$L$404,MATCH($K290,其他调用!$B$5:$B$404,0),MATCH(BJ$5,其他调用!$H$4:$L$4,0))*50*0.4)</f>
        <v>0</v>
      </c>
      <c r="BL290" s="14">
        <f t="shared" si="523"/>
        <v>285</v>
      </c>
      <c r="BM290" s="14">
        <f t="shared" si="430"/>
        <v>96</v>
      </c>
      <c r="BN290" s="14">
        <f>('疲劳值&amp;地图信息'!$S$10*'疲劳值&amp;地图信息'!$R$10+'疲劳值&amp;地图信息'!$S$11*'疲劳值&amp;地图信息'!$R$11+'疲劳值&amp;地图信息'!$S$12*'疲劳值&amp;地图信息'!$R$12+(BM290-'疲劳值&amp;地图信息'!$S$12-'疲劳值&amp;地图信息'!$S$11-'疲劳值&amp;地图信息'!$S$10)*'疲劳值&amp;地图信息'!$R$13)/BM290</f>
        <v>51.371477246638619</v>
      </c>
      <c r="BO290" s="14">
        <f>INDEX(其他调用!$M$5:$M$404,MATCH(BL290,其他调用!$B$5:$B$404,0))*0.6</f>
        <v>60</v>
      </c>
      <c r="BP290" s="14">
        <f>IF(BO290&gt;SUM('疲劳值&amp;地图信息'!$S$10:$S$12),('疲劳值&amp;地图信息'!$S$10*'疲劳值&amp;地图信息'!$R$10+'疲劳值&amp;地图信息'!$S$11*'疲劳值&amp;地图信息'!$R$11+'疲劳值&amp;地图信息'!$S$12*'疲劳值&amp;地图信息'!$R$12+(BO290-'疲劳值&amp;地图信息'!$S$12-'疲劳值&amp;地图信息'!$S$11-'疲劳值&amp;地图信息'!$S$10)*'疲劳值&amp;地图信息'!$R$13)/BO290,('疲劳值&amp;地图信息'!$S$10*'疲劳值&amp;地图信息'!$R$10+'疲劳值&amp;地图信息'!$S$11*'疲劳值&amp;地图信息'!$R$11+'疲劳值&amp;地图信息'!$S$12*'疲劳值&amp;地图信息'!$R$12+(BO290-'疲劳值&amp;地图信息'!$S$12-'疲劳值&amp;地图信息'!$S$11-'疲劳值&amp;地图信息'!$S$10)*'疲劳值&amp;地图信息'!$R$13)/BO290)</f>
        <v>44.158136341605953</v>
      </c>
      <c r="BQ290" s="14">
        <f t="shared" si="524"/>
        <v>20</v>
      </c>
      <c r="BR290" s="14">
        <f>('疲劳值&amp;地图信息'!$S$10*'疲劳值&amp;地图信息'!$R$10+($BQ290-'疲劳值&amp;地图信息'!$S$10)*'疲劳值&amp;地图信息'!$R$11)/$BQ290</f>
        <v>32.067203015074995</v>
      </c>
      <c r="CF290" s="14">
        <v>285</v>
      </c>
      <c r="CG290" s="51">
        <f t="shared" si="431"/>
        <v>15628</v>
      </c>
      <c r="CH290" s="51">
        <f t="shared" si="432"/>
        <v>1093</v>
      </c>
      <c r="CI290" s="51">
        <f>INT(SUMPRODUCT($N290:$R290,$BA290:$BE290)/SUM($BA290:$BE290)/10000*$BX$7*$BZ$34/'疲劳值&amp;地图信息'!$R$10*$BY$53)</f>
        <v>3340</v>
      </c>
      <c r="CJ290" s="50">
        <f t="shared" si="433"/>
        <v>0.77902397687054481</v>
      </c>
      <c r="CK290" s="50">
        <f t="shared" si="434"/>
        <v>5.4483824335775886E-2</v>
      </c>
      <c r="CL290" s="50">
        <f t="shared" si="435"/>
        <v>0.16649219879367927</v>
      </c>
      <c r="CM290" s="14">
        <f t="shared" si="436"/>
        <v>17098</v>
      </c>
      <c r="CN290" s="14">
        <f t="shared" si="437"/>
        <v>1858</v>
      </c>
      <c r="CO290" s="14">
        <f>INT(SUMPRODUCT($U290:$Y290,$BA290:$BE290)/SUM($BA290:$BE290)/10000*$BX$7*$BZ$34/'疲劳值&amp;地图信息'!$R$10*$BY$54)</f>
        <v>6362</v>
      </c>
      <c r="CP290" s="50">
        <f t="shared" si="438"/>
        <v>0.6753298048819022</v>
      </c>
      <c r="CQ290" s="50">
        <f t="shared" si="439"/>
        <v>7.3386523422071248E-2</v>
      </c>
      <c r="CR290" s="50">
        <f t="shared" si="440"/>
        <v>0.25128367169602656</v>
      </c>
      <c r="CS290" s="14">
        <f t="shared" si="441"/>
        <v>18682</v>
      </c>
      <c r="CT290" s="14">
        <f t="shared" si="442"/>
        <v>3199</v>
      </c>
      <c r="CU290" s="14">
        <f>INT(SUMPRODUCT($AB290:$AF290,$BA290:$BE290)/SUM($BA290:$BE290)/10000*$BX$7*$BZ$34/'疲劳值&amp;地图信息'!$R$10*$BY$55)</f>
        <v>8642</v>
      </c>
      <c r="CV290" s="50">
        <f t="shared" si="443"/>
        <v>0.61206303443305043</v>
      </c>
      <c r="CW290" s="50">
        <f t="shared" si="444"/>
        <v>0.1048062117092029</v>
      </c>
      <c r="CX290" s="50">
        <f t="shared" si="445"/>
        <v>0.28313075385774661</v>
      </c>
      <c r="CY290" s="14">
        <f t="shared" si="446"/>
        <v>22575</v>
      </c>
      <c r="CZ290" s="14">
        <f t="shared" si="447"/>
        <v>9090</v>
      </c>
      <c r="DA290" s="14">
        <f>INT(SUMPRODUCT($AI290:$AM290,$BA290:$BE290)/SUM($BA290:$BE290)/10000*$BX$7*$BZ$34/'疲劳值&amp;地图信息'!$R$10*$BY$56)</f>
        <v>13037</v>
      </c>
      <c r="DB290" s="50">
        <f t="shared" si="448"/>
        <v>0.50501096147823366</v>
      </c>
      <c r="DC290" s="50">
        <f t="shared" si="449"/>
        <v>0.20334660641582031</v>
      </c>
      <c r="DD290" s="50">
        <f t="shared" si="450"/>
        <v>0.29164243210594604</v>
      </c>
      <c r="DE290" s="14">
        <f t="shared" si="451"/>
        <v>23619</v>
      </c>
      <c r="DF290" s="14">
        <f t="shared" si="452"/>
        <v>15998</v>
      </c>
      <c r="DG290" s="14">
        <f>INT(SUMPRODUCT($AP290:$AT290,$BA290:$BE290)/SUM($BA290:$BE290)/10000*$BX$7*$BZ$34/'疲劳值&amp;地图信息'!$R$10*$BY$57)</f>
        <v>17403</v>
      </c>
      <c r="DH290" s="50">
        <f t="shared" si="453"/>
        <v>0.41422307962118554</v>
      </c>
      <c r="DI290" s="50">
        <f t="shared" si="454"/>
        <v>0.28056822167660472</v>
      </c>
      <c r="DJ290" s="50">
        <f t="shared" si="455"/>
        <v>0.30520869870220974</v>
      </c>
      <c r="DL290" s="14">
        <f t="shared" si="526"/>
        <v>20061</v>
      </c>
      <c r="DM290" s="14">
        <f t="shared" si="527"/>
        <v>25318</v>
      </c>
      <c r="DN290" s="14">
        <f t="shared" si="528"/>
        <v>30523</v>
      </c>
      <c r="DO290" s="14">
        <f t="shared" si="529"/>
        <v>44702</v>
      </c>
      <c r="DP290" s="14">
        <f t="shared" si="530"/>
        <v>57020</v>
      </c>
      <c r="DQ290" s="14">
        <f t="shared" si="531"/>
        <v>1391620</v>
      </c>
      <c r="DT290" s="14">
        <f t="shared" si="525"/>
        <v>235575</v>
      </c>
      <c r="DU290" s="50">
        <f t="shared" si="427"/>
        <v>0.14477367494369145</v>
      </c>
      <c r="DW290" s="14">
        <f t="shared" si="456"/>
        <v>1627195</v>
      </c>
      <c r="EB290" s="14">
        <v>285</v>
      </c>
      <c r="EC290" s="51">
        <f t="shared" si="457"/>
        <v>26047</v>
      </c>
      <c r="ED290" s="51">
        <f t="shared" si="458"/>
        <v>1821</v>
      </c>
      <c r="EE290" s="51">
        <f>INT(SUMPRODUCT($N290:$R290,$BF290:$BJ290)/SUM($BF290:$BJ290)/10000*$BX$7*$BZ$46/'疲劳值&amp;地图信息'!$R$10*$BY$53)</f>
        <v>448</v>
      </c>
      <c r="EF290" s="50">
        <f t="shared" si="459"/>
        <v>0.91986862551207793</v>
      </c>
      <c r="EG290" s="50">
        <f t="shared" si="460"/>
        <v>6.4309930781183786E-2</v>
      </c>
      <c r="EH290" s="50">
        <f t="shared" si="461"/>
        <v>1.5821443706738238E-2</v>
      </c>
      <c r="EI290" s="51">
        <f t="shared" si="462"/>
        <v>28497</v>
      </c>
      <c r="EJ290" s="51">
        <f t="shared" si="463"/>
        <v>3096</v>
      </c>
      <c r="EK290" s="14">
        <f>INT(SUMPRODUCT($U290:$Y290,$BF290:$BJ290)/SUM($BF290:$BJ290)/10000*$BX$7*$BZ$46/'疲劳值&amp;地图信息'!$R$10*$BY$54)</f>
        <v>854</v>
      </c>
      <c r="EL290" s="50">
        <f t="shared" si="464"/>
        <v>0.87826301352975622</v>
      </c>
      <c r="EM290" s="50">
        <f t="shared" si="465"/>
        <v>9.5417141800474614E-2</v>
      </c>
      <c r="EN290" s="50">
        <f t="shared" si="466"/>
        <v>2.6319844669769162E-2</v>
      </c>
      <c r="EO290" s="51">
        <f t="shared" si="467"/>
        <v>31138</v>
      </c>
      <c r="EP290" s="51">
        <f t="shared" si="468"/>
        <v>5332</v>
      </c>
      <c r="EQ290" s="14">
        <f>INT(SUMPRODUCT($AB290:$AF290,$BF290:$BJ290)/SUM($BF290:$BJ290)/10000*$BX$7*$BZ$46/'疲劳值&amp;地图信息'!$R$10*$BY$55)</f>
        <v>1158</v>
      </c>
      <c r="ER290" s="50">
        <f t="shared" si="469"/>
        <v>0.82752205804188372</v>
      </c>
      <c r="ES290" s="50">
        <f t="shared" si="470"/>
        <v>0.14170298713723822</v>
      </c>
      <c r="ET290" s="50">
        <f t="shared" si="471"/>
        <v>3.0774954820878071E-2</v>
      </c>
      <c r="EU290" s="51">
        <f t="shared" si="472"/>
        <v>37625</v>
      </c>
      <c r="EV290" s="51">
        <f t="shared" si="473"/>
        <v>15150</v>
      </c>
      <c r="EW290" s="14">
        <f>INT(SUMPRODUCT($AI290:$AM290,$BF290:$BJ290)/SUM($BF290:$BJ290)/10000*$BX$7*$BZ$46/'疲劳值&amp;地图信息'!$R$10*$BY$56)</f>
        <v>1738</v>
      </c>
      <c r="EX290" s="50">
        <f t="shared" si="474"/>
        <v>0.69020233705721568</v>
      </c>
      <c r="EY290" s="50">
        <f t="shared" si="475"/>
        <v>0.27791535963898517</v>
      </c>
      <c r="EZ290" s="50">
        <f t="shared" si="476"/>
        <v>3.1882303303799091E-2</v>
      </c>
      <c r="FA290" s="51">
        <f t="shared" si="477"/>
        <v>39365</v>
      </c>
      <c r="FB290" s="51">
        <f t="shared" si="478"/>
        <v>26664</v>
      </c>
      <c r="FC290" s="14">
        <f>INT(SUMPRODUCT($AP290:$AT290,$BF290:$BJ290)/SUM($BF290:$BJ290)/10000*$BX$7*$BZ$46/'疲劳值&amp;地图信息'!$R$10*$BY$57)</f>
        <v>2317</v>
      </c>
      <c r="FD290" s="50">
        <f t="shared" si="479"/>
        <v>0.57596640622713835</v>
      </c>
      <c r="FE290" s="50">
        <f t="shared" si="480"/>
        <v>0.39013256079360897</v>
      </c>
      <c r="FF290" s="50">
        <f t="shared" si="481"/>
        <v>3.3901032979252628E-2</v>
      </c>
      <c r="FH290" s="14">
        <f t="shared" si="482"/>
        <v>28316</v>
      </c>
      <c r="FI290" s="14">
        <f t="shared" si="483"/>
        <v>32447</v>
      </c>
      <c r="FJ290" s="14">
        <f t="shared" si="484"/>
        <v>37628</v>
      </c>
      <c r="FK290" s="14">
        <f t="shared" si="485"/>
        <v>54513</v>
      </c>
      <c r="FL290" s="14">
        <f t="shared" si="486"/>
        <v>68346</v>
      </c>
      <c r="FM290" s="14">
        <f t="shared" si="487"/>
        <v>3344309</v>
      </c>
      <c r="FP290" s="14">
        <f t="shared" si="488"/>
        <v>334150</v>
      </c>
      <c r="FQ290" s="50">
        <f t="shared" si="428"/>
        <v>9.0839669546405169E-2</v>
      </c>
      <c r="FS290" s="14">
        <f t="shared" si="489"/>
        <v>3678459</v>
      </c>
      <c r="FX290" s="14">
        <v>285</v>
      </c>
      <c r="FY290" s="51">
        <f t="shared" si="490"/>
        <v>36466</v>
      </c>
      <c r="FZ290" s="51">
        <f t="shared" si="491"/>
        <v>1821</v>
      </c>
      <c r="GA290" s="51">
        <f>INT(SUMPRODUCT($N290:$R290,$BF290:$BJ290)/SUM($BF290:$BJ290)/10000*$BX$7*$BZ$46/'疲劳值&amp;地图信息'!$R$10*$BY$53)</f>
        <v>448</v>
      </c>
      <c r="GB290" s="50">
        <f t="shared" si="492"/>
        <v>0.94142248612366075</v>
      </c>
      <c r="GC290" s="50">
        <f t="shared" si="493"/>
        <v>4.7011746482509359E-2</v>
      </c>
      <c r="GD290" s="50">
        <f t="shared" si="494"/>
        <v>1.1565767393829869E-2</v>
      </c>
      <c r="GE290" s="51">
        <f t="shared" si="495"/>
        <v>39896</v>
      </c>
      <c r="GF290" s="51">
        <f t="shared" si="496"/>
        <v>3096</v>
      </c>
      <c r="GG290" s="14">
        <f>INT(SUMPRODUCT($U290:$Y290,$BF290:$BJ290)/SUM($BF290:$BJ290)/10000*$BX$7*$BZ$46/'疲劳值&amp;地图信息'!$R$10*$BY$54)</f>
        <v>854</v>
      </c>
      <c r="GH290" s="50">
        <f t="shared" si="497"/>
        <v>0.90991196460338453</v>
      </c>
      <c r="GI290" s="50">
        <f t="shared" si="498"/>
        <v>7.0610774072891486E-2</v>
      </c>
      <c r="GJ290" s="50">
        <f t="shared" si="499"/>
        <v>1.9477261323723943E-2</v>
      </c>
      <c r="GK290" s="51">
        <f t="shared" si="500"/>
        <v>43593</v>
      </c>
      <c r="GL290" s="51">
        <f t="shared" si="501"/>
        <v>5332</v>
      </c>
      <c r="GM290" s="14">
        <f>INT(SUMPRODUCT($AB290:$AF290,$BF290:$BJ290)/SUM($BF290:$BJ290)/10000*$BX$7*$BZ$46/'疲劳值&amp;地图信息'!$R$10*$BY$55)</f>
        <v>1158</v>
      </c>
      <c r="GN290" s="50">
        <f t="shared" si="502"/>
        <v>0.87041511091587964</v>
      </c>
      <c r="GO290" s="50">
        <f t="shared" si="503"/>
        <v>0.10646327097018948</v>
      </c>
      <c r="GP290" s="50">
        <f t="shared" si="504"/>
        <v>2.3121618113930875E-2</v>
      </c>
      <c r="GQ290" s="51">
        <f t="shared" si="505"/>
        <v>52675</v>
      </c>
      <c r="GR290" s="51">
        <f t="shared" si="506"/>
        <v>15150</v>
      </c>
      <c r="GS290" s="14">
        <f>INT(SUMPRODUCT($AI290:$AM290,$BF290:$BJ290)/SUM($BF290:$BJ290)/10000*$BX$7*$BZ$46/'疲劳值&amp;地图信息'!$R$10*$BY$56)</f>
        <v>1738</v>
      </c>
      <c r="GT290" s="50">
        <f t="shared" si="507"/>
        <v>0.75722726161896414</v>
      </c>
      <c r="GU290" s="50">
        <f t="shared" si="508"/>
        <v>0.21778819199861996</v>
      </c>
      <c r="GV290" s="50">
        <f t="shared" si="509"/>
        <v>2.4984546382415939E-2</v>
      </c>
      <c r="GW290" s="51">
        <f t="shared" si="510"/>
        <v>55111</v>
      </c>
      <c r="GX290" s="51">
        <f t="shared" si="511"/>
        <v>26664</v>
      </c>
      <c r="GY290" s="14">
        <f>INT(SUMPRODUCT($AP290:$AT290,$BF290:$BJ290)/SUM($BF290:$BJ290)/10000*$BX$7*$BZ$46/'疲劳值&amp;地图信息'!$R$10*$BY$57)</f>
        <v>2317</v>
      </c>
      <c r="GZ290" s="50">
        <f t="shared" si="512"/>
        <v>0.65536555201446034</v>
      </c>
      <c r="HA290" s="50">
        <f t="shared" si="513"/>
        <v>0.31708129191837509</v>
      </c>
      <c r="HB290" s="50">
        <f t="shared" si="514"/>
        <v>2.7553156067164533E-2</v>
      </c>
      <c r="HD290" s="14">
        <f t="shared" si="515"/>
        <v>38735</v>
      </c>
      <c r="HE290" s="14">
        <f t="shared" si="516"/>
        <v>43846</v>
      </c>
      <c r="HF290" s="14">
        <f t="shared" si="517"/>
        <v>50083</v>
      </c>
      <c r="HG290" s="14">
        <f t="shared" si="518"/>
        <v>69563</v>
      </c>
      <c r="HH290" s="14">
        <f t="shared" si="519"/>
        <v>84092</v>
      </c>
      <c r="HI290" s="14">
        <f t="shared" si="520"/>
        <v>4514518</v>
      </c>
      <c r="HL290" s="14">
        <f t="shared" si="521"/>
        <v>430050</v>
      </c>
      <c r="HM290" s="50">
        <f t="shared" si="429"/>
        <v>8.6974231115842682E-2</v>
      </c>
      <c r="HO290" s="14">
        <f t="shared" si="522"/>
        <v>4944568</v>
      </c>
    </row>
    <row r="291" spans="11:223" x14ac:dyDescent="0.2">
      <c r="K291" s="14">
        <v>286</v>
      </c>
      <c r="L291" s="12">
        <f>求节点(节奏总纲!D$4:D$163,标准城池设计!AB$4:AB$163,$K291)*求节点(节奏总纲!D$4:D$163,攻城基础信息!$AC$5:$AC$164,$K291)</f>
        <v>767958.79952597409</v>
      </c>
      <c r="M291" s="12">
        <f>INDEX(其他调用!$AA$5:$AA$404,MATCH(K291,其他调用!$X$5:$X$404,0))*MIN(INDEX(其他调用!$AH$5:$AH$364,MATCH('征服点（新）'!K291,其他调用!$AG$5:$AG$364,0),1)/INDEX(其他调用!$AJ$5:$AJ$364,MATCH(K291,其他调用!$AG$5:$AG$364,0),0),5)*求节点(节奏总纲!D$4:D$163,攻城基础信息!$AC$5:$AC$164,$K291)</f>
        <v>53629.557650618459</v>
      </c>
      <c r="N291" s="12">
        <f>MIN(INDEX(其他调用!$AH$5:$AH$364,MATCH($K291,其他调用!$AG$5:$AG$364,0),1)/INDEX(其他调用!AH$5:AH$364,MATCH($K291,其他调用!$AG$5:$AG$364,0),0),1)*INDEX(其他调用!Y$5:Y$404,MATCH($K291,其他调用!$X$5:$X$404,0),0)</f>
        <v>42197.370705450317</v>
      </c>
      <c r="O291" s="12">
        <f>MIN(INDEX(其他调用!$AH$5:$AH$364,MATCH($K291,其他调用!$AG$5:$AG$364,0),1)/INDEX(其他调用!AI$5:AI$364,MATCH($K291,其他调用!$AG$5:$AG$364,0),0),1)*INDEX(其他调用!Z$5:Z$404,MATCH($K291,其他调用!$X$5:$X$404,0),0)</f>
        <v>25503.313295773129</v>
      </c>
      <c r="P291" s="12">
        <f>MIN(INDEX(其他调用!$AH$5:$AH$364,MATCH($K291,其他调用!$AG$5:$AG$364,0),1)/INDEX(其他调用!AJ$5:AJ$364,MATCH($K291,其他调用!$AG$5:$AG$364,0),0),1)*INDEX(其他调用!AA$5:AA$404,MATCH($K291,其他调用!$X$5:$X$404,0),0)</f>
        <v>15322.73075731957</v>
      </c>
      <c r="Q291" s="12">
        <f>MIN(INDEX(其他调用!$AH$5:$AH$364,MATCH($K291,其他调用!$AG$5:$AG$364,0),1)/INDEX(其他调用!AK$5:AK$364,MATCH($K291,其他调用!$AG$5:$AG$364,0),0),1)*INDEX(其他调用!AB$5:AB$404,MATCH($K291,其他调用!$X$5:$X$404,0),0)</f>
        <v>5672.0858048890113</v>
      </c>
      <c r="R291" s="12">
        <f>MIN(INDEX(其他调用!$AH$5:$AH$364,MATCH($K291,其他调用!$AG$5:$AG$364,0),1)/INDEX(其他调用!AL$5:AL$364,MATCH($K291,其他调用!$AG$5:$AG$364,0),0),1)*INDEX(其他调用!AC$5:AC$404,MATCH($K291,其他调用!$X$5:$X$404,0),0)</f>
        <v>3265.0100320893175</v>
      </c>
      <c r="S291" s="12">
        <f>求节点(节奏总纲!D$4:D$163,标准城池设计!AC$4:AC$163,$K291)*求节点(节奏总纲!D$4:D$163,攻城基础信息!$AD$5:$AD$164,$K291)</f>
        <v>840360.5570880106</v>
      </c>
      <c r="T291" s="12">
        <f>INDEX(其他调用!$AA$5:$AA$404,MATCH($K291,其他调用!$X$5:$X$404,0))*MIN(INDEX(其他调用!AI$5:AI$364,MATCH($K291,其他调用!$AG$5:$AG$364,0),1)/INDEX(其他调用!$AJ$5:$AJ$364,MATCH($K291,其他调用!$AG$5:$AG$364,0),0),5)*求节点(节奏总纲!D$4:D$163,攻城基础信息!$AD$5:$AD$164,$K291)</f>
        <v>91166.212293035351</v>
      </c>
      <c r="U291" s="12">
        <f>MIN(INDEX(其他调用!$AI$5:$AI$364,MATCH($K291,其他调用!$AG$5:$AG$364,0),1)/INDEX(其他调用!AH$5:AH$364,MATCH($K291,其他调用!$AG$5:$AG$364,0),0),1)*INDEX(其他调用!Y$5:Y$404,MATCH($K291,其他调用!$X$5:$X$404,0),0)</f>
        <v>42197.370705450317</v>
      </c>
      <c r="V291" s="12">
        <f>MIN(INDEX(其他调用!$AI$5:$AI$364,MATCH($K291,其他调用!$AG$5:$AG$364,0),1)/INDEX(其他调用!AI$5:AI$364,MATCH($K291,其他调用!$AG$5:$AG$364,0),0),1)*INDEX(其他调用!Z$5:Z$404,MATCH($K291,其他调用!$X$5:$X$404,0),0)</f>
        <v>43353.713436259</v>
      </c>
      <c r="W291" s="12">
        <f>MIN(INDEX(其他调用!$AI$5:$AI$364,MATCH($K291,其他调用!$AG$5:$AG$364,0),1)/INDEX(其他调用!AJ$5:AJ$364,MATCH($K291,其他调用!$AG$5:$AG$364,0),0),1)*INDEX(其他调用!AA$5:AA$404,MATCH($K291,其他调用!$X$5:$X$404,0),0)</f>
        <v>26047.489226581543</v>
      </c>
      <c r="X291" s="12">
        <f>MIN(INDEX(其他调用!$AI$5:$AI$364,MATCH($K291,其他调用!$AG$5:$AG$364,0),1)/INDEX(其他调用!AK$5:AK$364,MATCH($K291,其他调用!$AG$5:$AG$364,0),0),1)*INDEX(其他调用!AB$5:AB$404,MATCH($K291,其他调用!$X$5:$X$404,0),0)</f>
        <v>9642.1190344623446</v>
      </c>
      <c r="Y291" s="12">
        <f>MIN(INDEX(其他调用!$AI$5:$AI$364,MATCH($K291,其他调用!$AG$5:$AG$364,0),1)/INDEX(其他调用!AL$5:AL$364,MATCH($K291,其他调用!$AG$5:$AG$364,0),0),1)*INDEX(其他调用!AC$5:AC$404,MATCH($K291,其他调用!$X$5:$X$404,0),0)</f>
        <v>5550.2713571405393</v>
      </c>
      <c r="Z291" s="12">
        <f>求节点(节奏总纲!D$4:D$163,标准城池设计!AD$4:AD$163,$K291)*求节点(节奏总纲!D$4:D$163,攻城基础信息!$AE$5:$AE$164,$K291)</f>
        <v>918086.88207412232</v>
      </c>
      <c r="AA291" s="12">
        <f>INDEX(其他调用!$AA$5:$AA$404,MATCH($K291,其他调用!$X$5:$X$404,0))*MIN(INDEX(其他调用!AJ$5:AJ$364,MATCH($K291,其他调用!$AG$5:$AG$364,0),1)/INDEX(其他调用!$AJ$5:$AJ$364,MATCH($K291,其他调用!$AG$5:$AG$364,0),0),5)*求节点(节奏总纲!D$4:D$163,攻城基础信息!$AE$5:$AE$164,$K291)</f>
        <v>157065.45474746803</v>
      </c>
      <c r="AB291" s="12">
        <f>MIN(INDEX(其他调用!$AJ$5:$AJ$364,MATCH($K291,其他调用!$AG$5:$AG$364,0),1)/INDEX(其他调用!AH$5:AH$364,MATCH($K291,其他调用!$AG$5:$AG$364,0),0),1)*INDEX(其他调用!Y$5:Y$404,MATCH($K291,其他调用!$X$5:$X$404,0),0)</f>
        <v>42197.370705450317</v>
      </c>
      <c r="AC291" s="12">
        <f>MIN(INDEX(其他调用!$AJ$5:$AJ$364,MATCH($K291,其他调用!$AG$5:$AG$364,0),1)/INDEX(其他调用!AI$5:AI$364,MATCH($K291,其他调用!$AG$5:$AG$364,0),0),1)*INDEX(其他调用!Z$5:Z$404,MATCH($K291,其他调用!$X$5:$X$404,0),0)</f>
        <v>43353.713436259</v>
      </c>
      <c r="AD291" s="12">
        <f>MIN(INDEX(其他调用!$AJ$5:$AJ$364,MATCH($K291,其他调用!$AG$5:$AG$364,0),1)/INDEX(其他调用!AJ$5:AJ$364,MATCH($K291,其他调用!$AG$5:$AG$364,0),0),1)*INDEX(其他调用!AA$5:AA$404,MATCH($K291,其他调用!$X$5:$X$404,0),0)</f>
        <v>44875.844213562326</v>
      </c>
      <c r="AE291" s="12">
        <f>MIN(INDEX(其他调用!$AJ$5:$AJ$364,MATCH($K291,其他调用!$AG$5:$AG$364,0),1)/INDEX(其他调用!AK$5:AK$364,MATCH($K291,其他调用!$AG$5:$AG$364,0),0),1)*INDEX(其他调用!AB$5:AB$404,MATCH($K291,其他调用!$X$5:$X$404,0),0)</f>
        <v>16611.89790367919</v>
      </c>
      <c r="AF291" s="12">
        <f>MIN(INDEX(其他调用!$AJ$5:$AJ$364,MATCH($K291,其他调用!$AG$5:$AG$364,0),1)/INDEX(其他调用!AL$5:AL$364,MATCH($K291,其他调用!$AG$5:$AG$364,0),0),1)*INDEX(其他调用!AC$5:AC$404,MATCH($K291,其他调用!$X$5:$X$404,0),0)</f>
        <v>9562.269537743241</v>
      </c>
      <c r="AG291" s="12">
        <f>求节点(节奏总纲!D$4:D$163,标准城池设计!AE$4:AE$163,$K291)*求节点(节奏总纲!D$4:D$163,攻城基础信息!$AF$5:$AF$164,$K291)</f>
        <v>1109438.7767271944</v>
      </c>
      <c r="AH291" s="12">
        <f>INDEX(其他调用!$AA$5:$AA$404,MATCH($K291,其他调用!$X$5:$X$404,0))*MIN(INDEX(其他调用!AK$5:AK$364,MATCH($K291,其他调用!$AG$5:$AG$364,0),1)/INDEX(其他调用!$AJ$5:$AJ$364,MATCH($K291,其他调用!$AG$5:$AG$364,0),0),5)*求节点(节奏总纲!D$4:D$163,攻城基础信息!$AF$5:$AF$164,$K291)</f>
        <v>445610.41712564678</v>
      </c>
      <c r="AI291" s="12">
        <f>MIN(INDEX(其他调用!$AK$5:$AK$364,MATCH($K291,其他调用!$AG$5:$AG$364,0),1)/INDEX(其他调用!AH$5:AH$364,MATCH($K291,其他调用!$AG$5:$AG$364,0),0),1)*INDEX(其他调用!Y$5:Y$404,MATCH($K291,其他调用!$X$5:$X$404,0),0)</f>
        <v>42197.370705450317</v>
      </c>
      <c r="AJ291" s="12">
        <f>MIN(INDEX(其他调用!$AK$5:$AK$364,MATCH($K291,其他调用!$AG$5:$AG$364,0),1)/INDEX(其他调用!AI$5:AI$364,MATCH($K291,其他调用!$AG$5:$AG$364,0),0),1)*INDEX(其他调用!Z$5:Z$404,MATCH($K291,其他调用!$X$5:$X$404,0),0)</f>
        <v>43353.713436259</v>
      </c>
      <c r="AK291" s="12">
        <f>MIN(INDEX(其他调用!$AK$5:$AK$364,MATCH($K291,其他调用!$AG$5:$AG$364,0),1)/INDEX(其他调用!AJ$5:AJ$364,MATCH($K291,其他调用!$AG$5:$AG$364,0),0),1)*INDEX(其他调用!AA$5:AA$404,MATCH($K291,其他调用!$X$5:$X$404,0),0)</f>
        <v>44875.844213562326</v>
      </c>
      <c r="AL291" s="12">
        <f>MIN(INDEX(其他调用!$AK$5:$AK$364,MATCH($K291,其他调用!$AG$5:$AG$364,0),1)/INDEX(其他调用!AK$5:AK$364,MATCH($K291,其他调用!$AG$5:$AG$364,0),0),1)*INDEX(其他调用!AB$5:AB$404,MATCH($K291,其他调用!$X$5:$X$404,0),0)</f>
        <v>47129.617177812106</v>
      </c>
      <c r="AM291" s="12">
        <f>MIN(INDEX(其他调用!$AK$5:$AK$364,MATCH($K291,其他调用!$AG$5:$AG$364,0),1)/INDEX(其他调用!AL$5:AL$364,MATCH($K291,其他调用!$AG$5:$AG$364,0),0),1)*INDEX(其他调用!AC$5:AC$404,MATCH($K291,其他调用!$X$5:$X$404,0),0)</f>
        <v>27129.115846846144</v>
      </c>
      <c r="AN291" s="12">
        <f>求节点(节奏总纲!D$4:D$163,标准城池设计!AF$4:AF$163,$K291)*求节点(节奏总纲!D$4:D$163,攻城基础信息!$AG$5:$AG$164,$K291)</f>
        <v>1160669.0325509342</v>
      </c>
      <c r="AO291" s="12">
        <f>INDEX(其他调用!$AA$5:$AA$404,MATCH($K291,其他调用!$X$5:$X$404,0))*MIN(INDEX(其他调用!AL$5:AL$364,MATCH($K291,其他调用!$AG$5:$AG$364,0),1)/INDEX(其他调用!$AJ$5:$AJ$364,MATCH($K291,其他调用!$AG$5:$AG$364,0),0),5)*求节点(节奏总纲!D$4:D$163,攻城基础信息!$AG$5:$AG$164,$K291)</f>
        <v>785327.27373734023</v>
      </c>
      <c r="AP291" s="12">
        <f>MIN(INDEX(其他调用!$AL$5:$AL$364,MATCH($K291,其他调用!$AG$5:$AG$364,0),1)/INDEX(其他调用!AH$5:AH$364,MATCH($K291,其他调用!$AG$5:$AG$364,0),0),1)*INDEX(其他调用!Y$5:Y$404,MATCH($K291,其他调用!$X$5:$X$404,0),0)</f>
        <v>42197.370705450317</v>
      </c>
      <c r="AQ291" s="12">
        <f>MIN(INDEX(其他调用!$AL$5:$AL$364,MATCH($K291,其他调用!$AG$5:$AG$364,0),1)/INDEX(其他调用!AI$5:AI$364,MATCH($K291,其他调用!$AG$5:$AG$364,0),0),1)*INDEX(其他调用!Z$5:Z$404,MATCH($K291,其他调用!$X$5:$X$404,0),0)</f>
        <v>43353.713436259</v>
      </c>
      <c r="AR291" s="12">
        <f>MIN(INDEX(其他调用!$AL$5:$AL$364,MATCH($K291,其他调用!$AG$5:$AG$364,0),1)/INDEX(其他调用!AJ$5:AJ$364,MATCH($K291,其他调用!$AG$5:$AG$364,0),0),1)*INDEX(其他调用!AA$5:AA$404,MATCH($K291,其他调用!$X$5:$X$404,0),0)</f>
        <v>44875.844213562326</v>
      </c>
      <c r="AS291" s="12">
        <f>MIN(INDEX(其他调用!$AL$5:$AL$364,MATCH($K291,其他调用!$AG$5:$AG$364,0),1)/INDEX(其他调用!AK$5:AK$364,MATCH($K291,其他调用!$AG$5:$AG$364,0),0),1)*INDEX(其他调用!AB$5:AB$404,MATCH($K291,其他调用!$X$5:$X$404,0),0)</f>
        <v>47129.617177812106</v>
      </c>
      <c r="AT291" s="12">
        <f>MIN(INDEX(其他调用!$AL$5:$AL$364,MATCH($K291,其他调用!$AG$5:$AG$364,0),1)/INDEX(其他调用!AL$5:AL$364,MATCH($K291,其他调用!$AG$5:$AG$364,0),0),1)*INDEX(其他调用!AC$5:AC$404,MATCH($K291,其他调用!$X$5:$X$404,0),0)</f>
        <v>51023.577978736081</v>
      </c>
      <c r="AV291" s="14">
        <f>IF(OR(AV$5="大R",AV$5="超R"),MAX(INDEX(其他调用!$H$5:$L$404,MATCH($K291,其他调用!$B$5:$B$404,0),MATCH(AV$5,其他调用!$H$4:$L$4,0))*120*0.85,2),INDEX(其他调用!$H$5:$L$404,MATCH($K291,其他调用!$B$5:$B$404,0),MATCH(AV$5,其他调用!$H$4:$L$4,0))*120*0.85)</f>
        <v>48.921801254999991</v>
      </c>
      <c r="AW291" s="14">
        <f>IF(OR(AW$5="大R",AW$5="超R"),MAX(INDEX(其他调用!$H$5:$L$404,MATCH($K291,其他调用!$B$5:$B$404,0),MATCH(AW$5,其他调用!$H$4:$L$4,0))*120*0.85,2),INDEX(其他调用!$H$5:$L$404,MATCH($K291,其他调用!$B$5:$B$404,0),MATCH(AW$5,其他调用!$H$4:$L$4,0))*120*0.85)</f>
        <v>48.237344010638395</v>
      </c>
      <c r="AX291" s="14">
        <f>IF(OR(AX$5="大R",AX$5="超R"),MAX(INDEX(其他调用!$H$5:$L$404,MATCH($K291,其他调用!$B$5:$B$404,0),MATCH(AX$5,其他调用!$H$4:$L$4,0))*120*0.85,2),INDEX(其他调用!$H$5:$L$404,MATCH($K291,其他调用!$B$5:$B$404,0),MATCH(AX$5,其他调用!$H$4:$L$4,0))*120*0.85)</f>
        <v>3.9376284143615998</v>
      </c>
      <c r="AY291" s="14">
        <f>IF(OR(AY$5="大R",AY$5="超R"),MAX(INDEX(其他调用!$H$5:$L$404,MATCH($K291,其他调用!$B$5:$B$404,0),MATCH(AY$5,其他调用!$H$4:$L$4,0))*120*0.85,2),INDEX(其他调用!$H$5:$L$404,MATCH($K291,其他调用!$B$5:$B$404,0),MATCH(AY$5,其他调用!$H$4:$L$4,0))*120*0.85)</f>
        <v>2</v>
      </c>
      <c r="AZ291" s="14">
        <f>IF(OR(AZ$5="大R",AZ$5="超R"),MAX(INDEX(其他调用!$H$5:$L$404,MATCH($K291,其他调用!$B$5:$B$404,0),MATCH(AZ$5,其他调用!$H$4:$L$4,0))*120*0.85,2),INDEX(其他调用!$H$5:$L$404,MATCH($K291,其他调用!$B$5:$B$404,0),MATCH(AZ$5,其他调用!$H$4:$L$4,0))*120*0.85)</f>
        <v>2</v>
      </c>
      <c r="BA291" s="14">
        <f>INDEX(其他调用!$H$5:$L$404,MATCH($K291,其他调用!$B$5:$B$404,0),MATCH(BA$5,其他调用!$H$4:$L$4,0))*INDEX(其他调用!$M$5:$M$404,MATCH($K291,其他调用!$B$5:$B$404,0))*0.6</f>
        <v>28.777530149999997</v>
      </c>
      <c r="BB291" s="14">
        <f>INDEX(其他调用!$H$5:$L$404,MATCH($K291,其他调用!$B$5:$B$404,0),MATCH(BB$5,其他调用!$H$4:$L$4,0))*INDEX(其他调用!$M$5:$M$404,MATCH($K291,其他调用!$B$5:$B$404,0))*0.6</f>
        <v>28.374908241551999</v>
      </c>
      <c r="BC291" s="14">
        <f>INDEX(其他调用!$H$5:$L$404,MATCH($K291,其他调用!$B$5:$B$404,0),MATCH(BC$5,其他调用!$H$4:$L$4,0))*INDEX(其他调用!$M$5:$M$404,MATCH($K291,其他调用!$B$5:$B$404,0))*0.6</f>
        <v>2.3162520084480001</v>
      </c>
      <c r="BD291" s="14">
        <f>INDEX(其他调用!$H$5:$L$404,MATCH($K291,其他调用!$B$5:$B$404,0),MATCH(BD$5,其他调用!$H$4:$L$4,0))*INDEX(其他调用!$M$5:$M$404,MATCH($K291,其他调用!$B$5:$B$404,0))*0.6</f>
        <v>0.4120776000000001</v>
      </c>
      <c r="BE291" s="14">
        <f>INDEX(其他调用!$H$5:$L$404,MATCH($K291,其他调用!$B$5:$B$404,0),MATCH(BE$5,其他调用!$H$4:$L$4,0))*INDEX(其他调用!$M$5:$M$404,MATCH($K291,其他调用!$B$5:$B$404,0))*0.6</f>
        <v>0.11923199999999998</v>
      </c>
      <c r="BF291" s="14">
        <f>IF(OR(BF$5="大R",BF$5="超R"),0,INDEX(其他调用!$H$5:$L$404,MATCH($K291,其他调用!$B$5:$B$404,0),MATCH(BF$5,其他调用!$H$4:$L$4,0))*50*0.4)</f>
        <v>9.5925100500000013</v>
      </c>
      <c r="BG291" s="14">
        <f>IF(OR(BG$5="大R",BG$5="超R"),0,INDEX(其他调用!$H$5:$L$404,MATCH($K291,其他调用!$B$5:$B$404,0),MATCH(BG$5,其他调用!$H$4:$L$4,0))*50*0.4)</f>
        <v>9.4583027471839998</v>
      </c>
      <c r="BH291" s="14">
        <f>IF(OR(BH$5="大R",BH$5="超R"),0,INDEX(其他调用!$H$5:$L$404,MATCH($K291,其他调用!$B$5:$B$404,0),MATCH(BH$5,其他调用!$H$4:$L$4,0))*50*0.4)</f>
        <v>0.77208400281600009</v>
      </c>
      <c r="BI291" s="14">
        <f>IF(OR(BI$5="大R",BI$5="超R"),0,INDEX(其他调用!$H$5:$L$404,MATCH($K291,其他调用!$B$5:$B$404,0),MATCH(BI$5,其他调用!$H$4:$L$4,0))*50*0.4)</f>
        <v>0</v>
      </c>
      <c r="BJ291" s="14">
        <f>IF(OR(BJ$5="大R",BJ$5="超R"),0,INDEX(其他调用!$H$5:$L$404,MATCH($K291,其他调用!$B$5:$B$404,0),MATCH(BJ$5,其他调用!$H$4:$L$4,0))*50*0.4)</f>
        <v>0</v>
      </c>
      <c r="BL291" s="14">
        <f t="shared" si="523"/>
        <v>286</v>
      </c>
      <c r="BM291" s="14">
        <f t="shared" si="430"/>
        <v>96</v>
      </c>
      <c r="BN291" s="14">
        <f>('疲劳值&amp;地图信息'!$S$10*'疲劳值&amp;地图信息'!$R$10+'疲劳值&amp;地图信息'!$S$11*'疲劳值&amp;地图信息'!$R$11+'疲劳值&amp;地图信息'!$S$12*'疲劳值&amp;地图信息'!$R$12+(BM291-'疲劳值&amp;地图信息'!$S$12-'疲劳值&amp;地图信息'!$S$11-'疲劳值&amp;地图信息'!$S$10)*'疲劳值&amp;地图信息'!$R$13)/BM291</f>
        <v>51.371477246638619</v>
      </c>
      <c r="BO291" s="14">
        <f>INDEX(其他调用!$M$5:$M$404,MATCH(BL291,其他调用!$B$5:$B$404,0))*0.6</f>
        <v>60</v>
      </c>
      <c r="BP291" s="14">
        <f>IF(BO291&gt;SUM('疲劳值&amp;地图信息'!$S$10:$S$12),('疲劳值&amp;地图信息'!$S$10*'疲劳值&amp;地图信息'!$R$10+'疲劳值&amp;地图信息'!$S$11*'疲劳值&amp;地图信息'!$R$11+'疲劳值&amp;地图信息'!$S$12*'疲劳值&amp;地图信息'!$R$12+(BO291-'疲劳值&amp;地图信息'!$S$12-'疲劳值&amp;地图信息'!$S$11-'疲劳值&amp;地图信息'!$S$10)*'疲劳值&amp;地图信息'!$R$13)/BO291,('疲劳值&amp;地图信息'!$S$10*'疲劳值&amp;地图信息'!$R$10+'疲劳值&amp;地图信息'!$S$11*'疲劳值&amp;地图信息'!$R$11+'疲劳值&amp;地图信息'!$S$12*'疲劳值&amp;地图信息'!$R$12+(BO291-'疲劳值&amp;地图信息'!$S$12-'疲劳值&amp;地图信息'!$S$11-'疲劳值&amp;地图信息'!$S$10)*'疲劳值&amp;地图信息'!$R$13)/BO291)</f>
        <v>44.158136341605953</v>
      </c>
      <c r="BQ291" s="14">
        <f t="shared" si="524"/>
        <v>20</v>
      </c>
      <c r="BR291" s="14">
        <f>('疲劳值&amp;地图信息'!$S$10*'疲劳值&amp;地图信息'!$R$10+($BQ291-'疲劳值&amp;地图信息'!$S$10)*'疲劳值&amp;地图信息'!$R$11)/$BQ291</f>
        <v>32.067203015074995</v>
      </c>
      <c r="CF291" s="14">
        <v>286</v>
      </c>
      <c r="CG291" s="51">
        <f t="shared" si="431"/>
        <v>15651</v>
      </c>
      <c r="CH291" s="51">
        <f t="shared" si="432"/>
        <v>1093</v>
      </c>
      <c r="CI291" s="51">
        <f>INT(SUMPRODUCT($N291:$R291,$BA291:$BE291)/SUM($BA291:$BE291)/10000*$BX$7*$BZ$34/'疲劳值&amp;地图信息'!$R$10*$BY$53)</f>
        <v>3342</v>
      </c>
      <c r="CJ291" s="50">
        <f t="shared" si="433"/>
        <v>0.7791994423976899</v>
      </c>
      <c r="CK291" s="50">
        <f t="shared" si="434"/>
        <v>5.4416011152046202E-2</v>
      </c>
      <c r="CL291" s="50">
        <f t="shared" si="435"/>
        <v>0.16638454645026388</v>
      </c>
      <c r="CM291" s="14">
        <f t="shared" si="436"/>
        <v>17127</v>
      </c>
      <c r="CN291" s="14">
        <f t="shared" si="437"/>
        <v>1858</v>
      </c>
      <c r="CO291" s="14">
        <f>INT(SUMPRODUCT($U291:$Y291,$BA291:$BE291)/SUM($BA291:$BE291)/10000*$BX$7*$BZ$34/'疲劳值&amp;地图信息'!$R$10*$BY$54)</f>
        <v>6365</v>
      </c>
      <c r="CP291" s="50">
        <f t="shared" si="438"/>
        <v>0.6756213017751479</v>
      </c>
      <c r="CQ291" s="50">
        <f t="shared" si="439"/>
        <v>7.3293885601577916E-2</v>
      </c>
      <c r="CR291" s="50">
        <f t="shared" si="440"/>
        <v>0.25108481262327415</v>
      </c>
      <c r="CS291" s="14">
        <f t="shared" si="441"/>
        <v>18711</v>
      </c>
      <c r="CT291" s="14">
        <f t="shared" si="442"/>
        <v>3201</v>
      </c>
      <c r="CU291" s="14">
        <f>INT(SUMPRODUCT($AB291:$AF291,$BA291:$BE291)/SUM($BA291:$BE291)/10000*$BX$7*$BZ$34/'疲劳值&amp;地图信息'!$R$10*$BY$55)</f>
        <v>8646</v>
      </c>
      <c r="CV291" s="50">
        <f t="shared" si="443"/>
        <v>0.61231101511879049</v>
      </c>
      <c r="CW291" s="50">
        <f t="shared" si="444"/>
        <v>0.10475161987041037</v>
      </c>
      <c r="CX291" s="50">
        <f t="shared" si="445"/>
        <v>0.28293736501079914</v>
      </c>
      <c r="CY291" s="14">
        <f t="shared" si="446"/>
        <v>22611</v>
      </c>
      <c r="CZ291" s="14">
        <f t="shared" si="447"/>
        <v>9082</v>
      </c>
      <c r="DA291" s="14">
        <f>INT(SUMPRODUCT($AI291:$AM291,$BA291:$BE291)/SUM($BA291:$BE291)/10000*$BX$7*$BZ$34/'疲劳值&amp;地图信息'!$R$10*$BY$56)</f>
        <v>13044</v>
      </c>
      <c r="DB291" s="50">
        <f t="shared" si="448"/>
        <v>0.50542056910387378</v>
      </c>
      <c r="DC291" s="50">
        <f t="shared" si="449"/>
        <v>0.20300869526342849</v>
      </c>
      <c r="DD291" s="50">
        <f t="shared" si="450"/>
        <v>0.29157073563269775</v>
      </c>
      <c r="DE291" s="14">
        <f t="shared" si="451"/>
        <v>23655</v>
      </c>
      <c r="DF291" s="14">
        <f t="shared" si="452"/>
        <v>16005</v>
      </c>
      <c r="DG291" s="14">
        <f>INT(SUMPRODUCT($AP291:$AT291,$BA291:$BE291)/SUM($BA291:$BE291)/10000*$BX$7*$BZ$34/'疲劳值&amp;地图信息'!$R$10*$BY$57)</f>
        <v>17411</v>
      </c>
      <c r="DH291" s="50">
        <f t="shared" si="453"/>
        <v>0.41448371326943634</v>
      </c>
      <c r="DI291" s="50">
        <f t="shared" si="454"/>
        <v>0.28044015349301749</v>
      </c>
      <c r="DJ291" s="50">
        <f t="shared" si="455"/>
        <v>0.30507613323754623</v>
      </c>
      <c r="DL291" s="14">
        <f t="shared" si="526"/>
        <v>20086</v>
      </c>
      <c r="DM291" s="14">
        <f t="shared" si="527"/>
        <v>25350</v>
      </c>
      <c r="DN291" s="14">
        <f t="shared" si="528"/>
        <v>30558</v>
      </c>
      <c r="DO291" s="14">
        <f t="shared" si="529"/>
        <v>44737</v>
      </c>
      <c r="DP291" s="14">
        <f t="shared" si="530"/>
        <v>57071</v>
      </c>
      <c r="DQ291" s="14">
        <f t="shared" si="531"/>
        <v>1393349</v>
      </c>
      <c r="DT291" s="14">
        <f t="shared" si="525"/>
        <v>235575</v>
      </c>
      <c r="DU291" s="50">
        <f t="shared" si="427"/>
        <v>0.14462000682659229</v>
      </c>
      <c r="DW291" s="14">
        <f t="shared" si="456"/>
        <v>1628924</v>
      </c>
      <c r="EB291" s="14">
        <v>286</v>
      </c>
      <c r="EC291" s="51">
        <f t="shared" si="457"/>
        <v>26086</v>
      </c>
      <c r="ED291" s="51">
        <f t="shared" si="458"/>
        <v>1821</v>
      </c>
      <c r="EE291" s="51">
        <f>INT(SUMPRODUCT($N291:$R291,$BF291:$BJ291)/SUM($BF291:$BJ291)/10000*$BX$7*$BZ$46/'疲劳值&amp;地图信息'!$R$10*$BY$53)</f>
        <v>448</v>
      </c>
      <c r="EF291" s="50">
        <f t="shared" si="459"/>
        <v>0.9199788397108094</v>
      </c>
      <c r="EG291" s="50">
        <f t="shared" si="460"/>
        <v>6.4221477693528484E-2</v>
      </c>
      <c r="EH291" s="50">
        <f t="shared" si="461"/>
        <v>1.579968259566214E-2</v>
      </c>
      <c r="EI291" s="51">
        <f t="shared" si="462"/>
        <v>28546</v>
      </c>
      <c r="EJ291" s="51">
        <f t="shared" si="463"/>
        <v>3096</v>
      </c>
      <c r="EK291" s="14">
        <f>INT(SUMPRODUCT($U291:$Y291,$BF291:$BJ291)/SUM($BF291:$BJ291)/10000*$BX$7*$BZ$46/'疲劳值&amp;地图信息'!$R$10*$BY$54)</f>
        <v>854</v>
      </c>
      <c r="EL291" s="50">
        <f t="shared" si="464"/>
        <v>0.87844657804037418</v>
      </c>
      <c r="EM291" s="50">
        <f t="shared" si="465"/>
        <v>9.5273264401772528E-2</v>
      </c>
      <c r="EN291" s="50">
        <f t="shared" si="466"/>
        <v>2.6280157557853276E-2</v>
      </c>
      <c r="EO291" s="51">
        <f t="shared" si="467"/>
        <v>31186</v>
      </c>
      <c r="EP291" s="51">
        <f t="shared" si="468"/>
        <v>5335</v>
      </c>
      <c r="EQ291" s="14">
        <f>INT(SUMPRODUCT($AB291:$AF291,$BF291:$BJ291)/SUM($BF291:$BJ291)/10000*$BX$7*$BZ$46/'疲劳值&amp;地图信息'!$R$10*$BY$55)</f>
        <v>1159</v>
      </c>
      <c r="ER291" s="50">
        <f t="shared" si="469"/>
        <v>0.82765392781316349</v>
      </c>
      <c r="ES291" s="50">
        <f t="shared" si="470"/>
        <v>0.14158704883227177</v>
      </c>
      <c r="ET291" s="50">
        <f t="shared" si="471"/>
        <v>3.0759023354564756E-2</v>
      </c>
      <c r="EU291" s="51">
        <f t="shared" si="472"/>
        <v>37686</v>
      </c>
      <c r="EV291" s="51">
        <f t="shared" si="473"/>
        <v>15136</v>
      </c>
      <c r="EW291" s="14">
        <f>INT(SUMPRODUCT($AI291:$AM291,$BF291:$BJ291)/SUM($BF291:$BJ291)/10000*$BX$7*$BZ$46/'疲劳值&amp;地图信息'!$R$10*$BY$56)</f>
        <v>1739</v>
      </c>
      <c r="EX291" s="50">
        <f t="shared" si="474"/>
        <v>0.6907131467531753</v>
      </c>
      <c r="EY291" s="50">
        <f t="shared" si="475"/>
        <v>0.27741427026630744</v>
      </c>
      <c r="EZ291" s="50">
        <f t="shared" si="476"/>
        <v>3.1872582980517219E-2</v>
      </c>
      <c r="FA291" s="51">
        <f t="shared" si="477"/>
        <v>39426</v>
      </c>
      <c r="FB291" s="51">
        <f t="shared" si="478"/>
        <v>26676</v>
      </c>
      <c r="FC291" s="14">
        <f>INT(SUMPRODUCT($AP291:$AT291,$BF291:$BJ291)/SUM($BF291:$BJ291)/10000*$BX$7*$BZ$46/'疲劳值&amp;地图信息'!$R$10*$BY$57)</f>
        <v>2319</v>
      </c>
      <c r="FD291" s="50">
        <f t="shared" si="479"/>
        <v>0.57622659709738233</v>
      </c>
      <c r="FE291" s="50">
        <f t="shared" si="480"/>
        <v>0.389880299907923</v>
      </c>
      <c r="FF291" s="50">
        <f t="shared" si="481"/>
        <v>3.3893102994694613E-2</v>
      </c>
      <c r="FH291" s="14">
        <f t="shared" si="482"/>
        <v>28355</v>
      </c>
      <c r="FI291" s="14">
        <f t="shared" si="483"/>
        <v>32496</v>
      </c>
      <c r="FJ291" s="14">
        <f t="shared" si="484"/>
        <v>37680</v>
      </c>
      <c r="FK291" s="14">
        <f t="shared" si="485"/>
        <v>54561</v>
      </c>
      <c r="FL291" s="14">
        <f t="shared" si="486"/>
        <v>68421</v>
      </c>
      <c r="FM291" s="14">
        <f t="shared" si="487"/>
        <v>3349032</v>
      </c>
      <c r="FP291" s="14">
        <f t="shared" si="488"/>
        <v>334150</v>
      </c>
      <c r="FQ291" s="50">
        <f t="shared" si="428"/>
        <v>9.072318446386847E-2</v>
      </c>
      <c r="FS291" s="14">
        <f t="shared" si="489"/>
        <v>3683182</v>
      </c>
      <c r="FX291" s="14">
        <v>286</v>
      </c>
      <c r="FY291" s="51">
        <f t="shared" si="490"/>
        <v>36521</v>
      </c>
      <c r="FZ291" s="51">
        <f t="shared" si="491"/>
        <v>1821</v>
      </c>
      <c r="GA291" s="51">
        <f>INT(SUMPRODUCT($N291:$R291,$BF291:$BJ291)/SUM($BF291:$BJ291)/10000*$BX$7*$BZ$46/'疲劳值&amp;地图信息'!$R$10*$BY$53)</f>
        <v>448</v>
      </c>
      <c r="GB291" s="50">
        <f t="shared" si="492"/>
        <v>0.94150554266563546</v>
      </c>
      <c r="GC291" s="50">
        <f t="shared" si="493"/>
        <v>4.6945088940448569E-2</v>
      </c>
      <c r="GD291" s="50">
        <f t="shared" si="494"/>
        <v>1.1549368393915958E-2</v>
      </c>
      <c r="GE291" s="51">
        <f t="shared" si="495"/>
        <v>39964</v>
      </c>
      <c r="GF291" s="51">
        <f t="shared" si="496"/>
        <v>3096</v>
      </c>
      <c r="GG291" s="14">
        <f>INT(SUMPRODUCT($U291:$Y291,$BF291:$BJ291)/SUM($BF291:$BJ291)/10000*$BX$7*$BZ$46/'疲劳值&amp;地图信息'!$R$10*$BY$54)</f>
        <v>854</v>
      </c>
      <c r="GH291" s="50">
        <f t="shared" si="497"/>
        <v>0.91005146422553174</v>
      </c>
      <c r="GI291" s="50">
        <f t="shared" si="498"/>
        <v>7.0501434622216155E-2</v>
      </c>
      <c r="GJ291" s="50">
        <f t="shared" si="499"/>
        <v>1.9447101152252129E-2</v>
      </c>
      <c r="GK291" s="51">
        <f t="shared" si="500"/>
        <v>43660</v>
      </c>
      <c r="GL291" s="51">
        <f t="shared" si="501"/>
        <v>5335</v>
      </c>
      <c r="GM291" s="14">
        <f>INT(SUMPRODUCT($AB291:$AF291,$BF291:$BJ291)/SUM($BF291:$BJ291)/10000*$BX$7*$BZ$46/'疲劳值&amp;地图信息'!$R$10*$BY$55)</f>
        <v>1159</v>
      </c>
      <c r="GN291" s="50">
        <f t="shared" si="502"/>
        <v>0.87051880208956411</v>
      </c>
      <c r="GO291" s="50">
        <f t="shared" si="503"/>
        <v>0.10637237309088009</v>
      </c>
      <c r="GP291" s="50">
        <f t="shared" si="504"/>
        <v>2.3108824819555767E-2</v>
      </c>
      <c r="GQ291" s="51">
        <f t="shared" si="505"/>
        <v>52760</v>
      </c>
      <c r="GR291" s="51">
        <f t="shared" si="506"/>
        <v>15136</v>
      </c>
      <c r="GS291" s="14">
        <f>INT(SUMPRODUCT($AI291:$AM291,$BF291:$BJ291)/SUM($BF291:$BJ291)/10000*$BX$7*$BZ$46/'疲劳值&amp;地图信息'!$R$10*$BY$56)</f>
        <v>1739</v>
      </c>
      <c r="GT291" s="50">
        <f t="shared" si="507"/>
        <v>0.7576649673296475</v>
      </c>
      <c r="GU291" s="50">
        <f t="shared" si="508"/>
        <v>0.21736195878509371</v>
      </c>
      <c r="GV291" s="50">
        <f t="shared" si="509"/>
        <v>2.4973073885258851E-2</v>
      </c>
      <c r="GW291" s="51">
        <f t="shared" si="510"/>
        <v>55197</v>
      </c>
      <c r="GX291" s="51">
        <f t="shared" si="511"/>
        <v>26676</v>
      </c>
      <c r="GY291" s="14">
        <f>INT(SUMPRODUCT($AP291:$AT291,$BF291:$BJ291)/SUM($BF291:$BJ291)/10000*$BX$7*$BZ$46/'疲劳值&amp;地图信息'!$R$10*$BY$57)</f>
        <v>2319</v>
      </c>
      <c r="GZ291" s="50">
        <f t="shared" si="512"/>
        <v>0.65560860889395667</v>
      </c>
      <c r="HA291" s="50">
        <f t="shared" si="513"/>
        <v>0.31684720638540481</v>
      </c>
      <c r="HB291" s="50">
        <f t="shared" si="514"/>
        <v>2.7544184720638541E-2</v>
      </c>
      <c r="HD291" s="14">
        <f t="shared" si="515"/>
        <v>38790</v>
      </c>
      <c r="HE291" s="14">
        <f t="shared" si="516"/>
        <v>43914</v>
      </c>
      <c r="HF291" s="14">
        <f t="shared" si="517"/>
        <v>50154</v>
      </c>
      <c r="HG291" s="14">
        <f t="shared" si="518"/>
        <v>69635</v>
      </c>
      <c r="HH291" s="14">
        <f t="shared" si="519"/>
        <v>84192</v>
      </c>
      <c r="HI291" s="14">
        <f t="shared" si="520"/>
        <v>4521113</v>
      </c>
      <c r="HL291" s="14">
        <f t="shared" si="521"/>
        <v>430050</v>
      </c>
      <c r="HM291" s="50">
        <f t="shared" si="429"/>
        <v>8.6858380546146433E-2</v>
      </c>
      <c r="HO291" s="14">
        <f t="shared" si="522"/>
        <v>4951163</v>
      </c>
    </row>
    <row r="292" spans="11:223" x14ac:dyDescent="0.2">
      <c r="K292" s="14">
        <v>287</v>
      </c>
      <c r="L292" s="12">
        <f>求节点(节奏总纲!D$4:D$163,标准城池设计!AB$4:AB$163,$K292)*求节点(节奏总纲!D$4:D$163,攻城基础信息!$AC$5:$AC$164,$K292)</f>
        <v>769119.01542952785</v>
      </c>
      <c r="M292" s="12">
        <f>INDEX(其他调用!$AA$5:$AA$404,MATCH(K292,其他调用!$X$5:$X$404,0))*MIN(INDEX(其他调用!$AH$5:$AH$364,MATCH('征服点（新）'!K292,其他调用!$AG$5:$AG$364,0),1)/INDEX(其他调用!$AJ$5:$AJ$364,MATCH(K292,其他调用!$AG$5:$AG$364,0),0),5)*求节点(节奏总纲!D$4:D$163,攻城基础信息!$AC$5:$AC$164,$K292)</f>
        <v>53624.7467041294</v>
      </c>
      <c r="N292" s="12">
        <f>MIN(INDEX(其他调用!$AH$5:$AH$364,MATCH($K292,其他调用!$AG$5:$AG$364,0),1)/INDEX(其他调用!AH$5:AH$364,MATCH($K292,其他调用!$AG$5:$AG$364,0),0),1)*INDEX(其他调用!Y$5:Y$404,MATCH($K292,其他调用!$X$5:$X$404,0),0)</f>
        <v>42217.682013837744</v>
      </c>
      <c r="O292" s="12">
        <f>MIN(INDEX(其他调用!$AH$5:$AH$364,MATCH($K292,其他调用!$AG$5:$AG$364,0),1)/INDEX(其他调用!AI$5:AI$364,MATCH($K292,其他调用!$AG$5:$AG$364,0),0),1)*INDEX(其他调用!Z$5:Z$404,MATCH($K292,其他调用!$X$5:$X$404,0),0)</f>
        <v>25514.455536608504</v>
      </c>
      <c r="P292" s="12">
        <f>MIN(INDEX(其他调用!$AH$5:$AH$364,MATCH($K292,其他调用!$AG$5:$AG$364,0),1)/INDEX(其他调用!AJ$5:AJ$364,MATCH($K292,其他调用!$AG$5:$AG$364,0),0),1)*INDEX(其他调用!AA$5:AA$404,MATCH($K292,其他调用!$X$5:$X$404,0),0)</f>
        <v>15321.356201179839</v>
      </c>
      <c r="Q292" s="12">
        <f>MIN(INDEX(其他调用!$AH$5:$AH$364,MATCH($K292,其他调用!$AG$5:$AG$364,0),1)/INDEX(其他调用!AK$5:AK$364,MATCH($K292,其他调用!$AG$5:$AG$364,0),0),1)*INDEX(其他调用!AB$5:AB$404,MATCH($K292,其他调用!$X$5:$X$404,0),0)</f>
        <v>5679.1932212549855</v>
      </c>
      <c r="R292" s="12">
        <f>MIN(INDEX(其他调用!$AH$5:$AH$364,MATCH($K292,其他调用!$AG$5:$AG$364,0),1)/INDEX(其他调用!AL$5:AL$364,MATCH($K292,其他调用!$AG$5:$AG$364,0),0),1)*INDEX(其他调用!AC$5:AC$404,MATCH($K292,其他调用!$X$5:$X$404,0),0)</f>
        <v>3273.9602304638738</v>
      </c>
      <c r="S292" s="12">
        <f>求节点(节奏总纲!D$4:D$163,标准城池设计!AC$4:AC$163,$K292)*求节点(节奏总纲!D$4:D$163,攻城基础信息!$AD$5:$AD$164,$K292)</f>
        <v>841783.30218507058</v>
      </c>
      <c r="T292" s="12">
        <f>INDEX(其他调用!$AA$5:$AA$404,MATCH($K292,其他调用!$X$5:$X$404,0))*MIN(INDEX(其他调用!AI$5:AI$364,MATCH($K292,其他调用!$AG$5:$AG$364,0),1)/INDEX(其他调用!$AJ$5:$AJ$364,MATCH($K292,其他调用!$AG$5:$AG$364,0),0),5)*求节点(节奏总纲!D$4:D$163,攻城基础信息!$AD$5:$AD$164,$K292)</f>
        <v>91161.380695187298</v>
      </c>
      <c r="U292" s="12">
        <f>MIN(INDEX(其他调用!$AI$5:$AI$364,MATCH($K292,其他调用!$AG$5:$AG$364,0),1)/INDEX(其他调用!AH$5:AH$364,MATCH($K292,其他调用!$AG$5:$AG$364,0),0),1)*INDEX(其他调用!Y$5:Y$404,MATCH($K292,其他调用!$X$5:$X$404,0),0)</f>
        <v>42217.682013837744</v>
      </c>
      <c r="V292" s="12">
        <f>MIN(INDEX(其他调用!$AI$5:$AI$364,MATCH($K292,其他调用!$AG$5:$AG$364,0),1)/INDEX(其他调用!AI$5:AI$364,MATCH($K292,其他调用!$AG$5:$AG$364,0),0),1)*INDEX(其他调用!Z$5:Z$404,MATCH($K292,其他调用!$X$5:$X$404,0),0)</f>
        <v>43374.246730457518</v>
      </c>
      <c r="W292" s="12">
        <f>MIN(INDEX(其他调用!$AI$5:$AI$364,MATCH($K292,其他调用!$AG$5:$AG$364,0),1)/INDEX(其他调用!AJ$5:AJ$364,MATCH($K292,其他调用!$AG$5:$AG$364,0),0),1)*INDEX(其他调用!AA$5:AA$404,MATCH($K292,其他调用!$X$5:$X$404,0),0)</f>
        <v>26046.108770053532</v>
      </c>
      <c r="X292" s="12">
        <f>MIN(INDEX(其他调用!$AI$5:$AI$364,MATCH($K292,其他调用!$AG$5:$AG$364,0),1)/INDEX(其他调用!AK$5:AK$364,MATCH($K292,其他调用!$AG$5:$AG$364,0),0),1)*INDEX(其他调用!AB$5:AB$404,MATCH($K292,其他调用!$X$5:$X$404,0),0)</f>
        <v>9654.5555383385199</v>
      </c>
      <c r="Y292" s="12">
        <f>MIN(INDEX(其他调用!$AI$5:$AI$364,MATCH($K292,其他调用!$AG$5:$AG$364,0),1)/INDEX(其他调用!AL$5:AL$364,MATCH($K292,其他调用!$AG$5:$AG$364,0),0),1)*INDEX(其他调用!AC$5:AC$404,MATCH($K292,其他调用!$X$5:$X$404,0),0)</f>
        <v>5565.690344365531</v>
      </c>
      <c r="Z292" s="12">
        <f>求节点(节奏总纲!D$4:D$163,标准城池设计!AD$4:AD$163,$K292)*求节点(节奏总纲!D$4:D$163,攻城基础信息!$AE$5:$AE$164,$K292)</f>
        <v>919504.47279277747</v>
      </c>
      <c r="AA292" s="12">
        <f>INDEX(其他调用!$AA$5:$AA$404,MATCH($K292,其他调用!$X$5:$X$404,0))*MIN(INDEX(其他调用!AJ$5:AJ$364,MATCH($K292,其他调用!$AG$5:$AG$364,0),1)/INDEX(其他调用!$AJ$5:$AJ$364,MATCH($K292,其他调用!$AG$5:$AG$364,0),0),5)*求节点(节奏总纲!D$4:D$163,攻城基础信息!$AE$5:$AE$164,$K292)</f>
        <v>157136.52757804119</v>
      </c>
      <c r="AB292" s="12">
        <f>MIN(INDEX(其他调用!$AJ$5:$AJ$364,MATCH($K292,其他调用!$AG$5:$AG$364,0),1)/INDEX(其他调用!AH$5:AH$364,MATCH($K292,其他调用!$AG$5:$AG$364,0),0),1)*INDEX(其他调用!Y$5:Y$404,MATCH($K292,其他调用!$X$5:$X$404,0),0)</f>
        <v>42217.682013837744</v>
      </c>
      <c r="AC292" s="12">
        <f>MIN(INDEX(其他调用!$AJ$5:$AJ$364,MATCH($K292,其他调用!$AG$5:$AG$364,0),1)/INDEX(其他调用!AI$5:AI$364,MATCH($K292,其他调用!$AG$5:$AG$364,0),0),1)*INDEX(其他调用!Z$5:Z$404,MATCH($K292,其他调用!$X$5:$X$404,0),0)</f>
        <v>43374.246730457518</v>
      </c>
      <c r="AD292" s="12">
        <f>MIN(INDEX(其他调用!$AJ$5:$AJ$364,MATCH($K292,其他调用!$AG$5:$AG$364,0),1)/INDEX(其他调用!AJ$5:AJ$364,MATCH($K292,其他调用!$AG$5:$AG$364,0),0),1)*INDEX(其他调用!AA$5:AA$404,MATCH($K292,其他调用!$X$5:$X$404,0),0)</f>
        <v>44896.150736583229</v>
      </c>
      <c r="AE292" s="12">
        <f>MIN(INDEX(其他调用!$AJ$5:$AJ$364,MATCH($K292,其他调用!$AG$5:$AG$364,0),1)/INDEX(其他调用!AK$5:AK$364,MATCH($K292,其他调用!$AG$5:$AG$364,0),0),1)*INDEX(其他调用!AB$5:AB$404,MATCH($K292,其他调用!$X$5:$X$404,0),0)</f>
        <v>16641.732727551294</v>
      </c>
      <c r="AF292" s="12">
        <f>MIN(INDEX(其他调用!$AJ$5:$AJ$364,MATCH($K292,其他调用!$AG$5:$AG$364,0),1)/INDEX(其他调用!AL$5:AL$364,MATCH($K292,其他调用!$AG$5:$AG$364,0),0),1)*INDEX(其他调用!AC$5:AC$404,MATCH($K292,其他调用!$X$5:$X$404,0),0)</f>
        <v>9593.681530696731</v>
      </c>
      <c r="AG292" s="12">
        <f>求节点(节奏总纲!D$4:D$163,标准城池设计!AE$4:AE$163,$K292)*求节点(节奏总纲!D$4:D$163,攻城基础信息!$AF$5:$AF$164,$K292)</f>
        <v>1111227.2845753049</v>
      </c>
      <c r="AH292" s="12">
        <f>INDEX(其他调用!$AA$5:$AA$404,MATCH($K292,其他调用!$X$5:$X$404,0))*MIN(INDEX(其他调用!AK$5:AK$364,MATCH($K292,其他调用!$AG$5:$AG$364,0),1)/INDEX(其他调用!$AJ$5:$AJ$364,MATCH($K292,其他调用!$AG$5:$AG$364,0),0),5)*求节点(节奏总纲!D$4:D$163,攻城基础信息!$AF$5:$AF$164,$K292)</f>
        <v>445203.54712212738</v>
      </c>
      <c r="AI292" s="12">
        <f>MIN(INDEX(其他调用!$AK$5:$AK$364,MATCH($K292,其他调用!$AG$5:$AG$364,0),1)/INDEX(其他调用!AH$5:AH$364,MATCH($K292,其他调用!$AG$5:$AG$364,0),0),1)*INDEX(其他调用!Y$5:Y$404,MATCH($K292,其他调用!$X$5:$X$404,0),0)</f>
        <v>42217.682013837744</v>
      </c>
      <c r="AJ292" s="12">
        <f>MIN(INDEX(其他调用!$AK$5:$AK$364,MATCH($K292,其他调用!$AG$5:$AG$364,0),1)/INDEX(其他调用!AI$5:AI$364,MATCH($K292,其他调用!$AG$5:$AG$364,0),0),1)*INDEX(其他调用!Z$5:Z$404,MATCH($K292,其他调用!$X$5:$X$404,0),0)</f>
        <v>43374.246730457518</v>
      </c>
      <c r="AK292" s="12">
        <f>MIN(INDEX(其他调用!$AK$5:$AK$364,MATCH($K292,其他调用!$AG$5:$AG$364,0),1)/INDEX(其他调用!AJ$5:AJ$364,MATCH($K292,其他调用!$AG$5:$AG$364,0),0),1)*INDEX(其他调用!AA$5:AA$404,MATCH($K292,其他调用!$X$5:$X$404,0),0)</f>
        <v>44896.150736583229</v>
      </c>
      <c r="AL292" s="12">
        <f>MIN(INDEX(其他调用!$AK$5:$AK$364,MATCH($K292,其他调用!$AG$5:$AG$364,0),1)/INDEX(其他调用!AK$5:AK$364,MATCH($K292,其他调用!$AG$5:$AG$364,0),0),1)*INDEX(其他调用!AB$5:AB$404,MATCH($K292,其他调用!$X$5:$X$404,0),0)</f>
        <v>47149.816498806133</v>
      </c>
      <c r="AM292" s="12">
        <f>MIN(INDEX(其他调用!$AK$5:$AK$364,MATCH($K292,其他调用!$AG$5:$AG$364,0),1)/INDEX(其他调用!AL$5:AL$364,MATCH($K292,其他调用!$AG$5:$AG$364,0),0),1)*INDEX(其他调用!AC$5:AC$404,MATCH($K292,其他调用!$X$5:$X$404,0),0)</f>
        <v>27181.083311803362</v>
      </c>
      <c r="AN292" s="12">
        <f>求节点(节奏总纲!D$4:D$163,标准城池设计!AF$4:AF$163,$K292)*求节点(节奏总纲!D$4:D$163,攻城基础信息!$AG$5:$AG$164,$K292)</f>
        <v>1162465.0705677562</v>
      </c>
      <c r="AO292" s="12">
        <f>INDEX(其他调用!$AA$5:$AA$404,MATCH($K292,其他调用!$X$5:$X$404,0))*MIN(INDEX(其他调用!AL$5:AL$364,MATCH($K292,其他调用!$AG$5:$AG$364,0),1)/INDEX(其他调用!$AJ$5:$AJ$364,MATCH($K292,其他调用!$AG$5:$AG$364,0),0),5)*求节点(节奏总纲!D$4:D$163,攻城基础信息!$AG$5:$AG$164,$K292)</f>
        <v>785682.63789020595</v>
      </c>
      <c r="AP292" s="12">
        <f>MIN(INDEX(其他调用!$AL$5:$AL$364,MATCH($K292,其他调用!$AG$5:$AG$364,0),1)/INDEX(其他调用!AH$5:AH$364,MATCH($K292,其他调用!$AG$5:$AG$364,0),0),1)*INDEX(其他调用!Y$5:Y$404,MATCH($K292,其他调用!$X$5:$X$404,0),0)</f>
        <v>42217.682013837744</v>
      </c>
      <c r="AQ292" s="12">
        <f>MIN(INDEX(其他调用!$AL$5:$AL$364,MATCH($K292,其他调用!$AG$5:$AG$364,0),1)/INDEX(其他调用!AI$5:AI$364,MATCH($K292,其他调用!$AG$5:$AG$364,0),0),1)*INDEX(其他调用!Z$5:Z$404,MATCH($K292,其他调用!$X$5:$X$404,0),0)</f>
        <v>43374.246730457518</v>
      </c>
      <c r="AR292" s="12">
        <f>MIN(INDEX(其他调用!$AL$5:$AL$364,MATCH($K292,其他调用!$AG$5:$AG$364,0),1)/INDEX(其他调用!AJ$5:AJ$364,MATCH($K292,其他调用!$AG$5:$AG$364,0),0),1)*INDEX(其他调用!AA$5:AA$404,MATCH($K292,其他调用!$X$5:$X$404,0),0)</f>
        <v>44896.150736583229</v>
      </c>
      <c r="AS292" s="12">
        <f>MIN(INDEX(其他调用!$AL$5:$AL$364,MATCH($K292,其他调用!$AG$5:$AG$364,0),1)/INDEX(其他调用!AK$5:AK$364,MATCH($K292,其他调用!$AG$5:$AG$364,0),0),1)*INDEX(其他调用!AB$5:AB$404,MATCH($K292,其他调用!$X$5:$X$404,0),0)</f>
        <v>47149.816498806133</v>
      </c>
      <c r="AT292" s="12">
        <f>MIN(INDEX(其他调用!$AL$5:$AL$364,MATCH($K292,其他调用!$AG$5:$AG$364,0),1)/INDEX(其他调用!AL$5:AL$364,MATCH($K292,其他调用!$AG$5:$AG$364,0),0),1)*INDEX(其他调用!AC$5:AC$404,MATCH($K292,其他调用!$X$5:$X$404,0),0)</f>
        <v>51044.438541005111</v>
      </c>
      <c r="AV292" s="14">
        <f>IF(OR(AV$5="大R",AV$5="超R"),MAX(INDEX(其他调用!$H$5:$L$404,MATCH($K292,其他调用!$B$5:$B$404,0),MATCH(AV$5,其他调用!$H$4:$L$4,0))*120*0.85,2),INDEX(其他调用!$H$5:$L$404,MATCH($K292,其他调用!$B$5:$B$404,0),MATCH(AV$5,其他调用!$H$4:$L$4,0))*120*0.85)</f>
        <v>48.921801254999991</v>
      </c>
      <c r="AW292" s="14">
        <f>IF(OR(AW$5="大R",AW$5="超R"),MAX(INDEX(其他调用!$H$5:$L$404,MATCH($K292,其他调用!$B$5:$B$404,0),MATCH(AW$5,其他调用!$H$4:$L$4,0))*120*0.85,2),INDEX(其他调用!$H$5:$L$404,MATCH($K292,其他调用!$B$5:$B$404,0),MATCH(AW$5,其他调用!$H$4:$L$4,0))*120*0.85)</f>
        <v>48.237344010638395</v>
      </c>
      <c r="AX292" s="14">
        <f>IF(OR(AX$5="大R",AX$5="超R"),MAX(INDEX(其他调用!$H$5:$L$404,MATCH($K292,其他调用!$B$5:$B$404,0),MATCH(AX$5,其他调用!$H$4:$L$4,0))*120*0.85,2),INDEX(其他调用!$H$5:$L$404,MATCH($K292,其他调用!$B$5:$B$404,0),MATCH(AX$5,其他调用!$H$4:$L$4,0))*120*0.85)</f>
        <v>3.9376284143615998</v>
      </c>
      <c r="AY292" s="14">
        <f>IF(OR(AY$5="大R",AY$5="超R"),MAX(INDEX(其他调用!$H$5:$L$404,MATCH($K292,其他调用!$B$5:$B$404,0),MATCH(AY$5,其他调用!$H$4:$L$4,0))*120*0.85,2),INDEX(其他调用!$H$5:$L$404,MATCH($K292,其他调用!$B$5:$B$404,0),MATCH(AY$5,其他调用!$H$4:$L$4,0))*120*0.85)</f>
        <v>2</v>
      </c>
      <c r="AZ292" s="14">
        <f>IF(OR(AZ$5="大R",AZ$5="超R"),MAX(INDEX(其他调用!$H$5:$L$404,MATCH($K292,其他调用!$B$5:$B$404,0),MATCH(AZ$5,其他调用!$H$4:$L$4,0))*120*0.85,2),INDEX(其他调用!$H$5:$L$404,MATCH($K292,其他调用!$B$5:$B$404,0),MATCH(AZ$5,其他调用!$H$4:$L$4,0))*120*0.85)</f>
        <v>2</v>
      </c>
      <c r="BA292" s="14">
        <f>INDEX(其他调用!$H$5:$L$404,MATCH($K292,其他调用!$B$5:$B$404,0),MATCH(BA$5,其他调用!$H$4:$L$4,0))*INDEX(其他调用!$M$5:$M$404,MATCH($K292,其他调用!$B$5:$B$404,0))*0.6</f>
        <v>28.777530149999997</v>
      </c>
      <c r="BB292" s="14">
        <f>INDEX(其他调用!$H$5:$L$404,MATCH($K292,其他调用!$B$5:$B$404,0),MATCH(BB$5,其他调用!$H$4:$L$4,0))*INDEX(其他调用!$M$5:$M$404,MATCH($K292,其他调用!$B$5:$B$404,0))*0.6</f>
        <v>28.374908241551999</v>
      </c>
      <c r="BC292" s="14">
        <f>INDEX(其他调用!$H$5:$L$404,MATCH($K292,其他调用!$B$5:$B$404,0),MATCH(BC$5,其他调用!$H$4:$L$4,0))*INDEX(其他调用!$M$5:$M$404,MATCH($K292,其他调用!$B$5:$B$404,0))*0.6</f>
        <v>2.3162520084480001</v>
      </c>
      <c r="BD292" s="14">
        <f>INDEX(其他调用!$H$5:$L$404,MATCH($K292,其他调用!$B$5:$B$404,0),MATCH(BD$5,其他调用!$H$4:$L$4,0))*INDEX(其他调用!$M$5:$M$404,MATCH($K292,其他调用!$B$5:$B$404,0))*0.6</f>
        <v>0.4120776000000001</v>
      </c>
      <c r="BE292" s="14">
        <f>INDEX(其他调用!$H$5:$L$404,MATCH($K292,其他调用!$B$5:$B$404,0),MATCH(BE$5,其他调用!$H$4:$L$4,0))*INDEX(其他调用!$M$5:$M$404,MATCH($K292,其他调用!$B$5:$B$404,0))*0.6</f>
        <v>0.11923199999999998</v>
      </c>
      <c r="BF292" s="14">
        <f>IF(OR(BF$5="大R",BF$5="超R"),0,INDEX(其他调用!$H$5:$L$404,MATCH($K292,其他调用!$B$5:$B$404,0),MATCH(BF$5,其他调用!$H$4:$L$4,0))*50*0.4)</f>
        <v>9.5925100500000013</v>
      </c>
      <c r="BG292" s="14">
        <f>IF(OR(BG$5="大R",BG$5="超R"),0,INDEX(其他调用!$H$5:$L$404,MATCH($K292,其他调用!$B$5:$B$404,0),MATCH(BG$5,其他调用!$H$4:$L$4,0))*50*0.4)</f>
        <v>9.4583027471839998</v>
      </c>
      <c r="BH292" s="14">
        <f>IF(OR(BH$5="大R",BH$5="超R"),0,INDEX(其他调用!$H$5:$L$404,MATCH($K292,其他调用!$B$5:$B$404,0),MATCH(BH$5,其他调用!$H$4:$L$4,0))*50*0.4)</f>
        <v>0.77208400281600009</v>
      </c>
      <c r="BI292" s="14">
        <f>IF(OR(BI$5="大R",BI$5="超R"),0,INDEX(其他调用!$H$5:$L$404,MATCH($K292,其他调用!$B$5:$B$404,0),MATCH(BI$5,其他调用!$H$4:$L$4,0))*50*0.4)</f>
        <v>0</v>
      </c>
      <c r="BJ292" s="14">
        <f>IF(OR(BJ$5="大R",BJ$5="超R"),0,INDEX(其他调用!$H$5:$L$404,MATCH($K292,其他调用!$B$5:$B$404,0),MATCH(BJ$5,其他调用!$H$4:$L$4,0))*50*0.4)</f>
        <v>0</v>
      </c>
      <c r="BL292" s="14">
        <f t="shared" si="523"/>
        <v>287</v>
      </c>
      <c r="BM292" s="14">
        <f t="shared" si="430"/>
        <v>96</v>
      </c>
      <c r="BN292" s="14">
        <f>('疲劳值&amp;地图信息'!$S$10*'疲劳值&amp;地图信息'!$R$10+'疲劳值&amp;地图信息'!$S$11*'疲劳值&amp;地图信息'!$R$11+'疲劳值&amp;地图信息'!$S$12*'疲劳值&amp;地图信息'!$R$12+(BM292-'疲劳值&amp;地图信息'!$S$12-'疲劳值&amp;地图信息'!$S$11-'疲劳值&amp;地图信息'!$S$10)*'疲劳值&amp;地图信息'!$R$13)/BM292</f>
        <v>51.371477246638619</v>
      </c>
      <c r="BO292" s="14">
        <f>INDEX(其他调用!$M$5:$M$404,MATCH(BL292,其他调用!$B$5:$B$404,0))*0.6</f>
        <v>60</v>
      </c>
      <c r="BP292" s="14">
        <f>IF(BO292&gt;SUM('疲劳值&amp;地图信息'!$S$10:$S$12),('疲劳值&amp;地图信息'!$S$10*'疲劳值&amp;地图信息'!$R$10+'疲劳值&amp;地图信息'!$S$11*'疲劳值&amp;地图信息'!$R$11+'疲劳值&amp;地图信息'!$S$12*'疲劳值&amp;地图信息'!$R$12+(BO292-'疲劳值&amp;地图信息'!$S$12-'疲劳值&amp;地图信息'!$S$11-'疲劳值&amp;地图信息'!$S$10)*'疲劳值&amp;地图信息'!$R$13)/BO292,('疲劳值&amp;地图信息'!$S$10*'疲劳值&amp;地图信息'!$R$10+'疲劳值&amp;地图信息'!$S$11*'疲劳值&amp;地图信息'!$R$11+'疲劳值&amp;地图信息'!$S$12*'疲劳值&amp;地图信息'!$R$12+(BO292-'疲劳值&amp;地图信息'!$S$12-'疲劳值&amp;地图信息'!$S$11-'疲劳值&amp;地图信息'!$S$10)*'疲劳值&amp;地图信息'!$R$13)/BO292)</f>
        <v>44.158136341605953</v>
      </c>
      <c r="BQ292" s="14">
        <f t="shared" si="524"/>
        <v>20</v>
      </c>
      <c r="BR292" s="14">
        <f>('疲劳值&amp;地图信息'!$S$10*'疲劳值&amp;地图信息'!$R$10+($BQ292-'疲劳值&amp;地图信息'!$S$10)*'疲劳值&amp;地图信息'!$R$11)/$BQ292</f>
        <v>32.067203015074995</v>
      </c>
      <c r="CF292" s="14">
        <v>287</v>
      </c>
      <c r="CG292" s="51">
        <f t="shared" si="431"/>
        <v>15675</v>
      </c>
      <c r="CH292" s="51">
        <f t="shared" si="432"/>
        <v>1092</v>
      </c>
      <c r="CI292" s="51">
        <f>INT(SUMPRODUCT($N292:$R292,$BA292:$BE292)/SUM($BA292:$BE292)/10000*$BX$7*$BZ$34/'疲劳值&amp;地图信息'!$R$10*$BY$53)</f>
        <v>3343</v>
      </c>
      <c r="CJ292" s="50">
        <f t="shared" si="433"/>
        <v>0.77946295375435104</v>
      </c>
      <c r="CK292" s="50">
        <f t="shared" si="434"/>
        <v>5.4301342615614125E-2</v>
      </c>
      <c r="CL292" s="50">
        <f t="shared" si="435"/>
        <v>0.16623570363003481</v>
      </c>
      <c r="CM292" s="14">
        <f t="shared" si="436"/>
        <v>17156</v>
      </c>
      <c r="CN292" s="14">
        <f t="shared" si="437"/>
        <v>1857</v>
      </c>
      <c r="CO292" s="14">
        <f>INT(SUMPRODUCT($U292:$Y292,$BA292:$BE292)/SUM($BA292:$BE292)/10000*$BX$7*$BZ$34/'疲劳值&amp;地图信息'!$R$10*$BY$54)</f>
        <v>6368</v>
      </c>
      <c r="CP292" s="50">
        <f t="shared" si="438"/>
        <v>0.67593869429888498</v>
      </c>
      <c r="CQ292" s="50">
        <f t="shared" si="439"/>
        <v>7.3164965919388522E-2</v>
      </c>
      <c r="CR292" s="50">
        <f t="shared" si="440"/>
        <v>0.25089633978172649</v>
      </c>
      <c r="CS292" s="14">
        <f t="shared" si="441"/>
        <v>18740</v>
      </c>
      <c r="CT292" s="14">
        <f t="shared" si="442"/>
        <v>3202</v>
      </c>
      <c r="CU292" s="14">
        <f>INT(SUMPRODUCT($AB292:$AF292,$BA292:$BE292)/SUM($BA292:$BE292)/10000*$BX$7*$BZ$34/'疲劳值&amp;地图信息'!$R$10*$BY$55)</f>
        <v>8650</v>
      </c>
      <c r="CV292" s="50">
        <f t="shared" si="443"/>
        <v>0.61257845188284521</v>
      </c>
      <c r="CW292" s="50">
        <f t="shared" si="444"/>
        <v>0.1046678870292887</v>
      </c>
      <c r="CX292" s="50">
        <f t="shared" si="445"/>
        <v>0.28275366108786609</v>
      </c>
      <c r="CY292" s="14">
        <f t="shared" si="446"/>
        <v>22648</v>
      </c>
      <c r="CZ292" s="14">
        <f t="shared" si="447"/>
        <v>9073</v>
      </c>
      <c r="DA292" s="14">
        <f>INT(SUMPRODUCT($AI292:$AM292,$BA292:$BE292)/SUM($BA292:$BE292)/10000*$BX$7*$BZ$34/'疲劳值&amp;地图信息'!$R$10*$BY$56)</f>
        <v>13050</v>
      </c>
      <c r="DB292" s="50">
        <f t="shared" si="448"/>
        <v>0.50586317035581063</v>
      </c>
      <c r="DC292" s="50">
        <f t="shared" si="449"/>
        <v>0.20265350338388688</v>
      </c>
      <c r="DD292" s="50">
        <f t="shared" si="450"/>
        <v>0.29148332626030243</v>
      </c>
      <c r="DE292" s="14">
        <f t="shared" si="451"/>
        <v>23692</v>
      </c>
      <c r="DF292" s="14">
        <f t="shared" si="452"/>
        <v>16013</v>
      </c>
      <c r="DG292" s="14">
        <f>INT(SUMPRODUCT($AP292:$AT292,$BA292:$BE292)/SUM($BA292:$BE292)/10000*$BX$7*$BZ$34/'疲劳值&amp;地图信息'!$R$10*$BY$57)</f>
        <v>17419</v>
      </c>
      <c r="DH292" s="50">
        <f t="shared" si="453"/>
        <v>0.41474686646593378</v>
      </c>
      <c r="DI292" s="50">
        <f t="shared" si="454"/>
        <v>0.28032000560184861</v>
      </c>
      <c r="DJ292" s="50">
        <f t="shared" si="455"/>
        <v>0.30493312793221761</v>
      </c>
      <c r="DL292" s="14">
        <f t="shared" si="526"/>
        <v>20110</v>
      </c>
      <c r="DM292" s="14">
        <f t="shared" si="527"/>
        <v>25381</v>
      </c>
      <c r="DN292" s="14">
        <f t="shared" si="528"/>
        <v>30592</v>
      </c>
      <c r="DO292" s="14">
        <f t="shared" si="529"/>
        <v>44771</v>
      </c>
      <c r="DP292" s="14">
        <f t="shared" si="530"/>
        <v>57124</v>
      </c>
      <c r="DQ292" s="14">
        <f t="shared" si="531"/>
        <v>1395018</v>
      </c>
      <c r="DT292" s="14">
        <f t="shared" si="525"/>
        <v>235575</v>
      </c>
      <c r="DU292" s="50">
        <f t="shared" si="427"/>
        <v>0.14447198043901821</v>
      </c>
      <c r="DW292" s="14">
        <f t="shared" si="456"/>
        <v>1630593</v>
      </c>
      <c r="EB292" s="14">
        <v>287</v>
      </c>
      <c r="EC292" s="51">
        <f t="shared" si="457"/>
        <v>26126</v>
      </c>
      <c r="ED292" s="51">
        <f t="shared" si="458"/>
        <v>1821</v>
      </c>
      <c r="EE292" s="51">
        <f>INT(SUMPRODUCT($N292:$R292,$BF292:$BJ292)/SUM($BF292:$BJ292)/10000*$BX$7*$BZ$46/'疲劳值&amp;地图信息'!$R$10*$BY$53)</f>
        <v>449</v>
      </c>
      <c r="EF292" s="50">
        <f t="shared" si="459"/>
        <v>0.92005916326243131</v>
      </c>
      <c r="EG292" s="50">
        <f t="shared" si="460"/>
        <v>6.4128750528243419E-2</v>
      </c>
      <c r="EH292" s="50">
        <f t="shared" si="461"/>
        <v>1.5812086209325258E-2</v>
      </c>
      <c r="EI292" s="51">
        <f t="shared" si="462"/>
        <v>28594</v>
      </c>
      <c r="EJ292" s="51">
        <f t="shared" si="463"/>
        <v>3096</v>
      </c>
      <c r="EK292" s="14">
        <f>INT(SUMPRODUCT($U292:$Y292,$BF292:$BJ292)/SUM($BF292:$BJ292)/10000*$BX$7*$BZ$46/'疲劳值&amp;地图信息'!$R$10*$BY$54)</f>
        <v>855</v>
      </c>
      <c r="EL292" s="50">
        <f t="shared" si="464"/>
        <v>0.87859886311261326</v>
      </c>
      <c r="EM292" s="50">
        <f t="shared" si="465"/>
        <v>9.5129820248886152E-2</v>
      </c>
      <c r="EN292" s="50">
        <f t="shared" si="466"/>
        <v>2.6271316638500537E-2</v>
      </c>
      <c r="EO292" s="51">
        <f t="shared" si="467"/>
        <v>31234</v>
      </c>
      <c r="EP292" s="51">
        <f t="shared" si="468"/>
        <v>5337</v>
      </c>
      <c r="EQ292" s="14">
        <f>INT(SUMPRODUCT($AB292:$AF292,$BF292:$BJ292)/SUM($BF292:$BJ292)/10000*$BX$7*$BZ$46/'疲劳值&amp;地图信息'!$R$10*$BY$55)</f>
        <v>1160</v>
      </c>
      <c r="ER292" s="50">
        <f t="shared" si="469"/>
        <v>0.82780737324746234</v>
      </c>
      <c r="ES292" s="50">
        <f t="shared" si="470"/>
        <v>0.14144867615488591</v>
      </c>
      <c r="ET292" s="50">
        <f t="shared" si="471"/>
        <v>3.0743950597651799E-2</v>
      </c>
      <c r="EU292" s="51">
        <f t="shared" si="472"/>
        <v>37747</v>
      </c>
      <c r="EV292" s="51">
        <f t="shared" si="473"/>
        <v>15123</v>
      </c>
      <c r="EW292" s="14">
        <f>INT(SUMPRODUCT($AI292:$AM292,$BF292:$BJ292)/SUM($BF292:$BJ292)/10000*$BX$7*$BZ$46/'疲劳值&amp;地图信息'!$R$10*$BY$56)</f>
        <v>1740</v>
      </c>
      <c r="EX292" s="50">
        <f t="shared" si="474"/>
        <v>0.69121040102545317</v>
      </c>
      <c r="EY292" s="50">
        <f t="shared" si="475"/>
        <v>0.2769273026918147</v>
      </c>
      <c r="EZ292" s="50">
        <f t="shared" si="476"/>
        <v>3.18622962827321E-2</v>
      </c>
      <c r="FA292" s="51">
        <f t="shared" si="477"/>
        <v>39487</v>
      </c>
      <c r="FB292" s="51">
        <f t="shared" si="478"/>
        <v>26688</v>
      </c>
      <c r="FC292" s="14">
        <f>INT(SUMPRODUCT($AP292:$AT292,$BF292:$BJ292)/SUM($BF292:$BJ292)/10000*$BX$7*$BZ$46/'疲劳值&amp;地图信息'!$R$10*$BY$57)</f>
        <v>2320</v>
      </c>
      <c r="FD292" s="50">
        <f t="shared" si="479"/>
        <v>0.57649463464486461</v>
      </c>
      <c r="FE292" s="50">
        <f t="shared" si="480"/>
        <v>0.38963427987444338</v>
      </c>
      <c r="FF292" s="50">
        <f t="shared" si="481"/>
        <v>3.3871085480692023E-2</v>
      </c>
      <c r="FH292" s="14">
        <f t="shared" si="482"/>
        <v>28396</v>
      </c>
      <c r="FI292" s="14">
        <f t="shared" si="483"/>
        <v>32545</v>
      </c>
      <c r="FJ292" s="14">
        <f t="shared" si="484"/>
        <v>37731</v>
      </c>
      <c r="FK292" s="14">
        <f t="shared" si="485"/>
        <v>54610</v>
      </c>
      <c r="FL292" s="14">
        <f t="shared" si="486"/>
        <v>68495</v>
      </c>
      <c r="FM292" s="14">
        <f t="shared" si="487"/>
        <v>3353848</v>
      </c>
      <c r="FP292" s="14">
        <f t="shared" si="488"/>
        <v>334150</v>
      </c>
      <c r="FQ292" s="50">
        <f t="shared" si="428"/>
        <v>9.0604712909280322E-2</v>
      </c>
      <c r="FS292" s="14">
        <f t="shared" si="489"/>
        <v>3687998</v>
      </c>
      <c r="FX292" s="14">
        <v>287</v>
      </c>
      <c r="FY292" s="51">
        <f t="shared" si="490"/>
        <v>36576</v>
      </c>
      <c r="FZ292" s="51">
        <f t="shared" si="491"/>
        <v>1821</v>
      </c>
      <c r="GA292" s="51">
        <f>INT(SUMPRODUCT($N292:$R292,$BF292:$BJ292)/SUM($BF292:$BJ292)/10000*$BX$7*$BZ$46/'疲劳值&amp;地图信息'!$R$10*$BY$53)</f>
        <v>449</v>
      </c>
      <c r="GB292" s="50">
        <f t="shared" si="492"/>
        <v>0.94156412500643571</v>
      </c>
      <c r="GC292" s="50">
        <f t="shared" si="493"/>
        <v>4.6877413375894558E-2</v>
      </c>
      <c r="GD292" s="50">
        <f t="shared" si="494"/>
        <v>1.1558461617669774E-2</v>
      </c>
      <c r="GE292" s="51">
        <f t="shared" si="495"/>
        <v>40032</v>
      </c>
      <c r="GF292" s="51">
        <f t="shared" si="496"/>
        <v>3096</v>
      </c>
      <c r="GG292" s="14">
        <f>INT(SUMPRODUCT($U292:$Y292,$BF292:$BJ292)/SUM($BF292:$BJ292)/10000*$BX$7*$BZ$46/'疲劳值&amp;地图信息'!$R$10*$BY$54)</f>
        <v>855</v>
      </c>
      <c r="GH292" s="50">
        <f t="shared" si="497"/>
        <v>0.9101698383466339</v>
      </c>
      <c r="GI292" s="50">
        <f t="shared" si="498"/>
        <v>7.0390832821772054E-2</v>
      </c>
      <c r="GJ292" s="50">
        <f t="shared" si="499"/>
        <v>1.9439328831594025E-2</v>
      </c>
      <c r="GK292" s="51">
        <f t="shared" si="500"/>
        <v>43728</v>
      </c>
      <c r="GL292" s="51">
        <f t="shared" si="501"/>
        <v>5337</v>
      </c>
      <c r="GM292" s="14">
        <f>INT(SUMPRODUCT($AB292:$AF292,$BF292:$BJ292)/SUM($BF292:$BJ292)/10000*$BX$7*$BZ$46/'疲劳值&amp;地图信息'!$R$10*$BY$55)</f>
        <v>1160</v>
      </c>
      <c r="GN292" s="50">
        <f t="shared" si="502"/>
        <v>0.87064211050273765</v>
      </c>
      <c r="GO292" s="50">
        <f t="shared" si="503"/>
        <v>0.10626182180189149</v>
      </c>
      <c r="GP292" s="50">
        <f t="shared" si="504"/>
        <v>2.3096067695370832E-2</v>
      </c>
      <c r="GQ292" s="51">
        <f t="shared" si="505"/>
        <v>52845</v>
      </c>
      <c r="GR292" s="51">
        <f t="shared" si="506"/>
        <v>15123</v>
      </c>
      <c r="GS292" s="14">
        <f>INT(SUMPRODUCT($AI292:$AM292,$BF292:$BJ292)/SUM($BF292:$BJ292)/10000*$BX$7*$BZ$46/'疲劳值&amp;地图信息'!$R$10*$BY$56)</f>
        <v>1740</v>
      </c>
      <c r="GT292" s="50">
        <f t="shared" si="507"/>
        <v>0.75809089344121194</v>
      </c>
      <c r="GU292" s="50">
        <f t="shared" si="508"/>
        <v>0.21694783955930452</v>
      </c>
      <c r="GV292" s="50">
        <f t="shared" si="509"/>
        <v>2.4961266999483561E-2</v>
      </c>
      <c r="GW292" s="51">
        <f t="shared" si="510"/>
        <v>55282</v>
      </c>
      <c r="GX292" s="51">
        <f t="shared" si="511"/>
        <v>26688</v>
      </c>
      <c r="GY292" s="14">
        <f>INT(SUMPRODUCT($AP292:$AT292,$BF292:$BJ292)/SUM($BF292:$BJ292)/10000*$BX$7*$BZ$46/'疲劳值&amp;地图信息'!$R$10*$BY$57)</f>
        <v>2320</v>
      </c>
      <c r="GZ292" s="50">
        <f t="shared" si="512"/>
        <v>0.65585478704472655</v>
      </c>
      <c r="HA292" s="50">
        <f t="shared" si="513"/>
        <v>0.31662118875311424</v>
      </c>
      <c r="HB292" s="50">
        <f t="shared" si="514"/>
        <v>2.7524024202159211E-2</v>
      </c>
      <c r="HD292" s="14">
        <f t="shared" si="515"/>
        <v>38846</v>
      </c>
      <c r="HE292" s="14">
        <f t="shared" si="516"/>
        <v>43983</v>
      </c>
      <c r="HF292" s="14">
        <f t="shared" si="517"/>
        <v>50225</v>
      </c>
      <c r="HG292" s="14">
        <f t="shared" si="518"/>
        <v>69708</v>
      </c>
      <c r="HH292" s="14">
        <f t="shared" si="519"/>
        <v>84290</v>
      </c>
      <c r="HI292" s="14">
        <f t="shared" si="520"/>
        <v>4527802</v>
      </c>
      <c r="HL292" s="14">
        <f t="shared" si="521"/>
        <v>430050</v>
      </c>
      <c r="HM292" s="50">
        <f t="shared" si="429"/>
        <v>8.674119356527786E-2</v>
      </c>
      <c r="HO292" s="14">
        <f t="shared" si="522"/>
        <v>4957852</v>
      </c>
    </row>
    <row r="293" spans="11:223" x14ac:dyDescent="0.2">
      <c r="K293" s="14">
        <v>288</v>
      </c>
      <c r="L293" s="12">
        <f>求节点(节奏总纲!D$4:D$163,标准城池设计!AB$4:AB$163,$K293)*求节点(节奏总纲!D$4:D$163,攻城基础信息!$AC$5:$AC$164,$K293)</f>
        <v>770279.23133308161</v>
      </c>
      <c r="M293" s="12">
        <f>INDEX(其他调用!$AA$5:$AA$404,MATCH(K293,其他调用!$X$5:$X$404,0))*MIN(INDEX(其他调用!$AH$5:$AH$364,MATCH('征服点（新）'!K293,其他调用!$AG$5:$AG$364,0),1)/INDEX(其他调用!$AJ$5:$AJ$364,MATCH(K293,其他调用!$AG$5:$AG$364,0),0),5)*求节点(节奏总纲!D$4:D$163,攻城基础信息!$AC$5:$AC$164,$K293)</f>
        <v>53620.219187893286</v>
      </c>
      <c r="N293" s="12">
        <f>MIN(INDEX(其他调用!$AH$5:$AH$364,MATCH($K293,其他调用!$AG$5:$AG$364,0),1)/INDEX(其他调用!AH$5:AH$364,MATCH($K293,其他调用!$AG$5:$AG$364,0),0),1)*INDEX(其他调用!Y$5:Y$404,MATCH($K293,其他调用!$X$5:$X$404,0),0)</f>
        <v>42237.993322225171</v>
      </c>
      <c r="O293" s="12">
        <f>MIN(INDEX(其他调用!$AH$5:$AH$364,MATCH($K293,其他调用!$AG$5:$AG$364,0),1)/INDEX(其他调用!AI$5:AI$364,MATCH($K293,其他调用!$AG$5:$AG$364,0),0),1)*INDEX(其他调用!Z$5:Z$404,MATCH($K293,其他调用!$X$5:$X$404,0),0)</f>
        <v>25525.605935315652</v>
      </c>
      <c r="P293" s="12">
        <f>MIN(INDEX(其他调用!$AH$5:$AH$364,MATCH($K293,其他调用!$AG$5:$AG$364,0),1)/INDEX(其他调用!AJ$5:AJ$364,MATCH($K293,其他调用!$AG$5:$AG$364,0),0),1)*INDEX(其他调用!AA$5:AA$404,MATCH($K293,其他调用!$X$5:$X$404,0),0)</f>
        <v>15320.062625112378</v>
      </c>
      <c r="Q293" s="12">
        <f>MIN(INDEX(其他调用!$AH$5:$AH$364,MATCH($K293,其他调用!$AG$5:$AG$364,0),1)/INDEX(其他调用!AK$5:AK$364,MATCH($K293,其他调用!$AG$5:$AG$364,0),0),1)*INDEX(其他调用!AB$5:AB$404,MATCH($K293,其他调用!$X$5:$X$404,0),0)</f>
        <v>5686.2674366927004</v>
      </c>
      <c r="R293" s="12">
        <f>MIN(INDEX(其他调用!$AH$5:$AH$364,MATCH($K293,其他调用!$AG$5:$AG$364,0),1)/INDEX(其他调用!AL$5:AL$364,MATCH($K293,其他调用!$AG$5:$AG$364,0),0),1)*INDEX(其他调用!AC$5:AC$404,MATCH($K293,其他调用!$X$5:$X$404,0),0)</f>
        <v>3282.8787724826366</v>
      </c>
      <c r="S293" s="12">
        <f>求节点(节奏总纲!D$4:D$163,标准城池设计!AC$4:AC$163,$K293)*求节点(节奏总纲!D$4:D$163,攻城基础信息!$AD$5:$AD$164,$K293)</f>
        <v>843206.04728213057</v>
      </c>
      <c r="T293" s="12">
        <f>INDEX(其他调用!$AA$5:$AA$404,MATCH($K293,其他调用!$X$5:$X$404,0))*MIN(INDEX(其他调用!AI$5:AI$364,MATCH($K293,其他调用!$AG$5:$AG$364,0),1)/INDEX(其他调用!$AJ$5:$AJ$364,MATCH($K293,其他调用!$AG$5:$AG$364,0),0),5)*求节点(节奏总纲!D$4:D$163,攻城基础信息!$AD$5:$AD$164,$K293)</f>
        <v>91156.99828748047</v>
      </c>
      <c r="U293" s="12">
        <f>MIN(INDEX(其他调用!$AI$5:$AI$364,MATCH($K293,其他调用!$AG$5:$AG$364,0),1)/INDEX(其他调用!AH$5:AH$364,MATCH($K293,其他调用!$AG$5:$AG$364,0),0),1)*INDEX(其他调用!Y$5:Y$404,MATCH($K293,其他调用!$X$5:$X$404,0),0)</f>
        <v>42237.993322225171</v>
      </c>
      <c r="V293" s="12">
        <f>MIN(INDEX(其他调用!$AI$5:$AI$364,MATCH($K293,其他调用!$AG$5:$AG$364,0),1)/INDEX(其他调用!AI$5:AI$364,MATCH($K293,其他调用!$AG$5:$AG$364,0),0),1)*INDEX(其他调用!Z$5:Z$404,MATCH($K293,其他调用!$X$5:$X$404,0),0)</f>
        <v>43394.780024656044</v>
      </c>
      <c r="W293" s="12">
        <f>MIN(INDEX(其他调用!$AI$5:$AI$364,MATCH($K293,其他调用!$AG$5:$AG$364,0),1)/INDEX(其他调用!AJ$5:AJ$364,MATCH($K293,其他调用!$AG$5:$AG$364,0),0),1)*INDEX(其他调用!AA$5:AA$404,MATCH($K293,其他调用!$X$5:$X$404,0),0)</f>
        <v>26044.856653565865</v>
      </c>
      <c r="X293" s="12">
        <f>MIN(INDEX(其他调用!$AI$5:$AI$364,MATCH($K293,其他调用!$AG$5:$AG$364,0),1)/INDEX(其他调用!AK$5:AK$364,MATCH($K293,其他调用!$AG$5:$AG$364,0),0),1)*INDEX(其他调用!AB$5:AB$404,MATCH($K293,其他调用!$X$5:$X$404,0),0)</f>
        <v>9666.9330867969929</v>
      </c>
      <c r="Y293" s="12">
        <f>MIN(INDEX(其他调用!$AI$5:$AI$364,MATCH($K293,其他调用!$AG$5:$AG$364,0),1)/INDEX(其他调用!AL$5:AL$364,MATCH($K293,其他调用!$AG$5:$AG$364,0),0),1)*INDEX(其他调用!AC$5:AC$404,MATCH($K293,其他调用!$X$5:$X$404,0),0)</f>
        <v>5581.0546688099694</v>
      </c>
      <c r="Z293" s="12">
        <f>求节点(节奏总纲!D$4:D$163,标准城池设计!AD$4:AD$163,$K293)*求节点(节奏总纲!D$4:D$163,攻城基础信息!$AE$5:$AE$164,$K293)</f>
        <v>920922.06351143261</v>
      </c>
      <c r="AA293" s="12">
        <f>INDEX(其他调用!$AA$5:$AA$404,MATCH($K293,其他调用!$X$5:$X$404,0))*MIN(INDEX(其他调用!AJ$5:AJ$364,MATCH($K293,其他调用!$AG$5:$AG$364,0),1)/INDEX(其他调用!$AJ$5:$AJ$364,MATCH($K293,其他调用!$AG$5:$AG$364,0),0),5)*求节点(节奏总纲!D$4:D$163,攻城基础信息!$AE$5:$AE$164,$K293)</f>
        <v>157207.60040861435</v>
      </c>
      <c r="AB293" s="12">
        <f>MIN(INDEX(其他调用!$AJ$5:$AJ$364,MATCH($K293,其他调用!$AG$5:$AG$364,0),1)/INDEX(其他调用!AH$5:AH$364,MATCH($K293,其他调用!$AG$5:$AG$364,0),0),1)*INDEX(其他调用!Y$5:Y$404,MATCH($K293,其他调用!$X$5:$X$404,0),0)</f>
        <v>42237.993322225171</v>
      </c>
      <c r="AC293" s="12">
        <f>MIN(INDEX(其他调用!$AJ$5:$AJ$364,MATCH($K293,其他调用!$AG$5:$AG$364,0),1)/INDEX(其他调用!AI$5:AI$364,MATCH($K293,其他调用!$AG$5:$AG$364,0),0),1)*INDEX(其他调用!Z$5:Z$404,MATCH($K293,其他调用!$X$5:$X$404,0),0)</f>
        <v>43394.780024656044</v>
      </c>
      <c r="AD293" s="12">
        <f>MIN(INDEX(其他调用!$AJ$5:$AJ$364,MATCH($K293,其他调用!$AG$5:$AG$364,0),1)/INDEX(其他调用!AJ$5:AJ$364,MATCH($K293,其他调用!$AG$5:$AG$364,0),0),1)*INDEX(其他调用!AA$5:AA$404,MATCH($K293,其他调用!$X$5:$X$404,0),0)</f>
        <v>44916.457259604133</v>
      </c>
      <c r="AE293" s="12">
        <f>MIN(INDEX(其他调用!$AJ$5:$AJ$364,MATCH($K293,其他调用!$AG$5:$AG$364,0),1)/INDEX(其他调用!AK$5:AK$364,MATCH($K293,其他调用!$AG$5:$AG$364,0),0),1)*INDEX(其他调用!AB$5:AB$404,MATCH($K293,其他调用!$X$5:$X$404,0),0)</f>
        <v>16671.406281866486</v>
      </c>
      <c r="AF293" s="12">
        <f>MIN(INDEX(其他调用!$AJ$5:$AJ$364,MATCH($K293,其他调用!$AG$5:$AG$364,0),1)/INDEX(其他调用!AL$5:AL$364,MATCH($K293,其他调用!$AG$5:$AG$364,0),0),1)*INDEX(其他调用!AC$5:AC$404,MATCH($K293,其他调用!$X$5:$X$404,0),0)</f>
        <v>9624.97919760275</v>
      </c>
      <c r="AG293" s="12">
        <f>求节点(节奏总纲!D$4:D$163,标准城池设计!AE$4:AE$163,$K293)*求节点(节奏总纲!D$4:D$163,攻城基础信息!$AF$5:$AF$164,$K293)</f>
        <v>1113015.7924234152</v>
      </c>
      <c r="AH293" s="12">
        <f>INDEX(其他调用!$AA$5:$AA$404,MATCH($K293,其他调用!$X$5:$X$404,0))*MIN(INDEX(其他调用!AK$5:AK$364,MATCH($K293,其他调用!$AG$5:$AG$364,0),1)/INDEX(其他调用!$AJ$5:$AJ$364,MATCH($K293,其他调用!$AG$5:$AG$364,0),0),5)*求节点(节奏总纲!D$4:D$163,攻城基础信息!$AF$5:$AF$164,$K293)</f>
        <v>444802.60830383544</v>
      </c>
      <c r="AI293" s="12">
        <f>MIN(INDEX(其他调用!$AK$5:$AK$364,MATCH($K293,其他调用!$AG$5:$AG$364,0),1)/INDEX(其他调用!AH$5:AH$364,MATCH($K293,其他调用!$AG$5:$AG$364,0),0),1)*INDEX(其他调用!Y$5:Y$404,MATCH($K293,其他调用!$X$5:$X$404,0),0)</f>
        <v>42237.993322225171</v>
      </c>
      <c r="AJ293" s="12">
        <f>MIN(INDEX(其他调用!$AK$5:$AK$364,MATCH($K293,其他调用!$AG$5:$AG$364,0),1)/INDEX(其他调用!AI$5:AI$364,MATCH($K293,其他调用!$AG$5:$AG$364,0),0),1)*INDEX(其他调用!Z$5:Z$404,MATCH($K293,其他调用!$X$5:$X$404,0),0)</f>
        <v>43394.780024656044</v>
      </c>
      <c r="AK293" s="12">
        <f>MIN(INDEX(其他调用!$AK$5:$AK$364,MATCH($K293,其他调用!$AG$5:$AG$364,0),1)/INDEX(其他调用!AJ$5:AJ$364,MATCH($K293,其他调用!$AG$5:$AG$364,0),0),1)*INDEX(其他调用!AA$5:AA$404,MATCH($K293,其他调用!$X$5:$X$404,0),0)</f>
        <v>44916.457259604133</v>
      </c>
      <c r="AL293" s="12">
        <f>MIN(INDEX(其他调用!$AK$5:$AK$364,MATCH($K293,其他调用!$AG$5:$AG$364,0),1)/INDEX(其他调用!AK$5:AK$364,MATCH($K293,其他调用!$AG$5:$AG$364,0),0),1)*INDEX(其他调用!AB$5:AB$404,MATCH($K293,其他调用!$X$5:$X$404,0),0)</f>
        <v>47170.015819800152</v>
      </c>
      <c r="AM293" s="12">
        <f>MIN(INDEX(其他调用!$AK$5:$AK$364,MATCH($K293,其他调用!$AG$5:$AG$364,0),1)/INDEX(其他调用!AL$5:AL$364,MATCH($K293,其他调用!$AG$5:$AG$364,0),0),1)*INDEX(其他调用!AC$5:AC$404,MATCH($K293,其他调用!$X$5:$X$404,0),0)</f>
        <v>27232.880858407065</v>
      </c>
      <c r="AN293" s="12">
        <f>求节点(节奏总纲!D$4:D$163,标准城池设计!AF$4:AF$163,$K293)*求节点(节奏总纲!D$4:D$163,攻城基础信息!$AG$5:$AG$164,$K293)</f>
        <v>1164261.1085845781</v>
      </c>
      <c r="AO293" s="12">
        <f>INDEX(其他调用!$AA$5:$AA$404,MATCH($K293,其他调用!$X$5:$X$404,0))*MIN(INDEX(其他调用!AL$5:AL$364,MATCH($K293,其他调用!$AG$5:$AG$364,0),1)/INDEX(其他调用!$AJ$5:$AJ$364,MATCH($K293,其他调用!$AG$5:$AG$364,0),0),5)*求节点(节奏总纲!D$4:D$163,攻城基础信息!$AG$5:$AG$164,$K293)</f>
        <v>786038.00204307179</v>
      </c>
      <c r="AP293" s="12">
        <f>MIN(INDEX(其他调用!$AL$5:$AL$364,MATCH($K293,其他调用!$AG$5:$AG$364,0),1)/INDEX(其他调用!AH$5:AH$364,MATCH($K293,其他调用!$AG$5:$AG$364,0),0),1)*INDEX(其他调用!Y$5:Y$404,MATCH($K293,其他调用!$X$5:$X$404,0),0)</f>
        <v>42237.993322225171</v>
      </c>
      <c r="AQ293" s="12">
        <f>MIN(INDEX(其他调用!$AL$5:$AL$364,MATCH($K293,其他调用!$AG$5:$AG$364,0),1)/INDEX(其他调用!AI$5:AI$364,MATCH($K293,其他调用!$AG$5:$AG$364,0),0),1)*INDEX(其他调用!Z$5:Z$404,MATCH($K293,其他调用!$X$5:$X$404,0),0)</f>
        <v>43394.780024656044</v>
      </c>
      <c r="AR293" s="12">
        <f>MIN(INDEX(其他调用!$AL$5:$AL$364,MATCH($K293,其他调用!$AG$5:$AG$364,0),1)/INDEX(其他调用!AJ$5:AJ$364,MATCH($K293,其他调用!$AG$5:$AG$364,0),0),1)*INDEX(其他调用!AA$5:AA$404,MATCH($K293,其他调用!$X$5:$X$404,0),0)</f>
        <v>44916.457259604133</v>
      </c>
      <c r="AS293" s="12">
        <f>MIN(INDEX(其他调用!$AL$5:$AL$364,MATCH($K293,其他调用!$AG$5:$AG$364,0),1)/INDEX(其他调用!AK$5:AK$364,MATCH($K293,其他调用!$AG$5:$AG$364,0),0),1)*INDEX(其他调用!AB$5:AB$404,MATCH($K293,其他调用!$X$5:$X$404,0),0)</f>
        <v>47170.015819800152</v>
      </c>
      <c r="AT293" s="12">
        <f>MIN(INDEX(其他调用!$AL$5:$AL$364,MATCH($K293,其他调用!$AG$5:$AG$364,0),1)/INDEX(其他调用!AL$5:AL$364,MATCH($K293,其他调用!$AG$5:$AG$364,0),0),1)*INDEX(其他调用!AC$5:AC$404,MATCH($K293,其他调用!$X$5:$X$404,0),0)</f>
        <v>51065.299103274141</v>
      </c>
      <c r="AV293" s="14">
        <f>IF(OR(AV$5="大R",AV$5="超R"),MAX(INDEX(其他调用!$H$5:$L$404,MATCH($K293,其他调用!$B$5:$B$404,0),MATCH(AV$5,其他调用!$H$4:$L$4,0))*120*0.85,2),INDEX(其他调用!$H$5:$L$404,MATCH($K293,其他调用!$B$5:$B$404,0),MATCH(AV$5,其他调用!$H$4:$L$4,0))*120*0.85)</f>
        <v>48.921801254999991</v>
      </c>
      <c r="AW293" s="14">
        <f>IF(OR(AW$5="大R",AW$5="超R"),MAX(INDEX(其他调用!$H$5:$L$404,MATCH($K293,其他调用!$B$5:$B$404,0),MATCH(AW$5,其他调用!$H$4:$L$4,0))*120*0.85,2),INDEX(其他调用!$H$5:$L$404,MATCH($K293,其他调用!$B$5:$B$404,0),MATCH(AW$5,其他调用!$H$4:$L$4,0))*120*0.85)</f>
        <v>48.237344010638395</v>
      </c>
      <c r="AX293" s="14">
        <f>IF(OR(AX$5="大R",AX$5="超R"),MAX(INDEX(其他调用!$H$5:$L$404,MATCH($K293,其他调用!$B$5:$B$404,0),MATCH(AX$5,其他调用!$H$4:$L$4,0))*120*0.85,2),INDEX(其他调用!$H$5:$L$404,MATCH($K293,其他调用!$B$5:$B$404,0),MATCH(AX$5,其他调用!$H$4:$L$4,0))*120*0.85)</f>
        <v>3.9376284143615998</v>
      </c>
      <c r="AY293" s="14">
        <f>IF(OR(AY$5="大R",AY$5="超R"),MAX(INDEX(其他调用!$H$5:$L$404,MATCH($K293,其他调用!$B$5:$B$404,0),MATCH(AY$5,其他调用!$H$4:$L$4,0))*120*0.85,2),INDEX(其他调用!$H$5:$L$404,MATCH($K293,其他调用!$B$5:$B$404,0),MATCH(AY$5,其他调用!$H$4:$L$4,0))*120*0.85)</f>
        <v>2</v>
      </c>
      <c r="AZ293" s="14">
        <f>IF(OR(AZ$5="大R",AZ$5="超R"),MAX(INDEX(其他调用!$H$5:$L$404,MATCH($K293,其他调用!$B$5:$B$404,0),MATCH(AZ$5,其他调用!$H$4:$L$4,0))*120*0.85,2),INDEX(其他调用!$H$5:$L$404,MATCH($K293,其他调用!$B$5:$B$404,0),MATCH(AZ$5,其他调用!$H$4:$L$4,0))*120*0.85)</f>
        <v>2</v>
      </c>
      <c r="BA293" s="14">
        <f>INDEX(其他调用!$H$5:$L$404,MATCH($K293,其他调用!$B$5:$B$404,0),MATCH(BA$5,其他调用!$H$4:$L$4,0))*INDEX(其他调用!$M$5:$M$404,MATCH($K293,其他调用!$B$5:$B$404,0))*0.6</f>
        <v>28.777530149999997</v>
      </c>
      <c r="BB293" s="14">
        <f>INDEX(其他调用!$H$5:$L$404,MATCH($K293,其他调用!$B$5:$B$404,0),MATCH(BB$5,其他调用!$H$4:$L$4,0))*INDEX(其他调用!$M$5:$M$404,MATCH($K293,其他调用!$B$5:$B$404,0))*0.6</f>
        <v>28.374908241551999</v>
      </c>
      <c r="BC293" s="14">
        <f>INDEX(其他调用!$H$5:$L$404,MATCH($K293,其他调用!$B$5:$B$404,0),MATCH(BC$5,其他调用!$H$4:$L$4,0))*INDEX(其他调用!$M$5:$M$404,MATCH($K293,其他调用!$B$5:$B$404,0))*0.6</f>
        <v>2.3162520084480001</v>
      </c>
      <c r="BD293" s="14">
        <f>INDEX(其他调用!$H$5:$L$404,MATCH($K293,其他调用!$B$5:$B$404,0),MATCH(BD$5,其他调用!$H$4:$L$4,0))*INDEX(其他调用!$M$5:$M$404,MATCH($K293,其他调用!$B$5:$B$404,0))*0.6</f>
        <v>0.4120776000000001</v>
      </c>
      <c r="BE293" s="14">
        <f>INDEX(其他调用!$H$5:$L$404,MATCH($K293,其他调用!$B$5:$B$404,0),MATCH(BE$5,其他调用!$H$4:$L$4,0))*INDEX(其他调用!$M$5:$M$404,MATCH($K293,其他调用!$B$5:$B$404,0))*0.6</f>
        <v>0.11923199999999998</v>
      </c>
      <c r="BF293" s="14">
        <f>IF(OR(BF$5="大R",BF$5="超R"),0,INDEX(其他调用!$H$5:$L$404,MATCH($K293,其他调用!$B$5:$B$404,0),MATCH(BF$5,其他调用!$H$4:$L$4,0))*50*0.4)</f>
        <v>9.5925100500000013</v>
      </c>
      <c r="BG293" s="14">
        <f>IF(OR(BG$5="大R",BG$5="超R"),0,INDEX(其他调用!$H$5:$L$404,MATCH($K293,其他调用!$B$5:$B$404,0),MATCH(BG$5,其他调用!$H$4:$L$4,0))*50*0.4)</f>
        <v>9.4583027471839998</v>
      </c>
      <c r="BH293" s="14">
        <f>IF(OR(BH$5="大R",BH$5="超R"),0,INDEX(其他调用!$H$5:$L$404,MATCH($K293,其他调用!$B$5:$B$404,0),MATCH(BH$5,其他调用!$H$4:$L$4,0))*50*0.4)</f>
        <v>0.77208400281600009</v>
      </c>
      <c r="BI293" s="14">
        <f>IF(OR(BI$5="大R",BI$5="超R"),0,INDEX(其他调用!$H$5:$L$404,MATCH($K293,其他调用!$B$5:$B$404,0),MATCH(BI$5,其他调用!$H$4:$L$4,0))*50*0.4)</f>
        <v>0</v>
      </c>
      <c r="BJ293" s="14">
        <f>IF(OR(BJ$5="大R",BJ$5="超R"),0,INDEX(其他调用!$H$5:$L$404,MATCH($K293,其他调用!$B$5:$B$404,0),MATCH(BJ$5,其他调用!$H$4:$L$4,0))*50*0.4)</f>
        <v>0</v>
      </c>
      <c r="BL293" s="14">
        <f t="shared" si="523"/>
        <v>288</v>
      </c>
      <c r="BM293" s="14">
        <f t="shared" si="430"/>
        <v>96</v>
      </c>
      <c r="BN293" s="14">
        <f>('疲劳值&amp;地图信息'!$S$10*'疲劳值&amp;地图信息'!$R$10+'疲劳值&amp;地图信息'!$S$11*'疲劳值&amp;地图信息'!$R$11+'疲劳值&amp;地图信息'!$S$12*'疲劳值&amp;地图信息'!$R$12+(BM293-'疲劳值&amp;地图信息'!$S$12-'疲劳值&amp;地图信息'!$S$11-'疲劳值&amp;地图信息'!$S$10)*'疲劳值&amp;地图信息'!$R$13)/BM293</f>
        <v>51.371477246638619</v>
      </c>
      <c r="BO293" s="14">
        <f>INDEX(其他调用!$M$5:$M$404,MATCH(BL293,其他调用!$B$5:$B$404,0))*0.6</f>
        <v>60</v>
      </c>
      <c r="BP293" s="14">
        <f>IF(BO293&gt;SUM('疲劳值&amp;地图信息'!$S$10:$S$12),('疲劳值&amp;地图信息'!$S$10*'疲劳值&amp;地图信息'!$R$10+'疲劳值&amp;地图信息'!$S$11*'疲劳值&amp;地图信息'!$R$11+'疲劳值&amp;地图信息'!$S$12*'疲劳值&amp;地图信息'!$R$12+(BO293-'疲劳值&amp;地图信息'!$S$12-'疲劳值&amp;地图信息'!$S$11-'疲劳值&amp;地图信息'!$S$10)*'疲劳值&amp;地图信息'!$R$13)/BO293,('疲劳值&amp;地图信息'!$S$10*'疲劳值&amp;地图信息'!$R$10+'疲劳值&amp;地图信息'!$S$11*'疲劳值&amp;地图信息'!$R$11+'疲劳值&amp;地图信息'!$S$12*'疲劳值&amp;地图信息'!$R$12+(BO293-'疲劳值&amp;地图信息'!$S$12-'疲劳值&amp;地图信息'!$S$11-'疲劳值&amp;地图信息'!$S$10)*'疲劳值&amp;地图信息'!$R$13)/BO293)</f>
        <v>44.158136341605953</v>
      </c>
      <c r="BQ293" s="14">
        <f t="shared" si="524"/>
        <v>20</v>
      </c>
      <c r="BR293" s="14">
        <f>('疲劳值&amp;地图信息'!$S$10*'疲劳值&amp;地图信息'!$R$10+($BQ293-'疲劳值&amp;地图信息'!$S$10)*'疲劳值&amp;地图信息'!$R$11)/$BQ293</f>
        <v>32.067203015074995</v>
      </c>
      <c r="CF293" s="14">
        <v>288</v>
      </c>
      <c r="CG293" s="51">
        <f t="shared" si="431"/>
        <v>15699</v>
      </c>
      <c r="CH293" s="51">
        <f t="shared" si="432"/>
        <v>1092</v>
      </c>
      <c r="CI293" s="51">
        <f>INT(SUMPRODUCT($N293:$R293,$BA293:$BE293)/SUM($BA293:$BE293)/10000*$BX$7*$BZ$34/'疲劳值&amp;地图信息'!$R$10*$BY$53)</f>
        <v>3345</v>
      </c>
      <c r="CJ293" s="50">
        <f t="shared" si="433"/>
        <v>0.7796483909415971</v>
      </c>
      <c r="CK293" s="50">
        <f t="shared" si="434"/>
        <v>5.4231227651966626E-2</v>
      </c>
      <c r="CL293" s="50">
        <f t="shared" si="435"/>
        <v>0.16612038140643623</v>
      </c>
      <c r="CM293" s="14">
        <f t="shared" si="436"/>
        <v>17185</v>
      </c>
      <c r="CN293" s="14">
        <f t="shared" si="437"/>
        <v>1857</v>
      </c>
      <c r="CO293" s="14">
        <f>INT(SUMPRODUCT($U293:$Y293,$BA293:$BE293)/SUM($BA293:$BE293)/10000*$BX$7*$BZ$34/'疲劳值&amp;地图信息'!$R$10*$BY$54)</f>
        <v>6371</v>
      </c>
      <c r="CP293" s="50">
        <f t="shared" si="438"/>
        <v>0.67622870184551209</v>
      </c>
      <c r="CQ293" s="50">
        <f t="shared" si="439"/>
        <v>7.3072836737103061E-2</v>
      </c>
      <c r="CR293" s="50">
        <f t="shared" si="440"/>
        <v>0.25069846141738478</v>
      </c>
      <c r="CS293" s="14">
        <f t="shared" si="441"/>
        <v>18769</v>
      </c>
      <c r="CT293" s="14">
        <f t="shared" si="442"/>
        <v>3204</v>
      </c>
      <c r="CU293" s="14">
        <f>INT(SUMPRODUCT($AB293:$AF293,$BA293:$BE293)/SUM($BA293:$BE293)/10000*$BX$7*$BZ$34/'疲劳值&amp;地图信息'!$R$10*$BY$55)</f>
        <v>8654</v>
      </c>
      <c r="CV293" s="50">
        <f t="shared" si="443"/>
        <v>0.61282528487935484</v>
      </c>
      <c r="CW293" s="50">
        <f t="shared" si="444"/>
        <v>0.10461357625624448</v>
      </c>
      <c r="CX293" s="50">
        <f t="shared" si="445"/>
        <v>0.28256113886440071</v>
      </c>
      <c r="CY293" s="14">
        <f t="shared" si="446"/>
        <v>22684</v>
      </c>
      <c r="CZ293" s="14">
        <f t="shared" si="447"/>
        <v>9065</v>
      </c>
      <c r="DA293" s="14">
        <f>INT(SUMPRODUCT($AI293:$AM293,$BA293:$BE293)/SUM($BA293:$BE293)/10000*$BX$7*$BZ$34/'疲劳值&amp;地图信息'!$R$10*$BY$56)</f>
        <v>13056</v>
      </c>
      <c r="DB293" s="50">
        <f t="shared" si="448"/>
        <v>0.50628278093962731</v>
      </c>
      <c r="DC293" s="50">
        <f t="shared" si="449"/>
        <v>0.2023211695123312</v>
      </c>
      <c r="DD293" s="50">
        <f t="shared" si="450"/>
        <v>0.29139604954804149</v>
      </c>
      <c r="DE293" s="14">
        <f t="shared" si="451"/>
        <v>23729</v>
      </c>
      <c r="DF293" s="14">
        <f t="shared" si="452"/>
        <v>16020</v>
      </c>
      <c r="DG293" s="14">
        <f>INT(SUMPRODUCT($AP293:$AT293,$BA293:$BE293)/SUM($BA293:$BE293)/10000*$BX$7*$BZ$34/'疲劳值&amp;地图信息'!$R$10*$BY$57)</f>
        <v>17427</v>
      </c>
      <c r="DH293" s="50">
        <f t="shared" si="453"/>
        <v>0.41501679026164823</v>
      </c>
      <c r="DI293" s="50">
        <f t="shared" si="454"/>
        <v>0.28018749125507209</v>
      </c>
      <c r="DJ293" s="50">
        <f t="shared" si="455"/>
        <v>0.30479571848327969</v>
      </c>
      <c r="DL293" s="14">
        <f t="shared" si="526"/>
        <v>20136</v>
      </c>
      <c r="DM293" s="14">
        <f t="shared" si="527"/>
        <v>25413</v>
      </c>
      <c r="DN293" s="14">
        <f t="shared" si="528"/>
        <v>30627</v>
      </c>
      <c r="DO293" s="14">
        <f t="shared" si="529"/>
        <v>44805</v>
      </c>
      <c r="DP293" s="14">
        <f t="shared" si="530"/>
        <v>57176</v>
      </c>
      <c r="DQ293" s="14">
        <f t="shared" si="531"/>
        <v>1396776</v>
      </c>
      <c r="DT293" s="14">
        <f t="shared" si="525"/>
        <v>235575</v>
      </c>
      <c r="DU293" s="50">
        <f t="shared" si="427"/>
        <v>0.14431638783570444</v>
      </c>
      <c r="DW293" s="14">
        <f t="shared" si="456"/>
        <v>1632351</v>
      </c>
      <c r="EB293" s="14">
        <v>288</v>
      </c>
      <c r="EC293" s="51">
        <f t="shared" si="457"/>
        <v>26165</v>
      </c>
      <c r="ED293" s="51">
        <f t="shared" si="458"/>
        <v>1821</v>
      </c>
      <c r="EE293" s="51">
        <f>INT(SUMPRODUCT($N293:$R293,$BF293:$BJ293)/SUM($BF293:$BJ293)/10000*$BX$7*$BZ$46/'疲劳值&amp;地图信息'!$R$10*$BY$53)</f>
        <v>449</v>
      </c>
      <c r="EF293" s="50">
        <f t="shared" si="459"/>
        <v>0.9201688060488834</v>
      </c>
      <c r="EG293" s="50">
        <f t="shared" si="460"/>
        <v>6.4040794795146821E-2</v>
      </c>
      <c r="EH293" s="50">
        <f t="shared" si="461"/>
        <v>1.5790399155969755E-2</v>
      </c>
      <c r="EI293" s="51">
        <f t="shared" si="462"/>
        <v>28642</v>
      </c>
      <c r="EJ293" s="51">
        <f t="shared" si="463"/>
        <v>3096</v>
      </c>
      <c r="EK293" s="14">
        <f>INT(SUMPRODUCT($U293:$Y293,$BF293:$BJ293)/SUM($BF293:$BJ293)/10000*$BX$7*$BZ$46/'疲劳值&amp;地图信息'!$R$10*$BY$54)</f>
        <v>855</v>
      </c>
      <c r="EL293" s="50">
        <f t="shared" si="464"/>
        <v>0.87877765164299082</v>
      </c>
      <c r="EM293" s="50">
        <f t="shared" si="465"/>
        <v>9.4989721719387604E-2</v>
      </c>
      <c r="EN293" s="50">
        <f t="shared" si="466"/>
        <v>2.6232626637621576E-2</v>
      </c>
      <c r="EO293" s="51">
        <f t="shared" si="467"/>
        <v>31282</v>
      </c>
      <c r="EP293" s="51">
        <f t="shared" si="468"/>
        <v>5340</v>
      </c>
      <c r="EQ293" s="14">
        <f>INT(SUMPRODUCT($AB293:$AF293,$BF293:$BJ293)/SUM($BF293:$BJ293)/10000*$BX$7*$BZ$46/'疲劳值&amp;地图信息'!$R$10*$BY$55)</f>
        <v>1160</v>
      </c>
      <c r="ER293" s="50">
        <f t="shared" si="469"/>
        <v>0.82796040442538776</v>
      </c>
      <c r="ES293" s="50">
        <f t="shared" si="470"/>
        <v>0.14133714467206607</v>
      </c>
      <c r="ET293" s="50">
        <f t="shared" si="471"/>
        <v>3.0702450902546186E-2</v>
      </c>
      <c r="EU293" s="51">
        <f t="shared" si="472"/>
        <v>37807</v>
      </c>
      <c r="EV293" s="51">
        <f t="shared" si="473"/>
        <v>15109</v>
      </c>
      <c r="EW293" s="14">
        <f>INT(SUMPRODUCT($AI293:$AM293,$BF293:$BJ293)/SUM($BF293:$BJ293)/10000*$BX$7*$BZ$46/'疲劳值&amp;地图信息'!$R$10*$BY$56)</f>
        <v>1740</v>
      </c>
      <c r="EX293" s="50">
        <f t="shared" si="474"/>
        <v>0.6917264344262295</v>
      </c>
      <c r="EY293" s="50">
        <f t="shared" si="475"/>
        <v>0.27643808548009369</v>
      </c>
      <c r="EZ293" s="50">
        <f t="shared" si="476"/>
        <v>3.1835480093676816E-2</v>
      </c>
      <c r="FA293" s="51">
        <f t="shared" si="477"/>
        <v>39548</v>
      </c>
      <c r="FB293" s="51">
        <f t="shared" si="478"/>
        <v>26700</v>
      </c>
      <c r="FC293" s="14">
        <f>INT(SUMPRODUCT($AP293:$AT293,$BF293:$BJ293)/SUM($BF293:$BJ293)/10000*$BX$7*$BZ$46/'疲劳值&amp;地图信息'!$R$10*$BY$57)</f>
        <v>2321</v>
      </c>
      <c r="FD293" s="50">
        <f t="shared" si="479"/>
        <v>0.57676209365748365</v>
      </c>
      <c r="FE293" s="50">
        <f t="shared" si="480"/>
        <v>0.38938879085300937</v>
      </c>
      <c r="FF293" s="50">
        <f t="shared" si="481"/>
        <v>3.384911548950692E-2</v>
      </c>
      <c r="FH293" s="14">
        <f t="shared" si="482"/>
        <v>28435</v>
      </c>
      <c r="FI293" s="14">
        <f t="shared" si="483"/>
        <v>32593</v>
      </c>
      <c r="FJ293" s="14">
        <f t="shared" si="484"/>
        <v>37782</v>
      </c>
      <c r="FK293" s="14">
        <f t="shared" si="485"/>
        <v>54656</v>
      </c>
      <c r="FL293" s="14">
        <f t="shared" si="486"/>
        <v>68569</v>
      </c>
      <c r="FM293" s="14">
        <f t="shared" si="487"/>
        <v>3358512</v>
      </c>
      <c r="FP293" s="14">
        <f t="shared" si="488"/>
        <v>334150</v>
      </c>
      <c r="FQ293" s="50">
        <f t="shared" si="428"/>
        <v>9.0490275037357876E-2</v>
      </c>
      <c r="FS293" s="14">
        <f t="shared" si="489"/>
        <v>3692662</v>
      </c>
      <c r="FX293" s="14">
        <v>288</v>
      </c>
      <c r="FY293" s="51">
        <f t="shared" si="490"/>
        <v>36631</v>
      </c>
      <c r="FZ293" s="51">
        <f t="shared" si="491"/>
        <v>1821</v>
      </c>
      <c r="GA293" s="51">
        <f>INT(SUMPRODUCT($N293:$R293,$BF293:$BJ293)/SUM($BF293:$BJ293)/10000*$BX$7*$BZ$46/'疲劳值&amp;地图信息'!$R$10*$BY$53)</f>
        <v>449</v>
      </c>
      <c r="GB293" s="50">
        <f t="shared" si="492"/>
        <v>0.94164674429963235</v>
      </c>
      <c r="GC293" s="50">
        <f t="shared" si="493"/>
        <v>4.6811135960515157E-2</v>
      </c>
      <c r="GD293" s="50">
        <f t="shared" si="494"/>
        <v>1.1542119739852447E-2</v>
      </c>
      <c r="GE293" s="51">
        <f t="shared" si="495"/>
        <v>40099</v>
      </c>
      <c r="GF293" s="51">
        <f t="shared" si="496"/>
        <v>3096</v>
      </c>
      <c r="GG293" s="14">
        <f>INT(SUMPRODUCT($U293:$Y293,$BF293:$BJ293)/SUM($BF293:$BJ293)/10000*$BX$7*$BZ$46/'疲劳值&amp;地图信息'!$R$10*$BY$54)</f>
        <v>855</v>
      </c>
      <c r="GH293" s="50">
        <f t="shared" si="497"/>
        <v>0.91030646992054487</v>
      </c>
      <c r="GI293" s="50">
        <f t="shared" si="498"/>
        <v>7.0283768444948921E-2</v>
      </c>
      <c r="GJ293" s="50">
        <f t="shared" si="499"/>
        <v>1.9409761634506244E-2</v>
      </c>
      <c r="GK293" s="51">
        <f t="shared" si="500"/>
        <v>43795</v>
      </c>
      <c r="GL293" s="51">
        <f t="shared" si="501"/>
        <v>5340</v>
      </c>
      <c r="GM293" s="14">
        <f>INT(SUMPRODUCT($AB293:$AF293,$BF293:$BJ293)/SUM($BF293:$BJ293)/10000*$BX$7*$BZ$46/'疲劳值&amp;地图信息'!$R$10*$BY$55)</f>
        <v>1160</v>
      </c>
      <c r="GN293" s="50">
        <f t="shared" si="502"/>
        <v>0.8707625012426683</v>
      </c>
      <c r="GO293" s="50">
        <f t="shared" si="503"/>
        <v>0.10617357590217716</v>
      </c>
      <c r="GP293" s="50">
        <f t="shared" si="504"/>
        <v>2.3063922855154587E-2</v>
      </c>
      <c r="GQ293" s="51">
        <f t="shared" si="505"/>
        <v>52930</v>
      </c>
      <c r="GR293" s="51">
        <f t="shared" si="506"/>
        <v>15109</v>
      </c>
      <c r="GS293" s="14">
        <f>INT(SUMPRODUCT($AI293:$AM293,$BF293:$BJ293)/SUM($BF293:$BJ293)/10000*$BX$7*$BZ$46/'疲劳值&amp;地图信息'!$R$10*$BY$56)</f>
        <v>1740</v>
      </c>
      <c r="GT293" s="50">
        <f t="shared" si="507"/>
        <v>0.75853766892618124</v>
      </c>
      <c r="GU293" s="50">
        <f t="shared" si="508"/>
        <v>0.21652646211610943</v>
      </c>
      <c r="GV293" s="50">
        <f t="shared" si="509"/>
        <v>2.4935868957709339E-2</v>
      </c>
      <c r="GW293" s="51">
        <f t="shared" si="510"/>
        <v>55368</v>
      </c>
      <c r="GX293" s="51">
        <f t="shared" si="511"/>
        <v>26700</v>
      </c>
      <c r="GY293" s="14">
        <f>INT(SUMPRODUCT($AP293:$AT293,$BF293:$BJ293)/SUM($BF293:$BJ293)/10000*$BX$7*$BZ$46/'疲劳值&amp;地图信息'!$R$10*$BY$57)</f>
        <v>2321</v>
      </c>
      <c r="GZ293" s="50">
        <f t="shared" si="512"/>
        <v>0.6561044685918781</v>
      </c>
      <c r="HA293" s="50">
        <f t="shared" si="513"/>
        <v>0.31639194681771321</v>
      </c>
      <c r="HB293" s="50">
        <f t="shared" si="514"/>
        <v>2.7503584590408702E-2</v>
      </c>
      <c r="HD293" s="14">
        <f t="shared" si="515"/>
        <v>38901</v>
      </c>
      <c r="HE293" s="14">
        <f t="shared" si="516"/>
        <v>44050</v>
      </c>
      <c r="HF293" s="14">
        <f t="shared" si="517"/>
        <v>50295</v>
      </c>
      <c r="HG293" s="14">
        <f t="shared" si="518"/>
        <v>69779</v>
      </c>
      <c r="HH293" s="14">
        <f t="shared" si="519"/>
        <v>84389</v>
      </c>
      <c r="HI293" s="14">
        <f t="shared" si="520"/>
        <v>4534341</v>
      </c>
      <c r="HL293" s="14">
        <f t="shared" si="521"/>
        <v>430050</v>
      </c>
      <c r="HM293" s="50">
        <f t="shared" si="429"/>
        <v>8.6626939739436318E-2</v>
      </c>
      <c r="HO293" s="14">
        <f t="shared" si="522"/>
        <v>4964391</v>
      </c>
    </row>
    <row r="294" spans="11:223" x14ac:dyDescent="0.2">
      <c r="K294" s="14">
        <v>289</v>
      </c>
      <c r="L294" s="12">
        <f>求节点(节奏总纲!D$4:D$163,标准城池设计!AB$4:AB$163,$K294)*求节点(节奏总纲!D$4:D$163,攻城基础信息!$AC$5:$AC$164,$K294)</f>
        <v>771439.44723663549</v>
      </c>
      <c r="M294" s="12">
        <f>INDEX(其他调用!$AA$5:$AA$404,MATCH(K294,其他调用!$X$5:$X$404,0))*MIN(INDEX(其他调用!$AH$5:$AH$364,MATCH('征服点（新）'!K294,其他调用!$AG$5:$AG$364,0),1)/INDEX(其他调用!$AJ$5:$AJ$364,MATCH(K294,其他调用!$AG$5:$AG$364,0),0),5)*求节点(节奏总纲!D$4:D$163,攻城基础信息!$AC$5:$AC$164,$K294)</f>
        <v>53615.97059942592</v>
      </c>
      <c r="N294" s="12">
        <f>MIN(INDEX(其他调用!$AH$5:$AH$364,MATCH($K294,其他调用!$AG$5:$AG$364,0),1)/INDEX(其他调用!AH$5:AH$364,MATCH($K294,其他调用!$AG$5:$AG$364,0),0),1)*INDEX(其他调用!Y$5:Y$404,MATCH($K294,其他调用!$X$5:$X$404,0),0)</f>
        <v>42258.304630612598</v>
      </c>
      <c r="O294" s="12">
        <f>MIN(INDEX(其他调用!$AH$5:$AH$364,MATCH($K294,其他调用!$AG$5:$AG$364,0),1)/INDEX(其他调用!AI$5:AI$364,MATCH($K294,其他调用!$AG$5:$AG$364,0),0),1)*INDEX(其他调用!Z$5:Z$404,MATCH($K294,其他调用!$X$5:$X$404,0),0)</f>
        <v>25536.76437435978</v>
      </c>
      <c r="P294" s="12">
        <f>MIN(INDEX(其他调用!$AH$5:$AH$364,MATCH($K294,其他调用!$AG$5:$AG$364,0),1)/INDEX(其他调用!AJ$5:AJ$364,MATCH($K294,其他调用!$AG$5:$AG$364,0),0),1)*INDEX(其他调用!AA$5:AA$404,MATCH($K294,其他调用!$X$5:$X$404,0),0)</f>
        <v>15318.84874269313</v>
      </c>
      <c r="Q294" s="12">
        <f>MIN(INDEX(其他调用!$AH$5:$AH$364,MATCH($K294,其他调用!$AG$5:$AG$364,0),1)/INDEX(其他调用!AK$5:AK$364,MATCH($K294,其他调用!$AG$5:$AG$364,0),0),1)*INDEX(其他调用!AB$5:AB$404,MATCH($K294,其他调用!$X$5:$X$404,0),0)</f>
        <v>5693.308845707109</v>
      </c>
      <c r="R294" s="12">
        <f>MIN(INDEX(其他调用!$AH$5:$AH$364,MATCH($K294,其他调用!$AG$5:$AG$364,0),1)/INDEX(其他调用!AL$5:AL$364,MATCH($K294,其他调用!$AG$5:$AG$364,0),0),1)*INDEX(其他调用!AC$5:AC$404,MATCH($K294,其他调用!$X$5:$X$404,0),0)</f>
        <v>3291.765893664764</v>
      </c>
      <c r="S294" s="12">
        <f>求节点(节奏总纲!D$4:D$163,标准城池设计!AC$4:AC$163,$K294)*求节点(节奏总纲!D$4:D$163,攻城基础信息!$AD$5:$AD$164,$K294)</f>
        <v>844628.79237919068</v>
      </c>
      <c r="T294" s="12">
        <f>INDEX(其他调用!$AA$5:$AA$404,MATCH($K294,其他调用!$X$5:$X$404,0))*MIN(INDEX(其他调用!AI$5:AI$364,MATCH($K294,其他调用!$AG$5:$AG$364,0),1)/INDEX(其他调用!$AJ$5:$AJ$364,MATCH($K294,其他调用!$AG$5:$AG$364,0),0),5)*求节点(节奏总纲!D$4:D$163,攻城基础信息!$AD$5:$AD$164,$K294)</f>
        <v>91153.057934221128</v>
      </c>
      <c r="U294" s="12">
        <f>MIN(INDEX(其他调用!$AI$5:$AI$364,MATCH($K294,其他调用!$AG$5:$AG$364,0),1)/INDEX(其他调用!AH$5:AH$364,MATCH($K294,其他调用!$AG$5:$AG$364,0),0),1)*INDEX(其他调用!Y$5:Y$404,MATCH($K294,其他调用!$X$5:$X$404,0),0)</f>
        <v>42258.304630612598</v>
      </c>
      <c r="V294" s="12">
        <f>MIN(INDEX(其他调用!$AI$5:$AI$364,MATCH($K294,其他调用!$AG$5:$AG$364,0),1)/INDEX(其他调用!AI$5:AI$364,MATCH($K294,其他调用!$AG$5:$AG$364,0),0),1)*INDEX(其他调用!Z$5:Z$404,MATCH($K294,其他调用!$X$5:$X$404,0),0)</f>
        <v>43415.313318854569</v>
      </c>
      <c r="W294" s="12">
        <f>MIN(INDEX(其他调用!$AI$5:$AI$364,MATCH($K294,其他调用!$AG$5:$AG$364,0),1)/INDEX(其他调用!AJ$5:AJ$364,MATCH($K294,其他调用!$AG$5:$AG$364,0),0),1)*INDEX(其他调用!AA$5:AA$404,MATCH($K294,其他调用!$X$5:$X$404,0),0)</f>
        <v>26043.730838348911</v>
      </c>
      <c r="X294" s="12">
        <f>MIN(INDEX(其他调用!$AI$5:$AI$364,MATCH($K294,其他调用!$AG$5:$AG$364,0),1)/INDEX(其他调用!AK$5:AK$364,MATCH($K294,其他调用!$AG$5:$AG$364,0),0),1)*INDEX(其他调用!AB$5:AB$404,MATCH($K294,其他调用!$X$5:$X$404,0),0)</f>
        <v>9679.2523803665026</v>
      </c>
      <c r="Y294" s="12">
        <f>MIN(INDEX(其他调用!$AI$5:$AI$364,MATCH($K294,其他调用!$AG$5:$AG$364,0),1)/INDEX(其他调用!AL$5:AL$364,MATCH($K294,其他调用!$AG$5:$AG$364,0),0),1)*INDEX(其他调用!AC$5:AC$404,MATCH($K294,其他调用!$X$5:$X$404,0),0)</f>
        <v>5596.3647371578154</v>
      </c>
      <c r="Z294" s="12">
        <f>求节点(节奏总纲!D$4:D$163,标准城池设计!AD$4:AD$163,$K294)*求节点(节奏总纲!D$4:D$163,攻城基础信息!$AE$5:$AE$164,$K294)</f>
        <v>922339.65423008765</v>
      </c>
      <c r="AA294" s="12">
        <f>INDEX(其他调用!$AA$5:$AA$404,MATCH($K294,其他调用!$X$5:$X$404,0))*MIN(INDEX(其他调用!AJ$5:AJ$364,MATCH($K294,其他调用!$AG$5:$AG$364,0),1)/INDEX(其他调用!$AJ$5:$AJ$364,MATCH($K294,其他调用!$AG$5:$AG$364,0),0),5)*求节点(节奏总纲!D$4:D$163,攻城基础信息!$AE$5:$AE$164,$K294)</f>
        <v>157278.67323918751</v>
      </c>
      <c r="AB294" s="12">
        <f>MIN(INDEX(其他调用!$AJ$5:$AJ$364,MATCH($K294,其他调用!$AG$5:$AG$364,0),1)/INDEX(其他调用!AH$5:AH$364,MATCH($K294,其他调用!$AG$5:$AG$364,0),0),1)*INDEX(其他调用!Y$5:Y$404,MATCH($K294,其他调用!$X$5:$X$404,0),0)</f>
        <v>42258.304630612598</v>
      </c>
      <c r="AC294" s="12">
        <f>MIN(INDEX(其他调用!$AJ$5:$AJ$364,MATCH($K294,其他调用!$AG$5:$AG$364,0),1)/INDEX(其他调用!AI$5:AI$364,MATCH($K294,其他调用!$AG$5:$AG$364,0),0),1)*INDEX(其他调用!Z$5:Z$404,MATCH($K294,其他调用!$X$5:$X$404,0),0)</f>
        <v>43415.313318854569</v>
      </c>
      <c r="AD294" s="12">
        <f>MIN(INDEX(其他调用!$AJ$5:$AJ$364,MATCH($K294,其他调用!$AG$5:$AG$364,0),1)/INDEX(其他调用!AJ$5:AJ$364,MATCH($K294,其他调用!$AG$5:$AG$364,0),0),1)*INDEX(其他调用!AA$5:AA$404,MATCH($K294,其他调用!$X$5:$X$404,0),0)</f>
        <v>44936.763782625036</v>
      </c>
      <c r="AE294" s="12">
        <f>MIN(INDEX(其他调用!$AJ$5:$AJ$364,MATCH($K294,其他调用!$AG$5:$AG$364,0),1)/INDEX(其他调用!AK$5:AK$364,MATCH($K294,其他调用!$AG$5:$AG$364,0),0),1)*INDEX(其他调用!AB$5:AB$404,MATCH($K294,其他调用!$X$5:$X$404,0),0)</f>
        <v>16700.920482885598</v>
      </c>
      <c r="AF294" s="12">
        <f>MIN(INDEX(其他调用!$AJ$5:$AJ$364,MATCH($K294,其他调用!$AG$5:$AG$364,0),1)/INDEX(其他调用!AL$5:AL$364,MATCH($K294,其他调用!$AG$5:$AG$364,0),0),1)*INDEX(其他调用!AC$5:AC$404,MATCH($K294,其他调用!$X$5:$X$404,0),0)</f>
        <v>9656.1633890321846</v>
      </c>
      <c r="AG294" s="12">
        <f>求节点(节奏总纲!D$4:D$163,标准城池设计!AE$4:AE$163,$K294)*求节点(节奏总纲!D$4:D$163,攻城基础信息!$AF$5:$AF$164,$K294)</f>
        <v>1114804.3002715257</v>
      </c>
      <c r="AH294" s="12">
        <f>INDEX(其他调用!$AA$5:$AA$404,MATCH($K294,其他调用!$X$5:$X$404,0))*MIN(INDEX(其他调用!AK$5:AK$364,MATCH($K294,其他调用!$AG$5:$AG$364,0),1)/INDEX(其他调用!$AJ$5:$AJ$364,MATCH($K294,其他调用!$AG$5:$AG$364,0),0),5)*求节点(节奏总纲!D$4:D$163,攻城基础信息!$AF$5:$AF$164,$K294)</f>
        <v>444407.50644982082</v>
      </c>
      <c r="AI294" s="12">
        <f>MIN(INDEX(其他调用!$AK$5:$AK$364,MATCH($K294,其他调用!$AG$5:$AG$364,0),1)/INDEX(其他调用!AH$5:AH$364,MATCH($K294,其他调用!$AG$5:$AG$364,0),0),1)*INDEX(其他调用!Y$5:Y$404,MATCH($K294,其他调用!$X$5:$X$404,0),0)</f>
        <v>42258.304630612598</v>
      </c>
      <c r="AJ294" s="12">
        <f>MIN(INDEX(其他调用!$AK$5:$AK$364,MATCH($K294,其他调用!$AG$5:$AG$364,0),1)/INDEX(其他调用!AI$5:AI$364,MATCH($K294,其他调用!$AG$5:$AG$364,0),0),1)*INDEX(其他调用!Z$5:Z$404,MATCH($K294,其他调用!$X$5:$X$404,0),0)</f>
        <v>43415.313318854569</v>
      </c>
      <c r="AK294" s="12">
        <f>MIN(INDEX(其他调用!$AK$5:$AK$364,MATCH($K294,其他调用!$AG$5:$AG$364,0),1)/INDEX(其他调用!AJ$5:AJ$364,MATCH($K294,其他调用!$AG$5:$AG$364,0),0),1)*INDEX(其他调用!AA$5:AA$404,MATCH($K294,其他调用!$X$5:$X$404,0),0)</f>
        <v>44936.763782625036</v>
      </c>
      <c r="AL294" s="12">
        <f>MIN(INDEX(其他调用!$AK$5:$AK$364,MATCH($K294,其他调用!$AG$5:$AG$364,0),1)/INDEX(其他调用!AK$5:AK$364,MATCH($K294,其他调用!$AG$5:$AG$364,0),0),1)*INDEX(其他调用!AB$5:AB$404,MATCH($K294,其他调用!$X$5:$X$404,0),0)</f>
        <v>47190.215140794171</v>
      </c>
      <c r="AM294" s="12">
        <f>MIN(INDEX(其他调用!$AK$5:$AK$364,MATCH($K294,其他调用!$AG$5:$AG$364,0),1)/INDEX(其他调用!AL$5:AL$364,MATCH($K294,其他调用!$AG$5:$AG$364,0),0),1)*INDEX(其他调用!AC$5:AC$404,MATCH($K294,其他调用!$X$5:$X$404,0),0)</f>
        <v>27284.509750827627</v>
      </c>
      <c r="AN294" s="12">
        <f>求节点(节奏总纲!D$4:D$163,标准城池设计!AF$4:AF$163,$K294)*求节点(节奏总纲!D$4:D$163,攻城基础信息!$AG$5:$AG$164,$K294)</f>
        <v>1166057.1466014001</v>
      </c>
      <c r="AO294" s="12">
        <f>INDEX(其他调用!$AA$5:$AA$404,MATCH($K294,其他调用!$X$5:$X$404,0))*MIN(INDEX(其他调用!AL$5:AL$364,MATCH($K294,其他调用!$AG$5:$AG$364,0),1)/INDEX(其他调用!$AJ$5:$AJ$364,MATCH($K294,其他调用!$AG$5:$AG$364,0),0),5)*求节点(节奏总纲!D$4:D$163,攻城基础信息!$AG$5:$AG$164,$K294)</f>
        <v>786393.36619593762</v>
      </c>
      <c r="AP294" s="12">
        <f>MIN(INDEX(其他调用!$AL$5:$AL$364,MATCH($K294,其他调用!$AG$5:$AG$364,0),1)/INDEX(其他调用!AH$5:AH$364,MATCH($K294,其他调用!$AG$5:$AG$364,0),0),1)*INDEX(其他调用!Y$5:Y$404,MATCH($K294,其他调用!$X$5:$X$404,0),0)</f>
        <v>42258.304630612598</v>
      </c>
      <c r="AQ294" s="12">
        <f>MIN(INDEX(其他调用!$AL$5:$AL$364,MATCH($K294,其他调用!$AG$5:$AG$364,0),1)/INDEX(其他调用!AI$5:AI$364,MATCH($K294,其他调用!$AG$5:$AG$364,0),0),1)*INDEX(其他调用!Z$5:Z$404,MATCH($K294,其他调用!$X$5:$X$404,0),0)</f>
        <v>43415.313318854569</v>
      </c>
      <c r="AR294" s="12">
        <f>MIN(INDEX(其他调用!$AL$5:$AL$364,MATCH($K294,其他调用!$AG$5:$AG$364,0),1)/INDEX(其他调用!AJ$5:AJ$364,MATCH($K294,其他调用!$AG$5:$AG$364,0),0),1)*INDEX(其他调用!AA$5:AA$404,MATCH($K294,其他调用!$X$5:$X$404,0),0)</f>
        <v>44936.763782625036</v>
      </c>
      <c r="AS294" s="12">
        <f>MIN(INDEX(其他调用!$AL$5:$AL$364,MATCH($K294,其他调用!$AG$5:$AG$364,0),1)/INDEX(其他调用!AK$5:AK$364,MATCH($K294,其他调用!$AG$5:$AG$364,0),0),1)*INDEX(其他调用!AB$5:AB$404,MATCH($K294,其他调用!$X$5:$X$404,0),0)</f>
        <v>47190.215140794171</v>
      </c>
      <c r="AT294" s="12">
        <f>MIN(INDEX(其他调用!$AL$5:$AL$364,MATCH($K294,其他调用!$AG$5:$AG$364,0),1)/INDEX(其他调用!AL$5:AL$364,MATCH($K294,其他调用!$AG$5:$AG$364,0),0),1)*INDEX(其他调用!AC$5:AC$404,MATCH($K294,其他调用!$X$5:$X$404,0),0)</f>
        <v>51086.159665543164</v>
      </c>
      <c r="AV294" s="14">
        <f>IF(OR(AV$5="大R",AV$5="超R"),MAX(INDEX(其他调用!$H$5:$L$404,MATCH($K294,其他调用!$B$5:$B$404,0),MATCH(AV$5,其他调用!$H$4:$L$4,0))*120*0.85,2),INDEX(其他调用!$H$5:$L$404,MATCH($K294,其他调用!$B$5:$B$404,0),MATCH(AV$5,其他调用!$H$4:$L$4,0))*120*0.85)</f>
        <v>48.921801254999991</v>
      </c>
      <c r="AW294" s="14">
        <f>IF(OR(AW$5="大R",AW$5="超R"),MAX(INDEX(其他调用!$H$5:$L$404,MATCH($K294,其他调用!$B$5:$B$404,0),MATCH(AW$5,其他调用!$H$4:$L$4,0))*120*0.85,2),INDEX(其他调用!$H$5:$L$404,MATCH($K294,其他调用!$B$5:$B$404,0),MATCH(AW$5,其他调用!$H$4:$L$4,0))*120*0.85)</f>
        <v>48.237344010638395</v>
      </c>
      <c r="AX294" s="14">
        <f>IF(OR(AX$5="大R",AX$5="超R"),MAX(INDEX(其他调用!$H$5:$L$404,MATCH($K294,其他调用!$B$5:$B$404,0),MATCH(AX$5,其他调用!$H$4:$L$4,0))*120*0.85,2),INDEX(其他调用!$H$5:$L$404,MATCH($K294,其他调用!$B$5:$B$404,0),MATCH(AX$5,其他调用!$H$4:$L$4,0))*120*0.85)</f>
        <v>3.9376284143615998</v>
      </c>
      <c r="AY294" s="14">
        <f>IF(OR(AY$5="大R",AY$5="超R"),MAX(INDEX(其他调用!$H$5:$L$404,MATCH($K294,其他调用!$B$5:$B$404,0),MATCH(AY$5,其他调用!$H$4:$L$4,0))*120*0.85,2),INDEX(其他调用!$H$5:$L$404,MATCH($K294,其他调用!$B$5:$B$404,0),MATCH(AY$5,其他调用!$H$4:$L$4,0))*120*0.85)</f>
        <v>2</v>
      </c>
      <c r="AZ294" s="14">
        <f>IF(OR(AZ$5="大R",AZ$5="超R"),MAX(INDEX(其他调用!$H$5:$L$404,MATCH($K294,其他调用!$B$5:$B$404,0),MATCH(AZ$5,其他调用!$H$4:$L$4,0))*120*0.85,2),INDEX(其他调用!$H$5:$L$404,MATCH($K294,其他调用!$B$5:$B$404,0),MATCH(AZ$5,其他调用!$H$4:$L$4,0))*120*0.85)</f>
        <v>2</v>
      </c>
      <c r="BA294" s="14">
        <f>INDEX(其他调用!$H$5:$L$404,MATCH($K294,其他调用!$B$5:$B$404,0),MATCH(BA$5,其他调用!$H$4:$L$4,0))*INDEX(其他调用!$M$5:$M$404,MATCH($K294,其他调用!$B$5:$B$404,0))*0.6</f>
        <v>28.777530149999997</v>
      </c>
      <c r="BB294" s="14">
        <f>INDEX(其他调用!$H$5:$L$404,MATCH($K294,其他调用!$B$5:$B$404,0),MATCH(BB$5,其他调用!$H$4:$L$4,0))*INDEX(其他调用!$M$5:$M$404,MATCH($K294,其他调用!$B$5:$B$404,0))*0.6</f>
        <v>28.374908241551999</v>
      </c>
      <c r="BC294" s="14">
        <f>INDEX(其他调用!$H$5:$L$404,MATCH($K294,其他调用!$B$5:$B$404,0),MATCH(BC$5,其他调用!$H$4:$L$4,0))*INDEX(其他调用!$M$5:$M$404,MATCH($K294,其他调用!$B$5:$B$404,0))*0.6</f>
        <v>2.3162520084480001</v>
      </c>
      <c r="BD294" s="14">
        <f>INDEX(其他调用!$H$5:$L$404,MATCH($K294,其他调用!$B$5:$B$404,0),MATCH(BD$5,其他调用!$H$4:$L$4,0))*INDEX(其他调用!$M$5:$M$404,MATCH($K294,其他调用!$B$5:$B$404,0))*0.6</f>
        <v>0.4120776000000001</v>
      </c>
      <c r="BE294" s="14">
        <f>INDEX(其他调用!$H$5:$L$404,MATCH($K294,其他调用!$B$5:$B$404,0),MATCH(BE$5,其他调用!$H$4:$L$4,0))*INDEX(其他调用!$M$5:$M$404,MATCH($K294,其他调用!$B$5:$B$404,0))*0.6</f>
        <v>0.11923199999999998</v>
      </c>
      <c r="BF294" s="14">
        <f>IF(OR(BF$5="大R",BF$5="超R"),0,INDEX(其他调用!$H$5:$L$404,MATCH($K294,其他调用!$B$5:$B$404,0),MATCH(BF$5,其他调用!$H$4:$L$4,0))*50*0.4)</f>
        <v>9.5925100500000013</v>
      </c>
      <c r="BG294" s="14">
        <f>IF(OR(BG$5="大R",BG$5="超R"),0,INDEX(其他调用!$H$5:$L$404,MATCH($K294,其他调用!$B$5:$B$404,0),MATCH(BG$5,其他调用!$H$4:$L$4,0))*50*0.4)</f>
        <v>9.4583027471839998</v>
      </c>
      <c r="BH294" s="14">
        <f>IF(OR(BH$5="大R",BH$5="超R"),0,INDEX(其他调用!$H$5:$L$404,MATCH($K294,其他调用!$B$5:$B$404,0),MATCH(BH$5,其他调用!$H$4:$L$4,0))*50*0.4)</f>
        <v>0.77208400281600009</v>
      </c>
      <c r="BI294" s="14">
        <f>IF(OR(BI$5="大R",BI$5="超R"),0,INDEX(其他调用!$H$5:$L$404,MATCH($K294,其他调用!$B$5:$B$404,0),MATCH(BI$5,其他调用!$H$4:$L$4,0))*50*0.4)</f>
        <v>0</v>
      </c>
      <c r="BJ294" s="14">
        <f>IF(OR(BJ$5="大R",BJ$5="超R"),0,INDEX(其他调用!$H$5:$L$404,MATCH($K294,其他调用!$B$5:$B$404,0),MATCH(BJ$5,其他调用!$H$4:$L$4,0))*50*0.4)</f>
        <v>0</v>
      </c>
      <c r="BL294" s="14">
        <f t="shared" si="523"/>
        <v>289</v>
      </c>
      <c r="BM294" s="14">
        <f t="shared" si="430"/>
        <v>96</v>
      </c>
      <c r="BN294" s="14">
        <f>('疲劳值&amp;地图信息'!$S$10*'疲劳值&amp;地图信息'!$R$10+'疲劳值&amp;地图信息'!$S$11*'疲劳值&amp;地图信息'!$R$11+'疲劳值&amp;地图信息'!$S$12*'疲劳值&amp;地图信息'!$R$12+(BM294-'疲劳值&amp;地图信息'!$S$12-'疲劳值&amp;地图信息'!$S$11-'疲劳值&amp;地图信息'!$S$10)*'疲劳值&amp;地图信息'!$R$13)/BM294</f>
        <v>51.371477246638619</v>
      </c>
      <c r="BO294" s="14">
        <f>INDEX(其他调用!$M$5:$M$404,MATCH(BL294,其他调用!$B$5:$B$404,0))*0.6</f>
        <v>60</v>
      </c>
      <c r="BP294" s="14">
        <f>IF(BO294&gt;SUM('疲劳值&amp;地图信息'!$S$10:$S$12),('疲劳值&amp;地图信息'!$S$10*'疲劳值&amp;地图信息'!$R$10+'疲劳值&amp;地图信息'!$S$11*'疲劳值&amp;地图信息'!$R$11+'疲劳值&amp;地图信息'!$S$12*'疲劳值&amp;地图信息'!$R$12+(BO294-'疲劳值&amp;地图信息'!$S$12-'疲劳值&amp;地图信息'!$S$11-'疲劳值&amp;地图信息'!$S$10)*'疲劳值&amp;地图信息'!$R$13)/BO294,('疲劳值&amp;地图信息'!$S$10*'疲劳值&amp;地图信息'!$R$10+'疲劳值&amp;地图信息'!$S$11*'疲劳值&amp;地图信息'!$R$11+'疲劳值&amp;地图信息'!$S$12*'疲劳值&amp;地图信息'!$R$12+(BO294-'疲劳值&amp;地图信息'!$S$12-'疲劳值&amp;地图信息'!$S$11-'疲劳值&amp;地图信息'!$S$10)*'疲劳值&amp;地图信息'!$R$13)/BO294)</f>
        <v>44.158136341605953</v>
      </c>
      <c r="BQ294" s="14">
        <f t="shared" si="524"/>
        <v>20</v>
      </c>
      <c r="BR294" s="14">
        <f>('疲劳值&amp;地图信息'!$S$10*'疲劳值&amp;地图信息'!$R$10+($BQ294-'疲劳值&amp;地图信息'!$S$10)*'疲劳值&amp;地图信息'!$R$11)/$BQ294</f>
        <v>32.067203015074995</v>
      </c>
      <c r="CF294" s="14">
        <v>289</v>
      </c>
      <c r="CG294" s="51">
        <f t="shared" si="431"/>
        <v>15722</v>
      </c>
      <c r="CH294" s="51">
        <f t="shared" si="432"/>
        <v>1092</v>
      </c>
      <c r="CI294" s="51">
        <f>INT(SUMPRODUCT($N294:$R294,$BA294:$BE294)/SUM($BA294:$BE294)/10000*$BX$7*$BZ$34/'疲劳值&amp;地图信息'!$R$10*$BY$53)</f>
        <v>3346</v>
      </c>
      <c r="CJ294" s="50">
        <f t="shared" si="433"/>
        <v>0.77986111111111112</v>
      </c>
      <c r="CK294" s="50">
        <f t="shared" si="434"/>
        <v>5.4166666666666669E-2</v>
      </c>
      <c r="CL294" s="50">
        <f t="shared" si="435"/>
        <v>0.16597222222222222</v>
      </c>
      <c r="CM294" s="14">
        <f t="shared" si="436"/>
        <v>17214</v>
      </c>
      <c r="CN294" s="14">
        <f t="shared" si="437"/>
        <v>1857</v>
      </c>
      <c r="CO294" s="14">
        <f>INT(SUMPRODUCT($U294:$Y294,$BA294:$BE294)/SUM($BA294:$BE294)/10000*$BX$7*$BZ$34/'疲劳值&amp;地图信息'!$R$10*$BY$54)</f>
        <v>6374</v>
      </c>
      <c r="CP294" s="50">
        <f t="shared" si="438"/>
        <v>0.67651797995676954</v>
      </c>
      <c r="CQ294" s="50">
        <f t="shared" si="439"/>
        <v>7.2980939280801724E-2</v>
      </c>
      <c r="CR294" s="50">
        <f t="shared" si="440"/>
        <v>0.25050108076242877</v>
      </c>
      <c r="CS294" s="14">
        <f t="shared" si="441"/>
        <v>18798</v>
      </c>
      <c r="CT294" s="14">
        <f t="shared" si="442"/>
        <v>3205</v>
      </c>
      <c r="CU294" s="14">
        <f>INT(SUMPRODUCT($AB294:$AF294,$BA294:$BE294)/SUM($BA294:$BE294)/10000*$BX$7*$BZ$34/'疲劳值&amp;地图信息'!$R$10*$BY$55)</f>
        <v>8658</v>
      </c>
      <c r="CV294" s="50">
        <f t="shared" si="443"/>
        <v>0.61309154952545575</v>
      </c>
      <c r="CW294" s="50">
        <f t="shared" si="444"/>
        <v>0.10453018492547536</v>
      </c>
      <c r="CX294" s="50">
        <f t="shared" si="445"/>
        <v>0.28237826554906886</v>
      </c>
      <c r="CY294" s="14">
        <f t="shared" si="446"/>
        <v>22721</v>
      </c>
      <c r="CZ294" s="14">
        <f t="shared" si="447"/>
        <v>9057</v>
      </c>
      <c r="DA294" s="14">
        <f>INT(SUMPRODUCT($AI294:$AM294,$BA294:$BE294)/SUM($BA294:$BE294)/10000*$BX$7*$BZ$34/'疲劳值&amp;地图信息'!$R$10*$BY$56)</f>
        <v>13062</v>
      </c>
      <c r="DB294" s="50">
        <f t="shared" si="448"/>
        <v>0.50671275646743974</v>
      </c>
      <c r="DC294" s="50">
        <f t="shared" si="449"/>
        <v>0.20198483496877787</v>
      </c>
      <c r="DD294" s="50">
        <f t="shared" si="450"/>
        <v>0.29130240856378231</v>
      </c>
      <c r="DE294" s="14">
        <f t="shared" si="451"/>
        <v>23765</v>
      </c>
      <c r="DF294" s="14">
        <f t="shared" si="452"/>
        <v>16027</v>
      </c>
      <c r="DG294" s="14">
        <f>INT(SUMPRODUCT($AP294:$AT294,$BA294:$BE294)/SUM($BA294:$BE294)/10000*$BX$7*$BZ$34/'疲劳值&amp;地图信息'!$R$10*$BY$57)</f>
        <v>17436</v>
      </c>
      <c r="DH294" s="50">
        <f t="shared" si="453"/>
        <v>0.41526874956315091</v>
      </c>
      <c r="DI294" s="50">
        <f t="shared" si="454"/>
        <v>0.28005521772558889</v>
      </c>
      <c r="DJ294" s="50">
        <f t="shared" si="455"/>
        <v>0.3046760327112602</v>
      </c>
      <c r="DL294" s="14">
        <f t="shared" si="526"/>
        <v>20160</v>
      </c>
      <c r="DM294" s="14">
        <f t="shared" si="527"/>
        <v>25445</v>
      </c>
      <c r="DN294" s="14">
        <f t="shared" si="528"/>
        <v>30661</v>
      </c>
      <c r="DO294" s="14">
        <f t="shared" si="529"/>
        <v>44840</v>
      </c>
      <c r="DP294" s="14">
        <f t="shared" si="530"/>
        <v>57228</v>
      </c>
      <c r="DQ294" s="14">
        <f t="shared" si="531"/>
        <v>1398474</v>
      </c>
      <c r="DT294" s="14">
        <f t="shared" si="525"/>
        <v>235575</v>
      </c>
      <c r="DU294" s="50">
        <f t="shared" si="427"/>
        <v>0.14416642340590766</v>
      </c>
      <c r="DW294" s="14">
        <f t="shared" si="456"/>
        <v>1634049</v>
      </c>
      <c r="EB294" s="14">
        <v>289</v>
      </c>
      <c r="EC294" s="51">
        <f t="shared" si="457"/>
        <v>26204</v>
      </c>
      <c r="ED294" s="51">
        <f t="shared" si="458"/>
        <v>1821</v>
      </c>
      <c r="EE294" s="51">
        <f>INT(SUMPRODUCT($N294:$R294,$BF294:$BJ294)/SUM($BF294:$BJ294)/10000*$BX$7*$BZ$46/'疲劳值&amp;地图信息'!$R$10*$BY$53)</f>
        <v>449</v>
      </c>
      <c r="EF294" s="50">
        <f t="shared" si="459"/>
        <v>0.92027814848633838</v>
      </c>
      <c r="EG294" s="50">
        <f t="shared" si="460"/>
        <v>6.3953080002809581E-2</v>
      </c>
      <c r="EH294" s="50">
        <f t="shared" si="461"/>
        <v>1.5768771510852004E-2</v>
      </c>
      <c r="EI294" s="51">
        <f t="shared" si="462"/>
        <v>28691</v>
      </c>
      <c r="EJ294" s="51">
        <f t="shared" si="463"/>
        <v>3096</v>
      </c>
      <c r="EK294" s="14">
        <f>INT(SUMPRODUCT($U294:$Y294,$BF294:$BJ294)/SUM($BF294:$BJ294)/10000*$BX$7*$BZ$46/'疲劳值&amp;地图信息'!$R$10*$BY$54)</f>
        <v>855</v>
      </c>
      <c r="EL294" s="50">
        <f t="shared" si="464"/>
        <v>0.87895962257214633</v>
      </c>
      <c r="EM294" s="50">
        <f t="shared" si="465"/>
        <v>9.4847129465106303E-2</v>
      </c>
      <c r="EN294" s="50">
        <f t="shared" si="466"/>
        <v>2.6193247962747381E-2</v>
      </c>
      <c r="EO294" s="51">
        <f t="shared" si="467"/>
        <v>31330</v>
      </c>
      <c r="EP294" s="51">
        <f t="shared" si="468"/>
        <v>5342</v>
      </c>
      <c r="EQ294" s="14">
        <f>INT(SUMPRODUCT($AB294:$AF294,$BF294:$BJ294)/SUM($BF294:$BJ294)/10000*$BX$7*$BZ$46/'疲劳值&amp;地图信息'!$R$10*$BY$55)</f>
        <v>1161</v>
      </c>
      <c r="ER294" s="50">
        <f t="shared" si="469"/>
        <v>0.82811302302222922</v>
      </c>
      <c r="ES294" s="50">
        <f t="shared" si="470"/>
        <v>0.14119948193376153</v>
      </c>
      <c r="ET294" s="50">
        <f t="shared" si="471"/>
        <v>3.0687495044009198E-2</v>
      </c>
      <c r="EU294" s="51">
        <f t="shared" si="472"/>
        <v>37868</v>
      </c>
      <c r="EV294" s="51">
        <f t="shared" si="473"/>
        <v>15096</v>
      </c>
      <c r="EW294" s="14">
        <f>INT(SUMPRODUCT($AI294:$AM294,$BF294:$BJ294)/SUM($BF294:$BJ294)/10000*$BX$7*$BZ$46/'疲劳值&amp;地图信息'!$R$10*$BY$56)</f>
        <v>1741</v>
      </c>
      <c r="EX294" s="50">
        <f t="shared" si="474"/>
        <v>0.69222191755781004</v>
      </c>
      <c r="EY294" s="50">
        <f t="shared" si="475"/>
        <v>0.27595283794899916</v>
      </c>
      <c r="EZ294" s="50">
        <f t="shared" si="476"/>
        <v>3.1825244493190748E-2</v>
      </c>
      <c r="FA294" s="51">
        <f t="shared" si="477"/>
        <v>39609</v>
      </c>
      <c r="FB294" s="51">
        <f t="shared" si="478"/>
        <v>26712</v>
      </c>
      <c r="FC294" s="14">
        <f>INT(SUMPRODUCT($AP294:$AT294,$BF294:$BJ294)/SUM($BF294:$BJ294)/10000*$BX$7*$BZ$46/'疲劳值&amp;地图信息'!$R$10*$BY$57)</f>
        <v>2322</v>
      </c>
      <c r="FD294" s="50">
        <f t="shared" si="479"/>
        <v>0.57702897600629344</v>
      </c>
      <c r="FE294" s="50">
        <f t="shared" si="480"/>
        <v>0.38914383112626194</v>
      </c>
      <c r="FF294" s="50">
        <f t="shared" si="481"/>
        <v>3.3827192867444601E-2</v>
      </c>
      <c r="FH294" s="14">
        <f t="shared" si="482"/>
        <v>28474</v>
      </c>
      <c r="FI294" s="14">
        <f t="shared" si="483"/>
        <v>32642</v>
      </c>
      <c r="FJ294" s="14">
        <f t="shared" si="484"/>
        <v>37833</v>
      </c>
      <c r="FK294" s="14">
        <f t="shared" si="485"/>
        <v>54705</v>
      </c>
      <c r="FL294" s="14">
        <f t="shared" si="486"/>
        <v>68643</v>
      </c>
      <c r="FM294" s="14">
        <f t="shared" si="487"/>
        <v>3363231</v>
      </c>
      <c r="FP294" s="14">
        <f t="shared" si="488"/>
        <v>334150</v>
      </c>
      <c r="FQ294" s="50">
        <f t="shared" si="428"/>
        <v>9.0374781500743365E-2</v>
      </c>
      <c r="FS294" s="14">
        <f t="shared" si="489"/>
        <v>3697381</v>
      </c>
      <c r="FX294" s="14">
        <v>289</v>
      </c>
      <c r="FY294" s="51">
        <f t="shared" si="490"/>
        <v>36686</v>
      </c>
      <c r="FZ294" s="51">
        <f t="shared" si="491"/>
        <v>1821</v>
      </c>
      <c r="GA294" s="51">
        <f>INT(SUMPRODUCT($N294:$R294,$BF294:$BJ294)/SUM($BF294:$BJ294)/10000*$BX$7*$BZ$46/'疲劳值&amp;地图信息'!$R$10*$BY$53)</f>
        <v>449</v>
      </c>
      <c r="GB294" s="50">
        <f t="shared" si="492"/>
        <v>0.94172913030085226</v>
      </c>
      <c r="GC294" s="50">
        <f t="shared" si="493"/>
        <v>4.6745045692576238E-2</v>
      </c>
      <c r="GD294" s="50">
        <f t="shared" si="494"/>
        <v>1.1525824006571516E-2</v>
      </c>
      <c r="GE294" s="51">
        <f t="shared" si="495"/>
        <v>40167</v>
      </c>
      <c r="GF294" s="51">
        <f t="shared" si="496"/>
        <v>3096</v>
      </c>
      <c r="GG294" s="14">
        <f>INT(SUMPRODUCT($U294:$Y294,$BF294:$BJ294)/SUM($BF294:$BJ294)/10000*$BX$7*$BZ$46/'疲劳值&amp;地图信息'!$R$10*$BY$54)</f>
        <v>855</v>
      </c>
      <c r="GH294" s="50">
        <f t="shared" si="497"/>
        <v>0.91044471644226843</v>
      </c>
      <c r="GI294" s="50">
        <f t="shared" si="498"/>
        <v>7.0175438596491224E-2</v>
      </c>
      <c r="GJ294" s="50">
        <f t="shared" si="499"/>
        <v>1.937984496124031E-2</v>
      </c>
      <c r="GK294" s="51">
        <f t="shared" si="500"/>
        <v>43863</v>
      </c>
      <c r="GL294" s="51">
        <f t="shared" si="501"/>
        <v>5342</v>
      </c>
      <c r="GM294" s="14">
        <f>INT(SUMPRODUCT($AB294:$AF294,$BF294:$BJ294)/SUM($BF294:$BJ294)/10000*$BX$7*$BZ$46/'疲劳值&amp;地图信息'!$R$10*$BY$55)</f>
        <v>1161</v>
      </c>
      <c r="GN294" s="50">
        <f t="shared" si="502"/>
        <v>0.87088512091490289</v>
      </c>
      <c r="GO294" s="50">
        <f t="shared" si="503"/>
        <v>0.10606361434300918</v>
      </c>
      <c r="GP294" s="50">
        <f t="shared" si="504"/>
        <v>2.3051264742087917E-2</v>
      </c>
      <c r="GQ294" s="51">
        <f t="shared" si="505"/>
        <v>53016</v>
      </c>
      <c r="GR294" s="51">
        <f t="shared" si="506"/>
        <v>15096</v>
      </c>
      <c r="GS294" s="14">
        <f>INT(SUMPRODUCT($AI294:$AM294,$BF294:$BJ294)/SUM($BF294:$BJ294)/10000*$BX$7*$BZ$46/'疲劳值&amp;地图信息'!$R$10*$BY$56)</f>
        <v>1741</v>
      </c>
      <c r="GT294" s="50">
        <f t="shared" si="507"/>
        <v>0.75896525560820582</v>
      </c>
      <c r="GU294" s="50">
        <f t="shared" si="508"/>
        <v>0.2161109759065466</v>
      </c>
      <c r="GV294" s="50">
        <f t="shared" si="509"/>
        <v>2.4923768485247591E-2</v>
      </c>
      <c r="GW294" s="51">
        <f t="shared" si="510"/>
        <v>55453</v>
      </c>
      <c r="GX294" s="51">
        <f t="shared" si="511"/>
        <v>26712</v>
      </c>
      <c r="GY294" s="14">
        <f>INT(SUMPRODUCT($AP294:$AT294,$BF294:$BJ294)/SUM($BF294:$BJ294)/10000*$BX$7*$BZ$46/'疲劳值&amp;地图信息'!$R$10*$BY$57)</f>
        <v>2322</v>
      </c>
      <c r="GZ294" s="50">
        <f t="shared" si="512"/>
        <v>0.65634949755583705</v>
      </c>
      <c r="HA294" s="50">
        <f t="shared" si="513"/>
        <v>0.3161669842697693</v>
      </c>
      <c r="HB294" s="50">
        <f t="shared" si="514"/>
        <v>2.7483518174393692E-2</v>
      </c>
      <c r="HD294" s="14">
        <f t="shared" si="515"/>
        <v>38956</v>
      </c>
      <c r="HE294" s="14">
        <f t="shared" si="516"/>
        <v>44118</v>
      </c>
      <c r="HF294" s="14">
        <f t="shared" si="517"/>
        <v>50366</v>
      </c>
      <c r="HG294" s="14">
        <f t="shared" si="518"/>
        <v>69853</v>
      </c>
      <c r="HH294" s="14">
        <f t="shared" si="519"/>
        <v>84487</v>
      </c>
      <c r="HI294" s="14">
        <f t="shared" si="520"/>
        <v>4540935</v>
      </c>
      <c r="HL294" s="14">
        <f t="shared" si="521"/>
        <v>430050</v>
      </c>
      <c r="HM294" s="50">
        <f t="shared" si="429"/>
        <v>8.6512029306063082E-2</v>
      </c>
      <c r="HO294" s="14">
        <f t="shared" si="522"/>
        <v>4970985</v>
      </c>
    </row>
    <row r="295" spans="11:223" x14ac:dyDescent="0.2">
      <c r="K295" s="14">
        <v>290</v>
      </c>
      <c r="L295" s="12">
        <f>求节点(节奏总纲!D$4:D$163,标准城池设计!AB$4:AB$163,$K295)*求节点(节奏总纲!D$4:D$163,攻城基础信息!$AC$5:$AC$164,$K295)</f>
        <v>772599.66314018925</v>
      </c>
      <c r="M295" s="12">
        <f>INDEX(其他调用!$AA$5:$AA$404,MATCH(K295,其他调用!$X$5:$X$404,0))*MIN(INDEX(其他调用!$AH$5:$AH$364,MATCH('征服点（新）'!K295,其他调用!$AG$5:$AG$364,0),1)/INDEX(其他调用!$AJ$5:$AJ$364,MATCH(K295,其他调用!$AG$5:$AG$364,0),0),5)*求节点(节奏总纲!D$4:D$163,攻城基础信息!$AC$5:$AC$164,$K295)</f>
        <v>53611.996531107514</v>
      </c>
      <c r="N295" s="12">
        <f>MIN(INDEX(其他调用!$AH$5:$AH$364,MATCH($K295,其他调用!$AG$5:$AG$364,0),1)/INDEX(其他调用!AH$5:AH$364,MATCH($K295,其他调用!$AG$5:$AG$364,0),0),1)*INDEX(其他调用!Y$5:Y$404,MATCH($K295,其他调用!$X$5:$X$404,0),0)</f>
        <v>42278.615939000018</v>
      </c>
      <c r="O295" s="12">
        <f>MIN(INDEX(其他调用!$AH$5:$AH$364,MATCH($K295,其他调用!$AG$5:$AG$364,0),1)/INDEX(其他调用!AI$5:AI$364,MATCH($K295,其他调用!$AG$5:$AG$364,0),0),1)*INDEX(其他调用!Z$5:Z$404,MATCH($K295,其他调用!$X$5:$X$404,0),0)</f>
        <v>25547.930738453193</v>
      </c>
      <c r="P295" s="12">
        <f>MIN(INDEX(其他调用!$AH$5:$AH$364,MATCH($K295,其他调用!$AG$5:$AG$364,0),1)/INDEX(其他调用!AJ$5:AJ$364,MATCH($K295,其他调用!$AG$5:$AG$364,0),0),1)*INDEX(其他调用!AA$5:AA$404,MATCH($K295,其他调用!$X$5:$X$404,0),0)</f>
        <v>15317.713294602157</v>
      </c>
      <c r="Q295" s="12">
        <f>MIN(INDEX(其他调用!$AH$5:$AH$364,MATCH($K295,其他调用!$AG$5:$AG$364,0),1)/INDEX(其他调用!AK$5:AK$364,MATCH($K295,其他调用!$AG$5:$AG$364,0),0),1)*INDEX(其他调用!AB$5:AB$404,MATCH($K295,其他调用!$X$5:$X$404,0),0)</f>
        <v>5700.3178365776248</v>
      </c>
      <c r="R295" s="12">
        <f>MIN(INDEX(其他调用!$AH$5:$AH$364,MATCH($K295,其他调用!$AG$5:$AG$364,0),1)/INDEX(其他调用!AL$5:AL$364,MATCH($K295,其他调用!$AG$5:$AG$364,0),0),1)*INDEX(其他调用!AC$5:AC$404,MATCH($K295,其他调用!$X$5:$X$404,0),0)</f>
        <v>3300.6218271988878</v>
      </c>
      <c r="S295" s="12">
        <f>求节点(节奏总纲!D$4:D$163,标准城池设计!AC$4:AC$163,$K295)*求节点(节奏总纲!D$4:D$163,攻城基础信息!$AD$5:$AD$164,$K295)</f>
        <v>846051.53747625067</v>
      </c>
      <c r="T295" s="12">
        <f>INDEX(其他调用!$AA$5:$AA$404,MATCH($K295,其他调用!$X$5:$X$404,0))*MIN(INDEX(其他调用!AI$5:AI$364,MATCH($K295,其他调用!$AG$5:$AG$364,0),1)/INDEX(其他调用!$AJ$5:$AJ$364,MATCH($K295,其他调用!$AG$5:$AG$364,0),0),5)*求节点(节奏总纲!D$4:D$163,攻城基础信息!$AD$5:$AD$164,$K295)</f>
        <v>91149.552650059806</v>
      </c>
      <c r="U295" s="12">
        <f>MIN(INDEX(其他调用!$AI$5:$AI$364,MATCH($K295,其他调用!$AG$5:$AG$364,0),1)/INDEX(其他调用!AH$5:AH$364,MATCH($K295,其他调用!$AG$5:$AG$364,0),0),1)*INDEX(其他调用!Y$5:Y$404,MATCH($K295,其他调用!$X$5:$X$404,0),0)</f>
        <v>42278.615939000018</v>
      </c>
      <c r="V295" s="12">
        <f>MIN(INDEX(其他调用!$AI$5:$AI$364,MATCH($K295,其他调用!$AG$5:$AG$364,0),1)/INDEX(其他调用!AI$5:AI$364,MATCH($K295,其他调用!$AG$5:$AG$364,0),0),1)*INDEX(其他调用!Z$5:Z$404,MATCH($K295,其他调用!$X$5:$X$404,0),0)</f>
        <v>43435.846613053094</v>
      </c>
      <c r="W295" s="12">
        <f>MIN(INDEX(其他调用!$AI$5:$AI$364,MATCH($K295,其他调用!$AG$5:$AG$364,0),1)/INDEX(其他调用!AJ$5:AJ$364,MATCH($K295,其他调用!$AG$5:$AG$364,0),0),1)*INDEX(其他调用!AA$5:AA$404,MATCH($K295,其他调用!$X$5:$X$404,0),0)</f>
        <v>26042.729328588532</v>
      </c>
      <c r="X295" s="12">
        <f>MIN(INDEX(其他调用!$AI$5:$AI$364,MATCH($K295,其他调用!$AG$5:$AG$364,0),1)/INDEX(其他调用!AK$5:AK$364,MATCH($K295,其他调用!$AG$5:$AG$364,0),0),1)*INDEX(其他调用!AB$5:AB$404,MATCH($K295,其他调用!$X$5:$X$404,0),0)</f>
        <v>9691.5141085209962</v>
      </c>
      <c r="Y295" s="12">
        <f>MIN(INDEX(其他调用!$AI$5:$AI$364,MATCH($K295,其他调用!$AG$5:$AG$364,0),1)/INDEX(其他调用!AL$5:AL$364,MATCH($K295,其他调用!$AG$5:$AG$364,0),0),1)*INDEX(其他调用!AC$5:AC$404,MATCH($K295,其他调用!$X$5:$X$404,0),0)</f>
        <v>5611.6209520687789</v>
      </c>
      <c r="Z295" s="12">
        <f>求节点(节奏总纲!D$4:D$163,标准城池设计!AD$4:AD$163,$K295)*求节点(节奏总纲!D$4:D$163,攻城基础信息!$AE$5:$AE$164,$K295)</f>
        <v>923757.24494874279</v>
      </c>
      <c r="AA295" s="12">
        <f>INDEX(其他调用!$AA$5:$AA$404,MATCH($K295,其他调用!$X$5:$X$404,0))*MIN(INDEX(其他调用!AJ$5:AJ$364,MATCH($K295,其他调用!$AG$5:$AG$364,0),1)/INDEX(其他调用!$AJ$5:$AJ$364,MATCH($K295,其他调用!$AG$5:$AG$364,0),0),5)*求节点(节奏总纲!D$4:D$163,攻城基础信息!$AE$5:$AE$164,$K295)</f>
        <v>157349.74606976067</v>
      </c>
      <c r="AB295" s="12">
        <f>MIN(INDEX(其他调用!$AJ$5:$AJ$364,MATCH($K295,其他调用!$AG$5:$AG$364,0),1)/INDEX(其他调用!AH$5:AH$364,MATCH($K295,其他调用!$AG$5:$AG$364,0),0),1)*INDEX(其他调用!Y$5:Y$404,MATCH($K295,其他调用!$X$5:$X$404,0),0)</f>
        <v>42278.615939000018</v>
      </c>
      <c r="AC295" s="12">
        <f>MIN(INDEX(其他调用!$AJ$5:$AJ$364,MATCH($K295,其他调用!$AG$5:$AG$364,0),1)/INDEX(其他调用!AI$5:AI$364,MATCH($K295,其他调用!$AG$5:$AG$364,0),0),1)*INDEX(其他调用!Z$5:Z$404,MATCH($K295,其他调用!$X$5:$X$404,0),0)</f>
        <v>43435.846613053094</v>
      </c>
      <c r="AD295" s="12">
        <f>MIN(INDEX(其他调用!$AJ$5:$AJ$364,MATCH($K295,其他调用!$AG$5:$AG$364,0),1)/INDEX(其他调用!AJ$5:AJ$364,MATCH($K295,其他调用!$AG$5:$AG$364,0),0),1)*INDEX(其他调用!AA$5:AA$404,MATCH($K295,其他调用!$X$5:$X$404,0),0)</f>
        <v>44957.070305645939</v>
      </c>
      <c r="AE295" s="12">
        <f>MIN(INDEX(其他调用!$AJ$5:$AJ$364,MATCH($K295,其他调用!$AG$5:$AG$364,0),1)/INDEX(其他调用!AK$5:AK$364,MATCH($K295,其他调用!$AG$5:$AG$364,0),0),1)*INDEX(其他调用!AB$5:AB$404,MATCH($K295,其他调用!$X$5:$X$404,0),0)</f>
        <v>16730.277216629667</v>
      </c>
      <c r="AF295" s="12">
        <f>MIN(INDEX(其他调用!$AJ$5:$AJ$364,MATCH($K295,其他调用!$AG$5:$AG$364,0),1)/INDEX(其他调用!AL$5:AL$364,MATCH($K295,其他调用!$AG$5:$AG$364,0),0),1)*INDEX(其他调用!AC$5:AC$404,MATCH($K295,其他调用!$X$5:$X$404,0),0)</f>
        <v>9687.234947139279</v>
      </c>
      <c r="AG295" s="12">
        <f>求节点(节奏总纲!D$4:D$163,标准城池设计!AE$4:AE$163,$K295)*求节点(节奏总纲!D$4:D$163,攻城基础信息!$AF$5:$AF$164,$K295)</f>
        <v>1116592.808119636</v>
      </c>
      <c r="AH295" s="12">
        <f>INDEX(其他调用!$AA$5:$AA$404,MATCH($K295,其他调用!$X$5:$X$404,0))*MIN(INDEX(其他调用!AK$5:AK$364,MATCH($K295,其他调用!$AG$5:$AG$364,0),1)/INDEX(其他调用!$AJ$5:$AJ$364,MATCH($K295,其他调用!$AG$5:$AG$364,0),0),5)*求节点(节奏总纲!D$4:D$163,攻城基础信息!$AF$5:$AF$164,$K295)</f>
        <v>444018.14932430745</v>
      </c>
      <c r="AI295" s="12">
        <f>MIN(INDEX(其他调用!$AK$5:$AK$364,MATCH($K295,其他调用!$AG$5:$AG$364,0),1)/INDEX(其他调用!AH$5:AH$364,MATCH($K295,其他调用!$AG$5:$AG$364,0),0),1)*INDEX(其他调用!Y$5:Y$404,MATCH($K295,其他调用!$X$5:$X$404,0),0)</f>
        <v>42278.615939000018</v>
      </c>
      <c r="AJ295" s="12">
        <f>MIN(INDEX(其他调用!$AK$5:$AK$364,MATCH($K295,其他调用!$AG$5:$AG$364,0),1)/INDEX(其他调用!AI$5:AI$364,MATCH($K295,其他调用!$AG$5:$AG$364,0),0),1)*INDEX(其他调用!Z$5:Z$404,MATCH($K295,其他调用!$X$5:$X$404,0),0)</f>
        <v>43435.846613053094</v>
      </c>
      <c r="AK295" s="12">
        <f>MIN(INDEX(其他调用!$AK$5:$AK$364,MATCH($K295,其他调用!$AG$5:$AG$364,0),1)/INDEX(其他调用!AJ$5:AJ$364,MATCH($K295,其他调用!$AG$5:$AG$364,0),0),1)*INDEX(其他调用!AA$5:AA$404,MATCH($K295,其他调用!$X$5:$X$404,0),0)</f>
        <v>44957.070305645939</v>
      </c>
      <c r="AL295" s="12">
        <f>MIN(INDEX(其他调用!$AK$5:$AK$364,MATCH($K295,其他调用!$AG$5:$AG$364,0),1)/INDEX(其他调用!AK$5:AK$364,MATCH($K295,其他调用!$AG$5:$AG$364,0),0),1)*INDEX(其他调用!AB$5:AB$404,MATCH($K295,其他调用!$X$5:$X$404,0),0)</f>
        <v>47210.414461788198</v>
      </c>
      <c r="AM295" s="12">
        <f>MIN(INDEX(其他调用!$AK$5:$AK$364,MATCH($K295,其他调用!$AG$5:$AG$364,0),1)/INDEX(其他调用!AL$5:AL$364,MATCH($K295,其他调用!$AG$5:$AG$364,0),0),1)*INDEX(其他调用!AC$5:AC$404,MATCH($K295,其他调用!$X$5:$X$404,0),0)</f>
        <v>27335.971240726136</v>
      </c>
      <c r="AN295" s="12">
        <f>求节点(节奏总纲!D$4:D$163,标准城池设计!AF$4:AF$163,$K295)*求节点(节奏总纲!D$4:D$163,攻城基础信息!$AG$5:$AG$164,$K295)</f>
        <v>1167853.1846182221</v>
      </c>
      <c r="AO295" s="12">
        <f>INDEX(其他调用!$AA$5:$AA$404,MATCH($K295,其他调用!$X$5:$X$404,0))*MIN(INDEX(其他调用!AL$5:AL$364,MATCH($K295,其他调用!$AG$5:$AG$364,0),1)/INDEX(其他调用!$AJ$5:$AJ$364,MATCH($K295,其他调用!$AG$5:$AG$364,0),0),5)*求节点(节奏总纲!D$4:D$163,攻城基础信息!$AG$5:$AG$164,$K295)</f>
        <v>786748.73034880345</v>
      </c>
      <c r="AP295" s="12">
        <f>MIN(INDEX(其他调用!$AL$5:$AL$364,MATCH($K295,其他调用!$AG$5:$AG$364,0),1)/INDEX(其他调用!AH$5:AH$364,MATCH($K295,其他调用!$AG$5:$AG$364,0),0),1)*INDEX(其他调用!Y$5:Y$404,MATCH($K295,其他调用!$X$5:$X$404,0),0)</f>
        <v>42278.615939000018</v>
      </c>
      <c r="AQ295" s="12">
        <f>MIN(INDEX(其他调用!$AL$5:$AL$364,MATCH($K295,其他调用!$AG$5:$AG$364,0),1)/INDEX(其他调用!AI$5:AI$364,MATCH($K295,其他调用!$AG$5:$AG$364,0),0),1)*INDEX(其他调用!Z$5:Z$404,MATCH($K295,其他调用!$X$5:$X$404,0),0)</f>
        <v>43435.846613053094</v>
      </c>
      <c r="AR295" s="12">
        <f>MIN(INDEX(其他调用!$AL$5:$AL$364,MATCH($K295,其他调用!$AG$5:$AG$364,0),1)/INDEX(其他调用!AJ$5:AJ$364,MATCH($K295,其他调用!$AG$5:$AG$364,0),0),1)*INDEX(其他调用!AA$5:AA$404,MATCH($K295,其他调用!$X$5:$X$404,0),0)</f>
        <v>44957.070305645939</v>
      </c>
      <c r="AS295" s="12">
        <f>MIN(INDEX(其他调用!$AL$5:$AL$364,MATCH($K295,其他调用!$AG$5:$AG$364,0),1)/INDEX(其他调用!AK$5:AK$364,MATCH($K295,其他调用!$AG$5:$AG$364,0),0),1)*INDEX(其他调用!AB$5:AB$404,MATCH($K295,其他调用!$X$5:$X$404,0),0)</f>
        <v>47210.414461788198</v>
      </c>
      <c r="AT295" s="12">
        <f>MIN(INDEX(其他调用!$AL$5:$AL$364,MATCH($K295,其他调用!$AG$5:$AG$364,0),1)/INDEX(其他调用!AL$5:AL$364,MATCH($K295,其他调用!$AG$5:$AG$364,0),0),1)*INDEX(其他调用!AC$5:AC$404,MATCH($K295,其他调用!$X$5:$X$404,0),0)</f>
        <v>51107.02022781218</v>
      </c>
      <c r="AV295" s="14">
        <f>IF(OR(AV$5="大R",AV$5="超R"),MAX(INDEX(其他调用!$H$5:$L$404,MATCH($K295,其他调用!$B$5:$B$404,0),MATCH(AV$5,其他调用!$H$4:$L$4,0))*120*0.85,2),INDEX(其他调用!$H$5:$L$404,MATCH($K295,其他调用!$B$5:$B$404,0),MATCH(AV$5,其他调用!$H$4:$L$4,0))*120*0.85)</f>
        <v>48.921801254999991</v>
      </c>
      <c r="AW295" s="14">
        <f>IF(OR(AW$5="大R",AW$5="超R"),MAX(INDEX(其他调用!$H$5:$L$404,MATCH($K295,其他调用!$B$5:$B$404,0),MATCH(AW$5,其他调用!$H$4:$L$4,0))*120*0.85,2),INDEX(其他调用!$H$5:$L$404,MATCH($K295,其他调用!$B$5:$B$404,0),MATCH(AW$5,其他调用!$H$4:$L$4,0))*120*0.85)</f>
        <v>48.237344010638395</v>
      </c>
      <c r="AX295" s="14">
        <f>IF(OR(AX$5="大R",AX$5="超R"),MAX(INDEX(其他调用!$H$5:$L$404,MATCH($K295,其他调用!$B$5:$B$404,0),MATCH(AX$5,其他调用!$H$4:$L$4,0))*120*0.85,2),INDEX(其他调用!$H$5:$L$404,MATCH($K295,其他调用!$B$5:$B$404,0),MATCH(AX$5,其他调用!$H$4:$L$4,0))*120*0.85)</f>
        <v>3.9376284143615998</v>
      </c>
      <c r="AY295" s="14">
        <f>IF(OR(AY$5="大R",AY$5="超R"),MAX(INDEX(其他调用!$H$5:$L$404,MATCH($K295,其他调用!$B$5:$B$404,0),MATCH(AY$5,其他调用!$H$4:$L$4,0))*120*0.85,2),INDEX(其他调用!$H$5:$L$404,MATCH($K295,其他调用!$B$5:$B$404,0),MATCH(AY$5,其他调用!$H$4:$L$4,0))*120*0.85)</f>
        <v>2</v>
      </c>
      <c r="AZ295" s="14">
        <f>IF(OR(AZ$5="大R",AZ$5="超R"),MAX(INDEX(其他调用!$H$5:$L$404,MATCH($K295,其他调用!$B$5:$B$404,0),MATCH(AZ$5,其他调用!$H$4:$L$4,0))*120*0.85,2),INDEX(其他调用!$H$5:$L$404,MATCH($K295,其他调用!$B$5:$B$404,0),MATCH(AZ$5,其他调用!$H$4:$L$4,0))*120*0.85)</f>
        <v>2</v>
      </c>
      <c r="BA295" s="14">
        <f>INDEX(其他调用!$H$5:$L$404,MATCH($K295,其他调用!$B$5:$B$404,0),MATCH(BA$5,其他调用!$H$4:$L$4,0))*INDEX(其他调用!$M$5:$M$404,MATCH($K295,其他调用!$B$5:$B$404,0))*0.6</f>
        <v>28.777530149999997</v>
      </c>
      <c r="BB295" s="14">
        <f>INDEX(其他调用!$H$5:$L$404,MATCH($K295,其他调用!$B$5:$B$404,0),MATCH(BB$5,其他调用!$H$4:$L$4,0))*INDEX(其他调用!$M$5:$M$404,MATCH($K295,其他调用!$B$5:$B$404,0))*0.6</f>
        <v>28.374908241551999</v>
      </c>
      <c r="BC295" s="14">
        <f>INDEX(其他调用!$H$5:$L$404,MATCH($K295,其他调用!$B$5:$B$404,0),MATCH(BC$5,其他调用!$H$4:$L$4,0))*INDEX(其他调用!$M$5:$M$404,MATCH($K295,其他调用!$B$5:$B$404,0))*0.6</f>
        <v>2.3162520084480001</v>
      </c>
      <c r="BD295" s="14">
        <f>INDEX(其他调用!$H$5:$L$404,MATCH($K295,其他调用!$B$5:$B$404,0),MATCH(BD$5,其他调用!$H$4:$L$4,0))*INDEX(其他调用!$M$5:$M$404,MATCH($K295,其他调用!$B$5:$B$404,0))*0.6</f>
        <v>0.4120776000000001</v>
      </c>
      <c r="BE295" s="14">
        <f>INDEX(其他调用!$H$5:$L$404,MATCH($K295,其他调用!$B$5:$B$404,0),MATCH(BE$5,其他调用!$H$4:$L$4,0))*INDEX(其他调用!$M$5:$M$404,MATCH($K295,其他调用!$B$5:$B$404,0))*0.6</f>
        <v>0.11923199999999998</v>
      </c>
      <c r="BF295" s="14">
        <f>IF(OR(BF$5="大R",BF$5="超R"),0,INDEX(其他调用!$H$5:$L$404,MATCH($K295,其他调用!$B$5:$B$404,0),MATCH(BF$5,其他调用!$H$4:$L$4,0))*50*0.4)</f>
        <v>9.5925100500000013</v>
      </c>
      <c r="BG295" s="14">
        <f>IF(OR(BG$5="大R",BG$5="超R"),0,INDEX(其他调用!$H$5:$L$404,MATCH($K295,其他调用!$B$5:$B$404,0),MATCH(BG$5,其他调用!$H$4:$L$4,0))*50*0.4)</f>
        <v>9.4583027471839998</v>
      </c>
      <c r="BH295" s="14">
        <f>IF(OR(BH$5="大R",BH$5="超R"),0,INDEX(其他调用!$H$5:$L$404,MATCH($K295,其他调用!$B$5:$B$404,0),MATCH(BH$5,其他调用!$H$4:$L$4,0))*50*0.4)</f>
        <v>0.77208400281600009</v>
      </c>
      <c r="BI295" s="14">
        <f>IF(OR(BI$5="大R",BI$5="超R"),0,INDEX(其他调用!$H$5:$L$404,MATCH($K295,其他调用!$B$5:$B$404,0),MATCH(BI$5,其他调用!$H$4:$L$4,0))*50*0.4)</f>
        <v>0</v>
      </c>
      <c r="BJ295" s="14">
        <f>IF(OR(BJ$5="大R",BJ$5="超R"),0,INDEX(其他调用!$H$5:$L$404,MATCH($K295,其他调用!$B$5:$B$404,0),MATCH(BJ$5,其他调用!$H$4:$L$4,0))*50*0.4)</f>
        <v>0</v>
      </c>
      <c r="BL295" s="14">
        <f t="shared" si="523"/>
        <v>290</v>
      </c>
      <c r="BM295" s="14">
        <f t="shared" si="430"/>
        <v>96</v>
      </c>
      <c r="BN295" s="14">
        <f>('疲劳值&amp;地图信息'!$S$10*'疲劳值&amp;地图信息'!$R$10+'疲劳值&amp;地图信息'!$S$11*'疲劳值&amp;地图信息'!$R$11+'疲劳值&amp;地图信息'!$S$12*'疲劳值&amp;地图信息'!$R$12+(BM295-'疲劳值&amp;地图信息'!$S$12-'疲劳值&amp;地图信息'!$S$11-'疲劳值&amp;地图信息'!$S$10)*'疲劳值&amp;地图信息'!$R$13)/BM295</f>
        <v>51.371477246638619</v>
      </c>
      <c r="BO295" s="14">
        <f>INDEX(其他调用!$M$5:$M$404,MATCH(BL295,其他调用!$B$5:$B$404,0))*0.6</f>
        <v>60</v>
      </c>
      <c r="BP295" s="14">
        <f>IF(BO295&gt;SUM('疲劳值&amp;地图信息'!$S$10:$S$12),('疲劳值&amp;地图信息'!$S$10*'疲劳值&amp;地图信息'!$R$10+'疲劳值&amp;地图信息'!$S$11*'疲劳值&amp;地图信息'!$R$11+'疲劳值&amp;地图信息'!$S$12*'疲劳值&amp;地图信息'!$R$12+(BO295-'疲劳值&amp;地图信息'!$S$12-'疲劳值&amp;地图信息'!$S$11-'疲劳值&amp;地图信息'!$S$10)*'疲劳值&amp;地图信息'!$R$13)/BO295,('疲劳值&amp;地图信息'!$S$10*'疲劳值&amp;地图信息'!$R$10+'疲劳值&amp;地图信息'!$S$11*'疲劳值&amp;地图信息'!$R$11+'疲劳值&amp;地图信息'!$S$12*'疲劳值&amp;地图信息'!$R$12+(BO295-'疲劳值&amp;地图信息'!$S$12-'疲劳值&amp;地图信息'!$S$11-'疲劳值&amp;地图信息'!$S$10)*'疲劳值&amp;地图信息'!$R$13)/BO295)</f>
        <v>44.158136341605953</v>
      </c>
      <c r="BQ295" s="14">
        <f t="shared" si="524"/>
        <v>20</v>
      </c>
      <c r="BR295" s="14">
        <f>('疲劳值&amp;地图信息'!$S$10*'疲劳值&amp;地图信息'!$R$10+($BQ295-'疲劳值&amp;地图信息'!$S$10)*'疲劳值&amp;地图信息'!$R$11)/$BQ295</f>
        <v>32.067203015074995</v>
      </c>
      <c r="CF295" s="14">
        <v>290</v>
      </c>
      <c r="CG295" s="51">
        <f t="shared" si="431"/>
        <v>15746</v>
      </c>
      <c r="CH295" s="51">
        <f t="shared" si="432"/>
        <v>1092</v>
      </c>
      <c r="CI295" s="51">
        <f>INT(SUMPRODUCT($N295:$R295,$BA295:$BE295)/SUM($BA295:$BE295)/10000*$BX$7*$BZ$34/'疲劳值&amp;地图信息'!$R$10*$BY$53)</f>
        <v>3348</v>
      </c>
      <c r="CJ295" s="50">
        <f t="shared" si="433"/>
        <v>0.78004557614188053</v>
      </c>
      <c r="CK295" s="50">
        <f t="shared" si="434"/>
        <v>5.4096898840780741E-2</v>
      </c>
      <c r="CL295" s="50">
        <f t="shared" si="435"/>
        <v>0.16585752501733875</v>
      </c>
      <c r="CM295" s="14">
        <f t="shared" si="436"/>
        <v>17243</v>
      </c>
      <c r="CN295" s="14">
        <f t="shared" si="437"/>
        <v>1857</v>
      </c>
      <c r="CO295" s="14">
        <f>INT(SUMPRODUCT($U295:$Y295,$BA295:$BE295)/SUM($BA295:$BE295)/10000*$BX$7*$BZ$34/'疲劳值&amp;地图信息'!$R$10*$BY$54)</f>
        <v>6377</v>
      </c>
      <c r="CP295" s="50">
        <f t="shared" si="438"/>
        <v>0.6768065313812458</v>
      </c>
      <c r="CQ295" s="50">
        <f t="shared" si="439"/>
        <v>7.2889272677316791E-2</v>
      </c>
      <c r="CR295" s="50">
        <f t="shared" si="440"/>
        <v>0.25030419594143738</v>
      </c>
      <c r="CS295" s="14">
        <f t="shared" si="441"/>
        <v>18827</v>
      </c>
      <c r="CT295" s="14">
        <f t="shared" si="442"/>
        <v>3206</v>
      </c>
      <c r="CU295" s="14">
        <f>INT(SUMPRODUCT($AB295:$AF295,$BA295:$BE295)/SUM($BA295:$BE295)/10000*$BX$7*$BZ$34/'疲劳值&amp;地图信息'!$R$10*$BY$55)</f>
        <v>8663</v>
      </c>
      <c r="CV295" s="50">
        <f t="shared" si="443"/>
        <v>0.61333724263747724</v>
      </c>
      <c r="CW295" s="50">
        <f t="shared" si="444"/>
        <v>0.10444357571019025</v>
      </c>
      <c r="CX295" s="50">
        <f t="shared" si="445"/>
        <v>0.28221918165233256</v>
      </c>
      <c r="CY295" s="14">
        <f t="shared" si="446"/>
        <v>22757</v>
      </c>
      <c r="CZ295" s="14">
        <f t="shared" si="447"/>
        <v>9049</v>
      </c>
      <c r="DA295" s="14">
        <f>INT(SUMPRODUCT($AI295:$AM295,$BA295:$BE295)/SUM($BA295:$BE295)/10000*$BX$7*$BZ$34/'疲劳值&amp;地图信息'!$R$10*$BY$56)</f>
        <v>13069</v>
      </c>
      <c r="DB295" s="50">
        <f t="shared" si="448"/>
        <v>0.50711977715877432</v>
      </c>
      <c r="DC295" s="50">
        <f t="shared" si="449"/>
        <v>0.20164902506963789</v>
      </c>
      <c r="DD295" s="50">
        <f t="shared" si="450"/>
        <v>0.29123119777158774</v>
      </c>
      <c r="DE295" s="14">
        <f t="shared" si="451"/>
        <v>23802</v>
      </c>
      <c r="DF295" s="14">
        <f t="shared" si="452"/>
        <v>16034</v>
      </c>
      <c r="DG295" s="14">
        <f>INT(SUMPRODUCT($AP295:$AT295,$BA295:$BE295)/SUM($BA295:$BE295)/10000*$BX$7*$BZ$34/'疲劳值&amp;地图信息'!$R$10*$BY$57)</f>
        <v>17444</v>
      </c>
      <c r="DH295" s="50">
        <f t="shared" si="453"/>
        <v>0.4155377094972067</v>
      </c>
      <c r="DI295" s="50">
        <f t="shared" si="454"/>
        <v>0.27992318435754188</v>
      </c>
      <c r="DJ295" s="50">
        <f t="shared" si="455"/>
        <v>0.30453910614525137</v>
      </c>
      <c r="DL295" s="14">
        <f t="shared" si="526"/>
        <v>20186</v>
      </c>
      <c r="DM295" s="14">
        <f t="shared" si="527"/>
        <v>25477</v>
      </c>
      <c r="DN295" s="14">
        <f t="shared" si="528"/>
        <v>30696</v>
      </c>
      <c r="DO295" s="14">
        <f t="shared" si="529"/>
        <v>44875</v>
      </c>
      <c r="DP295" s="14">
        <f t="shared" si="530"/>
        <v>57280</v>
      </c>
      <c r="DQ295" s="14">
        <f t="shared" si="531"/>
        <v>1400232</v>
      </c>
      <c r="DT295" s="14">
        <f t="shared" si="525"/>
        <v>235575</v>
      </c>
      <c r="DU295" s="50">
        <f t="shared" si="427"/>
        <v>0.1440114879078033</v>
      </c>
      <c r="DW295" s="14">
        <f t="shared" si="456"/>
        <v>1635807</v>
      </c>
      <c r="EB295" s="14">
        <v>290</v>
      </c>
      <c r="EC295" s="51">
        <f t="shared" si="457"/>
        <v>26244</v>
      </c>
      <c r="ED295" s="51">
        <f t="shared" si="458"/>
        <v>1821</v>
      </c>
      <c r="EE295" s="51">
        <f>INT(SUMPRODUCT($N295:$R295,$BF295:$BJ295)/SUM($BF295:$BJ295)/10000*$BX$7*$BZ$46/'疲劳值&amp;地图信息'!$R$10*$BY$53)</f>
        <v>449</v>
      </c>
      <c r="EF295" s="50">
        <f t="shared" si="459"/>
        <v>0.92038998386757387</v>
      </c>
      <c r="EG295" s="50">
        <f t="shared" si="460"/>
        <v>6.3863365364382405E-2</v>
      </c>
      <c r="EH295" s="50">
        <f t="shared" si="461"/>
        <v>1.5746650768043768E-2</v>
      </c>
      <c r="EI295" s="51">
        <f t="shared" si="462"/>
        <v>28739</v>
      </c>
      <c r="EJ295" s="51">
        <f t="shared" si="463"/>
        <v>3096</v>
      </c>
      <c r="EK295" s="14">
        <f>INT(SUMPRODUCT($U295:$Y295,$BF295:$BJ295)/SUM($BF295:$BJ295)/10000*$BX$7*$BZ$46/'疲劳值&amp;地图信息'!$R$10*$BY$54)</f>
        <v>856</v>
      </c>
      <c r="EL295" s="50">
        <f t="shared" si="464"/>
        <v>0.87911045853598846</v>
      </c>
      <c r="EM295" s="50">
        <f t="shared" si="465"/>
        <v>9.4704964669174996E-2</v>
      </c>
      <c r="EN295" s="50">
        <f t="shared" si="466"/>
        <v>2.61845767948365E-2</v>
      </c>
      <c r="EO295" s="51">
        <f t="shared" si="467"/>
        <v>31378</v>
      </c>
      <c r="EP295" s="51">
        <f t="shared" si="468"/>
        <v>5344</v>
      </c>
      <c r="EQ295" s="14">
        <f>INT(SUMPRODUCT($AB295:$AF295,$BF295:$BJ295)/SUM($BF295:$BJ295)/10000*$BX$7*$BZ$46/'疲劳值&amp;地图信息'!$R$10*$BY$55)</f>
        <v>1161</v>
      </c>
      <c r="ER295" s="50">
        <f t="shared" si="469"/>
        <v>0.82828709447509441</v>
      </c>
      <c r="ES295" s="50">
        <f t="shared" si="470"/>
        <v>0.14106591347042208</v>
      </c>
      <c r="ET295" s="50">
        <f t="shared" si="471"/>
        <v>3.0646992054483541E-2</v>
      </c>
      <c r="EU295" s="51">
        <f t="shared" si="472"/>
        <v>37929</v>
      </c>
      <c r="EV295" s="51">
        <f t="shared" si="473"/>
        <v>15082</v>
      </c>
      <c r="EW295" s="14">
        <f>INT(SUMPRODUCT($AI295:$AM295,$BF295:$BJ295)/SUM($BF295:$BJ295)/10000*$BX$7*$BZ$46/'疲劳值&amp;地图信息'!$R$10*$BY$56)</f>
        <v>1742</v>
      </c>
      <c r="EX295" s="50">
        <f t="shared" si="474"/>
        <v>0.69272916552517672</v>
      </c>
      <c r="EY295" s="50">
        <f t="shared" si="475"/>
        <v>0.27545522619765128</v>
      </c>
      <c r="EZ295" s="50">
        <f t="shared" si="476"/>
        <v>3.1815608277172031E-2</v>
      </c>
      <c r="FA295" s="51">
        <f t="shared" si="477"/>
        <v>39670</v>
      </c>
      <c r="FB295" s="51">
        <f t="shared" si="478"/>
        <v>26724</v>
      </c>
      <c r="FC295" s="14">
        <f>INT(SUMPRODUCT($AP295:$AT295,$BF295:$BJ295)/SUM($BF295:$BJ295)/10000*$BX$7*$BZ$46/'疲劳值&amp;地图信息'!$R$10*$BY$57)</f>
        <v>2323</v>
      </c>
      <c r="FD295" s="50">
        <f t="shared" si="479"/>
        <v>0.57729528355428783</v>
      </c>
      <c r="FE295" s="50">
        <f t="shared" si="480"/>
        <v>0.3888993989842397</v>
      </c>
      <c r="FF295" s="50">
        <f t="shared" si="481"/>
        <v>3.3805317461472417E-2</v>
      </c>
      <c r="FH295" s="14">
        <f t="shared" si="482"/>
        <v>28514</v>
      </c>
      <c r="FI295" s="14">
        <f t="shared" si="483"/>
        <v>32691</v>
      </c>
      <c r="FJ295" s="14">
        <f t="shared" si="484"/>
        <v>37883</v>
      </c>
      <c r="FK295" s="14">
        <f t="shared" si="485"/>
        <v>54753</v>
      </c>
      <c r="FL295" s="14">
        <f t="shared" si="486"/>
        <v>68717</v>
      </c>
      <c r="FM295" s="14">
        <f t="shared" si="487"/>
        <v>3367992</v>
      </c>
      <c r="FP295" s="14">
        <f t="shared" si="488"/>
        <v>334150</v>
      </c>
      <c r="FQ295" s="50">
        <f t="shared" si="428"/>
        <v>9.0258558423744958E-2</v>
      </c>
      <c r="FS295" s="14">
        <f t="shared" si="489"/>
        <v>3702142</v>
      </c>
      <c r="FX295" s="14">
        <v>290</v>
      </c>
      <c r="FY295" s="51">
        <f t="shared" si="490"/>
        <v>36742</v>
      </c>
      <c r="FZ295" s="51">
        <f t="shared" si="491"/>
        <v>1821</v>
      </c>
      <c r="GA295" s="51">
        <f>INT(SUMPRODUCT($N295:$R295,$BF295:$BJ295)/SUM($BF295:$BJ295)/10000*$BX$7*$BZ$46/'疲劳值&amp;地图信息'!$R$10*$BY$53)</f>
        <v>449</v>
      </c>
      <c r="GB295" s="50">
        <f t="shared" si="492"/>
        <v>0.9418127755562391</v>
      </c>
      <c r="GC295" s="50">
        <f t="shared" si="493"/>
        <v>4.6677945247616121E-2</v>
      </c>
      <c r="GD295" s="50">
        <f t="shared" si="494"/>
        <v>1.1509279196144776E-2</v>
      </c>
      <c r="GE295" s="51">
        <f t="shared" si="495"/>
        <v>40235</v>
      </c>
      <c r="GF295" s="51">
        <f t="shared" si="496"/>
        <v>3096</v>
      </c>
      <c r="GG295" s="14">
        <f>INT(SUMPRODUCT($U295:$Y295,$BF295:$BJ295)/SUM($BF295:$BJ295)/10000*$BX$7*$BZ$46/'疲劳值&amp;地图信息'!$R$10*$BY$54)</f>
        <v>856</v>
      </c>
      <c r="GH295" s="50">
        <f t="shared" si="497"/>
        <v>0.91056192997940566</v>
      </c>
      <c r="GI295" s="50">
        <f t="shared" si="498"/>
        <v>7.006585647362347E-2</v>
      </c>
      <c r="GJ295" s="50">
        <f t="shared" si="499"/>
        <v>1.9372213546970829E-2</v>
      </c>
      <c r="GK295" s="51">
        <f t="shared" si="500"/>
        <v>43930</v>
      </c>
      <c r="GL295" s="51">
        <f t="shared" si="501"/>
        <v>5344</v>
      </c>
      <c r="GM295" s="14">
        <f>INT(SUMPRODUCT($AB295:$AF295,$BF295:$BJ295)/SUM($BF295:$BJ295)/10000*$BX$7*$BZ$46/'疲劳值&amp;地图信息'!$R$10*$BY$55)</f>
        <v>1161</v>
      </c>
      <c r="GN295" s="50">
        <f t="shared" si="502"/>
        <v>0.87102210766332899</v>
      </c>
      <c r="GO295" s="50">
        <f t="shared" si="503"/>
        <v>0.10595816397343115</v>
      </c>
      <c r="GP295" s="50">
        <f t="shared" si="504"/>
        <v>2.3019728363239813E-2</v>
      </c>
      <c r="GQ295" s="51">
        <f t="shared" si="505"/>
        <v>53101</v>
      </c>
      <c r="GR295" s="51">
        <f t="shared" si="506"/>
        <v>15082</v>
      </c>
      <c r="GS295" s="14">
        <f>INT(SUMPRODUCT($AI295:$AM295,$BF295:$BJ295)/SUM($BF295:$BJ295)/10000*$BX$7*$BZ$46/'疲劳值&amp;地图信息'!$R$10*$BY$56)</f>
        <v>1742</v>
      </c>
      <c r="GT295" s="50">
        <f t="shared" si="507"/>
        <v>0.75939935645334289</v>
      </c>
      <c r="GU295" s="50">
        <f t="shared" si="508"/>
        <v>0.2156882373972113</v>
      </c>
      <c r="GV295" s="50">
        <f t="shared" si="509"/>
        <v>2.4912406149445836E-2</v>
      </c>
      <c r="GW295" s="51">
        <f t="shared" si="510"/>
        <v>55538</v>
      </c>
      <c r="GX295" s="51">
        <f t="shared" si="511"/>
        <v>26724</v>
      </c>
      <c r="GY295" s="14">
        <f>INT(SUMPRODUCT($AP295:$AT295,$BF295:$BJ295)/SUM($BF295:$BJ295)/10000*$BX$7*$BZ$46/'疲劳值&amp;地图信息'!$R$10*$BY$57)</f>
        <v>2323</v>
      </c>
      <c r="GZ295" s="50">
        <f t="shared" si="512"/>
        <v>0.65659395873972926</v>
      </c>
      <c r="HA295" s="50">
        <f t="shared" si="513"/>
        <v>0.31594254300407876</v>
      </c>
      <c r="HB295" s="50">
        <f t="shared" si="514"/>
        <v>2.7463498256191998E-2</v>
      </c>
      <c r="HD295" s="14">
        <f t="shared" si="515"/>
        <v>39012</v>
      </c>
      <c r="HE295" s="14">
        <f t="shared" si="516"/>
        <v>44187</v>
      </c>
      <c r="HF295" s="14">
        <f t="shared" si="517"/>
        <v>50435</v>
      </c>
      <c r="HG295" s="14">
        <f t="shared" si="518"/>
        <v>69925</v>
      </c>
      <c r="HH295" s="14">
        <f t="shared" si="519"/>
        <v>84585</v>
      </c>
      <c r="HI295" s="14">
        <f t="shared" si="520"/>
        <v>4547615</v>
      </c>
      <c r="HL295" s="14">
        <f t="shared" si="521"/>
        <v>430050</v>
      </c>
      <c r="HM295" s="50">
        <f t="shared" si="429"/>
        <v>8.6395930622088876E-2</v>
      </c>
      <c r="HO295" s="14">
        <f t="shared" si="522"/>
        <v>4977665</v>
      </c>
    </row>
    <row r="296" spans="11:223" x14ac:dyDescent="0.2">
      <c r="K296" s="14">
        <v>291</v>
      </c>
      <c r="L296" s="12">
        <f>求节点(节奏总纲!D$4:D$163,标准城池设计!AB$4:AB$163,$K296)*求节点(节奏总纲!D$4:D$163,攻城基础信息!$AC$5:$AC$164,$K296)</f>
        <v>773759.87904374313</v>
      </c>
      <c r="M296" s="12">
        <f>INDEX(其他调用!$AA$5:$AA$404,MATCH(K296,其他调用!$X$5:$X$404,0))*MIN(INDEX(其他调用!$AH$5:$AH$364,MATCH('征服点（新）'!K296,其他调用!$AG$5:$AG$364,0),1)/INDEX(其他调用!$AJ$5:$AJ$364,MATCH(K296,其他调用!$AG$5:$AG$364,0),0),5)*求节点(节奏总纲!D$4:D$163,攻城基础信息!$AC$5:$AC$164,$K296)</f>
        <v>53608.292667697388</v>
      </c>
      <c r="N296" s="12">
        <f>MIN(INDEX(其他调用!$AH$5:$AH$364,MATCH($K296,其他调用!$AG$5:$AG$364,0),1)/INDEX(其他调用!AH$5:AH$364,MATCH($K296,其他调用!$AG$5:$AG$364,0),0),1)*INDEX(其他调用!Y$5:Y$404,MATCH($K296,其他调用!$X$5:$X$404,0),0)</f>
        <v>42298.927247387444</v>
      </c>
      <c r="O296" s="12">
        <f>MIN(INDEX(其他调用!$AH$5:$AH$364,MATCH($K296,其他调用!$AG$5:$AG$364,0),1)/INDEX(其他调用!AI$5:AI$364,MATCH($K296,其他调用!$AG$5:$AG$364,0),0),1)*INDEX(其他调用!Z$5:Z$404,MATCH($K296,其他调用!$X$5:$X$404,0),0)</f>
        <v>25559.104914501811</v>
      </c>
      <c r="P296" s="12">
        <f>MIN(INDEX(其他调用!$AH$5:$AH$364,MATCH($K296,其他调用!$AG$5:$AG$364,0),1)/INDEX(其他调用!AJ$5:AJ$364,MATCH($K296,其他调用!$AG$5:$AG$364,0),0),1)*INDEX(其他调用!AA$5:AA$404,MATCH($K296,其他调用!$X$5:$X$404,0),0)</f>
        <v>15316.655047913549</v>
      </c>
      <c r="Q296" s="12">
        <f>MIN(INDEX(其他调用!$AH$5:$AH$364,MATCH($K296,其他调用!$AG$5:$AG$364,0),1)/INDEX(其他调用!AK$5:AK$364,MATCH($K296,其他调用!$AG$5:$AG$364,0),0),1)*INDEX(其他调用!AB$5:AB$404,MATCH($K296,其他调用!$X$5:$X$404,0),0)</f>
        <v>5707.294791480449</v>
      </c>
      <c r="R296" s="12">
        <f>MIN(INDEX(其他调用!$AH$5:$AH$364,MATCH($K296,其他调用!$AG$5:$AG$364,0),1)/INDEX(其他调用!AL$5:AL$364,MATCH($K296,其他调用!$AG$5:$AG$364,0),0),1)*INDEX(其他调用!AC$5:AC$404,MATCH($K296,其他调用!$X$5:$X$404,0),0)</f>
        <v>3309.4468039718654</v>
      </c>
      <c r="S296" s="12">
        <f>求节点(节奏总纲!D$4:D$163,标准城池设计!AC$4:AC$163,$K296)*求节点(节奏总纲!D$4:D$163,攻城基础信息!$AD$5:$AD$164,$K296)</f>
        <v>847474.28257331066</v>
      </c>
      <c r="T296" s="12">
        <f>INDEX(其他调用!$AA$5:$AA$404,MATCH($K296,其他调用!$X$5:$X$404,0))*MIN(INDEX(其他调用!AI$5:AI$364,MATCH($K296,其他调用!$AG$5:$AG$364,0),1)/INDEX(其他调用!$AJ$5:$AJ$364,MATCH($K296,其他调用!$AG$5:$AG$364,0),0),5)*求节点(节奏总纲!D$4:D$163,攻城基础信息!$AD$5:$AD$164,$K296)</f>
        <v>91146.475596052682</v>
      </c>
      <c r="U296" s="12">
        <f>MIN(INDEX(其他调用!$AI$5:$AI$364,MATCH($K296,其他调用!$AG$5:$AG$364,0),1)/INDEX(其他调用!AH$5:AH$364,MATCH($K296,其他调用!$AG$5:$AG$364,0),0),1)*INDEX(其他调用!Y$5:Y$404,MATCH($K296,其他调用!$X$5:$X$404,0),0)</f>
        <v>42298.927247387444</v>
      </c>
      <c r="V296" s="12">
        <f>MIN(INDEX(其他调用!$AI$5:$AI$364,MATCH($K296,其他调用!$AG$5:$AG$364,0),1)/INDEX(其他调用!AI$5:AI$364,MATCH($K296,其他调用!$AG$5:$AG$364,0),0),1)*INDEX(其他调用!Z$5:Z$404,MATCH($K296,其他调用!$X$5:$X$404,0),0)</f>
        <v>43456.379907251619</v>
      </c>
      <c r="W296" s="12">
        <f>MIN(INDEX(其他调用!$AI$5:$AI$364,MATCH($K296,其他调用!$AG$5:$AG$364,0),1)/INDEX(其他调用!AJ$5:AJ$364,MATCH($K296,其他调用!$AG$5:$AG$364,0),0),1)*INDEX(其他调用!AA$5:AA$404,MATCH($K296,其他调用!$X$5:$X$404,0),0)</f>
        <v>26041.850170300782</v>
      </c>
      <c r="X296" s="12">
        <f>MIN(INDEX(其他调用!$AI$5:$AI$364,MATCH($K296,其他调用!$AG$5:$AG$364,0),1)/INDEX(其他调用!AK$5:AK$364,MATCH($K296,其他调用!$AG$5:$AG$364,0),0),1)*INDEX(其他调用!AB$5:AB$404,MATCH($K296,其他调用!$X$5:$X$404,0),0)</f>
        <v>9703.7189498968455</v>
      </c>
      <c r="Y296" s="12">
        <f>MIN(INDEX(其他调用!$AI$5:$AI$364,MATCH($K296,其他调用!$AG$5:$AG$364,0),1)/INDEX(其他调用!AL$5:AL$364,MATCH($K296,其他调用!$AG$5:$AG$364,0),0),1)*INDEX(其他调用!AC$5:AC$404,MATCH($K296,其他调用!$X$5:$X$404,0),0)</f>
        <v>5626.8237122279643</v>
      </c>
      <c r="Z296" s="12">
        <f>求节点(节奏总纲!D$4:D$163,标准城池设计!AD$4:AD$163,$K296)*求节点(节奏总纲!D$4:D$163,攻城基础信息!$AE$5:$AE$164,$K296)</f>
        <v>925174.83566739794</v>
      </c>
      <c r="AA296" s="12">
        <f>INDEX(其他调用!$AA$5:$AA$404,MATCH($K296,其他调用!$X$5:$X$404,0))*MIN(INDEX(其他调用!AJ$5:AJ$364,MATCH($K296,其他调用!$AG$5:$AG$364,0),1)/INDEX(其他调用!$AJ$5:$AJ$364,MATCH($K296,其他调用!$AG$5:$AG$364,0),0),5)*求节点(节奏总纲!D$4:D$163,攻城基础信息!$AE$5:$AE$164,$K296)</f>
        <v>157420.81890033383</v>
      </c>
      <c r="AB296" s="12">
        <f>MIN(INDEX(其他调用!$AJ$5:$AJ$364,MATCH($K296,其他调用!$AG$5:$AG$364,0),1)/INDEX(其他调用!AH$5:AH$364,MATCH($K296,其他调用!$AG$5:$AG$364,0),0),1)*INDEX(其他调用!Y$5:Y$404,MATCH($K296,其他调用!$X$5:$X$404,0),0)</f>
        <v>42298.927247387444</v>
      </c>
      <c r="AC296" s="12">
        <f>MIN(INDEX(其他调用!$AJ$5:$AJ$364,MATCH($K296,其他调用!$AG$5:$AG$364,0),1)/INDEX(其他调用!AI$5:AI$364,MATCH($K296,其他调用!$AG$5:$AG$364,0),0),1)*INDEX(其他调用!Z$5:Z$404,MATCH($K296,其他调用!$X$5:$X$404,0),0)</f>
        <v>43456.379907251619</v>
      </c>
      <c r="AD296" s="12">
        <f>MIN(INDEX(其他调用!$AJ$5:$AJ$364,MATCH($K296,其他调用!$AG$5:$AG$364,0),1)/INDEX(其他调用!AJ$5:AJ$364,MATCH($K296,其他调用!$AG$5:$AG$364,0),0),1)*INDEX(其他调用!AA$5:AA$404,MATCH($K296,其他调用!$X$5:$X$404,0),0)</f>
        <v>44977.376828666842</v>
      </c>
      <c r="AE296" s="12">
        <f>MIN(INDEX(其他调用!$AJ$5:$AJ$364,MATCH($K296,其他调用!$AG$5:$AG$364,0),1)/INDEX(其他调用!AK$5:AK$364,MATCH($K296,其他调用!$AG$5:$AG$364,0),0),1)*INDEX(其他调用!AB$5:AB$404,MATCH($K296,其他调用!$X$5:$X$404,0),0)</f>
        <v>16759.478339474095</v>
      </c>
      <c r="AF296" s="12">
        <f>MIN(INDEX(其他调用!$AJ$5:$AJ$364,MATCH($K296,其他调用!$AG$5:$AG$364,0),1)/INDEX(其他调用!AL$5:AL$364,MATCH($K296,其他调用!$AG$5:$AG$364,0),0),1)*INDEX(其他调用!AC$5:AC$404,MATCH($K296,其他调用!$X$5:$X$404,0),0)</f>
        <v>9718.1947057654888</v>
      </c>
      <c r="AG296" s="12">
        <f>求节点(节奏总纲!D$4:D$163,标准城池设计!AE$4:AE$163,$K296)*求节点(节奏总纲!D$4:D$163,攻城基础信息!$AF$5:$AF$164,$K296)</f>
        <v>1118381.3159677463</v>
      </c>
      <c r="AH296" s="12">
        <f>INDEX(其他调用!$AA$5:$AA$404,MATCH($K296,其他调用!$X$5:$X$404,0))*MIN(INDEX(其他调用!AK$5:AK$364,MATCH($K296,其他调用!$AG$5:$AG$364,0),1)/INDEX(其他调用!$AJ$5:$AJ$364,MATCH($K296,其他调用!$AG$5:$AG$364,0),0),5)*求节点(节奏总纲!D$4:D$163,攻城基础信息!$AF$5:$AF$164,$K296)</f>
        <v>443634.44662468421</v>
      </c>
      <c r="AI296" s="12">
        <f>MIN(INDEX(其他调用!$AK$5:$AK$364,MATCH($K296,其他调用!$AG$5:$AG$364,0),1)/INDEX(其他调用!AH$5:AH$364,MATCH($K296,其他调用!$AG$5:$AG$364,0),0),1)*INDEX(其他调用!Y$5:Y$404,MATCH($K296,其他调用!$X$5:$X$404,0),0)</f>
        <v>42298.927247387444</v>
      </c>
      <c r="AJ296" s="12">
        <f>MIN(INDEX(其他调用!$AK$5:$AK$364,MATCH($K296,其他调用!$AG$5:$AG$364,0),1)/INDEX(其他调用!AI$5:AI$364,MATCH($K296,其他调用!$AG$5:$AG$364,0),0),1)*INDEX(其他调用!Z$5:Z$404,MATCH($K296,其他调用!$X$5:$X$404,0),0)</f>
        <v>43456.379907251619</v>
      </c>
      <c r="AK296" s="12">
        <f>MIN(INDEX(其他调用!$AK$5:$AK$364,MATCH($K296,其他调用!$AG$5:$AG$364,0),1)/INDEX(其他调用!AJ$5:AJ$364,MATCH($K296,其他调用!$AG$5:$AG$364,0),0),1)*INDEX(其他调用!AA$5:AA$404,MATCH($K296,其他调用!$X$5:$X$404,0),0)</f>
        <v>44977.376828666842</v>
      </c>
      <c r="AL296" s="12">
        <f>MIN(INDEX(其他调用!$AK$5:$AK$364,MATCH($K296,其他调用!$AG$5:$AG$364,0),1)/INDEX(其他调用!AK$5:AK$364,MATCH($K296,其他调用!$AG$5:$AG$364,0),0),1)*INDEX(其他调用!AB$5:AB$404,MATCH($K296,其他调用!$X$5:$X$404,0),0)</f>
        <v>47230.613782782217</v>
      </c>
      <c r="AM296" s="12">
        <f>MIN(INDEX(其他调用!$AK$5:$AK$364,MATCH($K296,其他调用!$AG$5:$AG$364,0),1)/INDEX(其他调用!AL$5:AL$364,MATCH($K296,其他调用!$AG$5:$AG$364,0),0),1)*INDEX(其他调用!AC$5:AC$404,MATCH($K296,其他调用!$X$5:$X$404,0),0)</f>
        <v>27387.266567408671</v>
      </c>
      <c r="AN296" s="12">
        <f>求节点(节奏总纲!D$4:D$163,标准城池设计!AF$4:AF$163,$K296)*求节点(节奏总纲!D$4:D$163,攻城基础信息!$AG$5:$AG$164,$K296)</f>
        <v>1169649.2226350443</v>
      </c>
      <c r="AO296" s="12">
        <f>INDEX(其他调用!$AA$5:$AA$404,MATCH($K296,其他调用!$X$5:$X$404,0))*MIN(INDEX(其他调用!AL$5:AL$364,MATCH($K296,其他调用!$AG$5:$AG$364,0),1)/INDEX(其他调用!$AJ$5:$AJ$364,MATCH($K296,其他调用!$AG$5:$AG$364,0),0),5)*求节点(节奏总纲!D$4:D$163,攻城基础信息!$AG$5:$AG$164,$K296)</f>
        <v>787104.09450166917</v>
      </c>
      <c r="AP296" s="12">
        <f>MIN(INDEX(其他调用!$AL$5:$AL$364,MATCH($K296,其他调用!$AG$5:$AG$364,0),1)/INDEX(其他调用!AH$5:AH$364,MATCH($K296,其他调用!$AG$5:$AG$364,0),0),1)*INDEX(其他调用!Y$5:Y$404,MATCH($K296,其他调用!$X$5:$X$404,0),0)</f>
        <v>42298.927247387444</v>
      </c>
      <c r="AQ296" s="12">
        <f>MIN(INDEX(其他调用!$AL$5:$AL$364,MATCH($K296,其他调用!$AG$5:$AG$364,0),1)/INDEX(其他调用!AI$5:AI$364,MATCH($K296,其他调用!$AG$5:$AG$364,0),0),1)*INDEX(其他调用!Z$5:Z$404,MATCH($K296,其他调用!$X$5:$X$404,0),0)</f>
        <v>43456.379907251619</v>
      </c>
      <c r="AR296" s="12">
        <f>MIN(INDEX(其他调用!$AL$5:$AL$364,MATCH($K296,其他调用!$AG$5:$AG$364,0),1)/INDEX(其他调用!AJ$5:AJ$364,MATCH($K296,其他调用!$AG$5:$AG$364,0),0),1)*INDEX(其他调用!AA$5:AA$404,MATCH($K296,其他调用!$X$5:$X$404,0),0)</f>
        <v>44977.376828666842</v>
      </c>
      <c r="AS296" s="12">
        <f>MIN(INDEX(其他调用!$AL$5:$AL$364,MATCH($K296,其他调用!$AG$5:$AG$364,0),1)/INDEX(其他调用!AK$5:AK$364,MATCH($K296,其他调用!$AG$5:$AG$364,0),0),1)*INDEX(其他调用!AB$5:AB$404,MATCH($K296,其他调用!$X$5:$X$404,0),0)</f>
        <v>47230.613782782217</v>
      </c>
      <c r="AT296" s="12">
        <f>MIN(INDEX(其他调用!$AL$5:$AL$364,MATCH($K296,其他调用!$AG$5:$AG$364,0),1)/INDEX(其他调用!AL$5:AL$364,MATCH($K296,其他调用!$AG$5:$AG$364,0),0),1)*INDEX(其他调用!AC$5:AC$404,MATCH($K296,其他调用!$X$5:$X$404,0),0)</f>
        <v>51127.88079008121</v>
      </c>
      <c r="AV296" s="14">
        <f>IF(OR(AV$5="大R",AV$5="超R"),MAX(INDEX(其他调用!$H$5:$L$404,MATCH($K296,其他调用!$B$5:$B$404,0),MATCH(AV$5,其他调用!$H$4:$L$4,0))*120*0.85,2),INDEX(其他调用!$H$5:$L$404,MATCH($K296,其他调用!$B$5:$B$404,0),MATCH(AV$5,其他调用!$H$4:$L$4,0))*120*0.85)</f>
        <v>48.921801254999991</v>
      </c>
      <c r="AW296" s="14">
        <f>IF(OR(AW$5="大R",AW$5="超R"),MAX(INDEX(其他调用!$H$5:$L$404,MATCH($K296,其他调用!$B$5:$B$404,0),MATCH(AW$5,其他调用!$H$4:$L$4,0))*120*0.85,2),INDEX(其他调用!$H$5:$L$404,MATCH($K296,其他调用!$B$5:$B$404,0),MATCH(AW$5,其他调用!$H$4:$L$4,0))*120*0.85)</f>
        <v>48.237344010638395</v>
      </c>
      <c r="AX296" s="14">
        <f>IF(OR(AX$5="大R",AX$5="超R"),MAX(INDEX(其他调用!$H$5:$L$404,MATCH($K296,其他调用!$B$5:$B$404,0),MATCH(AX$5,其他调用!$H$4:$L$4,0))*120*0.85,2),INDEX(其他调用!$H$5:$L$404,MATCH($K296,其他调用!$B$5:$B$404,0),MATCH(AX$5,其他调用!$H$4:$L$4,0))*120*0.85)</f>
        <v>3.9376284143615998</v>
      </c>
      <c r="AY296" s="14">
        <f>IF(OR(AY$5="大R",AY$5="超R"),MAX(INDEX(其他调用!$H$5:$L$404,MATCH($K296,其他调用!$B$5:$B$404,0),MATCH(AY$5,其他调用!$H$4:$L$4,0))*120*0.85,2),INDEX(其他调用!$H$5:$L$404,MATCH($K296,其他调用!$B$5:$B$404,0),MATCH(AY$5,其他调用!$H$4:$L$4,0))*120*0.85)</f>
        <v>2</v>
      </c>
      <c r="AZ296" s="14">
        <f>IF(OR(AZ$5="大R",AZ$5="超R"),MAX(INDEX(其他调用!$H$5:$L$404,MATCH($K296,其他调用!$B$5:$B$404,0),MATCH(AZ$5,其他调用!$H$4:$L$4,0))*120*0.85,2),INDEX(其他调用!$H$5:$L$404,MATCH($K296,其他调用!$B$5:$B$404,0),MATCH(AZ$5,其他调用!$H$4:$L$4,0))*120*0.85)</f>
        <v>2</v>
      </c>
      <c r="BA296" s="14">
        <f>INDEX(其他调用!$H$5:$L$404,MATCH($K296,其他调用!$B$5:$B$404,0),MATCH(BA$5,其他调用!$H$4:$L$4,0))*INDEX(其他调用!$M$5:$M$404,MATCH($K296,其他调用!$B$5:$B$404,0))*0.6</f>
        <v>28.777530149999997</v>
      </c>
      <c r="BB296" s="14">
        <f>INDEX(其他调用!$H$5:$L$404,MATCH($K296,其他调用!$B$5:$B$404,0),MATCH(BB$5,其他调用!$H$4:$L$4,0))*INDEX(其他调用!$M$5:$M$404,MATCH($K296,其他调用!$B$5:$B$404,0))*0.6</f>
        <v>28.374908241551999</v>
      </c>
      <c r="BC296" s="14">
        <f>INDEX(其他调用!$H$5:$L$404,MATCH($K296,其他调用!$B$5:$B$404,0),MATCH(BC$5,其他调用!$H$4:$L$4,0))*INDEX(其他调用!$M$5:$M$404,MATCH($K296,其他调用!$B$5:$B$404,0))*0.6</f>
        <v>2.3162520084480001</v>
      </c>
      <c r="BD296" s="14">
        <f>INDEX(其他调用!$H$5:$L$404,MATCH($K296,其他调用!$B$5:$B$404,0),MATCH(BD$5,其他调用!$H$4:$L$4,0))*INDEX(其他调用!$M$5:$M$404,MATCH($K296,其他调用!$B$5:$B$404,0))*0.6</f>
        <v>0.4120776000000001</v>
      </c>
      <c r="BE296" s="14">
        <f>INDEX(其他调用!$H$5:$L$404,MATCH($K296,其他调用!$B$5:$B$404,0),MATCH(BE$5,其他调用!$H$4:$L$4,0))*INDEX(其他调用!$M$5:$M$404,MATCH($K296,其他调用!$B$5:$B$404,0))*0.6</f>
        <v>0.11923199999999998</v>
      </c>
      <c r="BF296" s="14">
        <f>IF(OR(BF$5="大R",BF$5="超R"),0,INDEX(其他调用!$H$5:$L$404,MATCH($K296,其他调用!$B$5:$B$404,0),MATCH(BF$5,其他调用!$H$4:$L$4,0))*50*0.4)</f>
        <v>9.5925100500000013</v>
      </c>
      <c r="BG296" s="14">
        <f>IF(OR(BG$5="大R",BG$5="超R"),0,INDEX(其他调用!$H$5:$L$404,MATCH($K296,其他调用!$B$5:$B$404,0),MATCH(BG$5,其他调用!$H$4:$L$4,0))*50*0.4)</f>
        <v>9.4583027471839998</v>
      </c>
      <c r="BH296" s="14">
        <f>IF(OR(BH$5="大R",BH$5="超R"),0,INDEX(其他调用!$H$5:$L$404,MATCH($K296,其他调用!$B$5:$B$404,0),MATCH(BH$5,其他调用!$H$4:$L$4,0))*50*0.4)</f>
        <v>0.77208400281600009</v>
      </c>
      <c r="BI296" s="14">
        <f>IF(OR(BI$5="大R",BI$5="超R"),0,INDEX(其他调用!$H$5:$L$404,MATCH($K296,其他调用!$B$5:$B$404,0),MATCH(BI$5,其他调用!$H$4:$L$4,0))*50*0.4)</f>
        <v>0</v>
      </c>
      <c r="BJ296" s="14">
        <f>IF(OR(BJ$5="大R",BJ$5="超R"),0,INDEX(其他调用!$H$5:$L$404,MATCH($K296,其他调用!$B$5:$B$404,0),MATCH(BJ$5,其他调用!$H$4:$L$4,0))*50*0.4)</f>
        <v>0</v>
      </c>
      <c r="BL296" s="14">
        <f t="shared" si="523"/>
        <v>291</v>
      </c>
      <c r="BM296" s="14">
        <f t="shared" si="430"/>
        <v>96</v>
      </c>
      <c r="BN296" s="14">
        <f>('疲劳值&amp;地图信息'!$S$10*'疲劳值&amp;地图信息'!$R$10+'疲劳值&amp;地图信息'!$S$11*'疲劳值&amp;地图信息'!$R$11+'疲劳值&amp;地图信息'!$S$12*'疲劳值&amp;地图信息'!$R$12+(BM296-'疲劳值&amp;地图信息'!$S$12-'疲劳值&amp;地图信息'!$S$11-'疲劳值&amp;地图信息'!$S$10)*'疲劳值&amp;地图信息'!$R$13)/BM296</f>
        <v>51.371477246638619</v>
      </c>
      <c r="BO296" s="14">
        <f>INDEX(其他调用!$M$5:$M$404,MATCH(BL296,其他调用!$B$5:$B$404,0))*0.6</f>
        <v>60</v>
      </c>
      <c r="BP296" s="14">
        <f>IF(BO296&gt;SUM('疲劳值&amp;地图信息'!$S$10:$S$12),('疲劳值&amp;地图信息'!$S$10*'疲劳值&amp;地图信息'!$R$10+'疲劳值&amp;地图信息'!$S$11*'疲劳值&amp;地图信息'!$R$11+'疲劳值&amp;地图信息'!$S$12*'疲劳值&amp;地图信息'!$R$12+(BO296-'疲劳值&amp;地图信息'!$S$12-'疲劳值&amp;地图信息'!$S$11-'疲劳值&amp;地图信息'!$S$10)*'疲劳值&amp;地图信息'!$R$13)/BO296,('疲劳值&amp;地图信息'!$S$10*'疲劳值&amp;地图信息'!$R$10+'疲劳值&amp;地图信息'!$S$11*'疲劳值&amp;地图信息'!$R$11+'疲劳值&amp;地图信息'!$S$12*'疲劳值&amp;地图信息'!$R$12+(BO296-'疲劳值&amp;地图信息'!$S$12-'疲劳值&amp;地图信息'!$S$11-'疲劳值&amp;地图信息'!$S$10)*'疲劳值&amp;地图信息'!$R$13)/BO296)</f>
        <v>44.158136341605953</v>
      </c>
      <c r="BQ296" s="14">
        <f t="shared" si="524"/>
        <v>20</v>
      </c>
      <c r="BR296" s="14">
        <f>('疲劳值&amp;地图信息'!$S$10*'疲劳值&amp;地图信息'!$R$10+($BQ296-'疲劳值&amp;地图信息'!$S$10)*'疲劳值&amp;地图信息'!$R$11)/$BQ296</f>
        <v>32.067203015074995</v>
      </c>
      <c r="CF296" s="14">
        <v>291</v>
      </c>
      <c r="CG296" s="51">
        <f t="shared" si="431"/>
        <v>15770</v>
      </c>
      <c r="CH296" s="51">
        <f t="shared" si="432"/>
        <v>1092</v>
      </c>
      <c r="CI296" s="51">
        <f>INT(SUMPRODUCT($N296:$R296,$BA296:$BE296)/SUM($BA296:$BE296)/10000*$BX$7*$BZ$34/'疲劳值&amp;地图信息'!$R$10*$BY$53)</f>
        <v>3349</v>
      </c>
      <c r="CJ296" s="50">
        <f t="shared" si="433"/>
        <v>0.78026817079808031</v>
      </c>
      <c r="CK296" s="50">
        <f t="shared" si="434"/>
        <v>5.4029983672257684E-2</v>
      </c>
      <c r="CL296" s="50">
        <f t="shared" si="435"/>
        <v>0.16570184552966208</v>
      </c>
      <c r="CM296" s="14">
        <f t="shared" si="436"/>
        <v>17272</v>
      </c>
      <c r="CN296" s="14">
        <f t="shared" si="437"/>
        <v>1857</v>
      </c>
      <c r="CO296" s="14">
        <f>INT(SUMPRODUCT($U296:$Y296,$BA296:$BE296)/SUM($BA296:$BE296)/10000*$BX$7*$BZ$34/'疲劳值&amp;地图信息'!$R$10*$BY$54)</f>
        <v>6380</v>
      </c>
      <c r="CP296" s="50">
        <f t="shared" si="438"/>
        <v>0.67709435885373792</v>
      </c>
      <c r="CQ296" s="50">
        <f t="shared" si="439"/>
        <v>7.2797836057861928E-2</v>
      </c>
      <c r="CR296" s="50">
        <f t="shared" si="440"/>
        <v>0.25010780508840019</v>
      </c>
      <c r="CS296" s="14">
        <f t="shared" si="441"/>
        <v>18856</v>
      </c>
      <c r="CT296" s="14">
        <f t="shared" si="442"/>
        <v>3208</v>
      </c>
      <c r="CU296" s="14">
        <f>INT(SUMPRODUCT($AB296:$AF296,$BA296:$BE296)/SUM($BA296:$BE296)/10000*$BX$7*$BZ$34/'疲劳值&amp;地图信息'!$R$10*$BY$55)</f>
        <v>8667</v>
      </c>
      <c r="CV296" s="50">
        <f t="shared" si="443"/>
        <v>0.61358237610230715</v>
      </c>
      <c r="CW296" s="50">
        <f t="shared" si="444"/>
        <v>0.10438970420747778</v>
      </c>
      <c r="CX296" s="50">
        <f t="shared" si="445"/>
        <v>0.28202791969021507</v>
      </c>
      <c r="CY296" s="14">
        <f t="shared" si="446"/>
        <v>22794</v>
      </c>
      <c r="CZ296" s="14">
        <f t="shared" si="447"/>
        <v>9041</v>
      </c>
      <c r="DA296" s="14">
        <f>INT(SUMPRODUCT($AI296:$AM296,$BA296:$BE296)/SUM($BA296:$BE296)/10000*$BX$7*$BZ$34/'疲劳值&amp;地图信息'!$R$10*$BY$56)</f>
        <v>13075</v>
      </c>
      <c r="DB296" s="50">
        <f t="shared" si="448"/>
        <v>0.50754843019372076</v>
      </c>
      <c r="DC296" s="50">
        <f t="shared" si="449"/>
        <v>0.20131373858828769</v>
      </c>
      <c r="DD296" s="50">
        <f t="shared" si="450"/>
        <v>0.29113783121799153</v>
      </c>
      <c r="DE296" s="14">
        <f t="shared" si="451"/>
        <v>23838</v>
      </c>
      <c r="DF296" s="14">
        <f t="shared" si="452"/>
        <v>16042</v>
      </c>
      <c r="DG296" s="14">
        <f>INT(SUMPRODUCT($AP296:$AT296,$BA296:$BE296)/SUM($BA296:$BE296)/10000*$BX$7*$BZ$34/'疲劳值&amp;地图信息'!$R$10*$BY$57)</f>
        <v>17452</v>
      </c>
      <c r="DH296" s="50">
        <f t="shared" si="453"/>
        <v>0.41578873927300636</v>
      </c>
      <c r="DI296" s="50">
        <f t="shared" si="454"/>
        <v>0.27980883276355262</v>
      </c>
      <c r="DJ296" s="50">
        <f t="shared" si="455"/>
        <v>0.30440242796344102</v>
      </c>
      <c r="DL296" s="14">
        <f t="shared" si="526"/>
        <v>20211</v>
      </c>
      <c r="DM296" s="14">
        <f t="shared" si="527"/>
        <v>25509</v>
      </c>
      <c r="DN296" s="14">
        <f t="shared" si="528"/>
        <v>30731</v>
      </c>
      <c r="DO296" s="14">
        <f t="shared" si="529"/>
        <v>44910</v>
      </c>
      <c r="DP296" s="14">
        <f t="shared" si="530"/>
        <v>57332</v>
      </c>
      <c r="DQ296" s="14">
        <f t="shared" si="531"/>
        <v>1401961</v>
      </c>
      <c r="DT296" s="14">
        <f t="shared" si="525"/>
        <v>235575</v>
      </c>
      <c r="DU296" s="50">
        <f t="shared" si="427"/>
        <v>0.14385943270865495</v>
      </c>
      <c r="DW296" s="14">
        <f t="shared" si="456"/>
        <v>1637536</v>
      </c>
      <c r="EB296" s="14">
        <v>291</v>
      </c>
      <c r="EC296" s="51">
        <f t="shared" si="457"/>
        <v>26283</v>
      </c>
      <c r="ED296" s="51">
        <f t="shared" si="458"/>
        <v>1821</v>
      </c>
      <c r="EE296" s="51">
        <f>INT(SUMPRODUCT($N296:$R296,$BF296:$BJ296)/SUM($BF296:$BJ296)/10000*$BX$7*$BZ$46/'疲劳值&amp;地图信息'!$R$10*$BY$53)</f>
        <v>449</v>
      </c>
      <c r="EF296" s="50">
        <f t="shared" si="459"/>
        <v>0.92049872167548064</v>
      </c>
      <c r="EG296" s="50">
        <f t="shared" si="460"/>
        <v>6.3776135607466811E-2</v>
      </c>
      <c r="EH296" s="50">
        <f t="shared" si="461"/>
        <v>1.5725142717052498E-2</v>
      </c>
      <c r="EI296" s="51">
        <f t="shared" si="462"/>
        <v>28787</v>
      </c>
      <c r="EJ296" s="51">
        <f t="shared" si="463"/>
        <v>3096</v>
      </c>
      <c r="EK296" s="14">
        <f>INT(SUMPRODUCT($U296:$Y296,$BF296:$BJ296)/SUM($BF296:$BJ296)/10000*$BX$7*$BZ$46/'疲劳值&amp;地图信息'!$R$10*$BY$54)</f>
        <v>856</v>
      </c>
      <c r="EL296" s="50">
        <f t="shared" si="464"/>
        <v>0.87928769968539056</v>
      </c>
      <c r="EM296" s="50">
        <f t="shared" si="465"/>
        <v>9.4566113809218366E-2</v>
      </c>
      <c r="EN296" s="50">
        <f t="shared" si="466"/>
        <v>2.6146186505391123E-2</v>
      </c>
      <c r="EO296" s="51">
        <f t="shared" si="467"/>
        <v>31427</v>
      </c>
      <c r="EP296" s="51">
        <f t="shared" si="468"/>
        <v>5347</v>
      </c>
      <c r="EQ296" s="14">
        <f>INT(SUMPRODUCT($AB296:$AF296,$BF296:$BJ296)/SUM($BF296:$BJ296)/10000*$BX$7*$BZ$46/'疲劳值&amp;地图信息'!$R$10*$BY$55)</f>
        <v>1162</v>
      </c>
      <c r="ER296" s="50">
        <f t="shared" si="469"/>
        <v>0.82842155208772672</v>
      </c>
      <c r="ES296" s="50">
        <f t="shared" si="470"/>
        <v>0.14094791227330242</v>
      </c>
      <c r="ET296" s="50">
        <f t="shared" si="471"/>
        <v>3.0630535638970897E-2</v>
      </c>
      <c r="EU296" s="51">
        <f t="shared" si="472"/>
        <v>37990</v>
      </c>
      <c r="EV296" s="51">
        <f t="shared" si="473"/>
        <v>15069</v>
      </c>
      <c r="EW296" s="14">
        <f>INT(SUMPRODUCT($AI296:$AM296,$BF296:$BJ296)/SUM($BF296:$BJ296)/10000*$BX$7*$BZ$46/'疲劳值&amp;地图信息'!$R$10*$BY$56)</f>
        <v>1743</v>
      </c>
      <c r="EX296" s="50">
        <f t="shared" si="474"/>
        <v>0.69322287507755187</v>
      </c>
      <c r="EY296" s="50">
        <f t="shared" si="475"/>
        <v>0.27497171636071677</v>
      </c>
      <c r="EZ296" s="50">
        <f t="shared" si="476"/>
        <v>3.1805408561731321E-2</v>
      </c>
      <c r="FA296" s="51">
        <f t="shared" si="477"/>
        <v>39731</v>
      </c>
      <c r="FB296" s="51">
        <f t="shared" si="478"/>
        <v>26737</v>
      </c>
      <c r="FC296" s="14">
        <f>INT(SUMPRODUCT($AP296:$AT296,$BF296:$BJ296)/SUM($BF296:$BJ296)/10000*$BX$7*$BZ$46/'疲劳值&amp;地图信息'!$R$10*$BY$57)</f>
        <v>2324</v>
      </c>
      <c r="FD296" s="50">
        <f t="shared" si="479"/>
        <v>0.57755262239795324</v>
      </c>
      <c r="FE296" s="50">
        <f t="shared" si="480"/>
        <v>0.38866437957902084</v>
      </c>
      <c r="FF296" s="50">
        <f t="shared" si="481"/>
        <v>3.378299802302593E-2</v>
      </c>
      <c r="FH296" s="14">
        <f t="shared" si="482"/>
        <v>28553</v>
      </c>
      <c r="FI296" s="14">
        <f t="shared" si="483"/>
        <v>32739</v>
      </c>
      <c r="FJ296" s="14">
        <f t="shared" si="484"/>
        <v>37936</v>
      </c>
      <c r="FK296" s="14">
        <f t="shared" si="485"/>
        <v>54802</v>
      </c>
      <c r="FL296" s="14">
        <f t="shared" si="486"/>
        <v>68792</v>
      </c>
      <c r="FM296" s="14">
        <f t="shared" si="487"/>
        <v>3372672</v>
      </c>
      <c r="FP296" s="14">
        <f t="shared" si="488"/>
        <v>334150</v>
      </c>
      <c r="FQ296" s="50">
        <f t="shared" si="428"/>
        <v>9.0144603652400901E-2</v>
      </c>
      <c r="FS296" s="14">
        <f t="shared" si="489"/>
        <v>3706822</v>
      </c>
      <c r="FX296" s="14">
        <v>291</v>
      </c>
      <c r="FY296" s="51">
        <f t="shared" si="490"/>
        <v>36797</v>
      </c>
      <c r="FZ296" s="51">
        <f t="shared" si="491"/>
        <v>1821</v>
      </c>
      <c r="GA296" s="51">
        <f>INT(SUMPRODUCT($N296:$R296,$BF296:$BJ296)/SUM($BF296:$BJ296)/10000*$BX$7*$BZ$46/'疲劳值&amp;地图信息'!$R$10*$BY$53)</f>
        <v>449</v>
      </c>
      <c r="GB296" s="50">
        <f t="shared" si="492"/>
        <v>0.94189469373128221</v>
      </c>
      <c r="GC296" s="50">
        <f t="shared" si="493"/>
        <v>4.6612230271072773E-2</v>
      </c>
      <c r="GD296" s="50">
        <f t="shared" si="494"/>
        <v>1.1493075997645071E-2</v>
      </c>
      <c r="GE296" s="51">
        <f t="shared" si="495"/>
        <v>40302</v>
      </c>
      <c r="GF296" s="51">
        <f t="shared" si="496"/>
        <v>3096</v>
      </c>
      <c r="GG296" s="14">
        <f>INT(SUMPRODUCT($U296:$Y296,$BF296:$BJ296)/SUM($BF296:$BJ296)/10000*$BX$7*$BZ$46/'疲劳值&amp;地图信息'!$R$10*$BY$54)</f>
        <v>856</v>
      </c>
      <c r="GH296" s="50">
        <f t="shared" si="497"/>
        <v>0.91069733809373166</v>
      </c>
      <c r="GI296" s="50">
        <f t="shared" si="498"/>
        <v>6.9959777647218335E-2</v>
      </c>
      <c r="GJ296" s="50">
        <f t="shared" si="499"/>
        <v>1.9342884259050029E-2</v>
      </c>
      <c r="GK296" s="51">
        <f t="shared" si="500"/>
        <v>43997</v>
      </c>
      <c r="GL296" s="51">
        <f t="shared" si="501"/>
        <v>5347</v>
      </c>
      <c r="GM296" s="14">
        <f>INT(SUMPRODUCT($AB296:$AF296,$BF296:$BJ296)/SUM($BF296:$BJ296)/10000*$BX$7*$BZ$46/'疲劳值&amp;地图信息'!$R$10*$BY$55)</f>
        <v>1162</v>
      </c>
      <c r="GN296" s="50">
        <f t="shared" si="502"/>
        <v>0.87112422286461011</v>
      </c>
      <c r="GO296" s="50">
        <f t="shared" si="503"/>
        <v>0.1058686096701382</v>
      </c>
      <c r="GP296" s="50">
        <f t="shared" si="504"/>
        <v>2.3007167465251652E-2</v>
      </c>
      <c r="GQ296" s="51">
        <f t="shared" si="505"/>
        <v>53186</v>
      </c>
      <c r="GR296" s="51">
        <f t="shared" si="506"/>
        <v>15069</v>
      </c>
      <c r="GS296" s="14">
        <f>INT(SUMPRODUCT($AI296:$AM296,$BF296:$BJ296)/SUM($BF296:$BJ296)/10000*$BX$7*$BZ$46/'疲劳值&amp;地图信息'!$R$10*$BY$56)</f>
        <v>1743</v>
      </c>
      <c r="GT296" s="50">
        <f t="shared" si="507"/>
        <v>0.75982170919169123</v>
      </c>
      <c r="GU296" s="50">
        <f t="shared" si="508"/>
        <v>0.21527757935941028</v>
      </c>
      <c r="GV296" s="50">
        <f t="shared" si="509"/>
        <v>2.4900711448898539E-2</v>
      </c>
      <c r="GW296" s="51">
        <f t="shared" si="510"/>
        <v>55624</v>
      </c>
      <c r="GX296" s="51">
        <f t="shared" si="511"/>
        <v>26737</v>
      </c>
      <c r="GY296" s="14">
        <f>INT(SUMPRODUCT($AP296:$AT296,$BF296:$BJ296)/SUM($BF296:$BJ296)/10000*$BX$7*$BZ$46/'疲劳值&amp;地图信息'!$R$10*$BY$57)</f>
        <v>2324</v>
      </c>
      <c r="GZ296" s="50">
        <f t="shared" si="512"/>
        <v>0.65683415008561141</v>
      </c>
      <c r="HA296" s="50">
        <f t="shared" si="513"/>
        <v>0.31572297337190763</v>
      </c>
      <c r="HB296" s="50">
        <f t="shared" si="514"/>
        <v>2.7442876542480957E-2</v>
      </c>
      <c r="HD296" s="14">
        <f t="shared" si="515"/>
        <v>39067</v>
      </c>
      <c r="HE296" s="14">
        <f t="shared" si="516"/>
        <v>44254</v>
      </c>
      <c r="HF296" s="14">
        <f t="shared" si="517"/>
        <v>50506</v>
      </c>
      <c r="HG296" s="14">
        <f t="shared" si="518"/>
        <v>69998</v>
      </c>
      <c r="HH296" s="14">
        <f t="shared" si="519"/>
        <v>84685</v>
      </c>
      <c r="HI296" s="14">
        <f t="shared" si="520"/>
        <v>4554163</v>
      </c>
      <c r="HL296" s="14">
        <f t="shared" si="521"/>
        <v>430050</v>
      </c>
      <c r="HM296" s="50">
        <f t="shared" si="429"/>
        <v>8.628242813860483E-2</v>
      </c>
      <c r="HO296" s="14">
        <f t="shared" si="522"/>
        <v>4984213</v>
      </c>
    </row>
    <row r="297" spans="11:223" x14ac:dyDescent="0.2">
      <c r="K297" s="14">
        <v>292</v>
      </c>
      <c r="L297" s="12">
        <f>求节点(节奏总纲!D$4:D$163,标准城池设计!AB$4:AB$163,$K297)*求节点(节奏总纲!D$4:D$163,攻城基础信息!$AC$5:$AC$164,$K297)</f>
        <v>774920.09494729678</v>
      </c>
      <c r="M297" s="12">
        <f>INDEX(其他调用!$AA$5:$AA$404,MATCH(K297,其他调用!$X$5:$X$404,0))*MIN(INDEX(其他调用!$AH$5:$AH$364,MATCH('征服点（新）'!K297,其他调用!$AG$5:$AG$364,0),1)/INDEX(其他调用!$AJ$5:$AJ$364,MATCH(K297,其他调用!$AG$5:$AG$364,0),0),5)*求节点(节奏总纲!D$4:D$163,攻城基础信息!$AC$5:$AC$164,$K297)</f>
        <v>53604.854783926312</v>
      </c>
      <c r="N297" s="12">
        <f>MIN(INDEX(其他调用!$AH$5:$AH$364,MATCH($K297,其他调用!$AG$5:$AG$364,0),1)/INDEX(其他调用!AH$5:AH$364,MATCH($K297,其他调用!$AG$5:$AG$364,0),0),1)*INDEX(其他调用!Y$5:Y$404,MATCH($K297,其他调用!$X$5:$X$404,0),0)</f>
        <v>42319.238555774864</v>
      </c>
      <c r="O297" s="12">
        <f>MIN(INDEX(其他调用!$AH$5:$AH$364,MATCH($K297,其他调用!$AG$5:$AG$364,0),1)/INDEX(其他调用!AI$5:AI$364,MATCH($K297,其他调用!$AG$5:$AG$364,0),0),1)*INDEX(其他调用!Z$5:Z$404,MATCH($K297,其他调用!$X$5:$X$404,0),0)</f>
        <v>25562.807721211801</v>
      </c>
      <c r="P297" s="12">
        <f>MIN(INDEX(其他调用!$AH$5:$AH$364,MATCH($K297,其他调用!$AG$5:$AG$364,0),1)/INDEX(其他调用!AJ$5:AJ$364,MATCH($K297,其他调用!$AG$5:$AG$364,0),0),1)*INDEX(其他调用!AA$5:AA$404,MATCH($K297,其他调用!$X$5:$X$404,0),0)</f>
        <v>15315.672795407527</v>
      </c>
      <c r="Q297" s="12">
        <f>MIN(INDEX(其他调用!$AH$5:$AH$364,MATCH($K297,其他调用!$AG$5:$AG$364,0),1)/INDEX(其他调用!AK$5:AK$364,MATCH($K297,其他调用!$AG$5:$AG$364,0),0),1)*INDEX(其他调用!AB$5:AB$404,MATCH($K297,其他调用!$X$5:$X$404,0),0)</f>
        <v>5713.4325238018346</v>
      </c>
      <c r="R297" s="12">
        <f>MIN(INDEX(其他调用!$AH$5:$AH$364,MATCH($K297,其他调用!$AG$5:$AG$364,0),1)/INDEX(其他调用!AL$5:AL$364,MATCH($K297,其他调用!$AG$5:$AG$364,0),0),1)*INDEX(其他调用!AC$5:AC$404,MATCH($K297,其他调用!$X$5:$X$404,0),0)</f>
        <v>3318.2410525971095</v>
      </c>
      <c r="S297" s="12">
        <f>求节点(节奏总纲!D$4:D$163,标准城池设计!AC$4:AC$163,$K297)*求节点(节奏总纲!D$4:D$163,攻城基础信息!$AD$5:$AD$164,$K297)</f>
        <v>848897.02767037065</v>
      </c>
      <c r="T297" s="12">
        <f>INDEX(其他调用!$AA$5:$AA$404,MATCH($K297,其他调用!$X$5:$X$404,0))*MIN(INDEX(其他调用!AI$5:AI$364,MATCH($K297,其他调用!$AG$5:$AG$364,0),1)/INDEX(其他调用!$AJ$5:$AJ$364,MATCH($K297,其他调用!$AG$5:$AG$364,0),0),5)*求节点(节奏总纲!D$4:D$163,攻城基础信息!$AD$5:$AD$164,$K297)</f>
        <v>91168.719012123111</v>
      </c>
      <c r="U297" s="12">
        <f>MIN(INDEX(其他调用!$AI$5:$AI$364,MATCH($K297,其他调用!$AG$5:$AG$364,0),1)/INDEX(其他调用!AH$5:AH$364,MATCH($K297,其他调用!$AG$5:$AG$364,0),0),1)*INDEX(其他调用!Y$5:Y$404,MATCH($K297,其他调用!$X$5:$X$404,0),0)</f>
        <v>42319.238555774864</v>
      </c>
      <c r="V297" s="12">
        <f>MIN(INDEX(其他调用!$AI$5:$AI$364,MATCH($K297,其他调用!$AG$5:$AG$364,0),1)/INDEX(其他调用!AI$5:AI$364,MATCH($K297,其他调用!$AG$5:$AG$364,0),0),1)*INDEX(其他调用!Z$5:Z$404,MATCH($K297,其他调用!$X$5:$X$404,0),0)</f>
        <v>43476.07028673288</v>
      </c>
      <c r="W297" s="12">
        <f>MIN(INDEX(其他调用!$AI$5:$AI$364,MATCH($K297,其他调用!$AG$5:$AG$364,0),1)/INDEX(其他调用!AJ$5:AJ$364,MATCH($K297,其他调用!$AG$5:$AG$364,0),0),1)*INDEX(其他调用!AA$5:AA$404,MATCH($K297,其他调用!$X$5:$X$404,0),0)</f>
        <v>26048.205432035193</v>
      </c>
      <c r="X297" s="12">
        <f>MIN(INDEX(其他调用!$AI$5:$AI$364,MATCH($K297,其他调用!$AG$5:$AG$364,0),1)/INDEX(其他调用!AK$5:AK$364,MATCH($K297,其他调用!$AG$5:$AG$364,0),0),1)*INDEX(其他调用!AB$5:AB$404,MATCH($K297,其他调用!$X$5:$X$404,0),0)</f>
        <v>9717.1483153314184</v>
      </c>
      <c r="Y297" s="12">
        <f>MIN(INDEX(其他调用!$AI$5:$AI$364,MATCH($K297,其他调用!$AG$5:$AG$364,0),1)/INDEX(其他调用!AL$5:AL$364,MATCH($K297,其他调用!$AG$5:$AG$364,0),0),1)*INDEX(其他调用!AC$5:AC$404,MATCH($K297,其他调用!$X$5:$X$404,0),0)</f>
        <v>5643.5147032509003</v>
      </c>
      <c r="Z297" s="12">
        <f>求节点(节奏总纲!D$4:D$163,标准城池设计!AD$4:AD$163,$K297)*求节点(节奏总纲!D$4:D$163,攻城基础信息!$AE$5:$AE$164,$K297)</f>
        <v>926592.42638605286</v>
      </c>
      <c r="AA297" s="12">
        <f>INDEX(其他调用!$AA$5:$AA$404,MATCH($K297,其他调用!$X$5:$X$404,0))*MIN(INDEX(其他调用!AJ$5:AJ$364,MATCH($K297,其他调用!$AG$5:$AG$364,0),1)/INDEX(其他调用!$AJ$5:$AJ$364,MATCH($K297,其他调用!$AG$5:$AG$364,0),0),5)*求节点(节奏总纲!D$4:D$163,攻城基础信息!$AE$5:$AE$164,$K297)</f>
        <v>157491.89173090699</v>
      </c>
      <c r="AB297" s="12">
        <f>MIN(INDEX(其他调用!$AJ$5:$AJ$364,MATCH($K297,其他调用!$AG$5:$AG$364,0),1)/INDEX(其他调用!AH$5:AH$364,MATCH($K297,其他调用!$AG$5:$AG$364,0),0),1)*INDEX(其他调用!Y$5:Y$404,MATCH($K297,其他调用!$X$5:$X$404,0),0)</f>
        <v>42319.238555774864</v>
      </c>
      <c r="AC297" s="12">
        <f>MIN(INDEX(其他调用!$AJ$5:$AJ$364,MATCH($K297,其他调用!$AG$5:$AG$364,0),1)/INDEX(其他调用!AI$5:AI$364,MATCH($K297,其他调用!$AG$5:$AG$364,0),0),1)*INDEX(其他调用!Z$5:Z$404,MATCH($K297,其他调用!$X$5:$X$404,0),0)</f>
        <v>43476.07028673288</v>
      </c>
      <c r="AD297" s="12">
        <f>MIN(INDEX(其他调用!$AJ$5:$AJ$364,MATCH($K297,其他调用!$AG$5:$AG$364,0),1)/INDEX(其他调用!AJ$5:AJ$364,MATCH($K297,其他调用!$AG$5:$AG$364,0),0),1)*INDEX(其他调用!AA$5:AA$404,MATCH($K297,其他调用!$X$5:$X$404,0),0)</f>
        <v>44997.683351687745</v>
      </c>
      <c r="AE297" s="12">
        <f>MIN(INDEX(其他调用!$AJ$5:$AJ$364,MATCH($K297,其他调用!$AG$5:$AG$364,0),1)/INDEX(其他调用!AK$5:AK$364,MATCH($K297,其他调用!$AG$5:$AG$364,0),0),1)*INDEX(其他调用!AB$5:AB$404,MATCH($K297,其他调用!$X$5:$X$404,0),0)</f>
        <v>16786.153046724728</v>
      </c>
      <c r="AF297" s="12">
        <f>MIN(INDEX(其他调用!$AJ$5:$AJ$364,MATCH($K297,其他调用!$AG$5:$AG$364,0),1)/INDEX(其他调用!AL$5:AL$364,MATCH($K297,其他调用!$AG$5:$AG$364,0),0),1)*INDEX(其他调用!AC$5:AC$404,MATCH($K297,其他调用!$X$5:$X$404,0),0)</f>
        <v>9749.0434905417915</v>
      </c>
      <c r="AG297" s="12">
        <f>求节点(节奏总纲!D$4:D$163,标准城池设计!AE$4:AE$163,$K297)*求节点(节奏总纲!D$4:D$163,攻城基础信息!$AF$5:$AF$164,$K297)</f>
        <v>1120169.8238158568</v>
      </c>
      <c r="AH297" s="12">
        <f>INDEX(其他调用!$AA$5:$AA$404,MATCH($K297,其他调用!$X$5:$X$404,0))*MIN(INDEX(其他调用!AK$5:AK$364,MATCH($K297,其他调用!$AG$5:$AG$364,0),1)/INDEX(其他调用!$AJ$5:$AJ$364,MATCH($K297,其他调用!$AG$5:$AG$364,0),0),5)*求节点(节奏总纲!D$4:D$163,攻城基础信息!$AF$5:$AF$164,$K297)</f>
        <v>443317.66213625082</v>
      </c>
      <c r="AI297" s="12">
        <f>MIN(INDEX(其他调用!$AK$5:$AK$364,MATCH($K297,其他调用!$AG$5:$AG$364,0),1)/INDEX(其他调用!AH$5:AH$364,MATCH($K297,其他调用!$AG$5:$AG$364,0),0),1)*INDEX(其他调用!Y$5:Y$404,MATCH($K297,其他调用!$X$5:$X$404,0),0)</f>
        <v>42319.238555774864</v>
      </c>
      <c r="AJ297" s="12">
        <f>MIN(INDEX(其他调用!$AK$5:$AK$364,MATCH($K297,其他调用!$AG$5:$AG$364,0),1)/INDEX(其他调用!AI$5:AI$364,MATCH($K297,其他调用!$AG$5:$AG$364,0),0),1)*INDEX(其他调用!Z$5:Z$404,MATCH($K297,其他调用!$X$5:$X$404,0),0)</f>
        <v>43476.07028673288</v>
      </c>
      <c r="AK297" s="12">
        <f>MIN(INDEX(其他调用!$AK$5:$AK$364,MATCH($K297,其他调用!$AG$5:$AG$364,0),1)/INDEX(其他调用!AJ$5:AJ$364,MATCH($K297,其他调用!$AG$5:$AG$364,0),0),1)*INDEX(其他调用!AA$5:AA$404,MATCH($K297,其他调用!$X$5:$X$404,0),0)</f>
        <v>44997.683351687745</v>
      </c>
      <c r="AL297" s="12">
        <f>MIN(INDEX(其他调用!$AK$5:$AK$364,MATCH($K297,其他调用!$AG$5:$AG$364,0),1)/INDEX(其他调用!AK$5:AK$364,MATCH($K297,其他调用!$AG$5:$AG$364,0),0),1)*INDEX(其他调用!AB$5:AB$404,MATCH($K297,其他调用!$X$5:$X$404,0),0)</f>
        <v>47250.674578537262</v>
      </c>
      <c r="AM297" s="12">
        <f>MIN(INDEX(其他调用!$AK$5:$AK$364,MATCH($K297,其他调用!$AG$5:$AG$364,0),1)/INDEX(其他调用!AL$5:AL$364,MATCH($K297,其他调用!$AG$5:$AG$364,0),0),1)*INDEX(其他调用!AC$5:AC$404,MATCH($K297,其他调用!$X$5:$X$404,0),0)</f>
        <v>27442.19477454829</v>
      </c>
      <c r="AN297" s="12">
        <f>求节点(节奏总纲!D$4:D$163,标准城池设计!AF$4:AF$163,$K297)*求节点(节奏总纲!D$4:D$163,攻城基础信息!$AG$5:$AG$164,$K297)</f>
        <v>1171445.2606518662</v>
      </c>
      <c r="AO297" s="12">
        <f>INDEX(其他调用!$AA$5:$AA$404,MATCH($K297,其他调用!$X$5:$X$404,0))*MIN(INDEX(其他调用!AL$5:AL$364,MATCH($K297,其他调用!$AG$5:$AG$364,0),1)/INDEX(其他调用!$AJ$5:$AJ$364,MATCH($K297,其他调用!$AG$5:$AG$364,0),0),5)*求节点(节奏总纲!D$4:D$163,攻城基础信息!$AG$5:$AG$164,$K297)</f>
        <v>787459.458654535</v>
      </c>
      <c r="AP297" s="12">
        <f>MIN(INDEX(其他调用!$AL$5:$AL$364,MATCH($K297,其他调用!$AG$5:$AG$364,0),1)/INDEX(其他调用!AH$5:AH$364,MATCH($K297,其他调用!$AG$5:$AG$364,0),0),1)*INDEX(其他调用!Y$5:Y$404,MATCH($K297,其他调用!$X$5:$X$404,0),0)</f>
        <v>42319.238555774864</v>
      </c>
      <c r="AQ297" s="12">
        <f>MIN(INDEX(其他调用!$AL$5:$AL$364,MATCH($K297,其他调用!$AG$5:$AG$364,0),1)/INDEX(其他调用!AI$5:AI$364,MATCH($K297,其他调用!$AG$5:$AG$364,0),0),1)*INDEX(其他调用!Z$5:Z$404,MATCH($K297,其他调用!$X$5:$X$404,0),0)</f>
        <v>43476.07028673288</v>
      </c>
      <c r="AR297" s="12">
        <f>MIN(INDEX(其他调用!$AL$5:$AL$364,MATCH($K297,其他调用!$AG$5:$AG$364,0),1)/INDEX(其他调用!AJ$5:AJ$364,MATCH($K297,其他调用!$AG$5:$AG$364,0),0),1)*INDEX(其他调用!AA$5:AA$404,MATCH($K297,其他调用!$X$5:$X$404,0),0)</f>
        <v>44997.683351687745</v>
      </c>
      <c r="AS297" s="12">
        <f>MIN(INDEX(其他调用!$AL$5:$AL$364,MATCH($K297,其他调用!$AG$5:$AG$364,0),1)/INDEX(其他调用!AK$5:AK$364,MATCH($K297,其他调用!$AG$5:$AG$364,0),0),1)*INDEX(其他调用!AB$5:AB$404,MATCH($K297,其他调用!$X$5:$X$404,0),0)</f>
        <v>47250.674578537262</v>
      </c>
      <c r="AT297" s="12">
        <f>MIN(INDEX(其他调用!$AL$5:$AL$364,MATCH($K297,其他调用!$AG$5:$AG$364,0),1)/INDEX(其他调用!AL$5:AL$364,MATCH($K297,其他调用!$AG$5:$AG$364,0),0),1)*INDEX(其他调用!AC$5:AC$404,MATCH($K297,其他调用!$X$5:$X$404,0),0)</f>
        <v>51148.741352350233</v>
      </c>
      <c r="AV297" s="14">
        <f>IF(OR(AV$5="大R",AV$5="超R"),MAX(INDEX(其他调用!$H$5:$L$404,MATCH($K297,其他调用!$B$5:$B$404,0),MATCH(AV$5,其他调用!$H$4:$L$4,0))*120*0.85,2),INDEX(其他调用!$H$5:$L$404,MATCH($K297,其他调用!$B$5:$B$404,0),MATCH(AV$5,其他调用!$H$4:$L$4,0))*120*0.85)</f>
        <v>48.921801254999991</v>
      </c>
      <c r="AW297" s="14">
        <f>IF(OR(AW$5="大R",AW$5="超R"),MAX(INDEX(其他调用!$H$5:$L$404,MATCH($K297,其他调用!$B$5:$B$404,0),MATCH(AW$5,其他调用!$H$4:$L$4,0))*120*0.85,2),INDEX(其他调用!$H$5:$L$404,MATCH($K297,其他调用!$B$5:$B$404,0),MATCH(AW$5,其他调用!$H$4:$L$4,0))*120*0.85)</f>
        <v>48.237344010638395</v>
      </c>
      <c r="AX297" s="14">
        <f>IF(OR(AX$5="大R",AX$5="超R"),MAX(INDEX(其他调用!$H$5:$L$404,MATCH($K297,其他调用!$B$5:$B$404,0),MATCH(AX$5,其他调用!$H$4:$L$4,0))*120*0.85,2),INDEX(其他调用!$H$5:$L$404,MATCH($K297,其他调用!$B$5:$B$404,0),MATCH(AX$5,其他调用!$H$4:$L$4,0))*120*0.85)</f>
        <v>3.9376284143615998</v>
      </c>
      <c r="AY297" s="14">
        <f>IF(OR(AY$5="大R",AY$5="超R"),MAX(INDEX(其他调用!$H$5:$L$404,MATCH($K297,其他调用!$B$5:$B$404,0),MATCH(AY$5,其他调用!$H$4:$L$4,0))*120*0.85,2),INDEX(其他调用!$H$5:$L$404,MATCH($K297,其他调用!$B$5:$B$404,0),MATCH(AY$5,其他调用!$H$4:$L$4,0))*120*0.85)</f>
        <v>2</v>
      </c>
      <c r="AZ297" s="14">
        <f>IF(OR(AZ$5="大R",AZ$5="超R"),MAX(INDEX(其他调用!$H$5:$L$404,MATCH($K297,其他调用!$B$5:$B$404,0),MATCH(AZ$5,其他调用!$H$4:$L$4,0))*120*0.85,2),INDEX(其他调用!$H$5:$L$404,MATCH($K297,其他调用!$B$5:$B$404,0),MATCH(AZ$5,其他调用!$H$4:$L$4,0))*120*0.85)</f>
        <v>2</v>
      </c>
      <c r="BA297" s="14">
        <f>INDEX(其他调用!$H$5:$L$404,MATCH($K297,其他调用!$B$5:$B$404,0),MATCH(BA$5,其他调用!$H$4:$L$4,0))*INDEX(其他调用!$M$5:$M$404,MATCH($K297,其他调用!$B$5:$B$404,0))*0.6</f>
        <v>28.777530149999997</v>
      </c>
      <c r="BB297" s="14">
        <f>INDEX(其他调用!$H$5:$L$404,MATCH($K297,其他调用!$B$5:$B$404,0),MATCH(BB$5,其他调用!$H$4:$L$4,0))*INDEX(其他调用!$M$5:$M$404,MATCH($K297,其他调用!$B$5:$B$404,0))*0.6</f>
        <v>28.374908241551999</v>
      </c>
      <c r="BC297" s="14">
        <f>INDEX(其他调用!$H$5:$L$404,MATCH($K297,其他调用!$B$5:$B$404,0),MATCH(BC$5,其他调用!$H$4:$L$4,0))*INDEX(其他调用!$M$5:$M$404,MATCH($K297,其他调用!$B$5:$B$404,0))*0.6</f>
        <v>2.3162520084480001</v>
      </c>
      <c r="BD297" s="14">
        <f>INDEX(其他调用!$H$5:$L$404,MATCH($K297,其他调用!$B$5:$B$404,0),MATCH(BD$5,其他调用!$H$4:$L$4,0))*INDEX(其他调用!$M$5:$M$404,MATCH($K297,其他调用!$B$5:$B$404,0))*0.6</f>
        <v>0.4120776000000001</v>
      </c>
      <c r="BE297" s="14">
        <f>INDEX(其他调用!$H$5:$L$404,MATCH($K297,其他调用!$B$5:$B$404,0),MATCH(BE$5,其他调用!$H$4:$L$4,0))*INDEX(其他调用!$M$5:$M$404,MATCH($K297,其他调用!$B$5:$B$404,0))*0.6</f>
        <v>0.11923199999999998</v>
      </c>
      <c r="BF297" s="14">
        <f>IF(OR(BF$5="大R",BF$5="超R"),0,INDEX(其他调用!$H$5:$L$404,MATCH($K297,其他调用!$B$5:$B$404,0),MATCH(BF$5,其他调用!$H$4:$L$4,0))*50*0.4)</f>
        <v>9.5925100500000013</v>
      </c>
      <c r="BG297" s="14">
        <f>IF(OR(BG$5="大R",BG$5="超R"),0,INDEX(其他调用!$H$5:$L$404,MATCH($K297,其他调用!$B$5:$B$404,0),MATCH(BG$5,其他调用!$H$4:$L$4,0))*50*0.4)</f>
        <v>9.4583027471839998</v>
      </c>
      <c r="BH297" s="14">
        <f>IF(OR(BH$5="大R",BH$5="超R"),0,INDEX(其他调用!$H$5:$L$404,MATCH($K297,其他调用!$B$5:$B$404,0),MATCH(BH$5,其他调用!$H$4:$L$4,0))*50*0.4)</f>
        <v>0.77208400281600009</v>
      </c>
      <c r="BI297" s="14">
        <f>IF(OR(BI$5="大R",BI$5="超R"),0,INDEX(其他调用!$H$5:$L$404,MATCH($K297,其他调用!$B$5:$B$404,0),MATCH(BI$5,其他调用!$H$4:$L$4,0))*50*0.4)</f>
        <v>0</v>
      </c>
      <c r="BJ297" s="14">
        <f>IF(OR(BJ$5="大R",BJ$5="超R"),0,INDEX(其他调用!$H$5:$L$404,MATCH($K297,其他调用!$B$5:$B$404,0),MATCH(BJ$5,其他调用!$H$4:$L$4,0))*50*0.4)</f>
        <v>0</v>
      </c>
      <c r="BL297" s="14">
        <f t="shared" si="523"/>
        <v>292</v>
      </c>
      <c r="BM297" s="14">
        <f t="shared" si="430"/>
        <v>96</v>
      </c>
      <c r="BN297" s="14">
        <f>('疲劳值&amp;地图信息'!$S$10*'疲劳值&amp;地图信息'!$R$10+'疲劳值&amp;地图信息'!$S$11*'疲劳值&amp;地图信息'!$R$11+'疲劳值&amp;地图信息'!$S$12*'疲劳值&amp;地图信息'!$R$12+(BM297-'疲劳值&amp;地图信息'!$S$12-'疲劳值&amp;地图信息'!$S$11-'疲劳值&amp;地图信息'!$S$10)*'疲劳值&amp;地图信息'!$R$13)/BM297</f>
        <v>51.371477246638619</v>
      </c>
      <c r="BO297" s="14">
        <f>INDEX(其他调用!$M$5:$M$404,MATCH(BL297,其他调用!$B$5:$B$404,0))*0.6</f>
        <v>60</v>
      </c>
      <c r="BP297" s="14">
        <f>IF(BO297&gt;SUM('疲劳值&amp;地图信息'!$S$10:$S$12),('疲劳值&amp;地图信息'!$S$10*'疲劳值&amp;地图信息'!$R$10+'疲劳值&amp;地图信息'!$S$11*'疲劳值&amp;地图信息'!$R$11+'疲劳值&amp;地图信息'!$S$12*'疲劳值&amp;地图信息'!$R$12+(BO297-'疲劳值&amp;地图信息'!$S$12-'疲劳值&amp;地图信息'!$S$11-'疲劳值&amp;地图信息'!$S$10)*'疲劳值&amp;地图信息'!$R$13)/BO297,('疲劳值&amp;地图信息'!$S$10*'疲劳值&amp;地图信息'!$R$10+'疲劳值&amp;地图信息'!$S$11*'疲劳值&amp;地图信息'!$R$11+'疲劳值&amp;地图信息'!$S$12*'疲劳值&amp;地图信息'!$R$12+(BO297-'疲劳值&amp;地图信息'!$S$12-'疲劳值&amp;地图信息'!$S$11-'疲劳值&amp;地图信息'!$S$10)*'疲劳值&amp;地图信息'!$R$13)/BO297)</f>
        <v>44.158136341605953</v>
      </c>
      <c r="BQ297" s="14">
        <f t="shared" si="524"/>
        <v>20</v>
      </c>
      <c r="BR297" s="14">
        <f>('疲劳值&amp;地图信息'!$S$10*'疲劳值&amp;地图信息'!$R$10+($BQ297-'疲劳值&amp;地图信息'!$S$10)*'疲劳值&amp;地图信息'!$R$11)/$BQ297</f>
        <v>32.067203015074995</v>
      </c>
      <c r="CF297" s="14">
        <v>292</v>
      </c>
      <c r="CG297" s="51">
        <f t="shared" si="431"/>
        <v>15793</v>
      </c>
      <c r="CH297" s="51">
        <f t="shared" si="432"/>
        <v>1092</v>
      </c>
      <c r="CI297" s="51">
        <f>INT(SUMPRODUCT($N297:$R297,$BA297:$BE297)/SUM($BA297:$BE297)/10000*$BX$7*$BZ$34/'疲劳值&amp;地图信息'!$R$10*$BY$53)</f>
        <v>3350</v>
      </c>
      <c r="CJ297" s="50">
        <f t="shared" si="433"/>
        <v>0.78047936743266622</v>
      </c>
      <c r="CK297" s="50">
        <f t="shared" si="434"/>
        <v>5.3965900667160858E-2</v>
      </c>
      <c r="CL297" s="50">
        <f t="shared" si="435"/>
        <v>0.16555473190017297</v>
      </c>
      <c r="CM297" s="14">
        <f t="shared" si="436"/>
        <v>17301</v>
      </c>
      <c r="CN297" s="14">
        <f t="shared" si="437"/>
        <v>1858</v>
      </c>
      <c r="CO297" s="14">
        <f>INT(SUMPRODUCT($U297:$Y297,$BA297:$BE297)/SUM($BA297:$BE297)/10000*$BX$7*$BZ$34/'疲劳值&amp;地图信息'!$R$10*$BY$54)</f>
        <v>6383</v>
      </c>
      <c r="CP297" s="50">
        <f t="shared" si="438"/>
        <v>0.67735494479680525</v>
      </c>
      <c r="CQ297" s="50">
        <f t="shared" si="439"/>
        <v>7.274293320804949E-2</v>
      </c>
      <c r="CR297" s="50">
        <f t="shared" si="440"/>
        <v>0.24990212199514525</v>
      </c>
      <c r="CS297" s="14">
        <f t="shared" si="441"/>
        <v>18885</v>
      </c>
      <c r="CT297" s="14">
        <f t="shared" si="442"/>
        <v>3209</v>
      </c>
      <c r="CU297" s="14">
        <f>INT(SUMPRODUCT($AB297:$AF297,$BA297:$BE297)/SUM($BA297:$BE297)/10000*$BX$7*$BZ$34/'疲劳值&amp;地图信息'!$R$10*$BY$55)</f>
        <v>8671</v>
      </c>
      <c r="CV297" s="50">
        <f t="shared" si="443"/>
        <v>0.61384690394929298</v>
      </c>
      <c r="CW297" s="50">
        <f t="shared" si="444"/>
        <v>0.10430684219080123</v>
      </c>
      <c r="CX297" s="50">
        <f t="shared" si="445"/>
        <v>0.28184625385990575</v>
      </c>
      <c r="CY297" s="14">
        <f t="shared" si="446"/>
        <v>22830</v>
      </c>
      <c r="CZ297" s="14">
        <f t="shared" si="447"/>
        <v>9035</v>
      </c>
      <c r="DA297" s="14">
        <f>INT(SUMPRODUCT($AI297:$AM297,$BA297:$BE297)/SUM($BA297:$BE297)/10000*$BX$7*$BZ$34/'疲劳值&amp;地图信息'!$R$10*$BY$56)</f>
        <v>13081</v>
      </c>
      <c r="DB297" s="50">
        <f t="shared" si="448"/>
        <v>0.50794286477105866</v>
      </c>
      <c r="DC297" s="50">
        <f t="shared" si="449"/>
        <v>0.20101900057847194</v>
      </c>
      <c r="DD297" s="50">
        <f t="shared" si="450"/>
        <v>0.29103813465046946</v>
      </c>
      <c r="DE297" s="14">
        <f t="shared" si="451"/>
        <v>23875</v>
      </c>
      <c r="DF297" s="14">
        <f t="shared" si="452"/>
        <v>16049</v>
      </c>
      <c r="DG297" s="14">
        <f>INT(SUMPRODUCT($AP297:$AT297,$BA297:$BE297)/SUM($BA297:$BE297)/10000*$BX$7*$BZ$34/'疲劳值&amp;地图信息'!$R$10*$BY$57)</f>
        <v>17460</v>
      </c>
      <c r="DH297" s="50">
        <f t="shared" si="453"/>
        <v>0.41605674055485847</v>
      </c>
      <c r="DI297" s="50">
        <f t="shared" si="454"/>
        <v>0.27967726195455178</v>
      </c>
      <c r="DJ297" s="50">
        <f t="shared" si="455"/>
        <v>0.30426599749058969</v>
      </c>
      <c r="DL297" s="14">
        <f t="shared" si="526"/>
        <v>20235</v>
      </c>
      <c r="DM297" s="14">
        <f t="shared" si="527"/>
        <v>25542</v>
      </c>
      <c r="DN297" s="14">
        <f t="shared" si="528"/>
        <v>30765</v>
      </c>
      <c r="DO297" s="14">
        <f t="shared" si="529"/>
        <v>44946</v>
      </c>
      <c r="DP297" s="14">
        <f t="shared" si="530"/>
        <v>57384</v>
      </c>
      <c r="DQ297" s="14">
        <f t="shared" si="531"/>
        <v>1403687</v>
      </c>
      <c r="DT297" s="14">
        <f t="shared" si="525"/>
        <v>235575</v>
      </c>
      <c r="DU297" s="50">
        <f t="shared" si="427"/>
        <v>0.14370796126549631</v>
      </c>
      <c r="DW297" s="14">
        <f t="shared" si="456"/>
        <v>1639262</v>
      </c>
      <c r="EB297" s="14">
        <v>292</v>
      </c>
      <c r="EC297" s="51">
        <f t="shared" si="457"/>
        <v>26323</v>
      </c>
      <c r="ED297" s="51">
        <f t="shared" si="458"/>
        <v>1820</v>
      </c>
      <c r="EE297" s="51">
        <f>INT(SUMPRODUCT($N297:$R297,$BF297:$BJ297)/SUM($BF297:$BJ297)/10000*$BX$7*$BZ$46/'疲劳值&amp;地图信息'!$R$10*$BY$53)</f>
        <v>450</v>
      </c>
      <c r="EF297" s="50">
        <f t="shared" si="459"/>
        <v>0.92060993949568071</v>
      </c>
      <c r="EG297" s="50">
        <f t="shared" si="460"/>
        <v>6.3651942783198689E-2</v>
      </c>
      <c r="EH297" s="50">
        <f t="shared" si="461"/>
        <v>1.5738117721120555E-2</v>
      </c>
      <c r="EI297" s="51">
        <f t="shared" si="462"/>
        <v>28836</v>
      </c>
      <c r="EJ297" s="51">
        <f t="shared" si="463"/>
        <v>3096</v>
      </c>
      <c r="EK297" s="14">
        <f>INT(SUMPRODUCT($U297:$Y297,$BF297:$BJ297)/SUM($BF297:$BJ297)/10000*$BX$7*$BZ$46/'疲劳值&amp;地图信息'!$R$10*$BY$54)</f>
        <v>857</v>
      </c>
      <c r="EL297" s="50">
        <f t="shared" si="464"/>
        <v>0.87944127603769562</v>
      </c>
      <c r="EM297" s="50">
        <f t="shared" si="465"/>
        <v>9.4421909786818747E-2</v>
      </c>
      <c r="EN297" s="50">
        <f t="shared" si="466"/>
        <v>2.6136814175485683E-2</v>
      </c>
      <c r="EO297" s="51">
        <f t="shared" si="467"/>
        <v>31475</v>
      </c>
      <c r="EP297" s="51">
        <f t="shared" si="468"/>
        <v>5349</v>
      </c>
      <c r="EQ297" s="14">
        <f>INT(SUMPRODUCT($AB297:$AF297,$BF297:$BJ297)/SUM($BF297:$BJ297)/10000*$BX$7*$BZ$46/'疲劳值&amp;地图信息'!$R$10*$BY$55)</f>
        <v>1162</v>
      </c>
      <c r="ER297" s="50">
        <f t="shared" si="469"/>
        <v>0.82859474543252776</v>
      </c>
      <c r="ES297" s="50">
        <f t="shared" si="470"/>
        <v>0.14081503711893856</v>
      </c>
      <c r="ET297" s="50">
        <f t="shared" si="471"/>
        <v>3.0590217448533671E-2</v>
      </c>
      <c r="EU297" s="51">
        <f t="shared" si="472"/>
        <v>38050</v>
      </c>
      <c r="EV297" s="51">
        <f t="shared" si="473"/>
        <v>15058</v>
      </c>
      <c r="EW297" s="14">
        <f>INT(SUMPRODUCT($AI297:$AM297,$BF297:$BJ297)/SUM($BF297:$BJ297)/10000*$BX$7*$BZ$46/'疲劳值&amp;地图信息'!$R$10*$BY$56)</f>
        <v>1744</v>
      </c>
      <c r="EX297" s="50">
        <f t="shared" si="474"/>
        <v>0.69368482461897474</v>
      </c>
      <c r="EY297" s="50">
        <f t="shared" si="475"/>
        <v>0.2745205279661635</v>
      </c>
      <c r="EZ297" s="50">
        <f t="shared" si="476"/>
        <v>3.1794647414861807E-2</v>
      </c>
      <c r="FA297" s="51">
        <f t="shared" si="477"/>
        <v>39792</v>
      </c>
      <c r="FB297" s="51">
        <f t="shared" si="478"/>
        <v>26749</v>
      </c>
      <c r="FC297" s="14">
        <f>INT(SUMPRODUCT($AP297:$AT297,$BF297:$BJ297)/SUM($BF297:$BJ297)/10000*$BX$7*$BZ$46/'疲劳值&amp;地图信息'!$R$10*$BY$57)</f>
        <v>2325</v>
      </c>
      <c r="FD297" s="50">
        <f t="shared" si="479"/>
        <v>0.57781779107251763</v>
      </c>
      <c r="FE297" s="50">
        <f t="shared" si="480"/>
        <v>0.38842099149072112</v>
      </c>
      <c r="FF297" s="50">
        <f t="shared" si="481"/>
        <v>3.3761217436761248E-2</v>
      </c>
      <c r="FH297" s="14">
        <f t="shared" si="482"/>
        <v>28593</v>
      </c>
      <c r="FI297" s="14">
        <f t="shared" si="483"/>
        <v>32789</v>
      </c>
      <c r="FJ297" s="14">
        <f t="shared" si="484"/>
        <v>37986</v>
      </c>
      <c r="FK297" s="14">
        <f t="shared" si="485"/>
        <v>54852</v>
      </c>
      <c r="FL297" s="14">
        <f t="shared" si="486"/>
        <v>68866</v>
      </c>
      <c r="FM297" s="14">
        <f t="shared" si="487"/>
        <v>3377486</v>
      </c>
      <c r="FP297" s="14">
        <f t="shared" si="488"/>
        <v>334150</v>
      </c>
      <c r="FQ297" s="50">
        <f t="shared" si="428"/>
        <v>9.0027685904544519E-2</v>
      </c>
      <c r="FS297" s="14">
        <f t="shared" si="489"/>
        <v>3711636</v>
      </c>
      <c r="FX297" s="14">
        <v>292</v>
      </c>
      <c r="FY297" s="51">
        <f t="shared" si="490"/>
        <v>36852</v>
      </c>
      <c r="FZ297" s="51">
        <f t="shared" si="491"/>
        <v>1820</v>
      </c>
      <c r="GA297" s="51">
        <f>INT(SUMPRODUCT($N297:$R297,$BF297:$BJ297)/SUM($BF297:$BJ297)/10000*$BX$7*$BZ$46/'疲劳值&amp;地图信息'!$R$10*$BY$53)</f>
        <v>450</v>
      </c>
      <c r="GB297" s="50">
        <f t="shared" si="492"/>
        <v>0.94197638157558405</v>
      </c>
      <c r="GC297" s="50">
        <f t="shared" si="493"/>
        <v>4.6521139001073568E-2</v>
      </c>
      <c r="GD297" s="50">
        <f t="shared" si="494"/>
        <v>1.1502479423342364E-2</v>
      </c>
      <c r="GE297" s="51">
        <f t="shared" si="495"/>
        <v>40370</v>
      </c>
      <c r="GF297" s="51">
        <f t="shared" si="496"/>
        <v>3096</v>
      </c>
      <c r="GG297" s="14">
        <f>INT(SUMPRODUCT($U297:$Y297,$BF297:$BJ297)/SUM($BF297:$BJ297)/10000*$BX$7*$BZ$46/'疲劳值&amp;地图信息'!$R$10*$BY$54)</f>
        <v>857</v>
      </c>
      <c r="GH297" s="50">
        <f t="shared" si="497"/>
        <v>0.91081379870496126</v>
      </c>
      <c r="GI297" s="50">
        <f t="shared" si="498"/>
        <v>6.9850867495431262E-2</v>
      </c>
      <c r="GJ297" s="50">
        <f t="shared" si="499"/>
        <v>1.9335333799607429E-2</v>
      </c>
      <c r="GK297" s="51">
        <f t="shared" si="500"/>
        <v>44065</v>
      </c>
      <c r="GL297" s="51">
        <f t="shared" si="501"/>
        <v>5349</v>
      </c>
      <c r="GM297" s="14">
        <f>INT(SUMPRODUCT($AB297:$AF297,$BF297:$BJ297)/SUM($BF297:$BJ297)/10000*$BX$7*$BZ$46/'疲劳值&amp;地图信息'!$R$10*$BY$55)</f>
        <v>1162</v>
      </c>
      <c r="GN297" s="50">
        <f t="shared" si="502"/>
        <v>0.87126304966782664</v>
      </c>
      <c r="GO297" s="50">
        <f t="shared" si="503"/>
        <v>0.10576162606770009</v>
      </c>
      <c r="GP297" s="50">
        <f t="shared" si="504"/>
        <v>2.2975324264473268E-2</v>
      </c>
      <c r="GQ297" s="51">
        <f t="shared" si="505"/>
        <v>53271</v>
      </c>
      <c r="GR297" s="51">
        <f t="shared" si="506"/>
        <v>15058</v>
      </c>
      <c r="GS297" s="14">
        <f>INT(SUMPRODUCT($AI297:$AM297,$BF297:$BJ297)/SUM($BF297:$BJ297)/10000*$BX$7*$BZ$46/'疲劳值&amp;地图信息'!$R$10*$BY$56)</f>
        <v>1744</v>
      </c>
      <c r="GT297" s="50">
        <f t="shared" si="507"/>
        <v>0.76022148331026218</v>
      </c>
      <c r="GU297" s="50">
        <f t="shared" si="508"/>
        <v>0.21489018594893897</v>
      </c>
      <c r="GV297" s="50">
        <f t="shared" si="509"/>
        <v>2.4888330740798881E-2</v>
      </c>
      <c r="GW297" s="51">
        <f t="shared" si="510"/>
        <v>55709</v>
      </c>
      <c r="GX297" s="51">
        <f t="shared" si="511"/>
        <v>26749</v>
      </c>
      <c r="GY297" s="14">
        <f>INT(SUMPRODUCT($AP297:$AT297,$BF297:$BJ297)/SUM($BF297:$BJ297)/10000*$BX$7*$BZ$46/'疲劳值&amp;地图信息'!$R$10*$BY$57)</f>
        <v>2325</v>
      </c>
      <c r="GZ297" s="50">
        <f t="shared" si="512"/>
        <v>0.65707748015521983</v>
      </c>
      <c r="HA297" s="50">
        <f t="shared" si="513"/>
        <v>0.31549956948916646</v>
      </c>
      <c r="HB297" s="50">
        <f t="shared" si="514"/>
        <v>2.7422950355613745E-2</v>
      </c>
      <c r="HD297" s="14">
        <f t="shared" si="515"/>
        <v>39122</v>
      </c>
      <c r="HE297" s="14">
        <f t="shared" si="516"/>
        <v>44323</v>
      </c>
      <c r="HF297" s="14">
        <f t="shared" si="517"/>
        <v>50576</v>
      </c>
      <c r="HG297" s="14">
        <f t="shared" si="518"/>
        <v>70073</v>
      </c>
      <c r="HH297" s="14">
        <f t="shared" si="519"/>
        <v>84783</v>
      </c>
      <c r="HI297" s="14">
        <f t="shared" si="520"/>
        <v>4560804</v>
      </c>
      <c r="HL297" s="14">
        <f t="shared" si="521"/>
        <v>430050</v>
      </c>
      <c r="HM297" s="50">
        <f t="shared" si="429"/>
        <v>8.6167617806491639E-2</v>
      </c>
      <c r="HO297" s="14">
        <f t="shared" si="522"/>
        <v>4990854</v>
      </c>
    </row>
    <row r="298" spans="11:223" x14ac:dyDescent="0.2">
      <c r="K298" s="14">
        <v>293</v>
      </c>
      <c r="L298" s="12">
        <f>求节点(节奏总纲!D$4:D$163,标准城池设计!AB$4:AB$163,$K298)*求节点(节奏总纲!D$4:D$163,攻城基础信息!$AC$5:$AC$164,$K298)</f>
        <v>776080.31085085066</v>
      </c>
      <c r="M298" s="12">
        <f>INDEX(其他调用!$AA$5:$AA$404,MATCH(K298,其他调用!$X$5:$X$404,0))*MIN(INDEX(其他调用!$AH$5:$AH$364,MATCH('征服点（新）'!K298,其他调用!$AG$5:$AG$364,0),1)/INDEX(其他调用!$AJ$5:$AJ$364,MATCH(K298,其他调用!$AG$5:$AG$364,0),0),5)*求节点(节奏总纲!D$4:D$163,攻城基础信息!$AC$5:$AC$164,$K298)</f>
        <v>53581.640134992114</v>
      </c>
      <c r="N298" s="12">
        <f>MIN(INDEX(其他调用!$AH$5:$AH$364,MATCH($K298,其他调用!$AG$5:$AG$364,0),1)/INDEX(其他调用!AH$5:AH$364,MATCH($K298,其他调用!$AG$5:$AG$364,0),0),1)*INDEX(其他调用!Y$5:Y$404,MATCH($K298,其他调用!$X$5:$X$404,0),0)</f>
        <v>42339.549864162291</v>
      </c>
      <c r="O298" s="12">
        <f>MIN(INDEX(其他调用!$AH$5:$AH$364,MATCH($K298,其他调用!$AG$5:$AG$364,0),1)/INDEX(其他调用!AI$5:AI$364,MATCH($K298,其他调用!$AG$5:$AG$364,0),0),1)*INDEX(其他调用!Z$5:Z$404,MATCH($K298,其他调用!$X$5:$X$404,0),0)</f>
        <v>25563.974167155277</v>
      </c>
      <c r="P298" s="12">
        <f>MIN(INDEX(其他调用!$AH$5:$AH$364,MATCH($K298,其他调用!$AG$5:$AG$364,0),1)/INDEX(其他调用!AJ$5:AJ$364,MATCH($K298,其他调用!$AG$5:$AG$364,0),0),1)*INDEX(其他调用!AA$5:AA$404,MATCH($K298,其他调用!$X$5:$X$404,0),0)</f>
        <v>15309.040038569185</v>
      </c>
      <c r="Q298" s="12">
        <f>MIN(INDEX(其他调用!$AH$5:$AH$364,MATCH($K298,其他调用!$AG$5:$AG$364,0),1)/INDEX(其他调用!AK$5:AK$364,MATCH($K298,其他调用!$AG$5:$AG$364,0),0),1)*INDEX(其他调用!AB$5:AB$404,MATCH($K298,其他调用!$X$5:$X$404,0),0)</f>
        <v>5718.4740872223538</v>
      </c>
      <c r="R298" s="12">
        <f>MIN(INDEX(其他调用!$AH$5:$AH$364,MATCH($K298,其他调用!$AG$5:$AG$364,0),1)/INDEX(其他调用!AL$5:AL$364,MATCH($K298,其他调用!$AG$5:$AG$364,0),0),1)*INDEX(其他调用!AC$5:AC$404,MATCH($K298,其他调用!$X$5:$X$404,0),0)</f>
        <v>3327.0047994425013</v>
      </c>
      <c r="S298" s="12">
        <f>求节点(节奏总纲!D$4:D$163,标准城池设计!AC$4:AC$163,$K298)*求节点(节奏总纲!D$4:D$163,攻城基础信息!$AD$5:$AD$164,$K298)</f>
        <v>850319.77276743064</v>
      </c>
      <c r="T298" s="12">
        <f>INDEX(其他调用!$AA$5:$AA$404,MATCH($K298,其他调用!$X$5:$X$404,0))*MIN(INDEX(其他调用!AI$5:AI$364,MATCH($K298,其他调用!$AG$5:$AG$364,0),1)/INDEX(其他调用!$AJ$5:$AJ$364,MATCH($K298,其他调用!$AG$5:$AG$364,0),0),5)*求节点(节奏总纲!D$4:D$163,攻城基础信息!$AD$5:$AD$164,$K298)</f>
        <v>91165.73013715884</v>
      </c>
      <c r="U298" s="12">
        <f>MIN(INDEX(其他调用!$AI$5:$AI$364,MATCH($K298,其他调用!$AG$5:$AG$364,0),1)/INDEX(其他调用!AH$5:AH$364,MATCH($K298,其他调用!$AG$5:$AG$364,0),0),1)*INDEX(其他调用!Y$5:Y$404,MATCH($K298,其他调用!$X$5:$X$404,0),0)</f>
        <v>42339.549864162291</v>
      </c>
      <c r="V298" s="12">
        <f>MIN(INDEX(其他调用!$AI$5:$AI$364,MATCH($K298,其他调用!$AG$5:$AG$364,0),1)/INDEX(其他调用!AI$5:AI$364,MATCH($K298,其他调用!$AG$5:$AG$364,0),0),1)*INDEX(其他调用!Z$5:Z$404,MATCH($K298,其他调用!$X$5:$X$404,0),0)</f>
        <v>43495.465317684066</v>
      </c>
      <c r="W298" s="12">
        <f>MIN(INDEX(其他调用!$AI$5:$AI$364,MATCH($K298,其他调用!$AG$5:$AG$364,0),1)/INDEX(其他调用!AJ$5:AJ$364,MATCH($K298,其他调用!$AG$5:$AG$364,0),0),1)*INDEX(其他调用!AA$5:AA$404,MATCH($K298,其他调用!$X$5:$X$404,0),0)</f>
        <v>26047.351467759687</v>
      </c>
      <c r="X298" s="12">
        <f>MIN(INDEX(其他调用!$AI$5:$AI$364,MATCH($K298,其他调用!$AG$5:$AG$364,0),1)/INDEX(其他调用!AK$5:AK$364,MATCH($K298,其他调用!$AG$5:$AG$364,0),0),1)*INDEX(其他调用!AB$5:AB$404,MATCH($K298,其他调用!$X$5:$X$404,0),0)</f>
        <v>9729.6175353838953</v>
      </c>
      <c r="Y298" s="12">
        <f>MIN(INDEX(其他调用!$AI$5:$AI$364,MATCH($K298,其他调用!$AG$5:$AG$364,0),1)/INDEX(其他调用!AL$5:AL$364,MATCH($K298,其他调用!$AG$5:$AG$364,0),0),1)*INDEX(其他调用!AC$5:AC$404,MATCH($K298,其他调用!$X$5:$X$404,0),0)</f>
        <v>5660.6856555129607</v>
      </c>
      <c r="Z298" s="12">
        <f>求节点(节奏总纲!D$4:D$163,标准城池设计!AD$4:AD$163,$K298)*求节点(节奏总纲!D$4:D$163,攻城基础信息!$AE$5:$AE$164,$K298)</f>
        <v>928010.01710470801</v>
      </c>
      <c r="AA298" s="12">
        <f>INDEX(其他调用!$AA$5:$AA$404,MATCH($K298,其他调用!$X$5:$X$404,0))*MIN(INDEX(其他调用!AJ$5:AJ$364,MATCH($K298,其他调用!$AG$5:$AG$364,0),1)/INDEX(其他调用!$AJ$5:$AJ$364,MATCH($K298,其他调用!$AG$5:$AG$364,0),0),5)*求节点(节奏总纲!D$4:D$163,攻城基础信息!$AE$5:$AE$164,$K298)</f>
        <v>157561.08750561412</v>
      </c>
      <c r="AB298" s="12">
        <f>MIN(INDEX(其他调用!$AJ$5:$AJ$364,MATCH($K298,其他调用!$AG$5:$AG$364,0),1)/INDEX(其他调用!AH$5:AH$364,MATCH($K298,其他调用!$AG$5:$AG$364,0),0),1)*INDEX(其他调用!Y$5:Y$404,MATCH($K298,其他调用!$X$5:$X$404,0),0)</f>
        <v>42339.549864162291</v>
      </c>
      <c r="AC298" s="12">
        <f>MIN(INDEX(其他调用!$AJ$5:$AJ$364,MATCH($K298,其他调用!$AG$5:$AG$364,0),1)/INDEX(其他调用!AI$5:AI$364,MATCH($K298,其他调用!$AG$5:$AG$364,0),0),1)*INDEX(其他调用!Z$5:Z$404,MATCH($K298,其他调用!$X$5:$X$404,0),0)</f>
        <v>43495.465317684066</v>
      </c>
      <c r="AD298" s="12">
        <f>MIN(INDEX(其他调用!$AJ$5:$AJ$364,MATCH($K298,其他调用!$AG$5:$AG$364,0),1)/INDEX(其他调用!AJ$5:AJ$364,MATCH($K298,其他调用!$AG$5:$AG$364,0),0),1)*INDEX(其他调用!AA$5:AA$404,MATCH($K298,其他调用!$X$5:$X$404,0),0)</f>
        <v>45017.453573032632</v>
      </c>
      <c r="AE298" s="12">
        <f>MIN(INDEX(其他调用!$AJ$5:$AJ$364,MATCH($K298,其他调用!$AG$5:$AG$364,0),1)/INDEX(其他调用!AK$5:AK$364,MATCH($K298,其他调用!$AG$5:$AG$364,0),0),1)*INDEX(其他调用!AB$5:AB$404,MATCH($K298,其他调用!$X$5:$X$404,0),0)</f>
        <v>16815.629267514967</v>
      </c>
      <c r="AF298" s="12">
        <f>MIN(INDEX(其他调用!$AJ$5:$AJ$364,MATCH($K298,其他调用!$AG$5:$AG$364,0),1)/INDEX(其他调用!AL$5:AL$364,MATCH($K298,其他调用!$AG$5:$AG$364,0),0),1)*INDEX(其他调用!AC$5:AC$404,MATCH($K298,其他调用!$X$5:$X$404,0),0)</f>
        <v>9783.323037814569</v>
      </c>
      <c r="AG298" s="12">
        <f>求节点(节奏总纲!D$4:D$163,标准城池设计!AE$4:AE$163,$K298)*求节点(节奏总纲!D$4:D$163,攻城基础信息!$AF$5:$AF$164,$K298)</f>
        <v>1121958.3316639671</v>
      </c>
      <c r="AH298" s="12">
        <f>INDEX(其他调用!$AA$5:$AA$404,MATCH($K298,其他调用!$X$5:$X$404,0))*MIN(INDEX(其他调用!AK$5:AK$364,MATCH($K298,其他调用!$AG$5:$AG$364,0),1)/INDEX(其他调用!$AJ$5:$AJ$364,MATCH($K298,其他调用!$AG$5:$AG$364,0),0),5)*求节点(节奏总纲!D$4:D$163,攻城基础信息!$AF$5:$AF$164,$K298)</f>
        <v>442921.24664887536</v>
      </c>
      <c r="AI298" s="12">
        <f>MIN(INDEX(其他调用!$AK$5:$AK$364,MATCH($K298,其他调用!$AG$5:$AG$364,0),1)/INDEX(其他调用!AH$5:AH$364,MATCH($K298,其他调用!$AG$5:$AG$364,0),0),1)*INDEX(其他调用!Y$5:Y$404,MATCH($K298,其他调用!$X$5:$X$404,0),0)</f>
        <v>42339.549864162291</v>
      </c>
      <c r="AJ298" s="12">
        <f>MIN(INDEX(其他调用!$AK$5:$AK$364,MATCH($K298,其他调用!$AG$5:$AG$364,0),1)/INDEX(其他调用!AI$5:AI$364,MATCH($K298,其他调用!$AG$5:$AG$364,0),0),1)*INDEX(其他调用!Z$5:Z$404,MATCH($K298,其他调用!$X$5:$X$404,0),0)</f>
        <v>43495.465317684066</v>
      </c>
      <c r="AK298" s="12">
        <f>MIN(INDEX(其他调用!$AK$5:$AK$364,MATCH($K298,其他调用!$AG$5:$AG$364,0),1)/INDEX(其他调用!AJ$5:AJ$364,MATCH($K298,其他调用!$AG$5:$AG$364,0),0),1)*INDEX(其他调用!AA$5:AA$404,MATCH($K298,其他调用!$X$5:$X$404,0),0)</f>
        <v>45017.453573032632</v>
      </c>
      <c r="AL298" s="12">
        <f>MIN(INDEX(其他调用!$AK$5:$AK$364,MATCH($K298,其他调用!$AG$5:$AG$364,0),1)/INDEX(其他调用!AK$5:AK$364,MATCH($K298,其他调用!$AG$5:$AG$364,0),0),1)*INDEX(其他调用!AB$5:AB$404,MATCH($K298,其他调用!$X$5:$X$404,0),0)</f>
        <v>47270.551354170246</v>
      </c>
      <c r="AM298" s="12">
        <f>MIN(INDEX(其他调用!$AK$5:$AK$364,MATCH($K298,其他调用!$AG$5:$AG$364,0),1)/INDEX(其他调用!AL$5:AL$364,MATCH($K298,其他调用!$AG$5:$AG$364,0),0),1)*INDEX(其他调用!AC$5:AC$404,MATCH($K298,其他调用!$X$5:$X$404,0),0)</f>
        <v>27501.978469925783</v>
      </c>
      <c r="AN298" s="12">
        <f>求节点(节奏总纲!D$4:D$163,标准城池设计!AF$4:AF$163,$K298)*求节点(节奏总纲!D$4:D$163,攻城基础信息!$AG$5:$AG$164,$K298)</f>
        <v>1173241.2986686882</v>
      </c>
      <c r="AO298" s="12">
        <f>INDEX(其他调用!$AA$5:$AA$404,MATCH($K298,其他调用!$X$5:$X$404,0))*MIN(INDEX(其他调用!AL$5:AL$364,MATCH($K298,其他调用!$AG$5:$AG$364,0),1)/INDEX(其他调用!$AJ$5:$AJ$364,MATCH($K298,其他调用!$AG$5:$AG$364,0),0),5)*求节点(节奏总纲!D$4:D$163,攻城基础信息!$AG$5:$AG$164,$K298)</f>
        <v>787805.43752807053</v>
      </c>
      <c r="AP298" s="12">
        <f>MIN(INDEX(其他调用!$AL$5:$AL$364,MATCH($K298,其他调用!$AG$5:$AG$364,0),1)/INDEX(其他调用!AH$5:AH$364,MATCH($K298,其他调用!$AG$5:$AG$364,0),0),1)*INDEX(其他调用!Y$5:Y$404,MATCH($K298,其他调用!$X$5:$X$404,0),0)</f>
        <v>42339.549864162291</v>
      </c>
      <c r="AQ298" s="12">
        <f>MIN(INDEX(其他调用!$AL$5:$AL$364,MATCH($K298,其他调用!$AG$5:$AG$364,0),1)/INDEX(其他调用!AI$5:AI$364,MATCH($K298,其他调用!$AG$5:$AG$364,0),0),1)*INDEX(其他调用!Z$5:Z$404,MATCH($K298,其他调用!$X$5:$X$404,0),0)</f>
        <v>43495.465317684066</v>
      </c>
      <c r="AR298" s="12">
        <f>MIN(INDEX(其他调用!$AL$5:$AL$364,MATCH($K298,其他调用!$AG$5:$AG$364,0),1)/INDEX(其他调用!AJ$5:AJ$364,MATCH($K298,其他调用!$AG$5:$AG$364,0),0),1)*INDEX(其他调用!AA$5:AA$404,MATCH($K298,其他调用!$X$5:$X$404,0),0)</f>
        <v>45017.453573032632</v>
      </c>
      <c r="AS298" s="12">
        <f>MIN(INDEX(其他调用!$AL$5:$AL$364,MATCH($K298,其他调用!$AG$5:$AG$364,0),1)/INDEX(其他调用!AK$5:AK$364,MATCH($K298,其他调用!$AG$5:$AG$364,0),0),1)*INDEX(其他调用!AB$5:AB$404,MATCH($K298,其他调用!$X$5:$X$404,0),0)</f>
        <v>47270.551354170246</v>
      </c>
      <c r="AT298" s="12">
        <f>MIN(INDEX(其他调用!$AL$5:$AL$364,MATCH($K298,其他调用!$AG$5:$AG$364,0),1)/INDEX(其他调用!AL$5:AL$364,MATCH($K298,其他调用!$AG$5:$AG$364,0),0),1)*INDEX(其他调用!AC$5:AC$404,MATCH($K298,其他调用!$X$5:$X$404,0),0)</f>
        <v>51169.601914619256</v>
      </c>
      <c r="AV298" s="14">
        <f>IF(OR(AV$5="大R",AV$5="超R"),MAX(INDEX(其他调用!$H$5:$L$404,MATCH($K298,其他调用!$B$5:$B$404,0),MATCH(AV$5,其他调用!$H$4:$L$4,0))*120*0.85,2),INDEX(其他调用!$H$5:$L$404,MATCH($K298,其他调用!$B$5:$B$404,0),MATCH(AV$5,其他调用!$H$4:$L$4,0))*120*0.85)</f>
        <v>48.921801254999991</v>
      </c>
      <c r="AW298" s="14">
        <f>IF(OR(AW$5="大R",AW$5="超R"),MAX(INDEX(其他调用!$H$5:$L$404,MATCH($K298,其他调用!$B$5:$B$404,0),MATCH(AW$5,其他调用!$H$4:$L$4,0))*120*0.85,2),INDEX(其他调用!$H$5:$L$404,MATCH($K298,其他调用!$B$5:$B$404,0),MATCH(AW$5,其他调用!$H$4:$L$4,0))*120*0.85)</f>
        <v>48.237344010638395</v>
      </c>
      <c r="AX298" s="14">
        <f>IF(OR(AX$5="大R",AX$5="超R"),MAX(INDEX(其他调用!$H$5:$L$404,MATCH($K298,其他调用!$B$5:$B$404,0),MATCH(AX$5,其他调用!$H$4:$L$4,0))*120*0.85,2),INDEX(其他调用!$H$5:$L$404,MATCH($K298,其他调用!$B$5:$B$404,0),MATCH(AX$5,其他调用!$H$4:$L$4,0))*120*0.85)</f>
        <v>3.9376284143615998</v>
      </c>
      <c r="AY298" s="14">
        <f>IF(OR(AY$5="大R",AY$5="超R"),MAX(INDEX(其他调用!$H$5:$L$404,MATCH($K298,其他调用!$B$5:$B$404,0),MATCH(AY$5,其他调用!$H$4:$L$4,0))*120*0.85,2),INDEX(其他调用!$H$5:$L$404,MATCH($K298,其他调用!$B$5:$B$404,0),MATCH(AY$5,其他调用!$H$4:$L$4,0))*120*0.85)</f>
        <v>2</v>
      </c>
      <c r="AZ298" s="14">
        <f>IF(OR(AZ$5="大R",AZ$5="超R"),MAX(INDEX(其他调用!$H$5:$L$404,MATCH($K298,其他调用!$B$5:$B$404,0),MATCH(AZ$5,其他调用!$H$4:$L$4,0))*120*0.85,2),INDEX(其他调用!$H$5:$L$404,MATCH($K298,其他调用!$B$5:$B$404,0),MATCH(AZ$5,其他调用!$H$4:$L$4,0))*120*0.85)</f>
        <v>2</v>
      </c>
      <c r="BA298" s="14">
        <f>INDEX(其他调用!$H$5:$L$404,MATCH($K298,其他调用!$B$5:$B$404,0),MATCH(BA$5,其他调用!$H$4:$L$4,0))*INDEX(其他调用!$M$5:$M$404,MATCH($K298,其他调用!$B$5:$B$404,0))*0.6</f>
        <v>28.777530149999997</v>
      </c>
      <c r="BB298" s="14">
        <f>INDEX(其他调用!$H$5:$L$404,MATCH($K298,其他调用!$B$5:$B$404,0),MATCH(BB$5,其他调用!$H$4:$L$4,0))*INDEX(其他调用!$M$5:$M$404,MATCH($K298,其他调用!$B$5:$B$404,0))*0.6</f>
        <v>28.374908241551999</v>
      </c>
      <c r="BC298" s="14">
        <f>INDEX(其他调用!$H$5:$L$404,MATCH($K298,其他调用!$B$5:$B$404,0),MATCH(BC$5,其他调用!$H$4:$L$4,0))*INDEX(其他调用!$M$5:$M$404,MATCH($K298,其他调用!$B$5:$B$404,0))*0.6</f>
        <v>2.3162520084480001</v>
      </c>
      <c r="BD298" s="14">
        <f>INDEX(其他调用!$H$5:$L$404,MATCH($K298,其他调用!$B$5:$B$404,0),MATCH(BD$5,其他调用!$H$4:$L$4,0))*INDEX(其他调用!$M$5:$M$404,MATCH($K298,其他调用!$B$5:$B$404,0))*0.6</f>
        <v>0.4120776000000001</v>
      </c>
      <c r="BE298" s="14">
        <f>INDEX(其他调用!$H$5:$L$404,MATCH($K298,其他调用!$B$5:$B$404,0),MATCH(BE$5,其他调用!$H$4:$L$4,0))*INDEX(其他调用!$M$5:$M$404,MATCH($K298,其他调用!$B$5:$B$404,0))*0.6</f>
        <v>0.11923199999999998</v>
      </c>
      <c r="BF298" s="14">
        <f>IF(OR(BF$5="大R",BF$5="超R"),0,INDEX(其他调用!$H$5:$L$404,MATCH($K298,其他调用!$B$5:$B$404,0),MATCH(BF$5,其他调用!$H$4:$L$4,0))*50*0.4)</f>
        <v>9.5925100500000013</v>
      </c>
      <c r="BG298" s="14">
        <f>IF(OR(BG$5="大R",BG$5="超R"),0,INDEX(其他调用!$H$5:$L$404,MATCH($K298,其他调用!$B$5:$B$404,0),MATCH(BG$5,其他调用!$H$4:$L$4,0))*50*0.4)</f>
        <v>9.4583027471839998</v>
      </c>
      <c r="BH298" s="14">
        <f>IF(OR(BH$5="大R",BH$5="超R"),0,INDEX(其他调用!$H$5:$L$404,MATCH($K298,其他调用!$B$5:$B$404,0),MATCH(BH$5,其他调用!$H$4:$L$4,0))*50*0.4)</f>
        <v>0.77208400281600009</v>
      </c>
      <c r="BI298" s="14">
        <f>IF(OR(BI$5="大R",BI$5="超R"),0,INDEX(其他调用!$H$5:$L$404,MATCH($K298,其他调用!$B$5:$B$404,0),MATCH(BI$5,其他调用!$H$4:$L$4,0))*50*0.4)</f>
        <v>0</v>
      </c>
      <c r="BJ298" s="14">
        <f>IF(OR(BJ$5="大R",BJ$5="超R"),0,INDEX(其他调用!$H$5:$L$404,MATCH($K298,其他调用!$B$5:$B$404,0),MATCH(BJ$5,其他调用!$H$4:$L$4,0))*50*0.4)</f>
        <v>0</v>
      </c>
      <c r="BL298" s="14">
        <f t="shared" si="523"/>
        <v>293</v>
      </c>
      <c r="BM298" s="14">
        <f t="shared" si="430"/>
        <v>96</v>
      </c>
      <c r="BN298" s="14">
        <f>('疲劳值&amp;地图信息'!$S$10*'疲劳值&amp;地图信息'!$R$10+'疲劳值&amp;地图信息'!$S$11*'疲劳值&amp;地图信息'!$R$11+'疲劳值&amp;地图信息'!$S$12*'疲劳值&amp;地图信息'!$R$12+(BM298-'疲劳值&amp;地图信息'!$S$12-'疲劳值&amp;地图信息'!$S$11-'疲劳值&amp;地图信息'!$S$10)*'疲劳值&amp;地图信息'!$R$13)/BM298</f>
        <v>51.371477246638619</v>
      </c>
      <c r="BO298" s="14">
        <f>INDEX(其他调用!$M$5:$M$404,MATCH(BL298,其他调用!$B$5:$B$404,0))*0.6</f>
        <v>60</v>
      </c>
      <c r="BP298" s="14">
        <f>IF(BO298&gt;SUM('疲劳值&amp;地图信息'!$S$10:$S$12),('疲劳值&amp;地图信息'!$S$10*'疲劳值&amp;地图信息'!$R$10+'疲劳值&amp;地图信息'!$S$11*'疲劳值&amp;地图信息'!$R$11+'疲劳值&amp;地图信息'!$S$12*'疲劳值&amp;地图信息'!$R$12+(BO298-'疲劳值&amp;地图信息'!$S$12-'疲劳值&amp;地图信息'!$S$11-'疲劳值&amp;地图信息'!$S$10)*'疲劳值&amp;地图信息'!$R$13)/BO298,('疲劳值&amp;地图信息'!$S$10*'疲劳值&amp;地图信息'!$R$10+'疲劳值&amp;地图信息'!$S$11*'疲劳值&amp;地图信息'!$R$11+'疲劳值&amp;地图信息'!$S$12*'疲劳值&amp;地图信息'!$R$12+(BO298-'疲劳值&amp;地图信息'!$S$12-'疲劳值&amp;地图信息'!$S$11-'疲劳值&amp;地图信息'!$S$10)*'疲劳值&amp;地图信息'!$R$13)/BO298)</f>
        <v>44.158136341605953</v>
      </c>
      <c r="BQ298" s="14">
        <f t="shared" si="524"/>
        <v>20</v>
      </c>
      <c r="BR298" s="14">
        <f>('疲劳值&amp;地图信息'!$S$10*'疲劳值&amp;地图信息'!$R$10+($BQ298-'疲劳值&amp;地图信息'!$S$10)*'疲劳值&amp;地图信息'!$R$11)/$BQ298</f>
        <v>32.067203015074995</v>
      </c>
      <c r="CF298" s="14">
        <v>293</v>
      </c>
      <c r="CG298" s="51">
        <f t="shared" si="431"/>
        <v>15817</v>
      </c>
      <c r="CH298" s="51">
        <f t="shared" si="432"/>
        <v>1092</v>
      </c>
      <c r="CI298" s="51">
        <f>INT(SUMPRODUCT($N298:$R298,$BA298:$BE298)/SUM($BA298:$BE298)/10000*$BX$7*$BZ$34/'疲劳值&amp;地图信息'!$R$10*$BY$53)</f>
        <v>3351</v>
      </c>
      <c r="CJ298" s="50">
        <f t="shared" si="433"/>
        <v>0.78070088845014807</v>
      </c>
      <c r="CK298" s="50">
        <f t="shared" si="434"/>
        <v>5.3899308983218167E-2</v>
      </c>
      <c r="CL298" s="50">
        <f t="shared" si="435"/>
        <v>0.16539980256663375</v>
      </c>
      <c r="CM298" s="14">
        <f t="shared" si="436"/>
        <v>17330</v>
      </c>
      <c r="CN298" s="14">
        <f t="shared" si="437"/>
        <v>1858</v>
      </c>
      <c r="CO298" s="14">
        <f>INT(SUMPRODUCT($U298:$Y298,$BA298:$BE298)/SUM($BA298:$BE298)/10000*$BX$7*$BZ$34/'疲劳值&amp;地图信息'!$R$10*$BY$54)</f>
        <v>6386</v>
      </c>
      <c r="CP298" s="50">
        <f t="shared" si="438"/>
        <v>0.67764135450066476</v>
      </c>
      <c r="CQ298" s="50">
        <f t="shared" si="439"/>
        <v>7.2651912098224761E-2</v>
      </c>
      <c r="CR298" s="50">
        <f t="shared" si="440"/>
        <v>0.24970673340111049</v>
      </c>
      <c r="CS298" s="14">
        <f t="shared" si="441"/>
        <v>18914</v>
      </c>
      <c r="CT298" s="14">
        <f t="shared" si="442"/>
        <v>3211</v>
      </c>
      <c r="CU298" s="14">
        <f>INT(SUMPRODUCT($AB298:$AF298,$BA298:$BE298)/SUM($BA298:$BE298)/10000*$BX$7*$BZ$34/'疲劳值&amp;地图信息'!$R$10*$BY$55)</f>
        <v>8675</v>
      </c>
      <c r="CV298" s="50">
        <f t="shared" si="443"/>
        <v>0.61409090909090913</v>
      </c>
      <c r="CW298" s="50">
        <f t="shared" si="444"/>
        <v>0.10425324675324675</v>
      </c>
      <c r="CX298" s="50">
        <f t="shared" si="445"/>
        <v>0.28165584415584416</v>
      </c>
      <c r="CY298" s="14">
        <f t="shared" si="446"/>
        <v>22866</v>
      </c>
      <c r="CZ298" s="14">
        <f t="shared" si="447"/>
        <v>9027</v>
      </c>
      <c r="DA298" s="14">
        <f>INT(SUMPRODUCT($AI298:$AM298,$BA298:$BE298)/SUM($BA298:$BE298)/10000*$BX$7*$BZ$34/'疲劳值&amp;地图信息'!$R$10*$BY$56)</f>
        <v>13087</v>
      </c>
      <c r="DB298" s="50">
        <f t="shared" si="448"/>
        <v>0.50835927078701648</v>
      </c>
      <c r="DC298" s="50">
        <f t="shared" si="449"/>
        <v>0.20068919519786571</v>
      </c>
      <c r="DD298" s="50">
        <f t="shared" si="450"/>
        <v>0.29095153401511781</v>
      </c>
      <c r="DE298" s="14">
        <f t="shared" si="451"/>
        <v>23912</v>
      </c>
      <c r="DF298" s="14">
        <f t="shared" si="452"/>
        <v>16056</v>
      </c>
      <c r="DG298" s="14">
        <f>INT(SUMPRODUCT($AP298:$AT298,$BA298:$BE298)/SUM($BA298:$BE298)/10000*$BX$7*$BZ$34/'疲劳值&amp;地图信息'!$R$10*$BY$57)</f>
        <v>17469</v>
      </c>
      <c r="DH298" s="50">
        <f t="shared" si="453"/>
        <v>0.416317008200289</v>
      </c>
      <c r="DI298" s="50">
        <f t="shared" si="454"/>
        <v>0.27954106238139176</v>
      </c>
      <c r="DJ298" s="50">
        <f t="shared" si="455"/>
        <v>0.30414192941831919</v>
      </c>
      <c r="DL298" s="14">
        <f t="shared" si="526"/>
        <v>20260</v>
      </c>
      <c r="DM298" s="14">
        <f t="shared" si="527"/>
        <v>25574</v>
      </c>
      <c r="DN298" s="14">
        <f t="shared" si="528"/>
        <v>30800</v>
      </c>
      <c r="DO298" s="14">
        <f t="shared" si="529"/>
        <v>44980</v>
      </c>
      <c r="DP298" s="14">
        <f t="shared" si="530"/>
        <v>57437</v>
      </c>
      <c r="DQ298" s="14">
        <f t="shared" si="531"/>
        <v>1405416</v>
      </c>
      <c r="DT298" s="14">
        <f t="shared" si="525"/>
        <v>235575</v>
      </c>
      <c r="DU298" s="50">
        <f t="shared" si="427"/>
        <v>0.1435565460139635</v>
      </c>
      <c r="DW298" s="14">
        <f t="shared" si="456"/>
        <v>1640991</v>
      </c>
      <c r="EB298" s="14">
        <v>293</v>
      </c>
      <c r="EC298" s="51">
        <f t="shared" si="457"/>
        <v>26362</v>
      </c>
      <c r="ED298" s="51">
        <f t="shared" si="458"/>
        <v>1820</v>
      </c>
      <c r="EE298" s="51">
        <f>INT(SUMPRODUCT($N298:$R298,$BF298:$BJ298)/SUM($BF298:$BJ298)/10000*$BX$7*$BZ$46/'疲劳值&amp;地图信息'!$R$10*$BY$53)</f>
        <v>450</v>
      </c>
      <c r="EF298" s="50">
        <f t="shared" si="459"/>
        <v>0.92071807767532832</v>
      </c>
      <c r="EG298" s="50">
        <f t="shared" si="460"/>
        <v>6.3565241687622245E-2</v>
      </c>
      <c r="EH298" s="50">
        <f t="shared" si="461"/>
        <v>1.5716680637049455E-2</v>
      </c>
      <c r="EI298" s="51">
        <f t="shared" si="462"/>
        <v>28884</v>
      </c>
      <c r="EJ298" s="51">
        <f t="shared" si="463"/>
        <v>3096</v>
      </c>
      <c r="EK298" s="14">
        <f>INT(SUMPRODUCT($U298:$Y298,$BF298:$BJ298)/SUM($BF298:$BJ298)/10000*$BX$7*$BZ$46/'疲劳值&amp;地图信息'!$R$10*$BY$54)</f>
        <v>857</v>
      </c>
      <c r="EL298" s="50">
        <f t="shared" si="464"/>
        <v>0.87961750464415145</v>
      </c>
      <c r="EM298" s="50">
        <f t="shared" si="465"/>
        <v>9.4283887078600359E-2</v>
      </c>
      <c r="EN298" s="50">
        <f t="shared" si="466"/>
        <v>2.6098608277248227E-2</v>
      </c>
      <c r="EO298" s="51">
        <f t="shared" si="467"/>
        <v>31523</v>
      </c>
      <c r="EP298" s="51">
        <f t="shared" si="468"/>
        <v>5352</v>
      </c>
      <c r="EQ298" s="14">
        <f>INT(SUMPRODUCT($AB298:$AF298,$BF298:$BJ298)/SUM($BF298:$BJ298)/10000*$BX$7*$BZ$46/'疲劳值&amp;地图信息'!$R$10*$BY$55)</f>
        <v>1163</v>
      </c>
      <c r="ER298" s="50">
        <f t="shared" si="469"/>
        <v>0.82872390767127613</v>
      </c>
      <c r="ES298" s="50">
        <f t="shared" si="470"/>
        <v>0.14070140385929861</v>
      </c>
      <c r="ET298" s="50">
        <f t="shared" si="471"/>
        <v>3.057468846942531E-2</v>
      </c>
      <c r="EU298" s="51">
        <f t="shared" si="472"/>
        <v>38111</v>
      </c>
      <c r="EV298" s="51">
        <f t="shared" si="473"/>
        <v>15045</v>
      </c>
      <c r="EW298" s="14">
        <f>INT(SUMPRODUCT($AI298:$AM298,$BF298:$BJ298)/SUM($BF298:$BJ298)/10000*$BX$7*$BZ$46/'疲劳值&amp;地图信息'!$R$10*$BY$56)</f>
        <v>1745</v>
      </c>
      <c r="EX298" s="50">
        <f t="shared" si="474"/>
        <v>0.6941767909509845</v>
      </c>
      <c r="EY298" s="50">
        <f t="shared" si="475"/>
        <v>0.27403872424910292</v>
      </c>
      <c r="EZ298" s="50">
        <f t="shared" si="476"/>
        <v>3.1784484799912568E-2</v>
      </c>
      <c r="FA298" s="51">
        <f t="shared" si="477"/>
        <v>39853</v>
      </c>
      <c r="FB298" s="51">
        <f t="shared" si="478"/>
        <v>26760</v>
      </c>
      <c r="FC298" s="14">
        <f>INT(SUMPRODUCT($AP298:$AT298,$BF298:$BJ298)/SUM($BF298:$BJ298)/10000*$BX$7*$BZ$46/'疲劳值&amp;地图信息'!$R$10*$BY$57)</f>
        <v>2326</v>
      </c>
      <c r="FD298" s="50">
        <f t="shared" si="479"/>
        <v>0.5780907759033348</v>
      </c>
      <c r="FE298" s="50">
        <f t="shared" si="480"/>
        <v>0.38816925107703915</v>
      </c>
      <c r="FF298" s="50">
        <f t="shared" si="481"/>
        <v>3.3739973019626043E-2</v>
      </c>
      <c r="FH298" s="14">
        <f t="shared" si="482"/>
        <v>28632</v>
      </c>
      <c r="FI298" s="14">
        <f t="shared" si="483"/>
        <v>32837</v>
      </c>
      <c r="FJ298" s="14">
        <f t="shared" si="484"/>
        <v>38038</v>
      </c>
      <c r="FK298" s="14">
        <f t="shared" si="485"/>
        <v>54901</v>
      </c>
      <c r="FL298" s="14">
        <f t="shared" si="486"/>
        <v>68939</v>
      </c>
      <c r="FM298" s="14">
        <f t="shared" si="487"/>
        <v>3382158</v>
      </c>
      <c r="FP298" s="14">
        <f t="shared" si="488"/>
        <v>334150</v>
      </c>
      <c r="FQ298" s="50">
        <f t="shared" si="428"/>
        <v>8.9914506547896456E-2</v>
      </c>
      <c r="FS298" s="14">
        <f t="shared" si="489"/>
        <v>3716308</v>
      </c>
      <c r="FX298" s="14">
        <v>293</v>
      </c>
      <c r="FY298" s="51">
        <f t="shared" si="490"/>
        <v>36907</v>
      </c>
      <c r="FZ298" s="51">
        <f t="shared" si="491"/>
        <v>1820</v>
      </c>
      <c r="GA298" s="51">
        <f>INT(SUMPRODUCT($N298:$R298,$BF298:$BJ298)/SUM($BF298:$BJ298)/10000*$BX$7*$BZ$46/'疲劳值&amp;地图信息'!$R$10*$BY$53)</f>
        <v>450</v>
      </c>
      <c r="GB298" s="50">
        <f t="shared" si="492"/>
        <v>0.94205784005921844</v>
      </c>
      <c r="GC298" s="50">
        <f t="shared" si="493"/>
        <v>4.6455828674987876E-2</v>
      </c>
      <c r="GD298" s="50">
        <f t="shared" si="494"/>
        <v>1.1486331265793705E-2</v>
      </c>
      <c r="GE298" s="51">
        <f t="shared" si="495"/>
        <v>40438</v>
      </c>
      <c r="GF298" s="51">
        <f t="shared" si="496"/>
        <v>3096</v>
      </c>
      <c r="GG298" s="14">
        <f>INT(SUMPRODUCT($U298:$Y298,$BF298:$BJ298)/SUM($BF298:$BJ298)/10000*$BX$7*$BZ$46/'疲劳值&amp;地图信息'!$R$10*$BY$54)</f>
        <v>857</v>
      </c>
      <c r="GH298" s="50">
        <f t="shared" si="497"/>
        <v>0.91095041787749764</v>
      </c>
      <c r="GI298" s="50">
        <f t="shared" si="498"/>
        <v>6.9743867000067586E-2</v>
      </c>
      <c r="GJ298" s="50">
        <f t="shared" si="499"/>
        <v>1.9305715122434727E-2</v>
      </c>
      <c r="GK298" s="51">
        <f t="shared" si="500"/>
        <v>44132</v>
      </c>
      <c r="GL298" s="51">
        <f t="shared" si="501"/>
        <v>5352</v>
      </c>
      <c r="GM298" s="14">
        <f>INT(SUMPRODUCT($AB298:$AF298,$BF298:$BJ298)/SUM($BF298:$BJ298)/10000*$BX$7*$BZ$46/'疲劳值&amp;地图信息'!$R$10*$BY$55)</f>
        <v>1163</v>
      </c>
      <c r="GN298" s="50">
        <f t="shared" si="502"/>
        <v>0.87136454281596143</v>
      </c>
      <c r="GO298" s="50">
        <f t="shared" si="503"/>
        <v>0.10567259659999605</v>
      </c>
      <c r="GP298" s="50">
        <f t="shared" si="504"/>
        <v>2.296286058404249E-2</v>
      </c>
      <c r="GQ298" s="51">
        <f t="shared" si="505"/>
        <v>53356</v>
      </c>
      <c r="GR298" s="51">
        <f t="shared" si="506"/>
        <v>15045</v>
      </c>
      <c r="GS298" s="14">
        <f>INT(SUMPRODUCT($AI298:$AM298,$BF298:$BJ298)/SUM($BF298:$BJ298)/10000*$BX$7*$BZ$46/'疲劳值&amp;地图信息'!$R$10*$BY$56)</f>
        <v>1745</v>
      </c>
      <c r="GT298" s="50">
        <f t="shared" si="507"/>
        <v>0.76064208935648503</v>
      </c>
      <c r="GU298" s="50">
        <f t="shared" si="508"/>
        <v>0.21448122487383459</v>
      </c>
      <c r="GV298" s="50">
        <f t="shared" si="509"/>
        <v>2.4876685769680381E-2</v>
      </c>
      <c r="GW298" s="51">
        <f t="shared" si="510"/>
        <v>55795</v>
      </c>
      <c r="GX298" s="51">
        <f t="shared" si="511"/>
        <v>26760</v>
      </c>
      <c r="GY298" s="14">
        <f>INT(SUMPRODUCT($AP298:$AT298,$BF298:$BJ298)/SUM($BF298:$BJ298)/10000*$BX$7*$BZ$46/'疲劳值&amp;地图信息'!$R$10*$BY$57)</f>
        <v>2326</v>
      </c>
      <c r="GZ298" s="50">
        <f t="shared" si="512"/>
        <v>0.65733202954724845</v>
      </c>
      <c r="HA298" s="50">
        <f t="shared" si="513"/>
        <v>0.31526490027214571</v>
      </c>
      <c r="HB298" s="50">
        <f t="shared" si="514"/>
        <v>2.7403070180605789E-2</v>
      </c>
      <c r="HD298" s="14">
        <f t="shared" si="515"/>
        <v>39177</v>
      </c>
      <c r="HE298" s="14">
        <f t="shared" si="516"/>
        <v>44391</v>
      </c>
      <c r="HF298" s="14">
        <f t="shared" si="517"/>
        <v>50647</v>
      </c>
      <c r="HG298" s="14">
        <f t="shared" si="518"/>
        <v>70146</v>
      </c>
      <c r="HH298" s="14">
        <f t="shared" si="519"/>
        <v>84881</v>
      </c>
      <c r="HI298" s="14">
        <f t="shared" si="520"/>
        <v>4567396</v>
      </c>
      <c r="HL298" s="14">
        <f t="shared" si="521"/>
        <v>430050</v>
      </c>
      <c r="HM298" s="50">
        <f t="shared" si="429"/>
        <v>8.6053956360909151E-2</v>
      </c>
      <c r="HO298" s="14">
        <f t="shared" si="522"/>
        <v>4997446</v>
      </c>
    </row>
    <row r="299" spans="11:223" x14ac:dyDescent="0.2">
      <c r="K299" s="14">
        <v>294</v>
      </c>
      <c r="L299" s="12">
        <f>求节点(节奏总纲!D$4:D$163,标准城池设计!AB$4:AB$163,$K299)*求节点(节奏总纲!D$4:D$163,攻城基础信息!$AC$5:$AC$164,$K299)</f>
        <v>777231.07510259212</v>
      </c>
      <c r="M299" s="12">
        <f>INDEX(其他调用!$AA$5:$AA$404,MATCH(K299,其他调用!$X$5:$X$404,0))*MIN(INDEX(其他调用!$AH$5:$AH$364,MATCH('征服点（新）'!K299,其他调用!$AG$5:$AG$364,0),1)/INDEX(其他调用!$AJ$5:$AJ$364,MATCH(K299,其他调用!$AG$5:$AG$364,0),0),5)*求节点(节奏总纲!D$4:D$163,攻城基础信息!$AC$5:$AC$164,$K299)</f>
        <v>53542.872655632353</v>
      </c>
      <c r="N299" s="12">
        <f>MIN(INDEX(其他调用!$AH$5:$AH$364,MATCH($K299,其他调用!$AG$5:$AG$364,0),1)/INDEX(其他调用!AH$5:AH$364,MATCH($K299,其他调用!$AG$5:$AG$364,0),0),1)*INDEX(其他调用!Y$5:Y$404,MATCH($K299,其他调用!$X$5:$X$404,0),0)</f>
        <v>42358.708044542574</v>
      </c>
      <c r="O299" s="12">
        <f>MIN(INDEX(其他调用!$AH$5:$AH$364,MATCH($K299,其他调用!$AG$5:$AG$364,0),1)/INDEX(其他调用!AI$5:AI$364,MATCH($K299,其他调用!$AG$5:$AG$364,0),0),1)*INDEX(其他调用!Z$5:Z$404,MATCH($K299,其他调用!$X$5:$X$404,0),0)</f>
        <v>25563.990377316575</v>
      </c>
      <c r="P299" s="12">
        <f>MIN(INDEX(其他调用!$AH$5:$AH$364,MATCH($K299,其他调用!$AG$5:$AG$364,0),1)/INDEX(其他调用!AJ$5:AJ$364,MATCH($K299,其他调用!$AG$5:$AG$364,0),0),1)*INDEX(其他调用!AA$5:AA$404,MATCH($K299,其他调用!$X$5:$X$404,0),0)</f>
        <v>15297.963615894967</v>
      </c>
      <c r="Q299" s="12">
        <f>MIN(INDEX(其他调用!$AH$5:$AH$364,MATCH($K299,其他调用!$AG$5:$AG$364,0),1)/INDEX(其他调用!AK$5:AK$364,MATCH($K299,其他调用!$AG$5:$AG$364,0),0),1)*INDEX(其他调用!AB$5:AB$404,MATCH($K299,其他调用!$X$5:$X$404,0),0)</f>
        <v>5723.2170692107247</v>
      </c>
      <c r="R299" s="12">
        <f>MIN(INDEX(其他调用!$AH$5:$AH$364,MATCH($K299,其他调用!$AG$5:$AG$364,0),1)/INDEX(其他调用!AL$5:AL$364,MATCH($K299,其他调用!$AG$5:$AG$364,0),0),1)*INDEX(其他调用!AC$5:AC$404,MATCH($K299,其他调用!$X$5:$X$404,0),0)</f>
        <v>3335.6390394628347</v>
      </c>
      <c r="S299" s="12">
        <f>求节点(节奏总纲!D$4:D$163,标准城池设计!AC$4:AC$163,$K299)*求节点(节奏总纲!D$4:D$163,攻城基础信息!$AD$5:$AD$164,$K299)</f>
        <v>851627.49205740343</v>
      </c>
      <c r="T299" s="12">
        <f>INDEX(其他调用!$AA$5:$AA$404,MATCH($K299,其他调用!$X$5:$X$404,0))*MIN(INDEX(其他调用!AI$5:AI$364,MATCH($K299,其他调用!$AG$5:$AG$364,0),1)/INDEX(其他调用!$AJ$5:$AJ$364,MATCH($K299,其他调用!$AG$5:$AG$364,0),0),5)*求节点(节奏总纲!D$4:D$163,攻城基础信息!$AD$5:$AD$164,$K299)</f>
        <v>91140.334192191585</v>
      </c>
      <c r="U299" s="12">
        <f>MIN(INDEX(其他调用!$AI$5:$AI$364,MATCH($K299,其他调用!$AG$5:$AG$364,0),1)/INDEX(其他调用!AH$5:AH$364,MATCH($K299,其他调用!$AG$5:$AG$364,0),0),1)*INDEX(其他调用!Y$5:Y$404,MATCH($K299,其他调用!$X$5:$X$404,0),0)</f>
        <v>42358.708044542574</v>
      </c>
      <c r="V299" s="12">
        <f>MIN(INDEX(其他调用!$AI$5:$AI$364,MATCH($K299,其他调用!$AG$5:$AG$364,0),1)/INDEX(其他调用!AI$5:AI$364,MATCH($K299,其他调用!$AG$5:$AG$364,0),0),1)*INDEX(其他调用!Z$5:Z$404,MATCH($K299,其他调用!$X$5:$X$404,0),0)</f>
        <v>43514.860348635251</v>
      </c>
      <c r="W299" s="12">
        <f>MIN(INDEX(其他调用!$AI$5:$AI$364,MATCH($K299,其他调用!$AG$5:$AG$364,0),1)/INDEX(其他调用!AJ$5:AJ$364,MATCH($K299,其他调用!$AG$5:$AG$364,0),0),1)*INDEX(其他调用!AA$5:AA$404,MATCH($K299,其他调用!$X$5:$X$404,0),0)</f>
        <v>26040.095483483328</v>
      </c>
      <c r="X299" s="12">
        <f>MIN(INDEX(其他调用!$AI$5:$AI$364,MATCH($K299,其他调用!$AG$5:$AG$364,0),1)/INDEX(其他调用!AK$5:AK$364,MATCH($K299,其他调用!$AG$5:$AG$364,0),0),1)*INDEX(其他调用!AB$5:AB$404,MATCH($K299,其他调用!$X$5:$X$404,0),0)</f>
        <v>9742.0233631683986</v>
      </c>
      <c r="Y299" s="12">
        <f>MIN(INDEX(其他调用!$AI$5:$AI$364,MATCH($K299,其他调用!$AG$5:$AG$364,0),1)/INDEX(其他调用!AL$5:AL$364,MATCH($K299,其他调用!$AG$5:$AG$364,0),0),1)*INDEX(其他调用!AC$5:AC$404,MATCH($K299,其他调用!$X$5:$X$404,0),0)</f>
        <v>5677.9033645887839</v>
      </c>
      <c r="Z299" s="12">
        <f>求节点(节奏总纲!D$4:D$163,标准城池设计!AD$4:AD$163,$K299)*求节点(节奏总纲!D$4:D$163,攻城基础信息!$AE$5:$AE$164,$K299)</f>
        <v>929379.37265543011</v>
      </c>
      <c r="AA299" s="12">
        <f>INDEX(其他调用!$AA$5:$AA$404,MATCH($K299,其他调用!$X$5:$X$404,0))*MIN(INDEX(其他调用!AJ$5:AJ$364,MATCH($K299,其他调用!$AG$5:$AG$364,0),1)/INDEX(其他调用!$AJ$5:$AJ$364,MATCH($K299,其他调用!$AG$5:$AG$364,0),0),5)*求节点(节奏总纲!D$4:D$163,攻城基础信息!$AE$5:$AE$164,$K299)</f>
        <v>157629.01802942404</v>
      </c>
      <c r="AB299" s="12">
        <f>MIN(INDEX(其他调用!$AJ$5:$AJ$364,MATCH($K299,其他调用!$AG$5:$AG$364,0),1)/INDEX(其他调用!AH$5:AH$364,MATCH($K299,其他调用!$AG$5:$AG$364,0),0),1)*INDEX(其他调用!Y$5:Y$404,MATCH($K299,其他调用!$X$5:$X$404,0),0)</f>
        <v>42358.708044542574</v>
      </c>
      <c r="AC299" s="12">
        <f>MIN(INDEX(其他调用!$AJ$5:$AJ$364,MATCH($K299,其他调用!$AG$5:$AG$364,0),1)/INDEX(其他调用!AI$5:AI$364,MATCH($K299,其他调用!$AG$5:$AG$364,0),0),1)*INDEX(其他调用!Z$5:Z$404,MATCH($K299,其他调用!$X$5:$X$404,0),0)</f>
        <v>43514.860348635251</v>
      </c>
      <c r="AD299" s="12">
        <f>MIN(INDEX(其他调用!$AJ$5:$AJ$364,MATCH($K299,其他调用!$AG$5:$AG$364,0),1)/INDEX(其他调用!AJ$5:AJ$364,MATCH($K299,其他调用!$AG$5:$AG$364,0),0),1)*INDEX(其他调用!AA$5:AA$404,MATCH($K299,其他调用!$X$5:$X$404,0),0)</f>
        <v>45036.86229412118</v>
      </c>
      <c r="AE299" s="12">
        <f>MIN(INDEX(其他调用!$AJ$5:$AJ$364,MATCH($K299,其他调用!$AG$5:$AG$364,0),1)/INDEX(其他调用!AK$5:AK$364,MATCH($K299,其他调用!$AG$5:$AG$364,0),0),1)*INDEX(其他调用!AB$5:AB$404,MATCH($K299,其他调用!$X$5:$X$404,0),0)</f>
        <v>16849.022882862169</v>
      </c>
      <c r="AF299" s="12">
        <f>MIN(INDEX(其他调用!$AJ$5:$AJ$364,MATCH($K299,其他调用!$AG$5:$AG$364,0),1)/INDEX(其他调用!AL$5:AL$364,MATCH($K299,其他调用!$AG$5:$AG$364,0),0),1)*INDEX(其他调用!AC$5:AC$404,MATCH($K299,其他调用!$X$5:$X$404,0),0)</f>
        <v>9820.0466320297055</v>
      </c>
      <c r="AG299" s="12">
        <f>求节点(节奏总纲!D$4:D$163,标准城池设计!AE$4:AE$163,$K299)*求节点(节奏总纲!D$4:D$163,攻城基础信息!$AF$5:$AF$164,$K299)</f>
        <v>1123347.4764021181</v>
      </c>
      <c r="AH299" s="12">
        <f>INDEX(其他调用!$AA$5:$AA$404,MATCH($K299,其他调用!$X$5:$X$404,0))*MIN(INDEX(其他调用!AK$5:AK$364,MATCH($K299,其他调用!$AG$5:$AG$364,0),1)/INDEX(其他调用!$AJ$5:$AJ$364,MATCH($K299,其他调用!$AG$5:$AG$364,0),0),5)*求节点(节奏总纲!D$4:D$163,攻城基础信息!$AF$5:$AF$164,$K299)</f>
        <v>442419.94328787166</v>
      </c>
      <c r="AI299" s="12">
        <f>MIN(INDEX(其他调用!$AK$5:$AK$364,MATCH($K299,其他调用!$AG$5:$AG$364,0),1)/INDEX(其他调用!AH$5:AH$364,MATCH($K299,其他调用!$AG$5:$AG$364,0),0),1)*INDEX(其他调用!Y$5:Y$404,MATCH($K299,其他调用!$X$5:$X$404,0),0)</f>
        <v>42358.708044542574</v>
      </c>
      <c r="AJ299" s="12">
        <f>MIN(INDEX(其他调用!$AK$5:$AK$364,MATCH($K299,其他调用!$AG$5:$AG$364,0),1)/INDEX(其他调用!AI$5:AI$364,MATCH($K299,其他调用!$AG$5:$AG$364,0),0),1)*INDEX(其他调用!Z$5:Z$404,MATCH($K299,其他调用!$X$5:$X$404,0),0)</f>
        <v>43514.860348635251</v>
      </c>
      <c r="AK299" s="12">
        <f>MIN(INDEX(其他调用!$AK$5:$AK$364,MATCH($K299,其他调用!$AG$5:$AG$364,0),1)/INDEX(其他调用!AJ$5:AJ$364,MATCH($K299,其他调用!$AG$5:$AG$364,0),0),1)*INDEX(其他调用!AA$5:AA$404,MATCH($K299,其他调用!$X$5:$X$404,0),0)</f>
        <v>45036.86229412118</v>
      </c>
      <c r="AL299" s="12">
        <f>MIN(INDEX(其他调用!$AK$5:$AK$364,MATCH($K299,其他调用!$AG$5:$AG$364,0),1)/INDEX(其他调用!AK$5:AK$364,MATCH($K299,其他调用!$AG$5:$AG$364,0),0),1)*INDEX(其他调用!AB$5:AB$404,MATCH($K299,其他调用!$X$5:$X$404,0),0)</f>
        <v>47290.428129803229</v>
      </c>
      <c r="AM299" s="12">
        <f>MIN(INDEX(其他调用!$AK$5:$AK$364,MATCH($K299,其他调用!$AG$5:$AG$364,0),1)/INDEX(其他调用!AL$5:AL$364,MATCH($K299,其他调用!$AG$5:$AG$364,0),0),1)*INDEX(其他调用!AC$5:AC$404,MATCH($K299,其他调用!$X$5:$X$404,0),0)</f>
        <v>27562.085511538557</v>
      </c>
      <c r="AN299" s="12">
        <f>求节点(节奏总纲!D$4:D$163,标准城池设计!AF$4:AF$163,$K299)*求节点(节奏总纲!D$4:D$163,攻城基础信息!$AG$5:$AG$164,$K299)</f>
        <v>1174300.0789948078</v>
      </c>
      <c r="AO299" s="12">
        <f>INDEX(其他调用!$AA$5:$AA$404,MATCH($K299,其他调用!$X$5:$X$404,0))*MIN(INDEX(其他调用!AL$5:AL$364,MATCH($K299,其他调用!$AG$5:$AG$364,0),1)/INDEX(其他调用!$AJ$5:$AJ$364,MATCH($K299,其他调用!$AG$5:$AG$364,0),0),5)*求节点(节奏总纲!D$4:D$163,攻城基础信息!$AG$5:$AG$164,$K299)</f>
        <v>788145.09014712018</v>
      </c>
      <c r="AP299" s="12">
        <f>MIN(INDEX(其他调用!$AL$5:$AL$364,MATCH($K299,其他调用!$AG$5:$AG$364,0),1)/INDEX(其他调用!AH$5:AH$364,MATCH($K299,其他调用!$AG$5:$AG$364,0),0),1)*INDEX(其他调用!Y$5:Y$404,MATCH($K299,其他调用!$X$5:$X$404,0),0)</f>
        <v>42358.708044542574</v>
      </c>
      <c r="AQ299" s="12">
        <f>MIN(INDEX(其他调用!$AL$5:$AL$364,MATCH($K299,其他调用!$AG$5:$AG$364,0),1)/INDEX(其他调用!AI$5:AI$364,MATCH($K299,其他调用!$AG$5:$AG$364,0),0),1)*INDEX(其他调用!Z$5:Z$404,MATCH($K299,其他调用!$X$5:$X$404,0),0)</f>
        <v>43514.860348635251</v>
      </c>
      <c r="AR299" s="12">
        <f>MIN(INDEX(其他调用!$AL$5:$AL$364,MATCH($K299,其他调用!$AG$5:$AG$364,0),1)/INDEX(其他调用!AJ$5:AJ$364,MATCH($K299,其他调用!$AG$5:$AG$364,0),0),1)*INDEX(其他调用!AA$5:AA$404,MATCH($K299,其他调用!$X$5:$X$404,0),0)</f>
        <v>45036.86229412118</v>
      </c>
      <c r="AS299" s="12">
        <f>MIN(INDEX(其他调用!$AL$5:$AL$364,MATCH($K299,其他调用!$AG$5:$AG$364,0),1)/INDEX(其他调用!AK$5:AK$364,MATCH($K299,其他调用!$AG$5:$AG$364,0),0),1)*INDEX(其他调用!AB$5:AB$404,MATCH($K299,其他调用!$X$5:$X$404,0),0)</f>
        <v>47290.428129803229</v>
      </c>
      <c r="AT299" s="12">
        <f>MIN(INDEX(其他调用!$AL$5:$AL$364,MATCH($K299,其他调用!$AG$5:$AG$364,0),1)/INDEX(其他调用!AL$5:AL$364,MATCH($K299,其他调用!$AG$5:$AG$364,0),0),1)*INDEX(其他调用!AC$5:AC$404,MATCH($K299,其他调用!$X$5:$X$404,0),0)</f>
        <v>51189.551325818276</v>
      </c>
      <c r="AV299" s="14">
        <f>IF(OR(AV$5="大R",AV$5="超R"),MAX(INDEX(其他调用!$H$5:$L$404,MATCH($K299,其他调用!$B$5:$B$404,0),MATCH(AV$5,其他调用!$H$4:$L$4,0))*120*0.85,2),INDEX(其他调用!$H$5:$L$404,MATCH($K299,其他调用!$B$5:$B$404,0),MATCH(AV$5,其他调用!$H$4:$L$4,0))*120*0.85)</f>
        <v>48.921801254999991</v>
      </c>
      <c r="AW299" s="14">
        <f>IF(OR(AW$5="大R",AW$5="超R"),MAX(INDEX(其他调用!$H$5:$L$404,MATCH($K299,其他调用!$B$5:$B$404,0),MATCH(AW$5,其他调用!$H$4:$L$4,0))*120*0.85,2),INDEX(其他调用!$H$5:$L$404,MATCH($K299,其他调用!$B$5:$B$404,0),MATCH(AW$5,其他调用!$H$4:$L$4,0))*120*0.85)</f>
        <v>48.237344010638395</v>
      </c>
      <c r="AX299" s="14">
        <f>IF(OR(AX$5="大R",AX$5="超R"),MAX(INDEX(其他调用!$H$5:$L$404,MATCH($K299,其他调用!$B$5:$B$404,0),MATCH(AX$5,其他调用!$H$4:$L$4,0))*120*0.85,2),INDEX(其他调用!$H$5:$L$404,MATCH($K299,其他调用!$B$5:$B$404,0),MATCH(AX$5,其他调用!$H$4:$L$4,0))*120*0.85)</f>
        <v>3.9376284143615998</v>
      </c>
      <c r="AY299" s="14">
        <f>IF(OR(AY$5="大R",AY$5="超R"),MAX(INDEX(其他调用!$H$5:$L$404,MATCH($K299,其他调用!$B$5:$B$404,0),MATCH(AY$5,其他调用!$H$4:$L$4,0))*120*0.85,2),INDEX(其他调用!$H$5:$L$404,MATCH($K299,其他调用!$B$5:$B$404,0),MATCH(AY$5,其他调用!$H$4:$L$4,0))*120*0.85)</f>
        <v>2</v>
      </c>
      <c r="AZ299" s="14">
        <f>IF(OR(AZ$5="大R",AZ$5="超R"),MAX(INDEX(其他调用!$H$5:$L$404,MATCH($K299,其他调用!$B$5:$B$404,0),MATCH(AZ$5,其他调用!$H$4:$L$4,0))*120*0.85,2),INDEX(其他调用!$H$5:$L$404,MATCH($K299,其他调用!$B$5:$B$404,0),MATCH(AZ$5,其他调用!$H$4:$L$4,0))*120*0.85)</f>
        <v>2</v>
      </c>
      <c r="BA299" s="14">
        <f>INDEX(其他调用!$H$5:$L$404,MATCH($K299,其他调用!$B$5:$B$404,0),MATCH(BA$5,其他调用!$H$4:$L$4,0))*INDEX(其他调用!$M$5:$M$404,MATCH($K299,其他调用!$B$5:$B$404,0))*0.6</f>
        <v>28.777530149999997</v>
      </c>
      <c r="BB299" s="14">
        <f>INDEX(其他调用!$H$5:$L$404,MATCH($K299,其他调用!$B$5:$B$404,0),MATCH(BB$5,其他调用!$H$4:$L$4,0))*INDEX(其他调用!$M$5:$M$404,MATCH($K299,其他调用!$B$5:$B$404,0))*0.6</f>
        <v>28.374908241551999</v>
      </c>
      <c r="BC299" s="14">
        <f>INDEX(其他调用!$H$5:$L$404,MATCH($K299,其他调用!$B$5:$B$404,0),MATCH(BC$5,其他调用!$H$4:$L$4,0))*INDEX(其他调用!$M$5:$M$404,MATCH($K299,其他调用!$B$5:$B$404,0))*0.6</f>
        <v>2.3162520084480001</v>
      </c>
      <c r="BD299" s="14">
        <f>INDEX(其他调用!$H$5:$L$404,MATCH($K299,其他调用!$B$5:$B$404,0),MATCH(BD$5,其他调用!$H$4:$L$4,0))*INDEX(其他调用!$M$5:$M$404,MATCH($K299,其他调用!$B$5:$B$404,0))*0.6</f>
        <v>0.4120776000000001</v>
      </c>
      <c r="BE299" s="14">
        <f>INDEX(其他调用!$H$5:$L$404,MATCH($K299,其他调用!$B$5:$B$404,0),MATCH(BE$5,其他调用!$H$4:$L$4,0))*INDEX(其他调用!$M$5:$M$404,MATCH($K299,其他调用!$B$5:$B$404,0))*0.6</f>
        <v>0.11923199999999998</v>
      </c>
      <c r="BF299" s="14">
        <f>IF(OR(BF$5="大R",BF$5="超R"),0,INDEX(其他调用!$H$5:$L$404,MATCH($K299,其他调用!$B$5:$B$404,0),MATCH(BF$5,其他调用!$H$4:$L$4,0))*50*0.4)</f>
        <v>9.5925100500000013</v>
      </c>
      <c r="BG299" s="14">
        <f>IF(OR(BG$5="大R",BG$5="超R"),0,INDEX(其他调用!$H$5:$L$404,MATCH($K299,其他调用!$B$5:$B$404,0),MATCH(BG$5,其他调用!$H$4:$L$4,0))*50*0.4)</f>
        <v>9.4583027471839998</v>
      </c>
      <c r="BH299" s="14">
        <f>IF(OR(BH$5="大R",BH$5="超R"),0,INDEX(其他调用!$H$5:$L$404,MATCH($K299,其他调用!$B$5:$B$404,0),MATCH(BH$5,其他调用!$H$4:$L$4,0))*50*0.4)</f>
        <v>0.77208400281600009</v>
      </c>
      <c r="BI299" s="14">
        <f>IF(OR(BI$5="大R",BI$5="超R"),0,INDEX(其他调用!$H$5:$L$404,MATCH($K299,其他调用!$B$5:$B$404,0),MATCH(BI$5,其他调用!$H$4:$L$4,0))*50*0.4)</f>
        <v>0</v>
      </c>
      <c r="BJ299" s="14">
        <f>IF(OR(BJ$5="大R",BJ$5="超R"),0,INDEX(其他调用!$H$5:$L$404,MATCH($K299,其他调用!$B$5:$B$404,0),MATCH(BJ$5,其他调用!$H$4:$L$4,0))*50*0.4)</f>
        <v>0</v>
      </c>
      <c r="BL299" s="14">
        <f t="shared" si="523"/>
        <v>294</v>
      </c>
      <c r="BM299" s="14">
        <f t="shared" si="430"/>
        <v>96</v>
      </c>
      <c r="BN299" s="14">
        <f>('疲劳值&amp;地图信息'!$S$10*'疲劳值&amp;地图信息'!$R$10+'疲劳值&amp;地图信息'!$S$11*'疲劳值&amp;地图信息'!$R$11+'疲劳值&amp;地图信息'!$S$12*'疲劳值&amp;地图信息'!$R$12+(BM299-'疲劳值&amp;地图信息'!$S$12-'疲劳值&amp;地图信息'!$S$11-'疲劳值&amp;地图信息'!$S$10)*'疲劳值&amp;地图信息'!$R$13)/BM299</f>
        <v>51.371477246638619</v>
      </c>
      <c r="BO299" s="14">
        <f>INDEX(其他调用!$M$5:$M$404,MATCH(BL299,其他调用!$B$5:$B$404,0))*0.6</f>
        <v>60</v>
      </c>
      <c r="BP299" s="14">
        <f>IF(BO299&gt;SUM('疲劳值&amp;地图信息'!$S$10:$S$12),('疲劳值&amp;地图信息'!$S$10*'疲劳值&amp;地图信息'!$R$10+'疲劳值&amp;地图信息'!$S$11*'疲劳值&amp;地图信息'!$R$11+'疲劳值&amp;地图信息'!$S$12*'疲劳值&amp;地图信息'!$R$12+(BO299-'疲劳值&amp;地图信息'!$S$12-'疲劳值&amp;地图信息'!$S$11-'疲劳值&amp;地图信息'!$S$10)*'疲劳值&amp;地图信息'!$R$13)/BO299,('疲劳值&amp;地图信息'!$S$10*'疲劳值&amp;地图信息'!$R$10+'疲劳值&amp;地图信息'!$S$11*'疲劳值&amp;地图信息'!$R$11+'疲劳值&amp;地图信息'!$S$12*'疲劳值&amp;地图信息'!$R$12+(BO299-'疲劳值&amp;地图信息'!$S$12-'疲劳值&amp;地图信息'!$S$11-'疲劳值&amp;地图信息'!$S$10)*'疲劳值&amp;地图信息'!$R$13)/BO299)</f>
        <v>44.158136341605953</v>
      </c>
      <c r="BQ299" s="14">
        <f t="shared" si="524"/>
        <v>20</v>
      </c>
      <c r="BR299" s="14">
        <f>('疲劳值&amp;地图信息'!$S$10*'疲劳值&amp;地图信息'!$R$10+($BQ299-'疲劳值&amp;地图信息'!$S$10)*'疲劳值&amp;地图信息'!$R$11)/$BQ299</f>
        <v>32.067203015074995</v>
      </c>
      <c r="CF299" s="14">
        <v>294</v>
      </c>
      <c r="CG299" s="51">
        <f t="shared" si="431"/>
        <v>15840</v>
      </c>
      <c r="CH299" s="51">
        <f t="shared" si="432"/>
        <v>1091</v>
      </c>
      <c r="CI299" s="51">
        <f>INT(SUMPRODUCT($N299:$R299,$BA299:$BE299)/SUM($BA299:$BE299)/10000*$BX$7*$BZ$34/'疲劳值&amp;地图信息'!$R$10*$BY$53)</f>
        <v>3352</v>
      </c>
      <c r="CJ299" s="50">
        <f t="shared" si="433"/>
        <v>0.78094956367401269</v>
      </c>
      <c r="CK299" s="50">
        <f t="shared" si="434"/>
        <v>5.3788887245476508E-2</v>
      </c>
      <c r="CL299" s="50">
        <f t="shared" si="435"/>
        <v>0.16526154908051077</v>
      </c>
      <c r="CM299" s="14">
        <f t="shared" si="436"/>
        <v>17357</v>
      </c>
      <c r="CN299" s="14">
        <f t="shared" si="437"/>
        <v>1857</v>
      </c>
      <c r="CO299" s="14">
        <f>INT(SUMPRODUCT($U299:$Y299,$BA299:$BE299)/SUM($BA299:$BE299)/10000*$BX$7*$BZ$34/'疲劳值&amp;地图信息'!$R$10*$BY$54)</f>
        <v>6389</v>
      </c>
      <c r="CP299" s="50">
        <f t="shared" si="438"/>
        <v>0.67792836776940202</v>
      </c>
      <c r="CQ299" s="50">
        <f t="shared" si="439"/>
        <v>7.2530562824668979E-2</v>
      </c>
      <c r="CR299" s="50">
        <f t="shared" si="440"/>
        <v>0.24954106940592899</v>
      </c>
      <c r="CS299" s="14">
        <f t="shared" si="441"/>
        <v>18941</v>
      </c>
      <c r="CT299" s="14">
        <f t="shared" si="442"/>
        <v>3212</v>
      </c>
      <c r="CU299" s="14">
        <f>INT(SUMPRODUCT($AB299:$AF299,$BA299:$BE299)/SUM($BA299:$BE299)/10000*$BX$7*$BZ$34/'疲劳值&amp;地图信息'!$R$10*$BY$55)</f>
        <v>8679</v>
      </c>
      <c r="CV299" s="50">
        <f t="shared" si="443"/>
        <v>0.61432926829268297</v>
      </c>
      <c r="CW299" s="50">
        <f t="shared" si="444"/>
        <v>0.10417747794499221</v>
      </c>
      <c r="CX299" s="50">
        <f t="shared" si="445"/>
        <v>0.28149325376232487</v>
      </c>
      <c r="CY299" s="14">
        <f t="shared" si="446"/>
        <v>22895</v>
      </c>
      <c r="CZ299" s="14">
        <f t="shared" si="447"/>
        <v>9017</v>
      </c>
      <c r="DA299" s="14">
        <f>INT(SUMPRODUCT($AI299:$AM299,$BA299:$BE299)/SUM($BA299:$BE299)/10000*$BX$7*$BZ$34/'疲劳值&amp;地图信息'!$R$10*$BY$56)</f>
        <v>13093</v>
      </c>
      <c r="DB299" s="50">
        <f t="shared" si="448"/>
        <v>0.50872125319408956</v>
      </c>
      <c r="DC299" s="50">
        <f t="shared" si="449"/>
        <v>0.2003555160537718</v>
      </c>
      <c r="DD299" s="50">
        <f t="shared" si="450"/>
        <v>0.29092323075213866</v>
      </c>
      <c r="DE299" s="14">
        <f t="shared" si="451"/>
        <v>23933</v>
      </c>
      <c r="DF299" s="14">
        <f t="shared" si="452"/>
        <v>16063</v>
      </c>
      <c r="DG299" s="14">
        <f>INT(SUMPRODUCT($AP299:$AT299,$BA299:$BE299)/SUM($BA299:$BE299)/10000*$BX$7*$BZ$34/'疲劳值&amp;地图信息'!$R$10*$BY$57)</f>
        <v>17476</v>
      </c>
      <c r="DH299" s="50">
        <f t="shared" si="453"/>
        <v>0.41642886971046772</v>
      </c>
      <c r="DI299" s="50">
        <f t="shared" si="454"/>
        <v>0.27949262249443207</v>
      </c>
      <c r="DJ299" s="50">
        <f t="shared" si="455"/>
        <v>0.30407850779510021</v>
      </c>
      <c r="DL299" s="14">
        <f t="shared" si="526"/>
        <v>20283</v>
      </c>
      <c r="DM299" s="14">
        <f t="shared" si="527"/>
        <v>25603</v>
      </c>
      <c r="DN299" s="14">
        <f t="shared" si="528"/>
        <v>30832</v>
      </c>
      <c r="DO299" s="14">
        <f t="shared" si="529"/>
        <v>45005</v>
      </c>
      <c r="DP299" s="14">
        <f t="shared" si="530"/>
        <v>57472</v>
      </c>
      <c r="DQ299" s="14">
        <f t="shared" si="531"/>
        <v>1406990</v>
      </c>
      <c r="DT299" s="14">
        <f t="shared" si="525"/>
        <v>235575</v>
      </c>
      <c r="DU299" s="50">
        <f t="shared" si="427"/>
        <v>0.14341898189721564</v>
      </c>
      <c r="DW299" s="14">
        <f t="shared" si="456"/>
        <v>1642565</v>
      </c>
      <c r="EB299" s="14">
        <v>294</v>
      </c>
      <c r="EC299" s="51">
        <f t="shared" si="457"/>
        <v>26401</v>
      </c>
      <c r="ED299" s="51">
        <f t="shared" si="458"/>
        <v>1818</v>
      </c>
      <c r="EE299" s="51">
        <f>INT(SUMPRODUCT($N299:$R299,$BF299:$BJ299)/SUM($BF299:$BJ299)/10000*$BX$7*$BZ$46/'疲劳值&amp;地图信息'!$R$10*$BY$53)</f>
        <v>450</v>
      </c>
      <c r="EF299" s="50">
        <f t="shared" si="459"/>
        <v>0.92089016010324742</v>
      </c>
      <c r="EG299" s="50">
        <f t="shared" si="460"/>
        <v>6.3413443091841368E-2</v>
      </c>
      <c r="EH299" s="50">
        <f t="shared" si="461"/>
        <v>1.5696396804911229E-2</v>
      </c>
      <c r="EI299" s="51">
        <f t="shared" si="462"/>
        <v>28928</v>
      </c>
      <c r="EJ299" s="51">
        <f t="shared" si="463"/>
        <v>3095</v>
      </c>
      <c r="EK299" s="14">
        <f>INT(SUMPRODUCT($U299:$Y299,$BF299:$BJ299)/SUM($BF299:$BJ299)/10000*$BX$7*$BZ$46/'疲劳值&amp;地图信息'!$R$10*$BY$54)</f>
        <v>857</v>
      </c>
      <c r="EL299" s="50">
        <f t="shared" si="464"/>
        <v>0.8798053527980535</v>
      </c>
      <c r="EM299" s="50">
        <f t="shared" si="465"/>
        <v>9.4130170316301706E-2</v>
      </c>
      <c r="EN299" s="50">
        <f t="shared" si="466"/>
        <v>2.6064476885644769E-2</v>
      </c>
      <c r="EO299" s="51">
        <f t="shared" si="467"/>
        <v>31569</v>
      </c>
      <c r="EP299" s="51">
        <f t="shared" si="468"/>
        <v>5354</v>
      </c>
      <c r="EQ299" s="14">
        <f>INT(SUMPRODUCT($AB299:$AF299,$BF299:$BJ299)/SUM($BF299:$BJ299)/10000*$BX$7*$BZ$46/'疲劳值&amp;地图信息'!$R$10*$BY$55)</f>
        <v>1163</v>
      </c>
      <c r="ER299" s="50">
        <f t="shared" si="469"/>
        <v>0.82888725515937611</v>
      </c>
      <c r="ES299" s="50">
        <f t="shared" si="470"/>
        <v>0.14057658982303209</v>
      </c>
      <c r="ET299" s="50">
        <f t="shared" si="471"/>
        <v>3.0536155017591767E-2</v>
      </c>
      <c r="EU299" s="51">
        <f t="shared" si="472"/>
        <v>38158</v>
      </c>
      <c r="EV299" s="51">
        <f t="shared" si="473"/>
        <v>15028</v>
      </c>
      <c r="EW299" s="14">
        <f>INT(SUMPRODUCT($AI299:$AM299,$BF299:$BJ299)/SUM($BF299:$BJ299)/10000*$BX$7*$BZ$46/'疲劳值&amp;地图信息'!$R$10*$BY$56)</f>
        <v>1745</v>
      </c>
      <c r="EX299" s="50">
        <f t="shared" si="474"/>
        <v>0.69465329231217343</v>
      </c>
      <c r="EY299" s="50">
        <f t="shared" si="475"/>
        <v>0.27357958165698787</v>
      </c>
      <c r="EZ299" s="50">
        <f t="shared" si="476"/>
        <v>3.1767126030838685E-2</v>
      </c>
      <c r="FA299" s="51">
        <f t="shared" si="477"/>
        <v>39889</v>
      </c>
      <c r="FB299" s="51">
        <f t="shared" si="478"/>
        <v>26772</v>
      </c>
      <c r="FC299" s="14">
        <f>INT(SUMPRODUCT($AP299:$AT299,$BF299:$BJ299)/SUM($BF299:$BJ299)/10000*$BX$7*$BZ$46/'疲劳值&amp;地图信息'!$R$10*$BY$57)</f>
        <v>2327</v>
      </c>
      <c r="FD299" s="50">
        <f t="shared" si="479"/>
        <v>0.57820200614599637</v>
      </c>
      <c r="FE299" s="50">
        <f t="shared" si="480"/>
        <v>0.38806748999826057</v>
      </c>
      <c r="FF299" s="50">
        <f t="shared" si="481"/>
        <v>3.3730503855743027E-2</v>
      </c>
      <c r="FH299" s="14">
        <f t="shared" si="482"/>
        <v>28669</v>
      </c>
      <c r="FI299" s="14">
        <f t="shared" si="483"/>
        <v>32880</v>
      </c>
      <c r="FJ299" s="14">
        <f t="shared" si="484"/>
        <v>38086</v>
      </c>
      <c r="FK299" s="14">
        <f t="shared" si="485"/>
        <v>54931</v>
      </c>
      <c r="FL299" s="14">
        <f t="shared" si="486"/>
        <v>68988</v>
      </c>
      <c r="FM299" s="14">
        <f t="shared" si="487"/>
        <v>3386389</v>
      </c>
      <c r="FP299" s="14">
        <f t="shared" si="488"/>
        <v>334150</v>
      </c>
      <c r="FQ299" s="50">
        <f t="shared" si="428"/>
        <v>8.9812255697359983E-2</v>
      </c>
      <c r="FS299" s="14">
        <f t="shared" si="489"/>
        <v>3720539</v>
      </c>
      <c r="FX299" s="14">
        <v>294</v>
      </c>
      <c r="FY299" s="51">
        <f t="shared" si="490"/>
        <v>36962</v>
      </c>
      <c r="FZ299" s="51">
        <f t="shared" si="491"/>
        <v>1818</v>
      </c>
      <c r="GA299" s="51">
        <f>INT(SUMPRODUCT($N299:$R299,$BF299:$BJ299)/SUM($BF299:$BJ299)/10000*$BX$7*$BZ$46/'疲劳值&amp;地图信息'!$R$10*$BY$53)</f>
        <v>450</v>
      </c>
      <c r="GB299" s="50">
        <f t="shared" si="492"/>
        <v>0.94218710170787667</v>
      </c>
      <c r="GC299" s="50">
        <f t="shared" si="493"/>
        <v>4.6342085138924294E-2</v>
      </c>
      <c r="GD299" s="50">
        <f t="shared" si="494"/>
        <v>1.1470813153199082E-2</v>
      </c>
      <c r="GE299" s="51">
        <f t="shared" si="495"/>
        <v>40500</v>
      </c>
      <c r="GF299" s="51">
        <f t="shared" si="496"/>
        <v>3095</v>
      </c>
      <c r="GG299" s="14">
        <f>INT(SUMPRODUCT($U299:$Y299,$BF299:$BJ299)/SUM($BF299:$BJ299)/10000*$BX$7*$BZ$46/'疲劳值&amp;地图信息'!$R$10*$BY$54)</f>
        <v>857</v>
      </c>
      <c r="GH299" s="50">
        <f t="shared" si="497"/>
        <v>0.91109511383064878</v>
      </c>
      <c r="GI299" s="50">
        <f t="shared" si="498"/>
        <v>6.9625663637181673E-2</v>
      </c>
      <c r="GJ299" s="50">
        <f t="shared" si="499"/>
        <v>1.9279222532169533E-2</v>
      </c>
      <c r="GK299" s="51">
        <f t="shared" si="500"/>
        <v>44197</v>
      </c>
      <c r="GL299" s="51">
        <f t="shared" si="501"/>
        <v>5354</v>
      </c>
      <c r="GM299" s="14">
        <f>INT(SUMPRODUCT($AB299:$AF299,$BF299:$BJ299)/SUM($BF299:$BJ299)/10000*$BX$7*$BZ$46/'疲劳值&amp;地图信息'!$R$10*$BY$55)</f>
        <v>1163</v>
      </c>
      <c r="GN299" s="50">
        <f t="shared" si="502"/>
        <v>0.87149505067634181</v>
      </c>
      <c r="GO299" s="50">
        <f t="shared" si="503"/>
        <v>0.10557242576014512</v>
      </c>
      <c r="GP299" s="50">
        <f t="shared" si="504"/>
        <v>2.2932523563513035E-2</v>
      </c>
      <c r="GQ299" s="51">
        <f t="shared" si="505"/>
        <v>53422</v>
      </c>
      <c r="GR299" s="51">
        <f t="shared" si="506"/>
        <v>15028</v>
      </c>
      <c r="GS299" s="14">
        <f>INT(SUMPRODUCT($AI299:$AM299,$BF299:$BJ299)/SUM($BF299:$BJ299)/10000*$BX$7*$BZ$46/'疲劳值&amp;地图信息'!$R$10*$BY$56)</f>
        <v>1745</v>
      </c>
      <c r="GT299" s="50">
        <f t="shared" si="507"/>
        <v>0.76105135693425463</v>
      </c>
      <c r="GU299" s="50">
        <f t="shared" si="508"/>
        <v>0.21408932260132488</v>
      </c>
      <c r="GV299" s="50">
        <f t="shared" si="509"/>
        <v>2.4859320464420544E-2</v>
      </c>
      <c r="GW299" s="51">
        <f t="shared" si="510"/>
        <v>55845</v>
      </c>
      <c r="GX299" s="51">
        <f t="shared" si="511"/>
        <v>26772</v>
      </c>
      <c r="GY299" s="14">
        <f>INT(SUMPRODUCT($AP299:$AT299,$BF299:$BJ299)/SUM($BF299:$BJ299)/10000*$BX$7*$BZ$46/'疲劳值&amp;地图信息'!$R$10*$BY$57)</f>
        <v>2327</v>
      </c>
      <c r="GZ299" s="50">
        <f t="shared" si="512"/>
        <v>0.65743313241665102</v>
      </c>
      <c r="HA299" s="50">
        <f t="shared" si="513"/>
        <v>0.31517234884158973</v>
      </c>
      <c r="HB299" s="50">
        <f t="shared" si="514"/>
        <v>2.7394518741759275E-2</v>
      </c>
      <c r="HD299" s="14">
        <f t="shared" si="515"/>
        <v>39230</v>
      </c>
      <c r="HE299" s="14">
        <f t="shared" si="516"/>
        <v>44452</v>
      </c>
      <c r="HF299" s="14">
        <f t="shared" si="517"/>
        <v>50714</v>
      </c>
      <c r="HG299" s="14">
        <f t="shared" si="518"/>
        <v>70195</v>
      </c>
      <c r="HH299" s="14">
        <f t="shared" si="519"/>
        <v>84944</v>
      </c>
      <c r="HI299" s="14">
        <f t="shared" si="520"/>
        <v>4573419</v>
      </c>
      <c r="HL299" s="14">
        <f t="shared" si="521"/>
        <v>430050</v>
      </c>
      <c r="HM299" s="50">
        <f t="shared" si="429"/>
        <v>8.5950367634934882E-2</v>
      </c>
      <c r="HO299" s="14">
        <f t="shared" si="522"/>
        <v>5003469</v>
      </c>
    </row>
    <row r="300" spans="11:223" x14ac:dyDescent="0.2">
      <c r="K300" s="14">
        <v>295</v>
      </c>
      <c r="L300" s="12">
        <f>求节点(节奏总纲!D$4:D$163,标准城池设计!AB$4:AB$163,$K300)*求节点(节奏总纲!D$4:D$163,攻城基础信息!$AC$5:$AC$164,$K300)</f>
        <v>778381.16301868192</v>
      </c>
      <c r="M300" s="12">
        <f>INDEX(其他调用!$AA$5:$AA$404,MATCH(K300,其他调用!$X$5:$X$404,0))*MIN(INDEX(其他调用!$AH$5:$AH$364,MATCH('征服点（新）'!K300,其他调用!$AG$5:$AG$364,0),1)/INDEX(其他调用!$AJ$5:$AJ$364,MATCH(K300,其他调用!$AG$5:$AG$364,0),0),5)*求节点(节奏总纲!D$4:D$163,攻城基础信息!$AC$5:$AC$164,$K300)</f>
        <v>53504.574783674565</v>
      </c>
      <c r="N300" s="12">
        <f>MIN(INDEX(其他调用!$AH$5:$AH$364,MATCH($K300,其他调用!$AG$5:$AG$364,0),1)/INDEX(其他调用!AH$5:AH$364,MATCH($K300,其他调用!$AG$5:$AG$364,0),0),1)*INDEX(其他调用!Y$5:Y$404,MATCH($K300,其他调用!$X$5:$X$404,0),0)</f>
        <v>42377.78371007806</v>
      </c>
      <c r="O300" s="12">
        <f>MIN(INDEX(其他调用!$AH$5:$AH$364,MATCH($K300,其他调用!$AG$5:$AG$364,0),1)/INDEX(其他调用!AI$5:AI$364,MATCH($K300,其他调用!$AG$5:$AG$364,0),0),1)*INDEX(其他调用!Z$5:Z$404,MATCH($K300,其他调用!$X$5:$X$404,0),0)</f>
        <v>25564.022239240046</v>
      </c>
      <c r="P300" s="12">
        <f>MIN(INDEX(其他调用!$AH$5:$AH$364,MATCH($K300,其他调用!$AG$5:$AG$364,0),1)/INDEX(其他调用!AJ$5:AJ$364,MATCH($K300,其他调用!$AG$5:$AG$364,0),0),1)*INDEX(其他调用!AA$5:AA$404,MATCH($K300,其他调用!$X$5:$X$404,0),0)</f>
        <v>15287.021366764171</v>
      </c>
      <c r="Q300" s="12">
        <f>MIN(INDEX(其他调用!$AH$5:$AH$364,MATCH($K300,其他调用!$AG$5:$AG$364,0),1)/INDEX(其他调用!AK$5:AK$364,MATCH($K300,其他调用!$AG$5:$AG$364,0),0),1)*INDEX(其他调用!AB$5:AB$404,MATCH($K300,其他调用!$X$5:$X$404,0),0)</f>
        <v>5727.9225834584504</v>
      </c>
      <c r="R300" s="12">
        <f>MIN(INDEX(其他调用!$AH$5:$AH$364,MATCH($K300,其他调用!$AG$5:$AG$364,0),1)/INDEX(其他调用!AL$5:AL$364,MATCH($K300,其他调用!$AG$5:$AG$364,0),0),1)*INDEX(其他调用!AC$5:AC$404,MATCH($K300,其他调用!$X$5:$X$404,0),0)</f>
        <v>3344.2781641211218</v>
      </c>
      <c r="S300" s="12">
        <f>求节点(节奏总纲!D$4:D$163,标准城池设计!AC$4:AC$163,$K300)*求节点(节奏总纲!D$4:D$163,攻城基础信息!$AD$5:$AD$164,$K300)</f>
        <v>852926.98039941525</v>
      </c>
      <c r="T300" s="12">
        <f>INDEX(其他调用!$AA$5:$AA$404,MATCH($K300,其他调用!$X$5:$X$404,0))*MIN(INDEX(其他调用!AI$5:AI$364,MATCH($K300,其他调用!$AG$5:$AG$364,0),1)/INDEX(其他调用!$AJ$5:$AJ$364,MATCH($K300,其他调用!$AG$5:$AG$364,0),0),5)*求节点(节奏总纲!D$4:D$163,攻城基础信息!$AD$5:$AD$164,$K300)</f>
        <v>91115.623387046144</v>
      </c>
      <c r="U300" s="12">
        <f>MIN(INDEX(其他调用!$AI$5:$AI$364,MATCH($K300,其他调用!$AG$5:$AG$364,0),1)/INDEX(其他调用!AH$5:AH$364,MATCH($K300,其他调用!$AG$5:$AG$364,0),0),1)*INDEX(其他调用!Y$5:Y$404,MATCH($K300,其他调用!$X$5:$X$404,0),0)</f>
        <v>42377.78371007806</v>
      </c>
      <c r="V300" s="12">
        <f>MIN(INDEX(其他调用!$AI$5:$AI$364,MATCH($K300,其他调用!$AG$5:$AG$364,0),1)/INDEX(其他调用!AI$5:AI$364,MATCH($K300,其他调用!$AG$5:$AG$364,0),0),1)*INDEX(其他调用!Z$5:Z$404,MATCH($K300,其他调用!$X$5:$X$404,0),0)</f>
        <v>43534.25537958643</v>
      </c>
      <c r="W300" s="12">
        <f>MIN(INDEX(其他调用!$AI$5:$AI$364,MATCH($K300,其他调用!$AG$5:$AG$364,0),1)/INDEX(其他调用!AJ$5:AJ$364,MATCH($K300,其他调用!$AG$5:$AG$364,0),0),1)*INDEX(其他调用!AA$5:AA$404,MATCH($K300,其他调用!$X$5:$X$404,0),0)</f>
        <v>26033.035253441773</v>
      </c>
      <c r="X300" s="12">
        <f>MIN(INDEX(其他调用!$AI$5:$AI$364,MATCH($K300,其他调用!$AG$5:$AG$364,0),1)/INDEX(其他调用!AK$5:AK$364,MATCH($K300,其他调用!$AG$5:$AG$364,0),0),1)*INDEX(其他调用!AB$5:AB$404,MATCH($K300,其他调用!$X$5:$X$404,0),0)</f>
        <v>9754.3665941589898</v>
      </c>
      <c r="Y300" s="12">
        <f>MIN(INDEX(其他调用!$AI$5:$AI$364,MATCH($K300,其他调用!$AG$5:$AG$364,0),1)/INDEX(其他调用!AL$5:AL$364,MATCH($K300,其他调用!$AG$5:$AG$364,0),0),1)*INDEX(其他调用!AC$5:AC$404,MATCH($K300,其他调用!$X$5:$X$404,0),0)</f>
        <v>5695.1389845744161</v>
      </c>
      <c r="Z300" s="12">
        <f>求节点(节奏总纲!D$4:D$163,标准城池设计!AD$4:AD$163,$K300)*求节点(节奏总纲!D$4:D$163,攻城基础信息!$AE$5:$AE$164,$K300)</f>
        <v>930745.27662283182</v>
      </c>
      <c r="AA300" s="12">
        <f>INDEX(其他调用!$AA$5:$AA$404,MATCH($K300,其他调用!$X$5:$X$404,0))*MIN(INDEX(其他调用!AJ$5:AJ$364,MATCH($K300,其他调用!$AG$5:$AG$364,0),1)/INDEX(其他调用!$AJ$5:$AJ$364,MATCH($K300,其他调用!$AG$5:$AG$364,0),0),5)*求节点(节奏总纲!D$4:D$163,攻城基础信息!$AE$5:$AE$164,$K300)</f>
        <v>157696.94855323396</v>
      </c>
      <c r="AB300" s="12">
        <f>MIN(INDEX(其他调用!$AJ$5:$AJ$364,MATCH($K300,其他调用!$AG$5:$AG$364,0),1)/INDEX(其他调用!AH$5:AH$364,MATCH($K300,其他调用!$AG$5:$AG$364,0),0),1)*INDEX(其他调用!Y$5:Y$404,MATCH($K300,其他调用!$X$5:$X$404,0),0)</f>
        <v>42377.78371007806</v>
      </c>
      <c r="AC300" s="12">
        <f>MIN(INDEX(其他调用!$AJ$5:$AJ$364,MATCH($K300,其他调用!$AG$5:$AG$364,0),1)/INDEX(其他调用!AI$5:AI$364,MATCH($K300,其他调用!$AG$5:$AG$364,0),0),1)*INDEX(其他调用!Z$5:Z$404,MATCH($K300,其他调用!$X$5:$X$404,0),0)</f>
        <v>43534.25537958643</v>
      </c>
      <c r="AD300" s="12">
        <f>MIN(INDEX(其他调用!$AJ$5:$AJ$364,MATCH($K300,其他调用!$AG$5:$AG$364,0),1)/INDEX(其他调用!AJ$5:AJ$364,MATCH($K300,其他调用!$AG$5:$AG$364,0),0),1)*INDEX(其他调用!AA$5:AA$404,MATCH($K300,其他调用!$X$5:$X$404,0),0)</f>
        <v>45056.271015209735</v>
      </c>
      <c r="AE300" s="12">
        <f>MIN(INDEX(其他调用!$AJ$5:$AJ$364,MATCH($K300,其他调用!$AG$5:$AG$364,0),1)/INDEX(其他调用!AK$5:AK$364,MATCH($K300,其他调用!$AG$5:$AG$364,0),0),1)*INDEX(其他调用!AB$5:AB$404,MATCH($K300,其他调用!$X$5:$X$404,0),0)</f>
        <v>16882.2183264255</v>
      </c>
      <c r="AF300" s="12">
        <f>MIN(INDEX(其他调用!$AJ$5:$AJ$364,MATCH($K300,其他调用!$AG$5:$AG$364,0),1)/INDEX(其他调用!AL$5:AL$364,MATCH($K300,其他调用!$AG$5:$AG$364,0),0),1)*INDEX(其他调用!AC$5:AC$404,MATCH($K300,其他调用!$X$5:$X$404,0),0)</f>
        <v>9856.7732521449452</v>
      </c>
      <c r="AG300" s="12">
        <f>求节点(节奏总纲!D$4:D$163,标准城池设计!AE$4:AE$163,$K300)*求节点(节奏总纲!D$4:D$163,攻城基础信息!$AF$5:$AF$164,$K300)</f>
        <v>1124708.0437535173</v>
      </c>
      <c r="AH300" s="12">
        <f>INDEX(其他调用!$AA$5:$AA$404,MATCH($K300,其他调用!$X$5:$X$404,0))*MIN(INDEX(其他调用!AK$5:AK$364,MATCH($K300,其他调用!$AG$5:$AG$364,0),1)/INDEX(其他调用!$AJ$5:$AJ$364,MATCH($K300,其他调用!$AG$5:$AG$364,0),0),5)*求节点(节奏总纲!D$4:D$163,攻城基础信息!$AF$5:$AF$164,$K300)</f>
        <v>441925.97053624591</v>
      </c>
      <c r="AI300" s="12">
        <f>MIN(INDEX(其他调用!$AK$5:$AK$364,MATCH($K300,其他调用!$AG$5:$AG$364,0),1)/INDEX(其他调用!AH$5:AH$364,MATCH($K300,其他调用!$AG$5:$AG$364,0),0),1)*INDEX(其他调用!Y$5:Y$404,MATCH($K300,其他调用!$X$5:$X$404,0),0)</f>
        <v>42377.78371007806</v>
      </c>
      <c r="AJ300" s="12">
        <f>MIN(INDEX(其他调用!$AK$5:$AK$364,MATCH($K300,其他调用!$AG$5:$AG$364,0),1)/INDEX(其他调用!AI$5:AI$364,MATCH($K300,其他调用!$AG$5:$AG$364,0),0),1)*INDEX(其他调用!Z$5:Z$404,MATCH($K300,其他调用!$X$5:$X$404,0),0)</f>
        <v>43534.25537958643</v>
      </c>
      <c r="AK300" s="12">
        <f>MIN(INDEX(其他调用!$AK$5:$AK$364,MATCH($K300,其他调用!$AG$5:$AG$364,0),1)/INDEX(其他调用!AJ$5:AJ$364,MATCH($K300,其他调用!$AG$5:$AG$364,0),0),1)*INDEX(其他调用!AA$5:AA$404,MATCH($K300,其他调用!$X$5:$X$404,0),0)</f>
        <v>45056.271015209735</v>
      </c>
      <c r="AL300" s="12">
        <f>MIN(INDEX(其他调用!$AK$5:$AK$364,MATCH($K300,其他调用!$AG$5:$AG$364,0),1)/INDEX(其他调用!AK$5:AK$364,MATCH($K300,其他调用!$AG$5:$AG$364,0),0),1)*INDEX(其他调用!AB$5:AB$404,MATCH($K300,其他调用!$X$5:$X$404,0),0)</f>
        <v>47310.304905436205</v>
      </c>
      <c r="AM300" s="12">
        <f>MIN(INDEX(其他调用!$AK$5:$AK$364,MATCH($K300,其他调用!$AG$5:$AG$364,0),1)/INDEX(其他调用!AL$5:AL$364,MATCH($K300,其他调用!$AG$5:$AG$364,0),0),1)*INDEX(其他调用!AC$5:AC$404,MATCH($K300,其他调用!$X$5:$X$404,0),0)</f>
        <v>27622.37396330732</v>
      </c>
      <c r="AN300" s="12">
        <f>求节点(节奏总纲!D$4:D$163,标准城池设计!AF$4:AF$163,$K300)*求节点(节奏总纲!D$4:D$163,攻城基础信息!$AG$5:$AG$164,$K300)</f>
        <v>1175306.1030757017</v>
      </c>
      <c r="AO300" s="12">
        <f>INDEX(其他调用!$AA$5:$AA$404,MATCH($K300,其他调用!$X$5:$X$404,0))*MIN(INDEX(其他调用!AL$5:AL$364,MATCH($K300,其他调用!$AG$5:$AG$364,0),1)/INDEX(其他调用!$AJ$5:$AJ$364,MATCH($K300,其他调用!$AG$5:$AG$364,0),0),5)*求节点(节奏总纲!D$4:D$163,攻城基础信息!$AG$5:$AG$164,$K300)</f>
        <v>788484.74276616983</v>
      </c>
      <c r="AP300" s="12">
        <f>MIN(INDEX(其他调用!$AL$5:$AL$364,MATCH($K300,其他调用!$AG$5:$AG$364,0),1)/INDEX(其他调用!AH$5:AH$364,MATCH($K300,其他调用!$AG$5:$AG$364,0),0),1)*INDEX(其他调用!Y$5:Y$404,MATCH($K300,其他调用!$X$5:$X$404,0),0)</f>
        <v>42377.78371007806</v>
      </c>
      <c r="AQ300" s="12">
        <f>MIN(INDEX(其他调用!$AL$5:$AL$364,MATCH($K300,其他调用!$AG$5:$AG$364,0),1)/INDEX(其他调用!AI$5:AI$364,MATCH($K300,其他调用!$AG$5:$AG$364,0),0),1)*INDEX(其他调用!Z$5:Z$404,MATCH($K300,其他调用!$X$5:$X$404,0),0)</f>
        <v>43534.25537958643</v>
      </c>
      <c r="AR300" s="12">
        <f>MIN(INDEX(其他调用!$AL$5:$AL$364,MATCH($K300,其他调用!$AG$5:$AG$364,0),1)/INDEX(其他调用!AJ$5:AJ$364,MATCH($K300,其他调用!$AG$5:$AG$364,0),0),1)*INDEX(其他调用!AA$5:AA$404,MATCH($K300,其他调用!$X$5:$X$404,0),0)</f>
        <v>45056.271015209735</v>
      </c>
      <c r="AS300" s="12">
        <f>MIN(INDEX(其他调用!$AL$5:$AL$364,MATCH($K300,其他调用!$AG$5:$AG$364,0),1)/INDEX(其他调用!AK$5:AK$364,MATCH($K300,其他调用!$AG$5:$AG$364,0),0),1)*INDEX(其他调用!AB$5:AB$404,MATCH($K300,其他调用!$X$5:$X$404,0),0)</f>
        <v>47310.304905436205</v>
      </c>
      <c r="AT300" s="12">
        <f>MIN(INDEX(其他调用!$AL$5:$AL$364,MATCH($K300,其他调用!$AG$5:$AG$364,0),1)/INDEX(其他调用!AL$5:AL$364,MATCH($K300,其他调用!$AG$5:$AG$364,0),0),1)*INDEX(其他调用!AC$5:AC$404,MATCH($K300,其他调用!$X$5:$X$404,0),0)</f>
        <v>51208.834583986027</v>
      </c>
      <c r="AV300" s="14">
        <f>IF(OR(AV$5="大R",AV$5="超R"),MAX(INDEX(其他调用!$H$5:$L$404,MATCH($K300,其他调用!$B$5:$B$404,0),MATCH(AV$5,其他调用!$H$4:$L$4,0))*120*0.85,2),INDEX(其他调用!$H$5:$L$404,MATCH($K300,其他调用!$B$5:$B$404,0),MATCH(AV$5,其他调用!$H$4:$L$4,0))*120*0.85)</f>
        <v>48.921801254999991</v>
      </c>
      <c r="AW300" s="14">
        <f>IF(OR(AW$5="大R",AW$5="超R"),MAX(INDEX(其他调用!$H$5:$L$404,MATCH($K300,其他调用!$B$5:$B$404,0),MATCH(AW$5,其他调用!$H$4:$L$4,0))*120*0.85,2),INDEX(其他调用!$H$5:$L$404,MATCH($K300,其他调用!$B$5:$B$404,0),MATCH(AW$5,其他调用!$H$4:$L$4,0))*120*0.85)</f>
        <v>48.237344010638395</v>
      </c>
      <c r="AX300" s="14">
        <f>IF(OR(AX$5="大R",AX$5="超R"),MAX(INDEX(其他调用!$H$5:$L$404,MATCH($K300,其他调用!$B$5:$B$404,0),MATCH(AX$5,其他调用!$H$4:$L$4,0))*120*0.85,2),INDEX(其他调用!$H$5:$L$404,MATCH($K300,其他调用!$B$5:$B$404,0),MATCH(AX$5,其他调用!$H$4:$L$4,0))*120*0.85)</f>
        <v>3.9376284143615998</v>
      </c>
      <c r="AY300" s="14">
        <f>IF(OR(AY$5="大R",AY$5="超R"),MAX(INDEX(其他调用!$H$5:$L$404,MATCH($K300,其他调用!$B$5:$B$404,0),MATCH(AY$5,其他调用!$H$4:$L$4,0))*120*0.85,2),INDEX(其他调用!$H$5:$L$404,MATCH($K300,其他调用!$B$5:$B$404,0),MATCH(AY$5,其他调用!$H$4:$L$4,0))*120*0.85)</f>
        <v>2</v>
      </c>
      <c r="AZ300" s="14">
        <f>IF(OR(AZ$5="大R",AZ$5="超R"),MAX(INDEX(其他调用!$H$5:$L$404,MATCH($K300,其他调用!$B$5:$B$404,0),MATCH(AZ$5,其他调用!$H$4:$L$4,0))*120*0.85,2),INDEX(其他调用!$H$5:$L$404,MATCH($K300,其他调用!$B$5:$B$404,0),MATCH(AZ$5,其他调用!$H$4:$L$4,0))*120*0.85)</f>
        <v>2</v>
      </c>
      <c r="BA300" s="14">
        <f>INDEX(其他调用!$H$5:$L$404,MATCH($K300,其他调用!$B$5:$B$404,0),MATCH(BA$5,其他调用!$H$4:$L$4,0))*INDEX(其他调用!$M$5:$M$404,MATCH($K300,其他调用!$B$5:$B$404,0))*0.6</f>
        <v>28.777530149999997</v>
      </c>
      <c r="BB300" s="14">
        <f>INDEX(其他调用!$H$5:$L$404,MATCH($K300,其他调用!$B$5:$B$404,0),MATCH(BB$5,其他调用!$H$4:$L$4,0))*INDEX(其他调用!$M$5:$M$404,MATCH($K300,其他调用!$B$5:$B$404,0))*0.6</f>
        <v>28.374908241551999</v>
      </c>
      <c r="BC300" s="14">
        <f>INDEX(其他调用!$H$5:$L$404,MATCH($K300,其他调用!$B$5:$B$404,0),MATCH(BC$5,其他调用!$H$4:$L$4,0))*INDEX(其他调用!$M$5:$M$404,MATCH($K300,其他调用!$B$5:$B$404,0))*0.6</f>
        <v>2.3162520084480001</v>
      </c>
      <c r="BD300" s="14">
        <f>INDEX(其他调用!$H$5:$L$404,MATCH($K300,其他调用!$B$5:$B$404,0),MATCH(BD$5,其他调用!$H$4:$L$4,0))*INDEX(其他调用!$M$5:$M$404,MATCH($K300,其他调用!$B$5:$B$404,0))*0.6</f>
        <v>0.4120776000000001</v>
      </c>
      <c r="BE300" s="14">
        <f>INDEX(其他调用!$H$5:$L$404,MATCH($K300,其他调用!$B$5:$B$404,0),MATCH(BE$5,其他调用!$H$4:$L$4,0))*INDEX(其他调用!$M$5:$M$404,MATCH($K300,其他调用!$B$5:$B$404,0))*0.6</f>
        <v>0.11923199999999998</v>
      </c>
      <c r="BF300" s="14">
        <f>IF(OR(BF$5="大R",BF$5="超R"),0,INDEX(其他调用!$H$5:$L$404,MATCH($K300,其他调用!$B$5:$B$404,0),MATCH(BF$5,其他调用!$H$4:$L$4,0))*50*0.4)</f>
        <v>9.5925100500000013</v>
      </c>
      <c r="BG300" s="14">
        <f>IF(OR(BG$5="大R",BG$5="超R"),0,INDEX(其他调用!$H$5:$L$404,MATCH($K300,其他调用!$B$5:$B$404,0),MATCH(BG$5,其他调用!$H$4:$L$4,0))*50*0.4)</f>
        <v>9.4583027471839998</v>
      </c>
      <c r="BH300" s="14">
        <f>IF(OR(BH$5="大R",BH$5="超R"),0,INDEX(其他调用!$H$5:$L$404,MATCH($K300,其他调用!$B$5:$B$404,0),MATCH(BH$5,其他调用!$H$4:$L$4,0))*50*0.4)</f>
        <v>0.77208400281600009</v>
      </c>
      <c r="BI300" s="14">
        <f>IF(OR(BI$5="大R",BI$5="超R"),0,INDEX(其他调用!$H$5:$L$404,MATCH($K300,其他调用!$B$5:$B$404,0),MATCH(BI$5,其他调用!$H$4:$L$4,0))*50*0.4)</f>
        <v>0</v>
      </c>
      <c r="BJ300" s="14">
        <f>IF(OR(BJ$5="大R",BJ$5="超R"),0,INDEX(其他调用!$H$5:$L$404,MATCH($K300,其他调用!$B$5:$B$404,0),MATCH(BJ$5,其他调用!$H$4:$L$4,0))*50*0.4)</f>
        <v>0</v>
      </c>
      <c r="BL300" s="14">
        <f t="shared" si="523"/>
        <v>295</v>
      </c>
      <c r="BM300" s="14">
        <f t="shared" si="430"/>
        <v>96</v>
      </c>
      <c r="BN300" s="14">
        <f>('疲劳值&amp;地图信息'!$S$10*'疲劳值&amp;地图信息'!$R$10+'疲劳值&amp;地图信息'!$S$11*'疲劳值&amp;地图信息'!$R$11+'疲劳值&amp;地图信息'!$S$12*'疲劳值&amp;地图信息'!$R$12+(BM300-'疲劳值&amp;地图信息'!$S$12-'疲劳值&amp;地图信息'!$S$11-'疲劳值&amp;地图信息'!$S$10)*'疲劳值&amp;地图信息'!$R$13)/BM300</f>
        <v>51.371477246638619</v>
      </c>
      <c r="BO300" s="14">
        <f>INDEX(其他调用!$M$5:$M$404,MATCH(BL300,其他调用!$B$5:$B$404,0))*0.6</f>
        <v>60</v>
      </c>
      <c r="BP300" s="14">
        <f>IF(BO300&gt;SUM('疲劳值&amp;地图信息'!$S$10:$S$12),('疲劳值&amp;地图信息'!$S$10*'疲劳值&amp;地图信息'!$R$10+'疲劳值&amp;地图信息'!$S$11*'疲劳值&amp;地图信息'!$R$11+'疲劳值&amp;地图信息'!$S$12*'疲劳值&amp;地图信息'!$R$12+(BO300-'疲劳值&amp;地图信息'!$S$12-'疲劳值&amp;地图信息'!$S$11-'疲劳值&amp;地图信息'!$S$10)*'疲劳值&amp;地图信息'!$R$13)/BO300,('疲劳值&amp;地图信息'!$S$10*'疲劳值&amp;地图信息'!$R$10+'疲劳值&amp;地图信息'!$S$11*'疲劳值&amp;地图信息'!$R$11+'疲劳值&amp;地图信息'!$S$12*'疲劳值&amp;地图信息'!$R$12+(BO300-'疲劳值&amp;地图信息'!$S$12-'疲劳值&amp;地图信息'!$S$11-'疲劳值&amp;地图信息'!$S$10)*'疲劳值&amp;地图信息'!$R$13)/BO300)</f>
        <v>44.158136341605953</v>
      </c>
      <c r="BQ300" s="14">
        <f t="shared" si="524"/>
        <v>20</v>
      </c>
      <c r="BR300" s="14">
        <f>('疲劳值&amp;地图信息'!$S$10*'疲劳值&amp;地图信息'!$R$10+($BQ300-'疲劳值&amp;地图信息'!$S$10)*'疲劳值&amp;地图信息'!$R$11)/$BQ300</f>
        <v>32.067203015074995</v>
      </c>
      <c r="CF300" s="14">
        <v>295</v>
      </c>
      <c r="CG300" s="51">
        <f t="shared" si="431"/>
        <v>15864</v>
      </c>
      <c r="CH300" s="51">
        <f t="shared" si="432"/>
        <v>1090</v>
      </c>
      <c r="CI300" s="51">
        <f>INT(SUMPRODUCT($N300:$R300,$BA300:$BE300)/SUM($BA300:$BE300)/10000*$BX$7*$BZ$34/'疲劳值&amp;地图信息'!$R$10*$BY$53)</f>
        <v>3353</v>
      </c>
      <c r="CJ300" s="50">
        <f t="shared" si="433"/>
        <v>0.78120845028807795</v>
      </c>
      <c r="CK300" s="50">
        <f t="shared" si="434"/>
        <v>5.3676072290343234E-2</v>
      </c>
      <c r="CL300" s="50">
        <f t="shared" si="435"/>
        <v>0.16511547742157875</v>
      </c>
      <c r="CM300" s="14">
        <f t="shared" si="436"/>
        <v>17383</v>
      </c>
      <c r="CN300" s="14">
        <f t="shared" si="437"/>
        <v>1857</v>
      </c>
      <c r="CO300" s="14">
        <f>INT(SUMPRODUCT($U300:$Y300,$BA300:$BE300)/SUM($BA300:$BE300)/10000*$BX$7*$BZ$34/'疲劳值&amp;地图信息'!$R$10*$BY$54)</f>
        <v>6391</v>
      </c>
      <c r="CP300" s="50">
        <f t="shared" si="438"/>
        <v>0.67820217705122698</v>
      </c>
      <c r="CQ300" s="50">
        <f t="shared" si="439"/>
        <v>7.2451328469431545E-2</v>
      </c>
      <c r="CR300" s="50">
        <f t="shared" si="440"/>
        <v>0.24934649447934143</v>
      </c>
      <c r="CS300" s="14">
        <f t="shared" si="441"/>
        <v>18969</v>
      </c>
      <c r="CT300" s="14">
        <f t="shared" si="442"/>
        <v>3214</v>
      </c>
      <c r="CU300" s="14">
        <f>INT(SUMPRODUCT($AB300:$AF300,$BA300:$BE300)/SUM($BA300:$BE300)/10000*$BX$7*$BZ$34/'疲劳值&amp;地图信息'!$R$10*$BY$55)</f>
        <v>8683</v>
      </c>
      <c r="CV300" s="50">
        <f t="shared" si="443"/>
        <v>0.61455970971295282</v>
      </c>
      <c r="CW300" s="50">
        <f t="shared" si="444"/>
        <v>0.10412751895289316</v>
      </c>
      <c r="CX300" s="50">
        <f t="shared" si="445"/>
        <v>0.28131277133415411</v>
      </c>
      <c r="CY300" s="14">
        <f t="shared" si="446"/>
        <v>22923</v>
      </c>
      <c r="CZ300" s="14">
        <f t="shared" si="447"/>
        <v>9007</v>
      </c>
      <c r="DA300" s="14">
        <f>INT(SUMPRODUCT($AI300:$AM300,$BA300:$BE300)/SUM($BA300:$BE300)/10000*$BX$7*$BZ$34/'疲劳值&amp;地图信息'!$R$10*$BY$56)</f>
        <v>13099</v>
      </c>
      <c r="DB300" s="50">
        <f t="shared" si="448"/>
        <v>0.50907193142197249</v>
      </c>
      <c r="DC300" s="50">
        <f t="shared" si="449"/>
        <v>0.20002664949254925</v>
      </c>
      <c r="DD300" s="50">
        <f t="shared" si="450"/>
        <v>0.29090141908547823</v>
      </c>
      <c r="DE300" s="14">
        <f t="shared" si="451"/>
        <v>23954</v>
      </c>
      <c r="DF300" s="14">
        <f t="shared" si="452"/>
        <v>16070</v>
      </c>
      <c r="DG300" s="14">
        <f>INT(SUMPRODUCT($AP300:$AT300,$BA300:$BE300)/SUM($BA300:$BE300)/10000*$BX$7*$BZ$34/'疲劳值&amp;地图信息'!$R$10*$BY$57)</f>
        <v>17484</v>
      </c>
      <c r="DH300" s="50">
        <f t="shared" si="453"/>
        <v>0.41653335188147739</v>
      </c>
      <c r="DI300" s="50">
        <f t="shared" si="454"/>
        <v>0.27943938234680393</v>
      </c>
      <c r="DJ300" s="50">
        <f t="shared" si="455"/>
        <v>0.30402726577171874</v>
      </c>
      <c r="DL300" s="14">
        <f t="shared" si="526"/>
        <v>20307</v>
      </c>
      <c r="DM300" s="14">
        <f t="shared" si="527"/>
        <v>25631</v>
      </c>
      <c r="DN300" s="14">
        <f t="shared" si="528"/>
        <v>30866</v>
      </c>
      <c r="DO300" s="14">
        <f t="shared" si="529"/>
        <v>45029</v>
      </c>
      <c r="DP300" s="14">
        <f t="shared" si="530"/>
        <v>57508</v>
      </c>
      <c r="DQ300" s="14">
        <f t="shared" si="531"/>
        <v>1408568</v>
      </c>
      <c r="DT300" s="14">
        <f t="shared" si="525"/>
        <v>235575</v>
      </c>
      <c r="DU300" s="50">
        <f t="shared" si="427"/>
        <v>0.14328133258481773</v>
      </c>
      <c r="DW300" s="14">
        <f t="shared" si="456"/>
        <v>1644143</v>
      </c>
      <c r="EB300" s="14">
        <v>295</v>
      </c>
      <c r="EC300" s="51">
        <f t="shared" si="457"/>
        <v>26440</v>
      </c>
      <c r="ED300" s="51">
        <f t="shared" si="458"/>
        <v>1817</v>
      </c>
      <c r="EE300" s="51">
        <f>INT(SUMPRODUCT($N300:$R300,$BF300:$BJ300)/SUM($BF300:$BJ300)/10000*$BX$7*$BZ$46/'疲劳值&amp;地图信息'!$R$10*$BY$53)</f>
        <v>450</v>
      </c>
      <c r="EF300" s="50">
        <f t="shared" si="459"/>
        <v>0.92102971400703659</v>
      </c>
      <c r="EG300" s="50">
        <f t="shared" si="460"/>
        <v>6.3294666806005498E-2</v>
      </c>
      <c r="EH300" s="50">
        <f t="shared" si="461"/>
        <v>1.5675619186957885E-2</v>
      </c>
      <c r="EI300" s="51">
        <f t="shared" si="462"/>
        <v>28972</v>
      </c>
      <c r="EJ300" s="51">
        <f t="shared" si="463"/>
        <v>3095</v>
      </c>
      <c r="EK300" s="14">
        <f>INT(SUMPRODUCT($U300:$Y300,$BF300:$BJ300)/SUM($BF300:$BJ300)/10000*$BX$7*$BZ$46/'疲劳值&amp;地图信息'!$R$10*$BY$54)</f>
        <v>858</v>
      </c>
      <c r="EL300" s="50">
        <f t="shared" si="464"/>
        <v>0.87993925588458621</v>
      </c>
      <c r="EM300" s="50">
        <f t="shared" si="465"/>
        <v>9.4001518602885345E-2</v>
      </c>
      <c r="EN300" s="50">
        <f t="shared" si="466"/>
        <v>2.6059225512528473E-2</v>
      </c>
      <c r="EO300" s="51">
        <f t="shared" si="467"/>
        <v>31616</v>
      </c>
      <c r="EP300" s="51">
        <f t="shared" si="468"/>
        <v>5356</v>
      </c>
      <c r="EQ300" s="14">
        <f>INT(SUMPRODUCT($AB300:$AF300,$BF300:$BJ300)/SUM($BF300:$BJ300)/10000*$BX$7*$BZ$46/'疲劳值&amp;地图信息'!$R$10*$BY$55)</f>
        <v>1164</v>
      </c>
      <c r="ER300" s="50">
        <f t="shared" si="469"/>
        <v>0.82903293475980699</v>
      </c>
      <c r="ES300" s="50">
        <f t="shared" si="470"/>
        <v>0.14044472414516468</v>
      </c>
      <c r="ET300" s="50">
        <f t="shared" si="471"/>
        <v>3.052234109502832E-2</v>
      </c>
      <c r="EU300" s="51">
        <f t="shared" si="472"/>
        <v>38205</v>
      </c>
      <c r="EV300" s="51">
        <f t="shared" si="473"/>
        <v>15011</v>
      </c>
      <c r="EW300" s="14">
        <f>INT(SUMPRODUCT($AI300:$AM300,$BF300:$BJ300)/SUM($BF300:$BJ300)/10000*$BX$7*$BZ$46/'疲劳值&amp;地图信息'!$R$10*$BY$56)</f>
        <v>1746</v>
      </c>
      <c r="EX300" s="50">
        <f t="shared" si="474"/>
        <v>0.69511662603253155</v>
      </c>
      <c r="EY300" s="50">
        <f t="shared" si="475"/>
        <v>0.27311597103453294</v>
      </c>
      <c r="EZ300" s="50">
        <f t="shared" si="476"/>
        <v>3.1767402932935486E-2</v>
      </c>
      <c r="FA300" s="51">
        <f t="shared" si="477"/>
        <v>39923</v>
      </c>
      <c r="FB300" s="51">
        <f t="shared" si="478"/>
        <v>26783</v>
      </c>
      <c r="FC300" s="14">
        <f>INT(SUMPRODUCT($AP300:$AT300,$BF300:$BJ300)/SUM($BF300:$BJ300)/10000*$BX$7*$BZ$46/'疲劳值&amp;地图信息'!$R$10*$BY$57)</f>
        <v>2328</v>
      </c>
      <c r="FD300" s="50">
        <f t="shared" si="479"/>
        <v>0.5783092389257467</v>
      </c>
      <c r="FE300" s="50">
        <f t="shared" si="480"/>
        <v>0.38796824753020248</v>
      </c>
      <c r="FF300" s="50">
        <f t="shared" si="481"/>
        <v>3.3722513544050758E-2</v>
      </c>
      <c r="FH300" s="14">
        <f t="shared" si="482"/>
        <v>28707</v>
      </c>
      <c r="FI300" s="14">
        <f t="shared" si="483"/>
        <v>32925</v>
      </c>
      <c r="FJ300" s="14">
        <f t="shared" si="484"/>
        <v>38136</v>
      </c>
      <c r="FK300" s="14">
        <f t="shared" si="485"/>
        <v>54962</v>
      </c>
      <c r="FL300" s="14">
        <f t="shared" si="486"/>
        <v>69034</v>
      </c>
      <c r="FM300" s="14">
        <f t="shared" si="487"/>
        <v>3390770</v>
      </c>
      <c r="FP300" s="14">
        <f t="shared" si="488"/>
        <v>334150</v>
      </c>
      <c r="FQ300" s="50">
        <f t="shared" si="428"/>
        <v>8.9706624571802882E-2</v>
      </c>
      <c r="FS300" s="14">
        <f t="shared" si="489"/>
        <v>3724920</v>
      </c>
      <c r="FX300" s="14">
        <v>295</v>
      </c>
      <c r="FY300" s="51">
        <f t="shared" si="490"/>
        <v>37016</v>
      </c>
      <c r="FZ300" s="51">
        <f t="shared" si="491"/>
        <v>1817</v>
      </c>
      <c r="GA300" s="51">
        <f>INT(SUMPRODUCT($N300:$R300,$BF300:$BJ300)/SUM($BF300:$BJ300)/10000*$BX$7*$BZ$46/'疲劳值&amp;地图信息'!$R$10*$BY$53)</f>
        <v>450</v>
      </c>
      <c r="GB300" s="50">
        <f t="shared" si="492"/>
        <v>0.94229055825675223</v>
      </c>
      <c r="GC300" s="50">
        <f t="shared" si="493"/>
        <v>4.6254104829060914E-2</v>
      </c>
      <c r="GD300" s="50">
        <f t="shared" si="494"/>
        <v>1.1455336914186799E-2</v>
      </c>
      <c r="GE300" s="51">
        <f t="shared" si="495"/>
        <v>40562</v>
      </c>
      <c r="GF300" s="51">
        <f t="shared" si="496"/>
        <v>3095</v>
      </c>
      <c r="GG300" s="14">
        <f>INT(SUMPRODUCT($U300:$Y300,$BF300:$BJ300)/SUM($BF300:$BJ300)/10000*$BX$7*$BZ$46/'疲劳值&amp;地图信息'!$R$10*$BY$54)</f>
        <v>858</v>
      </c>
      <c r="GH300" s="50">
        <f t="shared" si="497"/>
        <v>0.91119847242502527</v>
      </c>
      <c r="GI300" s="50">
        <f t="shared" si="498"/>
        <v>6.9527125687970343E-2</v>
      </c>
      <c r="GJ300" s="50">
        <f t="shared" si="499"/>
        <v>1.927440188700438E-2</v>
      </c>
      <c r="GK300" s="51">
        <f t="shared" si="500"/>
        <v>44262</v>
      </c>
      <c r="GL300" s="51">
        <f t="shared" si="501"/>
        <v>5356</v>
      </c>
      <c r="GM300" s="14">
        <f>INT(SUMPRODUCT($AB300:$AF300,$BF300:$BJ300)/SUM($BF300:$BJ300)/10000*$BX$7*$BZ$46/'疲劳值&amp;地图信息'!$R$10*$BY$55)</f>
        <v>1164</v>
      </c>
      <c r="GN300" s="50">
        <f t="shared" si="502"/>
        <v>0.87160805009649089</v>
      </c>
      <c r="GO300" s="50">
        <f t="shared" si="503"/>
        <v>0.1054704422826986</v>
      </c>
      <c r="GP300" s="50">
        <f t="shared" si="504"/>
        <v>2.2921507620810522E-2</v>
      </c>
      <c r="GQ300" s="51">
        <f t="shared" si="505"/>
        <v>53487</v>
      </c>
      <c r="GR300" s="51">
        <f t="shared" si="506"/>
        <v>15011</v>
      </c>
      <c r="GS300" s="14">
        <f>INT(SUMPRODUCT($AI300:$AM300,$BF300:$BJ300)/SUM($BF300:$BJ300)/10000*$BX$7*$BZ$46/'疲劳值&amp;地图信息'!$R$10*$BY$56)</f>
        <v>1746</v>
      </c>
      <c r="GT300" s="50">
        <f t="shared" si="507"/>
        <v>0.76144581743636464</v>
      </c>
      <c r="GU300" s="50">
        <f t="shared" si="508"/>
        <v>0.21369796708615682</v>
      </c>
      <c r="GV300" s="50">
        <f t="shared" si="509"/>
        <v>2.4856215477478502E-2</v>
      </c>
      <c r="GW300" s="51">
        <f t="shared" si="510"/>
        <v>55893</v>
      </c>
      <c r="GX300" s="51">
        <f t="shared" si="511"/>
        <v>26783</v>
      </c>
      <c r="GY300" s="14">
        <f>INT(SUMPRODUCT($AP300:$AT300,$BF300:$BJ300)/SUM($BF300:$BJ300)/10000*$BX$7*$BZ$46/'疲劳值&amp;地图信息'!$R$10*$BY$57)</f>
        <v>2328</v>
      </c>
      <c r="GZ300" s="50">
        <f t="shared" si="512"/>
        <v>0.65753376311702982</v>
      </c>
      <c r="HA300" s="50">
        <f t="shared" si="513"/>
        <v>0.31507929038633475</v>
      </c>
      <c r="HB300" s="50">
        <f t="shared" si="514"/>
        <v>2.7386946496635454E-2</v>
      </c>
      <c r="HD300" s="14">
        <f t="shared" si="515"/>
        <v>39283</v>
      </c>
      <c r="HE300" s="14">
        <f t="shared" si="516"/>
        <v>44515</v>
      </c>
      <c r="HF300" s="14">
        <f t="shared" si="517"/>
        <v>50782</v>
      </c>
      <c r="HG300" s="14">
        <f t="shared" si="518"/>
        <v>70244</v>
      </c>
      <c r="HH300" s="14">
        <f t="shared" si="519"/>
        <v>85004</v>
      </c>
      <c r="HI300" s="14">
        <f t="shared" si="520"/>
        <v>4579537</v>
      </c>
      <c r="HL300" s="14">
        <f t="shared" si="521"/>
        <v>430050</v>
      </c>
      <c r="HM300" s="50">
        <f t="shared" si="429"/>
        <v>8.5845400029982505E-2</v>
      </c>
      <c r="HO300" s="14">
        <f t="shared" si="522"/>
        <v>5009587</v>
      </c>
    </row>
    <row r="301" spans="11:223" x14ac:dyDescent="0.2">
      <c r="K301" s="14">
        <v>296</v>
      </c>
      <c r="L301" s="12">
        <f>求节点(节奏总纲!D$4:D$163,标准城池设计!AB$4:AB$163,$K301)*求节点(节奏总纲!D$4:D$163,攻城基础信息!$AC$5:$AC$164,$K301)</f>
        <v>779531.25093477173</v>
      </c>
      <c r="M301" s="12">
        <f>INDEX(其他调用!$AA$5:$AA$404,MATCH(K301,其他调用!$X$5:$X$404,0))*MIN(INDEX(其他调用!$AH$5:$AH$364,MATCH('征服点（新）'!K301,其他调用!$AG$5:$AG$364,0),1)/INDEX(其他调用!$AJ$5:$AJ$364,MATCH(K301,其他调用!$AG$5:$AG$364,0),0),5)*求节点(节奏总纲!D$4:D$163,攻城基础信息!$AC$5:$AC$164,$K301)</f>
        <v>53466.922826691269</v>
      </c>
      <c r="N301" s="12">
        <f>MIN(INDEX(其他调用!$AH$5:$AH$364,MATCH($K301,其他调用!$AG$5:$AG$364,0),1)/INDEX(其他调用!AH$5:AH$364,MATCH($K301,其他调用!$AG$5:$AG$364,0),0),1)*INDEX(其他调用!Y$5:Y$404,MATCH($K301,其他调用!$X$5:$X$404,0),0)</f>
        <v>42396.859375613545</v>
      </c>
      <c r="O301" s="12">
        <f>MIN(INDEX(其他调用!$AH$5:$AH$364,MATCH($K301,其他调用!$AG$5:$AG$364,0),1)/INDEX(其他调用!AI$5:AI$364,MATCH($K301,其他调用!$AG$5:$AG$364,0),0),1)*INDEX(其他调用!Z$5:Z$404,MATCH($K301,其他调用!$X$5:$X$404,0),0)</f>
        <v>25564.157645439616</v>
      </c>
      <c r="P301" s="12">
        <f>MIN(INDEX(其他调用!$AH$5:$AH$364,MATCH($K301,其他调用!$AG$5:$AG$364,0),1)/INDEX(其他调用!AJ$5:AJ$364,MATCH($K301,其他调用!$AG$5:$AG$364,0),0),1)*INDEX(其他调用!AA$5:AA$404,MATCH($K301,其他调用!$X$5:$X$404,0),0)</f>
        <v>15276.263664768943</v>
      </c>
      <c r="Q301" s="12">
        <f>MIN(INDEX(其他调用!$AH$5:$AH$364,MATCH($K301,其他调用!$AG$5:$AG$364,0),1)/INDEX(其他调用!AK$5:AK$364,MATCH($K301,其他调用!$AG$5:$AG$364,0),0),1)*INDEX(其他调用!AB$5:AB$404,MATCH($K301,其他调用!$X$5:$X$404,0),0)</f>
        <v>5732.6108616942365</v>
      </c>
      <c r="R301" s="12">
        <f>MIN(INDEX(其他调用!$AH$5:$AH$364,MATCH($K301,其他调用!$AG$5:$AG$364,0),1)/INDEX(其他调用!AL$5:AL$364,MATCH($K301,其他调用!$AG$5:$AG$364,0),0),1)*INDEX(其他调用!AC$5:AC$404,MATCH($K301,其他调用!$X$5:$X$404,0),0)</f>
        <v>3352.8877720430769</v>
      </c>
      <c r="S301" s="12">
        <f>求节点(节奏总纲!D$4:D$163,标准城池设计!AC$4:AC$163,$K301)*求节点(节奏总纲!D$4:D$163,攻城基础信息!$AD$5:$AD$164,$K301)</f>
        <v>854226.46874142706</v>
      </c>
      <c r="T301" s="12">
        <f>INDEX(其他调用!$AA$5:$AA$404,MATCH($K301,其他调用!$X$5:$X$404,0))*MIN(INDEX(其他调用!AI$5:AI$364,MATCH($K301,其他调用!$AG$5:$AG$364,0),1)/INDEX(其他调用!$AJ$5:$AJ$364,MATCH($K301,其他调用!$AG$5:$AG$364,0),0),5)*求节点(节奏总纲!D$4:D$163,攻城基础信息!$AD$5:$AD$164,$K301)</f>
        <v>91091.586025183118</v>
      </c>
      <c r="U301" s="12">
        <f>MIN(INDEX(其他调用!$AI$5:$AI$364,MATCH($K301,其他调用!$AG$5:$AG$364,0),1)/INDEX(其他调用!AH$5:AH$364,MATCH($K301,其他调用!$AG$5:$AG$364,0),0),1)*INDEX(其他调用!Y$5:Y$404,MATCH($K301,其他调用!$X$5:$X$404,0),0)</f>
        <v>42396.859375613545</v>
      </c>
      <c r="V301" s="12">
        <f>MIN(INDEX(其他调用!$AI$5:$AI$364,MATCH($K301,其他调用!$AG$5:$AG$364,0),1)/INDEX(其他调用!AI$5:AI$364,MATCH($K301,其他调用!$AG$5:$AG$364,0),0),1)*INDEX(其他调用!Z$5:Z$404,MATCH($K301,其他调用!$X$5:$X$404,0),0)</f>
        <v>43553.650410537615</v>
      </c>
      <c r="W301" s="12">
        <f>MIN(INDEX(其他调用!$AI$5:$AI$364,MATCH($K301,其他调用!$AG$5:$AG$364,0),1)/INDEX(其他调用!AJ$5:AJ$364,MATCH($K301,其他调用!$AG$5:$AG$364,0),0),1)*INDEX(其他调用!AA$5:AA$404,MATCH($K301,其他调用!$X$5:$X$404,0),0)</f>
        <v>26026.16743576662</v>
      </c>
      <c r="X301" s="12">
        <f>MIN(INDEX(其他调用!$AI$5:$AI$364,MATCH($K301,其他调用!$AG$5:$AG$364,0),1)/INDEX(其他调用!AK$5:AK$364,MATCH($K301,其他调用!$AG$5:$AG$364,0),0),1)*INDEX(其他调用!AB$5:AB$404,MATCH($K301,其他调用!$X$5:$X$404,0),0)</f>
        <v>9766.6480105759038</v>
      </c>
      <c r="Y301" s="12">
        <f>MIN(INDEX(其他调用!$AI$5:$AI$364,MATCH($K301,其他调用!$AG$5:$AG$364,0),1)/INDEX(其他调用!AL$5:AL$364,MATCH($K301,其他调用!$AG$5:$AG$364,0),0),1)*INDEX(其他调用!AC$5:AC$404,MATCH($K301,其他调用!$X$5:$X$404,0),0)</f>
        <v>5712.3142453857008</v>
      </c>
      <c r="Z301" s="12">
        <f>求节点(节奏总纲!D$4:D$163,标准城池设计!AD$4:AD$163,$K301)*求节点(节奏总纲!D$4:D$163,攻城基础信息!$AE$5:$AE$164,$K301)</f>
        <v>932111.18059023342</v>
      </c>
      <c r="AA301" s="12">
        <f>INDEX(其他调用!$AA$5:$AA$404,MATCH($K301,其他调用!$X$5:$X$404,0))*MIN(INDEX(其他调用!AJ$5:AJ$364,MATCH($K301,其他调用!$AG$5:$AG$364,0),1)/INDEX(其他调用!$AJ$5:$AJ$364,MATCH($K301,其他调用!$AG$5:$AG$364,0),0),5)*求节点(节奏总纲!D$4:D$163,攻城基础信息!$AE$5:$AE$164,$K301)</f>
        <v>157764.87907704391</v>
      </c>
      <c r="AB301" s="12">
        <f>MIN(INDEX(其他调用!$AJ$5:$AJ$364,MATCH($K301,其他调用!$AG$5:$AG$364,0),1)/INDEX(其他调用!AH$5:AH$364,MATCH($K301,其他调用!$AG$5:$AG$364,0),0),1)*INDEX(其他调用!Y$5:Y$404,MATCH($K301,其他调用!$X$5:$X$404,0),0)</f>
        <v>42396.859375613545</v>
      </c>
      <c r="AC301" s="12">
        <f>MIN(INDEX(其他调用!$AJ$5:$AJ$364,MATCH($K301,其他调用!$AG$5:$AG$364,0),1)/INDEX(其他调用!AI$5:AI$364,MATCH($K301,其他调用!$AG$5:$AG$364,0),0),1)*INDEX(其他调用!Z$5:Z$404,MATCH($K301,其他调用!$X$5:$X$404,0),0)</f>
        <v>43553.650410537615</v>
      </c>
      <c r="AD301" s="12">
        <f>MIN(INDEX(其他调用!$AJ$5:$AJ$364,MATCH($K301,其他调用!$AG$5:$AG$364,0),1)/INDEX(其他调用!AJ$5:AJ$364,MATCH($K301,其他调用!$AG$5:$AG$364,0),0),1)*INDEX(其他调用!AA$5:AA$404,MATCH($K301,其他调用!$X$5:$X$404,0),0)</f>
        <v>45075.679736298291</v>
      </c>
      <c r="AE301" s="12">
        <f>MIN(INDEX(其他调用!$AJ$5:$AJ$364,MATCH($K301,其他调用!$AG$5:$AG$364,0),1)/INDEX(其他调用!AK$5:AK$364,MATCH($K301,其他调用!$AG$5:$AG$364,0),0),1)*INDEX(其他调用!AB$5:AB$404,MATCH($K301,其他调用!$X$5:$X$404,0),0)</f>
        <v>16915.218074593424</v>
      </c>
      <c r="AF301" s="12">
        <f>MIN(INDEX(其他调用!$AJ$5:$AJ$364,MATCH($K301,其他调用!$AG$5:$AG$364,0),1)/INDEX(其他调用!AL$5:AL$364,MATCH($K301,其他调用!$AG$5:$AG$364,0),0),1)*INDEX(其他调用!AC$5:AC$404,MATCH($K301,其他调用!$X$5:$X$404,0),0)</f>
        <v>9893.3678235024327</v>
      </c>
      <c r="AG301" s="12">
        <f>求节点(节奏总纲!D$4:D$163,标准城池设计!AE$4:AE$163,$K301)*求节点(节奏总纲!D$4:D$163,攻城基础信息!$AF$5:$AF$164,$K301)</f>
        <v>1126068.6111049163</v>
      </c>
      <c r="AH301" s="12">
        <f>INDEX(其他调用!$AA$5:$AA$404,MATCH($K301,其他调用!$X$5:$X$404,0))*MIN(INDEX(其他调用!AK$5:AK$364,MATCH($K301,其他调用!$AG$5:$AG$364,0),1)/INDEX(其他调用!$AJ$5:$AJ$364,MATCH($K301,其他调用!$AG$5:$AG$364,0),0),5)*求节点(节奏总纲!D$4:D$163,攻城基础信息!$AF$5:$AF$164,$K301)</f>
        <v>441439.20324762823</v>
      </c>
      <c r="AI301" s="12">
        <f>MIN(INDEX(其他调用!$AK$5:$AK$364,MATCH($K301,其他调用!$AG$5:$AG$364,0),1)/INDEX(其他调用!AH$5:AH$364,MATCH($K301,其他调用!$AG$5:$AG$364,0),0),1)*INDEX(其他调用!Y$5:Y$404,MATCH($K301,其他调用!$X$5:$X$404,0),0)</f>
        <v>42396.859375613545</v>
      </c>
      <c r="AJ301" s="12">
        <f>MIN(INDEX(其他调用!$AK$5:$AK$364,MATCH($K301,其他调用!$AG$5:$AG$364,0),1)/INDEX(其他调用!AI$5:AI$364,MATCH($K301,其他调用!$AG$5:$AG$364,0),0),1)*INDEX(其他调用!Z$5:Z$404,MATCH($K301,其他调用!$X$5:$X$404,0),0)</f>
        <v>43553.650410537615</v>
      </c>
      <c r="AK301" s="12">
        <f>MIN(INDEX(其他调用!$AK$5:$AK$364,MATCH($K301,其他调用!$AG$5:$AG$364,0),1)/INDEX(其他调用!AJ$5:AJ$364,MATCH($K301,其他调用!$AG$5:$AG$364,0),0),1)*INDEX(其他调用!AA$5:AA$404,MATCH($K301,其他调用!$X$5:$X$404,0),0)</f>
        <v>45075.679736298291</v>
      </c>
      <c r="AL301" s="12">
        <f>MIN(INDEX(其他调用!$AK$5:$AK$364,MATCH($K301,其他调用!$AG$5:$AG$364,0),1)/INDEX(其他调用!AK$5:AK$364,MATCH($K301,其他调用!$AG$5:$AG$364,0),0),1)*INDEX(其他调用!AB$5:AB$404,MATCH($K301,其他调用!$X$5:$X$404,0),0)</f>
        <v>47330.181681069189</v>
      </c>
      <c r="AM301" s="12">
        <f>MIN(INDEX(其他调用!$AK$5:$AK$364,MATCH($K301,其他调用!$AG$5:$AG$364,0),1)/INDEX(其他调用!AL$5:AL$364,MATCH($K301,其他调用!$AG$5:$AG$364,0),0),1)*INDEX(其他调用!AC$5:AC$404,MATCH($K301,其他调用!$X$5:$X$404,0),0)</f>
        <v>27682.462883959557</v>
      </c>
      <c r="AN301" s="12">
        <f>求节点(节奏总纲!D$4:D$163,标准城池设计!AF$4:AF$163,$K301)*求节点(节奏总纲!D$4:D$163,攻城基础信息!$AG$5:$AG$164,$K301)</f>
        <v>1176312.1271565957</v>
      </c>
      <c r="AO301" s="12">
        <f>INDEX(其他调用!$AA$5:$AA$404,MATCH($K301,其他调用!$X$5:$X$404,0))*MIN(INDEX(其他调用!AL$5:AL$364,MATCH($K301,其他调用!$AG$5:$AG$364,0),1)/INDEX(其他调用!$AJ$5:$AJ$364,MATCH($K301,其他调用!$AG$5:$AG$364,0),0),5)*求节点(节奏总纲!D$4:D$163,攻城基础信息!$AG$5:$AG$164,$K301)</f>
        <v>788824.39538521948</v>
      </c>
      <c r="AP301" s="12">
        <f>MIN(INDEX(其他调用!$AL$5:$AL$364,MATCH($K301,其他调用!$AG$5:$AG$364,0),1)/INDEX(其他调用!AH$5:AH$364,MATCH($K301,其他调用!$AG$5:$AG$364,0),0),1)*INDEX(其他调用!Y$5:Y$404,MATCH($K301,其他调用!$X$5:$X$404,0),0)</f>
        <v>42396.859375613545</v>
      </c>
      <c r="AQ301" s="12">
        <f>MIN(INDEX(其他调用!$AL$5:$AL$364,MATCH($K301,其他调用!$AG$5:$AG$364,0),1)/INDEX(其他调用!AI$5:AI$364,MATCH($K301,其他调用!$AG$5:$AG$364,0),0),1)*INDEX(其他调用!Z$5:Z$404,MATCH($K301,其他调用!$X$5:$X$404,0),0)</f>
        <v>43553.650410537615</v>
      </c>
      <c r="AR301" s="12">
        <f>MIN(INDEX(其他调用!$AL$5:$AL$364,MATCH($K301,其他调用!$AG$5:$AG$364,0),1)/INDEX(其他调用!AJ$5:AJ$364,MATCH($K301,其他调用!$AG$5:$AG$364,0),0),1)*INDEX(其他调用!AA$5:AA$404,MATCH($K301,其他调用!$X$5:$X$404,0),0)</f>
        <v>45075.679736298291</v>
      </c>
      <c r="AS301" s="12">
        <f>MIN(INDEX(其他调用!$AL$5:$AL$364,MATCH($K301,其他调用!$AG$5:$AG$364,0),1)/INDEX(其他调用!AK$5:AK$364,MATCH($K301,其他调用!$AG$5:$AG$364,0),0),1)*INDEX(其他调用!AB$5:AB$404,MATCH($K301,其他调用!$X$5:$X$404,0),0)</f>
        <v>47330.181681069189</v>
      </c>
      <c r="AT301" s="12">
        <f>MIN(INDEX(其他调用!$AL$5:$AL$364,MATCH($K301,其他调用!$AG$5:$AG$364,0),1)/INDEX(其他调用!AL$5:AL$364,MATCH($K301,其他调用!$AG$5:$AG$364,0),0),1)*INDEX(其他调用!AC$5:AC$404,MATCH($K301,其他调用!$X$5:$X$404,0),0)</f>
        <v>51228.11784215377</v>
      </c>
      <c r="AV301" s="14">
        <f>IF(OR(AV$5="大R",AV$5="超R"),MAX(INDEX(其他调用!$H$5:$L$404,MATCH($K301,其他调用!$B$5:$B$404,0),MATCH(AV$5,其他调用!$H$4:$L$4,0))*120*0.85,2),INDEX(其他调用!$H$5:$L$404,MATCH($K301,其他调用!$B$5:$B$404,0),MATCH(AV$5,其他调用!$H$4:$L$4,0))*120*0.85)</f>
        <v>48.921801254999991</v>
      </c>
      <c r="AW301" s="14">
        <f>IF(OR(AW$5="大R",AW$5="超R"),MAX(INDEX(其他调用!$H$5:$L$404,MATCH($K301,其他调用!$B$5:$B$404,0),MATCH(AW$5,其他调用!$H$4:$L$4,0))*120*0.85,2),INDEX(其他调用!$H$5:$L$404,MATCH($K301,其他调用!$B$5:$B$404,0),MATCH(AW$5,其他调用!$H$4:$L$4,0))*120*0.85)</f>
        <v>48.237344010638395</v>
      </c>
      <c r="AX301" s="14">
        <f>IF(OR(AX$5="大R",AX$5="超R"),MAX(INDEX(其他调用!$H$5:$L$404,MATCH($K301,其他调用!$B$5:$B$404,0),MATCH(AX$5,其他调用!$H$4:$L$4,0))*120*0.85,2),INDEX(其他调用!$H$5:$L$404,MATCH($K301,其他调用!$B$5:$B$404,0),MATCH(AX$5,其他调用!$H$4:$L$4,0))*120*0.85)</f>
        <v>3.9376284143615998</v>
      </c>
      <c r="AY301" s="14">
        <f>IF(OR(AY$5="大R",AY$5="超R"),MAX(INDEX(其他调用!$H$5:$L$404,MATCH($K301,其他调用!$B$5:$B$404,0),MATCH(AY$5,其他调用!$H$4:$L$4,0))*120*0.85,2),INDEX(其他调用!$H$5:$L$404,MATCH($K301,其他调用!$B$5:$B$404,0),MATCH(AY$5,其他调用!$H$4:$L$4,0))*120*0.85)</f>
        <v>2</v>
      </c>
      <c r="AZ301" s="14">
        <f>IF(OR(AZ$5="大R",AZ$5="超R"),MAX(INDEX(其他调用!$H$5:$L$404,MATCH($K301,其他调用!$B$5:$B$404,0),MATCH(AZ$5,其他调用!$H$4:$L$4,0))*120*0.85,2),INDEX(其他调用!$H$5:$L$404,MATCH($K301,其他调用!$B$5:$B$404,0),MATCH(AZ$5,其他调用!$H$4:$L$4,0))*120*0.85)</f>
        <v>2</v>
      </c>
      <c r="BA301" s="14">
        <f>INDEX(其他调用!$H$5:$L$404,MATCH($K301,其他调用!$B$5:$B$404,0),MATCH(BA$5,其他调用!$H$4:$L$4,0))*INDEX(其他调用!$M$5:$M$404,MATCH($K301,其他调用!$B$5:$B$404,0))*0.6</f>
        <v>28.777530149999997</v>
      </c>
      <c r="BB301" s="14">
        <f>INDEX(其他调用!$H$5:$L$404,MATCH($K301,其他调用!$B$5:$B$404,0),MATCH(BB$5,其他调用!$H$4:$L$4,0))*INDEX(其他调用!$M$5:$M$404,MATCH($K301,其他调用!$B$5:$B$404,0))*0.6</f>
        <v>28.374908241551999</v>
      </c>
      <c r="BC301" s="14">
        <f>INDEX(其他调用!$H$5:$L$404,MATCH($K301,其他调用!$B$5:$B$404,0),MATCH(BC$5,其他调用!$H$4:$L$4,0))*INDEX(其他调用!$M$5:$M$404,MATCH($K301,其他调用!$B$5:$B$404,0))*0.6</f>
        <v>2.3162520084480001</v>
      </c>
      <c r="BD301" s="14">
        <f>INDEX(其他调用!$H$5:$L$404,MATCH($K301,其他调用!$B$5:$B$404,0),MATCH(BD$5,其他调用!$H$4:$L$4,0))*INDEX(其他调用!$M$5:$M$404,MATCH($K301,其他调用!$B$5:$B$404,0))*0.6</f>
        <v>0.4120776000000001</v>
      </c>
      <c r="BE301" s="14">
        <f>INDEX(其他调用!$H$5:$L$404,MATCH($K301,其他调用!$B$5:$B$404,0),MATCH(BE$5,其他调用!$H$4:$L$4,0))*INDEX(其他调用!$M$5:$M$404,MATCH($K301,其他调用!$B$5:$B$404,0))*0.6</f>
        <v>0.11923199999999998</v>
      </c>
      <c r="BF301" s="14">
        <f>IF(OR(BF$5="大R",BF$5="超R"),0,INDEX(其他调用!$H$5:$L$404,MATCH($K301,其他调用!$B$5:$B$404,0),MATCH(BF$5,其他调用!$H$4:$L$4,0))*50*0.4)</f>
        <v>9.5925100500000013</v>
      </c>
      <c r="BG301" s="14">
        <f>IF(OR(BG$5="大R",BG$5="超R"),0,INDEX(其他调用!$H$5:$L$404,MATCH($K301,其他调用!$B$5:$B$404,0),MATCH(BG$5,其他调用!$H$4:$L$4,0))*50*0.4)</f>
        <v>9.4583027471839998</v>
      </c>
      <c r="BH301" s="14">
        <f>IF(OR(BH$5="大R",BH$5="超R"),0,INDEX(其他调用!$H$5:$L$404,MATCH($K301,其他调用!$B$5:$B$404,0),MATCH(BH$5,其他调用!$H$4:$L$4,0))*50*0.4)</f>
        <v>0.77208400281600009</v>
      </c>
      <c r="BI301" s="14">
        <f>IF(OR(BI$5="大R",BI$5="超R"),0,INDEX(其他调用!$H$5:$L$404,MATCH($K301,其他调用!$B$5:$B$404,0),MATCH(BI$5,其他调用!$H$4:$L$4,0))*50*0.4)</f>
        <v>0</v>
      </c>
      <c r="BJ301" s="14">
        <f>IF(OR(BJ$5="大R",BJ$5="超R"),0,INDEX(其他调用!$H$5:$L$404,MATCH($K301,其他调用!$B$5:$B$404,0),MATCH(BJ$5,其他调用!$H$4:$L$4,0))*50*0.4)</f>
        <v>0</v>
      </c>
      <c r="BL301" s="14">
        <f t="shared" si="523"/>
        <v>296</v>
      </c>
      <c r="BM301" s="14">
        <f t="shared" si="430"/>
        <v>96</v>
      </c>
      <c r="BN301" s="14">
        <f>('疲劳值&amp;地图信息'!$S$10*'疲劳值&amp;地图信息'!$R$10+'疲劳值&amp;地图信息'!$S$11*'疲劳值&amp;地图信息'!$R$11+'疲劳值&amp;地图信息'!$S$12*'疲劳值&amp;地图信息'!$R$12+(BM301-'疲劳值&amp;地图信息'!$S$12-'疲劳值&amp;地图信息'!$S$11-'疲劳值&amp;地图信息'!$S$10)*'疲劳值&amp;地图信息'!$R$13)/BM301</f>
        <v>51.371477246638619</v>
      </c>
      <c r="BO301" s="14">
        <f>INDEX(其他调用!$M$5:$M$404,MATCH(BL301,其他调用!$B$5:$B$404,0))*0.6</f>
        <v>60</v>
      </c>
      <c r="BP301" s="14">
        <f>IF(BO301&gt;SUM('疲劳值&amp;地图信息'!$S$10:$S$12),('疲劳值&amp;地图信息'!$S$10*'疲劳值&amp;地图信息'!$R$10+'疲劳值&amp;地图信息'!$S$11*'疲劳值&amp;地图信息'!$R$11+'疲劳值&amp;地图信息'!$S$12*'疲劳值&amp;地图信息'!$R$12+(BO301-'疲劳值&amp;地图信息'!$S$12-'疲劳值&amp;地图信息'!$S$11-'疲劳值&amp;地图信息'!$S$10)*'疲劳值&amp;地图信息'!$R$13)/BO301,('疲劳值&amp;地图信息'!$S$10*'疲劳值&amp;地图信息'!$R$10+'疲劳值&amp;地图信息'!$S$11*'疲劳值&amp;地图信息'!$R$11+'疲劳值&amp;地图信息'!$S$12*'疲劳值&amp;地图信息'!$R$12+(BO301-'疲劳值&amp;地图信息'!$S$12-'疲劳值&amp;地图信息'!$S$11-'疲劳值&amp;地图信息'!$S$10)*'疲劳值&amp;地图信息'!$R$13)/BO301)</f>
        <v>44.158136341605953</v>
      </c>
      <c r="BQ301" s="14">
        <f t="shared" si="524"/>
        <v>20</v>
      </c>
      <c r="BR301" s="14">
        <f>('疲劳值&amp;地图信息'!$S$10*'疲劳值&amp;地图信息'!$R$10+($BQ301-'疲劳值&amp;地图信息'!$S$10)*'疲劳值&amp;地图信息'!$R$11)/$BQ301</f>
        <v>32.067203015074995</v>
      </c>
      <c r="CF301" s="14">
        <v>296</v>
      </c>
      <c r="CG301" s="51">
        <f t="shared" si="431"/>
        <v>15887</v>
      </c>
      <c r="CH301" s="51">
        <f t="shared" si="432"/>
        <v>1089</v>
      </c>
      <c r="CI301" s="51">
        <f>INT(SUMPRODUCT($N301:$R301,$BA301:$BE301)/SUM($BA301:$BE301)/10000*$BX$7*$BZ$34/'疲劳值&amp;地图信息'!$R$10*$BY$53)</f>
        <v>3354</v>
      </c>
      <c r="CJ301" s="50">
        <f t="shared" si="433"/>
        <v>0.78145597638957209</v>
      </c>
      <c r="CK301" s="50">
        <f t="shared" si="434"/>
        <v>5.3566158386620759E-2</v>
      </c>
      <c r="CL301" s="50">
        <f t="shared" si="435"/>
        <v>0.16497786522380717</v>
      </c>
      <c r="CM301" s="14">
        <f t="shared" si="436"/>
        <v>17410</v>
      </c>
      <c r="CN301" s="14">
        <f t="shared" si="437"/>
        <v>1856</v>
      </c>
      <c r="CO301" s="14">
        <f>INT(SUMPRODUCT($U301:$Y301,$BA301:$BE301)/SUM($BA301:$BE301)/10000*$BX$7*$BZ$34/'疲劳值&amp;地图信息'!$R$10*$BY$54)</f>
        <v>6394</v>
      </c>
      <c r="CP301" s="50">
        <f t="shared" si="438"/>
        <v>0.67848791893998439</v>
      </c>
      <c r="CQ301" s="50">
        <f t="shared" si="439"/>
        <v>7.2330475448168355E-2</v>
      </c>
      <c r="CR301" s="50">
        <f t="shared" si="440"/>
        <v>0.24918160561184724</v>
      </c>
      <c r="CS301" s="14">
        <f t="shared" si="441"/>
        <v>18997</v>
      </c>
      <c r="CT301" s="14">
        <f t="shared" si="442"/>
        <v>3215</v>
      </c>
      <c r="CU301" s="14">
        <f>INT(SUMPRODUCT($AB301:$AF301,$BA301:$BE301)/SUM($BA301:$BE301)/10000*$BX$7*$BZ$34/'疲劳值&amp;地图信息'!$R$10*$BY$55)</f>
        <v>8687</v>
      </c>
      <c r="CV301" s="50">
        <f t="shared" si="443"/>
        <v>0.61480954076183691</v>
      </c>
      <c r="CW301" s="50">
        <f t="shared" si="444"/>
        <v>0.10404867471439205</v>
      </c>
      <c r="CX301" s="50">
        <f t="shared" si="445"/>
        <v>0.28114178452377098</v>
      </c>
      <c r="CY301" s="14">
        <f t="shared" si="446"/>
        <v>22950</v>
      </c>
      <c r="CZ301" s="14">
        <f t="shared" si="447"/>
        <v>8997</v>
      </c>
      <c r="DA301" s="14">
        <f>INT(SUMPRODUCT($AI301:$AM301,$BA301:$BE301)/SUM($BA301:$BE301)/10000*$BX$7*$BZ$34/'疲劳值&amp;地图信息'!$R$10*$BY$56)</f>
        <v>13105</v>
      </c>
      <c r="DB301" s="50">
        <f t="shared" si="448"/>
        <v>0.50941134688804046</v>
      </c>
      <c r="DC301" s="50">
        <f t="shared" si="449"/>
        <v>0.19970256592382135</v>
      </c>
      <c r="DD301" s="50">
        <f t="shared" si="450"/>
        <v>0.29088608718813813</v>
      </c>
      <c r="DE301" s="14">
        <f t="shared" si="451"/>
        <v>23974</v>
      </c>
      <c r="DF301" s="14">
        <f t="shared" si="452"/>
        <v>16077</v>
      </c>
      <c r="DG301" s="14">
        <f>INT(SUMPRODUCT($AP301:$AT301,$BA301:$BE301)/SUM($BA301:$BE301)/10000*$BX$7*$BZ$34/'疲劳值&amp;地图信息'!$R$10*$BY$57)</f>
        <v>17492</v>
      </c>
      <c r="DH301" s="50">
        <f t="shared" si="453"/>
        <v>0.41662756547277691</v>
      </c>
      <c r="DI301" s="50">
        <f t="shared" si="454"/>
        <v>0.27939106407382308</v>
      </c>
      <c r="DJ301" s="50">
        <f t="shared" si="455"/>
        <v>0.30398137045340007</v>
      </c>
      <c r="DL301" s="14">
        <f t="shared" si="526"/>
        <v>20330</v>
      </c>
      <c r="DM301" s="14">
        <f t="shared" si="527"/>
        <v>25660</v>
      </c>
      <c r="DN301" s="14">
        <f t="shared" si="528"/>
        <v>30899</v>
      </c>
      <c r="DO301" s="14">
        <f t="shared" si="529"/>
        <v>45052</v>
      </c>
      <c r="DP301" s="14">
        <f t="shared" si="530"/>
        <v>57543</v>
      </c>
      <c r="DQ301" s="14">
        <f t="shared" si="531"/>
        <v>1410143</v>
      </c>
      <c r="DT301" s="14">
        <f t="shared" si="525"/>
        <v>235575</v>
      </c>
      <c r="DU301" s="50">
        <f t="shared" si="427"/>
        <v>0.14314420818147458</v>
      </c>
      <c r="DW301" s="14">
        <f t="shared" si="456"/>
        <v>1645718</v>
      </c>
      <c r="EB301" s="14">
        <v>296</v>
      </c>
      <c r="EC301" s="51">
        <f t="shared" si="457"/>
        <v>26479</v>
      </c>
      <c r="ED301" s="51">
        <f t="shared" si="458"/>
        <v>1816</v>
      </c>
      <c r="EE301" s="51">
        <f>INT(SUMPRODUCT($N301:$R301,$BF301:$BJ301)/SUM($BF301:$BJ301)/10000*$BX$7*$BZ$46/'疲劳值&amp;地图信息'!$R$10*$BY$53)</f>
        <v>450</v>
      </c>
      <c r="EF301" s="50">
        <f t="shared" si="459"/>
        <v>0.92116889893894593</v>
      </c>
      <c r="EG301" s="50">
        <f t="shared" si="460"/>
        <v>6.3176204557314319E-2</v>
      </c>
      <c r="EH301" s="50">
        <f t="shared" si="461"/>
        <v>1.5654896503739781E-2</v>
      </c>
      <c r="EI301" s="51">
        <f t="shared" si="462"/>
        <v>29017</v>
      </c>
      <c r="EJ301" s="51">
        <f t="shared" si="463"/>
        <v>3094</v>
      </c>
      <c r="EK301" s="14">
        <f>INT(SUMPRODUCT($U301:$Y301,$BF301:$BJ301)/SUM($BF301:$BJ301)/10000*$BX$7*$BZ$46/'疲劳值&amp;地图信息'!$R$10*$BY$54)</f>
        <v>858</v>
      </c>
      <c r="EL301" s="50">
        <f t="shared" si="464"/>
        <v>0.88012981892080444</v>
      </c>
      <c r="EM301" s="50">
        <f t="shared" si="465"/>
        <v>9.3845733871212353E-2</v>
      </c>
      <c r="EN301" s="50">
        <f t="shared" si="466"/>
        <v>2.6024447207983258E-2</v>
      </c>
      <c r="EO301" s="51">
        <f t="shared" si="467"/>
        <v>31662</v>
      </c>
      <c r="EP301" s="51">
        <f t="shared" si="468"/>
        <v>5359</v>
      </c>
      <c r="EQ301" s="14">
        <f>INT(SUMPRODUCT($AB301:$AF301,$BF301:$BJ301)/SUM($BF301:$BJ301)/10000*$BX$7*$BZ$46/'疲劳值&amp;地图信息'!$R$10*$BY$55)</f>
        <v>1164</v>
      </c>
      <c r="ER301" s="50">
        <f t="shared" si="469"/>
        <v>0.82917375932957971</v>
      </c>
      <c r="ES301" s="50">
        <f t="shared" si="470"/>
        <v>0.14034306664920781</v>
      </c>
      <c r="ET301" s="50">
        <f t="shared" si="471"/>
        <v>3.048317402121252E-2</v>
      </c>
      <c r="EU301" s="51">
        <f t="shared" si="472"/>
        <v>38251</v>
      </c>
      <c r="EV301" s="51">
        <f t="shared" si="473"/>
        <v>14995</v>
      </c>
      <c r="EW301" s="14">
        <f>INT(SUMPRODUCT($AI301:$AM301,$BF301:$BJ301)/SUM($BF301:$BJ301)/10000*$BX$7*$BZ$46/'疲劳值&amp;地图信息'!$R$10*$BY$56)</f>
        <v>1747</v>
      </c>
      <c r="EX301" s="50">
        <f t="shared" si="474"/>
        <v>0.69556125325041374</v>
      </c>
      <c r="EY301" s="50">
        <f t="shared" si="475"/>
        <v>0.27267106722673795</v>
      </c>
      <c r="EZ301" s="50">
        <f t="shared" si="476"/>
        <v>3.1767679522848362E-2</v>
      </c>
      <c r="FA301" s="51">
        <f t="shared" si="477"/>
        <v>39957</v>
      </c>
      <c r="FB301" s="51">
        <f t="shared" si="478"/>
        <v>26795</v>
      </c>
      <c r="FC301" s="14">
        <f>INT(SUMPRODUCT($AP301:$AT301,$BF301:$BJ301)/SUM($BF301:$BJ301)/10000*$BX$7*$BZ$46/'疲劳值&amp;地图信息'!$R$10*$BY$57)</f>
        <v>2329</v>
      </c>
      <c r="FD301" s="50">
        <f t="shared" si="479"/>
        <v>0.57840795587788252</v>
      </c>
      <c r="FE301" s="50">
        <f t="shared" si="480"/>
        <v>0.38787799829186026</v>
      </c>
      <c r="FF301" s="50">
        <f t="shared" si="481"/>
        <v>3.3714045830257236E-2</v>
      </c>
      <c r="FH301" s="14">
        <f t="shared" si="482"/>
        <v>28745</v>
      </c>
      <c r="FI301" s="14">
        <f t="shared" si="483"/>
        <v>32969</v>
      </c>
      <c r="FJ301" s="14">
        <f t="shared" si="484"/>
        <v>38185</v>
      </c>
      <c r="FK301" s="14">
        <f t="shared" si="485"/>
        <v>54993</v>
      </c>
      <c r="FL301" s="14">
        <f t="shared" si="486"/>
        <v>69081</v>
      </c>
      <c r="FM301" s="14">
        <f t="shared" si="487"/>
        <v>3395100</v>
      </c>
      <c r="FP301" s="14">
        <f t="shared" si="488"/>
        <v>334150</v>
      </c>
      <c r="FQ301" s="50">
        <f t="shared" si="428"/>
        <v>8.9602466983978016E-2</v>
      </c>
      <c r="FS301" s="14">
        <f t="shared" si="489"/>
        <v>3729250</v>
      </c>
      <c r="FX301" s="14">
        <v>296</v>
      </c>
      <c r="FY301" s="51">
        <f t="shared" si="490"/>
        <v>37071</v>
      </c>
      <c r="FZ301" s="51">
        <f t="shared" si="491"/>
        <v>1816</v>
      </c>
      <c r="GA301" s="51">
        <f>INT(SUMPRODUCT($N301:$R301,$BF301:$BJ301)/SUM($BF301:$BJ301)/10000*$BX$7*$BZ$46/'疲劳值&amp;地图信息'!$R$10*$BY$53)</f>
        <v>450</v>
      </c>
      <c r="GB301" s="50">
        <f t="shared" si="492"/>
        <v>0.94239520044741587</v>
      </c>
      <c r="GC301" s="50">
        <f t="shared" si="493"/>
        <v>4.6165187990949999E-2</v>
      </c>
      <c r="GD301" s="50">
        <f t="shared" si="494"/>
        <v>1.1439611561634085E-2</v>
      </c>
      <c r="GE301" s="51">
        <f t="shared" si="495"/>
        <v>40623</v>
      </c>
      <c r="GF301" s="51">
        <f t="shared" si="496"/>
        <v>3094</v>
      </c>
      <c r="GG301" s="14">
        <f>INT(SUMPRODUCT($U301:$Y301,$BF301:$BJ301)/SUM($BF301:$BJ301)/10000*$BX$7*$BZ$46/'疲劳值&amp;地图信息'!$R$10*$BY$54)</f>
        <v>858</v>
      </c>
      <c r="GH301" s="50">
        <f t="shared" si="497"/>
        <v>0.91134043746494675</v>
      </c>
      <c r="GI301" s="50">
        <f t="shared" si="498"/>
        <v>6.9411104879416707E-2</v>
      </c>
      <c r="GJ301" s="50">
        <f t="shared" si="499"/>
        <v>1.9248457655636566E-2</v>
      </c>
      <c r="GK301" s="51">
        <f t="shared" si="500"/>
        <v>44327</v>
      </c>
      <c r="GL301" s="51">
        <f t="shared" si="501"/>
        <v>5359</v>
      </c>
      <c r="GM301" s="14">
        <f>INT(SUMPRODUCT($AB301:$AF301,$BF301:$BJ301)/SUM($BF301:$BJ301)/10000*$BX$7*$BZ$46/'疲劳值&amp;地图信息'!$R$10*$BY$55)</f>
        <v>1164</v>
      </c>
      <c r="GN301" s="50">
        <f t="shared" si="502"/>
        <v>0.87172074729596849</v>
      </c>
      <c r="GO301" s="50">
        <f t="shared" si="503"/>
        <v>0.10538839724680432</v>
      </c>
      <c r="GP301" s="50">
        <f t="shared" si="504"/>
        <v>2.289085545722714E-2</v>
      </c>
      <c r="GQ301" s="51">
        <f t="shared" si="505"/>
        <v>53551</v>
      </c>
      <c r="GR301" s="51">
        <f t="shared" si="506"/>
        <v>14995</v>
      </c>
      <c r="GS301" s="14">
        <f>INT(SUMPRODUCT($AI301:$AM301,$BF301:$BJ301)/SUM($BF301:$BJ301)/10000*$BX$7*$BZ$46/'疲劳值&amp;地图信息'!$R$10*$BY$56)</f>
        <v>1747</v>
      </c>
      <c r="GT301" s="50">
        <f t="shared" si="507"/>
        <v>0.76182550182806252</v>
      </c>
      <c r="GU301" s="50">
        <f t="shared" si="508"/>
        <v>0.21332138335253867</v>
      </c>
      <c r="GV301" s="50">
        <f t="shared" si="509"/>
        <v>2.4853114819398801E-2</v>
      </c>
      <c r="GW301" s="51">
        <f t="shared" si="510"/>
        <v>55941</v>
      </c>
      <c r="GX301" s="51">
        <f t="shared" si="511"/>
        <v>26795</v>
      </c>
      <c r="GY301" s="14">
        <f>INT(SUMPRODUCT($AP301:$AT301,$BF301:$BJ301)/SUM($BF301:$BJ301)/10000*$BX$7*$BZ$46/'疲劳值&amp;地图信息'!$R$10*$BY$57)</f>
        <v>2329</v>
      </c>
      <c r="GZ301" s="50">
        <f t="shared" si="512"/>
        <v>0.65762652089578555</v>
      </c>
      <c r="HA301" s="50">
        <f t="shared" si="513"/>
        <v>0.31499441603479694</v>
      </c>
      <c r="HB301" s="50">
        <f t="shared" si="514"/>
        <v>2.7379063069417505E-2</v>
      </c>
      <c r="HD301" s="14">
        <f t="shared" si="515"/>
        <v>39337</v>
      </c>
      <c r="HE301" s="14">
        <f t="shared" si="516"/>
        <v>44575</v>
      </c>
      <c r="HF301" s="14">
        <f t="shared" si="517"/>
        <v>50850</v>
      </c>
      <c r="HG301" s="14">
        <f t="shared" si="518"/>
        <v>70293</v>
      </c>
      <c r="HH301" s="14">
        <f t="shared" si="519"/>
        <v>85065</v>
      </c>
      <c r="HI301" s="14">
        <f t="shared" si="520"/>
        <v>4585560</v>
      </c>
      <c r="HL301" s="14">
        <f t="shared" si="521"/>
        <v>430050</v>
      </c>
      <c r="HM301" s="50">
        <f t="shared" si="429"/>
        <v>8.5742312500373827E-2</v>
      </c>
      <c r="HO301" s="14">
        <f t="shared" si="522"/>
        <v>5015610</v>
      </c>
    </row>
    <row r="302" spans="11:223" x14ac:dyDescent="0.2">
      <c r="K302" s="14">
        <v>297</v>
      </c>
      <c r="L302" s="12">
        <f>求节点(节奏总纲!D$4:D$163,标准城池设计!AB$4:AB$163,$K302)*求节点(节奏总纲!D$4:D$163,攻城基础信息!$AC$5:$AC$164,$K302)</f>
        <v>780681.33885086142</v>
      </c>
      <c r="M302" s="12">
        <f>INDEX(其他调用!$AA$5:$AA$404,MATCH(K302,其他调用!$X$5:$X$404,0))*MIN(INDEX(其他调用!$AH$5:$AH$364,MATCH('征服点（新）'!K302,其他调用!$AG$5:$AG$364,0),1)/INDEX(其他调用!$AJ$5:$AJ$364,MATCH(K302,其他调用!$AG$5:$AG$364,0),0),5)*求节点(节奏总纲!D$4:D$163,攻城基础信息!$AC$5:$AC$164,$K302)</f>
        <v>53429.905820174565</v>
      </c>
      <c r="N302" s="12">
        <f>MIN(INDEX(其他调用!$AH$5:$AH$364,MATCH($K302,其他调用!$AG$5:$AG$364,0),1)/INDEX(其他调用!AH$5:AH$364,MATCH($K302,其他调用!$AG$5:$AG$364,0),0),1)*INDEX(其他调用!Y$5:Y$404,MATCH($K302,其他调用!$X$5:$X$404,0),0)</f>
        <v>42415.93504114903</v>
      </c>
      <c r="O302" s="12">
        <f>MIN(INDEX(其他调用!$AH$5:$AH$364,MATCH($K302,其他调用!$AG$5:$AG$364,0),1)/INDEX(其他调用!AI$5:AI$364,MATCH($K302,其他调用!$AG$5:$AG$364,0),0),1)*INDEX(其他调用!Z$5:Z$404,MATCH($K302,其他调用!$X$5:$X$404,0),0)</f>
        <v>25564.395050546729</v>
      </c>
      <c r="P302" s="12">
        <f>MIN(INDEX(其他调用!$AH$5:$AH$364,MATCH($K302,其他调用!$AG$5:$AG$364,0),1)/INDEX(其他调用!AJ$5:AJ$364,MATCH($K302,其他调用!$AG$5:$AG$364,0),0),1)*INDEX(其他调用!AA$5:AA$404,MATCH($K302,其他调用!$X$5:$X$404,0),0)</f>
        <v>15265.687377192742</v>
      </c>
      <c r="Q302" s="12">
        <f>MIN(INDEX(其他调用!$AH$5:$AH$364,MATCH($K302,其他调用!$AG$5:$AG$364,0),1)/INDEX(其他调用!AK$5:AK$364,MATCH($K302,其他调用!$AG$5:$AG$364,0),0),1)*INDEX(其他调用!AB$5:AB$404,MATCH($K302,其他调用!$X$5:$X$404,0),0)</f>
        <v>5737.2821184087907</v>
      </c>
      <c r="R302" s="12">
        <f>MIN(INDEX(其他调用!$AH$5:$AH$364,MATCH($K302,其他调用!$AG$5:$AG$364,0),1)/INDEX(其他调用!AL$5:AL$364,MATCH($K302,其他调用!$AG$5:$AG$364,0),0),1)*INDEX(其他调用!AC$5:AC$404,MATCH($K302,其他调用!$X$5:$X$404,0),0)</f>
        <v>3361.4680730148652</v>
      </c>
      <c r="S302" s="12">
        <f>求节点(节奏总纲!D$4:D$163,标准城池设计!AC$4:AC$163,$K302)*求节点(节奏总纲!D$4:D$163,攻城基础信息!$AD$5:$AD$164,$K302)</f>
        <v>855525.95708343899</v>
      </c>
      <c r="T302" s="12">
        <f>INDEX(其他调用!$AA$5:$AA$404,MATCH($K302,其他调用!$X$5:$X$404,0))*MIN(INDEX(其他调用!AI$5:AI$364,MATCH($K302,其他调用!$AG$5:$AG$364,0),1)/INDEX(其他调用!$AJ$5:$AJ$364,MATCH($K302,其他调用!$AG$5:$AG$364,0),0),5)*求节点(节奏总纲!D$4:D$163,攻城基础信息!$AD$5:$AD$164,$K302)</f>
        <v>91068.210674797228</v>
      </c>
      <c r="U302" s="12">
        <f>MIN(INDEX(其他调用!$AI$5:$AI$364,MATCH($K302,其他调用!$AG$5:$AG$364,0),1)/INDEX(其他调用!AH$5:AH$364,MATCH($K302,其他调用!$AG$5:$AG$364,0),0),1)*INDEX(其他调用!Y$5:Y$404,MATCH($K302,其他调用!$X$5:$X$404,0),0)</f>
        <v>42415.93504114903</v>
      </c>
      <c r="V302" s="12">
        <f>MIN(INDEX(其他调用!$AI$5:$AI$364,MATCH($K302,其他调用!$AG$5:$AG$364,0),1)/INDEX(其他调用!AI$5:AI$364,MATCH($K302,其他调用!$AG$5:$AG$364,0),0),1)*INDEX(其他调用!Z$5:Z$404,MATCH($K302,其他调用!$X$5:$X$404,0),0)</f>
        <v>43573.045441488801</v>
      </c>
      <c r="W302" s="12">
        <f>MIN(INDEX(其他调用!$AI$5:$AI$364,MATCH($K302,其他调用!$AG$5:$AG$364,0),1)/INDEX(其他调用!AJ$5:AJ$364,MATCH($K302,其他调用!$AG$5:$AG$364,0),0),1)*INDEX(其他调用!AA$5:AA$404,MATCH($K302,其他调用!$X$5:$X$404,0),0)</f>
        <v>26019.488764227797</v>
      </c>
      <c r="X302" s="12">
        <f>MIN(INDEX(其他调用!$AI$5:$AI$364,MATCH($K302,其他调用!$AG$5:$AG$364,0),1)/INDEX(其他调用!AK$5:AK$364,MATCH($K302,其他调用!$AG$5:$AG$364,0),0),1)*INDEX(其他调用!AB$5:AB$404,MATCH($K302,其他调用!$X$5:$X$404,0),0)</f>
        <v>9778.8683816604116</v>
      </c>
      <c r="Y302" s="12">
        <f>MIN(INDEX(其他调用!$AI$5:$AI$364,MATCH($K302,其他调用!$AG$5:$AG$364,0),1)/INDEX(其他调用!AL$5:AL$364,MATCH($K302,其他调用!$AG$5:$AG$364,0),0),1)*INDEX(其他调用!AC$5:AC$404,MATCH($K302,其他调用!$X$5:$X$404,0),0)</f>
        <v>5729.4295760172135</v>
      </c>
      <c r="Z302" s="12">
        <f>求节点(节奏总纲!D$4:D$163,标准城池设计!AD$4:AD$163,$K302)*求节点(节奏总纲!D$4:D$163,攻城基础信息!$AE$5:$AE$164,$K302)</f>
        <v>933477.08455763513</v>
      </c>
      <c r="AA302" s="12">
        <f>INDEX(其他调用!$AA$5:$AA$404,MATCH($K302,其他调用!$X$5:$X$404,0))*MIN(INDEX(其他调用!AJ$5:AJ$364,MATCH($K302,其他调用!$AG$5:$AG$364,0),1)/INDEX(其他调用!$AJ$5:$AJ$364,MATCH($K302,其他调用!$AG$5:$AG$364,0),0),5)*求节点(节奏总纲!D$4:D$163,攻城基础信息!$AE$5:$AE$164,$K302)</f>
        <v>157832.80960085389</v>
      </c>
      <c r="AB302" s="12">
        <f>MIN(INDEX(其他调用!$AJ$5:$AJ$364,MATCH($K302,其他调用!$AG$5:$AG$364,0),1)/INDEX(其他调用!AH$5:AH$364,MATCH($K302,其他调用!$AG$5:$AG$364,0),0),1)*INDEX(其他调用!Y$5:Y$404,MATCH($K302,其他调用!$X$5:$X$404,0),0)</f>
        <v>42415.93504114903</v>
      </c>
      <c r="AC302" s="12">
        <f>MIN(INDEX(其他调用!$AJ$5:$AJ$364,MATCH($K302,其他调用!$AG$5:$AG$364,0),1)/INDEX(其他调用!AI$5:AI$364,MATCH($K302,其他调用!$AG$5:$AG$364,0),0),1)*INDEX(其他调用!Z$5:Z$404,MATCH($K302,其他调用!$X$5:$X$404,0),0)</f>
        <v>43573.045441488801</v>
      </c>
      <c r="AD302" s="12">
        <f>MIN(INDEX(其他调用!$AJ$5:$AJ$364,MATCH($K302,其他调用!$AG$5:$AG$364,0),1)/INDEX(其他调用!AJ$5:AJ$364,MATCH($K302,其他调用!$AG$5:$AG$364,0),0),1)*INDEX(其他调用!AA$5:AA$404,MATCH($K302,其他调用!$X$5:$X$404,0),0)</f>
        <v>45095.088457386853</v>
      </c>
      <c r="AE302" s="12">
        <f>MIN(INDEX(其他调用!$AJ$5:$AJ$364,MATCH($K302,其他调用!$AG$5:$AG$364,0),1)/INDEX(其他调用!AK$5:AK$364,MATCH($K302,其他调用!$AG$5:$AG$364,0),0),1)*INDEX(其他调用!AB$5:AB$404,MATCH($K302,其他调用!$X$5:$X$404,0),0)</f>
        <v>16948.024562665036</v>
      </c>
      <c r="AF302" s="12">
        <f>MIN(INDEX(其他调用!$AJ$5:$AJ$364,MATCH($K302,其他调用!$AG$5:$AG$364,0),1)/INDEX(其他调用!AL$5:AL$364,MATCH($K302,其他调用!$AG$5:$AG$364,0),0),1)*INDEX(其他调用!AC$5:AC$404,MATCH($K302,其他调用!$X$5:$X$404,0),0)</f>
        <v>9929.83128462065</v>
      </c>
      <c r="AG302" s="12">
        <f>求节点(节奏总纲!D$4:D$163,标准城池设计!AE$4:AE$163,$K302)*求节点(节奏总纲!D$4:D$163,攻城基础信息!$AF$5:$AF$164,$K302)</f>
        <v>1127429.1784563153</v>
      </c>
      <c r="AH302" s="12">
        <f>INDEX(其他调用!$AA$5:$AA$404,MATCH($K302,其他调用!$X$5:$X$404,0))*MIN(INDEX(其他调用!AK$5:AK$364,MATCH($K302,其他调用!$AG$5:$AG$364,0),1)/INDEX(其他调用!$AJ$5:$AJ$364,MATCH($K302,其他调用!$AG$5:$AG$364,0),0),5)*求节点(节奏总纲!D$4:D$163,攻城基础信息!$AF$5:$AF$164,$K302)</f>
        <v>440959.51910815504</v>
      </c>
      <c r="AI302" s="12">
        <f>MIN(INDEX(其他调用!$AK$5:$AK$364,MATCH($K302,其他调用!$AG$5:$AG$364,0),1)/INDEX(其他调用!AH$5:AH$364,MATCH($K302,其他调用!$AG$5:$AG$364,0),0),1)*INDEX(其他调用!Y$5:Y$404,MATCH($K302,其他调用!$X$5:$X$404,0),0)</f>
        <v>42415.93504114903</v>
      </c>
      <c r="AJ302" s="12">
        <f>MIN(INDEX(其他调用!$AK$5:$AK$364,MATCH($K302,其他调用!$AG$5:$AG$364,0),1)/INDEX(其他调用!AI$5:AI$364,MATCH($K302,其他调用!$AG$5:$AG$364,0),0),1)*INDEX(其他调用!Z$5:Z$404,MATCH($K302,其他调用!$X$5:$X$404,0),0)</f>
        <v>43573.045441488801</v>
      </c>
      <c r="AK302" s="12">
        <f>MIN(INDEX(其他调用!$AK$5:$AK$364,MATCH($K302,其他调用!$AG$5:$AG$364,0),1)/INDEX(其他调用!AJ$5:AJ$364,MATCH($K302,其他调用!$AG$5:$AG$364,0),0),1)*INDEX(其他调用!AA$5:AA$404,MATCH($K302,其他调用!$X$5:$X$404,0),0)</f>
        <v>45095.088457386853</v>
      </c>
      <c r="AL302" s="12">
        <f>MIN(INDEX(其他调用!$AK$5:$AK$364,MATCH($K302,其他调用!$AG$5:$AG$364,0),1)/INDEX(其他调用!AK$5:AK$364,MATCH($K302,其他调用!$AG$5:$AG$364,0),0),1)*INDEX(其他调用!AB$5:AB$404,MATCH($K302,其他调用!$X$5:$X$404,0),0)</f>
        <v>47350.058456702165</v>
      </c>
      <c r="AM302" s="12">
        <f>MIN(INDEX(其他调用!$AK$5:$AK$364,MATCH($K302,其他调用!$AG$5:$AG$364,0),1)/INDEX(其他调用!AL$5:AL$364,MATCH($K302,其他调用!$AG$5:$AG$364,0),0),1)*INDEX(其他调用!AC$5:AC$404,MATCH($K302,其他调用!$X$5:$X$404,0),0)</f>
        <v>27742.353691635395</v>
      </c>
      <c r="AN302" s="12">
        <f>求节点(节奏总纲!D$4:D$163,标准城池设计!AF$4:AF$163,$K302)*求节点(节奏总纲!D$4:D$163,攻城基础信息!$AG$5:$AG$164,$K302)</f>
        <v>1177318.1512374894</v>
      </c>
      <c r="AO302" s="12">
        <f>INDEX(其他调用!$AA$5:$AA$404,MATCH($K302,其他调用!$X$5:$X$404,0))*MIN(INDEX(其他调用!AL$5:AL$364,MATCH($K302,其他调用!$AG$5:$AG$364,0),1)/INDEX(其他调用!$AJ$5:$AJ$364,MATCH($K302,其他调用!$AG$5:$AG$364,0),0),5)*求节点(节奏总纲!D$4:D$163,攻城基础信息!$AG$5:$AG$164,$K302)</f>
        <v>789164.04800426948</v>
      </c>
      <c r="AP302" s="12">
        <f>MIN(INDEX(其他调用!$AL$5:$AL$364,MATCH($K302,其他调用!$AG$5:$AG$364,0),1)/INDEX(其他调用!AH$5:AH$364,MATCH($K302,其他调用!$AG$5:$AG$364,0),0),1)*INDEX(其他调用!Y$5:Y$404,MATCH($K302,其他调用!$X$5:$X$404,0),0)</f>
        <v>42415.93504114903</v>
      </c>
      <c r="AQ302" s="12">
        <f>MIN(INDEX(其他调用!$AL$5:$AL$364,MATCH($K302,其他调用!$AG$5:$AG$364,0),1)/INDEX(其他调用!AI$5:AI$364,MATCH($K302,其他调用!$AG$5:$AG$364,0),0),1)*INDEX(其他调用!Z$5:Z$404,MATCH($K302,其他调用!$X$5:$X$404,0),0)</f>
        <v>43573.045441488801</v>
      </c>
      <c r="AR302" s="12">
        <f>MIN(INDEX(其他调用!$AL$5:$AL$364,MATCH($K302,其他调用!$AG$5:$AG$364,0),1)/INDEX(其他调用!AJ$5:AJ$364,MATCH($K302,其他调用!$AG$5:$AG$364,0),0),1)*INDEX(其他调用!AA$5:AA$404,MATCH($K302,其他调用!$X$5:$X$404,0),0)</f>
        <v>45095.088457386853</v>
      </c>
      <c r="AS302" s="12">
        <f>MIN(INDEX(其他调用!$AL$5:$AL$364,MATCH($K302,其他调用!$AG$5:$AG$364,0),1)/INDEX(其他调用!AK$5:AK$364,MATCH($K302,其他调用!$AG$5:$AG$364,0),0),1)*INDEX(其他调用!AB$5:AB$404,MATCH($K302,其他调用!$X$5:$X$404,0),0)</f>
        <v>47350.058456702165</v>
      </c>
      <c r="AT302" s="12">
        <f>MIN(INDEX(其他调用!$AL$5:$AL$364,MATCH($K302,其他调用!$AG$5:$AG$364,0),1)/INDEX(其他调用!AL$5:AL$364,MATCH($K302,其他调用!$AG$5:$AG$364,0),0),1)*INDEX(其他调用!AC$5:AC$404,MATCH($K302,其他调用!$X$5:$X$404,0),0)</f>
        <v>51247.401100321513</v>
      </c>
      <c r="AV302" s="14">
        <f>IF(OR(AV$5="大R",AV$5="超R"),MAX(INDEX(其他调用!$H$5:$L$404,MATCH($K302,其他调用!$B$5:$B$404,0),MATCH(AV$5,其他调用!$H$4:$L$4,0))*120*0.85,2),INDEX(其他调用!$H$5:$L$404,MATCH($K302,其他调用!$B$5:$B$404,0),MATCH(AV$5,其他调用!$H$4:$L$4,0))*120*0.85)</f>
        <v>48.921801254999991</v>
      </c>
      <c r="AW302" s="14">
        <f>IF(OR(AW$5="大R",AW$5="超R"),MAX(INDEX(其他调用!$H$5:$L$404,MATCH($K302,其他调用!$B$5:$B$404,0),MATCH(AW$5,其他调用!$H$4:$L$4,0))*120*0.85,2),INDEX(其他调用!$H$5:$L$404,MATCH($K302,其他调用!$B$5:$B$404,0),MATCH(AW$5,其他调用!$H$4:$L$4,0))*120*0.85)</f>
        <v>48.237344010638395</v>
      </c>
      <c r="AX302" s="14">
        <f>IF(OR(AX$5="大R",AX$5="超R"),MAX(INDEX(其他调用!$H$5:$L$404,MATCH($K302,其他调用!$B$5:$B$404,0),MATCH(AX$5,其他调用!$H$4:$L$4,0))*120*0.85,2),INDEX(其他调用!$H$5:$L$404,MATCH($K302,其他调用!$B$5:$B$404,0),MATCH(AX$5,其他调用!$H$4:$L$4,0))*120*0.85)</f>
        <v>3.9376284143615998</v>
      </c>
      <c r="AY302" s="14">
        <f>IF(OR(AY$5="大R",AY$5="超R"),MAX(INDEX(其他调用!$H$5:$L$404,MATCH($K302,其他调用!$B$5:$B$404,0),MATCH(AY$5,其他调用!$H$4:$L$4,0))*120*0.85,2),INDEX(其他调用!$H$5:$L$404,MATCH($K302,其他调用!$B$5:$B$404,0),MATCH(AY$5,其他调用!$H$4:$L$4,0))*120*0.85)</f>
        <v>2</v>
      </c>
      <c r="AZ302" s="14">
        <f>IF(OR(AZ$5="大R",AZ$5="超R"),MAX(INDEX(其他调用!$H$5:$L$404,MATCH($K302,其他调用!$B$5:$B$404,0),MATCH(AZ$5,其他调用!$H$4:$L$4,0))*120*0.85,2),INDEX(其他调用!$H$5:$L$404,MATCH($K302,其他调用!$B$5:$B$404,0),MATCH(AZ$5,其他调用!$H$4:$L$4,0))*120*0.85)</f>
        <v>2</v>
      </c>
      <c r="BA302" s="14">
        <f>INDEX(其他调用!$H$5:$L$404,MATCH($K302,其他调用!$B$5:$B$404,0),MATCH(BA$5,其他调用!$H$4:$L$4,0))*INDEX(其他调用!$M$5:$M$404,MATCH($K302,其他调用!$B$5:$B$404,0))*0.6</f>
        <v>28.777530149999997</v>
      </c>
      <c r="BB302" s="14">
        <f>INDEX(其他调用!$H$5:$L$404,MATCH($K302,其他调用!$B$5:$B$404,0),MATCH(BB$5,其他调用!$H$4:$L$4,0))*INDEX(其他调用!$M$5:$M$404,MATCH($K302,其他调用!$B$5:$B$404,0))*0.6</f>
        <v>28.374908241551999</v>
      </c>
      <c r="BC302" s="14">
        <f>INDEX(其他调用!$H$5:$L$404,MATCH($K302,其他调用!$B$5:$B$404,0),MATCH(BC$5,其他调用!$H$4:$L$4,0))*INDEX(其他调用!$M$5:$M$404,MATCH($K302,其他调用!$B$5:$B$404,0))*0.6</f>
        <v>2.3162520084480001</v>
      </c>
      <c r="BD302" s="14">
        <f>INDEX(其他调用!$H$5:$L$404,MATCH($K302,其他调用!$B$5:$B$404,0),MATCH(BD$5,其他调用!$H$4:$L$4,0))*INDEX(其他调用!$M$5:$M$404,MATCH($K302,其他调用!$B$5:$B$404,0))*0.6</f>
        <v>0.4120776000000001</v>
      </c>
      <c r="BE302" s="14">
        <f>INDEX(其他调用!$H$5:$L$404,MATCH($K302,其他调用!$B$5:$B$404,0),MATCH(BE$5,其他调用!$H$4:$L$4,0))*INDEX(其他调用!$M$5:$M$404,MATCH($K302,其他调用!$B$5:$B$404,0))*0.6</f>
        <v>0.11923199999999998</v>
      </c>
      <c r="BF302" s="14">
        <f>IF(OR(BF$5="大R",BF$5="超R"),0,INDEX(其他调用!$H$5:$L$404,MATCH($K302,其他调用!$B$5:$B$404,0),MATCH(BF$5,其他调用!$H$4:$L$4,0))*50*0.4)</f>
        <v>9.5925100500000013</v>
      </c>
      <c r="BG302" s="14">
        <f>IF(OR(BG$5="大R",BG$5="超R"),0,INDEX(其他调用!$H$5:$L$404,MATCH($K302,其他调用!$B$5:$B$404,0),MATCH(BG$5,其他调用!$H$4:$L$4,0))*50*0.4)</f>
        <v>9.4583027471839998</v>
      </c>
      <c r="BH302" s="14">
        <f>IF(OR(BH$5="大R",BH$5="超R"),0,INDEX(其他调用!$H$5:$L$404,MATCH($K302,其他调用!$B$5:$B$404,0),MATCH(BH$5,其他调用!$H$4:$L$4,0))*50*0.4)</f>
        <v>0.77208400281600009</v>
      </c>
      <c r="BI302" s="14">
        <f>IF(OR(BI$5="大R",BI$5="超R"),0,INDEX(其他调用!$H$5:$L$404,MATCH($K302,其他调用!$B$5:$B$404,0),MATCH(BI$5,其他调用!$H$4:$L$4,0))*50*0.4)</f>
        <v>0</v>
      </c>
      <c r="BJ302" s="14">
        <f>IF(OR(BJ$5="大R",BJ$5="超R"),0,INDEX(其他调用!$H$5:$L$404,MATCH($K302,其他调用!$B$5:$B$404,0),MATCH(BJ$5,其他调用!$H$4:$L$4,0))*50*0.4)</f>
        <v>0</v>
      </c>
      <c r="BL302" s="14">
        <f t="shared" si="523"/>
        <v>297</v>
      </c>
      <c r="BM302" s="14">
        <f t="shared" si="430"/>
        <v>96</v>
      </c>
      <c r="BN302" s="14">
        <f>('疲劳值&amp;地图信息'!$S$10*'疲劳值&amp;地图信息'!$R$10+'疲劳值&amp;地图信息'!$S$11*'疲劳值&amp;地图信息'!$R$11+'疲劳值&amp;地图信息'!$S$12*'疲劳值&amp;地图信息'!$R$12+(BM302-'疲劳值&amp;地图信息'!$S$12-'疲劳值&amp;地图信息'!$S$11-'疲劳值&amp;地图信息'!$S$10)*'疲劳值&amp;地图信息'!$R$13)/BM302</f>
        <v>51.371477246638619</v>
      </c>
      <c r="BO302" s="14">
        <f>INDEX(其他调用!$M$5:$M$404,MATCH(BL302,其他调用!$B$5:$B$404,0))*0.6</f>
        <v>60</v>
      </c>
      <c r="BP302" s="14">
        <f>IF(BO302&gt;SUM('疲劳值&amp;地图信息'!$S$10:$S$12),('疲劳值&amp;地图信息'!$S$10*'疲劳值&amp;地图信息'!$R$10+'疲劳值&amp;地图信息'!$S$11*'疲劳值&amp;地图信息'!$R$11+'疲劳值&amp;地图信息'!$S$12*'疲劳值&amp;地图信息'!$R$12+(BO302-'疲劳值&amp;地图信息'!$S$12-'疲劳值&amp;地图信息'!$S$11-'疲劳值&amp;地图信息'!$S$10)*'疲劳值&amp;地图信息'!$R$13)/BO302,('疲劳值&amp;地图信息'!$S$10*'疲劳值&amp;地图信息'!$R$10+'疲劳值&amp;地图信息'!$S$11*'疲劳值&amp;地图信息'!$R$11+'疲劳值&amp;地图信息'!$S$12*'疲劳值&amp;地图信息'!$R$12+(BO302-'疲劳值&amp;地图信息'!$S$12-'疲劳值&amp;地图信息'!$S$11-'疲劳值&amp;地图信息'!$S$10)*'疲劳值&amp;地图信息'!$R$13)/BO302)</f>
        <v>44.158136341605953</v>
      </c>
      <c r="BQ302" s="14">
        <f t="shared" si="524"/>
        <v>20</v>
      </c>
      <c r="BR302" s="14">
        <f>('疲劳值&amp;地图信息'!$S$10*'疲劳值&amp;地图信息'!$R$10+($BQ302-'疲劳值&amp;地图信息'!$S$10)*'疲劳值&amp;地图信息'!$R$11)/$BQ302</f>
        <v>32.067203015074995</v>
      </c>
      <c r="CF302" s="14">
        <v>297</v>
      </c>
      <c r="CG302" s="51">
        <f t="shared" si="431"/>
        <v>15911</v>
      </c>
      <c r="CH302" s="51">
        <f t="shared" si="432"/>
        <v>1088</v>
      </c>
      <c r="CI302" s="51">
        <f>INT(SUMPRODUCT($N302:$R302,$BA302:$BE302)/SUM($BA302:$BE302)/10000*$BX$7*$BZ$34/'疲劳值&amp;地图信息'!$R$10*$BY$53)</f>
        <v>3355</v>
      </c>
      <c r="CJ302" s="50">
        <f t="shared" si="433"/>
        <v>0.78171366807507126</v>
      </c>
      <c r="CK302" s="50">
        <f t="shared" si="434"/>
        <v>5.3453866561855162E-2</v>
      </c>
      <c r="CL302" s="50">
        <f t="shared" si="435"/>
        <v>0.16483246536307361</v>
      </c>
      <c r="CM302" s="14">
        <f t="shared" si="436"/>
        <v>17436</v>
      </c>
      <c r="CN302" s="14">
        <f t="shared" si="437"/>
        <v>1856</v>
      </c>
      <c r="CO302" s="14">
        <f>INT(SUMPRODUCT($U302:$Y302,$BA302:$BE302)/SUM($BA302:$BE302)/10000*$BX$7*$BZ$34/'疲劳值&amp;地图信息'!$R$10*$BY$54)</f>
        <v>6397</v>
      </c>
      <c r="CP302" s="50">
        <f t="shared" si="438"/>
        <v>0.67873408852037842</v>
      </c>
      <c r="CQ302" s="50">
        <f t="shared" si="439"/>
        <v>7.2248822453190087E-2</v>
      </c>
      <c r="CR302" s="50">
        <f t="shared" si="440"/>
        <v>0.24901708902643155</v>
      </c>
      <c r="CS302" s="14">
        <f t="shared" si="441"/>
        <v>19025</v>
      </c>
      <c r="CT302" s="14">
        <f t="shared" si="442"/>
        <v>3216</v>
      </c>
      <c r="CU302" s="14">
        <f>INT(SUMPRODUCT($AB302:$AF302,$BA302:$BE302)/SUM($BA302:$BE302)/10000*$BX$7*$BZ$34/'疲劳值&amp;地图信息'!$R$10*$BY$55)</f>
        <v>8691</v>
      </c>
      <c r="CV302" s="50">
        <f t="shared" si="443"/>
        <v>0.61505883874304923</v>
      </c>
      <c r="CW302" s="50">
        <f t="shared" si="444"/>
        <v>0.10396999870684082</v>
      </c>
      <c r="CX302" s="50">
        <f t="shared" si="445"/>
        <v>0.2809711625501099</v>
      </c>
      <c r="CY302" s="14">
        <f t="shared" si="446"/>
        <v>22978</v>
      </c>
      <c r="CZ302" s="14">
        <f t="shared" si="447"/>
        <v>8987</v>
      </c>
      <c r="DA302" s="14">
        <f>INT(SUMPRODUCT($AI302:$AM302,$BA302:$BE302)/SUM($BA302:$BE302)/10000*$BX$7*$BZ$34/'疲劳值&amp;地图信息'!$R$10*$BY$56)</f>
        <v>13110</v>
      </c>
      <c r="DB302" s="50">
        <f t="shared" si="448"/>
        <v>0.50977260122018853</v>
      </c>
      <c r="DC302" s="50">
        <f t="shared" si="449"/>
        <v>0.19937881308929561</v>
      </c>
      <c r="DD302" s="50">
        <f t="shared" si="450"/>
        <v>0.2908485856905158</v>
      </c>
      <c r="DE302" s="14">
        <f t="shared" si="451"/>
        <v>23995</v>
      </c>
      <c r="DF302" s="14">
        <f t="shared" si="452"/>
        <v>16084</v>
      </c>
      <c r="DG302" s="14">
        <f>INT(SUMPRODUCT($AP302:$AT302,$BA302:$BE302)/SUM($BA302:$BE302)/10000*$BX$7*$BZ$34/'疲劳值&amp;地图信息'!$R$10*$BY$57)</f>
        <v>17500</v>
      </c>
      <c r="DH302" s="50">
        <f t="shared" si="453"/>
        <v>0.41673179457788428</v>
      </c>
      <c r="DI302" s="50">
        <f t="shared" si="454"/>
        <v>0.27933795307316905</v>
      </c>
      <c r="DJ302" s="50">
        <f t="shared" si="455"/>
        <v>0.30393025234894666</v>
      </c>
      <c r="DL302" s="14">
        <f t="shared" si="526"/>
        <v>20354</v>
      </c>
      <c r="DM302" s="14">
        <f t="shared" si="527"/>
        <v>25689</v>
      </c>
      <c r="DN302" s="14">
        <f t="shared" si="528"/>
        <v>30932</v>
      </c>
      <c r="DO302" s="14">
        <f t="shared" si="529"/>
        <v>45075</v>
      </c>
      <c r="DP302" s="14">
        <f t="shared" si="530"/>
        <v>57579</v>
      </c>
      <c r="DQ302" s="14">
        <f t="shared" si="531"/>
        <v>1411746</v>
      </c>
      <c r="DT302" s="14">
        <f t="shared" si="525"/>
        <v>235575</v>
      </c>
      <c r="DU302" s="50">
        <f t="shared" si="427"/>
        <v>0.1430049152533113</v>
      </c>
      <c r="DW302" s="14">
        <f t="shared" si="456"/>
        <v>1647321</v>
      </c>
      <c r="EB302" s="14">
        <v>297</v>
      </c>
      <c r="EC302" s="51">
        <f t="shared" si="457"/>
        <v>26518</v>
      </c>
      <c r="ED302" s="51">
        <f t="shared" si="458"/>
        <v>1814</v>
      </c>
      <c r="EE302" s="51">
        <f>INT(SUMPRODUCT($N302:$R302,$BF302:$BJ302)/SUM($BF302:$BJ302)/10000*$BX$7*$BZ$46/'疲劳值&amp;地图信息'!$R$10*$BY$53)</f>
        <v>450</v>
      </c>
      <c r="EF302" s="50">
        <f t="shared" si="459"/>
        <v>0.92133972621777505</v>
      </c>
      <c r="EG302" s="50">
        <f t="shared" si="460"/>
        <v>6.3025502049892296E-2</v>
      </c>
      <c r="EH302" s="50">
        <f t="shared" si="461"/>
        <v>1.5634771732332707E-2</v>
      </c>
      <c r="EI302" s="51">
        <f t="shared" si="462"/>
        <v>29061</v>
      </c>
      <c r="EJ302" s="51">
        <f t="shared" si="463"/>
        <v>3093</v>
      </c>
      <c r="EK302" s="14">
        <f>INT(SUMPRODUCT($U302:$Y302,$BF302:$BJ302)/SUM($BF302:$BJ302)/10000*$BX$7*$BZ$46/'疲劳值&amp;地图信息'!$R$10*$BY$54)</f>
        <v>859</v>
      </c>
      <c r="EL302" s="50">
        <f t="shared" si="464"/>
        <v>0.88028958289158821</v>
      </c>
      <c r="EM302" s="50">
        <f t="shared" si="465"/>
        <v>9.3690364401902287E-2</v>
      </c>
      <c r="EN302" s="50">
        <f t="shared" si="466"/>
        <v>2.6020052706509558E-2</v>
      </c>
      <c r="EO302" s="51">
        <f t="shared" si="467"/>
        <v>31709</v>
      </c>
      <c r="EP302" s="51">
        <f t="shared" si="468"/>
        <v>5361</v>
      </c>
      <c r="EQ302" s="14">
        <f>INT(SUMPRODUCT($AB302:$AF302,$BF302:$BJ302)/SUM($BF302:$BJ302)/10000*$BX$7*$BZ$46/'疲劳值&amp;地图信息'!$R$10*$BY$55)</f>
        <v>1165</v>
      </c>
      <c r="ER302" s="50">
        <f t="shared" si="469"/>
        <v>0.82931868706682355</v>
      </c>
      <c r="ES302" s="50">
        <f t="shared" si="470"/>
        <v>0.14021184778344448</v>
      </c>
      <c r="ET302" s="50">
        <f t="shared" si="471"/>
        <v>3.0469465149731922E-2</v>
      </c>
      <c r="EU302" s="51">
        <f t="shared" si="472"/>
        <v>38297</v>
      </c>
      <c r="EV302" s="51">
        <f t="shared" si="473"/>
        <v>14978</v>
      </c>
      <c r="EW302" s="14">
        <f>INT(SUMPRODUCT($AI302:$AM302,$BF302:$BJ302)/SUM($BF302:$BJ302)/10000*$BX$7*$BZ$46/'疲劳值&amp;地图信息'!$R$10*$BY$56)</f>
        <v>1748</v>
      </c>
      <c r="EX302" s="50">
        <f t="shared" si="474"/>
        <v>0.69601802882430985</v>
      </c>
      <c r="EY302" s="50">
        <f t="shared" si="475"/>
        <v>0.27221343801682935</v>
      </c>
      <c r="EZ302" s="50">
        <f t="shared" si="476"/>
        <v>3.1768533158860843E-2</v>
      </c>
      <c r="FA302" s="51">
        <f t="shared" si="477"/>
        <v>39992</v>
      </c>
      <c r="FB302" s="51">
        <f t="shared" si="478"/>
        <v>26806</v>
      </c>
      <c r="FC302" s="14">
        <f>INT(SUMPRODUCT($AP302:$AT302,$BF302:$BJ302)/SUM($BF302:$BJ302)/10000*$BX$7*$BZ$46/'疲劳值&amp;地图信息'!$R$10*$BY$57)</f>
        <v>2330</v>
      </c>
      <c r="FD302" s="50">
        <f t="shared" si="479"/>
        <v>0.57852100451336652</v>
      </c>
      <c r="FE302" s="50">
        <f t="shared" si="480"/>
        <v>0.38777340585580372</v>
      </c>
      <c r="FF302" s="50">
        <f t="shared" si="481"/>
        <v>3.3705589630829765E-2</v>
      </c>
      <c r="FH302" s="14">
        <f t="shared" si="482"/>
        <v>28782</v>
      </c>
      <c r="FI302" s="14">
        <f t="shared" si="483"/>
        <v>33013</v>
      </c>
      <c r="FJ302" s="14">
        <f t="shared" si="484"/>
        <v>38235</v>
      </c>
      <c r="FK302" s="14">
        <f t="shared" si="485"/>
        <v>55023</v>
      </c>
      <c r="FL302" s="14">
        <f t="shared" si="486"/>
        <v>69128</v>
      </c>
      <c r="FM302" s="14">
        <f t="shared" si="487"/>
        <v>3399383</v>
      </c>
      <c r="FP302" s="14">
        <f t="shared" si="488"/>
        <v>334150</v>
      </c>
      <c r="FQ302" s="50">
        <f t="shared" si="428"/>
        <v>8.949967765116848E-2</v>
      </c>
      <c r="FS302" s="14">
        <f t="shared" si="489"/>
        <v>3733533</v>
      </c>
      <c r="FX302" s="14">
        <v>297</v>
      </c>
      <c r="FY302" s="51">
        <f t="shared" si="490"/>
        <v>37126</v>
      </c>
      <c r="FZ302" s="51">
        <f t="shared" si="491"/>
        <v>1814</v>
      </c>
      <c r="GA302" s="51">
        <f>INT(SUMPRODUCT($N302:$R302,$BF302:$BJ302)/SUM($BF302:$BJ302)/10000*$BX$7*$BZ$46/'疲劳值&amp;地图信息'!$R$10*$BY$53)</f>
        <v>450</v>
      </c>
      <c r="GB302" s="50">
        <f t="shared" si="492"/>
        <v>0.94252348311754253</v>
      </c>
      <c r="GC302" s="50">
        <f t="shared" si="493"/>
        <v>4.6052297537446052E-2</v>
      </c>
      <c r="GD302" s="50">
        <f t="shared" si="494"/>
        <v>1.1424219345011425E-2</v>
      </c>
      <c r="GE302" s="51">
        <f t="shared" si="495"/>
        <v>40685</v>
      </c>
      <c r="GF302" s="51">
        <f t="shared" si="496"/>
        <v>3093</v>
      </c>
      <c r="GG302" s="14">
        <f>INT(SUMPRODUCT($U302:$Y302,$BF302:$BJ302)/SUM($BF302:$BJ302)/10000*$BX$7*$BZ$46/'疲劳值&amp;地图信息'!$R$10*$BY$54)</f>
        <v>859</v>
      </c>
      <c r="GH302" s="50">
        <f t="shared" si="497"/>
        <v>0.91146358402222372</v>
      </c>
      <c r="GI302" s="50">
        <f t="shared" si="498"/>
        <v>6.9292291148598695E-2</v>
      </c>
      <c r="GJ302" s="50">
        <f t="shared" si="499"/>
        <v>1.9244124829177589E-2</v>
      </c>
      <c r="GK302" s="51">
        <f t="shared" si="500"/>
        <v>44392</v>
      </c>
      <c r="GL302" s="51">
        <f t="shared" si="501"/>
        <v>5361</v>
      </c>
      <c r="GM302" s="14">
        <f>INT(SUMPRODUCT($AB302:$AF302,$BF302:$BJ302)/SUM($BF302:$BJ302)/10000*$BX$7*$BZ$46/'疲劳值&amp;地图信息'!$R$10*$BY$55)</f>
        <v>1165</v>
      </c>
      <c r="GN302" s="50">
        <f t="shared" si="502"/>
        <v>0.87183314348560426</v>
      </c>
      <c r="GO302" s="50">
        <f t="shared" si="503"/>
        <v>0.10528693192976943</v>
      </c>
      <c r="GP302" s="50">
        <f t="shared" si="504"/>
        <v>2.2879924584626263E-2</v>
      </c>
      <c r="GQ302" s="51">
        <f t="shared" si="505"/>
        <v>53616</v>
      </c>
      <c r="GR302" s="51">
        <f t="shared" si="506"/>
        <v>14978</v>
      </c>
      <c r="GS302" s="14">
        <f>INT(SUMPRODUCT($AI302:$AM302,$BF302:$BJ302)/SUM($BF302:$BJ302)/10000*$BX$7*$BZ$46/'疲劳值&amp;地图信息'!$R$10*$BY$56)</f>
        <v>1748</v>
      </c>
      <c r="GT302" s="50">
        <f t="shared" si="507"/>
        <v>0.76221887350373885</v>
      </c>
      <c r="GU302" s="50">
        <f t="shared" si="508"/>
        <v>0.2129311080151261</v>
      </c>
      <c r="GV302" s="50">
        <f t="shared" si="509"/>
        <v>2.4850018481135026E-2</v>
      </c>
      <c r="GW302" s="51">
        <f t="shared" si="510"/>
        <v>55988</v>
      </c>
      <c r="GX302" s="51">
        <f t="shared" si="511"/>
        <v>26806</v>
      </c>
      <c r="GY302" s="14">
        <f>INT(SUMPRODUCT($AP302:$AT302,$BF302:$BJ302)/SUM($BF302:$BJ302)/10000*$BX$7*$BZ$46/'疲劳值&amp;地图信息'!$R$10*$BY$57)</f>
        <v>2330</v>
      </c>
      <c r="GZ302" s="50">
        <f t="shared" si="512"/>
        <v>0.65772285136976649</v>
      </c>
      <c r="HA302" s="50">
        <f t="shared" si="513"/>
        <v>0.31490531459987781</v>
      </c>
      <c r="HB302" s="50">
        <f t="shared" si="514"/>
        <v>2.7371834030355716E-2</v>
      </c>
      <c r="HD302" s="14">
        <f t="shared" si="515"/>
        <v>39390</v>
      </c>
      <c r="HE302" s="14">
        <f t="shared" si="516"/>
        <v>44637</v>
      </c>
      <c r="HF302" s="14">
        <f t="shared" si="517"/>
        <v>50918</v>
      </c>
      <c r="HG302" s="14">
        <f t="shared" si="518"/>
        <v>70342</v>
      </c>
      <c r="HH302" s="14">
        <f t="shared" si="519"/>
        <v>85124</v>
      </c>
      <c r="HI302" s="14">
        <f t="shared" si="520"/>
        <v>4591628</v>
      </c>
      <c r="HL302" s="14">
        <f t="shared" si="521"/>
        <v>430050</v>
      </c>
      <c r="HM302" s="50">
        <f t="shared" si="429"/>
        <v>8.5638704831333276E-2</v>
      </c>
      <c r="HO302" s="14">
        <f t="shared" si="522"/>
        <v>5021678</v>
      </c>
    </row>
    <row r="303" spans="11:223" x14ac:dyDescent="0.2">
      <c r="K303" s="14">
        <v>298</v>
      </c>
      <c r="L303" s="12">
        <f>求节点(节奏总纲!D$4:D$163,标准城池设计!AB$4:AB$163,$K303)*求节点(节奏总纲!D$4:D$163,攻城基础信息!$AC$5:$AC$164,$K303)</f>
        <v>781831.42676695122</v>
      </c>
      <c r="M303" s="12">
        <f>INDEX(其他调用!$AA$5:$AA$404,MATCH(K303,其他调用!$X$5:$X$404,0))*MIN(INDEX(其他调用!$AH$5:$AH$364,MATCH('征服点（新）'!K303,其他调用!$AG$5:$AG$364,0),1)/INDEX(其他调用!$AJ$5:$AJ$364,MATCH(K303,其他调用!$AG$5:$AG$364,0),0),5)*求节点(节奏总纲!D$4:D$163,攻城基础信息!$AC$5:$AC$164,$K303)</f>
        <v>53393.513046385902</v>
      </c>
      <c r="N303" s="12">
        <f>MIN(INDEX(其他调用!$AH$5:$AH$364,MATCH($K303,其他调用!$AG$5:$AG$364,0),1)/INDEX(其他调用!AH$5:AH$364,MATCH($K303,其他调用!$AG$5:$AG$364,0),0),1)*INDEX(其他调用!Y$5:Y$404,MATCH($K303,其他调用!$X$5:$X$404,0),0)</f>
        <v>42435.010706684516</v>
      </c>
      <c r="O303" s="12">
        <f>MIN(INDEX(其他调用!$AH$5:$AH$364,MATCH($K303,其他调用!$AG$5:$AG$364,0),1)/INDEX(其他调用!AI$5:AI$364,MATCH($K303,其他调用!$AG$5:$AG$364,0),0),1)*INDEX(其他调用!Z$5:Z$404,MATCH($K303,其他调用!$X$5:$X$404,0),0)</f>
        <v>25564.732939792895</v>
      </c>
      <c r="P303" s="12">
        <f>MIN(INDEX(其他调用!$AH$5:$AH$364,MATCH($K303,其他调用!$AG$5:$AG$364,0),1)/INDEX(其他调用!AJ$5:AJ$364,MATCH($K303,其他调用!$AG$5:$AG$364,0),0),1)*INDEX(其他调用!AA$5:AA$404,MATCH($K303,其他调用!$X$5:$X$404,0),0)</f>
        <v>15255.289441824552</v>
      </c>
      <c r="Q303" s="12">
        <f>MIN(INDEX(其他调用!$AH$5:$AH$364,MATCH($K303,其他调用!$AG$5:$AG$364,0),1)/INDEX(其他调用!AK$5:AK$364,MATCH($K303,其他调用!$AG$5:$AG$364,0),0),1)*INDEX(其他调用!AB$5:AB$404,MATCH($K303,其他调用!$X$5:$X$404,0),0)</f>
        <v>5741.9365645486032</v>
      </c>
      <c r="R303" s="12">
        <f>MIN(INDEX(其他调用!$AH$5:$AH$364,MATCH($K303,其他调用!$AG$5:$AG$364,0),1)/INDEX(其他调用!AL$5:AL$364,MATCH($K303,其他调用!$AG$5:$AG$364,0),0),1)*INDEX(其他调用!AC$5:AC$404,MATCH($K303,其他调用!$X$5:$X$404,0),0)</f>
        <v>3370.0192748393151</v>
      </c>
      <c r="S303" s="12">
        <f>求节点(节奏总纲!D$4:D$163,标准城池设计!AC$4:AC$163,$K303)*求节点(节奏总纲!D$4:D$163,攻城基础信息!$AD$5:$AD$164,$K303)</f>
        <v>856825.4454254508</v>
      </c>
      <c r="T303" s="12">
        <f>INDEX(其他调用!$AA$5:$AA$404,MATCH($K303,其他调用!$X$5:$X$404,0))*MIN(INDEX(其他调用!AI$5:AI$364,MATCH($K303,其他调用!$AG$5:$AG$364,0),1)/INDEX(其他调用!$AJ$5:$AJ$364,MATCH($K303,其他调用!$AG$5:$AG$364,0),0),5)*求节点(节奏总纲!D$4:D$163,攻城基础信息!$AD$5:$AD$164,$K303)</f>
        <v>91045.486161369641</v>
      </c>
      <c r="U303" s="12">
        <f>MIN(INDEX(其他调用!$AI$5:$AI$364,MATCH($K303,其他调用!$AG$5:$AG$364,0),1)/INDEX(其他调用!AH$5:AH$364,MATCH($K303,其他调用!$AG$5:$AG$364,0),0),1)*INDEX(其他调用!Y$5:Y$404,MATCH($K303,其他调用!$X$5:$X$404,0),0)</f>
        <v>42435.010706684516</v>
      </c>
      <c r="V303" s="12">
        <f>MIN(INDEX(其他调用!$AI$5:$AI$364,MATCH($K303,其他调用!$AG$5:$AG$364,0),1)/INDEX(其他调用!AI$5:AI$364,MATCH($K303,其他调用!$AG$5:$AG$364,0),0),1)*INDEX(其他调用!Z$5:Z$404,MATCH($K303,其他调用!$X$5:$X$404,0),0)</f>
        <v>43592.440472439979</v>
      </c>
      <c r="W303" s="12">
        <f>MIN(INDEX(其他调用!$AI$5:$AI$364,MATCH($K303,其他调用!$AG$5:$AG$364,0),1)/INDEX(其他调用!AJ$5:AJ$364,MATCH($K303,其他调用!$AG$5:$AG$364,0),0),1)*INDEX(其他调用!AA$5:AA$404,MATCH($K303,其他调用!$X$5:$X$404,0),0)</f>
        <v>26012.996046105629</v>
      </c>
      <c r="X303" s="12">
        <f>MIN(INDEX(其他调用!$AI$5:$AI$364,MATCH($K303,其他调用!$AG$5:$AG$364,0),1)/INDEX(其他调用!AK$5:AK$364,MATCH($K303,其他调用!$AG$5:$AG$364,0),0),1)*INDEX(其他调用!AB$5:AB$404,MATCH($K303,其他调用!$X$5:$X$404,0),0)</f>
        <v>9791.0284639429246</v>
      </c>
      <c r="Y303" s="12">
        <f>MIN(INDEX(其他调用!$AI$5:$AI$364,MATCH($K303,其他调用!$AG$5:$AG$364,0),1)/INDEX(其他调用!AL$5:AL$364,MATCH($K303,其他调用!$AG$5:$AG$364,0),0),1)*INDEX(其他调用!AC$5:AC$404,MATCH($K303,其他调用!$X$5:$X$404,0),0)</f>
        <v>5746.48540140777</v>
      </c>
      <c r="Z303" s="12">
        <f>求节点(节奏总纲!D$4:D$163,标准城池设计!AD$4:AD$163,$K303)*求节点(节奏总纲!D$4:D$163,攻城基础信息!$AE$5:$AE$164,$K303)</f>
        <v>934842.98852503696</v>
      </c>
      <c r="AA303" s="12">
        <f>INDEX(其他调用!$AA$5:$AA$404,MATCH($K303,其他调用!$X$5:$X$404,0))*MIN(INDEX(其他调用!AJ$5:AJ$364,MATCH($K303,其他调用!$AG$5:$AG$364,0),1)/INDEX(其他调用!$AJ$5:$AJ$364,MATCH($K303,其他调用!$AG$5:$AG$364,0),0),5)*求节点(节奏总纲!D$4:D$163,攻城基础信息!$AE$5:$AE$164,$K303)</f>
        <v>157900.7401246638</v>
      </c>
      <c r="AB303" s="12">
        <f>MIN(INDEX(其他调用!$AJ$5:$AJ$364,MATCH($K303,其他调用!$AG$5:$AG$364,0),1)/INDEX(其他调用!AH$5:AH$364,MATCH($K303,其他调用!$AG$5:$AG$364,0),0),1)*INDEX(其他调用!Y$5:Y$404,MATCH($K303,其他调用!$X$5:$X$404,0),0)</f>
        <v>42435.010706684516</v>
      </c>
      <c r="AC303" s="12">
        <f>MIN(INDEX(其他调用!$AJ$5:$AJ$364,MATCH($K303,其他调用!$AG$5:$AG$364,0),1)/INDEX(其他调用!AI$5:AI$364,MATCH($K303,其他调用!$AG$5:$AG$364,0),0),1)*INDEX(其他调用!Z$5:Z$404,MATCH($K303,其他调用!$X$5:$X$404,0),0)</f>
        <v>43592.440472439979</v>
      </c>
      <c r="AD303" s="12">
        <f>MIN(INDEX(其他调用!$AJ$5:$AJ$364,MATCH($K303,其他调用!$AG$5:$AG$364,0),1)/INDEX(其他调用!AJ$5:AJ$364,MATCH($K303,其他调用!$AG$5:$AG$364,0),0),1)*INDEX(其他调用!AA$5:AA$404,MATCH($K303,其他调用!$X$5:$X$404,0),0)</f>
        <v>45114.497178475402</v>
      </c>
      <c r="AE303" s="12">
        <f>MIN(INDEX(其他调用!$AJ$5:$AJ$364,MATCH($K303,其他调用!$AG$5:$AG$364,0),1)/INDEX(其他调用!AK$5:AK$364,MATCH($K303,其他调用!$AG$5:$AG$364,0),0),1)*INDEX(其他调用!AB$5:AB$404,MATCH($K303,其他调用!$X$5:$X$404,0),0)</f>
        <v>16980.640185698805</v>
      </c>
      <c r="AF303" s="12">
        <f>MIN(INDEX(其他调用!$AJ$5:$AJ$364,MATCH($K303,其他调用!$AG$5:$AG$364,0),1)/INDEX(其他调用!AL$5:AL$364,MATCH($K303,其他调用!$AG$5:$AG$364,0),0),1)*INDEX(其他调用!AC$5:AC$404,MATCH($K303,其他调用!$X$5:$X$404,0),0)</f>
        <v>9966.1645651452309</v>
      </c>
      <c r="AG303" s="12">
        <f>求节点(节奏总纲!D$4:D$163,标准城池设计!AE$4:AE$163,$K303)*求节点(节奏总纲!D$4:D$163,攻城基础信息!$AF$5:$AF$164,$K303)</f>
        <v>1128789.7458077143</v>
      </c>
      <c r="AH303" s="12">
        <f>INDEX(其他调用!$AA$5:$AA$404,MATCH($K303,其他调用!$X$5:$X$404,0))*MIN(INDEX(其他调用!AK$5:AK$364,MATCH($K303,其他调用!$AG$5:$AG$364,0),1)/INDEX(其他调用!$AJ$5:$AJ$364,MATCH($K303,其他调用!$AG$5:$AG$364,0),0),5)*求节点(节奏总纲!D$4:D$163,攻城基础信息!$AF$5:$AF$164,$K303)</f>
        <v>440486.79855678207</v>
      </c>
      <c r="AI303" s="12">
        <f>MIN(INDEX(其他调用!$AK$5:$AK$364,MATCH($K303,其他调用!$AG$5:$AG$364,0),1)/INDEX(其他调用!AH$5:AH$364,MATCH($K303,其他调用!$AG$5:$AG$364,0),0),1)*INDEX(其他调用!Y$5:Y$404,MATCH($K303,其他调用!$X$5:$X$404,0),0)</f>
        <v>42435.010706684516</v>
      </c>
      <c r="AJ303" s="12">
        <f>MIN(INDEX(其他调用!$AK$5:$AK$364,MATCH($K303,其他调用!$AG$5:$AG$364,0),1)/INDEX(其他调用!AI$5:AI$364,MATCH($K303,其他调用!$AG$5:$AG$364,0),0),1)*INDEX(其他调用!Z$5:Z$404,MATCH($K303,其他调用!$X$5:$X$404,0),0)</f>
        <v>43592.440472439979</v>
      </c>
      <c r="AK303" s="12">
        <f>MIN(INDEX(其他调用!$AK$5:$AK$364,MATCH($K303,其他调用!$AG$5:$AG$364,0),1)/INDEX(其他调用!AJ$5:AJ$364,MATCH($K303,其他调用!$AG$5:$AG$364,0),0),1)*INDEX(其他调用!AA$5:AA$404,MATCH($K303,其他调用!$X$5:$X$404,0),0)</f>
        <v>45114.497178475402</v>
      </c>
      <c r="AL303" s="12">
        <f>MIN(INDEX(其他调用!$AK$5:$AK$364,MATCH($K303,其他调用!$AG$5:$AG$364,0),1)/INDEX(其他调用!AK$5:AK$364,MATCH($K303,其他调用!$AG$5:$AG$364,0),0),1)*INDEX(其他调用!AB$5:AB$404,MATCH($K303,其他调用!$X$5:$X$404,0),0)</f>
        <v>47369.935232335149</v>
      </c>
      <c r="AM303" s="12">
        <f>MIN(INDEX(其他调用!$AK$5:$AK$364,MATCH($K303,其他调用!$AG$5:$AG$364,0),1)/INDEX(其他调用!AL$5:AL$364,MATCH($K303,其他调用!$AG$5:$AG$364,0),0),1)*INDEX(其他调用!AC$5:AC$404,MATCH($K303,其他调用!$X$5:$X$404,0),0)</f>
        <v>27802.047791067715</v>
      </c>
      <c r="AN303" s="12">
        <f>求节点(节奏总纲!D$4:D$163,标准城池设计!AF$4:AF$163,$K303)*求节点(节奏总纲!D$4:D$163,攻城基础信息!$AG$5:$AG$164,$K303)</f>
        <v>1178324.1753183834</v>
      </c>
      <c r="AO303" s="12">
        <f>INDEX(其他调用!$AA$5:$AA$404,MATCH($K303,其他调用!$X$5:$X$404,0))*MIN(INDEX(其他调用!AL$5:AL$364,MATCH($K303,其他调用!$AG$5:$AG$364,0),1)/INDEX(其他调用!$AJ$5:$AJ$364,MATCH($K303,其他调用!$AG$5:$AG$364,0),0),5)*求节点(节奏总纲!D$4:D$163,攻城基础信息!$AG$5:$AG$164,$K303)</f>
        <v>789503.70062331902</v>
      </c>
      <c r="AP303" s="12">
        <f>MIN(INDEX(其他调用!$AL$5:$AL$364,MATCH($K303,其他调用!$AG$5:$AG$364,0),1)/INDEX(其他调用!AH$5:AH$364,MATCH($K303,其他调用!$AG$5:$AG$364,0),0),1)*INDEX(其他调用!Y$5:Y$404,MATCH($K303,其他调用!$X$5:$X$404,0),0)</f>
        <v>42435.010706684516</v>
      </c>
      <c r="AQ303" s="12">
        <f>MIN(INDEX(其他调用!$AL$5:$AL$364,MATCH($K303,其他调用!$AG$5:$AG$364,0),1)/INDEX(其他调用!AI$5:AI$364,MATCH($K303,其他调用!$AG$5:$AG$364,0),0),1)*INDEX(其他调用!Z$5:Z$404,MATCH($K303,其他调用!$X$5:$X$404,0),0)</f>
        <v>43592.440472439979</v>
      </c>
      <c r="AR303" s="12">
        <f>MIN(INDEX(其他调用!$AL$5:$AL$364,MATCH($K303,其他调用!$AG$5:$AG$364,0),1)/INDEX(其他调用!AJ$5:AJ$364,MATCH($K303,其他调用!$AG$5:$AG$364,0),0),1)*INDEX(其他调用!AA$5:AA$404,MATCH($K303,其他调用!$X$5:$X$404,0),0)</f>
        <v>45114.497178475402</v>
      </c>
      <c r="AS303" s="12">
        <f>MIN(INDEX(其他调用!$AL$5:$AL$364,MATCH($K303,其他调用!$AG$5:$AG$364,0),1)/INDEX(其他调用!AK$5:AK$364,MATCH($K303,其他调用!$AG$5:$AG$364,0),0),1)*INDEX(其他调用!AB$5:AB$404,MATCH($K303,其他调用!$X$5:$X$404,0),0)</f>
        <v>47369.935232335149</v>
      </c>
      <c r="AT303" s="12">
        <f>MIN(INDEX(其他调用!$AL$5:$AL$364,MATCH($K303,其他调用!$AG$5:$AG$364,0),1)/INDEX(其他调用!AL$5:AL$364,MATCH($K303,其他调用!$AG$5:$AG$364,0),0),1)*INDEX(其他调用!AC$5:AC$404,MATCH($K303,其他调用!$X$5:$X$404,0),0)</f>
        <v>51266.684358489263</v>
      </c>
      <c r="AV303" s="14">
        <f>IF(OR(AV$5="大R",AV$5="超R"),MAX(INDEX(其他调用!$H$5:$L$404,MATCH($K303,其他调用!$B$5:$B$404,0),MATCH(AV$5,其他调用!$H$4:$L$4,0))*120*0.85,2),INDEX(其他调用!$H$5:$L$404,MATCH($K303,其他调用!$B$5:$B$404,0),MATCH(AV$5,其他调用!$H$4:$L$4,0))*120*0.85)</f>
        <v>48.921801254999991</v>
      </c>
      <c r="AW303" s="14">
        <f>IF(OR(AW$5="大R",AW$5="超R"),MAX(INDEX(其他调用!$H$5:$L$404,MATCH($K303,其他调用!$B$5:$B$404,0),MATCH(AW$5,其他调用!$H$4:$L$4,0))*120*0.85,2),INDEX(其他调用!$H$5:$L$404,MATCH($K303,其他调用!$B$5:$B$404,0),MATCH(AW$5,其他调用!$H$4:$L$4,0))*120*0.85)</f>
        <v>48.237344010638395</v>
      </c>
      <c r="AX303" s="14">
        <f>IF(OR(AX$5="大R",AX$5="超R"),MAX(INDEX(其他调用!$H$5:$L$404,MATCH($K303,其他调用!$B$5:$B$404,0),MATCH(AX$5,其他调用!$H$4:$L$4,0))*120*0.85,2),INDEX(其他调用!$H$5:$L$404,MATCH($K303,其他调用!$B$5:$B$404,0),MATCH(AX$5,其他调用!$H$4:$L$4,0))*120*0.85)</f>
        <v>3.9376284143615998</v>
      </c>
      <c r="AY303" s="14">
        <f>IF(OR(AY$5="大R",AY$5="超R"),MAX(INDEX(其他调用!$H$5:$L$404,MATCH($K303,其他调用!$B$5:$B$404,0),MATCH(AY$5,其他调用!$H$4:$L$4,0))*120*0.85,2),INDEX(其他调用!$H$5:$L$404,MATCH($K303,其他调用!$B$5:$B$404,0),MATCH(AY$5,其他调用!$H$4:$L$4,0))*120*0.85)</f>
        <v>2</v>
      </c>
      <c r="AZ303" s="14">
        <f>IF(OR(AZ$5="大R",AZ$5="超R"),MAX(INDEX(其他调用!$H$5:$L$404,MATCH($K303,其他调用!$B$5:$B$404,0),MATCH(AZ$5,其他调用!$H$4:$L$4,0))*120*0.85,2),INDEX(其他调用!$H$5:$L$404,MATCH($K303,其他调用!$B$5:$B$404,0),MATCH(AZ$5,其他调用!$H$4:$L$4,0))*120*0.85)</f>
        <v>2</v>
      </c>
      <c r="BA303" s="14">
        <f>INDEX(其他调用!$H$5:$L$404,MATCH($K303,其他调用!$B$5:$B$404,0),MATCH(BA$5,其他调用!$H$4:$L$4,0))*INDEX(其他调用!$M$5:$M$404,MATCH($K303,其他调用!$B$5:$B$404,0))*0.6</f>
        <v>28.777530149999997</v>
      </c>
      <c r="BB303" s="14">
        <f>INDEX(其他调用!$H$5:$L$404,MATCH($K303,其他调用!$B$5:$B$404,0),MATCH(BB$5,其他调用!$H$4:$L$4,0))*INDEX(其他调用!$M$5:$M$404,MATCH($K303,其他调用!$B$5:$B$404,0))*0.6</f>
        <v>28.374908241551999</v>
      </c>
      <c r="BC303" s="14">
        <f>INDEX(其他调用!$H$5:$L$404,MATCH($K303,其他调用!$B$5:$B$404,0),MATCH(BC$5,其他调用!$H$4:$L$4,0))*INDEX(其他调用!$M$5:$M$404,MATCH($K303,其他调用!$B$5:$B$404,0))*0.6</f>
        <v>2.3162520084480001</v>
      </c>
      <c r="BD303" s="14">
        <f>INDEX(其他调用!$H$5:$L$404,MATCH($K303,其他调用!$B$5:$B$404,0),MATCH(BD$5,其他调用!$H$4:$L$4,0))*INDEX(其他调用!$M$5:$M$404,MATCH($K303,其他调用!$B$5:$B$404,0))*0.6</f>
        <v>0.4120776000000001</v>
      </c>
      <c r="BE303" s="14">
        <f>INDEX(其他调用!$H$5:$L$404,MATCH($K303,其他调用!$B$5:$B$404,0),MATCH(BE$5,其他调用!$H$4:$L$4,0))*INDEX(其他调用!$M$5:$M$404,MATCH($K303,其他调用!$B$5:$B$404,0))*0.6</f>
        <v>0.11923199999999998</v>
      </c>
      <c r="BF303" s="14">
        <f>IF(OR(BF$5="大R",BF$5="超R"),0,INDEX(其他调用!$H$5:$L$404,MATCH($K303,其他调用!$B$5:$B$404,0),MATCH(BF$5,其他调用!$H$4:$L$4,0))*50*0.4)</f>
        <v>9.5925100500000013</v>
      </c>
      <c r="BG303" s="14">
        <f>IF(OR(BG$5="大R",BG$5="超R"),0,INDEX(其他调用!$H$5:$L$404,MATCH($K303,其他调用!$B$5:$B$404,0),MATCH(BG$5,其他调用!$H$4:$L$4,0))*50*0.4)</f>
        <v>9.4583027471839998</v>
      </c>
      <c r="BH303" s="14">
        <f>IF(OR(BH$5="大R",BH$5="超R"),0,INDEX(其他调用!$H$5:$L$404,MATCH($K303,其他调用!$B$5:$B$404,0),MATCH(BH$5,其他调用!$H$4:$L$4,0))*50*0.4)</f>
        <v>0.77208400281600009</v>
      </c>
      <c r="BI303" s="14">
        <f>IF(OR(BI$5="大R",BI$5="超R"),0,INDEX(其他调用!$H$5:$L$404,MATCH($K303,其他调用!$B$5:$B$404,0),MATCH(BI$5,其他调用!$H$4:$L$4,0))*50*0.4)</f>
        <v>0</v>
      </c>
      <c r="BJ303" s="14">
        <f>IF(OR(BJ$5="大R",BJ$5="超R"),0,INDEX(其他调用!$H$5:$L$404,MATCH($K303,其他调用!$B$5:$B$404,0),MATCH(BJ$5,其他调用!$H$4:$L$4,0))*50*0.4)</f>
        <v>0</v>
      </c>
      <c r="BL303" s="14">
        <f t="shared" si="523"/>
        <v>298</v>
      </c>
      <c r="BM303" s="14">
        <f t="shared" si="430"/>
        <v>96</v>
      </c>
      <c r="BN303" s="14">
        <f>('疲劳值&amp;地图信息'!$S$10*'疲劳值&amp;地图信息'!$R$10+'疲劳值&amp;地图信息'!$S$11*'疲劳值&amp;地图信息'!$R$11+'疲劳值&amp;地图信息'!$S$12*'疲劳值&amp;地图信息'!$R$12+(BM303-'疲劳值&amp;地图信息'!$S$12-'疲劳值&amp;地图信息'!$S$11-'疲劳值&amp;地图信息'!$S$10)*'疲劳值&amp;地图信息'!$R$13)/BM303</f>
        <v>51.371477246638619</v>
      </c>
      <c r="BO303" s="14">
        <f>INDEX(其他调用!$M$5:$M$404,MATCH(BL303,其他调用!$B$5:$B$404,0))*0.6</f>
        <v>60</v>
      </c>
      <c r="BP303" s="14">
        <f>IF(BO303&gt;SUM('疲劳值&amp;地图信息'!$S$10:$S$12),('疲劳值&amp;地图信息'!$S$10*'疲劳值&amp;地图信息'!$R$10+'疲劳值&amp;地图信息'!$S$11*'疲劳值&amp;地图信息'!$R$11+'疲劳值&amp;地图信息'!$S$12*'疲劳值&amp;地图信息'!$R$12+(BO303-'疲劳值&amp;地图信息'!$S$12-'疲劳值&amp;地图信息'!$S$11-'疲劳值&amp;地图信息'!$S$10)*'疲劳值&amp;地图信息'!$R$13)/BO303,('疲劳值&amp;地图信息'!$S$10*'疲劳值&amp;地图信息'!$R$10+'疲劳值&amp;地图信息'!$S$11*'疲劳值&amp;地图信息'!$R$11+'疲劳值&amp;地图信息'!$S$12*'疲劳值&amp;地图信息'!$R$12+(BO303-'疲劳值&amp;地图信息'!$S$12-'疲劳值&amp;地图信息'!$S$11-'疲劳值&amp;地图信息'!$S$10)*'疲劳值&amp;地图信息'!$R$13)/BO303)</f>
        <v>44.158136341605953</v>
      </c>
      <c r="BQ303" s="14">
        <f t="shared" si="524"/>
        <v>20</v>
      </c>
      <c r="BR303" s="14">
        <f>('疲劳值&amp;地图信息'!$S$10*'疲劳值&amp;地图信息'!$R$10+($BQ303-'疲劳值&amp;地图信息'!$S$10)*'疲劳值&amp;地图信息'!$R$11)/$BQ303</f>
        <v>32.067203015074995</v>
      </c>
      <c r="CF303" s="14">
        <v>298</v>
      </c>
      <c r="CG303" s="51">
        <f t="shared" si="431"/>
        <v>15934</v>
      </c>
      <c r="CH303" s="51">
        <f t="shared" si="432"/>
        <v>1088</v>
      </c>
      <c r="CI303" s="51">
        <f>INT(SUMPRODUCT($N303:$R303,$BA303:$BE303)/SUM($BA303:$BE303)/10000*$BX$7*$BZ$34/'疲劳值&amp;地图信息'!$R$10*$BY$53)</f>
        <v>3356</v>
      </c>
      <c r="CJ303" s="50">
        <f t="shared" si="433"/>
        <v>0.7819216802433997</v>
      </c>
      <c r="CK303" s="50">
        <f t="shared" si="434"/>
        <v>5.3390911767592503E-2</v>
      </c>
      <c r="CL303" s="50">
        <f t="shared" si="435"/>
        <v>0.16468740798900774</v>
      </c>
      <c r="CM303" s="14">
        <f t="shared" si="436"/>
        <v>17463</v>
      </c>
      <c r="CN303" s="14">
        <f t="shared" si="437"/>
        <v>1855</v>
      </c>
      <c r="CO303" s="14">
        <f>INT(SUMPRODUCT($U303:$Y303,$BA303:$BE303)/SUM($BA303:$BE303)/10000*$BX$7*$BZ$34/'疲劳值&amp;地图信息'!$R$10*$BY$54)</f>
        <v>6400</v>
      </c>
      <c r="CP303" s="50">
        <f t="shared" si="438"/>
        <v>0.67901858620421496</v>
      </c>
      <c r="CQ303" s="50">
        <f t="shared" si="439"/>
        <v>7.2128470332063141E-2</v>
      </c>
      <c r="CR303" s="50">
        <f t="shared" si="440"/>
        <v>0.24885294346372192</v>
      </c>
      <c r="CS303" s="14">
        <f t="shared" si="441"/>
        <v>19053</v>
      </c>
      <c r="CT303" s="14">
        <f t="shared" si="442"/>
        <v>3218</v>
      </c>
      <c r="CU303" s="14">
        <f>INT(SUMPRODUCT($AB303:$AF303,$BA303:$BE303)/SUM($BA303:$BE303)/10000*$BX$7*$BZ$34/'疲劳值&amp;地图信息'!$R$10*$BY$55)</f>
        <v>8695</v>
      </c>
      <c r="CV303" s="50">
        <f t="shared" si="443"/>
        <v>0.61528773493509015</v>
      </c>
      <c r="CW303" s="50">
        <f t="shared" si="444"/>
        <v>0.10392042885745656</v>
      </c>
      <c r="CX303" s="50">
        <f t="shared" si="445"/>
        <v>0.28079183620745335</v>
      </c>
      <c r="CY303" s="14">
        <f t="shared" si="446"/>
        <v>23006</v>
      </c>
      <c r="CZ303" s="14">
        <f t="shared" si="447"/>
        <v>8977</v>
      </c>
      <c r="DA303" s="14">
        <f>INT(SUMPRODUCT($AI303:$AM303,$BA303:$BE303)/SUM($BA303:$BE303)/10000*$BX$7*$BZ$34/'疲劳值&amp;地图信息'!$R$10*$BY$56)</f>
        <v>13116</v>
      </c>
      <c r="DB303" s="50">
        <f t="shared" si="448"/>
        <v>0.51012217565799689</v>
      </c>
      <c r="DC303" s="50">
        <f t="shared" si="449"/>
        <v>0.19905097674006075</v>
      </c>
      <c r="DD303" s="50">
        <f t="shared" si="450"/>
        <v>0.29082684760194238</v>
      </c>
      <c r="DE303" s="14">
        <f t="shared" si="451"/>
        <v>24015</v>
      </c>
      <c r="DF303" s="14">
        <f t="shared" si="452"/>
        <v>16091</v>
      </c>
      <c r="DG303" s="14">
        <f>INT(SUMPRODUCT($AP303:$AT303,$BA303:$BE303)/SUM($BA303:$BE303)/10000*$BX$7*$BZ$34/'疲劳值&amp;地图信息'!$R$10*$BY$57)</f>
        <v>17508</v>
      </c>
      <c r="DH303" s="50">
        <f t="shared" si="453"/>
        <v>0.41682577151386818</v>
      </c>
      <c r="DI303" s="50">
        <f t="shared" si="454"/>
        <v>0.27928975596209255</v>
      </c>
      <c r="DJ303" s="50">
        <f t="shared" si="455"/>
        <v>0.30388447252403927</v>
      </c>
      <c r="DL303" s="14">
        <f t="shared" si="526"/>
        <v>20378</v>
      </c>
      <c r="DM303" s="14">
        <f t="shared" si="527"/>
        <v>25718</v>
      </c>
      <c r="DN303" s="14">
        <f t="shared" si="528"/>
        <v>30966</v>
      </c>
      <c r="DO303" s="14">
        <f t="shared" si="529"/>
        <v>45099</v>
      </c>
      <c r="DP303" s="14">
        <f t="shared" si="530"/>
        <v>57614</v>
      </c>
      <c r="DQ303" s="14">
        <f t="shared" si="531"/>
        <v>1413353</v>
      </c>
      <c r="DT303" s="14">
        <f t="shared" si="525"/>
        <v>235575</v>
      </c>
      <c r="DU303" s="50">
        <f t="shared" si="427"/>
        <v>0.14286554658541792</v>
      </c>
      <c r="DW303" s="14">
        <f t="shared" si="456"/>
        <v>1648928</v>
      </c>
      <c r="EB303" s="14">
        <v>298</v>
      </c>
      <c r="EC303" s="51">
        <f t="shared" si="457"/>
        <v>26557</v>
      </c>
      <c r="ED303" s="51">
        <f t="shared" si="458"/>
        <v>1813</v>
      </c>
      <c r="EE303" s="51">
        <f>INT(SUMPRODUCT($N303:$R303,$BF303:$BJ303)/SUM($BF303:$BJ303)/10000*$BX$7*$BZ$46/'疲劳值&amp;地图信息'!$R$10*$BY$53)</f>
        <v>450</v>
      </c>
      <c r="EF303" s="50">
        <f t="shared" si="459"/>
        <v>0.92147814018043028</v>
      </c>
      <c r="EG303" s="50">
        <f t="shared" si="460"/>
        <v>6.290770298403886E-2</v>
      </c>
      <c r="EH303" s="50">
        <f t="shared" si="461"/>
        <v>1.5614156835530881E-2</v>
      </c>
      <c r="EI303" s="51">
        <f t="shared" si="462"/>
        <v>29105</v>
      </c>
      <c r="EJ303" s="51">
        <f t="shared" si="463"/>
        <v>3092</v>
      </c>
      <c r="EK303" s="14">
        <f>INT(SUMPRODUCT($U303:$Y303,$BF303:$BJ303)/SUM($BF303:$BJ303)/10000*$BX$7*$BZ$46/'疲劳值&amp;地图信息'!$R$10*$BY$54)</f>
        <v>859</v>
      </c>
      <c r="EL303" s="50">
        <f t="shared" si="464"/>
        <v>0.88047555663117139</v>
      </c>
      <c r="EM303" s="50">
        <f t="shared" si="465"/>
        <v>9.3538238141335911E-2</v>
      </c>
      <c r="EN303" s="50">
        <f t="shared" si="466"/>
        <v>2.5986205227492738E-2</v>
      </c>
      <c r="EO303" s="51">
        <f t="shared" si="467"/>
        <v>31755</v>
      </c>
      <c r="EP303" s="51">
        <f t="shared" si="468"/>
        <v>5363</v>
      </c>
      <c r="EQ303" s="14">
        <f>INT(SUMPRODUCT($AB303:$AF303,$BF303:$BJ303)/SUM($BF303:$BJ303)/10000*$BX$7*$BZ$46/'疲劳值&amp;地图信息'!$R$10*$BY$55)</f>
        <v>1165</v>
      </c>
      <c r="ER303" s="50">
        <f t="shared" si="469"/>
        <v>0.82948044824073353</v>
      </c>
      <c r="ES303" s="50">
        <f t="shared" si="470"/>
        <v>0.14008828984144397</v>
      </c>
      <c r="ET303" s="50">
        <f t="shared" si="471"/>
        <v>3.0431261917822531E-2</v>
      </c>
      <c r="EU303" s="51">
        <f t="shared" si="472"/>
        <v>38343</v>
      </c>
      <c r="EV303" s="51">
        <f t="shared" si="473"/>
        <v>14962</v>
      </c>
      <c r="EW303" s="14">
        <f>INT(SUMPRODUCT($AI303:$AM303,$BF303:$BJ303)/SUM($BF303:$BJ303)/10000*$BX$7*$BZ$46/'疲劳值&amp;地图信息'!$R$10*$BY$56)</f>
        <v>1748</v>
      </c>
      <c r="EX303" s="50">
        <f t="shared" si="474"/>
        <v>0.69647430657729825</v>
      </c>
      <c r="EY303" s="50">
        <f t="shared" si="475"/>
        <v>0.27177447187255915</v>
      </c>
      <c r="EZ303" s="50">
        <f t="shared" si="476"/>
        <v>3.1751221550142587E-2</v>
      </c>
      <c r="FA303" s="51">
        <f t="shared" si="477"/>
        <v>40026</v>
      </c>
      <c r="FB303" s="51">
        <f t="shared" si="478"/>
        <v>26818</v>
      </c>
      <c r="FC303" s="14">
        <f>INT(SUMPRODUCT($AP303:$AT303,$BF303:$BJ303)/SUM($BF303:$BJ303)/10000*$BX$7*$BZ$46/'疲劳值&amp;地图信息'!$R$10*$BY$57)</f>
        <v>2331</v>
      </c>
      <c r="FD303" s="50">
        <f t="shared" si="479"/>
        <v>0.57861944344054939</v>
      </c>
      <c r="FE303" s="50">
        <f t="shared" si="480"/>
        <v>0.38768341163715214</v>
      </c>
      <c r="FF303" s="50">
        <f t="shared" si="481"/>
        <v>3.3697144922298521E-2</v>
      </c>
      <c r="FH303" s="14">
        <f t="shared" si="482"/>
        <v>28820</v>
      </c>
      <c r="FI303" s="14">
        <f t="shared" si="483"/>
        <v>33056</v>
      </c>
      <c r="FJ303" s="14">
        <f t="shared" si="484"/>
        <v>38283</v>
      </c>
      <c r="FK303" s="14">
        <f t="shared" si="485"/>
        <v>55053</v>
      </c>
      <c r="FL303" s="14">
        <f t="shared" si="486"/>
        <v>69175</v>
      </c>
      <c r="FM303" s="14">
        <f t="shared" si="487"/>
        <v>3403660</v>
      </c>
      <c r="FP303" s="14">
        <f t="shared" si="488"/>
        <v>334150</v>
      </c>
      <c r="FQ303" s="50">
        <f t="shared" si="428"/>
        <v>8.9397267383842405E-2</v>
      </c>
      <c r="FS303" s="14">
        <f t="shared" si="489"/>
        <v>3737810</v>
      </c>
      <c r="FX303" s="14">
        <v>298</v>
      </c>
      <c r="FY303" s="51">
        <f t="shared" si="490"/>
        <v>37181</v>
      </c>
      <c r="FZ303" s="51">
        <f t="shared" si="491"/>
        <v>1813</v>
      </c>
      <c r="GA303" s="51">
        <f>INT(SUMPRODUCT($N303:$R303,$BF303:$BJ303)/SUM($BF303:$BJ303)/10000*$BX$7*$BZ$46/'疲劳值&amp;地图信息'!$R$10*$BY$53)</f>
        <v>450</v>
      </c>
      <c r="GB303" s="50">
        <f t="shared" si="492"/>
        <v>0.94262752256363447</v>
      </c>
      <c r="GC303" s="50">
        <f t="shared" si="493"/>
        <v>4.596389818476828E-2</v>
      </c>
      <c r="GD303" s="50">
        <f t="shared" si="494"/>
        <v>1.1408579251597202E-2</v>
      </c>
      <c r="GE303" s="51">
        <f t="shared" si="495"/>
        <v>40747</v>
      </c>
      <c r="GF303" s="51">
        <f t="shared" si="496"/>
        <v>3092</v>
      </c>
      <c r="GG303" s="14">
        <f>INT(SUMPRODUCT($U303:$Y303,$BF303:$BJ303)/SUM($BF303:$BJ303)/10000*$BX$7*$BZ$46/'疲劳值&amp;地图信息'!$R$10*$BY$54)</f>
        <v>859</v>
      </c>
      <c r="GH303" s="50">
        <f t="shared" si="497"/>
        <v>0.91160678330126632</v>
      </c>
      <c r="GI303" s="50">
        <f t="shared" si="498"/>
        <v>6.9175354601995614E-2</v>
      </c>
      <c r="GJ303" s="50">
        <f t="shared" si="499"/>
        <v>1.9217862096738109E-2</v>
      </c>
      <c r="GK303" s="51">
        <f t="shared" si="500"/>
        <v>44457</v>
      </c>
      <c r="GL303" s="51">
        <f t="shared" si="501"/>
        <v>5363</v>
      </c>
      <c r="GM303" s="14">
        <f>INT(SUMPRODUCT($AB303:$AF303,$BF303:$BJ303)/SUM($BF303:$BJ303)/10000*$BX$7*$BZ$46/'疲劳值&amp;地图信息'!$R$10*$BY$55)</f>
        <v>1165</v>
      </c>
      <c r="GN303" s="50">
        <f t="shared" si="502"/>
        <v>0.87196234186525445</v>
      </c>
      <c r="GO303" s="50">
        <f t="shared" si="503"/>
        <v>0.10518780033343141</v>
      </c>
      <c r="GP303" s="50">
        <f t="shared" si="504"/>
        <v>2.2849857801314113E-2</v>
      </c>
      <c r="GQ303" s="51">
        <f t="shared" si="505"/>
        <v>53681</v>
      </c>
      <c r="GR303" s="51">
        <f t="shared" si="506"/>
        <v>14962</v>
      </c>
      <c r="GS303" s="14">
        <f>INT(SUMPRODUCT($AI303:$AM303,$BF303:$BJ303)/SUM($BF303:$BJ303)/10000*$BX$7*$BZ$46/'疲劳值&amp;地图信息'!$R$10*$BY$56)</f>
        <v>1748</v>
      </c>
      <c r="GT303" s="50">
        <f t="shared" si="507"/>
        <v>0.76261169751814861</v>
      </c>
      <c r="GU303" s="50">
        <f t="shared" si="508"/>
        <v>0.21255558238979416</v>
      </c>
      <c r="GV303" s="50">
        <f t="shared" si="509"/>
        <v>2.4832720092057222E-2</v>
      </c>
      <c r="GW303" s="51">
        <f t="shared" si="510"/>
        <v>56036</v>
      </c>
      <c r="GX303" s="51">
        <f t="shared" si="511"/>
        <v>26818</v>
      </c>
      <c r="GY303" s="14">
        <f>INT(SUMPRODUCT($AP303:$AT303,$BF303:$BJ303)/SUM($BF303:$BJ303)/10000*$BX$7*$BZ$46/'疲劳值&amp;地图信息'!$R$10*$BY$57)</f>
        <v>2331</v>
      </c>
      <c r="GZ303" s="50">
        <f t="shared" si="512"/>
        <v>0.65781534307683276</v>
      </c>
      <c r="HA303" s="50">
        <f t="shared" si="513"/>
        <v>0.31482068439279215</v>
      </c>
      <c r="HB303" s="50">
        <f t="shared" si="514"/>
        <v>2.7363972530375067E-2</v>
      </c>
      <c r="HD303" s="14">
        <f t="shared" si="515"/>
        <v>39444</v>
      </c>
      <c r="HE303" s="14">
        <f t="shared" si="516"/>
        <v>44698</v>
      </c>
      <c r="HF303" s="14">
        <f t="shared" si="517"/>
        <v>50985</v>
      </c>
      <c r="HG303" s="14">
        <f t="shared" si="518"/>
        <v>70391</v>
      </c>
      <c r="HH303" s="14">
        <f t="shared" si="519"/>
        <v>85185</v>
      </c>
      <c r="HI303" s="14">
        <f t="shared" si="520"/>
        <v>4597696</v>
      </c>
      <c r="HL303" s="14">
        <f t="shared" si="521"/>
        <v>430050</v>
      </c>
      <c r="HM303" s="50">
        <f t="shared" si="429"/>
        <v>8.5535347251034566E-2</v>
      </c>
      <c r="HO303" s="14">
        <f t="shared" si="522"/>
        <v>5027746</v>
      </c>
    </row>
    <row r="304" spans="11:223" x14ac:dyDescent="0.2">
      <c r="K304" s="14">
        <v>299</v>
      </c>
      <c r="L304" s="12">
        <f>求节点(节奏总纲!D$4:D$163,标准城池设计!AB$4:AB$163,$K304)*求节点(节奏总纲!D$4:D$163,攻城基础信息!$AC$5:$AC$164,$K304)</f>
        <v>782981.51468304091</v>
      </c>
      <c r="M304" s="12">
        <f>INDEX(其他调用!$AA$5:$AA$404,MATCH(K304,其他调用!$X$5:$X$404,0))*MIN(INDEX(其他调用!$AH$5:$AH$364,MATCH('征服点（新）'!K304,其他调用!$AG$5:$AG$364,0),1)/INDEX(其他调用!$AJ$5:$AJ$364,MATCH(K304,其他调用!$AG$5:$AG$364,0),0),5)*求节点(节奏总纲!D$4:D$163,攻城基础信息!$AC$5:$AC$164,$K304)</f>
        <v>53357.734027452549</v>
      </c>
      <c r="N304" s="12">
        <f>MIN(INDEX(其他调用!$AH$5:$AH$364,MATCH($K304,其他调用!$AG$5:$AG$364,0),1)/INDEX(其他调用!AH$5:AH$364,MATCH($K304,其他调用!$AG$5:$AG$364,0),0),1)*INDEX(其他调用!Y$5:Y$404,MATCH($K304,其他调用!$X$5:$X$404,0),0)</f>
        <v>42454.086372220008</v>
      </c>
      <c r="O304" s="12">
        <f>MIN(INDEX(其他调用!$AH$5:$AH$364,MATCH($K304,其他调用!$AG$5:$AG$364,0),1)/INDEX(其他调用!AI$5:AI$364,MATCH($K304,其他调用!$AG$5:$AG$364,0),0),1)*INDEX(其他调用!Z$5:Z$404,MATCH($K304,其他调用!$X$5:$X$404,0),0)</f>
        <v>25565.169828255908</v>
      </c>
      <c r="P304" s="12">
        <f>MIN(INDEX(其他调用!$AH$5:$AH$364,MATCH($K304,其他调用!$AG$5:$AG$364,0),1)/INDEX(其他调用!AJ$5:AJ$364,MATCH($K304,其他调用!$AG$5:$AG$364,0),0),1)*INDEX(其他调用!AA$5:AA$404,MATCH($K304,其他调用!$X$5:$X$404,0),0)</f>
        <v>15245.066864986453</v>
      </c>
      <c r="Q304" s="12">
        <f>MIN(INDEX(其他调用!$AH$5:$AH$364,MATCH($K304,其他调用!$AG$5:$AG$364,0),1)/INDEX(其他调用!AK$5:AK$364,MATCH($K304,其他调用!$AG$5:$AG$364,0),0),1)*INDEX(其他调用!AB$5:AB$404,MATCH($K304,其他调用!$X$5:$X$404,0),0)</f>
        <v>5746.5744075888388</v>
      </c>
      <c r="R304" s="12">
        <f>MIN(INDEX(其他调用!$AH$5:$AH$364,MATCH($K304,其他调用!$AG$5:$AG$364,0),1)/INDEX(其他调用!AL$5:AL$364,MATCH($K304,其他调用!$AG$5:$AG$364,0),0),1)*INDEX(其他调用!AC$5:AC$404,MATCH($K304,其他调用!$X$5:$X$404,0),0)</f>
        <v>3378.5415833592979</v>
      </c>
      <c r="S304" s="12">
        <f>求节点(节奏总纲!D$4:D$163,标准城池设计!AC$4:AC$163,$K304)*求节点(节奏总纲!D$4:D$163,攻城基础信息!$AD$5:$AD$164,$K304)</f>
        <v>858124.93376746261</v>
      </c>
      <c r="T304" s="12">
        <f>INDEX(其他调用!$AA$5:$AA$404,MATCH($K304,其他调用!$X$5:$X$404,0))*MIN(INDEX(其他调用!AI$5:AI$364,MATCH($K304,其他调用!$AG$5:$AG$364,0),1)/INDEX(其他调用!$AJ$5:$AJ$364,MATCH($K304,其他调用!$AG$5:$AG$364,0),0),5)*求节点(节奏总纲!D$4:D$163,攻城基础信息!$AD$5:$AD$164,$K304)</f>
        <v>91023.401560470345</v>
      </c>
      <c r="U304" s="12">
        <f>MIN(INDEX(其他调用!$AI$5:$AI$364,MATCH($K304,其他调用!$AG$5:$AG$364,0),1)/INDEX(其他调用!AH$5:AH$364,MATCH($K304,其他调用!$AG$5:$AG$364,0),0),1)*INDEX(其他调用!Y$5:Y$404,MATCH($K304,其他调用!$X$5:$X$404,0),0)</f>
        <v>42454.086372220008</v>
      </c>
      <c r="V304" s="12">
        <f>MIN(INDEX(其他调用!$AI$5:$AI$364,MATCH($K304,其他调用!$AG$5:$AG$364,0),1)/INDEX(其他调用!AI$5:AI$364,MATCH($K304,其他调用!$AG$5:$AG$364,0),0),1)*INDEX(其他调用!Z$5:Z$404,MATCH($K304,其他调用!$X$5:$X$404,0),0)</f>
        <v>43611.835503391165</v>
      </c>
      <c r="W304" s="12">
        <f>MIN(INDEX(其他调用!$AI$5:$AI$364,MATCH($K304,其他调用!$AG$5:$AG$364,0),1)/INDEX(其他调用!AJ$5:AJ$364,MATCH($K304,其他调用!$AG$5:$AG$364,0),0),1)*INDEX(其他调用!AA$5:AA$404,MATCH($K304,其他调用!$X$5:$X$404,0),0)</f>
        <v>26006.686160134399</v>
      </c>
      <c r="X304" s="12">
        <f>MIN(INDEX(其他调用!$AI$5:$AI$364,MATCH($K304,其他调用!$AG$5:$AG$364,0),1)/INDEX(其他调用!AK$5:AK$364,MATCH($K304,其他调用!$AG$5:$AG$364,0),0),1)*INDEX(其他调用!AB$5:AB$404,MATCH($K304,其他调用!$X$5:$X$404,0),0)</f>
        <v>9803.1290015044469</v>
      </c>
      <c r="Y304" s="12">
        <f>MIN(INDEX(其他调用!$AI$5:$AI$364,MATCH($K304,其他调用!$AG$5:$AG$364,0),1)/INDEX(其他调用!AL$5:AL$364,MATCH($K304,其他调用!$AG$5:$AG$364,0),0),1)*INDEX(其他调用!AC$5:AC$404,MATCH($K304,其他调用!$X$5:$X$404,0),0)</f>
        <v>5763.4821424882539</v>
      </c>
      <c r="Z304" s="12">
        <f>求节点(节奏总纲!D$4:D$163,标准城池设计!AD$4:AD$163,$K304)*求节点(节奏总纲!D$4:D$163,攻城基础信息!$AE$5:$AE$164,$K304)</f>
        <v>936208.89249243867</v>
      </c>
      <c r="AA304" s="12">
        <f>INDEX(其他调用!$AA$5:$AA$404,MATCH($K304,其他调用!$X$5:$X$404,0))*MIN(INDEX(其他调用!AJ$5:AJ$364,MATCH($K304,其他调用!$AG$5:$AG$364,0),1)/INDEX(其他调用!$AJ$5:$AJ$364,MATCH($K304,其他调用!$AG$5:$AG$364,0),0),5)*求节点(节奏总纲!D$4:D$163,攻城基础信息!$AE$5:$AE$164,$K304)</f>
        <v>157968.67064847378</v>
      </c>
      <c r="AB304" s="12">
        <f>MIN(INDEX(其他调用!$AJ$5:$AJ$364,MATCH($K304,其他调用!$AG$5:$AG$364,0),1)/INDEX(其他调用!AH$5:AH$364,MATCH($K304,其他调用!$AG$5:$AG$364,0),0),1)*INDEX(其他调用!Y$5:Y$404,MATCH($K304,其他调用!$X$5:$X$404,0),0)</f>
        <v>42454.086372220008</v>
      </c>
      <c r="AC304" s="12">
        <f>MIN(INDEX(其他调用!$AJ$5:$AJ$364,MATCH($K304,其他调用!$AG$5:$AG$364,0),1)/INDEX(其他调用!AI$5:AI$364,MATCH($K304,其他调用!$AG$5:$AG$364,0),0),1)*INDEX(其他调用!Z$5:Z$404,MATCH($K304,其他调用!$X$5:$X$404,0),0)</f>
        <v>43611.835503391165</v>
      </c>
      <c r="AD304" s="12">
        <f>MIN(INDEX(其他调用!$AJ$5:$AJ$364,MATCH($K304,其他调用!$AG$5:$AG$364,0),1)/INDEX(其他调用!AJ$5:AJ$364,MATCH($K304,其他调用!$AG$5:$AG$364,0),0),1)*INDEX(其他调用!AA$5:AA$404,MATCH($K304,其他调用!$X$5:$X$404,0),0)</f>
        <v>45133.905899563964</v>
      </c>
      <c r="AE304" s="12">
        <f>MIN(INDEX(其他调用!$AJ$5:$AJ$364,MATCH($K304,其他调用!$AG$5:$AG$364,0),1)/INDEX(其他调用!AK$5:AK$364,MATCH($K304,其他调用!$AG$5:$AG$364,0),0),1)*INDEX(其他调用!AB$5:AB$404,MATCH($K304,其他调用!$X$5:$X$404,0),0)</f>
        <v>17013.067299340291</v>
      </c>
      <c r="AF304" s="12">
        <f>MIN(INDEX(其他调用!$AJ$5:$AJ$364,MATCH($K304,其他调用!$AG$5:$AG$364,0),1)/INDEX(其他调用!AL$5:AL$364,MATCH($K304,其他调用!$AG$5:$AG$364,0),0),1)*INDEX(其他调用!AC$5:AC$404,MATCH($K304,其他调用!$X$5:$X$404,0),0)</f>
        <v>10002.368585953585</v>
      </c>
      <c r="AG304" s="12">
        <f>求节点(节奏总纲!D$4:D$163,标准城池设计!AE$4:AE$163,$K304)*求节点(节奏总纲!D$4:D$163,攻城基础信息!$AF$5:$AF$164,$K304)</f>
        <v>1130150.3131591133</v>
      </c>
      <c r="AH304" s="12">
        <f>INDEX(其他调用!$AA$5:$AA$404,MATCH($K304,其他调用!$X$5:$X$404,0))*MIN(INDEX(其他调用!AK$5:AK$364,MATCH($K304,其他调用!$AG$5:$AG$364,0),1)/INDEX(其他调用!$AJ$5:$AJ$364,MATCH($K304,其他调用!$AG$5:$AG$364,0),0),5)*求节点(节奏总纲!D$4:D$163,攻城基础信息!$AF$5:$AF$164,$K304)</f>
        <v>440020.92470827355</v>
      </c>
      <c r="AI304" s="12">
        <f>MIN(INDEX(其他调用!$AK$5:$AK$364,MATCH($K304,其他调用!$AG$5:$AG$364,0),1)/INDEX(其他调用!AH$5:AH$364,MATCH($K304,其他调用!$AG$5:$AG$364,0),0),1)*INDEX(其他调用!Y$5:Y$404,MATCH($K304,其他调用!$X$5:$X$404,0),0)</f>
        <v>42454.086372220008</v>
      </c>
      <c r="AJ304" s="12">
        <f>MIN(INDEX(其他调用!$AK$5:$AK$364,MATCH($K304,其他调用!$AG$5:$AG$364,0),1)/INDEX(其他调用!AI$5:AI$364,MATCH($K304,其他调用!$AG$5:$AG$364,0),0),1)*INDEX(其他调用!Z$5:Z$404,MATCH($K304,其他调用!$X$5:$X$404,0),0)</f>
        <v>43611.835503391165</v>
      </c>
      <c r="AK304" s="12">
        <f>MIN(INDEX(其他调用!$AK$5:$AK$364,MATCH($K304,其他调用!$AG$5:$AG$364,0),1)/INDEX(其他调用!AJ$5:AJ$364,MATCH($K304,其他调用!$AG$5:$AG$364,0),0),1)*INDEX(其他调用!AA$5:AA$404,MATCH($K304,其他调用!$X$5:$X$404,0),0)</f>
        <v>45133.905899563964</v>
      </c>
      <c r="AL304" s="12">
        <f>MIN(INDEX(其他调用!$AK$5:$AK$364,MATCH($K304,其他调用!$AG$5:$AG$364,0),1)/INDEX(其他调用!AK$5:AK$364,MATCH($K304,其他调用!$AG$5:$AG$364,0),0),1)*INDEX(其他调用!AB$5:AB$404,MATCH($K304,其他调用!$X$5:$X$404,0),0)</f>
        <v>47389.812007968125</v>
      </c>
      <c r="AM304" s="12">
        <f>MIN(INDEX(其他调用!$AK$5:$AK$364,MATCH($K304,其他调用!$AG$5:$AG$364,0),1)/INDEX(其他调用!AL$5:AL$364,MATCH($K304,其他调用!$AG$5:$AG$364,0),0),1)*INDEX(其他调用!AC$5:AC$404,MATCH($K304,其他调用!$X$5:$X$404,0),0)</f>
        <v>27861.546573740226</v>
      </c>
      <c r="AN304" s="12">
        <f>求节点(节奏总纲!D$4:D$163,标准城池设计!AF$4:AF$163,$K304)*求节点(节奏总纲!D$4:D$163,攻城基础信息!$AG$5:$AG$164,$K304)</f>
        <v>1179330.1993992776</v>
      </c>
      <c r="AO304" s="12">
        <f>INDEX(其他调用!$AA$5:$AA$404,MATCH($K304,其他调用!$X$5:$X$404,0))*MIN(INDEX(其他调用!AL$5:AL$364,MATCH($K304,其他调用!$AG$5:$AG$364,0),1)/INDEX(其他调用!$AJ$5:$AJ$364,MATCH($K304,其他调用!$AG$5:$AG$364,0),0),5)*求节点(节奏总纲!D$4:D$163,攻城基础信息!$AG$5:$AG$164,$K304)</f>
        <v>789843.3532423689</v>
      </c>
      <c r="AP304" s="12">
        <f>MIN(INDEX(其他调用!$AL$5:$AL$364,MATCH($K304,其他调用!$AG$5:$AG$364,0),1)/INDEX(其他调用!AH$5:AH$364,MATCH($K304,其他调用!$AG$5:$AG$364,0),0),1)*INDEX(其他调用!Y$5:Y$404,MATCH($K304,其他调用!$X$5:$X$404,0),0)</f>
        <v>42454.086372220008</v>
      </c>
      <c r="AQ304" s="12">
        <f>MIN(INDEX(其他调用!$AL$5:$AL$364,MATCH($K304,其他调用!$AG$5:$AG$364,0),1)/INDEX(其他调用!AI$5:AI$364,MATCH($K304,其他调用!$AG$5:$AG$364,0),0),1)*INDEX(其他调用!Z$5:Z$404,MATCH($K304,其他调用!$X$5:$X$404,0),0)</f>
        <v>43611.835503391165</v>
      </c>
      <c r="AR304" s="12">
        <f>MIN(INDEX(其他调用!$AL$5:$AL$364,MATCH($K304,其他调用!$AG$5:$AG$364,0),1)/INDEX(其他调用!AJ$5:AJ$364,MATCH($K304,其他调用!$AG$5:$AG$364,0),0),1)*INDEX(其他调用!AA$5:AA$404,MATCH($K304,其他调用!$X$5:$X$404,0),0)</f>
        <v>45133.905899563964</v>
      </c>
      <c r="AS304" s="12">
        <f>MIN(INDEX(其他调用!$AL$5:$AL$364,MATCH($K304,其他调用!$AG$5:$AG$364,0),1)/INDEX(其他调用!AK$5:AK$364,MATCH($K304,其他调用!$AG$5:$AG$364,0),0),1)*INDEX(其他调用!AB$5:AB$404,MATCH($K304,其他调用!$X$5:$X$404,0),0)</f>
        <v>47389.812007968125</v>
      </c>
      <c r="AT304" s="12">
        <f>MIN(INDEX(其他调用!$AL$5:$AL$364,MATCH($K304,其他调用!$AG$5:$AG$364,0),1)/INDEX(其他调用!AL$5:AL$364,MATCH($K304,其他调用!$AG$5:$AG$364,0),0),1)*INDEX(其他调用!AC$5:AC$404,MATCH($K304,其他调用!$X$5:$X$404,0),0)</f>
        <v>51285.967616657013</v>
      </c>
      <c r="AV304" s="14">
        <f>IF(OR(AV$5="大R",AV$5="超R"),MAX(INDEX(其他调用!$H$5:$L$404,MATCH($K304,其他调用!$B$5:$B$404,0),MATCH(AV$5,其他调用!$H$4:$L$4,0))*120*0.85,2),INDEX(其他调用!$H$5:$L$404,MATCH($K304,其他调用!$B$5:$B$404,0),MATCH(AV$5,其他调用!$H$4:$L$4,0))*120*0.85)</f>
        <v>48.921801254999991</v>
      </c>
      <c r="AW304" s="14">
        <f>IF(OR(AW$5="大R",AW$5="超R"),MAX(INDEX(其他调用!$H$5:$L$404,MATCH($K304,其他调用!$B$5:$B$404,0),MATCH(AW$5,其他调用!$H$4:$L$4,0))*120*0.85,2),INDEX(其他调用!$H$5:$L$404,MATCH($K304,其他调用!$B$5:$B$404,0),MATCH(AW$5,其他调用!$H$4:$L$4,0))*120*0.85)</f>
        <v>48.237344010638395</v>
      </c>
      <c r="AX304" s="14">
        <f>IF(OR(AX$5="大R",AX$5="超R"),MAX(INDEX(其他调用!$H$5:$L$404,MATCH($K304,其他调用!$B$5:$B$404,0),MATCH(AX$5,其他调用!$H$4:$L$4,0))*120*0.85,2),INDEX(其他调用!$H$5:$L$404,MATCH($K304,其他调用!$B$5:$B$404,0),MATCH(AX$5,其他调用!$H$4:$L$4,0))*120*0.85)</f>
        <v>3.9376284143615998</v>
      </c>
      <c r="AY304" s="14">
        <f>IF(OR(AY$5="大R",AY$5="超R"),MAX(INDEX(其他调用!$H$5:$L$404,MATCH($K304,其他调用!$B$5:$B$404,0),MATCH(AY$5,其他调用!$H$4:$L$4,0))*120*0.85,2),INDEX(其他调用!$H$5:$L$404,MATCH($K304,其他调用!$B$5:$B$404,0),MATCH(AY$5,其他调用!$H$4:$L$4,0))*120*0.85)</f>
        <v>2</v>
      </c>
      <c r="AZ304" s="14">
        <f>IF(OR(AZ$5="大R",AZ$5="超R"),MAX(INDEX(其他调用!$H$5:$L$404,MATCH($K304,其他调用!$B$5:$B$404,0),MATCH(AZ$5,其他调用!$H$4:$L$4,0))*120*0.85,2),INDEX(其他调用!$H$5:$L$404,MATCH($K304,其他调用!$B$5:$B$404,0),MATCH(AZ$5,其他调用!$H$4:$L$4,0))*120*0.85)</f>
        <v>2</v>
      </c>
      <c r="BA304" s="14">
        <f>INDEX(其他调用!$H$5:$L$404,MATCH($K304,其他调用!$B$5:$B$404,0),MATCH(BA$5,其他调用!$H$4:$L$4,0))*INDEX(其他调用!$M$5:$M$404,MATCH($K304,其他调用!$B$5:$B$404,0))*0.6</f>
        <v>28.777530149999997</v>
      </c>
      <c r="BB304" s="14">
        <f>INDEX(其他调用!$H$5:$L$404,MATCH($K304,其他调用!$B$5:$B$404,0),MATCH(BB$5,其他调用!$H$4:$L$4,0))*INDEX(其他调用!$M$5:$M$404,MATCH($K304,其他调用!$B$5:$B$404,0))*0.6</f>
        <v>28.374908241551999</v>
      </c>
      <c r="BC304" s="14">
        <f>INDEX(其他调用!$H$5:$L$404,MATCH($K304,其他调用!$B$5:$B$404,0),MATCH(BC$5,其他调用!$H$4:$L$4,0))*INDEX(其他调用!$M$5:$M$404,MATCH($K304,其他调用!$B$5:$B$404,0))*0.6</f>
        <v>2.3162520084480001</v>
      </c>
      <c r="BD304" s="14">
        <f>INDEX(其他调用!$H$5:$L$404,MATCH($K304,其他调用!$B$5:$B$404,0),MATCH(BD$5,其他调用!$H$4:$L$4,0))*INDEX(其他调用!$M$5:$M$404,MATCH($K304,其他调用!$B$5:$B$404,0))*0.6</f>
        <v>0.4120776000000001</v>
      </c>
      <c r="BE304" s="14">
        <f>INDEX(其他调用!$H$5:$L$404,MATCH($K304,其他调用!$B$5:$B$404,0),MATCH(BE$5,其他调用!$H$4:$L$4,0))*INDEX(其他调用!$M$5:$M$404,MATCH($K304,其他调用!$B$5:$B$404,0))*0.6</f>
        <v>0.11923199999999998</v>
      </c>
      <c r="BF304" s="14">
        <f>IF(OR(BF$5="大R",BF$5="超R"),0,INDEX(其他调用!$H$5:$L$404,MATCH($K304,其他调用!$B$5:$B$404,0),MATCH(BF$5,其他调用!$H$4:$L$4,0))*50*0.4)</f>
        <v>9.5925100500000013</v>
      </c>
      <c r="BG304" s="14">
        <f>IF(OR(BG$5="大R",BG$5="超R"),0,INDEX(其他调用!$H$5:$L$404,MATCH($K304,其他调用!$B$5:$B$404,0),MATCH(BG$5,其他调用!$H$4:$L$4,0))*50*0.4)</f>
        <v>9.4583027471839998</v>
      </c>
      <c r="BH304" s="14">
        <f>IF(OR(BH$5="大R",BH$5="超R"),0,INDEX(其他调用!$H$5:$L$404,MATCH($K304,其他调用!$B$5:$B$404,0),MATCH(BH$5,其他调用!$H$4:$L$4,0))*50*0.4)</f>
        <v>0.77208400281600009</v>
      </c>
      <c r="BI304" s="14">
        <f>IF(OR(BI$5="大R",BI$5="超R"),0,INDEX(其他调用!$H$5:$L$404,MATCH($K304,其他调用!$B$5:$B$404,0),MATCH(BI$5,其他调用!$H$4:$L$4,0))*50*0.4)</f>
        <v>0</v>
      </c>
      <c r="BJ304" s="14">
        <f>IF(OR(BJ$5="大R",BJ$5="超R"),0,INDEX(其他调用!$H$5:$L$404,MATCH($K304,其他调用!$B$5:$B$404,0),MATCH(BJ$5,其他调用!$H$4:$L$4,0))*50*0.4)</f>
        <v>0</v>
      </c>
      <c r="BL304" s="14">
        <f t="shared" si="523"/>
        <v>299</v>
      </c>
      <c r="BM304" s="14">
        <f t="shared" si="430"/>
        <v>96</v>
      </c>
      <c r="BN304" s="14">
        <f>('疲劳值&amp;地图信息'!$S$10*'疲劳值&amp;地图信息'!$R$10+'疲劳值&amp;地图信息'!$S$11*'疲劳值&amp;地图信息'!$R$11+'疲劳值&amp;地图信息'!$S$12*'疲劳值&amp;地图信息'!$R$12+(BM304-'疲劳值&amp;地图信息'!$S$12-'疲劳值&amp;地图信息'!$S$11-'疲劳值&amp;地图信息'!$S$10)*'疲劳值&amp;地图信息'!$R$13)/BM304</f>
        <v>51.371477246638619</v>
      </c>
      <c r="BO304" s="14">
        <f>INDEX(其他调用!$M$5:$M$404,MATCH(BL304,其他调用!$B$5:$B$404,0))*0.6</f>
        <v>60</v>
      </c>
      <c r="BP304" s="14">
        <f>IF(BO304&gt;SUM('疲劳值&amp;地图信息'!$S$10:$S$12),('疲劳值&amp;地图信息'!$S$10*'疲劳值&amp;地图信息'!$R$10+'疲劳值&amp;地图信息'!$S$11*'疲劳值&amp;地图信息'!$R$11+'疲劳值&amp;地图信息'!$S$12*'疲劳值&amp;地图信息'!$R$12+(BO304-'疲劳值&amp;地图信息'!$S$12-'疲劳值&amp;地图信息'!$S$11-'疲劳值&amp;地图信息'!$S$10)*'疲劳值&amp;地图信息'!$R$13)/BO304,('疲劳值&amp;地图信息'!$S$10*'疲劳值&amp;地图信息'!$R$10+'疲劳值&amp;地图信息'!$S$11*'疲劳值&amp;地图信息'!$R$11+'疲劳值&amp;地图信息'!$S$12*'疲劳值&amp;地图信息'!$R$12+(BO304-'疲劳值&amp;地图信息'!$S$12-'疲劳值&amp;地图信息'!$S$11-'疲劳值&amp;地图信息'!$S$10)*'疲劳值&amp;地图信息'!$R$13)/BO304)</f>
        <v>44.158136341605953</v>
      </c>
      <c r="BQ304" s="14">
        <f t="shared" si="524"/>
        <v>20</v>
      </c>
      <c r="BR304" s="14">
        <f>('疲劳值&amp;地图信息'!$S$10*'疲劳值&amp;地图信息'!$R$10+($BQ304-'疲劳值&amp;地图信息'!$S$10)*'疲劳值&amp;地图信息'!$R$11)/$BQ304</f>
        <v>32.067203015074995</v>
      </c>
      <c r="CF304" s="14">
        <v>299</v>
      </c>
      <c r="CG304" s="51">
        <f t="shared" si="431"/>
        <v>15958</v>
      </c>
      <c r="CH304" s="51">
        <f t="shared" si="432"/>
        <v>1087</v>
      </c>
      <c r="CI304" s="51">
        <f>INT(SUMPRODUCT($N304:$R304,$BA304:$BE304)/SUM($BA304:$BE304)/10000*$BX$7*$BZ$34/'疲劳值&amp;地图信息'!$R$10*$BY$53)</f>
        <v>3357</v>
      </c>
      <c r="CJ304" s="50">
        <f t="shared" si="433"/>
        <v>0.78217821782178221</v>
      </c>
      <c r="CK304" s="50">
        <f t="shared" si="434"/>
        <v>5.3279090285266152E-2</v>
      </c>
      <c r="CL304" s="50">
        <f t="shared" si="435"/>
        <v>0.16454269189295168</v>
      </c>
      <c r="CM304" s="14">
        <f t="shared" si="436"/>
        <v>17489</v>
      </c>
      <c r="CN304" s="14">
        <f t="shared" si="437"/>
        <v>1855</v>
      </c>
      <c r="CO304" s="14">
        <f>INT(SUMPRODUCT($U304:$Y304,$BA304:$BE304)/SUM($BA304:$BE304)/10000*$BX$7*$BZ$34/'疲劳值&amp;地图信息'!$R$10*$BY$54)</f>
        <v>6403</v>
      </c>
      <c r="CP304" s="50">
        <f t="shared" si="438"/>
        <v>0.67926360352662452</v>
      </c>
      <c r="CQ304" s="50">
        <f t="shared" si="439"/>
        <v>7.2047228803355734E-2</v>
      </c>
      <c r="CR304" s="50">
        <f t="shared" si="440"/>
        <v>0.24868916767001981</v>
      </c>
      <c r="CS304" s="14">
        <f t="shared" si="441"/>
        <v>19081</v>
      </c>
      <c r="CT304" s="14">
        <f t="shared" si="442"/>
        <v>3219</v>
      </c>
      <c r="CU304" s="14">
        <f>INT(SUMPRODUCT($AB304:$AF304,$BA304:$BE304)/SUM($BA304:$BE304)/10000*$BX$7*$BZ$34/'疲劳值&amp;地图信息'!$R$10*$BY$55)</f>
        <v>8698</v>
      </c>
      <c r="CV304" s="50">
        <f t="shared" si="443"/>
        <v>0.61555584231240723</v>
      </c>
      <c r="CW304" s="50">
        <f t="shared" si="444"/>
        <v>0.10384540938125041</v>
      </c>
      <c r="CX304" s="50">
        <f t="shared" si="445"/>
        <v>0.28059874830634235</v>
      </c>
      <c r="CY304" s="14">
        <f t="shared" si="446"/>
        <v>23033</v>
      </c>
      <c r="CZ304" s="14">
        <f t="shared" si="447"/>
        <v>8968</v>
      </c>
      <c r="DA304" s="14">
        <f>INT(SUMPRODUCT($AI304:$AM304,$BA304:$BE304)/SUM($BA304:$BE304)/10000*$BX$7*$BZ$34/'疲劳值&amp;地图信息'!$R$10*$BY$56)</f>
        <v>13122</v>
      </c>
      <c r="DB304" s="50">
        <f t="shared" si="448"/>
        <v>0.51044921658577669</v>
      </c>
      <c r="DC304" s="50">
        <f t="shared" si="449"/>
        <v>0.19874565077676573</v>
      </c>
      <c r="DD304" s="50">
        <f t="shared" si="450"/>
        <v>0.29080513263745761</v>
      </c>
      <c r="DE304" s="14">
        <f t="shared" si="451"/>
        <v>24036</v>
      </c>
      <c r="DF304" s="14">
        <f t="shared" si="452"/>
        <v>16098</v>
      </c>
      <c r="DG304" s="14">
        <f>INT(SUMPRODUCT($AP304:$AT304,$BA304:$BE304)/SUM($BA304:$BE304)/10000*$BX$7*$BZ$34/'疲劳值&amp;地图信息'!$R$10*$BY$57)</f>
        <v>17515</v>
      </c>
      <c r="DH304" s="50">
        <f t="shared" si="453"/>
        <v>0.41693698069350726</v>
      </c>
      <c r="DI304" s="50">
        <f t="shared" si="454"/>
        <v>0.27924161737410885</v>
      </c>
      <c r="DJ304" s="50">
        <f t="shared" si="455"/>
        <v>0.30382140193238388</v>
      </c>
      <c r="DL304" s="14">
        <f t="shared" si="526"/>
        <v>20402</v>
      </c>
      <c r="DM304" s="14">
        <f t="shared" si="527"/>
        <v>25747</v>
      </c>
      <c r="DN304" s="14">
        <f t="shared" si="528"/>
        <v>30998</v>
      </c>
      <c r="DO304" s="14">
        <f t="shared" si="529"/>
        <v>45123</v>
      </c>
      <c r="DP304" s="14">
        <f t="shared" si="530"/>
        <v>57649</v>
      </c>
      <c r="DQ304" s="14">
        <f t="shared" si="531"/>
        <v>1414954</v>
      </c>
      <c r="DT304" s="14">
        <f t="shared" si="525"/>
        <v>235575</v>
      </c>
      <c r="DU304" s="50">
        <f t="shared" si="427"/>
        <v>0.14272696814172911</v>
      </c>
      <c r="DW304" s="14">
        <f t="shared" si="456"/>
        <v>1650529</v>
      </c>
      <c r="EB304" s="14">
        <v>299</v>
      </c>
      <c r="EC304" s="51">
        <f t="shared" si="457"/>
        <v>26596</v>
      </c>
      <c r="ED304" s="51">
        <f t="shared" si="458"/>
        <v>1812</v>
      </c>
      <c r="EE304" s="51">
        <f>INT(SUMPRODUCT($N304:$R304,$BF304:$BJ304)/SUM($BF304:$BJ304)/10000*$BX$7*$BZ$46/'疲劳值&amp;地图信息'!$R$10*$BY$53)</f>
        <v>451</v>
      </c>
      <c r="EF304" s="50">
        <f t="shared" si="459"/>
        <v>0.9215842544786722</v>
      </c>
      <c r="EG304" s="50">
        <f t="shared" si="460"/>
        <v>6.2788038393568738E-2</v>
      </c>
      <c r="EH304" s="50">
        <f t="shared" si="461"/>
        <v>1.5627707127759103E-2</v>
      </c>
      <c r="EI304" s="51">
        <f t="shared" si="462"/>
        <v>29149</v>
      </c>
      <c r="EJ304" s="51">
        <f t="shared" si="463"/>
        <v>3091</v>
      </c>
      <c r="EK304" s="14">
        <f>INT(SUMPRODUCT($U304:$Y304,$BF304:$BJ304)/SUM($BF304:$BJ304)/10000*$BX$7*$BZ$46/'疲劳值&amp;地图信息'!$R$10*$BY$54)</f>
        <v>859</v>
      </c>
      <c r="EL304" s="50">
        <f t="shared" si="464"/>
        <v>0.8806610471615457</v>
      </c>
      <c r="EM304" s="50">
        <f t="shared" si="465"/>
        <v>9.3386507145230974E-2</v>
      </c>
      <c r="EN304" s="50">
        <f t="shared" si="466"/>
        <v>2.5952445693223362E-2</v>
      </c>
      <c r="EO304" s="51">
        <f t="shared" si="467"/>
        <v>31801</v>
      </c>
      <c r="EP304" s="51">
        <f t="shared" si="468"/>
        <v>5366</v>
      </c>
      <c r="EQ304" s="14">
        <f>INT(SUMPRODUCT($AB304:$AF304,$BF304:$BJ304)/SUM($BF304:$BJ304)/10000*$BX$7*$BZ$46/'疲劳值&amp;地图信息'!$R$10*$BY$55)</f>
        <v>1166</v>
      </c>
      <c r="ER304" s="50">
        <f t="shared" si="469"/>
        <v>0.82959851824798481</v>
      </c>
      <c r="ES304" s="50">
        <f t="shared" si="470"/>
        <v>0.13998382594631259</v>
      </c>
      <c r="ET304" s="50">
        <f t="shared" si="471"/>
        <v>3.0417655805702659E-2</v>
      </c>
      <c r="EU304" s="51">
        <f t="shared" si="472"/>
        <v>38389</v>
      </c>
      <c r="EV304" s="51">
        <f t="shared" si="473"/>
        <v>14946</v>
      </c>
      <c r="EW304" s="14">
        <f>INT(SUMPRODUCT($AI304:$AM304,$BF304:$BJ304)/SUM($BF304:$BJ304)/10000*$BX$7*$BZ$46/'疲劳值&amp;地图信息'!$R$10*$BY$56)</f>
        <v>1749</v>
      </c>
      <c r="EX304" s="50">
        <f t="shared" si="474"/>
        <v>0.6969174351898918</v>
      </c>
      <c r="EY304" s="50">
        <f t="shared" si="475"/>
        <v>0.2713310580204778</v>
      </c>
      <c r="EZ304" s="50">
        <f t="shared" si="476"/>
        <v>3.1751506789630381E-2</v>
      </c>
      <c r="FA304" s="51">
        <f t="shared" si="477"/>
        <v>40060</v>
      </c>
      <c r="FB304" s="51">
        <f t="shared" si="478"/>
        <v>26830</v>
      </c>
      <c r="FC304" s="14">
        <f>INT(SUMPRODUCT($AP304:$AT304,$BF304:$BJ304)/SUM($BF304:$BJ304)/10000*$BX$7*$BZ$46/'疲劳值&amp;地图信息'!$R$10*$BY$57)</f>
        <v>2332</v>
      </c>
      <c r="FD304" s="50">
        <f t="shared" si="479"/>
        <v>0.57871774869261217</v>
      </c>
      <c r="FE304" s="50">
        <f t="shared" si="480"/>
        <v>0.38759353962613041</v>
      </c>
      <c r="FF304" s="50">
        <f t="shared" si="481"/>
        <v>3.3688711681257401E-2</v>
      </c>
      <c r="FH304" s="14">
        <f t="shared" si="482"/>
        <v>28859</v>
      </c>
      <c r="FI304" s="14">
        <f t="shared" si="483"/>
        <v>33099</v>
      </c>
      <c r="FJ304" s="14">
        <f t="shared" si="484"/>
        <v>38333</v>
      </c>
      <c r="FK304" s="14">
        <f t="shared" si="485"/>
        <v>55084</v>
      </c>
      <c r="FL304" s="14">
        <f t="shared" si="486"/>
        <v>69222</v>
      </c>
      <c r="FM304" s="14">
        <f t="shared" si="487"/>
        <v>3407995</v>
      </c>
      <c r="FP304" s="14">
        <f t="shared" si="488"/>
        <v>334150</v>
      </c>
      <c r="FQ304" s="50">
        <f t="shared" si="428"/>
        <v>8.9293707218720819E-2</v>
      </c>
      <c r="FS304" s="14">
        <f t="shared" si="489"/>
        <v>3742145</v>
      </c>
      <c r="FX304" s="14">
        <v>299</v>
      </c>
      <c r="FY304" s="51">
        <f t="shared" si="490"/>
        <v>37235</v>
      </c>
      <c r="FZ304" s="51">
        <f t="shared" si="491"/>
        <v>1812</v>
      </c>
      <c r="GA304" s="51">
        <f>INT(SUMPRODUCT($N304:$R304,$BF304:$BJ304)/SUM($BF304:$BJ304)/10000*$BX$7*$BZ$46/'疲劳值&amp;地图信息'!$R$10*$BY$53)</f>
        <v>451</v>
      </c>
      <c r="GB304" s="50">
        <f t="shared" si="492"/>
        <v>0.9427059597954327</v>
      </c>
      <c r="GC304" s="50">
        <f t="shared" si="493"/>
        <v>4.5875740543825004E-2</v>
      </c>
      <c r="GD304" s="50">
        <f t="shared" si="494"/>
        <v>1.1418299660742317E-2</v>
      </c>
      <c r="GE304" s="51">
        <f t="shared" si="495"/>
        <v>40809</v>
      </c>
      <c r="GF304" s="51">
        <f t="shared" si="496"/>
        <v>3091</v>
      </c>
      <c r="GG304" s="14">
        <f>INT(SUMPRODUCT($U304:$Y304,$BF304:$BJ304)/SUM($BF304:$BJ304)/10000*$BX$7*$BZ$46/'疲劳值&amp;地图信息'!$R$10*$BY$54)</f>
        <v>859</v>
      </c>
      <c r="GH304" s="50">
        <f t="shared" si="497"/>
        <v>0.91174959226077434</v>
      </c>
      <c r="GI304" s="50">
        <f t="shared" si="498"/>
        <v>6.9058736790366185E-2</v>
      </c>
      <c r="GJ304" s="50">
        <f t="shared" si="499"/>
        <v>1.9191670948859447E-2</v>
      </c>
      <c r="GK304" s="51">
        <f t="shared" si="500"/>
        <v>44522</v>
      </c>
      <c r="GL304" s="51">
        <f t="shared" si="501"/>
        <v>5366</v>
      </c>
      <c r="GM304" s="14">
        <f>INT(SUMPRODUCT($AB304:$AF304,$BF304:$BJ304)/SUM($BF304:$BJ304)/10000*$BX$7*$BZ$46/'疲劳值&amp;地图信息'!$R$10*$BY$55)</f>
        <v>1166</v>
      </c>
      <c r="GN304" s="50">
        <f t="shared" si="502"/>
        <v>0.87205703764641362</v>
      </c>
      <c r="GO304" s="50">
        <f t="shared" si="503"/>
        <v>0.1051043992635249</v>
      </c>
      <c r="GP304" s="50">
        <f t="shared" si="504"/>
        <v>2.2838563090061503E-2</v>
      </c>
      <c r="GQ304" s="51">
        <f t="shared" si="505"/>
        <v>53745</v>
      </c>
      <c r="GR304" s="51">
        <f t="shared" si="506"/>
        <v>14946</v>
      </c>
      <c r="GS304" s="14">
        <f>INT(SUMPRODUCT($AI304:$AM304,$BF304:$BJ304)/SUM($BF304:$BJ304)/10000*$BX$7*$BZ$46/'疲劳值&amp;地图信息'!$R$10*$BY$56)</f>
        <v>1749</v>
      </c>
      <c r="GT304" s="50">
        <f t="shared" si="507"/>
        <v>0.76298977853492334</v>
      </c>
      <c r="GU304" s="50">
        <f t="shared" si="508"/>
        <v>0.21218057921635433</v>
      </c>
      <c r="GV304" s="50">
        <f t="shared" si="509"/>
        <v>2.4829642248722316E-2</v>
      </c>
      <c r="GW304" s="51">
        <f t="shared" si="510"/>
        <v>56084</v>
      </c>
      <c r="GX304" s="51">
        <f t="shared" si="511"/>
        <v>26830</v>
      </c>
      <c r="GY304" s="14">
        <f>INT(SUMPRODUCT($AP304:$AT304,$BF304:$BJ304)/SUM($BF304:$BJ304)/10000*$BX$7*$BZ$46/'疲劳值&amp;地图信息'!$R$10*$BY$57)</f>
        <v>2332</v>
      </c>
      <c r="GZ304" s="50">
        <f t="shared" si="512"/>
        <v>0.6579077024141895</v>
      </c>
      <c r="HA304" s="50">
        <f t="shared" si="513"/>
        <v>0.31473617530441311</v>
      </c>
      <c r="HB304" s="50">
        <f t="shared" si="514"/>
        <v>2.7356122281397367E-2</v>
      </c>
      <c r="HD304" s="14">
        <f t="shared" si="515"/>
        <v>39498</v>
      </c>
      <c r="HE304" s="14">
        <f t="shared" si="516"/>
        <v>44759</v>
      </c>
      <c r="HF304" s="14">
        <f t="shared" si="517"/>
        <v>51054</v>
      </c>
      <c r="HG304" s="14">
        <f t="shared" si="518"/>
        <v>70440</v>
      </c>
      <c r="HH304" s="14">
        <f t="shared" si="519"/>
        <v>85246</v>
      </c>
      <c r="HI304" s="14">
        <f t="shared" si="520"/>
        <v>4603772</v>
      </c>
      <c r="HL304" s="14">
        <f t="shared" si="521"/>
        <v>430050</v>
      </c>
      <c r="HM304" s="50">
        <f t="shared" si="429"/>
        <v>8.5432103081912708E-2</v>
      </c>
      <c r="HO304" s="14">
        <f t="shared" si="522"/>
        <v>5033822</v>
      </c>
    </row>
    <row r="305" spans="11:223" x14ac:dyDescent="0.2">
      <c r="K305" s="14">
        <v>300</v>
      </c>
      <c r="L305" s="12">
        <f>求节点(节奏总纲!D$4:D$163,标准城池设计!AB$4:AB$163,$K305)*求节点(节奏总纲!D$4:D$163,攻城基础信息!$AC$5:$AC$164,$K305)</f>
        <v>784131.60259913083</v>
      </c>
      <c r="M305" s="12">
        <f>INDEX(其他调用!$AA$5:$AA$404,MATCH(K305,其他调用!$X$5:$X$404,0))*MIN(INDEX(其他调用!$AH$5:$AH$364,MATCH('征服点（新）'!K305,其他调用!$AG$5:$AG$364,0),1)/INDEX(其他调用!$AJ$5:$AJ$364,MATCH(K305,其他调用!$AG$5:$AG$364,0),0),5)*求节点(节奏总纲!D$4:D$163,攻城基础信息!$AC$5:$AC$164,$K305)</f>
        <v>53322.558518694699</v>
      </c>
      <c r="N305" s="12">
        <f>MIN(INDEX(其他调用!$AH$5:$AH$364,MATCH($K305,其他调用!$AG$5:$AG$364,0),1)/INDEX(其他调用!AH$5:AH$364,MATCH($K305,其他调用!$AG$5:$AG$364,0),0),1)*INDEX(其他调用!Y$5:Y$404,MATCH($K305,其他调用!$X$5:$X$404,0),0)</f>
        <v>42473.162037755494</v>
      </c>
      <c r="O305" s="12">
        <f>MIN(INDEX(其他调用!$AH$5:$AH$364,MATCH($K305,其他调用!$AG$5:$AG$364,0),1)/INDEX(其他调用!AI$5:AI$364,MATCH($K305,其他调用!$AG$5:$AG$364,0),0),1)*INDEX(其他调用!Z$5:Z$404,MATCH($K305,其他调用!$X$5:$X$404,0),0)</f>
        <v>25565.704260128456</v>
      </c>
      <c r="P305" s="12">
        <f>MIN(INDEX(其他调用!$AH$5:$AH$364,MATCH($K305,其他调用!$AG$5:$AG$364,0),1)/INDEX(其他调用!AJ$5:AJ$364,MATCH($K305,其他调用!$AG$5:$AG$364,0),0),1)*INDEX(其他调用!AA$5:AA$404,MATCH($K305,其他调用!$X$5:$X$404,0),0)</f>
        <v>15235.016719627067</v>
      </c>
      <c r="Q305" s="12">
        <f>MIN(INDEX(其他调用!$AH$5:$AH$364,MATCH($K305,其他调用!$AG$5:$AG$364,0),1)/INDEX(其他调用!AK$5:AK$364,MATCH($K305,其他调用!$AG$5:$AG$364,0),0),1)*INDEX(其他调用!AB$5:AB$404,MATCH($K305,其他调用!$X$5:$X$404,0),0)</f>
        <v>5751.1958516044542</v>
      </c>
      <c r="R305" s="12">
        <f>MIN(INDEX(其他调用!$AH$5:$AH$364,MATCH($K305,其他调用!$AG$5:$AG$364,0),1)/INDEX(其他调用!AL$5:AL$364,MATCH($K305,其他调用!$AG$5:$AG$364,0),0),1)*INDEX(其他调用!AC$5:AC$404,MATCH($K305,其他调用!$X$5:$X$404,0),0)</f>
        <v>3387.0352024807858</v>
      </c>
      <c r="S305" s="12">
        <f>求节点(节奏总纲!D$4:D$163,标准城池设计!AC$4:AC$163,$K305)*求节点(节奏总纲!D$4:D$163,攻城基础信息!$AD$5:$AD$164,$K305)</f>
        <v>859424.42210947443</v>
      </c>
      <c r="T305" s="12">
        <f>INDEX(其他调用!$AA$5:$AA$404,MATCH($K305,其他调用!$X$5:$X$404,0))*MIN(INDEX(其他调用!AI$5:AI$364,MATCH($K305,其他调用!$AG$5:$AG$364,0),1)/INDEX(其他调用!$AJ$5:$AJ$364,MATCH($K305,其他调用!$AG$5:$AG$364,0),0),5)*求节点(节奏总纲!D$4:D$163,攻城基础信息!$AD$5:$AD$164,$K305)</f>
        <v>91001.946190800489</v>
      </c>
      <c r="U305" s="12">
        <f>MIN(INDEX(其他调用!$AI$5:$AI$364,MATCH($K305,其他调用!$AG$5:$AG$364,0),1)/INDEX(其他调用!AH$5:AH$364,MATCH($K305,其他调用!$AG$5:$AG$364,0),0),1)*INDEX(其他调用!Y$5:Y$404,MATCH($K305,其他调用!$X$5:$X$404,0),0)</f>
        <v>42473.162037755494</v>
      </c>
      <c r="V305" s="12">
        <f>MIN(INDEX(其他调用!$AI$5:$AI$364,MATCH($K305,其他调用!$AG$5:$AG$364,0),1)/INDEX(其他调用!AI$5:AI$364,MATCH($K305,其他调用!$AG$5:$AG$364,0),0),1)*INDEX(其他调用!Z$5:Z$404,MATCH($K305,其他调用!$X$5:$X$404,0),0)</f>
        <v>43631.230534342343</v>
      </c>
      <c r="W305" s="12">
        <f>MIN(INDEX(其他调用!$AI$5:$AI$364,MATCH($K305,其他调用!$AG$5:$AG$364,0),1)/INDEX(其他调用!AJ$5:AJ$364,MATCH($K305,其他调用!$AG$5:$AG$364,0),0),1)*INDEX(其他调用!AA$5:AA$404,MATCH($K305,其他调用!$X$5:$X$404,0),0)</f>
        <v>26000.55605451444</v>
      </c>
      <c r="X305" s="12">
        <f>MIN(INDEX(其他调用!$AI$5:$AI$364,MATCH($K305,其他调用!$AG$5:$AG$364,0),1)/INDEX(其他调用!AK$5:AK$364,MATCH($K305,其他调用!$AG$5:$AG$364,0),0),1)*INDEX(其他调用!AB$5:AB$404,MATCH($K305,其他调用!$X$5:$X$404,0),0)</f>
        <v>9815.1707262315995</v>
      </c>
      <c r="Y305" s="12">
        <f>MIN(INDEX(其他调用!$AI$5:$AI$364,MATCH($K305,其他调用!$AG$5:$AG$364,0),1)/INDEX(其他调用!AL$5:AL$364,MATCH($K305,其他调用!$AG$5:$AG$364,0),0),1)*INDEX(其他调用!AC$5:AC$404,MATCH($K305,其他调用!$X$5:$X$404,0),0)</f>
        <v>5780.420216228752</v>
      </c>
      <c r="Z305" s="12">
        <f>求节点(节奏总纲!D$4:D$163,标准城池设计!AD$4:AD$163,$K305)*求节点(节奏总纲!D$4:D$163,攻城基础信息!$AE$5:$AE$164,$K305)</f>
        <v>937574.79645984049</v>
      </c>
      <c r="AA305" s="12">
        <f>INDEX(其他调用!$AA$5:$AA$404,MATCH($K305,其他调用!$X$5:$X$404,0))*MIN(INDEX(其他调用!AJ$5:AJ$364,MATCH($K305,其他调用!$AG$5:$AG$364,0),1)/INDEX(其他调用!$AJ$5:$AJ$364,MATCH($K305,其他调用!$AG$5:$AG$364,0),0),5)*求节点(节奏总纲!D$4:D$163,攻城基础信息!$AE$5:$AE$164,$K305)</f>
        <v>158036.60117228373</v>
      </c>
      <c r="AB305" s="12">
        <f>MIN(INDEX(其他调用!$AJ$5:$AJ$364,MATCH($K305,其他调用!$AG$5:$AG$364,0),1)/INDEX(其他调用!AH$5:AH$364,MATCH($K305,其他调用!$AG$5:$AG$364,0),0),1)*INDEX(其他调用!Y$5:Y$404,MATCH($K305,其他调用!$X$5:$X$404,0),0)</f>
        <v>42473.162037755494</v>
      </c>
      <c r="AC305" s="12">
        <f>MIN(INDEX(其他调用!$AJ$5:$AJ$364,MATCH($K305,其他调用!$AG$5:$AG$364,0),1)/INDEX(其他调用!AI$5:AI$364,MATCH($K305,其他调用!$AG$5:$AG$364,0),0),1)*INDEX(其他调用!Z$5:Z$404,MATCH($K305,其他调用!$X$5:$X$404,0),0)</f>
        <v>43631.230534342343</v>
      </c>
      <c r="AD305" s="12">
        <f>MIN(INDEX(其他调用!$AJ$5:$AJ$364,MATCH($K305,其他调用!$AG$5:$AG$364,0),1)/INDEX(其他调用!AJ$5:AJ$364,MATCH($K305,其他调用!$AG$5:$AG$364,0),0),1)*INDEX(其他调用!AA$5:AA$404,MATCH($K305,其他调用!$X$5:$X$404,0),0)</f>
        <v>45153.31462065252</v>
      </c>
      <c r="AE305" s="12">
        <f>MIN(INDEX(其他调用!$AJ$5:$AJ$364,MATCH($K305,其他调用!$AG$5:$AG$364,0),1)/INDEX(其他调用!AK$5:AK$364,MATCH($K305,其他调用!$AG$5:$AG$364,0),0),1)*INDEX(其他调用!AB$5:AB$404,MATCH($K305,其他调用!$X$5:$X$404,0),0)</f>
        <v>17045.308220629529</v>
      </c>
      <c r="AF305" s="12">
        <f>MIN(INDEX(其他调用!$AJ$5:$AJ$364,MATCH($K305,其他调用!$AG$5:$AG$364,0),1)/INDEX(其他调用!AL$5:AL$364,MATCH($K305,其他调用!$AG$5:$AG$364,0),0),1)*INDEX(其他调用!AC$5:AC$404,MATCH($K305,其他调用!$X$5:$X$404,0),0)</f>
        <v>10038.444259258029</v>
      </c>
      <c r="AG305" s="12">
        <f>求节点(节奏总纲!D$4:D$163,标准城池设计!AE$4:AE$163,$K305)*求节点(节奏总纲!D$4:D$163,攻城基础信息!$AF$5:$AF$164,$K305)</f>
        <v>1131510.8805105123</v>
      </c>
      <c r="AH305" s="12">
        <f>INDEX(其他调用!$AA$5:$AA$404,MATCH($K305,其他调用!$X$5:$X$404,0))*MIN(INDEX(其他调用!AK$5:AK$364,MATCH($K305,其他调用!$AG$5:$AG$364,0),1)/INDEX(其他调用!$AJ$5:$AJ$364,MATCH($K305,其他调用!$AG$5:$AG$364,0),0),5)*求节点(节奏总纲!D$4:D$163,攻城基础信息!$AF$5:$AF$164,$K305)</f>
        <v>439561.78327876219</v>
      </c>
      <c r="AI305" s="12">
        <f>MIN(INDEX(其他调用!$AK$5:$AK$364,MATCH($K305,其他调用!$AG$5:$AG$364,0),1)/INDEX(其他调用!AH$5:AH$364,MATCH($K305,其他调用!$AG$5:$AG$364,0),0),1)*INDEX(其他调用!Y$5:Y$404,MATCH($K305,其他调用!$X$5:$X$404,0),0)</f>
        <v>42473.162037755494</v>
      </c>
      <c r="AJ305" s="12">
        <f>MIN(INDEX(其他调用!$AK$5:$AK$364,MATCH($K305,其他调用!$AG$5:$AG$364,0),1)/INDEX(其他调用!AI$5:AI$364,MATCH($K305,其他调用!$AG$5:$AG$364,0),0),1)*INDEX(其他调用!Z$5:Z$404,MATCH($K305,其他调用!$X$5:$X$404,0),0)</f>
        <v>43631.230534342343</v>
      </c>
      <c r="AK305" s="12">
        <f>MIN(INDEX(其他调用!$AK$5:$AK$364,MATCH($K305,其他调用!$AG$5:$AG$364,0),1)/INDEX(其他调用!AJ$5:AJ$364,MATCH($K305,其他调用!$AG$5:$AG$364,0),0),1)*INDEX(其他调用!AA$5:AA$404,MATCH($K305,其他调用!$X$5:$X$404,0),0)</f>
        <v>45153.31462065252</v>
      </c>
      <c r="AL305" s="12">
        <f>MIN(INDEX(其他调用!$AK$5:$AK$364,MATCH($K305,其他调用!$AG$5:$AG$364,0),1)/INDEX(其他调用!AK$5:AK$364,MATCH($K305,其他调用!$AG$5:$AG$364,0),0),1)*INDEX(其他调用!AB$5:AB$404,MATCH($K305,其他调用!$X$5:$X$404,0),0)</f>
        <v>47409.688783601101</v>
      </c>
      <c r="AM305" s="12">
        <f>MIN(INDEX(其他调用!$AK$5:$AK$364,MATCH($K305,其他调用!$AG$5:$AG$364,0),1)/INDEX(其他调用!AL$5:AL$364,MATCH($K305,其他调用!$AG$5:$AG$364,0),0),1)*INDEX(其他调用!AC$5:AC$404,MATCH($K305,其他调用!$X$5:$X$404,0),0)</f>
        <v>27920.851418043367</v>
      </c>
      <c r="AN305" s="12">
        <f>求节点(节奏总纲!D$4:D$163,标准城池设计!AF$4:AF$163,$K305)*求节点(节奏总纲!D$4:D$163,攻城基础信息!$AG$5:$AG$164,$K305)</f>
        <v>1180336.2234801713</v>
      </c>
      <c r="AO305" s="12">
        <f>INDEX(其他调用!$AA$5:$AA$404,MATCH($K305,其他调用!$X$5:$X$404,0))*MIN(INDEX(其他调用!AL$5:AL$364,MATCH($K305,其他调用!$AG$5:$AG$364,0),1)/INDEX(其他调用!$AJ$5:$AJ$364,MATCH($K305,其他调用!$AG$5:$AG$364,0),0),5)*求节点(节奏总纲!D$4:D$163,攻城基础信息!$AG$5:$AG$164,$K305)</f>
        <v>790183.00586141867</v>
      </c>
      <c r="AP305" s="12">
        <f>MIN(INDEX(其他调用!$AL$5:$AL$364,MATCH($K305,其他调用!$AG$5:$AG$364,0),1)/INDEX(其他调用!AH$5:AH$364,MATCH($K305,其他调用!$AG$5:$AG$364,0),0),1)*INDEX(其他调用!Y$5:Y$404,MATCH($K305,其他调用!$X$5:$X$404,0),0)</f>
        <v>42473.162037755494</v>
      </c>
      <c r="AQ305" s="12">
        <f>MIN(INDEX(其他调用!$AL$5:$AL$364,MATCH($K305,其他调用!$AG$5:$AG$364,0),1)/INDEX(其他调用!AI$5:AI$364,MATCH($K305,其他调用!$AG$5:$AG$364,0),0),1)*INDEX(其他调用!Z$5:Z$404,MATCH($K305,其他调用!$X$5:$X$404,0),0)</f>
        <v>43631.230534342343</v>
      </c>
      <c r="AR305" s="12">
        <f>MIN(INDEX(其他调用!$AL$5:$AL$364,MATCH($K305,其他调用!$AG$5:$AG$364,0),1)/INDEX(其他调用!AJ$5:AJ$364,MATCH($K305,其他调用!$AG$5:$AG$364,0),0),1)*INDEX(其他调用!AA$5:AA$404,MATCH($K305,其他调用!$X$5:$X$404,0),0)</f>
        <v>45153.31462065252</v>
      </c>
      <c r="AS305" s="12">
        <f>MIN(INDEX(其他调用!$AL$5:$AL$364,MATCH($K305,其他调用!$AG$5:$AG$364,0),1)/INDEX(其他调用!AK$5:AK$364,MATCH($K305,其他调用!$AG$5:$AG$364,0),0),1)*INDEX(其他调用!AB$5:AB$404,MATCH($K305,其他调用!$X$5:$X$404,0),0)</f>
        <v>47409.688783601101</v>
      </c>
      <c r="AT305" s="12">
        <f>MIN(INDEX(其他调用!$AL$5:$AL$364,MATCH($K305,其他调用!$AG$5:$AG$364,0),1)/INDEX(其他调用!AL$5:AL$364,MATCH($K305,其他调用!$AG$5:$AG$364,0),0),1)*INDEX(其他调用!AC$5:AC$404,MATCH($K305,其他调用!$X$5:$X$404,0),0)</f>
        <v>51305.250874824756</v>
      </c>
      <c r="AV305" s="14">
        <f>IF(OR(AV$5="大R",AV$5="超R"),MAX(INDEX(其他调用!$H$5:$L$404,MATCH($K305,其他调用!$B$5:$B$404,0),MATCH(AV$5,其他调用!$H$4:$L$4,0))*120*0.85,2),INDEX(其他调用!$H$5:$L$404,MATCH($K305,其他调用!$B$5:$B$404,0),MATCH(AV$5,其他调用!$H$4:$L$4,0))*120*0.85)</f>
        <v>48.921801254999991</v>
      </c>
      <c r="AW305" s="14">
        <f>IF(OR(AW$5="大R",AW$5="超R"),MAX(INDEX(其他调用!$H$5:$L$404,MATCH($K305,其他调用!$B$5:$B$404,0),MATCH(AW$5,其他调用!$H$4:$L$4,0))*120*0.85,2),INDEX(其他调用!$H$5:$L$404,MATCH($K305,其他调用!$B$5:$B$404,0),MATCH(AW$5,其他调用!$H$4:$L$4,0))*120*0.85)</f>
        <v>48.237344010638395</v>
      </c>
      <c r="AX305" s="14">
        <f>IF(OR(AX$5="大R",AX$5="超R"),MAX(INDEX(其他调用!$H$5:$L$404,MATCH($K305,其他调用!$B$5:$B$404,0),MATCH(AX$5,其他调用!$H$4:$L$4,0))*120*0.85,2),INDEX(其他调用!$H$5:$L$404,MATCH($K305,其他调用!$B$5:$B$404,0),MATCH(AX$5,其他调用!$H$4:$L$4,0))*120*0.85)</f>
        <v>3.9376284143615998</v>
      </c>
      <c r="AY305" s="14">
        <f>IF(OR(AY$5="大R",AY$5="超R"),MAX(INDEX(其他调用!$H$5:$L$404,MATCH($K305,其他调用!$B$5:$B$404,0),MATCH(AY$5,其他调用!$H$4:$L$4,0))*120*0.85,2),INDEX(其他调用!$H$5:$L$404,MATCH($K305,其他调用!$B$5:$B$404,0),MATCH(AY$5,其他调用!$H$4:$L$4,0))*120*0.85)</f>
        <v>2</v>
      </c>
      <c r="AZ305" s="14">
        <f>IF(OR(AZ$5="大R",AZ$5="超R"),MAX(INDEX(其他调用!$H$5:$L$404,MATCH($K305,其他调用!$B$5:$B$404,0),MATCH(AZ$5,其他调用!$H$4:$L$4,0))*120*0.85,2),INDEX(其他调用!$H$5:$L$404,MATCH($K305,其他调用!$B$5:$B$404,0),MATCH(AZ$5,其他调用!$H$4:$L$4,0))*120*0.85)</f>
        <v>2</v>
      </c>
      <c r="BA305" s="14">
        <f>INDEX(其他调用!$H$5:$L$404,MATCH($K305,其他调用!$B$5:$B$404,0),MATCH(BA$5,其他调用!$H$4:$L$4,0))*INDEX(其他调用!$M$5:$M$404,MATCH($K305,其他调用!$B$5:$B$404,0))*0.6</f>
        <v>28.777530149999997</v>
      </c>
      <c r="BB305" s="14">
        <f>INDEX(其他调用!$H$5:$L$404,MATCH($K305,其他调用!$B$5:$B$404,0),MATCH(BB$5,其他调用!$H$4:$L$4,0))*INDEX(其他调用!$M$5:$M$404,MATCH($K305,其他调用!$B$5:$B$404,0))*0.6</f>
        <v>28.374908241551999</v>
      </c>
      <c r="BC305" s="14">
        <f>INDEX(其他调用!$H$5:$L$404,MATCH($K305,其他调用!$B$5:$B$404,0),MATCH(BC$5,其他调用!$H$4:$L$4,0))*INDEX(其他调用!$M$5:$M$404,MATCH($K305,其他调用!$B$5:$B$404,0))*0.6</f>
        <v>2.3162520084480001</v>
      </c>
      <c r="BD305" s="14">
        <f>INDEX(其他调用!$H$5:$L$404,MATCH($K305,其他调用!$B$5:$B$404,0),MATCH(BD$5,其他调用!$H$4:$L$4,0))*INDEX(其他调用!$M$5:$M$404,MATCH($K305,其他调用!$B$5:$B$404,0))*0.6</f>
        <v>0.4120776000000001</v>
      </c>
      <c r="BE305" s="14">
        <f>INDEX(其他调用!$H$5:$L$404,MATCH($K305,其他调用!$B$5:$B$404,0),MATCH(BE$5,其他调用!$H$4:$L$4,0))*INDEX(其他调用!$M$5:$M$404,MATCH($K305,其他调用!$B$5:$B$404,0))*0.6</f>
        <v>0.11923199999999998</v>
      </c>
      <c r="BF305" s="14">
        <f>IF(OR(BF$5="大R",BF$5="超R"),0,INDEX(其他调用!$H$5:$L$404,MATCH($K305,其他调用!$B$5:$B$404,0),MATCH(BF$5,其他调用!$H$4:$L$4,0))*50*0.4)</f>
        <v>9.5925100500000013</v>
      </c>
      <c r="BG305" s="14">
        <f>IF(OR(BG$5="大R",BG$5="超R"),0,INDEX(其他调用!$H$5:$L$404,MATCH($K305,其他调用!$B$5:$B$404,0),MATCH(BG$5,其他调用!$H$4:$L$4,0))*50*0.4)</f>
        <v>9.4583027471839998</v>
      </c>
      <c r="BH305" s="14">
        <f>IF(OR(BH$5="大R",BH$5="超R"),0,INDEX(其他调用!$H$5:$L$404,MATCH($K305,其他调用!$B$5:$B$404,0),MATCH(BH$5,其他调用!$H$4:$L$4,0))*50*0.4)</f>
        <v>0.77208400281600009</v>
      </c>
      <c r="BI305" s="14">
        <f>IF(OR(BI$5="大R",BI$5="超R"),0,INDEX(其他调用!$H$5:$L$404,MATCH($K305,其他调用!$B$5:$B$404,0),MATCH(BI$5,其他调用!$H$4:$L$4,0))*50*0.4)</f>
        <v>0</v>
      </c>
      <c r="BJ305" s="14">
        <f>IF(OR(BJ$5="大R",BJ$5="超R"),0,INDEX(其他调用!$H$5:$L$404,MATCH($K305,其他调用!$B$5:$B$404,0),MATCH(BJ$5,其他调用!$H$4:$L$4,0))*50*0.4)</f>
        <v>0</v>
      </c>
      <c r="BL305" s="14">
        <f t="shared" si="523"/>
        <v>300</v>
      </c>
      <c r="BM305" s="14">
        <f t="shared" si="430"/>
        <v>96</v>
      </c>
      <c r="BN305" s="14">
        <f>('疲劳值&amp;地图信息'!$S$10*'疲劳值&amp;地图信息'!$R$10+'疲劳值&amp;地图信息'!$S$11*'疲劳值&amp;地图信息'!$R$11+'疲劳值&amp;地图信息'!$S$12*'疲劳值&amp;地图信息'!$R$12+(BM305-'疲劳值&amp;地图信息'!$S$12-'疲劳值&amp;地图信息'!$S$11-'疲劳值&amp;地图信息'!$S$10)*'疲劳值&amp;地图信息'!$R$13)/BM305</f>
        <v>51.371477246638619</v>
      </c>
      <c r="BO305" s="14">
        <f>INDEX(其他调用!$M$5:$M$404,MATCH(BL305,其他调用!$B$5:$B$404,0))*0.6</f>
        <v>60</v>
      </c>
      <c r="BP305" s="14">
        <f>IF(BO305&gt;SUM('疲劳值&amp;地图信息'!$S$10:$S$12),('疲劳值&amp;地图信息'!$S$10*'疲劳值&amp;地图信息'!$R$10+'疲劳值&amp;地图信息'!$S$11*'疲劳值&amp;地图信息'!$R$11+'疲劳值&amp;地图信息'!$S$12*'疲劳值&amp;地图信息'!$R$12+(BO305-'疲劳值&amp;地图信息'!$S$12-'疲劳值&amp;地图信息'!$S$11-'疲劳值&amp;地图信息'!$S$10)*'疲劳值&amp;地图信息'!$R$13)/BO305,('疲劳值&amp;地图信息'!$S$10*'疲劳值&amp;地图信息'!$R$10+'疲劳值&amp;地图信息'!$S$11*'疲劳值&amp;地图信息'!$R$11+'疲劳值&amp;地图信息'!$S$12*'疲劳值&amp;地图信息'!$R$12+(BO305-'疲劳值&amp;地图信息'!$S$12-'疲劳值&amp;地图信息'!$S$11-'疲劳值&amp;地图信息'!$S$10)*'疲劳值&amp;地图信息'!$R$13)/BO305)</f>
        <v>44.158136341605953</v>
      </c>
      <c r="BQ305" s="14">
        <f t="shared" si="524"/>
        <v>20</v>
      </c>
      <c r="BR305" s="14">
        <f>('疲劳值&amp;地图信息'!$S$10*'疲劳值&amp;地图信息'!$R$10+($BQ305-'疲劳值&amp;地图信息'!$S$10)*'疲劳值&amp;地图信息'!$R$11)/$BQ305</f>
        <v>32.067203015074995</v>
      </c>
      <c r="CF305" s="14">
        <v>300</v>
      </c>
      <c r="CG305" s="51">
        <f t="shared" si="431"/>
        <v>15981</v>
      </c>
      <c r="CH305" s="51">
        <f t="shared" si="432"/>
        <v>1086</v>
      </c>
      <c r="CI305" s="51">
        <f>INT(SUMPRODUCT($N305:$R305,$BA305:$BE305)/SUM($BA305:$BE305)/10000*$BX$7*$BZ$34/'疲劳值&amp;地图信息'!$R$10*$BY$53)</f>
        <v>3358</v>
      </c>
      <c r="CJ305" s="50">
        <f t="shared" si="433"/>
        <v>0.78242350061199506</v>
      </c>
      <c r="CK305" s="50">
        <f t="shared" si="434"/>
        <v>5.3170134638922888E-2</v>
      </c>
      <c r="CL305" s="50">
        <f t="shared" si="435"/>
        <v>0.16440636474908202</v>
      </c>
      <c r="CM305" s="14">
        <f t="shared" si="436"/>
        <v>17516</v>
      </c>
      <c r="CN305" s="14">
        <f t="shared" si="437"/>
        <v>1854</v>
      </c>
      <c r="CO305" s="14">
        <f>INT(SUMPRODUCT($U305:$Y305,$BA305:$BE305)/SUM($BA305:$BE305)/10000*$BX$7*$BZ$34/'疲劳值&amp;地图信息'!$R$10*$BY$54)</f>
        <v>6405</v>
      </c>
      <c r="CP305" s="50">
        <f t="shared" si="438"/>
        <v>0.67957322987390878</v>
      </c>
      <c r="CQ305" s="50">
        <f t="shared" si="439"/>
        <v>7.1930164888457812E-2</v>
      </c>
      <c r="CR305" s="50">
        <f t="shared" si="440"/>
        <v>0.24849660523763337</v>
      </c>
      <c r="CS305" s="14">
        <f t="shared" si="441"/>
        <v>19108</v>
      </c>
      <c r="CT305" s="14">
        <f t="shared" si="442"/>
        <v>3220</v>
      </c>
      <c r="CU305" s="14">
        <f>INT(SUMPRODUCT($AB305:$AF305,$BA305:$BE305)/SUM($BA305:$BE305)/10000*$BX$7*$BZ$34/'疲劳值&amp;地图信息'!$R$10*$BY$55)</f>
        <v>8702</v>
      </c>
      <c r="CV305" s="50">
        <f t="shared" si="443"/>
        <v>0.61579116983564297</v>
      </c>
      <c r="CW305" s="50">
        <f t="shared" si="444"/>
        <v>0.10377054463422494</v>
      </c>
      <c r="CX305" s="50">
        <f t="shared" si="445"/>
        <v>0.28043828553013211</v>
      </c>
      <c r="CY305" s="14">
        <f t="shared" si="446"/>
        <v>23061</v>
      </c>
      <c r="CZ305" s="14">
        <f t="shared" si="447"/>
        <v>8958</v>
      </c>
      <c r="DA305" s="14">
        <f>INT(SUMPRODUCT($AI305:$AM305,$BA305:$BE305)/SUM($BA305:$BE305)/10000*$BX$7*$BZ$34/'疲劳值&amp;地图信息'!$R$10*$BY$56)</f>
        <v>13128</v>
      </c>
      <c r="DB305" s="50">
        <f t="shared" si="448"/>
        <v>0.51079805967173897</v>
      </c>
      <c r="DC305" s="50">
        <f t="shared" si="449"/>
        <v>0.19841849956807761</v>
      </c>
      <c r="DD305" s="50">
        <f t="shared" si="450"/>
        <v>0.29078344076018342</v>
      </c>
      <c r="DE305" s="14">
        <f t="shared" si="451"/>
        <v>24056</v>
      </c>
      <c r="DF305" s="14">
        <f t="shared" si="452"/>
        <v>16104</v>
      </c>
      <c r="DG305" s="14">
        <f>INT(SUMPRODUCT($AP305:$AT305,$BA305:$BE305)/SUM($BA305:$BE305)/10000*$BX$7*$BZ$34/'疲劳值&amp;地图信息'!$R$10*$BY$57)</f>
        <v>17523</v>
      </c>
      <c r="DH305" s="50">
        <f t="shared" si="453"/>
        <v>0.4170379487890713</v>
      </c>
      <c r="DI305" s="50">
        <f t="shared" si="454"/>
        <v>0.27918104120798154</v>
      </c>
      <c r="DJ305" s="50">
        <f t="shared" si="455"/>
        <v>0.30378101000294716</v>
      </c>
      <c r="DL305" s="14">
        <f t="shared" si="526"/>
        <v>20425</v>
      </c>
      <c r="DM305" s="14">
        <f t="shared" si="527"/>
        <v>25775</v>
      </c>
      <c r="DN305" s="14">
        <f t="shared" si="528"/>
        <v>31030</v>
      </c>
      <c r="DO305" s="14">
        <f t="shared" si="529"/>
        <v>45147</v>
      </c>
      <c r="DP305" s="14">
        <f t="shared" si="530"/>
        <v>57683</v>
      </c>
      <c r="DQ305" s="14">
        <f t="shared" si="531"/>
        <v>1416499</v>
      </c>
      <c r="DT305" s="14">
        <f t="shared" si="525"/>
        <v>235575</v>
      </c>
      <c r="DU305" s="50">
        <f t="shared" si="427"/>
        <v>0.14259349157483261</v>
      </c>
      <c r="DW305" s="14">
        <f t="shared" si="456"/>
        <v>1652074</v>
      </c>
      <c r="EB305" s="14">
        <v>300</v>
      </c>
      <c r="EC305" s="51">
        <f t="shared" si="457"/>
        <v>26636</v>
      </c>
      <c r="ED305" s="51">
        <f t="shared" si="458"/>
        <v>1811</v>
      </c>
      <c r="EE305" s="51">
        <f>INT(SUMPRODUCT($N305:$R305,$BF305:$BJ305)/SUM($BF305:$BJ305)/10000*$BX$7*$BZ$46/'疲劳值&amp;地图信息'!$R$10*$BY$53)</f>
        <v>451</v>
      </c>
      <c r="EF305" s="50">
        <f t="shared" si="459"/>
        <v>0.92172468682953834</v>
      </c>
      <c r="EG305" s="50">
        <f t="shared" si="460"/>
        <v>6.2668696795625992E-2</v>
      </c>
      <c r="EH305" s="50">
        <f t="shared" si="461"/>
        <v>1.5606616374835628E-2</v>
      </c>
      <c r="EI305" s="51">
        <f t="shared" si="462"/>
        <v>29193</v>
      </c>
      <c r="EJ305" s="51">
        <f t="shared" si="463"/>
        <v>3091</v>
      </c>
      <c r="EK305" s="14">
        <f>INT(SUMPRODUCT($U305:$Y305,$BF305:$BJ305)/SUM($BF305:$BJ305)/10000*$BX$7*$BZ$46/'疲劳值&amp;地图信息'!$R$10*$BY$54)</f>
        <v>860</v>
      </c>
      <c r="EL305" s="50">
        <f t="shared" si="464"/>
        <v>0.88079290369297614</v>
      </c>
      <c r="EM305" s="50">
        <f t="shared" si="465"/>
        <v>9.3259715182235095E-2</v>
      </c>
      <c r="EN305" s="50">
        <f t="shared" si="466"/>
        <v>2.5947381124788799E-2</v>
      </c>
      <c r="EO305" s="51">
        <f t="shared" si="467"/>
        <v>31848</v>
      </c>
      <c r="EP305" s="51">
        <f t="shared" si="468"/>
        <v>5368</v>
      </c>
      <c r="EQ305" s="14">
        <f>INT(SUMPRODUCT($AB305:$AF305,$BF305:$BJ305)/SUM($BF305:$BJ305)/10000*$BX$7*$BZ$46/'疲劳值&amp;地图信息'!$R$10*$BY$55)</f>
        <v>1167</v>
      </c>
      <c r="ER305" s="50">
        <f t="shared" si="469"/>
        <v>0.82974233384571294</v>
      </c>
      <c r="ES305" s="50">
        <f t="shared" si="470"/>
        <v>0.13985358101242737</v>
      </c>
      <c r="ET305" s="50">
        <f t="shared" si="471"/>
        <v>3.0404085141859678E-2</v>
      </c>
      <c r="EU305" s="51">
        <f t="shared" si="472"/>
        <v>38436</v>
      </c>
      <c r="EV305" s="51">
        <f t="shared" si="473"/>
        <v>14931</v>
      </c>
      <c r="EW305" s="14">
        <f>INT(SUMPRODUCT($AI305:$AM305,$BF305:$BJ305)/SUM($BF305:$BJ305)/10000*$BX$7*$BZ$46/'疲劳值&amp;地图信息'!$R$10*$BY$56)</f>
        <v>1750</v>
      </c>
      <c r="EX305" s="50">
        <f t="shared" si="474"/>
        <v>0.69735290382277704</v>
      </c>
      <c r="EY305" s="50">
        <f t="shared" si="475"/>
        <v>0.27089645662862638</v>
      </c>
      <c r="EZ305" s="50">
        <f t="shared" si="476"/>
        <v>3.1750639548596624E-2</v>
      </c>
      <c r="FA305" s="51">
        <f t="shared" si="477"/>
        <v>40094</v>
      </c>
      <c r="FB305" s="51">
        <f t="shared" si="478"/>
        <v>26841</v>
      </c>
      <c r="FC305" s="14">
        <f>INT(SUMPRODUCT($AP305:$AT305,$BF305:$BJ305)/SUM($BF305:$BJ305)/10000*$BX$7*$BZ$46/'疲劳值&amp;地图信息'!$R$10*$BY$57)</f>
        <v>2334</v>
      </c>
      <c r="FD305" s="50">
        <f t="shared" si="479"/>
        <v>0.57881592054165643</v>
      </c>
      <c r="FE305" s="50">
        <f t="shared" si="480"/>
        <v>0.38748935310167609</v>
      </c>
      <c r="FF305" s="50">
        <f t="shared" si="481"/>
        <v>3.3694726356667482E-2</v>
      </c>
      <c r="FH305" s="14">
        <f t="shared" si="482"/>
        <v>28898</v>
      </c>
      <c r="FI305" s="14">
        <f t="shared" si="483"/>
        <v>33144</v>
      </c>
      <c r="FJ305" s="14">
        <f t="shared" si="484"/>
        <v>38383</v>
      </c>
      <c r="FK305" s="14">
        <f t="shared" si="485"/>
        <v>55117</v>
      </c>
      <c r="FL305" s="14">
        <f t="shared" si="486"/>
        <v>69269</v>
      </c>
      <c r="FM305" s="14">
        <f t="shared" si="487"/>
        <v>3412430</v>
      </c>
      <c r="FP305" s="14">
        <f t="shared" si="488"/>
        <v>334150</v>
      </c>
      <c r="FQ305" s="50">
        <f t="shared" si="428"/>
        <v>8.9188006128255642E-2</v>
      </c>
      <c r="FS305" s="14">
        <f t="shared" si="489"/>
        <v>3746580</v>
      </c>
      <c r="FX305" s="14">
        <v>300</v>
      </c>
      <c r="FY305" s="51">
        <f t="shared" si="490"/>
        <v>37290</v>
      </c>
      <c r="FZ305" s="51">
        <f t="shared" si="491"/>
        <v>1811</v>
      </c>
      <c r="GA305" s="51">
        <f>INT(SUMPRODUCT($N305:$R305,$BF305:$BJ305)/SUM($BF305:$BJ305)/10000*$BX$7*$BZ$46/'疲劳值&amp;地图信息'!$R$10*$BY$53)</f>
        <v>451</v>
      </c>
      <c r="GB305" s="50">
        <f t="shared" si="492"/>
        <v>0.94280946601941751</v>
      </c>
      <c r="GC305" s="50">
        <f t="shared" si="493"/>
        <v>4.5787823624595471E-2</v>
      </c>
      <c r="GD305" s="50">
        <f t="shared" si="494"/>
        <v>1.1402710355987056E-2</v>
      </c>
      <c r="GE305" s="51">
        <f t="shared" si="495"/>
        <v>40871</v>
      </c>
      <c r="GF305" s="51">
        <f t="shared" si="496"/>
        <v>3091</v>
      </c>
      <c r="GG305" s="14">
        <f>INT(SUMPRODUCT($U305:$Y305,$BF305:$BJ305)/SUM($BF305:$BJ305)/10000*$BX$7*$BZ$46/'疲劳值&amp;地图信息'!$R$10*$BY$54)</f>
        <v>860</v>
      </c>
      <c r="GH305" s="50">
        <f t="shared" si="497"/>
        <v>0.91185132301102134</v>
      </c>
      <c r="GI305" s="50">
        <f t="shared" si="498"/>
        <v>6.8961670608183478E-2</v>
      </c>
      <c r="GJ305" s="50">
        <f t="shared" si="499"/>
        <v>1.9187006380795145E-2</v>
      </c>
      <c r="GK305" s="51">
        <f t="shared" si="500"/>
        <v>44587</v>
      </c>
      <c r="GL305" s="51">
        <f t="shared" si="501"/>
        <v>5368</v>
      </c>
      <c r="GM305" s="14">
        <f>INT(SUMPRODUCT($AB305:$AF305,$BF305:$BJ305)/SUM($BF305:$BJ305)/10000*$BX$7*$BZ$46/'疲劳值&amp;地图信息'!$R$10*$BY$55)</f>
        <v>1167</v>
      </c>
      <c r="GN305" s="50">
        <f t="shared" si="502"/>
        <v>0.87216853800712024</v>
      </c>
      <c r="GO305" s="50">
        <f t="shared" si="503"/>
        <v>0.10500371659950707</v>
      </c>
      <c r="GP305" s="50">
        <f t="shared" si="504"/>
        <v>2.2827745393372716E-2</v>
      </c>
      <c r="GQ305" s="51">
        <f t="shared" si="505"/>
        <v>53810</v>
      </c>
      <c r="GR305" s="51">
        <f t="shared" si="506"/>
        <v>14931</v>
      </c>
      <c r="GS305" s="14">
        <f>INT(SUMPRODUCT($AI305:$AM305,$BF305:$BJ305)/SUM($BF305:$BJ305)/10000*$BX$7*$BZ$46/'疲劳值&amp;地图信息'!$R$10*$BY$56)</f>
        <v>1750</v>
      </c>
      <c r="GT305" s="50">
        <f t="shared" si="507"/>
        <v>0.76335986154260826</v>
      </c>
      <c r="GU305" s="50">
        <f t="shared" si="508"/>
        <v>0.21181427416265905</v>
      </c>
      <c r="GV305" s="50">
        <f t="shared" si="509"/>
        <v>2.4825864294732661E-2</v>
      </c>
      <c r="GW305" s="51">
        <f t="shared" si="510"/>
        <v>56132</v>
      </c>
      <c r="GX305" s="51">
        <f t="shared" si="511"/>
        <v>26841</v>
      </c>
      <c r="GY305" s="14">
        <f>INT(SUMPRODUCT($AP305:$AT305,$BF305:$BJ305)/SUM($BF305:$BJ305)/10000*$BX$7*$BZ$46/'疲劳值&amp;地图信息'!$R$10*$BY$57)</f>
        <v>2334</v>
      </c>
      <c r="GZ305" s="50">
        <f t="shared" si="512"/>
        <v>0.65799992966579535</v>
      </c>
      <c r="HA305" s="50">
        <f t="shared" si="513"/>
        <v>0.3146400647074683</v>
      </c>
      <c r="HB305" s="50">
        <f t="shared" si="514"/>
        <v>2.7360005626736374E-2</v>
      </c>
      <c r="HD305" s="14">
        <f t="shared" si="515"/>
        <v>39552</v>
      </c>
      <c r="HE305" s="14">
        <f t="shared" si="516"/>
        <v>44822</v>
      </c>
      <c r="HF305" s="14">
        <f t="shared" si="517"/>
        <v>51122</v>
      </c>
      <c r="HG305" s="14">
        <f t="shared" si="518"/>
        <v>70491</v>
      </c>
      <c r="HH305" s="14">
        <f t="shared" si="519"/>
        <v>85307</v>
      </c>
      <c r="HI305" s="14">
        <f t="shared" si="520"/>
        <v>4609944</v>
      </c>
      <c r="HL305" s="14">
        <f t="shared" si="521"/>
        <v>430050</v>
      </c>
      <c r="HM305" s="50">
        <f t="shared" si="429"/>
        <v>8.5327482532717297E-2</v>
      </c>
      <c r="HO305" s="14">
        <f t="shared" si="522"/>
        <v>5039994</v>
      </c>
    </row>
    <row r="306" spans="11:223" x14ac:dyDescent="0.2">
      <c r="K306" s="14">
        <v>301</v>
      </c>
      <c r="L306" s="12">
        <f>求节点(节奏总纲!D$4:D$163,标准城池设计!AB$4:AB$163,$K306)*求节点(节奏总纲!D$4:D$163,攻城基础信息!$AC$5:$AC$164,$K306)</f>
        <v>785281.69051522063</v>
      </c>
      <c r="M306" s="12">
        <f>INDEX(其他调用!$AA$5:$AA$404,MATCH(K306,其他调用!$X$5:$X$404,0))*MIN(INDEX(其他调用!$AH$5:$AH$364,MATCH('征服点（新）'!K306,其他调用!$AG$5:$AG$364,0),1)/INDEX(其他调用!$AJ$5:$AJ$364,MATCH(K306,其他调用!$AG$5:$AG$364,0),0),5)*求节点(节奏总纲!D$4:D$163,攻城基础信息!$AC$5:$AC$164,$K306)</f>
        <v>53287.976502173995</v>
      </c>
      <c r="N306" s="12">
        <f>MIN(INDEX(其他调用!$AH$5:$AH$364,MATCH($K306,其他调用!$AG$5:$AG$364,0),1)/INDEX(其他调用!AH$5:AH$364,MATCH($K306,其他调用!$AG$5:$AG$364,0),0),1)*INDEX(其他调用!Y$5:Y$404,MATCH($K306,其他调用!$X$5:$X$404,0),0)</f>
        <v>42492.237703290979</v>
      </c>
      <c r="O306" s="12">
        <f>MIN(INDEX(其他调用!$AH$5:$AH$364,MATCH($K306,其他调用!$AG$5:$AG$364,0),1)/INDEX(其他调用!AI$5:AI$364,MATCH($K306,其他调用!$AG$5:$AG$364,0),0),1)*INDEX(其他调用!Z$5:Z$404,MATCH($K306,其他调用!$X$5:$X$404,0),0)</f>
        <v>25566.334808007978</v>
      </c>
      <c r="P306" s="12">
        <f>MIN(INDEX(其他调用!$AH$5:$AH$364,MATCH($K306,其他调用!$AG$5:$AG$364,0),1)/INDEX(其他调用!AJ$5:AJ$364,MATCH($K306,其他调用!$AG$5:$AG$364,0),0),1)*INDEX(其他调用!AA$5:AA$404,MATCH($K306,其他调用!$X$5:$X$404,0),0)</f>
        <v>15225.136143478294</v>
      </c>
      <c r="Q306" s="12">
        <f>MIN(INDEX(其他调用!$AH$5:$AH$364,MATCH($K306,其他调用!$AG$5:$AG$364,0),1)/INDEX(其他调用!AK$5:AK$364,MATCH($K306,其他调用!$AG$5:$AG$364,0),0),1)*INDEX(其他调用!AB$5:AB$404,MATCH($K306,其他调用!$X$5:$X$404,0),0)</f>
        <v>5755.8010973395812</v>
      </c>
      <c r="R306" s="12">
        <f>MIN(INDEX(其他调用!$AH$5:$AH$364,MATCH($K306,其他调用!$AG$5:$AG$364,0),1)/INDEX(其他调用!AL$5:AL$364,MATCH($K306,其他调用!$AG$5:$AG$364,0),0),1)*INDEX(其他调用!AC$5:AC$404,MATCH($K306,其他调用!$X$5:$X$404,0),0)</f>
        <v>3395.5003341955817</v>
      </c>
      <c r="S306" s="12">
        <f>求节点(节奏总纲!D$4:D$163,标准城池设计!AC$4:AC$163,$K306)*求节点(节奏总纲!D$4:D$163,攻城基础信息!$AD$5:$AD$164,$K306)</f>
        <v>860723.91045148624</v>
      </c>
      <c r="T306" s="12">
        <f>INDEX(其他调用!$AA$5:$AA$404,MATCH($K306,其他调用!$X$5:$X$404,0))*MIN(INDEX(其他调用!AI$5:AI$364,MATCH($K306,其他调用!$AG$5:$AG$364,0),1)/INDEX(其他调用!$AJ$5:$AJ$364,MATCH($K306,其他调用!$AG$5:$AG$364,0),0),5)*求节点(节奏总纲!D$4:D$163,攻城基础信息!$AD$5:$AD$164,$K306)</f>
        <v>90981.109607466395</v>
      </c>
      <c r="U306" s="12">
        <f>MIN(INDEX(其他调用!$AI$5:$AI$364,MATCH($K306,其他调用!$AG$5:$AG$364,0),1)/INDEX(其他调用!AH$5:AH$364,MATCH($K306,其他调用!$AG$5:$AG$364,0),0),1)*INDEX(其他调用!Y$5:Y$404,MATCH($K306,其他调用!$X$5:$X$404,0),0)</f>
        <v>42492.237703290979</v>
      </c>
      <c r="V306" s="12">
        <f>MIN(INDEX(其他调用!$AI$5:$AI$364,MATCH($K306,其他调用!$AG$5:$AG$364,0),1)/INDEX(其他调用!AI$5:AI$364,MATCH($K306,其他调用!$AG$5:$AG$364,0),0),1)*INDEX(其他调用!Z$5:Z$404,MATCH($K306,其他调用!$X$5:$X$404,0),0)</f>
        <v>43650.625565293529</v>
      </c>
      <c r="W306" s="12">
        <f>MIN(INDEX(其他调用!$AI$5:$AI$364,MATCH($K306,其他调用!$AG$5:$AG$364,0),1)/INDEX(其他调用!AJ$5:AJ$364,MATCH($K306,其他调用!$AG$5:$AG$364,0),0),1)*INDEX(其他调用!AA$5:AA$404,MATCH($K306,其他调用!$X$5:$X$404,0),0)</f>
        <v>25994.602744990414</v>
      </c>
      <c r="X306" s="12">
        <f>MIN(INDEX(其他调用!$AI$5:$AI$364,MATCH($K306,其他调用!$AG$5:$AG$364,0),1)/INDEX(其他调用!AK$5:AK$364,MATCH($K306,其他调用!$AG$5:$AG$364,0),0),1)*INDEX(其他调用!AB$5:AB$404,MATCH($K306,其他调用!$X$5:$X$404,0),0)</f>
        <v>9827.1543580654361</v>
      </c>
      <c r="Y306" s="12">
        <f>MIN(INDEX(其他调用!$AI$5:$AI$364,MATCH($K306,其他调用!$AG$5:$AG$364,0),1)/INDEX(其他调用!AL$5:AL$364,MATCH($K306,其他调用!$AG$5:$AG$364,0),0),1)*INDEX(其他调用!AC$5:AC$404,MATCH($K306,其他调用!$X$5:$X$404,0),0)</f>
        <v>5797.3000356850425</v>
      </c>
      <c r="Z306" s="12">
        <f>求节点(节奏总纲!D$4:D$163,标准城池设计!AD$4:AD$163,$K306)*求节点(节奏总纲!D$4:D$163,攻城基础信息!$AE$5:$AE$164,$K306)</f>
        <v>938940.70042724221</v>
      </c>
      <c r="AA306" s="12">
        <f>INDEX(其他调用!$AA$5:$AA$404,MATCH($K306,其他调用!$X$5:$X$404,0))*MIN(INDEX(其他调用!AJ$5:AJ$364,MATCH($K306,其他调用!$AG$5:$AG$364,0),1)/INDEX(其他调用!$AJ$5:$AJ$364,MATCH($K306,其他调用!$AG$5:$AG$364,0),0),5)*求节点(节奏总纲!D$4:D$163,攻城基础信息!$AE$5:$AE$164,$K306)</f>
        <v>158104.53169609365</v>
      </c>
      <c r="AB306" s="12">
        <f>MIN(INDEX(其他调用!$AJ$5:$AJ$364,MATCH($K306,其他调用!$AG$5:$AG$364,0),1)/INDEX(其他调用!AH$5:AH$364,MATCH($K306,其他调用!$AG$5:$AG$364,0),0),1)*INDEX(其他调用!Y$5:Y$404,MATCH($K306,其他调用!$X$5:$X$404,0),0)</f>
        <v>42492.237703290979</v>
      </c>
      <c r="AC306" s="12">
        <f>MIN(INDEX(其他调用!$AJ$5:$AJ$364,MATCH($K306,其他调用!$AG$5:$AG$364,0),1)/INDEX(其他调用!AI$5:AI$364,MATCH($K306,其他调用!$AG$5:$AG$364,0),0),1)*INDEX(其他调用!Z$5:Z$404,MATCH($K306,其他调用!$X$5:$X$404,0),0)</f>
        <v>43650.625565293529</v>
      </c>
      <c r="AD306" s="12">
        <f>MIN(INDEX(其他调用!$AJ$5:$AJ$364,MATCH($K306,其他调用!$AG$5:$AG$364,0),1)/INDEX(其他调用!AJ$5:AJ$364,MATCH($K306,其他调用!$AG$5:$AG$364,0),0),1)*INDEX(其他调用!AA$5:AA$404,MATCH($K306,其他调用!$X$5:$X$404,0),0)</f>
        <v>45172.723341741068</v>
      </c>
      <c r="AE306" s="12">
        <f>MIN(INDEX(其他调用!$AJ$5:$AJ$364,MATCH($K306,其他调用!$AG$5:$AG$364,0),1)/INDEX(其他调用!AK$5:AK$364,MATCH($K306,其他调用!$AG$5:$AG$364,0),0),1)*INDEX(其他调用!AB$5:AB$404,MATCH($K306,其他调用!$X$5:$X$404,0),0)</f>
        <v>17077.365228788716</v>
      </c>
      <c r="AF306" s="12">
        <f>MIN(INDEX(其他调用!$AJ$5:$AJ$364,MATCH($K306,其他调用!$AG$5:$AG$364,0),1)/INDEX(其他调用!AL$5:AL$364,MATCH($K306,其他调用!$AG$5:$AG$364,0),0),1)*INDEX(其他调用!AC$5:AC$404,MATCH($K306,其他调用!$X$5:$X$404,0),0)</f>
        <v>10074.392488707472</v>
      </c>
      <c r="AG306" s="12">
        <f>求节点(节奏总纲!D$4:D$163,标准城池设计!AE$4:AE$163,$K306)*求节点(节奏总纲!D$4:D$163,攻城基础信息!$AF$5:$AF$164,$K306)</f>
        <v>1132871.4478619113</v>
      </c>
      <c r="AH306" s="12">
        <f>INDEX(其他调用!$AA$5:$AA$404,MATCH($K306,其他调用!$X$5:$X$404,0))*MIN(INDEX(其他调用!AK$5:AK$364,MATCH($K306,其他调用!$AG$5:$AG$364,0),1)/INDEX(其他调用!$AJ$5:$AJ$364,MATCH($K306,其他调用!$AG$5:$AG$364,0),0),5)*求节点(节奏总纲!D$4:D$163,攻城基础信息!$AF$5:$AF$164,$K306)</f>
        <v>439109.26251377963</v>
      </c>
      <c r="AI306" s="12">
        <f>MIN(INDEX(其他调用!$AK$5:$AK$364,MATCH($K306,其他调用!$AG$5:$AG$364,0),1)/INDEX(其他调用!AH$5:AH$364,MATCH($K306,其他调用!$AG$5:$AG$364,0),0),1)*INDEX(其他调用!Y$5:Y$404,MATCH($K306,其他调用!$X$5:$X$404,0),0)</f>
        <v>42492.237703290979</v>
      </c>
      <c r="AJ306" s="12">
        <f>MIN(INDEX(其他调用!$AK$5:$AK$364,MATCH($K306,其他调用!$AG$5:$AG$364,0),1)/INDEX(其他调用!AI$5:AI$364,MATCH($K306,其他调用!$AG$5:$AG$364,0),0),1)*INDEX(其他调用!Z$5:Z$404,MATCH($K306,其他调用!$X$5:$X$404,0),0)</f>
        <v>43650.625565293529</v>
      </c>
      <c r="AK306" s="12">
        <f>MIN(INDEX(其他调用!$AK$5:$AK$364,MATCH($K306,其他调用!$AG$5:$AG$364,0),1)/INDEX(其他调用!AJ$5:AJ$364,MATCH($K306,其他调用!$AG$5:$AG$364,0),0),1)*INDEX(其他调用!AA$5:AA$404,MATCH($K306,其他调用!$X$5:$X$404,0),0)</f>
        <v>45172.723341741068</v>
      </c>
      <c r="AL306" s="12">
        <f>MIN(INDEX(其他调用!$AK$5:$AK$364,MATCH($K306,其他调用!$AG$5:$AG$364,0),1)/INDEX(其他调用!AK$5:AK$364,MATCH($K306,其他调用!$AG$5:$AG$364,0),0),1)*INDEX(其他调用!AB$5:AB$404,MATCH($K306,其他调用!$X$5:$X$404,0),0)</f>
        <v>47429.565559234085</v>
      </c>
      <c r="AM306" s="12">
        <f>MIN(INDEX(其他调用!$AK$5:$AK$364,MATCH($K306,其他调用!$AG$5:$AG$364,0),1)/INDEX(其他调用!AL$5:AL$364,MATCH($K306,其他调用!$AG$5:$AG$364,0),0),1)*INDEX(其他调用!AC$5:AC$404,MATCH($K306,其他调用!$X$5:$X$404,0),0)</f>
        <v>27979.963689427877</v>
      </c>
      <c r="AN306" s="12">
        <f>求节点(节奏总纲!D$4:D$163,标准城池设计!AF$4:AF$163,$K306)*求节点(节奏总纲!D$4:D$163,攻城基础信息!$AG$5:$AG$164,$K306)</f>
        <v>1181342.2475610652</v>
      </c>
      <c r="AO306" s="12">
        <f>INDEX(其他调用!$AA$5:$AA$404,MATCH($K306,其他调用!$X$5:$X$404,0))*MIN(INDEX(其他调用!AL$5:AL$364,MATCH($K306,其他调用!$AG$5:$AG$364,0),1)/INDEX(其他调用!$AJ$5:$AJ$364,MATCH($K306,其他调用!$AG$5:$AG$364,0),0),5)*求节点(节奏总纲!D$4:D$163,攻城基础信息!$AG$5:$AG$164,$K306)</f>
        <v>790522.65848046821</v>
      </c>
      <c r="AP306" s="12">
        <f>MIN(INDEX(其他调用!$AL$5:$AL$364,MATCH($K306,其他调用!$AG$5:$AG$364,0),1)/INDEX(其他调用!AH$5:AH$364,MATCH($K306,其他调用!$AG$5:$AG$364,0),0),1)*INDEX(其他调用!Y$5:Y$404,MATCH($K306,其他调用!$X$5:$X$404,0),0)</f>
        <v>42492.237703290979</v>
      </c>
      <c r="AQ306" s="12">
        <f>MIN(INDEX(其他调用!$AL$5:$AL$364,MATCH($K306,其他调用!$AG$5:$AG$364,0),1)/INDEX(其他调用!AI$5:AI$364,MATCH($K306,其他调用!$AG$5:$AG$364,0),0),1)*INDEX(其他调用!Z$5:Z$404,MATCH($K306,其他调用!$X$5:$X$404,0),0)</f>
        <v>43650.625565293529</v>
      </c>
      <c r="AR306" s="12">
        <f>MIN(INDEX(其他调用!$AL$5:$AL$364,MATCH($K306,其他调用!$AG$5:$AG$364,0),1)/INDEX(其他调用!AJ$5:AJ$364,MATCH($K306,其他调用!$AG$5:$AG$364,0),0),1)*INDEX(其他调用!AA$5:AA$404,MATCH($K306,其他调用!$X$5:$X$404,0),0)</f>
        <v>45172.723341741068</v>
      </c>
      <c r="AS306" s="12">
        <f>MIN(INDEX(其他调用!$AL$5:$AL$364,MATCH($K306,其他调用!$AG$5:$AG$364,0),1)/INDEX(其他调用!AK$5:AK$364,MATCH($K306,其他调用!$AG$5:$AG$364,0),0),1)*INDEX(其他调用!AB$5:AB$404,MATCH($K306,其他调用!$X$5:$X$404,0),0)</f>
        <v>47429.565559234085</v>
      </c>
      <c r="AT306" s="12">
        <f>MIN(INDEX(其他调用!$AL$5:$AL$364,MATCH($K306,其他调用!$AG$5:$AG$364,0),1)/INDEX(其他调用!AL$5:AL$364,MATCH($K306,其他调用!$AG$5:$AG$364,0),0),1)*INDEX(其他调用!AC$5:AC$404,MATCH($K306,其他调用!$X$5:$X$404,0),0)</f>
        <v>51324.5341329925</v>
      </c>
      <c r="AV306" s="14">
        <f>IF(OR(AV$5="大R",AV$5="超R"),MAX(INDEX(其他调用!$H$5:$L$404,MATCH($K306,其他调用!$B$5:$B$404,0),MATCH(AV$5,其他调用!$H$4:$L$4,0))*120*0.85,2),INDEX(其他调用!$H$5:$L$404,MATCH($K306,其他调用!$B$5:$B$404,0),MATCH(AV$5,其他调用!$H$4:$L$4,0))*120*0.85)</f>
        <v>48.921801254999991</v>
      </c>
      <c r="AW306" s="14">
        <f>IF(OR(AW$5="大R",AW$5="超R"),MAX(INDEX(其他调用!$H$5:$L$404,MATCH($K306,其他调用!$B$5:$B$404,0),MATCH(AW$5,其他调用!$H$4:$L$4,0))*120*0.85,2),INDEX(其他调用!$H$5:$L$404,MATCH($K306,其他调用!$B$5:$B$404,0),MATCH(AW$5,其他调用!$H$4:$L$4,0))*120*0.85)</f>
        <v>48.237344010638395</v>
      </c>
      <c r="AX306" s="14">
        <f>IF(OR(AX$5="大R",AX$5="超R"),MAX(INDEX(其他调用!$H$5:$L$404,MATCH($K306,其他调用!$B$5:$B$404,0),MATCH(AX$5,其他调用!$H$4:$L$4,0))*120*0.85,2),INDEX(其他调用!$H$5:$L$404,MATCH($K306,其他调用!$B$5:$B$404,0),MATCH(AX$5,其他调用!$H$4:$L$4,0))*120*0.85)</f>
        <v>3.9376284143615998</v>
      </c>
      <c r="AY306" s="14">
        <f>IF(OR(AY$5="大R",AY$5="超R"),MAX(INDEX(其他调用!$H$5:$L$404,MATCH($K306,其他调用!$B$5:$B$404,0),MATCH(AY$5,其他调用!$H$4:$L$4,0))*120*0.85,2),INDEX(其他调用!$H$5:$L$404,MATCH($K306,其他调用!$B$5:$B$404,0),MATCH(AY$5,其他调用!$H$4:$L$4,0))*120*0.85)</f>
        <v>2</v>
      </c>
      <c r="AZ306" s="14">
        <f>IF(OR(AZ$5="大R",AZ$5="超R"),MAX(INDEX(其他调用!$H$5:$L$404,MATCH($K306,其他调用!$B$5:$B$404,0),MATCH(AZ$5,其他调用!$H$4:$L$4,0))*120*0.85,2),INDEX(其他调用!$H$5:$L$404,MATCH($K306,其他调用!$B$5:$B$404,0),MATCH(AZ$5,其他调用!$H$4:$L$4,0))*120*0.85)</f>
        <v>2</v>
      </c>
      <c r="BA306" s="14">
        <f>INDEX(其他调用!$H$5:$L$404,MATCH($K306,其他调用!$B$5:$B$404,0),MATCH(BA$5,其他调用!$H$4:$L$4,0))*INDEX(其他调用!$M$5:$M$404,MATCH($K306,其他调用!$B$5:$B$404,0))*0.6</f>
        <v>28.777530149999997</v>
      </c>
      <c r="BB306" s="14">
        <f>INDEX(其他调用!$H$5:$L$404,MATCH($K306,其他调用!$B$5:$B$404,0),MATCH(BB$5,其他调用!$H$4:$L$4,0))*INDEX(其他调用!$M$5:$M$404,MATCH($K306,其他调用!$B$5:$B$404,0))*0.6</f>
        <v>28.374908241551999</v>
      </c>
      <c r="BC306" s="14">
        <f>INDEX(其他调用!$H$5:$L$404,MATCH($K306,其他调用!$B$5:$B$404,0),MATCH(BC$5,其他调用!$H$4:$L$4,0))*INDEX(其他调用!$M$5:$M$404,MATCH($K306,其他调用!$B$5:$B$404,0))*0.6</f>
        <v>2.3162520084480001</v>
      </c>
      <c r="BD306" s="14">
        <f>INDEX(其他调用!$H$5:$L$404,MATCH($K306,其他调用!$B$5:$B$404,0),MATCH(BD$5,其他调用!$H$4:$L$4,0))*INDEX(其他调用!$M$5:$M$404,MATCH($K306,其他调用!$B$5:$B$404,0))*0.6</f>
        <v>0.4120776000000001</v>
      </c>
      <c r="BE306" s="14">
        <f>INDEX(其他调用!$H$5:$L$404,MATCH($K306,其他调用!$B$5:$B$404,0),MATCH(BE$5,其他调用!$H$4:$L$4,0))*INDEX(其他调用!$M$5:$M$404,MATCH($K306,其他调用!$B$5:$B$404,0))*0.6</f>
        <v>0.11923199999999998</v>
      </c>
      <c r="BF306" s="14">
        <f>IF(OR(BF$5="大R",BF$5="超R"),0,INDEX(其他调用!$H$5:$L$404,MATCH($K306,其他调用!$B$5:$B$404,0),MATCH(BF$5,其他调用!$H$4:$L$4,0))*50*0.4)</f>
        <v>9.5925100500000013</v>
      </c>
      <c r="BG306" s="14">
        <f>IF(OR(BG$5="大R",BG$5="超R"),0,INDEX(其他调用!$H$5:$L$404,MATCH($K306,其他调用!$B$5:$B$404,0),MATCH(BG$5,其他调用!$H$4:$L$4,0))*50*0.4)</f>
        <v>9.4583027471839998</v>
      </c>
      <c r="BH306" s="14">
        <f>IF(OR(BH$5="大R",BH$5="超R"),0,INDEX(其他调用!$H$5:$L$404,MATCH($K306,其他调用!$B$5:$B$404,0),MATCH(BH$5,其他调用!$H$4:$L$4,0))*50*0.4)</f>
        <v>0.77208400281600009</v>
      </c>
      <c r="BI306" s="14">
        <f>IF(OR(BI$5="大R",BI$5="超R"),0,INDEX(其他调用!$H$5:$L$404,MATCH($K306,其他调用!$B$5:$B$404,0),MATCH(BI$5,其他调用!$H$4:$L$4,0))*50*0.4)</f>
        <v>0</v>
      </c>
      <c r="BJ306" s="14">
        <f>IF(OR(BJ$5="大R",BJ$5="超R"),0,INDEX(其他调用!$H$5:$L$404,MATCH($K306,其他调用!$B$5:$B$404,0),MATCH(BJ$5,其他调用!$H$4:$L$4,0))*50*0.4)</f>
        <v>0</v>
      </c>
      <c r="BL306" s="14">
        <f t="shared" si="523"/>
        <v>301</v>
      </c>
      <c r="BM306" s="14">
        <f t="shared" si="430"/>
        <v>96</v>
      </c>
      <c r="BN306" s="14">
        <f>('疲劳值&amp;地图信息'!$S$10*'疲劳值&amp;地图信息'!$R$10+'疲劳值&amp;地图信息'!$S$11*'疲劳值&amp;地图信息'!$R$11+'疲劳值&amp;地图信息'!$S$12*'疲劳值&amp;地图信息'!$R$12+(BM306-'疲劳值&amp;地图信息'!$S$12-'疲劳值&amp;地图信息'!$S$11-'疲劳值&amp;地图信息'!$S$10)*'疲劳值&amp;地图信息'!$R$13)/BM306</f>
        <v>51.371477246638619</v>
      </c>
      <c r="BO306" s="14">
        <f>INDEX(其他调用!$M$5:$M$404,MATCH(BL306,其他调用!$B$5:$B$404,0))*0.6</f>
        <v>60</v>
      </c>
      <c r="BP306" s="14">
        <f>IF(BO306&gt;SUM('疲劳值&amp;地图信息'!$S$10:$S$12),('疲劳值&amp;地图信息'!$S$10*'疲劳值&amp;地图信息'!$R$10+'疲劳值&amp;地图信息'!$S$11*'疲劳值&amp;地图信息'!$R$11+'疲劳值&amp;地图信息'!$S$12*'疲劳值&amp;地图信息'!$R$12+(BO306-'疲劳值&amp;地图信息'!$S$12-'疲劳值&amp;地图信息'!$S$11-'疲劳值&amp;地图信息'!$S$10)*'疲劳值&amp;地图信息'!$R$13)/BO306,('疲劳值&amp;地图信息'!$S$10*'疲劳值&amp;地图信息'!$R$10+'疲劳值&amp;地图信息'!$S$11*'疲劳值&amp;地图信息'!$R$11+'疲劳值&amp;地图信息'!$S$12*'疲劳值&amp;地图信息'!$R$12+(BO306-'疲劳值&amp;地图信息'!$S$12-'疲劳值&amp;地图信息'!$S$11-'疲劳值&amp;地图信息'!$S$10)*'疲劳值&amp;地图信息'!$R$13)/BO306)</f>
        <v>44.158136341605953</v>
      </c>
      <c r="BQ306" s="14">
        <f t="shared" si="524"/>
        <v>20</v>
      </c>
      <c r="BR306" s="14">
        <f>('疲劳值&amp;地图信息'!$S$10*'疲劳值&amp;地图信息'!$R$10+($BQ306-'疲劳值&amp;地图信息'!$S$10)*'疲劳值&amp;地图信息'!$R$11)/$BQ306</f>
        <v>32.067203015074995</v>
      </c>
      <c r="CF306" s="14">
        <v>301</v>
      </c>
      <c r="CG306" s="51">
        <f t="shared" si="431"/>
        <v>16005</v>
      </c>
      <c r="CH306" s="51">
        <f t="shared" si="432"/>
        <v>1086</v>
      </c>
      <c r="CI306" s="51">
        <f>INT(SUMPRODUCT($N306:$R306,$BA306:$BE306)/SUM($BA306:$BE306)/10000*$BX$7*$BZ$34/'疲劳值&amp;地图信息'!$R$10*$BY$53)</f>
        <v>3359</v>
      </c>
      <c r="CJ306" s="50">
        <f t="shared" si="433"/>
        <v>0.78264058679706605</v>
      </c>
      <c r="CK306" s="50">
        <f t="shared" si="434"/>
        <v>5.3105134474327631E-2</v>
      </c>
      <c r="CL306" s="50">
        <f t="shared" si="435"/>
        <v>0.16425427872860635</v>
      </c>
      <c r="CM306" s="14">
        <f t="shared" si="436"/>
        <v>17542</v>
      </c>
      <c r="CN306" s="14">
        <f t="shared" si="437"/>
        <v>1854</v>
      </c>
      <c r="CO306" s="14">
        <f>INT(SUMPRODUCT($U306:$Y306,$BA306:$BE306)/SUM($BA306:$BE306)/10000*$BX$7*$BZ$34/'疲劳值&amp;地图信息'!$R$10*$BY$54)</f>
        <v>6408</v>
      </c>
      <c r="CP306" s="50">
        <f t="shared" si="438"/>
        <v>0.67981708262284912</v>
      </c>
      <c r="CQ306" s="50">
        <f t="shared" si="439"/>
        <v>7.1849325685940157E-2</v>
      </c>
      <c r="CR306" s="50">
        <f t="shared" si="440"/>
        <v>0.24833359169121066</v>
      </c>
      <c r="CS306" s="14">
        <f t="shared" si="441"/>
        <v>19136</v>
      </c>
      <c r="CT306" s="14">
        <f t="shared" si="442"/>
        <v>3222</v>
      </c>
      <c r="CU306" s="14">
        <f>INT(SUMPRODUCT($AB306:$AF306,$BA306:$BE306)/SUM($BA306:$BE306)/10000*$BX$7*$BZ$34/'疲劳值&amp;地图信息'!$R$10*$BY$55)</f>
        <v>8706</v>
      </c>
      <c r="CV306" s="50">
        <f t="shared" si="443"/>
        <v>0.61601854236415143</v>
      </c>
      <c r="CW306" s="50">
        <f t="shared" si="444"/>
        <v>0.10372134947205769</v>
      </c>
      <c r="CX306" s="50">
        <f t="shared" si="445"/>
        <v>0.28026010816379088</v>
      </c>
      <c r="CY306" s="14">
        <f t="shared" si="446"/>
        <v>23089</v>
      </c>
      <c r="CZ306" s="14">
        <f t="shared" si="447"/>
        <v>8949</v>
      </c>
      <c r="DA306" s="14">
        <f>INT(SUMPRODUCT($AI306:$AM306,$BA306:$BE306)/SUM($BA306:$BE306)/10000*$BX$7*$BZ$34/'疲劳值&amp;地图信息'!$R$10*$BY$56)</f>
        <v>13134</v>
      </c>
      <c r="DB306" s="50">
        <f t="shared" si="448"/>
        <v>0.51113521650580007</v>
      </c>
      <c r="DC306" s="50">
        <f t="shared" si="449"/>
        <v>0.19810944833082442</v>
      </c>
      <c r="DD306" s="50">
        <f t="shared" si="450"/>
        <v>0.29075533516337554</v>
      </c>
      <c r="DE306" s="14">
        <f t="shared" si="451"/>
        <v>24077</v>
      </c>
      <c r="DF306" s="14">
        <f t="shared" si="452"/>
        <v>16111</v>
      </c>
      <c r="DG306" s="14">
        <f>INT(SUMPRODUCT($AP306:$AT306,$BA306:$BE306)/SUM($BA306:$BE306)/10000*$BX$7*$BZ$34/'疲劳值&amp;地图信息'!$R$10*$BY$57)</f>
        <v>17531</v>
      </c>
      <c r="DH306" s="50">
        <f t="shared" si="453"/>
        <v>0.41714166912108663</v>
      </c>
      <c r="DI306" s="50">
        <f t="shared" si="454"/>
        <v>0.27912819002408218</v>
      </c>
      <c r="DJ306" s="50">
        <f t="shared" si="455"/>
        <v>0.30373014085483119</v>
      </c>
      <c r="DL306" s="14">
        <f t="shared" si="526"/>
        <v>20450</v>
      </c>
      <c r="DM306" s="14">
        <f t="shared" si="527"/>
        <v>25804</v>
      </c>
      <c r="DN306" s="14">
        <f t="shared" si="528"/>
        <v>31064</v>
      </c>
      <c r="DO306" s="14">
        <f t="shared" si="529"/>
        <v>45172</v>
      </c>
      <c r="DP306" s="14">
        <f t="shared" si="530"/>
        <v>57719</v>
      </c>
      <c r="DQ306" s="14">
        <f t="shared" si="531"/>
        <v>1418134</v>
      </c>
      <c r="DT306" s="14">
        <f t="shared" si="525"/>
        <v>235575</v>
      </c>
      <c r="DU306" s="50">
        <f t="shared" si="427"/>
        <v>0.14245251129430872</v>
      </c>
      <c r="DW306" s="14">
        <f t="shared" si="456"/>
        <v>1653709</v>
      </c>
      <c r="EB306" s="14">
        <v>301</v>
      </c>
      <c r="EC306" s="51">
        <f t="shared" si="457"/>
        <v>26675</v>
      </c>
      <c r="ED306" s="51">
        <f t="shared" si="458"/>
        <v>1810</v>
      </c>
      <c r="EE306" s="51">
        <f>INT(SUMPRODUCT($N306:$R306,$BF306:$BJ306)/SUM($BF306:$BJ306)/10000*$BX$7*$BZ$46/'疲劳值&amp;地图信息'!$R$10*$BY$53)</f>
        <v>451</v>
      </c>
      <c r="EF306" s="50">
        <f t="shared" si="459"/>
        <v>0.92186204036494335</v>
      </c>
      <c r="EG306" s="50">
        <f t="shared" si="460"/>
        <v>6.2551838540226709E-2</v>
      </c>
      <c r="EH306" s="50">
        <f t="shared" si="461"/>
        <v>1.558612109482997E-2</v>
      </c>
      <c r="EI306" s="51">
        <f t="shared" si="462"/>
        <v>29237</v>
      </c>
      <c r="EJ306" s="51">
        <f t="shared" si="463"/>
        <v>3090</v>
      </c>
      <c r="EK306" s="14">
        <f>INT(SUMPRODUCT($U306:$Y306,$BF306:$BJ306)/SUM($BF306:$BJ306)/10000*$BX$7*$BZ$46/'疲劳值&amp;地图信息'!$R$10*$BY$54)</f>
        <v>860</v>
      </c>
      <c r="EL306" s="50">
        <f t="shared" si="464"/>
        <v>0.88097749118630786</v>
      </c>
      <c r="EM306" s="50">
        <f t="shared" si="465"/>
        <v>9.3108747401090791E-2</v>
      </c>
      <c r="EN306" s="50">
        <f t="shared" si="466"/>
        <v>2.5913761412601318E-2</v>
      </c>
      <c r="EO306" s="51">
        <f t="shared" si="467"/>
        <v>31894</v>
      </c>
      <c r="EP306" s="51">
        <f t="shared" si="468"/>
        <v>5370</v>
      </c>
      <c r="EQ306" s="14">
        <f>INT(SUMPRODUCT($AB306:$AF306,$BF306:$BJ306)/SUM($BF306:$BJ306)/10000*$BX$7*$BZ$46/'疲劳值&amp;地图信息'!$R$10*$BY$55)</f>
        <v>1167</v>
      </c>
      <c r="ER306" s="50">
        <f t="shared" si="469"/>
        <v>0.82990294293669176</v>
      </c>
      <c r="ES306" s="50">
        <f t="shared" si="470"/>
        <v>0.13973094637141892</v>
      </c>
      <c r="ET306" s="50">
        <f t="shared" si="471"/>
        <v>3.036611069188936E-2</v>
      </c>
      <c r="EU306" s="51">
        <f t="shared" si="472"/>
        <v>38482</v>
      </c>
      <c r="EV306" s="51">
        <f t="shared" si="473"/>
        <v>14916</v>
      </c>
      <c r="EW306" s="14">
        <f>INT(SUMPRODUCT($AI306:$AM306,$BF306:$BJ306)/SUM($BF306:$BJ306)/10000*$BX$7*$BZ$46/'疲劳值&amp;地图信息'!$R$10*$BY$56)</f>
        <v>1751</v>
      </c>
      <c r="EX306" s="50">
        <f t="shared" si="474"/>
        <v>0.69778237139386023</v>
      </c>
      <c r="EY306" s="50">
        <f t="shared" si="475"/>
        <v>0.27046727955175975</v>
      </c>
      <c r="EZ306" s="50">
        <f t="shared" si="476"/>
        <v>3.1750349054379949E-2</v>
      </c>
      <c r="FA306" s="51">
        <f t="shared" si="477"/>
        <v>40128</v>
      </c>
      <c r="FB306" s="51">
        <f t="shared" si="478"/>
        <v>26853</v>
      </c>
      <c r="FC306" s="14">
        <f>INT(SUMPRODUCT($AP306:$AT306,$BF306:$BJ306)/SUM($BF306:$BJ306)/10000*$BX$7*$BZ$46/'疲劳值&amp;地图信息'!$R$10*$BY$57)</f>
        <v>2335</v>
      </c>
      <c r="FD306" s="50">
        <f t="shared" si="479"/>
        <v>0.57891395925904554</v>
      </c>
      <c r="FE306" s="50">
        <f t="shared" si="480"/>
        <v>0.38739973454902188</v>
      </c>
      <c r="FF306" s="50">
        <f t="shared" si="481"/>
        <v>3.3686306191932601E-2</v>
      </c>
      <c r="FH306" s="14">
        <f t="shared" si="482"/>
        <v>28936</v>
      </c>
      <c r="FI306" s="14">
        <f t="shared" si="483"/>
        <v>33187</v>
      </c>
      <c r="FJ306" s="14">
        <f t="shared" si="484"/>
        <v>38431</v>
      </c>
      <c r="FK306" s="14">
        <f t="shared" si="485"/>
        <v>55149</v>
      </c>
      <c r="FL306" s="14">
        <f t="shared" si="486"/>
        <v>69316</v>
      </c>
      <c r="FM306" s="14">
        <f t="shared" si="487"/>
        <v>3416710</v>
      </c>
      <c r="FP306" s="14">
        <f t="shared" si="488"/>
        <v>334150</v>
      </c>
      <c r="FQ306" s="50">
        <f t="shared" si="428"/>
        <v>8.908623622315949E-2</v>
      </c>
      <c r="FS306" s="14">
        <f t="shared" si="489"/>
        <v>3750860</v>
      </c>
      <c r="FX306" s="14">
        <v>301</v>
      </c>
      <c r="FY306" s="51">
        <f t="shared" si="490"/>
        <v>37345</v>
      </c>
      <c r="FZ306" s="51">
        <f t="shared" si="491"/>
        <v>1810</v>
      </c>
      <c r="GA306" s="51">
        <f>INT(SUMPRODUCT($N306:$R306,$BF306:$BJ306)/SUM($BF306:$BJ306)/10000*$BX$7*$BZ$46/'疲劳值&amp;地图信息'!$R$10*$BY$53)</f>
        <v>451</v>
      </c>
      <c r="GB306" s="50">
        <f t="shared" si="492"/>
        <v>0.94291268999646516</v>
      </c>
      <c r="GC306" s="50">
        <f t="shared" si="493"/>
        <v>4.5700146442458213E-2</v>
      </c>
      <c r="GD306" s="50">
        <f t="shared" si="494"/>
        <v>1.1387163561076604E-2</v>
      </c>
      <c r="GE306" s="51">
        <f t="shared" si="495"/>
        <v>40932</v>
      </c>
      <c r="GF306" s="51">
        <f t="shared" si="496"/>
        <v>3090</v>
      </c>
      <c r="GG306" s="14">
        <f>INT(SUMPRODUCT($U306:$Y306,$BF306:$BJ306)/SUM($BF306:$BJ306)/10000*$BX$7*$BZ$46/'疲劳值&amp;地图信息'!$R$10*$BY$54)</f>
        <v>860</v>
      </c>
      <c r="GH306" s="50">
        <f t="shared" si="497"/>
        <v>0.91199144423154044</v>
      </c>
      <c r="GI306" s="50">
        <f t="shared" si="498"/>
        <v>6.8847199322668334E-2</v>
      </c>
      <c r="GJ306" s="50">
        <f t="shared" si="499"/>
        <v>1.9161356445791186E-2</v>
      </c>
      <c r="GK306" s="51">
        <f t="shared" si="500"/>
        <v>44652</v>
      </c>
      <c r="GL306" s="51">
        <f t="shared" si="501"/>
        <v>5370</v>
      </c>
      <c r="GM306" s="14">
        <f>INT(SUMPRODUCT($AB306:$AF306,$BF306:$BJ306)/SUM($BF306:$BJ306)/10000*$BX$7*$BZ$46/'疲劳值&amp;地图信息'!$R$10*$BY$55)</f>
        <v>1167</v>
      </c>
      <c r="GN306" s="50">
        <f t="shared" si="502"/>
        <v>0.87229678251186782</v>
      </c>
      <c r="GO306" s="50">
        <f t="shared" si="503"/>
        <v>0.10490535075895212</v>
      </c>
      <c r="GP306" s="50">
        <f t="shared" si="504"/>
        <v>2.2797866729180098E-2</v>
      </c>
      <c r="GQ306" s="51">
        <f t="shared" si="505"/>
        <v>53875</v>
      </c>
      <c r="GR306" s="51">
        <f t="shared" si="506"/>
        <v>14916</v>
      </c>
      <c r="GS306" s="14">
        <f>INT(SUMPRODUCT($AI306:$AM306,$BF306:$BJ306)/SUM($BF306:$BJ306)/10000*$BX$7*$BZ$46/'疲劳值&amp;地图信息'!$R$10*$BY$56)</f>
        <v>1751</v>
      </c>
      <c r="GT306" s="50">
        <f t="shared" si="507"/>
        <v>0.76372940942984324</v>
      </c>
      <c r="GU306" s="50">
        <f t="shared" si="508"/>
        <v>0.21144849876669219</v>
      </c>
      <c r="GV306" s="50">
        <f t="shared" si="509"/>
        <v>2.4822091803464601E-2</v>
      </c>
      <c r="GW306" s="51">
        <f t="shared" si="510"/>
        <v>56180</v>
      </c>
      <c r="GX306" s="51">
        <f t="shared" si="511"/>
        <v>26853</v>
      </c>
      <c r="GY306" s="14">
        <f>INT(SUMPRODUCT($AP306:$AT306,$BF306:$BJ306)/SUM($BF306:$BJ306)/10000*$BX$7*$BZ$46/'疲劳值&amp;地图信息'!$R$10*$BY$57)</f>
        <v>2335</v>
      </c>
      <c r="GZ306" s="50">
        <f t="shared" si="512"/>
        <v>0.65809202511479714</v>
      </c>
      <c r="HA306" s="50">
        <f t="shared" si="513"/>
        <v>0.31455580545403428</v>
      </c>
      <c r="HB306" s="50">
        <f t="shared" si="514"/>
        <v>2.7352169431168586E-2</v>
      </c>
      <c r="HD306" s="14">
        <f t="shared" si="515"/>
        <v>39606</v>
      </c>
      <c r="HE306" s="14">
        <f t="shared" si="516"/>
        <v>44882</v>
      </c>
      <c r="HF306" s="14">
        <f t="shared" si="517"/>
        <v>51189</v>
      </c>
      <c r="HG306" s="14">
        <f t="shared" si="518"/>
        <v>70542</v>
      </c>
      <c r="HH306" s="14">
        <f t="shared" si="519"/>
        <v>85368</v>
      </c>
      <c r="HI306" s="14">
        <f t="shared" si="520"/>
        <v>4615968</v>
      </c>
      <c r="HL306" s="14">
        <f t="shared" si="521"/>
        <v>430050</v>
      </c>
      <c r="HM306" s="50">
        <f t="shared" si="429"/>
        <v>8.5225617506715201E-2</v>
      </c>
      <c r="HO306" s="14">
        <f t="shared" si="522"/>
        <v>5046018</v>
      </c>
    </row>
    <row r="307" spans="11:223" x14ac:dyDescent="0.2">
      <c r="K307" s="14">
        <v>302</v>
      </c>
      <c r="L307" s="12">
        <f>求节点(节奏总纲!D$4:D$163,标准城池设计!AB$4:AB$163,$K307)*求节点(节奏总纲!D$4:D$163,攻城基础信息!$AC$5:$AC$164,$K307)</f>
        <v>786431.77843131032</v>
      </c>
      <c r="M307" s="12">
        <f>INDEX(其他调用!$AA$5:$AA$404,MATCH(K307,其他调用!$X$5:$X$404,0))*MIN(INDEX(其他调用!$AH$5:$AH$364,MATCH('征服点（新）'!K307,其他调用!$AG$5:$AG$364,0),1)/INDEX(其他调用!$AJ$5:$AJ$364,MATCH(K307,其他调用!$AG$5:$AG$364,0),0),5)*求节点(节奏总纲!D$4:D$163,攻城基础信息!$AC$5:$AC$164,$K307)</f>
        <v>53253.978180455051</v>
      </c>
      <c r="N307" s="12">
        <f>MIN(INDEX(其他调用!$AH$5:$AH$364,MATCH($K307,其他调用!$AG$5:$AG$364,0),1)/INDEX(其他调用!AH$5:AH$364,MATCH($K307,其他调用!$AG$5:$AG$364,0),0),1)*INDEX(其他调用!Y$5:Y$404,MATCH($K307,其他调用!$X$5:$X$404,0),0)</f>
        <v>42511.313368826464</v>
      </c>
      <c r="O307" s="12">
        <f>MIN(INDEX(其他调用!$AH$5:$AH$364,MATCH($K307,其他调用!$AG$5:$AG$364,0),1)/INDEX(其他调用!AI$5:AI$364,MATCH($K307,其他调用!$AG$5:$AG$364,0),0),1)*INDEX(其他调用!Z$5:Z$404,MATCH($K307,其他调用!$X$5:$X$404,0),0)</f>
        <v>25567.060072207278</v>
      </c>
      <c r="P307" s="12">
        <f>MIN(INDEX(其他调用!$AH$5:$AH$364,MATCH($K307,其他调用!$AG$5:$AG$364,0),1)/INDEX(其他调用!AJ$5:AJ$364,MATCH($K307,其他调用!$AG$5:$AG$364,0),0),1)*INDEX(其他调用!AA$5:AA$404,MATCH($K307,其他调用!$X$5:$X$404,0),0)</f>
        <v>15215.422337272881</v>
      </c>
      <c r="Q307" s="12">
        <f>MIN(INDEX(其他调用!$AH$5:$AH$364,MATCH($K307,其他调用!$AG$5:$AG$364,0),1)/INDEX(其他调用!AK$5:AK$364,MATCH($K307,其他调用!$AG$5:$AG$364,0),0),1)*INDEX(其他调用!AB$5:AB$404,MATCH($K307,其他调用!$X$5:$X$404,0),0)</f>
        <v>5760.39034227518</v>
      </c>
      <c r="R307" s="12">
        <f>MIN(INDEX(其他调用!$AH$5:$AH$364,MATCH($K307,其他调用!$AG$5:$AG$364,0),1)/INDEX(其他调用!AL$5:AL$364,MATCH($K307,其他调用!$AG$5:$AG$364,0),0),1)*INDEX(其他调用!AC$5:AC$404,MATCH($K307,其他调用!$X$5:$X$404,0),0)</f>
        <v>3403.9371786037245</v>
      </c>
      <c r="S307" s="12">
        <f>求节点(节奏总纲!D$4:D$163,标准城池设计!AC$4:AC$163,$K307)*求节点(节奏总纲!D$4:D$163,攻城基础信息!$AD$5:$AD$164,$K307)</f>
        <v>862023.39879349817</v>
      </c>
      <c r="T307" s="12">
        <f>INDEX(其他调用!$AA$5:$AA$404,MATCH($K307,其他调用!$X$5:$X$404,0))*MIN(INDEX(其他调用!AI$5:AI$364,MATCH($K307,其他调用!$AG$5:$AG$364,0),1)/INDEX(其他调用!$AJ$5:$AJ$364,MATCH($K307,其他调用!$AG$5:$AG$364,0),0),5)*求节点(节奏总纲!D$4:D$163,攻城基础信息!$AD$5:$AD$164,$K307)</f>
        <v>90960.881595474842</v>
      </c>
      <c r="U307" s="12">
        <f>MIN(INDEX(其他调用!$AI$5:$AI$364,MATCH($K307,其他调用!$AG$5:$AG$364,0),1)/INDEX(其他调用!AH$5:AH$364,MATCH($K307,其他调用!$AG$5:$AG$364,0),0),1)*INDEX(其他调用!Y$5:Y$404,MATCH($K307,其他调用!$X$5:$X$404,0),0)</f>
        <v>42511.313368826464</v>
      </c>
      <c r="V307" s="12">
        <f>MIN(INDEX(其他调用!$AI$5:$AI$364,MATCH($K307,其他调用!$AG$5:$AG$364,0),1)/INDEX(其他调用!AI$5:AI$364,MATCH($K307,其他调用!$AG$5:$AG$364,0),0),1)*INDEX(其他调用!Z$5:Z$404,MATCH($K307,其他调用!$X$5:$X$404,0),0)</f>
        <v>43670.020596244707</v>
      </c>
      <c r="W307" s="12">
        <f>MIN(INDEX(其他调用!$AI$5:$AI$364,MATCH($K307,其他调用!$AG$5:$AG$364,0),1)/INDEX(其他调用!AJ$5:AJ$364,MATCH($K307,其他调用!$AG$5:$AG$364,0),0),1)*INDEX(其他调用!AA$5:AA$404,MATCH($K307,其他调用!$X$5:$X$404,0),0)</f>
        <v>25988.823312992827</v>
      </c>
      <c r="X307" s="12">
        <f>MIN(INDEX(其他调用!$AI$5:$AI$364,MATCH($K307,其他调用!$AG$5:$AG$364,0),1)/INDEX(其他调用!AK$5:AK$364,MATCH($K307,其他调用!$AG$5:$AG$364,0),0),1)*INDEX(其他调用!AB$5:AB$404,MATCH($K307,其他调用!$X$5:$X$404,0),0)</f>
        <v>9839.0806052441312</v>
      </c>
      <c r="Y307" s="12">
        <f>MIN(INDEX(其他调用!$AI$5:$AI$364,MATCH($K307,其他调用!$AG$5:$AG$364,0),1)/INDEX(其他调用!AL$5:AL$364,MATCH($K307,其他调用!$AG$5:$AG$364,0),0),1)*INDEX(其他调用!AC$5:AC$404,MATCH($K307,其他调用!$X$5:$X$404,0),0)</f>
        <v>5814.1220100444025</v>
      </c>
      <c r="Z307" s="12">
        <f>求节点(节奏总纲!D$4:D$163,标准城池设计!AD$4:AD$163,$K307)*求节点(节奏总纲!D$4:D$163,攻城基础信息!$AE$5:$AE$164,$K307)</f>
        <v>940306.6043946438</v>
      </c>
      <c r="AA307" s="12">
        <f>INDEX(其他调用!$AA$5:$AA$404,MATCH($K307,其他调用!$X$5:$X$404,0))*MIN(INDEX(其他调用!AJ$5:AJ$364,MATCH($K307,其他调用!$AG$5:$AG$364,0),1)/INDEX(其他调用!$AJ$5:$AJ$364,MATCH($K307,其他调用!$AG$5:$AG$364,0),0),5)*求节点(节奏总纲!D$4:D$163,攻城基础信息!$AE$5:$AE$164,$K307)</f>
        <v>158172.46221990359</v>
      </c>
      <c r="AB307" s="12">
        <f>MIN(INDEX(其他调用!$AJ$5:$AJ$364,MATCH($K307,其他调用!$AG$5:$AG$364,0),1)/INDEX(其他调用!AH$5:AH$364,MATCH($K307,其他调用!$AG$5:$AG$364,0),0),1)*INDEX(其他调用!Y$5:Y$404,MATCH($K307,其他调用!$X$5:$X$404,0),0)</f>
        <v>42511.313368826464</v>
      </c>
      <c r="AC307" s="12">
        <f>MIN(INDEX(其他调用!$AJ$5:$AJ$364,MATCH($K307,其他调用!$AG$5:$AG$364,0),1)/INDEX(其他调用!AI$5:AI$364,MATCH($K307,其他调用!$AG$5:$AG$364,0),0),1)*INDEX(其他调用!Z$5:Z$404,MATCH($K307,其他调用!$X$5:$X$404,0),0)</f>
        <v>43670.020596244707</v>
      </c>
      <c r="AD307" s="12">
        <f>MIN(INDEX(其他调用!$AJ$5:$AJ$364,MATCH($K307,其他调用!$AG$5:$AG$364,0),1)/INDEX(其他调用!AJ$5:AJ$364,MATCH($K307,其他调用!$AG$5:$AG$364,0),0),1)*INDEX(其他调用!AA$5:AA$404,MATCH($K307,其他调用!$X$5:$X$404,0),0)</f>
        <v>45192.132062829623</v>
      </c>
      <c r="AE307" s="12">
        <f>MIN(INDEX(其他调用!$AJ$5:$AJ$364,MATCH($K307,其他调用!$AG$5:$AG$364,0),1)/INDEX(其他调用!AK$5:AK$364,MATCH($K307,其他调用!$AG$5:$AG$364,0),0),1)*INDEX(其他调用!AB$5:AB$404,MATCH($K307,其他调用!$X$5:$X$404,0),0)</f>
        <v>17109.240565990574</v>
      </c>
      <c r="AF307" s="12">
        <f>MIN(INDEX(其他调用!$AJ$5:$AJ$364,MATCH($K307,其他调用!$AG$5:$AG$364,0),1)/INDEX(其他调用!AL$5:AL$364,MATCH($K307,其他调用!$AG$5:$AG$364,0),0),1)*INDEX(其他调用!AC$5:AC$404,MATCH($K307,其他调用!$X$5:$X$404,0),0)</f>
        <v>10110.21416948765</v>
      </c>
      <c r="AG307" s="12">
        <f>求节点(节奏总纲!D$4:D$163,标准城池设计!AE$4:AE$163,$K307)*求节点(节奏总纲!D$4:D$163,攻城基础信息!$AF$5:$AF$164,$K307)</f>
        <v>1134232.0152133103</v>
      </c>
      <c r="AH307" s="12">
        <f>INDEX(其他调用!$AA$5:$AA$404,MATCH($K307,其他调用!$X$5:$X$404,0))*MIN(INDEX(其他调用!AK$5:AK$364,MATCH($K307,其他调用!$AG$5:$AG$364,0),1)/INDEX(其他调用!$AJ$5:$AJ$364,MATCH($K307,其他调用!$AG$5:$AG$364,0),0),5)*求节点(节奏总纲!D$4:D$163,攻城基础信息!$AF$5:$AF$164,$K307)</f>
        <v>438663.25311866496</v>
      </c>
      <c r="AI307" s="12">
        <f>MIN(INDEX(其他调用!$AK$5:$AK$364,MATCH($K307,其他调用!$AG$5:$AG$364,0),1)/INDEX(其他调用!AH$5:AH$364,MATCH($K307,其他调用!$AG$5:$AG$364,0),0),1)*INDEX(其他调用!Y$5:Y$404,MATCH($K307,其他调用!$X$5:$X$404,0),0)</f>
        <v>42511.313368826464</v>
      </c>
      <c r="AJ307" s="12">
        <f>MIN(INDEX(其他调用!$AK$5:$AK$364,MATCH($K307,其他调用!$AG$5:$AG$364,0),1)/INDEX(其他调用!AI$5:AI$364,MATCH($K307,其他调用!$AG$5:$AG$364,0),0),1)*INDEX(其他调用!Z$5:Z$404,MATCH($K307,其他调用!$X$5:$X$404,0),0)</f>
        <v>43670.020596244707</v>
      </c>
      <c r="AK307" s="12">
        <f>MIN(INDEX(其他调用!$AK$5:$AK$364,MATCH($K307,其他调用!$AG$5:$AG$364,0),1)/INDEX(其他调用!AJ$5:AJ$364,MATCH($K307,其他调用!$AG$5:$AG$364,0),0),1)*INDEX(其他调用!AA$5:AA$404,MATCH($K307,其他调用!$X$5:$X$404,0),0)</f>
        <v>45192.132062829623</v>
      </c>
      <c r="AL307" s="12">
        <f>MIN(INDEX(其他调用!$AK$5:$AK$364,MATCH($K307,其他调用!$AG$5:$AG$364,0),1)/INDEX(其他调用!AK$5:AK$364,MATCH($K307,其他调用!$AG$5:$AG$364,0),0),1)*INDEX(其他调用!AB$5:AB$404,MATCH($K307,其他调用!$X$5:$X$404,0),0)</f>
        <v>47449.442334867061</v>
      </c>
      <c r="AM307" s="12">
        <f>MIN(INDEX(其他调用!$AK$5:$AK$364,MATCH($K307,其他调用!$AG$5:$AG$364,0),1)/INDEX(其他调用!AL$5:AL$364,MATCH($K307,其他调用!$AG$5:$AG$364,0),0),1)*INDEX(其他调用!AC$5:AC$404,MATCH($K307,其他调用!$X$5:$X$404,0),0)</f>
        <v>28038.88474055631</v>
      </c>
      <c r="AN307" s="12">
        <f>求节点(节奏总纲!D$4:D$163,标准城池设计!AF$4:AF$163,$K307)*求节点(节奏总纲!D$4:D$163,攻城基础信息!$AG$5:$AG$164,$K307)</f>
        <v>1182348.2716419592</v>
      </c>
      <c r="AO307" s="12">
        <f>INDEX(其他调用!$AA$5:$AA$404,MATCH($K307,其他调用!$X$5:$X$404,0))*MIN(INDEX(其他调用!AL$5:AL$364,MATCH($K307,其他调用!$AG$5:$AG$364,0),1)/INDEX(其他调用!$AJ$5:$AJ$364,MATCH($K307,其他调用!$AG$5:$AG$364,0),0),5)*求节点(节奏总纲!D$4:D$163,攻城基础信息!$AG$5:$AG$164,$K307)</f>
        <v>790862.31109951786</v>
      </c>
      <c r="AP307" s="12">
        <f>MIN(INDEX(其他调用!$AL$5:$AL$364,MATCH($K307,其他调用!$AG$5:$AG$364,0),1)/INDEX(其他调用!AH$5:AH$364,MATCH($K307,其他调用!$AG$5:$AG$364,0),0),1)*INDEX(其他调用!Y$5:Y$404,MATCH($K307,其他调用!$X$5:$X$404,0),0)</f>
        <v>42511.313368826464</v>
      </c>
      <c r="AQ307" s="12">
        <f>MIN(INDEX(其他调用!$AL$5:$AL$364,MATCH($K307,其他调用!$AG$5:$AG$364,0),1)/INDEX(其他调用!AI$5:AI$364,MATCH($K307,其他调用!$AG$5:$AG$364,0),0),1)*INDEX(其他调用!Z$5:Z$404,MATCH($K307,其他调用!$X$5:$X$404,0),0)</f>
        <v>43670.020596244707</v>
      </c>
      <c r="AR307" s="12">
        <f>MIN(INDEX(其他调用!$AL$5:$AL$364,MATCH($K307,其他调用!$AG$5:$AG$364,0),1)/INDEX(其他调用!AJ$5:AJ$364,MATCH($K307,其他调用!$AG$5:$AG$364,0),0),1)*INDEX(其他调用!AA$5:AA$404,MATCH($K307,其他调用!$X$5:$X$404,0),0)</f>
        <v>45192.132062829623</v>
      </c>
      <c r="AS307" s="12">
        <f>MIN(INDEX(其他调用!$AL$5:$AL$364,MATCH($K307,其他调用!$AG$5:$AG$364,0),1)/INDEX(其他调用!AK$5:AK$364,MATCH($K307,其他调用!$AG$5:$AG$364,0),0),1)*INDEX(其他调用!AB$5:AB$404,MATCH($K307,其他调用!$X$5:$X$404,0),0)</f>
        <v>47449.442334867061</v>
      </c>
      <c r="AT307" s="12">
        <f>MIN(INDEX(其他调用!$AL$5:$AL$364,MATCH($K307,其他调用!$AG$5:$AG$364,0),1)/INDEX(其他调用!AL$5:AL$364,MATCH($K307,其他调用!$AG$5:$AG$364,0),0),1)*INDEX(其他调用!AC$5:AC$404,MATCH($K307,其他调用!$X$5:$X$404,0),0)</f>
        <v>51343.81739116025</v>
      </c>
      <c r="AV307" s="14">
        <f>IF(OR(AV$5="大R",AV$5="超R"),MAX(INDEX(其他调用!$H$5:$L$404,MATCH($K307,其他调用!$B$5:$B$404,0),MATCH(AV$5,其他调用!$H$4:$L$4,0))*120*0.85,2),INDEX(其他调用!$H$5:$L$404,MATCH($K307,其他调用!$B$5:$B$404,0),MATCH(AV$5,其他调用!$H$4:$L$4,0))*120*0.85)</f>
        <v>48.921801254999991</v>
      </c>
      <c r="AW307" s="14">
        <f>IF(OR(AW$5="大R",AW$5="超R"),MAX(INDEX(其他调用!$H$5:$L$404,MATCH($K307,其他调用!$B$5:$B$404,0),MATCH(AW$5,其他调用!$H$4:$L$4,0))*120*0.85,2),INDEX(其他调用!$H$5:$L$404,MATCH($K307,其他调用!$B$5:$B$404,0),MATCH(AW$5,其他调用!$H$4:$L$4,0))*120*0.85)</f>
        <v>48.237344010638395</v>
      </c>
      <c r="AX307" s="14">
        <f>IF(OR(AX$5="大R",AX$5="超R"),MAX(INDEX(其他调用!$H$5:$L$404,MATCH($K307,其他调用!$B$5:$B$404,0),MATCH(AX$5,其他调用!$H$4:$L$4,0))*120*0.85,2),INDEX(其他调用!$H$5:$L$404,MATCH($K307,其他调用!$B$5:$B$404,0),MATCH(AX$5,其他调用!$H$4:$L$4,0))*120*0.85)</f>
        <v>3.9376284143615998</v>
      </c>
      <c r="AY307" s="14">
        <f>IF(OR(AY$5="大R",AY$5="超R"),MAX(INDEX(其他调用!$H$5:$L$404,MATCH($K307,其他调用!$B$5:$B$404,0),MATCH(AY$5,其他调用!$H$4:$L$4,0))*120*0.85,2),INDEX(其他调用!$H$5:$L$404,MATCH($K307,其他调用!$B$5:$B$404,0),MATCH(AY$5,其他调用!$H$4:$L$4,0))*120*0.85)</f>
        <v>2</v>
      </c>
      <c r="AZ307" s="14">
        <f>IF(OR(AZ$5="大R",AZ$5="超R"),MAX(INDEX(其他调用!$H$5:$L$404,MATCH($K307,其他调用!$B$5:$B$404,0),MATCH(AZ$5,其他调用!$H$4:$L$4,0))*120*0.85,2),INDEX(其他调用!$H$5:$L$404,MATCH($K307,其他调用!$B$5:$B$404,0),MATCH(AZ$5,其他调用!$H$4:$L$4,0))*120*0.85)</f>
        <v>2</v>
      </c>
      <c r="BA307" s="14">
        <f>INDEX(其他调用!$H$5:$L$404,MATCH($K307,其他调用!$B$5:$B$404,0),MATCH(BA$5,其他调用!$H$4:$L$4,0))*INDEX(其他调用!$M$5:$M$404,MATCH($K307,其他调用!$B$5:$B$404,0))*0.6</f>
        <v>28.777530149999997</v>
      </c>
      <c r="BB307" s="14">
        <f>INDEX(其他调用!$H$5:$L$404,MATCH($K307,其他调用!$B$5:$B$404,0),MATCH(BB$5,其他调用!$H$4:$L$4,0))*INDEX(其他调用!$M$5:$M$404,MATCH($K307,其他调用!$B$5:$B$404,0))*0.6</f>
        <v>28.374908241551999</v>
      </c>
      <c r="BC307" s="14">
        <f>INDEX(其他调用!$H$5:$L$404,MATCH($K307,其他调用!$B$5:$B$404,0),MATCH(BC$5,其他调用!$H$4:$L$4,0))*INDEX(其他调用!$M$5:$M$404,MATCH($K307,其他调用!$B$5:$B$404,0))*0.6</f>
        <v>2.3162520084480001</v>
      </c>
      <c r="BD307" s="14">
        <f>INDEX(其他调用!$H$5:$L$404,MATCH($K307,其他调用!$B$5:$B$404,0),MATCH(BD$5,其他调用!$H$4:$L$4,0))*INDEX(其他调用!$M$5:$M$404,MATCH($K307,其他调用!$B$5:$B$404,0))*0.6</f>
        <v>0.4120776000000001</v>
      </c>
      <c r="BE307" s="14">
        <f>INDEX(其他调用!$H$5:$L$404,MATCH($K307,其他调用!$B$5:$B$404,0),MATCH(BE$5,其他调用!$H$4:$L$4,0))*INDEX(其他调用!$M$5:$M$404,MATCH($K307,其他调用!$B$5:$B$404,0))*0.6</f>
        <v>0.11923199999999998</v>
      </c>
      <c r="BF307" s="14">
        <f>IF(OR(BF$5="大R",BF$5="超R"),0,INDEX(其他调用!$H$5:$L$404,MATCH($K307,其他调用!$B$5:$B$404,0),MATCH(BF$5,其他调用!$H$4:$L$4,0))*50*0.4)</f>
        <v>9.5925100500000013</v>
      </c>
      <c r="BG307" s="14">
        <f>IF(OR(BG$5="大R",BG$5="超R"),0,INDEX(其他调用!$H$5:$L$404,MATCH($K307,其他调用!$B$5:$B$404,0),MATCH(BG$5,其他调用!$H$4:$L$4,0))*50*0.4)</f>
        <v>9.4583027471839998</v>
      </c>
      <c r="BH307" s="14">
        <f>IF(OR(BH$5="大R",BH$5="超R"),0,INDEX(其他调用!$H$5:$L$404,MATCH($K307,其他调用!$B$5:$B$404,0),MATCH(BH$5,其他调用!$H$4:$L$4,0))*50*0.4)</f>
        <v>0.77208400281600009</v>
      </c>
      <c r="BI307" s="14">
        <f>IF(OR(BI$5="大R",BI$5="超R"),0,INDEX(其他调用!$H$5:$L$404,MATCH($K307,其他调用!$B$5:$B$404,0),MATCH(BI$5,其他调用!$H$4:$L$4,0))*50*0.4)</f>
        <v>0</v>
      </c>
      <c r="BJ307" s="14">
        <f>IF(OR(BJ$5="大R",BJ$5="超R"),0,INDEX(其他调用!$H$5:$L$404,MATCH($K307,其他调用!$B$5:$B$404,0),MATCH(BJ$5,其他调用!$H$4:$L$4,0))*50*0.4)</f>
        <v>0</v>
      </c>
      <c r="BL307" s="14">
        <f t="shared" si="523"/>
        <v>302</v>
      </c>
      <c r="BM307" s="14">
        <f t="shared" si="430"/>
        <v>96</v>
      </c>
      <c r="BN307" s="14">
        <f>('疲劳值&amp;地图信息'!$S$10*'疲劳值&amp;地图信息'!$R$10+'疲劳值&amp;地图信息'!$S$11*'疲劳值&amp;地图信息'!$R$11+'疲劳值&amp;地图信息'!$S$12*'疲劳值&amp;地图信息'!$R$12+(BM307-'疲劳值&amp;地图信息'!$S$12-'疲劳值&amp;地图信息'!$S$11-'疲劳值&amp;地图信息'!$S$10)*'疲劳值&amp;地图信息'!$R$13)/BM307</f>
        <v>51.371477246638619</v>
      </c>
      <c r="BO307" s="14">
        <f>INDEX(其他调用!$M$5:$M$404,MATCH(BL307,其他调用!$B$5:$B$404,0))*0.6</f>
        <v>60</v>
      </c>
      <c r="BP307" s="14">
        <f>IF(BO307&gt;SUM('疲劳值&amp;地图信息'!$S$10:$S$12),('疲劳值&amp;地图信息'!$S$10*'疲劳值&amp;地图信息'!$R$10+'疲劳值&amp;地图信息'!$S$11*'疲劳值&amp;地图信息'!$R$11+'疲劳值&amp;地图信息'!$S$12*'疲劳值&amp;地图信息'!$R$12+(BO307-'疲劳值&amp;地图信息'!$S$12-'疲劳值&amp;地图信息'!$S$11-'疲劳值&amp;地图信息'!$S$10)*'疲劳值&amp;地图信息'!$R$13)/BO307,('疲劳值&amp;地图信息'!$S$10*'疲劳值&amp;地图信息'!$R$10+'疲劳值&amp;地图信息'!$S$11*'疲劳值&amp;地图信息'!$R$11+'疲劳值&amp;地图信息'!$S$12*'疲劳值&amp;地图信息'!$R$12+(BO307-'疲劳值&amp;地图信息'!$S$12-'疲劳值&amp;地图信息'!$S$11-'疲劳值&amp;地图信息'!$S$10)*'疲劳值&amp;地图信息'!$R$13)/BO307)</f>
        <v>44.158136341605953</v>
      </c>
      <c r="BQ307" s="14">
        <f t="shared" si="524"/>
        <v>20</v>
      </c>
      <c r="BR307" s="14">
        <f>('疲劳值&amp;地图信息'!$S$10*'疲劳值&amp;地图信息'!$R$10+($BQ307-'疲劳值&amp;地图信息'!$S$10)*'疲劳值&amp;地图信息'!$R$11)/$BQ307</f>
        <v>32.067203015074995</v>
      </c>
      <c r="CF307" s="14">
        <v>302</v>
      </c>
      <c r="CG307" s="51">
        <f t="shared" si="431"/>
        <v>16028</v>
      </c>
      <c r="CH307" s="51">
        <f t="shared" si="432"/>
        <v>1085</v>
      </c>
      <c r="CI307" s="51">
        <f>INT(SUMPRODUCT($N307:$R307,$BA307:$BE307)/SUM($BA307:$BE307)/10000*$BX$7*$BZ$34/'疲劳值&amp;地图信息'!$R$10*$BY$53)</f>
        <v>3360</v>
      </c>
      <c r="CJ307" s="50">
        <f t="shared" si="433"/>
        <v>0.78288477506960386</v>
      </c>
      <c r="CK307" s="50">
        <f t="shared" si="434"/>
        <v>5.2996629707419529E-2</v>
      </c>
      <c r="CL307" s="50">
        <f t="shared" si="435"/>
        <v>0.16411859522297662</v>
      </c>
      <c r="CM307" s="14">
        <f t="shared" si="436"/>
        <v>17569</v>
      </c>
      <c r="CN307" s="14">
        <f t="shared" si="437"/>
        <v>1853</v>
      </c>
      <c r="CO307" s="14">
        <f>INT(SUMPRODUCT($U307:$Y307,$BA307:$BE307)/SUM($BA307:$BE307)/10000*$BX$7*$BZ$34/'疲劳值&amp;地图信息'!$R$10*$BY$54)</f>
        <v>6411</v>
      </c>
      <c r="CP307" s="50">
        <f t="shared" si="438"/>
        <v>0.68009909805287805</v>
      </c>
      <c r="CQ307" s="50">
        <f t="shared" si="439"/>
        <v>7.1729957805907171E-2</v>
      </c>
      <c r="CR307" s="50">
        <f t="shared" si="440"/>
        <v>0.24817094414121474</v>
      </c>
      <c r="CS307" s="14">
        <f t="shared" si="441"/>
        <v>19164</v>
      </c>
      <c r="CT307" s="14">
        <f t="shared" si="442"/>
        <v>3223</v>
      </c>
      <c r="CU307" s="14">
        <f>INT(SUMPRODUCT($AB307:$AF307,$BA307:$BE307)/SUM($BA307:$BE307)/10000*$BX$7*$BZ$34/'疲劳值&amp;地图信息'!$R$10*$BY$55)</f>
        <v>8710</v>
      </c>
      <c r="CV307" s="50">
        <f t="shared" si="443"/>
        <v>0.61626523458854554</v>
      </c>
      <c r="CW307" s="50">
        <f t="shared" si="444"/>
        <v>0.10364343827378847</v>
      </c>
      <c r="CX307" s="50">
        <f t="shared" si="445"/>
        <v>0.28009132713766599</v>
      </c>
      <c r="CY307" s="14">
        <f t="shared" si="446"/>
        <v>23117</v>
      </c>
      <c r="CZ307" s="14">
        <f t="shared" si="447"/>
        <v>8940</v>
      </c>
      <c r="DA307" s="14">
        <f>INT(SUMPRODUCT($AI307:$AM307,$BA307:$BE307)/SUM($BA307:$BE307)/10000*$BX$7*$BZ$34/'疲劳值&amp;地图信息'!$R$10*$BY$56)</f>
        <v>13140</v>
      </c>
      <c r="DB307" s="50">
        <f t="shared" si="448"/>
        <v>0.51147200035400575</v>
      </c>
      <c r="DC307" s="50">
        <f t="shared" si="449"/>
        <v>0.1978007389871009</v>
      </c>
      <c r="DD307" s="50">
        <f t="shared" si="450"/>
        <v>0.29072726065889332</v>
      </c>
      <c r="DE307" s="14">
        <f t="shared" si="451"/>
        <v>24097</v>
      </c>
      <c r="DF307" s="14">
        <f t="shared" si="452"/>
        <v>16118</v>
      </c>
      <c r="DG307" s="14">
        <f>INT(SUMPRODUCT($AP307:$AT307,$BA307:$BE307)/SUM($BA307:$BE307)/10000*$BX$7*$BZ$34/'疲劳值&amp;地图信息'!$R$10*$BY$57)</f>
        <v>17539</v>
      </c>
      <c r="DH307" s="50">
        <f t="shared" si="453"/>
        <v>0.41723516985836478</v>
      </c>
      <c r="DI307" s="50">
        <f t="shared" si="454"/>
        <v>0.27908023686671052</v>
      </c>
      <c r="DJ307" s="50">
        <f t="shared" si="455"/>
        <v>0.3036845932749247</v>
      </c>
      <c r="DL307" s="14">
        <f t="shared" si="526"/>
        <v>20473</v>
      </c>
      <c r="DM307" s="14">
        <f t="shared" si="527"/>
        <v>25833</v>
      </c>
      <c r="DN307" s="14">
        <f t="shared" si="528"/>
        <v>31097</v>
      </c>
      <c r="DO307" s="14">
        <f t="shared" si="529"/>
        <v>45197</v>
      </c>
      <c r="DP307" s="14">
        <f t="shared" si="530"/>
        <v>57754</v>
      </c>
      <c r="DQ307" s="14">
        <f t="shared" si="531"/>
        <v>1419710</v>
      </c>
      <c r="DT307" s="14">
        <f t="shared" si="525"/>
        <v>235575</v>
      </c>
      <c r="DU307" s="50">
        <f t="shared" si="427"/>
        <v>0.14231688198708983</v>
      </c>
      <c r="DW307" s="14">
        <f t="shared" si="456"/>
        <v>1655285</v>
      </c>
      <c r="EB307" s="14">
        <v>302</v>
      </c>
      <c r="EC307" s="51">
        <f t="shared" si="457"/>
        <v>26714</v>
      </c>
      <c r="ED307" s="51">
        <f t="shared" si="458"/>
        <v>1808</v>
      </c>
      <c r="EE307" s="51">
        <f>INT(SUMPRODUCT($N307:$R307,$BF307:$BJ307)/SUM($BF307:$BJ307)/10000*$BX$7*$BZ$46/'疲劳值&amp;地图信息'!$R$10*$BY$53)</f>
        <v>451</v>
      </c>
      <c r="EF307" s="50">
        <f t="shared" si="459"/>
        <v>0.92203085631449966</v>
      </c>
      <c r="EG307" s="50">
        <f t="shared" si="460"/>
        <v>6.2402926862941362E-2</v>
      </c>
      <c r="EH307" s="50">
        <f t="shared" si="461"/>
        <v>1.5566216822558935E-2</v>
      </c>
      <c r="EI307" s="51">
        <f t="shared" si="462"/>
        <v>29281</v>
      </c>
      <c r="EJ307" s="51">
        <f t="shared" si="463"/>
        <v>3089</v>
      </c>
      <c r="EK307" s="14">
        <f>INT(SUMPRODUCT($U307:$Y307,$BF307:$BJ307)/SUM($BF307:$BJ307)/10000*$BX$7*$BZ$46/'疲劳值&amp;地图信息'!$R$10*$BY$54)</f>
        <v>860</v>
      </c>
      <c r="EL307" s="50">
        <f t="shared" si="464"/>
        <v>0.88116160096298524</v>
      </c>
      <c r="EM307" s="50">
        <f t="shared" si="465"/>
        <v>9.2958170328016856E-2</v>
      </c>
      <c r="EN307" s="50">
        <f t="shared" si="466"/>
        <v>2.5880228708997893E-2</v>
      </c>
      <c r="EO307" s="51">
        <f t="shared" si="467"/>
        <v>31941</v>
      </c>
      <c r="EP307" s="51">
        <f t="shared" si="468"/>
        <v>5372</v>
      </c>
      <c r="EQ307" s="14">
        <f>INT(SUMPRODUCT($AB307:$AF307,$BF307:$BJ307)/SUM($BF307:$BJ307)/10000*$BX$7*$BZ$46/'疲劳值&amp;地图信息'!$R$10*$BY$55)</f>
        <v>1168</v>
      </c>
      <c r="ER307" s="50">
        <f t="shared" si="469"/>
        <v>0.83004599672565682</v>
      </c>
      <c r="ES307" s="50">
        <f t="shared" si="470"/>
        <v>0.13960136171097426</v>
      </c>
      <c r="ET307" s="50">
        <f t="shared" si="471"/>
        <v>3.0352641563368934E-2</v>
      </c>
      <c r="EU307" s="51">
        <f t="shared" si="472"/>
        <v>38528</v>
      </c>
      <c r="EV307" s="51">
        <f t="shared" si="473"/>
        <v>14900</v>
      </c>
      <c r="EW307" s="14">
        <f>INT(SUMPRODUCT($AI307:$AM307,$BF307:$BJ307)/SUM($BF307:$BJ307)/10000*$BX$7*$BZ$46/'疲劳值&amp;地图信息'!$R$10*$BY$56)</f>
        <v>1752</v>
      </c>
      <c r="EX307" s="50">
        <f t="shared" si="474"/>
        <v>0.69822399420079739</v>
      </c>
      <c r="EY307" s="50">
        <f t="shared" si="475"/>
        <v>0.2700253715114172</v>
      </c>
      <c r="EZ307" s="50">
        <f t="shared" si="476"/>
        <v>3.1750634287785427E-2</v>
      </c>
      <c r="FA307" s="51">
        <f t="shared" si="477"/>
        <v>40162</v>
      </c>
      <c r="FB307" s="51">
        <f t="shared" si="478"/>
        <v>26864</v>
      </c>
      <c r="FC307" s="14">
        <f>INT(SUMPRODUCT($AP307:$AT307,$BF307:$BJ307)/SUM($BF307:$BJ307)/10000*$BX$7*$BZ$46/'疲劳值&amp;地图信息'!$R$10*$BY$57)</f>
        <v>2336</v>
      </c>
      <c r="FD307" s="50">
        <f t="shared" si="479"/>
        <v>0.57902021279663218</v>
      </c>
      <c r="FE307" s="50">
        <f t="shared" si="480"/>
        <v>0.38730140422709841</v>
      </c>
      <c r="FF307" s="50">
        <f t="shared" si="481"/>
        <v>3.3678382976269426E-2</v>
      </c>
      <c r="FH307" s="14">
        <f t="shared" si="482"/>
        <v>28973</v>
      </c>
      <c r="FI307" s="14">
        <f t="shared" si="483"/>
        <v>33230</v>
      </c>
      <c r="FJ307" s="14">
        <f t="shared" si="484"/>
        <v>38481</v>
      </c>
      <c r="FK307" s="14">
        <f t="shared" si="485"/>
        <v>55180</v>
      </c>
      <c r="FL307" s="14">
        <f t="shared" si="486"/>
        <v>69362</v>
      </c>
      <c r="FM307" s="14">
        <f t="shared" si="487"/>
        <v>3420946</v>
      </c>
      <c r="FP307" s="14">
        <f t="shared" si="488"/>
        <v>334150</v>
      </c>
      <c r="FQ307" s="50">
        <f t="shared" si="428"/>
        <v>8.8985740977061578E-2</v>
      </c>
      <c r="FS307" s="14">
        <f t="shared" si="489"/>
        <v>3755096</v>
      </c>
      <c r="FX307" s="14">
        <v>302</v>
      </c>
      <c r="FY307" s="51">
        <f t="shared" si="490"/>
        <v>37399</v>
      </c>
      <c r="FZ307" s="51">
        <f t="shared" si="491"/>
        <v>1808</v>
      </c>
      <c r="GA307" s="51">
        <f>INT(SUMPRODUCT($N307:$R307,$BF307:$BJ307)/SUM($BF307:$BJ307)/10000*$BX$7*$BZ$46/'疲劳值&amp;地图信息'!$R$10*$BY$53)</f>
        <v>451</v>
      </c>
      <c r="GB307" s="50">
        <f t="shared" si="492"/>
        <v>0.94303797468354433</v>
      </c>
      <c r="GC307" s="50">
        <f t="shared" si="493"/>
        <v>4.5589792727822882E-2</v>
      </c>
      <c r="GD307" s="50">
        <f t="shared" si="494"/>
        <v>1.137223258863281E-2</v>
      </c>
      <c r="GE307" s="51">
        <f t="shared" si="495"/>
        <v>40994</v>
      </c>
      <c r="GF307" s="51">
        <f t="shared" si="496"/>
        <v>3089</v>
      </c>
      <c r="GG307" s="14">
        <f>INT(SUMPRODUCT($U307:$Y307,$BF307:$BJ307)/SUM($BF307:$BJ307)/10000*$BX$7*$BZ$46/'疲劳值&amp;地图信息'!$R$10*$BY$54)</f>
        <v>860</v>
      </c>
      <c r="GH307" s="50">
        <f t="shared" si="497"/>
        <v>0.91213314642992238</v>
      </c>
      <c r="GI307" s="50">
        <f t="shared" si="498"/>
        <v>6.8731504349954384E-2</v>
      </c>
      <c r="GJ307" s="50">
        <f t="shared" si="499"/>
        <v>1.9135349220123266E-2</v>
      </c>
      <c r="GK307" s="51">
        <f t="shared" si="500"/>
        <v>44717</v>
      </c>
      <c r="GL307" s="51">
        <f t="shared" si="501"/>
        <v>5372</v>
      </c>
      <c r="GM307" s="14">
        <f>INT(SUMPRODUCT($AB307:$AF307,$BF307:$BJ307)/SUM($BF307:$BJ307)/10000*$BX$7*$BZ$46/'疲劳值&amp;地图信息'!$R$10*$BY$55)</f>
        <v>1168</v>
      </c>
      <c r="GN307" s="50">
        <f t="shared" si="502"/>
        <v>0.87240767114735551</v>
      </c>
      <c r="GO307" s="50">
        <f t="shared" si="503"/>
        <v>0.10480519733890005</v>
      </c>
      <c r="GP307" s="50">
        <f t="shared" si="504"/>
        <v>2.2787131513744466E-2</v>
      </c>
      <c r="GQ307" s="51">
        <f t="shared" si="505"/>
        <v>53939</v>
      </c>
      <c r="GR307" s="51">
        <f t="shared" si="506"/>
        <v>14900</v>
      </c>
      <c r="GS307" s="14">
        <f>INT(SUMPRODUCT($AI307:$AM307,$BF307:$BJ307)/SUM($BF307:$BJ307)/10000*$BX$7*$BZ$46/'疲劳值&amp;地图信息'!$R$10*$BY$56)</f>
        <v>1752</v>
      </c>
      <c r="GT307" s="50">
        <f t="shared" si="507"/>
        <v>0.76410590585202076</v>
      </c>
      <c r="GU307" s="50">
        <f t="shared" si="508"/>
        <v>0.21107506622657279</v>
      </c>
      <c r="GV307" s="50">
        <f t="shared" si="509"/>
        <v>2.481902792140641E-2</v>
      </c>
      <c r="GW307" s="51">
        <f t="shared" si="510"/>
        <v>56228</v>
      </c>
      <c r="GX307" s="51">
        <f t="shared" si="511"/>
        <v>26864</v>
      </c>
      <c r="GY307" s="14">
        <f>INT(SUMPRODUCT($AP307:$AT307,$BF307:$BJ307)/SUM($BF307:$BJ307)/10000*$BX$7*$BZ$46/'疲劳值&amp;地图信息'!$R$10*$BY$57)</f>
        <v>2336</v>
      </c>
      <c r="GZ307" s="50">
        <f t="shared" si="512"/>
        <v>0.65819169358992369</v>
      </c>
      <c r="HA307" s="50">
        <f t="shared" si="513"/>
        <v>0.31446364189727022</v>
      </c>
      <c r="HB307" s="50">
        <f t="shared" si="514"/>
        <v>2.7344664512806104E-2</v>
      </c>
      <c r="HD307" s="14">
        <f t="shared" si="515"/>
        <v>39658</v>
      </c>
      <c r="HE307" s="14">
        <f t="shared" si="516"/>
        <v>44943</v>
      </c>
      <c r="HF307" s="14">
        <f t="shared" si="517"/>
        <v>51257</v>
      </c>
      <c r="HG307" s="14">
        <f t="shared" si="518"/>
        <v>70591</v>
      </c>
      <c r="HH307" s="14">
        <f t="shared" si="519"/>
        <v>85428</v>
      </c>
      <c r="HI307" s="14">
        <f t="shared" si="520"/>
        <v>4621940</v>
      </c>
      <c r="HL307" s="14">
        <f t="shared" si="521"/>
        <v>430050</v>
      </c>
      <c r="HM307" s="50">
        <f t="shared" si="429"/>
        <v>8.5124871585256501E-2</v>
      </c>
      <c r="HO307" s="14">
        <f t="shared" si="522"/>
        <v>5051990</v>
      </c>
    </row>
    <row r="308" spans="11:223" x14ac:dyDescent="0.2">
      <c r="K308" s="14">
        <v>303</v>
      </c>
      <c r="L308" s="12">
        <f>求节点(节奏总纲!D$4:D$163,标准城池设计!AB$4:AB$163,$K308)*求节点(节奏总纲!D$4:D$163,攻城基础信息!$AC$5:$AC$164,$K308)</f>
        <v>787581.86634740012</v>
      </c>
      <c r="M308" s="12">
        <f>INDEX(其他调用!$AA$5:$AA$404,MATCH(K308,其他调用!$X$5:$X$404,0))*MIN(INDEX(其他调用!$AH$5:$AH$364,MATCH('征服点（新）'!K308,其他调用!$AG$5:$AG$364,0),1)/INDEX(其他调用!$AJ$5:$AJ$364,MATCH(K308,其他调用!$AG$5:$AG$364,0),0),5)*求节点(节奏总纲!D$4:D$163,攻城基础信息!$AC$5:$AC$164,$K308)</f>
        <v>53220.553970571862</v>
      </c>
      <c r="N308" s="12">
        <f>MIN(INDEX(其他调用!$AH$5:$AH$364,MATCH($K308,其他调用!$AG$5:$AG$364,0),1)/INDEX(其他调用!AH$5:AH$364,MATCH($K308,其他调用!$AG$5:$AG$364,0),0),1)*INDEX(其他调用!Y$5:Y$404,MATCH($K308,其他调用!$X$5:$X$404,0),0)</f>
        <v>42530.389034361957</v>
      </c>
      <c r="O308" s="12">
        <f>MIN(INDEX(其他调用!$AH$5:$AH$364,MATCH($K308,其他调用!$AG$5:$AG$364,0),1)/INDEX(其他调用!AI$5:AI$364,MATCH($K308,其他调用!$AG$5:$AG$364,0),0),1)*INDEX(其他调用!Z$5:Z$404,MATCH($K308,其他调用!$X$5:$X$404,0),0)</f>
        <v>25567.878680085072</v>
      </c>
      <c r="P308" s="12">
        <f>MIN(INDEX(其他调用!$AH$5:$AH$364,MATCH($K308,其他调用!$AG$5:$AG$364,0),1)/INDEX(其他调用!AJ$5:AJ$364,MATCH($K308,其他调用!$AG$5:$AG$364,0),0),1)*INDEX(其他调用!AA$5:AA$404,MATCH($K308,其他调用!$X$5:$X$404,0),0)</f>
        <v>15205.872563020541</v>
      </c>
      <c r="Q308" s="12">
        <f>MIN(INDEX(其他调用!$AH$5:$AH$364,MATCH($K308,其他调用!$AG$5:$AG$364,0),1)/INDEX(其他调用!AK$5:AK$364,MATCH($K308,其他调用!$AG$5:$AG$364,0),0),1)*INDEX(其他调用!AB$5:AB$404,MATCH($K308,其他调用!$X$5:$X$404,0),0)</f>
        <v>5764.9637806951041</v>
      </c>
      <c r="R308" s="12">
        <f>MIN(INDEX(其他调用!$AH$5:$AH$364,MATCH($K308,其他调用!$AG$5:$AG$364,0),1)/INDEX(其他调用!AL$5:AL$364,MATCH($K308,其他调用!$AG$5:$AG$364,0),0),1)*INDEX(其他调用!AC$5:AC$404,MATCH($K308,其他调用!$X$5:$X$404,0),0)</f>
        <v>3412.3459339355827</v>
      </c>
      <c r="S308" s="12">
        <f>求节点(节奏总纲!D$4:D$163,标准城池设计!AC$4:AC$163,$K308)*求节点(节奏总纲!D$4:D$163,攻城基础信息!$AD$5:$AD$164,$K308)</f>
        <v>863322.88713550998</v>
      </c>
      <c r="T308" s="12">
        <f>INDEX(其他调用!$AA$5:$AA$404,MATCH($K308,其他调用!$X$5:$X$404,0))*MIN(INDEX(其他调用!AI$5:AI$364,MATCH($K308,其他调用!$AG$5:$AG$364,0),1)/INDEX(其他调用!$AJ$5:$AJ$364,MATCH($K308,其他调用!$AG$5:$AG$364,0),0),5)*求节点(节奏总纲!D$4:D$163,攻城基础信息!$AD$5:$AD$164,$K308)</f>
        <v>90941.252163442594</v>
      </c>
      <c r="U308" s="12">
        <f>MIN(INDEX(其他调用!$AI$5:$AI$364,MATCH($K308,其他调用!$AG$5:$AG$364,0),1)/INDEX(其他调用!AH$5:AH$364,MATCH($K308,其他调用!$AG$5:$AG$364,0),0),1)*INDEX(其他调用!Y$5:Y$404,MATCH($K308,其他调用!$X$5:$X$404,0),0)</f>
        <v>42530.389034361957</v>
      </c>
      <c r="V308" s="12">
        <f>MIN(INDEX(其他调用!$AI$5:$AI$364,MATCH($K308,其他调用!$AG$5:$AG$364,0),1)/INDEX(其他调用!AI$5:AI$364,MATCH($K308,其他调用!$AG$5:$AG$364,0),0),1)*INDEX(其他调用!Z$5:Z$404,MATCH($K308,其他调用!$X$5:$X$404,0),0)</f>
        <v>43689.415627195893</v>
      </c>
      <c r="W308" s="12">
        <f>MIN(INDEX(其他调用!$AI$5:$AI$364,MATCH($K308,其他调用!$AG$5:$AG$364,0),1)/INDEX(其他调用!AJ$5:AJ$364,MATCH($K308,其他调用!$AG$5:$AG$364,0),0),1)*INDEX(其他调用!AA$5:AA$404,MATCH($K308,其他调用!$X$5:$X$404,0),0)</f>
        <v>25983.214903840759</v>
      </c>
      <c r="X308" s="12">
        <f>MIN(INDEX(其他调用!$AI$5:$AI$364,MATCH($K308,其他调用!$AG$5:$AG$364,0),1)/INDEX(其他调用!AK$5:AK$364,MATCH($K308,其他调用!$AG$5:$AG$364,0),0),1)*INDEX(其他调用!AB$5:AB$404,MATCH($K308,其他调用!$X$5:$X$404,0),0)</f>
        <v>9850.9501645398504</v>
      </c>
      <c r="Y308" s="12">
        <f>MIN(INDEX(其他调用!$AI$5:$AI$364,MATCH($K308,其他调用!$AG$5:$AG$364,0),1)/INDEX(其他调用!AL$5:AL$364,MATCH($K308,其他调用!$AG$5:$AG$364,0),0),1)*INDEX(其他调用!AC$5:AC$404,MATCH($K308,其他调用!$X$5:$X$404,0),0)</f>
        <v>5830.886544670806</v>
      </c>
      <c r="Z308" s="12">
        <f>求节点(节奏总纲!D$4:D$163,标准城池设计!AD$4:AD$163,$K308)*求节点(节奏总纲!D$4:D$163,攻城基础信息!$AE$5:$AE$164,$K308)</f>
        <v>941672.50836204563</v>
      </c>
      <c r="AA308" s="12">
        <f>INDEX(其他调用!$AA$5:$AA$404,MATCH($K308,其他调用!$X$5:$X$404,0))*MIN(INDEX(其他调用!AJ$5:AJ$364,MATCH($K308,其他调用!$AG$5:$AG$364,0),1)/INDEX(其他调用!$AJ$5:$AJ$364,MATCH($K308,其他调用!$AG$5:$AG$364,0),0),5)*求节点(节奏总纲!D$4:D$163,攻城基础信息!$AE$5:$AE$164,$K308)</f>
        <v>158240.39274371354</v>
      </c>
      <c r="AB308" s="12">
        <f>MIN(INDEX(其他调用!$AJ$5:$AJ$364,MATCH($K308,其他调用!$AG$5:$AG$364,0),1)/INDEX(其他调用!AH$5:AH$364,MATCH($K308,其他调用!$AG$5:$AG$364,0),0),1)*INDEX(其他调用!Y$5:Y$404,MATCH($K308,其他调用!$X$5:$X$404,0),0)</f>
        <v>42530.389034361957</v>
      </c>
      <c r="AC308" s="12">
        <f>MIN(INDEX(其他调用!$AJ$5:$AJ$364,MATCH($K308,其他调用!$AG$5:$AG$364,0),1)/INDEX(其他调用!AI$5:AI$364,MATCH($K308,其他调用!$AG$5:$AG$364,0),0),1)*INDEX(其他调用!Z$5:Z$404,MATCH($K308,其他调用!$X$5:$X$404,0),0)</f>
        <v>43689.415627195893</v>
      </c>
      <c r="AD308" s="12">
        <f>MIN(INDEX(其他调用!$AJ$5:$AJ$364,MATCH($K308,其他调用!$AG$5:$AG$364,0),1)/INDEX(其他调用!AJ$5:AJ$364,MATCH($K308,其他调用!$AG$5:$AG$364,0),0),1)*INDEX(其他调用!AA$5:AA$404,MATCH($K308,其他调用!$X$5:$X$404,0),0)</f>
        <v>45211.540783918186</v>
      </c>
      <c r="AE308" s="12">
        <f>MIN(INDEX(其他调用!$AJ$5:$AJ$364,MATCH($K308,其他调用!$AG$5:$AG$364,0),1)/INDEX(其他调用!AK$5:AK$364,MATCH($K308,其他调用!$AG$5:$AG$364,0),0),1)*INDEX(其他调用!AB$5:AB$404,MATCH($K308,其他调用!$X$5:$X$404,0),0)</f>
        <v>17140.936438108158</v>
      </c>
      <c r="AF308" s="12">
        <f>MIN(INDEX(其他调用!$AJ$5:$AJ$364,MATCH($K308,其他调用!$AG$5:$AG$364,0),1)/INDEX(其他调用!AL$5:AL$364,MATCH($K308,其他调用!$AG$5:$AG$364,0),0),1)*INDEX(其他调用!AC$5:AC$404,MATCH($K308,其他调用!$X$5:$X$404,0),0)</f>
        <v>10145.910188419984</v>
      </c>
      <c r="AG308" s="12">
        <f>求节点(节奏总纲!D$4:D$163,标准城池设计!AE$4:AE$163,$K308)*求节点(节奏总纲!D$4:D$163,攻城基础信息!$AF$5:$AF$164,$K308)</f>
        <v>1135592.5825647095</v>
      </c>
      <c r="AH308" s="12">
        <f>INDEX(其他调用!$AA$5:$AA$404,MATCH($K308,其他调用!$X$5:$X$404,0))*MIN(INDEX(其他调用!AK$5:AK$364,MATCH($K308,其他调用!$AG$5:$AG$364,0),1)/INDEX(其他调用!$AJ$5:$AJ$364,MATCH($K308,其他调用!$AG$5:$AG$364,0),0),5)*求节点(节奏总纲!D$4:D$163,攻城基础信息!$AF$5:$AF$164,$K308)</f>
        <v>438223.64819125622</v>
      </c>
      <c r="AI308" s="12">
        <f>MIN(INDEX(其他调用!$AK$5:$AK$364,MATCH($K308,其他调用!$AG$5:$AG$364,0),1)/INDEX(其他调用!AH$5:AH$364,MATCH($K308,其他调用!$AG$5:$AG$364,0),0),1)*INDEX(其他调用!Y$5:Y$404,MATCH($K308,其他调用!$X$5:$X$404,0),0)</f>
        <v>42530.389034361957</v>
      </c>
      <c r="AJ308" s="12">
        <f>MIN(INDEX(其他调用!$AK$5:$AK$364,MATCH($K308,其他调用!$AG$5:$AG$364,0),1)/INDEX(其他调用!AI$5:AI$364,MATCH($K308,其他调用!$AG$5:$AG$364,0),0),1)*INDEX(其他调用!Z$5:Z$404,MATCH($K308,其他调用!$X$5:$X$404,0),0)</f>
        <v>43689.415627195893</v>
      </c>
      <c r="AK308" s="12">
        <f>MIN(INDEX(其他调用!$AK$5:$AK$364,MATCH($K308,其他调用!$AG$5:$AG$364,0),1)/INDEX(其他调用!AJ$5:AJ$364,MATCH($K308,其他调用!$AG$5:$AG$364,0),0),1)*INDEX(其他调用!AA$5:AA$404,MATCH($K308,其他调用!$X$5:$X$404,0),0)</f>
        <v>45211.540783918186</v>
      </c>
      <c r="AL308" s="12">
        <f>MIN(INDEX(其他调用!$AK$5:$AK$364,MATCH($K308,其他调用!$AG$5:$AG$364,0),1)/INDEX(其他调用!AK$5:AK$364,MATCH($K308,其他调用!$AG$5:$AG$364,0),0),1)*INDEX(其他调用!AB$5:AB$404,MATCH($K308,其他调用!$X$5:$X$404,0),0)</f>
        <v>47469.319110500044</v>
      </c>
      <c r="AM308" s="12">
        <f>MIN(INDEX(其他调用!$AK$5:$AK$364,MATCH($K308,其他调用!$AG$5:$AG$364,0),1)/INDEX(其他调用!AL$5:AL$364,MATCH($K308,其他调用!$AG$5:$AG$364,0),0),1)*INDEX(其他调用!AC$5:AC$404,MATCH($K308,其他调用!$X$5:$X$404,0),0)</f>
        <v>28097.615911452391</v>
      </c>
      <c r="AN308" s="12">
        <f>求节点(节奏总纲!D$4:D$163,标准城池设计!AF$4:AF$163,$K308)*求节点(节奏总纲!D$4:D$163,攻城基础信息!$AG$5:$AG$164,$K308)</f>
        <v>1183354.2957228529</v>
      </c>
      <c r="AO308" s="12">
        <f>INDEX(其他调用!$AA$5:$AA$404,MATCH($K308,其他调用!$X$5:$X$404,0))*MIN(INDEX(其他调用!AL$5:AL$364,MATCH($K308,其他调用!$AG$5:$AG$364,0),1)/INDEX(其他调用!$AJ$5:$AJ$364,MATCH($K308,其他调用!$AG$5:$AG$364,0),0),5)*求节点(节奏总纲!D$4:D$163,攻城基础信息!$AG$5:$AG$164,$K308)</f>
        <v>791201.96371856774</v>
      </c>
      <c r="AP308" s="12">
        <f>MIN(INDEX(其他调用!$AL$5:$AL$364,MATCH($K308,其他调用!$AG$5:$AG$364,0),1)/INDEX(其他调用!AH$5:AH$364,MATCH($K308,其他调用!$AG$5:$AG$364,0),0),1)*INDEX(其他调用!Y$5:Y$404,MATCH($K308,其他调用!$X$5:$X$404,0),0)</f>
        <v>42530.389034361957</v>
      </c>
      <c r="AQ308" s="12">
        <f>MIN(INDEX(其他调用!$AL$5:$AL$364,MATCH($K308,其他调用!$AG$5:$AG$364,0),1)/INDEX(其他调用!AI$5:AI$364,MATCH($K308,其他调用!$AG$5:$AG$364,0),0),1)*INDEX(其他调用!Z$5:Z$404,MATCH($K308,其他调用!$X$5:$X$404,0),0)</f>
        <v>43689.415627195893</v>
      </c>
      <c r="AR308" s="12">
        <f>MIN(INDEX(其他调用!$AL$5:$AL$364,MATCH($K308,其他调用!$AG$5:$AG$364,0),1)/INDEX(其他调用!AJ$5:AJ$364,MATCH($K308,其他调用!$AG$5:$AG$364,0),0),1)*INDEX(其他调用!AA$5:AA$404,MATCH($K308,其他调用!$X$5:$X$404,0),0)</f>
        <v>45211.540783918186</v>
      </c>
      <c r="AS308" s="12">
        <f>MIN(INDEX(其他调用!$AL$5:$AL$364,MATCH($K308,其他调用!$AG$5:$AG$364,0),1)/INDEX(其他调用!AK$5:AK$364,MATCH($K308,其他调用!$AG$5:$AG$364,0),0),1)*INDEX(其他调用!AB$5:AB$404,MATCH($K308,其他调用!$X$5:$X$404,0),0)</f>
        <v>47469.319110500044</v>
      </c>
      <c r="AT308" s="12">
        <f>MIN(INDEX(其他调用!$AL$5:$AL$364,MATCH($K308,其他调用!$AG$5:$AG$364,0),1)/INDEX(其他调用!AL$5:AL$364,MATCH($K308,其他调用!$AG$5:$AG$364,0),0),1)*INDEX(其他调用!AC$5:AC$404,MATCH($K308,其他调用!$X$5:$X$404,0),0)</f>
        <v>51363.100649328</v>
      </c>
      <c r="AV308" s="14">
        <f>IF(OR(AV$5="大R",AV$5="超R"),MAX(INDEX(其他调用!$H$5:$L$404,MATCH($K308,其他调用!$B$5:$B$404,0),MATCH(AV$5,其他调用!$H$4:$L$4,0))*120*0.85,2),INDEX(其他调用!$H$5:$L$404,MATCH($K308,其他调用!$B$5:$B$404,0),MATCH(AV$5,其他调用!$H$4:$L$4,0))*120*0.85)</f>
        <v>48.921801254999991</v>
      </c>
      <c r="AW308" s="14">
        <f>IF(OR(AW$5="大R",AW$5="超R"),MAX(INDEX(其他调用!$H$5:$L$404,MATCH($K308,其他调用!$B$5:$B$404,0),MATCH(AW$5,其他调用!$H$4:$L$4,0))*120*0.85,2),INDEX(其他调用!$H$5:$L$404,MATCH($K308,其他调用!$B$5:$B$404,0),MATCH(AW$5,其他调用!$H$4:$L$4,0))*120*0.85)</f>
        <v>48.237344010638395</v>
      </c>
      <c r="AX308" s="14">
        <f>IF(OR(AX$5="大R",AX$5="超R"),MAX(INDEX(其他调用!$H$5:$L$404,MATCH($K308,其他调用!$B$5:$B$404,0),MATCH(AX$5,其他调用!$H$4:$L$4,0))*120*0.85,2),INDEX(其他调用!$H$5:$L$404,MATCH($K308,其他调用!$B$5:$B$404,0),MATCH(AX$5,其他调用!$H$4:$L$4,0))*120*0.85)</f>
        <v>3.9376284143615998</v>
      </c>
      <c r="AY308" s="14">
        <f>IF(OR(AY$5="大R",AY$5="超R"),MAX(INDEX(其他调用!$H$5:$L$404,MATCH($K308,其他调用!$B$5:$B$404,0),MATCH(AY$5,其他调用!$H$4:$L$4,0))*120*0.85,2),INDEX(其他调用!$H$5:$L$404,MATCH($K308,其他调用!$B$5:$B$404,0),MATCH(AY$5,其他调用!$H$4:$L$4,0))*120*0.85)</f>
        <v>2</v>
      </c>
      <c r="AZ308" s="14">
        <f>IF(OR(AZ$5="大R",AZ$5="超R"),MAX(INDEX(其他调用!$H$5:$L$404,MATCH($K308,其他调用!$B$5:$B$404,0),MATCH(AZ$5,其他调用!$H$4:$L$4,0))*120*0.85,2),INDEX(其他调用!$H$5:$L$404,MATCH($K308,其他调用!$B$5:$B$404,0),MATCH(AZ$5,其他调用!$H$4:$L$4,0))*120*0.85)</f>
        <v>2</v>
      </c>
      <c r="BA308" s="14">
        <f>INDEX(其他调用!$H$5:$L$404,MATCH($K308,其他调用!$B$5:$B$404,0),MATCH(BA$5,其他调用!$H$4:$L$4,0))*INDEX(其他调用!$M$5:$M$404,MATCH($K308,其他调用!$B$5:$B$404,0))*0.6</f>
        <v>28.777530149999997</v>
      </c>
      <c r="BB308" s="14">
        <f>INDEX(其他调用!$H$5:$L$404,MATCH($K308,其他调用!$B$5:$B$404,0),MATCH(BB$5,其他调用!$H$4:$L$4,0))*INDEX(其他调用!$M$5:$M$404,MATCH($K308,其他调用!$B$5:$B$404,0))*0.6</f>
        <v>28.374908241551999</v>
      </c>
      <c r="BC308" s="14">
        <f>INDEX(其他调用!$H$5:$L$404,MATCH($K308,其他调用!$B$5:$B$404,0),MATCH(BC$5,其他调用!$H$4:$L$4,0))*INDEX(其他调用!$M$5:$M$404,MATCH($K308,其他调用!$B$5:$B$404,0))*0.6</f>
        <v>2.3162520084480001</v>
      </c>
      <c r="BD308" s="14">
        <f>INDEX(其他调用!$H$5:$L$404,MATCH($K308,其他调用!$B$5:$B$404,0),MATCH(BD$5,其他调用!$H$4:$L$4,0))*INDEX(其他调用!$M$5:$M$404,MATCH($K308,其他调用!$B$5:$B$404,0))*0.6</f>
        <v>0.4120776000000001</v>
      </c>
      <c r="BE308" s="14">
        <f>INDEX(其他调用!$H$5:$L$404,MATCH($K308,其他调用!$B$5:$B$404,0),MATCH(BE$5,其他调用!$H$4:$L$4,0))*INDEX(其他调用!$M$5:$M$404,MATCH($K308,其他调用!$B$5:$B$404,0))*0.6</f>
        <v>0.11923199999999998</v>
      </c>
      <c r="BF308" s="14">
        <f>IF(OR(BF$5="大R",BF$5="超R"),0,INDEX(其他调用!$H$5:$L$404,MATCH($K308,其他调用!$B$5:$B$404,0),MATCH(BF$5,其他调用!$H$4:$L$4,0))*50*0.4)</f>
        <v>9.5925100500000013</v>
      </c>
      <c r="BG308" s="14">
        <f>IF(OR(BG$5="大R",BG$5="超R"),0,INDEX(其他调用!$H$5:$L$404,MATCH($K308,其他调用!$B$5:$B$404,0),MATCH(BG$5,其他调用!$H$4:$L$4,0))*50*0.4)</f>
        <v>9.4583027471839998</v>
      </c>
      <c r="BH308" s="14">
        <f>IF(OR(BH$5="大R",BH$5="超R"),0,INDEX(其他调用!$H$5:$L$404,MATCH($K308,其他调用!$B$5:$B$404,0),MATCH(BH$5,其他调用!$H$4:$L$4,0))*50*0.4)</f>
        <v>0.77208400281600009</v>
      </c>
      <c r="BI308" s="14">
        <f>IF(OR(BI$5="大R",BI$5="超R"),0,INDEX(其他调用!$H$5:$L$404,MATCH($K308,其他调用!$B$5:$B$404,0),MATCH(BI$5,其他调用!$H$4:$L$4,0))*50*0.4)</f>
        <v>0</v>
      </c>
      <c r="BJ308" s="14">
        <f>IF(OR(BJ$5="大R",BJ$5="超R"),0,INDEX(其他调用!$H$5:$L$404,MATCH($K308,其他调用!$B$5:$B$404,0),MATCH(BJ$5,其他调用!$H$4:$L$4,0))*50*0.4)</f>
        <v>0</v>
      </c>
      <c r="BL308" s="14">
        <f t="shared" si="523"/>
        <v>303</v>
      </c>
      <c r="BM308" s="14">
        <f t="shared" si="430"/>
        <v>96</v>
      </c>
      <c r="BN308" s="14">
        <f>('疲劳值&amp;地图信息'!$S$10*'疲劳值&amp;地图信息'!$R$10+'疲劳值&amp;地图信息'!$S$11*'疲劳值&amp;地图信息'!$R$11+'疲劳值&amp;地图信息'!$S$12*'疲劳值&amp;地图信息'!$R$12+(BM308-'疲劳值&amp;地图信息'!$S$12-'疲劳值&amp;地图信息'!$S$11-'疲劳值&amp;地图信息'!$S$10)*'疲劳值&amp;地图信息'!$R$13)/BM308</f>
        <v>51.371477246638619</v>
      </c>
      <c r="BO308" s="14">
        <f>INDEX(其他调用!$M$5:$M$404,MATCH(BL308,其他调用!$B$5:$B$404,0))*0.6</f>
        <v>60</v>
      </c>
      <c r="BP308" s="14">
        <f>IF(BO308&gt;SUM('疲劳值&amp;地图信息'!$S$10:$S$12),('疲劳值&amp;地图信息'!$S$10*'疲劳值&amp;地图信息'!$R$10+'疲劳值&amp;地图信息'!$S$11*'疲劳值&amp;地图信息'!$R$11+'疲劳值&amp;地图信息'!$S$12*'疲劳值&amp;地图信息'!$R$12+(BO308-'疲劳值&amp;地图信息'!$S$12-'疲劳值&amp;地图信息'!$S$11-'疲劳值&amp;地图信息'!$S$10)*'疲劳值&amp;地图信息'!$R$13)/BO308,('疲劳值&amp;地图信息'!$S$10*'疲劳值&amp;地图信息'!$R$10+'疲劳值&amp;地图信息'!$S$11*'疲劳值&amp;地图信息'!$R$11+'疲劳值&amp;地图信息'!$S$12*'疲劳值&amp;地图信息'!$R$12+(BO308-'疲劳值&amp;地图信息'!$S$12-'疲劳值&amp;地图信息'!$S$11-'疲劳值&amp;地图信息'!$S$10)*'疲劳值&amp;地图信息'!$R$13)/BO308)</f>
        <v>44.158136341605953</v>
      </c>
      <c r="BQ308" s="14">
        <f t="shared" si="524"/>
        <v>20</v>
      </c>
      <c r="BR308" s="14">
        <f>('疲劳值&amp;地图信息'!$S$10*'疲劳值&amp;地图信息'!$R$10+($BQ308-'疲劳值&amp;地图信息'!$S$10)*'疲劳值&amp;地图信息'!$R$11)/$BQ308</f>
        <v>32.067203015074995</v>
      </c>
      <c r="CF308" s="14">
        <v>303</v>
      </c>
      <c r="CG308" s="51">
        <f t="shared" si="431"/>
        <v>16051</v>
      </c>
      <c r="CH308" s="51">
        <f t="shared" si="432"/>
        <v>1084</v>
      </c>
      <c r="CI308" s="51">
        <f>INT(SUMPRODUCT($N308:$R308,$BA308:$BE308)/SUM($BA308:$BE308)/10000*$BX$7*$BZ$34/'疲劳值&amp;地图信息'!$R$10*$BY$53)</f>
        <v>3360</v>
      </c>
      <c r="CJ308" s="50">
        <f t="shared" si="433"/>
        <v>0.78316662600634301</v>
      </c>
      <c r="CK308" s="50">
        <f t="shared" si="434"/>
        <v>5.2890949011954132E-2</v>
      </c>
      <c r="CL308" s="50">
        <f t="shared" si="435"/>
        <v>0.16394242498170286</v>
      </c>
      <c r="CM308" s="14">
        <f t="shared" si="436"/>
        <v>17595</v>
      </c>
      <c r="CN308" s="14">
        <f t="shared" si="437"/>
        <v>1853</v>
      </c>
      <c r="CO308" s="14">
        <f>INT(SUMPRODUCT($U308:$Y308,$BA308:$BE308)/SUM($BA308:$BE308)/10000*$BX$7*$BZ$34/'疲劳值&amp;地图信息'!$R$10*$BY$54)</f>
        <v>6414</v>
      </c>
      <c r="CP308" s="50">
        <f t="shared" si="438"/>
        <v>0.68034181424483797</v>
      </c>
      <c r="CQ308" s="50">
        <f t="shared" si="439"/>
        <v>7.1649524398731734E-2</v>
      </c>
      <c r="CR308" s="50">
        <f t="shared" si="440"/>
        <v>0.24800866135643029</v>
      </c>
      <c r="CS308" s="14">
        <f t="shared" si="441"/>
        <v>19192</v>
      </c>
      <c r="CT308" s="14">
        <f t="shared" si="442"/>
        <v>3225</v>
      </c>
      <c r="CU308" s="14">
        <f>INT(SUMPRODUCT($AB308:$AF308,$BA308:$BE308)/SUM($BA308:$BE308)/10000*$BX$7*$BZ$34/'疲劳值&amp;地图信息'!$R$10*$BY$55)</f>
        <v>8714</v>
      </c>
      <c r="CV308" s="50">
        <f t="shared" si="443"/>
        <v>0.61649160001284897</v>
      </c>
      <c r="CW308" s="50">
        <f t="shared" si="444"/>
        <v>0.10359448780957888</v>
      </c>
      <c r="CX308" s="50">
        <f t="shared" si="445"/>
        <v>0.27991391217757222</v>
      </c>
      <c r="CY308" s="14">
        <f t="shared" si="446"/>
        <v>23144</v>
      </c>
      <c r="CZ308" s="14">
        <f t="shared" si="447"/>
        <v>8931</v>
      </c>
      <c r="DA308" s="14">
        <f>INT(SUMPRODUCT($AI308:$AM308,$BA308:$BE308)/SUM($BA308:$BE308)/10000*$BX$7*$BZ$34/'疲劳值&amp;地图信息'!$R$10*$BY$56)</f>
        <v>13146</v>
      </c>
      <c r="DB308" s="50">
        <f t="shared" si="448"/>
        <v>0.51179761615178787</v>
      </c>
      <c r="DC308" s="50">
        <f t="shared" si="449"/>
        <v>0.19749673824108269</v>
      </c>
      <c r="DD308" s="50">
        <f t="shared" si="450"/>
        <v>0.29070564560712941</v>
      </c>
      <c r="DE308" s="14">
        <f t="shared" si="451"/>
        <v>24118</v>
      </c>
      <c r="DF308" s="14">
        <f t="shared" si="452"/>
        <v>16125</v>
      </c>
      <c r="DG308" s="14">
        <f>INT(SUMPRODUCT($AP308:$AT308,$BA308:$BE308)/SUM($BA308:$BE308)/10000*$BX$7*$BZ$34/'疲劳值&amp;地图信息'!$R$10*$BY$57)</f>
        <v>17547</v>
      </c>
      <c r="DH308" s="50">
        <f t="shared" si="453"/>
        <v>0.41733863990309744</v>
      </c>
      <c r="DI308" s="50">
        <f t="shared" si="454"/>
        <v>0.27902751341062465</v>
      </c>
      <c r="DJ308" s="50">
        <f t="shared" si="455"/>
        <v>0.30363384668627791</v>
      </c>
      <c r="DL308" s="14">
        <f t="shared" si="526"/>
        <v>20495</v>
      </c>
      <c r="DM308" s="14">
        <f t="shared" si="527"/>
        <v>25862</v>
      </c>
      <c r="DN308" s="14">
        <f t="shared" si="528"/>
        <v>31131</v>
      </c>
      <c r="DO308" s="14">
        <f t="shared" si="529"/>
        <v>45221</v>
      </c>
      <c r="DP308" s="14">
        <f t="shared" si="530"/>
        <v>57790</v>
      </c>
      <c r="DQ308" s="14">
        <f t="shared" si="531"/>
        <v>1421259</v>
      </c>
      <c r="DT308" s="14">
        <f t="shared" si="525"/>
        <v>235575</v>
      </c>
      <c r="DU308" s="50">
        <f t="shared" si="427"/>
        <v>0.14218382770995766</v>
      </c>
      <c r="DW308" s="14">
        <f t="shared" si="456"/>
        <v>1656834</v>
      </c>
      <c r="EB308" s="14">
        <v>303</v>
      </c>
      <c r="EC308" s="51">
        <f t="shared" si="457"/>
        <v>26753</v>
      </c>
      <c r="ED308" s="51">
        <f t="shared" si="458"/>
        <v>1807</v>
      </c>
      <c r="EE308" s="51">
        <f>INT(SUMPRODUCT($N308:$R308,$BF308:$BJ308)/SUM($BF308:$BJ308)/10000*$BX$7*$BZ$46/'疲劳值&amp;地图信息'!$R$10*$BY$53)</f>
        <v>451</v>
      </c>
      <c r="EF308" s="50">
        <f t="shared" si="459"/>
        <v>0.9221674537244493</v>
      </c>
      <c r="EG308" s="50">
        <f t="shared" si="460"/>
        <v>6.2286718830788325E-2</v>
      </c>
      <c r="EH308" s="50">
        <f t="shared" si="461"/>
        <v>1.5545827444762331E-2</v>
      </c>
      <c r="EI308" s="51">
        <f t="shared" si="462"/>
        <v>29326</v>
      </c>
      <c r="EJ308" s="51">
        <f t="shared" si="463"/>
        <v>3089</v>
      </c>
      <c r="EK308" s="14">
        <f>INT(SUMPRODUCT($U308:$Y308,$BF308:$BJ308)/SUM($BF308:$BJ308)/10000*$BX$7*$BZ$46/'疲劳值&amp;地图信息'!$R$10*$BY$54)</f>
        <v>861</v>
      </c>
      <c r="EL308" s="50">
        <f t="shared" si="464"/>
        <v>0.88129582882558</v>
      </c>
      <c r="EM308" s="50">
        <f t="shared" si="465"/>
        <v>9.2829667027286927E-2</v>
      </c>
      <c r="EN308" s="50">
        <f t="shared" si="466"/>
        <v>2.5874504147133069E-2</v>
      </c>
      <c r="EO308" s="51">
        <f t="shared" si="467"/>
        <v>31987</v>
      </c>
      <c r="EP308" s="51">
        <f t="shared" si="468"/>
        <v>5375</v>
      </c>
      <c r="EQ308" s="14">
        <f>INT(SUMPRODUCT($AB308:$AF308,$BF308:$BJ308)/SUM($BF308:$BJ308)/10000*$BX$7*$BZ$46/'疲劳值&amp;地图信息'!$R$10*$BY$55)</f>
        <v>1168</v>
      </c>
      <c r="ER308" s="50">
        <f t="shared" si="469"/>
        <v>0.83018427199584743</v>
      </c>
      <c r="ES308" s="50">
        <f t="shared" si="470"/>
        <v>0.13950168699714507</v>
      </c>
      <c r="ET308" s="50">
        <f t="shared" si="471"/>
        <v>3.0314041007007526E-2</v>
      </c>
      <c r="EU308" s="51">
        <f t="shared" si="472"/>
        <v>38574</v>
      </c>
      <c r="EV308" s="51">
        <f t="shared" si="473"/>
        <v>14885</v>
      </c>
      <c r="EW308" s="14">
        <f>INT(SUMPRODUCT($AI308:$AM308,$BF308:$BJ308)/SUM($BF308:$BJ308)/10000*$BX$7*$BZ$46/'疲劳值&amp;地图信息'!$R$10*$BY$56)</f>
        <v>1752</v>
      </c>
      <c r="EX308" s="50">
        <f t="shared" si="474"/>
        <v>0.69866512108094403</v>
      </c>
      <c r="EY308" s="50">
        <f t="shared" si="475"/>
        <v>0.26960207205085945</v>
      </c>
      <c r="EZ308" s="50">
        <f t="shared" si="476"/>
        <v>3.1732806868196552E-2</v>
      </c>
      <c r="FA308" s="51">
        <f t="shared" si="477"/>
        <v>40197</v>
      </c>
      <c r="FB308" s="51">
        <f t="shared" si="478"/>
        <v>26876</v>
      </c>
      <c r="FC308" s="14">
        <f>INT(SUMPRODUCT($AP308:$AT308,$BF308:$BJ308)/SUM($BF308:$BJ308)/10000*$BX$7*$BZ$46/'疲劳值&amp;地图信息'!$R$10*$BY$57)</f>
        <v>2337</v>
      </c>
      <c r="FD308" s="50">
        <f t="shared" si="479"/>
        <v>0.57912404552658114</v>
      </c>
      <c r="FE308" s="50">
        <f t="shared" si="480"/>
        <v>0.38720645440138307</v>
      </c>
      <c r="FF308" s="50">
        <f t="shared" si="481"/>
        <v>3.366950007203573E-2</v>
      </c>
      <c r="FH308" s="14">
        <f t="shared" si="482"/>
        <v>29011</v>
      </c>
      <c r="FI308" s="14">
        <f t="shared" si="483"/>
        <v>33276</v>
      </c>
      <c r="FJ308" s="14">
        <f t="shared" si="484"/>
        <v>38530</v>
      </c>
      <c r="FK308" s="14">
        <f t="shared" si="485"/>
        <v>55211</v>
      </c>
      <c r="FL308" s="14">
        <f t="shared" si="486"/>
        <v>69410</v>
      </c>
      <c r="FM308" s="14">
        <f t="shared" si="487"/>
        <v>3425375</v>
      </c>
      <c r="FP308" s="14">
        <f t="shared" si="488"/>
        <v>334150</v>
      </c>
      <c r="FQ308" s="50">
        <f t="shared" si="428"/>
        <v>8.8880909157406859E-2</v>
      </c>
      <c r="FS308" s="14">
        <f t="shared" si="489"/>
        <v>3759525</v>
      </c>
      <c r="FX308" s="14">
        <v>303</v>
      </c>
      <c r="FY308" s="51">
        <f t="shared" si="490"/>
        <v>37454</v>
      </c>
      <c r="FZ308" s="51">
        <f t="shared" si="491"/>
        <v>1807</v>
      </c>
      <c r="GA308" s="51">
        <f>INT(SUMPRODUCT($N308:$R308,$BF308:$BJ308)/SUM($BF308:$BJ308)/10000*$BX$7*$BZ$46/'疲劳值&amp;地图信息'!$R$10*$BY$53)</f>
        <v>451</v>
      </c>
      <c r="GB308" s="50">
        <f t="shared" si="492"/>
        <v>0.94314061240934732</v>
      </c>
      <c r="GC308" s="50">
        <f t="shared" si="493"/>
        <v>4.5502618855761484E-2</v>
      </c>
      <c r="GD308" s="50">
        <f t="shared" si="494"/>
        <v>1.1356768734891217E-2</v>
      </c>
      <c r="GE308" s="51">
        <f t="shared" si="495"/>
        <v>41056</v>
      </c>
      <c r="GF308" s="51">
        <f t="shared" si="496"/>
        <v>3089</v>
      </c>
      <c r="GG308" s="14">
        <f>INT(SUMPRODUCT($U308:$Y308,$BF308:$BJ308)/SUM($BF308:$BJ308)/10000*$BX$7*$BZ$46/'疲劳值&amp;地图信息'!$R$10*$BY$54)</f>
        <v>861</v>
      </c>
      <c r="GH308" s="50">
        <f t="shared" si="497"/>
        <v>0.9122339243656401</v>
      </c>
      <c r="GI308" s="50">
        <f t="shared" si="498"/>
        <v>6.8635293072034836E-2</v>
      </c>
      <c r="GJ308" s="50">
        <f t="shared" si="499"/>
        <v>1.9130782562325022E-2</v>
      </c>
      <c r="GK308" s="51">
        <f t="shared" si="500"/>
        <v>44782</v>
      </c>
      <c r="GL308" s="51">
        <f t="shared" si="501"/>
        <v>5375</v>
      </c>
      <c r="GM308" s="14">
        <f>INT(SUMPRODUCT($AB308:$AF308,$BF308:$BJ308)/SUM($BF308:$BJ308)/10000*$BX$7*$BZ$46/'疲劳值&amp;地图信息'!$R$10*$BY$55)</f>
        <v>1168</v>
      </c>
      <c r="GN308" s="50">
        <f t="shared" si="502"/>
        <v>0.872518265952265</v>
      </c>
      <c r="GO308" s="50">
        <f t="shared" si="503"/>
        <v>0.10472479298587432</v>
      </c>
      <c r="GP308" s="50">
        <f t="shared" si="504"/>
        <v>2.2756941061860693E-2</v>
      </c>
      <c r="GQ308" s="51">
        <f t="shared" si="505"/>
        <v>54004</v>
      </c>
      <c r="GR308" s="51">
        <f t="shared" si="506"/>
        <v>14885</v>
      </c>
      <c r="GS308" s="14">
        <f>INT(SUMPRODUCT($AI308:$AM308,$BF308:$BJ308)/SUM($BF308:$BJ308)/10000*$BX$7*$BZ$46/'疲劳值&amp;地图信息'!$R$10*$BY$56)</f>
        <v>1752</v>
      </c>
      <c r="GT308" s="50">
        <f t="shared" si="507"/>
        <v>0.76448521396922464</v>
      </c>
      <c r="GU308" s="50">
        <f t="shared" si="508"/>
        <v>0.21071332512280402</v>
      </c>
      <c r="GV308" s="50">
        <f t="shared" si="509"/>
        <v>2.4801460907971293E-2</v>
      </c>
      <c r="GW308" s="51">
        <f t="shared" si="510"/>
        <v>56276</v>
      </c>
      <c r="GX308" s="51">
        <f t="shared" si="511"/>
        <v>26876</v>
      </c>
      <c r="GY308" s="14">
        <f>INT(SUMPRODUCT($AP308:$AT308,$BF308:$BJ308)/SUM($BF308:$BJ308)/10000*$BX$7*$BZ$46/'疲劳值&amp;地图信息'!$R$10*$BY$57)</f>
        <v>2337</v>
      </c>
      <c r="GZ308" s="50">
        <f t="shared" si="512"/>
        <v>0.6582835218566131</v>
      </c>
      <c r="HA308" s="50">
        <f t="shared" si="513"/>
        <v>0.31437962778837042</v>
      </c>
      <c r="HB308" s="50">
        <f t="shared" si="514"/>
        <v>2.7336850355016436E-2</v>
      </c>
      <c r="HD308" s="14">
        <f t="shared" si="515"/>
        <v>39712</v>
      </c>
      <c r="HE308" s="14">
        <f t="shared" si="516"/>
        <v>45006</v>
      </c>
      <c r="HF308" s="14">
        <f t="shared" si="517"/>
        <v>51325</v>
      </c>
      <c r="HG308" s="14">
        <f t="shared" si="518"/>
        <v>70641</v>
      </c>
      <c r="HH308" s="14">
        <f t="shared" si="519"/>
        <v>85489</v>
      </c>
      <c r="HI308" s="14">
        <f t="shared" si="520"/>
        <v>4628111</v>
      </c>
      <c r="HL308" s="14">
        <f t="shared" si="521"/>
        <v>430050</v>
      </c>
      <c r="HM308" s="50">
        <f t="shared" si="429"/>
        <v>8.5021018508505367E-2</v>
      </c>
      <c r="HO308" s="14">
        <f t="shared" si="522"/>
        <v>5058161</v>
      </c>
    </row>
    <row r="309" spans="11:223" x14ac:dyDescent="0.2">
      <c r="K309" s="14">
        <v>304</v>
      </c>
      <c r="L309" s="12">
        <f>求节点(节奏总纲!D$4:D$163,标准城池设计!AB$4:AB$163,$K309)*求节点(节奏总纲!D$4:D$163,攻城基础信息!$AC$5:$AC$164,$K309)</f>
        <v>788731.95426348981</v>
      </c>
      <c r="M309" s="12">
        <f>INDEX(其他调用!$AA$5:$AA$404,MATCH(K309,其他调用!$X$5:$X$404,0))*MIN(INDEX(其他调用!$AH$5:$AH$364,MATCH('征服点（新）'!K309,其他调用!$AG$5:$AG$364,0),1)/INDEX(其他调用!$AJ$5:$AJ$364,MATCH(K309,其他调用!$AG$5:$AG$364,0),0),5)*求节点(节奏总纲!D$4:D$163,攻城基础信息!$AC$5:$AC$164,$K309)</f>
        <v>53187.694498191158</v>
      </c>
      <c r="N309" s="12">
        <f>MIN(INDEX(其他调用!$AH$5:$AH$364,MATCH($K309,其他调用!$AG$5:$AG$364,0),1)/INDEX(其他调用!AH$5:AH$364,MATCH($K309,其他调用!$AG$5:$AG$364,0),0),1)*INDEX(其他调用!Y$5:Y$404,MATCH($K309,其他调用!$X$5:$X$404,0),0)</f>
        <v>42549.464699897442</v>
      </c>
      <c r="O309" s="12">
        <f>MIN(INDEX(其他调用!$AH$5:$AH$364,MATCH($K309,其他调用!$AG$5:$AG$364,0),1)/INDEX(其他调用!AI$5:AI$364,MATCH($K309,其他调用!$AG$5:$AG$364,0),0),1)*INDEX(其他调用!Z$5:Z$404,MATCH($K309,其他调用!$X$5:$X$404,0),0)</f>
        <v>25568.789285395931</v>
      </c>
      <c r="P309" s="12">
        <f>MIN(INDEX(其他调用!$AH$5:$AH$364,MATCH($K309,其他调用!$AG$5:$AG$364,0),1)/INDEX(其他调用!AJ$5:AJ$364,MATCH($K309,其他调用!$AG$5:$AG$364,0),0),1)*INDEX(其他调用!AA$5:AA$404,MATCH($K309,其他调用!$X$5:$X$404,0),0)</f>
        <v>15196.484142340341</v>
      </c>
      <c r="Q309" s="12">
        <f>MIN(INDEX(其他调用!$AH$5:$AH$364,MATCH($K309,其他调用!$AG$5:$AG$364,0),1)/INDEX(其他调用!AK$5:AK$364,MATCH($K309,其他调用!$AG$5:$AG$364,0),0),1)*INDEX(其他调用!AB$5:AB$404,MATCH($K309,其他调用!$X$5:$X$404,0),0)</f>
        <v>5769.5216037505143</v>
      </c>
      <c r="R309" s="12">
        <f>MIN(INDEX(其他调用!$AH$5:$AH$364,MATCH($K309,其他调用!$AG$5:$AG$364,0),1)/INDEX(其他调用!AL$5:AL$364,MATCH($K309,其他调用!$AG$5:$AG$364,0),0),1)*INDEX(其他调用!AC$5:AC$404,MATCH($K309,其他调用!$X$5:$X$404,0),0)</f>
        <v>3420.7267965736464</v>
      </c>
      <c r="S309" s="12">
        <f>求节点(节奏总纲!D$4:D$163,标准城池设计!AC$4:AC$163,$K309)*求节点(节奏总纲!D$4:D$163,攻城基础信息!$AD$5:$AD$164,$K309)</f>
        <v>864622.3754775218</v>
      </c>
      <c r="T309" s="12">
        <f>INDEX(其他调用!$AA$5:$AA$404,MATCH($K309,其他调用!$X$5:$X$404,0))*MIN(INDEX(其他调用!AI$5:AI$364,MATCH($K309,其他调用!$AG$5:$AG$364,0),1)/INDEX(其他调用!$AJ$5:$AJ$364,MATCH($K309,其他调用!$AG$5:$AG$364,0),0),5)*求节点(节奏总纲!D$4:D$163,攻城基础信息!$AD$5:$AD$164,$K309)</f>
        <v>90922.211537510811</v>
      </c>
      <c r="U309" s="12">
        <f>MIN(INDEX(其他调用!$AI$5:$AI$364,MATCH($K309,其他调用!$AG$5:$AG$364,0),1)/INDEX(其他调用!AH$5:AH$364,MATCH($K309,其他调用!$AG$5:$AG$364,0),0),1)*INDEX(其他调用!Y$5:Y$404,MATCH($K309,其他调用!$X$5:$X$404,0),0)</f>
        <v>42549.464699897442</v>
      </c>
      <c r="V309" s="12">
        <f>MIN(INDEX(其他调用!$AI$5:$AI$364,MATCH($K309,其他调用!$AG$5:$AG$364,0),1)/INDEX(其他调用!AI$5:AI$364,MATCH($K309,其他调用!$AG$5:$AG$364,0),0),1)*INDEX(其他调用!Z$5:Z$404,MATCH($K309,其他调用!$X$5:$X$404,0),0)</f>
        <v>43708.810658147078</v>
      </c>
      <c r="W309" s="12">
        <f>MIN(INDEX(其他调用!$AI$5:$AI$364,MATCH($K309,其他调用!$AG$5:$AG$364,0),1)/INDEX(其他调用!AJ$5:AJ$364,MATCH($K309,其他调用!$AG$5:$AG$364,0),0),1)*INDEX(其他调用!AA$5:AA$404,MATCH($K309,其他调用!$X$5:$X$404,0),0)</f>
        <v>25977.774725003106</v>
      </c>
      <c r="X309" s="12">
        <f>MIN(INDEX(其他调用!$AI$5:$AI$364,MATCH($K309,其他调用!$AG$5:$AG$364,0),1)/INDEX(其他调用!AK$5:AK$364,MATCH($K309,其他调用!$AG$5:$AG$364,0),0),1)*INDEX(其他调用!AB$5:AB$404,MATCH($K309,其他调用!$X$5:$X$404,0),0)</f>
        <v>9862.7637214898077</v>
      </c>
      <c r="Y309" s="12">
        <f>MIN(INDEX(其他调用!$AI$5:$AI$364,MATCH($K309,其他调用!$AG$5:$AG$364,0),1)/INDEX(其他调用!AL$5:AL$364,MATCH($K309,其他调用!$AG$5:$AG$364,0),0),1)*INDEX(其他调用!AC$5:AC$404,MATCH($K309,其他调用!$X$5:$X$404,0),0)</f>
        <v>5847.5940411494639</v>
      </c>
      <c r="Z309" s="12">
        <f>求节点(节奏总纲!D$4:D$163,标准城池设计!AD$4:AD$163,$K309)*求节点(节奏总纲!D$4:D$163,攻城基础信息!$AE$5:$AE$164,$K309)</f>
        <v>943038.41232944734</v>
      </c>
      <c r="AA309" s="12">
        <f>INDEX(其他调用!$AA$5:$AA$404,MATCH($K309,其他调用!$X$5:$X$404,0))*MIN(INDEX(其他调用!AJ$5:AJ$364,MATCH($K309,其他调用!$AG$5:$AG$364,0),1)/INDEX(其他调用!$AJ$5:$AJ$364,MATCH($K309,其他调用!$AG$5:$AG$364,0),0),5)*求节点(节奏总纲!D$4:D$163,攻城基础信息!$AE$5:$AE$164,$K309)</f>
        <v>158308.32326752349</v>
      </c>
      <c r="AB309" s="12">
        <f>MIN(INDEX(其他调用!$AJ$5:$AJ$364,MATCH($K309,其他调用!$AG$5:$AG$364,0),1)/INDEX(其他调用!AH$5:AH$364,MATCH($K309,其他调用!$AG$5:$AG$364,0),0),1)*INDEX(其他调用!Y$5:Y$404,MATCH($K309,其他调用!$X$5:$X$404,0),0)</f>
        <v>42549.464699897442</v>
      </c>
      <c r="AC309" s="12">
        <f>MIN(INDEX(其他调用!$AJ$5:$AJ$364,MATCH($K309,其他调用!$AG$5:$AG$364,0),1)/INDEX(其他调用!AI$5:AI$364,MATCH($K309,其他调用!$AG$5:$AG$364,0),0),1)*INDEX(其他调用!Z$5:Z$404,MATCH($K309,其他调用!$X$5:$X$404,0),0)</f>
        <v>43708.810658147078</v>
      </c>
      <c r="AD309" s="12">
        <f>MIN(INDEX(其他调用!$AJ$5:$AJ$364,MATCH($K309,其他调用!$AG$5:$AG$364,0),1)/INDEX(其他调用!AJ$5:AJ$364,MATCH($K309,其他调用!$AG$5:$AG$364,0),0),1)*INDEX(其他调用!AA$5:AA$404,MATCH($K309,其他调用!$X$5:$X$404,0),0)</f>
        <v>45230.949505006742</v>
      </c>
      <c r="AE309" s="12">
        <f>MIN(INDEX(其他调用!$AJ$5:$AJ$364,MATCH($K309,其他调用!$AG$5:$AG$364,0),1)/INDEX(其他调用!AK$5:AK$364,MATCH($K309,其他调用!$AG$5:$AG$364,0),0),1)*INDEX(其他调用!AB$5:AB$404,MATCH($K309,其他调用!$X$5:$X$404,0),0)</f>
        <v>17172.45501544646</v>
      </c>
      <c r="AF309" s="12">
        <f>MIN(INDEX(其他调用!$AJ$5:$AJ$364,MATCH($K309,其他调用!$AG$5:$AG$364,0),1)/INDEX(其他调用!AL$5:AL$364,MATCH($K309,其他调用!$AG$5:$AG$364,0),0),1)*INDEX(其他调用!AC$5:AC$404,MATCH($K309,其他调用!$X$5:$X$404,0),0)</f>
        <v>10181.481424059046</v>
      </c>
      <c r="AG309" s="12">
        <f>求节点(节奏总纲!D$4:D$163,标准城池设计!AE$4:AE$163,$K309)*求节点(节奏总纲!D$4:D$163,攻城基础信息!$AF$5:$AF$164,$K309)</f>
        <v>1136953.1499161085</v>
      </c>
      <c r="AH309" s="12">
        <f>INDEX(其他调用!$AA$5:$AA$404,MATCH($K309,其他调用!$X$5:$X$404,0))*MIN(INDEX(其他调用!AK$5:AK$364,MATCH($K309,其他调用!$AG$5:$AG$364,0),1)/INDEX(其他调用!$AJ$5:$AJ$364,MATCH($K309,其他调用!$AG$5:$AG$364,0),0),5)*求节点(节奏总纲!D$4:D$163,攻城基础信息!$AF$5:$AF$164,$K309)</f>
        <v>437790.34315678116</v>
      </c>
      <c r="AI309" s="12">
        <f>MIN(INDEX(其他调用!$AK$5:$AK$364,MATCH($K309,其他调用!$AG$5:$AG$364,0),1)/INDEX(其他调用!AH$5:AH$364,MATCH($K309,其他调用!$AG$5:$AG$364,0),0),1)*INDEX(其他调用!Y$5:Y$404,MATCH($K309,其他调用!$X$5:$X$404,0),0)</f>
        <v>42549.464699897442</v>
      </c>
      <c r="AJ309" s="12">
        <f>MIN(INDEX(其他调用!$AK$5:$AK$364,MATCH($K309,其他调用!$AG$5:$AG$364,0),1)/INDEX(其他调用!AI$5:AI$364,MATCH($K309,其他调用!$AG$5:$AG$364,0),0),1)*INDEX(其他调用!Z$5:Z$404,MATCH($K309,其他调用!$X$5:$X$404,0),0)</f>
        <v>43708.810658147078</v>
      </c>
      <c r="AK309" s="12">
        <f>MIN(INDEX(其他调用!$AK$5:$AK$364,MATCH($K309,其他调用!$AG$5:$AG$364,0),1)/INDEX(其他调用!AJ$5:AJ$364,MATCH($K309,其他调用!$AG$5:$AG$364,0),0),1)*INDEX(其他调用!AA$5:AA$404,MATCH($K309,其他调用!$X$5:$X$404,0),0)</f>
        <v>45230.949505006742</v>
      </c>
      <c r="AL309" s="12">
        <f>MIN(INDEX(其他调用!$AK$5:$AK$364,MATCH($K309,其他调用!$AG$5:$AG$364,0),1)/INDEX(其他调用!AK$5:AK$364,MATCH($K309,其他调用!$AG$5:$AG$364,0),0),1)*INDEX(其他调用!AB$5:AB$404,MATCH($K309,其他调用!$X$5:$X$404,0),0)</f>
        <v>47489.19588613302</v>
      </c>
      <c r="AM309" s="12">
        <f>MIN(INDEX(其他调用!$AK$5:$AK$364,MATCH($K309,其他调用!$AG$5:$AG$364,0),1)/INDEX(其他调用!AL$5:AL$364,MATCH($K309,其他调用!$AG$5:$AG$364,0),0),1)*INDEX(其他调用!AC$5:AC$404,MATCH($K309,其他调用!$X$5:$X$404,0),0)</f>
        <v>28156.158529648303</v>
      </c>
      <c r="AN309" s="12">
        <f>求节点(节奏总纲!D$4:D$163,标准城池设计!AF$4:AF$163,$K309)*求节点(节奏总纲!D$4:D$163,攻城基础信息!$AG$5:$AG$164,$K309)</f>
        <v>1184360.3198037469</v>
      </c>
      <c r="AO309" s="12">
        <f>INDEX(其他调用!$AA$5:$AA$404,MATCH($K309,其他调用!$X$5:$X$404,0))*MIN(INDEX(其他调用!AL$5:AL$364,MATCH($K309,其他调用!$AG$5:$AG$364,0),1)/INDEX(其他调用!$AJ$5:$AJ$364,MATCH($K309,其他调用!$AG$5:$AG$364,0),0),5)*求节点(节奏总纲!D$4:D$163,攻城基础信息!$AG$5:$AG$164,$K309)</f>
        <v>791541.61633761751</v>
      </c>
      <c r="AP309" s="12">
        <f>MIN(INDEX(其他调用!$AL$5:$AL$364,MATCH($K309,其他调用!$AG$5:$AG$364,0),1)/INDEX(其他调用!AH$5:AH$364,MATCH($K309,其他调用!$AG$5:$AG$364,0),0),1)*INDEX(其他调用!Y$5:Y$404,MATCH($K309,其他调用!$X$5:$X$404,0),0)</f>
        <v>42549.464699897442</v>
      </c>
      <c r="AQ309" s="12">
        <f>MIN(INDEX(其他调用!$AL$5:$AL$364,MATCH($K309,其他调用!$AG$5:$AG$364,0),1)/INDEX(其他调用!AI$5:AI$364,MATCH($K309,其他调用!$AG$5:$AG$364,0),0),1)*INDEX(其他调用!Z$5:Z$404,MATCH($K309,其他调用!$X$5:$X$404,0),0)</f>
        <v>43708.810658147078</v>
      </c>
      <c r="AR309" s="12">
        <f>MIN(INDEX(其他调用!$AL$5:$AL$364,MATCH($K309,其他调用!$AG$5:$AG$364,0),1)/INDEX(其他调用!AJ$5:AJ$364,MATCH($K309,其他调用!$AG$5:$AG$364,0),0),1)*INDEX(其他调用!AA$5:AA$404,MATCH($K309,其他调用!$X$5:$X$404,0),0)</f>
        <v>45230.949505006742</v>
      </c>
      <c r="AS309" s="12">
        <f>MIN(INDEX(其他调用!$AL$5:$AL$364,MATCH($K309,其他调用!$AG$5:$AG$364,0),1)/INDEX(其他调用!AK$5:AK$364,MATCH($K309,其他调用!$AG$5:$AG$364,0),0),1)*INDEX(其他调用!AB$5:AB$404,MATCH($K309,其他调用!$X$5:$X$404,0),0)</f>
        <v>47489.19588613302</v>
      </c>
      <c r="AT309" s="12">
        <f>MIN(INDEX(其他调用!$AL$5:$AL$364,MATCH($K309,其他调用!$AG$5:$AG$364,0),1)/INDEX(其他调用!AL$5:AL$364,MATCH($K309,其他调用!$AG$5:$AG$364,0),0),1)*INDEX(其他调用!AC$5:AC$404,MATCH($K309,其他调用!$X$5:$X$404,0),0)</f>
        <v>51382.383907495743</v>
      </c>
      <c r="AV309" s="14">
        <f>IF(OR(AV$5="大R",AV$5="超R"),MAX(INDEX(其他调用!$H$5:$L$404,MATCH($K309,其他调用!$B$5:$B$404,0),MATCH(AV$5,其他调用!$H$4:$L$4,0))*120*0.85,2),INDEX(其他调用!$H$5:$L$404,MATCH($K309,其他调用!$B$5:$B$404,0),MATCH(AV$5,其他调用!$H$4:$L$4,0))*120*0.85)</f>
        <v>48.921801254999991</v>
      </c>
      <c r="AW309" s="14">
        <f>IF(OR(AW$5="大R",AW$5="超R"),MAX(INDEX(其他调用!$H$5:$L$404,MATCH($K309,其他调用!$B$5:$B$404,0),MATCH(AW$5,其他调用!$H$4:$L$4,0))*120*0.85,2),INDEX(其他调用!$H$5:$L$404,MATCH($K309,其他调用!$B$5:$B$404,0),MATCH(AW$5,其他调用!$H$4:$L$4,0))*120*0.85)</f>
        <v>48.237344010638395</v>
      </c>
      <c r="AX309" s="14">
        <f>IF(OR(AX$5="大R",AX$5="超R"),MAX(INDEX(其他调用!$H$5:$L$404,MATCH($K309,其他调用!$B$5:$B$404,0),MATCH(AX$5,其他调用!$H$4:$L$4,0))*120*0.85,2),INDEX(其他调用!$H$5:$L$404,MATCH($K309,其他调用!$B$5:$B$404,0),MATCH(AX$5,其他调用!$H$4:$L$4,0))*120*0.85)</f>
        <v>3.9376284143615998</v>
      </c>
      <c r="AY309" s="14">
        <f>IF(OR(AY$5="大R",AY$5="超R"),MAX(INDEX(其他调用!$H$5:$L$404,MATCH($K309,其他调用!$B$5:$B$404,0),MATCH(AY$5,其他调用!$H$4:$L$4,0))*120*0.85,2),INDEX(其他调用!$H$5:$L$404,MATCH($K309,其他调用!$B$5:$B$404,0),MATCH(AY$5,其他调用!$H$4:$L$4,0))*120*0.85)</f>
        <v>2</v>
      </c>
      <c r="AZ309" s="14">
        <f>IF(OR(AZ$5="大R",AZ$5="超R"),MAX(INDEX(其他调用!$H$5:$L$404,MATCH($K309,其他调用!$B$5:$B$404,0),MATCH(AZ$5,其他调用!$H$4:$L$4,0))*120*0.85,2),INDEX(其他调用!$H$5:$L$404,MATCH($K309,其他调用!$B$5:$B$404,0),MATCH(AZ$5,其他调用!$H$4:$L$4,0))*120*0.85)</f>
        <v>2</v>
      </c>
      <c r="BA309" s="14">
        <f>INDEX(其他调用!$H$5:$L$404,MATCH($K309,其他调用!$B$5:$B$404,0),MATCH(BA$5,其他调用!$H$4:$L$4,0))*INDEX(其他调用!$M$5:$M$404,MATCH($K309,其他调用!$B$5:$B$404,0))*0.6</f>
        <v>28.777530149999997</v>
      </c>
      <c r="BB309" s="14">
        <f>INDEX(其他调用!$H$5:$L$404,MATCH($K309,其他调用!$B$5:$B$404,0),MATCH(BB$5,其他调用!$H$4:$L$4,0))*INDEX(其他调用!$M$5:$M$404,MATCH($K309,其他调用!$B$5:$B$404,0))*0.6</f>
        <v>28.374908241551999</v>
      </c>
      <c r="BC309" s="14">
        <f>INDEX(其他调用!$H$5:$L$404,MATCH($K309,其他调用!$B$5:$B$404,0),MATCH(BC$5,其他调用!$H$4:$L$4,0))*INDEX(其他调用!$M$5:$M$404,MATCH($K309,其他调用!$B$5:$B$404,0))*0.6</f>
        <v>2.3162520084480001</v>
      </c>
      <c r="BD309" s="14">
        <f>INDEX(其他调用!$H$5:$L$404,MATCH($K309,其他调用!$B$5:$B$404,0),MATCH(BD$5,其他调用!$H$4:$L$4,0))*INDEX(其他调用!$M$5:$M$404,MATCH($K309,其他调用!$B$5:$B$404,0))*0.6</f>
        <v>0.4120776000000001</v>
      </c>
      <c r="BE309" s="14">
        <f>INDEX(其他调用!$H$5:$L$404,MATCH($K309,其他调用!$B$5:$B$404,0),MATCH(BE$5,其他调用!$H$4:$L$4,0))*INDEX(其他调用!$M$5:$M$404,MATCH($K309,其他调用!$B$5:$B$404,0))*0.6</f>
        <v>0.11923199999999998</v>
      </c>
      <c r="BF309" s="14">
        <f>IF(OR(BF$5="大R",BF$5="超R"),0,INDEX(其他调用!$H$5:$L$404,MATCH($K309,其他调用!$B$5:$B$404,0),MATCH(BF$5,其他调用!$H$4:$L$4,0))*50*0.4)</f>
        <v>9.5925100500000013</v>
      </c>
      <c r="BG309" s="14">
        <f>IF(OR(BG$5="大R",BG$5="超R"),0,INDEX(其他调用!$H$5:$L$404,MATCH($K309,其他调用!$B$5:$B$404,0),MATCH(BG$5,其他调用!$H$4:$L$4,0))*50*0.4)</f>
        <v>9.4583027471839998</v>
      </c>
      <c r="BH309" s="14">
        <f>IF(OR(BH$5="大R",BH$5="超R"),0,INDEX(其他调用!$H$5:$L$404,MATCH($K309,其他调用!$B$5:$B$404,0),MATCH(BH$5,其他调用!$H$4:$L$4,0))*50*0.4)</f>
        <v>0.77208400281600009</v>
      </c>
      <c r="BI309" s="14">
        <f>IF(OR(BI$5="大R",BI$5="超R"),0,INDEX(其他调用!$H$5:$L$404,MATCH($K309,其他调用!$B$5:$B$404,0),MATCH(BI$5,其他调用!$H$4:$L$4,0))*50*0.4)</f>
        <v>0</v>
      </c>
      <c r="BJ309" s="14">
        <f>IF(OR(BJ$5="大R",BJ$5="超R"),0,INDEX(其他调用!$H$5:$L$404,MATCH($K309,其他调用!$B$5:$B$404,0),MATCH(BJ$5,其他调用!$H$4:$L$4,0))*50*0.4)</f>
        <v>0</v>
      </c>
      <c r="BL309" s="14">
        <f t="shared" si="523"/>
        <v>304</v>
      </c>
      <c r="BM309" s="14">
        <f t="shared" si="430"/>
        <v>96</v>
      </c>
      <c r="BN309" s="14">
        <f>('疲劳值&amp;地图信息'!$S$10*'疲劳值&amp;地图信息'!$R$10+'疲劳值&amp;地图信息'!$S$11*'疲劳值&amp;地图信息'!$R$11+'疲劳值&amp;地图信息'!$S$12*'疲劳值&amp;地图信息'!$R$12+(BM309-'疲劳值&amp;地图信息'!$S$12-'疲劳值&amp;地图信息'!$S$11-'疲劳值&amp;地图信息'!$S$10)*'疲劳值&amp;地图信息'!$R$13)/BM309</f>
        <v>51.371477246638619</v>
      </c>
      <c r="BO309" s="14">
        <f>INDEX(其他调用!$M$5:$M$404,MATCH(BL309,其他调用!$B$5:$B$404,0))*0.6</f>
        <v>60</v>
      </c>
      <c r="BP309" s="14">
        <f>IF(BO309&gt;SUM('疲劳值&amp;地图信息'!$S$10:$S$12),('疲劳值&amp;地图信息'!$S$10*'疲劳值&amp;地图信息'!$R$10+'疲劳值&amp;地图信息'!$S$11*'疲劳值&amp;地图信息'!$R$11+'疲劳值&amp;地图信息'!$S$12*'疲劳值&amp;地图信息'!$R$12+(BO309-'疲劳值&amp;地图信息'!$S$12-'疲劳值&amp;地图信息'!$S$11-'疲劳值&amp;地图信息'!$S$10)*'疲劳值&amp;地图信息'!$R$13)/BO309,('疲劳值&amp;地图信息'!$S$10*'疲劳值&amp;地图信息'!$R$10+'疲劳值&amp;地图信息'!$S$11*'疲劳值&amp;地图信息'!$R$11+'疲劳值&amp;地图信息'!$S$12*'疲劳值&amp;地图信息'!$R$12+(BO309-'疲劳值&amp;地图信息'!$S$12-'疲劳值&amp;地图信息'!$S$11-'疲劳值&amp;地图信息'!$S$10)*'疲劳值&amp;地图信息'!$R$13)/BO309)</f>
        <v>44.158136341605953</v>
      </c>
      <c r="BQ309" s="14">
        <f t="shared" si="524"/>
        <v>20</v>
      </c>
      <c r="BR309" s="14">
        <f>('疲劳值&amp;地图信息'!$S$10*'疲劳值&amp;地图信息'!$R$10+($BQ309-'疲劳值&amp;地图信息'!$S$10)*'疲劳值&amp;地图信息'!$R$11)/$BQ309</f>
        <v>32.067203015074995</v>
      </c>
      <c r="CF309" s="14">
        <v>304</v>
      </c>
      <c r="CG309" s="51">
        <f t="shared" si="431"/>
        <v>16075</v>
      </c>
      <c r="CH309" s="51">
        <f t="shared" si="432"/>
        <v>1084</v>
      </c>
      <c r="CI309" s="51">
        <f>INT(SUMPRODUCT($N309:$R309,$BA309:$BE309)/SUM($BA309:$BE309)/10000*$BX$7*$BZ$34/'疲劳值&amp;地图信息'!$R$10*$BY$53)</f>
        <v>3361</v>
      </c>
      <c r="CJ309" s="50">
        <f t="shared" si="433"/>
        <v>0.78338206627680307</v>
      </c>
      <c r="CK309" s="50">
        <f t="shared" si="434"/>
        <v>5.2826510721247562E-2</v>
      </c>
      <c r="CL309" s="50">
        <f t="shared" si="435"/>
        <v>0.16379142300194932</v>
      </c>
      <c r="CM309" s="14">
        <f t="shared" si="436"/>
        <v>17622</v>
      </c>
      <c r="CN309" s="14">
        <f t="shared" si="437"/>
        <v>1853</v>
      </c>
      <c r="CO309" s="14">
        <f>INT(SUMPRODUCT($U309:$Y309,$BA309:$BE309)/SUM($BA309:$BE309)/10000*$BX$7*$BZ$34/'疲劳值&amp;地图信息'!$R$10*$BY$54)</f>
        <v>6416</v>
      </c>
      <c r="CP309" s="50">
        <f t="shared" si="438"/>
        <v>0.6806226101734193</v>
      </c>
      <c r="CQ309" s="50">
        <f t="shared" si="439"/>
        <v>7.156927117531188E-2</v>
      </c>
      <c r="CR309" s="50">
        <f t="shared" si="440"/>
        <v>0.24780811865126878</v>
      </c>
      <c r="CS309" s="14">
        <f t="shared" si="441"/>
        <v>19220</v>
      </c>
      <c r="CT309" s="14">
        <f t="shared" si="442"/>
        <v>3226</v>
      </c>
      <c r="CU309" s="14">
        <f>INT(SUMPRODUCT($AB309:$AF309,$BA309:$BE309)/SUM($BA309:$BE309)/10000*$BX$7*$BZ$34/'疲劳值&amp;地图信息'!$R$10*$BY$55)</f>
        <v>8718</v>
      </c>
      <c r="CV309" s="50">
        <f t="shared" si="443"/>
        <v>0.61673726094211268</v>
      </c>
      <c r="CW309" s="50">
        <f t="shared" si="444"/>
        <v>0.103516878449493</v>
      </c>
      <c r="CX309" s="50">
        <f t="shared" si="445"/>
        <v>0.27974586060839429</v>
      </c>
      <c r="CY309" s="14">
        <f t="shared" si="446"/>
        <v>23172</v>
      </c>
      <c r="CZ309" s="14">
        <f t="shared" si="447"/>
        <v>8922</v>
      </c>
      <c r="DA309" s="14">
        <f>INT(SUMPRODUCT($AI309:$AM309,$BA309:$BE309)/SUM($BA309:$BE309)/10000*$BX$7*$BZ$34/'疲劳值&amp;地图信息'!$R$10*$BY$56)</f>
        <v>13152</v>
      </c>
      <c r="DB309" s="50">
        <f t="shared" si="448"/>
        <v>0.512133669274632</v>
      </c>
      <c r="DC309" s="50">
        <f t="shared" si="449"/>
        <v>0.19718870176369183</v>
      </c>
      <c r="DD309" s="50">
        <f t="shared" si="450"/>
        <v>0.29067762896167615</v>
      </c>
      <c r="DE309" s="14">
        <f t="shared" si="451"/>
        <v>24138</v>
      </c>
      <c r="DF309" s="14">
        <f t="shared" si="452"/>
        <v>16132</v>
      </c>
      <c r="DG309" s="14">
        <f>INT(SUMPRODUCT($AP309:$AT309,$BA309:$BE309)/SUM($BA309:$BE309)/10000*$BX$7*$BZ$34/'疲劳值&amp;地图信息'!$R$10*$BY$57)</f>
        <v>17554</v>
      </c>
      <c r="DH309" s="50">
        <f t="shared" si="453"/>
        <v>0.41743912562257884</v>
      </c>
      <c r="DI309" s="50">
        <f t="shared" si="454"/>
        <v>0.27898450470392916</v>
      </c>
      <c r="DJ309" s="50">
        <f t="shared" si="455"/>
        <v>0.303576369673492</v>
      </c>
      <c r="DL309" s="14">
        <f t="shared" si="526"/>
        <v>20520</v>
      </c>
      <c r="DM309" s="14">
        <f t="shared" si="527"/>
        <v>25891</v>
      </c>
      <c r="DN309" s="14">
        <f t="shared" si="528"/>
        <v>31164</v>
      </c>
      <c r="DO309" s="14">
        <f t="shared" si="529"/>
        <v>45246</v>
      </c>
      <c r="DP309" s="14">
        <f t="shared" si="530"/>
        <v>57824</v>
      </c>
      <c r="DQ309" s="14">
        <f t="shared" si="531"/>
        <v>1422892</v>
      </c>
      <c r="DT309" s="14">
        <f t="shared" si="525"/>
        <v>235575</v>
      </c>
      <c r="DU309" s="50">
        <f t="shared" si="427"/>
        <v>0.14204382722116268</v>
      </c>
      <c r="DW309" s="14">
        <f t="shared" si="456"/>
        <v>1658467</v>
      </c>
      <c r="EB309" s="14">
        <v>304</v>
      </c>
      <c r="EC309" s="51">
        <f t="shared" si="457"/>
        <v>26792</v>
      </c>
      <c r="ED309" s="51">
        <f t="shared" si="458"/>
        <v>1806</v>
      </c>
      <c r="EE309" s="51">
        <f>INT(SUMPRODUCT($N309:$R309,$BF309:$BJ309)/SUM($BF309:$BJ309)/10000*$BX$7*$BZ$46/'疲劳值&amp;地图信息'!$R$10*$BY$53)</f>
        <v>451</v>
      </c>
      <c r="EF309" s="50">
        <f t="shared" si="459"/>
        <v>0.92230369375882126</v>
      </c>
      <c r="EG309" s="50">
        <f t="shared" si="460"/>
        <v>6.2170814830114635E-2</v>
      </c>
      <c r="EH309" s="50">
        <f t="shared" si="461"/>
        <v>1.5525491411064064E-2</v>
      </c>
      <c r="EI309" s="51">
        <f t="shared" si="462"/>
        <v>29370</v>
      </c>
      <c r="EJ309" s="51">
        <f t="shared" si="463"/>
        <v>3088</v>
      </c>
      <c r="EK309" s="14">
        <f>INT(SUMPRODUCT($U309:$Y309,$BF309:$BJ309)/SUM($BF309:$BJ309)/10000*$BX$7*$BZ$46/'疲劳值&amp;地图信息'!$R$10*$BY$54)</f>
        <v>861</v>
      </c>
      <c r="EL309" s="50">
        <f t="shared" si="464"/>
        <v>0.88147903598547372</v>
      </c>
      <c r="EM309" s="50">
        <f t="shared" si="465"/>
        <v>9.2679852336504692E-2</v>
      </c>
      <c r="EN309" s="50">
        <f t="shared" si="466"/>
        <v>2.5841111678021549E-2</v>
      </c>
      <c r="EO309" s="51">
        <f t="shared" si="467"/>
        <v>32033</v>
      </c>
      <c r="EP309" s="51">
        <f t="shared" si="468"/>
        <v>5377</v>
      </c>
      <c r="EQ309" s="14">
        <f>INT(SUMPRODUCT($AB309:$AF309,$BF309:$BJ309)/SUM($BF309:$BJ309)/10000*$BX$7*$BZ$46/'疲劳值&amp;地图信息'!$R$10*$BY$55)</f>
        <v>1169</v>
      </c>
      <c r="ER309" s="50">
        <f t="shared" si="469"/>
        <v>0.8303221960133752</v>
      </c>
      <c r="ES309" s="50">
        <f t="shared" si="470"/>
        <v>0.13937634464345888</v>
      </c>
      <c r="ET309" s="50">
        <f t="shared" si="471"/>
        <v>3.0301459343165971E-2</v>
      </c>
      <c r="EU309" s="51">
        <f t="shared" si="472"/>
        <v>38620</v>
      </c>
      <c r="EV309" s="51">
        <f t="shared" si="473"/>
        <v>14871</v>
      </c>
      <c r="EW309" s="14">
        <f>INT(SUMPRODUCT($AI309:$AM309,$BF309:$BJ309)/SUM($BF309:$BJ309)/10000*$BX$7*$BZ$46/'疲劳值&amp;地图信息'!$R$10*$BY$56)</f>
        <v>1753</v>
      </c>
      <c r="EX309" s="50">
        <f t="shared" si="474"/>
        <v>0.69908044312504525</v>
      </c>
      <c r="EY309" s="50">
        <f t="shared" si="475"/>
        <v>0.2691876040837014</v>
      </c>
      <c r="EZ309" s="50">
        <f t="shared" si="476"/>
        <v>3.1731952791253348E-2</v>
      </c>
      <c r="FA309" s="51">
        <f t="shared" si="477"/>
        <v>40231</v>
      </c>
      <c r="FB309" s="51">
        <f t="shared" si="478"/>
        <v>26887</v>
      </c>
      <c r="FC309" s="14">
        <f>INT(SUMPRODUCT($AP309:$AT309,$BF309:$BJ309)/SUM($BF309:$BJ309)/10000*$BX$7*$BZ$46/'疲劳值&amp;地图信息'!$R$10*$BY$57)</f>
        <v>2338</v>
      </c>
      <c r="FD309" s="50">
        <f t="shared" si="479"/>
        <v>0.57923001612531677</v>
      </c>
      <c r="FE309" s="50">
        <f t="shared" si="480"/>
        <v>0.38710838516470858</v>
      </c>
      <c r="FF309" s="50">
        <f t="shared" si="481"/>
        <v>3.3661598709974663E-2</v>
      </c>
      <c r="FH309" s="14">
        <f t="shared" si="482"/>
        <v>29049</v>
      </c>
      <c r="FI309" s="14">
        <f t="shared" si="483"/>
        <v>33319</v>
      </c>
      <c r="FJ309" s="14">
        <f t="shared" si="484"/>
        <v>38579</v>
      </c>
      <c r="FK309" s="14">
        <f t="shared" si="485"/>
        <v>55244</v>
      </c>
      <c r="FL309" s="14">
        <f t="shared" si="486"/>
        <v>69456</v>
      </c>
      <c r="FM309" s="14">
        <f t="shared" si="487"/>
        <v>3429659</v>
      </c>
      <c r="FP309" s="14">
        <f t="shared" si="488"/>
        <v>334150</v>
      </c>
      <c r="FQ309" s="50">
        <f t="shared" si="428"/>
        <v>8.8779744136857103E-2</v>
      </c>
      <c r="FS309" s="14">
        <f t="shared" si="489"/>
        <v>3763809</v>
      </c>
      <c r="FX309" s="14">
        <v>304</v>
      </c>
      <c r="FY309" s="51">
        <f t="shared" si="490"/>
        <v>37509</v>
      </c>
      <c r="FZ309" s="51">
        <f t="shared" si="491"/>
        <v>1806</v>
      </c>
      <c r="GA309" s="51">
        <f>INT(SUMPRODUCT($N309:$R309,$BF309:$BJ309)/SUM($BF309:$BJ309)/10000*$BX$7*$BZ$46/'疲劳值&amp;地图信息'!$R$10*$BY$53)</f>
        <v>451</v>
      </c>
      <c r="GB309" s="50">
        <f t="shared" si="492"/>
        <v>0.94324297138258817</v>
      </c>
      <c r="GC309" s="50">
        <f t="shared" si="493"/>
        <v>4.5415681738168283E-2</v>
      </c>
      <c r="GD309" s="50">
        <f t="shared" si="494"/>
        <v>1.1341346879243574E-2</v>
      </c>
      <c r="GE309" s="51">
        <f t="shared" si="495"/>
        <v>41118</v>
      </c>
      <c r="GF309" s="51">
        <f t="shared" si="496"/>
        <v>3088</v>
      </c>
      <c r="GG309" s="14">
        <f>INT(SUMPRODUCT($U309:$Y309,$BF309:$BJ309)/SUM($BF309:$BJ309)/10000*$BX$7*$BZ$46/'疲劳值&amp;地图信息'!$R$10*$BY$54)</f>
        <v>861</v>
      </c>
      <c r="GH309" s="50">
        <f t="shared" si="497"/>
        <v>0.91237490846961189</v>
      </c>
      <c r="GI309" s="50">
        <f t="shared" si="498"/>
        <v>6.8520203252934522E-2</v>
      </c>
      <c r="GJ309" s="50">
        <f t="shared" si="499"/>
        <v>1.9104888277453567E-2</v>
      </c>
      <c r="GK309" s="51">
        <f t="shared" si="500"/>
        <v>44847</v>
      </c>
      <c r="GL309" s="51">
        <f t="shared" si="501"/>
        <v>5377</v>
      </c>
      <c r="GM309" s="14">
        <f>INT(SUMPRODUCT($AB309:$AF309,$BF309:$BJ309)/SUM($BF309:$BJ309)/10000*$BX$7*$BZ$46/'疲劳值&amp;地图信息'!$R$10*$BY$55)</f>
        <v>1169</v>
      </c>
      <c r="GN309" s="50">
        <f t="shared" si="502"/>
        <v>0.87262856809293099</v>
      </c>
      <c r="GO309" s="50">
        <f t="shared" si="503"/>
        <v>0.10462514350203335</v>
      </c>
      <c r="GP309" s="50">
        <f t="shared" si="504"/>
        <v>2.2746288405035706E-2</v>
      </c>
      <c r="GQ309" s="51">
        <f t="shared" si="505"/>
        <v>54069</v>
      </c>
      <c r="GR309" s="51">
        <f t="shared" si="506"/>
        <v>14871</v>
      </c>
      <c r="GS309" s="14">
        <f>INT(SUMPRODUCT($AI309:$AM309,$BF309:$BJ309)/SUM($BF309:$BJ309)/10000*$BX$7*$BZ$46/'疲劳值&amp;地图信息'!$R$10*$BY$56)</f>
        <v>1753</v>
      </c>
      <c r="GT309" s="50">
        <f t="shared" si="507"/>
        <v>0.76484234648409322</v>
      </c>
      <c r="GU309" s="50">
        <f t="shared" si="508"/>
        <v>0.21036029026919215</v>
      </c>
      <c r="GV309" s="50">
        <f t="shared" si="509"/>
        <v>2.4797363246714669E-2</v>
      </c>
      <c r="GW309" s="51">
        <f t="shared" si="510"/>
        <v>56323</v>
      </c>
      <c r="GX309" s="51">
        <f t="shared" si="511"/>
        <v>26887</v>
      </c>
      <c r="GY309" s="14">
        <f>INT(SUMPRODUCT($AP309:$AT309,$BF309:$BJ309)/SUM($BF309:$BJ309)/10000*$BX$7*$BZ$46/'疲劳值&amp;地图信息'!$R$10*$BY$57)</f>
        <v>2338</v>
      </c>
      <c r="GZ309" s="50">
        <f t="shared" si="512"/>
        <v>0.65837892177490998</v>
      </c>
      <c r="HA309" s="50">
        <f t="shared" si="513"/>
        <v>0.31429139196708283</v>
      </c>
      <c r="HB309" s="50">
        <f t="shared" si="514"/>
        <v>2.7329686258007201E-2</v>
      </c>
      <c r="HD309" s="14">
        <f t="shared" si="515"/>
        <v>39766</v>
      </c>
      <c r="HE309" s="14">
        <f t="shared" si="516"/>
        <v>45067</v>
      </c>
      <c r="HF309" s="14">
        <f t="shared" si="517"/>
        <v>51393</v>
      </c>
      <c r="HG309" s="14">
        <f t="shared" si="518"/>
        <v>70693</v>
      </c>
      <c r="HH309" s="14">
        <f t="shared" si="519"/>
        <v>85548</v>
      </c>
      <c r="HI309" s="14">
        <f t="shared" si="520"/>
        <v>4634185</v>
      </c>
      <c r="HL309" s="14">
        <f t="shared" si="521"/>
        <v>430050</v>
      </c>
      <c r="HM309" s="50">
        <f t="shared" si="429"/>
        <v>8.4919045028518617E-2</v>
      </c>
      <c r="HO309" s="14">
        <f t="shared" si="522"/>
        <v>5064235</v>
      </c>
    </row>
    <row r="310" spans="11:223" x14ac:dyDescent="0.2">
      <c r="K310" s="14">
        <v>305</v>
      </c>
      <c r="L310" s="12">
        <f>求节点(节奏总纲!D$4:D$163,标准城池设计!AB$4:AB$163,$K310)*求节点(节奏总纲!D$4:D$163,攻城基础信息!$AC$5:$AC$164,$K310)</f>
        <v>789882.04217957961</v>
      </c>
      <c r="M310" s="12">
        <f>INDEX(其他调用!$AA$5:$AA$404,MATCH(K310,其他调用!$X$5:$X$404,0))*MIN(INDEX(其他调用!$AH$5:$AH$364,MATCH('征服点（新）'!K310,其他调用!$AG$5:$AG$364,0),1)/INDEX(其他调用!$AJ$5:$AJ$364,MATCH(K310,其他调用!$AG$5:$AG$364,0),0),5)*求节点(节奏总纲!D$4:D$163,攻城基础信息!$AC$5:$AC$164,$K310)</f>
        <v>53155.390591965486</v>
      </c>
      <c r="N310" s="12">
        <f>MIN(INDEX(其他调用!$AH$5:$AH$364,MATCH($K310,其他调用!$AG$5:$AG$364,0),1)/INDEX(其他调用!AH$5:AH$364,MATCH($K310,其他调用!$AG$5:$AG$364,0),0),1)*INDEX(其他调用!Y$5:Y$404,MATCH($K310,其他调用!$X$5:$X$404,0),0)</f>
        <v>42568.540365432928</v>
      </c>
      <c r="O310" s="12">
        <f>MIN(INDEX(其他调用!$AH$5:$AH$364,MATCH($K310,其他调用!$AG$5:$AG$364,0),1)/INDEX(其他调用!AI$5:AI$364,MATCH($K310,其他调用!$AG$5:$AG$364,0),0),1)*INDEX(其他调用!Z$5:Z$404,MATCH($K310,其他调用!$X$5:$X$404,0),0)</f>
        <v>25569.790567658747</v>
      </c>
      <c r="P310" s="12">
        <f>MIN(INDEX(其他调用!$AH$5:$AH$364,MATCH($K310,其他调用!$AG$5:$AG$364,0),1)/INDEX(其他调用!AJ$5:AJ$364,MATCH($K310,其他调用!$AG$5:$AG$364,0),0),1)*INDEX(其他调用!AA$5:AA$404,MATCH($K310,其他调用!$X$5:$X$404,0),0)</f>
        <v>15187.254454847292</v>
      </c>
      <c r="Q310" s="12">
        <f>MIN(INDEX(其他调用!$AH$5:$AH$364,MATCH($K310,其他调用!$AG$5:$AG$364,0),1)/INDEX(其他调用!AK$5:AK$364,MATCH($K310,其他调用!$AG$5:$AG$364,0),0),1)*INDEX(其他调用!AB$5:AB$404,MATCH($K310,其他调用!$X$5:$X$404,0),0)</f>
        <v>5774.0639995227821</v>
      </c>
      <c r="R310" s="12">
        <f>MIN(INDEX(其他调用!$AH$5:$AH$364,MATCH($K310,其他调用!$AG$5:$AG$364,0),1)/INDEX(其他调用!AL$5:AL$364,MATCH($K310,其他调用!$AG$5:$AG$364,0),0),1)*INDEX(其他调用!AC$5:AC$404,MATCH($K310,其他调用!$X$5:$X$404,0),0)</f>
        <v>3429.079961074</v>
      </c>
      <c r="S310" s="12">
        <f>求节点(节奏总纲!D$4:D$163,标准城池设计!AC$4:AC$163,$K310)*求节点(节奏总纲!D$4:D$163,攻城基础信息!$AD$5:$AD$164,$K310)</f>
        <v>865921.86381953373</v>
      </c>
      <c r="T310" s="12">
        <f>INDEX(其他调用!$AA$5:$AA$404,MATCH($K310,其他调用!$X$5:$X$404,0))*MIN(INDEX(其他调用!AI$5:AI$364,MATCH($K310,其他调用!$AG$5:$AG$364,0),1)/INDEX(其他调用!$AJ$5:$AJ$364,MATCH($K310,其他调用!$AG$5:$AG$364,0),0),5)*求节点(节奏总纲!D$4:D$163,攻城基础信息!$AD$5:$AD$164,$K310)</f>
        <v>90903.750155457557</v>
      </c>
      <c r="U310" s="12">
        <f>MIN(INDEX(其他调用!$AI$5:$AI$364,MATCH($K310,其他调用!$AG$5:$AG$364,0),1)/INDEX(其他调用!AH$5:AH$364,MATCH($K310,其他调用!$AG$5:$AG$364,0),0),1)*INDEX(其他调用!Y$5:Y$404,MATCH($K310,其他调用!$X$5:$X$404,0),0)</f>
        <v>42568.540365432928</v>
      </c>
      <c r="V310" s="12">
        <f>MIN(INDEX(其他调用!$AI$5:$AI$364,MATCH($K310,其他调用!$AG$5:$AG$364,0),1)/INDEX(其他调用!AI$5:AI$364,MATCH($K310,其他调用!$AG$5:$AG$364,0),0),1)*INDEX(其他调用!Z$5:Z$404,MATCH($K310,其他调用!$X$5:$X$404,0),0)</f>
        <v>43728.205689098264</v>
      </c>
      <c r="W310" s="12">
        <f>MIN(INDEX(其他调用!$AI$5:$AI$364,MATCH($K310,其他调用!$AG$5:$AG$364,0),1)/INDEX(其他调用!AJ$5:AJ$364,MATCH($K310,其他调用!$AG$5:$AG$364,0),0),1)*INDEX(其他调用!AA$5:AA$404,MATCH($K310,其他调用!$X$5:$X$404,0),0)</f>
        <v>25972.500044416462</v>
      </c>
      <c r="X310" s="12">
        <f>MIN(INDEX(其他调用!$AI$5:$AI$364,MATCH($K310,其他调用!$AG$5:$AG$364,0),1)/INDEX(其他调用!AK$5:AK$364,MATCH($K310,其他调用!$AG$5:$AG$364,0),0),1)*INDEX(其他调用!AB$5:AB$404,MATCH($K310,其他调用!$X$5:$X$404,0),0)</f>
        <v>9874.52195062184</v>
      </c>
      <c r="Y310" s="12">
        <f>MIN(INDEX(其他调用!$AI$5:$AI$364,MATCH($K310,其他调用!$AG$5:$AG$364,0),1)/INDEX(其他调用!AL$5:AL$364,MATCH($K310,其他调用!$AG$5:$AG$364,0),0),1)*INDEX(其他调用!AC$5:AC$404,MATCH($K310,其他调用!$X$5:$X$404,0),0)</f>
        <v>5864.2448973307573</v>
      </c>
      <c r="Z310" s="12">
        <f>求节点(节奏总纲!D$4:D$163,标准城池设计!AD$4:AD$163,$K310)*求节点(节奏总纲!D$4:D$163,攻城基础信息!$AE$5:$AE$164,$K310)</f>
        <v>944404.31629684917</v>
      </c>
      <c r="AA310" s="12">
        <f>INDEX(其他调用!$AA$5:$AA$404,MATCH($K310,其他调用!$X$5:$X$404,0))*MIN(INDEX(其他调用!AJ$5:AJ$364,MATCH($K310,其他调用!$AG$5:$AG$364,0),1)/INDEX(其他调用!$AJ$5:$AJ$364,MATCH($K310,其他调用!$AG$5:$AG$364,0),0),5)*求节点(节奏总纲!D$4:D$163,攻城基础信息!$AE$5:$AE$164,$K310)</f>
        <v>158376.25379133344</v>
      </c>
      <c r="AB310" s="12">
        <f>MIN(INDEX(其他调用!$AJ$5:$AJ$364,MATCH($K310,其他调用!$AG$5:$AG$364,0),1)/INDEX(其他调用!AH$5:AH$364,MATCH($K310,其他调用!$AG$5:$AG$364,0),0),1)*INDEX(其他调用!Y$5:Y$404,MATCH($K310,其他调用!$X$5:$X$404,0),0)</f>
        <v>42568.540365432928</v>
      </c>
      <c r="AC310" s="12">
        <f>MIN(INDEX(其他调用!$AJ$5:$AJ$364,MATCH($K310,其他调用!$AG$5:$AG$364,0),1)/INDEX(其他调用!AI$5:AI$364,MATCH($K310,其他调用!$AG$5:$AG$364,0),0),1)*INDEX(其他调用!Z$5:Z$404,MATCH($K310,其他调用!$X$5:$X$404,0),0)</f>
        <v>43728.205689098264</v>
      </c>
      <c r="AD310" s="12">
        <f>MIN(INDEX(其他调用!$AJ$5:$AJ$364,MATCH($K310,其他调用!$AG$5:$AG$364,0),1)/INDEX(其他调用!AJ$5:AJ$364,MATCH($K310,其他调用!$AG$5:$AG$364,0),0),1)*INDEX(其他调用!AA$5:AA$404,MATCH($K310,其他调用!$X$5:$X$404,0),0)</f>
        <v>45250.358226095297</v>
      </c>
      <c r="AE310" s="12">
        <f>MIN(INDEX(其他调用!$AJ$5:$AJ$364,MATCH($K310,其他调用!$AG$5:$AG$364,0),1)/INDEX(其他调用!AK$5:AK$364,MATCH($K310,其他调用!$AG$5:$AG$364,0),0),1)*INDEX(其他调用!AB$5:AB$404,MATCH($K310,其他调用!$X$5:$X$404,0),0)</f>
        <v>17203.798433456453</v>
      </c>
      <c r="AF310" s="12">
        <f>MIN(INDEX(其他调用!$AJ$5:$AJ$364,MATCH($K310,其他调用!$AG$5:$AG$364,0),1)/INDEX(其他调用!AL$5:AL$364,MATCH($K310,其他调用!$AG$5:$AG$364,0),0),1)*INDEX(其他调用!AC$5:AC$404,MATCH($K310,其他调用!$X$5:$X$404,0),0)</f>
        <v>10216.928746788657</v>
      </c>
      <c r="AG310" s="12">
        <f>求节点(节奏总纲!D$4:D$163,标准城池设计!AE$4:AE$163,$K310)*求节点(节奏总纲!D$4:D$163,攻城基础信息!$AF$5:$AF$164,$K310)</f>
        <v>1138313.7172675075</v>
      </c>
      <c r="AH310" s="12">
        <f>INDEX(其他调用!$AA$5:$AA$404,MATCH($K310,其他调用!$X$5:$X$404,0))*MIN(INDEX(其他调用!AK$5:AK$364,MATCH($K310,其他调用!$AG$5:$AG$364,0),1)/INDEX(其他调用!$AJ$5:$AJ$364,MATCH($K310,其他调用!$AG$5:$AG$364,0),0),5)*求节点(节奏总纲!D$4:D$163,攻城基础信息!$AF$5:$AF$164,$K310)</f>
        <v>437363.23570486211</v>
      </c>
      <c r="AI310" s="12">
        <f>MIN(INDEX(其他调用!$AK$5:$AK$364,MATCH($K310,其他调用!$AG$5:$AG$364,0),1)/INDEX(其他调用!AH$5:AH$364,MATCH($K310,其他调用!$AG$5:$AG$364,0),0),1)*INDEX(其他调用!Y$5:Y$404,MATCH($K310,其他调用!$X$5:$X$404,0),0)</f>
        <v>42568.540365432928</v>
      </c>
      <c r="AJ310" s="12">
        <f>MIN(INDEX(其他调用!$AK$5:$AK$364,MATCH($K310,其他调用!$AG$5:$AG$364,0),1)/INDEX(其他调用!AI$5:AI$364,MATCH($K310,其他调用!$AG$5:$AG$364,0),0),1)*INDEX(其他调用!Z$5:Z$404,MATCH($K310,其他调用!$X$5:$X$404,0),0)</f>
        <v>43728.205689098264</v>
      </c>
      <c r="AK310" s="12">
        <f>MIN(INDEX(其他调用!$AK$5:$AK$364,MATCH($K310,其他调用!$AG$5:$AG$364,0),1)/INDEX(其他调用!AJ$5:AJ$364,MATCH($K310,其他调用!$AG$5:$AG$364,0),0),1)*INDEX(其他调用!AA$5:AA$404,MATCH($K310,其他调用!$X$5:$X$404,0),0)</f>
        <v>45250.358226095297</v>
      </c>
      <c r="AL310" s="12">
        <f>MIN(INDEX(其他调用!$AK$5:$AK$364,MATCH($K310,其他调用!$AG$5:$AG$364,0),1)/INDEX(其他调用!AK$5:AK$364,MATCH($K310,其他调用!$AG$5:$AG$364,0),0),1)*INDEX(其他调用!AB$5:AB$404,MATCH($K310,其他调用!$X$5:$X$404,0),0)</f>
        <v>47509.072661765997</v>
      </c>
      <c r="AM310" s="12">
        <f>MIN(INDEX(其他调用!$AK$5:$AK$364,MATCH($K310,其他调用!$AG$5:$AG$364,0),1)/INDEX(其他调用!AL$5:AL$364,MATCH($K310,其他调用!$AG$5:$AG$364,0),0),1)*INDEX(其他调用!AC$5:AC$404,MATCH($K310,其他调用!$X$5:$X$404,0),0)</f>
        <v>28214.513910329853</v>
      </c>
      <c r="AN310" s="12">
        <f>求节点(节奏总纲!D$4:D$163,标准城池设计!AF$4:AF$163,$K310)*求节点(节奏总纲!D$4:D$163,攻城基础信息!$AG$5:$AG$164,$K310)</f>
        <v>1185366.3438846408</v>
      </c>
      <c r="AO310" s="12">
        <f>INDEX(其他调用!$AA$5:$AA$404,MATCH($K310,其他调用!$X$5:$X$404,0))*MIN(INDEX(其他调用!AL$5:AL$364,MATCH($K310,其他调用!$AG$5:$AG$364,0),1)/INDEX(其他调用!$AJ$5:$AJ$364,MATCH($K310,其他调用!$AG$5:$AG$364,0),0),5)*求节点(节奏总纲!D$4:D$163,攻城基础信息!$AG$5:$AG$164,$K310)</f>
        <v>791881.26895666716</v>
      </c>
      <c r="AP310" s="12">
        <f>MIN(INDEX(其他调用!$AL$5:$AL$364,MATCH($K310,其他调用!$AG$5:$AG$364,0),1)/INDEX(其他调用!AH$5:AH$364,MATCH($K310,其他调用!$AG$5:$AG$364,0),0),1)*INDEX(其他调用!Y$5:Y$404,MATCH($K310,其他调用!$X$5:$X$404,0),0)</f>
        <v>42568.540365432928</v>
      </c>
      <c r="AQ310" s="12">
        <f>MIN(INDEX(其他调用!$AL$5:$AL$364,MATCH($K310,其他调用!$AG$5:$AG$364,0),1)/INDEX(其他调用!AI$5:AI$364,MATCH($K310,其他调用!$AG$5:$AG$364,0),0),1)*INDEX(其他调用!Z$5:Z$404,MATCH($K310,其他调用!$X$5:$X$404,0),0)</f>
        <v>43728.205689098264</v>
      </c>
      <c r="AR310" s="12">
        <f>MIN(INDEX(其他调用!$AL$5:$AL$364,MATCH($K310,其他调用!$AG$5:$AG$364,0),1)/INDEX(其他调用!AJ$5:AJ$364,MATCH($K310,其他调用!$AG$5:$AG$364,0),0),1)*INDEX(其他调用!AA$5:AA$404,MATCH($K310,其他调用!$X$5:$X$404,0),0)</f>
        <v>45250.358226095297</v>
      </c>
      <c r="AS310" s="12">
        <f>MIN(INDEX(其他调用!$AL$5:$AL$364,MATCH($K310,其他调用!$AG$5:$AG$364,0),1)/INDEX(其他调用!AK$5:AK$364,MATCH($K310,其他调用!$AG$5:$AG$364,0),0),1)*INDEX(其他调用!AB$5:AB$404,MATCH($K310,其他调用!$X$5:$X$404,0),0)</f>
        <v>47509.072661765997</v>
      </c>
      <c r="AT310" s="12">
        <f>MIN(INDEX(其他调用!$AL$5:$AL$364,MATCH($K310,其他调用!$AG$5:$AG$364,0),1)/INDEX(其他调用!AL$5:AL$364,MATCH($K310,其他调用!$AG$5:$AG$364,0),0),1)*INDEX(其他调用!AC$5:AC$404,MATCH($K310,其他调用!$X$5:$X$404,0),0)</f>
        <v>51401.667165663479</v>
      </c>
      <c r="AV310" s="14">
        <f>IF(OR(AV$5="大R",AV$5="超R"),MAX(INDEX(其他调用!$H$5:$L$404,MATCH($K310,其他调用!$B$5:$B$404,0),MATCH(AV$5,其他调用!$H$4:$L$4,0))*120*0.85,2),INDEX(其他调用!$H$5:$L$404,MATCH($K310,其他调用!$B$5:$B$404,0),MATCH(AV$5,其他调用!$H$4:$L$4,0))*120*0.85)</f>
        <v>48.921801254999991</v>
      </c>
      <c r="AW310" s="14">
        <f>IF(OR(AW$5="大R",AW$5="超R"),MAX(INDEX(其他调用!$H$5:$L$404,MATCH($K310,其他调用!$B$5:$B$404,0),MATCH(AW$5,其他调用!$H$4:$L$4,0))*120*0.85,2),INDEX(其他调用!$H$5:$L$404,MATCH($K310,其他调用!$B$5:$B$404,0),MATCH(AW$5,其他调用!$H$4:$L$4,0))*120*0.85)</f>
        <v>48.237344010638395</v>
      </c>
      <c r="AX310" s="14">
        <f>IF(OR(AX$5="大R",AX$5="超R"),MAX(INDEX(其他调用!$H$5:$L$404,MATCH($K310,其他调用!$B$5:$B$404,0),MATCH(AX$5,其他调用!$H$4:$L$4,0))*120*0.85,2),INDEX(其他调用!$H$5:$L$404,MATCH($K310,其他调用!$B$5:$B$404,0),MATCH(AX$5,其他调用!$H$4:$L$4,0))*120*0.85)</f>
        <v>3.9376284143615998</v>
      </c>
      <c r="AY310" s="14">
        <f>IF(OR(AY$5="大R",AY$5="超R"),MAX(INDEX(其他调用!$H$5:$L$404,MATCH($K310,其他调用!$B$5:$B$404,0),MATCH(AY$5,其他调用!$H$4:$L$4,0))*120*0.85,2),INDEX(其他调用!$H$5:$L$404,MATCH($K310,其他调用!$B$5:$B$404,0),MATCH(AY$5,其他调用!$H$4:$L$4,0))*120*0.85)</f>
        <v>2</v>
      </c>
      <c r="AZ310" s="14">
        <f>IF(OR(AZ$5="大R",AZ$5="超R"),MAX(INDEX(其他调用!$H$5:$L$404,MATCH($K310,其他调用!$B$5:$B$404,0),MATCH(AZ$5,其他调用!$H$4:$L$4,0))*120*0.85,2),INDEX(其他调用!$H$5:$L$404,MATCH($K310,其他调用!$B$5:$B$404,0),MATCH(AZ$5,其他调用!$H$4:$L$4,0))*120*0.85)</f>
        <v>2</v>
      </c>
      <c r="BA310" s="14">
        <f>INDEX(其他调用!$H$5:$L$404,MATCH($K310,其他调用!$B$5:$B$404,0),MATCH(BA$5,其他调用!$H$4:$L$4,0))*INDEX(其他调用!$M$5:$M$404,MATCH($K310,其他调用!$B$5:$B$404,0))*0.6</f>
        <v>28.777530149999997</v>
      </c>
      <c r="BB310" s="14">
        <f>INDEX(其他调用!$H$5:$L$404,MATCH($K310,其他调用!$B$5:$B$404,0),MATCH(BB$5,其他调用!$H$4:$L$4,0))*INDEX(其他调用!$M$5:$M$404,MATCH($K310,其他调用!$B$5:$B$404,0))*0.6</f>
        <v>28.374908241551999</v>
      </c>
      <c r="BC310" s="14">
        <f>INDEX(其他调用!$H$5:$L$404,MATCH($K310,其他调用!$B$5:$B$404,0),MATCH(BC$5,其他调用!$H$4:$L$4,0))*INDEX(其他调用!$M$5:$M$404,MATCH($K310,其他调用!$B$5:$B$404,0))*0.6</f>
        <v>2.3162520084480001</v>
      </c>
      <c r="BD310" s="14">
        <f>INDEX(其他调用!$H$5:$L$404,MATCH($K310,其他调用!$B$5:$B$404,0),MATCH(BD$5,其他调用!$H$4:$L$4,0))*INDEX(其他调用!$M$5:$M$404,MATCH($K310,其他调用!$B$5:$B$404,0))*0.6</f>
        <v>0.4120776000000001</v>
      </c>
      <c r="BE310" s="14">
        <f>INDEX(其他调用!$H$5:$L$404,MATCH($K310,其他调用!$B$5:$B$404,0),MATCH(BE$5,其他调用!$H$4:$L$4,0))*INDEX(其他调用!$M$5:$M$404,MATCH($K310,其他调用!$B$5:$B$404,0))*0.6</f>
        <v>0.11923199999999998</v>
      </c>
      <c r="BF310" s="14">
        <f>IF(OR(BF$5="大R",BF$5="超R"),0,INDEX(其他调用!$H$5:$L$404,MATCH($K310,其他调用!$B$5:$B$404,0),MATCH(BF$5,其他调用!$H$4:$L$4,0))*50*0.4)</f>
        <v>9.5925100500000013</v>
      </c>
      <c r="BG310" s="14">
        <f>IF(OR(BG$5="大R",BG$5="超R"),0,INDEX(其他调用!$H$5:$L$404,MATCH($K310,其他调用!$B$5:$B$404,0),MATCH(BG$5,其他调用!$H$4:$L$4,0))*50*0.4)</f>
        <v>9.4583027471839998</v>
      </c>
      <c r="BH310" s="14">
        <f>IF(OR(BH$5="大R",BH$5="超R"),0,INDEX(其他调用!$H$5:$L$404,MATCH($K310,其他调用!$B$5:$B$404,0),MATCH(BH$5,其他调用!$H$4:$L$4,0))*50*0.4)</f>
        <v>0.77208400281600009</v>
      </c>
      <c r="BI310" s="14">
        <f>IF(OR(BI$5="大R",BI$5="超R"),0,INDEX(其他调用!$H$5:$L$404,MATCH($K310,其他调用!$B$5:$B$404,0),MATCH(BI$5,其他调用!$H$4:$L$4,0))*50*0.4)</f>
        <v>0</v>
      </c>
      <c r="BJ310" s="14">
        <f>IF(OR(BJ$5="大R",BJ$5="超R"),0,INDEX(其他调用!$H$5:$L$404,MATCH($K310,其他调用!$B$5:$B$404,0),MATCH(BJ$5,其他调用!$H$4:$L$4,0))*50*0.4)</f>
        <v>0</v>
      </c>
      <c r="BL310" s="14">
        <f t="shared" si="523"/>
        <v>305</v>
      </c>
      <c r="BM310" s="14">
        <f t="shared" si="430"/>
        <v>96</v>
      </c>
      <c r="BN310" s="14">
        <f>('疲劳值&amp;地图信息'!$S$10*'疲劳值&amp;地图信息'!$R$10+'疲劳值&amp;地图信息'!$S$11*'疲劳值&amp;地图信息'!$R$11+'疲劳值&amp;地图信息'!$S$12*'疲劳值&amp;地图信息'!$R$12+(BM310-'疲劳值&amp;地图信息'!$S$12-'疲劳值&amp;地图信息'!$S$11-'疲劳值&amp;地图信息'!$S$10)*'疲劳值&amp;地图信息'!$R$13)/BM310</f>
        <v>51.371477246638619</v>
      </c>
      <c r="BO310" s="14">
        <f>INDEX(其他调用!$M$5:$M$404,MATCH(BL310,其他调用!$B$5:$B$404,0))*0.6</f>
        <v>60</v>
      </c>
      <c r="BP310" s="14">
        <f>IF(BO310&gt;SUM('疲劳值&amp;地图信息'!$S$10:$S$12),('疲劳值&amp;地图信息'!$S$10*'疲劳值&amp;地图信息'!$R$10+'疲劳值&amp;地图信息'!$S$11*'疲劳值&amp;地图信息'!$R$11+'疲劳值&amp;地图信息'!$S$12*'疲劳值&amp;地图信息'!$R$12+(BO310-'疲劳值&amp;地图信息'!$S$12-'疲劳值&amp;地图信息'!$S$11-'疲劳值&amp;地图信息'!$S$10)*'疲劳值&amp;地图信息'!$R$13)/BO310,('疲劳值&amp;地图信息'!$S$10*'疲劳值&amp;地图信息'!$R$10+'疲劳值&amp;地图信息'!$S$11*'疲劳值&amp;地图信息'!$R$11+'疲劳值&amp;地图信息'!$S$12*'疲劳值&amp;地图信息'!$R$12+(BO310-'疲劳值&amp;地图信息'!$S$12-'疲劳值&amp;地图信息'!$S$11-'疲劳值&amp;地图信息'!$S$10)*'疲劳值&amp;地图信息'!$R$13)/BO310)</f>
        <v>44.158136341605953</v>
      </c>
      <c r="BQ310" s="14">
        <f t="shared" si="524"/>
        <v>20</v>
      </c>
      <c r="BR310" s="14">
        <f>('疲劳值&amp;地图信息'!$S$10*'疲劳值&amp;地图信息'!$R$10+($BQ310-'疲劳值&amp;地图信息'!$S$10)*'疲劳值&amp;地图信息'!$R$11)/$BQ310</f>
        <v>32.067203015074995</v>
      </c>
      <c r="CF310" s="14">
        <v>305</v>
      </c>
      <c r="CG310" s="51">
        <f t="shared" si="431"/>
        <v>16098</v>
      </c>
      <c r="CH310" s="51">
        <f t="shared" si="432"/>
        <v>1083</v>
      </c>
      <c r="CI310" s="51">
        <f>INT(SUMPRODUCT($N310:$R310,$BA310:$BE310)/SUM($BA310:$BE310)/10000*$BX$7*$BZ$34/'疲劳值&amp;地图信息'!$R$10*$BY$53)</f>
        <v>3362</v>
      </c>
      <c r="CJ310" s="50">
        <f t="shared" si="433"/>
        <v>0.78362459231855131</v>
      </c>
      <c r="CK310" s="50">
        <f t="shared" si="434"/>
        <v>5.2718687630823151E-2</v>
      </c>
      <c r="CL310" s="50">
        <f t="shared" si="435"/>
        <v>0.16365672005062551</v>
      </c>
      <c r="CM310" s="14">
        <f t="shared" si="436"/>
        <v>17648</v>
      </c>
      <c r="CN310" s="14">
        <f t="shared" si="437"/>
        <v>1852</v>
      </c>
      <c r="CO310" s="14">
        <f>INT(SUMPRODUCT($U310:$Y310,$BA310:$BE310)/SUM($BA310:$BE310)/10000*$BX$7*$BZ$34/'疲劳值&amp;地图信息'!$R$10*$BY$54)</f>
        <v>6419</v>
      </c>
      <c r="CP310" s="50">
        <f t="shared" si="438"/>
        <v>0.68089046645318108</v>
      </c>
      <c r="CQ310" s="50">
        <f t="shared" si="439"/>
        <v>7.1453373972761289E-2</v>
      </c>
      <c r="CR310" s="50">
        <f t="shared" si="440"/>
        <v>0.24765615957405765</v>
      </c>
      <c r="CS310" s="14">
        <f t="shared" si="441"/>
        <v>19248</v>
      </c>
      <c r="CT310" s="14">
        <f t="shared" si="442"/>
        <v>3227</v>
      </c>
      <c r="CU310" s="14">
        <f>INT(SUMPRODUCT($AB310:$AF310,$BA310:$BE310)/SUM($BA310:$BE310)/10000*$BX$7*$BZ$34/'疲劳值&amp;地图信息'!$R$10*$BY$55)</f>
        <v>8722</v>
      </c>
      <c r="CV310" s="50">
        <f t="shared" si="443"/>
        <v>0.61698240215405331</v>
      </c>
      <c r="CW310" s="50">
        <f t="shared" si="444"/>
        <v>0.10343943327884092</v>
      </c>
      <c r="CX310" s="50">
        <f t="shared" si="445"/>
        <v>0.27957816456710582</v>
      </c>
      <c r="CY310" s="14">
        <f t="shared" si="446"/>
        <v>23200</v>
      </c>
      <c r="CZ310" s="14">
        <f t="shared" si="447"/>
        <v>8914</v>
      </c>
      <c r="DA310" s="14">
        <f>INT(SUMPRODUCT($AI310:$AM310,$BA310:$BE310)/SUM($BA310:$BE310)/10000*$BX$7*$BZ$34/'疲劳值&amp;地图信息'!$R$10*$BY$56)</f>
        <v>13158</v>
      </c>
      <c r="DB310" s="50">
        <f t="shared" si="448"/>
        <v>0.51245803145432056</v>
      </c>
      <c r="DC310" s="50">
        <f t="shared" si="449"/>
        <v>0.19689874536137128</v>
      </c>
      <c r="DD310" s="50">
        <f t="shared" si="450"/>
        <v>0.29064322318430819</v>
      </c>
      <c r="DE310" s="14">
        <f t="shared" si="451"/>
        <v>24159</v>
      </c>
      <c r="DF310" s="14">
        <f t="shared" si="452"/>
        <v>16139</v>
      </c>
      <c r="DG310" s="14">
        <f>INT(SUMPRODUCT($AP310:$AT310,$BA310:$BE310)/SUM($BA310:$BE310)/10000*$BX$7*$BZ$34/'疲劳值&amp;地图信息'!$R$10*$BY$57)</f>
        <v>17562</v>
      </c>
      <c r="DH310" s="50">
        <f t="shared" si="453"/>
        <v>0.41754234358797099</v>
      </c>
      <c r="DI310" s="50">
        <f t="shared" si="454"/>
        <v>0.27893190459730383</v>
      </c>
      <c r="DJ310" s="50">
        <f t="shared" si="455"/>
        <v>0.30352575181472519</v>
      </c>
      <c r="DL310" s="14">
        <f t="shared" si="526"/>
        <v>20543</v>
      </c>
      <c r="DM310" s="14">
        <f t="shared" si="527"/>
        <v>25919</v>
      </c>
      <c r="DN310" s="14">
        <f t="shared" si="528"/>
        <v>31197</v>
      </c>
      <c r="DO310" s="14">
        <f t="shared" si="529"/>
        <v>45272</v>
      </c>
      <c r="DP310" s="14">
        <f t="shared" si="530"/>
        <v>57860</v>
      </c>
      <c r="DQ310" s="14">
        <f t="shared" si="531"/>
        <v>1424440</v>
      </c>
      <c r="DT310" s="14">
        <f t="shared" si="525"/>
        <v>235575</v>
      </c>
      <c r="DU310" s="50">
        <f t="shared" si="427"/>
        <v>0.14191136827076864</v>
      </c>
      <c r="DW310" s="14">
        <f t="shared" si="456"/>
        <v>1660015</v>
      </c>
      <c r="EB310" s="14">
        <v>305</v>
      </c>
      <c r="EC310" s="51">
        <f t="shared" si="457"/>
        <v>26831</v>
      </c>
      <c r="ED310" s="51">
        <f t="shared" si="458"/>
        <v>1805</v>
      </c>
      <c r="EE310" s="51">
        <f>INT(SUMPRODUCT($N310:$R310,$BF310:$BJ310)/SUM($BF310:$BJ310)/10000*$BX$7*$BZ$46/'疲劳值&amp;地图信息'!$R$10*$BY$53)</f>
        <v>451</v>
      </c>
      <c r="EF310" s="50">
        <f t="shared" si="459"/>
        <v>0.92243957781826935</v>
      </c>
      <c r="EG310" s="50">
        <f t="shared" si="460"/>
        <v>6.205521366933682E-2</v>
      </c>
      <c r="EH310" s="50">
        <f t="shared" si="461"/>
        <v>1.5505208512393853E-2</v>
      </c>
      <c r="EI310" s="51">
        <f t="shared" si="462"/>
        <v>29414</v>
      </c>
      <c r="EJ310" s="51">
        <f t="shared" si="463"/>
        <v>3087</v>
      </c>
      <c r="EK310" s="14">
        <f>INT(SUMPRODUCT($U310:$Y310,$BF310:$BJ310)/SUM($BF310:$BJ310)/10000*$BX$7*$BZ$46/'疲劳值&amp;地图信息'!$R$10*$BY$54)</f>
        <v>861</v>
      </c>
      <c r="EL310" s="50">
        <f t="shared" si="464"/>
        <v>0.88166177087704578</v>
      </c>
      <c r="EM310" s="50">
        <f t="shared" si="465"/>
        <v>9.2530423835501474E-2</v>
      </c>
      <c r="EN310" s="50">
        <f t="shared" si="466"/>
        <v>2.580780528745279E-2</v>
      </c>
      <c r="EO310" s="51">
        <f t="shared" si="467"/>
        <v>32080</v>
      </c>
      <c r="EP310" s="51">
        <f t="shared" si="468"/>
        <v>5379</v>
      </c>
      <c r="EQ310" s="14">
        <f>INT(SUMPRODUCT($AB310:$AF310,$BF310:$BJ310)/SUM($BF310:$BJ310)/10000*$BX$7*$BZ$46/'疲劳值&amp;地图信息'!$R$10*$BY$55)</f>
        <v>1169</v>
      </c>
      <c r="ER310" s="50">
        <f t="shared" si="469"/>
        <v>0.83048565807186492</v>
      </c>
      <c r="ES310" s="50">
        <f t="shared" si="470"/>
        <v>0.13925132028580303</v>
      </c>
      <c r="ET310" s="50">
        <f t="shared" si="471"/>
        <v>3.0263021642331987E-2</v>
      </c>
      <c r="EU310" s="51">
        <f t="shared" si="472"/>
        <v>38667</v>
      </c>
      <c r="EV310" s="51">
        <f t="shared" si="473"/>
        <v>14856</v>
      </c>
      <c r="EW310" s="14">
        <f>INT(SUMPRODUCT($AI310:$AM310,$BF310:$BJ310)/SUM($BF310:$BJ310)/10000*$BX$7*$BZ$46/'疲劳值&amp;地图信息'!$R$10*$BY$56)</f>
        <v>1754</v>
      </c>
      <c r="EX310" s="50">
        <f t="shared" si="474"/>
        <v>0.69951335998697473</v>
      </c>
      <c r="EY310" s="50">
        <f t="shared" si="475"/>
        <v>0.2687555402789587</v>
      </c>
      <c r="EZ310" s="50">
        <f t="shared" si="476"/>
        <v>3.1731099734066612E-2</v>
      </c>
      <c r="FA310" s="51">
        <f t="shared" si="477"/>
        <v>40265</v>
      </c>
      <c r="FB310" s="51">
        <f t="shared" si="478"/>
        <v>26899</v>
      </c>
      <c r="FC310" s="14">
        <f>INT(SUMPRODUCT($AP310:$AT310,$BF310:$BJ310)/SUM($BF310:$BJ310)/10000*$BX$7*$BZ$46/'疲劳值&amp;地图信息'!$R$10*$BY$57)</f>
        <v>2339</v>
      </c>
      <c r="FD310" s="50">
        <f t="shared" si="479"/>
        <v>0.57932751104268876</v>
      </c>
      <c r="FE310" s="50">
        <f t="shared" si="480"/>
        <v>0.38701926535545228</v>
      </c>
      <c r="FF310" s="50">
        <f t="shared" si="481"/>
        <v>3.3653223601858913E-2</v>
      </c>
      <c r="FH310" s="14">
        <f t="shared" si="482"/>
        <v>29087</v>
      </c>
      <c r="FI310" s="14">
        <f t="shared" si="483"/>
        <v>33362</v>
      </c>
      <c r="FJ310" s="14">
        <f t="shared" si="484"/>
        <v>38628</v>
      </c>
      <c r="FK310" s="14">
        <f t="shared" si="485"/>
        <v>55277</v>
      </c>
      <c r="FL310" s="14">
        <f t="shared" si="486"/>
        <v>69503</v>
      </c>
      <c r="FM310" s="14">
        <f t="shared" si="487"/>
        <v>3433945</v>
      </c>
      <c r="FP310" s="14">
        <f t="shared" si="488"/>
        <v>334150</v>
      </c>
      <c r="FQ310" s="50">
        <f t="shared" si="428"/>
        <v>8.8678762080043105E-2</v>
      </c>
      <c r="FS310" s="14">
        <f t="shared" si="489"/>
        <v>3768095</v>
      </c>
      <c r="FX310" s="14">
        <v>305</v>
      </c>
      <c r="FY310" s="51">
        <f t="shared" si="490"/>
        <v>37563</v>
      </c>
      <c r="FZ310" s="51">
        <f t="shared" si="491"/>
        <v>1805</v>
      </c>
      <c r="GA310" s="51">
        <f>INT(SUMPRODUCT($N310:$R310,$BF310:$BJ310)/SUM($BF310:$BJ310)/10000*$BX$7*$BZ$46/'疲劳值&amp;地图信息'!$R$10*$BY$53)</f>
        <v>451</v>
      </c>
      <c r="GB310" s="50">
        <f t="shared" si="492"/>
        <v>0.94334362992541254</v>
      </c>
      <c r="GC310" s="50">
        <f t="shared" si="493"/>
        <v>4.5330118787513501E-2</v>
      </c>
      <c r="GD310" s="50">
        <f t="shared" si="494"/>
        <v>1.1326251287074009E-2</v>
      </c>
      <c r="GE310" s="51">
        <f t="shared" si="495"/>
        <v>41180</v>
      </c>
      <c r="GF310" s="51">
        <f t="shared" si="496"/>
        <v>3087</v>
      </c>
      <c r="GG310" s="14">
        <f>INT(SUMPRODUCT($U310:$Y310,$BF310:$BJ310)/SUM($BF310:$BJ310)/10000*$BX$7*$BZ$46/'疲劳值&amp;地图信息'!$R$10*$BY$54)</f>
        <v>861</v>
      </c>
      <c r="GH310" s="50">
        <f t="shared" si="497"/>
        <v>0.91251551143414289</v>
      </c>
      <c r="GI310" s="50">
        <f t="shared" si="498"/>
        <v>6.8405424570111686E-2</v>
      </c>
      <c r="GJ310" s="50">
        <f t="shared" si="499"/>
        <v>1.9079063995745434E-2</v>
      </c>
      <c r="GK310" s="51">
        <f t="shared" si="500"/>
        <v>44912</v>
      </c>
      <c r="GL310" s="51">
        <f t="shared" si="501"/>
        <v>5379</v>
      </c>
      <c r="GM310" s="14">
        <f>INT(SUMPRODUCT($AB310:$AF310,$BF310:$BJ310)/SUM($BF310:$BJ310)/10000*$BX$7*$BZ$46/'疲劳值&amp;地图信息'!$R$10*$BY$55)</f>
        <v>1169</v>
      </c>
      <c r="GN310" s="50">
        <f t="shared" si="502"/>
        <v>0.8727555382821609</v>
      </c>
      <c r="GO310" s="50">
        <f t="shared" si="503"/>
        <v>0.10452778857364943</v>
      </c>
      <c r="GP310" s="50">
        <f t="shared" si="504"/>
        <v>2.2716673144189663E-2</v>
      </c>
      <c r="GQ310" s="51">
        <f t="shared" si="505"/>
        <v>54134</v>
      </c>
      <c r="GR310" s="51">
        <f t="shared" si="506"/>
        <v>14856</v>
      </c>
      <c r="GS310" s="14">
        <f>INT(SUMPRODUCT($AI310:$AM310,$BF310:$BJ310)/SUM($BF310:$BJ310)/10000*$BX$7*$BZ$46/'疲劳值&amp;地图信息'!$R$10*$BY$56)</f>
        <v>1754</v>
      </c>
      <c r="GT310" s="50">
        <f t="shared" si="507"/>
        <v>0.76520977043989591</v>
      </c>
      <c r="GU310" s="50">
        <f t="shared" si="508"/>
        <v>0.20999660748614724</v>
      </c>
      <c r="GV310" s="50">
        <f t="shared" si="509"/>
        <v>2.47936220739568E-2</v>
      </c>
      <c r="GW310" s="51">
        <f t="shared" si="510"/>
        <v>56371</v>
      </c>
      <c r="GX310" s="51">
        <f t="shared" si="511"/>
        <v>26899</v>
      </c>
      <c r="GY310" s="14">
        <f>INT(SUMPRODUCT($AP310:$AT310,$BF310:$BJ310)/SUM($BF310:$BJ310)/10000*$BX$7*$BZ$46/'疲劳值&amp;地图信息'!$R$10*$BY$57)</f>
        <v>2339</v>
      </c>
      <c r="GZ310" s="50">
        <f t="shared" si="512"/>
        <v>0.65847048791599017</v>
      </c>
      <c r="HA310" s="50">
        <f t="shared" si="513"/>
        <v>0.31420761835788291</v>
      </c>
      <c r="HB310" s="50">
        <f t="shared" si="514"/>
        <v>2.7321893726126926E-2</v>
      </c>
      <c r="HD310" s="14">
        <f t="shared" si="515"/>
        <v>39819</v>
      </c>
      <c r="HE310" s="14">
        <f t="shared" si="516"/>
        <v>45128</v>
      </c>
      <c r="HF310" s="14">
        <f t="shared" si="517"/>
        <v>51460</v>
      </c>
      <c r="HG310" s="14">
        <f t="shared" si="518"/>
        <v>70744</v>
      </c>
      <c r="HH310" s="14">
        <f t="shared" si="519"/>
        <v>85609</v>
      </c>
      <c r="HI310" s="14">
        <f t="shared" si="520"/>
        <v>4640208</v>
      </c>
      <c r="HL310" s="14">
        <f t="shared" si="521"/>
        <v>430050</v>
      </c>
      <c r="HM310" s="50">
        <f t="shared" si="429"/>
        <v>8.4818169016251249E-2</v>
      </c>
      <c r="HO310" s="14">
        <f t="shared" si="522"/>
        <v>5070258</v>
      </c>
    </row>
    <row r="311" spans="11:223" x14ac:dyDescent="0.2">
      <c r="K311" s="14">
        <v>306</v>
      </c>
      <c r="L311" s="12">
        <f>求节点(节奏总纲!D$4:D$163,标准城池设计!AB$4:AB$163,$K311)*求节点(节奏总纲!D$4:D$163,攻城基础信息!$AC$5:$AC$164,$K311)</f>
        <v>791032.13009566942</v>
      </c>
      <c r="M311" s="12">
        <f>INDEX(其他调用!$AA$5:$AA$404,MATCH(K311,其他调用!$X$5:$X$404,0))*MIN(INDEX(其他调用!$AH$5:$AH$364,MATCH('征服点（新）'!K311,其他调用!$AG$5:$AG$364,0),1)/INDEX(其他调用!$AJ$5:$AJ$364,MATCH(K311,其他调用!$AG$5:$AG$364,0),0),5)*求节点(节奏总纲!D$4:D$163,攻城基础信息!$AC$5:$AC$164,$K311)</f>
        <v>53123.633278068664</v>
      </c>
      <c r="N311" s="12">
        <f>MIN(INDEX(其他调用!$AH$5:$AH$364,MATCH($K311,其他调用!$AG$5:$AG$364,0),1)/INDEX(其他调用!AH$5:AH$364,MATCH($K311,其他调用!$AG$5:$AG$364,0),0),1)*INDEX(其他调用!Y$5:Y$404,MATCH($K311,其他调用!$X$5:$X$404,0),0)</f>
        <v>42587.61603096842</v>
      </c>
      <c r="O311" s="12">
        <f>MIN(INDEX(其他调用!$AH$5:$AH$364,MATCH($K311,其他调用!$AG$5:$AG$364,0),1)/INDEX(其他调用!AI$5:AI$364,MATCH($K311,其他调用!$AG$5:$AG$364,0),0),1)*INDEX(其他调用!Z$5:Z$404,MATCH($K311,其他调用!$X$5:$X$404,0),0)</f>
        <v>25570.88123154339</v>
      </c>
      <c r="P311" s="12">
        <f>MIN(INDEX(其他调用!$AH$5:$AH$364,MATCH($K311,其他调用!$AG$5:$AG$364,0),1)/INDEX(其他调用!AJ$5:AJ$364,MATCH($K311,其他调用!$AG$5:$AG$364,0),0),1)*INDEX(其他调用!AA$5:AA$404,MATCH($K311,其他调用!$X$5:$X$404,0),0)</f>
        <v>15178.180936591056</v>
      </c>
      <c r="Q311" s="12">
        <f>MIN(INDEX(其他调用!$AH$5:$AH$364,MATCH($K311,其他调用!$AG$5:$AG$364,0),1)/INDEX(其他调用!AK$5:AK$364,MATCH($K311,其他调用!$AG$5:$AG$364,0),0),1)*INDEX(其他调用!AB$5:AB$404,MATCH($K311,其他调用!$X$5:$X$404,0),0)</f>
        <v>5778.5911530848616</v>
      </c>
      <c r="R311" s="12">
        <f>MIN(INDEX(其他调用!$AH$5:$AH$364,MATCH($K311,其他调用!$AG$5:$AG$364,0),1)/INDEX(其他调用!AL$5:AL$364,MATCH($K311,其他调用!$AG$5:$AG$364,0),0),1)*INDEX(其他调用!AC$5:AC$404,MATCH($K311,其他调用!$X$5:$X$404,0),0)</f>
        <v>3437.4056201875173</v>
      </c>
      <c r="S311" s="12">
        <f>求节点(节奏总纲!D$4:D$163,标准城池设计!AC$4:AC$163,$K311)*求节点(节奏总纲!D$4:D$163,攻城基础信息!$AD$5:$AD$164,$K311)</f>
        <v>867221.35216154542</v>
      </c>
      <c r="T311" s="12">
        <f>INDEX(其他调用!$AA$5:$AA$404,MATCH($K311,其他调用!$X$5:$X$404,0))*MIN(INDEX(其他调用!AI$5:AI$364,MATCH($K311,其他调用!$AG$5:$AG$364,0),1)/INDEX(其他调用!$AJ$5:$AJ$364,MATCH($K311,其他调用!$AG$5:$AG$364,0),0),5)*求节点(节奏总纲!D$4:D$163,攻城基础信息!$AD$5:$AD$164,$K311)</f>
        <v>90885.85866100034</v>
      </c>
      <c r="U311" s="12">
        <f>MIN(INDEX(其他调用!$AI$5:$AI$364,MATCH($K311,其他调用!$AG$5:$AG$364,0),1)/INDEX(其他调用!AH$5:AH$364,MATCH($K311,其他调用!$AG$5:$AG$364,0),0),1)*INDEX(其他调用!Y$5:Y$404,MATCH($K311,其他调用!$X$5:$X$404,0),0)</f>
        <v>42587.61603096842</v>
      </c>
      <c r="V311" s="12">
        <f>MIN(INDEX(其他调用!$AI$5:$AI$364,MATCH($K311,其他调用!$AG$5:$AG$364,0),1)/INDEX(其他调用!AI$5:AI$364,MATCH($K311,其他调用!$AG$5:$AG$364,0),0),1)*INDEX(其他调用!Z$5:Z$404,MATCH($K311,其他调用!$X$5:$X$404,0),0)</f>
        <v>43747.600720049442</v>
      </c>
      <c r="W311" s="12">
        <f>MIN(INDEX(其他调用!$AI$5:$AI$364,MATCH($K311,其他调用!$AG$5:$AG$364,0),1)/INDEX(其他调用!AJ$5:AJ$364,MATCH($K311,其他调用!$AG$5:$AG$364,0),0),1)*INDEX(其他调用!AA$5:AA$404,MATCH($K311,其他调用!$X$5:$X$404,0),0)</f>
        <v>25967.388188857258</v>
      </c>
      <c r="X311" s="12">
        <f>MIN(INDEX(其他调用!$AI$5:$AI$364,MATCH($K311,其他调用!$AG$5:$AG$364,0),1)/INDEX(其他调用!AK$5:AK$364,MATCH($K311,其他调用!$AG$5:$AG$364,0),0),1)*INDEX(其他调用!AB$5:AB$404,MATCH($K311,其他调用!$X$5:$X$404,0),0)</f>
        <v>9886.2255156745068</v>
      </c>
      <c r="Y311" s="12">
        <f>MIN(INDEX(其他调用!$AI$5:$AI$364,MATCH($K311,其他调用!$AG$5:$AG$364,0),1)/INDEX(其他调用!AL$5:AL$364,MATCH($K311,其他调用!$AG$5:$AG$364,0),0),1)*INDEX(其他调用!AC$5:AC$404,MATCH($K311,其他调用!$X$5:$X$404,0),0)</f>
        <v>5880.8395073735592</v>
      </c>
      <c r="Z311" s="12">
        <f>求节点(节奏总纲!D$4:D$163,标准城池设计!AD$4:AD$163,$K311)*求节点(节奏总纲!D$4:D$163,攻城基础信息!$AE$5:$AE$164,$K311)</f>
        <v>945770.22026425088</v>
      </c>
      <c r="AA311" s="12">
        <f>INDEX(其他调用!$AA$5:$AA$404,MATCH($K311,其他调用!$X$5:$X$404,0))*MIN(INDEX(其他调用!AJ$5:AJ$364,MATCH($K311,其他调用!$AG$5:$AG$364,0),1)/INDEX(其他调用!$AJ$5:$AJ$364,MATCH($K311,其他调用!$AG$5:$AG$364,0),0),5)*求节点(节奏总纲!D$4:D$163,攻城基础信息!$AE$5:$AE$164,$K311)</f>
        <v>158444.18431514339</v>
      </c>
      <c r="AB311" s="12">
        <f>MIN(INDEX(其他调用!$AJ$5:$AJ$364,MATCH($K311,其他调用!$AG$5:$AG$364,0),1)/INDEX(其他调用!AH$5:AH$364,MATCH($K311,其他调用!$AG$5:$AG$364,0),0),1)*INDEX(其他调用!Y$5:Y$404,MATCH($K311,其他调用!$X$5:$X$404,0),0)</f>
        <v>42587.61603096842</v>
      </c>
      <c r="AC311" s="12">
        <f>MIN(INDEX(其他调用!$AJ$5:$AJ$364,MATCH($K311,其他调用!$AG$5:$AG$364,0),1)/INDEX(其他调用!AI$5:AI$364,MATCH($K311,其他调用!$AG$5:$AG$364,0),0),1)*INDEX(其他调用!Z$5:Z$404,MATCH($K311,其他调用!$X$5:$X$404,0),0)</f>
        <v>43747.600720049442</v>
      </c>
      <c r="AD311" s="12">
        <f>MIN(INDEX(其他调用!$AJ$5:$AJ$364,MATCH($K311,其他调用!$AG$5:$AG$364,0),1)/INDEX(其他调用!AJ$5:AJ$364,MATCH($K311,其他调用!$AG$5:$AG$364,0),0),1)*INDEX(其他调用!AA$5:AA$404,MATCH($K311,其他调用!$X$5:$X$404,0),0)</f>
        <v>45269.766947183853</v>
      </c>
      <c r="AE311" s="12">
        <f>MIN(INDEX(其他调用!$AJ$5:$AJ$364,MATCH($K311,其他调用!$AG$5:$AG$364,0),1)/INDEX(其他调用!AK$5:AK$364,MATCH($K311,其他调用!$AG$5:$AG$364,0),0),1)*INDEX(其他调用!AB$5:AB$404,MATCH($K311,其他调用!$X$5:$X$404,0),0)</f>
        <v>17234.968793431919</v>
      </c>
      <c r="AF311" s="12">
        <f>MIN(INDEX(其他调用!$AJ$5:$AJ$364,MATCH($K311,其他调用!$AG$5:$AG$364,0),1)/INDEX(其他调用!AL$5:AL$364,MATCH($K311,其他调用!$AG$5:$AG$364,0),0),1)*INDEX(其他调用!AC$5:AC$404,MATCH($K311,其他调用!$X$5:$X$404,0),0)</f>
        <v>10252.253018916655</v>
      </c>
      <c r="AG311" s="12">
        <f>求节点(节奏总纲!D$4:D$163,标准城池设计!AE$4:AE$163,$K311)*求节点(节奏总纲!D$4:D$163,攻城基础信息!$AF$5:$AF$164,$K311)</f>
        <v>1139674.2846189064</v>
      </c>
      <c r="AH311" s="12">
        <f>INDEX(其他调用!$AA$5:$AA$404,MATCH($K311,其他调用!$X$5:$X$404,0))*MIN(INDEX(其他调用!AK$5:AK$364,MATCH($K311,其他调用!$AG$5:$AG$364,0),1)/INDEX(其他调用!$AJ$5:$AJ$364,MATCH($K311,其他调用!$AG$5:$AG$364,0),0),5)*求节点(节奏总纲!D$4:D$163,攻城基础信息!$AF$5:$AF$164,$K311)</f>
        <v>436942.2257285575</v>
      </c>
      <c r="AI311" s="12">
        <f>MIN(INDEX(其他调用!$AK$5:$AK$364,MATCH($K311,其他调用!$AG$5:$AG$364,0),1)/INDEX(其他调用!AH$5:AH$364,MATCH($K311,其他调用!$AG$5:$AG$364,0),0),1)*INDEX(其他调用!Y$5:Y$404,MATCH($K311,其他调用!$X$5:$X$404,0),0)</f>
        <v>42587.61603096842</v>
      </c>
      <c r="AJ311" s="12">
        <f>MIN(INDEX(其他调用!$AK$5:$AK$364,MATCH($K311,其他调用!$AG$5:$AG$364,0),1)/INDEX(其他调用!AI$5:AI$364,MATCH($K311,其他调用!$AG$5:$AG$364,0),0),1)*INDEX(其他调用!Z$5:Z$404,MATCH($K311,其他调用!$X$5:$X$404,0),0)</f>
        <v>43747.600720049442</v>
      </c>
      <c r="AK311" s="12">
        <f>MIN(INDEX(其他调用!$AK$5:$AK$364,MATCH($K311,其他调用!$AG$5:$AG$364,0),1)/INDEX(其他调用!AJ$5:AJ$364,MATCH($K311,其他调用!$AG$5:$AG$364,0),0),1)*INDEX(其他调用!AA$5:AA$404,MATCH($K311,其他调用!$X$5:$X$404,0),0)</f>
        <v>45269.766947183853</v>
      </c>
      <c r="AL311" s="12">
        <f>MIN(INDEX(其他调用!$AK$5:$AK$364,MATCH($K311,其他调用!$AG$5:$AG$364,0),1)/INDEX(其他调用!AK$5:AK$364,MATCH($K311,其他调用!$AG$5:$AG$364,0),0),1)*INDEX(其他调用!AB$5:AB$404,MATCH($K311,其他调用!$X$5:$X$404,0),0)</f>
        <v>47528.94943739898</v>
      </c>
      <c r="AM311" s="12">
        <f>MIN(INDEX(其他调用!$AK$5:$AK$364,MATCH($K311,其他调用!$AG$5:$AG$364,0),1)/INDEX(其他调用!AL$5:AL$364,MATCH($K311,其他调用!$AG$5:$AG$364,0),0),1)*INDEX(其他调用!AC$5:AC$404,MATCH($K311,其他调用!$X$5:$X$404,0),0)</f>
        <v>28272.683356479767</v>
      </c>
      <c r="AN311" s="12">
        <f>求节点(节奏总纲!D$4:D$163,标准城池设计!AF$4:AF$163,$K311)*求节点(节奏总纲!D$4:D$163,攻城基础信息!$AG$5:$AG$164,$K311)</f>
        <v>1186372.3679655348</v>
      </c>
      <c r="AO311" s="12">
        <f>INDEX(其他调用!$AA$5:$AA$404,MATCH($K311,其他调用!$X$5:$X$404,0))*MIN(INDEX(其他调用!AL$5:AL$364,MATCH($K311,其他调用!$AG$5:$AG$364,0),1)/INDEX(其他调用!$AJ$5:$AJ$364,MATCH($K311,其他调用!$AG$5:$AG$364,0),0),5)*求节点(节奏总纲!D$4:D$163,攻城基础信息!$AG$5:$AG$164,$K311)</f>
        <v>792220.92157571693</v>
      </c>
      <c r="AP311" s="12">
        <f>MIN(INDEX(其他调用!$AL$5:$AL$364,MATCH($K311,其他调用!$AG$5:$AG$364,0),1)/INDEX(其他调用!AH$5:AH$364,MATCH($K311,其他调用!$AG$5:$AG$364,0),0),1)*INDEX(其他调用!Y$5:Y$404,MATCH($K311,其他调用!$X$5:$X$404,0),0)</f>
        <v>42587.61603096842</v>
      </c>
      <c r="AQ311" s="12">
        <f>MIN(INDEX(其他调用!$AL$5:$AL$364,MATCH($K311,其他调用!$AG$5:$AG$364,0),1)/INDEX(其他调用!AI$5:AI$364,MATCH($K311,其他调用!$AG$5:$AG$364,0),0),1)*INDEX(其他调用!Z$5:Z$404,MATCH($K311,其他调用!$X$5:$X$404,0),0)</f>
        <v>43747.600720049442</v>
      </c>
      <c r="AR311" s="12">
        <f>MIN(INDEX(其他调用!$AL$5:$AL$364,MATCH($K311,其他调用!$AG$5:$AG$364,0),1)/INDEX(其他调用!AJ$5:AJ$364,MATCH($K311,其他调用!$AG$5:$AG$364,0),0),1)*INDEX(其他调用!AA$5:AA$404,MATCH($K311,其他调用!$X$5:$X$404,0),0)</f>
        <v>45269.766947183853</v>
      </c>
      <c r="AS311" s="12">
        <f>MIN(INDEX(其他调用!$AL$5:$AL$364,MATCH($K311,其他调用!$AG$5:$AG$364,0),1)/INDEX(其他调用!AK$5:AK$364,MATCH($K311,其他调用!$AG$5:$AG$364,0),0),1)*INDEX(其他调用!AB$5:AB$404,MATCH($K311,其他调用!$X$5:$X$404,0),0)</f>
        <v>47528.94943739898</v>
      </c>
      <c r="AT311" s="12">
        <f>MIN(INDEX(其他调用!$AL$5:$AL$364,MATCH($K311,其他调用!$AG$5:$AG$364,0),1)/INDEX(其他调用!AL$5:AL$364,MATCH($K311,其他调用!$AG$5:$AG$364,0),0),1)*INDEX(其他调用!AC$5:AC$404,MATCH($K311,其他调用!$X$5:$X$404,0),0)</f>
        <v>51420.950423831222</v>
      </c>
      <c r="AV311" s="14">
        <f>IF(OR(AV$5="大R",AV$5="超R"),MAX(INDEX(其他调用!$H$5:$L$404,MATCH($K311,其他调用!$B$5:$B$404,0),MATCH(AV$5,其他调用!$H$4:$L$4,0))*120*0.85,2),INDEX(其他调用!$H$5:$L$404,MATCH($K311,其他调用!$B$5:$B$404,0),MATCH(AV$5,其他调用!$H$4:$L$4,0))*120*0.85)</f>
        <v>48.921801254999991</v>
      </c>
      <c r="AW311" s="14">
        <f>IF(OR(AW$5="大R",AW$5="超R"),MAX(INDEX(其他调用!$H$5:$L$404,MATCH($K311,其他调用!$B$5:$B$404,0),MATCH(AW$5,其他调用!$H$4:$L$4,0))*120*0.85,2),INDEX(其他调用!$H$5:$L$404,MATCH($K311,其他调用!$B$5:$B$404,0),MATCH(AW$5,其他调用!$H$4:$L$4,0))*120*0.85)</f>
        <v>48.237344010638395</v>
      </c>
      <c r="AX311" s="14">
        <f>IF(OR(AX$5="大R",AX$5="超R"),MAX(INDEX(其他调用!$H$5:$L$404,MATCH($K311,其他调用!$B$5:$B$404,0),MATCH(AX$5,其他调用!$H$4:$L$4,0))*120*0.85,2),INDEX(其他调用!$H$5:$L$404,MATCH($K311,其他调用!$B$5:$B$404,0),MATCH(AX$5,其他调用!$H$4:$L$4,0))*120*0.85)</f>
        <v>3.9376284143615998</v>
      </c>
      <c r="AY311" s="14">
        <f>IF(OR(AY$5="大R",AY$5="超R"),MAX(INDEX(其他调用!$H$5:$L$404,MATCH($K311,其他调用!$B$5:$B$404,0),MATCH(AY$5,其他调用!$H$4:$L$4,0))*120*0.85,2),INDEX(其他调用!$H$5:$L$404,MATCH($K311,其他调用!$B$5:$B$404,0),MATCH(AY$5,其他调用!$H$4:$L$4,0))*120*0.85)</f>
        <v>2</v>
      </c>
      <c r="AZ311" s="14">
        <f>IF(OR(AZ$5="大R",AZ$5="超R"),MAX(INDEX(其他调用!$H$5:$L$404,MATCH($K311,其他调用!$B$5:$B$404,0),MATCH(AZ$5,其他调用!$H$4:$L$4,0))*120*0.85,2),INDEX(其他调用!$H$5:$L$404,MATCH($K311,其他调用!$B$5:$B$404,0),MATCH(AZ$5,其他调用!$H$4:$L$4,0))*120*0.85)</f>
        <v>2</v>
      </c>
      <c r="BA311" s="14">
        <f>INDEX(其他调用!$H$5:$L$404,MATCH($K311,其他调用!$B$5:$B$404,0),MATCH(BA$5,其他调用!$H$4:$L$4,0))*INDEX(其他调用!$M$5:$M$404,MATCH($K311,其他调用!$B$5:$B$404,0))*0.6</f>
        <v>28.777530149999997</v>
      </c>
      <c r="BB311" s="14">
        <f>INDEX(其他调用!$H$5:$L$404,MATCH($K311,其他调用!$B$5:$B$404,0),MATCH(BB$5,其他调用!$H$4:$L$4,0))*INDEX(其他调用!$M$5:$M$404,MATCH($K311,其他调用!$B$5:$B$404,0))*0.6</f>
        <v>28.374908241551999</v>
      </c>
      <c r="BC311" s="14">
        <f>INDEX(其他调用!$H$5:$L$404,MATCH($K311,其他调用!$B$5:$B$404,0),MATCH(BC$5,其他调用!$H$4:$L$4,0))*INDEX(其他调用!$M$5:$M$404,MATCH($K311,其他调用!$B$5:$B$404,0))*0.6</f>
        <v>2.3162520084480001</v>
      </c>
      <c r="BD311" s="14">
        <f>INDEX(其他调用!$H$5:$L$404,MATCH($K311,其他调用!$B$5:$B$404,0),MATCH(BD$5,其他调用!$H$4:$L$4,0))*INDEX(其他调用!$M$5:$M$404,MATCH($K311,其他调用!$B$5:$B$404,0))*0.6</f>
        <v>0.4120776000000001</v>
      </c>
      <c r="BE311" s="14">
        <f>INDEX(其他调用!$H$5:$L$404,MATCH($K311,其他调用!$B$5:$B$404,0),MATCH(BE$5,其他调用!$H$4:$L$4,0))*INDEX(其他调用!$M$5:$M$404,MATCH($K311,其他调用!$B$5:$B$404,0))*0.6</f>
        <v>0.11923199999999998</v>
      </c>
      <c r="BF311" s="14">
        <f>IF(OR(BF$5="大R",BF$5="超R"),0,INDEX(其他调用!$H$5:$L$404,MATCH($K311,其他调用!$B$5:$B$404,0),MATCH(BF$5,其他调用!$H$4:$L$4,0))*50*0.4)</f>
        <v>9.5925100500000013</v>
      </c>
      <c r="BG311" s="14">
        <f>IF(OR(BG$5="大R",BG$5="超R"),0,INDEX(其他调用!$H$5:$L$404,MATCH($K311,其他调用!$B$5:$B$404,0),MATCH(BG$5,其他调用!$H$4:$L$4,0))*50*0.4)</f>
        <v>9.4583027471839998</v>
      </c>
      <c r="BH311" s="14">
        <f>IF(OR(BH$5="大R",BH$5="超R"),0,INDEX(其他调用!$H$5:$L$404,MATCH($K311,其他调用!$B$5:$B$404,0),MATCH(BH$5,其他调用!$H$4:$L$4,0))*50*0.4)</f>
        <v>0.77208400281600009</v>
      </c>
      <c r="BI311" s="14">
        <f>IF(OR(BI$5="大R",BI$5="超R"),0,INDEX(其他调用!$H$5:$L$404,MATCH($K311,其他调用!$B$5:$B$404,0),MATCH(BI$5,其他调用!$H$4:$L$4,0))*50*0.4)</f>
        <v>0</v>
      </c>
      <c r="BJ311" s="14">
        <f>IF(OR(BJ$5="大R",BJ$5="超R"),0,INDEX(其他调用!$H$5:$L$404,MATCH($K311,其他调用!$B$5:$B$404,0),MATCH(BJ$5,其他调用!$H$4:$L$4,0))*50*0.4)</f>
        <v>0</v>
      </c>
      <c r="BL311" s="14">
        <f t="shared" si="523"/>
        <v>306</v>
      </c>
      <c r="BM311" s="14">
        <f t="shared" si="430"/>
        <v>96</v>
      </c>
      <c r="BN311" s="14">
        <f>('疲劳值&amp;地图信息'!$S$10*'疲劳值&amp;地图信息'!$R$10+'疲劳值&amp;地图信息'!$S$11*'疲劳值&amp;地图信息'!$R$11+'疲劳值&amp;地图信息'!$S$12*'疲劳值&amp;地图信息'!$R$12+(BM311-'疲劳值&amp;地图信息'!$S$12-'疲劳值&amp;地图信息'!$S$11-'疲劳值&amp;地图信息'!$S$10)*'疲劳值&amp;地图信息'!$R$13)/BM311</f>
        <v>51.371477246638619</v>
      </c>
      <c r="BO311" s="14">
        <f>INDEX(其他调用!$M$5:$M$404,MATCH(BL311,其他调用!$B$5:$B$404,0))*0.6</f>
        <v>60</v>
      </c>
      <c r="BP311" s="14">
        <f>IF(BO311&gt;SUM('疲劳值&amp;地图信息'!$S$10:$S$12),('疲劳值&amp;地图信息'!$S$10*'疲劳值&amp;地图信息'!$R$10+'疲劳值&amp;地图信息'!$S$11*'疲劳值&amp;地图信息'!$R$11+'疲劳值&amp;地图信息'!$S$12*'疲劳值&amp;地图信息'!$R$12+(BO311-'疲劳值&amp;地图信息'!$S$12-'疲劳值&amp;地图信息'!$S$11-'疲劳值&amp;地图信息'!$S$10)*'疲劳值&amp;地图信息'!$R$13)/BO311,('疲劳值&amp;地图信息'!$S$10*'疲劳值&amp;地图信息'!$R$10+'疲劳值&amp;地图信息'!$S$11*'疲劳值&amp;地图信息'!$R$11+'疲劳值&amp;地图信息'!$S$12*'疲劳值&amp;地图信息'!$R$12+(BO311-'疲劳值&amp;地图信息'!$S$12-'疲劳值&amp;地图信息'!$S$11-'疲劳值&amp;地图信息'!$S$10)*'疲劳值&amp;地图信息'!$R$13)/BO311)</f>
        <v>44.158136341605953</v>
      </c>
      <c r="BQ311" s="14">
        <f t="shared" si="524"/>
        <v>20</v>
      </c>
      <c r="BR311" s="14">
        <f>('疲劳值&amp;地图信息'!$S$10*'疲劳值&amp;地图信息'!$R$10+($BQ311-'疲劳值&amp;地图信息'!$S$10)*'疲劳值&amp;地图信息'!$R$11)/$BQ311</f>
        <v>32.067203015074995</v>
      </c>
      <c r="CF311" s="14">
        <v>306</v>
      </c>
      <c r="CG311" s="51">
        <f t="shared" si="431"/>
        <v>16122</v>
      </c>
      <c r="CH311" s="51">
        <f t="shared" si="432"/>
        <v>1082</v>
      </c>
      <c r="CI311" s="51">
        <f>INT(SUMPRODUCT($N311:$R311,$BA311:$BE311)/SUM($BA311:$BE311)/10000*$BX$7*$BZ$34/'疲劳值&amp;地图信息'!$R$10*$BY$53)</f>
        <v>3363</v>
      </c>
      <c r="CJ311" s="50">
        <f t="shared" si="433"/>
        <v>0.7838770846501677</v>
      </c>
      <c r="CK311" s="50">
        <f t="shared" si="434"/>
        <v>5.2608547673457483E-2</v>
      </c>
      <c r="CL311" s="50">
        <f t="shared" si="435"/>
        <v>0.16351436767637478</v>
      </c>
      <c r="CM311" s="14">
        <f t="shared" si="436"/>
        <v>17675</v>
      </c>
      <c r="CN311" s="14">
        <f t="shared" si="437"/>
        <v>1852</v>
      </c>
      <c r="CO311" s="14">
        <f>INT(SUMPRODUCT($U311:$Y311,$BA311:$BE311)/SUM($BA311:$BE311)/10000*$BX$7*$BZ$34/'疲劳值&amp;地图信息'!$R$10*$BY$54)</f>
        <v>6422</v>
      </c>
      <c r="CP311" s="50">
        <f t="shared" si="438"/>
        <v>0.68114378203398973</v>
      </c>
      <c r="CQ311" s="50">
        <f t="shared" si="439"/>
        <v>7.1370765732783531E-2</v>
      </c>
      <c r="CR311" s="50">
        <f t="shared" si="440"/>
        <v>0.24748545223322671</v>
      </c>
      <c r="CS311" s="14">
        <f t="shared" si="441"/>
        <v>19276</v>
      </c>
      <c r="CT311" s="14">
        <f t="shared" si="442"/>
        <v>3229</v>
      </c>
      <c r="CU311" s="14">
        <f>INT(SUMPRODUCT($AB311:$AF311,$BA311:$BE311)/SUM($BA311:$BE311)/10000*$BX$7*$BZ$34/'疲劳值&amp;地图信息'!$R$10*$BY$55)</f>
        <v>8726</v>
      </c>
      <c r="CV311" s="50">
        <f t="shared" si="443"/>
        <v>0.61720726201530529</v>
      </c>
      <c r="CW311" s="50">
        <f t="shared" si="444"/>
        <v>0.10339086164387948</v>
      </c>
      <c r="CX311" s="50">
        <f t="shared" si="445"/>
        <v>0.2794018763408152</v>
      </c>
      <c r="CY311" s="14">
        <f t="shared" si="446"/>
        <v>23228</v>
      </c>
      <c r="CZ311" s="14">
        <f t="shared" si="447"/>
        <v>8905</v>
      </c>
      <c r="DA311" s="14">
        <f>INT(SUMPRODUCT($AI311:$AM311,$BA311:$BE311)/SUM($BA311:$BE311)/10000*$BX$7*$BZ$34/'疲劳值&amp;地图信息'!$R$10*$BY$56)</f>
        <v>13163</v>
      </c>
      <c r="DB311" s="50">
        <f t="shared" si="448"/>
        <v>0.51280466266336988</v>
      </c>
      <c r="DC311" s="50">
        <f t="shared" si="449"/>
        <v>0.19659572589191099</v>
      </c>
      <c r="DD311" s="50">
        <f t="shared" si="450"/>
        <v>0.29059961144471919</v>
      </c>
      <c r="DE311" s="14">
        <f t="shared" si="451"/>
        <v>24179</v>
      </c>
      <c r="DF311" s="14">
        <f t="shared" si="452"/>
        <v>16146</v>
      </c>
      <c r="DG311" s="14">
        <f>INT(SUMPRODUCT($AP311:$AT311,$BA311:$BE311)/SUM($BA311:$BE311)/10000*$BX$7*$BZ$34/'疲劳值&amp;地图信息'!$R$10*$BY$57)</f>
        <v>17570</v>
      </c>
      <c r="DH311" s="50">
        <f t="shared" si="453"/>
        <v>0.41763537438466186</v>
      </c>
      <c r="DI311" s="50">
        <f t="shared" si="454"/>
        <v>0.27888418689005962</v>
      </c>
      <c r="DJ311" s="50">
        <f t="shared" si="455"/>
        <v>0.30348043872527852</v>
      </c>
      <c r="DL311" s="14">
        <f t="shared" si="526"/>
        <v>20567</v>
      </c>
      <c r="DM311" s="14">
        <f t="shared" si="527"/>
        <v>25949</v>
      </c>
      <c r="DN311" s="14">
        <f t="shared" si="528"/>
        <v>31231</v>
      </c>
      <c r="DO311" s="14">
        <f t="shared" si="529"/>
        <v>45296</v>
      </c>
      <c r="DP311" s="14">
        <f t="shared" si="530"/>
        <v>57895</v>
      </c>
      <c r="DQ311" s="14">
        <f t="shared" si="531"/>
        <v>1426075</v>
      </c>
      <c r="DT311" s="14">
        <f t="shared" si="525"/>
        <v>235575</v>
      </c>
      <c r="DU311" s="50">
        <f t="shared" si="427"/>
        <v>0.14177173291607739</v>
      </c>
      <c r="DW311" s="14">
        <f t="shared" si="456"/>
        <v>1661650</v>
      </c>
      <c r="EB311" s="14">
        <v>306</v>
      </c>
      <c r="EC311" s="51">
        <f t="shared" si="457"/>
        <v>26870</v>
      </c>
      <c r="ED311" s="51">
        <f t="shared" si="458"/>
        <v>1804</v>
      </c>
      <c r="EE311" s="51">
        <f>INT(SUMPRODUCT($N311:$R311,$BF311:$BJ311)/SUM($BF311:$BJ311)/10000*$BX$7*$BZ$46/'疲劳值&amp;地图信息'!$R$10*$BY$53)</f>
        <v>451</v>
      </c>
      <c r="EF311" s="50">
        <f t="shared" si="459"/>
        <v>0.92257510729613734</v>
      </c>
      <c r="EG311" s="50">
        <f t="shared" si="460"/>
        <v>6.193991416309013E-2</v>
      </c>
      <c r="EH311" s="50">
        <f t="shared" si="461"/>
        <v>1.5484978540772533E-2</v>
      </c>
      <c r="EI311" s="51">
        <f t="shared" si="462"/>
        <v>29458</v>
      </c>
      <c r="EJ311" s="51">
        <f t="shared" si="463"/>
        <v>3087</v>
      </c>
      <c r="EK311" s="14">
        <f>INT(SUMPRODUCT($U311:$Y311,$BF311:$BJ311)/SUM($BF311:$BJ311)/10000*$BX$7*$BZ$46/'疲劳值&amp;地图信息'!$R$10*$BY$54)</f>
        <v>862</v>
      </c>
      <c r="EL311" s="50">
        <f t="shared" si="464"/>
        <v>0.88179124135660192</v>
      </c>
      <c r="EM311" s="50">
        <f t="shared" si="465"/>
        <v>9.2405783219085824E-2</v>
      </c>
      <c r="EN311" s="50">
        <f t="shared" si="466"/>
        <v>2.5802975424312268E-2</v>
      </c>
      <c r="EO311" s="51">
        <f t="shared" si="467"/>
        <v>32126</v>
      </c>
      <c r="EP311" s="51">
        <f t="shared" si="468"/>
        <v>5382</v>
      </c>
      <c r="EQ311" s="14">
        <f>INT(SUMPRODUCT($AB311:$AF311,$BF311:$BJ311)/SUM($BF311:$BJ311)/10000*$BX$7*$BZ$46/'疲劳值&amp;地图信息'!$R$10*$BY$55)</f>
        <v>1170</v>
      </c>
      <c r="ER311" s="50">
        <f t="shared" si="469"/>
        <v>0.83060137545891721</v>
      </c>
      <c r="ES311" s="50">
        <f t="shared" si="470"/>
        <v>0.13914887015874658</v>
      </c>
      <c r="ET311" s="50">
        <f t="shared" si="471"/>
        <v>3.0249754382336212E-2</v>
      </c>
      <c r="EU311" s="51">
        <f t="shared" si="472"/>
        <v>38713</v>
      </c>
      <c r="EV311" s="51">
        <f t="shared" si="473"/>
        <v>14842</v>
      </c>
      <c r="EW311" s="14">
        <f>INT(SUMPRODUCT($AI311:$AM311,$BF311:$BJ311)/SUM($BF311:$BJ311)/10000*$BX$7*$BZ$46/'疲劳值&amp;地图信息'!$R$10*$BY$56)</f>
        <v>1755</v>
      </c>
      <c r="EX311" s="50">
        <f t="shared" si="474"/>
        <v>0.69992768034713437</v>
      </c>
      <c r="EY311" s="50">
        <f t="shared" si="475"/>
        <v>0.2683420719580546</v>
      </c>
      <c r="EZ311" s="50">
        <f t="shared" si="476"/>
        <v>3.1730247694811066E-2</v>
      </c>
      <c r="FA311" s="51">
        <f t="shared" si="477"/>
        <v>40299</v>
      </c>
      <c r="FB311" s="51">
        <f t="shared" si="478"/>
        <v>26910</v>
      </c>
      <c r="FC311" s="14">
        <f>INT(SUMPRODUCT($AP311:$AT311,$BF311:$BJ311)/SUM($BF311:$BJ311)/10000*$BX$7*$BZ$46/'疲劳值&amp;地图信息'!$R$10*$BY$57)</f>
        <v>2340</v>
      </c>
      <c r="FD311" s="50">
        <f t="shared" si="479"/>
        <v>0.57943320536600096</v>
      </c>
      <c r="FE311" s="50">
        <f t="shared" si="480"/>
        <v>0.38692145106327913</v>
      </c>
      <c r="FF311" s="50">
        <f t="shared" si="481"/>
        <v>3.3645343570719924E-2</v>
      </c>
      <c r="FH311" s="14">
        <f t="shared" si="482"/>
        <v>29125</v>
      </c>
      <c r="FI311" s="14">
        <f t="shared" si="483"/>
        <v>33407</v>
      </c>
      <c r="FJ311" s="14">
        <f t="shared" si="484"/>
        <v>38678</v>
      </c>
      <c r="FK311" s="14">
        <f t="shared" si="485"/>
        <v>55310</v>
      </c>
      <c r="FL311" s="14">
        <f t="shared" si="486"/>
        <v>69549</v>
      </c>
      <c r="FM311" s="14">
        <f t="shared" si="487"/>
        <v>3438330</v>
      </c>
      <c r="FP311" s="14">
        <f t="shared" si="488"/>
        <v>334150</v>
      </c>
      <c r="FQ311" s="50">
        <f t="shared" si="428"/>
        <v>8.8575684960556456E-2</v>
      </c>
      <c r="FS311" s="14">
        <f t="shared" si="489"/>
        <v>3772480</v>
      </c>
      <c r="FX311" s="14">
        <v>306</v>
      </c>
      <c r="FY311" s="51">
        <f t="shared" si="490"/>
        <v>37618</v>
      </c>
      <c r="FZ311" s="51">
        <f t="shared" si="491"/>
        <v>1804</v>
      </c>
      <c r="GA311" s="51">
        <f>INT(SUMPRODUCT($N311:$R311,$BF311:$BJ311)/SUM($BF311:$BJ311)/10000*$BX$7*$BZ$46/'疲劳值&amp;地图信息'!$R$10*$BY$53)</f>
        <v>451</v>
      </c>
      <c r="GB311" s="50">
        <f t="shared" si="492"/>
        <v>0.94344543926968127</v>
      </c>
      <c r="GC311" s="50">
        <f t="shared" si="493"/>
        <v>4.524364858425501E-2</v>
      </c>
      <c r="GD311" s="50">
        <f t="shared" si="494"/>
        <v>1.1310912146063752E-2</v>
      </c>
      <c r="GE311" s="51">
        <f t="shared" si="495"/>
        <v>41241</v>
      </c>
      <c r="GF311" s="51">
        <f t="shared" si="496"/>
        <v>3087</v>
      </c>
      <c r="GG311" s="14">
        <f>INT(SUMPRODUCT($U311:$Y311,$BF311:$BJ311)/SUM($BF311:$BJ311)/10000*$BX$7*$BZ$46/'疲劳值&amp;地图信息'!$R$10*$BY$54)</f>
        <v>862</v>
      </c>
      <c r="GH311" s="50">
        <f t="shared" si="497"/>
        <v>0.91261341004647045</v>
      </c>
      <c r="GI311" s="50">
        <f t="shared" si="498"/>
        <v>6.8311573356937369E-2</v>
      </c>
      <c r="GJ311" s="50">
        <f t="shared" si="499"/>
        <v>1.9075016596592165E-2</v>
      </c>
      <c r="GK311" s="51">
        <f t="shared" si="500"/>
        <v>44977</v>
      </c>
      <c r="GL311" s="51">
        <f t="shared" si="501"/>
        <v>5382</v>
      </c>
      <c r="GM311" s="14">
        <f>INT(SUMPRODUCT($AB311:$AF311,$BF311:$BJ311)/SUM($BF311:$BJ311)/10000*$BX$7*$BZ$46/'疲劳值&amp;地图信息'!$R$10*$BY$55)</f>
        <v>1170</v>
      </c>
      <c r="GN311" s="50">
        <f t="shared" si="502"/>
        <v>0.87284829901608807</v>
      </c>
      <c r="GO311" s="50">
        <f t="shared" si="503"/>
        <v>0.10444604009392769</v>
      </c>
      <c r="GP311" s="50">
        <f t="shared" si="504"/>
        <v>2.270566088998428E-2</v>
      </c>
      <c r="GQ311" s="51">
        <f t="shared" si="505"/>
        <v>54198</v>
      </c>
      <c r="GR311" s="51">
        <f t="shared" si="506"/>
        <v>14842</v>
      </c>
      <c r="GS311" s="14">
        <f>INT(SUMPRODUCT($AI311:$AM311,$BF311:$BJ311)/SUM($BF311:$BJ311)/10000*$BX$7*$BZ$46/'疲劳值&amp;地图信息'!$R$10*$BY$56)</f>
        <v>1755</v>
      </c>
      <c r="GT311" s="50">
        <f t="shared" si="507"/>
        <v>0.76556253972738186</v>
      </c>
      <c r="GU311" s="50">
        <f t="shared" si="508"/>
        <v>0.20964757398121336</v>
      </c>
      <c r="GV311" s="50">
        <f t="shared" si="509"/>
        <v>2.4789886291404759E-2</v>
      </c>
      <c r="GW311" s="51">
        <f t="shared" si="510"/>
        <v>56419</v>
      </c>
      <c r="GX311" s="51">
        <f t="shared" si="511"/>
        <v>26910</v>
      </c>
      <c r="GY311" s="14">
        <f>INT(SUMPRODUCT($AP311:$AT311,$BF311:$BJ311)/SUM($BF311:$BJ311)/10000*$BX$7*$BZ$46/'疲劳值&amp;地图信息'!$R$10*$BY$57)</f>
        <v>2340</v>
      </c>
      <c r="GZ311" s="50">
        <f t="shared" si="512"/>
        <v>0.65856961094444899</v>
      </c>
      <c r="HA311" s="50">
        <f t="shared" si="513"/>
        <v>0.31411595793110691</v>
      </c>
      <c r="HB311" s="50">
        <f t="shared" si="514"/>
        <v>2.731443112444408E-2</v>
      </c>
      <c r="HD311" s="14">
        <f t="shared" si="515"/>
        <v>39873</v>
      </c>
      <c r="HE311" s="14">
        <f t="shared" si="516"/>
        <v>45190</v>
      </c>
      <c r="HF311" s="14">
        <f t="shared" si="517"/>
        <v>51529</v>
      </c>
      <c r="HG311" s="14">
        <f t="shared" si="518"/>
        <v>70795</v>
      </c>
      <c r="HH311" s="14">
        <f t="shared" si="519"/>
        <v>85669</v>
      </c>
      <c r="HI311" s="14">
        <f t="shared" si="520"/>
        <v>4646334</v>
      </c>
      <c r="HL311" s="14">
        <f t="shared" si="521"/>
        <v>430050</v>
      </c>
      <c r="HM311" s="50">
        <f t="shared" si="429"/>
        <v>8.471581346092022E-2</v>
      </c>
      <c r="HO311" s="14">
        <f t="shared" si="522"/>
        <v>5076384</v>
      </c>
    </row>
    <row r="312" spans="11:223" x14ac:dyDescent="0.2">
      <c r="K312" s="14">
        <v>307</v>
      </c>
      <c r="L312" s="12">
        <f>求节点(节奏总纲!D$4:D$163,标准城池设计!AB$4:AB$163,$K312)*求节点(节奏总纲!D$4:D$163,攻城基础信息!$AC$5:$AC$164,$K312)</f>
        <v>792182.21801175911</v>
      </c>
      <c r="M312" s="12">
        <f>INDEX(其他调用!$AA$5:$AA$404,MATCH(K312,其他调用!$X$5:$X$404,0))*MIN(INDEX(其他调用!$AH$5:$AH$364,MATCH('征服点（新）'!K312,其他调用!$AG$5:$AG$364,0),1)/INDEX(其他调用!$AJ$5:$AJ$364,MATCH(K312,其他调用!$AG$5:$AG$364,0),0),5)*求节点(节奏总纲!D$4:D$163,攻城基础信息!$AC$5:$AC$164,$K312)</f>
        <v>53092.413774906658</v>
      </c>
      <c r="N312" s="12">
        <f>MIN(INDEX(其他调用!$AH$5:$AH$364,MATCH($K312,其他调用!$AG$5:$AG$364,0),1)/INDEX(其他调用!AH$5:AH$364,MATCH($K312,其他调用!$AG$5:$AG$364,0),0),1)*INDEX(其他调用!Y$5:Y$404,MATCH($K312,其他调用!$X$5:$X$404,0),0)</f>
        <v>42606.691696503898</v>
      </c>
      <c r="O312" s="12">
        <f>MIN(INDEX(其他调用!$AH$5:$AH$364,MATCH($K312,其他调用!$AG$5:$AG$364,0),1)/INDEX(其他调用!AI$5:AI$364,MATCH($K312,其他调用!$AG$5:$AG$364,0),0),1)*INDEX(其他调用!Z$5:Z$404,MATCH($K312,其他调用!$X$5:$X$404,0),0)</f>
        <v>25572.060006274722</v>
      </c>
      <c r="P312" s="12">
        <f>MIN(INDEX(其他调用!$AH$5:$AH$364,MATCH($K312,其他调用!$AG$5:$AG$364,0),1)/INDEX(其他调用!AJ$5:AJ$364,MATCH($K312,其他调用!$AG$5:$AG$364,0),0),1)*INDEX(其他调用!AA$5:AA$404,MATCH($K312,其他调用!$X$5:$X$404,0),0)</f>
        <v>15169.261078544769</v>
      </c>
      <c r="Q312" s="12">
        <f>MIN(INDEX(其他调用!$AH$5:$AH$364,MATCH($K312,其他调用!$AG$5:$AG$364,0),1)/INDEX(其他调用!AK$5:AK$364,MATCH($K312,其他调用!$AG$5:$AG$364,0),0),1)*INDEX(其他调用!AB$5:AB$404,MATCH($K312,其他调用!$X$5:$X$404,0),0)</f>
        <v>5783.1032465611997</v>
      </c>
      <c r="R312" s="12">
        <f>MIN(INDEX(其他调用!$AH$5:$AH$364,MATCH($K312,其他调用!$AG$5:$AG$364,0),1)/INDEX(其他调用!AL$5:AL$364,MATCH($K312,其他调用!$AG$5:$AG$364,0),0),1)*INDEX(其他调用!AC$5:AC$404,MATCH($K312,其他调用!$X$5:$X$404,0),0)</f>
        <v>3445.7039648807436</v>
      </c>
      <c r="S312" s="12">
        <f>求节点(节奏总纲!D$4:D$163,标准城池设计!AC$4:AC$163,$K312)*求节点(节奏总纲!D$4:D$163,攻城基础信息!$AD$5:$AD$164,$K312)</f>
        <v>868520.84050355735</v>
      </c>
      <c r="T312" s="12">
        <f>INDEX(其他调用!$AA$5:$AA$404,MATCH($K312,其他调用!$X$5:$X$404,0))*MIN(INDEX(其他调用!AI$5:AI$364,MATCH($K312,其他调用!$AG$5:$AG$364,0),1)/INDEX(其他调用!$AJ$5:$AJ$364,MATCH($K312,其他调用!$AG$5:$AG$364,0),0),5)*求节点(节奏总纲!D$4:D$163,攻城基础信息!$AD$5:$AD$164,$K312)</f>
        <v>90868.527898281653</v>
      </c>
      <c r="U312" s="12">
        <f>MIN(INDEX(其他调用!$AI$5:$AI$364,MATCH($K312,其他调用!$AG$5:$AG$364,0),1)/INDEX(其他调用!AH$5:AH$364,MATCH($K312,其他调用!$AG$5:$AG$364,0),0),1)*INDEX(其他调用!Y$5:Y$404,MATCH($K312,其他调用!$X$5:$X$404,0),0)</f>
        <v>42606.691696503898</v>
      </c>
      <c r="V312" s="12">
        <f>MIN(INDEX(其他调用!$AI$5:$AI$364,MATCH($K312,其他调用!$AG$5:$AG$364,0),1)/INDEX(其他调用!AI$5:AI$364,MATCH($K312,其他调用!$AG$5:$AG$364,0),0),1)*INDEX(其他调用!Z$5:Z$404,MATCH($K312,其他调用!$X$5:$X$404,0),0)</f>
        <v>43766.995751000621</v>
      </c>
      <c r="W312" s="12">
        <f>MIN(INDEX(其他调用!$AI$5:$AI$364,MATCH($K312,其他调用!$AG$5:$AG$364,0),1)/INDEX(其他调用!AJ$5:AJ$364,MATCH($K312,其他调用!$AG$5:$AG$364,0),0),1)*INDEX(其他调用!AA$5:AA$404,MATCH($K312,其他调用!$X$5:$X$404,0),0)</f>
        <v>25962.436542366202</v>
      </c>
      <c r="X312" s="12">
        <f>MIN(INDEX(其他调用!$AI$5:$AI$364,MATCH($K312,其他调用!$AG$5:$AG$364,0),1)/INDEX(其他调用!AK$5:AK$364,MATCH($K312,其他调用!$AG$5:$AG$364,0),0),1)*INDEX(其他调用!AB$5:AB$404,MATCH($K312,其他调用!$X$5:$X$404,0),0)</f>
        <v>9897.8750698119566</v>
      </c>
      <c r="Y312" s="12">
        <f>MIN(INDEX(其他调用!$AI$5:$AI$364,MATCH($K312,其他调用!$AG$5:$AG$364,0),1)/INDEX(其他调用!AL$5:AL$364,MATCH($K312,其他调用!$AG$5:$AG$364,0),0),1)*INDEX(其他调用!AC$5:AC$404,MATCH($K312,其他调用!$X$5:$X$404,0),0)</f>
        <v>5897.3782617879469</v>
      </c>
      <c r="Z312" s="12">
        <f>求节点(节奏总纲!D$4:D$163,标准城池设计!AD$4:AD$163,$K312)*求节点(节奏总纲!D$4:D$163,攻城基础信息!$AE$5:$AE$164,$K312)</f>
        <v>947136.12423165247</v>
      </c>
      <c r="AA312" s="12">
        <f>INDEX(其他调用!$AA$5:$AA$404,MATCH($K312,其他调用!$X$5:$X$404,0))*MIN(INDEX(其他调用!AJ$5:AJ$364,MATCH($K312,其他调用!$AG$5:$AG$364,0),1)/INDEX(其他调用!$AJ$5:$AJ$364,MATCH($K312,其他调用!$AG$5:$AG$364,0),0),5)*求节点(节奏总纲!D$4:D$163,攻城基础信息!$AE$5:$AE$164,$K312)</f>
        <v>158512.11483895333</v>
      </c>
      <c r="AB312" s="12">
        <f>MIN(INDEX(其他调用!$AJ$5:$AJ$364,MATCH($K312,其他调用!$AG$5:$AG$364,0),1)/INDEX(其他调用!AH$5:AH$364,MATCH($K312,其他调用!$AG$5:$AG$364,0),0),1)*INDEX(其他调用!Y$5:Y$404,MATCH($K312,其他调用!$X$5:$X$404,0),0)</f>
        <v>42606.691696503898</v>
      </c>
      <c r="AC312" s="12">
        <f>MIN(INDEX(其他调用!$AJ$5:$AJ$364,MATCH($K312,其他调用!$AG$5:$AG$364,0),1)/INDEX(其他调用!AI$5:AI$364,MATCH($K312,其他调用!$AG$5:$AG$364,0),0),1)*INDEX(其他调用!Z$5:Z$404,MATCH($K312,其他调用!$X$5:$X$404,0),0)</f>
        <v>43766.995751000621</v>
      </c>
      <c r="AD312" s="12">
        <f>MIN(INDEX(其他调用!$AJ$5:$AJ$364,MATCH($K312,其他调用!$AG$5:$AG$364,0),1)/INDEX(其他调用!AJ$5:AJ$364,MATCH($K312,其他调用!$AG$5:$AG$364,0),0),1)*INDEX(其他调用!AA$5:AA$404,MATCH($K312,其他调用!$X$5:$X$404,0),0)</f>
        <v>45289.175668272408</v>
      </c>
      <c r="AE312" s="12">
        <f>MIN(INDEX(其他调用!$AJ$5:$AJ$364,MATCH($K312,其他调用!$AG$5:$AG$364,0),1)/INDEX(其他调用!AK$5:AK$364,MATCH($K312,其他调用!$AG$5:$AG$364,0),0),1)*INDEX(其他调用!AB$5:AB$404,MATCH($K312,其他调用!$X$5:$X$404,0),0)</f>
        <v>17265.968163189704</v>
      </c>
      <c r="AF312" s="12">
        <f>MIN(INDEX(其他调用!$AJ$5:$AJ$364,MATCH($K312,其他调用!$AG$5:$AG$364,0),1)/INDEX(其他调用!AL$5:AL$364,MATCH($K312,其他调用!$AG$5:$AG$364,0),0),1)*INDEX(其他调用!AC$5:AC$404,MATCH($K312,其他调用!$X$5:$X$404,0),0)</f>
        <v>10287.455094768357</v>
      </c>
      <c r="AG312" s="12">
        <f>求节点(节奏总纲!D$4:D$163,标准城池设计!AE$4:AE$163,$K312)*求节点(节奏总纲!D$4:D$163,攻城基础信息!$AF$5:$AF$164,$K312)</f>
        <v>1141034.8519703054</v>
      </c>
      <c r="AH312" s="12">
        <f>INDEX(其他调用!$AA$5:$AA$404,MATCH($K312,其他调用!$X$5:$X$404,0))*MIN(INDEX(其他调用!AK$5:AK$364,MATCH($K312,其他调用!$AG$5:$AG$364,0),1)/INDEX(其他调用!$AJ$5:$AJ$364,MATCH($K312,其他调用!$AG$5:$AG$364,0),0),5)*求节点(节奏总纲!D$4:D$163,攻城基础信息!$AF$5:$AF$164,$K312)</f>
        <v>436527.21526535955</v>
      </c>
      <c r="AI312" s="12">
        <f>MIN(INDEX(其他调用!$AK$5:$AK$364,MATCH($K312,其他调用!$AG$5:$AG$364,0),1)/INDEX(其他调用!AH$5:AH$364,MATCH($K312,其他调用!$AG$5:$AG$364,0),0),1)*INDEX(其他调用!Y$5:Y$404,MATCH($K312,其他调用!$X$5:$X$404,0),0)</f>
        <v>42606.691696503898</v>
      </c>
      <c r="AJ312" s="12">
        <f>MIN(INDEX(其他调用!$AK$5:$AK$364,MATCH($K312,其他调用!$AG$5:$AG$364,0),1)/INDEX(其他调用!AI$5:AI$364,MATCH($K312,其他调用!$AG$5:$AG$364,0),0),1)*INDEX(其他调用!Z$5:Z$404,MATCH($K312,其他调用!$X$5:$X$404,0),0)</f>
        <v>43766.995751000621</v>
      </c>
      <c r="AK312" s="12">
        <f>MIN(INDEX(其他调用!$AK$5:$AK$364,MATCH($K312,其他调用!$AG$5:$AG$364,0),1)/INDEX(其他调用!AJ$5:AJ$364,MATCH($K312,其他调用!$AG$5:$AG$364,0),0),1)*INDEX(其他调用!AA$5:AA$404,MATCH($K312,其他调用!$X$5:$X$404,0),0)</f>
        <v>45289.175668272408</v>
      </c>
      <c r="AL312" s="12">
        <f>MIN(INDEX(其他调用!$AK$5:$AK$364,MATCH($K312,其他调用!$AG$5:$AG$364,0),1)/INDEX(其他调用!AK$5:AK$364,MATCH($K312,其他调用!$AG$5:$AG$364,0),0),1)*INDEX(其他调用!AB$5:AB$404,MATCH($K312,其他调用!$X$5:$X$404,0),0)</f>
        <v>47548.826213031956</v>
      </c>
      <c r="AM312" s="12">
        <f>MIN(INDEX(其他调用!$AK$5:$AK$364,MATCH($K312,其他调用!$AG$5:$AG$364,0),1)/INDEX(其他调用!AL$5:AL$364,MATCH($K312,其他调用!$AG$5:$AG$364,0),0),1)*INDEX(其他调用!AC$5:AC$404,MATCH($K312,其他调用!$X$5:$X$404,0),0)</f>
        <v>28330.668159018798</v>
      </c>
      <c r="AN312" s="12">
        <f>求节点(节奏总纲!D$4:D$163,标准城池设计!AF$4:AF$163,$K312)*求节点(节奏总纲!D$4:D$163,攻城基础信息!$AG$5:$AG$164,$K312)</f>
        <v>1187378.3920464288</v>
      </c>
      <c r="AO312" s="12">
        <f>INDEX(其他调用!$AA$5:$AA$404,MATCH($K312,其他调用!$X$5:$X$404,0))*MIN(INDEX(其他调用!AL$5:AL$364,MATCH($K312,其他调用!$AG$5:$AG$364,0),1)/INDEX(其他调用!$AJ$5:$AJ$364,MATCH($K312,其他调用!$AG$5:$AG$364,0),0),5)*求节点(节奏总纲!D$4:D$163,攻城基础信息!$AG$5:$AG$164,$K312)</f>
        <v>792560.5741947667</v>
      </c>
      <c r="AP312" s="12">
        <f>MIN(INDEX(其他调用!$AL$5:$AL$364,MATCH($K312,其他调用!$AG$5:$AG$364,0),1)/INDEX(其他调用!AH$5:AH$364,MATCH($K312,其他调用!$AG$5:$AG$364,0),0),1)*INDEX(其他调用!Y$5:Y$404,MATCH($K312,其他调用!$X$5:$X$404,0),0)</f>
        <v>42606.691696503898</v>
      </c>
      <c r="AQ312" s="12">
        <f>MIN(INDEX(其他调用!$AL$5:$AL$364,MATCH($K312,其他调用!$AG$5:$AG$364,0),1)/INDEX(其他调用!AI$5:AI$364,MATCH($K312,其他调用!$AG$5:$AG$364,0),0),1)*INDEX(其他调用!Z$5:Z$404,MATCH($K312,其他调用!$X$5:$X$404,0),0)</f>
        <v>43766.995751000621</v>
      </c>
      <c r="AR312" s="12">
        <f>MIN(INDEX(其他调用!$AL$5:$AL$364,MATCH($K312,其他调用!$AG$5:$AG$364,0),1)/INDEX(其他调用!AJ$5:AJ$364,MATCH($K312,其他调用!$AG$5:$AG$364,0),0),1)*INDEX(其他调用!AA$5:AA$404,MATCH($K312,其他调用!$X$5:$X$404,0),0)</f>
        <v>45289.175668272408</v>
      </c>
      <c r="AS312" s="12">
        <f>MIN(INDEX(其他调用!$AL$5:$AL$364,MATCH($K312,其他调用!$AG$5:$AG$364,0),1)/INDEX(其他调用!AK$5:AK$364,MATCH($K312,其他调用!$AG$5:$AG$364,0),0),1)*INDEX(其他调用!AB$5:AB$404,MATCH($K312,其他调用!$X$5:$X$404,0),0)</f>
        <v>47548.826213031956</v>
      </c>
      <c r="AT312" s="12">
        <f>MIN(INDEX(其他调用!$AL$5:$AL$364,MATCH($K312,其他调用!$AG$5:$AG$364,0),1)/INDEX(其他调用!AL$5:AL$364,MATCH($K312,其他调用!$AG$5:$AG$364,0),0),1)*INDEX(其他调用!AC$5:AC$404,MATCH($K312,其他调用!$X$5:$X$404,0),0)</f>
        <v>51440.233681998972</v>
      </c>
      <c r="AV312" s="14">
        <f>IF(OR(AV$5="大R",AV$5="超R"),MAX(INDEX(其他调用!$H$5:$L$404,MATCH($K312,其他调用!$B$5:$B$404,0),MATCH(AV$5,其他调用!$H$4:$L$4,0))*120*0.85,2),INDEX(其他调用!$H$5:$L$404,MATCH($K312,其他调用!$B$5:$B$404,0),MATCH(AV$5,其他调用!$H$4:$L$4,0))*120*0.85)</f>
        <v>48.921801254999991</v>
      </c>
      <c r="AW312" s="14">
        <f>IF(OR(AW$5="大R",AW$5="超R"),MAX(INDEX(其他调用!$H$5:$L$404,MATCH($K312,其他调用!$B$5:$B$404,0),MATCH(AW$5,其他调用!$H$4:$L$4,0))*120*0.85,2),INDEX(其他调用!$H$5:$L$404,MATCH($K312,其他调用!$B$5:$B$404,0),MATCH(AW$5,其他调用!$H$4:$L$4,0))*120*0.85)</f>
        <v>48.237344010638395</v>
      </c>
      <c r="AX312" s="14">
        <f>IF(OR(AX$5="大R",AX$5="超R"),MAX(INDEX(其他调用!$H$5:$L$404,MATCH($K312,其他调用!$B$5:$B$404,0),MATCH(AX$5,其他调用!$H$4:$L$4,0))*120*0.85,2),INDEX(其他调用!$H$5:$L$404,MATCH($K312,其他调用!$B$5:$B$404,0),MATCH(AX$5,其他调用!$H$4:$L$4,0))*120*0.85)</f>
        <v>3.9376284143615998</v>
      </c>
      <c r="AY312" s="14">
        <f>IF(OR(AY$5="大R",AY$5="超R"),MAX(INDEX(其他调用!$H$5:$L$404,MATCH($K312,其他调用!$B$5:$B$404,0),MATCH(AY$5,其他调用!$H$4:$L$4,0))*120*0.85,2),INDEX(其他调用!$H$5:$L$404,MATCH($K312,其他调用!$B$5:$B$404,0),MATCH(AY$5,其他调用!$H$4:$L$4,0))*120*0.85)</f>
        <v>2</v>
      </c>
      <c r="AZ312" s="14">
        <f>IF(OR(AZ$5="大R",AZ$5="超R"),MAX(INDEX(其他调用!$H$5:$L$404,MATCH($K312,其他调用!$B$5:$B$404,0),MATCH(AZ$5,其他调用!$H$4:$L$4,0))*120*0.85,2),INDEX(其他调用!$H$5:$L$404,MATCH($K312,其他调用!$B$5:$B$404,0),MATCH(AZ$5,其他调用!$H$4:$L$4,0))*120*0.85)</f>
        <v>2</v>
      </c>
      <c r="BA312" s="14">
        <f>INDEX(其他调用!$H$5:$L$404,MATCH($K312,其他调用!$B$5:$B$404,0),MATCH(BA$5,其他调用!$H$4:$L$4,0))*INDEX(其他调用!$M$5:$M$404,MATCH($K312,其他调用!$B$5:$B$404,0))*0.6</f>
        <v>28.777530149999997</v>
      </c>
      <c r="BB312" s="14">
        <f>INDEX(其他调用!$H$5:$L$404,MATCH($K312,其他调用!$B$5:$B$404,0),MATCH(BB$5,其他调用!$H$4:$L$4,0))*INDEX(其他调用!$M$5:$M$404,MATCH($K312,其他调用!$B$5:$B$404,0))*0.6</f>
        <v>28.374908241551999</v>
      </c>
      <c r="BC312" s="14">
        <f>INDEX(其他调用!$H$5:$L$404,MATCH($K312,其他调用!$B$5:$B$404,0),MATCH(BC$5,其他调用!$H$4:$L$4,0))*INDEX(其他调用!$M$5:$M$404,MATCH($K312,其他调用!$B$5:$B$404,0))*0.6</f>
        <v>2.3162520084480001</v>
      </c>
      <c r="BD312" s="14">
        <f>INDEX(其他调用!$H$5:$L$404,MATCH($K312,其他调用!$B$5:$B$404,0),MATCH(BD$5,其他调用!$H$4:$L$4,0))*INDEX(其他调用!$M$5:$M$404,MATCH($K312,其他调用!$B$5:$B$404,0))*0.6</f>
        <v>0.4120776000000001</v>
      </c>
      <c r="BE312" s="14">
        <f>INDEX(其他调用!$H$5:$L$404,MATCH($K312,其他调用!$B$5:$B$404,0),MATCH(BE$5,其他调用!$H$4:$L$4,0))*INDEX(其他调用!$M$5:$M$404,MATCH($K312,其他调用!$B$5:$B$404,0))*0.6</f>
        <v>0.11923199999999998</v>
      </c>
      <c r="BF312" s="14">
        <f>IF(OR(BF$5="大R",BF$5="超R"),0,INDEX(其他调用!$H$5:$L$404,MATCH($K312,其他调用!$B$5:$B$404,0),MATCH(BF$5,其他调用!$H$4:$L$4,0))*50*0.4)</f>
        <v>9.5925100500000013</v>
      </c>
      <c r="BG312" s="14">
        <f>IF(OR(BG$5="大R",BG$5="超R"),0,INDEX(其他调用!$H$5:$L$404,MATCH($K312,其他调用!$B$5:$B$404,0),MATCH(BG$5,其他调用!$H$4:$L$4,0))*50*0.4)</f>
        <v>9.4583027471839998</v>
      </c>
      <c r="BH312" s="14">
        <f>IF(OR(BH$5="大R",BH$5="超R"),0,INDEX(其他调用!$H$5:$L$404,MATCH($K312,其他调用!$B$5:$B$404,0),MATCH(BH$5,其他调用!$H$4:$L$4,0))*50*0.4)</f>
        <v>0.77208400281600009</v>
      </c>
      <c r="BI312" s="14">
        <f>IF(OR(BI$5="大R",BI$5="超R"),0,INDEX(其他调用!$H$5:$L$404,MATCH($K312,其他调用!$B$5:$B$404,0),MATCH(BI$5,其他调用!$H$4:$L$4,0))*50*0.4)</f>
        <v>0</v>
      </c>
      <c r="BJ312" s="14">
        <f>IF(OR(BJ$5="大R",BJ$5="超R"),0,INDEX(其他调用!$H$5:$L$404,MATCH($K312,其他调用!$B$5:$B$404,0),MATCH(BJ$5,其他调用!$H$4:$L$4,0))*50*0.4)</f>
        <v>0</v>
      </c>
      <c r="BL312" s="14">
        <f t="shared" si="523"/>
        <v>307</v>
      </c>
      <c r="BM312" s="14">
        <f t="shared" si="430"/>
        <v>96</v>
      </c>
      <c r="BN312" s="14">
        <f>('疲劳值&amp;地图信息'!$S$10*'疲劳值&amp;地图信息'!$R$10+'疲劳值&amp;地图信息'!$S$11*'疲劳值&amp;地图信息'!$R$11+'疲劳值&amp;地图信息'!$S$12*'疲劳值&amp;地图信息'!$R$12+(BM312-'疲劳值&amp;地图信息'!$S$12-'疲劳值&amp;地图信息'!$S$11-'疲劳值&amp;地图信息'!$S$10)*'疲劳值&amp;地图信息'!$R$13)/BM312</f>
        <v>51.371477246638619</v>
      </c>
      <c r="BO312" s="14">
        <f>INDEX(其他调用!$M$5:$M$404,MATCH(BL312,其他调用!$B$5:$B$404,0))*0.6</f>
        <v>60</v>
      </c>
      <c r="BP312" s="14">
        <f>IF(BO312&gt;SUM('疲劳值&amp;地图信息'!$S$10:$S$12),('疲劳值&amp;地图信息'!$S$10*'疲劳值&amp;地图信息'!$R$10+'疲劳值&amp;地图信息'!$S$11*'疲劳值&amp;地图信息'!$R$11+'疲劳值&amp;地图信息'!$S$12*'疲劳值&amp;地图信息'!$R$12+(BO312-'疲劳值&amp;地图信息'!$S$12-'疲劳值&amp;地图信息'!$S$11-'疲劳值&amp;地图信息'!$S$10)*'疲劳值&amp;地图信息'!$R$13)/BO312,('疲劳值&amp;地图信息'!$S$10*'疲劳值&amp;地图信息'!$R$10+'疲劳值&amp;地图信息'!$S$11*'疲劳值&amp;地图信息'!$R$11+'疲劳值&amp;地图信息'!$S$12*'疲劳值&amp;地图信息'!$R$12+(BO312-'疲劳值&amp;地图信息'!$S$12-'疲劳值&amp;地图信息'!$S$11-'疲劳值&amp;地图信息'!$S$10)*'疲劳值&amp;地图信息'!$R$13)/BO312)</f>
        <v>44.158136341605953</v>
      </c>
      <c r="BQ312" s="14">
        <f t="shared" si="524"/>
        <v>20</v>
      </c>
      <c r="BR312" s="14">
        <f>('疲劳值&amp;地图信息'!$S$10*'疲劳值&amp;地图信息'!$R$10+($BQ312-'疲劳值&amp;地图信息'!$S$10)*'疲劳值&amp;地图信息'!$R$11)/$BQ312</f>
        <v>32.067203015074995</v>
      </c>
      <c r="CF312" s="14">
        <v>307</v>
      </c>
      <c r="CG312" s="51">
        <f t="shared" si="431"/>
        <v>16145</v>
      </c>
      <c r="CH312" s="51">
        <f t="shared" si="432"/>
        <v>1082</v>
      </c>
      <c r="CI312" s="51">
        <f>INT(SUMPRODUCT($N312:$R312,$BA312:$BE312)/SUM($BA312:$BE312)/10000*$BX$7*$BZ$34/'疲劳值&amp;地图信息'!$R$10*$BY$53)</f>
        <v>3364</v>
      </c>
      <c r="CJ312" s="50">
        <f t="shared" si="433"/>
        <v>0.78408042348598905</v>
      </c>
      <c r="CK312" s="50">
        <f t="shared" si="434"/>
        <v>5.2547229372055755E-2</v>
      </c>
      <c r="CL312" s="50">
        <f t="shared" si="435"/>
        <v>0.16337234714195523</v>
      </c>
      <c r="CM312" s="14">
        <f t="shared" si="436"/>
        <v>17701</v>
      </c>
      <c r="CN312" s="14">
        <f t="shared" si="437"/>
        <v>1852</v>
      </c>
      <c r="CO312" s="14">
        <f>INT(SUMPRODUCT($U312:$Y312,$BA312:$BE312)/SUM($BA312:$BE312)/10000*$BX$7*$BZ$34/'疲劳值&amp;地图信息'!$R$10*$BY$54)</f>
        <v>6425</v>
      </c>
      <c r="CP312" s="50">
        <f t="shared" si="438"/>
        <v>0.68138424821002386</v>
      </c>
      <c r="CQ312" s="50">
        <f t="shared" si="439"/>
        <v>7.1291092462853187E-2</v>
      </c>
      <c r="CR312" s="50">
        <f t="shared" si="440"/>
        <v>0.24732465932712294</v>
      </c>
      <c r="CS312" s="14">
        <f t="shared" si="441"/>
        <v>19303</v>
      </c>
      <c r="CT312" s="14">
        <f t="shared" si="442"/>
        <v>3230</v>
      </c>
      <c r="CU312" s="14">
        <f>INT(SUMPRODUCT($AB312:$AF312,$BA312:$BE312)/SUM($BA312:$BE312)/10000*$BX$7*$BZ$34/'疲劳值&amp;地图信息'!$R$10*$BY$55)</f>
        <v>8730</v>
      </c>
      <c r="CV312" s="50">
        <f t="shared" si="443"/>
        <v>0.61743914531554878</v>
      </c>
      <c r="CW312" s="50">
        <f t="shared" si="444"/>
        <v>0.10331702011963023</v>
      </c>
      <c r="CX312" s="50">
        <f t="shared" si="445"/>
        <v>0.27924383456482105</v>
      </c>
      <c r="CY312" s="14">
        <f t="shared" si="446"/>
        <v>23255</v>
      </c>
      <c r="CZ312" s="14">
        <f t="shared" si="447"/>
        <v>8896</v>
      </c>
      <c r="DA312" s="14">
        <f>INT(SUMPRODUCT($AI312:$AM312,$BA312:$BE312)/SUM($BA312:$BE312)/10000*$BX$7*$BZ$34/'疲劳值&amp;地图信息'!$R$10*$BY$56)</f>
        <v>13169</v>
      </c>
      <c r="DB312" s="50">
        <f t="shared" si="448"/>
        <v>0.51312886142983227</v>
      </c>
      <c r="DC312" s="50">
        <f t="shared" si="449"/>
        <v>0.19629302736098853</v>
      </c>
      <c r="DD312" s="50">
        <f t="shared" si="450"/>
        <v>0.29057811120917915</v>
      </c>
      <c r="DE312" s="14">
        <f t="shared" si="451"/>
        <v>24200</v>
      </c>
      <c r="DF312" s="14">
        <f t="shared" si="452"/>
        <v>16153</v>
      </c>
      <c r="DG312" s="14">
        <f>INT(SUMPRODUCT($AP312:$AT312,$BA312:$BE312)/SUM($BA312:$BE312)/10000*$BX$7*$BZ$34/'疲劳值&amp;地图信息'!$R$10*$BY$57)</f>
        <v>17578</v>
      </c>
      <c r="DH312" s="50">
        <f t="shared" si="453"/>
        <v>0.41773834389187137</v>
      </c>
      <c r="DI312" s="50">
        <f t="shared" si="454"/>
        <v>0.27883171359030573</v>
      </c>
      <c r="DJ312" s="50">
        <f t="shared" si="455"/>
        <v>0.3034299425178229</v>
      </c>
      <c r="DL312" s="14">
        <f t="shared" si="526"/>
        <v>20591</v>
      </c>
      <c r="DM312" s="14">
        <f t="shared" si="527"/>
        <v>25978</v>
      </c>
      <c r="DN312" s="14">
        <f t="shared" si="528"/>
        <v>31263</v>
      </c>
      <c r="DO312" s="14">
        <f t="shared" si="529"/>
        <v>45320</v>
      </c>
      <c r="DP312" s="14">
        <f t="shared" si="530"/>
        <v>57931</v>
      </c>
      <c r="DQ312" s="14">
        <f t="shared" si="531"/>
        <v>1427677</v>
      </c>
      <c r="DT312" s="14">
        <f t="shared" si="525"/>
        <v>235575</v>
      </c>
      <c r="DU312" s="50">
        <f t="shared" si="427"/>
        <v>0.1416351821612119</v>
      </c>
      <c r="DW312" s="14">
        <f t="shared" si="456"/>
        <v>1663252</v>
      </c>
      <c r="EB312" s="14">
        <v>307</v>
      </c>
      <c r="EC312" s="51">
        <f t="shared" si="457"/>
        <v>26909</v>
      </c>
      <c r="ED312" s="51">
        <f t="shared" si="458"/>
        <v>1803</v>
      </c>
      <c r="EE312" s="51">
        <f>INT(SUMPRODUCT($N312:$R312,$BF312:$BJ312)/SUM($BF312:$BJ312)/10000*$BX$7*$BZ$46/'疲劳值&amp;地图信息'!$R$10*$BY$53)</f>
        <v>452</v>
      </c>
      <c r="EF312" s="50">
        <f t="shared" si="459"/>
        <v>0.92267864490467699</v>
      </c>
      <c r="EG312" s="50">
        <f t="shared" si="460"/>
        <v>6.1822795226992182E-2</v>
      </c>
      <c r="EH312" s="50">
        <f t="shared" si="461"/>
        <v>1.5498559868330819E-2</v>
      </c>
      <c r="EI312" s="51">
        <f t="shared" si="462"/>
        <v>29502</v>
      </c>
      <c r="EJ312" s="51">
        <f t="shared" si="463"/>
        <v>3086</v>
      </c>
      <c r="EK312" s="14">
        <f>INT(SUMPRODUCT($U312:$Y312,$BF312:$BJ312)/SUM($BF312:$BJ312)/10000*$BX$7*$BZ$46/'疲劳值&amp;地图信息'!$R$10*$BY$54)</f>
        <v>862</v>
      </c>
      <c r="EL312" s="50">
        <f t="shared" si="464"/>
        <v>0.88197309417040359</v>
      </c>
      <c r="EM312" s="50">
        <f t="shared" si="465"/>
        <v>9.2257100149476828E-2</v>
      </c>
      <c r="EN312" s="50">
        <f t="shared" si="466"/>
        <v>2.5769805680119582E-2</v>
      </c>
      <c r="EO312" s="51">
        <f t="shared" si="467"/>
        <v>32173</v>
      </c>
      <c r="EP312" s="51">
        <f t="shared" si="468"/>
        <v>5384</v>
      </c>
      <c r="EQ312" s="14">
        <f>INT(SUMPRODUCT($AB312:$AF312,$BF312:$BJ312)/SUM($BF312:$BJ312)/10000*$BX$7*$BZ$46/'疲劳值&amp;地图信息'!$R$10*$BY$55)</f>
        <v>1170</v>
      </c>
      <c r="ER312" s="50">
        <f t="shared" si="469"/>
        <v>0.83076406641361322</v>
      </c>
      <c r="ES312" s="50">
        <f t="shared" si="470"/>
        <v>0.13902445322384899</v>
      </c>
      <c r="ET312" s="50">
        <f t="shared" si="471"/>
        <v>3.0211480362537766E-2</v>
      </c>
      <c r="EU312" s="51">
        <f t="shared" si="472"/>
        <v>38759</v>
      </c>
      <c r="EV312" s="51">
        <f t="shared" si="473"/>
        <v>14828</v>
      </c>
      <c r="EW312" s="14">
        <f>INT(SUMPRODUCT($AI312:$AM312,$BF312:$BJ312)/SUM($BF312:$BJ312)/10000*$BX$7*$BZ$46/'疲劳值&amp;地图信息'!$R$10*$BY$56)</f>
        <v>1755</v>
      </c>
      <c r="EX312" s="50">
        <f t="shared" si="474"/>
        <v>0.70035416139640783</v>
      </c>
      <c r="EY312" s="50">
        <f t="shared" si="475"/>
        <v>0.26793393805789456</v>
      </c>
      <c r="EZ312" s="50">
        <f t="shared" si="476"/>
        <v>3.1711900545697662E-2</v>
      </c>
      <c r="FA312" s="51">
        <f t="shared" si="477"/>
        <v>40333</v>
      </c>
      <c r="FB312" s="51">
        <f t="shared" si="478"/>
        <v>26922</v>
      </c>
      <c r="FC312" s="14">
        <f>INT(SUMPRODUCT($AP312:$AT312,$BF312:$BJ312)/SUM($BF312:$BJ312)/10000*$BX$7*$BZ$46/'疲劳值&amp;地图信息'!$R$10*$BY$57)</f>
        <v>2341</v>
      </c>
      <c r="FD312" s="50">
        <f t="shared" si="479"/>
        <v>0.57953043278349325</v>
      </c>
      <c r="FE312" s="50">
        <f t="shared" si="480"/>
        <v>0.3868325765848612</v>
      </c>
      <c r="FF312" s="50">
        <f t="shared" si="481"/>
        <v>3.3636990631645498E-2</v>
      </c>
      <c r="FH312" s="14">
        <f t="shared" si="482"/>
        <v>29164</v>
      </c>
      <c r="FI312" s="14">
        <f t="shared" si="483"/>
        <v>33450</v>
      </c>
      <c r="FJ312" s="14">
        <f t="shared" si="484"/>
        <v>38727</v>
      </c>
      <c r="FK312" s="14">
        <f t="shared" si="485"/>
        <v>55342</v>
      </c>
      <c r="FL312" s="14">
        <f t="shared" si="486"/>
        <v>69596</v>
      </c>
      <c r="FM312" s="14">
        <f t="shared" si="487"/>
        <v>3442663</v>
      </c>
      <c r="FP312" s="14">
        <f t="shared" si="488"/>
        <v>334150</v>
      </c>
      <c r="FQ312" s="50">
        <f t="shared" si="428"/>
        <v>8.84740653032067E-2</v>
      </c>
      <c r="FS312" s="14">
        <f t="shared" si="489"/>
        <v>3776813</v>
      </c>
      <c r="FX312" s="14">
        <v>307</v>
      </c>
      <c r="FY312" s="51">
        <f t="shared" si="490"/>
        <v>37673</v>
      </c>
      <c r="FZ312" s="51">
        <f t="shared" si="491"/>
        <v>1803</v>
      </c>
      <c r="GA312" s="51">
        <f>INT(SUMPRODUCT($N312:$R312,$BF312:$BJ312)/SUM($BF312:$BJ312)/10000*$BX$7*$BZ$46/'疲劳值&amp;地图信息'!$R$10*$BY$53)</f>
        <v>452</v>
      </c>
      <c r="GB312" s="50">
        <f t="shared" si="492"/>
        <v>0.94352334201562815</v>
      </c>
      <c r="GC312" s="50">
        <f t="shared" si="493"/>
        <v>4.515628130635143E-2</v>
      </c>
      <c r="GD312" s="50">
        <f t="shared" si="494"/>
        <v>1.1320376678020437E-2</v>
      </c>
      <c r="GE312" s="51">
        <f t="shared" si="495"/>
        <v>41303</v>
      </c>
      <c r="GF312" s="51">
        <f t="shared" si="496"/>
        <v>3086</v>
      </c>
      <c r="GG312" s="14">
        <f>INT(SUMPRODUCT($U312:$Y312,$BF312:$BJ312)/SUM($BF312:$BJ312)/10000*$BX$7*$BZ$46/'疲劳值&amp;地图信息'!$R$10*$BY$54)</f>
        <v>862</v>
      </c>
      <c r="GH312" s="50">
        <f t="shared" si="497"/>
        <v>0.91275330931913112</v>
      </c>
      <c r="GI312" s="50">
        <f t="shared" si="498"/>
        <v>6.8197387903029774E-2</v>
      </c>
      <c r="GJ312" s="50">
        <f t="shared" si="499"/>
        <v>1.9049302777839165E-2</v>
      </c>
      <c r="GK312" s="51">
        <f t="shared" si="500"/>
        <v>45042</v>
      </c>
      <c r="GL312" s="51">
        <f t="shared" si="501"/>
        <v>5384</v>
      </c>
      <c r="GM312" s="14">
        <f>INT(SUMPRODUCT($AB312:$AF312,$BF312:$BJ312)/SUM($BF312:$BJ312)/10000*$BX$7*$BZ$46/'疲劳值&amp;地图信息'!$R$10*$BY$55)</f>
        <v>1170</v>
      </c>
      <c r="GN312" s="50">
        <f t="shared" si="502"/>
        <v>0.87297464919761225</v>
      </c>
      <c r="GO312" s="50">
        <f t="shared" si="503"/>
        <v>0.10434917435460113</v>
      </c>
      <c r="GP312" s="50">
        <f t="shared" si="504"/>
        <v>2.2676176447786651E-2</v>
      </c>
      <c r="GQ312" s="51">
        <f t="shared" si="505"/>
        <v>54263</v>
      </c>
      <c r="GR312" s="51">
        <f t="shared" si="506"/>
        <v>14828</v>
      </c>
      <c r="GS312" s="14">
        <f>INT(SUMPRODUCT($AI312:$AM312,$BF312:$BJ312)/SUM($BF312:$BJ312)/10000*$BX$7*$BZ$46/'疲劳值&amp;地图信息'!$R$10*$BY$56)</f>
        <v>1755</v>
      </c>
      <c r="GT312" s="50">
        <f t="shared" si="507"/>
        <v>0.76592891624086046</v>
      </c>
      <c r="GU312" s="50">
        <f t="shared" si="508"/>
        <v>0.20929904299466448</v>
      </c>
      <c r="GV312" s="50">
        <f t="shared" si="509"/>
        <v>2.4772040764475058E-2</v>
      </c>
      <c r="GW312" s="51">
        <f t="shared" si="510"/>
        <v>56467</v>
      </c>
      <c r="GX312" s="51">
        <f t="shared" si="511"/>
        <v>26922</v>
      </c>
      <c r="GY312" s="14">
        <f>INT(SUMPRODUCT($AP312:$AT312,$BF312:$BJ312)/SUM($BF312:$BJ312)/10000*$BX$7*$BZ$46/'疲劳值&amp;地图信息'!$R$10*$BY$57)</f>
        <v>2341</v>
      </c>
      <c r="GZ312" s="50">
        <f t="shared" si="512"/>
        <v>0.6586609121661029</v>
      </c>
      <c r="HA312" s="50">
        <f t="shared" si="513"/>
        <v>0.31403242738831216</v>
      </c>
      <c r="HB312" s="50">
        <f t="shared" si="514"/>
        <v>2.7306660445584975E-2</v>
      </c>
      <c r="HD312" s="14">
        <f t="shared" si="515"/>
        <v>39928</v>
      </c>
      <c r="HE312" s="14">
        <f t="shared" si="516"/>
        <v>45251</v>
      </c>
      <c r="HF312" s="14">
        <f t="shared" si="517"/>
        <v>51596</v>
      </c>
      <c r="HG312" s="14">
        <f t="shared" si="518"/>
        <v>70846</v>
      </c>
      <c r="HH312" s="14">
        <f t="shared" si="519"/>
        <v>85730</v>
      </c>
      <c r="HI312" s="14">
        <f t="shared" si="520"/>
        <v>4652455</v>
      </c>
      <c r="HL312" s="14">
        <f t="shared" si="521"/>
        <v>430050</v>
      </c>
      <c r="HM312" s="50">
        <f t="shared" si="429"/>
        <v>8.4613787886091599E-2</v>
      </c>
      <c r="HO312" s="14">
        <f t="shared" si="522"/>
        <v>5082505</v>
      </c>
    </row>
    <row r="313" spans="11:223" x14ac:dyDescent="0.2">
      <c r="K313" s="14">
        <v>308</v>
      </c>
      <c r="L313" s="12">
        <f>求节点(节奏总纲!D$4:D$163,标准城池设计!AB$4:AB$163,$K313)*求节点(节奏总纲!D$4:D$163,攻城基础信息!$AC$5:$AC$164,$K313)</f>
        <v>793332.30592784891</v>
      </c>
      <c r="M313" s="12">
        <f>INDEX(其他调用!$AA$5:$AA$404,MATCH(K313,其他调用!$X$5:$X$404,0))*MIN(INDEX(其他调用!$AH$5:$AH$364,MATCH('征服点（新）'!K313,其他调用!$AG$5:$AG$364,0),1)/INDEX(其他调用!$AJ$5:$AJ$364,MATCH(K313,其他调用!$AG$5:$AG$364,0),0),5)*求节点(节奏总纲!D$4:D$163,攻城基础信息!$AC$5:$AC$164,$K313)</f>
        <v>53061.723487997799</v>
      </c>
      <c r="N313" s="12">
        <f>MIN(INDEX(其他调用!$AH$5:$AH$364,MATCH($K313,其他调用!$AG$5:$AG$364,0),1)/INDEX(其他调用!AH$5:AH$364,MATCH($K313,其他调用!$AG$5:$AG$364,0),0),1)*INDEX(其他调用!Y$5:Y$404,MATCH($K313,其他调用!$X$5:$X$404,0),0)</f>
        <v>42625.767362039391</v>
      </c>
      <c r="O313" s="12">
        <f>MIN(INDEX(其他调用!$AH$5:$AH$364,MATCH($K313,其他调用!$AG$5:$AG$364,0),1)/INDEX(其他调用!AI$5:AI$364,MATCH($K313,其他调用!$AG$5:$AG$364,0),0),1)*INDEX(其他调用!Z$5:Z$404,MATCH($K313,其他调用!$X$5:$X$404,0),0)</f>
        <v>25573.325645053475</v>
      </c>
      <c r="P313" s="12">
        <f>MIN(INDEX(其他调用!$AH$5:$AH$364,MATCH($K313,其他调用!$AG$5:$AG$364,0),1)/INDEX(其他调用!AJ$5:AJ$364,MATCH($K313,其他调用!$AG$5:$AG$364,0),0),1)*INDEX(其他调用!AA$5:AA$404,MATCH($K313,其他调用!$X$5:$X$404,0),0)</f>
        <v>15160.492425142238</v>
      </c>
      <c r="Q313" s="12">
        <f>MIN(INDEX(其他调用!$AH$5:$AH$364,MATCH($K313,其他调用!$AG$5:$AG$364,0),1)/INDEX(其他调用!AK$5:AK$364,MATCH($K313,其他调用!$AG$5:$AG$364,0),0),1)*INDEX(其他调用!AB$5:AB$404,MATCH($K313,其他调用!$X$5:$X$404,0),0)</f>
        <v>5787.6004591862265</v>
      </c>
      <c r="R313" s="12">
        <f>MIN(INDEX(其他调用!$AH$5:$AH$364,MATCH($K313,其他调用!$AG$5:$AG$364,0),1)/INDEX(其他调用!AL$5:AL$364,MATCH($K313,其他调用!$AG$5:$AG$364,0),0),1)*INDEX(其他调用!AC$5:AC$404,MATCH($K313,其他调用!$X$5:$X$404,0),0)</f>
        <v>3453.9751843564923</v>
      </c>
      <c r="S313" s="12">
        <f>求节点(节奏总纲!D$4:D$163,标准城池设计!AC$4:AC$163,$K313)*求节点(节奏总纲!D$4:D$163,攻城基础信息!$AD$5:$AD$164,$K313)</f>
        <v>869820.32884556917</v>
      </c>
      <c r="T313" s="12">
        <f>INDEX(其他调用!$AA$5:$AA$404,MATCH($K313,其他调用!$X$5:$X$404,0))*MIN(INDEX(其他调用!AI$5:AI$364,MATCH($K313,其他调用!$AG$5:$AG$364,0),1)/INDEX(其他调用!$AJ$5:$AJ$364,MATCH($K313,其他调用!$AG$5:$AG$364,0),0),5)*求节点(节奏总纲!D$4:D$163,攻城基础信息!$AD$5:$AD$164,$K313)</f>
        <v>90851.748906530789</v>
      </c>
      <c r="U313" s="12">
        <f>MIN(INDEX(其他调用!$AI$5:$AI$364,MATCH($K313,其他调用!$AG$5:$AG$364,0),1)/INDEX(其他调用!AH$5:AH$364,MATCH($K313,其他调用!$AG$5:$AG$364,0),0),1)*INDEX(其他调用!Y$5:Y$404,MATCH($K313,其他调用!$X$5:$X$404,0),0)</f>
        <v>42625.767362039391</v>
      </c>
      <c r="V313" s="12">
        <f>MIN(INDEX(其他调用!$AI$5:$AI$364,MATCH($K313,其他调用!$AG$5:$AG$364,0),1)/INDEX(其他调用!AI$5:AI$364,MATCH($K313,其他调用!$AG$5:$AG$364,0),0),1)*INDEX(其他调用!Z$5:Z$404,MATCH($K313,其他调用!$X$5:$X$404,0),0)</f>
        <v>43786.390781951806</v>
      </c>
      <c r="W313" s="12">
        <f>MIN(INDEX(其他调用!$AI$5:$AI$364,MATCH($K313,其他调用!$AG$5:$AG$364,0),1)/INDEX(其他调用!AJ$5:AJ$364,MATCH($K313,其他调用!$AG$5:$AG$364,0),0),1)*INDEX(其他调用!AA$5:AA$404,MATCH($K313,其他调用!$X$5:$X$404,0),0)</f>
        <v>25957.642544723098</v>
      </c>
      <c r="X313" s="12">
        <f>MIN(INDEX(其他调用!$AI$5:$AI$364,MATCH($K313,其他调用!$AG$5:$AG$364,0),1)/INDEX(其他调用!AK$5:AK$364,MATCH($K313,其他调用!$AG$5:$AG$364,0),0),1)*INDEX(其他调用!AB$5:AB$404,MATCH($K313,其他调用!$X$5:$X$404,0),0)</f>
        <v>9909.4712558336851</v>
      </c>
      <c r="Y313" s="12">
        <f>MIN(INDEX(其他调用!$AI$5:$AI$364,MATCH($K313,其他调用!$AG$5:$AG$364,0),1)/INDEX(其他调用!AL$5:AL$364,MATCH($K313,其他调用!$AG$5:$AG$364,0),0),1)*INDEX(其他调用!AC$5:AC$404,MATCH($K313,其他调用!$X$5:$X$404,0),0)</f>
        <v>5913.8615474773205</v>
      </c>
      <c r="Z313" s="12">
        <f>求节点(节奏总纲!D$4:D$163,标准城池设计!AD$4:AD$163,$K313)*求节点(节奏总纲!D$4:D$163,攻城基础信息!$AE$5:$AE$164,$K313)</f>
        <v>948502.02819905418</v>
      </c>
      <c r="AA313" s="12">
        <f>INDEX(其他调用!$AA$5:$AA$404,MATCH($K313,其他调用!$X$5:$X$404,0))*MIN(INDEX(其他调用!AJ$5:AJ$364,MATCH($K313,其他调用!$AG$5:$AG$364,0),1)/INDEX(其他调用!$AJ$5:$AJ$364,MATCH($K313,其他调用!$AG$5:$AG$364,0),0),5)*求节点(节奏总纲!D$4:D$163,攻城基础信息!$AE$5:$AE$164,$K313)</f>
        <v>158580.04536276328</v>
      </c>
      <c r="AB313" s="12">
        <f>MIN(INDEX(其他调用!$AJ$5:$AJ$364,MATCH($K313,其他调用!$AG$5:$AG$364,0),1)/INDEX(其他调用!AH$5:AH$364,MATCH($K313,其他调用!$AG$5:$AG$364,0),0),1)*INDEX(其他调用!Y$5:Y$404,MATCH($K313,其他调用!$X$5:$X$404,0),0)</f>
        <v>42625.767362039391</v>
      </c>
      <c r="AC313" s="12">
        <f>MIN(INDEX(其他调用!$AJ$5:$AJ$364,MATCH($K313,其他调用!$AG$5:$AG$364,0),1)/INDEX(其他调用!AI$5:AI$364,MATCH($K313,其他调用!$AG$5:$AG$364,0),0),1)*INDEX(其他调用!Z$5:Z$404,MATCH($K313,其他调用!$X$5:$X$404,0),0)</f>
        <v>43786.390781951806</v>
      </c>
      <c r="AD313" s="12">
        <f>MIN(INDEX(其他调用!$AJ$5:$AJ$364,MATCH($K313,其他调用!$AG$5:$AG$364,0),1)/INDEX(其他调用!AJ$5:AJ$364,MATCH($K313,其他调用!$AG$5:$AG$364,0),0),1)*INDEX(其他调用!AA$5:AA$404,MATCH($K313,其他调用!$X$5:$X$404,0),0)</f>
        <v>45308.584389360964</v>
      </c>
      <c r="AE313" s="12">
        <f>MIN(INDEX(其他调用!$AJ$5:$AJ$364,MATCH($K313,其他调用!$AG$5:$AG$364,0),1)/INDEX(其他调用!AK$5:AK$364,MATCH($K313,其他调用!$AG$5:$AG$364,0),0),1)*INDEX(其他调用!AB$5:AB$404,MATCH($K313,其他调用!$X$5:$X$404,0),0)</f>
        <v>17296.798577733738</v>
      </c>
      <c r="AF313" s="12">
        <f>MIN(INDEX(其他调用!$AJ$5:$AJ$364,MATCH($K313,其他调用!$AG$5:$AG$364,0),1)/INDEX(其他调用!AL$5:AL$364,MATCH($K313,其他调用!$AG$5:$AG$364,0),0),1)*INDEX(其他调用!AC$5:AC$404,MATCH($K313,其他调用!$X$5:$X$404,0),0)</f>
        <v>10322.535820778685</v>
      </c>
      <c r="AG313" s="12">
        <f>求节点(节奏总纲!D$4:D$163,标准城池设计!AE$4:AE$163,$K313)*求节点(节奏总纲!D$4:D$163,攻城基础信息!$AF$5:$AF$164,$K313)</f>
        <v>1142395.4193217044</v>
      </c>
      <c r="AH313" s="12">
        <f>INDEX(其他调用!$AA$5:$AA$404,MATCH($K313,其他调用!$X$5:$X$404,0))*MIN(INDEX(其他调用!AK$5:AK$364,MATCH($K313,其他调用!$AG$5:$AG$364,0),1)/INDEX(其他调用!$AJ$5:$AJ$364,MATCH($K313,其他调用!$AG$5:$AG$364,0),0),5)*求节点(节奏总纲!D$4:D$163,攻城基础信息!$AF$5:$AF$164,$K313)</f>
        <v>436118.10844007967</v>
      </c>
      <c r="AI313" s="12">
        <f>MIN(INDEX(其他调用!$AK$5:$AK$364,MATCH($K313,其他调用!$AG$5:$AG$364,0),1)/INDEX(其他调用!AH$5:AH$364,MATCH($K313,其他调用!$AG$5:$AG$364,0),0),1)*INDEX(其他调用!Y$5:Y$404,MATCH($K313,其他调用!$X$5:$X$404,0),0)</f>
        <v>42625.767362039391</v>
      </c>
      <c r="AJ313" s="12">
        <f>MIN(INDEX(其他调用!$AK$5:$AK$364,MATCH($K313,其他调用!$AG$5:$AG$364,0),1)/INDEX(其他调用!AI$5:AI$364,MATCH($K313,其他调用!$AG$5:$AG$364,0),0),1)*INDEX(其他调用!Z$5:Z$404,MATCH($K313,其他调用!$X$5:$X$404,0),0)</f>
        <v>43786.390781951806</v>
      </c>
      <c r="AK313" s="12">
        <f>MIN(INDEX(其他调用!$AK$5:$AK$364,MATCH($K313,其他调用!$AG$5:$AG$364,0),1)/INDEX(其他调用!AJ$5:AJ$364,MATCH($K313,其他调用!$AG$5:$AG$364,0),0),1)*INDEX(其他调用!AA$5:AA$404,MATCH($K313,其他调用!$X$5:$X$404,0),0)</f>
        <v>45308.584389360964</v>
      </c>
      <c r="AL313" s="12">
        <f>MIN(INDEX(其他调用!$AK$5:$AK$364,MATCH($K313,其他调用!$AG$5:$AG$364,0),1)/INDEX(其他调用!AK$5:AK$364,MATCH($K313,其他调用!$AG$5:$AG$364,0),0),1)*INDEX(其他调用!AB$5:AB$404,MATCH($K313,其他调用!$X$5:$X$404,0),0)</f>
        <v>47568.70298866494</v>
      </c>
      <c r="AM313" s="12">
        <f>MIN(INDEX(其他调用!$AK$5:$AK$364,MATCH($K313,其他调用!$AG$5:$AG$364,0),1)/INDEX(其他调用!AL$5:AL$364,MATCH($K313,其他调用!$AG$5:$AG$364,0),0),1)*INDEX(其他调用!AC$5:AC$404,MATCH($K313,其他调用!$X$5:$X$404,0),0)</f>
        <v>28388.469596945011</v>
      </c>
      <c r="AN313" s="12">
        <f>求节点(节奏总纲!D$4:D$163,标准城池设计!AF$4:AF$163,$K313)*求节点(节奏总纲!D$4:D$163,攻城基础信息!$AG$5:$AG$164,$K313)</f>
        <v>1188384.4161273225</v>
      </c>
      <c r="AO313" s="12">
        <f>INDEX(其他调用!$AA$5:$AA$404,MATCH($K313,其他调用!$X$5:$X$404,0))*MIN(INDEX(其他调用!AL$5:AL$364,MATCH($K313,其他调用!$AG$5:$AG$364,0),1)/INDEX(其他调用!$AJ$5:$AJ$364,MATCH($K313,其他调用!$AG$5:$AG$364,0),0),5)*求节点(节奏总纲!D$4:D$163,攻城基础信息!$AG$5:$AG$164,$K313)</f>
        <v>790547.27175574342</v>
      </c>
      <c r="AP313" s="12">
        <f>MIN(INDEX(其他调用!$AL$5:$AL$364,MATCH($K313,其他调用!$AG$5:$AG$364,0),1)/INDEX(其他调用!AH$5:AH$364,MATCH($K313,其他调用!$AG$5:$AG$364,0),0),1)*INDEX(其他调用!Y$5:Y$404,MATCH($K313,其他调用!$X$5:$X$404,0),0)</f>
        <v>42625.767362039391</v>
      </c>
      <c r="AQ313" s="12">
        <f>MIN(INDEX(其他调用!$AL$5:$AL$364,MATCH($K313,其他调用!$AG$5:$AG$364,0),1)/INDEX(其他调用!AI$5:AI$364,MATCH($K313,其他调用!$AG$5:$AG$364,0),0),1)*INDEX(其他调用!Z$5:Z$404,MATCH($K313,其他调用!$X$5:$X$404,0),0)</f>
        <v>43786.390781951806</v>
      </c>
      <c r="AR313" s="12">
        <f>MIN(INDEX(其他调用!$AL$5:$AL$364,MATCH($K313,其他调用!$AG$5:$AG$364,0),1)/INDEX(其他调用!AJ$5:AJ$364,MATCH($K313,其他调用!$AG$5:$AG$364,0),0),1)*INDEX(其他调用!AA$5:AA$404,MATCH($K313,其他调用!$X$5:$X$404,0),0)</f>
        <v>45308.584389360964</v>
      </c>
      <c r="AS313" s="12">
        <f>MIN(INDEX(其他调用!$AL$5:$AL$364,MATCH($K313,其他调用!$AG$5:$AG$364,0),1)/INDEX(其他调用!AK$5:AK$364,MATCH($K313,其他调用!$AG$5:$AG$364,0),0),1)*INDEX(其他调用!AB$5:AB$404,MATCH($K313,其他调用!$X$5:$X$404,0),0)</f>
        <v>47568.70298866494</v>
      </c>
      <c r="AT313" s="12">
        <f>MIN(INDEX(其他调用!$AL$5:$AL$364,MATCH($K313,其他调用!$AG$5:$AG$364,0),1)/INDEX(其他调用!AL$5:AL$364,MATCH($K313,其他调用!$AG$5:$AG$364,0),0),1)*INDEX(其他调用!AC$5:AC$404,MATCH($K313,其他调用!$X$5:$X$404,0),0)</f>
        <v>51459.516940166723</v>
      </c>
      <c r="AV313" s="14">
        <f>IF(OR(AV$5="大R",AV$5="超R"),MAX(INDEX(其他调用!$H$5:$L$404,MATCH($K313,其他调用!$B$5:$B$404,0),MATCH(AV$5,其他调用!$H$4:$L$4,0))*120*0.85,2),INDEX(其他调用!$H$5:$L$404,MATCH($K313,其他调用!$B$5:$B$404,0),MATCH(AV$5,其他调用!$H$4:$L$4,0))*120*0.85)</f>
        <v>48.921801254999991</v>
      </c>
      <c r="AW313" s="14">
        <f>IF(OR(AW$5="大R",AW$5="超R"),MAX(INDEX(其他调用!$H$5:$L$404,MATCH($K313,其他调用!$B$5:$B$404,0),MATCH(AW$5,其他调用!$H$4:$L$4,0))*120*0.85,2),INDEX(其他调用!$H$5:$L$404,MATCH($K313,其他调用!$B$5:$B$404,0),MATCH(AW$5,其他调用!$H$4:$L$4,0))*120*0.85)</f>
        <v>48.237344010638395</v>
      </c>
      <c r="AX313" s="14">
        <f>IF(OR(AX$5="大R",AX$5="超R"),MAX(INDEX(其他调用!$H$5:$L$404,MATCH($K313,其他调用!$B$5:$B$404,0),MATCH(AX$5,其他调用!$H$4:$L$4,0))*120*0.85,2),INDEX(其他调用!$H$5:$L$404,MATCH($K313,其他调用!$B$5:$B$404,0),MATCH(AX$5,其他调用!$H$4:$L$4,0))*120*0.85)</f>
        <v>3.9376284143615998</v>
      </c>
      <c r="AY313" s="14">
        <f>IF(OR(AY$5="大R",AY$5="超R"),MAX(INDEX(其他调用!$H$5:$L$404,MATCH($K313,其他调用!$B$5:$B$404,0),MATCH(AY$5,其他调用!$H$4:$L$4,0))*120*0.85,2),INDEX(其他调用!$H$5:$L$404,MATCH($K313,其他调用!$B$5:$B$404,0),MATCH(AY$5,其他调用!$H$4:$L$4,0))*120*0.85)</f>
        <v>2</v>
      </c>
      <c r="AZ313" s="14">
        <f>IF(OR(AZ$5="大R",AZ$5="超R"),MAX(INDEX(其他调用!$H$5:$L$404,MATCH($K313,其他调用!$B$5:$B$404,0),MATCH(AZ$5,其他调用!$H$4:$L$4,0))*120*0.85,2),INDEX(其他调用!$H$5:$L$404,MATCH($K313,其他调用!$B$5:$B$404,0),MATCH(AZ$5,其他调用!$H$4:$L$4,0))*120*0.85)</f>
        <v>2</v>
      </c>
      <c r="BA313" s="14">
        <f>INDEX(其他调用!$H$5:$L$404,MATCH($K313,其他调用!$B$5:$B$404,0),MATCH(BA$5,其他调用!$H$4:$L$4,0))*INDEX(其他调用!$M$5:$M$404,MATCH($K313,其他调用!$B$5:$B$404,0))*0.6</f>
        <v>28.777530149999997</v>
      </c>
      <c r="BB313" s="14">
        <f>INDEX(其他调用!$H$5:$L$404,MATCH($K313,其他调用!$B$5:$B$404,0),MATCH(BB$5,其他调用!$H$4:$L$4,0))*INDEX(其他调用!$M$5:$M$404,MATCH($K313,其他调用!$B$5:$B$404,0))*0.6</f>
        <v>28.374908241551999</v>
      </c>
      <c r="BC313" s="14">
        <f>INDEX(其他调用!$H$5:$L$404,MATCH($K313,其他调用!$B$5:$B$404,0),MATCH(BC$5,其他调用!$H$4:$L$4,0))*INDEX(其他调用!$M$5:$M$404,MATCH($K313,其他调用!$B$5:$B$404,0))*0.6</f>
        <v>2.3162520084480001</v>
      </c>
      <c r="BD313" s="14">
        <f>INDEX(其他调用!$H$5:$L$404,MATCH($K313,其他调用!$B$5:$B$404,0),MATCH(BD$5,其他调用!$H$4:$L$4,0))*INDEX(其他调用!$M$5:$M$404,MATCH($K313,其他调用!$B$5:$B$404,0))*0.6</f>
        <v>0.4120776000000001</v>
      </c>
      <c r="BE313" s="14">
        <f>INDEX(其他调用!$H$5:$L$404,MATCH($K313,其他调用!$B$5:$B$404,0),MATCH(BE$5,其他调用!$H$4:$L$4,0))*INDEX(其他调用!$M$5:$M$404,MATCH($K313,其他调用!$B$5:$B$404,0))*0.6</f>
        <v>0.11923199999999998</v>
      </c>
      <c r="BF313" s="14">
        <f>IF(OR(BF$5="大R",BF$5="超R"),0,INDEX(其他调用!$H$5:$L$404,MATCH($K313,其他调用!$B$5:$B$404,0),MATCH(BF$5,其他调用!$H$4:$L$4,0))*50*0.4)</f>
        <v>9.5925100500000013</v>
      </c>
      <c r="BG313" s="14">
        <f>IF(OR(BG$5="大R",BG$5="超R"),0,INDEX(其他调用!$H$5:$L$404,MATCH($K313,其他调用!$B$5:$B$404,0),MATCH(BG$5,其他调用!$H$4:$L$4,0))*50*0.4)</f>
        <v>9.4583027471839998</v>
      </c>
      <c r="BH313" s="14">
        <f>IF(OR(BH$5="大R",BH$5="超R"),0,INDEX(其他调用!$H$5:$L$404,MATCH($K313,其他调用!$B$5:$B$404,0),MATCH(BH$5,其他调用!$H$4:$L$4,0))*50*0.4)</f>
        <v>0.77208400281600009</v>
      </c>
      <c r="BI313" s="14">
        <f>IF(OR(BI$5="大R",BI$5="超R"),0,INDEX(其他调用!$H$5:$L$404,MATCH($K313,其他调用!$B$5:$B$404,0),MATCH(BI$5,其他调用!$H$4:$L$4,0))*50*0.4)</f>
        <v>0</v>
      </c>
      <c r="BJ313" s="14">
        <f>IF(OR(BJ$5="大R",BJ$5="超R"),0,INDEX(其他调用!$H$5:$L$404,MATCH($K313,其他调用!$B$5:$B$404,0),MATCH(BJ$5,其他调用!$H$4:$L$4,0))*50*0.4)</f>
        <v>0</v>
      </c>
      <c r="BL313" s="14">
        <f t="shared" si="523"/>
        <v>308</v>
      </c>
      <c r="BM313" s="14">
        <f t="shared" si="430"/>
        <v>96</v>
      </c>
      <c r="BN313" s="14">
        <f>('疲劳值&amp;地图信息'!$S$10*'疲劳值&amp;地图信息'!$R$10+'疲劳值&amp;地图信息'!$S$11*'疲劳值&amp;地图信息'!$R$11+'疲劳值&amp;地图信息'!$S$12*'疲劳值&amp;地图信息'!$R$12+(BM313-'疲劳值&amp;地图信息'!$S$12-'疲劳值&amp;地图信息'!$S$11-'疲劳值&amp;地图信息'!$S$10)*'疲劳值&amp;地图信息'!$R$13)/BM313</f>
        <v>51.371477246638619</v>
      </c>
      <c r="BO313" s="14">
        <f>INDEX(其他调用!$M$5:$M$404,MATCH(BL313,其他调用!$B$5:$B$404,0))*0.6</f>
        <v>60</v>
      </c>
      <c r="BP313" s="14">
        <f>IF(BO313&gt;SUM('疲劳值&amp;地图信息'!$S$10:$S$12),('疲劳值&amp;地图信息'!$S$10*'疲劳值&amp;地图信息'!$R$10+'疲劳值&amp;地图信息'!$S$11*'疲劳值&amp;地图信息'!$R$11+'疲劳值&amp;地图信息'!$S$12*'疲劳值&amp;地图信息'!$R$12+(BO313-'疲劳值&amp;地图信息'!$S$12-'疲劳值&amp;地图信息'!$S$11-'疲劳值&amp;地图信息'!$S$10)*'疲劳值&amp;地图信息'!$R$13)/BO313,('疲劳值&amp;地图信息'!$S$10*'疲劳值&amp;地图信息'!$R$10+'疲劳值&amp;地图信息'!$S$11*'疲劳值&amp;地图信息'!$R$11+'疲劳值&amp;地图信息'!$S$12*'疲劳值&amp;地图信息'!$R$12+(BO313-'疲劳值&amp;地图信息'!$S$12-'疲劳值&amp;地图信息'!$S$11-'疲劳值&amp;地图信息'!$S$10)*'疲劳值&amp;地图信息'!$R$13)/BO313)</f>
        <v>44.158136341605953</v>
      </c>
      <c r="BQ313" s="14">
        <f t="shared" si="524"/>
        <v>20</v>
      </c>
      <c r="BR313" s="14">
        <f>('疲劳值&amp;地图信息'!$S$10*'疲劳值&amp;地图信息'!$R$10+($BQ313-'疲劳值&amp;地图信息'!$S$10)*'疲劳值&amp;地图信息'!$R$11)/$BQ313</f>
        <v>32.067203015074995</v>
      </c>
      <c r="CF313" s="14">
        <v>308</v>
      </c>
      <c r="CG313" s="51">
        <f t="shared" si="431"/>
        <v>16169</v>
      </c>
      <c r="CH313" s="51">
        <f t="shared" si="432"/>
        <v>1081</v>
      </c>
      <c r="CI313" s="51">
        <f>INT(SUMPRODUCT($N313:$R313,$BA313:$BE313)/SUM($BA313:$BE313)/10000*$BX$7*$BZ$34/'疲劳值&amp;地图信息'!$R$10*$BY$53)</f>
        <v>3365</v>
      </c>
      <c r="CJ313" s="50">
        <f t="shared" si="433"/>
        <v>0.784331797235023</v>
      </c>
      <c r="CK313" s="50">
        <f t="shared" si="434"/>
        <v>5.243754547659471E-2</v>
      </c>
      <c r="CL313" s="50">
        <f t="shared" si="435"/>
        <v>0.16323065728838224</v>
      </c>
      <c r="CM313" s="14">
        <f t="shared" si="436"/>
        <v>17728</v>
      </c>
      <c r="CN313" s="14">
        <f t="shared" si="437"/>
        <v>1851</v>
      </c>
      <c r="CO313" s="14">
        <f>INT(SUMPRODUCT($U313:$Y313,$BA313:$BE313)/SUM($BA313:$BE313)/10000*$BX$7*$BZ$34/'疲劳值&amp;地图信息'!$R$10*$BY$54)</f>
        <v>6427</v>
      </c>
      <c r="CP313" s="50">
        <f t="shared" si="438"/>
        <v>0.68168884103668381</v>
      </c>
      <c r="CQ313" s="50">
        <f t="shared" si="439"/>
        <v>7.1175882488656458E-2</v>
      </c>
      <c r="CR313" s="50">
        <f t="shared" si="440"/>
        <v>0.24713527647465969</v>
      </c>
      <c r="CS313" s="14">
        <f t="shared" si="441"/>
        <v>19331</v>
      </c>
      <c r="CT313" s="14">
        <f t="shared" si="442"/>
        <v>3232</v>
      </c>
      <c r="CU313" s="14">
        <f>INT(SUMPRODUCT($AB313:$AF313,$BA313:$BE313)/SUM($BA313:$BE313)/10000*$BX$7*$BZ$34/'疲劳值&amp;地图信息'!$R$10*$BY$55)</f>
        <v>8734</v>
      </c>
      <c r="CV313" s="50">
        <f t="shared" si="443"/>
        <v>0.61766303479566731</v>
      </c>
      <c r="CW313" s="50">
        <f t="shared" si="444"/>
        <v>0.10326868389941528</v>
      </c>
      <c r="CX313" s="50">
        <f t="shared" si="445"/>
        <v>0.2790682813049174</v>
      </c>
      <c r="CY313" s="14">
        <f t="shared" si="446"/>
        <v>23283</v>
      </c>
      <c r="CZ313" s="14">
        <f t="shared" si="447"/>
        <v>8888</v>
      </c>
      <c r="DA313" s="14">
        <f>INT(SUMPRODUCT($AI313:$AM313,$BA313:$BE313)/SUM($BA313:$BE313)/10000*$BX$7*$BZ$34/'疲劳值&amp;地图信息'!$R$10*$BY$56)</f>
        <v>13175</v>
      </c>
      <c r="DB313" s="50">
        <f t="shared" si="448"/>
        <v>0.51345212367132709</v>
      </c>
      <c r="DC313" s="50">
        <f t="shared" si="449"/>
        <v>0.19600405768976314</v>
      </c>
      <c r="DD313" s="50">
        <f t="shared" si="450"/>
        <v>0.29054381863890971</v>
      </c>
      <c r="DE313" s="14">
        <f t="shared" si="451"/>
        <v>24220</v>
      </c>
      <c r="DF313" s="14">
        <f t="shared" si="452"/>
        <v>16112</v>
      </c>
      <c r="DG313" s="14">
        <f>INT(SUMPRODUCT($AP313:$AT313,$BA313:$BE313)/SUM($BA313:$BE313)/10000*$BX$7*$BZ$34/'疲劳值&amp;地图信息'!$R$10*$BY$57)</f>
        <v>17586</v>
      </c>
      <c r="DH313" s="50">
        <f t="shared" si="453"/>
        <v>0.41817742325356538</v>
      </c>
      <c r="DI313" s="50">
        <f t="shared" si="454"/>
        <v>0.27818640146413898</v>
      </c>
      <c r="DJ313" s="50">
        <f t="shared" si="455"/>
        <v>0.30363617528229564</v>
      </c>
      <c r="DL313" s="14">
        <f t="shared" si="526"/>
        <v>20615</v>
      </c>
      <c r="DM313" s="14">
        <f t="shared" si="527"/>
        <v>26006</v>
      </c>
      <c r="DN313" s="14">
        <f t="shared" si="528"/>
        <v>31297</v>
      </c>
      <c r="DO313" s="14">
        <f t="shared" si="529"/>
        <v>45346</v>
      </c>
      <c r="DP313" s="14">
        <f t="shared" si="530"/>
        <v>57918</v>
      </c>
      <c r="DQ313" s="14">
        <f t="shared" si="531"/>
        <v>1429250</v>
      </c>
      <c r="DT313" s="14">
        <f t="shared" si="525"/>
        <v>235575</v>
      </c>
      <c r="DU313" s="50">
        <f t="shared" si="427"/>
        <v>0.14150135900169689</v>
      </c>
      <c r="DW313" s="14">
        <f t="shared" si="456"/>
        <v>1664825</v>
      </c>
      <c r="EB313" s="14">
        <v>308</v>
      </c>
      <c r="EC313" s="51">
        <f t="shared" si="457"/>
        <v>26948</v>
      </c>
      <c r="ED313" s="51">
        <f t="shared" si="458"/>
        <v>1802</v>
      </c>
      <c r="EE313" s="51">
        <f>INT(SUMPRODUCT($N313:$R313,$BF313:$BJ313)/SUM($BF313:$BJ313)/10000*$BX$7*$BZ$46/'疲劳值&amp;地图信息'!$R$10*$BY$53)</f>
        <v>452</v>
      </c>
      <c r="EF313" s="50">
        <f t="shared" si="459"/>
        <v>0.92281350592425171</v>
      </c>
      <c r="EG313" s="50">
        <f t="shared" si="460"/>
        <v>6.1708102184781864E-2</v>
      </c>
      <c r="EH313" s="50">
        <f t="shared" si="461"/>
        <v>1.5478391890966373E-2</v>
      </c>
      <c r="EI313" s="51">
        <f t="shared" si="462"/>
        <v>29546</v>
      </c>
      <c r="EJ313" s="51">
        <f t="shared" si="463"/>
        <v>3086</v>
      </c>
      <c r="EK313" s="14">
        <f>INT(SUMPRODUCT($U313:$Y313,$BF313:$BJ313)/SUM($BF313:$BJ313)/10000*$BX$7*$BZ$46/'疲劳值&amp;地图信息'!$R$10*$BY$54)</f>
        <v>863</v>
      </c>
      <c r="EL313" s="50">
        <f t="shared" si="464"/>
        <v>0.88210180623973733</v>
      </c>
      <c r="EM313" s="50">
        <f t="shared" si="465"/>
        <v>9.2133154202119719E-2</v>
      </c>
      <c r="EN313" s="50">
        <f t="shared" si="466"/>
        <v>2.5765039558143008E-2</v>
      </c>
      <c r="EO313" s="51">
        <f t="shared" si="467"/>
        <v>32219</v>
      </c>
      <c r="EP313" s="51">
        <f t="shared" si="468"/>
        <v>5386</v>
      </c>
      <c r="EQ313" s="14">
        <f>INT(SUMPRODUCT($AB313:$AF313,$BF313:$BJ313)/SUM($BF313:$BJ313)/10000*$BX$7*$BZ$46/'疲劳值&amp;地图信息'!$R$10*$BY$55)</f>
        <v>1171</v>
      </c>
      <c r="ER313" s="50">
        <f t="shared" si="469"/>
        <v>0.83090055704559518</v>
      </c>
      <c r="ES313" s="50">
        <f t="shared" si="470"/>
        <v>0.1389003507324118</v>
      </c>
      <c r="ET313" s="50">
        <f t="shared" si="471"/>
        <v>3.0199092221992987E-2</v>
      </c>
      <c r="EU313" s="51">
        <f t="shared" si="472"/>
        <v>38805</v>
      </c>
      <c r="EV313" s="51">
        <f t="shared" si="473"/>
        <v>14814</v>
      </c>
      <c r="EW313" s="14">
        <f>INT(SUMPRODUCT($AI313:$AM313,$BF313:$BJ313)/SUM($BF313:$BJ313)/10000*$BX$7*$BZ$46/'疲劳值&amp;地图信息'!$R$10*$BY$56)</f>
        <v>1756</v>
      </c>
      <c r="EX313" s="50">
        <f t="shared" si="474"/>
        <v>0.70076749435665919</v>
      </c>
      <c r="EY313" s="50">
        <f t="shared" si="475"/>
        <v>0.26752144469525957</v>
      </c>
      <c r="EZ313" s="50">
        <f t="shared" si="476"/>
        <v>3.1711060948081266E-2</v>
      </c>
      <c r="FA313" s="51">
        <f t="shared" si="477"/>
        <v>40368</v>
      </c>
      <c r="FB313" s="51">
        <f t="shared" si="478"/>
        <v>26853</v>
      </c>
      <c r="FC313" s="14">
        <f>INT(SUMPRODUCT($AP313:$AT313,$BF313:$BJ313)/SUM($BF313:$BJ313)/10000*$BX$7*$BZ$46/'疲劳值&amp;地图信息'!$R$10*$BY$57)</f>
        <v>2342</v>
      </c>
      <c r="FD313" s="50">
        <f t="shared" si="479"/>
        <v>0.58030849733335255</v>
      </c>
      <c r="FE313" s="50">
        <f t="shared" si="480"/>
        <v>0.38602417952072221</v>
      </c>
      <c r="FF313" s="50">
        <f t="shared" si="481"/>
        <v>3.3667323145925278E-2</v>
      </c>
      <c r="FH313" s="14">
        <f t="shared" si="482"/>
        <v>29202</v>
      </c>
      <c r="FI313" s="14">
        <f t="shared" si="483"/>
        <v>33495</v>
      </c>
      <c r="FJ313" s="14">
        <f t="shared" si="484"/>
        <v>38776</v>
      </c>
      <c r="FK313" s="14">
        <f t="shared" si="485"/>
        <v>55375</v>
      </c>
      <c r="FL313" s="14">
        <f t="shared" si="486"/>
        <v>69563</v>
      </c>
      <c r="FM313" s="14">
        <f t="shared" si="487"/>
        <v>3446885</v>
      </c>
      <c r="FP313" s="14">
        <f t="shared" si="488"/>
        <v>334150</v>
      </c>
      <c r="FQ313" s="50">
        <f t="shared" si="428"/>
        <v>8.8375272908079408E-2</v>
      </c>
      <c r="FS313" s="14">
        <f t="shared" si="489"/>
        <v>3781035</v>
      </c>
      <c r="FX313" s="14">
        <v>308</v>
      </c>
      <c r="FY313" s="51">
        <f t="shared" si="490"/>
        <v>37727</v>
      </c>
      <c r="FZ313" s="51">
        <f t="shared" si="491"/>
        <v>1802</v>
      </c>
      <c r="GA313" s="51">
        <f>INT(SUMPRODUCT($N313:$R313,$BF313:$BJ313)/SUM($BF313:$BJ313)/10000*$BX$7*$BZ$46/'疲劳值&amp;地图信息'!$R$10*$BY$53)</f>
        <v>452</v>
      </c>
      <c r="GB313" s="50">
        <f t="shared" si="492"/>
        <v>0.94362322102998919</v>
      </c>
      <c r="GC313" s="50">
        <f t="shared" si="493"/>
        <v>4.5071408919236639E-2</v>
      </c>
      <c r="GD313" s="50">
        <f t="shared" si="494"/>
        <v>1.1305370050774118E-2</v>
      </c>
      <c r="GE313" s="51">
        <f t="shared" si="495"/>
        <v>41365</v>
      </c>
      <c r="GF313" s="51">
        <f t="shared" si="496"/>
        <v>3086</v>
      </c>
      <c r="GG313" s="14">
        <f>INT(SUMPRODUCT($U313:$Y313,$BF313:$BJ313)/SUM($BF313:$BJ313)/10000*$BX$7*$BZ$46/'疲劳值&amp;地图信息'!$R$10*$BY$54)</f>
        <v>863</v>
      </c>
      <c r="GH313" s="50">
        <f t="shared" si="497"/>
        <v>0.91285254005384653</v>
      </c>
      <c r="GI313" s="50">
        <f t="shared" si="498"/>
        <v>6.810257315619897E-2</v>
      </c>
      <c r="GJ313" s="50">
        <f t="shared" si="499"/>
        <v>1.904488678995454E-2</v>
      </c>
      <c r="GK313" s="51">
        <f t="shared" si="500"/>
        <v>45107</v>
      </c>
      <c r="GL313" s="51">
        <f t="shared" si="501"/>
        <v>5386</v>
      </c>
      <c r="GM313" s="14">
        <f>INT(SUMPRODUCT($AB313:$AF313,$BF313:$BJ313)/SUM($BF313:$BJ313)/10000*$BX$7*$BZ$46/'疲劳值&amp;地图信息'!$R$10*$BY$55)</f>
        <v>1171</v>
      </c>
      <c r="GN313" s="50">
        <f t="shared" si="502"/>
        <v>0.87308377206565502</v>
      </c>
      <c r="GO313" s="50">
        <f t="shared" si="503"/>
        <v>0.10425054196345618</v>
      </c>
      <c r="GP313" s="50">
        <f t="shared" si="504"/>
        <v>2.2665685970888819E-2</v>
      </c>
      <c r="GQ313" s="51">
        <f t="shared" si="505"/>
        <v>54328</v>
      </c>
      <c r="GR313" s="51">
        <f t="shared" si="506"/>
        <v>14814</v>
      </c>
      <c r="GS313" s="14">
        <f>INT(SUMPRODUCT($AI313:$AM313,$BF313:$BJ313)/SUM($BF313:$BJ313)/10000*$BX$7*$BZ$46/'疲劳值&amp;地图信息'!$R$10*$BY$56)</f>
        <v>1756</v>
      </c>
      <c r="GT313" s="50">
        <f t="shared" si="507"/>
        <v>0.76628395723433662</v>
      </c>
      <c r="GU313" s="50">
        <f t="shared" si="508"/>
        <v>0.20894806623600101</v>
      </c>
      <c r="GV313" s="50">
        <f t="shared" si="509"/>
        <v>2.4767976529662332E-2</v>
      </c>
      <c r="GW313" s="51">
        <f t="shared" si="510"/>
        <v>56515</v>
      </c>
      <c r="GX313" s="51">
        <f t="shared" si="511"/>
        <v>26853</v>
      </c>
      <c r="GY313" s="14">
        <f>INT(SUMPRODUCT($AP313:$AT313,$BF313:$BJ313)/SUM($BF313:$BJ313)/10000*$BX$7*$BZ$46/'疲劳值&amp;地图信息'!$R$10*$BY$57)</f>
        <v>2342</v>
      </c>
      <c r="GZ313" s="50">
        <f t="shared" si="512"/>
        <v>0.65937463539843655</v>
      </c>
      <c r="HA313" s="50">
        <f t="shared" si="513"/>
        <v>0.31330066503325166</v>
      </c>
      <c r="HB313" s="50">
        <f t="shared" si="514"/>
        <v>2.7324699568311749E-2</v>
      </c>
      <c r="HD313" s="14">
        <f t="shared" si="515"/>
        <v>39981</v>
      </c>
      <c r="HE313" s="14">
        <f t="shared" si="516"/>
        <v>45314</v>
      </c>
      <c r="HF313" s="14">
        <f t="shared" si="517"/>
        <v>51664</v>
      </c>
      <c r="HG313" s="14">
        <f t="shared" si="518"/>
        <v>70898</v>
      </c>
      <c r="HH313" s="14">
        <f t="shared" si="519"/>
        <v>85710</v>
      </c>
      <c r="HI313" s="14">
        <f t="shared" si="520"/>
        <v>4658419</v>
      </c>
      <c r="HL313" s="14">
        <f t="shared" si="521"/>
        <v>430050</v>
      </c>
      <c r="HM313" s="50">
        <f t="shared" si="429"/>
        <v>8.4514615299808249E-2</v>
      </c>
      <c r="HO313" s="14">
        <f t="shared" si="522"/>
        <v>5088469</v>
      </c>
    </row>
    <row r="314" spans="11:223" x14ac:dyDescent="0.2">
      <c r="K314" s="14">
        <v>309</v>
      </c>
      <c r="L314" s="12">
        <f>求节点(节奏总纲!D$4:D$163,标准城池设计!AB$4:AB$163,$K314)*求节点(节奏总纲!D$4:D$163,攻城基础信息!$AC$5:$AC$164,$K314)</f>
        <v>794482.39384393871</v>
      </c>
      <c r="M314" s="12">
        <f>INDEX(其他调用!$AA$5:$AA$404,MATCH(K314,其他调用!$X$5:$X$404,0))*MIN(INDEX(其他调用!$AH$5:$AH$364,MATCH('征服点（新）'!K314,其他调用!$AG$5:$AG$364,0),1)/INDEX(其他调用!$AJ$5:$AJ$364,MATCH(K314,其他调用!$AG$5:$AG$364,0),0),5)*求节点(节奏总纲!D$4:D$163,攻城基础信息!$AC$5:$AC$164,$K314)</f>
        <v>53031.55400501551</v>
      </c>
      <c r="N314" s="12">
        <f>MIN(INDEX(其他调用!$AH$5:$AH$364,MATCH($K314,其他调用!$AG$5:$AG$364,0),1)/INDEX(其他调用!AH$5:AH$364,MATCH($K314,其他调用!$AG$5:$AG$364,0),0),1)*INDEX(其他调用!Y$5:Y$404,MATCH($K314,其他调用!$X$5:$X$404,0),0)</f>
        <v>42644.843027574883</v>
      </c>
      <c r="O314" s="12">
        <f>MIN(INDEX(其他调用!$AH$5:$AH$364,MATCH($K314,其他调用!$AG$5:$AG$364,0),1)/INDEX(其他调用!AI$5:AI$364,MATCH($K314,其他调用!$AG$5:$AG$364,0),0),1)*INDEX(其他调用!Z$5:Z$404,MATCH($K314,其他调用!$X$5:$X$404,0),0)</f>
        <v>25574.676924493488</v>
      </c>
      <c r="P314" s="12">
        <f>MIN(INDEX(其他调用!$AH$5:$AH$364,MATCH($K314,其他调用!$AG$5:$AG$364,0),1)/INDEX(其他调用!AJ$5:AJ$364,MATCH($K314,其他调用!$AG$5:$AG$364,0),0),1)*INDEX(其他调用!AA$5:AA$404,MATCH($K314,其他调用!$X$5:$X$404,0),0)</f>
        <v>15151.872572861585</v>
      </c>
      <c r="Q314" s="12">
        <f>MIN(INDEX(其他调用!$AH$5:$AH$364,MATCH($K314,其他调用!$AG$5:$AG$364,0),1)/INDEX(其他调用!AK$5:AK$364,MATCH($K314,其他调用!$AG$5:$AG$364,0),0),1)*INDEX(其他调用!AB$5:AB$404,MATCH($K314,其他调用!$X$5:$X$404,0),0)</f>
        <v>5792.0829673614444</v>
      </c>
      <c r="R314" s="12">
        <f>MIN(INDEX(其他调用!$AH$5:$AH$364,MATCH($K314,其他调用!$AG$5:$AG$364,0),1)/INDEX(其他调用!AL$5:AL$364,MATCH($K314,其他调用!$AG$5:$AG$364,0),0),1)*INDEX(其他调用!AC$5:AC$404,MATCH($K314,其他调用!$X$5:$X$404,0),0)</f>
        <v>3462.2194660741657</v>
      </c>
      <c r="S314" s="12">
        <f>求节点(节奏总纲!D$4:D$163,标准城池设计!AC$4:AC$163,$K314)*求节点(节奏总纲!D$4:D$163,攻城基础信息!$AD$5:$AD$164,$K314)</f>
        <v>871119.81718758098</v>
      </c>
      <c r="T314" s="12">
        <f>INDEX(其他调用!$AA$5:$AA$404,MATCH($K314,其他调用!$X$5:$X$404,0))*MIN(INDEX(其他调用!AI$5:AI$364,MATCH($K314,其他调用!$AG$5:$AG$364,0),1)/INDEX(其他调用!$AJ$5:$AJ$364,MATCH($K314,其他调用!$AG$5:$AG$364,0),0),5)*求节点(节奏总纲!D$4:D$163,攻城基础信息!$AD$5:$AD$164,$K314)</f>
        <v>90835.512914895473</v>
      </c>
      <c r="U314" s="12">
        <f>MIN(INDEX(其他调用!$AI$5:$AI$364,MATCH($K314,其他调用!$AG$5:$AG$364,0),1)/INDEX(其他调用!AH$5:AH$364,MATCH($K314,其他调用!$AG$5:$AG$364,0),0),1)*INDEX(其他调用!Y$5:Y$404,MATCH($K314,其他调用!$X$5:$X$404,0),0)</f>
        <v>42644.843027574883</v>
      </c>
      <c r="V314" s="12">
        <f>MIN(INDEX(其他调用!$AI$5:$AI$364,MATCH($K314,其他调用!$AG$5:$AG$364,0),1)/INDEX(其他调用!AI$5:AI$364,MATCH($K314,其他调用!$AG$5:$AG$364,0),0),1)*INDEX(其他调用!Z$5:Z$404,MATCH($K314,其他调用!$X$5:$X$404,0),0)</f>
        <v>43805.785812902992</v>
      </c>
      <c r="W314" s="12">
        <f>MIN(INDEX(其他调用!$AI$5:$AI$364,MATCH($K314,其他调用!$AG$5:$AG$364,0),1)/INDEX(其他调用!AJ$5:AJ$364,MATCH($K314,其他调用!$AG$5:$AG$364,0),0),1)*INDEX(其他调用!AA$5:AA$404,MATCH($K314,其他调用!$X$5:$X$404,0),0)</f>
        <v>25953.003689970152</v>
      </c>
      <c r="X314" s="12">
        <f>MIN(INDEX(其他调用!$AI$5:$AI$364,MATCH($K314,其他调用!$AG$5:$AG$364,0),1)/INDEX(其他调用!AK$5:AK$364,MATCH($K314,其他调用!$AG$5:$AG$364,0),0),1)*INDEX(其他调用!AB$5:AB$404,MATCH($K314,其他调用!$X$5:$X$404,0),0)</f>
        <v>9921.014706379292</v>
      </c>
      <c r="Y314" s="12">
        <f>MIN(INDEX(其他调用!$AI$5:$AI$364,MATCH($K314,其他调用!$AG$5:$AG$364,0),1)/INDEX(其他调用!AL$5:AL$364,MATCH($K314,其他调用!$AG$5:$AG$364,0),0),1)*INDEX(其他调用!AC$5:AC$404,MATCH($K314,其他调用!$X$5:$X$404,0),0)</f>
        <v>5930.2897477799534</v>
      </c>
      <c r="Z314" s="12">
        <f>求节点(节奏总纲!D$4:D$163,标准城池设计!AD$4:AD$163,$K314)*求节点(节奏总纲!D$4:D$163,攻城基础信息!$AE$5:$AE$164,$K314)</f>
        <v>949867.93216645601</v>
      </c>
      <c r="AA314" s="12">
        <f>INDEX(其他调用!$AA$5:$AA$404,MATCH($K314,其他调用!$X$5:$X$404,0))*MIN(INDEX(其他调用!AJ$5:AJ$364,MATCH($K314,其他调用!$AG$5:$AG$364,0),1)/INDEX(其他调用!$AJ$5:$AJ$364,MATCH($K314,其他调用!$AG$5:$AG$364,0),0),5)*求节点(节奏总纲!D$4:D$163,攻城基础信息!$AE$5:$AE$164,$K314)</f>
        <v>158647.97588657323</v>
      </c>
      <c r="AB314" s="12">
        <f>MIN(INDEX(其他调用!$AJ$5:$AJ$364,MATCH($K314,其他调用!$AG$5:$AG$364,0),1)/INDEX(其他调用!AH$5:AH$364,MATCH($K314,其他调用!$AG$5:$AG$364,0),0),1)*INDEX(其他调用!Y$5:Y$404,MATCH($K314,其他调用!$X$5:$X$404,0),0)</f>
        <v>42644.843027574883</v>
      </c>
      <c r="AC314" s="12">
        <f>MIN(INDEX(其他调用!$AJ$5:$AJ$364,MATCH($K314,其他调用!$AG$5:$AG$364,0),1)/INDEX(其他调用!AI$5:AI$364,MATCH($K314,其他调用!$AG$5:$AG$364,0),0),1)*INDEX(其他调用!Z$5:Z$404,MATCH($K314,其他调用!$X$5:$X$404,0),0)</f>
        <v>43805.785812902992</v>
      </c>
      <c r="AD314" s="12">
        <f>MIN(INDEX(其他调用!$AJ$5:$AJ$364,MATCH($K314,其他调用!$AG$5:$AG$364,0),1)/INDEX(其他调用!AJ$5:AJ$364,MATCH($K314,其他调用!$AG$5:$AG$364,0),0),1)*INDEX(其他调用!AA$5:AA$404,MATCH($K314,其他调用!$X$5:$X$404,0),0)</f>
        <v>45327.993110449519</v>
      </c>
      <c r="AE314" s="12">
        <f>MIN(INDEX(其他调用!$AJ$5:$AJ$364,MATCH($K314,其他调用!$AG$5:$AG$364,0),1)/INDEX(其他调用!AK$5:AK$364,MATCH($K314,其他调用!$AG$5:$AG$364,0),0),1)*INDEX(其他调用!AB$5:AB$404,MATCH($K314,其他调用!$X$5:$X$404,0),0)</f>
        <v>17327.462039903334</v>
      </c>
      <c r="AF314" s="12">
        <f>MIN(INDEX(其他调用!$AJ$5:$AJ$364,MATCH($K314,其他调用!$AG$5:$AG$364,0),1)/INDEX(其他调用!AL$5:AL$364,MATCH($K314,其他调用!$AG$5:$AG$364,0),0),1)*INDEX(其他调用!AC$5:AC$404,MATCH($K314,其他调用!$X$5:$X$404,0),0)</f>
        <v>10357.49603558309</v>
      </c>
      <c r="AG314" s="12">
        <f>求节点(节奏总纲!D$4:D$163,标准城池设计!AE$4:AE$163,$K314)*求节点(节奏总纲!D$4:D$163,攻城基础信息!$AF$5:$AF$164,$K314)</f>
        <v>1143755.9866731034</v>
      </c>
      <c r="AH314" s="12">
        <f>INDEX(其他调用!$AA$5:$AA$404,MATCH($K314,其他调用!$X$5:$X$404,0))*MIN(INDEX(其他调用!AK$5:AK$364,MATCH($K314,其他调用!$AG$5:$AG$364,0),1)/INDEX(其他调用!$AJ$5:$AJ$364,MATCH($K314,其他调用!$AG$5:$AG$364,0),0),5)*求节点(节奏总纲!D$4:D$163,攻城基础信息!$AF$5:$AF$164,$K314)</f>
        <v>435714.81140954921</v>
      </c>
      <c r="AI314" s="12">
        <f>MIN(INDEX(其他调用!$AK$5:$AK$364,MATCH($K314,其他调用!$AG$5:$AG$364,0),1)/INDEX(其他调用!AH$5:AH$364,MATCH($K314,其他调用!$AG$5:$AG$364,0),0),1)*INDEX(其他调用!Y$5:Y$404,MATCH($K314,其他调用!$X$5:$X$404,0),0)</f>
        <v>42644.843027574883</v>
      </c>
      <c r="AJ314" s="12">
        <f>MIN(INDEX(其他调用!$AK$5:$AK$364,MATCH($K314,其他调用!$AG$5:$AG$364,0),1)/INDEX(其他调用!AI$5:AI$364,MATCH($K314,其他调用!$AG$5:$AG$364,0),0),1)*INDEX(其他调用!Z$5:Z$404,MATCH($K314,其他调用!$X$5:$X$404,0),0)</f>
        <v>43805.785812902992</v>
      </c>
      <c r="AK314" s="12">
        <f>MIN(INDEX(其他调用!$AK$5:$AK$364,MATCH($K314,其他调用!$AG$5:$AG$364,0),1)/INDEX(其他调用!AJ$5:AJ$364,MATCH($K314,其他调用!$AG$5:$AG$364,0),0),1)*INDEX(其他调用!AA$5:AA$404,MATCH($K314,其他调用!$X$5:$X$404,0),0)</f>
        <v>45327.993110449519</v>
      </c>
      <c r="AL314" s="12">
        <f>MIN(INDEX(其他调用!$AK$5:$AK$364,MATCH($K314,其他调用!$AG$5:$AG$364,0),1)/INDEX(其他调用!AK$5:AK$364,MATCH($K314,其他调用!$AG$5:$AG$364,0),0),1)*INDEX(其他调用!AB$5:AB$404,MATCH($K314,其他调用!$X$5:$X$404,0),0)</f>
        <v>47588.579764297923</v>
      </c>
      <c r="AM314" s="12">
        <f>MIN(INDEX(其他调用!$AK$5:$AK$364,MATCH($K314,其他调用!$AG$5:$AG$364,0),1)/INDEX(其他调用!AL$5:AL$364,MATCH($K314,其他调用!$AG$5:$AG$364,0),0),1)*INDEX(其他调用!AC$5:AC$404,MATCH($K314,其他调用!$X$5:$X$404,0),0)</f>
        <v>28446.088937471141</v>
      </c>
      <c r="AN314" s="12">
        <f>求节点(节奏总纲!D$4:D$163,标准城池设计!AF$4:AF$163,$K314)*求节点(节奏总纲!D$4:D$163,攻城基础信息!$AG$5:$AG$164,$K314)</f>
        <v>1189390.4402082164</v>
      </c>
      <c r="AO314" s="12">
        <f>INDEX(其他调用!$AA$5:$AA$404,MATCH($K314,其他调用!$X$5:$X$404,0))*MIN(INDEX(其他调用!AL$5:AL$364,MATCH($K314,其他调用!$AG$5:$AG$364,0),1)/INDEX(其他调用!$AJ$5:$AJ$364,MATCH($K314,其他调用!$AG$5:$AG$364,0),0),5)*求节点(节奏总纲!D$4:D$163,攻城基础信息!$AG$5:$AG$164,$K314)</f>
        <v>788511.76234848681</v>
      </c>
      <c r="AP314" s="12">
        <f>MIN(INDEX(其他调用!$AL$5:$AL$364,MATCH($K314,其他调用!$AG$5:$AG$364,0),1)/INDEX(其他调用!AH$5:AH$364,MATCH($K314,其他调用!$AG$5:$AG$364,0),0),1)*INDEX(其他调用!Y$5:Y$404,MATCH($K314,其他调用!$X$5:$X$404,0),0)</f>
        <v>42644.843027574883</v>
      </c>
      <c r="AQ314" s="12">
        <f>MIN(INDEX(其他调用!$AL$5:$AL$364,MATCH($K314,其他调用!$AG$5:$AG$364,0),1)/INDEX(其他调用!AI$5:AI$364,MATCH($K314,其他调用!$AG$5:$AG$364,0),0),1)*INDEX(其他调用!Z$5:Z$404,MATCH($K314,其他调用!$X$5:$X$404,0),0)</f>
        <v>43805.785812902992</v>
      </c>
      <c r="AR314" s="12">
        <f>MIN(INDEX(其他调用!$AL$5:$AL$364,MATCH($K314,其他调用!$AG$5:$AG$364,0),1)/INDEX(其他调用!AJ$5:AJ$364,MATCH($K314,其他调用!$AG$5:$AG$364,0),0),1)*INDEX(其他调用!AA$5:AA$404,MATCH($K314,其他调用!$X$5:$X$404,0),0)</f>
        <v>45327.993110449519</v>
      </c>
      <c r="AS314" s="12">
        <f>MIN(INDEX(其他调用!$AL$5:$AL$364,MATCH($K314,其他调用!$AG$5:$AG$364,0),1)/INDEX(其他调用!AK$5:AK$364,MATCH($K314,其他调用!$AG$5:$AG$364,0),0),1)*INDEX(其他调用!AB$5:AB$404,MATCH($K314,其他调用!$X$5:$X$404,0),0)</f>
        <v>47588.579764297923</v>
      </c>
      <c r="AT314" s="12">
        <f>MIN(INDEX(其他调用!$AL$5:$AL$364,MATCH($K314,其他调用!$AG$5:$AG$364,0),1)/INDEX(其他调用!AL$5:AL$364,MATCH($K314,其他调用!$AG$5:$AG$364,0),0),1)*INDEX(其他调用!AC$5:AC$404,MATCH($K314,其他调用!$X$5:$X$404,0),0)</f>
        <v>51478.800198334466</v>
      </c>
      <c r="AV314" s="14">
        <f>IF(OR(AV$5="大R",AV$5="超R"),MAX(INDEX(其他调用!$H$5:$L$404,MATCH($K314,其他调用!$B$5:$B$404,0),MATCH(AV$5,其他调用!$H$4:$L$4,0))*120*0.85,2),INDEX(其他调用!$H$5:$L$404,MATCH($K314,其他调用!$B$5:$B$404,0),MATCH(AV$5,其他调用!$H$4:$L$4,0))*120*0.85)</f>
        <v>48.921801254999991</v>
      </c>
      <c r="AW314" s="14">
        <f>IF(OR(AW$5="大R",AW$5="超R"),MAX(INDEX(其他调用!$H$5:$L$404,MATCH($K314,其他调用!$B$5:$B$404,0),MATCH(AW$5,其他调用!$H$4:$L$4,0))*120*0.85,2),INDEX(其他调用!$H$5:$L$404,MATCH($K314,其他调用!$B$5:$B$404,0),MATCH(AW$5,其他调用!$H$4:$L$4,0))*120*0.85)</f>
        <v>48.237344010638395</v>
      </c>
      <c r="AX314" s="14">
        <f>IF(OR(AX$5="大R",AX$5="超R"),MAX(INDEX(其他调用!$H$5:$L$404,MATCH($K314,其他调用!$B$5:$B$404,0),MATCH(AX$5,其他调用!$H$4:$L$4,0))*120*0.85,2),INDEX(其他调用!$H$5:$L$404,MATCH($K314,其他调用!$B$5:$B$404,0),MATCH(AX$5,其他调用!$H$4:$L$4,0))*120*0.85)</f>
        <v>3.9376284143615998</v>
      </c>
      <c r="AY314" s="14">
        <f>IF(OR(AY$5="大R",AY$5="超R"),MAX(INDEX(其他调用!$H$5:$L$404,MATCH($K314,其他调用!$B$5:$B$404,0),MATCH(AY$5,其他调用!$H$4:$L$4,0))*120*0.85,2),INDEX(其他调用!$H$5:$L$404,MATCH($K314,其他调用!$B$5:$B$404,0),MATCH(AY$5,其他调用!$H$4:$L$4,0))*120*0.85)</f>
        <v>2</v>
      </c>
      <c r="AZ314" s="14">
        <f>IF(OR(AZ$5="大R",AZ$5="超R"),MAX(INDEX(其他调用!$H$5:$L$404,MATCH($K314,其他调用!$B$5:$B$404,0),MATCH(AZ$5,其他调用!$H$4:$L$4,0))*120*0.85,2),INDEX(其他调用!$H$5:$L$404,MATCH($K314,其他调用!$B$5:$B$404,0),MATCH(AZ$5,其他调用!$H$4:$L$4,0))*120*0.85)</f>
        <v>2</v>
      </c>
      <c r="BA314" s="14">
        <f>INDEX(其他调用!$H$5:$L$404,MATCH($K314,其他调用!$B$5:$B$404,0),MATCH(BA$5,其他调用!$H$4:$L$4,0))*INDEX(其他调用!$M$5:$M$404,MATCH($K314,其他调用!$B$5:$B$404,0))*0.6</f>
        <v>28.777530149999997</v>
      </c>
      <c r="BB314" s="14">
        <f>INDEX(其他调用!$H$5:$L$404,MATCH($K314,其他调用!$B$5:$B$404,0),MATCH(BB$5,其他调用!$H$4:$L$4,0))*INDEX(其他调用!$M$5:$M$404,MATCH($K314,其他调用!$B$5:$B$404,0))*0.6</f>
        <v>28.374908241551999</v>
      </c>
      <c r="BC314" s="14">
        <f>INDEX(其他调用!$H$5:$L$404,MATCH($K314,其他调用!$B$5:$B$404,0),MATCH(BC$5,其他调用!$H$4:$L$4,0))*INDEX(其他调用!$M$5:$M$404,MATCH($K314,其他调用!$B$5:$B$404,0))*0.6</f>
        <v>2.3162520084480001</v>
      </c>
      <c r="BD314" s="14">
        <f>INDEX(其他调用!$H$5:$L$404,MATCH($K314,其他调用!$B$5:$B$404,0),MATCH(BD$5,其他调用!$H$4:$L$4,0))*INDEX(其他调用!$M$5:$M$404,MATCH($K314,其他调用!$B$5:$B$404,0))*0.6</f>
        <v>0.4120776000000001</v>
      </c>
      <c r="BE314" s="14">
        <f>INDEX(其他调用!$H$5:$L$404,MATCH($K314,其他调用!$B$5:$B$404,0),MATCH(BE$5,其他调用!$H$4:$L$4,0))*INDEX(其他调用!$M$5:$M$404,MATCH($K314,其他调用!$B$5:$B$404,0))*0.6</f>
        <v>0.11923199999999998</v>
      </c>
      <c r="BF314" s="14">
        <f>IF(OR(BF$5="大R",BF$5="超R"),0,INDEX(其他调用!$H$5:$L$404,MATCH($K314,其他调用!$B$5:$B$404,0),MATCH(BF$5,其他调用!$H$4:$L$4,0))*50*0.4)</f>
        <v>9.5925100500000013</v>
      </c>
      <c r="BG314" s="14">
        <f>IF(OR(BG$5="大R",BG$5="超R"),0,INDEX(其他调用!$H$5:$L$404,MATCH($K314,其他调用!$B$5:$B$404,0),MATCH(BG$5,其他调用!$H$4:$L$4,0))*50*0.4)</f>
        <v>9.4583027471839998</v>
      </c>
      <c r="BH314" s="14">
        <f>IF(OR(BH$5="大R",BH$5="超R"),0,INDEX(其他调用!$H$5:$L$404,MATCH($K314,其他调用!$B$5:$B$404,0),MATCH(BH$5,其他调用!$H$4:$L$4,0))*50*0.4)</f>
        <v>0.77208400281600009</v>
      </c>
      <c r="BI314" s="14">
        <f>IF(OR(BI$5="大R",BI$5="超R"),0,INDEX(其他调用!$H$5:$L$404,MATCH($K314,其他调用!$B$5:$B$404,0),MATCH(BI$5,其他调用!$H$4:$L$4,0))*50*0.4)</f>
        <v>0</v>
      </c>
      <c r="BJ314" s="14">
        <f>IF(OR(BJ$5="大R",BJ$5="超R"),0,INDEX(其他调用!$H$5:$L$404,MATCH($K314,其他调用!$B$5:$B$404,0),MATCH(BJ$5,其他调用!$H$4:$L$4,0))*50*0.4)</f>
        <v>0</v>
      </c>
      <c r="BL314" s="14">
        <f t="shared" si="523"/>
        <v>309</v>
      </c>
      <c r="BM314" s="14">
        <f t="shared" si="430"/>
        <v>96</v>
      </c>
      <c r="BN314" s="14">
        <f>('疲劳值&amp;地图信息'!$S$10*'疲劳值&amp;地图信息'!$R$10+'疲劳值&amp;地图信息'!$S$11*'疲劳值&amp;地图信息'!$R$11+'疲劳值&amp;地图信息'!$S$12*'疲劳值&amp;地图信息'!$R$12+(BM314-'疲劳值&amp;地图信息'!$S$12-'疲劳值&amp;地图信息'!$S$11-'疲劳值&amp;地图信息'!$S$10)*'疲劳值&amp;地图信息'!$R$13)/BM314</f>
        <v>51.371477246638619</v>
      </c>
      <c r="BO314" s="14">
        <f>INDEX(其他调用!$M$5:$M$404,MATCH(BL314,其他调用!$B$5:$B$404,0))*0.6</f>
        <v>60</v>
      </c>
      <c r="BP314" s="14">
        <f>IF(BO314&gt;SUM('疲劳值&amp;地图信息'!$S$10:$S$12),('疲劳值&amp;地图信息'!$S$10*'疲劳值&amp;地图信息'!$R$10+'疲劳值&amp;地图信息'!$S$11*'疲劳值&amp;地图信息'!$R$11+'疲劳值&amp;地图信息'!$S$12*'疲劳值&amp;地图信息'!$R$12+(BO314-'疲劳值&amp;地图信息'!$S$12-'疲劳值&amp;地图信息'!$S$11-'疲劳值&amp;地图信息'!$S$10)*'疲劳值&amp;地图信息'!$R$13)/BO314,('疲劳值&amp;地图信息'!$S$10*'疲劳值&amp;地图信息'!$R$10+'疲劳值&amp;地图信息'!$S$11*'疲劳值&amp;地图信息'!$R$11+'疲劳值&amp;地图信息'!$S$12*'疲劳值&amp;地图信息'!$R$12+(BO314-'疲劳值&amp;地图信息'!$S$12-'疲劳值&amp;地图信息'!$S$11-'疲劳值&amp;地图信息'!$S$10)*'疲劳值&amp;地图信息'!$R$13)/BO314)</f>
        <v>44.158136341605953</v>
      </c>
      <c r="BQ314" s="14">
        <f t="shared" si="524"/>
        <v>20</v>
      </c>
      <c r="BR314" s="14">
        <f>('疲劳值&amp;地图信息'!$S$10*'疲劳值&amp;地图信息'!$R$10+($BQ314-'疲劳值&amp;地图信息'!$S$10)*'疲劳值&amp;地图信息'!$R$11)/$BQ314</f>
        <v>32.067203015074995</v>
      </c>
      <c r="CF314" s="14">
        <v>309</v>
      </c>
      <c r="CG314" s="51">
        <f t="shared" si="431"/>
        <v>16192</v>
      </c>
      <c r="CH314" s="51">
        <f t="shared" si="432"/>
        <v>1080</v>
      </c>
      <c r="CI314" s="51">
        <f>INT(SUMPRODUCT($N314:$R314,$BA314:$BE314)/SUM($BA314:$BE314)/10000*$BX$7*$BZ$34/'疲劳值&amp;地图信息'!$R$10*$BY$53)</f>
        <v>3366</v>
      </c>
      <c r="CJ314" s="50">
        <f t="shared" si="433"/>
        <v>0.78457214846399848</v>
      </c>
      <c r="CK314" s="50">
        <f t="shared" si="434"/>
        <v>5.2330652194980135E-2</v>
      </c>
      <c r="CL314" s="50">
        <f t="shared" si="435"/>
        <v>0.1630971993410214</v>
      </c>
      <c r="CM314" s="14">
        <f t="shared" si="436"/>
        <v>17754</v>
      </c>
      <c r="CN314" s="14">
        <f t="shared" si="437"/>
        <v>1851</v>
      </c>
      <c r="CO314" s="14">
        <f>INT(SUMPRODUCT($U314:$Y314,$BA314:$BE314)/SUM($BA314:$BE314)/10000*$BX$7*$BZ$34/'疲劳值&amp;地图信息'!$R$10*$BY$54)</f>
        <v>6430</v>
      </c>
      <c r="CP314" s="50">
        <f t="shared" si="438"/>
        <v>0.68192817361244473</v>
      </c>
      <c r="CQ314" s="50">
        <f t="shared" si="439"/>
        <v>7.1096600729786824E-2</v>
      </c>
      <c r="CR314" s="50">
        <f t="shared" si="440"/>
        <v>0.24697522565776839</v>
      </c>
      <c r="CS314" s="14">
        <f t="shared" si="441"/>
        <v>19359</v>
      </c>
      <c r="CT314" s="14">
        <f t="shared" si="442"/>
        <v>3233</v>
      </c>
      <c r="CU314" s="14">
        <f>INT(SUMPRODUCT($AB314:$AF314,$BA314:$BE314)/SUM($BA314:$BE314)/10000*$BX$7*$BZ$34/'疲劳值&amp;地图信息'!$R$10*$BY$55)</f>
        <v>8738</v>
      </c>
      <c r="CV314" s="50">
        <f t="shared" si="443"/>
        <v>0.61790616022981171</v>
      </c>
      <c r="CW314" s="50">
        <f t="shared" si="444"/>
        <v>0.10319182891796999</v>
      </c>
      <c r="CX314" s="50">
        <f t="shared" si="445"/>
        <v>0.27890201085221833</v>
      </c>
      <c r="CY314" s="14">
        <f t="shared" si="446"/>
        <v>23311</v>
      </c>
      <c r="CZ314" s="14">
        <f t="shared" si="447"/>
        <v>8880</v>
      </c>
      <c r="DA314" s="14">
        <f>INT(SUMPRODUCT($AI314:$AM314,$BA314:$BE314)/SUM($BA314:$BE314)/10000*$BX$7*$BZ$34/'疲劳值&amp;地图信息'!$R$10*$BY$56)</f>
        <v>13181</v>
      </c>
      <c r="DB314" s="50">
        <f t="shared" si="448"/>
        <v>0.51377501542801729</v>
      </c>
      <c r="DC314" s="50">
        <f t="shared" si="449"/>
        <v>0.1957154192012695</v>
      </c>
      <c r="DD314" s="50">
        <f t="shared" si="450"/>
        <v>0.29050956537071321</v>
      </c>
      <c r="DE314" s="14">
        <f t="shared" si="451"/>
        <v>24241</v>
      </c>
      <c r="DF314" s="14">
        <f t="shared" si="452"/>
        <v>16070</v>
      </c>
      <c r="DG314" s="14">
        <f>INT(SUMPRODUCT($AP314:$AT314,$BA314:$BE314)/SUM($BA314:$BE314)/10000*$BX$7*$BZ$34/'疲劳值&amp;地图信息'!$R$10*$BY$57)</f>
        <v>17594</v>
      </c>
      <c r="DH314" s="50">
        <f t="shared" si="453"/>
        <v>0.41863396943269149</v>
      </c>
      <c r="DI314" s="50">
        <f t="shared" si="454"/>
        <v>0.27752352991969603</v>
      </c>
      <c r="DJ314" s="50">
        <f t="shared" si="455"/>
        <v>0.30384250064761248</v>
      </c>
      <c r="DL314" s="14">
        <f t="shared" si="526"/>
        <v>20638</v>
      </c>
      <c r="DM314" s="14">
        <f t="shared" si="527"/>
        <v>26035</v>
      </c>
      <c r="DN314" s="14">
        <f t="shared" si="528"/>
        <v>31330</v>
      </c>
      <c r="DO314" s="14">
        <f t="shared" si="529"/>
        <v>45372</v>
      </c>
      <c r="DP314" s="14">
        <f t="shared" si="530"/>
        <v>57905</v>
      </c>
      <c r="DQ314" s="14">
        <f t="shared" si="531"/>
        <v>1430820</v>
      </c>
      <c r="DT314" s="14">
        <f t="shared" si="525"/>
        <v>235575</v>
      </c>
      <c r="DU314" s="50">
        <f t="shared" si="427"/>
        <v>0.14136804299100753</v>
      </c>
      <c r="DW314" s="14">
        <f t="shared" si="456"/>
        <v>1666395</v>
      </c>
      <c r="EB314" s="14">
        <v>309</v>
      </c>
      <c r="EC314" s="51">
        <f t="shared" si="457"/>
        <v>26987</v>
      </c>
      <c r="ED314" s="51">
        <f t="shared" si="458"/>
        <v>1801</v>
      </c>
      <c r="EE314" s="51">
        <f>INT(SUMPRODUCT($N314:$R314,$BF314:$BJ314)/SUM($BF314:$BJ314)/10000*$BX$7*$BZ$46/'疲劳值&amp;地图信息'!$R$10*$BY$53)</f>
        <v>452</v>
      </c>
      <c r="EF314" s="50">
        <f t="shared" si="459"/>
        <v>0.92294801641586866</v>
      </c>
      <c r="EG314" s="50">
        <f t="shared" si="460"/>
        <v>6.1593707250341995E-2</v>
      </c>
      <c r="EH314" s="50">
        <f t="shared" si="461"/>
        <v>1.5458276333789329E-2</v>
      </c>
      <c r="EI314" s="51">
        <f t="shared" si="462"/>
        <v>29590</v>
      </c>
      <c r="EJ314" s="51">
        <f t="shared" si="463"/>
        <v>3085</v>
      </c>
      <c r="EK314" s="14">
        <f>INT(SUMPRODUCT($U314:$Y314,$BF314:$BJ314)/SUM($BF314:$BJ314)/10000*$BX$7*$BZ$46/'疲劳值&amp;地图信息'!$R$10*$BY$54)</f>
        <v>863</v>
      </c>
      <c r="EL314" s="50">
        <f t="shared" si="464"/>
        <v>0.8822827837080327</v>
      </c>
      <c r="EM314" s="50">
        <f t="shared" si="465"/>
        <v>9.1985210805653292E-2</v>
      </c>
      <c r="EN314" s="50">
        <f t="shared" si="466"/>
        <v>2.5732005486314033E-2</v>
      </c>
      <c r="EO314" s="51">
        <f t="shared" si="467"/>
        <v>32265</v>
      </c>
      <c r="EP314" s="51">
        <f t="shared" si="468"/>
        <v>5389</v>
      </c>
      <c r="EQ314" s="14">
        <f>INT(SUMPRODUCT($AB314:$AF314,$BF314:$BJ314)/SUM($BF314:$BJ314)/10000*$BX$7*$BZ$46/'疲劳值&amp;地图信息'!$R$10*$BY$55)</f>
        <v>1171</v>
      </c>
      <c r="ER314" s="50">
        <f t="shared" si="469"/>
        <v>0.83103670315518352</v>
      </c>
      <c r="ES314" s="50">
        <f t="shared" si="470"/>
        <v>0.13880231809401158</v>
      </c>
      <c r="ET314" s="50">
        <f t="shared" si="471"/>
        <v>3.0160978750804895E-2</v>
      </c>
      <c r="EU314" s="51">
        <f t="shared" si="472"/>
        <v>38852</v>
      </c>
      <c r="EV314" s="51">
        <f t="shared" si="473"/>
        <v>14800</v>
      </c>
      <c r="EW314" s="14">
        <f>INT(SUMPRODUCT($AI314:$AM314,$BF314:$BJ314)/SUM($BF314:$BJ314)/10000*$BX$7*$BZ$46/'疲劳值&amp;地图信息'!$R$10*$BY$56)</f>
        <v>1757</v>
      </c>
      <c r="EX314" s="50">
        <f t="shared" si="474"/>
        <v>0.70118572795033296</v>
      </c>
      <c r="EY314" s="50">
        <f t="shared" si="475"/>
        <v>0.26710462199281704</v>
      </c>
      <c r="EZ314" s="50">
        <f t="shared" si="476"/>
        <v>3.1709650056849968E-2</v>
      </c>
      <c r="FA314" s="51">
        <f t="shared" si="477"/>
        <v>40402</v>
      </c>
      <c r="FB314" s="51">
        <f t="shared" si="478"/>
        <v>26784</v>
      </c>
      <c r="FC314" s="14">
        <f>INT(SUMPRODUCT($AP314:$AT314,$BF314:$BJ314)/SUM($BF314:$BJ314)/10000*$BX$7*$BZ$46/'疲劳值&amp;地图信息'!$R$10*$BY$57)</f>
        <v>2343</v>
      </c>
      <c r="FD314" s="50">
        <f t="shared" si="479"/>
        <v>0.58108127543902544</v>
      </c>
      <c r="FE314" s="50">
        <f t="shared" si="480"/>
        <v>0.38522055545168205</v>
      </c>
      <c r="FF314" s="50">
        <f t="shared" si="481"/>
        <v>3.3698169109292526E-2</v>
      </c>
      <c r="FH314" s="14">
        <f t="shared" si="482"/>
        <v>29240</v>
      </c>
      <c r="FI314" s="14">
        <f t="shared" si="483"/>
        <v>33538</v>
      </c>
      <c r="FJ314" s="14">
        <f t="shared" si="484"/>
        <v>38825</v>
      </c>
      <c r="FK314" s="14">
        <f t="shared" si="485"/>
        <v>55409</v>
      </c>
      <c r="FL314" s="14">
        <f t="shared" si="486"/>
        <v>69529</v>
      </c>
      <c r="FM314" s="14">
        <f t="shared" si="487"/>
        <v>3451011</v>
      </c>
      <c r="FP314" s="14">
        <f t="shared" si="488"/>
        <v>334150</v>
      </c>
      <c r="FQ314" s="50">
        <f t="shared" si="428"/>
        <v>8.8278939786180829E-2</v>
      </c>
      <c r="FS314" s="14">
        <f t="shared" si="489"/>
        <v>3785161</v>
      </c>
      <c r="FX314" s="14">
        <v>309</v>
      </c>
      <c r="FY314" s="51">
        <f t="shared" si="490"/>
        <v>37782</v>
      </c>
      <c r="FZ314" s="51">
        <f t="shared" si="491"/>
        <v>1801</v>
      </c>
      <c r="GA314" s="51">
        <f>INT(SUMPRODUCT($N314:$R314,$BF314:$BJ314)/SUM($BF314:$BJ314)/10000*$BX$7*$BZ$46/'疲劳值&amp;地图信息'!$R$10*$BY$53)</f>
        <v>452</v>
      </c>
      <c r="GB314" s="50">
        <f t="shared" si="492"/>
        <v>0.94372424128887222</v>
      </c>
      <c r="GC314" s="50">
        <f t="shared" si="493"/>
        <v>4.4985637567128763E-2</v>
      </c>
      <c r="GD314" s="50">
        <f t="shared" si="494"/>
        <v>1.1290121143999E-2</v>
      </c>
      <c r="GE314" s="51">
        <f t="shared" si="495"/>
        <v>41427</v>
      </c>
      <c r="GF314" s="51">
        <f t="shared" si="496"/>
        <v>3085</v>
      </c>
      <c r="GG314" s="14">
        <f>INT(SUMPRODUCT($U314:$Y314,$BF314:$BJ314)/SUM($BF314:$BJ314)/10000*$BX$7*$BZ$46/'疲劳值&amp;地图信息'!$R$10*$BY$54)</f>
        <v>863</v>
      </c>
      <c r="GH314" s="50">
        <f t="shared" si="497"/>
        <v>0.91299173553719004</v>
      </c>
      <c r="GI314" s="50">
        <f t="shared" si="498"/>
        <v>6.798898071625345E-2</v>
      </c>
      <c r="GJ314" s="50">
        <f t="shared" si="499"/>
        <v>1.9019283746556474E-2</v>
      </c>
      <c r="GK314" s="51">
        <f t="shared" si="500"/>
        <v>45172</v>
      </c>
      <c r="GL314" s="51">
        <f t="shared" si="501"/>
        <v>5389</v>
      </c>
      <c r="GM314" s="14">
        <f>INT(SUMPRODUCT($AB314:$AF314,$BF314:$BJ314)/SUM($BF314:$BJ314)/10000*$BX$7*$BZ$46/'疲劳值&amp;地图信息'!$R$10*$BY$55)</f>
        <v>1171</v>
      </c>
      <c r="GN314" s="50">
        <f t="shared" si="502"/>
        <v>0.87319260805690868</v>
      </c>
      <c r="GO314" s="50">
        <f t="shared" si="503"/>
        <v>0.10417149926544499</v>
      </c>
      <c r="GP314" s="50">
        <f t="shared" si="504"/>
        <v>2.2635892677646333E-2</v>
      </c>
      <c r="GQ314" s="51">
        <f t="shared" si="505"/>
        <v>54392</v>
      </c>
      <c r="GR314" s="51">
        <f t="shared" si="506"/>
        <v>14800</v>
      </c>
      <c r="GS314" s="14">
        <f>INT(SUMPRODUCT($AI314:$AM314,$BF314:$BJ314)/SUM($BF314:$BJ314)/10000*$BX$7*$BZ$46/'疲劳值&amp;地图信息'!$R$10*$BY$56)</f>
        <v>1757</v>
      </c>
      <c r="GT314" s="50">
        <f t="shared" si="507"/>
        <v>0.76663518865664071</v>
      </c>
      <c r="GU314" s="50">
        <f t="shared" si="508"/>
        <v>0.20860054405277029</v>
      </c>
      <c r="GV314" s="50">
        <f t="shared" si="509"/>
        <v>2.4764267290589014E-2</v>
      </c>
      <c r="GW314" s="51">
        <f t="shared" si="510"/>
        <v>56563</v>
      </c>
      <c r="GX314" s="51">
        <f t="shared" si="511"/>
        <v>26784</v>
      </c>
      <c r="GY314" s="14">
        <f>INT(SUMPRODUCT($AP314:$AT314,$BF314:$BJ314)/SUM($BF314:$BJ314)/10000*$BX$7*$BZ$46/'疲劳值&amp;地图信息'!$R$10*$BY$57)</f>
        <v>2343</v>
      </c>
      <c r="GZ314" s="50">
        <f t="shared" si="512"/>
        <v>0.66008869179600882</v>
      </c>
      <c r="HA314" s="50">
        <f t="shared" si="513"/>
        <v>0.31256856109230946</v>
      </c>
      <c r="HB314" s="50">
        <f t="shared" si="514"/>
        <v>2.7342747111681644E-2</v>
      </c>
      <c r="HD314" s="14">
        <f t="shared" si="515"/>
        <v>40035</v>
      </c>
      <c r="HE314" s="14">
        <f t="shared" si="516"/>
        <v>45375</v>
      </c>
      <c r="HF314" s="14">
        <f t="shared" si="517"/>
        <v>51732</v>
      </c>
      <c r="HG314" s="14">
        <f t="shared" si="518"/>
        <v>70949</v>
      </c>
      <c r="HH314" s="14">
        <f t="shared" si="519"/>
        <v>85690</v>
      </c>
      <c r="HI314" s="14">
        <f t="shared" si="520"/>
        <v>4664333</v>
      </c>
      <c r="HL314" s="14">
        <f t="shared" si="521"/>
        <v>430050</v>
      </c>
      <c r="HM314" s="50">
        <f t="shared" si="429"/>
        <v>8.4416503431328185E-2</v>
      </c>
      <c r="HO314" s="14">
        <f t="shared" si="522"/>
        <v>5094383</v>
      </c>
    </row>
    <row r="315" spans="11:223" x14ac:dyDescent="0.2">
      <c r="K315" s="14">
        <v>310</v>
      </c>
      <c r="L315" s="12">
        <f>求节点(节奏总纲!D$4:D$163,标准城池设计!AB$4:AB$163,$K315)*求节点(节奏总纲!D$4:D$163,攻城基础信息!$AC$5:$AC$164,$K315)</f>
        <v>795632.4817600284</v>
      </c>
      <c r="M315" s="12">
        <f>INDEX(其他调用!$AA$5:$AA$404,MATCH(K315,其他调用!$X$5:$X$404,0))*MIN(INDEX(其他调用!$AH$5:$AH$364,MATCH('征服点（新）'!K315,其他调用!$AG$5:$AG$364,0),1)/INDEX(其他调用!$AJ$5:$AJ$364,MATCH(K315,其他调用!$AG$5:$AG$364,0),0),5)*求节点(节奏总纲!D$4:D$163,攻城基础信息!$AC$5:$AC$164,$K315)</f>
        <v>53001.897090987906</v>
      </c>
      <c r="N315" s="12">
        <f>MIN(INDEX(其他调用!$AH$5:$AH$364,MATCH($K315,其他调用!$AG$5:$AG$364,0),1)/INDEX(其他调用!AH$5:AH$364,MATCH($K315,其他调用!$AG$5:$AG$364,0),0),1)*INDEX(其他调用!Y$5:Y$404,MATCH($K315,其他调用!$X$5:$X$404,0),0)</f>
        <v>42663.918693110361</v>
      </c>
      <c r="O315" s="12">
        <f>MIN(INDEX(其他调用!$AH$5:$AH$364,MATCH($K315,其他调用!$AG$5:$AG$364,0),1)/INDEX(其他调用!AI$5:AI$364,MATCH($K315,其他调用!$AG$5:$AG$364,0),0),1)*INDEX(其他调用!Z$5:Z$404,MATCH($K315,其他调用!$X$5:$X$404,0),0)</f>
        <v>25576.112644074663</v>
      </c>
      <c r="P315" s="12">
        <f>MIN(INDEX(其他调用!$AH$5:$AH$364,MATCH($K315,其他调用!$AG$5:$AG$364,0),1)/INDEX(其他调用!AJ$5:AJ$364,MATCH($K315,其他调用!$AG$5:$AG$364,0),0),1)*INDEX(其他调用!AA$5:AA$404,MATCH($K315,其他调用!$X$5:$X$404,0),0)</f>
        <v>15143.399168853697</v>
      </c>
      <c r="Q315" s="12">
        <f>MIN(INDEX(其他调用!$AH$5:$AH$364,MATCH($K315,其他调用!$AG$5:$AG$364,0),1)/INDEX(其他调用!AK$5:AK$364,MATCH($K315,其他调用!$AG$5:$AG$364,0),0),1)*INDEX(其他调用!AB$5:AB$404,MATCH($K315,其他调用!$X$5:$X$404,0),0)</f>
        <v>5796.5509447111845</v>
      </c>
      <c r="R315" s="12">
        <f>MIN(INDEX(其他调用!$AH$5:$AH$364,MATCH($K315,其他调用!$AG$5:$AG$364,0),1)/INDEX(其他调用!AL$5:AL$364,MATCH($K315,其他调用!$AG$5:$AG$364,0),0),1)*INDEX(其他调用!AC$5:AC$404,MATCH($K315,其他调用!$X$5:$X$404,0),0)</f>
        <v>3470.43699576979</v>
      </c>
      <c r="S315" s="12">
        <f>求节点(节奏总纲!D$4:D$163,标准城池设计!AC$4:AC$163,$K315)*求节点(节奏总纲!D$4:D$163,攻城基础信息!$AD$5:$AD$164,$K315)</f>
        <v>872419.30552959291</v>
      </c>
      <c r="T315" s="12">
        <f>INDEX(其他调用!$AA$5:$AA$404,MATCH($K315,其他调用!$X$5:$X$404,0))*MIN(INDEX(其他调用!AI$5:AI$364,MATCH($K315,其他调用!$AG$5:$AG$364,0),1)/INDEX(其他调用!$AJ$5:$AJ$364,MATCH($K315,其他调用!$AG$5:$AG$364,0),0),5)*求节点(节奏总纲!D$4:D$163,攻城基础信息!$AD$5:$AD$164,$K315)</f>
        <v>90819.811337436811</v>
      </c>
      <c r="U315" s="12">
        <f>MIN(INDEX(其他调用!$AI$5:$AI$364,MATCH($K315,其他调用!$AG$5:$AG$364,0),1)/INDEX(其他调用!AH$5:AH$364,MATCH($K315,其他调用!$AG$5:$AG$364,0),0),1)*INDEX(其他调用!Y$5:Y$404,MATCH($K315,其他调用!$X$5:$X$404,0),0)</f>
        <v>42663.918693110361</v>
      </c>
      <c r="V315" s="12">
        <f>MIN(INDEX(其他调用!$AI$5:$AI$364,MATCH($K315,其他调用!$AG$5:$AG$364,0),1)/INDEX(其他调用!AI$5:AI$364,MATCH($K315,其他调用!$AG$5:$AG$364,0),0),1)*INDEX(其他调用!Z$5:Z$404,MATCH($K315,其他调用!$X$5:$X$404,0),0)</f>
        <v>43825.18084385417</v>
      </c>
      <c r="W315" s="12">
        <f>MIN(INDEX(其他调用!$AI$5:$AI$364,MATCH($K315,其他调用!$AG$5:$AG$364,0),1)/INDEX(其他调用!AJ$5:AJ$364,MATCH($K315,其他调用!$AG$5:$AG$364,0),0),1)*INDEX(其他调用!AA$5:AA$404,MATCH($K315,其他调用!$X$5:$X$404,0),0)</f>
        <v>25948.517524981962</v>
      </c>
      <c r="X315" s="12">
        <f>MIN(INDEX(其他调用!$AI$5:$AI$364,MATCH($K315,其他调用!$AG$5:$AG$364,0),1)/INDEX(其他调用!AK$5:AK$364,MATCH($K315,其他调用!$AG$5:$AG$364,0),0),1)*INDEX(其他调用!AB$5:AB$404,MATCH($K315,其他调用!$X$5:$X$404,0),0)</f>
        <v>9932.5060441284386</v>
      </c>
      <c r="Y315" s="12">
        <f>MIN(INDEX(其他调用!$AI$5:$AI$364,MATCH($K315,其他调用!$AG$5:$AG$364,0),1)/INDEX(其他调用!AL$5:AL$364,MATCH($K315,其他调用!$AG$5:$AG$364,0),0),1)*INDEX(其他调用!AC$5:AC$404,MATCH($K315,其他调用!$X$5:$X$404,0),0)</f>
        <v>5946.6632425099597</v>
      </c>
      <c r="Z315" s="12">
        <f>求节点(节奏总纲!D$4:D$163,标准城池设计!AD$4:AD$163,$K315)*求节点(节奏总纲!D$4:D$163,攻城基础信息!$AE$5:$AE$164,$K315)</f>
        <v>951233.83613385772</v>
      </c>
      <c r="AA315" s="12">
        <f>INDEX(其他调用!$AA$5:$AA$404,MATCH($K315,其他调用!$X$5:$X$404,0))*MIN(INDEX(其他调用!AJ$5:AJ$364,MATCH($K315,其他调用!$AG$5:$AG$364,0),1)/INDEX(其他调用!$AJ$5:$AJ$364,MATCH($K315,其他调用!$AG$5:$AG$364,0),0),5)*求节点(节奏总纲!D$4:D$163,攻城基础信息!$AE$5:$AE$164,$K315)</f>
        <v>158715.90641038315</v>
      </c>
      <c r="AB315" s="12">
        <f>MIN(INDEX(其他调用!$AJ$5:$AJ$364,MATCH($K315,其他调用!$AG$5:$AG$364,0),1)/INDEX(其他调用!AH$5:AH$364,MATCH($K315,其他调用!$AG$5:$AG$364,0),0),1)*INDEX(其他调用!Y$5:Y$404,MATCH($K315,其他调用!$X$5:$X$404,0),0)</f>
        <v>42663.918693110361</v>
      </c>
      <c r="AC315" s="12">
        <f>MIN(INDEX(其他调用!$AJ$5:$AJ$364,MATCH($K315,其他调用!$AG$5:$AG$364,0),1)/INDEX(其他调用!AI$5:AI$364,MATCH($K315,其他调用!$AG$5:$AG$364,0),0),1)*INDEX(其他调用!Z$5:Z$404,MATCH($K315,其他调用!$X$5:$X$404,0),0)</f>
        <v>43825.18084385417</v>
      </c>
      <c r="AD315" s="12">
        <f>MIN(INDEX(其他调用!$AJ$5:$AJ$364,MATCH($K315,其他调用!$AG$5:$AG$364,0),1)/INDEX(其他调用!AJ$5:AJ$364,MATCH($K315,其他调用!$AG$5:$AG$364,0),0),1)*INDEX(其他调用!AA$5:AA$404,MATCH($K315,其他调用!$X$5:$X$404,0),0)</f>
        <v>45347.401831538074</v>
      </c>
      <c r="AE315" s="12">
        <f>MIN(INDEX(其他调用!$AJ$5:$AJ$364,MATCH($K315,其他调用!$AG$5:$AG$364,0),1)/INDEX(其他调用!AK$5:AK$364,MATCH($K315,其他调用!$AG$5:$AG$364,0),0),1)*INDEX(其他调用!AB$5:AB$404,MATCH($K315,其他调用!$X$5:$X$404,0),0)</f>
        <v>17357.960521006149</v>
      </c>
      <c r="AF315" s="12">
        <f>MIN(INDEX(其他调用!$AJ$5:$AJ$364,MATCH($K315,其他调用!$AG$5:$AG$364,0),1)/INDEX(其他调用!AL$5:AL$364,MATCH($K315,其他调用!$AG$5:$AG$364,0),0),1)*INDEX(其他调用!AC$5:AC$404,MATCH($K315,其他调用!$X$5:$X$404,0),0)</f>
        <v>10392.336570107149</v>
      </c>
      <c r="AG315" s="12">
        <f>求节点(节奏总纲!D$4:D$163,标准城池设计!AE$4:AE$163,$K315)*求节点(节奏总纲!D$4:D$163,攻城基础信息!$AF$5:$AF$164,$K315)</f>
        <v>1145116.5540245024</v>
      </c>
      <c r="AH315" s="12">
        <f>INDEX(其他调用!$AA$5:$AA$404,MATCH($K315,其他调用!$X$5:$X$404,0))*MIN(INDEX(其他调用!AK$5:AK$364,MATCH($K315,其他调用!$AG$5:$AG$364,0),1)/INDEX(其他调用!$AJ$5:$AJ$364,MATCH($K315,其他调用!$AG$5:$AG$364,0),0),5)*求节点(节奏总纲!D$4:D$163,攻城基础信息!$AF$5:$AF$164,$K315)</f>
        <v>435317.23230906815</v>
      </c>
      <c r="AI315" s="12">
        <f>MIN(INDEX(其他调用!$AK$5:$AK$364,MATCH($K315,其他调用!$AG$5:$AG$364,0),1)/INDEX(其他调用!AH$5:AH$364,MATCH($K315,其他调用!$AG$5:$AG$364,0),0),1)*INDEX(其他调用!Y$5:Y$404,MATCH($K315,其他调用!$X$5:$X$404,0),0)</f>
        <v>42663.918693110361</v>
      </c>
      <c r="AJ315" s="12">
        <f>MIN(INDEX(其他调用!$AK$5:$AK$364,MATCH($K315,其他调用!$AG$5:$AG$364,0),1)/INDEX(其他调用!AI$5:AI$364,MATCH($K315,其他调用!$AG$5:$AG$364,0),0),1)*INDEX(其他调用!Z$5:Z$404,MATCH($K315,其他调用!$X$5:$X$404,0),0)</f>
        <v>43825.18084385417</v>
      </c>
      <c r="AK315" s="12">
        <f>MIN(INDEX(其他调用!$AK$5:$AK$364,MATCH($K315,其他调用!$AG$5:$AG$364,0),1)/INDEX(其他调用!AJ$5:AJ$364,MATCH($K315,其他调用!$AG$5:$AG$364,0),0),1)*INDEX(其他调用!AA$5:AA$404,MATCH($K315,其他调用!$X$5:$X$404,0),0)</f>
        <v>45347.401831538074</v>
      </c>
      <c r="AL315" s="12">
        <f>MIN(INDEX(其他调用!$AK$5:$AK$364,MATCH($K315,其他调用!$AG$5:$AG$364,0),1)/INDEX(其他调用!AK$5:AK$364,MATCH($K315,其他调用!$AG$5:$AG$364,0),0),1)*INDEX(其他调用!AB$5:AB$404,MATCH($K315,其他调用!$X$5:$X$404,0),0)</f>
        <v>47608.456539930899</v>
      </c>
      <c r="AM315" s="12">
        <f>MIN(INDEX(其他调用!$AK$5:$AK$364,MATCH($K315,其他调用!$AG$5:$AG$364,0),1)/INDEX(其他调用!AL$5:AL$364,MATCH($K315,其他调用!$AG$5:$AG$364,0),0),1)*INDEX(其他调用!AC$5:AC$404,MATCH($K315,其他调用!$X$5:$X$404,0),0)</f>
        <v>28503.527436159995</v>
      </c>
      <c r="AN315" s="12">
        <f>求节点(节奏总纲!D$4:D$163,标准城池设计!AF$4:AF$163,$K315)*求节点(节奏总纲!D$4:D$163,攻城基础信息!$AG$5:$AG$164,$K315)</f>
        <v>1190396.4642891104</v>
      </c>
      <c r="AO315" s="12">
        <f>INDEX(其他调用!$AA$5:$AA$404,MATCH($K315,其他调用!$X$5:$X$404,0))*MIN(INDEX(其他调用!AL$5:AL$364,MATCH($K315,其他调用!$AG$5:$AG$364,0),1)/INDEX(其他调用!$AJ$5:$AJ$364,MATCH($K315,其他调用!$AG$5:$AG$364,0),0),5)*求节点(节奏总纲!D$4:D$163,攻城基础信息!$AG$5:$AG$164,$K315)</f>
        <v>786499.25731880264</v>
      </c>
      <c r="AP315" s="12">
        <f>MIN(INDEX(其他调用!$AL$5:$AL$364,MATCH($K315,其他调用!$AG$5:$AG$364,0),1)/INDEX(其他调用!AH$5:AH$364,MATCH($K315,其他调用!$AG$5:$AG$364,0),0),1)*INDEX(其他调用!Y$5:Y$404,MATCH($K315,其他调用!$X$5:$X$404,0),0)</f>
        <v>42663.918693110361</v>
      </c>
      <c r="AQ315" s="12">
        <f>MIN(INDEX(其他调用!$AL$5:$AL$364,MATCH($K315,其他调用!$AG$5:$AG$364,0),1)/INDEX(其他调用!AI$5:AI$364,MATCH($K315,其他调用!$AG$5:$AG$364,0),0),1)*INDEX(其他调用!Z$5:Z$404,MATCH($K315,其他调用!$X$5:$X$404,0),0)</f>
        <v>43825.18084385417</v>
      </c>
      <c r="AR315" s="12">
        <f>MIN(INDEX(其他调用!$AL$5:$AL$364,MATCH($K315,其他调用!$AG$5:$AG$364,0),1)/INDEX(其他调用!AJ$5:AJ$364,MATCH($K315,其他调用!$AG$5:$AG$364,0),0),1)*INDEX(其他调用!AA$5:AA$404,MATCH($K315,其他调用!$X$5:$X$404,0),0)</f>
        <v>45347.401831538074</v>
      </c>
      <c r="AS315" s="12">
        <f>MIN(INDEX(其他调用!$AL$5:$AL$364,MATCH($K315,其他调用!$AG$5:$AG$364,0),1)/INDEX(其他调用!AK$5:AK$364,MATCH($K315,其他调用!$AG$5:$AG$364,0),0),1)*INDEX(其他调用!AB$5:AB$404,MATCH($K315,其他调用!$X$5:$X$404,0),0)</f>
        <v>47608.456539930899</v>
      </c>
      <c r="AT315" s="12">
        <f>MIN(INDEX(其他调用!$AL$5:$AL$364,MATCH($K315,其他调用!$AG$5:$AG$364,0),1)/INDEX(其他调用!AL$5:AL$364,MATCH($K315,其他调用!$AG$5:$AG$364,0),0),1)*INDEX(其他调用!AC$5:AC$404,MATCH($K315,其他调用!$X$5:$X$404,0),0)</f>
        <v>51498.083456502209</v>
      </c>
      <c r="AV315" s="14">
        <f>IF(OR(AV$5="大R",AV$5="超R"),MAX(INDEX(其他调用!$H$5:$L$404,MATCH($K315,其他调用!$B$5:$B$404,0),MATCH(AV$5,其他调用!$H$4:$L$4,0))*120*0.85,2),INDEX(其他调用!$H$5:$L$404,MATCH($K315,其他调用!$B$5:$B$404,0),MATCH(AV$5,其他调用!$H$4:$L$4,0))*120*0.85)</f>
        <v>48.921801254999991</v>
      </c>
      <c r="AW315" s="14">
        <f>IF(OR(AW$5="大R",AW$5="超R"),MAX(INDEX(其他调用!$H$5:$L$404,MATCH($K315,其他调用!$B$5:$B$404,0),MATCH(AW$5,其他调用!$H$4:$L$4,0))*120*0.85,2),INDEX(其他调用!$H$5:$L$404,MATCH($K315,其他调用!$B$5:$B$404,0),MATCH(AW$5,其他调用!$H$4:$L$4,0))*120*0.85)</f>
        <v>48.237344010638395</v>
      </c>
      <c r="AX315" s="14">
        <f>IF(OR(AX$5="大R",AX$5="超R"),MAX(INDEX(其他调用!$H$5:$L$404,MATCH($K315,其他调用!$B$5:$B$404,0),MATCH(AX$5,其他调用!$H$4:$L$4,0))*120*0.85,2),INDEX(其他调用!$H$5:$L$404,MATCH($K315,其他调用!$B$5:$B$404,0),MATCH(AX$5,其他调用!$H$4:$L$4,0))*120*0.85)</f>
        <v>3.9376284143615998</v>
      </c>
      <c r="AY315" s="14">
        <f>IF(OR(AY$5="大R",AY$5="超R"),MAX(INDEX(其他调用!$H$5:$L$404,MATCH($K315,其他调用!$B$5:$B$404,0),MATCH(AY$5,其他调用!$H$4:$L$4,0))*120*0.85,2),INDEX(其他调用!$H$5:$L$404,MATCH($K315,其他调用!$B$5:$B$404,0),MATCH(AY$5,其他调用!$H$4:$L$4,0))*120*0.85)</f>
        <v>2</v>
      </c>
      <c r="AZ315" s="14">
        <f>IF(OR(AZ$5="大R",AZ$5="超R"),MAX(INDEX(其他调用!$H$5:$L$404,MATCH($K315,其他调用!$B$5:$B$404,0),MATCH(AZ$5,其他调用!$H$4:$L$4,0))*120*0.85,2),INDEX(其他调用!$H$5:$L$404,MATCH($K315,其他调用!$B$5:$B$404,0),MATCH(AZ$5,其他调用!$H$4:$L$4,0))*120*0.85)</f>
        <v>2</v>
      </c>
      <c r="BA315" s="14">
        <f>INDEX(其他调用!$H$5:$L$404,MATCH($K315,其他调用!$B$5:$B$404,0),MATCH(BA$5,其他调用!$H$4:$L$4,0))*INDEX(其他调用!$M$5:$M$404,MATCH($K315,其他调用!$B$5:$B$404,0))*0.6</f>
        <v>28.777530149999997</v>
      </c>
      <c r="BB315" s="14">
        <f>INDEX(其他调用!$H$5:$L$404,MATCH($K315,其他调用!$B$5:$B$404,0),MATCH(BB$5,其他调用!$H$4:$L$4,0))*INDEX(其他调用!$M$5:$M$404,MATCH($K315,其他调用!$B$5:$B$404,0))*0.6</f>
        <v>28.374908241551999</v>
      </c>
      <c r="BC315" s="14">
        <f>INDEX(其他调用!$H$5:$L$404,MATCH($K315,其他调用!$B$5:$B$404,0),MATCH(BC$5,其他调用!$H$4:$L$4,0))*INDEX(其他调用!$M$5:$M$404,MATCH($K315,其他调用!$B$5:$B$404,0))*0.6</f>
        <v>2.3162520084480001</v>
      </c>
      <c r="BD315" s="14">
        <f>INDEX(其他调用!$H$5:$L$404,MATCH($K315,其他调用!$B$5:$B$404,0),MATCH(BD$5,其他调用!$H$4:$L$4,0))*INDEX(其他调用!$M$5:$M$404,MATCH($K315,其他调用!$B$5:$B$404,0))*0.6</f>
        <v>0.4120776000000001</v>
      </c>
      <c r="BE315" s="14">
        <f>INDEX(其他调用!$H$5:$L$404,MATCH($K315,其他调用!$B$5:$B$404,0),MATCH(BE$5,其他调用!$H$4:$L$4,0))*INDEX(其他调用!$M$5:$M$404,MATCH($K315,其他调用!$B$5:$B$404,0))*0.6</f>
        <v>0.11923199999999998</v>
      </c>
      <c r="BF315" s="14">
        <f>IF(OR(BF$5="大R",BF$5="超R"),0,INDEX(其他调用!$H$5:$L$404,MATCH($K315,其他调用!$B$5:$B$404,0),MATCH(BF$5,其他调用!$H$4:$L$4,0))*50*0.4)</f>
        <v>9.5925100500000013</v>
      </c>
      <c r="BG315" s="14">
        <f>IF(OR(BG$5="大R",BG$5="超R"),0,INDEX(其他调用!$H$5:$L$404,MATCH($K315,其他调用!$B$5:$B$404,0),MATCH(BG$5,其他调用!$H$4:$L$4,0))*50*0.4)</f>
        <v>9.4583027471839998</v>
      </c>
      <c r="BH315" s="14">
        <f>IF(OR(BH$5="大R",BH$5="超R"),0,INDEX(其他调用!$H$5:$L$404,MATCH($K315,其他调用!$B$5:$B$404,0),MATCH(BH$5,其他调用!$H$4:$L$4,0))*50*0.4)</f>
        <v>0.77208400281600009</v>
      </c>
      <c r="BI315" s="14">
        <f>IF(OR(BI$5="大R",BI$5="超R"),0,INDEX(其他调用!$H$5:$L$404,MATCH($K315,其他调用!$B$5:$B$404,0),MATCH(BI$5,其他调用!$H$4:$L$4,0))*50*0.4)</f>
        <v>0</v>
      </c>
      <c r="BJ315" s="14">
        <f>IF(OR(BJ$5="大R",BJ$5="超R"),0,INDEX(其他调用!$H$5:$L$404,MATCH($K315,其他调用!$B$5:$B$404,0),MATCH(BJ$5,其他调用!$H$4:$L$4,0))*50*0.4)</f>
        <v>0</v>
      </c>
      <c r="BL315" s="14">
        <f t="shared" si="523"/>
        <v>310</v>
      </c>
      <c r="BM315" s="14">
        <f t="shared" si="430"/>
        <v>96</v>
      </c>
      <c r="BN315" s="14">
        <f>('疲劳值&amp;地图信息'!$S$10*'疲劳值&amp;地图信息'!$R$10+'疲劳值&amp;地图信息'!$S$11*'疲劳值&amp;地图信息'!$R$11+'疲劳值&amp;地图信息'!$S$12*'疲劳值&amp;地图信息'!$R$12+(BM315-'疲劳值&amp;地图信息'!$S$12-'疲劳值&amp;地图信息'!$S$11-'疲劳值&amp;地图信息'!$S$10)*'疲劳值&amp;地图信息'!$R$13)/BM315</f>
        <v>51.371477246638619</v>
      </c>
      <c r="BO315" s="14">
        <f>INDEX(其他调用!$M$5:$M$404,MATCH(BL315,其他调用!$B$5:$B$404,0))*0.6</f>
        <v>60</v>
      </c>
      <c r="BP315" s="14">
        <f>IF(BO315&gt;SUM('疲劳值&amp;地图信息'!$S$10:$S$12),('疲劳值&amp;地图信息'!$S$10*'疲劳值&amp;地图信息'!$R$10+'疲劳值&amp;地图信息'!$S$11*'疲劳值&amp;地图信息'!$R$11+'疲劳值&amp;地图信息'!$S$12*'疲劳值&amp;地图信息'!$R$12+(BO315-'疲劳值&amp;地图信息'!$S$12-'疲劳值&amp;地图信息'!$S$11-'疲劳值&amp;地图信息'!$S$10)*'疲劳值&amp;地图信息'!$R$13)/BO315,('疲劳值&amp;地图信息'!$S$10*'疲劳值&amp;地图信息'!$R$10+'疲劳值&amp;地图信息'!$S$11*'疲劳值&amp;地图信息'!$R$11+'疲劳值&amp;地图信息'!$S$12*'疲劳值&amp;地图信息'!$R$12+(BO315-'疲劳值&amp;地图信息'!$S$12-'疲劳值&amp;地图信息'!$S$11-'疲劳值&amp;地图信息'!$S$10)*'疲劳值&amp;地图信息'!$R$13)/BO315)</f>
        <v>44.158136341605953</v>
      </c>
      <c r="BQ315" s="14">
        <f t="shared" si="524"/>
        <v>20</v>
      </c>
      <c r="BR315" s="14">
        <f>('疲劳值&amp;地图信息'!$S$10*'疲劳值&amp;地图信息'!$R$10+($BQ315-'疲劳值&amp;地图信息'!$S$10)*'疲劳值&amp;地图信息'!$R$11)/$BQ315</f>
        <v>32.067203015074995</v>
      </c>
      <c r="CF315" s="14">
        <v>310</v>
      </c>
      <c r="CG315" s="51">
        <f t="shared" si="431"/>
        <v>16216</v>
      </c>
      <c r="CH315" s="51">
        <f t="shared" si="432"/>
        <v>1080</v>
      </c>
      <c r="CI315" s="51">
        <f>INT(SUMPRODUCT($N315:$R315,$BA315:$BE315)/SUM($BA315:$BE315)/10000*$BX$7*$BZ$34/'疲劳值&amp;地图信息'!$R$10*$BY$53)</f>
        <v>3367</v>
      </c>
      <c r="CJ315" s="50">
        <f t="shared" si="433"/>
        <v>0.78478439723176696</v>
      </c>
      <c r="CK315" s="50">
        <f t="shared" si="434"/>
        <v>5.2267337753472393E-2</v>
      </c>
      <c r="CL315" s="50">
        <f t="shared" si="435"/>
        <v>0.16294826501476067</v>
      </c>
      <c r="CM315" s="14">
        <f t="shared" si="436"/>
        <v>17781</v>
      </c>
      <c r="CN315" s="14">
        <f t="shared" si="437"/>
        <v>1851</v>
      </c>
      <c r="CO315" s="14">
        <f>INT(SUMPRODUCT($U315:$Y315,$BA315:$BE315)/SUM($BA315:$BE315)/10000*$BX$7*$BZ$34/'疲劳值&amp;地图信息'!$R$10*$BY$54)</f>
        <v>6433</v>
      </c>
      <c r="CP315" s="50">
        <f t="shared" si="438"/>
        <v>0.68217916746595053</v>
      </c>
      <c r="CQ315" s="50">
        <f t="shared" si="439"/>
        <v>7.1014770765394211E-2</v>
      </c>
      <c r="CR315" s="50">
        <f t="shared" si="440"/>
        <v>0.24680606176865527</v>
      </c>
      <c r="CS315" s="14">
        <f t="shared" si="441"/>
        <v>19387</v>
      </c>
      <c r="CT315" s="14">
        <f t="shared" si="442"/>
        <v>3234</v>
      </c>
      <c r="CU315" s="14">
        <f>INT(SUMPRODUCT($AB315:$AF315,$BA315:$BE315)/SUM($BA315:$BE315)/10000*$BX$7*$BZ$34/'疲劳值&amp;地图信息'!$R$10*$BY$55)</f>
        <v>8742</v>
      </c>
      <c r="CV315" s="50">
        <f t="shared" si="443"/>
        <v>0.61814877403309632</v>
      </c>
      <c r="CW315" s="50">
        <f t="shared" si="444"/>
        <v>0.10311513566941938</v>
      </c>
      <c r="CX315" s="50">
        <f t="shared" si="445"/>
        <v>0.27873609029748431</v>
      </c>
      <c r="CY315" s="14">
        <f t="shared" si="446"/>
        <v>23338</v>
      </c>
      <c r="CZ315" s="14">
        <f t="shared" si="447"/>
        <v>8872</v>
      </c>
      <c r="DA315" s="14">
        <f>INT(SUMPRODUCT($AI315:$AM315,$BA315:$BE315)/SUM($BA315:$BE315)/10000*$BX$7*$BZ$34/'疲劳值&amp;地图信息'!$R$10*$BY$56)</f>
        <v>13187</v>
      </c>
      <c r="DB315" s="50">
        <f t="shared" si="448"/>
        <v>0.51408683393175758</v>
      </c>
      <c r="DC315" s="50">
        <f t="shared" si="449"/>
        <v>0.19543141617287485</v>
      </c>
      <c r="DD315" s="50">
        <f t="shared" si="450"/>
        <v>0.29048174989536751</v>
      </c>
      <c r="DE315" s="14">
        <f t="shared" si="451"/>
        <v>24261</v>
      </c>
      <c r="DF315" s="14">
        <f t="shared" si="452"/>
        <v>16029</v>
      </c>
      <c r="DG315" s="14">
        <f>INT(SUMPRODUCT($AP315:$AT315,$BA315:$BE315)/SUM($BA315:$BE315)/10000*$BX$7*$BZ$34/'疲劳值&amp;地图信息'!$R$10*$BY$57)</f>
        <v>17601</v>
      </c>
      <c r="DH315" s="50">
        <f t="shared" si="453"/>
        <v>0.41908068611701299</v>
      </c>
      <c r="DI315" s="50">
        <f t="shared" si="454"/>
        <v>0.27688241695600352</v>
      </c>
      <c r="DJ315" s="50">
        <f t="shared" si="455"/>
        <v>0.30403689692698349</v>
      </c>
      <c r="DL315" s="14">
        <f t="shared" si="526"/>
        <v>20663</v>
      </c>
      <c r="DM315" s="14">
        <f t="shared" si="527"/>
        <v>26065</v>
      </c>
      <c r="DN315" s="14">
        <f t="shared" si="528"/>
        <v>31363</v>
      </c>
      <c r="DO315" s="14">
        <f t="shared" si="529"/>
        <v>45397</v>
      </c>
      <c r="DP315" s="14">
        <f t="shared" si="530"/>
        <v>57891</v>
      </c>
      <c r="DQ315" s="14">
        <f t="shared" si="531"/>
        <v>1432476</v>
      </c>
      <c r="DT315" s="14">
        <f t="shared" si="525"/>
        <v>235575</v>
      </c>
      <c r="DU315" s="50">
        <f t="shared" si="427"/>
        <v>0.1412276962754736</v>
      </c>
      <c r="DW315" s="14">
        <f t="shared" si="456"/>
        <v>1668051</v>
      </c>
      <c r="EB315" s="14">
        <v>310</v>
      </c>
      <c r="EC315" s="51">
        <f t="shared" si="457"/>
        <v>27026</v>
      </c>
      <c r="ED315" s="51">
        <f t="shared" si="458"/>
        <v>1800</v>
      </c>
      <c r="EE315" s="51">
        <f>INT(SUMPRODUCT($N315:$R315,$BF315:$BJ315)/SUM($BF315:$BJ315)/10000*$BX$7*$BZ$46/'疲劳值&amp;地图信息'!$R$10*$BY$53)</f>
        <v>452</v>
      </c>
      <c r="EF315" s="50">
        <f t="shared" si="459"/>
        <v>0.92308217774438139</v>
      </c>
      <c r="EG315" s="50">
        <f t="shared" si="460"/>
        <v>6.1479609262927795E-2</v>
      </c>
      <c r="EH315" s="50">
        <f t="shared" si="461"/>
        <v>1.5438212992690757E-2</v>
      </c>
      <c r="EI315" s="51">
        <f t="shared" si="462"/>
        <v>29635</v>
      </c>
      <c r="EJ315" s="51">
        <f t="shared" si="463"/>
        <v>3085</v>
      </c>
      <c r="EK315" s="14">
        <f>INT(SUMPRODUCT($U315:$Y315,$BF315:$BJ315)/SUM($BF315:$BJ315)/10000*$BX$7*$BZ$46/'疲劳值&amp;地图信息'!$R$10*$BY$54)</f>
        <v>863</v>
      </c>
      <c r="EL315" s="50">
        <f t="shared" si="464"/>
        <v>0.88244052050144417</v>
      </c>
      <c r="EM315" s="50">
        <f t="shared" si="465"/>
        <v>9.1861953964803622E-2</v>
      </c>
      <c r="EN315" s="50">
        <f t="shared" si="466"/>
        <v>2.5697525533752198E-2</v>
      </c>
      <c r="EO315" s="51">
        <f t="shared" si="467"/>
        <v>32312</v>
      </c>
      <c r="EP315" s="51">
        <f t="shared" si="468"/>
        <v>5391</v>
      </c>
      <c r="EQ315" s="14">
        <f>INT(SUMPRODUCT($AB315:$AF315,$BF315:$BJ315)/SUM($BF315:$BJ315)/10000*$BX$7*$BZ$46/'疲劳值&amp;地图信息'!$R$10*$BY$55)</f>
        <v>1172</v>
      </c>
      <c r="ER315" s="50">
        <f t="shared" si="469"/>
        <v>0.83117684887459808</v>
      </c>
      <c r="ES315" s="50">
        <f t="shared" si="470"/>
        <v>0.13867524115755628</v>
      </c>
      <c r="ET315" s="50">
        <f t="shared" si="471"/>
        <v>3.0147909967845658E-2</v>
      </c>
      <c r="EU315" s="51">
        <f t="shared" si="472"/>
        <v>38898</v>
      </c>
      <c r="EV315" s="51">
        <f t="shared" si="473"/>
        <v>14787</v>
      </c>
      <c r="EW315" s="14">
        <f>INT(SUMPRODUCT($AI315:$AM315,$BF315:$BJ315)/SUM($BF315:$BJ315)/10000*$BX$7*$BZ$46/'疲劳值&amp;地图信息'!$R$10*$BY$56)</f>
        <v>1758</v>
      </c>
      <c r="EX315" s="50">
        <f t="shared" si="474"/>
        <v>0.70158541204480274</v>
      </c>
      <c r="EY315" s="50">
        <f t="shared" si="475"/>
        <v>0.26670634705914181</v>
      </c>
      <c r="EZ315" s="50">
        <f t="shared" si="476"/>
        <v>3.1708240896055409E-2</v>
      </c>
      <c r="FA315" s="51">
        <f t="shared" si="477"/>
        <v>40436</v>
      </c>
      <c r="FB315" s="51">
        <f t="shared" si="478"/>
        <v>26716</v>
      </c>
      <c r="FC315" s="14">
        <f>INT(SUMPRODUCT($AP315:$AT315,$BF315:$BJ315)/SUM($BF315:$BJ315)/10000*$BX$7*$BZ$46/'疲劳值&amp;地图信息'!$R$10*$BY$57)</f>
        <v>2344</v>
      </c>
      <c r="FD315" s="50">
        <f t="shared" si="479"/>
        <v>0.58184643720501894</v>
      </c>
      <c r="FE315" s="50">
        <f t="shared" si="480"/>
        <v>0.38442500287786346</v>
      </c>
      <c r="FF315" s="50">
        <f t="shared" si="481"/>
        <v>3.3728559917117533E-2</v>
      </c>
      <c r="FH315" s="14">
        <f t="shared" si="482"/>
        <v>29278</v>
      </c>
      <c r="FI315" s="14">
        <f t="shared" si="483"/>
        <v>33583</v>
      </c>
      <c r="FJ315" s="14">
        <f t="shared" si="484"/>
        <v>38875</v>
      </c>
      <c r="FK315" s="14">
        <f t="shared" si="485"/>
        <v>55443</v>
      </c>
      <c r="FL315" s="14">
        <f t="shared" si="486"/>
        <v>69496</v>
      </c>
      <c r="FM315" s="14">
        <f t="shared" si="487"/>
        <v>3455240</v>
      </c>
      <c r="FP315" s="14">
        <f t="shared" si="488"/>
        <v>334150</v>
      </c>
      <c r="FQ315" s="50">
        <f t="shared" si="428"/>
        <v>8.8180419539820393E-2</v>
      </c>
      <c r="FS315" s="14">
        <f t="shared" si="489"/>
        <v>3789390</v>
      </c>
      <c r="FX315" s="14">
        <v>310</v>
      </c>
      <c r="FY315" s="51">
        <f t="shared" si="490"/>
        <v>37837</v>
      </c>
      <c r="FZ315" s="51">
        <f t="shared" si="491"/>
        <v>1800</v>
      </c>
      <c r="GA315" s="51">
        <f>INT(SUMPRODUCT($N315:$R315,$BF315:$BJ315)/SUM($BF315:$BJ315)/10000*$BX$7*$BZ$46/'疲劳值&amp;地图信息'!$R$10*$BY$53)</f>
        <v>452</v>
      </c>
      <c r="GB315" s="50">
        <f t="shared" si="492"/>
        <v>0.94382498939858817</v>
      </c>
      <c r="GC315" s="50">
        <f t="shared" si="493"/>
        <v>4.4900097283544112E-2</v>
      </c>
      <c r="GD315" s="50">
        <f t="shared" si="494"/>
        <v>1.1274913317867744E-2</v>
      </c>
      <c r="GE315" s="51">
        <f t="shared" si="495"/>
        <v>41489</v>
      </c>
      <c r="GF315" s="51">
        <f t="shared" si="496"/>
        <v>3085</v>
      </c>
      <c r="GG315" s="14">
        <f>INT(SUMPRODUCT($U315:$Y315,$BF315:$BJ315)/SUM($BF315:$BJ315)/10000*$BX$7*$BZ$46/'疲劳值&amp;地图信息'!$R$10*$BY$54)</f>
        <v>863</v>
      </c>
      <c r="GH315" s="50">
        <f t="shared" si="497"/>
        <v>0.91311046063780621</v>
      </c>
      <c r="GI315" s="50">
        <f t="shared" si="498"/>
        <v>6.78962079362634E-2</v>
      </c>
      <c r="GJ315" s="50">
        <f t="shared" si="499"/>
        <v>1.8993331425930408E-2</v>
      </c>
      <c r="GK315" s="51">
        <f t="shared" si="500"/>
        <v>45237</v>
      </c>
      <c r="GL315" s="51">
        <f t="shared" si="501"/>
        <v>5391</v>
      </c>
      <c r="GM315" s="14">
        <f>INT(SUMPRODUCT($AB315:$AF315,$BF315:$BJ315)/SUM($BF315:$BJ315)/10000*$BX$7*$BZ$46/'疲劳值&amp;地图信息'!$R$10*$BY$55)</f>
        <v>1172</v>
      </c>
      <c r="GN315" s="50">
        <f t="shared" si="502"/>
        <v>0.87330115830115829</v>
      </c>
      <c r="GO315" s="50">
        <f t="shared" si="503"/>
        <v>0.10407335907335907</v>
      </c>
      <c r="GP315" s="50">
        <f t="shared" si="504"/>
        <v>2.2625482625482626E-2</v>
      </c>
      <c r="GQ315" s="51">
        <f t="shared" si="505"/>
        <v>54457</v>
      </c>
      <c r="GR315" s="51">
        <f t="shared" si="506"/>
        <v>14787</v>
      </c>
      <c r="GS315" s="14">
        <f>INT(SUMPRODUCT($AI315:$AM315,$BF315:$BJ315)/SUM($BF315:$BJ315)/10000*$BX$7*$BZ$46/'疲劳值&amp;地图信息'!$R$10*$BY$56)</f>
        <v>1758</v>
      </c>
      <c r="GT315" s="50">
        <f t="shared" si="507"/>
        <v>0.76697839497478948</v>
      </c>
      <c r="GU315" s="50">
        <f t="shared" si="508"/>
        <v>0.20826173910594067</v>
      </c>
      <c r="GV315" s="50">
        <f t="shared" si="509"/>
        <v>2.4759865919269881E-2</v>
      </c>
      <c r="GW315" s="51">
        <f t="shared" si="510"/>
        <v>56610</v>
      </c>
      <c r="GX315" s="51">
        <f t="shared" si="511"/>
        <v>26716</v>
      </c>
      <c r="GY315" s="14">
        <f>INT(SUMPRODUCT($AP315:$AT315,$BF315:$BJ315)/SUM($BF315:$BJ315)/10000*$BX$7*$BZ$46/'疲劳值&amp;地图信息'!$R$10*$BY$57)</f>
        <v>2344</v>
      </c>
      <c r="GZ315" s="50">
        <f t="shared" si="512"/>
        <v>0.66079140889459553</v>
      </c>
      <c r="HA315" s="50">
        <f t="shared" si="513"/>
        <v>0.3118477880238123</v>
      </c>
      <c r="HB315" s="50">
        <f t="shared" si="514"/>
        <v>2.7360803081592156E-2</v>
      </c>
      <c r="HD315" s="14">
        <f t="shared" si="515"/>
        <v>40089</v>
      </c>
      <c r="HE315" s="14">
        <f t="shared" si="516"/>
        <v>45437</v>
      </c>
      <c r="HF315" s="14">
        <f t="shared" si="517"/>
        <v>51800</v>
      </c>
      <c r="HG315" s="14">
        <f t="shared" si="518"/>
        <v>71002</v>
      </c>
      <c r="HH315" s="14">
        <f t="shared" si="519"/>
        <v>85670</v>
      </c>
      <c r="HI315" s="14">
        <f t="shared" si="520"/>
        <v>4670299</v>
      </c>
      <c r="HL315" s="14">
        <f t="shared" si="521"/>
        <v>430050</v>
      </c>
      <c r="HM315" s="50">
        <f t="shared" si="429"/>
        <v>8.4317759431756539E-2</v>
      </c>
      <c r="HO315" s="14">
        <f t="shared" si="522"/>
        <v>5100349</v>
      </c>
    </row>
    <row r="316" spans="11:223" x14ac:dyDescent="0.2">
      <c r="K316" s="14">
        <v>311</v>
      </c>
      <c r="L316" s="12">
        <f>求节点(节奏总纲!D$4:D$163,标准城池设计!AB$4:AB$163,$K316)*求节点(节奏总纲!D$4:D$163,攻城基础信息!$AC$5:$AC$164,$K316)</f>
        <v>796782.5696761182</v>
      </c>
      <c r="M316" s="12">
        <f>INDEX(其他调用!$AA$5:$AA$404,MATCH(K316,其他调用!$X$5:$X$404,0))*MIN(INDEX(其他调用!$AH$5:$AH$364,MATCH('征服点（新）'!K316,其他调用!$AG$5:$AG$364,0),1)/INDEX(其他调用!$AJ$5:$AJ$364,MATCH(K316,其他调用!$AG$5:$AG$364,0),0),5)*求节点(节奏总纲!D$4:D$163,攻城基础信息!$AC$5:$AC$164,$K316)</f>
        <v>52972.744683648445</v>
      </c>
      <c r="N316" s="12">
        <f>MIN(INDEX(其他调用!$AH$5:$AH$364,MATCH($K316,其他调用!$AG$5:$AG$364,0),1)/INDEX(其他调用!AH$5:AH$364,MATCH($K316,其他调用!$AG$5:$AG$364,0),0),1)*INDEX(其他调用!Y$5:Y$404,MATCH($K316,其他调用!$X$5:$X$404,0),0)</f>
        <v>42682.994358645854</v>
      </c>
      <c r="O316" s="12">
        <f>MIN(INDEX(其他调用!$AH$5:$AH$364,MATCH($K316,其他调用!$AG$5:$AG$364,0),1)/INDEX(其他调用!AI$5:AI$364,MATCH($K316,其他调用!$AG$5:$AG$364,0),0),1)*INDEX(其他调用!Z$5:Z$404,MATCH($K316,其他调用!$X$5:$X$404,0),0)</f>
        <v>25577.631625611248</v>
      </c>
      <c r="P316" s="12">
        <f>MIN(INDEX(其他调用!$AH$5:$AH$364,MATCH($K316,其他调用!$AG$5:$AG$364,0),1)/INDEX(其他调用!AJ$5:AJ$364,MATCH($K316,其他调用!$AG$5:$AG$364,0),0),1)*INDEX(其他调用!AA$5:AA$404,MATCH($K316,其他调用!$X$5:$X$404,0),0)</f>
        <v>15135.069909613851</v>
      </c>
      <c r="Q316" s="12">
        <f>MIN(INDEX(其他调用!$AH$5:$AH$364,MATCH($K316,其他调用!$AG$5:$AG$364,0),1)/INDEX(其他调用!AK$5:AK$364,MATCH($K316,其他调用!$AG$5:$AG$364,0),0),1)*INDEX(其他调用!AB$5:AB$404,MATCH($K316,其他调用!$X$5:$X$404,0),0)</f>
        <v>5801.00456213705</v>
      </c>
      <c r="R316" s="12">
        <f>MIN(INDEX(其他调用!$AH$5:$AH$364,MATCH($K316,其他调用!$AG$5:$AG$364,0),1)/INDEX(其他调用!AL$5:AL$364,MATCH($K316,其他调用!$AG$5:$AG$364,0),0),1)*INDEX(其他调用!AC$5:AC$404,MATCH($K316,其他调用!$X$5:$X$404,0),0)</f>
        <v>3478.6279574757705</v>
      </c>
      <c r="S316" s="12">
        <f>求节点(节奏总纲!D$4:D$163,标准城池设计!AC$4:AC$163,$K316)*求节点(节奏总纲!D$4:D$163,攻城基础信息!$AD$5:$AD$164,$K316)</f>
        <v>873718.7938716046</v>
      </c>
      <c r="T316" s="12">
        <f>INDEX(其他调用!$AA$5:$AA$404,MATCH($K316,其他调用!$X$5:$X$404,0))*MIN(INDEX(其他调用!AI$5:AI$364,MATCH($K316,其他调用!$AG$5:$AG$364,0),1)/INDEX(其他调用!$AJ$5:$AJ$364,MATCH($K316,其他调用!$AG$5:$AG$364,0),0),5)*求节点(节奏总纲!D$4:D$163,攻城基础信息!$AD$5:$AD$164,$K316)</f>
        <v>90804.635768281849</v>
      </c>
      <c r="U316" s="12">
        <f>MIN(INDEX(其他调用!$AI$5:$AI$364,MATCH($K316,其他调用!$AG$5:$AG$364,0),1)/INDEX(其他调用!AH$5:AH$364,MATCH($K316,其他调用!$AG$5:$AG$364,0),0),1)*INDEX(其他调用!Y$5:Y$404,MATCH($K316,其他调用!$X$5:$X$404,0),0)</f>
        <v>42682.994358645854</v>
      </c>
      <c r="V316" s="12">
        <f>MIN(INDEX(其他调用!$AI$5:$AI$364,MATCH($K316,其他调用!$AG$5:$AG$364,0),1)/INDEX(其他调用!AI$5:AI$364,MATCH($K316,其他调用!$AG$5:$AG$364,0),0),1)*INDEX(其他调用!Z$5:Z$404,MATCH($K316,其他调用!$X$5:$X$404,0),0)</f>
        <v>43844.575874805356</v>
      </c>
      <c r="W316" s="12">
        <f>MIN(INDEX(其他调用!$AI$5:$AI$364,MATCH($K316,其他调用!$AG$5:$AG$364,0),1)/INDEX(其他调用!AJ$5:AJ$364,MATCH($K316,其他调用!$AG$5:$AG$364,0),0),1)*INDEX(其他调用!AA$5:AA$404,MATCH($K316,其他调用!$X$5:$X$404,0),0)</f>
        <v>25944.181648080543</v>
      </c>
      <c r="X316" s="12">
        <f>MIN(INDEX(其他调用!$AI$5:$AI$364,MATCH($K316,其他调用!$AG$5:$AG$364,0),1)/INDEX(其他调用!AK$5:AK$364,MATCH($K316,其他调用!$AG$5:$AG$364,0),0),1)*INDEX(其他调用!AB$5:AB$404,MATCH($K316,其他调用!$X$5:$X$404,0),0)</f>
        <v>9943.9458819960892</v>
      </c>
      <c r="Y316" s="12">
        <f>MIN(INDEX(其他调用!$AI$5:$AI$364,MATCH($K316,其他调用!$AG$5:$AG$364,0),1)/INDEX(其他调用!AL$5:AL$364,MATCH($K316,其他调用!$AG$5:$AG$364,0),0),1)*INDEX(其他调用!AC$5:AC$404,MATCH($K316,其他调用!$X$5:$X$404,0),0)</f>
        <v>5962.9824079977034</v>
      </c>
      <c r="Z316" s="12">
        <f>求节点(节奏总纲!D$4:D$163,标准城池设计!AD$4:AD$163,$K316)*求节点(节奏总纲!D$4:D$163,攻城基础信息!$AE$5:$AE$164,$K316)</f>
        <v>952599.74010125955</v>
      </c>
      <c r="AA316" s="12">
        <f>INDEX(其他调用!$AA$5:$AA$404,MATCH($K316,其他调用!$X$5:$X$404,0))*MIN(INDEX(其他调用!AJ$5:AJ$364,MATCH($K316,其他调用!$AG$5:$AG$364,0),1)/INDEX(其他调用!$AJ$5:$AJ$364,MATCH($K316,其他调用!$AG$5:$AG$364,0),0),5)*求节点(节奏总纲!D$4:D$163,攻城基础信息!$AE$5:$AE$164,$K316)</f>
        <v>158783.8369341931</v>
      </c>
      <c r="AB316" s="12">
        <f>MIN(INDEX(其他调用!$AJ$5:$AJ$364,MATCH($K316,其他调用!$AG$5:$AG$364,0),1)/INDEX(其他调用!AH$5:AH$364,MATCH($K316,其他调用!$AG$5:$AG$364,0),0),1)*INDEX(其他调用!Y$5:Y$404,MATCH($K316,其他调用!$X$5:$X$404,0),0)</f>
        <v>42682.994358645854</v>
      </c>
      <c r="AC316" s="12">
        <f>MIN(INDEX(其他调用!$AJ$5:$AJ$364,MATCH($K316,其他调用!$AG$5:$AG$364,0),1)/INDEX(其他调用!AI$5:AI$364,MATCH($K316,其他调用!$AG$5:$AG$364,0),0),1)*INDEX(其他调用!Z$5:Z$404,MATCH($K316,其他调用!$X$5:$X$404,0),0)</f>
        <v>43844.575874805356</v>
      </c>
      <c r="AD316" s="12">
        <f>MIN(INDEX(其他调用!$AJ$5:$AJ$364,MATCH($K316,其他调用!$AG$5:$AG$364,0),1)/INDEX(其他调用!AJ$5:AJ$364,MATCH($K316,其他调用!$AG$5:$AG$364,0),0),1)*INDEX(其他调用!AA$5:AA$404,MATCH($K316,其他调用!$X$5:$X$404,0),0)</f>
        <v>45366.81055262663</v>
      </c>
      <c r="AE316" s="12">
        <f>MIN(INDEX(其他调用!$AJ$5:$AJ$364,MATCH($K316,其他调用!$AG$5:$AG$364,0),1)/INDEX(其他调用!AK$5:AK$364,MATCH($K316,其他调用!$AG$5:$AG$364,0),0),1)*INDEX(其他调用!AB$5:AB$404,MATCH($K316,其他调用!$X$5:$X$404,0),0)</f>
        <v>17388.295961436284</v>
      </c>
      <c r="AF316" s="12">
        <f>MIN(INDEX(其他调用!$AJ$5:$AJ$364,MATCH($K316,其他调用!$AG$5:$AG$364,0),1)/INDEX(其他调用!AL$5:AL$364,MATCH($K316,其他调用!$AG$5:$AG$364,0),0),1)*INDEX(其他调用!AC$5:AC$404,MATCH($K316,其他调用!$X$5:$X$404,0),0)</f>
        <v>10427.058247654977</v>
      </c>
      <c r="AG316" s="12">
        <f>求节点(节奏总纲!D$4:D$163,标准城池设计!AE$4:AE$163,$K316)*求节点(节奏总纲!D$4:D$163,攻城基础信息!$AF$5:$AF$164,$K316)</f>
        <v>1146477.1213759016</v>
      </c>
      <c r="AH316" s="12">
        <f>INDEX(其他调用!$AA$5:$AA$404,MATCH($K316,其他调用!$X$5:$X$404,0))*MIN(INDEX(其他调用!AK$5:AK$364,MATCH($K316,其他调用!$AG$5:$AG$364,0),1)/INDEX(其他调用!$AJ$5:$AJ$364,MATCH($K316,其他调用!$AG$5:$AG$364,0),0),5)*求节点(节奏总纲!D$4:D$163,攻城基础信息!$AF$5:$AF$164,$K316)</f>
        <v>434925.28120054019</v>
      </c>
      <c r="AI316" s="12">
        <f>MIN(INDEX(其他调用!$AK$5:$AK$364,MATCH($K316,其他调用!$AG$5:$AG$364,0),1)/INDEX(其他调用!AH$5:AH$364,MATCH($K316,其他调用!$AG$5:$AG$364,0),0),1)*INDEX(其他调用!Y$5:Y$404,MATCH($K316,其他调用!$X$5:$X$404,0),0)</f>
        <v>42682.994358645854</v>
      </c>
      <c r="AJ316" s="12">
        <f>MIN(INDEX(其他调用!$AK$5:$AK$364,MATCH($K316,其他调用!$AG$5:$AG$364,0),1)/INDEX(其他调用!AI$5:AI$364,MATCH($K316,其他调用!$AG$5:$AG$364,0),0),1)*INDEX(其他调用!Z$5:Z$404,MATCH($K316,其他调用!$X$5:$X$404,0),0)</f>
        <v>43844.575874805356</v>
      </c>
      <c r="AK316" s="12">
        <f>MIN(INDEX(其他调用!$AK$5:$AK$364,MATCH($K316,其他调用!$AG$5:$AG$364,0),1)/INDEX(其他调用!AJ$5:AJ$364,MATCH($K316,其他调用!$AG$5:$AG$364,0),0),1)*INDEX(其他调用!AA$5:AA$404,MATCH($K316,其他调用!$X$5:$X$404,0),0)</f>
        <v>45366.81055262663</v>
      </c>
      <c r="AL316" s="12">
        <f>MIN(INDEX(其他调用!$AK$5:$AK$364,MATCH($K316,其他调用!$AG$5:$AG$364,0),1)/INDEX(其他调用!AK$5:AK$364,MATCH($K316,其他调用!$AG$5:$AG$364,0),0),1)*INDEX(其他调用!AB$5:AB$404,MATCH($K316,其他调用!$X$5:$X$404,0),0)</f>
        <v>47628.333315563883</v>
      </c>
      <c r="AM316" s="12">
        <f>MIN(INDEX(其他调用!$AK$5:$AK$364,MATCH($K316,其他调用!$AG$5:$AG$364,0),1)/INDEX(其他调用!AL$5:AL$364,MATCH($K316,其他调用!$AG$5:$AG$364,0),0),1)*INDEX(其他调用!AC$5:AC$404,MATCH($K316,其他调用!$X$5:$X$404,0),0)</f>
        <v>28560.786337058031</v>
      </c>
      <c r="AN316" s="12">
        <f>求节点(节奏总纲!D$4:D$163,标准城池设计!AF$4:AF$163,$K316)*求节点(节奏总纲!D$4:D$163,攻城基础信息!$AG$5:$AG$164,$K316)</f>
        <v>1191402.4883700043</v>
      </c>
      <c r="AO316" s="12">
        <f>INDEX(其他调用!$AA$5:$AA$404,MATCH($K316,其他调用!$X$5:$X$404,0))*MIN(INDEX(其他调用!AL$5:AL$364,MATCH($K316,其他调用!$AG$5:$AG$364,0),1)/INDEX(其他调用!$AJ$5:$AJ$364,MATCH($K316,其他调用!$AG$5:$AG$364,0),0),5)*求节点(节奏总纲!D$4:D$163,攻城基础信息!$AG$5:$AG$164,$K316)</f>
        <v>784509.39482771896</v>
      </c>
      <c r="AP316" s="12">
        <f>MIN(INDEX(其他调用!$AL$5:$AL$364,MATCH($K316,其他调用!$AG$5:$AG$364,0),1)/INDEX(其他调用!AH$5:AH$364,MATCH($K316,其他调用!$AG$5:$AG$364,0),0),1)*INDEX(其他调用!Y$5:Y$404,MATCH($K316,其他调用!$X$5:$X$404,0),0)</f>
        <v>42682.994358645854</v>
      </c>
      <c r="AQ316" s="12">
        <f>MIN(INDEX(其他调用!$AL$5:$AL$364,MATCH($K316,其他调用!$AG$5:$AG$364,0),1)/INDEX(其他调用!AI$5:AI$364,MATCH($K316,其他调用!$AG$5:$AG$364,0),0),1)*INDEX(其他调用!Z$5:Z$404,MATCH($K316,其他调用!$X$5:$X$404,0),0)</f>
        <v>43844.575874805356</v>
      </c>
      <c r="AR316" s="12">
        <f>MIN(INDEX(其他调用!$AL$5:$AL$364,MATCH($K316,其他调用!$AG$5:$AG$364,0),1)/INDEX(其他调用!AJ$5:AJ$364,MATCH($K316,其他调用!$AG$5:$AG$364,0),0),1)*INDEX(其他调用!AA$5:AA$404,MATCH($K316,其他调用!$X$5:$X$404,0),0)</f>
        <v>45366.81055262663</v>
      </c>
      <c r="AS316" s="12">
        <f>MIN(INDEX(其他调用!$AL$5:$AL$364,MATCH($K316,其他调用!$AG$5:$AG$364,0),1)/INDEX(其他调用!AK$5:AK$364,MATCH($K316,其他调用!$AG$5:$AG$364,0),0),1)*INDEX(其他调用!AB$5:AB$404,MATCH($K316,其他调用!$X$5:$X$404,0),0)</f>
        <v>47628.333315563883</v>
      </c>
      <c r="AT316" s="12">
        <f>MIN(INDEX(其他调用!$AL$5:$AL$364,MATCH($K316,其他调用!$AG$5:$AG$364,0),1)/INDEX(其他调用!AL$5:AL$364,MATCH($K316,其他调用!$AG$5:$AG$364,0),0),1)*INDEX(其他调用!AC$5:AC$404,MATCH($K316,其他调用!$X$5:$X$404,0),0)</f>
        <v>51517.366714669959</v>
      </c>
      <c r="AV316" s="14">
        <f>IF(OR(AV$5="大R",AV$5="超R"),MAX(INDEX(其他调用!$H$5:$L$404,MATCH($K316,其他调用!$B$5:$B$404,0),MATCH(AV$5,其他调用!$H$4:$L$4,0))*120*0.85,2),INDEX(其他调用!$H$5:$L$404,MATCH($K316,其他调用!$B$5:$B$404,0),MATCH(AV$5,其他调用!$H$4:$L$4,0))*120*0.85)</f>
        <v>48.921801254999991</v>
      </c>
      <c r="AW316" s="14">
        <f>IF(OR(AW$5="大R",AW$5="超R"),MAX(INDEX(其他调用!$H$5:$L$404,MATCH($K316,其他调用!$B$5:$B$404,0),MATCH(AW$5,其他调用!$H$4:$L$4,0))*120*0.85,2),INDEX(其他调用!$H$5:$L$404,MATCH($K316,其他调用!$B$5:$B$404,0),MATCH(AW$5,其他调用!$H$4:$L$4,0))*120*0.85)</f>
        <v>48.237344010638395</v>
      </c>
      <c r="AX316" s="14">
        <f>IF(OR(AX$5="大R",AX$5="超R"),MAX(INDEX(其他调用!$H$5:$L$404,MATCH($K316,其他调用!$B$5:$B$404,0),MATCH(AX$5,其他调用!$H$4:$L$4,0))*120*0.85,2),INDEX(其他调用!$H$5:$L$404,MATCH($K316,其他调用!$B$5:$B$404,0),MATCH(AX$5,其他调用!$H$4:$L$4,0))*120*0.85)</f>
        <v>3.9376284143615998</v>
      </c>
      <c r="AY316" s="14">
        <f>IF(OR(AY$5="大R",AY$5="超R"),MAX(INDEX(其他调用!$H$5:$L$404,MATCH($K316,其他调用!$B$5:$B$404,0),MATCH(AY$5,其他调用!$H$4:$L$4,0))*120*0.85,2),INDEX(其他调用!$H$5:$L$404,MATCH($K316,其他调用!$B$5:$B$404,0),MATCH(AY$5,其他调用!$H$4:$L$4,0))*120*0.85)</f>
        <v>2</v>
      </c>
      <c r="AZ316" s="14">
        <f>IF(OR(AZ$5="大R",AZ$5="超R"),MAX(INDEX(其他调用!$H$5:$L$404,MATCH($K316,其他调用!$B$5:$B$404,0),MATCH(AZ$5,其他调用!$H$4:$L$4,0))*120*0.85,2),INDEX(其他调用!$H$5:$L$404,MATCH($K316,其他调用!$B$5:$B$404,0),MATCH(AZ$5,其他调用!$H$4:$L$4,0))*120*0.85)</f>
        <v>2</v>
      </c>
      <c r="BA316" s="14">
        <f>INDEX(其他调用!$H$5:$L$404,MATCH($K316,其他调用!$B$5:$B$404,0),MATCH(BA$5,其他调用!$H$4:$L$4,0))*INDEX(其他调用!$M$5:$M$404,MATCH($K316,其他调用!$B$5:$B$404,0))*0.6</f>
        <v>28.777530149999997</v>
      </c>
      <c r="BB316" s="14">
        <f>INDEX(其他调用!$H$5:$L$404,MATCH($K316,其他调用!$B$5:$B$404,0),MATCH(BB$5,其他调用!$H$4:$L$4,0))*INDEX(其他调用!$M$5:$M$404,MATCH($K316,其他调用!$B$5:$B$404,0))*0.6</f>
        <v>28.374908241551999</v>
      </c>
      <c r="BC316" s="14">
        <f>INDEX(其他调用!$H$5:$L$404,MATCH($K316,其他调用!$B$5:$B$404,0),MATCH(BC$5,其他调用!$H$4:$L$4,0))*INDEX(其他调用!$M$5:$M$404,MATCH($K316,其他调用!$B$5:$B$404,0))*0.6</f>
        <v>2.3162520084480001</v>
      </c>
      <c r="BD316" s="14">
        <f>INDEX(其他调用!$H$5:$L$404,MATCH($K316,其他调用!$B$5:$B$404,0),MATCH(BD$5,其他调用!$H$4:$L$4,0))*INDEX(其他调用!$M$5:$M$404,MATCH($K316,其他调用!$B$5:$B$404,0))*0.6</f>
        <v>0.4120776000000001</v>
      </c>
      <c r="BE316" s="14">
        <f>INDEX(其他调用!$H$5:$L$404,MATCH($K316,其他调用!$B$5:$B$404,0),MATCH(BE$5,其他调用!$H$4:$L$4,0))*INDEX(其他调用!$M$5:$M$404,MATCH($K316,其他调用!$B$5:$B$404,0))*0.6</f>
        <v>0.11923199999999998</v>
      </c>
      <c r="BF316" s="14">
        <f>IF(OR(BF$5="大R",BF$5="超R"),0,INDEX(其他调用!$H$5:$L$404,MATCH($K316,其他调用!$B$5:$B$404,0),MATCH(BF$5,其他调用!$H$4:$L$4,0))*50*0.4)</f>
        <v>9.5925100500000013</v>
      </c>
      <c r="BG316" s="14">
        <f>IF(OR(BG$5="大R",BG$5="超R"),0,INDEX(其他调用!$H$5:$L$404,MATCH($K316,其他调用!$B$5:$B$404,0),MATCH(BG$5,其他调用!$H$4:$L$4,0))*50*0.4)</f>
        <v>9.4583027471839998</v>
      </c>
      <c r="BH316" s="14">
        <f>IF(OR(BH$5="大R",BH$5="超R"),0,INDEX(其他调用!$H$5:$L$404,MATCH($K316,其他调用!$B$5:$B$404,0),MATCH(BH$5,其他调用!$H$4:$L$4,0))*50*0.4)</f>
        <v>0.77208400281600009</v>
      </c>
      <c r="BI316" s="14">
        <f>IF(OR(BI$5="大R",BI$5="超R"),0,INDEX(其他调用!$H$5:$L$404,MATCH($K316,其他调用!$B$5:$B$404,0),MATCH(BI$5,其他调用!$H$4:$L$4,0))*50*0.4)</f>
        <v>0</v>
      </c>
      <c r="BJ316" s="14">
        <f>IF(OR(BJ$5="大R",BJ$5="超R"),0,INDEX(其他调用!$H$5:$L$404,MATCH($K316,其他调用!$B$5:$B$404,0),MATCH(BJ$5,其他调用!$H$4:$L$4,0))*50*0.4)</f>
        <v>0</v>
      </c>
      <c r="BL316" s="14">
        <f t="shared" si="523"/>
        <v>311</v>
      </c>
      <c r="BM316" s="14">
        <f t="shared" si="430"/>
        <v>96</v>
      </c>
      <c r="BN316" s="14">
        <f>('疲劳值&amp;地图信息'!$S$10*'疲劳值&amp;地图信息'!$R$10+'疲劳值&amp;地图信息'!$S$11*'疲劳值&amp;地图信息'!$R$11+'疲劳值&amp;地图信息'!$S$12*'疲劳值&amp;地图信息'!$R$12+(BM316-'疲劳值&amp;地图信息'!$S$12-'疲劳值&amp;地图信息'!$S$11-'疲劳值&amp;地图信息'!$S$10)*'疲劳值&amp;地图信息'!$R$13)/BM316</f>
        <v>51.371477246638619</v>
      </c>
      <c r="BO316" s="14">
        <f>INDEX(其他调用!$M$5:$M$404,MATCH(BL316,其他调用!$B$5:$B$404,0))*0.6</f>
        <v>60</v>
      </c>
      <c r="BP316" s="14">
        <f>IF(BO316&gt;SUM('疲劳值&amp;地图信息'!$S$10:$S$12),('疲劳值&amp;地图信息'!$S$10*'疲劳值&amp;地图信息'!$R$10+'疲劳值&amp;地图信息'!$S$11*'疲劳值&amp;地图信息'!$R$11+'疲劳值&amp;地图信息'!$S$12*'疲劳值&amp;地图信息'!$R$12+(BO316-'疲劳值&amp;地图信息'!$S$12-'疲劳值&amp;地图信息'!$S$11-'疲劳值&amp;地图信息'!$S$10)*'疲劳值&amp;地图信息'!$R$13)/BO316,('疲劳值&amp;地图信息'!$S$10*'疲劳值&amp;地图信息'!$R$10+'疲劳值&amp;地图信息'!$S$11*'疲劳值&amp;地图信息'!$R$11+'疲劳值&amp;地图信息'!$S$12*'疲劳值&amp;地图信息'!$R$12+(BO316-'疲劳值&amp;地图信息'!$S$12-'疲劳值&amp;地图信息'!$S$11-'疲劳值&amp;地图信息'!$S$10)*'疲劳值&amp;地图信息'!$R$13)/BO316)</f>
        <v>44.158136341605953</v>
      </c>
      <c r="BQ316" s="14">
        <f t="shared" si="524"/>
        <v>20</v>
      </c>
      <c r="BR316" s="14">
        <f>('疲劳值&amp;地图信息'!$S$10*'疲劳值&amp;地图信息'!$R$10+($BQ316-'疲劳值&amp;地图信息'!$S$10)*'疲劳值&amp;地图信息'!$R$11)/$BQ316</f>
        <v>32.067203015074995</v>
      </c>
      <c r="CF316" s="14">
        <v>311</v>
      </c>
      <c r="CG316" s="51">
        <f t="shared" si="431"/>
        <v>16239</v>
      </c>
      <c r="CH316" s="51">
        <f t="shared" si="432"/>
        <v>1079</v>
      </c>
      <c r="CI316" s="51">
        <f>INT(SUMPRODUCT($N316:$R316,$BA316:$BE316)/SUM($BA316:$BE316)/10000*$BX$7*$BZ$34/'疲劳值&amp;地图信息'!$R$10*$BY$53)</f>
        <v>3368</v>
      </c>
      <c r="CJ316" s="50">
        <f t="shared" si="433"/>
        <v>0.78502368751812823</v>
      </c>
      <c r="CK316" s="50">
        <f t="shared" si="434"/>
        <v>5.2160881755776857E-2</v>
      </c>
      <c r="CL316" s="50">
        <f t="shared" si="435"/>
        <v>0.16281543072609495</v>
      </c>
      <c r="CM316" s="14">
        <f t="shared" si="436"/>
        <v>17807</v>
      </c>
      <c r="CN316" s="14">
        <f t="shared" si="437"/>
        <v>1850</v>
      </c>
      <c r="CO316" s="14">
        <f>INT(SUMPRODUCT($U316:$Y316,$BA316:$BE316)/SUM($BA316:$BE316)/10000*$BX$7*$BZ$34/'疲劳值&amp;地图信息'!$R$10*$BY$54)</f>
        <v>6436</v>
      </c>
      <c r="CP316" s="50">
        <f t="shared" si="438"/>
        <v>0.68244356724025601</v>
      </c>
      <c r="CQ316" s="50">
        <f t="shared" si="439"/>
        <v>7.0900241444065454E-2</v>
      </c>
      <c r="CR316" s="50">
        <f t="shared" si="440"/>
        <v>0.24665619131567854</v>
      </c>
      <c r="CS316" s="14">
        <f t="shared" si="441"/>
        <v>19415</v>
      </c>
      <c r="CT316" s="14">
        <f t="shared" si="442"/>
        <v>3236</v>
      </c>
      <c r="CU316" s="14">
        <f>INT(SUMPRODUCT($AB316:$AF316,$BA316:$BE316)/SUM($BA316:$BE316)/10000*$BX$7*$BZ$34/'疲劳值&amp;地图信息'!$R$10*$BY$55)</f>
        <v>8746</v>
      </c>
      <c r="CV316" s="50">
        <f t="shared" si="443"/>
        <v>0.61837118196005991</v>
      </c>
      <c r="CW316" s="50">
        <f t="shared" si="444"/>
        <v>0.10306717202280473</v>
      </c>
      <c r="CX316" s="50">
        <f t="shared" si="445"/>
        <v>0.2785616460171354</v>
      </c>
      <c r="CY316" s="14">
        <f t="shared" si="446"/>
        <v>23366</v>
      </c>
      <c r="CZ316" s="14">
        <f t="shared" si="447"/>
        <v>8864</v>
      </c>
      <c r="DA316" s="14">
        <f>INT(SUMPRODUCT($AI316:$AM316,$BA316:$BE316)/SUM($BA316:$BE316)/10000*$BX$7*$BZ$34/'疲劳值&amp;地图信息'!$R$10*$BY$56)</f>
        <v>13193</v>
      </c>
      <c r="DB316" s="50">
        <f t="shared" si="448"/>
        <v>0.51440899984589306</v>
      </c>
      <c r="DC316" s="50">
        <f t="shared" si="449"/>
        <v>0.19514342954010083</v>
      </c>
      <c r="DD316" s="50">
        <f t="shared" si="450"/>
        <v>0.29044757061400611</v>
      </c>
      <c r="DE316" s="14">
        <f t="shared" si="451"/>
        <v>24282</v>
      </c>
      <c r="DF316" s="14">
        <f t="shared" si="452"/>
        <v>15989</v>
      </c>
      <c r="DG316" s="14">
        <f>INT(SUMPRODUCT($AP316:$AT316,$BA316:$BE316)/SUM($BA316:$BE316)/10000*$BX$7*$BZ$34/'疲劳值&amp;地图信息'!$R$10*$BY$57)</f>
        <v>17609</v>
      </c>
      <c r="DH316" s="50">
        <f t="shared" si="453"/>
        <v>0.41952315134761575</v>
      </c>
      <c r="DI316" s="50">
        <f t="shared" si="454"/>
        <v>0.27624395300621979</v>
      </c>
      <c r="DJ316" s="50">
        <f t="shared" si="455"/>
        <v>0.30423289564616446</v>
      </c>
      <c r="DL316" s="14">
        <f t="shared" si="526"/>
        <v>20686</v>
      </c>
      <c r="DM316" s="14">
        <f t="shared" si="527"/>
        <v>26093</v>
      </c>
      <c r="DN316" s="14">
        <f t="shared" si="528"/>
        <v>31397</v>
      </c>
      <c r="DO316" s="14">
        <f t="shared" si="529"/>
        <v>45423</v>
      </c>
      <c r="DP316" s="14">
        <f t="shared" si="530"/>
        <v>57880</v>
      </c>
      <c r="DQ316" s="14">
        <f t="shared" si="531"/>
        <v>1434020</v>
      </c>
      <c r="DT316" s="14">
        <f t="shared" si="525"/>
        <v>235575</v>
      </c>
      <c r="DU316" s="50">
        <f t="shared" si="427"/>
        <v>0.14109709240863802</v>
      </c>
      <c r="DW316" s="14">
        <f t="shared" si="456"/>
        <v>1669595</v>
      </c>
      <c r="EB316" s="14">
        <v>311</v>
      </c>
      <c r="EC316" s="51">
        <f t="shared" si="457"/>
        <v>27065</v>
      </c>
      <c r="ED316" s="51">
        <f t="shared" si="458"/>
        <v>1799</v>
      </c>
      <c r="EE316" s="51">
        <f>INT(SUMPRODUCT($N316:$R316,$BF316:$BJ316)/SUM($BF316:$BJ316)/10000*$BX$7*$BZ$46/'疲劳值&amp;地图信息'!$R$10*$BY$53)</f>
        <v>452</v>
      </c>
      <c r="EF316" s="50">
        <f t="shared" si="459"/>
        <v>0.92321599126756715</v>
      </c>
      <c r="EG316" s="50">
        <f t="shared" si="460"/>
        <v>6.1365807067812798E-2</v>
      </c>
      <c r="EH316" s="50">
        <f t="shared" si="461"/>
        <v>1.5418201664620003E-2</v>
      </c>
      <c r="EI316" s="51">
        <f t="shared" si="462"/>
        <v>29679</v>
      </c>
      <c r="EJ316" s="51">
        <f t="shared" si="463"/>
        <v>3084</v>
      </c>
      <c r="EK316" s="14">
        <f>INT(SUMPRODUCT($U316:$Y316,$BF316:$BJ316)/SUM($BF316:$BJ316)/10000*$BX$7*$BZ$46/'疲劳值&amp;地图信息'!$R$10*$BY$54)</f>
        <v>864</v>
      </c>
      <c r="EL316" s="50">
        <f t="shared" si="464"/>
        <v>0.88259434383085023</v>
      </c>
      <c r="EM316" s="50">
        <f t="shared" si="465"/>
        <v>9.1712017129092688E-2</v>
      </c>
      <c r="EN316" s="50">
        <f t="shared" si="466"/>
        <v>2.5693639040057097E-2</v>
      </c>
      <c r="EO316" s="51">
        <f t="shared" si="467"/>
        <v>32358</v>
      </c>
      <c r="EP316" s="51">
        <f t="shared" si="468"/>
        <v>5393</v>
      </c>
      <c r="EQ316" s="14">
        <f>INT(SUMPRODUCT($AB316:$AF316,$BF316:$BJ316)/SUM($BF316:$BJ316)/10000*$BX$7*$BZ$46/'疲劳值&amp;地图信息'!$R$10*$BY$55)</f>
        <v>1172</v>
      </c>
      <c r="ER316" s="50">
        <f t="shared" si="469"/>
        <v>0.83133365876217147</v>
      </c>
      <c r="ES316" s="50">
        <f t="shared" si="470"/>
        <v>0.13855560979369524</v>
      </c>
      <c r="ET316" s="50">
        <f t="shared" si="471"/>
        <v>3.0110731444133287E-2</v>
      </c>
      <c r="EU316" s="51">
        <f t="shared" si="472"/>
        <v>38944</v>
      </c>
      <c r="EV316" s="51">
        <f t="shared" si="473"/>
        <v>14773</v>
      </c>
      <c r="EW316" s="14">
        <f>INT(SUMPRODUCT($AI316:$AM316,$BF316:$BJ316)/SUM($BF316:$BJ316)/10000*$BX$7*$BZ$46/'疲劳值&amp;地图信息'!$R$10*$BY$56)</f>
        <v>1759</v>
      </c>
      <c r="EX316" s="50">
        <f t="shared" si="474"/>
        <v>0.70199726007642949</v>
      </c>
      <c r="EY316" s="50">
        <f t="shared" si="475"/>
        <v>0.26629533491960489</v>
      </c>
      <c r="EZ316" s="50">
        <f t="shared" si="476"/>
        <v>3.1707405003965676E-2</v>
      </c>
      <c r="FA316" s="51">
        <f t="shared" si="477"/>
        <v>40470</v>
      </c>
      <c r="FB316" s="51">
        <f t="shared" si="478"/>
        <v>26648</v>
      </c>
      <c r="FC316" s="14">
        <f>INT(SUMPRODUCT($AP316:$AT316,$BF316:$BJ316)/SUM($BF316:$BJ316)/10000*$BX$7*$BZ$46/'疲劳值&amp;地图信息'!$R$10*$BY$57)</f>
        <v>2345</v>
      </c>
      <c r="FD316" s="50">
        <f t="shared" si="479"/>
        <v>0.58261232598649637</v>
      </c>
      <c r="FE316" s="50">
        <f t="shared" si="480"/>
        <v>0.38362869441285291</v>
      </c>
      <c r="FF316" s="50">
        <f t="shared" si="481"/>
        <v>3.3758979600650704E-2</v>
      </c>
      <c r="FH316" s="14">
        <f t="shared" si="482"/>
        <v>29316</v>
      </c>
      <c r="FI316" s="14">
        <f t="shared" si="483"/>
        <v>33627</v>
      </c>
      <c r="FJ316" s="14">
        <f t="shared" si="484"/>
        <v>38923</v>
      </c>
      <c r="FK316" s="14">
        <f t="shared" si="485"/>
        <v>55476</v>
      </c>
      <c r="FL316" s="14">
        <f t="shared" si="486"/>
        <v>69463</v>
      </c>
      <c r="FM316" s="14">
        <f t="shared" si="487"/>
        <v>3459411</v>
      </c>
      <c r="FP316" s="14">
        <f t="shared" si="488"/>
        <v>334150</v>
      </c>
      <c r="FQ316" s="50">
        <f t="shared" si="428"/>
        <v>8.8083465640858283E-2</v>
      </c>
      <c r="FS316" s="14">
        <f t="shared" si="489"/>
        <v>3793561</v>
      </c>
      <c r="FX316" s="14">
        <v>311</v>
      </c>
      <c r="FY316" s="51">
        <f t="shared" si="490"/>
        <v>37892</v>
      </c>
      <c r="FZ316" s="51">
        <f t="shared" si="491"/>
        <v>1799</v>
      </c>
      <c r="GA316" s="51">
        <f>INT(SUMPRODUCT($N316:$R316,$BF316:$BJ316)/SUM($BF316:$BJ316)/10000*$BX$7*$BZ$46/'疲劳值&amp;地图信息'!$R$10*$BY$53)</f>
        <v>452</v>
      </c>
      <c r="GB316" s="50">
        <f t="shared" si="492"/>
        <v>0.94392546645741471</v>
      </c>
      <c r="GC316" s="50">
        <f t="shared" si="493"/>
        <v>4.481478713598884E-2</v>
      </c>
      <c r="GD316" s="50">
        <f t="shared" si="494"/>
        <v>1.1259746406596417E-2</v>
      </c>
      <c r="GE316" s="51">
        <f t="shared" si="495"/>
        <v>41550</v>
      </c>
      <c r="GF316" s="51">
        <f t="shared" si="496"/>
        <v>3084</v>
      </c>
      <c r="GG316" s="14">
        <f>INT(SUMPRODUCT($U316:$Y316,$BF316:$BJ316)/SUM($BF316:$BJ316)/10000*$BX$7*$BZ$46/'疲劳值&amp;地图信息'!$R$10*$BY$54)</f>
        <v>864</v>
      </c>
      <c r="GH316" s="50">
        <f t="shared" si="497"/>
        <v>0.91322695503099038</v>
      </c>
      <c r="GI316" s="50">
        <f t="shared" si="498"/>
        <v>6.7783199261506E-2</v>
      </c>
      <c r="GJ316" s="50">
        <f t="shared" si="499"/>
        <v>1.8989845707503627E-2</v>
      </c>
      <c r="GK316" s="51">
        <f t="shared" si="500"/>
        <v>45302</v>
      </c>
      <c r="GL316" s="51">
        <f t="shared" si="501"/>
        <v>5393</v>
      </c>
      <c r="GM316" s="14">
        <f>INT(SUMPRODUCT($AB316:$AF316,$BF316:$BJ316)/SUM($BF316:$BJ316)/10000*$BX$7*$BZ$46/'疲劳值&amp;地图信息'!$R$10*$BY$55)</f>
        <v>1172</v>
      </c>
      <c r="GN316" s="50">
        <f t="shared" si="502"/>
        <v>0.87342626332735651</v>
      </c>
      <c r="GO316" s="50">
        <f t="shared" si="503"/>
        <v>0.10397748086451887</v>
      </c>
      <c r="GP316" s="50">
        <f t="shared" si="504"/>
        <v>2.2596255808124625E-2</v>
      </c>
      <c r="GQ316" s="51">
        <f t="shared" si="505"/>
        <v>54522</v>
      </c>
      <c r="GR316" s="51">
        <f t="shared" si="506"/>
        <v>14773</v>
      </c>
      <c r="GS316" s="14">
        <f>INT(SUMPRODUCT($AI316:$AM316,$BF316:$BJ316)/SUM($BF316:$BJ316)/10000*$BX$7*$BZ$46/'疲劳值&amp;地图信息'!$R$10*$BY$56)</f>
        <v>1759</v>
      </c>
      <c r="GT316" s="50">
        <f t="shared" si="507"/>
        <v>0.76733188842288969</v>
      </c>
      <c r="GU316" s="50">
        <f t="shared" si="508"/>
        <v>0.20791229205956033</v>
      </c>
      <c r="GV316" s="50">
        <f t="shared" si="509"/>
        <v>2.4755819517550032E-2</v>
      </c>
      <c r="GW316" s="51">
        <f t="shared" si="510"/>
        <v>56658</v>
      </c>
      <c r="GX316" s="51">
        <f t="shared" si="511"/>
        <v>26648</v>
      </c>
      <c r="GY316" s="14">
        <f>INT(SUMPRODUCT($AP316:$AT316,$BF316:$BJ316)/SUM($BF316:$BJ316)/10000*$BX$7*$BZ$46/'疲劳值&amp;地图信息'!$R$10*$BY$57)</f>
        <v>2345</v>
      </c>
      <c r="GZ316" s="50">
        <f t="shared" si="512"/>
        <v>0.66149840632333534</v>
      </c>
      <c r="HA316" s="50">
        <f t="shared" si="513"/>
        <v>0.31112304584885175</v>
      </c>
      <c r="HB316" s="50">
        <f t="shared" si="514"/>
        <v>2.737854782781287E-2</v>
      </c>
      <c r="HD316" s="14">
        <f t="shared" si="515"/>
        <v>40143</v>
      </c>
      <c r="HE316" s="14">
        <f t="shared" si="516"/>
        <v>45498</v>
      </c>
      <c r="HF316" s="14">
        <f t="shared" si="517"/>
        <v>51867</v>
      </c>
      <c r="HG316" s="14">
        <f t="shared" si="518"/>
        <v>71054</v>
      </c>
      <c r="HH316" s="14">
        <f t="shared" si="519"/>
        <v>85651</v>
      </c>
      <c r="HI316" s="14">
        <f t="shared" si="520"/>
        <v>4676213</v>
      </c>
      <c r="HL316" s="14">
        <f t="shared" si="521"/>
        <v>430050</v>
      </c>
      <c r="HM316" s="50">
        <f t="shared" si="429"/>
        <v>8.4220103821522702E-2</v>
      </c>
      <c r="HO316" s="14">
        <f t="shared" si="522"/>
        <v>5106263</v>
      </c>
    </row>
    <row r="317" spans="11:223" x14ac:dyDescent="0.2">
      <c r="K317" s="14">
        <v>312</v>
      </c>
      <c r="L317" s="12">
        <f>求节点(节奏总纲!D$4:D$163,标准城池设计!AB$4:AB$163,$K317)*求节点(节奏总纲!D$4:D$163,攻城基础信息!$AC$5:$AC$164,$K317)</f>
        <v>797932.65759220789</v>
      </c>
      <c r="M317" s="12">
        <f>INDEX(其他调用!$AA$5:$AA$404,MATCH(K317,其他调用!$X$5:$X$404,0))*MIN(INDEX(其他调用!$AH$5:$AH$364,MATCH('征服点（新）'!K317,其他调用!$AG$5:$AG$364,0),1)/INDEX(其他调用!$AJ$5:$AJ$364,MATCH(K317,其他调用!$AG$5:$AG$364,0),0),5)*求节点(节奏总纲!D$4:D$163,攻城基础信息!$AC$5:$AC$164,$K317)</f>
        <v>52944.088888931998</v>
      </c>
      <c r="N317" s="12">
        <f>MIN(INDEX(其他调用!$AH$5:$AH$364,MATCH($K317,其他调用!$AG$5:$AG$364,0),1)/INDEX(其他调用!AH$5:AH$364,MATCH($K317,其他调用!$AG$5:$AG$364,0),0),1)*INDEX(其他调用!Y$5:Y$404,MATCH($K317,其他调用!$X$5:$X$404,0),0)</f>
        <v>42702.070024181339</v>
      </c>
      <c r="O317" s="12">
        <f>MIN(INDEX(其他调用!$AH$5:$AH$364,MATCH($K317,其他调用!$AG$5:$AG$364,0),1)/INDEX(其他调用!AI$5:AI$364,MATCH($K317,其他调用!$AG$5:$AG$364,0),0),1)*INDEX(其他调用!Z$5:Z$404,MATCH($K317,其他调用!$X$5:$X$404,0),0)</f>
        <v>25576.63014876749</v>
      </c>
      <c r="P317" s="12">
        <f>MIN(INDEX(其他调用!$AH$5:$AH$364,MATCH($K317,其他调用!$AG$5:$AG$364,0),1)/INDEX(其他调用!AJ$5:AJ$364,MATCH($K317,其他调用!$AG$5:$AG$364,0),0),1)*INDEX(其他调用!AA$5:AA$404,MATCH($K317,其他调用!$X$5:$X$404,0),0)</f>
        <v>15126.882539694865</v>
      </c>
      <c r="Q317" s="12">
        <f>MIN(INDEX(其他调用!$AH$5:$AH$364,MATCH($K317,其他调用!$AG$5:$AG$364,0),1)/INDEX(其他调用!AK$5:AK$364,MATCH($K317,其他调用!$AG$5:$AG$364,0),0),1)*INDEX(其他调用!AB$5:AB$404,MATCH($K317,其他调用!$X$5:$X$404,0),0)</f>
        <v>5805.1175100435348</v>
      </c>
      <c r="R317" s="12">
        <f>MIN(INDEX(其他调用!$AH$5:$AH$364,MATCH($K317,其他调用!$AG$5:$AG$364,0),1)/INDEX(其他调用!AL$5:AL$364,MATCH($K317,其他调用!$AG$5:$AG$364,0),0),1)*INDEX(其他调用!AC$5:AC$404,MATCH($K317,其他调用!$X$5:$X$404,0),0)</f>
        <v>3486.7925335403761</v>
      </c>
      <c r="S317" s="12">
        <f>求节点(节奏总纲!D$4:D$163,标准城池设计!AC$4:AC$163,$K317)*求节点(节奏总纲!D$4:D$163,攻城基础信息!$AD$5:$AD$164,$K317)</f>
        <v>875018.28221361653</v>
      </c>
      <c r="T317" s="12">
        <f>INDEX(其他调用!$AA$5:$AA$404,MATCH($K317,其他调用!$X$5:$X$404,0))*MIN(INDEX(其他调用!AI$5:AI$364,MATCH($K317,其他调用!$AG$5:$AG$364,0),1)/INDEX(其他调用!$AJ$5:$AJ$364,MATCH($K317,其他调用!$AG$5:$AG$364,0),0),5)*求节点(节奏总纲!D$4:D$163,攻城基础信息!$AD$5:$AD$164,$K317)</f>
        <v>90798.328239997398</v>
      </c>
      <c r="U317" s="12">
        <f>MIN(INDEX(其他调用!$AI$5:$AI$364,MATCH($K317,其他调用!$AG$5:$AG$364,0),1)/INDEX(其他调用!AH$5:AH$364,MATCH($K317,其他调用!$AG$5:$AG$364,0),0),1)*INDEX(其他调用!Y$5:Y$404,MATCH($K317,其他调用!$X$5:$X$404,0),0)</f>
        <v>42702.070024181339</v>
      </c>
      <c r="V317" s="12">
        <f>MIN(INDEX(其他调用!$AI$5:$AI$364,MATCH($K317,其他调用!$AG$5:$AG$364,0),1)/INDEX(其他调用!AI$5:AI$364,MATCH($K317,其他调用!$AG$5:$AG$364,0),0),1)*INDEX(其他调用!Z$5:Z$404,MATCH($K317,其他调用!$X$5:$X$404,0),0)</f>
        <v>43863.541865696105</v>
      </c>
      <c r="W317" s="12">
        <f>MIN(INDEX(其他调用!$AI$5:$AI$364,MATCH($K317,其他调用!$AG$5:$AG$364,0),1)/INDEX(其他调用!AJ$5:AJ$364,MATCH($K317,其他调用!$AG$5:$AG$364,0),0),1)*INDEX(其他调用!AA$5:AA$404,MATCH($K317,其他调用!$X$5:$X$404,0),0)</f>
        <v>25942.37949714213</v>
      </c>
      <c r="X317" s="12">
        <f>MIN(INDEX(其他调用!$AI$5:$AI$364,MATCH($K317,其他调用!$AG$5:$AG$364,0),1)/INDEX(其他调用!AK$5:AK$364,MATCH($K317,其他调用!$AG$5:$AG$364,0),0),1)*INDEX(其他调用!AB$5:AB$404,MATCH($K317,其他调用!$X$5:$X$404,0),0)</f>
        <v>9955.6905446885321</v>
      </c>
      <c r="Y317" s="12">
        <f>MIN(INDEX(其他调用!$AI$5:$AI$364,MATCH($K317,其他调用!$AG$5:$AG$364,0),1)/INDEX(其他调用!AL$5:AL$364,MATCH($K317,其他调用!$AG$5:$AG$364,0),0),1)*INDEX(其他调用!AC$5:AC$404,MATCH($K317,其他调用!$X$5:$X$404,0),0)</f>
        <v>5979.7975488696284</v>
      </c>
      <c r="Z317" s="12">
        <f>求节点(节奏总纲!D$4:D$163,标准城池设计!AD$4:AD$163,$K317)*求节点(节奏总纲!D$4:D$163,攻城基础信息!$AE$5:$AE$164,$K317)</f>
        <v>953965.64406866126</v>
      </c>
      <c r="AA317" s="12">
        <f>INDEX(其他调用!$AA$5:$AA$404,MATCH($K317,其他调用!$X$5:$X$404,0))*MIN(INDEX(其他调用!AJ$5:AJ$364,MATCH($K317,其他调用!$AG$5:$AG$364,0),1)/INDEX(其他调用!$AJ$5:$AJ$364,MATCH($K317,其他调用!$AG$5:$AG$364,0),0),5)*求节点(节奏总纲!D$4:D$163,攻城基础信息!$AE$5:$AE$164,$K317)</f>
        <v>158851.76745800304</v>
      </c>
      <c r="AB317" s="12">
        <f>MIN(INDEX(其他调用!$AJ$5:$AJ$364,MATCH($K317,其他调用!$AG$5:$AG$364,0),1)/INDEX(其他调用!AH$5:AH$364,MATCH($K317,其他调用!$AG$5:$AG$364,0),0),1)*INDEX(其他调用!Y$5:Y$404,MATCH($K317,其他调用!$X$5:$X$404,0),0)</f>
        <v>42702.070024181339</v>
      </c>
      <c r="AC317" s="12">
        <f>MIN(INDEX(其他调用!$AJ$5:$AJ$364,MATCH($K317,其他调用!$AG$5:$AG$364,0),1)/INDEX(其他调用!AI$5:AI$364,MATCH($K317,其他调用!$AG$5:$AG$364,0),0),1)*INDEX(其他调用!Z$5:Z$404,MATCH($K317,其他调用!$X$5:$X$404,0),0)</f>
        <v>43863.541865696105</v>
      </c>
      <c r="AD317" s="12">
        <f>MIN(INDEX(其他调用!$AJ$5:$AJ$364,MATCH($K317,其他调用!$AG$5:$AG$364,0),1)/INDEX(其他调用!AJ$5:AJ$364,MATCH($K317,其他调用!$AG$5:$AG$364,0),0),1)*INDEX(其他调用!AA$5:AA$404,MATCH($K317,其他调用!$X$5:$X$404,0),0)</f>
        <v>45386.219273715185</v>
      </c>
      <c r="AE317" s="12">
        <f>MIN(INDEX(其他调用!$AJ$5:$AJ$364,MATCH($K317,其他调用!$AG$5:$AG$364,0),1)/INDEX(其他调用!AK$5:AK$364,MATCH($K317,其他调用!$AG$5:$AG$364,0),0),1)*INDEX(其他调用!AB$5:AB$404,MATCH($K317,其他调用!$X$5:$X$404,0),0)</f>
        <v>17417.490717544377</v>
      </c>
      <c r="AF317" s="12">
        <f>MIN(INDEX(其他调用!$AJ$5:$AJ$364,MATCH($K317,其他调用!$AG$5:$AG$364,0),1)/INDEX(其他调用!AL$5:AL$364,MATCH($K317,其他调用!$AG$5:$AG$364,0),0),1)*INDEX(其他调用!AC$5:AC$404,MATCH($K317,其他调用!$X$5:$X$404,0),0)</f>
        <v>10461.661883996401</v>
      </c>
      <c r="AG317" s="12">
        <f>求节点(节奏总纲!D$4:D$163,标准城池设计!AE$4:AE$163,$K317)*求节点(节奏总纲!D$4:D$163,攻城基础信息!$AF$5:$AF$164,$K317)</f>
        <v>1147837.6887273006</v>
      </c>
      <c r="AH317" s="12">
        <f>INDEX(其他调用!$AA$5:$AA$404,MATCH($K317,其他调用!$X$5:$X$404,0))*MIN(INDEX(其他调用!AK$5:AK$364,MATCH($K317,其他调用!$AG$5:$AG$364,0),1)/INDEX(其他调用!$AJ$5:$AJ$364,MATCH($K317,其他调用!$AG$5:$AG$364,0),0),5)*求节点(节奏总纲!D$4:D$163,攻城基础信息!$AF$5:$AF$164,$K317)</f>
        <v>434555.33670054266</v>
      </c>
      <c r="AI317" s="12">
        <f>MIN(INDEX(其他调用!$AK$5:$AK$364,MATCH($K317,其他调用!$AG$5:$AG$364,0),1)/INDEX(其他调用!AH$5:AH$364,MATCH($K317,其他调用!$AG$5:$AG$364,0),0),1)*INDEX(其他调用!Y$5:Y$404,MATCH($K317,其他调用!$X$5:$X$404,0),0)</f>
        <v>42702.070024181339</v>
      </c>
      <c r="AJ317" s="12">
        <f>MIN(INDEX(其他调用!$AK$5:$AK$364,MATCH($K317,其他调用!$AG$5:$AG$364,0),1)/INDEX(其他调用!AI$5:AI$364,MATCH($K317,其他调用!$AG$5:$AG$364,0),0),1)*INDEX(其他调用!Z$5:Z$404,MATCH($K317,其他调用!$X$5:$X$404,0),0)</f>
        <v>43863.541865696105</v>
      </c>
      <c r="AK317" s="12">
        <f>MIN(INDEX(其他调用!$AK$5:$AK$364,MATCH($K317,其他调用!$AG$5:$AG$364,0),1)/INDEX(其他调用!AJ$5:AJ$364,MATCH($K317,其他调用!$AG$5:$AG$364,0),0),1)*INDEX(其他调用!AA$5:AA$404,MATCH($K317,其他调用!$X$5:$X$404,0),0)</f>
        <v>45386.219273715185</v>
      </c>
      <c r="AL317" s="12">
        <f>MIN(INDEX(其他调用!$AK$5:$AK$364,MATCH($K317,其他调用!$AG$5:$AG$364,0),1)/INDEX(其他调用!AK$5:AK$364,MATCH($K317,其他调用!$AG$5:$AG$364,0),0),1)*INDEX(其他调用!AB$5:AB$404,MATCH($K317,其他调用!$X$5:$X$404,0),0)</f>
        <v>47647.336031323139</v>
      </c>
      <c r="AM317" s="12">
        <f>MIN(INDEX(其他调用!$AK$5:$AK$364,MATCH($K317,其他调用!$AG$5:$AG$364,0),1)/INDEX(其他调用!AL$5:AL$364,MATCH($K317,其他调用!$AG$5:$AG$364,0),0),1)*INDEX(其他调用!AC$5:AC$404,MATCH($K317,其他调用!$X$5:$X$404,0),0)</f>
        <v>28618.951335553746</v>
      </c>
      <c r="AN317" s="12">
        <f>求节点(节奏总纲!D$4:D$163,标准城池设计!AF$4:AF$163,$K317)*求节点(节奏总纲!D$4:D$163,攻城基础信息!$AG$5:$AG$164,$K317)</f>
        <v>1192408.5124508983</v>
      </c>
      <c r="AO317" s="12">
        <f>INDEX(其他调用!$AA$5:$AA$404,MATCH($K317,其他调用!$X$5:$X$404,0))*MIN(INDEX(其他调用!AL$5:AL$364,MATCH($K317,其他调用!$AG$5:$AG$364,0),1)/INDEX(其他调用!$AJ$5:$AJ$364,MATCH($K317,其他调用!$AG$5:$AG$364,0),0),5)*求节点(节奏总纲!D$4:D$163,攻城基础信息!$AG$5:$AG$164,$K317)</f>
        <v>782541.8205852363</v>
      </c>
      <c r="AP317" s="12">
        <f>MIN(INDEX(其他调用!$AL$5:$AL$364,MATCH($K317,其他调用!$AG$5:$AG$364,0),1)/INDEX(其他调用!AH$5:AH$364,MATCH($K317,其他调用!$AG$5:$AG$364,0),0),1)*INDEX(其他调用!Y$5:Y$404,MATCH($K317,其他调用!$X$5:$X$404,0),0)</f>
        <v>42702.070024181339</v>
      </c>
      <c r="AQ317" s="12">
        <f>MIN(INDEX(其他调用!$AL$5:$AL$364,MATCH($K317,其他调用!$AG$5:$AG$364,0),1)/INDEX(其他调用!AI$5:AI$364,MATCH($K317,其他调用!$AG$5:$AG$364,0),0),1)*INDEX(其他调用!Z$5:Z$404,MATCH($K317,其他调用!$X$5:$X$404,0),0)</f>
        <v>43863.541865696105</v>
      </c>
      <c r="AR317" s="12">
        <f>MIN(INDEX(其他调用!$AL$5:$AL$364,MATCH($K317,其他调用!$AG$5:$AG$364,0),1)/INDEX(其他调用!AJ$5:AJ$364,MATCH($K317,其他调用!$AG$5:$AG$364,0),0),1)*INDEX(其他调用!AA$5:AA$404,MATCH($K317,其他调用!$X$5:$X$404,0),0)</f>
        <v>45386.219273715185</v>
      </c>
      <c r="AS317" s="12">
        <f>MIN(INDEX(其他调用!$AL$5:$AL$364,MATCH($K317,其他调用!$AG$5:$AG$364,0),1)/INDEX(其他调用!AK$5:AK$364,MATCH($K317,其他调用!$AG$5:$AG$364,0),0),1)*INDEX(其他调用!AB$5:AB$404,MATCH($K317,其他调用!$X$5:$X$404,0),0)</f>
        <v>47647.336031323139</v>
      </c>
      <c r="AT317" s="12">
        <f>MIN(INDEX(其他调用!$AL$5:$AL$364,MATCH($K317,其他调用!$AG$5:$AG$364,0),1)/INDEX(其他调用!AL$5:AL$364,MATCH($K317,其他调用!$AG$5:$AG$364,0),0),1)*INDEX(其他调用!AC$5:AC$404,MATCH($K317,其他调用!$X$5:$X$404,0),0)</f>
        <v>51536.649972837709</v>
      </c>
      <c r="AV317" s="14">
        <f>IF(OR(AV$5="大R",AV$5="超R"),MAX(INDEX(其他调用!$H$5:$L$404,MATCH($K317,其他调用!$B$5:$B$404,0),MATCH(AV$5,其他调用!$H$4:$L$4,0))*120*0.85,2),INDEX(其他调用!$H$5:$L$404,MATCH($K317,其他调用!$B$5:$B$404,0),MATCH(AV$5,其他调用!$H$4:$L$4,0))*120*0.85)</f>
        <v>48.921801254999991</v>
      </c>
      <c r="AW317" s="14">
        <f>IF(OR(AW$5="大R",AW$5="超R"),MAX(INDEX(其他调用!$H$5:$L$404,MATCH($K317,其他调用!$B$5:$B$404,0),MATCH(AW$5,其他调用!$H$4:$L$4,0))*120*0.85,2),INDEX(其他调用!$H$5:$L$404,MATCH($K317,其他调用!$B$5:$B$404,0),MATCH(AW$5,其他调用!$H$4:$L$4,0))*120*0.85)</f>
        <v>48.237344010638395</v>
      </c>
      <c r="AX317" s="14">
        <f>IF(OR(AX$5="大R",AX$5="超R"),MAX(INDEX(其他调用!$H$5:$L$404,MATCH($K317,其他调用!$B$5:$B$404,0),MATCH(AX$5,其他调用!$H$4:$L$4,0))*120*0.85,2),INDEX(其他调用!$H$5:$L$404,MATCH($K317,其他调用!$B$5:$B$404,0),MATCH(AX$5,其他调用!$H$4:$L$4,0))*120*0.85)</f>
        <v>3.9376284143615998</v>
      </c>
      <c r="AY317" s="14">
        <f>IF(OR(AY$5="大R",AY$5="超R"),MAX(INDEX(其他调用!$H$5:$L$404,MATCH($K317,其他调用!$B$5:$B$404,0),MATCH(AY$5,其他调用!$H$4:$L$4,0))*120*0.85,2),INDEX(其他调用!$H$5:$L$404,MATCH($K317,其他调用!$B$5:$B$404,0),MATCH(AY$5,其他调用!$H$4:$L$4,0))*120*0.85)</f>
        <v>2</v>
      </c>
      <c r="AZ317" s="14">
        <f>IF(OR(AZ$5="大R",AZ$5="超R"),MAX(INDEX(其他调用!$H$5:$L$404,MATCH($K317,其他调用!$B$5:$B$404,0),MATCH(AZ$5,其他调用!$H$4:$L$4,0))*120*0.85,2),INDEX(其他调用!$H$5:$L$404,MATCH($K317,其他调用!$B$5:$B$404,0),MATCH(AZ$5,其他调用!$H$4:$L$4,0))*120*0.85)</f>
        <v>2</v>
      </c>
      <c r="BA317" s="14">
        <f>INDEX(其他调用!$H$5:$L$404,MATCH($K317,其他调用!$B$5:$B$404,0),MATCH(BA$5,其他调用!$H$4:$L$4,0))*INDEX(其他调用!$M$5:$M$404,MATCH($K317,其他调用!$B$5:$B$404,0))*0.6</f>
        <v>28.777530149999997</v>
      </c>
      <c r="BB317" s="14">
        <f>INDEX(其他调用!$H$5:$L$404,MATCH($K317,其他调用!$B$5:$B$404,0),MATCH(BB$5,其他调用!$H$4:$L$4,0))*INDEX(其他调用!$M$5:$M$404,MATCH($K317,其他调用!$B$5:$B$404,0))*0.6</f>
        <v>28.374908241551999</v>
      </c>
      <c r="BC317" s="14">
        <f>INDEX(其他调用!$H$5:$L$404,MATCH($K317,其他调用!$B$5:$B$404,0),MATCH(BC$5,其他调用!$H$4:$L$4,0))*INDEX(其他调用!$M$5:$M$404,MATCH($K317,其他调用!$B$5:$B$404,0))*0.6</f>
        <v>2.3162520084480001</v>
      </c>
      <c r="BD317" s="14">
        <f>INDEX(其他调用!$H$5:$L$404,MATCH($K317,其他调用!$B$5:$B$404,0),MATCH(BD$5,其他调用!$H$4:$L$4,0))*INDEX(其他调用!$M$5:$M$404,MATCH($K317,其他调用!$B$5:$B$404,0))*0.6</f>
        <v>0.4120776000000001</v>
      </c>
      <c r="BE317" s="14">
        <f>INDEX(其他调用!$H$5:$L$404,MATCH($K317,其他调用!$B$5:$B$404,0),MATCH(BE$5,其他调用!$H$4:$L$4,0))*INDEX(其他调用!$M$5:$M$404,MATCH($K317,其他调用!$B$5:$B$404,0))*0.6</f>
        <v>0.11923199999999998</v>
      </c>
      <c r="BF317" s="14">
        <f>IF(OR(BF$5="大R",BF$5="超R"),0,INDEX(其他调用!$H$5:$L$404,MATCH($K317,其他调用!$B$5:$B$404,0),MATCH(BF$5,其他调用!$H$4:$L$4,0))*50*0.4)</f>
        <v>9.5925100500000013</v>
      </c>
      <c r="BG317" s="14">
        <f>IF(OR(BG$5="大R",BG$5="超R"),0,INDEX(其他调用!$H$5:$L$404,MATCH($K317,其他调用!$B$5:$B$404,0),MATCH(BG$5,其他调用!$H$4:$L$4,0))*50*0.4)</f>
        <v>9.4583027471839998</v>
      </c>
      <c r="BH317" s="14">
        <f>IF(OR(BH$5="大R",BH$5="超R"),0,INDEX(其他调用!$H$5:$L$404,MATCH($K317,其他调用!$B$5:$B$404,0),MATCH(BH$5,其他调用!$H$4:$L$4,0))*50*0.4)</f>
        <v>0.77208400281600009</v>
      </c>
      <c r="BI317" s="14">
        <f>IF(OR(BI$5="大R",BI$5="超R"),0,INDEX(其他调用!$H$5:$L$404,MATCH($K317,其他调用!$B$5:$B$404,0),MATCH(BI$5,其他调用!$H$4:$L$4,0))*50*0.4)</f>
        <v>0</v>
      </c>
      <c r="BJ317" s="14">
        <f>IF(OR(BJ$5="大R",BJ$5="超R"),0,INDEX(其他调用!$H$5:$L$404,MATCH($K317,其他调用!$B$5:$B$404,0),MATCH(BJ$5,其他调用!$H$4:$L$4,0))*50*0.4)</f>
        <v>0</v>
      </c>
      <c r="BL317" s="14">
        <f t="shared" si="523"/>
        <v>312</v>
      </c>
      <c r="BM317" s="14">
        <f t="shared" si="430"/>
        <v>96</v>
      </c>
      <c r="BN317" s="14">
        <f>('疲劳值&amp;地图信息'!$S$10*'疲劳值&amp;地图信息'!$R$10+'疲劳值&amp;地图信息'!$S$11*'疲劳值&amp;地图信息'!$R$11+'疲劳值&amp;地图信息'!$S$12*'疲劳值&amp;地图信息'!$R$12+(BM317-'疲劳值&amp;地图信息'!$S$12-'疲劳值&amp;地图信息'!$S$11-'疲劳值&amp;地图信息'!$S$10)*'疲劳值&amp;地图信息'!$R$13)/BM317</f>
        <v>51.371477246638619</v>
      </c>
      <c r="BO317" s="14">
        <f>INDEX(其他调用!$M$5:$M$404,MATCH(BL317,其他调用!$B$5:$B$404,0))*0.6</f>
        <v>60</v>
      </c>
      <c r="BP317" s="14">
        <f>IF(BO317&gt;SUM('疲劳值&amp;地图信息'!$S$10:$S$12),('疲劳值&amp;地图信息'!$S$10*'疲劳值&amp;地图信息'!$R$10+'疲劳值&amp;地图信息'!$S$11*'疲劳值&amp;地图信息'!$R$11+'疲劳值&amp;地图信息'!$S$12*'疲劳值&amp;地图信息'!$R$12+(BO317-'疲劳值&amp;地图信息'!$S$12-'疲劳值&amp;地图信息'!$S$11-'疲劳值&amp;地图信息'!$S$10)*'疲劳值&amp;地图信息'!$R$13)/BO317,('疲劳值&amp;地图信息'!$S$10*'疲劳值&amp;地图信息'!$R$10+'疲劳值&amp;地图信息'!$S$11*'疲劳值&amp;地图信息'!$R$11+'疲劳值&amp;地图信息'!$S$12*'疲劳值&amp;地图信息'!$R$12+(BO317-'疲劳值&amp;地图信息'!$S$12-'疲劳值&amp;地图信息'!$S$11-'疲劳值&amp;地图信息'!$S$10)*'疲劳值&amp;地图信息'!$R$13)/BO317)</f>
        <v>44.158136341605953</v>
      </c>
      <c r="BQ317" s="14">
        <f t="shared" si="524"/>
        <v>20</v>
      </c>
      <c r="BR317" s="14">
        <f>('疲劳值&amp;地图信息'!$S$10*'疲劳值&amp;地图信息'!$R$10+($BQ317-'疲劳值&amp;地图信息'!$S$10)*'疲劳值&amp;地图信息'!$R$11)/$BQ317</f>
        <v>32.067203015074995</v>
      </c>
      <c r="CF317" s="14">
        <v>312</v>
      </c>
      <c r="CG317" s="51">
        <f t="shared" si="431"/>
        <v>16262</v>
      </c>
      <c r="CH317" s="51">
        <f t="shared" si="432"/>
        <v>1079</v>
      </c>
      <c r="CI317" s="51">
        <f>INT(SUMPRODUCT($N317:$R317,$BA317:$BE317)/SUM($BA317:$BE317)/10000*$BX$7*$BZ$34/'疲劳值&amp;地图信息'!$R$10*$BY$53)</f>
        <v>3369</v>
      </c>
      <c r="CJ317" s="50">
        <f t="shared" si="433"/>
        <v>0.78522452921294061</v>
      </c>
      <c r="CK317" s="50">
        <f t="shared" si="434"/>
        <v>5.2100434572670211E-2</v>
      </c>
      <c r="CL317" s="50">
        <f t="shared" si="435"/>
        <v>0.1626750362143892</v>
      </c>
      <c r="CM317" s="14">
        <f t="shared" si="436"/>
        <v>17834</v>
      </c>
      <c r="CN317" s="14">
        <f t="shared" si="437"/>
        <v>1850</v>
      </c>
      <c r="CO317" s="14">
        <f>INT(SUMPRODUCT($U317:$Y317,$BA317:$BE317)/SUM($BA317:$BE317)/10000*$BX$7*$BZ$34/'疲劳值&amp;地图信息'!$R$10*$BY$54)</f>
        <v>6439</v>
      </c>
      <c r="CP317" s="50">
        <f t="shared" si="438"/>
        <v>0.68269341193584199</v>
      </c>
      <c r="CQ317" s="50">
        <f t="shared" si="439"/>
        <v>7.0818818665543778E-2</v>
      </c>
      <c r="CR317" s="50">
        <f t="shared" si="440"/>
        <v>0.24648776939861425</v>
      </c>
      <c r="CS317" s="14">
        <f t="shared" si="441"/>
        <v>19443</v>
      </c>
      <c r="CT317" s="14">
        <f t="shared" si="442"/>
        <v>3237</v>
      </c>
      <c r="CU317" s="14">
        <f>INT(SUMPRODUCT($AB317:$AF317,$BA317:$BE317)/SUM($BA317:$BE317)/10000*$BX$7*$BZ$34/'疲劳值&amp;地图信息'!$R$10*$BY$55)</f>
        <v>8749</v>
      </c>
      <c r="CV317" s="50">
        <f t="shared" si="443"/>
        <v>0.61863247319354731</v>
      </c>
      <c r="CW317" s="50">
        <f t="shared" si="444"/>
        <v>0.10299405008113525</v>
      </c>
      <c r="CX317" s="50">
        <f t="shared" si="445"/>
        <v>0.27837347672531737</v>
      </c>
      <c r="CY317" s="14">
        <f t="shared" si="446"/>
        <v>23394</v>
      </c>
      <c r="CZ317" s="14">
        <f t="shared" si="447"/>
        <v>8856</v>
      </c>
      <c r="DA317" s="14">
        <f>INT(SUMPRODUCT($AI317:$AM317,$BA317:$BE317)/SUM($BA317:$BE317)/10000*$BX$7*$BZ$34/'疲劳值&amp;地图信息'!$R$10*$BY$56)</f>
        <v>13199</v>
      </c>
      <c r="DB317" s="50">
        <f t="shared" si="448"/>
        <v>0.51473079715725323</v>
      </c>
      <c r="DC317" s="50">
        <f t="shared" si="449"/>
        <v>0.19485577240423332</v>
      </c>
      <c r="DD317" s="50">
        <f t="shared" si="450"/>
        <v>0.29041343043851348</v>
      </c>
      <c r="DE317" s="14">
        <f t="shared" si="451"/>
        <v>24302</v>
      </c>
      <c r="DF317" s="14">
        <f t="shared" si="452"/>
        <v>15949</v>
      </c>
      <c r="DG317" s="14">
        <f>INT(SUMPRODUCT($AP317:$AT317,$BA317:$BE317)/SUM($BA317:$BE317)/10000*$BX$7*$BZ$34/'疲劳值&amp;地图信息'!$R$10*$BY$57)</f>
        <v>17617</v>
      </c>
      <c r="DH317" s="50">
        <f t="shared" si="453"/>
        <v>0.41995576138798646</v>
      </c>
      <c r="DI317" s="50">
        <f t="shared" si="454"/>
        <v>0.27561000898596805</v>
      </c>
      <c r="DJ317" s="50">
        <f t="shared" si="455"/>
        <v>0.30443422962604549</v>
      </c>
      <c r="DL317" s="14">
        <f t="shared" si="526"/>
        <v>20710</v>
      </c>
      <c r="DM317" s="14">
        <f t="shared" si="527"/>
        <v>26123</v>
      </c>
      <c r="DN317" s="14">
        <f t="shared" si="528"/>
        <v>31429</v>
      </c>
      <c r="DO317" s="14">
        <f t="shared" si="529"/>
        <v>45449</v>
      </c>
      <c r="DP317" s="14">
        <f t="shared" si="530"/>
        <v>57868</v>
      </c>
      <c r="DQ317" s="14">
        <f t="shared" si="531"/>
        <v>1435646</v>
      </c>
      <c r="DT317" s="14">
        <f t="shared" si="525"/>
        <v>235575</v>
      </c>
      <c r="DU317" s="50">
        <f t="shared" si="427"/>
        <v>0.14095981321441031</v>
      </c>
      <c r="DW317" s="14">
        <f t="shared" si="456"/>
        <v>1671221</v>
      </c>
      <c r="EB317" s="14">
        <v>312</v>
      </c>
      <c r="EC317" s="51">
        <f t="shared" si="457"/>
        <v>27104</v>
      </c>
      <c r="ED317" s="51">
        <f t="shared" si="458"/>
        <v>1798</v>
      </c>
      <c r="EE317" s="51">
        <f>INT(SUMPRODUCT($N317:$R317,$BF317:$BJ317)/SUM($BF317:$BJ317)/10000*$BX$7*$BZ$46/'疲劳值&amp;地图信息'!$R$10*$BY$53)</f>
        <v>452</v>
      </c>
      <c r="EF317" s="50">
        <f t="shared" si="459"/>
        <v>0.92334945833617221</v>
      </c>
      <c r="EG317" s="50">
        <f t="shared" si="460"/>
        <v>6.1252299516249914E-2</v>
      </c>
      <c r="EH317" s="50">
        <f t="shared" si="461"/>
        <v>1.5398242147577844E-2</v>
      </c>
      <c r="EI317" s="51">
        <f t="shared" si="462"/>
        <v>29723</v>
      </c>
      <c r="EJ317" s="51">
        <f t="shared" si="463"/>
        <v>3084</v>
      </c>
      <c r="EK317" s="14">
        <f>INT(SUMPRODUCT($U317:$Y317,$BF317:$BJ317)/SUM($BF317:$BJ317)/10000*$BX$7*$BZ$46/'疲劳值&amp;地图信息'!$R$10*$BY$54)</f>
        <v>864</v>
      </c>
      <c r="EL317" s="50">
        <f t="shared" si="464"/>
        <v>0.88274776513914055</v>
      </c>
      <c r="EM317" s="50">
        <f t="shared" si="465"/>
        <v>9.1592171304683556E-2</v>
      </c>
      <c r="EN317" s="50">
        <f t="shared" si="466"/>
        <v>2.5660063556175939E-2</v>
      </c>
      <c r="EO317" s="51">
        <f t="shared" si="467"/>
        <v>32405</v>
      </c>
      <c r="EP317" s="51">
        <f t="shared" si="468"/>
        <v>5396</v>
      </c>
      <c r="EQ317" s="14">
        <f>INT(SUMPRODUCT($AB317:$AF317,$BF317:$BJ317)/SUM($BF317:$BJ317)/10000*$BX$7*$BZ$46/'疲劳值&amp;地图信息'!$R$10*$BY$55)</f>
        <v>1173</v>
      </c>
      <c r="ER317" s="50">
        <f t="shared" si="469"/>
        <v>0.83145173705547293</v>
      </c>
      <c r="ES317" s="50">
        <f t="shared" si="470"/>
        <v>0.13845127520911377</v>
      </c>
      <c r="ET317" s="50">
        <f t="shared" si="471"/>
        <v>3.0096987735413354E-2</v>
      </c>
      <c r="EU317" s="51">
        <f t="shared" si="472"/>
        <v>38990</v>
      </c>
      <c r="EV317" s="51">
        <f t="shared" si="473"/>
        <v>14761</v>
      </c>
      <c r="EW317" s="14">
        <f>INT(SUMPRODUCT($AI317:$AM317,$BF317:$BJ317)/SUM($BF317:$BJ317)/10000*$BX$7*$BZ$46/'疲劳值&amp;地图信息'!$R$10*$BY$56)</f>
        <v>1759</v>
      </c>
      <c r="EX317" s="50">
        <f t="shared" si="474"/>
        <v>0.7023959646910467</v>
      </c>
      <c r="EY317" s="50">
        <f t="shared" si="475"/>
        <v>0.26591605116195283</v>
      </c>
      <c r="EZ317" s="50">
        <f t="shared" si="476"/>
        <v>3.1687984147000539E-2</v>
      </c>
      <c r="FA317" s="51">
        <f t="shared" si="477"/>
        <v>40504</v>
      </c>
      <c r="FB317" s="51">
        <f t="shared" si="478"/>
        <v>26582</v>
      </c>
      <c r="FC317" s="14">
        <f>INT(SUMPRODUCT($AP317:$AT317,$BF317:$BJ317)/SUM($BF317:$BJ317)/10000*$BX$7*$BZ$46/'疲劳值&amp;地图信息'!$R$10*$BY$57)</f>
        <v>2346</v>
      </c>
      <c r="FD317" s="50">
        <f t="shared" si="479"/>
        <v>0.58336213849521834</v>
      </c>
      <c r="FE317" s="50">
        <f t="shared" si="480"/>
        <v>0.38284940661366518</v>
      </c>
      <c r="FF317" s="50">
        <f t="shared" si="481"/>
        <v>3.3788454891116489E-2</v>
      </c>
      <c r="FH317" s="14">
        <f t="shared" si="482"/>
        <v>29354</v>
      </c>
      <c r="FI317" s="14">
        <f t="shared" si="483"/>
        <v>33671</v>
      </c>
      <c r="FJ317" s="14">
        <f t="shared" si="484"/>
        <v>38974</v>
      </c>
      <c r="FK317" s="14">
        <f t="shared" si="485"/>
        <v>55510</v>
      </c>
      <c r="FL317" s="14">
        <f t="shared" si="486"/>
        <v>69432</v>
      </c>
      <c r="FM317" s="14">
        <f t="shared" si="487"/>
        <v>3463599</v>
      </c>
      <c r="FP317" s="14">
        <f t="shared" si="488"/>
        <v>334150</v>
      </c>
      <c r="FQ317" s="50">
        <f t="shared" si="428"/>
        <v>8.7986330850195735E-2</v>
      </c>
      <c r="FS317" s="14">
        <f t="shared" si="489"/>
        <v>3797749</v>
      </c>
      <c r="FX317" s="14">
        <v>312</v>
      </c>
      <c r="FY317" s="51">
        <f t="shared" si="490"/>
        <v>37946</v>
      </c>
      <c r="FZ317" s="51">
        <f t="shared" si="491"/>
        <v>1798</v>
      </c>
      <c r="GA317" s="51">
        <f>INT(SUMPRODUCT($N317:$R317,$BF317:$BJ317)/SUM($BF317:$BJ317)/10000*$BX$7*$BZ$46/'疲劳值&amp;地图信息'!$R$10*$BY$53)</f>
        <v>452</v>
      </c>
      <c r="GB317" s="50">
        <f t="shared" si="492"/>
        <v>0.94402428102298741</v>
      </c>
      <c r="GC317" s="50">
        <f t="shared" si="493"/>
        <v>4.4730818986963877E-2</v>
      </c>
      <c r="GD317" s="50">
        <f t="shared" si="494"/>
        <v>1.1244899990048761E-2</v>
      </c>
      <c r="GE317" s="51">
        <f t="shared" si="495"/>
        <v>41612</v>
      </c>
      <c r="GF317" s="51">
        <f t="shared" si="496"/>
        <v>3084</v>
      </c>
      <c r="GG317" s="14">
        <f>INT(SUMPRODUCT($U317:$Y317,$BF317:$BJ317)/SUM($BF317:$BJ317)/10000*$BX$7*$BZ$46/'疲劳值&amp;地图信息'!$R$10*$BY$54)</f>
        <v>864</v>
      </c>
      <c r="GH317" s="50">
        <f t="shared" si="497"/>
        <v>0.91334503950834067</v>
      </c>
      <c r="GI317" s="50">
        <f t="shared" si="498"/>
        <v>6.7690956979806843E-2</v>
      </c>
      <c r="GJ317" s="50">
        <f t="shared" si="499"/>
        <v>1.8964003511852501E-2</v>
      </c>
      <c r="GK317" s="51">
        <f t="shared" si="500"/>
        <v>45367</v>
      </c>
      <c r="GL317" s="51">
        <f t="shared" si="501"/>
        <v>5396</v>
      </c>
      <c r="GM317" s="14">
        <f>INT(SUMPRODUCT($AB317:$AF317,$BF317:$BJ317)/SUM($BF317:$BJ317)/10000*$BX$7*$BZ$46/'疲劳值&amp;地图信息'!$R$10*$BY$55)</f>
        <v>1173</v>
      </c>
      <c r="GN317" s="50">
        <f t="shared" si="502"/>
        <v>0.87351740603820083</v>
      </c>
      <c r="GO317" s="50">
        <f t="shared" si="503"/>
        <v>0.10389710412815774</v>
      </c>
      <c r="GP317" s="50">
        <f t="shared" si="504"/>
        <v>2.2585489833641406E-2</v>
      </c>
      <c r="GQ317" s="51">
        <f t="shared" si="505"/>
        <v>54586</v>
      </c>
      <c r="GR317" s="51">
        <f t="shared" si="506"/>
        <v>14761</v>
      </c>
      <c r="GS317" s="14">
        <f>INT(SUMPRODUCT($AI317:$AM317,$BF317:$BJ317)/SUM($BF317:$BJ317)/10000*$BX$7*$BZ$46/'疲劳值&amp;地图信息'!$R$10*$BY$56)</f>
        <v>1759</v>
      </c>
      <c r="GT317" s="50">
        <f t="shared" si="507"/>
        <v>0.76767080133884624</v>
      </c>
      <c r="GU317" s="50">
        <f t="shared" si="508"/>
        <v>0.20759148313785053</v>
      </c>
      <c r="GV317" s="50">
        <f t="shared" si="509"/>
        <v>2.4737715523303238E-2</v>
      </c>
      <c r="GW317" s="51">
        <f t="shared" si="510"/>
        <v>56706</v>
      </c>
      <c r="GX317" s="51">
        <f t="shared" si="511"/>
        <v>26582</v>
      </c>
      <c r="GY317" s="14">
        <f>INT(SUMPRODUCT($AP317:$AT317,$BF317:$BJ317)/SUM($BF317:$BJ317)/10000*$BX$7*$BZ$46/'疲劳值&amp;地图信息'!$R$10*$BY$57)</f>
        <v>2346</v>
      </c>
      <c r="GZ317" s="50">
        <f t="shared" si="512"/>
        <v>0.66219025153560507</v>
      </c>
      <c r="HA317" s="50">
        <f t="shared" si="513"/>
        <v>0.31041408786229768</v>
      </c>
      <c r="HB317" s="50">
        <f t="shared" si="514"/>
        <v>2.7395660602097298E-2</v>
      </c>
      <c r="HD317" s="14">
        <f t="shared" si="515"/>
        <v>40196</v>
      </c>
      <c r="HE317" s="14">
        <f t="shared" si="516"/>
        <v>45560</v>
      </c>
      <c r="HF317" s="14">
        <f t="shared" si="517"/>
        <v>51936</v>
      </c>
      <c r="HG317" s="14">
        <f t="shared" si="518"/>
        <v>71106</v>
      </c>
      <c r="HH317" s="14">
        <f t="shared" si="519"/>
        <v>85634</v>
      </c>
      <c r="HI317" s="14">
        <f t="shared" si="520"/>
        <v>4682138</v>
      </c>
      <c r="HL317" s="14">
        <f t="shared" si="521"/>
        <v>430050</v>
      </c>
      <c r="HM317" s="50">
        <f t="shared" si="429"/>
        <v>8.4122493147748084E-2</v>
      </c>
      <c r="HO317" s="14">
        <f t="shared" si="522"/>
        <v>5112188</v>
      </c>
    </row>
    <row r="318" spans="11:223" x14ac:dyDescent="0.2">
      <c r="K318" s="14">
        <v>313</v>
      </c>
      <c r="L318" s="12">
        <f>求节点(节奏总纲!D$4:D$163,标准城池设计!AB$4:AB$163,$K318)*求节点(节奏总纲!D$4:D$163,攻城基础信息!$AC$5:$AC$164,$K318)</f>
        <v>799082.7455082977</v>
      </c>
      <c r="M318" s="12">
        <f>INDEX(其他调用!$AA$5:$AA$404,MATCH(K318,其他调用!$X$5:$X$404,0))*MIN(INDEX(其他调用!$AH$5:$AH$364,MATCH('征服点（新）'!K318,其他调用!$AG$5:$AG$364,0),1)/INDEX(其他调用!$AJ$5:$AJ$364,MATCH(K318,其他调用!$AG$5:$AG$364,0),0),5)*求节点(节奏总纲!D$4:D$163,攻城基础信息!$AC$5:$AC$164,$K318)</f>
        <v>52912.233521667862</v>
      </c>
      <c r="N318" s="12">
        <f>MIN(INDEX(其他调用!$AH$5:$AH$364,MATCH($K318,其他调用!$AG$5:$AG$364,0),1)/INDEX(其他调用!AH$5:AH$364,MATCH($K318,其他调用!$AG$5:$AG$364,0),0),1)*INDEX(其他调用!Y$5:Y$404,MATCH($K318,其他调用!$X$5:$X$404,0),0)</f>
        <v>42721.145689716825</v>
      </c>
      <c r="O318" s="12">
        <f>MIN(INDEX(其他调用!$AH$5:$AH$364,MATCH($K318,其他调用!$AG$5:$AG$364,0),1)/INDEX(其他调用!AI$5:AI$364,MATCH($K318,其他调用!$AG$5:$AG$364,0),0),1)*INDEX(其他调用!Z$5:Z$404,MATCH($K318,其他调用!$X$5:$X$404,0),0)</f>
        <v>25569.044333537229</v>
      </c>
      <c r="P318" s="12">
        <f>MIN(INDEX(其他调用!$AH$5:$AH$364,MATCH($K318,其他调用!$AG$5:$AG$364,0),1)/INDEX(其他调用!AJ$5:AJ$364,MATCH($K318,其他调用!$AG$5:$AG$364,0),0),1)*INDEX(其他调用!AA$5:AA$404,MATCH($K318,其他调用!$X$5:$X$404,0),0)</f>
        <v>15117.781006190828</v>
      </c>
      <c r="Q318" s="12">
        <f>MIN(INDEX(其他调用!$AH$5:$AH$364,MATCH($K318,其他调用!$AG$5:$AG$364,0),1)/INDEX(其他调用!AK$5:AK$364,MATCH($K318,其他调用!$AG$5:$AG$364,0),0),1)*INDEX(其他调用!AB$5:AB$404,MATCH($K318,其他调用!$X$5:$X$404,0),0)</f>
        <v>5808.8558975058968</v>
      </c>
      <c r="R318" s="12">
        <f>MIN(INDEX(其他调用!$AH$5:$AH$364,MATCH($K318,其他调用!$AG$5:$AG$364,0),1)/INDEX(其他调用!AL$5:AL$364,MATCH($K318,其他调用!$AG$5:$AG$364,0),0),1)*INDEX(其他调用!AC$5:AC$404,MATCH($K318,其他调用!$X$5:$X$404,0),0)</f>
        <v>3494.9309046469725</v>
      </c>
      <c r="S318" s="12">
        <f>求节点(节奏总纲!D$4:D$163,标准城池设计!AC$4:AC$163,$K318)*求节点(节奏总纲!D$4:D$163,攻城基础信息!$AD$5:$AD$164,$K318)</f>
        <v>876317.77055562835</v>
      </c>
      <c r="T318" s="12">
        <f>INDEX(其他调用!$AA$5:$AA$404,MATCH($K318,其他调用!$X$5:$X$404,0))*MIN(INDEX(其他调用!AI$5:AI$364,MATCH($K318,其他调用!$AG$5:$AG$364,0),1)/INDEX(其他调用!$AJ$5:$AJ$364,MATCH($K318,其他调用!$AG$5:$AG$364,0),0),5)*求节点(节奏总纲!D$4:D$163,攻城基础信息!$AD$5:$AD$164,$K318)</f>
        <v>90807.574523145013</v>
      </c>
      <c r="U318" s="12">
        <f>MIN(INDEX(其他调用!$AI$5:$AI$364,MATCH($K318,其他调用!$AG$5:$AG$364,0),1)/INDEX(其他调用!AH$5:AH$364,MATCH($K318,其他调用!$AG$5:$AG$364,0),0),1)*INDEX(其他调用!Y$5:Y$404,MATCH($K318,其他调用!$X$5:$X$404,0),0)</f>
        <v>42721.145689716825</v>
      </c>
      <c r="V318" s="12">
        <f>MIN(INDEX(其他调用!$AI$5:$AI$364,MATCH($K318,其他调用!$AG$5:$AG$364,0),1)/INDEX(其他调用!AI$5:AI$364,MATCH($K318,其他调用!$AG$5:$AG$364,0),0),1)*INDEX(其他调用!Z$5:Z$404,MATCH($K318,其他调用!$X$5:$X$404,0),0)</f>
        <v>43881.400278679685</v>
      </c>
      <c r="W318" s="12">
        <f>MIN(INDEX(其他调用!$AI$5:$AI$364,MATCH($K318,其他调用!$AG$5:$AG$364,0),1)/INDEX(其他调用!AJ$5:AJ$364,MATCH($K318,其他调用!$AG$5:$AG$364,0),0),1)*INDEX(其他调用!AA$5:AA$404,MATCH($K318,其他调用!$X$5:$X$404,0),0)</f>
        <v>25945.021292327161</v>
      </c>
      <c r="X318" s="12">
        <f>MIN(INDEX(其他调用!$AI$5:$AI$364,MATCH($K318,其他调用!$AG$5:$AG$364,0),1)/INDEX(其他调用!AK$5:AK$364,MATCH($K318,其他调用!$AG$5:$AG$364,0),0),1)*INDEX(其他调用!AB$5:AB$404,MATCH($K318,其他调用!$X$5:$X$404,0),0)</f>
        <v>9969.1145071577394</v>
      </c>
      <c r="Y318" s="12">
        <f>MIN(INDEX(其他调用!$AI$5:$AI$364,MATCH($K318,其他调用!$AG$5:$AG$364,0),1)/INDEX(其他调用!AL$5:AL$364,MATCH($K318,其他调用!$AG$5:$AG$364,0),0),1)*INDEX(其他调用!AC$5:AC$404,MATCH($K318,其他调用!$X$5:$X$404,0),0)</f>
        <v>5997.9739552481615</v>
      </c>
      <c r="Z318" s="12">
        <f>求节点(节奏总纲!D$4:D$163,标准城池设计!AD$4:AD$163,$K318)*求节点(节奏总纲!D$4:D$163,攻城基础信息!$AE$5:$AE$164,$K318)</f>
        <v>955331.54803606286</v>
      </c>
      <c r="AA318" s="12">
        <f>INDEX(其他调用!$AA$5:$AA$404,MATCH($K318,其他调用!$X$5:$X$404,0))*MIN(INDEX(其他调用!AJ$5:AJ$364,MATCH($K318,其他调用!$AG$5:$AG$364,0),1)/INDEX(其他调用!$AJ$5:$AJ$364,MATCH($K318,其他调用!$AG$5:$AG$364,0),0),5)*求节点(节奏总纲!D$4:D$163,攻城基础信息!$AE$5:$AE$164,$K318)</f>
        <v>158919.39622698005</v>
      </c>
      <c r="AB318" s="12">
        <f>MIN(INDEX(其他调用!$AJ$5:$AJ$364,MATCH($K318,其他调用!$AG$5:$AG$364,0),1)/INDEX(其他调用!AH$5:AH$364,MATCH($K318,其他调用!$AG$5:$AG$364,0),0),1)*INDEX(其他调用!Y$5:Y$404,MATCH($K318,其他调用!$X$5:$X$404,0),0)</f>
        <v>42721.145689716825</v>
      </c>
      <c r="AC318" s="12">
        <f>MIN(INDEX(其他调用!$AJ$5:$AJ$364,MATCH($K318,其他调用!$AG$5:$AG$364,0),1)/INDEX(其他调用!AI$5:AI$364,MATCH($K318,其他调用!$AG$5:$AG$364,0),0),1)*INDEX(其他调用!Z$5:Z$404,MATCH($K318,其他调用!$X$5:$X$404,0),0)</f>
        <v>43881.400278679685</v>
      </c>
      <c r="AD318" s="12">
        <f>MIN(INDEX(其他调用!$AJ$5:$AJ$364,MATCH($K318,其他调用!$AG$5:$AG$364,0),1)/INDEX(其他调用!AJ$5:AJ$364,MATCH($K318,其他调用!$AG$5:$AG$364,0),0),1)*INDEX(其他调用!AA$5:AA$404,MATCH($K318,其他调用!$X$5:$X$404,0),0)</f>
        <v>45405.541779137187</v>
      </c>
      <c r="AE318" s="12">
        <f>MIN(INDEX(其他调用!$AJ$5:$AJ$364,MATCH($K318,其他调用!$AG$5:$AG$364,0),1)/INDEX(其他调用!AK$5:AK$364,MATCH($K318,其他调用!$AG$5:$AG$364,0),0),1)*INDEX(其他调用!AB$5:AB$404,MATCH($K318,其他调用!$X$5:$X$404,0),0)</f>
        <v>17446.624543323018</v>
      </c>
      <c r="AF318" s="12">
        <f>MIN(INDEX(其他调用!$AJ$5:$AJ$364,MATCH($K318,其他调用!$AG$5:$AG$364,0),1)/INDEX(其他调用!AL$5:AL$364,MATCH($K318,其他调用!$AG$5:$AG$364,0),0),1)*INDEX(其他调用!AC$5:AC$404,MATCH($K318,其他调用!$X$5:$X$404,0),0)</f>
        <v>10496.860031320837</v>
      </c>
      <c r="AG318" s="12">
        <f>求节点(节奏总纲!D$4:D$163,标准城池设计!AE$4:AE$163,$K318)*求节点(节奏总纲!D$4:D$163,攻城基础信息!$AF$5:$AF$164,$K318)</f>
        <v>1149198.2560786996</v>
      </c>
      <c r="AH318" s="12">
        <f>INDEX(其他调用!$AA$5:$AA$404,MATCH($K318,其他调用!$X$5:$X$404,0))*MIN(INDEX(其他调用!AK$5:AK$364,MATCH($K318,其他调用!$AG$5:$AG$364,0),1)/INDEX(其他调用!$AJ$5:$AJ$364,MATCH($K318,其他调用!$AG$5:$AG$364,0),0),5)*求节点(节奏总纲!D$4:D$163,攻城基础信息!$AF$5:$AF$164,$K318)</f>
        <v>434178.62653613964</v>
      </c>
      <c r="AI318" s="12">
        <f>MIN(INDEX(其他调用!$AK$5:$AK$364,MATCH($K318,其他调用!$AG$5:$AG$364,0),1)/INDEX(其他调用!AH$5:AH$364,MATCH($K318,其他调用!$AG$5:$AG$364,0),0),1)*INDEX(其他调用!Y$5:Y$404,MATCH($K318,其他调用!$X$5:$X$404,0),0)</f>
        <v>42721.145689716825</v>
      </c>
      <c r="AJ318" s="12">
        <f>MIN(INDEX(其他调用!$AK$5:$AK$364,MATCH($K318,其他调用!$AG$5:$AG$364,0),1)/INDEX(其他调用!AI$5:AI$364,MATCH($K318,其他调用!$AG$5:$AG$364,0),0),1)*INDEX(其他调用!Z$5:Z$404,MATCH($K318,其他调用!$X$5:$X$404,0),0)</f>
        <v>43881.400278679685</v>
      </c>
      <c r="AK318" s="12">
        <f>MIN(INDEX(其他调用!$AK$5:$AK$364,MATCH($K318,其他调用!$AG$5:$AG$364,0),1)/INDEX(其他调用!AJ$5:AJ$364,MATCH($K318,其他调用!$AG$5:$AG$364,0),0),1)*INDEX(其他调用!AA$5:AA$404,MATCH($K318,其他调用!$X$5:$X$404,0),0)</f>
        <v>45405.541779137187</v>
      </c>
      <c r="AL318" s="12">
        <f>MIN(INDEX(其他调用!$AK$5:$AK$364,MATCH($K318,其他调用!$AG$5:$AG$364,0),1)/INDEX(其他调用!AK$5:AK$364,MATCH($K318,其他调用!$AG$5:$AG$364,0),0),1)*INDEX(其他调用!AB$5:AB$404,MATCH($K318,其他调用!$X$5:$X$404,0),0)</f>
        <v>47665.367864175656</v>
      </c>
      <c r="AM318" s="12">
        <f>MIN(INDEX(其他调用!$AK$5:$AK$364,MATCH($K318,其他调用!$AG$5:$AG$364,0),1)/INDEX(其他调用!AL$5:AL$364,MATCH($K318,其他调用!$AG$5:$AG$364,0),0),1)*INDEX(其他调用!AC$5:AC$404,MATCH($K318,其他调用!$X$5:$X$404,0),0)</f>
        <v>28678.137342226095</v>
      </c>
      <c r="AN318" s="12">
        <f>求节点(节奏总纲!D$4:D$163,标准城池设计!AF$4:AF$163,$K318)*求节点(节奏总纲!D$4:D$163,攻城基础信息!$AG$5:$AG$164,$K318)</f>
        <v>1193414.5365317923</v>
      </c>
      <c r="AO318" s="12">
        <f>INDEX(其他调用!$AA$5:$AA$404,MATCH($K318,其他调用!$X$5:$X$404,0))*MIN(INDEX(其他调用!AL$5:AL$364,MATCH($K318,其他调用!$AG$5:$AG$364,0),1)/INDEX(其他调用!$AJ$5:$AJ$364,MATCH($K318,其他调用!$AG$5:$AG$364,0),0),5)*求节点(节奏总纲!D$4:D$163,攻城基础信息!$AG$5:$AG$164,$K318)</f>
        <v>780541.77692592458</v>
      </c>
      <c r="AP318" s="12">
        <f>MIN(INDEX(其他调用!$AL$5:$AL$364,MATCH($K318,其他调用!$AG$5:$AG$364,0),1)/INDEX(其他调用!AH$5:AH$364,MATCH($K318,其他调用!$AG$5:$AG$364,0),0),1)*INDEX(其他调用!Y$5:Y$404,MATCH($K318,其他调用!$X$5:$X$404,0),0)</f>
        <v>42721.145689716825</v>
      </c>
      <c r="AQ318" s="12">
        <f>MIN(INDEX(其他调用!$AL$5:$AL$364,MATCH($K318,其他调用!$AG$5:$AG$364,0),1)/INDEX(其他调用!AI$5:AI$364,MATCH($K318,其他调用!$AG$5:$AG$364,0),0),1)*INDEX(其他调用!Z$5:Z$404,MATCH($K318,其他调用!$X$5:$X$404,0),0)</f>
        <v>43881.400278679685</v>
      </c>
      <c r="AR318" s="12">
        <f>MIN(INDEX(其他调用!$AL$5:$AL$364,MATCH($K318,其他调用!$AG$5:$AG$364,0),1)/INDEX(其他调用!AJ$5:AJ$364,MATCH($K318,其他调用!$AG$5:$AG$364,0),0),1)*INDEX(其他调用!AA$5:AA$404,MATCH($K318,其他调用!$X$5:$X$404,0),0)</f>
        <v>45405.541779137187</v>
      </c>
      <c r="AS318" s="12">
        <f>MIN(INDEX(其他调用!$AL$5:$AL$364,MATCH($K318,其他调用!$AG$5:$AG$364,0),1)/INDEX(其他调用!AK$5:AK$364,MATCH($K318,其他调用!$AG$5:$AG$364,0),0),1)*INDEX(其他调用!AB$5:AB$404,MATCH($K318,其他调用!$X$5:$X$404,0),0)</f>
        <v>47665.367864175656</v>
      </c>
      <c r="AT318" s="12">
        <f>MIN(INDEX(其他调用!$AL$5:$AL$364,MATCH($K318,其他调用!$AG$5:$AG$364,0),1)/INDEX(其他调用!AL$5:AL$364,MATCH($K318,其他调用!$AG$5:$AG$364,0),0),1)*INDEX(其他调用!AC$5:AC$404,MATCH($K318,其他调用!$X$5:$X$404,0),0)</f>
        <v>51555.933231005452</v>
      </c>
      <c r="AV318" s="14">
        <f>IF(OR(AV$5="大R",AV$5="超R"),MAX(INDEX(其他调用!$H$5:$L$404,MATCH($K318,其他调用!$B$5:$B$404,0),MATCH(AV$5,其他调用!$H$4:$L$4,0))*120*0.85,2),INDEX(其他调用!$H$5:$L$404,MATCH($K318,其他调用!$B$5:$B$404,0),MATCH(AV$5,其他调用!$H$4:$L$4,0))*120*0.85)</f>
        <v>48.921801254999991</v>
      </c>
      <c r="AW318" s="14">
        <f>IF(OR(AW$5="大R",AW$5="超R"),MAX(INDEX(其他调用!$H$5:$L$404,MATCH($K318,其他调用!$B$5:$B$404,0),MATCH(AW$5,其他调用!$H$4:$L$4,0))*120*0.85,2),INDEX(其他调用!$H$5:$L$404,MATCH($K318,其他调用!$B$5:$B$404,0),MATCH(AW$5,其他调用!$H$4:$L$4,0))*120*0.85)</f>
        <v>48.237344010638395</v>
      </c>
      <c r="AX318" s="14">
        <f>IF(OR(AX$5="大R",AX$5="超R"),MAX(INDEX(其他调用!$H$5:$L$404,MATCH($K318,其他调用!$B$5:$B$404,0),MATCH(AX$5,其他调用!$H$4:$L$4,0))*120*0.85,2),INDEX(其他调用!$H$5:$L$404,MATCH($K318,其他调用!$B$5:$B$404,0),MATCH(AX$5,其他调用!$H$4:$L$4,0))*120*0.85)</f>
        <v>3.9376284143615998</v>
      </c>
      <c r="AY318" s="14">
        <f>IF(OR(AY$5="大R",AY$5="超R"),MAX(INDEX(其他调用!$H$5:$L$404,MATCH($K318,其他调用!$B$5:$B$404,0),MATCH(AY$5,其他调用!$H$4:$L$4,0))*120*0.85,2),INDEX(其他调用!$H$5:$L$404,MATCH($K318,其他调用!$B$5:$B$404,0),MATCH(AY$5,其他调用!$H$4:$L$4,0))*120*0.85)</f>
        <v>2</v>
      </c>
      <c r="AZ318" s="14">
        <f>IF(OR(AZ$5="大R",AZ$5="超R"),MAX(INDEX(其他调用!$H$5:$L$404,MATCH($K318,其他调用!$B$5:$B$404,0),MATCH(AZ$5,其他调用!$H$4:$L$4,0))*120*0.85,2),INDEX(其他调用!$H$5:$L$404,MATCH($K318,其他调用!$B$5:$B$404,0),MATCH(AZ$5,其他调用!$H$4:$L$4,0))*120*0.85)</f>
        <v>2</v>
      </c>
      <c r="BA318" s="14">
        <f>INDEX(其他调用!$H$5:$L$404,MATCH($K318,其他调用!$B$5:$B$404,0),MATCH(BA$5,其他调用!$H$4:$L$4,0))*INDEX(其他调用!$M$5:$M$404,MATCH($K318,其他调用!$B$5:$B$404,0))*0.6</f>
        <v>28.777530149999997</v>
      </c>
      <c r="BB318" s="14">
        <f>INDEX(其他调用!$H$5:$L$404,MATCH($K318,其他调用!$B$5:$B$404,0),MATCH(BB$5,其他调用!$H$4:$L$4,0))*INDEX(其他调用!$M$5:$M$404,MATCH($K318,其他调用!$B$5:$B$404,0))*0.6</f>
        <v>28.374908241551999</v>
      </c>
      <c r="BC318" s="14">
        <f>INDEX(其他调用!$H$5:$L$404,MATCH($K318,其他调用!$B$5:$B$404,0),MATCH(BC$5,其他调用!$H$4:$L$4,0))*INDEX(其他调用!$M$5:$M$404,MATCH($K318,其他调用!$B$5:$B$404,0))*0.6</f>
        <v>2.3162520084480001</v>
      </c>
      <c r="BD318" s="14">
        <f>INDEX(其他调用!$H$5:$L$404,MATCH($K318,其他调用!$B$5:$B$404,0),MATCH(BD$5,其他调用!$H$4:$L$4,0))*INDEX(其他调用!$M$5:$M$404,MATCH($K318,其他调用!$B$5:$B$404,0))*0.6</f>
        <v>0.4120776000000001</v>
      </c>
      <c r="BE318" s="14">
        <f>INDEX(其他调用!$H$5:$L$404,MATCH($K318,其他调用!$B$5:$B$404,0),MATCH(BE$5,其他调用!$H$4:$L$4,0))*INDEX(其他调用!$M$5:$M$404,MATCH($K318,其他调用!$B$5:$B$404,0))*0.6</f>
        <v>0.11923199999999998</v>
      </c>
      <c r="BF318" s="14">
        <f>IF(OR(BF$5="大R",BF$5="超R"),0,INDEX(其他调用!$H$5:$L$404,MATCH($K318,其他调用!$B$5:$B$404,0),MATCH(BF$5,其他调用!$H$4:$L$4,0))*50*0.4)</f>
        <v>9.5925100500000013</v>
      </c>
      <c r="BG318" s="14">
        <f>IF(OR(BG$5="大R",BG$5="超R"),0,INDEX(其他调用!$H$5:$L$404,MATCH($K318,其他调用!$B$5:$B$404,0),MATCH(BG$5,其他调用!$H$4:$L$4,0))*50*0.4)</f>
        <v>9.4583027471839998</v>
      </c>
      <c r="BH318" s="14">
        <f>IF(OR(BH$5="大R",BH$5="超R"),0,INDEX(其他调用!$H$5:$L$404,MATCH($K318,其他调用!$B$5:$B$404,0),MATCH(BH$5,其他调用!$H$4:$L$4,0))*50*0.4)</f>
        <v>0.77208400281600009</v>
      </c>
      <c r="BI318" s="14">
        <f>IF(OR(BI$5="大R",BI$5="超R"),0,INDEX(其他调用!$H$5:$L$404,MATCH($K318,其他调用!$B$5:$B$404,0),MATCH(BI$5,其他调用!$H$4:$L$4,0))*50*0.4)</f>
        <v>0</v>
      </c>
      <c r="BJ318" s="14">
        <f>IF(OR(BJ$5="大R",BJ$5="超R"),0,INDEX(其他调用!$H$5:$L$404,MATCH($K318,其他调用!$B$5:$B$404,0),MATCH(BJ$5,其他调用!$H$4:$L$4,0))*50*0.4)</f>
        <v>0</v>
      </c>
      <c r="BL318" s="14">
        <f t="shared" si="523"/>
        <v>313</v>
      </c>
      <c r="BM318" s="14">
        <f t="shared" si="430"/>
        <v>96</v>
      </c>
      <c r="BN318" s="14">
        <f>('疲劳值&amp;地图信息'!$S$10*'疲劳值&amp;地图信息'!$R$10+'疲劳值&amp;地图信息'!$S$11*'疲劳值&amp;地图信息'!$R$11+'疲劳值&amp;地图信息'!$S$12*'疲劳值&amp;地图信息'!$R$12+(BM318-'疲劳值&amp;地图信息'!$S$12-'疲劳值&amp;地图信息'!$S$11-'疲劳值&amp;地图信息'!$S$10)*'疲劳值&amp;地图信息'!$R$13)/BM318</f>
        <v>51.371477246638619</v>
      </c>
      <c r="BO318" s="14">
        <f>INDEX(其他调用!$M$5:$M$404,MATCH(BL318,其他调用!$B$5:$B$404,0))*0.6</f>
        <v>60</v>
      </c>
      <c r="BP318" s="14">
        <f>IF(BO318&gt;SUM('疲劳值&amp;地图信息'!$S$10:$S$12),('疲劳值&amp;地图信息'!$S$10*'疲劳值&amp;地图信息'!$R$10+'疲劳值&amp;地图信息'!$S$11*'疲劳值&amp;地图信息'!$R$11+'疲劳值&amp;地图信息'!$S$12*'疲劳值&amp;地图信息'!$R$12+(BO318-'疲劳值&amp;地图信息'!$S$12-'疲劳值&amp;地图信息'!$S$11-'疲劳值&amp;地图信息'!$S$10)*'疲劳值&amp;地图信息'!$R$13)/BO318,('疲劳值&amp;地图信息'!$S$10*'疲劳值&amp;地图信息'!$R$10+'疲劳值&amp;地图信息'!$S$11*'疲劳值&amp;地图信息'!$R$11+'疲劳值&amp;地图信息'!$S$12*'疲劳值&amp;地图信息'!$R$12+(BO318-'疲劳值&amp;地图信息'!$S$12-'疲劳值&amp;地图信息'!$S$11-'疲劳值&amp;地图信息'!$S$10)*'疲劳值&amp;地图信息'!$R$13)/BO318)</f>
        <v>44.158136341605953</v>
      </c>
      <c r="BQ318" s="14">
        <f t="shared" si="524"/>
        <v>20</v>
      </c>
      <c r="BR318" s="14">
        <f>('疲劳值&amp;地图信息'!$S$10*'疲劳值&amp;地图信息'!$R$10+($BQ318-'疲劳值&amp;地图信息'!$S$10)*'疲劳值&amp;地图信息'!$R$11)/$BQ318</f>
        <v>32.067203015074995</v>
      </c>
      <c r="CF318" s="14">
        <v>313</v>
      </c>
      <c r="CG318" s="51">
        <f t="shared" si="431"/>
        <v>16286</v>
      </c>
      <c r="CH318" s="51">
        <f t="shared" si="432"/>
        <v>1078</v>
      </c>
      <c r="CI318" s="51">
        <f>INT(SUMPRODUCT($N318:$R318,$BA318:$BE318)/SUM($BA318:$BE318)/10000*$BX$7*$BZ$34/'疲劳值&amp;地图信息'!$R$10*$BY$53)</f>
        <v>3369</v>
      </c>
      <c r="CJ318" s="50">
        <f t="shared" si="433"/>
        <v>0.78551102107750925</v>
      </c>
      <c r="CK318" s="50">
        <f t="shared" si="434"/>
        <v>5.1994405054743648E-2</v>
      </c>
      <c r="CL318" s="50">
        <f t="shared" si="435"/>
        <v>0.16249457386774707</v>
      </c>
      <c r="CM318" s="14">
        <f t="shared" si="436"/>
        <v>17860</v>
      </c>
      <c r="CN318" s="14">
        <f t="shared" si="437"/>
        <v>1850</v>
      </c>
      <c r="CO318" s="14">
        <f>INT(SUMPRODUCT($U318:$Y318,$BA318:$BE318)/SUM($BA318:$BE318)/10000*$BX$7*$BZ$34/'疲劳值&amp;地图信息'!$R$10*$BY$54)</f>
        <v>6441</v>
      </c>
      <c r="CP318" s="50">
        <f t="shared" si="438"/>
        <v>0.68295667469695231</v>
      </c>
      <c r="CQ318" s="50">
        <f t="shared" si="439"/>
        <v>7.0742992619785089E-2</v>
      </c>
      <c r="CR318" s="50">
        <f t="shared" si="440"/>
        <v>0.2463003326832626</v>
      </c>
      <c r="CS318" s="14">
        <f t="shared" si="441"/>
        <v>19470</v>
      </c>
      <c r="CT318" s="14">
        <f t="shared" si="442"/>
        <v>3238</v>
      </c>
      <c r="CU318" s="14">
        <f>INT(SUMPRODUCT($AB318:$AF318,$BA318:$BE318)/SUM($BA318:$BE318)/10000*$BX$7*$BZ$34/'疲劳值&amp;地图信息'!$R$10*$BY$55)</f>
        <v>8753</v>
      </c>
      <c r="CV318" s="50">
        <f t="shared" si="443"/>
        <v>0.61886144750643657</v>
      </c>
      <c r="CW318" s="50">
        <f t="shared" si="444"/>
        <v>0.10292107688884651</v>
      </c>
      <c r="CX318" s="50">
        <f t="shared" si="445"/>
        <v>0.27821747560471694</v>
      </c>
      <c r="CY318" s="14">
        <f t="shared" si="446"/>
        <v>23422</v>
      </c>
      <c r="CZ318" s="14">
        <f t="shared" si="447"/>
        <v>8849</v>
      </c>
      <c r="DA318" s="14">
        <f>INT(SUMPRODUCT($AI318:$AM318,$BA318:$BE318)/SUM($BA318:$BE318)/10000*$BX$7*$BZ$34/'疲劳值&amp;地图信息'!$R$10*$BY$56)</f>
        <v>13204</v>
      </c>
      <c r="DB318" s="50">
        <f t="shared" si="448"/>
        <v>0.51505222649807592</v>
      </c>
      <c r="DC318" s="50">
        <f t="shared" si="449"/>
        <v>0.19459043430456294</v>
      </c>
      <c r="DD318" s="50">
        <f t="shared" si="450"/>
        <v>0.29035733919736118</v>
      </c>
      <c r="DE318" s="14">
        <f t="shared" si="451"/>
        <v>24323</v>
      </c>
      <c r="DF318" s="14">
        <f t="shared" si="452"/>
        <v>15908</v>
      </c>
      <c r="DG318" s="14">
        <f>INT(SUMPRODUCT($AP318:$AT318,$BA318:$BE318)/SUM($BA318:$BE318)/10000*$BX$7*$BZ$34/'疲劳值&amp;地图信息'!$R$10*$BY$57)</f>
        <v>17624</v>
      </c>
      <c r="DH318" s="50">
        <f t="shared" si="453"/>
        <v>0.42041310171981677</v>
      </c>
      <c r="DI318" s="50">
        <f t="shared" si="454"/>
        <v>0.27496327024457695</v>
      </c>
      <c r="DJ318" s="50">
        <f t="shared" si="455"/>
        <v>0.30462362803560628</v>
      </c>
      <c r="DL318" s="14">
        <f t="shared" si="526"/>
        <v>20733</v>
      </c>
      <c r="DM318" s="14">
        <f t="shared" si="527"/>
        <v>26151</v>
      </c>
      <c r="DN318" s="14">
        <f t="shared" si="528"/>
        <v>31461</v>
      </c>
      <c r="DO318" s="14">
        <f t="shared" si="529"/>
        <v>45475</v>
      </c>
      <c r="DP318" s="14">
        <f t="shared" si="530"/>
        <v>57855</v>
      </c>
      <c r="DQ318" s="14">
        <f t="shared" si="531"/>
        <v>1437185</v>
      </c>
      <c r="DT318" s="14">
        <f t="shared" si="525"/>
        <v>235575</v>
      </c>
      <c r="DU318" s="50">
        <f t="shared" si="427"/>
        <v>0.14083012506277051</v>
      </c>
      <c r="DW318" s="14">
        <f t="shared" si="456"/>
        <v>1672760</v>
      </c>
      <c r="EB318" s="14">
        <v>313</v>
      </c>
      <c r="EC318" s="51">
        <f t="shared" si="457"/>
        <v>27143</v>
      </c>
      <c r="ED318" s="51">
        <f t="shared" si="458"/>
        <v>1797</v>
      </c>
      <c r="EE318" s="51">
        <f>INT(SUMPRODUCT($N318:$R318,$BF318:$BJ318)/SUM($BF318:$BJ318)/10000*$BX$7*$BZ$46/'疲劳值&amp;地图信息'!$R$10*$BY$53)</f>
        <v>452</v>
      </c>
      <c r="EF318" s="50">
        <f t="shared" si="459"/>
        <v>0.92348258029395758</v>
      </c>
      <c r="EG318" s="50">
        <f t="shared" si="460"/>
        <v>6.1139085465432771E-2</v>
      </c>
      <c r="EH318" s="50">
        <f t="shared" si="461"/>
        <v>1.5378334240609689E-2</v>
      </c>
      <c r="EI318" s="51">
        <f t="shared" si="462"/>
        <v>29767</v>
      </c>
      <c r="EJ318" s="51">
        <f t="shared" si="463"/>
        <v>3084</v>
      </c>
      <c r="EK318" s="14">
        <f>INT(SUMPRODUCT($U318:$Y318,$BF318:$BJ318)/SUM($BF318:$BJ318)/10000*$BX$7*$BZ$46/'疲劳值&amp;地图信息'!$R$10*$BY$54)</f>
        <v>864</v>
      </c>
      <c r="EL318" s="50">
        <f t="shared" si="464"/>
        <v>0.88290078600029664</v>
      </c>
      <c r="EM318" s="50">
        <f t="shared" si="465"/>
        <v>9.1472638291561617E-2</v>
      </c>
      <c r="EN318" s="50">
        <f t="shared" si="466"/>
        <v>2.5626575708141777E-2</v>
      </c>
      <c r="EO318" s="51">
        <f t="shared" si="467"/>
        <v>32451</v>
      </c>
      <c r="EP318" s="51">
        <f t="shared" si="468"/>
        <v>5398</v>
      </c>
      <c r="EQ318" s="14">
        <f>INT(SUMPRODUCT($AB318:$AF318,$BF318:$BJ318)/SUM($BF318:$BJ318)/10000*$BX$7*$BZ$46/'疲劳值&amp;地图信息'!$R$10*$BY$55)</f>
        <v>1173</v>
      </c>
      <c r="ER318" s="50">
        <f t="shared" si="469"/>
        <v>0.8316078109784224</v>
      </c>
      <c r="ES318" s="50">
        <f t="shared" si="470"/>
        <v>0.13833222284864949</v>
      </c>
      <c r="ET318" s="50">
        <f t="shared" si="471"/>
        <v>3.0059966172928092E-2</v>
      </c>
      <c r="EU318" s="51">
        <f t="shared" si="472"/>
        <v>39036</v>
      </c>
      <c r="EV318" s="51">
        <f t="shared" si="473"/>
        <v>14748</v>
      </c>
      <c r="EW318" s="14">
        <f>INT(SUMPRODUCT($AI318:$AM318,$BF318:$BJ318)/SUM($BF318:$BJ318)/10000*$BX$7*$BZ$46/'疲劳值&amp;地图信息'!$R$10*$BY$56)</f>
        <v>1760</v>
      </c>
      <c r="EX318" s="50">
        <f t="shared" si="474"/>
        <v>0.70279418118968751</v>
      </c>
      <c r="EY318" s="50">
        <f t="shared" si="475"/>
        <v>0.2655192279994239</v>
      </c>
      <c r="EZ318" s="50">
        <f t="shared" si="476"/>
        <v>3.1686590810888662E-2</v>
      </c>
      <c r="FA318" s="51">
        <f t="shared" si="477"/>
        <v>40538</v>
      </c>
      <c r="FB318" s="51">
        <f t="shared" si="478"/>
        <v>26514</v>
      </c>
      <c r="FC318" s="14">
        <f>INT(SUMPRODUCT($AP318:$AT318,$BF318:$BJ318)/SUM($BF318:$BJ318)/10000*$BX$7*$BZ$46/'疲劳值&amp;地图信息'!$R$10*$BY$57)</f>
        <v>2347</v>
      </c>
      <c r="FD318" s="50">
        <f t="shared" si="479"/>
        <v>0.58412945431490371</v>
      </c>
      <c r="FE318" s="50">
        <f t="shared" si="480"/>
        <v>0.38205161457657894</v>
      </c>
      <c r="FF318" s="50">
        <f t="shared" si="481"/>
        <v>3.3818931108517414E-2</v>
      </c>
      <c r="FH318" s="14">
        <f t="shared" si="482"/>
        <v>29392</v>
      </c>
      <c r="FI318" s="14">
        <f t="shared" si="483"/>
        <v>33715</v>
      </c>
      <c r="FJ318" s="14">
        <f t="shared" si="484"/>
        <v>39022</v>
      </c>
      <c r="FK318" s="14">
        <f t="shared" si="485"/>
        <v>55544</v>
      </c>
      <c r="FL318" s="14">
        <f t="shared" si="486"/>
        <v>69399</v>
      </c>
      <c r="FM318" s="14">
        <f t="shared" si="487"/>
        <v>3467771</v>
      </c>
      <c r="FP318" s="14">
        <f t="shared" si="488"/>
        <v>334150</v>
      </c>
      <c r="FQ318" s="50">
        <f t="shared" si="428"/>
        <v>8.7889779929672396E-2</v>
      </c>
      <c r="FS318" s="14">
        <f t="shared" si="489"/>
        <v>3801921</v>
      </c>
      <c r="FX318" s="14">
        <v>313</v>
      </c>
      <c r="FY318" s="51">
        <f t="shared" si="490"/>
        <v>38001</v>
      </c>
      <c r="FZ318" s="51">
        <f t="shared" si="491"/>
        <v>1797</v>
      </c>
      <c r="GA318" s="51">
        <f>INT(SUMPRODUCT($N318:$R318,$BF318:$BJ318)/SUM($BF318:$BJ318)/10000*$BX$7*$BZ$46/'疲劳值&amp;地图信息'!$R$10*$BY$53)</f>
        <v>452</v>
      </c>
      <c r="GB318" s="50">
        <f t="shared" si="492"/>
        <v>0.94412422360248449</v>
      </c>
      <c r="GC318" s="50">
        <f t="shared" si="493"/>
        <v>4.4645962732919257E-2</v>
      </c>
      <c r="GD318" s="50">
        <f t="shared" si="494"/>
        <v>1.1229813664596274E-2</v>
      </c>
      <c r="GE318" s="51">
        <f t="shared" si="495"/>
        <v>41674</v>
      </c>
      <c r="GF318" s="51">
        <f t="shared" si="496"/>
        <v>3084</v>
      </c>
      <c r="GG318" s="14">
        <f>INT(SUMPRODUCT($U318:$Y318,$BF318:$BJ318)/SUM($BF318:$BJ318)/10000*$BX$7*$BZ$46/'疲劳值&amp;地图信息'!$R$10*$BY$54)</f>
        <v>864</v>
      </c>
      <c r="GH318" s="50">
        <f t="shared" si="497"/>
        <v>0.91346280303362415</v>
      </c>
      <c r="GI318" s="50">
        <f t="shared" si="498"/>
        <v>6.7598965411424308E-2</v>
      </c>
      <c r="GJ318" s="50">
        <f t="shared" si="499"/>
        <v>1.8938231554951557E-2</v>
      </c>
      <c r="GK318" s="51">
        <f t="shared" si="500"/>
        <v>45432</v>
      </c>
      <c r="GL318" s="51">
        <f t="shared" si="501"/>
        <v>5398</v>
      </c>
      <c r="GM318" s="14">
        <f>INT(SUMPRODUCT($AB318:$AF318,$BF318:$BJ318)/SUM($BF318:$BJ318)/10000*$BX$7*$BZ$46/'疲劳值&amp;地图信息'!$R$10*$BY$55)</f>
        <v>1173</v>
      </c>
      <c r="GN318" s="50">
        <f t="shared" si="502"/>
        <v>0.87364190527469565</v>
      </c>
      <c r="GO318" s="50">
        <f t="shared" si="503"/>
        <v>0.1038017037478607</v>
      </c>
      <c r="GP318" s="50">
        <f t="shared" si="504"/>
        <v>2.2556390977443608E-2</v>
      </c>
      <c r="GQ318" s="51">
        <f t="shared" si="505"/>
        <v>54651</v>
      </c>
      <c r="GR318" s="51">
        <f t="shared" si="506"/>
        <v>14748</v>
      </c>
      <c r="GS318" s="14">
        <f>INT(SUMPRODUCT($AI318:$AM318,$BF318:$BJ318)/SUM($BF318:$BJ318)/10000*$BX$7*$BZ$46/'疲劳值&amp;地图信息'!$R$10*$BY$56)</f>
        <v>1760</v>
      </c>
      <c r="GT318" s="50">
        <f t="shared" si="507"/>
        <v>0.7680124790961087</v>
      </c>
      <c r="GU318" s="50">
        <f t="shared" si="508"/>
        <v>0.20725417726499809</v>
      </c>
      <c r="GV318" s="50">
        <f t="shared" si="509"/>
        <v>2.4733343638893183E-2</v>
      </c>
      <c r="GW318" s="51">
        <f t="shared" si="510"/>
        <v>56754</v>
      </c>
      <c r="GX318" s="51">
        <f t="shared" si="511"/>
        <v>26514</v>
      </c>
      <c r="GY318" s="14">
        <f>INT(SUMPRODUCT($AP318:$AT318,$BF318:$BJ318)/SUM($BF318:$BJ318)/10000*$BX$7*$BZ$46/'疲劳值&amp;地图信息'!$R$10*$BY$57)</f>
        <v>2347</v>
      </c>
      <c r="GZ318" s="50">
        <f t="shared" si="512"/>
        <v>0.66289785668399226</v>
      </c>
      <c r="HA318" s="50">
        <f t="shared" si="513"/>
        <v>0.30968872277054255</v>
      </c>
      <c r="HB318" s="50">
        <f t="shared" si="514"/>
        <v>2.7413420545465163E-2</v>
      </c>
      <c r="HD318" s="14">
        <f t="shared" si="515"/>
        <v>40250</v>
      </c>
      <c r="HE318" s="14">
        <f t="shared" si="516"/>
        <v>45622</v>
      </c>
      <c r="HF318" s="14">
        <f t="shared" si="517"/>
        <v>52003</v>
      </c>
      <c r="HG318" s="14">
        <f t="shared" si="518"/>
        <v>71159</v>
      </c>
      <c r="HH318" s="14">
        <f t="shared" si="519"/>
        <v>85615</v>
      </c>
      <c r="HI318" s="14">
        <f t="shared" si="520"/>
        <v>4688103</v>
      </c>
      <c r="HL318" s="14">
        <f t="shared" si="521"/>
        <v>430050</v>
      </c>
      <c r="HM318" s="50">
        <f t="shared" si="429"/>
        <v>8.4024451789542043E-2</v>
      </c>
      <c r="HO318" s="14">
        <f t="shared" si="522"/>
        <v>5118153</v>
      </c>
    </row>
    <row r="319" spans="11:223" x14ac:dyDescent="0.2">
      <c r="K319" s="14">
        <v>314</v>
      </c>
      <c r="L319" s="12">
        <f>求节点(节奏总纲!D$4:D$163,标准城池设计!AB$4:AB$163,$K319)*求节点(节奏总纲!D$4:D$163,攻城基础信息!$AC$5:$AC$164,$K319)</f>
        <v>800232.8334243875</v>
      </c>
      <c r="M319" s="12">
        <f>INDEX(其他调用!$AA$5:$AA$404,MATCH(K319,其他调用!$X$5:$X$404,0))*MIN(INDEX(其他调用!$AH$5:$AH$364,MATCH('征服点（新）'!K319,其他调用!$AG$5:$AG$364,0),1)/INDEX(其他调用!$AJ$5:$AJ$364,MATCH(K319,其他调用!$AG$5:$AG$364,0),0),5)*求节点(节奏总纲!D$4:D$163,攻城基础信息!$AC$5:$AC$164,$K319)</f>
        <v>52845.444654927174</v>
      </c>
      <c r="N319" s="12">
        <f>MIN(INDEX(其他调用!$AH$5:$AH$364,MATCH($K319,其他调用!$AG$5:$AG$364,0),1)/INDEX(其他调用!AH$5:AH$364,MATCH($K319,其他调用!$AG$5:$AG$364,0),0),1)*INDEX(其他调用!Y$5:Y$404,MATCH($K319,其他调用!$X$5:$X$404,0),0)</f>
        <v>42740.221355252317</v>
      </c>
      <c r="O319" s="12">
        <f>MIN(INDEX(其他调用!$AH$5:$AH$364,MATCH($K319,其他调用!$AG$5:$AG$364,0),1)/INDEX(其他调用!AI$5:AI$364,MATCH($K319,其他调用!$AG$5:$AG$364,0),0),1)*INDEX(其他调用!Z$5:Z$404,MATCH($K319,其他调用!$X$5:$X$404,0),0)</f>
        <v>25561.620679258529</v>
      </c>
      <c r="P319" s="12">
        <f>MIN(INDEX(其他调用!$AH$5:$AH$364,MATCH($K319,其他调用!$AG$5:$AG$364,0),1)/INDEX(其他调用!AJ$5:AJ$364,MATCH($K319,其他调用!$AG$5:$AG$364,0),0),1)*INDEX(其他调用!AA$5:AA$404,MATCH($K319,其他调用!$X$5:$X$404,0),0)</f>
        <v>15098.698472836346</v>
      </c>
      <c r="Q319" s="12">
        <f>MIN(INDEX(其他调用!$AH$5:$AH$364,MATCH($K319,其他调用!$AG$5:$AG$364,0),1)/INDEX(其他调用!AK$5:AK$364,MATCH($K319,其他调用!$AG$5:$AG$364,0),0),1)*INDEX(其他调用!AB$5:AB$404,MATCH($K319,其他调用!$X$5:$X$404,0),0)</f>
        <v>5812.5832583162482</v>
      </c>
      <c r="R319" s="12">
        <f>MIN(INDEX(其他调用!$AH$5:$AH$364,MATCH($K319,其他调用!$AG$5:$AG$364,0),1)/INDEX(其他调用!AL$5:AL$364,MATCH($K319,其他调用!$AG$5:$AG$364,0),0),1)*INDEX(其他调用!AC$5:AC$404,MATCH($K319,其他调用!$X$5:$X$404,0),0)</f>
        <v>3503.0363938415308</v>
      </c>
      <c r="S319" s="12">
        <f>求节点(节奏总纲!D$4:D$163,标准城池设计!AC$4:AC$163,$K319)*求节点(节奏总纲!D$4:D$163,攻城基础信息!$AD$5:$AD$164,$K319)</f>
        <v>877617.25889764016</v>
      </c>
      <c r="T319" s="12">
        <f>INDEX(其他调用!$AA$5:$AA$404,MATCH($K319,其他调用!$X$5:$X$404,0))*MIN(INDEX(其他调用!AI$5:AI$364,MATCH($K319,其他调用!$AG$5:$AG$364,0),1)/INDEX(其他调用!$AJ$5:$AJ$364,MATCH($K319,其他调用!$AG$5:$AG$364,0),0),5)*求节点(节奏总纲!D$4:D$163,攻城基础信息!$AD$5:$AD$164,$K319)</f>
        <v>90756.211223533217</v>
      </c>
      <c r="U319" s="12">
        <f>MIN(INDEX(其他调用!$AI$5:$AI$364,MATCH($K319,其他调用!$AG$5:$AG$364,0),1)/INDEX(其他调用!AH$5:AH$364,MATCH($K319,其他调用!$AG$5:$AG$364,0),0),1)*INDEX(其他调用!Y$5:Y$404,MATCH($K319,其他调用!$X$5:$X$404,0),0)</f>
        <v>42740.221355252317</v>
      </c>
      <c r="V319" s="12">
        <f>MIN(INDEX(其他调用!$AI$5:$AI$364,MATCH($K319,其他调用!$AG$5:$AG$364,0),1)/INDEX(其他调用!AI$5:AI$364,MATCH($K319,其他调用!$AG$5:$AG$364,0),0),1)*INDEX(其他调用!Z$5:Z$404,MATCH($K319,其他调用!$X$5:$X$404,0),0)</f>
        <v>43899.258691663257</v>
      </c>
      <c r="W319" s="12">
        <f>MIN(INDEX(其他调用!$AI$5:$AI$364,MATCH($K319,其他调用!$AG$5:$AG$364,0),1)/INDEX(其他调用!AJ$5:AJ$364,MATCH($K319,其他调用!$AG$5:$AG$364,0),0),1)*INDEX(其他调用!AA$5:AA$404,MATCH($K319,其他调用!$X$5:$X$404,0),0)</f>
        <v>25930.346063866651</v>
      </c>
      <c r="X319" s="12">
        <f>MIN(INDEX(其他调用!$AI$5:$AI$364,MATCH($K319,其他调用!$AG$5:$AG$364,0),1)/INDEX(其他调用!AK$5:AK$364,MATCH($K319,其他调用!$AG$5:$AG$364,0),0),1)*INDEX(其他调用!AB$5:AB$404,MATCH($K319,其他调用!$X$5:$X$404,0),0)</f>
        <v>9982.4693952487542</v>
      </c>
      <c r="Y319" s="12">
        <f>MIN(INDEX(其他调用!$AI$5:$AI$364,MATCH($K319,其他调用!$AG$5:$AG$364,0),1)/INDEX(其他调用!AL$5:AL$364,MATCH($K319,其他调用!$AG$5:$AG$364,0),0),1)*INDEX(其他调用!AC$5:AC$404,MATCH($K319,其他调用!$X$5:$X$404,0),0)</f>
        <v>6016.077884464612</v>
      </c>
      <c r="Z319" s="12">
        <f>求节点(节奏总纲!D$4:D$163,标准城池设计!AD$4:AD$163,$K319)*求节点(节奏总纲!D$4:D$163,攻城基础信息!$AE$5:$AE$164,$K319)</f>
        <v>956697.45200346468</v>
      </c>
      <c r="AA319" s="12">
        <f>INDEX(其他调用!$AA$5:$AA$404,MATCH($K319,其他调用!$X$5:$X$404,0))*MIN(INDEX(其他调用!AJ$5:AJ$364,MATCH($K319,其他调用!$AG$5:$AG$364,0),1)/INDEX(其他调用!$AJ$5:$AJ$364,MATCH($K319,其他调用!$AG$5:$AG$364,0),0),5)*求节点(节奏总纲!D$4:D$163,攻城基础信息!$AE$5:$AE$164,$K319)</f>
        <v>158984.10560396139</v>
      </c>
      <c r="AB319" s="12">
        <f>MIN(INDEX(其他调用!$AJ$5:$AJ$364,MATCH($K319,其他调用!$AG$5:$AG$364,0),1)/INDEX(其他调用!AH$5:AH$364,MATCH($K319,其他调用!$AG$5:$AG$364,0),0),1)*INDEX(其他调用!Y$5:Y$404,MATCH($K319,其他调用!$X$5:$X$404,0),0)</f>
        <v>42740.221355252317</v>
      </c>
      <c r="AC319" s="12">
        <f>MIN(INDEX(其他调用!$AJ$5:$AJ$364,MATCH($K319,其他调用!$AG$5:$AG$364,0),1)/INDEX(其他调用!AI$5:AI$364,MATCH($K319,其他调用!$AG$5:$AG$364,0),0),1)*INDEX(其他调用!Z$5:Z$404,MATCH($K319,其他调用!$X$5:$X$404,0),0)</f>
        <v>43899.258691663257</v>
      </c>
      <c r="AD319" s="12">
        <f>MIN(INDEX(其他调用!$AJ$5:$AJ$364,MATCH($K319,其他调用!$AG$5:$AG$364,0),1)/INDEX(其他调用!AJ$5:AJ$364,MATCH($K319,其他调用!$AG$5:$AG$364,0),0),1)*INDEX(其他调用!AA$5:AA$404,MATCH($K319,其他调用!$X$5:$X$404,0),0)</f>
        <v>45424.030172560422</v>
      </c>
      <c r="AE319" s="12">
        <f>MIN(INDEX(其他调用!$AJ$5:$AJ$364,MATCH($K319,其他调用!$AG$5:$AG$364,0),1)/INDEX(其他调用!AK$5:AK$364,MATCH($K319,其他调用!$AG$5:$AG$364,0),0),1)*INDEX(其他调用!AB$5:AB$404,MATCH($K319,其他调用!$X$5:$X$404,0),0)</f>
        <v>17487.001133328657</v>
      </c>
      <c r="AF319" s="12">
        <f>MIN(INDEX(其他调用!$AJ$5:$AJ$364,MATCH($K319,其他调用!$AG$5:$AG$364,0),1)/INDEX(其他调用!AL$5:AL$364,MATCH($K319,其他调用!$AG$5:$AG$364,0),0),1)*INDEX(其他调用!AC$5:AC$404,MATCH($K319,其他调用!$X$5:$X$404,0),0)</f>
        <v>10538.791216720238</v>
      </c>
      <c r="AG319" s="12">
        <f>求节点(节奏总纲!D$4:D$163,标准城池设计!AE$4:AE$163,$K319)*求节点(节奏总纲!D$4:D$163,攻城基础信息!$AF$5:$AF$164,$K319)</f>
        <v>1150558.8234300986</v>
      </c>
      <c r="AH319" s="12">
        <f>INDEX(其他调用!$AA$5:$AA$404,MATCH($K319,其他调用!$X$5:$X$404,0))*MIN(INDEX(其他调用!AK$5:AK$364,MATCH($K319,其他调用!$AG$5:$AG$364,0),1)/INDEX(其他调用!$AJ$5:$AJ$364,MATCH($K319,其他调用!$AG$5:$AG$364,0),0),5)*求节点(节奏总纲!D$4:D$163,攻城基础信息!$AF$5:$AF$164,$K319)</f>
        <v>433516.45002982853</v>
      </c>
      <c r="AI319" s="12">
        <f>MIN(INDEX(其他调用!$AK$5:$AK$364,MATCH($K319,其他调用!$AG$5:$AG$364,0),1)/INDEX(其他调用!AH$5:AH$364,MATCH($K319,其他调用!$AG$5:$AG$364,0),0),1)*INDEX(其他调用!Y$5:Y$404,MATCH($K319,其他调用!$X$5:$X$404,0),0)</f>
        <v>42740.221355252317</v>
      </c>
      <c r="AJ319" s="12">
        <f>MIN(INDEX(其他调用!$AK$5:$AK$364,MATCH($K319,其他调用!$AG$5:$AG$364,0),1)/INDEX(其他调用!AI$5:AI$364,MATCH($K319,其他调用!$AG$5:$AG$364,0),0),1)*INDEX(其他调用!Z$5:Z$404,MATCH($K319,其他调用!$X$5:$X$404,0),0)</f>
        <v>43899.258691663257</v>
      </c>
      <c r="AK319" s="12">
        <f>MIN(INDEX(其他调用!$AK$5:$AK$364,MATCH($K319,其他调用!$AG$5:$AG$364,0),1)/INDEX(其他调用!AJ$5:AJ$364,MATCH($K319,其他调用!$AG$5:$AG$364,0),0),1)*INDEX(其他调用!AA$5:AA$404,MATCH($K319,其他调用!$X$5:$X$404,0),0)</f>
        <v>45424.030172560422</v>
      </c>
      <c r="AL319" s="12">
        <f>MIN(INDEX(其他调用!$AK$5:$AK$364,MATCH($K319,其他调用!$AG$5:$AG$364,0),1)/INDEX(其他调用!AK$5:AK$364,MATCH($K319,其他调用!$AG$5:$AG$364,0),0),1)*INDEX(其他调用!AB$5:AB$404,MATCH($K319,其他调用!$X$5:$X$404,0),0)</f>
        <v>47683.399697028173</v>
      </c>
      <c r="AM319" s="12">
        <f>MIN(INDEX(其他调用!$AK$5:$AK$364,MATCH($K319,其他调用!$AG$5:$AG$364,0),1)/INDEX(其他调用!AL$5:AL$364,MATCH($K319,其他调用!$AG$5:$AG$364,0),0),1)*INDEX(其他调用!AC$5:AC$404,MATCH($K319,其他调用!$X$5:$X$404,0),0)</f>
        <v>28737.082480805275</v>
      </c>
      <c r="AN319" s="12">
        <f>求节点(节奏总纲!D$4:D$163,标准城池设计!AF$4:AF$163,$K319)*求节点(节奏总纲!D$4:D$163,攻城基础信息!$AG$5:$AG$164,$K319)</f>
        <v>1194420.560612686</v>
      </c>
      <c r="AO319" s="12">
        <f>INDEX(其他调用!$AA$5:$AA$404,MATCH($K319,其他调用!$X$5:$X$404,0))*MIN(INDEX(其他调用!AL$5:AL$364,MATCH($K319,其他调用!$AG$5:$AG$364,0),1)/INDEX(其他调用!$AJ$5:$AJ$364,MATCH($K319,其他调用!$AG$5:$AG$364,0),0),5)*求节点(节奏总纲!D$4:D$163,攻城基础信息!$AG$5:$AG$164,$K319)</f>
        <v>778036.49973227107</v>
      </c>
      <c r="AP319" s="12">
        <f>MIN(INDEX(其他调用!$AL$5:$AL$364,MATCH($K319,其他调用!$AG$5:$AG$364,0),1)/INDEX(其他调用!AH$5:AH$364,MATCH($K319,其他调用!$AG$5:$AG$364,0),0),1)*INDEX(其他调用!Y$5:Y$404,MATCH($K319,其他调用!$X$5:$X$404,0),0)</f>
        <v>42740.221355252317</v>
      </c>
      <c r="AQ319" s="12">
        <f>MIN(INDEX(其他调用!$AL$5:$AL$364,MATCH($K319,其他调用!$AG$5:$AG$364,0),1)/INDEX(其他调用!AI$5:AI$364,MATCH($K319,其他调用!$AG$5:$AG$364,0),0),1)*INDEX(其他调用!Z$5:Z$404,MATCH($K319,其他调用!$X$5:$X$404,0),0)</f>
        <v>43899.258691663257</v>
      </c>
      <c r="AR319" s="12">
        <f>MIN(INDEX(其他调用!$AL$5:$AL$364,MATCH($K319,其他调用!$AG$5:$AG$364,0),1)/INDEX(其他调用!AJ$5:AJ$364,MATCH($K319,其他调用!$AG$5:$AG$364,0),0),1)*INDEX(其他调用!AA$5:AA$404,MATCH($K319,其他调用!$X$5:$X$404,0),0)</f>
        <v>45424.030172560422</v>
      </c>
      <c r="AS319" s="12">
        <f>MIN(INDEX(其他调用!$AL$5:$AL$364,MATCH($K319,其他调用!$AG$5:$AG$364,0),1)/INDEX(其他调用!AK$5:AK$364,MATCH($K319,其他调用!$AG$5:$AG$364,0),0),1)*INDEX(其他调用!AB$5:AB$404,MATCH($K319,其他调用!$X$5:$X$404,0),0)</f>
        <v>47683.399697028173</v>
      </c>
      <c r="AT319" s="12">
        <f>MIN(INDEX(其他调用!$AL$5:$AL$364,MATCH($K319,其他调用!$AG$5:$AG$364,0),1)/INDEX(其他调用!AL$5:AL$364,MATCH($K319,其他调用!$AG$5:$AG$364,0),0),1)*INDEX(其他调用!AC$5:AC$404,MATCH($K319,其他调用!$X$5:$X$404,0),0)</f>
        <v>51574.742006548782</v>
      </c>
      <c r="AV319" s="14">
        <f>IF(OR(AV$5="大R",AV$5="超R"),MAX(INDEX(其他调用!$H$5:$L$404,MATCH($K319,其他调用!$B$5:$B$404,0),MATCH(AV$5,其他调用!$H$4:$L$4,0))*120*0.85,2),INDEX(其他调用!$H$5:$L$404,MATCH($K319,其他调用!$B$5:$B$404,0),MATCH(AV$5,其他调用!$H$4:$L$4,0))*120*0.85)</f>
        <v>48.921801254999991</v>
      </c>
      <c r="AW319" s="14">
        <f>IF(OR(AW$5="大R",AW$5="超R"),MAX(INDEX(其他调用!$H$5:$L$404,MATCH($K319,其他调用!$B$5:$B$404,0),MATCH(AW$5,其他调用!$H$4:$L$4,0))*120*0.85,2),INDEX(其他调用!$H$5:$L$404,MATCH($K319,其他调用!$B$5:$B$404,0),MATCH(AW$5,其他调用!$H$4:$L$4,0))*120*0.85)</f>
        <v>48.237344010638395</v>
      </c>
      <c r="AX319" s="14">
        <f>IF(OR(AX$5="大R",AX$5="超R"),MAX(INDEX(其他调用!$H$5:$L$404,MATCH($K319,其他调用!$B$5:$B$404,0),MATCH(AX$5,其他调用!$H$4:$L$4,0))*120*0.85,2),INDEX(其他调用!$H$5:$L$404,MATCH($K319,其他调用!$B$5:$B$404,0),MATCH(AX$5,其他调用!$H$4:$L$4,0))*120*0.85)</f>
        <v>3.9376284143615998</v>
      </c>
      <c r="AY319" s="14">
        <f>IF(OR(AY$5="大R",AY$5="超R"),MAX(INDEX(其他调用!$H$5:$L$404,MATCH($K319,其他调用!$B$5:$B$404,0),MATCH(AY$5,其他调用!$H$4:$L$4,0))*120*0.85,2),INDEX(其他调用!$H$5:$L$404,MATCH($K319,其他调用!$B$5:$B$404,0),MATCH(AY$5,其他调用!$H$4:$L$4,0))*120*0.85)</f>
        <v>2</v>
      </c>
      <c r="AZ319" s="14">
        <f>IF(OR(AZ$5="大R",AZ$5="超R"),MAX(INDEX(其他调用!$H$5:$L$404,MATCH($K319,其他调用!$B$5:$B$404,0),MATCH(AZ$5,其他调用!$H$4:$L$4,0))*120*0.85,2),INDEX(其他调用!$H$5:$L$404,MATCH($K319,其他调用!$B$5:$B$404,0),MATCH(AZ$5,其他调用!$H$4:$L$4,0))*120*0.85)</f>
        <v>2</v>
      </c>
      <c r="BA319" s="14">
        <f>INDEX(其他调用!$H$5:$L$404,MATCH($K319,其他调用!$B$5:$B$404,0),MATCH(BA$5,其他调用!$H$4:$L$4,0))*INDEX(其他调用!$M$5:$M$404,MATCH($K319,其他调用!$B$5:$B$404,0))*0.6</f>
        <v>28.777530149999997</v>
      </c>
      <c r="BB319" s="14">
        <f>INDEX(其他调用!$H$5:$L$404,MATCH($K319,其他调用!$B$5:$B$404,0),MATCH(BB$5,其他调用!$H$4:$L$4,0))*INDEX(其他调用!$M$5:$M$404,MATCH($K319,其他调用!$B$5:$B$404,0))*0.6</f>
        <v>28.374908241551999</v>
      </c>
      <c r="BC319" s="14">
        <f>INDEX(其他调用!$H$5:$L$404,MATCH($K319,其他调用!$B$5:$B$404,0),MATCH(BC$5,其他调用!$H$4:$L$4,0))*INDEX(其他调用!$M$5:$M$404,MATCH($K319,其他调用!$B$5:$B$404,0))*0.6</f>
        <v>2.3162520084480001</v>
      </c>
      <c r="BD319" s="14">
        <f>INDEX(其他调用!$H$5:$L$404,MATCH($K319,其他调用!$B$5:$B$404,0),MATCH(BD$5,其他调用!$H$4:$L$4,0))*INDEX(其他调用!$M$5:$M$404,MATCH($K319,其他调用!$B$5:$B$404,0))*0.6</f>
        <v>0.4120776000000001</v>
      </c>
      <c r="BE319" s="14">
        <f>INDEX(其他调用!$H$5:$L$404,MATCH($K319,其他调用!$B$5:$B$404,0),MATCH(BE$5,其他调用!$H$4:$L$4,0))*INDEX(其他调用!$M$5:$M$404,MATCH($K319,其他调用!$B$5:$B$404,0))*0.6</f>
        <v>0.11923199999999998</v>
      </c>
      <c r="BF319" s="14">
        <f>IF(OR(BF$5="大R",BF$5="超R"),0,INDEX(其他调用!$H$5:$L$404,MATCH($K319,其他调用!$B$5:$B$404,0),MATCH(BF$5,其他调用!$H$4:$L$4,0))*50*0.4)</f>
        <v>9.5925100500000013</v>
      </c>
      <c r="BG319" s="14">
        <f>IF(OR(BG$5="大R",BG$5="超R"),0,INDEX(其他调用!$H$5:$L$404,MATCH($K319,其他调用!$B$5:$B$404,0),MATCH(BG$5,其他调用!$H$4:$L$4,0))*50*0.4)</f>
        <v>9.4583027471839998</v>
      </c>
      <c r="BH319" s="14">
        <f>IF(OR(BH$5="大R",BH$5="超R"),0,INDEX(其他调用!$H$5:$L$404,MATCH($K319,其他调用!$B$5:$B$404,0),MATCH(BH$5,其他调用!$H$4:$L$4,0))*50*0.4)</f>
        <v>0.77208400281600009</v>
      </c>
      <c r="BI319" s="14">
        <f>IF(OR(BI$5="大R",BI$5="超R"),0,INDEX(其他调用!$H$5:$L$404,MATCH($K319,其他调用!$B$5:$B$404,0),MATCH(BI$5,其他调用!$H$4:$L$4,0))*50*0.4)</f>
        <v>0</v>
      </c>
      <c r="BJ319" s="14">
        <f>IF(OR(BJ$5="大R",BJ$5="超R"),0,INDEX(其他调用!$H$5:$L$404,MATCH($K319,其他调用!$B$5:$B$404,0),MATCH(BJ$5,其他调用!$H$4:$L$4,0))*50*0.4)</f>
        <v>0</v>
      </c>
      <c r="BL319" s="14">
        <f t="shared" si="523"/>
        <v>314</v>
      </c>
      <c r="BM319" s="14">
        <f t="shared" si="430"/>
        <v>96</v>
      </c>
      <c r="BN319" s="14">
        <f>('疲劳值&amp;地图信息'!$S$10*'疲劳值&amp;地图信息'!$R$10+'疲劳值&amp;地图信息'!$S$11*'疲劳值&amp;地图信息'!$R$11+'疲劳值&amp;地图信息'!$S$12*'疲劳值&amp;地图信息'!$R$12+(BM319-'疲劳值&amp;地图信息'!$S$12-'疲劳值&amp;地图信息'!$S$11-'疲劳值&amp;地图信息'!$S$10)*'疲劳值&amp;地图信息'!$R$13)/BM319</f>
        <v>51.371477246638619</v>
      </c>
      <c r="BO319" s="14">
        <f>INDEX(其他调用!$M$5:$M$404,MATCH(BL319,其他调用!$B$5:$B$404,0))*0.6</f>
        <v>60</v>
      </c>
      <c r="BP319" s="14">
        <f>IF(BO319&gt;SUM('疲劳值&amp;地图信息'!$S$10:$S$12),('疲劳值&amp;地图信息'!$S$10*'疲劳值&amp;地图信息'!$R$10+'疲劳值&amp;地图信息'!$S$11*'疲劳值&amp;地图信息'!$R$11+'疲劳值&amp;地图信息'!$S$12*'疲劳值&amp;地图信息'!$R$12+(BO319-'疲劳值&amp;地图信息'!$S$12-'疲劳值&amp;地图信息'!$S$11-'疲劳值&amp;地图信息'!$S$10)*'疲劳值&amp;地图信息'!$R$13)/BO319,('疲劳值&amp;地图信息'!$S$10*'疲劳值&amp;地图信息'!$R$10+'疲劳值&amp;地图信息'!$S$11*'疲劳值&amp;地图信息'!$R$11+'疲劳值&amp;地图信息'!$S$12*'疲劳值&amp;地图信息'!$R$12+(BO319-'疲劳值&amp;地图信息'!$S$12-'疲劳值&amp;地图信息'!$S$11-'疲劳值&amp;地图信息'!$S$10)*'疲劳值&amp;地图信息'!$R$13)/BO319)</f>
        <v>44.158136341605953</v>
      </c>
      <c r="BQ319" s="14">
        <f t="shared" si="524"/>
        <v>20</v>
      </c>
      <c r="BR319" s="14">
        <f>('疲劳值&amp;地图信息'!$S$10*'疲劳值&amp;地图信息'!$R$10+($BQ319-'疲劳值&amp;地图信息'!$S$10)*'疲劳值&amp;地图信息'!$R$11)/$BQ319</f>
        <v>32.067203015074995</v>
      </c>
      <c r="CF319" s="14">
        <v>314</v>
      </c>
      <c r="CG319" s="51">
        <f t="shared" si="431"/>
        <v>16309</v>
      </c>
      <c r="CH319" s="51">
        <f t="shared" si="432"/>
        <v>1077</v>
      </c>
      <c r="CI319" s="51">
        <f>INT(SUMPRODUCT($N319:$R319,$BA319:$BE319)/SUM($BA319:$BE319)/10000*$BX$7*$BZ$34/'疲劳值&amp;地图信息'!$R$10*$BY$53)</f>
        <v>3370</v>
      </c>
      <c r="CJ319" s="50">
        <f t="shared" si="433"/>
        <v>0.78574869917132395</v>
      </c>
      <c r="CK319" s="50">
        <f t="shared" si="434"/>
        <v>5.1888610522258627E-2</v>
      </c>
      <c r="CL319" s="50">
        <f t="shared" si="435"/>
        <v>0.16236269030641742</v>
      </c>
      <c r="CM319" s="14">
        <f t="shared" si="436"/>
        <v>17886</v>
      </c>
      <c r="CN319" s="14">
        <f t="shared" si="437"/>
        <v>1849</v>
      </c>
      <c r="CO319" s="14">
        <f>INT(SUMPRODUCT($U319:$Y319,$BA319:$BE319)/SUM($BA319:$BE319)/10000*$BX$7*$BZ$34/'疲劳值&amp;地图信息'!$R$10*$BY$54)</f>
        <v>6444</v>
      </c>
      <c r="CP319" s="50">
        <f t="shared" si="438"/>
        <v>0.68321937430765112</v>
      </c>
      <c r="CQ319" s="50">
        <f t="shared" si="439"/>
        <v>7.062913021887772E-2</v>
      </c>
      <c r="CR319" s="50">
        <f t="shared" si="440"/>
        <v>0.24615149547347109</v>
      </c>
      <c r="CS319" s="14">
        <f t="shared" si="441"/>
        <v>19498</v>
      </c>
      <c r="CT319" s="14">
        <f t="shared" si="442"/>
        <v>3240</v>
      </c>
      <c r="CU319" s="14">
        <f>INT(SUMPRODUCT($AB319:$AF319,$BA319:$BE319)/SUM($BA319:$BE319)/10000*$BX$7*$BZ$34/'疲劳值&amp;地图信息'!$R$10*$BY$55)</f>
        <v>8757</v>
      </c>
      <c r="CV319" s="50">
        <f t="shared" si="443"/>
        <v>0.61908239403079857</v>
      </c>
      <c r="CW319" s="50">
        <f t="shared" si="444"/>
        <v>0.10287347197967932</v>
      </c>
      <c r="CX319" s="50">
        <f t="shared" si="445"/>
        <v>0.27804413398952216</v>
      </c>
      <c r="CY319" s="14">
        <f t="shared" si="446"/>
        <v>23449</v>
      </c>
      <c r="CZ319" s="14">
        <f t="shared" si="447"/>
        <v>8835</v>
      </c>
      <c r="DA319" s="14">
        <f>INT(SUMPRODUCT($AI319:$AM319,$BA319:$BE319)/SUM($BA319:$BE319)/10000*$BX$7*$BZ$34/'疲劳值&amp;地图信息'!$R$10*$BY$56)</f>
        <v>13210</v>
      </c>
      <c r="DB319" s="50">
        <f t="shared" si="448"/>
        <v>0.51543060623378911</v>
      </c>
      <c r="DC319" s="50">
        <f t="shared" si="449"/>
        <v>0.19420143315602056</v>
      </c>
      <c r="DD319" s="50">
        <f t="shared" si="450"/>
        <v>0.29036796061019038</v>
      </c>
      <c r="DE319" s="14">
        <f t="shared" si="451"/>
        <v>24343</v>
      </c>
      <c r="DF319" s="14">
        <f t="shared" si="452"/>
        <v>15857</v>
      </c>
      <c r="DG319" s="14">
        <f>INT(SUMPRODUCT($AP319:$AT319,$BA319:$BE319)/SUM($BA319:$BE319)/10000*$BX$7*$BZ$34/'疲劳值&amp;地图信息'!$R$10*$BY$57)</f>
        <v>17632</v>
      </c>
      <c r="DH319" s="50">
        <f t="shared" si="453"/>
        <v>0.42092613086180664</v>
      </c>
      <c r="DI319" s="50">
        <f t="shared" si="454"/>
        <v>0.27419075944113985</v>
      </c>
      <c r="DJ319" s="50">
        <f t="shared" si="455"/>
        <v>0.30488310969705351</v>
      </c>
      <c r="DL319" s="14">
        <f t="shared" si="526"/>
        <v>20756</v>
      </c>
      <c r="DM319" s="14">
        <f t="shared" si="527"/>
        <v>26179</v>
      </c>
      <c r="DN319" s="14">
        <f t="shared" si="528"/>
        <v>31495</v>
      </c>
      <c r="DO319" s="14">
        <f t="shared" si="529"/>
        <v>45494</v>
      </c>
      <c r="DP319" s="14">
        <f t="shared" si="530"/>
        <v>57832</v>
      </c>
      <c r="DQ319" s="14">
        <f t="shared" si="531"/>
        <v>1438725</v>
      </c>
      <c r="DT319" s="14">
        <f t="shared" si="525"/>
        <v>235575</v>
      </c>
      <c r="DU319" s="50">
        <f t="shared" si="427"/>
        <v>0.14070059129188317</v>
      </c>
      <c r="DW319" s="14">
        <f t="shared" si="456"/>
        <v>1674300</v>
      </c>
      <c r="EB319" s="14">
        <v>314</v>
      </c>
      <c r="EC319" s="51">
        <f t="shared" si="457"/>
        <v>27182</v>
      </c>
      <c r="ED319" s="51">
        <f t="shared" si="458"/>
        <v>1795</v>
      </c>
      <c r="EE319" s="51">
        <f>INT(SUMPRODUCT($N319:$R319,$BF319:$BJ319)/SUM($BF319:$BJ319)/10000*$BX$7*$BZ$46/'疲劳值&amp;地图信息'!$R$10*$BY$53)</f>
        <v>452</v>
      </c>
      <c r="EF319" s="50">
        <f t="shared" si="459"/>
        <v>0.92364674300859695</v>
      </c>
      <c r="EG319" s="50">
        <f t="shared" si="460"/>
        <v>6.0994257365184004E-2</v>
      </c>
      <c r="EH319" s="50">
        <f t="shared" si="461"/>
        <v>1.5358999626219035E-2</v>
      </c>
      <c r="EI319" s="51">
        <f t="shared" si="462"/>
        <v>29811</v>
      </c>
      <c r="EJ319" s="51">
        <f t="shared" si="463"/>
        <v>3082</v>
      </c>
      <c r="EK319" s="14">
        <f>INT(SUMPRODUCT($U319:$Y319,$BF319:$BJ319)/SUM($BF319:$BJ319)/10000*$BX$7*$BZ$46/'疲劳值&amp;地图信息'!$R$10*$BY$54)</f>
        <v>865</v>
      </c>
      <c r="EL319" s="50">
        <f t="shared" si="464"/>
        <v>0.88307956632501927</v>
      </c>
      <c r="EM319" s="50">
        <f t="shared" si="465"/>
        <v>9.1296877777119492E-2</v>
      </c>
      <c r="EN319" s="50">
        <f t="shared" si="466"/>
        <v>2.5623555897861246E-2</v>
      </c>
      <c r="EO319" s="51">
        <f t="shared" si="467"/>
        <v>32497</v>
      </c>
      <c r="EP319" s="51">
        <f t="shared" si="468"/>
        <v>5400</v>
      </c>
      <c r="EQ319" s="14">
        <f>INT(SUMPRODUCT($AB319:$AF319,$BF319:$BJ319)/SUM($BF319:$BJ319)/10000*$BX$7*$BZ$46/'疲劳值&amp;地图信息'!$R$10*$BY$55)</f>
        <v>1174</v>
      </c>
      <c r="ER319" s="50">
        <f t="shared" si="469"/>
        <v>0.83174221289447414</v>
      </c>
      <c r="ES319" s="50">
        <f t="shared" si="470"/>
        <v>0.13820992552020681</v>
      </c>
      <c r="ET319" s="50">
        <f t="shared" si="471"/>
        <v>3.0047861585319035E-2</v>
      </c>
      <c r="EU319" s="51">
        <f t="shared" si="472"/>
        <v>39083</v>
      </c>
      <c r="EV319" s="51">
        <f t="shared" si="473"/>
        <v>14726</v>
      </c>
      <c r="EW319" s="14">
        <f>INT(SUMPRODUCT($AI319:$AM319,$BF319:$BJ319)/SUM($BF319:$BJ319)/10000*$BX$7*$BZ$46/'疲劳值&amp;地图信息'!$R$10*$BY$56)</f>
        <v>1761</v>
      </c>
      <c r="EX319" s="50">
        <f t="shared" si="474"/>
        <v>0.70331113910383303</v>
      </c>
      <c r="EY319" s="50">
        <f t="shared" si="475"/>
        <v>0.26499910023393919</v>
      </c>
      <c r="EZ319" s="50">
        <f t="shared" si="476"/>
        <v>3.1689760662227819E-2</v>
      </c>
      <c r="FA319" s="51">
        <f t="shared" si="477"/>
        <v>40573</v>
      </c>
      <c r="FB319" s="51">
        <f t="shared" si="478"/>
        <v>26428</v>
      </c>
      <c r="FC319" s="14">
        <f>INT(SUMPRODUCT($AP319:$AT319,$BF319:$BJ319)/SUM($BF319:$BJ319)/10000*$BX$7*$BZ$46/'疲劳值&amp;地图信息'!$R$10*$BY$57)</f>
        <v>2348</v>
      </c>
      <c r="FD319" s="50">
        <f t="shared" si="479"/>
        <v>0.58505530000432593</v>
      </c>
      <c r="FE319" s="50">
        <f t="shared" si="480"/>
        <v>0.38108696592596863</v>
      </c>
      <c r="FF319" s="50">
        <f t="shared" si="481"/>
        <v>3.3857734069705402E-2</v>
      </c>
      <c r="FH319" s="14">
        <f t="shared" si="482"/>
        <v>29429</v>
      </c>
      <c r="FI319" s="14">
        <f t="shared" si="483"/>
        <v>33758</v>
      </c>
      <c r="FJ319" s="14">
        <f t="shared" si="484"/>
        <v>39071</v>
      </c>
      <c r="FK319" s="14">
        <f t="shared" si="485"/>
        <v>55570</v>
      </c>
      <c r="FL319" s="14">
        <f t="shared" si="486"/>
        <v>69349</v>
      </c>
      <c r="FM319" s="14">
        <f t="shared" si="487"/>
        <v>3471801</v>
      </c>
      <c r="FP319" s="14">
        <f t="shared" si="488"/>
        <v>334150</v>
      </c>
      <c r="FQ319" s="50">
        <f t="shared" si="428"/>
        <v>8.779671624779195E-2</v>
      </c>
      <c r="FS319" s="14">
        <f t="shared" si="489"/>
        <v>3805951</v>
      </c>
      <c r="FX319" s="14">
        <v>314</v>
      </c>
      <c r="FY319" s="51">
        <f t="shared" si="490"/>
        <v>38056</v>
      </c>
      <c r="FZ319" s="51">
        <f t="shared" si="491"/>
        <v>1795</v>
      </c>
      <c r="GA319" s="51">
        <f>INT(SUMPRODUCT($N319:$R319,$BF319:$BJ319)/SUM($BF319:$BJ319)/10000*$BX$7*$BZ$46/'疲劳值&amp;地图信息'!$R$10*$BY$53)</f>
        <v>452</v>
      </c>
      <c r="GB319" s="50">
        <f t="shared" si="492"/>
        <v>0.94424732650174925</v>
      </c>
      <c r="GC319" s="50">
        <f t="shared" si="493"/>
        <v>4.4537627471900355E-2</v>
      </c>
      <c r="GD319" s="50">
        <f t="shared" si="494"/>
        <v>1.1215046026350395E-2</v>
      </c>
      <c r="GE319" s="51">
        <f t="shared" si="495"/>
        <v>41736</v>
      </c>
      <c r="GF319" s="51">
        <f t="shared" si="496"/>
        <v>3082</v>
      </c>
      <c r="GG319" s="14">
        <f>INT(SUMPRODUCT($U319:$Y319,$BF319:$BJ319)/SUM($BF319:$BJ319)/10000*$BX$7*$BZ$46/'疲劳值&amp;地图信息'!$R$10*$BY$54)</f>
        <v>865</v>
      </c>
      <c r="GH319" s="50">
        <f t="shared" si="497"/>
        <v>0.91360024516778671</v>
      </c>
      <c r="GI319" s="50">
        <f t="shared" si="498"/>
        <v>6.7464921305518469E-2</v>
      </c>
      <c r="GJ319" s="50">
        <f t="shared" si="499"/>
        <v>1.8934833526694832E-2</v>
      </c>
      <c r="GK319" s="51">
        <f t="shared" si="500"/>
        <v>45497</v>
      </c>
      <c r="GL319" s="51">
        <f t="shared" si="501"/>
        <v>5400</v>
      </c>
      <c r="GM319" s="14">
        <f>INT(SUMPRODUCT($AB319:$AF319,$BF319:$BJ319)/SUM($BF319:$BJ319)/10000*$BX$7*$BZ$46/'疲劳值&amp;地图信息'!$R$10*$BY$55)</f>
        <v>1174</v>
      </c>
      <c r="GN319" s="50">
        <f t="shared" si="502"/>
        <v>0.87374930383514815</v>
      </c>
      <c r="GO319" s="50">
        <f t="shared" si="503"/>
        <v>0.10370455723915423</v>
      </c>
      <c r="GP319" s="50">
        <f t="shared" si="504"/>
        <v>2.2546138925697606E-2</v>
      </c>
      <c r="GQ319" s="51">
        <f t="shared" si="505"/>
        <v>54716</v>
      </c>
      <c r="GR319" s="51">
        <f t="shared" si="506"/>
        <v>14726</v>
      </c>
      <c r="GS319" s="14">
        <f>INT(SUMPRODUCT($AI319:$AM319,$BF319:$BJ319)/SUM($BF319:$BJ319)/10000*$BX$7*$BZ$46/'疲劳值&amp;地图信息'!$R$10*$BY$56)</f>
        <v>1761</v>
      </c>
      <c r="GT319" s="50">
        <f t="shared" si="507"/>
        <v>0.76845076752384034</v>
      </c>
      <c r="GU319" s="50">
        <f t="shared" si="508"/>
        <v>0.20681712849177702</v>
      </c>
      <c r="GV319" s="50">
        <f t="shared" si="509"/>
        <v>2.4732103984382681E-2</v>
      </c>
      <c r="GW319" s="51">
        <f t="shared" si="510"/>
        <v>56802</v>
      </c>
      <c r="GX319" s="51">
        <f t="shared" si="511"/>
        <v>26428</v>
      </c>
      <c r="GY319" s="14">
        <f>INT(SUMPRODUCT($AP319:$AT319,$BF319:$BJ319)/SUM($BF319:$BJ319)/10000*$BX$7*$BZ$46/'疲劳值&amp;地图信息'!$R$10*$BY$57)</f>
        <v>2348</v>
      </c>
      <c r="GZ319" s="50">
        <f t="shared" si="512"/>
        <v>0.66374535511463228</v>
      </c>
      <c r="HA319" s="50">
        <f t="shared" si="513"/>
        <v>0.30881768678866062</v>
      </c>
      <c r="HB319" s="50">
        <f t="shared" si="514"/>
        <v>2.7436958096707098E-2</v>
      </c>
      <c r="HD319" s="14">
        <f t="shared" si="515"/>
        <v>40303</v>
      </c>
      <c r="HE319" s="14">
        <f t="shared" si="516"/>
        <v>45683</v>
      </c>
      <c r="HF319" s="14">
        <f t="shared" si="517"/>
        <v>52071</v>
      </c>
      <c r="HG319" s="14">
        <f t="shared" si="518"/>
        <v>71203</v>
      </c>
      <c r="HH319" s="14">
        <f t="shared" si="519"/>
        <v>85578</v>
      </c>
      <c r="HI319" s="14">
        <f t="shared" si="520"/>
        <v>4693920</v>
      </c>
      <c r="HL319" s="14">
        <f t="shared" si="521"/>
        <v>430050</v>
      </c>
      <c r="HM319" s="50">
        <f t="shared" si="429"/>
        <v>8.3929062816527025E-2</v>
      </c>
      <c r="HO319" s="14">
        <f t="shared" si="522"/>
        <v>5123970</v>
      </c>
    </row>
    <row r="320" spans="11:223" x14ac:dyDescent="0.2">
      <c r="K320" s="14">
        <v>315</v>
      </c>
      <c r="L320" s="12">
        <f>求节点(节奏总纲!D$4:D$163,标准城池设计!AB$4:AB$163,$K320)*求节点(节奏总纲!D$4:D$163,攻城基础信息!$AC$5:$AC$164,$K320)</f>
        <v>801355.26683219185</v>
      </c>
      <c r="M320" s="12">
        <f>INDEX(其他调用!$AA$5:$AA$404,MATCH(K320,其他调用!$X$5:$X$404,0))*MIN(INDEX(其他调用!$AH$5:$AH$364,MATCH('征服点（新）'!K320,其他调用!$AG$5:$AG$364,0),1)/INDEX(其他调用!$AJ$5:$AJ$364,MATCH(K320,其他调用!$AG$5:$AG$364,0),0),5)*求节点(节奏总纲!D$4:D$163,攻城基础信息!$AC$5:$AC$164,$K320)</f>
        <v>52778.818975696391</v>
      </c>
      <c r="N320" s="12">
        <f>MIN(INDEX(其他调用!$AH$5:$AH$364,MATCH($K320,其他调用!$AG$5:$AG$364,0),1)/INDEX(其他调用!AH$5:AH$364,MATCH($K320,其他调用!$AG$5:$AG$364,0),0),1)*INDEX(其他调用!Y$5:Y$404,MATCH($K320,其他调用!$X$5:$X$404,0),0)</f>
        <v>42758.249852021632</v>
      </c>
      <c r="O320" s="12">
        <f>MIN(INDEX(其他调用!$AH$5:$AH$364,MATCH($K320,其他调用!$AG$5:$AG$364,0),1)/INDEX(其他调用!AI$5:AI$364,MATCH($K320,其他调用!$AG$5:$AG$364,0),0),1)*INDEX(其他调用!Z$5:Z$404,MATCH($K320,其他调用!$X$5:$X$404,0),0)</f>
        <v>25553.970636716804</v>
      </c>
      <c r="P320" s="12">
        <f>MIN(INDEX(其他调用!$AH$5:$AH$364,MATCH($K320,其他调用!$AG$5:$AG$364,0),1)/INDEX(其他调用!AJ$5:AJ$364,MATCH($K320,其他调用!$AG$5:$AG$364,0),0),1)*INDEX(其他调用!AA$5:AA$404,MATCH($K320,其他调用!$X$5:$X$404,0),0)</f>
        <v>15079.662564484694</v>
      </c>
      <c r="Q320" s="12">
        <f>MIN(INDEX(其他调用!$AH$5:$AH$364,MATCH($K320,其他调用!$AG$5:$AG$364,0),1)/INDEX(其他调用!AK$5:AK$364,MATCH($K320,其他调用!$AG$5:$AG$364,0),0),1)*INDEX(其他调用!AB$5:AB$404,MATCH($K320,其他调用!$X$5:$X$404,0),0)</f>
        <v>5816.2118279656033</v>
      </c>
      <c r="R320" s="12">
        <f>MIN(INDEX(其他调用!$AH$5:$AH$364,MATCH($K320,其他调用!$AG$5:$AG$364,0),1)/INDEX(其他调用!AL$5:AL$364,MATCH($K320,其他调用!$AG$5:$AG$364,0),0),1)*INDEX(其他调用!AC$5:AC$404,MATCH($K320,其他调用!$X$5:$X$404,0),0)</f>
        <v>3511.0540024134762</v>
      </c>
      <c r="S320" s="12">
        <f>求节点(节奏总纲!D$4:D$163,标准城池设计!AC$4:AC$163,$K320)*求节点(节奏总纲!D$4:D$163,攻城基础信息!$AD$5:$AD$164,$K320)</f>
        <v>878852.16084103042</v>
      </c>
      <c r="T320" s="12">
        <f>INDEX(其他调用!$AA$5:$AA$404,MATCH($K320,其他调用!$X$5:$X$404,0))*MIN(INDEX(其他调用!AI$5:AI$364,MATCH($K320,其他调用!$AG$5:$AG$364,0),1)/INDEX(其他调用!$AJ$5:$AJ$364,MATCH($K320,其他调用!$AG$5:$AG$364,0),0),5)*求节点(节奏总纲!D$4:D$163,攻城基础信息!$AD$5:$AD$164,$K320)</f>
        <v>90705.808758744839</v>
      </c>
      <c r="U320" s="12">
        <f>MIN(INDEX(其他调用!$AI$5:$AI$364,MATCH($K320,其他调用!$AG$5:$AG$364,0),1)/INDEX(其他调用!AH$5:AH$364,MATCH($K320,其他调用!$AG$5:$AG$364,0),0),1)*INDEX(其他调用!Y$5:Y$404,MATCH($K320,其他调用!$X$5:$X$404,0),0)</f>
        <v>42758.249852021632</v>
      </c>
      <c r="V320" s="12">
        <f>MIN(INDEX(其他调用!$AI$5:$AI$364,MATCH($K320,其他调用!$AG$5:$AG$364,0),1)/INDEX(其他调用!AI$5:AI$364,MATCH($K320,其他调用!$AG$5:$AG$364,0),0),1)*INDEX(其他调用!Z$5:Z$404,MATCH($K320,其他调用!$X$5:$X$404,0),0)</f>
        <v>43917.117104646837</v>
      </c>
      <c r="W320" s="12">
        <f>MIN(INDEX(其他调用!$AI$5:$AI$364,MATCH($K320,其他调用!$AG$5:$AG$364,0),1)/INDEX(其他调用!AJ$5:AJ$364,MATCH($K320,其他调用!$AG$5:$AG$364,0),0),1)*INDEX(其他调用!AA$5:AA$404,MATCH($K320,其他调用!$X$5:$X$404,0),0)</f>
        <v>25915.945359641399</v>
      </c>
      <c r="X320" s="12">
        <f>MIN(INDEX(其他调用!$AI$5:$AI$364,MATCH($K320,其他调用!$AG$5:$AG$364,0),1)/INDEX(其他调用!AK$5:AK$364,MATCH($K320,其他调用!$AG$5:$AG$364,0),0),1)*INDEX(其他调用!AB$5:AB$404,MATCH($K320,其他调用!$X$5:$X$404,0),0)</f>
        <v>9995.7560249828748</v>
      </c>
      <c r="Y320" s="12">
        <f>MIN(INDEX(其他调用!$AI$5:$AI$364,MATCH($K320,其他调用!$AG$5:$AG$364,0),1)/INDEX(其他调用!AL$5:AL$364,MATCH($K320,其他调用!$AG$5:$AG$364,0),0),1)*INDEX(其他调用!AC$5:AC$404,MATCH($K320,其他调用!$X$5:$X$404,0),0)</f>
        <v>6034.1060877317641</v>
      </c>
      <c r="Z320" s="12">
        <f>求节点(节奏总纲!D$4:D$163,标准城池设计!AD$4:AD$163,$K320)*求节点(节奏总纲!D$4:D$163,攻城基础信息!$AE$5:$AE$164,$K320)</f>
        <v>958014.39771797089</v>
      </c>
      <c r="AA320" s="12">
        <f>INDEX(其他调用!$AA$5:$AA$404,MATCH($K320,其他调用!$X$5:$X$404,0))*MIN(INDEX(其他调用!AJ$5:AJ$364,MATCH($K320,其他调用!$AG$5:$AG$364,0),1)/INDEX(其他调用!$AJ$5:$AJ$364,MATCH($K320,其他调用!$AG$5:$AG$364,0),0),5)*求节点(节奏总纲!D$4:D$163,攻城基础信息!$AE$5:$AE$164,$K320)</f>
        <v>159048.81498094267</v>
      </c>
      <c r="AB320" s="12">
        <f>MIN(INDEX(其他调用!$AJ$5:$AJ$364,MATCH($K320,其他调用!$AG$5:$AG$364,0),1)/INDEX(其他调用!AH$5:AH$364,MATCH($K320,其他调用!$AG$5:$AG$364,0),0),1)*INDEX(其他调用!Y$5:Y$404,MATCH($K320,其他调用!$X$5:$X$404,0),0)</f>
        <v>42758.249852021632</v>
      </c>
      <c r="AC320" s="12">
        <f>MIN(INDEX(其他调用!$AJ$5:$AJ$364,MATCH($K320,其他调用!$AG$5:$AG$364,0),1)/INDEX(其他调用!AI$5:AI$364,MATCH($K320,其他调用!$AG$5:$AG$364,0),0),1)*INDEX(其他调用!Z$5:Z$404,MATCH($K320,其他调用!$X$5:$X$404,0),0)</f>
        <v>43917.117104646837</v>
      </c>
      <c r="AD320" s="12">
        <f>MIN(INDEX(其他调用!$AJ$5:$AJ$364,MATCH($K320,其他调用!$AG$5:$AG$364,0),1)/INDEX(其他调用!AJ$5:AJ$364,MATCH($K320,其他调用!$AG$5:$AG$364,0),0),1)*INDEX(其他调用!AA$5:AA$404,MATCH($K320,其他调用!$X$5:$X$404,0),0)</f>
        <v>45442.51856598365</v>
      </c>
      <c r="AE320" s="12">
        <f>MIN(INDEX(其他调用!$AJ$5:$AJ$364,MATCH($K320,其他调用!$AG$5:$AG$364,0),1)/INDEX(其他调用!AK$5:AK$364,MATCH($K320,其他调用!$AG$5:$AG$364,0),0),1)*INDEX(其他调用!AB$5:AB$404,MATCH($K320,其他调用!$X$5:$X$404,0),0)</f>
        <v>17527.137152160303</v>
      </c>
      <c r="AF320" s="12">
        <f>MIN(INDEX(其他调用!$AJ$5:$AJ$364,MATCH($K320,其他调用!$AG$5:$AG$364,0),1)/INDEX(其他调用!AL$5:AL$364,MATCH($K320,其他调用!$AG$5:$AG$364,0),0),1)*INDEX(其他调用!AC$5:AC$404,MATCH($K320,其他调用!$X$5:$X$404,0),0)</f>
        <v>10580.550858387049</v>
      </c>
      <c r="AG320" s="12">
        <f>求节点(节奏总纲!D$4:D$163,标准城池设计!AE$4:AE$163,$K320)*求节点(节奏总纲!D$4:D$163,攻城基础信息!$AF$5:$AF$164,$K320)</f>
        <v>1151744.7573832409</v>
      </c>
      <c r="AH320" s="12">
        <f>INDEX(其他调用!$AA$5:$AA$404,MATCH($K320,其他调用!$X$5:$X$404,0))*MIN(INDEX(其他调用!AK$5:AK$364,MATCH($K320,其他调用!$AG$5:$AG$364,0),1)/INDEX(其他调用!$AJ$5:$AJ$364,MATCH($K320,其他调用!$AG$5:$AG$364,0),0),5)*求节点(节奏总纲!D$4:D$163,攻城基础信息!$AF$5:$AF$164,$K320)</f>
        <v>432863.39873177651</v>
      </c>
      <c r="AI320" s="12">
        <f>MIN(INDEX(其他调用!$AK$5:$AK$364,MATCH($K320,其他调用!$AG$5:$AG$364,0),1)/INDEX(其他调用!AH$5:AH$364,MATCH($K320,其他调用!$AG$5:$AG$364,0),0),1)*INDEX(其他调用!Y$5:Y$404,MATCH($K320,其他调用!$X$5:$X$404,0),0)</f>
        <v>42758.249852021632</v>
      </c>
      <c r="AJ320" s="12">
        <f>MIN(INDEX(其他调用!$AK$5:$AK$364,MATCH($K320,其他调用!$AG$5:$AG$364,0),1)/INDEX(其他调用!AI$5:AI$364,MATCH($K320,其他调用!$AG$5:$AG$364,0),0),1)*INDEX(其他调用!Z$5:Z$404,MATCH($K320,其他调用!$X$5:$X$404,0),0)</f>
        <v>43917.117104646837</v>
      </c>
      <c r="AK320" s="12">
        <f>MIN(INDEX(其他调用!$AK$5:$AK$364,MATCH($K320,其他调用!$AG$5:$AG$364,0),1)/INDEX(其他调用!AJ$5:AJ$364,MATCH($K320,其他调用!$AG$5:$AG$364,0),0),1)*INDEX(其他调用!AA$5:AA$404,MATCH($K320,其他调用!$X$5:$X$404,0),0)</f>
        <v>45442.51856598365</v>
      </c>
      <c r="AL320" s="12">
        <f>MIN(INDEX(其他调用!$AK$5:$AK$364,MATCH($K320,其他调用!$AG$5:$AG$364,0),1)/INDEX(其他调用!AK$5:AK$364,MATCH($K320,其他调用!$AG$5:$AG$364,0),0),1)*INDEX(其他调用!AB$5:AB$404,MATCH($K320,其他调用!$X$5:$X$404,0),0)</f>
        <v>47701.431529880691</v>
      </c>
      <c r="AM320" s="12">
        <f>MIN(INDEX(其他调用!$AK$5:$AK$364,MATCH($K320,其他调用!$AG$5:$AG$364,0),1)/INDEX(其他调用!AL$5:AL$364,MATCH($K320,其他调用!$AG$5:$AG$364,0),0),1)*INDEX(其他调用!AC$5:AC$404,MATCH($K320,其他调用!$X$5:$X$404,0),0)</f>
        <v>28795.770691938847</v>
      </c>
      <c r="AN320" s="12">
        <f>求节点(节奏总纲!D$4:D$163,标准城池设计!AF$4:AF$163,$K320)*求节点(节奏总纲!D$4:D$163,攻城基础信息!$AG$5:$AG$164,$K320)</f>
        <v>1195317.492897701</v>
      </c>
      <c r="AO320" s="12">
        <f>INDEX(其他调用!$AA$5:$AA$404,MATCH($K320,其他调用!$X$5:$X$404,0))*MIN(INDEX(其他调用!AL$5:AL$364,MATCH($K320,其他调用!$AG$5:$AG$364,0),1)/INDEX(其他调用!$AJ$5:$AJ$364,MATCH($K320,其他调用!$AG$5:$AG$364,0),0),5)*求节点(节奏总纲!D$4:D$163,攻城基础信息!$AG$5:$AG$164,$K320)</f>
        <v>775554.75889601104</v>
      </c>
      <c r="AP320" s="12">
        <f>MIN(INDEX(其他调用!$AL$5:$AL$364,MATCH($K320,其他调用!$AG$5:$AG$364,0),1)/INDEX(其他调用!AH$5:AH$364,MATCH($K320,其他调用!$AG$5:$AG$364,0),0),1)*INDEX(其他调用!Y$5:Y$404,MATCH($K320,其他调用!$X$5:$X$404,0),0)</f>
        <v>42758.249852021632</v>
      </c>
      <c r="AQ320" s="12">
        <f>MIN(INDEX(其他调用!$AL$5:$AL$364,MATCH($K320,其他调用!$AG$5:$AG$364,0),1)/INDEX(其他调用!AI$5:AI$364,MATCH($K320,其他调用!$AG$5:$AG$364,0),0),1)*INDEX(其他调用!Z$5:Z$404,MATCH($K320,其他调用!$X$5:$X$404,0),0)</f>
        <v>43917.117104646837</v>
      </c>
      <c r="AR320" s="12">
        <f>MIN(INDEX(其他调用!$AL$5:$AL$364,MATCH($K320,其他调用!$AG$5:$AG$364,0),1)/INDEX(其他调用!AJ$5:AJ$364,MATCH($K320,其他调用!$AG$5:$AG$364,0),0),1)*INDEX(其他调用!AA$5:AA$404,MATCH($K320,其他调用!$X$5:$X$404,0),0)</f>
        <v>45442.51856598365</v>
      </c>
      <c r="AS320" s="12">
        <f>MIN(INDEX(其他调用!$AL$5:$AL$364,MATCH($K320,其他调用!$AG$5:$AG$364,0),1)/INDEX(其他调用!AK$5:AK$364,MATCH($K320,其他调用!$AG$5:$AG$364,0),0),1)*INDEX(其他调用!AB$5:AB$404,MATCH($K320,其他调用!$X$5:$X$404,0),0)</f>
        <v>47701.431529880691</v>
      </c>
      <c r="AT320" s="12">
        <f>MIN(INDEX(其他调用!$AL$5:$AL$364,MATCH($K320,其他调用!$AG$5:$AG$364,0),1)/INDEX(其他调用!AL$5:AL$364,MATCH($K320,其他调用!$AG$5:$AG$364,0),0),1)*INDEX(其他调用!AC$5:AC$404,MATCH($K320,其他调用!$X$5:$X$404,0),0)</f>
        <v>51592.943782363756</v>
      </c>
      <c r="AV320" s="14">
        <f>IF(OR(AV$5="大R",AV$5="超R"),MAX(INDEX(其他调用!$H$5:$L$404,MATCH($K320,其他调用!$B$5:$B$404,0),MATCH(AV$5,其他调用!$H$4:$L$4,0))*120*0.85,2),INDEX(其他调用!$H$5:$L$404,MATCH($K320,其他调用!$B$5:$B$404,0),MATCH(AV$5,其他调用!$H$4:$L$4,0))*120*0.85)</f>
        <v>48.921801254999991</v>
      </c>
      <c r="AW320" s="14">
        <f>IF(OR(AW$5="大R",AW$5="超R"),MAX(INDEX(其他调用!$H$5:$L$404,MATCH($K320,其他调用!$B$5:$B$404,0),MATCH(AW$5,其他调用!$H$4:$L$4,0))*120*0.85,2),INDEX(其他调用!$H$5:$L$404,MATCH($K320,其他调用!$B$5:$B$404,0),MATCH(AW$5,其他调用!$H$4:$L$4,0))*120*0.85)</f>
        <v>48.237344010638395</v>
      </c>
      <c r="AX320" s="14">
        <f>IF(OR(AX$5="大R",AX$5="超R"),MAX(INDEX(其他调用!$H$5:$L$404,MATCH($K320,其他调用!$B$5:$B$404,0),MATCH(AX$5,其他调用!$H$4:$L$4,0))*120*0.85,2),INDEX(其他调用!$H$5:$L$404,MATCH($K320,其他调用!$B$5:$B$404,0),MATCH(AX$5,其他调用!$H$4:$L$4,0))*120*0.85)</f>
        <v>3.9376284143615998</v>
      </c>
      <c r="AY320" s="14">
        <f>IF(OR(AY$5="大R",AY$5="超R"),MAX(INDEX(其他调用!$H$5:$L$404,MATCH($K320,其他调用!$B$5:$B$404,0),MATCH(AY$5,其他调用!$H$4:$L$4,0))*120*0.85,2),INDEX(其他调用!$H$5:$L$404,MATCH($K320,其他调用!$B$5:$B$404,0),MATCH(AY$5,其他调用!$H$4:$L$4,0))*120*0.85)</f>
        <v>2</v>
      </c>
      <c r="AZ320" s="14">
        <f>IF(OR(AZ$5="大R",AZ$5="超R"),MAX(INDEX(其他调用!$H$5:$L$404,MATCH($K320,其他调用!$B$5:$B$404,0),MATCH(AZ$5,其他调用!$H$4:$L$4,0))*120*0.85,2),INDEX(其他调用!$H$5:$L$404,MATCH($K320,其他调用!$B$5:$B$404,0),MATCH(AZ$5,其他调用!$H$4:$L$4,0))*120*0.85)</f>
        <v>2</v>
      </c>
      <c r="BA320" s="14">
        <f>INDEX(其他调用!$H$5:$L$404,MATCH($K320,其他调用!$B$5:$B$404,0),MATCH(BA$5,其他调用!$H$4:$L$4,0))*INDEX(其他调用!$M$5:$M$404,MATCH($K320,其他调用!$B$5:$B$404,0))*0.6</f>
        <v>28.777530149999997</v>
      </c>
      <c r="BB320" s="14">
        <f>INDEX(其他调用!$H$5:$L$404,MATCH($K320,其他调用!$B$5:$B$404,0),MATCH(BB$5,其他调用!$H$4:$L$4,0))*INDEX(其他调用!$M$5:$M$404,MATCH($K320,其他调用!$B$5:$B$404,0))*0.6</f>
        <v>28.374908241551999</v>
      </c>
      <c r="BC320" s="14">
        <f>INDEX(其他调用!$H$5:$L$404,MATCH($K320,其他调用!$B$5:$B$404,0),MATCH(BC$5,其他调用!$H$4:$L$4,0))*INDEX(其他调用!$M$5:$M$404,MATCH($K320,其他调用!$B$5:$B$404,0))*0.6</f>
        <v>2.3162520084480001</v>
      </c>
      <c r="BD320" s="14">
        <f>INDEX(其他调用!$H$5:$L$404,MATCH($K320,其他调用!$B$5:$B$404,0),MATCH(BD$5,其他调用!$H$4:$L$4,0))*INDEX(其他调用!$M$5:$M$404,MATCH($K320,其他调用!$B$5:$B$404,0))*0.6</f>
        <v>0.4120776000000001</v>
      </c>
      <c r="BE320" s="14">
        <f>INDEX(其他调用!$H$5:$L$404,MATCH($K320,其他调用!$B$5:$B$404,0),MATCH(BE$5,其他调用!$H$4:$L$4,0))*INDEX(其他调用!$M$5:$M$404,MATCH($K320,其他调用!$B$5:$B$404,0))*0.6</f>
        <v>0.11923199999999998</v>
      </c>
      <c r="BF320" s="14">
        <f>IF(OR(BF$5="大R",BF$5="超R"),0,INDEX(其他调用!$H$5:$L$404,MATCH($K320,其他调用!$B$5:$B$404,0),MATCH(BF$5,其他调用!$H$4:$L$4,0))*50*0.4)</f>
        <v>9.5925100500000013</v>
      </c>
      <c r="BG320" s="14">
        <f>IF(OR(BG$5="大R",BG$5="超R"),0,INDEX(其他调用!$H$5:$L$404,MATCH($K320,其他调用!$B$5:$B$404,0),MATCH(BG$5,其他调用!$H$4:$L$4,0))*50*0.4)</f>
        <v>9.4583027471839998</v>
      </c>
      <c r="BH320" s="14">
        <f>IF(OR(BH$5="大R",BH$5="超R"),0,INDEX(其他调用!$H$5:$L$404,MATCH($K320,其他调用!$B$5:$B$404,0),MATCH(BH$5,其他调用!$H$4:$L$4,0))*50*0.4)</f>
        <v>0.77208400281600009</v>
      </c>
      <c r="BI320" s="14">
        <f>IF(OR(BI$5="大R",BI$5="超R"),0,INDEX(其他调用!$H$5:$L$404,MATCH($K320,其他调用!$B$5:$B$404,0),MATCH(BI$5,其他调用!$H$4:$L$4,0))*50*0.4)</f>
        <v>0</v>
      </c>
      <c r="BJ320" s="14">
        <f>IF(OR(BJ$5="大R",BJ$5="超R"),0,INDEX(其他调用!$H$5:$L$404,MATCH($K320,其他调用!$B$5:$B$404,0),MATCH(BJ$5,其他调用!$H$4:$L$4,0))*50*0.4)</f>
        <v>0</v>
      </c>
      <c r="BL320" s="14">
        <f t="shared" si="523"/>
        <v>315</v>
      </c>
      <c r="BM320" s="14">
        <f t="shared" si="430"/>
        <v>96</v>
      </c>
      <c r="BN320" s="14">
        <f>('疲劳值&amp;地图信息'!$S$10*'疲劳值&amp;地图信息'!$R$10+'疲劳值&amp;地图信息'!$S$11*'疲劳值&amp;地图信息'!$R$11+'疲劳值&amp;地图信息'!$S$12*'疲劳值&amp;地图信息'!$R$12+(BM320-'疲劳值&amp;地图信息'!$S$12-'疲劳值&amp;地图信息'!$S$11-'疲劳值&amp;地图信息'!$S$10)*'疲劳值&amp;地图信息'!$R$13)/BM320</f>
        <v>51.371477246638619</v>
      </c>
      <c r="BO320" s="14">
        <f>INDEX(其他调用!$M$5:$M$404,MATCH(BL320,其他调用!$B$5:$B$404,0))*0.6</f>
        <v>60</v>
      </c>
      <c r="BP320" s="14">
        <f>IF(BO320&gt;SUM('疲劳值&amp;地图信息'!$S$10:$S$12),('疲劳值&amp;地图信息'!$S$10*'疲劳值&amp;地图信息'!$R$10+'疲劳值&amp;地图信息'!$S$11*'疲劳值&amp;地图信息'!$R$11+'疲劳值&amp;地图信息'!$S$12*'疲劳值&amp;地图信息'!$R$12+(BO320-'疲劳值&amp;地图信息'!$S$12-'疲劳值&amp;地图信息'!$S$11-'疲劳值&amp;地图信息'!$S$10)*'疲劳值&amp;地图信息'!$R$13)/BO320,('疲劳值&amp;地图信息'!$S$10*'疲劳值&amp;地图信息'!$R$10+'疲劳值&amp;地图信息'!$S$11*'疲劳值&amp;地图信息'!$R$11+'疲劳值&amp;地图信息'!$S$12*'疲劳值&amp;地图信息'!$R$12+(BO320-'疲劳值&amp;地图信息'!$S$12-'疲劳值&amp;地图信息'!$S$11-'疲劳值&amp;地图信息'!$S$10)*'疲劳值&amp;地图信息'!$R$13)/BO320)</f>
        <v>44.158136341605953</v>
      </c>
      <c r="BQ320" s="14">
        <f t="shared" si="524"/>
        <v>20</v>
      </c>
      <c r="BR320" s="14">
        <f>('疲劳值&amp;地图信息'!$S$10*'疲劳值&amp;地图信息'!$R$10+($BQ320-'疲劳值&amp;地图信息'!$S$10)*'疲劳值&amp;地图信息'!$R$11)/$BQ320</f>
        <v>32.067203015074995</v>
      </c>
      <c r="CF320" s="14">
        <v>315</v>
      </c>
      <c r="CG320" s="51">
        <f t="shared" si="431"/>
        <v>16332</v>
      </c>
      <c r="CH320" s="51">
        <f t="shared" si="432"/>
        <v>1075</v>
      </c>
      <c r="CI320" s="51">
        <f>INT(SUMPRODUCT($N320:$R320,$BA320:$BE320)/SUM($BA320:$BE320)/10000*$BX$7*$BZ$34/'疲劳值&amp;地图信息'!$R$10*$BY$53)</f>
        <v>3370</v>
      </c>
      <c r="CJ320" s="50">
        <f t="shared" si="433"/>
        <v>0.78606151032391591</v>
      </c>
      <c r="CK320" s="50">
        <f t="shared" si="434"/>
        <v>5.1739904702315057E-2</v>
      </c>
      <c r="CL320" s="50">
        <f t="shared" si="435"/>
        <v>0.16219858497376907</v>
      </c>
      <c r="CM320" s="14">
        <f t="shared" si="436"/>
        <v>17912</v>
      </c>
      <c r="CN320" s="14">
        <f t="shared" si="437"/>
        <v>1848</v>
      </c>
      <c r="CO320" s="14">
        <f>INT(SUMPRODUCT($U320:$Y320,$BA320:$BE320)/SUM($BA320:$BE320)/10000*$BX$7*$BZ$34/'疲劳值&amp;地图信息'!$R$10*$BY$54)</f>
        <v>6446</v>
      </c>
      <c r="CP320" s="50">
        <f t="shared" si="438"/>
        <v>0.68350759368083647</v>
      </c>
      <c r="CQ320" s="50">
        <f t="shared" si="439"/>
        <v>7.0518201938487374E-2</v>
      </c>
      <c r="CR320" s="50">
        <f t="shared" si="440"/>
        <v>0.24597420438067619</v>
      </c>
      <c r="CS320" s="14">
        <f t="shared" si="441"/>
        <v>19525</v>
      </c>
      <c r="CT320" s="14">
        <f t="shared" si="442"/>
        <v>3241</v>
      </c>
      <c r="CU320" s="14">
        <f>INT(SUMPRODUCT($AB320:$AF320,$BA320:$BE320)/SUM($BA320:$BE320)/10000*$BX$7*$BZ$34/'疲劳值&amp;地图信息'!$R$10*$BY$55)</f>
        <v>8761</v>
      </c>
      <c r="CV320" s="50">
        <f t="shared" si="443"/>
        <v>0.61931043232784599</v>
      </c>
      <c r="CW320" s="50">
        <f t="shared" si="444"/>
        <v>0.10280077393979764</v>
      </c>
      <c r="CX320" s="50">
        <f t="shared" si="445"/>
        <v>0.27788879373235642</v>
      </c>
      <c r="CY320" s="14">
        <f t="shared" si="446"/>
        <v>23474</v>
      </c>
      <c r="CZ320" s="14">
        <f t="shared" si="447"/>
        <v>8822</v>
      </c>
      <c r="DA320" s="14">
        <f>INT(SUMPRODUCT($AI320:$AM320,$BA320:$BE320)/SUM($BA320:$BE320)/10000*$BX$7*$BZ$34/'疲劳值&amp;地图信息'!$R$10*$BY$56)</f>
        <v>13215</v>
      </c>
      <c r="DB320" s="50">
        <f t="shared" si="448"/>
        <v>0.51578739205906265</v>
      </c>
      <c r="DC320" s="50">
        <f t="shared" si="449"/>
        <v>0.19384324668761399</v>
      </c>
      <c r="DD320" s="50">
        <f t="shared" si="450"/>
        <v>0.29036936125332335</v>
      </c>
      <c r="DE320" s="14">
        <f t="shared" si="451"/>
        <v>24362</v>
      </c>
      <c r="DF320" s="14">
        <f t="shared" si="452"/>
        <v>15806</v>
      </c>
      <c r="DG320" s="14">
        <f>INT(SUMPRODUCT($AP320:$AT320,$BA320:$BE320)/SUM($BA320:$BE320)/10000*$BX$7*$BZ$34/'疲劳值&amp;地图信息'!$R$10*$BY$57)</f>
        <v>17639</v>
      </c>
      <c r="DH320" s="50">
        <f t="shared" si="453"/>
        <v>0.42143685020845228</v>
      </c>
      <c r="DI320" s="50">
        <f t="shared" si="454"/>
        <v>0.27342709360458078</v>
      </c>
      <c r="DJ320" s="50">
        <f t="shared" si="455"/>
        <v>0.30513605618696699</v>
      </c>
      <c r="DL320" s="14">
        <f t="shared" si="526"/>
        <v>20777</v>
      </c>
      <c r="DM320" s="14">
        <f t="shared" si="527"/>
        <v>26206</v>
      </c>
      <c r="DN320" s="14">
        <f t="shared" si="528"/>
        <v>31527</v>
      </c>
      <c r="DO320" s="14">
        <f t="shared" si="529"/>
        <v>45511</v>
      </c>
      <c r="DP320" s="14">
        <f t="shared" si="530"/>
        <v>57807</v>
      </c>
      <c r="DQ320" s="14">
        <f t="shared" si="531"/>
        <v>1440174</v>
      </c>
      <c r="DT320" s="14">
        <f t="shared" si="525"/>
        <v>235575</v>
      </c>
      <c r="DU320" s="50">
        <f t="shared" si="427"/>
        <v>0.14057892918330847</v>
      </c>
      <c r="DW320" s="14">
        <f t="shared" si="456"/>
        <v>1675749</v>
      </c>
      <c r="EB320" s="14">
        <v>315</v>
      </c>
      <c r="EC320" s="51">
        <f t="shared" si="457"/>
        <v>27221</v>
      </c>
      <c r="ED320" s="51">
        <f t="shared" si="458"/>
        <v>1792</v>
      </c>
      <c r="EE320" s="51">
        <f>INT(SUMPRODUCT($N320:$R320,$BF320:$BJ320)/SUM($BF320:$BJ320)/10000*$BX$7*$BZ$46/'疲劳值&amp;地图信息'!$R$10*$BY$53)</f>
        <v>452</v>
      </c>
      <c r="EF320" s="50">
        <f t="shared" si="459"/>
        <v>0.92384184625827248</v>
      </c>
      <c r="EG320" s="50">
        <f t="shared" si="460"/>
        <v>6.0817919565586291E-2</v>
      </c>
      <c r="EH320" s="50">
        <f t="shared" si="461"/>
        <v>1.5340234176141184E-2</v>
      </c>
      <c r="EI320" s="51">
        <f t="shared" si="462"/>
        <v>29853</v>
      </c>
      <c r="EJ320" s="51">
        <f t="shared" si="463"/>
        <v>3081</v>
      </c>
      <c r="EK320" s="14">
        <f>INT(SUMPRODUCT($U320:$Y320,$BF320:$BJ320)/SUM($BF320:$BJ320)/10000*$BX$7*$BZ$46/'疲劳值&amp;地图信息'!$R$10*$BY$54)</f>
        <v>865</v>
      </c>
      <c r="EL320" s="50">
        <f t="shared" si="464"/>
        <v>0.88325098375691591</v>
      </c>
      <c r="EM320" s="50">
        <f t="shared" si="465"/>
        <v>9.1156543092990913E-2</v>
      </c>
      <c r="EN320" s="50">
        <f t="shared" si="466"/>
        <v>2.5592473150093199E-2</v>
      </c>
      <c r="EO320" s="51">
        <f t="shared" si="467"/>
        <v>32542</v>
      </c>
      <c r="EP320" s="51">
        <f t="shared" si="468"/>
        <v>5402</v>
      </c>
      <c r="EQ320" s="14">
        <f>INT(SUMPRODUCT($AB320:$AF320,$BF320:$BJ320)/SUM($BF320:$BJ320)/10000*$BX$7*$BZ$46/'疲劳值&amp;地图信息'!$R$10*$BY$55)</f>
        <v>1174</v>
      </c>
      <c r="ER320" s="50">
        <f t="shared" si="469"/>
        <v>0.83189324607597526</v>
      </c>
      <c r="ES320" s="50">
        <f t="shared" si="470"/>
        <v>0.13809499463162739</v>
      </c>
      <c r="ET320" s="50">
        <f t="shared" si="471"/>
        <v>3.0011759292397362E-2</v>
      </c>
      <c r="EU320" s="51">
        <f t="shared" si="472"/>
        <v>39123</v>
      </c>
      <c r="EV320" s="51">
        <f t="shared" si="473"/>
        <v>14703</v>
      </c>
      <c r="EW320" s="14">
        <f>INT(SUMPRODUCT($AI320:$AM320,$BF320:$BJ320)/SUM($BF320:$BJ320)/10000*$BX$7*$BZ$46/'疲劳值&amp;地图信息'!$R$10*$BY$56)</f>
        <v>1762</v>
      </c>
      <c r="EX320" s="50">
        <f t="shared" si="474"/>
        <v>0.70380297906022882</v>
      </c>
      <c r="EY320" s="50">
        <f t="shared" si="475"/>
        <v>0.26449953227315248</v>
      </c>
      <c r="EZ320" s="50">
        <f t="shared" si="476"/>
        <v>3.1697488666618694E-2</v>
      </c>
      <c r="FA320" s="51">
        <f t="shared" si="477"/>
        <v>40603</v>
      </c>
      <c r="FB320" s="51">
        <f t="shared" si="478"/>
        <v>26344</v>
      </c>
      <c r="FC320" s="14">
        <f>INT(SUMPRODUCT($AP320:$AT320,$BF320:$BJ320)/SUM($BF320:$BJ320)/10000*$BX$7*$BZ$46/'疲劳值&amp;地图信息'!$R$10*$BY$57)</f>
        <v>2349</v>
      </c>
      <c r="FD320" s="50">
        <f t="shared" si="479"/>
        <v>0.58593569614407759</v>
      </c>
      <c r="FE320" s="50">
        <f t="shared" si="480"/>
        <v>0.38016624336181021</v>
      </c>
      <c r="FF320" s="50">
        <f t="shared" si="481"/>
        <v>3.3898060494112217E-2</v>
      </c>
      <c r="FH320" s="14">
        <f t="shared" si="482"/>
        <v>29465</v>
      </c>
      <c r="FI320" s="14">
        <f t="shared" si="483"/>
        <v>33799</v>
      </c>
      <c r="FJ320" s="14">
        <f t="shared" si="484"/>
        <v>39118</v>
      </c>
      <c r="FK320" s="14">
        <f t="shared" si="485"/>
        <v>55588</v>
      </c>
      <c r="FL320" s="14">
        <f t="shared" si="486"/>
        <v>69296</v>
      </c>
      <c r="FM320" s="14">
        <f t="shared" si="487"/>
        <v>3475655</v>
      </c>
      <c r="FP320" s="14">
        <f t="shared" si="488"/>
        <v>334150</v>
      </c>
      <c r="FQ320" s="50">
        <f t="shared" si="428"/>
        <v>8.770790106055297E-2</v>
      </c>
      <c r="FS320" s="14">
        <f t="shared" si="489"/>
        <v>3809805</v>
      </c>
      <c r="FX320" s="14">
        <v>315</v>
      </c>
      <c r="FY320" s="51">
        <f t="shared" si="490"/>
        <v>38109</v>
      </c>
      <c r="FZ320" s="51">
        <f t="shared" si="491"/>
        <v>1792</v>
      </c>
      <c r="GA320" s="51">
        <f>INT(SUMPRODUCT($N320:$R320,$BF320:$BJ320)/SUM($BF320:$BJ320)/10000*$BX$7*$BZ$46/'疲劳值&amp;地图信息'!$R$10*$BY$53)</f>
        <v>452</v>
      </c>
      <c r="GB320" s="50">
        <f t="shared" si="492"/>
        <v>0.94439075161698016</v>
      </c>
      <c r="GC320" s="50">
        <f t="shared" si="493"/>
        <v>4.4408098530468613E-2</v>
      </c>
      <c r="GD320" s="50">
        <f t="shared" si="494"/>
        <v>1.1201149852551235E-2</v>
      </c>
      <c r="GE320" s="51">
        <f t="shared" si="495"/>
        <v>41795</v>
      </c>
      <c r="GF320" s="51">
        <f t="shared" si="496"/>
        <v>3081</v>
      </c>
      <c r="GG320" s="14">
        <f>INT(SUMPRODUCT($U320:$Y320,$BF320:$BJ320)/SUM($BF320:$BJ320)/10000*$BX$7*$BZ$46/'疲劳值&amp;地图信息'!$R$10*$BY$54)</f>
        <v>865</v>
      </c>
      <c r="GH320" s="50">
        <f t="shared" si="497"/>
        <v>0.91373166305939968</v>
      </c>
      <c r="GI320" s="50">
        <f t="shared" si="498"/>
        <v>6.7357512953367879E-2</v>
      </c>
      <c r="GJ320" s="50">
        <f t="shared" si="499"/>
        <v>1.8910823987232463E-2</v>
      </c>
      <c r="GK320" s="51">
        <f t="shared" si="500"/>
        <v>45559</v>
      </c>
      <c r="GL320" s="51">
        <f t="shared" si="501"/>
        <v>5402</v>
      </c>
      <c r="GM320" s="14">
        <f>INT(SUMPRODUCT($AB320:$AF320,$BF320:$BJ320)/SUM($BF320:$BJ320)/10000*$BX$7*$BZ$46/'疲劳值&amp;地图信息'!$R$10*$BY$55)</f>
        <v>1174</v>
      </c>
      <c r="GN320" s="50">
        <f t="shared" si="502"/>
        <v>0.87386592500239757</v>
      </c>
      <c r="GO320" s="50">
        <f t="shared" si="503"/>
        <v>0.1036156133115949</v>
      </c>
      <c r="GP320" s="50">
        <f t="shared" si="504"/>
        <v>2.251846168600748E-2</v>
      </c>
      <c r="GQ320" s="51">
        <f t="shared" si="505"/>
        <v>54772</v>
      </c>
      <c r="GR320" s="51">
        <f t="shared" si="506"/>
        <v>14703</v>
      </c>
      <c r="GS320" s="14">
        <f>INT(SUMPRODUCT($AI320:$AM320,$BF320:$BJ320)/SUM($BF320:$BJ320)/10000*$BX$7*$BZ$46/'疲劳值&amp;地图信息'!$R$10*$BY$56)</f>
        <v>1762</v>
      </c>
      <c r="GT320" s="50">
        <f t="shared" si="507"/>
        <v>0.76887010963403846</v>
      </c>
      <c r="GU320" s="50">
        <f t="shared" si="508"/>
        <v>0.20639555287280487</v>
      </c>
      <c r="GV320" s="50">
        <f t="shared" si="509"/>
        <v>2.4734337493156646E-2</v>
      </c>
      <c r="GW320" s="51">
        <f t="shared" si="510"/>
        <v>56844</v>
      </c>
      <c r="GX320" s="51">
        <f t="shared" si="511"/>
        <v>26344</v>
      </c>
      <c r="GY320" s="14">
        <f>INT(SUMPRODUCT($AP320:$AT320,$BF320:$BJ320)/SUM($BF320:$BJ320)/10000*$BX$7*$BZ$46/'疲劳值&amp;地图信息'!$R$10*$BY$57)</f>
        <v>2349</v>
      </c>
      <c r="GZ320" s="50">
        <f t="shared" si="512"/>
        <v>0.66455452026608364</v>
      </c>
      <c r="HA320" s="50">
        <f t="shared" si="513"/>
        <v>0.30798367957725897</v>
      </c>
      <c r="HB320" s="50">
        <f t="shared" si="514"/>
        <v>2.7461800156657352E-2</v>
      </c>
      <c r="HD320" s="14">
        <f t="shared" si="515"/>
        <v>40353</v>
      </c>
      <c r="HE320" s="14">
        <f t="shared" si="516"/>
        <v>45741</v>
      </c>
      <c r="HF320" s="14">
        <f t="shared" si="517"/>
        <v>52135</v>
      </c>
      <c r="HG320" s="14">
        <f t="shared" si="518"/>
        <v>71237</v>
      </c>
      <c r="HH320" s="14">
        <f t="shared" si="519"/>
        <v>85537</v>
      </c>
      <c r="HI320" s="14">
        <f t="shared" si="520"/>
        <v>4699402</v>
      </c>
      <c r="HL320" s="14">
        <f t="shared" si="521"/>
        <v>430050</v>
      </c>
      <c r="HM320" s="50">
        <f t="shared" si="429"/>
        <v>8.3839365296721757E-2</v>
      </c>
      <c r="HO320" s="14">
        <f t="shared" si="522"/>
        <v>5129452</v>
      </c>
    </row>
    <row r="321" spans="11:223" x14ac:dyDescent="0.2">
      <c r="K321" s="14">
        <v>316</v>
      </c>
      <c r="L321" s="12">
        <f>求节点(节奏总纲!D$4:D$163,标准城池设计!AB$4:AB$163,$K321)*求节点(节奏总纲!D$4:D$163,攻城基础信息!$AC$5:$AC$164,$K321)</f>
        <v>802471.91641818138</v>
      </c>
      <c r="M321" s="12">
        <f>INDEX(其他调用!$AA$5:$AA$404,MATCH(K321,其他调用!$X$5:$X$404,0))*MIN(INDEX(其他调用!$AH$5:$AH$364,MATCH('征服点（新）'!K321,其他调用!$AG$5:$AG$364,0),1)/INDEX(其他调用!$AJ$5:$AJ$364,MATCH(K321,其他调用!$AG$5:$AG$364,0),0),5)*求节点(节奏总纲!D$4:D$163,攻城基础信息!$AC$5:$AC$164,$K321)</f>
        <v>52712.980044670083</v>
      </c>
      <c r="N321" s="12">
        <f>MIN(INDEX(其他调用!$AH$5:$AH$364,MATCH($K321,其他调用!$AG$5:$AG$364,0),1)/INDEX(其他调用!AH$5:AH$364,MATCH($K321,其他调用!$AG$5:$AG$364,0),0),1)*INDEX(其他调用!Y$5:Y$404,MATCH($K321,其他调用!$X$5:$X$404,0),0)</f>
        <v>42776.059337934181</v>
      </c>
      <c r="O321" s="12">
        <f>MIN(INDEX(其他调用!$AH$5:$AH$364,MATCH($K321,其他调用!$AG$5:$AG$364,0),1)/INDEX(其他调用!AI$5:AI$364,MATCH($K321,其他调用!$AG$5:$AG$364,0),0),1)*INDEX(其他调用!Z$5:Z$404,MATCH($K321,其他调用!$X$5:$X$404,0),0)</f>
        <v>25546.401083987636</v>
      </c>
      <c r="P321" s="12">
        <f>MIN(INDEX(其他调用!$AH$5:$AH$364,MATCH($K321,其他调用!$AG$5:$AG$364,0),1)/INDEX(其他调用!AJ$5:AJ$364,MATCH($K321,其他调用!$AG$5:$AG$364,0),0),1)*INDEX(其他调用!AA$5:AA$404,MATCH($K321,其他调用!$X$5:$X$404,0),0)</f>
        <v>15060.851441334318</v>
      </c>
      <c r="Q321" s="12">
        <f>MIN(INDEX(其他调用!$AH$5:$AH$364,MATCH($K321,其他调用!$AG$5:$AG$364,0),1)/INDEX(其他调用!AK$5:AK$364,MATCH($K321,其他调用!$AG$5:$AG$364,0),0),1)*INDEX(其他调用!AB$5:AB$404,MATCH($K321,其他调用!$X$5:$X$404,0),0)</f>
        <v>5819.8119351518635</v>
      </c>
      <c r="R321" s="12">
        <f>MIN(INDEX(其他调用!$AH$5:$AH$364,MATCH($K321,其他调用!$AG$5:$AG$364,0),1)/INDEX(其他调用!AL$5:AL$364,MATCH($K321,其他调用!$AG$5:$AG$364,0),0),1)*INDEX(其他调用!AC$5:AC$404,MATCH($K321,其他调用!$X$5:$X$404,0),0)</f>
        <v>3519.0347832159318</v>
      </c>
      <c r="S321" s="12">
        <f>求节点(节奏总纲!D$4:D$163,标准城池设计!AC$4:AC$163,$K321)*求节点(节奏总纲!D$4:D$163,攻城基础信息!$AD$5:$AD$164,$K321)</f>
        <v>880073.55481612019</v>
      </c>
      <c r="T321" s="12">
        <f>INDEX(其他调用!$AA$5:$AA$404,MATCH($K321,其他调用!$X$5:$X$404,0))*MIN(INDEX(其他调用!AI$5:AI$364,MATCH($K321,其他调用!$AG$5:$AG$364,0),1)/INDEX(其他调用!$AJ$5:$AJ$364,MATCH($K321,其他调用!$AG$5:$AG$364,0),0),5)*求节点(节奏总纲!D$4:D$163,攻城基础信息!$AD$5:$AD$164,$K321)</f>
        <v>90656.350384146397</v>
      </c>
      <c r="U321" s="12">
        <f>MIN(INDEX(其他调用!$AI$5:$AI$364,MATCH($K321,其他调用!$AG$5:$AG$364,0),1)/INDEX(其他调用!AH$5:AH$364,MATCH($K321,其他调用!$AG$5:$AG$364,0),0),1)*INDEX(其他调用!Y$5:Y$404,MATCH($K321,其他调用!$X$5:$X$404,0),0)</f>
        <v>42776.059337934181</v>
      </c>
      <c r="V321" s="12">
        <f>MIN(INDEX(其他调用!$AI$5:$AI$364,MATCH($K321,其他调用!$AG$5:$AG$364,0),1)/INDEX(其他调用!AI$5:AI$364,MATCH($K321,其他调用!$AG$5:$AG$364,0),0),1)*INDEX(其他调用!Z$5:Z$404,MATCH($K321,其他调用!$X$5:$X$404,0),0)</f>
        <v>43934.97551763041</v>
      </c>
      <c r="W321" s="12">
        <f>MIN(INDEX(其他调用!$AI$5:$AI$364,MATCH($K321,其他调用!$AG$5:$AG$364,0),1)/INDEX(其他调用!AJ$5:AJ$364,MATCH($K321,其他调用!$AG$5:$AG$364,0),0),1)*INDEX(其他调用!AA$5:AA$404,MATCH($K321,其他调用!$X$5:$X$404,0),0)</f>
        <v>25901.814395470414</v>
      </c>
      <c r="X321" s="12">
        <f>MIN(INDEX(其他调用!$AI$5:$AI$364,MATCH($K321,其他调用!$AG$5:$AG$364,0),1)/INDEX(其他调用!AK$5:AK$364,MATCH($K321,其他调用!$AG$5:$AG$364,0),0),1)*INDEX(其他调用!AB$5:AB$404,MATCH($K321,其他调用!$X$5:$X$404,0),0)</f>
        <v>10008.975199578219</v>
      </c>
      <c r="Y321" s="12">
        <f>MIN(INDEX(其他调用!$AI$5:$AI$364,MATCH($K321,其他调用!$AG$5:$AG$364,0),1)/INDEX(其他调用!AL$5:AL$364,MATCH($K321,其他调用!$AG$5:$AG$364,0),0),1)*INDEX(其他调用!AC$5:AC$404,MATCH($K321,其他调用!$X$5:$X$404,0),0)</f>
        <v>6052.0738924431043</v>
      </c>
      <c r="Z321" s="12">
        <f>求节点(节奏总纲!D$4:D$163,标准城池设计!AD$4:AD$163,$K321)*求节点(节奏总纲!D$4:D$163,攻城基础信息!$AE$5:$AE$164,$K321)</f>
        <v>959321.10402383562</v>
      </c>
      <c r="AA321" s="12">
        <f>INDEX(其他调用!$AA$5:$AA$404,MATCH($K321,其他调用!$X$5:$X$404,0))*MIN(INDEX(其他调用!AJ$5:AJ$364,MATCH($K321,其他调用!$AG$5:$AG$364,0),1)/INDEX(其他调用!$AJ$5:$AJ$364,MATCH($K321,其他调用!$AG$5:$AG$364,0),0),5)*求节点(节奏总纲!D$4:D$163,攻城基础信息!$AE$5:$AE$164,$K321)</f>
        <v>159113.52435792401</v>
      </c>
      <c r="AB321" s="12">
        <f>MIN(INDEX(其他调用!$AJ$5:$AJ$364,MATCH($K321,其他调用!$AG$5:$AG$364,0),1)/INDEX(其他调用!AH$5:AH$364,MATCH($K321,其他调用!$AG$5:$AG$364,0),0),1)*INDEX(其他调用!Y$5:Y$404,MATCH($K321,其他调用!$X$5:$X$404,0),0)</f>
        <v>42776.059337934181</v>
      </c>
      <c r="AC321" s="12">
        <f>MIN(INDEX(其他调用!$AJ$5:$AJ$364,MATCH($K321,其他调用!$AG$5:$AG$364,0),1)/INDEX(其他调用!AI$5:AI$364,MATCH($K321,其他调用!$AG$5:$AG$364,0),0),1)*INDEX(其他调用!Z$5:Z$404,MATCH($K321,其他调用!$X$5:$X$404,0),0)</f>
        <v>43934.97551763041</v>
      </c>
      <c r="AD321" s="12">
        <f>MIN(INDEX(其他调用!$AJ$5:$AJ$364,MATCH($K321,其他调用!$AG$5:$AG$364,0),1)/INDEX(其他调用!AJ$5:AJ$364,MATCH($K321,其他调用!$AG$5:$AG$364,0),0),1)*INDEX(其他调用!AA$5:AA$404,MATCH($K321,其他调用!$X$5:$X$404,0),0)</f>
        <v>45461.006959406885</v>
      </c>
      <c r="AE321" s="12">
        <f>MIN(INDEX(其他调用!$AJ$5:$AJ$364,MATCH($K321,其他调用!$AG$5:$AG$364,0),1)/INDEX(其他调用!AK$5:AK$364,MATCH($K321,其他调用!$AG$5:$AG$364,0),0),1)*INDEX(其他调用!AB$5:AB$404,MATCH($K321,其他调用!$X$5:$X$404,0),0)</f>
        <v>17567.035430696611</v>
      </c>
      <c r="AF321" s="12">
        <f>MIN(INDEX(其他调用!$AJ$5:$AJ$364,MATCH($K321,其他调用!$AG$5:$AG$364,0),1)/INDEX(其他调用!AL$5:AL$364,MATCH($K321,其他调用!$AG$5:$AG$364,0),0),1)*INDEX(其他调用!AC$5:AC$404,MATCH($K321,其他调用!$X$5:$X$404,0),0)</f>
        <v>10622.166043754631</v>
      </c>
      <c r="AG321" s="12">
        <f>求节点(节奏总纲!D$4:D$163,标准城池设计!AE$4:AE$163,$K321)*求节点(节奏总纲!D$4:D$163,攻城基础信息!$AF$5:$AF$164,$K321)</f>
        <v>1152894.1675100324</v>
      </c>
      <c r="AH321" s="12">
        <f>INDEX(其他调用!$AA$5:$AA$404,MATCH($K321,其他调用!$X$5:$X$404,0))*MIN(INDEX(其他调用!AK$5:AK$364,MATCH($K321,其他调用!$AG$5:$AG$364,0),1)/INDEX(其他调用!$AJ$5:$AJ$364,MATCH($K321,其他调用!$AG$5:$AG$364,0),0),5)*求节点(节奏总纲!D$4:D$163,攻城基础信息!$AF$5:$AF$164,$K321)</f>
        <v>432219.31361541187</v>
      </c>
      <c r="AI321" s="12">
        <f>MIN(INDEX(其他调用!$AK$5:$AK$364,MATCH($K321,其他调用!$AG$5:$AG$364,0),1)/INDEX(其他调用!AH$5:AH$364,MATCH($K321,其他调用!$AG$5:$AG$364,0),0),1)*INDEX(其他调用!Y$5:Y$404,MATCH($K321,其他调用!$X$5:$X$404,0),0)</f>
        <v>42776.059337934181</v>
      </c>
      <c r="AJ321" s="12">
        <f>MIN(INDEX(其他调用!$AK$5:$AK$364,MATCH($K321,其他调用!$AG$5:$AG$364,0),1)/INDEX(其他调用!AI$5:AI$364,MATCH($K321,其他调用!$AG$5:$AG$364,0),0),1)*INDEX(其他调用!Z$5:Z$404,MATCH($K321,其他调用!$X$5:$X$404,0),0)</f>
        <v>43934.97551763041</v>
      </c>
      <c r="AK321" s="12">
        <f>MIN(INDEX(其他调用!$AK$5:$AK$364,MATCH($K321,其他调用!$AG$5:$AG$364,0),1)/INDEX(其他调用!AJ$5:AJ$364,MATCH($K321,其他调用!$AG$5:$AG$364,0),0),1)*INDEX(其他调用!AA$5:AA$404,MATCH($K321,其他调用!$X$5:$X$404,0),0)</f>
        <v>45461.006959406885</v>
      </c>
      <c r="AL321" s="12">
        <f>MIN(INDEX(其他调用!$AK$5:$AK$364,MATCH($K321,其他调用!$AG$5:$AG$364,0),1)/INDEX(其他调用!AK$5:AK$364,MATCH($K321,其他调用!$AG$5:$AG$364,0),0),1)*INDEX(其他调用!AB$5:AB$404,MATCH($K321,其他调用!$X$5:$X$404,0),0)</f>
        <v>47719.463362733208</v>
      </c>
      <c r="AM321" s="12">
        <f>MIN(INDEX(其他调用!$AK$5:$AK$364,MATCH($K321,其他调用!$AG$5:$AG$364,0),1)/INDEX(其他调用!AL$5:AL$364,MATCH($K321,其他调用!$AG$5:$AG$364,0),0),1)*INDEX(其他调用!AC$5:AC$404,MATCH($K321,其他调用!$X$5:$X$404,0),0)</f>
        <v>28854.274550621634</v>
      </c>
      <c r="AN321" s="12">
        <f>求节点(节奏总纲!D$4:D$163,标准城池设计!AF$4:AF$163,$K321)*求节点(节奏总纲!D$4:D$163,攻城基础信息!$AG$5:$AG$164,$K321)</f>
        <v>1196191.6091014352</v>
      </c>
      <c r="AO321" s="12">
        <f>INDEX(其他调用!$AA$5:$AA$404,MATCH($K321,其他调用!$X$5:$X$404,0))*MIN(INDEX(其他调用!AL$5:AL$364,MATCH($K321,其他调用!$AG$5:$AG$364,0),1)/INDEX(其他调用!$AJ$5:$AJ$364,MATCH($K321,其他调用!$AG$5:$AG$364,0),0),5)*求节点(节奏总纲!D$4:D$163,攻城基础信息!$AG$5:$AG$164,$K321)</f>
        <v>773103.26651690307</v>
      </c>
      <c r="AP321" s="12">
        <f>MIN(INDEX(其他调用!$AL$5:$AL$364,MATCH($K321,其他调用!$AG$5:$AG$364,0),1)/INDEX(其他调用!AH$5:AH$364,MATCH($K321,其他调用!$AG$5:$AG$364,0),0),1)*INDEX(其他调用!Y$5:Y$404,MATCH($K321,其他调用!$X$5:$X$404,0),0)</f>
        <v>42776.059337934181</v>
      </c>
      <c r="AQ321" s="12">
        <f>MIN(INDEX(其他调用!$AL$5:$AL$364,MATCH($K321,其他调用!$AG$5:$AG$364,0),1)/INDEX(其他调用!AI$5:AI$364,MATCH($K321,其他调用!$AG$5:$AG$364,0),0),1)*INDEX(其他调用!Z$5:Z$404,MATCH($K321,其他调用!$X$5:$X$404,0),0)</f>
        <v>43934.97551763041</v>
      </c>
      <c r="AR321" s="12">
        <f>MIN(INDEX(其他调用!$AL$5:$AL$364,MATCH($K321,其他调用!$AG$5:$AG$364,0),1)/INDEX(其他调用!AJ$5:AJ$364,MATCH($K321,其他调用!$AG$5:$AG$364,0),0),1)*INDEX(其他调用!AA$5:AA$404,MATCH($K321,其他调用!$X$5:$X$404,0),0)</f>
        <v>45461.006959406885</v>
      </c>
      <c r="AS321" s="12">
        <f>MIN(INDEX(其他调用!$AL$5:$AL$364,MATCH($K321,其他调用!$AG$5:$AG$364,0),1)/INDEX(其他调用!AK$5:AK$364,MATCH($K321,其他调用!$AG$5:$AG$364,0),0),1)*INDEX(其他调用!AB$5:AB$404,MATCH($K321,其他调用!$X$5:$X$404,0),0)</f>
        <v>47719.463362733208</v>
      </c>
      <c r="AT321" s="12">
        <f>MIN(INDEX(其他调用!$AL$5:$AL$364,MATCH($K321,其他调用!$AG$5:$AG$364,0),1)/INDEX(其他调用!AL$5:AL$364,MATCH($K321,其他调用!$AG$5:$AG$364,0),0),1)*INDEX(其他调用!AC$5:AC$404,MATCH($K321,其他调用!$X$5:$X$404,0),0)</f>
        <v>51611.145558178745</v>
      </c>
      <c r="AV321" s="14">
        <f>IF(OR(AV$5="大R",AV$5="超R"),MAX(INDEX(其他调用!$H$5:$L$404,MATCH($K321,其他调用!$B$5:$B$404,0),MATCH(AV$5,其他调用!$H$4:$L$4,0))*120*0.85,2),INDEX(其他调用!$H$5:$L$404,MATCH($K321,其他调用!$B$5:$B$404,0),MATCH(AV$5,其他调用!$H$4:$L$4,0))*120*0.85)</f>
        <v>48.921801254999991</v>
      </c>
      <c r="AW321" s="14">
        <f>IF(OR(AW$5="大R",AW$5="超R"),MAX(INDEX(其他调用!$H$5:$L$404,MATCH($K321,其他调用!$B$5:$B$404,0),MATCH(AW$5,其他调用!$H$4:$L$4,0))*120*0.85,2),INDEX(其他调用!$H$5:$L$404,MATCH($K321,其他调用!$B$5:$B$404,0),MATCH(AW$5,其他调用!$H$4:$L$4,0))*120*0.85)</f>
        <v>48.237344010638395</v>
      </c>
      <c r="AX321" s="14">
        <f>IF(OR(AX$5="大R",AX$5="超R"),MAX(INDEX(其他调用!$H$5:$L$404,MATCH($K321,其他调用!$B$5:$B$404,0),MATCH(AX$5,其他调用!$H$4:$L$4,0))*120*0.85,2),INDEX(其他调用!$H$5:$L$404,MATCH($K321,其他调用!$B$5:$B$404,0),MATCH(AX$5,其他调用!$H$4:$L$4,0))*120*0.85)</f>
        <v>3.9376284143615998</v>
      </c>
      <c r="AY321" s="14">
        <f>IF(OR(AY$5="大R",AY$5="超R"),MAX(INDEX(其他调用!$H$5:$L$404,MATCH($K321,其他调用!$B$5:$B$404,0),MATCH(AY$5,其他调用!$H$4:$L$4,0))*120*0.85,2),INDEX(其他调用!$H$5:$L$404,MATCH($K321,其他调用!$B$5:$B$404,0),MATCH(AY$5,其他调用!$H$4:$L$4,0))*120*0.85)</f>
        <v>2</v>
      </c>
      <c r="AZ321" s="14">
        <f>IF(OR(AZ$5="大R",AZ$5="超R"),MAX(INDEX(其他调用!$H$5:$L$404,MATCH($K321,其他调用!$B$5:$B$404,0),MATCH(AZ$5,其他调用!$H$4:$L$4,0))*120*0.85,2),INDEX(其他调用!$H$5:$L$404,MATCH($K321,其他调用!$B$5:$B$404,0),MATCH(AZ$5,其他调用!$H$4:$L$4,0))*120*0.85)</f>
        <v>2</v>
      </c>
      <c r="BA321" s="14">
        <f>INDEX(其他调用!$H$5:$L$404,MATCH($K321,其他调用!$B$5:$B$404,0),MATCH(BA$5,其他调用!$H$4:$L$4,0))*INDEX(其他调用!$M$5:$M$404,MATCH($K321,其他调用!$B$5:$B$404,0))*0.6</f>
        <v>28.777530149999997</v>
      </c>
      <c r="BB321" s="14">
        <f>INDEX(其他调用!$H$5:$L$404,MATCH($K321,其他调用!$B$5:$B$404,0),MATCH(BB$5,其他调用!$H$4:$L$4,0))*INDEX(其他调用!$M$5:$M$404,MATCH($K321,其他调用!$B$5:$B$404,0))*0.6</f>
        <v>28.374908241551999</v>
      </c>
      <c r="BC321" s="14">
        <f>INDEX(其他调用!$H$5:$L$404,MATCH($K321,其他调用!$B$5:$B$404,0),MATCH(BC$5,其他调用!$H$4:$L$4,0))*INDEX(其他调用!$M$5:$M$404,MATCH($K321,其他调用!$B$5:$B$404,0))*0.6</f>
        <v>2.3162520084480001</v>
      </c>
      <c r="BD321" s="14">
        <f>INDEX(其他调用!$H$5:$L$404,MATCH($K321,其他调用!$B$5:$B$404,0),MATCH(BD$5,其他调用!$H$4:$L$4,0))*INDEX(其他调用!$M$5:$M$404,MATCH($K321,其他调用!$B$5:$B$404,0))*0.6</f>
        <v>0.4120776000000001</v>
      </c>
      <c r="BE321" s="14">
        <f>INDEX(其他调用!$H$5:$L$404,MATCH($K321,其他调用!$B$5:$B$404,0),MATCH(BE$5,其他调用!$H$4:$L$4,0))*INDEX(其他调用!$M$5:$M$404,MATCH($K321,其他调用!$B$5:$B$404,0))*0.6</f>
        <v>0.11923199999999998</v>
      </c>
      <c r="BF321" s="14">
        <f>IF(OR(BF$5="大R",BF$5="超R"),0,INDEX(其他调用!$H$5:$L$404,MATCH($K321,其他调用!$B$5:$B$404,0),MATCH(BF$5,其他调用!$H$4:$L$4,0))*50*0.4)</f>
        <v>9.5925100500000013</v>
      </c>
      <c r="BG321" s="14">
        <f>IF(OR(BG$5="大R",BG$5="超R"),0,INDEX(其他调用!$H$5:$L$404,MATCH($K321,其他调用!$B$5:$B$404,0),MATCH(BG$5,其他调用!$H$4:$L$4,0))*50*0.4)</f>
        <v>9.4583027471839998</v>
      </c>
      <c r="BH321" s="14">
        <f>IF(OR(BH$5="大R",BH$5="超R"),0,INDEX(其他调用!$H$5:$L$404,MATCH($K321,其他调用!$B$5:$B$404,0),MATCH(BH$5,其他调用!$H$4:$L$4,0))*50*0.4)</f>
        <v>0.77208400281600009</v>
      </c>
      <c r="BI321" s="14">
        <f>IF(OR(BI$5="大R",BI$5="超R"),0,INDEX(其他调用!$H$5:$L$404,MATCH($K321,其他调用!$B$5:$B$404,0),MATCH(BI$5,其他调用!$H$4:$L$4,0))*50*0.4)</f>
        <v>0</v>
      </c>
      <c r="BJ321" s="14">
        <f>IF(OR(BJ$5="大R",BJ$5="超R"),0,INDEX(其他调用!$H$5:$L$404,MATCH($K321,其他调用!$B$5:$B$404,0),MATCH(BJ$5,其他调用!$H$4:$L$4,0))*50*0.4)</f>
        <v>0</v>
      </c>
      <c r="BL321" s="14">
        <f t="shared" si="523"/>
        <v>316</v>
      </c>
      <c r="BM321" s="14">
        <f t="shared" si="430"/>
        <v>96</v>
      </c>
      <c r="BN321" s="14">
        <f>('疲劳值&amp;地图信息'!$S$10*'疲劳值&amp;地图信息'!$R$10+'疲劳值&amp;地图信息'!$S$11*'疲劳值&amp;地图信息'!$R$11+'疲劳值&amp;地图信息'!$S$12*'疲劳值&amp;地图信息'!$R$12+(BM321-'疲劳值&amp;地图信息'!$S$12-'疲劳值&amp;地图信息'!$S$11-'疲劳值&amp;地图信息'!$S$10)*'疲劳值&amp;地图信息'!$R$13)/BM321</f>
        <v>51.371477246638619</v>
      </c>
      <c r="BO321" s="14">
        <f>INDEX(其他调用!$M$5:$M$404,MATCH(BL321,其他调用!$B$5:$B$404,0))*0.6</f>
        <v>60</v>
      </c>
      <c r="BP321" s="14">
        <f>IF(BO321&gt;SUM('疲劳值&amp;地图信息'!$S$10:$S$12),('疲劳值&amp;地图信息'!$S$10*'疲劳值&amp;地图信息'!$R$10+'疲劳值&amp;地图信息'!$S$11*'疲劳值&amp;地图信息'!$R$11+'疲劳值&amp;地图信息'!$S$12*'疲劳值&amp;地图信息'!$R$12+(BO321-'疲劳值&amp;地图信息'!$S$12-'疲劳值&amp;地图信息'!$S$11-'疲劳值&amp;地图信息'!$S$10)*'疲劳值&amp;地图信息'!$R$13)/BO321,('疲劳值&amp;地图信息'!$S$10*'疲劳值&amp;地图信息'!$R$10+'疲劳值&amp;地图信息'!$S$11*'疲劳值&amp;地图信息'!$R$11+'疲劳值&amp;地图信息'!$S$12*'疲劳值&amp;地图信息'!$R$12+(BO321-'疲劳值&amp;地图信息'!$S$12-'疲劳值&amp;地图信息'!$S$11-'疲劳值&amp;地图信息'!$S$10)*'疲劳值&amp;地图信息'!$R$13)/BO321)</f>
        <v>44.158136341605953</v>
      </c>
      <c r="BQ321" s="14">
        <f t="shared" si="524"/>
        <v>20</v>
      </c>
      <c r="BR321" s="14">
        <f>('疲劳值&amp;地图信息'!$S$10*'疲劳值&amp;地图信息'!$R$10+($BQ321-'疲劳值&amp;地图信息'!$S$10)*'疲劳值&amp;地图信息'!$R$11)/$BQ321</f>
        <v>32.067203015074995</v>
      </c>
      <c r="CF321" s="14">
        <v>316</v>
      </c>
      <c r="CG321" s="51">
        <f t="shared" si="431"/>
        <v>16355</v>
      </c>
      <c r="CH321" s="51">
        <f t="shared" si="432"/>
        <v>1074</v>
      </c>
      <c r="CI321" s="51">
        <f>INT(SUMPRODUCT($N321:$R321,$BA321:$BE321)/SUM($BA321:$BE321)/10000*$BX$7*$BZ$34/'疲劳值&amp;地图信息'!$R$10*$BY$53)</f>
        <v>3371</v>
      </c>
      <c r="CJ321" s="50">
        <f t="shared" si="433"/>
        <v>0.78629807692307696</v>
      </c>
      <c r="CK321" s="50">
        <f t="shared" si="434"/>
        <v>5.1634615384615383E-2</v>
      </c>
      <c r="CL321" s="50">
        <f t="shared" si="435"/>
        <v>0.1620673076923077</v>
      </c>
      <c r="CM321" s="14">
        <f t="shared" si="436"/>
        <v>17937</v>
      </c>
      <c r="CN321" s="14">
        <f t="shared" si="437"/>
        <v>1847</v>
      </c>
      <c r="CO321" s="14">
        <f>INT(SUMPRODUCT($U321:$Y321,$BA321:$BE321)/SUM($BA321:$BE321)/10000*$BX$7*$BZ$34/'疲劳值&amp;地图信息'!$R$10*$BY$54)</f>
        <v>6449</v>
      </c>
      <c r="CP321" s="50">
        <f t="shared" si="438"/>
        <v>0.68375709983608435</v>
      </c>
      <c r="CQ321" s="50">
        <f t="shared" si="439"/>
        <v>7.0407502001296071E-2</v>
      </c>
      <c r="CR321" s="50">
        <f t="shared" si="440"/>
        <v>0.24583539816261959</v>
      </c>
      <c r="CS321" s="14">
        <f t="shared" si="441"/>
        <v>19552</v>
      </c>
      <c r="CT321" s="14">
        <f t="shared" si="442"/>
        <v>3242</v>
      </c>
      <c r="CU321" s="14">
        <f>INT(SUMPRODUCT($AB321:$AF321,$BA321:$BE321)/SUM($BA321:$BE321)/10000*$BX$7*$BZ$34/'疲劳值&amp;地图信息'!$R$10*$BY$55)</f>
        <v>8764</v>
      </c>
      <c r="CV321" s="50">
        <f t="shared" si="443"/>
        <v>0.61955763990113444</v>
      </c>
      <c r="CW321" s="50">
        <f t="shared" si="444"/>
        <v>0.10273147854743647</v>
      </c>
      <c r="CX321" s="50">
        <f t="shared" si="445"/>
        <v>0.27771088155142909</v>
      </c>
      <c r="CY321" s="14">
        <f t="shared" si="446"/>
        <v>23497</v>
      </c>
      <c r="CZ321" s="14">
        <f t="shared" si="447"/>
        <v>8809</v>
      </c>
      <c r="DA321" s="14">
        <f>INT(SUMPRODUCT($AI321:$AM321,$BA321:$BE321)/SUM($BA321:$BE321)/10000*$BX$7*$BZ$34/'疲劳值&amp;地图信息'!$R$10*$BY$56)</f>
        <v>13221</v>
      </c>
      <c r="DB321" s="50">
        <f t="shared" si="448"/>
        <v>0.51611131855821823</v>
      </c>
      <c r="DC321" s="50">
        <f t="shared" si="449"/>
        <v>0.19348957761328442</v>
      </c>
      <c r="DD321" s="50">
        <f t="shared" si="450"/>
        <v>0.29039910382849737</v>
      </c>
      <c r="DE321" s="14">
        <f t="shared" si="451"/>
        <v>24379</v>
      </c>
      <c r="DF321" s="14">
        <f t="shared" si="452"/>
        <v>15756</v>
      </c>
      <c r="DG321" s="14">
        <f>INT(SUMPRODUCT($AP321:$AT321,$BA321:$BE321)/SUM($BA321:$BE321)/10000*$BX$7*$BZ$34/'疲劳值&amp;地图信息'!$R$10*$BY$57)</f>
        <v>17646</v>
      </c>
      <c r="DH321" s="50">
        <f t="shared" si="453"/>
        <v>0.42192070057631403</v>
      </c>
      <c r="DI321" s="50">
        <f t="shared" si="454"/>
        <v>0.2726847925788754</v>
      </c>
      <c r="DJ321" s="50">
        <f t="shared" si="455"/>
        <v>0.30539450684481056</v>
      </c>
      <c r="DL321" s="14">
        <f t="shared" si="526"/>
        <v>20800</v>
      </c>
      <c r="DM321" s="14">
        <f t="shared" si="527"/>
        <v>26233</v>
      </c>
      <c r="DN321" s="14">
        <f t="shared" si="528"/>
        <v>31558</v>
      </c>
      <c r="DO321" s="14">
        <f t="shared" si="529"/>
        <v>45527</v>
      </c>
      <c r="DP321" s="14">
        <f t="shared" si="530"/>
        <v>57781</v>
      </c>
      <c r="DQ321" s="14">
        <f t="shared" si="531"/>
        <v>1441677</v>
      </c>
      <c r="DT321" s="14">
        <f t="shared" si="525"/>
        <v>235575</v>
      </c>
      <c r="DU321" s="50">
        <f t="shared" si="427"/>
        <v>0.14045295519099099</v>
      </c>
      <c r="DW321" s="14">
        <f t="shared" si="456"/>
        <v>1677252</v>
      </c>
      <c r="EB321" s="14">
        <v>316</v>
      </c>
      <c r="EC321" s="51">
        <f t="shared" si="457"/>
        <v>27259</v>
      </c>
      <c r="ED321" s="51">
        <f t="shared" si="458"/>
        <v>1790</v>
      </c>
      <c r="EE321" s="51">
        <f>INT(SUMPRODUCT($N321:$R321,$BF321:$BJ321)/SUM($BF321:$BJ321)/10000*$BX$7*$BZ$46/'疲劳值&amp;地图信息'!$R$10*$BY$53)</f>
        <v>452</v>
      </c>
      <c r="EF321" s="50">
        <f t="shared" si="459"/>
        <v>0.92400257618385817</v>
      </c>
      <c r="EG321" s="50">
        <f t="shared" si="460"/>
        <v>6.0675909291210466E-2</v>
      </c>
      <c r="EH321" s="50">
        <f t="shared" si="461"/>
        <v>1.5321514524931358E-2</v>
      </c>
      <c r="EI321" s="51">
        <f t="shared" si="462"/>
        <v>29895</v>
      </c>
      <c r="EJ321" s="51">
        <f t="shared" si="463"/>
        <v>3079</v>
      </c>
      <c r="EK321" s="14">
        <f>INT(SUMPRODUCT($U321:$Y321,$BF321:$BJ321)/SUM($BF321:$BJ321)/10000*$BX$7*$BZ$46/'疲劳值&amp;地图信息'!$R$10*$BY$54)</f>
        <v>865</v>
      </c>
      <c r="EL321" s="50">
        <f t="shared" si="464"/>
        <v>0.88344809243771982</v>
      </c>
      <c r="EM321" s="50">
        <f t="shared" si="465"/>
        <v>9.0989686456455568E-2</v>
      </c>
      <c r="EN321" s="50">
        <f t="shared" si="466"/>
        <v>2.556222110582464E-2</v>
      </c>
      <c r="EO321" s="51">
        <f t="shared" si="467"/>
        <v>32587</v>
      </c>
      <c r="EP321" s="51">
        <f t="shared" si="468"/>
        <v>5404</v>
      </c>
      <c r="EQ321" s="14">
        <f>INT(SUMPRODUCT($AB321:$AF321,$BF321:$BJ321)/SUM($BF321:$BJ321)/10000*$BX$7*$BZ$46/'疲劳值&amp;地图信息'!$R$10*$BY$55)</f>
        <v>1175</v>
      </c>
      <c r="ER321" s="50">
        <f t="shared" si="469"/>
        <v>0.83202267272634423</v>
      </c>
      <c r="ES321" s="50">
        <f t="shared" si="470"/>
        <v>0.137976816626666</v>
      </c>
      <c r="ET321" s="50">
        <f t="shared" si="471"/>
        <v>3.0000510646989737E-2</v>
      </c>
      <c r="EU321" s="51">
        <f t="shared" si="472"/>
        <v>39162</v>
      </c>
      <c r="EV321" s="51">
        <f t="shared" si="473"/>
        <v>14681</v>
      </c>
      <c r="EW321" s="14">
        <f>INT(SUMPRODUCT($AI321:$AM321,$BF321:$BJ321)/SUM($BF321:$BJ321)/10000*$BX$7*$BZ$46/'疲劳值&amp;地图信息'!$R$10*$BY$56)</f>
        <v>1762</v>
      </c>
      <c r="EX321" s="50">
        <f t="shared" si="474"/>
        <v>0.70428918262746154</v>
      </c>
      <c r="EY321" s="50">
        <f t="shared" si="475"/>
        <v>0.26402301951263374</v>
      </c>
      <c r="EZ321" s="50">
        <f t="shared" si="476"/>
        <v>3.1687797859904686E-2</v>
      </c>
      <c r="FA321" s="51">
        <f t="shared" si="477"/>
        <v>40633</v>
      </c>
      <c r="FB321" s="51">
        <f t="shared" si="478"/>
        <v>26261</v>
      </c>
      <c r="FC321" s="14">
        <f>INT(SUMPRODUCT($AP321:$AT321,$BF321:$BJ321)/SUM($BF321:$BJ321)/10000*$BX$7*$BZ$46/'疲劳值&amp;地图信息'!$R$10*$BY$57)</f>
        <v>2350</v>
      </c>
      <c r="FD321" s="50">
        <f t="shared" si="479"/>
        <v>0.58680896539772398</v>
      </c>
      <c r="FE321" s="50">
        <f t="shared" si="480"/>
        <v>0.37925307607879383</v>
      </c>
      <c r="FF321" s="50">
        <f t="shared" si="481"/>
        <v>3.3937958523482178E-2</v>
      </c>
      <c r="FH321" s="14">
        <f t="shared" si="482"/>
        <v>29501</v>
      </c>
      <c r="FI321" s="14">
        <f t="shared" si="483"/>
        <v>33839</v>
      </c>
      <c r="FJ321" s="14">
        <f t="shared" si="484"/>
        <v>39166</v>
      </c>
      <c r="FK321" s="14">
        <f t="shared" si="485"/>
        <v>55605</v>
      </c>
      <c r="FL321" s="14">
        <f t="shared" si="486"/>
        <v>69244</v>
      </c>
      <c r="FM321" s="14">
        <f t="shared" si="487"/>
        <v>3479464</v>
      </c>
      <c r="FP321" s="14">
        <f t="shared" si="488"/>
        <v>334150</v>
      </c>
      <c r="FQ321" s="50">
        <f t="shared" si="428"/>
        <v>8.7620299275175728E-2</v>
      </c>
      <c r="FS321" s="14">
        <f t="shared" si="489"/>
        <v>3813614</v>
      </c>
      <c r="FX321" s="14">
        <v>316</v>
      </c>
      <c r="FY321" s="51">
        <f t="shared" si="490"/>
        <v>38162</v>
      </c>
      <c r="FZ321" s="51">
        <f t="shared" si="491"/>
        <v>1790</v>
      </c>
      <c r="GA321" s="51">
        <f>INT(SUMPRODUCT($N321:$R321,$BF321:$BJ321)/SUM($BF321:$BJ321)/10000*$BX$7*$BZ$46/'疲劳值&amp;地图信息'!$R$10*$BY$53)</f>
        <v>452</v>
      </c>
      <c r="GB321" s="50">
        <f t="shared" si="492"/>
        <v>0.94451044451044452</v>
      </c>
      <c r="GC321" s="50">
        <f t="shared" si="493"/>
        <v>4.4302544302544301E-2</v>
      </c>
      <c r="GD321" s="50">
        <f t="shared" si="494"/>
        <v>1.1187011187011186E-2</v>
      </c>
      <c r="GE321" s="51">
        <f t="shared" si="495"/>
        <v>41853</v>
      </c>
      <c r="GF321" s="51">
        <f t="shared" si="496"/>
        <v>3079</v>
      </c>
      <c r="GG321" s="14">
        <f>INT(SUMPRODUCT($U321:$Y321,$BF321:$BJ321)/SUM($BF321:$BJ321)/10000*$BX$7*$BZ$46/'疲劳值&amp;地图信息'!$R$10*$BY$54)</f>
        <v>865</v>
      </c>
      <c r="GH321" s="50">
        <f t="shared" si="497"/>
        <v>0.91388082188789654</v>
      </c>
      <c r="GI321" s="50">
        <f t="shared" si="498"/>
        <v>6.7231478044413387E-2</v>
      </c>
      <c r="GJ321" s="50">
        <f t="shared" si="499"/>
        <v>1.8887700067690024E-2</v>
      </c>
      <c r="GK321" s="51">
        <f t="shared" si="500"/>
        <v>45621</v>
      </c>
      <c r="GL321" s="51">
        <f t="shared" si="501"/>
        <v>5404</v>
      </c>
      <c r="GM321" s="14">
        <f>INT(SUMPRODUCT($AB321:$AF321,$BF321:$BJ321)/SUM($BF321:$BJ321)/10000*$BX$7*$BZ$46/'疲劳值&amp;地图信息'!$R$10*$BY$55)</f>
        <v>1175</v>
      </c>
      <c r="GN321" s="50">
        <f t="shared" si="502"/>
        <v>0.87396551724137927</v>
      </c>
      <c r="GO321" s="50">
        <f t="shared" si="503"/>
        <v>0.10352490421455939</v>
      </c>
      <c r="GP321" s="50">
        <f t="shared" si="504"/>
        <v>2.2509578544061302E-2</v>
      </c>
      <c r="GQ321" s="51">
        <f t="shared" si="505"/>
        <v>54827</v>
      </c>
      <c r="GR321" s="51">
        <f t="shared" si="506"/>
        <v>14681</v>
      </c>
      <c r="GS321" s="14">
        <f>INT(SUMPRODUCT($AI321:$AM321,$BF321:$BJ321)/SUM($BF321:$BJ321)/10000*$BX$7*$BZ$46/'疲劳值&amp;地图信息'!$R$10*$BY$56)</f>
        <v>1762</v>
      </c>
      <c r="GT321" s="50">
        <f t="shared" si="507"/>
        <v>0.76928581450820821</v>
      </c>
      <c r="GU321" s="50">
        <f t="shared" si="508"/>
        <v>0.2059913006875263</v>
      </c>
      <c r="GV321" s="50">
        <f t="shared" si="509"/>
        <v>2.4722884804265471E-2</v>
      </c>
      <c r="GW321" s="51">
        <f t="shared" si="510"/>
        <v>56886</v>
      </c>
      <c r="GX321" s="51">
        <f t="shared" si="511"/>
        <v>26261</v>
      </c>
      <c r="GY321" s="14">
        <f>INT(SUMPRODUCT($AP321:$AT321,$BF321:$BJ321)/SUM($BF321:$BJ321)/10000*$BX$7*$BZ$46/'疲劳值&amp;地图信息'!$R$10*$BY$57)</f>
        <v>2350</v>
      </c>
      <c r="GZ321" s="50">
        <f t="shared" si="512"/>
        <v>0.6653566791817257</v>
      </c>
      <c r="HA321" s="50">
        <f t="shared" si="513"/>
        <v>0.30715697626817318</v>
      </c>
      <c r="HB321" s="50">
        <f t="shared" si="514"/>
        <v>2.7486344550101172E-2</v>
      </c>
      <c r="HD321" s="14">
        <f t="shared" si="515"/>
        <v>40404</v>
      </c>
      <c r="HE321" s="14">
        <f t="shared" si="516"/>
        <v>45797</v>
      </c>
      <c r="HF321" s="14">
        <f t="shared" si="517"/>
        <v>52200</v>
      </c>
      <c r="HG321" s="14">
        <f t="shared" si="518"/>
        <v>71270</v>
      </c>
      <c r="HH321" s="14">
        <f t="shared" si="519"/>
        <v>85497</v>
      </c>
      <c r="HI321" s="14">
        <f t="shared" si="520"/>
        <v>4704840</v>
      </c>
      <c r="HL321" s="14">
        <f t="shared" si="521"/>
        <v>430050</v>
      </c>
      <c r="HM321" s="50">
        <f t="shared" si="429"/>
        <v>8.3750576935435819E-2</v>
      </c>
      <c r="HO321" s="14">
        <f t="shared" si="522"/>
        <v>5134890</v>
      </c>
    </row>
    <row r="322" spans="11:223" x14ac:dyDescent="0.2">
      <c r="K322" s="14">
        <v>317</v>
      </c>
      <c r="L322" s="12">
        <f>求节点(节奏总纲!D$4:D$163,标准城池设计!AB$4:AB$163,$K322)*求节点(节奏总纲!D$4:D$163,攻城基础信息!$AC$5:$AC$164,$K322)</f>
        <v>803588.56600417092</v>
      </c>
      <c r="M322" s="12">
        <f>INDEX(其他调用!$AA$5:$AA$404,MATCH(K322,其他调用!$X$5:$X$404,0))*MIN(INDEX(其他调用!$AH$5:$AH$364,MATCH('征服点（新）'!K322,其他调用!$AG$5:$AG$364,0),1)/INDEX(其他调用!$AJ$5:$AJ$364,MATCH(K322,其他调用!$AG$5:$AG$364,0),0),5)*求节点(节奏总纲!D$4:D$163,攻城基础信息!$AC$5:$AC$164,$K322)</f>
        <v>52648.079049894215</v>
      </c>
      <c r="N322" s="12">
        <f>MIN(INDEX(其他调用!$AH$5:$AH$364,MATCH($K322,其他调用!$AG$5:$AG$364,0),1)/INDEX(其他调用!AH$5:AH$364,MATCH($K322,其他调用!$AG$5:$AG$364,0),0),1)*INDEX(其他调用!Y$5:Y$404,MATCH($K322,其他调用!$X$5:$X$404,0),0)</f>
        <v>42793.868823846722</v>
      </c>
      <c r="O322" s="12">
        <f>MIN(INDEX(其他调用!$AH$5:$AH$364,MATCH($K322,其他调用!$AG$5:$AG$364,0),1)/INDEX(其他调用!AI$5:AI$364,MATCH($K322,其他调用!$AG$5:$AG$364,0),0),1)*INDEX(其他调用!Z$5:Z$404,MATCH($K322,其他调用!$X$5:$X$404,0),0)</f>
        <v>25538.990804948706</v>
      </c>
      <c r="P322" s="12">
        <f>MIN(INDEX(其他调用!$AH$5:$AH$364,MATCH($K322,其他调用!$AG$5:$AG$364,0),1)/INDEX(其他调用!AJ$5:AJ$364,MATCH($K322,其他调用!$AG$5:$AG$364,0),0),1)*INDEX(其他调用!AA$5:AA$404,MATCH($K322,其他调用!$X$5:$X$404,0),0)</f>
        <v>15042.308299969785</v>
      </c>
      <c r="Q322" s="12">
        <f>MIN(INDEX(其他调用!$AH$5:$AH$364,MATCH($K322,其他调用!$AG$5:$AG$364,0),1)/INDEX(其他调用!AK$5:AK$364,MATCH($K322,其他调用!$AG$5:$AG$364,0),0),1)*INDEX(其他调用!AB$5:AB$404,MATCH($K322,其他调用!$X$5:$X$404,0),0)</f>
        <v>5823.4021457662657</v>
      </c>
      <c r="R322" s="12">
        <f>MIN(INDEX(其他调用!$AH$5:$AH$364,MATCH($K322,其他调用!$AG$5:$AG$364,0),1)/INDEX(其他调用!AL$5:AL$364,MATCH($K322,其他调用!$AG$5:$AG$364,0),0),1)*INDEX(其他调用!AC$5:AC$404,MATCH($K322,其他调用!$X$5:$X$404,0),0)</f>
        <v>3526.9900277153638</v>
      </c>
      <c r="S322" s="12">
        <f>求节点(节奏总纲!D$4:D$163,标准城池设计!AC$4:AC$163,$K322)*求节点(节奏总纲!D$4:D$163,攻城基础信息!$AD$5:$AD$164,$K322)</f>
        <v>881294.94879121007</v>
      </c>
      <c r="T322" s="12">
        <f>INDEX(其他调用!$AA$5:$AA$404,MATCH($K322,其他调用!$X$5:$X$404,0))*MIN(INDEX(其他调用!AI$5:AI$364,MATCH($K322,其他调用!$AG$5:$AG$364,0),1)/INDEX(其他调用!$AJ$5:$AJ$364,MATCH($K322,其他调用!$AG$5:$AG$364,0),0),5)*求节点(节奏总纲!D$4:D$163,攻城基础信息!$AD$5:$AD$164,$K322)</f>
        <v>90607.819741939296</v>
      </c>
      <c r="U322" s="12">
        <f>MIN(INDEX(其他调用!$AI$5:$AI$364,MATCH($K322,其他调用!$AG$5:$AG$364,0),1)/INDEX(其他调用!AH$5:AH$364,MATCH($K322,其他调用!$AG$5:$AG$364,0),0),1)*INDEX(其他调用!Y$5:Y$404,MATCH($K322,其他调用!$X$5:$X$404,0),0)</f>
        <v>42793.868823846722</v>
      </c>
      <c r="V322" s="12">
        <f>MIN(INDEX(其他调用!$AI$5:$AI$364,MATCH($K322,其他调用!$AG$5:$AG$364,0),1)/INDEX(其他调用!AI$5:AI$364,MATCH($K322,其他调用!$AG$5:$AG$364,0),0),1)*INDEX(其他调用!Z$5:Z$404,MATCH($K322,其他调用!$X$5:$X$404,0),0)</f>
        <v>43952.83393061399</v>
      </c>
      <c r="W322" s="12">
        <f>MIN(INDEX(其他调用!$AI$5:$AI$364,MATCH($K322,其他调用!$AG$5:$AG$364,0),1)/INDEX(其他调用!AJ$5:AJ$364,MATCH($K322,其他调用!$AG$5:$AG$364,0),0),1)*INDEX(其他调用!AA$5:AA$404,MATCH($K322,其他调用!$X$5:$X$404,0),0)</f>
        <v>25887.948497696958</v>
      </c>
      <c r="X322" s="12">
        <f>MIN(INDEX(其他调用!$AI$5:$AI$364,MATCH($K322,其他调用!$AG$5:$AG$364,0),1)/INDEX(其他调用!AK$5:AK$364,MATCH($K322,其他调用!$AG$5:$AG$364,0),0),1)*INDEX(其他调用!AB$5:AB$404,MATCH($K322,其他调用!$X$5:$X$404,0),0)</f>
        <v>10022.127709699838</v>
      </c>
      <c r="Y322" s="12">
        <f>MIN(INDEX(其他调用!$AI$5:$AI$364,MATCH($K322,其他调用!$AG$5:$AG$364,0),1)/INDEX(其他调用!AL$5:AL$364,MATCH($K322,其他调用!$AG$5:$AG$364,0),0),1)*INDEX(其他调用!AC$5:AC$404,MATCH($K322,其他调用!$X$5:$X$404,0),0)</f>
        <v>6069.9817055052326</v>
      </c>
      <c r="Z322" s="12">
        <f>求节点(节奏总纲!D$4:D$163,标准城池设计!AD$4:AD$163,$K322)*求节点(节奏总纲!D$4:D$163,攻城基础信息!$AE$5:$AE$164,$K322)</f>
        <v>960627.81032970059</v>
      </c>
      <c r="AA322" s="12">
        <f>INDEX(其他调用!$AA$5:$AA$404,MATCH($K322,其他调用!$X$5:$X$404,0))*MIN(INDEX(其他调用!AJ$5:AJ$364,MATCH($K322,其他调用!$AG$5:$AG$364,0),1)/INDEX(其他调用!$AJ$5:$AJ$364,MATCH($K322,其他调用!$AG$5:$AG$364,0),0),5)*求节点(节奏总纲!D$4:D$163,攻城基础信息!$AE$5:$AE$164,$K322)</f>
        <v>159178.23373490528</v>
      </c>
      <c r="AB322" s="12">
        <f>MIN(INDEX(其他调用!$AJ$5:$AJ$364,MATCH($K322,其他调用!$AG$5:$AG$364,0),1)/INDEX(其他调用!AH$5:AH$364,MATCH($K322,其他调用!$AG$5:$AG$364,0),0),1)*INDEX(其他调用!Y$5:Y$404,MATCH($K322,其他调用!$X$5:$X$404,0),0)</f>
        <v>42793.868823846722</v>
      </c>
      <c r="AC322" s="12">
        <f>MIN(INDEX(其他调用!$AJ$5:$AJ$364,MATCH($K322,其他调用!$AG$5:$AG$364,0),1)/INDEX(其他调用!AI$5:AI$364,MATCH($K322,其他调用!$AG$5:$AG$364,0),0),1)*INDEX(其他调用!Z$5:Z$404,MATCH($K322,其他调用!$X$5:$X$404,0),0)</f>
        <v>43952.83393061399</v>
      </c>
      <c r="AD322" s="12">
        <f>MIN(INDEX(其他调用!$AJ$5:$AJ$364,MATCH($K322,其他调用!$AG$5:$AG$364,0),1)/INDEX(其他调用!AJ$5:AJ$364,MATCH($K322,其他调用!$AG$5:$AG$364,0),0),1)*INDEX(其他调用!AA$5:AA$404,MATCH($K322,其他调用!$X$5:$X$404,0),0)</f>
        <v>45479.495352830112</v>
      </c>
      <c r="AE322" s="12">
        <f>MIN(INDEX(其他调用!$AJ$5:$AJ$364,MATCH($K322,其他调用!$AG$5:$AG$364,0),1)/INDEX(其他调用!AK$5:AK$364,MATCH($K322,其他调用!$AG$5:$AG$364,0),0),1)*INDEX(其他调用!AB$5:AB$404,MATCH($K322,其他调用!$X$5:$X$404,0),0)</f>
        <v>17606.698755573958</v>
      </c>
      <c r="AF322" s="12">
        <f>MIN(INDEX(其他调用!$AJ$5:$AJ$364,MATCH($K322,其他调用!$AG$5:$AG$364,0),1)/INDEX(其他调用!AL$5:AL$364,MATCH($K322,其他调用!$AG$5:$AG$364,0),0),1)*INDEX(其他调用!AC$5:AC$404,MATCH($K322,其他调用!$X$5:$X$404,0),0)</f>
        <v>10663.637746028729</v>
      </c>
      <c r="AG322" s="12">
        <f>求节点(节奏总纲!D$4:D$163,标准城池设计!AE$4:AE$163,$K322)*求节点(节奏总纲!D$4:D$163,攻城基础信息!$AF$5:$AF$164,$K322)</f>
        <v>1154043.5776368242</v>
      </c>
      <c r="AH322" s="12">
        <f>INDEX(其他调用!$AA$5:$AA$404,MATCH($K322,其他调用!$X$5:$X$404,0))*MIN(INDEX(其他调用!AK$5:AK$364,MATCH($K322,其他调用!$AG$5:$AG$364,0),1)/INDEX(其他调用!$AJ$5:$AJ$364,MATCH($K322,其他调用!$AG$5:$AG$364,0),0),5)*求节点(节奏总纲!D$4:D$163,攻城基础信息!$AF$5:$AF$164,$K322)</f>
        <v>431584.03932799911</v>
      </c>
      <c r="AI322" s="12">
        <f>MIN(INDEX(其他调用!$AK$5:$AK$364,MATCH($K322,其他调用!$AG$5:$AG$364,0),1)/INDEX(其他调用!AH$5:AH$364,MATCH($K322,其他调用!$AG$5:$AG$364,0),0),1)*INDEX(其他调用!Y$5:Y$404,MATCH($K322,其他调用!$X$5:$X$404,0),0)</f>
        <v>42793.868823846722</v>
      </c>
      <c r="AJ322" s="12">
        <f>MIN(INDEX(其他调用!$AK$5:$AK$364,MATCH($K322,其他调用!$AG$5:$AG$364,0),1)/INDEX(其他调用!AI$5:AI$364,MATCH($K322,其他调用!$AG$5:$AG$364,0),0),1)*INDEX(其他调用!Z$5:Z$404,MATCH($K322,其他调用!$X$5:$X$404,0),0)</f>
        <v>43952.83393061399</v>
      </c>
      <c r="AK322" s="12">
        <f>MIN(INDEX(其他调用!$AK$5:$AK$364,MATCH($K322,其他调用!$AG$5:$AG$364,0),1)/INDEX(其他调用!AJ$5:AJ$364,MATCH($K322,其他调用!$AG$5:$AG$364,0),0),1)*INDEX(其他调用!AA$5:AA$404,MATCH($K322,其他调用!$X$5:$X$404,0),0)</f>
        <v>45479.495352830112</v>
      </c>
      <c r="AL322" s="12">
        <f>MIN(INDEX(其他调用!$AK$5:$AK$364,MATCH($K322,其他调用!$AG$5:$AG$364,0),1)/INDEX(其他调用!AK$5:AK$364,MATCH($K322,其他调用!$AG$5:$AG$364,0),0),1)*INDEX(其他调用!AB$5:AB$404,MATCH($K322,其他调用!$X$5:$X$404,0),0)</f>
        <v>47737.495195585725</v>
      </c>
      <c r="AM322" s="12">
        <f>MIN(INDEX(其他调用!$AK$5:$AK$364,MATCH($K322,其他调用!$AG$5:$AG$364,0),1)/INDEX(其他调用!AL$5:AL$364,MATCH($K322,其他调用!$AG$5:$AG$364,0),0),1)*INDEX(其他调用!AC$5:AC$404,MATCH($K322,其他调用!$X$5:$X$404,0),0)</f>
        <v>28912.595298840763</v>
      </c>
      <c r="AN322" s="12">
        <f>求节点(节奏总纲!D$4:D$163,标准城池设计!AF$4:AF$163,$K322)*求节点(节奏总纲!D$4:D$163,攻城基础信息!$AG$5:$AG$164,$K322)</f>
        <v>1197065.7253051696</v>
      </c>
      <c r="AO322" s="12">
        <f>INDEX(其他调用!$AA$5:$AA$404,MATCH($K322,其他调用!$X$5:$X$404,0))*MIN(INDEX(其他调用!AL$5:AL$364,MATCH($K322,其他调用!$AG$5:$AG$364,0),1)/INDEX(其他调用!$AJ$5:$AJ$364,MATCH($K322,其他调用!$AG$5:$AG$364,0),0),5)*求节点(节奏总纲!D$4:D$163,攻城基础信息!$AG$5:$AG$164,$K322)</f>
        <v>770681.49849441822</v>
      </c>
      <c r="AP322" s="12">
        <f>MIN(INDEX(其他调用!$AL$5:$AL$364,MATCH($K322,其他调用!$AG$5:$AG$364,0),1)/INDEX(其他调用!AH$5:AH$364,MATCH($K322,其他调用!$AG$5:$AG$364,0),0),1)*INDEX(其他调用!Y$5:Y$404,MATCH($K322,其他调用!$X$5:$X$404,0),0)</f>
        <v>42793.868823846722</v>
      </c>
      <c r="AQ322" s="12">
        <f>MIN(INDEX(其他调用!$AL$5:$AL$364,MATCH($K322,其他调用!$AG$5:$AG$364,0),1)/INDEX(其他调用!AI$5:AI$364,MATCH($K322,其他调用!$AG$5:$AG$364,0),0),1)*INDEX(其他调用!Z$5:Z$404,MATCH($K322,其他调用!$X$5:$X$404,0),0)</f>
        <v>43952.83393061399</v>
      </c>
      <c r="AR322" s="12">
        <f>MIN(INDEX(其他调用!$AL$5:$AL$364,MATCH($K322,其他调用!$AG$5:$AG$364,0),1)/INDEX(其他调用!AJ$5:AJ$364,MATCH($K322,其他调用!$AG$5:$AG$364,0),0),1)*INDEX(其他调用!AA$5:AA$404,MATCH($K322,其他调用!$X$5:$X$404,0),0)</f>
        <v>45479.495352830112</v>
      </c>
      <c r="AS322" s="12">
        <f>MIN(INDEX(其他调用!$AL$5:$AL$364,MATCH($K322,其他调用!$AG$5:$AG$364,0),1)/INDEX(其他调用!AK$5:AK$364,MATCH($K322,其他调用!$AG$5:$AG$364,0),0),1)*INDEX(其他调用!AB$5:AB$404,MATCH($K322,其他调用!$X$5:$X$404,0),0)</f>
        <v>47737.495195585725</v>
      </c>
      <c r="AT322" s="12">
        <f>MIN(INDEX(其他调用!$AL$5:$AL$364,MATCH($K322,其他调用!$AG$5:$AG$364,0),1)/INDEX(其他调用!AL$5:AL$364,MATCH($K322,其他调用!$AG$5:$AG$364,0),0),1)*INDEX(其他调用!AC$5:AC$404,MATCH($K322,其他调用!$X$5:$X$404,0),0)</f>
        <v>51629.347333993719</v>
      </c>
      <c r="AV322" s="14">
        <f>IF(OR(AV$5="大R",AV$5="超R"),MAX(INDEX(其他调用!$H$5:$L$404,MATCH($K322,其他调用!$B$5:$B$404,0),MATCH(AV$5,其他调用!$H$4:$L$4,0))*120*0.85,2),INDEX(其他调用!$H$5:$L$404,MATCH($K322,其他调用!$B$5:$B$404,0),MATCH(AV$5,其他调用!$H$4:$L$4,0))*120*0.85)</f>
        <v>48.921801254999991</v>
      </c>
      <c r="AW322" s="14">
        <f>IF(OR(AW$5="大R",AW$5="超R"),MAX(INDEX(其他调用!$H$5:$L$404,MATCH($K322,其他调用!$B$5:$B$404,0),MATCH(AW$5,其他调用!$H$4:$L$4,0))*120*0.85,2),INDEX(其他调用!$H$5:$L$404,MATCH($K322,其他调用!$B$5:$B$404,0),MATCH(AW$5,其他调用!$H$4:$L$4,0))*120*0.85)</f>
        <v>48.237344010638395</v>
      </c>
      <c r="AX322" s="14">
        <f>IF(OR(AX$5="大R",AX$5="超R"),MAX(INDEX(其他调用!$H$5:$L$404,MATCH($K322,其他调用!$B$5:$B$404,0),MATCH(AX$5,其他调用!$H$4:$L$4,0))*120*0.85,2),INDEX(其他调用!$H$5:$L$404,MATCH($K322,其他调用!$B$5:$B$404,0),MATCH(AX$5,其他调用!$H$4:$L$4,0))*120*0.85)</f>
        <v>3.9376284143615998</v>
      </c>
      <c r="AY322" s="14">
        <f>IF(OR(AY$5="大R",AY$5="超R"),MAX(INDEX(其他调用!$H$5:$L$404,MATCH($K322,其他调用!$B$5:$B$404,0),MATCH(AY$5,其他调用!$H$4:$L$4,0))*120*0.85,2),INDEX(其他调用!$H$5:$L$404,MATCH($K322,其他调用!$B$5:$B$404,0),MATCH(AY$5,其他调用!$H$4:$L$4,0))*120*0.85)</f>
        <v>2</v>
      </c>
      <c r="AZ322" s="14">
        <f>IF(OR(AZ$5="大R",AZ$5="超R"),MAX(INDEX(其他调用!$H$5:$L$404,MATCH($K322,其他调用!$B$5:$B$404,0),MATCH(AZ$5,其他调用!$H$4:$L$4,0))*120*0.85,2),INDEX(其他调用!$H$5:$L$404,MATCH($K322,其他调用!$B$5:$B$404,0),MATCH(AZ$5,其他调用!$H$4:$L$4,0))*120*0.85)</f>
        <v>2</v>
      </c>
      <c r="BA322" s="14">
        <f>INDEX(其他调用!$H$5:$L$404,MATCH($K322,其他调用!$B$5:$B$404,0),MATCH(BA$5,其他调用!$H$4:$L$4,0))*INDEX(其他调用!$M$5:$M$404,MATCH($K322,其他调用!$B$5:$B$404,0))*0.6</f>
        <v>28.777530149999997</v>
      </c>
      <c r="BB322" s="14">
        <f>INDEX(其他调用!$H$5:$L$404,MATCH($K322,其他调用!$B$5:$B$404,0),MATCH(BB$5,其他调用!$H$4:$L$4,0))*INDEX(其他调用!$M$5:$M$404,MATCH($K322,其他调用!$B$5:$B$404,0))*0.6</f>
        <v>28.374908241551999</v>
      </c>
      <c r="BC322" s="14">
        <f>INDEX(其他调用!$H$5:$L$404,MATCH($K322,其他调用!$B$5:$B$404,0),MATCH(BC$5,其他调用!$H$4:$L$4,0))*INDEX(其他调用!$M$5:$M$404,MATCH($K322,其他调用!$B$5:$B$404,0))*0.6</f>
        <v>2.3162520084480001</v>
      </c>
      <c r="BD322" s="14">
        <f>INDEX(其他调用!$H$5:$L$404,MATCH($K322,其他调用!$B$5:$B$404,0),MATCH(BD$5,其他调用!$H$4:$L$4,0))*INDEX(其他调用!$M$5:$M$404,MATCH($K322,其他调用!$B$5:$B$404,0))*0.6</f>
        <v>0.4120776000000001</v>
      </c>
      <c r="BE322" s="14">
        <f>INDEX(其他调用!$H$5:$L$404,MATCH($K322,其他调用!$B$5:$B$404,0),MATCH(BE$5,其他调用!$H$4:$L$4,0))*INDEX(其他调用!$M$5:$M$404,MATCH($K322,其他调用!$B$5:$B$404,0))*0.6</f>
        <v>0.11923199999999998</v>
      </c>
      <c r="BF322" s="14">
        <f>IF(OR(BF$5="大R",BF$5="超R"),0,INDEX(其他调用!$H$5:$L$404,MATCH($K322,其他调用!$B$5:$B$404,0),MATCH(BF$5,其他调用!$H$4:$L$4,0))*50*0.4)</f>
        <v>9.5925100500000013</v>
      </c>
      <c r="BG322" s="14">
        <f>IF(OR(BG$5="大R",BG$5="超R"),0,INDEX(其他调用!$H$5:$L$404,MATCH($K322,其他调用!$B$5:$B$404,0),MATCH(BG$5,其他调用!$H$4:$L$4,0))*50*0.4)</f>
        <v>9.4583027471839998</v>
      </c>
      <c r="BH322" s="14">
        <f>IF(OR(BH$5="大R",BH$5="超R"),0,INDEX(其他调用!$H$5:$L$404,MATCH($K322,其他调用!$B$5:$B$404,0),MATCH(BH$5,其他调用!$H$4:$L$4,0))*50*0.4)</f>
        <v>0.77208400281600009</v>
      </c>
      <c r="BI322" s="14">
        <f>IF(OR(BI$5="大R",BI$5="超R"),0,INDEX(其他调用!$H$5:$L$404,MATCH($K322,其他调用!$B$5:$B$404,0),MATCH(BI$5,其他调用!$H$4:$L$4,0))*50*0.4)</f>
        <v>0</v>
      </c>
      <c r="BJ322" s="14">
        <f>IF(OR(BJ$5="大R",BJ$5="超R"),0,INDEX(其他调用!$H$5:$L$404,MATCH($K322,其他调用!$B$5:$B$404,0),MATCH(BJ$5,其他调用!$H$4:$L$4,0))*50*0.4)</f>
        <v>0</v>
      </c>
      <c r="BL322" s="14">
        <f t="shared" si="523"/>
        <v>317</v>
      </c>
      <c r="BM322" s="14">
        <f t="shared" si="430"/>
        <v>96</v>
      </c>
      <c r="BN322" s="14">
        <f>('疲劳值&amp;地图信息'!$S$10*'疲劳值&amp;地图信息'!$R$10+'疲劳值&amp;地图信息'!$S$11*'疲劳值&amp;地图信息'!$R$11+'疲劳值&amp;地图信息'!$S$12*'疲劳值&amp;地图信息'!$R$12+(BM322-'疲劳值&amp;地图信息'!$S$12-'疲劳值&amp;地图信息'!$S$11-'疲劳值&amp;地图信息'!$S$10)*'疲劳值&amp;地图信息'!$R$13)/BM322</f>
        <v>51.371477246638619</v>
      </c>
      <c r="BO322" s="14">
        <f>INDEX(其他调用!$M$5:$M$404,MATCH(BL322,其他调用!$B$5:$B$404,0))*0.6</f>
        <v>60</v>
      </c>
      <c r="BP322" s="14">
        <f>IF(BO322&gt;SUM('疲劳值&amp;地图信息'!$S$10:$S$12),('疲劳值&amp;地图信息'!$S$10*'疲劳值&amp;地图信息'!$R$10+'疲劳值&amp;地图信息'!$S$11*'疲劳值&amp;地图信息'!$R$11+'疲劳值&amp;地图信息'!$S$12*'疲劳值&amp;地图信息'!$R$12+(BO322-'疲劳值&amp;地图信息'!$S$12-'疲劳值&amp;地图信息'!$S$11-'疲劳值&amp;地图信息'!$S$10)*'疲劳值&amp;地图信息'!$R$13)/BO322,('疲劳值&amp;地图信息'!$S$10*'疲劳值&amp;地图信息'!$R$10+'疲劳值&amp;地图信息'!$S$11*'疲劳值&amp;地图信息'!$R$11+'疲劳值&amp;地图信息'!$S$12*'疲劳值&amp;地图信息'!$R$12+(BO322-'疲劳值&amp;地图信息'!$S$12-'疲劳值&amp;地图信息'!$S$11-'疲劳值&amp;地图信息'!$S$10)*'疲劳值&amp;地图信息'!$R$13)/BO322)</f>
        <v>44.158136341605953</v>
      </c>
      <c r="BQ322" s="14">
        <f t="shared" si="524"/>
        <v>20</v>
      </c>
      <c r="BR322" s="14">
        <f>('疲劳值&amp;地图信息'!$S$10*'疲劳值&amp;地图信息'!$R$10+($BQ322-'疲劳值&amp;地图信息'!$S$10)*'疲劳值&amp;地图信息'!$R$11)/$BQ322</f>
        <v>32.067203015074995</v>
      </c>
      <c r="CF322" s="14">
        <v>317</v>
      </c>
      <c r="CG322" s="51">
        <f t="shared" si="431"/>
        <v>16378</v>
      </c>
      <c r="CH322" s="51">
        <f t="shared" si="432"/>
        <v>1073</v>
      </c>
      <c r="CI322" s="51">
        <f>INT(SUMPRODUCT($N322:$R322,$BA322:$BE322)/SUM($BA322:$BE322)/10000*$BX$7*$BZ$34/'疲劳值&amp;地图信息'!$R$10*$BY$53)</f>
        <v>3371</v>
      </c>
      <c r="CJ322" s="50">
        <f t="shared" si="433"/>
        <v>0.78657189511094039</v>
      </c>
      <c r="CK322" s="50">
        <f t="shared" si="434"/>
        <v>5.1532033426183843E-2</v>
      </c>
      <c r="CL322" s="50">
        <f t="shared" si="435"/>
        <v>0.1618960714628758</v>
      </c>
      <c r="CM322" s="14">
        <f t="shared" si="436"/>
        <v>17961</v>
      </c>
      <c r="CN322" s="14">
        <f t="shared" si="437"/>
        <v>1846</v>
      </c>
      <c r="CO322" s="14">
        <f>INT(SUMPRODUCT($U322:$Y322,$BA322:$BE322)/SUM($BA322:$BE322)/10000*$BX$7*$BZ$34/'疲劳值&amp;地图信息'!$R$10*$BY$54)</f>
        <v>6451</v>
      </c>
      <c r="CP322" s="50">
        <f t="shared" si="438"/>
        <v>0.68402010815751391</v>
      </c>
      <c r="CQ322" s="50">
        <f t="shared" si="439"/>
        <v>7.0302384035341614E-2</v>
      </c>
      <c r="CR322" s="50">
        <f t="shared" si="440"/>
        <v>0.24567750780714448</v>
      </c>
      <c r="CS322" s="14">
        <f t="shared" si="441"/>
        <v>19578</v>
      </c>
      <c r="CT322" s="14">
        <f t="shared" si="442"/>
        <v>3244</v>
      </c>
      <c r="CU322" s="14">
        <f>INT(SUMPRODUCT($AB322:$AF322,$BA322:$BE322)/SUM($BA322:$BE322)/10000*$BX$7*$BZ$34/'疲劳值&amp;地图信息'!$R$10*$BY$55)</f>
        <v>8768</v>
      </c>
      <c r="CV322" s="50">
        <f t="shared" si="443"/>
        <v>0.61975308641975313</v>
      </c>
      <c r="CW322" s="50">
        <f t="shared" si="444"/>
        <v>0.10269072491294713</v>
      </c>
      <c r="CX322" s="50">
        <f t="shared" si="445"/>
        <v>0.27755618866729975</v>
      </c>
      <c r="CY322" s="14">
        <f t="shared" si="446"/>
        <v>23520</v>
      </c>
      <c r="CZ322" s="14">
        <f t="shared" si="447"/>
        <v>8796</v>
      </c>
      <c r="DA322" s="14">
        <f>INT(SUMPRODUCT($AI322:$AM322,$BA322:$BE322)/SUM($BA322:$BE322)/10000*$BX$7*$BZ$34/'疲劳值&amp;地图信息'!$R$10*$BY$56)</f>
        <v>13226</v>
      </c>
      <c r="DB322" s="50">
        <f t="shared" si="448"/>
        <v>0.51644635720873044</v>
      </c>
      <c r="DC322" s="50">
        <f t="shared" si="449"/>
        <v>0.19314039787448947</v>
      </c>
      <c r="DD322" s="50">
        <f t="shared" si="450"/>
        <v>0.29041324491678011</v>
      </c>
      <c r="DE322" s="14">
        <f t="shared" si="451"/>
        <v>24397</v>
      </c>
      <c r="DF322" s="14">
        <f t="shared" si="452"/>
        <v>15707</v>
      </c>
      <c r="DG322" s="14">
        <f>INT(SUMPRODUCT($AP322:$AT322,$BA322:$BE322)/SUM($BA322:$BE322)/10000*$BX$7*$BZ$34/'疲劳值&amp;地图信息'!$R$10*$BY$57)</f>
        <v>17654</v>
      </c>
      <c r="DH322" s="50">
        <f t="shared" si="453"/>
        <v>0.42240036012327298</v>
      </c>
      <c r="DI322" s="50">
        <f t="shared" si="454"/>
        <v>0.27194501194639703</v>
      </c>
      <c r="DJ322" s="50">
        <f t="shared" si="455"/>
        <v>0.30565462793032999</v>
      </c>
      <c r="DL322" s="14">
        <f t="shared" si="526"/>
        <v>20822</v>
      </c>
      <c r="DM322" s="14">
        <f t="shared" si="527"/>
        <v>26258</v>
      </c>
      <c r="DN322" s="14">
        <f t="shared" si="528"/>
        <v>31590</v>
      </c>
      <c r="DO322" s="14">
        <f t="shared" si="529"/>
        <v>45542</v>
      </c>
      <c r="DP322" s="14">
        <f t="shared" si="530"/>
        <v>57758</v>
      </c>
      <c r="DQ322" s="14">
        <f t="shared" si="531"/>
        <v>1443097</v>
      </c>
      <c r="DT322" s="14">
        <f t="shared" si="525"/>
        <v>235575</v>
      </c>
      <c r="DU322" s="50">
        <f t="shared" si="427"/>
        <v>0.14033414508611569</v>
      </c>
      <c r="DW322" s="14">
        <f t="shared" si="456"/>
        <v>1678672</v>
      </c>
      <c r="EB322" s="14">
        <v>317</v>
      </c>
      <c r="EC322" s="51">
        <f t="shared" si="457"/>
        <v>27296</v>
      </c>
      <c r="ED322" s="51">
        <f t="shared" si="458"/>
        <v>1788</v>
      </c>
      <c r="EE322" s="51">
        <f>INT(SUMPRODUCT($N322:$R322,$BF322:$BJ322)/SUM($BF322:$BJ322)/10000*$BX$7*$BZ$46/'疲劳值&amp;地图信息'!$R$10*$BY$53)</f>
        <v>452</v>
      </c>
      <c r="EF322" s="50">
        <f t="shared" si="459"/>
        <v>0.92416034669555791</v>
      </c>
      <c r="EG322" s="50">
        <f t="shared" si="460"/>
        <v>6.053629469122427E-2</v>
      </c>
      <c r="EH322" s="50">
        <f t="shared" si="461"/>
        <v>1.5303358613217768E-2</v>
      </c>
      <c r="EI322" s="51">
        <f t="shared" si="462"/>
        <v>29936</v>
      </c>
      <c r="EJ322" s="51">
        <f t="shared" si="463"/>
        <v>3077</v>
      </c>
      <c r="EK322" s="14">
        <f>INT(SUMPRODUCT($U322:$Y322,$BF322:$BJ322)/SUM($BF322:$BJ322)/10000*$BX$7*$BZ$46/'疲劳值&amp;地图信息'!$R$10*$BY$54)</f>
        <v>866</v>
      </c>
      <c r="EL322" s="50">
        <f t="shared" si="464"/>
        <v>0.88361521886714489</v>
      </c>
      <c r="EM322" s="50">
        <f t="shared" si="465"/>
        <v>9.0823223825968885E-2</v>
      </c>
      <c r="EN322" s="50">
        <f t="shared" si="466"/>
        <v>2.5561557306886272E-2</v>
      </c>
      <c r="EO322" s="51">
        <f t="shared" si="467"/>
        <v>32631</v>
      </c>
      <c r="EP322" s="51">
        <f t="shared" si="468"/>
        <v>5407</v>
      </c>
      <c r="EQ322" s="14">
        <f>INT(SUMPRODUCT($AB322:$AF322,$BF322:$BJ322)/SUM($BF322:$BJ322)/10000*$BX$7*$BZ$46/'疲劳值&amp;地图信息'!$R$10*$BY$55)</f>
        <v>1175</v>
      </c>
      <c r="ER322" s="50">
        <f t="shared" si="469"/>
        <v>0.8321475021038941</v>
      </c>
      <c r="ES322" s="50">
        <f t="shared" si="470"/>
        <v>0.13788794532425472</v>
      </c>
      <c r="ET322" s="50">
        <f t="shared" si="471"/>
        <v>2.9964552571851173E-2</v>
      </c>
      <c r="EU322" s="51">
        <f t="shared" si="472"/>
        <v>39201</v>
      </c>
      <c r="EV322" s="51">
        <f t="shared" si="473"/>
        <v>14660</v>
      </c>
      <c r="EW322" s="14">
        <f>INT(SUMPRODUCT($AI322:$AM322,$BF322:$BJ322)/SUM($BF322:$BJ322)/10000*$BX$7*$BZ$46/'疲劳值&amp;地图信息'!$R$10*$BY$56)</f>
        <v>1763</v>
      </c>
      <c r="EX322" s="50">
        <f t="shared" si="474"/>
        <v>0.70474974831008197</v>
      </c>
      <c r="EY322" s="50">
        <f t="shared" si="475"/>
        <v>0.26355529987055948</v>
      </c>
      <c r="EZ322" s="50">
        <f t="shared" si="476"/>
        <v>3.1694951819358552E-2</v>
      </c>
      <c r="FA322" s="51">
        <f t="shared" si="477"/>
        <v>40662</v>
      </c>
      <c r="FB322" s="51">
        <f t="shared" si="478"/>
        <v>26179</v>
      </c>
      <c r="FC322" s="14">
        <f>INT(SUMPRODUCT($AP322:$AT322,$BF322:$BJ322)/SUM($BF322:$BJ322)/10000*$BX$7*$BZ$46/'疲劳值&amp;地图信息'!$R$10*$BY$57)</f>
        <v>2351</v>
      </c>
      <c r="FD322" s="50">
        <f t="shared" si="479"/>
        <v>0.58766909469302808</v>
      </c>
      <c r="FE322" s="50">
        <f t="shared" si="480"/>
        <v>0.37835298878483059</v>
      </c>
      <c r="FF322" s="50">
        <f t="shared" si="481"/>
        <v>3.3977916522141285E-2</v>
      </c>
      <c r="FH322" s="14">
        <f t="shared" si="482"/>
        <v>29536</v>
      </c>
      <c r="FI322" s="14">
        <f t="shared" si="483"/>
        <v>33879</v>
      </c>
      <c r="FJ322" s="14">
        <f t="shared" si="484"/>
        <v>39213</v>
      </c>
      <c r="FK322" s="14">
        <f t="shared" si="485"/>
        <v>55624</v>
      </c>
      <c r="FL322" s="14">
        <f t="shared" si="486"/>
        <v>69192</v>
      </c>
      <c r="FM322" s="14">
        <f t="shared" si="487"/>
        <v>3483225</v>
      </c>
      <c r="FP322" s="14">
        <f t="shared" si="488"/>
        <v>334150</v>
      </c>
      <c r="FQ322" s="50">
        <f t="shared" si="428"/>
        <v>8.7533972952617958E-2</v>
      </c>
      <c r="FS322" s="14">
        <f t="shared" si="489"/>
        <v>3817375</v>
      </c>
      <c r="FX322" s="14">
        <v>317</v>
      </c>
      <c r="FY322" s="51">
        <f t="shared" si="490"/>
        <v>38215</v>
      </c>
      <c r="FZ322" s="51">
        <f t="shared" si="491"/>
        <v>1788</v>
      </c>
      <c r="GA322" s="51">
        <f>INT(SUMPRODUCT($N322:$R322,$BF322:$BJ322)/SUM($BF322:$BJ322)/10000*$BX$7*$BZ$46/'疲劳值&amp;地图信息'!$R$10*$BY$53)</f>
        <v>452</v>
      </c>
      <c r="GB322" s="50">
        <f t="shared" si="492"/>
        <v>0.9446298356198245</v>
      </c>
      <c r="GC322" s="50">
        <f t="shared" si="493"/>
        <v>4.4197256210604378E-2</v>
      </c>
      <c r="GD322" s="50">
        <f t="shared" si="494"/>
        <v>1.1172908169571128E-2</v>
      </c>
      <c r="GE322" s="51">
        <f t="shared" si="495"/>
        <v>41911</v>
      </c>
      <c r="GF322" s="51">
        <f t="shared" si="496"/>
        <v>3077</v>
      </c>
      <c r="GG322" s="14">
        <f>INT(SUMPRODUCT($U322:$Y322,$BF322:$BJ322)/SUM($BF322:$BJ322)/10000*$BX$7*$BZ$46/'疲劳值&amp;地图信息'!$R$10*$BY$54)</f>
        <v>866</v>
      </c>
      <c r="GH322" s="50">
        <f t="shared" si="497"/>
        <v>0.91400968290661666</v>
      </c>
      <c r="GI322" s="50">
        <f t="shared" si="498"/>
        <v>6.7104287521263142E-2</v>
      </c>
      <c r="GJ322" s="50">
        <f t="shared" si="499"/>
        <v>1.8886029572120207E-2</v>
      </c>
      <c r="GK322" s="51">
        <f t="shared" si="500"/>
        <v>45683</v>
      </c>
      <c r="GL322" s="51">
        <f t="shared" si="501"/>
        <v>5407</v>
      </c>
      <c r="GM322" s="14">
        <f>INT(SUMPRODUCT($AB322:$AF322,$BF322:$BJ322)/SUM($BF322:$BJ322)/10000*$BX$7*$BZ$46/'疲劳值&amp;地图信息'!$R$10*$BY$55)</f>
        <v>1175</v>
      </c>
      <c r="GN322" s="50">
        <f t="shared" si="502"/>
        <v>0.87406486176217357</v>
      </c>
      <c r="GO322" s="50">
        <f t="shared" si="503"/>
        <v>0.10345355400363532</v>
      </c>
      <c r="GP322" s="50">
        <f t="shared" si="504"/>
        <v>2.2481584234191141E-2</v>
      </c>
      <c r="GQ322" s="51">
        <f t="shared" si="505"/>
        <v>54882</v>
      </c>
      <c r="GR322" s="51">
        <f t="shared" si="506"/>
        <v>14660</v>
      </c>
      <c r="GS322" s="14">
        <f>INT(SUMPRODUCT($AI322:$AM322,$BF322:$BJ322)/SUM($BF322:$BJ322)/10000*$BX$7*$BZ$46/'疲劳值&amp;地图信息'!$R$10*$BY$56)</f>
        <v>1763</v>
      </c>
      <c r="GT322" s="50">
        <f t="shared" si="507"/>
        <v>0.76967954561391205</v>
      </c>
      <c r="GU322" s="50">
        <f t="shared" si="508"/>
        <v>0.20559568052731225</v>
      </c>
      <c r="GV322" s="50">
        <f t="shared" si="509"/>
        <v>2.4724773858775681E-2</v>
      </c>
      <c r="GW322" s="51">
        <f t="shared" si="510"/>
        <v>56928</v>
      </c>
      <c r="GX322" s="51">
        <f t="shared" si="511"/>
        <v>26179</v>
      </c>
      <c r="GY322" s="14">
        <f>INT(SUMPRODUCT($AP322:$AT322,$BF322:$BJ322)/SUM($BF322:$BJ322)/10000*$BX$7*$BZ$46/'疲劳值&amp;地图信息'!$R$10*$BY$57)</f>
        <v>2351</v>
      </c>
      <c r="GZ322" s="50">
        <f t="shared" si="512"/>
        <v>0.66615179386365231</v>
      </c>
      <c r="HA322" s="50">
        <f t="shared" si="513"/>
        <v>0.30633761613892202</v>
      </c>
      <c r="HB322" s="50">
        <f t="shared" si="514"/>
        <v>2.7510589997425637E-2</v>
      </c>
      <c r="HD322" s="14">
        <f t="shared" si="515"/>
        <v>40455</v>
      </c>
      <c r="HE322" s="14">
        <f t="shared" si="516"/>
        <v>45854</v>
      </c>
      <c r="HF322" s="14">
        <f t="shared" si="517"/>
        <v>52265</v>
      </c>
      <c r="HG322" s="14">
        <f t="shared" si="518"/>
        <v>71305</v>
      </c>
      <c r="HH322" s="14">
        <f t="shared" si="519"/>
        <v>85458</v>
      </c>
      <c r="HI322" s="14">
        <f t="shared" si="520"/>
        <v>4710332</v>
      </c>
      <c r="HL322" s="14">
        <f t="shared" si="521"/>
        <v>430050</v>
      </c>
      <c r="HM322" s="50">
        <f t="shared" si="429"/>
        <v>8.3661097560453673E-2</v>
      </c>
      <c r="HO322" s="14">
        <f t="shared" si="522"/>
        <v>5140382</v>
      </c>
    </row>
    <row r="323" spans="11:223" x14ac:dyDescent="0.2">
      <c r="K323" s="14">
        <v>318</v>
      </c>
      <c r="L323" s="12">
        <f>求节点(节奏总纲!D$4:D$163,标准城池设计!AB$4:AB$163,$K323)*求节点(节奏总纲!D$4:D$163,攻城基础信息!$AC$5:$AC$164,$K323)</f>
        <v>804705.21559016046</v>
      </c>
      <c r="M323" s="12">
        <f>INDEX(其他调用!$AA$5:$AA$404,MATCH(K323,其他调用!$X$5:$X$404,0))*MIN(INDEX(其他调用!$AH$5:$AH$364,MATCH('征服点（新）'!K323,其他调用!$AG$5:$AG$364,0),1)/INDEX(其他调用!$AJ$5:$AJ$364,MATCH(K323,其他调用!$AG$5:$AG$364,0),0),5)*求节点(节奏总纲!D$4:D$163,攻城基础信息!$AC$5:$AC$164,$K323)</f>
        <v>52584.099833516455</v>
      </c>
      <c r="N323" s="12">
        <f>MIN(INDEX(其他调用!$AH$5:$AH$364,MATCH($K323,其他调用!$AG$5:$AG$364,0),1)/INDEX(其他调用!AH$5:AH$364,MATCH($K323,其他调用!$AG$5:$AG$364,0),0),1)*INDEX(其他调用!Y$5:Y$404,MATCH($K323,其他调用!$X$5:$X$404,0),0)</f>
        <v>42811.678309759263</v>
      </c>
      <c r="O323" s="12">
        <f>MIN(INDEX(其他调用!$AH$5:$AH$364,MATCH($K323,其他调用!$AG$5:$AG$364,0),1)/INDEX(其他调用!AI$5:AI$364,MATCH($K323,其他调用!$AG$5:$AG$364,0),0),1)*INDEX(其他调用!Z$5:Z$404,MATCH($K323,其他调用!$X$5:$X$404,0),0)</f>
        <v>25531.737498826544</v>
      </c>
      <c r="P323" s="12">
        <f>MIN(INDEX(其他调用!$AH$5:$AH$364,MATCH($K323,其他调用!$AG$5:$AG$364,0),1)/INDEX(其他调用!AJ$5:AJ$364,MATCH($K323,其他调用!$AG$5:$AG$364,0),0),1)*INDEX(其他调用!AA$5:AA$404,MATCH($K323,其他调用!$X$5:$X$404,0),0)</f>
        <v>15024.028523861854</v>
      </c>
      <c r="Q323" s="12">
        <f>MIN(INDEX(其他调用!$AH$5:$AH$364,MATCH($K323,其他调用!$AG$5:$AG$364,0),1)/INDEX(其他调用!AK$5:AK$364,MATCH($K323,其他调用!$AG$5:$AG$364,0),0),1)*INDEX(其他调用!AB$5:AB$404,MATCH($K323,其他调用!$X$5:$X$404,0),0)</f>
        <v>5826.9825753584919</v>
      </c>
      <c r="R323" s="12">
        <f>MIN(INDEX(其他调用!$AH$5:$AH$364,MATCH($K323,其他调用!$AG$5:$AG$364,0),1)/INDEX(其他调用!AL$5:AL$364,MATCH($K323,其他调用!$AG$5:$AG$364,0),0),1)*INDEX(其他调用!AC$5:AC$404,MATCH($K323,其他调用!$X$5:$X$404,0),0)</f>
        <v>3534.9199075650181</v>
      </c>
      <c r="S323" s="12">
        <f>求节点(节奏总纲!D$4:D$163,标准城池设计!AC$4:AC$163,$K323)*求节点(节奏总纲!D$4:D$163,攻城基础信息!$AD$5:$AD$164,$K323)</f>
        <v>882516.34276629973</v>
      </c>
      <c r="T323" s="12">
        <f>INDEX(其他调用!$AA$5:$AA$404,MATCH($K323,其他调用!$X$5:$X$404,0))*MIN(INDEX(其他调用!AI$5:AI$364,MATCH($K323,其他调用!$AG$5:$AG$364,0),1)/INDEX(其他调用!$AJ$5:$AJ$364,MATCH($K323,其他调用!$AG$5:$AG$364,0),0),5)*求节点(节奏总纲!D$4:D$163,攻城基础信息!$AD$5:$AD$164,$K323)</f>
        <v>90560.200850053414</v>
      </c>
      <c r="U323" s="12">
        <f>MIN(INDEX(其他调用!$AI$5:$AI$364,MATCH($K323,其他调用!$AG$5:$AG$364,0),1)/INDEX(其他调用!AH$5:AH$364,MATCH($K323,其他调用!$AG$5:$AG$364,0),0),1)*INDEX(其他调用!Y$5:Y$404,MATCH($K323,其他调用!$X$5:$X$404,0),0)</f>
        <v>42811.678309759263</v>
      </c>
      <c r="V323" s="12">
        <f>MIN(INDEX(其他调用!$AI$5:$AI$364,MATCH($K323,其他调用!$AG$5:$AG$364,0),1)/INDEX(其他调用!AI$5:AI$364,MATCH($K323,其他调用!$AG$5:$AG$364,0),0),1)*INDEX(其他调用!Z$5:Z$404,MATCH($K323,其他调用!$X$5:$X$404,0),0)</f>
        <v>43970.692343597562</v>
      </c>
      <c r="W323" s="12">
        <f>MIN(INDEX(其他调用!$AI$5:$AI$364,MATCH($K323,其他调用!$AG$5:$AG$364,0),1)/INDEX(其他调用!AJ$5:AJ$364,MATCH($K323,其他调用!$AG$5:$AG$364,0),0),1)*INDEX(其他调用!AA$5:AA$404,MATCH($K323,其他调用!$X$5:$X$404,0),0)</f>
        <v>25874.343100015278</v>
      </c>
      <c r="X323" s="12">
        <f>MIN(INDEX(其他调用!$AI$5:$AI$364,MATCH($K323,其他调用!$AG$5:$AG$364,0),1)/INDEX(其他调用!AK$5:AK$364,MATCH($K323,其他调用!$AG$5:$AG$364,0),0),1)*INDEX(其他调用!AB$5:AB$404,MATCH($K323,其他调用!$X$5:$X$404,0),0)</f>
        <v>10035.214333704002</v>
      </c>
      <c r="Y323" s="12">
        <f>MIN(INDEX(其他调用!$AI$5:$AI$364,MATCH($K323,其他调用!$AG$5:$AG$364,0),1)/INDEX(其他调用!AL$5:AL$364,MATCH($K323,其他调用!$AG$5:$AG$364,0),0),1)*INDEX(其他调用!AC$5:AC$404,MATCH($K323,其他调用!$X$5:$X$404,0),0)</f>
        <v>6087.8299301778252</v>
      </c>
      <c r="Z323" s="12">
        <f>求节点(节奏总纲!D$4:D$163,标准城池设计!AD$4:AD$163,$K323)*求节点(节奏总纲!D$4:D$163,攻城基础信息!$AE$5:$AE$164,$K323)</f>
        <v>961934.51663556544</v>
      </c>
      <c r="AA323" s="12">
        <f>INDEX(其他调用!$AA$5:$AA$404,MATCH($K323,其他调用!$X$5:$X$404,0))*MIN(INDEX(其他调用!AJ$5:AJ$364,MATCH($K323,其他调用!$AG$5:$AG$364,0),1)/INDEX(其他调用!$AJ$5:$AJ$364,MATCH($K323,其他调用!$AG$5:$AG$364,0),0),5)*求节点(节奏总纲!D$4:D$163,攻城基础信息!$AE$5:$AE$164,$K323)</f>
        <v>159242.94311188662</v>
      </c>
      <c r="AB323" s="12">
        <f>MIN(INDEX(其他调用!$AJ$5:$AJ$364,MATCH($K323,其他调用!$AG$5:$AG$364,0),1)/INDEX(其他调用!AH$5:AH$364,MATCH($K323,其他调用!$AG$5:$AG$364,0),0),1)*INDEX(其他调用!Y$5:Y$404,MATCH($K323,其他调用!$X$5:$X$404,0),0)</f>
        <v>42811.678309759263</v>
      </c>
      <c r="AC323" s="12">
        <f>MIN(INDEX(其他调用!$AJ$5:$AJ$364,MATCH($K323,其他调用!$AG$5:$AG$364,0),1)/INDEX(其他调用!AI$5:AI$364,MATCH($K323,其他调用!$AG$5:$AG$364,0),0),1)*INDEX(其他调用!Z$5:Z$404,MATCH($K323,其他调用!$X$5:$X$404,0),0)</f>
        <v>43970.692343597562</v>
      </c>
      <c r="AD323" s="12">
        <f>MIN(INDEX(其他调用!$AJ$5:$AJ$364,MATCH($K323,其他调用!$AG$5:$AG$364,0),1)/INDEX(其他调用!AJ$5:AJ$364,MATCH($K323,其他调用!$AG$5:$AG$364,0),0),1)*INDEX(其他调用!AA$5:AA$404,MATCH($K323,其他调用!$X$5:$X$404,0),0)</f>
        <v>45497.983746253347</v>
      </c>
      <c r="AE323" s="12">
        <f>MIN(INDEX(其他调用!$AJ$5:$AJ$364,MATCH($K323,其他调用!$AG$5:$AG$364,0),1)/INDEX(其他调用!AK$5:AK$364,MATCH($K323,其他调用!$AG$5:$AG$364,0),0),1)*INDEX(其他调用!AB$5:AB$404,MATCH($K323,其他调用!$X$5:$X$404,0),0)</f>
        <v>17646.129870047356</v>
      </c>
      <c r="AF323" s="12">
        <f>MIN(INDEX(其他调用!$AJ$5:$AJ$364,MATCH($K323,其他调用!$AG$5:$AG$364,0),1)/INDEX(其他调用!AL$5:AL$364,MATCH($K323,其他调用!$AG$5:$AG$364,0),0),1)*INDEX(其他调用!AC$5:AC$404,MATCH($K323,其他调用!$X$5:$X$404,0),0)</f>
        <v>10704.966929692673</v>
      </c>
      <c r="AG323" s="12">
        <f>求节点(节奏总纲!D$4:D$163,标准城池设计!AE$4:AE$163,$K323)*求节点(节奏总纲!D$4:D$163,攻城基础信息!$AF$5:$AF$164,$K323)</f>
        <v>1155192.987763616</v>
      </c>
      <c r="AH323" s="12">
        <f>INDEX(其他调用!$AA$5:$AA$404,MATCH($K323,其他调用!$X$5:$X$404,0))*MIN(INDEX(其他调用!AK$5:AK$364,MATCH($K323,其他调用!$AG$5:$AG$364,0),1)/INDEX(其他调用!$AJ$5:$AJ$364,MATCH($K323,其他调用!$AG$5:$AG$364,0),0),5)*求节点(节奏总纲!D$4:D$163,攻城基础信息!$AF$5:$AF$164,$K323)</f>
        <v>430957.42408515705</v>
      </c>
      <c r="AI323" s="12">
        <f>MIN(INDEX(其他调用!$AK$5:$AK$364,MATCH($K323,其他调用!$AG$5:$AG$364,0),1)/INDEX(其他调用!AH$5:AH$364,MATCH($K323,其他调用!$AG$5:$AG$364,0),0),1)*INDEX(其他调用!Y$5:Y$404,MATCH($K323,其他调用!$X$5:$X$404,0),0)</f>
        <v>42811.678309759263</v>
      </c>
      <c r="AJ323" s="12">
        <f>MIN(INDEX(其他调用!$AK$5:$AK$364,MATCH($K323,其他调用!$AG$5:$AG$364,0),1)/INDEX(其他调用!AI$5:AI$364,MATCH($K323,其他调用!$AG$5:$AG$364,0),0),1)*INDEX(其他调用!Z$5:Z$404,MATCH($K323,其他调用!$X$5:$X$404,0),0)</f>
        <v>43970.692343597562</v>
      </c>
      <c r="AK323" s="12">
        <f>MIN(INDEX(其他调用!$AK$5:$AK$364,MATCH($K323,其他调用!$AG$5:$AG$364,0),1)/INDEX(其他调用!AJ$5:AJ$364,MATCH($K323,其他调用!$AG$5:$AG$364,0),0),1)*INDEX(其他调用!AA$5:AA$404,MATCH($K323,其他调用!$X$5:$X$404,0),0)</f>
        <v>45497.983746253347</v>
      </c>
      <c r="AL323" s="12">
        <f>MIN(INDEX(其他调用!$AK$5:$AK$364,MATCH($K323,其他调用!$AG$5:$AG$364,0),1)/INDEX(其他调用!AK$5:AK$364,MATCH($K323,其他调用!$AG$5:$AG$364,0),0),1)*INDEX(其他调用!AB$5:AB$404,MATCH($K323,其他调用!$X$5:$X$404,0),0)</f>
        <v>47755.527028438242</v>
      </c>
      <c r="AM323" s="12">
        <f>MIN(INDEX(其他调用!$AK$5:$AK$364,MATCH($K323,其他调用!$AG$5:$AG$364,0),1)/INDEX(其他调用!AL$5:AL$364,MATCH($K323,其他调用!$AG$5:$AG$364,0),0),1)*INDEX(其他调用!AC$5:AC$404,MATCH($K323,其他调用!$X$5:$X$404,0),0)</f>
        <v>28970.734167451981</v>
      </c>
      <c r="AN323" s="12">
        <f>求节点(节奏总纲!D$4:D$163,标准城池设计!AF$4:AF$163,$K323)*求节点(节奏总纲!D$4:D$163,攻城基础信息!$AG$5:$AG$164,$K323)</f>
        <v>1197939.8415089038</v>
      </c>
      <c r="AO323" s="12">
        <f>INDEX(其他调用!$AA$5:$AA$404,MATCH($K323,其他调用!$X$5:$X$404,0))*MIN(INDEX(其他调用!AL$5:AL$364,MATCH($K323,其他调用!$AG$5:$AG$364,0),1)/INDEX(其他调用!$AJ$5:$AJ$364,MATCH($K323,其他调用!$AG$5:$AG$364,0),0),5)*求节点(节奏总纲!D$4:D$163,攻城基础信息!$AG$5:$AG$164,$K323)</f>
        <v>768288.94276628585</v>
      </c>
      <c r="AP323" s="12">
        <f>MIN(INDEX(其他调用!$AL$5:$AL$364,MATCH($K323,其他调用!$AG$5:$AG$364,0),1)/INDEX(其他调用!AH$5:AH$364,MATCH($K323,其他调用!$AG$5:$AG$364,0),0),1)*INDEX(其他调用!Y$5:Y$404,MATCH($K323,其他调用!$X$5:$X$404,0),0)</f>
        <v>42811.678309759263</v>
      </c>
      <c r="AQ323" s="12">
        <f>MIN(INDEX(其他调用!$AL$5:$AL$364,MATCH($K323,其他调用!$AG$5:$AG$364,0),1)/INDEX(其他调用!AI$5:AI$364,MATCH($K323,其他调用!$AG$5:$AG$364,0),0),1)*INDEX(其他调用!Z$5:Z$404,MATCH($K323,其他调用!$X$5:$X$404,0),0)</f>
        <v>43970.692343597562</v>
      </c>
      <c r="AR323" s="12">
        <f>MIN(INDEX(其他调用!$AL$5:$AL$364,MATCH($K323,其他调用!$AG$5:$AG$364,0),1)/INDEX(其他调用!AJ$5:AJ$364,MATCH($K323,其他调用!$AG$5:$AG$364,0),0),1)*INDEX(其他调用!AA$5:AA$404,MATCH($K323,其他调用!$X$5:$X$404,0),0)</f>
        <v>45497.983746253347</v>
      </c>
      <c r="AS323" s="12">
        <f>MIN(INDEX(其他调用!$AL$5:$AL$364,MATCH($K323,其他调用!$AG$5:$AG$364,0),1)/INDEX(其他调用!AK$5:AK$364,MATCH($K323,其他调用!$AG$5:$AG$364,0),0),1)*INDEX(其他调用!AB$5:AB$404,MATCH($K323,其他调用!$X$5:$X$404,0),0)</f>
        <v>47755.527028438242</v>
      </c>
      <c r="AT323" s="12">
        <f>MIN(INDEX(其他调用!$AL$5:$AL$364,MATCH($K323,其他调用!$AG$5:$AG$364,0),1)/INDEX(其他调用!AL$5:AL$364,MATCH($K323,其他调用!$AG$5:$AG$364,0),0),1)*INDEX(其他调用!AC$5:AC$404,MATCH($K323,其他调用!$X$5:$X$404,0),0)</f>
        <v>51647.5491098087</v>
      </c>
      <c r="AV323" s="14">
        <f>IF(OR(AV$5="大R",AV$5="超R"),MAX(INDEX(其他调用!$H$5:$L$404,MATCH($K323,其他调用!$B$5:$B$404,0),MATCH(AV$5,其他调用!$H$4:$L$4,0))*120*0.85,2),INDEX(其他调用!$H$5:$L$404,MATCH($K323,其他调用!$B$5:$B$404,0),MATCH(AV$5,其他调用!$H$4:$L$4,0))*120*0.85)</f>
        <v>48.921801254999991</v>
      </c>
      <c r="AW323" s="14">
        <f>IF(OR(AW$5="大R",AW$5="超R"),MAX(INDEX(其他调用!$H$5:$L$404,MATCH($K323,其他调用!$B$5:$B$404,0),MATCH(AW$5,其他调用!$H$4:$L$4,0))*120*0.85,2),INDEX(其他调用!$H$5:$L$404,MATCH($K323,其他调用!$B$5:$B$404,0),MATCH(AW$5,其他调用!$H$4:$L$4,0))*120*0.85)</f>
        <v>48.237344010638395</v>
      </c>
      <c r="AX323" s="14">
        <f>IF(OR(AX$5="大R",AX$5="超R"),MAX(INDEX(其他调用!$H$5:$L$404,MATCH($K323,其他调用!$B$5:$B$404,0),MATCH(AX$5,其他调用!$H$4:$L$4,0))*120*0.85,2),INDEX(其他调用!$H$5:$L$404,MATCH($K323,其他调用!$B$5:$B$404,0),MATCH(AX$5,其他调用!$H$4:$L$4,0))*120*0.85)</f>
        <v>3.9376284143615998</v>
      </c>
      <c r="AY323" s="14">
        <f>IF(OR(AY$5="大R",AY$5="超R"),MAX(INDEX(其他调用!$H$5:$L$404,MATCH($K323,其他调用!$B$5:$B$404,0),MATCH(AY$5,其他调用!$H$4:$L$4,0))*120*0.85,2),INDEX(其他调用!$H$5:$L$404,MATCH($K323,其他调用!$B$5:$B$404,0),MATCH(AY$5,其他调用!$H$4:$L$4,0))*120*0.85)</f>
        <v>2</v>
      </c>
      <c r="AZ323" s="14">
        <f>IF(OR(AZ$5="大R",AZ$5="超R"),MAX(INDEX(其他调用!$H$5:$L$404,MATCH($K323,其他调用!$B$5:$B$404,0),MATCH(AZ$5,其他调用!$H$4:$L$4,0))*120*0.85,2),INDEX(其他调用!$H$5:$L$404,MATCH($K323,其他调用!$B$5:$B$404,0),MATCH(AZ$5,其他调用!$H$4:$L$4,0))*120*0.85)</f>
        <v>2</v>
      </c>
      <c r="BA323" s="14">
        <f>INDEX(其他调用!$H$5:$L$404,MATCH($K323,其他调用!$B$5:$B$404,0),MATCH(BA$5,其他调用!$H$4:$L$4,0))*INDEX(其他调用!$M$5:$M$404,MATCH($K323,其他调用!$B$5:$B$404,0))*0.6</f>
        <v>28.777530149999997</v>
      </c>
      <c r="BB323" s="14">
        <f>INDEX(其他调用!$H$5:$L$404,MATCH($K323,其他调用!$B$5:$B$404,0),MATCH(BB$5,其他调用!$H$4:$L$4,0))*INDEX(其他调用!$M$5:$M$404,MATCH($K323,其他调用!$B$5:$B$404,0))*0.6</f>
        <v>28.374908241551999</v>
      </c>
      <c r="BC323" s="14">
        <f>INDEX(其他调用!$H$5:$L$404,MATCH($K323,其他调用!$B$5:$B$404,0),MATCH(BC$5,其他调用!$H$4:$L$4,0))*INDEX(其他调用!$M$5:$M$404,MATCH($K323,其他调用!$B$5:$B$404,0))*0.6</f>
        <v>2.3162520084480001</v>
      </c>
      <c r="BD323" s="14">
        <f>INDEX(其他调用!$H$5:$L$404,MATCH($K323,其他调用!$B$5:$B$404,0),MATCH(BD$5,其他调用!$H$4:$L$4,0))*INDEX(其他调用!$M$5:$M$404,MATCH($K323,其他调用!$B$5:$B$404,0))*0.6</f>
        <v>0.4120776000000001</v>
      </c>
      <c r="BE323" s="14">
        <f>INDEX(其他调用!$H$5:$L$404,MATCH($K323,其他调用!$B$5:$B$404,0),MATCH(BE$5,其他调用!$H$4:$L$4,0))*INDEX(其他调用!$M$5:$M$404,MATCH($K323,其他调用!$B$5:$B$404,0))*0.6</f>
        <v>0.11923199999999998</v>
      </c>
      <c r="BF323" s="14">
        <f>IF(OR(BF$5="大R",BF$5="超R"),0,INDEX(其他调用!$H$5:$L$404,MATCH($K323,其他调用!$B$5:$B$404,0),MATCH(BF$5,其他调用!$H$4:$L$4,0))*50*0.4)</f>
        <v>9.5925100500000013</v>
      </c>
      <c r="BG323" s="14">
        <f>IF(OR(BG$5="大R",BG$5="超R"),0,INDEX(其他调用!$H$5:$L$404,MATCH($K323,其他调用!$B$5:$B$404,0),MATCH(BG$5,其他调用!$H$4:$L$4,0))*50*0.4)</f>
        <v>9.4583027471839998</v>
      </c>
      <c r="BH323" s="14">
        <f>IF(OR(BH$5="大R",BH$5="超R"),0,INDEX(其他调用!$H$5:$L$404,MATCH($K323,其他调用!$B$5:$B$404,0),MATCH(BH$5,其他调用!$H$4:$L$4,0))*50*0.4)</f>
        <v>0.77208400281600009</v>
      </c>
      <c r="BI323" s="14">
        <f>IF(OR(BI$5="大R",BI$5="超R"),0,INDEX(其他调用!$H$5:$L$404,MATCH($K323,其他调用!$B$5:$B$404,0),MATCH(BI$5,其他调用!$H$4:$L$4,0))*50*0.4)</f>
        <v>0</v>
      </c>
      <c r="BJ323" s="14">
        <f>IF(OR(BJ$5="大R",BJ$5="超R"),0,INDEX(其他调用!$H$5:$L$404,MATCH($K323,其他调用!$B$5:$B$404,0),MATCH(BJ$5,其他调用!$H$4:$L$4,0))*50*0.4)</f>
        <v>0</v>
      </c>
      <c r="BL323" s="14">
        <f t="shared" si="523"/>
        <v>318</v>
      </c>
      <c r="BM323" s="14">
        <f t="shared" si="430"/>
        <v>96</v>
      </c>
      <c r="BN323" s="14">
        <f>('疲劳值&amp;地图信息'!$S$10*'疲劳值&amp;地图信息'!$R$10+'疲劳值&amp;地图信息'!$S$11*'疲劳值&amp;地图信息'!$R$11+'疲劳值&amp;地图信息'!$S$12*'疲劳值&amp;地图信息'!$R$12+(BM323-'疲劳值&amp;地图信息'!$S$12-'疲劳值&amp;地图信息'!$S$11-'疲劳值&amp;地图信息'!$S$10)*'疲劳值&amp;地图信息'!$R$13)/BM323</f>
        <v>51.371477246638619</v>
      </c>
      <c r="BO323" s="14">
        <f>INDEX(其他调用!$M$5:$M$404,MATCH(BL323,其他调用!$B$5:$B$404,0))*0.6</f>
        <v>60</v>
      </c>
      <c r="BP323" s="14">
        <f>IF(BO323&gt;SUM('疲劳值&amp;地图信息'!$S$10:$S$12),('疲劳值&amp;地图信息'!$S$10*'疲劳值&amp;地图信息'!$R$10+'疲劳值&amp;地图信息'!$S$11*'疲劳值&amp;地图信息'!$R$11+'疲劳值&amp;地图信息'!$S$12*'疲劳值&amp;地图信息'!$R$12+(BO323-'疲劳值&amp;地图信息'!$S$12-'疲劳值&amp;地图信息'!$S$11-'疲劳值&amp;地图信息'!$S$10)*'疲劳值&amp;地图信息'!$R$13)/BO323,('疲劳值&amp;地图信息'!$S$10*'疲劳值&amp;地图信息'!$R$10+'疲劳值&amp;地图信息'!$S$11*'疲劳值&amp;地图信息'!$R$11+'疲劳值&amp;地图信息'!$S$12*'疲劳值&amp;地图信息'!$R$12+(BO323-'疲劳值&amp;地图信息'!$S$12-'疲劳值&amp;地图信息'!$S$11-'疲劳值&amp;地图信息'!$S$10)*'疲劳值&amp;地图信息'!$R$13)/BO323)</f>
        <v>44.158136341605953</v>
      </c>
      <c r="BQ323" s="14">
        <f t="shared" si="524"/>
        <v>20</v>
      </c>
      <c r="BR323" s="14">
        <f>('疲劳值&amp;地图信息'!$S$10*'疲劳值&amp;地图信息'!$R$10+($BQ323-'疲劳值&amp;地图信息'!$S$10)*'疲劳值&amp;地图信息'!$R$11)/$BQ323</f>
        <v>32.067203015074995</v>
      </c>
      <c r="CF323" s="14">
        <v>318</v>
      </c>
      <c r="CG323" s="51">
        <f t="shared" si="431"/>
        <v>16400</v>
      </c>
      <c r="CH323" s="51">
        <f t="shared" si="432"/>
        <v>1071</v>
      </c>
      <c r="CI323" s="51">
        <f>INT(SUMPRODUCT($N323:$R323,$BA323:$BE323)/SUM($BA323:$BE323)/10000*$BX$7*$BZ$34/'疲劳值&amp;地图信息'!$R$10*$BY$53)</f>
        <v>3372</v>
      </c>
      <c r="CJ323" s="50">
        <f t="shared" si="433"/>
        <v>0.78683490860240846</v>
      </c>
      <c r="CK323" s="50">
        <f t="shared" si="434"/>
        <v>5.1384157750803627E-2</v>
      </c>
      <c r="CL323" s="50">
        <f t="shared" si="435"/>
        <v>0.16178093364678789</v>
      </c>
      <c r="CM323" s="14">
        <f t="shared" si="436"/>
        <v>17986</v>
      </c>
      <c r="CN323" s="14">
        <f t="shared" si="437"/>
        <v>1845</v>
      </c>
      <c r="CO323" s="14">
        <f>INT(SUMPRODUCT($U323:$Y323,$BA323:$BE323)/SUM($BA323:$BE323)/10000*$BX$7*$BZ$34/'疲劳值&amp;地图信息'!$R$10*$BY$54)</f>
        <v>6454</v>
      </c>
      <c r="CP323" s="50">
        <f t="shared" si="438"/>
        <v>0.68426859425527864</v>
      </c>
      <c r="CQ323" s="50">
        <f t="shared" si="439"/>
        <v>7.0192124785999621E-2</v>
      </c>
      <c r="CR323" s="50">
        <f t="shared" si="440"/>
        <v>0.24553928095872171</v>
      </c>
      <c r="CS323" s="14">
        <f t="shared" si="441"/>
        <v>19605</v>
      </c>
      <c r="CT323" s="14">
        <f t="shared" si="442"/>
        <v>3245</v>
      </c>
      <c r="CU323" s="14">
        <f>INT(SUMPRODUCT($AB323:$AF323,$BA323:$BE323)/SUM($BA323:$BE323)/10000*$BX$7*$BZ$34/'疲劳值&amp;地图信息'!$R$10*$BY$55)</f>
        <v>8772</v>
      </c>
      <c r="CV323" s="50">
        <f t="shared" si="443"/>
        <v>0.61997976092593765</v>
      </c>
      <c r="CW323" s="50">
        <f t="shared" si="444"/>
        <v>0.10261843020681803</v>
      </c>
      <c r="CX323" s="50">
        <f t="shared" si="445"/>
        <v>0.2774018088672443</v>
      </c>
      <c r="CY323" s="14">
        <f t="shared" si="446"/>
        <v>23544</v>
      </c>
      <c r="CZ323" s="14">
        <f t="shared" si="447"/>
        <v>8783</v>
      </c>
      <c r="DA323" s="14">
        <f>INT(SUMPRODUCT($AI323:$AM323,$BA323:$BE323)/SUM($BA323:$BE323)/10000*$BX$7*$BZ$34/'疲劳值&amp;地图信息'!$R$10*$BY$56)</f>
        <v>13232</v>
      </c>
      <c r="DB323" s="50">
        <f t="shared" si="448"/>
        <v>0.51678043855220701</v>
      </c>
      <c r="DC323" s="50">
        <f t="shared" si="449"/>
        <v>0.19278298470115673</v>
      </c>
      <c r="DD323" s="50">
        <f t="shared" si="450"/>
        <v>0.29043657674663625</v>
      </c>
      <c r="DE323" s="14">
        <f t="shared" si="451"/>
        <v>24415</v>
      </c>
      <c r="DF323" s="14">
        <f t="shared" si="452"/>
        <v>15658</v>
      </c>
      <c r="DG323" s="14">
        <f>INT(SUMPRODUCT($AP323:$AT323,$BA323:$BE323)/SUM($BA323:$BE323)/10000*$BX$7*$BZ$34/'疲劳值&amp;地图信息'!$R$10*$BY$57)</f>
        <v>17661</v>
      </c>
      <c r="DH323" s="50">
        <f t="shared" si="453"/>
        <v>0.42288772646967127</v>
      </c>
      <c r="DI323" s="50">
        <f t="shared" si="454"/>
        <v>0.27120933938407177</v>
      </c>
      <c r="DJ323" s="50">
        <f t="shared" si="455"/>
        <v>0.30590293414625697</v>
      </c>
      <c r="DL323" s="14">
        <f t="shared" si="526"/>
        <v>20843</v>
      </c>
      <c r="DM323" s="14">
        <f t="shared" si="527"/>
        <v>26285</v>
      </c>
      <c r="DN323" s="14">
        <f t="shared" si="528"/>
        <v>31622</v>
      </c>
      <c r="DO323" s="14">
        <f t="shared" si="529"/>
        <v>45559</v>
      </c>
      <c r="DP323" s="14">
        <f t="shared" si="530"/>
        <v>57734</v>
      </c>
      <c r="DQ323" s="14">
        <f t="shared" si="531"/>
        <v>1444546</v>
      </c>
      <c r="DT323" s="14">
        <f t="shared" si="525"/>
        <v>235575</v>
      </c>
      <c r="DU323" s="50">
        <f t="shared" si="427"/>
        <v>0.14021311560298336</v>
      </c>
      <c r="DW323" s="14">
        <f t="shared" si="456"/>
        <v>1680121</v>
      </c>
      <c r="EB323" s="14">
        <v>318</v>
      </c>
      <c r="EC323" s="51">
        <f t="shared" si="457"/>
        <v>27334</v>
      </c>
      <c r="ED323" s="51">
        <f t="shared" si="458"/>
        <v>1786</v>
      </c>
      <c r="EE323" s="51">
        <f>INT(SUMPRODUCT($N323:$R323,$BF323:$BJ323)/SUM($BF323:$BJ323)/10000*$BX$7*$BZ$46/'疲劳值&amp;地图信息'!$R$10*$BY$53)</f>
        <v>453</v>
      </c>
      <c r="EF323" s="50">
        <f t="shared" si="459"/>
        <v>0.92428904744192342</v>
      </c>
      <c r="EG323" s="50">
        <f t="shared" si="460"/>
        <v>6.0392925979778855E-2</v>
      </c>
      <c r="EH323" s="50">
        <f t="shared" si="461"/>
        <v>1.5318026578297771E-2</v>
      </c>
      <c r="EI323" s="51">
        <f t="shared" si="462"/>
        <v>29978</v>
      </c>
      <c r="EJ323" s="51">
        <f t="shared" si="463"/>
        <v>3076</v>
      </c>
      <c r="EK323" s="14">
        <f>INT(SUMPRODUCT($U323:$Y323,$BF323:$BJ323)/SUM($BF323:$BJ323)/10000*$BX$7*$BZ$46/'疲劳值&amp;地图信息'!$R$10*$BY$54)</f>
        <v>866</v>
      </c>
      <c r="EL323" s="50">
        <f t="shared" si="464"/>
        <v>0.88378537735849061</v>
      </c>
      <c r="EM323" s="50">
        <f t="shared" si="465"/>
        <v>9.0683962264150944E-2</v>
      </c>
      <c r="EN323" s="50">
        <f t="shared" si="466"/>
        <v>2.5530660377358492E-2</v>
      </c>
      <c r="EO323" s="51">
        <f t="shared" si="467"/>
        <v>32675</v>
      </c>
      <c r="EP323" s="51">
        <f t="shared" si="468"/>
        <v>5409</v>
      </c>
      <c r="EQ323" s="14">
        <f>INT(SUMPRODUCT($AB323:$AF323,$BF323:$BJ323)/SUM($BF323:$BJ323)/10000*$BX$7*$BZ$46/'疲劳值&amp;地图信息'!$R$10*$BY$55)</f>
        <v>1176</v>
      </c>
      <c r="ER323" s="50">
        <f t="shared" si="469"/>
        <v>0.83227203260315841</v>
      </c>
      <c r="ES323" s="50">
        <f t="shared" si="470"/>
        <v>0.13777381558838511</v>
      </c>
      <c r="ET323" s="50">
        <f t="shared" si="471"/>
        <v>2.9954151808456446E-2</v>
      </c>
      <c r="EU323" s="51">
        <f t="shared" si="472"/>
        <v>39240</v>
      </c>
      <c r="EV323" s="51">
        <f t="shared" si="473"/>
        <v>14639</v>
      </c>
      <c r="EW323" s="14">
        <f>INT(SUMPRODUCT($AI323:$AM323,$BF323:$BJ323)/SUM($BF323:$BJ323)/10000*$BX$7*$BZ$46/'疲劳值&amp;地图信息'!$R$10*$BY$56)</f>
        <v>1764</v>
      </c>
      <c r="EX323" s="50">
        <f t="shared" si="474"/>
        <v>0.70520999946084861</v>
      </c>
      <c r="EY323" s="50">
        <f t="shared" si="475"/>
        <v>0.26308789964595725</v>
      </c>
      <c r="EZ323" s="50">
        <f t="shared" si="476"/>
        <v>3.1702100893194113E-2</v>
      </c>
      <c r="FA323" s="51">
        <f t="shared" si="477"/>
        <v>40692</v>
      </c>
      <c r="FB323" s="51">
        <f t="shared" si="478"/>
        <v>26097</v>
      </c>
      <c r="FC323" s="14">
        <f>INT(SUMPRODUCT($AP323:$AT323,$BF323:$BJ323)/SUM($BF323:$BJ323)/10000*$BX$7*$BZ$46/'疲劳值&amp;地图信息'!$R$10*$BY$57)</f>
        <v>2352</v>
      </c>
      <c r="FD323" s="50">
        <f t="shared" si="479"/>
        <v>0.58853646895474465</v>
      </c>
      <c r="FE323" s="50">
        <f t="shared" si="480"/>
        <v>0.37744608842799499</v>
      </c>
      <c r="FF323" s="50">
        <f t="shared" si="481"/>
        <v>3.4017442617260384E-2</v>
      </c>
      <c r="FH323" s="14">
        <f t="shared" si="482"/>
        <v>29573</v>
      </c>
      <c r="FI323" s="14">
        <f t="shared" si="483"/>
        <v>33920</v>
      </c>
      <c r="FJ323" s="14">
        <f t="shared" si="484"/>
        <v>39260</v>
      </c>
      <c r="FK323" s="14">
        <f t="shared" si="485"/>
        <v>55643</v>
      </c>
      <c r="FL323" s="14">
        <f t="shared" si="486"/>
        <v>69141</v>
      </c>
      <c r="FM323" s="14">
        <f t="shared" si="487"/>
        <v>3487134</v>
      </c>
      <c r="FP323" s="14">
        <f t="shared" si="488"/>
        <v>334150</v>
      </c>
      <c r="FQ323" s="50">
        <f t="shared" si="428"/>
        <v>8.7444429673376803E-2</v>
      </c>
      <c r="FS323" s="14">
        <f t="shared" si="489"/>
        <v>3821284</v>
      </c>
      <c r="FX323" s="14">
        <v>318</v>
      </c>
      <c r="FY323" s="51">
        <f t="shared" si="490"/>
        <v>38268</v>
      </c>
      <c r="FZ323" s="51">
        <f t="shared" si="491"/>
        <v>1786</v>
      </c>
      <c r="GA323" s="51">
        <f>INT(SUMPRODUCT($N323:$R323,$BF323:$BJ323)/SUM($BF323:$BJ323)/10000*$BX$7*$BZ$46/'疲劳值&amp;地图信息'!$R$10*$BY$53)</f>
        <v>453</v>
      </c>
      <c r="GB323" s="50">
        <f t="shared" si="492"/>
        <v>0.94472560298220065</v>
      </c>
      <c r="GC323" s="50">
        <f t="shared" si="493"/>
        <v>4.4091144740415235E-2</v>
      </c>
      <c r="GD323" s="50">
        <f t="shared" si="494"/>
        <v>1.1183252277384155E-2</v>
      </c>
      <c r="GE323" s="51">
        <f t="shared" si="495"/>
        <v>41969</v>
      </c>
      <c r="GF323" s="51">
        <f t="shared" si="496"/>
        <v>3076</v>
      </c>
      <c r="GG323" s="14">
        <f>INT(SUMPRODUCT($U323:$Y323,$BF323:$BJ323)/SUM($BF323:$BJ323)/10000*$BX$7*$BZ$46/'疲劳值&amp;地图信息'!$R$10*$BY$54)</f>
        <v>866</v>
      </c>
      <c r="GH323" s="50">
        <f t="shared" si="497"/>
        <v>0.91413822395504341</v>
      </c>
      <c r="GI323" s="50">
        <f t="shared" si="498"/>
        <v>6.6999194092918907E-2</v>
      </c>
      <c r="GJ323" s="50">
        <f t="shared" si="499"/>
        <v>1.8862581952037639E-2</v>
      </c>
      <c r="GK323" s="51">
        <f t="shared" si="500"/>
        <v>45746</v>
      </c>
      <c r="GL323" s="51">
        <f t="shared" si="501"/>
        <v>5409</v>
      </c>
      <c r="GM323" s="14">
        <f>INT(SUMPRODUCT($AB323:$AF323,$BF323:$BJ323)/SUM($BF323:$BJ323)/10000*$BX$7*$BZ$46/'疲劳值&amp;地图信息'!$R$10*$BY$55)</f>
        <v>1176</v>
      </c>
      <c r="GN323" s="50">
        <f t="shared" si="502"/>
        <v>0.87416636410540594</v>
      </c>
      <c r="GO323" s="50">
        <f t="shared" si="503"/>
        <v>0.10336129636353213</v>
      </c>
      <c r="GP323" s="50">
        <f t="shared" si="504"/>
        <v>2.2472339531061893E-2</v>
      </c>
      <c r="GQ323" s="51">
        <f t="shared" si="505"/>
        <v>54936</v>
      </c>
      <c r="GR323" s="51">
        <f t="shared" si="506"/>
        <v>14639</v>
      </c>
      <c r="GS323" s="14">
        <f>INT(SUMPRODUCT($AI323:$AM323,$BF323:$BJ323)/SUM($BF323:$BJ323)/10000*$BX$7*$BZ$46/'疲劳值&amp;地图信息'!$R$10*$BY$56)</f>
        <v>1764</v>
      </c>
      <c r="GT323" s="50">
        <f t="shared" si="507"/>
        <v>0.77006966736287308</v>
      </c>
      <c r="GU323" s="50">
        <f t="shared" si="508"/>
        <v>0.20520332496951177</v>
      </c>
      <c r="GV323" s="50">
        <f t="shared" si="509"/>
        <v>2.4727007667615191E-2</v>
      </c>
      <c r="GW323" s="51">
        <f t="shared" si="510"/>
        <v>56969</v>
      </c>
      <c r="GX323" s="51">
        <f t="shared" si="511"/>
        <v>26097</v>
      </c>
      <c r="GY323" s="14">
        <f>INT(SUMPRODUCT($AP323:$AT323,$BF323:$BJ323)/SUM($BF323:$BJ323)/10000*$BX$7*$BZ$46/'疲劳值&amp;地图信息'!$R$10*$BY$57)</f>
        <v>2352</v>
      </c>
      <c r="GZ323" s="50">
        <f t="shared" si="512"/>
        <v>0.66694373551242125</v>
      </c>
      <c r="HA323" s="50">
        <f t="shared" si="513"/>
        <v>0.30552108454892413</v>
      </c>
      <c r="HB323" s="50">
        <f t="shared" si="514"/>
        <v>2.7535179938654616E-2</v>
      </c>
      <c r="HD323" s="14">
        <f t="shared" si="515"/>
        <v>40507</v>
      </c>
      <c r="HE323" s="14">
        <f t="shared" si="516"/>
        <v>45911</v>
      </c>
      <c r="HF323" s="14">
        <f t="shared" si="517"/>
        <v>52331</v>
      </c>
      <c r="HG323" s="14">
        <f t="shared" si="518"/>
        <v>71339</v>
      </c>
      <c r="HH323" s="14">
        <f t="shared" si="519"/>
        <v>85418</v>
      </c>
      <c r="HI323" s="14">
        <f t="shared" si="520"/>
        <v>4715874</v>
      </c>
      <c r="HL323" s="14">
        <f t="shared" si="521"/>
        <v>430050</v>
      </c>
      <c r="HM323" s="50">
        <f t="shared" si="429"/>
        <v>8.3570997162025706E-2</v>
      </c>
      <c r="HO323" s="14">
        <f t="shared" si="522"/>
        <v>5145924</v>
      </c>
    </row>
    <row r="324" spans="11:223" x14ac:dyDescent="0.2">
      <c r="K324" s="14">
        <v>319</v>
      </c>
      <c r="L324" s="12">
        <f>求节点(节奏总纲!D$4:D$163,标准城池设计!AB$4:AB$163,$K324)*求节点(节奏总纲!D$4:D$163,攻城基础信息!$AC$5:$AC$164,$K324)</f>
        <v>805821.86517614999</v>
      </c>
      <c r="M324" s="12">
        <f>INDEX(其他调用!$AA$5:$AA$404,MATCH(K324,其他调用!$X$5:$X$404,0))*MIN(INDEX(其他调用!$AH$5:$AH$364,MATCH('征服点（新）'!K324,其他调用!$AG$5:$AG$364,0),1)/INDEX(其他调用!$AJ$5:$AJ$364,MATCH(K324,其他调用!$AG$5:$AG$364,0),0),5)*求节点(节奏总纲!D$4:D$163,攻城基础信息!$AC$5:$AC$164,$K324)</f>
        <v>52521.026606701067</v>
      </c>
      <c r="N324" s="12">
        <f>MIN(INDEX(其他调用!$AH$5:$AH$364,MATCH($K324,其他调用!$AG$5:$AG$364,0),1)/INDEX(其他调用!AH$5:AH$364,MATCH($K324,其他调用!$AG$5:$AG$364,0),0),1)*INDEX(其他调用!Y$5:Y$404,MATCH($K324,其他调用!$X$5:$X$404,0),0)</f>
        <v>42829.487795671805</v>
      </c>
      <c r="O324" s="12">
        <f>MIN(INDEX(其他调用!$AH$5:$AH$364,MATCH($K324,其他调用!$AG$5:$AG$364,0),1)/INDEX(其他调用!AI$5:AI$364,MATCH($K324,其他调用!$AG$5:$AG$364,0),0),1)*INDEX(其他调用!Z$5:Z$404,MATCH($K324,其他调用!$X$5:$X$404,0),0)</f>
        <v>25524.638908949484</v>
      </c>
      <c r="P324" s="12">
        <f>MIN(INDEX(其他调用!$AH$5:$AH$364,MATCH($K324,其他调用!$AG$5:$AG$364,0),1)/INDEX(其他调用!AJ$5:AJ$364,MATCH($K324,其他调用!$AG$5:$AG$364,0),0),1)*INDEX(其他调用!AA$5:AA$404,MATCH($K324,其他调用!$X$5:$X$404,0),0)</f>
        <v>15006.0076019146</v>
      </c>
      <c r="Q324" s="12">
        <f>MIN(INDEX(其他调用!$AH$5:$AH$364,MATCH($K324,其他调用!$AG$5:$AG$364,0),1)/INDEX(其他调用!AK$5:AK$364,MATCH($K324,其他调用!$AG$5:$AG$364,0),0),1)*INDEX(其他调用!AB$5:AB$404,MATCH($K324,其他调用!$X$5:$X$404,0),0)</f>
        <v>5830.5533376863623</v>
      </c>
      <c r="R324" s="12">
        <f>MIN(INDEX(其他调用!$AH$5:$AH$364,MATCH($K324,其他调用!$AG$5:$AG$364,0),1)/INDEX(其他调用!AL$5:AL$364,MATCH($K324,其他调用!$AG$5:$AG$364,0),0),1)*INDEX(其他调用!AC$5:AC$404,MATCH($K324,其他调用!$X$5:$X$404,0),0)</f>
        <v>3542.8245928831197</v>
      </c>
      <c r="S324" s="12">
        <f>求节点(节奏总纲!D$4:D$163,标准城池设计!AC$4:AC$163,$K324)*求节点(节奏总纲!D$4:D$163,攻城基础信息!$AD$5:$AD$164,$K324)</f>
        <v>883737.7367413895</v>
      </c>
      <c r="T324" s="12">
        <f>INDEX(其他调用!$AA$5:$AA$404,MATCH($K324,其他调用!$X$5:$X$404,0))*MIN(INDEX(其他调用!AI$5:AI$364,MATCH($K324,其他调用!$AG$5:$AG$364,0),1)/INDEX(其他调用!$AJ$5:$AJ$364,MATCH($K324,其他调用!$AG$5:$AG$364,0),0),5)*求节点(节奏总纲!D$4:D$163,攻城基础信息!$AD$5:$AD$164,$K324)</f>
        <v>90513.478091420518</v>
      </c>
      <c r="U324" s="12">
        <f>MIN(INDEX(其他调用!$AI$5:$AI$364,MATCH($K324,其他调用!$AG$5:$AG$364,0),1)/INDEX(其他调用!AH$5:AH$364,MATCH($K324,其他调用!$AG$5:$AG$364,0),0),1)*INDEX(其他调用!Y$5:Y$404,MATCH($K324,其他调用!$X$5:$X$404,0),0)</f>
        <v>42829.487795671805</v>
      </c>
      <c r="V324" s="12">
        <f>MIN(INDEX(其他调用!$AI$5:$AI$364,MATCH($K324,其他调用!$AG$5:$AG$364,0),1)/INDEX(其他调用!AI$5:AI$364,MATCH($K324,其他调用!$AG$5:$AG$364,0),0),1)*INDEX(其他调用!Z$5:Z$404,MATCH($K324,其他调用!$X$5:$X$404,0),0)</f>
        <v>43988.550756581142</v>
      </c>
      <c r="W324" s="12">
        <f>MIN(INDEX(其他调用!$AI$5:$AI$364,MATCH($K324,其他调用!$AG$5:$AG$364,0),1)/INDEX(其他调用!AJ$5:AJ$364,MATCH($K324,其他调用!$AG$5:$AG$364,0),0),1)*INDEX(其他调用!AA$5:AA$404,MATCH($K324,其他调用!$X$5:$X$404,0),0)</f>
        <v>25860.99374040588</v>
      </c>
      <c r="X324" s="12">
        <f>MIN(INDEX(其他调用!$AI$5:$AI$364,MATCH($K324,其他调用!$AG$5:$AG$364,0),1)/INDEX(其他调用!AK$5:AK$364,MATCH($K324,其他调用!$AG$5:$AG$364,0),0),1)*INDEX(其他调用!AB$5:AB$404,MATCH($K324,其他调用!$X$5:$X$404,0),0)</f>
        <v>10048.235837876773</v>
      </c>
      <c r="Y324" s="12">
        <f>MIN(INDEX(其他调用!$AI$5:$AI$364,MATCH($K324,其他调用!$AG$5:$AG$364,0),1)/INDEX(其他调用!AL$5:AL$364,MATCH($K324,其他调用!$AG$5:$AG$364,0),0),1)*INDEX(其他调用!AC$5:AC$404,MATCH($K324,其他调用!$X$5:$X$404,0),0)</f>
        <v>6105.6189661143799</v>
      </c>
      <c r="Z324" s="12">
        <f>求节点(节奏总纲!D$4:D$163,标准城池设计!AD$4:AD$163,$K324)*求节点(节奏总纲!D$4:D$163,攻城基础信息!$AE$5:$AE$164,$K324)</f>
        <v>963241.2229414304</v>
      </c>
      <c r="AA324" s="12">
        <f>INDEX(其他调用!$AA$5:$AA$404,MATCH($K324,其他调用!$X$5:$X$404,0))*MIN(INDEX(其他调用!AJ$5:AJ$364,MATCH($K324,其他调用!$AG$5:$AG$364,0),1)/INDEX(其他调用!$AJ$5:$AJ$364,MATCH($K324,其他调用!$AG$5:$AG$364,0),0),5)*求节点(节奏总纲!D$4:D$163,攻城基础信息!$AE$5:$AE$164,$K324)</f>
        <v>159307.65248886793</v>
      </c>
      <c r="AB324" s="12">
        <f>MIN(INDEX(其他调用!$AJ$5:$AJ$364,MATCH($K324,其他调用!$AG$5:$AG$364,0),1)/INDEX(其他调用!AH$5:AH$364,MATCH($K324,其他调用!$AG$5:$AG$364,0),0),1)*INDEX(其他调用!Y$5:Y$404,MATCH($K324,其他调用!$X$5:$X$404,0),0)</f>
        <v>42829.487795671805</v>
      </c>
      <c r="AC324" s="12">
        <f>MIN(INDEX(其他调用!$AJ$5:$AJ$364,MATCH($K324,其他调用!$AG$5:$AG$364,0),1)/INDEX(其他调用!AI$5:AI$364,MATCH($K324,其他调用!$AG$5:$AG$364,0),0),1)*INDEX(其他调用!Z$5:Z$404,MATCH($K324,其他调用!$X$5:$X$404,0),0)</f>
        <v>43988.550756581142</v>
      </c>
      <c r="AD324" s="12">
        <f>MIN(INDEX(其他调用!$AJ$5:$AJ$364,MATCH($K324,其他调用!$AG$5:$AG$364,0),1)/INDEX(其他调用!AJ$5:AJ$364,MATCH($K324,其他调用!$AG$5:$AG$364,0),0),1)*INDEX(其他调用!AA$5:AA$404,MATCH($K324,其他调用!$X$5:$X$404,0),0)</f>
        <v>45516.472139676582</v>
      </c>
      <c r="AE324" s="12">
        <f>MIN(INDEX(其他调用!$AJ$5:$AJ$364,MATCH($K324,其他调用!$AG$5:$AG$364,0),1)/INDEX(其他调用!AK$5:AK$364,MATCH($K324,其他调用!$AG$5:$AG$364,0),0),1)*INDEX(其他调用!AB$5:AB$404,MATCH($K324,其他调用!$X$5:$X$404,0),0)</f>
        <v>17685.331474831404</v>
      </c>
      <c r="AF324" s="12">
        <f>MIN(INDEX(其他调用!$AJ$5:$AJ$364,MATCH($K324,其他调用!$AG$5:$AG$364,0),1)/INDEX(其他调用!AL$5:AL$364,MATCH($K324,其他调用!$AG$5:$AG$364,0),0),1)*INDEX(其他调用!AC$5:AC$404,MATCH($K324,其他调用!$X$5:$X$404,0),0)</f>
        <v>10746.15455060485</v>
      </c>
      <c r="AG324" s="12">
        <f>求节点(节奏总纲!D$4:D$163,标准城池设计!AE$4:AE$163,$K324)*求节点(节奏总纲!D$4:D$163,攻城基础信息!$AF$5:$AF$164,$K324)</f>
        <v>1156342.3978904078</v>
      </c>
      <c r="AH324" s="12">
        <f>INDEX(其他调用!$AA$5:$AA$404,MATCH($K324,其他调用!$X$5:$X$404,0))*MIN(INDEX(其他调用!AK$5:AK$364,MATCH($K324,其他调用!$AG$5:$AG$364,0),1)/INDEX(其他调用!$AJ$5:$AJ$364,MATCH($K324,其他调用!$AG$5:$AG$364,0),0),5)*求节点(节奏总纲!D$4:D$163,攻城基础信息!$AF$5:$AF$164,$K324)</f>
        <v>430339.31956898986</v>
      </c>
      <c r="AI324" s="12">
        <f>MIN(INDEX(其他调用!$AK$5:$AK$364,MATCH($K324,其他调用!$AG$5:$AG$364,0),1)/INDEX(其他调用!AH$5:AH$364,MATCH($K324,其他调用!$AG$5:$AG$364,0),0),1)*INDEX(其他调用!Y$5:Y$404,MATCH($K324,其他调用!$X$5:$X$404,0),0)</f>
        <v>42829.487795671805</v>
      </c>
      <c r="AJ324" s="12">
        <f>MIN(INDEX(其他调用!$AK$5:$AK$364,MATCH($K324,其他调用!$AG$5:$AG$364,0),1)/INDEX(其他调用!AI$5:AI$364,MATCH($K324,其他调用!$AG$5:$AG$364,0),0),1)*INDEX(其他调用!Z$5:Z$404,MATCH($K324,其他调用!$X$5:$X$404,0),0)</f>
        <v>43988.550756581142</v>
      </c>
      <c r="AK324" s="12">
        <f>MIN(INDEX(其他调用!$AK$5:$AK$364,MATCH($K324,其他调用!$AG$5:$AG$364,0),1)/INDEX(其他调用!AJ$5:AJ$364,MATCH($K324,其他调用!$AG$5:$AG$364,0),0),1)*INDEX(其他调用!AA$5:AA$404,MATCH($K324,其他调用!$X$5:$X$404,0),0)</f>
        <v>45516.472139676582</v>
      </c>
      <c r="AL324" s="12">
        <f>MIN(INDEX(其他调用!$AK$5:$AK$364,MATCH($K324,其他调用!$AG$5:$AG$364,0),1)/INDEX(其他调用!AK$5:AK$364,MATCH($K324,其他调用!$AG$5:$AG$364,0),0),1)*INDEX(其他调用!AB$5:AB$404,MATCH($K324,其他调用!$X$5:$X$404,0),0)</f>
        <v>47773.55886129076</v>
      </c>
      <c r="AM324" s="12">
        <f>MIN(INDEX(其他调用!$AK$5:$AK$364,MATCH($K324,其他调用!$AG$5:$AG$364,0),1)/INDEX(其他调用!AL$5:AL$364,MATCH($K324,其他调用!$AG$5:$AG$364,0),0),1)*INDEX(其他调用!AC$5:AC$404,MATCH($K324,其他调用!$X$5:$X$404,0),0)</f>
        <v>29028.692376304043</v>
      </c>
      <c r="AN324" s="12">
        <f>求节点(节奏总纲!D$4:D$163,标准城池设计!AF$4:AF$163,$K324)*求节点(节奏总纲!D$4:D$163,攻城基础信息!$AG$5:$AG$164,$K324)</f>
        <v>1198813.957712638</v>
      </c>
      <c r="AO324" s="12">
        <f>INDEX(其他调用!$AA$5:$AA$404,MATCH($K324,其他调用!$X$5:$X$404,0))*MIN(INDEX(其他调用!AL$5:AL$364,MATCH($K324,其他调用!$AG$5:$AG$364,0),1)/INDEX(其他调用!$AJ$5:$AJ$364,MATCH($K324,其他调用!$AG$5:$AG$364,0),0),5)*求节点(节奏总纲!D$4:D$163,攻城基础信息!$AG$5:$AG$164,$K324)</f>
        <v>765925.09896482807</v>
      </c>
      <c r="AP324" s="12">
        <f>MIN(INDEX(其他调用!$AL$5:$AL$364,MATCH($K324,其他调用!$AG$5:$AG$364,0),1)/INDEX(其他调用!AH$5:AH$364,MATCH($K324,其他调用!$AG$5:$AG$364,0),0),1)*INDEX(其他调用!Y$5:Y$404,MATCH($K324,其他调用!$X$5:$X$404,0),0)</f>
        <v>42829.487795671805</v>
      </c>
      <c r="AQ324" s="12">
        <f>MIN(INDEX(其他调用!$AL$5:$AL$364,MATCH($K324,其他调用!$AG$5:$AG$364,0),1)/INDEX(其他调用!AI$5:AI$364,MATCH($K324,其他调用!$AG$5:$AG$364,0),0),1)*INDEX(其他调用!Z$5:Z$404,MATCH($K324,其他调用!$X$5:$X$404,0),0)</f>
        <v>43988.550756581142</v>
      </c>
      <c r="AR324" s="12">
        <f>MIN(INDEX(其他调用!$AL$5:$AL$364,MATCH($K324,其他调用!$AG$5:$AG$364,0),1)/INDEX(其他调用!AJ$5:AJ$364,MATCH($K324,其他调用!$AG$5:$AG$364,0),0),1)*INDEX(其他调用!AA$5:AA$404,MATCH($K324,其他调用!$X$5:$X$404,0),0)</f>
        <v>45516.472139676582</v>
      </c>
      <c r="AS324" s="12">
        <f>MIN(INDEX(其他调用!$AL$5:$AL$364,MATCH($K324,其他调用!$AG$5:$AG$364,0),1)/INDEX(其他调用!AK$5:AK$364,MATCH($K324,其他调用!$AG$5:$AG$364,0),0),1)*INDEX(其他调用!AB$5:AB$404,MATCH($K324,其他调用!$X$5:$X$404,0),0)</f>
        <v>47773.55886129076</v>
      </c>
      <c r="AT324" s="12">
        <f>MIN(INDEX(其他调用!$AL$5:$AL$364,MATCH($K324,其他调用!$AG$5:$AG$364,0),1)/INDEX(其他调用!AL$5:AL$364,MATCH($K324,其他调用!$AG$5:$AG$364,0),0),1)*INDEX(其他调用!AC$5:AC$404,MATCH($K324,其他调用!$X$5:$X$404,0),0)</f>
        <v>51665.750885623675</v>
      </c>
      <c r="AV324" s="14">
        <f>IF(OR(AV$5="大R",AV$5="超R"),MAX(INDEX(其他调用!$H$5:$L$404,MATCH($K324,其他调用!$B$5:$B$404,0),MATCH(AV$5,其他调用!$H$4:$L$4,0))*120*0.85,2),INDEX(其他调用!$H$5:$L$404,MATCH($K324,其他调用!$B$5:$B$404,0),MATCH(AV$5,其他调用!$H$4:$L$4,0))*120*0.85)</f>
        <v>48.921801254999991</v>
      </c>
      <c r="AW324" s="14">
        <f>IF(OR(AW$5="大R",AW$5="超R"),MAX(INDEX(其他调用!$H$5:$L$404,MATCH($K324,其他调用!$B$5:$B$404,0),MATCH(AW$5,其他调用!$H$4:$L$4,0))*120*0.85,2),INDEX(其他调用!$H$5:$L$404,MATCH($K324,其他调用!$B$5:$B$404,0),MATCH(AW$5,其他调用!$H$4:$L$4,0))*120*0.85)</f>
        <v>48.237344010638395</v>
      </c>
      <c r="AX324" s="14">
        <f>IF(OR(AX$5="大R",AX$5="超R"),MAX(INDEX(其他调用!$H$5:$L$404,MATCH($K324,其他调用!$B$5:$B$404,0),MATCH(AX$5,其他调用!$H$4:$L$4,0))*120*0.85,2),INDEX(其他调用!$H$5:$L$404,MATCH($K324,其他调用!$B$5:$B$404,0),MATCH(AX$5,其他调用!$H$4:$L$4,0))*120*0.85)</f>
        <v>3.9376284143615998</v>
      </c>
      <c r="AY324" s="14">
        <f>IF(OR(AY$5="大R",AY$5="超R"),MAX(INDEX(其他调用!$H$5:$L$404,MATCH($K324,其他调用!$B$5:$B$404,0),MATCH(AY$5,其他调用!$H$4:$L$4,0))*120*0.85,2),INDEX(其他调用!$H$5:$L$404,MATCH($K324,其他调用!$B$5:$B$404,0),MATCH(AY$5,其他调用!$H$4:$L$4,0))*120*0.85)</f>
        <v>2</v>
      </c>
      <c r="AZ324" s="14">
        <f>IF(OR(AZ$5="大R",AZ$5="超R"),MAX(INDEX(其他调用!$H$5:$L$404,MATCH($K324,其他调用!$B$5:$B$404,0),MATCH(AZ$5,其他调用!$H$4:$L$4,0))*120*0.85,2),INDEX(其他调用!$H$5:$L$404,MATCH($K324,其他调用!$B$5:$B$404,0),MATCH(AZ$5,其他调用!$H$4:$L$4,0))*120*0.85)</f>
        <v>2</v>
      </c>
      <c r="BA324" s="14">
        <f>INDEX(其他调用!$H$5:$L$404,MATCH($K324,其他调用!$B$5:$B$404,0),MATCH(BA$5,其他调用!$H$4:$L$4,0))*INDEX(其他调用!$M$5:$M$404,MATCH($K324,其他调用!$B$5:$B$404,0))*0.6</f>
        <v>28.777530149999997</v>
      </c>
      <c r="BB324" s="14">
        <f>INDEX(其他调用!$H$5:$L$404,MATCH($K324,其他调用!$B$5:$B$404,0),MATCH(BB$5,其他调用!$H$4:$L$4,0))*INDEX(其他调用!$M$5:$M$404,MATCH($K324,其他调用!$B$5:$B$404,0))*0.6</f>
        <v>28.374908241551999</v>
      </c>
      <c r="BC324" s="14">
        <f>INDEX(其他调用!$H$5:$L$404,MATCH($K324,其他调用!$B$5:$B$404,0),MATCH(BC$5,其他调用!$H$4:$L$4,0))*INDEX(其他调用!$M$5:$M$404,MATCH($K324,其他调用!$B$5:$B$404,0))*0.6</f>
        <v>2.3162520084480001</v>
      </c>
      <c r="BD324" s="14">
        <f>INDEX(其他调用!$H$5:$L$404,MATCH($K324,其他调用!$B$5:$B$404,0),MATCH(BD$5,其他调用!$H$4:$L$4,0))*INDEX(其他调用!$M$5:$M$404,MATCH($K324,其他调用!$B$5:$B$404,0))*0.6</f>
        <v>0.4120776000000001</v>
      </c>
      <c r="BE324" s="14">
        <f>INDEX(其他调用!$H$5:$L$404,MATCH($K324,其他调用!$B$5:$B$404,0),MATCH(BE$5,其他调用!$H$4:$L$4,0))*INDEX(其他调用!$M$5:$M$404,MATCH($K324,其他调用!$B$5:$B$404,0))*0.6</f>
        <v>0.11923199999999998</v>
      </c>
      <c r="BF324" s="14">
        <f>IF(OR(BF$5="大R",BF$5="超R"),0,INDEX(其他调用!$H$5:$L$404,MATCH($K324,其他调用!$B$5:$B$404,0),MATCH(BF$5,其他调用!$H$4:$L$4,0))*50*0.4)</f>
        <v>9.5925100500000013</v>
      </c>
      <c r="BG324" s="14">
        <f>IF(OR(BG$5="大R",BG$5="超R"),0,INDEX(其他调用!$H$5:$L$404,MATCH($K324,其他调用!$B$5:$B$404,0),MATCH(BG$5,其他调用!$H$4:$L$4,0))*50*0.4)</f>
        <v>9.4583027471839998</v>
      </c>
      <c r="BH324" s="14">
        <f>IF(OR(BH$5="大R",BH$5="超R"),0,INDEX(其他调用!$H$5:$L$404,MATCH($K324,其他调用!$B$5:$B$404,0),MATCH(BH$5,其他调用!$H$4:$L$4,0))*50*0.4)</f>
        <v>0.77208400281600009</v>
      </c>
      <c r="BI324" s="14">
        <f>IF(OR(BI$5="大R",BI$5="超R"),0,INDEX(其他调用!$H$5:$L$404,MATCH($K324,其他调用!$B$5:$B$404,0),MATCH(BI$5,其他调用!$H$4:$L$4,0))*50*0.4)</f>
        <v>0</v>
      </c>
      <c r="BJ324" s="14">
        <f>IF(OR(BJ$5="大R",BJ$5="超R"),0,INDEX(其他调用!$H$5:$L$404,MATCH($K324,其他调用!$B$5:$B$404,0),MATCH(BJ$5,其他调用!$H$4:$L$4,0))*50*0.4)</f>
        <v>0</v>
      </c>
      <c r="BL324" s="14">
        <f t="shared" si="523"/>
        <v>319</v>
      </c>
      <c r="BM324" s="14">
        <f t="shared" si="430"/>
        <v>96</v>
      </c>
      <c r="BN324" s="14">
        <f>('疲劳值&amp;地图信息'!$S$10*'疲劳值&amp;地图信息'!$R$10+'疲劳值&amp;地图信息'!$S$11*'疲劳值&amp;地图信息'!$R$11+'疲劳值&amp;地图信息'!$S$12*'疲劳值&amp;地图信息'!$R$12+(BM324-'疲劳值&amp;地图信息'!$S$12-'疲劳值&amp;地图信息'!$S$11-'疲劳值&amp;地图信息'!$S$10)*'疲劳值&amp;地图信息'!$R$13)/BM324</f>
        <v>51.371477246638619</v>
      </c>
      <c r="BO324" s="14">
        <f>INDEX(其他调用!$M$5:$M$404,MATCH(BL324,其他调用!$B$5:$B$404,0))*0.6</f>
        <v>60</v>
      </c>
      <c r="BP324" s="14">
        <f>IF(BO324&gt;SUM('疲劳值&amp;地图信息'!$S$10:$S$12),('疲劳值&amp;地图信息'!$S$10*'疲劳值&amp;地图信息'!$R$10+'疲劳值&amp;地图信息'!$S$11*'疲劳值&amp;地图信息'!$R$11+'疲劳值&amp;地图信息'!$S$12*'疲劳值&amp;地图信息'!$R$12+(BO324-'疲劳值&amp;地图信息'!$S$12-'疲劳值&amp;地图信息'!$S$11-'疲劳值&amp;地图信息'!$S$10)*'疲劳值&amp;地图信息'!$R$13)/BO324,('疲劳值&amp;地图信息'!$S$10*'疲劳值&amp;地图信息'!$R$10+'疲劳值&amp;地图信息'!$S$11*'疲劳值&amp;地图信息'!$R$11+'疲劳值&amp;地图信息'!$S$12*'疲劳值&amp;地图信息'!$R$12+(BO324-'疲劳值&amp;地图信息'!$S$12-'疲劳值&amp;地图信息'!$S$11-'疲劳值&amp;地图信息'!$S$10)*'疲劳值&amp;地图信息'!$R$13)/BO324)</f>
        <v>44.158136341605953</v>
      </c>
      <c r="BQ324" s="14">
        <f t="shared" si="524"/>
        <v>20</v>
      </c>
      <c r="BR324" s="14">
        <f>('疲劳值&amp;地图信息'!$S$10*'疲劳值&amp;地图信息'!$R$10+($BQ324-'疲劳值&amp;地图信息'!$S$10)*'疲劳值&amp;地图信息'!$R$11)/$BQ324</f>
        <v>32.067203015074995</v>
      </c>
      <c r="CF324" s="14">
        <v>319</v>
      </c>
      <c r="CG324" s="51">
        <f t="shared" si="431"/>
        <v>16423</v>
      </c>
      <c r="CH324" s="51">
        <f t="shared" si="432"/>
        <v>1070</v>
      </c>
      <c r="CI324" s="51">
        <f>INT(SUMPRODUCT($N324:$R324,$BA324:$BE324)/SUM($BA324:$BE324)/10000*$BX$7*$BZ$34/'疲劳值&amp;地图信息'!$R$10*$BY$53)</f>
        <v>3372</v>
      </c>
      <c r="CJ324" s="50">
        <f t="shared" si="433"/>
        <v>0.7871075964533909</v>
      </c>
      <c r="CK324" s="50">
        <f t="shared" si="434"/>
        <v>5.128205128205128E-2</v>
      </c>
      <c r="CL324" s="50">
        <f t="shared" si="435"/>
        <v>0.16161035226455786</v>
      </c>
      <c r="CM324" s="14">
        <f t="shared" si="436"/>
        <v>18011</v>
      </c>
      <c r="CN324" s="14">
        <f t="shared" si="437"/>
        <v>1844</v>
      </c>
      <c r="CO324" s="14">
        <f>INT(SUMPRODUCT($U324:$Y324,$BA324:$BE324)/SUM($BA324:$BE324)/10000*$BX$7*$BZ$34/'疲劳值&amp;地图信息'!$R$10*$BY$54)</f>
        <v>6457</v>
      </c>
      <c r="CP324" s="50">
        <f t="shared" si="438"/>
        <v>0.68451657038613556</v>
      </c>
      <c r="CQ324" s="50">
        <f t="shared" si="439"/>
        <v>7.0082091821222256E-2</v>
      </c>
      <c r="CR324" s="50">
        <f t="shared" si="440"/>
        <v>0.24540133779264214</v>
      </c>
      <c r="CS324" s="14">
        <f t="shared" si="441"/>
        <v>19632</v>
      </c>
      <c r="CT324" s="14">
        <f t="shared" si="442"/>
        <v>3246</v>
      </c>
      <c r="CU324" s="14">
        <f>INT(SUMPRODUCT($AB324:$AF324,$BA324:$BE324)/SUM($BA324:$BE324)/10000*$BX$7*$BZ$34/'疲劳值&amp;地图信息'!$R$10*$BY$55)</f>
        <v>8775</v>
      </c>
      <c r="CV324" s="50">
        <f t="shared" si="443"/>
        <v>0.6202255710359208</v>
      </c>
      <c r="CW324" s="50">
        <f t="shared" si="444"/>
        <v>0.10254952137238177</v>
      </c>
      <c r="CX324" s="50">
        <f t="shared" si="445"/>
        <v>0.27722490759169749</v>
      </c>
      <c r="CY324" s="14">
        <f t="shared" si="446"/>
        <v>23567</v>
      </c>
      <c r="CZ324" s="14">
        <f t="shared" si="447"/>
        <v>8770</v>
      </c>
      <c r="DA324" s="14">
        <f>INT(SUMPRODUCT($AI324:$AM324,$BA324:$BE324)/SUM($BA324:$BE324)/10000*$BX$7*$BZ$34/'疲劳值&amp;地图信息'!$R$10*$BY$56)</f>
        <v>13237</v>
      </c>
      <c r="DB324" s="50">
        <f t="shared" si="448"/>
        <v>0.51711502172291224</v>
      </c>
      <c r="DC324" s="50">
        <f t="shared" si="449"/>
        <v>0.19243428270505111</v>
      </c>
      <c r="DD324" s="50">
        <f t="shared" si="450"/>
        <v>0.29045069557203668</v>
      </c>
      <c r="DE324" s="14">
        <f t="shared" si="451"/>
        <v>24433</v>
      </c>
      <c r="DF324" s="14">
        <f t="shared" si="452"/>
        <v>15610</v>
      </c>
      <c r="DG324" s="14">
        <f>INT(SUMPRODUCT($AP324:$AT324,$BA324:$BE324)/SUM($BA324:$BE324)/10000*$BX$7*$BZ$34/'疲劳值&amp;地图信息'!$R$10*$BY$57)</f>
        <v>17668</v>
      </c>
      <c r="DH324" s="50">
        <f t="shared" si="453"/>
        <v>0.42336816204882949</v>
      </c>
      <c r="DI324" s="50">
        <f t="shared" si="454"/>
        <v>0.27048569596783978</v>
      </c>
      <c r="DJ324" s="50">
        <f t="shared" si="455"/>
        <v>0.30614614198333073</v>
      </c>
      <c r="DL324" s="14">
        <f t="shared" si="526"/>
        <v>20865</v>
      </c>
      <c r="DM324" s="14">
        <f t="shared" si="527"/>
        <v>26312</v>
      </c>
      <c r="DN324" s="14">
        <f t="shared" si="528"/>
        <v>31653</v>
      </c>
      <c r="DO324" s="14">
        <f t="shared" si="529"/>
        <v>45574</v>
      </c>
      <c r="DP324" s="14">
        <f t="shared" si="530"/>
        <v>57711</v>
      </c>
      <c r="DQ324" s="14">
        <f t="shared" si="531"/>
        <v>1446021</v>
      </c>
      <c r="DT324" s="14">
        <f t="shared" si="525"/>
        <v>235575</v>
      </c>
      <c r="DU324" s="50">
        <f t="shared" si="427"/>
        <v>0.14009012866348397</v>
      </c>
      <c r="DW324" s="14">
        <f t="shared" si="456"/>
        <v>1681596</v>
      </c>
      <c r="EB324" s="14">
        <v>319</v>
      </c>
      <c r="EC324" s="51">
        <f t="shared" si="457"/>
        <v>27372</v>
      </c>
      <c r="ED324" s="51">
        <f t="shared" si="458"/>
        <v>1784</v>
      </c>
      <c r="EE324" s="51">
        <f>INT(SUMPRODUCT($N324:$R324,$BF324:$BJ324)/SUM($BF324:$BJ324)/10000*$BX$7*$BZ$46/'疲劳值&amp;地图信息'!$R$10*$BY$53)</f>
        <v>453</v>
      </c>
      <c r="EF324" s="50">
        <f t="shared" si="459"/>
        <v>0.92444864737073185</v>
      </c>
      <c r="EG324" s="50">
        <f t="shared" si="460"/>
        <v>6.025195042048026E-2</v>
      </c>
      <c r="EH324" s="50">
        <f t="shared" si="461"/>
        <v>1.5299402208787869E-2</v>
      </c>
      <c r="EI324" s="51">
        <f t="shared" si="462"/>
        <v>30019</v>
      </c>
      <c r="EJ324" s="51">
        <f t="shared" si="463"/>
        <v>3074</v>
      </c>
      <c r="EK324" s="14">
        <f>INT(SUMPRODUCT($U324:$Y324,$BF324:$BJ324)/SUM($BF324:$BJ324)/10000*$BX$7*$BZ$46/'疲劳值&amp;地图信息'!$R$10*$BY$54)</f>
        <v>866</v>
      </c>
      <c r="EL324" s="50">
        <f t="shared" si="464"/>
        <v>0.88397773786036105</v>
      </c>
      <c r="EM324" s="50">
        <f t="shared" si="465"/>
        <v>9.0520922288642183E-2</v>
      </c>
      <c r="EN324" s="50">
        <f t="shared" si="466"/>
        <v>2.5501339850996792E-2</v>
      </c>
      <c r="EO324" s="51">
        <f t="shared" si="467"/>
        <v>32720</v>
      </c>
      <c r="EP324" s="51">
        <f t="shared" si="468"/>
        <v>5411</v>
      </c>
      <c r="EQ324" s="14">
        <f>INT(SUMPRODUCT($AB324:$AF324,$BF324:$BJ324)/SUM($BF324:$BJ324)/10000*$BX$7*$BZ$46/'疲劳值&amp;地图信息'!$R$10*$BY$55)</f>
        <v>1176</v>
      </c>
      <c r="ER324" s="50">
        <f t="shared" si="469"/>
        <v>0.83242170605744525</v>
      </c>
      <c r="ES324" s="50">
        <f t="shared" si="470"/>
        <v>0.13765995878596687</v>
      </c>
      <c r="ET324" s="50">
        <f t="shared" si="471"/>
        <v>2.9918335156587886E-2</v>
      </c>
      <c r="EU324" s="51">
        <f t="shared" si="472"/>
        <v>39279</v>
      </c>
      <c r="EV324" s="51">
        <f t="shared" si="473"/>
        <v>14618</v>
      </c>
      <c r="EW324" s="14">
        <f>INT(SUMPRODUCT($AI324:$AM324,$BF324:$BJ324)/SUM($BF324:$BJ324)/10000*$BX$7*$BZ$46/'疲劳值&amp;地图信息'!$R$10*$BY$56)</f>
        <v>1765</v>
      </c>
      <c r="EX324" s="50">
        <f t="shared" si="474"/>
        <v>0.70566993640185405</v>
      </c>
      <c r="EY324" s="50">
        <f t="shared" si="475"/>
        <v>0.26262081851173152</v>
      </c>
      <c r="EZ324" s="50">
        <f t="shared" si="476"/>
        <v>3.1709245086414428E-2</v>
      </c>
      <c r="FA324" s="51">
        <f t="shared" si="477"/>
        <v>40722</v>
      </c>
      <c r="FB324" s="51">
        <f t="shared" si="478"/>
        <v>26017</v>
      </c>
      <c r="FC324" s="14">
        <f>INT(SUMPRODUCT($AP324:$AT324,$BF324:$BJ324)/SUM($BF324:$BJ324)/10000*$BX$7*$BZ$46/'疲劳值&amp;地图信息'!$R$10*$BY$57)</f>
        <v>2353</v>
      </c>
      <c r="FD324" s="50">
        <f t="shared" si="479"/>
        <v>0.58938806229375329</v>
      </c>
      <c r="FE324" s="50">
        <f t="shared" si="480"/>
        <v>0.37655589648584498</v>
      </c>
      <c r="FF324" s="50">
        <f t="shared" si="481"/>
        <v>3.4056041220401782E-2</v>
      </c>
      <c r="FH324" s="14">
        <f t="shared" si="482"/>
        <v>29609</v>
      </c>
      <c r="FI324" s="14">
        <f t="shared" si="483"/>
        <v>33959</v>
      </c>
      <c r="FJ324" s="14">
        <f t="shared" si="484"/>
        <v>39307</v>
      </c>
      <c r="FK324" s="14">
        <f t="shared" si="485"/>
        <v>55662</v>
      </c>
      <c r="FL324" s="14">
        <f t="shared" si="486"/>
        <v>69092</v>
      </c>
      <c r="FM324" s="14">
        <f t="shared" si="487"/>
        <v>3490901</v>
      </c>
      <c r="FP324" s="14">
        <f t="shared" si="488"/>
        <v>334150</v>
      </c>
      <c r="FQ324" s="50">
        <f t="shared" si="428"/>
        <v>8.7358312346685049E-2</v>
      </c>
      <c r="FS324" s="14">
        <f t="shared" si="489"/>
        <v>3825051</v>
      </c>
      <c r="FX324" s="14">
        <v>319</v>
      </c>
      <c r="FY324" s="51">
        <f t="shared" si="490"/>
        <v>38321</v>
      </c>
      <c r="FZ324" s="51">
        <f t="shared" si="491"/>
        <v>1784</v>
      </c>
      <c r="GA324" s="51">
        <f>INT(SUMPRODUCT($N324:$R324,$BF324:$BJ324)/SUM($BF324:$BJ324)/10000*$BX$7*$BZ$46/'疲劳值&amp;地图信息'!$R$10*$BY$53)</f>
        <v>453</v>
      </c>
      <c r="GB324" s="50">
        <f t="shared" si="492"/>
        <v>0.94484442033630844</v>
      </c>
      <c r="GC324" s="50">
        <f t="shared" si="493"/>
        <v>4.3986389861433009E-2</v>
      </c>
      <c r="GD324" s="50">
        <f t="shared" si="494"/>
        <v>1.1169189802258494E-2</v>
      </c>
      <c r="GE324" s="51">
        <f t="shared" si="495"/>
        <v>42027</v>
      </c>
      <c r="GF324" s="51">
        <f t="shared" si="496"/>
        <v>3074</v>
      </c>
      <c r="GG324" s="14">
        <f>INT(SUMPRODUCT($U324:$Y324,$BF324:$BJ324)/SUM($BF324:$BJ324)/10000*$BX$7*$BZ$46/'疲劳值&amp;地图信息'!$R$10*$BY$54)</f>
        <v>866</v>
      </c>
      <c r="GH324" s="50">
        <f t="shared" si="497"/>
        <v>0.91428633584963126</v>
      </c>
      <c r="GI324" s="50">
        <f t="shared" si="498"/>
        <v>6.6874061826962816E-2</v>
      </c>
      <c r="GJ324" s="50">
        <f t="shared" si="499"/>
        <v>1.8839602323405921E-2</v>
      </c>
      <c r="GK324" s="51">
        <f t="shared" si="500"/>
        <v>45808</v>
      </c>
      <c r="GL324" s="51">
        <f t="shared" si="501"/>
        <v>5411</v>
      </c>
      <c r="GM324" s="14">
        <f>INT(SUMPRODUCT($AB324:$AF324,$BF324:$BJ324)/SUM($BF324:$BJ324)/10000*$BX$7*$BZ$46/'疲劳值&amp;地图信息'!$R$10*$BY$55)</f>
        <v>1176</v>
      </c>
      <c r="GN324" s="50">
        <f t="shared" si="502"/>
        <v>0.87428189712758853</v>
      </c>
      <c r="GO324" s="50">
        <f t="shared" si="503"/>
        <v>0.10327321309285237</v>
      </c>
      <c r="GP324" s="50">
        <f t="shared" si="504"/>
        <v>2.2444889779559118E-2</v>
      </c>
      <c r="GQ324" s="51">
        <f t="shared" si="505"/>
        <v>54991</v>
      </c>
      <c r="GR324" s="51">
        <f t="shared" si="506"/>
        <v>14618</v>
      </c>
      <c r="GS324" s="14">
        <f>INT(SUMPRODUCT($AI324:$AM324,$BF324:$BJ324)/SUM($BF324:$BJ324)/10000*$BX$7*$BZ$46/'疲劳值&amp;地图信息'!$R$10*$BY$56)</f>
        <v>1765</v>
      </c>
      <c r="GT324" s="50">
        <f t="shared" si="507"/>
        <v>0.77046263345195731</v>
      </c>
      <c r="GU324" s="50">
        <f t="shared" si="508"/>
        <v>0.20480847367388685</v>
      </c>
      <c r="GV324" s="50">
        <f t="shared" si="509"/>
        <v>2.4728892874155854E-2</v>
      </c>
      <c r="GW324" s="51">
        <f t="shared" si="510"/>
        <v>57011</v>
      </c>
      <c r="GX324" s="51">
        <f t="shared" si="511"/>
        <v>26017</v>
      </c>
      <c r="GY324" s="14">
        <f>INT(SUMPRODUCT($AP324:$AT324,$BF324:$BJ324)/SUM($BF324:$BJ324)/10000*$BX$7*$BZ$46/'疲劳值&amp;地图信息'!$R$10*$BY$57)</f>
        <v>2353</v>
      </c>
      <c r="GZ324" s="50">
        <f t="shared" si="512"/>
        <v>0.66772466942293951</v>
      </c>
      <c r="HA324" s="50">
        <f t="shared" si="513"/>
        <v>0.30471650601421862</v>
      </c>
      <c r="HB324" s="50">
        <f t="shared" si="514"/>
        <v>2.7558824562841849E-2</v>
      </c>
      <c r="HD324" s="14">
        <f t="shared" si="515"/>
        <v>40558</v>
      </c>
      <c r="HE324" s="14">
        <f t="shared" si="516"/>
        <v>45967</v>
      </c>
      <c r="HF324" s="14">
        <f t="shared" si="517"/>
        <v>52395</v>
      </c>
      <c r="HG324" s="14">
        <f t="shared" si="518"/>
        <v>71374</v>
      </c>
      <c r="HH324" s="14">
        <f t="shared" si="519"/>
        <v>85381</v>
      </c>
      <c r="HI324" s="14">
        <f t="shared" si="520"/>
        <v>4721318</v>
      </c>
      <c r="HL324" s="14">
        <f t="shared" si="521"/>
        <v>430050</v>
      </c>
      <c r="HM324" s="50">
        <f t="shared" si="429"/>
        <v>8.3482678775812558E-2</v>
      </c>
      <c r="HO324" s="14">
        <f t="shared" si="522"/>
        <v>5151368</v>
      </c>
    </row>
    <row r="325" spans="11:223" x14ac:dyDescent="0.2">
      <c r="K325" s="14">
        <v>320</v>
      </c>
      <c r="L325" s="12">
        <f>求节点(节奏总纲!D$4:D$163,标准城池设计!AB$4:AB$163,$K325)*求节点(节奏总纲!D$4:D$163,攻城基础信息!$AC$5:$AC$164,$K325)</f>
        <v>806938.51476213953</v>
      </c>
      <c r="M325" s="12">
        <f>INDEX(其他调用!$AA$5:$AA$404,MATCH(K325,其他调用!$X$5:$X$404,0))*MIN(INDEX(其他调用!$AH$5:$AH$364,MATCH('征服点（新）'!K325,其他调用!$AG$5:$AG$364,0),1)/INDEX(其他调用!$AJ$5:$AJ$364,MATCH(K325,其他调用!$AG$5:$AG$364,0),0),5)*求节点(节奏总纲!D$4:D$163,攻城基础信息!$AC$5:$AC$164,$K325)</f>
        <v>52458.843939154147</v>
      </c>
      <c r="N325" s="12">
        <f>MIN(INDEX(其他调用!$AH$5:$AH$364,MATCH($K325,其他调用!$AG$5:$AG$364,0),1)/INDEX(其他调用!AH$5:AH$364,MATCH($K325,其他调用!$AG$5:$AG$364,0),0),1)*INDEX(其他调用!Y$5:Y$404,MATCH($K325,其他调用!$X$5:$X$404,0),0)</f>
        <v>42847.297281584353</v>
      </c>
      <c r="O325" s="12">
        <f>MIN(INDEX(其他调用!$AH$5:$AH$364,MATCH($K325,其他调用!$AG$5:$AG$364,0),1)/INDEX(其他调用!AI$5:AI$364,MATCH($K325,其他调用!$AG$5:$AG$364,0),0),1)*INDEX(其他调用!Z$5:Z$404,MATCH($K325,其他调用!$X$5:$X$404,0),0)</f>
        <v>25517.692821695975</v>
      </c>
      <c r="P325" s="12">
        <f>MIN(INDEX(其他调用!$AH$5:$AH$364,MATCH($K325,其他调用!$AG$5:$AG$364,0),1)/INDEX(其他调用!AJ$5:AJ$364,MATCH($K325,其他调用!$AG$5:$AG$364,0),0),1)*INDEX(其他调用!AA$5:AA$404,MATCH($K325,其他调用!$X$5:$X$404,0),0)</f>
        <v>14988.241125472623</v>
      </c>
      <c r="Q325" s="12">
        <f>MIN(INDEX(其他调用!$AH$5:$AH$364,MATCH($K325,其他调用!$AG$5:$AG$364,0),1)/INDEX(其他调用!AK$5:AK$364,MATCH($K325,其他调用!$AG$5:$AG$364,0),0),1)*INDEX(其他调用!AB$5:AB$404,MATCH($K325,其他调用!$X$5:$X$404,0),0)</f>
        <v>5834.1145447504332</v>
      </c>
      <c r="R325" s="12">
        <f>MIN(INDEX(其他调用!$AH$5:$AH$364,MATCH($K325,其他调用!$AG$5:$AG$364,0),1)/INDEX(其他调用!AL$5:AL$364,MATCH($K325,其他调用!$AG$5:$AG$364,0),0),1)*INDEX(其他调用!AC$5:AC$404,MATCH($K325,其他调用!$X$5:$X$404,0),0)</f>
        <v>3550.7042522700053</v>
      </c>
      <c r="S325" s="12">
        <f>求节点(节奏总纲!D$4:D$163,标准城池设计!AC$4:AC$163,$K325)*求节点(节奏总纲!D$4:D$163,攻城基础信息!$AD$5:$AD$164,$K325)</f>
        <v>884959.13071647927</v>
      </c>
      <c r="T325" s="12">
        <f>INDEX(其他调用!$AA$5:$AA$404,MATCH($K325,其他调用!$X$5:$X$404,0))*MIN(INDEX(其他调用!AI$5:AI$364,MATCH($K325,其他调用!$AG$5:$AG$364,0),1)/INDEX(其他调用!$AJ$5:$AJ$364,MATCH($K325,其他调用!$AG$5:$AG$364,0),0),5)*求节点(节奏总纲!D$4:D$163,攻城基础信息!$AD$5:$AD$164,$K325)</f>
        <v>90467.636203613743</v>
      </c>
      <c r="U325" s="12">
        <f>MIN(INDEX(其他调用!$AI$5:$AI$364,MATCH($K325,其他调用!$AG$5:$AG$364,0),1)/INDEX(其他调用!AH$5:AH$364,MATCH($K325,其他调用!$AG$5:$AG$364,0),0),1)*INDEX(其他调用!Y$5:Y$404,MATCH($K325,其他调用!$X$5:$X$404,0),0)</f>
        <v>42847.297281584353</v>
      </c>
      <c r="V325" s="12">
        <f>MIN(INDEX(其他调用!$AI$5:$AI$364,MATCH($K325,其他调用!$AG$5:$AG$364,0),1)/INDEX(其他调用!AI$5:AI$364,MATCH($K325,其他调用!$AG$5:$AG$364,0),0),1)*INDEX(其他调用!Z$5:Z$404,MATCH($K325,其他调用!$X$5:$X$404,0),0)</f>
        <v>44006.409169564715</v>
      </c>
      <c r="W325" s="12">
        <f>MIN(INDEX(其他调用!$AI$5:$AI$364,MATCH($K325,其他调用!$AG$5:$AG$364,0),1)/INDEX(其他调用!AJ$5:AJ$364,MATCH($K325,其他调用!$AG$5:$AG$364,0),0),1)*INDEX(其他调用!AA$5:AA$404,MATCH($K325,其他调用!$X$5:$X$404,0),0)</f>
        <v>25847.896058175371</v>
      </c>
      <c r="X325" s="12">
        <f>MIN(INDEX(其他调用!$AI$5:$AI$364,MATCH($K325,其他调用!$AG$5:$AG$364,0),1)/INDEX(其他调用!AK$5:AK$364,MATCH($K325,其他调用!$AG$5:$AG$364,0),0),1)*INDEX(其他调用!AB$5:AB$404,MATCH($K325,其他调用!$X$5:$X$404,0),0)</f>
        <v>10061.192976667113</v>
      </c>
      <c r="Y325" s="12">
        <f>MIN(INDEX(其他调用!$AI$5:$AI$364,MATCH($K325,其他调用!$AG$5:$AG$364,0),1)/INDEX(其他调用!AL$5:AL$364,MATCH($K325,其他调用!$AG$5:$AG$364,0),0),1)*INDEX(其他调用!AC$5:AC$404,MATCH($K325,其他调用!$X$5:$X$404,0),0)</f>
        <v>6123.3492094024723</v>
      </c>
      <c r="Z325" s="12">
        <f>求节点(节奏总纲!D$4:D$163,标准城池设计!AD$4:AD$163,$K325)*求节点(节奏总纲!D$4:D$163,攻城基础信息!$AE$5:$AE$164,$K325)</f>
        <v>964547.92924729513</v>
      </c>
      <c r="AA325" s="12">
        <f>INDEX(其他调用!$AA$5:$AA$404,MATCH($K325,其他调用!$X$5:$X$404,0))*MIN(INDEX(其他调用!AJ$5:AJ$364,MATCH($K325,其他调用!$AG$5:$AG$364,0),1)/INDEX(其他调用!$AJ$5:$AJ$364,MATCH($K325,其他调用!$AG$5:$AG$364,0),0),5)*求节点(节奏总纲!D$4:D$163,攻城基础信息!$AE$5:$AE$164,$K325)</f>
        <v>159372.36186584923</v>
      </c>
      <c r="AB325" s="12">
        <f>MIN(INDEX(其他调用!$AJ$5:$AJ$364,MATCH($K325,其他调用!$AG$5:$AG$364,0),1)/INDEX(其他调用!AH$5:AH$364,MATCH($K325,其他调用!$AG$5:$AG$364,0),0),1)*INDEX(其他调用!Y$5:Y$404,MATCH($K325,其他调用!$X$5:$X$404,0),0)</f>
        <v>42847.297281584353</v>
      </c>
      <c r="AC325" s="12">
        <f>MIN(INDEX(其他调用!$AJ$5:$AJ$364,MATCH($K325,其他调用!$AG$5:$AG$364,0),1)/INDEX(其他调用!AI$5:AI$364,MATCH($K325,其他调用!$AG$5:$AG$364,0),0),1)*INDEX(其他调用!Z$5:Z$404,MATCH($K325,其他调用!$X$5:$X$404,0),0)</f>
        <v>44006.409169564715</v>
      </c>
      <c r="AD325" s="12">
        <f>MIN(INDEX(其他调用!$AJ$5:$AJ$364,MATCH($K325,其他调用!$AG$5:$AG$364,0),1)/INDEX(其他调用!AJ$5:AJ$364,MATCH($K325,其他调用!$AG$5:$AG$364,0),0),1)*INDEX(其他调用!AA$5:AA$404,MATCH($K325,其他调用!$X$5:$X$404,0),0)</f>
        <v>45534.960533099809</v>
      </c>
      <c r="AE325" s="12">
        <f>MIN(INDEX(其他调用!$AJ$5:$AJ$364,MATCH($K325,其他调用!$AG$5:$AG$364,0),1)/INDEX(其他调用!AK$5:AK$364,MATCH($K325,其他调用!$AG$5:$AG$364,0),0),1)*INDEX(其他调用!AB$5:AB$404,MATCH($K325,其他调用!$X$5:$X$404,0),0)</f>
        <v>17724.306228921683</v>
      </c>
      <c r="AF325" s="12">
        <f>MIN(INDEX(其他调用!$AJ$5:$AJ$364,MATCH($K325,其他调用!$AG$5:$AG$364,0),1)/INDEX(其他调用!AL$5:AL$364,MATCH($K325,其他调用!$AG$5:$AG$364,0),0),1)*INDEX(其他调用!AC$5:AC$404,MATCH($K325,其他调用!$X$5:$X$404,0),0)</f>
        <v>10787.201556094935</v>
      </c>
      <c r="AG325" s="12">
        <f>求节点(节奏总纲!D$4:D$163,标准城池设计!AE$4:AE$163,$K325)*求节点(节奏总纲!D$4:D$163,攻城基础信息!$AF$5:$AF$164,$K325)</f>
        <v>1157491.8080171996</v>
      </c>
      <c r="AH325" s="12">
        <f>INDEX(其他调用!$AA$5:$AA$404,MATCH($K325,其他调用!$X$5:$X$404,0))*MIN(INDEX(其他调用!AK$5:AK$364,MATCH($K325,其他调用!$AG$5:$AG$364,0),1)/INDEX(其他调用!$AJ$5:$AJ$364,MATCH($K325,其他调用!$AG$5:$AG$364,0),0),5)*求节点(节奏总纲!D$4:D$163,攻城基础信息!$AF$5:$AF$164,$K325)</f>
        <v>429729.58082968864</v>
      </c>
      <c r="AI325" s="12">
        <f>MIN(INDEX(其他调用!$AK$5:$AK$364,MATCH($K325,其他调用!$AG$5:$AG$364,0),1)/INDEX(其他调用!AH$5:AH$364,MATCH($K325,其他调用!$AG$5:$AG$364,0),0),1)*INDEX(其他调用!Y$5:Y$404,MATCH($K325,其他调用!$X$5:$X$404,0),0)</f>
        <v>42847.297281584353</v>
      </c>
      <c r="AJ325" s="12">
        <f>MIN(INDEX(其他调用!$AK$5:$AK$364,MATCH($K325,其他调用!$AG$5:$AG$364,0),1)/INDEX(其他调用!AI$5:AI$364,MATCH($K325,其他调用!$AG$5:$AG$364,0),0),1)*INDEX(其他调用!Z$5:Z$404,MATCH($K325,其他调用!$X$5:$X$404,0),0)</f>
        <v>44006.409169564715</v>
      </c>
      <c r="AK325" s="12">
        <f>MIN(INDEX(其他调用!$AK$5:$AK$364,MATCH($K325,其他调用!$AG$5:$AG$364,0),1)/INDEX(其他调用!AJ$5:AJ$364,MATCH($K325,其他调用!$AG$5:$AG$364,0),0),1)*INDEX(其他调用!AA$5:AA$404,MATCH($K325,其他调用!$X$5:$X$404,0),0)</f>
        <v>45534.960533099809</v>
      </c>
      <c r="AL325" s="12">
        <f>MIN(INDEX(其他调用!$AK$5:$AK$364,MATCH($K325,其他调用!$AG$5:$AG$364,0),1)/INDEX(其他调用!AK$5:AK$364,MATCH($K325,其他调用!$AG$5:$AG$364,0),0),1)*INDEX(其他调用!AB$5:AB$404,MATCH($K325,其他调用!$X$5:$X$404,0),0)</f>
        <v>47791.590694143277</v>
      </c>
      <c r="AM325" s="12">
        <f>MIN(INDEX(其他调用!$AK$5:$AK$364,MATCH($K325,其他调用!$AG$5:$AG$364,0),1)/INDEX(其他调用!AL$5:AL$364,MATCH($K325,其他调用!$AG$5:$AG$364,0),0),1)*INDEX(其他调用!AC$5:AC$404,MATCH($K325,其他调用!$X$5:$X$404,0),0)</f>
        <v>29086.471134361516</v>
      </c>
      <c r="AN325" s="12">
        <f>求节点(节奏总纲!D$4:D$163,标准城池设计!AF$4:AF$163,$K325)*求节点(节奏总纲!D$4:D$163,攻城基础信息!$AG$5:$AG$164,$K325)</f>
        <v>1199688.0739163721</v>
      </c>
      <c r="AO325" s="12">
        <f>INDEX(其他调用!$AA$5:$AA$404,MATCH($K325,其他调用!$X$5:$X$404,0))*MIN(INDEX(其他调用!AL$5:AL$364,MATCH($K325,其他调用!$AG$5:$AG$364,0),1)/INDEX(其他调用!$AJ$5:$AJ$364,MATCH($K325,其他调用!$AG$5:$AG$364,0),0),5)*求节点(节奏总纲!D$4:D$163,攻城基础信息!$AG$5:$AG$164,$K325)</f>
        <v>763589.47808499925</v>
      </c>
      <c r="AP325" s="12">
        <f>MIN(INDEX(其他调用!$AL$5:$AL$364,MATCH($K325,其他调用!$AG$5:$AG$364,0),1)/INDEX(其他调用!AH$5:AH$364,MATCH($K325,其他调用!$AG$5:$AG$364,0),0),1)*INDEX(其他调用!Y$5:Y$404,MATCH($K325,其他调用!$X$5:$X$404,0),0)</f>
        <v>42847.297281584353</v>
      </c>
      <c r="AQ325" s="12">
        <f>MIN(INDEX(其他调用!$AL$5:$AL$364,MATCH($K325,其他调用!$AG$5:$AG$364,0),1)/INDEX(其他调用!AI$5:AI$364,MATCH($K325,其他调用!$AG$5:$AG$364,0),0),1)*INDEX(其他调用!Z$5:Z$404,MATCH($K325,其他调用!$X$5:$X$404,0),0)</f>
        <v>44006.409169564715</v>
      </c>
      <c r="AR325" s="12">
        <f>MIN(INDEX(其他调用!$AL$5:$AL$364,MATCH($K325,其他调用!$AG$5:$AG$364,0),1)/INDEX(其他调用!AJ$5:AJ$364,MATCH($K325,其他调用!$AG$5:$AG$364,0),0),1)*INDEX(其他调用!AA$5:AA$404,MATCH($K325,其他调用!$X$5:$X$404,0),0)</f>
        <v>45534.960533099809</v>
      </c>
      <c r="AS325" s="12">
        <f>MIN(INDEX(其他调用!$AL$5:$AL$364,MATCH($K325,其他调用!$AG$5:$AG$364,0),1)/INDEX(其他调用!AK$5:AK$364,MATCH($K325,其他调用!$AG$5:$AG$364,0),0),1)*INDEX(其他调用!AB$5:AB$404,MATCH($K325,其他调用!$X$5:$X$404,0),0)</f>
        <v>47791.590694143277</v>
      </c>
      <c r="AT325" s="12">
        <f>MIN(INDEX(其他调用!$AL$5:$AL$364,MATCH($K325,其他调用!$AG$5:$AG$364,0),1)/INDEX(其他调用!AL$5:AL$364,MATCH($K325,其他调用!$AG$5:$AG$364,0),0),1)*INDEX(其他调用!AC$5:AC$404,MATCH($K325,其他调用!$X$5:$X$404,0),0)</f>
        <v>51683.952661438656</v>
      </c>
      <c r="AV325" s="14">
        <f>IF(OR(AV$5="大R",AV$5="超R"),MAX(INDEX(其他调用!$H$5:$L$404,MATCH($K325,其他调用!$B$5:$B$404,0),MATCH(AV$5,其他调用!$H$4:$L$4,0))*120*0.85,2),INDEX(其他调用!$H$5:$L$404,MATCH($K325,其他调用!$B$5:$B$404,0),MATCH(AV$5,其他调用!$H$4:$L$4,0))*120*0.85)</f>
        <v>48.921801254999991</v>
      </c>
      <c r="AW325" s="14">
        <f>IF(OR(AW$5="大R",AW$5="超R"),MAX(INDEX(其他调用!$H$5:$L$404,MATCH($K325,其他调用!$B$5:$B$404,0),MATCH(AW$5,其他调用!$H$4:$L$4,0))*120*0.85,2),INDEX(其他调用!$H$5:$L$404,MATCH($K325,其他调用!$B$5:$B$404,0),MATCH(AW$5,其他调用!$H$4:$L$4,0))*120*0.85)</f>
        <v>48.237344010638395</v>
      </c>
      <c r="AX325" s="14">
        <f>IF(OR(AX$5="大R",AX$5="超R"),MAX(INDEX(其他调用!$H$5:$L$404,MATCH($K325,其他调用!$B$5:$B$404,0),MATCH(AX$5,其他调用!$H$4:$L$4,0))*120*0.85,2),INDEX(其他调用!$H$5:$L$404,MATCH($K325,其他调用!$B$5:$B$404,0),MATCH(AX$5,其他调用!$H$4:$L$4,0))*120*0.85)</f>
        <v>3.9376284143615998</v>
      </c>
      <c r="AY325" s="14">
        <f>IF(OR(AY$5="大R",AY$5="超R"),MAX(INDEX(其他调用!$H$5:$L$404,MATCH($K325,其他调用!$B$5:$B$404,0),MATCH(AY$5,其他调用!$H$4:$L$4,0))*120*0.85,2),INDEX(其他调用!$H$5:$L$404,MATCH($K325,其他调用!$B$5:$B$404,0),MATCH(AY$5,其他调用!$H$4:$L$4,0))*120*0.85)</f>
        <v>2</v>
      </c>
      <c r="AZ325" s="14">
        <f>IF(OR(AZ$5="大R",AZ$5="超R"),MAX(INDEX(其他调用!$H$5:$L$404,MATCH($K325,其他调用!$B$5:$B$404,0),MATCH(AZ$5,其他调用!$H$4:$L$4,0))*120*0.85,2),INDEX(其他调用!$H$5:$L$404,MATCH($K325,其他调用!$B$5:$B$404,0),MATCH(AZ$5,其他调用!$H$4:$L$4,0))*120*0.85)</f>
        <v>2</v>
      </c>
      <c r="BA325" s="14">
        <f>INDEX(其他调用!$H$5:$L$404,MATCH($K325,其他调用!$B$5:$B$404,0),MATCH(BA$5,其他调用!$H$4:$L$4,0))*INDEX(其他调用!$M$5:$M$404,MATCH($K325,其他调用!$B$5:$B$404,0))*0.6</f>
        <v>28.777530149999997</v>
      </c>
      <c r="BB325" s="14">
        <f>INDEX(其他调用!$H$5:$L$404,MATCH($K325,其他调用!$B$5:$B$404,0),MATCH(BB$5,其他调用!$H$4:$L$4,0))*INDEX(其他调用!$M$5:$M$404,MATCH($K325,其他调用!$B$5:$B$404,0))*0.6</f>
        <v>28.374908241551999</v>
      </c>
      <c r="BC325" s="14">
        <f>INDEX(其他调用!$H$5:$L$404,MATCH($K325,其他调用!$B$5:$B$404,0),MATCH(BC$5,其他调用!$H$4:$L$4,0))*INDEX(其他调用!$M$5:$M$404,MATCH($K325,其他调用!$B$5:$B$404,0))*0.6</f>
        <v>2.3162520084480001</v>
      </c>
      <c r="BD325" s="14">
        <f>INDEX(其他调用!$H$5:$L$404,MATCH($K325,其他调用!$B$5:$B$404,0),MATCH(BD$5,其他调用!$H$4:$L$4,0))*INDEX(其他调用!$M$5:$M$404,MATCH($K325,其他调用!$B$5:$B$404,0))*0.6</f>
        <v>0.4120776000000001</v>
      </c>
      <c r="BE325" s="14">
        <f>INDEX(其他调用!$H$5:$L$404,MATCH($K325,其他调用!$B$5:$B$404,0),MATCH(BE$5,其他调用!$H$4:$L$4,0))*INDEX(其他调用!$M$5:$M$404,MATCH($K325,其他调用!$B$5:$B$404,0))*0.6</f>
        <v>0.11923199999999998</v>
      </c>
      <c r="BF325" s="14">
        <f>IF(OR(BF$5="大R",BF$5="超R"),0,INDEX(其他调用!$H$5:$L$404,MATCH($K325,其他调用!$B$5:$B$404,0),MATCH(BF$5,其他调用!$H$4:$L$4,0))*50*0.4)</f>
        <v>9.5925100500000013</v>
      </c>
      <c r="BG325" s="14">
        <f>IF(OR(BG$5="大R",BG$5="超R"),0,INDEX(其他调用!$H$5:$L$404,MATCH($K325,其他调用!$B$5:$B$404,0),MATCH(BG$5,其他调用!$H$4:$L$4,0))*50*0.4)</f>
        <v>9.4583027471839998</v>
      </c>
      <c r="BH325" s="14">
        <f>IF(OR(BH$5="大R",BH$5="超R"),0,INDEX(其他调用!$H$5:$L$404,MATCH($K325,其他调用!$B$5:$B$404,0),MATCH(BH$5,其他调用!$H$4:$L$4,0))*50*0.4)</f>
        <v>0.77208400281600009</v>
      </c>
      <c r="BI325" s="14">
        <f>IF(OR(BI$5="大R",BI$5="超R"),0,INDEX(其他调用!$H$5:$L$404,MATCH($K325,其他调用!$B$5:$B$404,0),MATCH(BI$5,其他调用!$H$4:$L$4,0))*50*0.4)</f>
        <v>0</v>
      </c>
      <c r="BJ325" s="14">
        <f>IF(OR(BJ$5="大R",BJ$5="超R"),0,INDEX(其他调用!$H$5:$L$404,MATCH($K325,其他调用!$B$5:$B$404,0),MATCH(BJ$5,其他调用!$H$4:$L$4,0))*50*0.4)</f>
        <v>0</v>
      </c>
      <c r="BL325" s="14">
        <f t="shared" si="523"/>
        <v>320</v>
      </c>
      <c r="BM325" s="14">
        <f t="shared" si="430"/>
        <v>96</v>
      </c>
      <c r="BN325" s="14">
        <f>('疲劳值&amp;地图信息'!$S$10*'疲劳值&amp;地图信息'!$R$10+'疲劳值&amp;地图信息'!$S$11*'疲劳值&amp;地图信息'!$R$11+'疲劳值&amp;地图信息'!$S$12*'疲劳值&amp;地图信息'!$R$12+(BM325-'疲劳值&amp;地图信息'!$S$12-'疲劳值&amp;地图信息'!$S$11-'疲劳值&amp;地图信息'!$S$10)*'疲劳值&amp;地图信息'!$R$13)/BM325</f>
        <v>51.371477246638619</v>
      </c>
      <c r="BO325" s="14">
        <f>INDEX(其他调用!$M$5:$M$404,MATCH(BL325,其他调用!$B$5:$B$404,0))*0.6</f>
        <v>60</v>
      </c>
      <c r="BP325" s="14">
        <f>IF(BO325&gt;SUM('疲劳值&amp;地图信息'!$S$10:$S$12),('疲劳值&amp;地图信息'!$S$10*'疲劳值&amp;地图信息'!$R$10+'疲劳值&amp;地图信息'!$S$11*'疲劳值&amp;地图信息'!$R$11+'疲劳值&amp;地图信息'!$S$12*'疲劳值&amp;地图信息'!$R$12+(BO325-'疲劳值&amp;地图信息'!$S$12-'疲劳值&amp;地图信息'!$S$11-'疲劳值&amp;地图信息'!$S$10)*'疲劳值&amp;地图信息'!$R$13)/BO325,('疲劳值&amp;地图信息'!$S$10*'疲劳值&amp;地图信息'!$R$10+'疲劳值&amp;地图信息'!$S$11*'疲劳值&amp;地图信息'!$R$11+'疲劳值&amp;地图信息'!$S$12*'疲劳值&amp;地图信息'!$R$12+(BO325-'疲劳值&amp;地图信息'!$S$12-'疲劳值&amp;地图信息'!$S$11-'疲劳值&amp;地图信息'!$S$10)*'疲劳值&amp;地图信息'!$R$13)/BO325)</f>
        <v>44.158136341605953</v>
      </c>
      <c r="BQ325" s="14">
        <f t="shared" si="524"/>
        <v>20</v>
      </c>
      <c r="BR325" s="14">
        <f>('疲劳值&amp;地图信息'!$S$10*'疲劳值&amp;地图信息'!$R$10+($BQ325-'疲劳值&amp;地图信息'!$S$10)*'疲劳值&amp;地图信息'!$R$11)/$BQ325</f>
        <v>32.067203015074995</v>
      </c>
      <c r="CF325" s="14">
        <v>320</v>
      </c>
      <c r="CG325" s="51">
        <f t="shared" si="431"/>
        <v>16446</v>
      </c>
      <c r="CH325" s="51">
        <f t="shared" si="432"/>
        <v>1069</v>
      </c>
      <c r="CI325" s="51">
        <f>INT(SUMPRODUCT($N325:$R325,$BA325:$BE325)/SUM($BA325:$BE325)/10000*$BX$7*$BZ$34/'疲劳值&amp;地图信息'!$R$10*$BY$53)</f>
        <v>3373</v>
      </c>
      <c r="CJ325" s="50">
        <f t="shared" si="433"/>
        <v>0.78734201455381081</v>
      </c>
      <c r="CK325" s="50">
        <f t="shared" si="434"/>
        <v>5.1177709689774031E-2</v>
      </c>
      <c r="CL325" s="50">
        <f t="shared" si="435"/>
        <v>0.16148027575641516</v>
      </c>
      <c r="CM325" s="14">
        <f t="shared" si="436"/>
        <v>18036</v>
      </c>
      <c r="CN325" s="14">
        <f t="shared" si="437"/>
        <v>1843</v>
      </c>
      <c r="CO325" s="14">
        <f>INT(SUMPRODUCT($U325:$Y325,$BA325:$BE325)/SUM($BA325:$BE325)/10000*$BX$7*$BZ$34/'疲劳值&amp;地图信息'!$R$10*$BY$54)</f>
        <v>6459</v>
      </c>
      <c r="CP325" s="50">
        <f t="shared" si="438"/>
        <v>0.68479003720859599</v>
      </c>
      <c r="CQ325" s="50">
        <f t="shared" si="439"/>
        <v>6.9974941149669678E-2</v>
      </c>
      <c r="CR325" s="50">
        <f t="shared" si="440"/>
        <v>0.24523502164173439</v>
      </c>
      <c r="CS325" s="14">
        <f t="shared" si="441"/>
        <v>19658</v>
      </c>
      <c r="CT325" s="14">
        <f t="shared" si="442"/>
        <v>3248</v>
      </c>
      <c r="CU325" s="14">
        <f>INT(SUMPRODUCT($AB325:$AF325,$BA325:$BE325)/SUM($BA325:$BE325)/10000*$BX$7*$BZ$34/'疲劳值&amp;地图信息'!$R$10*$BY$55)</f>
        <v>8779</v>
      </c>
      <c r="CV325" s="50">
        <f t="shared" si="443"/>
        <v>0.62041975698279939</v>
      </c>
      <c r="CW325" s="50">
        <f t="shared" si="444"/>
        <v>0.10250907369417706</v>
      </c>
      <c r="CX325" s="50">
        <f t="shared" si="445"/>
        <v>0.2770711693230235</v>
      </c>
      <c r="CY325" s="14">
        <f t="shared" si="446"/>
        <v>23591</v>
      </c>
      <c r="CZ325" s="14">
        <f t="shared" si="447"/>
        <v>8758</v>
      </c>
      <c r="DA325" s="14">
        <f>INT(SUMPRODUCT($AI325:$AM325,$BA325:$BE325)/SUM($BA325:$BE325)/10000*$BX$7*$BZ$34/'疲劳值&amp;地图信息'!$R$10*$BY$56)</f>
        <v>13243</v>
      </c>
      <c r="DB325" s="50">
        <f t="shared" si="448"/>
        <v>0.517437269696438</v>
      </c>
      <c r="DC325" s="50">
        <f t="shared" si="449"/>
        <v>0.19209510440428146</v>
      </c>
      <c r="DD325" s="50">
        <f t="shared" si="450"/>
        <v>0.2904676258992806</v>
      </c>
      <c r="DE325" s="14">
        <f t="shared" si="451"/>
        <v>24451</v>
      </c>
      <c r="DF325" s="14">
        <f t="shared" si="452"/>
        <v>15562</v>
      </c>
      <c r="DG325" s="14">
        <f>INT(SUMPRODUCT($AP325:$AT325,$BA325:$BE325)/SUM($BA325:$BE325)/10000*$BX$7*$BZ$34/'疲劳值&amp;地图信息'!$R$10*$BY$57)</f>
        <v>17675</v>
      </c>
      <c r="DH325" s="50">
        <f t="shared" si="453"/>
        <v>0.42384898072389404</v>
      </c>
      <c r="DI325" s="50">
        <f t="shared" si="454"/>
        <v>0.26976147552350577</v>
      </c>
      <c r="DJ325" s="50">
        <f t="shared" si="455"/>
        <v>0.30638954375260019</v>
      </c>
      <c r="DL325" s="14">
        <f t="shared" si="526"/>
        <v>20888</v>
      </c>
      <c r="DM325" s="14">
        <f t="shared" si="527"/>
        <v>26338</v>
      </c>
      <c r="DN325" s="14">
        <f t="shared" si="528"/>
        <v>31685</v>
      </c>
      <c r="DO325" s="14">
        <f t="shared" si="529"/>
        <v>45592</v>
      </c>
      <c r="DP325" s="14">
        <f t="shared" si="530"/>
        <v>57688</v>
      </c>
      <c r="DQ325" s="14">
        <f t="shared" si="531"/>
        <v>1447499</v>
      </c>
      <c r="DT325" s="14">
        <f t="shared" si="525"/>
        <v>235575</v>
      </c>
      <c r="DU325" s="50">
        <f t="shared" si="427"/>
        <v>0.13996710780393495</v>
      </c>
      <c r="DW325" s="14">
        <f t="shared" si="456"/>
        <v>1683074</v>
      </c>
      <c r="EB325" s="14">
        <v>320</v>
      </c>
      <c r="EC325" s="51">
        <f t="shared" si="457"/>
        <v>27410</v>
      </c>
      <c r="ED325" s="51">
        <f t="shared" si="458"/>
        <v>1781</v>
      </c>
      <c r="EE325" s="51">
        <f>INT(SUMPRODUCT($N325:$R325,$BF325:$BJ325)/SUM($BF325:$BJ325)/10000*$BX$7*$BZ$46/'疲劳值&amp;地图信息'!$R$10*$BY$53)</f>
        <v>453</v>
      </c>
      <c r="EF325" s="50">
        <f t="shared" si="459"/>
        <v>0.92463905006072056</v>
      </c>
      <c r="EG325" s="50">
        <f t="shared" si="460"/>
        <v>6.0079611388476589E-2</v>
      </c>
      <c r="EH325" s="50">
        <f t="shared" si="461"/>
        <v>1.528133855080286E-2</v>
      </c>
      <c r="EI325" s="51">
        <f t="shared" si="462"/>
        <v>30061</v>
      </c>
      <c r="EJ325" s="51">
        <f t="shared" si="463"/>
        <v>3073</v>
      </c>
      <c r="EK325" s="14">
        <f>INT(SUMPRODUCT($U325:$Y325,$BF325:$BJ325)/SUM($BF325:$BJ325)/10000*$BX$7*$BZ$46/'疲劳值&amp;地图信息'!$R$10*$BY$54)</f>
        <v>867</v>
      </c>
      <c r="EL325" s="50">
        <f t="shared" si="464"/>
        <v>0.88412105526308049</v>
      </c>
      <c r="EM325" s="50">
        <f t="shared" si="465"/>
        <v>9.0379694714861333E-2</v>
      </c>
      <c r="EN325" s="50">
        <f t="shared" si="466"/>
        <v>2.5499250022058176E-2</v>
      </c>
      <c r="EO325" s="51">
        <f t="shared" si="467"/>
        <v>32764</v>
      </c>
      <c r="EP325" s="51">
        <f t="shared" si="468"/>
        <v>5413</v>
      </c>
      <c r="EQ325" s="14">
        <f>INT(SUMPRODUCT($AB325:$AF325,$BF325:$BJ325)/SUM($BF325:$BJ325)/10000*$BX$7*$BZ$46/'疲劳值&amp;地图信息'!$R$10*$BY$55)</f>
        <v>1177</v>
      </c>
      <c r="ER325" s="50">
        <f t="shared" si="469"/>
        <v>0.83254561162778884</v>
      </c>
      <c r="ES325" s="50">
        <f t="shared" si="470"/>
        <v>0.13754637393911673</v>
      </c>
      <c r="ET325" s="50">
        <f t="shared" si="471"/>
        <v>2.9908014433094477E-2</v>
      </c>
      <c r="EU325" s="51">
        <f t="shared" si="472"/>
        <v>39318</v>
      </c>
      <c r="EV325" s="51">
        <f t="shared" si="473"/>
        <v>14597</v>
      </c>
      <c r="EW325" s="14">
        <f>INT(SUMPRODUCT($AI325:$AM325,$BF325:$BJ325)/SUM($BF325:$BJ325)/10000*$BX$7*$BZ$46/'疲劳值&amp;地图信息'!$R$10*$BY$56)</f>
        <v>1765</v>
      </c>
      <c r="EX325" s="50">
        <f t="shared" si="474"/>
        <v>0.70614224137931036</v>
      </c>
      <c r="EY325" s="50">
        <f t="shared" si="475"/>
        <v>0.2621587643678161</v>
      </c>
      <c r="EZ325" s="50">
        <f t="shared" si="476"/>
        <v>3.1698994252873564E-2</v>
      </c>
      <c r="FA325" s="51">
        <f t="shared" si="477"/>
        <v>40751</v>
      </c>
      <c r="FB325" s="51">
        <f t="shared" si="478"/>
        <v>25938</v>
      </c>
      <c r="FC325" s="14">
        <f>INT(SUMPRODUCT($AP325:$AT325,$BF325:$BJ325)/SUM($BF325:$BJ325)/10000*$BX$7*$BZ$46/'疲劳值&amp;地图信息'!$R$10*$BY$57)</f>
        <v>2354</v>
      </c>
      <c r="FD325" s="50">
        <f t="shared" si="479"/>
        <v>0.59022638066132704</v>
      </c>
      <c r="FE325" s="50">
        <f t="shared" si="480"/>
        <v>0.37567892472806802</v>
      </c>
      <c r="FF325" s="50">
        <f t="shared" si="481"/>
        <v>3.4094694610604985E-2</v>
      </c>
      <c r="FH325" s="14">
        <f t="shared" si="482"/>
        <v>29644</v>
      </c>
      <c r="FI325" s="14">
        <f t="shared" si="483"/>
        <v>34001</v>
      </c>
      <c r="FJ325" s="14">
        <f t="shared" si="484"/>
        <v>39354</v>
      </c>
      <c r="FK325" s="14">
        <f t="shared" si="485"/>
        <v>55680</v>
      </c>
      <c r="FL325" s="14">
        <f t="shared" si="486"/>
        <v>69043</v>
      </c>
      <c r="FM325" s="14">
        <f t="shared" si="487"/>
        <v>3494763</v>
      </c>
      <c r="FP325" s="14">
        <f t="shared" si="488"/>
        <v>334150</v>
      </c>
      <c r="FQ325" s="50">
        <f t="shared" si="428"/>
        <v>8.7270199140069254E-2</v>
      </c>
      <c r="FS325" s="14">
        <f t="shared" si="489"/>
        <v>3828913</v>
      </c>
      <c r="FX325" s="14">
        <v>320</v>
      </c>
      <c r="FY325" s="51">
        <f t="shared" si="490"/>
        <v>38375</v>
      </c>
      <c r="FZ325" s="51">
        <f t="shared" si="491"/>
        <v>1781</v>
      </c>
      <c r="GA325" s="51">
        <f>INT(SUMPRODUCT($N325:$R325,$BF325:$BJ325)/SUM($BF325:$BJ325)/10000*$BX$7*$BZ$46/'疲劳值&amp;地图信息'!$R$10*$BY$53)</f>
        <v>453</v>
      </c>
      <c r="GB325" s="50">
        <f t="shared" si="492"/>
        <v>0.94498756433302966</v>
      </c>
      <c r="GC325" s="50">
        <f t="shared" si="493"/>
        <v>4.3857273018296436E-2</v>
      </c>
      <c r="GD325" s="50">
        <f t="shared" si="494"/>
        <v>1.1155162648673939E-2</v>
      </c>
      <c r="GE325" s="51">
        <f t="shared" si="495"/>
        <v>42085</v>
      </c>
      <c r="GF325" s="51">
        <f t="shared" si="496"/>
        <v>3073</v>
      </c>
      <c r="GG325" s="14">
        <f>INT(SUMPRODUCT($U325:$Y325,$BF325:$BJ325)/SUM($BF325:$BJ325)/10000*$BX$7*$BZ$46/'疲劳值&amp;地图信息'!$R$10*$BY$54)</f>
        <v>867</v>
      </c>
      <c r="GH325" s="50">
        <f t="shared" si="497"/>
        <v>0.91439435089625198</v>
      </c>
      <c r="GI325" s="50">
        <f t="shared" si="498"/>
        <v>6.67680608365019E-2</v>
      </c>
      <c r="GJ325" s="50">
        <f t="shared" si="499"/>
        <v>1.8837588267246061E-2</v>
      </c>
      <c r="GK325" s="51">
        <f t="shared" si="500"/>
        <v>45870</v>
      </c>
      <c r="GL325" s="51">
        <f t="shared" si="501"/>
        <v>5413</v>
      </c>
      <c r="GM325" s="14">
        <f>INT(SUMPRODUCT($AB325:$AF325,$BF325:$BJ325)/SUM($BF325:$BJ325)/10000*$BX$7*$BZ$46/'疲劳值&amp;地图信息'!$R$10*$BY$55)</f>
        <v>1177</v>
      </c>
      <c r="GN325" s="50">
        <f t="shared" si="502"/>
        <v>0.87438048036599314</v>
      </c>
      <c r="GO325" s="50">
        <f t="shared" si="503"/>
        <v>0.10318337781166603</v>
      </c>
      <c r="GP325" s="50">
        <f t="shared" si="504"/>
        <v>2.2436141822340831E-2</v>
      </c>
      <c r="GQ325" s="51">
        <f t="shared" si="505"/>
        <v>55046</v>
      </c>
      <c r="GR325" s="51">
        <f t="shared" si="506"/>
        <v>14597</v>
      </c>
      <c r="GS325" s="14">
        <f>INT(SUMPRODUCT($AI325:$AM325,$BF325:$BJ325)/SUM($BF325:$BJ325)/10000*$BX$7*$BZ$46/'疲劳值&amp;地图信息'!$R$10*$BY$56)</f>
        <v>1765</v>
      </c>
      <c r="GT325" s="50">
        <f t="shared" si="507"/>
        <v>0.77086600941071026</v>
      </c>
      <c r="GU325" s="50">
        <f t="shared" si="508"/>
        <v>0.20441687205915304</v>
      </c>
      <c r="GV325" s="50">
        <f t="shared" si="509"/>
        <v>2.4717118530136681E-2</v>
      </c>
      <c r="GW325" s="51">
        <f t="shared" si="510"/>
        <v>57052</v>
      </c>
      <c r="GX325" s="51">
        <f t="shared" si="511"/>
        <v>25938</v>
      </c>
      <c r="GY325" s="14">
        <f>INT(SUMPRODUCT($AP325:$AT325,$BF325:$BJ325)/SUM($BF325:$BJ325)/10000*$BX$7*$BZ$46/'疲劳值&amp;地图信息'!$R$10*$BY$57)</f>
        <v>2354</v>
      </c>
      <c r="GZ325" s="50">
        <f t="shared" si="512"/>
        <v>0.66849456317960254</v>
      </c>
      <c r="HA325" s="50">
        <f t="shared" si="513"/>
        <v>0.30392294713160856</v>
      </c>
      <c r="HB325" s="50">
        <f t="shared" si="514"/>
        <v>2.7582489688788903E-2</v>
      </c>
      <c r="HD325" s="14">
        <f t="shared" si="515"/>
        <v>40609</v>
      </c>
      <c r="HE325" s="14">
        <f t="shared" si="516"/>
        <v>46025</v>
      </c>
      <c r="HF325" s="14">
        <f t="shared" si="517"/>
        <v>52460</v>
      </c>
      <c r="HG325" s="14">
        <f t="shared" si="518"/>
        <v>71408</v>
      </c>
      <c r="HH325" s="14">
        <f t="shared" si="519"/>
        <v>85344</v>
      </c>
      <c r="HI325" s="14">
        <f t="shared" si="520"/>
        <v>4726861</v>
      </c>
      <c r="HL325" s="14">
        <f t="shared" si="521"/>
        <v>430050</v>
      </c>
      <c r="HM325" s="50">
        <f t="shared" si="429"/>
        <v>8.3392945893384626E-2</v>
      </c>
      <c r="HO325" s="14">
        <f t="shared" si="522"/>
        <v>5156911</v>
      </c>
    </row>
    <row r="326" spans="11:223" x14ac:dyDescent="0.2">
      <c r="K326" s="14">
        <v>321</v>
      </c>
      <c r="L326" s="12">
        <f>求节点(节奏总纲!D$4:D$163,标准城池设计!AB$4:AB$163,$K326)*求节点(节奏总纲!D$4:D$163,攻城基础信息!$AC$5:$AC$164,$K326)</f>
        <v>808055.16434812907</v>
      </c>
      <c r="M326" s="12">
        <f>INDEX(其他调用!$AA$5:$AA$404,MATCH(K326,其他调用!$X$5:$X$404,0))*MIN(INDEX(其他调用!$AH$5:$AH$364,MATCH('征服点（新）'!K326,其他调用!$AG$5:$AG$364,0),1)/INDEX(其他调用!$AJ$5:$AJ$364,MATCH(K326,其他调用!$AG$5:$AG$364,0),0),5)*求节点(节奏总纲!D$4:D$163,攻城基础信息!$AC$5:$AC$164,$K326)</f>
        <v>52397.536749003644</v>
      </c>
      <c r="N326" s="12">
        <f>MIN(INDEX(其他调用!$AH$5:$AH$364,MATCH($K326,其他调用!$AG$5:$AG$364,0),1)/INDEX(其他调用!AH$5:AH$364,MATCH($K326,其他调用!$AG$5:$AG$364,0),0),1)*INDEX(其他调用!Y$5:Y$404,MATCH($K326,其他调用!$X$5:$X$404,0),0)</f>
        <v>42865.106767496894</v>
      </c>
      <c r="O326" s="12">
        <f>MIN(INDEX(其他调用!$AH$5:$AH$364,MATCH($K326,其他调用!$AG$5:$AG$364,0),1)/INDEX(其他调用!AI$5:AI$364,MATCH($K326,其他调用!$AG$5:$AG$364,0),0),1)*INDEX(其他调用!Z$5:Z$404,MATCH($K326,其他调用!$X$5:$X$404,0),0)</f>
        <v>25510.897065472946</v>
      </c>
      <c r="P326" s="12">
        <f>MIN(INDEX(其他调用!$AH$5:$AH$364,MATCH($K326,其他调用!$AG$5:$AG$364,0),1)/INDEX(其他调用!AJ$5:AJ$364,MATCH($K326,其他调用!$AG$5:$AG$364,0),0),1)*INDEX(其他调用!AA$5:AA$404,MATCH($K326,其他调用!$X$5:$X$404,0),0)</f>
        <v>14970.724785429622</v>
      </c>
      <c r="Q326" s="12">
        <f>MIN(INDEX(其他调用!$AH$5:$AH$364,MATCH($K326,其他调用!$AG$5:$AG$364,0),1)/INDEX(其他调用!AK$5:AK$364,MATCH($K326,其他调用!$AG$5:$AG$364,0),0),1)*INDEX(其他调用!AB$5:AB$404,MATCH($K326,其他调用!$X$5:$X$404,0),0)</f>
        <v>5837.6663068278031</v>
      </c>
      <c r="R326" s="12">
        <f>MIN(INDEX(其他调用!$AH$5:$AH$364,MATCH($K326,其他调用!$AG$5:$AG$364,0),1)/INDEX(其他调用!AL$5:AL$364,MATCH($K326,其他调用!$AG$5:$AG$364,0),0),1)*INDEX(其他调用!AC$5:AC$404,MATCH($K326,其他调用!$X$5:$X$404,0),0)</f>
        <v>3558.5590528250023</v>
      </c>
      <c r="S326" s="12">
        <f>求节点(节奏总纲!D$4:D$163,标准城池设计!AC$4:AC$163,$K326)*求节点(节奏总纲!D$4:D$163,攻城基础信息!$AD$5:$AD$164,$K326)</f>
        <v>886180.52469156904</v>
      </c>
      <c r="T326" s="12">
        <f>INDEX(其他调用!$AA$5:$AA$404,MATCH($K326,其他调用!$X$5:$X$404,0))*MIN(INDEX(其他调用!AI$5:AI$364,MATCH($K326,其他调用!$AG$5:$AG$364,0),1)/INDEX(其他调用!$AJ$5:$AJ$364,MATCH($K326,其他调用!$AG$5:$AG$364,0),0),5)*求节点(节奏总纲!D$4:D$163,攻城基础信息!$AD$5:$AD$164,$K326)</f>
        <v>90422.660268837513</v>
      </c>
      <c r="U326" s="12">
        <f>MIN(INDEX(其他调用!$AI$5:$AI$364,MATCH($K326,其他调用!$AG$5:$AG$364,0),1)/INDEX(其他调用!AH$5:AH$364,MATCH($K326,其他调用!$AG$5:$AG$364,0),0),1)*INDEX(其他调用!Y$5:Y$404,MATCH($K326,其他调用!$X$5:$X$404,0),0)</f>
        <v>42865.106767496894</v>
      </c>
      <c r="V326" s="12">
        <f>MIN(INDEX(其他调用!$AI$5:$AI$364,MATCH($K326,其他调用!$AG$5:$AG$364,0),1)/INDEX(其他调用!AI$5:AI$364,MATCH($K326,其他调用!$AG$5:$AG$364,0),0),1)*INDEX(其他调用!Z$5:Z$404,MATCH($K326,其他调用!$X$5:$X$404,0),0)</f>
        <v>44024.267582548302</v>
      </c>
      <c r="W326" s="12">
        <f>MIN(INDEX(其他调用!$AI$5:$AI$364,MATCH($K326,其他调用!$AG$5:$AG$364,0),1)/INDEX(其他调用!AJ$5:AJ$364,MATCH($K326,其他调用!$AG$5:$AG$364,0),0),1)*INDEX(其他调用!AA$5:AA$404,MATCH($K326,其他调用!$X$5:$X$404,0),0)</f>
        <v>25835.045791096451</v>
      </c>
      <c r="X326" s="12">
        <f>MIN(INDEX(其他调用!$AI$5:$AI$364,MATCH($K326,其他调用!$AG$5:$AG$364,0),1)/INDEX(其他调用!AK$5:AK$364,MATCH($K326,其他调用!$AG$5:$AG$364,0),0),1)*INDEX(其他调用!AB$5:AB$404,MATCH($K326,其他调用!$X$5:$X$404,0),0)</f>
        <v>10074.086492914523</v>
      </c>
      <c r="Y326" s="12">
        <f>MIN(INDEX(其他调用!$AI$5:$AI$364,MATCH($K326,其他调用!$AG$5:$AG$364,0),1)/INDEX(其他调用!AL$5:AL$364,MATCH($K326,其他调用!$AG$5:$AG$364,0),0),1)*INDEX(其他调用!AC$5:AC$404,MATCH($K326,其他调用!$X$5:$X$404,0),0)</f>
        <v>6141.0210526033961</v>
      </c>
      <c r="Z326" s="12">
        <f>求节点(节奏总纲!D$4:D$163,标准城池设计!AD$4:AD$163,$K326)*求节点(节奏总纲!D$4:D$163,攻城基础信息!$AE$5:$AE$164,$K326)</f>
        <v>965854.6355531601</v>
      </c>
      <c r="AA326" s="12">
        <f>INDEX(其他调用!$AA$5:$AA$404,MATCH($K326,其他调用!$X$5:$X$404,0))*MIN(INDEX(其他调用!AJ$5:AJ$364,MATCH($K326,其他调用!$AG$5:$AG$364,0),1)/INDEX(其他调用!$AJ$5:$AJ$364,MATCH($K326,其他调用!$AG$5:$AG$364,0),0),5)*求节点(节奏总纲!D$4:D$163,攻城基础信息!$AE$5:$AE$164,$K326)</f>
        <v>159437.07124283054</v>
      </c>
      <c r="AB326" s="12">
        <f>MIN(INDEX(其他调用!$AJ$5:$AJ$364,MATCH($K326,其他调用!$AG$5:$AG$364,0),1)/INDEX(其他调用!AH$5:AH$364,MATCH($K326,其他调用!$AG$5:$AG$364,0),0),1)*INDEX(其他调用!Y$5:Y$404,MATCH($K326,其他调用!$X$5:$X$404,0),0)</f>
        <v>42865.106767496894</v>
      </c>
      <c r="AC326" s="12">
        <f>MIN(INDEX(其他调用!$AJ$5:$AJ$364,MATCH($K326,其他调用!$AG$5:$AG$364,0),1)/INDEX(其他调用!AI$5:AI$364,MATCH($K326,其他调用!$AG$5:$AG$364,0),0),1)*INDEX(其他调用!Z$5:Z$404,MATCH($K326,其他调用!$X$5:$X$404,0),0)</f>
        <v>44024.267582548302</v>
      </c>
      <c r="AD326" s="12">
        <f>MIN(INDEX(其他调用!$AJ$5:$AJ$364,MATCH($K326,其他调用!$AG$5:$AG$364,0),1)/INDEX(其他调用!AJ$5:AJ$364,MATCH($K326,其他调用!$AG$5:$AG$364,0),0),1)*INDEX(其他调用!AA$5:AA$404,MATCH($K326,其他调用!$X$5:$X$404,0),0)</f>
        <v>45553.448926523037</v>
      </c>
      <c r="AE326" s="12">
        <f>MIN(INDEX(其他调用!$AJ$5:$AJ$364,MATCH($K326,其他调用!$AG$5:$AG$364,0),1)/INDEX(其他调用!AK$5:AK$364,MATCH($K326,其他调用!$AG$5:$AG$364,0),0),1)*INDEX(其他调用!AB$5:AB$404,MATCH($K326,其他调用!$X$5:$X$404,0),0)</f>
        <v>17763.056750397227</v>
      </c>
      <c r="AF326" s="12">
        <f>MIN(INDEX(其他调用!$AJ$5:$AJ$364,MATCH($K326,其他调用!$AG$5:$AG$364,0),1)/INDEX(其他调用!AL$5:AL$364,MATCH($K326,其他调用!$AG$5:$AG$364,0),0),1)*INDEX(其他调用!AC$5:AC$404,MATCH($K326,其他调用!$X$5:$X$404,0),0)</f>
        <v>10828.108885058764</v>
      </c>
      <c r="AG326" s="12">
        <f>求节点(节奏总纲!D$4:D$163,标准城池设计!AE$4:AE$163,$K326)*求节点(节奏总纲!D$4:D$163,攻城基础信息!$AF$5:$AF$164,$K326)</f>
        <v>1158641.2181439914</v>
      </c>
      <c r="AH326" s="12">
        <f>INDEX(其他调用!$AA$5:$AA$404,MATCH($K326,其他调用!$X$5:$X$404,0))*MIN(INDEX(其他调用!AK$5:AK$364,MATCH($K326,其他调用!$AG$5:$AG$364,0),1)/INDEX(其他调用!$AJ$5:$AJ$364,MATCH($K326,其他调用!$AG$5:$AG$364,0),0),5)*求节点(节奏总纲!D$4:D$163,攻城基础信息!$AF$5:$AF$164,$K326)</f>
        <v>429128.06619046599</v>
      </c>
      <c r="AI326" s="12">
        <f>MIN(INDEX(其他调用!$AK$5:$AK$364,MATCH($K326,其他调用!$AG$5:$AG$364,0),1)/INDEX(其他调用!AH$5:AH$364,MATCH($K326,其他调用!$AG$5:$AG$364,0),0),1)*INDEX(其他调用!Y$5:Y$404,MATCH($K326,其他调用!$X$5:$X$404,0),0)</f>
        <v>42865.106767496894</v>
      </c>
      <c r="AJ326" s="12">
        <f>MIN(INDEX(其他调用!$AK$5:$AK$364,MATCH($K326,其他调用!$AG$5:$AG$364,0),1)/INDEX(其他调用!AI$5:AI$364,MATCH($K326,其他调用!$AG$5:$AG$364,0),0),1)*INDEX(其他调用!Z$5:Z$404,MATCH($K326,其他调用!$X$5:$X$404,0),0)</f>
        <v>44024.267582548302</v>
      </c>
      <c r="AK326" s="12">
        <f>MIN(INDEX(其他调用!$AK$5:$AK$364,MATCH($K326,其他调用!$AG$5:$AG$364,0),1)/INDEX(其他调用!AJ$5:AJ$364,MATCH($K326,其他调用!$AG$5:$AG$364,0),0),1)*INDEX(其他调用!AA$5:AA$404,MATCH($K326,其他调用!$X$5:$X$404,0),0)</f>
        <v>45553.448926523037</v>
      </c>
      <c r="AL326" s="12">
        <f>MIN(INDEX(其他调用!$AK$5:$AK$364,MATCH($K326,其他调用!$AG$5:$AG$364,0),1)/INDEX(其他调用!AK$5:AK$364,MATCH($K326,其他调用!$AG$5:$AG$364,0),0),1)*INDEX(其他调用!AB$5:AB$404,MATCH($K326,其他调用!$X$5:$X$404,0),0)</f>
        <v>47809.622526995794</v>
      </c>
      <c r="AM326" s="12">
        <f>MIN(INDEX(其他调用!$AK$5:$AK$364,MATCH($K326,其他调用!$AG$5:$AG$364,0),1)/INDEX(其他调用!AL$5:AL$364,MATCH($K326,其他调用!$AG$5:$AG$364,0),0),1)*INDEX(其他调用!AC$5:AC$404,MATCH($K326,其他调用!$X$5:$X$404,0),0)</f>
        <v>29144.071639825845</v>
      </c>
      <c r="AN326" s="12">
        <f>求节点(节奏总纲!D$4:D$163,标准城池设计!AF$4:AF$163,$K326)*求节点(节奏总纲!D$4:D$163,攻城基础信息!$AG$5:$AG$164,$K326)</f>
        <v>1200562.1901201066</v>
      </c>
      <c r="AO326" s="12">
        <f>INDEX(其他调用!$AA$5:$AA$404,MATCH($K326,其他调用!$X$5:$X$404,0))*MIN(INDEX(其他调用!AL$5:AL$364,MATCH($K326,其他调用!$AG$5:$AG$364,0),1)/INDEX(其他调用!$AJ$5:$AJ$364,MATCH($K326,其他调用!$AG$5:$AG$364,0),0),5)*求节点(节奏总纲!D$4:D$163,攻城基础信息!$AG$5:$AG$164,$K326)</f>
        <v>761281.60216367245</v>
      </c>
      <c r="AP326" s="12">
        <f>MIN(INDEX(其他调用!$AL$5:$AL$364,MATCH($K326,其他调用!$AG$5:$AG$364,0),1)/INDEX(其他调用!AH$5:AH$364,MATCH($K326,其他调用!$AG$5:$AG$364,0),0),1)*INDEX(其他调用!Y$5:Y$404,MATCH($K326,其他调用!$X$5:$X$404,0),0)</f>
        <v>42865.106767496894</v>
      </c>
      <c r="AQ326" s="12">
        <f>MIN(INDEX(其他调用!$AL$5:$AL$364,MATCH($K326,其他调用!$AG$5:$AG$364,0),1)/INDEX(其他调用!AI$5:AI$364,MATCH($K326,其他调用!$AG$5:$AG$364,0),0),1)*INDEX(其他调用!Z$5:Z$404,MATCH($K326,其他调用!$X$5:$X$404,0),0)</f>
        <v>44024.267582548302</v>
      </c>
      <c r="AR326" s="12">
        <f>MIN(INDEX(其他调用!$AL$5:$AL$364,MATCH($K326,其他调用!$AG$5:$AG$364,0),1)/INDEX(其他调用!AJ$5:AJ$364,MATCH($K326,其他调用!$AG$5:$AG$364,0),0),1)*INDEX(其他调用!AA$5:AA$404,MATCH($K326,其他调用!$X$5:$X$404,0),0)</f>
        <v>45553.448926523037</v>
      </c>
      <c r="AS326" s="12">
        <f>MIN(INDEX(其他调用!$AL$5:$AL$364,MATCH($K326,其他调用!$AG$5:$AG$364,0),1)/INDEX(其他调用!AK$5:AK$364,MATCH($K326,其他调用!$AG$5:$AG$364,0),0),1)*INDEX(其他调用!AB$5:AB$404,MATCH($K326,其他调用!$X$5:$X$404,0),0)</f>
        <v>47809.622526995794</v>
      </c>
      <c r="AT326" s="12">
        <f>MIN(INDEX(其他调用!$AL$5:$AL$364,MATCH($K326,其他调用!$AG$5:$AG$364,0),1)/INDEX(其他调用!AL$5:AL$364,MATCH($K326,其他调用!$AG$5:$AG$364,0),0),1)*INDEX(其他调用!AC$5:AC$404,MATCH($K326,其他调用!$X$5:$X$404,0),0)</f>
        <v>51702.15443725363</v>
      </c>
      <c r="AV326" s="14">
        <f>IF(OR(AV$5="大R",AV$5="超R"),MAX(INDEX(其他调用!$H$5:$L$404,MATCH($K326,其他调用!$B$5:$B$404,0),MATCH(AV$5,其他调用!$H$4:$L$4,0))*120*0.85,2),INDEX(其他调用!$H$5:$L$404,MATCH($K326,其他调用!$B$5:$B$404,0),MATCH(AV$5,其他调用!$H$4:$L$4,0))*120*0.85)</f>
        <v>48.921801254999991</v>
      </c>
      <c r="AW326" s="14">
        <f>IF(OR(AW$5="大R",AW$5="超R"),MAX(INDEX(其他调用!$H$5:$L$404,MATCH($K326,其他调用!$B$5:$B$404,0),MATCH(AW$5,其他调用!$H$4:$L$4,0))*120*0.85,2),INDEX(其他调用!$H$5:$L$404,MATCH($K326,其他调用!$B$5:$B$404,0),MATCH(AW$5,其他调用!$H$4:$L$4,0))*120*0.85)</f>
        <v>48.237344010638395</v>
      </c>
      <c r="AX326" s="14">
        <f>IF(OR(AX$5="大R",AX$5="超R"),MAX(INDEX(其他调用!$H$5:$L$404,MATCH($K326,其他调用!$B$5:$B$404,0),MATCH(AX$5,其他调用!$H$4:$L$4,0))*120*0.85,2),INDEX(其他调用!$H$5:$L$404,MATCH($K326,其他调用!$B$5:$B$404,0),MATCH(AX$5,其他调用!$H$4:$L$4,0))*120*0.85)</f>
        <v>3.9376284143615998</v>
      </c>
      <c r="AY326" s="14">
        <f>IF(OR(AY$5="大R",AY$5="超R"),MAX(INDEX(其他调用!$H$5:$L$404,MATCH($K326,其他调用!$B$5:$B$404,0),MATCH(AY$5,其他调用!$H$4:$L$4,0))*120*0.85,2),INDEX(其他调用!$H$5:$L$404,MATCH($K326,其他调用!$B$5:$B$404,0),MATCH(AY$5,其他调用!$H$4:$L$4,0))*120*0.85)</f>
        <v>2</v>
      </c>
      <c r="AZ326" s="14">
        <f>IF(OR(AZ$5="大R",AZ$5="超R"),MAX(INDEX(其他调用!$H$5:$L$404,MATCH($K326,其他调用!$B$5:$B$404,0),MATCH(AZ$5,其他调用!$H$4:$L$4,0))*120*0.85,2),INDEX(其他调用!$H$5:$L$404,MATCH($K326,其他调用!$B$5:$B$404,0),MATCH(AZ$5,其他调用!$H$4:$L$4,0))*120*0.85)</f>
        <v>2</v>
      </c>
      <c r="BA326" s="14">
        <f>INDEX(其他调用!$H$5:$L$404,MATCH($K326,其他调用!$B$5:$B$404,0),MATCH(BA$5,其他调用!$H$4:$L$4,0))*INDEX(其他调用!$M$5:$M$404,MATCH($K326,其他调用!$B$5:$B$404,0))*0.6</f>
        <v>28.777530149999997</v>
      </c>
      <c r="BB326" s="14">
        <f>INDEX(其他调用!$H$5:$L$404,MATCH($K326,其他调用!$B$5:$B$404,0),MATCH(BB$5,其他调用!$H$4:$L$4,0))*INDEX(其他调用!$M$5:$M$404,MATCH($K326,其他调用!$B$5:$B$404,0))*0.6</f>
        <v>28.374908241551999</v>
      </c>
      <c r="BC326" s="14">
        <f>INDEX(其他调用!$H$5:$L$404,MATCH($K326,其他调用!$B$5:$B$404,0),MATCH(BC$5,其他调用!$H$4:$L$4,0))*INDEX(其他调用!$M$5:$M$404,MATCH($K326,其他调用!$B$5:$B$404,0))*0.6</f>
        <v>2.3162520084480001</v>
      </c>
      <c r="BD326" s="14">
        <f>INDEX(其他调用!$H$5:$L$404,MATCH($K326,其他调用!$B$5:$B$404,0),MATCH(BD$5,其他调用!$H$4:$L$4,0))*INDEX(其他调用!$M$5:$M$404,MATCH($K326,其他调用!$B$5:$B$404,0))*0.6</f>
        <v>0.4120776000000001</v>
      </c>
      <c r="BE326" s="14">
        <f>INDEX(其他调用!$H$5:$L$404,MATCH($K326,其他调用!$B$5:$B$404,0),MATCH(BE$5,其他调用!$H$4:$L$4,0))*INDEX(其他调用!$M$5:$M$404,MATCH($K326,其他调用!$B$5:$B$404,0))*0.6</f>
        <v>0.11923199999999998</v>
      </c>
      <c r="BF326" s="14">
        <f>IF(OR(BF$5="大R",BF$5="超R"),0,INDEX(其他调用!$H$5:$L$404,MATCH($K326,其他调用!$B$5:$B$404,0),MATCH(BF$5,其他调用!$H$4:$L$4,0))*50*0.4)</f>
        <v>9.5925100500000013</v>
      </c>
      <c r="BG326" s="14">
        <f>IF(OR(BG$5="大R",BG$5="超R"),0,INDEX(其他调用!$H$5:$L$404,MATCH($K326,其他调用!$B$5:$B$404,0),MATCH(BG$5,其他调用!$H$4:$L$4,0))*50*0.4)</f>
        <v>9.4583027471839998</v>
      </c>
      <c r="BH326" s="14">
        <f>IF(OR(BH$5="大R",BH$5="超R"),0,INDEX(其他调用!$H$5:$L$404,MATCH($K326,其他调用!$B$5:$B$404,0),MATCH(BH$5,其他调用!$H$4:$L$4,0))*50*0.4)</f>
        <v>0.77208400281600009</v>
      </c>
      <c r="BI326" s="14">
        <f>IF(OR(BI$5="大R",BI$5="超R"),0,INDEX(其他调用!$H$5:$L$404,MATCH($K326,其他调用!$B$5:$B$404,0),MATCH(BI$5,其他调用!$H$4:$L$4,0))*50*0.4)</f>
        <v>0</v>
      </c>
      <c r="BJ326" s="14">
        <f>IF(OR(BJ$5="大R",BJ$5="超R"),0,INDEX(其他调用!$H$5:$L$404,MATCH($K326,其他调用!$B$5:$B$404,0),MATCH(BJ$5,其他调用!$H$4:$L$4,0))*50*0.4)</f>
        <v>0</v>
      </c>
      <c r="BL326" s="14">
        <f t="shared" si="523"/>
        <v>321</v>
      </c>
      <c r="BM326" s="14">
        <f t="shared" si="430"/>
        <v>96</v>
      </c>
      <c r="BN326" s="14">
        <f>('疲劳值&amp;地图信息'!$S$10*'疲劳值&amp;地图信息'!$R$10+'疲劳值&amp;地图信息'!$S$11*'疲劳值&amp;地图信息'!$R$11+'疲劳值&amp;地图信息'!$S$12*'疲劳值&amp;地图信息'!$R$12+(BM326-'疲劳值&amp;地图信息'!$S$12-'疲劳值&amp;地图信息'!$S$11-'疲劳值&amp;地图信息'!$S$10)*'疲劳值&amp;地图信息'!$R$13)/BM326</f>
        <v>51.371477246638619</v>
      </c>
      <c r="BO326" s="14">
        <f>INDEX(其他调用!$M$5:$M$404,MATCH(BL326,其他调用!$B$5:$B$404,0))*0.6</f>
        <v>60</v>
      </c>
      <c r="BP326" s="14">
        <f>IF(BO326&gt;SUM('疲劳值&amp;地图信息'!$S$10:$S$12),('疲劳值&amp;地图信息'!$S$10*'疲劳值&amp;地图信息'!$R$10+'疲劳值&amp;地图信息'!$S$11*'疲劳值&amp;地图信息'!$R$11+'疲劳值&amp;地图信息'!$S$12*'疲劳值&amp;地图信息'!$R$12+(BO326-'疲劳值&amp;地图信息'!$S$12-'疲劳值&amp;地图信息'!$S$11-'疲劳值&amp;地图信息'!$S$10)*'疲劳值&amp;地图信息'!$R$13)/BO326,('疲劳值&amp;地图信息'!$S$10*'疲劳值&amp;地图信息'!$R$10+'疲劳值&amp;地图信息'!$S$11*'疲劳值&amp;地图信息'!$R$11+'疲劳值&amp;地图信息'!$S$12*'疲劳值&amp;地图信息'!$R$12+(BO326-'疲劳值&amp;地图信息'!$S$12-'疲劳值&amp;地图信息'!$S$11-'疲劳值&amp;地图信息'!$S$10)*'疲劳值&amp;地图信息'!$R$13)/BO326)</f>
        <v>44.158136341605953</v>
      </c>
      <c r="BQ326" s="14">
        <f t="shared" si="524"/>
        <v>20</v>
      </c>
      <c r="BR326" s="14">
        <f>('疲劳值&amp;地图信息'!$S$10*'疲劳值&amp;地图信息'!$R$10+($BQ326-'疲劳值&amp;地图信息'!$S$10)*'疲劳值&amp;地图信息'!$R$11)/$BQ326</f>
        <v>32.067203015074995</v>
      </c>
      <c r="CF326" s="14">
        <v>321</v>
      </c>
      <c r="CG326" s="51">
        <f t="shared" si="431"/>
        <v>16469</v>
      </c>
      <c r="CH326" s="51">
        <f t="shared" si="432"/>
        <v>1067</v>
      </c>
      <c r="CI326" s="51">
        <f>INT(SUMPRODUCT($N326:$R326,$BA326:$BE326)/SUM($BA326:$BE326)/10000*$BX$7*$BZ$34/'疲劳值&amp;地图信息'!$R$10*$BY$53)</f>
        <v>3373</v>
      </c>
      <c r="CJ326" s="50">
        <f t="shared" si="433"/>
        <v>0.78765125065761155</v>
      </c>
      <c r="CK326" s="50">
        <f t="shared" si="434"/>
        <v>5.1030656655028934E-2</v>
      </c>
      <c r="CL326" s="50">
        <f t="shared" si="435"/>
        <v>0.1613180926873595</v>
      </c>
      <c r="CM326" s="14">
        <f t="shared" si="436"/>
        <v>18061</v>
      </c>
      <c r="CN326" s="14">
        <f t="shared" si="437"/>
        <v>1842</v>
      </c>
      <c r="CO326" s="14">
        <f>INT(SUMPRODUCT($U326:$Y326,$BA326:$BE326)/SUM($BA326:$BE326)/10000*$BX$7*$BZ$34/'疲劳值&amp;地图信息'!$R$10*$BY$54)</f>
        <v>6462</v>
      </c>
      <c r="CP326" s="50">
        <f t="shared" si="438"/>
        <v>0.68503698084581832</v>
      </c>
      <c r="CQ326" s="50">
        <f t="shared" si="439"/>
        <v>6.9865351792148686E-2</v>
      </c>
      <c r="CR326" s="50">
        <f t="shared" si="440"/>
        <v>0.24509766736203301</v>
      </c>
      <c r="CS326" s="14">
        <f t="shared" si="441"/>
        <v>19685</v>
      </c>
      <c r="CT326" s="14">
        <f t="shared" si="442"/>
        <v>3249</v>
      </c>
      <c r="CU326" s="14">
        <f>INT(SUMPRODUCT($AB326:$AF326,$BA326:$BE326)/SUM($BA326:$BE326)/10000*$BX$7*$BZ$34/'疲劳值&amp;地图信息'!$R$10*$BY$55)</f>
        <v>8783</v>
      </c>
      <c r="CV326" s="50">
        <f t="shared" si="443"/>
        <v>0.62064507992559192</v>
      </c>
      <c r="CW326" s="50">
        <f t="shared" si="444"/>
        <v>0.10243717880001262</v>
      </c>
      <c r="CX326" s="50">
        <f t="shared" si="445"/>
        <v>0.27691774127439545</v>
      </c>
      <c r="CY326" s="14">
        <f t="shared" si="446"/>
        <v>23614</v>
      </c>
      <c r="CZ326" s="14">
        <f t="shared" si="447"/>
        <v>8746</v>
      </c>
      <c r="DA326" s="14">
        <f>INT(SUMPRODUCT($AI326:$AM326,$BA326:$BE326)/SUM($BA326:$BE326)/10000*$BX$7*$BZ$34/'疲劳值&amp;地图信息'!$R$10*$BY$56)</f>
        <v>13248</v>
      </c>
      <c r="DB326" s="50">
        <f t="shared" si="448"/>
        <v>0.51776004209787752</v>
      </c>
      <c r="DC326" s="50">
        <f t="shared" si="449"/>
        <v>0.19176460270128048</v>
      </c>
      <c r="DD326" s="50">
        <f t="shared" si="450"/>
        <v>0.29047535520084194</v>
      </c>
      <c r="DE326" s="14">
        <f t="shared" si="451"/>
        <v>24469</v>
      </c>
      <c r="DF326" s="14">
        <f t="shared" si="452"/>
        <v>15515</v>
      </c>
      <c r="DG326" s="14">
        <f>INT(SUMPRODUCT($AP326:$AT326,$BA326:$BE326)/SUM($BA326:$BE326)/10000*$BX$7*$BZ$34/'疲劳值&amp;地图信息'!$R$10*$BY$57)</f>
        <v>17683</v>
      </c>
      <c r="DH326" s="50">
        <f t="shared" si="453"/>
        <v>0.42431546638458739</v>
      </c>
      <c r="DI326" s="50">
        <f t="shared" si="454"/>
        <v>0.26904468760296185</v>
      </c>
      <c r="DJ326" s="50">
        <f t="shared" si="455"/>
        <v>0.30663984601245081</v>
      </c>
      <c r="DL326" s="14">
        <f t="shared" si="526"/>
        <v>20909</v>
      </c>
      <c r="DM326" s="14">
        <f t="shared" si="527"/>
        <v>26365</v>
      </c>
      <c r="DN326" s="14">
        <f t="shared" si="528"/>
        <v>31717</v>
      </c>
      <c r="DO326" s="14">
        <f t="shared" si="529"/>
        <v>45608</v>
      </c>
      <c r="DP326" s="14">
        <f t="shared" si="530"/>
        <v>57667</v>
      </c>
      <c r="DQ326" s="14">
        <f t="shared" si="531"/>
        <v>1448948</v>
      </c>
      <c r="DT326" s="14">
        <f t="shared" si="525"/>
        <v>235575</v>
      </c>
      <c r="DU326" s="50">
        <f t="shared" ref="DU326:DU365" si="532">DT326/(DQ326+DT326)</f>
        <v>0.13984671031502688</v>
      </c>
      <c r="DW326" s="14">
        <f t="shared" si="456"/>
        <v>1684523</v>
      </c>
      <c r="EB326" s="14">
        <v>321</v>
      </c>
      <c r="EC326" s="51">
        <f t="shared" si="457"/>
        <v>27448</v>
      </c>
      <c r="ED326" s="51">
        <f t="shared" si="458"/>
        <v>1779</v>
      </c>
      <c r="EE326" s="51">
        <f>INT(SUMPRODUCT($N326:$R326,$BF326:$BJ326)/SUM($BF326:$BJ326)/10000*$BX$7*$BZ$46/'疲劳值&amp;地图信息'!$R$10*$BY$53)</f>
        <v>453</v>
      </c>
      <c r="EF326" s="50">
        <f t="shared" si="459"/>
        <v>0.92479784366576823</v>
      </c>
      <c r="EG326" s="50">
        <f t="shared" si="460"/>
        <v>5.9939353099730461E-2</v>
      </c>
      <c r="EH326" s="50">
        <f t="shared" si="461"/>
        <v>1.5262803234501347E-2</v>
      </c>
      <c r="EI326" s="51">
        <f t="shared" si="462"/>
        <v>30102</v>
      </c>
      <c r="EJ326" s="51">
        <f t="shared" si="463"/>
        <v>3071</v>
      </c>
      <c r="EK326" s="14">
        <f>INT(SUMPRODUCT($U326:$Y326,$BF326:$BJ326)/SUM($BF326:$BJ326)/10000*$BX$7*$BZ$46/'疲劳值&amp;地图信息'!$R$10*$BY$54)</f>
        <v>867</v>
      </c>
      <c r="EL326" s="50">
        <f t="shared" si="464"/>
        <v>0.88431257344300818</v>
      </c>
      <c r="EM326" s="50">
        <f t="shared" si="465"/>
        <v>9.0217391304347833E-2</v>
      </c>
      <c r="EN326" s="50">
        <f t="shared" si="466"/>
        <v>2.5470035252643949E-2</v>
      </c>
      <c r="EO326" s="51">
        <f t="shared" si="467"/>
        <v>32808</v>
      </c>
      <c r="EP326" s="51">
        <f t="shared" si="468"/>
        <v>5415</v>
      </c>
      <c r="EQ326" s="14">
        <f>INT(SUMPRODUCT($AB326:$AF326,$BF326:$BJ326)/SUM($BF326:$BJ326)/10000*$BX$7*$BZ$46/'疲劳值&amp;地图信息'!$R$10*$BY$55)</f>
        <v>1177</v>
      </c>
      <c r="ER326" s="50">
        <f t="shared" si="469"/>
        <v>0.83269035532994928</v>
      </c>
      <c r="ES326" s="50">
        <f t="shared" si="470"/>
        <v>0.13743654822335025</v>
      </c>
      <c r="ET326" s="50">
        <f t="shared" si="471"/>
        <v>2.9873096446700508E-2</v>
      </c>
      <c r="EU326" s="51">
        <f t="shared" si="472"/>
        <v>39357</v>
      </c>
      <c r="EV326" s="51">
        <f t="shared" si="473"/>
        <v>14576</v>
      </c>
      <c r="EW326" s="14">
        <f>INT(SUMPRODUCT($AI326:$AM326,$BF326:$BJ326)/SUM($BF326:$BJ326)/10000*$BX$7*$BZ$46/'疲劳值&amp;地图信息'!$R$10*$BY$56)</f>
        <v>1766</v>
      </c>
      <c r="EX326" s="50">
        <f t="shared" si="474"/>
        <v>0.70660155478554376</v>
      </c>
      <c r="EY326" s="50">
        <f t="shared" si="475"/>
        <v>0.26169231045440672</v>
      </c>
      <c r="EZ326" s="50">
        <f t="shared" si="476"/>
        <v>3.1706134760049555E-2</v>
      </c>
      <c r="FA326" s="51">
        <f t="shared" si="477"/>
        <v>40781</v>
      </c>
      <c r="FB326" s="51">
        <f t="shared" si="478"/>
        <v>25859</v>
      </c>
      <c r="FC326" s="14">
        <f>INT(SUMPRODUCT($AP326:$AT326,$BF326:$BJ326)/SUM($BF326:$BJ326)/10000*$BX$7*$BZ$46/'疲劳值&amp;地图信息'!$R$10*$BY$57)</f>
        <v>2355</v>
      </c>
      <c r="FD326" s="50">
        <f t="shared" si="479"/>
        <v>0.59107181679831877</v>
      </c>
      <c r="FE326" s="50">
        <f t="shared" si="480"/>
        <v>0.37479527501992899</v>
      </c>
      <c r="FF326" s="50">
        <f t="shared" si="481"/>
        <v>3.4132908181752304E-2</v>
      </c>
      <c r="FH326" s="14">
        <f t="shared" si="482"/>
        <v>29680</v>
      </c>
      <c r="FI326" s="14">
        <f t="shared" si="483"/>
        <v>34040</v>
      </c>
      <c r="FJ326" s="14">
        <f t="shared" si="484"/>
        <v>39400</v>
      </c>
      <c r="FK326" s="14">
        <f t="shared" si="485"/>
        <v>55699</v>
      </c>
      <c r="FL326" s="14">
        <f t="shared" si="486"/>
        <v>68995</v>
      </c>
      <c r="FM326" s="14">
        <f t="shared" si="487"/>
        <v>3498528</v>
      </c>
      <c r="FP326" s="14">
        <f t="shared" si="488"/>
        <v>334150</v>
      </c>
      <c r="FQ326" s="50">
        <f t="shared" ref="FQ326:FQ365" si="533">FP326/(FM326+FP326)</f>
        <v>8.7184469971127235E-2</v>
      </c>
      <c r="FS326" s="14">
        <f t="shared" si="489"/>
        <v>3832678</v>
      </c>
      <c r="FX326" s="14">
        <v>321</v>
      </c>
      <c r="FY326" s="51">
        <f t="shared" si="490"/>
        <v>38428</v>
      </c>
      <c r="FZ326" s="51">
        <f t="shared" si="491"/>
        <v>1779</v>
      </c>
      <c r="GA326" s="51">
        <f>INT(SUMPRODUCT($N326:$R326,$BF326:$BJ326)/SUM($BF326:$BJ326)/10000*$BX$7*$BZ$46/'疲劳值&amp;地图信息'!$R$10*$BY$53)</f>
        <v>453</v>
      </c>
      <c r="GB326" s="50">
        <f t="shared" si="492"/>
        <v>0.94510575504181016</v>
      </c>
      <c r="GC326" s="50">
        <f t="shared" si="493"/>
        <v>4.3753074274471226E-2</v>
      </c>
      <c r="GD326" s="50">
        <f t="shared" si="494"/>
        <v>1.1141170683718643E-2</v>
      </c>
      <c r="GE326" s="51">
        <f t="shared" si="495"/>
        <v>42143</v>
      </c>
      <c r="GF326" s="51">
        <f t="shared" si="496"/>
        <v>3071</v>
      </c>
      <c r="GG326" s="14">
        <f>INT(SUMPRODUCT($U326:$Y326,$BF326:$BJ326)/SUM($BF326:$BJ326)/10000*$BX$7*$BZ$46/'疲劳值&amp;地图信息'!$R$10*$BY$54)</f>
        <v>867</v>
      </c>
      <c r="GH326" s="50">
        <f t="shared" si="497"/>
        <v>0.9145417851175105</v>
      </c>
      <c r="GI326" s="50">
        <f t="shared" si="498"/>
        <v>6.664351902085458E-2</v>
      </c>
      <c r="GJ326" s="50">
        <f t="shared" si="499"/>
        <v>1.8814695861634947E-2</v>
      </c>
      <c r="GK326" s="51">
        <f t="shared" si="500"/>
        <v>45932</v>
      </c>
      <c r="GL326" s="51">
        <f t="shared" si="501"/>
        <v>5415</v>
      </c>
      <c r="GM326" s="14">
        <f>INT(SUMPRODUCT($AB326:$AF326,$BF326:$BJ326)/SUM($BF326:$BJ326)/10000*$BX$7*$BZ$46/'疲劳值&amp;地图信息'!$R$10*$BY$55)</f>
        <v>1177</v>
      </c>
      <c r="GN326" s="50">
        <f t="shared" si="502"/>
        <v>0.87449546873810069</v>
      </c>
      <c r="GO326" s="50">
        <f t="shared" si="503"/>
        <v>0.10309572766735207</v>
      </c>
      <c r="GP326" s="50">
        <f t="shared" si="504"/>
        <v>2.2408803594547253E-2</v>
      </c>
      <c r="GQ326" s="51">
        <f t="shared" si="505"/>
        <v>55100</v>
      </c>
      <c r="GR326" s="51">
        <f t="shared" si="506"/>
        <v>14576</v>
      </c>
      <c r="GS326" s="14">
        <f>INT(SUMPRODUCT($AI326:$AM326,$BF326:$BJ326)/SUM($BF326:$BJ326)/10000*$BX$7*$BZ$46/'疲劳值&amp;地图信息'!$R$10*$BY$56)</f>
        <v>1766</v>
      </c>
      <c r="GT326" s="50">
        <f t="shared" si="507"/>
        <v>0.77125500405923686</v>
      </c>
      <c r="GU326" s="50">
        <f t="shared" si="508"/>
        <v>0.20402564317908234</v>
      </c>
      <c r="GV326" s="50">
        <f t="shared" si="509"/>
        <v>2.4719352761680805E-2</v>
      </c>
      <c r="GW326" s="51">
        <f t="shared" si="510"/>
        <v>57094</v>
      </c>
      <c r="GX326" s="51">
        <f t="shared" si="511"/>
        <v>25859</v>
      </c>
      <c r="GY326" s="14">
        <f>INT(SUMPRODUCT($AP326:$AT326,$BF326:$BJ326)/SUM($BF326:$BJ326)/10000*$BX$7*$BZ$46/'疲劳值&amp;地图信息'!$R$10*$BY$57)</f>
        <v>2355</v>
      </c>
      <c r="GZ326" s="50">
        <f t="shared" si="512"/>
        <v>0.66926900173489001</v>
      </c>
      <c r="HA326" s="50">
        <f t="shared" si="513"/>
        <v>0.30312514652787548</v>
      </c>
      <c r="HB326" s="50">
        <f t="shared" si="514"/>
        <v>2.7605851737234493E-2</v>
      </c>
      <c r="HD326" s="14">
        <f t="shared" si="515"/>
        <v>40660</v>
      </c>
      <c r="HE326" s="14">
        <f t="shared" si="516"/>
        <v>46081</v>
      </c>
      <c r="HF326" s="14">
        <f t="shared" si="517"/>
        <v>52524</v>
      </c>
      <c r="HG326" s="14">
        <f t="shared" si="518"/>
        <v>71442</v>
      </c>
      <c r="HH326" s="14">
        <f t="shared" si="519"/>
        <v>85308</v>
      </c>
      <c r="HI326" s="14">
        <f t="shared" si="520"/>
        <v>4732305</v>
      </c>
      <c r="HL326" s="14">
        <f t="shared" si="521"/>
        <v>430050</v>
      </c>
      <c r="HM326" s="50">
        <f t="shared" ref="HM326:HM365" si="534">HL326/(HI326+HL326)</f>
        <v>8.3305003239800446E-2</v>
      </c>
      <c r="HO326" s="14">
        <f t="shared" si="522"/>
        <v>5162355</v>
      </c>
    </row>
    <row r="327" spans="11:223" x14ac:dyDescent="0.2">
      <c r="K327" s="14">
        <v>322</v>
      </c>
      <c r="L327" s="12">
        <f>求节点(节奏总纲!D$4:D$163,标准城池设计!AB$4:AB$163,$K327)*求节点(节奏总纲!D$4:D$163,攻城基础信息!$AC$5:$AC$164,$K327)</f>
        <v>809171.81393411872</v>
      </c>
      <c r="M327" s="12">
        <f>INDEX(其他调用!$AA$5:$AA$404,MATCH(K327,其他调用!$X$5:$X$404,0))*MIN(INDEX(其他调用!$AH$5:$AH$364,MATCH('征服点（新）'!K327,其他调用!$AG$5:$AG$364,0),1)/INDEX(其他调用!$AJ$5:$AJ$364,MATCH(K327,其他调用!$AG$5:$AG$364,0),0),5)*求节点(节奏总纲!D$4:D$163,攻城基础信息!$AC$5:$AC$164,$K327)</f>
        <v>52337.090293020185</v>
      </c>
      <c r="N327" s="12">
        <f>MIN(INDEX(其他调用!$AH$5:$AH$364,MATCH($K327,其他调用!$AG$5:$AG$364,0),1)/INDEX(其他调用!AH$5:AH$364,MATCH($K327,其他调用!$AG$5:$AG$364,0),0),1)*INDEX(其他调用!Y$5:Y$404,MATCH($K327,其他调用!$X$5:$X$404,0),0)</f>
        <v>42882.916253409436</v>
      </c>
      <c r="O327" s="12">
        <f>MIN(INDEX(其他调用!$AH$5:$AH$364,MATCH($K327,其他调用!$AG$5:$AG$364,0),1)/INDEX(其他调用!AI$5:AI$364,MATCH($K327,其他调用!$AG$5:$AG$364,0),0),1)*INDEX(其他调用!Z$5:Z$404,MATCH($K327,其他调用!$X$5:$X$404,0),0)</f>
        <v>25504.249509722962</v>
      </c>
      <c r="P327" s="12">
        <f>MIN(INDEX(其他调用!$AH$5:$AH$364,MATCH($K327,其他调用!$AG$5:$AG$364,0),1)/INDEX(其他调用!AJ$5:AJ$364,MATCH($K327,其他调用!$AG$5:$AG$364,0),0),1)*INDEX(其他调用!AA$5:AA$404,MATCH($K327,其他调用!$X$5:$X$404,0),0)</f>
        <v>14953.454369434348</v>
      </c>
      <c r="Q327" s="12">
        <f>MIN(INDEX(其他调用!$AH$5:$AH$364,MATCH($K327,其他调用!$AG$5:$AG$364,0),1)/INDEX(其他调用!AK$5:AK$364,MATCH($K327,其他调用!$AG$5:$AG$364,0),0),1)*INDEX(其他调用!AB$5:AB$404,MATCH($K327,其他调用!$X$5:$X$404,0),0)</f>
        <v>5841.2087325051307</v>
      </c>
      <c r="R327" s="12">
        <f>MIN(INDEX(其他调用!$AH$5:$AH$364,MATCH($K327,其他调用!$AG$5:$AG$364,0),1)/INDEX(其他调用!AL$5:AL$364,MATCH($K327,其他调用!$AG$5:$AG$364,0),0),1)*INDEX(其他调用!AC$5:AC$404,MATCH($K327,其他调用!$X$5:$X$404,0),0)</f>
        <v>3566.3891601631067</v>
      </c>
      <c r="S327" s="12">
        <f>求节点(节奏总纲!D$4:D$163,标准城池设计!AC$4:AC$163,$K327)*求节点(节奏总纲!D$4:D$163,攻城基础信息!$AD$5:$AD$164,$K327)</f>
        <v>887401.91866665881</v>
      </c>
      <c r="T327" s="12">
        <f>INDEX(其他调用!$AA$5:$AA$404,MATCH($K327,其他调用!$X$5:$X$404,0))*MIN(INDEX(其他调用!AI$5:AI$364,MATCH($K327,其他调用!$AG$5:$AG$364,0),1)/INDEX(其他调用!$AJ$5:$AJ$364,MATCH($K327,其他调用!$AG$5:$AG$364,0),0),5)*求节点(节奏总纲!D$4:D$163,攻城基础信息!$AD$5:$AD$164,$K327)</f>
        <v>90378.535704254929</v>
      </c>
      <c r="U327" s="12">
        <f>MIN(INDEX(其他调用!$AI$5:$AI$364,MATCH($K327,其他调用!$AG$5:$AG$364,0),1)/INDEX(其他调用!AH$5:AH$364,MATCH($K327,其他调用!$AG$5:$AG$364,0),0),1)*INDEX(其他调用!Y$5:Y$404,MATCH($K327,其他调用!$X$5:$X$404,0),0)</f>
        <v>42882.916253409436</v>
      </c>
      <c r="V327" s="12">
        <f>MIN(INDEX(其他调用!$AI$5:$AI$364,MATCH($K327,其他调用!$AG$5:$AG$364,0),1)/INDEX(其他调用!AI$5:AI$364,MATCH($K327,其他调用!$AG$5:$AG$364,0),0),1)*INDEX(其他调用!Z$5:Z$404,MATCH($K327,其他调用!$X$5:$X$404,0),0)</f>
        <v>44042.125995531875</v>
      </c>
      <c r="W327" s="12">
        <f>MIN(INDEX(其他调用!$AI$5:$AI$364,MATCH($K327,其他调用!$AG$5:$AG$364,0),1)/INDEX(其他调用!AJ$5:AJ$364,MATCH($K327,其他调用!$AG$5:$AG$364,0),0),1)*INDEX(其他调用!AA$5:AA$404,MATCH($K327,其他调用!$X$5:$X$404,0),0)</f>
        <v>25822.438772644284</v>
      </c>
      <c r="X327" s="12">
        <f>MIN(INDEX(其他调用!$AI$5:$AI$364,MATCH($K327,其他调用!$AG$5:$AG$364,0),1)/INDEX(其他调用!AK$5:AK$364,MATCH($K327,其他调用!$AG$5:$AG$364,0),0),1)*INDEX(其他调用!AB$5:AB$404,MATCH($K327,其他调用!$X$5:$X$404,0),0)</f>
        <v>10086.917118071531</v>
      </c>
      <c r="Y327" s="12">
        <f>MIN(INDEX(其他调用!$AI$5:$AI$364,MATCH($K327,其他调用!$AG$5:$AG$364,0),1)/INDEX(其他调用!AL$5:AL$364,MATCH($K327,其他调用!$AG$5:$AG$364,0),0),1)*INDEX(其他调用!AC$5:AC$404,MATCH($K327,其他调用!$X$5:$X$404,0),0)</f>
        <v>6158.634884791355</v>
      </c>
      <c r="Z327" s="12">
        <f>求节点(节奏总纲!D$4:D$163,标准城池设计!AD$4:AD$163,$K327)*求节点(节奏总纲!D$4:D$163,攻城基础信息!$AE$5:$AE$164,$K327)</f>
        <v>967161.34185902483</v>
      </c>
      <c r="AA327" s="12">
        <f>INDEX(其他调用!$AA$5:$AA$404,MATCH($K327,其他调用!$X$5:$X$404,0))*MIN(INDEX(其他调用!AJ$5:AJ$364,MATCH($K327,其他调用!$AG$5:$AG$364,0),1)/INDEX(其他调用!$AJ$5:$AJ$364,MATCH($K327,其他调用!$AG$5:$AG$364,0),0),5)*求节点(节奏总纲!D$4:D$163,攻城基础信息!$AE$5:$AE$164,$K327)</f>
        <v>159501.78061981182</v>
      </c>
      <c r="AB327" s="12">
        <f>MIN(INDEX(其他调用!$AJ$5:$AJ$364,MATCH($K327,其他调用!$AG$5:$AG$364,0),1)/INDEX(其他调用!AH$5:AH$364,MATCH($K327,其他调用!$AG$5:$AG$364,0),0),1)*INDEX(其他调用!Y$5:Y$404,MATCH($K327,其他调用!$X$5:$X$404,0),0)</f>
        <v>42882.916253409436</v>
      </c>
      <c r="AC327" s="12">
        <f>MIN(INDEX(其他调用!$AJ$5:$AJ$364,MATCH($K327,其他调用!$AG$5:$AG$364,0),1)/INDEX(其他调用!AI$5:AI$364,MATCH($K327,其他调用!$AG$5:$AG$364,0),0),1)*INDEX(其他调用!Z$5:Z$404,MATCH($K327,其他调用!$X$5:$X$404,0),0)</f>
        <v>44042.125995531875</v>
      </c>
      <c r="AD327" s="12">
        <f>MIN(INDEX(其他调用!$AJ$5:$AJ$364,MATCH($K327,其他调用!$AG$5:$AG$364,0),1)/INDEX(其他调用!AJ$5:AJ$364,MATCH($K327,其他调用!$AG$5:$AG$364,0),0),1)*INDEX(其他调用!AA$5:AA$404,MATCH($K327,其他调用!$X$5:$X$404,0),0)</f>
        <v>45571.937319946264</v>
      </c>
      <c r="AE327" s="12">
        <f>MIN(INDEX(其他调用!$AJ$5:$AJ$364,MATCH($K327,其他调用!$AG$5:$AG$364,0),1)/INDEX(其他调用!AK$5:AK$364,MATCH($K327,其他调用!$AG$5:$AG$364,0),0),1)*INDEX(其他调用!AB$5:AB$404,MATCH($K327,其他调用!$X$5:$X$404,0),0)</f>
        <v>17801.585617204517</v>
      </c>
      <c r="AF327" s="12">
        <f>MIN(INDEX(其他调用!$AJ$5:$AJ$364,MATCH($K327,其他调用!$AG$5:$AG$364,0),1)/INDEX(其他调用!AL$5:AL$364,MATCH($K327,其他调用!$AG$5:$AG$364,0),0),1)*INDEX(其他调用!AC$5:AC$404,MATCH($K327,其他调用!$X$5:$X$404,0),0)</f>
        <v>10868.877468052011</v>
      </c>
      <c r="AG327" s="12">
        <f>求节点(节奏总纲!D$4:D$163,标准城池设计!AE$4:AE$163,$K327)*求节点(节奏总纲!D$4:D$163,攻城基础信息!$AF$5:$AF$164,$K327)</f>
        <v>1159790.6282707832</v>
      </c>
      <c r="AH327" s="12">
        <f>INDEX(其他调用!$AA$5:$AA$404,MATCH($K327,其他调用!$X$5:$X$404,0))*MIN(INDEX(其他调用!AK$5:AK$364,MATCH($K327,其他调用!$AG$5:$AG$364,0),1)/INDEX(其他调用!$AJ$5:$AJ$364,MATCH($K327,其他调用!$AG$5:$AG$364,0),0),5)*求节点(节奏总纲!D$4:D$163,攻城基础信息!$AF$5:$AF$164,$K327)</f>
        <v>428534.63715569134</v>
      </c>
      <c r="AI327" s="12">
        <f>MIN(INDEX(其他调用!$AK$5:$AK$364,MATCH($K327,其他调用!$AG$5:$AG$364,0),1)/INDEX(其他调用!AH$5:AH$364,MATCH($K327,其他调用!$AG$5:$AG$364,0),0),1)*INDEX(其他调用!Y$5:Y$404,MATCH($K327,其他调用!$X$5:$X$404,0),0)</f>
        <v>42882.916253409436</v>
      </c>
      <c r="AJ327" s="12">
        <f>MIN(INDEX(其他调用!$AK$5:$AK$364,MATCH($K327,其他调用!$AG$5:$AG$364,0),1)/INDEX(其他调用!AI$5:AI$364,MATCH($K327,其他调用!$AG$5:$AG$364,0),0),1)*INDEX(其他调用!Z$5:Z$404,MATCH($K327,其他调用!$X$5:$X$404,0),0)</f>
        <v>44042.125995531875</v>
      </c>
      <c r="AK327" s="12">
        <f>MIN(INDEX(其他调用!$AK$5:$AK$364,MATCH($K327,其他调用!$AG$5:$AG$364,0),1)/INDEX(其他调用!AJ$5:AJ$364,MATCH($K327,其他调用!$AG$5:$AG$364,0),0),1)*INDEX(其他调用!AA$5:AA$404,MATCH($K327,其他调用!$X$5:$X$404,0),0)</f>
        <v>45571.937319946264</v>
      </c>
      <c r="AL327" s="12">
        <f>MIN(INDEX(其他调用!$AK$5:$AK$364,MATCH($K327,其他调用!$AG$5:$AG$364,0),1)/INDEX(其他调用!AK$5:AK$364,MATCH($K327,其他调用!$AG$5:$AG$364,0),0),1)*INDEX(其他调用!AB$5:AB$404,MATCH($K327,其他调用!$X$5:$X$404,0),0)</f>
        <v>47827.654359848311</v>
      </c>
      <c r="AM327" s="12">
        <f>MIN(INDEX(其他调用!$AK$5:$AK$364,MATCH($K327,其他调用!$AG$5:$AG$364,0),1)/INDEX(其他调用!AL$5:AL$364,MATCH($K327,其他调用!$AG$5:$AG$364,0),0),1)*INDEX(其他调用!AC$5:AC$404,MATCH($K327,其他调用!$X$5:$X$404,0),0)</f>
        <v>29201.495080254939</v>
      </c>
      <c r="AN327" s="12">
        <f>求节点(节奏总纲!D$4:D$163,标准城池设计!AF$4:AF$163,$K327)*求节点(节奏总纲!D$4:D$163,攻城基础信息!$AG$5:$AG$164,$K327)</f>
        <v>1201436.306323841</v>
      </c>
      <c r="AO327" s="12">
        <f>INDEX(其他调用!$AA$5:$AA$404,MATCH($K327,其他调用!$X$5:$X$404,0))*MIN(INDEX(其他调用!AL$5:AL$364,MATCH($K327,其他调用!$AG$5:$AG$364,0),1)/INDEX(其他调用!$AJ$5:$AJ$364,MATCH($K327,其他调用!$AG$5:$AG$364,0),0),5)*求节点(节奏总纲!D$4:D$163,攻城基础信息!$AG$5:$AG$164,$K327)</f>
        <v>759001.00396972429</v>
      </c>
      <c r="AP327" s="12">
        <f>MIN(INDEX(其他调用!$AL$5:$AL$364,MATCH($K327,其他调用!$AG$5:$AG$364,0),1)/INDEX(其他调用!AH$5:AH$364,MATCH($K327,其他调用!$AG$5:$AG$364,0),0),1)*INDEX(其他调用!Y$5:Y$404,MATCH($K327,其他调用!$X$5:$X$404,0),0)</f>
        <v>42882.916253409436</v>
      </c>
      <c r="AQ327" s="12">
        <f>MIN(INDEX(其他调用!$AL$5:$AL$364,MATCH($K327,其他调用!$AG$5:$AG$364,0),1)/INDEX(其他调用!AI$5:AI$364,MATCH($K327,其他调用!$AG$5:$AG$364,0),0),1)*INDEX(其他调用!Z$5:Z$404,MATCH($K327,其他调用!$X$5:$X$404,0),0)</f>
        <v>44042.125995531875</v>
      </c>
      <c r="AR327" s="12">
        <f>MIN(INDEX(其他调用!$AL$5:$AL$364,MATCH($K327,其他调用!$AG$5:$AG$364,0),1)/INDEX(其他调用!AJ$5:AJ$364,MATCH($K327,其他调用!$AG$5:$AG$364,0),0),1)*INDEX(其他调用!AA$5:AA$404,MATCH($K327,其他调用!$X$5:$X$404,0),0)</f>
        <v>45571.937319946264</v>
      </c>
      <c r="AS327" s="12">
        <f>MIN(INDEX(其他调用!$AL$5:$AL$364,MATCH($K327,其他调用!$AG$5:$AG$364,0),1)/INDEX(其他调用!AK$5:AK$364,MATCH($K327,其他调用!$AG$5:$AG$364,0),0),1)*INDEX(其他调用!AB$5:AB$404,MATCH($K327,其他调用!$X$5:$X$404,0),0)</f>
        <v>47827.654359848311</v>
      </c>
      <c r="AT327" s="12">
        <f>MIN(INDEX(其他调用!$AL$5:$AL$364,MATCH($K327,其他调用!$AG$5:$AG$364,0),1)/INDEX(其他调用!AL$5:AL$364,MATCH($K327,其他调用!$AG$5:$AG$364,0),0),1)*INDEX(其他调用!AC$5:AC$404,MATCH($K327,其他调用!$X$5:$X$404,0),0)</f>
        <v>51720.356213068619</v>
      </c>
      <c r="AV327" s="14">
        <f>IF(OR(AV$5="大R",AV$5="超R"),MAX(INDEX(其他调用!$H$5:$L$404,MATCH($K327,其他调用!$B$5:$B$404,0),MATCH(AV$5,其他调用!$H$4:$L$4,0))*120*0.85,2),INDEX(其他调用!$H$5:$L$404,MATCH($K327,其他调用!$B$5:$B$404,0),MATCH(AV$5,其他调用!$H$4:$L$4,0))*120*0.85)</f>
        <v>48.921801254999991</v>
      </c>
      <c r="AW327" s="14">
        <f>IF(OR(AW$5="大R",AW$5="超R"),MAX(INDEX(其他调用!$H$5:$L$404,MATCH($K327,其他调用!$B$5:$B$404,0),MATCH(AW$5,其他调用!$H$4:$L$4,0))*120*0.85,2),INDEX(其他调用!$H$5:$L$404,MATCH($K327,其他调用!$B$5:$B$404,0),MATCH(AW$5,其他调用!$H$4:$L$4,0))*120*0.85)</f>
        <v>48.237344010638395</v>
      </c>
      <c r="AX327" s="14">
        <f>IF(OR(AX$5="大R",AX$5="超R"),MAX(INDEX(其他调用!$H$5:$L$404,MATCH($K327,其他调用!$B$5:$B$404,0),MATCH(AX$5,其他调用!$H$4:$L$4,0))*120*0.85,2),INDEX(其他调用!$H$5:$L$404,MATCH($K327,其他调用!$B$5:$B$404,0),MATCH(AX$5,其他调用!$H$4:$L$4,0))*120*0.85)</f>
        <v>3.9376284143615998</v>
      </c>
      <c r="AY327" s="14">
        <f>IF(OR(AY$5="大R",AY$5="超R"),MAX(INDEX(其他调用!$H$5:$L$404,MATCH($K327,其他调用!$B$5:$B$404,0),MATCH(AY$5,其他调用!$H$4:$L$4,0))*120*0.85,2),INDEX(其他调用!$H$5:$L$404,MATCH($K327,其他调用!$B$5:$B$404,0),MATCH(AY$5,其他调用!$H$4:$L$4,0))*120*0.85)</f>
        <v>2</v>
      </c>
      <c r="AZ327" s="14">
        <f>IF(OR(AZ$5="大R",AZ$5="超R"),MAX(INDEX(其他调用!$H$5:$L$404,MATCH($K327,其他调用!$B$5:$B$404,0),MATCH(AZ$5,其他调用!$H$4:$L$4,0))*120*0.85,2),INDEX(其他调用!$H$5:$L$404,MATCH($K327,其他调用!$B$5:$B$404,0),MATCH(AZ$5,其他调用!$H$4:$L$4,0))*120*0.85)</f>
        <v>2</v>
      </c>
      <c r="BA327" s="14">
        <f>INDEX(其他调用!$H$5:$L$404,MATCH($K327,其他调用!$B$5:$B$404,0),MATCH(BA$5,其他调用!$H$4:$L$4,0))*INDEX(其他调用!$M$5:$M$404,MATCH($K327,其他调用!$B$5:$B$404,0))*0.6</f>
        <v>28.777530149999997</v>
      </c>
      <c r="BB327" s="14">
        <f>INDEX(其他调用!$H$5:$L$404,MATCH($K327,其他调用!$B$5:$B$404,0),MATCH(BB$5,其他调用!$H$4:$L$4,0))*INDEX(其他调用!$M$5:$M$404,MATCH($K327,其他调用!$B$5:$B$404,0))*0.6</f>
        <v>28.374908241551999</v>
      </c>
      <c r="BC327" s="14">
        <f>INDEX(其他调用!$H$5:$L$404,MATCH($K327,其他调用!$B$5:$B$404,0),MATCH(BC$5,其他调用!$H$4:$L$4,0))*INDEX(其他调用!$M$5:$M$404,MATCH($K327,其他调用!$B$5:$B$404,0))*0.6</f>
        <v>2.3162520084480001</v>
      </c>
      <c r="BD327" s="14">
        <f>INDEX(其他调用!$H$5:$L$404,MATCH($K327,其他调用!$B$5:$B$404,0),MATCH(BD$5,其他调用!$H$4:$L$4,0))*INDEX(其他调用!$M$5:$M$404,MATCH($K327,其他调用!$B$5:$B$404,0))*0.6</f>
        <v>0.4120776000000001</v>
      </c>
      <c r="BE327" s="14">
        <f>INDEX(其他调用!$H$5:$L$404,MATCH($K327,其他调用!$B$5:$B$404,0),MATCH(BE$5,其他调用!$H$4:$L$4,0))*INDEX(其他调用!$M$5:$M$404,MATCH($K327,其他调用!$B$5:$B$404,0))*0.6</f>
        <v>0.11923199999999998</v>
      </c>
      <c r="BF327" s="14">
        <f>IF(OR(BF$5="大R",BF$5="超R"),0,INDEX(其他调用!$H$5:$L$404,MATCH($K327,其他调用!$B$5:$B$404,0),MATCH(BF$5,其他调用!$H$4:$L$4,0))*50*0.4)</f>
        <v>9.5925100500000013</v>
      </c>
      <c r="BG327" s="14">
        <f>IF(OR(BG$5="大R",BG$5="超R"),0,INDEX(其他调用!$H$5:$L$404,MATCH($K327,其他调用!$B$5:$B$404,0),MATCH(BG$5,其他调用!$H$4:$L$4,0))*50*0.4)</f>
        <v>9.4583027471839998</v>
      </c>
      <c r="BH327" s="14">
        <f>IF(OR(BH$5="大R",BH$5="超R"),0,INDEX(其他调用!$H$5:$L$404,MATCH($K327,其他调用!$B$5:$B$404,0),MATCH(BH$5,其他调用!$H$4:$L$4,0))*50*0.4)</f>
        <v>0.77208400281600009</v>
      </c>
      <c r="BI327" s="14">
        <f>IF(OR(BI$5="大R",BI$5="超R"),0,INDEX(其他调用!$H$5:$L$404,MATCH($K327,其他调用!$B$5:$B$404,0),MATCH(BI$5,其他调用!$H$4:$L$4,0))*50*0.4)</f>
        <v>0</v>
      </c>
      <c r="BJ327" s="14">
        <f>IF(OR(BJ$5="大R",BJ$5="超R"),0,INDEX(其他调用!$H$5:$L$404,MATCH($K327,其他调用!$B$5:$B$404,0),MATCH(BJ$5,其他调用!$H$4:$L$4,0))*50*0.4)</f>
        <v>0</v>
      </c>
      <c r="BL327" s="14">
        <f t="shared" si="523"/>
        <v>322</v>
      </c>
      <c r="BM327" s="14">
        <f t="shared" ref="BM327:BM365" si="535">120*0.8</f>
        <v>96</v>
      </c>
      <c r="BN327" s="14">
        <f>('疲劳值&amp;地图信息'!$S$10*'疲劳值&amp;地图信息'!$R$10+'疲劳值&amp;地图信息'!$S$11*'疲劳值&amp;地图信息'!$R$11+'疲劳值&amp;地图信息'!$S$12*'疲劳值&amp;地图信息'!$R$12+(BM327-'疲劳值&amp;地图信息'!$S$12-'疲劳值&amp;地图信息'!$S$11-'疲劳值&amp;地图信息'!$S$10)*'疲劳值&amp;地图信息'!$R$13)/BM327</f>
        <v>51.371477246638619</v>
      </c>
      <c r="BO327" s="14">
        <f>INDEX(其他调用!$M$5:$M$404,MATCH(BL327,其他调用!$B$5:$B$404,0))*0.6</f>
        <v>60</v>
      </c>
      <c r="BP327" s="14">
        <f>IF(BO327&gt;SUM('疲劳值&amp;地图信息'!$S$10:$S$12),('疲劳值&amp;地图信息'!$S$10*'疲劳值&amp;地图信息'!$R$10+'疲劳值&amp;地图信息'!$S$11*'疲劳值&amp;地图信息'!$R$11+'疲劳值&amp;地图信息'!$S$12*'疲劳值&amp;地图信息'!$R$12+(BO327-'疲劳值&amp;地图信息'!$S$12-'疲劳值&amp;地图信息'!$S$11-'疲劳值&amp;地图信息'!$S$10)*'疲劳值&amp;地图信息'!$R$13)/BO327,('疲劳值&amp;地图信息'!$S$10*'疲劳值&amp;地图信息'!$R$10+'疲劳值&amp;地图信息'!$S$11*'疲劳值&amp;地图信息'!$R$11+'疲劳值&amp;地图信息'!$S$12*'疲劳值&amp;地图信息'!$R$12+(BO327-'疲劳值&amp;地图信息'!$S$12-'疲劳值&amp;地图信息'!$S$11-'疲劳值&amp;地图信息'!$S$10)*'疲劳值&amp;地图信息'!$R$13)/BO327)</f>
        <v>44.158136341605953</v>
      </c>
      <c r="BQ327" s="14">
        <f t="shared" si="524"/>
        <v>20</v>
      </c>
      <c r="BR327" s="14">
        <f>('疲劳值&amp;地图信息'!$S$10*'疲劳值&amp;地图信息'!$R$10+($BQ327-'疲劳值&amp;地图信息'!$S$10)*'疲劳值&amp;地图信息'!$R$11)/$BQ327</f>
        <v>32.067203015074995</v>
      </c>
      <c r="CF327" s="14">
        <v>322</v>
      </c>
      <c r="CG327" s="51">
        <f t="shared" ref="CG327:CG365" si="536">INT(INDEX($L$6:$AT$365,MATCH($CF327,$K$6:$K$365,0),MATCH(CG$4,$L$4:$AT$4,0))*$BX$34/$BP327/10000*$BX$5)</f>
        <v>16491</v>
      </c>
      <c r="CH327" s="51">
        <f t="shared" ref="CH327:CH365" si="537">INT(INDEX($L$6:$AT$365,MATCH($CF327,$K$6:$K$365,0),MATCH(CG$4,$L$4:$AT$4,0)+1)*$BY$34/$BP327/10000*$BX$6)</f>
        <v>1066</v>
      </c>
      <c r="CI327" s="51">
        <f>INT(SUMPRODUCT($N327:$R327,$BA327:$BE327)/SUM($BA327:$BE327)/10000*$BX$7*$BZ$34/'疲劳值&amp;地图信息'!$R$10*$BY$53)</f>
        <v>3374</v>
      </c>
      <c r="CJ327" s="50">
        <f t="shared" ref="CJ327:CJ365" si="538">CG327/SUM(CG327:CI327)</f>
        <v>0.78787444460369782</v>
      </c>
      <c r="CK327" s="50">
        <f t="shared" ref="CK327:CK365" si="539">CH327/SUM(CG327:CI327)</f>
        <v>5.0929243705508574E-2</v>
      </c>
      <c r="CL327" s="50">
        <f t="shared" ref="CL327:CL365" si="540">CI327/SUM(CG327:CI327)</f>
        <v>0.16119631169079357</v>
      </c>
      <c r="CM327" s="14">
        <f t="shared" ref="CM327:CM365" si="541">INT(INDEX($L$6:$AT$365,MATCH($CF327,$K$6:$K$365,0),MATCH(CM$4,$L$4:$AT$4,0))*$BX$34/$BP327/10000*$BX$5)</f>
        <v>18086</v>
      </c>
      <c r="CN327" s="14">
        <f t="shared" ref="CN327:CN365" si="542">INT(INDEX($L$6:$AT$365,MATCH($CF327,$K$6:$K$365,0),MATCH(CM$4,$L$4:$AT$4,0)+1)*$BY$34/$BP327/10000*$BX$6)</f>
        <v>1842</v>
      </c>
      <c r="CO327" s="14">
        <f>INT(SUMPRODUCT($U327:$Y327,$BA327:$BE327)/SUM($BA327:$BE327)/10000*$BX$7*$BZ$34/'疲劳值&amp;地图信息'!$R$10*$BY$54)</f>
        <v>6464</v>
      </c>
      <c r="CP327" s="50">
        <f t="shared" ref="CP327:CP365" si="543">CM327/SUM(CM327:CO327)</f>
        <v>0.68528341921794478</v>
      </c>
      <c r="CQ327" s="50">
        <f t="shared" ref="CQ327:CQ365" si="544">CN327/SUM(CM327:CO327)</f>
        <v>6.9793876932403756E-2</v>
      </c>
      <c r="CR327" s="50">
        <f t="shared" ref="CR327:CR365" si="545">CO327/SUM(CM327:CO327)</f>
        <v>0.2449227038496514</v>
      </c>
      <c r="CS327" s="14">
        <f t="shared" ref="CS327:CS365" si="546">INT(INDEX($L$6:$AT$365,MATCH($CF327,$K$6:$K$365,0),MATCH(CS$4,$L$4:$AT$4,0))*$BX$34/$BP327/10000*$BX$5)</f>
        <v>19712</v>
      </c>
      <c r="CT327" s="14">
        <f t="shared" ref="CT327:CT365" si="547">INT(INDEX($L$6:$AT$365,MATCH($CF327,$K$6:$K$365,0),MATCH(CS$4,$L$4:$AT$4,0)+1)*$BY$34/$BP327/10000*$BX$6)</f>
        <v>3250</v>
      </c>
      <c r="CU327" s="14">
        <f>INT(SUMPRODUCT($AB327:$AF327,$BA327:$BE327)/SUM($BA327:$BE327)/10000*$BX$7*$BZ$34/'疲劳值&amp;地图信息'!$R$10*$BY$55)</f>
        <v>8786</v>
      </c>
      <c r="CV327" s="50">
        <f t="shared" ref="CV327:CV365" si="548">CS327/SUM(CS327:CU327)</f>
        <v>0.62088950485069927</v>
      </c>
      <c r="CW327" s="50">
        <f t="shared" ref="CW327:CW365" si="549">CT327/SUM(CS327:CU327)</f>
        <v>0.1023686531435051</v>
      </c>
      <c r="CX327" s="50">
        <f t="shared" ref="CX327:CX365" si="550">CU327/SUM(CS327:CU327)</f>
        <v>0.27674184200579566</v>
      </c>
      <c r="CY327" s="14">
        <f t="shared" ref="CY327:CY365" si="551">INT(INDEX($L$6:$AT$365,MATCH($CF327,$K$6:$K$365,0),MATCH(CY$4,$L$4:$AT$4,0))*$BX$34/$BP327/10000*$BX$5)</f>
        <v>23638</v>
      </c>
      <c r="CZ327" s="14">
        <f t="shared" ref="CZ327:CZ365" si="552">INT(INDEX($L$6:$AT$365,MATCH($CF327,$K$6:$K$365,0),MATCH(CY$4,$L$4:$AT$4,0)+1)*$BY$34/$BP327/10000*$BX$6)</f>
        <v>8734</v>
      </c>
      <c r="DA327" s="14">
        <f>INT(SUMPRODUCT($AI327:$AM327,$BA327:$BE327)/SUM($BA327:$BE327)/10000*$BX$7*$BZ$34/'疲劳值&amp;地图信息'!$R$10*$BY$56)</f>
        <v>13254</v>
      </c>
      <c r="DB327" s="50">
        <f t="shared" ref="DB327:DB365" si="553">CY327/SUM(CY327:DA327)</f>
        <v>0.51808179546749655</v>
      </c>
      <c r="DC327" s="50">
        <f t="shared" ref="DC327:DC365" si="554">CZ327/SUM(CY327:DA327)</f>
        <v>0.19142594134923069</v>
      </c>
      <c r="DD327" s="50">
        <f t="shared" ref="DD327:DD365" si="555">DA327/SUM(CY327:DA327)</f>
        <v>0.2904922631832727</v>
      </c>
      <c r="DE327" s="14">
        <f t="shared" ref="DE327:DE365" si="556">INT(INDEX($L$6:$AT$365,MATCH($CF327,$K$6:$K$365,0),MATCH(DE$4,$L$4:$AT$4,0))*$BX$34/$BP327/10000*$BX$5)</f>
        <v>24486</v>
      </c>
      <c r="DF327" s="14">
        <f t="shared" ref="DF327:DF365" si="557">INT(INDEX($L$6:$AT$365,MATCH($CF327,$K$6:$K$365,0),MATCH(DE$4,$L$4:$AT$4,0)+1)*$BY$34/$BP327/10000*$BX$6)</f>
        <v>15469</v>
      </c>
      <c r="DG327" s="14">
        <f>INT(SUMPRODUCT($AP327:$AT327,$BA327:$BE327)/SUM($BA327:$BE327)/10000*$BX$7*$BZ$34/'疲劳值&amp;地图信息'!$R$10*$BY$57)</f>
        <v>17690</v>
      </c>
      <c r="DH327" s="50">
        <f t="shared" ref="DH327:DH365" si="558">DE327/SUM(DE327:DG327)</f>
        <v>0.42477231329690346</v>
      </c>
      <c r="DI327" s="50">
        <f t="shared" ref="DI327:DI365" si="559">DF327/SUM(DE327:DG327)</f>
        <v>0.26834937982478968</v>
      </c>
      <c r="DJ327" s="50">
        <f t="shared" ref="DJ327:DJ365" si="560">DG327/SUM(DE327:DG327)</f>
        <v>0.30687830687830686</v>
      </c>
      <c r="DL327" s="14">
        <f t="shared" si="526"/>
        <v>20931</v>
      </c>
      <c r="DM327" s="14">
        <f t="shared" si="527"/>
        <v>26392</v>
      </c>
      <c r="DN327" s="14">
        <f t="shared" si="528"/>
        <v>31748</v>
      </c>
      <c r="DO327" s="14">
        <f t="shared" si="529"/>
        <v>45626</v>
      </c>
      <c r="DP327" s="14">
        <f t="shared" si="530"/>
        <v>57645</v>
      </c>
      <c r="DQ327" s="14">
        <f t="shared" si="531"/>
        <v>1450424</v>
      </c>
      <c r="DT327" s="14">
        <f t="shared" si="525"/>
        <v>235575</v>
      </c>
      <c r="DU327" s="50">
        <f t="shared" si="532"/>
        <v>0.13972428216149593</v>
      </c>
      <c r="DW327" s="14">
        <f t="shared" ref="DW327:DW365" si="561">DQ327+DT327</f>
        <v>1685999</v>
      </c>
      <c r="EB327" s="14">
        <v>322</v>
      </c>
      <c r="EC327" s="51">
        <f t="shared" ref="EC327:EC365" si="562">INT(INDEX($L$6:$AT$365,MATCH($CF327,$K$6:$K$365,0),MATCH(EC$4,$L$4:$AT$4,0))*$BX$46/$BP327/10000*$BX$5)</f>
        <v>27486</v>
      </c>
      <c r="ED327" s="51">
        <f t="shared" ref="ED327:ED365" si="563">INT(INDEX($L$6:$AT$365,MATCH($CF327,$K$6:$K$365,0),MATCH(EC$4,$L$4:$AT$4,0)+1)*$BY$46/$BP327/10000*$BX$6)</f>
        <v>1777</v>
      </c>
      <c r="EE327" s="51">
        <f>INT(SUMPRODUCT($N327:$R327,$BF327:$BJ327)/SUM($BF327:$BJ327)/10000*$BX$7*$BZ$46/'疲劳值&amp;地图信息'!$R$10*$BY$53)</f>
        <v>453</v>
      </c>
      <c r="EF327" s="50">
        <f t="shared" ref="EF327:EF365" si="564">EC327/SUM(EC327:EE327)</f>
        <v>0.92495625252389291</v>
      </c>
      <c r="EG327" s="50">
        <f t="shared" ref="EG327:EG365" si="565">ED327/SUM(EC327:EE327)</f>
        <v>5.9799434648001075E-2</v>
      </c>
      <c r="EH327" s="50">
        <f t="shared" ref="EH327:EH365" si="566">EE327/SUM(EC327:EE327)</f>
        <v>1.5244312828106071E-2</v>
      </c>
      <c r="EI327" s="51">
        <f t="shared" ref="EI327:EI365" si="567">INT(INDEX($L$6:$AT$365,MATCH($CF327,$K$6:$K$365,0),MATCH(EI$4,$L$4:$AT$4,0))*$BX$46/$BP327/10000*$BX$5)</f>
        <v>30144</v>
      </c>
      <c r="EJ327" s="51">
        <f t="shared" ref="EJ327:EJ365" si="568">INT(INDEX($L$6:$AT$365,MATCH($CF327,$K$6:$K$365,0),MATCH(EI$4,$L$4:$AT$4,0)+1)*$BY$46/$BP327/10000*$BX$6)</f>
        <v>3070</v>
      </c>
      <c r="EK327" s="14">
        <f>INT(SUMPRODUCT($U327:$Y327,$BF327:$BJ327)/SUM($BF327:$BJ327)/10000*$BX$7*$BZ$46/'疲劳值&amp;地图信息'!$R$10*$BY$54)</f>
        <v>867</v>
      </c>
      <c r="EL327" s="50">
        <f t="shared" ref="EL327:EL365" si="569">EI327/SUM(EI327:EK327)</f>
        <v>0.88448108916991874</v>
      </c>
      <c r="EM327" s="50">
        <f t="shared" ref="EM327:EM365" si="570">EJ327/SUM(EI327:EK327)</f>
        <v>9.0079516446113672E-2</v>
      </c>
      <c r="EN327" s="50">
        <f t="shared" ref="EN327:EN365" si="571">EK327/SUM(EI327:EK327)</f>
        <v>2.5439394383967608E-2</v>
      </c>
      <c r="EO327" s="51">
        <f t="shared" ref="EO327:EO365" si="572">INT(INDEX($L$6:$AT$365,MATCH($CF327,$K$6:$K$365,0),MATCH(EO$4,$L$4:$AT$4,0))*$BX$46/$BP327/10000*$BX$5)</f>
        <v>32853</v>
      </c>
      <c r="EP327" s="51">
        <f t="shared" ref="EP327:EP365" si="573">INT(INDEX($L$6:$AT$365,MATCH($CF327,$K$6:$K$365,0),MATCH(EO$4,$L$4:$AT$4,0)+1)*$BY$46/$BP327/10000*$BX$6)</f>
        <v>5418</v>
      </c>
      <c r="EQ327" s="14">
        <f>INT(SUMPRODUCT($AB327:$AF327,$BF327:$BJ327)/SUM($BF327:$BJ327)/10000*$BX$7*$BZ$46/'疲劳值&amp;地图信息'!$R$10*$BY$55)</f>
        <v>1178</v>
      </c>
      <c r="ER327" s="50">
        <f t="shared" ref="ER327:ER365" si="574">EO327/SUM(EO327:EQ327)</f>
        <v>0.83279677558366494</v>
      </c>
      <c r="ES327" s="50">
        <f t="shared" ref="ES327:ES365" si="575">EP327/SUM(EO327:EQ327)</f>
        <v>0.13734188445841466</v>
      </c>
      <c r="ET327" s="50">
        <f t="shared" ref="ET327:ET365" si="576">EQ327/SUM(EO327:EQ327)</f>
        <v>2.9861339957920351E-2</v>
      </c>
      <c r="EU327" s="51">
        <f t="shared" ref="EU327:EU365" si="577">INT(INDEX($L$6:$AT$365,MATCH($CF327,$K$6:$K$365,0),MATCH(EU$4,$L$4:$AT$4,0))*$BX$46/$BP327/10000*$BX$5)</f>
        <v>39396</v>
      </c>
      <c r="EV327" s="51">
        <f t="shared" ref="EV327:EV365" si="578">INT(INDEX($L$6:$AT$365,MATCH($CF327,$K$6:$K$365,0),MATCH(EU$4,$L$4:$AT$4,0)+1)*$BY$46/$BP327/10000*$BX$6)</f>
        <v>14556</v>
      </c>
      <c r="EW327" s="14">
        <f>INT(SUMPRODUCT($AI327:$AM327,$BF327:$BJ327)/SUM($BF327:$BJ327)/10000*$BX$7*$BZ$46/'疲劳值&amp;地图信息'!$R$10*$BY$56)</f>
        <v>1767</v>
      </c>
      <c r="EX327" s="50">
        <f t="shared" ref="EX327:EX365" si="579">EU327/SUM(EU327:EW327)</f>
        <v>0.70704786518063856</v>
      </c>
      <c r="EY327" s="50">
        <f t="shared" ref="EY327:EY365" si="580">EV327/SUM(EU327:EW327)</f>
        <v>0.26123943358638885</v>
      </c>
      <c r="EZ327" s="50">
        <f t="shared" ref="EZ327:EZ365" si="581">EW327/SUM(EU327:EW327)</f>
        <v>3.1712701232972595E-2</v>
      </c>
      <c r="FA327" s="51">
        <f t="shared" ref="FA327:FA365" si="582">INT(INDEX($L$6:$AT$365,MATCH($CF327,$K$6:$K$365,0),MATCH(FA$4,$L$4:$AT$4,0))*$BX$46/$BP327/10000*$BX$5)</f>
        <v>40811</v>
      </c>
      <c r="FB327" s="51">
        <f t="shared" ref="FB327:FB365" si="583">INT(INDEX($L$6:$AT$365,MATCH($CF327,$K$6:$K$365,0),MATCH(FA$4,$L$4:$AT$4,0)+1)*$BY$46/$BP327/10000*$BX$6)</f>
        <v>25782</v>
      </c>
      <c r="FC327" s="14">
        <f>INT(SUMPRODUCT($AP327:$AT327,$BF327:$BJ327)/SUM($BF327:$BJ327)/10000*$BX$7*$BZ$46/'疲劳值&amp;地图信息'!$R$10*$BY$57)</f>
        <v>2356</v>
      </c>
      <c r="FD327" s="50">
        <f t="shared" ref="FD327:FD365" si="584">FA327/SUM(FA327:FC327)</f>
        <v>0.59190126035185431</v>
      </c>
      <c r="FE327" s="50">
        <f t="shared" ref="FE327:FE365" si="585">FB327/SUM(FA327:FC327)</f>
        <v>0.37392855588913543</v>
      </c>
      <c r="FF327" s="50">
        <f t="shared" ref="FF327:FF365" si="586">FC327/SUM(FA327:FC327)</f>
        <v>3.4170183759010285E-2</v>
      </c>
      <c r="FH327" s="14">
        <f t="shared" ref="FH327:FH365" si="587">SUM(EC327:EE327)</f>
        <v>29716</v>
      </c>
      <c r="FI327" s="14">
        <f t="shared" ref="FI327:FI365" si="588">SUM(EI327:EK327)</f>
        <v>34081</v>
      </c>
      <c r="FJ327" s="14">
        <f t="shared" ref="FJ327:FJ365" si="589">SUM(EO327:EQ327)</f>
        <v>39449</v>
      </c>
      <c r="FK327" s="14">
        <f t="shared" ref="FK327:FK365" si="590">SUM(EU327:EW327)</f>
        <v>55719</v>
      </c>
      <c r="FL327" s="14">
        <f t="shared" ref="FL327:FL365" si="591">SUM(FA327:FC327)</f>
        <v>68949</v>
      </c>
      <c r="FM327" s="14">
        <f t="shared" ref="FM327:FM365" si="592">INT(SUMPRODUCT(FH327:FL327,$AV327:$AZ327))</f>
        <v>3502408</v>
      </c>
      <c r="FP327" s="14">
        <f t="shared" ref="FP327:FP365" si="593">SUM($BX$11:$BX$27)+SUM($BY$11:$BY$27)*(($BX$46+$BY$46+$BZ$46)/60-($BX$46+$BY$46)/60/2)</f>
        <v>334150</v>
      </c>
      <c r="FQ327" s="50">
        <f t="shared" si="533"/>
        <v>8.7096298296546013E-2</v>
      </c>
      <c r="FS327" s="14">
        <f t="shared" ref="FS327:FS365" si="594">FM327+FP327</f>
        <v>3836558</v>
      </c>
      <c r="FX327" s="14">
        <v>322</v>
      </c>
      <c r="FY327" s="51">
        <f t="shared" ref="FY327:FY365" si="595">INT(INDEX($L$6:$AT$365,MATCH($CF327,$K$6:$K$365,0),MATCH(FY$4,$L$4:$AT$4,0))*$BX$47/$BP327/10000*$BX$5)</f>
        <v>38481</v>
      </c>
      <c r="FZ327" s="51">
        <f t="shared" ref="FZ327:FZ365" si="596">INT(INDEX($L$6:$AT$365,MATCH($CF327,$K$6:$K$365,0),MATCH(FY$4,$L$4:$AT$4,0)+1)*$BY$46/$BP327/10000*$BX$6)</f>
        <v>1777</v>
      </c>
      <c r="GA327" s="51">
        <f>INT(SUMPRODUCT($N327:$R327,$BF327:$BJ327)/SUM($BF327:$BJ327)/10000*$BX$7*$BZ$46/'疲劳值&amp;地图信息'!$R$10*$BY$53)</f>
        <v>453</v>
      </c>
      <c r="GB327" s="50">
        <f t="shared" ref="GB327:GB365" si="597">FY327/SUM(FY327:GA327)</f>
        <v>0.94522364962786476</v>
      </c>
      <c r="GC327" s="50">
        <f t="shared" ref="GC327:GC365" si="598">FZ327/SUM(FY327:GA327)</f>
        <v>4.3649136596988526E-2</v>
      </c>
      <c r="GD327" s="50">
        <f t="shared" ref="GD327:GD365" si="599">GA327/SUM(FY327:GA327)</f>
        <v>1.1127213775146767E-2</v>
      </c>
      <c r="GE327" s="51">
        <f t="shared" ref="GE327:GE365" si="600">INT(INDEX($L$6:$AT$365,MATCH($CF327,$K$6:$K$365,0),MATCH(GE$4,$L$4:$AT$4,0))*$BX$47/$BP327/10000*$BX$5)</f>
        <v>42201</v>
      </c>
      <c r="GF327" s="51">
        <f t="shared" ref="GF327:GF365" si="601">INT(INDEX($L$6:$AT$365,MATCH($CF327,$K$6:$K$365,0),MATCH(GE$4,$L$4:$AT$4,0)+1)*$BY$46/$BP327/10000*$BX$6)</f>
        <v>3070</v>
      </c>
      <c r="GG327" s="14">
        <f>INT(SUMPRODUCT($U327:$Y327,$BF327:$BJ327)/SUM($BF327:$BJ327)/10000*$BX$7*$BZ$46/'疲劳值&amp;地图信息'!$R$10*$BY$54)</f>
        <v>867</v>
      </c>
      <c r="GH327" s="50">
        <f t="shared" ref="GH327:GH365" si="602">GE327/SUM(GE327:GG327)</f>
        <v>0.91466903636915342</v>
      </c>
      <c r="GI327" s="50">
        <f t="shared" ref="GI327:GI365" si="603">GF327/SUM(GE327:GG327)</f>
        <v>6.6539511899085357E-2</v>
      </c>
      <c r="GJ327" s="50">
        <f t="shared" ref="GJ327:GJ365" si="604">GG327/SUM(GE327:GG327)</f>
        <v>1.8791451731761239E-2</v>
      </c>
      <c r="GK327" s="51">
        <f t="shared" ref="GK327:GK365" si="605">INT(INDEX($L$6:$AT$365,MATCH($CF327,$K$6:$K$365,0),MATCH(GK$4,$L$4:$AT$4,0))*$BX$47/$BP327/10000*$BX$5)</f>
        <v>45994</v>
      </c>
      <c r="GL327" s="51">
        <f t="shared" ref="GL327:GL365" si="606">INT(INDEX($L$6:$AT$365,MATCH($CF327,$K$6:$K$365,0),MATCH(GK$4,$L$4:$AT$4,0)+1)*$BY$46/$BP327/10000*$BX$6)</f>
        <v>5418</v>
      </c>
      <c r="GM327" s="14">
        <f>INT(SUMPRODUCT($AB327:$AF327,$BF327:$BJ327)/SUM($BF327:$BJ327)/10000*$BX$7*$BZ$46/'疲劳值&amp;地图信息'!$R$10*$BY$55)</f>
        <v>1178</v>
      </c>
      <c r="GN327" s="50">
        <f t="shared" ref="GN327:GN365" si="607">GK327/SUM(GK327:GM327)</f>
        <v>0.87457691576345309</v>
      </c>
      <c r="GO327" s="50">
        <f t="shared" ref="GO327:GO365" si="608">GL327/SUM(GK327:GM327)</f>
        <v>0.10302338847689675</v>
      </c>
      <c r="GP327" s="50">
        <f t="shared" ref="GP327:GP365" si="609">GM327/SUM(GK327:GM327)</f>
        <v>2.2399695759650125E-2</v>
      </c>
      <c r="GQ327" s="51">
        <f t="shared" ref="GQ327:GQ365" si="610">INT(INDEX($L$6:$AT$365,MATCH($CF327,$K$6:$K$365,0),MATCH(GQ$4,$L$4:$AT$4,0))*$BX$47/$BP327/10000*$BX$5)</f>
        <v>55155</v>
      </c>
      <c r="GR327" s="51">
        <f t="shared" ref="GR327:GR365" si="611">INT(INDEX($L$6:$AT$365,MATCH($CF327,$K$6:$K$365,0),MATCH(GQ$4,$L$4:$AT$4,0)+1)*$BY$46/$BP327/10000*$BX$6)</f>
        <v>14556</v>
      </c>
      <c r="GS327" s="14">
        <f>INT(SUMPRODUCT($AI327:$AM327,$BF327:$BJ327)/SUM($BF327:$BJ327)/10000*$BX$7*$BZ$46/'疲劳值&amp;地图信息'!$R$10*$BY$56)</f>
        <v>1767</v>
      </c>
      <c r="GT327" s="50">
        <f t="shared" ref="GT327:GT365" si="612">GQ327/SUM(GQ327:GS327)</f>
        <v>0.77163602786871488</v>
      </c>
      <c r="GU327" s="50">
        <f t="shared" ref="GU327:GU365" si="613">GR327/SUM(GQ327:GS327)</f>
        <v>0.20364307898933937</v>
      </c>
      <c r="GV327" s="50">
        <f t="shared" ref="GV327:GV365" si="614">GS327/SUM(GQ327:GS327)</f>
        <v>2.4720893141945772E-2</v>
      </c>
      <c r="GW327" s="51">
        <f t="shared" ref="GW327:GW365" si="615">INT(INDEX($L$6:$AT$365,MATCH($CF327,$K$6:$K$365,0),MATCH(GW$4,$L$4:$AT$4,0))*$BX$47/$BP327/10000*$BX$5)</f>
        <v>57135</v>
      </c>
      <c r="GX327" s="51">
        <f t="shared" ref="GX327:GX365" si="616">INT(INDEX($L$6:$AT$365,MATCH($CF327,$K$6:$K$365,0),MATCH(GW$4,$L$4:$AT$4,0)+1)*$BY$46/$BP327/10000*$BX$6)</f>
        <v>25782</v>
      </c>
      <c r="GY327" s="14">
        <f>INT(SUMPRODUCT($AP327:$AT327,$BF327:$BJ327)/SUM($BF327:$BJ327)/10000*$BX$7*$BZ$46/'疲劳值&amp;地图信息'!$R$10*$BY$57)</f>
        <v>2356</v>
      </c>
      <c r="GZ327" s="50">
        <f t="shared" ref="GZ327:GZ365" si="617">GW327/SUM(GW327:GY327)</f>
        <v>0.67002450951649406</v>
      </c>
      <c r="HA327" s="50">
        <f t="shared" ref="HA327:HA365" si="618">GX327/SUM(GW327:GY327)</f>
        <v>0.3023465809810843</v>
      </c>
      <c r="HB327" s="50">
        <f t="shared" ref="HB327:HB365" si="619">GY327/SUM(GW327:GY327)</f>
        <v>2.7628909502421636E-2</v>
      </c>
      <c r="HD327" s="14">
        <f t="shared" ref="HD327:HD365" si="620">SUM(FY327:GA327)</f>
        <v>40711</v>
      </c>
      <c r="HE327" s="14">
        <f t="shared" ref="HE327:HE365" si="621">SUM(GE327:GG327)</f>
        <v>46138</v>
      </c>
      <c r="HF327" s="14">
        <f t="shared" ref="HF327:HF365" si="622">SUM(GK327:GM327)</f>
        <v>52590</v>
      </c>
      <c r="HG327" s="14">
        <f t="shared" ref="HG327:HG365" si="623">SUM(GQ327:GS327)</f>
        <v>71478</v>
      </c>
      <c r="HH327" s="14">
        <f t="shared" ref="HH327:HH365" si="624">SUM(GW327:GY327)</f>
        <v>85273</v>
      </c>
      <c r="HI327" s="14">
        <f t="shared" ref="HI327:HI365" si="625">INT(SUMPRODUCT(HD327:HH327,$AV327:$AZ327))</f>
        <v>4737811</v>
      </c>
      <c r="HL327" s="14">
        <f t="shared" ref="HL327:HL365" si="626">SUM($BX$11:$BX$27)+SUM($BY$11:$BY$27)*(60-($BX$46+$BY$46)/60/2)</f>
        <v>430050</v>
      </c>
      <c r="HM327" s="50">
        <f t="shared" si="534"/>
        <v>8.3216247495820808E-2</v>
      </c>
      <c r="HO327" s="14">
        <f t="shared" ref="HO327:HO365" si="627">HI327+HL327</f>
        <v>5167861</v>
      </c>
    </row>
    <row r="328" spans="11:223" x14ac:dyDescent="0.2">
      <c r="K328" s="14">
        <v>323</v>
      </c>
      <c r="L328" s="12">
        <f>求节点(节奏总纲!D$4:D$163,标准城池设计!AB$4:AB$163,$K328)*求节点(节奏总纲!D$4:D$163,攻城基础信息!$AC$5:$AC$164,$K328)</f>
        <v>810288.46352010837</v>
      </c>
      <c r="M328" s="12">
        <f>INDEX(其他调用!$AA$5:$AA$404,MATCH(K328,其他调用!$X$5:$X$404,0))*MIN(INDEX(其他调用!$AH$5:$AH$364,MATCH('征服点（新）'!K328,其他调用!$AG$5:$AG$364,0),1)/INDEX(其他调用!$AJ$5:$AJ$364,MATCH(K328,其他调用!$AG$5:$AG$364,0),0),5)*求节点(节奏总纲!D$4:D$163,攻城基础信息!$AC$5:$AC$164,$K328)</f>
        <v>52277.490157165405</v>
      </c>
      <c r="N328" s="12">
        <f>MIN(INDEX(其他调用!$AH$5:$AH$364,MATCH($K328,其他调用!$AG$5:$AG$364,0),1)/INDEX(其他调用!AH$5:AH$364,MATCH($K328,其他调用!$AG$5:$AG$364,0),0),1)*INDEX(其他调用!Y$5:Y$404,MATCH($K328,其他调用!$X$5:$X$404,0),0)</f>
        <v>42900.725739321977</v>
      </c>
      <c r="O328" s="12">
        <f>MIN(INDEX(其他调用!$AH$5:$AH$364,MATCH($K328,其他调用!$AG$5:$AG$364,0),1)/INDEX(其他调用!AI$5:AI$364,MATCH($K328,其他调用!$AG$5:$AG$364,0),0),1)*INDEX(其他调用!Z$5:Z$404,MATCH($K328,其他调用!$X$5:$X$404,0),0)</f>
        <v>25497.748063959603</v>
      </c>
      <c r="P328" s="12">
        <f>MIN(INDEX(其他调用!$AH$5:$AH$364,MATCH($K328,其他调用!$AG$5:$AG$364,0),1)/INDEX(其他调用!AJ$5:AJ$364,MATCH($K328,其他调用!$AG$5:$AG$364,0),0),1)*INDEX(其他调用!AA$5:AA$404,MATCH($K328,其他调用!$X$5:$X$404,0),0)</f>
        <v>14936.425759190126</v>
      </c>
      <c r="Q328" s="12">
        <f>MIN(INDEX(其他调用!$AH$5:$AH$364,MATCH($K328,其他调用!$AG$5:$AG$364,0),1)/INDEX(其他调用!AK$5:AK$364,MATCH($K328,其他调用!$AG$5:$AG$364,0),0),1)*INDEX(其他调用!AB$5:AB$404,MATCH($K328,其他调用!$X$5:$X$404,0),0)</f>
        <v>5844.7419287108996</v>
      </c>
      <c r="R328" s="12">
        <f>MIN(INDEX(其他调用!$AH$5:$AH$364,MATCH($K328,其他调用!$AG$5:$AG$364,0),1)/INDEX(其他调用!AL$5:AL$364,MATCH($K328,其他调用!$AG$5:$AG$364,0),0),1)*INDEX(其他调用!AC$5:AC$404,MATCH($K328,其他调用!$X$5:$X$404,0),0)</f>
        <v>3574.194738431418</v>
      </c>
      <c r="S328" s="12">
        <f>求节点(节奏总纲!D$4:D$163,标准城池设计!AC$4:AC$163,$K328)*求节点(节奏总纲!D$4:D$163,攻城基础信息!$AD$5:$AD$164,$K328)</f>
        <v>888623.31264174858</v>
      </c>
      <c r="T328" s="12">
        <f>INDEX(其他调用!$AA$5:$AA$404,MATCH($K328,其他调用!$X$5:$X$404,0))*MIN(INDEX(其他调用!AI$5:AI$364,MATCH($K328,其他调用!$AG$5:$AG$364,0),1)/INDEX(其他调用!$AJ$5:$AJ$364,MATCH($K328,其他调用!$AG$5:$AG$364,0),0),5)*求节点(节奏总纲!D$4:D$163,攻城基础信息!$AD$5:$AD$164,$K328)</f>
        <v>90335.248252638659</v>
      </c>
      <c r="U328" s="12">
        <f>MIN(INDEX(其他调用!$AI$5:$AI$364,MATCH($K328,其他调用!$AG$5:$AG$364,0),1)/INDEX(其他调用!AH$5:AH$364,MATCH($K328,其他调用!$AG$5:$AG$364,0),0),1)*INDEX(其他调用!Y$5:Y$404,MATCH($K328,其他调用!$X$5:$X$404,0),0)</f>
        <v>42900.725739321977</v>
      </c>
      <c r="V328" s="12">
        <f>MIN(INDEX(其他调用!$AI$5:$AI$364,MATCH($K328,其他调用!$AG$5:$AG$364,0),1)/INDEX(其他调用!AI$5:AI$364,MATCH($K328,其他调用!$AG$5:$AG$364,0),0),1)*INDEX(其他调用!Z$5:Z$404,MATCH($K328,其他调用!$X$5:$X$404,0),0)</f>
        <v>44059.984408515447</v>
      </c>
      <c r="W328" s="12">
        <f>MIN(INDEX(其他调用!$AI$5:$AI$364,MATCH($K328,其他调用!$AG$5:$AG$364,0),1)/INDEX(其他调用!AJ$5:AJ$364,MATCH($K328,其他调用!$AG$5:$AG$364,0),0),1)*INDEX(其他调用!AA$5:AA$404,MATCH($K328,其他调用!$X$5:$X$404,0),0)</f>
        <v>25810.070929325349</v>
      </c>
      <c r="X328" s="12">
        <f>MIN(INDEX(其他调用!$AI$5:$AI$364,MATCH($K328,其他调用!$AG$5:$AG$364,0),1)/INDEX(其他调用!AK$5:AK$364,MATCH($K328,其他调用!$AG$5:$AG$364,0),0),1)*INDEX(其他调用!AB$5:AB$404,MATCH($K328,其他调用!$X$5:$X$404,0),0)</f>
        <v>10099.685572421018</v>
      </c>
      <c r="Y328" s="12">
        <f>MIN(INDEX(其他调用!$AI$5:$AI$364,MATCH($K328,其他调用!$AG$5:$AG$364,0),1)/INDEX(其他调用!AL$5:AL$364,MATCH($K328,其他调用!$AG$5:$AG$364,0),0),1)*INDEX(其他调用!AC$5:AC$404,MATCH($K328,其他调用!$X$5:$X$404,0),0)</f>
        <v>6176.191091592068</v>
      </c>
      <c r="Z328" s="12">
        <f>求节点(节奏总纲!D$4:D$163,标准城池设计!AD$4:AD$163,$K328)*求节点(节奏总纲!D$4:D$163,攻城基础信息!$AE$5:$AE$164,$K328)</f>
        <v>968468.0481648898</v>
      </c>
      <c r="AA328" s="12">
        <f>INDEX(其他调用!$AA$5:$AA$404,MATCH($K328,其他调用!$X$5:$X$404,0))*MIN(INDEX(其他调用!AJ$5:AJ$364,MATCH($K328,其他调用!$AG$5:$AG$364,0),1)/INDEX(其他调用!$AJ$5:$AJ$364,MATCH($K328,其他调用!$AG$5:$AG$364,0),0),5)*求节点(节奏总纲!D$4:D$163,攻城基础信息!$AE$5:$AE$164,$K328)</f>
        <v>159566.48999679316</v>
      </c>
      <c r="AB328" s="12">
        <f>MIN(INDEX(其他调用!$AJ$5:$AJ$364,MATCH($K328,其他调用!$AG$5:$AG$364,0),1)/INDEX(其他调用!AH$5:AH$364,MATCH($K328,其他调用!$AG$5:$AG$364,0),0),1)*INDEX(其他调用!Y$5:Y$404,MATCH($K328,其他调用!$X$5:$X$404,0),0)</f>
        <v>42900.725739321977</v>
      </c>
      <c r="AC328" s="12">
        <f>MIN(INDEX(其他调用!$AJ$5:$AJ$364,MATCH($K328,其他调用!$AG$5:$AG$364,0),1)/INDEX(其他调用!AI$5:AI$364,MATCH($K328,其他调用!$AG$5:$AG$364,0),0),1)*INDEX(其他调用!Z$5:Z$404,MATCH($K328,其他调用!$X$5:$X$404,0),0)</f>
        <v>44059.984408515447</v>
      </c>
      <c r="AD328" s="12">
        <f>MIN(INDEX(其他调用!$AJ$5:$AJ$364,MATCH($K328,其他调用!$AG$5:$AG$364,0),1)/INDEX(其他调用!AJ$5:AJ$364,MATCH($K328,其他调用!$AG$5:$AG$364,0),0),1)*INDEX(其他调用!AA$5:AA$404,MATCH($K328,其他调用!$X$5:$X$404,0),0)</f>
        <v>45590.425713369499</v>
      </c>
      <c r="AE328" s="12">
        <f>MIN(INDEX(其他调用!$AJ$5:$AJ$364,MATCH($K328,其他调用!$AG$5:$AG$364,0),1)/INDEX(其他调用!AK$5:AK$364,MATCH($K328,其他调用!$AG$5:$AG$364,0),0),1)*INDEX(其他调用!AB$5:AB$404,MATCH($K328,其他调用!$X$5:$X$404,0),0)</f>
        <v>17839.895367923571</v>
      </c>
      <c r="AF328" s="12">
        <f>MIN(INDEX(其他调用!$AJ$5:$AJ$364,MATCH($K328,其他调用!$AG$5:$AG$364,0),1)/INDEX(其他调用!AL$5:AL$364,MATCH($K328,其他调用!$AG$5:$AG$364,0),0),1)*INDEX(其他调用!AC$5:AC$404,MATCH($K328,其他调用!$X$5:$X$404,0),0)</f>
        <v>10909.508227382574</v>
      </c>
      <c r="AG328" s="12">
        <f>求节点(节奏总纲!D$4:D$163,标准城池设计!AE$4:AE$163,$K328)*求节点(节奏总纲!D$4:D$163,攻城基础信息!$AF$5:$AF$164,$K328)</f>
        <v>1160940.038397575</v>
      </c>
      <c r="AH328" s="12">
        <f>INDEX(其他调用!$AA$5:$AA$404,MATCH($K328,其他调用!$X$5:$X$404,0))*MIN(INDEX(其他调用!AK$5:AK$364,MATCH($K328,其他调用!$AG$5:$AG$364,0),1)/INDEX(其他调用!$AJ$5:$AJ$364,MATCH($K328,其他调用!$AG$5:$AG$364,0),0),5)*求节点(节奏总纲!D$4:D$163,攻城基础信息!$AF$5:$AF$164,$K328)</f>
        <v>427949.15832210437</v>
      </c>
      <c r="AI328" s="12">
        <f>MIN(INDEX(其他调用!$AK$5:$AK$364,MATCH($K328,其他调用!$AG$5:$AG$364,0),1)/INDEX(其他调用!AH$5:AH$364,MATCH($K328,其他调用!$AG$5:$AG$364,0),0),1)*INDEX(其他调用!Y$5:Y$404,MATCH($K328,其他调用!$X$5:$X$404,0),0)</f>
        <v>42900.725739321977</v>
      </c>
      <c r="AJ328" s="12">
        <f>MIN(INDEX(其他调用!$AK$5:$AK$364,MATCH($K328,其他调用!$AG$5:$AG$364,0),1)/INDEX(其他调用!AI$5:AI$364,MATCH($K328,其他调用!$AG$5:$AG$364,0),0),1)*INDEX(其他调用!Z$5:Z$404,MATCH($K328,其他调用!$X$5:$X$404,0),0)</f>
        <v>44059.984408515447</v>
      </c>
      <c r="AK328" s="12">
        <f>MIN(INDEX(其他调用!$AK$5:$AK$364,MATCH($K328,其他调用!$AG$5:$AG$364,0),1)/INDEX(其他调用!AJ$5:AJ$364,MATCH($K328,其他调用!$AG$5:$AG$364,0),0),1)*INDEX(其他调用!AA$5:AA$404,MATCH($K328,其他调用!$X$5:$X$404,0),0)</f>
        <v>45590.425713369499</v>
      </c>
      <c r="AL328" s="12">
        <f>MIN(INDEX(其他调用!$AK$5:$AK$364,MATCH($K328,其他调用!$AG$5:$AG$364,0),1)/INDEX(其他调用!AK$5:AK$364,MATCH($K328,其他调用!$AG$5:$AG$364,0),0),1)*INDEX(其他调用!AB$5:AB$404,MATCH($K328,其他调用!$X$5:$X$404,0),0)</f>
        <v>47845.686192700829</v>
      </c>
      <c r="AM328" s="12">
        <f>MIN(INDEX(其他调用!$AK$5:$AK$364,MATCH($K328,其他调用!$AG$5:$AG$364,0),1)/INDEX(其他调用!AL$5:AL$364,MATCH($K328,其他调用!$AG$5:$AG$364,0),0),1)*INDEX(其他调用!AC$5:AC$404,MATCH($K328,其他调用!$X$5:$X$404,0),0)</f>
        <v>29258.742632681049</v>
      </c>
      <c r="AN328" s="12">
        <f>求节点(节奏总纲!D$4:D$163,标准城池设计!AF$4:AF$163,$K328)*求节点(节奏总纲!D$4:D$163,攻城基础信息!$AG$5:$AG$164,$K328)</f>
        <v>1202310.4225275752</v>
      </c>
      <c r="AO328" s="12">
        <f>INDEX(其他调用!$AA$5:$AA$404,MATCH($K328,其他调用!$X$5:$X$404,0))*MIN(INDEX(其他调用!AL$5:AL$364,MATCH($K328,其他调用!$AG$5:$AG$364,0),1)/INDEX(其他调用!$AJ$5:$AJ$364,MATCH($K328,其他调用!$AG$5:$AG$364,0),0),5)*求节点(节奏总纲!D$4:D$163,攻城基础信息!$AG$5:$AG$164,$K328)</f>
        <v>756747.22670450062</v>
      </c>
      <c r="AP328" s="12">
        <f>MIN(INDEX(其他调用!$AL$5:$AL$364,MATCH($K328,其他调用!$AG$5:$AG$364,0),1)/INDEX(其他调用!AH$5:AH$364,MATCH($K328,其他调用!$AG$5:$AG$364,0),0),1)*INDEX(其他调用!Y$5:Y$404,MATCH($K328,其他调用!$X$5:$X$404,0),0)</f>
        <v>42900.725739321977</v>
      </c>
      <c r="AQ328" s="12">
        <f>MIN(INDEX(其他调用!$AL$5:$AL$364,MATCH($K328,其他调用!$AG$5:$AG$364,0),1)/INDEX(其他调用!AI$5:AI$364,MATCH($K328,其他调用!$AG$5:$AG$364,0),0),1)*INDEX(其他调用!Z$5:Z$404,MATCH($K328,其他调用!$X$5:$X$404,0),0)</f>
        <v>44059.984408515447</v>
      </c>
      <c r="AR328" s="12">
        <f>MIN(INDEX(其他调用!$AL$5:$AL$364,MATCH($K328,其他调用!$AG$5:$AG$364,0),1)/INDEX(其他调用!AJ$5:AJ$364,MATCH($K328,其他调用!$AG$5:$AG$364,0),0),1)*INDEX(其他调用!AA$5:AA$404,MATCH($K328,其他调用!$X$5:$X$404,0),0)</f>
        <v>45590.425713369499</v>
      </c>
      <c r="AS328" s="12">
        <f>MIN(INDEX(其他调用!$AL$5:$AL$364,MATCH($K328,其他调用!$AG$5:$AG$364,0),1)/INDEX(其他调用!AK$5:AK$364,MATCH($K328,其他调用!$AG$5:$AG$364,0),0),1)*INDEX(其他调用!AB$5:AB$404,MATCH($K328,其他调用!$X$5:$X$404,0),0)</f>
        <v>47845.686192700829</v>
      </c>
      <c r="AT328" s="12">
        <f>MIN(INDEX(其他调用!$AL$5:$AL$364,MATCH($K328,其他调用!$AG$5:$AG$364,0),1)/INDEX(其他调用!AL$5:AL$364,MATCH($K328,其他调用!$AG$5:$AG$364,0),0),1)*INDEX(其他调用!AC$5:AC$404,MATCH($K328,其他调用!$X$5:$X$404,0),0)</f>
        <v>51738.557988883593</v>
      </c>
      <c r="AV328" s="14">
        <f>IF(OR(AV$5="大R",AV$5="超R"),MAX(INDEX(其他调用!$H$5:$L$404,MATCH($K328,其他调用!$B$5:$B$404,0),MATCH(AV$5,其他调用!$H$4:$L$4,0))*120*0.85,2),INDEX(其他调用!$H$5:$L$404,MATCH($K328,其他调用!$B$5:$B$404,0),MATCH(AV$5,其他调用!$H$4:$L$4,0))*120*0.85)</f>
        <v>48.921801254999991</v>
      </c>
      <c r="AW328" s="14">
        <f>IF(OR(AW$5="大R",AW$5="超R"),MAX(INDEX(其他调用!$H$5:$L$404,MATCH($K328,其他调用!$B$5:$B$404,0),MATCH(AW$5,其他调用!$H$4:$L$4,0))*120*0.85,2),INDEX(其他调用!$H$5:$L$404,MATCH($K328,其他调用!$B$5:$B$404,0),MATCH(AW$5,其他调用!$H$4:$L$4,0))*120*0.85)</f>
        <v>48.237344010638395</v>
      </c>
      <c r="AX328" s="14">
        <f>IF(OR(AX$5="大R",AX$5="超R"),MAX(INDEX(其他调用!$H$5:$L$404,MATCH($K328,其他调用!$B$5:$B$404,0),MATCH(AX$5,其他调用!$H$4:$L$4,0))*120*0.85,2),INDEX(其他调用!$H$5:$L$404,MATCH($K328,其他调用!$B$5:$B$404,0),MATCH(AX$5,其他调用!$H$4:$L$4,0))*120*0.85)</f>
        <v>3.9376284143615998</v>
      </c>
      <c r="AY328" s="14">
        <f>IF(OR(AY$5="大R",AY$5="超R"),MAX(INDEX(其他调用!$H$5:$L$404,MATCH($K328,其他调用!$B$5:$B$404,0),MATCH(AY$5,其他调用!$H$4:$L$4,0))*120*0.85,2),INDEX(其他调用!$H$5:$L$404,MATCH($K328,其他调用!$B$5:$B$404,0),MATCH(AY$5,其他调用!$H$4:$L$4,0))*120*0.85)</f>
        <v>2</v>
      </c>
      <c r="AZ328" s="14">
        <f>IF(OR(AZ$5="大R",AZ$5="超R"),MAX(INDEX(其他调用!$H$5:$L$404,MATCH($K328,其他调用!$B$5:$B$404,0),MATCH(AZ$5,其他调用!$H$4:$L$4,0))*120*0.85,2),INDEX(其他调用!$H$5:$L$404,MATCH($K328,其他调用!$B$5:$B$404,0),MATCH(AZ$5,其他调用!$H$4:$L$4,0))*120*0.85)</f>
        <v>2</v>
      </c>
      <c r="BA328" s="14">
        <f>INDEX(其他调用!$H$5:$L$404,MATCH($K328,其他调用!$B$5:$B$404,0),MATCH(BA$5,其他调用!$H$4:$L$4,0))*INDEX(其他调用!$M$5:$M$404,MATCH($K328,其他调用!$B$5:$B$404,0))*0.6</f>
        <v>28.777530149999997</v>
      </c>
      <c r="BB328" s="14">
        <f>INDEX(其他调用!$H$5:$L$404,MATCH($K328,其他调用!$B$5:$B$404,0),MATCH(BB$5,其他调用!$H$4:$L$4,0))*INDEX(其他调用!$M$5:$M$404,MATCH($K328,其他调用!$B$5:$B$404,0))*0.6</f>
        <v>28.374908241551999</v>
      </c>
      <c r="BC328" s="14">
        <f>INDEX(其他调用!$H$5:$L$404,MATCH($K328,其他调用!$B$5:$B$404,0),MATCH(BC$5,其他调用!$H$4:$L$4,0))*INDEX(其他调用!$M$5:$M$404,MATCH($K328,其他调用!$B$5:$B$404,0))*0.6</f>
        <v>2.3162520084480001</v>
      </c>
      <c r="BD328" s="14">
        <f>INDEX(其他调用!$H$5:$L$404,MATCH($K328,其他调用!$B$5:$B$404,0),MATCH(BD$5,其他调用!$H$4:$L$4,0))*INDEX(其他调用!$M$5:$M$404,MATCH($K328,其他调用!$B$5:$B$404,0))*0.6</f>
        <v>0.4120776000000001</v>
      </c>
      <c r="BE328" s="14">
        <f>INDEX(其他调用!$H$5:$L$404,MATCH($K328,其他调用!$B$5:$B$404,0),MATCH(BE$5,其他调用!$H$4:$L$4,0))*INDEX(其他调用!$M$5:$M$404,MATCH($K328,其他调用!$B$5:$B$404,0))*0.6</f>
        <v>0.11923199999999998</v>
      </c>
      <c r="BF328" s="14">
        <f>IF(OR(BF$5="大R",BF$5="超R"),0,INDEX(其他调用!$H$5:$L$404,MATCH($K328,其他调用!$B$5:$B$404,0),MATCH(BF$5,其他调用!$H$4:$L$4,0))*50*0.4)</f>
        <v>9.5925100500000013</v>
      </c>
      <c r="BG328" s="14">
        <f>IF(OR(BG$5="大R",BG$5="超R"),0,INDEX(其他调用!$H$5:$L$404,MATCH($K328,其他调用!$B$5:$B$404,0),MATCH(BG$5,其他调用!$H$4:$L$4,0))*50*0.4)</f>
        <v>9.4583027471839998</v>
      </c>
      <c r="BH328" s="14">
        <f>IF(OR(BH$5="大R",BH$5="超R"),0,INDEX(其他调用!$H$5:$L$404,MATCH($K328,其他调用!$B$5:$B$404,0),MATCH(BH$5,其他调用!$H$4:$L$4,0))*50*0.4)</f>
        <v>0.77208400281600009</v>
      </c>
      <c r="BI328" s="14">
        <f>IF(OR(BI$5="大R",BI$5="超R"),0,INDEX(其他调用!$H$5:$L$404,MATCH($K328,其他调用!$B$5:$B$404,0),MATCH(BI$5,其他调用!$H$4:$L$4,0))*50*0.4)</f>
        <v>0</v>
      </c>
      <c r="BJ328" s="14">
        <f>IF(OR(BJ$5="大R",BJ$5="超R"),0,INDEX(其他调用!$H$5:$L$404,MATCH($K328,其他调用!$B$5:$B$404,0),MATCH(BJ$5,其他调用!$H$4:$L$4,0))*50*0.4)</f>
        <v>0</v>
      </c>
      <c r="BL328" s="14">
        <f t="shared" ref="BL328:BL365" si="628">BL327+1</f>
        <v>323</v>
      </c>
      <c r="BM328" s="14">
        <f t="shared" si="535"/>
        <v>96</v>
      </c>
      <c r="BN328" s="14">
        <f>('疲劳值&amp;地图信息'!$S$10*'疲劳值&amp;地图信息'!$R$10+'疲劳值&amp;地图信息'!$S$11*'疲劳值&amp;地图信息'!$R$11+'疲劳值&amp;地图信息'!$S$12*'疲劳值&amp;地图信息'!$R$12+(BM328-'疲劳值&amp;地图信息'!$S$12-'疲劳值&amp;地图信息'!$S$11-'疲劳值&amp;地图信息'!$S$10)*'疲劳值&amp;地图信息'!$R$13)/BM328</f>
        <v>51.371477246638619</v>
      </c>
      <c r="BO328" s="14">
        <f>INDEX(其他调用!$M$5:$M$404,MATCH(BL328,其他调用!$B$5:$B$404,0))*0.6</f>
        <v>60</v>
      </c>
      <c r="BP328" s="14">
        <f>IF(BO328&gt;SUM('疲劳值&amp;地图信息'!$S$10:$S$12),('疲劳值&amp;地图信息'!$S$10*'疲劳值&amp;地图信息'!$R$10+'疲劳值&amp;地图信息'!$S$11*'疲劳值&amp;地图信息'!$R$11+'疲劳值&amp;地图信息'!$S$12*'疲劳值&amp;地图信息'!$R$12+(BO328-'疲劳值&amp;地图信息'!$S$12-'疲劳值&amp;地图信息'!$S$11-'疲劳值&amp;地图信息'!$S$10)*'疲劳值&amp;地图信息'!$R$13)/BO328,('疲劳值&amp;地图信息'!$S$10*'疲劳值&amp;地图信息'!$R$10+'疲劳值&amp;地图信息'!$S$11*'疲劳值&amp;地图信息'!$R$11+'疲劳值&amp;地图信息'!$S$12*'疲劳值&amp;地图信息'!$R$12+(BO328-'疲劳值&amp;地图信息'!$S$12-'疲劳值&amp;地图信息'!$S$11-'疲劳值&amp;地图信息'!$S$10)*'疲劳值&amp;地图信息'!$R$13)/BO328)</f>
        <v>44.158136341605953</v>
      </c>
      <c r="BQ328" s="14">
        <f t="shared" ref="BQ328:BQ365" si="629">50*0.4</f>
        <v>20</v>
      </c>
      <c r="BR328" s="14">
        <f>('疲劳值&amp;地图信息'!$S$10*'疲劳值&amp;地图信息'!$R$10+($BQ328-'疲劳值&amp;地图信息'!$S$10)*'疲劳值&amp;地图信息'!$R$11)/$BQ328</f>
        <v>32.067203015074995</v>
      </c>
      <c r="CF328" s="14">
        <v>323</v>
      </c>
      <c r="CG328" s="51">
        <f t="shared" si="536"/>
        <v>16514</v>
      </c>
      <c r="CH328" s="51">
        <f t="shared" si="537"/>
        <v>1065</v>
      </c>
      <c r="CI328" s="51">
        <f>INT(SUMPRODUCT($N328:$R328,$BA328:$BE328)/SUM($BA328:$BE328)/10000*$BX$7*$BZ$34/'疲劳值&amp;地图信息'!$R$10*$BY$53)</f>
        <v>3374</v>
      </c>
      <c r="CJ328" s="50">
        <f t="shared" si="538"/>
        <v>0.78814489571899016</v>
      </c>
      <c r="CK328" s="50">
        <f t="shared" si="539"/>
        <v>5.0828043716890182E-2</v>
      </c>
      <c r="CL328" s="50">
        <f t="shared" si="540"/>
        <v>0.1610270605641197</v>
      </c>
      <c r="CM328" s="14">
        <f t="shared" si="541"/>
        <v>18111</v>
      </c>
      <c r="CN328" s="14">
        <f t="shared" si="542"/>
        <v>1841</v>
      </c>
      <c r="CO328" s="14">
        <f>INT(SUMPRODUCT($U328:$Y328,$BA328:$BE328)/SUM($BA328:$BE328)/10000*$BX$7*$BZ$34/'疲劳值&amp;地图信息'!$R$10*$BY$54)</f>
        <v>6467</v>
      </c>
      <c r="CP328" s="50">
        <f t="shared" si="543"/>
        <v>0.68552935387410574</v>
      </c>
      <c r="CQ328" s="50">
        <f t="shared" si="544"/>
        <v>6.968469661985692E-2</v>
      </c>
      <c r="CR328" s="50">
        <f t="shared" si="545"/>
        <v>0.24478594950603733</v>
      </c>
      <c r="CS328" s="14">
        <f t="shared" si="546"/>
        <v>19738</v>
      </c>
      <c r="CT328" s="14">
        <f t="shared" si="547"/>
        <v>3252</v>
      </c>
      <c r="CU328" s="14">
        <f>INT(SUMPRODUCT($AB328:$AF328,$BA328:$BE328)/SUM($BA328:$BE328)/10000*$BX$7*$BZ$34/'疲劳值&amp;地图信息'!$R$10*$BY$55)</f>
        <v>8790</v>
      </c>
      <c r="CV328" s="50">
        <f t="shared" si="548"/>
        <v>0.62108244178728755</v>
      </c>
      <c r="CW328" s="50">
        <f t="shared" si="549"/>
        <v>0.10232850849590938</v>
      </c>
      <c r="CX328" s="50">
        <f t="shared" si="550"/>
        <v>0.27658904971680304</v>
      </c>
      <c r="CY328" s="14">
        <f t="shared" si="551"/>
        <v>23661</v>
      </c>
      <c r="CZ328" s="14">
        <f t="shared" si="552"/>
        <v>8722</v>
      </c>
      <c r="DA328" s="14">
        <f>INT(SUMPRODUCT($AI328:$AM328,$BA328:$BE328)/SUM($BA328:$BE328)/10000*$BX$7*$BZ$34/'疲劳值&amp;地图信息'!$R$10*$BY$56)</f>
        <v>13259</v>
      </c>
      <c r="DB328" s="50">
        <f t="shared" si="553"/>
        <v>0.51840410148547389</v>
      </c>
      <c r="DC328" s="50">
        <f t="shared" si="554"/>
        <v>0.19109592042417073</v>
      </c>
      <c r="DD328" s="50">
        <f t="shared" si="555"/>
        <v>0.29049997809035538</v>
      </c>
      <c r="DE328" s="14">
        <f t="shared" si="556"/>
        <v>24504</v>
      </c>
      <c r="DF328" s="14">
        <f t="shared" si="557"/>
        <v>15423</v>
      </c>
      <c r="DG328" s="14">
        <f>INT(SUMPRODUCT($AP328:$AT328,$BA328:$BE328)/SUM($BA328:$BE328)/10000*$BX$7*$BZ$34/'疲劳值&amp;地图信息'!$R$10*$BY$57)</f>
        <v>17697</v>
      </c>
      <c r="DH328" s="50">
        <f t="shared" si="558"/>
        <v>0.42523948354852142</v>
      </c>
      <c r="DI328" s="50">
        <f t="shared" si="559"/>
        <v>0.26764889629321115</v>
      </c>
      <c r="DJ328" s="50">
        <f t="shared" si="560"/>
        <v>0.30711162015826737</v>
      </c>
      <c r="DL328" s="14">
        <f t="shared" si="526"/>
        <v>20953</v>
      </c>
      <c r="DM328" s="14">
        <f t="shared" si="527"/>
        <v>26419</v>
      </c>
      <c r="DN328" s="14">
        <f t="shared" si="528"/>
        <v>31780</v>
      </c>
      <c r="DO328" s="14">
        <f t="shared" si="529"/>
        <v>45642</v>
      </c>
      <c r="DP328" s="14">
        <f t="shared" si="530"/>
        <v>57624</v>
      </c>
      <c r="DQ328" s="14">
        <f t="shared" si="531"/>
        <v>1451901</v>
      </c>
      <c r="DT328" s="14">
        <f t="shared" si="525"/>
        <v>235575</v>
      </c>
      <c r="DU328" s="50">
        <f t="shared" si="532"/>
        <v>0.13960198545045974</v>
      </c>
      <c r="DW328" s="14">
        <f t="shared" si="561"/>
        <v>1687476</v>
      </c>
      <c r="EB328" s="14">
        <v>323</v>
      </c>
      <c r="EC328" s="51">
        <f t="shared" si="562"/>
        <v>27524</v>
      </c>
      <c r="ED328" s="51">
        <f t="shared" si="563"/>
        <v>1775</v>
      </c>
      <c r="EE328" s="51">
        <f>INT(SUMPRODUCT($N328:$R328,$BF328:$BJ328)/SUM($BF328:$BJ328)/10000*$BX$7*$BZ$46/'疲劳值&amp;地图信息'!$R$10*$BY$53)</f>
        <v>453</v>
      </c>
      <c r="EF328" s="50">
        <f t="shared" si="564"/>
        <v>0.92511427803172896</v>
      </c>
      <c r="EG328" s="50">
        <f t="shared" si="565"/>
        <v>5.965985479967733E-2</v>
      </c>
      <c r="EH328" s="50">
        <f t="shared" si="566"/>
        <v>1.5225867168593707E-2</v>
      </c>
      <c r="EI328" s="51">
        <f t="shared" si="567"/>
        <v>30185</v>
      </c>
      <c r="EJ328" s="51">
        <f t="shared" si="568"/>
        <v>3068</v>
      </c>
      <c r="EK328" s="14">
        <f>INT(SUMPRODUCT($U328:$Y328,$BF328:$BJ328)/SUM($BF328:$BJ328)/10000*$BX$7*$BZ$46/'疲劳值&amp;地图信息'!$R$10*$BY$54)</f>
        <v>868</v>
      </c>
      <c r="EL328" s="50">
        <f t="shared" si="569"/>
        <v>0.88464581929017316</v>
      </c>
      <c r="EM328" s="50">
        <f t="shared" si="570"/>
        <v>8.9915301427273525E-2</v>
      </c>
      <c r="EN328" s="50">
        <f t="shared" si="571"/>
        <v>2.5438879282553267E-2</v>
      </c>
      <c r="EO328" s="51">
        <f t="shared" si="572"/>
        <v>32897</v>
      </c>
      <c r="EP328" s="51">
        <f t="shared" si="573"/>
        <v>5420</v>
      </c>
      <c r="EQ328" s="14">
        <f>INT(SUMPRODUCT($AB328:$AF328,$BF328:$BJ328)/SUM($BF328:$BJ328)/10000*$BX$7*$BZ$46/'疲劳值&amp;地图信息'!$R$10*$BY$55)</f>
        <v>1178</v>
      </c>
      <c r="ER328" s="50">
        <f t="shared" si="574"/>
        <v>0.83294087859222687</v>
      </c>
      <c r="ES328" s="50">
        <f t="shared" si="575"/>
        <v>0.13723256108368148</v>
      </c>
      <c r="ET328" s="50">
        <f t="shared" si="576"/>
        <v>2.9826560324091658E-2</v>
      </c>
      <c r="EU328" s="51">
        <f t="shared" si="577"/>
        <v>39435</v>
      </c>
      <c r="EV328" s="51">
        <f t="shared" si="578"/>
        <v>14536</v>
      </c>
      <c r="EW328" s="14">
        <f>INT(SUMPRODUCT($AI328:$AM328,$BF328:$BJ328)/SUM($BF328:$BJ328)/10000*$BX$7*$BZ$46/'疲劳值&amp;地图信息'!$R$10*$BY$56)</f>
        <v>1767</v>
      </c>
      <c r="EX328" s="50">
        <f t="shared" si="579"/>
        <v>0.70750654849474326</v>
      </c>
      <c r="EY328" s="50">
        <f t="shared" si="580"/>
        <v>0.26079156051526786</v>
      </c>
      <c r="EZ328" s="50">
        <f t="shared" si="581"/>
        <v>3.1701890989988879E-2</v>
      </c>
      <c r="FA328" s="51">
        <f t="shared" si="582"/>
        <v>40841</v>
      </c>
      <c r="FB328" s="51">
        <f t="shared" si="583"/>
        <v>25705</v>
      </c>
      <c r="FC328" s="14">
        <f>INT(SUMPRODUCT($AP328:$AT328,$BF328:$BJ328)/SUM($BF328:$BJ328)/10000*$BX$7*$BZ$46/'疲劳值&amp;地图信息'!$R$10*$BY$57)</f>
        <v>2357</v>
      </c>
      <c r="FD328" s="50">
        <f t="shared" si="584"/>
        <v>0.59273181138702236</v>
      </c>
      <c r="FE328" s="50">
        <f t="shared" si="585"/>
        <v>0.37306067950597216</v>
      </c>
      <c r="FF328" s="50">
        <f t="shared" si="586"/>
        <v>3.4207509107005499E-2</v>
      </c>
      <c r="FH328" s="14">
        <f t="shared" si="587"/>
        <v>29752</v>
      </c>
      <c r="FI328" s="14">
        <f t="shared" si="588"/>
        <v>34121</v>
      </c>
      <c r="FJ328" s="14">
        <f t="shared" si="589"/>
        <v>39495</v>
      </c>
      <c r="FK328" s="14">
        <f t="shared" si="590"/>
        <v>55738</v>
      </c>
      <c r="FL328" s="14">
        <f t="shared" si="591"/>
        <v>68903</v>
      </c>
      <c r="FM328" s="14">
        <f t="shared" si="592"/>
        <v>3506226</v>
      </c>
      <c r="FP328" s="14">
        <f t="shared" si="593"/>
        <v>334150</v>
      </c>
      <c r="FQ328" s="50">
        <f t="shared" si="533"/>
        <v>8.7009709465948132E-2</v>
      </c>
      <c r="FS328" s="14">
        <f t="shared" si="594"/>
        <v>3840376</v>
      </c>
      <c r="FX328" s="14">
        <v>323</v>
      </c>
      <c r="FY328" s="51">
        <f t="shared" si="595"/>
        <v>38534</v>
      </c>
      <c r="FZ328" s="51">
        <f t="shared" si="596"/>
        <v>1775</v>
      </c>
      <c r="GA328" s="51">
        <f>INT(SUMPRODUCT($N328:$R328,$BF328:$BJ328)/SUM($BF328:$BJ328)/10000*$BX$7*$BZ$46/'疲劳值&amp;地图信息'!$R$10*$BY$53)</f>
        <v>453</v>
      </c>
      <c r="GB328" s="50">
        <f t="shared" si="597"/>
        <v>0.9453412492026888</v>
      </c>
      <c r="GC328" s="50">
        <f t="shared" si="598"/>
        <v>4.3545459005936905E-2</v>
      </c>
      <c r="GD328" s="50">
        <f t="shared" si="599"/>
        <v>1.1113291791374319E-2</v>
      </c>
      <c r="GE328" s="51">
        <f t="shared" si="600"/>
        <v>42259</v>
      </c>
      <c r="GF328" s="51">
        <f t="shared" si="601"/>
        <v>3068</v>
      </c>
      <c r="GG328" s="14">
        <f>INT(SUMPRODUCT($U328:$Y328,$BF328:$BJ328)/SUM($BF328:$BJ328)/10000*$BX$7*$BZ$46/'疲劳值&amp;地图信息'!$R$10*$BY$54)</f>
        <v>868</v>
      </c>
      <c r="GH328" s="50">
        <f t="shared" si="602"/>
        <v>0.91479597359021536</v>
      </c>
      <c r="GI328" s="50">
        <f t="shared" si="603"/>
        <v>6.6414114081610562E-2</v>
      </c>
      <c r="GJ328" s="50">
        <f t="shared" si="604"/>
        <v>1.8789912328174046E-2</v>
      </c>
      <c r="GK328" s="51">
        <f t="shared" si="605"/>
        <v>46056</v>
      </c>
      <c r="GL328" s="51">
        <f t="shared" si="606"/>
        <v>5420</v>
      </c>
      <c r="GM328" s="14">
        <f>INT(SUMPRODUCT($AB328:$AF328,$BF328:$BJ328)/SUM($BF328:$BJ328)/10000*$BX$7*$BZ$46/'疲劳值&amp;地图信息'!$R$10*$BY$55)</f>
        <v>1178</v>
      </c>
      <c r="GN328" s="50">
        <f t="shared" si="607"/>
        <v>0.87469138147149317</v>
      </c>
      <c r="GO328" s="50">
        <f t="shared" si="608"/>
        <v>0.10293614920044061</v>
      </c>
      <c r="GP328" s="50">
        <f t="shared" si="609"/>
        <v>2.2372469328066243E-2</v>
      </c>
      <c r="GQ328" s="51">
        <f t="shared" si="610"/>
        <v>55210</v>
      </c>
      <c r="GR328" s="51">
        <f t="shared" si="611"/>
        <v>14536</v>
      </c>
      <c r="GS328" s="14">
        <f>INT(SUMPRODUCT($AI328:$AM328,$BF328:$BJ328)/SUM($BF328:$BJ328)/10000*$BX$7*$BZ$46/'疲劳值&amp;地图信息'!$R$10*$BY$56)</f>
        <v>1767</v>
      </c>
      <c r="GT328" s="50">
        <f t="shared" si="612"/>
        <v>0.77202746353809792</v>
      </c>
      <c r="GU328" s="50">
        <f t="shared" si="613"/>
        <v>0.20326374225665264</v>
      </c>
      <c r="GV328" s="50">
        <f t="shared" si="614"/>
        <v>2.4708794205249397E-2</v>
      </c>
      <c r="GW328" s="51">
        <f t="shared" si="615"/>
        <v>57177</v>
      </c>
      <c r="GX328" s="51">
        <f t="shared" si="616"/>
        <v>25705</v>
      </c>
      <c r="GY328" s="14">
        <f>INT(SUMPRODUCT($AP328:$AT328,$BF328:$BJ328)/SUM($BF328:$BJ328)/10000*$BX$7*$BZ$46/'疲劳值&amp;地图信息'!$R$10*$BY$57)</f>
        <v>2357</v>
      </c>
      <c r="GZ328" s="50">
        <f t="shared" si="617"/>
        <v>0.67078450005279278</v>
      </c>
      <c r="HA328" s="50">
        <f t="shared" si="618"/>
        <v>0.30156383814920401</v>
      </c>
      <c r="HB328" s="50">
        <f t="shared" si="619"/>
        <v>2.7651661798003262E-2</v>
      </c>
      <c r="HD328" s="14">
        <f t="shared" si="620"/>
        <v>40762</v>
      </c>
      <c r="HE328" s="14">
        <f t="shared" si="621"/>
        <v>46195</v>
      </c>
      <c r="HF328" s="14">
        <f t="shared" si="622"/>
        <v>52654</v>
      </c>
      <c r="HG328" s="14">
        <f t="shared" si="623"/>
        <v>71513</v>
      </c>
      <c r="HH328" s="14">
        <f t="shared" si="624"/>
        <v>85239</v>
      </c>
      <c r="HI328" s="14">
        <f t="shared" si="625"/>
        <v>4743310</v>
      </c>
      <c r="HL328" s="14">
        <f t="shared" si="626"/>
        <v>430050</v>
      </c>
      <c r="HM328" s="50">
        <f t="shared" si="534"/>
        <v>8.3127793155705385E-2</v>
      </c>
      <c r="HO328" s="14">
        <f t="shared" si="627"/>
        <v>5173360</v>
      </c>
    </row>
    <row r="329" spans="11:223" x14ac:dyDescent="0.2">
      <c r="K329" s="14">
        <v>324</v>
      </c>
      <c r="L329" s="12">
        <f>求节点(节奏总纲!D$4:D$163,标准城池设计!AB$4:AB$163,$K329)*求节点(节奏总纲!D$4:D$163,攻城基础信息!$AC$5:$AC$164,$K329)</f>
        <v>811405.11310609791</v>
      </c>
      <c r="M329" s="12">
        <f>INDEX(其他调用!$AA$5:$AA$404,MATCH(K329,其他调用!$X$5:$X$404,0))*MIN(INDEX(其他调用!$AH$5:$AH$364,MATCH('征服点（新）'!K329,其他调用!$AG$5:$AG$364,0),1)/INDEX(其他调用!$AJ$5:$AJ$364,MATCH(K329,其他调用!$AG$5:$AG$364,0),0),5)*求节点(节奏总纲!D$4:D$163,攻城基础信息!$AC$5:$AC$164,$K329)</f>
        <v>52218.722247455102</v>
      </c>
      <c r="N329" s="12">
        <f>MIN(INDEX(其他调用!$AH$5:$AH$364,MATCH($K329,其他调用!$AG$5:$AG$364,0),1)/INDEX(其他调用!AH$5:AH$364,MATCH($K329,其他调用!$AG$5:$AG$364,0),0),1)*INDEX(其他调用!Y$5:Y$404,MATCH($K329,其他调用!$X$5:$X$404,0),0)</f>
        <v>42918.535225234526</v>
      </c>
      <c r="O329" s="12">
        <f>MIN(INDEX(其他调用!$AH$5:$AH$364,MATCH($K329,其他调用!$AG$5:$AG$364,0),1)/INDEX(其他调用!AI$5:AI$364,MATCH($K329,其他调用!$AG$5:$AG$364,0),0),1)*INDEX(其他调用!Z$5:Z$404,MATCH($K329,其他调用!$X$5:$X$404,0),0)</f>
        <v>25491.390676829738</v>
      </c>
      <c r="P329" s="12">
        <f>MIN(INDEX(其他调用!$AH$5:$AH$364,MATCH($K329,其他调用!$AG$5:$AG$364,0),1)/INDEX(其他调用!AJ$5:AJ$364,MATCH($K329,其他调用!$AG$5:$AG$364,0),0),1)*INDEX(其他调用!AA$5:AA$404,MATCH($K329,其他调用!$X$5:$X$404,0),0)</f>
        <v>14919.634927844325</v>
      </c>
      <c r="Q329" s="12">
        <f>MIN(INDEX(其他调用!$AH$5:$AH$364,MATCH($K329,其他调用!$AG$5:$AG$364,0),1)/INDEX(其他调用!AK$5:AK$364,MATCH($K329,其他调用!$AG$5:$AG$364,0),0),1)*INDEX(其他调用!AB$5:AB$404,MATCH($K329,其他调用!$X$5:$X$404,0),0)</f>
        <v>5848.2660007469631</v>
      </c>
      <c r="R329" s="12">
        <f>MIN(INDEX(其他调用!$AH$5:$AH$364,MATCH($K329,其他调用!$AG$5:$AG$364,0),1)/INDEX(其他调用!AL$5:AL$364,MATCH($K329,其他调用!$AG$5:$AG$364,0),0),1)*INDEX(其他调用!AC$5:AC$404,MATCH($K329,其他调用!$X$5:$X$404,0),0)</f>
        <v>3581.9759503253754</v>
      </c>
      <c r="S329" s="12">
        <f>求节点(节奏总纲!D$4:D$163,标准城池设计!AC$4:AC$163,$K329)*求节点(节奏总纲!D$4:D$163,攻城基础信息!$AD$5:$AD$164,$K329)</f>
        <v>889844.70661683835</v>
      </c>
      <c r="T329" s="12">
        <f>INDEX(其他调用!$AA$5:$AA$404,MATCH($K329,其他调用!$X$5:$X$404,0))*MIN(INDEX(其他调用!AI$5:AI$364,MATCH($K329,其他调用!$AG$5:$AG$364,0),1)/INDEX(其他调用!$AJ$5:$AJ$364,MATCH($K329,其他调用!$AG$5:$AG$364,0),0),5)*求节点(节奏总纲!D$4:D$163,攻城基础信息!$AD$5:$AD$164,$K329)</f>
        <v>90292.783973333717</v>
      </c>
      <c r="U329" s="12">
        <f>MIN(INDEX(其他调用!$AI$5:$AI$364,MATCH($K329,其他调用!$AG$5:$AG$364,0),1)/INDEX(其他调用!AH$5:AH$364,MATCH($K329,其他调用!$AG$5:$AG$364,0),0),1)*INDEX(其他调用!Y$5:Y$404,MATCH($K329,其他调用!$X$5:$X$404,0),0)</f>
        <v>42918.535225234526</v>
      </c>
      <c r="V329" s="12">
        <f>MIN(INDEX(其他调用!$AI$5:$AI$364,MATCH($K329,其他调用!$AG$5:$AG$364,0),1)/INDEX(其他调用!AI$5:AI$364,MATCH($K329,其他调用!$AG$5:$AG$364,0),0),1)*INDEX(其他调用!Z$5:Z$404,MATCH($K329,其他调用!$X$5:$X$404,0),0)</f>
        <v>44077.842821499027</v>
      </c>
      <c r="W329" s="12">
        <f>MIN(INDEX(其他调用!$AI$5:$AI$364,MATCH($K329,其他调用!$AG$5:$AG$364,0),1)/INDEX(其他调用!AJ$5:AJ$364,MATCH($K329,其他调用!$AG$5:$AG$364,0),0),1)*INDEX(其他调用!AA$5:AA$404,MATCH($K329,其他调用!$X$5:$X$404,0),0)</f>
        <v>25797.938278095364</v>
      </c>
      <c r="X329" s="12">
        <f>MIN(INDEX(其他调用!$AI$5:$AI$364,MATCH($K329,其他调用!$AG$5:$AG$364,0),1)/INDEX(其他调用!AK$5:AK$364,MATCH($K329,其他调用!$AG$5:$AG$364,0),0),1)*INDEX(其他调用!AB$5:AB$404,MATCH($K329,其他调用!$X$5:$X$404,0),0)</f>
        <v>10112.392565288648</v>
      </c>
      <c r="Y329" s="12">
        <f>MIN(INDEX(其他调用!$AI$5:$AI$364,MATCH($K329,其他调用!$AG$5:$AG$364,0),1)/INDEX(其他调用!AL$5:AL$364,MATCH($K329,其他调用!$AG$5:$AG$364,0),0),1)*INDEX(其他调用!AC$5:AC$404,MATCH($K329,其他调用!$X$5:$X$404,0),0)</f>
        <v>6193.6900552209145</v>
      </c>
      <c r="Z329" s="12">
        <f>求节点(节奏总纲!D$4:D$163,标准城池设计!AD$4:AD$163,$K329)*求节点(节奏总纲!D$4:D$163,攻城基础信息!$AE$5:$AE$164,$K329)</f>
        <v>969774.75447075453</v>
      </c>
      <c r="AA329" s="12">
        <f>INDEX(其他调用!$AA$5:$AA$404,MATCH($K329,其他调用!$X$5:$X$404,0))*MIN(INDEX(其他调用!AJ$5:AJ$364,MATCH($K329,其他调用!$AG$5:$AG$364,0),1)/INDEX(其他调用!$AJ$5:$AJ$364,MATCH($K329,其他调用!$AG$5:$AG$364,0),0),5)*求节点(节奏总纲!D$4:D$163,攻城基础信息!$AE$5:$AE$164,$K329)</f>
        <v>159631.19937377443</v>
      </c>
      <c r="AB329" s="12">
        <f>MIN(INDEX(其他调用!$AJ$5:$AJ$364,MATCH($K329,其他调用!$AG$5:$AG$364,0),1)/INDEX(其他调用!AH$5:AH$364,MATCH($K329,其他调用!$AG$5:$AG$364,0),0),1)*INDEX(其他调用!Y$5:Y$404,MATCH($K329,其他调用!$X$5:$X$404,0),0)</f>
        <v>42918.535225234526</v>
      </c>
      <c r="AC329" s="12">
        <f>MIN(INDEX(其他调用!$AJ$5:$AJ$364,MATCH($K329,其他调用!$AG$5:$AG$364,0),1)/INDEX(其他调用!AI$5:AI$364,MATCH($K329,其他调用!$AG$5:$AG$364,0),0),1)*INDEX(其他调用!Z$5:Z$404,MATCH($K329,其他调用!$X$5:$X$404,0),0)</f>
        <v>44077.842821499027</v>
      </c>
      <c r="AD329" s="12">
        <f>MIN(INDEX(其他调用!$AJ$5:$AJ$364,MATCH($K329,其他调用!$AG$5:$AG$364,0),1)/INDEX(其他调用!AJ$5:AJ$364,MATCH($K329,其他调用!$AG$5:$AG$364,0),0),1)*INDEX(其他调用!AA$5:AA$404,MATCH($K329,其他调用!$X$5:$X$404,0),0)</f>
        <v>45608.914106792727</v>
      </c>
      <c r="AE329" s="12">
        <f>MIN(INDEX(其他调用!$AJ$5:$AJ$364,MATCH($K329,其他调用!$AG$5:$AG$364,0),1)/INDEX(其他调用!AK$5:AK$364,MATCH($K329,其他调用!$AG$5:$AG$364,0),0),1)*INDEX(其他调用!AB$5:AB$404,MATCH($K329,其他调用!$X$5:$X$404,0),0)</f>
        <v>17877.988502516502</v>
      </c>
      <c r="AF329" s="12">
        <f>MIN(INDEX(其他调用!$AJ$5:$AJ$364,MATCH($K329,其他调用!$AG$5:$AG$364,0),1)/INDEX(其他调用!AL$5:AL$364,MATCH($K329,其他调用!$AG$5:$AG$364,0),0),1)*INDEX(其他调用!AC$5:AC$404,MATCH($K329,其他调用!$X$5:$X$404,0),0)</f>
        <v>10950.00207720176</v>
      </c>
      <c r="AG329" s="12">
        <f>求节点(节奏总纲!D$4:D$163,标准城池设计!AE$4:AE$163,$K329)*求节点(节奏总纲!D$4:D$163,攻城基础信息!$AF$5:$AF$164,$K329)</f>
        <v>1162089.4485243666</v>
      </c>
      <c r="AH329" s="12">
        <f>INDEX(其他调用!$AA$5:$AA$404,MATCH($K329,其他调用!$X$5:$X$404,0))*MIN(INDEX(其他调用!AK$5:AK$364,MATCH($K329,其他调用!$AG$5:$AG$364,0),1)/INDEX(其他调用!$AJ$5:$AJ$364,MATCH($K329,其他调用!$AG$5:$AG$364,0),0),5)*求节点(节奏总纲!D$4:D$163,攻城基础信息!$AF$5:$AF$164,$K329)</f>
        <v>427371.49729298387</v>
      </c>
      <c r="AI329" s="12">
        <f>MIN(INDEX(其他调用!$AK$5:$AK$364,MATCH($K329,其他调用!$AG$5:$AG$364,0),1)/INDEX(其他调用!AH$5:AH$364,MATCH($K329,其他调用!$AG$5:$AG$364,0),0),1)*INDEX(其他调用!Y$5:Y$404,MATCH($K329,其他调用!$X$5:$X$404,0),0)</f>
        <v>42918.535225234526</v>
      </c>
      <c r="AJ329" s="12">
        <f>MIN(INDEX(其他调用!$AK$5:$AK$364,MATCH($K329,其他调用!$AG$5:$AG$364,0),1)/INDEX(其他调用!AI$5:AI$364,MATCH($K329,其他调用!$AG$5:$AG$364,0),0),1)*INDEX(其他调用!Z$5:Z$404,MATCH($K329,其他调用!$X$5:$X$404,0),0)</f>
        <v>44077.842821499027</v>
      </c>
      <c r="AK329" s="12">
        <f>MIN(INDEX(其他调用!$AK$5:$AK$364,MATCH($K329,其他调用!$AG$5:$AG$364,0),1)/INDEX(其他调用!AJ$5:AJ$364,MATCH($K329,其他调用!$AG$5:$AG$364,0),0),1)*INDEX(其他调用!AA$5:AA$404,MATCH($K329,其他调用!$X$5:$X$404,0),0)</f>
        <v>45608.914106792727</v>
      </c>
      <c r="AL329" s="12">
        <f>MIN(INDEX(其他调用!$AK$5:$AK$364,MATCH($K329,其他调用!$AG$5:$AG$364,0),1)/INDEX(其他调用!AK$5:AK$364,MATCH($K329,其他调用!$AG$5:$AG$364,0),0),1)*INDEX(其他调用!AB$5:AB$404,MATCH($K329,其他调用!$X$5:$X$404,0),0)</f>
        <v>47863.718025553346</v>
      </c>
      <c r="AM329" s="12">
        <f>MIN(INDEX(其他调用!$AK$5:$AK$364,MATCH($K329,其他调用!$AG$5:$AG$364,0),1)/INDEX(其他调用!AL$5:AL$364,MATCH($K329,其他调用!$AG$5:$AG$364,0),0),1)*INDEX(其他调用!AC$5:AC$404,MATCH($K329,其他调用!$X$5:$X$404,0),0)</f>
        <v>29315.815463727089</v>
      </c>
      <c r="AN329" s="12">
        <f>求节点(节奏总纲!D$4:D$163,标准城池设计!AF$4:AF$163,$K329)*求节点(节奏总纲!D$4:D$163,攻城基础信息!$AG$5:$AG$164,$K329)</f>
        <v>1203184.5387313094</v>
      </c>
      <c r="AO329" s="12">
        <f>INDEX(其他调用!$AA$5:$AA$404,MATCH($K329,其他调用!$X$5:$X$404,0))*MIN(INDEX(其他调用!AL$5:AL$364,MATCH($K329,其他调用!$AG$5:$AG$364,0),1)/INDEX(其他调用!$AJ$5:$AJ$364,MATCH($K329,其他调用!$AG$5:$AG$364,0),0),5)*求节点(节奏总纲!D$4:D$163,攻城基础信息!$AG$5:$AG$164,$K329)</f>
        <v>754519.82371225941</v>
      </c>
      <c r="AP329" s="12">
        <f>MIN(INDEX(其他调用!$AL$5:$AL$364,MATCH($K329,其他调用!$AG$5:$AG$364,0),1)/INDEX(其他调用!AH$5:AH$364,MATCH($K329,其他调用!$AG$5:$AG$364,0),0),1)*INDEX(其他调用!Y$5:Y$404,MATCH($K329,其他调用!$X$5:$X$404,0),0)</f>
        <v>42918.535225234526</v>
      </c>
      <c r="AQ329" s="12">
        <f>MIN(INDEX(其他调用!$AL$5:$AL$364,MATCH($K329,其他调用!$AG$5:$AG$364,0),1)/INDEX(其他调用!AI$5:AI$364,MATCH($K329,其他调用!$AG$5:$AG$364,0),0),1)*INDEX(其他调用!Z$5:Z$404,MATCH($K329,其他调用!$X$5:$X$404,0),0)</f>
        <v>44077.842821499027</v>
      </c>
      <c r="AR329" s="12">
        <f>MIN(INDEX(其他调用!$AL$5:$AL$364,MATCH($K329,其他调用!$AG$5:$AG$364,0),1)/INDEX(其他调用!AJ$5:AJ$364,MATCH($K329,其他调用!$AG$5:$AG$364,0),0),1)*INDEX(其他调用!AA$5:AA$404,MATCH($K329,其他调用!$X$5:$X$404,0),0)</f>
        <v>45608.914106792727</v>
      </c>
      <c r="AS329" s="12">
        <f>MIN(INDEX(其他调用!$AL$5:$AL$364,MATCH($K329,其他调用!$AG$5:$AG$364,0),1)/INDEX(其他调用!AK$5:AK$364,MATCH($K329,其他调用!$AG$5:$AG$364,0),0),1)*INDEX(其他调用!AB$5:AB$404,MATCH($K329,其他调用!$X$5:$X$404,0),0)</f>
        <v>47863.718025553346</v>
      </c>
      <c r="AT329" s="12">
        <f>MIN(INDEX(其他调用!$AL$5:$AL$364,MATCH($K329,其他调用!$AG$5:$AG$364,0),1)/INDEX(其他调用!AL$5:AL$364,MATCH($K329,其他调用!$AG$5:$AG$364,0),0),1)*INDEX(其他调用!AC$5:AC$404,MATCH($K329,其他调用!$X$5:$X$404,0),0)</f>
        <v>51756.759764698581</v>
      </c>
      <c r="AV329" s="14">
        <f>IF(OR(AV$5="大R",AV$5="超R"),MAX(INDEX(其他调用!$H$5:$L$404,MATCH($K329,其他调用!$B$5:$B$404,0),MATCH(AV$5,其他调用!$H$4:$L$4,0))*120*0.85,2),INDEX(其他调用!$H$5:$L$404,MATCH($K329,其他调用!$B$5:$B$404,0),MATCH(AV$5,其他调用!$H$4:$L$4,0))*120*0.85)</f>
        <v>48.921801254999991</v>
      </c>
      <c r="AW329" s="14">
        <f>IF(OR(AW$5="大R",AW$5="超R"),MAX(INDEX(其他调用!$H$5:$L$404,MATCH($K329,其他调用!$B$5:$B$404,0),MATCH(AW$5,其他调用!$H$4:$L$4,0))*120*0.85,2),INDEX(其他调用!$H$5:$L$404,MATCH($K329,其他调用!$B$5:$B$404,0),MATCH(AW$5,其他调用!$H$4:$L$4,0))*120*0.85)</f>
        <v>48.237344010638395</v>
      </c>
      <c r="AX329" s="14">
        <f>IF(OR(AX$5="大R",AX$5="超R"),MAX(INDEX(其他调用!$H$5:$L$404,MATCH($K329,其他调用!$B$5:$B$404,0),MATCH(AX$5,其他调用!$H$4:$L$4,0))*120*0.85,2),INDEX(其他调用!$H$5:$L$404,MATCH($K329,其他调用!$B$5:$B$404,0),MATCH(AX$5,其他调用!$H$4:$L$4,0))*120*0.85)</f>
        <v>3.9376284143615998</v>
      </c>
      <c r="AY329" s="14">
        <f>IF(OR(AY$5="大R",AY$5="超R"),MAX(INDEX(其他调用!$H$5:$L$404,MATCH($K329,其他调用!$B$5:$B$404,0),MATCH(AY$5,其他调用!$H$4:$L$4,0))*120*0.85,2),INDEX(其他调用!$H$5:$L$404,MATCH($K329,其他调用!$B$5:$B$404,0),MATCH(AY$5,其他调用!$H$4:$L$4,0))*120*0.85)</f>
        <v>2</v>
      </c>
      <c r="AZ329" s="14">
        <f>IF(OR(AZ$5="大R",AZ$5="超R"),MAX(INDEX(其他调用!$H$5:$L$404,MATCH($K329,其他调用!$B$5:$B$404,0),MATCH(AZ$5,其他调用!$H$4:$L$4,0))*120*0.85,2),INDEX(其他调用!$H$5:$L$404,MATCH($K329,其他调用!$B$5:$B$404,0),MATCH(AZ$5,其他调用!$H$4:$L$4,0))*120*0.85)</f>
        <v>2</v>
      </c>
      <c r="BA329" s="14">
        <f>INDEX(其他调用!$H$5:$L$404,MATCH($K329,其他调用!$B$5:$B$404,0),MATCH(BA$5,其他调用!$H$4:$L$4,0))*INDEX(其他调用!$M$5:$M$404,MATCH($K329,其他调用!$B$5:$B$404,0))*0.6</f>
        <v>28.777530149999997</v>
      </c>
      <c r="BB329" s="14">
        <f>INDEX(其他调用!$H$5:$L$404,MATCH($K329,其他调用!$B$5:$B$404,0),MATCH(BB$5,其他调用!$H$4:$L$4,0))*INDEX(其他调用!$M$5:$M$404,MATCH($K329,其他调用!$B$5:$B$404,0))*0.6</f>
        <v>28.374908241551999</v>
      </c>
      <c r="BC329" s="14">
        <f>INDEX(其他调用!$H$5:$L$404,MATCH($K329,其他调用!$B$5:$B$404,0),MATCH(BC$5,其他调用!$H$4:$L$4,0))*INDEX(其他调用!$M$5:$M$404,MATCH($K329,其他调用!$B$5:$B$404,0))*0.6</f>
        <v>2.3162520084480001</v>
      </c>
      <c r="BD329" s="14">
        <f>INDEX(其他调用!$H$5:$L$404,MATCH($K329,其他调用!$B$5:$B$404,0),MATCH(BD$5,其他调用!$H$4:$L$4,0))*INDEX(其他调用!$M$5:$M$404,MATCH($K329,其他调用!$B$5:$B$404,0))*0.6</f>
        <v>0.4120776000000001</v>
      </c>
      <c r="BE329" s="14">
        <f>INDEX(其他调用!$H$5:$L$404,MATCH($K329,其他调用!$B$5:$B$404,0),MATCH(BE$5,其他调用!$H$4:$L$4,0))*INDEX(其他调用!$M$5:$M$404,MATCH($K329,其他调用!$B$5:$B$404,0))*0.6</f>
        <v>0.11923199999999998</v>
      </c>
      <c r="BF329" s="14">
        <f>IF(OR(BF$5="大R",BF$5="超R"),0,INDEX(其他调用!$H$5:$L$404,MATCH($K329,其他调用!$B$5:$B$404,0),MATCH(BF$5,其他调用!$H$4:$L$4,0))*50*0.4)</f>
        <v>9.5925100500000013</v>
      </c>
      <c r="BG329" s="14">
        <f>IF(OR(BG$5="大R",BG$5="超R"),0,INDEX(其他调用!$H$5:$L$404,MATCH($K329,其他调用!$B$5:$B$404,0),MATCH(BG$5,其他调用!$H$4:$L$4,0))*50*0.4)</f>
        <v>9.4583027471839998</v>
      </c>
      <c r="BH329" s="14">
        <f>IF(OR(BH$5="大R",BH$5="超R"),0,INDEX(其他调用!$H$5:$L$404,MATCH($K329,其他调用!$B$5:$B$404,0),MATCH(BH$5,其他调用!$H$4:$L$4,0))*50*0.4)</f>
        <v>0.77208400281600009</v>
      </c>
      <c r="BI329" s="14">
        <f>IF(OR(BI$5="大R",BI$5="超R"),0,INDEX(其他调用!$H$5:$L$404,MATCH($K329,其他调用!$B$5:$B$404,0),MATCH(BI$5,其他调用!$H$4:$L$4,0))*50*0.4)</f>
        <v>0</v>
      </c>
      <c r="BJ329" s="14">
        <f>IF(OR(BJ$5="大R",BJ$5="超R"),0,INDEX(其他调用!$H$5:$L$404,MATCH($K329,其他调用!$B$5:$B$404,0),MATCH(BJ$5,其他调用!$H$4:$L$4,0))*50*0.4)</f>
        <v>0</v>
      </c>
      <c r="BL329" s="14">
        <f t="shared" si="628"/>
        <v>324</v>
      </c>
      <c r="BM329" s="14">
        <f t="shared" si="535"/>
        <v>96</v>
      </c>
      <c r="BN329" s="14">
        <f>('疲劳值&amp;地图信息'!$S$10*'疲劳值&amp;地图信息'!$R$10+'疲劳值&amp;地图信息'!$S$11*'疲劳值&amp;地图信息'!$R$11+'疲劳值&amp;地图信息'!$S$12*'疲劳值&amp;地图信息'!$R$12+(BM329-'疲劳值&amp;地图信息'!$S$12-'疲劳值&amp;地图信息'!$S$11-'疲劳值&amp;地图信息'!$S$10)*'疲劳值&amp;地图信息'!$R$13)/BM329</f>
        <v>51.371477246638619</v>
      </c>
      <c r="BO329" s="14">
        <f>INDEX(其他调用!$M$5:$M$404,MATCH(BL329,其他调用!$B$5:$B$404,0))*0.6</f>
        <v>60</v>
      </c>
      <c r="BP329" s="14">
        <f>IF(BO329&gt;SUM('疲劳值&amp;地图信息'!$S$10:$S$12),('疲劳值&amp;地图信息'!$S$10*'疲劳值&amp;地图信息'!$R$10+'疲劳值&amp;地图信息'!$S$11*'疲劳值&amp;地图信息'!$R$11+'疲劳值&amp;地图信息'!$S$12*'疲劳值&amp;地图信息'!$R$12+(BO329-'疲劳值&amp;地图信息'!$S$12-'疲劳值&amp;地图信息'!$S$11-'疲劳值&amp;地图信息'!$S$10)*'疲劳值&amp;地图信息'!$R$13)/BO329,('疲劳值&amp;地图信息'!$S$10*'疲劳值&amp;地图信息'!$R$10+'疲劳值&amp;地图信息'!$S$11*'疲劳值&amp;地图信息'!$R$11+'疲劳值&amp;地图信息'!$S$12*'疲劳值&amp;地图信息'!$R$12+(BO329-'疲劳值&amp;地图信息'!$S$12-'疲劳值&amp;地图信息'!$S$11-'疲劳值&amp;地图信息'!$S$10)*'疲劳值&amp;地图信息'!$R$13)/BO329)</f>
        <v>44.158136341605953</v>
      </c>
      <c r="BQ329" s="14">
        <f t="shared" si="629"/>
        <v>20</v>
      </c>
      <c r="BR329" s="14">
        <f>('疲劳值&amp;地图信息'!$S$10*'疲劳值&amp;地图信息'!$R$10+($BQ329-'疲劳值&amp;地图信息'!$S$10)*'疲劳值&amp;地图信息'!$R$11)/$BQ329</f>
        <v>32.067203015074995</v>
      </c>
      <c r="CF329" s="14">
        <v>324</v>
      </c>
      <c r="CG329" s="51">
        <f t="shared" si="536"/>
        <v>16537</v>
      </c>
      <c r="CH329" s="51">
        <f t="shared" si="537"/>
        <v>1064</v>
      </c>
      <c r="CI329" s="51">
        <f>INT(SUMPRODUCT($N329:$R329,$BA329:$BE329)/SUM($BA329:$BE329)/10000*$BX$7*$BZ$34/'疲劳值&amp;地图信息'!$R$10*$BY$53)</f>
        <v>3375</v>
      </c>
      <c r="CJ329" s="50">
        <f t="shared" si="538"/>
        <v>0.78837719298245612</v>
      </c>
      <c r="CK329" s="50">
        <f t="shared" si="539"/>
        <v>5.0724637681159424E-2</v>
      </c>
      <c r="CL329" s="50">
        <f t="shared" si="540"/>
        <v>0.16089816933638443</v>
      </c>
      <c r="CM329" s="14">
        <f t="shared" si="541"/>
        <v>18136</v>
      </c>
      <c r="CN329" s="14">
        <f t="shared" si="542"/>
        <v>1840</v>
      </c>
      <c r="CO329" s="14">
        <f>INT(SUMPRODUCT($U329:$Y329,$BA329:$BE329)/SUM($BA329:$BE329)/10000*$BX$7*$BZ$34/'疲劳值&amp;地图信息'!$R$10*$BY$54)</f>
        <v>6469</v>
      </c>
      <c r="CP329" s="50">
        <f t="shared" si="543"/>
        <v>0.68580071847230095</v>
      </c>
      <c r="CQ329" s="50">
        <f t="shared" si="544"/>
        <v>6.9578370202306672E-2</v>
      </c>
      <c r="CR329" s="50">
        <f t="shared" si="545"/>
        <v>0.24462091132539232</v>
      </c>
      <c r="CS329" s="14">
        <f t="shared" si="546"/>
        <v>19765</v>
      </c>
      <c r="CT329" s="14">
        <f t="shared" si="547"/>
        <v>3253</v>
      </c>
      <c r="CU329" s="14">
        <f>INT(SUMPRODUCT($AB329:$AF329,$BA329:$BE329)/SUM($BA329:$BE329)/10000*$BX$7*$BZ$34/'疲劳值&amp;地图信息'!$R$10*$BY$55)</f>
        <v>8794</v>
      </c>
      <c r="CV329" s="50">
        <f t="shared" si="548"/>
        <v>0.62130642524833402</v>
      </c>
      <c r="CW329" s="50">
        <f t="shared" si="549"/>
        <v>0.10225700993335848</v>
      </c>
      <c r="CX329" s="50">
        <f t="shared" si="550"/>
        <v>0.27643656481830758</v>
      </c>
      <c r="CY329" s="14">
        <f t="shared" si="551"/>
        <v>23684</v>
      </c>
      <c r="CZ329" s="14">
        <f t="shared" si="552"/>
        <v>8710</v>
      </c>
      <c r="DA329" s="14">
        <f>INT(SUMPRODUCT($AI329:$AM329,$BA329:$BE329)/SUM($BA329:$BE329)/10000*$BX$7*$BZ$34/'疲劳值&amp;地图信息'!$R$10*$BY$56)</f>
        <v>13265</v>
      </c>
      <c r="DB329" s="50">
        <f t="shared" si="553"/>
        <v>0.51871482073632802</v>
      </c>
      <c r="DC329" s="50">
        <f t="shared" si="554"/>
        <v>0.1907619527365908</v>
      </c>
      <c r="DD329" s="50">
        <f t="shared" si="555"/>
        <v>0.29052322652708118</v>
      </c>
      <c r="DE329" s="14">
        <f t="shared" si="556"/>
        <v>24522</v>
      </c>
      <c r="DF329" s="14">
        <f t="shared" si="557"/>
        <v>15378</v>
      </c>
      <c r="DG329" s="14">
        <f>INT(SUMPRODUCT($AP329:$AT329,$BA329:$BE329)/SUM($BA329:$BE329)/10000*$BX$7*$BZ$34/'疲劳值&amp;地图信息'!$R$10*$BY$57)</f>
        <v>17704</v>
      </c>
      <c r="DH329" s="50">
        <f t="shared" si="558"/>
        <v>0.4256996041941532</v>
      </c>
      <c r="DI329" s="50">
        <f t="shared" si="559"/>
        <v>0.26696062773418511</v>
      </c>
      <c r="DJ329" s="50">
        <f t="shared" si="560"/>
        <v>0.30733976807166169</v>
      </c>
      <c r="DL329" s="14">
        <f t="shared" si="526"/>
        <v>20976</v>
      </c>
      <c r="DM329" s="14">
        <f t="shared" si="527"/>
        <v>26445</v>
      </c>
      <c r="DN329" s="14">
        <f t="shared" si="528"/>
        <v>31812</v>
      </c>
      <c r="DO329" s="14">
        <f t="shared" si="529"/>
        <v>45659</v>
      </c>
      <c r="DP329" s="14">
        <f t="shared" si="530"/>
        <v>57604</v>
      </c>
      <c r="DQ329" s="14">
        <f t="shared" si="531"/>
        <v>1453379</v>
      </c>
      <c r="DT329" s="14">
        <f t="shared" si="525"/>
        <v>235575</v>
      </c>
      <c r="DU329" s="50">
        <f t="shared" si="532"/>
        <v>0.13947982005430581</v>
      </c>
      <c r="DW329" s="14">
        <f t="shared" si="561"/>
        <v>1688954</v>
      </c>
      <c r="EB329" s="14">
        <v>324</v>
      </c>
      <c r="EC329" s="51">
        <f t="shared" si="562"/>
        <v>27562</v>
      </c>
      <c r="ED329" s="51">
        <f t="shared" si="563"/>
        <v>1773</v>
      </c>
      <c r="EE329" s="51">
        <f>INT(SUMPRODUCT($N329:$R329,$BF329:$BJ329)/SUM($BF329:$BJ329)/10000*$BX$7*$BZ$46/'疲劳值&amp;地图信息'!$R$10*$BY$53)</f>
        <v>453</v>
      </c>
      <c r="EF329" s="50">
        <f t="shared" si="564"/>
        <v>0.92527192157915938</v>
      </c>
      <c r="EG329" s="50">
        <f t="shared" si="565"/>
        <v>5.9520612327111588E-2</v>
      </c>
      <c r="EH329" s="50">
        <f t="shared" si="566"/>
        <v>1.5207466093729019E-2</v>
      </c>
      <c r="EI329" s="51">
        <f t="shared" si="567"/>
        <v>30226</v>
      </c>
      <c r="EJ329" s="51">
        <f t="shared" si="568"/>
        <v>3067</v>
      </c>
      <c r="EK329" s="14">
        <f>INT(SUMPRODUCT($U329:$Y329,$BF329:$BJ329)/SUM($BF329:$BJ329)/10000*$BX$7*$BZ$46/'疲劳值&amp;地图信息'!$R$10*$BY$54)</f>
        <v>868</v>
      </c>
      <c r="EL329" s="50">
        <f t="shared" si="569"/>
        <v>0.88481016363689591</v>
      </c>
      <c r="EM329" s="50">
        <f t="shared" si="570"/>
        <v>8.9780744123415593E-2</v>
      </c>
      <c r="EN329" s="50">
        <f t="shared" si="571"/>
        <v>2.5409092239688534E-2</v>
      </c>
      <c r="EO329" s="51">
        <f t="shared" si="572"/>
        <v>32942</v>
      </c>
      <c r="EP329" s="51">
        <f t="shared" si="573"/>
        <v>5422</v>
      </c>
      <c r="EQ329" s="14">
        <f>INT(SUMPRODUCT($AB329:$AF329,$BF329:$BJ329)/SUM($BF329:$BJ329)/10000*$BX$7*$BZ$46/'疲劳值&amp;地图信息'!$R$10*$BY$55)</f>
        <v>1179</v>
      </c>
      <c r="ER329" s="50">
        <f t="shared" si="574"/>
        <v>0.83306779961055055</v>
      </c>
      <c r="ES329" s="50">
        <f t="shared" si="575"/>
        <v>0.13711655665983866</v>
      </c>
      <c r="ET329" s="50">
        <f t="shared" si="576"/>
        <v>2.9815643729610805E-2</v>
      </c>
      <c r="EU329" s="51">
        <f t="shared" si="577"/>
        <v>39474</v>
      </c>
      <c r="EV329" s="51">
        <f t="shared" si="578"/>
        <v>14517</v>
      </c>
      <c r="EW329" s="14">
        <f>INT(SUMPRODUCT($AI329:$AM329,$BF329:$BJ329)/SUM($BF329:$BJ329)/10000*$BX$7*$BZ$46/'疲劳值&amp;地图信息'!$R$10*$BY$56)</f>
        <v>1768</v>
      </c>
      <c r="EX329" s="50">
        <f t="shared" si="579"/>
        <v>0.70793952545777361</v>
      </c>
      <c r="EY329" s="50">
        <f t="shared" si="580"/>
        <v>0.2603525888197421</v>
      </c>
      <c r="EZ329" s="50">
        <f t="shared" si="581"/>
        <v>3.1707885722484265E-2</v>
      </c>
      <c r="FA329" s="51">
        <f t="shared" si="582"/>
        <v>40870</v>
      </c>
      <c r="FB329" s="51">
        <f t="shared" si="583"/>
        <v>25630</v>
      </c>
      <c r="FC329" s="14">
        <f>INT(SUMPRODUCT($AP329:$AT329,$BF329:$BJ329)/SUM($BF329:$BJ329)/10000*$BX$7*$BZ$46/'疲劳值&amp;地图信息'!$R$10*$BY$57)</f>
        <v>2358</v>
      </c>
      <c r="FD329" s="50">
        <f t="shared" si="584"/>
        <v>0.59354032937349332</v>
      </c>
      <c r="FE329" s="50">
        <f t="shared" si="585"/>
        <v>0.37221528362717476</v>
      </c>
      <c r="FF329" s="50">
        <f t="shared" si="586"/>
        <v>3.4244386999331959E-2</v>
      </c>
      <c r="FH329" s="14">
        <f t="shared" si="587"/>
        <v>29788</v>
      </c>
      <c r="FI329" s="14">
        <f t="shared" si="588"/>
        <v>34161</v>
      </c>
      <c r="FJ329" s="14">
        <f t="shared" si="589"/>
        <v>39543</v>
      </c>
      <c r="FK329" s="14">
        <f t="shared" si="590"/>
        <v>55759</v>
      </c>
      <c r="FL329" s="14">
        <f t="shared" si="591"/>
        <v>68858</v>
      </c>
      <c r="FM329" s="14">
        <f t="shared" si="592"/>
        <v>3510058</v>
      </c>
      <c r="FP329" s="14">
        <f t="shared" si="593"/>
        <v>334150</v>
      </c>
      <c r="FQ329" s="50">
        <f t="shared" si="533"/>
        <v>8.6922976072054375E-2</v>
      </c>
      <c r="FS329" s="14">
        <f t="shared" si="594"/>
        <v>3844208</v>
      </c>
      <c r="FX329" s="14">
        <v>324</v>
      </c>
      <c r="FY329" s="51">
        <f t="shared" si="595"/>
        <v>38587</v>
      </c>
      <c r="FZ329" s="51">
        <f t="shared" si="596"/>
        <v>1773</v>
      </c>
      <c r="GA329" s="51">
        <f>INT(SUMPRODUCT($N329:$R329,$BF329:$BJ329)/SUM($BF329:$BJ329)/10000*$BX$7*$BZ$46/'疲劳值&amp;地图信息'!$R$10*$BY$53)</f>
        <v>453</v>
      </c>
      <c r="GB329" s="50">
        <f t="shared" si="597"/>
        <v>0.94545855487222208</v>
      </c>
      <c r="GC329" s="50">
        <f t="shared" si="598"/>
        <v>4.3442040526302891E-2</v>
      </c>
      <c r="GD329" s="50">
        <f t="shared" si="599"/>
        <v>1.1099404601475021E-2</v>
      </c>
      <c r="GE329" s="51">
        <f t="shared" si="600"/>
        <v>42317</v>
      </c>
      <c r="GF329" s="51">
        <f t="shared" si="601"/>
        <v>3067</v>
      </c>
      <c r="GG329" s="14">
        <f>INT(SUMPRODUCT($U329:$Y329,$BF329:$BJ329)/SUM($BF329:$BJ329)/10000*$BX$7*$BZ$46/'疲劳值&amp;地图信息'!$R$10*$BY$54)</f>
        <v>868</v>
      </c>
      <c r="GH329" s="50">
        <f t="shared" si="602"/>
        <v>0.9149225979417106</v>
      </c>
      <c r="GI329" s="50">
        <f t="shared" si="603"/>
        <v>6.6310646026117789E-2</v>
      </c>
      <c r="GJ329" s="50">
        <f t="shared" si="604"/>
        <v>1.876675603217158E-2</v>
      </c>
      <c r="GK329" s="51">
        <f t="shared" si="605"/>
        <v>46118</v>
      </c>
      <c r="GL329" s="51">
        <f t="shared" si="606"/>
        <v>5422</v>
      </c>
      <c r="GM329" s="14">
        <f>INT(SUMPRODUCT($AB329:$AF329,$BF329:$BJ329)/SUM($BF329:$BJ329)/10000*$BX$7*$BZ$46/'疲劳值&amp;地图信息'!$R$10*$BY$55)</f>
        <v>1179</v>
      </c>
      <c r="GN329" s="50">
        <f t="shared" si="607"/>
        <v>0.87478897551167512</v>
      </c>
      <c r="GO329" s="50">
        <f t="shared" si="608"/>
        <v>0.10284717084921945</v>
      </c>
      <c r="GP329" s="50">
        <f t="shared" si="609"/>
        <v>2.2363853639105445E-2</v>
      </c>
      <c r="GQ329" s="51">
        <f t="shared" si="610"/>
        <v>55264</v>
      </c>
      <c r="GR329" s="51">
        <f t="shared" si="611"/>
        <v>14517</v>
      </c>
      <c r="GS329" s="14">
        <f>INT(SUMPRODUCT($AI329:$AM329,$BF329:$BJ329)/SUM($BF329:$BJ329)/10000*$BX$7*$BZ$46/'疲劳值&amp;地图信息'!$R$10*$BY$56)</f>
        <v>1768</v>
      </c>
      <c r="GT329" s="50">
        <f t="shared" si="612"/>
        <v>0.7723937441473675</v>
      </c>
      <c r="GU329" s="50">
        <f t="shared" si="613"/>
        <v>0.20289591748312347</v>
      </c>
      <c r="GV329" s="50">
        <f t="shared" si="614"/>
        <v>2.4710338369509009E-2</v>
      </c>
      <c r="GW329" s="51">
        <f t="shared" si="615"/>
        <v>57219</v>
      </c>
      <c r="GX329" s="51">
        <f t="shared" si="616"/>
        <v>25630</v>
      </c>
      <c r="GY329" s="14">
        <f>INT(SUMPRODUCT($AP329:$AT329,$BF329:$BJ329)/SUM($BF329:$BJ329)/10000*$BX$7*$BZ$46/'疲劳值&amp;地图信息'!$R$10*$BY$57)</f>
        <v>2358</v>
      </c>
      <c r="GZ329" s="50">
        <f t="shared" si="617"/>
        <v>0.67152933444435314</v>
      </c>
      <c r="HA329" s="50">
        <f t="shared" si="618"/>
        <v>0.30079688288520895</v>
      </c>
      <c r="HB329" s="50">
        <f t="shared" si="619"/>
        <v>2.7673782670437876E-2</v>
      </c>
      <c r="HD329" s="14">
        <f t="shared" si="620"/>
        <v>40813</v>
      </c>
      <c r="HE329" s="14">
        <f t="shared" si="621"/>
        <v>46252</v>
      </c>
      <c r="HF329" s="14">
        <f t="shared" si="622"/>
        <v>52719</v>
      </c>
      <c r="HG329" s="14">
        <f t="shared" si="623"/>
        <v>71549</v>
      </c>
      <c r="HH329" s="14">
        <f t="shared" si="624"/>
        <v>85207</v>
      </c>
      <c r="HI329" s="14">
        <f t="shared" si="625"/>
        <v>4748818</v>
      </c>
      <c r="HL329" s="14">
        <f t="shared" si="626"/>
        <v>430050</v>
      </c>
      <c r="HM329" s="50">
        <f t="shared" si="534"/>
        <v>8.3039382351510024E-2</v>
      </c>
      <c r="HO329" s="14">
        <f t="shared" si="627"/>
        <v>5178868</v>
      </c>
    </row>
    <row r="330" spans="11:223" x14ac:dyDescent="0.2">
      <c r="K330" s="14">
        <v>325</v>
      </c>
      <c r="L330" s="12">
        <f>求节点(节奏总纲!D$4:D$163,标准城池设计!AB$4:AB$163,$K330)*求节点(节奏总纲!D$4:D$163,攻城基础信息!$AC$5:$AC$164,$K330)</f>
        <v>812521.76269208745</v>
      </c>
      <c r="M330" s="12">
        <f>INDEX(其他调用!$AA$5:$AA$404,MATCH(K330,其他调用!$X$5:$X$404,0))*MIN(INDEX(其他调用!$AH$5:$AH$364,MATCH('征服点（新）'!K330,其他调用!$AG$5:$AG$364,0),1)/INDEX(其他调用!$AJ$5:$AJ$364,MATCH(K330,其他调用!$AG$5:$AG$364,0),0),5)*求节点(节奏总纲!D$4:D$163,攻城基础信息!$AC$5:$AC$164,$K330)</f>
        <v>52160.772781125139</v>
      </c>
      <c r="N330" s="12">
        <f>MIN(INDEX(其他调用!$AH$5:$AH$364,MATCH($K330,其他调用!$AG$5:$AG$364,0),1)/INDEX(其他调用!AH$5:AH$364,MATCH($K330,其他调用!$AG$5:$AG$364,0),0),1)*INDEX(其他调用!Y$5:Y$404,MATCH($K330,其他调用!$X$5:$X$404,0),0)</f>
        <v>42936.344711147067</v>
      </c>
      <c r="O330" s="12">
        <f>MIN(INDEX(其他调用!$AH$5:$AH$364,MATCH($K330,其他调用!$AG$5:$AG$364,0),1)/INDEX(其他调用!AI$5:AI$364,MATCH($K330,其他调用!$AG$5:$AG$364,0),0),1)*INDEX(其他调用!Z$5:Z$404,MATCH($K330,其他调用!$X$5:$X$404,0),0)</f>
        <v>25485.175335202108</v>
      </c>
      <c r="P330" s="12">
        <f>MIN(INDEX(其他调用!$AH$5:$AH$364,MATCH($K330,其他调用!$AG$5:$AG$364,0),1)/INDEX(其他调用!AJ$5:AJ$364,MATCH($K330,其他调用!$AG$5:$AG$364,0),0),1)*INDEX(其他调用!AA$5:AA$404,MATCH($K330,其他调用!$X$5:$X$404,0),0)</f>
        <v>14903.077937464335</v>
      </c>
      <c r="Q330" s="12">
        <f>MIN(INDEX(其他调用!$AH$5:$AH$364,MATCH($K330,其他调用!$AG$5:$AG$364,0),1)/INDEX(其他调用!AK$5:AK$364,MATCH($K330,其他调用!$AG$5:$AG$364,0),0),1)*INDEX(其他调用!AB$5:AB$404,MATCH($K330,其他调用!$X$5:$X$404,0),0)</f>
        <v>5851.7810523193421</v>
      </c>
      <c r="R330" s="12">
        <f>MIN(INDEX(其他调用!$AH$5:$AH$364,MATCH($K330,其他调用!$AG$5:$AG$364,0),1)/INDEX(其他调用!AL$5:AL$364,MATCH($K330,其他调用!$AG$5:$AG$364,0),0),1)*INDEX(其他调用!AC$5:AC$404,MATCH($K330,其他调用!$X$5:$X$404,0),0)</f>
        <v>3589.7329571047626</v>
      </c>
      <c r="S330" s="12">
        <f>求节点(节奏总纲!D$4:D$163,标准城池设计!AC$4:AC$163,$K330)*求节点(节奏总纲!D$4:D$163,攻城基础信息!$AD$5:$AD$164,$K330)</f>
        <v>891066.10059192812</v>
      </c>
      <c r="T330" s="12">
        <f>INDEX(其他调用!$AA$5:$AA$404,MATCH($K330,其他调用!$X$5:$X$404,0))*MIN(INDEX(其他调用!AI$5:AI$364,MATCH($K330,其他调用!$AG$5:$AG$364,0),1)/INDEX(其他调用!$AJ$5:$AJ$364,MATCH($K330,其他调用!$AG$5:$AG$364,0),0),5)*求节点(节奏总纲!D$4:D$163,攻城基础信息!$AD$5:$AD$164,$K330)</f>
        <v>90251.129233519401</v>
      </c>
      <c r="U330" s="12">
        <f>MIN(INDEX(其他调用!$AI$5:$AI$364,MATCH($K330,其他调用!$AG$5:$AG$364,0),1)/INDEX(其他调用!AH$5:AH$364,MATCH($K330,其他调用!$AG$5:$AG$364,0),0),1)*INDEX(其他调用!Y$5:Y$404,MATCH($K330,其他调用!$X$5:$X$404,0),0)</f>
        <v>42936.344711147067</v>
      </c>
      <c r="V330" s="12">
        <f>MIN(INDEX(其他调用!$AI$5:$AI$364,MATCH($K330,其他调用!$AG$5:$AG$364,0),1)/INDEX(其他调用!AI$5:AI$364,MATCH($K330,其他调用!$AG$5:$AG$364,0),0),1)*INDEX(其他调用!Z$5:Z$404,MATCH($K330,其他调用!$X$5:$X$404,0),0)</f>
        <v>44095.701234482607</v>
      </c>
      <c r="W330" s="12">
        <f>MIN(INDEX(其他调用!$AI$5:$AI$364,MATCH($K330,其他调用!$AG$5:$AG$364,0),1)/INDEX(其他调用!AJ$5:AJ$364,MATCH($K330,其他调用!$AG$5:$AG$364,0),0),1)*INDEX(其他调用!AA$5:AA$404,MATCH($K330,其他调用!$X$5:$X$404,0),0)</f>
        <v>25786.036923862703</v>
      </c>
      <c r="X330" s="12">
        <f>MIN(INDEX(其他调用!$AI$5:$AI$364,MATCH($K330,其他调用!$AG$5:$AG$364,0),1)/INDEX(其他调用!AK$5:AK$364,MATCH($K330,其他调用!$AG$5:$AG$364,0),0),1)*INDEX(其他调用!AB$5:AB$404,MATCH($K330,其他调用!$X$5:$X$404,0),0)</f>
        <v>10125.038795250401</v>
      </c>
      <c r="Y330" s="12">
        <f>MIN(INDEX(其他调用!$AI$5:$AI$364,MATCH($K330,其他调用!$AG$5:$AG$364,0),1)/INDEX(其他调用!AL$5:AL$364,MATCH($K330,其他调用!$AG$5:$AG$364,0),0),1)*INDEX(其他调用!AC$5:AC$404,MATCH($K330,其他调用!$X$5:$X$404,0),0)</f>
        <v>6211.132154520531</v>
      </c>
      <c r="Z330" s="12">
        <f>求节点(节奏总纲!D$4:D$163,标准城池设计!AD$4:AD$163,$K330)*求节点(节奏总纲!D$4:D$163,攻城基础信息!$AE$5:$AE$164,$K330)</f>
        <v>971081.4607766195</v>
      </c>
      <c r="AA330" s="12">
        <f>INDEX(其他调用!$AA$5:$AA$404,MATCH($K330,其他调用!$X$5:$X$404,0))*MIN(INDEX(其他调用!AJ$5:AJ$364,MATCH($K330,其他调用!$AG$5:$AG$364,0),1)/INDEX(其他调用!$AJ$5:$AJ$364,MATCH($K330,其他调用!$AG$5:$AG$364,0),0),5)*求节点(节奏总纲!D$4:D$163,攻城基础信息!$AE$5:$AE$164,$K330)</f>
        <v>159695.90875075577</v>
      </c>
      <c r="AB330" s="12">
        <f>MIN(INDEX(其他调用!$AJ$5:$AJ$364,MATCH($K330,其他调用!$AG$5:$AG$364,0),1)/INDEX(其他调用!AH$5:AH$364,MATCH($K330,其他调用!$AG$5:$AG$364,0),0),1)*INDEX(其他调用!Y$5:Y$404,MATCH($K330,其他调用!$X$5:$X$404,0),0)</f>
        <v>42936.344711147067</v>
      </c>
      <c r="AC330" s="12">
        <f>MIN(INDEX(其他调用!$AJ$5:$AJ$364,MATCH($K330,其他调用!$AG$5:$AG$364,0),1)/INDEX(其他调用!AI$5:AI$364,MATCH($K330,其他调用!$AG$5:$AG$364,0),0),1)*INDEX(其他调用!Z$5:Z$404,MATCH($K330,其他调用!$X$5:$X$404,0),0)</f>
        <v>44095.701234482607</v>
      </c>
      <c r="AD330" s="12">
        <f>MIN(INDEX(其他调用!$AJ$5:$AJ$364,MATCH($K330,其他调用!$AG$5:$AG$364,0),1)/INDEX(其他调用!AJ$5:AJ$364,MATCH($K330,其他调用!$AG$5:$AG$364,0),0),1)*INDEX(其他调用!AA$5:AA$404,MATCH($K330,其他调用!$X$5:$X$404,0),0)</f>
        <v>45627.402500215961</v>
      </c>
      <c r="AE330" s="12">
        <f>MIN(INDEX(其他调用!$AJ$5:$AJ$364,MATCH($K330,其他调用!$AG$5:$AG$364,0),1)/INDEX(其他调用!AK$5:AK$364,MATCH($K330,其他调用!$AG$5:$AG$364,0),0),1)*INDEX(其他调用!AB$5:AB$404,MATCH($K330,其他调用!$X$5:$X$404,0),0)</f>
        <v>17915.867483059046</v>
      </c>
      <c r="AF330" s="12">
        <f>MIN(INDEX(其他调用!$AJ$5:$AJ$364,MATCH($K330,其他调用!$AG$5:$AG$364,0),1)/INDEX(其他调用!AL$5:AL$364,MATCH($K330,其他调用!$AG$5:$AG$364,0),0),1)*INDEX(其他调用!AC$5:AC$404,MATCH($K330,其他调用!$X$5:$X$404,0),0)</f>
        <v>10990.359923594238</v>
      </c>
      <c r="AG330" s="12">
        <f>求节点(节奏总纲!D$4:D$163,标准城池设计!AE$4:AE$163,$K330)*求节点(节奏总纲!D$4:D$163,攻城基础信息!$AF$5:$AF$164,$K330)</f>
        <v>1163238.8586511584</v>
      </c>
      <c r="AH330" s="12">
        <f>INDEX(其他调用!$AA$5:$AA$404,MATCH($K330,其他调用!$X$5:$X$404,0))*MIN(INDEX(其他调用!AK$5:AK$364,MATCH($K330,其他调用!$AG$5:$AG$364,0),1)/INDEX(其他调用!$AJ$5:$AJ$364,MATCH($K330,其他调用!$AG$5:$AG$364,0),0),5)*求节点(节奏总纲!D$4:D$163,攻城基础信息!$AF$5:$AF$164,$K330)</f>
        <v>426801.52459516237</v>
      </c>
      <c r="AI330" s="12">
        <f>MIN(INDEX(其他调用!$AK$5:$AK$364,MATCH($K330,其他调用!$AG$5:$AG$364,0),1)/INDEX(其他调用!AH$5:AH$364,MATCH($K330,其他调用!$AG$5:$AG$364,0),0),1)*INDEX(其他调用!Y$5:Y$404,MATCH($K330,其他调用!$X$5:$X$404,0),0)</f>
        <v>42936.344711147067</v>
      </c>
      <c r="AJ330" s="12">
        <f>MIN(INDEX(其他调用!$AK$5:$AK$364,MATCH($K330,其他调用!$AG$5:$AG$364,0),1)/INDEX(其他调用!AI$5:AI$364,MATCH($K330,其他调用!$AG$5:$AG$364,0),0),1)*INDEX(其他调用!Z$5:Z$404,MATCH($K330,其他调用!$X$5:$X$404,0),0)</f>
        <v>44095.701234482607</v>
      </c>
      <c r="AK330" s="12">
        <f>MIN(INDEX(其他调用!$AK$5:$AK$364,MATCH($K330,其他调用!$AG$5:$AG$364,0),1)/INDEX(其他调用!AJ$5:AJ$364,MATCH($K330,其他调用!$AG$5:$AG$364,0),0),1)*INDEX(其他调用!AA$5:AA$404,MATCH($K330,其他调用!$X$5:$X$404,0),0)</f>
        <v>45627.402500215961</v>
      </c>
      <c r="AL330" s="12">
        <f>MIN(INDEX(其他调用!$AK$5:$AK$364,MATCH($K330,其他调用!$AG$5:$AG$364,0),1)/INDEX(其他调用!AK$5:AK$364,MATCH($K330,其他调用!$AG$5:$AG$364,0),0),1)*INDEX(其他调用!AB$5:AB$404,MATCH($K330,其他调用!$X$5:$X$404,0),0)</f>
        <v>47881.749858405863</v>
      </c>
      <c r="AM330" s="12">
        <f>MIN(INDEX(其他调用!$AK$5:$AK$364,MATCH($K330,其他调用!$AG$5:$AG$364,0),1)/INDEX(其他调用!AL$5:AL$364,MATCH($K330,其他调用!$AG$5:$AG$364,0),0),1)*INDEX(其他调用!AC$5:AC$404,MATCH($K330,其他调用!$X$5:$X$404,0),0)</f>
        <v>29372.714729721552</v>
      </c>
      <c r="AN330" s="12">
        <f>求节点(节奏总纲!D$4:D$163,标准城池设计!AF$4:AF$163,$K330)*求节点(节奏总纲!D$4:D$163,攻城基础信息!$AG$5:$AG$164,$K330)</f>
        <v>1204058.6549350438</v>
      </c>
      <c r="AO330" s="12">
        <f>INDEX(其他调用!$AA$5:$AA$404,MATCH($K330,其他调用!$X$5:$X$404,0))*MIN(INDEX(其他调用!AL$5:AL$364,MATCH($K330,其他调用!$AG$5:$AG$364,0),1)/INDEX(其他调用!$AJ$5:$AJ$364,MATCH($K330,其他调用!$AG$5:$AG$364,0),0),5)*求节点(节奏总纲!D$4:D$163,攻城基础信息!$AG$5:$AG$164,$K330)</f>
        <v>752318.35820020456</v>
      </c>
      <c r="AP330" s="12">
        <f>MIN(INDEX(其他调用!$AL$5:$AL$364,MATCH($K330,其他调用!$AG$5:$AG$364,0),1)/INDEX(其他调用!AH$5:AH$364,MATCH($K330,其他调用!$AG$5:$AG$364,0),0),1)*INDEX(其他调用!Y$5:Y$404,MATCH($K330,其他调用!$X$5:$X$404,0),0)</f>
        <v>42936.344711147067</v>
      </c>
      <c r="AQ330" s="12">
        <f>MIN(INDEX(其他调用!$AL$5:$AL$364,MATCH($K330,其他调用!$AG$5:$AG$364,0),1)/INDEX(其他调用!AI$5:AI$364,MATCH($K330,其他调用!$AG$5:$AG$364,0),0),1)*INDEX(其他调用!Z$5:Z$404,MATCH($K330,其他调用!$X$5:$X$404,0),0)</f>
        <v>44095.701234482607</v>
      </c>
      <c r="AR330" s="12">
        <f>MIN(INDEX(其他调用!$AL$5:$AL$364,MATCH($K330,其他调用!$AG$5:$AG$364,0),1)/INDEX(其他调用!AJ$5:AJ$364,MATCH($K330,其他调用!$AG$5:$AG$364,0),0),1)*INDEX(其他调用!AA$5:AA$404,MATCH($K330,其他调用!$X$5:$X$404,0),0)</f>
        <v>45627.402500215961</v>
      </c>
      <c r="AS330" s="12">
        <f>MIN(INDEX(其他调用!$AL$5:$AL$364,MATCH($K330,其他调用!$AG$5:$AG$364,0),1)/INDEX(其他调用!AK$5:AK$364,MATCH($K330,其他调用!$AG$5:$AG$364,0),0),1)*INDEX(其他调用!AB$5:AB$404,MATCH($K330,其他调用!$X$5:$X$404,0),0)</f>
        <v>47881.749858405863</v>
      </c>
      <c r="AT330" s="12">
        <f>MIN(INDEX(其他调用!$AL$5:$AL$364,MATCH($K330,其他调用!$AG$5:$AG$364,0),1)/INDEX(其他调用!AL$5:AL$364,MATCH($K330,其他调用!$AG$5:$AG$364,0),0),1)*INDEX(其他调用!AC$5:AC$404,MATCH($K330,其他调用!$X$5:$X$404,0),0)</f>
        <v>51774.961540513556</v>
      </c>
      <c r="AV330" s="14">
        <f>IF(OR(AV$5="大R",AV$5="超R"),MAX(INDEX(其他调用!$H$5:$L$404,MATCH($K330,其他调用!$B$5:$B$404,0),MATCH(AV$5,其他调用!$H$4:$L$4,0))*120*0.85,2),INDEX(其他调用!$H$5:$L$404,MATCH($K330,其他调用!$B$5:$B$404,0),MATCH(AV$5,其他调用!$H$4:$L$4,0))*120*0.85)</f>
        <v>48.921801254999991</v>
      </c>
      <c r="AW330" s="14">
        <f>IF(OR(AW$5="大R",AW$5="超R"),MAX(INDEX(其他调用!$H$5:$L$404,MATCH($K330,其他调用!$B$5:$B$404,0),MATCH(AW$5,其他调用!$H$4:$L$4,0))*120*0.85,2),INDEX(其他调用!$H$5:$L$404,MATCH($K330,其他调用!$B$5:$B$404,0),MATCH(AW$5,其他调用!$H$4:$L$4,0))*120*0.85)</f>
        <v>48.237344010638395</v>
      </c>
      <c r="AX330" s="14">
        <f>IF(OR(AX$5="大R",AX$5="超R"),MAX(INDEX(其他调用!$H$5:$L$404,MATCH($K330,其他调用!$B$5:$B$404,0),MATCH(AX$5,其他调用!$H$4:$L$4,0))*120*0.85,2),INDEX(其他调用!$H$5:$L$404,MATCH($K330,其他调用!$B$5:$B$404,0),MATCH(AX$5,其他调用!$H$4:$L$4,0))*120*0.85)</f>
        <v>3.9376284143615998</v>
      </c>
      <c r="AY330" s="14">
        <f>IF(OR(AY$5="大R",AY$5="超R"),MAX(INDEX(其他调用!$H$5:$L$404,MATCH($K330,其他调用!$B$5:$B$404,0),MATCH(AY$5,其他调用!$H$4:$L$4,0))*120*0.85,2),INDEX(其他调用!$H$5:$L$404,MATCH($K330,其他调用!$B$5:$B$404,0),MATCH(AY$5,其他调用!$H$4:$L$4,0))*120*0.85)</f>
        <v>2</v>
      </c>
      <c r="AZ330" s="14">
        <f>IF(OR(AZ$5="大R",AZ$5="超R"),MAX(INDEX(其他调用!$H$5:$L$404,MATCH($K330,其他调用!$B$5:$B$404,0),MATCH(AZ$5,其他调用!$H$4:$L$4,0))*120*0.85,2),INDEX(其他调用!$H$5:$L$404,MATCH($K330,其他调用!$B$5:$B$404,0),MATCH(AZ$5,其他调用!$H$4:$L$4,0))*120*0.85)</f>
        <v>2</v>
      </c>
      <c r="BA330" s="14">
        <f>INDEX(其他调用!$H$5:$L$404,MATCH($K330,其他调用!$B$5:$B$404,0),MATCH(BA$5,其他调用!$H$4:$L$4,0))*INDEX(其他调用!$M$5:$M$404,MATCH($K330,其他调用!$B$5:$B$404,0))*0.6</f>
        <v>28.777530149999997</v>
      </c>
      <c r="BB330" s="14">
        <f>INDEX(其他调用!$H$5:$L$404,MATCH($K330,其他调用!$B$5:$B$404,0),MATCH(BB$5,其他调用!$H$4:$L$4,0))*INDEX(其他调用!$M$5:$M$404,MATCH($K330,其他调用!$B$5:$B$404,0))*0.6</f>
        <v>28.374908241551999</v>
      </c>
      <c r="BC330" s="14">
        <f>INDEX(其他调用!$H$5:$L$404,MATCH($K330,其他调用!$B$5:$B$404,0),MATCH(BC$5,其他调用!$H$4:$L$4,0))*INDEX(其他调用!$M$5:$M$404,MATCH($K330,其他调用!$B$5:$B$404,0))*0.6</f>
        <v>2.3162520084480001</v>
      </c>
      <c r="BD330" s="14">
        <f>INDEX(其他调用!$H$5:$L$404,MATCH($K330,其他调用!$B$5:$B$404,0),MATCH(BD$5,其他调用!$H$4:$L$4,0))*INDEX(其他调用!$M$5:$M$404,MATCH($K330,其他调用!$B$5:$B$404,0))*0.6</f>
        <v>0.4120776000000001</v>
      </c>
      <c r="BE330" s="14">
        <f>INDEX(其他调用!$H$5:$L$404,MATCH($K330,其他调用!$B$5:$B$404,0),MATCH(BE$5,其他调用!$H$4:$L$4,0))*INDEX(其他调用!$M$5:$M$404,MATCH($K330,其他调用!$B$5:$B$404,0))*0.6</f>
        <v>0.11923199999999998</v>
      </c>
      <c r="BF330" s="14">
        <f>IF(OR(BF$5="大R",BF$5="超R"),0,INDEX(其他调用!$H$5:$L$404,MATCH($K330,其他调用!$B$5:$B$404,0),MATCH(BF$5,其他调用!$H$4:$L$4,0))*50*0.4)</f>
        <v>9.5925100500000013</v>
      </c>
      <c r="BG330" s="14">
        <f>IF(OR(BG$5="大R",BG$5="超R"),0,INDEX(其他调用!$H$5:$L$404,MATCH($K330,其他调用!$B$5:$B$404,0),MATCH(BG$5,其他调用!$H$4:$L$4,0))*50*0.4)</f>
        <v>9.4583027471839998</v>
      </c>
      <c r="BH330" s="14">
        <f>IF(OR(BH$5="大R",BH$5="超R"),0,INDEX(其他调用!$H$5:$L$404,MATCH($K330,其他调用!$B$5:$B$404,0),MATCH(BH$5,其他调用!$H$4:$L$4,0))*50*0.4)</f>
        <v>0.77208400281600009</v>
      </c>
      <c r="BI330" s="14">
        <f>IF(OR(BI$5="大R",BI$5="超R"),0,INDEX(其他调用!$H$5:$L$404,MATCH($K330,其他调用!$B$5:$B$404,0),MATCH(BI$5,其他调用!$H$4:$L$4,0))*50*0.4)</f>
        <v>0</v>
      </c>
      <c r="BJ330" s="14">
        <f>IF(OR(BJ$5="大R",BJ$5="超R"),0,INDEX(其他调用!$H$5:$L$404,MATCH($K330,其他调用!$B$5:$B$404,0),MATCH(BJ$5,其他调用!$H$4:$L$4,0))*50*0.4)</f>
        <v>0</v>
      </c>
      <c r="BL330" s="14">
        <f t="shared" si="628"/>
        <v>325</v>
      </c>
      <c r="BM330" s="14">
        <f t="shared" si="535"/>
        <v>96</v>
      </c>
      <c r="BN330" s="14">
        <f>('疲劳值&amp;地图信息'!$S$10*'疲劳值&amp;地图信息'!$R$10+'疲劳值&amp;地图信息'!$S$11*'疲劳值&amp;地图信息'!$R$11+'疲劳值&amp;地图信息'!$S$12*'疲劳值&amp;地图信息'!$R$12+(BM330-'疲劳值&amp;地图信息'!$S$12-'疲劳值&amp;地图信息'!$S$11-'疲劳值&amp;地图信息'!$S$10)*'疲劳值&amp;地图信息'!$R$13)/BM330</f>
        <v>51.371477246638619</v>
      </c>
      <c r="BO330" s="14">
        <f>INDEX(其他调用!$M$5:$M$404,MATCH(BL330,其他调用!$B$5:$B$404,0))*0.6</f>
        <v>60</v>
      </c>
      <c r="BP330" s="14">
        <f>IF(BO330&gt;SUM('疲劳值&amp;地图信息'!$S$10:$S$12),('疲劳值&amp;地图信息'!$S$10*'疲劳值&amp;地图信息'!$R$10+'疲劳值&amp;地图信息'!$S$11*'疲劳值&amp;地图信息'!$R$11+'疲劳值&amp;地图信息'!$S$12*'疲劳值&amp;地图信息'!$R$12+(BO330-'疲劳值&amp;地图信息'!$S$12-'疲劳值&amp;地图信息'!$S$11-'疲劳值&amp;地图信息'!$S$10)*'疲劳值&amp;地图信息'!$R$13)/BO330,('疲劳值&amp;地图信息'!$S$10*'疲劳值&amp;地图信息'!$R$10+'疲劳值&amp;地图信息'!$S$11*'疲劳值&amp;地图信息'!$R$11+'疲劳值&amp;地图信息'!$S$12*'疲劳值&amp;地图信息'!$R$12+(BO330-'疲劳值&amp;地图信息'!$S$12-'疲劳值&amp;地图信息'!$S$11-'疲劳值&amp;地图信息'!$S$10)*'疲劳值&amp;地图信息'!$R$13)/BO330)</f>
        <v>44.158136341605953</v>
      </c>
      <c r="BQ330" s="14">
        <f t="shared" si="629"/>
        <v>20</v>
      </c>
      <c r="BR330" s="14">
        <f>('疲劳值&amp;地图信息'!$S$10*'疲劳值&amp;地图信息'!$R$10+($BQ330-'疲劳值&amp;地图信息'!$S$10)*'疲劳值&amp;地图信息'!$R$11)/$BQ330</f>
        <v>32.067203015074995</v>
      </c>
      <c r="CF330" s="14">
        <v>325</v>
      </c>
      <c r="CG330" s="51">
        <f t="shared" si="536"/>
        <v>16560</v>
      </c>
      <c r="CH330" s="51">
        <f t="shared" si="537"/>
        <v>1063</v>
      </c>
      <c r="CI330" s="51">
        <f>INT(SUMPRODUCT($N330:$R330,$BA330:$BE330)/SUM($BA330:$BE330)/10000*$BX$7*$BZ$34/'疲劳值&amp;地图信息'!$R$10*$BY$53)</f>
        <v>3375</v>
      </c>
      <c r="CJ330" s="50">
        <f t="shared" si="538"/>
        <v>0.78864653776550142</v>
      </c>
      <c r="CK330" s="50">
        <f t="shared" si="539"/>
        <v>5.0623868939899036E-2</v>
      </c>
      <c r="CL330" s="50">
        <f t="shared" si="540"/>
        <v>0.16072959329459949</v>
      </c>
      <c r="CM330" s="14">
        <f t="shared" si="541"/>
        <v>18161</v>
      </c>
      <c r="CN330" s="14">
        <f t="shared" si="542"/>
        <v>1839</v>
      </c>
      <c r="CO330" s="14">
        <f>INT(SUMPRODUCT($U330:$Y330,$BA330:$BE330)/SUM($BA330:$BE330)/10000*$BX$7*$BZ$34/'疲劳值&amp;地图信息'!$R$10*$BY$54)</f>
        <v>6472</v>
      </c>
      <c r="CP330" s="50">
        <f t="shared" si="543"/>
        <v>0.68604563312178901</v>
      </c>
      <c r="CQ330" s="50">
        <f t="shared" si="544"/>
        <v>6.9469628286491392E-2</v>
      </c>
      <c r="CR330" s="50">
        <f t="shared" si="545"/>
        <v>0.24448473859171954</v>
      </c>
      <c r="CS330" s="14">
        <f t="shared" si="546"/>
        <v>19791</v>
      </c>
      <c r="CT330" s="14">
        <f t="shared" si="547"/>
        <v>3254</v>
      </c>
      <c r="CU330" s="14">
        <f>INT(SUMPRODUCT($AB330:$AF330,$BA330:$BE330)/SUM($BA330:$BE330)/10000*$BX$7*$BZ$34/'疲劳值&amp;地图信息'!$R$10*$BY$55)</f>
        <v>8797</v>
      </c>
      <c r="CV330" s="50">
        <f t="shared" si="548"/>
        <v>0.62153759185980784</v>
      </c>
      <c r="CW330" s="50">
        <f t="shared" si="549"/>
        <v>0.10219207336222599</v>
      </c>
      <c r="CX330" s="50">
        <f t="shared" si="550"/>
        <v>0.2762703347779662</v>
      </c>
      <c r="CY330" s="14">
        <f t="shared" si="551"/>
        <v>23708</v>
      </c>
      <c r="CZ330" s="14">
        <f t="shared" si="552"/>
        <v>8698</v>
      </c>
      <c r="DA330" s="14">
        <f>INT(SUMPRODUCT($AI330:$AM330,$BA330:$BE330)/SUM($BA330:$BE330)/10000*$BX$7*$BZ$34/'疲劳值&amp;地图信息'!$R$10*$BY$56)</f>
        <v>13270</v>
      </c>
      <c r="DB330" s="50">
        <f t="shared" si="553"/>
        <v>0.51904720203170152</v>
      </c>
      <c r="DC330" s="50">
        <f t="shared" si="554"/>
        <v>0.19042823364567826</v>
      </c>
      <c r="DD330" s="50">
        <f t="shared" si="555"/>
        <v>0.29052456432262019</v>
      </c>
      <c r="DE330" s="14">
        <f t="shared" si="556"/>
        <v>24540</v>
      </c>
      <c r="DF330" s="14">
        <f t="shared" si="557"/>
        <v>15333</v>
      </c>
      <c r="DG330" s="14">
        <f>INT(SUMPRODUCT($AP330:$AT330,$BA330:$BE330)/SUM($BA330:$BE330)/10000*$BX$7*$BZ$34/'疲劳值&amp;地图信息'!$R$10*$BY$57)</f>
        <v>17712</v>
      </c>
      <c r="DH330" s="50">
        <f t="shared" si="558"/>
        <v>0.42615264391768692</v>
      </c>
      <c r="DI330" s="50">
        <f t="shared" si="559"/>
        <v>0.26626725709820265</v>
      </c>
      <c r="DJ330" s="50">
        <f t="shared" si="560"/>
        <v>0.30758009898411043</v>
      </c>
      <c r="DL330" s="14">
        <f t="shared" si="526"/>
        <v>20998</v>
      </c>
      <c r="DM330" s="14">
        <f t="shared" si="527"/>
        <v>26472</v>
      </c>
      <c r="DN330" s="14">
        <f t="shared" si="528"/>
        <v>31842</v>
      </c>
      <c r="DO330" s="14">
        <f t="shared" si="529"/>
        <v>45676</v>
      </c>
      <c r="DP330" s="14">
        <f t="shared" si="530"/>
        <v>57585</v>
      </c>
      <c r="DQ330" s="14">
        <f t="shared" si="531"/>
        <v>1454853</v>
      </c>
      <c r="DT330" s="14">
        <f t="shared" si="525"/>
        <v>235575</v>
      </c>
      <c r="DU330" s="50">
        <f t="shared" si="532"/>
        <v>0.13935819804215263</v>
      </c>
      <c r="DW330" s="14">
        <f t="shared" si="561"/>
        <v>1690428</v>
      </c>
      <c r="EB330" s="14">
        <v>325</v>
      </c>
      <c r="EC330" s="51">
        <f t="shared" si="562"/>
        <v>27600</v>
      </c>
      <c r="ED330" s="51">
        <f t="shared" si="563"/>
        <v>1771</v>
      </c>
      <c r="EE330" s="51">
        <f>INT(SUMPRODUCT($N330:$R330,$BF330:$BJ330)/SUM($BF330:$BJ330)/10000*$BX$7*$BZ$46/'疲劳值&amp;地图信息'!$R$10*$BY$53)</f>
        <v>453</v>
      </c>
      <c r="EF330" s="50">
        <f t="shared" si="564"/>
        <v>0.92542918454935619</v>
      </c>
      <c r="EG330" s="50">
        <f t="shared" si="565"/>
        <v>5.9381706008583689E-2</v>
      </c>
      <c r="EH330" s="50">
        <f t="shared" si="566"/>
        <v>1.5189109442060086E-2</v>
      </c>
      <c r="EI330" s="51">
        <f t="shared" si="567"/>
        <v>30268</v>
      </c>
      <c r="EJ330" s="51">
        <f t="shared" si="568"/>
        <v>3065</v>
      </c>
      <c r="EK330" s="14">
        <f>INT(SUMPRODUCT($U330:$Y330,$BF330:$BJ330)/SUM($BF330:$BJ330)/10000*$BX$7*$BZ$46/'疲劳值&amp;地图信息'!$R$10*$BY$54)</f>
        <v>868</v>
      </c>
      <c r="EL330" s="50">
        <f t="shared" si="569"/>
        <v>0.8850033624747814</v>
      </c>
      <c r="EM330" s="50">
        <f t="shared" si="570"/>
        <v>8.9617262653138796E-2</v>
      </c>
      <c r="EN330" s="50">
        <f t="shared" si="571"/>
        <v>2.5379374872079762E-2</v>
      </c>
      <c r="EO330" s="51">
        <f t="shared" si="572"/>
        <v>32986</v>
      </c>
      <c r="EP330" s="51">
        <f t="shared" si="573"/>
        <v>5424</v>
      </c>
      <c r="EQ330" s="14">
        <f>INT(SUMPRODUCT($AB330:$AF330,$BF330:$BJ330)/SUM($BF330:$BJ330)/10000*$BX$7*$BZ$46/'疲劳值&amp;地图信息'!$R$10*$BY$55)</f>
        <v>1179</v>
      </c>
      <c r="ER330" s="50">
        <f t="shared" si="574"/>
        <v>0.83321124554800574</v>
      </c>
      <c r="ES330" s="50">
        <f t="shared" si="575"/>
        <v>0.13700775467933013</v>
      </c>
      <c r="ET330" s="50">
        <f t="shared" si="576"/>
        <v>2.9780999772664123E-2</v>
      </c>
      <c r="EU330" s="51">
        <f t="shared" si="577"/>
        <v>39513</v>
      </c>
      <c r="EV330" s="51">
        <f t="shared" si="578"/>
        <v>14497</v>
      </c>
      <c r="EW330" s="14">
        <f>INT(SUMPRODUCT($AI330:$AM330,$BF330:$BJ330)/SUM($BF330:$BJ330)/10000*$BX$7*$BZ$46/'疲劳值&amp;地图信息'!$R$10*$BY$56)</f>
        <v>1769</v>
      </c>
      <c r="EX330" s="50">
        <f t="shared" si="579"/>
        <v>0.70838487602861289</v>
      </c>
      <c r="EY330" s="50">
        <f t="shared" si="580"/>
        <v>0.25990067946718298</v>
      </c>
      <c r="EZ330" s="50">
        <f t="shared" si="581"/>
        <v>3.171444450420409E-2</v>
      </c>
      <c r="FA330" s="51">
        <f t="shared" si="582"/>
        <v>40900</v>
      </c>
      <c r="FB330" s="51">
        <f t="shared" si="583"/>
        <v>25555</v>
      </c>
      <c r="FC330" s="14">
        <f>INT(SUMPRODUCT($AP330:$AT330,$BF330:$BJ330)/SUM($BF330:$BJ330)/10000*$BX$7*$BZ$46/'疲劳值&amp;地图信息'!$R$10*$BY$57)</f>
        <v>2359</v>
      </c>
      <c r="FD330" s="50">
        <f t="shared" si="584"/>
        <v>0.5943557996919232</v>
      </c>
      <c r="FE330" s="50">
        <f t="shared" si="585"/>
        <v>0.37136338535763069</v>
      </c>
      <c r="FF330" s="50">
        <f t="shared" si="586"/>
        <v>3.4280814950446131E-2</v>
      </c>
      <c r="FH330" s="14">
        <f t="shared" si="587"/>
        <v>29824</v>
      </c>
      <c r="FI330" s="14">
        <f t="shared" si="588"/>
        <v>34201</v>
      </c>
      <c r="FJ330" s="14">
        <f t="shared" si="589"/>
        <v>39589</v>
      </c>
      <c r="FK330" s="14">
        <f t="shared" si="590"/>
        <v>55779</v>
      </c>
      <c r="FL330" s="14">
        <f t="shared" si="591"/>
        <v>68814</v>
      </c>
      <c r="FM330" s="14">
        <f t="shared" si="592"/>
        <v>3513881</v>
      </c>
      <c r="FP330" s="14">
        <f t="shared" si="593"/>
        <v>334150</v>
      </c>
      <c r="FQ330" s="50">
        <f t="shared" si="533"/>
        <v>8.6836618519965145E-2</v>
      </c>
      <c r="FS330" s="14">
        <f t="shared" si="594"/>
        <v>3848031</v>
      </c>
      <c r="FX330" s="14">
        <v>325</v>
      </c>
      <c r="FY330" s="51">
        <f t="shared" si="595"/>
        <v>38640</v>
      </c>
      <c r="FZ330" s="51">
        <f t="shared" si="596"/>
        <v>1771</v>
      </c>
      <c r="GA330" s="51">
        <f>INT(SUMPRODUCT($N330:$R330,$BF330:$BJ330)/SUM($BF330:$BJ330)/10000*$BX$7*$BZ$46/'疲劳值&amp;地图信息'!$R$10*$BY$53)</f>
        <v>453</v>
      </c>
      <c r="GB330" s="50">
        <f t="shared" si="597"/>
        <v>0.94557556773688334</v>
      </c>
      <c r="GC330" s="50">
        <f t="shared" si="598"/>
        <v>4.3338880187940486E-2</v>
      </c>
      <c r="GD330" s="50">
        <f t="shared" si="599"/>
        <v>1.1085552075176194E-2</v>
      </c>
      <c r="GE330" s="51">
        <f t="shared" si="600"/>
        <v>42375</v>
      </c>
      <c r="GF330" s="51">
        <f t="shared" si="601"/>
        <v>3065</v>
      </c>
      <c r="GG330" s="14">
        <f>INT(SUMPRODUCT($U330:$Y330,$BF330:$BJ330)/SUM($BF330:$BJ330)/10000*$BX$7*$BZ$46/'疲劳值&amp;地图信息'!$R$10*$BY$54)</f>
        <v>868</v>
      </c>
      <c r="GH330" s="50">
        <f t="shared" si="602"/>
        <v>0.91506867064006214</v>
      </c>
      <c r="GI330" s="50">
        <f t="shared" si="603"/>
        <v>6.6187267858685325E-2</v>
      </c>
      <c r="GJ330" s="50">
        <f t="shared" si="604"/>
        <v>1.8744061501252483E-2</v>
      </c>
      <c r="GK330" s="51">
        <f t="shared" si="605"/>
        <v>46181</v>
      </c>
      <c r="GL330" s="51">
        <f t="shared" si="606"/>
        <v>5424</v>
      </c>
      <c r="GM330" s="14">
        <f>INT(SUMPRODUCT($AB330:$AF330,$BF330:$BJ330)/SUM($BF330:$BJ330)/10000*$BX$7*$BZ$46/'疲劳值&amp;地图信息'!$R$10*$BY$55)</f>
        <v>1179</v>
      </c>
      <c r="GN330" s="50">
        <f t="shared" si="607"/>
        <v>0.87490527432555321</v>
      </c>
      <c r="GO330" s="50">
        <f t="shared" si="608"/>
        <v>0.10275841163989087</v>
      </c>
      <c r="GP330" s="50">
        <f t="shared" si="609"/>
        <v>2.2336314034555927E-2</v>
      </c>
      <c r="GQ330" s="51">
        <f t="shared" si="610"/>
        <v>55319</v>
      </c>
      <c r="GR330" s="51">
        <f t="shared" si="611"/>
        <v>14497</v>
      </c>
      <c r="GS330" s="14">
        <f>INT(SUMPRODUCT($AI330:$AM330,$BF330:$BJ330)/SUM($BF330:$BJ330)/10000*$BX$7*$BZ$46/'疲劳值&amp;地图信息'!$R$10*$BY$56)</f>
        <v>1769</v>
      </c>
      <c r="GT330" s="50">
        <f t="shared" si="612"/>
        <v>0.77277362575958652</v>
      </c>
      <c r="GU330" s="50">
        <f t="shared" si="613"/>
        <v>0.20251449325976112</v>
      </c>
      <c r="GV330" s="50">
        <f t="shared" si="614"/>
        <v>2.471188098065237E-2</v>
      </c>
      <c r="GW330" s="51">
        <f t="shared" si="615"/>
        <v>57260</v>
      </c>
      <c r="GX330" s="51">
        <f t="shared" si="616"/>
        <v>25555</v>
      </c>
      <c r="GY330" s="14">
        <f>INT(SUMPRODUCT($AP330:$AT330,$BF330:$BJ330)/SUM($BF330:$BJ330)/10000*$BX$7*$BZ$46/'疲劳值&amp;地图信息'!$R$10*$BY$57)</f>
        <v>2359</v>
      </c>
      <c r="GZ330" s="50">
        <f t="shared" si="617"/>
        <v>0.67227088078521613</v>
      </c>
      <c r="HA330" s="50">
        <f t="shared" si="618"/>
        <v>0.30003287388170097</v>
      </c>
      <c r="HB330" s="50">
        <f t="shared" si="619"/>
        <v>2.7696245333082865E-2</v>
      </c>
      <c r="HD330" s="14">
        <f t="shared" si="620"/>
        <v>40864</v>
      </c>
      <c r="HE330" s="14">
        <f t="shared" si="621"/>
        <v>46308</v>
      </c>
      <c r="HF330" s="14">
        <f t="shared" si="622"/>
        <v>52784</v>
      </c>
      <c r="HG330" s="14">
        <f t="shared" si="623"/>
        <v>71585</v>
      </c>
      <c r="HH330" s="14">
        <f t="shared" si="624"/>
        <v>85174</v>
      </c>
      <c r="HI330" s="14">
        <f t="shared" si="625"/>
        <v>4754277</v>
      </c>
      <c r="HL330" s="14">
        <f t="shared" si="626"/>
        <v>430050</v>
      </c>
      <c r="HM330" s="50">
        <f t="shared" si="534"/>
        <v>8.2951943424864977E-2</v>
      </c>
      <c r="HO330" s="14">
        <f t="shared" si="627"/>
        <v>5184327</v>
      </c>
    </row>
    <row r="331" spans="11:223" x14ac:dyDescent="0.2">
      <c r="K331" s="14">
        <v>326</v>
      </c>
      <c r="L331" s="12">
        <f>求节点(节奏总纲!D$4:D$163,标准城池设计!AB$4:AB$163,$K331)*求节点(节奏总纲!D$4:D$163,攻城基础信息!$AC$5:$AC$164,$K331)</f>
        <v>813638.41227807698</v>
      </c>
      <c r="M331" s="12">
        <f>INDEX(其他调用!$AA$5:$AA$404,MATCH(K331,其他调用!$X$5:$X$404,0))*MIN(INDEX(其他调用!$AH$5:$AH$364,MATCH('征服点（新）'!K331,其他调用!$AG$5:$AG$364,0),1)/INDEX(其他调用!$AJ$5:$AJ$364,MATCH(K331,其他调用!$AG$5:$AG$364,0),0),5)*求节点(节奏总纲!D$4:D$163,攻城基础信息!$AC$5:$AC$164,$K331)</f>
        <v>52103.628278088116</v>
      </c>
      <c r="N331" s="12">
        <f>MIN(INDEX(其他调用!$AH$5:$AH$364,MATCH($K331,其他调用!$AG$5:$AG$364,0),1)/INDEX(其他调用!AH$5:AH$364,MATCH($K331,其他调用!$AG$5:$AG$364,0),0),1)*INDEX(其他调用!Y$5:Y$404,MATCH($K331,其他调用!$X$5:$X$404,0),0)</f>
        <v>42954.154197059608</v>
      </c>
      <c r="O331" s="12">
        <f>MIN(INDEX(其他调用!$AH$5:$AH$364,MATCH($K331,其他调用!$AG$5:$AG$364,0),1)/INDEX(其他调用!AI$5:AI$364,MATCH($K331,其他调用!$AG$5:$AG$364,0),0),1)*INDEX(其他调用!Z$5:Z$404,MATCH($K331,其他调用!$X$5:$X$404,0),0)</f>
        <v>25479.100063281243</v>
      </c>
      <c r="P331" s="12">
        <f>MIN(INDEX(其他调用!$AH$5:$AH$364,MATCH($K331,其他调用!$AG$5:$AG$364,0),1)/INDEX(其他调用!AJ$5:AJ$364,MATCH($K331,其他调用!$AG$5:$AG$364,0),0),1)*INDEX(其他调用!AA$5:AA$404,MATCH($K331,其他调用!$X$5:$X$404,0),0)</f>
        <v>14886.750936596614</v>
      </c>
      <c r="Q331" s="12">
        <f>MIN(INDEX(其他调用!$AH$5:$AH$364,MATCH($K331,其他调用!$AG$5:$AG$364,0),1)/INDEX(其他调用!AK$5:AK$364,MATCH($K331,其他调用!$AG$5:$AG$364,0),0),1)*INDEX(其他调用!AB$5:AB$404,MATCH($K331,其他调用!$X$5:$X$404,0),0)</f>
        <v>5855.2871855683525</v>
      </c>
      <c r="R331" s="12">
        <f>MIN(INDEX(其他调用!$AH$5:$AH$364,MATCH($K331,其他调用!$AG$5:$AG$364,0),1)/INDEX(其他调用!AL$5:AL$364,MATCH($K331,其他调用!$AG$5:$AG$364,0),0),1)*INDEX(其他调用!AC$5:AC$404,MATCH($K331,其他调用!$X$5:$X$404,0),0)</f>
        <v>3597.4659186095137</v>
      </c>
      <c r="S331" s="12">
        <f>求节点(节奏总纲!D$4:D$163,标准城池设计!AC$4:AC$163,$K331)*求节点(节奏总纲!D$4:D$163,攻城基础信息!$AD$5:$AD$164,$K331)</f>
        <v>892287.49456701789</v>
      </c>
      <c r="T331" s="12">
        <f>INDEX(其他调用!$AA$5:$AA$404,MATCH($K331,其他调用!$X$5:$X$404,0))*MIN(INDEX(其他调用!AI$5:AI$364,MATCH($K331,其他调用!$AG$5:$AG$364,0),1)/INDEX(其他调用!$AJ$5:$AJ$364,MATCH($K331,其他调用!$AG$5:$AG$364,0),0),5)*求节点(节奏总纲!D$4:D$163,攻城基础信息!$AD$5:$AD$164,$K331)</f>
        <v>90210.270699758927</v>
      </c>
      <c r="U331" s="12">
        <f>MIN(INDEX(其他调用!$AI$5:$AI$364,MATCH($K331,其他调用!$AG$5:$AG$364,0),1)/INDEX(其他调用!AH$5:AH$364,MATCH($K331,其他调用!$AG$5:$AG$364,0),0),1)*INDEX(其他调用!Y$5:Y$404,MATCH($K331,其他调用!$X$5:$X$404,0),0)</f>
        <v>42954.154197059608</v>
      </c>
      <c r="V331" s="12">
        <f>MIN(INDEX(其他调用!$AI$5:$AI$364,MATCH($K331,其他调用!$AG$5:$AG$364,0),1)/INDEX(其他调用!AI$5:AI$364,MATCH($K331,其他调用!$AG$5:$AG$364,0),0),1)*INDEX(其他调用!Z$5:Z$404,MATCH($K331,其他调用!$X$5:$X$404,0),0)</f>
        <v>44113.55964746618</v>
      </c>
      <c r="W331" s="12">
        <f>MIN(INDEX(其他调用!$AI$5:$AI$364,MATCH($K331,其他调用!$AG$5:$AG$364,0),1)/INDEX(其他调用!AJ$5:AJ$364,MATCH($K331,其他调用!$AG$5:$AG$364,0),0),1)*INDEX(其他调用!AA$5:AA$404,MATCH($K331,其他调用!$X$5:$X$404,0),0)</f>
        <v>25774.363057073995</v>
      </c>
      <c r="X331" s="12">
        <f>MIN(INDEX(其他调用!$AI$5:$AI$364,MATCH($K331,其他调用!$AG$5:$AG$364,0),1)/INDEX(其他调用!AK$5:AK$364,MATCH($K331,其他调用!$AG$5:$AG$364,0),0),1)*INDEX(其他调用!AB$5:AB$404,MATCH($K331,其他调用!$X$5:$X$404,0),0)</f>
        <v>10137.624950335465</v>
      </c>
      <c r="Y331" s="12">
        <f>MIN(INDEX(其他调用!$AI$5:$AI$364,MATCH($K331,其他调用!$AG$5:$AG$364,0),1)/INDEX(其他调用!AL$5:AL$364,MATCH($K331,其他调用!$AG$5:$AG$364,0),0),1)*INDEX(其他调用!AC$5:AC$404,MATCH($K331,其他调用!$X$5:$X$404,0),0)</f>
        <v>6228.5177649979451</v>
      </c>
      <c r="Z331" s="12">
        <f>求节点(节奏总纲!D$4:D$163,标准城池设计!AD$4:AD$163,$K331)*求节点(节奏总纲!D$4:D$163,攻城基础信息!$AE$5:$AE$164,$K331)</f>
        <v>972388.16708248423</v>
      </c>
      <c r="AA331" s="12">
        <f>INDEX(其他调用!$AA$5:$AA$404,MATCH($K331,其他调用!$X$5:$X$404,0))*MIN(INDEX(其他调用!AJ$5:AJ$364,MATCH($K331,其他调用!$AG$5:$AG$364,0),1)/INDEX(其他调用!$AJ$5:$AJ$364,MATCH($K331,其他调用!$AG$5:$AG$364,0),0),5)*求节点(节奏总纲!D$4:D$163,攻城基础信息!$AE$5:$AE$164,$K331)</f>
        <v>159760.61812773708</v>
      </c>
      <c r="AB331" s="12">
        <f>MIN(INDEX(其他调用!$AJ$5:$AJ$364,MATCH($K331,其他调用!$AG$5:$AG$364,0),1)/INDEX(其他调用!AH$5:AH$364,MATCH($K331,其他调用!$AG$5:$AG$364,0),0),1)*INDEX(其他调用!Y$5:Y$404,MATCH($K331,其他调用!$X$5:$X$404,0),0)</f>
        <v>42954.154197059608</v>
      </c>
      <c r="AC331" s="12">
        <f>MIN(INDEX(其他调用!$AJ$5:$AJ$364,MATCH($K331,其他调用!$AG$5:$AG$364,0),1)/INDEX(其他调用!AI$5:AI$364,MATCH($K331,其他调用!$AG$5:$AG$364,0),0),1)*INDEX(其他调用!Z$5:Z$404,MATCH($K331,其他调用!$X$5:$X$404,0),0)</f>
        <v>44113.55964746618</v>
      </c>
      <c r="AD331" s="12">
        <f>MIN(INDEX(其他调用!$AJ$5:$AJ$364,MATCH($K331,其他调用!$AG$5:$AG$364,0),1)/INDEX(其他调用!AJ$5:AJ$364,MATCH($K331,其他调用!$AG$5:$AG$364,0),0),1)*INDEX(其他调用!AA$5:AA$404,MATCH($K331,其他调用!$X$5:$X$404,0),0)</f>
        <v>45645.890893639196</v>
      </c>
      <c r="AE331" s="12">
        <f>MIN(INDEX(其他调用!$AJ$5:$AJ$364,MATCH($K331,其他调用!$AG$5:$AG$364,0),1)/INDEX(其他调用!AK$5:AK$364,MATCH($K331,其他调用!$AG$5:$AG$364,0),0),1)*INDEX(其他调用!AB$5:AB$404,MATCH($K331,其他调用!$X$5:$X$404,0),0)</f>
        <v>17953.534734455596</v>
      </c>
      <c r="AF331" s="12">
        <f>MIN(INDEX(其他调用!$AJ$5:$AJ$364,MATCH($K331,其他调用!$AG$5:$AG$364,0),1)/INDEX(其他调用!AL$5:AL$364,MATCH($K331,其他调用!$AG$5:$AG$364,0),0),1)*INDEX(其他调用!AC$5:AC$404,MATCH($K331,其他调用!$X$5:$X$404,0),0)</f>
        <v>11030.582664666834</v>
      </c>
      <c r="AG331" s="12">
        <f>求节点(节奏总纲!D$4:D$163,标准城池设计!AE$4:AE$163,$K331)*求节点(节奏总纲!D$4:D$163,攻城基础信息!$AF$5:$AF$164,$K331)</f>
        <v>1164388.2687779502</v>
      </c>
      <c r="AH331" s="12">
        <f>INDEX(其他调用!$AA$5:$AA$404,MATCH($K331,其他调用!$X$5:$X$404,0))*MIN(INDEX(其他调用!AK$5:AK$364,MATCH($K331,其他调用!$AG$5:$AG$364,0),1)/INDEX(其他调用!$AJ$5:$AJ$364,MATCH($K331,其他调用!$AG$5:$AG$364,0),0),5)*求节点(节奏总纲!D$4:D$163,攻城基础信息!$AF$5:$AF$164,$K331)</f>
        <v>426239.1135987711</v>
      </c>
      <c r="AI331" s="12">
        <f>MIN(INDEX(其他调用!$AK$5:$AK$364,MATCH($K331,其他调用!$AG$5:$AG$364,0),1)/INDEX(其他调用!AH$5:AH$364,MATCH($K331,其他调用!$AG$5:$AG$364,0),0),1)*INDEX(其他调用!Y$5:Y$404,MATCH($K331,其他调用!$X$5:$X$404,0),0)</f>
        <v>42954.154197059608</v>
      </c>
      <c r="AJ331" s="12">
        <f>MIN(INDEX(其他调用!$AK$5:$AK$364,MATCH($K331,其他调用!$AG$5:$AG$364,0),1)/INDEX(其他调用!AI$5:AI$364,MATCH($K331,其他调用!$AG$5:$AG$364,0),0),1)*INDEX(其他调用!Z$5:Z$404,MATCH($K331,其他调用!$X$5:$X$404,0),0)</f>
        <v>44113.55964746618</v>
      </c>
      <c r="AK331" s="12">
        <f>MIN(INDEX(其他调用!$AK$5:$AK$364,MATCH($K331,其他调用!$AG$5:$AG$364,0),1)/INDEX(其他调用!AJ$5:AJ$364,MATCH($K331,其他调用!$AG$5:$AG$364,0),0),1)*INDEX(其他调用!AA$5:AA$404,MATCH($K331,其他调用!$X$5:$X$404,0),0)</f>
        <v>45645.890893639196</v>
      </c>
      <c r="AL331" s="12">
        <f>MIN(INDEX(其他调用!$AK$5:$AK$364,MATCH($K331,其他调用!$AG$5:$AG$364,0),1)/INDEX(其他调用!AK$5:AK$364,MATCH($K331,其他调用!$AG$5:$AG$364,0),0),1)*INDEX(其他调用!AB$5:AB$404,MATCH($K331,其他调用!$X$5:$X$404,0),0)</f>
        <v>47899.78169125838</v>
      </c>
      <c r="AM331" s="12">
        <f>MIN(INDEX(其他调用!$AK$5:$AK$364,MATCH($K331,其他调用!$AG$5:$AG$364,0),1)/INDEX(其他调用!AL$5:AL$364,MATCH($K331,其他调用!$AG$5:$AG$364,0),0),1)*INDEX(其他调用!AC$5:AC$404,MATCH($K331,其他调用!$X$5:$X$404,0),0)</f>
        <v>29429.4415768117</v>
      </c>
      <c r="AN331" s="12">
        <f>求节点(节奏总纲!D$4:D$163,标准城池设计!AF$4:AF$163,$K331)*求节点(节奏总纲!D$4:D$163,攻城基础信息!$AG$5:$AG$164,$K331)</f>
        <v>1204932.771138778</v>
      </c>
      <c r="AO331" s="12">
        <f>INDEX(其他调用!$AA$5:$AA$404,MATCH($K331,其他调用!$X$5:$X$404,0))*MIN(INDEX(其他调用!AL$5:AL$364,MATCH($K331,其他调用!$AG$5:$AG$364,0),1)/INDEX(其他调用!$AJ$5:$AJ$364,MATCH($K331,其他调用!$AG$5:$AG$364,0),0),5)*求节点(节奏总纲!D$4:D$163,攻城基础信息!$AG$5:$AG$164,$K331)</f>
        <v>750142.40296774067</v>
      </c>
      <c r="AP331" s="12">
        <f>MIN(INDEX(其他调用!$AL$5:$AL$364,MATCH($K331,其他调用!$AG$5:$AG$364,0),1)/INDEX(其他调用!AH$5:AH$364,MATCH($K331,其他调用!$AG$5:$AG$364,0),0),1)*INDEX(其他调用!Y$5:Y$404,MATCH($K331,其他调用!$X$5:$X$404,0),0)</f>
        <v>42954.154197059608</v>
      </c>
      <c r="AQ331" s="12">
        <f>MIN(INDEX(其他调用!$AL$5:$AL$364,MATCH($K331,其他调用!$AG$5:$AG$364,0),1)/INDEX(其他调用!AI$5:AI$364,MATCH($K331,其他调用!$AG$5:$AG$364,0),0),1)*INDEX(其他调用!Z$5:Z$404,MATCH($K331,其他调用!$X$5:$X$404,0),0)</f>
        <v>44113.55964746618</v>
      </c>
      <c r="AR331" s="12">
        <f>MIN(INDEX(其他调用!$AL$5:$AL$364,MATCH($K331,其他调用!$AG$5:$AG$364,0),1)/INDEX(其他调用!AJ$5:AJ$364,MATCH($K331,其他调用!$AG$5:$AG$364,0),0),1)*INDEX(其他调用!AA$5:AA$404,MATCH($K331,其他调用!$X$5:$X$404,0),0)</f>
        <v>45645.890893639196</v>
      </c>
      <c r="AS331" s="12">
        <f>MIN(INDEX(其他调用!$AL$5:$AL$364,MATCH($K331,其他调用!$AG$5:$AG$364,0),1)/INDEX(其他调用!AK$5:AK$364,MATCH($K331,其他调用!$AG$5:$AG$364,0),0),1)*INDEX(其他调用!AB$5:AB$404,MATCH($K331,其他调用!$X$5:$X$404,0),0)</f>
        <v>47899.78169125838</v>
      </c>
      <c r="AT331" s="12">
        <f>MIN(INDEX(其他调用!$AL$5:$AL$364,MATCH($K331,其他调用!$AG$5:$AG$364,0),1)/INDEX(其他调用!AL$5:AL$364,MATCH($K331,其他调用!$AG$5:$AG$364,0),0),1)*INDEX(其他调用!AC$5:AC$404,MATCH($K331,其他调用!$X$5:$X$404,0),0)</f>
        <v>51793.16331632853</v>
      </c>
      <c r="AV331" s="14">
        <f>IF(OR(AV$5="大R",AV$5="超R"),MAX(INDEX(其他调用!$H$5:$L$404,MATCH($K331,其他调用!$B$5:$B$404,0),MATCH(AV$5,其他调用!$H$4:$L$4,0))*120*0.85,2),INDEX(其他调用!$H$5:$L$404,MATCH($K331,其他调用!$B$5:$B$404,0),MATCH(AV$5,其他调用!$H$4:$L$4,0))*120*0.85)</f>
        <v>48.921801254999991</v>
      </c>
      <c r="AW331" s="14">
        <f>IF(OR(AW$5="大R",AW$5="超R"),MAX(INDEX(其他调用!$H$5:$L$404,MATCH($K331,其他调用!$B$5:$B$404,0),MATCH(AW$5,其他调用!$H$4:$L$4,0))*120*0.85,2),INDEX(其他调用!$H$5:$L$404,MATCH($K331,其他调用!$B$5:$B$404,0),MATCH(AW$5,其他调用!$H$4:$L$4,0))*120*0.85)</f>
        <v>48.237344010638395</v>
      </c>
      <c r="AX331" s="14">
        <f>IF(OR(AX$5="大R",AX$5="超R"),MAX(INDEX(其他调用!$H$5:$L$404,MATCH($K331,其他调用!$B$5:$B$404,0),MATCH(AX$5,其他调用!$H$4:$L$4,0))*120*0.85,2),INDEX(其他调用!$H$5:$L$404,MATCH($K331,其他调用!$B$5:$B$404,0),MATCH(AX$5,其他调用!$H$4:$L$4,0))*120*0.85)</f>
        <v>3.9376284143615998</v>
      </c>
      <c r="AY331" s="14">
        <f>IF(OR(AY$5="大R",AY$5="超R"),MAX(INDEX(其他调用!$H$5:$L$404,MATCH($K331,其他调用!$B$5:$B$404,0),MATCH(AY$5,其他调用!$H$4:$L$4,0))*120*0.85,2),INDEX(其他调用!$H$5:$L$404,MATCH($K331,其他调用!$B$5:$B$404,0),MATCH(AY$5,其他调用!$H$4:$L$4,0))*120*0.85)</f>
        <v>2</v>
      </c>
      <c r="AZ331" s="14">
        <f>IF(OR(AZ$5="大R",AZ$5="超R"),MAX(INDEX(其他调用!$H$5:$L$404,MATCH($K331,其他调用!$B$5:$B$404,0),MATCH(AZ$5,其他调用!$H$4:$L$4,0))*120*0.85,2),INDEX(其他调用!$H$5:$L$404,MATCH($K331,其他调用!$B$5:$B$404,0),MATCH(AZ$5,其他调用!$H$4:$L$4,0))*120*0.85)</f>
        <v>2</v>
      </c>
      <c r="BA331" s="14">
        <f>INDEX(其他调用!$H$5:$L$404,MATCH($K331,其他调用!$B$5:$B$404,0),MATCH(BA$5,其他调用!$H$4:$L$4,0))*INDEX(其他调用!$M$5:$M$404,MATCH($K331,其他调用!$B$5:$B$404,0))*0.6</f>
        <v>28.777530149999997</v>
      </c>
      <c r="BB331" s="14">
        <f>INDEX(其他调用!$H$5:$L$404,MATCH($K331,其他调用!$B$5:$B$404,0),MATCH(BB$5,其他调用!$H$4:$L$4,0))*INDEX(其他调用!$M$5:$M$404,MATCH($K331,其他调用!$B$5:$B$404,0))*0.6</f>
        <v>28.374908241551999</v>
      </c>
      <c r="BC331" s="14">
        <f>INDEX(其他调用!$H$5:$L$404,MATCH($K331,其他调用!$B$5:$B$404,0),MATCH(BC$5,其他调用!$H$4:$L$4,0))*INDEX(其他调用!$M$5:$M$404,MATCH($K331,其他调用!$B$5:$B$404,0))*0.6</f>
        <v>2.3162520084480001</v>
      </c>
      <c r="BD331" s="14">
        <f>INDEX(其他调用!$H$5:$L$404,MATCH($K331,其他调用!$B$5:$B$404,0),MATCH(BD$5,其他调用!$H$4:$L$4,0))*INDEX(其他调用!$M$5:$M$404,MATCH($K331,其他调用!$B$5:$B$404,0))*0.6</f>
        <v>0.4120776000000001</v>
      </c>
      <c r="BE331" s="14">
        <f>INDEX(其他调用!$H$5:$L$404,MATCH($K331,其他调用!$B$5:$B$404,0),MATCH(BE$5,其他调用!$H$4:$L$4,0))*INDEX(其他调用!$M$5:$M$404,MATCH($K331,其他调用!$B$5:$B$404,0))*0.6</f>
        <v>0.11923199999999998</v>
      </c>
      <c r="BF331" s="14">
        <f>IF(OR(BF$5="大R",BF$5="超R"),0,INDEX(其他调用!$H$5:$L$404,MATCH($K331,其他调用!$B$5:$B$404,0),MATCH(BF$5,其他调用!$H$4:$L$4,0))*50*0.4)</f>
        <v>9.5925100500000013</v>
      </c>
      <c r="BG331" s="14">
        <f>IF(OR(BG$5="大R",BG$5="超R"),0,INDEX(其他调用!$H$5:$L$404,MATCH($K331,其他调用!$B$5:$B$404,0),MATCH(BG$5,其他调用!$H$4:$L$4,0))*50*0.4)</f>
        <v>9.4583027471839998</v>
      </c>
      <c r="BH331" s="14">
        <f>IF(OR(BH$5="大R",BH$5="超R"),0,INDEX(其他调用!$H$5:$L$404,MATCH($K331,其他调用!$B$5:$B$404,0),MATCH(BH$5,其他调用!$H$4:$L$4,0))*50*0.4)</f>
        <v>0.77208400281600009</v>
      </c>
      <c r="BI331" s="14">
        <f>IF(OR(BI$5="大R",BI$5="超R"),0,INDEX(其他调用!$H$5:$L$404,MATCH($K331,其他调用!$B$5:$B$404,0),MATCH(BI$5,其他调用!$H$4:$L$4,0))*50*0.4)</f>
        <v>0</v>
      </c>
      <c r="BJ331" s="14">
        <f>IF(OR(BJ$5="大R",BJ$5="超R"),0,INDEX(其他调用!$H$5:$L$404,MATCH($K331,其他调用!$B$5:$B$404,0),MATCH(BJ$5,其他调用!$H$4:$L$4,0))*50*0.4)</f>
        <v>0</v>
      </c>
      <c r="BL331" s="14">
        <f t="shared" si="628"/>
        <v>326</v>
      </c>
      <c r="BM331" s="14">
        <f t="shared" si="535"/>
        <v>96</v>
      </c>
      <c r="BN331" s="14">
        <f>('疲劳值&amp;地图信息'!$S$10*'疲劳值&amp;地图信息'!$R$10+'疲劳值&amp;地图信息'!$S$11*'疲劳值&amp;地图信息'!$R$11+'疲劳值&amp;地图信息'!$S$12*'疲劳值&amp;地图信息'!$R$12+(BM331-'疲劳值&amp;地图信息'!$S$12-'疲劳值&amp;地图信息'!$S$11-'疲劳值&amp;地图信息'!$S$10)*'疲劳值&amp;地图信息'!$R$13)/BM331</f>
        <v>51.371477246638619</v>
      </c>
      <c r="BO331" s="14">
        <f>INDEX(其他调用!$M$5:$M$404,MATCH(BL331,其他调用!$B$5:$B$404,0))*0.6</f>
        <v>60</v>
      </c>
      <c r="BP331" s="14">
        <f>IF(BO331&gt;SUM('疲劳值&amp;地图信息'!$S$10:$S$12),('疲劳值&amp;地图信息'!$S$10*'疲劳值&amp;地图信息'!$R$10+'疲劳值&amp;地图信息'!$S$11*'疲劳值&amp;地图信息'!$R$11+'疲劳值&amp;地图信息'!$S$12*'疲劳值&amp;地图信息'!$R$12+(BO331-'疲劳值&amp;地图信息'!$S$12-'疲劳值&amp;地图信息'!$S$11-'疲劳值&amp;地图信息'!$S$10)*'疲劳值&amp;地图信息'!$R$13)/BO331,('疲劳值&amp;地图信息'!$S$10*'疲劳值&amp;地图信息'!$R$10+'疲劳值&amp;地图信息'!$S$11*'疲劳值&amp;地图信息'!$R$11+'疲劳值&amp;地图信息'!$S$12*'疲劳值&amp;地图信息'!$R$12+(BO331-'疲劳值&amp;地图信息'!$S$12-'疲劳值&amp;地图信息'!$S$11-'疲劳值&amp;地图信息'!$S$10)*'疲劳值&amp;地图信息'!$R$13)/BO331)</f>
        <v>44.158136341605953</v>
      </c>
      <c r="BQ331" s="14">
        <f t="shared" si="629"/>
        <v>20</v>
      </c>
      <c r="BR331" s="14">
        <f>('疲劳值&amp;地图信息'!$S$10*'疲劳值&amp;地图信息'!$R$10+($BQ331-'疲劳值&amp;地图信息'!$S$10)*'疲劳值&amp;地图信息'!$R$11)/$BQ331</f>
        <v>32.067203015074995</v>
      </c>
      <c r="CF331" s="14">
        <v>326</v>
      </c>
      <c r="CG331" s="51">
        <f t="shared" si="536"/>
        <v>16583</v>
      </c>
      <c r="CH331" s="51">
        <f t="shared" si="537"/>
        <v>1061</v>
      </c>
      <c r="CI331" s="51">
        <f>INT(SUMPRODUCT($N331:$R331,$BA331:$BE331)/SUM($BA331:$BE331)/10000*$BX$7*$BZ$34/'疲劳值&amp;地图信息'!$R$10*$BY$53)</f>
        <v>3376</v>
      </c>
      <c r="CJ331" s="50">
        <f t="shared" si="538"/>
        <v>0.7889153187440533</v>
      </c>
      <c r="CK331" s="50">
        <f t="shared" si="539"/>
        <v>5.0475737392959089E-2</v>
      </c>
      <c r="CL331" s="50">
        <f t="shared" si="540"/>
        <v>0.16060894386298763</v>
      </c>
      <c r="CM331" s="14">
        <f t="shared" si="541"/>
        <v>18185</v>
      </c>
      <c r="CN331" s="14">
        <f t="shared" si="542"/>
        <v>1838</v>
      </c>
      <c r="CO331" s="14">
        <f>INT(SUMPRODUCT($U331:$Y331,$BA331:$BE331)/SUM($BA331:$BE331)/10000*$BX$7*$BZ$34/'疲劳值&amp;地图信息'!$R$10*$BY$54)</f>
        <v>6474</v>
      </c>
      <c r="CP331" s="50">
        <f t="shared" si="543"/>
        <v>0.68630410989923385</v>
      </c>
      <c r="CQ331" s="50">
        <f t="shared" si="544"/>
        <v>6.9366343359625618E-2</v>
      </c>
      <c r="CR331" s="50">
        <f t="shared" si="545"/>
        <v>0.24432954674114052</v>
      </c>
      <c r="CS331" s="14">
        <f t="shared" si="546"/>
        <v>19818</v>
      </c>
      <c r="CT331" s="14">
        <f t="shared" si="547"/>
        <v>3256</v>
      </c>
      <c r="CU331" s="14">
        <f>INT(SUMPRODUCT($AB331:$AF331,$BA331:$BE331)/SUM($BA331:$BE331)/10000*$BX$7*$BZ$34/'疲劳值&amp;地图信息'!$R$10*$BY$55)</f>
        <v>8801</v>
      </c>
      <c r="CV331" s="50">
        <f t="shared" si="548"/>
        <v>0.62174117647058824</v>
      </c>
      <c r="CW331" s="50">
        <f t="shared" si="549"/>
        <v>0.10214901960784313</v>
      </c>
      <c r="CX331" s="50">
        <f t="shared" si="550"/>
        <v>0.27610980392156864</v>
      </c>
      <c r="CY331" s="14">
        <f t="shared" si="551"/>
        <v>23731</v>
      </c>
      <c r="CZ331" s="14">
        <f t="shared" si="552"/>
        <v>8687</v>
      </c>
      <c r="DA331" s="14">
        <f>INT(SUMPRODUCT($AI331:$AM331,$BA331:$BE331)/SUM($BA331:$BE331)/10000*$BX$7*$BZ$34/'疲劳值&amp;地图信息'!$R$10*$BY$56)</f>
        <v>13276</v>
      </c>
      <c r="DB331" s="50">
        <f t="shared" si="553"/>
        <v>0.51934608482514111</v>
      </c>
      <c r="DC331" s="50">
        <f t="shared" si="554"/>
        <v>0.19011248741629097</v>
      </c>
      <c r="DD331" s="50">
        <f t="shared" si="555"/>
        <v>0.29054142775856784</v>
      </c>
      <c r="DE331" s="14">
        <f t="shared" si="556"/>
        <v>24558</v>
      </c>
      <c r="DF331" s="14">
        <f t="shared" si="557"/>
        <v>15288</v>
      </c>
      <c r="DG331" s="14">
        <f>INT(SUMPRODUCT($AP331:$AT331,$BA331:$BE331)/SUM($BA331:$BE331)/10000*$BX$7*$BZ$34/'疲劳值&amp;地图信息'!$R$10*$BY$57)</f>
        <v>17719</v>
      </c>
      <c r="DH331" s="50">
        <f t="shared" si="558"/>
        <v>0.42661339355511163</v>
      </c>
      <c r="DI331" s="50">
        <f t="shared" si="559"/>
        <v>0.26557804221315034</v>
      </c>
      <c r="DJ331" s="50">
        <f t="shared" si="560"/>
        <v>0.30780856423173802</v>
      </c>
      <c r="DL331" s="14">
        <f t="shared" si="526"/>
        <v>21020</v>
      </c>
      <c r="DM331" s="14">
        <f t="shared" si="527"/>
        <v>26497</v>
      </c>
      <c r="DN331" s="14">
        <f t="shared" si="528"/>
        <v>31875</v>
      </c>
      <c r="DO331" s="14">
        <f t="shared" si="529"/>
        <v>45694</v>
      </c>
      <c r="DP331" s="14">
        <f t="shared" si="530"/>
        <v>57565</v>
      </c>
      <c r="DQ331" s="14">
        <f t="shared" si="531"/>
        <v>1456277</v>
      </c>
      <c r="DT331" s="14">
        <f t="shared" ref="DT331:DT365" si="630">SUM($BX$11:$BX$27)/2+SUM($BY$11:$BY$27)*(60-($BX$34+$BY$34)/60/2)/2</f>
        <v>235575</v>
      </c>
      <c r="DU331" s="50">
        <f t="shared" si="532"/>
        <v>0.13924090286857244</v>
      </c>
      <c r="DW331" s="14">
        <f t="shared" si="561"/>
        <v>1691852</v>
      </c>
      <c r="EB331" s="14">
        <v>326</v>
      </c>
      <c r="EC331" s="51">
        <f t="shared" si="562"/>
        <v>27638</v>
      </c>
      <c r="ED331" s="51">
        <f t="shared" si="563"/>
        <v>1769</v>
      </c>
      <c r="EE331" s="51">
        <f>INT(SUMPRODUCT($N331:$R331,$BF331:$BJ331)/SUM($BF331:$BJ331)/10000*$BX$7*$BZ$46/'疲劳值&amp;地图信息'!$R$10*$BY$53)</f>
        <v>453</v>
      </c>
      <c r="EF331" s="50">
        <f t="shared" si="564"/>
        <v>0.92558606831882118</v>
      </c>
      <c r="EG331" s="50">
        <f t="shared" si="565"/>
        <v>5.9243134628265234E-2</v>
      </c>
      <c r="EH331" s="50">
        <f t="shared" si="566"/>
        <v>1.5170797052913597E-2</v>
      </c>
      <c r="EI331" s="51">
        <f t="shared" si="567"/>
        <v>30309</v>
      </c>
      <c r="EJ331" s="51">
        <f t="shared" si="568"/>
        <v>3064</v>
      </c>
      <c r="EK331" s="14">
        <f>INT(SUMPRODUCT($U331:$Y331,$BF331:$BJ331)/SUM($BF331:$BJ331)/10000*$BX$7*$BZ$46/'疲劳值&amp;地图信息'!$R$10*$BY$54)</f>
        <v>869</v>
      </c>
      <c r="EL331" s="50">
        <f t="shared" si="569"/>
        <v>0.88514105484492733</v>
      </c>
      <c r="EM331" s="50">
        <f t="shared" si="570"/>
        <v>8.948075462881841E-2</v>
      </c>
      <c r="EN331" s="50">
        <f t="shared" si="571"/>
        <v>2.5378190526254306E-2</v>
      </c>
      <c r="EO331" s="51">
        <f t="shared" si="572"/>
        <v>33030</v>
      </c>
      <c r="EP331" s="51">
        <f t="shared" si="573"/>
        <v>5426</v>
      </c>
      <c r="EQ331" s="14">
        <f>INT(SUMPRODUCT($AB331:$AF331,$BF331:$BJ331)/SUM($BF331:$BJ331)/10000*$BX$7*$BZ$46/'疲劳值&amp;地图信息'!$R$10*$BY$55)</f>
        <v>1180</v>
      </c>
      <c r="ER331" s="50">
        <f t="shared" si="574"/>
        <v>0.83333333333333337</v>
      </c>
      <c r="ES331" s="50">
        <f t="shared" si="575"/>
        <v>0.13689575133716822</v>
      </c>
      <c r="ET331" s="50">
        <f t="shared" si="576"/>
        <v>2.9770915329498437E-2</v>
      </c>
      <c r="EU331" s="51">
        <f t="shared" si="577"/>
        <v>39552</v>
      </c>
      <c r="EV331" s="51">
        <f t="shared" si="578"/>
        <v>14478</v>
      </c>
      <c r="EW331" s="14">
        <f>INT(SUMPRODUCT($AI331:$AM331,$BF331:$BJ331)/SUM($BF331:$BJ331)/10000*$BX$7*$BZ$46/'疲劳值&amp;地图信息'!$R$10*$BY$56)</f>
        <v>1770</v>
      </c>
      <c r="EX331" s="50">
        <f t="shared" si="579"/>
        <v>0.70881720430107531</v>
      </c>
      <c r="EY331" s="50">
        <f t="shared" si="580"/>
        <v>0.25946236559139785</v>
      </c>
      <c r="EZ331" s="50">
        <f t="shared" si="581"/>
        <v>3.1720430107526884E-2</v>
      </c>
      <c r="FA331" s="51">
        <f t="shared" si="582"/>
        <v>40930</v>
      </c>
      <c r="FB331" s="51">
        <f t="shared" si="583"/>
        <v>25481</v>
      </c>
      <c r="FC331" s="14">
        <f>INT(SUMPRODUCT($AP331:$AT331,$BF331:$BJ331)/SUM($BF331:$BJ331)/10000*$BX$7*$BZ$46/'疲劳值&amp;地图信息'!$R$10*$BY$57)</f>
        <v>2360</v>
      </c>
      <c r="FD331" s="50">
        <f t="shared" si="584"/>
        <v>0.59516365910049296</v>
      </c>
      <c r="FE331" s="50">
        <f t="shared" si="585"/>
        <v>0.37051955039188028</v>
      </c>
      <c r="FF331" s="50">
        <f t="shared" si="586"/>
        <v>3.431679050762676E-2</v>
      </c>
      <c r="FH331" s="14">
        <f t="shared" si="587"/>
        <v>29860</v>
      </c>
      <c r="FI331" s="14">
        <f t="shared" si="588"/>
        <v>34242</v>
      </c>
      <c r="FJ331" s="14">
        <f t="shared" si="589"/>
        <v>39636</v>
      </c>
      <c r="FK331" s="14">
        <f t="shared" si="590"/>
        <v>55800</v>
      </c>
      <c r="FL331" s="14">
        <f t="shared" si="591"/>
        <v>68771</v>
      </c>
      <c r="FM331" s="14">
        <f t="shared" si="592"/>
        <v>3517761</v>
      </c>
      <c r="FP331" s="14">
        <f t="shared" si="593"/>
        <v>334150</v>
      </c>
      <c r="FQ331" s="50">
        <f t="shared" si="533"/>
        <v>8.6749148669322831E-2</v>
      </c>
      <c r="FS331" s="14">
        <f t="shared" si="594"/>
        <v>3851911</v>
      </c>
      <c r="FX331" s="14">
        <v>326</v>
      </c>
      <c r="FY331" s="51">
        <f t="shared" si="595"/>
        <v>38693</v>
      </c>
      <c r="FZ331" s="51">
        <f t="shared" si="596"/>
        <v>1769</v>
      </c>
      <c r="GA331" s="51">
        <f>INT(SUMPRODUCT($N331:$R331,$BF331:$BJ331)/SUM($BF331:$BJ331)/10000*$BX$7*$BZ$46/'疲劳值&amp;地图信息'!$R$10*$BY$53)</f>
        <v>453</v>
      </c>
      <c r="GB331" s="50">
        <f t="shared" si="597"/>
        <v>0.9456922888916045</v>
      </c>
      <c r="GC331" s="50">
        <f t="shared" si="598"/>
        <v>4.3235977025540752E-2</v>
      </c>
      <c r="GD331" s="50">
        <f t="shared" si="599"/>
        <v>1.1071734082854699E-2</v>
      </c>
      <c r="GE331" s="51">
        <f t="shared" si="600"/>
        <v>42433</v>
      </c>
      <c r="GF331" s="51">
        <f t="shared" si="601"/>
        <v>3064</v>
      </c>
      <c r="GG331" s="14">
        <f>INT(SUMPRODUCT($U331:$Y331,$BF331:$BJ331)/SUM($BF331:$BJ331)/10000*$BX$7*$BZ$46/'疲劳值&amp;地图信息'!$R$10*$BY$54)</f>
        <v>869</v>
      </c>
      <c r="GH331" s="50">
        <f t="shared" si="602"/>
        <v>0.91517491265151185</v>
      </c>
      <c r="GI331" s="50">
        <f t="shared" si="603"/>
        <v>6.6082905577362724E-2</v>
      </c>
      <c r="GJ331" s="50">
        <f t="shared" si="604"/>
        <v>1.8742181771125393E-2</v>
      </c>
      <c r="GK331" s="51">
        <f t="shared" si="605"/>
        <v>46243</v>
      </c>
      <c r="GL331" s="51">
        <f t="shared" si="606"/>
        <v>5426</v>
      </c>
      <c r="GM331" s="14">
        <f>INT(SUMPRODUCT($AB331:$AF331,$BF331:$BJ331)/SUM($BF331:$BJ331)/10000*$BX$7*$BZ$46/'疲劳值&amp;地图信息'!$R$10*$BY$55)</f>
        <v>1180</v>
      </c>
      <c r="GN331" s="50">
        <f t="shared" si="607"/>
        <v>0.87500236522923802</v>
      </c>
      <c r="GO331" s="50">
        <f t="shared" si="608"/>
        <v>0.10266987076387443</v>
      </c>
      <c r="GP331" s="50">
        <f t="shared" si="609"/>
        <v>2.2327764006887546E-2</v>
      </c>
      <c r="GQ331" s="51">
        <f t="shared" si="610"/>
        <v>55374</v>
      </c>
      <c r="GR331" s="51">
        <f t="shared" si="611"/>
        <v>14478</v>
      </c>
      <c r="GS331" s="14">
        <f>INT(SUMPRODUCT($AI331:$AM331,$BF331:$BJ331)/SUM($BF331:$BJ331)/10000*$BX$7*$BZ$46/'疲劳值&amp;地图信息'!$R$10*$BY$56)</f>
        <v>1770</v>
      </c>
      <c r="GT331" s="50">
        <f t="shared" si="612"/>
        <v>0.77314233056881965</v>
      </c>
      <c r="GU331" s="50">
        <f t="shared" si="613"/>
        <v>0.20214459244366256</v>
      </c>
      <c r="GV331" s="50">
        <f t="shared" si="614"/>
        <v>2.4713076987517801E-2</v>
      </c>
      <c r="GW331" s="51">
        <f t="shared" si="615"/>
        <v>57302</v>
      </c>
      <c r="GX331" s="51">
        <f t="shared" si="616"/>
        <v>25481</v>
      </c>
      <c r="GY331" s="14">
        <f>INT(SUMPRODUCT($AP331:$AT331,$BF331:$BJ331)/SUM($BF331:$BJ331)/10000*$BX$7*$BZ$46/'疲劳值&amp;地图信息'!$R$10*$BY$57)</f>
        <v>2360</v>
      </c>
      <c r="GZ331" s="50">
        <f t="shared" si="617"/>
        <v>0.67300893790446659</v>
      </c>
      <c r="HA331" s="50">
        <f t="shared" si="618"/>
        <v>0.29927298779700034</v>
      </c>
      <c r="HB331" s="50">
        <f t="shared" si="619"/>
        <v>2.7718074298533055E-2</v>
      </c>
      <c r="HD331" s="14">
        <f t="shared" si="620"/>
        <v>40915</v>
      </c>
      <c r="HE331" s="14">
        <f t="shared" si="621"/>
        <v>46366</v>
      </c>
      <c r="HF331" s="14">
        <f t="shared" si="622"/>
        <v>52849</v>
      </c>
      <c r="HG331" s="14">
        <f t="shared" si="623"/>
        <v>71622</v>
      </c>
      <c r="HH331" s="14">
        <f t="shared" si="624"/>
        <v>85143</v>
      </c>
      <c r="HI331" s="14">
        <f t="shared" si="625"/>
        <v>4759837</v>
      </c>
      <c r="HL331" s="14">
        <f t="shared" si="626"/>
        <v>430050</v>
      </c>
      <c r="HM331" s="50">
        <f t="shared" si="534"/>
        <v>8.2863075824194249E-2</v>
      </c>
      <c r="HO331" s="14">
        <f t="shared" si="627"/>
        <v>5189887</v>
      </c>
    </row>
    <row r="332" spans="11:223" x14ac:dyDescent="0.2">
      <c r="K332" s="14">
        <v>327</v>
      </c>
      <c r="L332" s="12">
        <f>求节点(节奏总纲!D$4:D$163,标准城池设计!AB$4:AB$163,$K332)*求节点(节奏总纲!D$4:D$163,攻城基础信息!$AC$5:$AC$164,$K332)</f>
        <v>814755.06186406652</v>
      </c>
      <c r="M332" s="12">
        <f>INDEX(其他调用!$AA$5:$AA$404,MATCH(K332,其他调用!$X$5:$X$404,0))*MIN(INDEX(其他调用!$AH$5:$AH$364,MATCH('征服点（新）'!K332,其他调用!$AG$5:$AG$364,0),1)/INDEX(其他调用!$AJ$5:$AJ$364,MATCH(K332,其他调用!$AG$5:$AG$364,0),0),5)*求节点(节奏总纲!D$4:D$163,攻城基础信息!$AC$5:$AC$164,$K332)</f>
        <v>52047.275552670122</v>
      </c>
      <c r="N332" s="12">
        <f>MIN(INDEX(其他调用!$AH$5:$AH$364,MATCH($K332,其他调用!$AG$5:$AG$364,0),1)/INDEX(其他调用!AH$5:AH$364,MATCH($K332,其他调用!$AG$5:$AG$364,0),0),1)*INDEX(其他调用!Y$5:Y$404,MATCH($K332,其他调用!$X$5:$X$404,0),0)</f>
        <v>42971.963682972149</v>
      </c>
      <c r="O332" s="12">
        <f>MIN(INDEX(其他调用!$AH$5:$AH$364,MATCH($K332,其他调用!$AG$5:$AG$364,0),1)/INDEX(其他调用!AI$5:AI$364,MATCH($K332,其他调用!$AG$5:$AG$364,0),0),1)*INDEX(其他调用!Z$5:Z$404,MATCH($K332,其他调用!$X$5:$X$404,0),0)</f>
        <v>25473.162921745916</v>
      </c>
      <c r="P332" s="12">
        <f>MIN(INDEX(其他调用!$AH$5:$AH$364,MATCH($K332,其他调用!$AG$5:$AG$364,0),1)/INDEX(其他调用!AJ$5:AJ$364,MATCH($K332,其他调用!$AG$5:$AG$364,0),0),1)*INDEX(其他调用!AA$5:AA$404,MATCH($K332,其他调用!$X$5:$X$404,0),0)</f>
        <v>14870.650157905759</v>
      </c>
      <c r="Q332" s="12">
        <f>MIN(INDEX(其他调用!$AH$5:$AH$364,MATCH($K332,其他调用!$AG$5:$AG$364,0),1)/INDEX(其他调用!AK$5:AK$364,MATCH($K332,其他调用!$AG$5:$AG$364,0),0),1)*INDEX(其他调用!AB$5:AB$404,MATCH($K332,其他调用!$X$5:$X$404,0),0)</f>
        <v>5858.7845010980345</v>
      </c>
      <c r="R332" s="12">
        <f>MIN(INDEX(其他调用!$AH$5:$AH$364,MATCH($K332,其他调用!$AG$5:$AG$364,0),1)/INDEX(其他调用!AL$5:AL$364,MATCH($K332,其他调用!$AG$5:$AG$364,0),0),1)*INDEX(其他调用!AC$5:AC$404,MATCH($K332,其他调用!$X$5:$X$404,0),0)</f>
        <v>3605.174993275305</v>
      </c>
      <c r="S332" s="12">
        <f>求节点(节奏总纲!D$4:D$163,标准城池设计!AC$4:AC$163,$K332)*求节点(节奏总纲!D$4:D$163,攻城基础信息!$AD$5:$AD$164,$K332)</f>
        <v>893508.88854210766</v>
      </c>
      <c r="T332" s="12">
        <f>INDEX(其他调用!$AA$5:$AA$404,MATCH($K332,其他调用!$X$5:$X$404,0))*MIN(INDEX(其他调用!AI$5:AI$364,MATCH($K332,其他调用!$AG$5:$AG$364,0),1)/INDEX(其他调用!$AJ$5:$AJ$364,MATCH($K332,其他调用!$AG$5:$AG$364,0),0),5)*求节点(节奏总纲!D$4:D$163,攻城基础信息!$AD$5:$AD$164,$K332)</f>
        <v>90170.195329826034</v>
      </c>
      <c r="U332" s="12">
        <f>MIN(INDEX(其他调用!$AI$5:$AI$364,MATCH($K332,其他调用!$AG$5:$AG$364,0),1)/INDEX(其他调用!AH$5:AH$364,MATCH($K332,其他调用!$AG$5:$AG$364,0),0),1)*INDEX(其他调用!Y$5:Y$404,MATCH($K332,其他调用!$X$5:$X$404,0),0)</f>
        <v>42971.963682972149</v>
      </c>
      <c r="V332" s="12">
        <f>MIN(INDEX(其他调用!$AI$5:$AI$364,MATCH($K332,其他调用!$AG$5:$AG$364,0),1)/INDEX(其他调用!AI$5:AI$364,MATCH($K332,其他调用!$AG$5:$AG$364,0),0),1)*INDEX(其他调用!Z$5:Z$404,MATCH($K332,其他调用!$X$5:$X$404,0),0)</f>
        <v>44131.418060449752</v>
      </c>
      <c r="W332" s="12">
        <f>MIN(INDEX(其他调用!$AI$5:$AI$364,MATCH($K332,其他调用!$AG$5:$AG$364,0),1)/INDEX(其他调用!AJ$5:AJ$364,MATCH($K332,其他调用!$AG$5:$AG$364,0),0),1)*INDEX(其他调用!AA$5:AA$404,MATCH($K332,其他调用!$X$5:$X$404,0),0)</f>
        <v>25762.912951378883</v>
      </c>
      <c r="X332" s="12">
        <f>MIN(INDEX(其他调用!$AI$5:$AI$364,MATCH($K332,其他调用!$AG$5:$AG$364,0),1)/INDEX(其他调用!AK$5:AK$364,MATCH($K332,其他调用!$AG$5:$AG$364,0),0),1)*INDEX(其他调用!AB$5:AB$404,MATCH($K332,其他调用!$X$5:$X$404,0),0)</f>
        <v>10150.151708224523</v>
      </c>
      <c r="Y332" s="12">
        <f>MIN(INDEX(其他调用!$AI$5:$AI$364,MATCH($K332,其他调用!$AG$5:$AG$364,0),1)/INDEX(其他调用!AL$5:AL$364,MATCH($K332,其他调用!$AG$5:$AG$364,0),0),1)*INDEX(其他调用!AC$5:AC$404,MATCH($K332,其他调用!$X$5:$X$404,0),0)</f>
        <v>6245.8472588612049</v>
      </c>
      <c r="Z332" s="12">
        <f>求节点(节奏总纲!D$4:D$163,标准城池设计!AD$4:AD$163,$K332)*求节点(节奏总纲!D$4:D$163,攻城基础信息!$AE$5:$AE$164,$K332)</f>
        <v>973694.8733883492</v>
      </c>
      <c r="AA332" s="12">
        <f>INDEX(其他调用!$AA$5:$AA$404,MATCH($K332,其他调用!$X$5:$X$404,0))*MIN(INDEX(其他调用!AJ$5:AJ$364,MATCH($K332,其他调用!$AG$5:$AG$364,0),1)/INDEX(其他调用!$AJ$5:$AJ$364,MATCH($K332,其他调用!$AG$5:$AG$364,0),0),5)*求节点(节奏总纲!D$4:D$163,攻城基础信息!$AE$5:$AE$164,$K332)</f>
        <v>159825.32750471839</v>
      </c>
      <c r="AB332" s="12">
        <f>MIN(INDEX(其他调用!$AJ$5:$AJ$364,MATCH($K332,其他调用!$AG$5:$AG$364,0),1)/INDEX(其他调用!AH$5:AH$364,MATCH($K332,其他调用!$AG$5:$AG$364,0),0),1)*INDEX(其他调用!Y$5:Y$404,MATCH($K332,其他调用!$X$5:$X$404,0),0)</f>
        <v>42971.963682972149</v>
      </c>
      <c r="AC332" s="12">
        <f>MIN(INDEX(其他调用!$AJ$5:$AJ$364,MATCH($K332,其他调用!$AG$5:$AG$364,0),1)/INDEX(其他调用!AI$5:AI$364,MATCH($K332,其他调用!$AG$5:$AG$364,0),0),1)*INDEX(其他调用!Z$5:Z$404,MATCH($K332,其他调用!$X$5:$X$404,0),0)</f>
        <v>44131.418060449752</v>
      </c>
      <c r="AD332" s="12">
        <f>MIN(INDEX(其他调用!$AJ$5:$AJ$364,MATCH($K332,其他调用!$AG$5:$AG$364,0),1)/INDEX(其他调用!AJ$5:AJ$364,MATCH($K332,其他调用!$AG$5:$AG$364,0),0),1)*INDEX(其他调用!AA$5:AA$404,MATCH($K332,其他调用!$X$5:$X$404,0),0)</f>
        <v>45664.379287062424</v>
      </c>
      <c r="AE332" s="12">
        <f>MIN(INDEX(其他调用!$AJ$5:$AJ$364,MATCH($K332,其他调用!$AG$5:$AG$364,0),1)/INDEX(其他调用!AK$5:AK$364,MATCH($K332,其他调用!$AG$5:$AG$364,0),0),1)*INDEX(其他调用!AB$5:AB$404,MATCH($K332,其他调用!$X$5:$X$404,0),0)</f>
        <v>17990.992645138049</v>
      </c>
      <c r="AF332" s="12">
        <f>MIN(INDEX(其他调用!$AJ$5:$AJ$364,MATCH($K332,其他调用!$AG$5:$AG$364,0),1)/INDEX(其他调用!AL$5:AL$364,MATCH($K332,其他调用!$AG$5:$AG$364,0),0),1)*INDEX(其他调用!AC$5:AC$404,MATCH($K332,其他调用!$X$5:$X$404,0),0)</f>
        <v>11070.671190636154</v>
      </c>
      <c r="AG332" s="12">
        <f>求节点(节奏总纲!D$4:D$163,标准城池设计!AE$4:AE$163,$K332)*求节点(节奏总纲!D$4:D$163,攻城基础信息!$AF$5:$AF$164,$K332)</f>
        <v>1165537.678904742</v>
      </c>
      <c r="AH332" s="12">
        <f>INDEX(其他调用!$AA$5:$AA$404,MATCH($K332,其他调用!$X$5:$X$404,0))*MIN(INDEX(其他调用!AK$5:AK$364,MATCH($K332,其他调用!$AG$5:$AG$364,0),1)/INDEX(其他调用!$AJ$5:$AJ$364,MATCH($K332,其他调用!$AG$5:$AG$364,0),0),5)*求节点(节奏总纲!D$4:D$163,攻城基础信息!$AF$5:$AF$164,$K332)</f>
        <v>425684.14043961628</v>
      </c>
      <c r="AI332" s="12">
        <f>MIN(INDEX(其他调用!$AK$5:$AK$364,MATCH($K332,其他调用!$AG$5:$AG$364,0),1)/INDEX(其他调用!AH$5:AH$364,MATCH($K332,其他调用!$AG$5:$AG$364,0),0),1)*INDEX(其他调用!Y$5:Y$404,MATCH($K332,其他调用!$X$5:$X$404,0),0)</f>
        <v>42971.963682972149</v>
      </c>
      <c r="AJ332" s="12">
        <f>MIN(INDEX(其他调用!$AK$5:$AK$364,MATCH($K332,其他调用!$AG$5:$AG$364,0),1)/INDEX(其他调用!AI$5:AI$364,MATCH($K332,其他调用!$AG$5:$AG$364,0),0),1)*INDEX(其他调用!Z$5:Z$404,MATCH($K332,其他调用!$X$5:$X$404,0),0)</f>
        <v>44131.418060449752</v>
      </c>
      <c r="AK332" s="12">
        <f>MIN(INDEX(其他调用!$AK$5:$AK$364,MATCH($K332,其他调用!$AG$5:$AG$364,0),1)/INDEX(其他调用!AJ$5:AJ$364,MATCH($K332,其他调用!$AG$5:$AG$364,0),0),1)*INDEX(其他调用!AA$5:AA$404,MATCH($K332,其他调用!$X$5:$X$404,0),0)</f>
        <v>45664.379287062424</v>
      </c>
      <c r="AL332" s="12">
        <f>MIN(INDEX(其他调用!$AK$5:$AK$364,MATCH($K332,其他调用!$AG$5:$AG$364,0),1)/INDEX(其他调用!AK$5:AK$364,MATCH($K332,其他调用!$AG$5:$AG$364,0),0),1)*INDEX(其他调用!AB$5:AB$404,MATCH($K332,其他调用!$X$5:$X$404,0),0)</f>
        <v>47917.813524110898</v>
      </c>
      <c r="AM332" s="12">
        <f>MIN(INDEX(其他调用!$AK$5:$AK$364,MATCH($K332,其他调用!$AG$5:$AG$364,0),1)/INDEX(其他调用!AL$5:AL$364,MATCH($K332,其他调用!$AG$5:$AG$364,0),0),1)*INDEX(其他调用!AC$5:AC$404,MATCH($K332,其他调用!$X$5:$X$404,0),0)</f>
        <v>29485.997141075455</v>
      </c>
      <c r="AN332" s="12">
        <f>求节点(节奏总纲!D$4:D$163,标准城池设计!AF$4:AF$163,$K332)*求节点(节奏总纲!D$4:D$163,攻城基础信息!$AG$5:$AG$164,$K332)</f>
        <v>1205806.8873425121</v>
      </c>
      <c r="AO332" s="12">
        <f>INDEX(其他调用!$AA$5:$AA$404,MATCH($K332,其他调用!$X$5:$X$404,0))*MIN(INDEX(其他调用!AL$5:AL$364,MATCH($K332,其他调用!$AG$5:$AG$364,0),1)/INDEX(其他调用!$AJ$5:$AJ$364,MATCH($K332,其他调用!$AG$5:$AG$364,0),0),5)*求节点(节奏总纲!D$4:D$163,攻城基础信息!$AG$5:$AG$164,$K332)</f>
        <v>747991.54014459823</v>
      </c>
      <c r="AP332" s="12">
        <f>MIN(INDEX(其他调用!$AL$5:$AL$364,MATCH($K332,其他调用!$AG$5:$AG$364,0),1)/INDEX(其他调用!AH$5:AH$364,MATCH($K332,其他调用!$AG$5:$AG$364,0),0),1)*INDEX(其他调用!Y$5:Y$404,MATCH($K332,其他调用!$X$5:$X$404,0),0)</f>
        <v>42971.963682972149</v>
      </c>
      <c r="AQ332" s="12">
        <f>MIN(INDEX(其他调用!$AL$5:$AL$364,MATCH($K332,其他调用!$AG$5:$AG$364,0),1)/INDEX(其他调用!AI$5:AI$364,MATCH($K332,其他调用!$AG$5:$AG$364,0),0),1)*INDEX(其他调用!Z$5:Z$404,MATCH($K332,其他调用!$X$5:$X$404,0),0)</f>
        <v>44131.418060449752</v>
      </c>
      <c r="AR332" s="12">
        <f>MIN(INDEX(其他调用!$AL$5:$AL$364,MATCH($K332,其他调用!$AG$5:$AG$364,0),1)/INDEX(其他调用!AJ$5:AJ$364,MATCH($K332,其他调用!$AG$5:$AG$364,0),0),1)*INDEX(其他调用!AA$5:AA$404,MATCH($K332,其他调用!$X$5:$X$404,0),0)</f>
        <v>45664.379287062424</v>
      </c>
      <c r="AS332" s="12">
        <f>MIN(INDEX(其他调用!$AL$5:$AL$364,MATCH($K332,其他调用!$AG$5:$AG$364,0),1)/INDEX(其他调用!AK$5:AK$364,MATCH($K332,其他调用!$AG$5:$AG$364,0),0),1)*INDEX(其他调用!AB$5:AB$404,MATCH($K332,其他调用!$X$5:$X$404,0),0)</f>
        <v>47917.813524110898</v>
      </c>
      <c r="AT332" s="12">
        <f>MIN(INDEX(其他调用!$AL$5:$AL$364,MATCH($K332,其他调用!$AG$5:$AG$364,0),1)/INDEX(其他调用!AL$5:AL$364,MATCH($K332,其他调用!$AG$5:$AG$364,0),0),1)*INDEX(其他调用!AC$5:AC$404,MATCH($K332,其他调用!$X$5:$X$404,0),0)</f>
        <v>51811.365092143511</v>
      </c>
      <c r="AV332" s="14">
        <f>IF(OR(AV$5="大R",AV$5="超R"),MAX(INDEX(其他调用!$H$5:$L$404,MATCH($K332,其他调用!$B$5:$B$404,0),MATCH(AV$5,其他调用!$H$4:$L$4,0))*120*0.85,2),INDEX(其他调用!$H$5:$L$404,MATCH($K332,其他调用!$B$5:$B$404,0),MATCH(AV$5,其他调用!$H$4:$L$4,0))*120*0.85)</f>
        <v>48.921801254999991</v>
      </c>
      <c r="AW332" s="14">
        <f>IF(OR(AW$5="大R",AW$5="超R"),MAX(INDEX(其他调用!$H$5:$L$404,MATCH($K332,其他调用!$B$5:$B$404,0),MATCH(AW$5,其他调用!$H$4:$L$4,0))*120*0.85,2),INDEX(其他调用!$H$5:$L$404,MATCH($K332,其他调用!$B$5:$B$404,0),MATCH(AW$5,其他调用!$H$4:$L$4,0))*120*0.85)</f>
        <v>48.237344010638395</v>
      </c>
      <c r="AX332" s="14">
        <f>IF(OR(AX$5="大R",AX$5="超R"),MAX(INDEX(其他调用!$H$5:$L$404,MATCH($K332,其他调用!$B$5:$B$404,0),MATCH(AX$5,其他调用!$H$4:$L$4,0))*120*0.85,2),INDEX(其他调用!$H$5:$L$404,MATCH($K332,其他调用!$B$5:$B$404,0),MATCH(AX$5,其他调用!$H$4:$L$4,0))*120*0.85)</f>
        <v>3.9376284143615998</v>
      </c>
      <c r="AY332" s="14">
        <f>IF(OR(AY$5="大R",AY$5="超R"),MAX(INDEX(其他调用!$H$5:$L$404,MATCH($K332,其他调用!$B$5:$B$404,0),MATCH(AY$5,其他调用!$H$4:$L$4,0))*120*0.85,2),INDEX(其他调用!$H$5:$L$404,MATCH($K332,其他调用!$B$5:$B$404,0),MATCH(AY$5,其他调用!$H$4:$L$4,0))*120*0.85)</f>
        <v>2</v>
      </c>
      <c r="AZ332" s="14">
        <f>IF(OR(AZ$5="大R",AZ$5="超R"),MAX(INDEX(其他调用!$H$5:$L$404,MATCH($K332,其他调用!$B$5:$B$404,0),MATCH(AZ$5,其他调用!$H$4:$L$4,0))*120*0.85,2),INDEX(其他调用!$H$5:$L$404,MATCH($K332,其他调用!$B$5:$B$404,0),MATCH(AZ$5,其他调用!$H$4:$L$4,0))*120*0.85)</f>
        <v>2</v>
      </c>
      <c r="BA332" s="14">
        <f>INDEX(其他调用!$H$5:$L$404,MATCH($K332,其他调用!$B$5:$B$404,0),MATCH(BA$5,其他调用!$H$4:$L$4,0))*INDEX(其他调用!$M$5:$M$404,MATCH($K332,其他调用!$B$5:$B$404,0))*0.6</f>
        <v>28.777530149999997</v>
      </c>
      <c r="BB332" s="14">
        <f>INDEX(其他调用!$H$5:$L$404,MATCH($K332,其他调用!$B$5:$B$404,0),MATCH(BB$5,其他调用!$H$4:$L$4,0))*INDEX(其他调用!$M$5:$M$404,MATCH($K332,其他调用!$B$5:$B$404,0))*0.6</f>
        <v>28.374908241551999</v>
      </c>
      <c r="BC332" s="14">
        <f>INDEX(其他调用!$H$5:$L$404,MATCH($K332,其他调用!$B$5:$B$404,0),MATCH(BC$5,其他调用!$H$4:$L$4,0))*INDEX(其他调用!$M$5:$M$404,MATCH($K332,其他调用!$B$5:$B$404,0))*0.6</f>
        <v>2.3162520084480001</v>
      </c>
      <c r="BD332" s="14">
        <f>INDEX(其他调用!$H$5:$L$404,MATCH($K332,其他调用!$B$5:$B$404,0),MATCH(BD$5,其他调用!$H$4:$L$4,0))*INDEX(其他调用!$M$5:$M$404,MATCH($K332,其他调用!$B$5:$B$404,0))*0.6</f>
        <v>0.4120776000000001</v>
      </c>
      <c r="BE332" s="14">
        <f>INDEX(其他调用!$H$5:$L$404,MATCH($K332,其他调用!$B$5:$B$404,0),MATCH(BE$5,其他调用!$H$4:$L$4,0))*INDEX(其他调用!$M$5:$M$404,MATCH($K332,其他调用!$B$5:$B$404,0))*0.6</f>
        <v>0.11923199999999998</v>
      </c>
      <c r="BF332" s="14">
        <f>IF(OR(BF$5="大R",BF$5="超R"),0,INDEX(其他调用!$H$5:$L$404,MATCH($K332,其他调用!$B$5:$B$404,0),MATCH(BF$5,其他调用!$H$4:$L$4,0))*50*0.4)</f>
        <v>9.5925100500000013</v>
      </c>
      <c r="BG332" s="14">
        <f>IF(OR(BG$5="大R",BG$5="超R"),0,INDEX(其他调用!$H$5:$L$404,MATCH($K332,其他调用!$B$5:$B$404,0),MATCH(BG$5,其他调用!$H$4:$L$4,0))*50*0.4)</f>
        <v>9.4583027471839998</v>
      </c>
      <c r="BH332" s="14">
        <f>IF(OR(BH$5="大R",BH$5="超R"),0,INDEX(其他调用!$H$5:$L$404,MATCH($K332,其他调用!$B$5:$B$404,0),MATCH(BH$5,其他调用!$H$4:$L$4,0))*50*0.4)</f>
        <v>0.77208400281600009</v>
      </c>
      <c r="BI332" s="14">
        <f>IF(OR(BI$5="大R",BI$5="超R"),0,INDEX(其他调用!$H$5:$L$404,MATCH($K332,其他调用!$B$5:$B$404,0),MATCH(BI$5,其他调用!$H$4:$L$4,0))*50*0.4)</f>
        <v>0</v>
      </c>
      <c r="BJ332" s="14">
        <f>IF(OR(BJ$5="大R",BJ$5="超R"),0,INDEX(其他调用!$H$5:$L$404,MATCH($K332,其他调用!$B$5:$B$404,0),MATCH(BJ$5,其他调用!$H$4:$L$4,0))*50*0.4)</f>
        <v>0</v>
      </c>
      <c r="BL332" s="14">
        <f t="shared" si="628"/>
        <v>327</v>
      </c>
      <c r="BM332" s="14">
        <f t="shared" si="535"/>
        <v>96</v>
      </c>
      <c r="BN332" s="14">
        <f>('疲劳值&amp;地图信息'!$S$10*'疲劳值&amp;地图信息'!$R$10+'疲劳值&amp;地图信息'!$S$11*'疲劳值&amp;地图信息'!$R$11+'疲劳值&amp;地图信息'!$S$12*'疲劳值&amp;地图信息'!$R$12+(BM332-'疲劳值&amp;地图信息'!$S$12-'疲劳值&amp;地图信息'!$S$11-'疲劳值&amp;地图信息'!$S$10)*'疲劳值&amp;地图信息'!$R$13)/BM332</f>
        <v>51.371477246638619</v>
      </c>
      <c r="BO332" s="14">
        <f>INDEX(其他调用!$M$5:$M$404,MATCH(BL332,其他调用!$B$5:$B$404,0))*0.6</f>
        <v>60</v>
      </c>
      <c r="BP332" s="14">
        <f>IF(BO332&gt;SUM('疲劳值&amp;地图信息'!$S$10:$S$12),('疲劳值&amp;地图信息'!$S$10*'疲劳值&amp;地图信息'!$R$10+'疲劳值&amp;地图信息'!$S$11*'疲劳值&amp;地图信息'!$R$11+'疲劳值&amp;地图信息'!$S$12*'疲劳值&amp;地图信息'!$R$12+(BO332-'疲劳值&amp;地图信息'!$S$12-'疲劳值&amp;地图信息'!$S$11-'疲劳值&amp;地图信息'!$S$10)*'疲劳值&amp;地图信息'!$R$13)/BO332,('疲劳值&amp;地图信息'!$S$10*'疲劳值&amp;地图信息'!$R$10+'疲劳值&amp;地图信息'!$S$11*'疲劳值&amp;地图信息'!$R$11+'疲劳值&amp;地图信息'!$S$12*'疲劳值&amp;地图信息'!$R$12+(BO332-'疲劳值&amp;地图信息'!$S$12-'疲劳值&amp;地图信息'!$S$11-'疲劳值&amp;地图信息'!$S$10)*'疲劳值&amp;地图信息'!$R$13)/BO332)</f>
        <v>44.158136341605953</v>
      </c>
      <c r="BQ332" s="14">
        <f t="shared" si="629"/>
        <v>20</v>
      </c>
      <c r="BR332" s="14">
        <f>('疲劳值&amp;地图信息'!$S$10*'疲劳值&amp;地图信息'!$R$10+($BQ332-'疲劳值&amp;地图信息'!$S$10)*'疲劳值&amp;地图信息'!$R$11)/$BQ332</f>
        <v>32.067203015074995</v>
      </c>
      <c r="CF332" s="14">
        <v>327</v>
      </c>
      <c r="CG332" s="51">
        <f t="shared" si="536"/>
        <v>16605</v>
      </c>
      <c r="CH332" s="51">
        <f t="shared" si="537"/>
        <v>1060</v>
      </c>
      <c r="CI332" s="51">
        <f>INT(SUMPRODUCT($N332:$R332,$BA332:$BE332)/SUM($BA332:$BE332)/10000*$BX$7*$BZ$34/'疲劳值&amp;地图信息'!$R$10*$BY$53)</f>
        <v>3376</v>
      </c>
      <c r="CJ332" s="50">
        <f t="shared" si="538"/>
        <v>0.78917351836889882</v>
      </c>
      <c r="CK332" s="50">
        <f t="shared" si="539"/>
        <v>5.0377833753148617E-2</v>
      </c>
      <c r="CL332" s="50">
        <f t="shared" si="540"/>
        <v>0.16044864787795257</v>
      </c>
      <c r="CM332" s="14">
        <f t="shared" si="541"/>
        <v>18210</v>
      </c>
      <c r="CN332" s="14">
        <f t="shared" si="542"/>
        <v>1837</v>
      </c>
      <c r="CO332" s="14">
        <f>INT(SUMPRODUCT($U332:$Y332,$BA332:$BE332)/SUM($BA332:$BE332)/10000*$BX$7*$BZ$34/'疲劳值&amp;地图信息'!$R$10*$BY$54)</f>
        <v>6477</v>
      </c>
      <c r="CP332" s="50">
        <f t="shared" si="543"/>
        <v>0.68654803197104508</v>
      </c>
      <c r="CQ332" s="50">
        <f t="shared" si="544"/>
        <v>6.9258030462976933E-2</v>
      </c>
      <c r="CR332" s="50">
        <f t="shared" si="545"/>
        <v>0.24419393756597799</v>
      </c>
      <c r="CS332" s="14">
        <f t="shared" si="546"/>
        <v>19845</v>
      </c>
      <c r="CT332" s="14">
        <f t="shared" si="547"/>
        <v>3257</v>
      </c>
      <c r="CU332" s="14">
        <f>INT(SUMPRODUCT($AB332:$AF332,$BA332:$BE332)/SUM($BA332:$BE332)/10000*$BX$7*$BZ$34/'疲劳值&amp;地图信息'!$R$10*$BY$55)</f>
        <v>8805</v>
      </c>
      <c r="CV332" s="50">
        <f t="shared" si="548"/>
        <v>0.62196383238787722</v>
      </c>
      <c r="CW332" s="50">
        <f t="shared" si="549"/>
        <v>0.10207791393738051</v>
      </c>
      <c r="CX332" s="50">
        <f t="shared" si="550"/>
        <v>0.27595825367474219</v>
      </c>
      <c r="CY332" s="14">
        <f t="shared" si="551"/>
        <v>23755</v>
      </c>
      <c r="CZ332" s="14">
        <f t="shared" si="552"/>
        <v>8675</v>
      </c>
      <c r="DA332" s="14">
        <f>INT(SUMPRODUCT($AI332:$AM332,$BA332:$BE332)/SUM($BA332:$BE332)/10000*$BX$7*$BZ$34/'疲劳值&amp;地图信息'!$R$10*$BY$56)</f>
        <v>13281</v>
      </c>
      <c r="DB332" s="50">
        <f t="shared" si="553"/>
        <v>0.51967797685458639</v>
      </c>
      <c r="DC332" s="50">
        <f t="shared" si="554"/>
        <v>0.18977926538469952</v>
      </c>
      <c r="DD332" s="50">
        <f t="shared" si="555"/>
        <v>0.29054275776071403</v>
      </c>
      <c r="DE332" s="14">
        <f t="shared" si="556"/>
        <v>24575</v>
      </c>
      <c r="DF332" s="14">
        <f t="shared" si="557"/>
        <v>15245</v>
      </c>
      <c r="DG332" s="14">
        <f>INT(SUMPRODUCT($AP332:$AT332,$BA332:$BE332)/SUM($BA332:$BE332)/10000*$BX$7*$BZ$34/'疲劳值&amp;地图信息'!$R$10*$BY$57)</f>
        <v>17726</v>
      </c>
      <c r="DH332" s="50">
        <f t="shared" si="558"/>
        <v>0.4270496646161332</v>
      </c>
      <c r="DI332" s="50">
        <f t="shared" si="559"/>
        <v>0.26491849998262262</v>
      </c>
      <c r="DJ332" s="50">
        <f t="shared" si="560"/>
        <v>0.30803183540124424</v>
      </c>
      <c r="DL332" s="14">
        <f t="shared" si="526"/>
        <v>21041</v>
      </c>
      <c r="DM332" s="14">
        <f t="shared" si="527"/>
        <v>26524</v>
      </c>
      <c r="DN332" s="14">
        <f t="shared" si="528"/>
        <v>31907</v>
      </c>
      <c r="DO332" s="14">
        <f t="shared" si="529"/>
        <v>45711</v>
      </c>
      <c r="DP332" s="14">
        <f t="shared" si="530"/>
        <v>57546</v>
      </c>
      <c r="DQ332" s="14">
        <f t="shared" si="531"/>
        <v>1457726</v>
      </c>
      <c r="DT332" s="14">
        <f t="shared" si="630"/>
        <v>235575</v>
      </c>
      <c r="DU332" s="50">
        <f t="shared" si="532"/>
        <v>0.13912175094681925</v>
      </c>
      <c r="DW332" s="14">
        <f t="shared" si="561"/>
        <v>1693301</v>
      </c>
      <c r="EB332" s="14">
        <v>327</v>
      </c>
      <c r="EC332" s="51">
        <f t="shared" si="562"/>
        <v>27676</v>
      </c>
      <c r="ED332" s="51">
        <f t="shared" si="563"/>
        <v>1767</v>
      </c>
      <c r="EE332" s="51">
        <f>INT(SUMPRODUCT($N332:$R332,$BF332:$BJ332)/SUM($BF332:$BJ332)/10000*$BX$7*$BZ$46/'疲劳值&amp;地图信息'!$R$10*$BY$53)</f>
        <v>453</v>
      </c>
      <c r="EF332" s="50">
        <f t="shared" si="564"/>
        <v>0.92574257425742579</v>
      </c>
      <c r="EG332" s="50">
        <f t="shared" si="565"/>
        <v>5.9104896976184103E-2</v>
      </c>
      <c r="EH332" s="50">
        <f t="shared" si="566"/>
        <v>1.5152528766390153E-2</v>
      </c>
      <c r="EI332" s="51">
        <f t="shared" si="567"/>
        <v>30351</v>
      </c>
      <c r="EJ332" s="51">
        <f t="shared" si="568"/>
        <v>3062</v>
      </c>
      <c r="EK332" s="14">
        <f>INT(SUMPRODUCT($U332:$Y332,$BF332:$BJ332)/SUM($BF332:$BJ332)/10000*$BX$7*$BZ$46/'疲劳值&amp;地图信息'!$R$10*$BY$54)</f>
        <v>869</v>
      </c>
      <c r="EL332" s="50">
        <f t="shared" si="569"/>
        <v>0.88533341111953801</v>
      </c>
      <c r="EM332" s="50">
        <f t="shared" si="570"/>
        <v>8.9318009451023861E-2</v>
      </c>
      <c r="EN332" s="50">
        <f t="shared" si="571"/>
        <v>2.5348579429438189E-2</v>
      </c>
      <c r="EO332" s="51">
        <f t="shared" si="572"/>
        <v>33075</v>
      </c>
      <c r="EP332" s="51">
        <f t="shared" si="573"/>
        <v>5429</v>
      </c>
      <c r="EQ332" s="14">
        <f>INT(SUMPRODUCT($AB332:$AF332,$BF332:$BJ332)/SUM($BF332:$BJ332)/10000*$BX$7*$BZ$46/'疲劳值&amp;地图信息'!$R$10*$BY$55)</f>
        <v>1180</v>
      </c>
      <c r="ER332" s="50">
        <f t="shared" si="574"/>
        <v>0.83345932869670392</v>
      </c>
      <c r="ES332" s="50">
        <f t="shared" si="575"/>
        <v>0.13680576554782783</v>
      </c>
      <c r="ET332" s="50">
        <f t="shared" si="576"/>
        <v>2.9734905755468197E-2</v>
      </c>
      <c r="EU332" s="51">
        <f t="shared" si="577"/>
        <v>39591</v>
      </c>
      <c r="EV332" s="51">
        <f t="shared" si="578"/>
        <v>14459</v>
      </c>
      <c r="EW332" s="14">
        <f>INT(SUMPRODUCT($AI332:$AM332,$BF332:$BJ332)/SUM($BF332:$BJ332)/10000*$BX$7*$BZ$46/'疲劳值&amp;地图信息'!$R$10*$BY$56)</f>
        <v>1770</v>
      </c>
      <c r="EX332" s="50">
        <f t="shared" si="579"/>
        <v>0.70926191329272659</v>
      </c>
      <c r="EY332" s="50">
        <f t="shared" si="580"/>
        <v>0.2590290218559656</v>
      </c>
      <c r="EZ332" s="50">
        <f t="shared" si="581"/>
        <v>3.1709064851307776E-2</v>
      </c>
      <c r="FA332" s="51">
        <f t="shared" si="582"/>
        <v>40959</v>
      </c>
      <c r="FB332" s="51">
        <f t="shared" si="583"/>
        <v>25408</v>
      </c>
      <c r="FC332" s="14">
        <f>INT(SUMPRODUCT($AP332:$AT332,$BF332:$BJ332)/SUM($BF332:$BJ332)/10000*$BX$7*$BZ$46/'疲劳值&amp;地图信息'!$R$10*$BY$57)</f>
        <v>2361</v>
      </c>
      <c r="FD332" s="50">
        <f t="shared" si="584"/>
        <v>0.59595797928064254</v>
      </c>
      <c r="FE332" s="50">
        <f t="shared" si="585"/>
        <v>0.36968920963799323</v>
      </c>
      <c r="FF332" s="50">
        <f t="shared" si="586"/>
        <v>3.4352811081364218E-2</v>
      </c>
      <c r="FH332" s="14">
        <f t="shared" si="587"/>
        <v>29896</v>
      </c>
      <c r="FI332" s="14">
        <f t="shared" si="588"/>
        <v>34282</v>
      </c>
      <c r="FJ332" s="14">
        <f t="shared" si="589"/>
        <v>39684</v>
      </c>
      <c r="FK332" s="14">
        <f t="shared" si="590"/>
        <v>55820</v>
      </c>
      <c r="FL332" s="14">
        <f t="shared" si="591"/>
        <v>68728</v>
      </c>
      <c r="FM332" s="14">
        <f t="shared" si="592"/>
        <v>3521595</v>
      </c>
      <c r="FP332" s="14">
        <f t="shared" si="593"/>
        <v>334150</v>
      </c>
      <c r="FQ332" s="50">
        <f t="shared" si="533"/>
        <v>8.6662888754313369E-2</v>
      </c>
      <c r="FS332" s="14">
        <f t="shared" si="594"/>
        <v>3855745</v>
      </c>
      <c r="FX332" s="14">
        <v>327</v>
      </c>
      <c r="FY332" s="51">
        <f t="shared" si="595"/>
        <v>38746</v>
      </c>
      <c r="FZ332" s="51">
        <f t="shared" si="596"/>
        <v>1767</v>
      </c>
      <c r="GA332" s="51">
        <f>INT(SUMPRODUCT($N332:$R332,$BF332:$BJ332)/SUM($BF332:$BJ332)/10000*$BX$7*$BZ$46/'疲劳值&amp;地图信息'!$R$10*$BY$53)</f>
        <v>453</v>
      </c>
      <c r="GB332" s="50">
        <f t="shared" si="597"/>
        <v>0.94580871942586531</v>
      </c>
      <c r="GC332" s="50">
        <f t="shared" si="598"/>
        <v>4.3133330078601768E-2</v>
      </c>
      <c r="GD332" s="50">
        <f t="shared" si="599"/>
        <v>1.1057950495532881E-2</v>
      </c>
      <c r="GE332" s="51">
        <f t="shared" si="600"/>
        <v>42492</v>
      </c>
      <c r="GF332" s="51">
        <f t="shared" si="601"/>
        <v>3062</v>
      </c>
      <c r="GG332" s="14">
        <f>INT(SUMPRODUCT($U332:$Y332,$BF332:$BJ332)/SUM($BF332:$BJ332)/10000*$BX$7*$BZ$46/'疲劳值&amp;地图信息'!$R$10*$BY$54)</f>
        <v>869</v>
      </c>
      <c r="GH332" s="50">
        <f t="shared" si="602"/>
        <v>0.91532214634986964</v>
      </c>
      <c r="GI332" s="50">
        <f t="shared" si="603"/>
        <v>6.5958684272881971E-2</v>
      </c>
      <c r="GJ332" s="50">
        <f t="shared" si="604"/>
        <v>1.8719169377248348E-2</v>
      </c>
      <c r="GK332" s="51">
        <f t="shared" si="605"/>
        <v>46305</v>
      </c>
      <c r="GL332" s="51">
        <f t="shared" si="606"/>
        <v>5429</v>
      </c>
      <c r="GM332" s="14">
        <f>INT(SUMPRODUCT($AB332:$AF332,$BF332:$BJ332)/SUM($BF332:$BJ332)/10000*$BX$7*$BZ$46/'疲劳值&amp;地图信息'!$R$10*$BY$55)</f>
        <v>1180</v>
      </c>
      <c r="GN332" s="50">
        <f t="shared" si="607"/>
        <v>0.87509921759836717</v>
      </c>
      <c r="GO332" s="50">
        <f t="shared" si="608"/>
        <v>0.10260044600672789</v>
      </c>
      <c r="GP332" s="50">
        <f t="shared" si="609"/>
        <v>2.2300336394904939E-2</v>
      </c>
      <c r="GQ332" s="51">
        <f t="shared" si="610"/>
        <v>55428</v>
      </c>
      <c r="GR332" s="51">
        <f t="shared" si="611"/>
        <v>14459</v>
      </c>
      <c r="GS332" s="14">
        <f>INT(SUMPRODUCT($AI332:$AM332,$BF332:$BJ332)/SUM($BF332:$BJ332)/10000*$BX$7*$BZ$46/'疲劳值&amp;地图信息'!$R$10*$BY$56)</f>
        <v>1770</v>
      </c>
      <c r="GT332" s="50">
        <f t="shared" si="612"/>
        <v>0.77351828851333437</v>
      </c>
      <c r="GU332" s="50">
        <f t="shared" si="613"/>
        <v>0.20178070530443643</v>
      </c>
      <c r="GV332" s="50">
        <f t="shared" si="614"/>
        <v>2.4701006182229229E-2</v>
      </c>
      <c r="GW332" s="51">
        <f t="shared" si="615"/>
        <v>57343</v>
      </c>
      <c r="GX332" s="51">
        <f t="shared" si="616"/>
        <v>25408</v>
      </c>
      <c r="GY332" s="14">
        <f>INT(SUMPRODUCT($AP332:$AT332,$BF332:$BJ332)/SUM($BF332:$BJ332)/10000*$BX$7*$BZ$46/'疲劳值&amp;地图信息'!$R$10*$BY$57)</f>
        <v>2361</v>
      </c>
      <c r="GZ332" s="50">
        <f t="shared" si="617"/>
        <v>0.6737357834382931</v>
      </c>
      <c r="HA332" s="50">
        <f t="shared" si="618"/>
        <v>0.29852429739637182</v>
      </c>
      <c r="HB332" s="50">
        <f t="shared" si="619"/>
        <v>2.7739919165335088E-2</v>
      </c>
      <c r="HD332" s="14">
        <f t="shared" si="620"/>
        <v>40966</v>
      </c>
      <c r="HE332" s="14">
        <f t="shared" si="621"/>
        <v>46423</v>
      </c>
      <c r="HF332" s="14">
        <f t="shared" si="622"/>
        <v>52914</v>
      </c>
      <c r="HG332" s="14">
        <f t="shared" si="623"/>
        <v>71657</v>
      </c>
      <c r="HH332" s="14">
        <f t="shared" si="624"/>
        <v>85112</v>
      </c>
      <c r="HI332" s="14">
        <f t="shared" si="625"/>
        <v>4765346</v>
      </c>
      <c r="HL332" s="14">
        <f t="shared" si="626"/>
        <v>430050</v>
      </c>
      <c r="HM332" s="50">
        <f t="shared" si="534"/>
        <v>8.2775210975255781E-2</v>
      </c>
      <c r="HO332" s="14">
        <f t="shared" si="627"/>
        <v>5195396</v>
      </c>
    </row>
    <row r="333" spans="11:223" x14ac:dyDescent="0.2">
      <c r="K333" s="14">
        <v>328</v>
      </c>
      <c r="L333" s="12">
        <f>求节点(节奏总纲!D$4:D$163,标准城池设计!AB$4:AB$163,$K333)*求节点(节奏总纲!D$4:D$163,攻城基础信息!$AC$5:$AC$164,$K333)</f>
        <v>815871.71145005606</v>
      </c>
      <c r="M333" s="12">
        <f>INDEX(其他调用!$AA$5:$AA$404,MATCH(K333,其他调用!$X$5:$X$404,0))*MIN(INDEX(其他调用!$AH$5:$AH$364,MATCH('征服点（新）'!K333,其他调用!$AG$5:$AG$364,0),1)/INDEX(其他调用!$AJ$5:$AJ$364,MATCH(K333,其他调用!$AG$5:$AG$364,0),0),5)*求节点(节奏总纲!D$4:D$163,攻城基础信息!$AC$5:$AC$164,$K333)</f>
        <v>51991.701705616681</v>
      </c>
      <c r="N333" s="12">
        <f>MIN(INDEX(其他调用!$AH$5:$AH$364,MATCH($K333,其他调用!$AG$5:$AG$364,0),1)/INDEX(其他调用!AH$5:AH$364,MATCH($K333,其他调用!$AG$5:$AG$364,0),0),1)*INDEX(其他调用!Y$5:Y$404,MATCH($K333,其他调用!$X$5:$X$404,0),0)</f>
        <v>42989.773168884691</v>
      </c>
      <c r="O333" s="12">
        <f>MIN(INDEX(其他调用!$AH$5:$AH$364,MATCH($K333,其他调用!$AG$5:$AG$364,0),1)/INDEX(其他调用!AI$5:AI$364,MATCH($K333,其他调用!$AG$5:$AG$364,0),0),1)*INDEX(其他调用!Z$5:Z$404,MATCH($K333,其他调用!$X$5:$X$404,0),0)</f>
        <v>25467.362006911342</v>
      </c>
      <c r="P333" s="12">
        <f>MIN(INDEX(其他调用!$AH$5:$AH$364,MATCH($K333,其他调用!$AG$5:$AG$364,0),1)/INDEX(其他调用!AJ$5:AJ$364,MATCH($K333,其他调用!$AG$5:$AG$364,0),0),1)*INDEX(其他调用!AA$5:AA$404,MATCH($K333,其他调用!$X$5:$X$404,0),0)</f>
        <v>14854.771915890489</v>
      </c>
      <c r="Q333" s="12">
        <f>MIN(INDEX(其他调用!$AH$5:$AH$364,MATCH($K333,其他调用!$AG$5:$AG$364,0),1)/INDEX(其他调用!AK$5:AK$364,MATCH($K333,其他调用!$AG$5:$AG$364,0),0),1)*INDEX(其他调用!AB$5:AB$404,MATCH($K333,其他调用!$X$5:$X$404,0),0)</f>
        <v>5862.2730980049337</v>
      </c>
      <c r="R333" s="12">
        <f>MIN(INDEX(其他调用!$AH$5:$AH$364,MATCH($K333,其他调用!$AG$5:$AG$364,0),1)/INDEX(其他调用!AL$5:AL$364,MATCH($K333,其他调用!$AG$5:$AG$364,0),0),1)*INDEX(其他调用!AC$5:AC$404,MATCH($K333,其他调用!$X$5:$X$404,0),0)</f>
        <v>3612.860338148937</v>
      </c>
      <c r="S333" s="12">
        <f>求节点(节奏总纲!D$4:D$163,标准城池设计!AC$4:AC$163,$K333)*求节点(节奏总纲!D$4:D$163,攻城基础信息!$AD$5:$AD$164,$K333)</f>
        <v>894730.28251719743</v>
      </c>
      <c r="T333" s="12">
        <f>INDEX(其他调用!$AA$5:$AA$404,MATCH($K333,其他调用!$X$5:$X$404,0))*MIN(INDEX(其他调用!AI$5:AI$364,MATCH($K333,其他调用!$AG$5:$AG$364,0),1)/INDEX(其他调用!$AJ$5:$AJ$364,MATCH($K333,其他调用!$AG$5:$AG$364,0),0),5)*求节点(节奏总纲!D$4:D$163,攻城基础信息!$AD$5:$AD$164,$K333)</f>
        <v>90130.890364797917</v>
      </c>
      <c r="U333" s="12">
        <f>MIN(INDEX(其他调用!$AI$5:$AI$364,MATCH($K333,其他调用!$AG$5:$AG$364,0),1)/INDEX(其他调用!AH$5:AH$364,MATCH($K333,其他调用!$AG$5:$AG$364,0),0),1)*INDEX(其他调用!Y$5:Y$404,MATCH($K333,其他调用!$X$5:$X$404,0),0)</f>
        <v>42989.773168884691</v>
      </c>
      <c r="V333" s="12">
        <f>MIN(INDEX(其他调用!$AI$5:$AI$364,MATCH($K333,其他调用!$AG$5:$AG$364,0),1)/INDEX(其他调用!AI$5:AI$364,MATCH($K333,其他调用!$AG$5:$AG$364,0),0),1)*INDEX(其他调用!Z$5:Z$404,MATCH($K333,其他调用!$X$5:$X$404,0),0)</f>
        <v>44149.276473433332</v>
      </c>
      <c r="W333" s="12">
        <f>MIN(INDEX(其他调用!$AI$5:$AI$364,MATCH($K333,其他调用!$AG$5:$AG$364,0),1)/INDEX(其他调用!AJ$5:AJ$364,MATCH($K333,其他调用!$AG$5:$AG$364,0),0),1)*INDEX(其他调用!AA$5:AA$404,MATCH($K333,其他调用!$X$5:$X$404,0),0)</f>
        <v>25751.682961370851</v>
      </c>
      <c r="X333" s="12">
        <f>MIN(INDEX(其他调用!$AI$5:$AI$364,MATCH($K333,其他调用!$AG$5:$AG$364,0),1)/INDEX(其他调用!AK$5:AK$364,MATCH($K333,其他调用!$AG$5:$AG$364,0),0),1)*INDEX(其他调用!AB$5:AB$404,MATCH($K333,其他调用!$X$5:$X$404,0),0)</f>
        <v>10162.619736443568</v>
      </c>
      <c r="Y333" s="12">
        <f>MIN(INDEX(其他调用!$AI$5:$AI$364,MATCH($K333,其他调用!$AG$5:$AG$364,0),1)/INDEX(其他调用!AL$5:AL$364,MATCH($K333,其他调用!$AG$5:$AG$364,0),0),1)*INDEX(其他调用!AC$5:AC$404,MATCH($K333,其他调用!$X$5:$X$404,0),0)</f>
        <v>6263.1210050555173</v>
      </c>
      <c r="Z333" s="12">
        <f>求节点(节奏总纲!D$4:D$163,标准城池设计!AD$4:AD$163,$K333)*求节点(节奏总纲!D$4:D$163,攻城基础信息!$AE$5:$AE$164,$K333)</f>
        <v>975001.57969421404</v>
      </c>
      <c r="AA333" s="12">
        <f>INDEX(其他调用!$AA$5:$AA$404,MATCH($K333,其他调用!$X$5:$X$404,0))*MIN(INDEX(其他调用!AJ$5:AJ$364,MATCH($K333,其他调用!$AG$5:$AG$364,0),1)/INDEX(其他调用!$AJ$5:$AJ$364,MATCH($K333,其他调用!$AG$5:$AG$364,0),0),5)*求节点(节奏总纲!D$4:D$163,攻城基础信息!$AE$5:$AE$164,$K333)</f>
        <v>159890.03688169969</v>
      </c>
      <c r="AB333" s="12">
        <f>MIN(INDEX(其他调用!$AJ$5:$AJ$364,MATCH($K333,其他调用!$AG$5:$AG$364,0),1)/INDEX(其他调用!AH$5:AH$364,MATCH($K333,其他调用!$AG$5:$AG$364,0),0),1)*INDEX(其他调用!Y$5:Y$404,MATCH($K333,其他调用!$X$5:$X$404,0),0)</f>
        <v>42989.773168884691</v>
      </c>
      <c r="AC333" s="12">
        <f>MIN(INDEX(其他调用!$AJ$5:$AJ$364,MATCH($K333,其他调用!$AG$5:$AG$364,0),1)/INDEX(其他调用!AI$5:AI$364,MATCH($K333,其他调用!$AG$5:$AG$364,0),0),1)*INDEX(其他调用!Z$5:Z$404,MATCH($K333,其他调用!$X$5:$X$404,0),0)</f>
        <v>44149.276473433332</v>
      </c>
      <c r="AD333" s="12">
        <f>MIN(INDEX(其他调用!$AJ$5:$AJ$364,MATCH($K333,其他调用!$AG$5:$AG$364,0),1)/INDEX(其他调用!AJ$5:AJ$364,MATCH($K333,其他调用!$AG$5:$AG$364,0),0),1)*INDEX(其他调用!AA$5:AA$404,MATCH($K333,其他调用!$X$5:$X$404,0),0)</f>
        <v>45682.867680485651</v>
      </c>
      <c r="AE333" s="12">
        <f>MIN(INDEX(其他调用!$AJ$5:$AJ$364,MATCH($K333,其他调用!$AG$5:$AG$364,0),1)/INDEX(其他调用!AK$5:AK$364,MATCH($K333,其他调用!$AG$5:$AG$364,0),0),1)*INDEX(其他调用!AB$5:AB$404,MATCH($K333,其他调用!$X$5:$X$404,0),0)</f>
        <v>18028.243567748923</v>
      </c>
      <c r="AF333" s="12">
        <f>MIN(INDEX(其他调用!$AJ$5:$AJ$364,MATCH($K333,其他调用!$AG$5:$AG$364,0),1)/INDEX(其他调用!AL$5:AL$364,MATCH($K333,其他调用!$AG$5:$AG$364,0),0),1)*INDEX(其他调用!AC$5:AC$404,MATCH($K333,其他调用!$X$5:$X$404,0),0)</f>
        <v>11110.626383915007</v>
      </c>
      <c r="AG333" s="12">
        <f>求节点(节奏总纲!D$4:D$163,标准城池设计!AE$4:AE$163,$K333)*求节点(节奏总纲!D$4:D$163,攻城基础信息!$AF$5:$AF$164,$K333)</f>
        <v>1166687.0890315336</v>
      </c>
      <c r="AH333" s="12">
        <f>INDEX(其他调用!$AA$5:$AA$404,MATCH($K333,其他调用!$X$5:$X$404,0))*MIN(INDEX(其他调用!AK$5:AK$364,MATCH($K333,其他调用!$AG$5:$AG$364,0),1)/INDEX(其他调用!$AJ$5:$AJ$364,MATCH($K333,其他调用!$AG$5:$AG$364,0),0),5)*求节点(节奏总纲!D$4:D$163,攻城基础信息!$AF$5:$AF$164,$K333)</f>
        <v>425136.48394408438</v>
      </c>
      <c r="AI333" s="12">
        <f>MIN(INDEX(其他调用!$AK$5:$AK$364,MATCH($K333,其他调用!$AG$5:$AG$364,0),1)/INDEX(其他调用!AH$5:AH$364,MATCH($K333,其他调用!$AG$5:$AG$364,0),0),1)*INDEX(其他调用!Y$5:Y$404,MATCH($K333,其他调用!$X$5:$X$404,0),0)</f>
        <v>42989.773168884691</v>
      </c>
      <c r="AJ333" s="12">
        <f>MIN(INDEX(其他调用!$AK$5:$AK$364,MATCH($K333,其他调用!$AG$5:$AG$364,0),1)/INDEX(其他调用!AI$5:AI$364,MATCH($K333,其他调用!$AG$5:$AG$364,0),0),1)*INDEX(其他调用!Z$5:Z$404,MATCH($K333,其他调用!$X$5:$X$404,0),0)</f>
        <v>44149.276473433332</v>
      </c>
      <c r="AK333" s="12">
        <f>MIN(INDEX(其他调用!$AK$5:$AK$364,MATCH($K333,其他调用!$AG$5:$AG$364,0),1)/INDEX(其他调用!AJ$5:AJ$364,MATCH($K333,其他调用!$AG$5:$AG$364,0),0),1)*INDEX(其他调用!AA$5:AA$404,MATCH($K333,其他调用!$X$5:$X$404,0),0)</f>
        <v>45682.867680485651</v>
      </c>
      <c r="AL333" s="12">
        <f>MIN(INDEX(其他调用!$AK$5:$AK$364,MATCH($K333,其他调用!$AG$5:$AG$364,0),1)/INDEX(其他调用!AK$5:AK$364,MATCH($K333,其他调用!$AG$5:$AG$364,0),0),1)*INDEX(其他调用!AB$5:AB$404,MATCH($K333,其他调用!$X$5:$X$404,0),0)</f>
        <v>47935.845356963415</v>
      </c>
      <c r="AM333" s="12">
        <f>MIN(INDEX(其他调用!$AK$5:$AK$364,MATCH($K333,其他调用!$AG$5:$AG$364,0),1)/INDEX(其他调用!AL$5:AL$364,MATCH($K333,其他调用!$AG$5:$AG$364,0),0),1)*INDEX(其他调用!AC$5:AC$404,MATCH($K333,其他调用!$X$5:$X$404,0),0)</f>
        <v>29542.382548631696</v>
      </c>
      <c r="AN333" s="12">
        <f>求节点(节奏总纲!D$4:D$163,标准城池设计!AF$4:AF$163,$K333)*求节点(节奏总纲!D$4:D$163,攻城基础信息!$AG$5:$AG$164,$K333)</f>
        <v>1206681.0035462463</v>
      </c>
      <c r="AO333" s="12">
        <f>INDEX(其他调用!$AA$5:$AA$404,MATCH($K333,其他调用!$X$5:$X$404,0))*MIN(INDEX(其他调用!AL$5:AL$364,MATCH($K333,其他调用!$AG$5:$AG$364,0),1)/INDEX(其他调用!$AJ$5:$AJ$364,MATCH($K333,其他调用!$AG$5:$AG$364,0),0),5)*求节点(节奏总纲!D$4:D$163,攻城基础信息!$AG$5:$AG$164,$K333)</f>
        <v>745865.36093749315</v>
      </c>
      <c r="AP333" s="12">
        <f>MIN(INDEX(其他调用!$AL$5:$AL$364,MATCH($K333,其他调用!$AG$5:$AG$364,0),1)/INDEX(其他调用!AH$5:AH$364,MATCH($K333,其他调用!$AG$5:$AG$364,0),0),1)*INDEX(其他调用!Y$5:Y$404,MATCH($K333,其他调用!$X$5:$X$404,0),0)</f>
        <v>42989.773168884691</v>
      </c>
      <c r="AQ333" s="12">
        <f>MIN(INDEX(其他调用!$AL$5:$AL$364,MATCH($K333,其他调用!$AG$5:$AG$364,0),1)/INDEX(其他调用!AI$5:AI$364,MATCH($K333,其他调用!$AG$5:$AG$364,0),0),1)*INDEX(其他调用!Z$5:Z$404,MATCH($K333,其他调用!$X$5:$X$404,0),0)</f>
        <v>44149.276473433332</v>
      </c>
      <c r="AR333" s="12">
        <f>MIN(INDEX(其他调用!$AL$5:$AL$364,MATCH($K333,其他调用!$AG$5:$AG$364,0),1)/INDEX(其他调用!AJ$5:AJ$364,MATCH($K333,其他调用!$AG$5:$AG$364,0),0),1)*INDEX(其他调用!AA$5:AA$404,MATCH($K333,其他调用!$X$5:$X$404,0),0)</f>
        <v>45682.867680485651</v>
      </c>
      <c r="AS333" s="12">
        <f>MIN(INDEX(其他调用!$AL$5:$AL$364,MATCH($K333,其他调用!$AG$5:$AG$364,0),1)/INDEX(其他调用!AK$5:AK$364,MATCH($K333,其他调用!$AG$5:$AG$364,0),0),1)*INDEX(其他调用!AB$5:AB$404,MATCH($K333,其他调用!$X$5:$X$404,0),0)</f>
        <v>47935.845356963415</v>
      </c>
      <c r="AT333" s="12">
        <f>MIN(INDEX(其他调用!$AL$5:$AL$364,MATCH($K333,其他调用!$AG$5:$AG$364,0),1)/INDEX(其他调用!AL$5:AL$364,MATCH($K333,其他调用!$AG$5:$AG$364,0),0),1)*INDEX(其他调用!AC$5:AC$404,MATCH($K333,其他调用!$X$5:$X$404,0),0)</f>
        <v>51829.566867958485</v>
      </c>
      <c r="AV333" s="14">
        <f>IF(OR(AV$5="大R",AV$5="超R"),MAX(INDEX(其他调用!$H$5:$L$404,MATCH($K333,其他调用!$B$5:$B$404,0),MATCH(AV$5,其他调用!$H$4:$L$4,0))*120*0.85,2),INDEX(其他调用!$H$5:$L$404,MATCH($K333,其他调用!$B$5:$B$404,0),MATCH(AV$5,其他调用!$H$4:$L$4,0))*120*0.85)</f>
        <v>48.921801254999991</v>
      </c>
      <c r="AW333" s="14">
        <f>IF(OR(AW$5="大R",AW$5="超R"),MAX(INDEX(其他调用!$H$5:$L$404,MATCH($K333,其他调用!$B$5:$B$404,0),MATCH(AW$5,其他调用!$H$4:$L$4,0))*120*0.85,2),INDEX(其他调用!$H$5:$L$404,MATCH($K333,其他调用!$B$5:$B$404,0),MATCH(AW$5,其他调用!$H$4:$L$4,0))*120*0.85)</f>
        <v>48.237344010638395</v>
      </c>
      <c r="AX333" s="14">
        <f>IF(OR(AX$5="大R",AX$5="超R"),MAX(INDEX(其他调用!$H$5:$L$404,MATCH($K333,其他调用!$B$5:$B$404,0),MATCH(AX$5,其他调用!$H$4:$L$4,0))*120*0.85,2),INDEX(其他调用!$H$5:$L$404,MATCH($K333,其他调用!$B$5:$B$404,0),MATCH(AX$5,其他调用!$H$4:$L$4,0))*120*0.85)</f>
        <v>3.9376284143615998</v>
      </c>
      <c r="AY333" s="14">
        <f>IF(OR(AY$5="大R",AY$5="超R"),MAX(INDEX(其他调用!$H$5:$L$404,MATCH($K333,其他调用!$B$5:$B$404,0),MATCH(AY$5,其他调用!$H$4:$L$4,0))*120*0.85,2),INDEX(其他调用!$H$5:$L$404,MATCH($K333,其他调用!$B$5:$B$404,0),MATCH(AY$5,其他调用!$H$4:$L$4,0))*120*0.85)</f>
        <v>2</v>
      </c>
      <c r="AZ333" s="14">
        <f>IF(OR(AZ$5="大R",AZ$5="超R"),MAX(INDEX(其他调用!$H$5:$L$404,MATCH($K333,其他调用!$B$5:$B$404,0),MATCH(AZ$5,其他调用!$H$4:$L$4,0))*120*0.85,2),INDEX(其他调用!$H$5:$L$404,MATCH($K333,其他调用!$B$5:$B$404,0),MATCH(AZ$5,其他调用!$H$4:$L$4,0))*120*0.85)</f>
        <v>2</v>
      </c>
      <c r="BA333" s="14">
        <f>INDEX(其他调用!$H$5:$L$404,MATCH($K333,其他调用!$B$5:$B$404,0),MATCH(BA$5,其他调用!$H$4:$L$4,0))*INDEX(其他调用!$M$5:$M$404,MATCH($K333,其他调用!$B$5:$B$404,0))*0.6</f>
        <v>28.777530149999997</v>
      </c>
      <c r="BB333" s="14">
        <f>INDEX(其他调用!$H$5:$L$404,MATCH($K333,其他调用!$B$5:$B$404,0),MATCH(BB$5,其他调用!$H$4:$L$4,0))*INDEX(其他调用!$M$5:$M$404,MATCH($K333,其他调用!$B$5:$B$404,0))*0.6</f>
        <v>28.374908241551999</v>
      </c>
      <c r="BC333" s="14">
        <f>INDEX(其他调用!$H$5:$L$404,MATCH($K333,其他调用!$B$5:$B$404,0),MATCH(BC$5,其他调用!$H$4:$L$4,0))*INDEX(其他调用!$M$5:$M$404,MATCH($K333,其他调用!$B$5:$B$404,0))*0.6</f>
        <v>2.3162520084480001</v>
      </c>
      <c r="BD333" s="14">
        <f>INDEX(其他调用!$H$5:$L$404,MATCH($K333,其他调用!$B$5:$B$404,0),MATCH(BD$5,其他调用!$H$4:$L$4,0))*INDEX(其他调用!$M$5:$M$404,MATCH($K333,其他调用!$B$5:$B$404,0))*0.6</f>
        <v>0.4120776000000001</v>
      </c>
      <c r="BE333" s="14">
        <f>INDEX(其他调用!$H$5:$L$404,MATCH($K333,其他调用!$B$5:$B$404,0),MATCH(BE$5,其他调用!$H$4:$L$4,0))*INDEX(其他调用!$M$5:$M$404,MATCH($K333,其他调用!$B$5:$B$404,0))*0.6</f>
        <v>0.11923199999999998</v>
      </c>
      <c r="BF333" s="14">
        <f>IF(OR(BF$5="大R",BF$5="超R"),0,INDEX(其他调用!$H$5:$L$404,MATCH($K333,其他调用!$B$5:$B$404,0),MATCH(BF$5,其他调用!$H$4:$L$4,0))*50*0.4)</f>
        <v>9.5925100500000013</v>
      </c>
      <c r="BG333" s="14">
        <f>IF(OR(BG$5="大R",BG$5="超R"),0,INDEX(其他调用!$H$5:$L$404,MATCH($K333,其他调用!$B$5:$B$404,0),MATCH(BG$5,其他调用!$H$4:$L$4,0))*50*0.4)</f>
        <v>9.4583027471839998</v>
      </c>
      <c r="BH333" s="14">
        <f>IF(OR(BH$5="大R",BH$5="超R"),0,INDEX(其他调用!$H$5:$L$404,MATCH($K333,其他调用!$B$5:$B$404,0),MATCH(BH$5,其他调用!$H$4:$L$4,0))*50*0.4)</f>
        <v>0.77208400281600009</v>
      </c>
      <c r="BI333" s="14">
        <f>IF(OR(BI$5="大R",BI$5="超R"),0,INDEX(其他调用!$H$5:$L$404,MATCH($K333,其他调用!$B$5:$B$404,0),MATCH(BI$5,其他调用!$H$4:$L$4,0))*50*0.4)</f>
        <v>0</v>
      </c>
      <c r="BJ333" s="14">
        <f>IF(OR(BJ$5="大R",BJ$5="超R"),0,INDEX(其他调用!$H$5:$L$404,MATCH($K333,其他调用!$B$5:$B$404,0),MATCH(BJ$5,其他调用!$H$4:$L$4,0))*50*0.4)</f>
        <v>0</v>
      </c>
      <c r="BL333" s="14">
        <f t="shared" si="628"/>
        <v>328</v>
      </c>
      <c r="BM333" s="14">
        <f t="shared" si="535"/>
        <v>96</v>
      </c>
      <c r="BN333" s="14">
        <f>('疲劳值&amp;地图信息'!$S$10*'疲劳值&amp;地图信息'!$R$10+'疲劳值&amp;地图信息'!$S$11*'疲劳值&amp;地图信息'!$R$11+'疲劳值&amp;地图信息'!$S$12*'疲劳值&amp;地图信息'!$R$12+(BM333-'疲劳值&amp;地图信息'!$S$12-'疲劳值&amp;地图信息'!$S$11-'疲劳值&amp;地图信息'!$S$10)*'疲劳值&amp;地图信息'!$R$13)/BM333</f>
        <v>51.371477246638619</v>
      </c>
      <c r="BO333" s="14">
        <f>INDEX(其他调用!$M$5:$M$404,MATCH(BL333,其他调用!$B$5:$B$404,0))*0.6</f>
        <v>60</v>
      </c>
      <c r="BP333" s="14">
        <f>IF(BO333&gt;SUM('疲劳值&amp;地图信息'!$S$10:$S$12),('疲劳值&amp;地图信息'!$S$10*'疲劳值&amp;地图信息'!$R$10+'疲劳值&amp;地图信息'!$S$11*'疲劳值&amp;地图信息'!$R$11+'疲劳值&amp;地图信息'!$S$12*'疲劳值&amp;地图信息'!$R$12+(BO333-'疲劳值&amp;地图信息'!$S$12-'疲劳值&amp;地图信息'!$S$11-'疲劳值&amp;地图信息'!$S$10)*'疲劳值&amp;地图信息'!$R$13)/BO333,('疲劳值&amp;地图信息'!$S$10*'疲劳值&amp;地图信息'!$R$10+'疲劳值&amp;地图信息'!$S$11*'疲劳值&amp;地图信息'!$R$11+'疲劳值&amp;地图信息'!$S$12*'疲劳值&amp;地图信息'!$R$12+(BO333-'疲劳值&amp;地图信息'!$S$12-'疲劳值&amp;地图信息'!$S$11-'疲劳值&amp;地图信息'!$S$10)*'疲劳值&amp;地图信息'!$R$13)/BO333)</f>
        <v>44.158136341605953</v>
      </c>
      <c r="BQ333" s="14">
        <f t="shared" si="629"/>
        <v>20</v>
      </c>
      <c r="BR333" s="14">
        <f>('疲劳值&amp;地图信息'!$S$10*'疲劳值&amp;地图信息'!$R$10+($BQ333-'疲劳值&amp;地图信息'!$S$10)*'疲劳值&amp;地图信息'!$R$11)/$BQ333</f>
        <v>32.067203015074995</v>
      </c>
      <c r="CF333" s="14">
        <v>328</v>
      </c>
      <c r="CG333" s="51">
        <f t="shared" si="536"/>
        <v>16628</v>
      </c>
      <c r="CH333" s="51">
        <f t="shared" si="537"/>
        <v>1059</v>
      </c>
      <c r="CI333" s="51">
        <f>INT(SUMPRODUCT($N333:$R333,$BA333:$BE333)/SUM($BA333:$BE333)/10000*$BX$7*$BZ$34/'疲劳值&amp;地图信息'!$R$10*$BY$53)</f>
        <v>3377</v>
      </c>
      <c r="CJ333" s="50">
        <f t="shared" si="538"/>
        <v>0.78940372199012532</v>
      </c>
      <c r="CK333" s="50">
        <f t="shared" si="539"/>
        <v>5.027535131029244E-2</v>
      </c>
      <c r="CL333" s="50">
        <f t="shared" si="540"/>
        <v>0.16032092669958223</v>
      </c>
      <c r="CM333" s="14">
        <f t="shared" si="541"/>
        <v>18235</v>
      </c>
      <c r="CN333" s="14">
        <f t="shared" si="542"/>
        <v>1836</v>
      </c>
      <c r="CO333" s="14">
        <f>INT(SUMPRODUCT($U333:$Y333,$BA333:$BE333)/SUM($BA333:$BE333)/10000*$BX$7*$BZ$34/'疲劳值&amp;地图信息'!$R$10*$BY$54)</f>
        <v>6479</v>
      </c>
      <c r="CP333" s="50">
        <f t="shared" si="543"/>
        <v>0.68681732580037669</v>
      </c>
      <c r="CQ333" s="50">
        <f t="shared" si="544"/>
        <v>6.9152542372881362E-2</v>
      </c>
      <c r="CR333" s="50">
        <f t="shared" si="545"/>
        <v>0.24403013182674199</v>
      </c>
      <c r="CS333" s="14">
        <f t="shared" si="546"/>
        <v>19871</v>
      </c>
      <c r="CT333" s="14">
        <f t="shared" si="547"/>
        <v>3258</v>
      </c>
      <c r="CU333" s="14">
        <f>INT(SUMPRODUCT($AB333:$AF333,$BA333:$BE333)/SUM($BA333:$BE333)/10000*$BX$7*$BZ$34/'疲劳值&amp;地图信息'!$R$10*$BY$55)</f>
        <v>8808</v>
      </c>
      <c r="CV333" s="50">
        <f t="shared" si="548"/>
        <v>0.6221936938347371</v>
      </c>
      <c r="CW333" s="50">
        <f t="shared" si="549"/>
        <v>0.10201333876068509</v>
      </c>
      <c r="CX333" s="50">
        <f t="shared" si="550"/>
        <v>0.27579296740457776</v>
      </c>
      <c r="CY333" s="14">
        <f t="shared" si="551"/>
        <v>23778</v>
      </c>
      <c r="CZ333" s="14">
        <f t="shared" si="552"/>
        <v>8664</v>
      </c>
      <c r="DA333" s="14">
        <f>INT(SUMPRODUCT($AI333:$AM333,$BA333:$BE333)/SUM($BA333:$BE333)/10000*$BX$7*$BZ$34/'疲劳值&amp;地图信息'!$R$10*$BY$56)</f>
        <v>13286</v>
      </c>
      <c r="DB333" s="50">
        <f t="shared" si="553"/>
        <v>0.51998775367389782</v>
      </c>
      <c r="DC333" s="50">
        <f t="shared" si="554"/>
        <v>0.18946815955213436</v>
      </c>
      <c r="DD333" s="50">
        <f t="shared" si="555"/>
        <v>0.29054408677396781</v>
      </c>
      <c r="DE333" s="14">
        <f t="shared" si="556"/>
        <v>24593</v>
      </c>
      <c r="DF333" s="14">
        <f t="shared" si="557"/>
        <v>15201</v>
      </c>
      <c r="DG333" s="14">
        <f>INT(SUMPRODUCT($AP333:$AT333,$BA333:$BE333)/SUM($BA333:$BE333)/10000*$BX$7*$BZ$34/'疲劳值&amp;地图信息'!$R$10*$BY$57)</f>
        <v>17733</v>
      </c>
      <c r="DH333" s="50">
        <f t="shared" si="558"/>
        <v>0.42750360700192952</v>
      </c>
      <c r="DI333" s="50">
        <f t="shared" si="559"/>
        <v>0.26424113894345264</v>
      </c>
      <c r="DJ333" s="50">
        <f t="shared" si="560"/>
        <v>0.30825525405461784</v>
      </c>
      <c r="DL333" s="14">
        <f t="shared" si="526"/>
        <v>21064</v>
      </c>
      <c r="DM333" s="14">
        <f t="shared" si="527"/>
        <v>26550</v>
      </c>
      <c r="DN333" s="14">
        <f t="shared" si="528"/>
        <v>31937</v>
      </c>
      <c r="DO333" s="14">
        <f t="shared" si="529"/>
        <v>45728</v>
      </c>
      <c r="DP333" s="14">
        <f t="shared" si="530"/>
        <v>57527</v>
      </c>
      <c r="DQ333" s="14">
        <f t="shared" si="531"/>
        <v>1459200</v>
      </c>
      <c r="DT333" s="14">
        <f t="shared" si="630"/>
        <v>235575</v>
      </c>
      <c r="DU333" s="50">
        <f t="shared" si="532"/>
        <v>0.13900075231225384</v>
      </c>
      <c r="DW333" s="14">
        <f t="shared" si="561"/>
        <v>1694775</v>
      </c>
      <c r="EB333" s="14">
        <v>328</v>
      </c>
      <c r="EC333" s="51">
        <f t="shared" si="562"/>
        <v>27714</v>
      </c>
      <c r="ED333" s="51">
        <f t="shared" si="563"/>
        <v>1766</v>
      </c>
      <c r="EE333" s="51">
        <f>INT(SUMPRODUCT($N333:$R333,$BF333:$BJ333)/SUM($BF333:$BJ333)/10000*$BX$7*$BZ$46/'疲劳值&amp;地图信息'!$R$10*$BY$53)</f>
        <v>453</v>
      </c>
      <c r="EF333" s="50">
        <f t="shared" si="564"/>
        <v>0.92586777135602849</v>
      </c>
      <c r="EG333" s="50">
        <f t="shared" si="565"/>
        <v>5.8998429826612769E-2</v>
      </c>
      <c r="EH333" s="50">
        <f t="shared" si="566"/>
        <v>1.5133798817358768E-2</v>
      </c>
      <c r="EI333" s="51">
        <f t="shared" si="567"/>
        <v>30392</v>
      </c>
      <c r="EJ333" s="51">
        <f t="shared" si="568"/>
        <v>3061</v>
      </c>
      <c r="EK333" s="14">
        <f>INT(SUMPRODUCT($U333:$Y333,$BF333:$BJ333)/SUM($BF333:$BJ333)/10000*$BX$7*$BZ$46/'疲劳值&amp;地图信息'!$R$10*$BY$54)</f>
        <v>870</v>
      </c>
      <c r="EL333" s="50">
        <f t="shared" si="569"/>
        <v>0.88547038429041747</v>
      </c>
      <c r="EM333" s="50">
        <f t="shared" si="570"/>
        <v>8.918218104478047E-2</v>
      </c>
      <c r="EN333" s="50">
        <f t="shared" si="571"/>
        <v>2.5347434664802028E-2</v>
      </c>
      <c r="EO333" s="51">
        <f t="shared" si="572"/>
        <v>33119</v>
      </c>
      <c r="EP333" s="51">
        <f t="shared" si="573"/>
        <v>5431</v>
      </c>
      <c r="EQ333" s="14">
        <f>INT(SUMPRODUCT($AB333:$AF333,$BF333:$BJ333)/SUM($BF333:$BJ333)/10000*$BX$7*$BZ$46/'疲劳值&amp;地图信息'!$R$10*$BY$55)</f>
        <v>1181</v>
      </c>
      <c r="ER333" s="50">
        <f t="shared" si="574"/>
        <v>0.83358083108907399</v>
      </c>
      <c r="ES333" s="50">
        <f t="shared" si="575"/>
        <v>0.13669426895874759</v>
      </c>
      <c r="ET333" s="50">
        <f t="shared" si="576"/>
        <v>2.9724899952178401E-2</v>
      </c>
      <c r="EU333" s="51">
        <f t="shared" si="577"/>
        <v>39630</v>
      </c>
      <c r="EV333" s="51">
        <f t="shared" si="578"/>
        <v>14441</v>
      </c>
      <c r="EW333" s="14">
        <f>INT(SUMPRODUCT($AI333:$AM333,$BF333:$BJ333)/SUM($BF333:$BJ333)/10000*$BX$7*$BZ$46/'疲劳值&amp;地图信息'!$R$10*$BY$56)</f>
        <v>1771</v>
      </c>
      <c r="EX333" s="50">
        <f t="shared" si="579"/>
        <v>0.70968088535510909</v>
      </c>
      <c r="EY333" s="50">
        <f t="shared" si="580"/>
        <v>0.25860463450449483</v>
      </c>
      <c r="EZ333" s="50">
        <f t="shared" si="581"/>
        <v>3.1714480140396115E-2</v>
      </c>
      <c r="FA333" s="51">
        <f t="shared" si="582"/>
        <v>40989</v>
      </c>
      <c r="FB333" s="51">
        <f t="shared" si="583"/>
        <v>25336</v>
      </c>
      <c r="FC333" s="14">
        <f>INT(SUMPRODUCT($AP333:$AT333,$BF333:$BJ333)/SUM($BF333:$BJ333)/10000*$BX$7*$BZ$46/'疲劳值&amp;地图信息'!$R$10*$BY$57)</f>
        <v>2362</v>
      </c>
      <c r="FD333" s="50">
        <f t="shared" si="584"/>
        <v>0.59675047680055904</v>
      </c>
      <c r="FE333" s="50">
        <f t="shared" si="585"/>
        <v>0.36886164776449692</v>
      </c>
      <c r="FF333" s="50">
        <f t="shared" si="586"/>
        <v>3.4387875434944024E-2</v>
      </c>
      <c r="FH333" s="14">
        <f t="shared" si="587"/>
        <v>29933</v>
      </c>
      <c r="FI333" s="14">
        <f t="shared" si="588"/>
        <v>34323</v>
      </c>
      <c r="FJ333" s="14">
        <f t="shared" si="589"/>
        <v>39731</v>
      </c>
      <c r="FK333" s="14">
        <f t="shared" si="590"/>
        <v>55842</v>
      </c>
      <c r="FL333" s="14">
        <f t="shared" si="591"/>
        <v>68687</v>
      </c>
      <c r="FM333" s="14">
        <f t="shared" si="592"/>
        <v>3525530</v>
      </c>
      <c r="FP333" s="14">
        <f t="shared" si="593"/>
        <v>334150</v>
      </c>
      <c r="FQ333" s="50">
        <f t="shared" si="533"/>
        <v>8.6574534676449863E-2</v>
      </c>
      <c r="FS333" s="14">
        <f t="shared" si="594"/>
        <v>3859680</v>
      </c>
      <c r="FX333" s="14">
        <v>328</v>
      </c>
      <c r="FY333" s="51">
        <f t="shared" si="595"/>
        <v>38799</v>
      </c>
      <c r="FZ333" s="51">
        <f t="shared" si="596"/>
        <v>1766</v>
      </c>
      <c r="GA333" s="51">
        <f>INT(SUMPRODUCT($N333:$R333,$BF333:$BJ333)/SUM($BF333:$BJ333)/10000*$BX$7*$BZ$46/'疲劳值&amp;地图信息'!$R$10*$BY$53)</f>
        <v>453</v>
      </c>
      <c r="GB333" s="50">
        <f t="shared" si="597"/>
        <v>0.94590179921010287</v>
      </c>
      <c r="GC333" s="50">
        <f t="shared" si="598"/>
        <v>4.3054268857574726E-2</v>
      </c>
      <c r="GD333" s="50">
        <f t="shared" si="599"/>
        <v>1.1043931932322395E-2</v>
      </c>
      <c r="GE333" s="51">
        <f t="shared" si="600"/>
        <v>42550</v>
      </c>
      <c r="GF333" s="51">
        <f t="shared" si="601"/>
        <v>3061</v>
      </c>
      <c r="GG333" s="14">
        <f>INT(SUMPRODUCT($U333:$Y333,$BF333:$BJ333)/SUM($BF333:$BJ333)/10000*$BX$7*$BZ$46/'疲劳值&amp;地图信息'!$R$10*$BY$54)</f>
        <v>870</v>
      </c>
      <c r="GH333" s="50">
        <f t="shared" si="602"/>
        <v>0.91542780921236633</v>
      </c>
      <c r="GI333" s="50">
        <f t="shared" si="603"/>
        <v>6.5854865428884926E-2</v>
      </c>
      <c r="GJ333" s="50">
        <f t="shared" si="604"/>
        <v>1.8717325358748736E-2</v>
      </c>
      <c r="GK333" s="51">
        <f t="shared" si="605"/>
        <v>46367</v>
      </c>
      <c r="GL333" s="51">
        <f t="shared" si="606"/>
        <v>5431</v>
      </c>
      <c r="GM333" s="14">
        <f>INT(SUMPRODUCT($AB333:$AF333,$BF333:$BJ333)/SUM($BF333:$BJ333)/10000*$BX$7*$BZ$46/'疲劳值&amp;地图信息'!$R$10*$BY$55)</f>
        <v>1181</v>
      </c>
      <c r="GN333" s="50">
        <f t="shared" si="607"/>
        <v>0.87519583231091569</v>
      </c>
      <c r="GO333" s="50">
        <f t="shared" si="608"/>
        <v>0.10251231620075879</v>
      </c>
      <c r="GP333" s="50">
        <f t="shared" si="609"/>
        <v>2.2291851488325562E-2</v>
      </c>
      <c r="GQ333" s="51">
        <f t="shared" si="610"/>
        <v>55483</v>
      </c>
      <c r="GR333" s="51">
        <f t="shared" si="611"/>
        <v>14441</v>
      </c>
      <c r="GS333" s="14">
        <f>INT(SUMPRODUCT($AI333:$AM333,$BF333:$BJ333)/SUM($BF333:$BJ333)/10000*$BX$7*$BZ$46/'疲劳值&amp;地图信息'!$R$10*$BY$56)</f>
        <v>1771</v>
      </c>
      <c r="GT333" s="50">
        <f t="shared" si="612"/>
        <v>0.77387544459167301</v>
      </c>
      <c r="GU333" s="50">
        <f t="shared" si="613"/>
        <v>0.20142269335379037</v>
      </c>
      <c r="GV333" s="50">
        <f t="shared" si="614"/>
        <v>2.4701862054536578E-2</v>
      </c>
      <c r="GW333" s="51">
        <f t="shared" si="615"/>
        <v>57385</v>
      </c>
      <c r="GX333" s="51">
        <f t="shared" si="616"/>
        <v>25336</v>
      </c>
      <c r="GY333" s="14">
        <f>INT(SUMPRODUCT($AP333:$AT333,$BF333:$BJ333)/SUM($BF333:$BJ333)/10000*$BX$7*$BZ$46/'疲劳值&amp;地图信息'!$R$10*$BY$57)</f>
        <v>2362</v>
      </c>
      <c r="GZ333" s="50">
        <f t="shared" si="617"/>
        <v>0.67445905762608271</v>
      </c>
      <c r="HA333" s="50">
        <f t="shared" si="618"/>
        <v>0.29777981500417239</v>
      </c>
      <c r="HB333" s="50">
        <f t="shared" si="619"/>
        <v>2.7761127369744839E-2</v>
      </c>
      <c r="HD333" s="14">
        <f t="shared" si="620"/>
        <v>41018</v>
      </c>
      <c r="HE333" s="14">
        <f t="shared" si="621"/>
        <v>46481</v>
      </c>
      <c r="HF333" s="14">
        <f t="shared" si="622"/>
        <v>52979</v>
      </c>
      <c r="HG333" s="14">
        <f t="shared" si="623"/>
        <v>71695</v>
      </c>
      <c r="HH333" s="14">
        <f t="shared" si="624"/>
        <v>85083</v>
      </c>
      <c r="HI333" s="14">
        <f t="shared" si="625"/>
        <v>4770962</v>
      </c>
      <c r="HL333" s="14">
        <f t="shared" si="626"/>
        <v>430050</v>
      </c>
      <c r="HM333" s="50">
        <f t="shared" si="534"/>
        <v>8.2685831142093116E-2</v>
      </c>
      <c r="HO333" s="14">
        <f t="shared" si="627"/>
        <v>5201012</v>
      </c>
    </row>
    <row r="334" spans="11:223" x14ac:dyDescent="0.2">
      <c r="K334" s="14">
        <v>329</v>
      </c>
      <c r="L334" s="12">
        <f>求节点(节奏总纲!D$4:D$163,标准城池设计!AB$4:AB$163,$K334)*求节点(节奏总纲!D$4:D$163,攻城基础信息!$AC$5:$AC$164,$K334)</f>
        <v>816988.36103604559</v>
      </c>
      <c r="M334" s="12">
        <f>INDEX(其他调用!$AA$5:$AA$404,MATCH(K334,其他调用!$X$5:$X$404,0))*MIN(INDEX(其他调用!$AH$5:$AH$364,MATCH('征服点（新）'!K334,其他调用!$AG$5:$AG$364,0),1)/INDEX(其他调用!$AJ$5:$AJ$364,MATCH(K334,其他调用!$AG$5:$AG$364,0),0),5)*求节点(节奏总纲!D$4:D$163,攻城基础信息!$AC$5:$AC$164,$K334)</f>
        <v>51936.894116357726</v>
      </c>
      <c r="N334" s="12">
        <f>MIN(INDEX(其他调用!$AH$5:$AH$364,MATCH($K334,其他调用!$AG$5:$AG$364,0),1)/INDEX(其他调用!AH$5:AH$364,MATCH($K334,其他调用!$AG$5:$AG$364,0),0),1)*INDEX(其他调用!Y$5:Y$404,MATCH($K334,其他调用!$X$5:$X$404,0),0)</f>
        <v>43007.582654797239</v>
      </c>
      <c r="O334" s="12">
        <f>MIN(INDEX(其他调用!$AH$5:$AH$364,MATCH($K334,其他调用!$AG$5:$AG$364,0),1)/INDEX(其他调用!AI$5:AI$364,MATCH($K334,其他调用!$AG$5:$AG$364,0),0),1)*INDEX(其他调用!Z$5:Z$404,MATCH($K334,其他调用!$X$5:$X$404,0),0)</f>
        <v>25461.695449914361</v>
      </c>
      <c r="P334" s="12">
        <f>MIN(INDEX(其他调用!$AH$5:$AH$364,MATCH($K334,其他调用!$AG$5:$AG$364,0),1)/INDEX(其他调用!AJ$5:AJ$364,MATCH($K334,其他调用!$AG$5:$AG$364,0),0),1)*INDEX(其他调用!AA$5:AA$404,MATCH($K334,其他调用!$X$5:$X$404,0),0)</f>
        <v>14839.112604673646</v>
      </c>
      <c r="Q334" s="12">
        <f>MIN(INDEX(其他调用!$AH$5:$AH$364,MATCH($K334,其他调用!$AG$5:$AG$364,0),1)/INDEX(其他调用!AK$5:AK$364,MATCH($K334,其他调用!$AG$5:$AG$364,0),0),1)*INDEX(其他调用!AB$5:AB$404,MATCH($K334,其他调用!$X$5:$X$404,0),0)</f>
        <v>5865.7530739062286</v>
      </c>
      <c r="R334" s="12">
        <f>MIN(INDEX(其他调用!$AH$5:$AH$364,MATCH($K334,其他调用!$AG$5:$AG$364,0),1)/INDEX(其他调用!AL$5:AL$364,MATCH($K334,其他调用!$AG$5:$AG$364,0),0),1)*INDEX(其他调用!AC$5:AC$404,MATCH($K334,其他调用!$X$5:$X$404,0),0)</f>
        <v>3620.5221089035272</v>
      </c>
      <c r="S334" s="12">
        <f>求节点(节奏总纲!D$4:D$163,标准城池设计!AC$4:AC$163,$K334)*求节点(节奏总纲!D$4:D$163,攻城基础信息!$AD$5:$AD$164,$K334)</f>
        <v>895951.67649228708</v>
      </c>
      <c r="T334" s="12">
        <f>INDEX(其他调用!$AA$5:$AA$404,MATCH($K334,其他调用!$X$5:$X$404,0))*MIN(INDEX(其他调用!AI$5:AI$364,MATCH($K334,其他调用!$AG$5:$AG$364,0),1)/INDEX(其他调用!$AJ$5:$AJ$364,MATCH($K334,其他调用!$AG$5:$AG$364,0),0),5)*求节点(节奏总纲!D$4:D$163,攻城基础信息!$AD$5:$AD$164,$K334)</f>
        <v>90092.343321404391</v>
      </c>
      <c r="U334" s="12">
        <f>MIN(INDEX(其他调用!$AI$5:$AI$364,MATCH($K334,其他调用!$AG$5:$AG$364,0),1)/INDEX(其他调用!AH$5:AH$364,MATCH($K334,其他调用!$AG$5:$AG$364,0),0),1)*INDEX(其他调用!Y$5:Y$404,MATCH($K334,其他调用!$X$5:$X$404,0),0)</f>
        <v>43007.582654797239</v>
      </c>
      <c r="V334" s="12">
        <f>MIN(INDEX(其他调用!$AI$5:$AI$364,MATCH($K334,其他调用!$AG$5:$AG$364,0),1)/INDEX(其他调用!AI$5:AI$364,MATCH($K334,其他调用!$AG$5:$AG$364,0),0),1)*INDEX(其他调用!Z$5:Z$404,MATCH($K334,其他调用!$X$5:$X$404,0),0)</f>
        <v>44167.134886416912</v>
      </c>
      <c r="W334" s="12">
        <f>MIN(INDEX(其他调用!$AI$5:$AI$364,MATCH($K334,其他调用!$AG$5:$AG$364,0),1)/INDEX(其他调用!AJ$5:AJ$364,MATCH($K334,其他调用!$AG$5:$AG$364,0),0),1)*INDEX(其他调用!AA$5:AA$404,MATCH($K334,其他调用!$X$5:$X$404,0),0)</f>
        <v>25740.669520401272</v>
      </c>
      <c r="X334" s="12">
        <f>MIN(INDEX(其他调用!$AI$5:$AI$364,MATCH($K334,其他调用!$AG$5:$AG$364,0),1)/INDEX(其他调用!AK$5:AK$364,MATCH($K334,其他调用!$AG$5:$AG$364,0),0),1)*INDEX(其他调用!AB$5:AB$404,MATCH($K334,其他调用!$X$5:$X$404,0),0)</f>
        <v>10175.029692553426</v>
      </c>
      <c r="Y334" s="12">
        <f>MIN(INDEX(其他调用!$AI$5:$AI$364,MATCH($K334,其他调用!$AG$5:$AG$364,0),1)/INDEX(其他调用!AL$5:AL$364,MATCH($K334,其他调用!$AG$5:$AG$364,0),0),1)*INDEX(其他调用!AC$5:AC$404,MATCH($K334,其他调用!$X$5:$X$404,0),0)</f>
        <v>6280.3393692989348</v>
      </c>
      <c r="Z334" s="12">
        <f>求节点(节奏总纲!D$4:D$163,标准城池设计!AD$4:AD$163,$K334)*求节点(节奏总纲!D$4:D$163,攻城基础信息!$AE$5:$AE$164,$K334)</f>
        <v>976308.28600007901</v>
      </c>
      <c r="AA334" s="12">
        <f>INDEX(其他调用!$AA$5:$AA$404,MATCH($K334,其他调用!$X$5:$X$404,0))*MIN(INDEX(其他调用!AJ$5:AJ$364,MATCH($K334,其他调用!$AG$5:$AG$364,0),1)/INDEX(其他调用!$AJ$5:$AJ$364,MATCH($K334,其他调用!$AG$5:$AG$364,0),0),5)*求节点(节奏总纲!D$4:D$163,攻城基础信息!$AE$5:$AE$164,$K334)</f>
        <v>159954.746258681</v>
      </c>
      <c r="AB334" s="12">
        <f>MIN(INDEX(其他调用!$AJ$5:$AJ$364,MATCH($K334,其他调用!$AG$5:$AG$364,0),1)/INDEX(其他调用!AH$5:AH$364,MATCH($K334,其他调用!$AG$5:$AG$364,0),0),1)*INDEX(其他调用!Y$5:Y$404,MATCH($K334,其他调用!$X$5:$X$404,0),0)</f>
        <v>43007.582654797239</v>
      </c>
      <c r="AC334" s="12">
        <f>MIN(INDEX(其他调用!$AJ$5:$AJ$364,MATCH($K334,其他调用!$AG$5:$AG$364,0),1)/INDEX(其他调用!AI$5:AI$364,MATCH($K334,其他调用!$AG$5:$AG$364,0),0),1)*INDEX(其他调用!Z$5:Z$404,MATCH($K334,其他调用!$X$5:$X$404,0),0)</f>
        <v>44167.134886416912</v>
      </c>
      <c r="AD334" s="12">
        <f>MIN(INDEX(其他调用!$AJ$5:$AJ$364,MATCH($K334,其他调用!$AG$5:$AG$364,0),1)/INDEX(其他调用!AJ$5:AJ$364,MATCH($K334,其他调用!$AG$5:$AG$364,0),0),1)*INDEX(其他调用!AA$5:AA$404,MATCH($K334,其他调用!$X$5:$X$404,0),0)</f>
        <v>45701.356073908886</v>
      </c>
      <c r="AE334" s="12">
        <f>MIN(INDEX(其他调用!$AJ$5:$AJ$364,MATCH($K334,其他调用!$AG$5:$AG$364,0),1)/INDEX(其他调用!AK$5:AK$364,MATCH($K334,其他调用!$AG$5:$AG$364,0),0),1)*INDEX(其他调用!AB$5:AB$404,MATCH($K334,其他调用!$X$5:$X$404,0),0)</f>
        <v>18065.289819809263</v>
      </c>
      <c r="AF334" s="12">
        <f>MIN(INDEX(其他调用!$AJ$5:$AJ$364,MATCH($K334,其他调用!$AG$5:$AG$364,0),1)/INDEX(其他调用!AL$5:AL$364,MATCH($K334,其他调用!$AG$5:$AG$364,0),0),1)*INDEX(其他调用!AC$5:AC$404,MATCH($K334,其他调用!$X$5:$X$404,0),0)</f>
        <v>11150.44911919776</v>
      </c>
      <c r="AG334" s="12">
        <f>求节点(节奏总纲!D$4:D$163,标准城池设计!AE$4:AE$163,$K334)*求节点(节奏总纲!D$4:D$163,攻城基础信息!$AF$5:$AF$164,$K334)</f>
        <v>1167836.4991583254</v>
      </c>
      <c r="AH334" s="12">
        <f>INDEX(其他调用!$AA$5:$AA$404,MATCH($K334,其他调用!$X$5:$X$404,0))*MIN(INDEX(其他调用!AK$5:AK$364,MATCH($K334,其他调用!$AG$5:$AG$364,0),1)/INDEX(其他调用!$AJ$5:$AJ$364,MATCH($K334,其他调用!$AG$5:$AG$364,0),0),5)*求节点(节奏总纲!D$4:D$163,攻城基础信息!$AF$5:$AF$164,$K334)</f>
        <v>424596.02555648034</v>
      </c>
      <c r="AI334" s="12">
        <f>MIN(INDEX(其他调用!$AK$5:$AK$364,MATCH($K334,其他调用!$AG$5:$AG$364,0),1)/INDEX(其他调用!AH$5:AH$364,MATCH($K334,其他调用!$AG$5:$AG$364,0),0),1)*INDEX(其他调用!Y$5:Y$404,MATCH($K334,其他调用!$X$5:$X$404,0),0)</f>
        <v>43007.582654797239</v>
      </c>
      <c r="AJ334" s="12">
        <f>MIN(INDEX(其他调用!$AK$5:$AK$364,MATCH($K334,其他调用!$AG$5:$AG$364,0),1)/INDEX(其他调用!AI$5:AI$364,MATCH($K334,其他调用!$AG$5:$AG$364,0),0),1)*INDEX(其他调用!Z$5:Z$404,MATCH($K334,其他调用!$X$5:$X$404,0),0)</f>
        <v>44167.134886416912</v>
      </c>
      <c r="AK334" s="12">
        <f>MIN(INDEX(其他调用!$AK$5:$AK$364,MATCH($K334,其他调用!$AG$5:$AG$364,0),1)/INDEX(其他调用!AJ$5:AJ$364,MATCH($K334,其他调用!$AG$5:$AG$364,0),0),1)*INDEX(其他调用!AA$5:AA$404,MATCH($K334,其他调用!$X$5:$X$404,0),0)</f>
        <v>45701.356073908886</v>
      </c>
      <c r="AL334" s="12">
        <f>MIN(INDEX(其他调用!$AK$5:$AK$364,MATCH($K334,其他调用!$AG$5:$AG$364,0),1)/INDEX(其他调用!AK$5:AK$364,MATCH($K334,其他调用!$AG$5:$AG$364,0),0),1)*INDEX(其他调用!AB$5:AB$404,MATCH($K334,其他调用!$X$5:$X$404,0),0)</f>
        <v>47953.877189815932</v>
      </c>
      <c r="AM334" s="12">
        <f>MIN(INDEX(其他调用!$AK$5:$AK$364,MATCH($K334,其他调用!$AG$5:$AG$364,0),1)/INDEX(其他调用!AL$5:AL$364,MATCH($K334,其他调用!$AG$5:$AG$364,0),0),1)*INDEX(其他调用!AC$5:AC$404,MATCH($K334,其他调用!$X$5:$X$404,0),0)</f>
        <v>29598.598915749149</v>
      </c>
      <c r="AN334" s="12">
        <f>求节点(节奏总纲!D$4:D$163,标准城池设计!AF$4:AF$163,$K334)*求节点(节奏总纲!D$4:D$163,攻城基础信息!$AG$5:$AG$164,$K334)</f>
        <v>1207555.1197499807</v>
      </c>
      <c r="AO334" s="12">
        <f>INDEX(其他调用!$AA$5:$AA$404,MATCH($K334,其他调用!$X$5:$X$404,0))*MIN(INDEX(其他调用!AL$5:AL$364,MATCH($K334,其他调用!$AG$5:$AG$364,0),1)/INDEX(其他调用!$AJ$5:$AJ$364,MATCH($K334,其他调用!$AG$5:$AG$364,0),0),5)*求节点(节奏总纲!D$4:D$163,攻城基础信息!$AG$5:$AG$164,$K334)</f>
        <v>743763.46538499428</v>
      </c>
      <c r="AP334" s="12">
        <f>MIN(INDEX(其他调用!$AL$5:$AL$364,MATCH($K334,其他调用!$AG$5:$AG$364,0),1)/INDEX(其他调用!AH$5:AH$364,MATCH($K334,其他调用!$AG$5:$AG$364,0),0),1)*INDEX(其他调用!Y$5:Y$404,MATCH($K334,其他调用!$X$5:$X$404,0),0)</f>
        <v>43007.582654797239</v>
      </c>
      <c r="AQ334" s="12">
        <f>MIN(INDEX(其他调用!$AL$5:$AL$364,MATCH($K334,其他调用!$AG$5:$AG$364,0),1)/INDEX(其他调用!AI$5:AI$364,MATCH($K334,其他调用!$AG$5:$AG$364,0),0),1)*INDEX(其他调用!Z$5:Z$404,MATCH($K334,其他调用!$X$5:$X$404,0),0)</f>
        <v>44167.134886416912</v>
      </c>
      <c r="AR334" s="12">
        <f>MIN(INDEX(其他调用!$AL$5:$AL$364,MATCH($K334,其他调用!$AG$5:$AG$364,0),1)/INDEX(其他调用!AJ$5:AJ$364,MATCH($K334,其他调用!$AG$5:$AG$364,0),0),1)*INDEX(其他调用!AA$5:AA$404,MATCH($K334,其他调用!$X$5:$X$404,0),0)</f>
        <v>45701.356073908886</v>
      </c>
      <c r="AS334" s="12">
        <f>MIN(INDEX(其他调用!$AL$5:$AL$364,MATCH($K334,其他调用!$AG$5:$AG$364,0),1)/INDEX(其他调用!AK$5:AK$364,MATCH($K334,其他调用!$AG$5:$AG$364,0),0),1)*INDEX(其他调用!AB$5:AB$404,MATCH($K334,其他调用!$X$5:$X$404,0),0)</f>
        <v>47953.877189815932</v>
      </c>
      <c r="AT334" s="12">
        <f>MIN(INDEX(其他调用!$AL$5:$AL$364,MATCH($K334,其他调用!$AG$5:$AG$364,0),1)/INDEX(其他调用!AL$5:AL$364,MATCH($K334,其他调用!$AG$5:$AG$364,0),0),1)*INDEX(其他调用!AC$5:AC$404,MATCH($K334,其他调用!$X$5:$X$404,0),0)</f>
        <v>51847.768643773466</v>
      </c>
      <c r="AV334" s="14">
        <f>IF(OR(AV$5="大R",AV$5="超R"),MAX(INDEX(其他调用!$H$5:$L$404,MATCH($K334,其他调用!$B$5:$B$404,0),MATCH(AV$5,其他调用!$H$4:$L$4,0))*120*0.85,2),INDEX(其他调用!$H$5:$L$404,MATCH($K334,其他调用!$B$5:$B$404,0),MATCH(AV$5,其他调用!$H$4:$L$4,0))*120*0.85)</f>
        <v>48.921801254999991</v>
      </c>
      <c r="AW334" s="14">
        <f>IF(OR(AW$5="大R",AW$5="超R"),MAX(INDEX(其他调用!$H$5:$L$404,MATCH($K334,其他调用!$B$5:$B$404,0),MATCH(AW$5,其他调用!$H$4:$L$4,0))*120*0.85,2),INDEX(其他调用!$H$5:$L$404,MATCH($K334,其他调用!$B$5:$B$404,0),MATCH(AW$5,其他调用!$H$4:$L$4,0))*120*0.85)</f>
        <v>48.237344010638395</v>
      </c>
      <c r="AX334" s="14">
        <f>IF(OR(AX$5="大R",AX$5="超R"),MAX(INDEX(其他调用!$H$5:$L$404,MATCH($K334,其他调用!$B$5:$B$404,0),MATCH(AX$5,其他调用!$H$4:$L$4,0))*120*0.85,2),INDEX(其他调用!$H$5:$L$404,MATCH($K334,其他调用!$B$5:$B$404,0),MATCH(AX$5,其他调用!$H$4:$L$4,0))*120*0.85)</f>
        <v>3.9376284143615998</v>
      </c>
      <c r="AY334" s="14">
        <f>IF(OR(AY$5="大R",AY$5="超R"),MAX(INDEX(其他调用!$H$5:$L$404,MATCH($K334,其他调用!$B$5:$B$404,0),MATCH(AY$5,其他调用!$H$4:$L$4,0))*120*0.85,2),INDEX(其他调用!$H$5:$L$404,MATCH($K334,其他调用!$B$5:$B$404,0),MATCH(AY$5,其他调用!$H$4:$L$4,0))*120*0.85)</f>
        <v>2</v>
      </c>
      <c r="AZ334" s="14">
        <f>IF(OR(AZ$5="大R",AZ$5="超R"),MAX(INDEX(其他调用!$H$5:$L$404,MATCH($K334,其他调用!$B$5:$B$404,0),MATCH(AZ$5,其他调用!$H$4:$L$4,0))*120*0.85,2),INDEX(其他调用!$H$5:$L$404,MATCH($K334,其他调用!$B$5:$B$404,0),MATCH(AZ$5,其他调用!$H$4:$L$4,0))*120*0.85)</f>
        <v>2</v>
      </c>
      <c r="BA334" s="14">
        <f>INDEX(其他调用!$H$5:$L$404,MATCH($K334,其他调用!$B$5:$B$404,0),MATCH(BA$5,其他调用!$H$4:$L$4,0))*INDEX(其他调用!$M$5:$M$404,MATCH($K334,其他调用!$B$5:$B$404,0))*0.6</f>
        <v>28.777530149999997</v>
      </c>
      <c r="BB334" s="14">
        <f>INDEX(其他调用!$H$5:$L$404,MATCH($K334,其他调用!$B$5:$B$404,0),MATCH(BB$5,其他调用!$H$4:$L$4,0))*INDEX(其他调用!$M$5:$M$404,MATCH($K334,其他调用!$B$5:$B$404,0))*0.6</f>
        <v>28.374908241551999</v>
      </c>
      <c r="BC334" s="14">
        <f>INDEX(其他调用!$H$5:$L$404,MATCH($K334,其他调用!$B$5:$B$404,0),MATCH(BC$5,其他调用!$H$4:$L$4,0))*INDEX(其他调用!$M$5:$M$404,MATCH($K334,其他调用!$B$5:$B$404,0))*0.6</f>
        <v>2.3162520084480001</v>
      </c>
      <c r="BD334" s="14">
        <f>INDEX(其他调用!$H$5:$L$404,MATCH($K334,其他调用!$B$5:$B$404,0),MATCH(BD$5,其他调用!$H$4:$L$4,0))*INDEX(其他调用!$M$5:$M$404,MATCH($K334,其他调用!$B$5:$B$404,0))*0.6</f>
        <v>0.4120776000000001</v>
      </c>
      <c r="BE334" s="14">
        <f>INDEX(其他调用!$H$5:$L$404,MATCH($K334,其他调用!$B$5:$B$404,0),MATCH(BE$5,其他调用!$H$4:$L$4,0))*INDEX(其他调用!$M$5:$M$404,MATCH($K334,其他调用!$B$5:$B$404,0))*0.6</f>
        <v>0.11923199999999998</v>
      </c>
      <c r="BF334" s="14">
        <f>IF(OR(BF$5="大R",BF$5="超R"),0,INDEX(其他调用!$H$5:$L$404,MATCH($K334,其他调用!$B$5:$B$404,0),MATCH(BF$5,其他调用!$H$4:$L$4,0))*50*0.4)</f>
        <v>9.5925100500000013</v>
      </c>
      <c r="BG334" s="14">
        <f>IF(OR(BG$5="大R",BG$5="超R"),0,INDEX(其他调用!$H$5:$L$404,MATCH($K334,其他调用!$B$5:$B$404,0),MATCH(BG$5,其他调用!$H$4:$L$4,0))*50*0.4)</f>
        <v>9.4583027471839998</v>
      </c>
      <c r="BH334" s="14">
        <f>IF(OR(BH$5="大R",BH$5="超R"),0,INDEX(其他调用!$H$5:$L$404,MATCH($K334,其他调用!$B$5:$B$404,0),MATCH(BH$5,其他调用!$H$4:$L$4,0))*50*0.4)</f>
        <v>0.77208400281600009</v>
      </c>
      <c r="BI334" s="14">
        <f>IF(OR(BI$5="大R",BI$5="超R"),0,INDEX(其他调用!$H$5:$L$404,MATCH($K334,其他调用!$B$5:$B$404,0),MATCH(BI$5,其他调用!$H$4:$L$4,0))*50*0.4)</f>
        <v>0</v>
      </c>
      <c r="BJ334" s="14">
        <f>IF(OR(BJ$5="大R",BJ$5="超R"),0,INDEX(其他调用!$H$5:$L$404,MATCH($K334,其他调用!$B$5:$B$404,0),MATCH(BJ$5,其他调用!$H$4:$L$4,0))*50*0.4)</f>
        <v>0</v>
      </c>
      <c r="BL334" s="14">
        <f t="shared" si="628"/>
        <v>329</v>
      </c>
      <c r="BM334" s="14">
        <f t="shared" si="535"/>
        <v>96</v>
      </c>
      <c r="BN334" s="14">
        <f>('疲劳值&amp;地图信息'!$S$10*'疲劳值&amp;地图信息'!$R$10+'疲劳值&amp;地图信息'!$S$11*'疲劳值&amp;地图信息'!$R$11+'疲劳值&amp;地图信息'!$S$12*'疲劳值&amp;地图信息'!$R$12+(BM334-'疲劳值&amp;地图信息'!$S$12-'疲劳值&amp;地图信息'!$S$11-'疲劳值&amp;地图信息'!$S$10)*'疲劳值&amp;地图信息'!$R$13)/BM334</f>
        <v>51.371477246638619</v>
      </c>
      <c r="BO334" s="14">
        <f>INDEX(其他调用!$M$5:$M$404,MATCH(BL334,其他调用!$B$5:$B$404,0))*0.6</f>
        <v>60</v>
      </c>
      <c r="BP334" s="14">
        <f>IF(BO334&gt;SUM('疲劳值&amp;地图信息'!$S$10:$S$12),('疲劳值&amp;地图信息'!$S$10*'疲劳值&amp;地图信息'!$R$10+'疲劳值&amp;地图信息'!$S$11*'疲劳值&amp;地图信息'!$R$11+'疲劳值&amp;地图信息'!$S$12*'疲劳值&amp;地图信息'!$R$12+(BO334-'疲劳值&amp;地图信息'!$S$12-'疲劳值&amp;地图信息'!$S$11-'疲劳值&amp;地图信息'!$S$10)*'疲劳值&amp;地图信息'!$R$13)/BO334,('疲劳值&amp;地图信息'!$S$10*'疲劳值&amp;地图信息'!$R$10+'疲劳值&amp;地图信息'!$S$11*'疲劳值&amp;地图信息'!$R$11+'疲劳值&amp;地图信息'!$S$12*'疲劳值&amp;地图信息'!$R$12+(BO334-'疲劳值&amp;地图信息'!$S$12-'疲劳值&amp;地图信息'!$S$11-'疲劳值&amp;地图信息'!$S$10)*'疲劳值&amp;地图信息'!$R$13)/BO334)</f>
        <v>44.158136341605953</v>
      </c>
      <c r="BQ334" s="14">
        <f t="shared" si="629"/>
        <v>20</v>
      </c>
      <c r="BR334" s="14">
        <f>('疲劳值&amp;地图信息'!$S$10*'疲劳值&amp;地图信息'!$R$10+($BQ334-'疲劳值&amp;地图信息'!$S$10)*'疲劳值&amp;地图信息'!$R$11)/$BQ334</f>
        <v>32.067203015074995</v>
      </c>
      <c r="CF334" s="14">
        <v>329</v>
      </c>
      <c r="CG334" s="51">
        <f t="shared" si="536"/>
        <v>16651</v>
      </c>
      <c r="CH334" s="51">
        <f t="shared" si="537"/>
        <v>1058</v>
      </c>
      <c r="CI334" s="51">
        <f>INT(SUMPRODUCT($N334:$R334,$BA334:$BE334)/SUM($BA334:$BE334)/10000*$BX$7*$BZ$34/'疲劳值&amp;地图信息'!$R$10*$BY$53)</f>
        <v>3377</v>
      </c>
      <c r="CJ334" s="50">
        <f t="shared" si="538"/>
        <v>0.78967087166840555</v>
      </c>
      <c r="CK334" s="50">
        <f t="shared" si="539"/>
        <v>5.0175471877074836E-2</v>
      </c>
      <c r="CL334" s="50">
        <f t="shared" si="540"/>
        <v>0.16015365645451959</v>
      </c>
      <c r="CM334" s="14">
        <f t="shared" si="541"/>
        <v>18260</v>
      </c>
      <c r="CN334" s="14">
        <f t="shared" si="542"/>
        <v>1836</v>
      </c>
      <c r="CO334" s="14">
        <f>INT(SUMPRODUCT($U334:$Y334,$BA334:$BE334)/SUM($BA334:$BE334)/10000*$BX$7*$BZ$34/'疲劳值&amp;地图信息'!$R$10*$BY$54)</f>
        <v>6482</v>
      </c>
      <c r="CP334" s="50">
        <f t="shared" si="543"/>
        <v>0.68703438934457073</v>
      </c>
      <c r="CQ334" s="50">
        <f t="shared" si="544"/>
        <v>6.9079689969147415E-2</v>
      </c>
      <c r="CR334" s="50">
        <f t="shared" si="545"/>
        <v>0.2438859206862819</v>
      </c>
      <c r="CS334" s="14">
        <f t="shared" si="546"/>
        <v>19898</v>
      </c>
      <c r="CT334" s="14">
        <f t="shared" si="547"/>
        <v>3260</v>
      </c>
      <c r="CU334" s="14">
        <f>INT(SUMPRODUCT($AB334:$AF334,$BA334:$BE334)/SUM($BA334:$BE334)/10000*$BX$7*$BZ$34/'疲劳值&amp;地图信息'!$R$10*$BY$55)</f>
        <v>8812</v>
      </c>
      <c r="CV334" s="50">
        <f t="shared" si="548"/>
        <v>0.62239599624648112</v>
      </c>
      <c r="CW334" s="50">
        <f t="shared" si="549"/>
        <v>0.1019705974350954</v>
      </c>
      <c r="CX334" s="50">
        <f t="shared" si="550"/>
        <v>0.27563340631842354</v>
      </c>
      <c r="CY334" s="14">
        <f t="shared" si="551"/>
        <v>23802</v>
      </c>
      <c r="CZ334" s="14">
        <f t="shared" si="552"/>
        <v>8653</v>
      </c>
      <c r="DA334" s="14">
        <f>INT(SUMPRODUCT($AI334:$AM334,$BA334:$BE334)/SUM($BA334:$BE334)/10000*$BX$7*$BZ$34/'疲劳值&amp;地图信息'!$R$10*$BY$56)</f>
        <v>13292</v>
      </c>
      <c r="DB334" s="50">
        <f t="shared" si="553"/>
        <v>0.5202964128795331</v>
      </c>
      <c r="DC334" s="50">
        <f t="shared" si="554"/>
        <v>0.18914901523597175</v>
      </c>
      <c r="DD334" s="50">
        <f t="shared" si="555"/>
        <v>0.29055457188449518</v>
      </c>
      <c r="DE334" s="14">
        <f t="shared" si="556"/>
        <v>24611</v>
      </c>
      <c r="DF334" s="14">
        <f t="shared" si="557"/>
        <v>15158</v>
      </c>
      <c r="DG334" s="14">
        <f>INT(SUMPRODUCT($AP334:$AT334,$BA334:$BE334)/SUM($BA334:$BE334)/10000*$BX$7*$BZ$34/'疲劳值&amp;地图信息'!$R$10*$BY$57)</f>
        <v>17741</v>
      </c>
      <c r="DH334" s="50">
        <f t="shared" si="558"/>
        <v>0.42794296644061902</v>
      </c>
      <c r="DI334" s="50">
        <f t="shared" si="559"/>
        <v>0.2635715527734307</v>
      </c>
      <c r="DJ334" s="50">
        <f t="shared" si="560"/>
        <v>0.30848548078595028</v>
      </c>
      <c r="DL334" s="14">
        <f t="shared" si="526"/>
        <v>21086</v>
      </c>
      <c r="DM334" s="14">
        <f t="shared" si="527"/>
        <v>26578</v>
      </c>
      <c r="DN334" s="14">
        <f t="shared" si="528"/>
        <v>31970</v>
      </c>
      <c r="DO334" s="14">
        <f t="shared" si="529"/>
        <v>45747</v>
      </c>
      <c r="DP334" s="14">
        <f t="shared" si="530"/>
        <v>57510</v>
      </c>
      <c r="DQ334" s="14">
        <f t="shared" si="531"/>
        <v>1460710</v>
      </c>
      <c r="DT334" s="14">
        <f t="shared" si="630"/>
        <v>235575</v>
      </c>
      <c r="DU334" s="50">
        <f t="shared" si="532"/>
        <v>0.13887701653908394</v>
      </c>
      <c r="DW334" s="14">
        <f t="shared" si="561"/>
        <v>1696285</v>
      </c>
      <c r="EB334" s="14">
        <v>329</v>
      </c>
      <c r="EC334" s="51">
        <f t="shared" si="562"/>
        <v>27752</v>
      </c>
      <c r="ED334" s="51">
        <f t="shared" si="563"/>
        <v>1764</v>
      </c>
      <c r="EE334" s="51">
        <f>INT(SUMPRODUCT($N334:$R334,$BF334:$BJ334)/SUM($BF334:$BJ334)/10000*$BX$7*$BZ$46/'疲劳值&amp;地图信息'!$R$10*$BY$53)</f>
        <v>453</v>
      </c>
      <c r="EF334" s="50">
        <f t="shared" si="564"/>
        <v>0.92602355767626543</v>
      </c>
      <c r="EG334" s="50">
        <f t="shared" si="565"/>
        <v>5.8860822850278618E-2</v>
      </c>
      <c r="EH334" s="50">
        <f t="shared" si="566"/>
        <v>1.5115619473455905E-2</v>
      </c>
      <c r="EI334" s="51">
        <f t="shared" si="567"/>
        <v>30434</v>
      </c>
      <c r="EJ334" s="51">
        <f t="shared" si="568"/>
        <v>3060</v>
      </c>
      <c r="EK334" s="14">
        <f>INT(SUMPRODUCT($U334:$Y334,$BF334:$BJ334)/SUM($BF334:$BJ334)/10000*$BX$7*$BZ$46/'疲劳值&amp;地图信息'!$R$10*$BY$54)</f>
        <v>870</v>
      </c>
      <c r="EL334" s="50">
        <f t="shared" si="569"/>
        <v>0.88563613083459436</v>
      </c>
      <c r="EM334" s="50">
        <f t="shared" si="570"/>
        <v>8.9046676754743342E-2</v>
      </c>
      <c r="EN334" s="50">
        <f t="shared" si="571"/>
        <v>2.5317192410662322E-2</v>
      </c>
      <c r="EO334" s="51">
        <f t="shared" si="572"/>
        <v>33164</v>
      </c>
      <c r="EP334" s="51">
        <f t="shared" si="573"/>
        <v>5433</v>
      </c>
      <c r="EQ334" s="14">
        <f>INT(SUMPRODUCT($AB334:$AF334,$BF334:$BJ334)/SUM($BF334:$BJ334)/10000*$BX$7*$BZ$46/'疲劳值&amp;地图信息'!$R$10*$BY$55)</f>
        <v>1181</v>
      </c>
      <c r="ER334" s="50">
        <f t="shared" si="574"/>
        <v>0.83372718588164307</v>
      </c>
      <c r="ES334" s="50">
        <f t="shared" si="575"/>
        <v>0.13658303584896173</v>
      </c>
      <c r="ET334" s="50">
        <f t="shared" si="576"/>
        <v>2.9689778269395142E-2</v>
      </c>
      <c r="EU334" s="51">
        <f t="shared" si="577"/>
        <v>39670</v>
      </c>
      <c r="EV334" s="51">
        <f t="shared" si="578"/>
        <v>14423</v>
      </c>
      <c r="EW334" s="14">
        <f>INT(SUMPRODUCT($AI334:$AM334,$BF334:$BJ334)/SUM($BF334:$BJ334)/10000*$BX$7*$BZ$46/'疲劳值&amp;地图信息'!$R$10*$BY$56)</f>
        <v>1772</v>
      </c>
      <c r="EX334" s="50">
        <f t="shared" si="579"/>
        <v>0.71010471672782605</v>
      </c>
      <c r="EY334" s="50">
        <f t="shared" si="580"/>
        <v>0.25817595990333841</v>
      </c>
      <c r="EZ334" s="50">
        <f t="shared" si="581"/>
        <v>3.1719323368835588E-2</v>
      </c>
      <c r="FA334" s="51">
        <f t="shared" si="582"/>
        <v>41019</v>
      </c>
      <c r="FB334" s="51">
        <f t="shared" si="583"/>
        <v>25264</v>
      </c>
      <c r="FC334" s="14">
        <f>INT(SUMPRODUCT($AP334:$AT334,$BF334:$BJ334)/SUM($BF334:$BJ334)/10000*$BX$7*$BZ$46/'疲劳值&amp;地图信息'!$R$10*$BY$57)</f>
        <v>2363</v>
      </c>
      <c r="FD334" s="50">
        <f t="shared" si="584"/>
        <v>0.59754392098592779</v>
      </c>
      <c r="FE334" s="50">
        <f t="shared" si="585"/>
        <v>0.36803309733997613</v>
      </c>
      <c r="FF334" s="50">
        <f t="shared" si="586"/>
        <v>3.442298167409609E-2</v>
      </c>
      <c r="FH334" s="14">
        <f t="shared" si="587"/>
        <v>29969</v>
      </c>
      <c r="FI334" s="14">
        <f t="shared" si="588"/>
        <v>34364</v>
      </c>
      <c r="FJ334" s="14">
        <f t="shared" si="589"/>
        <v>39778</v>
      </c>
      <c r="FK334" s="14">
        <f t="shared" si="590"/>
        <v>55865</v>
      </c>
      <c r="FL334" s="14">
        <f t="shared" si="591"/>
        <v>68646</v>
      </c>
      <c r="FM334" s="14">
        <f t="shared" si="592"/>
        <v>3529418</v>
      </c>
      <c r="FP334" s="14">
        <f t="shared" si="593"/>
        <v>334150</v>
      </c>
      <c r="FQ334" s="50">
        <f t="shared" si="533"/>
        <v>8.648741267139598E-2</v>
      </c>
      <c r="FS334" s="14">
        <f t="shared" si="594"/>
        <v>3863568</v>
      </c>
      <c r="FX334" s="14">
        <v>329</v>
      </c>
      <c r="FY334" s="51">
        <f t="shared" si="595"/>
        <v>38852</v>
      </c>
      <c r="FZ334" s="51">
        <f t="shared" si="596"/>
        <v>1764</v>
      </c>
      <c r="GA334" s="51">
        <f>INT(SUMPRODUCT($N334:$R334,$BF334:$BJ334)/SUM($BF334:$BJ334)/10000*$BX$7*$BZ$46/'疲劳值&amp;地图信息'!$R$10*$BY$53)</f>
        <v>453</v>
      </c>
      <c r="GB334" s="50">
        <f t="shared" si="597"/>
        <v>0.94601767756702138</v>
      </c>
      <c r="GC334" s="50">
        <f t="shared" si="598"/>
        <v>4.2952104994034429E-2</v>
      </c>
      <c r="GD334" s="50">
        <f t="shared" si="599"/>
        <v>1.1030217438944216E-2</v>
      </c>
      <c r="GE334" s="51">
        <f t="shared" si="600"/>
        <v>42608</v>
      </c>
      <c r="GF334" s="51">
        <f t="shared" si="601"/>
        <v>3060</v>
      </c>
      <c r="GG334" s="14">
        <f>INT(SUMPRODUCT($U334:$Y334,$BF334:$BJ334)/SUM($BF334:$BJ334)/10000*$BX$7*$BZ$46/'疲劳值&amp;地图信息'!$R$10*$BY$54)</f>
        <v>870</v>
      </c>
      <c r="GH334" s="50">
        <f t="shared" si="602"/>
        <v>0.91555288151618031</v>
      </c>
      <c r="GI334" s="50">
        <f t="shared" si="603"/>
        <v>6.5752718208775623E-2</v>
      </c>
      <c r="GJ334" s="50">
        <f t="shared" si="604"/>
        <v>1.869440027504405E-2</v>
      </c>
      <c r="GK334" s="51">
        <f t="shared" si="605"/>
        <v>46429</v>
      </c>
      <c r="GL334" s="51">
        <f t="shared" si="606"/>
        <v>5433</v>
      </c>
      <c r="GM334" s="14">
        <f>INT(SUMPRODUCT($AB334:$AF334,$BF334:$BJ334)/SUM($BF334:$BJ334)/10000*$BX$7*$BZ$46/'疲劳值&amp;地图信息'!$R$10*$BY$55)</f>
        <v>1181</v>
      </c>
      <c r="GN334" s="50">
        <f t="shared" si="607"/>
        <v>0.87530871179986047</v>
      </c>
      <c r="GO334" s="50">
        <f t="shared" si="608"/>
        <v>0.10242633335218597</v>
      </c>
      <c r="GP334" s="50">
        <f t="shared" si="609"/>
        <v>2.2264954847953548E-2</v>
      </c>
      <c r="GQ334" s="51">
        <f t="shared" si="610"/>
        <v>55538</v>
      </c>
      <c r="GR334" s="51">
        <f t="shared" si="611"/>
        <v>14423</v>
      </c>
      <c r="GS334" s="14">
        <f>INT(SUMPRODUCT($AI334:$AM334,$BF334:$BJ334)/SUM($BF334:$BJ334)/10000*$BX$7*$BZ$46/'疲劳值&amp;地图信息'!$R$10*$BY$56)</f>
        <v>1772</v>
      </c>
      <c r="GT334" s="50">
        <f t="shared" si="612"/>
        <v>0.77423222226869082</v>
      </c>
      <c r="GU334" s="50">
        <f t="shared" si="613"/>
        <v>0.20106506071124866</v>
      </c>
      <c r="GV334" s="50">
        <f t="shared" si="614"/>
        <v>2.4702717020060501E-2</v>
      </c>
      <c r="GW334" s="51">
        <f t="shared" si="615"/>
        <v>57426</v>
      </c>
      <c r="GX334" s="51">
        <f t="shared" si="616"/>
        <v>25264</v>
      </c>
      <c r="GY334" s="14">
        <f>INT(SUMPRODUCT($AP334:$AT334,$BF334:$BJ334)/SUM($BF334:$BJ334)/10000*$BX$7*$BZ$46/'疲劳值&amp;地图信息'!$R$10*$BY$57)</f>
        <v>2363</v>
      </c>
      <c r="GZ334" s="50">
        <f t="shared" si="617"/>
        <v>0.67517900603153325</v>
      </c>
      <c r="HA334" s="50">
        <f t="shared" si="618"/>
        <v>0.29703831728451674</v>
      </c>
      <c r="HB334" s="50">
        <f t="shared" si="619"/>
        <v>2.7782676683950007E-2</v>
      </c>
      <c r="HD334" s="14">
        <f t="shared" si="620"/>
        <v>41069</v>
      </c>
      <c r="HE334" s="14">
        <f t="shared" si="621"/>
        <v>46538</v>
      </c>
      <c r="HF334" s="14">
        <f t="shared" si="622"/>
        <v>53043</v>
      </c>
      <c r="HG334" s="14">
        <f t="shared" si="623"/>
        <v>71733</v>
      </c>
      <c r="HH334" s="14">
        <f t="shared" si="624"/>
        <v>85053</v>
      </c>
      <c r="HI334" s="14">
        <f t="shared" si="625"/>
        <v>4776474</v>
      </c>
      <c r="HL334" s="14">
        <f t="shared" si="626"/>
        <v>430050</v>
      </c>
      <c r="HM334" s="50">
        <f t="shared" si="534"/>
        <v>8.2598293986544571E-2</v>
      </c>
      <c r="HO334" s="14">
        <f t="shared" si="627"/>
        <v>5206524</v>
      </c>
    </row>
    <row r="335" spans="11:223" x14ac:dyDescent="0.2">
      <c r="K335" s="14">
        <v>330</v>
      </c>
      <c r="L335" s="12">
        <f>求节点(节奏总纲!D$4:D$163,标准城池设计!AB$4:AB$163,$K335)*求节点(节奏总纲!D$4:D$163,攻城基础信息!$AC$5:$AC$164,$K335)</f>
        <v>818105.01062203513</v>
      </c>
      <c r="M335" s="12">
        <f>INDEX(其他调用!$AA$5:$AA$404,MATCH(K335,其他调用!$X$5:$X$404,0))*MIN(INDEX(其他调用!$AH$5:$AH$364,MATCH('征服点（新）'!K335,其他调用!$AG$5:$AG$364,0),1)/INDEX(其他调用!$AJ$5:$AJ$364,MATCH(K335,其他调用!$AG$5:$AG$364,0),0),5)*求节点(节奏总纲!D$4:D$163,攻城基础信息!$AC$5:$AC$164,$K335)</f>
        <v>51882.840435521961</v>
      </c>
      <c r="N335" s="12">
        <f>MIN(INDEX(其他调用!$AH$5:$AH$364,MATCH($K335,其他调用!$AG$5:$AG$364,0),1)/INDEX(其他调用!AH$5:AH$364,MATCH($K335,其他调用!$AG$5:$AG$364,0),0),1)*INDEX(其他调用!Y$5:Y$404,MATCH($K335,其他调用!$X$5:$X$404,0),0)</f>
        <v>43025.392140709781</v>
      </c>
      <c r="O335" s="12">
        <f>MIN(INDEX(其他调用!$AH$5:$AH$364,MATCH($K335,其他调用!$AG$5:$AG$364,0),1)/INDEX(其他调用!AI$5:AI$364,MATCH($K335,其他调用!$AG$5:$AG$364,0),0),1)*INDEX(其他调用!Z$5:Z$404,MATCH($K335,其他调用!$X$5:$X$404,0),0)</f>
        <v>25456.161415920873</v>
      </c>
      <c r="P335" s="12">
        <f>MIN(INDEX(其他调用!$AH$5:$AH$364,MATCH($K335,其他调用!$AG$5:$AG$364,0),1)/INDEX(其他调用!AJ$5:AJ$364,MATCH($K335,其他调用!$AG$5:$AG$364,0),0),1)*INDEX(其他调用!AA$5:AA$404,MATCH($K335,其他调用!$X$5:$X$404,0),0)</f>
        <v>14823.668695863427</v>
      </c>
      <c r="Q335" s="12">
        <f>MIN(INDEX(其他调用!$AH$5:$AH$364,MATCH($K335,其他调用!$AG$5:$AG$364,0),1)/INDEX(其他调用!AK$5:AK$364,MATCH($K335,其他调用!$AG$5:$AG$364,0),0),1)*INDEX(其他调用!AB$5:AB$404,MATCH($K335,其他调用!$X$5:$X$404,0),0)</f>
        <v>5869.2245249672387</v>
      </c>
      <c r="R335" s="12">
        <f>MIN(INDEX(其他调用!$AH$5:$AH$364,MATCH($K335,其他调用!$AG$5:$AG$364,0),1)/INDEX(其他调用!AL$5:AL$364,MATCH($K335,其他调用!$AG$5:$AG$364,0),0),1)*INDEX(其他调用!AC$5:AC$404,MATCH($K335,其他调用!$X$5:$X$404,0),0)</f>
        <v>3628.1604598534936</v>
      </c>
      <c r="S335" s="12">
        <f>求节点(节奏总纲!D$4:D$163,标准城池设计!AC$4:AC$163,$K335)*求节点(节奏总纲!D$4:D$163,攻城基础信息!$AD$5:$AD$164,$K335)</f>
        <v>897173.07046737697</v>
      </c>
      <c r="T335" s="12">
        <f>INDEX(其他调用!$AA$5:$AA$404,MATCH($K335,其他调用!$X$5:$X$404,0))*MIN(INDEX(其他调用!AI$5:AI$364,MATCH($K335,其他调用!$AG$5:$AG$364,0),1)/INDEX(其他调用!$AJ$5:$AJ$364,MATCH($K335,其他调用!$AG$5:$AG$364,0),0),5)*求节点(节奏总纲!D$4:D$163,攻城基础信息!$AD$5:$AD$164,$K335)</f>
        <v>90054.541984623633</v>
      </c>
      <c r="U335" s="12">
        <f>MIN(INDEX(其他调用!$AI$5:$AI$364,MATCH($K335,其他调用!$AG$5:$AG$364,0),1)/INDEX(其他调用!AH$5:AH$364,MATCH($K335,其他调用!$AG$5:$AG$364,0),0),1)*INDEX(其他调用!Y$5:Y$404,MATCH($K335,其他调用!$X$5:$X$404,0),0)</f>
        <v>43025.392140709781</v>
      </c>
      <c r="V335" s="12">
        <f>MIN(INDEX(其他调用!$AI$5:$AI$364,MATCH($K335,其他调用!$AG$5:$AG$364,0),1)/INDEX(其他调用!AI$5:AI$364,MATCH($K335,其他调用!$AG$5:$AG$364,0),0),1)*INDEX(其他调用!Z$5:Z$404,MATCH($K335,其他调用!$X$5:$X$404,0),0)</f>
        <v>44184.993299400485</v>
      </c>
      <c r="W335" s="12">
        <f>MIN(INDEX(其他调用!$AI$5:$AI$364,MATCH($K335,其他调用!$AG$5:$AG$364,0),1)/INDEX(其他调用!AJ$5:AJ$364,MATCH($K335,其他调用!$AG$5:$AG$364,0),0),1)*INDEX(其他调用!AA$5:AA$404,MATCH($K335,其他调用!$X$5:$X$404,0),0)</f>
        <v>25729.869138463913</v>
      </c>
      <c r="X335" s="12">
        <f>MIN(INDEX(其他调用!$AI$5:$AI$364,MATCH($K335,其他调用!$AG$5:$AG$364,0),1)/INDEX(其他调用!AK$5:AK$364,MATCH($K335,其他调用!$AG$5:$AG$364,0),0),1)*INDEX(其他调用!AB$5:AB$404,MATCH($K335,其他调用!$X$5:$X$404,0),0)</f>
        <v>10187.382224334986</v>
      </c>
      <c r="Y335" s="12">
        <f>MIN(INDEX(其他调用!$AI$5:$AI$364,MATCH($K335,其他调用!$AG$5:$AG$364,0),1)/INDEX(其他调用!AL$5:AL$364,MATCH($K335,其他调用!$AG$5:$AG$364,0),0),1)*INDEX(其他调用!AC$5:AC$404,MATCH($K335,其他调用!$X$5:$X$404,0),0)</f>
        <v>6297.5027141175597</v>
      </c>
      <c r="Z335" s="12">
        <f>求节点(节奏总纲!D$4:D$163,标准城池设计!AD$4:AD$163,$K335)*求节点(节奏总纲!D$4:D$163,攻城基础信息!$AE$5:$AE$164,$K335)</f>
        <v>977614.99230594374</v>
      </c>
      <c r="AA335" s="12">
        <f>INDEX(其他调用!$AA$5:$AA$404,MATCH($K335,其他调用!$X$5:$X$404,0))*MIN(INDEX(其他调用!AJ$5:AJ$364,MATCH($K335,其他调用!$AG$5:$AG$364,0),1)/INDEX(其他调用!$AJ$5:$AJ$364,MATCH($K335,其他调用!$AG$5:$AG$364,0),0),5)*求节点(节奏总纲!D$4:D$163,攻城基础信息!$AE$5:$AE$164,$K335)</f>
        <v>160019.45563566234</v>
      </c>
      <c r="AB335" s="12">
        <f>MIN(INDEX(其他调用!$AJ$5:$AJ$364,MATCH($K335,其他调用!$AG$5:$AG$364,0),1)/INDEX(其他调用!AH$5:AH$364,MATCH($K335,其他调用!$AG$5:$AG$364,0),0),1)*INDEX(其他调用!Y$5:Y$404,MATCH($K335,其他调用!$X$5:$X$404,0),0)</f>
        <v>43025.392140709781</v>
      </c>
      <c r="AC335" s="12">
        <f>MIN(INDEX(其他调用!$AJ$5:$AJ$364,MATCH($K335,其他调用!$AG$5:$AG$364,0),1)/INDEX(其他调用!AI$5:AI$364,MATCH($K335,其他调用!$AG$5:$AG$364,0),0),1)*INDEX(其他调用!Z$5:Z$404,MATCH($K335,其他调用!$X$5:$X$404,0),0)</f>
        <v>44184.993299400485</v>
      </c>
      <c r="AD335" s="12">
        <f>MIN(INDEX(其他调用!$AJ$5:$AJ$364,MATCH($K335,其他调用!$AG$5:$AG$364,0),1)/INDEX(其他调用!AJ$5:AJ$364,MATCH($K335,其他调用!$AG$5:$AG$364,0),0),1)*INDEX(其他调用!AA$5:AA$404,MATCH($K335,其他调用!$X$5:$X$404,0),0)</f>
        <v>45719.844467332121</v>
      </c>
      <c r="AE335" s="12">
        <f>MIN(INDEX(其他调用!$AJ$5:$AJ$364,MATCH($K335,其他调用!$AG$5:$AG$364,0),1)/INDEX(其他调用!AK$5:AK$364,MATCH($K335,其他调用!$AG$5:$AG$364,0),0),1)*INDEX(其他调用!AB$5:AB$404,MATCH($K335,其他调用!$X$5:$X$404,0),0)</f>
        <v>18102.133684371547</v>
      </c>
      <c r="AF335" s="12">
        <f>MIN(INDEX(其他调用!$AJ$5:$AJ$364,MATCH($K335,其他调用!$AG$5:$AG$364,0),1)/INDEX(其他调用!AL$5:AL$364,MATCH($K335,其他调用!$AG$5:$AG$364,0),0),1)*INDEX(其他调用!AC$5:AC$404,MATCH($K335,其他调用!$X$5:$X$404,0),0)</f>
        <v>11190.140263544527</v>
      </c>
      <c r="AG335" s="12">
        <f>求节点(节奏总纲!D$4:D$163,标准城池设计!AE$4:AE$163,$K335)*求节点(节奏总纲!D$4:D$163,攻城基础信息!$AF$5:$AF$164,$K335)</f>
        <v>1168985.9092851172</v>
      </c>
      <c r="AH335" s="12">
        <f>INDEX(其他调用!$AA$5:$AA$404,MATCH($K335,其他调用!$X$5:$X$404,0))*MIN(INDEX(其他调用!AK$5:AK$364,MATCH($K335,其他调用!$AG$5:$AG$364,0),1)/INDEX(其他调用!$AJ$5:$AJ$364,MATCH($K335,其他调用!$AG$5:$AG$364,0),0),5)*求节点(节奏总纲!D$4:D$163,攻城基础信息!$AF$5:$AF$164,$K335)</f>
        <v>424062.64926870831</v>
      </c>
      <c r="AI335" s="12">
        <f>MIN(INDEX(其他调用!$AK$5:$AK$364,MATCH($K335,其他调用!$AG$5:$AG$364,0),1)/INDEX(其他调用!AH$5:AH$364,MATCH($K335,其他调用!$AG$5:$AG$364,0),0),1)*INDEX(其他调用!Y$5:Y$404,MATCH($K335,其他调用!$X$5:$X$404,0),0)</f>
        <v>43025.392140709781</v>
      </c>
      <c r="AJ335" s="12">
        <f>MIN(INDEX(其他调用!$AK$5:$AK$364,MATCH($K335,其他调用!$AG$5:$AG$364,0),1)/INDEX(其他调用!AI$5:AI$364,MATCH($K335,其他调用!$AG$5:$AG$364,0),0),1)*INDEX(其他调用!Z$5:Z$404,MATCH($K335,其他调用!$X$5:$X$404,0),0)</f>
        <v>44184.993299400485</v>
      </c>
      <c r="AK335" s="12">
        <f>MIN(INDEX(其他调用!$AK$5:$AK$364,MATCH($K335,其他调用!$AG$5:$AG$364,0),1)/INDEX(其他调用!AJ$5:AJ$364,MATCH($K335,其他调用!$AG$5:$AG$364,0),0),1)*INDEX(其他调用!AA$5:AA$404,MATCH($K335,其他调用!$X$5:$X$404,0),0)</f>
        <v>45719.844467332121</v>
      </c>
      <c r="AL335" s="12">
        <f>MIN(INDEX(其他调用!$AK$5:$AK$364,MATCH($K335,其他调用!$AG$5:$AG$364,0),1)/INDEX(其他调用!AK$5:AK$364,MATCH($K335,其他调用!$AG$5:$AG$364,0),0),1)*INDEX(其他调用!AB$5:AB$404,MATCH($K335,其他调用!$X$5:$X$404,0),0)</f>
        <v>47971.909022668449</v>
      </c>
      <c r="AM335" s="12">
        <f>MIN(INDEX(其他调用!$AK$5:$AK$364,MATCH($K335,其他调用!$AG$5:$AG$364,0),1)/INDEX(其他调用!AL$5:AL$364,MATCH($K335,其他调用!$AG$5:$AG$364,0),0),1)*INDEX(其他调用!AC$5:AC$404,MATCH($K335,其他调用!$X$5:$X$404,0),0)</f>
        <v>29654.647348953862</v>
      </c>
      <c r="AN335" s="12">
        <f>求节点(节奏总纲!D$4:D$163,标准城池设计!AF$4:AF$163,$K335)*求节点(节奏总纲!D$4:D$163,攻城基础信息!$AG$5:$AG$164,$K335)</f>
        <v>1208429.2359537149</v>
      </c>
      <c r="AO335" s="12">
        <f>INDEX(其他调用!$AA$5:$AA$404,MATCH($K335,其他调用!$X$5:$X$404,0))*MIN(INDEX(其他调用!AL$5:AL$364,MATCH($K335,其他调用!$AG$5:$AG$364,0),1)/INDEX(其他调用!$AJ$5:$AJ$364,MATCH($K335,其他调用!$AG$5:$AG$364,0),0),5)*求节点(节奏总纲!D$4:D$163,攻城基础信息!$AG$5:$AG$164,$K335)</f>
        <v>741685.46212029189</v>
      </c>
      <c r="AP335" s="12">
        <f>MIN(INDEX(其他调用!$AL$5:$AL$364,MATCH($K335,其他调用!$AG$5:$AG$364,0),1)/INDEX(其他调用!AH$5:AH$364,MATCH($K335,其他调用!$AG$5:$AG$364,0),0),1)*INDEX(其他调用!Y$5:Y$404,MATCH($K335,其他调用!$X$5:$X$404,0),0)</f>
        <v>43025.392140709781</v>
      </c>
      <c r="AQ335" s="12">
        <f>MIN(INDEX(其他调用!$AL$5:$AL$364,MATCH($K335,其他调用!$AG$5:$AG$364,0),1)/INDEX(其他调用!AI$5:AI$364,MATCH($K335,其他调用!$AG$5:$AG$364,0),0),1)*INDEX(其他调用!Z$5:Z$404,MATCH($K335,其他调用!$X$5:$X$404,0),0)</f>
        <v>44184.993299400485</v>
      </c>
      <c r="AR335" s="12">
        <f>MIN(INDEX(其他调用!$AL$5:$AL$364,MATCH($K335,其他调用!$AG$5:$AG$364,0),1)/INDEX(其他调用!AJ$5:AJ$364,MATCH($K335,其他调用!$AG$5:$AG$364,0),0),1)*INDEX(其他调用!AA$5:AA$404,MATCH($K335,其他调用!$X$5:$X$404,0),0)</f>
        <v>45719.844467332121</v>
      </c>
      <c r="AS335" s="12">
        <f>MIN(INDEX(其他调用!$AL$5:$AL$364,MATCH($K335,其他调用!$AG$5:$AG$364,0),1)/INDEX(其他调用!AK$5:AK$364,MATCH($K335,其他调用!$AG$5:$AG$364,0),0),1)*INDEX(其他调用!AB$5:AB$404,MATCH($K335,其他调用!$X$5:$X$404,0),0)</f>
        <v>47971.909022668449</v>
      </c>
      <c r="AT335" s="12">
        <f>MIN(INDEX(其他调用!$AL$5:$AL$364,MATCH($K335,其他调用!$AG$5:$AG$364,0),1)/INDEX(其他调用!AL$5:AL$364,MATCH($K335,其他调用!$AG$5:$AG$364,0),0),1)*INDEX(其他调用!AC$5:AC$404,MATCH($K335,其他调用!$X$5:$X$404,0),0)</f>
        <v>51865.970419588441</v>
      </c>
      <c r="AV335" s="14">
        <f>IF(OR(AV$5="大R",AV$5="超R"),MAX(INDEX(其他调用!$H$5:$L$404,MATCH($K335,其他调用!$B$5:$B$404,0),MATCH(AV$5,其他调用!$H$4:$L$4,0))*120*0.85,2),INDEX(其他调用!$H$5:$L$404,MATCH($K335,其他调用!$B$5:$B$404,0),MATCH(AV$5,其他调用!$H$4:$L$4,0))*120*0.85)</f>
        <v>48.921801254999991</v>
      </c>
      <c r="AW335" s="14">
        <f>IF(OR(AW$5="大R",AW$5="超R"),MAX(INDEX(其他调用!$H$5:$L$404,MATCH($K335,其他调用!$B$5:$B$404,0),MATCH(AW$5,其他调用!$H$4:$L$4,0))*120*0.85,2),INDEX(其他调用!$H$5:$L$404,MATCH($K335,其他调用!$B$5:$B$404,0),MATCH(AW$5,其他调用!$H$4:$L$4,0))*120*0.85)</f>
        <v>48.237344010638395</v>
      </c>
      <c r="AX335" s="14">
        <f>IF(OR(AX$5="大R",AX$5="超R"),MAX(INDEX(其他调用!$H$5:$L$404,MATCH($K335,其他调用!$B$5:$B$404,0),MATCH(AX$5,其他调用!$H$4:$L$4,0))*120*0.85,2),INDEX(其他调用!$H$5:$L$404,MATCH($K335,其他调用!$B$5:$B$404,0),MATCH(AX$5,其他调用!$H$4:$L$4,0))*120*0.85)</f>
        <v>3.9376284143615998</v>
      </c>
      <c r="AY335" s="14">
        <f>IF(OR(AY$5="大R",AY$5="超R"),MAX(INDEX(其他调用!$H$5:$L$404,MATCH($K335,其他调用!$B$5:$B$404,0),MATCH(AY$5,其他调用!$H$4:$L$4,0))*120*0.85,2),INDEX(其他调用!$H$5:$L$404,MATCH($K335,其他调用!$B$5:$B$404,0),MATCH(AY$5,其他调用!$H$4:$L$4,0))*120*0.85)</f>
        <v>2</v>
      </c>
      <c r="AZ335" s="14">
        <f>IF(OR(AZ$5="大R",AZ$5="超R"),MAX(INDEX(其他调用!$H$5:$L$404,MATCH($K335,其他调用!$B$5:$B$404,0),MATCH(AZ$5,其他调用!$H$4:$L$4,0))*120*0.85,2),INDEX(其他调用!$H$5:$L$404,MATCH($K335,其他调用!$B$5:$B$404,0),MATCH(AZ$5,其他调用!$H$4:$L$4,0))*120*0.85)</f>
        <v>2</v>
      </c>
      <c r="BA335" s="14">
        <f>INDEX(其他调用!$H$5:$L$404,MATCH($K335,其他调用!$B$5:$B$404,0),MATCH(BA$5,其他调用!$H$4:$L$4,0))*INDEX(其他调用!$M$5:$M$404,MATCH($K335,其他调用!$B$5:$B$404,0))*0.6</f>
        <v>28.777530149999997</v>
      </c>
      <c r="BB335" s="14">
        <f>INDEX(其他调用!$H$5:$L$404,MATCH($K335,其他调用!$B$5:$B$404,0),MATCH(BB$5,其他调用!$H$4:$L$4,0))*INDEX(其他调用!$M$5:$M$404,MATCH($K335,其他调用!$B$5:$B$404,0))*0.6</f>
        <v>28.374908241551999</v>
      </c>
      <c r="BC335" s="14">
        <f>INDEX(其他调用!$H$5:$L$404,MATCH($K335,其他调用!$B$5:$B$404,0),MATCH(BC$5,其他调用!$H$4:$L$4,0))*INDEX(其他调用!$M$5:$M$404,MATCH($K335,其他调用!$B$5:$B$404,0))*0.6</f>
        <v>2.3162520084480001</v>
      </c>
      <c r="BD335" s="14">
        <f>INDEX(其他调用!$H$5:$L$404,MATCH($K335,其他调用!$B$5:$B$404,0),MATCH(BD$5,其他调用!$H$4:$L$4,0))*INDEX(其他调用!$M$5:$M$404,MATCH($K335,其他调用!$B$5:$B$404,0))*0.6</f>
        <v>0.4120776000000001</v>
      </c>
      <c r="BE335" s="14">
        <f>INDEX(其他调用!$H$5:$L$404,MATCH($K335,其他调用!$B$5:$B$404,0),MATCH(BE$5,其他调用!$H$4:$L$4,0))*INDEX(其他调用!$M$5:$M$404,MATCH($K335,其他调用!$B$5:$B$404,0))*0.6</f>
        <v>0.11923199999999998</v>
      </c>
      <c r="BF335" s="14">
        <f>IF(OR(BF$5="大R",BF$5="超R"),0,INDEX(其他调用!$H$5:$L$404,MATCH($K335,其他调用!$B$5:$B$404,0),MATCH(BF$5,其他调用!$H$4:$L$4,0))*50*0.4)</f>
        <v>9.5925100500000013</v>
      </c>
      <c r="BG335" s="14">
        <f>IF(OR(BG$5="大R",BG$5="超R"),0,INDEX(其他调用!$H$5:$L$404,MATCH($K335,其他调用!$B$5:$B$404,0),MATCH(BG$5,其他调用!$H$4:$L$4,0))*50*0.4)</f>
        <v>9.4583027471839998</v>
      </c>
      <c r="BH335" s="14">
        <f>IF(OR(BH$5="大R",BH$5="超R"),0,INDEX(其他调用!$H$5:$L$404,MATCH($K335,其他调用!$B$5:$B$404,0),MATCH(BH$5,其他调用!$H$4:$L$4,0))*50*0.4)</f>
        <v>0.77208400281600009</v>
      </c>
      <c r="BI335" s="14">
        <f>IF(OR(BI$5="大R",BI$5="超R"),0,INDEX(其他调用!$H$5:$L$404,MATCH($K335,其他调用!$B$5:$B$404,0),MATCH(BI$5,其他调用!$H$4:$L$4,0))*50*0.4)</f>
        <v>0</v>
      </c>
      <c r="BJ335" s="14">
        <f>IF(OR(BJ$5="大R",BJ$5="超R"),0,INDEX(其他调用!$H$5:$L$404,MATCH($K335,其他调用!$B$5:$B$404,0),MATCH(BJ$5,其他调用!$H$4:$L$4,0))*50*0.4)</f>
        <v>0</v>
      </c>
      <c r="BL335" s="14">
        <f t="shared" si="628"/>
        <v>330</v>
      </c>
      <c r="BM335" s="14">
        <f t="shared" si="535"/>
        <v>96</v>
      </c>
      <c r="BN335" s="14">
        <f>('疲劳值&amp;地图信息'!$S$10*'疲劳值&amp;地图信息'!$R$10+'疲劳值&amp;地图信息'!$S$11*'疲劳值&amp;地图信息'!$R$11+'疲劳值&amp;地图信息'!$S$12*'疲劳值&amp;地图信息'!$R$12+(BM335-'疲劳值&amp;地图信息'!$S$12-'疲劳值&amp;地图信息'!$S$11-'疲劳值&amp;地图信息'!$S$10)*'疲劳值&amp;地图信息'!$R$13)/BM335</f>
        <v>51.371477246638619</v>
      </c>
      <c r="BO335" s="14">
        <f>INDEX(其他调用!$M$5:$M$404,MATCH(BL335,其他调用!$B$5:$B$404,0))*0.6</f>
        <v>60</v>
      </c>
      <c r="BP335" s="14">
        <f>IF(BO335&gt;SUM('疲劳值&amp;地图信息'!$S$10:$S$12),('疲劳值&amp;地图信息'!$S$10*'疲劳值&amp;地图信息'!$R$10+'疲劳值&amp;地图信息'!$S$11*'疲劳值&amp;地图信息'!$R$11+'疲劳值&amp;地图信息'!$S$12*'疲劳值&amp;地图信息'!$R$12+(BO335-'疲劳值&amp;地图信息'!$S$12-'疲劳值&amp;地图信息'!$S$11-'疲劳值&amp;地图信息'!$S$10)*'疲劳值&amp;地图信息'!$R$13)/BO335,('疲劳值&amp;地图信息'!$S$10*'疲劳值&amp;地图信息'!$R$10+'疲劳值&amp;地图信息'!$S$11*'疲劳值&amp;地图信息'!$R$11+'疲劳值&amp;地图信息'!$S$12*'疲劳值&amp;地图信息'!$R$12+(BO335-'疲劳值&amp;地图信息'!$S$12-'疲劳值&amp;地图信息'!$S$11-'疲劳值&amp;地图信息'!$S$10)*'疲劳值&amp;地图信息'!$R$13)/BO335)</f>
        <v>44.158136341605953</v>
      </c>
      <c r="BQ335" s="14">
        <f t="shared" si="629"/>
        <v>20</v>
      </c>
      <c r="BR335" s="14">
        <f>('疲劳值&amp;地图信息'!$S$10*'疲劳值&amp;地图信息'!$R$10+($BQ335-'疲劳值&amp;地图信息'!$S$10)*'疲劳值&amp;地图信息'!$R$11)/$BQ335</f>
        <v>32.067203015074995</v>
      </c>
      <c r="CF335" s="14">
        <v>330</v>
      </c>
      <c r="CG335" s="51">
        <f t="shared" si="536"/>
        <v>16674</v>
      </c>
      <c r="CH335" s="51">
        <f t="shared" si="537"/>
        <v>1057</v>
      </c>
      <c r="CI335" s="51">
        <f>INT(SUMPRODUCT($N335:$R335,$BA335:$BE335)/SUM($BA335:$BE335)/10000*$BX$7*$BZ$34/'疲劳值&amp;地图信息'!$R$10*$BY$53)</f>
        <v>3378</v>
      </c>
      <c r="CJ335" s="50">
        <f t="shared" si="538"/>
        <v>0.78990004263584257</v>
      </c>
      <c r="CK335" s="50">
        <f t="shared" si="539"/>
        <v>5.0073428395471124E-2</v>
      </c>
      <c r="CL335" s="50">
        <f t="shared" si="540"/>
        <v>0.16002652896868635</v>
      </c>
      <c r="CM335" s="14">
        <f t="shared" si="541"/>
        <v>18285</v>
      </c>
      <c r="CN335" s="14">
        <f t="shared" si="542"/>
        <v>1835</v>
      </c>
      <c r="CO335" s="14">
        <f>INT(SUMPRODUCT($U335:$Y335,$BA335:$BE335)/SUM($BA335:$BE335)/10000*$BX$7*$BZ$34/'疲劳值&amp;地图信息'!$R$10*$BY$54)</f>
        <v>6484</v>
      </c>
      <c r="CP335" s="50">
        <f t="shared" si="543"/>
        <v>0.68730266125394679</v>
      </c>
      <c r="CQ335" s="50">
        <f t="shared" si="544"/>
        <v>6.8974590287174856E-2</v>
      </c>
      <c r="CR335" s="50">
        <f t="shared" si="545"/>
        <v>0.24372274845887837</v>
      </c>
      <c r="CS335" s="14">
        <f t="shared" si="546"/>
        <v>19925</v>
      </c>
      <c r="CT335" s="14">
        <f t="shared" si="547"/>
        <v>3261</v>
      </c>
      <c r="CU335" s="14">
        <f>INT(SUMPRODUCT($AB335:$AF335,$BA335:$BE335)/SUM($BA335:$BE335)/10000*$BX$7*$BZ$34/'疲劳值&amp;地图信息'!$R$10*$BY$55)</f>
        <v>8816</v>
      </c>
      <c r="CV335" s="50">
        <f t="shared" si="548"/>
        <v>0.62261733641647399</v>
      </c>
      <c r="CW335" s="50">
        <f t="shared" si="549"/>
        <v>0.10189988125742142</v>
      </c>
      <c r="CX335" s="50">
        <f t="shared" si="550"/>
        <v>0.27548278232610462</v>
      </c>
      <c r="CY335" s="14">
        <f t="shared" si="551"/>
        <v>23825</v>
      </c>
      <c r="CZ335" s="14">
        <f t="shared" si="552"/>
        <v>8642</v>
      </c>
      <c r="DA335" s="14">
        <f>INT(SUMPRODUCT($AI335:$AM335,$BA335:$BE335)/SUM($BA335:$BE335)/10000*$BX$7*$BZ$34/'疲劳值&amp;地图信息'!$R$10*$BY$56)</f>
        <v>13297</v>
      </c>
      <c r="DB335" s="50">
        <f t="shared" si="553"/>
        <v>0.52060571628354169</v>
      </c>
      <c r="DC335" s="50">
        <f t="shared" si="554"/>
        <v>0.1888383882527751</v>
      </c>
      <c r="DD335" s="50">
        <f t="shared" si="555"/>
        <v>0.29055589546368327</v>
      </c>
      <c r="DE335" s="14">
        <f t="shared" si="556"/>
        <v>24629</v>
      </c>
      <c r="DF335" s="14">
        <f t="shared" si="557"/>
        <v>15116</v>
      </c>
      <c r="DG335" s="14">
        <f>INT(SUMPRODUCT($AP335:$AT335,$BA335:$BE335)/SUM($BA335:$BE335)/10000*$BX$7*$BZ$34/'疲劳值&amp;地图信息'!$R$10*$BY$57)</f>
        <v>17748</v>
      </c>
      <c r="DH335" s="50">
        <f t="shared" si="558"/>
        <v>0.42838258570608595</v>
      </c>
      <c r="DI335" s="50">
        <f t="shared" si="559"/>
        <v>0.26291896404779713</v>
      </c>
      <c r="DJ335" s="50">
        <f t="shared" si="560"/>
        <v>0.30869845024611692</v>
      </c>
      <c r="DL335" s="14">
        <f t="shared" ref="DL335:DL365" si="631">SUM(CG335:CI335)</f>
        <v>21109</v>
      </c>
      <c r="DM335" s="14">
        <f t="shared" ref="DM335:DM365" si="632">SUM(CM335:CO335)</f>
        <v>26604</v>
      </c>
      <c r="DN335" s="14">
        <f t="shared" ref="DN335:DN365" si="633">SUM(CS335:CU335)</f>
        <v>32002</v>
      </c>
      <c r="DO335" s="14">
        <f t="shared" ref="DO335:DO365" si="634">SUM(CY335:DA335)</f>
        <v>45764</v>
      </c>
      <c r="DP335" s="14">
        <f t="shared" ref="DP335:DP365" si="635">SUM(DE335:DG335)</f>
        <v>57493</v>
      </c>
      <c r="DQ335" s="14">
        <f t="shared" ref="DQ335:DQ365" si="636">INT(SUMPRODUCT(DL335:DP335,$BA335:$BE335))</f>
        <v>1462188</v>
      </c>
      <c r="DT335" s="14">
        <f t="shared" si="630"/>
        <v>235575</v>
      </c>
      <c r="DU335" s="50">
        <f t="shared" si="532"/>
        <v>0.13875611613635119</v>
      </c>
      <c r="DW335" s="14">
        <f t="shared" si="561"/>
        <v>1697763</v>
      </c>
      <c r="EB335" s="14">
        <v>330</v>
      </c>
      <c r="EC335" s="51">
        <f t="shared" si="562"/>
        <v>27790</v>
      </c>
      <c r="ED335" s="51">
        <f t="shared" si="563"/>
        <v>1762</v>
      </c>
      <c r="EE335" s="51">
        <f>INT(SUMPRODUCT($N335:$R335,$BF335:$BJ335)/SUM($BF335:$BJ335)/10000*$BX$7*$BZ$46/'疲劳值&amp;地图信息'!$R$10*$BY$53)</f>
        <v>453</v>
      </c>
      <c r="EF335" s="50">
        <f t="shared" si="564"/>
        <v>0.92617897017163808</v>
      </c>
      <c r="EG335" s="50">
        <f t="shared" si="565"/>
        <v>5.8723546075654061E-2</v>
      </c>
      <c r="EH335" s="50">
        <f t="shared" si="566"/>
        <v>1.5097483752707882E-2</v>
      </c>
      <c r="EI335" s="51">
        <f t="shared" si="567"/>
        <v>30475</v>
      </c>
      <c r="EJ335" s="51">
        <f t="shared" si="568"/>
        <v>3059</v>
      </c>
      <c r="EK335" s="14">
        <f>INT(SUMPRODUCT($U335:$Y335,$BF335:$BJ335)/SUM($BF335:$BJ335)/10000*$BX$7*$BZ$46/'疲劳值&amp;地图信息'!$R$10*$BY$54)</f>
        <v>870</v>
      </c>
      <c r="EL335" s="50">
        <f t="shared" si="569"/>
        <v>0.88579816300430181</v>
      </c>
      <c r="EM335" s="50">
        <f t="shared" si="570"/>
        <v>8.8914079758167661E-2</v>
      </c>
      <c r="EN335" s="50">
        <f t="shared" si="571"/>
        <v>2.5287757237530521E-2</v>
      </c>
      <c r="EO335" s="51">
        <f t="shared" si="572"/>
        <v>33208</v>
      </c>
      <c r="EP335" s="51">
        <f t="shared" si="573"/>
        <v>5435</v>
      </c>
      <c r="EQ335" s="14">
        <f>INT(SUMPRODUCT($AB335:$AF335,$BF335:$BJ335)/SUM($BF335:$BJ335)/10000*$BX$7*$BZ$46/'疲劳值&amp;地图信息'!$R$10*$BY$55)</f>
        <v>1181</v>
      </c>
      <c r="ER335" s="50">
        <f t="shared" si="574"/>
        <v>0.83386902370429894</v>
      </c>
      <c r="ES335" s="50">
        <f t="shared" si="575"/>
        <v>0.13647549216552832</v>
      </c>
      <c r="ET335" s="50">
        <f t="shared" si="576"/>
        <v>2.9655484130172761E-2</v>
      </c>
      <c r="EU335" s="51">
        <f t="shared" si="577"/>
        <v>39709</v>
      </c>
      <c r="EV335" s="51">
        <f t="shared" si="578"/>
        <v>14404</v>
      </c>
      <c r="EW335" s="14">
        <f>INT(SUMPRODUCT($AI335:$AM335,$BF335:$BJ335)/SUM($BF335:$BJ335)/10000*$BX$7*$BZ$46/'疲劳值&amp;地图信息'!$R$10*$BY$56)</f>
        <v>1772</v>
      </c>
      <c r="EX335" s="50">
        <f t="shared" si="579"/>
        <v>0.71054844770510872</v>
      </c>
      <c r="EY335" s="50">
        <f t="shared" si="580"/>
        <v>0.25774358056723629</v>
      </c>
      <c r="EZ335" s="50">
        <f t="shared" si="581"/>
        <v>3.1707971727655007E-2</v>
      </c>
      <c r="FA335" s="51">
        <f t="shared" si="582"/>
        <v>41048</v>
      </c>
      <c r="FB335" s="51">
        <f t="shared" si="583"/>
        <v>25194</v>
      </c>
      <c r="FC335" s="14">
        <f>INT(SUMPRODUCT($AP335:$AT335,$BF335:$BJ335)/SUM($BF335:$BJ335)/10000*$BX$7*$BZ$46/'疲劳值&amp;地图信息'!$R$10*$BY$57)</f>
        <v>2363</v>
      </c>
      <c r="FD335" s="50">
        <f t="shared" si="584"/>
        <v>0.59832373733692878</v>
      </c>
      <c r="FE335" s="50">
        <f t="shared" si="585"/>
        <v>0.36723270898622551</v>
      </c>
      <c r="FF335" s="50">
        <f t="shared" si="586"/>
        <v>3.4443553676845713E-2</v>
      </c>
      <c r="FH335" s="14">
        <f t="shared" si="587"/>
        <v>30005</v>
      </c>
      <c r="FI335" s="14">
        <f t="shared" si="588"/>
        <v>34404</v>
      </c>
      <c r="FJ335" s="14">
        <f t="shared" si="589"/>
        <v>39824</v>
      </c>
      <c r="FK335" s="14">
        <f t="shared" si="590"/>
        <v>55885</v>
      </c>
      <c r="FL335" s="14">
        <f t="shared" si="591"/>
        <v>68605</v>
      </c>
      <c r="FM335" s="14">
        <f t="shared" si="592"/>
        <v>3533248</v>
      </c>
      <c r="FP335" s="14">
        <f t="shared" si="593"/>
        <v>334150</v>
      </c>
      <c r="FQ335" s="50">
        <f t="shared" si="533"/>
        <v>8.6401761597849513E-2</v>
      </c>
      <c r="FS335" s="14">
        <f t="shared" si="594"/>
        <v>3867398</v>
      </c>
      <c r="FX335" s="14">
        <v>330</v>
      </c>
      <c r="FY335" s="51">
        <f t="shared" si="595"/>
        <v>38906</v>
      </c>
      <c r="FZ335" s="51">
        <f t="shared" si="596"/>
        <v>1762</v>
      </c>
      <c r="GA335" s="51">
        <f>INT(SUMPRODUCT($N335:$R335,$BF335:$BJ335)/SUM($BF335:$BJ335)/10000*$BX$7*$BZ$46/'疲劳值&amp;地图信息'!$R$10*$BY$53)</f>
        <v>453</v>
      </c>
      <c r="GB335" s="50">
        <f t="shared" si="597"/>
        <v>0.94613457843924031</v>
      </c>
      <c r="GC335" s="50">
        <f t="shared" si="598"/>
        <v>4.2849152501155126E-2</v>
      </c>
      <c r="GD335" s="50">
        <f t="shared" si="599"/>
        <v>1.1016269059604582E-2</v>
      </c>
      <c r="GE335" s="51">
        <f t="shared" si="600"/>
        <v>42666</v>
      </c>
      <c r="GF335" s="51">
        <f t="shared" si="601"/>
        <v>3059</v>
      </c>
      <c r="GG335" s="14">
        <f>INT(SUMPRODUCT($U335:$Y335,$BF335:$BJ335)/SUM($BF335:$BJ335)/10000*$BX$7*$BZ$46/'疲劳值&amp;地图信息'!$R$10*$BY$54)</f>
        <v>870</v>
      </c>
      <c r="GH335" s="50">
        <f t="shared" si="602"/>
        <v>0.91567764781628935</v>
      </c>
      <c r="GI335" s="50">
        <f t="shared" si="603"/>
        <v>6.5650820903530416E-2</v>
      </c>
      <c r="GJ335" s="50">
        <f t="shared" si="604"/>
        <v>1.8671531280180276E-2</v>
      </c>
      <c r="GK335" s="51">
        <f t="shared" si="605"/>
        <v>46491</v>
      </c>
      <c r="GL335" s="51">
        <f t="shared" si="606"/>
        <v>5435</v>
      </c>
      <c r="GM335" s="14">
        <f>INT(SUMPRODUCT($AB335:$AF335,$BF335:$BJ335)/SUM($BF335:$BJ335)/10000*$BX$7*$BZ$46/'疲劳值&amp;地图信息'!$R$10*$BY$55)</f>
        <v>1181</v>
      </c>
      <c r="GN335" s="50">
        <f t="shared" si="607"/>
        <v>0.87542131922345456</v>
      </c>
      <c r="GO335" s="50">
        <f t="shared" si="608"/>
        <v>0.10234055774191726</v>
      </c>
      <c r="GP335" s="50">
        <f t="shared" si="609"/>
        <v>2.2238123034628205E-2</v>
      </c>
      <c r="GQ335" s="51">
        <f t="shared" si="610"/>
        <v>55592</v>
      </c>
      <c r="GR335" s="51">
        <f t="shared" si="611"/>
        <v>14404</v>
      </c>
      <c r="GS335" s="14">
        <f>INT(SUMPRODUCT($AI335:$AM335,$BF335:$BJ335)/SUM($BF335:$BJ335)/10000*$BX$7*$BZ$46/'疲劳值&amp;地图信息'!$R$10*$BY$56)</f>
        <v>1772</v>
      </c>
      <c r="GT335" s="50">
        <f t="shared" si="612"/>
        <v>0.77460706721658679</v>
      </c>
      <c r="GU335" s="50">
        <f t="shared" si="613"/>
        <v>0.20070226284695128</v>
      </c>
      <c r="GV335" s="50">
        <f t="shared" si="614"/>
        <v>2.4690669936461934E-2</v>
      </c>
      <c r="GW335" s="51">
        <f t="shared" si="615"/>
        <v>57468</v>
      </c>
      <c r="GX335" s="51">
        <f t="shared" si="616"/>
        <v>25194</v>
      </c>
      <c r="GY335" s="14">
        <f>INT(SUMPRODUCT($AP335:$AT335,$BF335:$BJ335)/SUM($BF335:$BJ335)/10000*$BX$7*$BZ$46/'疲劳值&amp;地图信息'!$R$10*$BY$57)</f>
        <v>2363</v>
      </c>
      <c r="GZ335" s="50">
        <f t="shared" si="617"/>
        <v>0.67589532490443982</v>
      </c>
      <c r="HA335" s="50">
        <f t="shared" si="618"/>
        <v>0.29631284916201117</v>
      </c>
      <c r="HB335" s="50">
        <f t="shared" si="619"/>
        <v>2.7791825933548956E-2</v>
      </c>
      <c r="HD335" s="14">
        <f t="shared" si="620"/>
        <v>41121</v>
      </c>
      <c r="HE335" s="14">
        <f t="shared" si="621"/>
        <v>46595</v>
      </c>
      <c r="HF335" s="14">
        <f t="shared" si="622"/>
        <v>53107</v>
      </c>
      <c r="HG335" s="14">
        <f t="shared" si="623"/>
        <v>71768</v>
      </c>
      <c r="HH335" s="14">
        <f t="shared" si="624"/>
        <v>85025</v>
      </c>
      <c r="HI335" s="14">
        <f t="shared" si="625"/>
        <v>4782034</v>
      </c>
      <c r="HL335" s="14">
        <f t="shared" si="626"/>
        <v>430050</v>
      </c>
      <c r="HM335" s="50">
        <f t="shared" si="534"/>
        <v>8.2510182107579239E-2</v>
      </c>
      <c r="HO335" s="14">
        <f t="shared" si="627"/>
        <v>5212084</v>
      </c>
    </row>
    <row r="336" spans="11:223" x14ac:dyDescent="0.2">
      <c r="K336" s="14">
        <v>331</v>
      </c>
      <c r="L336" s="12">
        <f>求节点(节奏总纲!D$4:D$163,标准城池设计!AB$4:AB$163,$K336)*求节点(节奏总纲!D$4:D$163,攻城基础信息!$AC$5:$AC$164,$K336)</f>
        <v>819221.66020802478</v>
      </c>
      <c r="M336" s="12">
        <f>INDEX(其他调用!$AA$5:$AA$404,MATCH(K336,其他调用!$X$5:$X$404,0))*MIN(INDEX(其他调用!$AH$5:$AH$364,MATCH('征服点（新）'!K336,其他调用!$AG$5:$AG$364,0),1)/INDEX(其他调用!$AJ$5:$AJ$364,MATCH(K336,其他调用!$AG$5:$AG$364,0),0),5)*求节点(节奏总纲!D$4:D$163,攻城基础信息!$AC$5:$AC$164,$K336)</f>
        <v>51829.528577691031</v>
      </c>
      <c r="N336" s="12">
        <f>MIN(INDEX(其他调用!$AH$5:$AH$364,MATCH($K336,其他调用!$AG$5:$AG$364,0),1)/INDEX(其他调用!AH$5:AH$364,MATCH($K336,其他调用!$AG$5:$AG$364,0),0),1)*INDEX(其他调用!Y$5:Y$404,MATCH($K336,其他调用!$X$5:$X$404,0),0)</f>
        <v>43043.201626622322</v>
      </c>
      <c r="O336" s="12">
        <f>MIN(INDEX(其他调用!$AH$5:$AH$364,MATCH($K336,其他调用!$AG$5:$AG$364,0),1)/INDEX(其他调用!AI$5:AI$364,MATCH($K336,其他调用!$AG$5:$AG$364,0),0),1)*INDEX(其他调用!Z$5:Z$404,MATCH($K336,其他调用!$X$5:$X$404,0),0)</f>
        <v>25450.758103354834</v>
      </c>
      <c r="P336" s="12">
        <f>MIN(INDEX(其他调用!$AH$5:$AH$364,MATCH($K336,其他调用!$AG$5:$AG$364,0),1)/INDEX(其他调用!AJ$5:AJ$364,MATCH($K336,其他调用!$AG$5:$AG$364,0),0),1)*INDEX(其他调用!AA$5:AA$404,MATCH($K336,其他调用!$X$5:$X$404,0),0)</f>
        <v>14808.436736483161</v>
      </c>
      <c r="Q336" s="12">
        <f>MIN(INDEX(其他调用!$AH$5:$AH$364,MATCH($K336,其他调用!$AG$5:$AG$364,0),1)/INDEX(其他调用!AK$5:AK$364,MATCH($K336,其他调用!$AG$5:$AG$364,0),0),1)*INDEX(其他调用!AB$5:AB$404,MATCH($K336,其他调用!$X$5:$X$404,0),0)</f>
        <v>5872.6875459283074</v>
      </c>
      <c r="R336" s="12">
        <f>MIN(INDEX(其他调用!$AH$5:$AH$364,MATCH($K336,其他调用!$AG$5:$AG$364,0),1)/INDEX(其他调用!AL$5:AL$364,MATCH($K336,其他调用!$AG$5:$AG$364,0),0),1)*INDEX(其他调用!AC$5:AC$404,MATCH($K336,其他调用!$X$5:$X$404,0),0)</f>
        <v>3635.7755439693437</v>
      </c>
      <c r="S336" s="12">
        <f>求节点(节奏总纲!D$4:D$163,标准城池设计!AC$4:AC$163,$K336)*求节点(节奏总纲!D$4:D$163,攻城基础信息!$AD$5:$AD$164,$K336)</f>
        <v>898394.46444246673</v>
      </c>
      <c r="T336" s="12">
        <f>INDEX(其他调用!$AA$5:$AA$404,MATCH($K336,其他调用!$X$5:$X$404,0))*MIN(INDEX(其他调用!AI$5:AI$364,MATCH($K336,其他调用!$AG$5:$AG$364,0),1)/INDEX(其他调用!$AJ$5:$AJ$364,MATCH($K336,其他调用!$AG$5:$AG$364,0),0),5)*求节点(节奏总纲!D$4:D$163,攻城基础信息!$AD$5:$AD$164,$K336)</f>
        <v>90017.474400515202</v>
      </c>
      <c r="U336" s="12">
        <f>MIN(INDEX(其他调用!$AI$5:$AI$364,MATCH($K336,其他调用!$AG$5:$AG$364,0),1)/INDEX(其他调用!AH$5:AH$364,MATCH($K336,其他调用!$AG$5:$AG$364,0),0),1)*INDEX(其他调用!Y$5:Y$404,MATCH($K336,其他调用!$X$5:$X$404,0),0)</f>
        <v>43043.201626622322</v>
      </c>
      <c r="V336" s="12">
        <f>MIN(INDEX(其他调用!$AI$5:$AI$364,MATCH($K336,其他调用!$AG$5:$AG$364,0),1)/INDEX(其他调用!AI$5:AI$364,MATCH($K336,其他调用!$AG$5:$AG$364,0),0),1)*INDEX(其他调用!Z$5:Z$404,MATCH($K336,其他调用!$X$5:$X$404,0),0)</f>
        <v>44202.851712384057</v>
      </c>
      <c r="W336" s="12">
        <f>MIN(INDEX(其他调用!$AI$5:$AI$364,MATCH($K336,其他调用!$AG$5:$AG$364,0),1)/INDEX(其他调用!AJ$5:AJ$364,MATCH($K336,其他调用!$AG$5:$AG$364,0),0),1)*INDEX(其他调用!AA$5:AA$404,MATCH($K336,其他调用!$X$5:$X$404,0),0)</f>
        <v>25719.278400147217</v>
      </c>
      <c r="X336" s="12">
        <f>MIN(INDEX(其他调用!$AI$5:$AI$364,MATCH($K336,其他调用!$AG$5:$AG$364,0),1)/INDEX(其他调用!AK$5:AK$364,MATCH($K336,其他调用!$AG$5:$AG$364,0),0),1)*INDEX(其他调用!AB$5:AB$404,MATCH($K336,其他调用!$X$5:$X$404,0),0)</f>
        <v>10199.677969970387</v>
      </c>
      <c r="Y336" s="12">
        <f>MIN(INDEX(其他调用!$AI$5:$AI$364,MATCH($K336,其他调用!$AG$5:$AG$364,0),1)/INDEX(其他调用!AL$5:AL$364,MATCH($K336,其他调用!$AG$5:$AG$364,0),0),1)*INDEX(其他调用!AC$5:AC$404,MATCH($K336,其他调用!$X$5:$X$404,0),0)</f>
        <v>6314.6113988802917</v>
      </c>
      <c r="Z336" s="12">
        <f>求节点(节奏总纲!D$4:D$163,标准城池设计!AD$4:AD$163,$K336)*求节点(节奏总纲!D$4:D$163,攻城基础信息!$AE$5:$AE$164,$K336)</f>
        <v>978921.69861180848</v>
      </c>
      <c r="AA336" s="12">
        <f>INDEX(其他调用!$AA$5:$AA$404,MATCH($K336,其他调用!$X$5:$X$404,0))*MIN(INDEX(其他调用!AJ$5:AJ$364,MATCH($K336,其他调用!$AG$5:$AG$364,0),1)/INDEX(其他调用!$AJ$5:$AJ$364,MATCH($K336,其他调用!$AG$5:$AG$364,0),0),5)*求节点(节奏总纲!D$4:D$163,攻城基础信息!$AE$5:$AE$164,$K336)</f>
        <v>160084.16501264361</v>
      </c>
      <c r="AB336" s="12">
        <f>MIN(INDEX(其他调用!$AJ$5:$AJ$364,MATCH($K336,其他调用!$AG$5:$AG$364,0),1)/INDEX(其他调用!AH$5:AH$364,MATCH($K336,其他调用!$AG$5:$AG$364,0),0),1)*INDEX(其他调用!Y$5:Y$404,MATCH($K336,其他调用!$X$5:$X$404,0),0)</f>
        <v>43043.201626622322</v>
      </c>
      <c r="AC336" s="12">
        <f>MIN(INDEX(其他调用!$AJ$5:$AJ$364,MATCH($K336,其他调用!$AG$5:$AG$364,0),1)/INDEX(其他调用!AI$5:AI$364,MATCH($K336,其他调用!$AG$5:$AG$364,0),0),1)*INDEX(其他调用!Z$5:Z$404,MATCH($K336,其他调用!$X$5:$X$404,0),0)</f>
        <v>44202.851712384057</v>
      </c>
      <c r="AD336" s="12">
        <f>MIN(INDEX(其他调用!$AJ$5:$AJ$364,MATCH($K336,其他调用!$AG$5:$AG$364,0),1)/INDEX(其他调用!AJ$5:AJ$364,MATCH($K336,其他调用!$AG$5:$AG$364,0),0),1)*INDEX(其他调用!AA$5:AA$404,MATCH($K336,其他调用!$X$5:$X$404,0),0)</f>
        <v>45738.332860755349</v>
      </c>
      <c r="AE336" s="12">
        <f>MIN(INDEX(其他调用!$AJ$5:$AJ$364,MATCH($K336,其他调用!$AG$5:$AG$364,0),1)/INDEX(其他调用!AK$5:AK$364,MATCH($K336,其他调用!$AG$5:$AG$364,0),0),1)*INDEX(其他调用!AB$5:AB$404,MATCH($K336,其他调用!$X$5:$X$404,0),0)</f>
        <v>18138.777410658171</v>
      </c>
      <c r="AF336" s="12">
        <f>MIN(INDEX(其他调用!$AJ$5:$AJ$364,MATCH($K336,其他调用!$AG$5:$AG$364,0),1)/INDEX(其他调用!AL$5:AL$364,MATCH($K336,其他调用!$AG$5:$AG$364,0),0),1)*INDEX(其他调用!AC$5:AC$404,MATCH($K336,其他调用!$X$5:$X$404,0),0)</f>
        <v>11229.700676464296</v>
      </c>
      <c r="AG336" s="12">
        <f>求节点(节奏总纲!D$4:D$163,标准城池设计!AE$4:AE$163,$K336)*求节点(节奏总纲!D$4:D$163,攻城基础信息!$AF$5:$AF$164,$K336)</f>
        <v>1170135.319411909</v>
      </c>
      <c r="AH336" s="12">
        <f>INDEX(其他调用!$AA$5:$AA$404,MATCH($K336,其他调用!$X$5:$X$404,0))*MIN(INDEX(其他调用!AK$5:AK$364,MATCH($K336,其他调用!$AG$5:$AG$364,0),1)/INDEX(其他调用!$AJ$5:$AJ$364,MATCH($K336,其他调用!$AG$5:$AG$364,0),0),5)*求节点(节奏总纲!D$4:D$163,攻城基础信息!$AF$5:$AF$164,$K336)</f>
        <v>423536.24155220651</v>
      </c>
      <c r="AI336" s="12">
        <f>MIN(INDEX(其他调用!$AK$5:$AK$364,MATCH($K336,其他调用!$AG$5:$AG$364,0),1)/INDEX(其他调用!AH$5:AH$364,MATCH($K336,其他调用!$AG$5:$AG$364,0),0),1)*INDEX(其他调用!Y$5:Y$404,MATCH($K336,其他调用!$X$5:$X$404,0),0)</f>
        <v>43043.201626622322</v>
      </c>
      <c r="AJ336" s="12">
        <f>MIN(INDEX(其他调用!$AK$5:$AK$364,MATCH($K336,其他调用!$AG$5:$AG$364,0),1)/INDEX(其他调用!AI$5:AI$364,MATCH($K336,其他调用!$AG$5:$AG$364,0),0),1)*INDEX(其他调用!Z$5:Z$404,MATCH($K336,其他调用!$X$5:$X$404,0),0)</f>
        <v>44202.851712384057</v>
      </c>
      <c r="AK336" s="12">
        <f>MIN(INDEX(其他调用!$AK$5:$AK$364,MATCH($K336,其他调用!$AG$5:$AG$364,0),1)/INDEX(其他调用!AJ$5:AJ$364,MATCH($K336,其他调用!$AG$5:$AG$364,0),0),1)*INDEX(其他调用!AA$5:AA$404,MATCH($K336,其他调用!$X$5:$X$404,0),0)</f>
        <v>45738.332860755349</v>
      </c>
      <c r="AL336" s="12">
        <f>MIN(INDEX(其他调用!$AK$5:$AK$364,MATCH($K336,其他调用!$AG$5:$AG$364,0),1)/INDEX(其他调用!AK$5:AK$364,MATCH($K336,其他调用!$AG$5:$AG$364,0),0),1)*INDEX(其他调用!AB$5:AB$404,MATCH($K336,其他调用!$X$5:$X$404,0),0)</f>
        <v>47989.940855520967</v>
      </c>
      <c r="AM336" s="12">
        <f>MIN(INDEX(其他调用!$AK$5:$AK$364,MATCH($K336,其他调用!$AG$5:$AG$364,0),1)/INDEX(其他调用!AL$5:AL$364,MATCH($K336,其他调用!$AG$5:$AG$364,0),0),1)*INDEX(其他调用!AC$5:AC$404,MATCH($K336,其他调用!$X$5:$X$404,0),0)</f>
        <v>29710.528945135266</v>
      </c>
      <c r="AN336" s="12">
        <f>求节点(节奏总纲!D$4:D$163,标准城池设计!AF$4:AF$163,$K336)*求节点(节奏总纲!D$4:D$163,攻城基础信息!$AG$5:$AG$164,$K336)</f>
        <v>1209303.3521574493</v>
      </c>
      <c r="AO336" s="12">
        <f>INDEX(其他调用!$AA$5:$AA$404,MATCH($K336,其他调用!$X$5:$X$404,0))*MIN(INDEX(其他调用!AL$5:AL$364,MATCH($K336,其他调用!$AG$5:$AG$364,0),1)/INDEX(其他调用!$AJ$5:$AJ$364,MATCH($K336,其他调用!$AG$5:$AG$364,0),0),5)*求节点(节奏总纲!D$4:D$163,攻城基础信息!$AG$5:$AG$164,$K336)</f>
        <v>739630.9681415743</v>
      </c>
      <c r="AP336" s="12">
        <f>MIN(INDEX(其他调用!$AL$5:$AL$364,MATCH($K336,其他调用!$AG$5:$AG$364,0),1)/INDEX(其他调用!AH$5:AH$364,MATCH($K336,其他调用!$AG$5:$AG$364,0),0),1)*INDEX(其他调用!Y$5:Y$404,MATCH($K336,其他调用!$X$5:$X$404,0),0)</f>
        <v>43043.201626622322</v>
      </c>
      <c r="AQ336" s="12">
        <f>MIN(INDEX(其他调用!$AL$5:$AL$364,MATCH($K336,其他调用!$AG$5:$AG$364,0),1)/INDEX(其他调用!AI$5:AI$364,MATCH($K336,其他调用!$AG$5:$AG$364,0),0),1)*INDEX(其他调用!Z$5:Z$404,MATCH($K336,其他调用!$X$5:$X$404,0),0)</f>
        <v>44202.851712384057</v>
      </c>
      <c r="AR336" s="12">
        <f>MIN(INDEX(其他调用!$AL$5:$AL$364,MATCH($K336,其他调用!$AG$5:$AG$364,0),1)/INDEX(其他调用!AJ$5:AJ$364,MATCH($K336,其他调用!$AG$5:$AG$364,0),0),1)*INDEX(其他调用!AA$5:AA$404,MATCH($K336,其他调用!$X$5:$X$404,0),0)</f>
        <v>45738.332860755349</v>
      </c>
      <c r="AS336" s="12">
        <f>MIN(INDEX(其他调用!$AL$5:$AL$364,MATCH($K336,其他调用!$AG$5:$AG$364,0),1)/INDEX(其他调用!AK$5:AK$364,MATCH($K336,其他调用!$AG$5:$AG$364,0),0),1)*INDEX(其他调用!AB$5:AB$404,MATCH($K336,其他调用!$X$5:$X$404,0),0)</f>
        <v>47989.940855520967</v>
      </c>
      <c r="AT336" s="12">
        <f>MIN(INDEX(其他调用!$AL$5:$AL$364,MATCH($K336,其他调用!$AG$5:$AG$364,0),1)/INDEX(其他调用!AL$5:AL$364,MATCH($K336,其他调用!$AG$5:$AG$364,0),0),1)*INDEX(其他调用!AC$5:AC$404,MATCH($K336,其他调用!$X$5:$X$404,0),0)</f>
        <v>51884.172195403429</v>
      </c>
      <c r="AV336" s="14">
        <f>IF(OR(AV$5="大R",AV$5="超R"),MAX(INDEX(其他调用!$H$5:$L$404,MATCH($K336,其他调用!$B$5:$B$404,0),MATCH(AV$5,其他调用!$H$4:$L$4,0))*120*0.85,2),INDEX(其他调用!$H$5:$L$404,MATCH($K336,其他调用!$B$5:$B$404,0),MATCH(AV$5,其他调用!$H$4:$L$4,0))*120*0.85)</f>
        <v>48.921801254999991</v>
      </c>
      <c r="AW336" s="14">
        <f>IF(OR(AW$5="大R",AW$5="超R"),MAX(INDEX(其他调用!$H$5:$L$404,MATCH($K336,其他调用!$B$5:$B$404,0),MATCH(AW$5,其他调用!$H$4:$L$4,0))*120*0.85,2),INDEX(其他调用!$H$5:$L$404,MATCH($K336,其他调用!$B$5:$B$404,0),MATCH(AW$5,其他调用!$H$4:$L$4,0))*120*0.85)</f>
        <v>48.237344010638395</v>
      </c>
      <c r="AX336" s="14">
        <f>IF(OR(AX$5="大R",AX$5="超R"),MAX(INDEX(其他调用!$H$5:$L$404,MATCH($K336,其他调用!$B$5:$B$404,0),MATCH(AX$5,其他调用!$H$4:$L$4,0))*120*0.85,2),INDEX(其他调用!$H$5:$L$404,MATCH($K336,其他调用!$B$5:$B$404,0),MATCH(AX$5,其他调用!$H$4:$L$4,0))*120*0.85)</f>
        <v>3.9376284143615998</v>
      </c>
      <c r="AY336" s="14">
        <f>IF(OR(AY$5="大R",AY$5="超R"),MAX(INDEX(其他调用!$H$5:$L$404,MATCH($K336,其他调用!$B$5:$B$404,0),MATCH(AY$5,其他调用!$H$4:$L$4,0))*120*0.85,2),INDEX(其他调用!$H$5:$L$404,MATCH($K336,其他调用!$B$5:$B$404,0),MATCH(AY$5,其他调用!$H$4:$L$4,0))*120*0.85)</f>
        <v>2</v>
      </c>
      <c r="AZ336" s="14">
        <f>IF(OR(AZ$5="大R",AZ$5="超R"),MAX(INDEX(其他调用!$H$5:$L$404,MATCH($K336,其他调用!$B$5:$B$404,0),MATCH(AZ$5,其他调用!$H$4:$L$4,0))*120*0.85,2),INDEX(其他调用!$H$5:$L$404,MATCH($K336,其他调用!$B$5:$B$404,0),MATCH(AZ$5,其他调用!$H$4:$L$4,0))*120*0.85)</f>
        <v>2</v>
      </c>
      <c r="BA336" s="14">
        <f>INDEX(其他调用!$H$5:$L$404,MATCH($K336,其他调用!$B$5:$B$404,0),MATCH(BA$5,其他调用!$H$4:$L$4,0))*INDEX(其他调用!$M$5:$M$404,MATCH($K336,其他调用!$B$5:$B$404,0))*0.6</f>
        <v>28.777530149999997</v>
      </c>
      <c r="BB336" s="14">
        <f>INDEX(其他调用!$H$5:$L$404,MATCH($K336,其他调用!$B$5:$B$404,0),MATCH(BB$5,其他调用!$H$4:$L$4,0))*INDEX(其他调用!$M$5:$M$404,MATCH($K336,其他调用!$B$5:$B$404,0))*0.6</f>
        <v>28.374908241551999</v>
      </c>
      <c r="BC336" s="14">
        <f>INDEX(其他调用!$H$5:$L$404,MATCH($K336,其他调用!$B$5:$B$404,0),MATCH(BC$5,其他调用!$H$4:$L$4,0))*INDEX(其他调用!$M$5:$M$404,MATCH($K336,其他调用!$B$5:$B$404,0))*0.6</f>
        <v>2.3162520084480001</v>
      </c>
      <c r="BD336" s="14">
        <f>INDEX(其他调用!$H$5:$L$404,MATCH($K336,其他调用!$B$5:$B$404,0),MATCH(BD$5,其他调用!$H$4:$L$4,0))*INDEX(其他调用!$M$5:$M$404,MATCH($K336,其他调用!$B$5:$B$404,0))*0.6</f>
        <v>0.4120776000000001</v>
      </c>
      <c r="BE336" s="14">
        <f>INDEX(其他调用!$H$5:$L$404,MATCH($K336,其他调用!$B$5:$B$404,0),MATCH(BE$5,其他调用!$H$4:$L$4,0))*INDEX(其他调用!$M$5:$M$404,MATCH($K336,其他调用!$B$5:$B$404,0))*0.6</f>
        <v>0.11923199999999998</v>
      </c>
      <c r="BF336" s="14">
        <f>IF(OR(BF$5="大R",BF$5="超R"),0,INDEX(其他调用!$H$5:$L$404,MATCH($K336,其他调用!$B$5:$B$404,0),MATCH(BF$5,其他调用!$H$4:$L$4,0))*50*0.4)</f>
        <v>9.5925100500000013</v>
      </c>
      <c r="BG336" s="14">
        <f>IF(OR(BG$5="大R",BG$5="超R"),0,INDEX(其他调用!$H$5:$L$404,MATCH($K336,其他调用!$B$5:$B$404,0),MATCH(BG$5,其他调用!$H$4:$L$4,0))*50*0.4)</f>
        <v>9.4583027471839998</v>
      </c>
      <c r="BH336" s="14">
        <f>IF(OR(BH$5="大R",BH$5="超R"),0,INDEX(其他调用!$H$5:$L$404,MATCH($K336,其他调用!$B$5:$B$404,0),MATCH(BH$5,其他调用!$H$4:$L$4,0))*50*0.4)</f>
        <v>0.77208400281600009</v>
      </c>
      <c r="BI336" s="14">
        <f>IF(OR(BI$5="大R",BI$5="超R"),0,INDEX(其他调用!$H$5:$L$404,MATCH($K336,其他调用!$B$5:$B$404,0),MATCH(BI$5,其他调用!$H$4:$L$4,0))*50*0.4)</f>
        <v>0</v>
      </c>
      <c r="BJ336" s="14">
        <f>IF(OR(BJ$5="大R",BJ$5="超R"),0,INDEX(其他调用!$H$5:$L$404,MATCH($K336,其他调用!$B$5:$B$404,0),MATCH(BJ$5,其他调用!$H$4:$L$4,0))*50*0.4)</f>
        <v>0</v>
      </c>
      <c r="BL336" s="14">
        <f t="shared" si="628"/>
        <v>331</v>
      </c>
      <c r="BM336" s="14">
        <f t="shared" si="535"/>
        <v>96</v>
      </c>
      <c r="BN336" s="14">
        <f>('疲劳值&amp;地图信息'!$S$10*'疲劳值&amp;地图信息'!$R$10+'疲劳值&amp;地图信息'!$S$11*'疲劳值&amp;地图信息'!$R$11+'疲劳值&amp;地图信息'!$S$12*'疲劳值&amp;地图信息'!$R$12+(BM336-'疲劳值&amp;地图信息'!$S$12-'疲劳值&amp;地图信息'!$S$11-'疲劳值&amp;地图信息'!$S$10)*'疲劳值&amp;地图信息'!$R$13)/BM336</f>
        <v>51.371477246638619</v>
      </c>
      <c r="BO336" s="14">
        <f>INDEX(其他调用!$M$5:$M$404,MATCH(BL336,其他调用!$B$5:$B$404,0))*0.6</f>
        <v>60</v>
      </c>
      <c r="BP336" s="14">
        <f>IF(BO336&gt;SUM('疲劳值&amp;地图信息'!$S$10:$S$12),('疲劳值&amp;地图信息'!$S$10*'疲劳值&amp;地图信息'!$R$10+'疲劳值&amp;地图信息'!$S$11*'疲劳值&amp;地图信息'!$R$11+'疲劳值&amp;地图信息'!$S$12*'疲劳值&amp;地图信息'!$R$12+(BO336-'疲劳值&amp;地图信息'!$S$12-'疲劳值&amp;地图信息'!$S$11-'疲劳值&amp;地图信息'!$S$10)*'疲劳值&amp;地图信息'!$R$13)/BO336,('疲劳值&amp;地图信息'!$S$10*'疲劳值&amp;地图信息'!$R$10+'疲劳值&amp;地图信息'!$S$11*'疲劳值&amp;地图信息'!$R$11+'疲劳值&amp;地图信息'!$S$12*'疲劳值&amp;地图信息'!$R$12+(BO336-'疲劳值&amp;地图信息'!$S$12-'疲劳值&amp;地图信息'!$S$11-'疲劳值&amp;地图信息'!$S$10)*'疲劳值&amp;地图信息'!$R$13)/BO336)</f>
        <v>44.158136341605953</v>
      </c>
      <c r="BQ336" s="14">
        <f t="shared" si="629"/>
        <v>20</v>
      </c>
      <c r="BR336" s="14">
        <f>('疲劳值&amp;地图信息'!$S$10*'疲劳值&amp;地图信息'!$R$10+($BQ336-'疲劳值&amp;地图信息'!$S$10)*'疲劳值&amp;地图信息'!$R$11)/$BQ336</f>
        <v>32.067203015074995</v>
      </c>
      <c r="CF336" s="14">
        <v>331</v>
      </c>
      <c r="CG336" s="51">
        <f t="shared" si="536"/>
        <v>16696</v>
      </c>
      <c r="CH336" s="51">
        <f t="shared" si="537"/>
        <v>1056</v>
      </c>
      <c r="CI336" s="51">
        <f>INT(SUMPRODUCT($N336:$R336,$BA336:$BE336)/SUM($BA336:$BE336)/10000*$BX$7*$BZ$34/'疲劳值&amp;地图信息'!$R$10*$BY$53)</f>
        <v>3378</v>
      </c>
      <c r="CJ336" s="50">
        <f t="shared" si="538"/>
        <v>0.79015617605300525</v>
      </c>
      <c r="CK336" s="50">
        <f t="shared" si="539"/>
        <v>4.9976336961665875E-2</v>
      </c>
      <c r="CL336" s="50">
        <f t="shared" si="540"/>
        <v>0.1598674869853289</v>
      </c>
      <c r="CM336" s="14">
        <f t="shared" si="541"/>
        <v>18310</v>
      </c>
      <c r="CN336" s="14">
        <f t="shared" si="542"/>
        <v>1834</v>
      </c>
      <c r="CO336" s="14">
        <f>INT(SUMPRODUCT($U336:$Y336,$BA336:$BE336)/SUM($BA336:$BE336)/10000*$BX$7*$BZ$34/'疲劳值&amp;地图信息'!$R$10*$BY$54)</f>
        <v>6487</v>
      </c>
      <c r="CP336" s="50">
        <f t="shared" si="543"/>
        <v>0.68754459089031583</v>
      </c>
      <c r="CQ336" s="50">
        <f t="shared" si="544"/>
        <v>6.8867109759303075E-2</v>
      </c>
      <c r="CR336" s="50">
        <f t="shared" si="545"/>
        <v>0.24358829935038112</v>
      </c>
      <c r="CS336" s="14">
        <f t="shared" si="546"/>
        <v>19951</v>
      </c>
      <c r="CT336" s="14">
        <f t="shared" si="547"/>
        <v>3262</v>
      </c>
      <c r="CU336" s="14">
        <f>INT(SUMPRODUCT($AB336:$AF336,$BA336:$BE336)/SUM($BA336:$BE336)/10000*$BX$7*$BZ$34/'疲劳值&amp;地图信息'!$R$10*$BY$55)</f>
        <v>8819</v>
      </c>
      <c r="CV336" s="50">
        <f t="shared" si="548"/>
        <v>0.62284590409590412</v>
      </c>
      <c r="CW336" s="50">
        <f t="shared" si="549"/>
        <v>0.10183566433566434</v>
      </c>
      <c r="CX336" s="50">
        <f t="shared" si="550"/>
        <v>0.27531843156843155</v>
      </c>
      <c r="CY336" s="14">
        <f t="shared" si="551"/>
        <v>23848</v>
      </c>
      <c r="CZ336" s="14">
        <f t="shared" si="552"/>
        <v>8632</v>
      </c>
      <c r="DA336" s="14">
        <f>INT(SUMPRODUCT($AI336:$AM336,$BA336:$BE336)/SUM($BA336:$BE336)/10000*$BX$7*$BZ$34/'疲劳值&amp;地图信息'!$R$10*$BY$56)</f>
        <v>13303</v>
      </c>
      <c r="DB336" s="50">
        <f t="shared" si="553"/>
        <v>0.52089203416115148</v>
      </c>
      <c r="DC336" s="50">
        <f t="shared" si="554"/>
        <v>0.18854159840989013</v>
      </c>
      <c r="DD336" s="50">
        <f t="shared" si="555"/>
        <v>0.29056636742895836</v>
      </c>
      <c r="DE336" s="14">
        <f t="shared" si="556"/>
        <v>24647</v>
      </c>
      <c r="DF336" s="14">
        <f t="shared" si="557"/>
        <v>15074</v>
      </c>
      <c r="DG336" s="14">
        <f>INT(SUMPRODUCT($AP336:$AT336,$BA336:$BE336)/SUM($BA336:$BE336)/10000*$BX$7*$BZ$34/'疲劳值&amp;地图信息'!$R$10*$BY$57)</f>
        <v>17755</v>
      </c>
      <c r="DH336" s="50">
        <f t="shared" si="558"/>
        <v>0.42882246502888161</v>
      </c>
      <c r="DI336" s="50">
        <f t="shared" si="559"/>
        <v>0.26226598928248313</v>
      </c>
      <c r="DJ336" s="50">
        <f t="shared" si="560"/>
        <v>0.30891154568863527</v>
      </c>
      <c r="DL336" s="14">
        <f t="shared" si="631"/>
        <v>21130</v>
      </c>
      <c r="DM336" s="14">
        <f t="shared" si="632"/>
        <v>26631</v>
      </c>
      <c r="DN336" s="14">
        <f t="shared" si="633"/>
        <v>32032</v>
      </c>
      <c r="DO336" s="14">
        <f t="shared" si="634"/>
        <v>45783</v>
      </c>
      <c r="DP336" s="14">
        <f t="shared" si="635"/>
        <v>57476</v>
      </c>
      <c r="DQ336" s="14">
        <f t="shared" si="636"/>
        <v>1463634</v>
      </c>
      <c r="DT336" s="14">
        <f t="shared" si="630"/>
        <v>235575</v>
      </c>
      <c r="DU336" s="50">
        <f t="shared" si="532"/>
        <v>0.13863803687480469</v>
      </c>
      <c r="DW336" s="14">
        <f t="shared" si="561"/>
        <v>1699209</v>
      </c>
      <c r="EB336" s="14">
        <v>331</v>
      </c>
      <c r="EC336" s="51">
        <f t="shared" si="562"/>
        <v>27827</v>
      </c>
      <c r="ED336" s="51">
        <f t="shared" si="563"/>
        <v>1760</v>
      </c>
      <c r="EE336" s="51">
        <f>INT(SUMPRODUCT($N336:$R336,$BF336:$BJ336)/SUM($BF336:$BJ336)/10000*$BX$7*$BZ$46/'疲劳值&amp;地图信息'!$R$10*$BY$53)</f>
        <v>453</v>
      </c>
      <c r="EF336" s="50">
        <f t="shared" si="564"/>
        <v>0.92633155792276967</v>
      </c>
      <c r="EG336" s="50">
        <f t="shared" si="565"/>
        <v>5.8588548601864181E-2</v>
      </c>
      <c r="EH336" s="50">
        <f t="shared" si="566"/>
        <v>1.5079893475366179E-2</v>
      </c>
      <c r="EI336" s="51">
        <f t="shared" si="567"/>
        <v>30517</v>
      </c>
      <c r="EJ336" s="51">
        <f t="shared" si="568"/>
        <v>3057</v>
      </c>
      <c r="EK336" s="14">
        <f>INT(SUMPRODUCT($U336:$Y336,$BF336:$BJ336)/SUM($BF336:$BJ336)/10000*$BX$7*$BZ$46/'疲劳值&amp;地图信息'!$R$10*$BY$54)</f>
        <v>871</v>
      </c>
      <c r="EL336" s="50">
        <f t="shared" si="569"/>
        <v>0.88596312962694146</v>
      </c>
      <c r="EM336" s="50">
        <f t="shared" si="570"/>
        <v>8.8750181448686308E-2</v>
      </c>
      <c r="EN336" s="50">
        <f t="shared" si="571"/>
        <v>2.5286688924372188E-2</v>
      </c>
      <c r="EO336" s="51">
        <f t="shared" si="572"/>
        <v>33252</v>
      </c>
      <c r="EP336" s="51">
        <f t="shared" si="573"/>
        <v>5437</v>
      </c>
      <c r="EQ336" s="14">
        <f>INT(SUMPRODUCT($AB336:$AF336,$BF336:$BJ336)/SUM($BF336:$BJ336)/10000*$BX$7*$BZ$46/'疲劳值&amp;地图信息'!$R$10*$BY$55)</f>
        <v>1182</v>
      </c>
      <c r="ER336" s="50">
        <f t="shared" si="574"/>
        <v>0.83398961651325521</v>
      </c>
      <c r="ES336" s="50">
        <f t="shared" si="575"/>
        <v>0.1363647764039026</v>
      </c>
      <c r="ET336" s="50">
        <f t="shared" si="576"/>
        <v>2.9645607082842165E-2</v>
      </c>
      <c r="EU336" s="51">
        <f t="shared" si="577"/>
        <v>39748</v>
      </c>
      <c r="EV336" s="51">
        <f t="shared" si="578"/>
        <v>14387</v>
      </c>
      <c r="EW336" s="14">
        <f>INT(SUMPRODUCT($AI336:$AM336,$BF336:$BJ336)/SUM($BF336:$BJ336)/10000*$BX$7*$BZ$46/'疲劳值&amp;地图信息'!$R$10*$BY$56)</f>
        <v>1773</v>
      </c>
      <c r="EX336" s="50">
        <f t="shared" si="579"/>
        <v>0.71095370966587967</v>
      </c>
      <c r="EY336" s="50">
        <f t="shared" si="580"/>
        <v>0.25733347642555626</v>
      </c>
      <c r="EZ336" s="50">
        <f t="shared" si="581"/>
        <v>3.1712813908564071E-2</v>
      </c>
      <c r="FA336" s="51">
        <f t="shared" si="582"/>
        <v>41078</v>
      </c>
      <c r="FB336" s="51">
        <f t="shared" si="583"/>
        <v>25124</v>
      </c>
      <c r="FC336" s="14">
        <f>INT(SUMPRODUCT($AP336:$AT336,$BF336:$BJ336)/SUM($BF336:$BJ336)/10000*$BX$7*$BZ$46/'疲劳值&amp;地图信息'!$R$10*$BY$57)</f>
        <v>2364</v>
      </c>
      <c r="FD336" s="50">
        <f t="shared" si="584"/>
        <v>0.59910159554298048</v>
      </c>
      <c r="FE336" s="50">
        <f t="shared" si="585"/>
        <v>0.36642067497010178</v>
      </c>
      <c r="FF336" s="50">
        <f t="shared" si="586"/>
        <v>3.4477729486917713E-2</v>
      </c>
      <c r="FH336" s="14">
        <f t="shared" si="587"/>
        <v>30040</v>
      </c>
      <c r="FI336" s="14">
        <f t="shared" si="588"/>
        <v>34445</v>
      </c>
      <c r="FJ336" s="14">
        <f t="shared" si="589"/>
        <v>39871</v>
      </c>
      <c r="FK336" s="14">
        <f t="shared" si="590"/>
        <v>55908</v>
      </c>
      <c r="FL336" s="14">
        <f t="shared" si="591"/>
        <v>68566</v>
      </c>
      <c r="FM336" s="14">
        <f t="shared" si="592"/>
        <v>3537091</v>
      </c>
      <c r="FP336" s="14">
        <f t="shared" si="593"/>
        <v>334150</v>
      </c>
      <c r="FQ336" s="50">
        <f t="shared" si="533"/>
        <v>8.6315990143729107E-2</v>
      </c>
      <c r="FS336" s="14">
        <f t="shared" si="594"/>
        <v>3871241</v>
      </c>
      <c r="FX336" s="14">
        <v>331</v>
      </c>
      <c r="FY336" s="51">
        <f t="shared" si="595"/>
        <v>38959</v>
      </c>
      <c r="FZ336" s="51">
        <f t="shared" si="596"/>
        <v>1760</v>
      </c>
      <c r="GA336" s="51">
        <f>INT(SUMPRODUCT($N336:$R336,$BF336:$BJ336)/SUM($BF336:$BJ336)/10000*$BX$7*$BZ$46/'疲劳值&amp;地图信息'!$R$10*$BY$53)</f>
        <v>453</v>
      </c>
      <c r="GB336" s="50">
        <f t="shared" si="597"/>
        <v>0.9462498785582435</v>
      </c>
      <c r="GC336" s="50">
        <f t="shared" si="598"/>
        <v>4.274749829981541E-2</v>
      </c>
      <c r="GD336" s="50">
        <f t="shared" si="599"/>
        <v>1.1002623141941125E-2</v>
      </c>
      <c r="GE336" s="51">
        <f t="shared" si="600"/>
        <v>42724</v>
      </c>
      <c r="GF336" s="51">
        <f t="shared" si="601"/>
        <v>3057</v>
      </c>
      <c r="GG336" s="14">
        <f>INT(SUMPRODUCT($U336:$Y336,$BF336:$BJ336)/SUM($BF336:$BJ336)/10000*$BX$7*$BZ$46/'疲劳值&amp;地图信息'!$R$10*$BY$54)</f>
        <v>871</v>
      </c>
      <c r="GH336" s="50">
        <f t="shared" si="602"/>
        <v>0.91580210923433081</v>
      </c>
      <c r="GI336" s="50">
        <f t="shared" si="603"/>
        <v>6.5527737288862214E-2</v>
      </c>
      <c r="GJ336" s="50">
        <f t="shared" si="604"/>
        <v>1.8670153476806995E-2</v>
      </c>
      <c r="GK336" s="51">
        <f t="shared" si="605"/>
        <v>46553</v>
      </c>
      <c r="GL336" s="51">
        <f t="shared" si="606"/>
        <v>5437</v>
      </c>
      <c r="GM336" s="14">
        <f>INT(SUMPRODUCT($AB336:$AF336,$BF336:$BJ336)/SUM($BF336:$BJ336)/10000*$BX$7*$BZ$46/'疲劳值&amp;地图信息'!$R$10*$BY$55)</f>
        <v>1182</v>
      </c>
      <c r="GN336" s="50">
        <f t="shared" si="607"/>
        <v>0.87551718949823221</v>
      </c>
      <c r="GO336" s="50">
        <f t="shared" si="608"/>
        <v>0.1022530655232077</v>
      </c>
      <c r="GP336" s="50">
        <f t="shared" si="609"/>
        <v>2.2229744978560145E-2</v>
      </c>
      <c r="GQ336" s="51">
        <f t="shared" si="610"/>
        <v>55647</v>
      </c>
      <c r="GR336" s="51">
        <f t="shared" si="611"/>
        <v>14387</v>
      </c>
      <c r="GS336" s="14">
        <f>INT(SUMPRODUCT($AI336:$AM336,$BF336:$BJ336)/SUM($BF336:$BJ336)/10000*$BX$7*$BZ$46/'疲劳值&amp;地图信息'!$R$10*$BY$56)</f>
        <v>1773</v>
      </c>
      <c r="GT336" s="50">
        <f t="shared" si="612"/>
        <v>0.7749523027002938</v>
      </c>
      <c r="GU336" s="50">
        <f t="shared" si="613"/>
        <v>0.20035651120364309</v>
      </c>
      <c r="GV336" s="50">
        <f t="shared" si="614"/>
        <v>2.4691186096063057E-2</v>
      </c>
      <c r="GW336" s="51">
        <f t="shared" si="615"/>
        <v>57510</v>
      </c>
      <c r="GX336" s="51">
        <f t="shared" si="616"/>
        <v>25124</v>
      </c>
      <c r="GY336" s="14">
        <f>INT(SUMPRODUCT($AP336:$AT336,$BF336:$BJ336)/SUM($BF336:$BJ336)/10000*$BX$7*$BZ$46/'疲劳值&amp;地图信息'!$R$10*$BY$57)</f>
        <v>2364</v>
      </c>
      <c r="GZ336" s="50">
        <f t="shared" si="617"/>
        <v>0.67660415539189156</v>
      </c>
      <c r="HA336" s="50">
        <f t="shared" si="618"/>
        <v>0.29558342549236455</v>
      </c>
      <c r="HB336" s="50">
        <f t="shared" si="619"/>
        <v>2.7812419115743899E-2</v>
      </c>
      <c r="HD336" s="14">
        <f t="shared" si="620"/>
        <v>41172</v>
      </c>
      <c r="HE336" s="14">
        <f t="shared" si="621"/>
        <v>46652</v>
      </c>
      <c r="HF336" s="14">
        <f t="shared" si="622"/>
        <v>53172</v>
      </c>
      <c r="HG336" s="14">
        <f t="shared" si="623"/>
        <v>71807</v>
      </c>
      <c r="HH336" s="14">
        <f t="shared" si="624"/>
        <v>84998</v>
      </c>
      <c r="HI336" s="14">
        <f t="shared" si="625"/>
        <v>4787558</v>
      </c>
      <c r="HL336" s="14">
        <f t="shared" si="626"/>
        <v>430050</v>
      </c>
      <c r="HM336" s="50">
        <f t="shared" si="534"/>
        <v>8.2422826705264171E-2</v>
      </c>
      <c r="HO336" s="14">
        <f t="shared" si="627"/>
        <v>5217608</v>
      </c>
    </row>
    <row r="337" spans="11:223" x14ac:dyDescent="0.2">
      <c r="K337" s="14">
        <v>332</v>
      </c>
      <c r="L337" s="12">
        <f>求节点(节奏总纲!D$4:D$163,标准城池设计!AB$4:AB$163,$K337)*求节点(节奏总纲!D$4:D$163,攻城基础信息!$AC$5:$AC$164,$K337)</f>
        <v>820338.30979401444</v>
      </c>
      <c r="M337" s="12">
        <f>INDEX(其他调用!$AA$5:$AA$404,MATCH(K337,其他调用!$X$5:$X$404,0))*MIN(INDEX(其他调用!$AH$5:$AH$364,MATCH('征服点（新）'!K337,其他调用!$AG$5:$AG$364,0),1)/INDEX(其他调用!$AJ$5:$AJ$364,MATCH(K337,其他调用!$AG$5:$AG$364,0),0),5)*求节点(节奏总纲!D$4:D$163,攻城基础信息!$AC$5:$AC$164,$K337)</f>
        <v>51776.946714385129</v>
      </c>
      <c r="N337" s="12">
        <f>MIN(INDEX(其他调用!$AH$5:$AH$364,MATCH($K337,其他调用!$AG$5:$AG$364,0),1)/INDEX(其他调用!AH$5:AH$364,MATCH($K337,其他调用!$AG$5:$AG$364,0),0),1)*INDEX(其他调用!Y$5:Y$404,MATCH($K337,其他调用!$X$5:$X$404,0),0)</f>
        <v>43061.011112534863</v>
      </c>
      <c r="O337" s="12">
        <f>MIN(INDEX(其他调用!$AH$5:$AH$364,MATCH($K337,其他调用!$AG$5:$AG$364,0),1)/INDEX(其他调用!AI$5:AI$364,MATCH($K337,其他调用!$AG$5:$AG$364,0),0),1)*INDEX(其他调用!Z$5:Z$404,MATCH($K337,其他调用!$X$5:$X$404,0),0)</f>
        <v>25445.483743148125</v>
      </c>
      <c r="P337" s="12">
        <f>MIN(INDEX(其他调用!$AH$5:$AH$364,MATCH($K337,其他调用!$AG$5:$AG$364,0),1)/INDEX(其他调用!AJ$5:AJ$364,MATCH($K337,其他调用!$AG$5:$AG$364,0),0),1)*INDEX(其他调用!AA$5:AA$404,MATCH($K337,其他调用!$X$5:$X$404,0),0)</f>
        <v>14793.413346967189</v>
      </c>
      <c r="Q337" s="12">
        <f>MIN(INDEX(其他调用!$AH$5:$AH$364,MATCH($K337,其他调用!$AG$5:$AG$364,0),1)/INDEX(其他调用!AK$5:AK$364,MATCH($K337,其他调用!$AG$5:$AG$364,0),0),1)*INDEX(其他调用!AB$5:AB$404,MATCH($K337,其他调用!$X$5:$X$404,0),0)</f>
        <v>5876.1422301311068</v>
      </c>
      <c r="R337" s="12">
        <f>MIN(INDEX(其他调用!$AH$5:$AH$364,MATCH($K337,其他调用!$AG$5:$AG$364,0),1)/INDEX(其他调用!AL$5:AL$364,MATCH($K337,其他调用!$AG$5:$AG$364,0),0),1)*INDEX(其他调用!AC$5:AC$404,MATCH($K337,其他调用!$X$5:$X$404,0),0)</f>
        <v>3643.367512892276</v>
      </c>
      <c r="S337" s="12">
        <f>求节点(节奏总纲!D$4:D$163,标准城池设计!AC$4:AC$163,$K337)*求节点(节奏总纲!D$4:D$163,攻城基础信息!$AD$5:$AD$164,$K337)</f>
        <v>899615.8584175565</v>
      </c>
      <c r="T337" s="12">
        <f>INDEX(其他调用!$AA$5:$AA$404,MATCH($K337,其他调用!$X$5:$X$404,0))*MIN(INDEX(其他调用!AI$5:AI$364,MATCH($K337,其他调用!$AG$5:$AG$364,0),1)/INDEX(其他调用!$AJ$5:$AJ$364,MATCH($K337,其他调用!$AG$5:$AG$364,0),0),5)*求节点(节奏总纲!D$4:D$163,攻城基础信息!$AD$5:$AD$164,$K337)</f>
        <v>89981.128869281965</v>
      </c>
      <c r="U337" s="12">
        <f>MIN(INDEX(其他调用!$AI$5:$AI$364,MATCH($K337,其他调用!$AG$5:$AG$364,0),1)/INDEX(其他调用!AH$5:AH$364,MATCH($K337,其他调用!$AG$5:$AG$364,0),0),1)*INDEX(其他调用!Y$5:Y$404,MATCH($K337,其他调用!$X$5:$X$404,0),0)</f>
        <v>43061.011112534863</v>
      </c>
      <c r="V337" s="12">
        <f>MIN(INDEX(其他调用!$AI$5:$AI$364,MATCH($K337,其他调用!$AG$5:$AG$364,0),1)/INDEX(其他调用!AI$5:AI$364,MATCH($K337,其他调用!$AG$5:$AG$364,0),0),1)*INDEX(其他调用!Z$5:Z$404,MATCH($K337,其他调用!$X$5:$X$404,0),0)</f>
        <v>44220.710125367637</v>
      </c>
      <c r="W337" s="12">
        <f>MIN(INDEX(其他调用!$AI$5:$AI$364,MATCH($K337,其他调用!$AG$5:$AG$364,0),1)/INDEX(其他调用!AJ$5:AJ$364,MATCH($K337,其他调用!$AG$5:$AG$364,0),0),1)*INDEX(其他调用!AA$5:AA$404,MATCH($K337,其他调用!$X$5:$X$404,0),0)</f>
        <v>25708.893962652008</v>
      </c>
      <c r="X337" s="12">
        <f>MIN(INDEX(其他调用!$AI$5:$AI$364,MATCH($K337,其他调用!$AG$5:$AG$364,0),1)/INDEX(其他调用!AK$5:AK$364,MATCH($K337,其他调用!$AG$5:$AG$364,0),0),1)*INDEX(其他调用!AB$5:AB$404,MATCH($K337,其他调用!$X$5:$X$404,0),0)</f>
        <v>10211.917558220121</v>
      </c>
      <c r="Y337" s="12">
        <f>MIN(INDEX(其他调用!$AI$5:$AI$364,MATCH($K337,其他调用!$AG$5:$AG$364,0),1)/INDEX(其他调用!AL$5:AL$364,MATCH($K337,其他调用!$AG$5:$AG$364,0),0),1)*INDEX(其他调用!AC$5:AC$404,MATCH($K337,其他调用!$X$5:$X$404,0),0)</f>
        <v>6331.6657798331207</v>
      </c>
      <c r="Z337" s="12">
        <f>求节点(节奏总纲!D$4:D$163,标准城池设计!AD$4:AD$163,$K337)*求节点(节奏总纲!D$4:D$163,攻城基础信息!$AE$5:$AE$164,$K337)</f>
        <v>980228.40491767344</v>
      </c>
      <c r="AA337" s="12">
        <f>INDEX(其他调用!$AA$5:$AA$404,MATCH($K337,其他调用!$X$5:$X$404,0))*MIN(INDEX(其他调用!AJ$5:AJ$364,MATCH($K337,其他调用!$AG$5:$AG$364,0),1)/INDEX(其他调用!$AJ$5:$AJ$364,MATCH($K337,其他调用!$AG$5:$AG$364,0),0),5)*求节点(节奏总纲!D$4:D$163,攻城基础信息!$AE$5:$AE$164,$K337)</f>
        <v>160148.87438962495</v>
      </c>
      <c r="AB337" s="12">
        <f>MIN(INDEX(其他调用!$AJ$5:$AJ$364,MATCH($K337,其他调用!$AG$5:$AG$364,0),1)/INDEX(其他调用!AH$5:AH$364,MATCH($K337,其他调用!$AG$5:$AG$364,0),0),1)*INDEX(其他调用!Y$5:Y$404,MATCH($K337,其他调用!$X$5:$X$404,0),0)</f>
        <v>43061.011112534863</v>
      </c>
      <c r="AC337" s="12">
        <f>MIN(INDEX(其他调用!$AJ$5:$AJ$364,MATCH($K337,其他调用!$AG$5:$AG$364,0),1)/INDEX(其他调用!AI$5:AI$364,MATCH($K337,其他调用!$AG$5:$AG$364,0),0),1)*INDEX(其他调用!Z$5:Z$404,MATCH($K337,其他调用!$X$5:$X$404,0),0)</f>
        <v>44220.710125367637</v>
      </c>
      <c r="AD337" s="12">
        <f>MIN(INDEX(其他调用!$AJ$5:$AJ$364,MATCH($K337,其他调用!$AG$5:$AG$364,0),1)/INDEX(其他调用!AJ$5:AJ$364,MATCH($K337,其他调用!$AG$5:$AG$364,0),0),1)*INDEX(其他调用!AA$5:AA$404,MATCH($K337,其他调用!$X$5:$X$404,0),0)</f>
        <v>45756.821254178583</v>
      </c>
      <c r="AE337" s="12">
        <f>MIN(INDEX(其他调用!$AJ$5:$AJ$364,MATCH($K337,其他调用!$AG$5:$AG$364,0),1)/INDEX(其他调用!AK$5:AK$364,MATCH($K337,其他调用!$AG$5:$AG$364,0),0),1)*INDEX(其他调用!AB$5:AB$404,MATCH($K337,其他调用!$X$5:$X$404,0),0)</f>
        <v>18175.223214685702</v>
      </c>
      <c r="AF337" s="12">
        <f>MIN(INDEX(其他调用!$AJ$5:$AJ$364,MATCH($K337,其他调用!$AG$5:$AG$364,0),1)/INDEX(其他调用!AL$5:AL$364,MATCH($K337,其他调用!$AG$5:$AG$364,0),0),1)*INDEX(其他调用!AC$5:AC$404,MATCH($K337,其他调用!$X$5:$X$404,0),0)</f>
        <v>11269.131209996927</v>
      </c>
      <c r="AG337" s="12">
        <f>求节点(节奏总纲!D$4:D$163,标准城池设计!AE$4:AE$163,$K337)*求节点(节奏总纲!D$4:D$163,攻城基础信息!$AF$5:$AF$164,$K337)</f>
        <v>1171284.7295387005</v>
      </c>
      <c r="AH337" s="12">
        <f>INDEX(其他调用!$AA$5:$AA$404,MATCH($K337,其他调用!$X$5:$X$404,0))*MIN(INDEX(其他调用!AK$5:AK$364,MATCH($K337,其他调用!$AG$5:$AG$364,0),1)/INDEX(其他调用!$AJ$5:$AJ$364,MATCH($K337,其他调用!$AG$5:$AG$364,0),0),5)*求节点(节奏总纲!D$4:D$163,攻城基础信息!$AF$5:$AF$164,$K337)</f>
        <v>423016.69129205373</v>
      </c>
      <c r="AI337" s="12">
        <f>MIN(INDEX(其他调用!$AK$5:$AK$364,MATCH($K337,其他调用!$AG$5:$AG$364,0),1)/INDEX(其他调用!AH$5:AH$364,MATCH($K337,其他调用!$AG$5:$AG$364,0),0),1)*INDEX(其他调用!Y$5:Y$404,MATCH($K337,其他调用!$X$5:$X$404,0),0)</f>
        <v>43061.011112534863</v>
      </c>
      <c r="AJ337" s="12">
        <f>MIN(INDEX(其他调用!$AK$5:$AK$364,MATCH($K337,其他调用!$AG$5:$AG$364,0),1)/INDEX(其他调用!AI$5:AI$364,MATCH($K337,其他调用!$AG$5:$AG$364,0),0),1)*INDEX(其他调用!Z$5:Z$404,MATCH($K337,其他调用!$X$5:$X$404,0),0)</f>
        <v>44220.710125367637</v>
      </c>
      <c r="AK337" s="12">
        <f>MIN(INDEX(其他调用!$AK$5:$AK$364,MATCH($K337,其他调用!$AG$5:$AG$364,0),1)/INDEX(其他调用!AJ$5:AJ$364,MATCH($K337,其他调用!$AG$5:$AG$364,0),0),1)*INDEX(其他调用!AA$5:AA$404,MATCH($K337,其他调用!$X$5:$X$404,0),0)</f>
        <v>45756.821254178583</v>
      </c>
      <c r="AL337" s="12">
        <f>MIN(INDEX(其他调用!$AK$5:$AK$364,MATCH($K337,其他调用!$AG$5:$AG$364,0),1)/INDEX(其他调用!AK$5:AK$364,MATCH($K337,其他调用!$AG$5:$AG$364,0),0),1)*INDEX(其他调用!AB$5:AB$404,MATCH($K337,其他调用!$X$5:$X$404,0),0)</f>
        <v>48007.972688373484</v>
      </c>
      <c r="AM337" s="12">
        <f>MIN(INDEX(其他调用!$AK$5:$AK$364,MATCH($K337,其他调用!$AG$5:$AG$364,0),1)/INDEX(其他调用!AL$5:AL$364,MATCH($K337,其他调用!$AG$5:$AG$364,0),0),1)*INDEX(其他调用!AC$5:AC$404,MATCH($K337,其他调用!$X$5:$X$404,0),0)</f>
        <v>29766.244791650839</v>
      </c>
      <c r="AN337" s="12">
        <f>求节点(节奏总纲!D$4:D$163,标准城池设计!AF$4:AF$163,$K337)*求节点(节奏总纲!D$4:D$163,攻城基础信息!$AG$5:$AG$164,$K337)</f>
        <v>1210177.4683611835</v>
      </c>
      <c r="AO337" s="12">
        <f>INDEX(其他调用!$AA$5:$AA$404,MATCH($K337,其他调用!$X$5:$X$404,0))*MIN(INDEX(其他调用!AL$5:AL$364,MATCH($K337,其他调用!$AG$5:$AG$364,0),1)/INDEX(其他调用!$AJ$5:$AJ$364,MATCH($K337,其他调用!$AG$5:$AG$364,0),0),5)*求节点(节奏总纲!D$4:D$163,攻城基础信息!$AG$5:$AG$164,$K337)</f>
        <v>737599.60858972557</v>
      </c>
      <c r="AP337" s="12">
        <f>MIN(INDEX(其他调用!$AL$5:$AL$364,MATCH($K337,其他调用!$AG$5:$AG$364,0),1)/INDEX(其他调用!AH$5:AH$364,MATCH($K337,其他调用!$AG$5:$AG$364,0),0),1)*INDEX(其他调用!Y$5:Y$404,MATCH($K337,其他调用!$X$5:$X$404,0),0)</f>
        <v>43061.011112534863</v>
      </c>
      <c r="AQ337" s="12">
        <f>MIN(INDEX(其他调用!$AL$5:$AL$364,MATCH($K337,其他调用!$AG$5:$AG$364,0),1)/INDEX(其他调用!AI$5:AI$364,MATCH($K337,其他调用!$AG$5:$AG$364,0),0),1)*INDEX(其他调用!Z$5:Z$404,MATCH($K337,其他调用!$X$5:$X$404,0),0)</f>
        <v>44220.710125367637</v>
      </c>
      <c r="AR337" s="12">
        <f>MIN(INDEX(其他调用!$AL$5:$AL$364,MATCH($K337,其他调用!$AG$5:$AG$364,0),1)/INDEX(其他调用!AJ$5:AJ$364,MATCH($K337,其他调用!$AG$5:$AG$364,0),0),1)*INDEX(其他调用!AA$5:AA$404,MATCH($K337,其他调用!$X$5:$X$404,0),0)</f>
        <v>45756.821254178583</v>
      </c>
      <c r="AS337" s="12">
        <f>MIN(INDEX(其他调用!$AL$5:$AL$364,MATCH($K337,其他调用!$AG$5:$AG$364,0),1)/INDEX(其他调用!AK$5:AK$364,MATCH($K337,其他调用!$AG$5:$AG$364,0),0),1)*INDEX(其他调用!AB$5:AB$404,MATCH($K337,其他调用!$X$5:$X$404,0),0)</f>
        <v>48007.972688373484</v>
      </c>
      <c r="AT337" s="12">
        <f>MIN(INDEX(其他调用!$AL$5:$AL$364,MATCH($K337,其他调用!$AG$5:$AG$364,0),1)/INDEX(其他调用!AL$5:AL$364,MATCH($K337,其他调用!$AG$5:$AG$364,0),0),1)*INDEX(其他调用!AC$5:AC$404,MATCH($K337,其他调用!$X$5:$X$404,0),0)</f>
        <v>51902.373971218403</v>
      </c>
      <c r="AV337" s="14">
        <f>IF(OR(AV$5="大R",AV$5="超R"),MAX(INDEX(其他调用!$H$5:$L$404,MATCH($K337,其他调用!$B$5:$B$404,0),MATCH(AV$5,其他调用!$H$4:$L$4,0))*120*0.85,2),INDEX(其他调用!$H$5:$L$404,MATCH($K337,其他调用!$B$5:$B$404,0),MATCH(AV$5,其他调用!$H$4:$L$4,0))*120*0.85)</f>
        <v>48.921801254999991</v>
      </c>
      <c r="AW337" s="14">
        <f>IF(OR(AW$5="大R",AW$5="超R"),MAX(INDEX(其他调用!$H$5:$L$404,MATCH($K337,其他调用!$B$5:$B$404,0),MATCH(AW$5,其他调用!$H$4:$L$4,0))*120*0.85,2),INDEX(其他调用!$H$5:$L$404,MATCH($K337,其他调用!$B$5:$B$404,0),MATCH(AW$5,其他调用!$H$4:$L$4,0))*120*0.85)</f>
        <v>48.237344010638395</v>
      </c>
      <c r="AX337" s="14">
        <f>IF(OR(AX$5="大R",AX$5="超R"),MAX(INDEX(其他调用!$H$5:$L$404,MATCH($K337,其他调用!$B$5:$B$404,0),MATCH(AX$5,其他调用!$H$4:$L$4,0))*120*0.85,2),INDEX(其他调用!$H$5:$L$404,MATCH($K337,其他调用!$B$5:$B$404,0),MATCH(AX$5,其他调用!$H$4:$L$4,0))*120*0.85)</f>
        <v>3.9376284143615998</v>
      </c>
      <c r="AY337" s="14">
        <f>IF(OR(AY$5="大R",AY$5="超R"),MAX(INDEX(其他调用!$H$5:$L$404,MATCH($K337,其他调用!$B$5:$B$404,0),MATCH(AY$5,其他调用!$H$4:$L$4,0))*120*0.85,2),INDEX(其他调用!$H$5:$L$404,MATCH($K337,其他调用!$B$5:$B$404,0),MATCH(AY$5,其他调用!$H$4:$L$4,0))*120*0.85)</f>
        <v>2</v>
      </c>
      <c r="AZ337" s="14">
        <f>IF(OR(AZ$5="大R",AZ$5="超R"),MAX(INDEX(其他调用!$H$5:$L$404,MATCH($K337,其他调用!$B$5:$B$404,0),MATCH(AZ$5,其他调用!$H$4:$L$4,0))*120*0.85,2),INDEX(其他调用!$H$5:$L$404,MATCH($K337,其他调用!$B$5:$B$404,0),MATCH(AZ$5,其他调用!$H$4:$L$4,0))*120*0.85)</f>
        <v>2</v>
      </c>
      <c r="BA337" s="14">
        <f>INDEX(其他调用!$H$5:$L$404,MATCH($K337,其他调用!$B$5:$B$404,0),MATCH(BA$5,其他调用!$H$4:$L$4,0))*INDEX(其他调用!$M$5:$M$404,MATCH($K337,其他调用!$B$5:$B$404,0))*0.6</f>
        <v>28.777530149999997</v>
      </c>
      <c r="BB337" s="14">
        <f>INDEX(其他调用!$H$5:$L$404,MATCH($K337,其他调用!$B$5:$B$404,0),MATCH(BB$5,其他调用!$H$4:$L$4,0))*INDEX(其他调用!$M$5:$M$404,MATCH($K337,其他调用!$B$5:$B$404,0))*0.6</f>
        <v>28.374908241551999</v>
      </c>
      <c r="BC337" s="14">
        <f>INDEX(其他调用!$H$5:$L$404,MATCH($K337,其他调用!$B$5:$B$404,0),MATCH(BC$5,其他调用!$H$4:$L$4,0))*INDEX(其他调用!$M$5:$M$404,MATCH($K337,其他调用!$B$5:$B$404,0))*0.6</f>
        <v>2.3162520084480001</v>
      </c>
      <c r="BD337" s="14">
        <f>INDEX(其他调用!$H$5:$L$404,MATCH($K337,其他调用!$B$5:$B$404,0),MATCH(BD$5,其他调用!$H$4:$L$4,0))*INDEX(其他调用!$M$5:$M$404,MATCH($K337,其他调用!$B$5:$B$404,0))*0.6</f>
        <v>0.4120776000000001</v>
      </c>
      <c r="BE337" s="14">
        <f>INDEX(其他调用!$H$5:$L$404,MATCH($K337,其他调用!$B$5:$B$404,0),MATCH(BE$5,其他调用!$H$4:$L$4,0))*INDEX(其他调用!$M$5:$M$404,MATCH($K337,其他调用!$B$5:$B$404,0))*0.6</f>
        <v>0.11923199999999998</v>
      </c>
      <c r="BF337" s="14">
        <f>IF(OR(BF$5="大R",BF$5="超R"),0,INDEX(其他调用!$H$5:$L$404,MATCH($K337,其他调用!$B$5:$B$404,0),MATCH(BF$5,其他调用!$H$4:$L$4,0))*50*0.4)</f>
        <v>9.5925100500000013</v>
      </c>
      <c r="BG337" s="14">
        <f>IF(OR(BG$5="大R",BG$5="超R"),0,INDEX(其他调用!$H$5:$L$404,MATCH($K337,其他调用!$B$5:$B$404,0),MATCH(BG$5,其他调用!$H$4:$L$4,0))*50*0.4)</f>
        <v>9.4583027471839998</v>
      </c>
      <c r="BH337" s="14">
        <f>IF(OR(BH$5="大R",BH$5="超R"),0,INDEX(其他调用!$H$5:$L$404,MATCH($K337,其他调用!$B$5:$B$404,0),MATCH(BH$5,其他调用!$H$4:$L$4,0))*50*0.4)</f>
        <v>0.77208400281600009</v>
      </c>
      <c r="BI337" s="14">
        <f>IF(OR(BI$5="大R",BI$5="超R"),0,INDEX(其他调用!$H$5:$L$404,MATCH($K337,其他调用!$B$5:$B$404,0),MATCH(BI$5,其他调用!$H$4:$L$4,0))*50*0.4)</f>
        <v>0</v>
      </c>
      <c r="BJ337" s="14">
        <f>IF(OR(BJ$5="大R",BJ$5="超R"),0,INDEX(其他调用!$H$5:$L$404,MATCH($K337,其他调用!$B$5:$B$404,0),MATCH(BJ$5,其他调用!$H$4:$L$4,0))*50*0.4)</f>
        <v>0</v>
      </c>
      <c r="BL337" s="14">
        <f t="shared" si="628"/>
        <v>332</v>
      </c>
      <c r="BM337" s="14">
        <f t="shared" si="535"/>
        <v>96</v>
      </c>
      <c r="BN337" s="14">
        <f>('疲劳值&amp;地图信息'!$S$10*'疲劳值&amp;地图信息'!$R$10+'疲劳值&amp;地图信息'!$S$11*'疲劳值&amp;地图信息'!$R$11+'疲劳值&amp;地图信息'!$S$12*'疲劳值&amp;地图信息'!$R$12+(BM337-'疲劳值&amp;地图信息'!$S$12-'疲劳值&amp;地图信息'!$S$11-'疲劳值&amp;地图信息'!$S$10)*'疲劳值&amp;地图信息'!$R$13)/BM337</f>
        <v>51.371477246638619</v>
      </c>
      <c r="BO337" s="14">
        <f>INDEX(其他调用!$M$5:$M$404,MATCH(BL337,其他调用!$B$5:$B$404,0))*0.6</f>
        <v>60</v>
      </c>
      <c r="BP337" s="14">
        <f>IF(BO337&gt;SUM('疲劳值&amp;地图信息'!$S$10:$S$12),('疲劳值&amp;地图信息'!$S$10*'疲劳值&amp;地图信息'!$R$10+'疲劳值&amp;地图信息'!$S$11*'疲劳值&amp;地图信息'!$R$11+'疲劳值&amp;地图信息'!$S$12*'疲劳值&amp;地图信息'!$R$12+(BO337-'疲劳值&amp;地图信息'!$S$12-'疲劳值&amp;地图信息'!$S$11-'疲劳值&amp;地图信息'!$S$10)*'疲劳值&amp;地图信息'!$R$13)/BO337,('疲劳值&amp;地图信息'!$S$10*'疲劳值&amp;地图信息'!$R$10+'疲劳值&amp;地图信息'!$S$11*'疲劳值&amp;地图信息'!$R$11+'疲劳值&amp;地图信息'!$S$12*'疲劳值&amp;地图信息'!$R$12+(BO337-'疲劳值&amp;地图信息'!$S$12-'疲劳值&amp;地图信息'!$S$11-'疲劳值&amp;地图信息'!$S$10)*'疲劳值&amp;地图信息'!$R$13)/BO337)</f>
        <v>44.158136341605953</v>
      </c>
      <c r="BQ337" s="14">
        <f t="shared" si="629"/>
        <v>20</v>
      </c>
      <c r="BR337" s="14">
        <f>('疲劳值&amp;地图信息'!$S$10*'疲劳值&amp;地图信息'!$R$10+($BQ337-'疲劳值&amp;地图信息'!$S$10)*'疲劳值&amp;地图信息'!$R$11)/$BQ337</f>
        <v>32.067203015074995</v>
      </c>
      <c r="CF337" s="14">
        <v>332</v>
      </c>
      <c r="CG337" s="51">
        <f t="shared" si="536"/>
        <v>16719</v>
      </c>
      <c r="CH337" s="51">
        <f t="shared" si="537"/>
        <v>1055</v>
      </c>
      <c r="CI337" s="51">
        <f>INT(SUMPRODUCT($N337:$R337,$BA337:$BE337)/SUM($BA337:$BE337)/10000*$BX$7*$BZ$34/'疲劳值&amp;地图信息'!$R$10*$BY$53)</f>
        <v>3379</v>
      </c>
      <c r="CJ337" s="50">
        <f t="shared" si="538"/>
        <v>0.79038434264643309</v>
      </c>
      <c r="CK337" s="50">
        <f t="shared" si="539"/>
        <v>4.9874722261617738E-2</v>
      </c>
      <c r="CL337" s="50">
        <f t="shared" si="540"/>
        <v>0.15974093509194914</v>
      </c>
      <c r="CM337" s="14">
        <f t="shared" si="541"/>
        <v>18335</v>
      </c>
      <c r="CN337" s="14">
        <f t="shared" si="542"/>
        <v>1833</v>
      </c>
      <c r="CO337" s="14">
        <f>INT(SUMPRODUCT($U337:$Y337,$BA337:$BE337)/SUM($BA337:$BE337)/10000*$BX$7*$BZ$34/'疲劳值&amp;地图信息'!$R$10*$BY$54)</f>
        <v>6490</v>
      </c>
      <c r="CP337" s="50">
        <f t="shared" si="543"/>
        <v>0.6877860304598995</v>
      </c>
      <c r="CQ337" s="50">
        <f t="shared" si="544"/>
        <v>6.8759846950258829E-2</v>
      </c>
      <c r="CR337" s="50">
        <f t="shared" si="545"/>
        <v>0.2434541225898417</v>
      </c>
      <c r="CS337" s="14">
        <f t="shared" si="546"/>
        <v>19978</v>
      </c>
      <c r="CT337" s="14">
        <f t="shared" si="547"/>
        <v>3264</v>
      </c>
      <c r="CU337" s="14">
        <f>INT(SUMPRODUCT($AB337:$AF337,$BA337:$BE337)/SUM($BA337:$BE337)/10000*$BX$7*$BZ$34/'疲劳值&amp;地图信息'!$R$10*$BY$55)</f>
        <v>8823</v>
      </c>
      <c r="CV337" s="50">
        <f t="shared" si="548"/>
        <v>0.6230469359114299</v>
      </c>
      <c r="CW337" s="50">
        <f t="shared" si="549"/>
        <v>0.1017932324964915</v>
      </c>
      <c r="CX337" s="50">
        <f t="shared" si="550"/>
        <v>0.27515983159207857</v>
      </c>
      <c r="CY337" s="14">
        <f t="shared" si="551"/>
        <v>23872</v>
      </c>
      <c r="CZ337" s="14">
        <f t="shared" si="552"/>
        <v>8621</v>
      </c>
      <c r="DA337" s="14">
        <f>INT(SUMPRODUCT($AI337:$AM337,$BA337:$BE337)/SUM($BA337:$BE337)/10000*$BX$7*$BZ$34/'疲劳值&amp;地图信息'!$R$10*$BY$56)</f>
        <v>13308</v>
      </c>
      <c r="DB337" s="50">
        <f t="shared" si="553"/>
        <v>0.52121132726359687</v>
      </c>
      <c r="DC337" s="50">
        <f t="shared" si="554"/>
        <v>0.18822733128097641</v>
      </c>
      <c r="DD337" s="50">
        <f t="shared" si="555"/>
        <v>0.29056134145542672</v>
      </c>
      <c r="DE337" s="14">
        <f t="shared" si="556"/>
        <v>24664</v>
      </c>
      <c r="DF337" s="14">
        <f t="shared" si="557"/>
        <v>15033</v>
      </c>
      <c r="DG337" s="14">
        <f>INT(SUMPRODUCT($AP337:$AT337,$BA337:$BE337)/SUM($BA337:$BE337)/10000*$BX$7*$BZ$34/'疲劳值&amp;地图信息'!$R$10*$BY$57)</f>
        <v>17762</v>
      </c>
      <c r="DH337" s="50">
        <f t="shared" si="558"/>
        <v>0.42924520092587759</v>
      </c>
      <c r="DI337" s="50">
        <f t="shared" si="559"/>
        <v>0.26163003184879652</v>
      </c>
      <c r="DJ337" s="50">
        <f t="shared" si="560"/>
        <v>0.30912476722532589</v>
      </c>
      <c r="DL337" s="14">
        <f t="shared" si="631"/>
        <v>21153</v>
      </c>
      <c r="DM337" s="14">
        <f t="shared" si="632"/>
        <v>26658</v>
      </c>
      <c r="DN337" s="14">
        <f t="shared" si="633"/>
        <v>32065</v>
      </c>
      <c r="DO337" s="14">
        <f t="shared" si="634"/>
        <v>45801</v>
      </c>
      <c r="DP337" s="14">
        <f t="shared" si="635"/>
        <v>57459</v>
      </c>
      <c r="DQ337" s="14">
        <f t="shared" si="636"/>
        <v>1465144</v>
      </c>
      <c r="DT337" s="14">
        <f t="shared" si="630"/>
        <v>235575</v>
      </c>
      <c r="DU337" s="50">
        <f t="shared" si="532"/>
        <v>0.13851494573765566</v>
      </c>
      <c r="DW337" s="14">
        <f t="shared" si="561"/>
        <v>1700719</v>
      </c>
      <c r="EB337" s="14">
        <v>332</v>
      </c>
      <c r="EC337" s="51">
        <f t="shared" si="562"/>
        <v>27865</v>
      </c>
      <c r="ED337" s="51">
        <f t="shared" si="563"/>
        <v>1758</v>
      </c>
      <c r="EE337" s="51">
        <f>INT(SUMPRODUCT($N337:$R337,$BF337:$BJ337)/SUM($BF337:$BJ337)/10000*$BX$7*$BZ$46/'疲劳值&amp;地图信息'!$R$10*$BY$53)</f>
        <v>453</v>
      </c>
      <c r="EF337" s="50">
        <f t="shared" si="564"/>
        <v>0.92648623487165849</v>
      </c>
      <c r="EG337" s="50">
        <f t="shared" si="565"/>
        <v>5.8451921798111449E-2</v>
      </c>
      <c r="EH337" s="50">
        <f t="shared" si="566"/>
        <v>1.5061843330230083E-2</v>
      </c>
      <c r="EI337" s="51">
        <f t="shared" si="567"/>
        <v>30558</v>
      </c>
      <c r="EJ337" s="51">
        <f t="shared" si="568"/>
        <v>3056</v>
      </c>
      <c r="EK337" s="14">
        <f>INT(SUMPRODUCT($U337:$Y337,$BF337:$BJ337)/SUM($BF337:$BJ337)/10000*$BX$7*$BZ$46/'疲劳值&amp;地图信息'!$R$10*$BY$54)</f>
        <v>871</v>
      </c>
      <c r="EL337" s="50">
        <f t="shared" si="569"/>
        <v>0.88612440191387565</v>
      </c>
      <c r="EM337" s="50">
        <f t="shared" si="570"/>
        <v>8.8618239814412067E-2</v>
      </c>
      <c r="EN337" s="50">
        <f t="shared" si="571"/>
        <v>2.5257358271712337E-2</v>
      </c>
      <c r="EO337" s="51">
        <f t="shared" si="572"/>
        <v>33297</v>
      </c>
      <c r="EP337" s="51">
        <f t="shared" si="573"/>
        <v>5440</v>
      </c>
      <c r="EQ337" s="14">
        <f>INT(SUMPRODUCT($AB337:$AF337,$BF337:$BJ337)/SUM($BF337:$BJ337)/10000*$BX$7*$BZ$46/'疲劳值&amp;地图信息'!$R$10*$BY$55)</f>
        <v>1182</v>
      </c>
      <c r="ER337" s="50">
        <f t="shared" si="574"/>
        <v>0.83411408101405349</v>
      </c>
      <c r="ES337" s="50">
        <f t="shared" si="575"/>
        <v>0.13627595881660362</v>
      </c>
      <c r="ET337" s="50">
        <f t="shared" si="576"/>
        <v>2.9609960169342919E-2</v>
      </c>
      <c r="EU337" s="51">
        <f t="shared" si="577"/>
        <v>39787</v>
      </c>
      <c r="EV337" s="51">
        <f t="shared" si="578"/>
        <v>14369</v>
      </c>
      <c r="EW337" s="14">
        <f>INT(SUMPRODUCT($AI337:$AM337,$BF337:$BJ337)/SUM($BF337:$BJ337)/10000*$BX$7*$BZ$46/'疲劳值&amp;地图信息'!$R$10*$BY$56)</f>
        <v>1774</v>
      </c>
      <c r="EX337" s="50">
        <f t="shared" si="579"/>
        <v>0.71137135705345966</v>
      </c>
      <c r="EY337" s="50">
        <f t="shared" si="580"/>
        <v>0.25691042374396567</v>
      </c>
      <c r="EZ337" s="50">
        <f t="shared" si="581"/>
        <v>3.1718219202574643E-2</v>
      </c>
      <c r="FA337" s="51">
        <f t="shared" si="582"/>
        <v>41108</v>
      </c>
      <c r="FB337" s="51">
        <f t="shared" si="583"/>
        <v>25055</v>
      </c>
      <c r="FC337" s="14">
        <f>INT(SUMPRODUCT($AP337:$AT337,$BF337:$BJ337)/SUM($BF337:$BJ337)/10000*$BX$7*$BZ$46/'疲劳值&amp;地图信息'!$R$10*$BY$57)</f>
        <v>2365</v>
      </c>
      <c r="FD337" s="50">
        <f t="shared" si="584"/>
        <v>0.59987158533738039</v>
      </c>
      <c r="FE337" s="50">
        <f t="shared" si="585"/>
        <v>0.36561697408358629</v>
      </c>
      <c r="FF337" s="50">
        <f t="shared" si="586"/>
        <v>3.4511440579033388E-2</v>
      </c>
      <c r="FH337" s="14">
        <f t="shared" si="587"/>
        <v>30076</v>
      </c>
      <c r="FI337" s="14">
        <f t="shared" si="588"/>
        <v>34485</v>
      </c>
      <c r="FJ337" s="14">
        <f t="shared" si="589"/>
        <v>39919</v>
      </c>
      <c r="FK337" s="14">
        <f t="shared" si="590"/>
        <v>55930</v>
      </c>
      <c r="FL337" s="14">
        <f t="shared" si="591"/>
        <v>68528</v>
      </c>
      <c r="FM337" s="14">
        <f t="shared" si="592"/>
        <v>3540939</v>
      </c>
      <c r="FP337" s="14">
        <f t="shared" si="593"/>
        <v>334150</v>
      </c>
      <c r="FQ337" s="50">
        <f t="shared" si="533"/>
        <v>8.6230277549754347E-2</v>
      </c>
      <c r="FS337" s="14">
        <f t="shared" si="594"/>
        <v>3875089</v>
      </c>
      <c r="FX337" s="14">
        <v>332</v>
      </c>
      <c r="FY337" s="51">
        <f t="shared" si="595"/>
        <v>39012</v>
      </c>
      <c r="FZ337" s="51">
        <f t="shared" si="596"/>
        <v>1758</v>
      </c>
      <c r="GA337" s="51">
        <f>INT(SUMPRODUCT($N337:$R337,$BF337:$BJ337)/SUM($BF337:$BJ337)/10000*$BX$7*$BZ$46/'疲劳值&amp;地图信息'!$R$10*$BY$53)</f>
        <v>453</v>
      </c>
      <c r="GB337" s="50">
        <f t="shared" si="597"/>
        <v>0.94636489338476093</v>
      </c>
      <c r="GC337" s="50">
        <f t="shared" si="598"/>
        <v>4.2646095626228078E-2</v>
      </c>
      <c r="GD337" s="50">
        <f t="shared" si="599"/>
        <v>1.098901098901099E-2</v>
      </c>
      <c r="GE337" s="51">
        <f t="shared" si="600"/>
        <v>42782</v>
      </c>
      <c r="GF337" s="51">
        <f t="shared" si="601"/>
        <v>3056</v>
      </c>
      <c r="GG337" s="14">
        <f>INT(SUMPRODUCT($U337:$Y337,$BF337:$BJ337)/SUM($BF337:$BJ337)/10000*$BX$7*$BZ$46/'疲劳值&amp;地图信息'!$R$10*$BY$54)</f>
        <v>871</v>
      </c>
      <c r="GH337" s="50">
        <f t="shared" si="602"/>
        <v>0.91592626688646728</v>
      </c>
      <c r="GI337" s="50">
        <f t="shared" si="603"/>
        <v>6.5426363227643489E-2</v>
      </c>
      <c r="GJ337" s="50">
        <f t="shared" si="604"/>
        <v>1.864736988588923E-2</v>
      </c>
      <c r="GK337" s="51">
        <f t="shared" si="605"/>
        <v>46616</v>
      </c>
      <c r="GL337" s="51">
        <f t="shared" si="606"/>
        <v>5440</v>
      </c>
      <c r="GM337" s="14">
        <f>INT(SUMPRODUCT($AB337:$AF337,$BF337:$BJ337)/SUM($BF337:$BJ337)/10000*$BX$7*$BZ$46/'疲劳值&amp;地图信息'!$R$10*$BY$55)</f>
        <v>1182</v>
      </c>
      <c r="GN337" s="50">
        <f t="shared" si="607"/>
        <v>0.87561516210225776</v>
      </c>
      <c r="GO337" s="50">
        <f t="shared" si="608"/>
        <v>0.10218265148953755</v>
      </c>
      <c r="GP337" s="50">
        <f t="shared" si="609"/>
        <v>2.2202186408204667E-2</v>
      </c>
      <c r="GQ337" s="51">
        <f t="shared" si="610"/>
        <v>55702</v>
      </c>
      <c r="GR337" s="51">
        <f t="shared" si="611"/>
        <v>14369</v>
      </c>
      <c r="GS337" s="14">
        <f>INT(SUMPRODUCT($AI337:$AM337,$BF337:$BJ337)/SUM($BF337:$BJ337)/10000*$BX$7*$BZ$46/'疲劳值&amp;地图信息'!$R$10*$BY$56)</f>
        <v>1774</v>
      </c>
      <c r="GT337" s="50">
        <f t="shared" si="612"/>
        <v>0.77530795462453894</v>
      </c>
      <c r="GU337" s="50">
        <f t="shared" si="613"/>
        <v>0.2</v>
      </c>
      <c r="GV337" s="50">
        <f t="shared" si="614"/>
        <v>2.4692045375461061E-2</v>
      </c>
      <c r="GW337" s="51">
        <f t="shared" si="615"/>
        <v>57551</v>
      </c>
      <c r="GX337" s="51">
        <f t="shared" si="616"/>
        <v>25055</v>
      </c>
      <c r="GY337" s="14">
        <f>INT(SUMPRODUCT($AP337:$AT337,$BF337:$BJ337)/SUM($BF337:$BJ337)/10000*$BX$7*$BZ$46/'疲劳值&amp;地图信息'!$R$10*$BY$57)</f>
        <v>2365</v>
      </c>
      <c r="GZ337" s="50">
        <f t="shared" si="617"/>
        <v>0.67730166762777888</v>
      </c>
      <c r="HA337" s="50">
        <f t="shared" si="618"/>
        <v>0.29486530698708974</v>
      </c>
      <c r="HB337" s="50">
        <f t="shared" si="619"/>
        <v>2.7833025385131396E-2</v>
      </c>
      <c r="HD337" s="14">
        <f t="shared" si="620"/>
        <v>41223</v>
      </c>
      <c r="HE337" s="14">
        <f t="shared" si="621"/>
        <v>46709</v>
      </c>
      <c r="HF337" s="14">
        <f t="shared" si="622"/>
        <v>53238</v>
      </c>
      <c r="HG337" s="14">
        <f t="shared" si="623"/>
        <v>71845</v>
      </c>
      <c r="HH337" s="14">
        <f t="shared" si="624"/>
        <v>84971</v>
      </c>
      <c r="HI337" s="14">
        <f t="shared" si="625"/>
        <v>4793084</v>
      </c>
      <c r="HL337" s="14">
        <f t="shared" si="626"/>
        <v>430050</v>
      </c>
      <c r="HM337" s="50">
        <f t="shared" si="534"/>
        <v>8.2335624550317871E-2</v>
      </c>
      <c r="HO337" s="14">
        <f t="shared" si="627"/>
        <v>5223134</v>
      </c>
    </row>
    <row r="338" spans="11:223" x14ac:dyDescent="0.2">
      <c r="K338" s="14">
        <v>333</v>
      </c>
      <c r="L338" s="12">
        <f>求节点(节奏总纲!D$4:D$163,标准城池设计!AB$4:AB$163,$K338)*求节点(节奏总纲!D$4:D$163,攻城基础信息!$AC$5:$AC$164,$K338)</f>
        <v>821454.95938000397</v>
      </c>
      <c r="M338" s="12">
        <f>INDEX(其他调用!$AA$5:$AA$404,MATCH(K338,其他调用!$X$5:$X$404,0))*MIN(INDEX(其他调用!$AH$5:$AH$364,MATCH('征服点（新）'!K338,其他调用!$AG$5:$AG$364,0),1)/INDEX(其他调用!$AJ$5:$AJ$364,MATCH(K338,其他调用!$AG$5:$AG$364,0),0),5)*求节点(节奏总纲!D$4:D$163,攻城基础信息!$AC$5:$AC$164,$K338)</f>
        <v>51713.907138214185</v>
      </c>
      <c r="N338" s="12">
        <f>MIN(INDEX(其他调用!$AH$5:$AH$364,MATCH($K338,其他调用!$AG$5:$AG$364,0),1)/INDEX(其他调用!AH$5:AH$364,MATCH($K338,其他调用!$AG$5:$AG$364,0),0),1)*INDEX(其他调用!Y$5:Y$404,MATCH($K338,其他调用!$X$5:$X$404,0),0)</f>
        <v>43078.820598447404</v>
      </c>
      <c r="O338" s="12">
        <f>MIN(INDEX(其他调用!$AH$5:$AH$364,MATCH($K338,其他调用!$AG$5:$AG$364,0),1)/INDEX(其他调用!AI$5:AI$364,MATCH($K338,其他调用!$AG$5:$AG$364,0),0),1)*INDEX(其他调用!Z$5:Z$404,MATCH($K338,其他调用!$X$5:$X$404,0),0)</f>
        <v>25440.336598010606</v>
      </c>
      <c r="P338" s="12">
        <f>MIN(INDEX(其他调用!$AH$5:$AH$364,MATCH($K338,其他调用!$AG$5:$AG$364,0),1)/INDEX(其他调用!AJ$5:AJ$364,MATCH($K338,其他调用!$AG$5:$AG$364,0),0),1)*INDEX(其他调用!AA$5:AA$404,MATCH($K338,其他调用!$X$5:$X$404,0),0)</f>
        <v>14775.402039489776</v>
      </c>
      <c r="Q338" s="12">
        <f>MIN(INDEX(其他调用!$AH$5:$AH$364,MATCH($K338,其他调用!$AG$5:$AG$364,0),1)/INDEX(其他调用!AK$5:AK$364,MATCH($K338,其他调用!$AG$5:$AG$364,0),0),1)*INDEX(其他调用!AB$5:AB$404,MATCH($K338,其他调用!$X$5:$X$404,0),0)</f>
        <v>5880.5347541629153</v>
      </c>
      <c r="R338" s="12">
        <f>MIN(INDEX(其他调用!$AH$5:$AH$364,MATCH($K338,其他调用!$AG$5:$AG$364,0),1)/INDEX(其他调用!AL$5:AL$364,MATCH($K338,其他调用!$AG$5:$AG$364,0),0),1)*INDEX(其他调用!AC$5:AC$404,MATCH($K338,其他调用!$X$5:$X$404,0),0)</f>
        <v>3650.9365169485873</v>
      </c>
      <c r="S338" s="12">
        <f>求节点(节奏总纲!D$4:D$163,标准城池设计!AC$4:AC$163,$K338)*求节点(节奏总纲!D$4:D$163,攻城基础信息!$AD$5:$AD$164,$K338)</f>
        <v>900837.25239264627</v>
      </c>
      <c r="T338" s="12">
        <f>INDEX(其他调用!$AA$5:$AA$404,MATCH($K338,其他调用!$X$5:$X$404,0))*MIN(INDEX(其他调用!AI$5:AI$364,MATCH($K338,其他调用!$AG$5:$AG$364,0),1)/INDEX(其他调用!$AJ$5:$AJ$364,MATCH($K338,其他调用!$AG$5:$AG$364,0),0),5)*求节点(节奏总纲!D$4:D$163,攻城基础信息!$AD$5:$AD$164,$K338)</f>
        <v>89926.059606409341</v>
      </c>
      <c r="U338" s="12">
        <f>MIN(INDEX(其他调用!$AI$5:$AI$364,MATCH($K338,其他调用!$AG$5:$AG$364,0),1)/INDEX(其他调用!AH$5:AH$364,MATCH($K338,其他调用!$AG$5:$AG$364,0),0),1)*INDEX(其他调用!Y$5:Y$404,MATCH($K338,其他调用!$X$5:$X$404,0),0)</f>
        <v>43078.820598447404</v>
      </c>
      <c r="V338" s="12">
        <f>MIN(INDEX(其他调用!$AI$5:$AI$364,MATCH($K338,其他调用!$AG$5:$AG$364,0),1)/INDEX(其他调用!AI$5:AI$364,MATCH($K338,其他调用!$AG$5:$AG$364,0),0),1)*INDEX(其他调用!Z$5:Z$404,MATCH($K338,其他调用!$X$5:$X$404,0),0)</f>
        <v>44238.568538351217</v>
      </c>
      <c r="W338" s="12">
        <f>MIN(INDEX(其他调用!$AI$5:$AI$364,MATCH($K338,其他调用!$AG$5:$AG$364,0),1)/INDEX(其他调用!AJ$5:AJ$364,MATCH($K338,其他调用!$AG$5:$AG$364,0),0),1)*INDEX(其他调用!AA$5:AA$404,MATCH($K338,其他调用!$X$5:$X$404,0),0)</f>
        <v>25693.159887545542</v>
      </c>
      <c r="X338" s="12">
        <f>MIN(INDEX(其他调用!$AI$5:$AI$364,MATCH($K338,其他调用!$AG$5:$AG$364,0),1)/INDEX(其他调用!AK$5:AK$364,MATCH($K338,其他调用!$AG$5:$AG$364,0),0),1)*INDEX(其他调用!AB$5:AB$404,MATCH($K338,其他调用!$X$5:$X$404,0),0)</f>
        <v>10225.746768796113</v>
      </c>
      <c r="Y338" s="12">
        <f>MIN(INDEX(其他调用!$AI$5:$AI$364,MATCH($K338,其他调用!$AG$5:$AG$364,0),1)/INDEX(其他调用!AL$5:AL$364,MATCH($K338,其他调用!$AG$5:$AG$364,0),0),1)*INDEX(其他调用!AC$5:AC$404,MATCH($K338,其他调用!$X$5:$X$404,0),0)</f>
        <v>6348.6662101329803</v>
      </c>
      <c r="Z338" s="12">
        <f>求节点(节奏总纲!D$4:D$163,标准城池设计!AD$4:AD$163,$K338)*求节点(节奏总纲!D$4:D$163,攻城基础信息!$AE$5:$AE$164,$K338)</f>
        <v>981535.11122353817</v>
      </c>
      <c r="AA338" s="12">
        <f>INDEX(其他调用!$AA$5:$AA$404,MATCH($K338,其他调用!$X$5:$X$404,0))*MIN(INDEX(其他调用!AJ$5:AJ$364,MATCH($K338,其他调用!$AG$5:$AG$364,0),1)/INDEX(其他调用!$AJ$5:$AJ$364,MATCH($K338,其他调用!$AG$5:$AG$364,0),0),5)*求节点(节奏总纲!D$4:D$163,攻城基础信息!$AE$5:$AE$164,$K338)</f>
        <v>160212.73547091428</v>
      </c>
      <c r="AB338" s="12">
        <f>MIN(INDEX(其他调用!$AJ$5:$AJ$364,MATCH($K338,其他调用!$AG$5:$AG$364,0),1)/INDEX(其他调用!AH$5:AH$364,MATCH($K338,其他调用!$AG$5:$AG$364,0),0),1)*INDEX(其他调用!Y$5:Y$404,MATCH($K338,其他调用!$X$5:$X$404,0),0)</f>
        <v>43078.820598447404</v>
      </c>
      <c r="AC338" s="12">
        <f>MIN(INDEX(其他调用!$AJ$5:$AJ$364,MATCH($K338,其他调用!$AG$5:$AG$364,0),1)/INDEX(其他调用!AI$5:AI$364,MATCH($K338,其他调用!$AG$5:$AG$364,0),0),1)*INDEX(其他调用!Z$5:Z$404,MATCH($K338,其他调用!$X$5:$X$404,0),0)</f>
        <v>44238.568538351217</v>
      </c>
      <c r="AD338" s="12">
        <f>MIN(INDEX(其他调用!$AJ$5:$AJ$364,MATCH($K338,其他调用!$AG$5:$AG$364,0),1)/INDEX(其他调用!AJ$5:AJ$364,MATCH($K338,其他调用!$AG$5:$AG$364,0),0),1)*INDEX(其他调用!AA$5:AA$404,MATCH($K338,其他调用!$X$5:$X$404,0),0)</f>
        <v>45775.067277404109</v>
      </c>
      <c r="AE338" s="12">
        <f>MIN(INDEX(其他调用!$AJ$5:$AJ$364,MATCH($K338,其他调用!$AG$5:$AG$364,0),1)/INDEX(其他调用!AK$5:AK$364,MATCH($K338,其他调用!$AG$5:$AG$364,0),0),1)*INDEX(其他调用!AB$5:AB$404,MATCH($K338,其他调用!$X$5:$X$404,0),0)</f>
        <v>18218.243624064249</v>
      </c>
      <c r="AF338" s="12">
        <f>MIN(INDEX(其他调用!$AJ$5:$AJ$364,MATCH($K338,其他调用!$AG$5:$AG$364,0),1)/INDEX(其他调用!AL$5:AL$364,MATCH($K338,其他调用!$AG$5:$AG$364,0),0),1)*INDEX(其他调用!AC$5:AC$404,MATCH($K338,其他调用!$X$5:$X$404,0),0)</f>
        <v>11310.816737317293</v>
      </c>
      <c r="AG338" s="12">
        <f>求节点(节奏总纲!D$4:D$163,标准城池设计!AE$4:AE$163,$K338)*求节点(节奏总纲!D$4:D$163,攻城基础信息!$AF$5:$AF$164,$K338)</f>
        <v>1172434.1396654923</v>
      </c>
      <c r="AH338" s="12">
        <f>INDEX(其他调用!$AA$5:$AA$404,MATCH($K338,其他调用!$X$5:$X$404,0))*MIN(INDEX(其他调用!AK$5:AK$364,MATCH($K338,其他调用!$AG$5:$AG$364,0),1)/INDEX(其他调用!$AJ$5:$AJ$364,MATCH($K338,其他调用!$AG$5:$AG$364,0),0),5)*求节点(节奏总纲!D$4:D$163,攻城基础信息!$AF$5:$AF$164,$K338)</f>
        <v>422342.6551327139</v>
      </c>
      <c r="AI338" s="12">
        <f>MIN(INDEX(其他调用!$AK$5:$AK$364,MATCH($K338,其他调用!$AG$5:$AG$364,0),1)/INDEX(其他调用!AH$5:AH$364,MATCH($K338,其他调用!$AG$5:$AG$364,0),0),1)*INDEX(其他调用!Y$5:Y$404,MATCH($K338,其他调用!$X$5:$X$404,0),0)</f>
        <v>43078.820598447404</v>
      </c>
      <c r="AJ338" s="12">
        <f>MIN(INDEX(其他调用!$AK$5:$AK$364,MATCH($K338,其他调用!$AG$5:$AG$364,0),1)/INDEX(其他调用!AI$5:AI$364,MATCH($K338,其他调用!$AG$5:$AG$364,0),0),1)*INDEX(其他调用!Z$5:Z$404,MATCH($K338,其他调用!$X$5:$X$404,0),0)</f>
        <v>44238.568538351217</v>
      </c>
      <c r="AK338" s="12">
        <f>MIN(INDEX(其他调用!$AK$5:$AK$364,MATCH($K338,其他调用!$AG$5:$AG$364,0),1)/INDEX(其他调用!AJ$5:AJ$364,MATCH($K338,其他调用!$AG$5:$AG$364,0),0),1)*INDEX(其他调用!AA$5:AA$404,MATCH($K338,其他调用!$X$5:$X$404,0),0)</f>
        <v>45775.067277404109</v>
      </c>
      <c r="AL338" s="12">
        <f>MIN(INDEX(其他调用!$AK$5:$AK$364,MATCH($K338,其他调用!$AG$5:$AG$364,0),1)/INDEX(其他调用!AK$5:AK$364,MATCH($K338,其他调用!$AG$5:$AG$364,0),0),1)*INDEX(其他调用!AB$5:AB$404,MATCH($K338,其他调用!$X$5:$X$404,0),0)</f>
        <v>48025.77873366874</v>
      </c>
      <c r="AM338" s="12">
        <f>MIN(INDEX(其他调用!$AK$5:$AK$364,MATCH($K338,其他调用!$AG$5:$AG$364,0),1)/INDEX(其他调用!AL$5:AL$364,MATCH($K338,其他调用!$AG$5:$AG$364,0),0),1)*INDEX(其他调用!AC$5:AC$404,MATCH($K338,其他调用!$X$5:$X$404,0),0)</f>
        <v>29816.857932778825</v>
      </c>
      <c r="AN338" s="12">
        <f>求节点(节奏总纲!D$4:D$163,标准城池设计!AF$4:AF$163,$K338)*求节点(节奏总纲!D$4:D$163,攻城基础信息!$AG$5:$AG$164,$K338)</f>
        <v>1211051.5845649177</v>
      </c>
      <c r="AO338" s="12">
        <f>INDEX(其他调用!$AA$5:$AA$404,MATCH($K338,其他调用!$X$5:$X$404,0))*MIN(INDEX(其他调用!AL$5:AL$364,MATCH($K338,其他调用!$AG$5:$AG$364,0),1)/INDEX(其他调用!$AJ$5:$AJ$364,MATCH($K338,其他调用!$AG$5:$AG$364,0),0),5)*求节点(节奏总纲!D$4:D$163,攻城基础信息!$AG$5:$AG$164,$K338)</f>
        <v>735432.07894198247</v>
      </c>
      <c r="AP338" s="12">
        <f>MIN(INDEX(其他调用!$AL$5:$AL$364,MATCH($K338,其他调用!$AG$5:$AG$364,0),1)/INDEX(其他调用!AH$5:AH$364,MATCH($K338,其他调用!$AG$5:$AG$364,0),0),1)*INDEX(其他调用!Y$5:Y$404,MATCH($K338,其他调用!$X$5:$X$404,0),0)</f>
        <v>43078.820598447404</v>
      </c>
      <c r="AQ338" s="12">
        <f>MIN(INDEX(其他调用!$AL$5:$AL$364,MATCH($K338,其他调用!$AG$5:$AG$364,0),1)/INDEX(其他调用!AI$5:AI$364,MATCH($K338,其他调用!$AG$5:$AG$364,0),0),1)*INDEX(其他调用!Z$5:Z$404,MATCH($K338,其他调用!$X$5:$X$404,0),0)</f>
        <v>44238.568538351217</v>
      </c>
      <c r="AR338" s="12">
        <f>MIN(INDEX(其他调用!$AL$5:$AL$364,MATCH($K338,其他调用!$AG$5:$AG$364,0),1)/INDEX(其他调用!AJ$5:AJ$364,MATCH($K338,其他调用!$AG$5:$AG$364,0),0),1)*INDEX(其他调用!AA$5:AA$404,MATCH($K338,其他调用!$X$5:$X$404,0),0)</f>
        <v>45775.067277404109</v>
      </c>
      <c r="AS338" s="12">
        <f>MIN(INDEX(其他调用!$AL$5:$AL$364,MATCH($K338,其他调用!$AG$5:$AG$364,0),1)/INDEX(其他调用!AK$5:AK$364,MATCH($K338,其他调用!$AG$5:$AG$364,0),0),1)*INDEX(其他调用!AB$5:AB$404,MATCH($K338,其他调用!$X$5:$X$404,0),0)</f>
        <v>48025.77873366874</v>
      </c>
      <c r="AT338" s="12">
        <f>MIN(INDEX(其他调用!$AL$5:$AL$364,MATCH($K338,其他调用!$AG$5:$AG$364,0),1)/INDEX(其他调用!AL$5:AL$364,MATCH($K338,其他调用!$AG$5:$AG$364,0),0),1)*INDEX(其他调用!AC$5:AC$404,MATCH($K338,其他调用!$X$5:$X$404,0),0)</f>
        <v>51920.575747033392</v>
      </c>
      <c r="AV338" s="14">
        <f>IF(OR(AV$5="大R",AV$5="超R"),MAX(INDEX(其他调用!$H$5:$L$404,MATCH($K338,其他调用!$B$5:$B$404,0),MATCH(AV$5,其他调用!$H$4:$L$4,0))*120*0.85,2),INDEX(其他调用!$H$5:$L$404,MATCH($K338,其他调用!$B$5:$B$404,0),MATCH(AV$5,其他调用!$H$4:$L$4,0))*120*0.85)</f>
        <v>48.921801254999991</v>
      </c>
      <c r="AW338" s="14">
        <f>IF(OR(AW$5="大R",AW$5="超R"),MAX(INDEX(其他调用!$H$5:$L$404,MATCH($K338,其他调用!$B$5:$B$404,0),MATCH(AW$5,其他调用!$H$4:$L$4,0))*120*0.85,2),INDEX(其他调用!$H$5:$L$404,MATCH($K338,其他调用!$B$5:$B$404,0),MATCH(AW$5,其他调用!$H$4:$L$4,0))*120*0.85)</f>
        <v>48.237344010638395</v>
      </c>
      <c r="AX338" s="14">
        <f>IF(OR(AX$5="大R",AX$5="超R"),MAX(INDEX(其他调用!$H$5:$L$404,MATCH($K338,其他调用!$B$5:$B$404,0),MATCH(AX$5,其他调用!$H$4:$L$4,0))*120*0.85,2),INDEX(其他调用!$H$5:$L$404,MATCH($K338,其他调用!$B$5:$B$404,0),MATCH(AX$5,其他调用!$H$4:$L$4,0))*120*0.85)</f>
        <v>3.9376284143615998</v>
      </c>
      <c r="AY338" s="14">
        <f>IF(OR(AY$5="大R",AY$5="超R"),MAX(INDEX(其他调用!$H$5:$L$404,MATCH($K338,其他调用!$B$5:$B$404,0),MATCH(AY$5,其他调用!$H$4:$L$4,0))*120*0.85,2),INDEX(其他调用!$H$5:$L$404,MATCH($K338,其他调用!$B$5:$B$404,0),MATCH(AY$5,其他调用!$H$4:$L$4,0))*120*0.85)</f>
        <v>2</v>
      </c>
      <c r="AZ338" s="14">
        <f>IF(OR(AZ$5="大R",AZ$5="超R"),MAX(INDEX(其他调用!$H$5:$L$404,MATCH($K338,其他调用!$B$5:$B$404,0),MATCH(AZ$5,其他调用!$H$4:$L$4,0))*120*0.85,2),INDEX(其他调用!$H$5:$L$404,MATCH($K338,其他调用!$B$5:$B$404,0),MATCH(AZ$5,其他调用!$H$4:$L$4,0))*120*0.85)</f>
        <v>2</v>
      </c>
      <c r="BA338" s="14">
        <f>INDEX(其他调用!$H$5:$L$404,MATCH($K338,其他调用!$B$5:$B$404,0),MATCH(BA$5,其他调用!$H$4:$L$4,0))*INDEX(其他调用!$M$5:$M$404,MATCH($K338,其他调用!$B$5:$B$404,0))*0.6</f>
        <v>28.777530149999997</v>
      </c>
      <c r="BB338" s="14">
        <f>INDEX(其他调用!$H$5:$L$404,MATCH($K338,其他调用!$B$5:$B$404,0),MATCH(BB$5,其他调用!$H$4:$L$4,0))*INDEX(其他调用!$M$5:$M$404,MATCH($K338,其他调用!$B$5:$B$404,0))*0.6</f>
        <v>28.374908241551999</v>
      </c>
      <c r="BC338" s="14">
        <f>INDEX(其他调用!$H$5:$L$404,MATCH($K338,其他调用!$B$5:$B$404,0),MATCH(BC$5,其他调用!$H$4:$L$4,0))*INDEX(其他调用!$M$5:$M$404,MATCH($K338,其他调用!$B$5:$B$404,0))*0.6</f>
        <v>2.3162520084480001</v>
      </c>
      <c r="BD338" s="14">
        <f>INDEX(其他调用!$H$5:$L$404,MATCH($K338,其他调用!$B$5:$B$404,0),MATCH(BD$5,其他调用!$H$4:$L$4,0))*INDEX(其他调用!$M$5:$M$404,MATCH($K338,其他调用!$B$5:$B$404,0))*0.6</f>
        <v>0.4120776000000001</v>
      </c>
      <c r="BE338" s="14">
        <f>INDEX(其他调用!$H$5:$L$404,MATCH($K338,其他调用!$B$5:$B$404,0),MATCH(BE$5,其他调用!$H$4:$L$4,0))*INDEX(其他调用!$M$5:$M$404,MATCH($K338,其他调用!$B$5:$B$404,0))*0.6</f>
        <v>0.11923199999999998</v>
      </c>
      <c r="BF338" s="14">
        <f>IF(OR(BF$5="大R",BF$5="超R"),0,INDEX(其他调用!$H$5:$L$404,MATCH($K338,其他调用!$B$5:$B$404,0),MATCH(BF$5,其他调用!$H$4:$L$4,0))*50*0.4)</f>
        <v>9.5925100500000013</v>
      </c>
      <c r="BG338" s="14">
        <f>IF(OR(BG$5="大R",BG$5="超R"),0,INDEX(其他调用!$H$5:$L$404,MATCH($K338,其他调用!$B$5:$B$404,0),MATCH(BG$5,其他调用!$H$4:$L$4,0))*50*0.4)</f>
        <v>9.4583027471839998</v>
      </c>
      <c r="BH338" s="14">
        <f>IF(OR(BH$5="大R",BH$5="超R"),0,INDEX(其他调用!$H$5:$L$404,MATCH($K338,其他调用!$B$5:$B$404,0),MATCH(BH$5,其他调用!$H$4:$L$4,0))*50*0.4)</f>
        <v>0.77208400281600009</v>
      </c>
      <c r="BI338" s="14">
        <f>IF(OR(BI$5="大R",BI$5="超R"),0,INDEX(其他调用!$H$5:$L$404,MATCH($K338,其他调用!$B$5:$B$404,0),MATCH(BI$5,其他调用!$H$4:$L$4,0))*50*0.4)</f>
        <v>0</v>
      </c>
      <c r="BJ338" s="14">
        <f>IF(OR(BJ$5="大R",BJ$5="超R"),0,INDEX(其他调用!$H$5:$L$404,MATCH($K338,其他调用!$B$5:$B$404,0),MATCH(BJ$5,其他调用!$H$4:$L$4,0))*50*0.4)</f>
        <v>0</v>
      </c>
      <c r="BL338" s="14">
        <f t="shared" si="628"/>
        <v>333</v>
      </c>
      <c r="BM338" s="14">
        <f t="shared" si="535"/>
        <v>96</v>
      </c>
      <c r="BN338" s="14">
        <f>('疲劳值&amp;地图信息'!$S$10*'疲劳值&amp;地图信息'!$R$10+'疲劳值&amp;地图信息'!$S$11*'疲劳值&amp;地图信息'!$R$11+'疲劳值&amp;地图信息'!$S$12*'疲劳值&amp;地图信息'!$R$12+(BM338-'疲劳值&amp;地图信息'!$S$12-'疲劳值&amp;地图信息'!$S$11-'疲劳值&amp;地图信息'!$S$10)*'疲劳值&amp;地图信息'!$R$13)/BM338</f>
        <v>51.371477246638619</v>
      </c>
      <c r="BO338" s="14">
        <f>INDEX(其他调用!$M$5:$M$404,MATCH(BL338,其他调用!$B$5:$B$404,0))*0.6</f>
        <v>60</v>
      </c>
      <c r="BP338" s="14">
        <f>IF(BO338&gt;SUM('疲劳值&amp;地图信息'!$S$10:$S$12),('疲劳值&amp;地图信息'!$S$10*'疲劳值&amp;地图信息'!$R$10+'疲劳值&amp;地图信息'!$S$11*'疲劳值&amp;地图信息'!$R$11+'疲劳值&amp;地图信息'!$S$12*'疲劳值&amp;地图信息'!$R$12+(BO338-'疲劳值&amp;地图信息'!$S$12-'疲劳值&amp;地图信息'!$S$11-'疲劳值&amp;地图信息'!$S$10)*'疲劳值&amp;地图信息'!$R$13)/BO338,('疲劳值&amp;地图信息'!$S$10*'疲劳值&amp;地图信息'!$R$10+'疲劳值&amp;地图信息'!$S$11*'疲劳值&amp;地图信息'!$R$11+'疲劳值&amp;地图信息'!$S$12*'疲劳值&amp;地图信息'!$R$12+(BO338-'疲劳值&amp;地图信息'!$S$12-'疲劳值&amp;地图信息'!$S$11-'疲劳值&amp;地图信息'!$S$10)*'疲劳值&amp;地图信息'!$R$13)/BO338)</f>
        <v>44.158136341605953</v>
      </c>
      <c r="BQ338" s="14">
        <f t="shared" si="629"/>
        <v>20</v>
      </c>
      <c r="BR338" s="14">
        <f>('疲劳值&amp;地图信息'!$S$10*'疲劳值&amp;地图信息'!$R$10+($BQ338-'疲劳值&amp;地图信息'!$S$10)*'疲劳值&amp;地图信息'!$R$11)/$BQ338</f>
        <v>32.067203015074995</v>
      </c>
      <c r="CF338" s="14">
        <v>333</v>
      </c>
      <c r="CG338" s="51">
        <f t="shared" si="536"/>
        <v>16742</v>
      </c>
      <c r="CH338" s="51">
        <f t="shared" si="537"/>
        <v>1053</v>
      </c>
      <c r="CI338" s="51">
        <f>INT(SUMPRODUCT($N338:$R338,$BA338:$BE338)/SUM($BA338:$BE338)/10000*$BX$7*$BZ$34/'疲劳值&amp;地图信息'!$R$10*$BY$53)</f>
        <v>3379</v>
      </c>
      <c r="CJ338" s="50">
        <f t="shared" si="538"/>
        <v>0.79068669122508739</v>
      </c>
      <c r="CK338" s="50">
        <f t="shared" si="539"/>
        <v>4.9730801926891471E-2</v>
      </c>
      <c r="CL338" s="50">
        <f t="shared" si="540"/>
        <v>0.15958250684802117</v>
      </c>
      <c r="CM338" s="14">
        <f t="shared" si="541"/>
        <v>18360</v>
      </c>
      <c r="CN338" s="14">
        <f t="shared" si="542"/>
        <v>1832</v>
      </c>
      <c r="CO338" s="14">
        <f>INT(SUMPRODUCT($U338:$Y338,$BA338:$BE338)/SUM($BA338:$BE338)/10000*$BX$7*$BZ$34/'疲劳值&amp;地图信息'!$R$10*$BY$54)</f>
        <v>6492</v>
      </c>
      <c r="CP338" s="50">
        <f t="shared" si="543"/>
        <v>0.68805276570229346</v>
      </c>
      <c r="CQ338" s="50">
        <f t="shared" si="544"/>
        <v>6.8655374006895517E-2</v>
      </c>
      <c r="CR338" s="50">
        <f t="shared" si="545"/>
        <v>0.24329186029081099</v>
      </c>
      <c r="CS338" s="14">
        <f t="shared" si="546"/>
        <v>20004</v>
      </c>
      <c r="CT338" s="14">
        <f t="shared" si="547"/>
        <v>3265</v>
      </c>
      <c r="CU338" s="14">
        <f>INT(SUMPRODUCT($AB338:$AF338,$BA338:$BE338)/SUM($BA338:$BE338)/10000*$BX$7*$BZ$34/'疲劳值&amp;地图信息'!$R$10*$BY$55)</f>
        <v>8827</v>
      </c>
      <c r="CV338" s="50">
        <f t="shared" si="548"/>
        <v>0.62325523429710872</v>
      </c>
      <c r="CW338" s="50">
        <f t="shared" si="549"/>
        <v>0.10172607178464606</v>
      </c>
      <c r="CX338" s="50">
        <f t="shared" si="550"/>
        <v>0.27501869391824524</v>
      </c>
      <c r="CY338" s="14">
        <f t="shared" si="551"/>
        <v>23895</v>
      </c>
      <c r="CZ338" s="14">
        <f t="shared" si="552"/>
        <v>8607</v>
      </c>
      <c r="DA338" s="14">
        <f>INT(SUMPRODUCT($AI338:$AM338,$BA338:$BE338)/SUM($BA338:$BE338)/10000*$BX$7*$BZ$34/'疲劳值&amp;地图信息'!$R$10*$BY$56)</f>
        <v>13314</v>
      </c>
      <c r="DB338" s="50">
        <f t="shared" si="553"/>
        <v>0.52154269250916707</v>
      </c>
      <c r="DC338" s="50">
        <f t="shared" si="554"/>
        <v>0.18786013619696176</v>
      </c>
      <c r="DD338" s="50">
        <f t="shared" si="555"/>
        <v>0.29059717129387114</v>
      </c>
      <c r="DE338" s="14">
        <f t="shared" si="556"/>
        <v>24682</v>
      </c>
      <c r="DF338" s="14">
        <f t="shared" si="557"/>
        <v>14989</v>
      </c>
      <c r="DG338" s="14">
        <f>INT(SUMPRODUCT($AP338:$AT338,$BA338:$BE338)/SUM($BA338:$BE338)/10000*$BX$7*$BZ$34/'疲劳值&amp;地图信息'!$R$10*$BY$57)</f>
        <v>17770</v>
      </c>
      <c r="DH338" s="50">
        <f t="shared" si="558"/>
        <v>0.42969307637401855</v>
      </c>
      <c r="DI338" s="50">
        <f t="shared" si="559"/>
        <v>0.2609460141710625</v>
      </c>
      <c r="DJ338" s="50">
        <f t="shared" si="560"/>
        <v>0.30936090945491895</v>
      </c>
      <c r="DL338" s="14">
        <f t="shared" si="631"/>
        <v>21174</v>
      </c>
      <c r="DM338" s="14">
        <f t="shared" si="632"/>
        <v>26684</v>
      </c>
      <c r="DN338" s="14">
        <f t="shared" si="633"/>
        <v>32096</v>
      </c>
      <c r="DO338" s="14">
        <f t="shared" si="634"/>
        <v>45816</v>
      </c>
      <c r="DP338" s="14">
        <f t="shared" si="635"/>
        <v>57441</v>
      </c>
      <c r="DQ338" s="14">
        <f t="shared" si="636"/>
        <v>1466562</v>
      </c>
      <c r="DT338" s="14">
        <f t="shared" si="630"/>
        <v>235575</v>
      </c>
      <c r="DU338" s="50">
        <f t="shared" si="532"/>
        <v>0.13839955303245274</v>
      </c>
      <c r="DW338" s="14">
        <f t="shared" si="561"/>
        <v>1702137</v>
      </c>
      <c r="EB338" s="14">
        <v>333</v>
      </c>
      <c r="EC338" s="51">
        <f t="shared" si="562"/>
        <v>27903</v>
      </c>
      <c r="ED338" s="51">
        <f t="shared" si="563"/>
        <v>1756</v>
      </c>
      <c r="EE338" s="51">
        <f>INT(SUMPRODUCT($N338:$R338,$BF338:$BJ338)/SUM($BF338:$BJ338)/10000*$BX$7*$BZ$46/'疲劳值&amp;地图信息'!$R$10*$BY$53)</f>
        <v>454</v>
      </c>
      <c r="EF338" s="50">
        <f t="shared" si="564"/>
        <v>0.92660976986683496</v>
      </c>
      <c r="EG338" s="50">
        <f t="shared" si="565"/>
        <v>5.8313685119383653E-2</v>
      </c>
      <c r="EH338" s="50">
        <f t="shared" si="566"/>
        <v>1.5076545013781424E-2</v>
      </c>
      <c r="EI338" s="51">
        <f t="shared" si="567"/>
        <v>30600</v>
      </c>
      <c r="EJ338" s="51">
        <f t="shared" si="568"/>
        <v>3054</v>
      </c>
      <c r="EK338" s="14">
        <f>INT(SUMPRODUCT($U338:$Y338,$BF338:$BJ338)/SUM($BF338:$BJ338)/10000*$BX$7*$BZ$46/'疲劳值&amp;地图信息'!$R$10*$BY$54)</f>
        <v>871</v>
      </c>
      <c r="EL338" s="50">
        <f t="shared" si="569"/>
        <v>0.88631426502534394</v>
      </c>
      <c r="EM338" s="50">
        <f t="shared" si="570"/>
        <v>8.8457639391745113E-2</v>
      </c>
      <c r="EN338" s="50">
        <f t="shared" si="571"/>
        <v>2.5228095582910934E-2</v>
      </c>
      <c r="EO338" s="51">
        <f t="shared" si="572"/>
        <v>33341</v>
      </c>
      <c r="EP338" s="51">
        <f t="shared" si="573"/>
        <v>5442</v>
      </c>
      <c r="EQ338" s="14">
        <f>INT(SUMPRODUCT($AB338:$AF338,$BF338:$BJ338)/SUM($BF338:$BJ338)/10000*$BX$7*$BZ$46/'疲劳值&amp;地图信息'!$R$10*$BY$55)</f>
        <v>1183</v>
      </c>
      <c r="ER338" s="50">
        <f t="shared" si="574"/>
        <v>0.83423409898413647</v>
      </c>
      <c r="ES338" s="50">
        <f t="shared" si="575"/>
        <v>0.13616574087974778</v>
      </c>
      <c r="ET338" s="50">
        <f t="shared" si="576"/>
        <v>2.9600160136115699E-2</v>
      </c>
      <c r="EU338" s="51">
        <f t="shared" si="577"/>
        <v>39826</v>
      </c>
      <c r="EV338" s="51">
        <f t="shared" si="578"/>
        <v>14346</v>
      </c>
      <c r="EW338" s="14">
        <f>INT(SUMPRODUCT($AI338:$AM338,$BF338:$BJ338)/SUM($BF338:$BJ338)/10000*$BX$7*$BZ$46/'疲劳值&amp;地图信息'!$R$10*$BY$56)</f>
        <v>1775</v>
      </c>
      <c r="EX338" s="50">
        <f t="shared" si="579"/>
        <v>0.71185228877330331</v>
      </c>
      <c r="EY338" s="50">
        <f t="shared" si="580"/>
        <v>0.2564212558314119</v>
      </c>
      <c r="EZ338" s="50">
        <f t="shared" si="581"/>
        <v>3.1726455395284826E-2</v>
      </c>
      <c r="FA338" s="51">
        <f t="shared" si="582"/>
        <v>41137</v>
      </c>
      <c r="FB338" s="51">
        <f t="shared" si="583"/>
        <v>24981</v>
      </c>
      <c r="FC338" s="14">
        <f>INT(SUMPRODUCT($AP338:$AT338,$BF338:$BJ338)/SUM($BF338:$BJ338)/10000*$BX$7*$BZ$46/'疲劳值&amp;地图信息'!$R$10*$BY$57)</f>
        <v>2366</v>
      </c>
      <c r="FD338" s="50">
        <f t="shared" si="584"/>
        <v>0.60068045090824129</v>
      </c>
      <c r="FE338" s="50">
        <f t="shared" si="585"/>
        <v>0.36477133345014895</v>
      </c>
      <c r="FF338" s="50">
        <f t="shared" si="586"/>
        <v>3.4548215641609717E-2</v>
      </c>
      <c r="FH338" s="14">
        <f t="shared" si="587"/>
        <v>30113</v>
      </c>
      <c r="FI338" s="14">
        <f t="shared" si="588"/>
        <v>34525</v>
      </c>
      <c r="FJ338" s="14">
        <f t="shared" si="589"/>
        <v>39966</v>
      </c>
      <c r="FK338" s="14">
        <f t="shared" si="590"/>
        <v>55947</v>
      </c>
      <c r="FL338" s="14">
        <f t="shared" si="591"/>
        <v>68484</v>
      </c>
      <c r="FM338" s="14">
        <f t="shared" si="592"/>
        <v>3544809</v>
      </c>
      <c r="FP338" s="14">
        <f t="shared" si="593"/>
        <v>334150</v>
      </c>
      <c r="FQ338" s="50">
        <f t="shared" si="533"/>
        <v>8.6144246433128069E-2</v>
      </c>
      <c r="FS338" s="14">
        <f t="shared" si="594"/>
        <v>3878959</v>
      </c>
      <c r="FX338" s="14">
        <v>333</v>
      </c>
      <c r="FY338" s="51">
        <f t="shared" si="595"/>
        <v>39065</v>
      </c>
      <c r="FZ338" s="51">
        <f t="shared" si="596"/>
        <v>1756</v>
      </c>
      <c r="GA338" s="51">
        <f>INT(SUMPRODUCT($N338:$R338,$BF338:$BJ338)/SUM($BF338:$BJ338)/10000*$BX$7*$BZ$46/'疲劳值&amp;地图信息'!$R$10*$BY$53)</f>
        <v>454</v>
      </c>
      <c r="GB338" s="50">
        <f t="shared" si="597"/>
        <v>0.94645669291338586</v>
      </c>
      <c r="GC338" s="50">
        <f t="shared" si="598"/>
        <v>4.2543912780133253E-2</v>
      </c>
      <c r="GD338" s="50">
        <f t="shared" si="599"/>
        <v>1.0999394306480921E-2</v>
      </c>
      <c r="GE338" s="51">
        <f t="shared" si="600"/>
        <v>42840</v>
      </c>
      <c r="GF338" s="51">
        <f t="shared" si="601"/>
        <v>3054</v>
      </c>
      <c r="GG338" s="14">
        <f>INT(SUMPRODUCT($U338:$Y338,$BF338:$BJ338)/SUM($BF338:$BJ338)/10000*$BX$7*$BZ$46/'疲劳值&amp;地图信息'!$R$10*$BY$54)</f>
        <v>871</v>
      </c>
      <c r="GH338" s="50">
        <f t="shared" si="602"/>
        <v>0.91606971025339468</v>
      </c>
      <c r="GI338" s="50">
        <f t="shared" si="603"/>
        <v>6.530524965251791E-2</v>
      </c>
      <c r="GJ338" s="50">
        <f t="shared" si="604"/>
        <v>1.8625040094087459E-2</v>
      </c>
      <c r="GK338" s="51">
        <f t="shared" si="605"/>
        <v>46678</v>
      </c>
      <c r="GL338" s="51">
        <f t="shared" si="606"/>
        <v>5442</v>
      </c>
      <c r="GM338" s="14">
        <f>INT(SUMPRODUCT($AB338:$AF338,$BF338:$BJ338)/SUM($BF338:$BJ338)/10000*$BX$7*$BZ$46/'疲劳值&amp;地图信息'!$R$10*$BY$55)</f>
        <v>1183</v>
      </c>
      <c r="GN338" s="50">
        <f t="shared" si="607"/>
        <v>0.87571056038121686</v>
      </c>
      <c r="GO338" s="50">
        <f t="shared" si="608"/>
        <v>0.10209556685364801</v>
      </c>
      <c r="GP338" s="50">
        <f t="shared" si="609"/>
        <v>2.219387276513517E-2</v>
      </c>
      <c r="GQ338" s="51">
        <f t="shared" si="610"/>
        <v>55756</v>
      </c>
      <c r="GR338" s="51">
        <f t="shared" si="611"/>
        <v>14346</v>
      </c>
      <c r="GS338" s="14">
        <f>INT(SUMPRODUCT($AI338:$AM338,$BF338:$BJ338)/SUM($BF338:$BJ338)/10000*$BX$7*$BZ$46/'疲劳值&amp;地图信息'!$R$10*$BY$56)</f>
        <v>1775</v>
      </c>
      <c r="GT338" s="50">
        <f t="shared" si="612"/>
        <v>0.77571406708682888</v>
      </c>
      <c r="GU338" s="50">
        <f t="shared" si="613"/>
        <v>0.19959096790350181</v>
      </c>
      <c r="GV338" s="50">
        <f t="shared" si="614"/>
        <v>2.4694965009669296E-2</v>
      </c>
      <c r="GW338" s="51">
        <f t="shared" si="615"/>
        <v>57593</v>
      </c>
      <c r="GX338" s="51">
        <f t="shared" si="616"/>
        <v>24981</v>
      </c>
      <c r="GY338" s="14">
        <f>INT(SUMPRODUCT($AP338:$AT338,$BF338:$BJ338)/SUM($BF338:$BJ338)/10000*$BX$7*$BZ$46/'疲劳值&amp;地图信息'!$R$10*$BY$57)</f>
        <v>2366</v>
      </c>
      <c r="GZ338" s="50">
        <f t="shared" si="617"/>
        <v>0.67804332469978812</v>
      </c>
      <c r="HA338" s="50">
        <f t="shared" si="618"/>
        <v>0.29410171886037201</v>
      </c>
      <c r="HB338" s="50">
        <f t="shared" si="619"/>
        <v>2.7854956439839887E-2</v>
      </c>
      <c r="HD338" s="14">
        <f t="shared" si="620"/>
        <v>41275</v>
      </c>
      <c r="HE338" s="14">
        <f t="shared" si="621"/>
        <v>46765</v>
      </c>
      <c r="HF338" s="14">
        <f t="shared" si="622"/>
        <v>53303</v>
      </c>
      <c r="HG338" s="14">
        <f t="shared" si="623"/>
        <v>71877</v>
      </c>
      <c r="HH338" s="14">
        <f t="shared" si="624"/>
        <v>84940</v>
      </c>
      <c r="HI338" s="14">
        <f t="shared" si="625"/>
        <v>4798588</v>
      </c>
      <c r="HL338" s="14">
        <f t="shared" si="626"/>
        <v>430050</v>
      </c>
      <c r="HM338" s="50">
        <f t="shared" si="534"/>
        <v>8.2248952786557417E-2</v>
      </c>
      <c r="HO338" s="14">
        <f t="shared" si="627"/>
        <v>5228638</v>
      </c>
    </row>
    <row r="339" spans="11:223" x14ac:dyDescent="0.2">
      <c r="K339" s="14">
        <v>334</v>
      </c>
      <c r="L339" s="12">
        <f>求节点(节奏总纲!D$4:D$163,标准城池设计!AB$4:AB$163,$K339)*求节点(节奏总纲!D$4:D$163,攻城基础信息!$AC$5:$AC$164,$K339)</f>
        <v>822571.60896599351</v>
      </c>
      <c r="M339" s="12">
        <f>INDEX(其他调用!$AA$5:$AA$404,MATCH(K339,其他调用!$X$5:$X$404,0))*MIN(INDEX(其他调用!$AH$5:$AH$364,MATCH('征服点（新）'!K339,其他调用!$AG$5:$AG$364,0),1)/INDEX(其他调用!$AJ$5:$AJ$364,MATCH(K339,其他调用!$AG$5:$AG$364,0),0),5)*求节点(节奏总纲!D$4:D$163,攻城基础信息!$AC$5:$AC$164,$K339)</f>
        <v>51634.889963065187</v>
      </c>
      <c r="N339" s="12">
        <f>MIN(INDEX(其他调用!$AH$5:$AH$364,MATCH($K339,其他调用!$AG$5:$AG$364,0),1)/INDEX(其他调用!AH$5:AH$364,MATCH($K339,其他调用!$AG$5:$AG$364,0),0),1)*INDEX(其他调用!Y$5:Y$404,MATCH($K339,其他调用!$X$5:$X$404,0),0)</f>
        <v>43096.630084359946</v>
      </c>
      <c r="O339" s="12">
        <f>MIN(INDEX(其他调用!$AH$5:$AH$364,MATCH($K339,其他调用!$AG$5:$AG$364,0),1)/INDEX(其他调用!AI$5:AI$364,MATCH($K339,其他调用!$AG$5:$AG$364,0),0),1)*INDEX(其他调用!Z$5:Z$404,MATCH($K339,其他调用!$X$5:$X$404,0),0)</f>
        <v>25435.314961719763</v>
      </c>
      <c r="P339" s="12">
        <f>MIN(INDEX(其他调用!$AH$5:$AH$364,MATCH($K339,其他调用!$AG$5:$AG$364,0),1)/INDEX(其他调用!AJ$5:AJ$364,MATCH($K339,其他调用!$AG$5:$AG$364,0),0),1)*INDEX(其他调用!AA$5:AA$404,MATCH($K339,其他调用!$X$5:$X$404,0),0)</f>
        <v>14752.82570373292</v>
      </c>
      <c r="Q339" s="12">
        <f>MIN(INDEX(其他调用!$AH$5:$AH$364,MATCH($K339,其他调用!$AG$5:$AG$364,0),1)/INDEX(其他调用!AK$5:AK$364,MATCH($K339,其他调用!$AG$5:$AG$364,0),0),1)*INDEX(其他调用!AB$5:AB$404,MATCH($K339,其他调用!$X$5:$X$404,0),0)</f>
        <v>5887.1891662104899</v>
      </c>
      <c r="R339" s="12">
        <f>MIN(INDEX(其他调用!$AH$5:$AH$364,MATCH($K339,其他调用!$AG$5:$AG$364,0),1)/INDEX(其他调用!AL$5:AL$364,MATCH($K339,其他调用!$AG$5:$AG$364,0),0),1)*INDEX(其他调用!AC$5:AC$404,MATCH($K339,其他调用!$X$5:$X$404,0),0)</f>
        <v>3658.4827051638927</v>
      </c>
      <c r="S339" s="12">
        <f>求节点(节奏总纲!D$4:D$163,标准城池设计!AC$4:AC$163,$K339)*求节点(节奏总纲!D$4:D$163,攻城基础信息!$AD$5:$AD$164,$K339)</f>
        <v>902058.64636773593</v>
      </c>
      <c r="T339" s="12">
        <f>INDEX(其他调用!$AA$5:$AA$404,MATCH($K339,其他调用!$X$5:$X$404,0))*MIN(INDEX(其他调用!AI$5:AI$364,MATCH($K339,其他调用!$AG$5:$AG$364,0),1)/INDEX(其他调用!$AJ$5:$AJ$364,MATCH($K339,其他调用!$AG$5:$AG$364,0),0),5)*求节点(节奏总纲!D$4:D$163,攻城基础信息!$AD$5:$AD$164,$K339)</f>
        <v>89842.63569095968</v>
      </c>
      <c r="U339" s="12">
        <f>MIN(INDEX(其他调用!$AI$5:$AI$364,MATCH($K339,其他调用!$AG$5:$AG$364,0),1)/INDEX(其他调用!AH$5:AH$364,MATCH($K339,其他调用!$AG$5:$AG$364,0),0),1)*INDEX(其他调用!Y$5:Y$404,MATCH($K339,其他调用!$X$5:$X$404,0),0)</f>
        <v>43096.630084359946</v>
      </c>
      <c r="V339" s="12">
        <f>MIN(INDEX(其他调用!$AI$5:$AI$364,MATCH($K339,其他调用!$AG$5:$AG$364,0),1)/INDEX(其他调用!AI$5:AI$364,MATCH($K339,其他调用!$AG$5:$AG$364,0),0),1)*INDEX(其他调用!Z$5:Z$404,MATCH($K339,其他调用!$X$5:$X$404,0),0)</f>
        <v>44256.42695133479</v>
      </c>
      <c r="W339" s="12">
        <f>MIN(INDEX(其他调用!$AI$5:$AI$364,MATCH($K339,其他调用!$AG$5:$AG$364,0),1)/INDEX(其他调用!AJ$5:AJ$364,MATCH($K339,其他调用!$AG$5:$AG$364,0),0),1)*INDEX(其他调用!AA$5:AA$404,MATCH($K339,其他调用!$X$5:$X$404,0),0)</f>
        <v>25669.324483131353</v>
      </c>
      <c r="X339" s="12">
        <f>MIN(INDEX(其他调用!$AI$5:$AI$364,MATCH($K339,其他调用!$AG$5:$AG$364,0),1)/INDEX(其他调用!AK$5:AK$364,MATCH($K339,其他调用!$AG$5:$AG$364,0),0),1)*INDEX(其他调用!AB$5:AB$404,MATCH($K339,其他调用!$X$5:$X$404,0),0)</f>
        <v>10243.472812316522</v>
      </c>
      <c r="Y339" s="12">
        <f>MIN(INDEX(其他调用!$AI$5:$AI$364,MATCH($K339,其他调用!$AG$5:$AG$364,0),1)/INDEX(其他调用!AL$5:AL$364,MATCH($K339,其他调用!$AG$5:$AG$364,0),0),1)*INDEX(其他调用!AC$5:AC$404,MATCH($K339,其他调用!$X$5:$X$404,0),0)</f>
        <v>6365.613039881152</v>
      </c>
      <c r="Z339" s="12">
        <f>求节点(节奏总纲!D$4:D$163,标准城池设计!AD$4:AD$163,$K339)*求节点(节奏总纲!D$4:D$163,攻城基础信息!$AE$5:$AE$164,$K339)</f>
        <v>982841.81752940314</v>
      </c>
      <c r="AA339" s="12">
        <f>INDEX(其他调用!$AA$5:$AA$404,MATCH($K339,其他调用!$X$5:$X$404,0))*MIN(INDEX(其他调用!AJ$5:AJ$364,MATCH($K339,其他调用!$AG$5:$AG$364,0),1)/INDEX(其他调用!$AJ$5:$AJ$364,MATCH($K339,其他调用!$AG$5:$AG$364,0),0),5)*求节点(节奏总纲!D$4:D$163,攻城基础信息!$AE$5:$AE$164,$K339)</f>
        <v>160275.31031684176</v>
      </c>
      <c r="AB339" s="12">
        <f>MIN(INDEX(其他调用!$AJ$5:$AJ$364,MATCH($K339,其他调用!$AG$5:$AG$364,0),1)/INDEX(其他调用!AH$5:AH$364,MATCH($K339,其他调用!$AG$5:$AG$364,0),0),1)*INDEX(其他调用!Y$5:Y$404,MATCH($K339,其他调用!$X$5:$X$404,0),0)</f>
        <v>43096.630084359946</v>
      </c>
      <c r="AC339" s="12">
        <f>MIN(INDEX(其他调用!$AJ$5:$AJ$364,MATCH($K339,其他调用!$AG$5:$AG$364,0),1)/INDEX(其他调用!AI$5:AI$364,MATCH($K339,其他调用!$AG$5:$AG$364,0),0),1)*INDEX(其他调用!Z$5:Z$404,MATCH($K339,其他调用!$X$5:$X$404,0),0)</f>
        <v>44256.42695133479</v>
      </c>
      <c r="AD339" s="12">
        <f>MIN(INDEX(其他调用!$AJ$5:$AJ$364,MATCH($K339,其他调用!$AG$5:$AG$364,0),1)/INDEX(其他调用!AJ$5:AJ$364,MATCH($K339,其他调用!$AG$5:$AG$364,0),0),1)*INDEX(其他调用!AA$5:AA$404,MATCH($K339,其他调用!$X$5:$X$404,0),0)</f>
        <v>45792.945804811956</v>
      </c>
      <c r="AE339" s="12">
        <f>MIN(INDEX(其他调用!$AJ$5:$AJ$364,MATCH($K339,其他调用!$AG$5:$AG$364,0),1)/INDEX(其他调用!AK$5:AK$364,MATCH($K339,其他调用!$AG$5:$AG$364,0),0),1)*INDEX(其他调用!AB$5:AB$404,MATCH($K339,其他调用!$X$5:$X$404,0),0)</f>
        <v>18273.904934885657</v>
      </c>
      <c r="AF339" s="12">
        <f>MIN(INDEX(其他调用!$AJ$5:$AJ$364,MATCH($K339,其他调用!$AG$5:$AG$364,0),1)/INDEX(其他调用!AL$5:AL$364,MATCH($K339,其他调用!$AG$5:$AG$364,0),0),1)*INDEX(其他调用!AC$5:AC$404,MATCH($K339,其他调用!$X$5:$X$404,0),0)</f>
        <v>11355.973669710002</v>
      </c>
      <c r="AG339" s="12">
        <f>求节点(节奏总纲!D$4:D$163,标准城池设计!AE$4:AE$163,$K339)*求节点(节奏总纲!D$4:D$163,攻城基础信息!$AF$5:$AF$164,$K339)</f>
        <v>1173583.5497922841</v>
      </c>
      <c r="AH339" s="12">
        <f>INDEX(其他调用!$AA$5:$AA$404,MATCH($K339,其他调用!$X$5:$X$404,0))*MIN(INDEX(其他调用!AK$5:AK$364,MATCH($K339,其他调用!$AG$5:$AG$364,0),1)/INDEX(其他调用!$AJ$5:$AJ$364,MATCH($K339,其他调用!$AG$5:$AG$364,0),0),5)*求节点(节奏总纲!D$4:D$163,攻城基础信息!$AF$5:$AF$164,$K339)</f>
        <v>421372.07339114934</v>
      </c>
      <c r="AI339" s="12">
        <f>MIN(INDEX(其他调用!$AK$5:$AK$364,MATCH($K339,其他调用!$AG$5:$AG$364,0),1)/INDEX(其他调用!AH$5:AH$364,MATCH($K339,其他调用!$AG$5:$AG$364,0),0),1)*INDEX(其他调用!Y$5:Y$404,MATCH($K339,其他调用!$X$5:$X$404,0),0)</f>
        <v>43096.630084359946</v>
      </c>
      <c r="AJ339" s="12">
        <f>MIN(INDEX(其他调用!$AK$5:$AK$364,MATCH($K339,其他调用!$AG$5:$AG$364,0),1)/INDEX(其他调用!AI$5:AI$364,MATCH($K339,其他调用!$AG$5:$AG$364,0),0),1)*INDEX(其他调用!Z$5:Z$404,MATCH($K339,其他调用!$X$5:$X$404,0),0)</f>
        <v>44256.42695133479</v>
      </c>
      <c r="AK339" s="12">
        <f>MIN(INDEX(其他调用!$AK$5:$AK$364,MATCH($K339,其他调用!$AG$5:$AG$364,0),1)/INDEX(其他调用!AJ$5:AJ$364,MATCH($K339,其他调用!$AG$5:$AG$364,0),0),1)*INDEX(其他调用!AA$5:AA$404,MATCH($K339,其他调用!$X$5:$X$404,0),0)</f>
        <v>45792.945804811956</v>
      </c>
      <c r="AL339" s="12">
        <f>MIN(INDEX(其他调用!$AK$5:$AK$364,MATCH($K339,其他调用!$AG$5:$AG$364,0),1)/INDEX(其他调用!AK$5:AK$364,MATCH($K339,其他调用!$AG$5:$AG$364,0),0),1)*INDEX(其他调用!AB$5:AB$404,MATCH($K339,其他调用!$X$5:$X$404,0),0)</f>
        <v>48043.040416789619</v>
      </c>
      <c r="AM339" s="12">
        <f>MIN(INDEX(其他调用!$AK$5:$AK$364,MATCH($K339,其他调用!$AG$5:$AG$364,0),1)/INDEX(其他调用!AL$5:AL$364,MATCH($K339,其他调用!$AG$5:$AG$364,0),0),1)*INDEX(其他调用!AC$5:AC$404,MATCH($K339,其他调用!$X$5:$X$404,0),0)</f>
        <v>29855.441621804086</v>
      </c>
      <c r="AN339" s="12">
        <f>求节点(节奏总纲!D$4:D$163,标准城池设计!AF$4:AF$163,$K339)*求节点(节奏总纲!D$4:D$163,攻城基础信息!$AG$5:$AG$164,$K339)</f>
        <v>1211925.7007686521</v>
      </c>
      <c r="AO339" s="12">
        <f>INDEX(其他调用!$AA$5:$AA$404,MATCH($K339,其他调用!$X$5:$X$404,0))*MIN(INDEX(其他调用!AL$5:AL$364,MATCH($K339,其他调用!$AG$5:$AG$364,0),1)/INDEX(其他调用!$AJ$5:$AJ$364,MATCH($K339,其他调用!$AG$5:$AG$364,0),0),5)*求节点(节奏总纲!D$4:D$163,攻城基础信息!$AG$5:$AG$164,$K339)</f>
        <v>733050.6328273752</v>
      </c>
      <c r="AP339" s="12">
        <f>MIN(INDEX(其他调用!$AL$5:$AL$364,MATCH($K339,其他调用!$AG$5:$AG$364,0),1)/INDEX(其他调用!AH$5:AH$364,MATCH($K339,其他调用!$AG$5:$AG$364,0),0),1)*INDEX(其他调用!Y$5:Y$404,MATCH($K339,其他调用!$X$5:$X$404,0),0)</f>
        <v>43096.630084359946</v>
      </c>
      <c r="AQ339" s="12">
        <f>MIN(INDEX(其他调用!$AL$5:$AL$364,MATCH($K339,其他调用!$AG$5:$AG$364,0),1)/INDEX(其他调用!AI$5:AI$364,MATCH($K339,其他调用!$AG$5:$AG$364,0),0),1)*INDEX(其他调用!Z$5:Z$404,MATCH($K339,其他调用!$X$5:$X$404,0),0)</f>
        <v>44256.42695133479</v>
      </c>
      <c r="AR339" s="12">
        <f>MIN(INDEX(其他调用!$AL$5:$AL$364,MATCH($K339,其他调用!$AG$5:$AG$364,0),1)/INDEX(其他调用!AJ$5:AJ$364,MATCH($K339,其他调用!$AG$5:$AG$364,0),0),1)*INDEX(其他调用!AA$5:AA$404,MATCH($K339,其他调用!$X$5:$X$404,0),0)</f>
        <v>45792.945804811956</v>
      </c>
      <c r="AS339" s="12">
        <f>MIN(INDEX(其他调用!$AL$5:$AL$364,MATCH($K339,其他调用!$AG$5:$AG$364,0),1)/INDEX(其他调用!AK$5:AK$364,MATCH($K339,其他调用!$AG$5:$AG$364,0),0),1)*INDEX(其他调用!AB$5:AB$404,MATCH($K339,其他调用!$X$5:$X$404,0),0)</f>
        <v>48043.040416789619</v>
      </c>
      <c r="AT339" s="12">
        <f>MIN(INDEX(其他调用!$AL$5:$AL$364,MATCH($K339,其他调用!$AG$5:$AG$364,0),1)/INDEX(其他调用!AL$5:AL$364,MATCH($K339,其他调用!$AG$5:$AG$364,0),0),1)*INDEX(其他调用!AC$5:AC$404,MATCH($K339,其他调用!$X$5:$X$404,0),0)</f>
        <v>51938.777522848366</v>
      </c>
      <c r="AV339" s="14">
        <f>IF(OR(AV$5="大R",AV$5="超R"),MAX(INDEX(其他调用!$H$5:$L$404,MATCH($K339,其他调用!$B$5:$B$404,0),MATCH(AV$5,其他调用!$H$4:$L$4,0))*120*0.85,2),INDEX(其他调用!$H$5:$L$404,MATCH($K339,其他调用!$B$5:$B$404,0),MATCH(AV$5,其他调用!$H$4:$L$4,0))*120*0.85)</f>
        <v>48.921801254999991</v>
      </c>
      <c r="AW339" s="14">
        <f>IF(OR(AW$5="大R",AW$5="超R"),MAX(INDEX(其他调用!$H$5:$L$404,MATCH($K339,其他调用!$B$5:$B$404,0),MATCH(AW$5,其他调用!$H$4:$L$4,0))*120*0.85,2),INDEX(其他调用!$H$5:$L$404,MATCH($K339,其他调用!$B$5:$B$404,0),MATCH(AW$5,其他调用!$H$4:$L$4,0))*120*0.85)</f>
        <v>48.237344010638395</v>
      </c>
      <c r="AX339" s="14">
        <f>IF(OR(AX$5="大R",AX$5="超R"),MAX(INDEX(其他调用!$H$5:$L$404,MATCH($K339,其他调用!$B$5:$B$404,0),MATCH(AX$5,其他调用!$H$4:$L$4,0))*120*0.85,2),INDEX(其他调用!$H$5:$L$404,MATCH($K339,其他调用!$B$5:$B$404,0),MATCH(AX$5,其他调用!$H$4:$L$4,0))*120*0.85)</f>
        <v>3.9376284143615998</v>
      </c>
      <c r="AY339" s="14">
        <f>IF(OR(AY$5="大R",AY$5="超R"),MAX(INDEX(其他调用!$H$5:$L$404,MATCH($K339,其他调用!$B$5:$B$404,0),MATCH(AY$5,其他调用!$H$4:$L$4,0))*120*0.85,2),INDEX(其他调用!$H$5:$L$404,MATCH($K339,其他调用!$B$5:$B$404,0),MATCH(AY$5,其他调用!$H$4:$L$4,0))*120*0.85)</f>
        <v>2</v>
      </c>
      <c r="AZ339" s="14">
        <f>IF(OR(AZ$5="大R",AZ$5="超R"),MAX(INDEX(其他调用!$H$5:$L$404,MATCH($K339,其他调用!$B$5:$B$404,0),MATCH(AZ$5,其他调用!$H$4:$L$4,0))*120*0.85,2),INDEX(其他调用!$H$5:$L$404,MATCH($K339,其他调用!$B$5:$B$404,0),MATCH(AZ$5,其他调用!$H$4:$L$4,0))*120*0.85)</f>
        <v>2</v>
      </c>
      <c r="BA339" s="14">
        <f>INDEX(其他调用!$H$5:$L$404,MATCH($K339,其他调用!$B$5:$B$404,0),MATCH(BA$5,其他调用!$H$4:$L$4,0))*INDEX(其他调用!$M$5:$M$404,MATCH($K339,其他调用!$B$5:$B$404,0))*0.6</f>
        <v>28.777530149999997</v>
      </c>
      <c r="BB339" s="14">
        <f>INDEX(其他调用!$H$5:$L$404,MATCH($K339,其他调用!$B$5:$B$404,0),MATCH(BB$5,其他调用!$H$4:$L$4,0))*INDEX(其他调用!$M$5:$M$404,MATCH($K339,其他调用!$B$5:$B$404,0))*0.6</f>
        <v>28.374908241551999</v>
      </c>
      <c r="BC339" s="14">
        <f>INDEX(其他调用!$H$5:$L$404,MATCH($K339,其他调用!$B$5:$B$404,0),MATCH(BC$5,其他调用!$H$4:$L$4,0))*INDEX(其他调用!$M$5:$M$404,MATCH($K339,其他调用!$B$5:$B$404,0))*0.6</f>
        <v>2.3162520084480001</v>
      </c>
      <c r="BD339" s="14">
        <f>INDEX(其他调用!$H$5:$L$404,MATCH($K339,其他调用!$B$5:$B$404,0),MATCH(BD$5,其他调用!$H$4:$L$4,0))*INDEX(其他调用!$M$5:$M$404,MATCH($K339,其他调用!$B$5:$B$404,0))*0.6</f>
        <v>0.4120776000000001</v>
      </c>
      <c r="BE339" s="14">
        <f>INDEX(其他调用!$H$5:$L$404,MATCH($K339,其他调用!$B$5:$B$404,0),MATCH(BE$5,其他调用!$H$4:$L$4,0))*INDEX(其他调用!$M$5:$M$404,MATCH($K339,其他调用!$B$5:$B$404,0))*0.6</f>
        <v>0.11923199999999998</v>
      </c>
      <c r="BF339" s="14">
        <f>IF(OR(BF$5="大R",BF$5="超R"),0,INDEX(其他调用!$H$5:$L$404,MATCH($K339,其他调用!$B$5:$B$404,0),MATCH(BF$5,其他调用!$H$4:$L$4,0))*50*0.4)</f>
        <v>9.5925100500000013</v>
      </c>
      <c r="BG339" s="14">
        <f>IF(OR(BG$5="大R",BG$5="超R"),0,INDEX(其他调用!$H$5:$L$404,MATCH($K339,其他调用!$B$5:$B$404,0),MATCH(BG$5,其他调用!$H$4:$L$4,0))*50*0.4)</f>
        <v>9.4583027471839998</v>
      </c>
      <c r="BH339" s="14">
        <f>IF(OR(BH$5="大R",BH$5="超R"),0,INDEX(其他调用!$H$5:$L$404,MATCH($K339,其他调用!$B$5:$B$404,0),MATCH(BH$5,其他调用!$H$4:$L$4,0))*50*0.4)</f>
        <v>0.77208400281600009</v>
      </c>
      <c r="BI339" s="14">
        <f>IF(OR(BI$5="大R",BI$5="超R"),0,INDEX(其他调用!$H$5:$L$404,MATCH($K339,其他调用!$B$5:$B$404,0),MATCH(BI$5,其他调用!$H$4:$L$4,0))*50*0.4)</f>
        <v>0</v>
      </c>
      <c r="BJ339" s="14">
        <f>IF(OR(BJ$5="大R",BJ$5="超R"),0,INDEX(其他调用!$H$5:$L$404,MATCH($K339,其他调用!$B$5:$B$404,0),MATCH(BJ$5,其他调用!$H$4:$L$4,0))*50*0.4)</f>
        <v>0</v>
      </c>
      <c r="BL339" s="14">
        <f t="shared" si="628"/>
        <v>334</v>
      </c>
      <c r="BM339" s="14">
        <f t="shared" si="535"/>
        <v>96</v>
      </c>
      <c r="BN339" s="14">
        <f>('疲劳值&amp;地图信息'!$S$10*'疲劳值&amp;地图信息'!$R$10+'疲劳值&amp;地图信息'!$S$11*'疲劳值&amp;地图信息'!$R$11+'疲劳值&amp;地图信息'!$S$12*'疲劳值&amp;地图信息'!$R$12+(BM339-'疲劳值&amp;地图信息'!$S$12-'疲劳值&amp;地图信息'!$S$11-'疲劳值&amp;地图信息'!$S$10)*'疲劳值&amp;地图信息'!$R$13)/BM339</f>
        <v>51.371477246638619</v>
      </c>
      <c r="BO339" s="14">
        <f>INDEX(其他调用!$M$5:$M$404,MATCH(BL339,其他调用!$B$5:$B$404,0))*0.6</f>
        <v>60</v>
      </c>
      <c r="BP339" s="14">
        <f>IF(BO339&gt;SUM('疲劳值&amp;地图信息'!$S$10:$S$12),('疲劳值&amp;地图信息'!$S$10*'疲劳值&amp;地图信息'!$R$10+'疲劳值&amp;地图信息'!$S$11*'疲劳值&amp;地图信息'!$R$11+'疲劳值&amp;地图信息'!$S$12*'疲劳值&amp;地图信息'!$R$12+(BO339-'疲劳值&amp;地图信息'!$S$12-'疲劳值&amp;地图信息'!$S$11-'疲劳值&amp;地图信息'!$S$10)*'疲劳值&amp;地图信息'!$R$13)/BO339,('疲劳值&amp;地图信息'!$S$10*'疲劳值&amp;地图信息'!$R$10+'疲劳值&amp;地图信息'!$S$11*'疲劳值&amp;地图信息'!$R$11+'疲劳值&amp;地图信息'!$S$12*'疲劳值&amp;地图信息'!$R$12+(BO339-'疲劳值&amp;地图信息'!$S$12-'疲劳值&amp;地图信息'!$S$11-'疲劳值&amp;地图信息'!$S$10)*'疲劳值&amp;地图信息'!$R$13)/BO339)</f>
        <v>44.158136341605953</v>
      </c>
      <c r="BQ339" s="14">
        <f t="shared" si="629"/>
        <v>20</v>
      </c>
      <c r="BR339" s="14">
        <f>('疲劳值&amp;地图信息'!$S$10*'疲劳值&amp;地图信息'!$R$10+($BQ339-'疲劳值&amp;地图信息'!$S$10)*'疲劳值&amp;地图信息'!$R$11)/$BQ339</f>
        <v>32.067203015074995</v>
      </c>
      <c r="CF339" s="14">
        <v>334</v>
      </c>
      <c r="CG339" s="51">
        <f t="shared" si="536"/>
        <v>16765</v>
      </c>
      <c r="CH339" s="51">
        <f t="shared" si="537"/>
        <v>1052</v>
      </c>
      <c r="CI339" s="51">
        <f>INT(SUMPRODUCT($N339:$R339,$BA339:$BE339)/SUM($BA339:$BE339)/10000*$BX$7*$BZ$34/'疲劳值&amp;地图信息'!$R$10*$BY$53)</f>
        <v>3380</v>
      </c>
      <c r="CJ339" s="50">
        <f t="shared" si="538"/>
        <v>0.79091380855781479</v>
      </c>
      <c r="CK339" s="50">
        <f t="shared" si="539"/>
        <v>4.962966457517573E-2</v>
      </c>
      <c r="CL339" s="50">
        <f t="shared" si="540"/>
        <v>0.15945652686700948</v>
      </c>
      <c r="CM339" s="14">
        <f t="shared" si="541"/>
        <v>18385</v>
      </c>
      <c r="CN339" s="14">
        <f t="shared" si="542"/>
        <v>1831</v>
      </c>
      <c r="CO339" s="14">
        <f>INT(SUMPRODUCT($U339:$Y339,$BA339:$BE339)/SUM($BA339:$BE339)/10000*$BX$7*$BZ$34/'疲劳值&amp;地图信息'!$R$10*$BY$54)</f>
        <v>6494</v>
      </c>
      <c r="CP339" s="50">
        <f t="shared" si="543"/>
        <v>0.68831898165481098</v>
      </c>
      <c r="CQ339" s="50">
        <f t="shared" si="544"/>
        <v>6.8551104455260206E-2</v>
      </c>
      <c r="CR339" s="50">
        <f t="shared" si="545"/>
        <v>0.24312991388992886</v>
      </c>
      <c r="CS339" s="14">
        <f t="shared" si="546"/>
        <v>20031</v>
      </c>
      <c r="CT339" s="14">
        <f t="shared" si="547"/>
        <v>3266</v>
      </c>
      <c r="CU339" s="14">
        <f>INT(SUMPRODUCT($AB339:$AF339,$BA339:$BE339)/SUM($BA339:$BE339)/10000*$BX$7*$BZ$34/'疲劳值&amp;地图信息'!$R$10*$BY$55)</f>
        <v>8830</v>
      </c>
      <c r="CV339" s="50">
        <f t="shared" si="548"/>
        <v>0.62349425716686901</v>
      </c>
      <c r="CW339" s="50">
        <f t="shared" si="549"/>
        <v>0.10165904068229216</v>
      </c>
      <c r="CX339" s="50">
        <f t="shared" si="550"/>
        <v>0.27484670215083884</v>
      </c>
      <c r="CY339" s="14">
        <f t="shared" si="551"/>
        <v>23919</v>
      </c>
      <c r="CZ339" s="14">
        <f t="shared" si="552"/>
        <v>8588</v>
      </c>
      <c r="DA339" s="14">
        <f>INT(SUMPRODUCT($AI339:$AM339,$BA339:$BE339)/SUM($BA339:$BE339)/10000*$BX$7*$BZ$34/'疲劳值&amp;地图信息'!$R$10*$BY$56)</f>
        <v>13319</v>
      </c>
      <c r="DB339" s="50">
        <f t="shared" si="553"/>
        <v>0.52195260332562299</v>
      </c>
      <c r="DC339" s="50">
        <f t="shared" si="554"/>
        <v>0.18740453017937417</v>
      </c>
      <c r="DD339" s="50">
        <f t="shared" si="555"/>
        <v>0.29064286649500282</v>
      </c>
      <c r="DE339" s="14">
        <f t="shared" si="556"/>
        <v>24700</v>
      </c>
      <c r="DF339" s="14">
        <f t="shared" si="557"/>
        <v>14940</v>
      </c>
      <c r="DG339" s="14">
        <f>INT(SUMPRODUCT($AP339:$AT339,$BA339:$BE339)/SUM($BA339:$BE339)/10000*$BX$7*$BZ$34/'疲劳值&amp;地图信息'!$R$10*$BY$57)</f>
        <v>17777</v>
      </c>
      <c r="DH339" s="50">
        <f t="shared" si="558"/>
        <v>0.43018618179284879</v>
      </c>
      <c r="DI339" s="50">
        <f t="shared" si="559"/>
        <v>0.26020168242854902</v>
      </c>
      <c r="DJ339" s="50">
        <f t="shared" si="560"/>
        <v>0.30961213577860214</v>
      </c>
      <c r="DL339" s="14">
        <f t="shared" si="631"/>
        <v>21197</v>
      </c>
      <c r="DM339" s="14">
        <f t="shared" si="632"/>
        <v>26710</v>
      </c>
      <c r="DN339" s="14">
        <f t="shared" si="633"/>
        <v>32127</v>
      </c>
      <c r="DO339" s="14">
        <f t="shared" si="634"/>
        <v>45826</v>
      </c>
      <c r="DP339" s="14">
        <f t="shared" si="635"/>
        <v>57417</v>
      </c>
      <c r="DQ339" s="14">
        <f t="shared" si="636"/>
        <v>1468035</v>
      </c>
      <c r="DT339" s="14">
        <f t="shared" si="630"/>
        <v>235575</v>
      </c>
      <c r="DU339" s="50">
        <f t="shared" si="532"/>
        <v>0.13827988800253579</v>
      </c>
      <c r="DW339" s="14">
        <f t="shared" si="561"/>
        <v>1703610</v>
      </c>
      <c r="EB339" s="14">
        <v>334</v>
      </c>
      <c r="EC339" s="51">
        <f t="shared" si="562"/>
        <v>27941</v>
      </c>
      <c r="ED339" s="51">
        <f t="shared" si="563"/>
        <v>1753</v>
      </c>
      <c r="EE339" s="51">
        <f>INT(SUMPRODUCT($N339:$R339,$BF339:$BJ339)/SUM($BF339:$BJ339)/10000*$BX$7*$BZ$46/'疲劳值&amp;地图信息'!$R$10*$BY$53)</f>
        <v>454</v>
      </c>
      <c r="EF339" s="50">
        <f t="shared" si="564"/>
        <v>0.92679448056255809</v>
      </c>
      <c r="EG339" s="50">
        <f t="shared" si="565"/>
        <v>5.8146477378267218E-2</v>
      </c>
      <c r="EH339" s="50">
        <f t="shared" si="566"/>
        <v>1.5059042059174738E-2</v>
      </c>
      <c r="EI339" s="51">
        <f t="shared" si="567"/>
        <v>30641</v>
      </c>
      <c r="EJ339" s="51">
        <f t="shared" si="568"/>
        <v>3051</v>
      </c>
      <c r="EK339" s="14">
        <f>INT(SUMPRODUCT($U339:$Y339,$BF339:$BJ339)/SUM($BF339:$BJ339)/10000*$BX$7*$BZ$46/'疲劳值&amp;地图信息'!$R$10*$BY$54)</f>
        <v>872</v>
      </c>
      <c r="EL339" s="50">
        <f t="shared" si="569"/>
        <v>0.88650040504571226</v>
      </c>
      <c r="EM339" s="50">
        <f t="shared" si="570"/>
        <v>8.8271033445203095E-2</v>
      </c>
      <c r="EN339" s="50">
        <f t="shared" si="571"/>
        <v>2.5228561509084597E-2</v>
      </c>
      <c r="EO339" s="51">
        <f t="shared" si="572"/>
        <v>33385</v>
      </c>
      <c r="EP339" s="51">
        <f t="shared" si="573"/>
        <v>5444</v>
      </c>
      <c r="EQ339" s="14">
        <f>INT(SUMPRODUCT($AB339:$AF339,$BF339:$BJ339)/SUM($BF339:$BJ339)/10000*$BX$7*$BZ$46/'疲劳值&amp;地图信息'!$R$10*$BY$55)</f>
        <v>1183</v>
      </c>
      <c r="ER339" s="50">
        <f t="shared" si="574"/>
        <v>0.83437468759372191</v>
      </c>
      <c r="ES339" s="50">
        <f t="shared" si="575"/>
        <v>0.1360591822453264</v>
      </c>
      <c r="ET339" s="50">
        <f t="shared" si="576"/>
        <v>2.9566130160951713E-2</v>
      </c>
      <c r="EU339" s="51">
        <f t="shared" si="577"/>
        <v>39865</v>
      </c>
      <c r="EV339" s="51">
        <f t="shared" si="578"/>
        <v>14313</v>
      </c>
      <c r="EW339" s="14">
        <f>INT(SUMPRODUCT($AI339:$AM339,$BF339:$BJ339)/SUM($BF339:$BJ339)/10000*$BX$7*$BZ$46/'疲劳值&amp;地图信息'!$R$10*$BY$56)</f>
        <v>1775</v>
      </c>
      <c r="EX339" s="50">
        <f t="shared" si="579"/>
        <v>0.71247296838417962</v>
      </c>
      <c r="EY339" s="50">
        <f t="shared" si="580"/>
        <v>0.25580397833896307</v>
      </c>
      <c r="EZ339" s="50">
        <f t="shared" si="581"/>
        <v>3.1723053276857364E-2</v>
      </c>
      <c r="FA339" s="51">
        <f t="shared" si="582"/>
        <v>41167</v>
      </c>
      <c r="FB339" s="51">
        <f t="shared" si="583"/>
        <v>24900</v>
      </c>
      <c r="FC339" s="14">
        <f>INT(SUMPRODUCT($AP339:$AT339,$BF339:$BJ339)/SUM($BF339:$BJ339)/10000*$BX$7*$BZ$46/'疲劳值&amp;地图信息'!$R$10*$BY$57)</f>
        <v>2367</v>
      </c>
      <c r="FD339" s="50">
        <f t="shared" si="584"/>
        <v>0.60155770523424024</v>
      </c>
      <c r="FE339" s="50">
        <f t="shared" si="585"/>
        <v>0.36385422450828536</v>
      </c>
      <c r="FF339" s="50">
        <f t="shared" si="586"/>
        <v>3.4588070257474353E-2</v>
      </c>
      <c r="FH339" s="14">
        <f t="shared" si="587"/>
        <v>30148</v>
      </c>
      <c r="FI339" s="14">
        <f t="shared" si="588"/>
        <v>34564</v>
      </c>
      <c r="FJ339" s="14">
        <f t="shared" si="589"/>
        <v>40012</v>
      </c>
      <c r="FK339" s="14">
        <f t="shared" si="590"/>
        <v>55953</v>
      </c>
      <c r="FL339" s="14">
        <f t="shared" si="591"/>
        <v>68434</v>
      </c>
      <c r="FM339" s="14">
        <f t="shared" si="592"/>
        <v>3548496</v>
      </c>
      <c r="FP339" s="14">
        <f t="shared" si="593"/>
        <v>334150</v>
      </c>
      <c r="FQ339" s="50">
        <f t="shared" si="533"/>
        <v>8.6062442983470544E-2</v>
      </c>
      <c r="FS339" s="14">
        <f t="shared" si="594"/>
        <v>3882646</v>
      </c>
      <c r="FX339" s="14">
        <v>334</v>
      </c>
      <c r="FY339" s="51">
        <f t="shared" si="595"/>
        <v>39118</v>
      </c>
      <c r="FZ339" s="51">
        <f t="shared" si="596"/>
        <v>1753</v>
      </c>
      <c r="GA339" s="51">
        <f>INT(SUMPRODUCT($N339:$R339,$BF339:$BJ339)/SUM($BF339:$BJ339)/10000*$BX$7*$BZ$46/'疲劳值&amp;地图信息'!$R$10*$BY$53)</f>
        <v>454</v>
      </c>
      <c r="GB339" s="50">
        <f t="shared" si="597"/>
        <v>0.94659407138536</v>
      </c>
      <c r="GC339" s="50">
        <f t="shared" si="598"/>
        <v>4.2419842710223837E-2</v>
      </c>
      <c r="GD339" s="50">
        <f t="shared" si="599"/>
        <v>1.0986085904416213E-2</v>
      </c>
      <c r="GE339" s="51">
        <f t="shared" si="600"/>
        <v>42898</v>
      </c>
      <c r="GF339" s="51">
        <f t="shared" si="601"/>
        <v>3051</v>
      </c>
      <c r="GG339" s="14">
        <f>INT(SUMPRODUCT($U339:$Y339,$BF339:$BJ339)/SUM($BF339:$BJ339)/10000*$BX$7*$BZ$46/'疲劳值&amp;地图信息'!$R$10*$BY$54)</f>
        <v>872</v>
      </c>
      <c r="GH339" s="50">
        <f t="shared" si="602"/>
        <v>0.91621281049101899</v>
      </c>
      <c r="GI339" s="50">
        <f t="shared" si="603"/>
        <v>6.5163067854168005E-2</v>
      </c>
      <c r="GJ339" s="50">
        <f t="shared" si="604"/>
        <v>1.862412165481301E-2</v>
      </c>
      <c r="GK339" s="51">
        <f t="shared" si="605"/>
        <v>46740</v>
      </c>
      <c r="GL339" s="51">
        <f t="shared" si="606"/>
        <v>5444</v>
      </c>
      <c r="GM339" s="14">
        <f>INT(SUMPRODUCT($AB339:$AF339,$BF339:$BJ339)/SUM($BF339:$BJ339)/10000*$BX$7*$BZ$46/'疲劳值&amp;地图信息'!$R$10*$BY$55)</f>
        <v>1183</v>
      </c>
      <c r="GN339" s="50">
        <f t="shared" si="607"/>
        <v>0.87582213727584457</v>
      </c>
      <c r="GO339" s="50">
        <f t="shared" si="608"/>
        <v>0.10201060580508554</v>
      </c>
      <c r="GP339" s="50">
        <f t="shared" si="609"/>
        <v>2.2167256919069837E-2</v>
      </c>
      <c r="GQ339" s="51">
        <f t="shared" si="610"/>
        <v>55811</v>
      </c>
      <c r="GR339" s="51">
        <f t="shared" si="611"/>
        <v>14313</v>
      </c>
      <c r="GS339" s="14">
        <f>INT(SUMPRODUCT($AI339:$AM339,$BF339:$BJ339)/SUM($BF339:$BJ339)/10000*$BX$7*$BZ$46/'疲劳值&amp;地图信息'!$R$10*$BY$56)</f>
        <v>1775</v>
      </c>
      <c r="GT339" s="50">
        <f t="shared" si="612"/>
        <v>0.77624167234592967</v>
      </c>
      <c r="GU339" s="50">
        <f t="shared" si="613"/>
        <v>0.19907091892794057</v>
      </c>
      <c r="GV339" s="50">
        <f t="shared" si="614"/>
        <v>2.4687408726129709E-2</v>
      </c>
      <c r="GW339" s="51">
        <f t="shared" si="615"/>
        <v>57634</v>
      </c>
      <c r="GX339" s="51">
        <f t="shared" si="616"/>
        <v>24900</v>
      </c>
      <c r="GY339" s="14">
        <f>INT(SUMPRODUCT($AP339:$AT339,$BF339:$BJ339)/SUM($BF339:$BJ339)/10000*$BX$7*$BZ$46/'疲劳值&amp;地图信息'!$R$10*$BY$57)</f>
        <v>2367</v>
      </c>
      <c r="GZ339" s="50">
        <f t="shared" si="617"/>
        <v>0.67883770509181285</v>
      </c>
      <c r="HA339" s="50">
        <f t="shared" si="618"/>
        <v>0.29328276463174757</v>
      </c>
      <c r="HB339" s="50">
        <f t="shared" si="619"/>
        <v>2.7879530276439617E-2</v>
      </c>
      <c r="HD339" s="14">
        <f t="shared" si="620"/>
        <v>41325</v>
      </c>
      <c r="HE339" s="14">
        <f t="shared" si="621"/>
        <v>46821</v>
      </c>
      <c r="HF339" s="14">
        <f t="shared" si="622"/>
        <v>53367</v>
      </c>
      <c r="HG339" s="14">
        <f t="shared" si="623"/>
        <v>71899</v>
      </c>
      <c r="HH339" s="14">
        <f t="shared" si="624"/>
        <v>84901</v>
      </c>
      <c r="HI339" s="14">
        <f t="shared" si="625"/>
        <v>4803953</v>
      </c>
      <c r="HL339" s="14">
        <f t="shared" si="626"/>
        <v>430050</v>
      </c>
      <c r="HM339" s="50">
        <f t="shared" si="534"/>
        <v>8.2164645301120387E-2</v>
      </c>
      <c r="HO339" s="14">
        <f t="shared" si="627"/>
        <v>5234003</v>
      </c>
    </row>
    <row r="340" spans="11:223" x14ac:dyDescent="0.2">
      <c r="K340" s="14">
        <v>335</v>
      </c>
      <c r="L340" s="12">
        <f>求节点(节奏总纲!D$4:D$163,标准城池设计!AB$4:AB$163,$K340)*求节点(节奏总纲!D$4:D$163,攻城基础信息!$AC$5:$AC$164,$K340)</f>
        <v>823688.25855198305</v>
      </c>
      <c r="M340" s="12">
        <f>INDEX(其他调用!$AA$5:$AA$404,MATCH(K340,其他调用!$X$5:$X$404,0))*MIN(INDEX(其他调用!$AH$5:$AH$364,MATCH('征服点（新）'!K340,其他调用!$AG$5:$AG$364,0),1)/INDEX(其他调用!$AJ$5:$AJ$364,MATCH(K340,其他调用!$AG$5:$AG$364,0),0),5)*求节点(节奏总纲!D$4:D$163,攻城基础信息!$AC$5:$AC$164,$K340)</f>
        <v>51556.936602316295</v>
      </c>
      <c r="N340" s="12">
        <f>MIN(INDEX(其他调用!$AH$5:$AH$364,MATCH($K340,其他调用!$AG$5:$AG$364,0),1)/INDEX(其他调用!AH$5:AH$364,MATCH($K340,其他调用!$AG$5:$AG$364,0),0),1)*INDEX(其他调用!Y$5:Y$404,MATCH($K340,其他调用!$X$5:$X$404,0),0)</f>
        <v>43114.439570272487</v>
      </c>
      <c r="O340" s="12">
        <f>MIN(INDEX(其他调用!$AH$5:$AH$364,MATCH($K340,其他调用!$AG$5:$AG$364,0),1)/INDEX(其他调用!AI$5:AI$364,MATCH($K340,其他调用!$AG$5:$AG$364,0),0),1)*INDEX(其他调用!Z$5:Z$404,MATCH($K340,其他调用!$X$5:$X$404,0),0)</f>
        <v>25435.969559524226</v>
      </c>
      <c r="P340" s="12">
        <f>MIN(INDEX(其他调用!$AH$5:$AH$364,MATCH($K340,其他调用!$AG$5:$AG$364,0),1)/INDEX(其他调用!AJ$5:AJ$364,MATCH($K340,其他调用!$AG$5:$AG$364,0),0),1)*INDEX(其他调用!AA$5:AA$404,MATCH($K340,其他调用!$X$5:$X$404,0),0)</f>
        <v>14730.553314947521</v>
      </c>
      <c r="Q340" s="12">
        <f>MIN(INDEX(其他调用!$AH$5:$AH$364,MATCH($K340,其他调用!$AG$5:$AG$364,0),1)/INDEX(其他调用!AK$5:AK$364,MATCH($K340,其他调用!$AG$5:$AG$364,0),0),1)*INDEX(其他调用!AB$5:AB$404,MATCH($K340,其他调用!$X$5:$X$404,0),0)</f>
        <v>5893.8187354934116</v>
      </c>
      <c r="R340" s="12">
        <f>MIN(INDEX(其他调用!$AH$5:$AH$364,MATCH($K340,其他调用!$AG$5:$AG$364,0),1)/INDEX(其他调用!AL$5:AL$364,MATCH($K340,其他调用!$AG$5:$AG$364,0),0),1)*INDEX(其他调用!AC$5:AC$404,MATCH($K340,其他调用!$X$5:$X$404,0),0)</f>
        <v>3666.0062252771663</v>
      </c>
      <c r="S340" s="12">
        <f>求节点(节奏总纲!D$4:D$163,标准城池设计!AC$4:AC$163,$K340)*求节点(节奏总纲!D$4:D$163,攻城基础信息!$AD$5:$AD$164,$K340)</f>
        <v>903280.04034282581</v>
      </c>
      <c r="T340" s="12">
        <f>INDEX(其他调用!$AA$5:$AA$404,MATCH($K340,其他调用!$X$5:$X$404,0))*MIN(INDEX(其他调用!AI$5:AI$364,MATCH($K340,其他调用!$AG$5:$AG$364,0),1)/INDEX(其他调用!$AJ$5:$AJ$364,MATCH($K340,其他调用!$AG$5:$AG$364,0),0),5)*求节点(节奏总纲!D$4:D$163,攻城基础信息!$AD$5:$AD$164,$K340)</f>
        <v>89738.858143533624</v>
      </c>
      <c r="U340" s="12">
        <f>MIN(INDEX(其他调用!$AI$5:$AI$364,MATCH($K340,其他调用!$AG$5:$AG$364,0),1)/INDEX(其他调用!AH$5:AH$364,MATCH($K340,其他调用!$AG$5:$AG$364,0),0),1)*INDEX(其他调用!Y$5:Y$404,MATCH($K340,其他调用!$X$5:$X$404,0),0)</f>
        <v>43114.439570272487</v>
      </c>
      <c r="V340" s="12">
        <f>MIN(INDEX(其他调用!$AI$5:$AI$364,MATCH($K340,其他调用!$AG$5:$AG$364,0),1)/INDEX(其他调用!AI$5:AI$364,MATCH($K340,其他调用!$AG$5:$AG$364,0),0),1)*INDEX(其他调用!Z$5:Z$404,MATCH($K340,其他调用!$X$5:$X$404,0),0)</f>
        <v>44273.28337314041</v>
      </c>
      <c r="W340" s="12">
        <f>MIN(INDEX(其他调用!$AI$5:$AI$364,MATCH($K340,其他调用!$AG$5:$AG$364,0),1)/INDEX(其他调用!AJ$5:AJ$364,MATCH($K340,其他调用!$AG$5:$AG$364,0),0),1)*INDEX(其他调用!AA$5:AA$404,MATCH($K340,其他调用!$X$5:$X$404,0),0)</f>
        <v>25639.673755295338</v>
      </c>
      <c r="X340" s="12">
        <f>MIN(INDEX(其他调用!$AI$5:$AI$364,MATCH($K340,其他调用!$AG$5:$AG$364,0),1)/INDEX(其他调用!AK$5:AK$364,MATCH($K340,其他调用!$AG$5:$AG$364,0),0),1)*INDEX(其他调用!AB$5:AB$404,MATCH($K340,其他调用!$X$5:$X$404,0),0)</f>
        <v>10258.649917621018</v>
      </c>
      <c r="Y340" s="12">
        <f>MIN(INDEX(其他调用!$AI$5:$AI$364,MATCH($K340,其他调用!$AG$5:$AG$364,0),1)/INDEX(其他调用!AL$5:AL$364,MATCH($K340,其他调用!$AG$5:$AG$364,0),0),1)*INDEX(其他调用!AC$5:AC$404,MATCH($K340,其他调用!$X$5:$X$404,0),0)</f>
        <v>6380.9689691431095</v>
      </c>
      <c r="Z340" s="12">
        <f>求节点(节奏总纲!D$4:D$163,标准城池设计!AD$4:AD$163,$K340)*求节点(节奏总纲!D$4:D$163,攻城基础信息!$AE$5:$AE$164,$K340)</f>
        <v>984148.52383526799</v>
      </c>
      <c r="AA340" s="12">
        <f>INDEX(其他调用!$AA$5:$AA$404,MATCH($K340,其他调用!$X$5:$X$404,0))*MIN(INDEX(其他调用!AJ$5:AJ$364,MATCH($K340,其他调用!$AG$5:$AG$364,0),1)/INDEX(其他调用!$AJ$5:$AJ$364,MATCH($K340,其他调用!$AG$5:$AG$364,0),0),5)*求节点(节奏总纲!D$4:D$163,攻城基础信息!$AE$5:$AE$164,$K340)</f>
        <v>160337.88516276923</v>
      </c>
      <c r="AB340" s="12">
        <f>MIN(INDEX(其他调用!$AJ$5:$AJ$364,MATCH($K340,其他调用!$AG$5:$AG$364,0),1)/INDEX(其他调用!AH$5:AH$364,MATCH($K340,其他调用!$AG$5:$AG$364,0),0),1)*INDEX(其他调用!Y$5:Y$404,MATCH($K340,其他调用!$X$5:$X$404,0),0)</f>
        <v>43114.439570272487</v>
      </c>
      <c r="AC340" s="12">
        <f>MIN(INDEX(其他调用!$AJ$5:$AJ$364,MATCH($K340,其他调用!$AG$5:$AG$364,0),1)/INDEX(其他调用!AI$5:AI$364,MATCH($K340,其他调用!$AG$5:$AG$364,0),0),1)*INDEX(其他调用!Z$5:Z$404,MATCH($K340,其他调用!$X$5:$X$404,0),0)</f>
        <v>44273.28337314041</v>
      </c>
      <c r="AD340" s="12">
        <f>MIN(INDEX(其他调用!$AJ$5:$AJ$364,MATCH($K340,其他调用!$AG$5:$AG$364,0),1)/INDEX(其他调用!AJ$5:AJ$364,MATCH($K340,其他调用!$AG$5:$AG$364,0),0),1)*INDEX(其他调用!AA$5:AA$404,MATCH($K340,其他调用!$X$5:$X$404,0),0)</f>
        <v>45810.82433221981</v>
      </c>
      <c r="AE340" s="12">
        <f>MIN(INDEX(其他调用!$AJ$5:$AJ$364,MATCH($K340,其他调用!$AG$5:$AG$364,0),1)/INDEX(其他调用!AK$5:AK$364,MATCH($K340,其他调用!$AG$5:$AG$364,0),0),1)*INDEX(其他调用!AB$5:AB$404,MATCH($K340,其他调用!$X$5:$X$404,0),0)</f>
        <v>18329.297546729427</v>
      </c>
      <c r="AF340" s="12">
        <f>MIN(INDEX(其他调用!$AJ$5:$AJ$364,MATCH($K340,其他调用!$AG$5:$AG$364,0),1)/INDEX(其他调用!AL$5:AL$364,MATCH($K340,其他调用!$AG$5:$AG$364,0),0),1)*INDEX(其他调用!AC$5:AC$404,MATCH($K340,其他调用!$X$5:$X$404,0),0)</f>
        <v>11400.98159222438</v>
      </c>
      <c r="AG340" s="12">
        <f>求节点(节奏总纲!D$4:D$163,标准城池设计!AE$4:AE$163,$K340)*求节点(节奏总纲!D$4:D$163,攻城基础信息!$AF$5:$AF$164,$K340)</f>
        <v>1174732.9599190759</v>
      </c>
      <c r="AH340" s="12">
        <f>INDEX(其他调用!$AA$5:$AA$404,MATCH($K340,其他调用!$X$5:$X$404,0))*MIN(INDEX(其他调用!AK$5:AK$364,MATCH($K340,其他调用!$AG$5:$AG$364,0),1)/INDEX(其他调用!$AJ$5:$AJ$364,MATCH($K340,其他调用!$AG$5:$AG$364,0),0),5)*求节点(节奏总纲!D$4:D$163,攻城基础信息!$AF$5:$AF$164,$K340)</f>
        <v>420413.66720889095</v>
      </c>
      <c r="AI340" s="12">
        <f>MIN(INDEX(其他调用!$AK$5:$AK$364,MATCH($K340,其他调用!$AG$5:$AG$364,0),1)/INDEX(其他调用!AH$5:AH$364,MATCH($K340,其他调用!$AG$5:$AG$364,0),0),1)*INDEX(其他调用!Y$5:Y$404,MATCH($K340,其他调用!$X$5:$X$404,0),0)</f>
        <v>43114.439570272487</v>
      </c>
      <c r="AJ340" s="12">
        <f>MIN(INDEX(其他调用!$AK$5:$AK$364,MATCH($K340,其他调用!$AG$5:$AG$364,0),1)/INDEX(其他调用!AI$5:AI$364,MATCH($K340,其他调用!$AG$5:$AG$364,0),0),1)*INDEX(其他调用!Z$5:Z$404,MATCH($K340,其他调用!$X$5:$X$404,0),0)</f>
        <v>44273.28337314041</v>
      </c>
      <c r="AK340" s="12">
        <f>MIN(INDEX(其他调用!$AK$5:$AK$364,MATCH($K340,其他调用!$AG$5:$AG$364,0),1)/INDEX(其他调用!AJ$5:AJ$364,MATCH($K340,其他调用!$AG$5:$AG$364,0),0),1)*INDEX(其他调用!AA$5:AA$404,MATCH($K340,其他调用!$X$5:$X$404,0),0)</f>
        <v>45810.82433221981</v>
      </c>
      <c r="AL340" s="12">
        <f>MIN(INDEX(其他调用!$AK$5:$AK$364,MATCH($K340,其他调用!$AG$5:$AG$364,0),1)/INDEX(其他调用!AK$5:AK$364,MATCH($K340,其他调用!$AG$5:$AG$364,0),0),1)*INDEX(其他调用!AB$5:AB$404,MATCH($K340,其他调用!$X$5:$X$404,0),0)</f>
        <v>48060.302099910499</v>
      </c>
      <c r="AM340" s="12">
        <f>MIN(INDEX(其他调用!$AK$5:$AK$364,MATCH($K340,其他调用!$AG$5:$AG$364,0),1)/INDEX(其他调用!AL$5:AL$364,MATCH($K340,其他调用!$AG$5:$AG$364,0),0),1)*INDEX(其他调用!AC$5:AC$404,MATCH($K340,其他调用!$X$5:$X$404,0),0)</f>
        <v>29893.92354840094</v>
      </c>
      <c r="AN340" s="12">
        <f>求节点(节奏总纲!D$4:D$163,标准城池设计!AF$4:AF$163,$K340)*求节点(节奏总纲!D$4:D$163,攻城基础信息!$AG$5:$AG$164,$K340)</f>
        <v>1212799.8169723863</v>
      </c>
      <c r="AO340" s="12">
        <f>INDEX(其他调用!$AA$5:$AA$404,MATCH($K340,其他调用!$X$5:$X$404,0))*MIN(INDEX(其他调用!AL$5:AL$364,MATCH($K340,其他调用!$AG$5:$AG$364,0),1)/INDEX(其他调用!$AJ$5:$AJ$364,MATCH($K340,其他调用!$AG$5:$AG$364,0),0),5)*求节点(节奏总纲!D$4:D$163,攻城基础信息!$AG$5:$AG$164,$K340)</f>
        <v>730697.80113276304</v>
      </c>
      <c r="AP340" s="12">
        <f>MIN(INDEX(其他调用!$AL$5:$AL$364,MATCH($K340,其他调用!$AG$5:$AG$364,0),1)/INDEX(其他调用!AH$5:AH$364,MATCH($K340,其他调用!$AG$5:$AG$364,0),0),1)*INDEX(其他调用!Y$5:Y$404,MATCH($K340,其他调用!$X$5:$X$404,0),0)</f>
        <v>43114.439570272487</v>
      </c>
      <c r="AQ340" s="12">
        <f>MIN(INDEX(其他调用!$AL$5:$AL$364,MATCH($K340,其他调用!$AG$5:$AG$364,0),1)/INDEX(其他调用!AI$5:AI$364,MATCH($K340,其他调用!$AG$5:$AG$364,0),0),1)*INDEX(其他调用!Z$5:Z$404,MATCH($K340,其他调用!$X$5:$X$404,0),0)</f>
        <v>44273.28337314041</v>
      </c>
      <c r="AR340" s="12">
        <f>MIN(INDEX(其他调用!$AL$5:$AL$364,MATCH($K340,其他调用!$AG$5:$AG$364,0),1)/INDEX(其他调用!AJ$5:AJ$364,MATCH($K340,其他调用!$AG$5:$AG$364,0),0),1)*INDEX(其他调用!AA$5:AA$404,MATCH($K340,其他调用!$X$5:$X$404,0),0)</f>
        <v>45810.82433221981</v>
      </c>
      <c r="AS340" s="12">
        <f>MIN(INDEX(其他调用!$AL$5:$AL$364,MATCH($K340,其他调用!$AG$5:$AG$364,0),1)/INDEX(其他调用!AK$5:AK$364,MATCH($K340,其他调用!$AG$5:$AG$364,0),0),1)*INDEX(其他调用!AB$5:AB$404,MATCH($K340,其他调用!$X$5:$X$404,0),0)</f>
        <v>48060.302099910499</v>
      </c>
      <c r="AT340" s="12">
        <f>MIN(INDEX(其他调用!$AL$5:$AL$364,MATCH($K340,其他调用!$AG$5:$AG$364,0),1)/INDEX(其他调用!AL$5:AL$364,MATCH($K340,其他调用!$AG$5:$AG$364,0),0),1)*INDEX(其他调用!AC$5:AC$404,MATCH($K340,其他调用!$X$5:$X$404,0),0)</f>
        <v>51956.979298663347</v>
      </c>
      <c r="AV340" s="14">
        <f>IF(OR(AV$5="大R",AV$5="超R"),MAX(INDEX(其他调用!$H$5:$L$404,MATCH($K340,其他调用!$B$5:$B$404,0),MATCH(AV$5,其他调用!$H$4:$L$4,0))*120*0.85,2),INDEX(其他调用!$H$5:$L$404,MATCH($K340,其他调用!$B$5:$B$404,0),MATCH(AV$5,其他调用!$H$4:$L$4,0))*120*0.85)</f>
        <v>48.921801254999991</v>
      </c>
      <c r="AW340" s="14">
        <f>IF(OR(AW$5="大R",AW$5="超R"),MAX(INDEX(其他调用!$H$5:$L$404,MATCH($K340,其他调用!$B$5:$B$404,0),MATCH(AW$5,其他调用!$H$4:$L$4,0))*120*0.85,2),INDEX(其他调用!$H$5:$L$404,MATCH($K340,其他调用!$B$5:$B$404,0),MATCH(AW$5,其他调用!$H$4:$L$4,0))*120*0.85)</f>
        <v>48.237344010638395</v>
      </c>
      <c r="AX340" s="14">
        <f>IF(OR(AX$5="大R",AX$5="超R"),MAX(INDEX(其他调用!$H$5:$L$404,MATCH($K340,其他调用!$B$5:$B$404,0),MATCH(AX$5,其他调用!$H$4:$L$4,0))*120*0.85,2),INDEX(其他调用!$H$5:$L$404,MATCH($K340,其他调用!$B$5:$B$404,0),MATCH(AX$5,其他调用!$H$4:$L$4,0))*120*0.85)</f>
        <v>3.9376284143615998</v>
      </c>
      <c r="AY340" s="14">
        <f>IF(OR(AY$5="大R",AY$5="超R"),MAX(INDEX(其他调用!$H$5:$L$404,MATCH($K340,其他调用!$B$5:$B$404,0),MATCH(AY$5,其他调用!$H$4:$L$4,0))*120*0.85,2),INDEX(其他调用!$H$5:$L$404,MATCH($K340,其他调用!$B$5:$B$404,0),MATCH(AY$5,其他调用!$H$4:$L$4,0))*120*0.85)</f>
        <v>2</v>
      </c>
      <c r="AZ340" s="14">
        <f>IF(OR(AZ$5="大R",AZ$5="超R"),MAX(INDEX(其他调用!$H$5:$L$404,MATCH($K340,其他调用!$B$5:$B$404,0),MATCH(AZ$5,其他调用!$H$4:$L$4,0))*120*0.85,2),INDEX(其他调用!$H$5:$L$404,MATCH($K340,其他调用!$B$5:$B$404,0),MATCH(AZ$5,其他调用!$H$4:$L$4,0))*120*0.85)</f>
        <v>2</v>
      </c>
      <c r="BA340" s="14">
        <f>INDEX(其他调用!$H$5:$L$404,MATCH($K340,其他调用!$B$5:$B$404,0),MATCH(BA$5,其他调用!$H$4:$L$4,0))*INDEX(其他调用!$M$5:$M$404,MATCH($K340,其他调用!$B$5:$B$404,0))*0.6</f>
        <v>28.777530149999997</v>
      </c>
      <c r="BB340" s="14">
        <f>INDEX(其他调用!$H$5:$L$404,MATCH($K340,其他调用!$B$5:$B$404,0),MATCH(BB$5,其他调用!$H$4:$L$4,0))*INDEX(其他调用!$M$5:$M$404,MATCH($K340,其他调用!$B$5:$B$404,0))*0.6</f>
        <v>28.374908241551999</v>
      </c>
      <c r="BC340" s="14">
        <f>INDEX(其他调用!$H$5:$L$404,MATCH($K340,其他调用!$B$5:$B$404,0),MATCH(BC$5,其他调用!$H$4:$L$4,0))*INDEX(其他调用!$M$5:$M$404,MATCH($K340,其他调用!$B$5:$B$404,0))*0.6</f>
        <v>2.3162520084480001</v>
      </c>
      <c r="BD340" s="14">
        <f>INDEX(其他调用!$H$5:$L$404,MATCH($K340,其他调用!$B$5:$B$404,0),MATCH(BD$5,其他调用!$H$4:$L$4,0))*INDEX(其他调用!$M$5:$M$404,MATCH($K340,其他调用!$B$5:$B$404,0))*0.6</f>
        <v>0.4120776000000001</v>
      </c>
      <c r="BE340" s="14">
        <f>INDEX(其他调用!$H$5:$L$404,MATCH($K340,其他调用!$B$5:$B$404,0),MATCH(BE$5,其他调用!$H$4:$L$4,0))*INDEX(其他调用!$M$5:$M$404,MATCH($K340,其他调用!$B$5:$B$404,0))*0.6</f>
        <v>0.11923199999999998</v>
      </c>
      <c r="BF340" s="14">
        <f>IF(OR(BF$5="大R",BF$5="超R"),0,INDEX(其他调用!$H$5:$L$404,MATCH($K340,其他调用!$B$5:$B$404,0),MATCH(BF$5,其他调用!$H$4:$L$4,0))*50*0.4)</f>
        <v>9.5925100500000013</v>
      </c>
      <c r="BG340" s="14">
        <f>IF(OR(BG$5="大R",BG$5="超R"),0,INDEX(其他调用!$H$5:$L$404,MATCH($K340,其他调用!$B$5:$B$404,0),MATCH(BG$5,其他调用!$H$4:$L$4,0))*50*0.4)</f>
        <v>9.4583027471839998</v>
      </c>
      <c r="BH340" s="14">
        <f>IF(OR(BH$5="大R",BH$5="超R"),0,INDEX(其他调用!$H$5:$L$404,MATCH($K340,其他调用!$B$5:$B$404,0),MATCH(BH$5,其他调用!$H$4:$L$4,0))*50*0.4)</f>
        <v>0.77208400281600009</v>
      </c>
      <c r="BI340" s="14">
        <f>IF(OR(BI$5="大R",BI$5="超R"),0,INDEX(其他调用!$H$5:$L$404,MATCH($K340,其他调用!$B$5:$B$404,0),MATCH(BI$5,其他调用!$H$4:$L$4,0))*50*0.4)</f>
        <v>0</v>
      </c>
      <c r="BJ340" s="14">
        <f>IF(OR(BJ$5="大R",BJ$5="超R"),0,INDEX(其他调用!$H$5:$L$404,MATCH($K340,其他调用!$B$5:$B$404,0),MATCH(BJ$5,其他调用!$H$4:$L$4,0))*50*0.4)</f>
        <v>0</v>
      </c>
      <c r="BL340" s="14">
        <f t="shared" si="628"/>
        <v>335</v>
      </c>
      <c r="BM340" s="14">
        <f t="shared" si="535"/>
        <v>96</v>
      </c>
      <c r="BN340" s="14">
        <f>('疲劳值&amp;地图信息'!$S$10*'疲劳值&amp;地图信息'!$R$10+'疲劳值&amp;地图信息'!$S$11*'疲劳值&amp;地图信息'!$R$11+'疲劳值&amp;地图信息'!$S$12*'疲劳值&amp;地图信息'!$R$12+(BM340-'疲劳值&amp;地图信息'!$S$12-'疲劳值&amp;地图信息'!$S$11-'疲劳值&amp;地图信息'!$S$10)*'疲劳值&amp;地图信息'!$R$13)/BM340</f>
        <v>51.371477246638619</v>
      </c>
      <c r="BO340" s="14">
        <f>INDEX(其他调用!$M$5:$M$404,MATCH(BL340,其他调用!$B$5:$B$404,0))*0.6</f>
        <v>60</v>
      </c>
      <c r="BP340" s="14">
        <f>IF(BO340&gt;SUM('疲劳值&amp;地图信息'!$S$10:$S$12),('疲劳值&amp;地图信息'!$S$10*'疲劳值&amp;地图信息'!$R$10+'疲劳值&amp;地图信息'!$S$11*'疲劳值&amp;地图信息'!$R$11+'疲劳值&amp;地图信息'!$S$12*'疲劳值&amp;地图信息'!$R$12+(BO340-'疲劳值&amp;地图信息'!$S$12-'疲劳值&amp;地图信息'!$S$11-'疲劳值&amp;地图信息'!$S$10)*'疲劳值&amp;地图信息'!$R$13)/BO340,('疲劳值&amp;地图信息'!$S$10*'疲劳值&amp;地图信息'!$R$10+'疲劳值&amp;地图信息'!$S$11*'疲劳值&amp;地图信息'!$R$11+'疲劳值&amp;地图信息'!$S$12*'疲劳值&amp;地图信息'!$R$12+(BO340-'疲劳值&amp;地图信息'!$S$12-'疲劳值&amp;地图信息'!$S$11-'疲劳值&amp;地图信息'!$S$10)*'疲劳值&amp;地图信息'!$R$13)/BO340)</f>
        <v>44.158136341605953</v>
      </c>
      <c r="BQ340" s="14">
        <f t="shared" si="629"/>
        <v>20</v>
      </c>
      <c r="BR340" s="14">
        <f>('疲劳值&amp;地图信息'!$S$10*'疲劳值&amp;地图信息'!$R$10+($BQ340-'疲劳值&amp;地图信息'!$S$10)*'疲劳值&amp;地图信息'!$R$11)/$BQ340</f>
        <v>32.067203015074995</v>
      </c>
      <c r="CF340" s="14">
        <v>335</v>
      </c>
      <c r="CG340" s="51">
        <f t="shared" si="536"/>
        <v>16787</v>
      </c>
      <c r="CH340" s="51">
        <f t="shared" si="537"/>
        <v>1050</v>
      </c>
      <c r="CI340" s="51">
        <f>INT(SUMPRODUCT($N340:$R340,$BA340:$BE340)/SUM($BA340:$BE340)/10000*$BX$7*$BZ$34/'疲劳值&amp;地图信息'!$R$10*$BY$53)</f>
        <v>3381</v>
      </c>
      <c r="CJ340" s="50">
        <f t="shared" si="538"/>
        <v>0.79116787633141672</v>
      </c>
      <c r="CK340" s="50">
        <f t="shared" si="539"/>
        <v>4.9486285229522101E-2</v>
      </c>
      <c r="CL340" s="50">
        <f t="shared" si="540"/>
        <v>0.15934583843906117</v>
      </c>
      <c r="CM340" s="14">
        <f t="shared" si="541"/>
        <v>18410</v>
      </c>
      <c r="CN340" s="14">
        <f t="shared" si="542"/>
        <v>1828</v>
      </c>
      <c r="CO340" s="14">
        <f>INT(SUMPRODUCT($U340:$Y340,$BA340:$BE340)/SUM($BA340:$BE340)/10000*$BX$7*$BZ$34/'疲劳值&amp;地图信息'!$R$10*$BY$54)</f>
        <v>6497</v>
      </c>
      <c r="CP340" s="50">
        <f t="shared" si="543"/>
        <v>0.68861043575836922</v>
      </c>
      <c r="CQ340" s="50">
        <f t="shared" si="544"/>
        <v>6.837478960164578E-2</v>
      </c>
      <c r="CR340" s="50">
        <f t="shared" si="545"/>
        <v>0.24301477463998503</v>
      </c>
      <c r="CS340" s="14">
        <f t="shared" si="546"/>
        <v>20058</v>
      </c>
      <c r="CT340" s="14">
        <f t="shared" si="547"/>
        <v>3267</v>
      </c>
      <c r="CU340" s="14">
        <f>INT(SUMPRODUCT($AB340:$AF340,$BA340:$BE340)/SUM($BA340:$BE340)/10000*$BX$7*$BZ$34/'疲劳值&amp;地图信息'!$R$10*$BY$55)</f>
        <v>8834</v>
      </c>
      <c r="CV340" s="50">
        <f t="shared" si="548"/>
        <v>0.62371342392487328</v>
      </c>
      <c r="CW340" s="50">
        <f t="shared" si="549"/>
        <v>0.10158897975683323</v>
      </c>
      <c r="CX340" s="50">
        <f t="shared" si="550"/>
        <v>0.27469759631829349</v>
      </c>
      <c r="CY340" s="14">
        <f t="shared" si="551"/>
        <v>23942</v>
      </c>
      <c r="CZ340" s="14">
        <f t="shared" si="552"/>
        <v>8568</v>
      </c>
      <c r="DA340" s="14">
        <f>INT(SUMPRODUCT($AI340:$AM340,$BA340:$BE340)/SUM($BA340:$BE340)/10000*$BX$7*$BZ$34/'疲劳值&amp;地图信息'!$R$10*$BY$56)</f>
        <v>13324</v>
      </c>
      <c r="DB340" s="50">
        <f t="shared" si="553"/>
        <v>0.5223633110791116</v>
      </c>
      <c r="DC340" s="50">
        <f t="shared" si="554"/>
        <v>0.18693546275690534</v>
      </c>
      <c r="DD340" s="50">
        <f t="shared" si="555"/>
        <v>0.29070122616398308</v>
      </c>
      <c r="DE340" s="14">
        <f t="shared" si="556"/>
        <v>24718</v>
      </c>
      <c r="DF340" s="14">
        <f t="shared" si="557"/>
        <v>14892</v>
      </c>
      <c r="DG340" s="14">
        <f>INT(SUMPRODUCT($AP340:$AT340,$BA340:$BE340)/SUM($BA340:$BE340)/10000*$BX$7*$BZ$34/'疲劳值&amp;地图信息'!$R$10*$BY$57)</f>
        <v>17784</v>
      </c>
      <c r="DH340" s="50">
        <f t="shared" si="558"/>
        <v>0.43067219569989895</v>
      </c>
      <c r="DI340" s="50">
        <f t="shared" si="559"/>
        <v>0.25946963097187858</v>
      </c>
      <c r="DJ340" s="50">
        <f t="shared" si="560"/>
        <v>0.30985817332822246</v>
      </c>
      <c r="DL340" s="14">
        <f t="shared" si="631"/>
        <v>21218</v>
      </c>
      <c r="DM340" s="14">
        <f t="shared" si="632"/>
        <v>26735</v>
      </c>
      <c r="DN340" s="14">
        <f t="shared" si="633"/>
        <v>32159</v>
      </c>
      <c r="DO340" s="14">
        <f t="shared" si="634"/>
        <v>45834</v>
      </c>
      <c r="DP340" s="14">
        <f t="shared" si="635"/>
        <v>57394</v>
      </c>
      <c r="DQ340" s="14">
        <f t="shared" si="636"/>
        <v>1469423</v>
      </c>
      <c r="DT340" s="14">
        <f t="shared" si="630"/>
        <v>235575</v>
      </c>
      <c r="DU340" s="50">
        <f t="shared" si="532"/>
        <v>0.13816731749831965</v>
      </c>
      <c r="DW340" s="14">
        <f t="shared" si="561"/>
        <v>1704998</v>
      </c>
      <c r="EB340" s="14">
        <v>335</v>
      </c>
      <c r="EC340" s="51">
        <f t="shared" si="562"/>
        <v>27979</v>
      </c>
      <c r="ED340" s="51">
        <f t="shared" si="563"/>
        <v>1751</v>
      </c>
      <c r="EE340" s="51">
        <f>INT(SUMPRODUCT($N340:$R340,$BF340:$BJ340)/SUM($BF340:$BJ340)/10000*$BX$7*$BZ$46/'疲劳值&amp;地图信息'!$R$10*$BY$53)</f>
        <v>454</v>
      </c>
      <c r="EF340" s="50">
        <f t="shared" si="564"/>
        <v>0.92694805194805197</v>
      </c>
      <c r="EG340" s="50">
        <f t="shared" si="565"/>
        <v>5.8010866684336075E-2</v>
      </c>
      <c r="EH340" s="50">
        <f t="shared" si="566"/>
        <v>1.504108136761198E-2</v>
      </c>
      <c r="EI340" s="51">
        <f t="shared" si="567"/>
        <v>30683</v>
      </c>
      <c r="EJ340" s="51">
        <f t="shared" si="568"/>
        <v>3048</v>
      </c>
      <c r="EK340" s="14">
        <f>INT(SUMPRODUCT($U340:$Y340,$BF340:$BJ340)/SUM($BF340:$BJ340)/10000*$BX$7*$BZ$46/'疲劳值&amp;地图信息'!$R$10*$BY$54)</f>
        <v>872</v>
      </c>
      <c r="EL340" s="50">
        <f t="shared" si="569"/>
        <v>0.88671502470884023</v>
      </c>
      <c r="EM340" s="50">
        <f t="shared" si="570"/>
        <v>8.8084848134554805E-2</v>
      </c>
      <c r="EN340" s="50">
        <f t="shared" si="571"/>
        <v>2.5200127156604919E-2</v>
      </c>
      <c r="EO340" s="51">
        <f t="shared" si="572"/>
        <v>33430</v>
      </c>
      <c r="EP340" s="51">
        <f t="shared" si="573"/>
        <v>5446</v>
      </c>
      <c r="EQ340" s="14">
        <f>INT(SUMPRODUCT($AB340:$AF340,$BF340:$BJ340)/SUM($BF340:$BJ340)/10000*$BX$7*$BZ$46/'疲劳值&amp;地图信息'!$R$10*$BY$55)</f>
        <v>1184</v>
      </c>
      <c r="ER340" s="50">
        <f t="shared" si="574"/>
        <v>0.83449825262106836</v>
      </c>
      <c r="ES340" s="50">
        <f t="shared" si="575"/>
        <v>0.13594608087868199</v>
      </c>
      <c r="ET340" s="50">
        <f t="shared" si="576"/>
        <v>2.9555666500249624E-2</v>
      </c>
      <c r="EU340" s="51">
        <f t="shared" si="577"/>
        <v>39904</v>
      </c>
      <c r="EV340" s="51">
        <f t="shared" si="578"/>
        <v>14280</v>
      </c>
      <c r="EW340" s="14">
        <f>INT(SUMPRODUCT($AI340:$AM340,$BF340:$BJ340)/SUM($BF340:$BJ340)/10000*$BX$7*$BZ$46/'疲劳值&amp;地图信息'!$R$10*$BY$56)</f>
        <v>1776</v>
      </c>
      <c r="EX340" s="50">
        <f t="shared" si="579"/>
        <v>0.71308077197998565</v>
      </c>
      <c r="EY340" s="50">
        <f t="shared" si="580"/>
        <v>0.25518227305218011</v>
      </c>
      <c r="EZ340" s="50">
        <f t="shared" si="581"/>
        <v>3.1736954967834165E-2</v>
      </c>
      <c r="FA340" s="51">
        <f t="shared" si="582"/>
        <v>41197</v>
      </c>
      <c r="FB340" s="51">
        <f t="shared" si="583"/>
        <v>24820</v>
      </c>
      <c r="FC340" s="14">
        <f>INT(SUMPRODUCT($AP340:$AT340,$BF340:$BJ340)/SUM($BF340:$BJ340)/10000*$BX$7*$BZ$46/'疲劳值&amp;地图信息'!$R$10*$BY$57)</f>
        <v>2368</v>
      </c>
      <c r="FD340" s="50">
        <f t="shared" si="584"/>
        <v>0.6024274329165753</v>
      </c>
      <c r="FE340" s="50">
        <f t="shared" si="585"/>
        <v>0.36294509029757988</v>
      </c>
      <c r="FF340" s="50">
        <f t="shared" si="586"/>
        <v>3.4627476785844852E-2</v>
      </c>
      <c r="FH340" s="14">
        <f t="shared" si="587"/>
        <v>30184</v>
      </c>
      <c r="FI340" s="14">
        <f t="shared" si="588"/>
        <v>34603</v>
      </c>
      <c r="FJ340" s="14">
        <f t="shared" si="589"/>
        <v>40060</v>
      </c>
      <c r="FK340" s="14">
        <f t="shared" si="590"/>
        <v>55960</v>
      </c>
      <c r="FL340" s="14">
        <f t="shared" si="591"/>
        <v>68385</v>
      </c>
      <c r="FM340" s="14">
        <f t="shared" si="592"/>
        <v>3552243</v>
      </c>
      <c r="FP340" s="14">
        <f t="shared" si="593"/>
        <v>334150</v>
      </c>
      <c r="FQ340" s="50">
        <f t="shared" si="533"/>
        <v>8.5979467336422227E-2</v>
      </c>
      <c r="FS340" s="14">
        <f t="shared" si="594"/>
        <v>3886393</v>
      </c>
      <c r="FX340" s="14">
        <v>335</v>
      </c>
      <c r="FY340" s="51">
        <f t="shared" si="595"/>
        <v>39171</v>
      </c>
      <c r="FZ340" s="51">
        <f t="shared" si="596"/>
        <v>1751</v>
      </c>
      <c r="GA340" s="51">
        <f>INT(SUMPRODUCT($N340:$R340,$BF340:$BJ340)/SUM($BF340:$BJ340)/10000*$BX$7*$BZ$46/'疲劳值&amp;地图信息'!$R$10*$BY$53)</f>
        <v>454</v>
      </c>
      <c r="GB340" s="50">
        <f t="shared" si="597"/>
        <v>0.94670823665893267</v>
      </c>
      <c r="GC340" s="50">
        <f t="shared" si="598"/>
        <v>4.2319218870843001E-2</v>
      </c>
      <c r="GD340" s="50">
        <f t="shared" si="599"/>
        <v>1.0972544470224284E-2</v>
      </c>
      <c r="GE340" s="51">
        <f t="shared" si="600"/>
        <v>42956</v>
      </c>
      <c r="GF340" s="51">
        <f t="shared" si="601"/>
        <v>3048</v>
      </c>
      <c r="GG340" s="14">
        <f>INT(SUMPRODUCT($U340:$Y340,$BF340:$BJ340)/SUM($BF340:$BJ340)/10000*$BX$7*$BZ$46/'疲劳值&amp;地图信息'!$R$10*$BY$54)</f>
        <v>872</v>
      </c>
      <c r="GH340" s="50">
        <f t="shared" si="602"/>
        <v>0.91637511733083032</v>
      </c>
      <c r="GI340" s="50">
        <f t="shared" si="603"/>
        <v>6.5022612850925851E-2</v>
      </c>
      <c r="GJ340" s="50">
        <f t="shared" si="604"/>
        <v>1.8602269818243877E-2</v>
      </c>
      <c r="GK340" s="51">
        <f t="shared" si="605"/>
        <v>46802</v>
      </c>
      <c r="GL340" s="51">
        <f t="shared" si="606"/>
        <v>5446</v>
      </c>
      <c r="GM340" s="14">
        <f>INT(SUMPRODUCT($AB340:$AF340,$BF340:$BJ340)/SUM($BF340:$BJ340)/10000*$BX$7*$BZ$46/'疲劳值&amp;地图信息'!$R$10*$BY$55)</f>
        <v>1184</v>
      </c>
      <c r="GN340" s="50">
        <f t="shared" si="607"/>
        <v>0.87591705345111548</v>
      </c>
      <c r="GO340" s="50">
        <f t="shared" si="608"/>
        <v>0.10192394070968708</v>
      </c>
      <c r="GP340" s="50">
        <f t="shared" si="609"/>
        <v>2.2159005839197485E-2</v>
      </c>
      <c r="GQ340" s="51">
        <f t="shared" si="610"/>
        <v>55866</v>
      </c>
      <c r="GR340" s="51">
        <f t="shared" si="611"/>
        <v>14280</v>
      </c>
      <c r="GS340" s="14">
        <f>INT(SUMPRODUCT($AI340:$AM340,$BF340:$BJ340)/SUM($BF340:$BJ340)/10000*$BX$7*$BZ$46/'疲劳值&amp;地图信息'!$R$10*$BY$56)</f>
        <v>1776</v>
      </c>
      <c r="GT340" s="50">
        <f t="shared" si="612"/>
        <v>0.77675815466755649</v>
      </c>
      <c r="GU340" s="50">
        <f t="shared" si="613"/>
        <v>0.19854842746308501</v>
      </c>
      <c r="GV340" s="50">
        <f t="shared" si="614"/>
        <v>2.4693417869358473E-2</v>
      </c>
      <c r="GW340" s="51">
        <f t="shared" si="615"/>
        <v>57676</v>
      </c>
      <c r="GX340" s="51">
        <f t="shared" si="616"/>
        <v>24820</v>
      </c>
      <c r="GY340" s="14">
        <f>INT(SUMPRODUCT($AP340:$AT340,$BF340:$BJ340)/SUM($BF340:$BJ340)/10000*$BX$7*$BZ$46/'疲劳值&amp;地图信息'!$R$10*$BY$57)</f>
        <v>2368</v>
      </c>
      <c r="GZ340" s="50">
        <f t="shared" si="617"/>
        <v>0.67962858220211164</v>
      </c>
      <c r="HA340" s="50">
        <f t="shared" si="618"/>
        <v>0.29246794871794873</v>
      </c>
      <c r="HB340" s="50">
        <f t="shared" si="619"/>
        <v>2.790346907993967E-2</v>
      </c>
      <c r="HD340" s="14">
        <f t="shared" si="620"/>
        <v>41376</v>
      </c>
      <c r="HE340" s="14">
        <f t="shared" si="621"/>
        <v>46876</v>
      </c>
      <c r="HF340" s="14">
        <f t="shared" si="622"/>
        <v>53432</v>
      </c>
      <c r="HG340" s="14">
        <f t="shared" si="623"/>
        <v>71922</v>
      </c>
      <c r="HH340" s="14">
        <f t="shared" si="624"/>
        <v>84864</v>
      </c>
      <c r="HI340" s="14">
        <f t="shared" si="625"/>
        <v>4809329</v>
      </c>
      <c r="HL340" s="14">
        <f t="shared" si="626"/>
        <v>430050</v>
      </c>
      <c r="HM340" s="50">
        <f t="shared" si="534"/>
        <v>8.2080338146944515E-2</v>
      </c>
      <c r="HO340" s="14">
        <f t="shared" si="627"/>
        <v>5239379</v>
      </c>
    </row>
    <row r="341" spans="11:223" x14ac:dyDescent="0.2">
      <c r="K341" s="14">
        <v>336</v>
      </c>
      <c r="L341" s="12">
        <f>求节点(节奏总纲!D$4:D$163,标准城池设计!AB$4:AB$163,$K341)*求节点(节奏总纲!D$4:D$163,攻城基础信息!$AC$5:$AC$164,$K341)</f>
        <v>824804.90813797258</v>
      </c>
      <c r="M341" s="12">
        <f>INDEX(其他调用!$AA$5:$AA$404,MATCH(K341,其他调用!$X$5:$X$404,0))*MIN(INDEX(其他调用!$AH$5:$AH$364,MATCH('征服点（新）'!K341,其他调用!$AG$5:$AG$364,0),1)/INDEX(其他调用!$AJ$5:$AJ$364,MATCH(K341,其他调用!$AG$5:$AG$364,0),0),5)*求节点(节奏总纲!D$4:D$163,攻城基础信息!$AC$5:$AC$164,$K341)</f>
        <v>51480.028812229597</v>
      </c>
      <c r="N341" s="12">
        <f>MIN(INDEX(其他调用!$AH$5:$AH$364,MATCH($K341,其他调用!$AG$5:$AG$364,0),1)/INDEX(其他调用!AH$5:AH$364,MATCH($K341,其他调用!$AG$5:$AG$364,0),0),1)*INDEX(其他调用!Y$5:Y$404,MATCH($K341,其他调用!$X$5:$X$404,0),0)</f>
        <v>43132.249056185028</v>
      </c>
      <c r="O341" s="12">
        <f>MIN(INDEX(其他调用!$AH$5:$AH$364,MATCH($K341,其他调用!$AG$5:$AG$364,0),1)/INDEX(其他调用!AI$5:AI$364,MATCH($K341,其他调用!$AG$5:$AG$364,0),0),1)*INDEX(其他调用!Z$5:Z$404,MATCH($K341,其他调用!$X$5:$X$404,0),0)</f>
        <v>25436.699870841596</v>
      </c>
      <c r="P341" s="12">
        <f>MIN(INDEX(其他调用!$AH$5:$AH$364,MATCH($K341,其他调用!$AG$5:$AG$364,0),1)/INDEX(其他调用!AJ$5:AJ$364,MATCH($K341,其他调用!$AG$5:$AG$364,0),0),1)*INDEX(其他调用!AA$5:AA$404,MATCH($K341,其他调用!$X$5:$X$404,0),0)</f>
        <v>14708.579660637037</v>
      </c>
      <c r="Q341" s="12">
        <f>MIN(INDEX(其他调用!$AH$5:$AH$364,MATCH($K341,其他调用!$AG$5:$AG$364,0),1)/INDEX(其他调用!AK$5:AK$364,MATCH($K341,其他调用!$AG$5:$AG$364,0),0),1)*INDEX(其他调用!AB$5:AB$404,MATCH($K341,其他调用!$X$5:$X$404,0),0)</f>
        <v>5900.4236918680708</v>
      </c>
      <c r="R341" s="12">
        <f>MIN(INDEX(其他调用!$AH$5:$AH$364,MATCH($K341,其他调用!$AG$5:$AG$364,0),1)/INDEX(其他调用!AL$5:AL$364,MATCH($K341,其他调用!$AG$5:$AG$364,0),0),1)*INDEX(其他调用!AC$5:AC$404,MATCH($K341,其他调用!$X$5:$X$404,0),0)</f>
        <v>3673.4786585635679</v>
      </c>
      <c r="S341" s="12">
        <f>求节点(节奏总纲!D$4:D$163,标准城池设计!AC$4:AC$163,$K341)*求节点(节奏总纲!D$4:D$163,攻城基础信息!$AD$5:$AD$164,$K341)</f>
        <v>904501.43431791547</v>
      </c>
      <c r="T341" s="12">
        <f>INDEX(其他调用!$AA$5:$AA$404,MATCH($K341,其他调用!$X$5:$X$404,0))*MIN(INDEX(其他调用!AI$5:AI$364,MATCH($K341,其他调用!$AG$5:$AG$364,0),1)/INDEX(其他调用!$AJ$5:$AJ$364,MATCH($K341,其他调用!$AG$5:$AG$364,0),0),5)*求节点(节奏总纲!D$4:D$163,攻城基础信息!$AD$5:$AD$164,$K341)</f>
        <v>89636.533859129908</v>
      </c>
      <c r="U341" s="12">
        <f>MIN(INDEX(其他调用!$AI$5:$AI$364,MATCH($K341,其他调用!$AG$5:$AG$364,0),1)/INDEX(其他调用!AH$5:AH$364,MATCH($K341,其他调用!$AG$5:$AG$364,0),0),1)*INDEX(其他调用!Y$5:Y$404,MATCH($K341,其他调用!$X$5:$X$404,0),0)</f>
        <v>43132.249056185028</v>
      </c>
      <c r="V341" s="12">
        <f>MIN(INDEX(其他调用!$AI$5:$AI$364,MATCH($K341,其他调用!$AG$5:$AG$364,0),1)/INDEX(其他调用!AI$5:AI$364,MATCH($K341,其他调用!$AG$5:$AG$364,0),0),1)*INDEX(其他调用!Z$5:Z$404,MATCH($K341,其他调用!$X$5:$X$404,0),0)</f>
        <v>44290.138561374843</v>
      </c>
      <c r="W341" s="12">
        <f>MIN(INDEX(其他调用!$AI$5:$AI$364,MATCH($K341,其他调用!$AG$5:$AG$364,0),1)/INDEX(其他调用!AJ$5:AJ$364,MATCH($K341,其他调用!$AG$5:$AG$364,0),0),1)*INDEX(其他调用!AA$5:AA$404,MATCH($K341,其他调用!$X$5:$X$404,0),0)</f>
        <v>25610.438245465706</v>
      </c>
      <c r="X341" s="12">
        <f>MIN(INDEX(其他调用!$AI$5:$AI$364,MATCH($K341,其他调用!$AG$5:$AG$364,0),1)/INDEX(其他调用!AK$5:AK$364,MATCH($K341,其他调用!$AG$5:$AG$364,0),0),1)*INDEX(其他调用!AB$5:AB$404,MATCH($K341,其他调用!$X$5:$X$404,0),0)</f>
        <v>10273.761305931917</v>
      </c>
      <c r="Y341" s="12">
        <f>MIN(INDEX(其他调用!$AI$5:$AI$364,MATCH($K341,其他调用!$AG$5:$AG$364,0),1)/INDEX(其他调用!AL$5:AL$364,MATCH($K341,其他调用!$AG$5:$AG$364,0),0),1)*INDEX(其他调用!AC$5:AC$404,MATCH($K341,其他调用!$X$5:$X$404,0),0)</f>
        <v>6396.2259104427903</v>
      </c>
      <c r="Z341" s="12">
        <f>求节点(节奏总纲!D$4:D$163,标准城池设计!AD$4:AD$163,$K341)*求节点(节奏总纲!D$4:D$163,攻城基础信息!$AE$5:$AE$164,$K341)</f>
        <v>985455.23014113295</v>
      </c>
      <c r="AA341" s="12">
        <f>INDEX(其他调用!$AA$5:$AA$404,MATCH($K341,其他调用!$X$5:$X$404,0))*MIN(INDEX(其他调用!AJ$5:AJ$364,MATCH($K341,其他调用!$AG$5:$AG$364,0),1)/INDEX(其他调用!$AJ$5:$AJ$364,MATCH($K341,其他调用!$AG$5:$AG$364,0),0),5)*求节点(节奏总纲!D$4:D$163,攻城基础信息!$AE$5:$AE$164,$K341)</f>
        <v>160400.46000869674</v>
      </c>
      <c r="AB341" s="12">
        <f>MIN(INDEX(其他调用!$AJ$5:$AJ$364,MATCH($K341,其他调用!$AG$5:$AG$364,0),1)/INDEX(其他调用!AH$5:AH$364,MATCH($K341,其他调用!$AG$5:$AG$364,0),0),1)*INDEX(其他调用!Y$5:Y$404,MATCH($K341,其他调用!$X$5:$X$404,0),0)</f>
        <v>43132.249056185028</v>
      </c>
      <c r="AC341" s="12">
        <f>MIN(INDEX(其他调用!$AJ$5:$AJ$364,MATCH($K341,其他调用!$AG$5:$AG$364,0),1)/INDEX(其他调用!AI$5:AI$364,MATCH($K341,其他调用!$AG$5:$AG$364,0),0),1)*INDEX(其他调用!Z$5:Z$404,MATCH($K341,其他调用!$X$5:$X$404,0),0)</f>
        <v>44290.138561374843</v>
      </c>
      <c r="AD341" s="12">
        <f>MIN(INDEX(其他调用!$AJ$5:$AJ$364,MATCH($K341,其他调用!$AG$5:$AG$364,0),1)/INDEX(其他调用!AJ$5:AJ$364,MATCH($K341,其他调用!$AG$5:$AG$364,0),0),1)*INDEX(其他调用!AA$5:AA$404,MATCH($K341,其他调用!$X$5:$X$404,0),0)</f>
        <v>45828.702859627665</v>
      </c>
      <c r="AE341" s="12">
        <f>MIN(INDEX(其他调用!$AJ$5:$AJ$364,MATCH($K341,其他调用!$AG$5:$AG$364,0),1)/INDEX(其他调用!AK$5:AK$364,MATCH($K341,其他调用!$AG$5:$AG$364,0),0),1)*INDEX(其他调用!AB$5:AB$404,MATCH($K341,其他调用!$X$5:$X$404,0),0)</f>
        <v>18384.423945718871</v>
      </c>
      <c r="AF341" s="12">
        <f>MIN(INDEX(其他调用!$AJ$5:$AJ$364,MATCH($K341,其他调用!$AG$5:$AG$364,0),1)/INDEX(其他调用!AL$5:AL$364,MATCH($K341,其他调用!$AG$5:$AG$364,0),0),1)*INDEX(其他调用!AC$5:AC$404,MATCH($K341,其他调用!$X$5:$X$404,0),0)</f>
        <v>11445.75246480339</v>
      </c>
      <c r="AG341" s="12">
        <f>求节点(节奏总纲!D$4:D$163,标准城池设计!AE$4:AE$163,$K341)*求节点(节奏总纲!D$4:D$163,攻城基础信息!$AF$5:$AF$164,$K341)</f>
        <v>1175882.3700458675</v>
      </c>
      <c r="AH341" s="12">
        <f>INDEX(其他调用!$AA$5:$AA$404,MATCH($K341,其他调用!$X$5:$X$404,0))*MIN(INDEX(其他调用!AK$5:AK$364,MATCH($K341,其他调用!$AG$5:$AG$364,0),1)/INDEX(其他调用!$AJ$5:$AJ$364,MATCH($K341,其他调用!$AG$5:$AG$364,0),0),5)*求节点(节奏总纲!D$4:D$163,攻城基础信息!$AF$5:$AF$164,$K341)</f>
        <v>419467.22778286913</v>
      </c>
      <c r="AI341" s="12">
        <f>MIN(INDEX(其他调用!$AK$5:$AK$364,MATCH($K341,其他调用!$AG$5:$AG$364,0),1)/INDEX(其他调用!AH$5:AH$364,MATCH($K341,其他调用!$AG$5:$AG$364,0),0),1)*INDEX(其他调用!Y$5:Y$404,MATCH($K341,其他调用!$X$5:$X$404,0),0)</f>
        <v>43132.249056185028</v>
      </c>
      <c r="AJ341" s="12">
        <f>MIN(INDEX(其他调用!$AK$5:$AK$364,MATCH($K341,其他调用!$AG$5:$AG$364,0),1)/INDEX(其他调用!AI$5:AI$364,MATCH($K341,其他调用!$AG$5:$AG$364,0),0),1)*INDEX(其他调用!Z$5:Z$404,MATCH($K341,其他调用!$X$5:$X$404,0),0)</f>
        <v>44290.138561374843</v>
      </c>
      <c r="AK341" s="12">
        <f>MIN(INDEX(其他调用!$AK$5:$AK$364,MATCH($K341,其他调用!$AG$5:$AG$364,0),1)/INDEX(其他调用!AJ$5:AJ$364,MATCH($K341,其他调用!$AG$5:$AG$364,0),0),1)*INDEX(其他调用!AA$5:AA$404,MATCH($K341,其他调用!$X$5:$X$404,0),0)</f>
        <v>45828.702859627665</v>
      </c>
      <c r="AL341" s="12">
        <f>MIN(INDEX(其他调用!$AK$5:$AK$364,MATCH($K341,其他调用!$AG$5:$AG$364,0),1)/INDEX(其他调用!AK$5:AK$364,MATCH($K341,其他调用!$AG$5:$AG$364,0),0),1)*INDEX(其他调用!AB$5:AB$404,MATCH($K341,其他调用!$X$5:$X$404,0),0)</f>
        <v>48077.563783031379</v>
      </c>
      <c r="AM341" s="12">
        <f>MIN(INDEX(其他调用!$AK$5:$AK$364,MATCH($K341,其他调用!$AG$5:$AG$364,0),1)/INDEX(其他调用!AL$5:AL$364,MATCH($K341,其他调用!$AG$5:$AG$364,0),0),1)*INDEX(其他调用!AC$5:AC$404,MATCH($K341,其他调用!$X$5:$X$404,0),0)</f>
        <v>29932.071616501027</v>
      </c>
      <c r="AN341" s="12">
        <f>求节点(节奏总纲!D$4:D$163,标准城池设计!AF$4:AF$163,$K341)*求节点(节奏总纲!D$4:D$163,攻城基础信息!$AG$5:$AG$164,$K341)</f>
        <v>1213673.9331761205</v>
      </c>
      <c r="AO341" s="12">
        <f>INDEX(其他调用!$AA$5:$AA$404,MATCH($K341,其他调用!$X$5:$X$404,0))*MIN(INDEX(其他调用!AL$5:AL$364,MATCH($K341,其他调用!$AG$5:$AG$364,0),1)/INDEX(其他调用!$AJ$5:$AJ$364,MATCH($K341,其他调用!$AG$5:$AG$364,0),0),5)*求节点(节奏总纲!D$4:D$163,攻城基础信息!$AG$5:$AG$164,$K341)</f>
        <v>728374.50569457107</v>
      </c>
      <c r="AP341" s="12">
        <f>MIN(INDEX(其他调用!$AL$5:$AL$364,MATCH($K341,其他调用!$AG$5:$AG$364,0),1)/INDEX(其他调用!AH$5:AH$364,MATCH($K341,其他调用!$AG$5:$AG$364,0),0),1)*INDEX(其他调用!Y$5:Y$404,MATCH($K341,其他调用!$X$5:$X$404,0),0)</f>
        <v>43132.249056185028</v>
      </c>
      <c r="AQ341" s="12">
        <f>MIN(INDEX(其他调用!$AL$5:$AL$364,MATCH($K341,其他调用!$AG$5:$AG$364,0),1)/INDEX(其他调用!AI$5:AI$364,MATCH($K341,其他调用!$AG$5:$AG$364,0),0),1)*INDEX(其他调用!Z$5:Z$404,MATCH($K341,其他调用!$X$5:$X$404,0),0)</f>
        <v>44290.138561374843</v>
      </c>
      <c r="AR341" s="12">
        <f>MIN(INDEX(其他调用!$AL$5:$AL$364,MATCH($K341,其他调用!$AG$5:$AG$364,0),1)/INDEX(其他调用!AJ$5:AJ$364,MATCH($K341,其他调用!$AG$5:$AG$364,0),0),1)*INDEX(其他调用!AA$5:AA$404,MATCH($K341,其他调用!$X$5:$X$404,0),0)</f>
        <v>45828.702859627665</v>
      </c>
      <c r="AS341" s="12">
        <f>MIN(INDEX(其他调用!$AL$5:$AL$364,MATCH($K341,其他调用!$AG$5:$AG$364,0),1)/INDEX(其他调用!AK$5:AK$364,MATCH($K341,其他调用!$AG$5:$AG$364,0),0),1)*INDEX(其他调用!AB$5:AB$404,MATCH($K341,其他调用!$X$5:$X$404,0),0)</f>
        <v>48077.563783031379</v>
      </c>
      <c r="AT341" s="12">
        <f>MIN(INDEX(其他调用!$AL$5:$AL$364,MATCH($K341,其他调用!$AG$5:$AG$364,0),1)/INDEX(其他调用!AL$5:AL$364,MATCH($K341,其他调用!$AG$5:$AG$364,0),0),1)*INDEX(其他调用!AC$5:AC$404,MATCH($K341,其他调用!$X$5:$X$404,0),0)</f>
        <v>51974.877711707166</v>
      </c>
      <c r="AV341" s="14">
        <f>IF(OR(AV$5="大R",AV$5="超R"),MAX(INDEX(其他调用!$H$5:$L$404,MATCH($K341,其他调用!$B$5:$B$404,0),MATCH(AV$5,其他调用!$H$4:$L$4,0))*120*0.85,2),INDEX(其他调用!$H$5:$L$404,MATCH($K341,其他调用!$B$5:$B$404,0),MATCH(AV$5,其他调用!$H$4:$L$4,0))*120*0.85)</f>
        <v>48.921801254999991</v>
      </c>
      <c r="AW341" s="14">
        <f>IF(OR(AW$5="大R",AW$5="超R"),MAX(INDEX(其他调用!$H$5:$L$404,MATCH($K341,其他调用!$B$5:$B$404,0),MATCH(AW$5,其他调用!$H$4:$L$4,0))*120*0.85,2),INDEX(其他调用!$H$5:$L$404,MATCH($K341,其他调用!$B$5:$B$404,0),MATCH(AW$5,其他调用!$H$4:$L$4,0))*120*0.85)</f>
        <v>48.237344010638395</v>
      </c>
      <c r="AX341" s="14">
        <f>IF(OR(AX$5="大R",AX$5="超R"),MAX(INDEX(其他调用!$H$5:$L$404,MATCH($K341,其他调用!$B$5:$B$404,0),MATCH(AX$5,其他调用!$H$4:$L$4,0))*120*0.85,2),INDEX(其他调用!$H$5:$L$404,MATCH($K341,其他调用!$B$5:$B$404,0),MATCH(AX$5,其他调用!$H$4:$L$4,0))*120*0.85)</f>
        <v>3.9376284143615998</v>
      </c>
      <c r="AY341" s="14">
        <f>IF(OR(AY$5="大R",AY$5="超R"),MAX(INDEX(其他调用!$H$5:$L$404,MATCH($K341,其他调用!$B$5:$B$404,0),MATCH(AY$5,其他调用!$H$4:$L$4,0))*120*0.85,2),INDEX(其他调用!$H$5:$L$404,MATCH($K341,其他调用!$B$5:$B$404,0),MATCH(AY$5,其他调用!$H$4:$L$4,0))*120*0.85)</f>
        <v>2</v>
      </c>
      <c r="AZ341" s="14">
        <f>IF(OR(AZ$5="大R",AZ$5="超R"),MAX(INDEX(其他调用!$H$5:$L$404,MATCH($K341,其他调用!$B$5:$B$404,0),MATCH(AZ$5,其他调用!$H$4:$L$4,0))*120*0.85,2),INDEX(其他调用!$H$5:$L$404,MATCH($K341,其他调用!$B$5:$B$404,0),MATCH(AZ$5,其他调用!$H$4:$L$4,0))*120*0.85)</f>
        <v>2</v>
      </c>
      <c r="BA341" s="14">
        <f>INDEX(其他调用!$H$5:$L$404,MATCH($K341,其他调用!$B$5:$B$404,0),MATCH(BA$5,其他调用!$H$4:$L$4,0))*INDEX(其他调用!$M$5:$M$404,MATCH($K341,其他调用!$B$5:$B$404,0))*0.6</f>
        <v>28.777530149999997</v>
      </c>
      <c r="BB341" s="14">
        <f>INDEX(其他调用!$H$5:$L$404,MATCH($K341,其他调用!$B$5:$B$404,0),MATCH(BB$5,其他调用!$H$4:$L$4,0))*INDEX(其他调用!$M$5:$M$404,MATCH($K341,其他调用!$B$5:$B$404,0))*0.6</f>
        <v>28.374908241551999</v>
      </c>
      <c r="BC341" s="14">
        <f>INDEX(其他调用!$H$5:$L$404,MATCH($K341,其他调用!$B$5:$B$404,0),MATCH(BC$5,其他调用!$H$4:$L$4,0))*INDEX(其他调用!$M$5:$M$404,MATCH($K341,其他调用!$B$5:$B$404,0))*0.6</f>
        <v>2.3162520084480001</v>
      </c>
      <c r="BD341" s="14">
        <f>INDEX(其他调用!$H$5:$L$404,MATCH($K341,其他调用!$B$5:$B$404,0),MATCH(BD$5,其他调用!$H$4:$L$4,0))*INDEX(其他调用!$M$5:$M$404,MATCH($K341,其他调用!$B$5:$B$404,0))*0.6</f>
        <v>0.4120776000000001</v>
      </c>
      <c r="BE341" s="14">
        <f>INDEX(其他调用!$H$5:$L$404,MATCH($K341,其他调用!$B$5:$B$404,0),MATCH(BE$5,其他调用!$H$4:$L$4,0))*INDEX(其他调用!$M$5:$M$404,MATCH($K341,其他调用!$B$5:$B$404,0))*0.6</f>
        <v>0.11923199999999998</v>
      </c>
      <c r="BF341" s="14">
        <f>IF(OR(BF$5="大R",BF$5="超R"),0,INDEX(其他调用!$H$5:$L$404,MATCH($K341,其他调用!$B$5:$B$404,0),MATCH(BF$5,其他调用!$H$4:$L$4,0))*50*0.4)</f>
        <v>9.5925100500000013</v>
      </c>
      <c r="BG341" s="14">
        <f>IF(OR(BG$5="大R",BG$5="超R"),0,INDEX(其他调用!$H$5:$L$404,MATCH($K341,其他调用!$B$5:$B$404,0),MATCH(BG$5,其他调用!$H$4:$L$4,0))*50*0.4)</f>
        <v>9.4583027471839998</v>
      </c>
      <c r="BH341" s="14">
        <f>IF(OR(BH$5="大R",BH$5="超R"),0,INDEX(其他调用!$H$5:$L$404,MATCH($K341,其他调用!$B$5:$B$404,0),MATCH(BH$5,其他调用!$H$4:$L$4,0))*50*0.4)</f>
        <v>0.77208400281600009</v>
      </c>
      <c r="BI341" s="14">
        <f>IF(OR(BI$5="大R",BI$5="超R"),0,INDEX(其他调用!$H$5:$L$404,MATCH($K341,其他调用!$B$5:$B$404,0),MATCH(BI$5,其他调用!$H$4:$L$4,0))*50*0.4)</f>
        <v>0</v>
      </c>
      <c r="BJ341" s="14">
        <f>IF(OR(BJ$5="大R",BJ$5="超R"),0,INDEX(其他调用!$H$5:$L$404,MATCH($K341,其他调用!$B$5:$B$404,0),MATCH(BJ$5,其他调用!$H$4:$L$4,0))*50*0.4)</f>
        <v>0</v>
      </c>
      <c r="BL341" s="14">
        <f t="shared" si="628"/>
        <v>336</v>
      </c>
      <c r="BM341" s="14">
        <f t="shared" si="535"/>
        <v>96</v>
      </c>
      <c r="BN341" s="14">
        <f>('疲劳值&amp;地图信息'!$S$10*'疲劳值&amp;地图信息'!$R$10+'疲劳值&amp;地图信息'!$S$11*'疲劳值&amp;地图信息'!$R$11+'疲劳值&amp;地图信息'!$S$12*'疲劳值&amp;地图信息'!$R$12+(BM341-'疲劳值&amp;地图信息'!$S$12-'疲劳值&amp;地图信息'!$S$11-'疲劳值&amp;地图信息'!$S$10)*'疲劳值&amp;地图信息'!$R$13)/BM341</f>
        <v>51.371477246638619</v>
      </c>
      <c r="BO341" s="14">
        <f>INDEX(其他调用!$M$5:$M$404,MATCH(BL341,其他调用!$B$5:$B$404,0))*0.6</f>
        <v>60</v>
      </c>
      <c r="BP341" s="14">
        <f>IF(BO341&gt;SUM('疲劳值&amp;地图信息'!$S$10:$S$12),('疲劳值&amp;地图信息'!$S$10*'疲劳值&amp;地图信息'!$R$10+'疲劳值&amp;地图信息'!$S$11*'疲劳值&amp;地图信息'!$R$11+'疲劳值&amp;地图信息'!$S$12*'疲劳值&amp;地图信息'!$R$12+(BO341-'疲劳值&amp;地图信息'!$S$12-'疲劳值&amp;地图信息'!$S$11-'疲劳值&amp;地图信息'!$S$10)*'疲劳值&amp;地图信息'!$R$13)/BO341,('疲劳值&amp;地图信息'!$S$10*'疲劳值&amp;地图信息'!$R$10+'疲劳值&amp;地图信息'!$S$11*'疲劳值&amp;地图信息'!$R$11+'疲劳值&amp;地图信息'!$S$12*'疲劳值&amp;地图信息'!$R$12+(BO341-'疲劳值&amp;地图信息'!$S$12-'疲劳值&amp;地图信息'!$S$11-'疲劳值&amp;地图信息'!$S$10)*'疲劳值&amp;地图信息'!$R$13)/BO341)</f>
        <v>44.158136341605953</v>
      </c>
      <c r="BQ341" s="14">
        <f t="shared" si="629"/>
        <v>20</v>
      </c>
      <c r="BR341" s="14">
        <f>('疲劳值&amp;地图信息'!$S$10*'疲劳值&amp;地图信息'!$R$10+($BQ341-'疲劳值&amp;地图信息'!$S$10)*'疲劳值&amp;地图信息'!$R$11)/$BQ341</f>
        <v>32.067203015074995</v>
      </c>
      <c r="CF341" s="14">
        <v>336</v>
      </c>
      <c r="CG341" s="51">
        <f t="shared" si="536"/>
        <v>16810</v>
      </c>
      <c r="CH341" s="51">
        <f t="shared" si="537"/>
        <v>1049</v>
      </c>
      <c r="CI341" s="51">
        <f>INT(SUMPRODUCT($N341:$R341,$BA341:$BE341)/SUM($BA341:$BE341)/10000*$BX$7*$BZ$34/'疲劳值&amp;地图信息'!$R$10*$BY$53)</f>
        <v>3382</v>
      </c>
      <c r="CJ341" s="50">
        <f t="shared" si="538"/>
        <v>0.79139400216562306</v>
      </c>
      <c r="CK341" s="50">
        <f t="shared" si="539"/>
        <v>4.938562214585001E-2</v>
      </c>
      <c r="CL341" s="50">
        <f t="shared" si="540"/>
        <v>0.1592203756885269</v>
      </c>
      <c r="CM341" s="14">
        <f t="shared" si="541"/>
        <v>18434</v>
      </c>
      <c r="CN341" s="14">
        <f t="shared" si="542"/>
        <v>1826</v>
      </c>
      <c r="CO341" s="14">
        <f>INT(SUMPRODUCT($U341:$Y341,$BA341:$BE341)/SUM($BA341:$BE341)/10000*$BX$7*$BZ$34/'疲劳值&amp;地图信息'!$R$10*$BY$54)</f>
        <v>6499</v>
      </c>
      <c r="CP341" s="50">
        <f t="shared" si="543"/>
        <v>0.6888897193467618</v>
      </c>
      <c r="CQ341" s="50">
        <f t="shared" si="544"/>
        <v>6.8238723420157701E-2</v>
      </c>
      <c r="CR341" s="50">
        <f t="shared" si="545"/>
        <v>0.24287155723308046</v>
      </c>
      <c r="CS341" s="14">
        <f t="shared" si="546"/>
        <v>20084</v>
      </c>
      <c r="CT341" s="14">
        <f t="shared" si="547"/>
        <v>3269</v>
      </c>
      <c r="CU341" s="14">
        <f>INT(SUMPRODUCT($AB341:$AF341,$BA341:$BE341)/SUM($BA341:$BE341)/10000*$BX$7*$BZ$34/'疲劳值&amp;地图信息'!$R$10*$BY$55)</f>
        <v>8838</v>
      </c>
      <c r="CV341" s="50">
        <f t="shared" si="548"/>
        <v>0.62390109036687269</v>
      </c>
      <c r="CW341" s="50">
        <f t="shared" si="549"/>
        <v>0.10155012270510391</v>
      </c>
      <c r="CX341" s="50">
        <f t="shared" si="550"/>
        <v>0.27454878692802337</v>
      </c>
      <c r="CY341" s="14">
        <f t="shared" si="551"/>
        <v>23966</v>
      </c>
      <c r="CZ341" s="14">
        <f t="shared" si="552"/>
        <v>8549</v>
      </c>
      <c r="DA341" s="14">
        <f>INT(SUMPRODUCT($AI341:$AM341,$BA341:$BE341)/SUM($BA341:$BE341)/10000*$BX$7*$BZ$34/'疲劳值&amp;地图信息'!$R$10*$BY$56)</f>
        <v>13330</v>
      </c>
      <c r="DB341" s="50">
        <f t="shared" si="553"/>
        <v>0.522761478896281</v>
      </c>
      <c r="DC341" s="50">
        <f t="shared" si="554"/>
        <v>0.18647616970225761</v>
      </c>
      <c r="DD341" s="50">
        <f t="shared" si="555"/>
        <v>0.29076235140146145</v>
      </c>
      <c r="DE341" s="14">
        <f t="shared" si="556"/>
        <v>24736</v>
      </c>
      <c r="DF341" s="14">
        <f t="shared" si="557"/>
        <v>14845</v>
      </c>
      <c r="DG341" s="14">
        <f>INT(SUMPRODUCT($AP341:$AT341,$BA341:$BE341)/SUM($BA341:$BE341)/10000*$BX$7*$BZ$34/'疲劳值&amp;地图信息'!$R$10*$BY$57)</f>
        <v>17791</v>
      </c>
      <c r="DH341" s="50">
        <f t="shared" si="558"/>
        <v>0.43115108415254827</v>
      </c>
      <c r="DI341" s="50">
        <f t="shared" si="559"/>
        <v>0.25874991284947363</v>
      </c>
      <c r="DJ341" s="50">
        <f t="shared" si="560"/>
        <v>0.3100990029979781</v>
      </c>
      <c r="DL341" s="14">
        <f t="shared" si="631"/>
        <v>21241</v>
      </c>
      <c r="DM341" s="14">
        <f t="shared" si="632"/>
        <v>26759</v>
      </c>
      <c r="DN341" s="14">
        <f t="shared" si="633"/>
        <v>32191</v>
      </c>
      <c r="DO341" s="14">
        <f t="shared" si="634"/>
        <v>45845</v>
      </c>
      <c r="DP341" s="14">
        <f t="shared" si="635"/>
        <v>57372</v>
      </c>
      <c r="DQ341" s="14">
        <f t="shared" si="636"/>
        <v>1470842</v>
      </c>
      <c r="DT341" s="14">
        <f t="shared" si="630"/>
        <v>235575</v>
      </c>
      <c r="DU341" s="50">
        <f t="shared" si="532"/>
        <v>0.13805242212190807</v>
      </c>
      <c r="DW341" s="14">
        <f t="shared" si="561"/>
        <v>1706417</v>
      </c>
      <c r="EB341" s="14">
        <v>336</v>
      </c>
      <c r="EC341" s="51">
        <f t="shared" si="562"/>
        <v>28017</v>
      </c>
      <c r="ED341" s="51">
        <f t="shared" si="563"/>
        <v>1748</v>
      </c>
      <c r="EE341" s="51">
        <f>INT(SUMPRODUCT($N341:$R341,$BF341:$BJ341)/SUM($BF341:$BJ341)/10000*$BX$7*$BZ$46/'疲劳值&amp;地图信息'!$R$10*$BY$53)</f>
        <v>454</v>
      </c>
      <c r="EF341" s="50">
        <f t="shared" si="564"/>
        <v>0.92713193686091533</v>
      </c>
      <c r="EG341" s="50">
        <f t="shared" si="565"/>
        <v>5.7844402528210728E-2</v>
      </c>
      <c r="EH341" s="50">
        <f t="shared" si="566"/>
        <v>1.5023660610873953E-2</v>
      </c>
      <c r="EI341" s="51">
        <f t="shared" si="567"/>
        <v>30724</v>
      </c>
      <c r="EJ341" s="51">
        <f t="shared" si="568"/>
        <v>3044</v>
      </c>
      <c r="EK341" s="14">
        <f>INT(SUMPRODUCT($U341:$Y341,$BF341:$BJ341)/SUM($BF341:$BJ341)/10000*$BX$7*$BZ$46/'疲劳值&amp;地图信息'!$R$10*$BY$54)</f>
        <v>872</v>
      </c>
      <c r="EL341" s="50">
        <f t="shared" si="569"/>
        <v>0.88695150115473442</v>
      </c>
      <c r="EM341" s="50">
        <f t="shared" si="570"/>
        <v>8.7875288683602767E-2</v>
      </c>
      <c r="EN341" s="50">
        <f t="shared" si="571"/>
        <v>2.5173210161662816E-2</v>
      </c>
      <c r="EO341" s="51">
        <f t="shared" si="572"/>
        <v>33474</v>
      </c>
      <c r="EP341" s="51">
        <f t="shared" si="573"/>
        <v>5448</v>
      </c>
      <c r="EQ341" s="14">
        <f>INT(SUMPRODUCT($AB341:$AF341,$BF341:$BJ341)/SUM($BF341:$BJ341)/10000*$BX$7*$BZ$46/'疲劳值&amp;地图信息'!$R$10*$BY$55)</f>
        <v>1184</v>
      </c>
      <c r="ER341" s="50">
        <f t="shared" si="574"/>
        <v>0.83463820874682093</v>
      </c>
      <c r="ES341" s="50">
        <f t="shared" si="575"/>
        <v>0.13584002393656811</v>
      </c>
      <c r="ET341" s="50">
        <f t="shared" si="576"/>
        <v>2.9521767316610981E-2</v>
      </c>
      <c r="EU341" s="51">
        <f t="shared" si="577"/>
        <v>39943</v>
      </c>
      <c r="EV341" s="51">
        <f t="shared" si="578"/>
        <v>14248</v>
      </c>
      <c r="EW341" s="14">
        <f>INT(SUMPRODUCT($AI341:$AM341,$BF341:$BJ341)/SUM($BF341:$BJ341)/10000*$BX$7*$BZ$46/'疲劳值&amp;地图信息'!$R$10*$BY$56)</f>
        <v>1777</v>
      </c>
      <c r="EX341" s="50">
        <f t="shared" si="579"/>
        <v>0.71367567181246427</v>
      </c>
      <c r="EY341" s="50">
        <f t="shared" si="580"/>
        <v>0.25457404230989139</v>
      </c>
      <c r="EZ341" s="50">
        <f t="shared" si="581"/>
        <v>3.175028587764437E-2</v>
      </c>
      <c r="FA341" s="51">
        <f t="shared" si="582"/>
        <v>41227</v>
      </c>
      <c r="FB341" s="51">
        <f t="shared" si="583"/>
        <v>24742</v>
      </c>
      <c r="FC341" s="14">
        <f>INT(SUMPRODUCT($AP341:$AT341,$BF341:$BJ341)/SUM($BF341:$BJ341)/10000*$BX$7*$BZ$46/'疲劳值&amp;地图信息'!$R$10*$BY$57)</f>
        <v>2369</v>
      </c>
      <c r="FD341" s="50">
        <f t="shared" si="584"/>
        <v>0.60328075155843019</v>
      </c>
      <c r="FE341" s="50">
        <f t="shared" si="585"/>
        <v>0.36205332318768474</v>
      </c>
      <c r="FF341" s="50">
        <f t="shared" si="586"/>
        <v>3.4665925253885101E-2</v>
      </c>
      <c r="FH341" s="14">
        <f t="shared" si="587"/>
        <v>30219</v>
      </c>
      <c r="FI341" s="14">
        <f t="shared" si="588"/>
        <v>34640</v>
      </c>
      <c r="FJ341" s="14">
        <f t="shared" si="589"/>
        <v>40106</v>
      </c>
      <c r="FK341" s="14">
        <f t="shared" si="590"/>
        <v>55968</v>
      </c>
      <c r="FL341" s="14">
        <f t="shared" si="591"/>
        <v>68338</v>
      </c>
      <c r="FM341" s="14">
        <f t="shared" si="592"/>
        <v>3555844</v>
      </c>
      <c r="FP341" s="14">
        <f t="shared" si="593"/>
        <v>334150</v>
      </c>
      <c r="FQ341" s="50">
        <f t="shared" si="533"/>
        <v>8.5899875423972372E-2</v>
      </c>
      <c r="FS341" s="14">
        <f t="shared" si="594"/>
        <v>3889994</v>
      </c>
      <c r="FX341" s="14">
        <v>336</v>
      </c>
      <c r="FY341" s="51">
        <f t="shared" si="595"/>
        <v>39224</v>
      </c>
      <c r="FZ341" s="51">
        <f t="shared" si="596"/>
        <v>1748</v>
      </c>
      <c r="GA341" s="51">
        <f>INT(SUMPRODUCT($N341:$R341,$BF341:$BJ341)/SUM($BF341:$BJ341)/10000*$BX$7*$BZ$46/'疲劳值&amp;地图信息'!$R$10*$BY$53)</f>
        <v>454</v>
      </c>
      <c r="GB341" s="50">
        <f t="shared" si="597"/>
        <v>0.94684497658475353</v>
      </c>
      <c r="GC341" s="50">
        <f t="shared" si="598"/>
        <v>4.2195722493120265E-2</v>
      </c>
      <c r="GD341" s="50">
        <f t="shared" si="599"/>
        <v>1.0959300922126202E-2</v>
      </c>
      <c r="GE341" s="51">
        <f t="shared" si="600"/>
        <v>43014</v>
      </c>
      <c r="GF341" s="51">
        <f t="shared" si="601"/>
        <v>3044</v>
      </c>
      <c r="GG341" s="14">
        <f>INT(SUMPRODUCT($U341:$Y341,$BF341:$BJ341)/SUM($BF341:$BJ341)/10000*$BX$7*$BZ$46/'疲劳值&amp;地图信息'!$R$10*$BY$54)</f>
        <v>872</v>
      </c>
      <c r="GH341" s="50">
        <f t="shared" si="602"/>
        <v>0.91655657362028553</v>
      </c>
      <c r="GI341" s="50">
        <f t="shared" si="603"/>
        <v>6.4862561261453233E-2</v>
      </c>
      <c r="GJ341" s="50">
        <f t="shared" si="604"/>
        <v>1.858086511826124E-2</v>
      </c>
      <c r="GK341" s="51">
        <f t="shared" si="605"/>
        <v>46864</v>
      </c>
      <c r="GL341" s="51">
        <f t="shared" si="606"/>
        <v>5448</v>
      </c>
      <c r="GM341" s="14">
        <f>INT(SUMPRODUCT($AB341:$AF341,$BF341:$BJ341)/SUM($BF341:$BJ341)/10000*$BX$7*$BZ$46/'疲劳值&amp;地图信息'!$R$10*$BY$55)</f>
        <v>1184</v>
      </c>
      <c r="GN341" s="50">
        <f t="shared" si="607"/>
        <v>0.87602811425153282</v>
      </c>
      <c r="GO341" s="50">
        <f t="shared" si="608"/>
        <v>0.10183938986092418</v>
      </c>
      <c r="GP341" s="50">
        <f t="shared" si="609"/>
        <v>2.2132495887542993E-2</v>
      </c>
      <c r="GQ341" s="51">
        <f t="shared" si="610"/>
        <v>55920</v>
      </c>
      <c r="GR341" s="51">
        <f t="shared" si="611"/>
        <v>14248</v>
      </c>
      <c r="GS341" s="14">
        <f>INT(SUMPRODUCT($AI341:$AM341,$BF341:$BJ341)/SUM($BF341:$BJ341)/10000*$BX$7*$BZ$46/'疲劳值&amp;地图信息'!$R$10*$BY$56)</f>
        <v>1777</v>
      </c>
      <c r="GT341" s="50">
        <f t="shared" si="612"/>
        <v>0.77726040725554246</v>
      </c>
      <c r="GU341" s="50">
        <f t="shared" si="613"/>
        <v>0.19804016957398013</v>
      </c>
      <c r="GV341" s="50">
        <f t="shared" si="614"/>
        <v>2.469942317047745E-2</v>
      </c>
      <c r="GW341" s="51">
        <f t="shared" si="615"/>
        <v>57717</v>
      </c>
      <c r="GX341" s="51">
        <f t="shared" si="616"/>
        <v>24742</v>
      </c>
      <c r="GY341" s="14">
        <f>INT(SUMPRODUCT($AP341:$AT341,$BF341:$BJ341)/SUM($BF341:$BJ341)/10000*$BX$7*$BZ$46/'疲劳值&amp;地图信息'!$R$10*$BY$57)</f>
        <v>2369</v>
      </c>
      <c r="GZ341" s="50">
        <f t="shared" si="617"/>
        <v>0.68040033951053902</v>
      </c>
      <c r="HA341" s="50">
        <f t="shared" si="618"/>
        <v>0.29167256094685717</v>
      </c>
      <c r="HB341" s="50">
        <f t="shared" si="619"/>
        <v>2.7927099542603858E-2</v>
      </c>
      <c r="HD341" s="14">
        <f t="shared" si="620"/>
        <v>41426</v>
      </c>
      <c r="HE341" s="14">
        <f t="shared" si="621"/>
        <v>46930</v>
      </c>
      <c r="HF341" s="14">
        <f t="shared" si="622"/>
        <v>53496</v>
      </c>
      <c r="HG341" s="14">
        <f t="shared" si="623"/>
        <v>71945</v>
      </c>
      <c r="HH341" s="14">
        <f t="shared" si="624"/>
        <v>84828</v>
      </c>
      <c r="HI341" s="14">
        <f t="shared" si="625"/>
        <v>4814606</v>
      </c>
      <c r="HL341" s="14">
        <f t="shared" si="626"/>
        <v>430050</v>
      </c>
      <c r="HM341" s="50">
        <f t="shared" si="534"/>
        <v>8.1997751616121245E-2</v>
      </c>
      <c r="HO341" s="14">
        <f t="shared" si="627"/>
        <v>5244656</v>
      </c>
    </row>
    <row r="342" spans="11:223" x14ac:dyDescent="0.2">
      <c r="K342" s="14">
        <v>337</v>
      </c>
      <c r="L342" s="12">
        <f>求节点(节奏总纲!D$4:D$163,标准城池设计!AB$4:AB$163,$K342)*求节点(节奏总纲!D$4:D$163,攻城基础信息!$AC$5:$AC$164,$K342)</f>
        <v>825917.05997895892</v>
      </c>
      <c r="M342" s="12">
        <f>INDEX(其他调用!$AA$5:$AA$404,MATCH(K342,其他调用!$X$5:$X$404,0))*MIN(INDEX(其他调用!$AH$5:$AH$364,MATCH('征服点（新）'!K342,其他调用!$AG$5:$AG$364,0),1)/INDEX(其他调用!$AJ$5:$AJ$364,MATCH(K342,其他调用!$AG$5:$AG$364,0),0),5)*求节点(节奏总纲!D$4:D$163,攻城基础信息!$AC$5:$AC$164,$K342)</f>
        <v>51405.485579138011</v>
      </c>
      <c r="N342" s="12">
        <f>MIN(INDEX(其他调用!$AH$5:$AH$364,MATCH($K342,其他调用!$AG$5:$AG$364,0),1)/INDEX(其他调用!AH$5:AH$364,MATCH($K342,其他调用!$AG$5:$AG$364,0),0),1)*INDEX(其他调用!Y$5:Y$404,MATCH($K342,其他调用!$X$5:$X$404,0),0)</f>
        <v>43149.790462956851</v>
      </c>
      <c r="O342" s="12">
        <f>MIN(INDEX(其他调用!$AH$5:$AH$364,MATCH($K342,其他调用!$AG$5:$AG$364,0),1)/INDEX(其他调用!AI$5:AI$364,MATCH($K342,其他调用!$AG$5:$AG$364,0),0),1)*INDEX(其他调用!Z$5:Z$404,MATCH($K342,其他调用!$X$5:$X$404,0),0)</f>
        <v>25438.159691598401</v>
      </c>
      <c r="P342" s="12">
        <f>MIN(INDEX(其他调用!$AH$5:$AH$364,MATCH($K342,其他调用!$AG$5:$AG$364,0),1)/INDEX(其他调用!AJ$5:AJ$364,MATCH($K342,其他调用!$AG$5:$AG$364,0),0),1)*INDEX(其他调用!AA$5:AA$404,MATCH($K342,其他调用!$X$5:$X$404,0),0)</f>
        <v>14687.281594039441</v>
      </c>
      <c r="Q342" s="12">
        <f>MIN(INDEX(其他调用!$AH$5:$AH$364,MATCH($K342,其他调用!$AG$5:$AG$364,0),1)/INDEX(其他调用!AK$5:AK$364,MATCH($K342,其他调用!$AG$5:$AG$364,0),0),1)*INDEX(其他调用!AB$5:AB$404,MATCH($K342,其他调用!$X$5:$X$404,0),0)</f>
        <v>5907.1578798008422</v>
      </c>
      <c r="R342" s="12">
        <f>MIN(INDEX(其他调用!$AH$5:$AH$364,MATCH($K342,其他调用!$AG$5:$AG$364,0),1)/INDEX(其他调用!AL$5:AL$364,MATCH($K342,其他调用!$AG$5:$AG$364,0),0),1)*INDEX(其他调用!AC$5:AC$404,MATCH($K342,其他调用!$X$5:$X$404,0),0)</f>
        <v>3680.8808283794665</v>
      </c>
      <c r="S342" s="12">
        <f>求节点(节奏总纲!D$4:D$163,标准城池设计!AC$4:AC$163,$K342)*求节点(节奏总纲!D$4:D$163,攻城基础信息!$AD$5:$AD$164,$K342)</f>
        <v>905695.01739511697</v>
      </c>
      <c r="T342" s="12">
        <f>INDEX(其他调用!$AA$5:$AA$404,MATCH($K342,其他调用!$X$5:$X$404,0))*MIN(INDEX(其他调用!AI$5:AI$364,MATCH($K342,其他调用!$AG$5:$AG$364,0),1)/INDEX(其他调用!$AJ$5:$AJ$364,MATCH($K342,其他调用!$AG$5:$AG$364,0),0),5)*求节点(节奏总纲!D$4:D$163,攻城基础信息!$AD$5:$AD$164,$K342)</f>
        <v>89535.664366583122</v>
      </c>
      <c r="U342" s="12">
        <f>MIN(INDEX(其他调用!$AI$5:$AI$364,MATCH($K342,其他调用!$AG$5:$AG$364,0),1)/INDEX(其他调用!AH$5:AH$364,MATCH($K342,其他调用!$AG$5:$AG$364,0),0),1)*INDEX(其他调用!Y$5:Y$404,MATCH($K342,其他调用!$X$5:$X$404,0),0)</f>
        <v>43149.790462956851</v>
      </c>
      <c r="V342" s="12">
        <f>MIN(INDEX(其他调用!$AI$5:$AI$364,MATCH($K342,其他调用!$AG$5:$AG$364,0),1)/INDEX(其他调用!AI$5:AI$364,MATCH($K342,其他调用!$AG$5:$AG$364,0),0),1)*INDEX(其他调用!Z$5:Z$404,MATCH($K342,其他调用!$X$5:$X$404,0),0)</f>
        <v>44306.99374960929</v>
      </c>
      <c r="W342" s="12">
        <f>MIN(INDEX(其他调用!$AI$5:$AI$364,MATCH($K342,其他调用!$AG$5:$AG$364,0),1)/INDEX(其他调用!AJ$5:AJ$364,MATCH($K342,其他调用!$AG$5:$AG$364,0),0),1)*INDEX(其他调用!AA$5:AA$404,MATCH($K342,其他调用!$X$5:$X$404,0),0)</f>
        <v>25581.618390452339</v>
      </c>
      <c r="X342" s="12">
        <f>MIN(INDEX(其他调用!$AI$5:$AI$364,MATCH($K342,其他调用!$AG$5:$AG$364,0),1)/INDEX(其他调用!AK$5:AK$364,MATCH($K342,其他调用!$AG$5:$AG$364,0),0),1)*INDEX(其他调用!AB$5:AB$404,MATCH($K342,其他调用!$X$5:$X$404,0),0)</f>
        <v>10288.810607031986</v>
      </c>
      <c r="Y342" s="12">
        <f>MIN(INDEX(其他调用!$AI$5:$AI$364,MATCH($K342,其他调用!$AG$5:$AG$364,0),1)/INDEX(其他调用!AL$5:AL$364,MATCH($K342,其他调用!$AG$5:$AG$364,0),0),1)*INDEX(其他调用!AC$5:AC$404,MATCH($K342,其他调用!$X$5:$X$404,0),0)</f>
        <v>6411.1856295143043</v>
      </c>
      <c r="Z342" s="12">
        <f>求节点(节奏总纲!D$4:D$163,标准城池设计!AD$4:AD$163,$K342)*求节点(节奏总纲!D$4:D$163,攻城基础信息!$AE$5:$AE$164,$K342)</f>
        <v>986772.03283272812</v>
      </c>
      <c r="AA342" s="12">
        <f>INDEX(其他调用!$AA$5:$AA$404,MATCH($K342,其他调用!$X$5:$X$404,0))*MIN(INDEX(其他调用!AJ$5:AJ$364,MATCH($K342,其他调用!$AG$5:$AG$364,0),1)/INDEX(其他调用!$AJ$5:$AJ$364,MATCH($K342,其他调用!$AG$5:$AG$364,0),0),5)*求节点(节奏总纲!D$4:D$163,攻城基础信息!$AE$5:$AE$164,$K342)</f>
        <v>160463.03485462422</v>
      </c>
      <c r="AB342" s="12">
        <f>MIN(INDEX(其他调用!$AJ$5:$AJ$364,MATCH($K342,其他调用!$AG$5:$AG$364,0),1)/INDEX(其他调用!AH$5:AH$364,MATCH($K342,其他调用!$AG$5:$AG$364,0),0),1)*INDEX(其他调用!Y$5:Y$404,MATCH($K342,其他调用!$X$5:$X$404,0),0)</f>
        <v>43149.790462956851</v>
      </c>
      <c r="AC342" s="12">
        <f>MIN(INDEX(其他调用!$AJ$5:$AJ$364,MATCH($K342,其他调用!$AG$5:$AG$364,0),1)/INDEX(其他调用!AI$5:AI$364,MATCH($K342,其他调用!$AG$5:$AG$364,0),0),1)*INDEX(其他调用!Z$5:Z$404,MATCH($K342,其他调用!$X$5:$X$404,0),0)</f>
        <v>44306.99374960929</v>
      </c>
      <c r="AD342" s="12">
        <f>MIN(INDEX(其他调用!$AJ$5:$AJ$364,MATCH($K342,其他调用!$AG$5:$AG$364,0),1)/INDEX(其他调用!AJ$5:AJ$364,MATCH($K342,其他调用!$AG$5:$AG$364,0),0),1)*INDEX(其他调用!AA$5:AA$404,MATCH($K342,其他调用!$X$5:$X$404,0),0)</f>
        <v>45846.58138703552</v>
      </c>
      <c r="AE342" s="12">
        <f>MIN(INDEX(其他调用!$AJ$5:$AJ$364,MATCH($K342,其他调用!$AG$5:$AG$364,0),1)/INDEX(其他调用!AK$5:AK$364,MATCH($K342,其他调用!$AG$5:$AG$364,0),0),1)*INDEX(其他调用!AB$5:AB$404,MATCH($K342,其他调用!$X$5:$X$404,0),0)</f>
        <v>18439.2865874013</v>
      </c>
      <c r="AF342" s="12">
        <f>MIN(INDEX(其他调用!$AJ$5:$AJ$364,MATCH($K342,其他调用!$AG$5:$AG$364,0),1)/INDEX(其他调用!AL$5:AL$364,MATCH($K342,其他调用!$AG$5:$AG$364,0),0),1)*INDEX(其他调用!AC$5:AC$404,MATCH($K342,其他调用!$X$5:$X$404,0),0)</f>
        <v>11489.92762164813</v>
      </c>
      <c r="AG342" s="12">
        <f>求节点(节奏总纲!D$4:D$163,标准城池设计!AE$4:AE$163,$K342)*求节点(节奏总纲!D$4:D$163,攻城基础信息!$AF$5:$AF$164,$K342)</f>
        <v>1176941.8929276683</v>
      </c>
      <c r="AH342" s="12">
        <f>INDEX(其他调用!$AA$5:$AA$404,MATCH($K342,其他调用!$X$5:$X$404,0))*MIN(INDEX(其他调用!AK$5:AK$364,MATCH($K342,其他调用!$AG$5:$AG$364,0),1)/INDEX(其他调用!$AJ$5:$AJ$364,MATCH($K342,其他调用!$AG$5:$AG$364,0),0),5)*求节点(节奏总纲!D$4:D$163,攻城基础信息!$AF$5:$AF$164,$K342)</f>
        <v>418532.55105732905</v>
      </c>
      <c r="AI342" s="12">
        <f>MIN(INDEX(其他调用!$AK$5:$AK$364,MATCH($K342,其他调用!$AG$5:$AG$364,0),1)/INDEX(其他调用!AH$5:AH$364,MATCH($K342,其他调用!$AG$5:$AG$364,0),0),1)*INDEX(其他调用!Y$5:Y$404,MATCH($K342,其他调用!$X$5:$X$404,0),0)</f>
        <v>43149.790462956851</v>
      </c>
      <c r="AJ342" s="12">
        <f>MIN(INDEX(其他调用!$AK$5:$AK$364,MATCH($K342,其他调用!$AG$5:$AG$364,0),1)/INDEX(其他调用!AI$5:AI$364,MATCH($K342,其他调用!$AG$5:$AG$364,0),0),1)*INDEX(其他调用!Z$5:Z$404,MATCH($K342,其他调用!$X$5:$X$404,0),0)</f>
        <v>44306.99374960929</v>
      </c>
      <c r="AK342" s="12">
        <f>MIN(INDEX(其他调用!$AK$5:$AK$364,MATCH($K342,其他调用!$AG$5:$AG$364,0),1)/INDEX(其他调用!AJ$5:AJ$364,MATCH($K342,其他调用!$AG$5:$AG$364,0),0),1)*INDEX(其他调用!AA$5:AA$404,MATCH($K342,其他调用!$X$5:$X$404,0),0)</f>
        <v>45846.58138703552</v>
      </c>
      <c r="AL342" s="12">
        <f>MIN(INDEX(其他调用!$AK$5:$AK$364,MATCH($K342,其他调用!$AG$5:$AG$364,0),1)/INDEX(其他调用!AK$5:AK$364,MATCH($K342,其他调用!$AG$5:$AG$364,0),0),1)*INDEX(其他调用!AB$5:AB$404,MATCH($K342,其他调用!$X$5:$X$404,0),0)</f>
        <v>48094.825466152259</v>
      </c>
      <c r="AM342" s="12">
        <f>MIN(INDEX(其他调用!$AK$5:$AK$364,MATCH($K342,其他调用!$AG$5:$AG$364,0),1)/INDEX(其他调用!AL$5:AL$364,MATCH($K342,其他调用!$AG$5:$AG$364,0),0),1)*INDEX(其他调用!AC$5:AC$404,MATCH($K342,其他调用!$X$5:$X$404,0),0)</f>
        <v>29968.950315000715</v>
      </c>
      <c r="AN342" s="12">
        <f>求节点(节奏总纲!D$4:D$163,标准城池设计!AF$4:AF$163,$K342)*求节点(节奏总纲!D$4:D$163,攻城基础信息!$AG$5:$AG$164,$K342)</f>
        <v>1214508.6803620742</v>
      </c>
      <c r="AO342" s="12">
        <f>INDEX(其他调用!$AA$5:$AA$404,MATCH($K342,其他调用!$X$5:$X$404,0))*MIN(INDEX(其他调用!AL$5:AL$364,MATCH($K342,其他调用!$AG$5:$AG$364,0),1)/INDEX(其他调用!$AJ$5:$AJ$364,MATCH($K342,其他调用!$AG$5:$AG$364,0),0),5)*求节点(节奏总纲!D$4:D$163,攻城基础信息!$AG$5:$AG$164,$K342)</f>
        <v>726085.89127641066</v>
      </c>
      <c r="AP342" s="12">
        <f>MIN(INDEX(其他调用!$AL$5:$AL$364,MATCH($K342,其他调用!$AG$5:$AG$364,0),1)/INDEX(其他调用!AH$5:AH$364,MATCH($K342,其他调用!$AG$5:$AG$364,0),0),1)*INDEX(其他调用!Y$5:Y$404,MATCH($K342,其他调用!$X$5:$X$404,0),0)</f>
        <v>43149.790462956851</v>
      </c>
      <c r="AQ342" s="12">
        <f>MIN(INDEX(其他调用!$AL$5:$AL$364,MATCH($K342,其他调用!$AG$5:$AG$364,0),1)/INDEX(其他调用!AI$5:AI$364,MATCH($K342,其他调用!$AG$5:$AG$364,0),0),1)*INDEX(其他调用!Z$5:Z$404,MATCH($K342,其他调用!$X$5:$X$404,0),0)</f>
        <v>44306.99374960929</v>
      </c>
      <c r="AR342" s="12">
        <f>MIN(INDEX(其他调用!$AL$5:$AL$364,MATCH($K342,其他调用!$AG$5:$AG$364,0),1)/INDEX(其他调用!AJ$5:AJ$364,MATCH($K342,其他调用!$AG$5:$AG$364,0),0),1)*INDEX(其他调用!AA$5:AA$404,MATCH($K342,其他调用!$X$5:$X$404,0),0)</f>
        <v>45846.58138703552</v>
      </c>
      <c r="AS342" s="12">
        <f>MIN(INDEX(其他调用!$AL$5:$AL$364,MATCH($K342,其他调用!$AG$5:$AG$364,0),1)/INDEX(其他调用!AK$5:AK$364,MATCH($K342,其他调用!$AG$5:$AG$364,0),0),1)*INDEX(其他调用!AB$5:AB$404,MATCH($K342,其他调用!$X$5:$X$404,0),0)</f>
        <v>48094.825466152259</v>
      </c>
      <c r="AT342" s="12">
        <f>MIN(INDEX(其他调用!$AL$5:$AL$364,MATCH($K342,其他调用!$AG$5:$AG$364,0),1)/INDEX(其他调用!AL$5:AL$364,MATCH($K342,其他调用!$AG$5:$AG$364,0),0),1)*INDEX(其他调用!AC$5:AC$404,MATCH($K342,其他调用!$X$5:$X$404,0),0)</f>
        <v>51991.253595721282</v>
      </c>
      <c r="AV342" s="14">
        <f>IF(OR(AV$5="大R",AV$5="超R"),MAX(INDEX(其他调用!$H$5:$L$404,MATCH($K342,其他调用!$B$5:$B$404,0),MATCH(AV$5,其他调用!$H$4:$L$4,0))*120*0.85,2),INDEX(其他调用!$H$5:$L$404,MATCH($K342,其他调用!$B$5:$B$404,0),MATCH(AV$5,其他调用!$H$4:$L$4,0))*120*0.85)</f>
        <v>48.921801254999991</v>
      </c>
      <c r="AW342" s="14">
        <f>IF(OR(AW$5="大R",AW$5="超R"),MAX(INDEX(其他调用!$H$5:$L$404,MATCH($K342,其他调用!$B$5:$B$404,0),MATCH(AW$5,其他调用!$H$4:$L$4,0))*120*0.85,2),INDEX(其他调用!$H$5:$L$404,MATCH($K342,其他调用!$B$5:$B$404,0),MATCH(AW$5,其他调用!$H$4:$L$4,0))*120*0.85)</f>
        <v>48.237344010638395</v>
      </c>
      <c r="AX342" s="14">
        <f>IF(OR(AX$5="大R",AX$5="超R"),MAX(INDEX(其他调用!$H$5:$L$404,MATCH($K342,其他调用!$B$5:$B$404,0),MATCH(AX$5,其他调用!$H$4:$L$4,0))*120*0.85,2),INDEX(其他调用!$H$5:$L$404,MATCH($K342,其他调用!$B$5:$B$404,0),MATCH(AX$5,其他调用!$H$4:$L$4,0))*120*0.85)</f>
        <v>3.9376284143615998</v>
      </c>
      <c r="AY342" s="14">
        <f>IF(OR(AY$5="大R",AY$5="超R"),MAX(INDEX(其他调用!$H$5:$L$404,MATCH($K342,其他调用!$B$5:$B$404,0),MATCH(AY$5,其他调用!$H$4:$L$4,0))*120*0.85,2),INDEX(其他调用!$H$5:$L$404,MATCH($K342,其他调用!$B$5:$B$404,0),MATCH(AY$5,其他调用!$H$4:$L$4,0))*120*0.85)</f>
        <v>2</v>
      </c>
      <c r="AZ342" s="14">
        <f>IF(OR(AZ$5="大R",AZ$5="超R"),MAX(INDEX(其他调用!$H$5:$L$404,MATCH($K342,其他调用!$B$5:$B$404,0),MATCH(AZ$5,其他调用!$H$4:$L$4,0))*120*0.85,2),INDEX(其他调用!$H$5:$L$404,MATCH($K342,其他调用!$B$5:$B$404,0),MATCH(AZ$5,其他调用!$H$4:$L$4,0))*120*0.85)</f>
        <v>2</v>
      </c>
      <c r="BA342" s="14">
        <f>INDEX(其他调用!$H$5:$L$404,MATCH($K342,其他调用!$B$5:$B$404,0),MATCH(BA$5,其他调用!$H$4:$L$4,0))*INDEX(其他调用!$M$5:$M$404,MATCH($K342,其他调用!$B$5:$B$404,0))*0.6</f>
        <v>28.777530149999997</v>
      </c>
      <c r="BB342" s="14">
        <f>INDEX(其他调用!$H$5:$L$404,MATCH($K342,其他调用!$B$5:$B$404,0),MATCH(BB$5,其他调用!$H$4:$L$4,0))*INDEX(其他调用!$M$5:$M$404,MATCH($K342,其他调用!$B$5:$B$404,0))*0.6</f>
        <v>28.374908241551999</v>
      </c>
      <c r="BC342" s="14">
        <f>INDEX(其他调用!$H$5:$L$404,MATCH($K342,其他调用!$B$5:$B$404,0),MATCH(BC$5,其他调用!$H$4:$L$4,0))*INDEX(其他调用!$M$5:$M$404,MATCH($K342,其他调用!$B$5:$B$404,0))*0.6</f>
        <v>2.3162520084480001</v>
      </c>
      <c r="BD342" s="14">
        <f>INDEX(其他调用!$H$5:$L$404,MATCH($K342,其他调用!$B$5:$B$404,0),MATCH(BD$5,其他调用!$H$4:$L$4,0))*INDEX(其他调用!$M$5:$M$404,MATCH($K342,其他调用!$B$5:$B$404,0))*0.6</f>
        <v>0.4120776000000001</v>
      </c>
      <c r="BE342" s="14">
        <f>INDEX(其他调用!$H$5:$L$404,MATCH($K342,其他调用!$B$5:$B$404,0),MATCH(BE$5,其他调用!$H$4:$L$4,0))*INDEX(其他调用!$M$5:$M$404,MATCH($K342,其他调用!$B$5:$B$404,0))*0.6</f>
        <v>0.11923199999999998</v>
      </c>
      <c r="BF342" s="14">
        <f>IF(OR(BF$5="大R",BF$5="超R"),0,INDEX(其他调用!$H$5:$L$404,MATCH($K342,其他调用!$B$5:$B$404,0),MATCH(BF$5,其他调用!$H$4:$L$4,0))*50*0.4)</f>
        <v>9.5925100500000013</v>
      </c>
      <c r="BG342" s="14">
        <f>IF(OR(BG$5="大R",BG$5="超R"),0,INDEX(其他调用!$H$5:$L$404,MATCH($K342,其他调用!$B$5:$B$404,0),MATCH(BG$5,其他调用!$H$4:$L$4,0))*50*0.4)</f>
        <v>9.4583027471839998</v>
      </c>
      <c r="BH342" s="14">
        <f>IF(OR(BH$5="大R",BH$5="超R"),0,INDEX(其他调用!$H$5:$L$404,MATCH($K342,其他调用!$B$5:$B$404,0),MATCH(BH$5,其他调用!$H$4:$L$4,0))*50*0.4)</f>
        <v>0.77208400281600009</v>
      </c>
      <c r="BI342" s="14">
        <f>IF(OR(BI$5="大R",BI$5="超R"),0,INDEX(其他调用!$H$5:$L$404,MATCH($K342,其他调用!$B$5:$B$404,0),MATCH(BI$5,其他调用!$H$4:$L$4,0))*50*0.4)</f>
        <v>0</v>
      </c>
      <c r="BJ342" s="14">
        <f>IF(OR(BJ$5="大R",BJ$5="超R"),0,INDEX(其他调用!$H$5:$L$404,MATCH($K342,其他调用!$B$5:$B$404,0),MATCH(BJ$5,其他调用!$H$4:$L$4,0))*50*0.4)</f>
        <v>0</v>
      </c>
      <c r="BL342" s="14">
        <f t="shared" si="628"/>
        <v>337</v>
      </c>
      <c r="BM342" s="14">
        <f t="shared" si="535"/>
        <v>96</v>
      </c>
      <c r="BN342" s="14">
        <f>('疲劳值&amp;地图信息'!$S$10*'疲劳值&amp;地图信息'!$R$10+'疲劳值&amp;地图信息'!$S$11*'疲劳值&amp;地图信息'!$R$11+'疲劳值&amp;地图信息'!$S$12*'疲劳值&amp;地图信息'!$R$12+(BM342-'疲劳值&amp;地图信息'!$S$12-'疲劳值&amp;地图信息'!$S$11-'疲劳值&amp;地图信息'!$S$10)*'疲劳值&amp;地图信息'!$R$13)/BM342</f>
        <v>51.371477246638619</v>
      </c>
      <c r="BO342" s="14">
        <f>INDEX(其他调用!$M$5:$M$404,MATCH(BL342,其他调用!$B$5:$B$404,0))*0.6</f>
        <v>60</v>
      </c>
      <c r="BP342" s="14">
        <f>IF(BO342&gt;SUM('疲劳值&amp;地图信息'!$S$10:$S$12),('疲劳值&amp;地图信息'!$S$10*'疲劳值&amp;地图信息'!$R$10+'疲劳值&amp;地图信息'!$S$11*'疲劳值&amp;地图信息'!$R$11+'疲劳值&amp;地图信息'!$S$12*'疲劳值&amp;地图信息'!$R$12+(BO342-'疲劳值&amp;地图信息'!$S$12-'疲劳值&amp;地图信息'!$S$11-'疲劳值&amp;地图信息'!$S$10)*'疲劳值&amp;地图信息'!$R$13)/BO342,('疲劳值&amp;地图信息'!$S$10*'疲劳值&amp;地图信息'!$R$10+'疲劳值&amp;地图信息'!$S$11*'疲劳值&amp;地图信息'!$R$11+'疲劳值&amp;地图信息'!$S$12*'疲劳值&amp;地图信息'!$R$12+(BO342-'疲劳值&amp;地图信息'!$S$12-'疲劳值&amp;地图信息'!$S$11-'疲劳值&amp;地图信息'!$S$10)*'疲劳值&amp;地图信息'!$R$13)/BO342)</f>
        <v>44.158136341605953</v>
      </c>
      <c r="BQ342" s="14">
        <f t="shared" si="629"/>
        <v>20</v>
      </c>
      <c r="BR342" s="14">
        <f>('疲劳值&amp;地图信息'!$S$10*'疲劳值&amp;地图信息'!$R$10+($BQ342-'疲劳值&amp;地图信息'!$S$10)*'疲劳值&amp;地图信息'!$R$11)/$BQ342</f>
        <v>32.067203015074995</v>
      </c>
      <c r="CF342" s="14">
        <v>337</v>
      </c>
      <c r="CG342" s="51">
        <f t="shared" si="536"/>
        <v>16833</v>
      </c>
      <c r="CH342" s="51">
        <f t="shared" si="537"/>
        <v>1047</v>
      </c>
      <c r="CI342" s="51">
        <f>INT(SUMPRODUCT($N342:$R342,$BA342:$BE342)/SUM($BA342:$BE342)/10000*$BX$7*$BZ$34/'疲劳值&amp;地图信息'!$R$10*$BY$53)</f>
        <v>3382</v>
      </c>
      <c r="CJ342" s="50">
        <f t="shared" si="538"/>
        <v>0.79169410215407765</v>
      </c>
      <c r="CK342" s="50">
        <f t="shared" si="539"/>
        <v>4.9242780547455553E-2</v>
      </c>
      <c r="CL342" s="50">
        <f t="shared" si="540"/>
        <v>0.15906311729846676</v>
      </c>
      <c r="CM342" s="14">
        <f t="shared" si="541"/>
        <v>18459</v>
      </c>
      <c r="CN342" s="14">
        <f t="shared" si="542"/>
        <v>1824</v>
      </c>
      <c r="CO342" s="14">
        <f>INT(SUMPRODUCT($U342:$Y342,$BA342:$BE342)/SUM($BA342:$BE342)/10000*$BX$7*$BZ$34/'疲劳值&amp;地图信息'!$R$10*$BY$54)</f>
        <v>6502</v>
      </c>
      <c r="CP342" s="50">
        <f t="shared" si="543"/>
        <v>0.68915437745006536</v>
      </c>
      <c r="CQ342" s="50">
        <f t="shared" si="544"/>
        <v>6.8097815941758441E-2</v>
      </c>
      <c r="CR342" s="50">
        <f t="shared" si="545"/>
        <v>0.24274780660817621</v>
      </c>
      <c r="CS342" s="14">
        <f t="shared" si="546"/>
        <v>20111</v>
      </c>
      <c r="CT342" s="14">
        <f t="shared" si="547"/>
        <v>3270</v>
      </c>
      <c r="CU342" s="14">
        <f>INT(SUMPRODUCT($AB342:$AF342,$BA342:$BE342)/SUM($BA342:$BE342)/10000*$BX$7*$BZ$34/'疲劳值&amp;地图信息'!$R$10*$BY$55)</f>
        <v>8841</v>
      </c>
      <c r="CV342" s="50">
        <f t="shared" si="548"/>
        <v>0.62413878716404936</v>
      </c>
      <c r="CW342" s="50">
        <f t="shared" si="549"/>
        <v>0.10148345850661039</v>
      </c>
      <c r="CX342" s="50">
        <f t="shared" si="550"/>
        <v>0.2743777543293402</v>
      </c>
      <c r="CY342" s="14">
        <f t="shared" si="551"/>
        <v>23987</v>
      </c>
      <c r="CZ342" s="14">
        <f t="shared" si="552"/>
        <v>8530</v>
      </c>
      <c r="DA342" s="14">
        <f>INT(SUMPRODUCT($AI342:$AM342,$BA342:$BE342)/SUM($BA342:$BE342)/10000*$BX$7*$BZ$34/'疲劳值&amp;地图信息'!$R$10*$BY$56)</f>
        <v>13335</v>
      </c>
      <c r="DB342" s="50">
        <f t="shared" si="553"/>
        <v>0.52313966675390389</v>
      </c>
      <c r="DC342" s="50">
        <f t="shared" si="554"/>
        <v>0.18603332460961353</v>
      </c>
      <c r="DD342" s="50">
        <f t="shared" si="555"/>
        <v>0.29082700863648259</v>
      </c>
      <c r="DE342" s="14">
        <f t="shared" si="556"/>
        <v>24753</v>
      </c>
      <c r="DF342" s="14">
        <f t="shared" si="557"/>
        <v>14798</v>
      </c>
      <c r="DG342" s="14">
        <f>INT(SUMPRODUCT($AP342:$AT342,$BA342:$BE342)/SUM($BA342:$BE342)/10000*$BX$7*$BZ$34/'疲劳值&amp;地图信息'!$R$10*$BY$57)</f>
        <v>17798</v>
      </c>
      <c r="DH342" s="50">
        <f t="shared" si="558"/>
        <v>0.43162042930129557</v>
      </c>
      <c r="DI342" s="50">
        <f t="shared" si="559"/>
        <v>0.25803414183333623</v>
      </c>
      <c r="DJ342" s="50">
        <f t="shared" si="560"/>
        <v>0.3103454288653682</v>
      </c>
      <c r="DL342" s="14">
        <f t="shared" si="631"/>
        <v>21262</v>
      </c>
      <c r="DM342" s="14">
        <f t="shared" si="632"/>
        <v>26785</v>
      </c>
      <c r="DN342" s="14">
        <f t="shared" si="633"/>
        <v>32222</v>
      </c>
      <c r="DO342" s="14">
        <f t="shared" si="634"/>
        <v>45852</v>
      </c>
      <c r="DP342" s="14">
        <f t="shared" si="635"/>
        <v>57349</v>
      </c>
      <c r="DQ342" s="14">
        <f t="shared" si="636"/>
        <v>1472256</v>
      </c>
      <c r="DT342" s="14">
        <f t="shared" si="630"/>
        <v>235575</v>
      </c>
      <c r="DU342" s="50">
        <f t="shared" si="532"/>
        <v>0.13793812151202314</v>
      </c>
      <c r="DW342" s="14">
        <f t="shared" si="561"/>
        <v>1707831</v>
      </c>
      <c r="EB342" s="14">
        <v>337</v>
      </c>
      <c r="EC342" s="51">
        <f t="shared" si="562"/>
        <v>28055</v>
      </c>
      <c r="ED342" s="51">
        <f t="shared" si="563"/>
        <v>1746</v>
      </c>
      <c r="EE342" s="51">
        <f>INT(SUMPRODUCT($N342:$R342,$BF342:$BJ342)/SUM($BF342:$BJ342)/10000*$BX$7*$BZ$46/'疲劳值&amp;地图信息'!$R$10*$BY$53)</f>
        <v>454</v>
      </c>
      <c r="EF342" s="50">
        <f t="shared" si="564"/>
        <v>0.92728474632292179</v>
      </c>
      <c r="EG342" s="50">
        <f t="shared" si="565"/>
        <v>5.7709469509172037E-2</v>
      </c>
      <c r="EH342" s="50">
        <f t="shared" si="566"/>
        <v>1.5005784167906131E-2</v>
      </c>
      <c r="EI342" s="51">
        <f t="shared" si="567"/>
        <v>30765</v>
      </c>
      <c r="EJ342" s="51">
        <f t="shared" si="568"/>
        <v>3041</v>
      </c>
      <c r="EK342" s="14">
        <f>INT(SUMPRODUCT($U342:$Y342,$BF342:$BJ342)/SUM($BF342:$BJ342)/10000*$BX$7*$BZ$46/'疲劳值&amp;地图信息'!$R$10*$BY$54)</f>
        <v>872</v>
      </c>
      <c r="EL342" s="50">
        <f t="shared" si="569"/>
        <v>0.88716188938231733</v>
      </c>
      <c r="EM342" s="50">
        <f t="shared" si="570"/>
        <v>8.7692485149085869E-2</v>
      </c>
      <c r="EN342" s="50">
        <f t="shared" si="571"/>
        <v>2.5145625468596805E-2</v>
      </c>
      <c r="EO342" s="51">
        <f t="shared" si="572"/>
        <v>33519</v>
      </c>
      <c r="EP342" s="51">
        <f t="shared" si="573"/>
        <v>5450</v>
      </c>
      <c r="EQ342" s="14">
        <f>INT(SUMPRODUCT($AB342:$AF342,$BF342:$BJ342)/SUM($BF342:$BJ342)/10000*$BX$7*$BZ$46/'疲劳值&amp;地图信息'!$R$10*$BY$55)</f>
        <v>1185</v>
      </c>
      <c r="ER342" s="50">
        <f t="shared" si="574"/>
        <v>0.83476116949743484</v>
      </c>
      <c r="ES342" s="50">
        <f t="shared" si="575"/>
        <v>0.13572744932011754</v>
      </c>
      <c r="ET342" s="50">
        <f t="shared" si="576"/>
        <v>2.9511381182447578E-2</v>
      </c>
      <c r="EU342" s="51">
        <f t="shared" si="577"/>
        <v>39979</v>
      </c>
      <c r="EV342" s="51">
        <f t="shared" si="578"/>
        <v>14217</v>
      </c>
      <c r="EW342" s="14">
        <f>INT(SUMPRODUCT($AI342:$AM342,$BF342:$BJ342)/SUM($BF342:$BJ342)/10000*$BX$7*$BZ$46/'疲劳值&amp;地图信息'!$R$10*$BY$56)</f>
        <v>1777</v>
      </c>
      <c r="EX342" s="50">
        <f t="shared" si="579"/>
        <v>0.71425508727422149</v>
      </c>
      <c r="EY342" s="50">
        <f t="shared" si="580"/>
        <v>0.253997463062548</v>
      </c>
      <c r="EZ342" s="50">
        <f t="shared" si="581"/>
        <v>3.1747449663230488E-2</v>
      </c>
      <c r="FA342" s="51">
        <f t="shared" si="582"/>
        <v>41255</v>
      </c>
      <c r="FB342" s="51">
        <f t="shared" si="583"/>
        <v>24664</v>
      </c>
      <c r="FC342" s="14">
        <f>INT(SUMPRODUCT($AP342:$AT342,$BF342:$BJ342)/SUM($BF342:$BJ342)/10000*$BX$7*$BZ$46/'疲劳值&amp;地图信息'!$R$10*$BY$57)</f>
        <v>2370</v>
      </c>
      <c r="FD342" s="50">
        <f t="shared" si="584"/>
        <v>0.60412365095403364</v>
      </c>
      <c r="FE342" s="50">
        <f t="shared" si="585"/>
        <v>0.36117090600243085</v>
      </c>
      <c r="FF342" s="50">
        <f t="shared" si="586"/>
        <v>3.470544304353556E-2</v>
      </c>
      <c r="FH342" s="14">
        <f t="shared" si="587"/>
        <v>30255</v>
      </c>
      <c r="FI342" s="14">
        <f t="shared" si="588"/>
        <v>34678</v>
      </c>
      <c r="FJ342" s="14">
        <f t="shared" si="589"/>
        <v>40154</v>
      </c>
      <c r="FK342" s="14">
        <f t="shared" si="590"/>
        <v>55973</v>
      </c>
      <c r="FL342" s="14">
        <f t="shared" si="591"/>
        <v>68289</v>
      </c>
      <c r="FM342" s="14">
        <f t="shared" si="592"/>
        <v>3559539</v>
      </c>
      <c r="FP342" s="14">
        <f t="shared" si="593"/>
        <v>334150</v>
      </c>
      <c r="FQ342" s="50">
        <f t="shared" si="533"/>
        <v>8.5818358887933779E-2</v>
      </c>
      <c r="FS342" s="14">
        <f t="shared" si="594"/>
        <v>3893689</v>
      </c>
      <c r="FX342" s="14">
        <v>337</v>
      </c>
      <c r="FY342" s="51">
        <f t="shared" si="595"/>
        <v>39277</v>
      </c>
      <c r="FZ342" s="51">
        <f t="shared" si="596"/>
        <v>1746</v>
      </c>
      <c r="GA342" s="51">
        <f>INT(SUMPRODUCT($N342:$R342,$BF342:$BJ342)/SUM($BF342:$BJ342)/10000*$BX$7*$BZ$46/'疲劳值&amp;地图信息'!$R$10*$BY$53)</f>
        <v>454</v>
      </c>
      <c r="GB342" s="50">
        <f t="shared" si="597"/>
        <v>0.94695855534392559</v>
      </c>
      <c r="GC342" s="50">
        <f t="shared" si="598"/>
        <v>4.209561925886636E-2</v>
      </c>
      <c r="GD342" s="50">
        <f t="shared" si="599"/>
        <v>1.094582539720809E-2</v>
      </c>
      <c r="GE342" s="51">
        <f t="shared" si="600"/>
        <v>43071</v>
      </c>
      <c r="GF342" s="51">
        <f t="shared" si="601"/>
        <v>3041</v>
      </c>
      <c r="GG342" s="14">
        <f>INT(SUMPRODUCT($U342:$Y342,$BF342:$BJ342)/SUM($BF342:$BJ342)/10000*$BX$7*$BZ$46/'疲劳值&amp;地图信息'!$R$10*$BY$54)</f>
        <v>872</v>
      </c>
      <c r="GH342" s="50">
        <f t="shared" si="602"/>
        <v>0.91671632896305122</v>
      </c>
      <c r="GI342" s="50">
        <f t="shared" si="603"/>
        <v>6.4724161416652479E-2</v>
      </c>
      <c r="GJ342" s="50">
        <f t="shared" si="604"/>
        <v>1.8559509620296271E-2</v>
      </c>
      <c r="GK342" s="51">
        <f t="shared" si="605"/>
        <v>46927</v>
      </c>
      <c r="GL342" s="51">
        <f t="shared" si="606"/>
        <v>5450</v>
      </c>
      <c r="GM342" s="14">
        <f>INT(SUMPRODUCT($AB342:$AF342,$BF342:$BJ342)/SUM($BF342:$BJ342)/10000*$BX$7*$BZ$46/'疲劳值&amp;地图信息'!$R$10*$BY$55)</f>
        <v>1185</v>
      </c>
      <c r="GN342" s="50">
        <f t="shared" si="607"/>
        <v>0.87612486464284378</v>
      </c>
      <c r="GO342" s="50">
        <f t="shared" si="608"/>
        <v>0.10175124155184646</v>
      </c>
      <c r="GP342" s="50">
        <f t="shared" si="609"/>
        <v>2.2123893805309734E-2</v>
      </c>
      <c r="GQ342" s="51">
        <f t="shared" si="610"/>
        <v>55971</v>
      </c>
      <c r="GR342" s="51">
        <f t="shared" si="611"/>
        <v>14217</v>
      </c>
      <c r="GS342" s="14">
        <f>INT(SUMPRODUCT($AI342:$AM342,$BF342:$BJ342)/SUM($BF342:$BJ342)/10000*$BX$7*$BZ$46/'疲劳值&amp;地图信息'!$R$10*$BY$56)</f>
        <v>1777</v>
      </c>
      <c r="GT342" s="50">
        <f t="shared" si="612"/>
        <v>0.77775307441117214</v>
      </c>
      <c r="GU342" s="50">
        <f t="shared" si="613"/>
        <v>0.19755436670603765</v>
      </c>
      <c r="GV342" s="50">
        <f t="shared" si="614"/>
        <v>2.4692558882790244E-2</v>
      </c>
      <c r="GW342" s="51">
        <f t="shared" si="615"/>
        <v>57757</v>
      </c>
      <c r="GX342" s="51">
        <f t="shared" si="616"/>
        <v>24664</v>
      </c>
      <c r="GY342" s="14">
        <f>INT(SUMPRODUCT($AP342:$AT342,$BF342:$BJ342)/SUM($BF342:$BJ342)/10000*$BX$7*$BZ$46/'疲劳值&amp;地图信息'!$R$10*$BY$57)</f>
        <v>2370</v>
      </c>
      <c r="GZ342" s="50">
        <f t="shared" si="617"/>
        <v>0.68116899199207459</v>
      </c>
      <c r="HA342" s="50">
        <f t="shared" si="618"/>
        <v>0.2908799282942765</v>
      </c>
      <c r="HB342" s="50">
        <f t="shared" si="619"/>
        <v>2.7951079713648855E-2</v>
      </c>
      <c r="HD342" s="14">
        <f t="shared" si="620"/>
        <v>41477</v>
      </c>
      <c r="HE342" s="14">
        <f t="shared" si="621"/>
        <v>46984</v>
      </c>
      <c r="HF342" s="14">
        <f t="shared" si="622"/>
        <v>53562</v>
      </c>
      <c r="HG342" s="14">
        <f t="shared" si="623"/>
        <v>71965</v>
      </c>
      <c r="HH342" s="14">
        <f t="shared" si="624"/>
        <v>84791</v>
      </c>
      <c r="HI342" s="14">
        <f t="shared" si="625"/>
        <v>4819932</v>
      </c>
      <c r="HL342" s="14">
        <f t="shared" si="626"/>
        <v>430050</v>
      </c>
      <c r="HM342" s="50">
        <f t="shared" si="534"/>
        <v>8.1914566564228214E-2</v>
      </c>
      <c r="HO342" s="14">
        <f t="shared" si="627"/>
        <v>5249982</v>
      </c>
    </row>
    <row r="343" spans="11:223" x14ac:dyDescent="0.2">
      <c r="K343" s="14">
        <v>338</v>
      </c>
      <c r="L343" s="12">
        <f>求节点(节奏总纲!D$4:D$163,标准城池设计!AB$4:AB$163,$K343)*求节点(节奏总纲!D$4:D$163,攻城基础信息!$AC$5:$AC$164,$K343)</f>
        <v>827011.87318456091</v>
      </c>
      <c r="M343" s="12">
        <f>INDEX(其他调用!$AA$5:$AA$404,MATCH(K343,其他调用!$X$5:$X$404,0))*MIN(INDEX(其他调用!$AH$5:$AH$364,MATCH('征服点（新）'!K343,其他调用!$AG$5:$AG$364,0),1)/INDEX(其他调用!$AJ$5:$AJ$364,MATCH(K343,其他调用!$AG$5:$AG$364,0),0),5)*求节点(节奏总纲!D$4:D$163,攻城基础信息!$AC$5:$AC$164,$K343)</f>
        <v>51337.064831846124</v>
      </c>
      <c r="N343" s="12">
        <f>MIN(INDEX(其他调用!$AH$5:$AH$364,MATCH($K343,其他调用!$AG$5:$AG$364,0),1)/INDEX(其他调用!AH$5:AH$364,MATCH($K343,其他调用!$AG$5:$AG$364,0),0),1)*INDEX(其他调用!Y$5:Y$404,MATCH($K343,其他调用!$X$5:$X$404,0),0)</f>
        <v>43166.298434869241</v>
      </c>
      <c r="O343" s="12">
        <f>MIN(INDEX(其他调用!$AH$5:$AH$364,MATCH($K343,其他调用!$AG$5:$AG$364,0),1)/INDEX(其他调用!AI$5:AI$364,MATCH($K343,其他调用!$AG$5:$AG$364,0),0),1)*INDEX(其他调用!Z$5:Z$404,MATCH($K343,其他调用!$X$5:$X$404,0),0)</f>
        <v>25442.222170496974</v>
      </c>
      <c r="P343" s="12">
        <f>MIN(INDEX(其他调用!$AH$5:$AH$364,MATCH($K343,其他调用!$AG$5:$AG$364,0),1)/INDEX(其他调用!AJ$5:AJ$364,MATCH($K343,其他调用!$AG$5:$AG$364,0),0),1)*INDEX(其他调用!AA$5:AA$404,MATCH($K343,其他调用!$X$5:$X$404,0),0)</f>
        <v>14667.732809098901</v>
      </c>
      <c r="Q343" s="12">
        <f>MIN(INDEX(其他调用!$AH$5:$AH$364,MATCH($K343,其他调用!$AG$5:$AG$364,0),1)/INDEX(其他调用!AK$5:AK$364,MATCH($K343,其他调用!$AG$5:$AG$364,0),0),1)*INDEX(其他调用!AB$5:AB$404,MATCH($K343,其他调用!$X$5:$X$404,0),0)</f>
        <v>5914.4576603283385</v>
      </c>
      <c r="R343" s="12">
        <f>MIN(INDEX(其他调用!$AH$5:$AH$364,MATCH($K343,其他调用!$AG$5:$AG$364,0),1)/INDEX(其他调用!AL$5:AL$364,MATCH($K343,其他调用!$AG$5:$AG$364,0),0),1)*INDEX(其他调用!AC$5:AC$404,MATCH($K343,其他调用!$X$5:$X$404,0),0)</f>
        <v>3688.6283214971427</v>
      </c>
      <c r="S343" s="12">
        <f>求节点(节奏总纲!D$4:D$163,标准城池设计!AC$4:AC$163,$K343)*求节点(节奏总纲!D$4:D$163,攻城基础信息!$AD$5:$AD$164,$K343)</f>
        <v>906781.39052203204</v>
      </c>
      <c r="T343" s="12">
        <f>INDEX(其他调用!$AA$5:$AA$404,MATCH($K343,其他调用!$X$5:$X$404,0))*MIN(INDEX(其他调用!AI$5:AI$364,MATCH($K343,其他调用!$AG$5:$AG$364,0),1)/INDEX(其他调用!$AJ$5:$AJ$364,MATCH($K343,其他调用!$AG$5:$AG$364,0),0),5)*求节点(节奏总纲!D$4:D$163,攻城基础信息!$AD$5:$AD$164,$K343)</f>
        <v>89436.224999154205</v>
      </c>
      <c r="U343" s="12">
        <f>MIN(INDEX(其他调用!$AI$5:$AI$364,MATCH($K343,其他调用!$AG$5:$AG$364,0),1)/INDEX(其他调用!AH$5:AH$364,MATCH($K343,其他调用!$AG$5:$AG$364,0),0),1)*INDEX(其他调用!Y$5:Y$404,MATCH($K343,其他调用!$X$5:$X$404,0),0)</f>
        <v>43166.298434869241</v>
      </c>
      <c r="V343" s="12">
        <f>MIN(INDEX(其他调用!$AI$5:$AI$364,MATCH($K343,其他调用!$AG$5:$AG$364,0),1)/INDEX(其他调用!AI$5:AI$364,MATCH($K343,其他调用!$AG$5:$AG$364,0),0),1)*INDEX(其他调用!Z$5:Z$404,MATCH($K343,其他调用!$X$5:$X$404,0),0)</f>
        <v>44323.848937843723</v>
      </c>
      <c r="W343" s="12">
        <f>MIN(INDEX(其他调用!$AI$5:$AI$364,MATCH($K343,其他调用!$AG$5:$AG$364,0),1)/INDEX(其他调用!AJ$5:AJ$364,MATCH($K343,其他调用!$AG$5:$AG$364,0),0),1)*INDEX(其他调用!AA$5:AA$404,MATCH($K343,其他调用!$X$5:$X$404,0),0)</f>
        <v>25553.207142615502</v>
      </c>
      <c r="X343" s="12">
        <f>MIN(INDEX(其他调用!$AI$5:$AI$364,MATCH($K343,其他调用!$AG$5:$AG$364,0),1)/INDEX(其他调用!AK$5:AK$364,MATCH($K343,其他调用!$AG$5:$AG$364,0),0),1)*INDEX(其他调用!AB$5:AB$404,MATCH($K343,其他调用!$X$5:$X$404,0),0)</f>
        <v>10303.798391858205</v>
      </c>
      <c r="Y343" s="12">
        <f>MIN(INDEX(其他调用!$AI$5:$AI$364,MATCH($K343,其他调用!$AG$5:$AG$364,0),1)/INDEX(其他调用!AL$5:AL$364,MATCH($K343,其他调用!$AG$5:$AG$364,0),0),1)*INDEX(其他调用!AC$5:AC$404,MATCH($K343,其他调用!$X$5:$X$404,0),0)</f>
        <v>6426.0976660867582</v>
      </c>
      <c r="Z343" s="12">
        <f>求节点(节奏总纲!D$4:D$163,标准城池设计!AD$4:AD$163,$K343)*求节点(节奏总纲!D$4:D$163,攻城基础信息!$AE$5:$AE$164,$K343)</f>
        <v>988127.75670610496</v>
      </c>
      <c r="AA343" s="12">
        <f>INDEX(其他调用!$AA$5:$AA$404,MATCH($K343,其他调用!$X$5:$X$404,0))*MIN(INDEX(其他调用!AJ$5:AJ$364,MATCH($K343,其他调用!$AG$5:$AG$364,0),1)/INDEX(其他调用!$AJ$5:$AJ$364,MATCH($K343,其他调用!$AG$5:$AG$364,0),0),5)*求节点(节奏总纲!D$4:D$163,攻城基础信息!$AE$5:$AE$164,$K343)</f>
        <v>160525.60970055172</v>
      </c>
      <c r="AB343" s="12">
        <f>MIN(INDEX(其他调用!$AJ$5:$AJ$364,MATCH($K343,其他调用!$AG$5:$AG$364,0),1)/INDEX(其他调用!AH$5:AH$364,MATCH($K343,其他调用!$AG$5:$AG$364,0),0),1)*INDEX(其他调用!Y$5:Y$404,MATCH($K343,其他调用!$X$5:$X$404,0),0)</f>
        <v>43166.298434869241</v>
      </c>
      <c r="AC343" s="12">
        <f>MIN(INDEX(其他调用!$AJ$5:$AJ$364,MATCH($K343,其他调用!$AG$5:$AG$364,0),1)/INDEX(其他调用!AI$5:AI$364,MATCH($K343,其他调用!$AG$5:$AG$364,0),0),1)*INDEX(其他调用!Z$5:Z$404,MATCH($K343,其他调用!$X$5:$X$404,0),0)</f>
        <v>44323.848937843723</v>
      </c>
      <c r="AD343" s="12">
        <f>MIN(INDEX(其他调用!$AJ$5:$AJ$364,MATCH($K343,其他调用!$AG$5:$AG$364,0),1)/INDEX(其他调用!AJ$5:AJ$364,MATCH($K343,其他调用!$AG$5:$AG$364,0),0),1)*INDEX(其他调用!AA$5:AA$404,MATCH($K343,其他调用!$X$5:$X$404,0),0)</f>
        <v>45864.459914443374</v>
      </c>
      <c r="AE343" s="12">
        <f>MIN(INDEX(其他调用!$AJ$5:$AJ$364,MATCH($K343,其他调用!$AG$5:$AG$364,0),1)/INDEX(其他调用!AK$5:AK$364,MATCH($K343,其他调用!$AG$5:$AG$364,0),0),1)*INDEX(其他调用!AB$5:AB$404,MATCH($K343,其他调用!$X$5:$X$404,0),0)</f>
        <v>18493.887897216642</v>
      </c>
      <c r="AF343" s="12">
        <f>MIN(INDEX(其他调用!$AJ$5:$AJ$364,MATCH($K343,其他调用!$AG$5:$AG$364,0),1)/INDEX(其他调用!AL$5:AL$364,MATCH($K343,其他调用!$AG$5:$AG$364,0),0),1)*INDEX(其他调用!AC$5:AC$404,MATCH($K343,其他调用!$X$5:$X$404,0),0)</f>
        <v>11533.953337740099</v>
      </c>
      <c r="AG343" s="12">
        <f>求节点(节奏总纲!D$4:D$163,标准城池设计!AE$4:AE$163,$K343)*求节点(节奏总纲!D$4:D$163,攻城基础信息!$AF$5:$AF$164,$K343)</f>
        <v>1177654.9039095093</v>
      </c>
      <c r="AH343" s="12">
        <f>INDEX(其他调用!$AA$5:$AA$404,MATCH($K343,其他调用!$X$5:$X$404,0))*MIN(INDEX(其他调用!AK$5:AK$364,MATCH($K343,其他调用!$AG$5:$AG$364,0),1)/INDEX(其他调用!$AJ$5:$AJ$364,MATCH($K343,其他调用!$AG$5:$AG$364,0),0),5)*求节点(节奏总纲!D$4:D$163,攻城基础信息!$AF$5:$AF$164,$K343)</f>
        <v>417609.43758967554</v>
      </c>
      <c r="AI343" s="12">
        <f>MIN(INDEX(其他调用!$AK$5:$AK$364,MATCH($K343,其他调用!$AG$5:$AG$364,0),1)/INDEX(其他调用!AH$5:AH$364,MATCH($K343,其他调用!$AG$5:$AG$364,0),0),1)*INDEX(其他调用!Y$5:Y$404,MATCH($K343,其他调用!$X$5:$X$404,0),0)</f>
        <v>43166.298434869241</v>
      </c>
      <c r="AJ343" s="12">
        <f>MIN(INDEX(其他调用!$AK$5:$AK$364,MATCH($K343,其他调用!$AG$5:$AG$364,0),1)/INDEX(其他调用!AI$5:AI$364,MATCH($K343,其他调用!$AG$5:$AG$364,0),0),1)*INDEX(其他调用!Z$5:Z$404,MATCH($K343,其他调用!$X$5:$X$404,0),0)</f>
        <v>44323.848937843723</v>
      </c>
      <c r="AK343" s="12">
        <f>MIN(INDEX(其他调用!$AK$5:$AK$364,MATCH($K343,其他调用!$AG$5:$AG$364,0),1)/INDEX(其他调用!AJ$5:AJ$364,MATCH($K343,其他调用!$AG$5:$AG$364,0),0),1)*INDEX(其他调用!AA$5:AA$404,MATCH($K343,其他调用!$X$5:$X$404,0),0)</f>
        <v>45864.459914443374</v>
      </c>
      <c r="AL343" s="12">
        <f>MIN(INDEX(其他调用!$AK$5:$AK$364,MATCH($K343,其他调用!$AG$5:$AG$364,0),1)/INDEX(其他调用!AK$5:AK$364,MATCH($K343,其他调用!$AG$5:$AG$364,0),0),1)*INDEX(其他调用!AB$5:AB$404,MATCH($K343,其他调用!$X$5:$X$404,0),0)</f>
        <v>48112.087149273138</v>
      </c>
      <c r="AM343" s="12">
        <f>MIN(INDEX(其他调用!$AK$5:$AK$364,MATCH($K343,其他调用!$AG$5:$AG$364,0),1)/INDEX(其他调用!AL$5:AL$364,MATCH($K343,其他调用!$AG$5:$AG$364,0),0),1)*INDEX(其他调用!AC$5:AC$404,MATCH($K343,其他调用!$X$5:$X$404,0),0)</f>
        <v>30005.727905624328</v>
      </c>
      <c r="AN343" s="12">
        <f>求节点(节奏总纲!D$4:D$163,标准城池设计!AF$4:AF$163,$K343)*求节点(节奏总纲!D$4:D$163,攻城基础信息!$AG$5:$AG$164,$K343)</f>
        <v>1215191.6614865342</v>
      </c>
      <c r="AO343" s="12">
        <f>INDEX(其他调用!$AA$5:$AA$404,MATCH($K343,其他调用!$X$5:$X$404,0))*MIN(INDEX(其他调用!AL$5:AL$364,MATCH($K343,其他调用!$AG$5:$AG$364,0),1)/INDEX(其他调用!$AJ$5:$AJ$364,MATCH($K343,其他调用!$AG$5:$AG$364,0),0),5)*求节点(节奏总纲!D$4:D$163,攻城基础信息!$AG$5:$AG$164,$K343)</f>
        <v>723824.36332542694</v>
      </c>
      <c r="AP343" s="12">
        <f>MIN(INDEX(其他调用!$AL$5:$AL$364,MATCH($K343,其他调用!$AG$5:$AG$364,0),1)/INDEX(其他调用!AH$5:AH$364,MATCH($K343,其他调用!$AG$5:$AG$364,0),0),1)*INDEX(其他调用!Y$5:Y$404,MATCH($K343,其他调用!$X$5:$X$404,0),0)</f>
        <v>43166.298434869241</v>
      </c>
      <c r="AQ343" s="12">
        <f>MIN(INDEX(其他调用!$AL$5:$AL$364,MATCH($K343,其他调用!$AG$5:$AG$364,0),1)/INDEX(其他调用!AI$5:AI$364,MATCH($K343,其他调用!$AG$5:$AG$364,0),0),1)*INDEX(其他调用!Z$5:Z$404,MATCH($K343,其他调用!$X$5:$X$404,0),0)</f>
        <v>44323.848937843723</v>
      </c>
      <c r="AR343" s="12">
        <f>MIN(INDEX(其他调用!$AL$5:$AL$364,MATCH($K343,其他调用!$AG$5:$AG$364,0),1)/INDEX(其他调用!AJ$5:AJ$364,MATCH($K343,其他调用!$AG$5:$AG$364,0),0),1)*INDEX(其他调用!AA$5:AA$404,MATCH($K343,其他调用!$X$5:$X$404,0),0)</f>
        <v>45864.459914443374</v>
      </c>
      <c r="AS343" s="12">
        <f>MIN(INDEX(其他调用!$AL$5:$AL$364,MATCH($K343,其他调用!$AG$5:$AG$364,0),1)/INDEX(其他调用!AK$5:AK$364,MATCH($K343,其他调用!$AG$5:$AG$364,0),0),1)*INDEX(其他调用!AB$5:AB$404,MATCH($K343,其他调用!$X$5:$X$404,0),0)</f>
        <v>48112.087149273138</v>
      </c>
      <c r="AT343" s="12">
        <f>MIN(INDEX(其他调用!$AL$5:$AL$364,MATCH($K343,其他调用!$AG$5:$AG$364,0),1)/INDEX(其他调用!AL$5:AL$364,MATCH($K343,其他调用!$AG$5:$AG$364,0),0),1)*INDEX(其他调用!AC$5:AC$404,MATCH($K343,其他调用!$X$5:$X$404,0),0)</f>
        <v>52007.629479735391</v>
      </c>
      <c r="AV343" s="14">
        <f>IF(OR(AV$5="大R",AV$5="超R"),MAX(INDEX(其他调用!$H$5:$L$404,MATCH($K343,其他调用!$B$5:$B$404,0),MATCH(AV$5,其他调用!$H$4:$L$4,0))*120*0.85,2),INDEX(其他调用!$H$5:$L$404,MATCH($K343,其他调用!$B$5:$B$404,0),MATCH(AV$5,其他调用!$H$4:$L$4,0))*120*0.85)</f>
        <v>48.921801254999991</v>
      </c>
      <c r="AW343" s="14">
        <f>IF(OR(AW$5="大R",AW$5="超R"),MAX(INDEX(其他调用!$H$5:$L$404,MATCH($K343,其他调用!$B$5:$B$404,0),MATCH(AW$5,其他调用!$H$4:$L$4,0))*120*0.85,2),INDEX(其他调用!$H$5:$L$404,MATCH($K343,其他调用!$B$5:$B$404,0),MATCH(AW$5,其他调用!$H$4:$L$4,0))*120*0.85)</f>
        <v>48.237344010638395</v>
      </c>
      <c r="AX343" s="14">
        <f>IF(OR(AX$5="大R",AX$5="超R"),MAX(INDEX(其他调用!$H$5:$L$404,MATCH($K343,其他调用!$B$5:$B$404,0),MATCH(AX$5,其他调用!$H$4:$L$4,0))*120*0.85,2),INDEX(其他调用!$H$5:$L$404,MATCH($K343,其他调用!$B$5:$B$404,0),MATCH(AX$5,其他调用!$H$4:$L$4,0))*120*0.85)</f>
        <v>3.9376284143615998</v>
      </c>
      <c r="AY343" s="14">
        <f>IF(OR(AY$5="大R",AY$5="超R"),MAX(INDEX(其他调用!$H$5:$L$404,MATCH($K343,其他调用!$B$5:$B$404,0),MATCH(AY$5,其他调用!$H$4:$L$4,0))*120*0.85,2),INDEX(其他调用!$H$5:$L$404,MATCH($K343,其他调用!$B$5:$B$404,0),MATCH(AY$5,其他调用!$H$4:$L$4,0))*120*0.85)</f>
        <v>2</v>
      </c>
      <c r="AZ343" s="14">
        <f>IF(OR(AZ$5="大R",AZ$5="超R"),MAX(INDEX(其他调用!$H$5:$L$404,MATCH($K343,其他调用!$B$5:$B$404,0),MATCH(AZ$5,其他调用!$H$4:$L$4,0))*120*0.85,2),INDEX(其他调用!$H$5:$L$404,MATCH($K343,其他调用!$B$5:$B$404,0),MATCH(AZ$5,其他调用!$H$4:$L$4,0))*120*0.85)</f>
        <v>2</v>
      </c>
      <c r="BA343" s="14">
        <f>INDEX(其他调用!$H$5:$L$404,MATCH($K343,其他调用!$B$5:$B$404,0),MATCH(BA$5,其他调用!$H$4:$L$4,0))*INDEX(其他调用!$M$5:$M$404,MATCH($K343,其他调用!$B$5:$B$404,0))*0.6</f>
        <v>28.777530149999997</v>
      </c>
      <c r="BB343" s="14">
        <f>INDEX(其他调用!$H$5:$L$404,MATCH($K343,其他调用!$B$5:$B$404,0),MATCH(BB$5,其他调用!$H$4:$L$4,0))*INDEX(其他调用!$M$5:$M$404,MATCH($K343,其他调用!$B$5:$B$404,0))*0.6</f>
        <v>28.374908241551999</v>
      </c>
      <c r="BC343" s="14">
        <f>INDEX(其他调用!$H$5:$L$404,MATCH($K343,其他调用!$B$5:$B$404,0),MATCH(BC$5,其他调用!$H$4:$L$4,0))*INDEX(其他调用!$M$5:$M$404,MATCH($K343,其他调用!$B$5:$B$404,0))*0.6</f>
        <v>2.3162520084480001</v>
      </c>
      <c r="BD343" s="14">
        <f>INDEX(其他调用!$H$5:$L$404,MATCH($K343,其他调用!$B$5:$B$404,0),MATCH(BD$5,其他调用!$H$4:$L$4,0))*INDEX(其他调用!$M$5:$M$404,MATCH($K343,其他调用!$B$5:$B$404,0))*0.6</f>
        <v>0.4120776000000001</v>
      </c>
      <c r="BE343" s="14">
        <f>INDEX(其他调用!$H$5:$L$404,MATCH($K343,其他调用!$B$5:$B$404,0),MATCH(BE$5,其他调用!$H$4:$L$4,0))*INDEX(其他调用!$M$5:$M$404,MATCH($K343,其他调用!$B$5:$B$404,0))*0.6</f>
        <v>0.11923199999999998</v>
      </c>
      <c r="BF343" s="14">
        <f>IF(OR(BF$5="大R",BF$5="超R"),0,INDEX(其他调用!$H$5:$L$404,MATCH($K343,其他调用!$B$5:$B$404,0),MATCH(BF$5,其他调用!$H$4:$L$4,0))*50*0.4)</f>
        <v>9.5925100500000013</v>
      </c>
      <c r="BG343" s="14">
        <f>IF(OR(BG$5="大R",BG$5="超R"),0,INDEX(其他调用!$H$5:$L$404,MATCH($K343,其他调用!$B$5:$B$404,0),MATCH(BG$5,其他调用!$H$4:$L$4,0))*50*0.4)</f>
        <v>9.4583027471839998</v>
      </c>
      <c r="BH343" s="14">
        <f>IF(OR(BH$5="大R",BH$5="超R"),0,INDEX(其他调用!$H$5:$L$404,MATCH($K343,其他调用!$B$5:$B$404,0),MATCH(BH$5,其他调用!$H$4:$L$4,0))*50*0.4)</f>
        <v>0.77208400281600009</v>
      </c>
      <c r="BI343" s="14">
        <f>IF(OR(BI$5="大R",BI$5="超R"),0,INDEX(其他调用!$H$5:$L$404,MATCH($K343,其他调用!$B$5:$B$404,0),MATCH(BI$5,其他调用!$H$4:$L$4,0))*50*0.4)</f>
        <v>0</v>
      </c>
      <c r="BJ343" s="14">
        <f>IF(OR(BJ$5="大R",BJ$5="超R"),0,INDEX(其他调用!$H$5:$L$404,MATCH($K343,其他调用!$B$5:$B$404,0),MATCH(BJ$5,其他调用!$H$4:$L$4,0))*50*0.4)</f>
        <v>0</v>
      </c>
      <c r="BL343" s="14">
        <f t="shared" si="628"/>
        <v>338</v>
      </c>
      <c r="BM343" s="14">
        <f t="shared" si="535"/>
        <v>96</v>
      </c>
      <c r="BN343" s="14">
        <f>('疲劳值&amp;地图信息'!$S$10*'疲劳值&amp;地图信息'!$R$10+'疲劳值&amp;地图信息'!$S$11*'疲劳值&amp;地图信息'!$R$11+'疲劳值&amp;地图信息'!$S$12*'疲劳值&amp;地图信息'!$R$12+(BM343-'疲劳值&amp;地图信息'!$S$12-'疲劳值&amp;地图信息'!$S$11-'疲劳值&amp;地图信息'!$S$10)*'疲劳值&amp;地图信息'!$R$13)/BM343</f>
        <v>51.371477246638619</v>
      </c>
      <c r="BO343" s="14">
        <f>INDEX(其他调用!$M$5:$M$404,MATCH(BL343,其他调用!$B$5:$B$404,0))*0.6</f>
        <v>60</v>
      </c>
      <c r="BP343" s="14">
        <f>IF(BO343&gt;SUM('疲劳值&amp;地图信息'!$S$10:$S$12),('疲劳值&amp;地图信息'!$S$10*'疲劳值&amp;地图信息'!$R$10+'疲劳值&amp;地图信息'!$S$11*'疲劳值&amp;地图信息'!$R$11+'疲劳值&amp;地图信息'!$S$12*'疲劳值&amp;地图信息'!$R$12+(BO343-'疲劳值&amp;地图信息'!$S$12-'疲劳值&amp;地图信息'!$S$11-'疲劳值&amp;地图信息'!$S$10)*'疲劳值&amp;地图信息'!$R$13)/BO343,('疲劳值&amp;地图信息'!$S$10*'疲劳值&amp;地图信息'!$R$10+'疲劳值&amp;地图信息'!$S$11*'疲劳值&amp;地图信息'!$R$11+'疲劳值&amp;地图信息'!$S$12*'疲劳值&amp;地图信息'!$R$12+(BO343-'疲劳值&amp;地图信息'!$S$12-'疲劳值&amp;地图信息'!$S$11-'疲劳值&amp;地图信息'!$S$10)*'疲劳值&amp;地图信息'!$R$13)/BO343)</f>
        <v>44.158136341605953</v>
      </c>
      <c r="BQ343" s="14">
        <f t="shared" si="629"/>
        <v>20</v>
      </c>
      <c r="BR343" s="14">
        <f>('疲劳值&amp;地图信息'!$S$10*'疲劳值&amp;地图信息'!$R$10+($BQ343-'疲劳值&amp;地图信息'!$S$10)*'疲劳值&amp;地图信息'!$R$11)/$BQ343</f>
        <v>32.067203015074995</v>
      </c>
      <c r="CF343" s="14">
        <v>338</v>
      </c>
      <c r="CG343" s="51">
        <f t="shared" si="536"/>
        <v>16855</v>
      </c>
      <c r="CH343" s="51">
        <f t="shared" si="537"/>
        <v>1046</v>
      </c>
      <c r="CI343" s="51">
        <f>INT(SUMPRODUCT($N343:$R343,$BA343:$BE343)/SUM($BA343:$BE343)/10000*$BX$7*$BZ$34/'疲劳值&amp;地图信息'!$R$10*$BY$53)</f>
        <v>3383</v>
      </c>
      <c r="CJ343" s="50">
        <f t="shared" si="538"/>
        <v>0.79190941552339789</v>
      </c>
      <c r="CK343" s="50">
        <f t="shared" si="539"/>
        <v>4.9144897575643678E-2</v>
      </c>
      <c r="CL343" s="50">
        <f t="shared" si="540"/>
        <v>0.15894568690095848</v>
      </c>
      <c r="CM343" s="14">
        <f t="shared" si="541"/>
        <v>18481</v>
      </c>
      <c r="CN343" s="14">
        <f t="shared" si="542"/>
        <v>1822</v>
      </c>
      <c r="CO343" s="14">
        <f>INT(SUMPRODUCT($U343:$Y343,$BA343:$BE343)/SUM($BA343:$BE343)/10000*$BX$7*$BZ$34/'疲劳值&amp;地图信息'!$R$10*$BY$54)</f>
        <v>6504</v>
      </c>
      <c r="CP343" s="50">
        <f t="shared" si="543"/>
        <v>0.68940948259782897</v>
      </c>
      <c r="CQ343" s="50">
        <f t="shared" si="544"/>
        <v>6.7967321968142647E-2</v>
      </c>
      <c r="CR343" s="50">
        <f t="shared" si="545"/>
        <v>0.24262319543402844</v>
      </c>
      <c r="CS343" s="14">
        <f t="shared" si="546"/>
        <v>20139</v>
      </c>
      <c r="CT343" s="14">
        <f t="shared" si="547"/>
        <v>3271</v>
      </c>
      <c r="CU343" s="14">
        <f>INT(SUMPRODUCT($AB343:$AF343,$BA343:$BE343)/SUM($BA343:$BE343)/10000*$BX$7*$BZ$34/'疲劳值&amp;地图信息'!$R$10*$BY$55)</f>
        <v>8845</v>
      </c>
      <c r="CV343" s="50">
        <f t="shared" si="548"/>
        <v>0.62436831498992407</v>
      </c>
      <c r="CW343" s="50">
        <f t="shared" si="549"/>
        <v>0.10141063401023097</v>
      </c>
      <c r="CX343" s="50">
        <f t="shared" si="550"/>
        <v>0.27422105099984501</v>
      </c>
      <c r="CY343" s="14">
        <f t="shared" si="551"/>
        <v>24002</v>
      </c>
      <c r="CZ343" s="14">
        <f t="shared" si="552"/>
        <v>8511</v>
      </c>
      <c r="DA343" s="14">
        <f>INT(SUMPRODUCT($AI343:$AM343,$BA343:$BE343)/SUM($BA343:$BE343)/10000*$BX$7*$BZ$34/'疲劳值&amp;地图信息'!$R$10*$BY$56)</f>
        <v>13340</v>
      </c>
      <c r="DB343" s="50">
        <f t="shared" si="553"/>
        <v>0.52345539005081454</v>
      </c>
      <c r="DC343" s="50">
        <f t="shared" si="554"/>
        <v>0.18561489978845441</v>
      </c>
      <c r="DD343" s="50">
        <f t="shared" si="555"/>
        <v>0.29092971016073105</v>
      </c>
      <c r="DE343" s="14">
        <f t="shared" si="556"/>
        <v>24767</v>
      </c>
      <c r="DF343" s="14">
        <f t="shared" si="557"/>
        <v>14752</v>
      </c>
      <c r="DG343" s="14">
        <f>INT(SUMPRODUCT($AP343:$AT343,$BA343:$BE343)/SUM($BA343:$BE343)/10000*$BX$7*$BZ$34/'疲劳值&amp;地图信息'!$R$10*$BY$57)</f>
        <v>17805</v>
      </c>
      <c r="DH343" s="50">
        <f t="shared" si="558"/>
        <v>0.43205289233130972</v>
      </c>
      <c r="DI343" s="50">
        <f t="shared" si="559"/>
        <v>0.25734421882632058</v>
      </c>
      <c r="DJ343" s="50">
        <f t="shared" si="560"/>
        <v>0.3106028888423697</v>
      </c>
      <c r="DL343" s="14">
        <f t="shared" si="631"/>
        <v>21284</v>
      </c>
      <c r="DM343" s="14">
        <f t="shared" si="632"/>
        <v>26807</v>
      </c>
      <c r="DN343" s="14">
        <f t="shared" si="633"/>
        <v>32255</v>
      </c>
      <c r="DO343" s="14">
        <f t="shared" si="634"/>
        <v>45853</v>
      </c>
      <c r="DP343" s="14">
        <f t="shared" si="635"/>
        <v>57324</v>
      </c>
      <c r="DQ343" s="14">
        <f t="shared" si="636"/>
        <v>1473587</v>
      </c>
      <c r="DT343" s="14">
        <f t="shared" si="630"/>
        <v>235575</v>
      </c>
      <c r="DU343" s="50">
        <f t="shared" si="532"/>
        <v>0.13783070299948161</v>
      </c>
      <c r="DW343" s="14">
        <f t="shared" si="561"/>
        <v>1709162</v>
      </c>
      <c r="EB343" s="14">
        <v>338</v>
      </c>
      <c r="EC343" s="51">
        <f t="shared" si="562"/>
        <v>28092</v>
      </c>
      <c r="ED343" s="51">
        <f t="shared" si="563"/>
        <v>1743</v>
      </c>
      <c r="EE343" s="51">
        <f>INT(SUMPRODUCT($N343:$R343,$BF343:$BJ343)/SUM($BF343:$BJ343)/10000*$BX$7*$BZ$46/'疲劳值&amp;地图信息'!$R$10*$BY$53)</f>
        <v>454</v>
      </c>
      <c r="EF343" s="50">
        <f t="shared" si="564"/>
        <v>0.92746541648783387</v>
      </c>
      <c r="EG343" s="50">
        <f t="shared" si="565"/>
        <v>5.7545643633002082E-2</v>
      </c>
      <c r="EH343" s="50">
        <f t="shared" si="566"/>
        <v>1.4988939879164054E-2</v>
      </c>
      <c r="EI343" s="51">
        <f t="shared" si="567"/>
        <v>30802</v>
      </c>
      <c r="EJ343" s="51">
        <f t="shared" si="568"/>
        <v>3038</v>
      </c>
      <c r="EK343" s="14">
        <f>INT(SUMPRODUCT($U343:$Y343,$BF343:$BJ343)/SUM($BF343:$BJ343)/10000*$BX$7*$BZ$46/'疲劳值&amp;地图信息'!$R$10*$BY$54)</f>
        <v>873</v>
      </c>
      <c r="EL343" s="50">
        <f t="shared" si="569"/>
        <v>0.88733327571803067</v>
      </c>
      <c r="EM343" s="50">
        <f t="shared" si="570"/>
        <v>8.7517644686428711E-2</v>
      </c>
      <c r="EN343" s="50">
        <f t="shared" si="571"/>
        <v>2.5149079595540576E-2</v>
      </c>
      <c r="EO343" s="51">
        <f t="shared" si="572"/>
        <v>33565</v>
      </c>
      <c r="EP343" s="51">
        <f t="shared" si="573"/>
        <v>5452</v>
      </c>
      <c r="EQ343" s="14">
        <f>INT(SUMPRODUCT($AB343:$AF343,$BF343:$BJ343)/SUM($BF343:$BJ343)/10000*$BX$7*$BZ$46/'疲劳值&amp;地图信息'!$R$10*$BY$55)</f>
        <v>1185</v>
      </c>
      <c r="ER343" s="50">
        <f t="shared" si="574"/>
        <v>0.83490871100940256</v>
      </c>
      <c r="ES343" s="50">
        <f t="shared" si="575"/>
        <v>0.13561514352519774</v>
      </c>
      <c r="ET343" s="50">
        <f t="shared" si="576"/>
        <v>2.9476145465399731E-2</v>
      </c>
      <c r="EU343" s="51">
        <f t="shared" si="577"/>
        <v>40003</v>
      </c>
      <c r="EV343" s="51">
        <f t="shared" si="578"/>
        <v>14185</v>
      </c>
      <c r="EW343" s="14">
        <f>INT(SUMPRODUCT($AI343:$AM343,$BF343:$BJ343)/SUM($BF343:$BJ343)/10000*$BX$7*$BZ$46/'疲劳值&amp;地图信息'!$R$10*$BY$56)</f>
        <v>1778</v>
      </c>
      <c r="EX343" s="50">
        <f t="shared" si="579"/>
        <v>0.71477325519065149</v>
      </c>
      <c r="EY343" s="50">
        <f t="shared" si="580"/>
        <v>0.25345745631276134</v>
      </c>
      <c r="EZ343" s="50">
        <f t="shared" si="581"/>
        <v>3.1769288496587215E-2</v>
      </c>
      <c r="FA343" s="51">
        <f t="shared" si="582"/>
        <v>41278</v>
      </c>
      <c r="FB343" s="51">
        <f t="shared" si="583"/>
        <v>24587</v>
      </c>
      <c r="FC343" s="14">
        <f>INT(SUMPRODUCT($AP343:$AT343,$BF343:$BJ343)/SUM($BF343:$BJ343)/10000*$BX$7*$BZ$46/'疲劳值&amp;地图信息'!$R$10*$BY$57)</f>
        <v>2371</v>
      </c>
      <c r="FD343" s="50">
        <f t="shared" si="584"/>
        <v>0.60492994900052754</v>
      </c>
      <c r="FE343" s="50">
        <f t="shared" si="585"/>
        <v>0.36032299665865525</v>
      </c>
      <c r="FF343" s="50">
        <f t="shared" si="586"/>
        <v>3.4747054340817166E-2</v>
      </c>
      <c r="FH343" s="14">
        <f t="shared" si="587"/>
        <v>30289</v>
      </c>
      <c r="FI343" s="14">
        <f t="shared" si="588"/>
        <v>34713</v>
      </c>
      <c r="FJ343" s="14">
        <f t="shared" si="589"/>
        <v>40202</v>
      </c>
      <c r="FK343" s="14">
        <f t="shared" si="590"/>
        <v>55966</v>
      </c>
      <c r="FL343" s="14">
        <f t="shared" si="591"/>
        <v>68236</v>
      </c>
      <c r="FM343" s="14">
        <f t="shared" si="592"/>
        <v>3562959</v>
      </c>
      <c r="FP343" s="14">
        <f t="shared" si="593"/>
        <v>334150</v>
      </c>
      <c r="FQ343" s="50">
        <f t="shared" si="533"/>
        <v>8.5743046961221772E-2</v>
      </c>
      <c r="FS343" s="14">
        <f t="shared" si="594"/>
        <v>3897109</v>
      </c>
      <c r="FX343" s="14">
        <v>338</v>
      </c>
      <c r="FY343" s="51">
        <f t="shared" si="595"/>
        <v>39329</v>
      </c>
      <c r="FZ343" s="51">
        <f t="shared" si="596"/>
        <v>1743</v>
      </c>
      <c r="GA343" s="51">
        <f>INT(SUMPRODUCT($N343:$R343,$BF343:$BJ343)/SUM($BF343:$BJ343)/10000*$BX$7*$BZ$46/'疲劳值&amp;地图信息'!$R$10*$BY$53)</f>
        <v>454</v>
      </c>
      <c r="GB343" s="50">
        <f t="shared" si="597"/>
        <v>0.9470933872754419</v>
      </c>
      <c r="GC343" s="50">
        <f t="shared" si="598"/>
        <v>4.1973703222077732E-2</v>
      </c>
      <c r="GD343" s="50">
        <f t="shared" si="599"/>
        <v>1.0932909502480374E-2</v>
      </c>
      <c r="GE343" s="51">
        <f t="shared" si="600"/>
        <v>43123</v>
      </c>
      <c r="GF343" s="51">
        <f t="shared" si="601"/>
        <v>3038</v>
      </c>
      <c r="GG343" s="14">
        <f>INT(SUMPRODUCT($U343:$Y343,$BF343:$BJ343)/SUM($BF343:$BJ343)/10000*$BX$7*$BZ$46/'疲劳值&amp;地图信息'!$R$10*$BY$54)</f>
        <v>873</v>
      </c>
      <c r="GH343" s="50">
        <f t="shared" si="602"/>
        <v>0.9168473869966407</v>
      </c>
      <c r="GI343" s="50">
        <f t="shared" si="603"/>
        <v>6.4591572054258625E-2</v>
      </c>
      <c r="GJ343" s="50">
        <f t="shared" si="604"/>
        <v>1.856104094910065E-2</v>
      </c>
      <c r="GK343" s="51">
        <f t="shared" si="605"/>
        <v>46991</v>
      </c>
      <c r="GL343" s="51">
        <f t="shared" si="606"/>
        <v>5452</v>
      </c>
      <c r="GM343" s="14">
        <f>INT(SUMPRODUCT($AB343:$AF343,$BF343:$BJ343)/SUM($BF343:$BJ343)/10000*$BX$7*$BZ$46/'疲劳值&amp;地图信息'!$R$10*$BY$55)</f>
        <v>1185</v>
      </c>
      <c r="GN343" s="50">
        <f t="shared" si="607"/>
        <v>0.8762400238681286</v>
      </c>
      <c r="GO343" s="50">
        <f t="shared" si="608"/>
        <v>0.10166331021108377</v>
      </c>
      <c r="GP343" s="50">
        <f t="shared" si="609"/>
        <v>2.2096665920787649E-2</v>
      </c>
      <c r="GQ343" s="51">
        <f t="shared" si="610"/>
        <v>56004</v>
      </c>
      <c r="GR343" s="51">
        <f t="shared" si="611"/>
        <v>14185</v>
      </c>
      <c r="GS343" s="14">
        <f>INT(SUMPRODUCT($AI343:$AM343,$BF343:$BJ343)/SUM($BF343:$BJ343)/10000*$BX$7*$BZ$46/'疲劳值&amp;地图信息'!$R$10*$BY$56)</f>
        <v>1778</v>
      </c>
      <c r="GT343" s="50">
        <f t="shared" si="612"/>
        <v>0.77819000375171954</v>
      </c>
      <c r="GU343" s="50">
        <f t="shared" si="613"/>
        <v>0.19710422832687205</v>
      </c>
      <c r="GV343" s="50">
        <f t="shared" si="614"/>
        <v>2.4705767921408422E-2</v>
      </c>
      <c r="GW343" s="51">
        <f t="shared" si="615"/>
        <v>57790</v>
      </c>
      <c r="GX343" s="51">
        <f t="shared" si="616"/>
        <v>24587</v>
      </c>
      <c r="GY343" s="14">
        <f>INT(SUMPRODUCT($AP343:$AT343,$BF343:$BJ343)/SUM($BF343:$BJ343)/10000*$BX$7*$BZ$46/'疲劳值&amp;地图信息'!$R$10*$BY$57)</f>
        <v>2371</v>
      </c>
      <c r="GZ343" s="50">
        <f t="shared" si="617"/>
        <v>0.68190399773445987</v>
      </c>
      <c r="HA343" s="50">
        <f t="shared" si="618"/>
        <v>0.29011894085996132</v>
      </c>
      <c r="HB343" s="50">
        <f t="shared" si="619"/>
        <v>2.7977061405578894E-2</v>
      </c>
      <c r="HD343" s="14">
        <f t="shared" si="620"/>
        <v>41526</v>
      </c>
      <c r="HE343" s="14">
        <f t="shared" si="621"/>
        <v>47034</v>
      </c>
      <c r="HF343" s="14">
        <f t="shared" si="622"/>
        <v>53628</v>
      </c>
      <c r="HG343" s="14">
        <f t="shared" si="623"/>
        <v>71967</v>
      </c>
      <c r="HH343" s="14">
        <f t="shared" si="624"/>
        <v>84748</v>
      </c>
      <c r="HI343" s="14">
        <f t="shared" si="625"/>
        <v>4824919</v>
      </c>
      <c r="HL343" s="14">
        <f t="shared" si="626"/>
        <v>430050</v>
      </c>
      <c r="HM343" s="50">
        <f t="shared" si="534"/>
        <v>8.183682910403467E-2</v>
      </c>
      <c r="HO343" s="14">
        <f t="shared" si="627"/>
        <v>5254969</v>
      </c>
    </row>
    <row r="344" spans="11:223" x14ac:dyDescent="0.2">
      <c r="K344" s="14">
        <v>339</v>
      </c>
      <c r="L344" s="12">
        <f>求节点(节奏总纲!D$4:D$163,标准城池设计!AB$4:AB$163,$K344)*求节点(节奏总纲!D$4:D$163,攻城基础信息!$AC$5:$AC$164,$K344)</f>
        <v>828106.68639016303</v>
      </c>
      <c r="M344" s="12">
        <f>INDEX(其他调用!$AA$5:$AA$404,MATCH(K344,其他调用!$X$5:$X$404,0))*MIN(INDEX(其他调用!$AH$5:$AH$364,MATCH('征服点（新）'!K344,其他调用!$AG$5:$AG$364,0),1)/INDEX(其他调用!$AJ$5:$AJ$364,MATCH(K344,其他调用!$AG$5:$AG$364,0),0),5)*求节点(节奏总纲!D$4:D$163,攻城基础信息!$AC$5:$AC$164,$K344)</f>
        <v>51269.569883680109</v>
      </c>
      <c r="N344" s="12">
        <f>MIN(INDEX(其他调用!$AH$5:$AH$364,MATCH($K344,其他调用!$AG$5:$AG$364,0),1)/INDEX(其他调用!AH$5:AH$364,MATCH($K344,其他调用!$AG$5:$AG$364,0),0),1)*INDEX(其他调用!Y$5:Y$404,MATCH($K344,其他调用!$X$5:$X$404,0),0)</f>
        <v>43182.806406781645</v>
      </c>
      <c r="O344" s="12">
        <f>MIN(INDEX(其他调用!$AH$5:$AH$364,MATCH($K344,其他调用!$AG$5:$AG$364,0),1)/INDEX(其他调用!AI$5:AI$364,MATCH($K344,其他调用!$AG$5:$AG$364,0),0),1)*INDEX(其他调用!Z$5:Z$404,MATCH($K344,其他调用!$X$5:$X$404,0),0)</f>
        <v>25446.326895967104</v>
      </c>
      <c r="P344" s="12">
        <f>MIN(INDEX(其他调用!$AH$5:$AH$364,MATCH($K344,其他调用!$AG$5:$AG$364,0),1)/INDEX(其他调用!AJ$5:AJ$364,MATCH($K344,其他调用!$AG$5:$AG$364,0),0),1)*INDEX(其他调用!AA$5:AA$404,MATCH($K344,其他调用!$X$5:$X$404,0),0)</f>
        <v>14648.448538194327</v>
      </c>
      <c r="Q344" s="12">
        <f>MIN(INDEX(其他调用!$AH$5:$AH$364,MATCH($K344,其他调用!$AG$5:$AG$364,0),1)/INDEX(其他调用!AK$5:AK$364,MATCH($K344,其他调用!$AG$5:$AG$364,0),0),1)*INDEX(其他调用!AB$5:AB$404,MATCH($K344,其他调用!$X$5:$X$404,0),0)</f>
        <v>5921.7294895080358</v>
      </c>
      <c r="R344" s="12">
        <f>MIN(INDEX(其他调用!$AH$5:$AH$364,MATCH($K344,其他调用!$AG$5:$AG$364,0),1)/INDEX(其他调用!AL$5:AL$364,MATCH($K344,其他调用!$AG$5:$AG$364,0),0),1)*INDEX(其他调用!AC$5:AC$404,MATCH($K344,其他调用!$X$5:$X$404,0),0)</f>
        <v>3696.3516063005327</v>
      </c>
      <c r="S344" s="12">
        <f>求节点(节奏总纲!D$4:D$163,标准城池设计!AC$4:AC$163,$K344)*求节点(节奏总纲!D$4:D$163,攻城基础信息!$AD$5:$AD$164,$K344)</f>
        <v>907867.76364894712</v>
      </c>
      <c r="T344" s="12">
        <f>INDEX(其他调用!$AA$5:$AA$404,MATCH($K344,其他调用!$X$5:$X$404,0))*MIN(INDEX(其他调用!AI$5:AI$364,MATCH($K344,其他调用!$AG$5:$AG$364,0),1)/INDEX(其他调用!$AJ$5:$AJ$364,MATCH($K344,其他调用!$AG$5:$AG$364,0),0),5)*求节点(节奏总纲!D$4:D$163,攻城基础信息!$AD$5:$AD$164,$K344)</f>
        <v>89338.191644619612</v>
      </c>
      <c r="U344" s="12">
        <f>MIN(INDEX(其他调用!$AI$5:$AI$364,MATCH($K344,其他调用!$AG$5:$AG$364,0),1)/INDEX(其他调用!AH$5:AH$364,MATCH($K344,其他调用!$AG$5:$AG$364,0),0),1)*INDEX(其他调用!Y$5:Y$404,MATCH($K344,其他调用!$X$5:$X$404,0),0)</f>
        <v>43182.806406781645</v>
      </c>
      <c r="V344" s="12">
        <f>MIN(INDEX(其他调用!$AI$5:$AI$364,MATCH($K344,其他调用!$AG$5:$AG$364,0),1)/INDEX(其他调用!AI$5:AI$364,MATCH($K344,其他调用!$AG$5:$AG$364,0),0),1)*INDEX(其他调用!Z$5:Z$404,MATCH($K344,其他调用!$X$5:$X$404,0),0)</f>
        <v>44340.704126078163</v>
      </c>
      <c r="W344" s="12">
        <f>MIN(INDEX(其他调用!$AI$5:$AI$364,MATCH($K344,其他调用!$AG$5:$AG$364,0),1)/INDEX(其他调用!AJ$5:AJ$364,MATCH($K344,其他调用!$AG$5:$AG$364,0),0),1)*INDEX(其他调用!AA$5:AA$404,MATCH($K344,其他调用!$X$5:$X$404,0),0)</f>
        <v>25525.197612748478</v>
      </c>
      <c r="X344" s="12">
        <f>MIN(INDEX(其他调用!$AI$5:$AI$364,MATCH($K344,其他调用!$AG$5:$AG$364,0),1)/INDEX(其他调用!AK$5:AK$364,MATCH($K344,其他调用!$AG$5:$AG$364,0),0),1)*INDEX(其他调用!AB$5:AB$404,MATCH($K344,其他调用!$X$5:$X$404,0),0)</f>
        <v>10318.725224368711</v>
      </c>
      <c r="Y344" s="12">
        <f>MIN(INDEX(其他调用!$AI$5:$AI$364,MATCH($K344,其他调用!$AG$5:$AG$364,0),1)/INDEX(其他调用!AL$5:AL$364,MATCH($K344,其他调用!$AG$5:$AG$364,0),0),1)*INDEX(其他调用!AC$5:AC$404,MATCH($K344,其他调用!$X$5:$X$404,0),0)</f>
        <v>6440.9623279225179</v>
      </c>
      <c r="Z344" s="12">
        <f>求节点(节奏总纲!D$4:D$163,标准城池设计!AD$4:AD$163,$K344)*求节点(节奏总纲!D$4:D$163,攻城基础信息!$AE$5:$AE$164,$K344)</f>
        <v>989483.48057948169</v>
      </c>
      <c r="AA344" s="12">
        <f>INDEX(其他调用!$AA$5:$AA$404,MATCH($K344,其他调用!$X$5:$X$404,0))*MIN(INDEX(其他调用!AJ$5:AJ$364,MATCH($K344,其他调用!$AG$5:$AG$364,0),1)/INDEX(其他调用!$AJ$5:$AJ$364,MATCH($K344,其他调用!$AG$5:$AG$364,0),0),5)*求节点(节奏总纲!D$4:D$163,攻城基础信息!$AE$5:$AE$164,$K344)</f>
        <v>160588.18454647917</v>
      </c>
      <c r="AB344" s="12">
        <f>MIN(INDEX(其他调用!$AJ$5:$AJ$364,MATCH($K344,其他调用!$AG$5:$AG$364,0),1)/INDEX(其他调用!AH$5:AH$364,MATCH($K344,其他调用!$AG$5:$AG$364,0),0),1)*INDEX(其他调用!Y$5:Y$404,MATCH($K344,其他调用!$X$5:$X$404,0),0)</f>
        <v>43182.806406781645</v>
      </c>
      <c r="AC344" s="12">
        <f>MIN(INDEX(其他调用!$AJ$5:$AJ$364,MATCH($K344,其他调用!$AG$5:$AG$364,0),1)/INDEX(其他调用!AI$5:AI$364,MATCH($K344,其他调用!$AG$5:$AG$364,0),0),1)*INDEX(其他调用!Z$5:Z$404,MATCH($K344,其他调用!$X$5:$X$404,0),0)</f>
        <v>44340.704126078163</v>
      </c>
      <c r="AD344" s="12">
        <f>MIN(INDEX(其他调用!$AJ$5:$AJ$364,MATCH($K344,其他调用!$AG$5:$AG$364,0),1)/INDEX(其他调用!AJ$5:AJ$364,MATCH($K344,其他调用!$AG$5:$AG$364,0),0),1)*INDEX(其他调用!AA$5:AA$404,MATCH($K344,其他调用!$X$5:$X$404,0),0)</f>
        <v>45882.338441851221</v>
      </c>
      <c r="AE344" s="12">
        <f>MIN(INDEX(其他调用!$AJ$5:$AJ$364,MATCH($K344,其他调用!$AG$5:$AG$364,0),1)/INDEX(其他调用!AK$5:AK$364,MATCH($K344,其他调用!$AG$5:$AG$364,0),0),1)*INDEX(其他调用!AB$5:AB$404,MATCH($K344,其他调用!$X$5:$X$404,0),0)</f>
        <v>18548.230270957461</v>
      </c>
      <c r="AF344" s="12">
        <f>MIN(INDEX(其他调用!$AJ$5:$AJ$364,MATCH($K344,其他调用!$AG$5:$AG$364,0),1)/INDEX(其他调用!AL$5:AL$364,MATCH($K344,其他调用!$AG$5:$AG$364,0),0),1)*INDEX(其他调用!AC$5:AC$404,MATCH($K344,其他调用!$X$5:$X$404,0),0)</f>
        <v>11577.830577631072</v>
      </c>
      <c r="AG344" s="12">
        <f>求节点(节奏总纲!D$4:D$163,标准城池设计!AE$4:AE$163,$K344)*求节点(节奏总纲!D$4:D$163,攻城基础信息!$AF$5:$AF$164,$K344)</f>
        <v>1178367.9148913501</v>
      </c>
      <c r="AH344" s="12">
        <f>INDEX(其他调用!$AA$5:$AA$404,MATCH($K344,其他调用!$X$5:$X$404,0))*MIN(INDEX(其他调用!AK$5:AK$364,MATCH($K344,其他调用!$AG$5:$AG$364,0),1)/INDEX(其他调用!$AJ$5:$AJ$364,MATCH($K344,其他调用!$AG$5:$AG$364,0),0),5)*求节点(节奏总纲!D$4:D$163,攻城基础信息!$AF$5:$AF$164,$K344)</f>
        <v>416697.6924208409</v>
      </c>
      <c r="AI344" s="12">
        <f>MIN(INDEX(其他调用!$AK$5:$AK$364,MATCH($K344,其他调用!$AG$5:$AG$364,0),1)/INDEX(其他调用!AH$5:AH$364,MATCH($K344,其他调用!$AG$5:$AG$364,0),0),1)*INDEX(其他调用!Y$5:Y$404,MATCH($K344,其他调用!$X$5:$X$404,0),0)</f>
        <v>43182.806406781645</v>
      </c>
      <c r="AJ344" s="12">
        <f>MIN(INDEX(其他调用!$AK$5:$AK$364,MATCH($K344,其他调用!$AG$5:$AG$364,0),1)/INDEX(其他调用!AI$5:AI$364,MATCH($K344,其他调用!$AG$5:$AG$364,0),0),1)*INDEX(其他调用!Z$5:Z$404,MATCH($K344,其他调用!$X$5:$X$404,0),0)</f>
        <v>44340.704126078163</v>
      </c>
      <c r="AK344" s="12">
        <f>MIN(INDEX(其他调用!$AK$5:$AK$364,MATCH($K344,其他调用!$AG$5:$AG$364,0),1)/INDEX(其他调用!AJ$5:AJ$364,MATCH($K344,其他调用!$AG$5:$AG$364,0),0),1)*INDEX(其他调用!AA$5:AA$404,MATCH($K344,其他调用!$X$5:$X$404,0),0)</f>
        <v>45882.338441851221</v>
      </c>
      <c r="AL344" s="12">
        <f>MIN(INDEX(其他调用!$AK$5:$AK$364,MATCH($K344,其他调用!$AG$5:$AG$364,0),1)/INDEX(其他调用!AK$5:AK$364,MATCH($K344,其他调用!$AG$5:$AG$364,0),0),1)*INDEX(其他调用!AB$5:AB$404,MATCH($K344,其他调用!$X$5:$X$404,0),0)</f>
        <v>48129.348832394018</v>
      </c>
      <c r="AM344" s="12">
        <f>MIN(INDEX(其他调用!$AK$5:$AK$364,MATCH($K344,其他调用!$AG$5:$AG$364,0),1)/INDEX(其他调用!AL$5:AL$364,MATCH($K344,其他调用!$AG$5:$AG$364,0),0),1)*INDEX(其他调用!AC$5:AC$404,MATCH($K344,其他调用!$X$5:$X$404,0),0)</f>
        <v>30042.405040963476</v>
      </c>
      <c r="AN344" s="12">
        <f>求节点(节奏总纲!D$4:D$163,标准城池设计!AF$4:AF$163,$K344)*求节点(节奏总纲!D$4:D$163,攻城基础信息!$AG$5:$AG$164,$K344)</f>
        <v>1215874.6426109944</v>
      </c>
      <c r="AO344" s="12">
        <f>INDEX(其他调用!$AA$5:$AA$404,MATCH($K344,其他调用!$X$5:$X$404,0))*MIN(INDEX(其他调用!AL$5:AL$364,MATCH($K344,其他调用!$AG$5:$AG$364,0),1)/INDEX(其他调用!$AJ$5:$AJ$364,MATCH($K344,其他调用!$AG$5:$AG$364,0),0),5)*求节点(节奏总纲!D$4:D$163,攻城基础信息!$AG$5:$AG$164,$K344)</f>
        <v>721589.4651578347</v>
      </c>
      <c r="AP344" s="12">
        <f>MIN(INDEX(其他调用!$AL$5:$AL$364,MATCH($K344,其他调用!$AG$5:$AG$364,0),1)/INDEX(其他调用!AH$5:AH$364,MATCH($K344,其他调用!$AG$5:$AG$364,0),0),1)*INDEX(其他调用!Y$5:Y$404,MATCH($K344,其他调用!$X$5:$X$404,0),0)</f>
        <v>43182.806406781645</v>
      </c>
      <c r="AQ344" s="12">
        <f>MIN(INDEX(其他调用!$AL$5:$AL$364,MATCH($K344,其他调用!$AG$5:$AG$364,0),1)/INDEX(其他调用!AI$5:AI$364,MATCH($K344,其他调用!$AG$5:$AG$364,0),0),1)*INDEX(其他调用!Z$5:Z$404,MATCH($K344,其他调用!$X$5:$X$404,0),0)</f>
        <v>44340.704126078163</v>
      </c>
      <c r="AR344" s="12">
        <f>MIN(INDEX(其他调用!$AL$5:$AL$364,MATCH($K344,其他调用!$AG$5:$AG$364,0),1)/INDEX(其他调用!AJ$5:AJ$364,MATCH($K344,其他调用!$AG$5:$AG$364,0),0),1)*INDEX(其他调用!AA$5:AA$404,MATCH($K344,其他调用!$X$5:$X$404,0),0)</f>
        <v>45882.338441851221</v>
      </c>
      <c r="AS344" s="12">
        <f>MIN(INDEX(其他调用!$AL$5:$AL$364,MATCH($K344,其他调用!$AG$5:$AG$364,0),1)/INDEX(其他调用!AK$5:AK$364,MATCH($K344,其他调用!$AG$5:$AG$364,0),0),1)*INDEX(其他调用!AB$5:AB$404,MATCH($K344,其他调用!$X$5:$X$404,0),0)</f>
        <v>48129.348832394018</v>
      </c>
      <c r="AT344" s="12">
        <f>MIN(INDEX(其他调用!$AL$5:$AL$364,MATCH($K344,其他调用!$AG$5:$AG$364,0),1)/INDEX(其他调用!AL$5:AL$364,MATCH($K344,其他调用!$AG$5:$AG$364,0),0),1)*INDEX(其他调用!AC$5:AC$404,MATCH($K344,其他调用!$X$5:$X$404,0),0)</f>
        <v>52024.0053637495</v>
      </c>
      <c r="AV344" s="14">
        <f>IF(OR(AV$5="大R",AV$5="超R"),MAX(INDEX(其他调用!$H$5:$L$404,MATCH($K344,其他调用!$B$5:$B$404,0),MATCH(AV$5,其他调用!$H$4:$L$4,0))*120*0.85,2),INDEX(其他调用!$H$5:$L$404,MATCH($K344,其他调用!$B$5:$B$404,0),MATCH(AV$5,其他调用!$H$4:$L$4,0))*120*0.85)</f>
        <v>48.921801254999991</v>
      </c>
      <c r="AW344" s="14">
        <f>IF(OR(AW$5="大R",AW$5="超R"),MAX(INDEX(其他调用!$H$5:$L$404,MATCH($K344,其他调用!$B$5:$B$404,0),MATCH(AW$5,其他调用!$H$4:$L$4,0))*120*0.85,2),INDEX(其他调用!$H$5:$L$404,MATCH($K344,其他调用!$B$5:$B$404,0),MATCH(AW$5,其他调用!$H$4:$L$4,0))*120*0.85)</f>
        <v>48.237344010638395</v>
      </c>
      <c r="AX344" s="14">
        <f>IF(OR(AX$5="大R",AX$5="超R"),MAX(INDEX(其他调用!$H$5:$L$404,MATCH($K344,其他调用!$B$5:$B$404,0),MATCH(AX$5,其他调用!$H$4:$L$4,0))*120*0.85,2),INDEX(其他调用!$H$5:$L$404,MATCH($K344,其他调用!$B$5:$B$404,0),MATCH(AX$5,其他调用!$H$4:$L$4,0))*120*0.85)</f>
        <v>3.9376284143615998</v>
      </c>
      <c r="AY344" s="14">
        <f>IF(OR(AY$5="大R",AY$5="超R"),MAX(INDEX(其他调用!$H$5:$L$404,MATCH($K344,其他调用!$B$5:$B$404,0),MATCH(AY$5,其他调用!$H$4:$L$4,0))*120*0.85,2),INDEX(其他调用!$H$5:$L$404,MATCH($K344,其他调用!$B$5:$B$404,0),MATCH(AY$5,其他调用!$H$4:$L$4,0))*120*0.85)</f>
        <v>2</v>
      </c>
      <c r="AZ344" s="14">
        <f>IF(OR(AZ$5="大R",AZ$5="超R"),MAX(INDEX(其他调用!$H$5:$L$404,MATCH($K344,其他调用!$B$5:$B$404,0),MATCH(AZ$5,其他调用!$H$4:$L$4,0))*120*0.85,2),INDEX(其他调用!$H$5:$L$404,MATCH($K344,其他调用!$B$5:$B$404,0),MATCH(AZ$5,其他调用!$H$4:$L$4,0))*120*0.85)</f>
        <v>2</v>
      </c>
      <c r="BA344" s="14">
        <f>INDEX(其他调用!$H$5:$L$404,MATCH($K344,其他调用!$B$5:$B$404,0),MATCH(BA$5,其他调用!$H$4:$L$4,0))*INDEX(其他调用!$M$5:$M$404,MATCH($K344,其他调用!$B$5:$B$404,0))*0.6</f>
        <v>28.777530149999997</v>
      </c>
      <c r="BB344" s="14">
        <f>INDEX(其他调用!$H$5:$L$404,MATCH($K344,其他调用!$B$5:$B$404,0),MATCH(BB$5,其他调用!$H$4:$L$4,0))*INDEX(其他调用!$M$5:$M$404,MATCH($K344,其他调用!$B$5:$B$404,0))*0.6</f>
        <v>28.374908241551999</v>
      </c>
      <c r="BC344" s="14">
        <f>INDEX(其他调用!$H$5:$L$404,MATCH($K344,其他调用!$B$5:$B$404,0),MATCH(BC$5,其他调用!$H$4:$L$4,0))*INDEX(其他调用!$M$5:$M$404,MATCH($K344,其他调用!$B$5:$B$404,0))*0.6</f>
        <v>2.3162520084480001</v>
      </c>
      <c r="BD344" s="14">
        <f>INDEX(其他调用!$H$5:$L$404,MATCH($K344,其他调用!$B$5:$B$404,0),MATCH(BD$5,其他调用!$H$4:$L$4,0))*INDEX(其他调用!$M$5:$M$404,MATCH($K344,其他调用!$B$5:$B$404,0))*0.6</f>
        <v>0.4120776000000001</v>
      </c>
      <c r="BE344" s="14">
        <f>INDEX(其他调用!$H$5:$L$404,MATCH($K344,其他调用!$B$5:$B$404,0),MATCH(BE$5,其他调用!$H$4:$L$4,0))*INDEX(其他调用!$M$5:$M$404,MATCH($K344,其他调用!$B$5:$B$404,0))*0.6</f>
        <v>0.11923199999999998</v>
      </c>
      <c r="BF344" s="14">
        <f>IF(OR(BF$5="大R",BF$5="超R"),0,INDEX(其他调用!$H$5:$L$404,MATCH($K344,其他调用!$B$5:$B$404,0),MATCH(BF$5,其他调用!$H$4:$L$4,0))*50*0.4)</f>
        <v>9.5925100500000013</v>
      </c>
      <c r="BG344" s="14">
        <f>IF(OR(BG$5="大R",BG$5="超R"),0,INDEX(其他调用!$H$5:$L$404,MATCH($K344,其他调用!$B$5:$B$404,0),MATCH(BG$5,其他调用!$H$4:$L$4,0))*50*0.4)</f>
        <v>9.4583027471839998</v>
      </c>
      <c r="BH344" s="14">
        <f>IF(OR(BH$5="大R",BH$5="超R"),0,INDEX(其他调用!$H$5:$L$404,MATCH($K344,其他调用!$B$5:$B$404,0),MATCH(BH$5,其他调用!$H$4:$L$4,0))*50*0.4)</f>
        <v>0.77208400281600009</v>
      </c>
      <c r="BI344" s="14">
        <f>IF(OR(BI$5="大R",BI$5="超R"),0,INDEX(其他调用!$H$5:$L$404,MATCH($K344,其他调用!$B$5:$B$404,0),MATCH(BI$5,其他调用!$H$4:$L$4,0))*50*0.4)</f>
        <v>0</v>
      </c>
      <c r="BJ344" s="14">
        <f>IF(OR(BJ$5="大R",BJ$5="超R"),0,INDEX(其他调用!$H$5:$L$404,MATCH($K344,其他调用!$B$5:$B$404,0),MATCH(BJ$5,其他调用!$H$4:$L$4,0))*50*0.4)</f>
        <v>0</v>
      </c>
      <c r="BL344" s="14">
        <f t="shared" si="628"/>
        <v>339</v>
      </c>
      <c r="BM344" s="14">
        <f t="shared" si="535"/>
        <v>96</v>
      </c>
      <c r="BN344" s="14">
        <f>('疲劳值&amp;地图信息'!$S$10*'疲劳值&amp;地图信息'!$R$10+'疲劳值&amp;地图信息'!$S$11*'疲劳值&amp;地图信息'!$R$11+'疲劳值&amp;地图信息'!$S$12*'疲劳值&amp;地图信息'!$R$12+(BM344-'疲劳值&amp;地图信息'!$S$12-'疲劳值&amp;地图信息'!$S$11-'疲劳值&amp;地图信息'!$S$10)*'疲劳值&amp;地图信息'!$R$13)/BM344</f>
        <v>51.371477246638619</v>
      </c>
      <c r="BO344" s="14">
        <f>INDEX(其他调用!$M$5:$M$404,MATCH(BL344,其他调用!$B$5:$B$404,0))*0.6</f>
        <v>60</v>
      </c>
      <c r="BP344" s="14">
        <f>IF(BO344&gt;SUM('疲劳值&amp;地图信息'!$S$10:$S$12),('疲劳值&amp;地图信息'!$S$10*'疲劳值&amp;地图信息'!$R$10+'疲劳值&amp;地图信息'!$S$11*'疲劳值&amp;地图信息'!$R$11+'疲劳值&amp;地图信息'!$S$12*'疲劳值&amp;地图信息'!$R$12+(BO344-'疲劳值&amp;地图信息'!$S$12-'疲劳值&amp;地图信息'!$S$11-'疲劳值&amp;地图信息'!$S$10)*'疲劳值&amp;地图信息'!$R$13)/BO344,('疲劳值&amp;地图信息'!$S$10*'疲劳值&amp;地图信息'!$R$10+'疲劳值&amp;地图信息'!$S$11*'疲劳值&amp;地图信息'!$R$11+'疲劳值&amp;地图信息'!$S$12*'疲劳值&amp;地图信息'!$R$12+(BO344-'疲劳值&amp;地图信息'!$S$12-'疲劳值&amp;地图信息'!$S$11-'疲劳值&amp;地图信息'!$S$10)*'疲劳值&amp;地图信息'!$R$13)/BO344)</f>
        <v>44.158136341605953</v>
      </c>
      <c r="BQ344" s="14">
        <f t="shared" si="629"/>
        <v>20</v>
      </c>
      <c r="BR344" s="14">
        <f>('疲劳值&amp;地图信息'!$S$10*'疲劳值&amp;地图信息'!$R$10+($BQ344-'疲劳值&amp;地图信息'!$S$10)*'疲劳值&amp;地图信息'!$R$11)/$BQ344</f>
        <v>32.067203015074995</v>
      </c>
      <c r="CF344" s="14">
        <v>339</v>
      </c>
      <c r="CG344" s="51">
        <f t="shared" si="536"/>
        <v>16877</v>
      </c>
      <c r="CH344" s="51">
        <f t="shared" si="537"/>
        <v>1044</v>
      </c>
      <c r="CI344" s="51">
        <f>INT(SUMPRODUCT($N344:$R344,$BA344:$BE344)/SUM($BA344:$BE344)/10000*$BX$7*$BZ$34/'疲劳值&amp;地图信息'!$R$10*$BY$53)</f>
        <v>3384</v>
      </c>
      <c r="CJ344" s="50">
        <f t="shared" si="538"/>
        <v>0.79216146444496593</v>
      </c>
      <c r="CK344" s="50">
        <f t="shared" si="539"/>
        <v>4.9002581553625912E-2</v>
      </c>
      <c r="CL344" s="50">
        <f t="shared" si="540"/>
        <v>0.15883595400140813</v>
      </c>
      <c r="CM344" s="14">
        <f t="shared" si="541"/>
        <v>18503</v>
      </c>
      <c r="CN344" s="14">
        <f t="shared" si="542"/>
        <v>1820</v>
      </c>
      <c r="CO344" s="14">
        <f>INT(SUMPRODUCT($U344:$Y344,$BA344:$BE344)/SUM($BA344:$BE344)/10000*$BX$7*$BZ$34/'疲劳值&amp;地图信息'!$R$10*$BY$54)</f>
        <v>6506</v>
      </c>
      <c r="CP344" s="50">
        <f t="shared" si="543"/>
        <v>0.68966416936896646</v>
      </c>
      <c r="CQ344" s="50">
        <f t="shared" si="544"/>
        <v>6.7837042006783699E-2</v>
      </c>
      <c r="CR344" s="50">
        <f t="shared" si="545"/>
        <v>0.24249878862424987</v>
      </c>
      <c r="CS344" s="14">
        <f t="shared" si="546"/>
        <v>20166</v>
      </c>
      <c r="CT344" s="14">
        <f t="shared" si="547"/>
        <v>3272</v>
      </c>
      <c r="CU344" s="14">
        <f>INT(SUMPRODUCT($AB344:$AF344,$BA344:$BE344)/SUM($BA344:$BE344)/10000*$BX$7*$BZ$34/'疲劳值&amp;地图信息'!$R$10*$BY$55)</f>
        <v>8848</v>
      </c>
      <c r="CV344" s="50">
        <f t="shared" si="548"/>
        <v>0.62460509199033631</v>
      </c>
      <c r="CW344" s="50">
        <f t="shared" si="549"/>
        <v>0.10134423589171777</v>
      </c>
      <c r="CX344" s="50">
        <f t="shared" si="550"/>
        <v>0.27405067211794587</v>
      </c>
      <c r="CY344" s="14">
        <f t="shared" si="551"/>
        <v>24016</v>
      </c>
      <c r="CZ344" s="14">
        <f t="shared" si="552"/>
        <v>8492</v>
      </c>
      <c r="DA344" s="14">
        <f>INT(SUMPRODUCT($AI344:$AM344,$BA344:$BE344)/SUM($BA344:$BE344)/10000*$BX$7*$BZ$34/'疲劳值&amp;地图信息'!$R$10*$BY$56)</f>
        <v>13345</v>
      </c>
      <c r="DB344" s="50">
        <f t="shared" si="553"/>
        <v>0.52376071358471643</v>
      </c>
      <c r="DC344" s="50">
        <f t="shared" si="554"/>
        <v>0.18520053213530194</v>
      </c>
      <c r="DD344" s="50">
        <f t="shared" si="555"/>
        <v>0.29103875427998166</v>
      </c>
      <c r="DE344" s="14">
        <f t="shared" si="556"/>
        <v>24781</v>
      </c>
      <c r="DF344" s="14">
        <f t="shared" si="557"/>
        <v>14706</v>
      </c>
      <c r="DG344" s="14">
        <f>INT(SUMPRODUCT($AP344:$AT344,$BA344:$BE344)/SUM($BA344:$BE344)/10000*$BX$7*$BZ$34/'疲劳值&amp;地图信息'!$R$10*$BY$57)</f>
        <v>17812</v>
      </c>
      <c r="DH344" s="50">
        <f t="shared" si="558"/>
        <v>0.43248573273530078</v>
      </c>
      <c r="DI344" s="50">
        <f t="shared" si="559"/>
        <v>0.25665369378174141</v>
      </c>
      <c r="DJ344" s="50">
        <f t="shared" si="560"/>
        <v>0.31086057348295781</v>
      </c>
      <c r="DL344" s="14">
        <f t="shared" si="631"/>
        <v>21305</v>
      </c>
      <c r="DM344" s="14">
        <f t="shared" si="632"/>
        <v>26829</v>
      </c>
      <c r="DN344" s="14">
        <f t="shared" si="633"/>
        <v>32286</v>
      </c>
      <c r="DO344" s="14">
        <f t="shared" si="634"/>
        <v>45853</v>
      </c>
      <c r="DP344" s="14">
        <f t="shared" si="635"/>
        <v>57299</v>
      </c>
      <c r="DQ344" s="14">
        <f t="shared" si="636"/>
        <v>1474885</v>
      </c>
      <c r="DT344" s="14">
        <f t="shared" si="630"/>
        <v>235575</v>
      </c>
      <c r="DU344" s="50">
        <f t="shared" si="532"/>
        <v>0.13772610876606292</v>
      </c>
      <c r="DW344" s="14">
        <f t="shared" si="561"/>
        <v>1710460</v>
      </c>
      <c r="EB344" s="14">
        <v>339</v>
      </c>
      <c r="EC344" s="51">
        <f t="shared" si="562"/>
        <v>28129</v>
      </c>
      <c r="ED344" s="51">
        <f t="shared" si="563"/>
        <v>1741</v>
      </c>
      <c r="EE344" s="51">
        <f>INT(SUMPRODUCT($N344:$R344,$BF344:$BJ344)/SUM($BF344:$BJ344)/10000*$BX$7*$BZ$46/'疲劳值&amp;地图信息'!$R$10*$BY$53)</f>
        <v>454</v>
      </c>
      <c r="EF344" s="50">
        <f t="shared" si="564"/>
        <v>0.92761509035747258</v>
      </c>
      <c r="EG344" s="50">
        <f t="shared" si="565"/>
        <v>5.7413270017148132E-2</v>
      </c>
      <c r="EH344" s="50">
        <f t="shared" si="566"/>
        <v>1.4971639625379238E-2</v>
      </c>
      <c r="EI344" s="51">
        <f t="shared" si="567"/>
        <v>30839</v>
      </c>
      <c r="EJ344" s="51">
        <f t="shared" si="568"/>
        <v>3034</v>
      </c>
      <c r="EK344" s="14">
        <f>INT(SUMPRODUCT($U344:$Y344,$BF344:$BJ344)/SUM($BF344:$BJ344)/10000*$BX$7*$BZ$46/'疲劳值&amp;地图信息'!$R$10*$BY$54)</f>
        <v>873</v>
      </c>
      <c r="EL344" s="50">
        <f t="shared" si="569"/>
        <v>0.88755540206066885</v>
      </c>
      <c r="EM344" s="50">
        <f t="shared" si="570"/>
        <v>8.7319403672365167E-2</v>
      </c>
      <c r="EN344" s="50">
        <f t="shared" si="571"/>
        <v>2.5125194266965981E-2</v>
      </c>
      <c r="EO344" s="51">
        <f t="shared" si="572"/>
        <v>33611</v>
      </c>
      <c r="EP344" s="51">
        <f t="shared" si="573"/>
        <v>5454</v>
      </c>
      <c r="EQ344" s="14">
        <f>INT(SUMPRODUCT($AB344:$AF344,$BF344:$BJ344)/SUM($BF344:$BJ344)/10000*$BX$7*$BZ$46/'疲劳值&amp;地图信息'!$R$10*$BY$55)</f>
        <v>1186</v>
      </c>
      <c r="ER344" s="50">
        <f t="shared" si="574"/>
        <v>0.83503515440610177</v>
      </c>
      <c r="ES344" s="50">
        <f t="shared" si="575"/>
        <v>0.13549973913691585</v>
      </c>
      <c r="ET344" s="50">
        <f t="shared" si="576"/>
        <v>2.9465106456982436E-2</v>
      </c>
      <c r="EU344" s="51">
        <f t="shared" si="577"/>
        <v>40027</v>
      </c>
      <c r="EV344" s="51">
        <f t="shared" si="578"/>
        <v>14154</v>
      </c>
      <c r="EW344" s="14">
        <f>INT(SUMPRODUCT($AI344:$AM344,$BF344:$BJ344)/SUM($BF344:$BJ344)/10000*$BX$7*$BZ$46/'疲劳值&amp;地图信息'!$R$10*$BY$56)</f>
        <v>1779</v>
      </c>
      <c r="EX344" s="50">
        <f t="shared" si="579"/>
        <v>0.71527877055039313</v>
      </c>
      <c r="EY344" s="50">
        <f t="shared" si="580"/>
        <v>0.25293066476054327</v>
      </c>
      <c r="EZ344" s="50">
        <f t="shared" si="581"/>
        <v>3.1790564689063619E-2</v>
      </c>
      <c r="FA344" s="51">
        <f t="shared" si="582"/>
        <v>41301</v>
      </c>
      <c r="FB344" s="51">
        <f t="shared" si="583"/>
        <v>24511</v>
      </c>
      <c r="FC344" s="14">
        <f>INT(SUMPRODUCT($AP344:$AT344,$BF344:$BJ344)/SUM($BF344:$BJ344)/10000*$BX$7*$BZ$46/'疲劳值&amp;地图信息'!$R$10*$BY$57)</f>
        <v>2372</v>
      </c>
      <c r="FD344" s="50">
        <f t="shared" si="584"/>
        <v>0.60572861668426614</v>
      </c>
      <c r="FE344" s="50">
        <f t="shared" si="585"/>
        <v>0.3594831632054441</v>
      </c>
      <c r="FF344" s="50">
        <f t="shared" si="586"/>
        <v>3.4788220110289807E-2</v>
      </c>
      <c r="FH344" s="14">
        <f t="shared" si="587"/>
        <v>30324</v>
      </c>
      <c r="FI344" s="14">
        <f t="shared" si="588"/>
        <v>34746</v>
      </c>
      <c r="FJ344" s="14">
        <f t="shared" si="589"/>
        <v>40251</v>
      </c>
      <c r="FK344" s="14">
        <f t="shared" si="590"/>
        <v>55960</v>
      </c>
      <c r="FL344" s="14">
        <f t="shared" si="591"/>
        <v>68184</v>
      </c>
      <c r="FM344" s="14">
        <f t="shared" si="592"/>
        <v>3566340</v>
      </c>
      <c r="FP344" s="14">
        <f t="shared" si="593"/>
        <v>334150</v>
      </c>
      <c r="FQ344" s="50">
        <f t="shared" si="533"/>
        <v>8.5668723673179528E-2</v>
      </c>
      <c r="FS344" s="14">
        <f t="shared" si="594"/>
        <v>3900490</v>
      </c>
      <c r="FX344" s="14">
        <v>339</v>
      </c>
      <c r="FY344" s="51">
        <f t="shared" si="595"/>
        <v>39381</v>
      </c>
      <c r="FZ344" s="51">
        <f t="shared" si="596"/>
        <v>1741</v>
      </c>
      <c r="GA344" s="51">
        <f>INT(SUMPRODUCT($N344:$R344,$BF344:$BJ344)/SUM($BF344:$BJ344)/10000*$BX$7*$BZ$46/'疲劳值&amp;地图信息'!$R$10*$BY$53)</f>
        <v>454</v>
      </c>
      <c r="GB344" s="50">
        <f t="shared" si="597"/>
        <v>0.94720511833750243</v>
      </c>
      <c r="GC344" s="50">
        <f t="shared" si="598"/>
        <v>4.1875120261689436E-2</v>
      </c>
      <c r="GD344" s="50">
        <f t="shared" si="599"/>
        <v>1.0919761400808159E-2</v>
      </c>
      <c r="GE344" s="51">
        <f t="shared" si="600"/>
        <v>43174</v>
      </c>
      <c r="GF344" s="51">
        <f t="shared" si="601"/>
        <v>3034</v>
      </c>
      <c r="GG344" s="14">
        <f>INT(SUMPRODUCT($U344:$Y344,$BF344:$BJ344)/SUM($BF344:$BJ344)/10000*$BX$7*$BZ$46/'疲劳值&amp;地图信息'!$R$10*$BY$54)</f>
        <v>873</v>
      </c>
      <c r="GH344" s="50">
        <f t="shared" si="602"/>
        <v>0.91701535651324317</v>
      </c>
      <c r="GI344" s="50">
        <f t="shared" si="603"/>
        <v>6.4442131645462072E-2</v>
      </c>
      <c r="GJ344" s="50">
        <f t="shared" si="604"/>
        <v>1.8542511841294788E-2</v>
      </c>
      <c r="GK344" s="51">
        <f t="shared" si="605"/>
        <v>47056</v>
      </c>
      <c r="GL344" s="51">
        <f t="shared" si="606"/>
        <v>5454</v>
      </c>
      <c r="GM344" s="14">
        <f>INT(SUMPRODUCT($AB344:$AF344,$BF344:$BJ344)/SUM($BF344:$BJ344)/10000*$BX$7*$BZ$46/'疲劳值&amp;地图信息'!$R$10*$BY$55)</f>
        <v>1186</v>
      </c>
      <c r="GN344" s="50">
        <f t="shared" si="607"/>
        <v>0.8763408820023838</v>
      </c>
      <c r="GO344" s="50">
        <f t="shared" si="608"/>
        <v>0.10157181168057211</v>
      </c>
      <c r="GP344" s="50">
        <f t="shared" si="609"/>
        <v>2.20873063170441E-2</v>
      </c>
      <c r="GQ344" s="51">
        <f t="shared" si="610"/>
        <v>56038</v>
      </c>
      <c r="GR344" s="51">
        <f t="shared" si="611"/>
        <v>14154</v>
      </c>
      <c r="GS344" s="14">
        <f>INT(SUMPRODUCT($AI344:$AM344,$BF344:$BJ344)/SUM($BF344:$BJ344)/10000*$BX$7*$BZ$46/'疲劳值&amp;地图信息'!$R$10*$BY$56)</f>
        <v>1779</v>
      </c>
      <c r="GT344" s="50">
        <f t="shared" si="612"/>
        <v>0.77861916605299353</v>
      </c>
      <c r="GU344" s="50">
        <f t="shared" si="613"/>
        <v>0.19666254463603397</v>
      </c>
      <c r="GV344" s="50">
        <f t="shared" si="614"/>
        <v>2.4718289310972474E-2</v>
      </c>
      <c r="GW344" s="51">
        <f t="shared" si="615"/>
        <v>57822</v>
      </c>
      <c r="GX344" s="51">
        <f t="shared" si="616"/>
        <v>24511</v>
      </c>
      <c r="GY344" s="14">
        <f>INT(SUMPRODUCT($AP344:$AT344,$BF344:$BJ344)/SUM($BF344:$BJ344)/10000*$BX$7*$BZ$46/'疲劳值&amp;地图信息'!$R$10*$BY$57)</f>
        <v>2372</v>
      </c>
      <c r="GZ344" s="50">
        <f t="shared" si="617"/>
        <v>0.68262794404108373</v>
      </c>
      <c r="HA344" s="50">
        <f t="shared" si="618"/>
        <v>0.28936898648249809</v>
      </c>
      <c r="HB344" s="50">
        <f t="shared" si="619"/>
        <v>2.8003069476418157E-2</v>
      </c>
      <c r="HD344" s="14">
        <f t="shared" si="620"/>
        <v>41576</v>
      </c>
      <c r="HE344" s="14">
        <f t="shared" si="621"/>
        <v>47081</v>
      </c>
      <c r="HF344" s="14">
        <f t="shared" si="622"/>
        <v>53696</v>
      </c>
      <c r="HG344" s="14">
        <f t="shared" si="623"/>
        <v>71971</v>
      </c>
      <c r="HH344" s="14">
        <f t="shared" si="624"/>
        <v>84705</v>
      </c>
      <c r="HI344" s="14">
        <f t="shared" si="625"/>
        <v>4829822</v>
      </c>
      <c r="HL344" s="14">
        <f t="shared" si="626"/>
        <v>430050</v>
      </c>
      <c r="HM344" s="50">
        <f t="shared" si="534"/>
        <v>8.1760544743294139E-2</v>
      </c>
      <c r="HO344" s="14">
        <f t="shared" si="627"/>
        <v>5259872</v>
      </c>
    </row>
    <row r="345" spans="11:223" x14ac:dyDescent="0.2">
      <c r="K345" s="14">
        <v>340</v>
      </c>
      <c r="L345" s="12">
        <f>求节点(节奏总纲!D$4:D$163,标准城池设计!AB$4:AB$163,$K345)*求节点(节奏总纲!D$4:D$163,攻城基础信息!$AC$5:$AC$164,$K345)</f>
        <v>829201.49959576502</v>
      </c>
      <c r="M345" s="12">
        <f>INDEX(其他调用!$AA$5:$AA$404,MATCH(K345,其他调用!$X$5:$X$404,0))*MIN(INDEX(其他调用!$AH$5:$AH$364,MATCH('征服点（新）'!K345,其他调用!$AG$5:$AG$364,0),1)/INDEX(其他调用!$AJ$5:$AJ$364,MATCH(K345,其他调用!$AG$5:$AG$364,0),0),5)*求节点(节奏总纲!D$4:D$163,攻城基础信息!$AC$5:$AC$164,$K345)</f>
        <v>51202.985212697873</v>
      </c>
      <c r="N345" s="12">
        <f>MIN(INDEX(其他调用!$AH$5:$AH$364,MATCH($K345,其他调用!$AG$5:$AG$364,0),1)/INDEX(其他调用!AH$5:AH$364,MATCH($K345,其他调用!$AG$5:$AG$364,0),0),1)*INDEX(其他调用!Y$5:Y$404,MATCH($K345,其他调用!$X$5:$X$404,0),0)</f>
        <v>43199.314378694035</v>
      </c>
      <c r="O345" s="12">
        <f>MIN(INDEX(其他调用!$AH$5:$AH$364,MATCH($K345,其他调用!$AG$5:$AG$364,0),1)/INDEX(其他调用!AI$5:AI$364,MATCH($K345,其他调用!$AG$5:$AG$364,0),0),1)*INDEX(其他调用!Z$5:Z$404,MATCH($K345,其他调用!$X$5:$X$404,0),0)</f>
        <v>25450.473345360973</v>
      </c>
      <c r="P345" s="12">
        <f>MIN(INDEX(其他调用!$AH$5:$AH$364,MATCH($K345,其他调用!$AG$5:$AG$364,0),1)/INDEX(其他调用!AJ$5:AJ$364,MATCH($K345,其他调用!$AG$5:$AG$364,0),0),1)*INDEX(其他调用!AA$5:AA$404,MATCH($K345,其他调用!$X$5:$X$404,0),0)</f>
        <v>14629.424346485115</v>
      </c>
      <c r="Q345" s="12">
        <f>MIN(INDEX(其他调用!$AH$5:$AH$364,MATCH($K345,其他调用!$AG$5:$AG$364,0),1)/INDEX(其他调用!AK$5:AK$364,MATCH($K345,其他调用!$AG$5:$AG$364,0),0),1)*INDEX(其他调用!AB$5:AB$404,MATCH($K345,其他调用!$X$5:$X$404,0),0)</f>
        <v>5928.973622806735</v>
      </c>
      <c r="R345" s="12">
        <f>MIN(INDEX(其他调用!$AH$5:$AH$364,MATCH($K345,其他调用!$AG$5:$AG$364,0),1)/INDEX(其他调用!AL$5:AL$364,MATCH($K345,其他调用!$AG$5:$AG$364,0),0),1)*INDEX(其他调用!AC$5:AC$404,MATCH($K345,其他调用!$X$5:$X$404,0),0)</f>
        <v>3704.0508387045561</v>
      </c>
      <c r="S345" s="12">
        <f>求节点(节奏总纲!D$4:D$163,标准城池设计!AC$4:AC$163,$K345)*求节点(节奏总纲!D$4:D$163,攻城基础信息!$AD$5:$AD$164,$K345)</f>
        <v>908954.13677586219</v>
      </c>
      <c r="T345" s="12">
        <f>INDEX(其他调用!$AA$5:$AA$404,MATCH($K345,其他调用!$X$5:$X$404,0))*MIN(INDEX(其他调用!AI$5:AI$364,MATCH($K345,其他调用!$AG$5:$AG$364,0),1)/INDEX(其他调用!$AJ$5:$AJ$364,MATCH($K345,其他调用!$AG$5:$AG$364,0),0),5)*求节点(节奏总纲!D$4:D$163,攻城基础信息!$AD$5:$AD$164,$K345)</f>
        <v>89241.540729776258</v>
      </c>
      <c r="U345" s="12">
        <f>MIN(INDEX(其他调用!$AI$5:$AI$364,MATCH($K345,其他调用!$AG$5:$AG$364,0),1)/INDEX(其他调用!AH$5:AH$364,MATCH($K345,其他调用!$AG$5:$AG$364,0),0),1)*INDEX(其他调用!Y$5:Y$404,MATCH($K345,其他调用!$X$5:$X$404,0),0)</f>
        <v>43199.314378694035</v>
      </c>
      <c r="V345" s="12">
        <f>MIN(INDEX(其他调用!$AI$5:$AI$364,MATCH($K345,其他调用!$AG$5:$AG$364,0),1)/INDEX(其他调用!AI$5:AI$364,MATCH($K345,其他调用!$AG$5:$AG$364,0),0),1)*INDEX(其他调用!Z$5:Z$404,MATCH($K345,其他调用!$X$5:$X$404,0),0)</f>
        <v>44357.559314312595</v>
      </c>
      <c r="W345" s="12">
        <f>MIN(INDEX(其他调用!$AI$5:$AI$364,MATCH($K345,其他调用!$AG$5:$AG$364,0),1)/INDEX(其他调用!AJ$5:AJ$364,MATCH($K345,其他调用!$AG$5:$AG$364,0),0),1)*INDEX(其他调用!AA$5:AA$404,MATCH($K345,其他调用!$X$5:$X$404,0),0)</f>
        <v>25497.583065650375</v>
      </c>
      <c r="X345" s="12">
        <f>MIN(INDEX(其他调用!$AI$5:$AI$364,MATCH($K345,其他调用!$AG$5:$AG$364,0),1)/INDEX(其他调用!AK$5:AK$364,MATCH($K345,其他调用!$AG$5:$AG$364,0),0),1)*INDEX(其他调用!AB$5:AB$404,MATCH($K345,其他调用!$X$5:$X$404,0),0)</f>
        <v>10333.591661649089</v>
      </c>
      <c r="Y345" s="12">
        <f>MIN(INDEX(其他调用!$AI$5:$AI$364,MATCH($K345,其他调用!$AG$5:$AG$364,0),1)/INDEX(其他调用!AL$5:AL$364,MATCH($K345,其他调用!$AG$5:$AG$364,0),0),1)*INDEX(其他调用!AC$5:AC$404,MATCH($K345,其他调用!$X$5:$X$404,0),0)</f>
        <v>6455.7799201410608</v>
      </c>
      <c r="Z345" s="12">
        <f>求节点(节奏总纲!D$4:D$163,标准城池设计!AD$4:AD$163,$K345)*求节点(节奏总纲!D$4:D$163,攻城基础信息!$AE$5:$AE$164,$K345)</f>
        <v>990839.20445285877</v>
      </c>
      <c r="AA345" s="12">
        <f>INDEX(其他调用!$AA$5:$AA$404,MATCH($K345,其他调用!$X$5:$X$404,0))*MIN(INDEX(其他调用!AJ$5:AJ$364,MATCH($K345,其他调用!$AG$5:$AG$364,0),1)/INDEX(其他调用!$AJ$5:$AJ$364,MATCH($K345,其他调用!$AG$5:$AG$364,0),0),5)*求节点(节奏总纲!D$4:D$163,攻城基础信息!$AE$5:$AE$164,$K345)</f>
        <v>160650.75939240668</v>
      </c>
      <c r="AB345" s="12">
        <f>MIN(INDEX(其他调用!$AJ$5:$AJ$364,MATCH($K345,其他调用!$AG$5:$AG$364,0),1)/INDEX(其他调用!AH$5:AH$364,MATCH($K345,其他调用!$AG$5:$AG$364,0),0),1)*INDEX(其他调用!Y$5:Y$404,MATCH($K345,其他调用!$X$5:$X$404,0),0)</f>
        <v>43199.314378694035</v>
      </c>
      <c r="AC345" s="12">
        <f>MIN(INDEX(其他调用!$AJ$5:$AJ$364,MATCH($K345,其他调用!$AG$5:$AG$364,0),1)/INDEX(其他调用!AI$5:AI$364,MATCH($K345,其他调用!$AG$5:$AG$364,0),0),1)*INDEX(其他调用!Z$5:Z$404,MATCH($K345,其他调用!$X$5:$X$404,0),0)</f>
        <v>44357.559314312595</v>
      </c>
      <c r="AD345" s="12">
        <f>MIN(INDEX(其他调用!$AJ$5:$AJ$364,MATCH($K345,其他调用!$AG$5:$AG$364,0),1)/INDEX(其他调用!AJ$5:AJ$364,MATCH($K345,其他调用!$AG$5:$AG$364,0),0),1)*INDEX(其他调用!AA$5:AA$404,MATCH($K345,其他调用!$X$5:$X$404,0),0)</f>
        <v>45900.216969259076</v>
      </c>
      <c r="AE345" s="12">
        <f>MIN(INDEX(其他调用!$AJ$5:$AJ$364,MATCH($K345,其他调用!$AG$5:$AG$364,0),1)/INDEX(其他调用!AK$5:AK$364,MATCH($K345,其他调用!$AG$5:$AG$364,0),0),1)*INDEX(其他调用!AB$5:AB$404,MATCH($K345,其他调用!$X$5:$X$404,0),0)</f>
        <v>18602.316075220566</v>
      </c>
      <c r="AF345" s="12">
        <f>MIN(INDEX(其他调用!$AJ$5:$AJ$364,MATCH($K345,其他调用!$AG$5:$AG$364,0),1)/INDEX(其他调用!AL$5:AL$364,MATCH($K345,其他调用!$AG$5:$AG$364,0),0),1)*INDEX(其他调用!AC$5:AC$404,MATCH($K345,其他调用!$X$5:$X$404,0),0)</f>
        <v>11621.560297589813</v>
      </c>
      <c r="AG345" s="12">
        <f>求节点(节奏总纲!D$4:D$163,标准城池设计!AE$4:AE$163,$K345)*求节点(节奏总纲!D$4:D$163,攻城基础信息!$AF$5:$AF$164,$K345)</f>
        <v>1179080.9258731911</v>
      </c>
      <c r="AH345" s="12">
        <f>INDEX(其他调用!$AA$5:$AA$404,MATCH($K345,其他调用!$X$5:$X$404,0))*MIN(INDEX(其他调用!AK$5:AK$364,MATCH($K345,其他调用!$AG$5:$AG$364,0),1)/INDEX(其他调用!$AJ$5:$AJ$364,MATCH($K345,其他调用!$AG$5:$AG$364,0),0),5)*求节点(节奏总纲!D$4:D$163,攻城基础信息!$AF$5:$AF$164,$K345)</f>
        <v>415797.12495000113</v>
      </c>
      <c r="AI345" s="12">
        <f>MIN(INDEX(其他调用!$AK$5:$AK$364,MATCH($K345,其他调用!$AG$5:$AG$364,0),1)/INDEX(其他调用!AH$5:AH$364,MATCH($K345,其他调用!$AG$5:$AG$364,0),0),1)*INDEX(其他调用!Y$5:Y$404,MATCH($K345,其他调用!$X$5:$X$404,0),0)</f>
        <v>43199.314378694035</v>
      </c>
      <c r="AJ345" s="12">
        <f>MIN(INDEX(其他调用!$AK$5:$AK$364,MATCH($K345,其他调用!$AG$5:$AG$364,0),1)/INDEX(其他调用!AI$5:AI$364,MATCH($K345,其他调用!$AG$5:$AG$364,0),0),1)*INDEX(其他调用!Z$5:Z$404,MATCH($K345,其他调用!$X$5:$X$404,0),0)</f>
        <v>44357.559314312595</v>
      </c>
      <c r="AK345" s="12">
        <f>MIN(INDEX(其他调用!$AK$5:$AK$364,MATCH($K345,其他调用!$AG$5:$AG$364,0),1)/INDEX(其他调用!AJ$5:AJ$364,MATCH($K345,其他调用!$AG$5:$AG$364,0),0),1)*INDEX(其他调用!AA$5:AA$404,MATCH($K345,其他调用!$X$5:$X$404,0),0)</f>
        <v>45900.216969259076</v>
      </c>
      <c r="AL345" s="12">
        <f>MIN(INDEX(其他调用!$AK$5:$AK$364,MATCH($K345,其他调用!$AG$5:$AG$364,0),1)/INDEX(其他调用!AK$5:AK$364,MATCH($K345,其他调用!$AG$5:$AG$364,0),0),1)*INDEX(其他调用!AB$5:AB$404,MATCH($K345,其他调用!$X$5:$X$404,0),0)</f>
        <v>48146.610515514898</v>
      </c>
      <c r="AM345" s="12">
        <f>MIN(INDEX(其他调用!$AK$5:$AK$364,MATCH($K345,其他调用!$AG$5:$AG$364,0),1)/INDEX(其他调用!AL$5:AL$364,MATCH($K345,其他调用!$AG$5:$AG$364,0),0),1)*INDEX(其他调用!AC$5:AC$404,MATCH($K345,其他调用!$X$5:$X$404,0),0)</f>
        <v>30078.982368005687</v>
      </c>
      <c r="AN345" s="12">
        <f>求节点(节奏总纲!D$4:D$163,标准城池设计!AF$4:AF$163,$K345)*求节点(节奏总纲!D$4:D$163,攻城基础信息!$AG$5:$AG$164,$K345)</f>
        <v>1216557.6237354546</v>
      </c>
      <c r="AO345" s="12">
        <f>INDEX(其他调用!$AA$5:$AA$404,MATCH($K345,其他调用!$X$5:$X$404,0))*MIN(INDEX(其他调用!AL$5:AL$364,MATCH($K345,其他调用!$AG$5:$AG$364,0),1)/INDEX(其他调用!$AJ$5:$AJ$364,MATCH($K345,其他调用!$AG$5:$AG$364,0),0),5)*求节点(节奏总纲!D$4:D$163,攻城基础信息!$AG$5:$AG$164,$K345)</f>
        <v>719380.75029885862</v>
      </c>
      <c r="AP345" s="12">
        <f>MIN(INDEX(其他调用!$AL$5:$AL$364,MATCH($K345,其他调用!$AG$5:$AG$364,0),1)/INDEX(其他调用!AH$5:AH$364,MATCH($K345,其他调用!$AG$5:$AG$364,0),0),1)*INDEX(其他调用!Y$5:Y$404,MATCH($K345,其他调用!$X$5:$X$404,0),0)</f>
        <v>43199.314378694035</v>
      </c>
      <c r="AQ345" s="12">
        <f>MIN(INDEX(其他调用!$AL$5:$AL$364,MATCH($K345,其他调用!$AG$5:$AG$364,0),1)/INDEX(其他调用!AI$5:AI$364,MATCH($K345,其他调用!$AG$5:$AG$364,0),0),1)*INDEX(其他调用!Z$5:Z$404,MATCH($K345,其他调用!$X$5:$X$404,0),0)</f>
        <v>44357.559314312595</v>
      </c>
      <c r="AR345" s="12">
        <f>MIN(INDEX(其他调用!$AL$5:$AL$364,MATCH($K345,其他调用!$AG$5:$AG$364,0),1)/INDEX(其他调用!AJ$5:AJ$364,MATCH($K345,其他调用!$AG$5:$AG$364,0),0),1)*INDEX(其他调用!AA$5:AA$404,MATCH($K345,其他调用!$X$5:$X$404,0),0)</f>
        <v>45900.216969259076</v>
      </c>
      <c r="AS345" s="12">
        <f>MIN(INDEX(其他调用!$AL$5:$AL$364,MATCH($K345,其他调用!$AG$5:$AG$364,0),1)/INDEX(其他调用!AK$5:AK$364,MATCH($K345,其他调用!$AG$5:$AG$364,0),0),1)*INDEX(其他调用!AB$5:AB$404,MATCH($K345,其他调用!$X$5:$X$404,0),0)</f>
        <v>48146.610515514898</v>
      </c>
      <c r="AT345" s="12">
        <f>MIN(INDEX(其他调用!$AL$5:$AL$364,MATCH($K345,其他调用!$AG$5:$AG$364,0),1)/INDEX(其他调用!AL$5:AL$364,MATCH($K345,其他调用!$AG$5:$AG$364,0),0),1)*INDEX(其他调用!AC$5:AC$404,MATCH($K345,其他调用!$X$5:$X$404,0),0)</f>
        <v>52040.381247763624</v>
      </c>
      <c r="AV345" s="14">
        <f>IF(OR(AV$5="大R",AV$5="超R"),MAX(INDEX(其他调用!$H$5:$L$404,MATCH($K345,其他调用!$B$5:$B$404,0),MATCH(AV$5,其他调用!$H$4:$L$4,0))*120*0.85,2),INDEX(其他调用!$H$5:$L$404,MATCH($K345,其他调用!$B$5:$B$404,0),MATCH(AV$5,其他调用!$H$4:$L$4,0))*120*0.85)</f>
        <v>48.921801254999991</v>
      </c>
      <c r="AW345" s="14">
        <f>IF(OR(AW$5="大R",AW$5="超R"),MAX(INDEX(其他调用!$H$5:$L$404,MATCH($K345,其他调用!$B$5:$B$404,0),MATCH(AW$5,其他调用!$H$4:$L$4,0))*120*0.85,2),INDEX(其他调用!$H$5:$L$404,MATCH($K345,其他调用!$B$5:$B$404,0),MATCH(AW$5,其他调用!$H$4:$L$4,0))*120*0.85)</f>
        <v>48.237344010638395</v>
      </c>
      <c r="AX345" s="14">
        <f>IF(OR(AX$5="大R",AX$5="超R"),MAX(INDEX(其他调用!$H$5:$L$404,MATCH($K345,其他调用!$B$5:$B$404,0),MATCH(AX$5,其他调用!$H$4:$L$4,0))*120*0.85,2),INDEX(其他调用!$H$5:$L$404,MATCH($K345,其他调用!$B$5:$B$404,0),MATCH(AX$5,其他调用!$H$4:$L$4,0))*120*0.85)</f>
        <v>3.9376284143615998</v>
      </c>
      <c r="AY345" s="14">
        <f>IF(OR(AY$5="大R",AY$5="超R"),MAX(INDEX(其他调用!$H$5:$L$404,MATCH($K345,其他调用!$B$5:$B$404,0),MATCH(AY$5,其他调用!$H$4:$L$4,0))*120*0.85,2),INDEX(其他调用!$H$5:$L$404,MATCH($K345,其他调用!$B$5:$B$404,0),MATCH(AY$5,其他调用!$H$4:$L$4,0))*120*0.85)</f>
        <v>2</v>
      </c>
      <c r="AZ345" s="14">
        <f>IF(OR(AZ$5="大R",AZ$5="超R"),MAX(INDEX(其他调用!$H$5:$L$404,MATCH($K345,其他调用!$B$5:$B$404,0),MATCH(AZ$5,其他调用!$H$4:$L$4,0))*120*0.85,2),INDEX(其他调用!$H$5:$L$404,MATCH($K345,其他调用!$B$5:$B$404,0),MATCH(AZ$5,其他调用!$H$4:$L$4,0))*120*0.85)</f>
        <v>2</v>
      </c>
      <c r="BA345" s="14">
        <f>INDEX(其他调用!$H$5:$L$404,MATCH($K345,其他调用!$B$5:$B$404,0),MATCH(BA$5,其他调用!$H$4:$L$4,0))*INDEX(其他调用!$M$5:$M$404,MATCH($K345,其他调用!$B$5:$B$404,0))*0.6</f>
        <v>28.777530149999997</v>
      </c>
      <c r="BB345" s="14">
        <f>INDEX(其他调用!$H$5:$L$404,MATCH($K345,其他调用!$B$5:$B$404,0),MATCH(BB$5,其他调用!$H$4:$L$4,0))*INDEX(其他调用!$M$5:$M$404,MATCH($K345,其他调用!$B$5:$B$404,0))*0.6</f>
        <v>28.374908241551999</v>
      </c>
      <c r="BC345" s="14">
        <f>INDEX(其他调用!$H$5:$L$404,MATCH($K345,其他调用!$B$5:$B$404,0),MATCH(BC$5,其他调用!$H$4:$L$4,0))*INDEX(其他调用!$M$5:$M$404,MATCH($K345,其他调用!$B$5:$B$404,0))*0.6</f>
        <v>2.3162520084480001</v>
      </c>
      <c r="BD345" s="14">
        <f>INDEX(其他调用!$H$5:$L$404,MATCH($K345,其他调用!$B$5:$B$404,0),MATCH(BD$5,其他调用!$H$4:$L$4,0))*INDEX(其他调用!$M$5:$M$404,MATCH($K345,其他调用!$B$5:$B$404,0))*0.6</f>
        <v>0.4120776000000001</v>
      </c>
      <c r="BE345" s="14">
        <f>INDEX(其他调用!$H$5:$L$404,MATCH($K345,其他调用!$B$5:$B$404,0),MATCH(BE$5,其他调用!$H$4:$L$4,0))*INDEX(其他调用!$M$5:$M$404,MATCH($K345,其他调用!$B$5:$B$404,0))*0.6</f>
        <v>0.11923199999999998</v>
      </c>
      <c r="BF345" s="14">
        <f>IF(OR(BF$5="大R",BF$5="超R"),0,INDEX(其他调用!$H$5:$L$404,MATCH($K345,其他调用!$B$5:$B$404,0),MATCH(BF$5,其他调用!$H$4:$L$4,0))*50*0.4)</f>
        <v>9.5925100500000013</v>
      </c>
      <c r="BG345" s="14">
        <f>IF(OR(BG$5="大R",BG$5="超R"),0,INDEX(其他调用!$H$5:$L$404,MATCH($K345,其他调用!$B$5:$B$404,0),MATCH(BG$5,其他调用!$H$4:$L$4,0))*50*0.4)</f>
        <v>9.4583027471839998</v>
      </c>
      <c r="BH345" s="14">
        <f>IF(OR(BH$5="大R",BH$5="超R"),0,INDEX(其他调用!$H$5:$L$404,MATCH($K345,其他调用!$B$5:$B$404,0),MATCH(BH$5,其他调用!$H$4:$L$4,0))*50*0.4)</f>
        <v>0.77208400281600009</v>
      </c>
      <c r="BI345" s="14">
        <f>IF(OR(BI$5="大R",BI$5="超R"),0,INDEX(其他调用!$H$5:$L$404,MATCH($K345,其他调用!$B$5:$B$404,0),MATCH(BI$5,其他调用!$H$4:$L$4,0))*50*0.4)</f>
        <v>0</v>
      </c>
      <c r="BJ345" s="14">
        <f>IF(OR(BJ$5="大R",BJ$5="超R"),0,INDEX(其他调用!$H$5:$L$404,MATCH($K345,其他调用!$B$5:$B$404,0),MATCH(BJ$5,其他调用!$H$4:$L$4,0))*50*0.4)</f>
        <v>0</v>
      </c>
      <c r="BL345" s="14">
        <f t="shared" si="628"/>
        <v>340</v>
      </c>
      <c r="BM345" s="14">
        <f t="shared" si="535"/>
        <v>96</v>
      </c>
      <c r="BN345" s="14">
        <f>('疲劳值&amp;地图信息'!$S$10*'疲劳值&amp;地图信息'!$R$10+'疲劳值&amp;地图信息'!$S$11*'疲劳值&amp;地图信息'!$R$11+'疲劳值&amp;地图信息'!$S$12*'疲劳值&amp;地图信息'!$R$12+(BM345-'疲劳值&amp;地图信息'!$S$12-'疲劳值&amp;地图信息'!$S$11-'疲劳值&amp;地图信息'!$S$10)*'疲劳值&amp;地图信息'!$R$13)/BM345</f>
        <v>51.371477246638619</v>
      </c>
      <c r="BO345" s="14">
        <f>INDEX(其他调用!$M$5:$M$404,MATCH(BL345,其他调用!$B$5:$B$404,0))*0.6</f>
        <v>60</v>
      </c>
      <c r="BP345" s="14">
        <f>IF(BO345&gt;SUM('疲劳值&amp;地图信息'!$S$10:$S$12),('疲劳值&amp;地图信息'!$S$10*'疲劳值&amp;地图信息'!$R$10+'疲劳值&amp;地图信息'!$S$11*'疲劳值&amp;地图信息'!$R$11+'疲劳值&amp;地图信息'!$S$12*'疲劳值&amp;地图信息'!$R$12+(BO345-'疲劳值&amp;地图信息'!$S$12-'疲劳值&amp;地图信息'!$S$11-'疲劳值&amp;地图信息'!$S$10)*'疲劳值&amp;地图信息'!$R$13)/BO345,('疲劳值&amp;地图信息'!$S$10*'疲劳值&amp;地图信息'!$R$10+'疲劳值&amp;地图信息'!$S$11*'疲劳值&amp;地图信息'!$R$11+'疲劳值&amp;地图信息'!$S$12*'疲劳值&amp;地图信息'!$R$12+(BO345-'疲劳值&amp;地图信息'!$S$12-'疲劳值&amp;地图信息'!$S$11-'疲劳值&amp;地图信息'!$S$10)*'疲劳值&amp;地图信息'!$R$13)/BO345)</f>
        <v>44.158136341605953</v>
      </c>
      <c r="BQ345" s="14">
        <f t="shared" si="629"/>
        <v>20</v>
      </c>
      <c r="BR345" s="14">
        <f>('疲劳值&amp;地图信息'!$S$10*'疲劳值&amp;地图信息'!$R$10+($BQ345-'疲劳值&amp;地图信息'!$S$10)*'疲劳值&amp;地图信息'!$R$11)/$BQ345</f>
        <v>32.067203015074995</v>
      </c>
      <c r="CF345" s="14">
        <v>340</v>
      </c>
      <c r="CG345" s="51">
        <f t="shared" si="536"/>
        <v>16900</v>
      </c>
      <c r="CH345" s="51">
        <f t="shared" si="537"/>
        <v>1043</v>
      </c>
      <c r="CI345" s="51">
        <f>INT(SUMPRODUCT($N345:$R345,$BA345:$BE345)/SUM($BA345:$BE345)/10000*$BX$7*$BZ$34/'疲劳值&amp;地图信息'!$R$10*$BY$53)</f>
        <v>3385</v>
      </c>
      <c r="CJ345" s="50">
        <f t="shared" si="538"/>
        <v>0.79238559639909978</v>
      </c>
      <c r="CK345" s="50">
        <f t="shared" si="539"/>
        <v>4.8902850712678171E-2</v>
      </c>
      <c r="CL345" s="50">
        <f t="shared" si="540"/>
        <v>0.15871155288822206</v>
      </c>
      <c r="CM345" s="14">
        <f t="shared" si="541"/>
        <v>18525</v>
      </c>
      <c r="CN345" s="14">
        <f t="shared" si="542"/>
        <v>1818</v>
      </c>
      <c r="CO345" s="14">
        <f>INT(SUMPRODUCT($U345:$Y345,$BA345:$BE345)/SUM($BA345:$BE345)/10000*$BX$7*$BZ$34/'疲劳值&amp;地图信息'!$R$10*$BY$54)</f>
        <v>6508</v>
      </c>
      <c r="CP345" s="50">
        <f t="shared" si="543"/>
        <v>0.68991843879185133</v>
      </c>
      <c r="CQ345" s="50">
        <f t="shared" si="544"/>
        <v>6.7706975531637556E-2</v>
      </c>
      <c r="CR345" s="50">
        <f t="shared" si="545"/>
        <v>0.24237458567651113</v>
      </c>
      <c r="CS345" s="14">
        <f t="shared" si="546"/>
        <v>20194</v>
      </c>
      <c r="CT345" s="14">
        <f t="shared" si="547"/>
        <v>3274</v>
      </c>
      <c r="CU345" s="14">
        <f>INT(SUMPRODUCT($AB345:$AF345,$BA345:$BE345)/SUM($BA345:$BE345)/10000*$BX$7*$BZ$34/'疲劳值&amp;地图信息'!$R$10*$BY$55)</f>
        <v>8851</v>
      </c>
      <c r="CV345" s="50">
        <f t="shared" si="548"/>
        <v>0.62483368916117454</v>
      </c>
      <c r="CW345" s="50">
        <f t="shared" si="549"/>
        <v>0.10130263931433522</v>
      </c>
      <c r="CX345" s="50">
        <f t="shared" si="550"/>
        <v>0.27386367152449026</v>
      </c>
      <c r="CY345" s="14">
        <f t="shared" si="551"/>
        <v>24031</v>
      </c>
      <c r="CZ345" s="14">
        <f t="shared" si="552"/>
        <v>8474</v>
      </c>
      <c r="DA345" s="14">
        <f>INT(SUMPRODUCT($AI345:$AM345,$BA345:$BE345)/SUM($BA345:$BE345)/10000*$BX$7*$BZ$34/'疲劳值&amp;地图信息'!$R$10*$BY$56)</f>
        <v>13350</v>
      </c>
      <c r="DB345" s="50">
        <f t="shared" si="553"/>
        <v>0.52406498746047325</v>
      </c>
      <c r="DC345" s="50">
        <f t="shared" si="554"/>
        <v>0.18479991276850943</v>
      </c>
      <c r="DD345" s="50">
        <f t="shared" si="555"/>
        <v>0.29113509977101731</v>
      </c>
      <c r="DE345" s="14">
        <f t="shared" si="556"/>
        <v>24795</v>
      </c>
      <c r="DF345" s="14">
        <f t="shared" si="557"/>
        <v>14661</v>
      </c>
      <c r="DG345" s="14">
        <f>INT(SUMPRODUCT($AP345:$AT345,$BA345:$BE345)/SUM($BA345:$BE345)/10000*$BX$7*$BZ$34/'疲劳值&amp;地图信息'!$R$10*$BY$57)</f>
        <v>17818</v>
      </c>
      <c r="DH345" s="50">
        <f t="shared" si="558"/>
        <v>0.43291895100743794</v>
      </c>
      <c r="DI345" s="50">
        <f t="shared" si="559"/>
        <v>0.25598002584069562</v>
      </c>
      <c r="DJ345" s="50">
        <f t="shared" si="560"/>
        <v>0.31110102315186644</v>
      </c>
      <c r="DL345" s="14">
        <f t="shared" si="631"/>
        <v>21328</v>
      </c>
      <c r="DM345" s="14">
        <f t="shared" si="632"/>
        <v>26851</v>
      </c>
      <c r="DN345" s="14">
        <f t="shared" si="633"/>
        <v>32319</v>
      </c>
      <c r="DO345" s="14">
        <f t="shared" si="634"/>
        <v>45855</v>
      </c>
      <c r="DP345" s="14">
        <f t="shared" si="635"/>
        <v>57274</v>
      </c>
      <c r="DQ345" s="14">
        <f t="shared" si="636"/>
        <v>1476245</v>
      </c>
      <c r="DT345" s="14">
        <f t="shared" si="630"/>
        <v>235575</v>
      </c>
      <c r="DU345" s="50">
        <f t="shared" si="532"/>
        <v>0.13761668867053778</v>
      </c>
      <c r="DW345" s="14">
        <f t="shared" si="561"/>
        <v>1711820</v>
      </c>
      <c r="EB345" s="14">
        <v>340</v>
      </c>
      <c r="EC345" s="51">
        <f t="shared" si="562"/>
        <v>28167</v>
      </c>
      <c r="ED345" s="51">
        <f t="shared" si="563"/>
        <v>1739</v>
      </c>
      <c r="EE345" s="51">
        <f>INT(SUMPRODUCT($N345:$R345,$BF345:$BJ345)/SUM($BF345:$BJ345)/10000*$BX$7*$BZ$46/'疲劳值&amp;地图信息'!$R$10*$BY$53)</f>
        <v>454</v>
      </c>
      <c r="EF345" s="50">
        <f t="shared" si="564"/>
        <v>0.92776679841897236</v>
      </c>
      <c r="EG345" s="50">
        <f t="shared" si="565"/>
        <v>5.7279314888010538E-2</v>
      </c>
      <c r="EH345" s="50">
        <f t="shared" si="566"/>
        <v>1.4953886693017128E-2</v>
      </c>
      <c r="EI345" s="51">
        <f t="shared" si="567"/>
        <v>30876</v>
      </c>
      <c r="EJ345" s="51">
        <f t="shared" si="568"/>
        <v>3031</v>
      </c>
      <c r="EK345" s="14">
        <f>INT(SUMPRODUCT($U345:$Y345,$BF345:$BJ345)/SUM($BF345:$BJ345)/10000*$BX$7*$BZ$46/'疲劳值&amp;地图信息'!$R$10*$BY$54)</f>
        <v>873</v>
      </c>
      <c r="EL345" s="50">
        <f t="shared" si="569"/>
        <v>0.88775158136860266</v>
      </c>
      <c r="EM345" s="50">
        <f t="shared" si="570"/>
        <v>8.7147786083956291E-2</v>
      </c>
      <c r="EN345" s="50">
        <f t="shared" si="571"/>
        <v>2.5100632547441059E-2</v>
      </c>
      <c r="EO345" s="51">
        <f t="shared" si="572"/>
        <v>33657</v>
      </c>
      <c r="EP345" s="51">
        <f t="shared" si="573"/>
        <v>5457</v>
      </c>
      <c r="EQ345" s="14">
        <f>INT(SUMPRODUCT($AB345:$AF345,$BF345:$BJ345)/SUM($BF345:$BJ345)/10000*$BX$7*$BZ$46/'疲劳值&amp;地图信息'!$R$10*$BY$55)</f>
        <v>1186</v>
      </c>
      <c r="ER345" s="50">
        <f t="shared" si="574"/>
        <v>0.83516129032258068</v>
      </c>
      <c r="ES345" s="50">
        <f t="shared" si="575"/>
        <v>0.13540942928039701</v>
      </c>
      <c r="ET345" s="50">
        <f t="shared" si="576"/>
        <v>2.9429280397022334E-2</v>
      </c>
      <c r="EU345" s="51">
        <f t="shared" si="577"/>
        <v>40051</v>
      </c>
      <c r="EV345" s="51">
        <f t="shared" si="578"/>
        <v>14124</v>
      </c>
      <c r="EW345" s="14">
        <f>INT(SUMPRODUCT($AI345:$AM345,$BF345:$BJ345)/SUM($BF345:$BJ345)/10000*$BX$7*$BZ$46/'疲劳值&amp;地图信息'!$R$10*$BY$56)</f>
        <v>1780</v>
      </c>
      <c r="EX345" s="50">
        <f t="shared" si="579"/>
        <v>0.71577160218032343</v>
      </c>
      <c r="EY345" s="50">
        <f t="shared" si="580"/>
        <v>0.25241712090072377</v>
      </c>
      <c r="EZ345" s="50">
        <f t="shared" si="581"/>
        <v>3.1811276918952733E-2</v>
      </c>
      <c r="FA345" s="51">
        <f t="shared" si="582"/>
        <v>41325</v>
      </c>
      <c r="FB345" s="51">
        <f t="shared" si="583"/>
        <v>24436</v>
      </c>
      <c r="FC345" s="14">
        <f>INT(SUMPRODUCT($AP345:$AT345,$BF345:$BJ345)/SUM($BF345:$BJ345)/10000*$BX$7*$BZ$46/'疲劳值&amp;地图信息'!$R$10*$BY$57)</f>
        <v>2373</v>
      </c>
      <c r="FD345" s="50">
        <f t="shared" si="584"/>
        <v>0.60652537646402682</v>
      </c>
      <c r="FE345" s="50">
        <f t="shared" si="585"/>
        <v>0.35864619719963603</v>
      </c>
      <c r="FF345" s="50">
        <f t="shared" si="586"/>
        <v>3.4828426336337218E-2</v>
      </c>
      <c r="FH345" s="14">
        <f t="shared" si="587"/>
        <v>30360</v>
      </c>
      <c r="FI345" s="14">
        <f t="shared" si="588"/>
        <v>34780</v>
      </c>
      <c r="FJ345" s="14">
        <f t="shared" si="589"/>
        <v>40300</v>
      </c>
      <c r="FK345" s="14">
        <f t="shared" si="590"/>
        <v>55955</v>
      </c>
      <c r="FL345" s="14">
        <f t="shared" si="591"/>
        <v>68134</v>
      </c>
      <c r="FM345" s="14">
        <f t="shared" si="592"/>
        <v>3569825</v>
      </c>
      <c r="FP345" s="14">
        <f t="shared" si="593"/>
        <v>334150</v>
      </c>
      <c r="FQ345" s="50">
        <f t="shared" si="533"/>
        <v>8.559224892577437E-2</v>
      </c>
      <c r="FS345" s="14">
        <f t="shared" si="594"/>
        <v>3903975</v>
      </c>
      <c r="FX345" s="14">
        <v>340</v>
      </c>
      <c r="FY345" s="51">
        <f t="shared" si="595"/>
        <v>39433</v>
      </c>
      <c r="FZ345" s="51">
        <f t="shared" si="596"/>
        <v>1739</v>
      </c>
      <c r="GA345" s="51">
        <f>INT(SUMPRODUCT($N345:$R345,$BF345:$BJ345)/SUM($BF345:$BJ345)/10000*$BX$7*$BZ$46/'疲劳值&amp;地图信息'!$R$10*$BY$53)</f>
        <v>454</v>
      </c>
      <c r="GB345" s="50">
        <f t="shared" si="597"/>
        <v>0.94731658098303939</v>
      </c>
      <c r="GC345" s="50">
        <f t="shared" si="598"/>
        <v>4.1776774131552397E-2</v>
      </c>
      <c r="GD345" s="50">
        <f t="shared" si="599"/>
        <v>1.0906644885408158E-2</v>
      </c>
      <c r="GE345" s="51">
        <f t="shared" si="600"/>
        <v>43226</v>
      </c>
      <c r="GF345" s="51">
        <f t="shared" si="601"/>
        <v>3031</v>
      </c>
      <c r="GG345" s="14">
        <f>INT(SUMPRODUCT($U345:$Y345,$BF345:$BJ345)/SUM($BF345:$BJ345)/10000*$BX$7*$BZ$46/'疲劳值&amp;地图信息'!$R$10*$BY$54)</f>
        <v>873</v>
      </c>
      <c r="GH345" s="50">
        <f t="shared" si="602"/>
        <v>0.91716528750265225</v>
      </c>
      <c r="GI345" s="50">
        <f t="shared" si="603"/>
        <v>6.4311478888181631E-2</v>
      </c>
      <c r="GJ345" s="50">
        <f t="shared" si="604"/>
        <v>1.8523233609166138E-2</v>
      </c>
      <c r="GK345" s="51">
        <f t="shared" si="605"/>
        <v>47120</v>
      </c>
      <c r="GL345" s="51">
        <f t="shared" si="606"/>
        <v>5457</v>
      </c>
      <c r="GM345" s="14">
        <f>INT(SUMPRODUCT($AB345:$AF345,$BF345:$BJ345)/SUM($BF345:$BJ345)/10000*$BX$7*$BZ$46/'疲劳值&amp;地图信息'!$R$10*$BY$55)</f>
        <v>1186</v>
      </c>
      <c r="GN345" s="50">
        <f t="shared" si="607"/>
        <v>0.87643918680133182</v>
      </c>
      <c r="GO345" s="50">
        <f t="shared" si="608"/>
        <v>0.10150103230846493</v>
      </c>
      <c r="GP345" s="50">
        <f t="shared" si="609"/>
        <v>2.2059780890203301E-2</v>
      </c>
      <c r="GQ345" s="51">
        <f t="shared" si="610"/>
        <v>56072</v>
      </c>
      <c r="GR345" s="51">
        <f t="shared" si="611"/>
        <v>14124</v>
      </c>
      <c r="GS345" s="14">
        <f>INT(SUMPRODUCT($AI345:$AM345,$BF345:$BJ345)/SUM($BF345:$BJ345)/10000*$BX$7*$BZ$46/'疲劳值&amp;地图信息'!$R$10*$BY$56)</f>
        <v>1780</v>
      </c>
      <c r="GT345" s="50">
        <f t="shared" si="612"/>
        <v>0.77903745693008786</v>
      </c>
      <c r="GU345" s="50">
        <f t="shared" si="613"/>
        <v>0.19623207735911971</v>
      </c>
      <c r="GV345" s="50">
        <f t="shared" si="614"/>
        <v>2.4730465710792487E-2</v>
      </c>
      <c r="GW345" s="51">
        <f t="shared" si="615"/>
        <v>57855</v>
      </c>
      <c r="GX345" s="51">
        <f t="shared" si="616"/>
        <v>24436</v>
      </c>
      <c r="GY345" s="14">
        <f>INT(SUMPRODUCT($AP345:$AT345,$BF345:$BJ345)/SUM($BF345:$BJ345)/10000*$BX$7*$BZ$46/'疲劳值&amp;地图信息'!$R$10*$BY$57)</f>
        <v>2373</v>
      </c>
      <c r="GZ345" s="50">
        <f t="shared" si="617"/>
        <v>0.68334829443447043</v>
      </c>
      <c r="HA345" s="50">
        <f t="shared" si="618"/>
        <v>0.28862326372484171</v>
      </c>
      <c r="HB345" s="50">
        <f t="shared" si="619"/>
        <v>2.8028441840687895E-2</v>
      </c>
      <c r="HD345" s="14">
        <f t="shared" si="620"/>
        <v>41626</v>
      </c>
      <c r="HE345" s="14">
        <f t="shared" si="621"/>
        <v>47130</v>
      </c>
      <c r="HF345" s="14">
        <f t="shared" si="622"/>
        <v>53763</v>
      </c>
      <c r="HG345" s="14">
        <f t="shared" si="623"/>
        <v>71976</v>
      </c>
      <c r="HH345" s="14">
        <f t="shared" si="624"/>
        <v>84664</v>
      </c>
      <c r="HI345" s="14">
        <f t="shared" si="625"/>
        <v>4834823</v>
      </c>
      <c r="HL345" s="14">
        <f t="shared" si="626"/>
        <v>430050</v>
      </c>
      <c r="HM345" s="50">
        <f t="shared" si="534"/>
        <v>8.1682881999242909E-2</v>
      </c>
      <c r="HO345" s="14">
        <f t="shared" si="627"/>
        <v>5264873</v>
      </c>
    </row>
    <row r="346" spans="11:223" x14ac:dyDescent="0.2">
      <c r="K346" s="14">
        <v>341</v>
      </c>
      <c r="L346" s="12">
        <f>求节点(节奏总纲!D$4:D$163,标准城池设计!AB$4:AB$163,$K346)*求节点(节奏总纲!D$4:D$163,攻城基础信息!$AC$5:$AC$164,$K346)</f>
        <v>830296.31280136714</v>
      </c>
      <c r="M346" s="12">
        <f>INDEX(其他调用!$AA$5:$AA$404,MATCH(K346,其他调用!$X$5:$X$404,0))*MIN(INDEX(其他调用!$AH$5:$AH$364,MATCH('征服点（新）'!K346,其他调用!$AG$5:$AG$364,0),1)/INDEX(其他调用!$AJ$5:$AJ$364,MATCH(K346,其他调用!$AG$5:$AG$364,0),0),5)*求节点(节奏总纲!D$4:D$163,攻城基础信息!$AC$5:$AC$164,$K346)</f>
        <v>51137.295642016521</v>
      </c>
      <c r="N346" s="12">
        <f>MIN(INDEX(其他调用!$AH$5:$AH$364,MATCH($K346,其他调用!$AG$5:$AG$364,0),1)/INDEX(其他调用!AH$5:AH$364,MATCH($K346,其他调用!$AG$5:$AG$364,0),0),1)*INDEX(其他调用!Y$5:Y$404,MATCH($K346,其他调用!$X$5:$X$404,0),0)</f>
        <v>43215.822350606424</v>
      </c>
      <c r="O346" s="12">
        <f>MIN(INDEX(其他调用!$AH$5:$AH$364,MATCH($K346,其他调用!$AG$5:$AG$364,0),1)/INDEX(其他调用!AI$5:AI$364,MATCH($K346,其他调用!$AG$5:$AG$364,0),0),1)*INDEX(其他调用!Z$5:Z$404,MATCH($K346,其他调用!$X$5:$X$404,0),0)</f>
        <v>25454.661004616533</v>
      </c>
      <c r="P346" s="12">
        <f>MIN(INDEX(其他调用!$AH$5:$AH$364,MATCH($K346,其他调用!$AG$5:$AG$364,0),1)/INDEX(其他调用!AJ$5:AJ$364,MATCH($K346,其他调用!$AG$5:$AG$364,0),0),1)*INDEX(其他调用!AA$5:AA$404,MATCH($K346,其他调用!$X$5:$X$404,0),0)</f>
        <v>14610.655897719016</v>
      </c>
      <c r="Q346" s="12">
        <f>MIN(INDEX(其他调用!$AH$5:$AH$364,MATCH($K346,其他调用!$AG$5:$AG$364,0),1)/INDEX(其他调用!AK$5:AK$364,MATCH($K346,其他调用!$AG$5:$AG$364,0),0),1)*INDEX(其他调用!AB$5:AB$404,MATCH($K346,其他调用!$X$5:$X$404,0),0)</f>
        <v>5936.190312587506</v>
      </c>
      <c r="R346" s="12">
        <f>MIN(INDEX(其他调用!$AH$5:$AH$364,MATCH($K346,其他调用!$AG$5:$AG$364,0),1)/INDEX(其他调用!AL$5:AL$364,MATCH($K346,其他调用!$AG$5:$AG$364,0),0),1)*INDEX(其他调用!AC$5:AC$404,MATCH($K346,其他调用!$X$5:$X$404,0),0)</f>
        <v>3711.7261732880988</v>
      </c>
      <c r="S346" s="12">
        <f>求节点(节奏总纲!D$4:D$163,标准城池设计!AC$4:AC$163,$K346)*求节点(节奏总纲!D$4:D$163,攻城基础信息!$AD$5:$AD$164,$K346)</f>
        <v>910040.50990277727</v>
      </c>
      <c r="T346" s="12">
        <f>INDEX(其他调用!$AA$5:$AA$404,MATCH($K346,其他调用!$X$5:$X$404,0))*MIN(INDEX(其他调用!AI$5:AI$364,MATCH($K346,其他调用!$AG$5:$AG$364,0),1)/INDEX(其他调用!$AJ$5:$AJ$364,MATCH($K346,其他调用!$AG$5:$AG$364,0),0),5)*求节点(节奏总纲!D$4:D$163,攻城基础信息!$AD$5:$AD$164,$K346)</f>
        <v>89146.24920546326</v>
      </c>
      <c r="U346" s="12">
        <f>MIN(INDEX(其他调用!$AI$5:$AI$364,MATCH($K346,其他调用!$AG$5:$AG$364,0),1)/INDEX(其他调用!AH$5:AH$364,MATCH($K346,其他调用!$AG$5:$AG$364,0),0),1)*INDEX(其他调用!Y$5:Y$404,MATCH($K346,其他调用!$X$5:$X$404,0),0)</f>
        <v>43215.822350606424</v>
      </c>
      <c r="V346" s="12">
        <f>MIN(INDEX(其他调用!$AI$5:$AI$364,MATCH($K346,其他调用!$AG$5:$AG$364,0),1)/INDEX(其他调用!AI$5:AI$364,MATCH($K346,其他调用!$AG$5:$AG$364,0),0),1)*INDEX(其他调用!Z$5:Z$404,MATCH($K346,其他调用!$X$5:$X$404,0),0)</f>
        <v>44374.414502547035</v>
      </c>
      <c r="W346" s="12">
        <f>MIN(INDEX(其他调用!$AI$5:$AI$364,MATCH($K346,其他调用!$AG$5:$AG$364,0),1)/INDEX(其他调用!AJ$5:AJ$364,MATCH($K346,其他调用!$AG$5:$AG$364,0),0),1)*INDEX(其他调用!AA$5:AA$404,MATCH($K346,其他调用!$X$5:$X$404,0),0)</f>
        <v>25470.356915846663</v>
      </c>
      <c r="X346" s="12">
        <f>MIN(INDEX(其他调用!$AI$5:$AI$364,MATCH($K346,其他调用!$AG$5:$AG$364,0),1)/INDEX(其他调用!AK$5:AK$364,MATCH($K346,其他调用!$AG$5:$AG$364,0),0),1)*INDEX(其他调用!AB$5:AB$404,MATCH($K346,其他调用!$X$5:$X$404,0),0)</f>
        <v>10348.39825401676</v>
      </c>
      <c r="Y346" s="12">
        <f>MIN(INDEX(其他调用!$AI$5:$AI$364,MATCH($K346,其他调用!$AG$5:$AG$364,0),1)/INDEX(其他调用!AL$5:AL$364,MATCH($K346,其他调用!$AG$5:$AG$364,0),0),1)*INDEX(其他调用!AC$5:AC$404,MATCH($K346,其他调用!$X$5:$X$404,0),0)</f>
        <v>6470.5507452472966</v>
      </c>
      <c r="Z346" s="12">
        <f>求节点(节奏总纲!D$4:D$163,标准城池设计!AD$4:AD$163,$K346)*求节点(节奏总纲!D$4:D$163,攻城基础信息!$AE$5:$AE$164,$K346)</f>
        <v>992194.9283262355</v>
      </c>
      <c r="AA346" s="12">
        <f>INDEX(其他调用!$AA$5:$AA$404,MATCH($K346,其他调用!$X$5:$X$404,0))*MIN(INDEX(其他调用!AJ$5:AJ$364,MATCH($K346,其他调用!$AG$5:$AG$364,0),1)/INDEX(其他调用!$AJ$5:$AJ$364,MATCH($K346,其他调用!$AG$5:$AG$364,0),0),5)*求节点(节奏总纲!D$4:D$163,攻城基础信息!$AE$5:$AE$164,$K346)</f>
        <v>160713.33423833412</v>
      </c>
      <c r="AB346" s="12">
        <f>MIN(INDEX(其他调用!$AJ$5:$AJ$364,MATCH($K346,其他调用!$AG$5:$AG$364,0),1)/INDEX(其他调用!AH$5:AH$364,MATCH($K346,其他调用!$AG$5:$AG$364,0),0),1)*INDEX(其他调用!Y$5:Y$404,MATCH($K346,其他调用!$X$5:$X$404,0),0)</f>
        <v>43215.822350606424</v>
      </c>
      <c r="AC346" s="12">
        <f>MIN(INDEX(其他调用!$AJ$5:$AJ$364,MATCH($K346,其他调用!$AG$5:$AG$364,0),1)/INDEX(其他调用!AI$5:AI$364,MATCH($K346,其他调用!$AG$5:$AG$364,0),0),1)*INDEX(其他调用!Z$5:Z$404,MATCH($K346,其他调用!$X$5:$X$404,0),0)</f>
        <v>44374.414502547035</v>
      </c>
      <c r="AD346" s="12">
        <f>MIN(INDEX(其他调用!$AJ$5:$AJ$364,MATCH($K346,其他调用!$AG$5:$AG$364,0),1)/INDEX(其他调用!AJ$5:AJ$364,MATCH($K346,其他调用!$AG$5:$AG$364,0),0),1)*INDEX(其他调用!AA$5:AA$404,MATCH($K346,其他调用!$X$5:$X$404,0),0)</f>
        <v>45918.095496666923</v>
      </c>
      <c r="AE346" s="12">
        <f>MIN(INDEX(其他调用!$AJ$5:$AJ$364,MATCH($K346,其他调用!$AG$5:$AG$364,0),1)/INDEX(其他调用!AK$5:AK$364,MATCH($K346,其他调用!$AG$5:$AG$364,0),0),1)*INDEX(其他调用!AB$5:AB$404,MATCH($K346,其他调用!$X$5:$X$404,0),0)</f>
        <v>18656.147647850397</v>
      </c>
      <c r="AF346" s="12">
        <f>MIN(INDEX(其他调用!$AJ$5:$AJ$364,MATCH($K346,其他调用!$AG$5:$AG$364,0),1)/INDEX(其他调用!AL$5:AL$364,MATCH($K346,其他调用!$AG$5:$AG$364,0),0),1)*INDEX(其他调用!AC$5:AC$404,MATCH($K346,其他调用!$X$5:$X$404,0),0)</f>
        <v>11665.143445690826</v>
      </c>
      <c r="AG346" s="12">
        <f>求节点(节奏总纲!D$4:D$163,标准城池设计!AE$4:AE$163,$K346)*求节点(节奏总纲!D$4:D$163,攻城基础信息!$AF$5:$AF$164,$K346)</f>
        <v>1179793.9368550321</v>
      </c>
      <c r="AH346" s="12">
        <f>INDEX(其他调用!$AA$5:$AA$404,MATCH($K346,其他调用!$X$5:$X$404,0))*MIN(INDEX(其他调用!AK$5:AK$364,MATCH($K346,其他调用!$AG$5:$AG$364,0),1)/INDEX(其他调用!$AJ$5:$AJ$364,MATCH($K346,其他调用!$AG$5:$AG$364,0),0),5)*求节点(节奏总纲!D$4:D$163,攻城基础信息!$AF$5:$AF$164,$K346)</f>
        <v>414907.54881346837</v>
      </c>
      <c r="AI346" s="12">
        <f>MIN(INDEX(其他调用!$AK$5:$AK$364,MATCH($K346,其他调用!$AG$5:$AG$364,0),1)/INDEX(其他调用!AH$5:AH$364,MATCH($K346,其他调用!$AG$5:$AG$364,0),0),1)*INDEX(其他调用!Y$5:Y$404,MATCH($K346,其他调用!$X$5:$X$404,0),0)</f>
        <v>43215.822350606424</v>
      </c>
      <c r="AJ346" s="12">
        <f>MIN(INDEX(其他调用!$AK$5:$AK$364,MATCH($K346,其他调用!$AG$5:$AG$364,0),1)/INDEX(其他调用!AI$5:AI$364,MATCH($K346,其他调用!$AG$5:$AG$364,0),0),1)*INDEX(其他调用!Z$5:Z$404,MATCH($K346,其他调用!$X$5:$X$404,0),0)</f>
        <v>44374.414502547035</v>
      </c>
      <c r="AK346" s="12">
        <f>MIN(INDEX(其他调用!$AK$5:$AK$364,MATCH($K346,其他调用!$AG$5:$AG$364,0),1)/INDEX(其他调用!AJ$5:AJ$364,MATCH($K346,其他调用!$AG$5:$AG$364,0),0),1)*INDEX(其他调用!AA$5:AA$404,MATCH($K346,其他调用!$X$5:$X$404,0),0)</f>
        <v>45918.095496666923</v>
      </c>
      <c r="AL346" s="12">
        <f>MIN(INDEX(其他调用!$AK$5:$AK$364,MATCH($K346,其他调用!$AG$5:$AG$364,0),1)/INDEX(其他调用!AK$5:AK$364,MATCH($K346,其他调用!$AG$5:$AG$364,0),0),1)*INDEX(其他调用!AB$5:AB$404,MATCH($K346,其他调用!$X$5:$X$404,0),0)</f>
        <v>48163.872198635785</v>
      </c>
      <c r="AM346" s="12">
        <f>MIN(INDEX(其他调用!$AK$5:$AK$364,MATCH($K346,其他调用!$AG$5:$AG$364,0),1)/INDEX(其他调用!AL$5:AL$364,MATCH($K346,其他调用!$AG$5:$AG$364,0),0),1)*INDEX(其他调用!AC$5:AC$404,MATCH($K346,其他调用!$X$5:$X$404,0),0)</f>
        <v>30115.460528194471</v>
      </c>
      <c r="AN346" s="12">
        <f>求节点(节奏总纲!D$4:D$163,标准城池设计!AF$4:AF$163,$K346)*求节点(节奏总纲!D$4:D$163,攻城基础信息!$AG$5:$AG$164,$K346)</f>
        <v>1217240.6048599146</v>
      </c>
      <c r="AO346" s="12">
        <f>INDEX(其他调用!$AA$5:$AA$404,MATCH($K346,其他调用!$X$5:$X$404,0))*MIN(INDEX(其他调用!AL$5:AL$364,MATCH($K346,其他调用!$AG$5:$AG$364,0),1)/INDEX(其他调用!$AJ$5:$AJ$364,MATCH($K346,其他调用!$AG$5:$AG$364,0),0),5)*求节点(节奏总纲!D$4:D$163,攻城基础信息!$AG$5:$AG$164,$K346)</f>
        <v>717197.78219904436</v>
      </c>
      <c r="AP346" s="12">
        <f>MIN(INDEX(其他调用!$AL$5:$AL$364,MATCH($K346,其他调用!$AG$5:$AG$364,0),1)/INDEX(其他调用!AH$5:AH$364,MATCH($K346,其他调用!$AG$5:$AG$364,0),0),1)*INDEX(其他调用!Y$5:Y$404,MATCH($K346,其他调用!$X$5:$X$404,0),0)</f>
        <v>43215.822350606424</v>
      </c>
      <c r="AQ346" s="12">
        <f>MIN(INDEX(其他调用!$AL$5:$AL$364,MATCH($K346,其他调用!$AG$5:$AG$364,0),1)/INDEX(其他调用!AI$5:AI$364,MATCH($K346,其他调用!$AG$5:$AG$364,0),0),1)*INDEX(其他调用!Z$5:Z$404,MATCH($K346,其他调用!$X$5:$X$404,0),0)</f>
        <v>44374.414502547035</v>
      </c>
      <c r="AR346" s="12">
        <f>MIN(INDEX(其他调用!$AL$5:$AL$364,MATCH($K346,其他调用!$AG$5:$AG$364,0),1)/INDEX(其他调用!AJ$5:AJ$364,MATCH($K346,其他调用!$AG$5:$AG$364,0),0),1)*INDEX(其他调用!AA$5:AA$404,MATCH($K346,其他调用!$X$5:$X$404,0),0)</f>
        <v>45918.095496666923</v>
      </c>
      <c r="AS346" s="12">
        <f>MIN(INDEX(其他调用!$AL$5:$AL$364,MATCH($K346,其他调用!$AG$5:$AG$364,0),1)/INDEX(其他调用!AK$5:AK$364,MATCH($K346,其他调用!$AG$5:$AG$364,0),0),1)*INDEX(其他调用!AB$5:AB$404,MATCH($K346,其他调用!$X$5:$X$404,0),0)</f>
        <v>48163.872198635785</v>
      </c>
      <c r="AT346" s="12">
        <f>MIN(INDEX(其他调用!$AL$5:$AL$364,MATCH($K346,其他调用!$AG$5:$AG$364,0),1)/INDEX(其他调用!AL$5:AL$364,MATCH($K346,其他调用!$AG$5:$AG$364,0),0),1)*INDEX(其他调用!AC$5:AC$404,MATCH($K346,其他调用!$X$5:$X$404,0),0)</f>
        <v>52056.75713177774</v>
      </c>
      <c r="AV346" s="14">
        <f>IF(OR(AV$5="大R",AV$5="超R"),MAX(INDEX(其他调用!$H$5:$L$404,MATCH($K346,其他调用!$B$5:$B$404,0),MATCH(AV$5,其他调用!$H$4:$L$4,0))*120*0.85,2),INDEX(其他调用!$H$5:$L$404,MATCH($K346,其他调用!$B$5:$B$404,0),MATCH(AV$5,其他调用!$H$4:$L$4,0))*120*0.85)</f>
        <v>48.921801254999991</v>
      </c>
      <c r="AW346" s="14">
        <f>IF(OR(AW$5="大R",AW$5="超R"),MAX(INDEX(其他调用!$H$5:$L$404,MATCH($K346,其他调用!$B$5:$B$404,0),MATCH(AW$5,其他调用!$H$4:$L$4,0))*120*0.85,2),INDEX(其他调用!$H$5:$L$404,MATCH($K346,其他调用!$B$5:$B$404,0),MATCH(AW$5,其他调用!$H$4:$L$4,0))*120*0.85)</f>
        <v>48.237344010638395</v>
      </c>
      <c r="AX346" s="14">
        <f>IF(OR(AX$5="大R",AX$5="超R"),MAX(INDEX(其他调用!$H$5:$L$404,MATCH($K346,其他调用!$B$5:$B$404,0),MATCH(AX$5,其他调用!$H$4:$L$4,0))*120*0.85,2),INDEX(其他调用!$H$5:$L$404,MATCH($K346,其他调用!$B$5:$B$404,0),MATCH(AX$5,其他调用!$H$4:$L$4,0))*120*0.85)</f>
        <v>3.9376284143615998</v>
      </c>
      <c r="AY346" s="14">
        <f>IF(OR(AY$5="大R",AY$5="超R"),MAX(INDEX(其他调用!$H$5:$L$404,MATCH($K346,其他调用!$B$5:$B$404,0),MATCH(AY$5,其他调用!$H$4:$L$4,0))*120*0.85,2),INDEX(其他调用!$H$5:$L$404,MATCH($K346,其他调用!$B$5:$B$404,0),MATCH(AY$5,其他调用!$H$4:$L$4,0))*120*0.85)</f>
        <v>2</v>
      </c>
      <c r="AZ346" s="14">
        <f>IF(OR(AZ$5="大R",AZ$5="超R"),MAX(INDEX(其他调用!$H$5:$L$404,MATCH($K346,其他调用!$B$5:$B$404,0),MATCH(AZ$5,其他调用!$H$4:$L$4,0))*120*0.85,2),INDEX(其他调用!$H$5:$L$404,MATCH($K346,其他调用!$B$5:$B$404,0),MATCH(AZ$5,其他调用!$H$4:$L$4,0))*120*0.85)</f>
        <v>2</v>
      </c>
      <c r="BA346" s="14">
        <f>INDEX(其他调用!$H$5:$L$404,MATCH($K346,其他调用!$B$5:$B$404,0),MATCH(BA$5,其他调用!$H$4:$L$4,0))*INDEX(其他调用!$M$5:$M$404,MATCH($K346,其他调用!$B$5:$B$404,0))*0.6</f>
        <v>28.777530149999997</v>
      </c>
      <c r="BB346" s="14">
        <f>INDEX(其他调用!$H$5:$L$404,MATCH($K346,其他调用!$B$5:$B$404,0),MATCH(BB$5,其他调用!$H$4:$L$4,0))*INDEX(其他调用!$M$5:$M$404,MATCH($K346,其他调用!$B$5:$B$404,0))*0.6</f>
        <v>28.374908241551999</v>
      </c>
      <c r="BC346" s="14">
        <f>INDEX(其他调用!$H$5:$L$404,MATCH($K346,其他调用!$B$5:$B$404,0),MATCH(BC$5,其他调用!$H$4:$L$4,0))*INDEX(其他调用!$M$5:$M$404,MATCH($K346,其他调用!$B$5:$B$404,0))*0.6</f>
        <v>2.3162520084480001</v>
      </c>
      <c r="BD346" s="14">
        <f>INDEX(其他调用!$H$5:$L$404,MATCH($K346,其他调用!$B$5:$B$404,0),MATCH(BD$5,其他调用!$H$4:$L$4,0))*INDEX(其他调用!$M$5:$M$404,MATCH($K346,其他调用!$B$5:$B$404,0))*0.6</f>
        <v>0.4120776000000001</v>
      </c>
      <c r="BE346" s="14">
        <f>INDEX(其他调用!$H$5:$L$404,MATCH($K346,其他调用!$B$5:$B$404,0),MATCH(BE$5,其他调用!$H$4:$L$4,0))*INDEX(其他调用!$M$5:$M$404,MATCH($K346,其他调用!$B$5:$B$404,0))*0.6</f>
        <v>0.11923199999999998</v>
      </c>
      <c r="BF346" s="14">
        <f>IF(OR(BF$5="大R",BF$5="超R"),0,INDEX(其他调用!$H$5:$L$404,MATCH($K346,其他调用!$B$5:$B$404,0),MATCH(BF$5,其他调用!$H$4:$L$4,0))*50*0.4)</f>
        <v>9.5925100500000013</v>
      </c>
      <c r="BG346" s="14">
        <f>IF(OR(BG$5="大R",BG$5="超R"),0,INDEX(其他调用!$H$5:$L$404,MATCH($K346,其他调用!$B$5:$B$404,0),MATCH(BG$5,其他调用!$H$4:$L$4,0))*50*0.4)</f>
        <v>9.4583027471839998</v>
      </c>
      <c r="BH346" s="14">
        <f>IF(OR(BH$5="大R",BH$5="超R"),0,INDEX(其他调用!$H$5:$L$404,MATCH($K346,其他调用!$B$5:$B$404,0),MATCH(BH$5,其他调用!$H$4:$L$4,0))*50*0.4)</f>
        <v>0.77208400281600009</v>
      </c>
      <c r="BI346" s="14">
        <f>IF(OR(BI$5="大R",BI$5="超R"),0,INDEX(其他调用!$H$5:$L$404,MATCH($K346,其他调用!$B$5:$B$404,0),MATCH(BI$5,其他调用!$H$4:$L$4,0))*50*0.4)</f>
        <v>0</v>
      </c>
      <c r="BJ346" s="14">
        <f>IF(OR(BJ$5="大R",BJ$5="超R"),0,INDEX(其他调用!$H$5:$L$404,MATCH($K346,其他调用!$B$5:$B$404,0),MATCH(BJ$5,其他调用!$H$4:$L$4,0))*50*0.4)</f>
        <v>0</v>
      </c>
      <c r="BL346" s="14">
        <f t="shared" si="628"/>
        <v>341</v>
      </c>
      <c r="BM346" s="14">
        <f t="shared" si="535"/>
        <v>96</v>
      </c>
      <c r="BN346" s="14">
        <f>('疲劳值&amp;地图信息'!$S$10*'疲劳值&amp;地图信息'!$R$10+'疲劳值&amp;地图信息'!$S$11*'疲劳值&amp;地图信息'!$R$11+'疲劳值&amp;地图信息'!$S$12*'疲劳值&amp;地图信息'!$R$12+(BM346-'疲劳值&amp;地图信息'!$S$12-'疲劳值&amp;地图信息'!$S$11-'疲劳值&amp;地图信息'!$S$10)*'疲劳值&amp;地图信息'!$R$13)/BM346</f>
        <v>51.371477246638619</v>
      </c>
      <c r="BO346" s="14">
        <f>INDEX(其他调用!$M$5:$M$404,MATCH(BL346,其他调用!$B$5:$B$404,0))*0.6</f>
        <v>60</v>
      </c>
      <c r="BP346" s="14">
        <f>IF(BO346&gt;SUM('疲劳值&amp;地图信息'!$S$10:$S$12),('疲劳值&amp;地图信息'!$S$10*'疲劳值&amp;地图信息'!$R$10+'疲劳值&amp;地图信息'!$S$11*'疲劳值&amp;地图信息'!$R$11+'疲劳值&amp;地图信息'!$S$12*'疲劳值&amp;地图信息'!$R$12+(BO346-'疲劳值&amp;地图信息'!$S$12-'疲劳值&amp;地图信息'!$S$11-'疲劳值&amp;地图信息'!$S$10)*'疲劳值&amp;地图信息'!$R$13)/BO346,('疲劳值&amp;地图信息'!$S$10*'疲劳值&amp;地图信息'!$R$10+'疲劳值&amp;地图信息'!$S$11*'疲劳值&amp;地图信息'!$R$11+'疲劳值&amp;地图信息'!$S$12*'疲劳值&amp;地图信息'!$R$12+(BO346-'疲劳值&amp;地图信息'!$S$12-'疲劳值&amp;地图信息'!$S$11-'疲劳值&amp;地图信息'!$S$10)*'疲劳值&amp;地图信息'!$R$13)/BO346)</f>
        <v>44.158136341605953</v>
      </c>
      <c r="BQ346" s="14">
        <f t="shared" si="629"/>
        <v>20</v>
      </c>
      <c r="BR346" s="14">
        <f>('疲劳值&amp;地图信息'!$S$10*'疲劳值&amp;地图信息'!$R$10+($BQ346-'疲劳值&amp;地图信息'!$S$10)*'疲劳值&amp;地图信息'!$R$11)/$BQ346</f>
        <v>32.067203015074995</v>
      </c>
      <c r="CF346" s="14">
        <v>341</v>
      </c>
      <c r="CG346" s="51">
        <f t="shared" si="536"/>
        <v>16922</v>
      </c>
      <c r="CH346" s="51">
        <f t="shared" si="537"/>
        <v>1042</v>
      </c>
      <c r="CI346" s="51">
        <f>INT(SUMPRODUCT($N346:$R346,$BA346:$BE346)/SUM($BA346:$BE346)/10000*$BX$7*$BZ$34/'疲劳值&amp;地图信息'!$R$10*$BY$53)</f>
        <v>3386</v>
      </c>
      <c r="CJ346" s="50">
        <f t="shared" si="538"/>
        <v>0.79259953161592511</v>
      </c>
      <c r="CK346" s="50">
        <f t="shared" si="539"/>
        <v>4.88056206088993E-2</v>
      </c>
      <c r="CL346" s="50">
        <f t="shared" si="540"/>
        <v>0.15859484777517566</v>
      </c>
      <c r="CM346" s="14">
        <f t="shared" si="541"/>
        <v>18547</v>
      </c>
      <c r="CN346" s="14">
        <f t="shared" si="542"/>
        <v>1816</v>
      </c>
      <c r="CO346" s="14">
        <f>INT(SUMPRODUCT($U346:$Y346,$BA346:$BE346)/SUM($BA346:$BE346)/10000*$BX$7*$BZ$34/'疲劳值&amp;地图信息'!$R$10*$BY$54)</f>
        <v>6511</v>
      </c>
      <c r="CP346" s="50">
        <f t="shared" si="543"/>
        <v>0.69014661010642253</v>
      </c>
      <c r="CQ346" s="50">
        <f t="shared" si="544"/>
        <v>6.7574607427253103E-2</v>
      </c>
      <c r="CR346" s="50">
        <f t="shared" si="545"/>
        <v>0.24227878246632434</v>
      </c>
      <c r="CS346" s="14">
        <f t="shared" si="546"/>
        <v>20222</v>
      </c>
      <c r="CT346" s="14">
        <f t="shared" si="547"/>
        <v>3275</v>
      </c>
      <c r="CU346" s="14">
        <f>INT(SUMPRODUCT($AB346:$AF346,$BA346:$BE346)/SUM($BA346:$BE346)/10000*$BX$7*$BZ$34/'疲劳值&amp;地图信息'!$R$10*$BY$55)</f>
        <v>8855</v>
      </c>
      <c r="CV346" s="50">
        <f t="shared" si="548"/>
        <v>0.62506181998021759</v>
      </c>
      <c r="CW346" s="50">
        <f t="shared" si="549"/>
        <v>0.10123021760633037</v>
      </c>
      <c r="CX346" s="50">
        <f t="shared" si="550"/>
        <v>0.27370796241345202</v>
      </c>
      <c r="CY346" s="14">
        <f t="shared" si="551"/>
        <v>24045</v>
      </c>
      <c r="CZ346" s="14">
        <f t="shared" si="552"/>
        <v>8456</v>
      </c>
      <c r="DA346" s="14">
        <f>INT(SUMPRODUCT($AI346:$AM346,$BA346:$BE346)/SUM($BA346:$BE346)/10000*$BX$7*$BZ$34/'疲劳值&amp;地图信息'!$R$10*$BY$56)</f>
        <v>13355</v>
      </c>
      <c r="DB346" s="50">
        <f t="shared" si="553"/>
        <v>0.52435886252616892</v>
      </c>
      <c r="DC346" s="50">
        <f t="shared" si="554"/>
        <v>0.18440334961618982</v>
      </c>
      <c r="DD346" s="50">
        <f t="shared" si="555"/>
        <v>0.29123778785764132</v>
      </c>
      <c r="DE346" s="14">
        <f t="shared" si="556"/>
        <v>24808</v>
      </c>
      <c r="DF346" s="14">
        <f t="shared" si="557"/>
        <v>14617</v>
      </c>
      <c r="DG346" s="14">
        <f>INT(SUMPRODUCT($AP346:$AT346,$BA346:$BE346)/SUM($BA346:$BE346)/10000*$BX$7*$BZ$34/'疲劳值&amp;地图信息'!$R$10*$BY$57)</f>
        <v>17825</v>
      </c>
      <c r="DH346" s="50">
        <f t="shared" si="558"/>
        <v>0.43332751091703059</v>
      </c>
      <c r="DI346" s="50">
        <f t="shared" si="559"/>
        <v>0.2553187772925764</v>
      </c>
      <c r="DJ346" s="50">
        <f t="shared" si="560"/>
        <v>0.31135371179039301</v>
      </c>
      <c r="DL346" s="14">
        <f t="shared" si="631"/>
        <v>21350</v>
      </c>
      <c r="DM346" s="14">
        <f t="shared" si="632"/>
        <v>26874</v>
      </c>
      <c r="DN346" s="14">
        <f t="shared" si="633"/>
        <v>32352</v>
      </c>
      <c r="DO346" s="14">
        <f t="shared" si="634"/>
        <v>45856</v>
      </c>
      <c r="DP346" s="14">
        <f t="shared" si="635"/>
        <v>57250</v>
      </c>
      <c r="DQ346" s="14">
        <f t="shared" si="636"/>
        <v>1477605</v>
      </c>
      <c r="DT346" s="14">
        <f t="shared" si="630"/>
        <v>235575</v>
      </c>
      <c r="DU346" s="50">
        <f t="shared" si="532"/>
        <v>0.13750744230028369</v>
      </c>
      <c r="DW346" s="14">
        <f t="shared" si="561"/>
        <v>1713180</v>
      </c>
      <c r="EB346" s="14">
        <v>341</v>
      </c>
      <c r="EC346" s="51">
        <f t="shared" si="562"/>
        <v>28204</v>
      </c>
      <c r="ED346" s="51">
        <f t="shared" si="563"/>
        <v>1737</v>
      </c>
      <c r="EE346" s="51">
        <f>INT(SUMPRODUCT($N346:$R346,$BF346:$BJ346)/SUM($BF346:$BJ346)/10000*$BX$7*$BZ$46/'疲劳值&amp;地图信息'!$R$10*$BY$53)</f>
        <v>454</v>
      </c>
      <c r="EF346" s="50">
        <f t="shared" si="564"/>
        <v>0.92791577562099026</v>
      </c>
      <c r="EG346" s="50">
        <f t="shared" si="565"/>
        <v>5.714755716400724E-2</v>
      </c>
      <c r="EH346" s="50">
        <f t="shared" si="566"/>
        <v>1.4936667215002468E-2</v>
      </c>
      <c r="EI346" s="51">
        <f t="shared" si="567"/>
        <v>30913</v>
      </c>
      <c r="EJ346" s="51">
        <f t="shared" si="568"/>
        <v>3028</v>
      </c>
      <c r="EK346" s="14">
        <f>INT(SUMPRODUCT($U346:$Y346,$BF346:$BJ346)/SUM($BF346:$BJ346)/10000*$BX$7*$BZ$46/'疲劳值&amp;地图信息'!$R$10*$BY$54)</f>
        <v>874</v>
      </c>
      <c r="EL346" s="50">
        <f t="shared" si="569"/>
        <v>0.88792187275599599</v>
      </c>
      <c r="EM346" s="50">
        <f t="shared" si="570"/>
        <v>8.6974005457417777E-2</v>
      </c>
      <c r="EN346" s="50">
        <f t="shared" si="571"/>
        <v>2.5104121786586241E-2</v>
      </c>
      <c r="EO346" s="51">
        <f t="shared" si="572"/>
        <v>33703</v>
      </c>
      <c r="EP346" s="51">
        <f t="shared" si="573"/>
        <v>5459</v>
      </c>
      <c r="EQ346" s="14">
        <f>INT(SUMPRODUCT($AB346:$AF346,$BF346:$BJ346)/SUM($BF346:$BJ346)/10000*$BX$7*$BZ$46/'疲劳值&amp;地图信息'!$R$10*$BY$55)</f>
        <v>1187</v>
      </c>
      <c r="ER346" s="50">
        <f t="shared" si="574"/>
        <v>0.83528711987905524</v>
      </c>
      <c r="ES346" s="50">
        <f t="shared" si="575"/>
        <v>0.13529455500755905</v>
      </c>
      <c r="ET346" s="50">
        <f t="shared" si="576"/>
        <v>2.9418325113385709E-2</v>
      </c>
      <c r="EU346" s="51">
        <f t="shared" si="577"/>
        <v>40076</v>
      </c>
      <c r="EV346" s="51">
        <f t="shared" si="578"/>
        <v>14093</v>
      </c>
      <c r="EW346" s="14">
        <f>INT(SUMPRODUCT($AI346:$AM346,$BF346:$BJ346)/SUM($BF346:$BJ346)/10000*$BX$7*$BZ$46/'疲劳值&amp;地图信息'!$R$10*$BY$56)</f>
        <v>1780</v>
      </c>
      <c r="EX346" s="50">
        <f t="shared" si="579"/>
        <v>0.71629519741192871</v>
      </c>
      <c r="EY346" s="50">
        <f t="shared" si="580"/>
        <v>0.25189011421115659</v>
      </c>
      <c r="EZ346" s="50">
        <f t="shared" si="581"/>
        <v>3.1814688376914688E-2</v>
      </c>
      <c r="FA346" s="51">
        <f t="shared" si="582"/>
        <v>41348</v>
      </c>
      <c r="FB346" s="51">
        <f t="shared" si="583"/>
        <v>24362</v>
      </c>
      <c r="FC346" s="14">
        <f>INT(SUMPRODUCT($AP346:$AT346,$BF346:$BJ346)/SUM($BF346:$BJ346)/10000*$BX$7*$BZ$46/'疲劳值&amp;地图信息'!$R$10*$BY$57)</f>
        <v>2374</v>
      </c>
      <c r="FD346" s="50">
        <f t="shared" si="584"/>
        <v>0.60730861876505493</v>
      </c>
      <c r="FE346" s="50">
        <f t="shared" si="585"/>
        <v>0.35782268961870628</v>
      </c>
      <c r="FF346" s="50">
        <f t="shared" si="586"/>
        <v>3.4868691616238762E-2</v>
      </c>
      <c r="FH346" s="14">
        <f t="shared" si="587"/>
        <v>30395</v>
      </c>
      <c r="FI346" s="14">
        <f t="shared" si="588"/>
        <v>34815</v>
      </c>
      <c r="FJ346" s="14">
        <f t="shared" si="589"/>
        <v>40349</v>
      </c>
      <c r="FK346" s="14">
        <f t="shared" si="590"/>
        <v>55949</v>
      </c>
      <c r="FL346" s="14">
        <f t="shared" si="591"/>
        <v>68084</v>
      </c>
      <c r="FM346" s="14">
        <f t="shared" si="592"/>
        <v>3573306</v>
      </c>
      <c r="FP346" s="14">
        <f t="shared" si="593"/>
        <v>334150</v>
      </c>
      <c r="FQ346" s="50">
        <f t="shared" si="533"/>
        <v>8.5515998132800475E-2</v>
      </c>
      <c r="FS346" s="14">
        <f t="shared" si="594"/>
        <v>3907456</v>
      </c>
      <c r="FX346" s="14">
        <v>341</v>
      </c>
      <c r="FY346" s="51">
        <f t="shared" si="595"/>
        <v>39485</v>
      </c>
      <c r="FZ346" s="51">
        <f t="shared" si="596"/>
        <v>1737</v>
      </c>
      <c r="GA346" s="51">
        <f>INT(SUMPRODUCT($N346:$R346,$BF346:$BJ346)/SUM($BF346:$BJ346)/10000*$BX$7*$BZ$46/'疲劳值&amp;地图信息'!$R$10*$BY$53)</f>
        <v>454</v>
      </c>
      <c r="GB346" s="50">
        <f t="shared" si="597"/>
        <v>0.94742777617813612</v>
      </c>
      <c r="GC346" s="50">
        <f t="shared" si="598"/>
        <v>4.1678663979268643E-2</v>
      </c>
      <c r="GD346" s="50">
        <f t="shared" si="599"/>
        <v>1.0893559842595258E-2</v>
      </c>
      <c r="GE346" s="51">
        <f t="shared" si="600"/>
        <v>43278</v>
      </c>
      <c r="GF346" s="51">
        <f t="shared" si="601"/>
        <v>3028</v>
      </c>
      <c r="GG346" s="14">
        <f>INT(SUMPRODUCT($U346:$Y346,$BF346:$BJ346)/SUM($BF346:$BJ346)/10000*$BX$7*$BZ$46/'疲劳值&amp;地图信息'!$R$10*$BY$54)</f>
        <v>874</v>
      </c>
      <c r="GH346" s="50">
        <f t="shared" si="602"/>
        <v>0.91729546417973717</v>
      </c>
      <c r="GI346" s="50">
        <f t="shared" si="603"/>
        <v>6.4179737176769822E-2</v>
      </c>
      <c r="GJ346" s="50">
        <f t="shared" si="604"/>
        <v>1.8524798643493004E-2</v>
      </c>
      <c r="GK346" s="51">
        <f t="shared" si="605"/>
        <v>47185</v>
      </c>
      <c r="GL346" s="51">
        <f t="shared" si="606"/>
        <v>5459</v>
      </c>
      <c r="GM346" s="14">
        <f>INT(SUMPRODUCT($AB346:$AF346,$BF346:$BJ346)/SUM($BF346:$BJ346)/10000*$BX$7*$BZ$46/'疲劳值&amp;地图信息'!$R$10*$BY$55)</f>
        <v>1187</v>
      </c>
      <c r="GN346" s="50">
        <f t="shared" si="607"/>
        <v>0.87653954041351634</v>
      </c>
      <c r="GO346" s="50">
        <f t="shared" si="608"/>
        <v>0.10140996823391726</v>
      </c>
      <c r="GP346" s="50">
        <f t="shared" si="609"/>
        <v>2.2050491352566363E-2</v>
      </c>
      <c r="GQ346" s="51">
        <f t="shared" si="610"/>
        <v>56106</v>
      </c>
      <c r="GR346" s="51">
        <f t="shared" si="611"/>
        <v>14093</v>
      </c>
      <c r="GS346" s="14">
        <f>INT(SUMPRODUCT($AI346:$AM346,$BF346:$BJ346)/SUM($BF346:$BJ346)/10000*$BX$7*$BZ$46/'疲劳值&amp;地图信息'!$R$10*$BY$56)</f>
        <v>1780</v>
      </c>
      <c r="GT346" s="50">
        <f t="shared" si="612"/>
        <v>0.77947734755970488</v>
      </c>
      <c r="GU346" s="50">
        <f t="shared" si="613"/>
        <v>0.19579321746620543</v>
      </c>
      <c r="GV346" s="50">
        <f t="shared" si="614"/>
        <v>2.4729434974089665E-2</v>
      </c>
      <c r="GW346" s="51">
        <f t="shared" si="615"/>
        <v>57887</v>
      </c>
      <c r="GX346" s="51">
        <f t="shared" si="616"/>
        <v>24362</v>
      </c>
      <c r="GY346" s="14">
        <f>INT(SUMPRODUCT($AP346:$AT346,$BF346:$BJ346)/SUM($BF346:$BJ346)/10000*$BX$7*$BZ$46/'疲劳值&amp;地图信息'!$R$10*$BY$57)</f>
        <v>2374</v>
      </c>
      <c r="GZ346" s="50">
        <f t="shared" si="617"/>
        <v>0.68405752573177503</v>
      </c>
      <c r="HA346" s="50">
        <f t="shared" si="618"/>
        <v>0.28788863547735249</v>
      </c>
      <c r="HB346" s="50">
        <f t="shared" si="619"/>
        <v>2.8053838790872459E-2</v>
      </c>
      <c r="HD346" s="14">
        <f t="shared" si="620"/>
        <v>41676</v>
      </c>
      <c r="HE346" s="14">
        <f t="shared" si="621"/>
        <v>47180</v>
      </c>
      <c r="HF346" s="14">
        <f t="shared" si="622"/>
        <v>53831</v>
      </c>
      <c r="HG346" s="14">
        <f t="shared" si="623"/>
        <v>71979</v>
      </c>
      <c r="HH346" s="14">
        <f t="shared" si="624"/>
        <v>84623</v>
      </c>
      <c r="HI346" s="14">
        <f t="shared" si="625"/>
        <v>4839873</v>
      </c>
      <c r="HL346" s="14">
        <f t="shared" si="626"/>
        <v>430050</v>
      </c>
      <c r="HM346" s="50">
        <f t="shared" si="534"/>
        <v>8.1604607885162647E-2</v>
      </c>
      <c r="HO346" s="14">
        <f t="shared" si="627"/>
        <v>5269923</v>
      </c>
    </row>
    <row r="347" spans="11:223" x14ac:dyDescent="0.2">
      <c r="K347" s="14">
        <v>342</v>
      </c>
      <c r="L347" s="12">
        <f>求节点(节奏总纲!D$4:D$163,标准城池设计!AB$4:AB$163,$K347)*求节点(节奏总纲!D$4:D$163,攻城基础信息!$AC$5:$AC$164,$K347)</f>
        <v>831391.12600696913</v>
      </c>
      <c r="M347" s="12">
        <f>INDEX(其他调用!$AA$5:$AA$404,MATCH(K347,其他调用!$X$5:$X$404,0))*MIN(INDEX(其他调用!$AH$5:$AH$364,MATCH('征服点（新）'!K347,其他调用!$AG$5:$AG$364,0),1)/INDEX(其他调用!$AJ$5:$AJ$364,MATCH(K347,其他调用!$AG$5:$AG$364,0),0),5)*求节点(节奏总纲!D$4:D$163,攻城基础信息!$AC$5:$AC$164,$K347)</f>
        <v>51072.486330276995</v>
      </c>
      <c r="N347" s="12">
        <f>MIN(INDEX(其他调用!$AH$5:$AH$364,MATCH($K347,其他调用!$AG$5:$AG$364,0),1)/INDEX(其他调用!AH$5:AH$364,MATCH($K347,其他调用!$AG$5:$AG$364,0),0),1)*INDEX(其他调用!Y$5:Y$404,MATCH($K347,其他调用!$X$5:$X$404,0),0)</f>
        <v>43232.330322518821</v>
      </c>
      <c r="O347" s="12">
        <f>MIN(INDEX(其他调用!$AH$5:$AH$364,MATCH($K347,其他调用!$AG$5:$AG$364,0),1)/INDEX(其他调用!AI$5:AI$364,MATCH($K347,其他调用!$AG$5:$AG$364,0),0),1)*INDEX(其他调用!Z$5:Z$404,MATCH($K347,其他调用!$X$5:$X$404,0),0)</f>
        <v>25458.889368081876</v>
      </c>
      <c r="P347" s="12">
        <f>MIN(INDEX(其他调用!$AH$5:$AH$364,MATCH($K347,其他调用!$AG$5:$AG$364,0),1)/INDEX(其他调用!AJ$5:AJ$364,MATCH($K347,其他调用!$AG$5:$AG$364,0),0),1)*INDEX(其他调用!AA$5:AA$404,MATCH($K347,其他调用!$X$5:$X$404,0),0)</f>
        <v>14592.138951507723</v>
      </c>
      <c r="Q347" s="12">
        <f>MIN(INDEX(其他调用!$AH$5:$AH$364,MATCH($K347,其他调用!$AG$5:$AG$364,0),1)/INDEX(其他调用!AK$5:AK$364,MATCH($K347,其他调用!$AG$5:$AG$364,0),0),1)*INDEX(其他调用!AB$5:AB$404,MATCH($K347,其他调用!$X$5:$X$404,0),0)</f>
        <v>5943.3798081566811</v>
      </c>
      <c r="R347" s="12">
        <f>MIN(INDEX(其他调用!$AH$5:$AH$364,MATCH($K347,其他调用!$AG$5:$AG$364,0),1)/INDEX(其他调用!AL$5:AL$364,MATCH($K347,其他调用!$AG$5:$AG$364,0),0),1)*INDEX(其他调用!AC$5:AC$404,MATCH($K347,其他调用!$X$5:$X$404,0),0)</f>
        <v>3719.3777633082836</v>
      </c>
      <c r="S347" s="12">
        <f>求节点(节奏总纲!D$4:D$163,标准城池设计!AC$4:AC$163,$K347)*求节点(节奏总纲!D$4:D$163,攻城基础信息!$AD$5:$AD$164,$K347)</f>
        <v>911126.88302969234</v>
      </c>
      <c r="T347" s="12">
        <f>INDEX(其他调用!$AA$5:$AA$404,MATCH($K347,其他调用!$X$5:$X$404,0))*MIN(INDEX(其他调用!AI$5:AI$364,MATCH($K347,其他调用!$AG$5:$AG$364,0),1)/INDEX(其他调用!$AJ$5:$AJ$364,MATCH($K347,其他调用!$AG$5:$AG$364,0),0),5)*求节点(节奏总纲!D$4:D$163,攻城基础信息!$AD$5:$AD$164,$K347)</f>
        <v>89052.294532080385</v>
      </c>
      <c r="U347" s="12">
        <f>MIN(INDEX(其他调用!$AI$5:$AI$364,MATCH($K347,其他调用!$AG$5:$AG$364,0),1)/INDEX(其他调用!AH$5:AH$364,MATCH($K347,其他调用!$AG$5:$AG$364,0),0),1)*INDEX(其他调用!Y$5:Y$404,MATCH($K347,其他调用!$X$5:$X$404,0),0)</f>
        <v>43232.330322518821</v>
      </c>
      <c r="V347" s="12">
        <f>MIN(INDEX(其他调用!$AI$5:$AI$364,MATCH($K347,其他调用!$AG$5:$AG$364,0),1)/INDEX(其他调用!AI$5:AI$364,MATCH($K347,其他调用!$AG$5:$AG$364,0),0),1)*INDEX(其他调用!Z$5:Z$404,MATCH($K347,其他调用!$X$5:$X$404,0),0)</f>
        <v>44391.269690781475</v>
      </c>
      <c r="W347" s="12">
        <f>MIN(INDEX(其他调用!$AI$5:$AI$364,MATCH($K347,其他调用!$AG$5:$AG$364,0),1)/INDEX(其他调用!AJ$5:AJ$364,MATCH($K347,其他调用!$AG$5:$AG$364,0),0),1)*INDEX(其他调用!AA$5:AA$404,MATCH($K347,其他调用!$X$5:$X$404,0),0)</f>
        <v>25443.512723451553</v>
      </c>
      <c r="X347" s="12">
        <f>MIN(INDEX(其他调用!$AI$5:$AI$364,MATCH($K347,其他调用!$AG$5:$AG$364,0),1)/INDEX(其他调用!AK$5:AK$364,MATCH($K347,其他调用!$AG$5:$AG$364,0),0),1)*INDEX(其他调用!AB$5:AB$404,MATCH($K347,其他调用!$X$5:$X$404,0),0)</f>
        <v>10363.145545123443</v>
      </c>
      <c r="Y347" s="12">
        <f>MIN(INDEX(其他调用!$AI$5:$AI$364,MATCH($K347,其他调用!$AG$5:$AG$364,0),1)/INDEX(其他调用!AL$5:AL$364,MATCH($K347,其他调用!$AG$5:$AG$364,0),0),1)*INDEX(其他调用!AC$5:AC$404,MATCH($K347,其他调用!$X$5:$X$404,0),0)</f>
        <v>6485.2751031595044</v>
      </c>
      <c r="Z347" s="12">
        <f>求节点(节奏总纲!D$4:D$163,标准城池设计!AD$4:AD$163,$K347)*求节点(节奏总纲!D$4:D$163,攻城基础信息!$AE$5:$AE$164,$K347)</f>
        <v>993550.65219961246</v>
      </c>
      <c r="AA347" s="12">
        <f>INDEX(其他调用!$AA$5:$AA$404,MATCH($K347,其他调用!$X$5:$X$404,0))*MIN(INDEX(其他调用!AJ$5:AJ$364,MATCH($K347,其他调用!$AG$5:$AG$364,0),1)/INDEX(其他调用!$AJ$5:$AJ$364,MATCH($K347,其他调用!$AG$5:$AG$364,0),0),5)*求节点(节奏总纲!D$4:D$163,攻城基础信息!$AE$5:$AE$164,$K347)</f>
        <v>160775.90908426163</v>
      </c>
      <c r="AB347" s="12">
        <f>MIN(INDEX(其他调用!$AJ$5:$AJ$364,MATCH($K347,其他调用!$AG$5:$AG$364,0),1)/INDEX(其他调用!AH$5:AH$364,MATCH($K347,其他调用!$AG$5:$AG$364,0),0),1)*INDEX(其他调用!Y$5:Y$404,MATCH($K347,其他调用!$X$5:$X$404,0),0)</f>
        <v>43232.330322518821</v>
      </c>
      <c r="AC347" s="12">
        <f>MIN(INDEX(其他调用!$AJ$5:$AJ$364,MATCH($K347,其他调用!$AG$5:$AG$364,0),1)/INDEX(其他调用!AI$5:AI$364,MATCH($K347,其他调用!$AG$5:$AG$364,0),0),1)*INDEX(其他调用!Z$5:Z$404,MATCH($K347,其他调用!$X$5:$X$404,0),0)</f>
        <v>44391.269690781475</v>
      </c>
      <c r="AD347" s="12">
        <f>MIN(INDEX(其他调用!$AJ$5:$AJ$364,MATCH($K347,其他调用!$AG$5:$AG$364,0),1)/INDEX(其他调用!AJ$5:AJ$364,MATCH($K347,其他调用!$AG$5:$AG$364,0),0),1)*INDEX(其他调用!AA$5:AA$404,MATCH($K347,其他调用!$X$5:$X$404,0),0)</f>
        <v>45935.974024074778</v>
      </c>
      <c r="AE347" s="12">
        <f>MIN(INDEX(其他调用!$AJ$5:$AJ$364,MATCH($K347,其他调用!$AG$5:$AG$364,0),1)/INDEX(其他调用!AK$5:AK$364,MATCH($K347,其他调用!$AG$5:$AG$364,0),0),1)*INDEX(其他调用!AB$5:AB$404,MATCH($K347,其他调用!$X$5:$X$404,0),0)</f>
        <v>18709.727298374357</v>
      </c>
      <c r="AF347" s="12">
        <f>MIN(INDEX(其他调用!$AJ$5:$AJ$364,MATCH($K347,其他调用!$AG$5:$AG$364,0),1)/INDEX(其他调用!AL$5:AL$364,MATCH($K347,其他调用!$AG$5:$AG$364,0),0),1)*INDEX(其他调用!AC$5:AC$404,MATCH($K347,其他调用!$X$5:$X$404,0),0)</f>
        <v>11708.580961901911</v>
      </c>
      <c r="AG347" s="12">
        <f>求节点(节奏总纲!D$4:D$163,标准城池设计!AE$4:AE$163,$K347)*求节点(节奏总纲!D$4:D$163,攻城基础信息!$AF$5:$AF$164,$K347)</f>
        <v>1180506.9478368731</v>
      </c>
      <c r="AH347" s="12">
        <f>INDEX(其他调用!$AA$5:$AA$404,MATCH($K347,其他调用!$X$5:$X$404,0))*MIN(INDEX(其他调用!AK$5:AK$364,MATCH($K347,其他调用!$AG$5:$AG$364,0),1)/INDEX(其他调用!$AJ$5:$AJ$364,MATCH($K347,其他调用!$AG$5:$AG$364,0),0),5)*求节点(节奏总纲!D$4:D$163,攻城基础信息!$AF$5:$AF$164,$K347)</f>
        <v>414028.78176759998</v>
      </c>
      <c r="AI347" s="12">
        <f>MIN(INDEX(其他调用!$AK$5:$AK$364,MATCH($K347,其他调用!$AG$5:$AG$364,0),1)/INDEX(其他调用!AH$5:AH$364,MATCH($K347,其他调用!$AG$5:$AG$364,0),0),1)*INDEX(其他调用!Y$5:Y$404,MATCH($K347,其他调用!$X$5:$X$404,0),0)</f>
        <v>43232.330322518821</v>
      </c>
      <c r="AJ347" s="12">
        <f>MIN(INDEX(其他调用!$AK$5:$AK$364,MATCH($K347,其他调用!$AG$5:$AG$364,0),1)/INDEX(其他调用!AI$5:AI$364,MATCH($K347,其他调用!$AG$5:$AG$364,0),0),1)*INDEX(其他调用!Z$5:Z$404,MATCH($K347,其他调用!$X$5:$X$404,0),0)</f>
        <v>44391.269690781475</v>
      </c>
      <c r="AK347" s="12">
        <f>MIN(INDEX(其他调用!$AK$5:$AK$364,MATCH($K347,其他调用!$AG$5:$AG$364,0),1)/INDEX(其他调用!AJ$5:AJ$364,MATCH($K347,其他调用!$AG$5:$AG$364,0),0),1)*INDEX(其他调用!AA$5:AA$404,MATCH($K347,其他调用!$X$5:$X$404,0),0)</f>
        <v>45935.974024074778</v>
      </c>
      <c r="AL347" s="12">
        <f>MIN(INDEX(其他调用!$AK$5:$AK$364,MATCH($K347,其他调用!$AG$5:$AG$364,0),1)/INDEX(其他调用!AK$5:AK$364,MATCH($K347,其他调用!$AG$5:$AG$364,0),0),1)*INDEX(其他调用!AB$5:AB$404,MATCH($K347,其他调用!$X$5:$X$404,0),0)</f>
        <v>48181.133881756658</v>
      </c>
      <c r="AM347" s="12">
        <f>MIN(INDEX(其他调用!$AK$5:$AK$364,MATCH($K347,其他调用!$AG$5:$AG$364,0),1)/INDEX(其他调用!AL$5:AL$364,MATCH($K347,其他调用!$AG$5:$AG$364,0),0),1)*INDEX(其他调用!AC$5:AC$404,MATCH($K347,其他调用!$X$5:$X$404,0),0)</f>
        <v>30151.840157488517</v>
      </c>
      <c r="AN347" s="12">
        <f>求节点(节奏总纲!D$4:D$163,标准城池设计!AF$4:AF$163,$K347)*求节点(节奏总纲!D$4:D$163,攻城基础信息!$AG$5:$AG$164,$K347)</f>
        <v>1217923.5859843749</v>
      </c>
      <c r="AO347" s="12">
        <f>INDEX(其他调用!$AA$5:$AA$404,MATCH($K347,其他调用!$X$5:$X$404,0))*MIN(INDEX(其他调用!AL$5:AL$364,MATCH($K347,其他调用!$AG$5:$AG$364,0),1)/INDEX(其他调用!$AJ$5:$AJ$364,MATCH($K347,其他调用!$AG$5:$AG$364,0),0),5)*求节点(节奏总纲!D$4:D$163,攻城基础信息!$AG$5:$AG$164,$K347)</f>
        <v>715040.13395997998</v>
      </c>
      <c r="AP347" s="12">
        <f>MIN(INDEX(其他调用!$AL$5:$AL$364,MATCH($K347,其他调用!$AG$5:$AG$364,0),1)/INDEX(其他调用!AH$5:AH$364,MATCH($K347,其他调用!$AG$5:$AG$364,0),0),1)*INDEX(其他调用!Y$5:Y$404,MATCH($K347,其他调用!$X$5:$X$404,0),0)</f>
        <v>43232.330322518821</v>
      </c>
      <c r="AQ347" s="12">
        <f>MIN(INDEX(其他调用!$AL$5:$AL$364,MATCH($K347,其他调用!$AG$5:$AG$364,0),1)/INDEX(其他调用!AI$5:AI$364,MATCH($K347,其他调用!$AG$5:$AG$364,0),0),1)*INDEX(其他调用!Z$5:Z$404,MATCH($K347,其他调用!$X$5:$X$404,0),0)</f>
        <v>44391.269690781475</v>
      </c>
      <c r="AR347" s="12">
        <f>MIN(INDEX(其他调用!$AL$5:$AL$364,MATCH($K347,其他调用!$AG$5:$AG$364,0),1)/INDEX(其他调用!AJ$5:AJ$364,MATCH($K347,其他调用!$AG$5:$AG$364,0),0),1)*INDEX(其他调用!AA$5:AA$404,MATCH($K347,其他调用!$X$5:$X$404,0),0)</f>
        <v>45935.974024074778</v>
      </c>
      <c r="AS347" s="12">
        <f>MIN(INDEX(其他调用!$AL$5:$AL$364,MATCH($K347,其他调用!$AG$5:$AG$364,0),1)/INDEX(其他调用!AK$5:AK$364,MATCH($K347,其他调用!$AG$5:$AG$364,0),0),1)*INDEX(其他调用!AB$5:AB$404,MATCH($K347,其他调用!$X$5:$X$404,0),0)</f>
        <v>48181.133881756658</v>
      </c>
      <c r="AT347" s="12">
        <f>MIN(INDEX(其他调用!$AL$5:$AL$364,MATCH($K347,其他调用!$AG$5:$AG$364,0),1)/INDEX(其他调用!AL$5:AL$364,MATCH($K347,其他调用!$AG$5:$AG$364,0),0),1)*INDEX(其他调用!AC$5:AC$404,MATCH($K347,其他调用!$X$5:$X$404,0),0)</f>
        <v>52073.133015791856</v>
      </c>
      <c r="AV347" s="14">
        <f>IF(OR(AV$5="大R",AV$5="超R"),MAX(INDEX(其他调用!$H$5:$L$404,MATCH($K347,其他调用!$B$5:$B$404,0),MATCH(AV$5,其他调用!$H$4:$L$4,0))*120*0.85,2),INDEX(其他调用!$H$5:$L$404,MATCH($K347,其他调用!$B$5:$B$404,0),MATCH(AV$5,其他调用!$H$4:$L$4,0))*120*0.85)</f>
        <v>48.921801254999991</v>
      </c>
      <c r="AW347" s="14">
        <f>IF(OR(AW$5="大R",AW$5="超R"),MAX(INDEX(其他调用!$H$5:$L$404,MATCH($K347,其他调用!$B$5:$B$404,0),MATCH(AW$5,其他调用!$H$4:$L$4,0))*120*0.85,2),INDEX(其他调用!$H$5:$L$404,MATCH($K347,其他调用!$B$5:$B$404,0),MATCH(AW$5,其他调用!$H$4:$L$4,0))*120*0.85)</f>
        <v>48.237344010638395</v>
      </c>
      <c r="AX347" s="14">
        <f>IF(OR(AX$5="大R",AX$5="超R"),MAX(INDEX(其他调用!$H$5:$L$404,MATCH($K347,其他调用!$B$5:$B$404,0),MATCH(AX$5,其他调用!$H$4:$L$4,0))*120*0.85,2),INDEX(其他调用!$H$5:$L$404,MATCH($K347,其他调用!$B$5:$B$404,0),MATCH(AX$5,其他调用!$H$4:$L$4,0))*120*0.85)</f>
        <v>3.9376284143615998</v>
      </c>
      <c r="AY347" s="14">
        <f>IF(OR(AY$5="大R",AY$5="超R"),MAX(INDEX(其他调用!$H$5:$L$404,MATCH($K347,其他调用!$B$5:$B$404,0),MATCH(AY$5,其他调用!$H$4:$L$4,0))*120*0.85,2),INDEX(其他调用!$H$5:$L$404,MATCH($K347,其他调用!$B$5:$B$404,0),MATCH(AY$5,其他调用!$H$4:$L$4,0))*120*0.85)</f>
        <v>2</v>
      </c>
      <c r="AZ347" s="14">
        <f>IF(OR(AZ$5="大R",AZ$5="超R"),MAX(INDEX(其他调用!$H$5:$L$404,MATCH($K347,其他调用!$B$5:$B$404,0),MATCH(AZ$5,其他调用!$H$4:$L$4,0))*120*0.85,2),INDEX(其他调用!$H$5:$L$404,MATCH($K347,其他调用!$B$5:$B$404,0),MATCH(AZ$5,其他调用!$H$4:$L$4,0))*120*0.85)</f>
        <v>2</v>
      </c>
      <c r="BA347" s="14">
        <f>INDEX(其他调用!$H$5:$L$404,MATCH($K347,其他调用!$B$5:$B$404,0),MATCH(BA$5,其他调用!$H$4:$L$4,0))*INDEX(其他调用!$M$5:$M$404,MATCH($K347,其他调用!$B$5:$B$404,0))*0.6</f>
        <v>28.777530149999997</v>
      </c>
      <c r="BB347" s="14">
        <f>INDEX(其他调用!$H$5:$L$404,MATCH($K347,其他调用!$B$5:$B$404,0),MATCH(BB$5,其他调用!$H$4:$L$4,0))*INDEX(其他调用!$M$5:$M$404,MATCH($K347,其他调用!$B$5:$B$404,0))*0.6</f>
        <v>28.374908241551999</v>
      </c>
      <c r="BC347" s="14">
        <f>INDEX(其他调用!$H$5:$L$404,MATCH($K347,其他调用!$B$5:$B$404,0),MATCH(BC$5,其他调用!$H$4:$L$4,0))*INDEX(其他调用!$M$5:$M$404,MATCH($K347,其他调用!$B$5:$B$404,0))*0.6</f>
        <v>2.3162520084480001</v>
      </c>
      <c r="BD347" s="14">
        <f>INDEX(其他调用!$H$5:$L$404,MATCH($K347,其他调用!$B$5:$B$404,0),MATCH(BD$5,其他调用!$H$4:$L$4,0))*INDEX(其他调用!$M$5:$M$404,MATCH($K347,其他调用!$B$5:$B$404,0))*0.6</f>
        <v>0.4120776000000001</v>
      </c>
      <c r="BE347" s="14">
        <f>INDEX(其他调用!$H$5:$L$404,MATCH($K347,其他调用!$B$5:$B$404,0),MATCH(BE$5,其他调用!$H$4:$L$4,0))*INDEX(其他调用!$M$5:$M$404,MATCH($K347,其他调用!$B$5:$B$404,0))*0.6</f>
        <v>0.11923199999999998</v>
      </c>
      <c r="BF347" s="14">
        <f>IF(OR(BF$5="大R",BF$5="超R"),0,INDEX(其他调用!$H$5:$L$404,MATCH($K347,其他调用!$B$5:$B$404,0),MATCH(BF$5,其他调用!$H$4:$L$4,0))*50*0.4)</f>
        <v>9.5925100500000013</v>
      </c>
      <c r="BG347" s="14">
        <f>IF(OR(BG$5="大R",BG$5="超R"),0,INDEX(其他调用!$H$5:$L$404,MATCH($K347,其他调用!$B$5:$B$404,0),MATCH(BG$5,其他调用!$H$4:$L$4,0))*50*0.4)</f>
        <v>9.4583027471839998</v>
      </c>
      <c r="BH347" s="14">
        <f>IF(OR(BH$5="大R",BH$5="超R"),0,INDEX(其他调用!$H$5:$L$404,MATCH($K347,其他调用!$B$5:$B$404,0),MATCH(BH$5,其他调用!$H$4:$L$4,0))*50*0.4)</f>
        <v>0.77208400281600009</v>
      </c>
      <c r="BI347" s="14">
        <f>IF(OR(BI$5="大R",BI$5="超R"),0,INDEX(其他调用!$H$5:$L$404,MATCH($K347,其他调用!$B$5:$B$404,0),MATCH(BI$5,其他调用!$H$4:$L$4,0))*50*0.4)</f>
        <v>0</v>
      </c>
      <c r="BJ347" s="14">
        <f>IF(OR(BJ$5="大R",BJ$5="超R"),0,INDEX(其他调用!$H$5:$L$404,MATCH($K347,其他调用!$B$5:$B$404,0),MATCH(BJ$5,其他调用!$H$4:$L$4,0))*50*0.4)</f>
        <v>0</v>
      </c>
      <c r="BL347" s="14">
        <f t="shared" si="628"/>
        <v>342</v>
      </c>
      <c r="BM347" s="14">
        <f t="shared" si="535"/>
        <v>96</v>
      </c>
      <c r="BN347" s="14">
        <f>('疲劳值&amp;地图信息'!$S$10*'疲劳值&amp;地图信息'!$R$10+'疲劳值&amp;地图信息'!$S$11*'疲劳值&amp;地图信息'!$R$11+'疲劳值&amp;地图信息'!$S$12*'疲劳值&amp;地图信息'!$R$12+(BM347-'疲劳值&amp;地图信息'!$S$12-'疲劳值&amp;地图信息'!$S$11-'疲劳值&amp;地图信息'!$S$10)*'疲劳值&amp;地图信息'!$R$13)/BM347</f>
        <v>51.371477246638619</v>
      </c>
      <c r="BO347" s="14">
        <f>INDEX(其他调用!$M$5:$M$404,MATCH(BL347,其他调用!$B$5:$B$404,0))*0.6</f>
        <v>60</v>
      </c>
      <c r="BP347" s="14">
        <f>IF(BO347&gt;SUM('疲劳值&amp;地图信息'!$S$10:$S$12),('疲劳值&amp;地图信息'!$S$10*'疲劳值&amp;地图信息'!$R$10+'疲劳值&amp;地图信息'!$S$11*'疲劳值&amp;地图信息'!$R$11+'疲劳值&amp;地图信息'!$S$12*'疲劳值&amp;地图信息'!$R$12+(BO347-'疲劳值&amp;地图信息'!$S$12-'疲劳值&amp;地图信息'!$S$11-'疲劳值&amp;地图信息'!$S$10)*'疲劳值&amp;地图信息'!$R$13)/BO347,('疲劳值&amp;地图信息'!$S$10*'疲劳值&amp;地图信息'!$R$10+'疲劳值&amp;地图信息'!$S$11*'疲劳值&amp;地图信息'!$R$11+'疲劳值&amp;地图信息'!$S$12*'疲劳值&amp;地图信息'!$R$12+(BO347-'疲劳值&amp;地图信息'!$S$12-'疲劳值&amp;地图信息'!$S$11-'疲劳值&amp;地图信息'!$S$10)*'疲劳值&amp;地图信息'!$R$13)/BO347)</f>
        <v>44.158136341605953</v>
      </c>
      <c r="BQ347" s="14">
        <f t="shared" si="629"/>
        <v>20</v>
      </c>
      <c r="BR347" s="14">
        <f>('疲劳值&amp;地图信息'!$S$10*'疲劳值&amp;地图信息'!$R$10+($BQ347-'疲劳值&amp;地图信息'!$S$10)*'疲劳值&amp;地图信息'!$R$11)/$BQ347</f>
        <v>32.067203015074995</v>
      </c>
      <c r="CF347" s="14">
        <v>342</v>
      </c>
      <c r="CG347" s="51">
        <f t="shared" si="536"/>
        <v>16944</v>
      </c>
      <c r="CH347" s="51">
        <f t="shared" si="537"/>
        <v>1040</v>
      </c>
      <c r="CI347" s="51">
        <f>INT(SUMPRODUCT($N347:$R347,$BA347:$BE347)/SUM($BA347:$BE347)/10000*$BX$7*$BZ$34/'疲劳值&amp;地图信息'!$R$10*$BY$53)</f>
        <v>3387</v>
      </c>
      <c r="CJ347" s="50">
        <f t="shared" si="538"/>
        <v>0.79285012399981281</v>
      </c>
      <c r="CK347" s="50">
        <f t="shared" si="539"/>
        <v>4.8664077488184923E-2</v>
      </c>
      <c r="CL347" s="50">
        <f t="shared" si="540"/>
        <v>0.15848579851200226</v>
      </c>
      <c r="CM347" s="14">
        <f t="shared" si="541"/>
        <v>18569</v>
      </c>
      <c r="CN347" s="14">
        <f t="shared" si="542"/>
        <v>1815</v>
      </c>
      <c r="CO347" s="14">
        <f>INT(SUMPRODUCT($U347:$Y347,$BA347:$BE347)/SUM($BA347:$BE347)/10000*$BX$7*$BZ$34/'疲劳值&amp;地图信息'!$R$10*$BY$54)</f>
        <v>6513</v>
      </c>
      <c r="CP347" s="50">
        <f t="shared" si="543"/>
        <v>0.69037439119604416</v>
      </c>
      <c r="CQ347" s="50">
        <f t="shared" si="544"/>
        <v>6.7479644570026392E-2</v>
      </c>
      <c r="CR347" s="50">
        <f t="shared" si="545"/>
        <v>0.24214596423392942</v>
      </c>
      <c r="CS347" s="14">
        <f t="shared" si="546"/>
        <v>20249</v>
      </c>
      <c r="CT347" s="14">
        <f t="shared" si="547"/>
        <v>3276</v>
      </c>
      <c r="CU347" s="14">
        <f>INT(SUMPRODUCT($AB347:$AF347,$BA347:$BE347)/SUM($BA347:$BE347)/10000*$BX$7*$BZ$34/'疲劳值&amp;地图信息'!$R$10*$BY$55)</f>
        <v>8858</v>
      </c>
      <c r="CV347" s="50">
        <f t="shared" si="548"/>
        <v>0.62529722385202113</v>
      </c>
      <c r="CW347" s="50">
        <f t="shared" si="549"/>
        <v>0.10116419108791649</v>
      </c>
      <c r="CX347" s="50">
        <f t="shared" si="550"/>
        <v>0.2735385850600624</v>
      </c>
      <c r="CY347" s="14">
        <f t="shared" si="551"/>
        <v>24060</v>
      </c>
      <c r="CZ347" s="14">
        <f t="shared" si="552"/>
        <v>8438</v>
      </c>
      <c r="DA347" s="14">
        <f>INT(SUMPRODUCT($AI347:$AM347,$BA347:$BE347)/SUM($BA347:$BE347)/10000*$BX$7*$BZ$34/'疲劳值&amp;地图信息'!$R$10*$BY$56)</f>
        <v>13361</v>
      </c>
      <c r="DB347" s="50">
        <f t="shared" si="553"/>
        <v>0.52465164962166644</v>
      </c>
      <c r="DC347" s="50">
        <f t="shared" si="554"/>
        <v>0.18399877886565341</v>
      </c>
      <c r="DD347" s="50">
        <f t="shared" si="555"/>
        <v>0.29134957151268015</v>
      </c>
      <c r="DE347" s="14">
        <f t="shared" si="556"/>
        <v>24822</v>
      </c>
      <c r="DF347" s="14">
        <f t="shared" si="557"/>
        <v>14573</v>
      </c>
      <c r="DG347" s="14">
        <f>INT(SUMPRODUCT($AP347:$AT347,$BA347:$BE347)/SUM($BA347:$BE347)/10000*$BX$7*$BZ$34/'疲劳值&amp;地图信息'!$R$10*$BY$57)</f>
        <v>17832</v>
      </c>
      <c r="DH347" s="50">
        <f t="shared" si="558"/>
        <v>0.43374630856064444</v>
      </c>
      <c r="DI347" s="50">
        <f t="shared" si="559"/>
        <v>0.25465252415817707</v>
      </c>
      <c r="DJ347" s="50">
        <f t="shared" si="560"/>
        <v>0.31160116728117848</v>
      </c>
      <c r="DL347" s="14">
        <f t="shared" si="631"/>
        <v>21371</v>
      </c>
      <c r="DM347" s="14">
        <f t="shared" si="632"/>
        <v>26897</v>
      </c>
      <c r="DN347" s="14">
        <f t="shared" si="633"/>
        <v>32383</v>
      </c>
      <c r="DO347" s="14">
        <f t="shared" si="634"/>
        <v>45859</v>
      </c>
      <c r="DP347" s="14">
        <f t="shared" si="635"/>
        <v>57227</v>
      </c>
      <c r="DQ347" s="14">
        <f t="shared" si="636"/>
        <v>1478932</v>
      </c>
      <c r="DT347" s="14">
        <f t="shared" si="630"/>
        <v>235575</v>
      </c>
      <c r="DU347" s="50">
        <f t="shared" si="532"/>
        <v>0.13740101381913283</v>
      </c>
      <c r="DW347" s="14">
        <f t="shared" si="561"/>
        <v>1714507</v>
      </c>
      <c r="EB347" s="14">
        <v>342</v>
      </c>
      <c r="EC347" s="51">
        <f t="shared" si="562"/>
        <v>28241</v>
      </c>
      <c r="ED347" s="51">
        <f t="shared" si="563"/>
        <v>1734</v>
      </c>
      <c r="EE347" s="51">
        <f>INT(SUMPRODUCT($N347:$R347,$BF347:$BJ347)/SUM($BF347:$BJ347)/10000*$BX$7*$BZ$46/'疲劳值&amp;地图信息'!$R$10*$BY$53)</f>
        <v>455</v>
      </c>
      <c r="EF347" s="50">
        <f t="shared" si="564"/>
        <v>0.92806441012159058</v>
      </c>
      <c r="EG347" s="50">
        <f t="shared" si="565"/>
        <v>5.6983240223463689E-2</v>
      </c>
      <c r="EH347" s="50">
        <f t="shared" si="566"/>
        <v>1.4952349654945777E-2</v>
      </c>
      <c r="EI347" s="51">
        <f t="shared" si="567"/>
        <v>30949</v>
      </c>
      <c r="EJ347" s="51">
        <f t="shared" si="568"/>
        <v>3025</v>
      </c>
      <c r="EK347" s="14">
        <f>INT(SUMPRODUCT($U347:$Y347,$BF347:$BJ347)/SUM($BF347:$BJ347)/10000*$BX$7*$BZ$46/'疲劳值&amp;地图信息'!$R$10*$BY$54)</f>
        <v>874</v>
      </c>
      <c r="EL347" s="50">
        <f t="shared" si="569"/>
        <v>0.88811409550045917</v>
      </c>
      <c r="EM347" s="50">
        <f t="shared" si="570"/>
        <v>8.6805555555555552E-2</v>
      </c>
      <c r="EN347" s="50">
        <f t="shared" si="571"/>
        <v>2.5080348943985309E-2</v>
      </c>
      <c r="EO347" s="51">
        <f t="shared" si="572"/>
        <v>33749</v>
      </c>
      <c r="EP347" s="51">
        <f t="shared" si="573"/>
        <v>5461</v>
      </c>
      <c r="EQ347" s="14">
        <f>INT(SUMPRODUCT($AB347:$AF347,$BF347:$BJ347)/SUM($BF347:$BJ347)/10000*$BX$7*$BZ$46/'疲劳值&amp;地图信息'!$R$10*$BY$55)</f>
        <v>1187</v>
      </c>
      <c r="ER347" s="50">
        <f t="shared" si="574"/>
        <v>0.83543332425675176</v>
      </c>
      <c r="ES347" s="50">
        <f t="shared" si="575"/>
        <v>0.13518330569101666</v>
      </c>
      <c r="ET347" s="50">
        <f t="shared" si="576"/>
        <v>2.93833700522316E-2</v>
      </c>
      <c r="EU347" s="51">
        <f t="shared" si="577"/>
        <v>40100</v>
      </c>
      <c r="EV347" s="51">
        <f t="shared" si="578"/>
        <v>14064</v>
      </c>
      <c r="EW347" s="14">
        <f>INT(SUMPRODUCT($AI347:$AM347,$BF347:$BJ347)/SUM($BF347:$BJ347)/10000*$BX$7*$BZ$46/'疲劳值&amp;地图信息'!$R$10*$BY$56)</f>
        <v>1781</v>
      </c>
      <c r="EX347" s="50">
        <f t="shared" si="579"/>
        <v>0.7167754044150505</v>
      </c>
      <c r="EY347" s="50">
        <f t="shared" si="580"/>
        <v>0.25138975779783718</v>
      </c>
      <c r="EZ347" s="50">
        <f t="shared" si="581"/>
        <v>3.1834837787112345E-2</v>
      </c>
      <c r="FA347" s="51">
        <f t="shared" si="582"/>
        <v>41371</v>
      </c>
      <c r="FB347" s="51">
        <f t="shared" si="583"/>
        <v>24289</v>
      </c>
      <c r="FC347" s="14">
        <f>INT(SUMPRODUCT($AP347:$AT347,$BF347:$BJ347)/SUM($BF347:$BJ347)/10000*$BX$7*$BZ$46/'疲劳值&amp;地图信息'!$R$10*$BY$57)</f>
        <v>2375</v>
      </c>
      <c r="FD347" s="50">
        <f t="shared" si="584"/>
        <v>0.60808407437348422</v>
      </c>
      <c r="FE347" s="50">
        <f t="shared" si="585"/>
        <v>0.35700742265010654</v>
      </c>
      <c r="FF347" s="50">
        <f t="shared" si="586"/>
        <v>3.4908502976409204E-2</v>
      </c>
      <c r="FH347" s="14">
        <f t="shared" si="587"/>
        <v>30430</v>
      </c>
      <c r="FI347" s="14">
        <f t="shared" si="588"/>
        <v>34848</v>
      </c>
      <c r="FJ347" s="14">
        <f t="shared" si="589"/>
        <v>40397</v>
      </c>
      <c r="FK347" s="14">
        <f t="shared" si="590"/>
        <v>55945</v>
      </c>
      <c r="FL347" s="14">
        <f t="shared" si="591"/>
        <v>68035</v>
      </c>
      <c r="FM347" s="14">
        <f t="shared" si="592"/>
        <v>3576693</v>
      </c>
      <c r="FP347" s="14">
        <f t="shared" si="593"/>
        <v>334150</v>
      </c>
      <c r="FQ347" s="50">
        <f t="shared" si="533"/>
        <v>8.5441936687307568E-2</v>
      </c>
      <c r="FS347" s="14">
        <f t="shared" si="594"/>
        <v>3910843</v>
      </c>
      <c r="FX347" s="14">
        <v>342</v>
      </c>
      <c r="FY347" s="51">
        <f t="shared" si="595"/>
        <v>39537</v>
      </c>
      <c r="FZ347" s="51">
        <f t="shared" si="596"/>
        <v>1734</v>
      </c>
      <c r="GA347" s="51">
        <f>INT(SUMPRODUCT($N347:$R347,$BF347:$BJ347)/SUM($BF347:$BJ347)/10000*$BX$7*$BZ$46/'疲劳值&amp;地图信息'!$R$10*$BY$53)</f>
        <v>455</v>
      </c>
      <c r="GB347" s="50">
        <f t="shared" si="597"/>
        <v>0.94753870488424485</v>
      </c>
      <c r="GC347" s="50">
        <f t="shared" si="598"/>
        <v>4.1556823083928489E-2</v>
      </c>
      <c r="GD347" s="50">
        <f t="shared" si="599"/>
        <v>1.0904472031826679E-2</v>
      </c>
      <c r="GE347" s="51">
        <f t="shared" si="600"/>
        <v>43329</v>
      </c>
      <c r="GF347" s="51">
        <f t="shared" si="601"/>
        <v>3025</v>
      </c>
      <c r="GG347" s="14">
        <f>INT(SUMPRODUCT($U347:$Y347,$BF347:$BJ347)/SUM($BF347:$BJ347)/10000*$BX$7*$BZ$46/'疲劳值&amp;地图信息'!$R$10*$BY$54)</f>
        <v>874</v>
      </c>
      <c r="GH347" s="50">
        <f t="shared" si="602"/>
        <v>0.91744304226306428</v>
      </c>
      <c r="GI347" s="50">
        <f t="shared" si="603"/>
        <v>6.4050986702803417E-2</v>
      </c>
      <c r="GJ347" s="50">
        <f t="shared" si="604"/>
        <v>1.8505971034132294E-2</v>
      </c>
      <c r="GK347" s="51">
        <f t="shared" si="605"/>
        <v>47249</v>
      </c>
      <c r="GL347" s="51">
        <f t="shared" si="606"/>
        <v>5461</v>
      </c>
      <c r="GM347" s="14">
        <f>INT(SUMPRODUCT($AB347:$AF347,$BF347:$BJ347)/SUM($BF347:$BJ347)/10000*$BX$7*$BZ$46/'疲劳值&amp;地图信息'!$R$10*$BY$55)</f>
        <v>1187</v>
      </c>
      <c r="GN347" s="50">
        <f t="shared" si="607"/>
        <v>0.87665361708443879</v>
      </c>
      <c r="GO347" s="50">
        <f t="shared" si="608"/>
        <v>0.10132289366755107</v>
      </c>
      <c r="GP347" s="50">
        <f t="shared" si="609"/>
        <v>2.2023489248010092E-2</v>
      </c>
      <c r="GQ347" s="51">
        <f t="shared" si="610"/>
        <v>56140</v>
      </c>
      <c r="GR347" s="51">
        <f t="shared" si="611"/>
        <v>14064</v>
      </c>
      <c r="GS347" s="14">
        <f>INT(SUMPRODUCT($AI347:$AM347,$BF347:$BJ347)/SUM($BF347:$BJ347)/10000*$BX$7*$BZ$46/'疲劳值&amp;地图信息'!$R$10*$BY$56)</f>
        <v>1781</v>
      </c>
      <c r="GT347" s="50">
        <f t="shared" si="612"/>
        <v>0.77988469820101414</v>
      </c>
      <c r="GU347" s="50">
        <f t="shared" si="613"/>
        <v>0.19537403625755365</v>
      </c>
      <c r="GV347" s="50">
        <f t="shared" si="614"/>
        <v>2.4741265541432241E-2</v>
      </c>
      <c r="GW347" s="51">
        <f t="shared" si="615"/>
        <v>57920</v>
      </c>
      <c r="GX347" s="51">
        <f t="shared" si="616"/>
        <v>24289</v>
      </c>
      <c r="GY347" s="14">
        <f>INT(SUMPRODUCT($AP347:$AT347,$BF347:$BJ347)/SUM($BF347:$BJ347)/10000*$BX$7*$BZ$46/'疲劳值&amp;地图信息'!$R$10*$BY$57)</f>
        <v>2375</v>
      </c>
      <c r="GZ347" s="50">
        <f t="shared" si="617"/>
        <v>0.68476307575900874</v>
      </c>
      <c r="HA347" s="50">
        <f t="shared" si="618"/>
        <v>0.28715832781613543</v>
      </c>
      <c r="HB347" s="50">
        <f t="shared" si="619"/>
        <v>2.8078596424855766E-2</v>
      </c>
      <c r="HD347" s="14">
        <f t="shared" si="620"/>
        <v>41726</v>
      </c>
      <c r="HE347" s="14">
        <f t="shared" si="621"/>
        <v>47228</v>
      </c>
      <c r="HF347" s="14">
        <f t="shared" si="622"/>
        <v>53897</v>
      </c>
      <c r="HG347" s="14">
        <f t="shared" si="623"/>
        <v>71985</v>
      </c>
      <c r="HH347" s="14">
        <f t="shared" si="624"/>
        <v>84584</v>
      </c>
      <c r="HI347" s="14">
        <f t="shared" si="625"/>
        <v>4844828</v>
      </c>
      <c r="HL347" s="14">
        <f t="shared" si="626"/>
        <v>430050</v>
      </c>
      <c r="HM347" s="50">
        <f t="shared" si="534"/>
        <v>8.1527951926091941E-2</v>
      </c>
      <c r="HO347" s="14">
        <f t="shared" si="627"/>
        <v>5274878</v>
      </c>
    </row>
    <row r="348" spans="11:223" x14ac:dyDescent="0.2">
      <c r="K348" s="14">
        <v>343</v>
      </c>
      <c r="L348" s="12">
        <f>求节点(节奏总纲!D$4:D$163,标准城池设计!AB$4:AB$163,$K348)*求节点(节奏总纲!D$4:D$163,攻城基础信息!$AC$5:$AC$164,$K348)</f>
        <v>832485.93921257113</v>
      </c>
      <c r="M348" s="12">
        <f>INDEX(其他调用!$AA$5:$AA$404,MATCH(K348,其他调用!$X$5:$X$404,0))*MIN(INDEX(其他调用!$AH$5:$AH$364,MATCH('征服点（新）'!K348,其他调用!$AG$5:$AG$364,0),1)/INDEX(其他调用!$AJ$5:$AJ$364,MATCH(K348,其他调用!$AG$5:$AG$364,0),0),5)*求节点(节奏总纲!D$4:D$163,攻城基础信息!$AC$5:$AC$164,$K348)</f>
        <v>51008.542762422949</v>
      </c>
      <c r="N348" s="12">
        <f>MIN(INDEX(其他调用!$AH$5:$AH$364,MATCH($K348,其他调用!$AG$5:$AG$364,0),1)/INDEX(其他调用!AH$5:AH$364,MATCH($K348,其他调用!$AG$5:$AG$364,0),0),1)*INDEX(其他调用!Y$5:Y$404,MATCH($K348,其他调用!$X$5:$X$404,0),0)</f>
        <v>43248.838294431211</v>
      </c>
      <c r="O348" s="12">
        <f>MIN(INDEX(其他调用!$AH$5:$AH$364,MATCH($K348,其他调用!$AG$5:$AG$364,0),1)/INDEX(其他调用!AI$5:AI$364,MATCH($K348,其他调用!$AG$5:$AG$364,0),0),1)*INDEX(其他调用!Z$5:Z$404,MATCH($K348,其他调用!$X$5:$X$404,0),0)</f>
        <v>25463.157938343982</v>
      </c>
      <c r="P348" s="12">
        <f>MIN(INDEX(其他调用!$AH$5:$AH$364,MATCH($K348,其他调用!$AG$5:$AG$364,0),1)/INDEX(其他调用!AJ$5:AJ$364,MATCH($K348,其他调用!$AG$5:$AG$364,0),0),1)*INDEX(其他调用!AA$5:AA$404,MATCH($K348,其他调用!$X$5:$X$404,0),0)</f>
        <v>14573.869360692281</v>
      </c>
      <c r="Q348" s="12">
        <f>MIN(INDEX(其他调用!$AH$5:$AH$364,MATCH($K348,其他调用!$AG$5:$AG$364,0),1)/INDEX(其他调用!AK$5:AK$364,MATCH($K348,其他调用!$AG$5:$AG$364,0),0),1)*INDEX(其他调用!AB$5:AB$404,MATCH($K348,其他调用!$X$5:$X$404,0),0)</f>
        <v>5950.5423558100019</v>
      </c>
      <c r="R348" s="12">
        <f>MIN(INDEX(其他调用!$AH$5:$AH$364,MATCH($K348,其他调用!$AG$5:$AG$364,0),1)/INDEX(其他调用!AL$5:AL$364,MATCH($K348,其他调用!$AG$5:$AG$364,0),0),1)*INDEX(其他调用!AC$5:AC$404,MATCH($K348,其他调用!$X$5:$X$404,0),0)</f>
        <v>3727.0057607145818</v>
      </c>
      <c r="S348" s="12">
        <f>求节点(节奏总纲!D$4:D$163,标准城池设计!AC$4:AC$163,$K348)*求节点(节奏总纲!D$4:D$163,攻城基础信息!$AD$5:$AD$164,$K348)</f>
        <v>912213.25615660741</v>
      </c>
      <c r="T348" s="12">
        <f>INDEX(其他调用!$AA$5:$AA$404,MATCH($K348,其他调用!$X$5:$X$404,0))*MIN(INDEX(其他调用!AI$5:AI$364,MATCH($K348,其他调用!$AG$5:$AG$364,0),1)/INDEX(其他调用!$AJ$5:$AJ$364,MATCH($K348,其他调用!$AG$5:$AG$364,0),0),5)*求节点(节奏总纲!D$4:D$163,攻城基础信息!$AD$5:$AD$164,$K348)</f>
        <v>88959.654665583905</v>
      </c>
      <c r="U348" s="12">
        <f>MIN(INDEX(其他调用!$AI$5:$AI$364,MATCH($K348,其他调用!$AG$5:$AG$364,0),1)/INDEX(其他调用!AH$5:AH$364,MATCH($K348,其他调用!$AG$5:$AG$364,0),0),1)*INDEX(其他调用!Y$5:Y$404,MATCH($K348,其他调用!$X$5:$X$404,0),0)</f>
        <v>43248.838294431211</v>
      </c>
      <c r="V348" s="12">
        <f>MIN(INDEX(其他调用!$AI$5:$AI$364,MATCH($K348,其他调用!$AG$5:$AG$364,0),1)/INDEX(其他调用!AI$5:AI$364,MATCH($K348,其他调用!$AG$5:$AG$364,0),0),1)*INDEX(其他调用!Z$5:Z$404,MATCH($K348,其他调用!$X$5:$X$404,0),0)</f>
        <v>44408.124879015915</v>
      </c>
      <c r="W348" s="12">
        <f>MIN(INDEX(其他调用!$AI$5:$AI$364,MATCH($K348,其他调用!$AG$5:$AG$364,0),1)/INDEX(其他调用!AJ$5:AJ$364,MATCH($K348,其他调用!$AG$5:$AG$364,0),0),1)*INDEX(其他调用!AA$5:AA$404,MATCH($K348,其他调用!$X$5:$X$404,0),0)</f>
        <v>25417.044190166846</v>
      </c>
      <c r="X348" s="12">
        <f>MIN(INDEX(其他调用!$AI$5:$AI$364,MATCH($K348,其他调用!$AG$5:$AG$364,0),1)/INDEX(其他调用!AK$5:AK$364,MATCH($K348,其他调用!$AG$5:$AG$364,0),0),1)*INDEX(其他调用!AB$5:AB$404,MATCH($K348,其他调用!$X$5:$X$404,0),0)</f>
        <v>10377.834072055795</v>
      </c>
      <c r="Y348" s="12">
        <f>MIN(INDEX(其他调用!$AI$5:$AI$364,MATCH($K348,其他调用!$AG$5:$AG$364,0),1)/INDEX(其他调用!AL$5:AL$364,MATCH($K348,其他调用!$AG$5:$AG$364,0),0),1)*INDEX(其他调用!AC$5:AC$404,MATCH($K348,其他调用!$X$5:$X$404,0),0)</f>
        <v>6499.9532912369359</v>
      </c>
      <c r="Z348" s="12">
        <f>求节点(节奏总纲!D$4:D$163,标准城池设计!AD$4:AD$163,$K348)*求节点(节奏总纲!D$4:D$163,攻城基础信息!$AE$5:$AE$164,$K348)</f>
        <v>994906.37607298931</v>
      </c>
      <c r="AA348" s="12">
        <f>INDEX(其他调用!$AA$5:$AA$404,MATCH($K348,其他调用!$X$5:$X$404,0))*MIN(INDEX(其他调用!AJ$5:AJ$364,MATCH($K348,其他调用!$AG$5:$AG$364,0),1)/INDEX(其他调用!$AJ$5:$AJ$364,MATCH($K348,其他调用!$AG$5:$AG$364,0),0),5)*求节点(节奏总纲!D$4:D$163,攻城基础信息!$AE$5:$AE$164,$K348)</f>
        <v>160838.4839301891</v>
      </c>
      <c r="AB348" s="12">
        <f>MIN(INDEX(其他调用!$AJ$5:$AJ$364,MATCH($K348,其他调用!$AG$5:$AG$364,0),1)/INDEX(其他调用!AH$5:AH$364,MATCH($K348,其他调用!$AG$5:$AG$364,0),0),1)*INDEX(其他调用!Y$5:Y$404,MATCH($K348,其他调用!$X$5:$X$404,0),0)</f>
        <v>43248.838294431211</v>
      </c>
      <c r="AC348" s="12">
        <f>MIN(INDEX(其他调用!$AJ$5:$AJ$364,MATCH($K348,其他调用!$AG$5:$AG$364,0),1)/INDEX(其他调用!AI$5:AI$364,MATCH($K348,其他调用!$AG$5:$AG$364,0),0),1)*INDEX(其他调用!Z$5:Z$404,MATCH($K348,其他调用!$X$5:$X$404,0),0)</f>
        <v>44408.124879015915</v>
      </c>
      <c r="AD348" s="12">
        <f>MIN(INDEX(其他调用!$AJ$5:$AJ$364,MATCH($K348,其他调用!$AG$5:$AG$364,0),1)/INDEX(其他调用!AJ$5:AJ$364,MATCH($K348,其他调用!$AG$5:$AG$364,0),0),1)*INDEX(其他调用!AA$5:AA$404,MATCH($K348,其他调用!$X$5:$X$404,0),0)</f>
        <v>45953.852551482632</v>
      </c>
      <c r="AE348" s="12">
        <f>MIN(INDEX(其他调用!$AJ$5:$AJ$364,MATCH($K348,其他调用!$AG$5:$AG$364,0),1)/INDEX(其他调用!AK$5:AK$364,MATCH($K348,其他调用!$AG$5:$AG$364,0),0),1)*INDEX(其他调用!AB$5:AB$404,MATCH($K348,其他调用!$X$5:$X$404,0),0)</f>
        <v>18763.057308430249</v>
      </c>
      <c r="AF348" s="12">
        <f>MIN(INDEX(其他调用!$AJ$5:$AJ$364,MATCH($K348,其他调用!$AG$5:$AG$364,0),1)/INDEX(其他调用!AL$5:AL$364,MATCH($K348,其他调用!$AG$5:$AG$364,0),0),1)*INDEX(其他调用!AC$5:AC$404,MATCH($K348,其他调用!$X$5:$X$404,0),0)</f>
        <v>11751.873778170648</v>
      </c>
      <c r="AG348" s="12">
        <f>求节点(节奏总纲!D$4:D$163,标准城池设计!AE$4:AE$163,$K348)*求节点(节奏总纲!D$4:D$163,攻城基础信息!$AF$5:$AF$164,$K348)</f>
        <v>1181219.9588187139</v>
      </c>
      <c r="AH348" s="12">
        <f>INDEX(其他调用!$AA$5:$AA$404,MATCH($K348,其他调用!$X$5:$X$404,0))*MIN(INDEX(其他调用!AK$5:AK$364,MATCH($K348,其他调用!$AG$5:$AG$364,0),1)/INDEX(其他调用!$AJ$5:$AJ$364,MATCH($K348,其他调用!$AG$5:$AG$364,0),0),5)*求节点(节奏总纲!D$4:D$163,攻城基础信息!$AF$5:$AF$164,$K348)</f>
        <v>413160.64557556983</v>
      </c>
      <c r="AI348" s="12">
        <f>MIN(INDEX(其他调用!$AK$5:$AK$364,MATCH($K348,其他调用!$AG$5:$AG$364,0),1)/INDEX(其他调用!AH$5:AH$364,MATCH($K348,其他调用!$AG$5:$AG$364,0),0),1)*INDEX(其他调用!Y$5:Y$404,MATCH($K348,其他调用!$X$5:$X$404,0),0)</f>
        <v>43248.838294431211</v>
      </c>
      <c r="AJ348" s="12">
        <f>MIN(INDEX(其他调用!$AK$5:$AK$364,MATCH($K348,其他调用!$AG$5:$AG$364,0),1)/INDEX(其他调用!AI$5:AI$364,MATCH($K348,其他调用!$AG$5:$AG$364,0),0),1)*INDEX(其他调用!Z$5:Z$404,MATCH($K348,其他调用!$X$5:$X$404,0),0)</f>
        <v>44408.124879015915</v>
      </c>
      <c r="AK348" s="12">
        <f>MIN(INDEX(其他调用!$AK$5:$AK$364,MATCH($K348,其他调用!$AG$5:$AG$364,0),1)/INDEX(其他调用!AJ$5:AJ$364,MATCH($K348,其他调用!$AG$5:$AG$364,0),0),1)*INDEX(其他调用!AA$5:AA$404,MATCH($K348,其他调用!$X$5:$X$404,0),0)</f>
        <v>45953.852551482632</v>
      </c>
      <c r="AL348" s="12">
        <f>MIN(INDEX(其他调用!$AK$5:$AK$364,MATCH($K348,其他调用!$AG$5:$AG$364,0),1)/INDEX(其他调用!AK$5:AK$364,MATCH($K348,其他调用!$AG$5:$AG$364,0),0),1)*INDEX(其他调用!AB$5:AB$404,MATCH($K348,其他调用!$X$5:$X$404,0),0)</f>
        <v>48198.395564877537</v>
      </c>
      <c r="AM348" s="12">
        <f>MIN(INDEX(其他调用!$AK$5:$AK$364,MATCH($K348,其他调用!$AG$5:$AG$364,0),1)/INDEX(其他调用!AL$5:AL$364,MATCH($K348,其他调用!$AG$5:$AG$364,0),0),1)*INDEX(其他调用!AC$5:AC$404,MATCH($K348,其他调用!$X$5:$X$404,0),0)</f>
        <v>30188.12188642026</v>
      </c>
      <c r="AN348" s="12">
        <f>求节点(节奏总纲!D$4:D$163,标准城池设计!AF$4:AF$163,$K348)*求节点(节奏总纲!D$4:D$163,攻城基础信息!$AG$5:$AG$164,$K348)</f>
        <v>1218606.5671088349</v>
      </c>
      <c r="AO348" s="12">
        <f>INDEX(其他调用!$AA$5:$AA$404,MATCH($K348,其他调用!$X$5:$X$404,0))*MIN(INDEX(其他调用!AL$5:AL$364,MATCH($K348,其他调用!$AG$5:$AG$364,0),1)/INDEX(其他调用!$AJ$5:$AJ$364,MATCH($K348,其他调用!$AG$5:$AG$364,0),0),5)*求节点(节奏总纲!D$4:D$163,攻城基础信息!$AG$5:$AG$164,$K348)</f>
        <v>712907.38806905772</v>
      </c>
      <c r="AP348" s="12">
        <f>MIN(INDEX(其他调用!$AL$5:$AL$364,MATCH($K348,其他调用!$AG$5:$AG$364,0),1)/INDEX(其他调用!AH$5:AH$364,MATCH($K348,其他调用!$AG$5:$AG$364,0),0),1)*INDEX(其他调用!Y$5:Y$404,MATCH($K348,其他调用!$X$5:$X$404,0),0)</f>
        <v>43248.838294431211</v>
      </c>
      <c r="AQ348" s="12">
        <f>MIN(INDEX(其他调用!$AL$5:$AL$364,MATCH($K348,其他调用!$AG$5:$AG$364,0),1)/INDEX(其他调用!AI$5:AI$364,MATCH($K348,其他调用!$AG$5:$AG$364,0),0),1)*INDEX(其他调用!Z$5:Z$404,MATCH($K348,其他调用!$X$5:$X$404,0),0)</f>
        <v>44408.124879015915</v>
      </c>
      <c r="AR348" s="12">
        <f>MIN(INDEX(其他调用!$AL$5:$AL$364,MATCH($K348,其他调用!$AG$5:$AG$364,0),1)/INDEX(其他调用!AJ$5:AJ$364,MATCH($K348,其他调用!$AG$5:$AG$364,0),0),1)*INDEX(其他调用!AA$5:AA$404,MATCH($K348,其他调用!$X$5:$X$404,0),0)</f>
        <v>45953.852551482632</v>
      </c>
      <c r="AS348" s="12">
        <f>MIN(INDEX(其他调用!$AL$5:$AL$364,MATCH($K348,其他调用!$AG$5:$AG$364,0),1)/INDEX(其他调用!AK$5:AK$364,MATCH($K348,其他调用!$AG$5:$AG$364,0),0),1)*INDEX(其他调用!AB$5:AB$404,MATCH($K348,其他调用!$X$5:$X$404,0),0)</f>
        <v>48198.395564877537</v>
      </c>
      <c r="AT348" s="12">
        <f>MIN(INDEX(其他调用!$AL$5:$AL$364,MATCH($K348,其他调用!$AG$5:$AG$364,0),1)/INDEX(其他调用!AL$5:AL$364,MATCH($K348,其他调用!$AG$5:$AG$364,0),0),1)*INDEX(其他调用!AC$5:AC$404,MATCH($K348,其他调用!$X$5:$X$404,0),0)</f>
        <v>52089.50889980598</v>
      </c>
      <c r="AV348" s="14">
        <f>IF(OR(AV$5="大R",AV$5="超R"),MAX(INDEX(其他调用!$H$5:$L$404,MATCH($K348,其他调用!$B$5:$B$404,0),MATCH(AV$5,其他调用!$H$4:$L$4,0))*120*0.85,2),INDEX(其他调用!$H$5:$L$404,MATCH($K348,其他调用!$B$5:$B$404,0),MATCH(AV$5,其他调用!$H$4:$L$4,0))*120*0.85)</f>
        <v>48.921801254999991</v>
      </c>
      <c r="AW348" s="14">
        <f>IF(OR(AW$5="大R",AW$5="超R"),MAX(INDEX(其他调用!$H$5:$L$404,MATCH($K348,其他调用!$B$5:$B$404,0),MATCH(AW$5,其他调用!$H$4:$L$4,0))*120*0.85,2),INDEX(其他调用!$H$5:$L$404,MATCH($K348,其他调用!$B$5:$B$404,0),MATCH(AW$5,其他调用!$H$4:$L$4,0))*120*0.85)</f>
        <v>48.237344010638395</v>
      </c>
      <c r="AX348" s="14">
        <f>IF(OR(AX$5="大R",AX$5="超R"),MAX(INDEX(其他调用!$H$5:$L$404,MATCH($K348,其他调用!$B$5:$B$404,0),MATCH(AX$5,其他调用!$H$4:$L$4,0))*120*0.85,2),INDEX(其他调用!$H$5:$L$404,MATCH($K348,其他调用!$B$5:$B$404,0),MATCH(AX$5,其他调用!$H$4:$L$4,0))*120*0.85)</f>
        <v>3.9376284143615998</v>
      </c>
      <c r="AY348" s="14">
        <f>IF(OR(AY$5="大R",AY$5="超R"),MAX(INDEX(其他调用!$H$5:$L$404,MATCH($K348,其他调用!$B$5:$B$404,0),MATCH(AY$5,其他调用!$H$4:$L$4,0))*120*0.85,2),INDEX(其他调用!$H$5:$L$404,MATCH($K348,其他调用!$B$5:$B$404,0),MATCH(AY$5,其他调用!$H$4:$L$4,0))*120*0.85)</f>
        <v>2</v>
      </c>
      <c r="AZ348" s="14">
        <f>IF(OR(AZ$5="大R",AZ$5="超R"),MAX(INDEX(其他调用!$H$5:$L$404,MATCH($K348,其他调用!$B$5:$B$404,0),MATCH(AZ$5,其他调用!$H$4:$L$4,0))*120*0.85,2),INDEX(其他调用!$H$5:$L$404,MATCH($K348,其他调用!$B$5:$B$404,0),MATCH(AZ$5,其他调用!$H$4:$L$4,0))*120*0.85)</f>
        <v>2</v>
      </c>
      <c r="BA348" s="14">
        <f>INDEX(其他调用!$H$5:$L$404,MATCH($K348,其他调用!$B$5:$B$404,0),MATCH(BA$5,其他调用!$H$4:$L$4,0))*INDEX(其他调用!$M$5:$M$404,MATCH($K348,其他调用!$B$5:$B$404,0))*0.6</f>
        <v>28.777530149999997</v>
      </c>
      <c r="BB348" s="14">
        <f>INDEX(其他调用!$H$5:$L$404,MATCH($K348,其他调用!$B$5:$B$404,0),MATCH(BB$5,其他调用!$H$4:$L$4,0))*INDEX(其他调用!$M$5:$M$404,MATCH($K348,其他调用!$B$5:$B$404,0))*0.6</f>
        <v>28.374908241551999</v>
      </c>
      <c r="BC348" s="14">
        <f>INDEX(其他调用!$H$5:$L$404,MATCH($K348,其他调用!$B$5:$B$404,0),MATCH(BC$5,其他调用!$H$4:$L$4,0))*INDEX(其他调用!$M$5:$M$404,MATCH($K348,其他调用!$B$5:$B$404,0))*0.6</f>
        <v>2.3162520084480001</v>
      </c>
      <c r="BD348" s="14">
        <f>INDEX(其他调用!$H$5:$L$404,MATCH($K348,其他调用!$B$5:$B$404,0),MATCH(BD$5,其他调用!$H$4:$L$4,0))*INDEX(其他调用!$M$5:$M$404,MATCH($K348,其他调用!$B$5:$B$404,0))*0.6</f>
        <v>0.4120776000000001</v>
      </c>
      <c r="BE348" s="14">
        <f>INDEX(其他调用!$H$5:$L$404,MATCH($K348,其他调用!$B$5:$B$404,0),MATCH(BE$5,其他调用!$H$4:$L$4,0))*INDEX(其他调用!$M$5:$M$404,MATCH($K348,其他调用!$B$5:$B$404,0))*0.6</f>
        <v>0.11923199999999998</v>
      </c>
      <c r="BF348" s="14">
        <f>IF(OR(BF$5="大R",BF$5="超R"),0,INDEX(其他调用!$H$5:$L$404,MATCH($K348,其他调用!$B$5:$B$404,0),MATCH(BF$5,其他调用!$H$4:$L$4,0))*50*0.4)</f>
        <v>9.5925100500000013</v>
      </c>
      <c r="BG348" s="14">
        <f>IF(OR(BG$5="大R",BG$5="超R"),0,INDEX(其他调用!$H$5:$L$404,MATCH($K348,其他调用!$B$5:$B$404,0),MATCH(BG$5,其他调用!$H$4:$L$4,0))*50*0.4)</f>
        <v>9.4583027471839998</v>
      </c>
      <c r="BH348" s="14">
        <f>IF(OR(BH$5="大R",BH$5="超R"),0,INDEX(其他调用!$H$5:$L$404,MATCH($K348,其他调用!$B$5:$B$404,0),MATCH(BH$5,其他调用!$H$4:$L$4,0))*50*0.4)</f>
        <v>0.77208400281600009</v>
      </c>
      <c r="BI348" s="14">
        <f>IF(OR(BI$5="大R",BI$5="超R"),0,INDEX(其他调用!$H$5:$L$404,MATCH($K348,其他调用!$B$5:$B$404,0),MATCH(BI$5,其他调用!$H$4:$L$4,0))*50*0.4)</f>
        <v>0</v>
      </c>
      <c r="BJ348" s="14">
        <f>IF(OR(BJ$5="大R",BJ$5="超R"),0,INDEX(其他调用!$H$5:$L$404,MATCH($K348,其他调用!$B$5:$B$404,0),MATCH(BJ$5,其他调用!$H$4:$L$4,0))*50*0.4)</f>
        <v>0</v>
      </c>
      <c r="BL348" s="14">
        <f t="shared" si="628"/>
        <v>343</v>
      </c>
      <c r="BM348" s="14">
        <f t="shared" si="535"/>
        <v>96</v>
      </c>
      <c r="BN348" s="14">
        <f>('疲劳值&amp;地图信息'!$S$10*'疲劳值&amp;地图信息'!$R$10+'疲劳值&amp;地图信息'!$S$11*'疲劳值&amp;地图信息'!$R$11+'疲劳值&amp;地图信息'!$S$12*'疲劳值&amp;地图信息'!$R$12+(BM348-'疲劳值&amp;地图信息'!$S$12-'疲劳值&amp;地图信息'!$S$11-'疲劳值&amp;地图信息'!$S$10)*'疲劳值&amp;地图信息'!$R$13)/BM348</f>
        <v>51.371477246638619</v>
      </c>
      <c r="BO348" s="14">
        <f>INDEX(其他调用!$M$5:$M$404,MATCH(BL348,其他调用!$B$5:$B$404,0))*0.6</f>
        <v>60</v>
      </c>
      <c r="BP348" s="14">
        <f>IF(BO348&gt;SUM('疲劳值&amp;地图信息'!$S$10:$S$12),('疲劳值&amp;地图信息'!$S$10*'疲劳值&amp;地图信息'!$R$10+'疲劳值&amp;地图信息'!$S$11*'疲劳值&amp;地图信息'!$R$11+'疲劳值&amp;地图信息'!$S$12*'疲劳值&amp;地图信息'!$R$12+(BO348-'疲劳值&amp;地图信息'!$S$12-'疲劳值&amp;地图信息'!$S$11-'疲劳值&amp;地图信息'!$S$10)*'疲劳值&amp;地图信息'!$R$13)/BO348,('疲劳值&amp;地图信息'!$S$10*'疲劳值&amp;地图信息'!$R$10+'疲劳值&amp;地图信息'!$S$11*'疲劳值&amp;地图信息'!$R$11+'疲劳值&amp;地图信息'!$S$12*'疲劳值&amp;地图信息'!$R$12+(BO348-'疲劳值&amp;地图信息'!$S$12-'疲劳值&amp;地图信息'!$S$11-'疲劳值&amp;地图信息'!$S$10)*'疲劳值&amp;地图信息'!$R$13)/BO348)</f>
        <v>44.158136341605953</v>
      </c>
      <c r="BQ348" s="14">
        <f t="shared" si="629"/>
        <v>20</v>
      </c>
      <c r="BR348" s="14">
        <f>('疲劳值&amp;地图信息'!$S$10*'疲劳值&amp;地图信息'!$R$10+($BQ348-'疲劳值&amp;地图信息'!$S$10)*'疲劳值&amp;地图信息'!$R$11)/$BQ348</f>
        <v>32.067203015074995</v>
      </c>
      <c r="CF348" s="14">
        <v>343</v>
      </c>
      <c r="CG348" s="51">
        <f t="shared" si="536"/>
        <v>16967</v>
      </c>
      <c r="CH348" s="51">
        <f t="shared" si="537"/>
        <v>1039</v>
      </c>
      <c r="CI348" s="51">
        <f>INT(SUMPRODUCT($N348:$R348,$BA348:$BE348)/SUM($BA348:$BE348)/10000*$BX$7*$BZ$34/'疲劳值&amp;地图信息'!$R$10*$BY$53)</f>
        <v>3388</v>
      </c>
      <c r="CJ348" s="50">
        <f t="shared" si="538"/>
        <v>0.79307282415630553</v>
      </c>
      <c r="CK348" s="50">
        <f t="shared" si="539"/>
        <v>4.8565018229410117E-2</v>
      </c>
      <c r="CL348" s="50">
        <f t="shared" si="540"/>
        <v>0.15836215761428438</v>
      </c>
      <c r="CM348" s="14">
        <f t="shared" si="541"/>
        <v>18592</v>
      </c>
      <c r="CN348" s="14">
        <f t="shared" si="542"/>
        <v>1813</v>
      </c>
      <c r="CO348" s="14">
        <f>INT(SUMPRODUCT($U348:$Y348,$BA348:$BE348)/SUM($BA348:$BE348)/10000*$BX$7*$BZ$34/'疲劳值&amp;地图信息'!$R$10*$BY$54)</f>
        <v>6515</v>
      </c>
      <c r="CP348" s="50">
        <f t="shared" si="543"/>
        <v>0.69063893016344724</v>
      </c>
      <c r="CQ348" s="50">
        <f t="shared" si="544"/>
        <v>6.7347696879643384E-2</v>
      </c>
      <c r="CR348" s="50">
        <f t="shared" si="545"/>
        <v>0.24201337295690936</v>
      </c>
      <c r="CS348" s="14">
        <f t="shared" si="546"/>
        <v>20277</v>
      </c>
      <c r="CT348" s="14">
        <f t="shared" si="547"/>
        <v>3278</v>
      </c>
      <c r="CU348" s="14">
        <f>INT(SUMPRODUCT($AB348:$AF348,$BA348:$BE348)/SUM($BA348:$BE348)/10000*$BX$7*$BZ$34/'疲劳值&amp;地图信息'!$R$10*$BY$55)</f>
        <v>8862</v>
      </c>
      <c r="CV348" s="50">
        <f t="shared" si="548"/>
        <v>0.6255051361939723</v>
      </c>
      <c r="CW348" s="50">
        <f t="shared" si="549"/>
        <v>0.1011197828299966</v>
      </c>
      <c r="CX348" s="50">
        <f t="shared" si="550"/>
        <v>0.27337508097603108</v>
      </c>
      <c r="CY348" s="14">
        <f t="shared" si="551"/>
        <v>24074</v>
      </c>
      <c r="CZ348" s="14">
        <f t="shared" si="552"/>
        <v>8420</v>
      </c>
      <c r="DA348" s="14">
        <f>INT(SUMPRODUCT($AI348:$AM348,$BA348:$BE348)/SUM($BA348:$BE348)/10000*$BX$7*$BZ$34/'疲劳值&amp;地图信息'!$R$10*$BY$56)</f>
        <v>13366</v>
      </c>
      <c r="DB348" s="50">
        <f t="shared" si="553"/>
        <v>0.52494548626253812</v>
      </c>
      <c r="DC348" s="50">
        <f t="shared" si="554"/>
        <v>0.18360226777147842</v>
      </c>
      <c r="DD348" s="50">
        <f t="shared" si="555"/>
        <v>0.2914522459659834</v>
      </c>
      <c r="DE348" s="14">
        <f t="shared" si="556"/>
        <v>24836</v>
      </c>
      <c r="DF348" s="14">
        <f t="shared" si="557"/>
        <v>14529</v>
      </c>
      <c r="DG348" s="14">
        <f>INT(SUMPRODUCT($AP348:$AT348,$BA348:$BE348)/SUM($BA348:$BE348)/10000*$BX$7*$BZ$34/'疲劳值&amp;地图信息'!$R$10*$BY$57)</f>
        <v>17839</v>
      </c>
      <c r="DH348" s="50">
        <f t="shared" si="558"/>
        <v>0.43416544297601567</v>
      </c>
      <c r="DI348" s="50">
        <f t="shared" si="559"/>
        <v>0.25398573526326829</v>
      </c>
      <c r="DJ348" s="50">
        <f t="shared" si="560"/>
        <v>0.31184882176071604</v>
      </c>
      <c r="DL348" s="14">
        <f t="shared" si="631"/>
        <v>21394</v>
      </c>
      <c r="DM348" s="14">
        <f t="shared" si="632"/>
        <v>26920</v>
      </c>
      <c r="DN348" s="14">
        <f t="shared" si="633"/>
        <v>32417</v>
      </c>
      <c r="DO348" s="14">
        <f t="shared" si="634"/>
        <v>45860</v>
      </c>
      <c r="DP348" s="14">
        <f t="shared" si="635"/>
        <v>57204</v>
      </c>
      <c r="DQ348" s="14">
        <f t="shared" si="636"/>
        <v>1480323</v>
      </c>
      <c r="DT348" s="14">
        <f t="shared" si="630"/>
        <v>235575</v>
      </c>
      <c r="DU348" s="50">
        <f t="shared" si="532"/>
        <v>0.13728962910382786</v>
      </c>
      <c r="DW348" s="14">
        <f t="shared" si="561"/>
        <v>1715898</v>
      </c>
      <c r="EB348" s="14">
        <v>343</v>
      </c>
      <c r="EC348" s="51">
        <f t="shared" si="562"/>
        <v>28278</v>
      </c>
      <c r="ED348" s="51">
        <f t="shared" si="563"/>
        <v>1732</v>
      </c>
      <c r="EE348" s="51">
        <f>INT(SUMPRODUCT($N348:$R348,$BF348:$BJ348)/SUM($BF348:$BJ348)/10000*$BX$7*$BZ$46/'疲劳值&amp;地图信息'!$R$10*$BY$53)</f>
        <v>455</v>
      </c>
      <c r="EF348" s="50">
        <f t="shared" si="564"/>
        <v>0.92821270310192028</v>
      </c>
      <c r="EG348" s="50">
        <f t="shared" si="565"/>
        <v>5.6852125389791563E-2</v>
      </c>
      <c r="EH348" s="50">
        <f t="shared" si="566"/>
        <v>1.49351715082882E-2</v>
      </c>
      <c r="EI348" s="51">
        <f t="shared" si="567"/>
        <v>30986</v>
      </c>
      <c r="EJ348" s="51">
        <f t="shared" si="568"/>
        <v>3021</v>
      </c>
      <c r="EK348" s="14">
        <f>INT(SUMPRODUCT($U348:$Y348,$BF348:$BJ348)/SUM($BF348:$BJ348)/10000*$BX$7*$BZ$46/'疲劳值&amp;地图信息'!$R$10*$BY$54)</f>
        <v>874</v>
      </c>
      <c r="EL348" s="50">
        <f t="shared" si="569"/>
        <v>0.88833462343396119</v>
      </c>
      <c r="EM348" s="50">
        <f t="shared" si="570"/>
        <v>8.6608755482927666E-2</v>
      </c>
      <c r="EN348" s="50">
        <f t="shared" si="571"/>
        <v>2.5056621083111151E-2</v>
      </c>
      <c r="EO348" s="51">
        <f t="shared" si="572"/>
        <v>33795</v>
      </c>
      <c r="EP348" s="51">
        <f t="shared" si="573"/>
        <v>5463</v>
      </c>
      <c r="EQ348" s="14">
        <f>INT(SUMPRODUCT($AB348:$AF348,$BF348:$BJ348)/SUM($BF348:$BJ348)/10000*$BX$7*$BZ$46/'疲劳值&amp;地图信息'!$R$10*$BY$55)</f>
        <v>1188</v>
      </c>
      <c r="ER348" s="50">
        <f t="shared" si="574"/>
        <v>0.83555852247441031</v>
      </c>
      <c r="ES348" s="50">
        <f t="shared" si="575"/>
        <v>0.13506898086337338</v>
      </c>
      <c r="ET348" s="50">
        <f t="shared" si="576"/>
        <v>2.9372496662216287E-2</v>
      </c>
      <c r="EU348" s="51">
        <f t="shared" si="577"/>
        <v>40124</v>
      </c>
      <c r="EV348" s="51">
        <f t="shared" si="578"/>
        <v>14034</v>
      </c>
      <c r="EW348" s="14">
        <f>INT(SUMPRODUCT($AI348:$AM348,$BF348:$BJ348)/SUM($BF348:$BJ348)/10000*$BX$7*$BZ$46/'疲劳值&amp;地图信息'!$R$10*$BY$56)</f>
        <v>1782</v>
      </c>
      <c r="EX348" s="50">
        <f t="shared" si="579"/>
        <v>0.71726850196639258</v>
      </c>
      <c r="EY348" s="50">
        <f t="shared" si="580"/>
        <v>0.25087593850554163</v>
      </c>
      <c r="EZ348" s="50">
        <f t="shared" si="581"/>
        <v>3.1855559528065784E-2</v>
      </c>
      <c r="FA348" s="51">
        <f t="shared" si="582"/>
        <v>41394</v>
      </c>
      <c r="FB348" s="51">
        <f t="shared" si="583"/>
        <v>24216</v>
      </c>
      <c r="FC348" s="14">
        <f>INT(SUMPRODUCT($AP348:$AT348,$BF348:$BJ348)/SUM($BF348:$BJ348)/10000*$BX$7*$BZ$46/'疲劳值&amp;地图信息'!$R$10*$BY$57)</f>
        <v>2376</v>
      </c>
      <c r="FD348" s="50">
        <f t="shared" si="584"/>
        <v>0.60886064778042537</v>
      </c>
      <c r="FE348" s="50">
        <f t="shared" si="585"/>
        <v>0.35619098049598447</v>
      </c>
      <c r="FF348" s="50">
        <f t="shared" si="586"/>
        <v>3.4948371723590152E-2</v>
      </c>
      <c r="FH348" s="14">
        <f t="shared" si="587"/>
        <v>30465</v>
      </c>
      <c r="FI348" s="14">
        <f t="shared" si="588"/>
        <v>34881</v>
      </c>
      <c r="FJ348" s="14">
        <f t="shared" si="589"/>
        <v>40446</v>
      </c>
      <c r="FK348" s="14">
        <f t="shared" si="590"/>
        <v>55940</v>
      </c>
      <c r="FL348" s="14">
        <f t="shared" si="591"/>
        <v>67986</v>
      </c>
      <c r="FM348" s="14">
        <f t="shared" si="592"/>
        <v>3580082</v>
      </c>
      <c r="FP348" s="14">
        <f t="shared" si="593"/>
        <v>334150</v>
      </c>
      <c r="FQ348" s="50">
        <f t="shared" si="533"/>
        <v>8.5367959793900827E-2</v>
      </c>
      <c r="FS348" s="14">
        <f t="shared" si="594"/>
        <v>3914232</v>
      </c>
      <c r="FX348" s="14">
        <v>343</v>
      </c>
      <c r="FY348" s="51">
        <f t="shared" si="595"/>
        <v>39589</v>
      </c>
      <c r="FZ348" s="51">
        <f t="shared" si="596"/>
        <v>1732</v>
      </c>
      <c r="GA348" s="51">
        <f>INT(SUMPRODUCT($N348:$R348,$BF348:$BJ348)/SUM($BF348:$BJ348)/10000*$BX$7*$BZ$46/'疲劳值&amp;地图信息'!$R$10*$BY$53)</f>
        <v>455</v>
      </c>
      <c r="GB348" s="50">
        <f t="shared" si="597"/>
        <v>0.9476493680582152</v>
      </c>
      <c r="GC348" s="50">
        <f t="shared" si="598"/>
        <v>4.1459211030256606E-2</v>
      </c>
      <c r="GD348" s="50">
        <f t="shared" si="599"/>
        <v>1.089142091152815E-2</v>
      </c>
      <c r="GE348" s="51">
        <f t="shared" si="600"/>
        <v>43381</v>
      </c>
      <c r="GF348" s="51">
        <f t="shared" si="601"/>
        <v>3021</v>
      </c>
      <c r="GG348" s="14">
        <f>INT(SUMPRODUCT($U348:$Y348,$BF348:$BJ348)/SUM($BF348:$BJ348)/10000*$BX$7*$BZ$46/'疲劳值&amp;地图信息'!$R$10*$BY$54)</f>
        <v>874</v>
      </c>
      <c r="GH348" s="50">
        <f t="shared" si="602"/>
        <v>0.91761147305186563</v>
      </c>
      <c r="GI348" s="50">
        <f t="shared" si="603"/>
        <v>6.3901345291479825E-2</v>
      </c>
      <c r="GJ348" s="50">
        <f t="shared" si="604"/>
        <v>1.8487181656654538E-2</v>
      </c>
      <c r="GK348" s="51">
        <f t="shared" si="605"/>
        <v>47314</v>
      </c>
      <c r="GL348" s="51">
        <f t="shared" si="606"/>
        <v>5463</v>
      </c>
      <c r="GM348" s="14">
        <f>INT(SUMPRODUCT($AB348:$AF348,$BF348:$BJ348)/SUM($BF348:$BJ348)/10000*$BX$7*$BZ$46/'疲劳值&amp;地图信息'!$R$10*$BY$55)</f>
        <v>1188</v>
      </c>
      <c r="GN348" s="50">
        <f t="shared" si="607"/>
        <v>0.87675345131103488</v>
      </c>
      <c r="GO348" s="50">
        <f t="shared" si="608"/>
        <v>0.10123228018159919</v>
      </c>
      <c r="GP348" s="50">
        <f t="shared" si="609"/>
        <v>2.2014268507365885E-2</v>
      </c>
      <c r="GQ348" s="51">
        <f t="shared" si="610"/>
        <v>56174</v>
      </c>
      <c r="GR348" s="51">
        <f t="shared" si="611"/>
        <v>14034</v>
      </c>
      <c r="GS348" s="14">
        <f>INT(SUMPRODUCT($AI348:$AM348,$BF348:$BJ348)/SUM($BF348:$BJ348)/10000*$BX$7*$BZ$46/'疲劳值&amp;地图信息'!$R$10*$BY$56)</f>
        <v>1782</v>
      </c>
      <c r="GT348" s="50">
        <f t="shared" si="612"/>
        <v>0.78030281983608829</v>
      </c>
      <c r="GU348" s="50">
        <f t="shared" si="613"/>
        <v>0.19494374218641478</v>
      </c>
      <c r="GV348" s="50">
        <f t="shared" si="614"/>
        <v>2.4753437977496875E-2</v>
      </c>
      <c r="GW348" s="51">
        <f t="shared" si="615"/>
        <v>57952</v>
      </c>
      <c r="GX348" s="51">
        <f t="shared" si="616"/>
        <v>24216</v>
      </c>
      <c r="GY348" s="14">
        <f>INT(SUMPRODUCT($AP348:$AT348,$BF348:$BJ348)/SUM($BF348:$BJ348)/10000*$BX$7*$BZ$46/'疲劳值&amp;地图信息'!$R$10*$BY$57)</f>
        <v>2376</v>
      </c>
      <c r="GZ348" s="50">
        <f t="shared" si="617"/>
        <v>0.68546555639666917</v>
      </c>
      <c r="HA348" s="50">
        <f t="shared" si="618"/>
        <v>0.28643073429220289</v>
      </c>
      <c r="HB348" s="50">
        <f t="shared" si="619"/>
        <v>2.8103709311127933E-2</v>
      </c>
      <c r="HD348" s="14">
        <f t="shared" si="620"/>
        <v>41776</v>
      </c>
      <c r="HE348" s="14">
        <f t="shared" si="621"/>
        <v>47276</v>
      </c>
      <c r="HF348" s="14">
        <f t="shared" si="622"/>
        <v>53965</v>
      </c>
      <c r="HG348" s="14">
        <f t="shared" si="623"/>
        <v>71990</v>
      </c>
      <c r="HH348" s="14">
        <f t="shared" si="624"/>
        <v>84544</v>
      </c>
      <c r="HI348" s="14">
        <f t="shared" si="625"/>
        <v>4849787</v>
      </c>
      <c r="HL348" s="14">
        <f t="shared" si="626"/>
        <v>430050</v>
      </c>
      <c r="HM348" s="50">
        <f t="shared" si="534"/>
        <v>8.1451378139135736E-2</v>
      </c>
      <c r="HO348" s="14">
        <f t="shared" si="627"/>
        <v>5279837</v>
      </c>
    </row>
    <row r="349" spans="11:223" x14ac:dyDescent="0.2">
      <c r="K349" s="14">
        <v>344</v>
      </c>
      <c r="L349" s="12">
        <f>求节点(节奏总纲!D$4:D$163,标准城池设计!AB$4:AB$163,$K349)*求节点(节奏总纲!D$4:D$163,攻城基础信息!$AC$5:$AC$164,$K349)</f>
        <v>833580.75241817324</v>
      </c>
      <c r="M349" s="12">
        <f>INDEX(其他调用!$AA$5:$AA$404,MATCH(K349,其他调用!$X$5:$X$404,0))*MIN(INDEX(其他调用!$AH$5:$AH$364,MATCH('征服点（新）'!K349,其他调用!$AG$5:$AG$364,0),1)/INDEX(其他调用!$AJ$5:$AJ$364,MATCH(K349,其他调用!$AG$5:$AG$364,0),0),5)*求节点(节奏总纲!D$4:D$163,攻城基础信息!$AC$5:$AC$164,$K349)</f>
        <v>50945.450740782122</v>
      </c>
      <c r="N349" s="12">
        <f>MIN(INDEX(其他调用!$AH$5:$AH$364,MATCH($K349,其他调用!$AG$5:$AG$364,0),1)/INDEX(其他调用!AH$5:AH$364,MATCH($K349,其他调用!$AG$5:$AG$364,0),0),1)*INDEX(其他调用!Y$5:Y$404,MATCH($K349,其他调用!$X$5:$X$404,0),0)</f>
        <v>43265.346266343608</v>
      </c>
      <c r="O349" s="12">
        <f>MIN(INDEX(其他调用!$AH$5:$AH$364,MATCH($K349,其他调用!$AG$5:$AG$364,0),1)/INDEX(其他调用!AI$5:AI$364,MATCH($K349,其他调用!$AG$5:$AG$364,0),0),1)*INDEX(其他调用!Z$5:Z$404,MATCH($K349,其他调用!$X$5:$X$404,0),0)</f>
        <v>25467.466226061599</v>
      </c>
      <c r="P349" s="12">
        <f>MIN(INDEX(其他调用!$AH$5:$AH$364,MATCH($K349,其他调用!$AG$5:$AG$364,0),1)/INDEX(其他调用!AJ$5:AJ$364,MATCH($K349,其他调用!$AG$5:$AG$364,0),0),1)*INDEX(其他调用!AA$5:AA$404,MATCH($K349,其他调用!$X$5:$X$404,0),0)</f>
        <v>14555.843068794902</v>
      </c>
      <c r="Q349" s="12">
        <f>MIN(INDEX(其他调用!$AH$5:$AH$364,MATCH($K349,其他调用!$AG$5:$AG$364,0),1)/INDEX(其他调用!AK$5:AK$364,MATCH($K349,其他调用!$AG$5:$AG$364,0),0),1)*INDEX(其他调用!AB$5:AB$404,MATCH($K349,其他调用!$X$5:$X$404,0),0)</f>
        <v>5957.6781988779212</v>
      </c>
      <c r="R349" s="12">
        <f>MIN(INDEX(其他调用!$AH$5:$AH$364,MATCH($K349,其他调用!$AG$5:$AG$364,0),1)/INDEX(其他调用!AL$5:AL$364,MATCH($K349,其他调用!$AG$5:$AG$364,0),0),1)*INDEX(其他调用!AC$5:AC$404,MATCH($K349,其他调用!$X$5:$X$404,0),0)</f>
        <v>3734.6103161627202</v>
      </c>
      <c r="S349" s="12">
        <f>求节点(节奏总纲!D$4:D$163,标准城池设计!AC$4:AC$163,$K349)*求节点(节奏总纲!D$4:D$163,攻城基础信息!$AD$5:$AD$164,$K349)</f>
        <v>913299.62928352237</v>
      </c>
      <c r="T349" s="12">
        <f>INDEX(其他调用!$AA$5:$AA$404,MATCH($K349,其他调用!$X$5:$X$404,0))*MIN(INDEX(其他调用!AI$5:AI$364,MATCH($K349,其他调用!$AG$5:$AG$364,0),1)/INDEX(其他调用!$AJ$5:$AJ$364,MATCH($K349,其他调用!$AG$5:$AG$364,0),0),5)*求节点(节奏总纲!D$4:D$163,攻城基础信息!$AD$5:$AD$164,$K349)</f>
        <v>88868.308043941972</v>
      </c>
      <c r="U349" s="12">
        <f>MIN(INDEX(其他调用!$AI$5:$AI$364,MATCH($K349,其他调用!$AG$5:$AG$364,0),1)/INDEX(其他调用!AH$5:AH$364,MATCH($K349,其他调用!$AG$5:$AG$364,0),0),1)*INDEX(其他调用!Y$5:Y$404,MATCH($K349,其他调用!$X$5:$X$404,0),0)</f>
        <v>43265.346266343608</v>
      </c>
      <c r="V349" s="12">
        <f>MIN(INDEX(其他调用!$AI$5:$AI$364,MATCH($K349,其他调用!$AG$5:$AG$364,0),1)/INDEX(其他调用!AI$5:AI$364,MATCH($K349,其他调用!$AG$5:$AG$364,0),0),1)*INDEX(其他调用!Z$5:Z$404,MATCH($K349,其他调用!$X$5:$X$404,0),0)</f>
        <v>44424.980067250348</v>
      </c>
      <c r="W349" s="12">
        <f>MIN(INDEX(其他调用!$AI$5:$AI$364,MATCH($K349,其他调用!$AG$5:$AG$364,0),1)/INDEX(其他调用!AJ$5:AJ$364,MATCH($K349,其他调用!$AG$5:$AG$364,0),0),1)*INDEX(其他调用!AA$5:AA$404,MATCH($K349,其他调用!$X$5:$X$404,0),0)</f>
        <v>25390.94515541201</v>
      </c>
      <c r="X349" s="12">
        <f>MIN(INDEX(其他调用!$AI$5:$AI$364,MATCH($K349,其他调用!$AG$5:$AG$364,0),1)/INDEX(其他调用!AK$5:AK$364,MATCH($K349,其他调用!$AG$5:$AG$364,0),0),1)*INDEX(其他调用!AB$5:AB$404,MATCH($K349,其他调用!$X$5:$X$404,0),0)</f>
        <v>10392.464365434178</v>
      </c>
      <c r="Y349" s="12">
        <f>MIN(INDEX(其他调用!$AI$5:$AI$364,MATCH($K349,其他调用!$AG$5:$AG$364,0),1)/INDEX(其他调用!AL$5:AL$364,MATCH($K349,其他调用!$AG$5:$AG$364,0),0),1)*INDEX(其他调用!AC$5:AC$404,MATCH($K349,其他调用!$X$5:$X$404,0),0)</f>
        <v>6514.5856043070307</v>
      </c>
      <c r="Z349" s="12">
        <f>求节点(节奏总纲!D$4:D$163,标准城池设计!AD$4:AD$163,$K349)*求节点(节奏总纲!D$4:D$163,攻城基础信息!$AE$5:$AE$164,$K349)</f>
        <v>996262.09994636604</v>
      </c>
      <c r="AA349" s="12">
        <f>INDEX(其他调用!$AA$5:$AA$404,MATCH($K349,其他调用!$X$5:$X$404,0))*MIN(INDEX(其他调用!AJ$5:AJ$364,MATCH($K349,其他调用!$AG$5:$AG$364,0),1)/INDEX(其他调用!$AJ$5:$AJ$364,MATCH($K349,其他调用!$AG$5:$AG$364,0),0),5)*求节点(节奏总纲!D$4:D$163,攻城基础信息!$AE$5:$AE$164,$K349)</f>
        <v>160901.05877611661</v>
      </c>
      <c r="AB349" s="12">
        <f>MIN(INDEX(其他调用!$AJ$5:$AJ$364,MATCH($K349,其他调用!$AG$5:$AG$364,0),1)/INDEX(其他调用!AH$5:AH$364,MATCH($K349,其他调用!$AG$5:$AG$364,0),0),1)*INDEX(其他调用!Y$5:Y$404,MATCH($K349,其他调用!$X$5:$X$404,0),0)</f>
        <v>43265.346266343608</v>
      </c>
      <c r="AC349" s="12">
        <f>MIN(INDEX(其他调用!$AJ$5:$AJ$364,MATCH($K349,其他调用!$AG$5:$AG$364,0),1)/INDEX(其他调用!AI$5:AI$364,MATCH($K349,其他调用!$AG$5:$AG$364,0),0),1)*INDEX(其他调用!Z$5:Z$404,MATCH($K349,其他调用!$X$5:$X$404,0),0)</f>
        <v>44424.980067250348</v>
      </c>
      <c r="AD349" s="12">
        <f>MIN(INDEX(其他调用!$AJ$5:$AJ$364,MATCH($K349,其他调用!$AG$5:$AG$364,0),1)/INDEX(其他调用!AJ$5:AJ$364,MATCH($K349,其他调用!$AG$5:$AG$364,0),0),1)*INDEX(其他调用!AA$5:AA$404,MATCH($K349,其他调用!$X$5:$X$404,0),0)</f>
        <v>45971.731078890487</v>
      </c>
      <c r="AE349" s="12">
        <f>MIN(INDEX(其他调用!$AJ$5:$AJ$364,MATCH($K349,其他调用!$AG$5:$AG$364,0),1)/INDEX(其他调用!AK$5:AK$364,MATCH($K349,其他调用!$AG$5:$AG$364,0),0),1)*INDEX(其他调用!AB$5:AB$404,MATCH($K349,其他调用!$X$5:$X$404,0),0)</f>
        <v>18816.139932185986</v>
      </c>
      <c r="AF349" s="12">
        <f>MIN(INDEX(其他调用!$AJ$5:$AJ$364,MATCH($K349,其他调用!$AG$5:$AG$364,0),1)/INDEX(其他调用!AL$5:AL$364,MATCH($K349,其他调用!$AG$5:$AG$364,0),0),1)*INDEX(其他调用!AC$5:AC$404,MATCH($K349,其他调用!$X$5:$X$404,0),0)</f>
        <v>11795.022818509742</v>
      </c>
      <c r="AG349" s="12">
        <f>求节点(节奏总纲!D$4:D$163,标准城池设计!AE$4:AE$163,$K349)*求节点(节奏总纲!D$4:D$163,攻城基础信息!$AF$5:$AF$164,$K349)</f>
        <v>1181932.9698005549</v>
      </c>
      <c r="AH349" s="12">
        <f>INDEX(其他调用!$AA$5:$AA$404,MATCH($K349,其他调用!$X$5:$X$404,0))*MIN(INDEX(其他调用!AK$5:AK$364,MATCH($K349,其他调用!$AG$5:$AG$364,0),1)/INDEX(其他调用!$AJ$5:$AJ$364,MATCH($K349,其他调用!$AG$5:$AG$364,0),0),5)*求节点(节奏总纲!D$4:D$163,攻城基础信息!$AF$5:$AF$164,$K349)</f>
        <v>412302.96589785174</v>
      </c>
      <c r="AI349" s="12">
        <f>MIN(INDEX(其他调用!$AK$5:$AK$364,MATCH($K349,其他调用!$AG$5:$AG$364,0),1)/INDEX(其他调用!AH$5:AH$364,MATCH($K349,其他调用!$AG$5:$AG$364,0),0),1)*INDEX(其他调用!Y$5:Y$404,MATCH($K349,其他调用!$X$5:$X$404,0),0)</f>
        <v>43265.346266343608</v>
      </c>
      <c r="AJ349" s="12">
        <f>MIN(INDEX(其他调用!$AK$5:$AK$364,MATCH($K349,其他调用!$AG$5:$AG$364,0),1)/INDEX(其他调用!AI$5:AI$364,MATCH($K349,其他调用!$AG$5:$AG$364,0),0),1)*INDEX(其他调用!Z$5:Z$404,MATCH($K349,其他调用!$X$5:$X$404,0),0)</f>
        <v>44424.980067250348</v>
      </c>
      <c r="AK349" s="12">
        <f>MIN(INDEX(其他调用!$AK$5:$AK$364,MATCH($K349,其他调用!$AG$5:$AG$364,0),1)/INDEX(其他调用!AJ$5:AJ$364,MATCH($K349,其他调用!$AG$5:$AG$364,0),0),1)*INDEX(其他调用!AA$5:AA$404,MATCH($K349,其他调用!$X$5:$X$404,0),0)</f>
        <v>45971.731078890487</v>
      </c>
      <c r="AL349" s="12">
        <f>MIN(INDEX(其他调用!$AK$5:$AK$364,MATCH($K349,其他调用!$AG$5:$AG$364,0),1)/INDEX(其他调用!AK$5:AK$364,MATCH($K349,其他调用!$AG$5:$AG$364,0),0),1)*INDEX(其他调用!AB$5:AB$404,MATCH($K349,其他调用!$X$5:$X$404,0),0)</f>
        <v>48215.657247998417</v>
      </c>
      <c r="AM349" s="12">
        <f>MIN(INDEX(其他调用!$AK$5:$AK$364,MATCH($K349,其他调用!$AG$5:$AG$364,0),1)/INDEX(其他调用!AL$5:AL$364,MATCH($K349,其他调用!$AG$5:$AG$364,0),0),1)*INDEX(其他调用!AC$5:AC$404,MATCH($K349,其他调用!$X$5:$X$404,0),0)</f>
        <v>30224.306340153587</v>
      </c>
      <c r="AN349" s="12">
        <f>求节点(节奏总纲!D$4:D$163,标准城池设计!AF$4:AF$163,$K349)*求节点(节奏总纲!D$4:D$163,攻城基础信息!$AG$5:$AG$164,$K349)</f>
        <v>1219289.5482332951</v>
      </c>
      <c r="AO349" s="12">
        <f>INDEX(其他调用!$AA$5:$AA$404,MATCH($K349,其他调用!$X$5:$X$404,0))*MIN(INDEX(其他调用!AL$5:AL$364,MATCH($K349,其他调用!$AG$5:$AG$364,0),1)/INDEX(其他调用!$AJ$5:$AJ$364,MATCH($K349,其他调用!$AG$5:$AG$364,0),0),5)*求节点(节奏总纲!D$4:D$163,攻城基础信息!$AG$5:$AG$164,$K349)</f>
        <v>710799.13614294038</v>
      </c>
      <c r="AP349" s="12">
        <f>MIN(INDEX(其他调用!$AL$5:$AL$364,MATCH($K349,其他调用!$AG$5:$AG$364,0),1)/INDEX(其他调用!AH$5:AH$364,MATCH($K349,其他调用!$AG$5:$AG$364,0),0),1)*INDEX(其他调用!Y$5:Y$404,MATCH($K349,其他调用!$X$5:$X$404,0),0)</f>
        <v>43265.346266343608</v>
      </c>
      <c r="AQ349" s="12">
        <f>MIN(INDEX(其他调用!$AL$5:$AL$364,MATCH($K349,其他调用!$AG$5:$AG$364,0),1)/INDEX(其他调用!AI$5:AI$364,MATCH($K349,其他调用!$AG$5:$AG$364,0),0),1)*INDEX(其他调用!Z$5:Z$404,MATCH($K349,其他调用!$X$5:$X$404,0),0)</f>
        <v>44424.980067250348</v>
      </c>
      <c r="AR349" s="12">
        <f>MIN(INDEX(其他调用!$AL$5:$AL$364,MATCH($K349,其他调用!$AG$5:$AG$364,0),1)/INDEX(其他调用!AJ$5:AJ$364,MATCH($K349,其他调用!$AG$5:$AG$364,0),0),1)*INDEX(其他调用!AA$5:AA$404,MATCH($K349,其他调用!$X$5:$X$404,0),0)</f>
        <v>45971.731078890487</v>
      </c>
      <c r="AS349" s="12">
        <f>MIN(INDEX(其他调用!$AL$5:$AL$364,MATCH($K349,其他调用!$AG$5:$AG$364,0),1)/INDEX(其他调用!AK$5:AK$364,MATCH($K349,其他调用!$AG$5:$AG$364,0),0),1)*INDEX(其他调用!AB$5:AB$404,MATCH($K349,其他调用!$X$5:$X$404,0),0)</f>
        <v>48215.657247998417</v>
      </c>
      <c r="AT349" s="12">
        <f>MIN(INDEX(其他调用!$AL$5:$AL$364,MATCH($K349,其他调用!$AG$5:$AG$364,0),1)/INDEX(其他调用!AL$5:AL$364,MATCH($K349,其他调用!$AG$5:$AG$364,0),0),1)*INDEX(其他调用!AC$5:AC$404,MATCH($K349,其他调用!$X$5:$X$404,0),0)</f>
        <v>52105.884783820089</v>
      </c>
      <c r="AV349" s="14">
        <f>IF(OR(AV$5="大R",AV$5="超R"),MAX(INDEX(其他调用!$H$5:$L$404,MATCH($K349,其他调用!$B$5:$B$404,0),MATCH(AV$5,其他调用!$H$4:$L$4,0))*120*0.85,2),INDEX(其他调用!$H$5:$L$404,MATCH($K349,其他调用!$B$5:$B$404,0),MATCH(AV$5,其他调用!$H$4:$L$4,0))*120*0.85)</f>
        <v>48.921801254999991</v>
      </c>
      <c r="AW349" s="14">
        <f>IF(OR(AW$5="大R",AW$5="超R"),MAX(INDEX(其他调用!$H$5:$L$404,MATCH($K349,其他调用!$B$5:$B$404,0),MATCH(AW$5,其他调用!$H$4:$L$4,0))*120*0.85,2),INDEX(其他调用!$H$5:$L$404,MATCH($K349,其他调用!$B$5:$B$404,0),MATCH(AW$5,其他调用!$H$4:$L$4,0))*120*0.85)</f>
        <v>48.237344010638395</v>
      </c>
      <c r="AX349" s="14">
        <f>IF(OR(AX$5="大R",AX$5="超R"),MAX(INDEX(其他调用!$H$5:$L$404,MATCH($K349,其他调用!$B$5:$B$404,0),MATCH(AX$5,其他调用!$H$4:$L$4,0))*120*0.85,2),INDEX(其他调用!$H$5:$L$404,MATCH($K349,其他调用!$B$5:$B$404,0),MATCH(AX$5,其他调用!$H$4:$L$4,0))*120*0.85)</f>
        <v>3.9376284143615998</v>
      </c>
      <c r="AY349" s="14">
        <f>IF(OR(AY$5="大R",AY$5="超R"),MAX(INDEX(其他调用!$H$5:$L$404,MATCH($K349,其他调用!$B$5:$B$404,0),MATCH(AY$5,其他调用!$H$4:$L$4,0))*120*0.85,2),INDEX(其他调用!$H$5:$L$404,MATCH($K349,其他调用!$B$5:$B$404,0),MATCH(AY$5,其他调用!$H$4:$L$4,0))*120*0.85)</f>
        <v>2</v>
      </c>
      <c r="AZ349" s="14">
        <f>IF(OR(AZ$5="大R",AZ$5="超R"),MAX(INDEX(其他调用!$H$5:$L$404,MATCH($K349,其他调用!$B$5:$B$404,0),MATCH(AZ$5,其他调用!$H$4:$L$4,0))*120*0.85,2),INDEX(其他调用!$H$5:$L$404,MATCH($K349,其他调用!$B$5:$B$404,0),MATCH(AZ$5,其他调用!$H$4:$L$4,0))*120*0.85)</f>
        <v>2</v>
      </c>
      <c r="BA349" s="14">
        <f>INDEX(其他调用!$H$5:$L$404,MATCH($K349,其他调用!$B$5:$B$404,0),MATCH(BA$5,其他调用!$H$4:$L$4,0))*INDEX(其他调用!$M$5:$M$404,MATCH($K349,其他调用!$B$5:$B$404,0))*0.6</f>
        <v>28.777530149999997</v>
      </c>
      <c r="BB349" s="14">
        <f>INDEX(其他调用!$H$5:$L$404,MATCH($K349,其他调用!$B$5:$B$404,0),MATCH(BB$5,其他调用!$H$4:$L$4,0))*INDEX(其他调用!$M$5:$M$404,MATCH($K349,其他调用!$B$5:$B$404,0))*0.6</f>
        <v>28.374908241551999</v>
      </c>
      <c r="BC349" s="14">
        <f>INDEX(其他调用!$H$5:$L$404,MATCH($K349,其他调用!$B$5:$B$404,0),MATCH(BC$5,其他调用!$H$4:$L$4,0))*INDEX(其他调用!$M$5:$M$404,MATCH($K349,其他调用!$B$5:$B$404,0))*0.6</f>
        <v>2.3162520084480001</v>
      </c>
      <c r="BD349" s="14">
        <f>INDEX(其他调用!$H$5:$L$404,MATCH($K349,其他调用!$B$5:$B$404,0),MATCH(BD$5,其他调用!$H$4:$L$4,0))*INDEX(其他调用!$M$5:$M$404,MATCH($K349,其他调用!$B$5:$B$404,0))*0.6</f>
        <v>0.4120776000000001</v>
      </c>
      <c r="BE349" s="14">
        <f>INDEX(其他调用!$H$5:$L$404,MATCH($K349,其他调用!$B$5:$B$404,0),MATCH(BE$5,其他调用!$H$4:$L$4,0))*INDEX(其他调用!$M$5:$M$404,MATCH($K349,其他调用!$B$5:$B$404,0))*0.6</f>
        <v>0.11923199999999998</v>
      </c>
      <c r="BF349" s="14">
        <f>IF(OR(BF$5="大R",BF$5="超R"),0,INDEX(其他调用!$H$5:$L$404,MATCH($K349,其他调用!$B$5:$B$404,0),MATCH(BF$5,其他调用!$H$4:$L$4,0))*50*0.4)</f>
        <v>9.5925100500000013</v>
      </c>
      <c r="BG349" s="14">
        <f>IF(OR(BG$5="大R",BG$5="超R"),0,INDEX(其他调用!$H$5:$L$404,MATCH($K349,其他调用!$B$5:$B$404,0),MATCH(BG$5,其他调用!$H$4:$L$4,0))*50*0.4)</f>
        <v>9.4583027471839998</v>
      </c>
      <c r="BH349" s="14">
        <f>IF(OR(BH$5="大R",BH$5="超R"),0,INDEX(其他调用!$H$5:$L$404,MATCH($K349,其他调用!$B$5:$B$404,0),MATCH(BH$5,其他调用!$H$4:$L$4,0))*50*0.4)</f>
        <v>0.77208400281600009</v>
      </c>
      <c r="BI349" s="14">
        <f>IF(OR(BI$5="大R",BI$5="超R"),0,INDEX(其他调用!$H$5:$L$404,MATCH($K349,其他调用!$B$5:$B$404,0),MATCH(BI$5,其他调用!$H$4:$L$4,0))*50*0.4)</f>
        <v>0</v>
      </c>
      <c r="BJ349" s="14">
        <f>IF(OR(BJ$5="大R",BJ$5="超R"),0,INDEX(其他调用!$H$5:$L$404,MATCH($K349,其他调用!$B$5:$B$404,0),MATCH(BJ$5,其他调用!$H$4:$L$4,0))*50*0.4)</f>
        <v>0</v>
      </c>
      <c r="BL349" s="14">
        <f t="shared" si="628"/>
        <v>344</v>
      </c>
      <c r="BM349" s="14">
        <f t="shared" si="535"/>
        <v>96</v>
      </c>
      <c r="BN349" s="14">
        <f>('疲劳值&amp;地图信息'!$S$10*'疲劳值&amp;地图信息'!$R$10+'疲劳值&amp;地图信息'!$S$11*'疲劳值&amp;地图信息'!$R$11+'疲劳值&amp;地图信息'!$S$12*'疲劳值&amp;地图信息'!$R$12+(BM349-'疲劳值&amp;地图信息'!$S$12-'疲劳值&amp;地图信息'!$S$11-'疲劳值&amp;地图信息'!$S$10)*'疲劳值&amp;地图信息'!$R$13)/BM349</f>
        <v>51.371477246638619</v>
      </c>
      <c r="BO349" s="14">
        <f>INDEX(其他调用!$M$5:$M$404,MATCH(BL349,其他调用!$B$5:$B$404,0))*0.6</f>
        <v>60</v>
      </c>
      <c r="BP349" s="14">
        <f>IF(BO349&gt;SUM('疲劳值&amp;地图信息'!$S$10:$S$12),('疲劳值&amp;地图信息'!$S$10*'疲劳值&amp;地图信息'!$R$10+'疲劳值&amp;地图信息'!$S$11*'疲劳值&amp;地图信息'!$R$11+'疲劳值&amp;地图信息'!$S$12*'疲劳值&amp;地图信息'!$R$12+(BO349-'疲劳值&amp;地图信息'!$S$12-'疲劳值&amp;地图信息'!$S$11-'疲劳值&amp;地图信息'!$S$10)*'疲劳值&amp;地图信息'!$R$13)/BO349,('疲劳值&amp;地图信息'!$S$10*'疲劳值&amp;地图信息'!$R$10+'疲劳值&amp;地图信息'!$S$11*'疲劳值&amp;地图信息'!$R$11+'疲劳值&amp;地图信息'!$S$12*'疲劳值&amp;地图信息'!$R$12+(BO349-'疲劳值&amp;地图信息'!$S$12-'疲劳值&amp;地图信息'!$S$11-'疲劳值&amp;地图信息'!$S$10)*'疲劳值&amp;地图信息'!$R$13)/BO349)</f>
        <v>44.158136341605953</v>
      </c>
      <c r="BQ349" s="14">
        <f t="shared" si="629"/>
        <v>20</v>
      </c>
      <c r="BR349" s="14">
        <f>('疲劳值&amp;地图信息'!$S$10*'疲劳值&amp;地图信息'!$R$10+($BQ349-'疲劳值&amp;地图信息'!$S$10)*'疲劳值&amp;地图信息'!$R$11)/$BQ349</f>
        <v>32.067203015074995</v>
      </c>
      <c r="CF349" s="14">
        <v>344</v>
      </c>
      <c r="CG349" s="51">
        <f t="shared" si="536"/>
        <v>16989</v>
      </c>
      <c r="CH349" s="51">
        <f t="shared" si="537"/>
        <v>1038</v>
      </c>
      <c r="CI349" s="51">
        <f>INT(SUMPRODUCT($N349:$R349,$BA349:$BE349)/SUM($BA349:$BE349)/10000*$BX$7*$BZ$34/'疲劳值&amp;地图信息'!$R$10*$BY$53)</f>
        <v>3389</v>
      </c>
      <c r="CJ349" s="50">
        <f t="shared" si="538"/>
        <v>0.7932853940978708</v>
      </c>
      <c r="CK349" s="50">
        <f t="shared" si="539"/>
        <v>4.846843481509152E-2</v>
      </c>
      <c r="CL349" s="50">
        <f t="shared" si="540"/>
        <v>0.15824617108703773</v>
      </c>
      <c r="CM349" s="14">
        <f t="shared" si="541"/>
        <v>18614</v>
      </c>
      <c r="CN349" s="14">
        <f t="shared" si="542"/>
        <v>1811</v>
      </c>
      <c r="CO349" s="14">
        <f>INT(SUMPRODUCT($U349:$Y349,$BA349:$BE349)/SUM($BA349:$BE349)/10000*$BX$7*$BZ$34/'疲劳值&amp;地图信息'!$R$10*$BY$54)</f>
        <v>6517</v>
      </c>
      <c r="CP349" s="50">
        <f t="shared" si="543"/>
        <v>0.69089154479994064</v>
      </c>
      <c r="CQ349" s="50">
        <f t="shared" si="544"/>
        <v>6.7218469304431747E-2</v>
      </c>
      <c r="CR349" s="50">
        <f t="shared" si="545"/>
        <v>0.24188998589562766</v>
      </c>
      <c r="CS349" s="14">
        <f t="shared" si="546"/>
        <v>20305</v>
      </c>
      <c r="CT349" s="14">
        <f t="shared" si="547"/>
        <v>3279</v>
      </c>
      <c r="CU349" s="14">
        <f>INT(SUMPRODUCT($AB349:$AF349,$BA349:$BE349)/SUM($BA349:$BE349)/10000*$BX$7*$BZ$34/'疲劳值&amp;地图信息'!$R$10*$BY$55)</f>
        <v>8865</v>
      </c>
      <c r="CV349" s="50">
        <f t="shared" si="548"/>
        <v>0.62575117877284359</v>
      </c>
      <c r="CW349" s="50">
        <f t="shared" si="549"/>
        <v>0.10105087984221393</v>
      </c>
      <c r="CX349" s="50">
        <f t="shared" si="550"/>
        <v>0.27319794138494252</v>
      </c>
      <c r="CY349" s="14">
        <f t="shared" si="551"/>
        <v>24089</v>
      </c>
      <c r="CZ349" s="14">
        <f t="shared" si="552"/>
        <v>8403</v>
      </c>
      <c r="DA349" s="14">
        <f>INT(SUMPRODUCT($AI349:$AM349,$BA349:$BE349)/SUM($BA349:$BE349)/10000*$BX$7*$BZ$34/'疲劳值&amp;地图信息'!$R$10*$BY$56)</f>
        <v>13371</v>
      </c>
      <c r="DB349" s="50">
        <f t="shared" si="553"/>
        <v>0.52523820944988331</v>
      </c>
      <c r="DC349" s="50">
        <f t="shared" si="554"/>
        <v>0.18321958877526545</v>
      </c>
      <c r="DD349" s="50">
        <f t="shared" si="555"/>
        <v>0.29154220177485118</v>
      </c>
      <c r="DE349" s="14">
        <f t="shared" si="556"/>
        <v>24850</v>
      </c>
      <c r="DF349" s="14">
        <f t="shared" si="557"/>
        <v>14487</v>
      </c>
      <c r="DG349" s="14">
        <f>INT(SUMPRODUCT($AP349:$AT349,$BA349:$BE349)/SUM($BA349:$BE349)/10000*$BX$7*$BZ$34/'疲劳值&amp;地图信息'!$R$10*$BY$57)</f>
        <v>17845</v>
      </c>
      <c r="DH349" s="50">
        <f t="shared" si="558"/>
        <v>0.4345773145395404</v>
      </c>
      <c r="DI349" s="50">
        <f t="shared" si="559"/>
        <v>0.25334895596516388</v>
      </c>
      <c r="DJ349" s="50">
        <f t="shared" si="560"/>
        <v>0.31207372949529572</v>
      </c>
      <c r="DL349" s="14">
        <f t="shared" si="631"/>
        <v>21416</v>
      </c>
      <c r="DM349" s="14">
        <f t="shared" si="632"/>
        <v>26942</v>
      </c>
      <c r="DN349" s="14">
        <f t="shared" si="633"/>
        <v>32449</v>
      </c>
      <c r="DO349" s="14">
        <f t="shared" si="634"/>
        <v>45863</v>
      </c>
      <c r="DP349" s="14">
        <f t="shared" si="635"/>
        <v>57182</v>
      </c>
      <c r="DQ349" s="14">
        <f t="shared" si="636"/>
        <v>1481653</v>
      </c>
      <c r="DT349" s="14">
        <f t="shared" si="630"/>
        <v>235575</v>
      </c>
      <c r="DU349" s="50">
        <f t="shared" si="532"/>
        <v>0.13718329773332372</v>
      </c>
      <c r="DW349" s="14">
        <f t="shared" si="561"/>
        <v>1717228</v>
      </c>
      <c r="EB349" s="14">
        <v>344</v>
      </c>
      <c r="EC349" s="51">
        <f t="shared" si="562"/>
        <v>28315</v>
      </c>
      <c r="ED349" s="51">
        <f t="shared" si="563"/>
        <v>1730</v>
      </c>
      <c r="EE349" s="51">
        <f>INT(SUMPRODUCT($N349:$R349,$BF349:$BJ349)/SUM($BF349:$BJ349)/10000*$BX$7*$BZ$46/'疲劳值&amp;地图信息'!$R$10*$BY$53)</f>
        <v>455</v>
      </c>
      <c r="EF349" s="50">
        <f t="shared" si="564"/>
        <v>0.92836065573770488</v>
      </c>
      <c r="EG349" s="50">
        <f t="shared" si="565"/>
        <v>5.6721311475409833E-2</v>
      </c>
      <c r="EH349" s="50">
        <f t="shared" si="566"/>
        <v>1.4918032786885246E-2</v>
      </c>
      <c r="EI349" s="51">
        <f t="shared" si="567"/>
        <v>31023</v>
      </c>
      <c r="EJ349" s="51">
        <f t="shared" si="568"/>
        <v>3018</v>
      </c>
      <c r="EK349" s="14">
        <f>INT(SUMPRODUCT($U349:$Y349,$BF349:$BJ349)/SUM($BF349:$BJ349)/10000*$BX$7*$BZ$46/'疲劳值&amp;地图信息'!$R$10*$BY$54)</f>
        <v>875</v>
      </c>
      <c r="EL349" s="50">
        <f t="shared" si="569"/>
        <v>0.88850383778210562</v>
      </c>
      <c r="EM349" s="50">
        <f t="shared" si="570"/>
        <v>8.6436017871462933E-2</v>
      </c>
      <c r="EN349" s="50">
        <f t="shared" si="571"/>
        <v>2.5060144346431435E-2</v>
      </c>
      <c r="EO349" s="51">
        <f t="shared" si="572"/>
        <v>33841</v>
      </c>
      <c r="EP349" s="51">
        <f t="shared" si="573"/>
        <v>5465</v>
      </c>
      <c r="EQ349" s="14">
        <f>INT(SUMPRODUCT($AB349:$AF349,$BF349:$BJ349)/SUM($BF349:$BJ349)/10000*$BX$7*$BZ$46/'疲劳值&amp;地图信息'!$R$10*$BY$55)</f>
        <v>1188</v>
      </c>
      <c r="ER349" s="50">
        <f t="shared" si="574"/>
        <v>0.83570405492171684</v>
      </c>
      <c r="ES349" s="50">
        <f t="shared" si="575"/>
        <v>0.13495826542203784</v>
      </c>
      <c r="ET349" s="50">
        <f t="shared" si="576"/>
        <v>2.9337679656245369E-2</v>
      </c>
      <c r="EU349" s="51">
        <f t="shared" si="577"/>
        <v>40148</v>
      </c>
      <c r="EV349" s="51">
        <f t="shared" si="578"/>
        <v>14005</v>
      </c>
      <c r="EW349" s="14">
        <f>INT(SUMPRODUCT($AI349:$AM349,$BF349:$BJ349)/SUM($BF349:$BJ349)/10000*$BX$7*$BZ$46/'疲劳值&amp;地图信息'!$R$10*$BY$56)</f>
        <v>1782</v>
      </c>
      <c r="EX349" s="50">
        <f t="shared" si="579"/>
        <v>0.71776168767319215</v>
      </c>
      <c r="EY349" s="50">
        <f t="shared" si="580"/>
        <v>0.25037990524716186</v>
      </c>
      <c r="EZ349" s="50">
        <f t="shared" si="581"/>
        <v>3.1858407079646017E-2</v>
      </c>
      <c r="FA349" s="51">
        <f t="shared" si="582"/>
        <v>41417</v>
      </c>
      <c r="FB349" s="51">
        <f t="shared" si="583"/>
        <v>24145</v>
      </c>
      <c r="FC349" s="14">
        <f>INT(SUMPRODUCT($AP349:$AT349,$BF349:$BJ349)/SUM($BF349:$BJ349)/10000*$BX$7*$BZ$46/'疲劳值&amp;地图信息'!$R$10*$BY$57)</f>
        <v>2376</v>
      </c>
      <c r="FD349" s="50">
        <f t="shared" si="584"/>
        <v>0.60962936795313372</v>
      </c>
      <c r="FE349" s="50">
        <f t="shared" si="585"/>
        <v>0.35539756837116193</v>
      </c>
      <c r="FF349" s="50">
        <f t="shared" si="586"/>
        <v>3.4973063675704318E-2</v>
      </c>
      <c r="FH349" s="14">
        <f t="shared" si="587"/>
        <v>30500</v>
      </c>
      <c r="FI349" s="14">
        <f t="shared" si="588"/>
        <v>34916</v>
      </c>
      <c r="FJ349" s="14">
        <f t="shared" si="589"/>
        <v>40494</v>
      </c>
      <c r="FK349" s="14">
        <f t="shared" si="590"/>
        <v>55935</v>
      </c>
      <c r="FL349" s="14">
        <f t="shared" si="591"/>
        <v>67938</v>
      </c>
      <c r="FM349" s="14">
        <f t="shared" si="592"/>
        <v>3583566</v>
      </c>
      <c r="FP349" s="14">
        <f t="shared" si="593"/>
        <v>334150</v>
      </c>
      <c r="FQ349" s="50">
        <f t="shared" si="533"/>
        <v>8.5292042608499444E-2</v>
      </c>
      <c r="FS349" s="14">
        <f t="shared" si="594"/>
        <v>3917716</v>
      </c>
      <c r="FX349" s="14">
        <v>344</v>
      </c>
      <c r="FY349" s="51">
        <f t="shared" si="595"/>
        <v>39642</v>
      </c>
      <c r="FZ349" s="51">
        <f t="shared" si="596"/>
        <v>1730</v>
      </c>
      <c r="GA349" s="51">
        <f>INT(SUMPRODUCT($N349:$R349,$BF349:$BJ349)/SUM($BF349:$BJ349)/10000*$BX$7*$BZ$46/'疲劳值&amp;地图信息'!$R$10*$BY$53)</f>
        <v>455</v>
      </c>
      <c r="GB349" s="50">
        <f t="shared" si="597"/>
        <v>0.94776101561192527</v>
      </c>
      <c r="GC349" s="50">
        <f t="shared" si="598"/>
        <v>4.1360843474310849E-2</v>
      </c>
      <c r="GD349" s="50">
        <f t="shared" si="599"/>
        <v>1.0878140913763837E-2</v>
      </c>
      <c r="GE349" s="51">
        <f t="shared" si="600"/>
        <v>43433</v>
      </c>
      <c r="GF349" s="51">
        <f t="shared" si="601"/>
        <v>3018</v>
      </c>
      <c r="GG349" s="14">
        <f>INT(SUMPRODUCT($U349:$Y349,$BF349:$BJ349)/SUM($BF349:$BJ349)/10000*$BX$7*$BZ$46/'疲劳值&amp;地图信息'!$R$10*$BY$54)</f>
        <v>875</v>
      </c>
      <c r="GH349" s="50">
        <f t="shared" si="602"/>
        <v>0.91774077674005827</v>
      </c>
      <c r="GI349" s="50">
        <f t="shared" si="603"/>
        <v>6.3770443308118166E-2</v>
      </c>
      <c r="GJ349" s="50">
        <f t="shared" si="604"/>
        <v>1.8488779951823523E-2</v>
      </c>
      <c r="GK349" s="51">
        <f t="shared" si="605"/>
        <v>47378</v>
      </c>
      <c r="GL349" s="51">
        <f t="shared" si="606"/>
        <v>5465</v>
      </c>
      <c r="GM349" s="14">
        <f>INT(SUMPRODUCT($AB349:$AF349,$BF349:$BJ349)/SUM($BF349:$BJ349)/10000*$BX$7*$BZ$46/'疲劳值&amp;地图信息'!$R$10*$BY$55)</f>
        <v>1188</v>
      </c>
      <c r="GN349" s="50">
        <f t="shared" si="607"/>
        <v>0.8768669837685773</v>
      </c>
      <c r="GO349" s="50">
        <f t="shared" si="608"/>
        <v>0.10114563861486923</v>
      </c>
      <c r="GP349" s="50">
        <f t="shared" si="609"/>
        <v>2.198737761655346E-2</v>
      </c>
      <c r="GQ349" s="51">
        <f t="shared" si="610"/>
        <v>56208</v>
      </c>
      <c r="GR349" s="51">
        <f t="shared" si="611"/>
        <v>14005</v>
      </c>
      <c r="GS349" s="14">
        <f>INT(SUMPRODUCT($AI349:$AM349,$BF349:$BJ349)/SUM($BF349:$BJ349)/10000*$BX$7*$BZ$46/'疲劳值&amp;地图信息'!$R$10*$BY$56)</f>
        <v>1782</v>
      </c>
      <c r="GT349" s="50">
        <f t="shared" si="612"/>
        <v>0.78072088339468015</v>
      </c>
      <c r="GU349" s="50">
        <f t="shared" si="613"/>
        <v>0.19452739773595387</v>
      </c>
      <c r="GV349" s="50">
        <f t="shared" si="614"/>
        <v>2.4751718869365929E-2</v>
      </c>
      <c r="GW349" s="51">
        <f t="shared" si="615"/>
        <v>57984</v>
      </c>
      <c r="GX349" s="51">
        <f t="shared" si="616"/>
        <v>24145</v>
      </c>
      <c r="GY349" s="14">
        <f>INT(SUMPRODUCT($AP349:$AT349,$BF349:$BJ349)/SUM($BF349:$BJ349)/10000*$BX$7*$BZ$46/'疲劳值&amp;地图信息'!$R$10*$BY$57)</f>
        <v>2376</v>
      </c>
      <c r="GZ349" s="50">
        <f t="shared" si="617"/>
        <v>0.68616058221407017</v>
      </c>
      <c r="HA349" s="50">
        <f t="shared" si="618"/>
        <v>0.28572273829950889</v>
      </c>
      <c r="HB349" s="50">
        <f t="shared" si="619"/>
        <v>2.8116679486420923E-2</v>
      </c>
      <c r="HD349" s="14">
        <f t="shared" si="620"/>
        <v>41827</v>
      </c>
      <c r="HE349" s="14">
        <f t="shared" si="621"/>
        <v>47326</v>
      </c>
      <c r="HF349" s="14">
        <f t="shared" si="622"/>
        <v>54031</v>
      </c>
      <c r="HG349" s="14">
        <f t="shared" si="623"/>
        <v>71995</v>
      </c>
      <c r="HH349" s="14">
        <f t="shared" si="624"/>
        <v>84505</v>
      </c>
      <c r="HI349" s="14">
        <f t="shared" si="625"/>
        <v>4854886</v>
      </c>
      <c r="HL349" s="14">
        <f t="shared" si="626"/>
        <v>430050</v>
      </c>
      <c r="HM349" s="50">
        <f t="shared" si="534"/>
        <v>8.1372792404676236E-2</v>
      </c>
      <c r="HO349" s="14">
        <f t="shared" si="627"/>
        <v>5284936</v>
      </c>
    </row>
    <row r="350" spans="11:223" x14ac:dyDescent="0.2">
      <c r="K350" s="14">
        <v>345</v>
      </c>
      <c r="L350" s="12">
        <f>求节点(节奏总纲!D$4:D$163,标准城池设计!AB$4:AB$163,$K350)*求节点(节奏总纲!D$4:D$163,攻城基础信息!$AC$5:$AC$164,$K350)</f>
        <v>834675.56562377524</v>
      </c>
      <c r="M350" s="12">
        <f>INDEX(其他调用!$AA$5:$AA$404,MATCH(K350,其他调用!$X$5:$X$404,0))*MIN(INDEX(其他调用!$AH$5:$AH$364,MATCH('征服点（新）'!K350,其他调用!$AG$5:$AG$364,0),1)/INDEX(其他调用!$AJ$5:$AJ$364,MATCH(K350,其他调用!$AG$5:$AG$364,0),0),5)*求节点(节奏总纲!D$4:D$163,攻城基础信息!$AC$5:$AC$164,$K350)</f>
        <v>50883.196376438689</v>
      </c>
      <c r="N350" s="12">
        <f>MIN(INDEX(其他调用!$AH$5:$AH$364,MATCH($K350,其他调用!$AG$5:$AG$364,0),1)/INDEX(其他调用!AH$5:AH$364,MATCH($K350,其他调用!$AG$5:$AG$364,0),0),1)*INDEX(其他调用!Y$5:Y$404,MATCH($K350,其他调用!$X$5:$X$404,0),0)</f>
        <v>43281.854238255997</v>
      </c>
      <c r="O350" s="12">
        <f>MIN(INDEX(其他调用!$AH$5:$AH$364,MATCH($K350,其他调用!$AG$5:$AG$364,0),1)/INDEX(其他调用!AI$5:AI$364,MATCH($K350,其他调用!$AG$5:$AG$364,0),0),1)*INDEX(其他调用!Z$5:Z$404,MATCH($K350,其他调用!$X$5:$X$404,0),0)</f>
        <v>25471.813749802179</v>
      </c>
      <c r="P350" s="12">
        <f>MIN(INDEX(其他调用!$AH$5:$AH$364,MATCH($K350,其他调用!$AG$5:$AG$364,0),1)/INDEX(其他调用!AJ$5:AJ$364,MATCH($K350,其他调用!$AG$5:$AG$364,0),0),1)*INDEX(其他调用!AA$5:AA$404,MATCH($K350,其他调用!$X$5:$X$404,0),0)</f>
        <v>14538.056107553921</v>
      </c>
      <c r="Q350" s="12">
        <f>MIN(INDEX(其他调用!$AH$5:$AH$364,MATCH($K350,其他调用!$AG$5:$AG$364,0),1)/INDEX(其他调用!AK$5:AK$364,MATCH($K350,其他调用!$AG$5:$AG$364,0),0),1)*INDEX(其他调用!AB$5:AB$404,MATCH($K350,其他调用!$X$5:$X$404,0),0)</f>
        <v>5964.7875777700865</v>
      </c>
      <c r="R350" s="12">
        <f>MIN(INDEX(其他调用!$AH$5:$AH$364,MATCH($K350,其他调用!$AG$5:$AG$364,0),1)/INDEX(其他调用!AL$5:AL$364,MATCH($K350,其他调用!$AG$5:$AG$364,0),0),1)*INDEX(其他调用!AC$5:AC$404,MATCH($K350,其他调用!$X$5:$X$404,0),0)</f>
        <v>3742.1915790284261</v>
      </c>
      <c r="S350" s="12">
        <f>求节点(节奏总纲!D$4:D$163,标准城池设计!AC$4:AC$163,$K350)*求节点(节奏总纲!D$4:D$163,攻城基础信息!$AD$5:$AD$164,$K350)</f>
        <v>914386.00241043745</v>
      </c>
      <c r="T350" s="12">
        <f>INDEX(其他调用!$AA$5:$AA$404,MATCH($K350,其他调用!$X$5:$X$404,0))*MIN(INDEX(其他调用!AI$5:AI$364,MATCH($K350,其他调用!$AG$5:$AG$364,0),1)/INDEX(其他调用!$AJ$5:$AJ$364,MATCH($K350,其他调用!$AG$5:$AG$364,0),0),5)*求节点(节奏总纲!D$4:D$163,攻城基础信息!$AD$5:$AD$164,$K350)</f>
        <v>88778.233574031663</v>
      </c>
      <c r="U350" s="12">
        <f>MIN(INDEX(其他调用!$AI$5:$AI$364,MATCH($K350,其他调用!$AG$5:$AG$364,0),1)/INDEX(其他调用!AH$5:AH$364,MATCH($K350,其他调用!$AG$5:$AG$364,0),0),1)*INDEX(其他调用!Y$5:Y$404,MATCH($K350,其他调用!$X$5:$X$404,0),0)</f>
        <v>43281.854238255997</v>
      </c>
      <c r="V350" s="12">
        <f>MIN(INDEX(其他调用!$AI$5:$AI$364,MATCH($K350,其他调用!$AG$5:$AG$364,0),1)/INDEX(其他调用!AI$5:AI$364,MATCH($K350,其他调用!$AG$5:$AG$364,0),0),1)*INDEX(其他调用!Z$5:Z$404,MATCH($K350,其他调用!$X$5:$X$404,0),0)</f>
        <v>44441.835255484781</v>
      </c>
      <c r="W350" s="12">
        <f>MIN(INDEX(其他调用!$AI$5:$AI$364,MATCH($K350,其他调用!$AG$5:$AG$364,0),1)/INDEX(其他调用!AJ$5:AJ$364,MATCH($K350,其他调用!$AG$5:$AG$364,0),0),1)*INDEX(其他调用!AA$5:AA$404,MATCH($K350,其他调用!$X$5:$X$404,0),0)</f>
        <v>25365.20959258049</v>
      </c>
      <c r="X350" s="12">
        <f>MIN(INDEX(其他调用!$AI$5:$AI$364,MATCH($K350,其他调用!$AG$5:$AG$364,0),1)/INDEX(其他调用!AK$5:AK$364,MATCH($K350,其他调用!$AG$5:$AG$364,0),0),1)*INDEX(其他调用!AB$5:AB$404,MATCH($K350,其他调用!$X$5:$X$404,0),0)</f>
        <v>10407.036949509693</v>
      </c>
      <c r="Y350" s="12">
        <f>MIN(INDEX(其他调用!$AI$5:$AI$364,MATCH($K350,其他调用!$AG$5:$AG$364,0),1)/INDEX(其他调用!AL$5:AL$364,MATCH($K350,其他调用!$AG$5:$AG$364,0),0),1)*INDEX(其他调用!AC$5:AC$404,MATCH($K350,其他调用!$X$5:$X$404,0),0)</f>
        <v>6529.1723346923181</v>
      </c>
      <c r="Z350" s="12">
        <f>求节点(节奏总纲!D$4:D$163,标准城池设计!AD$4:AD$163,$K350)*求节点(节奏总纲!D$4:D$163,攻城基础信息!$AE$5:$AE$164,$K350)</f>
        <v>997617.82381974312</v>
      </c>
      <c r="AA350" s="12">
        <f>INDEX(其他调用!$AA$5:$AA$404,MATCH($K350,其他调用!$X$5:$X$404,0))*MIN(INDEX(其他调用!AJ$5:AJ$364,MATCH($K350,其他调用!$AG$5:$AG$364,0),1)/INDEX(其他调用!$AJ$5:$AJ$364,MATCH($K350,其他调用!$AG$5:$AG$364,0),0),5)*求节点(节奏总纲!D$4:D$163,攻城基础信息!$AE$5:$AE$164,$K350)</f>
        <v>160963.63362204409</v>
      </c>
      <c r="AB350" s="12">
        <f>MIN(INDEX(其他调用!$AJ$5:$AJ$364,MATCH($K350,其他调用!$AG$5:$AG$364,0),1)/INDEX(其他调用!AH$5:AH$364,MATCH($K350,其他调用!$AG$5:$AG$364,0),0),1)*INDEX(其他调用!Y$5:Y$404,MATCH($K350,其他调用!$X$5:$X$404,0),0)</f>
        <v>43281.854238255997</v>
      </c>
      <c r="AC350" s="12">
        <f>MIN(INDEX(其他调用!$AJ$5:$AJ$364,MATCH($K350,其他调用!$AG$5:$AG$364,0),1)/INDEX(其他调用!AI$5:AI$364,MATCH($K350,其他调用!$AG$5:$AG$364,0),0),1)*INDEX(其他调用!Z$5:Z$404,MATCH($K350,其他调用!$X$5:$X$404,0),0)</f>
        <v>44441.835255484781</v>
      </c>
      <c r="AD350" s="12">
        <f>MIN(INDEX(其他调用!$AJ$5:$AJ$364,MATCH($K350,其他调用!$AG$5:$AG$364,0),1)/INDEX(其他调用!AJ$5:AJ$364,MATCH($K350,其他调用!$AG$5:$AG$364,0),0),1)*INDEX(其他调用!AA$5:AA$404,MATCH($K350,其他调用!$X$5:$X$404,0),0)</f>
        <v>45989.609606298342</v>
      </c>
      <c r="AE350" s="12">
        <f>MIN(INDEX(其他调用!$AJ$5:$AJ$364,MATCH($K350,其他调用!$AG$5:$AG$364,0),1)/INDEX(其他调用!AK$5:AK$364,MATCH($K350,其他调用!$AG$5:$AG$364,0),0),1)*INDEX(其他调用!AB$5:AB$404,MATCH($K350,其他调用!$X$5:$X$404,0),0)</f>
        <v>18868.977396751783</v>
      </c>
      <c r="AF350" s="12">
        <f>MIN(INDEX(其他调用!$AJ$5:$AJ$364,MATCH($K350,其他调用!$AG$5:$AG$364,0),1)/INDEX(其他调用!AL$5:AL$364,MATCH($K350,其他调用!$AG$5:$AG$364,0),0),1)*INDEX(其他调用!AC$5:AC$404,MATCH($K350,其他调用!$X$5:$X$404,0),0)</f>
        <v>11838.028999081309</v>
      </c>
      <c r="AG350" s="12">
        <f>求节点(节奏总纲!D$4:D$163,标准城池设计!AE$4:AE$163,$K350)*求节点(节奏总纲!D$4:D$163,攻城基础信息!$AF$5:$AF$164,$K350)</f>
        <v>1182645.9807823957</v>
      </c>
      <c r="AH350" s="12">
        <f>INDEX(其他调用!$AA$5:$AA$404,MATCH($K350,其他调用!$X$5:$X$404,0))*MIN(INDEX(其他调用!AK$5:AK$364,MATCH($K350,其他调用!$AG$5:$AG$364,0),1)/INDEX(其他调用!$AJ$5:$AJ$364,MATCH($K350,其他调用!$AG$5:$AG$364,0),0),5)*求节点(节奏总纲!D$4:D$163,攻城基础信息!$AF$5:$AF$164,$K350)</f>
        <v>411455.57218627754</v>
      </c>
      <c r="AI350" s="12">
        <f>MIN(INDEX(其他调用!$AK$5:$AK$364,MATCH($K350,其他调用!$AG$5:$AG$364,0),1)/INDEX(其他调用!AH$5:AH$364,MATCH($K350,其他调用!$AG$5:$AG$364,0),0),1)*INDEX(其他调用!Y$5:Y$404,MATCH($K350,其他调用!$X$5:$X$404,0),0)</f>
        <v>43281.854238255997</v>
      </c>
      <c r="AJ350" s="12">
        <f>MIN(INDEX(其他调用!$AK$5:$AK$364,MATCH($K350,其他调用!$AG$5:$AG$364,0),1)/INDEX(其他调用!AI$5:AI$364,MATCH($K350,其他调用!$AG$5:$AG$364,0),0),1)*INDEX(其他调用!Z$5:Z$404,MATCH($K350,其他调用!$X$5:$X$404,0),0)</f>
        <v>44441.835255484781</v>
      </c>
      <c r="AK350" s="12">
        <f>MIN(INDEX(其他调用!$AK$5:$AK$364,MATCH($K350,其他调用!$AG$5:$AG$364,0),1)/INDEX(其他调用!AJ$5:AJ$364,MATCH($K350,其他调用!$AG$5:$AG$364,0),0),1)*INDEX(其他调用!AA$5:AA$404,MATCH($K350,其他调用!$X$5:$X$404,0),0)</f>
        <v>45989.609606298342</v>
      </c>
      <c r="AL350" s="12">
        <f>MIN(INDEX(其他调用!$AK$5:$AK$364,MATCH($K350,其他调用!$AG$5:$AG$364,0),1)/INDEX(其他调用!AK$5:AK$364,MATCH($K350,其他调用!$AG$5:$AG$364,0),0),1)*INDEX(其他调用!AB$5:AB$404,MATCH($K350,其他调用!$X$5:$X$404,0),0)</f>
        <v>48232.918931119304</v>
      </c>
      <c r="AM350" s="12">
        <f>MIN(INDEX(其他调用!$AK$5:$AK$364,MATCH($K350,其他调用!$AG$5:$AG$364,0),1)/INDEX(其他调用!AL$5:AL$364,MATCH($K350,其他调用!$AG$5:$AG$364,0),0),1)*INDEX(其他调用!AC$5:AC$404,MATCH($K350,其他调用!$X$5:$X$404,0),0)</f>
        <v>30260.394138540883</v>
      </c>
      <c r="AN350" s="12">
        <f>求节点(节奏总纲!D$4:D$163,标准城池设计!AF$4:AF$163,$K350)*求节点(节奏总纲!D$4:D$163,攻城基础信息!$AG$5:$AG$164,$K350)</f>
        <v>1219972.5293577551</v>
      </c>
      <c r="AO350" s="12">
        <f>INDEX(其他调用!$AA$5:$AA$404,MATCH($K350,其他调用!$X$5:$X$404,0))*MIN(INDEX(其他调用!AL$5:AL$364,MATCH($K350,其他调用!$AG$5:$AG$364,0),1)/INDEX(其他调用!$AJ$5:$AJ$364,MATCH($K350,其他调用!$AG$5:$AG$364,0),0),5)*求节点(节奏总纲!D$4:D$163,攻城基础信息!$AG$5:$AG$164,$K350)</f>
        <v>708714.97867939272</v>
      </c>
      <c r="AP350" s="12">
        <f>MIN(INDEX(其他调用!$AL$5:$AL$364,MATCH($K350,其他调用!$AG$5:$AG$364,0),1)/INDEX(其他调用!AH$5:AH$364,MATCH($K350,其他调用!$AG$5:$AG$364,0),0),1)*INDEX(其他调用!Y$5:Y$404,MATCH($K350,其他调用!$X$5:$X$404,0),0)</f>
        <v>43281.854238255997</v>
      </c>
      <c r="AQ350" s="12">
        <f>MIN(INDEX(其他调用!$AL$5:$AL$364,MATCH($K350,其他调用!$AG$5:$AG$364,0),1)/INDEX(其他调用!AI$5:AI$364,MATCH($K350,其他调用!$AG$5:$AG$364,0),0),1)*INDEX(其他调用!Z$5:Z$404,MATCH($K350,其他调用!$X$5:$X$404,0),0)</f>
        <v>44441.835255484781</v>
      </c>
      <c r="AR350" s="12">
        <f>MIN(INDEX(其他调用!$AL$5:$AL$364,MATCH($K350,其他调用!$AG$5:$AG$364,0),1)/INDEX(其他调用!AJ$5:AJ$364,MATCH($K350,其他调用!$AG$5:$AG$364,0),0),1)*INDEX(其他调用!AA$5:AA$404,MATCH($K350,其他调用!$X$5:$X$404,0),0)</f>
        <v>45989.609606298342</v>
      </c>
      <c r="AS350" s="12">
        <f>MIN(INDEX(其他调用!$AL$5:$AL$364,MATCH($K350,其他调用!$AG$5:$AG$364,0),1)/INDEX(其他调用!AK$5:AK$364,MATCH($K350,其他调用!$AG$5:$AG$364,0),0),1)*INDEX(其他调用!AB$5:AB$404,MATCH($K350,其他调用!$X$5:$X$404,0),0)</f>
        <v>48232.918931119304</v>
      </c>
      <c r="AT350" s="12">
        <f>MIN(INDEX(其他调用!$AL$5:$AL$364,MATCH($K350,其他调用!$AG$5:$AG$364,0),1)/INDEX(其他调用!AL$5:AL$364,MATCH($K350,其他调用!$AG$5:$AG$364,0),0),1)*INDEX(其他调用!AC$5:AC$404,MATCH($K350,其他调用!$X$5:$X$404,0),0)</f>
        <v>52122.260667834198</v>
      </c>
      <c r="AV350" s="14">
        <f>IF(OR(AV$5="大R",AV$5="超R"),MAX(INDEX(其他调用!$H$5:$L$404,MATCH($K350,其他调用!$B$5:$B$404,0),MATCH(AV$5,其他调用!$H$4:$L$4,0))*120*0.85,2),INDEX(其他调用!$H$5:$L$404,MATCH($K350,其他调用!$B$5:$B$404,0),MATCH(AV$5,其他调用!$H$4:$L$4,0))*120*0.85)</f>
        <v>48.921801254999991</v>
      </c>
      <c r="AW350" s="14">
        <f>IF(OR(AW$5="大R",AW$5="超R"),MAX(INDEX(其他调用!$H$5:$L$404,MATCH($K350,其他调用!$B$5:$B$404,0),MATCH(AW$5,其他调用!$H$4:$L$4,0))*120*0.85,2),INDEX(其他调用!$H$5:$L$404,MATCH($K350,其他调用!$B$5:$B$404,0),MATCH(AW$5,其他调用!$H$4:$L$4,0))*120*0.85)</f>
        <v>48.237344010638395</v>
      </c>
      <c r="AX350" s="14">
        <f>IF(OR(AX$5="大R",AX$5="超R"),MAX(INDEX(其他调用!$H$5:$L$404,MATCH($K350,其他调用!$B$5:$B$404,0),MATCH(AX$5,其他调用!$H$4:$L$4,0))*120*0.85,2),INDEX(其他调用!$H$5:$L$404,MATCH($K350,其他调用!$B$5:$B$404,0),MATCH(AX$5,其他调用!$H$4:$L$4,0))*120*0.85)</f>
        <v>3.9376284143615998</v>
      </c>
      <c r="AY350" s="14">
        <f>IF(OR(AY$5="大R",AY$5="超R"),MAX(INDEX(其他调用!$H$5:$L$404,MATCH($K350,其他调用!$B$5:$B$404,0),MATCH(AY$5,其他调用!$H$4:$L$4,0))*120*0.85,2),INDEX(其他调用!$H$5:$L$404,MATCH($K350,其他调用!$B$5:$B$404,0),MATCH(AY$5,其他调用!$H$4:$L$4,0))*120*0.85)</f>
        <v>2</v>
      </c>
      <c r="AZ350" s="14">
        <f>IF(OR(AZ$5="大R",AZ$5="超R"),MAX(INDEX(其他调用!$H$5:$L$404,MATCH($K350,其他调用!$B$5:$B$404,0),MATCH(AZ$5,其他调用!$H$4:$L$4,0))*120*0.85,2),INDEX(其他调用!$H$5:$L$404,MATCH($K350,其他调用!$B$5:$B$404,0),MATCH(AZ$5,其他调用!$H$4:$L$4,0))*120*0.85)</f>
        <v>2</v>
      </c>
      <c r="BA350" s="14">
        <f>INDEX(其他调用!$H$5:$L$404,MATCH($K350,其他调用!$B$5:$B$404,0),MATCH(BA$5,其他调用!$H$4:$L$4,0))*INDEX(其他调用!$M$5:$M$404,MATCH($K350,其他调用!$B$5:$B$404,0))*0.6</f>
        <v>28.777530149999997</v>
      </c>
      <c r="BB350" s="14">
        <f>INDEX(其他调用!$H$5:$L$404,MATCH($K350,其他调用!$B$5:$B$404,0),MATCH(BB$5,其他调用!$H$4:$L$4,0))*INDEX(其他调用!$M$5:$M$404,MATCH($K350,其他调用!$B$5:$B$404,0))*0.6</f>
        <v>28.374908241551999</v>
      </c>
      <c r="BC350" s="14">
        <f>INDEX(其他调用!$H$5:$L$404,MATCH($K350,其他调用!$B$5:$B$404,0),MATCH(BC$5,其他调用!$H$4:$L$4,0))*INDEX(其他调用!$M$5:$M$404,MATCH($K350,其他调用!$B$5:$B$404,0))*0.6</f>
        <v>2.3162520084480001</v>
      </c>
      <c r="BD350" s="14">
        <f>INDEX(其他调用!$H$5:$L$404,MATCH($K350,其他调用!$B$5:$B$404,0),MATCH(BD$5,其他调用!$H$4:$L$4,0))*INDEX(其他调用!$M$5:$M$404,MATCH($K350,其他调用!$B$5:$B$404,0))*0.6</f>
        <v>0.4120776000000001</v>
      </c>
      <c r="BE350" s="14">
        <f>INDEX(其他调用!$H$5:$L$404,MATCH($K350,其他调用!$B$5:$B$404,0),MATCH(BE$5,其他调用!$H$4:$L$4,0))*INDEX(其他调用!$M$5:$M$404,MATCH($K350,其他调用!$B$5:$B$404,0))*0.6</f>
        <v>0.11923199999999998</v>
      </c>
      <c r="BF350" s="14">
        <f>IF(OR(BF$5="大R",BF$5="超R"),0,INDEX(其他调用!$H$5:$L$404,MATCH($K350,其他调用!$B$5:$B$404,0),MATCH(BF$5,其他调用!$H$4:$L$4,0))*50*0.4)</f>
        <v>9.5925100500000013</v>
      </c>
      <c r="BG350" s="14">
        <f>IF(OR(BG$5="大R",BG$5="超R"),0,INDEX(其他调用!$H$5:$L$404,MATCH($K350,其他调用!$B$5:$B$404,0),MATCH(BG$5,其他调用!$H$4:$L$4,0))*50*0.4)</f>
        <v>9.4583027471839998</v>
      </c>
      <c r="BH350" s="14">
        <f>IF(OR(BH$5="大R",BH$5="超R"),0,INDEX(其他调用!$H$5:$L$404,MATCH($K350,其他调用!$B$5:$B$404,0),MATCH(BH$5,其他调用!$H$4:$L$4,0))*50*0.4)</f>
        <v>0.77208400281600009</v>
      </c>
      <c r="BI350" s="14">
        <f>IF(OR(BI$5="大R",BI$5="超R"),0,INDEX(其他调用!$H$5:$L$404,MATCH($K350,其他调用!$B$5:$B$404,0),MATCH(BI$5,其他调用!$H$4:$L$4,0))*50*0.4)</f>
        <v>0</v>
      </c>
      <c r="BJ350" s="14">
        <f>IF(OR(BJ$5="大R",BJ$5="超R"),0,INDEX(其他调用!$H$5:$L$404,MATCH($K350,其他调用!$B$5:$B$404,0),MATCH(BJ$5,其他调用!$H$4:$L$4,0))*50*0.4)</f>
        <v>0</v>
      </c>
      <c r="BL350" s="14">
        <f t="shared" si="628"/>
        <v>345</v>
      </c>
      <c r="BM350" s="14">
        <f t="shared" si="535"/>
        <v>96</v>
      </c>
      <c r="BN350" s="14">
        <f>('疲劳值&amp;地图信息'!$S$10*'疲劳值&amp;地图信息'!$R$10+'疲劳值&amp;地图信息'!$S$11*'疲劳值&amp;地图信息'!$R$11+'疲劳值&amp;地图信息'!$S$12*'疲劳值&amp;地图信息'!$R$12+(BM350-'疲劳值&amp;地图信息'!$S$12-'疲劳值&amp;地图信息'!$S$11-'疲劳值&amp;地图信息'!$S$10)*'疲劳值&amp;地图信息'!$R$13)/BM350</f>
        <v>51.371477246638619</v>
      </c>
      <c r="BO350" s="14">
        <f>INDEX(其他调用!$M$5:$M$404,MATCH(BL350,其他调用!$B$5:$B$404,0))*0.6</f>
        <v>60</v>
      </c>
      <c r="BP350" s="14">
        <f>IF(BO350&gt;SUM('疲劳值&amp;地图信息'!$S$10:$S$12),('疲劳值&amp;地图信息'!$S$10*'疲劳值&amp;地图信息'!$R$10+'疲劳值&amp;地图信息'!$S$11*'疲劳值&amp;地图信息'!$R$11+'疲劳值&amp;地图信息'!$S$12*'疲劳值&amp;地图信息'!$R$12+(BO350-'疲劳值&amp;地图信息'!$S$12-'疲劳值&amp;地图信息'!$S$11-'疲劳值&amp;地图信息'!$S$10)*'疲劳值&amp;地图信息'!$R$13)/BO350,('疲劳值&amp;地图信息'!$S$10*'疲劳值&amp;地图信息'!$R$10+'疲劳值&amp;地图信息'!$S$11*'疲劳值&amp;地图信息'!$R$11+'疲劳值&amp;地图信息'!$S$12*'疲劳值&amp;地图信息'!$R$12+(BO350-'疲劳值&amp;地图信息'!$S$12-'疲劳值&amp;地图信息'!$S$11-'疲劳值&amp;地图信息'!$S$10)*'疲劳值&amp;地图信息'!$R$13)/BO350)</f>
        <v>44.158136341605953</v>
      </c>
      <c r="BQ350" s="14">
        <f t="shared" si="629"/>
        <v>20</v>
      </c>
      <c r="BR350" s="14">
        <f>('疲劳值&amp;地图信息'!$S$10*'疲劳值&amp;地图信息'!$R$10+($BQ350-'疲劳值&amp;地图信息'!$S$10)*'疲劳值&amp;地图信息'!$R$11)/$BQ350</f>
        <v>32.067203015074995</v>
      </c>
      <c r="CF350" s="14">
        <v>345</v>
      </c>
      <c r="CG350" s="51">
        <f t="shared" si="536"/>
        <v>17011</v>
      </c>
      <c r="CH350" s="51">
        <f t="shared" si="537"/>
        <v>1037</v>
      </c>
      <c r="CI350" s="51">
        <f>INT(SUMPRODUCT($N350:$R350,$BA350:$BE350)/SUM($BA350:$BE350)/10000*$BX$7*$BZ$34/'疲劳值&amp;地图信息'!$R$10*$BY$53)</f>
        <v>3390</v>
      </c>
      <c r="CJ350" s="50">
        <f t="shared" si="538"/>
        <v>0.7934975277544547</v>
      </c>
      <c r="CK350" s="50">
        <f t="shared" si="539"/>
        <v>4.8372049631495474E-2</v>
      </c>
      <c r="CL350" s="50">
        <f t="shared" si="540"/>
        <v>0.15813042261404983</v>
      </c>
      <c r="CM350" s="14">
        <f t="shared" si="541"/>
        <v>18636</v>
      </c>
      <c r="CN350" s="14">
        <f t="shared" si="542"/>
        <v>1809</v>
      </c>
      <c r="CO350" s="14">
        <f>INT(SUMPRODUCT($U350:$Y350,$BA350:$BE350)/SUM($BA350:$BE350)/10000*$BX$7*$BZ$34/'疲劳值&amp;地图信息'!$R$10*$BY$54)</f>
        <v>6520</v>
      </c>
      <c r="CP350" s="50">
        <f t="shared" si="543"/>
        <v>0.69111811607639528</v>
      </c>
      <c r="CQ350" s="50">
        <f t="shared" si="544"/>
        <v>6.7086964583719641E-2</v>
      </c>
      <c r="CR350" s="50">
        <f t="shared" si="545"/>
        <v>0.24179491933988503</v>
      </c>
      <c r="CS350" s="14">
        <f t="shared" si="546"/>
        <v>20332</v>
      </c>
      <c r="CT350" s="14">
        <f t="shared" si="547"/>
        <v>3280</v>
      </c>
      <c r="CU350" s="14">
        <f>INT(SUMPRODUCT($AB350:$AF350,$BA350:$BE350)/SUM($BA350:$BE350)/10000*$BX$7*$BZ$34/'疲劳值&amp;地图信息'!$R$10*$BY$55)</f>
        <v>8869</v>
      </c>
      <c r="CV350" s="50">
        <f t="shared" si="548"/>
        <v>0.62596594932422034</v>
      </c>
      <c r="CW350" s="50">
        <f t="shared" si="549"/>
        <v>0.10098211261968536</v>
      </c>
      <c r="CX350" s="50">
        <f t="shared" si="550"/>
        <v>0.27305193805609435</v>
      </c>
      <c r="CY350" s="14">
        <f t="shared" si="551"/>
        <v>24103</v>
      </c>
      <c r="CZ350" s="14">
        <f t="shared" si="552"/>
        <v>8385</v>
      </c>
      <c r="DA350" s="14">
        <f>INT(SUMPRODUCT($AI350:$AM350,$BA350:$BE350)/SUM($BA350:$BE350)/10000*$BX$7*$BZ$34/'疲劳值&amp;地图信息'!$R$10*$BY$56)</f>
        <v>13376</v>
      </c>
      <c r="DB350" s="50">
        <f t="shared" si="553"/>
        <v>0.52553200767486485</v>
      </c>
      <c r="DC350" s="50">
        <f t="shared" si="554"/>
        <v>0.18282312925170069</v>
      </c>
      <c r="DD350" s="50">
        <f t="shared" si="555"/>
        <v>0.29164486307343451</v>
      </c>
      <c r="DE350" s="14">
        <f t="shared" si="556"/>
        <v>24864</v>
      </c>
      <c r="DF350" s="14">
        <f t="shared" si="557"/>
        <v>14444</v>
      </c>
      <c r="DG350" s="14">
        <f>INT(SUMPRODUCT($AP350:$AT350,$BA350:$BE350)/SUM($BA350:$BE350)/10000*$BX$7*$BZ$34/'疲劳值&amp;地图信息'!$R$10*$BY$57)</f>
        <v>17852</v>
      </c>
      <c r="DH350" s="50">
        <f t="shared" si="558"/>
        <v>0.43498950314905527</v>
      </c>
      <c r="DI350" s="50">
        <f t="shared" si="559"/>
        <v>0.25269419174247726</v>
      </c>
      <c r="DJ350" s="50">
        <f t="shared" si="560"/>
        <v>0.31231630510846747</v>
      </c>
      <c r="DL350" s="14">
        <f t="shared" si="631"/>
        <v>21438</v>
      </c>
      <c r="DM350" s="14">
        <f t="shared" si="632"/>
        <v>26965</v>
      </c>
      <c r="DN350" s="14">
        <f t="shared" si="633"/>
        <v>32481</v>
      </c>
      <c r="DO350" s="14">
        <f t="shared" si="634"/>
        <v>45864</v>
      </c>
      <c r="DP350" s="14">
        <f t="shared" si="635"/>
        <v>57160</v>
      </c>
      <c r="DQ350" s="14">
        <f t="shared" si="636"/>
        <v>1483011</v>
      </c>
      <c r="DT350" s="14">
        <f t="shared" si="630"/>
        <v>235575</v>
      </c>
      <c r="DU350" s="50">
        <f t="shared" si="532"/>
        <v>0.13707489761932193</v>
      </c>
      <c r="DW350" s="14">
        <f t="shared" si="561"/>
        <v>1718586</v>
      </c>
      <c r="EB350" s="14">
        <v>345</v>
      </c>
      <c r="EC350" s="51">
        <f t="shared" si="562"/>
        <v>28352</v>
      </c>
      <c r="ED350" s="51">
        <f t="shared" si="563"/>
        <v>1728</v>
      </c>
      <c r="EE350" s="51">
        <f>INT(SUMPRODUCT($N350:$R350,$BF350:$BJ350)/SUM($BF350:$BJ350)/10000*$BX$7*$BZ$46/'疲劳值&amp;地图信息'!$R$10*$BY$53)</f>
        <v>455</v>
      </c>
      <c r="EF350" s="50">
        <f t="shared" si="564"/>
        <v>0.92850826919927953</v>
      </c>
      <c r="EG350" s="50">
        <f t="shared" si="565"/>
        <v>5.6590797445554279E-2</v>
      </c>
      <c r="EH350" s="50">
        <f t="shared" si="566"/>
        <v>1.4900933355166202E-2</v>
      </c>
      <c r="EI350" s="51">
        <f t="shared" si="567"/>
        <v>31060</v>
      </c>
      <c r="EJ350" s="51">
        <f t="shared" si="568"/>
        <v>3015</v>
      </c>
      <c r="EK350" s="14">
        <f>INT(SUMPRODUCT($U350:$Y350,$BF350:$BJ350)/SUM($BF350:$BJ350)/10000*$BX$7*$BZ$46/'疲劳值&amp;地图信息'!$R$10*$BY$54)</f>
        <v>875</v>
      </c>
      <c r="EL350" s="50">
        <f t="shared" si="569"/>
        <v>0.88869814020028615</v>
      </c>
      <c r="EM350" s="50">
        <f t="shared" si="570"/>
        <v>8.6266094420600861E-2</v>
      </c>
      <c r="EN350" s="50">
        <f t="shared" si="571"/>
        <v>2.503576537911302E-2</v>
      </c>
      <c r="EO350" s="51">
        <f t="shared" si="572"/>
        <v>33887</v>
      </c>
      <c r="EP350" s="51">
        <f t="shared" si="573"/>
        <v>5467</v>
      </c>
      <c r="EQ350" s="14">
        <f>INT(SUMPRODUCT($AB350:$AF350,$BF350:$BJ350)/SUM($BF350:$BJ350)/10000*$BX$7*$BZ$46/'疲劳值&amp;地图信息'!$R$10*$BY$55)</f>
        <v>1188</v>
      </c>
      <c r="ER350" s="50">
        <f t="shared" si="574"/>
        <v>0.83584924276059391</v>
      </c>
      <c r="ES350" s="50">
        <f t="shared" si="575"/>
        <v>0.13484781214542943</v>
      </c>
      <c r="ET350" s="50">
        <f t="shared" si="576"/>
        <v>2.9302945093976619E-2</v>
      </c>
      <c r="EU350" s="51">
        <f t="shared" si="577"/>
        <v>40173</v>
      </c>
      <c r="EV350" s="51">
        <f t="shared" si="578"/>
        <v>13976</v>
      </c>
      <c r="EW350" s="14">
        <f>INT(SUMPRODUCT($AI350:$AM350,$BF350:$BJ350)/SUM($BF350:$BJ350)/10000*$BX$7*$BZ$46/'疲劳值&amp;地图信息'!$R$10*$BY$56)</f>
        <v>1783</v>
      </c>
      <c r="EX350" s="50">
        <f t="shared" si="579"/>
        <v>0.71824715726239008</v>
      </c>
      <c r="EY350" s="50">
        <f t="shared" si="580"/>
        <v>0.24987484802975041</v>
      </c>
      <c r="EZ350" s="50">
        <f t="shared" si="581"/>
        <v>3.1877994707859542E-2</v>
      </c>
      <c r="FA350" s="51">
        <f t="shared" si="582"/>
        <v>41441</v>
      </c>
      <c r="FB350" s="51">
        <f t="shared" si="583"/>
        <v>24074</v>
      </c>
      <c r="FC350" s="14">
        <f>INT(SUMPRODUCT($AP350:$AT350,$BF350:$BJ350)/SUM($BF350:$BJ350)/10000*$BX$7*$BZ$46/'疲劳值&amp;地图信息'!$R$10*$BY$57)</f>
        <v>2377</v>
      </c>
      <c r="FD350" s="50">
        <f t="shared" si="584"/>
        <v>0.61039592293642841</v>
      </c>
      <c r="FE350" s="50">
        <f t="shared" si="585"/>
        <v>0.3545925882283627</v>
      </c>
      <c r="FF350" s="50">
        <f t="shared" si="586"/>
        <v>3.5011488835208861E-2</v>
      </c>
      <c r="FH350" s="14">
        <f t="shared" si="587"/>
        <v>30535</v>
      </c>
      <c r="FI350" s="14">
        <f t="shared" si="588"/>
        <v>34950</v>
      </c>
      <c r="FJ350" s="14">
        <f t="shared" si="589"/>
        <v>40542</v>
      </c>
      <c r="FK350" s="14">
        <f t="shared" si="590"/>
        <v>55932</v>
      </c>
      <c r="FL350" s="14">
        <f t="shared" si="591"/>
        <v>67892</v>
      </c>
      <c r="FM350" s="14">
        <f t="shared" si="592"/>
        <v>3587009</v>
      </c>
      <c r="FP350" s="14">
        <f t="shared" si="593"/>
        <v>334150</v>
      </c>
      <c r="FQ350" s="50">
        <f t="shared" si="533"/>
        <v>8.5217151357545054E-2</v>
      </c>
      <c r="FS350" s="14">
        <f t="shared" si="594"/>
        <v>3921159</v>
      </c>
      <c r="FX350" s="14">
        <v>345</v>
      </c>
      <c r="FY350" s="51">
        <f t="shared" si="595"/>
        <v>39694</v>
      </c>
      <c r="FZ350" s="51">
        <f t="shared" si="596"/>
        <v>1728</v>
      </c>
      <c r="GA350" s="51">
        <f>INT(SUMPRODUCT($N350:$R350,$BF350:$BJ350)/SUM($BF350:$BJ350)/10000*$BX$7*$BZ$46/'疲劳值&amp;地图信息'!$R$10*$BY$53)</f>
        <v>455</v>
      </c>
      <c r="GB350" s="50">
        <f t="shared" si="597"/>
        <v>0.94787114645270676</v>
      </c>
      <c r="GC350" s="50">
        <f t="shared" si="598"/>
        <v>4.1263700838168924E-2</v>
      </c>
      <c r="GD350" s="50">
        <f t="shared" si="599"/>
        <v>1.086515270912434E-2</v>
      </c>
      <c r="GE350" s="51">
        <f t="shared" si="600"/>
        <v>43484</v>
      </c>
      <c r="GF350" s="51">
        <f t="shared" si="601"/>
        <v>3015</v>
      </c>
      <c r="GG350" s="14">
        <f>INT(SUMPRODUCT($U350:$Y350,$BF350:$BJ350)/SUM($BF350:$BJ350)/10000*$BX$7*$BZ$46/'疲劳值&amp;地图信息'!$R$10*$BY$54)</f>
        <v>875</v>
      </c>
      <c r="GH350" s="50">
        <f t="shared" si="602"/>
        <v>0.91788744881158446</v>
      </c>
      <c r="GI350" s="50">
        <f t="shared" si="603"/>
        <v>6.3642504327268118E-2</v>
      </c>
      <c r="GJ350" s="50">
        <f t="shared" si="604"/>
        <v>1.8470046861147466E-2</v>
      </c>
      <c r="GK350" s="51">
        <f t="shared" si="605"/>
        <v>47443</v>
      </c>
      <c r="GL350" s="51">
        <f t="shared" si="606"/>
        <v>5467</v>
      </c>
      <c r="GM350" s="14">
        <f>INT(SUMPRODUCT($AB350:$AF350,$BF350:$BJ350)/SUM($BF350:$BJ350)/10000*$BX$7*$BZ$46/'疲劳值&amp;地图信息'!$R$10*$BY$55)</f>
        <v>1188</v>
      </c>
      <c r="GN350" s="50">
        <f t="shared" si="607"/>
        <v>0.8769825132167548</v>
      </c>
      <c r="GO350" s="50">
        <f t="shared" si="608"/>
        <v>0.10105734038226921</v>
      </c>
      <c r="GP350" s="50">
        <f t="shared" si="609"/>
        <v>2.1960146400976006E-2</v>
      </c>
      <c r="GQ350" s="51">
        <f t="shared" si="610"/>
        <v>56242</v>
      </c>
      <c r="GR350" s="51">
        <f t="shared" si="611"/>
        <v>13976</v>
      </c>
      <c r="GS350" s="14">
        <f>INT(SUMPRODUCT($AI350:$AM350,$BF350:$BJ350)/SUM($BF350:$BJ350)/10000*$BX$7*$BZ$46/'疲劳值&amp;地图信息'!$R$10*$BY$56)</f>
        <v>1783</v>
      </c>
      <c r="GT350" s="50">
        <f t="shared" si="612"/>
        <v>0.7811280398883349</v>
      </c>
      <c r="GU350" s="50">
        <f t="shared" si="613"/>
        <v>0.19410841516090055</v>
      </c>
      <c r="GV350" s="50">
        <f t="shared" si="614"/>
        <v>2.4763544950764573E-2</v>
      </c>
      <c r="GW350" s="51">
        <f t="shared" si="615"/>
        <v>58017</v>
      </c>
      <c r="GX350" s="51">
        <f t="shared" si="616"/>
        <v>24074</v>
      </c>
      <c r="GY350" s="14">
        <f>INT(SUMPRODUCT($AP350:$AT350,$BF350:$BJ350)/SUM($BF350:$BJ350)/10000*$BX$7*$BZ$46/'疲劳值&amp;地图信息'!$R$10*$BY$57)</f>
        <v>2377</v>
      </c>
      <c r="GZ350" s="50">
        <f t="shared" si="617"/>
        <v>0.68685182554340107</v>
      </c>
      <c r="HA350" s="50">
        <f t="shared" si="618"/>
        <v>0.28500734005777334</v>
      </c>
      <c r="HB350" s="50">
        <f t="shared" si="619"/>
        <v>2.8140834398825591E-2</v>
      </c>
      <c r="HD350" s="14">
        <f t="shared" si="620"/>
        <v>41877</v>
      </c>
      <c r="HE350" s="14">
        <f t="shared" si="621"/>
        <v>47374</v>
      </c>
      <c r="HF350" s="14">
        <f t="shared" si="622"/>
        <v>54098</v>
      </c>
      <c r="HG350" s="14">
        <f t="shared" si="623"/>
        <v>72001</v>
      </c>
      <c r="HH350" s="14">
        <f t="shared" si="624"/>
        <v>84468</v>
      </c>
      <c r="HI350" s="14">
        <f t="shared" si="625"/>
        <v>4859850</v>
      </c>
      <c r="HL350" s="14">
        <f t="shared" si="626"/>
        <v>430050</v>
      </c>
      <c r="HM350" s="50">
        <f t="shared" si="534"/>
        <v>8.1296432824817105E-2</v>
      </c>
      <c r="HO350" s="14">
        <f t="shared" si="627"/>
        <v>5289900</v>
      </c>
    </row>
    <row r="351" spans="11:223" x14ac:dyDescent="0.2">
      <c r="K351" s="14">
        <v>346</v>
      </c>
      <c r="L351" s="12">
        <f>求节点(节奏总纲!D$4:D$163,标准城池设计!AB$4:AB$163,$K351)*求节点(节奏总纲!D$4:D$163,攻城基础信息!$AC$5:$AC$164,$K351)</f>
        <v>835770.37882937724</v>
      </c>
      <c r="M351" s="12">
        <f>INDEX(其他调用!$AA$5:$AA$404,MATCH(K351,其他调用!$X$5:$X$404,0))*MIN(INDEX(其他调用!$AH$5:$AH$364,MATCH('征服点（新）'!K351,其他调用!$AG$5:$AG$364,0),1)/INDEX(其他调用!$AJ$5:$AJ$364,MATCH(K351,其他调用!$AG$5:$AG$364,0),0),5)*求节点(节奏总纲!D$4:D$163,攻城基础信息!$AC$5:$AC$164,$K351)</f>
        <v>50821.766080885463</v>
      </c>
      <c r="N351" s="12">
        <f>MIN(INDEX(其他调用!$AH$5:$AH$364,MATCH($K351,其他调用!$AG$5:$AG$364,0),1)/INDEX(其他调用!AH$5:AH$364,MATCH($K351,其他调用!$AG$5:$AG$364,0),0),1)*INDEX(其他调用!Y$5:Y$404,MATCH($K351,其他调用!$X$5:$X$404,0),0)</f>
        <v>43298.362210168401</v>
      </c>
      <c r="O351" s="12">
        <f>MIN(INDEX(其他调用!$AH$5:$AH$364,MATCH($K351,其他调用!$AG$5:$AG$364,0),1)/INDEX(其他调用!AI$5:AI$364,MATCH($K351,其他调用!$AG$5:$AG$364,0),0),1)*INDEX(其他调用!Z$5:Z$404,MATCH($K351,其他调用!$X$5:$X$404,0),0)</f>
        <v>25476.200035882706</v>
      </c>
      <c r="P351" s="12">
        <f>MIN(INDEX(其他调用!$AH$5:$AH$364,MATCH($K351,其他调用!$AG$5:$AG$364,0),1)/INDEX(其他调用!AJ$5:AJ$364,MATCH($K351,其他调用!$AG$5:$AG$364,0),0),1)*INDEX(其他调用!AA$5:AA$404,MATCH($K351,其他调用!$X$5:$X$404,0),0)</f>
        <v>14520.504594538714</v>
      </c>
      <c r="Q351" s="12">
        <f>MIN(INDEX(其他调用!$AH$5:$AH$364,MATCH($K351,其他调用!$AG$5:$AG$364,0),1)/INDEX(其他调用!AK$5:AK$364,MATCH($K351,其他调用!$AG$5:$AG$364,0),0),1)*INDEX(其他调用!AB$5:AB$404,MATCH($K351,其他调用!$X$5:$X$404,0),0)</f>
        <v>5971.8707300190536</v>
      </c>
      <c r="R351" s="12">
        <f>MIN(INDEX(其他调用!$AH$5:$AH$364,MATCH($K351,其他调用!$AG$5:$AG$364,0),1)/INDEX(其他调用!AL$5:AL$364,MATCH($K351,其他调用!$AG$5:$AG$364,0),0),1)*INDEX(其他调用!AC$5:AC$404,MATCH($K351,其他调用!$X$5:$X$404,0),0)</f>
        <v>3749.7496974209866</v>
      </c>
      <c r="S351" s="12">
        <f>求节点(节奏总纲!D$4:D$163,标准城池设计!AC$4:AC$163,$K351)*求节点(节奏总纲!D$4:D$163,攻城基础信息!$AD$5:$AD$164,$K351)</f>
        <v>915472.37553735252</v>
      </c>
      <c r="T351" s="12">
        <f>INDEX(其他调用!$AA$5:$AA$404,MATCH($K351,其他调用!$X$5:$X$404,0))*MIN(INDEX(其他调用!AI$5:AI$364,MATCH($K351,其他调用!$AG$5:$AG$364,0),1)/INDEX(其他调用!$AJ$5:$AJ$364,MATCH($K351,其他调用!$AG$5:$AG$364,0),0),5)*求节点(节奏总纲!D$4:D$163,攻城基础信息!$AD$5:$AD$164,$K351)</f>
        <v>88689.41061896125</v>
      </c>
      <c r="U351" s="12">
        <f>MIN(INDEX(其他调用!$AI$5:$AI$364,MATCH($K351,其他调用!$AG$5:$AG$364,0),1)/INDEX(其他调用!AH$5:AH$364,MATCH($K351,其他调用!$AG$5:$AG$364,0),0),1)*INDEX(其他调用!Y$5:Y$404,MATCH($K351,其他调用!$X$5:$X$404,0),0)</f>
        <v>43298.362210168401</v>
      </c>
      <c r="V351" s="12">
        <f>MIN(INDEX(其他调用!$AI$5:$AI$364,MATCH($K351,其他调用!$AG$5:$AG$364,0),1)/INDEX(其他调用!AI$5:AI$364,MATCH($K351,其他调用!$AG$5:$AG$364,0),0),1)*INDEX(其他调用!Z$5:Z$404,MATCH($K351,其他调用!$X$5:$X$404,0),0)</f>
        <v>44458.690443719228</v>
      </c>
      <c r="W351" s="12">
        <f>MIN(INDEX(其他调用!$AI$5:$AI$364,MATCH($K351,其他调用!$AG$5:$AG$364,0),1)/INDEX(其他调用!AJ$5:AJ$364,MATCH($K351,其他调用!$AG$5:$AG$364,0),0),1)*INDEX(其他调用!AA$5:AA$404,MATCH($K351,其他调用!$X$5:$X$404,0),0)</f>
        <v>25339.831605417516</v>
      </c>
      <c r="X351" s="12">
        <f>MIN(INDEX(其他调用!$AI$5:$AI$364,MATCH($K351,其他调用!$AG$5:$AG$364,0),1)/INDEX(其他调用!AK$5:AK$364,MATCH($K351,其他调用!$AG$5:$AG$364,0),0),1)*INDEX(其他调用!AB$5:AB$404,MATCH($K351,其他调用!$X$5:$X$404,0),0)</f>
        <v>10421.552342259489</v>
      </c>
      <c r="Y351" s="12">
        <f>MIN(INDEX(其他调用!$AI$5:$AI$364,MATCH($K351,其他调用!$AG$5:$AG$364,0),1)/INDEX(其他调用!AL$5:AL$364,MATCH($K351,其他调用!$AG$5:$AG$364,0),0),1)*INDEX(其他调用!AC$5:AC$404,MATCH($K351,其他调用!$X$5:$X$404,0),0)</f>
        <v>6543.7137722369635</v>
      </c>
      <c r="Z351" s="12">
        <f>求节点(节奏总纲!D$4:D$163,标准城池设计!AD$4:AD$163,$K351)*求节点(节奏总纲!D$4:D$163,攻城基础信息!$AE$5:$AE$164,$K351)</f>
        <v>998973.54769311985</v>
      </c>
      <c r="AA351" s="12">
        <f>INDEX(其他调用!$AA$5:$AA$404,MATCH($K351,其他调用!$X$5:$X$404,0))*MIN(INDEX(其他调用!AJ$5:AJ$364,MATCH($K351,其他调用!$AG$5:$AG$364,0),1)/INDEX(其他调用!$AJ$5:$AJ$364,MATCH($K351,其他调用!$AG$5:$AG$364,0),0),5)*求节点(节奏总纲!D$4:D$163,攻城基础信息!$AE$5:$AE$164,$K351)</f>
        <v>161026.20846797156</v>
      </c>
      <c r="AB351" s="12">
        <f>MIN(INDEX(其他调用!$AJ$5:$AJ$364,MATCH($K351,其他调用!$AG$5:$AG$364,0),1)/INDEX(其他调用!AH$5:AH$364,MATCH($K351,其他调用!$AG$5:$AG$364,0),0),1)*INDEX(其他调用!Y$5:Y$404,MATCH($K351,其他调用!$X$5:$X$404,0),0)</f>
        <v>43298.362210168401</v>
      </c>
      <c r="AC351" s="12">
        <f>MIN(INDEX(其他调用!$AJ$5:$AJ$364,MATCH($K351,其他调用!$AG$5:$AG$364,0),1)/INDEX(其他调用!AI$5:AI$364,MATCH($K351,其他调用!$AG$5:$AG$364,0),0),1)*INDEX(其他调用!Z$5:Z$404,MATCH($K351,其他调用!$X$5:$X$404,0),0)</f>
        <v>44458.690443719228</v>
      </c>
      <c r="AD351" s="12">
        <f>MIN(INDEX(其他调用!$AJ$5:$AJ$364,MATCH($K351,其他调用!$AG$5:$AG$364,0),1)/INDEX(其他调用!AJ$5:AJ$364,MATCH($K351,其他调用!$AG$5:$AG$364,0),0),1)*INDEX(其他调用!AA$5:AA$404,MATCH($K351,其他调用!$X$5:$X$404,0),0)</f>
        <v>46007.488133706189</v>
      </c>
      <c r="AE351" s="12">
        <f>MIN(INDEX(其他调用!$AJ$5:$AJ$364,MATCH($K351,其他调用!$AG$5:$AG$364,0),1)/INDEX(其他调用!AK$5:AK$364,MATCH($K351,其他调用!$AG$5:$AG$364,0),0),1)*INDEX(其他调用!AB$5:AB$404,MATCH($K351,其他调用!$X$5:$X$404,0),0)</f>
        <v>18921.571902584918</v>
      </c>
      <c r="AF351" s="12">
        <f>MIN(INDEX(其他调用!$AJ$5:$AJ$364,MATCH($K351,其他调用!$AG$5:$AG$364,0),1)/INDEX(其他调用!AL$5:AL$364,MATCH($K351,其他调用!$AG$5:$AG$364,0),0),1)*INDEX(其他调用!AC$5:AC$404,MATCH($K351,其他调用!$X$5:$X$404,0),0)</f>
        <v>11880.893228280054</v>
      </c>
      <c r="AG351" s="12">
        <f>求节点(节奏总纲!D$4:D$163,标准城池设计!AE$4:AE$163,$K351)*求节点(节奏总纲!D$4:D$163,攻城基础信息!$AF$5:$AF$164,$K351)</f>
        <v>1183358.9917642367</v>
      </c>
      <c r="AH351" s="12">
        <f>INDEX(其他调用!$AA$5:$AA$404,MATCH($K351,其他调用!$X$5:$X$404,0))*MIN(INDEX(其他调用!AK$5:AK$364,MATCH($K351,其他调用!$AG$5:$AG$364,0),1)/INDEX(其他调用!$AJ$5:$AJ$364,MATCH($K351,其他调用!$AG$5:$AG$364,0),0),5)*求节点(节奏总纲!D$4:D$163,攻城基础信息!$AF$5:$AF$164,$K351)</f>
        <v>410618.29758152936</v>
      </c>
      <c r="AI351" s="12">
        <f>MIN(INDEX(其他调用!$AK$5:$AK$364,MATCH($K351,其他调用!$AG$5:$AG$364,0),1)/INDEX(其他调用!AH$5:AH$364,MATCH($K351,其他调用!$AG$5:$AG$364,0),0),1)*INDEX(其他调用!Y$5:Y$404,MATCH($K351,其他调用!$X$5:$X$404,0),0)</f>
        <v>43298.362210168401</v>
      </c>
      <c r="AJ351" s="12">
        <f>MIN(INDEX(其他调用!$AK$5:$AK$364,MATCH($K351,其他调用!$AG$5:$AG$364,0),1)/INDEX(其他调用!AI$5:AI$364,MATCH($K351,其他调用!$AG$5:$AG$364,0),0),1)*INDEX(其他调用!Z$5:Z$404,MATCH($K351,其他调用!$X$5:$X$404,0),0)</f>
        <v>44458.690443719228</v>
      </c>
      <c r="AK351" s="12">
        <f>MIN(INDEX(其他调用!$AK$5:$AK$364,MATCH($K351,其他调用!$AG$5:$AG$364,0),1)/INDEX(其他调用!AJ$5:AJ$364,MATCH($K351,其他调用!$AG$5:$AG$364,0),0),1)*INDEX(其他调用!AA$5:AA$404,MATCH($K351,其他调用!$X$5:$X$404,0),0)</f>
        <v>46007.488133706189</v>
      </c>
      <c r="AL351" s="12">
        <f>MIN(INDEX(其他调用!$AK$5:$AK$364,MATCH($K351,其他调用!$AG$5:$AG$364,0),1)/INDEX(其他调用!AK$5:AK$364,MATCH($K351,其他调用!$AG$5:$AG$364,0),0),1)*INDEX(其他调用!AB$5:AB$404,MATCH($K351,其他调用!$X$5:$X$404,0),0)</f>
        <v>48250.180614240177</v>
      </c>
      <c r="AM351" s="12">
        <f>MIN(INDEX(其他调用!$AK$5:$AK$364,MATCH($K351,其他调用!$AG$5:$AG$364,0),1)/INDEX(其他调用!AL$5:AL$364,MATCH($K351,其他调用!$AG$5:$AG$364,0),0),1)*INDEX(其他调用!AC$5:AC$404,MATCH($K351,其他调用!$X$5:$X$404,0),0)</f>
        <v>30296.385896179272</v>
      </c>
      <c r="AN351" s="12">
        <f>求节点(节奏总纲!D$4:D$163,标准城池设计!AF$4:AF$163,$K351)*求节点(节奏总纲!D$4:D$163,攻城基础信息!$AG$5:$AG$164,$K351)</f>
        <v>1220655.5104822153</v>
      </c>
      <c r="AO351" s="12">
        <f>INDEX(其他调用!$AA$5:$AA$404,MATCH($K351,其他调用!$X$5:$X$404,0))*MIN(INDEX(其他调用!AL$5:AL$364,MATCH($K351,其他调用!$AG$5:$AG$364,0),1)/INDEX(其他调用!$AJ$5:$AJ$364,MATCH($K351,其他调用!$AG$5:$AG$364,0),0),5)*求节点(节奏总纲!D$4:D$163,攻城基础信息!$AG$5:$AG$164,$K351)</f>
        <v>706654.52481716627</v>
      </c>
      <c r="AP351" s="12">
        <f>MIN(INDEX(其他调用!$AL$5:$AL$364,MATCH($K351,其他调用!$AG$5:$AG$364,0),1)/INDEX(其他调用!AH$5:AH$364,MATCH($K351,其他调用!$AG$5:$AG$364,0),0),1)*INDEX(其他调用!Y$5:Y$404,MATCH($K351,其他调用!$X$5:$X$404,0),0)</f>
        <v>43298.362210168401</v>
      </c>
      <c r="AQ351" s="12">
        <f>MIN(INDEX(其他调用!$AL$5:$AL$364,MATCH($K351,其他调用!$AG$5:$AG$364,0),1)/INDEX(其他调用!AI$5:AI$364,MATCH($K351,其他调用!$AG$5:$AG$364,0),0),1)*INDEX(其他调用!Z$5:Z$404,MATCH($K351,其他调用!$X$5:$X$404,0),0)</f>
        <v>44458.690443719228</v>
      </c>
      <c r="AR351" s="12">
        <f>MIN(INDEX(其他调用!$AL$5:$AL$364,MATCH($K351,其他调用!$AG$5:$AG$364,0),1)/INDEX(其他调用!AJ$5:AJ$364,MATCH($K351,其他调用!$AG$5:$AG$364,0),0),1)*INDEX(其他调用!AA$5:AA$404,MATCH($K351,其他调用!$X$5:$X$404,0),0)</f>
        <v>46007.488133706189</v>
      </c>
      <c r="AS351" s="12">
        <f>MIN(INDEX(其他调用!$AL$5:$AL$364,MATCH($K351,其他调用!$AG$5:$AG$364,0),1)/INDEX(其他调用!AK$5:AK$364,MATCH($K351,其他调用!$AG$5:$AG$364,0),0),1)*INDEX(其他调用!AB$5:AB$404,MATCH($K351,其他调用!$X$5:$X$404,0),0)</f>
        <v>48250.180614240177</v>
      </c>
      <c r="AT351" s="12">
        <f>MIN(INDEX(其他调用!$AL$5:$AL$364,MATCH($K351,其他调用!$AG$5:$AG$364,0),1)/INDEX(其他调用!AL$5:AL$364,MATCH($K351,其他调用!$AG$5:$AG$364,0),0),1)*INDEX(其他调用!AC$5:AC$404,MATCH($K351,其他调用!$X$5:$X$404,0),0)</f>
        <v>52138.636551848322</v>
      </c>
      <c r="AV351" s="14">
        <f>IF(OR(AV$5="大R",AV$5="超R"),MAX(INDEX(其他调用!$H$5:$L$404,MATCH($K351,其他调用!$B$5:$B$404,0),MATCH(AV$5,其他调用!$H$4:$L$4,0))*120*0.85,2),INDEX(其他调用!$H$5:$L$404,MATCH($K351,其他调用!$B$5:$B$404,0),MATCH(AV$5,其他调用!$H$4:$L$4,0))*120*0.85)</f>
        <v>48.921801254999991</v>
      </c>
      <c r="AW351" s="14">
        <f>IF(OR(AW$5="大R",AW$5="超R"),MAX(INDEX(其他调用!$H$5:$L$404,MATCH($K351,其他调用!$B$5:$B$404,0),MATCH(AW$5,其他调用!$H$4:$L$4,0))*120*0.85,2),INDEX(其他调用!$H$5:$L$404,MATCH($K351,其他调用!$B$5:$B$404,0),MATCH(AW$5,其他调用!$H$4:$L$4,0))*120*0.85)</f>
        <v>48.237344010638395</v>
      </c>
      <c r="AX351" s="14">
        <f>IF(OR(AX$5="大R",AX$5="超R"),MAX(INDEX(其他调用!$H$5:$L$404,MATCH($K351,其他调用!$B$5:$B$404,0),MATCH(AX$5,其他调用!$H$4:$L$4,0))*120*0.85,2),INDEX(其他调用!$H$5:$L$404,MATCH($K351,其他调用!$B$5:$B$404,0),MATCH(AX$5,其他调用!$H$4:$L$4,0))*120*0.85)</f>
        <v>3.9376284143615998</v>
      </c>
      <c r="AY351" s="14">
        <f>IF(OR(AY$5="大R",AY$5="超R"),MAX(INDEX(其他调用!$H$5:$L$404,MATCH($K351,其他调用!$B$5:$B$404,0),MATCH(AY$5,其他调用!$H$4:$L$4,0))*120*0.85,2),INDEX(其他调用!$H$5:$L$404,MATCH($K351,其他调用!$B$5:$B$404,0),MATCH(AY$5,其他调用!$H$4:$L$4,0))*120*0.85)</f>
        <v>2</v>
      </c>
      <c r="AZ351" s="14">
        <f>IF(OR(AZ$5="大R",AZ$5="超R"),MAX(INDEX(其他调用!$H$5:$L$404,MATCH($K351,其他调用!$B$5:$B$404,0),MATCH(AZ$5,其他调用!$H$4:$L$4,0))*120*0.85,2),INDEX(其他调用!$H$5:$L$404,MATCH($K351,其他调用!$B$5:$B$404,0),MATCH(AZ$5,其他调用!$H$4:$L$4,0))*120*0.85)</f>
        <v>2</v>
      </c>
      <c r="BA351" s="14">
        <f>INDEX(其他调用!$H$5:$L$404,MATCH($K351,其他调用!$B$5:$B$404,0),MATCH(BA$5,其他调用!$H$4:$L$4,0))*INDEX(其他调用!$M$5:$M$404,MATCH($K351,其他调用!$B$5:$B$404,0))*0.6</f>
        <v>28.777530149999997</v>
      </c>
      <c r="BB351" s="14">
        <f>INDEX(其他调用!$H$5:$L$404,MATCH($K351,其他调用!$B$5:$B$404,0),MATCH(BB$5,其他调用!$H$4:$L$4,0))*INDEX(其他调用!$M$5:$M$404,MATCH($K351,其他调用!$B$5:$B$404,0))*0.6</f>
        <v>28.374908241551999</v>
      </c>
      <c r="BC351" s="14">
        <f>INDEX(其他调用!$H$5:$L$404,MATCH($K351,其他调用!$B$5:$B$404,0),MATCH(BC$5,其他调用!$H$4:$L$4,0))*INDEX(其他调用!$M$5:$M$404,MATCH($K351,其他调用!$B$5:$B$404,0))*0.6</f>
        <v>2.3162520084480001</v>
      </c>
      <c r="BD351" s="14">
        <f>INDEX(其他调用!$H$5:$L$404,MATCH($K351,其他调用!$B$5:$B$404,0),MATCH(BD$5,其他调用!$H$4:$L$4,0))*INDEX(其他调用!$M$5:$M$404,MATCH($K351,其他调用!$B$5:$B$404,0))*0.6</f>
        <v>0.4120776000000001</v>
      </c>
      <c r="BE351" s="14">
        <f>INDEX(其他调用!$H$5:$L$404,MATCH($K351,其他调用!$B$5:$B$404,0),MATCH(BE$5,其他调用!$H$4:$L$4,0))*INDEX(其他调用!$M$5:$M$404,MATCH($K351,其他调用!$B$5:$B$404,0))*0.6</f>
        <v>0.11923199999999998</v>
      </c>
      <c r="BF351" s="14">
        <f>IF(OR(BF$5="大R",BF$5="超R"),0,INDEX(其他调用!$H$5:$L$404,MATCH($K351,其他调用!$B$5:$B$404,0),MATCH(BF$5,其他调用!$H$4:$L$4,0))*50*0.4)</f>
        <v>9.5925100500000013</v>
      </c>
      <c r="BG351" s="14">
        <f>IF(OR(BG$5="大R",BG$5="超R"),0,INDEX(其他调用!$H$5:$L$404,MATCH($K351,其他调用!$B$5:$B$404,0),MATCH(BG$5,其他调用!$H$4:$L$4,0))*50*0.4)</f>
        <v>9.4583027471839998</v>
      </c>
      <c r="BH351" s="14">
        <f>IF(OR(BH$5="大R",BH$5="超R"),0,INDEX(其他调用!$H$5:$L$404,MATCH($K351,其他调用!$B$5:$B$404,0),MATCH(BH$5,其他调用!$H$4:$L$4,0))*50*0.4)</f>
        <v>0.77208400281600009</v>
      </c>
      <c r="BI351" s="14">
        <f>IF(OR(BI$5="大R",BI$5="超R"),0,INDEX(其他调用!$H$5:$L$404,MATCH($K351,其他调用!$B$5:$B$404,0),MATCH(BI$5,其他调用!$H$4:$L$4,0))*50*0.4)</f>
        <v>0</v>
      </c>
      <c r="BJ351" s="14">
        <f>IF(OR(BJ$5="大R",BJ$5="超R"),0,INDEX(其他调用!$H$5:$L$404,MATCH($K351,其他调用!$B$5:$B$404,0),MATCH(BJ$5,其他调用!$H$4:$L$4,0))*50*0.4)</f>
        <v>0</v>
      </c>
      <c r="BL351" s="14">
        <f t="shared" si="628"/>
        <v>346</v>
      </c>
      <c r="BM351" s="14">
        <f t="shared" si="535"/>
        <v>96</v>
      </c>
      <c r="BN351" s="14">
        <f>('疲劳值&amp;地图信息'!$S$10*'疲劳值&amp;地图信息'!$R$10+'疲劳值&amp;地图信息'!$S$11*'疲劳值&amp;地图信息'!$R$11+'疲劳值&amp;地图信息'!$S$12*'疲劳值&amp;地图信息'!$R$12+(BM351-'疲劳值&amp;地图信息'!$S$12-'疲劳值&amp;地图信息'!$S$11-'疲劳值&amp;地图信息'!$S$10)*'疲劳值&amp;地图信息'!$R$13)/BM351</f>
        <v>51.371477246638619</v>
      </c>
      <c r="BO351" s="14">
        <f>INDEX(其他调用!$M$5:$M$404,MATCH(BL351,其他调用!$B$5:$B$404,0))*0.6</f>
        <v>60</v>
      </c>
      <c r="BP351" s="14">
        <f>IF(BO351&gt;SUM('疲劳值&amp;地图信息'!$S$10:$S$12),('疲劳值&amp;地图信息'!$S$10*'疲劳值&amp;地图信息'!$R$10+'疲劳值&amp;地图信息'!$S$11*'疲劳值&amp;地图信息'!$R$11+'疲劳值&amp;地图信息'!$S$12*'疲劳值&amp;地图信息'!$R$12+(BO351-'疲劳值&amp;地图信息'!$S$12-'疲劳值&amp;地图信息'!$S$11-'疲劳值&amp;地图信息'!$S$10)*'疲劳值&amp;地图信息'!$R$13)/BO351,('疲劳值&amp;地图信息'!$S$10*'疲劳值&amp;地图信息'!$R$10+'疲劳值&amp;地图信息'!$S$11*'疲劳值&amp;地图信息'!$R$11+'疲劳值&amp;地图信息'!$S$12*'疲劳值&amp;地图信息'!$R$12+(BO351-'疲劳值&amp;地图信息'!$S$12-'疲劳值&amp;地图信息'!$S$11-'疲劳值&amp;地图信息'!$S$10)*'疲劳值&amp;地图信息'!$R$13)/BO351)</f>
        <v>44.158136341605953</v>
      </c>
      <c r="BQ351" s="14">
        <f t="shared" si="629"/>
        <v>20</v>
      </c>
      <c r="BR351" s="14">
        <f>('疲劳值&amp;地图信息'!$S$10*'疲劳值&amp;地图信息'!$R$10+($BQ351-'疲劳值&amp;地图信息'!$S$10)*'疲劳值&amp;地图信息'!$R$11)/$BQ351</f>
        <v>32.067203015074995</v>
      </c>
      <c r="CF351" s="14">
        <v>346</v>
      </c>
      <c r="CG351" s="51">
        <f t="shared" si="536"/>
        <v>17034</v>
      </c>
      <c r="CH351" s="51">
        <f t="shared" si="537"/>
        <v>1035</v>
      </c>
      <c r="CI351" s="51">
        <f>INT(SUMPRODUCT($N351:$R351,$BA351:$BE351)/SUM($BA351:$BE351)/10000*$BX$7*$BZ$34/'疲劳值&amp;地图信息'!$R$10*$BY$53)</f>
        <v>3391</v>
      </c>
      <c r="CJ351" s="50">
        <f t="shared" si="538"/>
        <v>0.7937558247903076</v>
      </c>
      <c r="CK351" s="50">
        <f t="shared" si="539"/>
        <v>4.8229263746505123E-2</v>
      </c>
      <c r="CL351" s="50">
        <f t="shared" si="540"/>
        <v>0.15801491146318733</v>
      </c>
      <c r="CM351" s="14">
        <f t="shared" si="541"/>
        <v>18658</v>
      </c>
      <c r="CN351" s="14">
        <f t="shared" si="542"/>
        <v>1807</v>
      </c>
      <c r="CO351" s="14">
        <f>INT(SUMPRODUCT($U351:$Y351,$BA351:$BE351)/SUM($BA351:$BE351)/10000*$BX$7*$BZ$34/'疲劳值&amp;地图信息'!$R$10*$BY$54)</f>
        <v>6522</v>
      </c>
      <c r="CP351" s="50">
        <f t="shared" si="543"/>
        <v>0.69136991884981658</v>
      </c>
      <c r="CQ351" s="50">
        <f t="shared" si="544"/>
        <v>6.6958165042427839E-2</v>
      </c>
      <c r="CR351" s="50">
        <f t="shared" si="545"/>
        <v>0.2416719161077556</v>
      </c>
      <c r="CS351" s="14">
        <f t="shared" si="546"/>
        <v>20360</v>
      </c>
      <c r="CT351" s="14">
        <f t="shared" si="547"/>
        <v>3281</v>
      </c>
      <c r="CU351" s="14">
        <f>INT(SUMPRODUCT($AB351:$AF351,$BA351:$BE351)/SUM($BA351:$BE351)/10000*$BX$7*$BZ$34/'疲劳值&amp;地图信息'!$R$10*$BY$55)</f>
        <v>8872</v>
      </c>
      <c r="CV351" s="50">
        <f t="shared" si="548"/>
        <v>0.6262110540399225</v>
      </c>
      <c r="CW351" s="50">
        <f t="shared" si="549"/>
        <v>0.10091348076154154</v>
      </c>
      <c r="CX351" s="50">
        <f t="shared" si="550"/>
        <v>0.27287546519853595</v>
      </c>
      <c r="CY351" s="14">
        <f t="shared" si="551"/>
        <v>24118</v>
      </c>
      <c r="CZ351" s="14">
        <f t="shared" si="552"/>
        <v>8368</v>
      </c>
      <c r="DA351" s="14">
        <f>INT(SUMPRODUCT($AI351:$AM351,$BA351:$BE351)/SUM($BA351:$BE351)/10000*$BX$7*$BZ$34/'疲劳值&amp;地图信息'!$R$10*$BY$56)</f>
        <v>13381</v>
      </c>
      <c r="DB351" s="50">
        <f t="shared" si="553"/>
        <v>0.525824666971897</v>
      </c>
      <c r="DC351" s="50">
        <f t="shared" si="554"/>
        <v>0.18244053458913817</v>
      </c>
      <c r="DD351" s="50">
        <f t="shared" si="555"/>
        <v>0.29173479843896483</v>
      </c>
      <c r="DE351" s="14">
        <f t="shared" si="556"/>
        <v>24878</v>
      </c>
      <c r="DF351" s="14">
        <f t="shared" si="557"/>
        <v>14402</v>
      </c>
      <c r="DG351" s="14">
        <f>INT(SUMPRODUCT($AP351:$AT351,$BA351:$BE351)/SUM($BA351:$BE351)/10000*$BX$7*$BZ$34/'疲劳值&amp;地图信息'!$R$10*$BY$57)</f>
        <v>17859</v>
      </c>
      <c r="DH351" s="50">
        <f t="shared" si="558"/>
        <v>0.43539438912126571</v>
      </c>
      <c r="DI351" s="50">
        <f t="shared" si="559"/>
        <v>0.252052013510912</v>
      </c>
      <c r="DJ351" s="50">
        <f t="shared" si="560"/>
        <v>0.31255359736782234</v>
      </c>
      <c r="DL351" s="14">
        <f t="shared" si="631"/>
        <v>21460</v>
      </c>
      <c r="DM351" s="14">
        <f t="shared" si="632"/>
        <v>26987</v>
      </c>
      <c r="DN351" s="14">
        <f t="shared" si="633"/>
        <v>32513</v>
      </c>
      <c r="DO351" s="14">
        <f t="shared" si="634"/>
        <v>45867</v>
      </c>
      <c r="DP351" s="14">
        <f t="shared" si="635"/>
        <v>57139</v>
      </c>
      <c r="DQ351" s="14">
        <f t="shared" si="636"/>
        <v>1484341</v>
      </c>
      <c r="DT351" s="14">
        <f t="shared" si="630"/>
        <v>235575</v>
      </c>
      <c r="DU351" s="50">
        <f t="shared" si="532"/>
        <v>0.13696889848108862</v>
      </c>
      <c r="DW351" s="14">
        <f t="shared" si="561"/>
        <v>1719916</v>
      </c>
      <c r="EB351" s="14">
        <v>346</v>
      </c>
      <c r="EC351" s="51">
        <f t="shared" si="562"/>
        <v>28390</v>
      </c>
      <c r="ED351" s="51">
        <f t="shared" si="563"/>
        <v>1726</v>
      </c>
      <c r="EE351" s="51">
        <f>INT(SUMPRODUCT($N351:$R351,$BF351:$BJ351)/SUM($BF351:$BJ351)/10000*$BX$7*$BZ$46/'疲劳值&amp;地图信息'!$R$10*$BY$53)</f>
        <v>455</v>
      </c>
      <c r="EF351" s="50">
        <f t="shared" si="564"/>
        <v>0.92865787838147262</v>
      </c>
      <c r="EG351" s="50">
        <f t="shared" si="565"/>
        <v>5.6458735402832749E-2</v>
      </c>
      <c r="EH351" s="50">
        <f t="shared" si="566"/>
        <v>1.4883386215694613E-2</v>
      </c>
      <c r="EI351" s="51">
        <f t="shared" si="567"/>
        <v>31097</v>
      </c>
      <c r="EJ351" s="51">
        <f t="shared" si="568"/>
        <v>3012</v>
      </c>
      <c r="EK351" s="14">
        <f>INT(SUMPRODUCT($U351:$Y351,$BF351:$BJ351)/SUM($BF351:$BJ351)/10000*$BX$7*$BZ$46/'疲劳值&amp;地图信息'!$R$10*$BY$54)</f>
        <v>875</v>
      </c>
      <c r="EL351" s="50">
        <f t="shared" si="569"/>
        <v>0.88889206494397444</v>
      </c>
      <c r="EM351" s="50">
        <f t="shared" si="570"/>
        <v>8.6096501257717811E-2</v>
      </c>
      <c r="EN351" s="50">
        <f t="shared" si="571"/>
        <v>2.5011433798307798E-2</v>
      </c>
      <c r="EO351" s="51">
        <f t="shared" si="572"/>
        <v>33933</v>
      </c>
      <c r="EP351" s="51">
        <f t="shared" si="573"/>
        <v>5469</v>
      </c>
      <c r="EQ351" s="14">
        <f>INT(SUMPRODUCT($AB351:$AF351,$BF351:$BJ351)/SUM($BF351:$BJ351)/10000*$BX$7*$BZ$46/'疲劳值&amp;地图信息'!$R$10*$BY$55)</f>
        <v>1189</v>
      </c>
      <c r="ER351" s="50">
        <f t="shared" si="574"/>
        <v>0.835973491660713</v>
      </c>
      <c r="ES351" s="50">
        <f t="shared" si="575"/>
        <v>0.13473430070705328</v>
      </c>
      <c r="ET351" s="50">
        <f t="shared" si="576"/>
        <v>2.9292207632233745E-2</v>
      </c>
      <c r="EU351" s="51">
        <f t="shared" si="577"/>
        <v>40197</v>
      </c>
      <c r="EV351" s="51">
        <f t="shared" si="578"/>
        <v>13948</v>
      </c>
      <c r="EW351" s="14">
        <f>INT(SUMPRODUCT($AI351:$AM351,$BF351:$BJ351)/SUM($BF351:$BJ351)/10000*$BX$7*$BZ$46/'疲劳值&amp;地图信息'!$R$10*$BY$56)</f>
        <v>1784</v>
      </c>
      <c r="EX351" s="50">
        <f t="shared" si="579"/>
        <v>0.71871479912031322</v>
      </c>
      <c r="EY351" s="50">
        <f t="shared" si="580"/>
        <v>0.24938761644227503</v>
      </c>
      <c r="EZ351" s="50">
        <f t="shared" si="581"/>
        <v>3.1897584437411718E-2</v>
      </c>
      <c r="FA351" s="51">
        <f t="shared" si="582"/>
        <v>41464</v>
      </c>
      <c r="FB351" s="51">
        <f t="shared" si="583"/>
        <v>24004</v>
      </c>
      <c r="FC351" s="14">
        <f>INT(SUMPRODUCT($AP351:$AT351,$BF351:$BJ351)/SUM($BF351:$BJ351)/10000*$BX$7*$BZ$46/'疲劳值&amp;地图信息'!$R$10*$BY$57)</f>
        <v>2378</v>
      </c>
      <c r="FD351" s="50">
        <f t="shared" si="584"/>
        <v>0.61114877811514312</v>
      </c>
      <c r="FE351" s="50">
        <f t="shared" si="585"/>
        <v>0.35380125578516053</v>
      </c>
      <c r="FF351" s="50">
        <f t="shared" si="586"/>
        <v>3.5049966099696371E-2</v>
      </c>
      <c r="FH351" s="14">
        <f t="shared" si="587"/>
        <v>30571</v>
      </c>
      <c r="FI351" s="14">
        <f t="shared" si="588"/>
        <v>34984</v>
      </c>
      <c r="FJ351" s="14">
        <f t="shared" si="589"/>
        <v>40591</v>
      </c>
      <c r="FK351" s="14">
        <f t="shared" si="590"/>
        <v>55929</v>
      </c>
      <c r="FL351" s="14">
        <f t="shared" si="591"/>
        <v>67846</v>
      </c>
      <c r="FM351" s="14">
        <f t="shared" si="592"/>
        <v>3590505</v>
      </c>
      <c r="FP351" s="14">
        <f t="shared" si="593"/>
        <v>334150</v>
      </c>
      <c r="FQ351" s="50">
        <f t="shared" si="533"/>
        <v>8.5141241714239854E-2</v>
      </c>
      <c r="FS351" s="14">
        <f t="shared" si="594"/>
        <v>3924655</v>
      </c>
      <c r="FX351" s="14">
        <v>346</v>
      </c>
      <c r="FY351" s="51">
        <f t="shared" si="595"/>
        <v>39746</v>
      </c>
      <c r="FZ351" s="51">
        <f t="shared" si="596"/>
        <v>1726</v>
      </c>
      <c r="GA351" s="51">
        <f>INT(SUMPRODUCT($N351:$R351,$BF351:$BJ351)/SUM($BF351:$BJ351)/10000*$BX$7*$BZ$46/'疲劳值&amp;地图信息'!$R$10*$BY$53)</f>
        <v>455</v>
      </c>
      <c r="GB351" s="50">
        <f t="shared" si="597"/>
        <v>0.94798101462065021</v>
      </c>
      <c r="GC351" s="50">
        <f t="shared" si="598"/>
        <v>4.1166789896725259E-2</v>
      </c>
      <c r="GD351" s="50">
        <f t="shared" si="599"/>
        <v>1.0852195482624562E-2</v>
      </c>
      <c r="GE351" s="51">
        <f t="shared" si="600"/>
        <v>43536</v>
      </c>
      <c r="GF351" s="51">
        <f t="shared" si="601"/>
        <v>3012</v>
      </c>
      <c r="GG351" s="14">
        <f>INT(SUMPRODUCT($U351:$Y351,$BF351:$BJ351)/SUM($BF351:$BJ351)/10000*$BX$7*$BZ$46/'疲劳值&amp;地图信息'!$R$10*$BY$54)</f>
        <v>875</v>
      </c>
      <c r="GH351" s="50">
        <f t="shared" si="602"/>
        <v>0.91803555236910361</v>
      </c>
      <c r="GI351" s="50">
        <f t="shared" si="603"/>
        <v>6.3513485017818352E-2</v>
      </c>
      <c r="GJ351" s="50">
        <f t="shared" si="604"/>
        <v>1.8450962613078041E-2</v>
      </c>
      <c r="GK351" s="51">
        <f t="shared" si="605"/>
        <v>47507</v>
      </c>
      <c r="GL351" s="51">
        <f t="shared" si="606"/>
        <v>5469</v>
      </c>
      <c r="GM351" s="14">
        <f>INT(SUMPRODUCT($AB351:$AF351,$BF351:$BJ351)/SUM($BF351:$BJ351)/10000*$BX$7*$BZ$46/'疲劳值&amp;地图信息'!$R$10*$BY$55)</f>
        <v>1189</v>
      </c>
      <c r="GN351" s="50">
        <f t="shared" si="607"/>
        <v>0.87707929474753066</v>
      </c>
      <c r="GO351" s="50">
        <f t="shared" si="608"/>
        <v>0.10096926059263361</v>
      </c>
      <c r="GP351" s="50">
        <f t="shared" si="609"/>
        <v>2.1951444659835687E-2</v>
      </c>
      <c r="GQ351" s="51">
        <f t="shared" si="610"/>
        <v>56276</v>
      </c>
      <c r="GR351" s="51">
        <f t="shared" si="611"/>
        <v>13948</v>
      </c>
      <c r="GS351" s="14">
        <f>INT(SUMPRODUCT($AI351:$AM351,$BF351:$BJ351)/SUM($BF351:$BJ351)/10000*$BX$7*$BZ$46/'疲劳值&amp;地图信息'!$R$10*$BY$56)</f>
        <v>1784</v>
      </c>
      <c r="GT351" s="50">
        <f t="shared" si="612"/>
        <v>0.78152427508054656</v>
      </c>
      <c r="GU351" s="50">
        <f t="shared" si="613"/>
        <v>0.19370069992223085</v>
      </c>
      <c r="GV351" s="50">
        <f t="shared" si="614"/>
        <v>2.477502499722253E-2</v>
      </c>
      <c r="GW351" s="51">
        <f t="shared" si="615"/>
        <v>58049</v>
      </c>
      <c r="GX351" s="51">
        <f t="shared" si="616"/>
        <v>24004</v>
      </c>
      <c r="GY351" s="14">
        <f>INT(SUMPRODUCT($AP351:$AT351,$BF351:$BJ351)/SUM($BF351:$BJ351)/10000*$BX$7*$BZ$46/'疲劳值&amp;地图信息'!$R$10*$BY$57)</f>
        <v>2378</v>
      </c>
      <c r="GZ351" s="50">
        <f t="shared" si="617"/>
        <v>0.68753183072568136</v>
      </c>
      <c r="HA351" s="50">
        <f t="shared" si="618"/>
        <v>0.28430315879238666</v>
      </c>
      <c r="HB351" s="50">
        <f t="shared" si="619"/>
        <v>2.8165010481931992E-2</v>
      </c>
      <c r="HD351" s="14">
        <f t="shared" si="620"/>
        <v>41927</v>
      </c>
      <c r="HE351" s="14">
        <f t="shared" si="621"/>
        <v>47423</v>
      </c>
      <c r="HF351" s="14">
        <f t="shared" si="622"/>
        <v>54165</v>
      </c>
      <c r="HG351" s="14">
        <f t="shared" si="623"/>
        <v>72008</v>
      </c>
      <c r="HH351" s="14">
        <f t="shared" si="624"/>
        <v>84431</v>
      </c>
      <c r="HI351" s="14">
        <f t="shared" si="625"/>
        <v>4864863</v>
      </c>
      <c r="HL351" s="14">
        <f t="shared" si="626"/>
        <v>430050</v>
      </c>
      <c r="HM351" s="50">
        <f t="shared" si="534"/>
        <v>8.1219464795738855E-2</v>
      </c>
      <c r="HO351" s="14">
        <f t="shared" si="627"/>
        <v>5294913</v>
      </c>
    </row>
    <row r="352" spans="11:223" x14ac:dyDescent="0.2">
      <c r="K352" s="14">
        <v>347</v>
      </c>
      <c r="L352" s="12">
        <f>求节点(节奏总纲!D$4:D$163,标准城池设计!AB$4:AB$163,$K352)*求节点(节奏总纲!D$4:D$163,攻城基础信息!$AC$5:$AC$164,$K352)</f>
        <v>836865.19203497935</v>
      </c>
      <c r="M352" s="12">
        <f>INDEX(其他调用!$AA$5:$AA$404,MATCH(K352,其他调用!$X$5:$X$404,0))*MIN(INDEX(其他调用!$AH$5:$AH$364,MATCH('征服点（新）'!K352,其他调用!$AG$5:$AG$364,0),1)/INDEX(其他调用!$AJ$5:$AJ$364,MATCH(K352,其他调用!$AG$5:$AG$364,0),0),5)*求节点(节奏总纲!D$4:D$163,攻城基础信息!$AC$5:$AC$164,$K352)</f>
        <v>50761.146557945591</v>
      </c>
      <c r="N352" s="12">
        <f>MIN(INDEX(其他调用!$AH$5:$AH$364,MATCH($K352,其他调用!$AG$5:$AG$364,0),1)/INDEX(其他调用!AH$5:AH$364,MATCH($K352,其他调用!$AG$5:$AG$364,0),0),1)*INDEX(其他调用!Y$5:Y$404,MATCH($K352,其他调用!$X$5:$X$404,0),0)</f>
        <v>43314.870182080791</v>
      </c>
      <c r="O352" s="12">
        <f>MIN(INDEX(其他调用!$AH$5:$AH$364,MATCH($K352,其他调用!$AG$5:$AG$364,0),1)/INDEX(其他调用!AI$5:AI$364,MATCH($K352,其他调用!$AG$5:$AG$364,0),0),1)*INDEX(其他调用!Z$5:Z$404,MATCH($K352,其他调用!$X$5:$X$404,0),0)</f>
        <v>25480.624618214428</v>
      </c>
      <c r="P352" s="12">
        <f>MIN(INDEX(其他调用!$AH$5:$AH$364,MATCH($K352,其他调用!$AG$5:$AG$364,0),1)/INDEX(其他调用!AJ$5:AJ$364,MATCH($K352,其他调用!$AG$5:$AG$364,0),0),1)*INDEX(其他调用!AA$5:AA$404,MATCH($K352,其他调用!$X$5:$X$404,0),0)</f>
        <v>14503.184730841607</v>
      </c>
      <c r="Q352" s="12">
        <f>MIN(INDEX(其他调用!$AH$5:$AH$364,MATCH($K352,其他调用!$AG$5:$AG$364,0),1)/INDEX(其他调用!AK$5:AK$364,MATCH($K352,其他调用!$AG$5:$AG$364,0),0),1)*INDEX(其他调用!AB$5:AB$404,MATCH($K352,其他调用!$X$5:$X$404,0),0)</f>
        <v>5978.9278903231798</v>
      </c>
      <c r="R352" s="12">
        <f>MIN(INDEX(其他调用!$AH$5:$AH$364,MATCH($K352,其他调用!$AG$5:$AG$364,0),1)/INDEX(其他调用!AL$5:AL$364,MATCH($K352,其他调用!$AG$5:$AG$364,0),0),1)*INDEX(其他调用!AC$5:AC$404,MATCH($K352,其他调用!$X$5:$X$404,0),0)</f>
        <v>3757.2848181966483</v>
      </c>
      <c r="S352" s="12">
        <f>求节点(节奏总纲!D$4:D$163,标准城池设计!AC$4:AC$163,$K352)*求节点(节奏总纲!D$4:D$163,攻城基础信息!$AD$5:$AD$164,$K352)</f>
        <v>916558.74866426759</v>
      </c>
      <c r="T352" s="12">
        <f>INDEX(其他调用!$AA$5:$AA$404,MATCH($K352,其他调用!$X$5:$X$404,0))*MIN(INDEX(其他调用!AI$5:AI$364,MATCH($K352,其他调用!$AG$5:$AG$364,0),1)/INDEX(其他调用!$AJ$5:$AJ$364,MATCH($K352,其他调用!$AG$5:$AG$364,0),0),5)*求节点(节奏总纲!D$4:D$163,攻城基础信息!$AD$5:$AD$164,$K352)</f>
        <v>88601.818985801685</v>
      </c>
      <c r="U352" s="12">
        <f>MIN(INDEX(其他调用!$AI$5:$AI$364,MATCH($K352,其他调用!$AG$5:$AG$364,0),1)/INDEX(其他调用!AH$5:AH$364,MATCH($K352,其他调用!$AG$5:$AG$364,0),0),1)*INDEX(其他调用!Y$5:Y$404,MATCH($K352,其他调用!$X$5:$X$404,0),0)</f>
        <v>43314.870182080791</v>
      </c>
      <c r="V352" s="12">
        <f>MIN(INDEX(其他调用!$AI$5:$AI$364,MATCH($K352,其他调用!$AG$5:$AG$364,0),1)/INDEX(其他调用!AI$5:AI$364,MATCH($K352,其他调用!$AG$5:$AG$364,0),0),1)*INDEX(其他调用!Z$5:Z$404,MATCH($K352,其他调用!$X$5:$X$404,0),0)</f>
        <v>44475.545631953661</v>
      </c>
      <c r="W352" s="12">
        <f>MIN(INDEX(其他调用!$AI$5:$AI$364,MATCH($K352,其他调用!$AG$5:$AG$364,0),1)/INDEX(其他调用!AJ$5:AJ$364,MATCH($K352,其他调用!$AG$5:$AG$364,0),0),1)*INDEX(其他调用!AA$5:AA$404,MATCH($K352,其他调用!$X$5:$X$404,0),0)</f>
        <v>25314.805424514783</v>
      </c>
      <c r="X352" s="12">
        <f>MIN(INDEX(其他调用!$AI$5:$AI$364,MATCH($K352,其他调用!$AG$5:$AG$364,0),1)/INDEX(其他调用!AK$5:AK$364,MATCH($K352,其他调用!$AG$5:$AG$364,0),0),1)*INDEX(其他调用!AB$5:AB$404,MATCH($K352,其他调用!$X$5:$X$404,0),0)</f>
        <v>10436.011055480292</v>
      </c>
      <c r="Y352" s="12">
        <f>MIN(INDEX(其他调用!$AI$5:$AI$364,MATCH($K352,其他调用!$AG$5:$AG$364,0),1)/INDEX(其他调用!AL$5:AL$364,MATCH($K352,其他调用!$AG$5:$AG$364,0),0),1)*INDEX(其他调用!AC$5:AC$404,MATCH($K352,其他调用!$X$5:$X$404,0),0)</f>
        <v>6558.2102043329705</v>
      </c>
      <c r="Z352" s="12">
        <f>求节点(节奏总纲!D$4:D$163,标准城池设计!AD$4:AD$163,$K352)*求节点(节奏总纲!D$4:D$163,攻城基础信息!$AE$5:$AE$164,$K352)</f>
        <v>1000329.2715664968</v>
      </c>
      <c r="AA352" s="12">
        <f>INDEX(其他调用!$AA$5:$AA$404,MATCH($K352,其他调用!$X$5:$X$404,0))*MIN(INDEX(其他调用!AJ$5:AJ$364,MATCH($K352,其他调用!$AG$5:$AG$364,0),1)/INDEX(其他调用!$AJ$5:$AJ$364,MATCH($K352,其他调用!$AG$5:$AG$364,0),0),5)*求节点(节奏总纲!D$4:D$163,攻城基础信息!$AE$5:$AE$164,$K352)</f>
        <v>161088.78331389904</v>
      </c>
      <c r="AB352" s="12">
        <f>MIN(INDEX(其他调用!$AJ$5:$AJ$364,MATCH($K352,其他调用!$AG$5:$AG$364,0),1)/INDEX(其他调用!AH$5:AH$364,MATCH($K352,其他调用!$AG$5:$AG$364,0),0),1)*INDEX(其他调用!Y$5:Y$404,MATCH($K352,其他调用!$X$5:$X$404,0),0)</f>
        <v>43314.870182080791</v>
      </c>
      <c r="AC352" s="12">
        <f>MIN(INDEX(其他调用!$AJ$5:$AJ$364,MATCH($K352,其他调用!$AG$5:$AG$364,0),1)/INDEX(其他调用!AI$5:AI$364,MATCH($K352,其他调用!$AG$5:$AG$364,0),0),1)*INDEX(其他调用!Z$5:Z$404,MATCH($K352,其他调用!$X$5:$X$404,0),0)</f>
        <v>44475.545631953661</v>
      </c>
      <c r="AD352" s="12">
        <f>MIN(INDEX(其他调用!$AJ$5:$AJ$364,MATCH($K352,其他调用!$AG$5:$AG$364,0),1)/INDEX(其他调用!AJ$5:AJ$364,MATCH($K352,其他调用!$AG$5:$AG$364,0),0),1)*INDEX(其他调用!AA$5:AA$404,MATCH($K352,其他调用!$X$5:$X$404,0),0)</f>
        <v>46025.366661114043</v>
      </c>
      <c r="AE352" s="12">
        <f>MIN(INDEX(其他调用!$AJ$5:$AJ$364,MATCH($K352,其他调用!$AG$5:$AG$364,0),1)/INDEX(其他调用!AK$5:AK$364,MATCH($K352,其他调用!$AG$5:$AG$364,0),0),1)*INDEX(其他调用!AB$5:AB$404,MATCH($K352,其他调用!$X$5:$X$404,0),0)</f>
        <v>18973.925623887219</v>
      </c>
      <c r="AF352" s="12">
        <f>MIN(INDEX(其他调用!$AJ$5:$AJ$364,MATCH($K352,其他调用!$AG$5:$AG$364,0),1)/INDEX(其他调用!AL$5:AL$364,MATCH($K352,其他调用!$AG$5:$AG$364,0),0),1)*INDEX(其他调用!AC$5:AC$404,MATCH($K352,其他调用!$X$5:$X$404,0),0)</f>
        <v>11923.616406815425</v>
      </c>
      <c r="AG352" s="12">
        <f>求节点(节奏总纲!D$4:D$163,标准城池设计!AE$4:AE$163,$K352)*求节点(节奏总纲!D$4:D$163,攻城基础信息!$AF$5:$AF$164,$K352)</f>
        <v>1184072.0027460775</v>
      </c>
      <c r="AH352" s="12">
        <f>INDEX(其他调用!$AA$5:$AA$404,MATCH($K352,其他调用!$X$5:$X$404,0))*MIN(INDEX(其他调用!AK$5:AK$364,MATCH($K352,其他调用!$AG$5:$AG$364,0),1)/INDEX(其他调用!$AJ$5:$AJ$364,MATCH($K352,其他调用!$AG$5:$AG$364,0),0),5)*求节点(节奏总纲!D$4:D$163,攻城基础信息!$AF$5:$AF$164,$K352)</f>
        <v>409790.97881394433</v>
      </c>
      <c r="AI352" s="12">
        <f>MIN(INDEX(其他调用!$AK$5:$AK$364,MATCH($K352,其他调用!$AG$5:$AG$364,0),1)/INDEX(其他调用!AH$5:AH$364,MATCH($K352,其他调用!$AG$5:$AG$364,0),0),1)*INDEX(其他调用!Y$5:Y$404,MATCH($K352,其他调用!$X$5:$X$404,0),0)</f>
        <v>43314.870182080791</v>
      </c>
      <c r="AJ352" s="12">
        <f>MIN(INDEX(其他调用!$AK$5:$AK$364,MATCH($K352,其他调用!$AG$5:$AG$364,0),1)/INDEX(其他调用!AI$5:AI$364,MATCH($K352,其他调用!$AG$5:$AG$364,0),0),1)*INDEX(其他调用!Z$5:Z$404,MATCH($K352,其他调用!$X$5:$X$404,0),0)</f>
        <v>44475.545631953661</v>
      </c>
      <c r="AK352" s="12">
        <f>MIN(INDEX(其他调用!$AK$5:$AK$364,MATCH($K352,其他调用!$AG$5:$AG$364,0),1)/INDEX(其他调用!AJ$5:AJ$364,MATCH($K352,其他调用!$AG$5:$AG$364,0),0),1)*INDEX(其他调用!AA$5:AA$404,MATCH($K352,其他调用!$X$5:$X$404,0),0)</f>
        <v>46025.366661114043</v>
      </c>
      <c r="AL352" s="12">
        <f>MIN(INDEX(其他调用!$AK$5:$AK$364,MATCH($K352,其他调用!$AG$5:$AG$364,0),1)/INDEX(其他调用!AK$5:AK$364,MATCH($K352,其他调用!$AG$5:$AG$364,0),0),1)*INDEX(其他调用!AB$5:AB$404,MATCH($K352,其他调用!$X$5:$X$404,0),0)</f>
        <v>48267.442297361064</v>
      </c>
      <c r="AM352" s="12">
        <f>MIN(INDEX(其他调用!$AK$5:$AK$364,MATCH($K352,其他调用!$AG$5:$AG$364,0),1)/INDEX(其他调用!AL$5:AL$364,MATCH($K352,其他调用!$AG$5:$AG$364,0),0),1)*INDEX(其他调用!AC$5:AC$404,MATCH($K352,其他调用!$X$5:$X$404,0),0)</f>
        <v>30332.282222466256</v>
      </c>
      <c r="AN352" s="12">
        <f>求节点(节奏总纲!D$4:D$163,标准城池设计!AF$4:AF$163,$K352)*求节点(节奏总纲!D$4:D$163,攻城基础信息!$AG$5:$AG$164,$K352)</f>
        <v>1221338.4916066756</v>
      </c>
      <c r="AO352" s="12">
        <f>INDEX(其他调用!$AA$5:$AA$404,MATCH($K352,其他调用!$X$5:$X$404,0))*MIN(INDEX(其他调用!AL$5:AL$364,MATCH($K352,其他调用!$AG$5:$AG$364,0),1)/INDEX(其他调用!$AJ$5:$AJ$364,MATCH($K352,其他调用!$AG$5:$AG$364,0),0),5)*求节点(节奏总纲!D$4:D$163,攻城基础信息!$AG$5:$AG$164,$K352)</f>
        <v>704617.39210363117</v>
      </c>
      <c r="AP352" s="12">
        <f>MIN(INDEX(其他调用!$AL$5:$AL$364,MATCH($K352,其他调用!$AG$5:$AG$364,0),1)/INDEX(其他调用!AH$5:AH$364,MATCH($K352,其他调用!$AG$5:$AG$364,0),0),1)*INDEX(其他调用!Y$5:Y$404,MATCH($K352,其他调用!$X$5:$X$404,0),0)</f>
        <v>43314.870182080791</v>
      </c>
      <c r="AQ352" s="12">
        <f>MIN(INDEX(其他调用!$AL$5:$AL$364,MATCH($K352,其他调用!$AG$5:$AG$364,0),1)/INDEX(其他调用!AI$5:AI$364,MATCH($K352,其他调用!$AG$5:$AG$364,0),0),1)*INDEX(其他调用!Z$5:Z$404,MATCH($K352,其他调用!$X$5:$X$404,0),0)</f>
        <v>44475.545631953661</v>
      </c>
      <c r="AR352" s="12">
        <f>MIN(INDEX(其他调用!$AL$5:$AL$364,MATCH($K352,其他调用!$AG$5:$AG$364,0),1)/INDEX(其他调用!AJ$5:AJ$364,MATCH($K352,其他调用!$AG$5:$AG$364,0),0),1)*INDEX(其他调用!AA$5:AA$404,MATCH($K352,其他调用!$X$5:$X$404,0),0)</f>
        <v>46025.366661114043</v>
      </c>
      <c r="AS352" s="12">
        <f>MIN(INDEX(其他调用!$AL$5:$AL$364,MATCH($K352,其他调用!$AG$5:$AG$364,0),1)/INDEX(其他调用!AK$5:AK$364,MATCH($K352,其他调用!$AG$5:$AG$364,0),0),1)*INDEX(其他调用!AB$5:AB$404,MATCH($K352,其他调用!$X$5:$X$404,0),0)</f>
        <v>48267.442297361064</v>
      </c>
      <c r="AT352" s="12">
        <f>MIN(INDEX(其他调用!$AL$5:$AL$364,MATCH($K352,其他调用!$AG$5:$AG$364,0),1)/INDEX(其他调用!AL$5:AL$364,MATCH($K352,其他调用!$AG$5:$AG$364,0),0),1)*INDEX(其他调用!AC$5:AC$404,MATCH($K352,其他调用!$X$5:$X$404,0),0)</f>
        <v>52155.012435862438</v>
      </c>
      <c r="AV352" s="14">
        <f>IF(OR(AV$5="大R",AV$5="超R"),MAX(INDEX(其他调用!$H$5:$L$404,MATCH($K352,其他调用!$B$5:$B$404,0),MATCH(AV$5,其他调用!$H$4:$L$4,0))*120*0.85,2),INDEX(其他调用!$H$5:$L$404,MATCH($K352,其他调用!$B$5:$B$404,0),MATCH(AV$5,其他调用!$H$4:$L$4,0))*120*0.85)</f>
        <v>48.921801254999991</v>
      </c>
      <c r="AW352" s="14">
        <f>IF(OR(AW$5="大R",AW$5="超R"),MAX(INDEX(其他调用!$H$5:$L$404,MATCH($K352,其他调用!$B$5:$B$404,0),MATCH(AW$5,其他调用!$H$4:$L$4,0))*120*0.85,2),INDEX(其他调用!$H$5:$L$404,MATCH($K352,其他调用!$B$5:$B$404,0),MATCH(AW$5,其他调用!$H$4:$L$4,0))*120*0.85)</f>
        <v>48.237344010638395</v>
      </c>
      <c r="AX352" s="14">
        <f>IF(OR(AX$5="大R",AX$5="超R"),MAX(INDEX(其他调用!$H$5:$L$404,MATCH($K352,其他调用!$B$5:$B$404,0),MATCH(AX$5,其他调用!$H$4:$L$4,0))*120*0.85,2),INDEX(其他调用!$H$5:$L$404,MATCH($K352,其他调用!$B$5:$B$404,0),MATCH(AX$5,其他调用!$H$4:$L$4,0))*120*0.85)</f>
        <v>3.9376284143615998</v>
      </c>
      <c r="AY352" s="14">
        <f>IF(OR(AY$5="大R",AY$5="超R"),MAX(INDEX(其他调用!$H$5:$L$404,MATCH($K352,其他调用!$B$5:$B$404,0),MATCH(AY$5,其他调用!$H$4:$L$4,0))*120*0.85,2),INDEX(其他调用!$H$5:$L$404,MATCH($K352,其他调用!$B$5:$B$404,0),MATCH(AY$5,其他调用!$H$4:$L$4,0))*120*0.85)</f>
        <v>2</v>
      </c>
      <c r="AZ352" s="14">
        <f>IF(OR(AZ$5="大R",AZ$5="超R"),MAX(INDEX(其他调用!$H$5:$L$404,MATCH($K352,其他调用!$B$5:$B$404,0),MATCH(AZ$5,其他调用!$H$4:$L$4,0))*120*0.85,2),INDEX(其他调用!$H$5:$L$404,MATCH($K352,其他调用!$B$5:$B$404,0),MATCH(AZ$5,其他调用!$H$4:$L$4,0))*120*0.85)</f>
        <v>2</v>
      </c>
      <c r="BA352" s="14">
        <f>INDEX(其他调用!$H$5:$L$404,MATCH($K352,其他调用!$B$5:$B$404,0),MATCH(BA$5,其他调用!$H$4:$L$4,0))*INDEX(其他调用!$M$5:$M$404,MATCH($K352,其他调用!$B$5:$B$404,0))*0.6</f>
        <v>28.777530149999997</v>
      </c>
      <c r="BB352" s="14">
        <f>INDEX(其他调用!$H$5:$L$404,MATCH($K352,其他调用!$B$5:$B$404,0),MATCH(BB$5,其他调用!$H$4:$L$4,0))*INDEX(其他调用!$M$5:$M$404,MATCH($K352,其他调用!$B$5:$B$404,0))*0.6</f>
        <v>28.374908241551999</v>
      </c>
      <c r="BC352" s="14">
        <f>INDEX(其他调用!$H$5:$L$404,MATCH($K352,其他调用!$B$5:$B$404,0),MATCH(BC$5,其他调用!$H$4:$L$4,0))*INDEX(其他调用!$M$5:$M$404,MATCH($K352,其他调用!$B$5:$B$404,0))*0.6</f>
        <v>2.3162520084480001</v>
      </c>
      <c r="BD352" s="14">
        <f>INDEX(其他调用!$H$5:$L$404,MATCH($K352,其他调用!$B$5:$B$404,0),MATCH(BD$5,其他调用!$H$4:$L$4,0))*INDEX(其他调用!$M$5:$M$404,MATCH($K352,其他调用!$B$5:$B$404,0))*0.6</f>
        <v>0.4120776000000001</v>
      </c>
      <c r="BE352" s="14">
        <f>INDEX(其他调用!$H$5:$L$404,MATCH($K352,其他调用!$B$5:$B$404,0),MATCH(BE$5,其他调用!$H$4:$L$4,0))*INDEX(其他调用!$M$5:$M$404,MATCH($K352,其他调用!$B$5:$B$404,0))*0.6</f>
        <v>0.11923199999999998</v>
      </c>
      <c r="BF352" s="14">
        <f>IF(OR(BF$5="大R",BF$5="超R"),0,INDEX(其他调用!$H$5:$L$404,MATCH($K352,其他调用!$B$5:$B$404,0),MATCH(BF$5,其他调用!$H$4:$L$4,0))*50*0.4)</f>
        <v>9.5925100500000013</v>
      </c>
      <c r="BG352" s="14">
        <f>IF(OR(BG$5="大R",BG$5="超R"),0,INDEX(其他调用!$H$5:$L$404,MATCH($K352,其他调用!$B$5:$B$404,0),MATCH(BG$5,其他调用!$H$4:$L$4,0))*50*0.4)</f>
        <v>9.4583027471839998</v>
      </c>
      <c r="BH352" s="14">
        <f>IF(OR(BH$5="大R",BH$5="超R"),0,INDEX(其他调用!$H$5:$L$404,MATCH($K352,其他调用!$B$5:$B$404,0),MATCH(BH$5,其他调用!$H$4:$L$4,0))*50*0.4)</f>
        <v>0.77208400281600009</v>
      </c>
      <c r="BI352" s="14">
        <f>IF(OR(BI$5="大R",BI$5="超R"),0,INDEX(其他调用!$H$5:$L$404,MATCH($K352,其他调用!$B$5:$B$404,0),MATCH(BI$5,其他调用!$H$4:$L$4,0))*50*0.4)</f>
        <v>0</v>
      </c>
      <c r="BJ352" s="14">
        <f>IF(OR(BJ$5="大R",BJ$5="超R"),0,INDEX(其他调用!$H$5:$L$404,MATCH($K352,其他调用!$B$5:$B$404,0),MATCH(BJ$5,其他调用!$H$4:$L$4,0))*50*0.4)</f>
        <v>0</v>
      </c>
      <c r="BL352" s="14">
        <f t="shared" si="628"/>
        <v>347</v>
      </c>
      <c r="BM352" s="14">
        <f t="shared" si="535"/>
        <v>96</v>
      </c>
      <c r="BN352" s="14">
        <f>('疲劳值&amp;地图信息'!$S$10*'疲劳值&amp;地图信息'!$R$10+'疲劳值&amp;地图信息'!$S$11*'疲劳值&amp;地图信息'!$R$11+'疲劳值&amp;地图信息'!$S$12*'疲劳值&amp;地图信息'!$R$12+(BM352-'疲劳值&amp;地图信息'!$S$12-'疲劳值&amp;地图信息'!$S$11-'疲劳值&amp;地图信息'!$S$10)*'疲劳值&amp;地图信息'!$R$13)/BM352</f>
        <v>51.371477246638619</v>
      </c>
      <c r="BO352" s="14">
        <f>INDEX(其他调用!$M$5:$M$404,MATCH(BL352,其他调用!$B$5:$B$404,0))*0.6</f>
        <v>60</v>
      </c>
      <c r="BP352" s="14">
        <f>IF(BO352&gt;SUM('疲劳值&amp;地图信息'!$S$10:$S$12),('疲劳值&amp;地图信息'!$S$10*'疲劳值&amp;地图信息'!$R$10+'疲劳值&amp;地图信息'!$S$11*'疲劳值&amp;地图信息'!$R$11+'疲劳值&amp;地图信息'!$S$12*'疲劳值&amp;地图信息'!$R$12+(BO352-'疲劳值&amp;地图信息'!$S$12-'疲劳值&amp;地图信息'!$S$11-'疲劳值&amp;地图信息'!$S$10)*'疲劳值&amp;地图信息'!$R$13)/BO352,('疲劳值&amp;地图信息'!$S$10*'疲劳值&amp;地图信息'!$R$10+'疲劳值&amp;地图信息'!$S$11*'疲劳值&amp;地图信息'!$R$11+'疲劳值&amp;地图信息'!$S$12*'疲劳值&amp;地图信息'!$R$12+(BO352-'疲劳值&amp;地图信息'!$S$12-'疲劳值&amp;地图信息'!$S$11-'疲劳值&amp;地图信息'!$S$10)*'疲劳值&amp;地图信息'!$R$13)/BO352)</f>
        <v>44.158136341605953</v>
      </c>
      <c r="BQ352" s="14">
        <f t="shared" si="629"/>
        <v>20</v>
      </c>
      <c r="BR352" s="14">
        <f>('疲劳值&amp;地图信息'!$S$10*'疲劳值&amp;地图信息'!$R$10+($BQ352-'疲劳值&amp;地图信息'!$S$10)*'疲劳值&amp;地图信息'!$R$11)/$BQ352</f>
        <v>32.067203015074995</v>
      </c>
      <c r="CF352" s="14">
        <v>347</v>
      </c>
      <c r="CG352" s="51">
        <f t="shared" si="536"/>
        <v>17056</v>
      </c>
      <c r="CH352" s="51">
        <f t="shared" si="537"/>
        <v>1034</v>
      </c>
      <c r="CI352" s="51">
        <f>INT(SUMPRODUCT($N352:$R352,$BA352:$BE352)/SUM($BA352:$BE352)/10000*$BX$7*$BZ$34/'疲劳值&amp;地图信息'!$R$10*$BY$53)</f>
        <v>3392</v>
      </c>
      <c r="CJ352" s="50">
        <f t="shared" si="538"/>
        <v>0.79396704217484404</v>
      </c>
      <c r="CK352" s="50">
        <f t="shared" si="539"/>
        <v>4.8133320919839864E-2</v>
      </c>
      <c r="CL352" s="50">
        <f t="shared" si="540"/>
        <v>0.15789963690531608</v>
      </c>
      <c r="CM352" s="14">
        <f t="shared" si="541"/>
        <v>18680</v>
      </c>
      <c r="CN352" s="14">
        <f t="shared" si="542"/>
        <v>1805</v>
      </c>
      <c r="CO352" s="14">
        <f>INT(SUMPRODUCT($U352:$Y352,$BA352:$BE352)/SUM($BA352:$BE352)/10000*$BX$7*$BZ$34/'疲劳值&amp;地图信息'!$R$10*$BY$54)</f>
        <v>6524</v>
      </c>
      <c r="CP352" s="50">
        <f t="shared" si="543"/>
        <v>0.69162131141471361</v>
      </c>
      <c r="CQ352" s="50">
        <f t="shared" si="544"/>
        <v>6.682957532674294E-2</v>
      </c>
      <c r="CR352" s="50">
        <f t="shared" si="545"/>
        <v>0.24154911325854345</v>
      </c>
      <c r="CS352" s="14">
        <f t="shared" si="546"/>
        <v>20388</v>
      </c>
      <c r="CT352" s="14">
        <f t="shared" si="547"/>
        <v>3283</v>
      </c>
      <c r="CU352" s="14">
        <f>INT(SUMPRODUCT($AB352:$AF352,$BA352:$BE352)/SUM($BA352:$BE352)/10000*$BX$7*$BZ$34/'疲劳值&amp;地图信息'!$R$10*$BY$55)</f>
        <v>8876</v>
      </c>
      <c r="CV352" s="50">
        <f t="shared" si="548"/>
        <v>0.62641718130703294</v>
      </c>
      <c r="CW352" s="50">
        <f t="shared" si="549"/>
        <v>0.10086951178296003</v>
      </c>
      <c r="CX352" s="50">
        <f t="shared" si="550"/>
        <v>0.27271330691000706</v>
      </c>
      <c r="CY352" s="14">
        <f t="shared" si="551"/>
        <v>24132</v>
      </c>
      <c r="CZ352" s="14">
        <f t="shared" si="552"/>
        <v>8352</v>
      </c>
      <c r="DA352" s="14">
        <f>INT(SUMPRODUCT($AI352:$AM352,$BA352:$BE352)/SUM($BA352:$BE352)/10000*$BX$7*$BZ$34/'疲劳值&amp;地图信息'!$R$10*$BY$56)</f>
        <v>13386</v>
      </c>
      <c r="DB352" s="50">
        <f t="shared" si="553"/>
        <v>0.52609548724656641</v>
      </c>
      <c r="DC352" s="50">
        <f t="shared" si="554"/>
        <v>0.18207979071288424</v>
      </c>
      <c r="DD352" s="50">
        <f t="shared" si="555"/>
        <v>0.29182472204054938</v>
      </c>
      <c r="DE352" s="14">
        <f t="shared" si="556"/>
        <v>24892</v>
      </c>
      <c r="DF352" s="14">
        <f t="shared" si="557"/>
        <v>14361</v>
      </c>
      <c r="DG352" s="14">
        <f>INT(SUMPRODUCT($AP352:$AT352,$BA352:$BE352)/SUM($BA352:$BE352)/10000*$BX$7*$BZ$34/'疲劳值&amp;地图信息'!$R$10*$BY$57)</f>
        <v>17866</v>
      </c>
      <c r="DH352" s="50">
        <f t="shared" si="558"/>
        <v>0.43579194313625941</v>
      </c>
      <c r="DI352" s="50">
        <f t="shared" si="559"/>
        <v>0.2514224688807577</v>
      </c>
      <c r="DJ352" s="50">
        <f t="shared" si="560"/>
        <v>0.31278558798298289</v>
      </c>
      <c r="DL352" s="14">
        <f t="shared" si="631"/>
        <v>21482</v>
      </c>
      <c r="DM352" s="14">
        <f t="shared" si="632"/>
        <v>27009</v>
      </c>
      <c r="DN352" s="14">
        <f t="shared" si="633"/>
        <v>32547</v>
      </c>
      <c r="DO352" s="14">
        <f t="shared" si="634"/>
        <v>45870</v>
      </c>
      <c r="DP352" s="14">
        <f t="shared" si="635"/>
        <v>57119</v>
      </c>
      <c r="DQ352" s="14">
        <f t="shared" si="636"/>
        <v>1485676</v>
      </c>
      <c r="DT352" s="14">
        <f t="shared" si="630"/>
        <v>235575</v>
      </c>
      <c r="DU352" s="50">
        <f t="shared" si="532"/>
        <v>0.13686266558450802</v>
      </c>
      <c r="DW352" s="14">
        <f t="shared" si="561"/>
        <v>1721251</v>
      </c>
      <c r="EB352" s="14">
        <v>347</v>
      </c>
      <c r="EC352" s="51">
        <f t="shared" si="562"/>
        <v>28427</v>
      </c>
      <c r="ED352" s="51">
        <f t="shared" si="563"/>
        <v>1724</v>
      </c>
      <c r="EE352" s="51">
        <f>INT(SUMPRODUCT($N352:$R352,$BF352:$BJ352)/SUM($BF352:$BJ352)/10000*$BX$7*$BZ$46/'疲劳值&amp;地图信息'!$R$10*$BY$53)</f>
        <v>455</v>
      </c>
      <c r="EF352" s="50">
        <f t="shared" si="564"/>
        <v>0.92880480951447431</v>
      </c>
      <c r="EG352" s="50">
        <f t="shared" si="565"/>
        <v>5.6328824413513688E-2</v>
      </c>
      <c r="EH352" s="50">
        <f t="shared" si="566"/>
        <v>1.4866366072012024E-2</v>
      </c>
      <c r="EI352" s="51">
        <f t="shared" si="567"/>
        <v>31134</v>
      </c>
      <c r="EJ352" s="51">
        <f t="shared" si="568"/>
        <v>3009</v>
      </c>
      <c r="EK352" s="14">
        <f>INT(SUMPRODUCT($U352:$Y352,$BF352:$BJ352)/SUM($BF352:$BJ352)/10000*$BX$7*$BZ$46/'疲劳值&amp;地图信息'!$R$10*$BY$54)</f>
        <v>876</v>
      </c>
      <c r="EL352" s="50">
        <f t="shared" si="569"/>
        <v>0.88906022444958455</v>
      </c>
      <c r="EM352" s="50">
        <f t="shared" si="570"/>
        <v>8.5924783688854617E-2</v>
      </c>
      <c r="EN352" s="50">
        <f t="shared" si="571"/>
        <v>2.5014991861560868E-2</v>
      </c>
      <c r="EO352" s="51">
        <f t="shared" si="572"/>
        <v>33980</v>
      </c>
      <c r="EP352" s="51">
        <f t="shared" si="573"/>
        <v>5471</v>
      </c>
      <c r="EQ352" s="14">
        <f>INT(SUMPRODUCT($AB352:$AF352,$BF352:$BJ352)/SUM($BF352:$BJ352)/10000*$BX$7*$BZ$46/'疲劳值&amp;地图信息'!$R$10*$BY$55)</f>
        <v>1189</v>
      </c>
      <c r="ER352" s="50">
        <f t="shared" si="574"/>
        <v>0.83612204724409445</v>
      </c>
      <c r="ES352" s="50">
        <f t="shared" si="575"/>
        <v>0.13462106299212598</v>
      </c>
      <c r="ET352" s="50">
        <f t="shared" si="576"/>
        <v>2.9256889763779527E-2</v>
      </c>
      <c r="EU352" s="51">
        <f t="shared" si="577"/>
        <v>40221</v>
      </c>
      <c r="EV352" s="51">
        <f t="shared" si="578"/>
        <v>13920</v>
      </c>
      <c r="EW352" s="14">
        <f>INT(SUMPRODUCT($AI352:$AM352,$BF352:$BJ352)/SUM($BF352:$BJ352)/10000*$BX$7*$BZ$46/'疲劳值&amp;地图信息'!$R$10*$BY$56)</f>
        <v>1784</v>
      </c>
      <c r="EX352" s="50">
        <f t="shared" si="579"/>
        <v>0.71919535091640585</v>
      </c>
      <c r="EY352" s="50">
        <f t="shared" si="580"/>
        <v>0.2489047831917747</v>
      </c>
      <c r="EZ352" s="50">
        <f t="shared" si="581"/>
        <v>3.1899865891819403E-2</v>
      </c>
      <c r="FA352" s="51">
        <f t="shared" si="582"/>
        <v>41487</v>
      </c>
      <c r="FB352" s="51">
        <f t="shared" si="583"/>
        <v>23935</v>
      </c>
      <c r="FC352" s="14">
        <f>INT(SUMPRODUCT($AP352:$AT352,$BF352:$BJ352)/SUM($BF352:$BJ352)/10000*$BX$7*$BZ$46/'疲劳值&amp;地图信息'!$R$10*$BY$57)</f>
        <v>2379</v>
      </c>
      <c r="FD352" s="50">
        <f t="shared" si="584"/>
        <v>0.61189362988746476</v>
      </c>
      <c r="FE352" s="50">
        <f t="shared" si="585"/>
        <v>0.35301839205911417</v>
      </c>
      <c r="FF352" s="50">
        <f t="shared" si="586"/>
        <v>3.5087978053421044E-2</v>
      </c>
      <c r="FH352" s="14">
        <f t="shared" si="587"/>
        <v>30606</v>
      </c>
      <c r="FI352" s="14">
        <f t="shared" si="588"/>
        <v>35019</v>
      </c>
      <c r="FJ352" s="14">
        <f t="shared" si="589"/>
        <v>40640</v>
      </c>
      <c r="FK352" s="14">
        <f t="shared" si="590"/>
        <v>55925</v>
      </c>
      <c r="FL352" s="14">
        <f t="shared" si="591"/>
        <v>67801</v>
      </c>
      <c r="FM352" s="14">
        <f t="shared" si="592"/>
        <v>3594001</v>
      </c>
      <c r="FP352" s="14">
        <f t="shared" si="593"/>
        <v>334150</v>
      </c>
      <c r="FQ352" s="50">
        <f t="shared" si="533"/>
        <v>8.5065467187997609E-2</v>
      </c>
      <c r="FS352" s="14">
        <f t="shared" si="594"/>
        <v>3928151</v>
      </c>
      <c r="FX352" s="14">
        <v>347</v>
      </c>
      <c r="FY352" s="51">
        <f t="shared" si="595"/>
        <v>39798</v>
      </c>
      <c r="FZ352" s="51">
        <f t="shared" si="596"/>
        <v>1724</v>
      </c>
      <c r="GA352" s="51">
        <f>INT(SUMPRODUCT($N352:$R352,$BF352:$BJ352)/SUM($BF352:$BJ352)/10000*$BX$7*$BZ$46/'疲劳值&amp;地图信息'!$R$10*$BY$53)</f>
        <v>455</v>
      </c>
      <c r="GB352" s="50">
        <f t="shared" si="597"/>
        <v>0.94809062105438691</v>
      </c>
      <c r="GC352" s="50">
        <f t="shared" si="598"/>
        <v>4.1070109822045404E-2</v>
      </c>
      <c r="GD352" s="50">
        <f t="shared" si="599"/>
        <v>1.0839269123567669E-2</v>
      </c>
      <c r="GE352" s="51">
        <f t="shared" si="600"/>
        <v>43588</v>
      </c>
      <c r="GF352" s="51">
        <f t="shared" si="601"/>
        <v>3009</v>
      </c>
      <c r="GG352" s="14">
        <f>INT(SUMPRODUCT($U352:$Y352,$BF352:$BJ352)/SUM($BF352:$BJ352)/10000*$BX$7*$BZ$46/'疲劳值&amp;地图信息'!$R$10*$BY$54)</f>
        <v>876</v>
      </c>
      <c r="GH352" s="50">
        <f t="shared" si="602"/>
        <v>0.91816400901565098</v>
      </c>
      <c r="GI352" s="50">
        <f t="shared" si="603"/>
        <v>6.3383396878225515E-2</v>
      </c>
      <c r="GJ352" s="50">
        <f t="shared" si="604"/>
        <v>1.8452594106123481E-2</v>
      </c>
      <c r="GK352" s="51">
        <f t="shared" si="605"/>
        <v>47572</v>
      </c>
      <c r="GL352" s="51">
        <f t="shared" si="606"/>
        <v>5471</v>
      </c>
      <c r="GM352" s="14">
        <f>INT(SUMPRODUCT($AB352:$AF352,$BF352:$BJ352)/SUM($BF352:$BJ352)/10000*$BX$7*$BZ$46/'疲劳值&amp;地图信息'!$R$10*$BY$55)</f>
        <v>1189</v>
      </c>
      <c r="GN352" s="50">
        <f t="shared" si="607"/>
        <v>0.87719427644195314</v>
      </c>
      <c r="GO352" s="50">
        <f t="shared" si="608"/>
        <v>0.10088139843634754</v>
      </c>
      <c r="GP352" s="50">
        <f t="shared" si="609"/>
        <v>2.1924325121699367E-2</v>
      </c>
      <c r="GQ352" s="51">
        <f t="shared" si="610"/>
        <v>56310</v>
      </c>
      <c r="GR352" s="51">
        <f t="shared" si="611"/>
        <v>13920</v>
      </c>
      <c r="GS352" s="14">
        <f>INT(SUMPRODUCT($AI352:$AM352,$BF352:$BJ352)/SUM($BF352:$BJ352)/10000*$BX$7*$BZ$46/'疲劳值&amp;地图信息'!$R$10*$BY$56)</f>
        <v>1784</v>
      </c>
      <c r="GT352" s="50">
        <f t="shared" si="612"/>
        <v>0.78193129113783433</v>
      </c>
      <c r="GU352" s="50">
        <f t="shared" si="613"/>
        <v>0.19329574804899047</v>
      </c>
      <c r="GV352" s="50">
        <f t="shared" si="614"/>
        <v>2.4772960813175215E-2</v>
      </c>
      <c r="GW352" s="51">
        <f t="shared" si="615"/>
        <v>58082</v>
      </c>
      <c r="GX352" s="51">
        <f t="shared" si="616"/>
        <v>23935</v>
      </c>
      <c r="GY352" s="14">
        <f>INT(SUMPRODUCT($AP352:$AT352,$BF352:$BJ352)/SUM($BF352:$BJ352)/10000*$BX$7*$BZ$46/'疲劳值&amp;地图信息'!$R$10*$BY$57)</f>
        <v>2379</v>
      </c>
      <c r="GZ352" s="50">
        <f t="shared" si="617"/>
        <v>0.68820797194179817</v>
      </c>
      <c r="HA352" s="50">
        <f t="shared" si="618"/>
        <v>0.28360348831698184</v>
      </c>
      <c r="HB352" s="50">
        <f t="shared" si="619"/>
        <v>2.8188539741219962E-2</v>
      </c>
      <c r="HD352" s="14">
        <f t="shared" si="620"/>
        <v>41977</v>
      </c>
      <c r="HE352" s="14">
        <f t="shared" si="621"/>
        <v>47473</v>
      </c>
      <c r="HF352" s="14">
        <f t="shared" si="622"/>
        <v>54232</v>
      </c>
      <c r="HG352" s="14">
        <f t="shared" si="623"/>
        <v>72014</v>
      </c>
      <c r="HH352" s="14">
        <f t="shared" si="624"/>
        <v>84396</v>
      </c>
      <c r="HI352" s="14">
        <f t="shared" si="625"/>
        <v>4869927</v>
      </c>
      <c r="HL352" s="14">
        <f t="shared" si="626"/>
        <v>430050</v>
      </c>
      <c r="HM352" s="50">
        <f t="shared" si="534"/>
        <v>8.1141861559021866E-2</v>
      </c>
      <c r="HO352" s="14">
        <f t="shared" si="627"/>
        <v>5299977</v>
      </c>
    </row>
    <row r="353" spans="11:223" x14ac:dyDescent="0.2">
      <c r="K353" s="14">
        <v>348</v>
      </c>
      <c r="L353" s="12">
        <f>求节点(节奏总纲!D$4:D$163,标准城池设计!AB$4:AB$163,$K353)*求节点(节奏总纲!D$4:D$163,攻城基础信息!$AC$5:$AC$164,$K353)</f>
        <v>837960.00524058135</v>
      </c>
      <c r="M353" s="12">
        <f>INDEX(其他调用!$AA$5:$AA$404,MATCH(K353,其他调用!$X$5:$X$404,0))*MIN(INDEX(其他调用!$AH$5:$AH$364,MATCH('征服点（新）'!K353,其他调用!$AG$5:$AG$364,0),1)/INDEX(其他调用!$AJ$5:$AJ$364,MATCH(K353,其他调用!$AG$5:$AG$364,0),0),5)*求节点(节奏总纲!D$4:D$163,攻城基础信息!$AC$5:$AC$164,$K353)</f>
        <v>50701.324795953369</v>
      </c>
      <c r="N353" s="12">
        <f>MIN(INDEX(其他调用!$AH$5:$AH$364,MATCH($K353,其他调用!$AG$5:$AG$364,0),1)/INDEX(其他调用!AH$5:AH$364,MATCH($K353,其他调用!$AG$5:$AG$364,0),0),1)*INDEX(其他调用!Y$5:Y$404,MATCH($K353,其他调用!$X$5:$X$404,0),0)</f>
        <v>43331.378153993181</v>
      </c>
      <c r="O353" s="12">
        <f>MIN(INDEX(其他调用!$AH$5:$AH$364,MATCH($K353,其他调用!$AG$5:$AG$364,0),1)/INDEX(其他调用!AI$5:AI$364,MATCH($K353,其他调用!$AG$5:$AG$364,0),0),1)*INDEX(其他调用!Z$5:Z$404,MATCH($K353,其他调用!$X$5:$X$404,0),0)</f>
        <v>25485.087038151276</v>
      </c>
      <c r="P353" s="12">
        <f>MIN(INDEX(其他调用!$AH$5:$AH$364,MATCH($K353,其他调用!$AG$5:$AG$364,0),1)/INDEX(其他调用!AJ$5:AJ$364,MATCH($K353,其他调用!$AG$5:$AG$364,0),0),1)*INDEX(其他调用!AA$5:AA$404,MATCH($K353,其他调用!$X$5:$X$404,0),0)</f>
        <v>14486.092798843829</v>
      </c>
      <c r="Q353" s="12">
        <f>MIN(INDEX(其他调用!$AH$5:$AH$364,MATCH($K353,其他调用!$AG$5:$AG$364,0),1)/INDEX(其他调用!AK$5:AK$364,MATCH($K353,其他调用!$AG$5:$AG$364,0),0),1)*INDEX(其他调用!AB$5:AB$404,MATCH($K353,其他调用!$X$5:$X$404,0),0)</f>
        <v>5985.9592905887812</v>
      </c>
      <c r="R353" s="12">
        <f>MIN(INDEX(其他调用!$AH$5:$AH$364,MATCH($K353,其他调用!$AG$5:$AG$364,0),1)/INDEX(其他调用!AL$5:AL$364,MATCH($K353,其他调用!$AG$5:$AG$364,0),0),1)*INDEX(其他调用!AC$5:AC$404,MATCH($K353,其他调用!$X$5:$X$404,0),0)</f>
        <v>3764.7970869718365</v>
      </c>
      <c r="S353" s="12">
        <f>求节点(节奏总纲!D$4:D$163,标准城池设计!AC$4:AC$163,$K353)*求节点(节奏总纲!D$4:D$163,攻城基础信息!$AD$5:$AD$164,$K353)</f>
        <v>917645.12179118267</v>
      </c>
      <c r="T353" s="12">
        <f>INDEX(其他调用!$AA$5:$AA$404,MATCH($K353,其他调用!$X$5:$X$404,0))*MIN(INDEX(其他调用!AI$5:AI$364,MATCH($K353,其他调用!$AG$5:$AG$364,0),1)/INDEX(其他调用!$AJ$5:$AJ$364,MATCH($K353,其他调用!$AG$5:$AG$364,0),0),5)*求节点(节奏总纲!D$4:D$163,攻城基础信息!$AD$5:$AD$164,$K353)</f>
        <v>88515.438913711478</v>
      </c>
      <c r="U353" s="12">
        <f>MIN(INDEX(其他调用!$AI$5:$AI$364,MATCH($K353,其他调用!$AG$5:$AG$364,0),1)/INDEX(其他调用!AH$5:AH$364,MATCH($K353,其他调用!$AG$5:$AG$364,0),0),1)*INDEX(其他调用!Y$5:Y$404,MATCH($K353,其他调用!$X$5:$X$404,0),0)</f>
        <v>43331.378153993181</v>
      </c>
      <c r="V353" s="12">
        <f>MIN(INDEX(其他调用!$AI$5:$AI$364,MATCH($K353,其他调用!$AG$5:$AG$364,0),1)/INDEX(其他调用!AI$5:AI$364,MATCH($K353,其他调用!$AG$5:$AG$364,0),0),1)*INDEX(其他调用!Z$5:Z$404,MATCH($K353,其他调用!$X$5:$X$404,0),0)</f>
        <v>44492.400820188101</v>
      </c>
      <c r="W353" s="12">
        <f>MIN(INDEX(其他调用!$AI$5:$AI$364,MATCH($K353,其他调用!$AG$5:$AG$364,0),1)/INDEX(其他调用!AJ$5:AJ$364,MATCH($K353,其他调用!$AG$5:$AG$364,0),0),1)*INDEX(其他调用!AA$5:AA$404,MATCH($K353,其他调用!$X$5:$X$404,0),0)</f>
        <v>25290.12540391758</v>
      </c>
      <c r="X353" s="12">
        <f>MIN(INDEX(其他调用!$AI$5:$AI$364,MATCH($K353,其他调用!$AG$5:$AG$364,0),1)/INDEX(其他调用!AK$5:AK$364,MATCH($K353,其他调用!$AG$5:$AG$364,0),0),1)*INDEX(其他调用!AB$5:AB$404,MATCH($K353,其他调用!$X$5:$X$404,0),0)</f>
        <v>10450.413594880341</v>
      </c>
      <c r="Y353" s="12">
        <f>MIN(INDEX(其他调用!$AI$5:$AI$364,MATCH($K353,其他调用!$AG$5:$AG$364,0),1)/INDEX(其他调用!AL$5:AL$364,MATCH($K353,其他调用!$AG$5:$AG$364,0),0),1)*INDEX(其他调用!AC$5:AC$404,MATCH($K353,其他调用!$X$5:$X$404,0),0)</f>
        <v>6572.6619159460633</v>
      </c>
      <c r="Z353" s="12">
        <f>求节点(节奏总纲!D$4:D$163,标准城池设计!AD$4:AD$163,$K353)*求节点(节奏总纲!D$4:D$163,攻城基础信息!$AE$5:$AE$164,$K353)</f>
        <v>1001684.9954398737</v>
      </c>
      <c r="AA353" s="12">
        <f>INDEX(其他调用!$AA$5:$AA$404,MATCH($K353,其他调用!$X$5:$X$404,0))*MIN(INDEX(其他调用!AJ$5:AJ$364,MATCH($K353,其他调用!$AG$5:$AG$364,0),1)/INDEX(其他调用!$AJ$5:$AJ$364,MATCH($K353,其他调用!$AG$5:$AG$364,0),0),5)*求节点(节奏总纲!D$4:D$163,攻城基础信息!$AE$5:$AE$164,$K353)</f>
        <v>161151.35815982652</v>
      </c>
      <c r="AB353" s="12">
        <f>MIN(INDEX(其他调用!$AJ$5:$AJ$364,MATCH($K353,其他调用!$AG$5:$AG$364,0),1)/INDEX(其他调用!AH$5:AH$364,MATCH($K353,其他调用!$AG$5:$AG$364,0),0),1)*INDEX(其他调用!Y$5:Y$404,MATCH($K353,其他调用!$X$5:$X$404,0),0)</f>
        <v>43331.378153993181</v>
      </c>
      <c r="AC353" s="12">
        <f>MIN(INDEX(其他调用!$AJ$5:$AJ$364,MATCH($K353,其他调用!$AG$5:$AG$364,0),1)/INDEX(其他调用!AI$5:AI$364,MATCH($K353,其他调用!$AG$5:$AG$364,0),0),1)*INDEX(其他调用!Z$5:Z$404,MATCH($K353,其他调用!$X$5:$X$404,0),0)</f>
        <v>44492.400820188101</v>
      </c>
      <c r="AD353" s="12">
        <f>MIN(INDEX(其他调用!$AJ$5:$AJ$364,MATCH($K353,其他调用!$AG$5:$AG$364,0),1)/INDEX(其他调用!AJ$5:AJ$364,MATCH($K353,其他调用!$AG$5:$AG$364,0),0),1)*INDEX(其他调用!AA$5:AA$404,MATCH($K353,其他调用!$X$5:$X$404,0),0)</f>
        <v>46043.245188521891</v>
      </c>
      <c r="AE353" s="12">
        <f>MIN(INDEX(其他调用!$AJ$5:$AJ$364,MATCH($K353,其他调用!$AG$5:$AG$364,0),1)/INDEX(其他调用!AK$5:AK$364,MATCH($K353,其他调用!$AG$5:$AG$364,0),0),1)*INDEX(其他调用!AB$5:AB$404,MATCH($K353,其他调用!$X$5:$X$404,0),0)</f>
        <v>19026.040708995537</v>
      </c>
      <c r="AF353" s="12">
        <f>MIN(INDEX(其他调用!$AJ$5:$AJ$364,MATCH($K353,其他调用!$AG$5:$AG$364,0),1)/INDEX(其他调用!AL$5:AL$364,MATCH($K353,其他调用!$AG$5:$AG$364,0),0),1)*INDEX(其他调用!AC$5:AC$404,MATCH($K353,其他调用!$X$5:$X$404,0),0)</f>
        <v>11966.199427792719</v>
      </c>
      <c r="AG353" s="12">
        <f>求节点(节奏总纲!D$4:D$163,标准城池设计!AE$4:AE$163,$K353)*求节点(节奏总纲!D$4:D$163,攻城基础信息!$AF$5:$AF$164,$K353)</f>
        <v>1184785.0137279185</v>
      </c>
      <c r="AH353" s="12">
        <f>INDEX(其他调用!$AA$5:$AA$404,MATCH($K353,其他调用!$X$5:$X$404,0))*MIN(INDEX(其他调用!AK$5:AK$364,MATCH($K353,其他调用!$AG$5:$AG$364,0),1)/INDEX(其他调用!$AJ$5:$AJ$364,MATCH($K353,其他调用!$AG$5:$AG$364,0),0),5)*求节点(节奏总纲!D$4:D$163,攻城基础信息!$AF$5:$AF$164,$K353)</f>
        <v>408973.45610749751</v>
      </c>
      <c r="AI353" s="12">
        <f>MIN(INDEX(其他调用!$AK$5:$AK$364,MATCH($K353,其他调用!$AG$5:$AG$364,0),1)/INDEX(其他调用!AH$5:AH$364,MATCH($K353,其他调用!$AG$5:$AG$364,0),0),1)*INDEX(其他调用!Y$5:Y$404,MATCH($K353,其他调用!$X$5:$X$404,0),0)</f>
        <v>43331.378153993181</v>
      </c>
      <c r="AJ353" s="12">
        <f>MIN(INDEX(其他调用!$AK$5:$AK$364,MATCH($K353,其他调用!$AG$5:$AG$364,0),1)/INDEX(其他调用!AI$5:AI$364,MATCH($K353,其他调用!$AG$5:$AG$364,0),0),1)*INDEX(其他调用!Z$5:Z$404,MATCH($K353,其他调用!$X$5:$X$404,0),0)</f>
        <v>44492.400820188101</v>
      </c>
      <c r="AK353" s="12">
        <f>MIN(INDEX(其他调用!$AK$5:$AK$364,MATCH($K353,其他调用!$AG$5:$AG$364,0),1)/INDEX(其他调用!AJ$5:AJ$364,MATCH($K353,其他调用!$AG$5:$AG$364,0),0),1)*INDEX(其他调用!AA$5:AA$404,MATCH($K353,其他调用!$X$5:$X$404,0),0)</f>
        <v>46043.245188521891</v>
      </c>
      <c r="AL353" s="12">
        <f>MIN(INDEX(其他调用!$AK$5:$AK$364,MATCH($K353,其他调用!$AG$5:$AG$364,0),1)/INDEX(其他调用!AK$5:AK$364,MATCH($K353,其他调用!$AG$5:$AG$364,0),0),1)*INDEX(其他调用!AB$5:AB$404,MATCH($K353,其他调用!$X$5:$X$404,0),0)</f>
        <v>48284.703980481943</v>
      </c>
      <c r="AM353" s="12">
        <f>MIN(INDEX(其他调用!$AK$5:$AK$364,MATCH($K353,其他调用!$AG$5:$AG$364,0),1)/INDEX(其他调用!AL$5:AL$364,MATCH($K353,其他调用!$AG$5:$AG$364,0),0),1)*INDEX(其他调用!AC$5:AC$404,MATCH($K353,其他调用!$X$5:$X$404,0),0)</f>
        <v>30368.08372165453</v>
      </c>
      <c r="AN353" s="12">
        <f>求节点(节奏总纲!D$4:D$163,标准城池设计!AF$4:AF$163,$K353)*求节点(节奏总纲!D$4:D$163,攻城基础信息!$AG$5:$AG$164,$K353)</f>
        <v>1222021.4727311358</v>
      </c>
      <c r="AO353" s="12">
        <f>INDEX(其他调用!$AA$5:$AA$404,MATCH($K353,其他调用!$X$5:$X$404,0))*MIN(INDEX(其他调用!AL$5:AL$364,MATCH($K353,其他调用!$AG$5:$AG$364,0),1)/INDEX(其他调用!$AJ$5:$AJ$364,MATCH($K353,其他调用!$AG$5:$AG$364,0),0),5)*求节点(节奏总纲!D$4:D$163,攻城基础信息!$AG$5:$AG$164,$K353)</f>
        <v>702603.20626986737</v>
      </c>
      <c r="AP353" s="12">
        <f>MIN(INDEX(其他调用!$AL$5:$AL$364,MATCH($K353,其他调用!$AG$5:$AG$364,0),1)/INDEX(其他调用!AH$5:AH$364,MATCH($K353,其他调用!$AG$5:$AG$364,0),0),1)*INDEX(其他调用!Y$5:Y$404,MATCH($K353,其他调用!$X$5:$X$404,0),0)</f>
        <v>43331.378153993181</v>
      </c>
      <c r="AQ353" s="12">
        <f>MIN(INDEX(其他调用!$AL$5:$AL$364,MATCH($K353,其他调用!$AG$5:$AG$364,0),1)/INDEX(其他调用!AI$5:AI$364,MATCH($K353,其他调用!$AG$5:$AG$364,0),0),1)*INDEX(其他调用!Z$5:Z$404,MATCH($K353,其他调用!$X$5:$X$404,0),0)</f>
        <v>44492.400820188101</v>
      </c>
      <c r="AR353" s="12">
        <f>MIN(INDEX(其他调用!$AL$5:$AL$364,MATCH($K353,其他调用!$AG$5:$AG$364,0),1)/INDEX(其他调用!AJ$5:AJ$364,MATCH($K353,其他调用!$AG$5:$AG$364,0),0),1)*INDEX(其他调用!AA$5:AA$404,MATCH($K353,其他调用!$X$5:$X$404,0),0)</f>
        <v>46043.245188521891</v>
      </c>
      <c r="AS353" s="12">
        <f>MIN(INDEX(其他调用!$AL$5:$AL$364,MATCH($K353,其他调用!$AG$5:$AG$364,0),1)/INDEX(其他调用!AK$5:AK$364,MATCH($K353,其他调用!$AG$5:$AG$364,0),0),1)*INDEX(其他调用!AB$5:AB$404,MATCH($K353,其他调用!$X$5:$X$404,0),0)</f>
        <v>48284.703980481943</v>
      </c>
      <c r="AT353" s="12">
        <f>MIN(INDEX(其他调用!$AL$5:$AL$364,MATCH($K353,其他调用!$AG$5:$AG$364,0),1)/INDEX(其他调用!AL$5:AL$364,MATCH($K353,其他调用!$AG$5:$AG$364,0),0),1)*INDEX(其他调用!AC$5:AC$404,MATCH($K353,其他调用!$X$5:$X$404,0),0)</f>
        <v>52171.388319876554</v>
      </c>
      <c r="AV353" s="14">
        <f>IF(OR(AV$5="大R",AV$5="超R"),MAX(INDEX(其他调用!$H$5:$L$404,MATCH($K353,其他调用!$B$5:$B$404,0),MATCH(AV$5,其他调用!$H$4:$L$4,0))*120*0.85,2),INDEX(其他调用!$H$5:$L$404,MATCH($K353,其他调用!$B$5:$B$404,0),MATCH(AV$5,其他调用!$H$4:$L$4,0))*120*0.85)</f>
        <v>48.921801254999991</v>
      </c>
      <c r="AW353" s="14">
        <f>IF(OR(AW$5="大R",AW$5="超R"),MAX(INDEX(其他调用!$H$5:$L$404,MATCH($K353,其他调用!$B$5:$B$404,0),MATCH(AW$5,其他调用!$H$4:$L$4,0))*120*0.85,2),INDEX(其他调用!$H$5:$L$404,MATCH($K353,其他调用!$B$5:$B$404,0),MATCH(AW$5,其他调用!$H$4:$L$4,0))*120*0.85)</f>
        <v>48.237344010638395</v>
      </c>
      <c r="AX353" s="14">
        <f>IF(OR(AX$5="大R",AX$5="超R"),MAX(INDEX(其他调用!$H$5:$L$404,MATCH($K353,其他调用!$B$5:$B$404,0),MATCH(AX$5,其他调用!$H$4:$L$4,0))*120*0.85,2),INDEX(其他调用!$H$5:$L$404,MATCH($K353,其他调用!$B$5:$B$404,0),MATCH(AX$5,其他调用!$H$4:$L$4,0))*120*0.85)</f>
        <v>3.9376284143615998</v>
      </c>
      <c r="AY353" s="14">
        <f>IF(OR(AY$5="大R",AY$5="超R"),MAX(INDEX(其他调用!$H$5:$L$404,MATCH($K353,其他调用!$B$5:$B$404,0),MATCH(AY$5,其他调用!$H$4:$L$4,0))*120*0.85,2),INDEX(其他调用!$H$5:$L$404,MATCH($K353,其他调用!$B$5:$B$404,0),MATCH(AY$5,其他调用!$H$4:$L$4,0))*120*0.85)</f>
        <v>2</v>
      </c>
      <c r="AZ353" s="14">
        <f>IF(OR(AZ$5="大R",AZ$5="超R"),MAX(INDEX(其他调用!$H$5:$L$404,MATCH($K353,其他调用!$B$5:$B$404,0),MATCH(AZ$5,其他调用!$H$4:$L$4,0))*120*0.85,2),INDEX(其他调用!$H$5:$L$404,MATCH($K353,其他调用!$B$5:$B$404,0),MATCH(AZ$5,其他调用!$H$4:$L$4,0))*120*0.85)</f>
        <v>2</v>
      </c>
      <c r="BA353" s="14">
        <f>INDEX(其他调用!$H$5:$L$404,MATCH($K353,其他调用!$B$5:$B$404,0),MATCH(BA$5,其他调用!$H$4:$L$4,0))*INDEX(其他调用!$M$5:$M$404,MATCH($K353,其他调用!$B$5:$B$404,0))*0.6</f>
        <v>28.777530149999997</v>
      </c>
      <c r="BB353" s="14">
        <f>INDEX(其他调用!$H$5:$L$404,MATCH($K353,其他调用!$B$5:$B$404,0),MATCH(BB$5,其他调用!$H$4:$L$4,0))*INDEX(其他调用!$M$5:$M$404,MATCH($K353,其他调用!$B$5:$B$404,0))*0.6</f>
        <v>28.374908241551999</v>
      </c>
      <c r="BC353" s="14">
        <f>INDEX(其他调用!$H$5:$L$404,MATCH($K353,其他调用!$B$5:$B$404,0),MATCH(BC$5,其他调用!$H$4:$L$4,0))*INDEX(其他调用!$M$5:$M$404,MATCH($K353,其他调用!$B$5:$B$404,0))*0.6</f>
        <v>2.3162520084480001</v>
      </c>
      <c r="BD353" s="14">
        <f>INDEX(其他调用!$H$5:$L$404,MATCH($K353,其他调用!$B$5:$B$404,0),MATCH(BD$5,其他调用!$H$4:$L$4,0))*INDEX(其他调用!$M$5:$M$404,MATCH($K353,其他调用!$B$5:$B$404,0))*0.6</f>
        <v>0.4120776000000001</v>
      </c>
      <c r="BE353" s="14">
        <f>INDEX(其他调用!$H$5:$L$404,MATCH($K353,其他调用!$B$5:$B$404,0),MATCH(BE$5,其他调用!$H$4:$L$4,0))*INDEX(其他调用!$M$5:$M$404,MATCH($K353,其他调用!$B$5:$B$404,0))*0.6</f>
        <v>0.11923199999999998</v>
      </c>
      <c r="BF353" s="14">
        <f>IF(OR(BF$5="大R",BF$5="超R"),0,INDEX(其他调用!$H$5:$L$404,MATCH($K353,其他调用!$B$5:$B$404,0),MATCH(BF$5,其他调用!$H$4:$L$4,0))*50*0.4)</f>
        <v>9.5925100500000013</v>
      </c>
      <c r="BG353" s="14">
        <f>IF(OR(BG$5="大R",BG$5="超R"),0,INDEX(其他调用!$H$5:$L$404,MATCH($K353,其他调用!$B$5:$B$404,0),MATCH(BG$5,其他调用!$H$4:$L$4,0))*50*0.4)</f>
        <v>9.4583027471839998</v>
      </c>
      <c r="BH353" s="14">
        <f>IF(OR(BH$5="大R",BH$5="超R"),0,INDEX(其他调用!$H$5:$L$404,MATCH($K353,其他调用!$B$5:$B$404,0),MATCH(BH$5,其他调用!$H$4:$L$4,0))*50*0.4)</f>
        <v>0.77208400281600009</v>
      </c>
      <c r="BI353" s="14">
        <f>IF(OR(BI$5="大R",BI$5="超R"),0,INDEX(其他调用!$H$5:$L$404,MATCH($K353,其他调用!$B$5:$B$404,0),MATCH(BI$5,其他调用!$H$4:$L$4,0))*50*0.4)</f>
        <v>0</v>
      </c>
      <c r="BJ353" s="14">
        <f>IF(OR(BJ$5="大R",BJ$5="超R"),0,INDEX(其他调用!$H$5:$L$404,MATCH($K353,其他调用!$B$5:$B$404,0),MATCH(BJ$5,其他调用!$H$4:$L$4,0))*50*0.4)</f>
        <v>0</v>
      </c>
      <c r="BL353" s="14">
        <f t="shared" si="628"/>
        <v>348</v>
      </c>
      <c r="BM353" s="14">
        <f t="shared" si="535"/>
        <v>96</v>
      </c>
      <c r="BN353" s="14">
        <f>('疲劳值&amp;地图信息'!$S$10*'疲劳值&amp;地图信息'!$R$10+'疲劳值&amp;地图信息'!$S$11*'疲劳值&amp;地图信息'!$R$11+'疲劳值&amp;地图信息'!$S$12*'疲劳值&amp;地图信息'!$R$12+(BM353-'疲劳值&amp;地图信息'!$S$12-'疲劳值&amp;地图信息'!$S$11-'疲劳值&amp;地图信息'!$S$10)*'疲劳值&amp;地图信息'!$R$13)/BM353</f>
        <v>51.371477246638619</v>
      </c>
      <c r="BO353" s="14">
        <f>INDEX(其他调用!$M$5:$M$404,MATCH(BL353,其他调用!$B$5:$B$404,0))*0.6</f>
        <v>60</v>
      </c>
      <c r="BP353" s="14">
        <f>IF(BO353&gt;SUM('疲劳值&amp;地图信息'!$S$10:$S$12),('疲劳值&amp;地图信息'!$S$10*'疲劳值&amp;地图信息'!$R$10+'疲劳值&amp;地图信息'!$S$11*'疲劳值&amp;地图信息'!$R$11+'疲劳值&amp;地图信息'!$S$12*'疲劳值&amp;地图信息'!$R$12+(BO353-'疲劳值&amp;地图信息'!$S$12-'疲劳值&amp;地图信息'!$S$11-'疲劳值&amp;地图信息'!$S$10)*'疲劳值&amp;地图信息'!$R$13)/BO353,('疲劳值&amp;地图信息'!$S$10*'疲劳值&amp;地图信息'!$R$10+'疲劳值&amp;地图信息'!$S$11*'疲劳值&amp;地图信息'!$R$11+'疲劳值&amp;地图信息'!$S$12*'疲劳值&amp;地图信息'!$R$12+(BO353-'疲劳值&amp;地图信息'!$S$12-'疲劳值&amp;地图信息'!$S$11-'疲劳值&amp;地图信息'!$S$10)*'疲劳值&amp;地图信息'!$R$13)/BO353)</f>
        <v>44.158136341605953</v>
      </c>
      <c r="BQ353" s="14">
        <f t="shared" si="629"/>
        <v>20</v>
      </c>
      <c r="BR353" s="14">
        <f>('疲劳值&amp;地图信息'!$S$10*'疲劳值&amp;地图信息'!$R$10+($BQ353-'疲劳值&amp;地图信息'!$S$10)*'疲劳值&amp;地图信息'!$R$11)/$BQ353</f>
        <v>32.067203015074995</v>
      </c>
      <c r="CF353" s="14">
        <v>348</v>
      </c>
      <c r="CG353" s="51">
        <f t="shared" si="536"/>
        <v>17078</v>
      </c>
      <c r="CH353" s="51">
        <f t="shared" si="537"/>
        <v>1033</v>
      </c>
      <c r="CI353" s="51">
        <f>INT(SUMPRODUCT($N353:$R353,$BA353:$BE353)/SUM($BA353:$BE353)/10000*$BX$7*$BZ$34/'疲劳值&amp;地图信息'!$R$10*$BY$53)</f>
        <v>3393</v>
      </c>
      <c r="CJ353" s="50">
        <f t="shared" si="538"/>
        <v>0.79417782738095233</v>
      </c>
      <c r="CK353" s="50">
        <f t="shared" si="539"/>
        <v>4.8037574404761904E-2</v>
      </c>
      <c r="CL353" s="50">
        <f t="shared" si="540"/>
        <v>0.15778459821428573</v>
      </c>
      <c r="CM353" s="14">
        <f t="shared" si="541"/>
        <v>18702</v>
      </c>
      <c r="CN353" s="14">
        <f t="shared" si="542"/>
        <v>1804</v>
      </c>
      <c r="CO353" s="14">
        <f>INT(SUMPRODUCT($U353:$Y353,$BA353:$BE353)/SUM($BA353:$BE353)/10000*$BX$7*$BZ$34/'疲劳值&amp;地图信息'!$R$10*$BY$54)</f>
        <v>6527</v>
      </c>
      <c r="CP353" s="50">
        <f t="shared" si="543"/>
        <v>0.69182110753523474</v>
      </c>
      <c r="CQ353" s="50">
        <f t="shared" si="544"/>
        <v>6.6733251951318753E-2</v>
      </c>
      <c r="CR353" s="50">
        <f t="shared" si="545"/>
        <v>0.24144564051344652</v>
      </c>
      <c r="CS353" s="14">
        <f t="shared" si="546"/>
        <v>20415</v>
      </c>
      <c r="CT353" s="14">
        <f t="shared" si="547"/>
        <v>3284</v>
      </c>
      <c r="CU353" s="14">
        <f>INT(SUMPRODUCT($AB353:$AF353,$BA353:$BE353)/SUM($BA353:$BE353)/10000*$BX$7*$BZ$34/'疲劳值&amp;地图信息'!$R$10*$BY$55)</f>
        <v>8879</v>
      </c>
      <c r="CV353" s="50">
        <f t="shared" si="548"/>
        <v>0.62664988642642272</v>
      </c>
      <c r="CW353" s="50">
        <f t="shared" si="549"/>
        <v>0.10080422370925164</v>
      </c>
      <c r="CX353" s="50">
        <f t="shared" si="550"/>
        <v>0.2725458898643256</v>
      </c>
      <c r="CY353" s="14">
        <f t="shared" si="551"/>
        <v>24147</v>
      </c>
      <c r="CZ353" s="14">
        <f t="shared" si="552"/>
        <v>8335</v>
      </c>
      <c r="DA353" s="14">
        <f>INT(SUMPRODUCT($AI353:$AM353,$BA353:$BE353)/SUM($BA353:$BE353)/10000*$BX$7*$BZ$34/'疲劳值&amp;地图信息'!$R$10*$BY$56)</f>
        <v>13391</v>
      </c>
      <c r="DB353" s="50">
        <f t="shared" si="553"/>
        <v>0.52638807141455757</v>
      </c>
      <c r="DC353" s="50">
        <f t="shared" si="554"/>
        <v>0.18169729470494628</v>
      </c>
      <c r="DD353" s="50">
        <f t="shared" si="555"/>
        <v>0.29191463388049615</v>
      </c>
      <c r="DE353" s="14">
        <f t="shared" si="556"/>
        <v>24906</v>
      </c>
      <c r="DF353" s="14">
        <f t="shared" si="557"/>
        <v>14319</v>
      </c>
      <c r="DG353" s="14">
        <f>INT(SUMPRODUCT($AP353:$AT353,$BA353:$BE353)/SUM($BA353:$BE353)/10000*$BX$7*$BZ$34/'疲劳值&amp;地图信息'!$R$10*$BY$57)</f>
        <v>17873</v>
      </c>
      <c r="DH353" s="50">
        <f t="shared" si="558"/>
        <v>0.43619741497075204</v>
      </c>
      <c r="DI353" s="50">
        <f t="shared" si="559"/>
        <v>0.25077936179901222</v>
      </c>
      <c r="DJ353" s="50">
        <f t="shared" si="560"/>
        <v>0.31302322323023574</v>
      </c>
      <c r="DL353" s="14">
        <f t="shared" si="631"/>
        <v>21504</v>
      </c>
      <c r="DM353" s="14">
        <f t="shared" si="632"/>
        <v>27033</v>
      </c>
      <c r="DN353" s="14">
        <f t="shared" si="633"/>
        <v>32578</v>
      </c>
      <c r="DO353" s="14">
        <f t="shared" si="634"/>
        <v>45873</v>
      </c>
      <c r="DP353" s="14">
        <f t="shared" si="635"/>
        <v>57098</v>
      </c>
      <c r="DQ353" s="14">
        <f t="shared" si="636"/>
        <v>1487060</v>
      </c>
      <c r="DT353" s="14">
        <f t="shared" si="630"/>
        <v>235575</v>
      </c>
      <c r="DU353" s="50">
        <f t="shared" si="532"/>
        <v>0.1367527073349839</v>
      </c>
      <c r="DW353" s="14">
        <f t="shared" si="561"/>
        <v>1722635</v>
      </c>
      <c r="EB353" s="14">
        <v>348</v>
      </c>
      <c r="EC353" s="51">
        <f t="shared" si="562"/>
        <v>28464</v>
      </c>
      <c r="ED353" s="51">
        <f t="shared" si="563"/>
        <v>1722</v>
      </c>
      <c r="EE353" s="51">
        <f>INT(SUMPRODUCT($N353:$R353,$BF353:$BJ353)/SUM($BF353:$BJ353)/10000*$BX$7*$BZ$46/'疲劳值&amp;地图信息'!$R$10*$BY$53)</f>
        <v>455</v>
      </c>
      <c r="EF353" s="50">
        <f t="shared" si="564"/>
        <v>0.92895140498025519</v>
      </c>
      <c r="EG353" s="50">
        <f t="shared" si="565"/>
        <v>5.6199210208544105E-2</v>
      </c>
      <c r="EH353" s="50">
        <f t="shared" si="566"/>
        <v>1.4849384811200678E-2</v>
      </c>
      <c r="EI353" s="51">
        <f t="shared" si="567"/>
        <v>31171</v>
      </c>
      <c r="EJ353" s="51">
        <f t="shared" si="568"/>
        <v>3006</v>
      </c>
      <c r="EK353" s="14">
        <f>INT(SUMPRODUCT($U353:$Y353,$BF353:$BJ353)/SUM($BF353:$BJ353)/10000*$BX$7*$BZ$46/'疲劳值&amp;地图信息'!$R$10*$BY$54)</f>
        <v>876</v>
      </c>
      <c r="EL353" s="50">
        <f t="shared" si="569"/>
        <v>0.88925341625538468</v>
      </c>
      <c r="EM353" s="50">
        <f t="shared" si="570"/>
        <v>8.5755855418937044E-2</v>
      </c>
      <c r="EN353" s="50">
        <f t="shared" si="571"/>
        <v>2.4990728325678259E-2</v>
      </c>
      <c r="EO353" s="51">
        <f t="shared" si="572"/>
        <v>34026</v>
      </c>
      <c r="EP353" s="51">
        <f t="shared" si="573"/>
        <v>5474</v>
      </c>
      <c r="EQ353" s="14">
        <f>INT(SUMPRODUCT($AB353:$AF353,$BF353:$BJ353)/SUM($BF353:$BJ353)/10000*$BX$7*$BZ$46/'疲劳值&amp;地图信息'!$R$10*$BY$55)</f>
        <v>1190</v>
      </c>
      <c r="ER353" s="50">
        <f t="shared" si="574"/>
        <v>0.83622511673629885</v>
      </c>
      <c r="ES353" s="50">
        <f t="shared" si="575"/>
        <v>0.13452936839518309</v>
      </c>
      <c r="ET353" s="50">
        <f t="shared" si="576"/>
        <v>2.9245514868518063E-2</v>
      </c>
      <c r="EU353" s="51">
        <f t="shared" si="577"/>
        <v>40245</v>
      </c>
      <c r="EV353" s="51">
        <f t="shared" si="578"/>
        <v>13892</v>
      </c>
      <c r="EW353" s="14">
        <f>INT(SUMPRODUCT($AI353:$AM353,$BF353:$BJ353)/SUM($BF353:$BJ353)/10000*$BX$7*$BZ$46/'疲劳值&amp;地图信息'!$R$10*$BY$56)</f>
        <v>1785</v>
      </c>
      <c r="EX353" s="50">
        <f t="shared" si="579"/>
        <v>0.71966310217803364</v>
      </c>
      <c r="EY353" s="50">
        <f t="shared" si="580"/>
        <v>0.24841743857515824</v>
      </c>
      <c r="EZ353" s="50">
        <f t="shared" si="581"/>
        <v>3.1919459246808057E-2</v>
      </c>
      <c r="FA353" s="51">
        <f t="shared" si="582"/>
        <v>41510</v>
      </c>
      <c r="FB353" s="51">
        <f t="shared" si="583"/>
        <v>23866</v>
      </c>
      <c r="FC353" s="14">
        <f>INT(SUMPRODUCT($AP353:$AT353,$BF353:$BJ353)/SUM($BF353:$BJ353)/10000*$BX$7*$BZ$46/'疲劳值&amp;地图信息'!$R$10*$BY$57)</f>
        <v>2380</v>
      </c>
      <c r="FD353" s="50">
        <f t="shared" si="584"/>
        <v>0.61263947104315486</v>
      </c>
      <c r="FE353" s="50">
        <f t="shared" si="585"/>
        <v>0.35223448845858668</v>
      </c>
      <c r="FF353" s="50">
        <f t="shared" si="586"/>
        <v>3.512604049825846E-2</v>
      </c>
      <c r="FH353" s="14">
        <f t="shared" si="587"/>
        <v>30641</v>
      </c>
      <c r="FI353" s="14">
        <f t="shared" si="588"/>
        <v>35053</v>
      </c>
      <c r="FJ353" s="14">
        <f t="shared" si="589"/>
        <v>40690</v>
      </c>
      <c r="FK353" s="14">
        <f t="shared" si="590"/>
        <v>55922</v>
      </c>
      <c r="FL353" s="14">
        <f t="shared" si="591"/>
        <v>67756</v>
      </c>
      <c r="FM353" s="14">
        <f t="shared" si="592"/>
        <v>3597454</v>
      </c>
      <c r="FP353" s="14">
        <f t="shared" si="593"/>
        <v>334150</v>
      </c>
      <c r="FQ353" s="50">
        <f t="shared" si="533"/>
        <v>8.4990756953141774E-2</v>
      </c>
      <c r="FS353" s="14">
        <f t="shared" si="594"/>
        <v>3931604</v>
      </c>
      <c r="FX353" s="14">
        <v>348</v>
      </c>
      <c r="FY353" s="51">
        <f t="shared" si="595"/>
        <v>39850</v>
      </c>
      <c r="FZ353" s="51">
        <f t="shared" si="596"/>
        <v>1722</v>
      </c>
      <c r="GA353" s="51">
        <f>INT(SUMPRODUCT($N353:$R353,$BF353:$BJ353)/SUM($BF353:$BJ353)/10000*$BX$7*$BZ$46/'疲劳值&amp;地图信息'!$R$10*$BY$53)</f>
        <v>455</v>
      </c>
      <c r="GB353" s="50">
        <f t="shared" si="597"/>
        <v>0.94819996668808149</v>
      </c>
      <c r="GC353" s="50">
        <f t="shared" si="598"/>
        <v>4.0973659790134911E-2</v>
      </c>
      <c r="GD353" s="50">
        <f t="shared" si="599"/>
        <v>1.0826373521783615E-2</v>
      </c>
      <c r="GE353" s="51">
        <f t="shared" si="600"/>
        <v>43639</v>
      </c>
      <c r="GF353" s="51">
        <f t="shared" si="601"/>
        <v>3006</v>
      </c>
      <c r="GG353" s="14">
        <f>INT(SUMPRODUCT($U353:$Y353,$BF353:$BJ353)/SUM($BF353:$BJ353)/10000*$BX$7*$BZ$46/'疲劳值&amp;地图信息'!$R$10*$BY$54)</f>
        <v>876</v>
      </c>
      <c r="GH353" s="50">
        <f t="shared" si="602"/>
        <v>0.9183097998779487</v>
      </c>
      <c r="GI353" s="50">
        <f t="shared" si="603"/>
        <v>6.3256244607647144E-2</v>
      </c>
      <c r="GJ353" s="50">
        <f t="shared" si="604"/>
        <v>1.8433955514404157E-2</v>
      </c>
      <c r="GK353" s="51">
        <f t="shared" si="605"/>
        <v>47636</v>
      </c>
      <c r="GL353" s="51">
        <f t="shared" si="606"/>
        <v>5474</v>
      </c>
      <c r="GM353" s="14">
        <f>INT(SUMPRODUCT($AB353:$AF353,$BF353:$BJ353)/SUM($BF353:$BJ353)/10000*$BX$7*$BZ$46/'疲劳值&amp;地图信息'!$R$10*$BY$55)</f>
        <v>1190</v>
      </c>
      <c r="GN353" s="50">
        <f t="shared" si="607"/>
        <v>0.87727440147329649</v>
      </c>
      <c r="GO353" s="50">
        <f t="shared" si="608"/>
        <v>0.10081031307550645</v>
      </c>
      <c r="GP353" s="50">
        <f t="shared" si="609"/>
        <v>2.1915285451197055E-2</v>
      </c>
      <c r="GQ353" s="51">
        <f t="shared" si="610"/>
        <v>56344</v>
      </c>
      <c r="GR353" s="51">
        <f t="shared" si="611"/>
        <v>13892</v>
      </c>
      <c r="GS353" s="14">
        <f>INT(SUMPRODUCT($AI353:$AM353,$BF353:$BJ353)/SUM($BF353:$BJ353)/10000*$BX$7*$BZ$46/'疲劳值&amp;地图信息'!$R$10*$BY$56)</f>
        <v>1785</v>
      </c>
      <c r="GT353" s="50">
        <f t="shared" si="612"/>
        <v>0.78232737673734054</v>
      </c>
      <c r="GU353" s="50">
        <f t="shared" si="613"/>
        <v>0.19288818539037225</v>
      </c>
      <c r="GV353" s="50">
        <f t="shared" si="614"/>
        <v>2.4784437872287249E-2</v>
      </c>
      <c r="GW353" s="51">
        <f t="shared" si="615"/>
        <v>58114</v>
      </c>
      <c r="GX353" s="51">
        <f t="shared" si="616"/>
        <v>23866</v>
      </c>
      <c r="GY353" s="14">
        <f>INT(SUMPRODUCT($AP353:$AT353,$BF353:$BJ353)/SUM($BF353:$BJ353)/10000*$BX$7*$BZ$46/'疲劳值&amp;地图信息'!$R$10*$BY$57)</f>
        <v>2380</v>
      </c>
      <c r="GZ353" s="50">
        <f t="shared" si="617"/>
        <v>0.6888809862494073</v>
      </c>
      <c r="HA353" s="50">
        <f t="shared" si="618"/>
        <v>0.28290659080132763</v>
      </c>
      <c r="HB353" s="50">
        <f t="shared" si="619"/>
        <v>2.8212422949265053E-2</v>
      </c>
      <c r="HD353" s="14">
        <f t="shared" si="620"/>
        <v>42027</v>
      </c>
      <c r="HE353" s="14">
        <f t="shared" si="621"/>
        <v>47521</v>
      </c>
      <c r="HF353" s="14">
        <f t="shared" si="622"/>
        <v>54300</v>
      </c>
      <c r="HG353" s="14">
        <f t="shared" si="623"/>
        <v>72021</v>
      </c>
      <c r="HH353" s="14">
        <f t="shared" si="624"/>
        <v>84360</v>
      </c>
      <c r="HI353" s="14">
        <f t="shared" si="625"/>
        <v>4874898</v>
      </c>
      <c r="HL353" s="14">
        <f t="shared" si="626"/>
        <v>430050</v>
      </c>
      <c r="HM353" s="50">
        <f t="shared" si="534"/>
        <v>8.1065827600949159E-2</v>
      </c>
      <c r="HO353" s="14">
        <f t="shared" si="627"/>
        <v>5304948</v>
      </c>
    </row>
    <row r="354" spans="11:223" x14ac:dyDescent="0.2">
      <c r="K354" s="14">
        <v>349</v>
      </c>
      <c r="L354" s="12">
        <f>求节点(节奏总纲!D$4:D$163,标准城池设计!AB$4:AB$163,$K354)*求节点(节奏总纲!D$4:D$163,攻城基础信息!$AC$5:$AC$164,$K354)</f>
        <v>839054.81844618346</v>
      </c>
      <c r="M354" s="12">
        <f>INDEX(其他调用!$AA$5:$AA$404,MATCH(K354,其他调用!$X$5:$X$404,0))*MIN(INDEX(其他调用!$AH$5:$AH$364,MATCH('征服点（新）'!K354,其他调用!$AG$5:$AG$364,0),1)/INDEX(其他调用!$AJ$5:$AJ$364,MATCH(K354,其他调用!$AG$5:$AG$364,0),0),5)*求节点(节奏总纲!D$4:D$163,攻城基础信息!$AC$5:$AC$164,$K354)</f>
        <v>50642.288060184837</v>
      </c>
      <c r="N354" s="12">
        <f>MIN(INDEX(其他调用!$AH$5:$AH$364,MATCH($K354,其他调用!$AG$5:$AG$364,0),1)/INDEX(其他调用!AH$5:AH$364,MATCH($K354,其他调用!$AG$5:$AG$364,0),0),1)*INDEX(其他调用!Y$5:Y$404,MATCH($K354,其他调用!$X$5:$X$404,0),0)</f>
        <v>43347.886125905578</v>
      </c>
      <c r="O354" s="12">
        <f>MIN(INDEX(其他调用!$AH$5:$AH$364,MATCH($K354,其他调用!$AG$5:$AG$364,0),1)/INDEX(其他调用!AI$5:AI$364,MATCH($K354,其他调用!$AG$5:$AG$364,0),0),1)*INDEX(其他调用!Z$5:Z$404,MATCH($K354,其他调用!$X$5:$X$404,0),0)</f>
        <v>25489.586844341862</v>
      </c>
      <c r="P354" s="12">
        <f>MIN(INDEX(其他调用!$AH$5:$AH$364,MATCH($K354,其他调用!$AG$5:$AG$364,0),1)/INDEX(其他调用!AJ$5:AJ$364,MATCH($K354,其他调用!$AG$5:$AG$364,0),0),1)*INDEX(其他调用!AA$5:AA$404,MATCH($K354,其他调用!$X$5:$X$404,0),0)</f>
        <v>14469.22516005282</v>
      </c>
      <c r="Q354" s="12">
        <f>MIN(INDEX(其他调用!$AH$5:$AH$364,MATCH($K354,其他调用!$AG$5:$AG$364,0),1)/INDEX(其他调用!AK$5:AK$364,MATCH($K354,其他调用!$AG$5:$AG$364,0),0),1)*INDEX(其他调用!AB$5:AB$404,MATCH($K354,其他调用!$X$5:$X$404,0),0)</f>
        <v>5992.9651599715189</v>
      </c>
      <c r="R354" s="12">
        <f>MIN(INDEX(其他调用!$AH$5:$AH$364,MATCH($K354,其他调用!$AG$5:$AG$364,0),1)/INDEX(其他调用!AL$5:AL$364,MATCH($K354,其他调用!$AG$5:$AG$364,0),0),1)*INDEX(其他调用!AC$5:AC$404,MATCH($K354,其他调用!$X$5:$X$404,0),0)</f>
        <v>3772.2866481362125</v>
      </c>
      <c r="S354" s="12">
        <f>求节点(节奏总纲!D$4:D$163,标准城池设计!AC$4:AC$163,$K354)*求节点(节奏总纲!D$4:D$163,攻城基础信息!$AD$5:$AD$164,$K354)</f>
        <v>918731.49491809774</v>
      </c>
      <c r="T354" s="12">
        <f>INDEX(其他调用!$AA$5:$AA$404,MATCH($K354,其他调用!$X$5:$X$404,0))*MIN(INDEX(其他调用!AI$5:AI$364,MATCH($K354,其他调用!$AG$5:$AG$364,0),1)/INDEX(其他调用!$AJ$5:$AJ$364,MATCH($K354,其他调用!$AG$5:$AG$364,0),0),5)*求节点(节奏总纲!D$4:D$163,攻城基础信息!$AD$5:$AD$164,$K354)</f>
        <v>88430.251062441093</v>
      </c>
      <c r="U354" s="12">
        <f>MIN(INDEX(其他调用!$AI$5:$AI$364,MATCH($K354,其他调用!$AG$5:$AG$364,0),1)/INDEX(其他调用!AH$5:AH$364,MATCH($K354,其他调用!$AG$5:$AG$364,0),0),1)*INDEX(其他调用!Y$5:Y$404,MATCH($K354,其他调用!$X$5:$X$404,0),0)</f>
        <v>43347.886125905578</v>
      </c>
      <c r="V354" s="12">
        <f>MIN(INDEX(其他调用!$AI$5:$AI$364,MATCH($K354,其他调用!$AG$5:$AG$364,0),1)/INDEX(其他调用!AI$5:AI$364,MATCH($K354,其他调用!$AG$5:$AG$364,0),0),1)*INDEX(其他调用!Z$5:Z$404,MATCH($K354,其他调用!$X$5:$X$404,0),0)</f>
        <v>44509.256008422533</v>
      </c>
      <c r="W354" s="12">
        <f>MIN(INDEX(其他调用!$AI$5:$AI$364,MATCH($K354,其他调用!$AG$5:$AG$364,0),1)/INDEX(其他调用!AJ$5:AJ$364,MATCH($K354,其他调用!$AG$5:$AG$364,0),0),1)*INDEX(其他调用!AA$5:AA$404,MATCH($K354,其他调用!$X$5:$X$404,0),0)</f>
        <v>25265.786017840328</v>
      </c>
      <c r="X354" s="12">
        <f>MIN(INDEX(其他调用!$AI$5:$AI$364,MATCH($K354,其他调用!$AG$5:$AG$364,0),1)/INDEX(其他调用!AK$5:AK$364,MATCH($K354,其他调用!$AG$5:$AG$364,0),0),1)*INDEX(其他调用!AB$5:AB$404,MATCH($K354,其他调用!$X$5:$X$404,0),0)</f>
        <v>10464.760460169649</v>
      </c>
      <c r="Y354" s="12">
        <f>MIN(INDEX(其他调用!$AI$5:$AI$364,MATCH($K354,其他调用!$AG$5:$AG$364,0),1)/INDEX(其他调用!AL$5:AL$364,MATCH($K354,其他调用!$AG$5:$AG$364,0),0),1)*INDEX(其他调用!AC$5:AC$404,MATCH($K354,其他调用!$X$5:$X$404,0),0)</f>
        <v>6587.0691896412336</v>
      </c>
      <c r="Z354" s="12">
        <f>求节点(节奏总纲!D$4:D$163,标准城池设计!AD$4:AD$163,$K354)*求节点(节奏总纲!D$4:D$163,攻城基础信息!$AE$5:$AE$164,$K354)</f>
        <v>1003040.7193132504</v>
      </c>
      <c r="AA354" s="12">
        <f>INDEX(其他调用!$AA$5:$AA$404,MATCH($K354,其他调用!$X$5:$X$404,0))*MIN(INDEX(其他调用!AJ$5:AJ$364,MATCH($K354,其他调用!$AG$5:$AG$364,0),1)/INDEX(其他调用!$AJ$5:$AJ$364,MATCH($K354,其他调用!$AG$5:$AG$364,0),0),5)*求节点(节奏总纲!D$4:D$163,攻城基础信息!$AE$5:$AE$164,$K354)</f>
        <v>161213.93300575399</v>
      </c>
      <c r="AB354" s="12">
        <f>MIN(INDEX(其他调用!$AJ$5:$AJ$364,MATCH($K354,其他调用!$AG$5:$AG$364,0),1)/INDEX(其他调用!AH$5:AH$364,MATCH($K354,其他调用!$AG$5:$AG$364,0),0),1)*INDEX(其他调用!Y$5:Y$404,MATCH($K354,其他调用!$X$5:$X$404,0),0)</f>
        <v>43347.886125905578</v>
      </c>
      <c r="AC354" s="12">
        <f>MIN(INDEX(其他调用!$AJ$5:$AJ$364,MATCH($K354,其他调用!$AG$5:$AG$364,0),1)/INDEX(其他调用!AI$5:AI$364,MATCH($K354,其他调用!$AG$5:$AG$364,0),0),1)*INDEX(其他调用!Z$5:Z$404,MATCH($K354,其他调用!$X$5:$X$404,0),0)</f>
        <v>44509.256008422533</v>
      </c>
      <c r="AD354" s="12">
        <f>MIN(INDEX(其他调用!$AJ$5:$AJ$364,MATCH($K354,其他调用!$AG$5:$AG$364,0),1)/INDEX(其他调用!AJ$5:AJ$364,MATCH($K354,其他调用!$AG$5:$AG$364,0),0),1)*INDEX(其他调用!AA$5:AA$404,MATCH($K354,其他调用!$X$5:$X$404,0),0)</f>
        <v>46061.123715929745</v>
      </c>
      <c r="AE354" s="12">
        <f>MIN(INDEX(其他调用!$AJ$5:$AJ$364,MATCH($K354,其他调用!$AG$5:$AG$364,0),1)/INDEX(其他调用!AK$5:AK$364,MATCH($K354,其他调用!$AG$5:$AG$364,0),0),1)*INDEX(其他调用!AB$5:AB$404,MATCH($K354,其他调用!$X$5:$X$404,0),0)</f>
        <v>19077.919280765211</v>
      </c>
      <c r="AF354" s="12">
        <f>MIN(INDEX(其他调用!$AJ$5:$AJ$364,MATCH($K354,其他调用!$AG$5:$AG$364,0),1)/INDEX(其他调用!AL$5:AL$364,MATCH($K354,其他调用!$AG$5:$AG$364,0),0),1)*INDEX(其他调用!AC$5:AC$404,MATCH($K354,其他调用!$X$5:$X$404,0),0)</f>
        <v>12008.643176793146</v>
      </c>
      <c r="AG354" s="12">
        <f>求节点(节奏总纲!D$4:D$163,标准城池设计!AE$4:AE$163,$K354)*求节点(节奏总纲!D$4:D$163,攻城基础信息!$AF$5:$AF$164,$K354)</f>
        <v>1185498.0247097593</v>
      </c>
      <c r="AH354" s="12">
        <f>INDEX(其他调用!$AA$5:$AA$404,MATCH($K354,其他调用!$X$5:$X$404,0))*MIN(INDEX(其他调用!AK$5:AK$364,MATCH($K354,其他调用!$AG$5:$AG$364,0),1)/INDEX(其他调用!$AJ$5:$AJ$364,MATCH($K354,其他调用!$AG$5:$AG$364,0),0),5)*求节点(节奏总纲!D$4:D$163,攻城基础信息!$AF$5:$AF$164,$K354)</f>
        <v>408165.57308685512</v>
      </c>
      <c r="AI354" s="12">
        <f>MIN(INDEX(其他调用!$AK$5:$AK$364,MATCH($K354,其他调用!$AG$5:$AG$364,0),1)/INDEX(其他调用!AH$5:AH$364,MATCH($K354,其他调用!$AG$5:$AG$364,0),0),1)*INDEX(其他调用!Y$5:Y$404,MATCH($K354,其他调用!$X$5:$X$404,0),0)</f>
        <v>43347.886125905578</v>
      </c>
      <c r="AJ354" s="12">
        <f>MIN(INDEX(其他调用!$AK$5:$AK$364,MATCH($K354,其他调用!$AG$5:$AG$364,0),1)/INDEX(其他调用!AI$5:AI$364,MATCH($K354,其他调用!$AG$5:$AG$364,0),0),1)*INDEX(其他调用!Z$5:Z$404,MATCH($K354,其他调用!$X$5:$X$404,0),0)</f>
        <v>44509.256008422533</v>
      </c>
      <c r="AK354" s="12">
        <f>MIN(INDEX(其他调用!$AK$5:$AK$364,MATCH($K354,其他调用!$AG$5:$AG$364,0),1)/INDEX(其他调用!AJ$5:AJ$364,MATCH($K354,其他调用!$AG$5:$AG$364,0),0),1)*INDEX(其他调用!AA$5:AA$404,MATCH($K354,其他调用!$X$5:$X$404,0),0)</f>
        <v>46061.123715929745</v>
      </c>
      <c r="AL354" s="12">
        <f>MIN(INDEX(其他调用!$AK$5:$AK$364,MATCH($K354,其他调用!$AG$5:$AG$364,0),1)/INDEX(其他调用!AK$5:AK$364,MATCH($K354,其他调用!$AG$5:$AG$364,0),0),1)*INDEX(其他调用!AB$5:AB$404,MATCH($K354,其他调用!$X$5:$X$404,0),0)</f>
        <v>48301.965663602823</v>
      </c>
      <c r="AM354" s="12">
        <f>MIN(INDEX(其他调用!$AK$5:$AK$364,MATCH($K354,其他调用!$AG$5:$AG$364,0),1)/INDEX(其他调用!AL$5:AL$364,MATCH($K354,其他调用!$AG$5:$AG$364,0),0),1)*INDEX(其他调用!AC$5:AC$404,MATCH($K354,其他调用!$X$5:$X$404,0),0)</f>
        <v>30403.790992906197</v>
      </c>
      <c r="AN354" s="12">
        <f>求节点(节奏总纲!D$4:D$163,标准城池设计!AF$4:AF$163,$K354)*求节点(节奏总纲!D$4:D$163,攻城基础信息!$AG$5:$AG$164,$K354)</f>
        <v>1222704.4538555958</v>
      </c>
      <c r="AO354" s="12">
        <f>INDEX(其他调用!$AA$5:$AA$404,MATCH($K354,其他调用!$X$5:$X$404,0))*MIN(INDEX(其他调用!AL$5:AL$364,MATCH($K354,其他调用!$AG$5:$AG$364,0),1)/INDEX(其他调用!$AJ$5:$AJ$364,MATCH($K354,其他调用!$AG$5:$AG$364,0),0),5)*求节点(节奏总纲!D$4:D$163,攻城基础信息!$AG$5:$AG$164,$K354)</f>
        <v>700611.60101293609</v>
      </c>
      <c r="AP354" s="12">
        <f>MIN(INDEX(其他调用!$AL$5:$AL$364,MATCH($K354,其他调用!$AG$5:$AG$364,0),1)/INDEX(其他调用!AH$5:AH$364,MATCH($K354,其他调用!$AG$5:$AG$364,0),0),1)*INDEX(其他调用!Y$5:Y$404,MATCH($K354,其他调用!$X$5:$X$404,0),0)</f>
        <v>43347.886125905578</v>
      </c>
      <c r="AQ354" s="12">
        <f>MIN(INDEX(其他调用!$AL$5:$AL$364,MATCH($K354,其他调用!$AG$5:$AG$364,0),1)/INDEX(其他调用!AI$5:AI$364,MATCH($K354,其他调用!$AG$5:$AG$364,0),0),1)*INDEX(其他调用!Z$5:Z$404,MATCH($K354,其他调用!$X$5:$X$404,0),0)</f>
        <v>44509.256008422533</v>
      </c>
      <c r="AR354" s="12">
        <f>MIN(INDEX(其他调用!$AL$5:$AL$364,MATCH($K354,其他调用!$AG$5:$AG$364,0),1)/INDEX(其他调用!AJ$5:AJ$364,MATCH($K354,其他调用!$AG$5:$AG$364,0),0),1)*INDEX(其他调用!AA$5:AA$404,MATCH($K354,其他调用!$X$5:$X$404,0),0)</f>
        <v>46061.123715929745</v>
      </c>
      <c r="AS354" s="12">
        <f>MIN(INDEX(其他调用!$AL$5:$AL$364,MATCH($K354,其他调用!$AG$5:$AG$364,0),1)/INDEX(其他调用!AK$5:AK$364,MATCH($K354,其他调用!$AG$5:$AG$364,0),0),1)*INDEX(其他调用!AB$5:AB$404,MATCH($K354,其他调用!$X$5:$X$404,0),0)</f>
        <v>48301.965663602823</v>
      </c>
      <c r="AT354" s="12">
        <f>MIN(INDEX(其他调用!$AL$5:$AL$364,MATCH($K354,其他调用!$AG$5:$AG$364,0),1)/INDEX(其他调用!AL$5:AL$364,MATCH($K354,其他调用!$AG$5:$AG$364,0),0),1)*INDEX(其他调用!AC$5:AC$404,MATCH($K354,其他调用!$X$5:$X$404,0),0)</f>
        <v>52187.764203890663</v>
      </c>
      <c r="AV354" s="14">
        <f>IF(OR(AV$5="大R",AV$5="超R"),MAX(INDEX(其他调用!$H$5:$L$404,MATCH($K354,其他调用!$B$5:$B$404,0),MATCH(AV$5,其他调用!$H$4:$L$4,0))*120*0.85,2),INDEX(其他调用!$H$5:$L$404,MATCH($K354,其他调用!$B$5:$B$404,0),MATCH(AV$5,其他调用!$H$4:$L$4,0))*120*0.85)</f>
        <v>48.921801254999991</v>
      </c>
      <c r="AW354" s="14">
        <f>IF(OR(AW$5="大R",AW$5="超R"),MAX(INDEX(其他调用!$H$5:$L$404,MATCH($K354,其他调用!$B$5:$B$404,0),MATCH(AW$5,其他调用!$H$4:$L$4,0))*120*0.85,2),INDEX(其他调用!$H$5:$L$404,MATCH($K354,其他调用!$B$5:$B$404,0),MATCH(AW$5,其他调用!$H$4:$L$4,0))*120*0.85)</f>
        <v>48.237344010638395</v>
      </c>
      <c r="AX354" s="14">
        <f>IF(OR(AX$5="大R",AX$5="超R"),MAX(INDEX(其他调用!$H$5:$L$404,MATCH($K354,其他调用!$B$5:$B$404,0),MATCH(AX$5,其他调用!$H$4:$L$4,0))*120*0.85,2),INDEX(其他调用!$H$5:$L$404,MATCH($K354,其他调用!$B$5:$B$404,0),MATCH(AX$5,其他调用!$H$4:$L$4,0))*120*0.85)</f>
        <v>3.9376284143615998</v>
      </c>
      <c r="AY354" s="14">
        <f>IF(OR(AY$5="大R",AY$5="超R"),MAX(INDEX(其他调用!$H$5:$L$404,MATCH($K354,其他调用!$B$5:$B$404,0),MATCH(AY$5,其他调用!$H$4:$L$4,0))*120*0.85,2),INDEX(其他调用!$H$5:$L$404,MATCH($K354,其他调用!$B$5:$B$404,0),MATCH(AY$5,其他调用!$H$4:$L$4,0))*120*0.85)</f>
        <v>2</v>
      </c>
      <c r="AZ354" s="14">
        <f>IF(OR(AZ$5="大R",AZ$5="超R"),MAX(INDEX(其他调用!$H$5:$L$404,MATCH($K354,其他调用!$B$5:$B$404,0),MATCH(AZ$5,其他调用!$H$4:$L$4,0))*120*0.85,2),INDEX(其他调用!$H$5:$L$404,MATCH($K354,其他调用!$B$5:$B$404,0),MATCH(AZ$5,其他调用!$H$4:$L$4,0))*120*0.85)</f>
        <v>2</v>
      </c>
      <c r="BA354" s="14">
        <f>INDEX(其他调用!$H$5:$L$404,MATCH($K354,其他调用!$B$5:$B$404,0),MATCH(BA$5,其他调用!$H$4:$L$4,0))*INDEX(其他调用!$M$5:$M$404,MATCH($K354,其他调用!$B$5:$B$404,0))*0.6</f>
        <v>28.777530149999997</v>
      </c>
      <c r="BB354" s="14">
        <f>INDEX(其他调用!$H$5:$L$404,MATCH($K354,其他调用!$B$5:$B$404,0),MATCH(BB$5,其他调用!$H$4:$L$4,0))*INDEX(其他调用!$M$5:$M$404,MATCH($K354,其他调用!$B$5:$B$404,0))*0.6</f>
        <v>28.374908241551999</v>
      </c>
      <c r="BC354" s="14">
        <f>INDEX(其他调用!$H$5:$L$404,MATCH($K354,其他调用!$B$5:$B$404,0),MATCH(BC$5,其他调用!$H$4:$L$4,0))*INDEX(其他调用!$M$5:$M$404,MATCH($K354,其他调用!$B$5:$B$404,0))*0.6</f>
        <v>2.3162520084480001</v>
      </c>
      <c r="BD354" s="14">
        <f>INDEX(其他调用!$H$5:$L$404,MATCH($K354,其他调用!$B$5:$B$404,0),MATCH(BD$5,其他调用!$H$4:$L$4,0))*INDEX(其他调用!$M$5:$M$404,MATCH($K354,其他调用!$B$5:$B$404,0))*0.6</f>
        <v>0.4120776000000001</v>
      </c>
      <c r="BE354" s="14">
        <f>INDEX(其他调用!$H$5:$L$404,MATCH($K354,其他调用!$B$5:$B$404,0),MATCH(BE$5,其他调用!$H$4:$L$4,0))*INDEX(其他调用!$M$5:$M$404,MATCH($K354,其他调用!$B$5:$B$404,0))*0.6</f>
        <v>0.11923199999999998</v>
      </c>
      <c r="BF354" s="14">
        <f>IF(OR(BF$5="大R",BF$5="超R"),0,INDEX(其他调用!$H$5:$L$404,MATCH($K354,其他调用!$B$5:$B$404,0),MATCH(BF$5,其他调用!$H$4:$L$4,0))*50*0.4)</f>
        <v>9.5925100500000013</v>
      </c>
      <c r="BG354" s="14">
        <f>IF(OR(BG$5="大R",BG$5="超R"),0,INDEX(其他调用!$H$5:$L$404,MATCH($K354,其他调用!$B$5:$B$404,0),MATCH(BG$5,其他调用!$H$4:$L$4,0))*50*0.4)</f>
        <v>9.4583027471839998</v>
      </c>
      <c r="BH354" s="14">
        <f>IF(OR(BH$5="大R",BH$5="超R"),0,INDEX(其他调用!$H$5:$L$404,MATCH($K354,其他调用!$B$5:$B$404,0),MATCH(BH$5,其他调用!$H$4:$L$4,0))*50*0.4)</f>
        <v>0.77208400281600009</v>
      </c>
      <c r="BI354" s="14">
        <f>IF(OR(BI$5="大R",BI$5="超R"),0,INDEX(其他调用!$H$5:$L$404,MATCH($K354,其他调用!$B$5:$B$404,0),MATCH(BI$5,其他调用!$H$4:$L$4,0))*50*0.4)</f>
        <v>0</v>
      </c>
      <c r="BJ354" s="14">
        <f>IF(OR(BJ$5="大R",BJ$5="超R"),0,INDEX(其他调用!$H$5:$L$404,MATCH($K354,其他调用!$B$5:$B$404,0),MATCH(BJ$5,其他调用!$H$4:$L$4,0))*50*0.4)</f>
        <v>0</v>
      </c>
      <c r="BL354" s="14">
        <f t="shared" si="628"/>
        <v>349</v>
      </c>
      <c r="BM354" s="14">
        <f t="shared" si="535"/>
        <v>96</v>
      </c>
      <c r="BN354" s="14">
        <f>('疲劳值&amp;地图信息'!$S$10*'疲劳值&amp;地图信息'!$R$10+'疲劳值&amp;地图信息'!$S$11*'疲劳值&amp;地图信息'!$R$11+'疲劳值&amp;地图信息'!$S$12*'疲劳值&amp;地图信息'!$R$12+(BM354-'疲劳值&amp;地图信息'!$S$12-'疲劳值&amp;地图信息'!$S$11-'疲劳值&amp;地图信息'!$S$10)*'疲劳值&amp;地图信息'!$R$13)/BM354</f>
        <v>51.371477246638619</v>
      </c>
      <c r="BO354" s="14">
        <f>INDEX(其他调用!$M$5:$M$404,MATCH(BL354,其他调用!$B$5:$B$404,0))*0.6</f>
        <v>60</v>
      </c>
      <c r="BP354" s="14">
        <f>IF(BO354&gt;SUM('疲劳值&amp;地图信息'!$S$10:$S$12),('疲劳值&amp;地图信息'!$S$10*'疲劳值&amp;地图信息'!$R$10+'疲劳值&amp;地图信息'!$S$11*'疲劳值&amp;地图信息'!$R$11+'疲劳值&amp;地图信息'!$S$12*'疲劳值&amp;地图信息'!$R$12+(BO354-'疲劳值&amp;地图信息'!$S$12-'疲劳值&amp;地图信息'!$S$11-'疲劳值&amp;地图信息'!$S$10)*'疲劳值&amp;地图信息'!$R$13)/BO354,('疲劳值&amp;地图信息'!$S$10*'疲劳值&amp;地图信息'!$R$10+'疲劳值&amp;地图信息'!$S$11*'疲劳值&amp;地图信息'!$R$11+'疲劳值&amp;地图信息'!$S$12*'疲劳值&amp;地图信息'!$R$12+(BO354-'疲劳值&amp;地图信息'!$S$12-'疲劳值&amp;地图信息'!$S$11-'疲劳值&amp;地图信息'!$S$10)*'疲劳值&amp;地图信息'!$R$13)/BO354)</f>
        <v>44.158136341605953</v>
      </c>
      <c r="BQ354" s="14">
        <f t="shared" si="629"/>
        <v>20</v>
      </c>
      <c r="BR354" s="14">
        <f>('疲劳值&amp;地图信息'!$S$10*'疲劳值&amp;地图信息'!$R$10+($BQ354-'疲劳值&amp;地图信息'!$S$10)*'疲劳值&amp;地图信息'!$R$11)/$BQ354</f>
        <v>32.067203015074995</v>
      </c>
      <c r="CF354" s="14">
        <v>349</v>
      </c>
      <c r="CG354" s="51">
        <f t="shared" si="536"/>
        <v>17101</v>
      </c>
      <c r="CH354" s="51">
        <f t="shared" si="537"/>
        <v>1032</v>
      </c>
      <c r="CI354" s="51">
        <f>INT(SUMPRODUCT($N354:$R354,$BA354:$BE354)/SUM($BA354:$BE354)/10000*$BX$7*$BZ$34/'疲劳值&amp;地图信息'!$R$10*$BY$53)</f>
        <v>3394</v>
      </c>
      <c r="CJ354" s="50">
        <f t="shared" si="538"/>
        <v>0.79439773307938866</v>
      </c>
      <c r="CK354" s="50">
        <f t="shared" si="539"/>
        <v>4.7939796534584474E-2</v>
      </c>
      <c r="CL354" s="50">
        <f t="shared" si="540"/>
        <v>0.15766247038602685</v>
      </c>
      <c r="CM354" s="14">
        <f t="shared" si="541"/>
        <v>18724</v>
      </c>
      <c r="CN354" s="14">
        <f t="shared" si="542"/>
        <v>1802</v>
      </c>
      <c r="CO354" s="14">
        <f>INT(SUMPRODUCT($U354:$Y354,$BA354:$BE354)/SUM($BA354:$BE354)/10000*$BX$7*$BZ$34/'疲劳值&amp;地图信息'!$R$10*$BY$54)</f>
        <v>6529</v>
      </c>
      <c r="CP354" s="50">
        <f t="shared" si="543"/>
        <v>0.69207170578451305</v>
      </c>
      <c r="CQ354" s="50">
        <f t="shared" si="544"/>
        <v>6.6605063759009431E-2</v>
      </c>
      <c r="CR354" s="50">
        <f t="shared" si="545"/>
        <v>0.24132323045647755</v>
      </c>
      <c r="CS354" s="14">
        <f t="shared" si="546"/>
        <v>20443</v>
      </c>
      <c r="CT354" s="14">
        <f t="shared" si="547"/>
        <v>3285</v>
      </c>
      <c r="CU354" s="14">
        <f>INT(SUMPRODUCT($AB354:$AF354,$BA354:$BE354)/SUM($BA354:$BE354)/10000*$BX$7*$BZ$34/'疲劳值&amp;地图信息'!$R$10*$BY$55)</f>
        <v>8883</v>
      </c>
      <c r="CV354" s="50">
        <f t="shared" si="548"/>
        <v>0.6268743675446935</v>
      </c>
      <c r="CW354" s="50">
        <f t="shared" si="549"/>
        <v>0.10073288154303763</v>
      </c>
      <c r="CX354" s="50">
        <f t="shared" si="550"/>
        <v>0.27239275091226889</v>
      </c>
      <c r="CY354" s="14">
        <f t="shared" si="551"/>
        <v>24161</v>
      </c>
      <c r="CZ354" s="14">
        <f t="shared" si="552"/>
        <v>8318</v>
      </c>
      <c r="DA354" s="14">
        <f>INT(SUMPRODUCT($AI354:$AM354,$BA354:$BE354)/SUM($BA354:$BE354)/10000*$BX$7*$BZ$34/'疲劳值&amp;地图信息'!$R$10*$BY$56)</f>
        <v>13396</v>
      </c>
      <c r="DB354" s="50">
        <f t="shared" si="553"/>
        <v>0.52667029972752044</v>
      </c>
      <c r="DC354" s="50">
        <f t="shared" si="554"/>
        <v>0.18131880108991827</v>
      </c>
      <c r="DD354" s="50">
        <f t="shared" si="555"/>
        <v>0.29201089918256129</v>
      </c>
      <c r="DE354" s="14">
        <f t="shared" si="556"/>
        <v>24920</v>
      </c>
      <c r="DF354" s="14">
        <f t="shared" si="557"/>
        <v>14279</v>
      </c>
      <c r="DG354" s="14">
        <f>INT(SUMPRODUCT($AP354:$AT354,$BA354:$BE354)/SUM($BA354:$BE354)/10000*$BX$7*$BZ$34/'疲劳值&amp;地图信息'!$R$10*$BY$57)</f>
        <v>17879</v>
      </c>
      <c r="DH354" s="50">
        <f t="shared" si="558"/>
        <v>0.43659553593328426</v>
      </c>
      <c r="DI354" s="50">
        <f t="shared" si="559"/>
        <v>0.25016643890816076</v>
      </c>
      <c r="DJ354" s="50">
        <f t="shared" si="560"/>
        <v>0.31323802515855498</v>
      </c>
      <c r="DL354" s="14">
        <f t="shared" si="631"/>
        <v>21527</v>
      </c>
      <c r="DM354" s="14">
        <f t="shared" si="632"/>
        <v>27055</v>
      </c>
      <c r="DN354" s="14">
        <f t="shared" si="633"/>
        <v>32611</v>
      </c>
      <c r="DO354" s="14">
        <f t="shared" si="634"/>
        <v>45875</v>
      </c>
      <c r="DP354" s="14">
        <f t="shared" si="635"/>
        <v>57078</v>
      </c>
      <c r="DQ354" s="14">
        <f t="shared" si="636"/>
        <v>1488421</v>
      </c>
      <c r="DT354" s="14">
        <f t="shared" si="630"/>
        <v>235575</v>
      </c>
      <c r="DU354" s="50">
        <f t="shared" si="532"/>
        <v>0.13664474859570439</v>
      </c>
      <c r="DW354" s="14">
        <f t="shared" si="561"/>
        <v>1723996</v>
      </c>
      <c r="EB354" s="14">
        <v>349</v>
      </c>
      <c r="EC354" s="51">
        <f t="shared" si="562"/>
        <v>28501</v>
      </c>
      <c r="ED354" s="51">
        <f t="shared" si="563"/>
        <v>1720</v>
      </c>
      <c r="EE354" s="51">
        <f>INT(SUMPRODUCT($N354:$R354,$BF354:$BJ354)/SUM($BF354:$BJ354)/10000*$BX$7*$BZ$46/'疲劳值&amp;地图信息'!$R$10*$BY$53)</f>
        <v>455</v>
      </c>
      <c r="EF354" s="50">
        <f t="shared" si="564"/>
        <v>0.92909766592776111</v>
      </c>
      <c r="EG354" s="50">
        <f t="shared" si="565"/>
        <v>5.606989177206937E-2</v>
      </c>
      <c r="EH354" s="50">
        <f t="shared" si="566"/>
        <v>1.4832442300169514E-2</v>
      </c>
      <c r="EI354" s="51">
        <f t="shared" si="567"/>
        <v>31208</v>
      </c>
      <c r="EJ354" s="51">
        <f t="shared" si="568"/>
        <v>3003</v>
      </c>
      <c r="EK354" s="14">
        <f>INT(SUMPRODUCT($U354:$Y354,$BF354:$BJ354)/SUM($BF354:$BJ354)/10000*$BX$7*$BZ$46/'疲劳值&amp;地图信息'!$R$10*$BY$54)</f>
        <v>876</v>
      </c>
      <c r="EL354" s="50">
        <f t="shared" si="569"/>
        <v>0.88944623364778974</v>
      </c>
      <c r="EM354" s="50">
        <f t="shared" si="570"/>
        <v>8.5587254538718044E-2</v>
      </c>
      <c r="EN354" s="50">
        <f t="shared" si="571"/>
        <v>2.4966511813492177E-2</v>
      </c>
      <c r="EO354" s="51">
        <f t="shared" si="572"/>
        <v>34072</v>
      </c>
      <c r="EP354" s="51">
        <f t="shared" si="573"/>
        <v>5476</v>
      </c>
      <c r="EQ354" s="14">
        <f>INT(SUMPRODUCT($AB354:$AF354,$BF354:$BJ354)/SUM($BF354:$BJ354)/10000*$BX$7*$BZ$46/'疲劳值&amp;地图信息'!$R$10*$BY$55)</f>
        <v>1190</v>
      </c>
      <c r="ER354" s="50">
        <f t="shared" si="574"/>
        <v>0.83636899209583193</v>
      </c>
      <c r="ES354" s="50">
        <f t="shared" si="575"/>
        <v>0.13441995188767245</v>
      </c>
      <c r="ET354" s="50">
        <f t="shared" si="576"/>
        <v>2.9211056016495655E-2</v>
      </c>
      <c r="EU354" s="51">
        <f t="shared" si="577"/>
        <v>40269</v>
      </c>
      <c r="EV354" s="51">
        <f t="shared" si="578"/>
        <v>13864</v>
      </c>
      <c r="EW354" s="14">
        <f>INT(SUMPRODUCT($AI354:$AM354,$BF354:$BJ354)/SUM($BF354:$BJ354)/10000*$BX$7*$BZ$46/'疲劳值&amp;地图信息'!$R$10*$BY$56)</f>
        <v>1786</v>
      </c>
      <c r="EX354" s="50">
        <f t="shared" si="579"/>
        <v>0.72013090362846255</v>
      </c>
      <c r="EY354" s="50">
        <f t="shared" si="580"/>
        <v>0.24793004166741178</v>
      </c>
      <c r="EZ354" s="50">
        <f t="shared" si="581"/>
        <v>3.1939054704125613E-2</v>
      </c>
      <c r="FA354" s="51">
        <f t="shared" si="582"/>
        <v>41533</v>
      </c>
      <c r="FB354" s="51">
        <f t="shared" si="583"/>
        <v>23798</v>
      </c>
      <c r="FC354" s="14">
        <f>INT(SUMPRODUCT($AP354:$AT354,$BF354:$BJ354)/SUM($BF354:$BJ354)/10000*$BX$7*$BZ$46/'疲劳值&amp;地图信息'!$R$10*$BY$57)</f>
        <v>2381</v>
      </c>
      <c r="FD354" s="50">
        <f t="shared" si="584"/>
        <v>0.61337724480151223</v>
      </c>
      <c r="FE354" s="50">
        <f t="shared" si="585"/>
        <v>0.35145912098298676</v>
      </c>
      <c r="FF354" s="50">
        <f t="shared" si="586"/>
        <v>3.5163634215500943E-2</v>
      </c>
      <c r="FH354" s="14">
        <f t="shared" si="587"/>
        <v>30676</v>
      </c>
      <c r="FI354" s="14">
        <f t="shared" si="588"/>
        <v>35087</v>
      </c>
      <c r="FJ354" s="14">
        <f t="shared" si="589"/>
        <v>40738</v>
      </c>
      <c r="FK354" s="14">
        <f t="shared" si="590"/>
        <v>55919</v>
      </c>
      <c r="FL354" s="14">
        <f t="shared" si="591"/>
        <v>67712</v>
      </c>
      <c r="FM354" s="14">
        <f t="shared" si="592"/>
        <v>3600901</v>
      </c>
      <c r="FP354" s="14">
        <f t="shared" si="593"/>
        <v>334150</v>
      </c>
      <c r="FQ354" s="50">
        <f t="shared" si="533"/>
        <v>8.4916307310883649E-2</v>
      </c>
      <c r="FS354" s="14">
        <f t="shared" si="594"/>
        <v>3935051</v>
      </c>
      <c r="FX354" s="14">
        <v>349</v>
      </c>
      <c r="FY354" s="51">
        <f t="shared" si="595"/>
        <v>39902</v>
      </c>
      <c r="FZ354" s="51">
        <f t="shared" si="596"/>
        <v>1720</v>
      </c>
      <c r="GA354" s="51">
        <f>INT(SUMPRODUCT($N354:$R354,$BF354:$BJ354)/SUM($BF354:$BJ354)/10000*$BX$7*$BZ$46/'疲劳值&amp;地图信息'!$R$10*$BY$53)</f>
        <v>455</v>
      </c>
      <c r="GB354" s="50">
        <f t="shared" si="597"/>
        <v>0.94830905245145802</v>
      </c>
      <c r="GC354" s="50">
        <f t="shared" si="598"/>
        <v>4.0877438980915941E-2</v>
      </c>
      <c r="GD354" s="50">
        <f t="shared" si="599"/>
        <v>1.0813508567626019E-2</v>
      </c>
      <c r="GE354" s="51">
        <f t="shared" si="600"/>
        <v>43691</v>
      </c>
      <c r="GF354" s="51">
        <f t="shared" si="601"/>
        <v>3003</v>
      </c>
      <c r="GG354" s="14">
        <f>INT(SUMPRODUCT($U354:$Y354,$BF354:$BJ354)/SUM($BF354:$BJ354)/10000*$BX$7*$BZ$46/'疲劳值&amp;地图信息'!$R$10*$BY$54)</f>
        <v>876</v>
      </c>
      <c r="GH354" s="50">
        <f t="shared" si="602"/>
        <v>0.91845701072104269</v>
      </c>
      <c r="GI354" s="50">
        <f t="shared" si="603"/>
        <v>6.3128021862518396E-2</v>
      </c>
      <c r="GJ354" s="50">
        <f t="shared" si="604"/>
        <v>1.8414967416438933E-2</v>
      </c>
      <c r="GK354" s="51">
        <f t="shared" si="605"/>
        <v>47700</v>
      </c>
      <c r="GL354" s="51">
        <f t="shared" si="606"/>
        <v>5476</v>
      </c>
      <c r="GM354" s="14">
        <f>INT(SUMPRODUCT($AB354:$AF354,$BF354:$BJ354)/SUM($BF354:$BJ354)/10000*$BX$7*$BZ$46/'疲劳值&amp;地图信息'!$R$10*$BY$55)</f>
        <v>1190</v>
      </c>
      <c r="GN354" s="50">
        <f t="shared" si="607"/>
        <v>0.87738660192031781</v>
      </c>
      <c r="GO354" s="50">
        <f t="shared" si="608"/>
        <v>0.10072471765441636</v>
      </c>
      <c r="GP354" s="50">
        <f t="shared" si="609"/>
        <v>2.1888680425265792E-2</v>
      </c>
      <c r="GQ354" s="51">
        <f t="shared" si="610"/>
        <v>56377</v>
      </c>
      <c r="GR354" s="51">
        <f t="shared" si="611"/>
        <v>13864</v>
      </c>
      <c r="GS354" s="14">
        <f>INT(SUMPRODUCT($AI354:$AM354,$BF354:$BJ354)/SUM($BF354:$BJ354)/10000*$BX$7*$BZ$46/'疲劳值&amp;地图信息'!$R$10*$BY$56)</f>
        <v>1786</v>
      </c>
      <c r="GT354" s="50">
        <f t="shared" si="612"/>
        <v>0.78272036875060746</v>
      </c>
      <c r="GU354" s="50">
        <f t="shared" si="613"/>
        <v>0.19248337429019674</v>
      </c>
      <c r="GV354" s="50">
        <f t="shared" si="614"/>
        <v>2.4796256959195857E-2</v>
      </c>
      <c r="GW354" s="51">
        <f t="shared" si="615"/>
        <v>58147</v>
      </c>
      <c r="GX354" s="51">
        <f t="shared" si="616"/>
        <v>23798</v>
      </c>
      <c r="GY354" s="14">
        <f>INT(SUMPRODUCT($AP354:$AT354,$BF354:$BJ354)/SUM($BF354:$BJ354)/10000*$BX$7*$BZ$46/'疲劳值&amp;地图信息'!$R$10*$BY$57)</f>
        <v>2381</v>
      </c>
      <c r="GZ354" s="50">
        <f t="shared" si="617"/>
        <v>0.68955007945354929</v>
      </c>
      <c r="HA354" s="50">
        <f t="shared" si="618"/>
        <v>0.28221426369091385</v>
      </c>
      <c r="HB354" s="50">
        <f t="shared" si="619"/>
        <v>2.8235656855536844E-2</v>
      </c>
      <c r="HD354" s="14">
        <f t="shared" si="620"/>
        <v>42077</v>
      </c>
      <c r="HE354" s="14">
        <f t="shared" si="621"/>
        <v>47570</v>
      </c>
      <c r="HF354" s="14">
        <f t="shared" si="622"/>
        <v>54366</v>
      </c>
      <c r="HG354" s="14">
        <f t="shared" si="623"/>
        <v>72027</v>
      </c>
      <c r="HH354" s="14">
        <f t="shared" si="624"/>
        <v>84326</v>
      </c>
      <c r="HI354" s="14">
        <f t="shared" si="625"/>
        <v>4879912</v>
      </c>
      <c r="HL354" s="14">
        <f t="shared" si="626"/>
        <v>430050</v>
      </c>
      <c r="HM354" s="50">
        <f t="shared" si="534"/>
        <v>8.0989280149274132E-2</v>
      </c>
      <c r="HO354" s="14">
        <f t="shared" si="627"/>
        <v>5309962</v>
      </c>
    </row>
    <row r="355" spans="11:223" x14ac:dyDescent="0.2">
      <c r="K355" s="14">
        <v>350</v>
      </c>
      <c r="L355" s="12">
        <f>求节点(节奏总纲!D$4:D$163,标准城池设计!AB$4:AB$163,$K355)*求节点(节奏总纲!D$4:D$163,攻城基础信息!$AC$5:$AC$164,$K355)</f>
        <v>840149.63165178546</v>
      </c>
      <c r="M355" s="12">
        <f>INDEX(其他调用!$AA$5:$AA$404,MATCH(K355,其他调用!$X$5:$X$404,0))*MIN(INDEX(其他调用!$AH$5:$AH$364,MATCH('征服点（新）'!K355,其他调用!$AG$5:$AG$364,0),1)/INDEX(其他调用!$AJ$5:$AJ$364,MATCH(K355,其他调用!$AG$5:$AG$364,0),0),5)*求节点(节奏总纲!D$4:D$163,攻城基础信息!$AC$5:$AC$164,$K355)</f>
        <v>50584.023885528659</v>
      </c>
      <c r="N355" s="12">
        <f>MIN(INDEX(其他调用!$AH$5:$AH$364,MATCH($K355,其他调用!$AG$5:$AG$364,0),1)/INDEX(其他调用!AH$5:AH$364,MATCH($K355,其他调用!$AG$5:$AG$364,0),0),1)*INDEX(其他调用!Y$5:Y$404,MATCH($K355,其他调用!$X$5:$X$404,0),0)</f>
        <v>43364.394097817967</v>
      </c>
      <c r="O355" s="12">
        <f>MIN(INDEX(其他调用!$AH$5:$AH$364,MATCH($K355,其他调用!$AG$5:$AG$364,0),1)/INDEX(其他调用!AI$5:AI$364,MATCH($K355,其他调用!$AG$5:$AG$364,0),0),1)*INDEX(其他调用!Z$5:Z$404,MATCH($K355,其他调用!$X$5:$X$404,0),0)</f>
        <v>25494.123592585078</v>
      </c>
      <c r="P355" s="12">
        <f>MIN(INDEX(其他调用!$AH$5:$AH$364,MATCH($K355,其他调用!$AG$5:$AG$364,0),1)/INDEX(其他调用!AJ$5:AJ$364,MATCH($K355,其他调用!$AG$5:$AG$364,0),0),1)*INDEX(其他调用!AA$5:AA$404,MATCH($K355,其他调用!$X$5:$X$404,0),0)</f>
        <v>14452.578253008198</v>
      </c>
      <c r="Q355" s="12">
        <f>MIN(INDEX(其他调用!$AH$5:$AH$364,MATCH($K355,其他调用!$AG$5:$AG$364,0),1)/INDEX(其他调用!AK$5:AK$364,MATCH($K355,其他调用!$AG$5:$AG$364,0),0),1)*INDEX(其他调用!AB$5:AB$404,MATCH($K355,其他调用!$X$5:$X$404,0),0)</f>
        <v>5999.9457249170646</v>
      </c>
      <c r="R355" s="12">
        <f>MIN(INDEX(其他调用!$AH$5:$AH$364,MATCH($K355,其他调用!$AG$5:$AG$364,0),1)/INDEX(其他调用!AL$5:AL$364,MATCH($K355,其他调用!$AG$5:$AG$364,0),0),1)*INDEX(其他调用!AC$5:AC$404,MATCH($K355,其他调用!$X$5:$X$404,0),0)</f>
        <v>3779.7536448655683</v>
      </c>
      <c r="S355" s="12">
        <f>求节点(节奏总纲!D$4:D$163,标准城池设计!AC$4:AC$163,$K355)*求节点(节奏总纲!D$4:D$163,攻城基础信息!$AD$5:$AD$164,$K355)</f>
        <v>919817.86804501282</v>
      </c>
      <c r="T355" s="12">
        <f>INDEX(其他调用!$AA$5:$AA$404,MATCH($K355,其他调用!$X$5:$X$404,0))*MIN(INDEX(其他调用!AI$5:AI$364,MATCH($K355,其他调用!$AG$5:$AG$364,0),1)/INDEX(其他调用!$AJ$5:$AJ$364,MATCH($K355,其他调用!$AG$5:$AG$364,0),0),5)*求节点(节奏总纲!D$4:D$163,攻城基础信息!$AD$5:$AD$164,$K355)</f>
        <v>88346.236501202264</v>
      </c>
      <c r="U355" s="12">
        <f>MIN(INDEX(其他调用!$AI$5:$AI$364,MATCH($K355,其他调用!$AG$5:$AG$364,0),1)/INDEX(其他调用!AH$5:AH$364,MATCH($K355,其他调用!$AG$5:$AG$364,0),0),1)*INDEX(其他调用!Y$5:Y$404,MATCH($K355,其他调用!$X$5:$X$404,0),0)</f>
        <v>43364.394097817967</v>
      </c>
      <c r="V355" s="12">
        <f>MIN(INDEX(其他调用!$AI$5:$AI$364,MATCH($K355,其他调用!$AG$5:$AG$364,0),1)/INDEX(其他调用!AI$5:AI$364,MATCH($K355,其他调用!$AG$5:$AG$364,0),0),1)*INDEX(其他调用!Z$5:Z$404,MATCH($K355,其他调用!$X$5:$X$404,0),0)</f>
        <v>44526.111196656973</v>
      </c>
      <c r="W355" s="12">
        <f>MIN(INDEX(其他调用!$AI$5:$AI$364,MATCH($K355,其他调用!$AG$5:$AG$364,0),1)/INDEX(其他调用!AJ$5:AJ$364,MATCH($K355,其他调用!$AG$5:$AG$364,0),0),1)*INDEX(其他调用!AA$5:AA$404,MATCH($K355,其他调用!$X$5:$X$404,0),0)</f>
        <v>25241.781857486378</v>
      </c>
      <c r="X355" s="12">
        <f>MIN(INDEX(其他调用!$AI$5:$AI$364,MATCH($K355,其他调用!$AG$5:$AG$364,0),1)/INDEX(其他调用!AK$5:AK$364,MATCH($K355,其他调用!$AG$5:$AG$364,0),0),1)*INDEX(其他调用!AB$5:AB$404,MATCH($K355,其他调用!$X$5:$X$404,0),0)</f>
        <v>10479.052145148664</v>
      </c>
      <c r="Y355" s="12">
        <f>MIN(INDEX(其他调用!$AI$5:$AI$364,MATCH($K355,其他调用!$AG$5:$AG$364,0),1)/INDEX(其他调用!AL$5:AL$364,MATCH($K355,其他调用!$AG$5:$AG$364,0),0),1)*INDEX(其他调用!AC$5:AC$404,MATCH($K355,其他调用!$X$5:$X$404,0),0)</f>
        <v>6601.432305607982</v>
      </c>
      <c r="Z355" s="12">
        <f>求节点(节奏总纲!D$4:D$163,标准城池设计!AD$4:AD$163,$K355)*求节点(节奏总纲!D$4:D$163,攻城基础信息!$AE$5:$AE$164,$K355)</f>
        <v>1004396.4431866275</v>
      </c>
      <c r="AA355" s="12">
        <f>INDEX(其他调用!$AA$5:$AA$404,MATCH($K355,其他调用!$X$5:$X$404,0))*MIN(INDEX(其他调用!AJ$5:AJ$364,MATCH($K355,其他调用!$AG$5:$AG$364,0),1)/INDEX(其他调用!$AJ$5:$AJ$364,MATCH($K355,其他调用!$AG$5:$AG$364,0),0),5)*求节点(节奏总纲!D$4:D$163,攻城基础信息!$AE$5:$AE$164,$K355)</f>
        <v>161276.5078516815</v>
      </c>
      <c r="AB355" s="12">
        <f>MIN(INDEX(其他调用!$AJ$5:$AJ$364,MATCH($K355,其他调用!$AG$5:$AG$364,0),1)/INDEX(其他调用!AH$5:AH$364,MATCH($K355,其他调用!$AG$5:$AG$364,0),0),1)*INDEX(其他调用!Y$5:Y$404,MATCH($K355,其他调用!$X$5:$X$404,0),0)</f>
        <v>43364.394097817967</v>
      </c>
      <c r="AC355" s="12">
        <f>MIN(INDEX(其他调用!$AJ$5:$AJ$364,MATCH($K355,其他调用!$AG$5:$AG$364,0),1)/INDEX(其他调用!AI$5:AI$364,MATCH($K355,其他调用!$AG$5:$AG$364,0),0),1)*INDEX(其他调用!Z$5:Z$404,MATCH($K355,其他调用!$X$5:$X$404,0),0)</f>
        <v>44526.111196656973</v>
      </c>
      <c r="AD355" s="12">
        <f>MIN(INDEX(其他调用!$AJ$5:$AJ$364,MATCH($K355,其他调用!$AG$5:$AG$364,0),1)/INDEX(其他调用!AJ$5:AJ$364,MATCH($K355,其他调用!$AG$5:$AG$364,0),0),1)*INDEX(其他调用!AA$5:AA$404,MATCH($K355,其他调用!$X$5:$X$404,0),0)</f>
        <v>46079.0022433376</v>
      </c>
      <c r="AE355" s="12">
        <f>MIN(INDEX(其他调用!$AJ$5:$AJ$364,MATCH($K355,其他调用!$AG$5:$AG$364,0),1)/INDEX(其他调用!AK$5:AK$364,MATCH($K355,其他调用!$AG$5:$AG$364,0),0),1)*INDEX(其他调用!AB$5:AB$404,MATCH($K355,其他调用!$X$5:$X$404,0),0)</f>
        <v>19129.563436946741</v>
      </c>
      <c r="AF355" s="12">
        <f>MIN(INDEX(其他调用!$AJ$5:$AJ$364,MATCH($K355,其他调用!$AG$5:$AG$364,0),1)/INDEX(其他调用!AL$5:AL$364,MATCH($K355,其他调用!$AG$5:$AG$364,0),0),1)*INDEX(其他调用!AC$5:AC$404,MATCH($K355,其他调用!$X$5:$X$404,0),0)</f>
        <v>12050.948531952929</v>
      </c>
      <c r="AG355" s="12">
        <f>求节点(节奏总纲!D$4:D$163,标准城池设计!AE$4:AE$163,$K355)*求节点(节奏总纲!D$4:D$163,攻城基础信息!$AF$5:$AF$164,$K355)</f>
        <v>1186211.0356916003</v>
      </c>
      <c r="AH355" s="12">
        <f>INDEX(其他调用!$AA$5:$AA$404,MATCH($K355,其他调用!$X$5:$X$404,0))*MIN(INDEX(其他调用!AK$5:AK$364,MATCH($K355,其他调用!$AG$5:$AG$364,0),1)/INDEX(其他调用!$AJ$5:$AJ$364,MATCH($K355,其他调用!$AG$5:$AG$364,0),0),5)*求节点(节奏总纲!D$4:D$163,攻城基础信息!$AF$5:$AF$164,$K355)</f>
        <v>407367.17668737686</v>
      </c>
      <c r="AI355" s="12">
        <f>MIN(INDEX(其他调用!$AK$5:$AK$364,MATCH($K355,其他调用!$AG$5:$AG$364,0),1)/INDEX(其他调用!AH$5:AH$364,MATCH($K355,其他调用!$AG$5:$AG$364,0),0),1)*INDEX(其他调用!Y$5:Y$404,MATCH($K355,其他调用!$X$5:$X$404,0),0)</f>
        <v>43364.394097817967</v>
      </c>
      <c r="AJ355" s="12">
        <f>MIN(INDEX(其他调用!$AK$5:$AK$364,MATCH($K355,其他调用!$AG$5:$AG$364,0),1)/INDEX(其他调用!AI$5:AI$364,MATCH($K355,其他调用!$AG$5:$AG$364,0),0),1)*INDEX(其他调用!Z$5:Z$404,MATCH($K355,其他调用!$X$5:$X$404,0),0)</f>
        <v>44526.111196656973</v>
      </c>
      <c r="AK355" s="12">
        <f>MIN(INDEX(其他调用!$AK$5:$AK$364,MATCH($K355,其他调用!$AG$5:$AG$364,0),1)/INDEX(其他调用!AJ$5:AJ$364,MATCH($K355,其他调用!$AG$5:$AG$364,0),0),1)*INDEX(其他调用!AA$5:AA$404,MATCH($K355,其他调用!$X$5:$X$404,0),0)</f>
        <v>46079.0022433376</v>
      </c>
      <c r="AL355" s="12">
        <f>MIN(INDEX(其他调用!$AK$5:$AK$364,MATCH($K355,其他调用!$AG$5:$AG$364,0),1)/INDEX(其他调用!AK$5:AK$364,MATCH($K355,其他调用!$AG$5:$AG$364,0),0),1)*INDEX(其他调用!AB$5:AB$404,MATCH($K355,其他调用!$X$5:$X$404,0),0)</f>
        <v>48319.227346723696</v>
      </c>
      <c r="AM355" s="12">
        <f>MIN(INDEX(其他调用!$AK$5:$AK$364,MATCH($K355,其他调用!$AG$5:$AG$364,0),1)/INDEX(其他调用!AL$5:AL$364,MATCH($K355,其他调用!$AG$5:$AG$364,0),0),1)*INDEX(其他调用!AC$5:AC$404,MATCH($K355,其他调用!$X$5:$X$404,0),0)</f>
        <v>30439.404630346289</v>
      </c>
      <c r="AN355" s="12">
        <f>求节点(节奏总纲!D$4:D$163,标准城池设计!AF$4:AF$163,$K355)*求节点(节奏总纲!D$4:D$163,攻城基础信息!$AG$5:$AG$164,$K355)</f>
        <v>1223387.434980056</v>
      </c>
      <c r="AO355" s="12">
        <f>INDEX(其他调用!$AA$5:$AA$404,MATCH($K355,其他调用!$X$5:$X$404,0))*MIN(INDEX(其他调用!AL$5:AL$364,MATCH($K355,其他调用!$AG$5:$AG$364,0),1)/INDEX(其他调用!$AJ$5:$AJ$364,MATCH($K355,其他调用!$AG$5:$AG$364,0),0),5)*求节点(节奏总纲!D$4:D$163,攻城基础信息!$AG$5:$AG$164,$K355)</f>
        <v>698642.21778506425</v>
      </c>
      <c r="AP355" s="12">
        <f>MIN(INDEX(其他调用!$AL$5:$AL$364,MATCH($K355,其他调用!$AG$5:$AG$364,0),1)/INDEX(其他调用!AH$5:AH$364,MATCH($K355,其他调用!$AG$5:$AG$364,0),0),1)*INDEX(其他调用!Y$5:Y$404,MATCH($K355,其他调用!$X$5:$X$404,0),0)</f>
        <v>43364.394097817967</v>
      </c>
      <c r="AQ355" s="12">
        <f>MIN(INDEX(其他调用!$AL$5:$AL$364,MATCH($K355,其他调用!$AG$5:$AG$364,0),1)/INDEX(其他调用!AI$5:AI$364,MATCH($K355,其他调用!$AG$5:$AG$364,0),0),1)*INDEX(其他调用!Z$5:Z$404,MATCH($K355,其他调用!$X$5:$X$404,0),0)</f>
        <v>44526.111196656973</v>
      </c>
      <c r="AR355" s="12">
        <f>MIN(INDEX(其他调用!$AL$5:$AL$364,MATCH($K355,其他调用!$AG$5:$AG$364,0),1)/INDEX(其他调用!AJ$5:AJ$364,MATCH($K355,其他调用!$AG$5:$AG$364,0),0),1)*INDEX(其他调用!AA$5:AA$404,MATCH($K355,其他调用!$X$5:$X$404,0),0)</f>
        <v>46079.0022433376</v>
      </c>
      <c r="AS355" s="12">
        <f>MIN(INDEX(其他调用!$AL$5:$AL$364,MATCH($K355,其他调用!$AG$5:$AG$364,0),1)/INDEX(其他调用!AK$5:AK$364,MATCH($K355,其他调用!$AG$5:$AG$364,0),0),1)*INDEX(其他调用!AB$5:AB$404,MATCH($K355,其他调用!$X$5:$X$404,0),0)</f>
        <v>48319.227346723696</v>
      </c>
      <c r="AT355" s="12">
        <f>MIN(INDEX(其他调用!$AL$5:$AL$364,MATCH($K355,其他调用!$AG$5:$AG$364,0),1)/INDEX(其他调用!AL$5:AL$364,MATCH($K355,其他调用!$AG$5:$AG$364,0),0),1)*INDEX(其他调用!AC$5:AC$404,MATCH($K355,其他调用!$X$5:$X$404,0),0)</f>
        <v>52204.140087904787</v>
      </c>
      <c r="AV355" s="14">
        <f>IF(OR(AV$5="大R",AV$5="超R"),MAX(INDEX(其他调用!$H$5:$L$404,MATCH($K355,其他调用!$B$5:$B$404,0),MATCH(AV$5,其他调用!$H$4:$L$4,0))*120*0.85,2),INDEX(其他调用!$H$5:$L$404,MATCH($K355,其他调用!$B$5:$B$404,0),MATCH(AV$5,其他调用!$H$4:$L$4,0))*120*0.85)</f>
        <v>48.921801254999991</v>
      </c>
      <c r="AW355" s="14">
        <f>IF(OR(AW$5="大R",AW$5="超R"),MAX(INDEX(其他调用!$H$5:$L$404,MATCH($K355,其他调用!$B$5:$B$404,0),MATCH(AW$5,其他调用!$H$4:$L$4,0))*120*0.85,2),INDEX(其他调用!$H$5:$L$404,MATCH($K355,其他调用!$B$5:$B$404,0),MATCH(AW$5,其他调用!$H$4:$L$4,0))*120*0.85)</f>
        <v>48.237344010638395</v>
      </c>
      <c r="AX355" s="14">
        <f>IF(OR(AX$5="大R",AX$5="超R"),MAX(INDEX(其他调用!$H$5:$L$404,MATCH($K355,其他调用!$B$5:$B$404,0),MATCH(AX$5,其他调用!$H$4:$L$4,0))*120*0.85,2),INDEX(其他调用!$H$5:$L$404,MATCH($K355,其他调用!$B$5:$B$404,0),MATCH(AX$5,其他调用!$H$4:$L$4,0))*120*0.85)</f>
        <v>3.9376284143615998</v>
      </c>
      <c r="AY355" s="14">
        <f>IF(OR(AY$5="大R",AY$5="超R"),MAX(INDEX(其他调用!$H$5:$L$404,MATCH($K355,其他调用!$B$5:$B$404,0),MATCH(AY$5,其他调用!$H$4:$L$4,0))*120*0.85,2),INDEX(其他调用!$H$5:$L$404,MATCH($K355,其他调用!$B$5:$B$404,0),MATCH(AY$5,其他调用!$H$4:$L$4,0))*120*0.85)</f>
        <v>2</v>
      </c>
      <c r="AZ355" s="14">
        <f>IF(OR(AZ$5="大R",AZ$5="超R"),MAX(INDEX(其他调用!$H$5:$L$404,MATCH($K355,其他调用!$B$5:$B$404,0),MATCH(AZ$5,其他调用!$H$4:$L$4,0))*120*0.85,2),INDEX(其他调用!$H$5:$L$404,MATCH($K355,其他调用!$B$5:$B$404,0),MATCH(AZ$5,其他调用!$H$4:$L$4,0))*120*0.85)</f>
        <v>2</v>
      </c>
      <c r="BA355" s="14">
        <f>INDEX(其他调用!$H$5:$L$404,MATCH($K355,其他调用!$B$5:$B$404,0),MATCH(BA$5,其他调用!$H$4:$L$4,0))*INDEX(其他调用!$M$5:$M$404,MATCH($K355,其他调用!$B$5:$B$404,0))*0.6</f>
        <v>28.777530149999997</v>
      </c>
      <c r="BB355" s="14">
        <f>INDEX(其他调用!$H$5:$L$404,MATCH($K355,其他调用!$B$5:$B$404,0),MATCH(BB$5,其他调用!$H$4:$L$4,0))*INDEX(其他调用!$M$5:$M$404,MATCH($K355,其他调用!$B$5:$B$404,0))*0.6</f>
        <v>28.374908241551999</v>
      </c>
      <c r="BC355" s="14">
        <f>INDEX(其他调用!$H$5:$L$404,MATCH($K355,其他调用!$B$5:$B$404,0),MATCH(BC$5,其他调用!$H$4:$L$4,0))*INDEX(其他调用!$M$5:$M$404,MATCH($K355,其他调用!$B$5:$B$404,0))*0.6</f>
        <v>2.3162520084480001</v>
      </c>
      <c r="BD355" s="14">
        <f>INDEX(其他调用!$H$5:$L$404,MATCH($K355,其他调用!$B$5:$B$404,0),MATCH(BD$5,其他调用!$H$4:$L$4,0))*INDEX(其他调用!$M$5:$M$404,MATCH($K355,其他调用!$B$5:$B$404,0))*0.6</f>
        <v>0.4120776000000001</v>
      </c>
      <c r="BE355" s="14">
        <f>INDEX(其他调用!$H$5:$L$404,MATCH($K355,其他调用!$B$5:$B$404,0),MATCH(BE$5,其他调用!$H$4:$L$4,0))*INDEX(其他调用!$M$5:$M$404,MATCH($K355,其他调用!$B$5:$B$404,0))*0.6</f>
        <v>0.11923199999999998</v>
      </c>
      <c r="BF355" s="14">
        <f>IF(OR(BF$5="大R",BF$5="超R"),0,INDEX(其他调用!$H$5:$L$404,MATCH($K355,其他调用!$B$5:$B$404,0),MATCH(BF$5,其他调用!$H$4:$L$4,0))*50*0.4)</f>
        <v>9.5925100500000013</v>
      </c>
      <c r="BG355" s="14">
        <f>IF(OR(BG$5="大R",BG$5="超R"),0,INDEX(其他调用!$H$5:$L$404,MATCH($K355,其他调用!$B$5:$B$404,0),MATCH(BG$5,其他调用!$H$4:$L$4,0))*50*0.4)</f>
        <v>9.4583027471839998</v>
      </c>
      <c r="BH355" s="14">
        <f>IF(OR(BH$5="大R",BH$5="超R"),0,INDEX(其他调用!$H$5:$L$404,MATCH($K355,其他调用!$B$5:$B$404,0),MATCH(BH$5,其他调用!$H$4:$L$4,0))*50*0.4)</f>
        <v>0.77208400281600009</v>
      </c>
      <c r="BI355" s="14">
        <f>IF(OR(BI$5="大R",BI$5="超R"),0,INDEX(其他调用!$H$5:$L$404,MATCH($K355,其他调用!$B$5:$B$404,0),MATCH(BI$5,其他调用!$H$4:$L$4,0))*50*0.4)</f>
        <v>0</v>
      </c>
      <c r="BJ355" s="14">
        <f>IF(OR(BJ$5="大R",BJ$5="超R"),0,INDEX(其他调用!$H$5:$L$404,MATCH($K355,其他调用!$B$5:$B$404,0),MATCH(BJ$5,其他调用!$H$4:$L$4,0))*50*0.4)</f>
        <v>0</v>
      </c>
      <c r="BL355" s="14">
        <f t="shared" si="628"/>
        <v>350</v>
      </c>
      <c r="BM355" s="14">
        <f t="shared" si="535"/>
        <v>96</v>
      </c>
      <c r="BN355" s="14">
        <f>('疲劳值&amp;地图信息'!$S$10*'疲劳值&amp;地图信息'!$R$10+'疲劳值&amp;地图信息'!$S$11*'疲劳值&amp;地图信息'!$R$11+'疲劳值&amp;地图信息'!$S$12*'疲劳值&amp;地图信息'!$R$12+(BM355-'疲劳值&amp;地图信息'!$S$12-'疲劳值&amp;地图信息'!$S$11-'疲劳值&amp;地图信息'!$S$10)*'疲劳值&amp;地图信息'!$R$13)/BM355</f>
        <v>51.371477246638619</v>
      </c>
      <c r="BO355" s="14">
        <f>INDEX(其他调用!$M$5:$M$404,MATCH(BL355,其他调用!$B$5:$B$404,0))*0.6</f>
        <v>60</v>
      </c>
      <c r="BP355" s="14">
        <f>IF(BO355&gt;SUM('疲劳值&amp;地图信息'!$S$10:$S$12),('疲劳值&amp;地图信息'!$S$10*'疲劳值&amp;地图信息'!$R$10+'疲劳值&amp;地图信息'!$S$11*'疲劳值&amp;地图信息'!$R$11+'疲劳值&amp;地图信息'!$S$12*'疲劳值&amp;地图信息'!$R$12+(BO355-'疲劳值&amp;地图信息'!$S$12-'疲劳值&amp;地图信息'!$S$11-'疲劳值&amp;地图信息'!$S$10)*'疲劳值&amp;地图信息'!$R$13)/BO355,('疲劳值&amp;地图信息'!$S$10*'疲劳值&amp;地图信息'!$R$10+'疲劳值&amp;地图信息'!$S$11*'疲劳值&amp;地图信息'!$R$11+'疲劳值&amp;地图信息'!$S$12*'疲劳值&amp;地图信息'!$R$12+(BO355-'疲劳值&amp;地图信息'!$S$12-'疲劳值&amp;地图信息'!$S$11-'疲劳值&amp;地图信息'!$S$10)*'疲劳值&amp;地图信息'!$R$13)/BO355)</f>
        <v>44.158136341605953</v>
      </c>
      <c r="BQ355" s="14">
        <f t="shared" si="629"/>
        <v>20</v>
      </c>
      <c r="BR355" s="14">
        <f>('疲劳值&amp;地图信息'!$S$10*'疲劳值&amp;地图信息'!$R$10+($BQ355-'疲劳值&amp;地图信息'!$S$10)*'疲劳值&amp;地图信息'!$R$11)/$BQ355</f>
        <v>32.067203015074995</v>
      </c>
      <c r="CF355" s="14">
        <v>350</v>
      </c>
      <c r="CG355" s="51">
        <f t="shared" si="536"/>
        <v>17123</v>
      </c>
      <c r="CH355" s="51">
        <f t="shared" si="537"/>
        <v>1030</v>
      </c>
      <c r="CI355" s="51">
        <f>INT(SUMPRODUCT($N355:$R355,$BA355:$BE355)/SUM($BA355:$BE355)/10000*$BX$7*$BZ$34/'疲劳值&amp;地图信息'!$R$10*$BY$53)</f>
        <v>3395</v>
      </c>
      <c r="CJ355" s="50">
        <f t="shared" si="538"/>
        <v>0.79464451457211804</v>
      </c>
      <c r="CK355" s="50">
        <f t="shared" si="539"/>
        <v>4.780025988490811E-2</v>
      </c>
      <c r="CL355" s="50">
        <f t="shared" si="540"/>
        <v>0.15755522554297383</v>
      </c>
      <c r="CM355" s="14">
        <f t="shared" si="541"/>
        <v>18747</v>
      </c>
      <c r="CN355" s="14">
        <f t="shared" si="542"/>
        <v>1800</v>
      </c>
      <c r="CO355" s="14">
        <f>INT(SUMPRODUCT($U355:$Y355,$BA355:$BE355)/SUM($BA355:$BE355)/10000*$BX$7*$BZ$34/'疲劳值&amp;地图信息'!$R$10*$BY$54)</f>
        <v>6531</v>
      </c>
      <c r="CP355" s="50">
        <f t="shared" si="543"/>
        <v>0.69233325947263458</v>
      </c>
      <c r="CQ355" s="50">
        <f t="shared" si="544"/>
        <v>6.647462884998892E-2</v>
      </c>
      <c r="CR355" s="50">
        <f t="shared" si="545"/>
        <v>0.24119211167737648</v>
      </c>
      <c r="CS355" s="14">
        <f t="shared" si="546"/>
        <v>20470</v>
      </c>
      <c r="CT355" s="14">
        <f t="shared" si="547"/>
        <v>3287</v>
      </c>
      <c r="CU355" s="14">
        <f>INT(SUMPRODUCT($AB355:$AF355,$BA355:$BE355)/SUM($BA355:$BE355)/10000*$BX$7*$BZ$34/'疲劳值&amp;地图信息'!$R$10*$BY$55)</f>
        <v>8886</v>
      </c>
      <c r="CV355" s="50">
        <f t="shared" si="548"/>
        <v>0.62708697117299272</v>
      </c>
      <c r="CW355" s="50">
        <f t="shared" si="549"/>
        <v>0.10069540177067059</v>
      </c>
      <c r="CX355" s="50">
        <f t="shared" si="550"/>
        <v>0.27221762705633673</v>
      </c>
      <c r="CY355" s="14">
        <f t="shared" si="551"/>
        <v>24176</v>
      </c>
      <c r="CZ355" s="14">
        <f t="shared" si="552"/>
        <v>8302</v>
      </c>
      <c r="DA355" s="14">
        <f>INT(SUMPRODUCT($AI355:$AM355,$BA355:$BE355)/SUM($BA355:$BE355)/10000*$BX$7*$BZ$34/'疲劳值&amp;地图信息'!$R$10*$BY$56)</f>
        <v>13401</v>
      </c>
      <c r="DB355" s="50">
        <f t="shared" si="553"/>
        <v>0.5269513284945182</v>
      </c>
      <c r="DC355" s="50">
        <f t="shared" si="554"/>
        <v>0.18095424922077638</v>
      </c>
      <c r="DD355" s="50">
        <f t="shared" si="555"/>
        <v>0.29209442228470545</v>
      </c>
      <c r="DE355" s="14">
        <f t="shared" si="556"/>
        <v>24934</v>
      </c>
      <c r="DF355" s="14">
        <f t="shared" si="557"/>
        <v>14239</v>
      </c>
      <c r="DG355" s="14">
        <f>INT(SUMPRODUCT($AP355:$AT355,$BA355:$BE355)/SUM($BA355:$BE355)/10000*$BX$7*$BZ$34/'疲劳值&amp;地图信息'!$R$10*$BY$57)</f>
        <v>17886</v>
      </c>
      <c r="DH355" s="50">
        <f t="shared" si="558"/>
        <v>0.43698627736202877</v>
      </c>
      <c r="DI355" s="50">
        <f t="shared" si="559"/>
        <v>0.24954871273593998</v>
      </c>
      <c r="DJ355" s="50">
        <f t="shared" si="560"/>
        <v>0.31346500990203124</v>
      </c>
      <c r="DL355" s="14">
        <f t="shared" si="631"/>
        <v>21548</v>
      </c>
      <c r="DM355" s="14">
        <f t="shared" si="632"/>
        <v>27078</v>
      </c>
      <c r="DN355" s="14">
        <f t="shared" si="633"/>
        <v>32643</v>
      </c>
      <c r="DO355" s="14">
        <f t="shared" si="634"/>
        <v>45879</v>
      </c>
      <c r="DP355" s="14">
        <f t="shared" si="635"/>
        <v>57059</v>
      </c>
      <c r="DQ355" s="14">
        <f t="shared" si="636"/>
        <v>1489752</v>
      </c>
      <c r="DT355" s="14">
        <f t="shared" si="630"/>
        <v>235575</v>
      </c>
      <c r="DU355" s="50">
        <f t="shared" si="532"/>
        <v>0.13653933428271858</v>
      </c>
      <c r="DW355" s="14">
        <f t="shared" si="561"/>
        <v>1725327</v>
      </c>
      <c r="EB355" s="14">
        <v>350</v>
      </c>
      <c r="EC355" s="51">
        <f t="shared" si="562"/>
        <v>28538</v>
      </c>
      <c r="ED355" s="51">
        <f t="shared" si="563"/>
        <v>1718</v>
      </c>
      <c r="EE355" s="51">
        <f>INT(SUMPRODUCT($N355:$R355,$BF355:$BJ355)/SUM($BF355:$BJ355)/10000*$BX$7*$BZ$46/'疲劳值&amp;地图信息'!$R$10*$BY$53)</f>
        <v>456</v>
      </c>
      <c r="EF355" s="50">
        <f t="shared" si="564"/>
        <v>0.92921333680646001</v>
      </c>
      <c r="EG355" s="50">
        <f t="shared" si="565"/>
        <v>5.5939046626725712E-2</v>
      </c>
      <c r="EH355" s="50">
        <f t="shared" si="566"/>
        <v>1.4847616566814275E-2</v>
      </c>
      <c r="EI355" s="51">
        <f t="shared" si="567"/>
        <v>31245</v>
      </c>
      <c r="EJ355" s="51">
        <f t="shared" si="568"/>
        <v>3001</v>
      </c>
      <c r="EK355" s="14">
        <f>INT(SUMPRODUCT($U355:$Y355,$BF355:$BJ355)/SUM($BF355:$BJ355)/10000*$BX$7*$BZ$46/'疲劳值&amp;地图信息'!$R$10*$BY$54)</f>
        <v>876</v>
      </c>
      <c r="EL355" s="50">
        <f t="shared" si="569"/>
        <v>0.88961334775923917</v>
      </c>
      <c r="EM355" s="50">
        <f t="shared" si="570"/>
        <v>8.5445020215249703E-2</v>
      </c>
      <c r="EN355" s="50">
        <f t="shared" si="571"/>
        <v>2.4941632025511074E-2</v>
      </c>
      <c r="EO355" s="51">
        <f t="shared" si="572"/>
        <v>34118</v>
      </c>
      <c r="EP355" s="51">
        <f t="shared" si="573"/>
        <v>5478</v>
      </c>
      <c r="EQ355" s="14">
        <f>INT(SUMPRODUCT($AB355:$AF355,$BF355:$BJ355)/SUM($BF355:$BJ355)/10000*$BX$7*$BZ$46/'疲劳值&amp;地图信息'!$R$10*$BY$55)</f>
        <v>1191</v>
      </c>
      <c r="ER355" s="50">
        <f t="shared" si="574"/>
        <v>0.83649201951602226</v>
      </c>
      <c r="ES355" s="50">
        <f t="shared" si="575"/>
        <v>0.13430749993870597</v>
      </c>
      <c r="ET355" s="50">
        <f t="shared" si="576"/>
        <v>2.9200480545271777E-2</v>
      </c>
      <c r="EU355" s="51">
        <f t="shared" si="577"/>
        <v>40294</v>
      </c>
      <c r="EV355" s="51">
        <f t="shared" si="578"/>
        <v>13837</v>
      </c>
      <c r="EW355" s="14">
        <f>INT(SUMPRODUCT($AI355:$AM355,$BF355:$BJ355)/SUM($BF355:$BJ355)/10000*$BX$7*$BZ$46/'疲劳值&amp;地图信息'!$R$10*$BY$56)</f>
        <v>1786</v>
      </c>
      <c r="EX355" s="50">
        <f t="shared" si="579"/>
        <v>0.72060375198955595</v>
      </c>
      <c r="EY355" s="50">
        <f t="shared" si="580"/>
        <v>0.24745605093263229</v>
      </c>
      <c r="EZ355" s="50">
        <f t="shared" si="581"/>
        <v>3.1940197077811754E-2</v>
      </c>
      <c r="FA355" s="51">
        <f t="shared" si="582"/>
        <v>41557</v>
      </c>
      <c r="FB355" s="51">
        <f t="shared" si="583"/>
        <v>23732</v>
      </c>
      <c r="FC355" s="14">
        <f>INT(SUMPRODUCT($AP355:$AT355,$BF355:$BJ355)/SUM($BF355:$BJ355)/10000*$BX$7*$BZ$46/'疲劳值&amp;地图信息'!$R$10*$BY$57)</f>
        <v>2382</v>
      </c>
      <c r="FD355" s="50">
        <f t="shared" si="584"/>
        <v>0.61410353031579257</v>
      </c>
      <c r="FE355" s="50">
        <f t="shared" si="585"/>
        <v>0.35069675340988016</v>
      </c>
      <c r="FF355" s="50">
        <f t="shared" si="586"/>
        <v>3.5199716274327261E-2</v>
      </c>
      <c r="FH355" s="14">
        <f t="shared" si="587"/>
        <v>30712</v>
      </c>
      <c r="FI355" s="14">
        <f t="shared" si="588"/>
        <v>35122</v>
      </c>
      <c r="FJ355" s="14">
        <f t="shared" si="589"/>
        <v>40787</v>
      </c>
      <c r="FK355" s="14">
        <f t="shared" si="590"/>
        <v>55917</v>
      </c>
      <c r="FL355" s="14">
        <f t="shared" si="591"/>
        <v>67671</v>
      </c>
      <c r="FM355" s="14">
        <f t="shared" si="592"/>
        <v>3604458</v>
      </c>
      <c r="FP355" s="14">
        <f t="shared" si="593"/>
        <v>334150</v>
      </c>
      <c r="FQ355" s="50">
        <f t="shared" si="533"/>
        <v>8.483961846418836E-2</v>
      </c>
      <c r="FS355" s="14">
        <f t="shared" si="594"/>
        <v>3938608</v>
      </c>
      <c r="FX355" s="14">
        <v>350</v>
      </c>
      <c r="FY355" s="51">
        <f t="shared" si="595"/>
        <v>39954</v>
      </c>
      <c r="FZ355" s="51">
        <f t="shared" si="596"/>
        <v>1718</v>
      </c>
      <c r="GA355" s="51">
        <f>INT(SUMPRODUCT($N355:$R355,$BF355:$BJ355)/SUM($BF355:$BJ355)/10000*$BX$7*$BZ$46/'疲劳值&amp;地图信息'!$R$10*$BY$53)</f>
        <v>456</v>
      </c>
      <c r="GB355" s="50">
        <f t="shared" si="597"/>
        <v>0.94839536650208889</v>
      </c>
      <c r="GC355" s="50">
        <f t="shared" si="598"/>
        <v>4.0780478541587541E-2</v>
      </c>
      <c r="GD355" s="50">
        <f t="shared" si="599"/>
        <v>1.0824154956323585E-2</v>
      </c>
      <c r="GE355" s="51">
        <f t="shared" si="600"/>
        <v>43743</v>
      </c>
      <c r="GF355" s="51">
        <f t="shared" si="601"/>
        <v>3001</v>
      </c>
      <c r="GG355" s="14">
        <f>INT(SUMPRODUCT($U355:$Y355,$BF355:$BJ355)/SUM($BF355:$BJ355)/10000*$BX$7*$BZ$46/'疲劳值&amp;地图信息'!$R$10*$BY$54)</f>
        <v>876</v>
      </c>
      <c r="GH355" s="50">
        <f t="shared" si="602"/>
        <v>0.91858462830743381</v>
      </c>
      <c r="GI355" s="50">
        <f t="shared" si="603"/>
        <v>6.3019739605207889E-2</v>
      </c>
      <c r="GJ355" s="50">
        <f t="shared" si="604"/>
        <v>1.8395632087358251E-2</v>
      </c>
      <c r="GK355" s="51">
        <f t="shared" si="605"/>
        <v>47765</v>
      </c>
      <c r="GL355" s="51">
        <f t="shared" si="606"/>
        <v>5478</v>
      </c>
      <c r="GM355" s="14">
        <f>INT(SUMPRODUCT($AB355:$AF355,$BF355:$BJ355)/SUM($BF355:$BJ355)/10000*$BX$7*$BZ$46/'疲劳值&amp;地图信息'!$R$10*$BY$55)</f>
        <v>1191</v>
      </c>
      <c r="GN355" s="50">
        <f t="shared" si="607"/>
        <v>0.87748466032259254</v>
      </c>
      <c r="GO355" s="50">
        <f t="shared" si="608"/>
        <v>0.10063563214167616</v>
      </c>
      <c r="GP355" s="50">
        <f t="shared" si="609"/>
        <v>2.1879707535731343E-2</v>
      </c>
      <c r="GQ355" s="51">
        <f t="shared" si="610"/>
        <v>56411</v>
      </c>
      <c r="GR355" s="51">
        <f t="shared" si="611"/>
        <v>13837</v>
      </c>
      <c r="GS355" s="14">
        <f>INT(SUMPRODUCT($AI355:$AM355,$BF355:$BJ355)/SUM($BF355:$BJ355)/10000*$BX$7*$BZ$46/'疲劳值&amp;地图信息'!$R$10*$BY$56)</f>
        <v>1786</v>
      </c>
      <c r="GT355" s="50">
        <f t="shared" si="612"/>
        <v>0.78311630618874417</v>
      </c>
      <c r="GU355" s="50">
        <f t="shared" si="613"/>
        <v>0.19208984646139324</v>
      </c>
      <c r="GV355" s="50">
        <f t="shared" si="614"/>
        <v>2.4793847349862563E-2</v>
      </c>
      <c r="GW355" s="51">
        <f t="shared" si="615"/>
        <v>58179</v>
      </c>
      <c r="GX355" s="51">
        <f t="shared" si="616"/>
        <v>23732</v>
      </c>
      <c r="GY355" s="14">
        <f>INT(SUMPRODUCT($AP355:$AT355,$BF355:$BJ355)/SUM($BF355:$BJ355)/10000*$BX$7*$BZ$46/'疲劳值&amp;地图信息'!$R$10*$BY$57)</f>
        <v>2382</v>
      </c>
      <c r="GZ355" s="50">
        <f t="shared" si="617"/>
        <v>0.69019966070729477</v>
      </c>
      <c r="HA355" s="50">
        <f t="shared" si="618"/>
        <v>0.28154176503386996</v>
      </c>
      <c r="HB355" s="50">
        <f t="shared" si="619"/>
        <v>2.8258574258835253E-2</v>
      </c>
      <c r="HD355" s="14">
        <f t="shared" si="620"/>
        <v>42128</v>
      </c>
      <c r="HE355" s="14">
        <f t="shared" si="621"/>
        <v>47620</v>
      </c>
      <c r="HF355" s="14">
        <f t="shared" si="622"/>
        <v>54434</v>
      </c>
      <c r="HG355" s="14">
        <f t="shared" si="623"/>
        <v>72034</v>
      </c>
      <c r="HH355" s="14">
        <f t="shared" si="624"/>
        <v>84293</v>
      </c>
      <c r="HI355" s="14">
        <f t="shared" si="625"/>
        <v>4885034</v>
      </c>
      <c r="HL355" s="14">
        <f t="shared" si="626"/>
        <v>430050</v>
      </c>
      <c r="HM355" s="50">
        <f t="shared" si="534"/>
        <v>8.0911233011557296E-2</v>
      </c>
      <c r="HO355" s="14">
        <f t="shared" si="627"/>
        <v>5315084</v>
      </c>
    </row>
    <row r="356" spans="11:223" x14ac:dyDescent="0.2">
      <c r="K356" s="14">
        <v>351</v>
      </c>
      <c r="L356" s="12">
        <f>求节点(节奏总纲!D$4:D$163,标准城池设计!AB$4:AB$163,$K356)*求节点(节奏总纲!D$4:D$163,攻城基础信息!$AC$5:$AC$164,$K356)</f>
        <v>841244.44485738745</v>
      </c>
      <c r="M356" s="12">
        <f>INDEX(其他调用!$AA$5:$AA$404,MATCH(K356,其他调用!$X$5:$X$404,0))*MIN(INDEX(其他调用!$AH$5:$AH$364,MATCH('征服点（新）'!K356,其他调用!$AG$5:$AG$364,0),1)/INDEX(其他调用!$AJ$5:$AJ$364,MATCH(K356,其他调用!$AG$5:$AG$364,0),0),5)*求节点(节奏总纲!D$4:D$163,攻城基础信息!$AC$5:$AC$164,$K356)</f>
        <v>50526.520069388622</v>
      </c>
      <c r="N356" s="12">
        <f>MIN(INDEX(其他调用!$AH$5:$AH$364,MATCH($K356,其他调用!$AG$5:$AG$364,0),1)/INDEX(其他调用!AH$5:AH$364,MATCH($K356,其他调用!$AG$5:$AG$364,0),0),1)*INDEX(其他调用!Y$5:Y$404,MATCH($K356,其他调用!$X$5:$X$404,0),0)</f>
        <v>43380.902069730364</v>
      </c>
      <c r="O356" s="12">
        <f>MIN(INDEX(其他调用!$AH$5:$AH$364,MATCH($K356,其他调用!$AG$5:$AG$364,0),1)/INDEX(其他调用!AI$5:AI$364,MATCH($K356,其他调用!$AG$5:$AG$364,0),0),1)*INDEX(其他调用!Z$5:Z$404,MATCH($K356,其他调用!$X$5:$X$404,0),0)</f>
        <v>25498.696845689003</v>
      </c>
      <c r="P356" s="12">
        <f>MIN(INDEX(其他调用!$AH$5:$AH$364,MATCH($K356,其他调用!$AG$5:$AG$364,0),1)/INDEX(其他调用!AJ$5:AJ$364,MATCH($K356,其他调用!$AG$5:$AG$364,0),0),1)*INDEX(其他调用!AA$5:AA$404,MATCH($K356,其他调用!$X$5:$X$404,0),0)</f>
        <v>14436.148591253901</v>
      </c>
      <c r="Q356" s="12">
        <f>MIN(INDEX(其他调用!$AH$5:$AH$364,MATCH($K356,其他调用!$AG$5:$AG$364,0),1)/INDEX(其他调用!AK$5:AK$364,MATCH($K356,其他调用!$AG$5:$AG$364,0),0),1)*INDEX(其他调用!AB$5:AB$404,MATCH($K356,其他调用!$X$5:$X$404,0),0)</f>
        <v>6006.9012092010489</v>
      </c>
      <c r="R356" s="12">
        <f>MIN(INDEX(其他调用!$AH$5:$AH$364,MATCH($K356,其他调用!$AG$5:$AG$364,0),1)/INDEX(其他调用!AL$5:AL$364,MATCH($K356,其他调用!$AG$5:$AG$364,0),0),1)*INDEX(其他调用!AC$5:AC$404,MATCH($K356,其他调用!$X$5:$X$404,0),0)</f>
        <v>3787.1982191345464</v>
      </c>
      <c r="S356" s="12">
        <f>求节点(节奏总纲!D$4:D$163,标准城池设计!AC$4:AC$163,$K356)*求节点(节奏总纲!D$4:D$163,攻城基础信息!$AD$5:$AD$164,$K356)</f>
        <v>920904.24117192777</v>
      </c>
      <c r="T356" s="12">
        <f>INDEX(其他调用!$AA$5:$AA$404,MATCH($K356,其他调用!$X$5:$X$404,0))*MIN(INDEX(其他调用!AI$5:AI$364,MATCH($K356,其他调用!$AG$5:$AG$364,0),1)/INDEX(其他调用!$AJ$5:$AJ$364,MATCH($K356,其他调用!$AG$5:$AG$364,0),0),5)*求节点(节奏总纲!D$4:D$163,攻城基础信息!$AD$5:$AD$164,$K356)</f>
        <v>88263.376697888874</v>
      </c>
      <c r="U356" s="12">
        <f>MIN(INDEX(其他调用!$AI$5:$AI$364,MATCH($K356,其他调用!$AG$5:$AG$364,0),1)/INDEX(其他调用!AH$5:AH$364,MATCH($K356,其他调用!$AG$5:$AG$364,0),0),1)*INDEX(其他调用!Y$5:Y$404,MATCH($K356,其他调用!$X$5:$X$404,0),0)</f>
        <v>43380.902069730364</v>
      </c>
      <c r="V356" s="12">
        <f>MIN(INDEX(其他调用!$AI$5:$AI$364,MATCH($K356,其他调用!$AG$5:$AG$364,0),1)/INDEX(其他调用!AI$5:AI$364,MATCH($K356,其他调用!$AG$5:$AG$364,0),0),1)*INDEX(其他调用!Z$5:Z$404,MATCH($K356,其他调用!$X$5:$X$404,0),0)</f>
        <v>44542.966384891413</v>
      </c>
      <c r="W356" s="12">
        <f>MIN(INDEX(其他调用!$AI$5:$AI$364,MATCH($K356,其他调用!$AG$5:$AG$364,0),1)/INDEX(其他调用!AJ$5:AJ$364,MATCH($K356,其他调用!$AG$5:$AG$364,0),0),1)*INDEX(其他调用!AA$5:AA$404,MATCH($K356,其他调用!$X$5:$X$404,0),0)</f>
        <v>25218.107627968264</v>
      </c>
      <c r="X356" s="12">
        <f>MIN(INDEX(其他调用!$AI$5:$AI$364,MATCH($K356,其他调用!$AG$5:$AG$364,0),1)/INDEX(其他调用!AK$5:AK$364,MATCH($K356,其他调用!$AG$5:$AG$364,0),0),1)*INDEX(其他调用!AB$5:AB$404,MATCH($K356,其他调用!$X$5:$X$404,0),0)</f>
        <v>10493.289137795387</v>
      </c>
      <c r="Y356" s="12">
        <f>MIN(INDEX(其他调用!$AI$5:$AI$364,MATCH($K356,其他调用!$AG$5:$AG$364,0),1)/INDEX(其他调用!AL$5:AL$364,MATCH($K356,其他调用!$AG$5:$AG$364,0),0),1)*INDEX(其他调用!AC$5:AC$404,MATCH($K356,其他调用!$X$5:$X$404,0),0)</f>
        <v>6615.7515416852075</v>
      </c>
      <c r="Z356" s="12">
        <f>求节点(节奏总纲!D$4:D$163,标准城池设计!AD$4:AD$163,$K356)*求节点(节奏总纲!D$4:D$163,攻城基础信息!$AE$5:$AE$164,$K356)</f>
        <v>1005752.1670600042</v>
      </c>
      <c r="AA356" s="12">
        <f>INDEX(其他调用!$AA$5:$AA$404,MATCH($K356,其他调用!$X$5:$X$404,0))*MIN(INDEX(其他调用!AJ$5:AJ$364,MATCH($K356,其他调用!$AG$5:$AG$364,0),1)/INDEX(其他调用!$AJ$5:$AJ$364,MATCH($K356,其他调用!$AG$5:$AG$364,0),0),5)*求节点(节奏总纲!D$4:D$163,攻城基础信息!$AE$5:$AE$164,$K356)</f>
        <v>161339.08269760897</v>
      </c>
      <c r="AB356" s="12">
        <f>MIN(INDEX(其他调用!$AJ$5:$AJ$364,MATCH($K356,其他调用!$AG$5:$AG$364,0),1)/INDEX(其他调用!AH$5:AH$364,MATCH($K356,其他调用!$AG$5:$AG$364,0),0),1)*INDEX(其他调用!Y$5:Y$404,MATCH($K356,其他调用!$X$5:$X$404,0),0)</f>
        <v>43380.902069730364</v>
      </c>
      <c r="AC356" s="12">
        <f>MIN(INDEX(其他调用!$AJ$5:$AJ$364,MATCH($K356,其他调用!$AG$5:$AG$364,0),1)/INDEX(其他调用!AI$5:AI$364,MATCH($K356,其他调用!$AG$5:$AG$364,0),0),1)*INDEX(其他调用!Z$5:Z$404,MATCH($K356,其他调用!$X$5:$X$404,0),0)</f>
        <v>44542.966384891413</v>
      </c>
      <c r="AD356" s="12">
        <f>MIN(INDEX(其他调用!$AJ$5:$AJ$364,MATCH($K356,其他调用!$AG$5:$AG$364,0),1)/INDEX(其他调用!AJ$5:AJ$364,MATCH($K356,其他调用!$AG$5:$AG$364,0),0),1)*INDEX(其他调用!AA$5:AA$404,MATCH($K356,其他调用!$X$5:$X$404,0),0)</f>
        <v>46096.880770745447</v>
      </c>
      <c r="AE356" s="12">
        <f>MIN(INDEX(其他调用!$AJ$5:$AJ$364,MATCH($K356,其他调用!$AG$5:$AG$364,0),1)/INDEX(其他调用!AK$5:AK$364,MATCH($K356,其他调用!$AG$5:$AG$364,0),0),1)*INDEX(其他调用!AB$5:AB$404,MATCH($K356,其他调用!$X$5:$X$404,0),0)</f>
        <v>19180.975250555821</v>
      </c>
      <c r="AF356" s="12">
        <f>MIN(INDEX(其他调用!$AJ$5:$AJ$364,MATCH($K356,其他调用!$AG$5:$AG$364,0),1)/INDEX(其他调用!AL$5:AL$364,MATCH($K356,其他调用!$AG$5:$AG$364,0),0),1)*INDEX(其他调用!AC$5:AC$404,MATCH($K356,其他调用!$X$5:$X$404,0),0)</f>
        <v>12093.116364041323</v>
      </c>
      <c r="AG356" s="12">
        <f>求节点(节奏总纲!D$4:D$163,标准城池设计!AE$4:AE$163,$K356)*求节点(节奏总纲!D$4:D$163,攻城基础信息!$AF$5:$AF$164,$K356)</f>
        <v>1186924.0466734411</v>
      </c>
      <c r="AH356" s="12">
        <f>INDEX(其他调用!$AA$5:$AA$404,MATCH($K356,其他调用!$X$5:$X$404,0))*MIN(INDEX(其他调用!AK$5:AK$364,MATCH($K356,其他调用!$AG$5:$AG$364,0),1)/INDEX(其他调用!$AJ$5:$AJ$364,MATCH($K356,其他调用!$AG$5:$AG$364,0),0),5)*求节点(节奏总纲!D$4:D$163,攻城基础信息!$AF$5:$AF$164,$K356)</f>
        <v>406578.11706796184</v>
      </c>
      <c r="AI356" s="12">
        <f>MIN(INDEX(其他调用!$AK$5:$AK$364,MATCH($K356,其他调用!$AG$5:$AG$364,0),1)/INDEX(其他调用!AH$5:AH$364,MATCH($K356,其他调用!$AG$5:$AG$364,0),0),1)*INDEX(其他调用!Y$5:Y$404,MATCH($K356,其他调用!$X$5:$X$404,0),0)</f>
        <v>43380.902069730364</v>
      </c>
      <c r="AJ356" s="12">
        <f>MIN(INDEX(其他调用!$AK$5:$AK$364,MATCH($K356,其他调用!$AG$5:$AG$364,0),1)/INDEX(其他调用!AI$5:AI$364,MATCH($K356,其他调用!$AG$5:$AG$364,0),0),1)*INDEX(其他调用!Z$5:Z$404,MATCH($K356,其他调用!$X$5:$X$404,0),0)</f>
        <v>44542.966384891413</v>
      </c>
      <c r="AK356" s="12">
        <f>MIN(INDEX(其他调用!$AK$5:$AK$364,MATCH($K356,其他调用!$AG$5:$AG$364,0),1)/INDEX(其他调用!AJ$5:AJ$364,MATCH($K356,其他调用!$AG$5:$AG$364,0),0),1)*INDEX(其他调用!AA$5:AA$404,MATCH($K356,其他调用!$X$5:$X$404,0),0)</f>
        <v>46096.880770745447</v>
      </c>
      <c r="AL356" s="12">
        <f>MIN(INDEX(其他调用!$AK$5:$AK$364,MATCH($K356,其他调用!$AG$5:$AG$364,0),1)/INDEX(其他调用!AK$5:AK$364,MATCH($K356,其他调用!$AG$5:$AG$364,0),0),1)*INDEX(其他调用!AB$5:AB$404,MATCH($K356,其他调用!$X$5:$X$404,0),0)</f>
        <v>48336.489029844583</v>
      </c>
      <c r="AM356" s="12">
        <f>MIN(INDEX(其他调用!$AK$5:$AK$364,MATCH($K356,其他调用!$AG$5:$AG$364,0),1)/INDEX(其他调用!AL$5:AL$364,MATCH($K356,其他调用!$AG$5:$AG$364,0),0),1)*INDEX(其他调用!AC$5:AC$404,MATCH($K356,其他调用!$X$5:$X$404,0),0)</f>
        <v>30474.925223115482</v>
      </c>
      <c r="AN356" s="12">
        <f>求节点(节奏总纲!D$4:D$163,标准城池设计!AF$4:AF$163,$K356)*求节点(节奏总纲!D$4:D$163,攻城基础信息!$AG$5:$AG$164,$K356)</f>
        <v>1224070.416104516</v>
      </c>
      <c r="AO356" s="12">
        <f>INDEX(其他调用!$AA$5:$AA$404,MATCH($K356,其他调用!$X$5:$X$404,0))*MIN(INDEX(其他调用!AL$5:AL$364,MATCH($K356,其他调用!$AG$5:$AG$364,0),1)/INDEX(其他调用!$AJ$5:$AJ$364,MATCH($K356,其他调用!$AG$5:$AG$364,0),0),5)*求节点(节奏总纲!D$4:D$163,攻城基础信息!$AG$5:$AG$164,$K356)</f>
        <v>696694.70558949152</v>
      </c>
      <c r="AP356" s="12">
        <f>MIN(INDEX(其他调用!$AL$5:$AL$364,MATCH($K356,其他调用!$AG$5:$AG$364,0),1)/INDEX(其他调用!AH$5:AH$364,MATCH($K356,其他调用!$AG$5:$AG$364,0),0),1)*INDEX(其他调用!Y$5:Y$404,MATCH($K356,其他调用!$X$5:$X$404,0),0)</f>
        <v>43380.902069730364</v>
      </c>
      <c r="AQ356" s="12">
        <f>MIN(INDEX(其他调用!$AL$5:$AL$364,MATCH($K356,其他调用!$AG$5:$AG$364,0),1)/INDEX(其他调用!AI$5:AI$364,MATCH($K356,其他调用!$AG$5:$AG$364,0),0),1)*INDEX(其他调用!Z$5:Z$404,MATCH($K356,其他调用!$X$5:$X$404,0),0)</f>
        <v>44542.966384891413</v>
      </c>
      <c r="AR356" s="12">
        <f>MIN(INDEX(其他调用!$AL$5:$AL$364,MATCH($K356,其他调用!$AG$5:$AG$364,0),1)/INDEX(其他调用!AJ$5:AJ$364,MATCH($K356,其他调用!$AG$5:$AG$364,0),0),1)*INDEX(其他调用!AA$5:AA$404,MATCH($K356,其他调用!$X$5:$X$404,0),0)</f>
        <v>46096.880770745447</v>
      </c>
      <c r="AS356" s="12">
        <f>MIN(INDEX(其他调用!$AL$5:$AL$364,MATCH($K356,其他调用!$AG$5:$AG$364,0),1)/INDEX(其他调用!AK$5:AK$364,MATCH($K356,其他调用!$AG$5:$AG$364,0),0),1)*INDEX(其他调用!AB$5:AB$404,MATCH($K356,其他调用!$X$5:$X$404,0),0)</f>
        <v>48336.489029844583</v>
      </c>
      <c r="AT356" s="12">
        <f>MIN(INDEX(其他调用!$AL$5:$AL$364,MATCH($K356,其他调用!$AG$5:$AG$364,0),1)/INDEX(其他调用!AL$5:AL$364,MATCH($K356,其他调用!$AG$5:$AG$364,0),0),1)*INDEX(其他调用!AC$5:AC$404,MATCH($K356,其他调用!$X$5:$X$404,0),0)</f>
        <v>52220.515971918896</v>
      </c>
      <c r="AV356" s="14">
        <f>IF(OR(AV$5="大R",AV$5="超R"),MAX(INDEX(其他调用!$H$5:$L$404,MATCH($K356,其他调用!$B$5:$B$404,0),MATCH(AV$5,其他调用!$H$4:$L$4,0))*120*0.85,2),INDEX(其他调用!$H$5:$L$404,MATCH($K356,其他调用!$B$5:$B$404,0),MATCH(AV$5,其他调用!$H$4:$L$4,0))*120*0.85)</f>
        <v>48.921801254999991</v>
      </c>
      <c r="AW356" s="14">
        <f>IF(OR(AW$5="大R",AW$5="超R"),MAX(INDEX(其他调用!$H$5:$L$404,MATCH($K356,其他调用!$B$5:$B$404,0),MATCH(AW$5,其他调用!$H$4:$L$4,0))*120*0.85,2),INDEX(其他调用!$H$5:$L$404,MATCH($K356,其他调用!$B$5:$B$404,0),MATCH(AW$5,其他调用!$H$4:$L$4,0))*120*0.85)</f>
        <v>48.237344010638395</v>
      </c>
      <c r="AX356" s="14">
        <f>IF(OR(AX$5="大R",AX$5="超R"),MAX(INDEX(其他调用!$H$5:$L$404,MATCH($K356,其他调用!$B$5:$B$404,0),MATCH(AX$5,其他调用!$H$4:$L$4,0))*120*0.85,2),INDEX(其他调用!$H$5:$L$404,MATCH($K356,其他调用!$B$5:$B$404,0),MATCH(AX$5,其他调用!$H$4:$L$4,0))*120*0.85)</f>
        <v>3.9376284143615998</v>
      </c>
      <c r="AY356" s="14">
        <f>IF(OR(AY$5="大R",AY$5="超R"),MAX(INDEX(其他调用!$H$5:$L$404,MATCH($K356,其他调用!$B$5:$B$404,0),MATCH(AY$5,其他调用!$H$4:$L$4,0))*120*0.85,2),INDEX(其他调用!$H$5:$L$404,MATCH($K356,其他调用!$B$5:$B$404,0),MATCH(AY$5,其他调用!$H$4:$L$4,0))*120*0.85)</f>
        <v>2</v>
      </c>
      <c r="AZ356" s="14">
        <f>IF(OR(AZ$5="大R",AZ$5="超R"),MAX(INDEX(其他调用!$H$5:$L$404,MATCH($K356,其他调用!$B$5:$B$404,0),MATCH(AZ$5,其他调用!$H$4:$L$4,0))*120*0.85,2),INDEX(其他调用!$H$5:$L$404,MATCH($K356,其他调用!$B$5:$B$404,0),MATCH(AZ$5,其他调用!$H$4:$L$4,0))*120*0.85)</f>
        <v>2</v>
      </c>
      <c r="BA356" s="14">
        <f>INDEX(其他调用!$H$5:$L$404,MATCH($K356,其他调用!$B$5:$B$404,0),MATCH(BA$5,其他调用!$H$4:$L$4,0))*INDEX(其他调用!$M$5:$M$404,MATCH($K356,其他调用!$B$5:$B$404,0))*0.6</f>
        <v>28.777530149999997</v>
      </c>
      <c r="BB356" s="14">
        <f>INDEX(其他调用!$H$5:$L$404,MATCH($K356,其他调用!$B$5:$B$404,0),MATCH(BB$5,其他调用!$H$4:$L$4,0))*INDEX(其他调用!$M$5:$M$404,MATCH($K356,其他调用!$B$5:$B$404,0))*0.6</f>
        <v>28.374908241551999</v>
      </c>
      <c r="BC356" s="14">
        <f>INDEX(其他调用!$H$5:$L$404,MATCH($K356,其他调用!$B$5:$B$404,0),MATCH(BC$5,其他调用!$H$4:$L$4,0))*INDEX(其他调用!$M$5:$M$404,MATCH($K356,其他调用!$B$5:$B$404,0))*0.6</f>
        <v>2.3162520084480001</v>
      </c>
      <c r="BD356" s="14">
        <f>INDEX(其他调用!$H$5:$L$404,MATCH($K356,其他调用!$B$5:$B$404,0),MATCH(BD$5,其他调用!$H$4:$L$4,0))*INDEX(其他调用!$M$5:$M$404,MATCH($K356,其他调用!$B$5:$B$404,0))*0.6</f>
        <v>0.4120776000000001</v>
      </c>
      <c r="BE356" s="14">
        <f>INDEX(其他调用!$H$5:$L$404,MATCH($K356,其他调用!$B$5:$B$404,0),MATCH(BE$5,其他调用!$H$4:$L$4,0))*INDEX(其他调用!$M$5:$M$404,MATCH($K356,其他调用!$B$5:$B$404,0))*0.6</f>
        <v>0.11923199999999998</v>
      </c>
      <c r="BF356" s="14">
        <f>IF(OR(BF$5="大R",BF$5="超R"),0,INDEX(其他调用!$H$5:$L$404,MATCH($K356,其他调用!$B$5:$B$404,0),MATCH(BF$5,其他调用!$H$4:$L$4,0))*50*0.4)</f>
        <v>9.5925100500000013</v>
      </c>
      <c r="BG356" s="14">
        <f>IF(OR(BG$5="大R",BG$5="超R"),0,INDEX(其他调用!$H$5:$L$404,MATCH($K356,其他调用!$B$5:$B$404,0),MATCH(BG$5,其他调用!$H$4:$L$4,0))*50*0.4)</f>
        <v>9.4583027471839998</v>
      </c>
      <c r="BH356" s="14">
        <f>IF(OR(BH$5="大R",BH$5="超R"),0,INDEX(其他调用!$H$5:$L$404,MATCH($K356,其他调用!$B$5:$B$404,0),MATCH(BH$5,其他调用!$H$4:$L$4,0))*50*0.4)</f>
        <v>0.77208400281600009</v>
      </c>
      <c r="BI356" s="14">
        <f>IF(OR(BI$5="大R",BI$5="超R"),0,INDEX(其他调用!$H$5:$L$404,MATCH($K356,其他调用!$B$5:$B$404,0),MATCH(BI$5,其他调用!$H$4:$L$4,0))*50*0.4)</f>
        <v>0</v>
      </c>
      <c r="BJ356" s="14">
        <f>IF(OR(BJ$5="大R",BJ$5="超R"),0,INDEX(其他调用!$H$5:$L$404,MATCH($K356,其他调用!$B$5:$B$404,0),MATCH(BJ$5,其他调用!$H$4:$L$4,0))*50*0.4)</f>
        <v>0</v>
      </c>
      <c r="BL356" s="14">
        <f t="shared" si="628"/>
        <v>351</v>
      </c>
      <c r="BM356" s="14">
        <f t="shared" si="535"/>
        <v>96</v>
      </c>
      <c r="BN356" s="14">
        <f>('疲劳值&amp;地图信息'!$S$10*'疲劳值&amp;地图信息'!$R$10+'疲劳值&amp;地图信息'!$S$11*'疲劳值&amp;地图信息'!$R$11+'疲劳值&amp;地图信息'!$S$12*'疲劳值&amp;地图信息'!$R$12+(BM356-'疲劳值&amp;地图信息'!$S$12-'疲劳值&amp;地图信息'!$S$11-'疲劳值&amp;地图信息'!$S$10)*'疲劳值&amp;地图信息'!$R$13)/BM356</f>
        <v>51.371477246638619</v>
      </c>
      <c r="BO356" s="14">
        <f>INDEX(其他调用!$M$5:$M$404,MATCH(BL356,其他调用!$B$5:$B$404,0))*0.6</f>
        <v>60</v>
      </c>
      <c r="BP356" s="14">
        <f>IF(BO356&gt;SUM('疲劳值&amp;地图信息'!$S$10:$S$12),('疲劳值&amp;地图信息'!$S$10*'疲劳值&amp;地图信息'!$R$10+'疲劳值&amp;地图信息'!$S$11*'疲劳值&amp;地图信息'!$R$11+'疲劳值&amp;地图信息'!$S$12*'疲劳值&amp;地图信息'!$R$12+(BO356-'疲劳值&amp;地图信息'!$S$12-'疲劳值&amp;地图信息'!$S$11-'疲劳值&amp;地图信息'!$S$10)*'疲劳值&amp;地图信息'!$R$13)/BO356,('疲劳值&amp;地图信息'!$S$10*'疲劳值&amp;地图信息'!$R$10+'疲劳值&amp;地图信息'!$S$11*'疲劳值&amp;地图信息'!$R$11+'疲劳值&amp;地图信息'!$S$12*'疲劳值&amp;地图信息'!$R$12+(BO356-'疲劳值&amp;地图信息'!$S$12-'疲劳值&amp;地图信息'!$S$11-'疲劳值&amp;地图信息'!$S$10)*'疲劳值&amp;地图信息'!$R$13)/BO356)</f>
        <v>44.158136341605953</v>
      </c>
      <c r="BQ356" s="14">
        <f t="shared" si="629"/>
        <v>20</v>
      </c>
      <c r="BR356" s="14">
        <f>('疲劳值&amp;地图信息'!$S$10*'疲劳值&amp;地图信息'!$R$10+($BQ356-'疲劳值&amp;地图信息'!$S$10)*'疲劳值&amp;地图信息'!$R$11)/$BQ356</f>
        <v>32.067203015074995</v>
      </c>
      <c r="CF356" s="14">
        <v>351</v>
      </c>
      <c r="CG356" s="51">
        <f t="shared" si="536"/>
        <v>17145</v>
      </c>
      <c r="CH356" s="51">
        <f t="shared" si="537"/>
        <v>1029</v>
      </c>
      <c r="CI356" s="51">
        <f>INT(SUMPRODUCT($N356:$R356,$BA356:$BE356)/SUM($BA356:$BE356)/10000*$BX$7*$BZ$34/'疲劳值&amp;地图信息'!$R$10*$BY$53)</f>
        <v>3396</v>
      </c>
      <c r="CJ356" s="50">
        <f t="shared" si="538"/>
        <v>0.7948539638386648</v>
      </c>
      <c r="CK356" s="50">
        <f t="shared" si="539"/>
        <v>4.7705146036161335E-2</v>
      </c>
      <c r="CL356" s="50">
        <f t="shared" si="540"/>
        <v>0.15744089012517384</v>
      </c>
      <c r="CM356" s="14">
        <f t="shared" si="541"/>
        <v>18769</v>
      </c>
      <c r="CN356" s="14">
        <f t="shared" si="542"/>
        <v>1798</v>
      </c>
      <c r="CO356" s="14">
        <f>INT(SUMPRODUCT($U356:$Y356,$BA356:$BE356)/SUM($BA356:$BE356)/10000*$BX$7*$BZ$34/'疲劳值&amp;地图信息'!$R$10*$BY$54)</f>
        <v>6534</v>
      </c>
      <c r="CP356" s="50">
        <f t="shared" si="543"/>
        <v>0.69255747020405156</v>
      </c>
      <c r="CQ356" s="50">
        <f t="shared" si="544"/>
        <v>6.6344415335227488E-2</v>
      </c>
      <c r="CR356" s="50">
        <f t="shared" si="545"/>
        <v>0.24109811446072102</v>
      </c>
      <c r="CS356" s="14">
        <f t="shared" si="546"/>
        <v>20498</v>
      </c>
      <c r="CT356" s="14">
        <f t="shared" si="547"/>
        <v>3288</v>
      </c>
      <c r="CU356" s="14">
        <f>INT(SUMPRODUCT($AB356:$AF356,$BA356:$BE356)/SUM($BA356:$BE356)/10000*$BX$7*$BZ$34/'疲劳值&amp;地图信息'!$R$10*$BY$55)</f>
        <v>8889</v>
      </c>
      <c r="CV356" s="50">
        <f t="shared" si="548"/>
        <v>0.62732976281560826</v>
      </c>
      <c r="CW356" s="50">
        <f t="shared" si="549"/>
        <v>0.10062739097169089</v>
      </c>
      <c r="CX356" s="50">
        <f t="shared" si="550"/>
        <v>0.27204284621270086</v>
      </c>
      <c r="CY356" s="14">
        <f t="shared" si="551"/>
        <v>24191</v>
      </c>
      <c r="CZ356" s="14">
        <f t="shared" si="552"/>
        <v>8286</v>
      </c>
      <c r="DA356" s="14">
        <f>INT(SUMPRODUCT($AI356:$AM356,$BA356:$BE356)/SUM($BA356:$BE356)/10000*$BX$7*$BZ$34/'疲劳值&amp;地图信息'!$R$10*$BY$56)</f>
        <v>13406</v>
      </c>
      <c r="DB356" s="50">
        <f t="shared" si="553"/>
        <v>0.52723230826231937</v>
      </c>
      <c r="DC356" s="50">
        <f t="shared" si="554"/>
        <v>0.18058976091362813</v>
      </c>
      <c r="DD356" s="50">
        <f t="shared" si="555"/>
        <v>0.29217793082405247</v>
      </c>
      <c r="DE356" s="14">
        <f t="shared" si="556"/>
        <v>24948</v>
      </c>
      <c r="DF356" s="14">
        <f t="shared" si="557"/>
        <v>14199</v>
      </c>
      <c r="DG356" s="14">
        <f>INT(SUMPRODUCT($AP356:$AT356,$BA356:$BE356)/SUM($BA356:$BE356)/10000*$BX$7*$BZ$34/'疲劳值&amp;地图信息'!$R$10*$BY$57)</f>
        <v>17893</v>
      </c>
      <c r="DH356" s="50">
        <f t="shared" si="558"/>
        <v>0.43737727910238428</v>
      </c>
      <c r="DI356" s="50">
        <f t="shared" si="559"/>
        <v>0.24893057503506311</v>
      </c>
      <c r="DJ356" s="50">
        <f t="shared" si="560"/>
        <v>0.31369214586255262</v>
      </c>
      <c r="DL356" s="14">
        <f t="shared" si="631"/>
        <v>21570</v>
      </c>
      <c r="DM356" s="14">
        <f t="shared" si="632"/>
        <v>27101</v>
      </c>
      <c r="DN356" s="14">
        <f t="shared" si="633"/>
        <v>32675</v>
      </c>
      <c r="DO356" s="14">
        <f t="shared" si="634"/>
        <v>45883</v>
      </c>
      <c r="DP356" s="14">
        <f t="shared" si="635"/>
        <v>57040</v>
      </c>
      <c r="DQ356" s="14">
        <f t="shared" si="636"/>
        <v>1491111</v>
      </c>
      <c r="DT356" s="14">
        <f t="shared" si="630"/>
        <v>235575</v>
      </c>
      <c r="DU356" s="50">
        <f t="shared" si="532"/>
        <v>0.13643187006786411</v>
      </c>
      <c r="DW356" s="14">
        <f t="shared" si="561"/>
        <v>1726686</v>
      </c>
      <c r="EB356" s="14">
        <v>351</v>
      </c>
      <c r="EC356" s="51">
        <f t="shared" si="562"/>
        <v>28576</v>
      </c>
      <c r="ED356" s="51">
        <f t="shared" si="563"/>
        <v>1716</v>
      </c>
      <c r="EE356" s="51">
        <f>INT(SUMPRODUCT($N356:$R356,$BF356:$BJ356)/SUM($BF356:$BJ356)/10000*$BX$7*$BZ$46/'疲劳值&amp;地图信息'!$R$10*$BY$53)</f>
        <v>456</v>
      </c>
      <c r="EF356" s="50">
        <f t="shared" si="564"/>
        <v>0.92936125926889557</v>
      </c>
      <c r="EG356" s="50">
        <f t="shared" si="565"/>
        <v>5.5808507870430596E-2</v>
      </c>
      <c r="EH356" s="50">
        <f t="shared" si="566"/>
        <v>1.4830232860673864E-2</v>
      </c>
      <c r="EI356" s="51">
        <f t="shared" si="567"/>
        <v>31282</v>
      </c>
      <c r="EJ356" s="51">
        <f t="shared" si="568"/>
        <v>2998</v>
      </c>
      <c r="EK356" s="14">
        <f>INT(SUMPRODUCT($U356:$Y356,$BF356:$BJ356)/SUM($BF356:$BJ356)/10000*$BX$7*$BZ$46/'疲劳值&amp;地图信息'!$R$10*$BY$54)</f>
        <v>877</v>
      </c>
      <c r="EL356" s="50">
        <f t="shared" si="569"/>
        <v>0.88978012913502291</v>
      </c>
      <c r="EM356" s="50">
        <f t="shared" si="570"/>
        <v>8.5274625252439062E-2</v>
      </c>
      <c r="EN356" s="50">
        <f t="shared" si="571"/>
        <v>2.4945245612538042E-2</v>
      </c>
      <c r="EO356" s="51">
        <f t="shared" si="572"/>
        <v>34164</v>
      </c>
      <c r="EP356" s="51">
        <f t="shared" si="573"/>
        <v>5480</v>
      </c>
      <c r="EQ356" s="14">
        <f>INT(SUMPRODUCT($AB356:$AF356,$BF356:$BJ356)/SUM($BF356:$BJ356)/10000*$BX$7*$BZ$46/'疲劳值&amp;地图信息'!$R$10*$BY$55)</f>
        <v>1191</v>
      </c>
      <c r="ER356" s="50">
        <f t="shared" si="574"/>
        <v>0.83663523937798456</v>
      </c>
      <c r="ES356" s="50">
        <f t="shared" si="575"/>
        <v>0.1341986041386066</v>
      </c>
      <c r="ET356" s="50">
        <f t="shared" si="576"/>
        <v>2.9166156483408839E-2</v>
      </c>
      <c r="EU356" s="51">
        <f t="shared" si="577"/>
        <v>40318</v>
      </c>
      <c r="EV356" s="51">
        <f t="shared" si="578"/>
        <v>13810</v>
      </c>
      <c r="EW356" s="14">
        <f>INT(SUMPRODUCT($AI356:$AM356,$BF356:$BJ356)/SUM($BF356:$BJ356)/10000*$BX$7*$BZ$46/'疲劳值&amp;地图信息'!$R$10*$BY$56)</f>
        <v>1787</v>
      </c>
      <c r="EX356" s="50">
        <f t="shared" si="579"/>
        <v>0.72105874988822316</v>
      </c>
      <c r="EY356" s="50">
        <f t="shared" si="580"/>
        <v>0.24698202628990432</v>
      </c>
      <c r="EZ356" s="50">
        <f t="shared" si="581"/>
        <v>3.1959223821872482E-2</v>
      </c>
      <c r="FA356" s="51">
        <f t="shared" si="582"/>
        <v>41580</v>
      </c>
      <c r="FB356" s="51">
        <f t="shared" si="583"/>
        <v>23665</v>
      </c>
      <c r="FC356" s="14">
        <f>INT(SUMPRODUCT($AP356:$AT356,$BF356:$BJ356)/SUM($BF356:$BJ356)/10000*$BX$7*$BZ$46/'疲劳值&amp;地图信息'!$R$10*$BY$57)</f>
        <v>2383</v>
      </c>
      <c r="FD356" s="50">
        <f t="shared" si="584"/>
        <v>0.61483409238776843</v>
      </c>
      <c r="FE356" s="50">
        <f t="shared" si="585"/>
        <v>0.34992902348139826</v>
      </c>
      <c r="FF356" s="50">
        <f t="shared" si="586"/>
        <v>3.5236884130833382E-2</v>
      </c>
      <c r="FH356" s="14">
        <f t="shared" si="587"/>
        <v>30748</v>
      </c>
      <c r="FI356" s="14">
        <f t="shared" si="588"/>
        <v>35157</v>
      </c>
      <c r="FJ356" s="14">
        <f t="shared" si="589"/>
        <v>40835</v>
      </c>
      <c r="FK356" s="14">
        <f t="shared" si="590"/>
        <v>55915</v>
      </c>
      <c r="FL356" s="14">
        <f t="shared" si="591"/>
        <v>67628</v>
      </c>
      <c r="FM356" s="14">
        <f t="shared" si="592"/>
        <v>3608006</v>
      </c>
      <c r="FP356" s="14">
        <f t="shared" si="593"/>
        <v>334150</v>
      </c>
      <c r="FQ356" s="50">
        <f t="shared" si="533"/>
        <v>8.4763261524911745E-2</v>
      </c>
      <c r="FS356" s="14">
        <f t="shared" si="594"/>
        <v>3942156</v>
      </c>
      <c r="FX356" s="14">
        <v>351</v>
      </c>
      <c r="FY356" s="51">
        <f t="shared" si="595"/>
        <v>40006</v>
      </c>
      <c r="FZ356" s="51">
        <f t="shared" si="596"/>
        <v>1716</v>
      </c>
      <c r="GA356" s="51">
        <f>INT(SUMPRODUCT($N356:$R356,$BF356:$BJ356)/SUM($BF356:$BJ356)/10000*$BX$7*$BZ$46/'疲劳值&amp;地图信息'!$R$10*$BY$53)</f>
        <v>456</v>
      </c>
      <c r="GB356" s="50">
        <f t="shared" si="597"/>
        <v>0.948503959410119</v>
      </c>
      <c r="GC356" s="50">
        <f t="shared" si="598"/>
        <v>4.0684717151121437E-2</v>
      </c>
      <c r="GD356" s="50">
        <f t="shared" si="599"/>
        <v>1.0811323438759544E-2</v>
      </c>
      <c r="GE356" s="51">
        <f t="shared" si="600"/>
        <v>43794</v>
      </c>
      <c r="GF356" s="51">
        <f t="shared" si="601"/>
        <v>2998</v>
      </c>
      <c r="GG356" s="14">
        <f>INT(SUMPRODUCT($U356:$Y356,$BF356:$BJ356)/SUM($BF356:$BJ356)/10000*$BX$7*$BZ$46/'疲劳值&amp;地图信息'!$R$10*$BY$54)</f>
        <v>877</v>
      </c>
      <c r="GH356" s="50">
        <f t="shared" si="602"/>
        <v>0.918710272923703</v>
      </c>
      <c r="GI356" s="50">
        <f t="shared" si="603"/>
        <v>6.2892026264448592E-2</v>
      </c>
      <c r="GJ356" s="50">
        <f t="shared" si="604"/>
        <v>1.8397700811848373E-2</v>
      </c>
      <c r="GK356" s="51">
        <f t="shared" si="605"/>
        <v>47829</v>
      </c>
      <c r="GL356" s="51">
        <f t="shared" si="606"/>
        <v>5480</v>
      </c>
      <c r="GM356" s="14">
        <f>INT(SUMPRODUCT($AB356:$AF356,$BF356:$BJ356)/SUM($BF356:$BJ356)/10000*$BX$7*$BZ$46/'疲劳值&amp;地图信息'!$R$10*$BY$55)</f>
        <v>1191</v>
      </c>
      <c r="GN356" s="50">
        <f t="shared" si="607"/>
        <v>0.87759633027522932</v>
      </c>
      <c r="GO356" s="50">
        <f t="shared" si="608"/>
        <v>0.10055045871559633</v>
      </c>
      <c r="GP356" s="50">
        <f t="shared" si="609"/>
        <v>2.1853211009174311E-2</v>
      </c>
      <c r="GQ356" s="51">
        <f t="shared" si="610"/>
        <v>56445</v>
      </c>
      <c r="GR356" s="51">
        <f t="shared" si="611"/>
        <v>13810</v>
      </c>
      <c r="GS356" s="14">
        <f>INT(SUMPRODUCT($AI356:$AM356,$BF356:$BJ356)/SUM($BF356:$BJ356)/10000*$BX$7*$BZ$46/'疲劳值&amp;地图信息'!$R$10*$BY$56)</f>
        <v>1787</v>
      </c>
      <c r="GT356" s="50">
        <f t="shared" si="612"/>
        <v>0.78350129091363374</v>
      </c>
      <c r="GU356" s="50">
        <f t="shared" si="613"/>
        <v>0.19169373421059938</v>
      </c>
      <c r="GV356" s="50">
        <f t="shared" si="614"/>
        <v>2.4804974875766914E-2</v>
      </c>
      <c r="GW356" s="51">
        <f t="shared" si="615"/>
        <v>58212</v>
      </c>
      <c r="GX356" s="51">
        <f t="shared" si="616"/>
        <v>23665</v>
      </c>
      <c r="GY356" s="14">
        <f>INT(SUMPRODUCT($AP356:$AT356,$BF356:$BJ356)/SUM($BF356:$BJ356)/10000*$BX$7*$BZ$46/'疲劳值&amp;地图信息'!$R$10*$BY$57)</f>
        <v>2383</v>
      </c>
      <c r="GZ356" s="50">
        <f t="shared" si="617"/>
        <v>0.69086161879895558</v>
      </c>
      <c r="HA356" s="50">
        <f t="shared" si="618"/>
        <v>0.28085687158794209</v>
      </c>
      <c r="HB356" s="50">
        <f t="shared" si="619"/>
        <v>2.8281509613102301E-2</v>
      </c>
      <c r="HD356" s="14">
        <f t="shared" si="620"/>
        <v>42178</v>
      </c>
      <c r="HE356" s="14">
        <f t="shared" si="621"/>
        <v>47669</v>
      </c>
      <c r="HF356" s="14">
        <f t="shared" si="622"/>
        <v>54500</v>
      </c>
      <c r="HG356" s="14">
        <f t="shared" si="623"/>
        <v>72042</v>
      </c>
      <c r="HH356" s="14">
        <f t="shared" si="624"/>
        <v>84260</v>
      </c>
      <c r="HI356" s="14">
        <f t="shared" si="625"/>
        <v>4890054</v>
      </c>
      <c r="HL356" s="14">
        <f t="shared" si="626"/>
        <v>430050</v>
      </c>
      <c r="HM356" s="50">
        <f t="shared" si="534"/>
        <v>8.0834885934560674E-2</v>
      </c>
      <c r="HO356" s="14">
        <f t="shared" si="627"/>
        <v>5320104</v>
      </c>
    </row>
    <row r="357" spans="11:223" x14ac:dyDescent="0.2">
      <c r="K357" s="14">
        <v>352</v>
      </c>
      <c r="L357" s="12">
        <f>求节点(节奏总纲!D$4:D$163,标准城池设计!AB$4:AB$163,$K357)*求节点(节奏总纲!D$4:D$163,攻城基础信息!$AC$5:$AC$164,$K357)</f>
        <v>842339.25806298957</v>
      </c>
      <c r="M357" s="12">
        <f>INDEX(其他调用!$AA$5:$AA$404,MATCH(K357,其他调用!$X$5:$X$404,0))*MIN(INDEX(其他调用!$AH$5:$AH$364,MATCH('征服点（新）'!K357,其他调用!$AG$5:$AG$364,0),1)/INDEX(其他调用!$AJ$5:$AJ$364,MATCH(K357,其他调用!$AG$5:$AG$364,0),0),5)*求节点(节奏总纲!D$4:D$163,攻城基础信息!$AC$5:$AC$164,$K357)</f>
        <v>50469.764664809132</v>
      </c>
      <c r="N357" s="12">
        <f>MIN(INDEX(其他调用!$AH$5:$AH$364,MATCH($K357,其他调用!$AG$5:$AG$364,0),1)/INDEX(其他调用!AH$5:AH$364,MATCH($K357,其他调用!$AG$5:$AG$364,0),0),1)*INDEX(其他调用!Y$5:Y$404,MATCH($K357,其他调用!$X$5:$X$404,0),0)</f>
        <v>43397.410041642754</v>
      </c>
      <c r="O357" s="12">
        <f>MIN(INDEX(其他调用!$AH$5:$AH$364,MATCH($K357,其他调用!$AG$5:$AG$364,0),1)/INDEX(其他调用!AI$5:AI$364,MATCH($K357,其他调用!$AG$5:$AG$364,0),0),1)*INDEX(其他调用!Z$5:Z$404,MATCH($K357,其他调用!$X$5:$X$404,0),0)</f>
        <v>25503.306173333232</v>
      </c>
      <c r="P357" s="12">
        <f>MIN(INDEX(其他调用!$AH$5:$AH$364,MATCH($K357,其他调用!$AG$5:$AG$364,0),1)/INDEX(其他调用!AJ$5:AJ$364,MATCH($K357,其他调用!$AG$5:$AG$364,0),0),1)*INDEX(其他调用!AA$5:AA$404,MATCH($K357,其他调用!$X$5:$X$404,0),0)</f>
        <v>14419.932761374046</v>
      </c>
      <c r="Q357" s="12">
        <f>MIN(INDEX(其他调用!$AH$5:$AH$364,MATCH($K357,其他调用!$AG$5:$AG$364,0),1)/INDEX(其他调用!AK$5:AK$364,MATCH($K357,其他调用!$AG$5:$AG$364,0),0),1)*INDEX(其他调用!AB$5:AB$404,MATCH($K357,其他调用!$X$5:$X$404,0),0)</f>
        <v>6013.8318339682892</v>
      </c>
      <c r="R357" s="12">
        <f>MIN(INDEX(其他调用!$AH$5:$AH$364,MATCH($K357,其他调用!$AG$5:$AG$364,0),1)/INDEX(其他调用!AL$5:AL$364,MATCH($K357,其他调用!$AG$5:$AG$364,0),0),1)*INDEX(其他调用!AC$5:AC$404,MATCH($K357,其他调用!$X$5:$X$404,0),0)</f>
        <v>3794.6205117292211</v>
      </c>
      <c r="S357" s="12">
        <f>求节点(节奏总纲!D$4:D$163,标准城池设计!AC$4:AC$163,$K357)*求节点(节奏总纲!D$4:D$163,攻城基础信息!$AD$5:$AD$164,$K357)</f>
        <v>921990.61429884285</v>
      </c>
      <c r="T357" s="12">
        <f>INDEX(其他调用!$AA$5:$AA$404,MATCH($K357,其他调用!$X$5:$X$404,0))*MIN(INDEX(其他调用!AI$5:AI$364,MATCH($K357,其他调用!$AG$5:$AG$364,0),1)/INDEX(其他调用!$AJ$5:$AJ$364,MATCH($K357,其他调用!$AG$5:$AG$364,0),0),5)*求节点(节奏总纲!D$4:D$163,攻城基础信息!$AD$5:$AD$164,$K357)</f>
        <v>88181.653508636722</v>
      </c>
      <c r="U357" s="12">
        <f>MIN(INDEX(其他调用!$AI$5:$AI$364,MATCH($K357,其他调用!$AG$5:$AG$364,0),1)/INDEX(其他调用!AH$5:AH$364,MATCH($K357,其他调用!$AG$5:$AG$364,0),0),1)*INDEX(其他调用!Y$5:Y$404,MATCH($K357,其他调用!$X$5:$X$404,0),0)</f>
        <v>43397.410041642754</v>
      </c>
      <c r="V357" s="12">
        <f>MIN(INDEX(其他调用!$AI$5:$AI$364,MATCH($K357,其他调用!$AG$5:$AG$364,0),1)/INDEX(其他调用!AI$5:AI$364,MATCH($K357,其他调用!$AG$5:$AG$364,0),0),1)*INDEX(其他调用!Z$5:Z$404,MATCH($K357,其他调用!$X$5:$X$404,0),0)</f>
        <v>44559.821573125853</v>
      </c>
      <c r="W357" s="12">
        <f>MIN(INDEX(其他调用!$AI$5:$AI$364,MATCH($K357,其他调用!$AG$5:$AG$364,0),1)/INDEX(其他调用!AJ$5:AJ$364,MATCH($K357,其他调用!$AG$5:$AG$364,0),0),1)*INDEX(其他调用!AA$5:AA$404,MATCH($K357,其他调用!$X$5:$X$404,0),0)</f>
        <v>25194.758145324795</v>
      </c>
      <c r="X357" s="12">
        <f>MIN(INDEX(其他调用!$AI$5:$AI$364,MATCH($K357,其他调用!$AG$5:$AG$364,0),1)/INDEX(其他调用!AK$5:AK$364,MATCH($K357,其他调用!$AG$5:$AG$364,0),0),1)*INDEX(其他调用!AB$5:AB$404,MATCH($K357,其他调用!$X$5:$X$404,0),0)</f>
        <v>10507.471920350919</v>
      </c>
      <c r="Y357" s="12">
        <f>MIN(INDEX(其他调用!$AI$5:$AI$364,MATCH($K357,其他调用!$AG$5:$AG$364,0),1)/INDEX(其他调用!AL$5:AL$364,MATCH($K357,其他调用!$AG$5:$AG$364,0),0),1)*INDEX(其他调用!AC$5:AC$404,MATCH($K357,其他调用!$X$5:$X$404,0),0)</f>
        <v>6630.0271733858181</v>
      </c>
      <c r="Z357" s="12">
        <f>求节点(节奏总纲!D$4:D$163,标准城池设计!AD$4:AD$163,$K357)*求节点(节奏总纲!D$4:D$163,攻城基础信息!$AE$5:$AE$164,$K357)</f>
        <v>1007107.8909333812</v>
      </c>
      <c r="AA357" s="12">
        <f>INDEX(其他调用!$AA$5:$AA$404,MATCH($K357,其他调用!$X$5:$X$404,0))*MIN(INDEX(其他调用!AJ$5:AJ$364,MATCH($K357,其他调用!$AG$5:$AG$364,0),1)/INDEX(其他调用!$AJ$5:$AJ$364,MATCH($K357,其他调用!$AG$5:$AG$364,0),0),5)*求节点(节奏总纲!D$4:D$163,攻城基础信息!$AE$5:$AE$164,$K357)</f>
        <v>161401.65754353645</v>
      </c>
      <c r="AB357" s="12">
        <f>MIN(INDEX(其他调用!$AJ$5:$AJ$364,MATCH($K357,其他调用!$AG$5:$AG$364,0),1)/INDEX(其他调用!AH$5:AH$364,MATCH($K357,其他调用!$AG$5:$AG$364,0),0),1)*INDEX(其他调用!Y$5:Y$404,MATCH($K357,其他调用!$X$5:$X$404,0),0)</f>
        <v>43397.410041642754</v>
      </c>
      <c r="AC357" s="12">
        <f>MIN(INDEX(其他调用!$AJ$5:$AJ$364,MATCH($K357,其他调用!$AG$5:$AG$364,0),1)/INDEX(其他调用!AI$5:AI$364,MATCH($K357,其他调用!$AG$5:$AG$364,0),0),1)*INDEX(其他调用!Z$5:Z$404,MATCH($K357,其他调用!$X$5:$X$404,0),0)</f>
        <v>44559.821573125853</v>
      </c>
      <c r="AD357" s="12">
        <f>MIN(INDEX(其他调用!$AJ$5:$AJ$364,MATCH($K357,其他调用!$AG$5:$AG$364,0),1)/INDEX(其他调用!AJ$5:AJ$364,MATCH($K357,其他调用!$AG$5:$AG$364,0),0),1)*INDEX(其他调用!AA$5:AA$404,MATCH($K357,其他调用!$X$5:$X$404,0),0)</f>
        <v>46114.759298153302</v>
      </c>
      <c r="AE357" s="12">
        <f>MIN(INDEX(其他调用!$AJ$5:$AJ$364,MATCH($K357,其他调用!$AG$5:$AG$364,0),1)/INDEX(其他调用!AK$5:AK$364,MATCH($K357,其他调用!$AG$5:$AG$364,0),0),1)*INDEX(其他调用!AB$5:AB$404,MATCH($K357,其他调用!$X$5:$X$404,0),0)</f>
        <v>19232.156770236816</v>
      </c>
      <c r="AF357" s="12">
        <f>MIN(INDEX(其他调用!$AJ$5:$AJ$364,MATCH($K357,其他调用!$AG$5:$AG$364,0),1)/INDEX(其他调用!AL$5:AL$364,MATCH($K357,其他调用!$AG$5:$AG$364,0),0),1)*INDEX(其他调用!AC$5:AC$404,MATCH($K357,其他调用!$X$5:$X$404,0),0)</f>
        <v>12135.147536537756</v>
      </c>
      <c r="AG357" s="12">
        <f>求节点(节奏总纲!D$4:D$163,标准城池设计!AE$4:AE$163,$K357)*求节点(节奏总纲!D$4:D$163,攻城基础信息!$AF$5:$AF$164,$K357)</f>
        <v>1187637.0576552821</v>
      </c>
      <c r="AH357" s="12">
        <f>INDEX(其他调用!$AA$5:$AA$404,MATCH($K357,其他调用!$X$5:$X$404,0))*MIN(INDEX(其他调用!AK$5:AK$364,MATCH($K357,其他调用!$AG$5:$AG$364,0),1)/INDEX(其他调用!$AJ$5:$AJ$364,MATCH($K357,其他调用!$AG$5:$AG$364,0),0),5)*求节点(节奏总纲!D$4:D$163,攻城基础信息!$AF$5:$AF$164,$K357)</f>
        <v>405798.24752663367</v>
      </c>
      <c r="AI357" s="12">
        <f>MIN(INDEX(其他调用!$AK$5:$AK$364,MATCH($K357,其他调用!$AG$5:$AG$364,0),1)/INDEX(其他调用!AH$5:AH$364,MATCH($K357,其他调用!$AG$5:$AG$364,0),0),1)*INDEX(其他调用!Y$5:Y$404,MATCH($K357,其他调用!$X$5:$X$404,0),0)</f>
        <v>43397.410041642754</v>
      </c>
      <c r="AJ357" s="12">
        <f>MIN(INDEX(其他调用!$AK$5:$AK$364,MATCH($K357,其他调用!$AG$5:$AG$364,0),1)/INDEX(其他调用!AI$5:AI$364,MATCH($K357,其他调用!$AG$5:$AG$364,0),0),1)*INDEX(其他调用!Z$5:Z$404,MATCH($K357,其他调用!$X$5:$X$404,0),0)</f>
        <v>44559.821573125853</v>
      </c>
      <c r="AK357" s="12">
        <f>MIN(INDEX(其他调用!$AK$5:$AK$364,MATCH($K357,其他调用!$AG$5:$AG$364,0),1)/INDEX(其他调用!AJ$5:AJ$364,MATCH($K357,其他调用!$AG$5:$AG$364,0),0),1)*INDEX(其他调用!AA$5:AA$404,MATCH($K357,其他调用!$X$5:$X$404,0),0)</f>
        <v>46114.759298153302</v>
      </c>
      <c r="AL357" s="12">
        <f>MIN(INDEX(其他调用!$AK$5:$AK$364,MATCH($K357,其他调用!$AG$5:$AG$364,0),1)/INDEX(其他调用!AK$5:AK$364,MATCH($K357,其他调用!$AG$5:$AG$364,0),0),1)*INDEX(其他调用!AB$5:AB$404,MATCH($K357,其他调用!$X$5:$X$404,0),0)</f>
        <v>48353.750712965462</v>
      </c>
      <c r="AM357" s="12">
        <f>MIN(INDEX(其他调用!$AK$5:$AK$364,MATCH($K357,其他调用!$AG$5:$AG$364,0),1)/INDEX(其他调用!AL$5:AL$364,MATCH($K357,其他调用!$AG$5:$AG$364,0),0),1)*INDEX(其他调用!AC$5:AC$404,MATCH($K357,其他调用!$X$5:$X$404,0),0)</f>
        <v>30510.353355422358</v>
      </c>
      <c r="AN357" s="12">
        <f>求节点(节奏总纲!D$4:D$163,标准城池设计!AF$4:AF$163,$K357)*求节点(节奏总纲!D$4:D$163,攻城基础信息!$AG$5:$AG$164,$K357)</f>
        <v>1224753.3972289762</v>
      </c>
      <c r="AO357" s="12">
        <f>INDEX(其他调用!$AA$5:$AA$404,MATCH($K357,其他调用!$X$5:$X$404,0))*MIN(INDEX(其他调用!AL$5:AL$364,MATCH($K357,其他调用!$AG$5:$AG$364,0),1)/INDEX(其他调用!$AJ$5:$AJ$364,MATCH($K357,其他调用!$AG$5:$AG$364,0),0),5)*求节点(节奏总纲!D$4:D$163,攻城基础信息!$AG$5:$AG$164,$K357)</f>
        <v>694768.72078273108</v>
      </c>
      <c r="AP357" s="12">
        <f>MIN(INDEX(其他调用!$AL$5:$AL$364,MATCH($K357,其他调用!$AG$5:$AG$364,0),1)/INDEX(其他调用!AH$5:AH$364,MATCH($K357,其他调用!$AG$5:$AG$364,0),0),1)*INDEX(其他调用!Y$5:Y$404,MATCH($K357,其他调用!$X$5:$X$404,0),0)</f>
        <v>43397.410041642754</v>
      </c>
      <c r="AQ357" s="12">
        <f>MIN(INDEX(其他调用!$AL$5:$AL$364,MATCH($K357,其他调用!$AG$5:$AG$364,0),1)/INDEX(其他调用!AI$5:AI$364,MATCH($K357,其他调用!$AG$5:$AG$364,0),0),1)*INDEX(其他调用!Z$5:Z$404,MATCH($K357,其他调用!$X$5:$X$404,0),0)</f>
        <v>44559.821573125853</v>
      </c>
      <c r="AR357" s="12">
        <f>MIN(INDEX(其他调用!$AL$5:$AL$364,MATCH($K357,其他调用!$AG$5:$AG$364,0),1)/INDEX(其他调用!AJ$5:AJ$364,MATCH($K357,其他调用!$AG$5:$AG$364,0),0),1)*INDEX(其他调用!AA$5:AA$404,MATCH($K357,其他调用!$X$5:$X$404,0),0)</f>
        <v>46114.759298153302</v>
      </c>
      <c r="AS357" s="12">
        <f>MIN(INDEX(其他调用!$AL$5:$AL$364,MATCH($K357,其他调用!$AG$5:$AG$364,0),1)/INDEX(其他调用!AK$5:AK$364,MATCH($K357,其他调用!$AG$5:$AG$364,0),0),1)*INDEX(其他调用!AB$5:AB$404,MATCH($K357,其他调用!$X$5:$X$404,0),0)</f>
        <v>48353.750712965462</v>
      </c>
      <c r="AT357" s="12">
        <f>MIN(INDEX(其他调用!$AL$5:$AL$364,MATCH($K357,其他调用!$AG$5:$AG$364,0),1)/INDEX(其他调用!AL$5:AL$364,MATCH($K357,其他调用!$AG$5:$AG$364,0),0),1)*INDEX(其他调用!AC$5:AC$404,MATCH($K357,其他调用!$X$5:$X$404,0),0)</f>
        <v>52236.891855933012</v>
      </c>
      <c r="AV357" s="14">
        <f>IF(OR(AV$5="大R",AV$5="超R"),MAX(INDEX(其他调用!$H$5:$L$404,MATCH($K357,其他调用!$B$5:$B$404,0),MATCH(AV$5,其他调用!$H$4:$L$4,0))*120*0.85,2),INDEX(其他调用!$H$5:$L$404,MATCH($K357,其他调用!$B$5:$B$404,0),MATCH(AV$5,其他调用!$H$4:$L$4,0))*120*0.85)</f>
        <v>48.921801254999991</v>
      </c>
      <c r="AW357" s="14">
        <f>IF(OR(AW$5="大R",AW$5="超R"),MAX(INDEX(其他调用!$H$5:$L$404,MATCH($K357,其他调用!$B$5:$B$404,0),MATCH(AW$5,其他调用!$H$4:$L$4,0))*120*0.85,2),INDEX(其他调用!$H$5:$L$404,MATCH($K357,其他调用!$B$5:$B$404,0),MATCH(AW$5,其他调用!$H$4:$L$4,0))*120*0.85)</f>
        <v>48.237344010638395</v>
      </c>
      <c r="AX357" s="14">
        <f>IF(OR(AX$5="大R",AX$5="超R"),MAX(INDEX(其他调用!$H$5:$L$404,MATCH($K357,其他调用!$B$5:$B$404,0),MATCH(AX$5,其他调用!$H$4:$L$4,0))*120*0.85,2),INDEX(其他调用!$H$5:$L$404,MATCH($K357,其他调用!$B$5:$B$404,0),MATCH(AX$5,其他调用!$H$4:$L$4,0))*120*0.85)</f>
        <v>3.9376284143615998</v>
      </c>
      <c r="AY357" s="14">
        <f>IF(OR(AY$5="大R",AY$5="超R"),MAX(INDEX(其他调用!$H$5:$L$404,MATCH($K357,其他调用!$B$5:$B$404,0),MATCH(AY$5,其他调用!$H$4:$L$4,0))*120*0.85,2),INDEX(其他调用!$H$5:$L$404,MATCH($K357,其他调用!$B$5:$B$404,0),MATCH(AY$5,其他调用!$H$4:$L$4,0))*120*0.85)</f>
        <v>2</v>
      </c>
      <c r="AZ357" s="14">
        <f>IF(OR(AZ$5="大R",AZ$5="超R"),MAX(INDEX(其他调用!$H$5:$L$404,MATCH($K357,其他调用!$B$5:$B$404,0),MATCH(AZ$5,其他调用!$H$4:$L$4,0))*120*0.85,2),INDEX(其他调用!$H$5:$L$404,MATCH($K357,其他调用!$B$5:$B$404,0),MATCH(AZ$5,其他调用!$H$4:$L$4,0))*120*0.85)</f>
        <v>2</v>
      </c>
      <c r="BA357" s="14">
        <f>INDEX(其他调用!$H$5:$L$404,MATCH($K357,其他调用!$B$5:$B$404,0),MATCH(BA$5,其他调用!$H$4:$L$4,0))*INDEX(其他调用!$M$5:$M$404,MATCH($K357,其他调用!$B$5:$B$404,0))*0.6</f>
        <v>28.777530149999997</v>
      </c>
      <c r="BB357" s="14">
        <f>INDEX(其他调用!$H$5:$L$404,MATCH($K357,其他调用!$B$5:$B$404,0),MATCH(BB$5,其他调用!$H$4:$L$4,0))*INDEX(其他调用!$M$5:$M$404,MATCH($K357,其他调用!$B$5:$B$404,0))*0.6</f>
        <v>28.374908241551999</v>
      </c>
      <c r="BC357" s="14">
        <f>INDEX(其他调用!$H$5:$L$404,MATCH($K357,其他调用!$B$5:$B$404,0),MATCH(BC$5,其他调用!$H$4:$L$4,0))*INDEX(其他调用!$M$5:$M$404,MATCH($K357,其他调用!$B$5:$B$404,0))*0.6</f>
        <v>2.3162520084480001</v>
      </c>
      <c r="BD357" s="14">
        <f>INDEX(其他调用!$H$5:$L$404,MATCH($K357,其他调用!$B$5:$B$404,0),MATCH(BD$5,其他调用!$H$4:$L$4,0))*INDEX(其他调用!$M$5:$M$404,MATCH($K357,其他调用!$B$5:$B$404,0))*0.6</f>
        <v>0.4120776000000001</v>
      </c>
      <c r="BE357" s="14">
        <f>INDEX(其他调用!$H$5:$L$404,MATCH($K357,其他调用!$B$5:$B$404,0),MATCH(BE$5,其他调用!$H$4:$L$4,0))*INDEX(其他调用!$M$5:$M$404,MATCH($K357,其他调用!$B$5:$B$404,0))*0.6</f>
        <v>0.11923199999999998</v>
      </c>
      <c r="BF357" s="14">
        <f>IF(OR(BF$5="大R",BF$5="超R"),0,INDEX(其他调用!$H$5:$L$404,MATCH($K357,其他调用!$B$5:$B$404,0),MATCH(BF$5,其他调用!$H$4:$L$4,0))*50*0.4)</f>
        <v>9.5925100500000013</v>
      </c>
      <c r="BG357" s="14">
        <f>IF(OR(BG$5="大R",BG$5="超R"),0,INDEX(其他调用!$H$5:$L$404,MATCH($K357,其他调用!$B$5:$B$404,0),MATCH(BG$5,其他调用!$H$4:$L$4,0))*50*0.4)</f>
        <v>9.4583027471839998</v>
      </c>
      <c r="BH357" s="14">
        <f>IF(OR(BH$5="大R",BH$5="超R"),0,INDEX(其他调用!$H$5:$L$404,MATCH($K357,其他调用!$B$5:$B$404,0),MATCH(BH$5,其他调用!$H$4:$L$4,0))*50*0.4)</f>
        <v>0.77208400281600009</v>
      </c>
      <c r="BI357" s="14">
        <f>IF(OR(BI$5="大R",BI$5="超R"),0,INDEX(其他调用!$H$5:$L$404,MATCH($K357,其他调用!$B$5:$B$404,0),MATCH(BI$5,其他调用!$H$4:$L$4,0))*50*0.4)</f>
        <v>0</v>
      </c>
      <c r="BJ357" s="14">
        <f>IF(OR(BJ$5="大R",BJ$5="超R"),0,INDEX(其他调用!$H$5:$L$404,MATCH($K357,其他调用!$B$5:$B$404,0),MATCH(BJ$5,其他调用!$H$4:$L$4,0))*50*0.4)</f>
        <v>0</v>
      </c>
      <c r="BL357" s="14">
        <f t="shared" si="628"/>
        <v>352</v>
      </c>
      <c r="BM357" s="14">
        <f t="shared" si="535"/>
        <v>96</v>
      </c>
      <c r="BN357" s="14">
        <f>('疲劳值&amp;地图信息'!$S$10*'疲劳值&amp;地图信息'!$R$10+'疲劳值&amp;地图信息'!$S$11*'疲劳值&amp;地图信息'!$R$11+'疲劳值&amp;地图信息'!$S$12*'疲劳值&amp;地图信息'!$R$12+(BM357-'疲劳值&amp;地图信息'!$S$12-'疲劳值&amp;地图信息'!$S$11-'疲劳值&amp;地图信息'!$S$10)*'疲劳值&amp;地图信息'!$R$13)/BM357</f>
        <v>51.371477246638619</v>
      </c>
      <c r="BO357" s="14">
        <f>INDEX(其他调用!$M$5:$M$404,MATCH(BL357,其他调用!$B$5:$B$404,0))*0.6</f>
        <v>60</v>
      </c>
      <c r="BP357" s="14">
        <f>IF(BO357&gt;SUM('疲劳值&amp;地图信息'!$S$10:$S$12),('疲劳值&amp;地图信息'!$S$10*'疲劳值&amp;地图信息'!$R$10+'疲劳值&amp;地图信息'!$S$11*'疲劳值&amp;地图信息'!$R$11+'疲劳值&amp;地图信息'!$S$12*'疲劳值&amp;地图信息'!$R$12+(BO357-'疲劳值&amp;地图信息'!$S$12-'疲劳值&amp;地图信息'!$S$11-'疲劳值&amp;地图信息'!$S$10)*'疲劳值&amp;地图信息'!$R$13)/BO357,('疲劳值&amp;地图信息'!$S$10*'疲劳值&amp;地图信息'!$R$10+'疲劳值&amp;地图信息'!$S$11*'疲劳值&amp;地图信息'!$R$11+'疲劳值&amp;地图信息'!$S$12*'疲劳值&amp;地图信息'!$R$12+(BO357-'疲劳值&amp;地图信息'!$S$12-'疲劳值&amp;地图信息'!$S$11-'疲劳值&amp;地图信息'!$S$10)*'疲劳值&amp;地图信息'!$R$13)/BO357)</f>
        <v>44.158136341605953</v>
      </c>
      <c r="BQ357" s="14">
        <f t="shared" si="629"/>
        <v>20</v>
      </c>
      <c r="BR357" s="14">
        <f>('疲劳值&amp;地图信息'!$S$10*'疲劳值&amp;地图信息'!$R$10+($BQ357-'疲劳值&amp;地图信息'!$S$10)*'疲劳值&amp;地图信息'!$R$11)/$BQ357</f>
        <v>32.067203015074995</v>
      </c>
      <c r="CF357" s="14">
        <v>352</v>
      </c>
      <c r="CG357" s="51">
        <f t="shared" si="536"/>
        <v>17167</v>
      </c>
      <c r="CH357" s="51">
        <f t="shared" si="537"/>
        <v>1028</v>
      </c>
      <c r="CI357" s="51">
        <f>INT(SUMPRODUCT($N357:$R357,$BA357:$BE357)/SUM($BA357:$BE357)/10000*$BX$7*$BZ$34/'疲劳值&amp;地图信息'!$R$10*$BY$53)</f>
        <v>3397</v>
      </c>
      <c r="CJ357" s="50">
        <f t="shared" si="538"/>
        <v>0.79506298629121896</v>
      </c>
      <c r="CK357" s="50">
        <f t="shared" si="539"/>
        <v>4.7610226009633196E-2</v>
      </c>
      <c r="CL357" s="50">
        <f t="shared" si="540"/>
        <v>0.15732678769914782</v>
      </c>
      <c r="CM357" s="14">
        <f t="shared" si="541"/>
        <v>18791</v>
      </c>
      <c r="CN357" s="14">
        <f t="shared" si="542"/>
        <v>1797</v>
      </c>
      <c r="CO357" s="14">
        <f>INT(SUMPRODUCT($U357:$Y357,$BA357:$BE357)/SUM($BA357:$BE357)/10000*$BX$7*$BZ$34/'疲劳值&amp;地图信息'!$R$10*$BY$54)</f>
        <v>6536</v>
      </c>
      <c r="CP357" s="50">
        <f t="shared" si="543"/>
        <v>0.69278130069311306</v>
      </c>
      <c r="CQ357" s="50">
        <f t="shared" si="544"/>
        <v>6.62512903701519E-2</v>
      </c>
      <c r="CR357" s="50">
        <f t="shared" si="545"/>
        <v>0.24096740893673499</v>
      </c>
      <c r="CS357" s="14">
        <f t="shared" si="546"/>
        <v>20526</v>
      </c>
      <c r="CT357" s="14">
        <f t="shared" si="547"/>
        <v>3289</v>
      </c>
      <c r="CU357" s="14">
        <f>INT(SUMPRODUCT($AB357:$AF357,$BA357:$BE357)/SUM($BA357:$BE357)/10000*$BX$7*$BZ$34/'疲劳值&amp;地图信息'!$R$10*$BY$55)</f>
        <v>8893</v>
      </c>
      <c r="CV357" s="50">
        <f t="shared" si="548"/>
        <v>0.62755289225877464</v>
      </c>
      <c r="CW357" s="50">
        <f t="shared" si="549"/>
        <v>0.10055643879173291</v>
      </c>
      <c r="CX357" s="50">
        <f t="shared" si="550"/>
        <v>0.27189066894949249</v>
      </c>
      <c r="CY357" s="14">
        <f t="shared" si="551"/>
        <v>24205</v>
      </c>
      <c r="CZ357" s="14">
        <f t="shared" si="552"/>
        <v>8270</v>
      </c>
      <c r="DA357" s="14">
        <f>INT(SUMPRODUCT($AI357:$AM357,$BA357:$BE357)/SUM($BA357:$BE357)/10000*$BX$7*$BZ$34/'疲劳值&amp;地图信息'!$R$10*$BY$56)</f>
        <v>13412</v>
      </c>
      <c r="DB357" s="50">
        <f t="shared" si="553"/>
        <v>0.5274914463791488</v>
      </c>
      <c r="DC357" s="50">
        <f t="shared" si="554"/>
        <v>0.1802253361518513</v>
      </c>
      <c r="DD357" s="50">
        <f t="shared" si="555"/>
        <v>0.29228321746899993</v>
      </c>
      <c r="DE357" s="14">
        <f t="shared" si="556"/>
        <v>24962</v>
      </c>
      <c r="DF357" s="14">
        <f t="shared" si="557"/>
        <v>14160</v>
      </c>
      <c r="DG357" s="14">
        <f>INT(SUMPRODUCT($AP357:$AT357,$BA357:$BE357)/SUM($BA357:$BE357)/10000*$BX$7*$BZ$34/'疲劳值&amp;地图信息'!$R$10*$BY$57)</f>
        <v>17900</v>
      </c>
      <c r="DH357" s="50">
        <f t="shared" si="558"/>
        <v>0.43776086422784188</v>
      </c>
      <c r="DI357" s="50">
        <f t="shared" si="559"/>
        <v>0.24832520781452772</v>
      </c>
      <c r="DJ357" s="50">
        <f t="shared" si="560"/>
        <v>0.3139139279576304</v>
      </c>
      <c r="DL357" s="14">
        <f t="shared" si="631"/>
        <v>21592</v>
      </c>
      <c r="DM357" s="14">
        <f t="shared" si="632"/>
        <v>27124</v>
      </c>
      <c r="DN357" s="14">
        <f t="shared" si="633"/>
        <v>32708</v>
      </c>
      <c r="DO357" s="14">
        <f t="shared" si="634"/>
        <v>45887</v>
      </c>
      <c r="DP357" s="14">
        <f t="shared" si="635"/>
        <v>57022</v>
      </c>
      <c r="DQ357" s="14">
        <f t="shared" si="636"/>
        <v>1492473</v>
      </c>
      <c r="DT357" s="14">
        <f t="shared" si="630"/>
        <v>235575</v>
      </c>
      <c r="DU357" s="50">
        <f t="shared" si="532"/>
        <v>0.13632433821282741</v>
      </c>
      <c r="DW357" s="14">
        <f t="shared" si="561"/>
        <v>1728048</v>
      </c>
      <c r="EB357" s="14">
        <v>352</v>
      </c>
      <c r="EC357" s="51">
        <f t="shared" si="562"/>
        <v>28613</v>
      </c>
      <c r="ED357" s="51">
        <f t="shared" si="563"/>
        <v>1714</v>
      </c>
      <c r="EE357" s="51">
        <f>INT(SUMPRODUCT($N357:$R357,$BF357:$BJ357)/SUM($BF357:$BJ357)/10000*$BX$7*$BZ$46/'疲劳值&amp;地图信息'!$R$10*$BY$53)</f>
        <v>456</v>
      </c>
      <c r="EF357" s="50">
        <f t="shared" si="564"/>
        <v>0.92950654582074521</v>
      </c>
      <c r="EG357" s="50">
        <f t="shared" si="565"/>
        <v>5.5680083162784652E-2</v>
      </c>
      <c r="EH357" s="50">
        <f t="shared" si="566"/>
        <v>1.481337101647013E-2</v>
      </c>
      <c r="EI357" s="51">
        <f t="shared" si="567"/>
        <v>31318</v>
      </c>
      <c r="EJ357" s="51">
        <f t="shared" si="568"/>
        <v>2995</v>
      </c>
      <c r="EK357" s="14">
        <f>INT(SUMPRODUCT($U357:$Y357,$BF357:$BJ357)/SUM($BF357:$BJ357)/10000*$BX$7*$BZ$46/'疲劳值&amp;地图信息'!$R$10*$BY$54)</f>
        <v>877</v>
      </c>
      <c r="EL357" s="50">
        <f t="shared" si="569"/>
        <v>0.88996874111963631</v>
      </c>
      <c r="EM357" s="50">
        <f t="shared" si="570"/>
        <v>8.5109406081273084E-2</v>
      </c>
      <c r="EN357" s="50">
        <f t="shared" si="571"/>
        <v>2.4921852799090649E-2</v>
      </c>
      <c r="EO357" s="51">
        <f t="shared" si="572"/>
        <v>34210</v>
      </c>
      <c r="EP357" s="51">
        <f t="shared" si="573"/>
        <v>5482</v>
      </c>
      <c r="EQ357" s="14">
        <f>INT(SUMPRODUCT($AB357:$AF357,$BF357:$BJ357)/SUM($BF357:$BJ357)/10000*$BX$7*$BZ$46/'疲劳值&amp;地图信息'!$R$10*$BY$55)</f>
        <v>1192</v>
      </c>
      <c r="ER357" s="50">
        <f t="shared" si="574"/>
        <v>0.8367576558066725</v>
      </c>
      <c r="ES357" s="50">
        <f t="shared" si="575"/>
        <v>0.13408668427746795</v>
      </c>
      <c r="ET357" s="50">
        <f t="shared" si="576"/>
        <v>2.9155659915859503E-2</v>
      </c>
      <c r="EU357" s="51">
        <f t="shared" si="577"/>
        <v>40342</v>
      </c>
      <c r="EV357" s="51">
        <f t="shared" si="578"/>
        <v>13784</v>
      </c>
      <c r="EW357" s="14">
        <f>INT(SUMPRODUCT($AI357:$AM357,$BF357:$BJ357)/SUM($BF357:$BJ357)/10000*$BX$7*$BZ$46/'疲劳值&amp;地图信息'!$R$10*$BY$56)</f>
        <v>1788</v>
      </c>
      <c r="EX357" s="50">
        <f t="shared" si="579"/>
        <v>0.72150087634581683</v>
      </c>
      <c r="EY357" s="50">
        <f t="shared" si="580"/>
        <v>0.24652144364559861</v>
      </c>
      <c r="EZ357" s="50">
        <f t="shared" si="581"/>
        <v>3.1977680008584614E-2</v>
      </c>
      <c r="FA357" s="51">
        <f t="shared" si="582"/>
        <v>41603</v>
      </c>
      <c r="FB357" s="51">
        <f t="shared" si="583"/>
        <v>23600</v>
      </c>
      <c r="FC357" s="14">
        <f>INT(SUMPRODUCT($AP357:$AT357,$BF357:$BJ357)/SUM($BF357:$BJ357)/10000*$BX$7*$BZ$46/'疲劳值&amp;地图信息'!$R$10*$BY$57)</f>
        <v>2384</v>
      </c>
      <c r="FD357" s="50">
        <f t="shared" si="584"/>
        <v>0.61554736857679726</v>
      </c>
      <c r="FE357" s="50">
        <f t="shared" si="585"/>
        <v>0.34917957595395566</v>
      </c>
      <c r="FF357" s="50">
        <f t="shared" si="586"/>
        <v>3.5273055469247042E-2</v>
      </c>
      <c r="FH357" s="14">
        <f t="shared" si="587"/>
        <v>30783</v>
      </c>
      <c r="FI357" s="14">
        <f t="shared" si="588"/>
        <v>35190</v>
      </c>
      <c r="FJ357" s="14">
        <f t="shared" si="589"/>
        <v>40884</v>
      </c>
      <c r="FK357" s="14">
        <f t="shared" si="590"/>
        <v>55914</v>
      </c>
      <c r="FL357" s="14">
        <f t="shared" si="591"/>
        <v>67587</v>
      </c>
      <c r="FM357" s="14">
        <f t="shared" si="592"/>
        <v>3611419</v>
      </c>
      <c r="FP357" s="14">
        <f t="shared" si="593"/>
        <v>334150</v>
      </c>
      <c r="FQ357" s="50">
        <f t="shared" si="533"/>
        <v>8.4689939524565411E-2</v>
      </c>
      <c r="FS357" s="14">
        <f t="shared" si="594"/>
        <v>3945569</v>
      </c>
      <c r="FX357" s="14">
        <v>352</v>
      </c>
      <c r="FY357" s="51">
        <f t="shared" si="595"/>
        <v>40058</v>
      </c>
      <c r="FZ357" s="51">
        <f t="shared" si="596"/>
        <v>1714</v>
      </c>
      <c r="GA357" s="51">
        <f>INT(SUMPRODUCT($N357:$R357,$BF357:$BJ357)/SUM($BF357:$BJ357)/10000*$BX$7*$BZ$46/'疲劳值&amp;地图信息'!$R$10*$BY$53)</f>
        <v>456</v>
      </c>
      <c r="GB357" s="50">
        <f t="shared" si="597"/>
        <v>0.94861229515960976</v>
      </c>
      <c r="GC357" s="50">
        <f t="shared" si="598"/>
        <v>4.0589182532916546E-2</v>
      </c>
      <c r="GD357" s="50">
        <f t="shared" si="599"/>
        <v>1.0798522307473715E-2</v>
      </c>
      <c r="GE357" s="51">
        <f t="shared" si="600"/>
        <v>43846</v>
      </c>
      <c r="GF357" s="51">
        <f t="shared" si="601"/>
        <v>2995</v>
      </c>
      <c r="GG357" s="14">
        <f>INT(SUMPRODUCT($U357:$Y357,$BF357:$BJ357)/SUM($BF357:$BJ357)/10000*$BX$7*$BZ$46/'疲劳值&amp;地图信息'!$R$10*$BY$54)</f>
        <v>877</v>
      </c>
      <c r="GH357" s="50">
        <f t="shared" si="602"/>
        <v>0.91885661595205159</v>
      </c>
      <c r="GI357" s="50">
        <f t="shared" si="603"/>
        <v>6.2764575212707993E-2</v>
      </c>
      <c r="GJ357" s="50">
        <f t="shared" si="604"/>
        <v>1.837880883524037E-2</v>
      </c>
      <c r="GK357" s="51">
        <f t="shared" si="605"/>
        <v>47894</v>
      </c>
      <c r="GL357" s="51">
        <f t="shared" si="606"/>
        <v>5482</v>
      </c>
      <c r="GM357" s="14">
        <f>INT(SUMPRODUCT($AB357:$AF357,$BF357:$BJ357)/SUM($BF357:$BJ357)/10000*$BX$7*$BZ$46/'疲劳值&amp;地图信息'!$R$10*$BY$55)</f>
        <v>1192</v>
      </c>
      <c r="GN357" s="50">
        <f t="shared" si="607"/>
        <v>0.87769388652690217</v>
      </c>
      <c r="GO357" s="50">
        <f t="shared" si="608"/>
        <v>0.10046180911889752</v>
      </c>
      <c r="GP357" s="50">
        <f t="shared" si="609"/>
        <v>2.1844304354200265E-2</v>
      </c>
      <c r="GQ357" s="51">
        <f t="shared" si="610"/>
        <v>56479</v>
      </c>
      <c r="GR357" s="51">
        <f t="shared" si="611"/>
        <v>13784</v>
      </c>
      <c r="GS357" s="14">
        <f>INT(SUMPRODUCT($AI357:$AM357,$BF357:$BJ357)/SUM($BF357:$BJ357)/10000*$BX$7*$BZ$46/'疲劳值&amp;地图信息'!$R$10*$BY$56)</f>
        <v>1788</v>
      </c>
      <c r="GT357" s="50">
        <f t="shared" si="612"/>
        <v>0.78387531054392023</v>
      </c>
      <c r="GU357" s="50">
        <f t="shared" si="613"/>
        <v>0.1913089339495635</v>
      </c>
      <c r="GV357" s="50">
        <f t="shared" si="614"/>
        <v>2.4815755506516216E-2</v>
      </c>
      <c r="GW357" s="51">
        <f t="shared" si="615"/>
        <v>58244</v>
      </c>
      <c r="GX357" s="51">
        <f t="shared" si="616"/>
        <v>23600</v>
      </c>
      <c r="GY357" s="14">
        <f>INT(SUMPRODUCT($AP357:$AT357,$BF357:$BJ357)/SUM($BF357:$BJ357)/10000*$BX$7*$BZ$46/'疲劳值&amp;地图信息'!$R$10*$BY$57)</f>
        <v>2384</v>
      </c>
      <c r="GZ357" s="50">
        <f t="shared" si="617"/>
        <v>0.69150401291731967</v>
      </c>
      <c r="HA357" s="50">
        <f t="shared" si="618"/>
        <v>0.28019186018901077</v>
      </c>
      <c r="HB357" s="50">
        <f t="shared" si="619"/>
        <v>2.8304126893669564E-2</v>
      </c>
      <c r="HD357" s="14">
        <f t="shared" si="620"/>
        <v>42228</v>
      </c>
      <c r="HE357" s="14">
        <f t="shared" si="621"/>
        <v>47718</v>
      </c>
      <c r="HF357" s="14">
        <f t="shared" si="622"/>
        <v>54568</v>
      </c>
      <c r="HG357" s="14">
        <f t="shared" si="623"/>
        <v>72051</v>
      </c>
      <c r="HH357" s="14">
        <f t="shared" si="624"/>
        <v>84228</v>
      </c>
      <c r="HI357" s="14">
        <f t="shared" si="625"/>
        <v>4895085</v>
      </c>
      <c r="HL357" s="14">
        <f t="shared" si="626"/>
        <v>430050</v>
      </c>
      <c r="HM357" s="50">
        <f t="shared" si="534"/>
        <v>8.0758515981284987E-2</v>
      </c>
      <c r="HO357" s="14">
        <f t="shared" si="627"/>
        <v>5325135</v>
      </c>
    </row>
    <row r="358" spans="11:223" x14ac:dyDescent="0.2">
      <c r="K358" s="14">
        <v>353</v>
      </c>
      <c r="L358" s="12">
        <f>求节点(节奏总纲!D$4:D$163,标准城池设计!AB$4:AB$163,$K358)*求节点(节奏总纲!D$4:D$163,攻城基础信息!$AC$5:$AC$164,$K358)</f>
        <v>843434.07126859168</v>
      </c>
      <c r="M358" s="12">
        <f>INDEX(其他调用!$AA$5:$AA$404,MATCH(K358,其他调用!$X$5:$X$404,0))*MIN(INDEX(其他调用!$AH$5:$AH$364,MATCH('征服点（新）'!K358,其他调用!$AG$5:$AG$364,0),1)/INDEX(其他调用!$AJ$5:$AJ$364,MATCH(K358,其他调用!$AG$5:$AG$364,0),0),5)*求节点(节奏总纲!D$4:D$163,攻城基础信息!$AC$5:$AC$164,$K358)</f>
        <v>50413.745973815501</v>
      </c>
      <c r="N358" s="12">
        <f>MIN(INDEX(其他调用!$AH$5:$AH$364,MATCH($K358,其他调用!$AG$5:$AG$364,0),1)/INDEX(其他调用!AH$5:AH$364,MATCH($K358,其他调用!$AG$5:$AG$364,0),0),1)*INDEX(其他调用!Y$5:Y$404,MATCH($K358,其他调用!$X$5:$X$404,0),0)</f>
        <v>43413.918013555151</v>
      </c>
      <c r="O358" s="12">
        <f>MIN(INDEX(其他调用!$AH$5:$AH$364,MATCH($K358,其他调用!$AG$5:$AG$364,0),1)/INDEX(其他调用!AI$5:AI$364,MATCH($K358,其他调用!$AG$5:$AG$364,0),0),1)*INDEX(其他调用!Z$5:Z$404,MATCH($K358,其他调用!$X$5:$X$404,0),0)</f>
        <v>25507.951151934401</v>
      </c>
      <c r="P358" s="12">
        <f>MIN(INDEX(其他调用!$AH$5:$AH$364,MATCH($K358,其他调用!$AG$5:$AG$364,0),1)/INDEX(其他调用!AJ$5:AJ$364,MATCH($K358,其他调用!$AG$5:$AG$364,0),0),1)*INDEX(其他调用!AA$5:AA$404,MATCH($K358,其他调用!$X$5:$X$404,0),0)</f>
        <v>14403.927421090153</v>
      </c>
      <c r="Q358" s="12">
        <f>MIN(INDEX(其他调用!$AH$5:$AH$364,MATCH($K358,其他调用!$AG$5:$AG$364,0),1)/INDEX(其他调用!AK$5:AK$364,MATCH($K358,其他调用!$AG$5:$AG$364,0),0),1)*INDEX(其他调用!AB$5:AB$404,MATCH($K358,其他调用!$X$5:$X$404,0),0)</f>
        <v>6020.7378177713426</v>
      </c>
      <c r="R358" s="12">
        <f>MIN(INDEX(其他调用!$AH$5:$AH$364,MATCH($K358,其他调用!$AG$5:$AG$364,0),1)/INDEX(其他调用!AL$5:AL$364,MATCH($K358,其他调用!$AG$5:$AG$364,0),0),1)*INDEX(其他调用!AC$5:AC$404,MATCH($K358,其他调用!$X$5:$X$404,0),0)</f>
        <v>3802.0206622595074</v>
      </c>
      <c r="S358" s="12">
        <f>求节点(节奏总纲!D$4:D$163,标准城池设计!AC$4:AC$163,$K358)*求节点(节奏总纲!D$4:D$163,攻城基础信息!$AD$5:$AD$164,$K358)</f>
        <v>923076.98742575792</v>
      </c>
      <c r="T358" s="12">
        <f>INDEX(其他调用!$AA$5:$AA$404,MATCH($K358,其他调用!$X$5:$X$404,0))*MIN(INDEX(其他调用!AI$5:AI$364,MATCH($K358,其他调用!$AG$5:$AG$364,0),1)/INDEX(其他调用!$AJ$5:$AJ$364,MATCH($K358,其他调用!$AG$5:$AG$364,0),0),5)*求节点(节奏总纲!D$4:D$163,攻城基础信息!$AD$5:$AD$164,$K358)</f>
        <v>88101.049167709411</v>
      </c>
      <c r="U358" s="12">
        <f>MIN(INDEX(其他调用!$AI$5:$AI$364,MATCH($K358,其他调用!$AG$5:$AG$364,0),1)/INDEX(其他调用!AH$5:AH$364,MATCH($K358,其他调用!$AG$5:$AG$364,0),0),1)*INDEX(其他调用!Y$5:Y$404,MATCH($K358,其他调用!$X$5:$X$404,0),0)</f>
        <v>43413.918013555151</v>
      </c>
      <c r="V358" s="12">
        <f>MIN(INDEX(其他调用!$AI$5:$AI$364,MATCH($K358,其他调用!$AG$5:$AG$364,0),1)/INDEX(其他调用!AI$5:AI$364,MATCH($K358,其他调用!$AG$5:$AG$364,0),0),1)*INDEX(其他调用!Z$5:Z$404,MATCH($K358,其他调用!$X$5:$X$404,0),0)</f>
        <v>44576.676761360286</v>
      </c>
      <c r="W358" s="12">
        <f>MIN(INDEX(其他调用!$AI$5:$AI$364,MATCH($K358,其他调用!$AG$5:$AG$364,0),1)/INDEX(其他调用!AJ$5:AJ$364,MATCH($K358,其他调用!$AG$5:$AG$364,0),0),1)*INDEX(其他调用!AA$5:AA$404,MATCH($K358,其他调用!$X$5:$X$404,0),0)</f>
        <v>25171.728333631276</v>
      </c>
      <c r="X358" s="12">
        <f>MIN(INDEX(其他调用!$AI$5:$AI$364,MATCH($K358,其他调用!$AG$5:$AG$364,0),1)/INDEX(其他调用!AK$5:AK$364,MATCH($K358,其他调用!$AG$5:$AG$364,0),0),1)*INDEX(其他调用!AB$5:AB$404,MATCH($K358,其他调用!$X$5:$X$404,0),0)</f>
        <v>10521.600969403529</v>
      </c>
      <c r="Y358" s="12">
        <f>MIN(INDEX(其他调用!$AI$5:$AI$364,MATCH($K358,其他调用!$AG$5:$AG$364,0),1)/INDEX(其他调用!AL$5:AL$364,MATCH($K358,其他调用!$AG$5:$AG$364,0),0),1)*INDEX(其他调用!AC$5:AC$404,MATCH($K358,其他调用!$X$5:$X$404,0),0)</f>
        <v>6644.2594739210317</v>
      </c>
      <c r="Z358" s="12">
        <f>求节点(节奏总纲!D$4:D$163,标准城池设计!AD$4:AD$163,$K358)*求节点(节奏总纲!D$4:D$163,攻城基础信息!$AE$5:$AE$164,$K358)</f>
        <v>1008463.614806758</v>
      </c>
      <c r="AA358" s="12">
        <f>INDEX(其他调用!$AA$5:$AA$404,MATCH($K358,其他调用!$X$5:$X$404,0))*MIN(INDEX(其他调用!AJ$5:AJ$364,MATCH($K358,其他调用!$AG$5:$AG$364,0),1)/INDEX(其他调用!$AJ$5:$AJ$364,MATCH($K358,其他调用!$AG$5:$AG$364,0),0),5)*求节点(节奏总纲!D$4:D$163,攻城基础信息!$AE$5:$AE$164,$K358)</f>
        <v>161464.23238946393</v>
      </c>
      <c r="AB358" s="12">
        <f>MIN(INDEX(其他调用!$AJ$5:$AJ$364,MATCH($K358,其他调用!$AG$5:$AG$364,0),1)/INDEX(其他调用!AH$5:AH$364,MATCH($K358,其他调用!$AG$5:$AG$364,0),0),1)*INDEX(其他调用!Y$5:Y$404,MATCH($K358,其他调用!$X$5:$X$404,0),0)</f>
        <v>43413.918013555151</v>
      </c>
      <c r="AC358" s="12">
        <f>MIN(INDEX(其他调用!$AJ$5:$AJ$364,MATCH($K358,其他调用!$AG$5:$AG$364,0),1)/INDEX(其他调用!AI$5:AI$364,MATCH($K358,其他调用!$AG$5:$AG$364,0),0),1)*INDEX(其他调用!Z$5:Z$404,MATCH($K358,其他调用!$X$5:$X$404,0),0)</f>
        <v>44576.676761360286</v>
      </c>
      <c r="AD358" s="12">
        <f>MIN(INDEX(其他调用!$AJ$5:$AJ$364,MATCH($K358,其他调用!$AG$5:$AG$364,0),1)/INDEX(其他调用!AJ$5:AJ$364,MATCH($K358,其他调用!$AG$5:$AG$364,0),0),1)*INDEX(其他调用!AA$5:AA$404,MATCH($K358,其他调用!$X$5:$X$404,0),0)</f>
        <v>46132.637825561149</v>
      </c>
      <c r="AE358" s="12">
        <f>MIN(INDEX(其他调用!$AJ$5:$AJ$364,MATCH($K358,其他调用!$AG$5:$AG$364,0),1)/INDEX(其他调用!AK$5:AK$364,MATCH($K358,其他调用!$AG$5:$AG$364,0),0),1)*INDEX(其他调用!AB$5:AB$404,MATCH($K358,其他调用!$X$5:$X$404,0),0)</f>
        <v>19283.110020619864</v>
      </c>
      <c r="AF358" s="12">
        <f>MIN(INDEX(其他调用!$AJ$5:$AJ$364,MATCH($K358,其他调用!$AG$5:$AG$364,0),1)/INDEX(其他调用!AL$5:AL$364,MATCH($K358,其他调用!$AG$5:$AG$364,0),0),1)*INDEX(其他调用!AC$5:AC$404,MATCH($K358,其他调用!$X$5:$X$404,0),0)</f>
        <v>12177.042905707947</v>
      </c>
      <c r="AG358" s="12">
        <f>求节点(节奏总纲!D$4:D$163,标准城池设计!AE$4:AE$163,$K358)*求节点(节奏总纲!D$4:D$163,攻城基础信息!$AF$5:$AF$164,$K358)</f>
        <v>1188350.0686371229</v>
      </c>
      <c r="AH358" s="12">
        <f>INDEX(其他调用!$AA$5:$AA$404,MATCH($K358,其他调用!$X$5:$X$404,0))*MIN(INDEX(其他调用!AK$5:AK$364,MATCH($K358,其他调用!$AG$5:$AG$364,0),1)/INDEX(其他调用!$AJ$5:$AJ$364,MATCH($K358,其他调用!$AG$5:$AG$364,0),0),5)*求节点(节奏总纲!D$4:D$163,攻城基础信息!$AF$5:$AF$164,$K358)</f>
        <v>405027.42441876419</v>
      </c>
      <c r="AI358" s="12">
        <f>MIN(INDEX(其他调用!$AK$5:$AK$364,MATCH($K358,其他调用!$AG$5:$AG$364,0),1)/INDEX(其他调用!AH$5:AH$364,MATCH($K358,其他调用!$AG$5:$AG$364,0),0),1)*INDEX(其他调用!Y$5:Y$404,MATCH($K358,其他调用!$X$5:$X$404,0),0)</f>
        <v>43413.918013555151</v>
      </c>
      <c r="AJ358" s="12">
        <f>MIN(INDEX(其他调用!$AK$5:$AK$364,MATCH($K358,其他调用!$AG$5:$AG$364,0),1)/INDEX(其他调用!AI$5:AI$364,MATCH($K358,其他调用!$AG$5:$AG$364,0),0),1)*INDEX(其他调用!Z$5:Z$404,MATCH($K358,其他调用!$X$5:$X$404,0),0)</f>
        <v>44576.676761360286</v>
      </c>
      <c r="AK358" s="12">
        <f>MIN(INDEX(其他调用!$AK$5:$AK$364,MATCH($K358,其他调用!$AG$5:$AG$364,0),1)/INDEX(其他调用!AJ$5:AJ$364,MATCH($K358,其他调用!$AG$5:$AG$364,0),0),1)*INDEX(其他调用!AA$5:AA$404,MATCH($K358,其他调用!$X$5:$X$404,0),0)</f>
        <v>46132.637825561149</v>
      </c>
      <c r="AL358" s="12">
        <f>MIN(INDEX(其他调用!$AK$5:$AK$364,MATCH($K358,其他调用!$AG$5:$AG$364,0),1)/INDEX(其他调用!AK$5:AK$364,MATCH($K358,其他调用!$AG$5:$AG$364,0),0),1)*INDEX(其他调用!AB$5:AB$404,MATCH($K358,其他调用!$X$5:$X$404,0),0)</f>
        <v>48371.012396086342</v>
      </c>
      <c r="AM358" s="12">
        <f>MIN(INDEX(其他调用!$AK$5:$AK$364,MATCH($K358,其他调用!$AG$5:$AG$364,0),1)/INDEX(其他调用!AL$5:AL$364,MATCH($K358,其他调用!$AG$5:$AG$364,0),0),1)*INDEX(其他调用!AC$5:AC$404,MATCH($K358,其他调用!$X$5:$X$404,0),0)</f>
        <v>30545.689606594911</v>
      </c>
      <c r="AN358" s="12">
        <f>求节点(节奏总纲!D$4:D$163,标准城池设计!AF$4:AF$163,$K358)*求节点(节奏总纲!D$4:D$163,攻城基础信息!$AG$5:$AG$164,$K358)</f>
        <v>1225436.3783534362</v>
      </c>
      <c r="AO358" s="12">
        <f>INDEX(其他调用!$AA$5:$AA$404,MATCH($K358,其他调用!$X$5:$X$404,0))*MIN(INDEX(其他调用!AL$5:AL$364,MATCH($K358,其他调用!$AG$5:$AG$364,0),1)/INDEX(其他调用!$AJ$5:$AJ$364,MATCH($K358,其他调用!$AG$5:$AG$364,0),0),5)*求节点(节奏总纲!D$4:D$163,攻城基础信息!$AG$5:$AG$164,$K358)</f>
        <v>692863.92688300961</v>
      </c>
      <c r="AP358" s="12">
        <f>MIN(INDEX(其他调用!$AL$5:$AL$364,MATCH($K358,其他调用!$AG$5:$AG$364,0),1)/INDEX(其他调用!AH$5:AH$364,MATCH($K358,其他调用!$AG$5:$AG$364,0),0),1)*INDEX(其他调用!Y$5:Y$404,MATCH($K358,其他调用!$X$5:$X$404,0),0)</f>
        <v>43413.918013555151</v>
      </c>
      <c r="AQ358" s="12">
        <f>MIN(INDEX(其他调用!$AL$5:$AL$364,MATCH($K358,其他调用!$AG$5:$AG$364,0),1)/INDEX(其他调用!AI$5:AI$364,MATCH($K358,其他调用!$AG$5:$AG$364,0),0),1)*INDEX(其他调用!Z$5:Z$404,MATCH($K358,其他调用!$X$5:$X$404,0),0)</f>
        <v>44576.676761360286</v>
      </c>
      <c r="AR358" s="12">
        <f>MIN(INDEX(其他调用!$AL$5:$AL$364,MATCH($K358,其他调用!$AG$5:$AG$364,0),1)/INDEX(其他调用!AJ$5:AJ$364,MATCH($K358,其他调用!$AG$5:$AG$364,0),0),1)*INDEX(其他调用!AA$5:AA$404,MATCH($K358,其他调用!$X$5:$X$404,0),0)</f>
        <v>46132.637825561149</v>
      </c>
      <c r="AS358" s="12">
        <f>MIN(INDEX(其他调用!$AL$5:$AL$364,MATCH($K358,其他调用!$AG$5:$AG$364,0),1)/INDEX(其他调用!AK$5:AK$364,MATCH($K358,其他调用!$AG$5:$AG$364,0),0),1)*INDEX(其他调用!AB$5:AB$404,MATCH($K358,其他调用!$X$5:$X$404,0),0)</f>
        <v>48371.012396086342</v>
      </c>
      <c r="AT358" s="12">
        <f>MIN(INDEX(其他调用!$AL$5:$AL$364,MATCH($K358,其他调用!$AG$5:$AG$364,0),1)/INDEX(其他调用!AL$5:AL$364,MATCH($K358,其他调用!$AG$5:$AG$364,0),0),1)*INDEX(其他调用!AC$5:AC$404,MATCH($K358,其他调用!$X$5:$X$404,0),0)</f>
        <v>52253.267739947136</v>
      </c>
      <c r="AV358" s="14">
        <f>IF(OR(AV$5="大R",AV$5="超R"),MAX(INDEX(其他调用!$H$5:$L$404,MATCH($K358,其他调用!$B$5:$B$404,0),MATCH(AV$5,其他调用!$H$4:$L$4,0))*120*0.85,2),INDEX(其他调用!$H$5:$L$404,MATCH($K358,其他调用!$B$5:$B$404,0),MATCH(AV$5,其他调用!$H$4:$L$4,0))*120*0.85)</f>
        <v>48.921801254999991</v>
      </c>
      <c r="AW358" s="14">
        <f>IF(OR(AW$5="大R",AW$5="超R"),MAX(INDEX(其他调用!$H$5:$L$404,MATCH($K358,其他调用!$B$5:$B$404,0),MATCH(AW$5,其他调用!$H$4:$L$4,0))*120*0.85,2),INDEX(其他调用!$H$5:$L$404,MATCH($K358,其他调用!$B$5:$B$404,0),MATCH(AW$5,其他调用!$H$4:$L$4,0))*120*0.85)</f>
        <v>48.237344010638395</v>
      </c>
      <c r="AX358" s="14">
        <f>IF(OR(AX$5="大R",AX$5="超R"),MAX(INDEX(其他调用!$H$5:$L$404,MATCH($K358,其他调用!$B$5:$B$404,0),MATCH(AX$5,其他调用!$H$4:$L$4,0))*120*0.85,2),INDEX(其他调用!$H$5:$L$404,MATCH($K358,其他调用!$B$5:$B$404,0),MATCH(AX$5,其他调用!$H$4:$L$4,0))*120*0.85)</f>
        <v>3.9376284143615998</v>
      </c>
      <c r="AY358" s="14">
        <f>IF(OR(AY$5="大R",AY$5="超R"),MAX(INDEX(其他调用!$H$5:$L$404,MATCH($K358,其他调用!$B$5:$B$404,0),MATCH(AY$5,其他调用!$H$4:$L$4,0))*120*0.85,2),INDEX(其他调用!$H$5:$L$404,MATCH($K358,其他调用!$B$5:$B$404,0),MATCH(AY$5,其他调用!$H$4:$L$4,0))*120*0.85)</f>
        <v>2</v>
      </c>
      <c r="AZ358" s="14">
        <f>IF(OR(AZ$5="大R",AZ$5="超R"),MAX(INDEX(其他调用!$H$5:$L$404,MATCH($K358,其他调用!$B$5:$B$404,0),MATCH(AZ$5,其他调用!$H$4:$L$4,0))*120*0.85,2),INDEX(其他调用!$H$5:$L$404,MATCH($K358,其他调用!$B$5:$B$404,0),MATCH(AZ$5,其他调用!$H$4:$L$4,0))*120*0.85)</f>
        <v>2</v>
      </c>
      <c r="BA358" s="14">
        <f>INDEX(其他调用!$H$5:$L$404,MATCH($K358,其他调用!$B$5:$B$404,0),MATCH(BA$5,其他调用!$H$4:$L$4,0))*INDEX(其他调用!$M$5:$M$404,MATCH($K358,其他调用!$B$5:$B$404,0))*0.6</f>
        <v>28.777530149999997</v>
      </c>
      <c r="BB358" s="14">
        <f>INDEX(其他调用!$H$5:$L$404,MATCH($K358,其他调用!$B$5:$B$404,0),MATCH(BB$5,其他调用!$H$4:$L$4,0))*INDEX(其他调用!$M$5:$M$404,MATCH($K358,其他调用!$B$5:$B$404,0))*0.6</f>
        <v>28.374908241551999</v>
      </c>
      <c r="BC358" s="14">
        <f>INDEX(其他调用!$H$5:$L$404,MATCH($K358,其他调用!$B$5:$B$404,0),MATCH(BC$5,其他调用!$H$4:$L$4,0))*INDEX(其他调用!$M$5:$M$404,MATCH($K358,其他调用!$B$5:$B$404,0))*0.6</f>
        <v>2.3162520084480001</v>
      </c>
      <c r="BD358" s="14">
        <f>INDEX(其他调用!$H$5:$L$404,MATCH($K358,其他调用!$B$5:$B$404,0),MATCH(BD$5,其他调用!$H$4:$L$4,0))*INDEX(其他调用!$M$5:$M$404,MATCH($K358,其他调用!$B$5:$B$404,0))*0.6</f>
        <v>0.4120776000000001</v>
      </c>
      <c r="BE358" s="14">
        <f>INDEX(其他调用!$H$5:$L$404,MATCH($K358,其他调用!$B$5:$B$404,0),MATCH(BE$5,其他调用!$H$4:$L$4,0))*INDEX(其他调用!$M$5:$M$404,MATCH($K358,其他调用!$B$5:$B$404,0))*0.6</f>
        <v>0.11923199999999998</v>
      </c>
      <c r="BF358" s="14">
        <f>IF(OR(BF$5="大R",BF$5="超R"),0,INDEX(其他调用!$H$5:$L$404,MATCH($K358,其他调用!$B$5:$B$404,0),MATCH(BF$5,其他调用!$H$4:$L$4,0))*50*0.4)</f>
        <v>9.5925100500000013</v>
      </c>
      <c r="BG358" s="14">
        <f>IF(OR(BG$5="大R",BG$5="超R"),0,INDEX(其他调用!$H$5:$L$404,MATCH($K358,其他调用!$B$5:$B$404,0),MATCH(BG$5,其他调用!$H$4:$L$4,0))*50*0.4)</f>
        <v>9.4583027471839998</v>
      </c>
      <c r="BH358" s="14">
        <f>IF(OR(BH$5="大R",BH$5="超R"),0,INDEX(其他调用!$H$5:$L$404,MATCH($K358,其他调用!$B$5:$B$404,0),MATCH(BH$5,其他调用!$H$4:$L$4,0))*50*0.4)</f>
        <v>0.77208400281600009</v>
      </c>
      <c r="BI358" s="14">
        <f>IF(OR(BI$5="大R",BI$5="超R"),0,INDEX(其他调用!$H$5:$L$404,MATCH($K358,其他调用!$B$5:$B$404,0),MATCH(BI$5,其他调用!$H$4:$L$4,0))*50*0.4)</f>
        <v>0</v>
      </c>
      <c r="BJ358" s="14">
        <f>IF(OR(BJ$5="大R",BJ$5="超R"),0,INDEX(其他调用!$H$5:$L$404,MATCH($K358,其他调用!$B$5:$B$404,0),MATCH(BJ$5,其他调用!$H$4:$L$4,0))*50*0.4)</f>
        <v>0</v>
      </c>
      <c r="BL358" s="14">
        <f t="shared" si="628"/>
        <v>353</v>
      </c>
      <c r="BM358" s="14">
        <f t="shared" si="535"/>
        <v>96</v>
      </c>
      <c r="BN358" s="14">
        <f>('疲劳值&amp;地图信息'!$S$10*'疲劳值&amp;地图信息'!$R$10+'疲劳值&amp;地图信息'!$S$11*'疲劳值&amp;地图信息'!$R$11+'疲劳值&amp;地图信息'!$S$12*'疲劳值&amp;地图信息'!$R$12+(BM358-'疲劳值&amp;地图信息'!$S$12-'疲劳值&amp;地图信息'!$S$11-'疲劳值&amp;地图信息'!$S$10)*'疲劳值&amp;地图信息'!$R$13)/BM358</f>
        <v>51.371477246638619</v>
      </c>
      <c r="BO358" s="14">
        <f>INDEX(其他调用!$M$5:$M$404,MATCH(BL358,其他调用!$B$5:$B$404,0))*0.6</f>
        <v>60</v>
      </c>
      <c r="BP358" s="14">
        <f>IF(BO358&gt;SUM('疲劳值&amp;地图信息'!$S$10:$S$12),('疲劳值&amp;地图信息'!$S$10*'疲劳值&amp;地图信息'!$R$10+'疲劳值&amp;地图信息'!$S$11*'疲劳值&amp;地图信息'!$R$11+'疲劳值&amp;地图信息'!$S$12*'疲劳值&amp;地图信息'!$R$12+(BO358-'疲劳值&amp;地图信息'!$S$12-'疲劳值&amp;地图信息'!$S$11-'疲劳值&amp;地图信息'!$S$10)*'疲劳值&amp;地图信息'!$R$13)/BO358,('疲劳值&amp;地图信息'!$S$10*'疲劳值&amp;地图信息'!$R$10+'疲劳值&amp;地图信息'!$S$11*'疲劳值&amp;地图信息'!$R$11+'疲劳值&amp;地图信息'!$S$12*'疲劳值&amp;地图信息'!$R$12+(BO358-'疲劳值&amp;地图信息'!$S$12-'疲劳值&amp;地图信息'!$S$11-'疲劳值&amp;地图信息'!$S$10)*'疲劳值&amp;地图信息'!$R$13)/BO358)</f>
        <v>44.158136341605953</v>
      </c>
      <c r="BQ358" s="14">
        <f t="shared" si="629"/>
        <v>20</v>
      </c>
      <c r="BR358" s="14">
        <f>('疲劳值&amp;地图信息'!$S$10*'疲劳值&amp;地图信息'!$R$10+($BQ358-'疲劳值&amp;地图信息'!$S$10)*'疲劳值&amp;地图信息'!$R$11)/$BQ358</f>
        <v>32.067203015074995</v>
      </c>
      <c r="CF358" s="14">
        <v>353</v>
      </c>
      <c r="CG358" s="51">
        <f t="shared" si="536"/>
        <v>17190</v>
      </c>
      <c r="CH358" s="51">
        <f t="shared" si="537"/>
        <v>1027</v>
      </c>
      <c r="CI358" s="51">
        <f>INT(SUMPRODUCT($N358:$R358,$BA358:$BE358)/SUM($BA358:$BE358)/10000*$BX$7*$BZ$34/'疲劳值&amp;地图信息'!$R$10*$BY$53)</f>
        <v>3398</v>
      </c>
      <c r="CJ358" s="50">
        <f t="shared" si="538"/>
        <v>0.79528105482303957</v>
      </c>
      <c r="CK358" s="50">
        <f t="shared" si="539"/>
        <v>4.7513300948415452E-2</v>
      </c>
      <c r="CL358" s="50">
        <f t="shared" si="540"/>
        <v>0.15720564422854499</v>
      </c>
      <c r="CM358" s="14">
        <f t="shared" si="541"/>
        <v>18813</v>
      </c>
      <c r="CN358" s="14">
        <f t="shared" si="542"/>
        <v>1795</v>
      </c>
      <c r="CO358" s="14">
        <f>INT(SUMPRODUCT($U358:$Y358,$BA358:$BE358)/SUM($BA358:$BE358)/10000*$BX$7*$BZ$34/'疲劳值&amp;地图信息'!$R$10*$BY$54)</f>
        <v>6538</v>
      </c>
      <c r="CP358" s="50">
        <f t="shared" si="543"/>
        <v>0.69303028070433947</v>
      </c>
      <c r="CQ358" s="50">
        <f t="shared" si="544"/>
        <v>6.6123922493184994E-2</v>
      </c>
      <c r="CR358" s="50">
        <f t="shared" si="545"/>
        <v>0.2408457968024755</v>
      </c>
      <c r="CS358" s="14">
        <f t="shared" si="546"/>
        <v>20553</v>
      </c>
      <c r="CT358" s="14">
        <f t="shared" si="547"/>
        <v>3290</v>
      </c>
      <c r="CU358" s="14">
        <f>INT(SUMPRODUCT($AB358:$AF358,$BA358:$BE358)/SUM($BA358:$BE358)/10000*$BX$7*$BZ$34/'疲劳值&amp;地图信息'!$R$10*$BY$55)</f>
        <v>8896</v>
      </c>
      <c r="CV358" s="50">
        <f t="shared" si="548"/>
        <v>0.62778337762301839</v>
      </c>
      <c r="CW358" s="50">
        <f t="shared" si="549"/>
        <v>0.10049176822749625</v>
      </c>
      <c r="CX358" s="50">
        <f t="shared" si="550"/>
        <v>0.27172485414948533</v>
      </c>
      <c r="CY358" s="14">
        <f t="shared" si="551"/>
        <v>24220</v>
      </c>
      <c r="CZ358" s="14">
        <f t="shared" si="552"/>
        <v>8254</v>
      </c>
      <c r="DA358" s="14">
        <f>INT(SUMPRODUCT($AI358:$AM358,$BA358:$BE358)/SUM($BA358:$BE358)/10000*$BX$7*$BZ$34/'疲劳值&amp;地图信息'!$R$10*$BY$56)</f>
        <v>13417</v>
      </c>
      <c r="DB358" s="50">
        <f t="shared" si="553"/>
        <v>0.52777233008650937</v>
      </c>
      <c r="DC358" s="50">
        <f t="shared" si="554"/>
        <v>0.17986097491882941</v>
      </c>
      <c r="DD358" s="50">
        <f t="shared" si="555"/>
        <v>0.29236669499466128</v>
      </c>
      <c r="DE358" s="14">
        <f t="shared" si="556"/>
        <v>24975</v>
      </c>
      <c r="DF358" s="14">
        <f t="shared" si="557"/>
        <v>14121</v>
      </c>
      <c r="DG358" s="14">
        <f>INT(SUMPRODUCT($AP358:$AT358,$BA358:$BE358)/SUM($BA358:$BE358)/10000*$BX$7*$BZ$34/'疲劳值&amp;地图信息'!$R$10*$BY$57)</f>
        <v>17907</v>
      </c>
      <c r="DH358" s="50">
        <f t="shared" si="558"/>
        <v>0.43813483500868378</v>
      </c>
      <c r="DI358" s="50">
        <f t="shared" si="559"/>
        <v>0.24772380401031524</v>
      </c>
      <c r="DJ358" s="50">
        <f t="shared" si="560"/>
        <v>0.31414136098100098</v>
      </c>
      <c r="DL358" s="14">
        <f t="shared" si="631"/>
        <v>21615</v>
      </c>
      <c r="DM358" s="14">
        <f t="shared" si="632"/>
        <v>27146</v>
      </c>
      <c r="DN358" s="14">
        <f t="shared" si="633"/>
        <v>32739</v>
      </c>
      <c r="DO358" s="14">
        <f t="shared" si="634"/>
        <v>45891</v>
      </c>
      <c r="DP358" s="14">
        <f t="shared" si="635"/>
        <v>57003</v>
      </c>
      <c r="DQ358" s="14">
        <f t="shared" si="636"/>
        <v>1493830</v>
      </c>
      <c r="DT358" s="14">
        <f t="shared" si="630"/>
        <v>235575</v>
      </c>
      <c r="DU358" s="50">
        <f t="shared" si="532"/>
        <v>0.13621736955773805</v>
      </c>
      <c r="DW358" s="14">
        <f t="shared" si="561"/>
        <v>1729405</v>
      </c>
      <c r="EB358" s="14">
        <v>353</v>
      </c>
      <c r="EC358" s="51">
        <f t="shared" si="562"/>
        <v>28650</v>
      </c>
      <c r="ED358" s="51">
        <f t="shared" si="563"/>
        <v>1712</v>
      </c>
      <c r="EE358" s="51">
        <f>INT(SUMPRODUCT($N358:$R358,$BF358:$BJ358)/SUM($BF358:$BJ358)/10000*$BX$7*$BZ$46/'疲劳值&amp;地图信息'!$R$10*$BY$53)</f>
        <v>456</v>
      </c>
      <c r="EF358" s="50">
        <f t="shared" si="564"/>
        <v>0.9296515023687455</v>
      </c>
      <c r="EG358" s="50">
        <f t="shared" si="565"/>
        <v>5.5551950158997991E-2</v>
      </c>
      <c r="EH358" s="50">
        <f t="shared" si="566"/>
        <v>1.4796547472256474E-2</v>
      </c>
      <c r="EI358" s="51">
        <f t="shared" si="567"/>
        <v>31355</v>
      </c>
      <c r="EJ358" s="51">
        <f t="shared" si="568"/>
        <v>2992</v>
      </c>
      <c r="EK358" s="14">
        <f>INT(SUMPRODUCT($U358:$Y358,$BF358:$BJ358)/SUM($BF358:$BJ358)/10000*$BX$7*$BZ$46/'疲劳值&amp;地图信息'!$R$10*$BY$54)</f>
        <v>877</v>
      </c>
      <c r="EL358" s="50">
        <f t="shared" si="569"/>
        <v>0.89016011810129458</v>
      </c>
      <c r="EM358" s="50">
        <f t="shared" si="570"/>
        <v>8.4942084942084939E-2</v>
      </c>
      <c r="EN358" s="50">
        <f t="shared" si="571"/>
        <v>2.4897796956620488E-2</v>
      </c>
      <c r="EO358" s="51">
        <f t="shared" si="572"/>
        <v>34256</v>
      </c>
      <c r="EP358" s="51">
        <f t="shared" si="573"/>
        <v>5484</v>
      </c>
      <c r="EQ358" s="14">
        <f>INT(SUMPRODUCT($AB358:$AF358,$BF358:$BJ358)/SUM($BF358:$BJ358)/10000*$BX$7*$BZ$46/'疲劳值&amp;地图信息'!$R$10*$BY$55)</f>
        <v>1192</v>
      </c>
      <c r="ER358" s="50">
        <f t="shared" si="574"/>
        <v>0.83690022476302162</v>
      </c>
      <c r="ES358" s="50">
        <f t="shared" si="575"/>
        <v>0.13397830548226328</v>
      </c>
      <c r="ET358" s="50">
        <f t="shared" si="576"/>
        <v>2.9121469754715138E-2</v>
      </c>
      <c r="EU358" s="51">
        <f t="shared" si="577"/>
        <v>40366</v>
      </c>
      <c r="EV358" s="51">
        <f t="shared" si="578"/>
        <v>13758</v>
      </c>
      <c r="EW358" s="14">
        <f>INT(SUMPRODUCT($AI358:$AM358,$BF358:$BJ358)/SUM($BF358:$BJ358)/10000*$BX$7*$BZ$46/'疲劳值&amp;地图信息'!$R$10*$BY$56)</f>
        <v>1788</v>
      </c>
      <c r="EX358" s="50">
        <f t="shared" si="579"/>
        <v>0.72195593074831876</v>
      </c>
      <c r="EY358" s="50">
        <f t="shared" si="580"/>
        <v>0.24606524538560595</v>
      </c>
      <c r="EZ358" s="50">
        <f t="shared" si="581"/>
        <v>3.1978823866075264E-2</v>
      </c>
      <c r="FA358" s="51">
        <f t="shared" si="582"/>
        <v>41626</v>
      </c>
      <c r="FB358" s="51">
        <f t="shared" si="583"/>
        <v>23535</v>
      </c>
      <c r="FC358" s="14">
        <f>INT(SUMPRODUCT($AP358:$AT358,$BF358:$BJ358)/SUM($BF358:$BJ358)/10000*$BX$7*$BZ$46/'疲劳值&amp;地图信息'!$R$10*$BY$57)</f>
        <v>2385</v>
      </c>
      <c r="FD358" s="50">
        <f t="shared" si="584"/>
        <v>0.6162615106742072</v>
      </c>
      <c r="FE358" s="50">
        <f t="shared" si="585"/>
        <v>0.34842921860657922</v>
      </c>
      <c r="FF358" s="50">
        <f t="shared" si="586"/>
        <v>3.5309270719213574E-2</v>
      </c>
      <c r="FH358" s="14">
        <f t="shared" si="587"/>
        <v>30818</v>
      </c>
      <c r="FI358" s="14">
        <f t="shared" si="588"/>
        <v>35224</v>
      </c>
      <c r="FJ358" s="14">
        <f t="shared" si="589"/>
        <v>40932</v>
      </c>
      <c r="FK358" s="14">
        <f t="shared" si="590"/>
        <v>55912</v>
      </c>
      <c r="FL358" s="14">
        <f t="shared" si="591"/>
        <v>67546</v>
      </c>
      <c r="FM358" s="14">
        <f t="shared" si="592"/>
        <v>3614875</v>
      </c>
      <c r="FP358" s="14">
        <f t="shared" si="593"/>
        <v>334150</v>
      </c>
      <c r="FQ358" s="50">
        <f t="shared" si="533"/>
        <v>8.4615822892992576E-2</v>
      </c>
      <c r="FS358" s="14">
        <f t="shared" si="594"/>
        <v>3949025</v>
      </c>
      <c r="FX358" s="14">
        <v>353</v>
      </c>
      <c r="FY358" s="51">
        <f t="shared" si="595"/>
        <v>40110</v>
      </c>
      <c r="FZ358" s="51">
        <f t="shared" si="596"/>
        <v>1712</v>
      </c>
      <c r="GA358" s="51">
        <f>INT(SUMPRODUCT($N358:$R358,$BF358:$BJ358)/SUM($BF358:$BJ358)/10000*$BX$7*$BZ$46/'疲劳值&amp;地图信息'!$R$10*$BY$53)</f>
        <v>456</v>
      </c>
      <c r="GB358" s="50">
        <f t="shared" si="597"/>
        <v>0.94872037466294523</v>
      </c>
      <c r="GC358" s="50">
        <f t="shared" si="598"/>
        <v>4.0493873882397467E-2</v>
      </c>
      <c r="GD358" s="50">
        <f t="shared" si="599"/>
        <v>1.0785751454657268E-2</v>
      </c>
      <c r="GE358" s="51">
        <f t="shared" si="600"/>
        <v>43898</v>
      </c>
      <c r="GF358" s="51">
        <f t="shared" si="601"/>
        <v>2992</v>
      </c>
      <c r="GG358" s="14">
        <f>INT(SUMPRODUCT($U358:$Y358,$BF358:$BJ358)/SUM($BF358:$BJ358)/10000*$BX$7*$BZ$46/'疲劳值&amp;地图信息'!$R$10*$BY$54)</f>
        <v>877</v>
      </c>
      <c r="GH358" s="50">
        <f t="shared" si="602"/>
        <v>0.91900265873929698</v>
      </c>
      <c r="GI358" s="50">
        <f t="shared" si="603"/>
        <v>6.2637385642807797E-2</v>
      </c>
      <c r="GJ358" s="50">
        <f t="shared" si="604"/>
        <v>1.8359955617895201E-2</v>
      </c>
      <c r="GK358" s="51">
        <f t="shared" si="605"/>
        <v>47958</v>
      </c>
      <c r="GL358" s="51">
        <f t="shared" si="606"/>
        <v>5484</v>
      </c>
      <c r="GM358" s="14">
        <f>INT(SUMPRODUCT($AB358:$AF358,$BF358:$BJ358)/SUM($BF358:$BJ358)/10000*$BX$7*$BZ$46/'疲劳值&amp;地图信息'!$R$10*$BY$55)</f>
        <v>1192</v>
      </c>
      <c r="GN358" s="50">
        <f t="shared" si="607"/>
        <v>0.87780502983490138</v>
      </c>
      <c r="GO358" s="50">
        <f t="shared" si="608"/>
        <v>0.1003770545813962</v>
      </c>
      <c r="GP358" s="50">
        <f t="shared" si="609"/>
        <v>2.1817915583702455E-2</v>
      </c>
      <c r="GQ358" s="51">
        <f t="shared" si="610"/>
        <v>56513</v>
      </c>
      <c r="GR358" s="51">
        <f t="shared" si="611"/>
        <v>13758</v>
      </c>
      <c r="GS358" s="14">
        <f>INT(SUMPRODUCT($AI358:$AM358,$BF358:$BJ358)/SUM($BF358:$BJ358)/10000*$BX$7*$BZ$46/'疲劳值&amp;地图信息'!$R$10*$BY$56)</f>
        <v>1788</v>
      </c>
      <c r="GT358" s="50">
        <f t="shared" si="612"/>
        <v>0.78426012017929747</v>
      </c>
      <c r="GU358" s="50">
        <f t="shared" si="613"/>
        <v>0.19092687936274441</v>
      </c>
      <c r="GV358" s="50">
        <f t="shared" si="614"/>
        <v>2.4813000457958062E-2</v>
      </c>
      <c r="GW358" s="51">
        <f t="shared" si="615"/>
        <v>58277</v>
      </c>
      <c r="GX358" s="51">
        <f t="shared" si="616"/>
        <v>23535</v>
      </c>
      <c r="GY358" s="14">
        <f>INT(SUMPRODUCT($AP358:$AT358,$BF358:$BJ358)/SUM($BF358:$BJ358)/10000*$BX$7*$BZ$46/'疲劳值&amp;地图信息'!$R$10*$BY$57)</f>
        <v>2385</v>
      </c>
      <c r="GZ358" s="50">
        <f t="shared" si="617"/>
        <v>0.69215055168236395</v>
      </c>
      <c r="HA358" s="50">
        <f t="shared" si="618"/>
        <v>0.27952302338563134</v>
      </c>
      <c r="HB358" s="50">
        <f t="shared" si="619"/>
        <v>2.8326424932004702E-2</v>
      </c>
      <c r="HD358" s="14">
        <f t="shared" si="620"/>
        <v>42278</v>
      </c>
      <c r="HE358" s="14">
        <f t="shared" si="621"/>
        <v>47767</v>
      </c>
      <c r="HF358" s="14">
        <f t="shared" si="622"/>
        <v>54634</v>
      </c>
      <c r="HG358" s="14">
        <f t="shared" si="623"/>
        <v>72059</v>
      </c>
      <c r="HH358" s="14">
        <f t="shared" si="624"/>
        <v>84197</v>
      </c>
      <c r="HI358" s="14">
        <f t="shared" si="625"/>
        <v>4900109</v>
      </c>
      <c r="HL358" s="14">
        <f t="shared" si="626"/>
        <v>430050</v>
      </c>
      <c r="HM358" s="50">
        <f t="shared" si="534"/>
        <v>8.0682396153660713E-2</v>
      </c>
      <c r="HO358" s="14">
        <f t="shared" si="627"/>
        <v>5330159</v>
      </c>
    </row>
    <row r="359" spans="11:223" x14ac:dyDescent="0.2">
      <c r="K359" s="14">
        <v>354</v>
      </c>
      <c r="L359" s="12">
        <f>求节点(节奏总纲!D$4:D$163,标准城池设计!AB$4:AB$163,$K359)*求节点(节奏总纲!D$4:D$163,攻城基础信息!$AC$5:$AC$164,$K359)</f>
        <v>844528.88447419356</v>
      </c>
      <c r="M359" s="12">
        <f>INDEX(其他调用!$AA$5:$AA$404,MATCH(K359,其他调用!$X$5:$X$404,0))*MIN(INDEX(其他调用!$AH$5:$AH$364,MATCH('征服点（新）'!K359,其他调用!$AG$5:$AG$364,0),1)/INDEX(其他调用!$AJ$5:$AJ$364,MATCH(K359,其他调用!$AG$5:$AG$364,0),0),5)*求节点(节奏总纲!D$4:D$163,攻城基础信息!$AC$5:$AC$164,$K359)</f>
        <v>50358.452540961625</v>
      </c>
      <c r="N359" s="12">
        <f>MIN(INDEX(其他调用!$AH$5:$AH$364,MATCH($K359,其他调用!$AG$5:$AG$364,0),1)/INDEX(其他调用!AH$5:AH$364,MATCH($K359,其他调用!$AG$5:$AG$364,0),0),1)*INDEX(其他调用!Y$5:Y$404,MATCH($K359,其他调用!$X$5:$X$404,0),0)</f>
        <v>43430.425985467547</v>
      </c>
      <c r="O359" s="12">
        <f>MIN(INDEX(其他调用!$AH$5:$AH$364,MATCH($K359,其他调用!$AG$5:$AG$364,0),1)/INDEX(其他调用!AI$5:AI$364,MATCH($K359,其他调用!$AG$5:$AG$364,0),0),1)*INDEX(其他调用!Z$5:Z$404,MATCH($K359,其他调用!$X$5:$X$404,0),0)</f>
        <v>25512.631364514844</v>
      </c>
      <c r="P359" s="12">
        <f>MIN(INDEX(其他调用!$AH$5:$AH$364,MATCH($K359,其他调用!$AG$5:$AG$364,0),1)/INDEX(其他调用!AJ$5:AJ$364,MATCH($K359,其他调用!$AG$5:$AG$364,0),0),1)*INDEX(其他调用!AA$5:AA$404,MATCH($K359,其他调用!$X$5:$X$404,0),0)</f>
        <v>14388.129297417616</v>
      </c>
      <c r="Q359" s="12">
        <f>MIN(INDEX(其他调用!$AH$5:$AH$364,MATCH($K359,其他调用!$AG$5:$AG$364,0),1)/INDEX(其他调用!AK$5:AK$364,MATCH($K359,其他调用!$AG$5:$AG$364,0),0),1)*INDEX(其他调用!AB$5:AB$404,MATCH($K359,其他调用!$X$5:$X$404,0),0)</f>
        <v>6027.6193766083779</v>
      </c>
      <c r="R359" s="12">
        <f>MIN(INDEX(其他调用!$AH$5:$AH$364,MATCH($K359,其他调用!$AG$5:$AG$364,0),1)/INDEX(其他调用!AL$5:AL$364,MATCH($K359,其他调用!$AG$5:$AG$364,0),0),1)*INDEX(其他调用!AC$5:AC$404,MATCH($K359,其他调用!$X$5:$X$404,0),0)</f>
        <v>3809.3988091714104</v>
      </c>
      <c r="S359" s="12">
        <f>求节点(节奏总纲!D$4:D$163,标准城池设计!AC$4:AC$163,$K359)*求节点(节奏总纲!D$4:D$163,攻城基础信息!$AD$5:$AD$164,$K359)</f>
        <v>924163.360552673</v>
      </c>
      <c r="T359" s="12">
        <f>INDEX(其他调用!$AA$5:$AA$404,MATCH($K359,其他调用!$X$5:$X$404,0))*MIN(INDEX(其他调用!AI$5:AI$364,MATCH($K359,其他调用!$AG$5:$AG$364,0),1)/INDEX(其他调用!$AJ$5:$AJ$364,MATCH($K359,其他调用!$AG$5:$AG$364,0),0),5)*求节点(节奏总纲!D$4:D$163,攻城基础信息!$AD$5:$AD$164,$K359)</f>
        <v>88021.546277699133</v>
      </c>
      <c r="U359" s="12">
        <f>MIN(INDEX(其他调用!$AI$5:$AI$364,MATCH($K359,其他调用!$AG$5:$AG$364,0),1)/INDEX(其他调用!AH$5:AH$364,MATCH($K359,其他调用!$AG$5:$AG$364,0),0),1)*INDEX(其他调用!Y$5:Y$404,MATCH($K359,其他调用!$X$5:$X$404,0),0)</f>
        <v>43430.425985467547</v>
      </c>
      <c r="V359" s="12">
        <f>MIN(INDEX(其他调用!$AI$5:$AI$364,MATCH($K359,其他调用!$AG$5:$AG$364,0),1)/INDEX(其他调用!AI$5:AI$364,MATCH($K359,其他调用!$AG$5:$AG$364,0),0),1)*INDEX(其他调用!Z$5:Z$404,MATCH($K359,其他调用!$X$5:$X$404,0),0)</f>
        <v>44593.531949594719</v>
      </c>
      <c r="W359" s="12">
        <f>MIN(INDEX(其他调用!$AI$5:$AI$364,MATCH($K359,其他调用!$AG$5:$AG$364,0),1)/INDEX(其他调用!AJ$5:AJ$364,MATCH($K359,其他调用!$AG$5:$AG$364,0),0),1)*INDEX(其他调用!AA$5:AA$404,MATCH($K359,其他调用!$X$5:$X$404,0),0)</f>
        <v>25149.013222199766</v>
      </c>
      <c r="X359" s="12">
        <f>MIN(INDEX(其他调用!$AI$5:$AI$364,MATCH($K359,其他调用!$AG$5:$AG$364,0),1)/INDEX(其他调用!AK$5:AK$364,MATCH($K359,其他调用!$AG$5:$AG$364,0),0),1)*INDEX(其他调用!AB$5:AB$404,MATCH($K359,其他调用!$X$5:$X$404,0),0)</f>
        <v>10535.676755971241</v>
      </c>
      <c r="Y359" s="12">
        <f>MIN(INDEX(其他调用!$AI$5:$AI$364,MATCH($K359,其他调用!$AG$5:$AG$364,0),1)/INDEX(其他调用!AL$5:AL$364,MATCH($K359,其他调用!$AG$5:$AG$364,0),0),1)*INDEX(其他调用!AC$5:AC$404,MATCH($K359,其他调用!$X$5:$X$404,0),0)</f>
        <v>6658.448714224337</v>
      </c>
      <c r="Z359" s="12">
        <f>求节点(节奏总纲!D$4:D$163,标准城池设计!AD$4:AD$163,$K359)*求节点(节奏总纲!D$4:D$163,攻城基础信息!$AE$5:$AE$164,$K359)</f>
        <v>1009819.3386801347</v>
      </c>
      <c r="AA359" s="12">
        <f>INDEX(其他调用!$AA$5:$AA$404,MATCH($K359,其他调用!$X$5:$X$404,0))*MIN(INDEX(其他调用!AJ$5:AJ$364,MATCH($K359,其他调用!$AG$5:$AG$364,0),1)/INDEX(其他调用!$AJ$5:$AJ$364,MATCH($K359,其他调用!$AG$5:$AG$364,0),0),5)*求节点(节奏总纲!D$4:D$163,攻城基础信息!$AE$5:$AE$164,$K359)</f>
        <v>161526.8072353914</v>
      </c>
      <c r="AB359" s="12">
        <f>MIN(INDEX(其他调用!$AJ$5:$AJ$364,MATCH($K359,其他调用!$AG$5:$AG$364,0),1)/INDEX(其他调用!AH$5:AH$364,MATCH($K359,其他调用!$AG$5:$AG$364,0),0),1)*INDEX(其他调用!Y$5:Y$404,MATCH($K359,其他调用!$X$5:$X$404,0),0)</f>
        <v>43430.425985467547</v>
      </c>
      <c r="AC359" s="12">
        <f>MIN(INDEX(其他调用!$AJ$5:$AJ$364,MATCH($K359,其他调用!$AG$5:$AG$364,0),1)/INDEX(其他调用!AI$5:AI$364,MATCH($K359,其他调用!$AG$5:$AG$364,0),0),1)*INDEX(其他调用!Z$5:Z$404,MATCH($K359,其他调用!$X$5:$X$404,0),0)</f>
        <v>44593.531949594719</v>
      </c>
      <c r="AD359" s="12">
        <f>MIN(INDEX(其他调用!$AJ$5:$AJ$364,MATCH($K359,其他调用!$AG$5:$AG$364,0),1)/INDEX(其他调用!AJ$5:AJ$364,MATCH($K359,其他调用!$AG$5:$AG$364,0),0),1)*INDEX(其他调用!AA$5:AA$404,MATCH($K359,其他调用!$X$5:$X$404,0),0)</f>
        <v>46150.516352969003</v>
      </c>
      <c r="AE359" s="12">
        <f>MIN(INDEX(其他调用!$AJ$5:$AJ$364,MATCH($K359,其他调用!$AG$5:$AG$364,0),1)/INDEX(其他调用!AK$5:AK$364,MATCH($K359,其他调用!$AG$5:$AG$364,0),0),1)*INDEX(其他调用!AB$5:AB$404,MATCH($K359,其他调用!$X$5:$X$404,0),0)</f>
        <v>19333.83700267172</v>
      </c>
      <c r="AF359" s="12">
        <f>MIN(INDEX(其他调用!$AJ$5:$AJ$364,MATCH($K359,其他调用!$AG$5:$AG$364,0),1)/INDEX(其他调用!AL$5:AL$364,MATCH($K359,其他调用!$AG$5:$AG$364,0),0),1)*INDEX(其他调用!AC$5:AC$404,MATCH($K359,其他调用!$X$5:$X$404,0),0)</f>
        <v>12218.803320679044</v>
      </c>
      <c r="AG359" s="12">
        <f>求节点(节奏总纲!D$4:D$163,标准城池设计!AE$4:AE$163,$K359)*求节点(节奏总纲!D$4:D$163,攻城基础信息!$AF$5:$AF$164,$K359)</f>
        <v>1189063.0796189639</v>
      </c>
      <c r="AH359" s="12">
        <f>INDEX(其他调用!$AA$5:$AA$404,MATCH($K359,其他调用!$X$5:$X$404,0))*MIN(INDEX(其他调用!AK$5:AK$364,MATCH($K359,其他调用!$AG$5:$AG$364,0),1)/INDEX(其他调用!$AJ$5:$AJ$364,MATCH($K359,其他调用!$AG$5:$AG$364,0),0),5)*求节点(节奏总纲!D$4:D$163,攻城基础信息!$AF$5:$AF$164,$K359)</f>
        <v>404265.50707784004</v>
      </c>
      <c r="AI359" s="12">
        <f>MIN(INDEX(其他调用!$AK$5:$AK$364,MATCH($K359,其他调用!$AG$5:$AG$364,0),1)/INDEX(其他调用!AH$5:AH$364,MATCH($K359,其他调用!$AG$5:$AG$364,0),0),1)*INDEX(其他调用!Y$5:Y$404,MATCH($K359,其他调用!$X$5:$X$404,0),0)</f>
        <v>43430.425985467547</v>
      </c>
      <c r="AJ359" s="12">
        <f>MIN(INDEX(其他调用!$AK$5:$AK$364,MATCH($K359,其他调用!$AG$5:$AG$364,0),1)/INDEX(其他调用!AI$5:AI$364,MATCH($K359,其他调用!$AG$5:$AG$364,0),0),1)*INDEX(其他调用!Z$5:Z$404,MATCH($K359,其他调用!$X$5:$X$404,0),0)</f>
        <v>44593.531949594719</v>
      </c>
      <c r="AK359" s="12">
        <f>MIN(INDEX(其他调用!$AK$5:$AK$364,MATCH($K359,其他调用!$AG$5:$AG$364,0),1)/INDEX(其他调用!AJ$5:AJ$364,MATCH($K359,其他调用!$AG$5:$AG$364,0),0),1)*INDEX(其他调用!AA$5:AA$404,MATCH($K359,其他调用!$X$5:$X$404,0),0)</f>
        <v>46150.516352969003</v>
      </c>
      <c r="AL359" s="12">
        <f>MIN(INDEX(其他调用!$AK$5:$AK$364,MATCH($K359,其他调用!$AG$5:$AG$364,0),1)/INDEX(其他调用!AK$5:AK$364,MATCH($K359,其他调用!$AG$5:$AG$364,0),0),1)*INDEX(其他调用!AB$5:AB$404,MATCH($K359,其他调用!$X$5:$X$404,0),0)</f>
        <v>48388.274079207222</v>
      </c>
      <c r="AM359" s="12">
        <f>MIN(INDEX(其他调用!$AK$5:$AK$364,MATCH($K359,其他调用!$AG$5:$AG$364,0),1)/INDEX(其他调用!AL$5:AL$364,MATCH($K359,其他调用!$AG$5:$AG$364,0),0),1)*INDEX(其他调用!AC$5:AC$404,MATCH($K359,其他调用!$X$5:$X$404,0),0)</f>
        <v>30580.934551131329</v>
      </c>
      <c r="AN359" s="12">
        <f>求节点(节奏总纲!D$4:D$163,标准城池设计!AF$4:AF$163,$K359)*求节点(节奏总纲!D$4:D$163,攻城基础信息!$AG$5:$AG$164,$K359)</f>
        <v>1226119.3594778967</v>
      </c>
      <c r="AO359" s="12">
        <f>INDEX(其他调用!$AA$5:$AA$404,MATCH($K359,其他调用!$X$5:$X$404,0))*MIN(INDEX(其他调用!AL$5:AL$364,MATCH($K359,其他调用!$AG$5:$AG$364,0),1)/INDEX(其他调用!$AJ$5:$AJ$364,MATCH($K359,其他调用!$AG$5:$AG$364,0),0),5)*求节点(节奏总纲!D$4:D$163,攻城基础信息!$AG$5:$AG$164,$K359)</f>
        <v>690979.99438467016</v>
      </c>
      <c r="AP359" s="12">
        <f>MIN(INDEX(其他调用!$AL$5:$AL$364,MATCH($K359,其他调用!$AG$5:$AG$364,0),1)/INDEX(其他调用!AH$5:AH$364,MATCH($K359,其他调用!$AG$5:$AG$364,0),0),1)*INDEX(其他调用!Y$5:Y$404,MATCH($K359,其他调用!$X$5:$X$404,0),0)</f>
        <v>43430.425985467547</v>
      </c>
      <c r="AQ359" s="12">
        <f>MIN(INDEX(其他调用!$AL$5:$AL$364,MATCH($K359,其他调用!$AG$5:$AG$364,0),1)/INDEX(其他调用!AI$5:AI$364,MATCH($K359,其他调用!$AG$5:$AG$364,0),0),1)*INDEX(其他调用!Z$5:Z$404,MATCH($K359,其他调用!$X$5:$X$404,0),0)</f>
        <v>44593.531949594719</v>
      </c>
      <c r="AR359" s="12">
        <f>MIN(INDEX(其他调用!$AL$5:$AL$364,MATCH($K359,其他调用!$AG$5:$AG$364,0),1)/INDEX(其他调用!AJ$5:AJ$364,MATCH($K359,其他调用!$AG$5:$AG$364,0),0),1)*INDEX(其他调用!AA$5:AA$404,MATCH($K359,其他调用!$X$5:$X$404,0),0)</f>
        <v>46150.516352969003</v>
      </c>
      <c r="AS359" s="12">
        <f>MIN(INDEX(其他调用!$AL$5:$AL$364,MATCH($K359,其他调用!$AG$5:$AG$364,0),1)/INDEX(其他调用!AK$5:AK$364,MATCH($K359,其他调用!$AG$5:$AG$364,0),0),1)*INDEX(其他调用!AB$5:AB$404,MATCH($K359,其他调用!$X$5:$X$404,0),0)</f>
        <v>48388.274079207222</v>
      </c>
      <c r="AT359" s="12">
        <f>MIN(INDEX(其他调用!$AL$5:$AL$364,MATCH($K359,其他调用!$AG$5:$AG$364,0),1)/INDEX(其他调用!AL$5:AL$364,MATCH($K359,其他调用!$AG$5:$AG$364,0),0),1)*INDEX(其他调用!AC$5:AC$404,MATCH($K359,其他调用!$X$5:$X$404,0),0)</f>
        <v>52269.643623961252</v>
      </c>
      <c r="AV359" s="14">
        <f>IF(OR(AV$5="大R",AV$5="超R"),MAX(INDEX(其他调用!$H$5:$L$404,MATCH($K359,其他调用!$B$5:$B$404,0),MATCH(AV$5,其他调用!$H$4:$L$4,0))*120*0.85,2),INDEX(其他调用!$H$5:$L$404,MATCH($K359,其他调用!$B$5:$B$404,0),MATCH(AV$5,其他调用!$H$4:$L$4,0))*120*0.85)</f>
        <v>48.921801254999991</v>
      </c>
      <c r="AW359" s="14">
        <f>IF(OR(AW$5="大R",AW$5="超R"),MAX(INDEX(其他调用!$H$5:$L$404,MATCH($K359,其他调用!$B$5:$B$404,0),MATCH(AW$5,其他调用!$H$4:$L$4,0))*120*0.85,2),INDEX(其他调用!$H$5:$L$404,MATCH($K359,其他调用!$B$5:$B$404,0),MATCH(AW$5,其他调用!$H$4:$L$4,0))*120*0.85)</f>
        <v>48.237344010638395</v>
      </c>
      <c r="AX359" s="14">
        <f>IF(OR(AX$5="大R",AX$5="超R"),MAX(INDEX(其他调用!$H$5:$L$404,MATCH($K359,其他调用!$B$5:$B$404,0),MATCH(AX$5,其他调用!$H$4:$L$4,0))*120*0.85,2),INDEX(其他调用!$H$5:$L$404,MATCH($K359,其他调用!$B$5:$B$404,0),MATCH(AX$5,其他调用!$H$4:$L$4,0))*120*0.85)</f>
        <v>3.9376284143615998</v>
      </c>
      <c r="AY359" s="14">
        <f>IF(OR(AY$5="大R",AY$5="超R"),MAX(INDEX(其他调用!$H$5:$L$404,MATCH($K359,其他调用!$B$5:$B$404,0),MATCH(AY$5,其他调用!$H$4:$L$4,0))*120*0.85,2),INDEX(其他调用!$H$5:$L$404,MATCH($K359,其他调用!$B$5:$B$404,0),MATCH(AY$5,其他调用!$H$4:$L$4,0))*120*0.85)</f>
        <v>2</v>
      </c>
      <c r="AZ359" s="14">
        <f>IF(OR(AZ$5="大R",AZ$5="超R"),MAX(INDEX(其他调用!$H$5:$L$404,MATCH($K359,其他调用!$B$5:$B$404,0),MATCH(AZ$5,其他调用!$H$4:$L$4,0))*120*0.85,2),INDEX(其他调用!$H$5:$L$404,MATCH($K359,其他调用!$B$5:$B$404,0),MATCH(AZ$5,其他调用!$H$4:$L$4,0))*120*0.85)</f>
        <v>2</v>
      </c>
      <c r="BA359" s="14">
        <f>INDEX(其他调用!$H$5:$L$404,MATCH($K359,其他调用!$B$5:$B$404,0),MATCH(BA$5,其他调用!$H$4:$L$4,0))*INDEX(其他调用!$M$5:$M$404,MATCH($K359,其他调用!$B$5:$B$404,0))*0.6</f>
        <v>28.777530149999997</v>
      </c>
      <c r="BB359" s="14">
        <f>INDEX(其他调用!$H$5:$L$404,MATCH($K359,其他调用!$B$5:$B$404,0),MATCH(BB$5,其他调用!$H$4:$L$4,0))*INDEX(其他调用!$M$5:$M$404,MATCH($K359,其他调用!$B$5:$B$404,0))*0.6</f>
        <v>28.374908241551999</v>
      </c>
      <c r="BC359" s="14">
        <f>INDEX(其他调用!$H$5:$L$404,MATCH($K359,其他调用!$B$5:$B$404,0),MATCH(BC$5,其他调用!$H$4:$L$4,0))*INDEX(其他调用!$M$5:$M$404,MATCH($K359,其他调用!$B$5:$B$404,0))*0.6</f>
        <v>2.3162520084480001</v>
      </c>
      <c r="BD359" s="14">
        <f>INDEX(其他调用!$H$5:$L$404,MATCH($K359,其他调用!$B$5:$B$404,0),MATCH(BD$5,其他调用!$H$4:$L$4,0))*INDEX(其他调用!$M$5:$M$404,MATCH($K359,其他调用!$B$5:$B$404,0))*0.6</f>
        <v>0.4120776000000001</v>
      </c>
      <c r="BE359" s="14">
        <f>INDEX(其他调用!$H$5:$L$404,MATCH($K359,其他调用!$B$5:$B$404,0),MATCH(BE$5,其他调用!$H$4:$L$4,0))*INDEX(其他调用!$M$5:$M$404,MATCH($K359,其他调用!$B$5:$B$404,0))*0.6</f>
        <v>0.11923199999999998</v>
      </c>
      <c r="BF359" s="14">
        <f>IF(OR(BF$5="大R",BF$5="超R"),0,INDEX(其他调用!$H$5:$L$404,MATCH($K359,其他调用!$B$5:$B$404,0),MATCH(BF$5,其他调用!$H$4:$L$4,0))*50*0.4)</f>
        <v>9.5925100500000013</v>
      </c>
      <c r="BG359" s="14">
        <f>IF(OR(BG$5="大R",BG$5="超R"),0,INDEX(其他调用!$H$5:$L$404,MATCH($K359,其他调用!$B$5:$B$404,0),MATCH(BG$5,其他调用!$H$4:$L$4,0))*50*0.4)</f>
        <v>9.4583027471839998</v>
      </c>
      <c r="BH359" s="14">
        <f>IF(OR(BH$5="大R",BH$5="超R"),0,INDEX(其他调用!$H$5:$L$404,MATCH($K359,其他调用!$B$5:$B$404,0),MATCH(BH$5,其他调用!$H$4:$L$4,0))*50*0.4)</f>
        <v>0.77208400281600009</v>
      </c>
      <c r="BI359" s="14">
        <f>IF(OR(BI$5="大R",BI$5="超R"),0,INDEX(其他调用!$H$5:$L$404,MATCH($K359,其他调用!$B$5:$B$404,0),MATCH(BI$5,其他调用!$H$4:$L$4,0))*50*0.4)</f>
        <v>0</v>
      </c>
      <c r="BJ359" s="14">
        <f>IF(OR(BJ$5="大R",BJ$5="超R"),0,INDEX(其他调用!$H$5:$L$404,MATCH($K359,其他调用!$B$5:$B$404,0),MATCH(BJ$5,其他调用!$H$4:$L$4,0))*50*0.4)</f>
        <v>0</v>
      </c>
      <c r="BL359" s="14">
        <f t="shared" si="628"/>
        <v>354</v>
      </c>
      <c r="BM359" s="14">
        <f t="shared" si="535"/>
        <v>96</v>
      </c>
      <c r="BN359" s="14">
        <f>('疲劳值&amp;地图信息'!$S$10*'疲劳值&amp;地图信息'!$R$10+'疲劳值&amp;地图信息'!$S$11*'疲劳值&amp;地图信息'!$R$11+'疲劳值&amp;地图信息'!$S$12*'疲劳值&amp;地图信息'!$R$12+(BM359-'疲劳值&amp;地图信息'!$S$12-'疲劳值&amp;地图信息'!$S$11-'疲劳值&amp;地图信息'!$S$10)*'疲劳值&amp;地图信息'!$R$13)/BM359</f>
        <v>51.371477246638619</v>
      </c>
      <c r="BO359" s="14">
        <f>INDEX(其他调用!$M$5:$M$404,MATCH(BL359,其他调用!$B$5:$B$404,0))*0.6</f>
        <v>60</v>
      </c>
      <c r="BP359" s="14">
        <f>IF(BO359&gt;SUM('疲劳值&amp;地图信息'!$S$10:$S$12),('疲劳值&amp;地图信息'!$S$10*'疲劳值&amp;地图信息'!$R$10+'疲劳值&amp;地图信息'!$S$11*'疲劳值&amp;地图信息'!$R$11+'疲劳值&amp;地图信息'!$S$12*'疲劳值&amp;地图信息'!$R$12+(BO359-'疲劳值&amp;地图信息'!$S$12-'疲劳值&amp;地图信息'!$S$11-'疲劳值&amp;地图信息'!$S$10)*'疲劳值&amp;地图信息'!$R$13)/BO359,('疲劳值&amp;地图信息'!$S$10*'疲劳值&amp;地图信息'!$R$10+'疲劳值&amp;地图信息'!$S$11*'疲劳值&amp;地图信息'!$R$11+'疲劳值&amp;地图信息'!$S$12*'疲劳值&amp;地图信息'!$R$12+(BO359-'疲劳值&amp;地图信息'!$S$12-'疲劳值&amp;地图信息'!$S$11-'疲劳值&amp;地图信息'!$S$10)*'疲劳值&amp;地图信息'!$R$13)/BO359)</f>
        <v>44.158136341605953</v>
      </c>
      <c r="BQ359" s="14">
        <f t="shared" si="629"/>
        <v>20</v>
      </c>
      <c r="BR359" s="14">
        <f>('疲劳值&amp;地图信息'!$S$10*'疲劳值&amp;地图信息'!$R$10+($BQ359-'疲劳值&amp;地图信息'!$S$10)*'疲劳值&amp;地图信息'!$R$11)/$BQ359</f>
        <v>32.067203015074995</v>
      </c>
      <c r="CF359" s="14">
        <v>354</v>
      </c>
      <c r="CG359" s="51">
        <f t="shared" si="536"/>
        <v>17212</v>
      </c>
      <c r="CH359" s="51">
        <f t="shared" si="537"/>
        <v>1026</v>
      </c>
      <c r="CI359" s="51">
        <f>INT(SUMPRODUCT($N359:$R359,$BA359:$BE359)/SUM($BA359:$BE359)/10000*$BX$7*$BZ$34/'疲劳值&amp;地图信息'!$R$10*$BY$53)</f>
        <v>3399</v>
      </c>
      <c r="CJ359" s="50">
        <f t="shared" si="538"/>
        <v>0.79548920830059622</v>
      </c>
      <c r="CK359" s="50">
        <f t="shared" si="539"/>
        <v>4.7418773397421086E-2</v>
      </c>
      <c r="CL359" s="50">
        <f t="shared" si="540"/>
        <v>0.15709201830198272</v>
      </c>
      <c r="CM359" s="14">
        <f t="shared" si="541"/>
        <v>18835</v>
      </c>
      <c r="CN359" s="14">
        <f t="shared" si="542"/>
        <v>1793</v>
      </c>
      <c r="CO359" s="14">
        <f>INT(SUMPRODUCT($U359:$Y359,$BA359:$BE359)/SUM($BA359:$BE359)/10000*$BX$7*$BZ$34/'疲劳值&amp;地图信息'!$R$10*$BY$54)</f>
        <v>6540</v>
      </c>
      <c r="CP359" s="50">
        <f t="shared" si="543"/>
        <v>0.69327885747938756</v>
      </c>
      <c r="CQ359" s="50">
        <f t="shared" si="544"/>
        <v>6.5996760895170786E-2</v>
      </c>
      <c r="CR359" s="50">
        <f t="shared" si="545"/>
        <v>0.24072438162544169</v>
      </c>
      <c r="CS359" s="14">
        <f t="shared" si="546"/>
        <v>20581</v>
      </c>
      <c r="CT359" s="14">
        <f t="shared" si="547"/>
        <v>3292</v>
      </c>
      <c r="CU359" s="14">
        <f>INT(SUMPRODUCT($AB359:$AF359,$BA359:$BE359)/SUM($BA359:$BE359)/10000*$BX$7*$BZ$34/'疲劳值&amp;地图信息'!$R$10*$BY$55)</f>
        <v>8900</v>
      </c>
      <c r="CV359" s="50">
        <f t="shared" si="548"/>
        <v>0.62798645226253313</v>
      </c>
      <c r="CW359" s="50">
        <f t="shared" si="549"/>
        <v>0.10044853995667165</v>
      </c>
      <c r="CX359" s="50">
        <f t="shared" si="550"/>
        <v>0.27156500778079518</v>
      </c>
      <c r="CY359" s="14">
        <f t="shared" si="551"/>
        <v>24234</v>
      </c>
      <c r="CZ359" s="14">
        <f t="shared" si="552"/>
        <v>8239</v>
      </c>
      <c r="DA359" s="14">
        <f>INT(SUMPRODUCT($AI359:$AM359,$BA359:$BE359)/SUM($BA359:$BE359)/10000*$BX$7*$BZ$34/'疲劳值&amp;地图信息'!$R$10*$BY$56)</f>
        <v>13422</v>
      </c>
      <c r="DB359" s="50">
        <f t="shared" si="553"/>
        <v>0.52803137596688088</v>
      </c>
      <c r="DC359" s="50">
        <f t="shared" si="554"/>
        <v>0.17951846606384136</v>
      </c>
      <c r="DD359" s="50">
        <f t="shared" si="555"/>
        <v>0.2924501579692777</v>
      </c>
      <c r="DE359" s="14">
        <f t="shared" si="556"/>
        <v>24989</v>
      </c>
      <c r="DF359" s="14">
        <f t="shared" si="557"/>
        <v>14083</v>
      </c>
      <c r="DG359" s="14">
        <f>INT(SUMPRODUCT($AP359:$AT359,$BA359:$BE359)/SUM($BA359:$BE359)/10000*$BX$7*$BZ$34/'疲劳值&amp;地图信息'!$R$10*$BY$57)</f>
        <v>17913</v>
      </c>
      <c r="DH359" s="50">
        <f t="shared" si="558"/>
        <v>0.43851890848468894</v>
      </c>
      <c r="DI359" s="50">
        <f t="shared" si="559"/>
        <v>0.24713521102044397</v>
      </c>
      <c r="DJ359" s="50">
        <f t="shared" si="560"/>
        <v>0.31434588049486706</v>
      </c>
      <c r="DL359" s="14">
        <f t="shared" si="631"/>
        <v>21637</v>
      </c>
      <c r="DM359" s="14">
        <f t="shared" si="632"/>
        <v>27168</v>
      </c>
      <c r="DN359" s="14">
        <f t="shared" si="633"/>
        <v>32773</v>
      </c>
      <c r="DO359" s="14">
        <f t="shared" si="634"/>
        <v>45895</v>
      </c>
      <c r="DP359" s="14">
        <f t="shared" si="635"/>
        <v>56985</v>
      </c>
      <c r="DQ359" s="14">
        <f t="shared" si="636"/>
        <v>1495166</v>
      </c>
      <c r="DT359" s="14">
        <f t="shared" si="630"/>
        <v>235575</v>
      </c>
      <c r="DU359" s="50">
        <f t="shared" si="532"/>
        <v>0.13611222014154631</v>
      </c>
      <c r="DW359" s="14">
        <f t="shared" si="561"/>
        <v>1730741</v>
      </c>
      <c r="EB359" s="14">
        <v>354</v>
      </c>
      <c r="EC359" s="51">
        <f t="shared" si="562"/>
        <v>28687</v>
      </c>
      <c r="ED359" s="51">
        <f t="shared" si="563"/>
        <v>1710</v>
      </c>
      <c r="EE359" s="51">
        <f>INT(SUMPRODUCT($N359:$R359,$BF359:$BJ359)/SUM($BF359:$BJ359)/10000*$BX$7*$BZ$46/'疲劳值&amp;地图信息'!$R$10*$BY$53)</f>
        <v>456</v>
      </c>
      <c r="EF359" s="50">
        <f t="shared" si="564"/>
        <v>0.92979613003597705</v>
      </c>
      <c r="EG359" s="50">
        <f t="shared" si="565"/>
        <v>5.5424107866333908E-2</v>
      </c>
      <c r="EH359" s="50">
        <f t="shared" si="566"/>
        <v>1.4779762097689041E-2</v>
      </c>
      <c r="EI359" s="51">
        <f t="shared" si="567"/>
        <v>31392</v>
      </c>
      <c r="EJ359" s="51">
        <f t="shared" si="568"/>
        <v>2989</v>
      </c>
      <c r="EK359" s="14">
        <f>INT(SUMPRODUCT($U359:$Y359,$BF359:$BJ359)/SUM($BF359:$BJ359)/10000*$BX$7*$BZ$46/'疲劳值&amp;地图信息'!$R$10*$BY$54)</f>
        <v>878</v>
      </c>
      <c r="EL359" s="50">
        <f t="shared" si="569"/>
        <v>0.89032587424487364</v>
      </c>
      <c r="EM359" s="50">
        <f t="shared" si="570"/>
        <v>8.4772682152074647E-2</v>
      </c>
      <c r="EN359" s="50">
        <f t="shared" si="571"/>
        <v>2.4901443603051705E-2</v>
      </c>
      <c r="EO359" s="51">
        <f t="shared" si="572"/>
        <v>34302</v>
      </c>
      <c r="EP359" s="51">
        <f t="shared" si="573"/>
        <v>5486</v>
      </c>
      <c r="EQ359" s="14">
        <f>INT(SUMPRODUCT($AB359:$AF359,$BF359:$BJ359)/SUM($BF359:$BJ359)/10000*$BX$7*$BZ$46/'疲劳值&amp;地图信息'!$R$10*$BY$55)</f>
        <v>1193</v>
      </c>
      <c r="ER359" s="50">
        <f t="shared" si="574"/>
        <v>0.83702203460140068</v>
      </c>
      <c r="ES359" s="50">
        <f t="shared" si="575"/>
        <v>0.13386691393572631</v>
      </c>
      <c r="ET359" s="50">
        <f t="shared" si="576"/>
        <v>2.9111051462873037E-2</v>
      </c>
      <c r="EU359" s="51">
        <f t="shared" si="577"/>
        <v>40391</v>
      </c>
      <c r="EV359" s="51">
        <f t="shared" si="578"/>
        <v>13732</v>
      </c>
      <c r="EW359" s="14">
        <f>INT(SUMPRODUCT($AI359:$AM359,$BF359:$BJ359)/SUM($BF359:$BJ359)/10000*$BX$7*$BZ$46/'疲劳值&amp;地图信息'!$R$10*$BY$56)</f>
        <v>1789</v>
      </c>
      <c r="EX359" s="50">
        <f t="shared" si="579"/>
        <v>0.72240306195449988</v>
      </c>
      <c r="EY359" s="50">
        <f t="shared" si="580"/>
        <v>0.24560022893117756</v>
      </c>
      <c r="EZ359" s="50">
        <f t="shared" si="581"/>
        <v>3.1996709114322508E-2</v>
      </c>
      <c r="FA359" s="51">
        <f t="shared" si="582"/>
        <v>41649</v>
      </c>
      <c r="FB359" s="51">
        <f t="shared" si="583"/>
        <v>23471</v>
      </c>
      <c r="FC359" s="14">
        <f>INT(SUMPRODUCT($AP359:$AT359,$BF359:$BJ359)/SUM($BF359:$BJ359)/10000*$BX$7*$BZ$46/'疲劳值&amp;地图信息'!$R$10*$BY$57)</f>
        <v>2386</v>
      </c>
      <c r="FD359" s="50">
        <f t="shared" si="584"/>
        <v>0.61696738067727308</v>
      </c>
      <c r="FE359" s="50">
        <f t="shared" si="585"/>
        <v>0.34768761295292272</v>
      </c>
      <c r="FF359" s="50">
        <f t="shared" si="586"/>
        <v>3.5345006369804165E-2</v>
      </c>
      <c r="FH359" s="14">
        <f t="shared" si="587"/>
        <v>30853</v>
      </c>
      <c r="FI359" s="14">
        <f t="shared" si="588"/>
        <v>35259</v>
      </c>
      <c r="FJ359" s="14">
        <f t="shared" si="589"/>
        <v>40981</v>
      </c>
      <c r="FK359" s="14">
        <f t="shared" si="590"/>
        <v>55912</v>
      </c>
      <c r="FL359" s="14">
        <f t="shared" si="591"/>
        <v>67506</v>
      </c>
      <c r="FM359" s="14">
        <f t="shared" si="592"/>
        <v>3618388</v>
      </c>
      <c r="FP359" s="14">
        <f t="shared" si="593"/>
        <v>334150</v>
      </c>
      <c r="FQ359" s="50">
        <f t="shared" si="533"/>
        <v>8.4540616687303199E-2</v>
      </c>
      <c r="FS359" s="14">
        <f t="shared" si="594"/>
        <v>3952538</v>
      </c>
      <c r="FX359" s="14">
        <v>354</v>
      </c>
      <c r="FY359" s="51">
        <f t="shared" si="595"/>
        <v>40162</v>
      </c>
      <c r="FZ359" s="51">
        <f t="shared" si="596"/>
        <v>1710</v>
      </c>
      <c r="GA359" s="51">
        <f>INT(SUMPRODUCT($N359:$R359,$BF359:$BJ359)/SUM($BF359:$BJ359)/10000*$BX$7*$BZ$46/'疲劳值&amp;地图信息'!$R$10*$BY$53)</f>
        <v>456</v>
      </c>
      <c r="GB359" s="50">
        <f t="shared" si="597"/>
        <v>0.9488281988281988</v>
      </c>
      <c r="GC359" s="50">
        <f t="shared" si="598"/>
        <v>4.03987903987904E-2</v>
      </c>
      <c r="GD359" s="50">
        <f t="shared" si="599"/>
        <v>1.0773010773010773E-2</v>
      </c>
      <c r="GE359" s="51">
        <f t="shared" si="600"/>
        <v>43949</v>
      </c>
      <c r="GF359" s="51">
        <f t="shared" si="601"/>
        <v>2989</v>
      </c>
      <c r="GG359" s="14">
        <f>INT(SUMPRODUCT($U359:$Y359,$BF359:$BJ359)/SUM($BF359:$BJ359)/10000*$BX$7*$BZ$46/'疲劳值&amp;地图信息'!$R$10*$BY$54)</f>
        <v>878</v>
      </c>
      <c r="GH359" s="50">
        <f t="shared" si="602"/>
        <v>0.91912748870670902</v>
      </c>
      <c r="GI359" s="50">
        <f t="shared" si="603"/>
        <v>6.2510456750878365E-2</v>
      </c>
      <c r="GJ359" s="50">
        <f t="shared" si="604"/>
        <v>1.8362054542412583E-2</v>
      </c>
      <c r="GK359" s="51">
        <f t="shared" si="605"/>
        <v>48023</v>
      </c>
      <c r="GL359" s="51">
        <f t="shared" si="606"/>
        <v>5486</v>
      </c>
      <c r="GM359" s="14">
        <f>INT(SUMPRODUCT($AB359:$AF359,$BF359:$BJ359)/SUM($BF359:$BJ359)/10000*$BX$7*$BZ$46/'疲劳值&amp;地图信息'!$R$10*$BY$55)</f>
        <v>1193</v>
      </c>
      <c r="GN359" s="50">
        <f t="shared" si="607"/>
        <v>0.8779020876750393</v>
      </c>
      <c r="GO359" s="50">
        <f t="shared" si="608"/>
        <v>0.10028883770246061</v>
      </c>
      <c r="GP359" s="50">
        <f t="shared" si="609"/>
        <v>2.1809074622500091E-2</v>
      </c>
      <c r="GQ359" s="51">
        <f t="shared" si="610"/>
        <v>56547</v>
      </c>
      <c r="GR359" s="51">
        <f t="shared" si="611"/>
        <v>13732</v>
      </c>
      <c r="GS359" s="14">
        <f>INT(SUMPRODUCT($AI359:$AM359,$BF359:$BJ359)/SUM($BF359:$BJ359)/10000*$BX$7*$BZ$46/'疲劳值&amp;地图信息'!$R$10*$BY$56)</f>
        <v>1789</v>
      </c>
      <c r="GT359" s="50">
        <f t="shared" si="612"/>
        <v>0.7846339568185603</v>
      </c>
      <c r="GU359" s="50">
        <f t="shared" si="613"/>
        <v>0.19054226563800855</v>
      </c>
      <c r="GV359" s="50">
        <f t="shared" si="614"/>
        <v>2.4823777543431205E-2</v>
      </c>
      <c r="GW359" s="51">
        <f t="shared" si="615"/>
        <v>58309</v>
      </c>
      <c r="GX359" s="51">
        <f t="shared" si="616"/>
        <v>23471</v>
      </c>
      <c r="GY359" s="14">
        <f>INT(SUMPRODUCT($AP359:$AT359,$BF359:$BJ359)/SUM($BF359:$BJ359)/10000*$BX$7*$BZ$46/'疲劳值&amp;地图信息'!$R$10*$BY$57)</f>
        <v>2386</v>
      </c>
      <c r="GZ359" s="50">
        <f t="shared" si="617"/>
        <v>0.69278568543117169</v>
      </c>
      <c r="HA359" s="50">
        <f t="shared" si="618"/>
        <v>0.27886557517287264</v>
      </c>
      <c r="HB359" s="50">
        <f t="shared" si="619"/>
        <v>2.834873939595561E-2</v>
      </c>
      <c r="HD359" s="14">
        <f t="shared" si="620"/>
        <v>42328</v>
      </c>
      <c r="HE359" s="14">
        <f t="shared" si="621"/>
        <v>47816</v>
      </c>
      <c r="HF359" s="14">
        <f t="shared" si="622"/>
        <v>54702</v>
      </c>
      <c r="HG359" s="14">
        <f t="shared" si="623"/>
        <v>72068</v>
      </c>
      <c r="HH359" s="14">
        <f t="shared" si="624"/>
        <v>84166</v>
      </c>
      <c r="HI359" s="14">
        <f t="shared" si="625"/>
        <v>4905142</v>
      </c>
      <c r="HL359" s="14">
        <f t="shared" si="626"/>
        <v>430050</v>
      </c>
      <c r="HM359" s="50">
        <f t="shared" si="534"/>
        <v>8.0606283710127027E-2</v>
      </c>
      <c r="HO359" s="14">
        <f t="shared" si="627"/>
        <v>5335192</v>
      </c>
    </row>
    <row r="360" spans="11:223" x14ac:dyDescent="0.2">
      <c r="K360" s="14">
        <v>355</v>
      </c>
      <c r="L360" s="12">
        <f>求节点(节奏总纲!D$4:D$163,标准城池设计!AB$4:AB$163,$K360)*求节点(节奏总纲!D$4:D$163,攻城基础信息!$AC$5:$AC$164,$K360)</f>
        <v>845623.69767979579</v>
      </c>
      <c r="M360" s="12">
        <f>INDEX(其他调用!$AA$5:$AA$404,MATCH(K360,其他调用!$X$5:$X$404,0))*MIN(INDEX(其他调用!$AH$5:$AH$364,MATCH('征服点（新）'!K360,其他调用!$AG$5:$AG$364,0),1)/INDEX(其他调用!$AJ$5:$AJ$364,MATCH(K360,其他调用!$AG$5:$AG$364,0),0),5)*求节点(节奏总纲!D$4:D$163,攻城基础信息!$AC$5:$AC$164,$K360)</f>
        <v>50302.846764277463</v>
      </c>
      <c r="N360" s="12">
        <f>MIN(INDEX(其他调用!$AH$5:$AH$364,MATCH($K360,其他调用!$AG$5:$AG$364,0),1)/INDEX(其他调用!AH$5:AH$364,MATCH($K360,其他调用!$AG$5:$AG$364,0),0),1)*INDEX(其他调用!Y$5:Y$404,MATCH($K360,其他调用!$X$5:$X$404,0),0)</f>
        <v>43446.933957379937</v>
      </c>
      <c r="O360" s="12">
        <f>MIN(INDEX(其他调用!$AH$5:$AH$364,MATCH($K360,其他调用!$AG$5:$AG$364,0),1)/INDEX(其他调用!AI$5:AI$364,MATCH($K360,其他调用!$AG$5:$AG$364,0),0),1)*INDEX(其他调用!Z$5:Z$404,MATCH($K360,其他调用!$X$5:$X$404,0),0)</f>
        <v>25517.346400574359</v>
      </c>
      <c r="P360" s="12">
        <f>MIN(INDEX(其他调用!$AH$5:$AH$364,MATCH($K360,其他调用!$AG$5:$AG$364,0),1)/INDEX(其他调用!AJ$5:AJ$364,MATCH($K360,其他调用!$AG$5:$AG$364,0),0),1)*INDEX(其他调用!AA$5:AA$404,MATCH($K360,其他调用!$X$5:$X$404,0),0)</f>
        <v>14372.241932650713</v>
      </c>
      <c r="Q360" s="12">
        <f>MIN(INDEX(其他调用!$AH$5:$AH$364,MATCH($K360,其他调用!$AG$5:$AG$364,0),1)/INDEX(其他调用!AK$5:AK$364,MATCH($K360,其他调用!$AG$5:$AG$364,0),0),1)*INDEX(其他调用!AB$5:AB$404,MATCH($K360,其他调用!$X$5:$X$404,0),0)</f>
        <v>6034.4767239603862</v>
      </c>
      <c r="R360" s="12">
        <f>MIN(INDEX(其他调用!$AH$5:$AH$364,MATCH($K360,其他调用!$AG$5:$AG$364,0),1)/INDEX(其他调用!AL$5:AL$364,MATCH($K360,其他调用!$AG$5:$AG$364,0),0),1)*INDEX(其他调用!AC$5:AC$404,MATCH($K360,其他调用!$X$5:$X$404,0),0)</f>
        <v>3816.7550897591354</v>
      </c>
      <c r="S360" s="12">
        <f>求节点(节奏总纲!D$4:D$163,标准城池设计!AC$4:AC$163,$K360)*求节点(节奏总纲!D$4:D$163,攻城基础信息!$AD$5:$AD$164,$K360)</f>
        <v>925249.73367958795</v>
      </c>
      <c r="T360" s="12">
        <f>INDEX(其他调用!$AA$5:$AA$404,MATCH($K360,其他调用!$X$5:$X$404,0))*MIN(INDEX(其他调用!AI$5:AI$364,MATCH($K360,其他调用!$AG$5:$AG$364,0),1)/INDEX(其他调用!$AJ$5:$AJ$364,MATCH($K360,其他调用!$AG$5:$AG$364,0),0),5)*求节点(节奏总纲!D$4:D$163,攻城基础信息!$AD$5:$AD$164,$K360)</f>
        <v>87941.333438919217</v>
      </c>
      <c r="U360" s="12">
        <f>MIN(INDEX(其他调用!$AI$5:$AI$364,MATCH($K360,其他调用!$AG$5:$AG$364,0),1)/INDEX(其他调用!AH$5:AH$364,MATCH($K360,其他调用!$AG$5:$AG$364,0),0),1)*INDEX(其他调用!Y$5:Y$404,MATCH($K360,其他调用!$X$5:$X$404,0),0)</f>
        <v>43446.933957379937</v>
      </c>
      <c r="V360" s="12">
        <f>MIN(INDEX(其他调用!$AI$5:$AI$364,MATCH($K360,其他调用!$AG$5:$AG$364,0),1)/INDEX(其他调用!AI$5:AI$364,MATCH($K360,其他调用!$AG$5:$AG$364,0),0),1)*INDEX(其他调用!Z$5:Z$404,MATCH($K360,其他调用!$X$5:$X$404,0),0)</f>
        <v>44610.387137829166</v>
      </c>
      <c r="W360" s="12">
        <f>MIN(INDEX(其他调用!$AI$5:$AI$364,MATCH($K360,其他调用!$AG$5:$AG$364,0),1)/INDEX(其他调用!AJ$5:AJ$364,MATCH($K360,其他调用!$AG$5:$AG$364,0),0),1)*INDEX(其他调用!AA$5:AA$404,MATCH($K360,其他调用!$X$5:$X$404,0),0)</f>
        <v>25126.095268262648</v>
      </c>
      <c r="X360" s="12">
        <f>MIN(INDEX(其他调用!$AI$5:$AI$364,MATCH($K360,其他调用!$AG$5:$AG$364,0),1)/INDEX(其他调用!AK$5:AK$364,MATCH($K360,其他调用!$AG$5:$AG$364,0),0),1)*INDEX(其他调用!AB$5:AB$404,MATCH($K360,其他调用!$X$5:$X$404,0),0)</f>
        <v>10549.699745582973</v>
      </c>
      <c r="Y360" s="12">
        <f>MIN(INDEX(其他调用!$AI$5:$AI$364,MATCH($K360,其他调用!$AG$5:$AG$364,0),1)/INDEX(其他调用!AL$5:AL$364,MATCH($K360,其他调用!$AG$5:$AG$364,0),0),1)*INDEX(其他调用!AC$5:AC$404,MATCH($K360,其他调用!$X$5:$X$404,0),0)</f>
        <v>6672.5951629751944</v>
      </c>
      <c r="Z360" s="12">
        <f>求节点(节奏总纲!D$4:D$163,标准城池设计!AD$4:AD$163,$K360)*求节点(节奏总纲!D$4:D$163,攻城基础信息!$AE$5:$AE$164,$K360)</f>
        <v>1011175.0625535117</v>
      </c>
      <c r="AA360" s="12">
        <f>INDEX(其他调用!$AA$5:$AA$404,MATCH($K360,其他调用!$X$5:$X$404,0))*MIN(INDEX(其他调用!AJ$5:AJ$364,MATCH($K360,其他调用!$AG$5:$AG$364,0),1)/INDEX(其他调用!$AJ$5:$AJ$364,MATCH($K360,其他调用!$AG$5:$AG$364,0),0),5)*求节点(节奏总纲!D$4:D$163,攻城基础信息!$AE$5:$AE$164,$K360)</f>
        <v>161582.5054273874</v>
      </c>
      <c r="AB360" s="12">
        <f>MIN(INDEX(其他调用!$AJ$5:$AJ$364,MATCH($K360,其他调用!$AG$5:$AG$364,0),1)/INDEX(其他调用!AH$5:AH$364,MATCH($K360,其他调用!$AG$5:$AG$364,0),0),1)*INDEX(其他调用!Y$5:Y$404,MATCH($K360,其他调用!$X$5:$X$404,0),0)</f>
        <v>43446.933957379937</v>
      </c>
      <c r="AC360" s="12">
        <f>MIN(INDEX(其他调用!$AJ$5:$AJ$364,MATCH($K360,其他调用!$AG$5:$AG$364,0),1)/INDEX(其他调用!AI$5:AI$364,MATCH($K360,其他调用!$AG$5:$AG$364,0),0),1)*INDEX(其他调用!Z$5:Z$404,MATCH($K360,其他调用!$X$5:$X$404,0),0)</f>
        <v>44610.387137829166</v>
      </c>
      <c r="AD360" s="12">
        <f>MIN(INDEX(其他调用!$AJ$5:$AJ$364,MATCH($K360,其他调用!$AG$5:$AG$364,0),1)/INDEX(其他调用!AJ$5:AJ$364,MATCH($K360,其他调用!$AG$5:$AG$364,0),0),1)*INDEX(其他调用!AA$5:AA$404,MATCH($K360,其他调用!$X$5:$X$404,0),0)</f>
        <v>46166.430122110716</v>
      </c>
      <c r="AE360" s="12">
        <f>MIN(INDEX(其他调用!$AJ$5:$AJ$364,MATCH($K360,其他调用!$AG$5:$AG$364,0),1)/INDEX(其他调用!AK$5:AK$364,MATCH($K360,其他调用!$AG$5:$AG$364,0),0),1)*INDEX(其他调用!AB$5:AB$404,MATCH($K360,其他调用!$X$5:$X$404,0),0)</f>
        <v>19383.910269929584</v>
      </c>
      <c r="AF360" s="12">
        <f>MIN(INDEX(其他调用!$AJ$5:$AJ$364,MATCH($K360,其他调用!$AG$5:$AG$364,0),1)/INDEX(其他调用!AL$5:AL$364,MATCH($K360,其他调用!$AG$5:$AG$364,0),0),1)*INDEX(其他调用!AC$5:AC$404,MATCH($K360,其他调用!$X$5:$X$404,0),0)</f>
        <v>12260.158016424193</v>
      </c>
      <c r="AG360" s="12">
        <f>求节点(节奏总纲!D$4:D$163,标准城池设计!AE$4:AE$163,$K360)*求节点(节奏总纲!D$4:D$163,攻城基础信息!$AF$5:$AF$164,$K360)</f>
        <v>1189776.0906008047</v>
      </c>
      <c r="AH360" s="12">
        <f>INDEX(其他调用!$AA$5:$AA$404,MATCH($K360,其他调用!$X$5:$X$404,0))*MIN(INDEX(其他调用!AK$5:AK$364,MATCH($K360,其他调用!$AG$5:$AG$364,0),1)/INDEX(其他调用!$AJ$5:$AJ$364,MATCH($K360,其他调用!$AG$5:$AG$364,0),0),5)*求节点(节奏总纲!D$4:D$163,攻城基础信息!$AF$5:$AF$164,$K360)</f>
        <v>403504.12461233442</v>
      </c>
      <c r="AI360" s="12">
        <f>MIN(INDEX(其他调用!$AK$5:$AK$364,MATCH($K360,其他调用!$AG$5:$AG$364,0),1)/INDEX(其他调用!AH$5:AH$364,MATCH($K360,其他调用!$AG$5:$AG$364,0),0),1)*INDEX(其他调用!Y$5:Y$404,MATCH($K360,其他调用!$X$5:$X$404,0),0)</f>
        <v>43446.933957379937</v>
      </c>
      <c r="AJ360" s="12">
        <f>MIN(INDEX(其他调用!$AK$5:$AK$364,MATCH($K360,其他调用!$AG$5:$AG$364,0),1)/INDEX(其他调用!AI$5:AI$364,MATCH($K360,其他调用!$AG$5:$AG$364,0),0),1)*INDEX(其他调用!Z$5:Z$404,MATCH($K360,其他调用!$X$5:$X$404,0),0)</f>
        <v>44610.387137829166</v>
      </c>
      <c r="AK360" s="12">
        <f>MIN(INDEX(其他调用!$AK$5:$AK$364,MATCH($K360,其他调用!$AG$5:$AG$364,0),1)/INDEX(其他调用!AJ$5:AJ$364,MATCH($K360,其他调用!$AG$5:$AG$364,0),0),1)*INDEX(其他调用!AA$5:AA$404,MATCH($K360,其他调用!$X$5:$X$404,0),0)</f>
        <v>46166.430122110716</v>
      </c>
      <c r="AL360" s="12">
        <f>MIN(INDEX(其他调用!$AK$5:$AK$364,MATCH($K360,其他调用!$AG$5:$AG$364,0),1)/INDEX(其他调用!AK$5:AK$364,MATCH($K360,其他调用!$AG$5:$AG$364,0),0),1)*INDEX(其他调用!AB$5:AB$404,MATCH($K360,其他调用!$X$5:$X$404,0),0)</f>
        <v>48405.535762328102</v>
      </c>
      <c r="AM360" s="12">
        <f>MIN(INDEX(其他调用!$AK$5:$AK$364,MATCH($K360,其他调用!$AG$5:$AG$364,0),1)/INDEX(其他调用!AL$5:AL$364,MATCH($K360,其他调用!$AG$5:$AG$364,0),0),1)*INDEX(其他调用!AC$5:AC$404,MATCH($K360,其他调用!$X$5:$X$404,0),0)</f>
        <v>30616.088758750258</v>
      </c>
      <c r="AN360" s="12">
        <f>求节点(节奏总纲!D$4:D$163,标准城池设计!AF$4:AF$163,$K360)*求节点(节奏总纲!D$4:D$163,攻城基础信息!$AG$5:$AG$164,$K360)</f>
        <v>1226802.3406023567</v>
      </c>
      <c r="AO360" s="12">
        <f>INDEX(其他调用!$AA$5:$AA$404,MATCH($K360,其他调用!$X$5:$X$404,0))*MIN(INDEX(其他调用!AL$5:AL$364,MATCH($K360,其他调用!$AG$5:$AG$364,0),1)/INDEX(其他调用!$AJ$5:$AJ$364,MATCH($K360,其他调用!$AG$5:$AG$364,0),0),5)*求节点(节奏总纲!D$4:D$163,攻城基础信息!$AG$5:$AG$164,$K360)</f>
        <v>689102.5400819435</v>
      </c>
      <c r="AP360" s="12">
        <f>MIN(INDEX(其他调用!$AL$5:$AL$364,MATCH($K360,其他调用!$AG$5:$AG$364,0),1)/INDEX(其他调用!AH$5:AH$364,MATCH($K360,其他调用!$AG$5:$AG$364,0),0),1)*INDEX(其他调用!Y$5:Y$404,MATCH($K360,其他调用!$X$5:$X$404,0),0)</f>
        <v>43446.933957379937</v>
      </c>
      <c r="AQ360" s="12">
        <f>MIN(INDEX(其他调用!$AL$5:$AL$364,MATCH($K360,其他调用!$AG$5:$AG$364,0),1)/INDEX(其他调用!AI$5:AI$364,MATCH($K360,其他调用!$AG$5:$AG$364,0),0),1)*INDEX(其他调用!Z$5:Z$404,MATCH($K360,其他调用!$X$5:$X$404,0),0)</f>
        <v>44610.387137829166</v>
      </c>
      <c r="AR360" s="12">
        <f>MIN(INDEX(其他调用!$AL$5:$AL$364,MATCH($K360,其他调用!$AG$5:$AG$364,0),1)/INDEX(其他调用!AJ$5:AJ$364,MATCH($K360,其他调用!$AG$5:$AG$364,0),0),1)*INDEX(其他调用!AA$5:AA$404,MATCH($K360,其他调用!$X$5:$X$404,0),0)</f>
        <v>46166.430122110716</v>
      </c>
      <c r="AS360" s="12">
        <f>MIN(INDEX(其他调用!$AL$5:$AL$364,MATCH($K360,其他调用!$AG$5:$AG$364,0),1)/INDEX(其他调用!AK$5:AK$364,MATCH($K360,其他调用!$AG$5:$AG$364,0),0),1)*INDEX(其他调用!AB$5:AB$404,MATCH($K360,其他调用!$X$5:$X$404,0),0)</f>
        <v>48405.535762328102</v>
      </c>
      <c r="AT360" s="12">
        <f>MIN(INDEX(其他调用!$AL$5:$AL$364,MATCH($K360,其他调用!$AG$5:$AG$364,0),1)/INDEX(其他调用!AL$5:AL$364,MATCH($K360,其他调用!$AG$5:$AG$364,0),0),1)*INDEX(其他调用!AC$5:AC$404,MATCH($K360,其他调用!$X$5:$X$404,0),0)</f>
        <v>52286.019507975361</v>
      </c>
      <c r="AV360" s="14">
        <f>IF(OR(AV$5="大R",AV$5="超R"),MAX(INDEX(其他调用!$H$5:$L$404,MATCH($K360,其他调用!$B$5:$B$404,0),MATCH(AV$5,其他调用!$H$4:$L$4,0))*120*0.85,2),INDEX(其他调用!$H$5:$L$404,MATCH($K360,其他调用!$B$5:$B$404,0),MATCH(AV$5,其他调用!$H$4:$L$4,0))*120*0.85)</f>
        <v>48.921801254999991</v>
      </c>
      <c r="AW360" s="14">
        <f>IF(OR(AW$5="大R",AW$5="超R"),MAX(INDEX(其他调用!$H$5:$L$404,MATCH($K360,其他调用!$B$5:$B$404,0),MATCH(AW$5,其他调用!$H$4:$L$4,0))*120*0.85,2),INDEX(其他调用!$H$5:$L$404,MATCH($K360,其他调用!$B$5:$B$404,0),MATCH(AW$5,其他调用!$H$4:$L$4,0))*120*0.85)</f>
        <v>48.237344010638395</v>
      </c>
      <c r="AX360" s="14">
        <f>IF(OR(AX$5="大R",AX$5="超R"),MAX(INDEX(其他调用!$H$5:$L$404,MATCH($K360,其他调用!$B$5:$B$404,0),MATCH(AX$5,其他调用!$H$4:$L$4,0))*120*0.85,2),INDEX(其他调用!$H$5:$L$404,MATCH($K360,其他调用!$B$5:$B$404,0),MATCH(AX$5,其他调用!$H$4:$L$4,0))*120*0.85)</f>
        <v>3.9376284143615998</v>
      </c>
      <c r="AY360" s="14">
        <f>IF(OR(AY$5="大R",AY$5="超R"),MAX(INDEX(其他调用!$H$5:$L$404,MATCH($K360,其他调用!$B$5:$B$404,0),MATCH(AY$5,其他调用!$H$4:$L$4,0))*120*0.85,2),INDEX(其他调用!$H$5:$L$404,MATCH($K360,其他调用!$B$5:$B$404,0),MATCH(AY$5,其他调用!$H$4:$L$4,0))*120*0.85)</f>
        <v>2</v>
      </c>
      <c r="AZ360" s="14">
        <f>IF(OR(AZ$5="大R",AZ$5="超R"),MAX(INDEX(其他调用!$H$5:$L$404,MATCH($K360,其他调用!$B$5:$B$404,0),MATCH(AZ$5,其他调用!$H$4:$L$4,0))*120*0.85,2),INDEX(其他调用!$H$5:$L$404,MATCH($K360,其他调用!$B$5:$B$404,0),MATCH(AZ$5,其他调用!$H$4:$L$4,0))*120*0.85)</f>
        <v>2</v>
      </c>
      <c r="BA360" s="14">
        <f>INDEX(其他调用!$H$5:$L$404,MATCH($K360,其他调用!$B$5:$B$404,0),MATCH(BA$5,其他调用!$H$4:$L$4,0))*INDEX(其他调用!$M$5:$M$404,MATCH($K360,其他调用!$B$5:$B$404,0))*0.6</f>
        <v>28.777530149999997</v>
      </c>
      <c r="BB360" s="14">
        <f>INDEX(其他调用!$H$5:$L$404,MATCH($K360,其他调用!$B$5:$B$404,0),MATCH(BB$5,其他调用!$H$4:$L$4,0))*INDEX(其他调用!$M$5:$M$404,MATCH($K360,其他调用!$B$5:$B$404,0))*0.6</f>
        <v>28.374908241551999</v>
      </c>
      <c r="BC360" s="14">
        <f>INDEX(其他调用!$H$5:$L$404,MATCH($K360,其他调用!$B$5:$B$404,0),MATCH(BC$5,其他调用!$H$4:$L$4,0))*INDEX(其他调用!$M$5:$M$404,MATCH($K360,其他调用!$B$5:$B$404,0))*0.6</f>
        <v>2.3162520084480001</v>
      </c>
      <c r="BD360" s="14">
        <f>INDEX(其他调用!$H$5:$L$404,MATCH($K360,其他调用!$B$5:$B$404,0),MATCH(BD$5,其他调用!$H$4:$L$4,0))*INDEX(其他调用!$M$5:$M$404,MATCH($K360,其他调用!$B$5:$B$404,0))*0.6</f>
        <v>0.4120776000000001</v>
      </c>
      <c r="BE360" s="14">
        <f>INDEX(其他调用!$H$5:$L$404,MATCH($K360,其他调用!$B$5:$B$404,0),MATCH(BE$5,其他调用!$H$4:$L$4,0))*INDEX(其他调用!$M$5:$M$404,MATCH($K360,其他调用!$B$5:$B$404,0))*0.6</f>
        <v>0.11923199999999998</v>
      </c>
      <c r="BF360" s="14">
        <f>IF(OR(BF$5="大R",BF$5="超R"),0,INDEX(其他调用!$H$5:$L$404,MATCH($K360,其他调用!$B$5:$B$404,0),MATCH(BF$5,其他调用!$H$4:$L$4,0))*50*0.4)</f>
        <v>9.5925100500000013</v>
      </c>
      <c r="BG360" s="14">
        <f>IF(OR(BG$5="大R",BG$5="超R"),0,INDEX(其他调用!$H$5:$L$404,MATCH($K360,其他调用!$B$5:$B$404,0),MATCH(BG$5,其他调用!$H$4:$L$4,0))*50*0.4)</f>
        <v>9.4583027471839998</v>
      </c>
      <c r="BH360" s="14">
        <f>IF(OR(BH$5="大R",BH$5="超R"),0,INDEX(其他调用!$H$5:$L$404,MATCH($K360,其他调用!$B$5:$B$404,0),MATCH(BH$5,其他调用!$H$4:$L$4,0))*50*0.4)</f>
        <v>0.77208400281600009</v>
      </c>
      <c r="BI360" s="14">
        <f>IF(OR(BI$5="大R",BI$5="超R"),0,INDEX(其他调用!$H$5:$L$404,MATCH($K360,其他调用!$B$5:$B$404,0),MATCH(BI$5,其他调用!$H$4:$L$4,0))*50*0.4)</f>
        <v>0</v>
      </c>
      <c r="BJ360" s="14">
        <f>IF(OR(BJ$5="大R",BJ$5="超R"),0,INDEX(其他调用!$H$5:$L$404,MATCH($K360,其他调用!$B$5:$B$404,0),MATCH(BJ$5,其他调用!$H$4:$L$4,0))*50*0.4)</f>
        <v>0</v>
      </c>
      <c r="BL360" s="14">
        <f t="shared" si="628"/>
        <v>355</v>
      </c>
      <c r="BM360" s="14">
        <f t="shared" si="535"/>
        <v>96</v>
      </c>
      <c r="BN360" s="14">
        <f>('疲劳值&amp;地图信息'!$S$10*'疲劳值&amp;地图信息'!$R$10+'疲劳值&amp;地图信息'!$S$11*'疲劳值&amp;地图信息'!$R$11+'疲劳值&amp;地图信息'!$S$12*'疲劳值&amp;地图信息'!$R$12+(BM360-'疲劳值&amp;地图信息'!$S$12-'疲劳值&amp;地图信息'!$S$11-'疲劳值&amp;地图信息'!$S$10)*'疲劳值&amp;地图信息'!$R$13)/BM360</f>
        <v>51.371477246638619</v>
      </c>
      <c r="BO360" s="14">
        <f>INDEX(其他调用!$M$5:$M$404,MATCH(BL360,其他调用!$B$5:$B$404,0))*0.6</f>
        <v>60</v>
      </c>
      <c r="BP360" s="14">
        <f>IF(BO360&gt;SUM('疲劳值&amp;地图信息'!$S$10:$S$12),('疲劳值&amp;地图信息'!$S$10*'疲劳值&amp;地图信息'!$R$10+'疲劳值&amp;地图信息'!$S$11*'疲劳值&amp;地图信息'!$R$11+'疲劳值&amp;地图信息'!$S$12*'疲劳值&amp;地图信息'!$R$12+(BO360-'疲劳值&amp;地图信息'!$S$12-'疲劳值&amp;地图信息'!$S$11-'疲劳值&amp;地图信息'!$S$10)*'疲劳值&amp;地图信息'!$R$13)/BO360,('疲劳值&amp;地图信息'!$S$10*'疲劳值&amp;地图信息'!$R$10+'疲劳值&amp;地图信息'!$S$11*'疲劳值&amp;地图信息'!$R$11+'疲劳值&amp;地图信息'!$S$12*'疲劳值&amp;地图信息'!$R$12+(BO360-'疲劳值&amp;地图信息'!$S$12-'疲劳值&amp;地图信息'!$S$11-'疲劳值&amp;地图信息'!$S$10)*'疲劳值&amp;地图信息'!$R$13)/BO360)</f>
        <v>44.158136341605953</v>
      </c>
      <c r="BQ360" s="14">
        <f t="shared" si="629"/>
        <v>20</v>
      </c>
      <c r="BR360" s="14">
        <f>('疲劳值&amp;地图信息'!$S$10*'疲劳值&amp;地图信息'!$R$10+($BQ360-'疲劳值&amp;地图信息'!$S$10)*'疲劳值&amp;地图信息'!$R$11)/$BQ360</f>
        <v>32.067203015074995</v>
      </c>
      <c r="CF360" s="14">
        <v>355</v>
      </c>
      <c r="CG360" s="51">
        <f t="shared" si="536"/>
        <v>17234</v>
      </c>
      <c r="CH360" s="51">
        <f t="shared" si="537"/>
        <v>1025</v>
      </c>
      <c r="CI360" s="51">
        <f>INT(SUMPRODUCT($N360:$R360,$BA360:$BE360)/SUM($BA360:$BE360)/10000*$BX$7*$BZ$34/'疲劳值&amp;地图信息'!$R$10*$BY$53)</f>
        <v>3400</v>
      </c>
      <c r="CJ360" s="50">
        <f t="shared" si="538"/>
        <v>0.79569693891684745</v>
      </c>
      <c r="CK360" s="50">
        <f t="shared" si="539"/>
        <v>4.7324437878018377E-2</v>
      </c>
      <c r="CL360" s="50">
        <f t="shared" si="540"/>
        <v>0.15697862320513412</v>
      </c>
      <c r="CM360" s="14">
        <f t="shared" si="541"/>
        <v>18857</v>
      </c>
      <c r="CN360" s="14">
        <f t="shared" si="542"/>
        <v>1792</v>
      </c>
      <c r="CO360" s="14">
        <f>INT(SUMPRODUCT($U360:$Y360,$BA360:$BE360)/SUM($BA360:$BE360)/10000*$BX$7*$BZ$34/'疲劳值&amp;地图信息'!$R$10*$BY$54)</f>
        <v>6543</v>
      </c>
      <c r="CP360" s="50">
        <f t="shared" si="543"/>
        <v>0.69347602235951755</v>
      </c>
      <c r="CQ360" s="50">
        <f t="shared" si="544"/>
        <v>6.590173580464842E-2</v>
      </c>
      <c r="CR360" s="50">
        <f t="shared" si="545"/>
        <v>0.24062224183583406</v>
      </c>
      <c r="CS360" s="14">
        <f t="shared" si="546"/>
        <v>20609</v>
      </c>
      <c r="CT360" s="14">
        <f t="shared" si="547"/>
        <v>3293</v>
      </c>
      <c r="CU360" s="14">
        <f>INT(SUMPRODUCT($AB360:$AF360,$BA360:$BE360)/SUM($BA360:$BE360)/10000*$BX$7*$BZ$34/'疲劳值&amp;地图信息'!$R$10*$BY$55)</f>
        <v>8903</v>
      </c>
      <c r="CV360" s="50">
        <f t="shared" si="548"/>
        <v>0.62822740435909163</v>
      </c>
      <c r="CW360" s="50">
        <f t="shared" si="549"/>
        <v>0.10038103947568969</v>
      </c>
      <c r="CX360" s="50">
        <f t="shared" si="550"/>
        <v>0.27139155616521871</v>
      </c>
      <c r="CY360" s="14">
        <f t="shared" si="551"/>
        <v>24249</v>
      </c>
      <c r="CZ360" s="14">
        <f t="shared" si="552"/>
        <v>8223</v>
      </c>
      <c r="DA360" s="14">
        <f>INT(SUMPRODUCT($AI360:$AM360,$BA360:$BE360)/SUM($BA360:$BE360)/10000*$BX$7*$BZ$34/'疲劳值&amp;地图信息'!$R$10*$BY$56)</f>
        <v>13427</v>
      </c>
      <c r="DB360" s="50">
        <f t="shared" si="553"/>
        <v>0.52831216366369638</v>
      </c>
      <c r="DC360" s="50">
        <f t="shared" si="554"/>
        <v>0.17915422993965011</v>
      </c>
      <c r="DD360" s="50">
        <f t="shared" si="555"/>
        <v>0.29253360639665354</v>
      </c>
      <c r="DE360" s="14">
        <f t="shared" si="556"/>
        <v>25003</v>
      </c>
      <c r="DF360" s="14">
        <f t="shared" si="557"/>
        <v>14044</v>
      </c>
      <c r="DG360" s="14">
        <f>INT(SUMPRODUCT($AP360:$AT360,$BA360:$BE360)/SUM($BA360:$BE360)/10000*$BX$7*$BZ$34/'疲劳值&amp;地图信息'!$R$10*$BY$57)</f>
        <v>17920</v>
      </c>
      <c r="DH360" s="50">
        <f t="shared" si="558"/>
        <v>0.43890322467393406</v>
      </c>
      <c r="DI360" s="50">
        <f t="shared" si="559"/>
        <v>0.2465286920497832</v>
      </c>
      <c r="DJ360" s="50">
        <f t="shared" si="560"/>
        <v>0.31456808327628277</v>
      </c>
      <c r="DL360" s="14">
        <f t="shared" si="631"/>
        <v>21659</v>
      </c>
      <c r="DM360" s="14">
        <f t="shared" si="632"/>
        <v>27192</v>
      </c>
      <c r="DN360" s="14">
        <f t="shared" si="633"/>
        <v>32805</v>
      </c>
      <c r="DO360" s="14">
        <f t="shared" si="634"/>
        <v>45899</v>
      </c>
      <c r="DP360" s="14">
        <f t="shared" si="635"/>
        <v>56967</v>
      </c>
      <c r="DQ360" s="14">
        <f t="shared" si="636"/>
        <v>1496553</v>
      </c>
      <c r="DT360" s="14">
        <f t="shared" si="630"/>
        <v>235575</v>
      </c>
      <c r="DU360" s="50">
        <f t="shared" si="532"/>
        <v>0.13600322839882503</v>
      </c>
      <c r="DW360" s="14">
        <f t="shared" si="561"/>
        <v>1732128</v>
      </c>
      <c r="EB360" s="14">
        <v>355</v>
      </c>
      <c r="EC360" s="51">
        <f t="shared" si="562"/>
        <v>28724</v>
      </c>
      <c r="ED360" s="51">
        <f t="shared" si="563"/>
        <v>1708</v>
      </c>
      <c r="EE360" s="51">
        <f>INT(SUMPRODUCT($N360:$R360,$BF360:$BJ360)/SUM($BF360:$BJ360)/10000*$BX$7*$BZ$46/'疲劳值&amp;地图信息'!$R$10*$BY$53)</f>
        <v>456</v>
      </c>
      <c r="EF360" s="50">
        <f t="shared" si="564"/>
        <v>0.92994042994042991</v>
      </c>
      <c r="EG360" s="50">
        <f t="shared" si="565"/>
        <v>5.5296555296555298E-2</v>
      </c>
      <c r="EH360" s="50">
        <f t="shared" si="566"/>
        <v>1.4763014763014764E-2</v>
      </c>
      <c r="EI360" s="51">
        <f t="shared" si="567"/>
        <v>31429</v>
      </c>
      <c r="EJ360" s="51">
        <f t="shared" si="568"/>
        <v>2987</v>
      </c>
      <c r="EK360" s="14">
        <f>INT(SUMPRODUCT($U360:$Y360,$BF360:$BJ360)/SUM($BF360:$BJ360)/10000*$BX$7*$BZ$46/'疲劳值&amp;地图信息'!$R$10*$BY$54)</f>
        <v>878</v>
      </c>
      <c r="EL360" s="50">
        <f t="shared" si="569"/>
        <v>0.89049130163767209</v>
      </c>
      <c r="EM360" s="50">
        <f t="shared" si="570"/>
        <v>8.4631948773162574E-2</v>
      </c>
      <c r="EN360" s="50">
        <f t="shared" si="571"/>
        <v>2.4876749589165296E-2</v>
      </c>
      <c r="EO360" s="51">
        <f t="shared" si="572"/>
        <v>34348</v>
      </c>
      <c r="EP360" s="51">
        <f t="shared" si="573"/>
        <v>5488</v>
      </c>
      <c r="EQ360" s="14">
        <f>INT(SUMPRODUCT($AB360:$AF360,$BF360:$BJ360)/SUM($BF360:$BJ360)/10000*$BX$7*$BZ$46/'疲劳值&amp;地图信息'!$R$10*$BY$55)</f>
        <v>1193</v>
      </c>
      <c r="ER360" s="50">
        <f t="shared" si="574"/>
        <v>0.83716395720100412</v>
      </c>
      <c r="ES360" s="50">
        <f t="shared" si="575"/>
        <v>0.13375904847790587</v>
      </c>
      <c r="ET360" s="50">
        <f t="shared" si="576"/>
        <v>2.9076994321089962E-2</v>
      </c>
      <c r="EU360" s="51">
        <f t="shared" si="577"/>
        <v>40415</v>
      </c>
      <c r="EV360" s="51">
        <f t="shared" si="578"/>
        <v>13706</v>
      </c>
      <c r="EW360" s="14">
        <f>INT(SUMPRODUCT($AI360:$AM360,$BF360:$BJ360)/SUM($BF360:$BJ360)/10000*$BX$7*$BZ$46/'疲劳值&amp;地图信息'!$R$10*$BY$56)</f>
        <v>1790</v>
      </c>
      <c r="EX360" s="50">
        <f t="shared" si="579"/>
        <v>0.72284523617892726</v>
      </c>
      <c r="EY360" s="50">
        <f t="shared" si="580"/>
        <v>0.24513959685929423</v>
      </c>
      <c r="EZ360" s="50">
        <f t="shared" si="581"/>
        <v>3.2015166961778543E-2</v>
      </c>
      <c r="FA360" s="51">
        <f t="shared" si="582"/>
        <v>41673</v>
      </c>
      <c r="FB360" s="51">
        <f t="shared" si="583"/>
        <v>23408</v>
      </c>
      <c r="FC360" s="14">
        <f>INT(SUMPRODUCT($AP360:$AT360,$BF360:$BJ360)/SUM($BF360:$BJ360)/10000*$BX$7*$BZ$46/'疲劳值&amp;地图信息'!$R$10*$BY$57)</f>
        <v>2386</v>
      </c>
      <c r="FD360" s="50">
        <f t="shared" si="584"/>
        <v>0.61767975454666724</v>
      </c>
      <c r="FE360" s="50">
        <f t="shared" si="585"/>
        <v>0.34695480753553587</v>
      </c>
      <c r="FF360" s="50">
        <f t="shared" si="586"/>
        <v>3.5365437917796852E-2</v>
      </c>
      <c r="FH360" s="14">
        <f t="shared" si="587"/>
        <v>30888</v>
      </c>
      <c r="FI360" s="14">
        <f t="shared" si="588"/>
        <v>35294</v>
      </c>
      <c r="FJ360" s="14">
        <f t="shared" si="589"/>
        <v>41029</v>
      </c>
      <c r="FK360" s="14">
        <f t="shared" si="590"/>
        <v>55911</v>
      </c>
      <c r="FL360" s="14">
        <f t="shared" si="591"/>
        <v>67467</v>
      </c>
      <c r="FM360" s="14">
        <f t="shared" si="592"/>
        <v>3621898</v>
      </c>
      <c r="FP360" s="14">
        <f t="shared" si="593"/>
        <v>334150</v>
      </c>
      <c r="FQ360" s="50">
        <f t="shared" si="533"/>
        <v>8.4465608101822826E-2</v>
      </c>
      <c r="FS360" s="14">
        <f t="shared" si="594"/>
        <v>3956048</v>
      </c>
      <c r="FX360" s="14">
        <v>355</v>
      </c>
      <c r="FY360" s="51">
        <f t="shared" si="595"/>
        <v>40214</v>
      </c>
      <c r="FZ360" s="51">
        <f t="shared" si="596"/>
        <v>1708</v>
      </c>
      <c r="GA360" s="51">
        <f>INT(SUMPRODUCT($N360:$R360,$BF360:$BJ360)/SUM($BF360:$BJ360)/10000*$BX$7*$BZ$46/'疲劳值&amp;地图信息'!$R$10*$BY$53)</f>
        <v>456</v>
      </c>
      <c r="GB360" s="50">
        <f t="shared" si="597"/>
        <v>0.94893576855915807</v>
      </c>
      <c r="GC360" s="50">
        <f t="shared" si="598"/>
        <v>4.0303931285100757E-2</v>
      </c>
      <c r="GD360" s="50">
        <f t="shared" si="599"/>
        <v>1.0760300155741186E-2</v>
      </c>
      <c r="GE360" s="51">
        <f t="shared" si="600"/>
        <v>44001</v>
      </c>
      <c r="GF360" s="51">
        <f t="shared" si="601"/>
        <v>2987</v>
      </c>
      <c r="GG360" s="14">
        <f>INT(SUMPRODUCT($U360:$Y360,$BF360:$BJ360)/SUM($BF360:$BJ360)/10000*$BX$7*$BZ$46/'疲劳值&amp;地图信息'!$R$10*$BY$54)</f>
        <v>878</v>
      </c>
      <c r="GH360" s="50">
        <f t="shared" si="602"/>
        <v>0.91925375005222909</v>
      </c>
      <c r="GI360" s="50">
        <f t="shared" si="603"/>
        <v>6.2403376091589018E-2</v>
      </c>
      <c r="GJ360" s="50">
        <f t="shared" si="604"/>
        <v>1.834287385618184E-2</v>
      </c>
      <c r="GK360" s="51">
        <f t="shared" si="605"/>
        <v>48087</v>
      </c>
      <c r="GL360" s="51">
        <f t="shared" si="606"/>
        <v>5488</v>
      </c>
      <c r="GM360" s="14">
        <f>INT(SUMPRODUCT($AB360:$AF360,$BF360:$BJ360)/SUM($BF360:$BJ360)/10000*$BX$7*$BZ$46/'疲劳值&amp;地图信息'!$R$10*$BY$55)</f>
        <v>1193</v>
      </c>
      <c r="GN360" s="50">
        <f t="shared" si="607"/>
        <v>0.87801270815074495</v>
      </c>
      <c r="GO360" s="50">
        <f t="shared" si="608"/>
        <v>0.10020449897750511</v>
      </c>
      <c r="GP360" s="50">
        <f t="shared" si="609"/>
        <v>2.1782792871749928E-2</v>
      </c>
      <c r="GQ360" s="51">
        <f t="shared" si="610"/>
        <v>56581</v>
      </c>
      <c r="GR360" s="51">
        <f t="shared" si="611"/>
        <v>13706</v>
      </c>
      <c r="GS360" s="14">
        <f>INT(SUMPRODUCT($AI360:$AM360,$BF360:$BJ360)/SUM($BF360:$BJ360)/10000*$BX$7*$BZ$46/'疲劳值&amp;地图信息'!$R$10*$BY$56)</f>
        <v>1790</v>
      </c>
      <c r="GT360" s="50">
        <f t="shared" si="612"/>
        <v>0.78500770009850573</v>
      </c>
      <c r="GU360" s="50">
        <f t="shared" si="613"/>
        <v>0.19015774796398296</v>
      </c>
      <c r="GV360" s="50">
        <f t="shared" si="614"/>
        <v>2.4834551937511273E-2</v>
      </c>
      <c r="GW360" s="51">
        <f t="shared" si="615"/>
        <v>58342</v>
      </c>
      <c r="GX360" s="51">
        <f t="shared" si="616"/>
        <v>23408</v>
      </c>
      <c r="GY360" s="14">
        <f>INT(SUMPRODUCT($AP360:$AT360,$BF360:$BJ360)/SUM($BF360:$BJ360)/10000*$BX$7*$BZ$46/'疲劳值&amp;地图信息'!$R$10*$BY$57)</f>
        <v>2386</v>
      </c>
      <c r="GZ360" s="50">
        <f t="shared" si="617"/>
        <v>0.69342493106399161</v>
      </c>
      <c r="HA360" s="50">
        <f t="shared" si="618"/>
        <v>0.27821622135589996</v>
      </c>
      <c r="HB360" s="50">
        <f t="shared" si="619"/>
        <v>2.8358847580108395E-2</v>
      </c>
      <c r="HD360" s="14">
        <f t="shared" si="620"/>
        <v>42378</v>
      </c>
      <c r="HE360" s="14">
        <f t="shared" si="621"/>
        <v>47866</v>
      </c>
      <c r="HF360" s="14">
        <f t="shared" si="622"/>
        <v>54768</v>
      </c>
      <c r="HG360" s="14">
        <f t="shared" si="623"/>
        <v>72077</v>
      </c>
      <c r="HH360" s="14">
        <f t="shared" si="624"/>
        <v>84136</v>
      </c>
      <c r="HI360" s="14">
        <f t="shared" si="625"/>
        <v>4910218</v>
      </c>
      <c r="HL360" s="14">
        <f t="shared" si="626"/>
        <v>430050</v>
      </c>
      <c r="HM360" s="50">
        <f t="shared" si="534"/>
        <v>8.052966630139162E-2</v>
      </c>
      <c r="HO360" s="14">
        <f t="shared" si="627"/>
        <v>5340268</v>
      </c>
    </row>
    <row r="361" spans="11:223" x14ac:dyDescent="0.2">
      <c r="K361" s="14">
        <v>356</v>
      </c>
      <c r="L361" s="12">
        <f>求节点(节奏总纲!D$4:D$163,标准城池设计!AB$4:AB$163,$K361)*求节点(节奏总纲!D$4:D$163,攻城基础信息!$AC$5:$AC$164,$K361)</f>
        <v>846718.51088539779</v>
      </c>
      <c r="M361" s="12">
        <f>INDEX(其他调用!$AA$5:$AA$404,MATCH(K361,其他调用!$X$5:$X$404,0))*MIN(INDEX(其他调用!$AH$5:$AH$364,MATCH('征服点（新）'!K361,其他调用!$AG$5:$AG$364,0),1)/INDEX(其他调用!$AJ$5:$AJ$364,MATCH(K361,其他调用!$AG$5:$AG$364,0),0),5)*求节点(节奏总纲!D$4:D$163,攻城基础信息!$AC$5:$AC$164,$K361)</f>
        <v>50247.79193334734</v>
      </c>
      <c r="N361" s="12">
        <f>MIN(INDEX(其他调用!$AH$5:$AH$364,MATCH($K361,其他调用!$AG$5:$AG$364,0),1)/INDEX(其他调用!AH$5:AH$364,MATCH($K361,其他调用!$AG$5:$AG$364,0),0),1)*INDEX(其他调用!Y$5:Y$404,MATCH($K361,其他调用!$X$5:$X$404,0),0)</f>
        <v>43463.441929292334</v>
      </c>
      <c r="O361" s="12">
        <f>MIN(INDEX(其他调用!$AH$5:$AH$364,MATCH($K361,其他调用!$AG$5:$AG$364,0),1)/INDEX(其他调用!AI$5:AI$364,MATCH($K361,其他调用!$AG$5:$AG$364,0),0),1)*INDEX(其他调用!Z$5:Z$404,MATCH($K361,其他调用!$X$5:$X$404,0),0)</f>
        <v>25522.095855964839</v>
      </c>
      <c r="P361" s="12">
        <f>MIN(INDEX(其他调用!$AH$5:$AH$364,MATCH($K361,其他调用!$AG$5:$AG$364,0),1)/INDEX(其他调用!AJ$5:AJ$364,MATCH($K361,其他调用!$AG$5:$AG$364,0),0),1)*INDEX(其他调用!AA$5:AA$404,MATCH($K361,其他调用!$X$5:$X$404,0),0)</f>
        <v>14356.511980956393</v>
      </c>
      <c r="Q361" s="12">
        <f>MIN(INDEX(其他调用!$AH$5:$AH$364,MATCH($K361,其他调用!$AG$5:$AG$364,0),1)/INDEX(其他调用!AK$5:AK$364,MATCH($K361,其他调用!$AG$5:$AG$364,0),0),1)*INDEX(其他调用!AB$5:AB$404,MATCH($K361,其他调用!$X$5:$X$404,0),0)</f>
        <v>6042.6199327460326</v>
      </c>
      <c r="R361" s="12">
        <f>MIN(INDEX(其他调用!$AH$5:$AH$364,MATCH($K361,其他调用!$AG$5:$AG$364,0),1)/INDEX(其他调用!AL$5:AL$364,MATCH($K361,其他调用!$AG$5:$AG$364,0),0),1)*INDEX(其他调用!AC$5:AC$404,MATCH($K361,其他调用!$X$5:$X$404,0),0)</f>
        <v>3824.0896401770456</v>
      </c>
      <c r="S361" s="12">
        <f>求节点(节奏总纲!D$4:D$163,标准城池设计!AC$4:AC$163,$K361)*求节点(节奏总纲!D$4:D$163,攻城基础信息!$AD$5:$AD$164,$K361)</f>
        <v>926336.10680650303</v>
      </c>
      <c r="T361" s="12">
        <f>INDEX(其他调用!$AA$5:$AA$404,MATCH($K361,其他调用!$X$5:$X$404,0))*MIN(INDEX(其他调用!AI$5:AI$364,MATCH($K361,其他调用!$AG$5:$AG$364,0),1)/INDEX(其他调用!$AJ$5:$AJ$364,MATCH($K361,其他调用!$AG$5:$AG$364,0),0),5)*求节点(节奏总纲!D$4:D$163,攻城基础信息!$AD$5:$AD$164,$K361)</f>
        <v>87861.921670317432</v>
      </c>
      <c r="U361" s="12">
        <f>MIN(INDEX(其他调用!$AI$5:$AI$364,MATCH($K361,其他调用!$AG$5:$AG$364,0),1)/INDEX(其他调用!AH$5:AH$364,MATCH($K361,其他调用!$AG$5:$AG$364,0),0),1)*INDEX(其他调用!Y$5:Y$404,MATCH($K361,其他调用!$X$5:$X$404,0),0)</f>
        <v>43463.441929292334</v>
      </c>
      <c r="V361" s="12">
        <f>MIN(INDEX(其他调用!$AI$5:$AI$364,MATCH($K361,其他调用!$AG$5:$AG$364,0),1)/INDEX(其他调用!AI$5:AI$364,MATCH($K361,其他调用!$AG$5:$AG$364,0),0),1)*INDEX(其他调用!Z$5:Z$404,MATCH($K361,其他调用!$X$5:$X$404,0),0)</f>
        <v>44627.242326063599</v>
      </c>
      <c r="W361" s="12">
        <f>MIN(INDEX(其他调用!$AI$5:$AI$364,MATCH($K361,其他调用!$AG$5:$AG$364,0),1)/INDEX(其他调用!AJ$5:AJ$364,MATCH($K361,其他调用!$AG$5:$AG$364,0),0),1)*INDEX(其他调用!AA$5:AA$404,MATCH($K361,其他调用!$X$5:$X$404,0),0)</f>
        <v>25103.406191519283</v>
      </c>
      <c r="X361" s="12">
        <f>MIN(INDEX(其他调用!$AI$5:$AI$364,MATCH($K361,其他调用!$AG$5:$AG$364,0),1)/INDEX(其他调用!AK$5:AK$364,MATCH($K361,其他调用!$AG$5:$AG$364,0),0),1)*INDEX(其他调用!AB$5:AB$404,MATCH($K361,其他调用!$X$5:$X$404,0),0)</f>
        <v>10565.96078726564</v>
      </c>
      <c r="Y361" s="12">
        <f>MIN(INDEX(其他调用!$AI$5:$AI$364,MATCH($K361,其他调用!$AG$5:$AG$364,0),1)/INDEX(其他调用!AL$5:AL$364,MATCH($K361,其他调用!$AG$5:$AG$364,0),0),1)*INDEX(其他调用!AC$5:AC$404,MATCH($K361,其他调用!$X$5:$X$404,0),0)</f>
        <v>6686.6990866224369</v>
      </c>
      <c r="Z361" s="12">
        <f>求节点(节奏总纲!D$4:D$163,标准城池设计!AD$4:AD$163,$K361)*求节点(节奏总纲!D$4:D$163,攻城基础信息!$AE$5:$AE$164,$K361)</f>
        <v>1012530.7864268885</v>
      </c>
      <c r="AA361" s="12">
        <f>INDEX(其他调用!$AA$5:$AA$404,MATCH($K361,其他调用!$X$5:$X$404,0))*MIN(INDEX(其他调用!AJ$5:AJ$364,MATCH($K361,其他调用!$AG$5:$AG$364,0),1)/INDEX(其他调用!$AJ$5:$AJ$364,MATCH($K361,其他调用!$AG$5:$AG$364,0),0),5)*求节点(节奏总纲!D$4:D$163,攻城基础信息!$AE$5:$AE$164,$K361)</f>
        <v>161637.23916278867</v>
      </c>
      <c r="AB361" s="12">
        <f>MIN(INDEX(其他调用!$AJ$5:$AJ$364,MATCH($K361,其他调用!$AG$5:$AG$364,0),1)/INDEX(其他调用!AH$5:AH$364,MATCH($K361,其他调用!$AG$5:$AG$364,0),0),1)*INDEX(其他调用!Y$5:Y$404,MATCH($K361,其他调用!$X$5:$X$404,0),0)</f>
        <v>43463.441929292334</v>
      </c>
      <c r="AC361" s="12">
        <f>MIN(INDEX(其他调用!$AJ$5:$AJ$364,MATCH($K361,其他调用!$AG$5:$AG$364,0),1)/INDEX(其他调用!AI$5:AI$364,MATCH($K361,其他调用!$AG$5:$AG$364,0),0),1)*INDEX(其他调用!Z$5:Z$404,MATCH($K361,其他调用!$X$5:$X$404,0),0)</f>
        <v>44627.242326063599</v>
      </c>
      <c r="AD361" s="12">
        <f>MIN(INDEX(其他调用!$AJ$5:$AJ$364,MATCH($K361,其他调用!$AG$5:$AG$364,0),1)/INDEX(其他调用!AJ$5:AJ$364,MATCH($K361,其他调用!$AG$5:$AG$364,0),0),1)*INDEX(其他调用!AA$5:AA$404,MATCH($K361,其他调用!$X$5:$X$404,0),0)</f>
        <v>46182.068332225361</v>
      </c>
      <c r="AE361" s="12">
        <f>MIN(INDEX(其他调用!$AJ$5:$AJ$364,MATCH($K361,其他调用!$AG$5:$AG$364,0),1)/INDEX(其他调用!AK$5:AK$364,MATCH($K361,其他调用!$AG$5:$AG$364,0),0),1)*INDEX(其他调用!AB$5:AB$404,MATCH($K361,其他调用!$X$5:$X$404,0),0)</f>
        <v>19437.916884680089</v>
      </c>
      <c r="AF361" s="12">
        <f>MIN(INDEX(其他调用!$AJ$5:$AJ$364,MATCH($K361,其他调用!$AG$5:$AG$364,0),1)/INDEX(其他调用!AL$5:AL$364,MATCH($K361,其他调用!$AG$5:$AG$364,0),0),1)*INDEX(其他调用!AC$5:AC$404,MATCH($K361,其他调用!$X$5:$X$404,0),0)</f>
        <v>12301.342366827912</v>
      </c>
      <c r="AG361" s="12">
        <f>求节点(节奏总纲!D$4:D$163,标准城池设计!AE$4:AE$163,$K361)*求节点(节奏总纲!D$4:D$163,攻城基础信息!$AF$5:$AF$164,$K361)</f>
        <v>1190489.1015826457</v>
      </c>
      <c r="AH361" s="12">
        <f>INDEX(其他调用!$AA$5:$AA$404,MATCH($K361,其他调用!$X$5:$X$404,0))*MIN(INDEX(其他调用!AK$5:AK$364,MATCH($K361,其他调用!$AG$5:$AG$364,0),1)/INDEX(其他调用!$AJ$5:$AJ$364,MATCH($K361,其他调用!$AG$5:$AG$364,0),0),5)*求节点(节奏总纲!D$4:D$163,攻城基础信息!$AF$5:$AF$164,$K361)</f>
        <v>402655.32104309899</v>
      </c>
      <c r="AI361" s="12">
        <f>MIN(INDEX(其他调用!$AK$5:$AK$364,MATCH($K361,其他调用!$AG$5:$AG$364,0),1)/INDEX(其他调用!AH$5:AH$364,MATCH($K361,其他调用!$AG$5:$AG$364,0),0),1)*INDEX(其他调用!Y$5:Y$404,MATCH($K361,其他调用!$X$5:$X$404,0),0)</f>
        <v>43463.441929292334</v>
      </c>
      <c r="AJ361" s="12">
        <f>MIN(INDEX(其他调用!$AK$5:$AK$364,MATCH($K361,其他调用!$AG$5:$AG$364,0),1)/INDEX(其他调用!AI$5:AI$364,MATCH($K361,其他调用!$AG$5:$AG$364,0),0),1)*INDEX(其他调用!Z$5:Z$404,MATCH($K361,其他调用!$X$5:$X$404,0),0)</f>
        <v>44627.242326063599</v>
      </c>
      <c r="AK361" s="12">
        <f>MIN(INDEX(其他调用!$AK$5:$AK$364,MATCH($K361,其他调用!$AG$5:$AG$364,0),1)/INDEX(其他调用!AJ$5:AJ$364,MATCH($K361,其他调用!$AG$5:$AG$364,0),0),1)*INDEX(其他调用!AA$5:AA$404,MATCH($K361,其他调用!$X$5:$X$404,0),0)</f>
        <v>46182.068332225361</v>
      </c>
      <c r="AL361" s="12">
        <f>MIN(INDEX(其他调用!$AK$5:$AK$364,MATCH($K361,其他调用!$AG$5:$AG$364,0),1)/INDEX(其他调用!AK$5:AK$364,MATCH($K361,其他调用!$AG$5:$AG$364,0),0),1)*INDEX(其他调用!AB$5:AB$404,MATCH($K361,其他调用!$X$5:$X$404,0),0)</f>
        <v>48421.89030293571</v>
      </c>
      <c r="AM361" s="12">
        <f>MIN(INDEX(其他调用!$AK$5:$AK$364,MATCH($K361,其他调用!$AG$5:$AG$364,0),1)/INDEX(其他调用!AL$5:AL$364,MATCH($K361,其他调用!$AG$5:$AG$364,0),0),1)*INDEX(其他调用!AC$5:AC$404,MATCH($K361,其他调用!$X$5:$X$404,0),0)</f>
        <v>30643.934440056124</v>
      </c>
      <c r="AN361" s="12">
        <f>求节点(节奏总纲!D$4:D$163,标准城池设计!AF$4:AF$163,$K361)*求节点(节奏总纲!D$4:D$163,攻城基础信息!$AG$5:$AG$164,$K361)</f>
        <v>1227485.3217268169</v>
      </c>
      <c r="AO361" s="12">
        <f>INDEX(其他调用!$AA$5:$AA$404,MATCH($K361,其他调用!$X$5:$X$404,0))*MIN(INDEX(其他调用!AL$5:AL$364,MATCH($K361,其他调用!$AG$5:$AG$364,0),1)/INDEX(其他调用!$AJ$5:$AJ$364,MATCH($K361,其他调用!$AG$5:$AG$364,0),0),5)*求节点(节奏总纲!D$4:D$163,攻城基础信息!$AG$5:$AG$164,$K361)</f>
        <v>687243.27318610623</v>
      </c>
      <c r="AP361" s="12">
        <f>MIN(INDEX(其他调用!$AL$5:$AL$364,MATCH($K361,其他调用!$AG$5:$AG$364,0),1)/INDEX(其他调用!AH$5:AH$364,MATCH($K361,其他调用!$AG$5:$AG$364,0),0),1)*INDEX(其他调用!Y$5:Y$404,MATCH($K361,其他调用!$X$5:$X$404,0),0)</f>
        <v>43463.441929292334</v>
      </c>
      <c r="AQ361" s="12">
        <f>MIN(INDEX(其他调用!$AL$5:$AL$364,MATCH($K361,其他调用!$AG$5:$AG$364,0),1)/INDEX(其他调用!AI$5:AI$364,MATCH($K361,其他调用!$AG$5:$AG$364,0),0),1)*INDEX(其他调用!Z$5:Z$404,MATCH($K361,其他调用!$X$5:$X$404,0),0)</f>
        <v>44627.242326063599</v>
      </c>
      <c r="AR361" s="12">
        <f>MIN(INDEX(其他调用!$AL$5:$AL$364,MATCH($K361,其他调用!$AG$5:$AG$364,0),1)/INDEX(其他调用!AJ$5:AJ$364,MATCH($K361,其他调用!$AG$5:$AG$364,0),0),1)*INDEX(其他调用!AA$5:AA$404,MATCH($K361,其他调用!$X$5:$X$404,0),0)</f>
        <v>46182.068332225361</v>
      </c>
      <c r="AS361" s="12">
        <f>MIN(INDEX(其他调用!$AL$5:$AL$364,MATCH($K361,其他调用!$AG$5:$AG$364,0),1)/INDEX(其他调用!AK$5:AK$364,MATCH($K361,其他调用!$AG$5:$AG$364,0),0),1)*INDEX(其他调用!AB$5:AB$404,MATCH($K361,其他调用!$X$5:$X$404,0),0)</f>
        <v>48421.89030293571</v>
      </c>
      <c r="AT361" s="12">
        <f>MIN(INDEX(其他调用!$AL$5:$AL$364,MATCH($K361,其他调用!$AG$5:$AG$364,0),1)/INDEX(其他调用!AL$5:AL$364,MATCH($K361,其他调用!$AG$5:$AG$364,0),0),1)*INDEX(其他调用!AC$5:AC$404,MATCH($K361,其他调用!$X$5:$X$404,0),0)</f>
        <v>52302.39539198947</v>
      </c>
      <c r="AV361" s="14">
        <f>IF(OR(AV$5="大R",AV$5="超R"),MAX(INDEX(其他调用!$H$5:$L$404,MATCH($K361,其他调用!$B$5:$B$404,0),MATCH(AV$5,其他调用!$H$4:$L$4,0))*120*0.85,2),INDEX(其他调用!$H$5:$L$404,MATCH($K361,其他调用!$B$5:$B$404,0),MATCH(AV$5,其他调用!$H$4:$L$4,0))*120*0.85)</f>
        <v>48.921801254999991</v>
      </c>
      <c r="AW361" s="14">
        <f>IF(OR(AW$5="大R",AW$5="超R"),MAX(INDEX(其他调用!$H$5:$L$404,MATCH($K361,其他调用!$B$5:$B$404,0),MATCH(AW$5,其他调用!$H$4:$L$4,0))*120*0.85,2),INDEX(其他调用!$H$5:$L$404,MATCH($K361,其他调用!$B$5:$B$404,0),MATCH(AW$5,其他调用!$H$4:$L$4,0))*120*0.85)</f>
        <v>48.237344010638395</v>
      </c>
      <c r="AX361" s="14">
        <f>IF(OR(AX$5="大R",AX$5="超R"),MAX(INDEX(其他调用!$H$5:$L$404,MATCH($K361,其他调用!$B$5:$B$404,0),MATCH(AX$5,其他调用!$H$4:$L$4,0))*120*0.85,2),INDEX(其他调用!$H$5:$L$404,MATCH($K361,其他调用!$B$5:$B$404,0),MATCH(AX$5,其他调用!$H$4:$L$4,0))*120*0.85)</f>
        <v>3.9376284143615998</v>
      </c>
      <c r="AY361" s="14">
        <f>IF(OR(AY$5="大R",AY$5="超R"),MAX(INDEX(其他调用!$H$5:$L$404,MATCH($K361,其他调用!$B$5:$B$404,0),MATCH(AY$5,其他调用!$H$4:$L$4,0))*120*0.85,2),INDEX(其他调用!$H$5:$L$404,MATCH($K361,其他调用!$B$5:$B$404,0),MATCH(AY$5,其他调用!$H$4:$L$4,0))*120*0.85)</f>
        <v>2</v>
      </c>
      <c r="AZ361" s="14">
        <f>IF(OR(AZ$5="大R",AZ$5="超R"),MAX(INDEX(其他调用!$H$5:$L$404,MATCH($K361,其他调用!$B$5:$B$404,0),MATCH(AZ$5,其他调用!$H$4:$L$4,0))*120*0.85,2),INDEX(其他调用!$H$5:$L$404,MATCH($K361,其他调用!$B$5:$B$404,0),MATCH(AZ$5,其他调用!$H$4:$L$4,0))*120*0.85)</f>
        <v>2</v>
      </c>
      <c r="BA361" s="14">
        <f>INDEX(其他调用!$H$5:$L$404,MATCH($K361,其他调用!$B$5:$B$404,0),MATCH(BA$5,其他调用!$H$4:$L$4,0))*INDEX(其他调用!$M$5:$M$404,MATCH($K361,其他调用!$B$5:$B$404,0))*0.6</f>
        <v>28.777530149999997</v>
      </c>
      <c r="BB361" s="14">
        <f>INDEX(其他调用!$H$5:$L$404,MATCH($K361,其他调用!$B$5:$B$404,0),MATCH(BB$5,其他调用!$H$4:$L$4,0))*INDEX(其他调用!$M$5:$M$404,MATCH($K361,其他调用!$B$5:$B$404,0))*0.6</f>
        <v>28.374908241551999</v>
      </c>
      <c r="BC361" s="14">
        <f>INDEX(其他调用!$H$5:$L$404,MATCH($K361,其他调用!$B$5:$B$404,0),MATCH(BC$5,其他调用!$H$4:$L$4,0))*INDEX(其他调用!$M$5:$M$404,MATCH($K361,其他调用!$B$5:$B$404,0))*0.6</f>
        <v>2.3162520084480001</v>
      </c>
      <c r="BD361" s="14">
        <f>INDEX(其他调用!$H$5:$L$404,MATCH($K361,其他调用!$B$5:$B$404,0),MATCH(BD$5,其他调用!$H$4:$L$4,0))*INDEX(其他调用!$M$5:$M$404,MATCH($K361,其他调用!$B$5:$B$404,0))*0.6</f>
        <v>0.4120776000000001</v>
      </c>
      <c r="BE361" s="14">
        <f>INDEX(其他调用!$H$5:$L$404,MATCH($K361,其他调用!$B$5:$B$404,0),MATCH(BE$5,其他调用!$H$4:$L$4,0))*INDEX(其他调用!$M$5:$M$404,MATCH($K361,其他调用!$B$5:$B$404,0))*0.6</f>
        <v>0.11923199999999998</v>
      </c>
      <c r="BF361" s="14">
        <f>IF(OR(BF$5="大R",BF$5="超R"),0,INDEX(其他调用!$H$5:$L$404,MATCH($K361,其他调用!$B$5:$B$404,0),MATCH(BF$5,其他调用!$H$4:$L$4,0))*50*0.4)</f>
        <v>9.5925100500000013</v>
      </c>
      <c r="BG361" s="14">
        <f>IF(OR(BG$5="大R",BG$5="超R"),0,INDEX(其他调用!$H$5:$L$404,MATCH($K361,其他调用!$B$5:$B$404,0),MATCH(BG$5,其他调用!$H$4:$L$4,0))*50*0.4)</f>
        <v>9.4583027471839998</v>
      </c>
      <c r="BH361" s="14">
        <f>IF(OR(BH$5="大R",BH$5="超R"),0,INDEX(其他调用!$H$5:$L$404,MATCH($K361,其他调用!$B$5:$B$404,0),MATCH(BH$5,其他调用!$H$4:$L$4,0))*50*0.4)</f>
        <v>0.77208400281600009</v>
      </c>
      <c r="BI361" s="14">
        <f>IF(OR(BI$5="大R",BI$5="超R"),0,INDEX(其他调用!$H$5:$L$404,MATCH($K361,其他调用!$B$5:$B$404,0),MATCH(BI$5,其他调用!$H$4:$L$4,0))*50*0.4)</f>
        <v>0</v>
      </c>
      <c r="BJ361" s="14">
        <f>IF(OR(BJ$5="大R",BJ$5="超R"),0,INDEX(其他调用!$H$5:$L$404,MATCH($K361,其他调用!$B$5:$B$404,0),MATCH(BJ$5,其他调用!$H$4:$L$4,0))*50*0.4)</f>
        <v>0</v>
      </c>
      <c r="BL361" s="14">
        <f t="shared" si="628"/>
        <v>356</v>
      </c>
      <c r="BM361" s="14">
        <f t="shared" si="535"/>
        <v>96</v>
      </c>
      <c r="BN361" s="14">
        <f>('疲劳值&amp;地图信息'!$S$10*'疲劳值&amp;地图信息'!$R$10+'疲劳值&amp;地图信息'!$S$11*'疲劳值&amp;地图信息'!$R$11+'疲劳值&amp;地图信息'!$S$12*'疲劳值&amp;地图信息'!$R$12+(BM361-'疲劳值&amp;地图信息'!$S$12-'疲劳值&amp;地图信息'!$S$11-'疲劳值&amp;地图信息'!$S$10)*'疲劳值&amp;地图信息'!$R$13)/BM361</f>
        <v>51.371477246638619</v>
      </c>
      <c r="BO361" s="14">
        <f>INDEX(其他调用!$M$5:$M$404,MATCH(BL361,其他调用!$B$5:$B$404,0))*0.6</f>
        <v>60</v>
      </c>
      <c r="BP361" s="14">
        <f>IF(BO361&gt;SUM('疲劳值&amp;地图信息'!$S$10:$S$12),('疲劳值&amp;地图信息'!$S$10*'疲劳值&amp;地图信息'!$R$10+'疲劳值&amp;地图信息'!$S$11*'疲劳值&amp;地图信息'!$R$11+'疲劳值&amp;地图信息'!$S$12*'疲劳值&amp;地图信息'!$R$12+(BO361-'疲劳值&amp;地图信息'!$S$12-'疲劳值&amp;地图信息'!$S$11-'疲劳值&amp;地图信息'!$S$10)*'疲劳值&amp;地图信息'!$R$13)/BO361,('疲劳值&amp;地图信息'!$S$10*'疲劳值&amp;地图信息'!$R$10+'疲劳值&amp;地图信息'!$S$11*'疲劳值&amp;地图信息'!$R$11+'疲劳值&amp;地图信息'!$S$12*'疲劳值&amp;地图信息'!$R$12+(BO361-'疲劳值&amp;地图信息'!$S$12-'疲劳值&amp;地图信息'!$S$11-'疲劳值&amp;地图信息'!$S$10)*'疲劳值&amp;地图信息'!$R$13)/BO361)</f>
        <v>44.158136341605953</v>
      </c>
      <c r="BQ361" s="14">
        <f t="shared" si="629"/>
        <v>20</v>
      </c>
      <c r="BR361" s="14">
        <f>('疲劳值&amp;地图信息'!$S$10*'疲劳值&amp;地图信息'!$R$10+($BQ361-'疲劳值&amp;地图信息'!$S$10)*'疲劳值&amp;地图信息'!$R$11)/$BQ361</f>
        <v>32.067203015074995</v>
      </c>
      <c r="CF361" s="14">
        <v>356</v>
      </c>
      <c r="CG361" s="51">
        <f t="shared" si="536"/>
        <v>17257</v>
      </c>
      <c r="CH361" s="51">
        <f t="shared" si="537"/>
        <v>1024</v>
      </c>
      <c r="CI361" s="51">
        <f>INT(SUMPRODUCT($N361:$R361,$BA361:$BE361)/SUM($BA361:$BE361)/10000*$BX$7*$BZ$34/'疲劳值&amp;地图信息'!$R$10*$BY$53)</f>
        <v>3401</v>
      </c>
      <c r="CJ361" s="50">
        <f t="shared" si="538"/>
        <v>0.7959136611013744</v>
      </c>
      <c r="CK361" s="50">
        <f t="shared" si="539"/>
        <v>4.7228115487501152E-2</v>
      </c>
      <c r="CL361" s="50">
        <f t="shared" si="540"/>
        <v>0.15685822341112443</v>
      </c>
      <c r="CM361" s="14">
        <f t="shared" si="541"/>
        <v>18879</v>
      </c>
      <c r="CN361" s="14">
        <f t="shared" si="542"/>
        <v>1790</v>
      </c>
      <c r="CO361" s="14">
        <f>INT(SUMPRODUCT($U361:$Y361,$BA361:$BE361)/SUM($BA361:$BE361)/10000*$BX$7*$BZ$34/'疲劳值&amp;地图信息'!$R$10*$BY$54)</f>
        <v>6545</v>
      </c>
      <c r="CP361" s="50">
        <f t="shared" si="543"/>
        <v>0.69372381862276766</v>
      </c>
      <c r="CQ361" s="50">
        <f t="shared" si="544"/>
        <v>6.5774968766076289E-2</v>
      </c>
      <c r="CR361" s="50">
        <f t="shared" si="545"/>
        <v>0.24050121261115603</v>
      </c>
      <c r="CS361" s="14">
        <f t="shared" si="546"/>
        <v>20636</v>
      </c>
      <c r="CT361" s="14">
        <f t="shared" si="547"/>
        <v>3294</v>
      </c>
      <c r="CU361" s="14">
        <f>INT(SUMPRODUCT($AB361:$AF361,$BA361:$BE361)/SUM($BA361:$BE361)/10000*$BX$7*$BZ$34/'疲劳值&amp;地图信息'!$R$10*$BY$55)</f>
        <v>8907</v>
      </c>
      <c r="CV361" s="50">
        <f t="shared" si="548"/>
        <v>0.62843743338307401</v>
      </c>
      <c r="CW361" s="50">
        <f t="shared" si="549"/>
        <v>0.10031367055455737</v>
      </c>
      <c r="CX361" s="50">
        <f t="shared" si="550"/>
        <v>0.27124889606236868</v>
      </c>
      <c r="CY361" s="14">
        <f t="shared" si="551"/>
        <v>24263</v>
      </c>
      <c r="CZ361" s="14">
        <f t="shared" si="552"/>
        <v>8206</v>
      </c>
      <c r="DA361" s="14">
        <f>INT(SUMPRODUCT($AI361:$AM361,$BA361:$BE361)/SUM($BA361:$BE361)/10000*$BX$7*$BZ$34/'疲劳值&amp;地图信息'!$R$10*$BY$56)</f>
        <v>13432</v>
      </c>
      <c r="DB361" s="50">
        <f t="shared" si="553"/>
        <v>0.52859414827563667</v>
      </c>
      <c r="DC361" s="50">
        <f t="shared" si="554"/>
        <v>0.17877606152371409</v>
      </c>
      <c r="DD361" s="50">
        <f t="shared" si="555"/>
        <v>0.29262979020064922</v>
      </c>
      <c r="DE361" s="14">
        <f t="shared" si="556"/>
        <v>25017</v>
      </c>
      <c r="DF361" s="14">
        <f t="shared" si="557"/>
        <v>14006</v>
      </c>
      <c r="DG361" s="14">
        <f>INT(SUMPRODUCT($AP361:$AT361,$BA361:$BE361)/SUM($BA361:$BE361)/10000*$BX$7*$BZ$34/'疲劳值&amp;地图信息'!$R$10*$BY$57)</f>
        <v>17927</v>
      </c>
      <c r="DH361" s="50">
        <f t="shared" si="558"/>
        <v>0.43928007023705007</v>
      </c>
      <c r="DI361" s="50">
        <f t="shared" si="559"/>
        <v>0.2459350307287094</v>
      </c>
      <c r="DJ361" s="50">
        <f t="shared" si="560"/>
        <v>0.31478489903424056</v>
      </c>
      <c r="DL361" s="14">
        <f t="shared" si="631"/>
        <v>21682</v>
      </c>
      <c r="DM361" s="14">
        <f t="shared" si="632"/>
        <v>27214</v>
      </c>
      <c r="DN361" s="14">
        <f t="shared" si="633"/>
        <v>32837</v>
      </c>
      <c r="DO361" s="14">
        <f t="shared" si="634"/>
        <v>45901</v>
      </c>
      <c r="DP361" s="14">
        <f t="shared" si="635"/>
        <v>56950</v>
      </c>
      <c r="DQ361" s="14">
        <f t="shared" si="636"/>
        <v>1497912</v>
      </c>
      <c r="DT361" s="14">
        <f t="shared" si="630"/>
        <v>235575</v>
      </c>
      <c r="DU361" s="50">
        <f t="shared" si="532"/>
        <v>0.13589660608934478</v>
      </c>
      <c r="DW361" s="14">
        <f t="shared" si="561"/>
        <v>1733487</v>
      </c>
      <c r="EB361" s="14">
        <v>356</v>
      </c>
      <c r="EC361" s="51">
        <f t="shared" si="562"/>
        <v>28762</v>
      </c>
      <c r="ED361" s="51">
        <f t="shared" si="563"/>
        <v>1706</v>
      </c>
      <c r="EE361" s="51">
        <f>INT(SUMPRODUCT($N361:$R361,$BF361:$BJ361)/SUM($BF361:$BJ361)/10000*$BX$7*$BZ$46/'疲劳值&amp;地图信息'!$R$10*$BY$53)</f>
        <v>456</v>
      </c>
      <c r="EF361" s="50">
        <f t="shared" si="564"/>
        <v>0.93008666407967922</v>
      </c>
      <c r="EG361" s="50">
        <f t="shared" si="565"/>
        <v>5.5167507437588928E-2</v>
      </c>
      <c r="EH361" s="50">
        <f t="shared" si="566"/>
        <v>1.4745828482731859E-2</v>
      </c>
      <c r="EI361" s="51">
        <f t="shared" si="567"/>
        <v>31466</v>
      </c>
      <c r="EJ361" s="51">
        <f t="shared" si="568"/>
        <v>2984</v>
      </c>
      <c r="EK361" s="14">
        <f>INT(SUMPRODUCT($U361:$Y361,$BF361:$BJ361)/SUM($BF361:$BJ361)/10000*$BX$7*$BZ$46/'疲劳值&amp;地图信息'!$R$10*$BY$54)</f>
        <v>878</v>
      </c>
      <c r="EL361" s="50">
        <f t="shared" si="569"/>
        <v>0.89068161231884058</v>
      </c>
      <c r="EM361" s="50">
        <f t="shared" si="570"/>
        <v>8.4465579710144928E-2</v>
      </c>
      <c r="EN361" s="50">
        <f t="shared" si="571"/>
        <v>2.4852807971014492E-2</v>
      </c>
      <c r="EO361" s="51">
        <f t="shared" si="572"/>
        <v>34394</v>
      </c>
      <c r="EP361" s="51">
        <f t="shared" si="573"/>
        <v>5490</v>
      </c>
      <c r="EQ361" s="14">
        <f>INT(SUMPRODUCT($AB361:$AF361,$BF361:$BJ361)/SUM($BF361:$BJ361)/10000*$BX$7*$BZ$46/'疲劳值&amp;地图信息'!$R$10*$BY$55)</f>
        <v>1193</v>
      </c>
      <c r="ER361" s="50">
        <f t="shared" si="574"/>
        <v>0.83730554811695113</v>
      </c>
      <c r="ES361" s="50">
        <f t="shared" si="575"/>
        <v>0.13365143510967209</v>
      </c>
      <c r="ET361" s="50">
        <f t="shared" si="576"/>
        <v>2.9043016773376829E-2</v>
      </c>
      <c r="EU361" s="51">
        <f t="shared" si="577"/>
        <v>40439</v>
      </c>
      <c r="EV361" s="51">
        <f t="shared" si="578"/>
        <v>13677</v>
      </c>
      <c r="EW361" s="14">
        <f>INT(SUMPRODUCT($AI361:$AM361,$BF361:$BJ361)/SUM($BF361:$BJ361)/10000*$BX$7*$BZ$46/'疲劳值&amp;地图信息'!$R$10*$BY$56)</f>
        <v>1790</v>
      </c>
      <c r="EX361" s="50">
        <f t="shared" si="579"/>
        <v>0.72333917647479695</v>
      </c>
      <c r="EY361" s="50">
        <f t="shared" si="580"/>
        <v>0.2446427932601152</v>
      </c>
      <c r="EZ361" s="50">
        <f t="shared" si="581"/>
        <v>3.2018030265087823E-2</v>
      </c>
      <c r="FA361" s="51">
        <f t="shared" si="582"/>
        <v>41696</v>
      </c>
      <c r="FB361" s="51">
        <f t="shared" si="583"/>
        <v>23344</v>
      </c>
      <c r="FC361" s="14">
        <f>INT(SUMPRODUCT($AP361:$AT361,$BF361:$BJ361)/SUM($BF361:$BJ361)/10000*$BX$7*$BZ$46/'疲劳值&amp;地图信息'!$R$10*$BY$57)</f>
        <v>2387</v>
      </c>
      <c r="FD361" s="50">
        <f t="shared" si="584"/>
        <v>0.61838729292419947</v>
      </c>
      <c r="FE361" s="50">
        <f t="shared" si="585"/>
        <v>0.34621145831788452</v>
      </c>
      <c r="FF361" s="50">
        <f t="shared" si="586"/>
        <v>3.5401248757915969E-2</v>
      </c>
      <c r="FH361" s="14">
        <f t="shared" si="587"/>
        <v>30924</v>
      </c>
      <c r="FI361" s="14">
        <f t="shared" si="588"/>
        <v>35328</v>
      </c>
      <c r="FJ361" s="14">
        <f t="shared" si="589"/>
        <v>41077</v>
      </c>
      <c r="FK361" s="14">
        <f t="shared" si="590"/>
        <v>55906</v>
      </c>
      <c r="FL361" s="14">
        <f t="shared" si="591"/>
        <v>67427</v>
      </c>
      <c r="FM361" s="14">
        <f t="shared" si="592"/>
        <v>3625398</v>
      </c>
      <c r="FP361" s="14">
        <f t="shared" si="593"/>
        <v>334150</v>
      </c>
      <c r="FQ361" s="50">
        <f t="shared" si="533"/>
        <v>8.4390945633188441E-2</v>
      </c>
      <c r="FS361" s="14">
        <f t="shared" si="594"/>
        <v>3959548</v>
      </c>
      <c r="FX361" s="14">
        <v>356</v>
      </c>
      <c r="FY361" s="51">
        <f t="shared" si="595"/>
        <v>40266</v>
      </c>
      <c r="FZ361" s="51">
        <f t="shared" si="596"/>
        <v>1706</v>
      </c>
      <c r="GA361" s="51">
        <f>INT(SUMPRODUCT($N361:$R361,$BF361:$BJ361)/SUM($BF361:$BJ361)/10000*$BX$7*$BZ$46/'疲劳值&amp;地图信息'!$R$10*$BY$53)</f>
        <v>456</v>
      </c>
      <c r="GB361" s="50">
        <f t="shared" si="597"/>
        <v>0.94904308475535026</v>
      </c>
      <c r="GC361" s="50">
        <f t="shared" si="598"/>
        <v>4.020929574809088E-2</v>
      </c>
      <c r="GD361" s="50">
        <f t="shared" si="599"/>
        <v>1.0747619496558876E-2</v>
      </c>
      <c r="GE361" s="51">
        <f t="shared" si="600"/>
        <v>44053</v>
      </c>
      <c r="GF361" s="51">
        <f t="shared" si="601"/>
        <v>2984</v>
      </c>
      <c r="GG361" s="14">
        <f>INT(SUMPRODUCT($U361:$Y361,$BF361:$BJ361)/SUM($BF361:$BJ361)/10000*$BX$7*$BZ$46/'疲劳值&amp;地图信息'!$R$10*$BY$54)</f>
        <v>878</v>
      </c>
      <c r="GH361" s="50">
        <f t="shared" si="602"/>
        <v>0.91939893561515185</v>
      </c>
      <c r="GI361" s="50">
        <f t="shared" si="603"/>
        <v>6.2276948763435251E-2</v>
      </c>
      <c r="GJ361" s="50">
        <f t="shared" si="604"/>
        <v>1.832411562141292E-2</v>
      </c>
      <c r="GK361" s="51">
        <f t="shared" si="605"/>
        <v>48152</v>
      </c>
      <c r="GL361" s="51">
        <f t="shared" si="606"/>
        <v>5490</v>
      </c>
      <c r="GM361" s="14">
        <f>INT(SUMPRODUCT($AB361:$AF361,$BF361:$BJ361)/SUM($BF361:$BJ361)/10000*$BX$7*$BZ$46/'疲劳值&amp;地图信息'!$R$10*$BY$55)</f>
        <v>1193</v>
      </c>
      <c r="GN361" s="50">
        <f t="shared" si="607"/>
        <v>0.87812528494574638</v>
      </c>
      <c r="GO361" s="50">
        <f t="shared" si="608"/>
        <v>0.10011853743047323</v>
      </c>
      <c r="GP361" s="50">
        <f t="shared" si="609"/>
        <v>2.1756177623780432E-2</v>
      </c>
      <c r="GQ361" s="51">
        <f t="shared" si="610"/>
        <v>56615</v>
      </c>
      <c r="GR361" s="51">
        <f t="shared" si="611"/>
        <v>13677</v>
      </c>
      <c r="GS361" s="14">
        <f>INT(SUMPRODUCT($AI361:$AM361,$BF361:$BJ361)/SUM($BF361:$BJ361)/10000*$BX$7*$BZ$46/'疲劳值&amp;地图信息'!$R$10*$BY$56)</f>
        <v>1790</v>
      </c>
      <c r="GT361" s="50">
        <f t="shared" si="612"/>
        <v>0.78542493271551839</v>
      </c>
      <c r="GU361" s="50">
        <f t="shared" si="613"/>
        <v>0.18974223800671458</v>
      </c>
      <c r="GV361" s="50">
        <f t="shared" si="614"/>
        <v>2.4832829277766987E-2</v>
      </c>
      <c r="GW361" s="51">
        <f t="shared" si="615"/>
        <v>58374</v>
      </c>
      <c r="GX361" s="51">
        <f t="shared" si="616"/>
        <v>23344</v>
      </c>
      <c r="GY361" s="14">
        <f>INT(SUMPRODUCT($AP361:$AT361,$BF361:$BJ361)/SUM($BF361:$BJ361)/10000*$BX$7*$BZ$46/'疲劳值&amp;地图信息'!$R$10*$BY$57)</f>
        <v>2387</v>
      </c>
      <c r="GZ361" s="50">
        <f t="shared" si="617"/>
        <v>0.69406099518459075</v>
      </c>
      <c r="HA361" s="50">
        <f t="shared" si="618"/>
        <v>0.27755781463646634</v>
      </c>
      <c r="HB361" s="50">
        <f t="shared" si="619"/>
        <v>2.8381190178942989E-2</v>
      </c>
      <c r="HD361" s="14">
        <f t="shared" si="620"/>
        <v>42428</v>
      </c>
      <c r="HE361" s="14">
        <f t="shared" si="621"/>
        <v>47915</v>
      </c>
      <c r="HF361" s="14">
        <f t="shared" si="622"/>
        <v>54835</v>
      </c>
      <c r="HG361" s="14">
        <f t="shared" si="623"/>
        <v>72082</v>
      </c>
      <c r="HH361" s="14">
        <f t="shared" si="624"/>
        <v>84105</v>
      </c>
      <c r="HI361" s="14">
        <f t="shared" si="625"/>
        <v>4915240</v>
      </c>
      <c r="HL361" s="14">
        <f t="shared" si="626"/>
        <v>430050</v>
      </c>
      <c r="HM361" s="50">
        <f t="shared" si="534"/>
        <v>8.0454007172669775E-2</v>
      </c>
      <c r="HO361" s="14">
        <f t="shared" si="627"/>
        <v>5345290</v>
      </c>
    </row>
    <row r="362" spans="11:223" x14ac:dyDescent="0.2">
      <c r="K362" s="14">
        <v>357</v>
      </c>
      <c r="L362" s="12">
        <f>求节点(节奏总纲!D$4:D$163,标准城池设计!AB$4:AB$163,$K362)*求节点(节奏总纲!D$4:D$163,攻城基础信息!$AC$5:$AC$164,$K362)</f>
        <v>847813.32409099978</v>
      </c>
      <c r="M362" s="12">
        <f>INDEX(其他调用!$AA$5:$AA$404,MATCH(K362,其他调用!$X$5:$X$404,0))*MIN(INDEX(其他调用!$AH$5:$AH$364,MATCH('征服点（新）'!K362,其他调用!$AG$5:$AG$364,0),1)/INDEX(其他调用!$AJ$5:$AJ$364,MATCH(K362,其他调用!$AG$5:$AG$364,0),0),5)*求节点(节奏总纲!D$4:D$163,攻城基础信息!$AC$5:$AC$164,$K362)</f>
        <v>50193.420877089928</v>
      </c>
      <c r="N362" s="12">
        <f>MIN(INDEX(其他调用!$AH$5:$AH$364,MATCH($K362,其他调用!$AG$5:$AG$364,0),1)/INDEX(其他调用!AH$5:AH$364,MATCH($K362,其他调用!$AG$5:$AG$364,0),0),1)*INDEX(其他调用!Y$5:Y$404,MATCH($K362,其他调用!$X$5:$X$404,0),0)</f>
        <v>43479.949901204724</v>
      </c>
      <c r="O362" s="12">
        <f>MIN(INDEX(其他调用!$AH$5:$AH$364,MATCH($K362,其他调用!$AG$5:$AG$364,0),1)/INDEX(其他调用!AI$5:AI$364,MATCH($K362,其他调用!$AG$5:$AG$364,0),0),1)*INDEX(其他调用!Z$5:Z$404,MATCH($K362,其他调用!$X$5:$X$404,0),0)</f>
        <v>25526.879332767978</v>
      </c>
      <c r="P362" s="12">
        <f>MIN(INDEX(其他调用!$AH$5:$AH$364,MATCH($K362,其他调用!$AG$5:$AG$364,0),1)/INDEX(其他调用!AJ$5:AJ$364,MATCH($K362,其他调用!$AG$5:$AG$364,0),0),1)*INDEX(其他调用!AA$5:AA$404,MATCH($K362,其他调用!$X$5:$X$404,0),0)</f>
        <v>14340.977393454274</v>
      </c>
      <c r="Q362" s="12">
        <f>MIN(INDEX(其他调用!$AH$5:$AH$364,MATCH($K362,其他调用!$AG$5:$AG$364,0),1)/INDEX(其他调用!AK$5:AK$364,MATCH($K362,其他调用!$AG$5:$AG$364,0),0),1)*INDEX(其他调用!AB$5:AB$404,MATCH($K362,其他调用!$X$5:$X$404,0),0)</f>
        <v>6051.5801203015908</v>
      </c>
      <c r="R362" s="12">
        <f>MIN(INDEX(其他调用!$AH$5:$AH$364,MATCH($K362,其他调用!$AG$5:$AG$364,0),1)/INDEX(其他调用!AL$5:AL$364,MATCH($K362,其他调用!$AG$5:$AG$364,0),0),1)*INDEX(其他调用!AC$5:AC$404,MATCH($K362,其他调用!$X$5:$X$404,0),0)</f>
        <v>3831.4025954514573</v>
      </c>
      <c r="S362" s="12">
        <f>求节点(节奏总纲!D$4:D$163,标准城池设计!AC$4:AC$163,$K362)*求节点(节奏总纲!D$4:D$163,攻城基础信息!$AD$5:$AD$164,$K362)</f>
        <v>927422.4799334181</v>
      </c>
      <c r="T362" s="12">
        <f>INDEX(其他调用!$AA$5:$AA$404,MATCH($K362,其他调用!$X$5:$X$404,0))*MIN(INDEX(其他调用!AI$5:AI$364,MATCH($K362,其他调用!$AG$5:$AG$364,0),1)/INDEX(其他调用!$AJ$5:$AJ$364,MATCH($K362,其他调用!$AG$5:$AG$364,0),0),5)*求节点(节奏总纲!D$4:D$163,攻城基础信息!$AD$5:$AD$164,$K362)</f>
        <v>87783.545610940258</v>
      </c>
      <c r="U362" s="12">
        <f>MIN(INDEX(其他调用!$AI$5:$AI$364,MATCH($K362,其他调用!$AG$5:$AG$364,0),1)/INDEX(其他调用!AH$5:AH$364,MATCH($K362,其他调用!$AG$5:$AG$364,0),0),1)*INDEX(其他调用!Y$5:Y$404,MATCH($K362,其他调用!$X$5:$X$404,0),0)</f>
        <v>43479.949901204724</v>
      </c>
      <c r="V362" s="12">
        <f>MIN(INDEX(其他调用!$AI$5:$AI$364,MATCH($K362,其他调用!$AG$5:$AG$364,0),1)/INDEX(其他调用!AI$5:AI$364,MATCH($K362,其他调用!$AG$5:$AG$364,0),0),1)*INDEX(其他调用!Z$5:Z$404,MATCH($K362,其他调用!$X$5:$X$404,0),0)</f>
        <v>44644.097514298039</v>
      </c>
      <c r="W362" s="12">
        <f>MIN(INDEX(其他调用!$AI$5:$AI$364,MATCH($K362,其他调用!$AG$5:$AG$364,0),1)/INDEX(其他调用!AJ$5:AJ$364,MATCH($K362,其他调用!$AG$5:$AG$364,0),0),1)*INDEX(其他调用!AA$5:AA$404,MATCH($K362,其他调用!$X$5:$X$404,0),0)</f>
        <v>25081.013031697232</v>
      </c>
      <c r="X362" s="12">
        <f>MIN(INDEX(其他调用!$AI$5:$AI$364,MATCH($K362,其他调用!$AG$5:$AG$364,0),1)/INDEX(其他调用!AK$5:AK$364,MATCH($K362,其他调用!$AG$5:$AG$364,0),0),1)*INDEX(其他调用!AB$5:AB$404,MATCH($K362,其他调用!$X$5:$X$404,0),0)</f>
        <v>10583.641246720164</v>
      </c>
      <c r="Y362" s="12">
        <f>MIN(INDEX(其他调用!$AI$5:$AI$364,MATCH($K362,其他调用!$AG$5:$AG$364,0),1)/INDEX(其他调用!AL$5:AL$364,MATCH($K362,其他调用!$AG$5:$AG$364,0),0),1)*INDEX(其他调用!AC$5:AC$404,MATCH($K362,其他调用!$X$5:$X$404,0),0)</f>
        <v>6700.7607494073536</v>
      </c>
      <c r="Z362" s="12">
        <f>求节点(节奏总纲!D$4:D$163,标准城池设计!AD$4:AD$163,$K362)*求节点(节奏总纲!D$4:D$163,攻城基础信息!$AE$5:$AE$164,$K362)</f>
        <v>1013886.5103002655</v>
      </c>
      <c r="AA362" s="12">
        <f>INDEX(其他调用!$AA$5:$AA$404,MATCH($K362,其他调用!$X$5:$X$404,0))*MIN(INDEX(其他调用!AJ$5:AJ$364,MATCH($K362,其他调用!$AG$5:$AG$364,0),1)/INDEX(其他调用!$AJ$5:$AJ$364,MATCH($K362,其他调用!$AG$5:$AG$364,0),0),5)*求节点(节奏总纲!D$4:D$163,攻城基础信息!$AE$5:$AE$164,$K362)</f>
        <v>161691.97289818991</v>
      </c>
      <c r="AB362" s="12">
        <f>MIN(INDEX(其他调用!$AJ$5:$AJ$364,MATCH($K362,其他调用!$AG$5:$AG$364,0),1)/INDEX(其他调用!AH$5:AH$364,MATCH($K362,其他调用!$AG$5:$AG$364,0),0),1)*INDEX(其他调用!Y$5:Y$404,MATCH($K362,其他调用!$X$5:$X$404,0),0)</f>
        <v>43479.949901204724</v>
      </c>
      <c r="AC362" s="12">
        <f>MIN(INDEX(其他调用!$AJ$5:$AJ$364,MATCH($K362,其他调用!$AG$5:$AG$364,0),1)/INDEX(其他调用!AI$5:AI$364,MATCH($K362,其他调用!$AG$5:$AG$364,0),0),1)*INDEX(其他调用!Z$5:Z$404,MATCH($K362,其他调用!$X$5:$X$404,0),0)</f>
        <v>44644.097514298039</v>
      </c>
      <c r="AD362" s="12">
        <f>MIN(INDEX(其他调用!$AJ$5:$AJ$364,MATCH($K362,其他调用!$AG$5:$AG$364,0),1)/INDEX(其他调用!AJ$5:AJ$364,MATCH($K362,其他调用!$AG$5:$AG$364,0),0),1)*INDEX(其他调用!AA$5:AA$404,MATCH($K362,其他调用!$X$5:$X$404,0),0)</f>
        <v>46197.706542340005</v>
      </c>
      <c r="AE362" s="12">
        <f>MIN(INDEX(其他调用!$AJ$5:$AJ$364,MATCH($K362,其他调用!$AG$5:$AG$364,0),1)/INDEX(其他调用!AK$5:AK$364,MATCH($K362,其他调用!$AG$5:$AG$364,0),0),1)*INDEX(其他调用!AB$5:AB$404,MATCH($K362,其他调用!$X$5:$X$404,0),0)</f>
        <v>19494.425996568174</v>
      </c>
      <c r="AF362" s="12">
        <f>MIN(INDEX(其他调用!$AJ$5:$AJ$364,MATCH($K362,其他调用!$AG$5:$AG$364,0),1)/INDEX(其他调用!AL$5:AL$364,MATCH($K362,其他调用!$AG$5:$AG$364,0),0),1)*INDEX(其他调用!AC$5:AC$404,MATCH($K362,其他调用!$X$5:$X$404,0),0)</f>
        <v>12342.395353821295</v>
      </c>
      <c r="AG362" s="12">
        <f>求节点(节奏总纲!D$4:D$163,标准城池设计!AE$4:AE$163,$K362)*求节点(节奏总纲!D$4:D$163,攻城基础信息!$AF$5:$AF$164,$K362)</f>
        <v>1191202.1125644867</v>
      </c>
      <c r="AH362" s="12">
        <f>INDEX(其他调用!$AA$5:$AA$404,MATCH($K362,其他调用!$X$5:$X$404,0))*MIN(INDEX(其他调用!AK$5:AK$364,MATCH($K362,其他调用!$AG$5:$AG$364,0),1)/INDEX(其他调用!$AJ$5:$AJ$364,MATCH($K362,其他调用!$AG$5:$AG$364,0),0),5)*求节点(节奏总纲!D$4:D$163,攻城基础信息!$AF$5:$AF$164,$K362)</f>
        <v>401754.87090652331</v>
      </c>
      <c r="AI362" s="12">
        <f>MIN(INDEX(其他调用!$AK$5:$AK$364,MATCH($K362,其他调用!$AG$5:$AG$364,0),1)/INDEX(其他调用!AH$5:AH$364,MATCH($K362,其他调用!$AG$5:$AG$364,0),0),1)*INDEX(其他调用!Y$5:Y$404,MATCH($K362,其他调用!$X$5:$X$404,0),0)</f>
        <v>43479.949901204724</v>
      </c>
      <c r="AJ362" s="12">
        <f>MIN(INDEX(其他调用!$AK$5:$AK$364,MATCH($K362,其他调用!$AG$5:$AG$364,0),1)/INDEX(其他调用!AI$5:AI$364,MATCH($K362,其他调用!$AG$5:$AG$364,0),0),1)*INDEX(其他调用!Z$5:Z$404,MATCH($K362,其他调用!$X$5:$X$404,0),0)</f>
        <v>44644.097514298039</v>
      </c>
      <c r="AK362" s="12">
        <f>MIN(INDEX(其他调用!$AK$5:$AK$364,MATCH($K362,其他调用!$AG$5:$AG$364,0),1)/INDEX(其他调用!AJ$5:AJ$364,MATCH($K362,其他调用!$AG$5:$AG$364,0),0),1)*INDEX(其他调用!AA$5:AA$404,MATCH($K362,其他调用!$X$5:$X$404,0),0)</f>
        <v>46197.706542340005</v>
      </c>
      <c r="AL362" s="12">
        <f>MIN(INDEX(其他调用!$AK$5:$AK$364,MATCH($K362,其他调用!$AG$5:$AG$364,0),1)/INDEX(其他调用!AK$5:AK$364,MATCH($K362,其他调用!$AG$5:$AG$364,0),0),1)*INDEX(其他调用!AB$5:AB$404,MATCH($K362,其他调用!$X$5:$X$404,0),0)</f>
        <v>48437.658711601362</v>
      </c>
      <c r="AM362" s="12">
        <f>MIN(INDEX(其他调用!$AK$5:$AK$364,MATCH($K362,其他调用!$AG$5:$AG$364,0),1)/INDEX(其他调用!AL$5:AL$364,MATCH($K362,其他调用!$AG$5:$AG$364,0),0),1)*INDEX(其他调用!AC$5:AC$404,MATCH($K362,其他调用!$X$5:$X$404,0),0)</f>
        <v>30667.060109248367</v>
      </c>
      <c r="AN362" s="12">
        <f>求节点(节奏总纲!D$4:D$163,标准城池设计!AF$4:AF$163,$K362)*求节点(节奏总纲!D$4:D$163,攻城基础信息!$AG$5:$AG$164,$K362)</f>
        <v>1228168.3028512769</v>
      </c>
      <c r="AO362" s="12">
        <f>INDEX(其他调用!$AA$5:$AA$404,MATCH($K362,其他调用!$X$5:$X$404,0))*MIN(INDEX(其他调用!AL$5:AL$364,MATCH($K362,其他调用!$AG$5:$AG$364,0),1)/INDEX(其他调用!$AJ$5:$AJ$364,MATCH($K362,其他调用!$AG$5:$AG$364,0),0),5)*求节点(节奏总纲!D$4:D$163,攻城基础信息!$AG$5:$AG$164,$K362)</f>
        <v>685403.85433424311</v>
      </c>
      <c r="AP362" s="12">
        <f>MIN(INDEX(其他调用!$AL$5:$AL$364,MATCH($K362,其他调用!$AG$5:$AG$364,0),1)/INDEX(其他调用!AH$5:AH$364,MATCH($K362,其他调用!$AG$5:$AG$364,0),0),1)*INDEX(其他调用!Y$5:Y$404,MATCH($K362,其他调用!$X$5:$X$404,0),0)</f>
        <v>43479.949901204724</v>
      </c>
      <c r="AQ362" s="12">
        <f>MIN(INDEX(其他调用!$AL$5:$AL$364,MATCH($K362,其他调用!$AG$5:$AG$364,0),1)/INDEX(其他调用!AI$5:AI$364,MATCH($K362,其他调用!$AG$5:$AG$364,0),0),1)*INDEX(其他调用!Z$5:Z$404,MATCH($K362,其他调用!$X$5:$X$404,0),0)</f>
        <v>44644.097514298039</v>
      </c>
      <c r="AR362" s="12">
        <f>MIN(INDEX(其他调用!$AL$5:$AL$364,MATCH($K362,其他调用!$AG$5:$AG$364,0),1)/INDEX(其他调用!AJ$5:AJ$364,MATCH($K362,其他调用!$AG$5:$AG$364,0),0),1)*INDEX(其他调用!AA$5:AA$404,MATCH($K362,其他调用!$X$5:$X$404,0),0)</f>
        <v>46197.706542340005</v>
      </c>
      <c r="AS362" s="12">
        <f>MIN(INDEX(其他调用!$AL$5:$AL$364,MATCH($K362,其他调用!$AG$5:$AG$364,0),1)/INDEX(其他调用!AK$5:AK$364,MATCH($K362,其他调用!$AG$5:$AG$364,0),0),1)*INDEX(其他调用!AB$5:AB$404,MATCH($K362,其他调用!$X$5:$X$404,0),0)</f>
        <v>48437.658711601362</v>
      </c>
      <c r="AT362" s="12">
        <f>MIN(INDEX(其他调用!$AL$5:$AL$364,MATCH($K362,其他调用!$AG$5:$AG$364,0),1)/INDEX(其他调用!AL$5:AL$364,MATCH($K362,其他调用!$AG$5:$AG$364,0),0),1)*INDEX(其他调用!AC$5:AC$404,MATCH($K362,其他调用!$X$5:$X$404,0),0)</f>
        <v>52318.771276003594</v>
      </c>
      <c r="AV362" s="14">
        <f>IF(OR(AV$5="大R",AV$5="超R"),MAX(INDEX(其他调用!$H$5:$L$404,MATCH($K362,其他调用!$B$5:$B$404,0),MATCH(AV$5,其他调用!$H$4:$L$4,0))*120*0.85,2),INDEX(其他调用!$H$5:$L$404,MATCH($K362,其他调用!$B$5:$B$404,0),MATCH(AV$5,其他调用!$H$4:$L$4,0))*120*0.85)</f>
        <v>48.921801254999991</v>
      </c>
      <c r="AW362" s="14">
        <f>IF(OR(AW$5="大R",AW$5="超R"),MAX(INDEX(其他调用!$H$5:$L$404,MATCH($K362,其他调用!$B$5:$B$404,0),MATCH(AW$5,其他调用!$H$4:$L$4,0))*120*0.85,2),INDEX(其他调用!$H$5:$L$404,MATCH($K362,其他调用!$B$5:$B$404,0),MATCH(AW$5,其他调用!$H$4:$L$4,0))*120*0.85)</f>
        <v>48.237344010638395</v>
      </c>
      <c r="AX362" s="14">
        <f>IF(OR(AX$5="大R",AX$5="超R"),MAX(INDEX(其他调用!$H$5:$L$404,MATCH($K362,其他调用!$B$5:$B$404,0),MATCH(AX$5,其他调用!$H$4:$L$4,0))*120*0.85,2),INDEX(其他调用!$H$5:$L$404,MATCH($K362,其他调用!$B$5:$B$404,0),MATCH(AX$5,其他调用!$H$4:$L$4,0))*120*0.85)</f>
        <v>3.9376284143615998</v>
      </c>
      <c r="AY362" s="14">
        <f>IF(OR(AY$5="大R",AY$5="超R"),MAX(INDEX(其他调用!$H$5:$L$404,MATCH($K362,其他调用!$B$5:$B$404,0),MATCH(AY$5,其他调用!$H$4:$L$4,0))*120*0.85,2),INDEX(其他调用!$H$5:$L$404,MATCH($K362,其他调用!$B$5:$B$404,0),MATCH(AY$5,其他调用!$H$4:$L$4,0))*120*0.85)</f>
        <v>2</v>
      </c>
      <c r="AZ362" s="14">
        <f>IF(OR(AZ$5="大R",AZ$5="超R"),MAX(INDEX(其他调用!$H$5:$L$404,MATCH($K362,其他调用!$B$5:$B$404,0),MATCH(AZ$5,其他调用!$H$4:$L$4,0))*120*0.85,2),INDEX(其他调用!$H$5:$L$404,MATCH($K362,其他调用!$B$5:$B$404,0),MATCH(AZ$5,其他调用!$H$4:$L$4,0))*120*0.85)</f>
        <v>2</v>
      </c>
      <c r="BA362" s="14">
        <f>INDEX(其他调用!$H$5:$L$404,MATCH($K362,其他调用!$B$5:$B$404,0),MATCH(BA$5,其他调用!$H$4:$L$4,0))*INDEX(其他调用!$M$5:$M$404,MATCH($K362,其他调用!$B$5:$B$404,0))*0.6</f>
        <v>28.777530149999997</v>
      </c>
      <c r="BB362" s="14">
        <f>INDEX(其他调用!$H$5:$L$404,MATCH($K362,其他调用!$B$5:$B$404,0),MATCH(BB$5,其他调用!$H$4:$L$4,0))*INDEX(其他调用!$M$5:$M$404,MATCH($K362,其他调用!$B$5:$B$404,0))*0.6</f>
        <v>28.374908241551999</v>
      </c>
      <c r="BC362" s="14">
        <f>INDEX(其他调用!$H$5:$L$404,MATCH($K362,其他调用!$B$5:$B$404,0),MATCH(BC$5,其他调用!$H$4:$L$4,0))*INDEX(其他调用!$M$5:$M$404,MATCH($K362,其他调用!$B$5:$B$404,0))*0.6</f>
        <v>2.3162520084480001</v>
      </c>
      <c r="BD362" s="14">
        <f>INDEX(其他调用!$H$5:$L$404,MATCH($K362,其他调用!$B$5:$B$404,0),MATCH(BD$5,其他调用!$H$4:$L$4,0))*INDEX(其他调用!$M$5:$M$404,MATCH($K362,其他调用!$B$5:$B$404,0))*0.6</f>
        <v>0.4120776000000001</v>
      </c>
      <c r="BE362" s="14">
        <f>INDEX(其他调用!$H$5:$L$404,MATCH($K362,其他调用!$B$5:$B$404,0),MATCH(BE$5,其他调用!$H$4:$L$4,0))*INDEX(其他调用!$M$5:$M$404,MATCH($K362,其他调用!$B$5:$B$404,0))*0.6</f>
        <v>0.11923199999999998</v>
      </c>
      <c r="BF362" s="14">
        <f>IF(OR(BF$5="大R",BF$5="超R"),0,INDEX(其他调用!$H$5:$L$404,MATCH($K362,其他调用!$B$5:$B$404,0),MATCH(BF$5,其他调用!$H$4:$L$4,0))*50*0.4)</f>
        <v>9.5925100500000013</v>
      </c>
      <c r="BG362" s="14">
        <f>IF(OR(BG$5="大R",BG$5="超R"),0,INDEX(其他调用!$H$5:$L$404,MATCH($K362,其他调用!$B$5:$B$404,0),MATCH(BG$5,其他调用!$H$4:$L$4,0))*50*0.4)</f>
        <v>9.4583027471839998</v>
      </c>
      <c r="BH362" s="14">
        <f>IF(OR(BH$5="大R",BH$5="超R"),0,INDEX(其他调用!$H$5:$L$404,MATCH($K362,其他调用!$B$5:$B$404,0),MATCH(BH$5,其他调用!$H$4:$L$4,0))*50*0.4)</f>
        <v>0.77208400281600009</v>
      </c>
      <c r="BI362" s="14">
        <f>IF(OR(BI$5="大R",BI$5="超R"),0,INDEX(其他调用!$H$5:$L$404,MATCH($K362,其他调用!$B$5:$B$404,0),MATCH(BI$5,其他调用!$H$4:$L$4,0))*50*0.4)</f>
        <v>0</v>
      </c>
      <c r="BJ362" s="14">
        <f>IF(OR(BJ$5="大R",BJ$5="超R"),0,INDEX(其他调用!$H$5:$L$404,MATCH($K362,其他调用!$B$5:$B$404,0),MATCH(BJ$5,其他调用!$H$4:$L$4,0))*50*0.4)</f>
        <v>0</v>
      </c>
      <c r="BL362" s="14">
        <f t="shared" si="628"/>
        <v>357</v>
      </c>
      <c r="BM362" s="14">
        <f t="shared" si="535"/>
        <v>96</v>
      </c>
      <c r="BN362" s="14">
        <f>('疲劳值&amp;地图信息'!$S$10*'疲劳值&amp;地图信息'!$R$10+'疲劳值&amp;地图信息'!$S$11*'疲劳值&amp;地图信息'!$R$11+'疲劳值&amp;地图信息'!$S$12*'疲劳值&amp;地图信息'!$R$12+(BM362-'疲劳值&amp;地图信息'!$S$12-'疲劳值&amp;地图信息'!$S$11-'疲劳值&amp;地图信息'!$S$10)*'疲劳值&amp;地图信息'!$R$13)/BM362</f>
        <v>51.371477246638619</v>
      </c>
      <c r="BO362" s="14">
        <f>INDEX(其他调用!$M$5:$M$404,MATCH(BL362,其他调用!$B$5:$B$404,0))*0.6</f>
        <v>60</v>
      </c>
      <c r="BP362" s="14">
        <f>IF(BO362&gt;SUM('疲劳值&amp;地图信息'!$S$10:$S$12),('疲劳值&amp;地图信息'!$S$10*'疲劳值&amp;地图信息'!$R$10+'疲劳值&amp;地图信息'!$S$11*'疲劳值&amp;地图信息'!$R$11+'疲劳值&amp;地图信息'!$S$12*'疲劳值&amp;地图信息'!$R$12+(BO362-'疲劳值&amp;地图信息'!$S$12-'疲劳值&amp;地图信息'!$S$11-'疲劳值&amp;地图信息'!$S$10)*'疲劳值&amp;地图信息'!$R$13)/BO362,('疲劳值&amp;地图信息'!$S$10*'疲劳值&amp;地图信息'!$R$10+'疲劳值&amp;地图信息'!$S$11*'疲劳值&amp;地图信息'!$R$11+'疲劳值&amp;地图信息'!$S$12*'疲劳值&amp;地图信息'!$R$12+(BO362-'疲劳值&amp;地图信息'!$S$12-'疲劳值&amp;地图信息'!$S$11-'疲劳值&amp;地图信息'!$S$10)*'疲劳值&amp;地图信息'!$R$13)/BO362)</f>
        <v>44.158136341605953</v>
      </c>
      <c r="BQ362" s="14">
        <f t="shared" si="629"/>
        <v>20</v>
      </c>
      <c r="BR362" s="14">
        <f>('疲劳值&amp;地图信息'!$S$10*'疲劳值&amp;地图信息'!$R$10+($BQ362-'疲劳值&amp;地图信息'!$S$10)*'疲劳值&amp;地图信息'!$R$11)/$BQ362</f>
        <v>32.067203015074995</v>
      </c>
      <c r="CF362" s="14">
        <v>357</v>
      </c>
      <c r="CG362" s="51">
        <f t="shared" si="536"/>
        <v>17279</v>
      </c>
      <c r="CH362" s="51">
        <f t="shared" si="537"/>
        <v>1023</v>
      </c>
      <c r="CI362" s="51">
        <f>INT(SUMPRODUCT($N362:$R362,$BA362:$BE362)/SUM($BA362:$BE362)/10000*$BX$7*$BZ$34/'疲劳值&amp;地图信息'!$R$10*$BY$53)</f>
        <v>3402</v>
      </c>
      <c r="CJ362" s="50">
        <f t="shared" si="538"/>
        <v>0.79612053077773681</v>
      </c>
      <c r="CK362" s="50">
        <f t="shared" si="539"/>
        <v>4.7134168816807959E-2</v>
      </c>
      <c r="CL362" s="50">
        <f t="shared" si="540"/>
        <v>0.15674530040545523</v>
      </c>
      <c r="CM362" s="14">
        <f t="shared" si="541"/>
        <v>18902</v>
      </c>
      <c r="CN362" s="14">
        <f t="shared" si="542"/>
        <v>1789</v>
      </c>
      <c r="CO362" s="14">
        <f>INT(SUMPRODUCT($U362:$Y362,$BA362:$BE362)/SUM($BA362:$BE362)/10000*$BX$7*$BZ$34/'疲劳值&amp;地图信息'!$R$10*$BY$54)</f>
        <v>6547</v>
      </c>
      <c r="CP362" s="50">
        <f t="shared" si="543"/>
        <v>0.69395697187752403</v>
      </c>
      <c r="CQ362" s="50">
        <f t="shared" si="544"/>
        <v>6.5680299581467066E-2</v>
      </c>
      <c r="CR362" s="50">
        <f t="shared" si="545"/>
        <v>0.24036272854100887</v>
      </c>
      <c r="CS362" s="14">
        <f t="shared" si="546"/>
        <v>20664</v>
      </c>
      <c r="CT362" s="14">
        <f t="shared" si="547"/>
        <v>3295</v>
      </c>
      <c r="CU362" s="14">
        <f>INT(SUMPRODUCT($AB362:$AF362,$BA362:$BE362)/SUM($BA362:$BE362)/10000*$BX$7*$BZ$34/'疲劳值&amp;地图信息'!$R$10*$BY$55)</f>
        <v>8910</v>
      </c>
      <c r="CV362" s="50">
        <f t="shared" si="548"/>
        <v>0.62867747725820677</v>
      </c>
      <c r="CW362" s="50">
        <f t="shared" si="549"/>
        <v>0.10024643280902978</v>
      </c>
      <c r="CX362" s="50">
        <f t="shared" si="550"/>
        <v>0.27107608993276339</v>
      </c>
      <c r="CY362" s="14">
        <f t="shared" si="551"/>
        <v>24278</v>
      </c>
      <c r="CZ362" s="14">
        <f t="shared" si="552"/>
        <v>8188</v>
      </c>
      <c r="DA362" s="14">
        <f>INT(SUMPRODUCT($AI362:$AM362,$BA362:$BE362)/SUM($BA362:$BE362)/10000*$BX$7*$BZ$34/'疲劳值&amp;地图信息'!$R$10*$BY$56)</f>
        <v>13437</v>
      </c>
      <c r="DB362" s="50">
        <f t="shared" si="553"/>
        <v>0.52889789338387472</v>
      </c>
      <c r="DC362" s="50">
        <f t="shared" si="554"/>
        <v>0.17837614099296342</v>
      </c>
      <c r="DD362" s="50">
        <f t="shared" si="555"/>
        <v>0.29272596562316189</v>
      </c>
      <c r="DE362" s="14">
        <f t="shared" si="556"/>
        <v>25031</v>
      </c>
      <c r="DF362" s="14">
        <f t="shared" si="557"/>
        <v>13969</v>
      </c>
      <c r="DG362" s="14">
        <f>INT(SUMPRODUCT($AP362:$AT362,$BA362:$BE362)/SUM($BA362:$BE362)/10000*$BX$7*$BZ$34/'疲劳值&amp;地图信息'!$R$10*$BY$57)</f>
        <v>17934</v>
      </c>
      <c r="DH362" s="50">
        <f t="shared" si="558"/>
        <v>0.43964941862507467</v>
      </c>
      <c r="DI362" s="50">
        <f t="shared" si="559"/>
        <v>0.24535426985632486</v>
      </c>
      <c r="DJ362" s="50">
        <f t="shared" si="560"/>
        <v>0.31499631151860047</v>
      </c>
      <c r="DL362" s="14">
        <f t="shared" si="631"/>
        <v>21704</v>
      </c>
      <c r="DM362" s="14">
        <f t="shared" si="632"/>
        <v>27238</v>
      </c>
      <c r="DN362" s="14">
        <f t="shared" si="633"/>
        <v>32869</v>
      </c>
      <c r="DO362" s="14">
        <f t="shared" si="634"/>
        <v>45903</v>
      </c>
      <c r="DP362" s="14">
        <f t="shared" si="635"/>
        <v>56934</v>
      </c>
      <c r="DQ362" s="14">
        <f t="shared" si="636"/>
        <v>1499300</v>
      </c>
      <c r="DT362" s="14">
        <f t="shared" si="630"/>
        <v>235575</v>
      </c>
      <c r="DU362" s="50">
        <f t="shared" si="532"/>
        <v>0.13578788097125152</v>
      </c>
      <c r="DW362" s="14">
        <f t="shared" si="561"/>
        <v>1734875</v>
      </c>
      <c r="EB362" s="14">
        <v>357</v>
      </c>
      <c r="EC362" s="51">
        <f t="shared" si="562"/>
        <v>28799</v>
      </c>
      <c r="ED362" s="51">
        <f t="shared" si="563"/>
        <v>1705</v>
      </c>
      <c r="EE362" s="51">
        <f>INT(SUMPRODUCT($N362:$R362,$BF362:$BJ362)/SUM($BF362:$BJ362)/10000*$BX$7*$BZ$46/'疲劳值&amp;地图信息'!$R$10*$BY$53)</f>
        <v>456</v>
      </c>
      <c r="EF362" s="50">
        <f t="shared" si="564"/>
        <v>0.93020025839793286</v>
      </c>
      <c r="EG362" s="50">
        <f t="shared" si="565"/>
        <v>5.5071059431524551E-2</v>
      </c>
      <c r="EH362" s="50">
        <f t="shared" si="566"/>
        <v>1.4728682170542635E-2</v>
      </c>
      <c r="EI362" s="51">
        <f t="shared" si="567"/>
        <v>31503</v>
      </c>
      <c r="EJ362" s="51">
        <f t="shared" si="568"/>
        <v>2981</v>
      </c>
      <c r="EK362" s="14">
        <f>INT(SUMPRODUCT($U362:$Y362,$BF362:$BJ362)/SUM($BF362:$BJ362)/10000*$BX$7*$BZ$46/'疲劳值&amp;地图信息'!$R$10*$BY$54)</f>
        <v>879</v>
      </c>
      <c r="EL362" s="50">
        <f t="shared" si="569"/>
        <v>0.89084636484461155</v>
      </c>
      <c r="EM362" s="50">
        <f t="shared" si="570"/>
        <v>8.4297146735288292E-2</v>
      </c>
      <c r="EN362" s="50">
        <f t="shared" si="571"/>
        <v>2.4856488420100104E-2</v>
      </c>
      <c r="EO362" s="51">
        <f t="shared" si="572"/>
        <v>34440</v>
      </c>
      <c r="EP362" s="51">
        <f t="shared" si="573"/>
        <v>5492</v>
      </c>
      <c r="EQ362" s="14">
        <f>INT(SUMPRODUCT($AB362:$AF362,$BF362:$BJ362)/SUM($BF362:$BJ362)/10000*$BX$7*$BZ$46/'疲劳值&amp;地图信息'!$R$10*$BY$55)</f>
        <v>1194</v>
      </c>
      <c r="ER362" s="50">
        <f t="shared" si="574"/>
        <v>0.83742644555755485</v>
      </c>
      <c r="ES362" s="50">
        <f t="shared" si="575"/>
        <v>0.13354082575499684</v>
      </c>
      <c r="ET362" s="50">
        <f t="shared" si="576"/>
        <v>2.9032728687448328E-2</v>
      </c>
      <c r="EU362" s="51">
        <f t="shared" si="577"/>
        <v>40463</v>
      </c>
      <c r="EV362" s="51">
        <f t="shared" si="578"/>
        <v>13647</v>
      </c>
      <c r="EW362" s="14">
        <f>INT(SUMPRODUCT($AI362:$AM362,$BF362:$BJ362)/SUM($BF362:$BJ362)/10000*$BX$7*$BZ$46/'疲劳值&amp;地图信息'!$R$10*$BY$56)</f>
        <v>1791</v>
      </c>
      <c r="EX362" s="50">
        <f t="shared" si="579"/>
        <v>0.72383320513049854</v>
      </c>
      <c r="EY362" s="50">
        <f t="shared" si="580"/>
        <v>0.24412801202125187</v>
      </c>
      <c r="EZ362" s="50">
        <f t="shared" si="581"/>
        <v>3.2038782848249583E-2</v>
      </c>
      <c r="FA362" s="51">
        <f t="shared" si="582"/>
        <v>41719</v>
      </c>
      <c r="FB362" s="51">
        <f t="shared" si="583"/>
        <v>23282</v>
      </c>
      <c r="FC362" s="14">
        <f>INT(SUMPRODUCT($AP362:$AT362,$BF362:$BJ362)/SUM($BF362:$BJ362)/10000*$BX$7*$BZ$46/'疲劳值&amp;地图信息'!$R$10*$BY$57)</f>
        <v>2388</v>
      </c>
      <c r="FD362" s="50">
        <f t="shared" si="584"/>
        <v>0.61907729748178486</v>
      </c>
      <c r="FE362" s="50">
        <f t="shared" si="585"/>
        <v>0.34548665212423391</v>
      </c>
      <c r="FF362" s="50">
        <f t="shared" si="586"/>
        <v>3.5436050393981212E-2</v>
      </c>
      <c r="FH362" s="14">
        <f t="shared" si="587"/>
        <v>30960</v>
      </c>
      <c r="FI362" s="14">
        <f t="shared" si="588"/>
        <v>35363</v>
      </c>
      <c r="FJ362" s="14">
        <f t="shared" si="589"/>
        <v>41126</v>
      </c>
      <c r="FK362" s="14">
        <f t="shared" si="590"/>
        <v>55901</v>
      </c>
      <c r="FL362" s="14">
        <f t="shared" si="591"/>
        <v>67389</v>
      </c>
      <c r="FM362" s="14">
        <f t="shared" si="592"/>
        <v>3628955</v>
      </c>
      <c r="FP362" s="14">
        <f t="shared" si="593"/>
        <v>334150</v>
      </c>
      <c r="FQ362" s="50">
        <f t="shared" si="533"/>
        <v>8.4315202347654175E-2</v>
      </c>
      <c r="FS362" s="14">
        <f t="shared" si="594"/>
        <v>3963105</v>
      </c>
      <c r="FX362" s="14">
        <v>357</v>
      </c>
      <c r="FY362" s="51">
        <f t="shared" si="595"/>
        <v>40318</v>
      </c>
      <c r="FZ362" s="51">
        <f t="shared" si="596"/>
        <v>1705</v>
      </c>
      <c r="GA362" s="51">
        <f>INT(SUMPRODUCT($N362:$R362,$BF362:$BJ362)/SUM($BF362:$BJ362)/10000*$BX$7*$BZ$46/'疲劳值&amp;地图信息'!$R$10*$BY$53)</f>
        <v>456</v>
      </c>
      <c r="GB362" s="50">
        <f t="shared" si="597"/>
        <v>0.94912780432684385</v>
      </c>
      <c r="GC362" s="50">
        <f t="shared" si="598"/>
        <v>4.0137479695849715E-2</v>
      </c>
      <c r="GD362" s="50">
        <f t="shared" si="599"/>
        <v>1.0734715977306434E-2</v>
      </c>
      <c r="GE362" s="51">
        <f t="shared" si="600"/>
        <v>44104</v>
      </c>
      <c r="GF362" s="51">
        <f t="shared" si="601"/>
        <v>2981</v>
      </c>
      <c r="GG362" s="14">
        <f>INT(SUMPRODUCT($U362:$Y362,$BF362:$BJ362)/SUM($BF362:$BJ362)/10000*$BX$7*$BZ$46/'疲劳值&amp;地图信息'!$R$10*$BY$54)</f>
        <v>879</v>
      </c>
      <c r="GH362" s="50">
        <f t="shared" si="602"/>
        <v>0.91952297556500706</v>
      </c>
      <c r="GI362" s="50">
        <f t="shared" si="603"/>
        <v>6.2150779751480277E-2</v>
      </c>
      <c r="GJ362" s="50">
        <f t="shared" si="604"/>
        <v>1.8326244683512634E-2</v>
      </c>
      <c r="GK362" s="51">
        <f t="shared" si="605"/>
        <v>48216</v>
      </c>
      <c r="GL362" s="51">
        <f t="shared" si="606"/>
        <v>5492</v>
      </c>
      <c r="GM362" s="14">
        <f>INT(SUMPRODUCT($AB362:$AF362,$BF362:$BJ362)/SUM($BF362:$BJ362)/10000*$BX$7*$BZ$46/'疲劳值&amp;地图信息'!$R$10*$BY$55)</f>
        <v>1194</v>
      </c>
      <c r="GN362" s="50">
        <f t="shared" si="607"/>
        <v>0.87821937270044803</v>
      </c>
      <c r="GO362" s="50">
        <f t="shared" si="608"/>
        <v>0.10003278569086736</v>
      </c>
      <c r="GP362" s="50">
        <f t="shared" si="609"/>
        <v>2.1747841608684565E-2</v>
      </c>
      <c r="GQ362" s="51">
        <f t="shared" si="610"/>
        <v>56649</v>
      </c>
      <c r="GR362" s="51">
        <f t="shared" si="611"/>
        <v>13647</v>
      </c>
      <c r="GS362" s="14">
        <f>INT(SUMPRODUCT($AI362:$AM362,$BF362:$BJ362)/SUM($BF362:$BJ362)/10000*$BX$7*$BZ$46/'疲劳值&amp;地图信息'!$R$10*$BY$56)</f>
        <v>1791</v>
      </c>
      <c r="GT362" s="50">
        <f t="shared" si="612"/>
        <v>0.7858421074534937</v>
      </c>
      <c r="GU362" s="50">
        <f t="shared" si="613"/>
        <v>0.18931291356277832</v>
      </c>
      <c r="GV362" s="50">
        <f t="shared" si="614"/>
        <v>2.4844978983727995E-2</v>
      </c>
      <c r="GW362" s="51">
        <f t="shared" si="615"/>
        <v>58407</v>
      </c>
      <c r="GX362" s="51">
        <f t="shared" si="616"/>
        <v>23282</v>
      </c>
      <c r="GY362" s="14">
        <f>INT(SUMPRODUCT($AP362:$AT362,$BF362:$BJ362)/SUM($BF362:$BJ362)/10000*$BX$7*$BZ$46/'疲劳值&amp;地图信息'!$R$10*$BY$57)</f>
        <v>2388</v>
      </c>
      <c r="GZ362" s="50">
        <f t="shared" si="617"/>
        <v>0.69468463432329886</v>
      </c>
      <c r="HA362" s="50">
        <f t="shared" si="618"/>
        <v>0.27691282990591959</v>
      </c>
      <c r="HB362" s="50">
        <f t="shared" si="619"/>
        <v>2.8402535770781546E-2</v>
      </c>
      <c r="HD362" s="14">
        <f t="shared" si="620"/>
        <v>42479</v>
      </c>
      <c r="HE362" s="14">
        <f t="shared" si="621"/>
        <v>47964</v>
      </c>
      <c r="HF362" s="14">
        <f t="shared" si="622"/>
        <v>54902</v>
      </c>
      <c r="HG362" s="14">
        <f t="shared" si="623"/>
        <v>72087</v>
      </c>
      <c r="HH362" s="14">
        <f t="shared" si="624"/>
        <v>84077</v>
      </c>
      <c r="HI362" s="14">
        <f t="shared" si="625"/>
        <v>4920316</v>
      </c>
      <c r="HL362" s="14">
        <f t="shared" si="626"/>
        <v>430050</v>
      </c>
      <c r="HM362" s="50">
        <f t="shared" si="534"/>
        <v>8.0377678835429206E-2</v>
      </c>
      <c r="HO362" s="14">
        <f t="shared" si="627"/>
        <v>5350366</v>
      </c>
    </row>
    <row r="363" spans="11:223" x14ac:dyDescent="0.2">
      <c r="K363" s="14">
        <v>358</v>
      </c>
      <c r="L363" s="12">
        <f>求节点(节奏总纲!D$4:D$163,标准城池设计!AB$4:AB$163,$K363)*求节点(节奏总纲!D$4:D$163,攻城基础信息!$AC$5:$AC$164,$K363)</f>
        <v>848908.1372966019</v>
      </c>
      <c r="M363" s="12">
        <f>INDEX(其他调用!$AA$5:$AA$404,MATCH(K363,其他调用!$X$5:$X$404,0))*MIN(INDEX(其他调用!$AH$5:$AH$364,MATCH('征服点（新）'!K363,其他调用!$AG$5:$AG$364,0),1)/INDEX(其他调用!$AJ$5:$AJ$364,MATCH(K363,其他调用!$AG$5:$AG$364,0),0),5)*求节点(节奏总纲!D$4:D$163,攻城基础信息!$AC$5:$AC$164,$K363)</f>
        <v>50139.723229211013</v>
      </c>
      <c r="N363" s="12">
        <f>MIN(INDEX(其他调用!$AH$5:$AH$364,MATCH($K363,其他调用!$AG$5:$AG$364,0),1)/INDEX(其他调用!AH$5:AH$364,MATCH($K363,其他调用!$AG$5:$AG$364,0),0),1)*INDEX(其他调用!Y$5:Y$404,MATCH($K363,其他调用!$X$5:$X$404,0),0)</f>
        <v>43496.45787311712</v>
      </c>
      <c r="O363" s="12">
        <f>MIN(INDEX(其他调用!$AH$5:$AH$364,MATCH($K363,其他调用!$AG$5:$AG$364,0),1)/INDEX(其他调用!AI$5:AI$364,MATCH($K363,其他调用!$AG$5:$AG$364,0),0),1)*INDEX(其他调用!Z$5:Z$404,MATCH($K363,其他调用!$X$5:$X$404,0),0)</f>
        <v>25531.696439175623</v>
      </c>
      <c r="P363" s="12">
        <f>MIN(INDEX(其他调用!$AH$5:$AH$364,MATCH($K363,其他调用!$AG$5:$AG$364,0),1)/INDEX(其他调用!AJ$5:AJ$364,MATCH($K363,其他调用!$AG$5:$AG$364,0),0),1)*INDEX(其他调用!AA$5:AA$404,MATCH($K363,其他调用!$X$5:$X$404,0),0)</f>
        <v>14325.635208346013</v>
      </c>
      <c r="Q363" s="12">
        <f>MIN(INDEX(其他调用!$AH$5:$AH$364,MATCH($K363,其他调用!$AG$5:$AG$364,0),1)/INDEX(其他调用!AK$5:AK$364,MATCH($K363,其他调用!$AG$5:$AG$364,0),0),1)*INDEX(其他调用!AB$5:AB$404,MATCH($K363,其他调用!$X$5:$X$404,0),0)</f>
        <v>6060.5098131562845</v>
      </c>
      <c r="R363" s="12">
        <f>MIN(INDEX(其他调用!$AH$5:$AH$364,MATCH($K363,其他调用!$AG$5:$AG$364,0),1)/INDEX(其他调用!AL$5:AL$364,MATCH($K363,其他调用!$AG$5:$AG$364,0),0),1)*INDEX(其他调用!AC$5:AC$404,MATCH($K363,其他调用!$X$5:$X$404,0),0)</f>
        <v>3838.6940894923014</v>
      </c>
      <c r="S363" s="12">
        <f>求节点(节奏总纲!D$4:D$163,标准城池设计!AC$4:AC$163,$K363)*求节点(节奏总纲!D$4:D$163,攻城基础信息!$AD$5:$AD$164,$K363)</f>
        <v>928508.85306033317</v>
      </c>
      <c r="T363" s="12">
        <f>INDEX(其他调用!$AA$5:$AA$404,MATCH($K363,其他调用!$X$5:$X$404,0))*MIN(INDEX(其他调用!AI$5:AI$364,MATCH($K363,其他调用!$AG$5:$AG$364,0),1)/INDEX(其他调用!$AJ$5:$AJ$364,MATCH($K363,其他调用!$AG$5:$AG$364,0),0),5)*求节点(节奏总纲!D$4:D$163,攻城基础信息!$AD$5:$AD$164,$K363)</f>
        <v>87706.189559026592</v>
      </c>
      <c r="U363" s="12">
        <f>MIN(INDEX(其他调用!$AI$5:$AI$364,MATCH($K363,其他调用!$AG$5:$AG$364,0),1)/INDEX(其他调用!AH$5:AH$364,MATCH($K363,其他调用!$AG$5:$AG$364,0),0),1)*INDEX(其他调用!Y$5:Y$404,MATCH($K363,其他调用!$X$5:$X$404,0),0)</f>
        <v>43496.45787311712</v>
      </c>
      <c r="V363" s="12">
        <f>MIN(INDEX(其他调用!$AI$5:$AI$364,MATCH($K363,其他调用!$AG$5:$AG$364,0),1)/INDEX(其他调用!AI$5:AI$364,MATCH($K363,其他调用!$AG$5:$AG$364,0),0),1)*INDEX(其他调用!Z$5:Z$404,MATCH($K363,其他调用!$X$5:$X$404,0),0)</f>
        <v>44660.952702532471</v>
      </c>
      <c r="W363" s="12">
        <f>MIN(INDEX(其他调用!$AI$5:$AI$364,MATCH($K363,其他调用!$AG$5:$AG$364,0),1)/INDEX(其他调用!AJ$5:AJ$364,MATCH($K363,其他调用!$AG$5:$AG$364,0),0),1)*INDEX(其他调用!AA$5:AA$404,MATCH($K363,其他调用!$X$5:$X$404,0),0)</f>
        <v>25058.911302579043</v>
      </c>
      <c r="X363" s="12">
        <f>MIN(INDEX(其他调用!$AI$5:$AI$364,MATCH($K363,其他调用!$AG$5:$AG$364,0),1)/INDEX(其他调用!AK$5:AK$364,MATCH($K363,其他调用!$AG$5:$AG$364,0),0),1)*INDEX(其他调用!AB$5:AB$404,MATCH($K363,其他调用!$X$5:$X$404,0),0)</f>
        <v>10601.259605425033</v>
      </c>
      <c r="Y363" s="12">
        <f>MIN(INDEX(其他调用!$AI$5:$AI$364,MATCH($K363,其他调用!$AG$5:$AG$364,0),1)/INDEX(其他调用!AL$5:AL$364,MATCH($K363,其他调用!$AG$5:$AG$364,0),0),1)*INDEX(其他调用!AC$5:AC$404,MATCH($K363,其他调用!$X$5:$X$404,0),0)</f>
        <v>6714.7804133865111</v>
      </c>
      <c r="Z363" s="12">
        <f>求节点(节奏总纲!D$4:D$163,标准城池设计!AD$4:AD$163,$K363)*求节点(节奏总纲!D$4:D$163,攻城基础信息!$AE$5:$AE$164,$K363)</f>
        <v>1015242.2341736424</v>
      </c>
      <c r="AA363" s="12">
        <f>INDEX(其他调用!$AA$5:$AA$404,MATCH($K363,其他调用!$X$5:$X$404,0))*MIN(INDEX(其他调用!AJ$5:AJ$364,MATCH($K363,其他调用!$AG$5:$AG$364,0),1)/INDEX(其他调用!$AJ$5:$AJ$364,MATCH($K363,其他调用!$AG$5:$AG$364,0),0),5)*求节点(节奏总纲!D$4:D$163,攻城基础信息!$AE$5:$AE$164,$K363)</f>
        <v>161746.70663359115</v>
      </c>
      <c r="AB363" s="12">
        <f>MIN(INDEX(其他调用!$AJ$5:$AJ$364,MATCH($K363,其他调用!$AG$5:$AG$364,0),1)/INDEX(其他调用!AH$5:AH$364,MATCH($K363,其他调用!$AG$5:$AG$364,0),0),1)*INDEX(其他调用!Y$5:Y$404,MATCH($K363,其他调用!$X$5:$X$404,0),0)</f>
        <v>43496.45787311712</v>
      </c>
      <c r="AC363" s="12">
        <f>MIN(INDEX(其他调用!$AJ$5:$AJ$364,MATCH($K363,其他调用!$AG$5:$AG$364,0),1)/INDEX(其他调用!AI$5:AI$364,MATCH($K363,其他调用!$AG$5:$AG$364,0),0),1)*INDEX(其他调用!Z$5:Z$404,MATCH($K363,其他调用!$X$5:$X$404,0),0)</f>
        <v>44660.952702532471</v>
      </c>
      <c r="AD363" s="12">
        <f>MIN(INDEX(其他调用!$AJ$5:$AJ$364,MATCH($K363,其他调用!$AG$5:$AG$364,0),1)/INDEX(其他调用!AJ$5:AJ$364,MATCH($K363,其他调用!$AG$5:$AG$364,0),0),1)*INDEX(其他调用!AA$5:AA$404,MATCH($K363,其他调用!$X$5:$X$404,0),0)</f>
        <v>46213.344752454643</v>
      </c>
      <c r="AE363" s="12">
        <f>MIN(INDEX(其他调用!$AJ$5:$AJ$364,MATCH($K363,其他调用!$AG$5:$AG$364,0),1)/INDEX(其他调用!AK$5:AK$364,MATCH($K363,其他调用!$AG$5:$AG$364,0),0),1)*INDEX(其他调用!AB$5:AB$404,MATCH($K363,其他调用!$X$5:$X$404,0),0)</f>
        <v>19550.716271754241</v>
      </c>
      <c r="AF363" s="12">
        <f>MIN(INDEX(其他调用!$AJ$5:$AJ$364,MATCH($K363,其他调用!$AG$5:$AG$364,0),1)/INDEX(其他调用!AL$5:AL$364,MATCH($K363,其他调用!$AG$5:$AG$364,0),0),1)*INDEX(其他调用!AC$5:AC$404,MATCH($K363,其他调用!$X$5:$X$404,0),0)</f>
        <v>12383.3177919794</v>
      </c>
      <c r="AG363" s="12">
        <f>求节点(节奏总纲!D$4:D$163,标准城池设计!AE$4:AE$163,$K363)*求节点(节奏总纲!D$4:D$163,攻城基础信息!$AF$5:$AF$164,$K363)</f>
        <v>1191915.1235463277</v>
      </c>
      <c r="AH363" s="12">
        <f>INDEX(其他调用!$AA$5:$AA$404,MATCH($K363,其他调用!$X$5:$X$404,0))*MIN(INDEX(其他调用!AK$5:AK$364,MATCH($K363,其他调用!$AG$5:$AG$364,0),1)/INDEX(其他调用!$AJ$5:$AJ$364,MATCH($K363,其他调用!$AG$5:$AG$364,0),0),5)*求节点(节奏总纲!D$4:D$163,攻城基础信息!$AF$5:$AF$164,$K363)</f>
        <v>400864.20123321167</v>
      </c>
      <c r="AI363" s="12">
        <f>MIN(INDEX(其他调用!$AK$5:$AK$364,MATCH($K363,其他调用!$AG$5:$AG$364,0),1)/INDEX(其他调用!AH$5:AH$364,MATCH($K363,其他调用!$AG$5:$AG$364,0),0),1)*INDEX(其他调用!Y$5:Y$404,MATCH($K363,其他调用!$X$5:$X$404,0),0)</f>
        <v>43496.45787311712</v>
      </c>
      <c r="AJ363" s="12">
        <f>MIN(INDEX(其他调用!$AK$5:$AK$364,MATCH($K363,其他调用!$AG$5:$AG$364,0),1)/INDEX(其他调用!AI$5:AI$364,MATCH($K363,其他调用!$AG$5:$AG$364,0),0),1)*INDEX(其他调用!Z$5:Z$404,MATCH($K363,其他调用!$X$5:$X$404,0),0)</f>
        <v>44660.952702532471</v>
      </c>
      <c r="AK363" s="12">
        <f>MIN(INDEX(其他调用!$AK$5:$AK$364,MATCH($K363,其他调用!$AG$5:$AG$364,0),1)/INDEX(其他调用!AJ$5:AJ$364,MATCH($K363,其他调用!$AG$5:$AG$364,0),0),1)*INDEX(其他调用!AA$5:AA$404,MATCH($K363,其他调用!$X$5:$X$404,0),0)</f>
        <v>46213.344752454643</v>
      </c>
      <c r="AL363" s="12">
        <f>MIN(INDEX(其他调用!$AK$5:$AK$364,MATCH($K363,其他调用!$AG$5:$AG$364,0),1)/INDEX(其他调用!AK$5:AK$364,MATCH($K363,其他调用!$AG$5:$AG$364,0),0),1)*INDEX(其他调用!AB$5:AB$404,MATCH($K363,其他调用!$X$5:$X$404,0),0)</f>
        <v>48453.427120267013</v>
      </c>
      <c r="AM363" s="12">
        <f>MIN(INDEX(其他调用!$AK$5:$AK$364,MATCH($K363,其他调用!$AG$5:$AG$364,0),1)/INDEX(其他调用!AL$5:AL$364,MATCH($K363,其他调用!$AG$5:$AG$364,0),0),1)*INDEX(其他调用!AC$5:AC$404,MATCH($K363,其他调用!$X$5:$X$404,0),0)</f>
        <v>30690.138294710257</v>
      </c>
      <c r="AN363" s="12">
        <f>求节点(节奏总纲!D$4:D$163,标准城池设计!AF$4:AF$163,$K363)*求节点(节奏总纲!D$4:D$163,攻城基础信息!$AG$5:$AG$164,$K363)</f>
        <v>1228851.2839757372</v>
      </c>
      <c r="AO363" s="12">
        <f>INDEX(其他调用!$AA$5:$AA$404,MATCH($K363,其他调用!$X$5:$X$404,0))*MIN(INDEX(其他调用!AL$5:AL$364,MATCH($K363,其他调用!$AG$5:$AG$364,0),1)/INDEX(其他调用!$AJ$5:$AJ$364,MATCH($K363,其他调用!$AG$5:$AG$364,0),0),5)*求节点(节奏总纲!D$4:D$163,攻城基础信息!$AG$5:$AG$164,$K363)</f>
        <v>683583.98262216593</v>
      </c>
      <c r="AP363" s="12">
        <f>MIN(INDEX(其他调用!$AL$5:$AL$364,MATCH($K363,其他调用!$AG$5:$AG$364,0),1)/INDEX(其他调用!AH$5:AH$364,MATCH($K363,其他调用!$AG$5:$AG$364,0),0),1)*INDEX(其他调用!Y$5:Y$404,MATCH($K363,其他调用!$X$5:$X$404,0),0)</f>
        <v>43496.45787311712</v>
      </c>
      <c r="AQ363" s="12">
        <f>MIN(INDEX(其他调用!$AL$5:$AL$364,MATCH($K363,其他调用!$AG$5:$AG$364,0),1)/INDEX(其他调用!AI$5:AI$364,MATCH($K363,其他调用!$AG$5:$AG$364,0),0),1)*INDEX(其他调用!Z$5:Z$404,MATCH($K363,其他调用!$X$5:$X$404,0),0)</f>
        <v>44660.952702532471</v>
      </c>
      <c r="AR363" s="12">
        <f>MIN(INDEX(其他调用!$AL$5:$AL$364,MATCH($K363,其他调用!$AG$5:$AG$364,0),1)/INDEX(其他调用!AJ$5:AJ$364,MATCH($K363,其他调用!$AG$5:$AG$364,0),0),1)*INDEX(其他调用!AA$5:AA$404,MATCH($K363,其他调用!$X$5:$X$404,0),0)</f>
        <v>46213.344752454643</v>
      </c>
      <c r="AS363" s="12">
        <f>MIN(INDEX(其他调用!$AL$5:$AL$364,MATCH($K363,其他调用!$AG$5:$AG$364,0),1)/INDEX(其他调用!AK$5:AK$364,MATCH($K363,其他调用!$AG$5:$AG$364,0),0),1)*INDEX(其他调用!AB$5:AB$404,MATCH($K363,其他调用!$X$5:$X$404,0),0)</f>
        <v>48453.427120267013</v>
      </c>
      <c r="AT363" s="12">
        <f>MIN(INDEX(其他调用!$AL$5:$AL$364,MATCH($K363,其他调用!$AG$5:$AG$364,0),1)/INDEX(其他调用!AL$5:AL$364,MATCH($K363,其他调用!$AG$5:$AG$364,0),0),1)*INDEX(其他调用!AC$5:AC$404,MATCH($K363,其他调用!$X$5:$X$404,0),0)</f>
        <v>52335.14716001771</v>
      </c>
      <c r="AV363" s="14">
        <f>IF(OR(AV$5="大R",AV$5="超R"),MAX(INDEX(其他调用!$H$5:$L$404,MATCH($K363,其他调用!$B$5:$B$404,0),MATCH(AV$5,其他调用!$H$4:$L$4,0))*120*0.85,2),INDEX(其他调用!$H$5:$L$404,MATCH($K363,其他调用!$B$5:$B$404,0),MATCH(AV$5,其他调用!$H$4:$L$4,0))*120*0.85)</f>
        <v>48.921801254999991</v>
      </c>
      <c r="AW363" s="14">
        <f>IF(OR(AW$5="大R",AW$5="超R"),MAX(INDEX(其他调用!$H$5:$L$404,MATCH($K363,其他调用!$B$5:$B$404,0),MATCH(AW$5,其他调用!$H$4:$L$4,0))*120*0.85,2),INDEX(其他调用!$H$5:$L$404,MATCH($K363,其他调用!$B$5:$B$404,0),MATCH(AW$5,其他调用!$H$4:$L$4,0))*120*0.85)</f>
        <v>48.237344010638395</v>
      </c>
      <c r="AX363" s="14">
        <f>IF(OR(AX$5="大R",AX$5="超R"),MAX(INDEX(其他调用!$H$5:$L$404,MATCH($K363,其他调用!$B$5:$B$404,0),MATCH(AX$5,其他调用!$H$4:$L$4,0))*120*0.85,2),INDEX(其他调用!$H$5:$L$404,MATCH($K363,其他调用!$B$5:$B$404,0),MATCH(AX$5,其他调用!$H$4:$L$4,0))*120*0.85)</f>
        <v>3.9376284143615998</v>
      </c>
      <c r="AY363" s="14">
        <f>IF(OR(AY$5="大R",AY$5="超R"),MAX(INDEX(其他调用!$H$5:$L$404,MATCH($K363,其他调用!$B$5:$B$404,0),MATCH(AY$5,其他调用!$H$4:$L$4,0))*120*0.85,2),INDEX(其他调用!$H$5:$L$404,MATCH($K363,其他调用!$B$5:$B$404,0),MATCH(AY$5,其他调用!$H$4:$L$4,0))*120*0.85)</f>
        <v>2</v>
      </c>
      <c r="AZ363" s="14">
        <f>IF(OR(AZ$5="大R",AZ$5="超R"),MAX(INDEX(其他调用!$H$5:$L$404,MATCH($K363,其他调用!$B$5:$B$404,0),MATCH(AZ$5,其他调用!$H$4:$L$4,0))*120*0.85,2),INDEX(其他调用!$H$5:$L$404,MATCH($K363,其他调用!$B$5:$B$404,0),MATCH(AZ$5,其他调用!$H$4:$L$4,0))*120*0.85)</f>
        <v>2</v>
      </c>
      <c r="BA363" s="14">
        <f>INDEX(其他调用!$H$5:$L$404,MATCH($K363,其他调用!$B$5:$B$404,0),MATCH(BA$5,其他调用!$H$4:$L$4,0))*INDEX(其他调用!$M$5:$M$404,MATCH($K363,其他调用!$B$5:$B$404,0))*0.6</f>
        <v>28.777530149999997</v>
      </c>
      <c r="BB363" s="14">
        <f>INDEX(其他调用!$H$5:$L$404,MATCH($K363,其他调用!$B$5:$B$404,0),MATCH(BB$5,其他调用!$H$4:$L$4,0))*INDEX(其他调用!$M$5:$M$404,MATCH($K363,其他调用!$B$5:$B$404,0))*0.6</f>
        <v>28.374908241551999</v>
      </c>
      <c r="BC363" s="14">
        <f>INDEX(其他调用!$H$5:$L$404,MATCH($K363,其他调用!$B$5:$B$404,0),MATCH(BC$5,其他调用!$H$4:$L$4,0))*INDEX(其他调用!$M$5:$M$404,MATCH($K363,其他调用!$B$5:$B$404,0))*0.6</f>
        <v>2.3162520084480001</v>
      </c>
      <c r="BD363" s="14">
        <f>INDEX(其他调用!$H$5:$L$404,MATCH($K363,其他调用!$B$5:$B$404,0),MATCH(BD$5,其他调用!$H$4:$L$4,0))*INDEX(其他调用!$M$5:$M$404,MATCH($K363,其他调用!$B$5:$B$404,0))*0.6</f>
        <v>0.4120776000000001</v>
      </c>
      <c r="BE363" s="14">
        <f>INDEX(其他调用!$H$5:$L$404,MATCH($K363,其他调用!$B$5:$B$404,0),MATCH(BE$5,其他调用!$H$4:$L$4,0))*INDEX(其他调用!$M$5:$M$404,MATCH($K363,其他调用!$B$5:$B$404,0))*0.6</f>
        <v>0.11923199999999998</v>
      </c>
      <c r="BF363" s="14">
        <f>IF(OR(BF$5="大R",BF$5="超R"),0,INDEX(其他调用!$H$5:$L$404,MATCH($K363,其他调用!$B$5:$B$404,0),MATCH(BF$5,其他调用!$H$4:$L$4,0))*50*0.4)</f>
        <v>9.5925100500000013</v>
      </c>
      <c r="BG363" s="14">
        <f>IF(OR(BG$5="大R",BG$5="超R"),0,INDEX(其他调用!$H$5:$L$404,MATCH($K363,其他调用!$B$5:$B$404,0),MATCH(BG$5,其他调用!$H$4:$L$4,0))*50*0.4)</f>
        <v>9.4583027471839998</v>
      </c>
      <c r="BH363" s="14">
        <f>IF(OR(BH$5="大R",BH$5="超R"),0,INDEX(其他调用!$H$5:$L$404,MATCH($K363,其他调用!$B$5:$B$404,0),MATCH(BH$5,其他调用!$H$4:$L$4,0))*50*0.4)</f>
        <v>0.77208400281600009</v>
      </c>
      <c r="BI363" s="14">
        <f>IF(OR(BI$5="大R",BI$5="超R"),0,INDEX(其他调用!$H$5:$L$404,MATCH($K363,其他调用!$B$5:$B$404,0),MATCH(BI$5,其他调用!$H$4:$L$4,0))*50*0.4)</f>
        <v>0</v>
      </c>
      <c r="BJ363" s="14">
        <f>IF(OR(BJ$5="大R",BJ$5="超R"),0,INDEX(其他调用!$H$5:$L$404,MATCH($K363,其他调用!$B$5:$B$404,0),MATCH(BJ$5,其他调用!$H$4:$L$4,0))*50*0.4)</f>
        <v>0</v>
      </c>
      <c r="BL363" s="14">
        <f t="shared" si="628"/>
        <v>358</v>
      </c>
      <c r="BM363" s="14">
        <f t="shared" si="535"/>
        <v>96</v>
      </c>
      <c r="BN363" s="14">
        <f>('疲劳值&amp;地图信息'!$S$10*'疲劳值&amp;地图信息'!$R$10+'疲劳值&amp;地图信息'!$S$11*'疲劳值&amp;地图信息'!$R$11+'疲劳值&amp;地图信息'!$S$12*'疲劳值&amp;地图信息'!$R$12+(BM363-'疲劳值&amp;地图信息'!$S$12-'疲劳值&amp;地图信息'!$S$11-'疲劳值&amp;地图信息'!$S$10)*'疲劳值&amp;地图信息'!$R$13)/BM363</f>
        <v>51.371477246638619</v>
      </c>
      <c r="BO363" s="14">
        <f>INDEX(其他调用!$M$5:$M$404,MATCH(BL363,其他调用!$B$5:$B$404,0))*0.6</f>
        <v>60</v>
      </c>
      <c r="BP363" s="14">
        <f>IF(BO363&gt;SUM('疲劳值&amp;地图信息'!$S$10:$S$12),('疲劳值&amp;地图信息'!$S$10*'疲劳值&amp;地图信息'!$R$10+'疲劳值&amp;地图信息'!$S$11*'疲劳值&amp;地图信息'!$R$11+'疲劳值&amp;地图信息'!$S$12*'疲劳值&amp;地图信息'!$R$12+(BO363-'疲劳值&amp;地图信息'!$S$12-'疲劳值&amp;地图信息'!$S$11-'疲劳值&amp;地图信息'!$S$10)*'疲劳值&amp;地图信息'!$R$13)/BO363,('疲劳值&amp;地图信息'!$S$10*'疲劳值&amp;地图信息'!$R$10+'疲劳值&amp;地图信息'!$S$11*'疲劳值&amp;地图信息'!$R$11+'疲劳值&amp;地图信息'!$S$12*'疲劳值&amp;地图信息'!$R$12+(BO363-'疲劳值&amp;地图信息'!$S$12-'疲劳值&amp;地图信息'!$S$11-'疲劳值&amp;地图信息'!$S$10)*'疲劳值&amp;地图信息'!$R$13)/BO363)</f>
        <v>44.158136341605953</v>
      </c>
      <c r="BQ363" s="14">
        <f t="shared" si="629"/>
        <v>20</v>
      </c>
      <c r="BR363" s="14">
        <f>('疲劳值&amp;地图信息'!$S$10*'疲劳值&amp;地图信息'!$R$10+($BQ363-'疲劳值&amp;地图信息'!$S$10)*'疲劳值&amp;地图信息'!$R$11)/$BQ363</f>
        <v>32.067203015074995</v>
      </c>
      <c r="CF363" s="14">
        <v>358</v>
      </c>
      <c r="CG363" s="51">
        <f t="shared" si="536"/>
        <v>17301</v>
      </c>
      <c r="CH363" s="51">
        <f t="shared" si="537"/>
        <v>1021</v>
      </c>
      <c r="CI363" s="51">
        <f>INT(SUMPRODUCT($N363:$R363,$BA363:$BE363)/SUM($BA363:$BE363)/10000*$BX$7*$BZ$34/'疲劳值&amp;地图信息'!$R$10*$BY$53)</f>
        <v>3403</v>
      </c>
      <c r="CJ363" s="50">
        <f t="shared" si="538"/>
        <v>0.79636363636363638</v>
      </c>
      <c r="CK363" s="50">
        <f t="shared" si="539"/>
        <v>4.6996547756041424E-2</v>
      </c>
      <c r="CL363" s="50">
        <f t="shared" si="540"/>
        <v>0.15663981588032222</v>
      </c>
      <c r="CM363" s="14">
        <f t="shared" si="541"/>
        <v>18924</v>
      </c>
      <c r="CN363" s="14">
        <f t="shared" si="542"/>
        <v>1787</v>
      </c>
      <c r="CO363" s="14">
        <f>INT(SUMPRODUCT($U363:$Y363,$BA363:$BE363)/SUM($BA363:$BE363)/10000*$BX$7*$BZ$34/'疲劳值&amp;地图信息'!$R$10*$BY$54)</f>
        <v>6550</v>
      </c>
      <c r="CP363" s="50">
        <f t="shared" si="543"/>
        <v>0.6941784967536041</v>
      </c>
      <c r="CQ363" s="50">
        <f t="shared" si="544"/>
        <v>6.55515204871428E-2</v>
      </c>
      <c r="CR363" s="50">
        <f t="shared" si="545"/>
        <v>0.24026998275925315</v>
      </c>
      <c r="CS363" s="14">
        <f t="shared" si="546"/>
        <v>20691</v>
      </c>
      <c r="CT363" s="14">
        <f t="shared" si="547"/>
        <v>3296</v>
      </c>
      <c r="CU363" s="14">
        <f>INT(SUMPRODUCT($AB363:$AF363,$BA363:$BE363)/SUM($BA363:$BE363)/10000*$BX$7*$BZ$34/'疲劳值&amp;地图信息'!$R$10*$BY$55)</f>
        <v>8914</v>
      </c>
      <c r="CV363" s="50">
        <f t="shared" si="548"/>
        <v>0.62888665997993987</v>
      </c>
      <c r="CW363" s="50">
        <f t="shared" si="549"/>
        <v>0.10017932585635694</v>
      </c>
      <c r="CX363" s="50">
        <f t="shared" si="550"/>
        <v>0.27093401416370322</v>
      </c>
      <c r="CY363" s="14">
        <f t="shared" si="551"/>
        <v>24292</v>
      </c>
      <c r="CZ363" s="14">
        <f t="shared" si="552"/>
        <v>8170</v>
      </c>
      <c r="DA363" s="14">
        <f>INT(SUMPRODUCT($AI363:$AM363,$BA363:$BE363)/SUM($BA363:$BE363)/10000*$BX$7*$BZ$34/'疲劳值&amp;地图信息'!$R$10*$BY$56)</f>
        <v>13442</v>
      </c>
      <c r="DB363" s="50">
        <f t="shared" si="553"/>
        <v>0.52919135587312649</v>
      </c>
      <c r="DC363" s="50">
        <f t="shared" si="554"/>
        <v>0.17798013245033112</v>
      </c>
      <c r="DD363" s="50">
        <f t="shared" si="555"/>
        <v>0.29282851167654234</v>
      </c>
      <c r="DE363" s="14">
        <f t="shared" si="556"/>
        <v>25045</v>
      </c>
      <c r="DF363" s="14">
        <f t="shared" si="557"/>
        <v>13932</v>
      </c>
      <c r="DG363" s="14">
        <f>INT(SUMPRODUCT($AP363:$AT363,$BA363:$BE363)/SUM($BA363:$BE363)/10000*$BX$7*$BZ$34/'疲劳值&amp;地图信息'!$R$10*$BY$57)</f>
        <v>17940</v>
      </c>
      <c r="DH363" s="50">
        <f t="shared" si="558"/>
        <v>0.44002670555370099</v>
      </c>
      <c r="DI363" s="50">
        <f t="shared" si="559"/>
        <v>0.24477748300156368</v>
      </c>
      <c r="DJ363" s="50">
        <f t="shared" si="560"/>
        <v>0.3151958114447353</v>
      </c>
      <c r="DL363" s="14">
        <f t="shared" si="631"/>
        <v>21725</v>
      </c>
      <c r="DM363" s="14">
        <f t="shared" si="632"/>
        <v>27261</v>
      </c>
      <c r="DN363" s="14">
        <f t="shared" si="633"/>
        <v>32901</v>
      </c>
      <c r="DO363" s="14">
        <f t="shared" si="634"/>
        <v>45904</v>
      </c>
      <c r="DP363" s="14">
        <f t="shared" si="635"/>
        <v>56917</v>
      </c>
      <c r="DQ363" s="14">
        <f t="shared" si="636"/>
        <v>1500629</v>
      </c>
      <c r="DT363" s="14">
        <f t="shared" si="630"/>
        <v>235575</v>
      </c>
      <c r="DU363" s="50">
        <f t="shared" si="532"/>
        <v>0.13568394036645462</v>
      </c>
      <c r="DW363" s="14">
        <f t="shared" si="561"/>
        <v>1736204</v>
      </c>
      <c r="EB363" s="14">
        <v>358</v>
      </c>
      <c r="EC363" s="51">
        <f t="shared" si="562"/>
        <v>28836</v>
      </c>
      <c r="ED363" s="51">
        <f t="shared" si="563"/>
        <v>1703</v>
      </c>
      <c r="EE363" s="51">
        <f>INT(SUMPRODUCT($N363:$R363,$BF363:$BJ363)/SUM($BF363:$BJ363)/10000*$BX$7*$BZ$46/'疲劳值&amp;地图信息'!$R$10*$BY$53)</f>
        <v>457</v>
      </c>
      <c r="EF363" s="50">
        <f t="shared" si="564"/>
        <v>0.93031358885017423</v>
      </c>
      <c r="EG363" s="50">
        <f t="shared" si="565"/>
        <v>5.4942573235256163E-2</v>
      </c>
      <c r="EH363" s="50">
        <f t="shared" si="566"/>
        <v>1.4743837914569622E-2</v>
      </c>
      <c r="EI363" s="51">
        <f t="shared" si="567"/>
        <v>31540</v>
      </c>
      <c r="EJ363" s="51">
        <f t="shared" si="568"/>
        <v>2979</v>
      </c>
      <c r="EK363" s="14">
        <f>INT(SUMPRODUCT($U363:$Y363,$BF363:$BJ363)/SUM($BF363:$BJ363)/10000*$BX$7*$BZ$46/'疲劳值&amp;地图信息'!$R$10*$BY$54)</f>
        <v>879</v>
      </c>
      <c r="EL363" s="50">
        <f t="shared" si="569"/>
        <v>0.89101079157014518</v>
      </c>
      <c r="EM363" s="50">
        <f t="shared" si="570"/>
        <v>8.4157297022430647E-2</v>
      </c>
      <c r="EN363" s="50">
        <f t="shared" si="571"/>
        <v>2.4831911407424148E-2</v>
      </c>
      <c r="EO363" s="51">
        <f t="shared" si="572"/>
        <v>34486</v>
      </c>
      <c r="EP363" s="51">
        <f t="shared" si="573"/>
        <v>5494</v>
      </c>
      <c r="EQ363" s="14">
        <f>INT(SUMPRODUCT($AB363:$AF363,$BF363:$BJ363)/SUM($BF363:$BJ363)/10000*$BX$7*$BZ$46/'疲劳值&amp;地图信息'!$R$10*$BY$55)</f>
        <v>1194</v>
      </c>
      <c r="ER363" s="50">
        <f t="shared" si="574"/>
        <v>0.83756739690095694</v>
      </c>
      <c r="ES363" s="50">
        <f t="shared" si="575"/>
        <v>0.13343372030893283</v>
      </c>
      <c r="ET363" s="50">
        <f t="shared" si="576"/>
        <v>2.8998882790110262E-2</v>
      </c>
      <c r="EU363" s="51">
        <f t="shared" si="577"/>
        <v>40487</v>
      </c>
      <c r="EV363" s="51">
        <f t="shared" si="578"/>
        <v>13616</v>
      </c>
      <c r="EW363" s="14">
        <f>INT(SUMPRODUCT($AI363:$AM363,$BF363:$BJ363)/SUM($BF363:$BJ363)/10000*$BX$7*$BZ$46/'疲劳值&amp;地图信息'!$R$10*$BY$56)</f>
        <v>1792</v>
      </c>
      <c r="EX363" s="50">
        <f t="shared" si="579"/>
        <v>0.72434028088379998</v>
      </c>
      <c r="EY363" s="50">
        <f t="shared" si="580"/>
        <v>0.24359960640486628</v>
      </c>
      <c r="EZ363" s="50">
        <f t="shared" si="581"/>
        <v>3.2060112711333751E-2</v>
      </c>
      <c r="FA363" s="51">
        <f t="shared" si="582"/>
        <v>41742</v>
      </c>
      <c r="FB363" s="51">
        <f t="shared" si="583"/>
        <v>23220</v>
      </c>
      <c r="FC363" s="14">
        <f>INT(SUMPRODUCT($AP363:$AT363,$BF363:$BJ363)/SUM($BF363:$BJ363)/10000*$BX$7*$BZ$46/'疲劳值&amp;地图信息'!$R$10*$BY$57)</f>
        <v>2389</v>
      </c>
      <c r="FD363" s="50">
        <f t="shared" si="584"/>
        <v>0.61976808065210609</v>
      </c>
      <c r="FE363" s="50">
        <f t="shared" si="585"/>
        <v>0.34476102804709657</v>
      </c>
      <c r="FF363" s="50">
        <f t="shared" si="586"/>
        <v>3.5470891300797315E-2</v>
      </c>
      <c r="FH363" s="14">
        <f t="shared" si="587"/>
        <v>30996</v>
      </c>
      <c r="FI363" s="14">
        <f t="shared" si="588"/>
        <v>35398</v>
      </c>
      <c r="FJ363" s="14">
        <f t="shared" si="589"/>
        <v>41174</v>
      </c>
      <c r="FK363" s="14">
        <f t="shared" si="590"/>
        <v>55895</v>
      </c>
      <c r="FL363" s="14">
        <f t="shared" si="591"/>
        <v>67351</v>
      </c>
      <c r="FM363" s="14">
        <f t="shared" si="592"/>
        <v>3632505</v>
      </c>
      <c r="FP363" s="14">
        <f t="shared" si="593"/>
        <v>334150</v>
      </c>
      <c r="FQ363" s="50">
        <f t="shared" si="533"/>
        <v>8.4239743562270986E-2</v>
      </c>
      <c r="FS363" s="14">
        <f t="shared" si="594"/>
        <v>3966655</v>
      </c>
      <c r="FX363" s="14">
        <v>358</v>
      </c>
      <c r="FY363" s="51">
        <f t="shared" si="595"/>
        <v>40370</v>
      </c>
      <c r="FZ363" s="51">
        <f t="shared" si="596"/>
        <v>1703</v>
      </c>
      <c r="GA363" s="51">
        <f>INT(SUMPRODUCT($N363:$R363,$BF363:$BJ363)/SUM($BF363:$BJ363)/10000*$BX$7*$BZ$46/'疲劳值&amp;地图信息'!$R$10*$BY$53)</f>
        <v>457</v>
      </c>
      <c r="GB363" s="50">
        <f t="shared" si="597"/>
        <v>0.94921232071478956</v>
      </c>
      <c r="GC363" s="50">
        <f t="shared" si="598"/>
        <v>4.0042323066071007E-2</v>
      </c>
      <c r="GD363" s="50">
        <f t="shared" si="599"/>
        <v>1.0745356219139432E-2</v>
      </c>
      <c r="GE363" s="51">
        <f t="shared" si="600"/>
        <v>44156</v>
      </c>
      <c r="GF363" s="51">
        <f t="shared" si="601"/>
        <v>2979</v>
      </c>
      <c r="GG363" s="14">
        <f>INT(SUMPRODUCT($U363:$Y363,$BF363:$BJ363)/SUM($BF363:$BJ363)/10000*$BX$7*$BZ$46/'疲劳值&amp;地图信息'!$R$10*$BY$54)</f>
        <v>879</v>
      </c>
      <c r="GH363" s="50">
        <f t="shared" si="602"/>
        <v>0.91964843587287037</v>
      </c>
      <c r="GI363" s="50">
        <f t="shared" si="603"/>
        <v>6.2044403715582952E-2</v>
      </c>
      <c r="GJ363" s="50">
        <f t="shared" si="604"/>
        <v>1.8307160411546633E-2</v>
      </c>
      <c r="GK363" s="51">
        <f t="shared" si="605"/>
        <v>48281</v>
      </c>
      <c r="GL363" s="51">
        <f t="shared" si="606"/>
        <v>5494</v>
      </c>
      <c r="GM363" s="14">
        <f>INT(SUMPRODUCT($AB363:$AF363,$BF363:$BJ363)/SUM($BF363:$BJ363)/10000*$BX$7*$BZ$46/'疲劳值&amp;地图信息'!$R$10*$BY$55)</f>
        <v>1194</v>
      </c>
      <c r="GN363" s="50">
        <f t="shared" si="607"/>
        <v>0.87833142316578439</v>
      </c>
      <c r="GO363" s="50">
        <f t="shared" si="608"/>
        <v>9.9947242991504301E-2</v>
      </c>
      <c r="GP363" s="50">
        <f t="shared" si="609"/>
        <v>2.1721333842711348E-2</v>
      </c>
      <c r="GQ363" s="51">
        <f t="shared" si="610"/>
        <v>56683</v>
      </c>
      <c r="GR363" s="51">
        <f t="shared" si="611"/>
        <v>13616</v>
      </c>
      <c r="GS363" s="14">
        <f>INT(SUMPRODUCT($AI363:$AM363,$BF363:$BJ363)/SUM($BF363:$BJ363)/10000*$BX$7*$BZ$46/'疲劳值&amp;地图信息'!$R$10*$BY$56)</f>
        <v>1792</v>
      </c>
      <c r="GT363" s="50">
        <f t="shared" si="612"/>
        <v>0.78627013080689689</v>
      </c>
      <c r="GU363" s="50">
        <f t="shared" si="613"/>
        <v>0.18887239738663633</v>
      </c>
      <c r="GV363" s="50">
        <f t="shared" si="614"/>
        <v>2.4857471806466826E-2</v>
      </c>
      <c r="GW363" s="51">
        <f t="shared" si="615"/>
        <v>58439</v>
      </c>
      <c r="GX363" s="51">
        <f t="shared" si="616"/>
        <v>23220</v>
      </c>
      <c r="GY363" s="14">
        <f>INT(SUMPRODUCT($AP363:$AT363,$BF363:$BJ363)/SUM($BF363:$BJ363)/10000*$BX$7*$BZ$46/'疲劳值&amp;地图信息'!$R$10*$BY$57)</f>
        <v>2389</v>
      </c>
      <c r="GZ363" s="50">
        <f t="shared" si="617"/>
        <v>0.6953050637730821</v>
      </c>
      <c r="HA363" s="50">
        <f t="shared" si="618"/>
        <v>0.27627070245573959</v>
      </c>
      <c r="HB363" s="50">
        <f t="shared" si="619"/>
        <v>2.8424233771178375E-2</v>
      </c>
      <c r="HD363" s="14">
        <f t="shared" si="620"/>
        <v>42530</v>
      </c>
      <c r="HE363" s="14">
        <f t="shared" si="621"/>
        <v>48014</v>
      </c>
      <c r="HF363" s="14">
        <f t="shared" si="622"/>
        <v>54969</v>
      </c>
      <c r="HG363" s="14">
        <f t="shared" si="623"/>
        <v>72091</v>
      </c>
      <c r="HH363" s="14">
        <f t="shared" si="624"/>
        <v>84048</v>
      </c>
      <c r="HI363" s="14">
        <f t="shared" si="625"/>
        <v>4925437</v>
      </c>
      <c r="HL363" s="14">
        <f t="shared" si="626"/>
        <v>430050</v>
      </c>
      <c r="HM363" s="50">
        <f t="shared" si="534"/>
        <v>8.0300820448261756E-2</v>
      </c>
      <c r="HO363" s="14">
        <f t="shared" si="627"/>
        <v>5355487</v>
      </c>
    </row>
    <row r="364" spans="11:223" x14ac:dyDescent="0.2">
      <c r="K364" s="14">
        <v>359</v>
      </c>
      <c r="L364" s="12">
        <f>求节点(节奏总纲!D$4:D$163,标准城池设计!AB$4:AB$163,$K364)*求节点(节奏总纲!D$4:D$163,攻城基础信息!$AC$5:$AC$164,$K364)</f>
        <v>850002.95050220389</v>
      </c>
      <c r="M364" s="12">
        <f>INDEX(其他调用!$AA$5:$AA$404,MATCH(K364,其他调用!$X$5:$X$404,0))*MIN(INDEX(其他调用!$AH$5:$AH$364,MATCH('征服点（新）'!K364,其他调用!$AG$5:$AG$364,0),1)/INDEX(其他调用!$AJ$5:$AJ$364,MATCH(K364,其他调用!$AG$5:$AG$364,0),0),5)*求节点(节奏总纲!D$4:D$163,攻城基础信息!$AC$5:$AC$164,$K364)</f>
        <v>50086.688831905667</v>
      </c>
      <c r="N364" s="12">
        <f>MIN(INDEX(其他调用!$AH$5:$AH$364,MATCH($K364,其他调用!$AG$5:$AG$364,0),1)/INDEX(其他调用!AH$5:AH$364,MATCH($K364,其他调用!$AG$5:$AG$364,0),0),1)*INDEX(其他调用!Y$5:Y$404,MATCH($K364,其他调用!$X$5:$X$404,0),0)</f>
        <v>43512.96584502951</v>
      </c>
      <c r="O364" s="12">
        <f>MIN(INDEX(其他调用!$AH$5:$AH$364,MATCH($K364,其他调用!$AG$5:$AG$364,0),1)/INDEX(其他调用!AI$5:AI$364,MATCH($K364,其他调用!$AG$5:$AG$364,0),0),1)*INDEX(其他调用!Z$5:Z$404,MATCH($K364,其他调用!$X$5:$X$404,0),0)</f>
        <v>25540.084317014582</v>
      </c>
      <c r="P364" s="12">
        <f>MIN(INDEX(其他调用!$AH$5:$AH$364,MATCH($K364,其他调用!$AG$5:$AG$364,0),1)/INDEX(其他调用!AJ$5:AJ$364,MATCH($K364,其他调用!$AG$5:$AG$364,0),0),1)*INDEX(其他调用!AA$5:AA$404,MATCH($K364,其他调用!$X$5:$X$404,0),0)</f>
        <v>14310.482523401628</v>
      </c>
      <c r="Q364" s="12">
        <f>MIN(INDEX(其他调用!$AH$5:$AH$364,MATCH($K364,其他调用!$AG$5:$AG$364,0),1)/INDEX(其他调用!AK$5:AK$364,MATCH($K364,其他调用!$AG$5:$AG$364,0),0),1)*INDEX(其他调用!AB$5:AB$404,MATCH($K364,其他调用!$X$5:$X$404,0),0)</f>
        <v>6069.4092399302317</v>
      </c>
      <c r="R364" s="12">
        <f>MIN(INDEX(其他调用!$AH$5:$AH$364,MATCH($K364,其他调用!$AG$5:$AG$364,0),1)/INDEX(其他调用!AL$5:AL$364,MATCH($K364,其他调用!$AG$5:$AG$364,0),0),1)*INDEX(其他调用!AC$5:AC$404,MATCH($K364,其他调用!$X$5:$X$404,0),0)</f>
        <v>3845.96425510464</v>
      </c>
      <c r="S364" s="12">
        <f>求节点(节奏总纲!D$4:D$163,标准城池设计!AC$4:AC$163,$K364)*求节点(节奏总纲!D$4:D$163,攻城基础信息!$AD$5:$AD$164,$K364)</f>
        <v>929595.22618724813</v>
      </c>
      <c r="T364" s="12">
        <f>INDEX(其他调用!$AA$5:$AA$404,MATCH($K364,其他调用!$X$5:$X$404,0))*MIN(INDEX(其他调用!AI$5:AI$364,MATCH($K364,其他调用!$AG$5:$AG$364,0),1)/INDEX(其他调用!$AJ$5:$AJ$364,MATCH($K364,其他调用!$AG$5:$AG$364,0),0),5)*求节点(节奏总纲!D$4:D$163,攻城基础信息!$AD$5:$AD$164,$K364)</f>
        <v>87615.515830855555</v>
      </c>
      <c r="U364" s="12">
        <f>MIN(INDEX(其他调用!$AI$5:$AI$364,MATCH($K364,其他调用!$AG$5:$AG$364,0),1)/INDEX(其他调用!AH$5:AH$364,MATCH($K364,其他调用!$AG$5:$AG$364,0),0),1)*INDEX(其他调用!Y$5:Y$404,MATCH($K364,其他调用!$X$5:$X$404,0),0)</f>
        <v>43512.96584502951</v>
      </c>
      <c r="V364" s="12">
        <f>MIN(INDEX(其他调用!$AI$5:$AI$364,MATCH($K364,其他调用!$AG$5:$AG$364,0),1)/INDEX(其他调用!AI$5:AI$364,MATCH($K364,其他调用!$AG$5:$AG$364,0),0),1)*INDEX(其他调用!Z$5:Z$404,MATCH($K364,其他调用!$X$5:$X$404,0),0)</f>
        <v>44676.693827948489</v>
      </c>
      <c r="W364" s="12">
        <f>MIN(INDEX(其他调用!$AI$5:$AI$364,MATCH($K364,其他调用!$AG$5:$AG$364,0),1)/INDEX(其他调用!AJ$5:AJ$364,MATCH($K364,其他调用!$AG$5:$AG$364,0),0),1)*INDEX(其他调用!AA$5:AA$404,MATCH($K364,其他调用!$X$5:$X$404,0),0)</f>
        <v>25033.004523101605</v>
      </c>
      <c r="X364" s="12">
        <f>MIN(INDEX(其他调用!$AI$5:$AI$364,MATCH($K364,其他调用!$AG$5:$AG$364,0),1)/INDEX(其他调用!AK$5:AK$364,MATCH($K364,其他调用!$AG$5:$AG$364,0),0),1)*INDEX(其他调用!AB$5:AB$404,MATCH($K364,其他调用!$X$5:$X$404,0),0)</f>
        <v>10617.080780279155</v>
      </c>
      <c r="Y364" s="12">
        <f>MIN(INDEX(其他调用!$AI$5:$AI$364,MATCH($K364,其他调用!$AG$5:$AG$364,0),1)/INDEX(其他调用!AL$5:AL$364,MATCH($K364,其他调用!$AG$5:$AG$364,0),0),1)*INDEX(其他调用!AC$5:AC$404,MATCH($K364,其他调用!$X$5:$X$404,0),0)</f>
        <v>6727.6585842778795</v>
      </c>
      <c r="Z364" s="12">
        <f>求节点(节奏总纲!D$4:D$163,标准城池设计!AD$4:AD$163,$K364)*求节点(节奏总纲!D$4:D$163,攻城基础信息!$AE$5:$AE$164,$K364)</f>
        <v>1016597.9580470191</v>
      </c>
      <c r="AA364" s="12">
        <f>INDEX(其他调用!$AA$5:$AA$404,MATCH($K364,其他调用!$X$5:$X$404,0))*MIN(INDEX(其他调用!AJ$5:AJ$364,MATCH($K364,其他调用!$AG$5:$AG$364,0),1)/INDEX(其他调用!$AJ$5:$AJ$364,MATCH($K364,其他调用!$AG$5:$AG$364,0),0),5)*求节点(节奏总纲!D$4:D$163,攻城基础信息!$AE$5:$AE$164,$K364)</f>
        <v>161801.44036899239</v>
      </c>
      <c r="AB364" s="12">
        <f>MIN(INDEX(其他调用!$AJ$5:$AJ$364,MATCH($K364,其他调用!$AG$5:$AG$364,0),1)/INDEX(其他调用!AH$5:AH$364,MATCH($K364,其他调用!$AG$5:$AG$364,0),0),1)*INDEX(其他调用!Y$5:Y$404,MATCH($K364,其他调用!$X$5:$X$404,0),0)</f>
        <v>43512.96584502951</v>
      </c>
      <c r="AC364" s="12">
        <f>MIN(INDEX(其他调用!$AJ$5:$AJ$364,MATCH($K364,其他调用!$AG$5:$AG$364,0),1)/INDEX(其他调用!AI$5:AI$364,MATCH($K364,其他调用!$AG$5:$AG$364,0),0),1)*INDEX(其他调用!Z$5:Z$404,MATCH($K364,其他调用!$X$5:$X$404,0),0)</f>
        <v>44676.693827948489</v>
      </c>
      <c r="AD364" s="12">
        <f>MIN(INDEX(其他调用!$AJ$5:$AJ$364,MATCH($K364,其他调用!$AG$5:$AG$364,0),1)/INDEX(其他调用!AJ$5:AJ$364,MATCH($K364,其他调用!$AG$5:$AG$364,0),0),1)*INDEX(其他调用!AA$5:AA$404,MATCH($K364,其他调用!$X$5:$X$404,0),0)</f>
        <v>46228.982962569287</v>
      </c>
      <c r="AE364" s="12">
        <f>MIN(INDEX(其他调用!$AJ$5:$AJ$364,MATCH($K364,其他调用!$AG$5:$AG$364,0),1)/INDEX(其他调用!AK$5:AK$364,MATCH($K364,其他调用!$AG$5:$AG$364,0),0),1)*INDEX(其他调用!AB$5:AB$404,MATCH($K364,其他调用!$X$5:$X$404,0),0)</f>
        <v>19606.789350866715</v>
      </c>
      <c r="AF364" s="12">
        <f>MIN(INDEX(其他调用!$AJ$5:$AJ$364,MATCH($K364,其他调用!$AG$5:$AG$364,0),1)/INDEX(其他调用!AL$5:AL$364,MATCH($K364,其他调用!$AG$5:$AG$364,0),0),1)*INDEX(其他调用!AC$5:AC$404,MATCH($K364,其他调用!$X$5:$X$404,0),0)</f>
        <v>12424.110489156354</v>
      </c>
      <c r="AG364" s="12">
        <f>求节点(节奏总纲!D$4:D$163,标准城池设计!AE$4:AE$163,$K364)*求节点(节奏总纲!D$4:D$163,攻城基础信息!$AF$5:$AF$164,$K364)</f>
        <v>1192628.1345281685</v>
      </c>
      <c r="AH364" s="12">
        <f>INDEX(其他调用!$AA$5:$AA$404,MATCH($K364,其他调用!$X$5:$X$404,0))*MIN(INDEX(其他调用!AK$5:AK$364,MATCH($K364,其他调用!$AG$5:$AG$364,0),1)/INDEX(其他调用!$AJ$5:$AJ$364,MATCH($K364,其他调用!$AG$5:$AG$364,0),0),5)*求节点(节奏总纲!D$4:D$163,攻城基础信息!$AF$5:$AF$164,$K364)</f>
        <v>399983.16449301579</v>
      </c>
      <c r="AI364" s="12">
        <f>MIN(INDEX(其他调用!$AK$5:$AK$364,MATCH($K364,其他调用!$AG$5:$AG$364,0),1)/INDEX(其他调用!AH$5:AH$364,MATCH($K364,其他调用!$AG$5:$AG$364,0),0),1)*INDEX(其他调用!Y$5:Y$404,MATCH($K364,其他调用!$X$5:$X$404,0),0)</f>
        <v>43512.96584502951</v>
      </c>
      <c r="AJ364" s="12">
        <f>MIN(INDEX(其他调用!$AK$5:$AK$364,MATCH($K364,其他调用!$AG$5:$AG$364,0),1)/INDEX(其他调用!AI$5:AI$364,MATCH($K364,其他调用!$AG$5:$AG$364,0),0),1)*INDEX(其他调用!Z$5:Z$404,MATCH($K364,其他调用!$X$5:$X$404,0),0)</f>
        <v>44676.693827948489</v>
      </c>
      <c r="AK364" s="12">
        <f>MIN(INDEX(其他调用!$AK$5:$AK$364,MATCH($K364,其他调用!$AG$5:$AG$364,0),1)/INDEX(其他调用!AJ$5:AJ$364,MATCH($K364,其他调用!$AG$5:$AG$364,0),0),1)*INDEX(其他调用!AA$5:AA$404,MATCH($K364,其他调用!$X$5:$X$404,0),0)</f>
        <v>46228.982962569287</v>
      </c>
      <c r="AL364" s="12">
        <f>MIN(INDEX(其他调用!$AK$5:$AK$364,MATCH($K364,其他调用!$AG$5:$AG$364,0),1)/INDEX(其他调用!AK$5:AK$364,MATCH($K364,其他调用!$AG$5:$AG$364,0),0),1)*INDEX(其他调用!AB$5:AB$404,MATCH($K364,其他调用!$X$5:$X$404,0),0)</f>
        <v>48469.195528932665</v>
      </c>
      <c r="AM364" s="12">
        <f>MIN(INDEX(其他调用!$AK$5:$AK$364,MATCH($K364,其他调用!$AG$5:$AG$364,0),1)/INDEX(其他调用!AL$5:AL$364,MATCH($K364,其他调用!$AG$5:$AG$364,0),0),1)*INDEX(其他调用!AC$5:AC$404,MATCH($K364,其他调用!$X$5:$X$404,0),0)</f>
        <v>30713.169290277656</v>
      </c>
      <c r="AN364" s="12">
        <f>求节点(节奏总纲!D$4:D$163,标准城池设计!AF$4:AF$163,$K364)*求节点(节奏总纲!D$4:D$163,攻城基础信息!$AG$5:$AG$164,$K364)</f>
        <v>1229534.2651001972</v>
      </c>
      <c r="AO364" s="12">
        <f>INDEX(其他调用!$AA$5:$AA$404,MATCH($K364,其他调用!$X$5:$X$404,0))*MIN(INDEX(其他调用!AL$5:AL$364,MATCH($K364,其他调用!$AG$5:$AG$364,0),1)/INDEX(其他调用!$AJ$5:$AJ$364,MATCH($K364,其他调用!$AG$5:$AG$364,0),0),5)*求节点(节奏总纲!D$4:D$163,攻城基础信息!$AG$5:$AG$164,$K364)</f>
        <v>681783.36319753958</v>
      </c>
      <c r="AP364" s="12">
        <f>MIN(INDEX(其他调用!$AL$5:$AL$364,MATCH($K364,其他调用!$AG$5:$AG$364,0),1)/INDEX(其他调用!AH$5:AH$364,MATCH($K364,其他调用!$AG$5:$AG$364,0),0),1)*INDEX(其他调用!Y$5:Y$404,MATCH($K364,其他调用!$X$5:$X$404,0),0)</f>
        <v>43512.96584502951</v>
      </c>
      <c r="AQ364" s="12">
        <f>MIN(INDEX(其他调用!$AL$5:$AL$364,MATCH($K364,其他调用!$AG$5:$AG$364,0),1)/INDEX(其他调用!AI$5:AI$364,MATCH($K364,其他调用!$AG$5:$AG$364,0),0),1)*INDEX(其他调用!Z$5:Z$404,MATCH($K364,其他调用!$X$5:$X$404,0),0)</f>
        <v>44676.693827948489</v>
      </c>
      <c r="AR364" s="12">
        <f>MIN(INDEX(其他调用!$AL$5:$AL$364,MATCH($K364,其他调用!$AG$5:$AG$364,0),1)/INDEX(其他调用!AJ$5:AJ$364,MATCH($K364,其他调用!$AG$5:$AG$364,0),0),1)*INDEX(其他调用!AA$5:AA$404,MATCH($K364,其他调用!$X$5:$X$404,0),0)</f>
        <v>46228.982962569287</v>
      </c>
      <c r="AS364" s="12">
        <f>MIN(INDEX(其他调用!$AL$5:$AL$364,MATCH($K364,其他调用!$AG$5:$AG$364,0),1)/INDEX(其他调用!AK$5:AK$364,MATCH($K364,其他调用!$AG$5:$AG$364,0),0),1)*INDEX(其他调用!AB$5:AB$404,MATCH($K364,其他调用!$X$5:$X$404,0),0)</f>
        <v>48469.195528932665</v>
      </c>
      <c r="AT364" s="12">
        <f>MIN(INDEX(其他调用!$AL$5:$AL$364,MATCH($K364,其他调用!$AG$5:$AG$364,0),1)/INDEX(其他调用!AL$5:AL$364,MATCH($K364,其他调用!$AG$5:$AG$364,0),0),1)*INDEX(其他调用!AC$5:AC$404,MATCH($K364,其他调用!$X$5:$X$404,0),0)</f>
        <v>52351.523044031826</v>
      </c>
      <c r="AV364" s="14">
        <f>IF(OR(AV$5="大R",AV$5="超R"),MAX(INDEX(其他调用!$H$5:$L$404,MATCH($K364,其他调用!$B$5:$B$404,0),MATCH(AV$5,其他调用!$H$4:$L$4,0))*120*0.85,2),INDEX(其他调用!$H$5:$L$404,MATCH($K364,其他调用!$B$5:$B$404,0),MATCH(AV$5,其他调用!$H$4:$L$4,0))*120*0.85)</f>
        <v>48.921801254999991</v>
      </c>
      <c r="AW364" s="14">
        <f>IF(OR(AW$5="大R",AW$5="超R"),MAX(INDEX(其他调用!$H$5:$L$404,MATCH($K364,其他调用!$B$5:$B$404,0),MATCH(AW$5,其他调用!$H$4:$L$4,0))*120*0.85,2),INDEX(其他调用!$H$5:$L$404,MATCH($K364,其他调用!$B$5:$B$404,0),MATCH(AW$5,其他调用!$H$4:$L$4,0))*120*0.85)</f>
        <v>48.237344010638395</v>
      </c>
      <c r="AX364" s="14">
        <f>IF(OR(AX$5="大R",AX$5="超R"),MAX(INDEX(其他调用!$H$5:$L$404,MATCH($K364,其他调用!$B$5:$B$404,0),MATCH(AX$5,其他调用!$H$4:$L$4,0))*120*0.85,2),INDEX(其他调用!$H$5:$L$404,MATCH($K364,其他调用!$B$5:$B$404,0),MATCH(AX$5,其他调用!$H$4:$L$4,0))*120*0.85)</f>
        <v>3.9376284143615998</v>
      </c>
      <c r="AY364" s="14">
        <f>IF(OR(AY$5="大R",AY$5="超R"),MAX(INDEX(其他调用!$H$5:$L$404,MATCH($K364,其他调用!$B$5:$B$404,0),MATCH(AY$5,其他调用!$H$4:$L$4,0))*120*0.85,2),INDEX(其他调用!$H$5:$L$404,MATCH($K364,其他调用!$B$5:$B$404,0),MATCH(AY$5,其他调用!$H$4:$L$4,0))*120*0.85)</f>
        <v>2</v>
      </c>
      <c r="AZ364" s="14">
        <f>IF(OR(AZ$5="大R",AZ$5="超R"),MAX(INDEX(其他调用!$H$5:$L$404,MATCH($K364,其他调用!$B$5:$B$404,0),MATCH(AZ$5,其他调用!$H$4:$L$4,0))*120*0.85,2),INDEX(其他调用!$H$5:$L$404,MATCH($K364,其他调用!$B$5:$B$404,0),MATCH(AZ$5,其他调用!$H$4:$L$4,0))*120*0.85)</f>
        <v>2</v>
      </c>
      <c r="BA364" s="14">
        <f>INDEX(其他调用!$H$5:$L$404,MATCH($K364,其他调用!$B$5:$B$404,0),MATCH(BA$5,其他调用!$H$4:$L$4,0))*INDEX(其他调用!$M$5:$M$404,MATCH($K364,其他调用!$B$5:$B$404,0))*0.6</f>
        <v>28.777530149999997</v>
      </c>
      <c r="BB364" s="14">
        <f>INDEX(其他调用!$H$5:$L$404,MATCH($K364,其他调用!$B$5:$B$404,0),MATCH(BB$5,其他调用!$H$4:$L$4,0))*INDEX(其他调用!$M$5:$M$404,MATCH($K364,其他调用!$B$5:$B$404,0))*0.6</f>
        <v>28.374908241551999</v>
      </c>
      <c r="BC364" s="14">
        <f>INDEX(其他调用!$H$5:$L$404,MATCH($K364,其他调用!$B$5:$B$404,0),MATCH(BC$5,其他调用!$H$4:$L$4,0))*INDEX(其他调用!$M$5:$M$404,MATCH($K364,其他调用!$B$5:$B$404,0))*0.6</f>
        <v>2.3162520084480001</v>
      </c>
      <c r="BD364" s="14">
        <f>INDEX(其他调用!$H$5:$L$404,MATCH($K364,其他调用!$B$5:$B$404,0),MATCH(BD$5,其他调用!$H$4:$L$4,0))*INDEX(其他调用!$M$5:$M$404,MATCH($K364,其他调用!$B$5:$B$404,0))*0.6</f>
        <v>0.4120776000000001</v>
      </c>
      <c r="BE364" s="14">
        <f>INDEX(其他调用!$H$5:$L$404,MATCH($K364,其他调用!$B$5:$B$404,0),MATCH(BE$5,其他调用!$H$4:$L$4,0))*INDEX(其他调用!$M$5:$M$404,MATCH($K364,其他调用!$B$5:$B$404,0))*0.6</f>
        <v>0.11923199999999998</v>
      </c>
      <c r="BF364" s="14">
        <f>IF(OR(BF$5="大R",BF$5="超R"),0,INDEX(其他调用!$H$5:$L$404,MATCH($K364,其他调用!$B$5:$B$404,0),MATCH(BF$5,其他调用!$H$4:$L$4,0))*50*0.4)</f>
        <v>9.5925100500000013</v>
      </c>
      <c r="BG364" s="14">
        <f>IF(OR(BG$5="大R",BG$5="超R"),0,INDEX(其他调用!$H$5:$L$404,MATCH($K364,其他调用!$B$5:$B$404,0),MATCH(BG$5,其他调用!$H$4:$L$4,0))*50*0.4)</f>
        <v>9.4583027471839998</v>
      </c>
      <c r="BH364" s="14">
        <f>IF(OR(BH$5="大R",BH$5="超R"),0,INDEX(其他调用!$H$5:$L$404,MATCH($K364,其他调用!$B$5:$B$404,0),MATCH(BH$5,其他调用!$H$4:$L$4,0))*50*0.4)</f>
        <v>0.77208400281600009</v>
      </c>
      <c r="BI364" s="14">
        <f>IF(OR(BI$5="大R",BI$5="超R"),0,INDEX(其他调用!$H$5:$L$404,MATCH($K364,其他调用!$B$5:$B$404,0),MATCH(BI$5,其他调用!$H$4:$L$4,0))*50*0.4)</f>
        <v>0</v>
      </c>
      <c r="BJ364" s="14">
        <f>IF(OR(BJ$5="大R",BJ$5="超R"),0,INDEX(其他调用!$H$5:$L$404,MATCH($K364,其他调用!$B$5:$B$404,0),MATCH(BJ$5,其他调用!$H$4:$L$4,0))*50*0.4)</f>
        <v>0</v>
      </c>
      <c r="BL364" s="14">
        <f t="shared" si="628"/>
        <v>359</v>
      </c>
      <c r="BM364" s="14">
        <f t="shared" si="535"/>
        <v>96</v>
      </c>
      <c r="BN364" s="14">
        <f>('疲劳值&amp;地图信息'!$S$10*'疲劳值&amp;地图信息'!$R$10+'疲劳值&amp;地图信息'!$S$11*'疲劳值&amp;地图信息'!$R$11+'疲劳值&amp;地图信息'!$S$12*'疲劳值&amp;地图信息'!$R$12+(BM364-'疲劳值&amp;地图信息'!$S$12-'疲劳值&amp;地图信息'!$S$11-'疲劳值&amp;地图信息'!$S$10)*'疲劳值&amp;地图信息'!$R$13)/BM364</f>
        <v>51.371477246638619</v>
      </c>
      <c r="BO364" s="14">
        <f>INDEX(其他调用!$M$5:$M$404,MATCH(BL364,其他调用!$B$5:$B$404,0))*0.6</f>
        <v>60</v>
      </c>
      <c r="BP364" s="14">
        <f>IF(BO364&gt;SUM('疲劳值&amp;地图信息'!$S$10:$S$12),('疲劳值&amp;地图信息'!$S$10*'疲劳值&amp;地图信息'!$R$10+'疲劳值&amp;地图信息'!$S$11*'疲劳值&amp;地图信息'!$R$11+'疲劳值&amp;地图信息'!$S$12*'疲劳值&amp;地图信息'!$R$12+(BO364-'疲劳值&amp;地图信息'!$S$12-'疲劳值&amp;地图信息'!$S$11-'疲劳值&amp;地图信息'!$S$10)*'疲劳值&amp;地图信息'!$R$13)/BO364,('疲劳值&amp;地图信息'!$S$10*'疲劳值&amp;地图信息'!$R$10+'疲劳值&amp;地图信息'!$S$11*'疲劳值&amp;地图信息'!$R$11+'疲劳值&amp;地图信息'!$S$12*'疲劳值&amp;地图信息'!$R$12+(BO364-'疲劳值&amp;地图信息'!$S$12-'疲劳值&amp;地图信息'!$S$11-'疲劳值&amp;地图信息'!$S$10)*'疲劳值&amp;地图信息'!$R$13)/BO364)</f>
        <v>44.158136341605953</v>
      </c>
      <c r="BQ364" s="14">
        <f t="shared" si="629"/>
        <v>20</v>
      </c>
      <c r="BR364" s="14">
        <f>('疲劳值&amp;地图信息'!$S$10*'疲劳值&amp;地图信息'!$R$10+($BQ364-'疲劳值&amp;地图信息'!$S$10)*'疲劳值&amp;地图信息'!$R$11)/$BQ364</f>
        <v>32.067203015074995</v>
      </c>
      <c r="CF364" s="14">
        <v>359</v>
      </c>
      <c r="CG364" s="51">
        <f t="shared" si="536"/>
        <v>17324</v>
      </c>
      <c r="CH364" s="51">
        <f t="shared" si="537"/>
        <v>1020</v>
      </c>
      <c r="CI364" s="51">
        <f>INT(SUMPRODUCT($N364:$R364,$BA364:$BE364)/SUM($BA364:$BE364)/10000*$BX$7*$BZ$34/'疲劳值&amp;地图信息'!$R$10*$BY$53)</f>
        <v>3404</v>
      </c>
      <c r="CJ364" s="50">
        <f t="shared" si="538"/>
        <v>0.79657899576972591</v>
      </c>
      <c r="CK364" s="50">
        <f t="shared" si="539"/>
        <v>4.6900864447305499E-2</v>
      </c>
      <c r="CL364" s="50">
        <f t="shared" si="540"/>
        <v>0.15652013978296855</v>
      </c>
      <c r="CM364" s="14">
        <f t="shared" si="541"/>
        <v>18946</v>
      </c>
      <c r="CN364" s="14">
        <f t="shared" si="542"/>
        <v>1785</v>
      </c>
      <c r="CO364" s="14">
        <f>INT(SUMPRODUCT($U364:$Y364,$BA364:$BE364)/SUM($BA364:$BE364)/10000*$BX$7*$BZ$34/'疲劳值&amp;地图信息'!$R$10*$BY$54)</f>
        <v>6552</v>
      </c>
      <c r="CP364" s="50">
        <f t="shared" si="543"/>
        <v>0.69442509987904555</v>
      </c>
      <c r="CQ364" s="50">
        <f t="shared" si="544"/>
        <v>6.5425356449070854E-2</v>
      </c>
      <c r="CR364" s="50">
        <f t="shared" si="545"/>
        <v>0.2401495436718836</v>
      </c>
      <c r="CS364" s="14">
        <f t="shared" si="546"/>
        <v>20719</v>
      </c>
      <c r="CT364" s="14">
        <f t="shared" si="547"/>
        <v>3297</v>
      </c>
      <c r="CU364" s="14">
        <f>INT(SUMPRODUCT($AB364:$AF364,$BA364:$BE364)/SUM($BA364:$BE364)/10000*$BX$7*$BZ$34/'疲劳值&amp;地图信息'!$R$10*$BY$55)</f>
        <v>8917</v>
      </c>
      <c r="CV364" s="50">
        <f t="shared" si="548"/>
        <v>0.62912580086842984</v>
      </c>
      <c r="CW364" s="50">
        <f t="shared" si="549"/>
        <v>0.10011234931527647</v>
      </c>
      <c r="CX364" s="50">
        <f t="shared" si="550"/>
        <v>0.2707618498162937</v>
      </c>
      <c r="CY364" s="14">
        <f t="shared" si="551"/>
        <v>24307</v>
      </c>
      <c r="CZ364" s="14">
        <f t="shared" si="552"/>
        <v>8152</v>
      </c>
      <c r="DA364" s="14">
        <f>INT(SUMPRODUCT($AI364:$AM364,$BA364:$BE364)/SUM($BA364:$BE364)/10000*$BX$7*$BZ$34/'疲劳值&amp;地图信息'!$R$10*$BY$56)</f>
        <v>13447</v>
      </c>
      <c r="DB364" s="50">
        <f t="shared" si="553"/>
        <v>0.5294950551126214</v>
      </c>
      <c r="DC364" s="50">
        <f t="shared" si="554"/>
        <v>0.17758027273123339</v>
      </c>
      <c r="DD364" s="50">
        <f t="shared" si="555"/>
        <v>0.29292467215614515</v>
      </c>
      <c r="DE364" s="14">
        <f t="shared" si="556"/>
        <v>25059</v>
      </c>
      <c r="DF364" s="14">
        <f t="shared" si="557"/>
        <v>13895</v>
      </c>
      <c r="DG364" s="14">
        <f>INT(SUMPRODUCT($AP364:$AT364,$BA364:$BE364)/SUM($BA364:$BE364)/10000*$BX$7*$BZ$34/'疲劳值&amp;地图信息'!$R$10*$BY$57)</f>
        <v>17947</v>
      </c>
      <c r="DH364" s="50">
        <f t="shared" si="558"/>
        <v>0.44039647809353089</v>
      </c>
      <c r="DI364" s="50">
        <f t="shared" si="559"/>
        <v>0.24419605982320169</v>
      </c>
      <c r="DJ364" s="50">
        <f t="shared" si="560"/>
        <v>0.31540746208326742</v>
      </c>
      <c r="DL364" s="14">
        <f t="shared" si="631"/>
        <v>21748</v>
      </c>
      <c r="DM364" s="14">
        <f t="shared" si="632"/>
        <v>27283</v>
      </c>
      <c r="DN364" s="14">
        <f t="shared" si="633"/>
        <v>32933</v>
      </c>
      <c r="DO364" s="14">
        <f t="shared" si="634"/>
        <v>45906</v>
      </c>
      <c r="DP364" s="14">
        <f t="shared" si="635"/>
        <v>56901</v>
      </c>
      <c r="DQ364" s="14">
        <f t="shared" si="636"/>
        <v>1501988</v>
      </c>
      <c r="DT364" s="14">
        <f t="shared" si="630"/>
        <v>235575</v>
      </c>
      <c r="DU364" s="50">
        <f t="shared" si="532"/>
        <v>0.13557781789782586</v>
      </c>
      <c r="DW364" s="14">
        <f t="shared" si="561"/>
        <v>1737563</v>
      </c>
      <c r="EB364" s="14">
        <v>359</v>
      </c>
      <c r="EC364" s="51">
        <f t="shared" si="562"/>
        <v>28873</v>
      </c>
      <c r="ED364" s="51">
        <f t="shared" si="563"/>
        <v>1701</v>
      </c>
      <c r="EE364" s="51">
        <f>INT(SUMPRODUCT($N364:$R364,$BF364:$BJ364)/SUM($BF364:$BJ364)/10000*$BX$7*$BZ$46/'疲劳值&amp;地图信息'!$R$10*$BY$53)</f>
        <v>457</v>
      </c>
      <c r="EF364" s="50">
        <f t="shared" si="564"/>
        <v>0.93045664013405949</v>
      </c>
      <c r="EG364" s="50">
        <f t="shared" si="565"/>
        <v>5.4816151590345141E-2</v>
      </c>
      <c r="EH364" s="50">
        <f t="shared" si="566"/>
        <v>1.4727208275595373E-2</v>
      </c>
      <c r="EI364" s="51">
        <f t="shared" si="567"/>
        <v>31577</v>
      </c>
      <c r="EJ364" s="51">
        <f t="shared" si="568"/>
        <v>2976</v>
      </c>
      <c r="EK364" s="14">
        <f>INT(SUMPRODUCT($U364:$Y364,$BF364:$BJ364)/SUM($BF364:$BJ364)/10000*$BX$7*$BZ$46/'疲劳值&amp;地图信息'!$R$10*$BY$54)</f>
        <v>879</v>
      </c>
      <c r="EL364" s="50">
        <f t="shared" si="569"/>
        <v>0.89120004515692031</v>
      </c>
      <c r="EM364" s="50">
        <f t="shared" si="570"/>
        <v>8.3991871754346359E-2</v>
      </c>
      <c r="EN364" s="50">
        <f t="shared" si="571"/>
        <v>2.4808083088733349E-2</v>
      </c>
      <c r="EO364" s="51">
        <f t="shared" si="572"/>
        <v>34532</v>
      </c>
      <c r="EP364" s="51">
        <f t="shared" si="573"/>
        <v>5496</v>
      </c>
      <c r="EQ364" s="14">
        <f>INT(SUMPRODUCT($AB364:$AF364,$BF364:$BJ364)/SUM($BF364:$BJ364)/10000*$BX$7*$BZ$46/'疲劳值&amp;地图信息'!$R$10*$BY$55)</f>
        <v>1195</v>
      </c>
      <c r="ER364" s="50">
        <f t="shared" si="574"/>
        <v>0.83768769861485093</v>
      </c>
      <c r="ES364" s="50">
        <f t="shared" si="575"/>
        <v>0.13332363001237174</v>
      </c>
      <c r="ET364" s="50">
        <f t="shared" si="576"/>
        <v>2.8988671372777334E-2</v>
      </c>
      <c r="EU364" s="51">
        <f t="shared" si="577"/>
        <v>40512</v>
      </c>
      <c r="EV364" s="51">
        <f t="shared" si="578"/>
        <v>13586</v>
      </c>
      <c r="EW364" s="14">
        <f>INT(SUMPRODUCT($AI364:$AM364,$BF364:$BJ364)/SUM($BF364:$BJ364)/10000*$BX$7*$BZ$46/'疲劳值&amp;地图信息'!$R$10*$BY$56)</f>
        <v>1792</v>
      </c>
      <c r="EX364" s="50">
        <f t="shared" si="579"/>
        <v>0.72485238862050461</v>
      </c>
      <c r="EY364" s="50">
        <f t="shared" si="580"/>
        <v>0.24308463052424406</v>
      </c>
      <c r="EZ364" s="50">
        <f t="shared" si="581"/>
        <v>3.2062980855251388E-2</v>
      </c>
      <c r="FA364" s="51">
        <f t="shared" si="582"/>
        <v>41765</v>
      </c>
      <c r="FB364" s="51">
        <f t="shared" si="583"/>
        <v>23159</v>
      </c>
      <c r="FC364" s="14">
        <f>INT(SUMPRODUCT($AP364:$AT364,$BF364:$BJ364)/SUM($BF364:$BJ364)/10000*$BX$7*$BZ$46/'疲劳值&amp;地图信息'!$R$10*$BY$57)</f>
        <v>2390</v>
      </c>
      <c r="FD364" s="50">
        <f t="shared" si="584"/>
        <v>0.62045042636004399</v>
      </c>
      <c r="FE364" s="50">
        <f t="shared" si="585"/>
        <v>0.34404432955997266</v>
      </c>
      <c r="FF364" s="50">
        <f t="shared" si="586"/>
        <v>3.5505244079983359E-2</v>
      </c>
      <c r="FH364" s="14">
        <f t="shared" si="587"/>
        <v>31031</v>
      </c>
      <c r="FI364" s="14">
        <f t="shared" si="588"/>
        <v>35432</v>
      </c>
      <c r="FJ364" s="14">
        <f t="shared" si="589"/>
        <v>41223</v>
      </c>
      <c r="FK364" s="14">
        <f t="shared" si="590"/>
        <v>55890</v>
      </c>
      <c r="FL364" s="14">
        <f t="shared" si="591"/>
        <v>67314</v>
      </c>
      <c r="FM364" s="14">
        <f t="shared" si="592"/>
        <v>3635966</v>
      </c>
      <c r="FP364" s="14">
        <f t="shared" si="593"/>
        <v>334150</v>
      </c>
      <c r="FQ364" s="50">
        <f t="shared" si="533"/>
        <v>8.4166306475679797E-2</v>
      </c>
      <c r="FS364" s="14">
        <f t="shared" si="594"/>
        <v>3970116</v>
      </c>
      <c r="FX364" s="14">
        <v>359</v>
      </c>
      <c r="FY364" s="51">
        <f t="shared" si="595"/>
        <v>40423</v>
      </c>
      <c r="FZ364" s="51">
        <f t="shared" si="596"/>
        <v>1701</v>
      </c>
      <c r="GA364" s="51">
        <f>INT(SUMPRODUCT($N364:$R364,$BF364:$BJ364)/SUM($BF364:$BJ364)/10000*$BX$7*$BZ$46/'疲劳值&amp;地图信息'!$R$10*$BY$53)</f>
        <v>457</v>
      </c>
      <c r="GB364" s="50">
        <f t="shared" si="597"/>
        <v>0.94932011930203608</v>
      </c>
      <c r="GC364" s="50">
        <f t="shared" si="598"/>
        <v>3.9947394377774122E-2</v>
      </c>
      <c r="GD364" s="50">
        <f t="shared" si="599"/>
        <v>1.0732486320189756E-2</v>
      </c>
      <c r="GE364" s="51">
        <f t="shared" si="600"/>
        <v>44208</v>
      </c>
      <c r="GF364" s="51">
        <f t="shared" si="601"/>
        <v>2976</v>
      </c>
      <c r="GG364" s="14">
        <f>INT(SUMPRODUCT($U364:$Y364,$BF364:$BJ364)/SUM($BF364:$BJ364)/10000*$BX$7*$BZ$46/'疲劳值&amp;地图信息'!$R$10*$BY$54)</f>
        <v>879</v>
      </c>
      <c r="GH364" s="50">
        <f t="shared" si="602"/>
        <v>0.91979277198676734</v>
      </c>
      <c r="GI364" s="50">
        <f t="shared" si="603"/>
        <v>6.1918731664690092E-2</v>
      </c>
      <c r="GJ364" s="50">
        <f t="shared" si="604"/>
        <v>1.8288496348542536E-2</v>
      </c>
      <c r="GK364" s="51">
        <f t="shared" si="605"/>
        <v>48345</v>
      </c>
      <c r="GL364" s="51">
        <f t="shared" si="606"/>
        <v>5496</v>
      </c>
      <c r="GM364" s="14">
        <f>INT(SUMPRODUCT($AB364:$AF364,$BF364:$BJ364)/SUM($BF364:$BJ364)/10000*$BX$7*$BZ$46/'疲劳值&amp;地图信息'!$R$10*$BY$55)</f>
        <v>1195</v>
      </c>
      <c r="GN364" s="50">
        <f t="shared" si="607"/>
        <v>0.87842503088887269</v>
      </c>
      <c r="GO364" s="50">
        <f t="shared" si="608"/>
        <v>9.9861908568936703E-2</v>
      </c>
      <c r="GP364" s="50">
        <f t="shared" si="609"/>
        <v>2.1713060542190566E-2</v>
      </c>
      <c r="GQ364" s="51">
        <f t="shared" si="610"/>
        <v>56717</v>
      </c>
      <c r="GR364" s="51">
        <f t="shared" si="611"/>
        <v>13586</v>
      </c>
      <c r="GS364" s="14">
        <f>INT(SUMPRODUCT($AI364:$AM364,$BF364:$BJ364)/SUM($BF364:$BJ364)/10000*$BX$7*$BZ$46/'疲劳值&amp;地图信息'!$R$10*$BY$56)</f>
        <v>1792</v>
      </c>
      <c r="GT364" s="50">
        <f t="shared" si="612"/>
        <v>0.78669810666481721</v>
      </c>
      <c r="GU364" s="50">
        <f t="shared" si="613"/>
        <v>0.18844580067965877</v>
      </c>
      <c r="GV364" s="50">
        <f t="shared" si="614"/>
        <v>2.4856092655523961E-2</v>
      </c>
      <c r="GW364" s="51">
        <f t="shared" si="615"/>
        <v>58472</v>
      </c>
      <c r="GX364" s="51">
        <f t="shared" si="616"/>
        <v>23159</v>
      </c>
      <c r="GY364" s="14">
        <f>INT(SUMPRODUCT($AP364:$AT364,$BF364:$BJ364)/SUM($BF364:$BJ364)/10000*$BX$7*$BZ$46/'疲劳值&amp;地图信息'!$R$10*$BY$57)</f>
        <v>2390</v>
      </c>
      <c r="GZ364" s="50">
        <f t="shared" si="617"/>
        <v>0.69592125778079295</v>
      </c>
      <c r="HA364" s="50">
        <f t="shared" si="618"/>
        <v>0.27563347258423487</v>
      </c>
      <c r="HB364" s="50">
        <f t="shared" si="619"/>
        <v>2.8445269634972209E-2</v>
      </c>
      <c r="HD364" s="14">
        <f t="shared" si="620"/>
        <v>42581</v>
      </c>
      <c r="HE364" s="14">
        <f t="shared" si="621"/>
        <v>48063</v>
      </c>
      <c r="HF364" s="14">
        <f t="shared" si="622"/>
        <v>55036</v>
      </c>
      <c r="HG364" s="14">
        <f t="shared" si="623"/>
        <v>72095</v>
      </c>
      <c r="HH364" s="14">
        <f t="shared" si="624"/>
        <v>84021</v>
      </c>
      <c r="HI364" s="14">
        <f t="shared" si="625"/>
        <v>4930514</v>
      </c>
      <c r="HL364" s="14">
        <f t="shared" si="626"/>
        <v>430050</v>
      </c>
      <c r="HM364" s="50">
        <f t="shared" si="534"/>
        <v>8.022476739387871E-2</v>
      </c>
      <c r="HO364" s="14">
        <f t="shared" si="627"/>
        <v>5360564</v>
      </c>
    </row>
    <row r="365" spans="11:223" x14ac:dyDescent="0.2">
      <c r="K365" s="14">
        <v>360</v>
      </c>
      <c r="L365" s="12">
        <f>求节点(节奏总纲!D$4:D$163,标准城池设计!AB$4:AB$163,$K365)*求节点(节奏总纲!D$4:D$163,攻城基础信息!$AC$5:$AC$164,$K365)</f>
        <v>851097.76370780589</v>
      </c>
      <c r="M365" s="12">
        <f>INDEX(其他调用!$AA$5:$AA$404,MATCH(K365,其他调用!$X$5:$X$404,0))*MIN(INDEX(其他调用!$AH$5:$AH$364,MATCH('征服点（新）'!K365,其他调用!$AG$5:$AG$364,0),1)/INDEX(其他调用!$AJ$5:$AJ$364,MATCH(K365,其他调用!$AG$5:$AG$364,0),0),5)*求节点(节奏总纲!D$4:D$163,攻城基础信息!$AC$5:$AC$164,$K365)</f>
        <v>50034.30773064294</v>
      </c>
      <c r="N365" s="12">
        <f>MIN(INDEX(其他调用!$AH$5:$AH$364,MATCH($K365,其他调用!$AG$5:$AG$364,0),1)/INDEX(其他调用!AH$5:AH$364,MATCH($K365,其他调用!$AG$5:$AG$364,0),0),1)*INDEX(其他调用!Y$5:Y$404,MATCH($K365,其他调用!$X$5:$X$404,0),0)</f>
        <v>43529.473816941907</v>
      </c>
      <c r="O365" s="12">
        <f>MIN(INDEX(其他调用!$AH$5:$AH$364,MATCH($K365,其他调用!$AG$5:$AG$364,0),1)/INDEX(其他调用!AI$5:AI$364,MATCH($K365,其他调用!$AG$5:$AG$364,0),0),1)*INDEX(其他调用!Z$5:Z$404,MATCH($K365,其他调用!$X$5:$X$404,0),0)</f>
        <v>25549.877773201777</v>
      </c>
      <c r="P365" s="12">
        <f>MIN(INDEX(其他调用!$AH$5:$AH$364,MATCH($K365,其他调用!$AG$5:$AG$364,0),1)/INDEX(其他调用!AJ$5:AJ$364,MATCH($K365,其他调用!$AG$5:$AG$364,0),0),1)*INDEX(其他调用!AA$5:AA$404,MATCH($K365,其他调用!$X$5:$X$404,0),0)</f>
        <v>14295.516494469421</v>
      </c>
      <c r="Q365" s="12">
        <f>MIN(INDEX(其他调用!$AH$5:$AH$364,MATCH($K365,其他调用!$AG$5:$AG$364,0),1)/INDEX(其他调用!AK$5:AK$364,MATCH($K365,其他调用!$AG$5:$AG$364,0),0),1)*INDEX(其他调用!AB$5:AB$404,MATCH($K365,其他调用!$X$5:$X$404,0),0)</f>
        <v>6078.2786269639564</v>
      </c>
      <c r="R365" s="12">
        <f>MIN(INDEX(其他调用!$AH$5:$AH$364,MATCH($K365,其他调用!$AG$5:$AG$364,0),1)/INDEX(其他调用!AL$5:AL$364,MATCH($K365,其他调用!$AG$5:$AG$364,0),0),1)*INDEX(其他调用!AC$5:AC$404,MATCH($K365,其他调用!$X$5:$X$404,0),0)</f>
        <v>3853.2132240000356</v>
      </c>
      <c r="S365" s="12">
        <f>求节点(节奏总纲!D$4:D$163,标准城池设计!AC$4:AC$163,$K365)*求节点(节奏总纲!D$4:D$163,攻城基础信息!$AD$5:$AD$164,$K365)</f>
        <v>930681.59931416321</v>
      </c>
      <c r="T365" s="12">
        <f>INDEX(其他调用!$AA$5:$AA$404,MATCH($K365,其他调用!$X$5:$X$404,0))*MIN(INDEX(其他调用!AI$5:AI$364,MATCH($K365,其他调用!$AG$5:$AG$364,0),1)/INDEX(其他调用!$AJ$5:$AJ$364,MATCH($K365,其他调用!$AG$5:$AG$364,0),0),5)*求节点(节奏总纲!D$4:D$163,攻城基础信息!$AD$5:$AD$164,$K365)</f>
        <v>87520.296472157017</v>
      </c>
      <c r="U365" s="12">
        <f>MIN(INDEX(其他调用!$AI$5:$AI$364,MATCH($K365,其他调用!$AG$5:$AG$364,0),1)/INDEX(其他调用!AH$5:AH$364,MATCH($K365,其他调用!$AG$5:$AG$364,0),0),1)*INDEX(其他调用!Y$5:Y$404,MATCH($K365,其他调用!$X$5:$X$404,0),0)</f>
        <v>43529.473816941907</v>
      </c>
      <c r="V365" s="12">
        <f>MIN(INDEX(其他调用!$AI$5:$AI$364,MATCH($K365,其他调用!$AG$5:$AG$364,0),1)/INDEX(其他调用!AI$5:AI$364,MATCH($K365,其他调用!$AG$5:$AG$364,0),0),1)*INDEX(其他调用!Z$5:Z$404,MATCH($K365,其他调用!$X$5:$X$404,0),0)</f>
        <v>44691.9919343363</v>
      </c>
      <c r="W365" s="12">
        <f>MIN(INDEX(其他调用!$AI$5:$AI$364,MATCH($K365,其他调用!$AG$5:$AG$364,0),1)/INDEX(其他调用!AJ$5:AJ$364,MATCH($K365,其他调用!$AG$5:$AG$364,0),0),1)*INDEX(其他调用!AA$5:AA$404,MATCH($K365,其他调用!$X$5:$X$404,0),0)</f>
        <v>25005.798992044878</v>
      </c>
      <c r="X365" s="12">
        <f>MIN(INDEX(其他调用!$AI$5:$AI$364,MATCH($K365,其他调用!$AG$5:$AG$364,0),1)/INDEX(其他调用!AK$5:AK$364,MATCH($K365,其他调用!$AG$5:$AG$364,0),0),1)*INDEX(其他调用!AB$5:AB$404,MATCH($K365,其他调用!$X$5:$X$404,0),0)</f>
        <v>10632.159644060795</v>
      </c>
      <c r="Y365" s="12">
        <f>MIN(INDEX(其他调用!$AI$5:$AI$364,MATCH($K365,其他调用!$AG$5:$AG$364,0),1)/INDEX(其他调用!AL$5:AL$364,MATCH($K365,其他调用!$AG$5:$AG$364,0),0),1)*INDEX(其他调用!AC$5:AC$404,MATCH($K365,其他调用!$X$5:$X$404,0),0)</f>
        <v>6740.0625496889552</v>
      </c>
      <c r="Z365" s="12">
        <f>求节点(节奏总纲!D$4:D$163,标准城池设计!AD$4:AD$163,$K365)*求节点(节奏总纲!D$4:D$163,攻城基础信息!$AE$5:$AE$164,$K365)</f>
        <v>1017953.681920396</v>
      </c>
      <c r="AA365" s="12">
        <f>INDEX(其他调用!$AA$5:$AA$404,MATCH($K365,其他调用!$X$5:$X$404,0))*MIN(INDEX(其他调用!AJ$5:AJ$364,MATCH($K365,其他调用!$AG$5:$AG$364,0),1)/INDEX(其他调用!$AJ$5:$AJ$364,MATCH($K365,其他调用!$AG$5:$AG$364,0),0),5)*求节点(节奏总纲!D$4:D$163,攻城基础信息!$AE$5:$AE$164,$K365)</f>
        <v>161856.17410439366</v>
      </c>
      <c r="AB365" s="12">
        <f>MIN(INDEX(其他调用!$AJ$5:$AJ$364,MATCH($K365,其他调用!$AG$5:$AG$364,0),1)/INDEX(其他调用!AH$5:AH$364,MATCH($K365,其他调用!$AG$5:$AG$364,0),0),1)*INDEX(其他调用!Y$5:Y$404,MATCH($K365,其他调用!$X$5:$X$404,0),0)</f>
        <v>43529.473816941907</v>
      </c>
      <c r="AC365" s="12">
        <f>MIN(INDEX(其他调用!$AJ$5:$AJ$364,MATCH($K365,其他调用!$AG$5:$AG$364,0),1)/INDEX(其他调用!AI$5:AI$364,MATCH($K365,其他调用!$AG$5:$AG$364,0),0),1)*INDEX(其他调用!Z$5:Z$404,MATCH($K365,其他调用!$X$5:$X$404,0),0)</f>
        <v>44691.9919343363</v>
      </c>
      <c r="AD365" s="12">
        <f>MIN(INDEX(其他调用!$AJ$5:$AJ$364,MATCH($K365,其他调用!$AG$5:$AG$364,0),1)/INDEX(其他调用!AJ$5:AJ$364,MATCH($K365,其他调用!$AG$5:$AG$364,0),0),1)*INDEX(其他调用!AA$5:AA$404,MATCH($K365,其他调用!$X$5:$X$404,0),0)</f>
        <v>46244.621172683932</v>
      </c>
      <c r="AE365" s="12">
        <f>MIN(INDEX(其他调用!$AJ$5:$AJ$364,MATCH($K365,其他调用!$AG$5:$AG$364,0),1)/INDEX(其他调用!AK$5:AK$364,MATCH($K365,其他调用!$AG$5:$AG$364,0),0),1)*INDEX(其他调用!AB$5:AB$404,MATCH($K365,其他调用!$X$5:$X$404,0),0)</f>
        <v>19662.646858175114</v>
      </c>
      <c r="AF365" s="12">
        <f>MIN(INDEX(其他调用!$AJ$5:$AJ$364,MATCH($K365,其他调用!$AG$5:$AG$364,0),1)/INDEX(其他调用!AL$5:AL$364,MATCH($K365,其他调用!$AG$5:$AG$364,0),0),1)*INDEX(其他调用!AC$5:AC$404,MATCH($K365,其他调用!$X$5:$X$404,0),0)</f>
        <v>12464.774246554518</v>
      </c>
      <c r="AG365" s="12">
        <f>求节点(节奏总纲!D$4:D$163,标准城池设计!AE$4:AE$163,$K365)*求节点(节奏总纲!D$4:D$163,攻城基础信息!$AF$5:$AF$164,$K365)</f>
        <v>1193341.1455100095</v>
      </c>
      <c r="AH365" s="12">
        <f>INDEX(其他调用!$AA$5:$AA$404,MATCH($K365,其他调用!$X$5:$X$404,0))*MIN(INDEX(其他调用!AK$5:AK$364,MATCH($K365,其他调用!$AG$5:$AG$364,0),1)/INDEX(其他调用!$AJ$5:$AJ$364,MATCH($K365,其他调用!$AG$5:$AG$364,0),0),5)*求节点(节奏总纲!D$4:D$163,攻城基础信息!$AF$5:$AF$164,$K365)</f>
        <v>399111.61610810191</v>
      </c>
      <c r="AI365" s="12">
        <f>MIN(INDEX(其他调用!$AK$5:$AK$364,MATCH($K365,其他调用!$AG$5:$AG$364,0),1)/INDEX(其他调用!AH$5:AH$364,MATCH($K365,其他调用!$AG$5:$AG$364,0),0),1)*INDEX(其他调用!Y$5:Y$404,MATCH($K365,其他调用!$X$5:$X$404,0),0)</f>
        <v>43529.473816941907</v>
      </c>
      <c r="AJ365" s="12">
        <f>MIN(INDEX(其他调用!$AK$5:$AK$364,MATCH($K365,其他调用!$AG$5:$AG$364,0),1)/INDEX(其他调用!AI$5:AI$364,MATCH($K365,其他调用!$AG$5:$AG$364,0),0),1)*INDEX(其他调用!Z$5:Z$404,MATCH($K365,其他调用!$X$5:$X$404,0),0)</f>
        <v>44691.9919343363</v>
      </c>
      <c r="AK365" s="12">
        <f>MIN(INDEX(其他调用!$AK$5:$AK$364,MATCH($K365,其他调用!$AG$5:$AG$364,0),1)/INDEX(其他调用!AJ$5:AJ$364,MATCH($K365,其他调用!$AG$5:$AG$364,0),0),1)*INDEX(其他调用!AA$5:AA$404,MATCH($K365,其他调用!$X$5:$X$404,0),0)</f>
        <v>46244.621172683932</v>
      </c>
      <c r="AL365" s="12">
        <f>MIN(INDEX(其他调用!$AK$5:$AK$364,MATCH($K365,其他调用!$AG$5:$AG$364,0),1)/INDEX(其他调用!AK$5:AK$364,MATCH($K365,其他调用!$AG$5:$AG$364,0),0),1)*INDEX(其他调用!AB$5:AB$404,MATCH($K365,其他调用!$X$5:$X$404,0),0)</f>
        <v>48484.963937598317</v>
      </c>
      <c r="AM365" s="12">
        <f>MIN(INDEX(其他调用!$AK$5:$AK$364,MATCH($K365,其他调用!$AG$5:$AG$364,0),1)/INDEX(其他调用!AL$5:AL$364,MATCH($K365,其他调用!$AG$5:$AG$364,0),0),1)*INDEX(其他调用!AC$5:AC$404,MATCH($K365,其他调用!$X$5:$X$404,0),0)</f>
        <v>30736.153387366998</v>
      </c>
      <c r="AN365" s="12">
        <f>求节点(节奏总纲!D$4:D$163,标准城池设计!AF$4:AF$163,$K365)*求节点(节奏总纲!D$4:D$163,攻城基础信息!$AG$5:$AG$164,$K365)</f>
        <v>1230217.2462246574</v>
      </c>
      <c r="AO365" s="12">
        <f>INDEX(其他调用!$AA$5:$AA$404,MATCH($K365,其他调用!$X$5:$X$404,0))*MIN(INDEX(其他调用!AL$5:AL$364,MATCH($K365,其他调用!$AG$5:$AG$364,0),1)/INDEX(其他调用!$AJ$5:$AJ$364,MATCH($K365,其他调用!$AG$5:$AG$364,0),0),5)*求节点(节奏总纲!D$4:D$163,攻城基础信息!$AG$5:$AG$164,$K365)</f>
        <v>680001.70710849634</v>
      </c>
      <c r="AP365" s="12">
        <f>MIN(INDEX(其他调用!$AL$5:$AL$364,MATCH($K365,其他调用!$AG$5:$AG$364,0),1)/INDEX(其他调用!AH$5:AH$364,MATCH($K365,其他调用!$AG$5:$AG$364,0),0),1)*INDEX(其他调用!Y$5:Y$404,MATCH($K365,其他调用!$X$5:$X$404,0),0)</f>
        <v>43529.473816941907</v>
      </c>
      <c r="AQ365" s="12">
        <f>MIN(INDEX(其他调用!$AL$5:$AL$364,MATCH($K365,其他调用!$AG$5:$AG$364,0),1)/INDEX(其他调用!AI$5:AI$364,MATCH($K365,其他调用!$AG$5:$AG$364,0),0),1)*INDEX(其他调用!Z$5:Z$404,MATCH($K365,其他调用!$X$5:$X$404,0),0)</f>
        <v>44691.9919343363</v>
      </c>
      <c r="AR365" s="12">
        <f>MIN(INDEX(其他调用!$AL$5:$AL$364,MATCH($K365,其他调用!$AG$5:$AG$364,0),1)/INDEX(其他调用!AJ$5:AJ$364,MATCH($K365,其他调用!$AG$5:$AG$364,0),0),1)*INDEX(其他调用!AA$5:AA$404,MATCH($K365,其他调用!$X$5:$X$404,0),0)</f>
        <v>46244.621172683932</v>
      </c>
      <c r="AS365" s="12">
        <f>MIN(INDEX(其他调用!$AL$5:$AL$364,MATCH($K365,其他调用!$AG$5:$AG$364,0),1)/INDEX(其他调用!AK$5:AK$364,MATCH($K365,其他调用!$AG$5:$AG$364,0),0),1)*INDEX(其他调用!AB$5:AB$404,MATCH($K365,其他调用!$X$5:$X$404,0),0)</f>
        <v>48484.963937598317</v>
      </c>
      <c r="AT365" s="12">
        <f>MIN(INDEX(其他调用!$AL$5:$AL$364,MATCH($K365,其他调用!$AG$5:$AG$364,0),1)/INDEX(其他调用!AL$5:AL$364,MATCH($K365,其他调用!$AG$5:$AG$364,0),0),1)*INDEX(其他调用!AC$5:AC$404,MATCH($K365,其他调用!$X$5:$X$404,0),0)</f>
        <v>52367.89892804595</v>
      </c>
      <c r="AV365" s="14">
        <f>IF(OR(AV$5="大R",AV$5="超R"),MAX(INDEX(其他调用!$H$5:$L$404,MATCH($K365,其他调用!$B$5:$B$404,0),MATCH(AV$5,其他调用!$H$4:$L$4,0))*120*0.85,2),INDEX(其他调用!$H$5:$L$404,MATCH($K365,其他调用!$B$5:$B$404,0),MATCH(AV$5,其他调用!$H$4:$L$4,0))*120*0.85)</f>
        <v>48.921801254999991</v>
      </c>
      <c r="AW365" s="14">
        <f>IF(OR(AW$5="大R",AW$5="超R"),MAX(INDEX(其他调用!$H$5:$L$404,MATCH($K365,其他调用!$B$5:$B$404,0),MATCH(AW$5,其他调用!$H$4:$L$4,0))*120*0.85,2),INDEX(其他调用!$H$5:$L$404,MATCH($K365,其他调用!$B$5:$B$404,0),MATCH(AW$5,其他调用!$H$4:$L$4,0))*120*0.85)</f>
        <v>48.237344010638395</v>
      </c>
      <c r="AX365" s="14">
        <f>IF(OR(AX$5="大R",AX$5="超R"),MAX(INDEX(其他调用!$H$5:$L$404,MATCH($K365,其他调用!$B$5:$B$404,0),MATCH(AX$5,其他调用!$H$4:$L$4,0))*120*0.85,2),INDEX(其他调用!$H$5:$L$404,MATCH($K365,其他调用!$B$5:$B$404,0),MATCH(AX$5,其他调用!$H$4:$L$4,0))*120*0.85)</f>
        <v>3.9376284143615998</v>
      </c>
      <c r="AY365" s="14">
        <f>IF(OR(AY$5="大R",AY$5="超R"),MAX(INDEX(其他调用!$H$5:$L$404,MATCH($K365,其他调用!$B$5:$B$404,0),MATCH(AY$5,其他调用!$H$4:$L$4,0))*120*0.85,2),INDEX(其他调用!$H$5:$L$404,MATCH($K365,其他调用!$B$5:$B$404,0),MATCH(AY$5,其他调用!$H$4:$L$4,0))*120*0.85)</f>
        <v>2</v>
      </c>
      <c r="AZ365" s="14">
        <f>IF(OR(AZ$5="大R",AZ$5="超R"),MAX(INDEX(其他调用!$H$5:$L$404,MATCH($K365,其他调用!$B$5:$B$404,0),MATCH(AZ$5,其他调用!$H$4:$L$4,0))*120*0.85,2),INDEX(其他调用!$H$5:$L$404,MATCH($K365,其他调用!$B$5:$B$404,0),MATCH(AZ$5,其他调用!$H$4:$L$4,0))*120*0.85)</f>
        <v>2</v>
      </c>
      <c r="BA365" s="14">
        <f>INDEX(其他调用!$H$5:$L$404,MATCH($K365,其他调用!$B$5:$B$404,0),MATCH(BA$5,其他调用!$H$4:$L$4,0))*INDEX(其他调用!$M$5:$M$404,MATCH($K365,其他调用!$B$5:$B$404,0))*0.6</f>
        <v>28.777530149999997</v>
      </c>
      <c r="BB365" s="14">
        <f>INDEX(其他调用!$H$5:$L$404,MATCH($K365,其他调用!$B$5:$B$404,0),MATCH(BB$5,其他调用!$H$4:$L$4,0))*INDEX(其他调用!$M$5:$M$404,MATCH($K365,其他调用!$B$5:$B$404,0))*0.6</f>
        <v>28.374908241551999</v>
      </c>
      <c r="BC365" s="14">
        <f>INDEX(其他调用!$H$5:$L$404,MATCH($K365,其他调用!$B$5:$B$404,0),MATCH(BC$5,其他调用!$H$4:$L$4,0))*INDEX(其他调用!$M$5:$M$404,MATCH($K365,其他调用!$B$5:$B$404,0))*0.6</f>
        <v>2.3162520084480001</v>
      </c>
      <c r="BD365" s="14">
        <f>INDEX(其他调用!$H$5:$L$404,MATCH($K365,其他调用!$B$5:$B$404,0),MATCH(BD$5,其他调用!$H$4:$L$4,0))*INDEX(其他调用!$M$5:$M$404,MATCH($K365,其他调用!$B$5:$B$404,0))*0.6</f>
        <v>0.4120776000000001</v>
      </c>
      <c r="BE365" s="14">
        <f>INDEX(其他调用!$H$5:$L$404,MATCH($K365,其他调用!$B$5:$B$404,0),MATCH(BE$5,其他调用!$H$4:$L$4,0))*INDEX(其他调用!$M$5:$M$404,MATCH($K365,其他调用!$B$5:$B$404,0))*0.6</f>
        <v>0.11923199999999998</v>
      </c>
      <c r="BF365" s="14">
        <f>IF(OR(BF$5="大R",BF$5="超R"),0,INDEX(其他调用!$H$5:$L$404,MATCH($K365,其他调用!$B$5:$B$404,0),MATCH(BF$5,其他调用!$H$4:$L$4,0))*50*0.4)</f>
        <v>9.5925100500000013</v>
      </c>
      <c r="BG365" s="14">
        <f>IF(OR(BG$5="大R",BG$5="超R"),0,INDEX(其他调用!$H$5:$L$404,MATCH($K365,其他调用!$B$5:$B$404,0),MATCH(BG$5,其他调用!$H$4:$L$4,0))*50*0.4)</f>
        <v>9.4583027471839998</v>
      </c>
      <c r="BH365" s="14">
        <f>IF(OR(BH$5="大R",BH$5="超R"),0,INDEX(其他调用!$H$5:$L$404,MATCH($K365,其他调用!$B$5:$B$404,0),MATCH(BH$5,其他调用!$H$4:$L$4,0))*50*0.4)</f>
        <v>0.77208400281600009</v>
      </c>
      <c r="BI365" s="14">
        <f>IF(OR(BI$5="大R",BI$5="超R"),0,INDEX(其他调用!$H$5:$L$404,MATCH($K365,其他调用!$B$5:$B$404,0),MATCH(BI$5,其他调用!$H$4:$L$4,0))*50*0.4)</f>
        <v>0</v>
      </c>
      <c r="BJ365" s="14">
        <f>IF(OR(BJ$5="大R",BJ$5="超R"),0,INDEX(其他调用!$H$5:$L$404,MATCH($K365,其他调用!$B$5:$B$404,0),MATCH(BJ$5,其他调用!$H$4:$L$4,0))*50*0.4)</f>
        <v>0</v>
      </c>
      <c r="BL365" s="14">
        <f t="shared" si="628"/>
        <v>360</v>
      </c>
      <c r="BM365" s="14">
        <f t="shared" si="535"/>
        <v>96</v>
      </c>
      <c r="BN365" s="14">
        <f>('疲劳值&amp;地图信息'!$S$10*'疲劳值&amp;地图信息'!$R$10+'疲劳值&amp;地图信息'!$S$11*'疲劳值&amp;地图信息'!$R$11+'疲劳值&amp;地图信息'!$S$12*'疲劳值&amp;地图信息'!$R$12+(BM365-'疲劳值&amp;地图信息'!$S$12-'疲劳值&amp;地图信息'!$S$11-'疲劳值&amp;地图信息'!$S$10)*'疲劳值&amp;地图信息'!$R$13)/BM365</f>
        <v>51.371477246638619</v>
      </c>
      <c r="BO365" s="14">
        <f>INDEX(其他调用!$M$5:$M$404,MATCH(BL365,其他调用!$B$5:$B$404,0))*0.6</f>
        <v>60</v>
      </c>
      <c r="BP365" s="14">
        <f>IF(BO365&gt;SUM('疲劳值&amp;地图信息'!$S$10:$S$12),('疲劳值&amp;地图信息'!$S$10*'疲劳值&amp;地图信息'!$R$10+'疲劳值&amp;地图信息'!$S$11*'疲劳值&amp;地图信息'!$R$11+'疲劳值&amp;地图信息'!$S$12*'疲劳值&amp;地图信息'!$R$12+(BO365-'疲劳值&amp;地图信息'!$S$12-'疲劳值&amp;地图信息'!$S$11-'疲劳值&amp;地图信息'!$S$10)*'疲劳值&amp;地图信息'!$R$13)/BO365,('疲劳值&amp;地图信息'!$S$10*'疲劳值&amp;地图信息'!$R$10+'疲劳值&amp;地图信息'!$S$11*'疲劳值&amp;地图信息'!$R$11+'疲劳值&amp;地图信息'!$S$12*'疲劳值&amp;地图信息'!$R$12+(BO365-'疲劳值&amp;地图信息'!$S$12-'疲劳值&amp;地图信息'!$S$11-'疲劳值&amp;地图信息'!$S$10)*'疲劳值&amp;地图信息'!$R$13)/BO365)</f>
        <v>44.158136341605953</v>
      </c>
      <c r="BQ365" s="14">
        <f t="shared" si="629"/>
        <v>20</v>
      </c>
      <c r="BR365" s="14">
        <f>('疲劳值&amp;地图信息'!$S$10*'疲劳值&amp;地图信息'!$R$10+($BQ365-'疲劳值&amp;地图信息'!$S$10)*'疲劳值&amp;地图信息'!$R$11)/$BQ365</f>
        <v>32.067203015074995</v>
      </c>
      <c r="CF365" s="14">
        <v>360</v>
      </c>
      <c r="CG365" s="51">
        <f t="shared" si="536"/>
        <v>17346</v>
      </c>
      <c r="CH365" s="51">
        <f t="shared" si="537"/>
        <v>1019</v>
      </c>
      <c r="CI365" s="51">
        <f>INT(SUMPRODUCT($N365:$R365,$BA365:$BE365)/SUM($BA365:$BE365)/10000*$BX$7*$BZ$34/'疲劳值&amp;地图信息'!$R$10*$BY$53)</f>
        <v>3405</v>
      </c>
      <c r="CJ365" s="50">
        <f t="shared" si="538"/>
        <v>0.79678456591639868</v>
      </c>
      <c r="CK365" s="50">
        <f t="shared" si="539"/>
        <v>4.6807533302710154E-2</v>
      </c>
      <c r="CL365" s="50">
        <f t="shared" si="540"/>
        <v>0.15640790078089115</v>
      </c>
      <c r="CM365" s="14">
        <f t="shared" si="541"/>
        <v>18968</v>
      </c>
      <c r="CN365" s="14">
        <f t="shared" si="542"/>
        <v>1783</v>
      </c>
      <c r="CO365" s="14">
        <f>INT(SUMPRODUCT($U365:$Y365,$BA365:$BE365)/SUM($BA365:$BE365)/10000*$BX$7*$BZ$34/'疲劳值&amp;地图信息'!$R$10*$BY$54)</f>
        <v>6554</v>
      </c>
      <c r="CP365" s="50">
        <f t="shared" si="543"/>
        <v>0.694671305621681</v>
      </c>
      <c r="CQ365" s="50">
        <f t="shared" si="544"/>
        <v>6.5299395715070499E-2</v>
      </c>
      <c r="CR365" s="50">
        <f t="shared" si="545"/>
        <v>0.24002929866324849</v>
      </c>
      <c r="CS365" s="14">
        <f t="shared" si="546"/>
        <v>20747</v>
      </c>
      <c r="CT365" s="14">
        <f t="shared" si="547"/>
        <v>3298</v>
      </c>
      <c r="CU365" s="14">
        <f>INT(SUMPRODUCT($AB365:$AF365,$BA365:$BE365)/SUM($BA365:$BE365)/10000*$BX$7*$BZ$34/'疲劳值&amp;地图信息'!$R$10*$BY$55)</f>
        <v>8920</v>
      </c>
      <c r="CV365" s="50">
        <f t="shared" si="548"/>
        <v>0.62936447747611102</v>
      </c>
      <c r="CW365" s="50">
        <f t="shared" si="549"/>
        <v>0.10004550280600637</v>
      </c>
      <c r="CX365" s="50">
        <f t="shared" si="550"/>
        <v>0.2705900197178826</v>
      </c>
      <c r="CY365" s="14">
        <f t="shared" si="551"/>
        <v>24321</v>
      </c>
      <c r="CZ365" s="14">
        <f t="shared" si="552"/>
        <v>8134</v>
      </c>
      <c r="DA365" s="14">
        <f>INT(SUMPRODUCT($AI365:$AM365,$BA365:$BE365)/SUM($BA365:$BE365)/10000*$BX$7*$BZ$34/'疲劳值&amp;地图信息'!$R$10*$BY$56)</f>
        <v>13452</v>
      </c>
      <c r="DB365" s="50">
        <f t="shared" si="553"/>
        <v>0.52978848541616752</v>
      </c>
      <c r="DC365" s="50">
        <f t="shared" si="554"/>
        <v>0.1771843074040996</v>
      </c>
      <c r="DD365" s="50">
        <f t="shared" si="555"/>
        <v>0.29302720717973296</v>
      </c>
      <c r="DE365" s="14">
        <f t="shared" si="556"/>
        <v>25073</v>
      </c>
      <c r="DF365" s="14">
        <f t="shared" si="557"/>
        <v>13859</v>
      </c>
      <c r="DG365" s="14">
        <f>INT(SUMPRODUCT($AP365:$AT365,$BA365:$BE365)/SUM($BA365:$BE365)/10000*$BX$7*$BZ$34/'疲劳值&amp;地图信息'!$R$10*$BY$57)</f>
        <v>17953</v>
      </c>
      <c r="DH365" s="50">
        <f t="shared" si="558"/>
        <v>0.44076645864463393</v>
      </c>
      <c r="DI365" s="50">
        <f t="shared" si="559"/>
        <v>0.24363188889865517</v>
      </c>
      <c r="DJ365" s="50">
        <f t="shared" si="560"/>
        <v>0.3156016524567109</v>
      </c>
      <c r="DL365" s="14">
        <f t="shared" si="631"/>
        <v>21770</v>
      </c>
      <c r="DM365" s="14">
        <f t="shared" si="632"/>
        <v>27305</v>
      </c>
      <c r="DN365" s="14">
        <f t="shared" si="633"/>
        <v>32965</v>
      </c>
      <c r="DO365" s="14">
        <f t="shared" si="634"/>
        <v>45907</v>
      </c>
      <c r="DP365" s="14">
        <f t="shared" si="635"/>
        <v>56885</v>
      </c>
      <c r="DQ365" s="14">
        <f t="shared" si="636"/>
        <v>1503318</v>
      </c>
      <c r="DT365" s="14">
        <f t="shared" si="630"/>
        <v>235575</v>
      </c>
      <c r="DU365" s="50">
        <f t="shared" si="532"/>
        <v>0.13547412060431552</v>
      </c>
      <c r="DW365" s="14">
        <f t="shared" si="561"/>
        <v>1738893</v>
      </c>
      <c r="EB365" s="14">
        <v>360</v>
      </c>
      <c r="EC365" s="51">
        <f t="shared" si="562"/>
        <v>28910</v>
      </c>
      <c r="ED365" s="51">
        <f t="shared" si="563"/>
        <v>1699</v>
      </c>
      <c r="EE365" s="51">
        <f>INT(SUMPRODUCT($N365:$R365,$BF365:$BJ365)/SUM($BF365:$BJ365)/10000*$BX$7*$BZ$46/'疲劳值&amp;地图信息'!$R$10*$BY$53)</f>
        <v>457</v>
      </c>
      <c r="EF365" s="50">
        <f t="shared" si="564"/>
        <v>0.93059936908517349</v>
      </c>
      <c r="EG365" s="50">
        <f t="shared" si="565"/>
        <v>5.4690014807184703E-2</v>
      </c>
      <c r="EH365" s="50">
        <f t="shared" si="566"/>
        <v>1.4710616107641794E-2</v>
      </c>
      <c r="EI365" s="51">
        <f t="shared" si="567"/>
        <v>31614</v>
      </c>
      <c r="EJ365" s="51">
        <f t="shared" si="568"/>
        <v>2972</v>
      </c>
      <c r="EK365" s="14">
        <f>INT(SUMPRODUCT($U365:$Y365,$BF365:$BJ365)/SUM($BF365:$BJ365)/10000*$BX$7*$BZ$46/'疲劳值&amp;地图信息'!$R$10*$BY$54)</f>
        <v>879</v>
      </c>
      <c r="EL365" s="50">
        <f t="shared" si="569"/>
        <v>0.89141407021006625</v>
      </c>
      <c r="EM365" s="50">
        <f t="shared" si="570"/>
        <v>8.3800930494854084E-2</v>
      </c>
      <c r="EN365" s="50">
        <f t="shared" si="571"/>
        <v>2.4784999295079657E-2</v>
      </c>
      <c r="EO365" s="51">
        <f t="shared" si="572"/>
        <v>34578</v>
      </c>
      <c r="EP365" s="51">
        <f t="shared" si="573"/>
        <v>5498</v>
      </c>
      <c r="EQ365" s="14">
        <f>INT(SUMPRODUCT($AB365:$AF365,$BF365:$BJ365)/SUM($BF365:$BJ365)/10000*$BX$7*$BZ$46/'疲劳值&amp;地图信息'!$R$10*$BY$55)</f>
        <v>1195</v>
      </c>
      <c r="ER365" s="50">
        <f t="shared" si="574"/>
        <v>0.83782801482881442</v>
      </c>
      <c r="ES365" s="50">
        <f t="shared" si="575"/>
        <v>0.13321702890649609</v>
      </c>
      <c r="ET365" s="50">
        <f t="shared" si="576"/>
        <v>2.8954956264689493E-2</v>
      </c>
      <c r="EU365" s="51">
        <f t="shared" si="577"/>
        <v>40536</v>
      </c>
      <c r="EV365" s="51">
        <f t="shared" si="578"/>
        <v>13557</v>
      </c>
      <c r="EW365" s="14">
        <f>INT(SUMPRODUCT($AI365:$AM365,$BF365:$BJ365)/SUM($BF365:$BJ365)/10000*$BX$7*$BZ$46/'疲劳值&amp;地图信息'!$R$10*$BY$56)</f>
        <v>1793</v>
      </c>
      <c r="EX365" s="50">
        <f t="shared" si="579"/>
        <v>0.72533371506280642</v>
      </c>
      <c r="EY365" s="50">
        <f t="shared" si="580"/>
        <v>0.2425831156282432</v>
      </c>
      <c r="EZ365" s="50">
        <f t="shared" si="581"/>
        <v>3.208316930895036E-2</v>
      </c>
      <c r="FA365" s="51">
        <f t="shared" si="582"/>
        <v>41789</v>
      </c>
      <c r="FB365" s="51">
        <f t="shared" si="583"/>
        <v>23098</v>
      </c>
      <c r="FC365" s="14">
        <f>INT(SUMPRODUCT($AP365:$AT365,$BF365:$BJ365)/SUM($BF365:$BJ365)/10000*$BX$7*$BZ$46/'疲劳值&amp;地图信息'!$R$10*$BY$57)</f>
        <v>2391</v>
      </c>
      <c r="FD365" s="50">
        <f t="shared" si="584"/>
        <v>0.62113915395820329</v>
      </c>
      <c r="FE365" s="50">
        <f t="shared" si="585"/>
        <v>0.34332173964743307</v>
      </c>
      <c r="FF365" s="50">
        <f t="shared" si="586"/>
        <v>3.5539106394363688E-2</v>
      </c>
      <c r="FH365" s="14">
        <f t="shared" si="587"/>
        <v>31066</v>
      </c>
      <c r="FI365" s="14">
        <f t="shared" si="588"/>
        <v>35465</v>
      </c>
      <c r="FJ365" s="14">
        <f t="shared" si="589"/>
        <v>41271</v>
      </c>
      <c r="FK365" s="14">
        <f t="shared" si="590"/>
        <v>55886</v>
      </c>
      <c r="FL365" s="14">
        <f t="shared" si="591"/>
        <v>67278</v>
      </c>
      <c r="FM365" s="14">
        <f t="shared" si="592"/>
        <v>3639379</v>
      </c>
      <c r="FP365" s="14">
        <f t="shared" si="593"/>
        <v>334150</v>
      </c>
      <c r="FQ365" s="50">
        <f t="shared" si="533"/>
        <v>8.4094013155560213E-2</v>
      </c>
      <c r="FS365" s="14">
        <f t="shared" si="594"/>
        <v>3973529</v>
      </c>
      <c r="FX365" s="14">
        <v>360</v>
      </c>
      <c r="FY365" s="51">
        <f t="shared" si="595"/>
        <v>40475</v>
      </c>
      <c r="FZ365" s="51">
        <f t="shared" si="596"/>
        <v>1699</v>
      </c>
      <c r="GA365" s="51">
        <f>INT(SUMPRODUCT($N365:$R365,$BF365:$BJ365)/SUM($BF365:$BJ365)/10000*$BX$7*$BZ$46/'疲劳值&amp;地图信息'!$R$10*$BY$53)</f>
        <v>457</v>
      </c>
      <c r="GB365" s="50">
        <f t="shared" si="597"/>
        <v>0.9494264736928526</v>
      </c>
      <c r="GC365" s="50">
        <f t="shared" si="598"/>
        <v>3.9853627641856862E-2</v>
      </c>
      <c r="GD365" s="50">
        <f t="shared" si="599"/>
        <v>1.0719898665290516E-2</v>
      </c>
      <c r="GE365" s="51">
        <f t="shared" si="600"/>
        <v>44259</v>
      </c>
      <c r="GF365" s="51">
        <f t="shared" si="601"/>
        <v>2972</v>
      </c>
      <c r="GG365" s="14">
        <f>INT(SUMPRODUCT($U365:$Y365,$BF365:$BJ365)/SUM($BF365:$BJ365)/10000*$BX$7*$BZ$46/'疲劳值&amp;地图信息'!$R$10*$BY$54)</f>
        <v>879</v>
      </c>
      <c r="GH365" s="50">
        <f t="shared" si="602"/>
        <v>0.91995427146123465</v>
      </c>
      <c r="GI365" s="50">
        <f t="shared" si="603"/>
        <v>6.1775098732072334E-2</v>
      </c>
      <c r="GJ365" s="50">
        <f t="shared" si="604"/>
        <v>1.8270629806692994E-2</v>
      </c>
      <c r="GK365" s="51">
        <f t="shared" si="605"/>
        <v>48410</v>
      </c>
      <c r="GL365" s="51">
        <f t="shared" si="606"/>
        <v>5498</v>
      </c>
      <c r="GM365" s="14">
        <f>INT(SUMPRODUCT($AB365:$AF365,$BF365:$BJ365)/SUM($BF365:$BJ365)/10000*$BX$7*$BZ$46/'疲劳值&amp;地图信息'!$R$10*$BY$55)</f>
        <v>1195</v>
      </c>
      <c r="GN365" s="50">
        <f t="shared" si="607"/>
        <v>0.87853655880805037</v>
      </c>
      <c r="GO365" s="50">
        <f t="shared" si="608"/>
        <v>9.9776781663430306E-2</v>
      </c>
      <c r="GP365" s="50">
        <f t="shared" si="609"/>
        <v>2.1686659528519319E-2</v>
      </c>
      <c r="GQ365" s="51">
        <f t="shared" si="610"/>
        <v>56750</v>
      </c>
      <c r="GR365" s="51">
        <f t="shared" si="611"/>
        <v>13557</v>
      </c>
      <c r="GS365" s="14">
        <f>INT(SUMPRODUCT($AI365:$AM365,$BF365:$BJ365)/SUM($BF365:$BJ365)/10000*$BX$7*$BZ$46/'疲劳值&amp;地图信息'!$R$10*$BY$56)</f>
        <v>1793</v>
      </c>
      <c r="GT365" s="50">
        <f t="shared" si="612"/>
        <v>0.78710124826629679</v>
      </c>
      <c r="GU365" s="50">
        <f t="shared" si="613"/>
        <v>0.18803051317614425</v>
      </c>
      <c r="GV365" s="50">
        <f t="shared" si="614"/>
        <v>2.4868238557558944E-2</v>
      </c>
      <c r="GW365" s="51">
        <f t="shared" si="615"/>
        <v>58504</v>
      </c>
      <c r="GX365" s="51">
        <f t="shared" si="616"/>
        <v>23098</v>
      </c>
      <c r="GY365" s="14">
        <f>INT(SUMPRODUCT($AP365:$AT365,$BF365:$BJ365)/SUM($BF365:$BJ365)/10000*$BX$7*$BZ$46/'疲劳值&amp;地图信息'!$R$10*$BY$57)</f>
        <v>2391</v>
      </c>
      <c r="GZ365" s="50">
        <f t="shared" si="617"/>
        <v>0.69653423499577349</v>
      </c>
      <c r="HA365" s="50">
        <f t="shared" si="618"/>
        <v>0.27499910706844616</v>
      </c>
      <c r="HB365" s="50">
        <f t="shared" si="619"/>
        <v>2.8466657935780362E-2</v>
      </c>
      <c r="HD365" s="14">
        <f t="shared" si="620"/>
        <v>42631</v>
      </c>
      <c r="HE365" s="14">
        <f t="shared" si="621"/>
        <v>48110</v>
      </c>
      <c r="HF365" s="14">
        <f t="shared" si="622"/>
        <v>55103</v>
      </c>
      <c r="HG365" s="14">
        <f t="shared" si="623"/>
        <v>72100</v>
      </c>
      <c r="HH365" s="14">
        <f t="shared" si="624"/>
        <v>83993</v>
      </c>
      <c r="HI365" s="14">
        <f t="shared" si="625"/>
        <v>4935445</v>
      </c>
      <c r="HL365" s="14">
        <f t="shared" si="626"/>
        <v>430050</v>
      </c>
      <c r="HM365" s="50">
        <f t="shared" si="534"/>
        <v>8.0151039186505624E-2</v>
      </c>
      <c r="HO365" s="14">
        <f t="shared" si="627"/>
        <v>5365495</v>
      </c>
    </row>
    <row r="366" spans="11:223" x14ac:dyDescent="0.2">
      <c r="K366" s="1"/>
      <c r="L366" s="1"/>
      <c r="S366" s="1"/>
      <c r="Z366" s="1"/>
      <c r="AG366" s="1"/>
      <c r="AN366" s="1"/>
    </row>
    <row r="367" spans="11:223" x14ac:dyDescent="0.2">
      <c r="K367" s="1"/>
      <c r="L367" s="1"/>
      <c r="S367" s="1"/>
      <c r="Z367" s="1"/>
      <c r="AG367" s="1"/>
      <c r="AN367" s="1"/>
    </row>
    <row r="368" spans="11:223" x14ac:dyDescent="0.2">
      <c r="K368" s="1"/>
      <c r="L368" s="1"/>
      <c r="S368" s="1"/>
      <c r="Z368" s="1"/>
      <c r="AG368" s="1"/>
      <c r="AN368" s="1"/>
    </row>
    <row r="369" spans="11:40" x14ac:dyDescent="0.2">
      <c r="K369" s="1"/>
      <c r="L369" s="1"/>
      <c r="S369" s="1"/>
      <c r="Z369" s="1"/>
      <c r="AG369" s="1"/>
      <c r="AN369" s="1"/>
    </row>
    <row r="370" spans="11:40" x14ac:dyDescent="0.2">
      <c r="K370" s="1"/>
      <c r="L370" s="1"/>
      <c r="S370" s="1"/>
      <c r="Z370" s="1"/>
      <c r="AG370" s="1"/>
      <c r="AN370" s="1"/>
    </row>
    <row r="371" spans="11:40" x14ac:dyDescent="0.2">
      <c r="K371" s="1"/>
      <c r="L371" s="1"/>
      <c r="S371" s="1"/>
      <c r="Z371" s="1"/>
      <c r="AG371" s="1"/>
      <c r="AN371" s="1"/>
    </row>
    <row r="372" spans="11:40" x14ac:dyDescent="0.2">
      <c r="K372" s="1"/>
      <c r="L372" s="1"/>
      <c r="S372" s="1"/>
      <c r="Z372" s="1"/>
      <c r="AG372" s="1"/>
      <c r="AN372" s="1"/>
    </row>
    <row r="373" spans="11:40" x14ac:dyDescent="0.2">
      <c r="K373" s="1"/>
      <c r="L373" s="1"/>
      <c r="S373" s="1"/>
      <c r="Z373" s="1"/>
      <c r="AG373" s="1"/>
      <c r="AN373" s="1"/>
    </row>
    <row r="374" spans="11:40" x14ac:dyDescent="0.2">
      <c r="K374" s="1"/>
      <c r="L374" s="1"/>
      <c r="S374" s="1"/>
      <c r="Z374" s="1"/>
      <c r="AG374" s="1"/>
      <c r="AN374" s="1"/>
    </row>
    <row r="375" spans="11:40" x14ac:dyDescent="0.2">
      <c r="K375" s="1"/>
      <c r="L375" s="1"/>
      <c r="S375" s="1"/>
      <c r="Z375" s="1"/>
      <c r="AG375" s="1"/>
      <c r="AN375" s="1"/>
    </row>
    <row r="376" spans="11:40" x14ac:dyDescent="0.2">
      <c r="K376" s="1"/>
      <c r="L376" s="1"/>
      <c r="S376" s="1"/>
      <c r="Z376" s="1"/>
      <c r="AG376" s="1"/>
      <c r="AN376" s="1"/>
    </row>
    <row r="377" spans="11:40" x14ac:dyDescent="0.2">
      <c r="K377" s="1"/>
      <c r="L377" s="1"/>
      <c r="S377" s="1"/>
      <c r="Z377" s="1"/>
      <c r="AG377" s="1"/>
      <c r="AN377" s="1"/>
    </row>
    <row r="378" spans="11:40" x14ac:dyDescent="0.2">
      <c r="K378" s="1"/>
      <c r="L378" s="1"/>
      <c r="S378" s="1"/>
      <c r="Z378" s="1"/>
      <c r="AG378" s="1"/>
      <c r="AN378" s="1"/>
    </row>
    <row r="379" spans="11:40" x14ac:dyDescent="0.2">
      <c r="K379" s="1"/>
      <c r="L379" s="1"/>
      <c r="S379" s="1"/>
      <c r="Z379" s="1"/>
      <c r="AG379" s="1"/>
      <c r="AN379" s="1"/>
    </row>
    <row r="380" spans="11:40" x14ac:dyDescent="0.2">
      <c r="K380" s="1"/>
      <c r="L380" s="1"/>
      <c r="S380" s="1"/>
      <c r="Z380" s="1"/>
      <c r="AG380" s="1"/>
      <c r="AN380" s="1"/>
    </row>
    <row r="381" spans="11:40" x14ac:dyDescent="0.2">
      <c r="K381" s="1"/>
      <c r="L381" s="1"/>
      <c r="S381" s="1"/>
      <c r="Z381" s="1"/>
      <c r="AG381" s="1"/>
      <c r="AN381" s="1"/>
    </row>
    <row r="382" spans="11:40" x14ac:dyDescent="0.2">
      <c r="K382" s="1"/>
      <c r="L382" s="1"/>
      <c r="S382" s="1"/>
      <c r="Z382" s="1"/>
      <c r="AG382" s="1"/>
      <c r="AN382" s="1"/>
    </row>
    <row r="383" spans="11:40" x14ac:dyDescent="0.2">
      <c r="K383" s="1"/>
      <c r="L383" s="1"/>
      <c r="S383" s="1"/>
      <c r="Z383" s="1"/>
      <c r="AG383" s="1"/>
      <c r="AN383" s="1"/>
    </row>
    <row r="384" spans="11:40" x14ac:dyDescent="0.2">
      <c r="K384" s="1"/>
      <c r="L384" s="1"/>
      <c r="S384" s="1"/>
      <c r="Z384" s="1"/>
      <c r="AG384" s="1"/>
      <c r="AN384" s="1"/>
    </row>
    <row r="385" spans="11:40" x14ac:dyDescent="0.2">
      <c r="K385" s="1"/>
      <c r="L385" s="1"/>
      <c r="S385" s="1"/>
      <c r="Z385" s="1"/>
      <c r="AG385" s="1"/>
      <c r="AN385" s="1"/>
    </row>
    <row r="386" spans="11:40" x14ac:dyDescent="0.2">
      <c r="K386" s="1"/>
      <c r="L386" s="1"/>
      <c r="S386" s="1"/>
      <c r="Z386" s="1"/>
      <c r="AG386" s="1"/>
      <c r="AN386" s="1"/>
    </row>
    <row r="387" spans="11:40" x14ac:dyDescent="0.2">
      <c r="K387" s="1"/>
      <c r="L387" s="1"/>
      <c r="S387" s="1"/>
      <c r="Z387" s="1"/>
      <c r="AG387" s="1"/>
      <c r="AN387" s="1"/>
    </row>
    <row r="388" spans="11:40" x14ac:dyDescent="0.2">
      <c r="K388" s="1"/>
      <c r="L388" s="1"/>
      <c r="S388" s="1"/>
      <c r="Z388" s="1"/>
      <c r="AG388" s="1"/>
      <c r="AN388" s="1"/>
    </row>
    <row r="389" spans="11:40" x14ac:dyDescent="0.2">
      <c r="K389" s="1"/>
      <c r="L389" s="1"/>
      <c r="S389" s="1"/>
      <c r="Z389" s="1"/>
      <c r="AG389" s="1"/>
      <c r="AN389" s="1"/>
    </row>
    <row r="390" spans="11:40" x14ac:dyDescent="0.2">
      <c r="K390" s="1"/>
      <c r="L390" s="1"/>
      <c r="S390" s="1"/>
      <c r="Z390" s="1"/>
      <c r="AG390" s="1"/>
      <c r="AN390" s="1"/>
    </row>
    <row r="391" spans="11:40" x14ac:dyDescent="0.2">
      <c r="K391" s="1"/>
      <c r="L391" s="1"/>
      <c r="S391" s="1"/>
      <c r="Z391" s="1"/>
      <c r="AG391" s="1"/>
      <c r="AN391" s="1"/>
    </row>
    <row r="392" spans="11:40" x14ac:dyDescent="0.2">
      <c r="K392" s="1"/>
      <c r="L392" s="1"/>
      <c r="S392" s="1"/>
      <c r="Z392" s="1"/>
      <c r="AG392" s="1"/>
      <c r="AN392" s="1"/>
    </row>
    <row r="393" spans="11:40" x14ac:dyDescent="0.2">
      <c r="K393" s="1"/>
      <c r="L393" s="1"/>
      <c r="S393" s="1"/>
      <c r="Z393" s="1"/>
      <c r="AG393" s="1"/>
      <c r="AN393" s="1"/>
    </row>
    <row r="394" spans="11:40" x14ac:dyDescent="0.2">
      <c r="K394" s="1"/>
      <c r="L394" s="1"/>
      <c r="S394" s="1"/>
      <c r="Z394" s="1"/>
      <c r="AG394" s="1"/>
      <c r="AN394" s="1"/>
    </row>
    <row r="395" spans="11:40" x14ac:dyDescent="0.2">
      <c r="K395" s="1"/>
      <c r="L395" s="1"/>
      <c r="S395" s="1"/>
      <c r="Z395" s="1"/>
      <c r="AG395" s="1"/>
      <c r="AN395" s="1"/>
    </row>
    <row r="396" spans="11:40" x14ac:dyDescent="0.2">
      <c r="K396" s="1"/>
      <c r="L396" s="1"/>
      <c r="S396" s="1"/>
      <c r="Z396" s="1"/>
      <c r="AG396" s="1"/>
      <c r="AN396" s="1"/>
    </row>
    <row r="397" spans="11:40" x14ac:dyDescent="0.2">
      <c r="K397" s="1"/>
      <c r="L397" s="1"/>
      <c r="S397" s="1"/>
      <c r="Z397" s="1"/>
      <c r="AG397" s="1"/>
      <c r="AN397" s="1"/>
    </row>
    <row r="398" spans="11:40" x14ac:dyDescent="0.2">
      <c r="K398" s="1"/>
      <c r="L398" s="1"/>
      <c r="S398" s="1"/>
      <c r="Z398" s="1"/>
      <c r="AG398" s="1"/>
      <c r="AN398" s="1"/>
    </row>
    <row r="399" spans="11:40" x14ac:dyDescent="0.2">
      <c r="K399" s="1"/>
      <c r="L399" s="1"/>
      <c r="S399" s="1"/>
      <c r="Z399" s="1"/>
      <c r="AG399" s="1"/>
      <c r="AN399" s="1"/>
    </row>
    <row r="400" spans="11:40" x14ac:dyDescent="0.2">
      <c r="K400" s="1"/>
      <c r="L400" s="1"/>
      <c r="S400" s="1"/>
      <c r="Z400" s="1"/>
      <c r="AG400" s="1"/>
      <c r="AN400" s="1"/>
    </row>
    <row r="401" spans="11:40" x14ac:dyDescent="0.2">
      <c r="K401" s="1"/>
      <c r="L401" s="1"/>
      <c r="S401" s="1"/>
      <c r="Z401" s="1"/>
      <c r="AG401" s="1"/>
      <c r="AN401" s="1"/>
    </row>
    <row r="402" spans="11:40" x14ac:dyDescent="0.2">
      <c r="K402" s="1"/>
      <c r="L402" s="1"/>
      <c r="S402" s="1"/>
      <c r="Z402" s="1"/>
      <c r="AG402" s="1"/>
      <c r="AN402" s="1"/>
    </row>
    <row r="403" spans="11:40" x14ac:dyDescent="0.2">
      <c r="K403" s="1"/>
      <c r="L403" s="1"/>
      <c r="S403" s="1"/>
      <c r="Z403" s="1"/>
      <c r="AG403" s="1"/>
      <c r="AN403" s="1"/>
    </row>
    <row r="404" spans="11:40" x14ac:dyDescent="0.2">
      <c r="K404" s="1"/>
      <c r="L404" s="1"/>
      <c r="S404" s="1"/>
      <c r="Z404" s="1"/>
      <c r="AG404" s="1"/>
      <c r="AN404" s="1"/>
    </row>
    <row r="405" spans="11:40" x14ac:dyDescent="0.2">
      <c r="K405" s="1"/>
      <c r="L405" s="1"/>
      <c r="S405" s="1"/>
      <c r="Z405" s="1"/>
      <c r="AG405" s="1"/>
      <c r="AN405" s="1"/>
    </row>
    <row r="406" spans="11:40" x14ac:dyDescent="0.2">
      <c r="K406" s="1"/>
      <c r="L406" s="1"/>
      <c r="S406" s="1"/>
      <c r="Z406" s="1"/>
      <c r="AG406" s="1"/>
      <c r="AN406" s="1"/>
    </row>
    <row r="407" spans="11:40" x14ac:dyDescent="0.2">
      <c r="K407" s="1"/>
      <c r="L407" s="1"/>
      <c r="S407" s="1"/>
      <c r="Z407" s="1"/>
      <c r="AG407" s="1"/>
      <c r="AN407" s="1"/>
    </row>
    <row r="408" spans="11:40" x14ac:dyDescent="0.2">
      <c r="K408" s="1"/>
      <c r="L408" s="1"/>
      <c r="S408" s="1"/>
      <c r="Z408" s="1"/>
      <c r="AG408" s="1"/>
      <c r="AN408" s="1"/>
    </row>
    <row r="409" spans="11:40" x14ac:dyDescent="0.2">
      <c r="K409" s="1"/>
      <c r="L409" s="1"/>
      <c r="S409" s="1"/>
      <c r="Z409" s="1"/>
      <c r="AG409" s="1"/>
      <c r="AN409" s="1"/>
    </row>
    <row r="410" spans="11:40" x14ac:dyDescent="0.2">
      <c r="K410" s="1"/>
      <c r="L410" s="1"/>
      <c r="S410" s="1"/>
      <c r="Z410" s="1"/>
      <c r="AG410" s="1"/>
      <c r="AN410" s="1"/>
    </row>
    <row r="411" spans="11:40" x14ac:dyDescent="0.2">
      <c r="K411" s="1"/>
      <c r="L411" s="1"/>
      <c r="S411" s="1"/>
      <c r="Z411" s="1"/>
      <c r="AG411" s="1"/>
      <c r="AN411" s="1"/>
    </row>
    <row r="412" spans="11:40" x14ac:dyDescent="0.2">
      <c r="K412" s="1"/>
      <c r="L412" s="1"/>
      <c r="S412" s="1"/>
      <c r="Z412" s="1"/>
      <c r="AG412" s="1"/>
      <c r="AN412" s="1"/>
    </row>
    <row r="413" spans="11:40" x14ac:dyDescent="0.2">
      <c r="K413" s="1"/>
      <c r="L413" s="1"/>
      <c r="S413" s="1"/>
      <c r="Z413" s="1"/>
      <c r="AG413" s="1"/>
      <c r="AN413" s="1"/>
    </row>
    <row r="414" spans="11:40" x14ac:dyDescent="0.2">
      <c r="K414" s="1"/>
      <c r="L414" s="1"/>
      <c r="S414" s="1"/>
      <c r="Z414" s="1"/>
      <c r="AG414" s="1"/>
      <c r="AN414" s="1"/>
    </row>
    <row r="415" spans="11:40" x14ac:dyDescent="0.2">
      <c r="K415" s="1"/>
      <c r="L415" s="1"/>
      <c r="S415" s="1"/>
      <c r="Z415" s="1"/>
      <c r="AG415" s="1"/>
      <c r="AN415" s="1"/>
    </row>
    <row r="416" spans="11:40" x14ac:dyDescent="0.2">
      <c r="K416" s="1"/>
      <c r="L416" s="1"/>
      <c r="S416" s="1"/>
      <c r="Z416" s="1"/>
      <c r="AG416" s="1"/>
      <c r="AN416" s="1"/>
    </row>
    <row r="417" spans="11:40" x14ac:dyDescent="0.2">
      <c r="K417" s="1"/>
      <c r="L417" s="1"/>
      <c r="S417" s="1"/>
      <c r="Z417" s="1"/>
      <c r="AG417" s="1"/>
      <c r="AN417" s="1"/>
    </row>
    <row r="418" spans="11:40" x14ac:dyDescent="0.2">
      <c r="K418" s="1"/>
      <c r="L418" s="1"/>
      <c r="S418" s="1"/>
      <c r="Z418" s="1"/>
      <c r="AG418" s="1"/>
      <c r="AN418" s="1"/>
    </row>
    <row r="419" spans="11:40" x14ac:dyDescent="0.2">
      <c r="K419" s="1"/>
      <c r="L419" s="1"/>
      <c r="S419" s="1"/>
      <c r="Z419" s="1"/>
      <c r="AG419" s="1"/>
      <c r="AN419" s="1"/>
    </row>
    <row r="420" spans="11:40" x14ac:dyDescent="0.2">
      <c r="K420" s="1"/>
      <c r="L420" s="1"/>
      <c r="S420" s="1"/>
      <c r="Z420" s="1"/>
      <c r="AG420" s="1"/>
      <c r="AN420" s="1"/>
    </row>
    <row r="421" spans="11:40" x14ac:dyDescent="0.2">
      <c r="K421" s="1"/>
      <c r="L421" s="1"/>
      <c r="S421" s="1"/>
      <c r="Z421" s="1"/>
      <c r="AG421" s="1"/>
      <c r="AN421" s="1"/>
    </row>
    <row r="422" spans="11:40" x14ac:dyDescent="0.2">
      <c r="K422" s="1"/>
      <c r="L422" s="1"/>
      <c r="S422" s="1"/>
      <c r="Z422" s="1"/>
      <c r="AG422" s="1"/>
      <c r="AN422" s="1"/>
    </row>
    <row r="423" spans="11:40" x14ac:dyDescent="0.2">
      <c r="K423" s="1"/>
      <c r="L423" s="1"/>
      <c r="S423" s="1"/>
      <c r="Z423" s="1"/>
      <c r="AG423" s="1"/>
      <c r="AN423" s="1"/>
    </row>
    <row r="424" spans="11:40" x14ac:dyDescent="0.2">
      <c r="K424" s="1"/>
      <c r="L424" s="1"/>
      <c r="S424" s="1"/>
      <c r="Z424" s="1"/>
      <c r="AG424" s="1"/>
      <c r="AN424" s="1"/>
    </row>
    <row r="425" spans="11:40" x14ac:dyDescent="0.2">
      <c r="K425" s="1"/>
      <c r="L425" s="1"/>
      <c r="S425" s="1"/>
      <c r="Z425" s="1"/>
      <c r="AG425" s="1"/>
      <c r="AN425" s="1"/>
    </row>
    <row r="426" spans="11:40" x14ac:dyDescent="0.2">
      <c r="K426" s="1"/>
      <c r="L426" s="1"/>
      <c r="S426" s="1"/>
      <c r="Z426" s="1"/>
      <c r="AG426" s="1"/>
      <c r="AN426" s="1"/>
    </row>
    <row r="427" spans="11:40" x14ac:dyDescent="0.2">
      <c r="K427" s="1"/>
      <c r="L427" s="1"/>
      <c r="S427" s="1"/>
      <c r="Z427" s="1"/>
      <c r="AG427" s="1"/>
      <c r="AN427" s="1"/>
    </row>
    <row r="428" spans="11:40" x14ac:dyDescent="0.2">
      <c r="K428" s="1"/>
      <c r="L428" s="1"/>
      <c r="S428" s="1"/>
      <c r="Z428" s="1"/>
      <c r="AG428" s="1"/>
      <c r="AN428" s="1"/>
    </row>
    <row r="429" spans="11:40" x14ac:dyDescent="0.2">
      <c r="K429" s="1"/>
      <c r="L429" s="1"/>
      <c r="S429" s="1"/>
      <c r="Z429" s="1"/>
      <c r="AG429" s="1"/>
      <c r="AN429" s="1"/>
    </row>
    <row r="430" spans="11:40" x14ac:dyDescent="0.2">
      <c r="K430" s="1"/>
      <c r="L430" s="1"/>
      <c r="S430" s="1"/>
      <c r="Z430" s="1"/>
      <c r="AG430" s="1"/>
      <c r="AN430" s="1"/>
    </row>
    <row r="431" spans="11:40" x14ac:dyDescent="0.2">
      <c r="K431" s="1"/>
      <c r="L431" s="1"/>
      <c r="S431" s="1"/>
      <c r="Z431" s="1"/>
      <c r="AG431" s="1"/>
      <c r="AN431" s="1"/>
    </row>
    <row r="432" spans="11:40" x14ac:dyDescent="0.2">
      <c r="K432" s="1"/>
      <c r="L432" s="1"/>
      <c r="S432" s="1"/>
      <c r="Z432" s="1"/>
      <c r="AG432" s="1"/>
      <c r="AN432" s="1"/>
    </row>
    <row r="433" spans="11:40" x14ac:dyDescent="0.2">
      <c r="K433" s="1"/>
      <c r="L433" s="1"/>
      <c r="S433" s="1"/>
      <c r="Z433" s="1"/>
      <c r="AG433" s="1"/>
      <c r="AN433" s="1"/>
    </row>
    <row r="434" spans="11:40" x14ac:dyDescent="0.2">
      <c r="K434" s="1"/>
      <c r="L434" s="1"/>
      <c r="S434" s="1"/>
      <c r="Z434" s="1"/>
      <c r="AG434" s="1"/>
      <c r="AN434" s="1"/>
    </row>
    <row r="435" spans="11:40" x14ac:dyDescent="0.2">
      <c r="K435" s="1"/>
      <c r="L435" s="1"/>
      <c r="S435" s="1"/>
      <c r="Z435" s="1"/>
      <c r="AG435" s="1"/>
      <c r="AN435" s="1"/>
    </row>
    <row r="436" spans="11:40" x14ac:dyDescent="0.2">
      <c r="K436" s="1"/>
      <c r="L436" s="1"/>
      <c r="S436" s="1"/>
      <c r="Z436" s="1"/>
      <c r="AG436" s="1"/>
      <c r="AN436" s="1"/>
    </row>
    <row r="437" spans="11:40" x14ac:dyDescent="0.2">
      <c r="K437" s="1"/>
      <c r="L437" s="1"/>
      <c r="S437" s="1"/>
      <c r="Z437" s="1"/>
      <c r="AG437" s="1"/>
      <c r="AN437" s="1"/>
    </row>
    <row r="438" spans="11:40" x14ac:dyDescent="0.2">
      <c r="K438" s="1"/>
      <c r="L438" s="1"/>
      <c r="S438" s="1"/>
      <c r="Z438" s="1"/>
      <c r="AG438" s="1"/>
      <c r="AN438" s="1"/>
    </row>
    <row r="439" spans="11:40" x14ac:dyDescent="0.2">
      <c r="K439" s="1"/>
      <c r="L439" s="1"/>
      <c r="S439" s="1"/>
      <c r="Z439" s="1"/>
      <c r="AG439" s="1"/>
      <c r="AN439" s="1"/>
    </row>
    <row r="440" spans="11:40" x14ac:dyDescent="0.2">
      <c r="K440" s="1"/>
      <c r="L440" s="1"/>
      <c r="S440" s="1"/>
      <c r="Z440" s="1"/>
      <c r="AG440" s="1"/>
      <c r="AN440" s="1"/>
    </row>
    <row r="441" spans="11:40" x14ac:dyDescent="0.2">
      <c r="K441" s="1"/>
      <c r="L441" s="1"/>
      <c r="S441" s="1"/>
      <c r="Z441" s="1"/>
      <c r="AG441" s="1"/>
      <c r="AN441" s="1"/>
    </row>
    <row r="442" spans="11:40" x14ac:dyDescent="0.2">
      <c r="K442" s="1"/>
      <c r="L442" s="1"/>
      <c r="S442" s="1"/>
      <c r="Z442" s="1"/>
      <c r="AG442" s="1"/>
      <c r="AN442" s="1"/>
    </row>
    <row r="443" spans="11:40" x14ac:dyDescent="0.2">
      <c r="K443" s="1"/>
      <c r="L443" s="1"/>
      <c r="S443" s="1"/>
      <c r="Z443" s="1"/>
      <c r="AG443" s="1"/>
      <c r="AN443" s="1"/>
    </row>
    <row r="444" spans="11:40" x14ac:dyDescent="0.2">
      <c r="K444" s="1"/>
      <c r="L444" s="1"/>
      <c r="S444" s="1"/>
      <c r="Z444" s="1"/>
      <c r="AG444" s="1"/>
      <c r="AN444" s="1"/>
    </row>
    <row r="445" spans="11:40" x14ac:dyDescent="0.2">
      <c r="K445" s="1"/>
      <c r="L445" s="1"/>
      <c r="S445" s="1"/>
      <c r="Z445" s="1"/>
      <c r="AG445" s="1"/>
      <c r="AN445" s="1"/>
    </row>
    <row r="446" spans="11:40" x14ac:dyDescent="0.2">
      <c r="K446" s="1"/>
      <c r="L446" s="1"/>
      <c r="S446" s="1"/>
      <c r="Z446" s="1"/>
      <c r="AG446" s="1"/>
      <c r="AN446" s="1"/>
    </row>
    <row r="447" spans="11:40" x14ac:dyDescent="0.2">
      <c r="K447" s="1"/>
      <c r="L447" s="1"/>
      <c r="S447" s="1"/>
      <c r="Z447" s="1"/>
      <c r="AG447" s="1"/>
      <c r="AN447" s="1"/>
    </row>
    <row r="448" spans="11:40" x14ac:dyDescent="0.2">
      <c r="K448" s="1"/>
      <c r="L448" s="1"/>
      <c r="S448" s="1"/>
      <c r="Z448" s="1"/>
      <c r="AG448" s="1"/>
      <c r="AN448" s="1"/>
    </row>
    <row r="449" spans="11:40" x14ac:dyDescent="0.2">
      <c r="K449" s="1"/>
      <c r="L449" s="1"/>
      <c r="S449" s="1"/>
      <c r="Z449" s="1"/>
      <c r="AG449" s="1"/>
      <c r="AN449" s="1"/>
    </row>
    <row r="450" spans="11:40" x14ac:dyDescent="0.2">
      <c r="K450" s="1"/>
      <c r="L450" s="1"/>
      <c r="S450" s="1"/>
      <c r="Z450" s="1"/>
      <c r="AG450" s="1"/>
      <c r="AN450" s="1"/>
    </row>
    <row r="451" spans="11:40" x14ac:dyDescent="0.2">
      <c r="K451" s="1"/>
      <c r="L451" s="1"/>
      <c r="S451" s="1"/>
      <c r="Z451" s="1"/>
      <c r="AG451" s="1"/>
      <c r="AN451" s="1"/>
    </row>
    <row r="452" spans="11:40" x14ac:dyDescent="0.2">
      <c r="K452" s="1"/>
      <c r="L452" s="1"/>
      <c r="S452" s="1"/>
      <c r="Z452" s="1"/>
      <c r="AG452" s="1"/>
      <c r="AN452" s="1"/>
    </row>
    <row r="453" spans="11:40" x14ac:dyDescent="0.2">
      <c r="K453" s="1"/>
      <c r="L453" s="1"/>
      <c r="S453" s="1"/>
      <c r="Z453" s="1"/>
      <c r="AG453" s="1"/>
      <c r="AN453" s="1"/>
    </row>
    <row r="454" spans="11:40" x14ac:dyDescent="0.2">
      <c r="K454" s="1"/>
      <c r="L454" s="1"/>
      <c r="S454" s="1"/>
      <c r="Z454" s="1"/>
      <c r="AG454" s="1"/>
      <c r="AN454" s="1"/>
    </row>
    <row r="455" spans="11:40" x14ac:dyDescent="0.2">
      <c r="K455" s="1"/>
      <c r="L455" s="1"/>
      <c r="S455" s="1"/>
      <c r="Z455" s="1"/>
      <c r="AG455" s="1"/>
      <c r="AN455" s="1"/>
    </row>
    <row r="456" spans="11:40" x14ac:dyDescent="0.2">
      <c r="K456" s="1"/>
      <c r="L456" s="1"/>
      <c r="S456" s="1"/>
      <c r="Z456" s="1"/>
      <c r="AG456" s="1"/>
      <c r="AN456" s="1"/>
    </row>
    <row r="457" spans="11:40" x14ac:dyDescent="0.2">
      <c r="K457" s="1"/>
      <c r="L457" s="1"/>
      <c r="S457" s="1"/>
      <c r="Z457" s="1"/>
      <c r="AG457" s="1"/>
      <c r="AN457" s="1"/>
    </row>
    <row r="458" spans="11:40" x14ac:dyDescent="0.2">
      <c r="K458" s="1"/>
      <c r="L458" s="1"/>
      <c r="S458" s="1"/>
      <c r="Z458" s="1"/>
      <c r="AG458" s="1"/>
      <c r="AN458" s="1"/>
    </row>
    <row r="459" spans="11:40" x14ac:dyDescent="0.2">
      <c r="K459" s="1"/>
      <c r="L459" s="1"/>
      <c r="S459" s="1"/>
      <c r="Z459" s="1"/>
      <c r="AG459" s="1"/>
      <c r="AN459" s="1"/>
    </row>
    <row r="460" spans="11:40" x14ac:dyDescent="0.2">
      <c r="K460" s="1"/>
      <c r="L460" s="1"/>
      <c r="S460" s="1"/>
      <c r="Z460" s="1"/>
      <c r="AG460" s="1"/>
      <c r="AN460" s="1"/>
    </row>
    <row r="461" spans="11:40" x14ac:dyDescent="0.2">
      <c r="K461" s="1"/>
      <c r="L461" s="1"/>
      <c r="S461" s="1"/>
      <c r="Z461" s="1"/>
      <c r="AG461" s="1"/>
      <c r="AN461" s="1"/>
    </row>
    <row r="462" spans="11:40" x14ac:dyDescent="0.2">
      <c r="K462" s="1"/>
      <c r="L462" s="1"/>
      <c r="S462" s="1"/>
      <c r="Z462" s="1"/>
      <c r="AG462" s="1"/>
      <c r="AN462" s="1"/>
    </row>
    <row r="463" spans="11:40" x14ac:dyDescent="0.2">
      <c r="K463" s="1"/>
      <c r="L463" s="1"/>
      <c r="S463" s="1"/>
      <c r="Z463" s="1"/>
      <c r="AG463" s="1"/>
      <c r="AN463" s="1"/>
    </row>
    <row r="464" spans="11:40" x14ac:dyDescent="0.2">
      <c r="K464" s="1"/>
      <c r="L464" s="1"/>
      <c r="S464" s="1"/>
      <c r="Z464" s="1"/>
      <c r="AG464" s="1"/>
      <c r="AN464" s="1"/>
    </row>
    <row r="465" spans="11:40" x14ac:dyDescent="0.2">
      <c r="K465" s="1"/>
      <c r="L465" s="1"/>
      <c r="S465" s="1"/>
      <c r="Z465" s="1"/>
      <c r="AG465" s="1"/>
      <c r="AN465" s="1"/>
    </row>
    <row r="466" spans="11:40" x14ac:dyDescent="0.2">
      <c r="K466" s="1"/>
      <c r="L466" s="1"/>
      <c r="S466" s="1"/>
      <c r="Z466" s="1"/>
      <c r="AG466" s="1"/>
      <c r="AN466" s="1"/>
    </row>
    <row r="467" spans="11:40" x14ac:dyDescent="0.2">
      <c r="K467" s="1"/>
      <c r="L467" s="1"/>
      <c r="S467" s="1"/>
      <c r="Z467" s="1"/>
      <c r="AG467" s="1"/>
      <c r="AN467" s="1"/>
    </row>
    <row r="468" spans="11:40" x14ac:dyDescent="0.2">
      <c r="K468" s="1"/>
      <c r="L468" s="1"/>
      <c r="S468" s="1"/>
      <c r="Z468" s="1"/>
      <c r="AG468" s="1"/>
      <c r="AN468" s="1"/>
    </row>
    <row r="469" spans="11:40" x14ac:dyDescent="0.2">
      <c r="K469" s="1"/>
      <c r="L469" s="1"/>
      <c r="S469" s="1"/>
      <c r="Z469" s="1"/>
      <c r="AG469" s="1"/>
      <c r="AN469" s="1"/>
    </row>
    <row r="470" spans="11:40" x14ac:dyDescent="0.2">
      <c r="K470" s="1"/>
      <c r="L470" s="1"/>
      <c r="S470" s="1"/>
      <c r="Z470" s="1"/>
      <c r="AG470" s="1"/>
      <c r="AN470" s="1"/>
    </row>
    <row r="471" spans="11:40" x14ac:dyDescent="0.2">
      <c r="K471" s="1"/>
      <c r="L471" s="1"/>
      <c r="S471" s="1"/>
      <c r="Z471" s="1"/>
      <c r="AG471" s="1"/>
      <c r="AN471" s="1"/>
    </row>
    <row r="472" spans="11:40" x14ac:dyDescent="0.2">
      <c r="K472" s="1"/>
      <c r="L472" s="1"/>
      <c r="S472" s="1"/>
      <c r="Z472" s="1"/>
      <c r="AG472" s="1"/>
      <c r="AN472" s="1"/>
    </row>
    <row r="473" spans="11:40" x14ac:dyDescent="0.2">
      <c r="K473" s="1"/>
      <c r="L473" s="1"/>
      <c r="S473" s="1"/>
      <c r="Z473" s="1"/>
      <c r="AG473" s="1"/>
      <c r="AN473" s="1"/>
    </row>
    <row r="474" spans="11:40" x14ac:dyDescent="0.2">
      <c r="K474" s="1"/>
      <c r="L474" s="1"/>
      <c r="S474" s="1"/>
      <c r="Z474" s="1"/>
      <c r="AG474" s="1"/>
      <c r="AN474" s="1"/>
    </row>
    <row r="475" spans="11:40" x14ac:dyDescent="0.2">
      <c r="K475" s="1"/>
      <c r="L475" s="1"/>
      <c r="S475" s="1"/>
      <c r="Z475" s="1"/>
      <c r="AG475" s="1"/>
      <c r="AN475" s="1"/>
    </row>
    <row r="476" spans="11:40" x14ac:dyDescent="0.2">
      <c r="K476" s="1"/>
      <c r="L476" s="1"/>
      <c r="S476" s="1"/>
      <c r="Z476" s="1"/>
      <c r="AG476" s="1"/>
      <c r="AN476" s="1"/>
    </row>
    <row r="477" spans="11:40" x14ac:dyDescent="0.2">
      <c r="K477" s="1"/>
      <c r="L477" s="1"/>
      <c r="S477" s="1"/>
      <c r="Z477" s="1"/>
      <c r="AG477" s="1"/>
      <c r="AN477" s="1"/>
    </row>
    <row r="478" spans="11:40" x14ac:dyDescent="0.2">
      <c r="K478" s="1"/>
      <c r="L478" s="1"/>
      <c r="S478" s="1"/>
      <c r="Z478" s="1"/>
      <c r="AG478" s="1"/>
      <c r="AN478" s="1"/>
    </row>
    <row r="479" spans="11:40" x14ac:dyDescent="0.2">
      <c r="K479" s="1"/>
      <c r="L479" s="1"/>
      <c r="S479" s="1"/>
      <c r="Z479" s="1"/>
      <c r="AG479" s="1"/>
      <c r="AN479" s="1"/>
    </row>
    <row r="480" spans="11:40" x14ac:dyDescent="0.2">
      <c r="K480" s="1"/>
      <c r="L480" s="1"/>
      <c r="S480" s="1"/>
      <c r="Z480" s="1"/>
      <c r="AG480" s="1"/>
      <c r="AN480" s="1"/>
    </row>
    <row r="481" spans="11:40" x14ac:dyDescent="0.2">
      <c r="K481" s="1"/>
      <c r="L481" s="1"/>
      <c r="S481" s="1"/>
      <c r="Z481" s="1"/>
      <c r="AG481" s="1"/>
      <c r="AN481" s="1"/>
    </row>
    <row r="482" spans="11:40" x14ac:dyDescent="0.2">
      <c r="K482" s="1"/>
      <c r="L482" s="1"/>
      <c r="S482" s="1"/>
      <c r="Z482" s="1"/>
      <c r="AG482" s="1"/>
      <c r="AN482" s="1"/>
    </row>
    <row r="483" spans="11:40" x14ac:dyDescent="0.2">
      <c r="K483" s="1"/>
      <c r="L483" s="1"/>
      <c r="S483" s="1"/>
      <c r="Z483" s="1"/>
      <c r="AG483" s="1"/>
      <c r="AN483" s="1"/>
    </row>
    <row r="484" spans="11:40" x14ac:dyDescent="0.2">
      <c r="K484" s="1"/>
      <c r="L484" s="1"/>
      <c r="S484" s="1"/>
      <c r="Z484" s="1"/>
      <c r="AG484" s="1"/>
      <c r="AN484" s="1"/>
    </row>
    <row r="485" spans="11:40" x14ac:dyDescent="0.2">
      <c r="K485" s="1"/>
      <c r="L485" s="1"/>
      <c r="S485" s="1"/>
      <c r="Z485" s="1"/>
      <c r="AG485" s="1"/>
      <c r="AN485" s="1"/>
    </row>
    <row r="486" spans="11:40" x14ac:dyDescent="0.2">
      <c r="K486" s="1"/>
      <c r="L486" s="1"/>
      <c r="S486" s="1"/>
      <c r="Z486" s="1"/>
      <c r="AG486" s="1"/>
      <c r="AN486" s="1"/>
    </row>
    <row r="487" spans="11:40" x14ac:dyDescent="0.2">
      <c r="K487" s="1"/>
      <c r="L487" s="1"/>
      <c r="S487" s="1"/>
      <c r="Z487" s="1"/>
      <c r="AG487" s="1"/>
      <c r="AN487" s="1"/>
    </row>
    <row r="488" spans="11:40" x14ac:dyDescent="0.2">
      <c r="K488" s="1"/>
      <c r="L488" s="1"/>
      <c r="S488" s="1"/>
      <c r="Z488" s="1"/>
      <c r="AG488" s="1"/>
      <c r="AN488" s="1"/>
    </row>
    <row r="489" spans="11:40" x14ac:dyDescent="0.2">
      <c r="K489" s="1"/>
      <c r="L489" s="1"/>
      <c r="S489" s="1"/>
      <c r="Z489" s="1"/>
      <c r="AG489" s="1"/>
      <c r="AN489" s="1"/>
    </row>
    <row r="490" spans="11:40" x14ac:dyDescent="0.2">
      <c r="K490" s="1"/>
      <c r="L490" s="1"/>
      <c r="S490" s="1"/>
      <c r="Z490" s="1"/>
      <c r="AG490" s="1"/>
      <c r="AN490" s="1"/>
    </row>
    <row r="491" spans="11:40" x14ac:dyDescent="0.2">
      <c r="K491" s="1"/>
      <c r="L491" s="1"/>
      <c r="S491" s="1"/>
      <c r="Z491" s="1"/>
      <c r="AG491" s="1"/>
      <c r="AN491" s="1"/>
    </row>
    <row r="492" spans="11:40" x14ac:dyDescent="0.2">
      <c r="K492" s="1"/>
      <c r="L492" s="1"/>
      <c r="S492" s="1"/>
      <c r="Z492" s="1"/>
      <c r="AG492" s="1"/>
      <c r="AN492" s="1"/>
    </row>
    <row r="493" spans="11:40" x14ac:dyDescent="0.2">
      <c r="K493" s="1"/>
      <c r="L493" s="1"/>
      <c r="S493" s="1"/>
      <c r="Z493" s="1"/>
      <c r="AG493" s="1"/>
      <c r="AN493" s="1"/>
    </row>
    <row r="494" spans="11:40" x14ac:dyDescent="0.2">
      <c r="K494" s="1"/>
      <c r="L494" s="1"/>
      <c r="S494" s="1"/>
      <c r="Z494" s="1"/>
      <c r="AG494" s="1"/>
      <c r="AN494" s="1"/>
    </row>
    <row r="495" spans="11:40" x14ac:dyDescent="0.2">
      <c r="K495" s="1"/>
      <c r="L495" s="1"/>
      <c r="S495" s="1"/>
      <c r="Z495" s="1"/>
      <c r="AG495" s="1"/>
      <c r="AN495" s="1"/>
    </row>
    <row r="496" spans="11:40" x14ac:dyDescent="0.2">
      <c r="K496" s="1"/>
      <c r="L496" s="1"/>
      <c r="S496" s="1"/>
      <c r="Z496" s="1"/>
      <c r="AG496" s="1"/>
      <c r="AN496" s="1"/>
    </row>
    <row r="497" spans="11:40" x14ac:dyDescent="0.2">
      <c r="K497" s="1"/>
      <c r="L497" s="1"/>
      <c r="S497" s="1"/>
      <c r="Z497" s="1"/>
      <c r="AG497" s="1"/>
      <c r="AN497" s="1"/>
    </row>
    <row r="498" spans="11:40" x14ac:dyDescent="0.2">
      <c r="K498" s="1"/>
      <c r="L498" s="1"/>
      <c r="S498" s="1"/>
      <c r="Z498" s="1"/>
      <c r="AG498" s="1"/>
      <c r="AN498" s="1"/>
    </row>
    <row r="499" spans="11:40" x14ac:dyDescent="0.2">
      <c r="K499" s="1"/>
      <c r="L499" s="1"/>
      <c r="S499" s="1"/>
      <c r="Z499" s="1"/>
      <c r="AG499" s="1"/>
      <c r="AN499" s="1"/>
    </row>
    <row r="500" spans="11:40" x14ac:dyDescent="0.2">
      <c r="K500" s="1"/>
      <c r="L500" s="1"/>
      <c r="S500" s="1"/>
      <c r="Z500" s="1"/>
      <c r="AG500" s="1"/>
      <c r="AN500" s="1"/>
    </row>
    <row r="501" spans="11:40" x14ac:dyDescent="0.2">
      <c r="K501" s="1"/>
      <c r="L501" s="1"/>
      <c r="S501" s="1"/>
      <c r="Z501" s="1"/>
      <c r="AG501" s="1"/>
      <c r="AN501" s="1"/>
    </row>
    <row r="502" spans="11:40" x14ac:dyDescent="0.2">
      <c r="K502" s="1"/>
      <c r="L502" s="1"/>
      <c r="S502" s="1"/>
      <c r="Z502" s="1"/>
      <c r="AG502" s="1"/>
      <c r="AN502" s="1"/>
    </row>
    <row r="503" spans="11:40" x14ac:dyDescent="0.2">
      <c r="K503" s="1"/>
      <c r="L503" s="1"/>
      <c r="S503" s="1"/>
      <c r="Z503" s="1"/>
      <c r="AG503" s="1"/>
      <c r="AN503" s="1"/>
    </row>
    <row r="504" spans="11:40" x14ac:dyDescent="0.2">
      <c r="K504" s="1"/>
      <c r="L504" s="1"/>
      <c r="S504" s="1"/>
      <c r="Z504" s="1"/>
      <c r="AG504" s="1"/>
      <c r="AN504" s="1"/>
    </row>
    <row r="505" spans="11:40" x14ac:dyDescent="0.2">
      <c r="K505" s="1"/>
      <c r="L505" s="1"/>
      <c r="S505" s="1"/>
      <c r="Z505" s="1"/>
      <c r="AG505" s="1"/>
      <c r="AN505" s="1"/>
    </row>
    <row r="506" spans="11:40" x14ac:dyDescent="0.2">
      <c r="K506" s="1"/>
      <c r="L506" s="1"/>
      <c r="S506" s="1"/>
      <c r="Z506" s="1"/>
      <c r="AG506" s="1"/>
      <c r="AN506" s="1"/>
    </row>
    <row r="507" spans="11:40" x14ac:dyDescent="0.2">
      <c r="K507" s="1"/>
      <c r="L507" s="1"/>
      <c r="S507" s="1"/>
      <c r="Z507" s="1"/>
      <c r="AG507" s="1"/>
      <c r="AN507" s="1"/>
    </row>
    <row r="508" spans="11:40" x14ac:dyDescent="0.2">
      <c r="K508" s="1"/>
      <c r="L508" s="1"/>
      <c r="S508" s="1"/>
      <c r="Z508" s="1"/>
      <c r="AG508" s="1"/>
      <c r="AN508" s="1"/>
    </row>
    <row r="509" spans="11:40" x14ac:dyDescent="0.2">
      <c r="K509" s="1"/>
      <c r="L509" s="1"/>
      <c r="S509" s="1"/>
      <c r="Z509" s="1"/>
      <c r="AG509" s="1"/>
      <c r="AN509" s="1"/>
    </row>
    <row r="510" spans="11:40" x14ac:dyDescent="0.2">
      <c r="K510" s="1"/>
      <c r="L510" s="1"/>
      <c r="S510" s="1"/>
      <c r="Z510" s="1"/>
      <c r="AG510" s="1"/>
      <c r="AN510" s="1"/>
    </row>
    <row r="511" spans="11:40" x14ac:dyDescent="0.2">
      <c r="K511" s="1"/>
      <c r="L511" s="1"/>
      <c r="S511" s="1"/>
      <c r="Z511" s="1"/>
      <c r="AG511" s="1"/>
      <c r="AN511" s="1"/>
    </row>
    <row r="512" spans="11:40" x14ac:dyDescent="0.2">
      <c r="K512" s="1"/>
      <c r="L512" s="1"/>
      <c r="S512" s="1"/>
      <c r="Z512" s="1"/>
      <c r="AG512" s="1"/>
      <c r="AN512" s="1"/>
    </row>
    <row r="513" spans="11:40" x14ac:dyDescent="0.2">
      <c r="K513" s="1"/>
      <c r="L513" s="1"/>
      <c r="S513" s="1"/>
      <c r="Z513" s="1"/>
      <c r="AG513" s="1"/>
      <c r="AN513" s="1"/>
    </row>
    <row r="514" spans="11:40" x14ac:dyDescent="0.2">
      <c r="K514" s="1"/>
      <c r="L514" s="1"/>
      <c r="S514" s="1"/>
      <c r="Z514" s="1"/>
      <c r="AG514" s="1"/>
      <c r="AN514" s="1"/>
    </row>
    <row r="515" spans="11:40" x14ac:dyDescent="0.2">
      <c r="K515" s="1"/>
      <c r="L515" s="1"/>
      <c r="S515" s="1"/>
      <c r="Z515" s="1"/>
      <c r="AG515" s="1"/>
      <c r="AN515" s="1"/>
    </row>
    <row r="516" spans="11:40" x14ac:dyDescent="0.2">
      <c r="K516" s="1"/>
      <c r="L516" s="1"/>
      <c r="S516" s="1"/>
      <c r="Z516" s="1"/>
      <c r="AG516" s="1"/>
      <c r="AN516" s="1"/>
    </row>
    <row r="517" spans="11:40" x14ac:dyDescent="0.2">
      <c r="K517" s="1"/>
      <c r="L517" s="1"/>
      <c r="S517" s="1"/>
      <c r="Z517" s="1"/>
      <c r="AG517" s="1"/>
      <c r="AN517" s="1"/>
    </row>
    <row r="518" spans="11:40" x14ac:dyDescent="0.2">
      <c r="K518" s="1"/>
      <c r="L518" s="1"/>
      <c r="S518" s="1"/>
      <c r="Z518" s="1"/>
      <c r="AG518" s="1"/>
      <c r="AN518" s="1"/>
    </row>
    <row r="519" spans="11:40" x14ac:dyDescent="0.2">
      <c r="K519" s="1"/>
      <c r="L519" s="1"/>
      <c r="S519" s="1"/>
      <c r="Z519" s="1"/>
      <c r="AG519" s="1"/>
      <c r="AN519" s="1"/>
    </row>
    <row r="520" spans="11:40" x14ac:dyDescent="0.2">
      <c r="K520" s="1"/>
      <c r="L520" s="1"/>
      <c r="S520" s="1"/>
      <c r="Z520" s="1"/>
      <c r="AG520" s="1"/>
      <c r="AN520" s="1"/>
    </row>
    <row r="521" spans="11:40" x14ac:dyDescent="0.2">
      <c r="K521" s="1"/>
      <c r="L521" s="1"/>
      <c r="S521" s="1"/>
      <c r="Z521" s="1"/>
      <c r="AG521" s="1"/>
      <c r="AN521" s="1"/>
    </row>
    <row r="522" spans="11:40" x14ac:dyDescent="0.2">
      <c r="K522" s="1"/>
      <c r="L522" s="1"/>
      <c r="S522" s="1"/>
      <c r="Z522" s="1"/>
      <c r="AG522" s="1"/>
      <c r="AN522" s="1"/>
    </row>
    <row r="523" spans="11:40" x14ac:dyDescent="0.2">
      <c r="K523" s="1"/>
      <c r="L523" s="1"/>
      <c r="S523" s="1"/>
      <c r="Z523" s="1"/>
      <c r="AG523" s="1"/>
      <c r="AN523" s="1"/>
    </row>
    <row r="524" spans="11:40" x14ac:dyDescent="0.2">
      <c r="K524" s="1"/>
      <c r="L524" s="1"/>
      <c r="S524" s="1"/>
      <c r="Z524" s="1"/>
      <c r="AG524" s="1"/>
      <c r="AN524" s="1"/>
    </row>
    <row r="525" spans="11:40" x14ac:dyDescent="0.2">
      <c r="K525" s="1"/>
      <c r="L525" s="1"/>
      <c r="S525" s="1"/>
      <c r="Z525" s="1"/>
      <c r="AG525" s="1"/>
      <c r="AN525" s="1"/>
    </row>
    <row r="526" spans="11:40" x14ac:dyDescent="0.2">
      <c r="K526" s="1"/>
      <c r="L526" s="1"/>
      <c r="S526" s="1"/>
      <c r="Z526" s="1"/>
      <c r="AG526" s="1"/>
      <c r="AN526" s="1"/>
    </row>
    <row r="527" spans="11:40" x14ac:dyDescent="0.2">
      <c r="K527" s="1"/>
      <c r="L527" s="1"/>
      <c r="S527" s="1"/>
      <c r="Z527" s="1"/>
      <c r="AG527" s="1"/>
      <c r="AN527" s="1"/>
    </row>
    <row r="528" spans="11:40" x14ac:dyDescent="0.2">
      <c r="K528" s="1"/>
      <c r="L528" s="1"/>
      <c r="S528" s="1"/>
      <c r="Z528" s="1"/>
      <c r="AG528" s="1"/>
      <c r="AN528" s="1"/>
    </row>
    <row r="529" spans="11:40" x14ac:dyDescent="0.2">
      <c r="K529" s="1"/>
      <c r="L529" s="1"/>
      <c r="S529" s="1"/>
      <c r="Z529" s="1"/>
      <c r="AG529" s="1"/>
      <c r="AN529" s="1"/>
    </row>
    <row r="530" spans="11:40" x14ac:dyDescent="0.2">
      <c r="K530" s="1"/>
      <c r="L530" s="1"/>
      <c r="S530" s="1"/>
      <c r="Z530" s="1"/>
      <c r="AG530" s="1"/>
      <c r="AN530" s="1"/>
    </row>
    <row r="531" spans="11:40" x14ac:dyDescent="0.2">
      <c r="K531" s="1"/>
      <c r="L531" s="1"/>
      <c r="S531" s="1"/>
      <c r="Z531" s="1"/>
      <c r="AG531" s="1"/>
      <c r="AN531" s="1"/>
    </row>
    <row r="532" spans="11:40" x14ac:dyDescent="0.2">
      <c r="K532" s="1"/>
      <c r="L532" s="1"/>
      <c r="S532" s="1"/>
      <c r="Z532" s="1"/>
      <c r="AG532" s="1"/>
      <c r="AN532" s="1"/>
    </row>
    <row r="533" spans="11:40" x14ac:dyDescent="0.2">
      <c r="K533" s="1"/>
      <c r="L533" s="1"/>
      <c r="S533" s="1"/>
      <c r="Z533" s="1"/>
      <c r="AG533" s="1"/>
      <c r="AN533" s="1"/>
    </row>
    <row r="534" spans="11:40" x14ac:dyDescent="0.2">
      <c r="K534" s="1"/>
      <c r="L534" s="1"/>
      <c r="S534" s="1"/>
      <c r="Z534" s="1"/>
      <c r="AG534" s="1"/>
      <c r="AN534" s="1"/>
    </row>
    <row r="535" spans="11:40" x14ac:dyDescent="0.2">
      <c r="K535" s="1"/>
      <c r="L535" s="1"/>
      <c r="S535" s="1"/>
      <c r="Z535" s="1"/>
      <c r="AG535" s="1"/>
      <c r="AN535" s="1"/>
    </row>
    <row r="536" spans="11:40" x14ac:dyDescent="0.2">
      <c r="K536" s="1"/>
      <c r="L536" s="1"/>
      <c r="S536" s="1"/>
      <c r="Z536" s="1"/>
      <c r="AG536" s="1"/>
      <c r="AN536" s="1"/>
    </row>
    <row r="537" spans="11:40" x14ac:dyDescent="0.2">
      <c r="K537" s="1"/>
      <c r="L537" s="1"/>
      <c r="S537" s="1"/>
      <c r="Z537" s="1"/>
      <c r="AG537" s="1"/>
      <c r="AN537" s="1"/>
    </row>
    <row r="538" spans="11:40" x14ac:dyDescent="0.2">
      <c r="K538" s="1"/>
      <c r="L538" s="1"/>
      <c r="S538" s="1"/>
      <c r="Z538" s="1"/>
      <c r="AG538" s="1"/>
      <c r="AN538" s="1"/>
    </row>
    <row r="539" spans="11:40" x14ac:dyDescent="0.2">
      <c r="K539" s="1"/>
      <c r="L539" s="1"/>
      <c r="S539" s="1"/>
      <c r="Z539" s="1"/>
      <c r="AG539" s="1"/>
      <c r="AN539" s="1"/>
    </row>
    <row r="540" spans="11:40" x14ac:dyDescent="0.2">
      <c r="K540" s="1"/>
      <c r="L540" s="1"/>
      <c r="S540" s="1"/>
      <c r="Z540" s="1"/>
      <c r="AG540" s="1"/>
      <c r="AN540" s="1"/>
    </row>
    <row r="541" spans="11:40" x14ac:dyDescent="0.2">
      <c r="K541" s="1"/>
      <c r="L541" s="1"/>
      <c r="S541" s="1"/>
      <c r="Z541" s="1"/>
      <c r="AG541" s="1"/>
      <c r="AN541" s="1"/>
    </row>
    <row r="542" spans="11:40" x14ac:dyDescent="0.2">
      <c r="K542" s="1"/>
      <c r="L542" s="1"/>
      <c r="S542" s="1"/>
      <c r="Z542" s="1"/>
      <c r="AG542" s="1"/>
      <c r="AN542" s="1"/>
    </row>
    <row r="543" spans="11:40" x14ac:dyDescent="0.2">
      <c r="K543" s="1"/>
      <c r="L543" s="1"/>
      <c r="S543" s="1"/>
      <c r="Z543" s="1"/>
      <c r="AG543" s="1"/>
      <c r="AN543" s="1"/>
    </row>
    <row r="544" spans="11:40" x14ac:dyDescent="0.2">
      <c r="K544" s="1"/>
      <c r="L544" s="1"/>
      <c r="S544" s="1"/>
      <c r="Z544" s="1"/>
      <c r="AG544" s="1"/>
      <c r="AN544" s="1"/>
    </row>
    <row r="545" spans="11:40" x14ac:dyDescent="0.2">
      <c r="K545" s="1"/>
      <c r="L545" s="1"/>
      <c r="S545" s="1"/>
      <c r="Z545" s="1"/>
      <c r="AG545" s="1"/>
      <c r="AN545" s="1"/>
    </row>
    <row r="546" spans="11:40" x14ac:dyDescent="0.2">
      <c r="K546" s="1"/>
      <c r="L546" s="1"/>
      <c r="S546" s="1"/>
      <c r="Z546" s="1"/>
      <c r="AG546" s="1"/>
      <c r="AN546" s="1"/>
    </row>
    <row r="547" spans="11:40" x14ac:dyDescent="0.2">
      <c r="K547" s="1"/>
      <c r="L547" s="1"/>
      <c r="S547" s="1"/>
      <c r="Z547" s="1"/>
      <c r="AG547" s="1"/>
      <c r="AN547" s="1"/>
    </row>
    <row r="548" spans="11:40" x14ac:dyDescent="0.2">
      <c r="K548" s="1"/>
      <c r="L548" s="1"/>
      <c r="S548" s="1"/>
      <c r="Z548" s="1"/>
      <c r="AG548" s="1"/>
      <c r="AN548" s="1"/>
    </row>
    <row r="549" spans="11:40" x14ac:dyDescent="0.2">
      <c r="K549" s="1"/>
      <c r="L549" s="1"/>
      <c r="S549" s="1"/>
      <c r="Z549" s="1"/>
      <c r="AG549" s="1"/>
      <c r="AN549" s="1"/>
    </row>
    <row r="550" spans="11:40" x14ac:dyDescent="0.2">
      <c r="K550" s="1"/>
      <c r="L550" s="1"/>
      <c r="S550" s="1"/>
      <c r="Z550" s="1"/>
      <c r="AG550" s="1"/>
      <c r="AN550" s="1"/>
    </row>
    <row r="551" spans="11:40" x14ac:dyDescent="0.2">
      <c r="K551" s="1"/>
      <c r="L551" s="1"/>
      <c r="S551" s="1"/>
      <c r="Z551" s="1"/>
      <c r="AG551" s="1"/>
      <c r="AN551" s="1"/>
    </row>
    <row r="552" spans="11:40" x14ac:dyDescent="0.2">
      <c r="K552" s="1"/>
      <c r="L552" s="1"/>
      <c r="S552" s="1"/>
      <c r="Z552" s="1"/>
      <c r="AG552" s="1"/>
      <c r="AN552" s="1"/>
    </row>
    <row r="553" spans="11:40" x14ac:dyDescent="0.2">
      <c r="K553" s="1"/>
      <c r="L553" s="1"/>
      <c r="S553" s="1"/>
      <c r="Z553" s="1"/>
      <c r="AG553" s="1"/>
      <c r="AN553" s="1"/>
    </row>
    <row r="554" spans="11:40" x14ac:dyDescent="0.2">
      <c r="K554" s="1"/>
      <c r="L554" s="1"/>
      <c r="S554" s="1"/>
      <c r="Z554" s="1"/>
      <c r="AG554" s="1"/>
      <c r="AN554" s="1"/>
    </row>
    <row r="555" spans="11:40" x14ac:dyDescent="0.2">
      <c r="K555" s="1"/>
      <c r="L555" s="1"/>
      <c r="S555" s="1"/>
      <c r="Z555" s="1"/>
      <c r="AG555" s="1"/>
      <c r="AN555" s="1"/>
    </row>
    <row r="556" spans="11:40" x14ac:dyDescent="0.2">
      <c r="K556" s="1"/>
      <c r="L556" s="1"/>
      <c r="S556" s="1"/>
      <c r="Z556" s="1"/>
      <c r="AG556" s="1"/>
      <c r="AN556" s="1"/>
    </row>
    <row r="557" spans="11:40" x14ac:dyDescent="0.2">
      <c r="K557" s="1"/>
      <c r="L557" s="1"/>
      <c r="S557" s="1"/>
      <c r="Z557" s="1"/>
      <c r="AG557" s="1"/>
      <c r="AN557" s="1"/>
    </row>
    <row r="558" spans="11:40" x14ac:dyDescent="0.2">
      <c r="K558" s="1"/>
      <c r="L558" s="1"/>
      <c r="S558" s="1"/>
      <c r="Z558" s="1"/>
      <c r="AG558" s="1"/>
      <c r="AN558" s="1"/>
    </row>
    <row r="559" spans="11:40" x14ac:dyDescent="0.2">
      <c r="K559" s="1"/>
      <c r="L559" s="1"/>
      <c r="S559" s="1"/>
      <c r="Z559" s="1"/>
      <c r="AG559" s="1"/>
      <c r="AN559" s="1"/>
    </row>
    <row r="560" spans="11:40" x14ac:dyDescent="0.2">
      <c r="K560" s="1"/>
      <c r="L560" s="1"/>
      <c r="S560" s="1"/>
      <c r="Z560" s="1"/>
      <c r="AG560" s="1"/>
      <c r="AN560" s="1"/>
    </row>
    <row r="561" spans="11:40" x14ac:dyDescent="0.2">
      <c r="K561" s="1"/>
      <c r="L561" s="1"/>
      <c r="S561" s="1"/>
      <c r="Z561" s="1"/>
      <c r="AG561" s="1"/>
      <c r="AN561" s="1"/>
    </row>
    <row r="562" spans="11:40" x14ac:dyDescent="0.2">
      <c r="K562" s="1"/>
      <c r="L562" s="1"/>
      <c r="S562" s="1"/>
      <c r="Z562" s="1"/>
      <c r="AG562" s="1"/>
      <c r="AN562" s="1"/>
    </row>
    <row r="563" spans="11:40" x14ac:dyDescent="0.2">
      <c r="K563" s="1"/>
      <c r="L563" s="1"/>
      <c r="S563" s="1"/>
      <c r="Z563" s="1"/>
      <c r="AG563" s="1"/>
      <c r="AN563" s="1"/>
    </row>
    <row r="564" spans="11:40" x14ac:dyDescent="0.2">
      <c r="K564" s="1"/>
      <c r="L564" s="1"/>
      <c r="S564" s="1"/>
      <c r="Z564" s="1"/>
      <c r="AG564" s="1"/>
      <c r="AN564" s="1"/>
    </row>
    <row r="565" spans="11:40" x14ac:dyDescent="0.2">
      <c r="K565" s="1"/>
      <c r="L565" s="1"/>
      <c r="S565" s="1"/>
      <c r="Z565" s="1"/>
      <c r="AG565" s="1"/>
      <c r="AN565" s="1"/>
    </row>
    <row r="566" spans="11:40" x14ac:dyDescent="0.2">
      <c r="K566" s="1"/>
      <c r="L566" s="1"/>
      <c r="S566" s="1"/>
      <c r="Z566" s="1"/>
      <c r="AG566" s="1"/>
      <c r="AN566" s="1"/>
    </row>
    <row r="567" spans="11:40" x14ac:dyDescent="0.2">
      <c r="K567" s="1"/>
      <c r="L567" s="1"/>
      <c r="S567" s="1"/>
      <c r="Z567" s="1"/>
      <c r="AG567" s="1"/>
      <c r="AN567" s="1"/>
    </row>
    <row r="568" spans="11:40" x14ac:dyDescent="0.2">
      <c r="K568" s="1"/>
      <c r="L568" s="1"/>
      <c r="S568" s="1"/>
      <c r="Z568" s="1"/>
      <c r="AG568" s="1"/>
      <c r="AN568" s="1"/>
    </row>
    <row r="569" spans="11:40" x14ac:dyDescent="0.2">
      <c r="K569" s="1"/>
      <c r="L569" s="1"/>
      <c r="S569" s="1"/>
      <c r="Z569" s="1"/>
      <c r="AG569" s="1"/>
      <c r="AN569" s="1"/>
    </row>
    <row r="570" spans="11:40" x14ac:dyDescent="0.2">
      <c r="K570" s="1"/>
      <c r="L570" s="1"/>
      <c r="S570" s="1"/>
      <c r="Z570" s="1"/>
      <c r="AG570" s="1"/>
      <c r="AN570" s="1"/>
    </row>
    <row r="571" spans="11:40" x14ac:dyDescent="0.2">
      <c r="K571" s="1"/>
      <c r="L571" s="1"/>
      <c r="S571" s="1"/>
      <c r="Z571" s="1"/>
      <c r="AG571" s="1"/>
      <c r="AN571" s="1"/>
    </row>
    <row r="572" spans="11:40" x14ac:dyDescent="0.2">
      <c r="K572" s="1"/>
      <c r="L572" s="1"/>
      <c r="S572" s="1"/>
      <c r="Z572" s="1"/>
      <c r="AG572" s="1"/>
      <c r="AN572" s="1"/>
    </row>
    <row r="573" spans="11:40" x14ac:dyDescent="0.2">
      <c r="K573" s="1"/>
      <c r="L573" s="1"/>
      <c r="S573" s="1"/>
      <c r="Z573" s="1"/>
      <c r="AG573" s="1"/>
      <c r="AN573" s="1"/>
    </row>
    <row r="574" spans="11:40" x14ac:dyDescent="0.2">
      <c r="K574" s="1"/>
      <c r="L574" s="1"/>
      <c r="S574" s="1"/>
      <c r="Z574" s="1"/>
      <c r="AG574" s="1"/>
      <c r="AN574" s="1"/>
    </row>
    <row r="575" spans="11:40" x14ac:dyDescent="0.2">
      <c r="K575" s="1"/>
      <c r="L575" s="1"/>
      <c r="S575" s="1"/>
      <c r="Z575" s="1"/>
      <c r="AG575" s="1"/>
      <c r="AN575" s="1"/>
    </row>
    <row r="576" spans="11:40" x14ac:dyDescent="0.2">
      <c r="K576" s="1"/>
      <c r="L576" s="1"/>
      <c r="S576" s="1"/>
      <c r="Z576" s="1"/>
      <c r="AG576" s="1"/>
      <c r="AN576" s="1"/>
    </row>
    <row r="577" spans="11:40" x14ac:dyDescent="0.2">
      <c r="K577" s="1"/>
      <c r="L577" s="1"/>
      <c r="S577" s="1"/>
      <c r="Z577" s="1"/>
      <c r="AG577" s="1"/>
      <c r="AN577" s="1"/>
    </row>
    <row r="578" spans="11:40" x14ac:dyDescent="0.2">
      <c r="K578" s="1"/>
      <c r="L578" s="1"/>
      <c r="S578" s="1"/>
      <c r="Z578" s="1"/>
      <c r="AG578" s="1"/>
      <c r="AN578" s="1"/>
    </row>
    <row r="579" spans="11:40" x14ac:dyDescent="0.2">
      <c r="K579" s="1"/>
      <c r="L579" s="1"/>
      <c r="S579" s="1"/>
      <c r="Z579" s="1"/>
      <c r="AG579" s="1"/>
      <c r="AN579" s="1"/>
    </row>
    <row r="580" spans="11:40" x14ac:dyDescent="0.2">
      <c r="K580" s="1"/>
      <c r="L580" s="1"/>
      <c r="S580" s="1"/>
      <c r="Z580" s="1"/>
      <c r="AG580" s="1"/>
      <c r="AN580" s="1"/>
    </row>
    <row r="581" spans="11:40" x14ac:dyDescent="0.2">
      <c r="K581" s="1"/>
      <c r="L581" s="1"/>
      <c r="S581" s="1"/>
      <c r="Z581" s="1"/>
      <c r="AG581" s="1"/>
      <c r="AN581" s="1"/>
    </row>
    <row r="582" spans="11:40" x14ac:dyDescent="0.2">
      <c r="K582" s="1"/>
      <c r="L582" s="1"/>
      <c r="S582" s="1"/>
      <c r="Z582" s="1"/>
      <c r="AG582" s="1"/>
      <c r="AN582" s="1"/>
    </row>
    <row r="583" spans="11:40" x14ac:dyDescent="0.2">
      <c r="K583" s="1"/>
      <c r="L583" s="1"/>
      <c r="S583" s="1"/>
      <c r="Z583" s="1"/>
      <c r="AG583" s="1"/>
      <c r="AN583" s="1"/>
    </row>
    <row r="584" spans="11:40" x14ac:dyDescent="0.2">
      <c r="K584" s="1"/>
      <c r="L584" s="1"/>
      <c r="S584" s="1"/>
      <c r="Z584" s="1"/>
      <c r="AG584" s="1"/>
      <c r="AN584" s="1"/>
    </row>
    <row r="585" spans="11:40" x14ac:dyDescent="0.2">
      <c r="K585" s="1"/>
      <c r="L585" s="1"/>
      <c r="S585" s="1"/>
      <c r="Z585" s="1"/>
      <c r="AG585" s="1"/>
      <c r="AN585" s="1"/>
    </row>
    <row r="586" spans="11:40" x14ac:dyDescent="0.2">
      <c r="K586" s="1"/>
      <c r="L586" s="1"/>
      <c r="S586" s="1"/>
      <c r="Z586" s="1"/>
      <c r="AG586" s="1"/>
      <c r="AN586" s="1"/>
    </row>
    <row r="587" spans="11:40" x14ac:dyDescent="0.2">
      <c r="K587" s="1"/>
      <c r="L587" s="1"/>
      <c r="S587" s="1"/>
      <c r="Z587" s="1"/>
      <c r="AG587" s="1"/>
      <c r="AN587" s="1"/>
    </row>
    <row r="588" spans="11:40" x14ac:dyDescent="0.2">
      <c r="K588" s="1"/>
      <c r="L588" s="1"/>
      <c r="S588" s="1"/>
      <c r="Z588" s="1"/>
      <c r="AG588" s="1"/>
      <c r="AN588" s="1"/>
    </row>
    <row r="589" spans="11:40" x14ac:dyDescent="0.2">
      <c r="K589" s="1"/>
      <c r="L589" s="1"/>
      <c r="S589" s="1"/>
      <c r="Z589" s="1"/>
      <c r="AG589" s="1"/>
      <c r="AN589" s="1"/>
    </row>
    <row r="590" spans="11:40" x14ac:dyDescent="0.2">
      <c r="K590" s="1"/>
      <c r="L590" s="1"/>
      <c r="S590" s="1"/>
      <c r="Z590" s="1"/>
      <c r="AG590" s="1"/>
      <c r="AN590" s="1"/>
    </row>
    <row r="591" spans="11:40" x14ac:dyDescent="0.2">
      <c r="K591" s="1"/>
      <c r="L591" s="1"/>
      <c r="S591" s="1"/>
      <c r="Z591" s="1"/>
      <c r="AG591" s="1"/>
      <c r="AN591" s="1"/>
    </row>
    <row r="592" spans="11:40" x14ac:dyDescent="0.2">
      <c r="K592" s="1"/>
      <c r="L592" s="1"/>
      <c r="S592" s="1"/>
      <c r="Z592" s="1"/>
      <c r="AG592" s="1"/>
      <c r="AN592" s="1"/>
    </row>
    <row r="593" spans="11:40" x14ac:dyDescent="0.2">
      <c r="K593" s="1"/>
      <c r="L593" s="1"/>
      <c r="S593" s="1"/>
      <c r="Z593" s="1"/>
      <c r="AG593" s="1"/>
      <c r="AN593" s="1"/>
    </row>
    <row r="594" spans="11:40" x14ac:dyDescent="0.2">
      <c r="K594" s="1"/>
      <c r="L594" s="1"/>
      <c r="S594" s="1"/>
      <c r="Z594" s="1"/>
      <c r="AG594" s="1"/>
      <c r="AN594" s="1"/>
    </row>
    <row r="595" spans="11:40" x14ac:dyDescent="0.2">
      <c r="K595" s="1"/>
      <c r="L595" s="1"/>
      <c r="S595" s="1"/>
      <c r="Z595" s="1"/>
      <c r="AG595" s="1"/>
      <c r="AN595" s="1"/>
    </row>
    <row r="596" spans="11:40" x14ac:dyDescent="0.2">
      <c r="K596" s="1"/>
      <c r="L596" s="1"/>
      <c r="S596" s="1"/>
      <c r="Z596" s="1"/>
      <c r="AG596" s="1"/>
      <c r="AN596" s="1"/>
    </row>
    <row r="597" spans="11:40" x14ac:dyDescent="0.2">
      <c r="K597" s="1"/>
      <c r="L597" s="1"/>
      <c r="S597" s="1"/>
      <c r="Z597" s="1"/>
      <c r="AG597" s="1"/>
      <c r="AN597" s="1"/>
    </row>
    <row r="598" spans="11:40" x14ac:dyDescent="0.2">
      <c r="K598" s="1"/>
      <c r="L598" s="1"/>
      <c r="S598" s="1"/>
      <c r="Z598" s="1"/>
      <c r="AG598" s="1"/>
      <c r="AN598" s="1"/>
    </row>
    <row r="599" spans="11:40" x14ac:dyDescent="0.2">
      <c r="K599" s="1"/>
      <c r="L599" s="1"/>
      <c r="S599" s="1"/>
      <c r="Z599" s="1"/>
      <c r="AG599" s="1"/>
      <c r="AN599" s="1"/>
    </row>
    <row r="600" spans="11:40" x14ac:dyDescent="0.2">
      <c r="K600" s="1"/>
      <c r="L600" s="1"/>
      <c r="S600" s="1"/>
      <c r="Z600" s="1"/>
      <c r="AG600" s="1"/>
      <c r="AN600" s="1"/>
    </row>
    <row r="601" spans="11:40" x14ac:dyDescent="0.2">
      <c r="K601" s="1"/>
      <c r="L601" s="1"/>
      <c r="S601" s="1"/>
      <c r="Z601" s="1"/>
      <c r="AG601" s="1"/>
      <c r="AN601" s="1"/>
    </row>
    <row r="602" spans="11:40" x14ac:dyDescent="0.2">
      <c r="K602" s="1"/>
      <c r="L602" s="1"/>
      <c r="S602" s="1"/>
      <c r="Z602" s="1"/>
      <c r="AG602" s="1"/>
      <c r="AN602" s="1"/>
    </row>
    <row r="603" spans="11:40" x14ac:dyDescent="0.2">
      <c r="K603" s="1"/>
      <c r="L603" s="1"/>
      <c r="S603" s="1"/>
      <c r="Z603" s="1"/>
      <c r="AG603" s="1"/>
      <c r="AN603" s="1"/>
    </row>
    <row r="604" spans="11:40" x14ac:dyDescent="0.2">
      <c r="K604" s="1"/>
      <c r="L604" s="1"/>
      <c r="S604" s="1"/>
      <c r="Z604" s="1"/>
      <c r="AG604" s="1"/>
      <c r="AN604" s="1"/>
    </row>
    <row r="605" spans="11:40" x14ac:dyDescent="0.2">
      <c r="K605" s="1"/>
      <c r="L605" s="1"/>
      <c r="S605" s="1"/>
      <c r="Z605" s="1"/>
      <c r="AG605" s="1"/>
      <c r="AN605" s="1"/>
    </row>
    <row r="606" spans="11:40" x14ac:dyDescent="0.2">
      <c r="K606" s="1"/>
      <c r="L606" s="1"/>
      <c r="S606" s="1"/>
      <c r="Z606" s="1"/>
      <c r="AG606" s="1"/>
      <c r="AN606" s="1"/>
    </row>
    <row r="607" spans="11:40" x14ac:dyDescent="0.2">
      <c r="K607" s="1"/>
      <c r="L607" s="1"/>
      <c r="S607" s="1"/>
      <c r="Z607" s="1"/>
      <c r="AG607" s="1"/>
      <c r="AN607" s="1"/>
    </row>
    <row r="608" spans="11:40" x14ac:dyDescent="0.2">
      <c r="K608" s="1"/>
      <c r="L608" s="1"/>
      <c r="S608" s="1"/>
      <c r="Z608" s="1"/>
      <c r="AG608" s="1"/>
      <c r="AN608" s="1"/>
    </row>
    <row r="609" spans="11:40" x14ac:dyDescent="0.2">
      <c r="K609" s="1"/>
      <c r="L609" s="1"/>
      <c r="S609" s="1"/>
      <c r="Z609" s="1"/>
      <c r="AG609" s="1"/>
      <c r="AN609" s="1"/>
    </row>
    <row r="610" spans="11:40" x14ac:dyDescent="0.2">
      <c r="K610" s="1"/>
      <c r="L610" s="1"/>
      <c r="S610" s="1"/>
      <c r="Z610" s="1"/>
      <c r="AG610" s="1"/>
      <c r="AN610" s="1"/>
    </row>
    <row r="611" spans="11:40" x14ac:dyDescent="0.2">
      <c r="K611" s="1"/>
      <c r="L611" s="1"/>
      <c r="S611" s="1"/>
      <c r="Z611" s="1"/>
      <c r="AG611" s="1"/>
      <c r="AN611" s="1"/>
    </row>
    <row r="612" spans="11:40" x14ac:dyDescent="0.2">
      <c r="K612" s="1"/>
      <c r="L612" s="1"/>
      <c r="S612" s="1"/>
      <c r="Z612" s="1"/>
      <c r="AG612" s="1"/>
      <c r="AN612" s="1"/>
    </row>
    <row r="613" spans="11:40" x14ac:dyDescent="0.2">
      <c r="K613" s="1"/>
      <c r="L613" s="1"/>
      <c r="S613" s="1"/>
      <c r="Z613" s="1"/>
      <c r="AG613" s="1"/>
      <c r="AN613" s="1"/>
    </row>
    <row r="614" spans="11:40" x14ac:dyDescent="0.2">
      <c r="K614" s="1"/>
      <c r="L614" s="1"/>
      <c r="S614" s="1"/>
      <c r="Z614" s="1"/>
      <c r="AG614" s="1"/>
      <c r="AN614" s="1"/>
    </row>
    <row r="615" spans="11:40" x14ac:dyDescent="0.2">
      <c r="K615" s="1"/>
      <c r="L615" s="1"/>
      <c r="S615" s="1"/>
      <c r="Z615" s="1"/>
      <c r="AG615" s="1"/>
      <c r="AN615" s="1"/>
    </row>
    <row r="616" spans="11:40" x14ac:dyDescent="0.2">
      <c r="K616" s="1"/>
      <c r="L616" s="1"/>
      <c r="S616" s="1"/>
      <c r="Z616" s="1"/>
      <c r="AG616" s="1"/>
      <c r="AN616" s="1"/>
    </row>
    <row r="617" spans="11:40" x14ac:dyDescent="0.2">
      <c r="K617" s="1"/>
      <c r="L617" s="1"/>
      <c r="S617" s="1"/>
      <c r="Z617" s="1"/>
      <c r="AG617" s="1"/>
      <c r="AN617" s="1"/>
    </row>
    <row r="618" spans="11:40" x14ac:dyDescent="0.2">
      <c r="K618" s="1"/>
      <c r="L618" s="1"/>
      <c r="S618" s="1"/>
      <c r="Z618" s="1"/>
      <c r="AG618" s="1"/>
      <c r="AN618" s="1"/>
    </row>
    <row r="619" spans="11:40" x14ac:dyDescent="0.2">
      <c r="K619" s="1"/>
      <c r="L619" s="1"/>
      <c r="S619" s="1"/>
      <c r="Z619" s="1"/>
      <c r="AG619" s="1"/>
      <c r="AN619" s="1"/>
    </row>
    <row r="620" spans="11:40" x14ac:dyDescent="0.2">
      <c r="K620" s="1"/>
      <c r="L620" s="1"/>
      <c r="S620" s="1"/>
      <c r="Z620" s="1"/>
      <c r="AG620" s="1"/>
      <c r="AN620" s="1"/>
    </row>
    <row r="621" spans="11:40" x14ac:dyDescent="0.2">
      <c r="K621" s="1"/>
      <c r="L621" s="1"/>
      <c r="S621" s="1"/>
      <c r="Z621" s="1"/>
      <c r="AG621" s="1"/>
      <c r="AN621" s="1"/>
    </row>
    <row r="622" spans="11:40" x14ac:dyDescent="0.2">
      <c r="K622" s="1"/>
      <c r="L622" s="1"/>
      <c r="S622" s="1"/>
      <c r="Z622" s="1"/>
      <c r="AG622" s="1"/>
      <c r="AN622" s="1"/>
    </row>
    <row r="623" spans="11:40" x14ac:dyDescent="0.2">
      <c r="K623" s="1"/>
      <c r="L623" s="1"/>
      <c r="S623" s="1"/>
      <c r="Z623" s="1"/>
      <c r="AG623" s="1"/>
      <c r="AN623" s="1"/>
    </row>
    <row r="624" spans="11:40" x14ac:dyDescent="0.2">
      <c r="K624" s="1"/>
      <c r="L624" s="1"/>
      <c r="S624" s="1"/>
      <c r="Z624" s="1"/>
      <c r="AG624" s="1"/>
      <c r="AN624" s="1"/>
    </row>
    <row r="625" spans="11:40" x14ac:dyDescent="0.2">
      <c r="K625" s="1"/>
      <c r="L625" s="1"/>
      <c r="S625" s="1"/>
      <c r="Z625" s="1"/>
      <c r="AG625" s="1"/>
      <c r="AN625" s="1"/>
    </row>
    <row r="626" spans="11:40" x14ac:dyDescent="0.2">
      <c r="K626" s="1"/>
      <c r="L626" s="1"/>
      <c r="S626" s="1"/>
      <c r="Z626" s="1"/>
      <c r="AG626" s="1"/>
      <c r="AN626" s="1"/>
    </row>
    <row r="627" spans="11:40" x14ac:dyDescent="0.2">
      <c r="K627" s="1"/>
      <c r="L627" s="1"/>
      <c r="S627" s="1"/>
      <c r="Z627" s="1"/>
      <c r="AG627" s="1"/>
      <c r="AN627" s="1"/>
    </row>
    <row r="628" spans="11:40" x14ac:dyDescent="0.2">
      <c r="K628" s="1"/>
      <c r="L628" s="1"/>
      <c r="S628" s="1"/>
      <c r="Z628" s="1"/>
      <c r="AG628" s="1"/>
      <c r="AN628" s="1"/>
    </row>
    <row r="629" spans="11:40" x14ac:dyDescent="0.2">
      <c r="K629" s="1"/>
      <c r="L629" s="1"/>
      <c r="S629" s="1"/>
      <c r="Z629" s="1"/>
      <c r="AG629" s="1"/>
      <c r="AN629" s="1"/>
    </row>
    <row r="630" spans="11:40" x14ac:dyDescent="0.2">
      <c r="K630" s="1"/>
      <c r="L630" s="1"/>
      <c r="S630" s="1"/>
      <c r="Z630" s="1"/>
      <c r="AG630" s="1"/>
      <c r="AN630" s="1"/>
    </row>
    <row r="631" spans="11:40" x14ac:dyDescent="0.2">
      <c r="K631" s="1"/>
      <c r="L631" s="1"/>
      <c r="S631" s="1"/>
      <c r="Z631" s="1"/>
      <c r="AG631" s="1"/>
      <c r="AN631" s="1"/>
    </row>
    <row r="632" spans="11:40" x14ac:dyDescent="0.2">
      <c r="K632" s="1"/>
      <c r="L632" s="1"/>
      <c r="S632" s="1"/>
      <c r="Z632" s="1"/>
      <c r="AG632" s="1"/>
      <c r="AN632" s="1"/>
    </row>
    <row r="633" spans="11:40" x14ac:dyDescent="0.2">
      <c r="K633" s="1"/>
      <c r="L633" s="1"/>
      <c r="S633" s="1"/>
      <c r="Z633" s="1"/>
      <c r="AG633" s="1"/>
      <c r="AN633" s="1"/>
    </row>
    <row r="634" spans="11:40" x14ac:dyDescent="0.2">
      <c r="K634" s="1"/>
      <c r="L634" s="1"/>
      <c r="S634" s="1"/>
      <c r="Z634" s="1"/>
      <c r="AG634" s="1"/>
      <c r="AN634" s="1"/>
    </row>
    <row r="635" spans="11:40" x14ac:dyDescent="0.2">
      <c r="K635" s="1"/>
      <c r="L635" s="1"/>
      <c r="S635" s="1"/>
      <c r="Z635" s="1"/>
      <c r="AG635" s="1"/>
      <c r="AN635" s="1"/>
    </row>
    <row r="636" spans="11:40" x14ac:dyDescent="0.2">
      <c r="K636" s="1"/>
      <c r="L636" s="1"/>
      <c r="S636" s="1"/>
      <c r="Z636" s="1"/>
      <c r="AG636" s="1"/>
      <c r="AN636" s="1"/>
    </row>
    <row r="637" spans="11:40" x14ac:dyDescent="0.2">
      <c r="K637" s="1"/>
      <c r="L637" s="1"/>
      <c r="S637" s="1"/>
      <c r="Z637" s="1"/>
      <c r="AG637" s="1"/>
      <c r="AN637" s="1"/>
    </row>
    <row r="638" spans="11:40" x14ac:dyDescent="0.2">
      <c r="K638" s="1"/>
      <c r="L638" s="1"/>
      <c r="S638" s="1"/>
      <c r="Z638" s="1"/>
      <c r="AG638" s="1"/>
      <c r="AN638" s="1"/>
    </row>
    <row r="639" spans="11:40" x14ac:dyDescent="0.2">
      <c r="K639" s="1"/>
      <c r="L639" s="1"/>
      <c r="S639" s="1"/>
      <c r="Z639" s="1"/>
      <c r="AG639" s="1"/>
      <c r="AN639" s="1"/>
    </row>
    <row r="640" spans="11:40" x14ac:dyDescent="0.2">
      <c r="K640" s="1"/>
      <c r="L640" s="1"/>
      <c r="S640" s="1"/>
      <c r="Z640" s="1"/>
      <c r="AG640" s="1"/>
      <c r="AN640" s="1"/>
    </row>
    <row r="641" spans="11:40" x14ac:dyDescent="0.2">
      <c r="K641" s="1"/>
      <c r="L641" s="1"/>
      <c r="S641" s="1"/>
      <c r="Z641" s="1"/>
      <c r="AG641" s="1"/>
      <c r="AN641" s="1"/>
    </row>
    <row r="642" spans="11:40" x14ac:dyDescent="0.2">
      <c r="K642" s="1"/>
      <c r="L642" s="1"/>
      <c r="S642" s="1"/>
      <c r="Z642" s="1"/>
      <c r="AG642" s="1"/>
      <c r="AN642" s="1"/>
    </row>
    <row r="643" spans="11:40" x14ac:dyDescent="0.2">
      <c r="K643" s="1"/>
      <c r="L643" s="1"/>
      <c r="S643" s="1"/>
      <c r="Z643" s="1"/>
      <c r="AG643" s="1"/>
      <c r="AN643" s="1"/>
    </row>
    <row r="644" spans="11:40" x14ac:dyDescent="0.2">
      <c r="K644" s="1"/>
      <c r="L644" s="1"/>
      <c r="S644" s="1"/>
      <c r="Z644" s="1"/>
      <c r="AG644" s="1"/>
      <c r="AN644" s="1"/>
    </row>
    <row r="645" spans="11:40" x14ac:dyDescent="0.2">
      <c r="K645" s="1"/>
      <c r="L645" s="1"/>
      <c r="S645" s="1"/>
      <c r="Z645" s="1"/>
      <c r="AG645" s="1"/>
      <c r="AN645" s="1"/>
    </row>
    <row r="646" spans="11:40" x14ac:dyDescent="0.2">
      <c r="K646" s="1"/>
      <c r="L646" s="1"/>
      <c r="S646" s="1"/>
      <c r="Z646" s="1"/>
      <c r="AG646" s="1"/>
      <c r="AN646" s="1"/>
    </row>
    <row r="647" spans="11:40" x14ac:dyDescent="0.2">
      <c r="K647" s="1"/>
      <c r="L647" s="1"/>
      <c r="S647" s="1"/>
      <c r="Z647" s="1"/>
      <c r="AG647" s="1"/>
      <c r="AN647" s="1"/>
    </row>
    <row r="648" spans="11:40" x14ac:dyDescent="0.2">
      <c r="K648" s="1"/>
      <c r="L648" s="1"/>
      <c r="S648" s="1"/>
      <c r="Z648" s="1"/>
      <c r="AG648" s="1"/>
      <c r="AN648" s="1"/>
    </row>
    <row r="649" spans="11:40" x14ac:dyDescent="0.2">
      <c r="K649" s="1"/>
      <c r="L649" s="1"/>
      <c r="S649" s="1"/>
      <c r="Z649" s="1"/>
      <c r="AG649" s="1"/>
      <c r="AN649" s="1"/>
    </row>
    <row r="650" spans="11:40" x14ac:dyDescent="0.2">
      <c r="K650" s="1"/>
      <c r="L650" s="1"/>
      <c r="S650" s="1"/>
      <c r="Z650" s="1"/>
      <c r="AG650" s="1"/>
      <c r="AN650" s="1"/>
    </row>
    <row r="651" spans="11:40" x14ac:dyDescent="0.2">
      <c r="K651" s="1"/>
      <c r="L651" s="1"/>
      <c r="S651" s="1"/>
      <c r="Z651" s="1"/>
      <c r="AG651" s="1"/>
      <c r="AN651" s="1"/>
    </row>
    <row r="652" spans="11:40" x14ac:dyDescent="0.2">
      <c r="K652" s="1"/>
      <c r="L652" s="1"/>
      <c r="S652" s="1"/>
      <c r="Z652" s="1"/>
      <c r="AG652" s="1"/>
      <c r="AN652" s="1"/>
    </row>
    <row r="653" spans="11:40" x14ac:dyDescent="0.2">
      <c r="K653" s="1"/>
      <c r="L653" s="1"/>
      <c r="S653" s="1"/>
      <c r="Z653" s="1"/>
      <c r="AG653" s="1"/>
      <c r="AN653" s="1"/>
    </row>
    <row r="654" spans="11:40" x14ac:dyDescent="0.2">
      <c r="K654" s="1"/>
      <c r="L654" s="1"/>
      <c r="S654" s="1"/>
      <c r="Z654" s="1"/>
      <c r="AG654" s="1"/>
      <c r="AN654" s="1"/>
    </row>
    <row r="655" spans="11:40" x14ac:dyDescent="0.2">
      <c r="K655" s="1"/>
      <c r="L655" s="1"/>
      <c r="S655" s="1"/>
      <c r="Z655" s="1"/>
      <c r="AG655" s="1"/>
      <c r="AN655" s="1"/>
    </row>
    <row r="656" spans="11:40" x14ac:dyDescent="0.2">
      <c r="K656" s="1"/>
      <c r="L656" s="1"/>
      <c r="S656" s="1"/>
      <c r="Z656" s="1"/>
      <c r="AG656" s="1"/>
      <c r="AN656" s="1"/>
    </row>
    <row r="657" spans="11:40" x14ac:dyDescent="0.2">
      <c r="K657" s="1"/>
      <c r="L657" s="1"/>
      <c r="S657" s="1"/>
      <c r="Z657" s="1"/>
      <c r="AG657" s="1"/>
      <c r="AN657" s="1"/>
    </row>
    <row r="658" spans="11:40" x14ac:dyDescent="0.2">
      <c r="K658" s="1"/>
      <c r="L658" s="1"/>
      <c r="S658" s="1"/>
      <c r="Z658" s="1"/>
      <c r="AG658" s="1"/>
      <c r="AN658" s="1"/>
    </row>
    <row r="659" spans="11:40" x14ac:dyDescent="0.2">
      <c r="K659" s="1"/>
      <c r="L659" s="1"/>
      <c r="S659" s="1"/>
      <c r="Z659" s="1"/>
      <c r="AG659" s="1"/>
      <c r="AN659" s="1"/>
    </row>
    <row r="660" spans="11:40" x14ac:dyDescent="0.2">
      <c r="K660" s="1"/>
      <c r="L660" s="1"/>
      <c r="S660" s="1"/>
      <c r="Z660" s="1"/>
      <c r="AG660" s="1"/>
      <c r="AN660" s="1"/>
    </row>
    <row r="661" spans="11:40" x14ac:dyDescent="0.2">
      <c r="K661" s="1"/>
      <c r="L661" s="1"/>
      <c r="S661" s="1"/>
      <c r="Z661" s="1"/>
      <c r="AG661" s="1"/>
      <c r="AN661" s="1"/>
    </row>
    <row r="662" spans="11:40" x14ac:dyDescent="0.2">
      <c r="K662" s="1"/>
      <c r="L662" s="1"/>
      <c r="S662" s="1"/>
      <c r="Z662" s="1"/>
      <c r="AG662" s="1"/>
      <c r="AN662" s="1"/>
    </row>
    <row r="663" spans="11:40" x14ac:dyDescent="0.2">
      <c r="K663" s="1"/>
      <c r="L663" s="1"/>
      <c r="S663" s="1"/>
      <c r="Z663" s="1"/>
      <c r="AG663" s="1"/>
      <c r="AN663" s="1"/>
    </row>
    <row r="664" spans="11:40" x14ac:dyDescent="0.2">
      <c r="K664" s="1"/>
      <c r="L664" s="1"/>
      <c r="S664" s="1"/>
      <c r="Z664" s="1"/>
      <c r="AG664" s="1"/>
      <c r="AN664" s="1"/>
    </row>
    <row r="665" spans="11:40" x14ac:dyDescent="0.2">
      <c r="K665" s="1"/>
      <c r="L665" s="1"/>
      <c r="S665" s="1"/>
      <c r="Z665" s="1"/>
      <c r="AG665" s="1"/>
      <c r="AN665" s="1"/>
    </row>
    <row r="666" spans="11:40" x14ac:dyDescent="0.2">
      <c r="K666" s="1"/>
      <c r="L666" s="1"/>
      <c r="S666" s="1"/>
      <c r="Z666" s="1"/>
      <c r="AG666" s="1"/>
      <c r="AN666" s="1"/>
    </row>
    <row r="667" spans="11:40" x14ac:dyDescent="0.2">
      <c r="K667" s="1"/>
      <c r="L667" s="1"/>
      <c r="S667" s="1"/>
      <c r="Z667" s="1"/>
      <c r="AG667" s="1"/>
      <c r="AN667" s="1"/>
    </row>
    <row r="668" spans="11:40" x14ac:dyDescent="0.2">
      <c r="K668" s="1"/>
      <c r="L668" s="1"/>
      <c r="S668" s="1"/>
      <c r="Z668" s="1"/>
      <c r="AG668" s="1"/>
      <c r="AN668" s="1"/>
    </row>
    <row r="669" spans="11:40" x14ac:dyDescent="0.2">
      <c r="K669" s="1"/>
      <c r="L669" s="1"/>
      <c r="S669" s="1"/>
      <c r="Z669" s="1"/>
      <c r="AG669" s="1"/>
      <c r="AN669" s="1"/>
    </row>
    <row r="670" spans="11:40" x14ac:dyDescent="0.2">
      <c r="K670" s="1"/>
      <c r="L670" s="1"/>
      <c r="S670" s="1"/>
      <c r="Z670" s="1"/>
      <c r="AG670" s="1"/>
      <c r="AN670" s="1"/>
    </row>
    <row r="671" spans="11:40" x14ac:dyDescent="0.2">
      <c r="K671" s="1"/>
      <c r="L671" s="1"/>
      <c r="S671" s="1"/>
      <c r="Z671" s="1"/>
      <c r="AG671" s="1"/>
      <c r="AN671" s="1"/>
    </row>
    <row r="672" spans="11:40" x14ac:dyDescent="0.2">
      <c r="K672" s="1"/>
      <c r="L672" s="1"/>
      <c r="S672" s="1"/>
      <c r="Z672" s="1"/>
      <c r="AG672" s="1"/>
      <c r="AN672" s="1"/>
    </row>
    <row r="673" spans="11:40" x14ac:dyDescent="0.2">
      <c r="K673" s="1"/>
      <c r="L673" s="1"/>
      <c r="S673" s="1"/>
      <c r="Z673" s="1"/>
      <c r="AG673" s="1"/>
      <c r="AN673" s="1"/>
    </row>
    <row r="674" spans="11:40" x14ac:dyDescent="0.2">
      <c r="K674" s="1"/>
      <c r="L674" s="1"/>
      <c r="S674" s="1"/>
      <c r="Z674" s="1"/>
      <c r="AG674" s="1"/>
      <c r="AN674" s="1"/>
    </row>
    <row r="675" spans="11:40" x14ac:dyDescent="0.2">
      <c r="K675" s="1"/>
      <c r="L675" s="1"/>
      <c r="S675" s="1"/>
      <c r="Z675" s="1"/>
      <c r="AG675" s="1"/>
      <c r="AN675" s="1"/>
    </row>
    <row r="676" spans="11:40" x14ac:dyDescent="0.2">
      <c r="K676" s="1"/>
      <c r="L676" s="1"/>
      <c r="S676" s="1"/>
      <c r="Z676" s="1"/>
      <c r="AG676" s="1"/>
      <c r="AN676" s="1"/>
    </row>
    <row r="677" spans="11:40" x14ac:dyDescent="0.2">
      <c r="K677" s="1"/>
      <c r="L677" s="1"/>
      <c r="S677" s="1"/>
      <c r="Z677" s="1"/>
      <c r="AG677" s="1"/>
      <c r="AN677" s="1"/>
    </row>
    <row r="678" spans="11:40" x14ac:dyDescent="0.2">
      <c r="K678" s="1"/>
      <c r="L678" s="1"/>
      <c r="S678" s="1"/>
      <c r="Z678" s="1"/>
      <c r="AG678" s="1"/>
      <c r="AN678" s="1"/>
    </row>
    <row r="679" spans="11:40" x14ac:dyDescent="0.2">
      <c r="K679" s="1"/>
      <c r="L679" s="1"/>
      <c r="S679" s="1"/>
      <c r="Z679" s="1"/>
      <c r="AG679" s="1"/>
      <c r="AN679" s="1"/>
    </row>
    <row r="680" spans="11:40" x14ac:dyDescent="0.2">
      <c r="K680" s="1"/>
      <c r="L680" s="1"/>
      <c r="S680" s="1"/>
      <c r="Z680" s="1"/>
      <c r="AG680" s="1"/>
      <c r="AN680" s="1"/>
    </row>
    <row r="681" spans="11:40" x14ac:dyDescent="0.2">
      <c r="K681" s="1"/>
      <c r="L681" s="1"/>
      <c r="S681" s="1"/>
      <c r="Z681" s="1"/>
      <c r="AG681" s="1"/>
      <c r="AN681" s="1"/>
    </row>
    <row r="682" spans="11:40" x14ac:dyDescent="0.2">
      <c r="K682" s="1"/>
      <c r="L682" s="1"/>
      <c r="S682" s="1"/>
      <c r="Z682" s="1"/>
      <c r="AG682" s="1"/>
      <c r="AN682" s="1"/>
    </row>
    <row r="683" spans="11:40" x14ac:dyDescent="0.2">
      <c r="K683" s="1"/>
      <c r="L683" s="1"/>
      <c r="S683" s="1"/>
      <c r="Z683" s="1"/>
      <c r="AG683" s="1"/>
      <c r="AN683" s="1"/>
    </row>
    <row r="684" spans="11:40" x14ac:dyDescent="0.2">
      <c r="K684" s="1"/>
      <c r="L684" s="1"/>
      <c r="S684" s="1"/>
      <c r="Z684" s="1"/>
      <c r="AG684" s="1"/>
      <c r="AN684" s="1"/>
    </row>
    <row r="685" spans="11:40" x14ac:dyDescent="0.2">
      <c r="K685" s="1"/>
      <c r="L685" s="1"/>
      <c r="S685" s="1"/>
      <c r="Z685" s="1"/>
      <c r="AG685" s="1"/>
      <c r="AN685" s="1"/>
    </row>
    <row r="686" spans="11:40" x14ac:dyDescent="0.2">
      <c r="K686" s="1"/>
      <c r="L686" s="1"/>
      <c r="S686" s="1"/>
      <c r="Z686" s="1"/>
      <c r="AG686" s="1"/>
      <c r="AN686" s="1"/>
    </row>
    <row r="687" spans="11:40" x14ac:dyDescent="0.2">
      <c r="K687" s="1"/>
      <c r="L687" s="1"/>
      <c r="S687" s="1"/>
      <c r="Z687" s="1"/>
      <c r="AG687" s="1"/>
      <c r="AN687" s="1"/>
    </row>
    <row r="688" spans="11:40" x14ac:dyDescent="0.2">
      <c r="K688" s="1"/>
      <c r="L688" s="1"/>
      <c r="S688" s="1"/>
      <c r="Z688" s="1"/>
      <c r="AG688" s="1"/>
      <c r="AN688" s="1"/>
    </row>
    <row r="689" spans="11:40" x14ac:dyDescent="0.2">
      <c r="K689" s="1"/>
      <c r="L689" s="1"/>
      <c r="S689" s="1"/>
      <c r="Z689" s="1"/>
      <c r="AG689" s="1"/>
      <c r="AN689" s="1"/>
    </row>
    <row r="690" spans="11:40" x14ac:dyDescent="0.2">
      <c r="K690" s="1"/>
      <c r="L690" s="1"/>
      <c r="S690" s="1"/>
      <c r="Z690" s="1"/>
      <c r="AG690" s="1"/>
      <c r="AN690" s="1"/>
    </row>
    <row r="691" spans="11:40" x14ac:dyDescent="0.2">
      <c r="K691" s="1"/>
      <c r="L691" s="1"/>
      <c r="S691" s="1"/>
      <c r="Z691" s="1"/>
      <c r="AG691" s="1"/>
      <c r="AN691" s="1"/>
    </row>
    <row r="692" spans="11:40" x14ac:dyDescent="0.2">
      <c r="K692" s="1"/>
      <c r="L692" s="1"/>
      <c r="S692" s="1"/>
      <c r="Z692" s="1"/>
      <c r="AG692" s="1"/>
      <c r="AN692" s="1"/>
    </row>
    <row r="693" spans="11:40" x14ac:dyDescent="0.2">
      <c r="K693" s="1"/>
      <c r="L693" s="1"/>
      <c r="S693" s="1"/>
      <c r="Z693" s="1"/>
      <c r="AG693" s="1"/>
      <c r="AN693" s="1"/>
    </row>
    <row r="694" spans="11:40" x14ac:dyDescent="0.2">
      <c r="K694" s="1"/>
      <c r="L694" s="1"/>
      <c r="S694" s="1"/>
      <c r="Z694" s="1"/>
      <c r="AG694" s="1"/>
      <c r="AN694" s="1"/>
    </row>
    <row r="695" spans="11:40" x14ac:dyDescent="0.2">
      <c r="K695" s="1"/>
      <c r="L695" s="1"/>
      <c r="S695" s="1"/>
      <c r="Z695" s="1"/>
      <c r="AG695" s="1"/>
      <c r="AN695" s="1"/>
    </row>
    <row r="696" spans="11:40" x14ac:dyDescent="0.2">
      <c r="K696" s="1"/>
      <c r="L696" s="1"/>
      <c r="S696" s="1"/>
      <c r="Z696" s="1"/>
      <c r="AG696" s="1"/>
      <c r="AN696" s="1"/>
    </row>
    <row r="697" spans="11:40" x14ac:dyDescent="0.2">
      <c r="K697" s="1"/>
      <c r="L697" s="1"/>
      <c r="S697" s="1"/>
      <c r="Z697" s="1"/>
      <c r="AG697" s="1"/>
      <c r="AN697" s="1"/>
    </row>
    <row r="698" spans="11:40" x14ac:dyDescent="0.2">
      <c r="K698" s="1"/>
      <c r="L698" s="1"/>
      <c r="S698" s="1"/>
      <c r="Z698" s="1"/>
      <c r="AG698" s="1"/>
      <c r="AN698" s="1"/>
    </row>
    <row r="699" spans="11:40" x14ac:dyDescent="0.2">
      <c r="K699" s="1"/>
      <c r="L699" s="1"/>
      <c r="S699" s="1"/>
      <c r="Z699" s="1"/>
      <c r="AG699" s="1"/>
      <c r="AN699" s="1"/>
    </row>
    <row r="700" spans="11:40" x14ac:dyDescent="0.2">
      <c r="K700" s="1"/>
      <c r="L700" s="1"/>
      <c r="S700" s="1"/>
      <c r="Z700" s="1"/>
      <c r="AG700" s="1"/>
      <c r="AN700" s="1"/>
    </row>
    <row r="701" spans="11:40" x14ac:dyDescent="0.2">
      <c r="K701" s="1"/>
      <c r="L701" s="1"/>
      <c r="S701" s="1"/>
      <c r="Z701" s="1"/>
      <c r="AG701" s="1"/>
      <c r="AN701" s="1"/>
    </row>
    <row r="702" spans="11:40" x14ac:dyDescent="0.2">
      <c r="K702" s="1"/>
      <c r="L702" s="1"/>
      <c r="S702" s="1"/>
      <c r="Z702" s="1"/>
      <c r="AG702" s="1"/>
      <c r="AN702" s="1"/>
    </row>
    <row r="703" spans="11:40" x14ac:dyDescent="0.2">
      <c r="K703" s="1"/>
      <c r="L703" s="1"/>
      <c r="S703" s="1"/>
      <c r="Z703" s="1"/>
      <c r="AG703" s="1"/>
      <c r="AN703" s="1"/>
    </row>
    <row r="704" spans="11:40" x14ac:dyDescent="0.2">
      <c r="K704" s="1"/>
      <c r="L704" s="1"/>
      <c r="S704" s="1"/>
      <c r="Z704" s="1"/>
      <c r="AG704" s="1"/>
      <c r="AN704" s="1"/>
    </row>
    <row r="705" spans="11:40" x14ac:dyDescent="0.2">
      <c r="K705" s="1"/>
      <c r="L705" s="1"/>
      <c r="S705" s="1"/>
      <c r="Z705" s="1"/>
      <c r="AG705" s="1"/>
      <c r="AN705" s="1"/>
    </row>
    <row r="706" spans="11:40" x14ac:dyDescent="0.2">
      <c r="K706" s="1"/>
      <c r="L706" s="1"/>
      <c r="S706" s="1"/>
      <c r="Z706" s="1"/>
      <c r="AG706" s="1"/>
      <c r="AN706" s="1"/>
    </row>
    <row r="707" spans="11:40" x14ac:dyDescent="0.2">
      <c r="K707" s="1"/>
      <c r="L707" s="1"/>
      <c r="S707" s="1"/>
      <c r="Z707" s="1"/>
      <c r="AG707" s="1"/>
      <c r="AN707" s="1"/>
    </row>
    <row r="708" spans="11:40" x14ac:dyDescent="0.2">
      <c r="K708" s="1"/>
      <c r="L708" s="1"/>
      <c r="S708" s="1"/>
      <c r="Z708" s="1"/>
      <c r="AG708" s="1"/>
      <c r="AN708" s="1"/>
    </row>
    <row r="709" spans="11:40" x14ac:dyDescent="0.2">
      <c r="K709" s="1"/>
      <c r="L709" s="1"/>
      <c r="S709" s="1"/>
      <c r="Z709" s="1"/>
      <c r="AG709" s="1"/>
      <c r="AN709" s="1"/>
    </row>
    <row r="710" spans="11:40" x14ac:dyDescent="0.2">
      <c r="K710" s="1"/>
      <c r="L710" s="1"/>
      <c r="S710" s="1"/>
      <c r="Z710" s="1"/>
      <c r="AG710" s="1"/>
      <c r="AN710" s="1"/>
    </row>
    <row r="711" spans="11:40" x14ac:dyDescent="0.2">
      <c r="K711" s="1"/>
      <c r="L711" s="1"/>
      <c r="S711" s="1"/>
      <c r="Z711" s="1"/>
      <c r="AG711" s="1"/>
      <c r="AN711" s="1"/>
    </row>
    <row r="712" spans="11:40" x14ac:dyDescent="0.2">
      <c r="K712" s="1"/>
      <c r="L712" s="1"/>
      <c r="S712" s="1"/>
      <c r="Z712" s="1"/>
      <c r="AG712" s="1"/>
      <c r="AN712" s="1"/>
    </row>
    <row r="713" spans="11:40" x14ac:dyDescent="0.2">
      <c r="K713" s="1"/>
      <c r="L713" s="1"/>
      <c r="S713" s="1"/>
      <c r="Z713" s="1"/>
      <c r="AG713" s="1"/>
      <c r="AN713" s="1"/>
    </row>
    <row r="714" spans="11:40" x14ac:dyDescent="0.2">
      <c r="K714" s="1"/>
      <c r="L714" s="1"/>
      <c r="S714" s="1"/>
      <c r="Z714" s="1"/>
      <c r="AG714" s="1"/>
      <c r="AN714" s="1"/>
    </row>
    <row r="715" spans="11:40" x14ac:dyDescent="0.2">
      <c r="K715" s="1"/>
      <c r="L715" s="1"/>
      <c r="S715" s="1"/>
      <c r="Z715" s="1"/>
      <c r="AG715" s="1"/>
      <c r="AN715" s="1"/>
    </row>
    <row r="716" spans="11:40" x14ac:dyDescent="0.2">
      <c r="K716" s="1"/>
      <c r="L716" s="1"/>
      <c r="S716" s="1"/>
      <c r="Z716" s="1"/>
      <c r="AG716" s="1"/>
      <c r="AN716" s="1"/>
    </row>
    <row r="717" spans="11:40" x14ac:dyDescent="0.2">
      <c r="K717" s="1"/>
      <c r="L717" s="1"/>
      <c r="S717" s="1"/>
      <c r="Z717" s="1"/>
      <c r="AG717" s="1"/>
      <c r="AN717" s="1"/>
    </row>
    <row r="718" spans="11:40" x14ac:dyDescent="0.2">
      <c r="K718" s="1"/>
      <c r="L718" s="1"/>
      <c r="S718" s="1"/>
      <c r="Z718" s="1"/>
      <c r="AG718" s="1"/>
      <c r="AN718" s="1"/>
    </row>
    <row r="719" spans="11:40" x14ac:dyDescent="0.2">
      <c r="K719" s="1"/>
      <c r="L719" s="1"/>
      <c r="S719" s="1"/>
      <c r="Z719" s="1"/>
      <c r="AG719" s="1"/>
      <c r="AN719" s="1"/>
    </row>
    <row r="720" spans="11:40" x14ac:dyDescent="0.2">
      <c r="K720" s="1"/>
      <c r="L720" s="1"/>
      <c r="S720" s="1"/>
      <c r="Z720" s="1"/>
      <c r="AG720" s="1"/>
      <c r="AN720" s="1"/>
    </row>
    <row r="721" spans="11:40" x14ac:dyDescent="0.2">
      <c r="K721" s="1"/>
      <c r="L721" s="1"/>
      <c r="S721" s="1"/>
      <c r="Z721" s="1"/>
      <c r="AG721" s="1"/>
      <c r="AN721" s="1"/>
    </row>
    <row r="722" spans="11:40" x14ac:dyDescent="0.2">
      <c r="K722" s="1"/>
      <c r="L722" s="1"/>
      <c r="S722" s="1"/>
      <c r="Z722" s="1"/>
      <c r="AG722" s="1"/>
      <c r="AN722" s="1"/>
    </row>
    <row r="723" spans="11:40" x14ac:dyDescent="0.2">
      <c r="K723" s="1"/>
      <c r="L723" s="1"/>
      <c r="S723" s="1"/>
      <c r="Z723" s="1"/>
      <c r="AG723" s="1"/>
      <c r="AN723" s="1"/>
    </row>
    <row r="724" spans="11:40" x14ac:dyDescent="0.2">
      <c r="K724" s="1"/>
      <c r="L724" s="1"/>
      <c r="S724" s="1"/>
      <c r="Z724" s="1"/>
      <c r="AG724" s="1"/>
      <c r="AN724" s="1"/>
    </row>
    <row r="725" spans="11:40" x14ac:dyDescent="0.2">
      <c r="K725" s="1"/>
      <c r="L725" s="1"/>
      <c r="S725" s="1"/>
      <c r="Z725" s="1"/>
      <c r="AG725" s="1"/>
      <c r="AN725" s="1"/>
    </row>
    <row r="726" spans="11:40" x14ac:dyDescent="0.2">
      <c r="K726" s="1"/>
      <c r="L726" s="1"/>
      <c r="S726" s="1"/>
      <c r="Z726" s="1"/>
      <c r="AG726" s="1"/>
      <c r="AN726" s="1"/>
    </row>
    <row r="727" spans="11:40" x14ac:dyDescent="0.2">
      <c r="K727" s="1"/>
      <c r="L727" s="1"/>
      <c r="S727" s="1"/>
      <c r="Z727" s="1"/>
      <c r="AG727" s="1"/>
      <c r="AN727" s="1"/>
    </row>
    <row r="728" spans="11:40" x14ac:dyDescent="0.2">
      <c r="K728" s="1"/>
      <c r="L728" s="1"/>
      <c r="S728" s="1"/>
      <c r="Z728" s="1"/>
      <c r="AG728" s="1"/>
      <c r="AN728" s="1"/>
    </row>
    <row r="729" spans="11:40" x14ac:dyDescent="0.2">
      <c r="K729" s="1"/>
      <c r="L729" s="1"/>
      <c r="S729" s="1"/>
      <c r="Z729" s="1"/>
      <c r="AG729" s="1"/>
      <c r="AN729" s="1"/>
    </row>
    <row r="730" spans="11:40" x14ac:dyDescent="0.2">
      <c r="K730" s="1"/>
      <c r="L730" s="1"/>
      <c r="S730" s="1"/>
      <c r="Z730" s="1"/>
      <c r="AG730" s="1"/>
      <c r="AN730" s="1"/>
    </row>
    <row r="731" spans="11:40" x14ac:dyDescent="0.2">
      <c r="K731" s="1"/>
      <c r="L731" s="1"/>
      <c r="S731" s="1"/>
      <c r="Z731" s="1"/>
      <c r="AG731" s="1"/>
      <c r="AN731" s="1"/>
    </row>
    <row r="732" spans="11:40" x14ac:dyDescent="0.2">
      <c r="K732" s="1"/>
      <c r="L732" s="1"/>
      <c r="S732" s="1"/>
      <c r="Z732" s="1"/>
      <c r="AG732" s="1"/>
      <c r="AN732" s="1"/>
    </row>
    <row r="733" spans="11:40" x14ac:dyDescent="0.2">
      <c r="K733" s="1"/>
      <c r="L733" s="1"/>
      <c r="S733" s="1"/>
      <c r="Z733" s="1"/>
      <c r="AG733" s="1"/>
      <c r="AN733" s="1"/>
    </row>
    <row r="734" spans="11:40" x14ac:dyDescent="0.2">
      <c r="K734" s="1"/>
      <c r="L734" s="1"/>
      <c r="S734" s="1"/>
      <c r="Z734" s="1"/>
      <c r="AG734" s="1"/>
      <c r="AN734" s="1"/>
    </row>
    <row r="735" spans="11:40" x14ac:dyDescent="0.2">
      <c r="K735" s="1"/>
      <c r="L735" s="1"/>
      <c r="S735" s="1"/>
      <c r="Z735" s="1"/>
      <c r="AG735" s="1"/>
      <c r="AN735" s="1"/>
    </row>
    <row r="736" spans="11:40" x14ac:dyDescent="0.2">
      <c r="K736" s="1"/>
      <c r="L736" s="1"/>
      <c r="S736" s="1"/>
      <c r="Z736" s="1"/>
      <c r="AG736" s="1"/>
      <c r="AN736" s="1"/>
    </row>
    <row r="737" spans="11:40" x14ac:dyDescent="0.2">
      <c r="K737" s="1"/>
      <c r="L737" s="1"/>
      <c r="S737" s="1"/>
      <c r="Z737" s="1"/>
      <c r="AG737" s="1"/>
      <c r="AN737" s="1"/>
    </row>
    <row r="738" spans="11:40" x14ac:dyDescent="0.2">
      <c r="K738" s="1"/>
      <c r="L738" s="1"/>
      <c r="S738" s="1"/>
      <c r="Z738" s="1"/>
      <c r="AG738" s="1"/>
      <c r="AN738" s="1"/>
    </row>
    <row r="739" spans="11:40" x14ac:dyDescent="0.2">
      <c r="K739" s="1"/>
      <c r="L739" s="1"/>
      <c r="S739" s="1"/>
      <c r="Z739" s="1"/>
      <c r="AG739" s="1"/>
      <c r="AN739" s="1"/>
    </row>
    <row r="740" spans="11:40" x14ac:dyDescent="0.2">
      <c r="K740" s="1"/>
      <c r="L740" s="1"/>
      <c r="S740" s="1"/>
      <c r="Z740" s="1"/>
      <c r="AG740" s="1"/>
      <c r="AN740" s="1"/>
    </row>
    <row r="741" spans="11:40" x14ac:dyDescent="0.2">
      <c r="K741" s="1"/>
      <c r="L741" s="1"/>
      <c r="S741" s="1"/>
      <c r="Z741" s="1"/>
      <c r="AG741" s="1"/>
      <c r="AN741" s="1"/>
    </row>
    <row r="742" spans="11:40" x14ac:dyDescent="0.2">
      <c r="K742" s="1"/>
      <c r="L742" s="1"/>
      <c r="S742" s="1"/>
      <c r="Z742" s="1"/>
      <c r="AG742" s="1"/>
      <c r="AN742" s="1"/>
    </row>
    <row r="743" spans="11:40" x14ac:dyDescent="0.2">
      <c r="K743" s="1"/>
      <c r="L743" s="1"/>
      <c r="S743" s="1"/>
      <c r="Z743" s="1"/>
      <c r="AG743" s="1"/>
      <c r="AN743" s="1"/>
    </row>
    <row r="744" spans="11:40" x14ac:dyDescent="0.2">
      <c r="K744" s="1"/>
      <c r="L744" s="1"/>
      <c r="S744" s="1"/>
      <c r="Z744" s="1"/>
      <c r="AG744" s="1"/>
      <c r="AN744" s="1"/>
    </row>
    <row r="745" spans="11:40" x14ac:dyDescent="0.2">
      <c r="K745" s="1"/>
      <c r="L745" s="1"/>
      <c r="S745" s="1"/>
      <c r="Z745" s="1"/>
      <c r="AG745" s="1"/>
      <c r="AN745" s="1"/>
    </row>
    <row r="746" spans="11:40" x14ac:dyDescent="0.2">
      <c r="K746" s="1"/>
      <c r="L746" s="1"/>
      <c r="S746" s="1"/>
      <c r="Z746" s="1"/>
      <c r="AG746" s="1"/>
      <c r="AN746" s="1"/>
    </row>
    <row r="747" spans="11:40" x14ac:dyDescent="0.2">
      <c r="K747" s="1"/>
      <c r="L747" s="1"/>
      <c r="S747" s="1"/>
      <c r="Z747" s="1"/>
      <c r="AG747" s="1"/>
      <c r="AN747" s="1"/>
    </row>
    <row r="748" spans="11:40" x14ac:dyDescent="0.2">
      <c r="K748" s="1"/>
      <c r="L748" s="1"/>
      <c r="S748" s="1"/>
      <c r="Z748" s="1"/>
      <c r="AG748" s="1"/>
      <c r="AN748" s="1"/>
    </row>
    <row r="749" spans="11:40" x14ac:dyDescent="0.2">
      <c r="K749" s="1"/>
      <c r="L749" s="1"/>
      <c r="S749" s="1"/>
      <c r="Z749" s="1"/>
      <c r="AG749" s="1"/>
      <c r="AN749" s="1"/>
    </row>
    <row r="750" spans="11:40" x14ac:dyDescent="0.2">
      <c r="K750" s="1"/>
      <c r="L750" s="1"/>
      <c r="S750" s="1"/>
      <c r="Z750" s="1"/>
      <c r="AG750" s="1"/>
      <c r="AN750" s="1"/>
    </row>
    <row r="751" spans="11:40" x14ac:dyDescent="0.2">
      <c r="K751" s="1"/>
      <c r="L751" s="1"/>
      <c r="S751" s="1"/>
      <c r="Z751" s="1"/>
      <c r="AG751" s="1"/>
      <c r="AN751" s="1"/>
    </row>
    <row r="752" spans="11:40" x14ac:dyDescent="0.2">
      <c r="K752" s="1"/>
      <c r="L752" s="1"/>
      <c r="S752" s="1"/>
      <c r="Z752" s="1"/>
      <c r="AG752" s="1"/>
      <c r="AN752" s="1"/>
    </row>
    <row r="753" spans="11:40" x14ac:dyDescent="0.2">
      <c r="K753" s="1"/>
      <c r="L753" s="1"/>
      <c r="S753" s="1"/>
      <c r="Z753" s="1"/>
      <c r="AG753" s="1"/>
      <c r="AN753" s="1"/>
    </row>
    <row r="754" spans="11:40" x14ac:dyDescent="0.2">
      <c r="K754" s="1"/>
      <c r="L754" s="1"/>
      <c r="S754" s="1"/>
      <c r="Z754" s="1"/>
      <c r="AG754" s="1"/>
      <c r="AN754" s="1"/>
    </row>
    <row r="755" spans="11:40" x14ac:dyDescent="0.2">
      <c r="K755" s="1"/>
      <c r="L755" s="1"/>
      <c r="S755" s="1"/>
      <c r="Z755" s="1"/>
      <c r="AG755" s="1"/>
      <c r="AN755" s="1"/>
    </row>
    <row r="756" spans="11:40" x14ac:dyDescent="0.2">
      <c r="K756" s="1"/>
      <c r="L756" s="1"/>
      <c r="S756" s="1"/>
      <c r="Z756" s="1"/>
      <c r="AG756" s="1"/>
      <c r="AN756" s="1"/>
    </row>
    <row r="757" spans="11:40" x14ac:dyDescent="0.2">
      <c r="K757" s="1"/>
      <c r="L757" s="1"/>
      <c r="S757" s="1"/>
      <c r="Z757" s="1"/>
      <c r="AG757" s="1"/>
      <c r="AN757" s="1"/>
    </row>
    <row r="758" spans="11:40" x14ac:dyDescent="0.2">
      <c r="K758" s="1"/>
      <c r="L758" s="1"/>
      <c r="S758" s="1"/>
      <c r="Z758" s="1"/>
      <c r="AG758" s="1"/>
      <c r="AN758" s="1"/>
    </row>
    <row r="759" spans="11:40" x14ac:dyDescent="0.2">
      <c r="K759" s="1"/>
      <c r="L759" s="1"/>
      <c r="S759" s="1"/>
      <c r="Z759" s="1"/>
      <c r="AG759" s="1"/>
      <c r="AN759" s="1"/>
    </row>
    <row r="760" spans="11:40" x14ac:dyDescent="0.2">
      <c r="K760" s="1"/>
      <c r="L760" s="1"/>
      <c r="S760" s="1"/>
      <c r="Z760" s="1"/>
      <c r="AG760" s="1"/>
      <c r="AN760" s="1"/>
    </row>
    <row r="761" spans="11:40" x14ac:dyDescent="0.2">
      <c r="K761" s="1"/>
      <c r="L761" s="1"/>
      <c r="S761" s="1"/>
      <c r="Z761" s="1"/>
      <c r="AG761" s="1"/>
      <c r="AN761" s="1"/>
    </row>
    <row r="762" spans="11:40" x14ac:dyDescent="0.2">
      <c r="K762" s="1"/>
      <c r="L762" s="1"/>
      <c r="S762" s="1"/>
      <c r="Z762" s="1"/>
      <c r="AG762" s="1"/>
      <c r="AN762" s="1"/>
    </row>
    <row r="763" spans="11:40" x14ac:dyDescent="0.2">
      <c r="K763" s="1"/>
      <c r="L763" s="1"/>
      <c r="S763" s="1"/>
      <c r="Z763" s="1"/>
      <c r="AG763" s="1"/>
      <c r="AN763" s="1"/>
    </row>
    <row r="764" spans="11:40" x14ac:dyDescent="0.2">
      <c r="K764" s="1"/>
      <c r="L764" s="1"/>
      <c r="S764" s="1"/>
      <c r="Z764" s="1"/>
      <c r="AG764" s="1"/>
      <c r="AN764" s="1"/>
    </row>
    <row r="765" spans="11:40" x14ac:dyDescent="0.2">
      <c r="K765" s="1"/>
      <c r="L765" s="1"/>
      <c r="S765" s="1"/>
      <c r="Z765" s="1"/>
      <c r="AG765" s="1"/>
      <c r="AN765" s="1"/>
    </row>
    <row r="766" spans="11:40" x14ac:dyDescent="0.2">
      <c r="K766" s="1"/>
      <c r="L766" s="1"/>
      <c r="S766" s="1"/>
      <c r="Z766" s="1"/>
      <c r="AG766" s="1"/>
      <c r="AN766" s="1"/>
    </row>
    <row r="767" spans="11:40" x14ac:dyDescent="0.2">
      <c r="K767" s="1"/>
      <c r="L767" s="1"/>
      <c r="S767" s="1"/>
      <c r="Z767" s="1"/>
      <c r="AG767" s="1"/>
      <c r="AN767" s="1"/>
    </row>
    <row r="768" spans="11:40" x14ac:dyDescent="0.2">
      <c r="K768" s="1"/>
      <c r="L768" s="1"/>
      <c r="S768" s="1"/>
      <c r="Z768" s="1"/>
      <c r="AG768" s="1"/>
      <c r="AN768" s="1"/>
    </row>
    <row r="769" spans="11:40" x14ac:dyDescent="0.2">
      <c r="K769" s="1"/>
      <c r="L769" s="1"/>
      <c r="S769" s="1"/>
      <c r="Z769" s="1"/>
      <c r="AG769" s="1"/>
      <c r="AN769" s="1"/>
    </row>
    <row r="770" spans="11:40" x14ac:dyDescent="0.2">
      <c r="K770" s="1"/>
      <c r="L770" s="1"/>
      <c r="S770" s="1"/>
      <c r="Z770" s="1"/>
      <c r="AG770" s="1"/>
      <c r="AN770" s="1"/>
    </row>
    <row r="771" spans="11:40" x14ac:dyDescent="0.2">
      <c r="K771" s="1"/>
      <c r="L771" s="1"/>
      <c r="S771" s="1"/>
      <c r="Z771" s="1"/>
      <c r="AG771" s="1"/>
      <c r="AN771" s="1"/>
    </row>
    <row r="772" spans="11:40" x14ac:dyDescent="0.2">
      <c r="K772" s="1"/>
      <c r="L772" s="1"/>
      <c r="S772" s="1"/>
      <c r="Z772" s="1"/>
      <c r="AG772" s="1"/>
      <c r="AN772" s="1"/>
    </row>
    <row r="773" spans="11:40" x14ac:dyDescent="0.2">
      <c r="K773" s="1"/>
      <c r="L773" s="1"/>
      <c r="S773" s="1"/>
      <c r="Z773" s="1"/>
      <c r="AG773" s="1"/>
      <c r="AN773" s="1"/>
    </row>
    <row r="774" spans="11:40" x14ac:dyDescent="0.2">
      <c r="K774" s="1"/>
      <c r="L774" s="1"/>
      <c r="S774" s="1"/>
      <c r="Z774" s="1"/>
      <c r="AG774" s="1"/>
      <c r="AN774" s="1"/>
    </row>
    <row r="775" spans="11:40" x14ac:dyDescent="0.2">
      <c r="K775" s="1"/>
      <c r="L775" s="1"/>
      <c r="S775" s="1"/>
      <c r="Z775" s="1"/>
      <c r="AG775" s="1"/>
      <c r="AN775" s="1"/>
    </row>
    <row r="776" spans="11:40" x14ac:dyDescent="0.2">
      <c r="K776" s="1"/>
      <c r="L776" s="1"/>
      <c r="S776" s="1"/>
      <c r="Z776" s="1"/>
      <c r="AG776" s="1"/>
      <c r="AN776" s="1"/>
    </row>
    <row r="777" spans="11:40" x14ac:dyDescent="0.2">
      <c r="K777" s="1"/>
      <c r="L777" s="1"/>
      <c r="S777" s="1"/>
      <c r="Z777" s="1"/>
      <c r="AG777" s="1"/>
      <c r="AN777" s="1"/>
    </row>
    <row r="778" spans="11:40" x14ac:dyDescent="0.2">
      <c r="K778" s="1"/>
      <c r="L778" s="1"/>
      <c r="S778" s="1"/>
      <c r="Z778" s="1"/>
      <c r="AG778" s="1"/>
      <c r="AN778" s="1"/>
    </row>
    <row r="779" spans="11:40" x14ac:dyDescent="0.2">
      <c r="K779" s="1"/>
      <c r="L779" s="1"/>
      <c r="S779" s="1"/>
      <c r="Z779" s="1"/>
      <c r="AG779" s="1"/>
      <c r="AN779" s="1"/>
    </row>
    <row r="780" spans="11:40" x14ac:dyDescent="0.2">
      <c r="K780" s="1"/>
      <c r="L780" s="1"/>
      <c r="S780" s="1"/>
      <c r="Z780" s="1"/>
      <c r="AG780" s="1"/>
      <c r="AN780" s="1"/>
    </row>
    <row r="781" spans="11:40" x14ac:dyDescent="0.2">
      <c r="K781" s="1"/>
      <c r="L781" s="1"/>
      <c r="S781" s="1"/>
      <c r="Z781" s="1"/>
      <c r="AG781" s="1"/>
      <c r="AN781" s="1"/>
    </row>
    <row r="782" spans="11:40" x14ac:dyDescent="0.2">
      <c r="K782" s="1"/>
      <c r="L782" s="1"/>
      <c r="S782" s="1"/>
      <c r="Z782" s="1"/>
      <c r="AG782" s="1"/>
      <c r="AN782" s="1"/>
    </row>
    <row r="783" spans="11:40" x14ac:dyDescent="0.2">
      <c r="K783" s="1"/>
      <c r="L783" s="1"/>
      <c r="S783" s="1"/>
      <c r="Z783" s="1"/>
      <c r="AG783" s="1"/>
      <c r="AN783" s="1"/>
    </row>
    <row r="784" spans="11:40" x14ac:dyDescent="0.2">
      <c r="K784" s="1"/>
      <c r="L784" s="1"/>
      <c r="S784" s="1"/>
      <c r="Z784" s="1"/>
      <c r="AG784" s="1"/>
      <c r="AN784" s="1"/>
    </row>
    <row r="785" spans="11:40" x14ac:dyDescent="0.2">
      <c r="K785" s="1"/>
      <c r="L785" s="1"/>
      <c r="S785" s="1"/>
      <c r="Z785" s="1"/>
      <c r="AG785" s="1"/>
      <c r="AN785" s="1"/>
    </row>
    <row r="786" spans="11:40" x14ac:dyDescent="0.2">
      <c r="K786" s="1"/>
      <c r="L786" s="1"/>
      <c r="S786" s="1"/>
      <c r="Z786" s="1"/>
      <c r="AG786" s="1"/>
      <c r="AN786" s="1"/>
    </row>
    <row r="787" spans="11:40" x14ac:dyDescent="0.2">
      <c r="K787" s="1"/>
      <c r="L787" s="1"/>
      <c r="S787" s="1"/>
      <c r="Z787" s="1"/>
      <c r="AG787" s="1"/>
      <c r="AN787" s="1"/>
    </row>
    <row r="788" spans="11:40" x14ac:dyDescent="0.2">
      <c r="K788" s="1"/>
      <c r="L788" s="1"/>
      <c r="S788" s="1"/>
      <c r="Z788" s="1"/>
      <c r="AG788" s="1"/>
      <c r="AN788" s="1"/>
    </row>
    <row r="789" spans="11:40" x14ac:dyDescent="0.2">
      <c r="K789" s="1"/>
      <c r="L789" s="1"/>
      <c r="S789" s="1"/>
      <c r="Z789" s="1"/>
      <c r="AG789" s="1"/>
      <c r="AN789" s="1"/>
    </row>
    <row r="790" spans="11:40" x14ac:dyDescent="0.2">
      <c r="K790" s="1"/>
      <c r="L790" s="1"/>
      <c r="S790" s="1"/>
      <c r="Z790" s="1"/>
      <c r="AG790" s="1"/>
      <c r="AN790" s="1"/>
    </row>
    <row r="791" spans="11:40" x14ac:dyDescent="0.2">
      <c r="K791" s="1"/>
      <c r="L791" s="1"/>
      <c r="S791" s="1"/>
      <c r="Z791" s="1"/>
      <c r="AG791" s="1"/>
      <c r="AN791" s="1"/>
    </row>
    <row r="792" spans="11:40" x14ac:dyDescent="0.2">
      <c r="K792" s="1"/>
      <c r="L792" s="1"/>
      <c r="S792" s="1"/>
      <c r="Z792" s="1"/>
      <c r="AG792" s="1"/>
      <c r="AN792" s="1"/>
    </row>
    <row r="793" spans="11:40" x14ac:dyDescent="0.2">
      <c r="K793" s="1"/>
      <c r="L793" s="1"/>
      <c r="S793" s="1"/>
      <c r="Z793" s="1"/>
      <c r="AG793" s="1"/>
      <c r="AN793" s="1"/>
    </row>
    <row r="794" spans="11:40" x14ac:dyDescent="0.2">
      <c r="K794" s="1"/>
      <c r="L794" s="1"/>
      <c r="S794" s="1"/>
      <c r="Z794" s="1"/>
      <c r="AG794" s="1"/>
      <c r="AN794" s="1"/>
    </row>
    <row r="795" spans="11:40" x14ac:dyDescent="0.2">
      <c r="K795" s="1"/>
      <c r="L795" s="1"/>
      <c r="S795" s="1"/>
      <c r="Z795" s="1"/>
      <c r="AG795" s="1"/>
      <c r="AN795" s="1"/>
    </row>
    <row r="796" spans="11:40" x14ac:dyDescent="0.2">
      <c r="K796" s="1"/>
      <c r="L796" s="1"/>
      <c r="S796" s="1"/>
      <c r="Z796" s="1"/>
      <c r="AG796" s="1"/>
      <c r="AN796" s="1"/>
    </row>
    <row r="797" spans="11:40" x14ac:dyDescent="0.2">
      <c r="K797" s="1"/>
      <c r="L797" s="1"/>
      <c r="S797" s="1"/>
      <c r="Z797" s="1"/>
      <c r="AG797" s="1"/>
      <c r="AN797" s="1"/>
    </row>
    <row r="798" spans="11:40" x14ac:dyDescent="0.2">
      <c r="K798" s="1"/>
      <c r="L798" s="1"/>
      <c r="S798" s="1"/>
      <c r="Z798" s="1"/>
      <c r="AG798" s="1"/>
      <c r="AN798" s="1"/>
    </row>
    <row r="799" spans="11:40" x14ac:dyDescent="0.2">
      <c r="K799" s="1"/>
      <c r="L799" s="1"/>
      <c r="S799" s="1"/>
      <c r="Z799" s="1"/>
      <c r="AG799" s="1"/>
      <c r="AN799" s="1"/>
    </row>
    <row r="800" spans="11:40" x14ac:dyDescent="0.2">
      <c r="K800" s="1"/>
      <c r="L800" s="1"/>
      <c r="S800" s="1"/>
      <c r="Z800" s="1"/>
      <c r="AG800" s="1"/>
      <c r="AN800" s="1"/>
    </row>
    <row r="801" spans="11:40" x14ac:dyDescent="0.2">
      <c r="K801" s="1"/>
      <c r="L801" s="1"/>
      <c r="S801" s="1"/>
      <c r="Z801" s="1"/>
      <c r="AG801" s="1"/>
      <c r="AN801" s="1"/>
    </row>
    <row r="802" spans="11:40" x14ac:dyDescent="0.2">
      <c r="K802" s="1"/>
      <c r="L802" s="1"/>
      <c r="S802" s="1"/>
      <c r="Z802" s="1"/>
      <c r="AG802" s="1"/>
      <c r="AN802" s="1"/>
    </row>
    <row r="803" spans="11:40" x14ac:dyDescent="0.2">
      <c r="K803" s="1"/>
      <c r="L803" s="1"/>
      <c r="S803" s="1"/>
      <c r="Z803" s="1"/>
      <c r="AG803" s="1"/>
      <c r="AN803" s="1"/>
    </row>
    <row r="804" spans="11:40" x14ac:dyDescent="0.2">
      <c r="K804" s="1"/>
      <c r="L804" s="1"/>
      <c r="S804" s="1"/>
      <c r="Z804" s="1"/>
      <c r="AG804" s="1"/>
      <c r="AN804" s="1"/>
    </row>
    <row r="805" spans="11:40" x14ac:dyDescent="0.2">
      <c r="K805" s="1"/>
      <c r="L805" s="1"/>
      <c r="S805" s="1"/>
      <c r="Z805" s="1"/>
      <c r="AG805" s="1"/>
      <c r="AN805" s="1"/>
    </row>
    <row r="806" spans="11:40" x14ac:dyDescent="0.2">
      <c r="K806" s="1"/>
      <c r="L806" s="1"/>
      <c r="S806" s="1"/>
      <c r="Z806" s="1"/>
      <c r="AG806" s="1"/>
      <c r="AN806" s="1"/>
    </row>
    <row r="807" spans="11:40" x14ac:dyDescent="0.2">
      <c r="K807" s="1"/>
      <c r="L807" s="1"/>
      <c r="S807" s="1"/>
      <c r="Z807" s="1"/>
      <c r="AG807" s="1"/>
      <c r="AN807" s="1"/>
    </row>
    <row r="808" spans="11:40" x14ac:dyDescent="0.2">
      <c r="K808" s="1"/>
      <c r="L808" s="1"/>
      <c r="S808" s="1"/>
      <c r="Z808" s="1"/>
      <c r="AG808" s="1"/>
      <c r="AN808" s="1"/>
    </row>
    <row r="809" spans="11:40" x14ac:dyDescent="0.2">
      <c r="K809" s="1"/>
      <c r="L809" s="1"/>
      <c r="S809" s="1"/>
      <c r="Z809" s="1"/>
      <c r="AG809" s="1"/>
      <c r="AN809" s="1"/>
    </row>
    <row r="810" spans="11:40" x14ac:dyDescent="0.2">
      <c r="K810" s="1"/>
      <c r="L810" s="1"/>
      <c r="S810" s="1"/>
      <c r="Z810" s="1"/>
      <c r="AG810" s="1"/>
      <c r="AN810" s="1"/>
    </row>
    <row r="811" spans="11:40" x14ac:dyDescent="0.2">
      <c r="K811" s="1"/>
      <c r="L811" s="1"/>
      <c r="S811" s="1"/>
      <c r="Z811" s="1"/>
      <c r="AG811" s="1"/>
      <c r="AN811" s="1"/>
    </row>
    <row r="812" spans="11:40" x14ac:dyDescent="0.2">
      <c r="K812" s="1"/>
      <c r="L812" s="1"/>
      <c r="S812" s="1"/>
      <c r="Z812" s="1"/>
      <c r="AG812" s="1"/>
      <c r="AN812" s="1"/>
    </row>
    <row r="813" spans="11:40" x14ac:dyDescent="0.2">
      <c r="K813" s="1"/>
      <c r="L813" s="1"/>
      <c r="S813" s="1"/>
      <c r="Z813" s="1"/>
      <c r="AG813" s="1"/>
      <c r="AN813" s="1"/>
    </row>
    <row r="814" spans="11:40" x14ac:dyDescent="0.2">
      <c r="K814" s="1"/>
      <c r="L814" s="1"/>
      <c r="S814" s="1"/>
      <c r="Z814" s="1"/>
      <c r="AG814" s="1"/>
      <c r="AN814" s="1"/>
    </row>
    <row r="815" spans="11:40" x14ac:dyDescent="0.2">
      <c r="K815" s="1"/>
      <c r="L815" s="1"/>
      <c r="S815" s="1"/>
      <c r="Z815" s="1"/>
      <c r="AG815" s="1"/>
      <c r="AN815" s="1"/>
    </row>
    <row r="816" spans="11:40" x14ac:dyDescent="0.2">
      <c r="K816" s="1"/>
      <c r="L816" s="1"/>
      <c r="S816" s="1"/>
      <c r="Z816" s="1"/>
      <c r="AG816" s="1"/>
      <c r="AN816" s="1"/>
    </row>
    <row r="817" spans="11:40" x14ac:dyDescent="0.2">
      <c r="K817" s="1"/>
      <c r="L817" s="1"/>
      <c r="S817" s="1"/>
      <c r="Z817" s="1"/>
      <c r="AG817" s="1"/>
      <c r="AN817" s="1"/>
    </row>
    <row r="818" spans="11:40" x14ac:dyDescent="0.2">
      <c r="K818" s="1"/>
      <c r="L818" s="1"/>
      <c r="S818" s="1"/>
      <c r="Z818" s="1"/>
      <c r="AG818" s="1"/>
      <c r="AN818" s="1"/>
    </row>
    <row r="819" spans="11:40" x14ac:dyDescent="0.2">
      <c r="K819" s="1"/>
      <c r="L819" s="1"/>
      <c r="S819" s="1"/>
      <c r="Z819" s="1"/>
      <c r="AG819" s="1"/>
      <c r="AN819" s="1"/>
    </row>
    <row r="820" spans="11:40" x14ac:dyDescent="0.2">
      <c r="K820" s="1"/>
      <c r="L820" s="1"/>
      <c r="S820" s="1"/>
      <c r="Z820" s="1"/>
      <c r="AG820" s="1"/>
      <c r="AN820" s="1"/>
    </row>
    <row r="821" spans="11:40" x14ac:dyDescent="0.2">
      <c r="K821" s="1"/>
      <c r="L821" s="1"/>
      <c r="S821" s="1"/>
      <c r="Z821" s="1"/>
      <c r="AG821" s="1"/>
      <c r="AN821" s="1"/>
    </row>
    <row r="822" spans="11:40" x14ac:dyDescent="0.2">
      <c r="K822" s="1"/>
      <c r="L822" s="1"/>
      <c r="S822" s="1"/>
      <c r="Z822" s="1"/>
      <c r="AG822" s="1"/>
      <c r="AN822" s="1"/>
    </row>
    <row r="823" spans="11:40" x14ac:dyDescent="0.2">
      <c r="K823" s="1"/>
      <c r="L823" s="1"/>
      <c r="S823" s="1"/>
      <c r="Z823" s="1"/>
      <c r="AG823" s="1"/>
      <c r="AN823" s="1"/>
    </row>
    <row r="824" spans="11:40" x14ac:dyDescent="0.2">
      <c r="K824" s="1"/>
      <c r="L824" s="1"/>
      <c r="S824" s="1"/>
      <c r="Z824" s="1"/>
      <c r="AG824" s="1"/>
      <c r="AN824" s="1"/>
    </row>
    <row r="825" spans="11:40" x14ac:dyDescent="0.2">
      <c r="K825" s="1"/>
      <c r="L825" s="1"/>
      <c r="S825" s="1"/>
      <c r="Z825" s="1"/>
      <c r="AG825" s="1"/>
      <c r="AN825" s="1"/>
    </row>
    <row r="826" spans="11:40" x14ac:dyDescent="0.2">
      <c r="K826" s="1"/>
      <c r="L826" s="1"/>
      <c r="S826" s="1"/>
      <c r="Z826" s="1"/>
      <c r="AG826" s="1"/>
      <c r="AN826" s="1"/>
    </row>
    <row r="827" spans="11:40" x14ac:dyDescent="0.2">
      <c r="K827" s="1"/>
      <c r="L827" s="1"/>
      <c r="S827" s="1"/>
      <c r="Z827" s="1"/>
      <c r="AG827" s="1"/>
      <c r="AN827" s="1"/>
    </row>
    <row r="828" spans="11:40" x14ac:dyDescent="0.2">
      <c r="K828" s="1"/>
      <c r="L828" s="1"/>
      <c r="S828" s="1"/>
      <c r="Z828" s="1"/>
      <c r="AG828" s="1"/>
      <c r="AN828" s="1"/>
    </row>
    <row r="829" spans="11:40" x14ac:dyDescent="0.2">
      <c r="K829" s="1"/>
      <c r="L829" s="1"/>
      <c r="S829" s="1"/>
      <c r="Z829" s="1"/>
      <c r="AG829" s="1"/>
      <c r="AN829" s="1"/>
    </row>
    <row r="830" spans="11:40" x14ac:dyDescent="0.2">
      <c r="K830" s="1"/>
      <c r="L830" s="1"/>
      <c r="S830" s="1"/>
      <c r="Z830" s="1"/>
      <c r="AG830" s="1"/>
      <c r="AN830" s="1"/>
    </row>
    <row r="831" spans="11:40" x14ac:dyDescent="0.2">
      <c r="K831" s="1"/>
      <c r="L831" s="1"/>
      <c r="S831" s="1"/>
      <c r="Z831" s="1"/>
      <c r="AG831" s="1"/>
      <c r="AN831" s="1"/>
    </row>
    <row r="832" spans="11:40" x14ac:dyDescent="0.2">
      <c r="K832" s="1"/>
      <c r="L832" s="1"/>
      <c r="S832" s="1"/>
      <c r="Z832" s="1"/>
      <c r="AG832" s="1"/>
      <c r="AN832" s="1"/>
    </row>
    <row r="833" spans="11:40" x14ac:dyDescent="0.2">
      <c r="K833" s="1"/>
      <c r="L833" s="1"/>
      <c r="S833" s="1"/>
      <c r="Z833" s="1"/>
      <c r="AG833" s="1"/>
      <c r="AN833" s="1"/>
    </row>
    <row r="834" spans="11:40" x14ac:dyDescent="0.2">
      <c r="K834" s="1"/>
      <c r="L834" s="1"/>
      <c r="S834" s="1"/>
      <c r="Z834" s="1"/>
      <c r="AG834" s="1"/>
      <c r="AN834" s="1"/>
    </row>
    <row r="835" spans="11:40" x14ac:dyDescent="0.2">
      <c r="K835" s="1"/>
      <c r="L835" s="1"/>
      <c r="S835" s="1"/>
      <c r="Z835" s="1"/>
      <c r="AG835" s="1"/>
      <c r="AN835" s="1"/>
    </row>
    <row r="836" spans="11:40" x14ac:dyDescent="0.2">
      <c r="K836" s="1"/>
      <c r="L836" s="1"/>
      <c r="S836" s="1"/>
      <c r="Z836" s="1"/>
      <c r="AG836" s="1"/>
      <c r="AN836" s="1"/>
    </row>
    <row r="837" spans="11:40" x14ac:dyDescent="0.2">
      <c r="K837" s="1"/>
      <c r="L837" s="1"/>
      <c r="S837" s="1"/>
      <c r="Z837" s="1"/>
      <c r="AG837" s="1"/>
      <c r="AN837" s="1"/>
    </row>
    <row r="838" spans="11:40" x14ac:dyDescent="0.2">
      <c r="K838" s="1"/>
      <c r="L838" s="1"/>
      <c r="S838" s="1"/>
      <c r="Z838" s="1"/>
      <c r="AG838" s="1"/>
      <c r="AN838" s="1"/>
    </row>
    <row r="839" spans="11:40" x14ac:dyDescent="0.2">
      <c r="K839" s="1"/>
      <c r="L839" s="1"/>
      <c r="S839" s="1"/>
      <c r="Z839" s="1"/>
      <c r="AG839" s="1"/>
      <c r="AN839" s="1"/>
    </row>
    <row r="840" spans="11:40" x14ac:dyDescent="0.2">
      <c r="K840" s="1"/>
      <c r="L840" s="1"/>
      <c r="S840" s="1"/>
      <c r="Z840" s="1"/>
      <c r="AG840" s="1"/>
      <c r="AN840" s="1"/>
    </row>
    <row r="841" spans="11:40" x14ac:dyDescent="0.2">
      <c r="K841" s="1"/>
      <c r="L841" s="1"/>
      <c r="S841" s="1"/>
      <c r="Z841" s="1"/>
      <c r="AG841" s="1"/>
      <c r="AN841" s="1"/>
    </row>
    <row r="842" spans="11:40" x14ac:dyDescent="0.2">
      <c r="K842" s="1"/>
      <c r="L842" s="1"/>
      <c r="S842" s="1"/>
      <c r="Z842" s="1"/>
      <c r="AG842" s="1"/>
      <c r="AN842" s="1"/>
    </row>
    <row r="843" spans="11:40" x14ac:dyDescent="0.2">
      <c r="K843" s="1"/>
      <c r="L843" s="1"/>
      <c r="S843" s="1"/>
      <c r="Z843" s="1"/>
      <c r="AG843" s="1"/>
      <c r="AN843" s="1"/>
    </row>
    <row r="844" spans="11:40" x14ac:dyDescent="0.2">
      <c r="K844" s="1"/>
      <c r="L844" s="1"/>
      <c r="S844" s="1"/>
      <c r="Z844" s="1"/>
      <c r="AG844" s="1"/>
      <c r="AN844" s="1"/>
    </row>
    <row r="845" spans="11:40" x14ac:dyDescent="0.2">
      <c r="K845" s="1"/>
      <c r="L845" s="1"/>
      <c r="S845" s="1"/>
      <c r="Z845" s="1"/>
      <c r="AG845" s="1"/>
      <c r="AN845" s="1"/>
    </row>
    <row r="846" spans="11:40" x14ac:dyDescent="0.2">
      <c r="K846" s="1"/>
      <c r="L846" s="1"/>
      <c r="S846" s="1"/>
      <c r="Z846" s="1"/>
      <c r="AG846" s="1"/>
      <c r="AN846" s="1"/>
    </row>
    <row r="847" spans="11:40" x14ac:dyDescent="0.2">
      <c r="K847" s="1"/>
      <c r="L847" s="1"/>
      <c r="S847" s="1"/>
      <c r="Z847" s="1"/>
      <c r="AG847" s="1"/>
      <c r="AN847" s="1"/>
    </row>
    <row r="848" spans="11:40" x14ac:dyDescent="0.2">
      <c r="K848" s="1"/>
      <c r="L848" s="1"/>
      <c r="S848" s="1"/>
      <c r="Z848" s="1"/>
      <c r="AG848" s="1"/>
      <c r="AN848" s="1"/>
    </row>
    <row r="849" spans="11:40" x14ac:dyDescent="0.2">
      <c r="K849" s="1"/>
      <c r="L849" s="1"/>
      <c r="S849" s="1"/>
      <c r="Z849" s="1"/>
      <c r="AG849" s="1"/>
      <c r="AN849" s="1"/>
    </row>
    <row r="850" spans="11:40" x14ac:dyDescent="0.2">
      <c r="K850" s="1"/>
      <c r="L850" s="1"/>
      <c r="S850" s="1"/>
      <c r="Z850" s="1"/>
      <c r="AG850" s="1"/>
      <c r="AN850" s="1"/>
    </row>
    <row r="851" spans="11:40" x14ac:dyDescent="0.2">
      <c r="K851" s="1"/>
      <c r="L851" s="1"/>
      <c r="S851" s="1"/>
      <c r="Z851" s="1"/>
      <c r="AG851" s="1"/>
      <c r="AN851" s="1"/>
    </row>
    <row r="852" spans="11:40" x14ac:dyDescent="0.2">
      <c r="K852" s="1"/>
      <c r="L852" s="1"/>
      <c r="S852" s="1"/>
      <c r="Z852" s="1"/>
      <c r="AG852" s="1"/>
      <c r="AN852" s="1"/>
    </row>
    <row r="853" spans="11:40" x14ac:dyDescent="0.2">
      <c r="K853" s="1"/>
      <c r="L853" s="1"/>
      <c r="S853" s="1"/>
      <c r="Z853" s="1"/>
      <c r="AG853" s="1"/>
      <c r="AN853" s="1"/>
    </row>
    <row r="854" spans="11:40" x14ac:dyDescent="0.2">
      <c r="K854" s="1"/>
      <c r="L854" s="1"/>
      <c r="S854" s="1"/>
      <c r="Z854" s="1"/>
      <c r="AG854" s="1"/>
      <c r="AN854" s="1"/>
    </row>
    <row r="855" spans="11:40" x14ac:dyDescent="0.2">
      <c r="K855" s="1"/>
      <c r="L855" s="1"/>
      <c r="S855" s="1"/>
      <c r="Z855" s="1"/>
      <c r="AG855" s="1"/>
      <c r="AN855" s="1"/>
    </row>
    <row r="856" spans="11:40" x14ac:dyDescent="0.2">
      <c r="K856" s="1"/>
      <c r="L856" s="1"/>
      <c r="S856" s="1"/>
      <c r="Z856" s="1"/>
      <c r="AG856" s="1"/>
      <c r="AN856" s="1"/>
    </row>
    <row r="857" spans="11:40" x14ac:dyDescent="0.2">
      <c r="K857" s="1"/>
      <c r="L857" s="1"/>
      <c r="S857" s="1"/>
      <c r="Z857" s="1"/>
      <c r="AG857" s="1"/>
      <c r="AN857" s="1"/>
    </row>
    <row r="858" spans="11:40" x14ac:dyDescent="0.2">
      <c r="K858" s="1"/>
      <c r="L858" s="1"/>
      <c r="S858" s="1"/>
      <c r="Z858" s="1"/>
      <c r="AG858" s="1"/>
      <c r="AN858" s="1"/>
    </row>
    <row r="859" spans="11:40" x14ac:dyDescent="0.2">
      <c r="K859" s="1"/>
      <c r="L859" s="1"/>
      <c r="S859" s="1"/>
      <c r="Z859" s="1"/>
      <c r="AG859" s="1"/>
      <c r="AN859" s="1"/>
    </row>
    <row r="860" spans="11:40" x14ac:dyDescent="0.2">
      <c r="K860" s="1"/>
      <c r="L860" s="1"/>
      <c r="S860" s="1"/>
      <c r="Z860" s="1"/>
      <c r="AG860" s="1"/>
      <c r="AN860" s="1"/>
    </row>
    <row r="861" spans="11:40" x14ac:dyDescent="0.2">
      <c r="K861" s="1"/>
      <c r="L861" s="1"/>
      <c r="S861" s="1"/>
      <c r="Z861" s="1"/>
      <c r="AG861" s="1"/>
      <c r="AN861" s="1"/>
    </row>
    <row r="862" spans="11:40" x14ac:dyDescent="0.2">
      <c r="K862" s="1"/>
      <c r="L862" s="1"/>
      <c r="S862" s="1"/>
      <c r="Z862" s="1"/>
      <c r="AG862" s="1"/>
      <c r="AN862" s="1"/>
    </row>
    <row r="863" spans="11:40" x14ac:dyDescent="0.2">
      <c r="K863" s="1"/>
      <c r="L863" s="1"/>
      <c r="S863" s="1"/>
      <c r="Z863" s="1"/>
      <c r="AG863" s="1"/>
      <c r="AN863" s="1"/>
    </row>
    <row r="864" spans="11:40" x14ac:dyDescent="0.2">
      <c r="K864" s="1"/>
      <c r="L864" s="1"/>
      <c r="S864" s="1"/>
      <c r="Z864" s="1"/>
      <c r="AG864" s="1"/>
      <c r="AN864" s="1"/>
    </row>
    <row r="865" spans="11:40" x14ac:dyDescent="0.2">
      <c r="K865" s="1"/>
      <c r="L865" s="1"/>
      <c r="S865" s="1"/>
      <c r="Z865" s="1"/>
      <c r="AG865" s="1"/>
      <c r="AN865" s="1"/>
    </row>
    <row r="866" spans="11:40" x14ac:dyDescent="0.2">
      <c r="K866" s="1"/>
      <c r="L866" s="1"/>
      <c r="S866" s="1"/>
      <c r="Z866" s="1"/>
      <c r="AG866" s="1"/>
      <c r="AN866" s="1"/>
    </row>
    <row r="867" spans="11:40" x14ac:dyDescent="0.2">
      <c r="K867" s="1"/>
      <c r="L867" s="1"/>
      <c r="S867" s="1"/>
      <c r="Z867" s="1"/>
      <c r="AG867" s="1"/>
      <c r="AN867" s="1"/>
    </row>
    <row r="868" spans="11:40" x14ac:dyDescent="0.2">
      <c r="K868" s="1"/>
      <c r="L868" s="1"/>
      <c r="S868" s="1"/>
      <c r="Z868" s="1"/>
      <c r="AG868" s="1"/>
      <c r="AN868" s="1"/>
    </row>
    <row r="869" spans="11:40" x14ac:dyDescent="0.2">
      <c r="K869" s="1"/>
      <c r="L869" s="1"/>
      <c r="S869" s="1"/>
      <c r="Z869" s="1"/>
      <c r="AG869" s="1"/>
      <c r="AN869" s="1"/>
    </row>
    <row r="870" spans="11:40" x14ac:dyDescent="0.2">
      <c r="K870" s="1"/>
      <c r="L870" s="1"/>
      <c r="S870" s="1"/>
      <c r="Z870" s="1"/>
      <c r="AG870" s="1"/>
      <c r="AN870" s="1"/>
    </row>
    <row r="871" spans="11:40" x14ac:dyDescent="0.2">
      <c r="K871" s="1"/>
      <c r="L871" s="1"/>
      <c r="S871" s="1"/>
      <c r="Z871" s="1"/>
      <c r="AG871" s="1"/>
      <c r="AN871" s="1"/>
    </row>
    <row r="872" spans="11:40" x14ac:dyDescent="0.2">
      <c r="K872" s="1"/>
      <c r="L872" s="1"/>
      <c r="S872" s="1"/>
      <c r="Z872" s="1"/>
      <c r="AG872" s="1"/>
      <c r="AN872" s="1"/>
    </row>
    <row r="873" spans="11:40" x14ac:dyDescent="0.2">
      <c r="K873" s="1"/>
      <c r="L873" s="1"/>
      <c r="S873" s="1"/>
      <c r="Z873" s="1"/>
      <c r="AG873" s="1"/>
      <c r="AN873" s="1"/>
    </row>
    <row r="874" spans="11:40" x14ac:dyDescent="0.2">
      <c r="K874" s="1"/>
      <c r="L874" s="1"/>
      <c r="S874" s="1"/>
      <c r="Z874" s="1"/>
      <c r="AG874" s="1"/>
      <c r="AN874" s="1"/>
    </row>
    <row r="875" spans="11:40" x14ac:dyDescent="0.2">
      <c r="K875" s="1"/>
      <c r="L875" s="1"/>
      <c r="S875" s="1"/>
      <c r="Z875" s="1"/>
      <c r="AG875" s="1"/>
      <c r="AN875" s="1"/>
    </row>
    <row r="876" spans="11:40" x14ac:dyDescent="0.2">
      <c r="K876" s="1"/>
      <c r="L876" s="1"/>
      <c r="S876" s="1"/>
      <c r="Z876" s="1"/>
      <c r="AG876" s="1"/>
      <c r="AN876" s="1"/>
    </row>
    <row r="877" spans="11:40" x14ac:dyDescent="0.2">
      <c r="K877" s="1"/>
      <c r="L877" s="1"/>
      <c r="S877" s="1"/>
      <c r="Z877" s="1"/>
      <c r="AG877" s="1"/>
      <c r="AN877" s="1"/>
    </row>
    <row r="878" spans="11:40" x14ac:dyDescent="0.2">
      <c r="K878" s="1"/>
      <c r="L878" s="1"/>
      <c r="S878" s="1"/>
      <c r="Z878" s="1"/>
      <c r="AG878" s="1"/>
      <c r="AN878" s="1"/>
    </row>
    <row r="879" spans="11:40" x14ac:dyDescent="0.2">
      <c r="K879" s="1"/>
      <c r="L879" s="1"/>
      <c r="S879" s="1"/>
      <c r="Z879" s="1"/>
      <c r="AG879" s="1"/>
      <c r="AN879" s="1"/>
    </row>
    <row r="880" spans="11:40" x14ac:dyDescent="0.2">
      <c r="K880" s="1"/>
      <c r="L880" s="1"/>
      <c r="S880" s="1"/>
      <c r="Z880" s="1"/>
      <c r="AG880" s="1"/>
      <c r="AN880" s="1"/>
    </row>
    <row r="881" spans="11:40" x14ac:dyDescent="0.2">
      <c r="K881" s="1"/>
      <c r="L881" s="1"/>
      <c r="S881" s="1"/>
      <c r="Z881" s="1"/>
      <c r="AG881" s="1"/>
      <c r="AN881" s="1"/>
    </row>
    <row r="882" spans="11:40" x14ac:dyDescent="0.2">
      <c r="K882" s="1"/>
      <c r="L882" s="1"/>
      <c r="S882" s="1"/>
      <c r="Z882" s="1"/>
      <c r="AG882" s="1"/>
      <c r="AN882" s="1"/>
    </row>
    <row r="883" spans="11:40" x14ac:dyDescent="0.2">
      <c r="K883" s="1"/>
      <c r="L883" s="1"/>
      <c r="S883" s="1"/>
      <c r="Z883" s="1"/>
      <c r="AG883" s="1"/>
      <c r="AN883" s="1"/>
    </row>
    <row r="884" spans="11:40" x14ac:dyDescent="0.2">
      <c r="K884" s="1"/>
      <c r="L884" s="1"/>
      <c r="S884" s="1"/>
      <c r="Z884" s="1"/>
      <c r="AG884" s="1"/>
      <c r="AN884" s="1"/>
    </row>
    <row r="885" spans="11:40" x14ac:dyDescent="0.2">
      <c r="K885" s="1"/>
      <c r="L885" s="1"/>
      <c r="S885" s="1"/>
      <c r="Z885" s="1"/>
      <c r="AG885" s="1"/>
      <c r="AN885" s="1"/>
    </row>
    <row r="886" spans="11:40" x14ac:dyDescent="0.2">
      <c r="K886" s="1"/>
      <c r="L886" s="1"/>
      <c r="S886" s="1"/>
      <c r="Z886" s="1"/>
      <c r="AG886" s="1"/>
      <c r="AN886" s="1"/>
    </row>
    <row r="887" spans="11:40" x14ac:dyDescent="0.2">
      <c r="K887" s="1"/>
      <c r="L887" s="1"/>
      <c r="S887" s="1"/>
      <c r="Z887" s="1"/>
      <c r="AG887" s="1"/>
      <c r="AN887" s="1"/>
    </row>
    <row r="888" spans="11:40" x14ac:dyDescent="0.2">
      <c r="K888" s="1"/>
      <c r="L888" s="1"/>
      <c r="S888" s="1"/>
      <c r="Z888" s="1"/>
      <c r="AG888" s="1"/>
      <c r="AN888" s="1"/>
    </row>
    <row r="889" spans="11:40" x14ac:dyDescent="0.2">
      <c r="K889" s="1"/>
      <c r="L889" s="1"/>
      <c r="S889" s="1"/>
      <c r="Z889" s="1"/>
      <c r="AG889" s="1"/>
      <c r="AN889" s="1"/>
    </row>
    <row r="890" spans="11:40" x14ac:dyDescent="0.2">
      <c r="K890" s="1"/>
      <c r="L890" s="1"/>
      <c r="S890" s="1"/>
      <c r="Z890" s="1"/>
      <c r="AG890" s="1"/>
      <c r="AN890" s="1"/>
    </row>
    <row r="891" spans="11:40" x14ac:dyDescent="0.2">
      <c r="K891" s="1"/>
      <c r="L891" s="1"/>
      <c r="S891" s="1"/>
      <c r="Z891" s="1"/>
      <c r="AG891" s="1"/>
      <c r="AN891" s="1"/>
    </row>
    <row r="892" spans="11:40" x14ac:dyDescent="0.2">
      <c r="K892" s="1"/>
      <c r="L892" s="1"/>
      <c r="S892" s="1"/>
      <c r="Z892" s="1"/>
      <c r="AG892" s="1"/>
      <c r="AN892" s="1"/>
    </row>
    <row r="893" spans="11:40" x14ac:dyDescent="0.2">
      <c r="K893" s="1"/>
      <c r="L893" s="1"/>
      <c r="S893" s="1"/>
      <c r="Z893" s="1"/>
      <c r="AG893" s="1"/>
      <c r="AN893" s="1"/>
    </row>
    <row r="894" spans="11:40" x14ac:dyDescent="0.2">
      <c r="K894" s="1"/>
      <c r="L894" s="1"/>
      <c r="S894" s="1"/>
      <c r="Z894" s="1"/>
      <c r="AG894" s="1"/>
      <c r="AN894" s="1"/>
    </row>
    <row r="895" spans="11:40" x14ac:dyDescent="0.2">
      <c r="K895" s="1"/>
      <c r="L895" s="1"/>
      <c r="S895" s="1"/>
      <c r="Z895" s="1"/>
      <c r="AG895" s="1"/>
      <c r="AN895" s="1"/>
    </row>
    <row r="896" spans="11:40" x14ac:dyDescent="0.2">
      <c r="K896" s="1"/>
      <c r="L896" s="1"/>
      <c r="S896" s="1"/>
      <c r="Z896" s="1"/>
      <c r="AG896" s="1"/>
      <c r="AN896" s="1"/>
    </row>
    <row r="897" spans="11:40" x14ac:dyDescent="0.2">
      <c r="K897" s="1"/>
      <c r="L897" s="1"/>
      <c r="S897" s="1"/>
      <c r="Z897" s="1"/>
      <c r="AG897" s="1"/>
      <c r="AN897" s="1"/>
    </row>
    <row r="898" spans="11:40" x14ac:dyDescent="0.2">
      <c r="K898" s="1"/>
      <c r="L898" s="1"/>
      <c r="S898" s="1"/>
      <c r="Z898" s="1"/>
      <c r="AG898" s="1"/>
      <c r="AN898" s="1"/>
    </row>
    <row r="899" spans="11:40" x14ac:dyDescent="0.2">
      <c r="K899" s="1"/>
      <c r="L899" s="1"/>
      <c r="S899" s="1"/>
      <c r="Z899" s="1"/>
      <c r="AG899" s="1"/>
      <c r="AN899" s="1"/>
    </row>
    <row r="900" spans="11:40" x14ac:dyDescent="0.2">
      <c r="K900" s="1"/>
      <c r="L900" s="1"/>
      <c r="S900" s="1"/>
      <c r="Z900" s="1"/>
      <c r="AG900" s="1"/>
      <c r="AN900" s="1"/>
    </row>
    <row r="901" spans="11:40" x14ac:dyDescent="0.2">
      <c r="K901" s="1"/>
      <c r="L901" s="1"/>
      <c r="S901" s="1"/>
      <c r="Z901" s="1"/>
      <c r="AG901" s="1"/>
      <c r="AN901" s="1"/>
    </row>
    <row r="902" spans="11:40" x14ac:dyDescent="0.2">
      <c r="K902" s="1"/>
      <c r="L902" s="1"/>
      <c r="S902" s="1"/>
      <c r="Z902" s="1"/>
      <c r="AG902" s="1"/>
      <c r="AN902" s="1"/>
    </row>
    <row r="903" spans="11:40" x14ac:dyDescent="0.2">
      <c r="K903" s="1"/>
      <c r="L903" s="1"/>
      <c r="S903" s="1"/>
      <c r="Z903" s="1"/>
      <c r="AG903" s="1"/>
      <c r="AN903" s="1"/>
    </row>
    <row r="904" spans="11:40" x14ac:dyDescent="0.2">
      <c r="K904" s="1"/>
      <c r="L904" s="1"/>
      <c r="S904" s="1"/>
      <c r="Z904" s="1"/>
      <c r="AG904" s="1"/>
      <c r="AN904" s="1"/>
    </row>
    <row r="905" spans="11:40" x14ac:dyDescent="0.2">
      <c r="K905" s="1"/>
      <c r="L905" s="1"/>
      <c r="S905" s="1"/>
      <c r="Z905" s="1"/>
      <c r="AG905" s="1"/>
      <c r="AN905" s="1"/>
    </row>
    <row r="906" spans="11:40" x14ac:dyDescent="0.2">
      <c r="K906" s="1"/>
      <c r="L906" s="1"/>
      <c r="S906" s="1"/>
      <c r="Z906" s="1"/>
      <c r="AG906" s="1"/>
      <c r="AN906" s="1"/>
    </row>
    <row r="907" spans="11:40" x14ac:dyDescent="0.2">
      <c r="K907" s="1"/>
      <c r="L907" s="1"/>
      <c r="S907" s="1"/>
      <c r="Z907" s="1"/>
      <c r="AG907" s="1"/>
      <c r="AN907" s="1"/>
    </row>
    <row r="908" spans="11:40" x14ac:dyDescent="0.2">
      <c r="K908" s="1"/>
      <c r="L908" s="1"/>
      <c r="S908" s="1"/>
      <c r="Z908" s="1"/>
      <c r="AG908" s="1"/>
      <c r="AN908" s="1"/>
    </row>
    <row r="909" spans="11:40" x14ac:dyDescent="0.2">
      <c r="K909" s="1"/>
      <c r="L909" s="1"/>
      <c r="S909" s="1"/>
      <c r="Z909" s="1"/>
      <c r="AG909" s="1"/>
      <c r="AN909" s="1"/>
    </row>
    <row r="910" spans="11:40" x14ac:dyDescent="0.2">
      <c r="K910" s="1"/>
      <c r="L910" s="1"/>
      <c r="S910" s="1"/>
      <c r="Z910" s="1"/>
      <c r="AG910" s="1"/>
      <c r="AN910" s="1"/>
    </row>
    <row r="911" spans="11:40" x14ac:dyDescent="0.2">
      <c r="K911" s="1"/>
      <c r="L911" s="1"/>
      <c r="S911" s="1"/>
      <c r="Z911" s="1"/>
      <c r="AG911" s="1"/>
      <c r="AN911" s="1"/>
    </row>
    <row r="912" spans="11:40" x14ac:dyDescent="0.2">
      <c r="K912" s="1"/>
      <c r="L912" s="1"/>
      <c r="S912" s="1"/>
      <c r="Z912" s="1"/>
      <c r="AG912" s="1"/>
      <c r="AN912" s="1"/>
    </row>
    <row r="913" spans="11:40" x14ac:dyDescent="0.2">
      <c r="K913" s="1"/>
      <c r="L913" s="1"/>
      <c r="S913" s="1"/>
      <c r="Z913" s="1"/>
      <c r="AG913" s="1"/>
      <c r="AN913" s="1"/>
    </row>
    <row r="914" spans="11:40" x14ac:dyDescent="0.2">
      <c r="K914" s="1"/>
      <c r="L914" s="1"/>
      <c r="S914" s="1"/>
      <c r="Z914" s="1"/>
      <c r="AG914" s="1"/>
      <c r="AN914" s="1"/>
    </row>
    <row r="915" spans="11:40" x14ac:dyDescent="0.2">
      <c r="K915" s="1"/>
      <c r="L915" s="1"/>
      <c r="S915" s="1"/>
      <c r="Z915" s="1"/>
      <c r="AG915" s="1"/>
      <c r="AN915" s="1"/>
    </row>
    <row r="916" spans="11:40" x14ac:dyDescent="0.2">
      <c r="K916" s="1"/>
      <c r="L916" s="1"/>
      <c r="S916" s="1"/>
      <c r="Z916" s="1"/>
      <c r="AG916" s="1"/>
      <c r="AN916" s="1"/>
    </row>
    <row r="917" spans="11:40" x14ac:dyDescent="0.2">
      <c r="K917" s="1"/>
      <c r="L917" s="1"/>
      <c r="S917" s="1"/>
      <c r="Z917" s="1"/>
      <c r="AG917" s="1"/>
      <c r="AN917" s="1"/>
    </row>
    <row r="918" spans="11:40" x14ac:dyDescent="0.2">
      <c r="K918" s="1"/>
      <c r="L918" s="1"/>
      <c r="S918" s="1"/>
      <c r="Z918" s="1"/>
      <c r="AG918" s="1"/>
      <c r="AN918" s="1"/>
    </row>
    <row r="919" spans="11:40" x14ac:dyDescent="0.2">
      <c r="K919" s="1"/>
      <c r="L919" s="1"/>
      <c r="S919" s="1"/>
      <c r="Z919" s="1"/>
      <c r="AG919" s="1"/>
      <c r="AN919" s="1"/>
    </row>
    <row r="920" spans="11:40" x14ac:dyDescent="0.2">
      <c r="K920" s="1"/>
      <c r="L920" s="1"/>
      <c r="S920" s="1"/>
      <c r="Z920" s="1"/>
      <c r="AG920" s="1"/>
      <c r="AN920" s="1"/>
    </row>
    <row r="921" spans="11:40" x14ac:dyDescent="0.2">
      <c r="K921" s="1"/>
      <c r="L921" s="1"/>
      <c r="S921" s="1"/>
      <c r="Z921" s="1"/>
      <c r="AG921" s="1"/>
      <c r="AN921" s="1"/>
    </row>
    <row r="922" spans="11:40" x14ac:dyDescent="0.2">
      <c r="K922" s="1"/>
      <c r="L922" s="1"/>
      <c r="S922" s="1"/>
      <c r="Z922" s="1"/>
      <c r="AG922" s="1"/>
      <c r="AN922" s="1"/>
    </row>
    <row r="923" spans="11:40" x14ac:dyDescent="0.2">
      <c r="K923" s="1"/>
      <c r="L923" s="1"/>
      <c r="S923" s="1"/>
      <c r="Z923" s="1"/>
      <c r="AG923" s="1"/>
      <c r="AN923" s="1"/>
    </row>
    <row r="924" spans="11:40" x14ac:dyDescent="0.2">
      <c r="K924" s="1"/>
      <c r="L924" s="1"/>
      <c r="S924" s="1"/>
      <c r="Z924" s="1"/>
      <c r="AG924" s="1"/>
      <c r="AN924" s="1"/>
    </row>
    <row r="925" spans="11:40" x14ac:dyDescent="0.2">
      <c r="K925" s="1"/>
      <c r="L925" s="1"/>
      <c r="S925" s="1"/>
      <c r="Z925" s="1"/>
      <c r="AG925" s="1"/>
      <c r="AN925" s="1"/>
    </row>
    <row r="926" spans="11:40" x14ac:dyDescent="0.2">
      <c r="K926" s="1"/>
      <c r="L926" s="1"/>
      <c r="S926" s="1"/>
      <c r="Z926" s="1"/>
      <c r="AG926" s="1"/>
      <c r="AN926" s="1"/>
    </row>
    <row r="927" spans="11:40" x14ac:dyDescent="0.2">
      <c r="K927" s="1"/>
      <c r="L927" s="1"/>
      <c r="S927" s="1"/>
      <c r="Z927" s="1"/>
      <c r="AG927" s="1"/>
      <c r="AN927" s="1"/>
    </row>
    <row r="928" spans="11:40" x14ac:dyDescent="0.2">
      <c r="K928" s="1"/>
      <c r="L928" s="1"/>
      <c r="S928" s="1"/>
      <c r="Z928" s="1"/>
      <c r="AG928" s="1"/>
      <c r="AN928" s="1"/>
    </row>
    <row r="929" spans="11:40" x14ac:dyDescent="0.2">
      <c r="K929" s="1"/>
      <c r="L929" s="1"/>
      <c r="S929" s="1"/>
      <c r="Z929" s="1"/>
      <c r="AG929" s="1"/>
      <c r="AN929" s="1"/>
    </row>
    <row r="930" spans="11:40" x14ac:dyDescent="0.2">
      <c r="K930" s="1"/>
      <c r="L930" s="1"/>
      <c r="S930" s="1"/>
      <c r="Z930" s="1"/>
      <c r="AG930" s="1"/>
      <c r="AN930" s="1"/>
    </row>
    <row r="931" spans="11:40" x14ac:dyDescent="0.2">
      <c r="K931" s="1"/>
      <c r="L931" s="1"/>
      <c r="S931" s="1"/>
      <c r="Z931" s="1"/>
      <c r="AG931" s="1"/>
      <c r="AN931" s="1"/>
    </row>
    <row r="932" spans="11:40" x14ac:dyDescent="0.2">
      <c r="K932" s="1"/>
      <c r="L932" s="1"/>
      <c r="S932" s="1"/>
      <c r="Z932" s="1"/>
      <c r="AG932" s="1"/>
      <c r="AN932" s="1"/>
    </row>
    <row r="933" spans="11:40" x14ac:dyDescent="0.2">
      <c r="K933" s="1"/>
      <c r="L933" s="1"/>
      <c r="S933" s="1"/>
      <c r="Z933" s="1"/>
      <c r="AG933" s="1"/>
      <c r="AN933" s="1"/>
    </row>
    <row r="934" spans="11:40" x14ac:dyDescent="0.2">
      <c r="K934" s="1"/>
      <c r="L934" s="1"/>
      <c r="S934" s="1"/>
      <c r="Z934" s="1"/>
      <c r="AG934" s="1"/>
      <c r="AN934" s="1"/>
    </row>
    <row r="935" spans="11:40" x14ac:dyDescent="0.2">
      <c r="K935" s="1"/>
      <c r="L935" s="1"/>
      <c r="S935" s="1"/>
      <c r="Z935" s="1"/>
      <c r="AG935" s="1"/>
      <c r="AN935" s="1"/>
    </row>
    <row r="936" spans="11:40" x14ac:dyDescent="0.2">
      <c r="K936" s="1"/>
      <c r="L936" s="1"/>
      <c r="S936" s="1"/>
      <c r="Z936" s="1"/>
      <c r="AG936" s="1"/>
      <c r="AN936" s="1"/>
    </row>
    <row r="937" spans="11:40" x14ac:dyDescent="0.2">
      <c r="K937" s="1"/>
      <c r="L937" s="1"/>
      <c r="S937" s="1"/>
      <c r="Z937" s="1"/>
      <c r="AG937" s="1"/>
      <c r="AN937" s="1"/>
    </row>
    <row r="938" spans="11:40" x14ac:dyDescent="0.2">
      <c r="K938" s="1"/>
      <c r="L938" s="1"/>
      <c r="S938" s="1"/>
      <c r="Z938" s="1"/>
      <c r="AG938" s="1"/>
      <c r="AN938" s="1"/>
    </row>
    <row r="939" spans="11:40" x14ac:dyDescent="0.2">
      <c r="K939" s="1"/>
      <c r="L939" s="1"/>
      <c r="S939" s="1"/>
      <c r="Z939" s="1"/>
      <c r="AG939" s="1"/>
      <c r="AN939" s="1"/>
    </row>
    <row r="940" spans="11:40" x14ac:dyDescent="0.2">
      <c r="K940" s="1"/>
      <c r="L940" s="1"/>
      <c r="S940" s="1"/>
      <c r="Z940" s="1"/>
      <c r="AG940" s="1"/>
      <c r="AN940" s="1"/>
    </row>
    <row r="941" spans="11:40" x14ac:dyDescent="0.2">
      <c r="K941" s="1"/>
      <c r="L941" s="1"/>
      <c r="S941" s="1"/>
      <c r="Z941" s="1"/>
      <c r="AG941" s="1"/>
      <c r="AN941" s="1"/>
    </row>
    <row r="942" spans="11:40" x14ac:dyDescent="0.2">
      <c r="K942" s="1"/>
      <c r="L942" s="1"/>
      <c r="S942" s="1"/>
      <c r="Z942" s="1"/>
      <c r="AG942" s="1"/>
      <c r="AN942" s="1"/>
    </row>
    <row r="943" spans="11:40" x14ac:dyDescent="0.2">
      <c r="K943" s="1"/>
      <c r="L943" s="1"/>
      <c r="S943" s="1"/>
      <c r="Z943" s="1"/>
      <c r="AG943" s="1"/>
      <c r="AN943" s="1"/>
    </row>
    <row r="944" spans="11:40" x14ac:dyDescent="0.2">
      <c r="K944" s="1"/>
      <c r="L944" s="1"/>
      <c r="S944" s="1"/>
      <c r="Z944" s="1"/>
      <c r="AG944" s="1"/>
      <c r="AN944" s="1"/>
    </row>
    <row r="945" spans="11:40" x14ac:dyDescent="0.2">
      <c r="K945" s="1"/>
      <c r="L945" s="1"/>
      <c r="S945" s="1"/>
      <c r="Z945" s="1"/>
      <c r="AG945" s="1"/>
      <c r="AN945" s="1"/>
    </row>
    <row r="946" spans="11:40" x14ac:dyDescent="0.2">
      <c r="K946" s="1"/>
      <c r="L946" s="1"/>
      <c r="S946" s="1"/>
      <c r="Z946" s="1"/>
      <c r="AG946" s="1"/>
      <c r="AN946" s="1"/>
    </row>
    <row r="947" spans="11:40" x14ac:dyDescent="0.2">
      <c r="K947" s="1"/>
      <c r="L947" s="1"/>
      <c r="S947" s="1"/>
      <c r="Z947" s="1"/>
      <c r="AG947" s="1"/>
      <c r="AN947" s="1"/>
    </row>
    <row r="948" spans="11:40" x14ac:dyDescent="0.2">
      <c r="K948" s="1"/>
      <c r="L948" s="1"/>
      <c r="S948" s="1"/>
      <c r="Z948" s="1"/>
      <c r="AG948" s="1"/>
      <c r="AN948" s="1"/>
    </row>
    <row r="949" spans="11:40" x14ac:dyDescent="0.2">
      <c r="K949" s="1"/>
      <c r="L949" s="1"/>
      <c r="S949" s="1"/>
      <c r="Z949" s="1"/>
      <c r="AG949" s="1"/>
      <c r="AN949" s="1"/>
    </row>
    <row r="950" spans="11:40" x14ac:dyDescent="0.2">
      <c r="K950" s="1"/>
      <c r="L950" s="1"/>
      <c r="S950" s="1"/>
      <c r="Z950" s="1"/>
      <c r="AG950" s="1"/>
      <c r="AN950" s="1"/>
    </row>
    <row r="951" spans="11:40" x14ac:dyDescent="0.2">
      <c r="K951" s="1"/>
      <c r="L951" s="1"/>
      <c r="S951" s="1"/>
      <c r="Z951" s="1"/>
      <c r="AG951" s="1"/>
      <c r="AN951" s="1"/>
    </row>
    <row r="952" spans="11:40" x14ac:dyDescent="0.2">
      <c r="K952" s="1"/>
      <c r="L952" s="1"/>
      <c r="S952" s="1"/>
      <c r="Z952" s="1"/>
      <c r="AG952" s="1"/>
      <c r="AN952" s="1"/>
    </row>
    <row r="953" spans="11:40" x14ac:dyDescent="0.2">
      <c r="K953" s="1"/>
      <c r="L953" s="1"/>
      <c r="S953" s="1"/>
      <c r="Z953" s="1"/>
      <c r="AG953" s="1"/>
      <c r="AN953" s="1"/>
    </row>
    <row r="954" spans="11:40" x14ac:dyDescent="0.2">
      <c r="K954" s="1"/>
      <c r="L954" s="1"/>
      <c r="S954" s="1"/>
      <c r="Z954" s="1"/>
      <c r="AG954" s="1"/>
      <c r="AN954" s="1"/>
    </row>
    <row r="955" spans="11:40" x14ac:dyDescent="0.2">
      <c r="K955" s="1"/>
      <c r="L955" s="1"/>
      <c r="S955" s="1"/>
      <c r="Z955" s="1"/>
      <c r="AG955" s="1"/>
      <c r="AN955" s="1"/>
    </row>
    <row r="956" spans="11:40" x14ac:dyDescent="0.2">
      <c r="K956" s="1"/>
      <c r="L956" s="1"/>
      <c r="S956" s="1"/>
      <c r="Z956" s="1"/>
      <c r="AG956" s="1"/>
      <c r="AN956" s="1"/>
    </row>
    <row r="957" spans="11:40" x14ac:dyDescent="0.2">
      <c r="K957" s="1"/>
      <c r="L957" s="1"/>
      <c r="S957" s="1"/>
      <c r="Z957" s="1"/>
      <c r="AG957" s="1"/>
      <c r="AN957" s="1"/>
    </row>
    <row r="958" spans="11:40" x14ac:dyDescent="0.2">
      <c r="K958" s="1"/>
      <c r="L958" s="1"/>
      <c r="S958" s="1"/>
      <c r="Z958" s="1"/>
      <c r="AG958" s="1"/>
      <c r="AN958" s="1"/>
    </row>
    <row r="959" spans="11:40" x14ac:dyDescent="0.2">
      <c r="K959" s="1"/>
      <c r="L959" s="1"/>
      <c r="S959" s="1"/>
      <c r="Z959" s="1"/>
      <c r="AG959" s="1"/>
      <c r="AN959" s="1"/>
    </row>
    <row r="960" spans="11:40" x14ac:dyDescent="0.2">
      <c r="K960" s="1"/>
      <c r="L960" s="1"/>
      <c r="S960" s="1"/>
      <c r="Z960" s="1"/>
      <c r="AG960" s="1"/>
      <c r="AN960" s="1"/>
    </row>
    <row r="961" spans="11:40" x14ac:dyDescent="0.2">
      <c r="K961" s="1"/>
      <c r="L961" s="1"/>
      <c r="S961" s="1"/>
      <c r="Z961" s="1"/>
      <c r="AG961" s="1"/>
      <c r="AN961" s="1"/>
    </row>
    <row r="962" spans="11:40" x14ac:dyDescent="0.2">
      <c r="K962" s="1"/>
      <c r="L962" s="1"/>
      <c r="S962" s="1"/>
      <c r="Z962" s="1"/>
      <c r="AG962" s="1"/>
      <c r="AN962" s="1"/>
    </row>
    <row r="963" spans="11:40" x14ac:dyDescent="0.2">
      <c r="K963" s="1"/>
      <c r="L963" s="1"/>
      <c r="S963" s="1"/>
      <c r="Z963" s="1"/>
      <c r="AG963" s="1"/>
      <c r="AN963" s="1"/>
    </row>
    <row r="964" spans="11:40" x14ac:dyDescent="0.2">
      <c r="K964" s="1"/>
      <c r="L964" s="1"/>
      <c r="S964" s="1"/>
      <c r="Z964" s="1"/>
      <c r="AG964" s="1"/>
      <c r="AN964" s="1"/>
    </row>
    <row r="965" spans="11:40" x14ac:dyDescent="0.2">
      <c r="K965" s="1"/>
      <c r="L965" s="1"/>
      <c r="S965" s="1"/>
      <c r="Z965" s="1"/>
      <c r="AG965" s="1"/>
      <c r="AN965" s="1"/>
    </row>
    <row r="966" spans="11:40" x14ac:dyDescent="0.2">
      <c r="K966" s="1"/>
      <c r="L966" s="1"/>
      <c r="S966" s="1"/>
      <c r="Z966" s="1"/>
      <c r="AG966" s="1"/>
      <c r="AN966" s="1"/>
    </row>
    <row r="967" spans="11:40" x14ac:dyDescent="0.2">
      <c r="K967" s="1"/>
      <c r="L967" s="1"/>
      <c r="S967" s="1"/>
      <c r="Z967" s="1"/>
      <c r="AG967" s="1"/>
      <c r="AN967" s="1"/>
    </row>
    <row r="968" spans="11:40" x14ac:dyDescent="0.2">
      <c r="K968" s="1"/>
      <c r="L968" s="1"/>
      <c r="S968" s="1"/>
      <c r="Z968" s="1"/>
      <c r="AG968" s="1"/>
      <c r="AN968" s="1"/>
    </row>
    <row r="969" spans="11:40" x14ac:dyDescent="0.2">
      <c r="K969" s="1"/>
      <c r="L969" s="1"/>
      <c r="S969" s="1"/>
      <c r="Z969" s="1"/>
      <c r="AG969" s="1"/>
      <c r="AN969" s="1"/>
    </row>
    <row r="970" spans="11:40" x14ac:dyDescent="0.2">
      <c r="K970" s="1"/>
      <c r="L970" s="1"/>
      <c r="S970" s="1"/>
      <c r="Z970" s="1"/>
      <c r="AG970" s="1"/>
      <c r="AN970" s="1"/>
    </row>
    <row r="971" spans="11:40" x14ac:dyDescent="0.2">
      <c r="K971" s="1"/>
      <c r="L971" s="1"/>
      <c r="S971" s="1"/>
      <c r="Z971" s="1"/>
      <c r="AG971" s="1"/>
      <c r="AN971" s="1"/>
    </row>
    <row r="972" spans="11:40" x14ac:dyDescent="0.2">
      <c r="K972" s="1"/>
      <c r="L972" s="1"/>
      <c r="S972" s="1"/>
      <c r="Z972" s="1"/>
      <c r="AG972" s="1"/>
      <c r="AN972" s="1"/>
    </row>
    <row r="973" spans="11:40" x14ac:dyDescent="0.2">
      <c r="K973" s="1"/>
      <c r="L973" s="1"/>
      <c r="S973" s="1"/>
      <c r="Z973" s="1"/>
      <c r="AG973" s="1"/>
      <c r="AN973" s="1"/>
    </row>
    <row r="974" spans="11:40" x14ac:dyDescent="0.2">
      <c r="K974" s="1"/>
      <c r="L974" s="1"/>
      <c r="S974" s="1"/>
      <c r="Z974" s="1"/>
      <c r="AG974" s="1"/>
      <c r="AN974" s="1"/>
    </row>
    <row r="975" spans="11:40" x14ac:dyDescent="0.2">
      <c r="K975" s="1"/>
      <c r="L975" s="1"/>
      <c r="S975" s="1"/>
      <c r="Z975" s="1"/>
      <c r="AG975" s="1"/>
      <c r="AN975" s="1"/>
    </row>
    <row r="976" spans="11:40" x14ac:dyDescent="0.2">
      <c r="K976" s="1"/>
      <c r="L976" s="1"/>
      <c r="S976" s="1"/>
      <c r="Z976" s="1"/>
      <c r="AG976" s="1"/>
      <c r="AN976" s="1"/>
    </row>
    <row r="977" spans="11:40" x14ac:dyDescent="0.2">
      <c r="K977" s="1"/>
      <c r="L977" s="1"/>
      <c r="S977" s="1"/>
      <c r="Z977" s="1"/>
      <c r="AG977" s="1"/>
      <c r="AN977" s="1"/>
    </row>
    <row r="978" spans="11:40" x14ac:dyDescent="0.2">
      <c r="K978" s="1"/>
      <c r="L978" s="1"/>
      <c r="S978" s="1"/>
      <c r="Z978" s="1"/>
      <c r="AG978" s="1"/>
      <c r="AN978" s="1"/>
    </row>
    <row r="979" spans="11:40" x14ac:dyDescent="0.2">
      <c r="K979" s="1"/>
      <c r="L979" s="1"/>
      <c r="S979" s="1"/>
      <c r="Z979" s="1"/>
      <c r="AG979" s="1"/>
      <c r="AN979" s="1"/>
    </row>
    <row r="980" spans="11:40" x14ac:dyDescent="0.2">
      <c r="K980" s="1"/>
      <c r="L980" s="1"/>
      <c r="S980" s="1"/>
      <c r="Z980" s="1"/>
      <c r="AG980" s="1"/>
      <c r="AN980" s="1"/>
    </row>
    <row r="981" spans="11:40" x14ac:dyDescent="0.2">
      <c r="K981" s="1"/>
      <c r="L981" s="1"/>
      <c r="S981" s="1"/>
      <c r="Z981" s="1"/>
      <c r="AG981" s="1"/>
      <c r="AN981" s="1"/>
    </row>
    <row r="982" spans="11:40" x14ac:dyDescent="0.2">
      <c r="K982" s="1"/>
      <c r="L982" s="1"/>
      <c r="S982" s="1"/>
      <c r="Z982" s="1"/>
      <c r="AG982" s="1"/>
      <c r="AN982" s="1"/>
    </row>
    <row r="983" spans="11:40" x14ac:dyDescent="0.2">
      <c r="K983" s="1"/>
      <c r="L983" s="1"/>
      <c r="S983" s="1"/>
      <c r="Z983" s="1"/>
      <c r="AG983" s="1"/>
      <c r="AN983" s="1"/>
    </row>
    <row r="984" spans="11:40" x14ac:dyDescent="0.2">
      <c r="K984" s="1"/>
      <c r="L984" s="1"/>
      <c r="S984" s="1"/>
      <c r="Z984" s="1"/>
      <c r="AG984" s="1"/>
      <c r="AN984" s="1"/>
    </row>
    <row r="985" spans="11:40" x14ac:dyDescent="0.2">
      <c r="K985" s="1"/>
      <c r="L985" s="1"/>
      <c r="S985" s="1"/>
      <c r="Z985" s="1"/>
      <c r="AG985" s="1"/>
      <c r="AN985" s="1"/>
    </row>
    <row r="986" spans="11:40" x14ac:dyDescent="0.2">
      <c r="K986" s="1"/>
      <c r="L986" s="1"/>
      <c r="S986" s="1"/>
      <c r="Z986" s="1"/>
      <c r="AG986" s="1"/>
      <c r="AN986" s="1"/>
    </row>
    <row r="987" spans="11:40" x14ac:dyDescent="0.2">
      <c r="K987" s="1"/>
      <c r="L987" s="1"/>
      <c r="S987" s="1"/>
      <c r="Z987" s="1"/>
      <c r="AG987" s="1"/>
      <c r="AN987" s="1"/>
    </row>
    <row r="988" spans="11:40" x14ac:dyDescent="0.2">
      <c r="K988" s="1"/>
      <c r="L988" s="1"/>
      <c r="S988" s="1"/>
      <c r="Z988" s="1"/>
      <c r="AG988" s="1"/>
      <c r="AN988" s="1"/>
    </row>
    <row r="989" spans="11:40" x14ac:dyDescent="0.2">
      <c r="K989" s="1"/>
      <c r="L989" s="1"/>
      <c r="S989" s="1"/>
      <c r="Z989" s="1"/>
      <c r="AG989" s="1"/>
      <c r="AN989" s="1"/>
    </row>
    <row r="990" spans="11:40" x14ac:dyDescent="0.2">
      <c r="K990" s="1"/>
      <c r="L990" s="1"/>
      <c r="S990" s="1"/>
      <c r="Z990" s="1"/>
      <c r="AG990" s="1"/>
      <c r="AN990" s="1"/>
    </row>
    <row r="991" spans="11:40" x14ac:dyDescent="0.2">
      <c r="K991" s="1"/>
      <c r="L991" s="1"/>
      <c r="S991" s="1"/>
      <c r="Z991" s="1"/>
      <c r="AG991" s="1"/>
      <c r="AN991" s="1"/>
    </row>
    <row r="992" spans="11:40" x14ac:dyDescent="0.2">
      <c r="K992" s="1"/>
      <c r="L992" s="1"/>
      <c r="S992" s="1"/>
      <c r="Z992" s="1"/>
      <c r="AG992" s="1"/>
      <c r="AN992" s="1"/>
    </row>
    <row r="993" spans="11:40" x14ac:dyDescent="0.2">
      <c r="K993" s="1"/>
      <c r="L993" s="1"/>
      <c r="S993" s="1"/>
      <c r="Z993" s="1"/>
      <c r="AG993" s="1"/>
      <c r="AN993" s="1"/>
    </row>
    <row r="994" spans="11:40" x14ac:dyDescent="0.2">
      <c r="K994" s="1"/>
      <c r="L994" s="1"/>
      <c r="S994" s="1"/>
      <c r="Z994" s="1"/>
      <c r="AG994" s="1"/>
      <c r="AN994" s="1"/>
    </row>
    <row r="995" spans="11:40" x14ac:dyDescent="0.2">
      <c r="K995" s="1"/>
      <c r="L995" s="1"/>
      <c r="S995" s="1"/>
      <c r="Z995" s="1"/>
      <c r="AG995" s="1"/>
      <c r="AN995" s="1"/>
    </row>
    <row r="996" spans="11:40" x14ac:dyDescent="0.2">
      <c r="K996" s="1"/>
      <c r="L996" s="1"/>
      <c r="S996" s="1"/>
      <c r="Z996" s="1"/>
      <c r="AG996" s="1"/>
      <c r="AN996" s="1"/>
    </row>
    <row r="997" spans="11:40" x14ac:dyDescent="0.2">
      <c r="K997" s="1"/>
      <c r="L997" s="1"/>
      <c r="S997" s="1"/>
      <c r="Z997" s="1"/>
      <c r="AG997" s="1"/>
      <c r="AN997" s="1"/>
    </row>
    <row r="998" spans="11:40" x14ac:dyDescent="0.2">
      <c r="K998" s="1"/>
      <c r="L998" s="1"/>
      <c r="S998" s="1"/>
      <c r="Z998" s="1"/>
      <c r="AG998" s="1"/>
      <c r="AN998" s="1"/>
    </row>
    <row r="999" spans="11:40" x14ac:dyDescent="0.2">
      <c r="K999" s="1"/>
      <c r="L999" s="1"/>
      <c r="S999" s="1"/>
      <c r="Z999" s="1"/>
      <c r="AG999" s="1"/>
      <c r="AN999" s="1"/>
    </row>
    <row r="1000" spans="11:40" x14ac:dyDescent="0.2">
      <c r="K1000" s="1"/>
      <c r="L1000" s="1"/>
      <c r="S1000" s="1"/>
      <c r="Z1000" s="1"/>
      <c r="AG1000" s="1"/>
      <c r="AN1000" s="1"/>
    </row>
    <row r="1001" spans="11:40" x14ac:dyDescent="0.2">
      <c r="K1001" s="1"/>
      <c r="L1001" s="1"/>
      <c r="S1001" s="1"/>
      <c r="Z1001" s="1"/>
      <c r="AG1001" s="1"/>
      <c r="AN1001" s="1"/>
    </row>
    <row r="1002" spans="11:40" x14ac:dyDescent="0.2">
      <c r="K1002" s="1"/>
      <c r="L1002" s="1"/>
      <c r="S1002" s="1"/>
      <c r="Z1002" s="1"/>
      <c r="AG1002" s="1"/>
      <c r="AN1002" s="1"/>
    </row>
    <row r="1003" spans="11:40" x14ac:dyDescent="0.2">
      <c r="K1003" s="1"/>
      <c r="L1003" s="1"/>
      <c r="S1003" s="1"/>
      <c r="Z1003" s="1"/>
      <c r="AG1003" s="1"/>
      <c r="AN1003" s="1"/>
    </row>
    <row r="1004" spans="11:40" x14ac:dyDescent="0.2">
      <c r="K1004" s="1"/>
      <c r="L1004" s="1"/>
      <c r="S1004" s="1"/>
      <c r="Z1004" s="1"/>
      <c r="AG1004" s="1"/>
      <c r="AN1004" s="1"/>
    </row>
    <row r="1005" spans="11:40" x14ac:dyDescent="0.2">
      <c r="K1005" s="1"/>
      <c r="L1005" s="1"/>
      <c r="S1005" s="1"/>
      <c r="Z1005" s="1"/>
      <c r="AG1005" s="1"/>
      <c r="AN1005" s="1"/>
    </row>
    <row r="1006" spans="11:40" x14ac:dyDescent="0.2">
      <c r="K1006" s="1"/>
      <c r="L1006" s="1"/>
      <c r="S1006" s="1"/>
      <c r="Z1006" s="1"/>
      <c r="AG1006" s="1"/>
      <c r="AN1006" s="1"/>
    </row>
    <row r="1007" spans="11:40" x14ac:dyDescent="0.2">
      <c r="K1007" s="1"/>
      <c r="L1007" s="1"/>
      <c r="S1007" s="1"/>
      <c r="Z1007" s="1"/>
      <c r="AG1007" s="1"/>
      <c r="AN1007" s="1"/>
    </row>
    <row r="1008" spans="11:40" x14ac:dyDescent="0.2">
      <c r="K1008" s="1"/>
      <c r="L1008" s="1"/>
      <c r="S1008" s="1"/>
      <c r="Z1008" s="1"/>
      <c r="AG1008" s="1"/>
      <c r="AN1008" s="1"/>
    </row>
    <row r="1009" spans="11:40" x14ac:dyDescent="0.2">
      <c r="K1009" s="1"/>
      <c r="L1009" s="1"/>
      <c r="S1009" s="1"/>
      <c r="Z1009" s="1"/>
      <c r="AG1009" s="1"/>
      <c r="AN1009" s="1"/>
    </row>
    <row r="1010" spans="11:40" x14ac:dyDescent="0.2">
      <c r="K1010" s="1"/>
      <c r="L1010" s="1"/>
      <c r="S1010" s="1"/>
      <c r="Z1010" s="1"/>
      <c r="AG1010" s="1"/>
      <c r="AN1010" s="1"/>
    </row>
    <row r="1011" spans="11:40" x14ac:dyDescent="0.2">
      <c r="K1011" s="1"/>
      <c r="L1011" s="1"/>
      <c r="S1011" s="1"/>
      <c r="Z1011" s="1"/>
      <c r="AG1011" s="1"/>
      <c r="AN1011" s="1"/>
    </row>
    <row r="1012" spans="11:40" x14ac:dyDescent="0.2">
      <c r="K1012" s="1"/>
      <c r="L1012" s="1"/>
      <c r="S1012" s="1"/>
      <c r="Z1012" s="1"/>
      <c r="AG1012" s="1"/>
      <c r="AN1012" s="1"/>
    </row>
    <row r="1013" spans="11:40" x14ac:dyDescent="0.2">
      <c r="K1013" s="1"/>
      <c r="L1013" s="1"/>
      <c r="S1013" s="1"/>
      <c r="Z1013" s="1"/>
      <c r="AG1013" s="1"/>
      <c r="AN1013" s="1"/>
    </row>
    <row r="1014" spans="11:40" x14ac:dyDescent="0.2">
      <c r="K1014" s="1"/>
      <c r="L1014" s="1"/>
      <c r="S1014" s="1"/>
      <c r="Z1014" s="1"/>
      <c r="AG1014" s="1"/>
      <c r="AN1014" s="1"/>
    </row>
    <row r="1015" spans="11:40" x14ac:dyDescent="0.2">
      <c r="K1015" s="1"/>
      <c r="L1015" s="1"/>
      <c r="S1015" s="1"/>
      <c r="Z1015" s="1"/>
      <c r="AG1015" s="1"/>
      <c r="AN1015" s="1"/>
    </row>
    <row r="1016" spans="11:40" x14ac:dyDescent="0.2">
      <c r="K1016" s="1"/>
      <c r="L1016" s="1"/>
      <c r="S1016" s="1"/>
      <c r="Z1016" s="1"/>
      <c r="AG1016" s="1"/>
      <c r="AN1016" s="1"/>
    </row>
    <row r="1017" spans="11:40" x14ac:dyDescent="0.2">
      <c r="K1017" s="1"/>
      <c r="L1017" s="1"/>
      <c r="S1017" s="1"/>
      <c r="Z1017" s="1"/>
      <c r="AG1017" s="1"/>
      <c r="AN1017" s="1"/>
    </row>
    <row r="1018" spans="11:40" x14ac:dyDescent="0.2">
      <c r="K1018" s="1"/>
      <c r="L1018" s="1"/>
      <c r="S1018" s="1"/>
      <c r="Z1018" s="1"/>
      <c r="AG1018" s="1"/>
      <c r="AN1018" s="1"/>
    </row>
    <row r="1019" spans="11:40" x14ac:dyDescent="0.2">
      <c r="K1019" s="1"/>
      <c r="L1019" s="1"/>
      <c r="S1019" s="1"/>
      <c r="Z1019" s="1"/>
      <c r="AG1019" s="1"/>
      <c r="AN1019" s="1"/>
    </row>
    <row r="1020" spans="11:40" x14ac:dyDescent="0.2">
      <c r="K1020" s="1"/>
      <c r="L1020" s="1"/>
      <c r="S1020" s="1"/>
      <c r="Z1020" s="1"/>
      <c r="AG1020" s="1"/>
      <c r="AN1020" s="1"/>
    </row>
    <row r="1021" spans="11:40" x14ac:dyDescent="0.2">
      <c r="K1021" s="1"/>
      <c r="L1021" s="1"/>
      <c r="S1021" s="1"/>
      <c r="Z1021" s="1"/>
      <c r="AG1021" s="1"/>
      <c r="AN1021" s="1"/>
    </row>
    <row r="1022" spans="11:40" x14ac:dyDescent="0.2">
      <c r="K1022" s="1"/>
      <c r="L1022" s="1"/>
      <c r="S1022" s="1"/>
      <c r="Z1022" s="1"/>
      <c r="AG1022" s="1"/>
      <c r="AN1022" s="1"/>
    </row>
    <row r="1023" spans="11:40" x14ac:dyDescent="0.2">
      <c r="K1023" s="1"/>
      <c r="L1023" s="1"/>
      <c r="S1023" s="1"/>
      <c r="Z1023" s="1"/>
      <c r="AG1023" s="1"/>
      <c r="AN1023" s="1"/>
    </row>
    <row r="1024" spans="11:40" x14ac:dyDescent="0.2">
      <c r="K1024" s="1"/>
      <c r="L1024" s="1"/>
      <c r="S1024" s="1"/>
      <c r="Z1024" s="1"/>
      <c r="AG1024" s="1"/>
      <c r="AN1024" s="1"/>
    </row>
    <row r="1025" spans="11:40" x14ac:dyDescent="0.2">
      <c r="K1025" s="1"/>
      <c r="L1025" s="1"/>
      <c r="S1025" s="1"/>
      <c r="Z1025" s="1"/>
      <c r="AG1025" s="1"/>
      <c r="AN1025" s="1"/>
    </row>
    <row r="1026" spans="11:40" x14ac:dyDescent="0.2">
      <c r="K1026" s="1"/>
      <c r="L1026" s="1"/>
      <c r="S1026" s="1"/>
      <c r="Z1026" s="1"/>
      <c r="AG1026" s="1"/>
      <c r="AN1026" s="1"/>
    </row>
    <row r="1027" spans="11:40" x14ac:dyDescent="0.2">
      <c r="K1027" s="1"/>
      <c r="L1027" s="1"/>
      <c r="S1027" s="1"/>
      <c r="Z1027" s="1"/>
      <c r="AG1027" s="1"/>
      <c r="AN1027" s="1"/>
    </row>
    <row r="1028" spans="11:40" x14ac:dyDescent="0.2">
      <c r="K1028" s="1"/>
      <c r="L1028" s="1"/>
      <c r="S1028" s="1"/>
      <c r="Z1028" s="1"/>
      <c r="AG1028" s="1"/>
      <c r="AN1028" s="1"/>
    </row>
    <row r="1029" spans="11:40" x14ac:dyDescent="0.2">
      <c r="K1029" s="1"/>
      <c r="L1029" s="1"/>
      <c r="S1029" s="1"/>
      <c r="Z1029" s="1"/>
      <c r="AG1029" s="1"/>
      <c r="AN1029" s="1"/>
    </row>
    <row r="1030" spans="11:40" x14ac:dyDescent="0.2">
      <c r="K1030" s="1"/>
      <c r="L1030" s="1"/>
      <c r="S1030" s="1"/>
      <c r="Z1030" s="1"/>
      <c r="AG1030" s="1"/>
      <c r="AN1030" s="1"/>
    </row>
    <row r="1031" spans="11:40" x14ac:dyDescent="0.2">
      <c r="K1031" s="1"/>
      <c r="L1031" s="1"/>
      <c r="S1031" s="1"/>
      <c r="Z1031" s="1"/>
      <c r="AG1031" s="1"/>
      <c r="AN1031" s="1"/>
    </row>
    <row r="1032" spans="11:40" x14ac:dyDescent="0.2">
      <c r="K1032" s="1"/>
      <c r="L1032" s="1"/>
      <c r="S1032" s="1"/>
      <c r="Z1032" s="1"/>
      <c r="AG1032" s="1"/>
      <c r="AN1032" s="1"/>
    </row>
    <row r="1033" spans="11:40" x14ac:dyDescent="0.2">
      <c r="K1033" s="1"/>
      <c r="L1033" s="1"/>
      <c r="S1033" s="1"/>
      <c r="Z1033" s="1"/>
      <c r="AG1033" s="1"/>
      <c r="AN1033" s="1"/>
    </row>
    <row r="1034" spans="11:40" x14ac:dyDescent="0.2">
      <c r="K1034" s="1"/>
      <c r="L1034" s="1"/>
      <c r="S1034" s="1"/>
      <c r="Z1034" s="1"/>
      <c r="AG1034" s="1"/>
      <c r="AN1034" s="1"/>
    </row>
    <row r="1035" spans="11:40" x14ac:dyDescent="0.2">
      <c r="K1035" s="1"/>
      <c r="L1035" s="1"/>
      <c r="S1035" s="1"/>
      <c r="Z1035" s="1"/>
      <c r="AG1035" s="1"/>
      <c r="AN1035" s="1"/>
    </row>
    <row r="1036" spans="11:40" x14ac:dyDescent="0.2">
      <c r="K1036" s="1"/>
      <c r="L1036" s="1"/>
      <c r="S1036" s="1"/>
      <c r="Z1036" s="1"/>
      <c r="AG1036" s="1"/>
      <c r="AN1036" s="1"/>
    </row>
    <row r="1037" spans="11:40" x14ac:dyDescent="0.2">
      <c r="K1037" s="1"/>
      <c r="L1037" s="1"/>
      <c r="S1037" s="1"/>
      <c r="Z1037" s="1"/>
      <c r="AG1037" s="1"/>
      <c r="AN1037" s="1"/>
    </row>
    <row r="1038" spans="11:40" x14ac:dyDescent="0.2">
      <c r="K1038" s="1"/>
      <c r="L1038" s="1"/>
      <c r="S1038" s="1"/>
      <c r="Z1038" s="1"/>
      <c r="AG1038" s="1"/>
      <c r="AN1038" s="1"/>
    </row>
    <row r="1039" spans="11:40" x14ac:dyDescent="0.2">
      <c r="K1039" s="1"/>
      <c r="L1039" s="1"/>
      <c r="S1039" s="1"/>
      <c r="Z1039" s="1"/>
      <c r="AG1039" s="1"/>
      <c r="AN1039" s="1"/>
    </row>
    <row r="1040" spans="11:40" x14ac:dyDescent="0.2">
      <c r="K1040" s="1"/>
      <c r="L1040" s="1"/>
      <c r="S1040" s="1"/>
      <c r="Z1040" s="1"/>
      <c r="AG1040" s="1"/>
      <c r="AN1040" s="1"/>
    </row>
    <row r="1041" spans="11:40" x14ac:dyDescent="0.2">
      <c r="K1041" s="1"/>
      <c r="L1041" s="1"/>
      <c r="S1041" s="1"/>
      <c r="Z1041" s="1"/>
      <c r="AG1041" s="1"/>
      <c r="AN1041" s="1"/>
    </row>
    <row r="1042" spans="11:40" x14ac:dyDescent="0.2">
      <c r="K1042" s="1"/>
      <c r="L1042" s="1"/>
      <c r="S1042" s="1"/>
      <c r="Z1042" s="1"/>
      <c r="AG1042" s="1"/>
      <c r="AN1042" s="1"/>
    </row>
    <row r="1043" spans="11:40" x14ac:dyDescent="0.2">
      <c r="K1043" s="1"/>
      <c r="L1043" s="1"/>
      <c r="S1043" s="1"/>
      <c r="Z1043" s="1"/>
      <c r="AG1043" s="1"/>
      <c r="AN1043" s="1"/>
    </row>
    <row r="1044" spans="11:40" x14ac:dyDescent="0.2">
      <c r="K1044" s="1"/>
      <c r="L1044" s="1"/>
      <c r="S1044" s="1"/>
      <c r="Z1044" s="1"/>
      <c r="AG1044" s="1"/>
      <c r="AN1044" s="1"/>
    </row>
    <row r="1045" spans="11:40" x14ac:dyDescent="0.2">
      <c r="K1045" s="1"/>
      <c r="L1045" s="1"/>
      <c r="S1045" s="1"/>
      <c r="Z1045" s="1"/>
      <c r="AG1045" s="1"/>
      <c r="AN1045" s="1"/>
    </row>
    <row r="1046" spans="11:40" x14ac:dyDescent="0.2">
      <c r="K1046" s="1"/>
      <c r="L1046" s="1"/>
      <c r="S1046" s="1"/>
      <c r="Z1046" s="1"/>
      <c r="AG1046" s="1"/>
      <c r="AN1046" s="1"/>
    </row>
    <row r="1047" spans="11:40" x14ac:dyDescent="0.2">
      <c r="K1047" s="1"/>
      <c r="L1047" s="1"/>
      <c r="S1047" s="1"/>
      <c r="Z1047" s="1"/>
      <c r="AG1047" s="1"/>
      <c r="AN1047" s="1"/>
    </row>
    <row r="1048" spans="11:40" x14ac:dyDescent="0.2">
      <c r="K1048" s="1"/>
      <c r="L1048" s="1"/>
      <c r="S1048" s="1"/>
      <c r="Z1048" s="1"/>
      <c r="AG1048" s="1"/>
      <c r="AN1048" s="1"/>
    </row>
    <row r="1049" spans="11:40" x14ac:dyDescent="0.2">
      <c r="K1049" s="1"/>
      <c r="L1049" s="1"/>
      <c r="S1049" s="1"/>
      <c r="Z1049" s="1"/>
      <c r="AG1049" s="1"/>
      <c r="AN1049" s="1"/>
    </row>
    <row r="1050" spans="11:40" x14ac:dyDescent="0.2">
      <c r="K1050" s="1"/>
      <c r="L1050" s="1"/>
      <c r="S1050" s="1"/>
      <c r="Z1050" s="1"/>
      <c r="AG1050" s="1"/>
      <c r="AN1050" s="1"/>
    </row>
    <row r="1051" spans="11:40" x14ac:dyDescent="0.2">
      <c r="K1051" s="1"/>
      <c r="L1051" s="1"/>
      <c r="S1051" s="1"/>
      <c r="Z1051" s="1"/>
      <c r="AG1051" s="1"/>
      <c r="AN1051" s="1"/>
    </row>
    <row r="1052" spans="11:40" x14ac:dyDescent="0.2">
      <c r="K1052" s="1"/>
      <c r="L1052" s="1"/>
      <c r="S1052" s="1"/>
      <c r="Z1052" s="1"/>
      <c r="AG1052" s="1"/>
      <c r="AN1052" s="1"/>
    </row>
    <row r="1053" spans="11:40" x14ac:dyDescent="0.2">
      <c r="K1053" s="1"/>
      <c r="L1053" s="1"/>
      <c r="S1053" s="1"/>
      <c r="Z1053" s="1"/>
      <c r="AG1053" s="1"/>
      <c r="AN1053" s="1"/>
    </row>
    <row r="1054" spans="11:40" x14ac:dyDescent="0.2">
      <c r="K1054" s="1"/>
      <c r="L1054" s="1"/>
      <c r="S1054" s="1"/>
      <c r="Z1054" s="1"/>
      <c r="AG1054" s="1"/>
      <c r="AN1054" s="1"/>
    </row>
    <row r="1055" spans="11:40" x14ac:dyDescent="0.2">
      <c r="K1055" s="1"/>
      <c r="L1055" s="1"/>
      <c r="S1055" s="1"/>
      <c r="Z1055" s="1"/>
      <c r="AG1055" s="1"/>
      <c r="AN1055" s="1"/>
    </row>
    <row r="1056" spans="11:40" x14ac:dyDescent="0.2">
      <c r="K1056" s="1"/>
      <c r="L1056" s="1"/>
      <c r="S1056" s="1"/>
      <c r="Z1056" s="1"/>
      <c r="AG1056" s="1"/>
      <c r="AN1056" s="1"/>
    </row>
    <row r="1057" spans="11:40" x14ac:dyDescent="0.2">
      <c r="K1057" s="1"/>
      <c r="L1057" s="1"/>
      <c r="S1057" s="1"/>
      <c r="Z1057" s="1"/>
      <c r="AG1057" s="1"/>
      <c r="AN1057" s="1"/>
    </row>
    <row r="1058" spans="11:40" x14ac:dyDescent="0.2">
      <c r="K1058" s="1"/>
      <c r="L1058" s="1"/>
      <c r="S1058" s="1"/>
      <c r="Z1058" s="1"/>
      <c r="AG1058" s="1"/>
      <c r="AN1058" s="1"/>
    </row>
    <row r="1059" spans="11:40" x14ac:dyDescent="0.2">
      <c r="K1059" s="1"/>
      <c r="L1059" s="1"/>
      <c r="S1059" s="1"/>
      <c r="Z1059" s="1"/>
      <c r="AG1059" s="1"/>
      <c r="AN1059" s="1"/>
    </row>
    <row r="1060" spans="11:40" x14ac:dyDescent="0.2">
      <c r="K1060" s="1"/>
      <c r="L1060" s="1"/>
      <c r="S1060" s="1"/>
      <c r="Z1060" s="1"/>
      <c r="AG1060" s="1"/>
      <c r="AN1060" s="1"/>
    </row>
    <row r="1061" spans="11:40" x14ac:dyDescent="0.2">
      <c r="K1061" s="1"/>
      <c r="L1061" s="1"/>
      <c r="S1061" s="1"/>
      <c r="Z1061" s="1"/>
      <c r="AG1061" s="1"/>
      <c r="AN1061" s="1"/>
    </row>
    <row r="1062" spans="11:40" x14ac:dyDescent="0.2">
      <c r="K1062" s="1"/>
      <c r="L1062" s="1"/>
      <c r="S1062" s="1"/>
      <c r="Z1062" s="1"/>
      <c r="AG1062" s="1"/>
      <c r="AN1062" s="1"/>
    </row>
    <row r="1063" spans="11:40" x14ac:dyDescent="0.2">
      <c r="K1063" s="1"/>
      <c r="L1063" s="1"/>
      <c r="S1063" s="1"/>
      <c r="Z1063" s="1"/>
      <c r="AG1063" s="1"/>
      <c r="AN1063" s="1"/>
    </row>
    <row r="1064" spans="11:40" x14ac:dyDescent="0.2">
      <c r="K1064" s="1"/>
      <c r="L1064" s="1"/>
      <c r="S1064" s="1"/>
      <c r="Z1064" s="1"/>
      <c r="AG1064" s="1"/>
      <c r="AN1064" s="1"/>
    </row>
    <row r="1065" spans="11:40" x14ac:dyDescent="0.2">
      <c r="K1065" s="1"/>
      <c r="L1065" s="1"/>
      <c r="S1065" s="1"/>
      <c r="Z1065" s="1"/>
      <c r="AG1065" s="1"/>
      <c r="AN1065" s="1"/>
    </row>
    <row r="1066" spans="11:40" x14ac:dyDescent="0.2">
      <c r="K1066" s="1"/>
      <c r="L1066" s="1"/>
      <c r="S1066" s="1"/>
      <c r="Z1066" s="1"/>
      <c r="AG1066" s="1"/>
      <c r="AN1066" s="1"/>
    </row>
    <row r="1067" spans="11:40" x14ac:dyDescent="0.2">
      <c r="K1067" s="1"/>
      <c r="L1067" s="1"/>
      <c r="S1067" s="1"/>
      <c r="Z1067" s="1"/>
      <c r="AG1067" s="1"/>
      <c r="AN1067" s="1"/>
    </row>
    <row r="1068" spans="11:40" x14ac:dyDescent="0.2">
      <c r="K1068" s="1"/>
      <c r="L1068" s="1"/>
      <c r="S1068" s="1"/>
      <c r="Z1068" s="1"/>
      <c r="AG1068" s="1"/>
      <c r="AN1068" s="1"/>
    </row>
    <row r="1069" spans="11:40" x14ac:dyDescent="0.2">
      <c r="K1069" s="1"/>
      <c r="L1069" s="1"/>
      <c r="S1069" s="1"/>
      <c r="Z1069" s="1"/>
      <c r="AG1069" s="1"/>
      <c r="AN1069" s="1"/>
    </row>
    <row r="1070" spans="11:40" x14ac:dyDescent="0.2">
      <c r="K1070" s="1"/>
      <c r="L1070" s="1"/>
      <c r="S1070" s="1"/>
      <c r="Z1070" s="1"/>
      <c r="AG1070" s="1"/>
      <c r="AN1070" s="1"/>
    </row>
    <row r="1071" spans="11:40" x14ac:dyDescent="0.2">
      <c r="K1071" s="1"/>
      <c r="L1071" s="1"/>
      <c r="S1071" s="1"/>
      <c r="Z1071" s="1"/>
      <c r="AG1071" s="1"/>
      <c r="AN1071" s="1"/>
    </row>
    <row r="1072" spans="11:40" x14ac:dyDescent="0.2">
      <c r="K1072" s="1"/>
      <c r="L1072" s="1"/>
      <c r="S1072" s="1"/>
      <c r="Z1072" s="1"/>
      <c r="AG1072" s="1"/>
      <c r="AN1072" s="1"/>
    </row>
    <row r="1073" spans="11:40" x14ac:dyDescent="0.2">
      <c r="K1073" s="1"/>
      <c r="L1073" s="1"/>
      <c r="S1073" s="1"/>
      <c r="Z1073" s="1"/>
      <c r="AG1073" s="1"/>
      <c r="AN1073" s="1"/>
    </row>
    <row r="1074" spans="11:40" x14ac:dyDescent="0.2">
      <c r="K1074" s="1"/>
      <c r="L1074" s="1"/>
      <c r="S1074" s="1"/>
      <c r="Z1074" s="1"/>
      <c r="AG1074" s="1"/>
      <c r="AN1074" s="1"/>
    </row>
    <row r="1075" spans="11:40" x14ac:dyDescent="0.2">
      <c r="K1075" s="1"/>
      <c r="L1075" s="1"/>
      <c r="S1075" s="1"/>
      <c r="Z1075" s="1"/>
      <c r="AG1075" s="1"/>
      <c r="AN1075" s="1"/>
    </row>
    <row r="1076" spans="11:40" x14ac:dyDescent="0.2">
      <c r="K1076" s="1"/>
      <c r="L1076" s="1"/>
      <c r="S1076" s="1"/>
      <c r="Z1076" s="1"/>
      <c r="AG1076" s="1"/>
      <c r="AN1076" s="1"/>
    </row>
    <row r="1077" spans="11:40" x14ac:dyDescent="0.2">
      <c r="K1077" s="1"/>
      <c r="L1077" s="1"/>
      <c r="S1077" s="1"/>
      <c r="Z1077" s="1"/>
      <c r="AG1077" s="1"/>
      <c r="AN1077" s="1"/>
    </row>
    <row r="1078" spans="11:40" x14ac:dyDescent="0.2">
      <c r="K1078" s="1"/>
      <c r="L1078" s="1"/>
      <c r="S1078" s="1"/>
      <c r="Z1078" s="1"/>
      <c r="AG1078" s="1"/>
      <c r="AN1078" s="1"/>
    </row>
    <row r="1079" spans="11:40" x14ac:dyDescent="0.2">
      <c r="K1079" s="1"/>
      <c r="L1079" s="1"/>
      <c r="S1079" s="1"/>
      <c r="Z1079" s="1"/>
      <c r="AG1079" s="1"/>
      <c r="AN1079" s="1"/>
    </row>
    <row r="1080" spans="11:40" x14ac:dyDescent="0.2">
      <c r="K1080" s="1"/>
      <c r="L1080" s="1"/>
      <c r="S1080" s="1"/>
      <c r="Z1080" s="1"/>
      <c r="AG1080" s="1"/>
      <c r="AN1080" s="1"/>
    </row>
    <row r="1081" spans="11:40" x14ac:dyDescent="0.2">
      <c r="K1081" s="1"/>
      <c r="L1081" s="1"/>
      <c r="S1081" s="1"/>
      <c r="Z1081" s="1"/>
      <c r="AG1081" s="1"/>
      <c r="AN1081" s="1"/>
    </row>
    <row r="1082" spans="11:40" x14ac:dyDescent="0.2">
      <c r="K1082" s="1"/>
      <c r="L1082" s="1"/>
      <c r="S1082" s="1"/>
      <c r="Z1082" s="1"/>
      <c r="AG1082" s="1"/>
      <c r="AN1082" s="1"/>
    </row>
    <row r="1083" spans="11:40" x14ac:dyDescent="0.2">
      <c r="K1083" s="1"/>
      <c r="L1083" s="1"/>
      <c r="S1083" s="1"/>
      <c r="Z1083" s="1"/>
      <c r="AG1083" s="1"/>
      <c r="AN1083" s="1"/>
    </row>
    <row r="1084" spans="11:40" x14ac:dyDescent="0.2">
      <c r="K1084" s="1"/>
      <c r="L1084" s="1"/>
      <c r="S1084" s="1"/>
      <c r="Z1084" s="1"/>
      <c r="AG1084" s="1"/>
      <c r="AN1084" s="1"/>
    </row>
    <row r="1085" spans="11:40" x14ac:dyDescent="0.2">
      <c r="K1085" s="1"/>
      <c r="L1085" s="1"/>
      <c r="S1085" s="1"/>
      <c r="Z1085" s="1"/>
      <c r="AG1085" s="1"/>
      <c r="AN1085" s="1"/>
    </row>
    <row r="1086" spans="11:40" x14ac:dyDescent="0.2">
      <c r="K1086" s="1"/>
      <c r="L1086" s="1"/>
      <c r="S1086" s="1"/>
      <c r="Z1086" s="1"/>
      <c r="AG1086" s="1"/>
      <c r="AN1086" s="1"/>
    </row>
    <row r="1087" spans="11:40" x14ac:dyDescent="0.2">
      <c r="K1087" s="1"/>
      <c r="L1087" s="1"/>
      <c r="S1087" s="1"/>
      <c r="Z1087" s="1"/>
      <c r="AG1087" s="1"/>
      <c r="AN1087" s="1"/>
    </row>
    <row r="1088" spans="11:40" x14ac:dyDescent="0.2">
      <c r="K1088" s="1"/>
      <c r="L1088" s="1"/>
      <c r="S1088" s="1"/>
      <c r="Z1088" s="1"/>
      <c r="AG1088" s="1"/>
      <c r="AN1088" s="1"/>
    </row>
    <row r="1089" spans="11:40" x14ac:dyDescent="0.2">
      <c r="K1089" s="1"/>
      <c r="L1089" s="1"/>
      <c r="S1089" s="1"/>
      <c r="Z1089" s="1"/>
      <c r="AG1089" s="1"/>
      <c r="AN1089" s="1"/>
    </row>
    <row r="1090" spans="11:40" x14ac:dyDescent="0.2">
      <c r="K1090" s="1"/>
      <c r="L1090" s="1"/>
      <c r="S1090" s="1"/>
      <c r="Z1090" s="1"/>
      <c r="AG1090" s="1"/>
      <c r="AN1090" s="1"/>
    </row>
    <row r="1091" spans="11:40" x14ac:dyDescent="0.2">
      <c r="K1091" s="1"/>
      <c r="L1091" s="1"/>
      <c r="S1091" s="1"/>
      <c r="Z1091" s="1"/>
      <c r="AG1091" s="1"/>
      <c r="AN1091" s="1"/>
    </row>
    <row r="1092" spans="11:40" x14ac:dyDescent="0.2">
      <c r="K1092" s="1"/>
      <c r="L1092" s="1"/>
      <c r="S1092" s="1"/>
      <c r="Z1092" s="1"/>
      <c r="AG1092" s="1"/>
      <c r="AN1092" s="1"/>
    </row>
    <row r="1093" spans="11:40" x14ac:dyDescent="0.2">
      <c r="K1093" s="1"/>
      <c r="L1093" s="1"/>
      <c r="S1093" s="1"/>
      <c r="Z1093" s="1"/>
      <c r="AG1093" s="1"/>
      <c r="AN1093" s="1"/>
    </row>
    <row r="1094" spans="11:40" x14ac:dyDescent="0.2">
      <c r="K1094" s="1"/>
      <c r="L1094" s="1"/>
      <c r="S1094" s="1"/>
      <c r="Z1094" s="1"/>
      <c r="AG1094" s="1"/>
      <c r="AN1094" s="1"/>
    </row>
    <row r="1095" spans="11:40" x14ac:dyDescent="0.2">
      <c r="K1095" s="1"/>
      <c r="L1095" s="1"/>
      <c r="S1095" s="1"/>
      <c r="Z1095" s="1"/>
      <c r="AG1095" s="1"/>
      <c r="AN1095" s="1"/>
    </row>
    <row r="1096" spans="11:40" x14ac:dyDescent="0.2">
      <c r="K1096" s="1"/>
      <c r="L1096" s="1"/>
      <c r="S1096" s="1"/>
      <c r="Z1096" s="1"/>
      <c r="AG1096" s="1"/>
      <c r="AN1096" s="1"/>
    </row>
    <row r="1097" spans="11:40" x14ac:dyDescent="0.2">
      <c r="K1097" s="1"/>
      <c r="L1097" s="1"/>
      <c r="S1097" s="1"/>
      <c r="Z1097" s="1"/>
      <c r="AG1097" s="1"/>
      <c r="AN1097" s="1"/>
    </row>
    <row r="1098" spans="11:40" x14ac:dyDescent="0.2">
      <c r="K1098" s="1"/>
      <c r="L1098" s="1"/>
      <c r="S1098" s="1"/>
      <c r="Z1098" s="1"/>
      <c r="AG1098" s="1"/>
      <c r="AN1098" s="1"/>
    </row>
    <row r="1099" spans="11:40" x14ac:dyDescent="0.2">
      <c r="K1099" s="1"/>
      <c r="L1099" s="1"/>
      <c r="S1099" s="1"/>
      <c r="Z1099" s="1"/>
      <c r="AG1099" s="1"/>
      <c r="AN1099" s="1"/>
    </row>
    <row r="1100" spans="11:40" x14ac:dyDescent="0.2">
      <c r="K1100" s="1"/>
      <c r="L1100" s="1"/>
      <c r="S1100" s="1"/>
      <c r="Z1100" s="1"/>
      <c r="AG1100" s="1"/>
      <c r="AN1100" s="1"/>
    </row>
    <row r="1101" spans="11:40" x14ac:dyDescent="0.2">
      <c r="K1101" s="1"/>
      <c r="L1101" s="1"/>
      <c r="S1101" s="1"/>
      <c r="Z1101" s="1"/>
      <c r="AG1101" s="1"/>
      <c r="AN1101" s="1"/>
    </row>
    <row r="1102" spans="11:40" x14ac:dyDescent="0.2">
      <c r="K1102" s="1"/>
      <c r="L1102" s="1"/>
      <c r="S1102" s="1"/>
      <c r="Z1102" s="1"/>
      <c r="AG1102" s="1"/>
      <c r="AN1102" s="1"/>
    </row>
    <row r="1103" spans="11:40" x14ac:dyDescent="0.2">
      <c r="K1103" s="1"/>
      <c r="L1103" s="1"/>
      <c r="S1103" s="1"/>
      <c r="Z1103" s="1"/>
      <c r="AG1103" s="1"/>
      <c r="AN1103" s="1"/>
    </row>
    <row r="1104" spans="11:40" x14ac:dyDescent="0.2">
      <c r="K1104" s="1"/>
      <c r="L1104" s="1"/>
      <c r="S1104" s="1"/>
      <c r="Z1104" s="1"/>
      <c r="AG1104" s="1"/>
      <c r="AN1104" s="1"/>
    </row>
    <row r="1105" spans="11:40" x14ac:dyDescent="0.2">
      <c r="K1105" s="1"/>
      <c r="L1105" s="1"/>
      <c r="S1105" s="1"/>
      <c r="Z1105" s="1"/>
      <c r="AG1105" s="1"/>
      <c r="AN1105" s="1"/>
    </row>
    <row r="1106" spans="11:40" x14ac:dyDescent="0.2">
      <c r="K1106" s="1"/>
      <c r="L1106" s="1"/>
      <c r="S1106" s="1"/>
      <c r="Z1106" s="1"/>
      <c r="AG1106" s="1"/>
      <c r="AN1106" s="1"/>
    </row>
    <row r="1107" spans="11:40" x14ac:dyDescent="0.2">
      <c r="K1107" s="1"/>
      <c r="L1107" s="1"/>
      <c r="S1107" s="1"/>
      <c r="Z1107" s="1"/>
      <c r="AG1107" s="1"/>
      <c r="AN1107" s="1"/>
    </row>
    <row r="1108" spans="11:40" x14ac:dyDescent="0.2">
      <c r="K1108" s="1"/>
      <c r="L1108" s="1"/>
      <c r="S1108" s="1"/>
      <c r="Z1108" s="1"/>
      <c r="AG1108" s="1"/>
      <c r="AN1108" s="1"/>
    </row>
    <row r="1109" spans="11:40" x14ac:dyDescent="0.2">
      <c r="K1109" s="1"/>
      <c r="L1109" s="1"/>
      <c r="S1109" s="1"/>
      <c r="Z1109" s="1"/>
      <c r="AG1109" s="1"/>
      <c r="AN1109" s="1"/>
    </row>
    <row r="1110" spans="11:40" x14ac:dyDescent="0.2">
      <c r="K1110" s="1"/>
      <c r="L1110" s="1"/>
      <c r="S1110" s="1"/>
      <c r="Z1110" s="1"/>
      <c r="AG1110" s="1"/>
      <c r="AN1110" s="1"/>
    </row>
    <row r="1111" spans="11:40" x14ac:dyDescent="0.2">
      <c r="K1111" s="1"/>
      <c r="L1111" s="1"/>
      <c r="S1111" s="1"/>
      <c r="Z1111" s="1"/>
      <c r="AG1111" s="1"/>
      <c r="AN1111" s="1"/>
    </row>
    <row r="1112" spans="11:40" x14ac:dyDescent="0.2">
      <c r="K1112" s="1"/>
      <c r="L1112" s="1"/>
      <c r="S1112" s="1"/>
      <c r="Z1112" s="1"/>
      <c r="AG1112" s="1"/>
      <c r="AN1112" s="1"/>
    </row>
    <row r="1113" spans="11:40" x14ac:dyDescent="0.2">
      <c r="K1113" s="1"/>
      <c r="L1113" s="1"/>
      <c r="S1113" s="1"/>
      <c r="Z1113" s="1"/>
      <c r="AG1113" s="1"/>
      <c r="AN1113" s="1"/>
    </row>
    <row r="1114" spans="11:40" x14ac:dyDescent="0.2">
      <c r="K1114" s="1"/>
      <c r="L1114" s="1"/>
      <c r="S1114" s="1"/>
      <c r="Z1114" s="1"/>
      <c r="AG1114" s="1"/>
      <c r="AN1114" s="1"/>
    </row>
    <row r="1115" spans="11:40" x14ac:dyDescent="0.2">
      <c r="K1115" s="1"/>
      <c r="L1115" s="1"/>
      <c r="S1115" s="1"/>
      <c r="Z1115" s="1"/>
      <c r="AG1115" s="1"/>
      <c r="AN1115" s="1"/>
    </row>
    <row r="1116" spans="11:40" x14ac:dyDescent="0.2">
      <c r="K1116" s="1"/>
      <c r="L1116" s="1"/>
      <c r="S1116" s="1"/>
      <c r="Z1116" s="1"/>
      <c r="AG1116" s="1"/>
      <c r="AN1116" s="1"/>
    </row>
    <row r="1117" spans="11:40" x14ac:dyDescent="0.2">
      <c r="K1117" s="1"/>
      <c r="L1117" s="1"/>
      <c r="S1117" s="1"/>
      <c r="Z1117" s="1"/>
      <c r="AG1117" s="1"/>
      <c r="AN1117" s="1"/>
    </row>
    <row r="1118" spans="11:40" x14ac:dyDescent="0.2">
      <c r="K1118" s="1"/>
      <c r="L1118" s="1"/>
      <c r="S1118" s="1"/>
      <c r="Z1118" s="1"/>
      <c r="AG1118" s="1"/>
      <c r="AN1118" s="1"/>
    </row>
    <row r="1119" spans="11:40" x14ac:dyDescent="0.2">
      <c r="K1119" s="1"/>
      <c r="L1119" s="1"/>
      <c r="S1119" s="1"/>
      <c r="Z1119" s="1"/>
      <c r="AG1119" s="1"/>
      <c r="AN1119" s="1"/>
    </row>
    <row r="1120" spans="11:40" x14ac:dyDescent="0.2">
      <c r="K1120" s="1"/>
      <c r="L1120" s="1"/>
      <c r="S1120" s="1"/>
      <c r="Z1120" s="1"/>
      <c r="AG1120" s="1"/>
      <c r="AN1120" s="1"/>
    </row>
    <row r="1121" spans="11:40" x14ac:dyDescent="0.2">
      <c r="K1121" s="1"/>
      <c r="L1121" s="1"/>
      <c r="S1121" s="1"/>
      <c r="Z1121" s="1"/>
      <c r="AG1121" s="1"/>
      <c r="AN1121" s="1"/>
    </row>
    <row r="1122" spans="11:40" x14ac:dyDescent="0.2">
      <c r="K1122" s="1"/>
      <c r="L1122" s="1"/>
      <c r="S1122" s="1"/>
      <c r="Z1122" s="1"/>
      <c r="AG1122" s="1"/>
      <c r="AN1122" s="1"/>
    </row>
    <row r="1123" spans="11:40" x14ac:dyDescent="0.2">
      <c r="K1123" s="1"/>
      <c r="L1123" s="1"/>
      <c r="S1123" s="1"/>
      <c r="Z1123" s="1"/>
      <c r="AG1123" s="1"/>
      <c r="AN1123" s="1"/>
    </row>
    <row r="1124" spans="11:40" x14ac:dyDescent="0.2">
      <c r="K1124" s="1"/>
      <c r="L1124" s="1"/>
      <c r="S1124" s="1"/>
      <c r="Z1124" s="1"/>
      <c r="AG1124" s="1"/>
      <c r="AN1124" s="1"/>
    </row>
    <row r="1125" spans="11:40" x14ac:dyDescent="0.2">
      <c r="K1125" s="1"/>
      <c r="L1125" s="1"/>
      <c r="S1125" s="1"/>
      <c r="Z1125" s="1"/>
      <c r="AG1125" s="1"/>
      <c r="AN1125" s="1"/>
    </row>
    <row r="1126" spans="11:40" x14ac:dyDescent="0.2">
      <c r="K1126" s="1"/>
      <c r="L1126" s="1"/>
      <c r="S1126" s="1"/>
      <c r="Z1126" s="1"/>
      <c r="AG1126" s="1"/>
      <c r="AN1126" s="1"/>
    </row>
    <row r="1127" spans="11:40" x14ac:dyDescent="0.2">
      <c r="K1127" s="1"/>
      <c r="L1127" s="1"/>
      <c r="S1127" s="1"/>
      <c r="Z1127" s="1"/>
      <c r="AG1127" s="1"/>
      <c r="AN1127" s="1"/>
    </row>
    <row r="1128" spans="11:40" x14ac:dyDescent="0.2">
      <c r="K1128" s="1"/>
      <c r="L1128" s="1"/>
      <c r="S1128" s="1"/>
      <c r="Z1128" s="1"/>
      <c r="AG1128" s="1"/>
      <c r="AN1128" s="1"/>
    </row>
    <row r="1129" spans="11:40" x14ac:dyDescent="0.2">
      <c r="K1129" s="1"/>
      <c r="L1129" s="1"/>
      <c r="S1129" s="1"/>
      <c r="Z1129" s="1"/>
      <c r="AG1129" s="1"/>
      <c r="AN1129" s="1"/>
    </row>
    <row r="1130" spans="11:40" x14ac:dyDescent="0.2">
      <c r="K1130" s="1"/>
      <c r="L1130" s="1"/>
      <c r="S1130" s="1"/>
      <c r="Z1130" s="1"/>
      <c r="AG1130" s="1"/>
      <c r="AN1130" s="1"/>
    </row>
    <row r="1131" spans="11:40" x14ac:dyDescent="0.2">
      <c r="K1131" s="1"/>
      <c r="L1131" s="1"/>
      <c r="S1131" s="1"/>
      <c r="Z1131" s="1"/>
      <c r="AG1131" s="1"/>
      <c r="AN1131" s="1"/>
    </row>
    <row r="1132" spans="11:40" x14ac:dyDescent="0.2">
      <c r="K1132" s="1"/>
      <c r="L1132" s="1"/>
      <c r="S1132" s="1"/>
      <c r="Z1132" s="1"/>
      <c r="AG1132" s="1"/>
      <c r="AN1132" s="1"/>
    </row>
    <row r="1133" spans="11:40" x14ac:dyDescent="0.2">
      <c r="K1133" s="1"/>
      <c r="L1133" s="1"/>
      <c r="S1133" s="1"/>
      <c r="Z1133" s="1"/>
      <c r="AG1133" s="1"/>
      <c r="AN1133" s="1"/>
    </row>
    <row r="1134" spans="11:40" x14ac:dyDescent="0.2">
      <c r="K1134" s="1"/>
      <c r="L1134" s="1"/>
      <c r="S1134" s="1"/>
      <c r="Z1134" s="1"/>
      <c r="AG1134" s="1"/>
      <c r="AN1134" s="1"/>
    </row>
    <row r="1135" spans="11:40" x14ac:dyDescent="0.2">
      <c r="K1135" s="1"/>
      <c r="L1135" s="1"/>
      <c r="S1135" s="1"/>
      <c r="Z1135" s="1"/>
      <c r="AG1135" s="1"/>
      <c r="AN1135" s="1"/>
    </row>
    <row r="1136" spans="11:40" x14ac:dyDescent="0.2">
      <c r="K1136" s="1"/>
      <c r="L1136" s="1"/>
      <c r="S1136" s="1"/>
      <c r="Z1136" s="1"/>
      <c r="AG1136" s="1"/>
      <c r="AN1136" s="1"/>
    </row>
    <row r="1137" spans="11:40" x14ac:dyDescent="0.2">
      <c r="K1137" s="1"/>
      <c r="L1137" s="1"/>
      <c r="S1137" s="1"/>
      <c r="Z1137" s="1"/>
      <c r="AG1137" s="1"/>
      <c r="AN1137" s="1"/>
    </row>
    <row r="1138" spans="11:40" x14ac:dyDescent="0.2">
      <c r="K1138" s="1"/>
      <c r="L1138" s="1"/>
      <c r="S1138" s="1"/>
      <c r="Z1138" s="1"/>
      <c r="AG1138" s="1"/>
      <c r="AN1138" s="1"/>
    </row>
    <row r="1139" spans="11:40" x14ac:dyDescent="0.2">
      <c r="K1139" s="1"/>
      <c r="L1139" s="1"/>
      <c r="S1139" s="1"/>
      <c r="Z1139" s="1"/>
      <c r="AG1139" s="1"/>
      <c r="AN1139" s="1"/>
    </row>
    <row r="1140" spans="11:40" x14ac:dyDescent="0.2">
      <c r="K1140" s="1"/>
      <c r="L1140" s="1"/>
      <c r="S1140" s="1"/>
      <c r="Z1140" s="1"/>
      <c r="AG1140" s="1"/>
      <c r="AN1140" s="1"/>
    </row>
    <row r="1141" spans="11:40" x14ac:dyDescent="0.2">
      <c r="K1141" s="1"/>
      <c r="L1141" s="1"/>
      <c r="S1141" s="1"/>
      <c r="Z1141" s="1"/>
      <c r="AG1141" s="1"/>
      <c r="AN1141" s="1"/>
    </row>
    <row r="1142" spans="11:40" x14ac:dyDescent="0.2">
      <c r="K1142" s="1"/>
      <c r="L1142" s="1"/>
      <c r="S1142" s="1"/>
      <c r="Z1142" s="1"/>
      <c r="AG1142" s="1"/>
      <c r="AN1142" s="1"/>
    </row>
    <row r="1143" spans="11:40" x14ac:dyDescent="0.2">
      <c r="K1143" s="1"/>
      <c r="L1143" s="1"/>
      <c r="S1143" s="1"/>
      <c r="Z1143" s="1"/>
      <c r="AG1143" s="1"/>
      <c r="AN1143" s="1"/>
    </row>
    <row r="1144" spans="11:40" x14ac:dyDescent="0.2">
      <c r="K1144" s="1"/>
      <c r="L1144" s="1"/>
      <c r="S1144" s="1"/>
      <c r="Z1144" s="1"/>
      <c r="AG1144" s="1"/>
      <c r="AN1144" s="1"/>
    </row>
    <row r="1145" spans="11:40" x14ac:dyDescent="0.2">
      <c r="K1145" s="1"/>
      <c r="L1145" s="1"/>
      <c r="S1145" s="1"/>
      <c r="Z1145" s="1"/>
      <c r="AG1145" s="1"/>
      <c r="AN1145" s="1"/>
    </row>
    <row r="1146" spans="11:40" x14ac:dyDescent="0.2">
      <c r="K1146" s="1"/>
      <c r="L1146" s="1"/>
      <c r="S1146" s="1"/>
      <c r="Z1146" s="1"/>
      <c r="AG1146" s="1"/>
      <c r="AN1146" s="1"/>
    </row>
    <row r="1147" spans="11:40" x14ac:dyDescent="0.2">
      <c r="K1147" s="1"/>
      <c r="L1147" s="1"/>
      <c r="S1147" s="1"/>
      <c r="Z1147" s="1"/>
      <c r="AG1147" s="1"/>
      <c r="AN1147" s="1"/>
    </row>
    <row r="1148" spans="11:40" x14ac:dyDescent="0.2">
      <c r="K1148" s="1"/>
      <c r="L1148" s="1"/>
      <c r="S1148" s="1"/>
      <c r="Z1148" s="1"/>
      <c r="AG1148" s="1"/>
      <c r="AN1148" s="1"/>
    </row>
    <row r="1149" spans="11:40" x14ac:dyDescent="0.2">
      <c r="K1149" s="1"/>
      <c r="L1149" s="1"/>
      <c r="S1149" s="1"/>
      <c r="Z1149" s="1"/>
      <c r="AG1149" s="1"/>
      <c r="AN1149" s="1"/>
    </row>
    <row r="1150" spans="11:40" x14ac:dyDescent="0.2">
      <c r="K1150" s="1"/>
      <c r="L1150" s="1"/>
      <c r="S1150" s="1"/>
      <c r="Z1150" s="1"/>
      <c r="AG1150" s="1"/>
      <c r="AN1150" s="1"/>
    </row>
    <row r="1151" spans="11:40" x14ac:dyDescent="0.2">
      <c r="K1151" s="1"/>
      <c r="L1151" s="1"/>
      <c r="S1151" s="1"/>
      <c r="Z1151" s="1"/>
      <c r="AG1151" s="1"/>
      <c r="AN1151" s="1"/>
    </row>
    <row r="1152" spans="11:40" x14ac:dyDescent="0.2">
      <c r="K1152" s="1"/>
      <c r="L1152" s="1"/>
      <c r="S1152" s="1"/>
      <c r="Z1152" s="1"/>
      <c r="AG1152" s="1"/>
      <c r="AN1152" s="1"/>
    </row>
    <row r="1153" spans="11:40" x14ac:dyDescent="0.2">
      <c r="K1153" s="1"/>
      <c r="L1153" s="1"/>
      <c r="S1153" s="1"/>
      <c r="Z1153" s="1"/>
      <c r="AG1153" s="1"/>
      <c r="AN1153" s="1"/>
    </row>
    <row r="1154" spans="11:40" x14ac:dyDescent="0.2">
      <c r="K1154" s="1"/>
      <c r="L1154" s="1"/>
      <c r="S1154" s="1"/>
      <c r="Z1154" s="1"/>
      <c r="AG1154" s="1"/>
      <c r="AN1154" s="1"/>
    </row>
    <row r="1155" spans="11:40" x14ac:dyDescent="0.2">
      <c r="K1155" s="1"/>
      <c r="L1155" s="1"/>
      <c r="S1155" s="1"/>
      <c r="Z1155" s="1"/>
      <c r="AG1155" s="1"/>
      <c r="AN1155" s="1"/>
    </row>
    <row r="1156" spans="11:40" x14ac:dyDescent="0.2">
      <c r="K1156" s="1"/>
      <c r="L1156" s="1"/>
      <c r="S1156" s="1"/>
      <c r="Z1156" s="1"/>
      <c r="AG1156" s="1"/>
      <c r="AN1156" s="1"/>
    </row>
    <row r="1157" spans="11:40" x14ac:dyDescent="0.2">
      <c r="K1157" s="1"/>
      <c r="L1157" s="1"/>
      <c r="S1157" s="1"/>
      <c r="Z1157" s="1"/>
      <c r="AG1157" s="1"/>
      <c r="AN1157" s="1"/>
    </row>
    <row r="1158" spans="11:40" x14ac:dyDescent="0.2">
      <c r="K1158" s="1"/>
      <c r="L1158" s="1"/>
      <c r="S1158" s="1"/>
      <c r="Z1158" s="1"/>
      <c r="AG1158" s="1"/>
      <c r="AN1158" s="1"/>
    </row>
    <row r="1159" spans="11:40" x14ac:dyDescent="0.2">
      <c r="K1159" s="1"/>
      <c r="L1159" s="1"/>
      <c r="S1159" s="1"/>
      <c r="Z1159" s="1"/>
      <c r="AG1159" s="1"/>
      <c r="AN1159" s="1"/>
    </row>
    <row r="1160" spans="11:40" x14ac:dyDescent="0.2">
      <c r="K1160" s="1"/>
      <c r="L1160" s="1"/>
      <c r="S1160" s="1"/>
      <c r="Z1160" s="1"/>
      <c r="AG1160" s="1"/>
      <c r="AN1160" s="1"/>
    </row>
    <row r="1161" spans="11:40" x14ac:dyDescent="0.2">
      <c r="K1161" s="1"/>
      <c r="L1161" s="1"/>
      <c r="S1161" s="1"/>
      <c r="Z1161" s="1"/>
      <c r="AG1161" s="1"/>
      <c r="AN1161" s="1"/>
    </row>
    <row r="1162" spans="11:40" x14ac:dyDescent="0.2">
      <c r="K1162" s="1"/>
      <c r="L1162" s="1"/>
      <c r="S1162" s="1"/>
      <c r="Z1162" s="1"/>
      <c r="AG1162" s="1"/>
      <c r="AN1162" s="1"/>
    </row>
    <row r="1163" spans="11:40" x14ac:dyDescent="0.2">
      <c r="K1163" s="1"/>
      <c r="L1163" s="1"/>
      <c r="S1163" s="1"/>
      <c r="Z1163" s="1"/>
      <c r="AG1163" s="1"/>
      <c r="AN1163" s="1"/>
    </row>
    <row r="1164" spans="11:40" x14ac:dyDescent="0.2">
      <c r="K1164" s="1"/>
      <c r="L1164" s="1"/>
      <c r="S1164" s="1"/>
      <c r="Z1164" s="1"/>
      <c r="AG1164" s="1"/>
      <c r="AN1164" s="1"/>
    </row>
    <row r="1165" spans="11:40" x14ac:dyDescent="0.2">
      <c r="K1165" s="1"/>
      <c r="L1165" s="1"/>
      <c r="S1165" s="1"/>
      <c r="Z1165" s="1"/>
      <c r="AG1165" s="1"/>
      <c r="AN1165" s="1"/>
    </row>
    <row r="1166" spans="11:40" x14ac:dyDescent="0.2">
      <c r="K1166" s="1"/>
      <c r="L1166" s="1"/>
      <c r="S1166" s="1"/>
      <c r="Z1166" s="1"/>
      <c r="AG1166" s="1"/>
      <c r="AN1166" s="1"/>
    </row>
    <row r="1167" spans="11:40" x14ac:dyDescent="0.2">
      <c r="K1167" s="1"/>
      <c r="L1167" s="1"/>
      <c r="S1167" s="1"/>
      <c r="Z1167" s="1"/>
      <c r="AG1167" s="1"/>
      <c r="AN1167" s="1"/>
    </row>
    <row r="1168" spans="11:40" x14ac:dyDescent="0.2">
      <c r="K1168" s="1"/>
      <c r="L1168" s="1"/>
      <c r="S1168" s="1"/>
      <c r="Z1168" s="1"/>
      <c r="AG1168" s="1"/>
      <c r="AN1168" s="1"/>
    </row>
    <row r="1169" spans="11:40" x14ac:dyDescent="0.2">
      <c r="K1169" s="1"/>
      <c r="L1169" s="1"/>
      <c r="S1169" s="1"/>
      <c r="Z1169" s="1"/>
      <c r="AG1169" s="1"/>
      <c r="AN1169" s="1"/>
    </row>
    <row r="1170" spans="11:40" x14ac:dyDescent="0.2">
      <c r="K1170" s="1"/>
      <c r="L1170" s="1"/>
      <c r="S1170" s="1"/>
      <c r="Z1170" s="1"/>
      <c r="AG1170" s="1"/>
      <c r="AN1170" s="1"/>
    </row>
    <row r="1171" spans="11:40" x14ac:dyDescent="0.2">
      <c r="K1171" s="1"/>
      <c r="L1171" s="1"/>
      <c r="S1171" s="1"/>
      <c r="Z1171" s="1"/>
      <c r="AG1171" s="1"/>
      <c r="AN1171" s="1"/>
    </row>
    <row r="1172" spans="11:40" x14ac:dyDescent="0.2">
      <c r="K1172" s="1"/>
      <c r="L1172" s="1"/>
      <c r="S1172" s="1"/>
      <c r="Z1172" s="1"/>
      <c r="AG1172" s="1"/>
      <c r="AN1172" s="1"/>
    </row>
    <row r="1173" spans="11:40" x14ac:dyDescent="0.2">
      <c r="K1173" s="1"/>
      <c r="L1173" s="1"/>
      <c r="S1173" s="1"/>
      <c r="Z1173" s="1"/>
      <c r="AG1173" s="1"/>
      <c r="AN1173" s="1"/>
    </row>
    <row r="1174" spans="11:40" x14ac:dyDescent="0.2">
      <c r="K1174" s="1"/>
      <c r="L1174" s="1"/>
      <c r="S1174" s="1"/>
      <c r="Z1174" s="1"/>
      <c r="AG1174" s="1"/>
      <c r="AN1174" s="1"/>
    </row>
    <row r="1175" spans="11:40" x14ac:dyDescent="0.2">
      <c r="K1175" s="1"/>
      <c r="L1175" s="1"/>
      <c r="S1175" s="1"/>
      <c r="Z1175" s="1"/>
      <c r="AG1175" s="1"/>
      <c r="AN1175" s="1"/>
    </row>
    <row r="1176" spans="11:40" x14ac:dyDescent="0.2">
      <c r="K1176" s="1"/>
      <c r="L1176" s="1"/>
      <c r="S1176" s="1"/>
      <c r="Z1176" s="1"/>
      <c r="AG1176" s="1"/>
      <c r="AN1176" s="1"/>
    </row>
    <row r="1177" spans="11:40" x14ac:dyDescent="0.2">
      <c r="K1177" s="1"/>
      <c r="L1177" s="1"/>
      <c r="S1177" s="1"/>
      <c r="Z1177" s="1"/>
      <c r="AG1177" s="1"/>
      <c r="AN1177" s="1"/>
    </row>
    <row r="1178" spans="11:40" x14ac:dyDescent="0.2">
      <c r="K1178" s="1"/>
      <c r="L1178" s="1"/>
      <c r="S1178" s="1"/>
      <c r="Z1178" s="1"/>
      <c r="AG1178" s="1"/>
      <c r="AN1178" s="1"/>
    </row>
    <row r="1179" spans="11:40" x14ac:dyDescent="0.2">
      <c r="K1179" s="1"/>
      <c r="L1179" s="1"/>
      <c r="S1179" s="1"/>
      <c r="Z1179" s="1"/>
      <c r="AG1179" s="1"/>
      <c r="AN1179" s="1"/>
    </row>
    <row r="1180" spans="11:40" x14ac:dyDescent="0.2">
      <c r="K1180" s="1"/>
      <c r="L1180" s="1"/>
      <c r="S1180" s="1"/>
      <c r="Z1180" s="1"/>
      <c r="AG1180" s="1"/>
      <c r="AN1180" s="1"/>
    </row>
    <row r="1181" spans="11:40" x14ac:dyDescent="0.2">
      <c r="K1181" s="1"/>
      <c r="L1181" s="1"/>
      <c r="S1181" s="1"/>
      <c r="Z1181" s="1"/>
      <c r="AG1181" s="1"/>
      <c r="AN1181" s="1"/>
    </row>
    <row r="1182" spans="11:40" x14ac:dyDescent="0.2">
      <c r="K1182" s="1"/>
      <c r="L1182" s="1"/>
      <c r="S1182" s="1"/>
      <c r="Z1182" s="1"/>
      <c r="AG1182" s="1"/>
      <c r="AN1182" s="1"/>
    </row>
    <row r="1183" spans="11:40" x14ac:dyDescent="0.2">
      <c r="K1183" s="1"/>
      <c r="L1183" s="1"/>
      <c r="S1183" s="1"/>
      <c r="Z1183" s="1"/>
      <c r="AG1183" s="1"/>
      <c r="AN1183" s="1"/>
    </row>
    <row r="1184" spans="11:40" x14ac:dyDescent="0.2">
      <c r="K1184" s="1"/>
      <c r="L1184" s="1"/>
      <c r="S1184" s="1"/>
      <c r="Z1184" s="1"/>
      <c r="AG1184" s="1"/>
      <c r="AN1184" s="1"/>
    </row>
    <row r="1185" spans="11:40" x14ac:dyDescent="0.2">
      <c r="K1185" s="1"/>
      <c r="L1185" s="1"/>
      <c r="S1185" s="1"/>
      <c r="Z1185" s="1"/>
      <c r="AG1185" s="1"/>
      <c r="AN1185" s="1"/>
    </row>
    <row r="1186" spans="11:40" x14ac:dyDescent="0.2">
      <c r="K1186" s="1"/>
      <c r="L1186" s="1"/>
      <c r="S1186" s="1"/>
      <c r="Z1186" s="1"/>
      <c r="AG1186" s="1"/>
      <c r="AN1186" s="1"/>
    </row>
    <row r="1187" spans="11:40" x14ac:dyDescent="0.2">
      <c r="K1187" s="1"/>
      <c r="L1187" s="1"/>
      <c r="S1187" s="1"/>
      <c r="Z1187" s="1"/>
      <c r="AG1187" s="1"/>
      <c r="AN1187" s="1"/>
    </row>
    <row r="1188" spans="11:40" x14ac:dyDescent="0.2">
      <c r="K1188" s="1"/>
      <c r="L1188" s="1"/>
      <c r="S1188" s="1"/>
      <c r="Z1188" s="1"/>
      <c r="AG1188" s="1"/>
      <c r="AN1188" s="1"/>
    </row>
    <row r="1189" spans="11:40" x14ac:dyDescent="0.2">
      <c r="K1189" s="1"/>
      <c r="L1189" s="1"/>
      <c r="S1189" s="1"/>
      <c r="Z1189" s="1"/>
      <c r="AG1189" s="1"/>
      <c r="AN1189" s="1"/>
    </row>
    <row r="1190" spans="11:40" x14ac:dyDescent="0.2">
      <c r="K1190" s="1"/>
      <c r="L1190" s="1"/>
      <c r="S1190" s="1"/>
      <c r="Z1190" s="1"/>
      <c r="AG1190" s="1"/>
      <c r="AN1190" s="1"/>
    </row>
    <row r="1191" spans="11:40" x14ac:dyDescent="0.2">
      <c r="K1191" s="1"/>
      <c r="L1191" s="1"/>
      <c r="S1191" s="1"/>
      <c r="Z1191" s="1"/>
      <c r="AG1191" s="1"/>
      <c r="AN1191" s="1"/>
    </row>
    <row r="1192" spans="11:40" x14ac:dyDescent="0.2">
      <c r="K1192" s="1"/>
      <c r="L1192" s="1"/>
      <c r="S1192" s="1"/>
      <c r="Z1192" s="1"/>
      <c r="AG1192" s="1"/>
      <c r="AN1192" s="1"/>
    </row>
    <row r="1193" spans="11:40" x14ac:dyDescent="0.2">
      <c r="K1193" s="1"/>
      <c r="L1193" s="1"/>
      <c r="S1193" s="1"/>
      <c r="Z1193" s="1"/>
      <c r="AG1193" s="1"/>
      <c r="AN1193" s="1"/>
    </row>
    <row r="1194" spans="11:40" x14ac:dyDescent="0.2">
      <c r="K1194" s="1"/>
      <c r="L1194" s="1"/>
      <c r="S1194" s="1"/>
      <c r="Z1194" s="1"/>
      <c r="AG1194" s="1"/>
      <c r="AN1194" s="1"/>
    </row>
    <row r="1195" spans="11:40" x14ac:dyDescent="0.2">
      <c r="K1195" s="1"/>
      <c r="L1195" s="1"/>
      <c r="S1195" s="1"/>
      <c r="Z1195" s="1"/>
      <c r="AG1195" s="1"/>
      <c r="AN1195" s="1"/>
    </row>
    <row r="1196" spans="11:40" x14ac:dyDescent="0.2">
      <c r="K1196" s="1"/>
      <c r="L1196" s="1"/>
      <c r="S1196" s="1"/>
      <c r="Z1196" s="1"/>
      <c r="AG1196" s="1"/>
      <c r="AN1196" s="1"/>
    </row>
    <row r="1197" spans="11:40" x14ac:dyDescent="0.2">
      <c r="K1197" s="1"/>
      <c r="L1197" s="1"/>
      <c r="S1197" s="1"/>
      <c r="Z1197" s="1"/>
      <c r="AG1197" s="1"/>
      <c r="AN1197" s="1"/>
    </row>
    <row r="1198" spans="11:40" x14ac:dyDescent="0.2">
      <c r="K1198" s="1"/>
      <c r="L1198" s="1"/>
      <c r="S1198" s="1"/>
      <c r="Z1198" s="1"/>
      <c r="AG1198" s="1"/>
      <c r="AN1198" s="1"/>
    </row>
    <row r="1199" spans="11:40" x14ac:dyDescent="0.2">
      <c r="K1199" s="1"/>
      <c r="L1199" s="1"/>
      <c r="S1199" s="1"/>
      <c r="Z1199" s="1"/>
      <c r="AG1199" s="1"/>
      <c r="AN1199" s="1"/>
    </row>
    <row r="1200" spans="11:40" x14ac:dyDescent="0.2">
      <c r="K1200" s="1"/>
      <c r="L1200" s="1"/>
      <c r="S1200" s="1"/>
      <c r="Z1200" s="1"/>
      <c r="AG1200" s="1"/>
      <c r="AN1200" s="1"/>
    </row>
    <row r="1201" spans="11:40" x14ac:dyDescent="0.2">
      <c r="K1201" s="1"/>
      <c r="L1201" s="1"/>
      <c r="S1201" s="1"/>
      <c r="Z1201" s="1"/>
      <c r="AG1201" s="1"/>
      <c r="AN1201" s="1"/>
    </row>
    <row r="1202" spans="11:40" x14ac:dyDescent="0.2">
      <c r="K1202" s="1"/>
      <c r="L1202" s="1"/>
      <c r="S1202" s="1"/>
      <c r="Z1202" s="1"/>
      <c r="AG1202" s="1"/>
      <c r="AN1202" s="1"/>
    </row>
    <row r="1203" spans="11:40" x14ac:dyDescent="0.2">
      <c r="K1203" s="1"/>
      <c r="L1203" s="1"/>
      <c r="S1203" s="1"/>
      <c r="Z1203" s="1"/>
      <c r="AG1203" s="1"/>
      <c r="AN1203" s="1"/>
    </row>
    <row r="1204" spans="11:40" x14ac:dyDescent="0.2">
      <c r="K1204" s="1"/>
      <c r="L1204" s="1"/>
      <c r="S1204" s="1"/>
      <c r="Z1204" s="1"/>
      <c r="AG1204" s="1"/>
      <c r="AN1204" s="1"/>
    </row>
    <row r="1205" spans="11:40" x14ac:dyDescent="0.2">
      <c r="K1205" s="1"/>
      <c r="L1205" s="1"/>
      <c r="S1205" s="1"/>
      <c r="Z1205" s="1"/>
      <c r="AG1205" s="1"/>
      <c r="AN1205" s="1"/>
    </row>
    <row r="1206" spans="11:40" x14ac:dyDescent="0.2">
      <c r="K1206" s="1"/>
      <c r="L1206" s="1"/>
      <c r="S1206" s="1"/>
      <c r="Z1206" s="1"/>
      <c r="AG1206" s="1"/>
      <c r="AN1206" s="1"/>
    </row>
    <row r="1207" spans="11:40" x14ac:dyDescent="0.2">
      <c r="K1207" s="1"/>
      <c r="L1207" s="1"/>
      <c r="S1207" s="1"/>
      <c r="Z1207" s="1"/>
      <c r="AG1207" s="1"/>
      <c r="AN1207" s="1"/>
    </row>
    <row r="1208" spans="11:40" x14ac:dyDescent="0.2">
      <c r="K1208" s="1"/>
      <c r="L1208" s="1"/>
      <c r="S1208" s="1"/>
      <c r="Z1208" s="1"/>
      <c r="AG1208" s="1"/>
      <c r="AN1208" s="1"/>
    </row>
    <row r="1209" spans="11:40" x14ac:dyDescent="0.2">
      <c r="K1209" s="1"/>
      <c r="L1209" s="1"/>
      <c r="S1209" s="1"/>
      <c r="Z1209" s="1"/>
      <c r="AG1209" s="1"/>
      <c r="AN1209" s="1"/>
    </row>
    <row r="1210" spans="11:40" x14ac:dyDescent="0.2">
      <c r="K1210" s="1"/>
      <c r="L1210" s="1"/>
      <c r="S1210" s="1"/>
      <c r="Z1210" s="1"/>
      <c r="AG1210" s="1"/>
      <c r="AN1210" s="1"/>
    </row>
    <row r="1211" spans="11:40" x14ac:dyDescent="0.2">
      <c r="K1211" s="1"/>
      <c r="L1211" s="1"/>
      <c r="S1211" s="1"/>
      <c r="Z1211" s="1"/>
      <c r="AG1211" s="1"/>
      <c r="AN1211" s="1"/>
    </row>
    <row r="1212" spans="11:40" x14ac:dyDescent="0.2">
      <c r="K1212" s="1"/>
      <c r="L1212" s="1"/>
      <c r="S1212" s="1"/>
      <c r="Z1212" s="1"/>
      <c r="AG1212" s="1"/>
      <c r="AN1212" s="1"/>
    </row>
    <row r="1213" spans="11:40" x14ac:dyDescent="0.2">
      <c r="K1213" s="1"/>
      <c r="L1213" s="1"/>
      <c r="S1213" s="1"/>
      <c r="Z1213" s="1"/>
      <c r="AG1213" s="1"/>
      <c r="AN1213" s="1"/>
    </row>
    <row r="1214" spans="11:40" x14ac:dyDescent="0.2">
      <c r="K1214" s="1"/>
      <c r="L1214" s="1"/>
      <c r="S1214" s="1"/>
      <c r="Z1214" s="1"/>
      <c r="AG1214" s="1"/>
      <c r="AN1214" s="1"/>
    </row>
    <row r="1215" spans="11:40" x14ac:dyDescent="0.2">
      <c r="K1215" s="1"/>
      <c r="L1215" s="1"/>
      <c r="S1215" s="1"/>
      <c r="Z1215" s="1"/>
      <c r="AG1215" s="1"/>
      <c r="AN1215" s="1"/>
    </row>
    <row r="1216" spans="11:40" x14ac:dyDescent="0.2">
      <c r="K1216" s="1"/>
      <c r="L1216" s="1"/>
      <c r="S1216" s="1"/>
      <c r="Z1216" s="1"/>
      <c r="AG1216" s="1"/>
      <c r="AN1216" s="1"/>
    </row>
    <row r="1217" spans="11:40" x14ac:dyDescent="0.2">
      <c r="K1217" s="1"/>
      <c r="L1217" s="1"/>
      <c r="S1217" s="1"/>
      <c r="Z1217" s="1"/>
      <c r="AG1217" s="1"/>
      <c r="AN1217" s="1"/>
    </row>
    <row r="1218" spans="11:40" x14ac:dyDescent="0.2">
      <c r="K1218" s="1"/>
      <c r="L1218" s="1"/>
      <c r="S1218" s="1"/>
      <c r="Z1218" s="1"/>
      <c r="AG1218" s="1"/>
      <c r="AN1218" s="1"/>
    </row>
    <row r="1219" spans="11:40" x14ac:dyDescent="0.2">
      <c r="K1219" s="1"/>
      <c r="L1219" s="1"/>
      <c r="S1219" s="1"/>
      <c r="Z1219" s="1"/>
      <c r="AG1219" s="1"/>
      <c r="AN1219" s="1"/>
    </row>
    <row r="1220" spans="11:40" x14ac:dyDescent="0.2">
      <c r="K1220" s="1"/>
      <c r="L1220" s="1"/>
      <c r="S1220" s="1"/>
      <c r="Z1220" s="1"/>
      <c r="AG1220" s="1"/>
      <c r="AN1220" s="1"/>
    </row>
    <row r="1221" spans="11:40" x14ac:dyDescent="0.2">
      <c r="K1221" s="1"/>
      <c r="L1221" s="1"/>
      <c r="S1221" s="1"/>
      <c r="Z1221" s="1"/>
      <c r="AG1221" s="1"/>
      <c r="AN1221" s="1"/>
    </row>
    <row r="1222" spans="11:40" x14ac:dyDescent="0.2">
      <c r="K1222" s="1"/>
      <c r="L1222" s="1"/>
      <c r="S1222" s="1"/>
      <c r="Z1222" s="1"/>
      <c r="AG1222" s="1"/>
      <c r="AN1222" s="1"/>
    </row>
    <row r="1223" spans="11:40" x14ac:dyDescent="0.2">
      <c r="K1223" s="1"/>
      <c r="L1223" s="1"/>
      <c r="S1223" s="1"/>
      <c r="Z1223" s="1"/>
      <c r="AG1223" s="1"/>
      <c r="AN1223" s="1"/>
    </row>
    <row r="1224" spans="11:40" x14ac:dyDescent="0.2">
      <c r="K1224" s="1"/>
      <c r="L1224" s="1"/>
      <c r="S1224" s="1"/>
      <c r="Z1224" s="1"/>
      <c r="AG1224" s="1"/>
      <c r="AN1224" s="1"/>
    </row>
    <row r="1225" spans="11:40" x14ac:dyDescent="0.2">
      <c r="K1225" s="1"/>
      <c r="L1225" s="1"/>
      <c r="S1225" s="1"/>
      <c r="Z1225" s="1"/>
      <c r="AG1225" s="1"/>
      <c r="AN1225" s="1"/>
    </row>
    <row r="1226" spans="11:40" x14ac:dyDescent="0.2">
      <c r="K1226" s="1"/>
      <c r="L1226" s="1"/>
      <c r="S1226" s="1"/>
      <c r="Z1226" s="1"/>
      <c r="AG1226" s="1"/>
      <c r="AN1226" s="1"/>
    </row>
    <row r="1227" spans="11:40" x14ac:dyDescent="0.2">
      <c r="K1227" s="1"/>
      <c r="L1227" s="1"/>
      <c r="S1227" s="1"/>
      <c r="Z1227" s="1"/>
      <c r="AG1227" s="1"/>
      <c r="AN1227" s="1"/>
    </row>
    <row r="1228" spans="11:40" x14ac:dyDescent="0.2">
      <c r="K1228" s="1"/>
      <c r="L1228" s="1"/>
      <c r="S1228" s="1"/>
      <c r="Z1228" s="1"/>
      <c r="AG1228" s="1"/>
      <c r="AN1228" s="1"/>
    </row>
    <row r="1229" spans="11:40" x14ac:dyDescent="0.2">
      <c r="K1229" s="1"/>
      <c r="L1229" s="1"/>
      <c r="S1229" s="1"/>
      <c r="Z1229" s="1"/>
      <c r="AG1229" s="1"/>
      <c r="AN1229" s="1"/>
    </row>
    <row r="1230" spans="11:40" x14ac:dyDescent="0.2">
      <c r="K1230" s="1"/>
      <c r="L1230" s="1"/>
      <c r="S1230" s="1"/>
      <c r="Z1230" s="1"/>
      <c r="AG1230" s="1"/>
      <c r="AN1230" s="1"/>
    </row>
    <row r="1231" spans="11:40" x14ac:dyDescent="0.2">
      <c r="K1231" s="1"/>
      <c r="L1231" s="1"/>
      <c r="S1231" s="1"/>
      <c r="Z1231" s="1"/>
      <c r="AG1231" s="1"/>
      <c r="AN1231" s="1"/>
    </row>
    <row r="1232" spans="11:40" x14ac:dyDescent="0.2">
      <c r="K1232" s="1"/>
      <c r="L1232" s="1"/>
      <c r="S1232" s="1"/>
      <c r="Z1232" s="1"/>
      <c r="AG1232" s="1"/>
      <c r="AN1232" s="1"/>
    </row>
    <row r="1233" spans="11:40" x14ac:dyDescent="0.2">
      <c r="K1233" s="1"/>
      <c r="L1233" s="1"/>
      <c r="S1233" s="1"/>
      <c r="Z1233" s="1"/>
      <c r="AG1233" s="1"/>
      <c r="AN1233" s="1"/>
    </row>
    <row r="1234" spans="11:40" x14ac:dyDescent="0.2">
      <c r="K1234" s="1"/>
      <c r="L1234" s="1"/>
      <c r="S1234" s="1"/>
      <c r="Z1234" s="1"/>
      <c r="AG1234" s="1"/>
      <c r="AN1234" s="1"/>
    </row>
    <row r="1235" spans="11:40" x14ac:dyDescent="0.2">
      <c r="K1235" s="1"/>
      <c r="L1235" s="1"/>
      <c r="S1235" s="1"/>
      <c r="Z1235" s="1"/>
      <c r="AG1235" s="1"/>
      <c r="AN1235" s="1"/>
    </row>
    <row r="1236" spans="11:40" x14ac:dyDescent="0.2">
      <c r="K1236" s="1"/>
      <c r="L1236" s="1"/>
      <c r="S1236" s="1"/>
      <c r="Z1236" s="1"/>
      <c r="AG1236" s="1"/>
      <c r="AN1236" s="1"/>
    </row>
    <row r="1237" spans="11:40" x14ac:dyDescent="0.2">
      <c r="K1237" s="1"/>
      <c r="L1237" s="1"/>
      <c r="S1237" s="1"/>
      <c r="Z1237" s="1"/>
      <c r="AG1237" s="1"/>
      <c r="AN1237" s="1"/>
    </row>
    <row r="1238" spans="11:40" x14ac:dyDescent="0.2">
      <c r="K1238" s="1"/>
      <c r="L1238" s="1"/>
      <c r="S1238" s="1"/>
      <c r="Z1238" s="1"/>
      <c r="AG1238" s="1"/>
      <c r="AN1238" s="1"/>
    </row>
    <row r="1239" spans="11:40" x14ac:dyDescent="0.2">
      <c r="K1239" s="1"/>
      <c r="L1239" s="1"/>
      <c r="S1239" s="1"/>
      <c r="Z1239" s="1"/>
      <c r="AG1239" s="1"/>
      <c r="AN1239" s="1"/>
    </row>
    <row r="1240" spans="11:40" x14ac:dyDescent="0.2">
      <c r="K1240" s="1"/>
      <c r="L1240" s="1"/>
      <c r="S1240" s="1"/>
      <c r="Z1240" s="1"/>
      <c r="AG1240" s="1"/>
      <c r="AN1240" s="1"/>
    </row>
    <row r="1241" spans="11:40" x14ac:dyDescent="0.2">
      <c r="K1241" s="1"/>
      <c r="L1241" s="1"/>
      <c r="S1241" s="1"/>
      <c r="Z1241" s="1"/>
      <c r="AG1241" s="1"/>
      <c r="AN1241" s="1"/>
    </row>
    <row r="1242" spans="11:40" x14ac:dyDescent="0.2">
      <c r="K1242" s="1"/>
      <c r="L1242" s="1"/>
      <c r="S1242" s="1"/>
      <c r="Z1242" s="1"/>
      <c r="AG1242" s="1"/>
      <c r="AN1242" s="1"/>
    </row>
    <row r="1243" spans="11:40" x14ac:dyDescent="0.2">
      <c r="K1243" s="1"/>
      <c r="L1243" s="1"/>
      <c r="S1243" s="1"/>
      <c r="Z1243" s="1"/>
      <c r="AG1243" s="1"/>
      <c r="AN1243" s="1"/>
    </row>
    <row r="1244" spans="11:40" x14ac:dyDescent="0.2">
      <c r="K1244" s="1"/>
      <c r="L1244" s="1"/>
      <c r="S1244" s="1"/>
      <c r="Z1244" s="1"/>
      <c r="AG1244" s="1"/>
      <c r="AN1244" s="1"/>
    </row>
    <row r="1245" spans="11:40" x14ac:dyDescent="0.2">
      <c r="K1245" s="1"/>
      <c r="L1245" s="1"/>
      <c r="S1245" s="1"/>
      <c r="Z1245" s="1"/>
      <c r="AG1245" s="1"/>
      <c r="AN1245" s="1"/>
    </row>
    <row r="1246" spans="11:40" x14ac:dyDescent="0.2">
      <c r="K1246" s="1"/>
      <c r="L1246" s="1"/>
      <c r="S1246" s="1"/>
      <c r="Z1246" s="1"/>
      <c r="AG1246" s="1"/>
      <c r="AN1246" s="1"/>
    </row>
    <row r="1247" spans="11:40" x14ac:dyDescent="0.2">
      <c r="K1247" s="1"/>
      <c r="L1247" s="1"/>
      <c r="S1247" s="1"/>
      <c r="Z1247" s="1"/>
      <c r="AG1247" s="1"/>
      <c r="AN1247" s="1"/>
    </row>
    <row r="1248" spans="11:40" x14ac:dyDescent="0.2">
      <c r="K1248" s="1"/>
      <c r="L1248" s="1"/>
      <c r="S1248" s="1"/>
      <c r="Z1248" s="1"/>
      <c r="AG1248" s="1"/>
      <c r="AN1248" s="1"/>
    </row>
    <row r="1249" spans="11:40" x14ac:dyDescent="0.2">
      <c r="K1249" s="1"/>
      <c r="L1249" s="1"/>
      <c r="S1249" s="1"/>
      <c r="Z1249" s="1"/>
      <c r="AG1249" s="1"/>
      <c r="AN1249" s="1"/>
    </row>
    <row r="1250" spans="11:40" x14ac:dyDescent="0.2">
      <c r="K1250" s="1"/>
      <c r="L1250" s="1"/>
      <c r="S1250" s="1"/>
      <c r="Z1250" s="1"/>
      <c r="AG1250" s="1"/>
      <c r="AN1250" s="1"/>
    </row>
    <row r="1251" spans="11:40" x14ac:dyDescent="0.2">
      <c r="K1251" s="1"/>
      <c r="L1251" s="1"/>
      <c r="S1251" s="1"/>
      <c r="Z1251" s="1"/>
      <c r="AG1251" s="1"/>
      <c r="AN1251" s="1"/>
    </row>
    <row r="1252" spans="11:40" x14ac:dyDescent="0.2">
      <c r="K1252" s="1"/>
      <c r="L1252" s="1"/>
      <c r="S1252" s="1"/>
      <c r="Z1252" s="1"/>
      <c r="AG1252" s="1"/>
      <c r="AN1252" s="1"/>
    </row>
    <row r="1253" spans="11:40" x14ac:dyDescent="0.2">
      <c r="K1253" s="1"/>
      <c r="L1253" s="1"/>
      <c r="S1253" s="1"/>
      <c r="Z1253" s="1"/>
      <c r="AG1253" s="1"/>
      <c r="AN1253" s="1"/>
    </row>
    <row r="1254" spans="11:40" x14ac:dyDescent="0.2">
      <c r="K1254" s="1"/>
      <c r="L1254" s="1"/>
      <c r="S1254" s="1"/>
      <c r="Z1254" s="1"/>
      <c r="AG1254" s="1"/>
      <c r="AN1254" s="1"/>
    </row>
    <row r="1255" spans="11:40" x14ac:dyDescent="0.2">
      <c r="K1255" s="1"/>
      <c r="L1255" s="1"/>
      <c r="S1255" s="1"/>
      <c r="Z1255" s="1"/>
      <c r="AG1255" s="1"/>
      <c r="AN1255" s="1"/>
    </row>
    <row r="1256" spans="11:40" x14ac:dyDescent="0.2">
      <c r="K1256" s="1"/>
      <c r="L1256" s="1"/>
      <c r="S1256" s="1"/>
      <c r="Z1256" s="1"/>
      <c r="AG1256" s="1"/>
      <c r="AN1256" s="1"/>
    </row>
    <row r="1257" spans="11:40" x14ac:dyDescent="0.2">
      <c r="K1257" s="1"/>
      <c r="L1257" s="1"/>
      <c r="S1257" s="1"/>
      <c r="Z1257" s="1"/>
      <c r="AG1257" s="1"/>
      <c r="AN1257" s="1"/>
    </row>
    <row r="1258" spans="11:40" x14ac:dyDescent="0.2">
      <c r="K1258" s="1"/>
      <c r="L1258" s="1"/>
      <c r="S1258" s="1"/>
      <c r="Z1258" s="1"/>
      <c r="AG1258" s="1"/>
      <c r="AN1258" s="1"/>
    </row>
    <row r="1259" spans="11:40" x14ac:dyDescent="0.2">
      <c r="K1259" s="1"/>
      <c r="L1259" s="1"/>
      <c r="S1259" s="1"/>
      <c r="Z1259" s="1"/>
      <c r="AG1259" s="1"/>
      <c r="AN1259" s="1"/>
    </row>
    <row r="1260" spans="11:40" x14ac:dyDescent="0.2">
      <c r="K1260" s="1"/>
      <c r="L1260" s="1"/>
      <c r="S1260" s="1"/>
      <c r="Z1260" s="1"/>
      <c r="AG1260" s="1"/>
      <c r="AN1260" s="1"/>
    </row>
    <row r="1261" spans="11:40" x14ac:dyDescent="0.2">
      <c r="K1261" s="1"/>
      <c r="L1261" s="1"/>
      <c r="S1261" s="1"/>
      <c r="Z1261" s="1"/>
      <c r="AG1261" s="1"/>
      <c r="AN1261" s="1"/>
    </row>
    <row r="1262" spans="11:40" x14ac:dyDescent="0.2">
      <c r="K1262" s="1"/>
      <c r="L1262" s="1"/>
      <c r="S1262" s="1"/>
      <c r="Z1262" s="1"/>
      <c r="AG1262" s="1"/>
      <c r="AN1262" s="1"/>
    </row>
    <row r="1263" spans="11:40" x14ac:dyDescent="0.2">
      <c r="K1263" s="1"/>
      <c r="L1263" s="1"/>
      <c r="S1263" s="1"/>
      <c r="Z1263" s="1"/>
      <c r="AG1263" s="1"/>
      <c r="AN1263" s="1"/>
    </row>
    <row r="1264" spans="11:40" x14ac:dyDescent="0.2">
      <c r="K1264" s="1"/>
      <c r="L1264" s="1"/>
      <c r="S1264" s="1"/>
      <c r="Z1264" s="1"/>
      <c r="AG1264" s="1"/>
      <c r="AN1264" s="1"/>
    </row>
    <row r="1265" spans="11:40" x14ac:dyDescent="0.2">
      <c r="K1265" s="1"/>
      <c r="L1265" s="1"/>
      <c r="S1265" s="1"/>
      <c r="Z1265" s="1"/>
      <c r="AG1265" s="1"/>
      <c r="AN1265" s="1"/>
    </row>
    <row r="1266" spans="11:40" x14ac:dyDescent="0.2">
      <c r="K1266" s="1"/>
      <c r="L1266" s="1"/>
      <c r="S1266" s="1"/>
      <c r="Z1266" s="1"/>
      <c r="AG1266" s="1"/>
      <c r="AN1266" s="1"/>
    </row>
    <row r="1267" spans="11:40" x14ac:dyDescent="0.2">
      <c r="K1267" s="1"/>
      <c r="L1267" s="1"/>
      <c r="S1267" s="1"/>
      <c r="Z1267" s="1"/>
      <c r="AG1267" s="1"/>
      <c r="AN1267" s="1"/>
    </row>
    <row r="1268" spans="11:40" x14ac:dyDescent="0.2">
      <c r="K1268" s="1"/>
      <c r="L1268" s="1"/>
      <c r="S1268" s="1"/>
      <c r="Z1268" s="1"/>
      <c r="AG1268" s="1"/>
      <c r="AN1268" s="1"/>
    </row>
    <row r="1269" spans="11:40" x14ac:dyDescent="0.2">
      <c r="K1269" s="1"/>
      <c r="L1269" s="1"/>
      <c r="S1269" s="1"/>
      <c r="Z1269" s="1"/>
      <c r="AG1269" s="1"/>
      <c r="AN1269" s="1"/>
    </row>
    <row r="1270" spans="11:40" x14ac:dyDescent="0.2">
      <c r="K1270" s="1"/>
      <c r="L1270" s="1"/>
      <c r="S1270" s="1"/>
      <c r="Z1270" s="1"/>
      <c r="AG1270" s="1"/>
      <c r="AN1270" s="1"/>
    </row>
    <row r="1271" spans="11:40" x14ac:dyDescent="0.2">
      <c r="K1271" s="1"/>
      <c r="L1271" s="1"/>
      <c r="S1271" s="1"/>
      <c r="Z1271" s="1"/>
      <c r="AG1271" s="1"/>
      <c r="AN1271" s="1"/>
    </row>
    <row r="1272" spans="11:40" x14ac:dyDescent="0.2">
      <c r="K1272" s="1"/>
      <c r="L1272" s="1"/>
      <c r="S1272" s="1"/>
      <c r="Z1272" s="1"/>
      <c r="AG1272" s="1"/>
      <c r="AN1272" s="1"/>
    </row>
    <row r="1273" spans="11:40" x14ac:dyDescent="0.2">
      <c r="K1273" s="1"/>
      <c r="L1273" s="1"/>
      <c r="S1273" s="1"/>
      <c r="Z1273" s="1"/>
      <c r="AG1273" s="1"/>
      <c r="AN1273" s="1"/>
    </row>
    <row r="1274" spans="11:40" x14ac:dyDescent="0.2">
      <c r="K1274" s="1"/>
      <c r="L1274" s="1"/>
      <c r="S1274" s="1"/>
      <c r="Z1274" s="1"/>
      <c r="AG1274" s="1"/>
      <c r="AN1274" s="1"/>
    </row>
    <row r="1275" spans="11:40" x14ac:dyDescent="0.2">
      <c r="K1275" s="1"/>
      <c r="L1275" s="1"/>
      <c r="S1275" s="1"/>
      <c r="Z1275" s="1"/>
      <c r="AG1275" s="1"/>
      <c r="AN1275" s="1"/>
    </row>
    <row r="1276" spans="11:40" x14ac:dyDescent="0.2">
      <c r="K1276" s="1"/>
      <c r="L1276" s="1"/>
      <c r="S1276" s="1"/>
      <c r="Z1276" s="1"/>
      <c r="AG1276" s="1"/>
      <c r="AN1276" s="1"/>
    </row>
    <row r="1277" spans="11:40" x14ac:dyDescent="0.2">
      <c r="K1277" s="1"/>
      <c r="L1277" s="1"/>
      <c r="S1277" s="1"/>
      <c r="Z1277" s="1"/>
      <c r="AG1277" s="1"/>
      <c r="AN1277" s="1"/>
    </row>
    <row r="1278" spans="11:40" x14ac:dyDescent="0.2">
      <c r="K1278" s="1"/>
      <c r="L1278" s="1"/>
      <c r="S1278" s="1"/>
      <c r="Z1278" s="1"/>
      <c r="AG1278" s="1"/>
      <c r="AN1278" s="1"/>
    </row>
    <row r="1279" spans="11:40" x14ac:dyDescent="0.2">
      <c r="K1279" s="1"/>
      <c r="L1279" s="1"/>
      <c r="S1279" s="1"/>
      <c r="Z1279" s="1"/>
      <c r="AG1279" s="1"/>
      <c r="AN1279" s="1"/>
    </row>
    <row r="1280" spans="11:40" x14ac:dyDescent="0.2">
      <c r="K1280" s="1"/>
      <c r="L1280" s="1"/>
      <c r="S1280" s="1"/>
      <c r="Z1280" s="1"/>
      <c r="AG1280" s="1"/>
      <c r="AN1280" s="1"/>
    </row>
    <row r="1281" spans="11:40" x14ac:dyDescent="0.2">
      <c r="K1281" s="1"/>
      <c r="L1281" s="1"/>
      <c r="S1281" s="1"/>
      <c r="Z1281" s="1"/>
      <c r="AG1281" s="1"/>
      <c r="AN1281" s="1"/>
    </row>
    <row r="1282" spans="11:40" x14ac:dyDescent="0.2">
      <c r="K1282" s="1"/>
      <c r="L1282" s="1"/>
      <c r="S1282" s="1"/>
      <c r="Z1282" s="1"/>
      <c r="AG1282" s="1"/>
      <c r="AN1282" s="1"/>
    </row>
    <row r="1283" spans="11:40" x14ac:dyDescent="0.2">
      <c r="K1283" s="1"/>
      <c r="L1283" s="1"/>
      <c r="S1283" s="1"/>
      <c r="Z1283" s="1"/>
      <c r="AG1283" s="1"/>
      <c r="AN1283" s="1"/>
    </row>
    <row r="1284" spans="11:40" x14ac:dyDescent="0.2">
      <c r="K1284" s="1"/>
      <c r="L1284" s="1"/>
      <c r="S1284" s="1"/>
      <c r="Z1284" s="1"/>
      <c r="AG1284" s="1"/>
      <c r="AN1284" s="1"/>
    </row>
    <row r="1285" spans="11:40" x14ac:dyDescent="0.2">
      <c r="K1285" s="1"/>
      <c r="L1285" s="1"/>
      <c r="S1285" s="1"/>
      <c r="Z1285" s="1"/>
      <c r="AG1285" s="1"/>
      <c r="AN1285" s="1"/>
    </row>
    <row r="1286" spans="11:40" x14ac:dyDescent="0.2">
      <c r="K1286" s="1"/>
      <c r="L1286" s="1"/>
      <c r="S1286" s="1"/>
      <c r="Z1286" s="1"/>
      <c r="AG1286" s="1"/>
      <c r="AN1286" s="1"/>
    </row>
    <row r="1287" spans="11:40" x14ac:dyDescent="0.2">
      <c r="K1287" s="1"/>
      <c r="L1287" s="1"/>
      <c r="S1287" s="1"/>
      <c r="Z1287" s="1"/>
      <c r="AG1287" s="1"/>
      <c r="AN1287" s="1"/>
    </row>
    <row r="1288" spans="11:40" x14ac:dyDescent="0.2">
      <c r="K1288" s="1"/>
      <c r="L1288" s="1"/>
      <c r="S1288" s="1"/>
      <c r="Z1288" s="1"/>
      <c r="AG1288" s="1"/>
      <c r="AN1288" s="1"/>
    </row>
    <row r="1289" spans="11:40" x14ac:dyDescent="0.2">
      <c r="K1289" s="1"/>
      <c r="L1289" s="1"/>
      <c r="S1289" s="1"/>
      <c r="Z1289" s="1"/>
      <c r="AG1289" s="1"/>
      <c r="AN1289" s="1"/>
    </row>
    <row r="1290" spans="11:40" x14ac:dyDescent="0.2">
      <c r="K1290" s="1"/>
      <c r="L1290" s="1"/>
      <c r="S1290" s="1"/>
      <c r="Z1290" s="1"/>
      <c r="AG1290" s="1"/>
      <c r="AN1290" s="1"/>
    </row>
    <row r="1291" spans="11:40" x14ac:dyDescent="0.2">
      <c r="K1291" s="1"/>
      <c r="L1291" s="1"/>
      <c r="S1291" s="1"/>
      <c r="Z1291" s="1"/>
      <c r="AG1291" s="1"/>
      <c r="AN1291" s="1"/>
    </row>
    <row r="1292" spans="11:40" x14ac:dyDescent="0.2">
      <c r="K1292" s="1"/>
      <c r="L1292" s="1"/>
      <c r="S1292" s="1"/>
      <c r="Z1292" s="1"/>
      <c r="AG1292" s="1"/>
      <c r="AN1292" s="1"/>
    </row>
    <row r="1293" spans="11:40" x14ac:dyDescent="0.2">
      <c r="K1293" s="1"/>
      <c r="L1293" s="1"/>
      <c r="S1293" s="1"/>
      <c r="Z1293" s="1"/>
      <c r="AG1293" s="1"/>
      <c r="AN1293" s="1"/>
    </row>
    <row r="1294" spans="11:40" x14ac:dyDescent="0.2">
      <c r="K1294" s="1"/>
      <c r="L1294" s="1"/>
      <c r="S1294" s="1"/>
      <c r="Z1294" s="1"/>
      <c r="AG1294" s="1"/>
      <c r="AN1294" s="1"/>
    </row>
    <row r="1295" spans="11:40" x14ac:dyDescent="0.2">
      <c r="K1295" s="1"/>
      <c r="L1295" s="1"/>
      <c r="S1295" s="1"/>
      <c r="Z1295" s="1"/>
      <c r="AG1295" s="1"/>
      <c r="AN1295" s="1"/>
    </row>
    <row r="1296" spans="11:40" x14ac:dyDescent="0.2">
      <c r="K1296" s="1"/>
      <c r="L1296" s="1"/>
      <c r="S1296" s="1"/>
      <c r="Z1296" s="1"/>
      <c r="AG1296" s="1"/>
      <c r="AN1296" s="1"/>
    </row>
    <row r="1297" spans="11:40" x14ac:dyDescent="0.2">
      <c r="K1297" s="1"/>
      <c r="L1297" s="1"/>
      <c r="S1297" s="1"/>
      <c r="Z1297" s="1"/>
      <c r="AG1297" s="1"/>
      <c r="AN1297" s="1"/>
    </row>
    <row r="1298" spans="11:40" x14ac:dyDescent="0.2">
      <c r="K1298" s="1"/>
      <c r="L1298" s="1"/>
      <c r="S1298" s="1"/>
      <c r="Z1298" s="1"/>
      <c r="AG1298" s="1"/>
      <c r="AN1298" s="1"/>
    </row>
    <row r="1299" spans="11:40" x14ac:dyDescent="0.2">
      <c r="K1299" s="1"/>
      <c r="L1299" s="1"/>
      <c r="S1299" s="1"/>
      <c r="Z1299" s="1"/>
      <c r="AG1299" s="1"/>
      <c r="AN1299" s="1"/>
    </row>
    <row r="1300" spans="11:40" x14ac:dyDescent="0.2">
      <c r="K1300" s="1"/>
      <c r="L1300" s="1"/>
      <c r="S1300" s="1"/>
      <c r="Z1300" s="1"/>
      <c r="AG1300" s="1"/>
      <c r="AN1300" s="1"/>
    </row>
    <row r="1301" spans="11:40" x14ac:dyDescent="0.2">
      <c r="K1301" s="1"/>
      <c r="L1301" s="1"/>
      <c r="S1301" s="1"/>
      <c r="Z1301" s="1"/>
      <c r="AG1301" s="1"/>
      <c r="AN1301" s="1"/>
    </row>
    <row r="1302" spans="11:40" x14ac:dyDescent="0.2">
      <c r="K1302" s="1"/>
      <c r="L1302" s="1"/>
      <c r="S1302" s="1"/>
      <c r="Z1302" s="1"/>
      <c r="AG1302" s="1"/>
      <c r="AN1302" s="1"/>
    </row>
    <row r="1303" spans="11:40" x14ac:dyDescent="0.2">
      <c r="K1303" s="1"/>
      <c r="L1303" s="1"/>
      <c r="S1303" s="1"/>
      <c r="Z1303" s="1"/>
      <c r="AG1303" s="1"/>
      <c r="AN1303" s="1"/>
    </row>
    <row r="1304" spans="11:40" x14ac:dyDescent="0.2">
      <c r="K1304" s="1"/>
      <c r="L1304" s="1"/>
      <c r="S1304" s="1"/>
      <c r="Z1304" s="1"/>
      <c r="AG1304" s="1"/>
      <c r="AN1304" s="1"/>
    </row>
    <row r="1305" spans="11:40" x14ac:dyDescent="0.2">
      <c r="K1305" s="1"/>
      <c r="L1305" s="1"/>
      <c r="S1305" s="1"/>
      <c r="Z1305" s="1"/>
      <c r="AG1305" s="1"/>
      <c r="AN1305" s="1"/>
    </row>
    <row r="1306" spans="11:40" x14ac:dyDescent="0.2">
      <c r="K1306" s="1"/>
      <c r="L1306" s="1"/>
      <c r="S1306" s="1"/>
      <c r="Z1306" s="1"/>
      <c r="AG1306" s="1"/>
      <c r="AN1306" s="1"/>
    </row>
    <row r="1307" spans="11:40" x14ac:dyDescent="0.2">
      <c r="K1307" s="1"/>
      <c r="L1307" s="1"/>
      <c r="S1307" s="1"/>
      <c r="Z1307" s="1"/>
      <c r="AG1307" s="1"/>
      <c r="AN1307" s="1"/>
    </row>
    <row r="1308" spans="11:40" x14ac:dyDescent="0.2">
      <c r="K1308" s="1"/>
      <c r="L1308" s="1"/>
      <c r="S1308" s="1"/>
      <c r="Z1308" s="1"/>
      <c r="AG1308" s="1"/>
      <c r="AN1308" s="1"/>
    </row>
    <row r="1309" spans="11:40" x14ac:dyDescent="0.2">
      <c r="K1309" s="1"/>
      <c r="L1309" s="1"/>
      <c r="S1309" s="1"/>
      <c r="Z1309" s="1"/>
      <c r="AG1309" s="1"/>
      <c r="AN1309" s="1"/>
    </row>
    <row r="1310" spans="11:40" x14ac:dyDescent="0.2">
      <c r="K1310" s="1"/>
      <c r="L1310" s="1"/>
      <c r="S1310" s="1"/>
      <c r="Z1310" s="1"/>
      <c r="AG1310" s="1"/>
      <c r="AN1310" s="1"/>
    </row>
    <row r="1311" spans="11:40" x14ac:dyDescent="0.2">
      <c r="K1311" s="1"/>
      <c r="L1311" s="1"/>
      <c r="S1311" s="1"/>
      <c r="Z1311" s="1"/>
      <c r="AG1311" s="1"/>
      <c r="AN1311" s="1"/>
    </row>
    <row r="1312" spans="11:40" x14ac:dyDescent="0.2">
      <c r="K1312" s="1"/>
      <c r="L1312" s="1"/>
      <c r="S1312" s="1"/>
      <c r="Z1312" s="1"/>
      <c r="AG1312" s="1"/>
      <c r="AN1312" s="1"/>
    </row>
    <row r="1313" spans="11:40" x14ac:dyDescent="0.2">
      <c r="K1313" s="1"/>
      <c r="L1313" s="1"/>
      <c r="S1313" s="1"/>
      <c r="Z1313" s="1"/>
      <c r="AG1313" s="1"/>
      <c r="AN1313" s="1"/>
    </row>
    <row r="1314" spans="11:40" x14ac:dyDescent="0.2">
      <c r="K1314" s="1"/>
      <c r="L1314" s="1"/>
      <c r="S1314" s="1"/>
      <c r="Z1314" s="1"/>
      <c r="AG1314" s="1"/>
      <c r="AN1314" s="1"/>
    </row>
    <row r="1315" spans="11:40" x14ac:dyDescent="0.2">
      <c r="K1315" s="1"/>
      <c r="L1315" s="1"/>
      <c r="S1315" s="1"/>
      <c r="Z1315" s="1"/>
      <c r="AG1315" s="1"/>
      <c r="AN1315" s="1"/>
    </row>
    <row r="1316" spans="11:40" x14ac:dyDescent="0.2">
      <c r="K1316" s="1"/>
      <c r="L1316" s="1"/>
      <c r="S1316" s="1"/>
      <c r="Z1316" s="1"/>
      <c r="AG1316" s="1"/>
      <c r="AN1316" s="1"/>
    </row>
    <row r="1317" spans="11:40" x14ac:dyDescent="0.2">
      <c r="K1317" s="1"/>
      <c r="L1317" s="1"/>
      <c r="S1317" s="1"/>
      <c r="Z1317" s="1"/>
      <c r="AG1317" s="1"/>
      <c r="AN1317" s="1"/>
    </row>
    <row r="1318" spans="11:40" x14ac:dyDescent="0.2">
      <c r="K1318" s="1"/>
      <c r="L1318" s="1"/>
      <c r="S1318" s="1"/>
      <c r="Z1318" s="1"/>
      <c r="AG1318" s="1"/>
      <c r="AN1318" s="1"/>
    </row>
    <row r="1319" spans="11:40" x14ac:dyDescent="0.2">
      <c r="K1319" s="1"/>
      <c r="L1319" s="1"/>
      <c r="S1319" s="1"/>
      <c r="Z1319" s="1"/>
      <c r="AG1319" s="1"/>
      <c r="AN1319" s="1"/>
    </row>
    <row r="1320" spans="11:40" x14ac:dyDescent="0.2">
      <c r="K1320" s="1"/>
      <c r="L1320" s="1"/>
      <c r="S1320" s="1"/>
      <c r="Z1320" s="1"/>
      <c r="AG1320" s="1"/>
      <c r="AN1320" s="1"/>
    </row>
    <row r="1321" spans="11:40" x14ac:dyDescent="0.2">
      <c r="K1321" s="1"/>
      <c r="L1321" s="1"/>
      <c r="S1321" s="1"/>
      <c r="Z1321" s="1"/>
      <c r="AG1321" s="1"/>
      <c r="AN1321" s="1"/>
    </row>
    <row r="1322" spans="11:40" x14ac:dyDescent="0.2">
      <c r="K1322" s="1"/>
      <c r="L1322" s="1"/>
      <c r="S1322" s="1"/>
      <c r="Z1322" s="1"/>
      <c r="AG1322" s="1"/>
      <c r="AN1322" s="1"/>
    </row>
    <row r="1323" spans="11:40" x14ac:dyDescent="0.2">
      <c r="K1323" s="1"/>
      <c r="L1323" s="1"/>
      <c r="S1323" s="1"/>
      <c r="Z1323" s="1"/>
      <c r="AG1323" s="1"/>
      <c r="AN1323" s="1"/>
    </row>
    <row r="1324" spans="11:40" x14ac:dyDescent="0.2">
      <c r="K1324" s="1"/>
      <c r="L1324" s="1"/>
      <c r="S1324" s="1"/>
      <c r="Z1324" s="1"/>
      <c r="AG1324" s="1"/>
      <c r="AN1324" s="1"/>
    </row>
    <row r="1325" spans="11:40" x14ac:dyDescent="0.2">
      <c r="K1325" s="1"/>
      <c r="L1325" s="1"/>
      <c r="S1325" s="1"/>
      <c r="Z1325" s="1"/>
      <c r="AG1325" s="1"/>
      <c r="AN1325" s="1"/>
    </row>
    <row r="1326" spans="11:40" x14ac:dyDescent="0.2">
      <c r="K1326" s="1"/>
      <c r="L1326" s="1"/>
      <c r="S1326" s="1"/>
      <c r="Z1326" s="1"/>
      <c r="AG1326" s="1"/>
      <c r="AN1326" s="1"/>
    </row>
    <row r="1327" spans="11:40" x14ac:dyDescent="0.2">
      <c r="K1327" s="1"/>
      <c r="L1327" s="1"/>
      <c r="S1327" s="1"/>
      <c r="Z1327" s="1"/>
      <c r="AG1327" s="1"/>
      <c r="AN1327" s="1"/>
    </row>
    <row r="1328" spans="11:40" x14ac:dyDescent="0.2">
      <c r="K1328" s="1"/>
      <c r="L1328" s="1"/>
      <c r="S1328" s="1"/>
      <c r="Z1328" s="1"/>
      <c r="AG1328" s="1"/>
      <c r="AN1328" s="1"/>
    </row>
    <row r="1329" spans="11:40" x14ac:dyDescent="0.2">
      <c r="K1329" s="1"/>
      <c r="L1329" s="1"/>
      <c r="S1329" s="1"/>
      <c r="Z1329" s="1"/>
      <c r="AG1329" s="1"/>
      <c r="AN1329" s="1"/>
    </row>
    <row r="1330" spans="11:40" x14ac:dyDescent="0.2">
      <c r="K1330" s="1"/>
      <c r="L1330" s="1"/>
      <c r="S1330" s="1"/>
      <c r="Z1330" s="1"/>
      <c r="AG1330" s="1"/>
      <c r="AN1330" s="1"/>
    </row>
    <row r="1331" spans="11:40" x14ac:dyDescent="0.2">
      <c r="K1331" s="1"/>
      <c r="L1331" s="1"/>
      <c r="S1331" s="1"/>
      <c r="Z1331" s="1"/>
      <c r="AG1331" s="1"/>
      <c r="AN1331" s="1"/>
    </row>
    <row r="1332" spans="11:40" x14ac:dyDescent="0.2">
      <c r="K1332" s="1"/>
      <c r="L1332" s="1"/>
      <c r="S1332" s="1"/>
      <c r="Z1332" s="1"/>
      <c r="AG1332" s="1"/>
      <c r="AN1332" s="1"/>
    </row>
    <row r="1333" spans="11:40" x14ac:dyDescent="0.2">
      <c r="K1333" s="1"/>
      <c r="L1333" s="1"/>
      <c r="S1333" s="1"/>
      <c r="Z1333" s="1"/>
      <c r="AG1333" s="1"/>
      <c r="AN1333" s="1"/>
    </row>
    <row r="1334" spans="11:40" x14ac:dyDescent="0.2">
      <c r="K1334" s="1"/>
      <c r="L1334" s="1"/>
      <c r="S1334" s="1"/>
      <c r="Z1334" s="1"/>
      <c r="AG1334" s="1"/>
      <c r="AN1334" s="1"/>
    </row>
    <row r="1335" spans="11:40" x14ac:dyDescent="0.2">
      <c r="K1335" s="1"/>
      <c r="L1335" s="1"/>
      <c r="S1335" s="1"/>
      <c r="Z1335" s="1"/>
      <c r="AG1335" s="1"/>
      <c r="AN1335" s="1"/>
    </row>
    <row r="1336" spans="11:40" x14ac:dyDescent="0.2">
      <c r="K1336" s="1"/>
      <c r="L1336" s="1"/>
      <c r="S1336" s="1"/>
      <c r="Z1336" s="1"/>
      <c r="AG1336" s="1"/>
      <c r="AN1336" s="1"/>
    </row>
    <row r="1337" spans="11:40" x14ac:dyDescent="0.2">
      <c r="K1337" s="1"/>
      <c r="L1337" s="1"/>
      <c r="S1337" s="1"/>
      <c r="Z1337" s="1"/>
      <c r="AG1337" s="1"/>
      <c r="AN1337" s="1"/>
    </row>
    <row r="1338" spans="11:40" x14ac:dyDescent="0.2">
      <c r="K1338" s="1"/>
      <c r="L1338" s="1"/>
      <c r="S1338" s="1"/>
      <c r="Z1338" s="1"/>
      <c r="AG1338" s="1"/>
      <c r="AN1338" s="1"/>
    </row>
    <row r="1339" spans="11:40" x14ac:dyDescent="0.2">
      <c r="K1339" s="1"/>
      <c r="L1339" s="1"/>
      <c r="S1339" s="1"/>
      <c r="Z1339" s="1"/>
      <c r="AG1339" s="1"/>
      <c r="AN1339" s="1"/>
    </row>
    <row r="1340" spans="11:40" x14ac:dyDescent="0.2">
      <c r="K1340" s="1"/>
      <c r="L1340" s="1"/>
      <c r="S1340" s="1"/>
      <c r="Z1340" s="1"/>
      <c r="AG1340" s="1"/>
      <c r="AN1340" s="1"/>
    </row>
    <row r="1341" spans="11:40" x14ac:dyDescent="0.2">
      <c r="K1341" s="1"/>
      <c r="L1341" s="1"/>
      <c r="S1341" s="1"/>
      <c r="Z1341" s="1"/>
      <c r="AG1341" s="1"/>
      <c r="AN1341" s="1"/>
    </row>
    <row r="1342" spans="11:40" x14ac:dyDescent="0.2">
      <c r="K1342" s="1"/>
      <c r="L1342" s="1"/>
      <c r="S1342" s="1"/>
      <c r="Z1342" s="1"/>
      <c r="AG1342" s="1"/>
      <c r="AN1342" s="1"/>
    </row>
    <row r="1343" spans="11:40" x14ac:dyDescent="0.2">
      <c r="K1343" s="1"/>
      <c r="L1343" s="1"/>
      <c r="S1343" s="1"/>
      <c r="Z1343" s="1"/>
      <c r="AG1343" s="1"/>
      <c r="AN1343" s="1"/>
    </row>
    <row r="1344" spans="11:40" x14ac:dyDescent="0.2">
      <c r="K1344" s="1"/>
      <c r="L1344" s="1"/>
      <c r="S1344" s="1"/>
      <c r="Z1344" s="1"/>
      <c r="AG1344" s="1"/>
      <c r="AN1344" s="1"/>
    </row>
    <row r="1345" spans="11:40" x14ac:dyDescent="0.2">
      <c r="K1345" s="1"/>
      <c r="L1345" s="1"/>
      <c r="S1345" s="1"/>
      <c r="Z1345" s="1"/>
      <c r="AG1345" s="1"/>
      <c r="AN1345" s="1"/>
    </row>
    <row r="1346" spans="11:40" x14ac:dyDescent="0.2">
      <c r="K1346" s="1"/>
      <c r="L1346" s="1"/>
      <c r="S1346" s="1"/>
      <c r="Z1346" s="1"/>
      <c r="AG1346" s="1"/>
      <c r="AN1346" s="1"/>
    </row>
    <row r="1347" spans="11:40" x14ac:dyDescent="0.2">
      <c r="K1347" s="1"/>
      <c r="L1347" s="1"/>
      <c r="S1347" s="1"/>
      <c r="Z1347" s="1"/>
      <c r="AG1347" s="1"/>
      <c r="AN1347" s="1"/>
    </row>
    <row r="1348" spans="11:40" x14ac:dyDescent="0.2">
      <c r="K1348" s="1"/>
      <c r="L1348" s="1"/>
      <c r="S1348" s="1"/>
      <c r="Z1348" s="1"/>
      <c r="AG1348" s="1"/>
      <c r="AN1348" s="1"/>
    </row>
    <row r="1349" spans="11:40" x14ac:dyDescent="0.2">
      <c r="K1349" s="1"/>
      <c r="L1349" s="1"/>
      <c r="S1349" s="1"/>
      <c r="Z1349" s="1"/>
      <c r="AG1349" s="1"/>
      <c r="AN1349" s="1"/>
    </row>
    <row r="1350" spans="11:40" x14ac:dyDescent="0.2">
      <c r="K1350" s="1"/>
      <c r="L1350" s="1"/>
      <c r="S1350" s="1"/>
      <c r="Z1350" s="1"/>
      <c r="AG1350" s="1"/>
      <c r="AN1350" s="1"/>
    </row>
    <row r="1351" spans="11:40" x14ac:dyDescent="0.2">
      <c r="K1351" s="1"/>
      <c r="L1351" s="1"/>
      <c r="S1351" s="1"/>
      <c r="Z1351" s="1"/>
      <c r="AG1351" s="1"/>
      <c r="AN1351" s="1"/>
    </row>
    <row r="1352" spans="11:40" x14ac:dyDescent="0.2">
      <c r="K1352" s="1"/>
      <c r="L1352" s="1"/>
      <c r="S1352" s="1"/>
      <c r="Z1352" s="1"/>
      <c r="AG1352" s="1"/>
      <c r="AN1352" s="1"/>
    </row>
    <row r="1353" spans="11:40" x14ac:dyDescent="0.2">
      <c r="K1353" s="1"/>
      <c r="L1353" s="1"/>
      <c r="S1353" s="1"/>
      <c r="Z1353" s="1"/>
      <c r="AG1353" s="1"/>
      <c r="AN1353" s="1"/>
    </row>
    <row r="1354" spans="11:40" x14ac:dyDescent="0.2">
      <c r="K1354" s="1"/>
      <c r="L1354" s="1"/>
      <c r="S1354" s="1"/>
      <c r="Z1354" s="1"/>
      <c r="AG1354" s="1"/>
      <c r="AN1354" s="1"/>
    </row>
    <row r="1355" spans="11:40" x14ac:dyDescent="0.2">
      <c r="K1355" s="1"/>
      <c r="L1355" s="1"/>
      <c r="S1355" s="1"/>
      <c r="Z1355" s="1"/>
      <c r="AG1355" s="1"/>
      <c r="AN1355" s="1"/>
    </row>
    <row r="1356" spans="11:40" x14ac:dyDescent="0.2">
      <c r="K1356" s="1"/>
      <c r="L1356" s="1"/>
      <c r="S1356" s="1"/>
      <c r="Z1356" s="1"/>
      <c r="AG1356" s="1"/>
      <c r="AN1356" s="1"/>
    </row>
    <row r="1357" spans="11:40" x14ac:dyDescent="0.2">
      <c r="K1357" s="1"/>
      <c r="L1357" s="1"/>
      <c r="S1357" s="1"/>
      <c r="Z1357" s="1"/>
      <c r="AG1357" s="1"/>
      <c r="AN1357" s="1"/>
    </row>
    <row r="1358" spans="11:40" x14ac:dyDescent="0.2">
      <c r="K1358" s="1"/>
      <c r="L1358" s="1"/>
      <c r="S1358" s="1"/>
      <c r="Z1358" s="1"/>
      <c r="AG1358" s="1"/>
      <c r="AN1358" s="1"/>
    </row>
    <row r="1359" spans="11:40" x14ac:dyDescent="0.2">
      <c r="K1359" s="1"/>
      <c r="L1359" s="1"/>
      <c r="S1359" s="1"/>
      <c r="Z1359" s="1"/>
      <c r="AG1359" s="1"/>
      <c r="AN1359" s="1"/>
    </row>
    <row r="1360" spans="11:40" x14ac:dyDescent="0.2">
      <c r="K1360" s="1"/>
      <c r="L1360" s="1"/>
      <c r="S1360" s="1"/>
      <c r="Z1360" s="1"/>
      <c r="AG1360" s="1"/>
      <c r="AN1360" s="1"/>
    </row>
    <row r="1361" spans="11:40" x14ac:dyDescent="0.2">
      <c r="K1361" s="1"/>
      <c r="L1361" s="1"/>
      <c r="S1361" s="1"/>
      <c r="Z1361" s="1"/>
      <c r="AG1361" s="1"/>
      <c r="AN1361" s="1"/>
    </row>
    <row r="1362" spans="11:40" x14ac:dyDescent="0.2">
      <c r="K1362" s="1"/>
      <c r="L1362" s="1"/>
      <c r="S1362" s="1"/>
      <c r="Z1362" s="1"/>
      <c r="AG1362" s="1"/>
      <c r="AN1362" s="1"/>
    </row>
    <row r="1363" spans="11:40" x14ac:dyDescent="0.2">
      <c r="K1363" s="1"/>
      <c r="L1363" s="1"/>
      <c r="S1363" s="1"/>
      <c r="Z1363" s="1"/>
      <c r="AG1363" s="1"/>
      <c r="AN1363" s="1"/>
    </row>
    <row r="1364" spans="11:40" x14ac:dyDescent="0.2">
      <c r="K1364" s="1"/>
      <c r="L1364" s="1"/>
      <c r="S1364" s="1"/>
      <c r="Z1364" s="1"/>
      <c r="AG1364" s="1"/>
      <c r="AN1364" s="1"/>
    </row>
    <row r="1365" spans="11:40" x14ac:dyDescent="0.2">
      <c r="K1365" s="1"/>
      <c r="L1365" s="1"/>
      <c r="S1365" s="1"/>
      <c r="Z1365" s="1"/>
      <c r="AG1365" s="1"/>
      <c r="AN1365" s="1"/>
    </row>
    <row r="1366" spans="11:40" x14ac:dyDescent="0.2">
      <c r="K1366" s="1"/>
      <c r="L1366" s="1"/>
      <c r="S1366" s="1"/>
      <c r="Z1366" s="1"/>
      <c r="AG1366" s="1"/>
      <c r="AN1366" s="1"/>
    </row>
    <row r="1367" spans="11:40" x14ac:dyDescent="0.2">
      <c r="K1367" s="1"/>
      <c r="L1367" s="1"/>
      <c r="S1367" s="1"/>
      <c r="Z1367" s="1"/>
      <c r="AG1367" s="1"/>
      <c r="AN1367" s="1"/>
    </row>
    <row r="1368" spans="11:40" x14ac:dyDescent="0.2">
      <c r="K1368" s="1"/>
      <c r="L1368" s="1"/>
      <c r="S1368" s="1"/>
      <c r="Z1368" s="1"/>
      <c r="AG1368" s="1"/>
      <c r="AN1368" s="1"/>
    </row>
    <row r="1369" spans="11:40" x14ac:dyDescent="0.2">
      <c r="K1369" s="1"/>
      <c r="L1369" s="1"/>
      <c r="S1369" s="1"/>
      <c r="Z1369" s="1"/>
      <c r="AG1369" s="1"/>
      <c r="AN1369" s="1"/>
    </row>
    <row r="1370" spans="11:40" x14ac:dyDescent="0.2">
      <c r="K1370" s="1"/>
      <c r="L1370" s="1"/>
      <c r="S1370" s="1"/>
      <c r="Z1370" s="1"/>
      <c r="AG1370" s="1"/>
      <c r="AN1370" s="1"/>
    </row>
    <row r="1371" spans="11:40" x14ac:dyDescent="0.2">
      <c r="K1371" s="1"/>
      <c r="L1371" s="1"/>
      <c r="S1371" s="1"/>
      <c r="Z1371" s="1"/>
      <c r="AG1371" s="1"/>
      <c r="AN1371" s="1"/>
    </row>
    <row r="1372" spans="11:40" x14ac:dyDescent="0.2">
      <c r="K1372" s="1"/>
      <c r="L1372" s="1"/>
      <c r="S1372" s="1"/>
      <c r="Z1372" s="1"/>
      <c r="AG1372" s="1"/>
      <c r="AN1372" s="1"/>
    </row>
    <row r="1373" spans="11:40" x14ac:dyDescent="0.2">
      <c r="K1373" s="1"/>
      <c r="L1373" s="1"/>
      <c r="S1373" s="1"/>
      <c r="Z1373" s="1"/>
      <c r="AG1373" s="1"/>
      <c r="AN1373" s="1"/>
    </row>
    <row r="1374" spans="11:40" x14ac:dyDescent="0.2">
      <c r="K1374" s="1"/>
      <c r="L1374" s="1"/>
      <c r="S1374" s="1"/>
      <c r="Z1374" s="1"/>
      <c r="AG1374" s="1"/>
      <c r="AN1374" s="1"/>
    </row>
    <row r="1375" spans="11:40" x14ac:dyDescent="0.2">
      <c r="K1375" s="1"/>
      <c r="L1375" s="1"/>
      <c r="S1375" s="1"/>
      <c r="Z1375" s="1"/>
      <c r="AG1375" s="1"/>
      <c r="AN1375" s="1"/>
    </row>
    <row r="1376" spans="11:40" x14ac:dyDescent="0.2">
      <c r="K1376" s="1"/>
      <c r="L1376" s="1"/>
      <c r="S1376" s="1"/>
      <c r="Z1376" s="1"/>
      <c r="AG1376" s="1"/>
      <c r="AN1376" s="1"/>
    </row>
    <row r="1377" spans="11:40" x14ac:dyDescent="0.2">
      <c r="K1377" s="1"/>
      <c r="L1377" s="1"/>
      <c r="S1377" s="1"/>
      <c r="Z1377" s="1"/>
      <c r="AG1377" s="1"/>
      <c r="AN1377" s="1"/>
    </row>
    <row r="1378" spans="11:40" x14ac:dyDescent="0.2">
      <c r="K1378" s="1"/>
      <c r="L1378" s="1"/>
      <c r="S1378" s="1"/>
      <c r="Z1378" s="1"/>
      <c r="AG1378" s="1"/>
      <c r="AN1378" s="1"/>
    </row>
    <row r="1379" spans="11:40" x14ac:dyDescent="0.2">
      <c r="K1379" s="1"/>
      <c r="L1379" s="1"/>
      <c r="S1379" s="1"/>
      <c r="Z1379" s="1"/>
      <c r="AG1379" s="1"/>
      <c r="AN1379" s="1"/>
    </row>
    <row r="1380" spans="11:40" x14ac:dyDescent="0.2">
      <c r="K1380" s="1"/>
      <c r="L1380" s="1"/>
      <c r="S1380" s="1"/>
      <c r="Z1380" s="1"/>
      <c r="AG1380" s="1"/>
      <c r="AN1380" s="1"/>
    </row>
    <row r="1381" spans="11:40" x14ac:dyDescent="0.2">
      <c r="K1381" s="1"/>
      <c r="L1381" s="1"/>
      <c r="S1381" s="1"/>
      <c r="Z1381" s="1"/>
      <c r="AG1381" s="1"/>
      <c r="AN1381" s="1"/>
    </row>
    <row r="1382" spans="11:40" x14ac:dyDescent="0.2">
      <c r="K1382" s="1"/>
      <c r="L1382" s="1"/>
      <c r="S1382" s="1"/>
      <c r="Z1382" s="1"/>
      <c r="AG1382" s="1"/>
      <c r="AN1382" s="1"/>
    </row>
    <row r="1383" spans="11:40" x14ac:dyDescent="0.2">
      <c r="K1383" s="1"/>
      <c r="L1383" s="1"/>
      <c r="S1383" s="1"/>
      <c r="Z1383" s="1"/>
      <c r="AG1383" s="1"/>
      <c r="AN1383" s="1"/>
    </row>
    <row r="1384" spans="11:40" x14ac:dyDescent="0.2">
      <c r="K1384" s="1"/>
      <c r="L1384" s="1"/>
      <c r="S1384" s="1"/>
      <c r="Z1384" s="1"/>
      <c r="AG1384" s="1"/>
      <c r="AN1384" s="1"/>
    </row>
    <row r="1385" spans="11:40" x14ac:dyDescent="0.2">
      <c r="K1385" s="1"/>
      <c r="L1385" s="1"/>
      <c r="S1385" s="1"/>
      <c r="Z1385" s="1"/>
      <c r="AG1385" s="1"/>
      <c r="AN1385" s="1"/>
    </row>
    <row r="1386" spans="11:40" x14ac:dyDescent="0.2">
      <c r="K1386" s="1"/>
      <c r="L1386" s="1"/>
      <c r="S1386" s="1"/>
      <c r="Z1386" s="1"/>
      <c r="AG1386" s="1"/>
      <c r="AN1386" s="1"/>
    </row>
    <row r="1387" spans="11:40" x14ac:dyDescent="0.2">
      <c r="K1387" s="1"/>
      <c r="L1387" s="1"/>
      <c r="S1387" s="1"/>
      <c r="Z1387" s="1"/>
      <c r="AG1387" s="1"/>
      <c r="AN1387" s="1"/>
    </row>
    <row r="1388" spans="11:40" x14ac:dyDescent="0.2">
      <c r="K1388" s="1"/>
      <c r="L1388" s="1"/>
      <c r="S1388" s="1"/>
      <c r="Z1388" s="1"/>
      <c r="AG1388" s="1"/>
      <c r="AN1388" s="1"/>
    </row>
    <row r="1389" spans="11:40" x14ac:dyDescent="0.2">
      <c r="K1389" s="1"/>
      <c r="L1389" s="1"/>
      <c r="S1389" s="1"/>
      <c r="Z1389" s="1"/>
      <c r="AG1389" s="1"/>
      <c r="AN1389" s="1"/>
    </row>
    <row r="1390" spans="11:40" x14ac:dyDescent="0.2">
      <c r="K1390" s="1"/>
      <c r="L1390" s="1"/>
      <c r="S1390" s="1"/>
      <c r="Z1390" s="1"/>
      <c r="AG1390" s="1"/>
      <c r="AN1390" s="1"/>
    </row>
    <row r="1391" spans="11:40" x14ac:dyDescent="0.2">
      <c r="K1391" s="1"/>
      <c r="L1391" s="1"/>
      <c r="S1391" s="1"/>
      <c r="Z1391" s="1"/>
      <c r="AG1391" s="1"/>
      <c r="AN1391" s="1"/>
    </row>
    <row r="1392" spans="11:40" x14ac:dyDescent="0.2">
      <c r="K1392" s="1"/>
      <c r="L1392" s="1"/>
      <c r="S1392" s="1"/>
      <c r="Z1392" s="1"/>
      <c r="AG1392" s="1"/>
      <c r="AN1392" s="1"/>
    </row>
    <row r="1393" spans="11:40" x14ac:dyDescent="0.2">
      <c r="K1393" s="1"/>
      <c r="L1393" s="1"/>
      <c r="S1393" s="1"/>
      <c r="Z1393" s="1"/>
      <c r="AG1393" s="1"/>
      <c r="AN1393" s="1"/>
    </row>
    <row r="1394" spans="11:40" x14ac:dyDescent="0.2">
      <c r="K1394" s="1"/>
      <c r="L1394" s="1"/>
      <c r="S1394" s="1"/>
      <c r="Z1394" s="1"/>
      <c r="AG1394" s="1"/>
      <c r="AN1394" s="1"/>
    </row>
    <row r="1395" spans="11:40" x14ac:dyDescent="0.2">
      <c r="K1395" s="1"/>
      <c r="L1395" s="1"/>
      <c r="S1395" s="1"/>
      <c r="Z1395" s="1"/>
      <c r="AG1395" s="1"/>
      <c r="AN1395" s="1"/>
    </row>
    <row r="1396" spans="11:40" x14ac:dyDescent="0.2">
      <c r="K1396" s="1"/>
      <c r="L1396" s="1"/>
      <c r="S1396" s="1"/>
      <c r="Z1396" s="1"/>
      <c r="AG1396" s="1"/>
      <c r="AN1396" s="1"/>
    </row>
    <row r="1397" spans="11:40" x14ac:dyDescent="0.2">
      <c r="K1397" s="1"/>
      <c r="L1397" s="1"/>
      <c r="S1397" s="1"/>
      <c r="Z1397" s="1"/>
      <c r="AG1397" s="1"/>
      <c r="AN1397" s="1"/>
    </row>
    <row r="1398" spans="11:40" x14ac:dyDescent="0.2">
      <c r="K1398" s="1"/>
      <c r="L1398" s="1"/>
      <c r="S1398" s="1"/>
      <c r="Z1398" s="1"/>
      <c r="AG1398" s="1"/>
      <c r="AN1398" s="1"/>
    </row>
    <row r="1399" spans="11:40" x14ac:dyDescent="0.2">
      <c r="K1399" s="1"/>
      <c r="L1399" s="1"/>
      <c r="S1399" s="1"/>
      <c r="Z1399" s="1"/>
      <c r="AG1399" s="1"/>
      <c r="AN1399" s="1"/>
    </row>
    <row r="1400" spans="11:40" x14ac:dyDescent="0.2">
      <c r="K1400" s="1"/>
      <c r="L1400" s="1"/>
      <c r="S1400" s="1"/>
      <c r="Z1400" s="1"/>
      <c r="AG1400" s="1"/>
      <c r="AN1400" s="1"/>
    </row>
    <row r="1401" spans="11:40" x14ac:dyDescent="0.2">
      <c r="K1401" s="1"/>
      <c r="L1401" s="1"/>
      <c r="S1401" s="1"/>
      <c r="Z1401" s="1"/>
      <c r="AG1401" s="1"/>
      <c r="AN1401" s="1"/>
    </row>
    <row r="1402" spans="11:40" x14ac:dyDescent="0.2">
      <c r="K1402" s="1"/>
      <c r="L1402" s="1"/>
      <c r="S1402" s="1"/>
      <c r="Z1402" s="1"/>
      <c r="AG1402" s="1"/>
      <c r="AN1402" s="1"/>
    </row>
    <row r="1403" spans="11:40" x14ac:dyDescent="0.2">
      <c r="K1403" s="1"/>
      <c r="L1403" s="1"/>
      <c r="S1403" s="1"/>
      <c r="Z1403" s="1"/>
      <c r="AG1403" s="1"/>
      <c r="AN1403" s="1"/>
    </row>
    <row r="1404" spans="11:40" x14ac:dyDescent="0.2">
      <c r="K1404" s="1"/>
      <c r="L1404" s="1"/>
      <c r="S1404" s="1"/>
      <c r="Z1404" s="1"/>
      <c r="AG1404" s="1"/>
      <c r="AN1404" s="1"/>
    </row>
    <row r="1405" spans="11:40" x14ac:dyDescent="0.2">
      <c r="K1405" s="1"/>
      <c r="L1405" s="1"/>
      <c r="S1405" s="1"/>
      <c r="Z1405" s="1"/>
      <c r="AG1405" s="1"/>
      <c r="AN1405" s="1"/>
    </row>
    <row r="1406" spans="11:40" x14ac:dyDescent="0.2">
      <c r="K1406" s="1"/>
      <c r="L1406" s="1"/>
      <c r="S1406" s="1"/>
      <c r="Z1406" s="1"/>
      <c r="AG1406" s="1"/>
      <c r="AN1406" s="1"/>
    </row>
    <row r="1407" spans="11:40" x14ac:dyDescent="0.2">
      <c r="K1407" s="1"/>
      <c r="L1407" s="1"/>
      <c r="S1407" s="1"/>
      <c r="Z1407" s="1"/>
      <c r="AG1407" s="1"/>
      <c r="AN1407" s="1"/>
    </row>
    <row r="1408" spans="11:40" x14ac:dyDescent="0.2">
      <c r="K1408" s="1"/>
      <c r="L1408" s="1"/>
      <c r="S1408" s="1"/>
      <c r="Z1408" s="1"/>
      <c r="AG1408" s="1"/>
      <c r="AN1408" s="1"/>
    </row>
    <row r="1409" spans="11:40" x14ac:dyDescent="0.2">
      <c r="K1409" s="1"/>
      <c r="L1409" s="1"/>
      <c r="S1409" s="1"/>
      <c r="Z1409" s="1"/>
      <c r="AG1409" s="1"/>
      <c r="AN1409" s="1"/>
    </row>
    <row r="1410" spans="11:40" x14ac:dyDescent="0.2">
      <c r="K1410" s="1"/>
      <c r="L1410" s="1"/>
      <c r="S1410" s="1"/>
      <c r="Z1410" s="1"/>
      <c r="AG1410" s="1"/>
      <c r="AN1410" s="1"/>
    </row>
    <row r="1411" spans="11:40" x14ac:dyDescent="0.2">
      <c r="K1411" s="1"/>
      <c r="L1411" s="1"/>
      <c r="S1411" s="1"/>
      <c r="Z1411" s="1"/>
      <c r="AG1411" s="1"/>
      <c r="AN1411" s="1"/>
    </row>
    <row r="1412" spans="11:40" x14ac:dyDescent="0.2">
      <c r="K1412" s="1"/>
      <c r="L1412" s="1"/>
      <c r="S1412" s="1"/>
      <c r="Z1412" s="1"/>
      <c r="AG1412" s="1"/>
      <c r="AN1412" s="1"/>
    </row>
    <row r="1413" spans="11:40" x14ac:dyDescent="0.2">
      <c r="K1413" s="1"/>
      <c r="L1413" s="1"/>
      <c r="S1413" s="1"/>
      <c r="Z1413" s="1"/>
      <c r="AG1413" s="1"/>
      <c r="AN1413" s="1"/>
    </row>
    <row r="1414" spans="11:40" x14ac:dyDescent="0.2">
      <c r="K1414" s="1"/>
      <c r="L1414" s="1"/>
      <c r="S1414" s="1"/>
      <c r="Z1414" s="1"/>
      <c r="AG1414" s="1"/>
      <c r="AN1414" s="1"/>
    </row>
    <row r="1415" spans="11:40" x14ac:dyDescent="0.2">
      <c r="K1415" s="1"/>
      <c r="L1415" s="1"/>
      <c r="S1415" s="1"/>
      <c r="Z1415" s="1"/>
      <c r="AG1415" s="1"/>
      <c r="AN1415" s="1"/>
    </row>
    <row r="1416" spans="11:40" x14ac:dyDescent="0.2">
      <c r="K1416" s="1"/>
      <c r="L1416" s="1"/>
      <c r="S1416" s="1"/>
      <c r="Z1416" s="1"/>
      <c r="AG1416" s="1"/>
      <c r="AN1416" s="1"/>
    </row>
    <row r="1417" spans="11:40" x14ac:dyDescent="0.2">
      <c r="K1417" s="1"/>
      <c r="L1417" s="1"/>
      <c r="S1417" s="1"/>
      <c r="Z1417" s="1"/>
      <c r="AG1417" s="1"/>
      <c r="AN1417" s="1"/>
    </row>
    <row r="1418" spans="11:40" x14ac:dyDescent="0.2">
      <c r="K1418" s="1"/>
      <c r="L1418" s="1"/>
      <c r="S1418" s="1"/>
      <c r="Z1418" s="1"/>
      <c r="AG1418" s="1"/>
      <c r="AN1418" s="1"/>
    </row>
    <row r="1419" spans="11:40" x14ac:dyDescent="0.2">
      <c r="K1419" s="1"/>
      <c r="L1419" s="1"/>
      <c r="S1419" s="1"/>
      <c r="Z1419" s="1"/>
      <c r="AG1419" s="1"/>
      <c r="AN1419" s="1"/>
    </row>
    <row r="1420" spans="11:40" x14ac:dyDescent="0.2">
      <c r="K1420" s="1"/>
      <c r="L1420" s="1"/>
      <c r="S1420" s="1"/>
      <c r="Z1420" s="1"/>
      <c r="AG1420" s="1"/>
      <c r="AN1420" s="1"/>
    </row>
    <row r="1421" spans="11:40" x14ac:dyDescent="0.2">
      <c r="K1421" s="1"/>
      <c r="L1421" s="1"/>
      <c r="S1421" s="1"/>
      <c r="Z1421" s="1"/>
      <c r="AG1421" s="1"/>
      <c r="AN1421" s="1"/>
    </row>
    <row r="1422" spans="11:40" x14ac:dyDescent="0.2">
      <c r="K1422" s="1"/>
      <c r="L1422" s="1"/>
      <c r="S1422" s="1"/>
      <c r="Z1422" s="1"/>
      <c r="AG1422" s="1"/>
      <c r="AN1422" s="1"/>
    </row>
    <row r="1423" spans="11:40" x14ac:dyDescent="0.2">
      <c r="K1423" s="1"/>
      <c r="L1423" s="1"/>
      <c r="S1423" s="1"/>
      <c r="Z1423" s="1"/>
      <c r="AG1423" s="1"/>
      <c r="AN1423" s="1"/>
    </row>
    <row r="1424" spans="11:40" x14ac:dyDescent="0.2">
      <c r="K1424" s="1"/>
      <c r="L1424" s="1"/>
      <c r="S1424" s="1"/>
      <c r="Z1424" s="1"/>
      <c r="AG1424" s="1"/>
      <c r="AN1424" s="1"/>
    </row>
    <row r="1425" spans="11:40" x14ac:dyDescent="0.2">
      <c r="K1425" s="1"/>
      <c r="L1425" s="1"/>
      <c r="S1425" s="1"/>
      <c r="Z1425" s="1"/>
      <c r="AG1425" s="1"/>
      <c r="AN1425" s="1"/>
    </row>
    <row r="1426" spans="11:40" x14ac:dyDescent="0.2">
      <c r="K1426" s="1"/>
      <c r="L1426" s="1"/>
      <c r="S1426" s="1"/>
      <c r="Z1426" s="1"/>
      <c r="AG1426" s="1"/>
      <c r="AN1426" s="1"/>
    </row>
    <row r="1427" spans="11:40" x14ac:dyDescent="0.2">
      <c r="K1427" s="1"/>
      <c r="L1427" s="1"/>
      <c r="S1427" s="1"/>
      <c r="Z1427" s="1"/>
      <c r="AG1427" s="1"/>
      <c r="AN1427" s="1"/>
    </row>
    <row r="1428" spans="11:40" x14ac:dyDescent="0.2">
      <c r="K1428" s="1"/>
      <c r="L1428" s="1"/>
      <c r="S1428" s="1"/>
      <c r="Z1428" s="1"/>
      <c r="AG1428" s="1"/>
      <c r="AN1428" s="1"/>
    </row>
    <row r="1429" spans="11:40" x14ac:dyDescent="0.2">
      <c r="K1429" s="1"/>
      <c r="L1429" s="1"/>
      <c r="S1429" s="1"/>
      <c r="Z1429" s="1"/>
      <c r="AG1429" s="1"/>
      <c r="AN1429" s="1"/>
    </row>
    <row r="1430" spans="11:40" x14ac:dyDescent="0.2">
      <c r="K1430" s="1"/>
      <c r="L1430" s="1"/>
      <c r="S1430" s="1"/>
      <c r="Z1430" s="1"/>
      <c r="AG1430" s="1"/>
      <c r="AN1430" s="1"/>
    </row>
    <row r="1431" spans="11:40" x14ac:dyDescent="0.2">
      <c r="K1431" s="1"/>
      <c r="L1431" s="1"/>
      <c r="S1431" s="1"/>
      <c r="Z1431" s="1"/>
      <c r="AG1431" s="1"/>
      <c r="AN1431" s="1"/>
    </row>
    <row r="1432" spans="11:40" x14ac:dyDescent="0.2">
      <c r="K1432" s="1"/>
      <c r="L1432" s="1"/>
      <c r="S1432" s="1"/>
      <c r="Z1432" s="1"/>
      <c r="AG1432" s="1"/>
      <c r="AN1432" s="1"/>
    </row>
    <row r="1433" spans="11:40" x14ac:dyDescent="0.2">
      <c r="K1433" s="1"/>
      <c r="L1433" s="1"/>
      <c r="S1433" s="1"/>
      <c r="Z1433" s="1"/>
      <c r="AG1433" s="1"/>
      <c r="AN1433" s="1"/>
    </row>
    <row r="1434" spans="11:40" x14ac:dyDescent="0.2">
      <c r="K1434" s="1"/>
      <c r="L1434" s="1"/>
      <c r="S1434" s="1"/>
      <c r="Z1434" s="1"/>
      <c r="AG1434" s="1"/>
      <c r="AN1434" s="1"/>
    </row>
    <row r="1435" spans="11:40" x14ac:dyDescent="0.2">
      <c r="K1435" s="1"/>
      <c r="L1435" s="1"/>
      <c r="S1435" s="1"/>
      <c r="Z1435" s="1"/>
      <c r="AG1435" s="1"/>
      <c r="AN1435" s="1"/>
    </row>
    <row r="1436" spans="11:40" x14ac:dyDescent="0.2">
      <c r="K1436" s="1"/>
      <c r="L1436" s="1"/>
      <c r="S1436" s="1"/>
      <c r="Z1436" s="1"/>
      <c r="AG1436" s="1"/>
      <c r="AN1436" s="1"/>
    </row>
    <row r="1437" spans="11:40" x14ac:dyDescent="0.2">
      <c r="K1437" s="1"/>
      <c r="L1437" s="1"/>
      <c r="S1437" s="1"/>
      <c r="Z1437" s="1"/>
      <c r="AG1437" s="1"/>
      <c r="AN1437" s="1"/>
    </row>
    <row r="1438" spans="11:40" x14ac:dyDescent="0.2">
      <c r="K1438" s="1"/>
      <c r="L1438" s="1"/>
      <c r="S1438" s="1"/>
      <c r="Z1438" s="1"/>
      <c r="AG1438" s="1"/>
      <c r="AN1438" s="1"/>
    </row>
    <row r="1439" spans="11:40" x14ac:dyDescent="0.2">
      <c r="K1439" s="1"/>
      <c r="L1439" s="1"/>
      <c r="S1439" s="1"/>
      <c r="Z1439" s="1"/>
      <c r="AG1439" s="1"/>
      <c r="AN1439" s="1"/>
    </row>
    <row r="1440" spans="11:40" x14ac:dyDescent="0.2">
      <c r="K1440" s="1"/>
      <c r="L1440" s="1"/>
      <c r="S1440" s="1"/>
      <c r="Z1440" s="1"/>
      <c r="AG1440" s="1"/>
      <c r="AN1440" s="1"/>
    </row>
    <row r="1441" spans="11:40" x14ac:dyDescent="0.2">
      <c r="K1441" s="1"/>
      <c r="L1441" s="1"/>
      <c r="S1441" s="1"/>
      <c r="Z1441" s="1"/>
      <c r="AG1441" s="1"/>
      <c r="AN1441" s="1"/>
    </row>
    <row r="1442" spans="11:40" x14ac:dyDescent="0.2">
      <c r="K1442" s="1"/>
      <c r="L1442" s="1"/>
      <c r="S1442" s="1"/>
      <c r="Z1442" s="1"/>
      <c r="AG1442" s="1"/>
      <c r="AN1442" s="1"/>
    </row>
    <row r="1443" spans="11:40" x14ac:dyDescent="0.2">
      <c r="K1443" s="1"/>
      <c r="L1443" s="1"/>
      <c r="S1443" s="1"/>
      <c r="Z1443" s="1"/>
      <c r="AG1443" s="1"/>
      <c r="AN1443" s="1"/>
    </row>
    <row r="1444" spans="11:40" x14ac:dyDescent="0.2">
      <c r="K1444" s="1"/>
      <c r="L1444" s="1"/>
      <c r="S1444" s="1"/>
      <c r="Z1444" s="1"/>
      <c r="AG1444" s="1"/>
      <c r="AN1444" s="1"/>
    </row>
    <row r="1445" spans="11:40" x14ac:dyDescent="0.2">
      <c r="K1445" s="1"/>
      <c r="L1445" s="1"/>
      <c r="S1445" s="1"/>
      <c r="Z1445" s="1"/>
      <c r="AG1445" s="1"/>
      <c r="AN1445" s="1"/>
    </row>
    <row r="1446" spans="11:40" x14ac:dyDescent="0.2">
      <c r="K1446" s="1"/>
      <c r="L1446" s="1"/>
      <c r="S1446" s="1"/>
      <c r="Z1446" s="1"/>
      <c r="AG1446" s="1"/>
      <c r="AN1446" s="1"/>
    </row>
    <row r="1447" spans="11:40" x14ac:dyDescent="0.2">
      <c r="K1447" s="1"/>
      <c r="L1447" s="1"/>
      <c r="S1447" s="1"/>
      <c r="Z1447" s="1"/>
      <c r="AG1447" s="1"/>
      <c r="AN1447" s="1"/>
    </row>
    <row r="1448" spans="11:40" x14ac:dyDescent="0.2">
      <c r="K1448" s="1"/>
      <c r="L1448" s="1"/>
      <c r="S1448" s="1"/>
      <c r="Z1448" s="1"/>
      <c r="AG1448" s="1"/>
      <c r="AN1448" s="1"/>
    </row>
    <row r="1449" spans="11:40" x14ac:dyDescent="0.2">
      <c r="K1449" s="1"/>
      <c r="L1449" s="1"/>
      <c r="S1449" s="1"/>
      <c r="Z1449" s="1"/>
      <c r="AG1449" s="1"/>
      <c r="AN1449" s="1"/>
    </row>
    <row r="1450" spans="11:40" x14ac:dyDescent="0.2">
      <c r="K1450" s="1"/>
      <c r="L1450" s="1"/>
      <c r="S1450" s="1"/>
      <c r="Z1450" s="1"/>
      <c r="AG1450" s="1"/>
      <c r="AN1450" s="1"/>
    </row>
    <row r="1451" spans="11:40" x14ac:dyDescent="0.2">
      <c r="K1451" s="1"/>
      <c r="L1451" s="1"/>
      <c r="S1451" s="1"/>
      <c r="Z1451" s="1"/>
      <c r="AG1451" s="1"/>
      <c r="AN1451" s="1"/>
    </row>
    <row r="1452" spans="11:40" x14ac:dyDescent="0.2">
      <c r="K1452" s="1"/>
      <c r="L1452" s="1"/>
      <c r="S1452" s="1"/>
      <c r="Z1452" s="1"/>
      <c r="AG1452" s="1"/>
      <c r="AN1452" s="1"/>
    </row>
    <row r="1453" spans="11:40" x14ac:dyDescent="0.2">
      <c r="K1453" s="1"/>
      <c r="L1453" s="1"/>
      <c r="S1453" s="1"/>
      <c r="Z1453" s="1"/>
      <c r="AG1453" s="1"/>
      <c r="AN1453" s="1"/>
    </row>
    <row r="1454" spans="11:40" x14ac:dyDescent="0.2">
      <c r="K1454" s="1"/>
      <c r="L1454" s="1"/>
      <c r="S1454" s="1"/>
      <c r="Z1454" s="1"/>
      <c r="AG1454" s="1"/>
      <c r="AN1454" s="1"/>
    </row>
    <row r="1455" spans="11:40" x14ac:dyDescent="0.2">
      <c r="K1455" s="1"/>
      <c r="L1455" s="1"/>
      <c r="S1455" s="1"/>
      <c r="Z1455" s="1"/>
      <c r="AG1455" s="1"/>
      <c r="AN1455" s="1"/>
    </row>
    <row r="1456" spans="11:40" x14ac:dyDescent="0.2">
      <c r="K1456" s="1"/>
      <c r="L1456" s="1"/>
      <c r="S1456" s="1"/>
      <c r="Z1456" s="1"/>
      <c r="AG1456" s="1"/>
      <c r="AN1456" s="1"/>
    </row>
    <row r="1457" spans="11:40" x14ac:dyDescent="0.2">
      <c r="K1457" s="1"/>
      <c r="L1457" s="1"/>
      <c r="S1457" s="1"/>
      <c r="Z1457" s="1"/>
      <c r="AG1457" s="1"/>
      <c r="AN1457" s="1"/>
    </row>
    <row r="1458" spans="11:40" x14ac:dyDescent="0.2">
      <c r="K1458" s="1"/>
      <c r="L1458" s="1"/>
      <c r="S1458" s="1"/>
      <c r="Z1458" s="1"/>
      <c r="AG1458" s="1"/>
      <c r="AN1458" s="1"/>
    </row>
    <row r="1459" spans="11:40" x14ac:dyDescent="0.2">
      <c r="K1459" s="1"/>
      <c r="L1459" s="1"/>
      <c r="S1459" s="1"/>
      <c r="Z1459" s="1"/>
      <c r="AG1459" s="1"/>
      <c r="AN1459" s="1"/>
    </row>
    <row r="1460" spans="11:40" x14ac:dyDescent="0.2">
      <c r="K1460" s="1"/>
      <c r="L1460" s="1"/>
      <c r="S1460" s="1"/>
      <c r="Z1460" s="1"/>
      <c r="AG1460" s="1"/>
      <c r="AN1460" s="1"/>
    </row>
    <row r="1461" spans="11:40" x14ac:dyDescent="0.2">
      <c r="K1461" s="1"/>
      <c r="L1461" s="1"/>
      <c r="S1461" s="1"/>
      <c r="Z1461" s="1"/>
      <c r="AG1461" s="1"/>
      <c r="AN1461" s="1"/>
    </row>
    <row r="1462" spans="11:40" x14ac:dyDescent="0.2">
      <c r="K1462" s="1"/>
      <c r="L1462" s="1"/>
      <c r="S1462" s="1"/>
      <c r="Z1462" s="1"/>
      <c r="AG1462" s="1"/>
      <c r="AN1462" s="1"/>
    </row>
    <row r="1463" spans="11:40" x14ac:dyDescent="0.2">
      <c r="K1463" s="1"/>
      <c r="L1463" s="1"/>
      <c r="S1463" s="1"/>
      <c r="Z1463" s="1"/>
      <c r="AG1463" s="1"/>
      <c r="AN1463" s="1"/>
    </row>
    <row r="1464" spans="11:40" x14ac:dyDescent="0.2">
      <c r="K1464" s="1"/>
      <c r="L1464" s="1"/>
      <c r="S1464" s="1"/>
      <c r="Z1464" s="1"/>
      <c r="AG1464" s="1"/>
      <c r="AN1464" s="1"/>
    </row>
    <row r="1465" spans="11:40" x14ac:dyDescent="0.2">
      <c r="K1465" s="1"/>
      <c r="L1465" s="1"/>
      <c r="S1465" s="1"/>
      <c r="Z1465" s="1"/>
      <c r="AG1465" s="1"/>
      <c r="AN1465" s="1"/>
    </row>
    <row r="1466" spans="11:40" x14ac:dyDescent="0.2">
      <c r="K1466" s="1"/>
      <c r="L1466" s="1"/>
      <c r="S1466" s="1"/>
      <c r="Z1466" s="1"/>
      <c r="AG1466" s="1"/>
      <c r="AN1466" s="1"/>
    </row>
    <row r="1467" spans="11:40" x14ac:dyDescent="0.2">
      <c r="K1467" s="1"/>
      <c r="L1467" s="1"/>
      <c r="S1467" s="1"/>
      <c r="Z1467" s="1"/>
      <c r="AG1467" s="1"/>
      <c r="AN1467" s="1"/>
    </row>
    <row r="1468" spans="11:40" x14ac:dyDescent="0.2">
      <c r="K1468" s="1"/>
      <c r="L1468" s="1"/>
      <c r="S1468" s="1"/>
      <c r="Z1468" s="1"/>
      <c r="AG1468" s="1"/>
      <c r="AN1468" s="1"/>
    </row>
    <row r="1469" spans="11:40" x14ac:dyDescent="0.2">
      <c r="K1469" s="1"/>
      <c r="L1469" s="1"/>
      <c r="S1469" s="1"/>
      <c r="Z1469" s="1"/>
      <c r="AG1469" s="1"/>
      <c r="AN1469" s="1"/>
    </row>
    <row r="1470" spans="11:40" x14ac:dyDescent="0.2">
      <c r="K1470" s="1"/>
      <c r="L1470" s="1"/>
      <c r="S1470" s="1"/>
      <c r="Z1470" s="1"/>
      <c r="AG1470" s="1"/>
      <c r="AN1470" s="1"/>
    </row>
    <row r="1471" spans="11:40" x14ac:dyDescent="0.2">
      <c r="K1471" s="1"/>
      <c r="L1471" s="1"/>
      <c r="S1471" s="1"/>
      <c r="Z1471" s="1"/>
      <c r="AG1471" s="1"/>
      <c r="AN1471" s="1"/>
    </row>
    <row r="1472" spans="11:40" x14ac:dyDescent="0.2">
      <c r="K1472" s="1"/>
      <c r="L1472" s="1"/>
      <c r="S1472" s="1"/>
      <c r="Z1472" s="1"/>
      <c r="AG1472" s="1"/>
      <c r="AN1472" s="1"/>
    </row>
    <row r="1473" spans="11:40" x14ac:dyDescent="0.2">
      <c r="K1473" s="1"/>
      <c r="L1473" s="1"/>
      <c r="S1473" s="1"/>
      <c r="Z1473" s="1"/>
      <c r="AG1473" s="1"/>
      <c r="AN1473" s="1"/>
    </row>
    <row r="1474" spans="11:40" x14ac:dyDescent="0.2">
      <c r="K1474" s="1"/>
      <c r="L1474" s="1"/>
      <c r="S1474" s="1"/>
      <c r="Z1474" s="1"/>
      <c r="AG1474" s="1"/>
      <c r="AN1474" s="1"/>
    </row>
    <row r="1475" spans="11:40" x14ac:dyDescent="0.2">
      <c r="K1475" s="1"/>
      <c r="L1475" s="1"/>
      <c r="S1475" s="1"/>
      <c r="Z1475" s="1"/>
      <c r="AG1475" s="1"/>
      <c r="AN1475" s="1"/>
    </row>
    <row r="1476" spans="11:40" x14ac:dyDescent="0.2">
      <c r="K1476" s="1"/>
      <c r="L1476" s="1"/>
      <c r="S1476" s="1"/>
      <c r="Z1476" s="1"/>
      <c r="AG1476" s="1"/>
      <c r="AN1476" s="1"/>
    </row>
    <row r="1477" spans="11:40" x14ac:dyDescent="0.2">
      <c r="K1477" s="1"/>
      <c r="L1477" s="1"/>
      <c r="S1477" s="1"/>
      <c r="Z1477" s="1"/>
      <c r="AG1477" s="1"/>
      <c r="AN1477" s="1"/>
    </row>
    <row r="1478" spans="11:40" x14ac:dyDescent="0.2">
      <c r="K1478" s="1"/>
      <c r="L1478" s="1"/>
      <c r="S1478" s="1"/>
      <c r="Z1478" s="1"/>
      <c r="AG1478" s="1"/>
      <c r="AN1478" s="1"/>
    </row>
    <row r="1479" spans="11:40" x14ac:dyDescent="0.2">
      <c r="K1479" s="1"/>
      <c r="L1479" s="1"/>
      <c r="S1479" s="1"/>
      <c r="Z1479" s="1"/>
      <c r="AG1479" s="1"/>
      <c r="AN1479" s="1"/>
    </row>
    <row r="1480" spans="11:40" x14ac:dyDescent="0.2">
      <c r="K1480" s="1"/>
      <c r="L1480" s="1"/>
      <c r="S1480" s="1"/>
      <c r="Z1480" s="1"/>
      <c r="AG1480" s="1"/>
      <c r="AN1480" s="1"/>
    </row>
    <row r="1481" spans="11:40" x14ac:dyDescent="0.2">
      <c r="K1481" s="1"/>
      <c r="L1481" s="1"/>
      <c r="S1481" s="1"/>
      <c r="Z1481" s="1"/>
      <c r="AG1481" s="1"/>
      <c r="AN1481" s="1"/>
    </row>
    <row r="1482" spans="11:40" x14ac:dyDescent="0.2">
      <c r="K1482" s="1"/>
      <c r="L1482" s="1"/>
      <c r="S1482" s="1"/>
      <c r="Z1482" s="1"/>
      <c r="AG1482" s="1"/>
      <c r="AN1482" s="1"/>
    </row>
    <row r="1483" spans="11:40" x14ac:dyDescent="0.2">
      <c r="K1483" s="1"/>
      <c r="L1483" s="1"/>
      <c r="S1483" s="1"/>
      <c r="Z1483" s="1"/>
      <c r="AG1483" s="1"/>
      <c r="AN1483" s="1"/>
    </row>
    <row r="1484" spans="11:40" x14ac:dyDescent="0.2">
      <c r="K1484" s="1"/>
      <c r="L1484" s="1"/>
      <c r="S1484" s="1"/>
      <c r="Z1484" s="1"/>
      <c r="AG1484" s="1"/>
      <c r="AN1484" s="1"/>
    </row>
    <row r="1485" spans="11:40" x14ac:dyDescent="0.2">
      <c r="K1485" s="1"/>
      <c r="L1485" s="1"/>
      <c r="S1485" s="1"/>
      <c r="Z1485" s="1"/>
      <c r="AG1485" s="1"/>
      <c r="AN1485" s="1"/>
    </row>
    <row r="1486" spans="11:40" x14ac:dyDescent="0.2">
      <c r="K1486" s="1"/>
      <c r="L1486" s="1"/>
      <c r="S1486" s="1"/>
      <c r="Z1486" s="1"/>
      <c r="AG1486" s="1"/>
      <c r="AN1486" s="1"/>
    </row>
    <row r="1487" spans="11:40" x14ac:dyDescent="0.2">
      <c r="K1487" s="1"/>
      <c r="L1487" s="1"/>
      <c r="S1487" s="1"/>
      <c r="Z1487" s="1"/>
      <c r="AG1487" s="1"/>
      <c r="AN1487" s="1"/>
    </row>
    <row r="1488" spans="11:40" x14ac:dyDescent="0.2">
      <c r="K1488" s="1"/>
      <c r="L1488" s="1"/>
      <c r="S1488" s="1"/>
      <c r="Z1488" s="1"/>
      <c r="AG1488" s="1"/>
      <c r="AN1488" s="1"/>
    </row>
    <row r="1489" spans="11:40" x14ac:dyDescent="0.2">
      <c r="K1489" s="1"/>
      <c r="L1489" s="1"/>
      <c r="S1489" s="1"/>
      <c r="Z1489" s="1"/>
      <c r="AG1489" s="1"/>
      <c r="AN1489" s="1"/>
    </row>
    <row r="1490" spans="11:40" x14ac:dyDescent="0.2">
      <c r="K1490" s="1"/>
      <c r="L1490" s="1"/>
      <c r="S1490" s="1"/>
      <c r="Z1490" s="1"/>
      <c r="AG1490" s="1"/>
      <c r="AN1490" s="1"/>
    </row>
    <row r="1491" spans="11:40" x14ac:dyDescent="0.2">
      <c r="K1491" s="1"/>
      <c r="L1491" s="1"/>
      <c r="S1491" s="1"/>
      <c r="Z1491" s="1"/>
      <c r="AG1491" s="1"/>
      <c r="AN1491" s="1"/>
    </row>
    <row r="1492" spans="11:40" x14ac:dyDescent="0.2">
      <c r="K1492" s="1"/>
      <c r="L1492" s="1"/>
      <c r="S1492" s="1"/>
      <c r="Z1492" s="1"/>
      <c r="AG1492" s="1"/>
      <c r="AN1492" s="1"/>
    </row>
    <row r="1493" spans="11:40" x14ac:dyDescent="0.2">
      <c r="K1493" s="1"/>
      <c r="L1493" s="1"/>
      <c r="S1493" s="1"/>
      <c r="Z1493" s="1"/>
      <c r="AG1493" s="1"/>
      <c r="AN1493" s="1"/>
    </row>
    <row r="1494" spans="11:40" x14ac:dyDescent="0.2">
      <c r="K1494" s="1"/>
      <c r="L1494" s="1"/>
      <c r="S1494" s="1"/>
      <c r="Z1494" s="1"/>
      <c r="AG1494" s="1"/>
      <c r="AN1494" s="1"/>
    </row>
    <row r="1495" spans="11:40" x14ac:dyDescent="0.2">
      <c r="K1495" s="1"/>
      <c r="L1495" s="1"/>
      <c r="S1495" s="1"/>
      <c r="Z1495" s="1"/>
      <c r="AG1495" s="1"/>
      <c r="AN1495" s="1"/>
    </row>
    <row r="1496" spans="11:40" x14ac:dyDescent="0.2">
      <c r="K1496" s="1"/>
      <c r="L1496" s="1"/>
      <c r="S1496" s="1"/>
      <c r="Z1496" s="1"/>
      <c r="AG1496" s="1"/>
      <c r="AN1496" s="1"/>
    </row>
    <row r="1497" spans="11:40" x14ac:dyDescent="0.2">
      <c r="K1497" s="1"/>
      <c r="L1497" s="1"/>
      <c r="S1497" s="1"/>
      <c r="Z1497" s="1"/>
      <c r="AG1497" s="1"/>
      <c r="AN1497" s="1"/>
    </row>
    <row r="1498" spans="11:40" x14ac:dyDescent="0.2">
      <c r="K1498" s="1"/>
      <c r="L1498" s="1"/>
      <c r="S1498" s="1"/>
      <c r="Z1498" s="1"/>
      <c r="AG1498" s="1"/>
      <c r="AN1498" s="1"/>
    </row>
    <row r="1499" spans="11:40" x14ac:dyDescent="0.2">
      <c r="K1499" s="1"/>
      <c r="L1499" s="1"/>
      <c r="S1499" s="1"/>
      <c r="Z1499" s="1"/>
      <c r="AG1499" s="1"/>
      <c r="AN1499" s="1"/>
    </row>
    <row r="1500" spans="11:40" x14ac:dyDescent="0.2">
      <c r="K1500" s="1"/>
      <c r="L1500" s="1"/>
      <c r="S1500" s="1"/>
      <c r="Z1500" s="1"/>
      <c r="AG1500" s="1"/>
      <c r="AN1500" s="1"/>
    </row>
    <row r="1501" spans="11:40" x14ac:dyDescent="0.2">
      <c r="K1501" s="1"/>
      <c r="L1501" s="1"/>
      <c r="S1501" s="1"/>
      <c r="Z1501" s="1"/>
      <c r="AG1501" s="1"/>
      <c r="AN1501" s="1"/>
    </row>
    <row r="1502" spans="11:40" x14ac:dyDescent="0.2">
      <c r="K1502" s="1"/>
      <c r="L1502" s="1"/>
      <c r="S1502" s="1"/>
      <c r="Z1502" s="1"/>
      <c r="AG1502" s="1"/>
      <c r="AN1502" s="1"/>
    </row>
    <row r="1503" spans="11:40" x14ac:dyDescent="0.2">
      <c r="K1503" s="1"/>
      <c r="L1503" s="1"/>
      <c r="S1503" s="1"/>
      <c r="Z1503" s="1"/>
      <c r="AG1503" s="1"/>
      <c r="AN1503" s="1"/>
    </row>
    <row r="1504" spans="11:40" x14ac:dyDescent="0.2">
      <c r="K1504" s="1"/>
      <c r="L1504" s="1"/>
      <c r="S1504" s="1"/>
      <c r="Z1504" s="1"/>
      <c r="AG1504" s="1"/>
      <c r="AN1504" s="1"/>
    </row>
    <row r="1505" spans="11:40" x14ac:dyDescent="0.2">
      <c r="K1505" s="1"/>
      <c r="L1505" s="1"/>
      <c r="S1505" s="1"/>
      <c r="Z1505" s="1"/>
      <c r="AG1505" s="1"/>
      <c r="AN1505" s="1"/>
    </row>
    <row r="1506" spans="11:40" x14ac:dyDescent="0.2">
      <c r="K1506" s="1"/>
      <c r="L1506" s="1"/>
      <c r="S1506" s="1"/>
      <c r="Z1506" s="1"/>
      <c r="AG1506" s="1"/>
      <c r="AN1506" s="1"/>
    </row>
    <row r="1507" spans="11:40" x14ac:dyDescent="0.2">
      <c r="K1507" s="1"/>
      <c r="L1507" s="1"/>
      <c r="S1507" s="1"/>
      <c r="Z1507" s="1"/>
      <c r="AG1507" s="1"/>
      <c r="AN1507" s="1"/>
    </row>
    <row r="1508" spans="11:40" x14ac:dyDescent="0.2">
      <c r="K1508" s="1"/>
      <c r="L1508" s="1"/>
      <c r="S1508" s="1"/>
      <c r="Z1508" s="1"/>
      <c r="AG1508" s="1"/>
      <c r="AN1508" s="1"/>
    </row>
    <row r="1509" spans="11:40" x14ac:dyDescent="0.2">
      <c r="K1509" s="1"/>
      <c r="L1509" s="1"/>
      <c r="S1509" s="1"/>
      <c r="Z1509" s="1"/>
      <c r="AG1509" s="1"/>
      <c r="AN1509" s="1"/>
    </row>
    <row r="1510" spans="11:40" x14ac:dyDescent="0.2">
      <c r="K1510" s="1"/>
      <c r="L1510" s="1"/>
      <c r="S1510" s="1"/>
      <c r="Z1510" s="1"/>
      <c r="AG1510" s="1"/>
      <c r="AN1510" s="1"/>
    </row>
    <row r="1511" spans="11:40" x14ac:dyDescent="0.2">
      <c r="K1511" s="1"/>
      <c r="L1511" s="1"/>
      <c r="S1511" s="1"/>
      <c r="Z1511" s="1"/>
      <c r="AG1511" s="1"/>
      <c r="AN1511" s="1"/>
    </row>
    <row r="1512" spans="11:40" x14ac:dyDescent="0.2">
      <c r="K1512" s="1"/>
      <c r="L1512" s="1"/>
      <c r="S1512" s="1"/>
      <c r="Z1512" s="1"/>
      <c r="AG1512" s="1"/>
      <c r="AN1512" s="1"/>
    </row>
    <row r="1513" spans="11:40" x14ac:dyDescent="0.2">
      <c r="K1513" s="1"/>
      <c r="L1513" s="1"/>
      <c r="S1513" s="1"/>
      <c r="Z1513" s="1"/>
      <c r="AG1513" s="1"/>
      <c r="AN1513" s="1"/>
    </row>
    <row r="1514" spans="11:40" x14ac:dyDescent="0.2">
      <c r="K1514" s="1"/>
      <c r="L1514" s="1"/>
      <c r="S1514" s="1"/>
      <c r="Z1514" s="1"/>
      <c r="AG1514" s="1"/>
      <c r="AN1514" s="1"/>
    </row>
    <row r="1515" spans="11:40" x14ac:dyDescent="0.2">
      <c r="K1515" s="1"/>
      <c r="L1515" s="1"/>
      <c r="S1515" s="1"/>
      <c r="Z1515" s="1"/>
      <c r="AG1515" s="1"/>
      <c r="AN1515" s="1"/>
    </row>
    <row r="1516" spans="11:40" x14ac:dyDescent="0.2">
      <c r="K1516" s="1"/>
      <c r="L1516" s="1"/>
      <c r="S1516" s="1"/>
      <c r="Z1516" s="1"/>
      <c r="AG1516" s="1"/>
      <c r="AN1516" s="1"/>
    </row>
    <row r="1517" spans="11:40" x14ac:dyDescent="0.2">
      <c r="K1517" s="1"/>
      <c r="L1517" s="1"/>
      <c r="S1517" s="1"/>
      <c r="Z1517" s="1"/>
      <c r="AG1517" s="1"/>
      <c r="AN1517" s="1"/>
    </row>
    <row r="1518" spans="11:40" x14ac:dyDescent="0.2">
      <c r="K1518" s="1"/>
      <c r="L1518" s="1"/>
      <c r="S1518" s="1"/>
      <c r="Z1518" s="1"/>
      <c r="AG1518" s="1"/>
      <c r="AN1518" s="1"/>
    </row>
    <row r="1519" spans="11:40" x14ac:dyDescent="0.2">
      <c r="K1519" s="1"/>
      <c r="L1519" s="1"/>
      <c r="S1519" s="1"/>
      <c r="Z1519" s="1"/>
      <c r="AG1519" s="1"/>
      <c r="AN1519" s="1"/>
    </row>
    <row r="1520" spans="11:40" x14ac:dyDescent="0.2">
      <c r="K1520" s="1"/>
      <c r="L1520" s="1"/>
      <c r="S1520" s="1"/>
      <c r="Z1520" s="1"/>
      <c r="AG1520" s="1"/>
      <c r="AN1520" s="1"/>
    </row>
    <row r="1521" spans="11:40" x14ac:dyDescent="0.2">
      <c r="K1521" s="1"/>
      <c r="L1521" s="1"/>
      <c r="S1521" s="1"/>
      <c r="Z1521" s="1"/>
      <c r="AG1521" s="1"/>
      <c r="AN1521" s="1"/>
    </row>
    <row r="1522" spans="11:40" x14ac:dyDescent="0.2">
      <c r="K1522" s="1"/>
      <c r="L1522" s="1"/>
      <c r="S1522" s="1"/>
      <c r="Z1522" s="1"/>
      <c r="AG1522" s="1"/>
      <c r="AN1522" s="1"/>
    </row>
    <row r="1523" spans="11:40" x14ac:dyDescent="0.2">
      <c r="K1523" s="1"/>
      <c r="L1523" s="1"/>
      <c r="S1523" s="1"/>
      <c r="Z1523" s="1"/>
      <c r="AG1523" s="1"/>
      <c r="AN1523" s="1"/>
    </row>
    <row r="1524" spans="11:40" x14ac:dyDescent="0.2">
      <c r="K1524" s="1"/>
      <c r="L1524" s="1"/>
      <c r="S1524" s="1"/>
      <c r="Z1524" s="1"/>
      <c r="AG1524" s="1"/>
      <c r="AN1524" s="1"/>
    </row>
    <row r="1525" spans="11:40" x14ac:dyDescent="0.2">
      <c r="K1525" s="1"/>
      <c r="L1525" s="1"/>
      <c r="S1525" s="1"/>
      <c r="Z1525" s="1"/>
      <c r="AG1525" s="1"/>
      <c r="AN1525" s="1"/>
    </row>
    <row r="1526" spans="11:40" x14ac:dyDescent="0.2">
      <c r="K1526" s="1"/>
      <c r="L1526" s="1"/>
      <c r="S1526" s="1"/>
      <c r="Z1526" s="1"/>
      <c r="AG1526" s="1"/>
      <c r="AN1526" s="1"/>
    </row>
    <row r="1527" spans="11:40" x14ac:dyDescent="0.2">
      <c r="K1527" s="1"/>
      <c r="L1527" s="1"/>
      <c r="S1527" s="1"/>
      <c r="Z1527" s="1"/>
      <c r="AG1527" s="1"/>
      <c r="AN1527" s="1"/>
    </row>
    <row r="1528" spans="11:40" x14ac:dyDescent="0.2">
      <c r="K1528" s="1"/>
      <c r="L1528" s="1"/>
      <c r="S1528" s="1"/>
      <c r="Z1528" s="1"/>
      <c r="AG1528" s="1"/>
      <c r="AN1528" s="1"/>
    </row>
    <row r="1529" spans="11:40" x14ac:dyDescent="0.2">
      <c r="K1529" s="1"/>
      <c r="L1529" s="1"/>
      <c r="S1529" s="1"/>
      <c r="Z1529" s="1"/>
      <c r="AG1529" s="1"/>
      <c r="AN1529" s="1"/>
    </row>
    <row r="1530" spans="11:40" x14ac:dyDescent="0.2">
      <c r="K1530" s="1"/>
      <c r="L1530" s="1"/>
      <c r="S1530" s="1"/>
      <c r="Z1530" s="1"/>
      <c r="AG1530" s="1"/>
      <c r="AN1530" s="1"/>
    </row>
    <row r="1531" spans="11:40" x14ac:dyDescent="0.2">
      <c r="K1531" s="1"/>
      <c r="L1531" s="1"/>
      <c r="S1531" s="1"/>
      <c r="Z1531" s="1"/>
      <c r="AG1531" s="1"/>
      <c r="AN1531" s="1"/>
    </row>
    <row r="1532" spans="11:40" x14ac:dyDescent="0.2">
      <c r="K1532" s="1"/>
      <c r="L1532" s="1"/>
      <c r="S1532" s="1"/>
      <c r="Z1532" s="1"/>
      <c r="AG1532" s="1"/>
      <c r="AN1532" s="1"/>
    </row>
    <row r="1533" spans="11:40" x14ac:dyDescent="0.2">
      <c r="K1533" s="1"/>
      <c r="L1533" s="1"/>
      <c r="S1533" s="1"/>
      <c r="Z1533" s="1"/>
      <c r="AG1533" s="1"/>
      <c r="AN1533" s="1"/>
    </row>
    <row r="1534" spans="11:40" x14ac:dyDescent="0.2">
      <c r="K1534" s="1"/>
      <c r="L1534" s="1"/>
      <c r="S1534" s="1"/>
      <c r="Z1534" s="1"/>
      <c r="AG1534" s="1"/>
      <c r="AN1534" s="1"/>
    </row>
    <row r="1535" spans="11:40" x14ac:dyDescent="0.2">
      <c r="K1535" s="1"/>
      <c r="L1535" s="1"/>
      <c r="S1535" s="1"/>
      <c r="Z1535" s="1"/>
      <c r="AG1535" s="1"/>
      <c r="AN1535" s="1"/>
    </row>
    <row r="1536" spans="11:40" x14ac:dyDescent="0.2">
      <c r="K1536" s="1"/>
      <c r="L1536" s="1"/>
      <c r="S1536" s="1"/>
      <c r="Z1536" s="1"/>
      <c r="AG1536" s="1"/>
      <c r="AN1536" s="1"/>
    </row>
    <row r="1537" spans="11:40" x14ac:dyDescent="0.2">
      <c r="K1537" s="1"/>
      <c r="L1537" s="1"/>
      <c r="S1537" s="1"/>
      <c r="Z1537" s="1"/>
      <c r="AG1537" s="1"/>
      <c r="AN1537" s="1"/>
    </row>
    <row r="1538" spans="11:40" x14ac:dyDescent="0.2">
      <c r="K1538" s="1"/>
      <c r="L1538" s="1"/>
      <c r="S1538" s="1"/>
      <c r="Z1538" s="1"/>
      <c r="AG1538" s="1"/>
      <c r="AN1538" s="1"/>
    </row>
    <row r="1539" spans="11:40" x14ac:dyDescent="0.2">
      <c r="K1539" s="1"/>
      <c r="L1539" s="1"/>
      <c r="S1539" s="1"/>
      <c r="Z1539" s="1"/>
      <c r="AG1539" s="1"/>
      <c r="AN1539" s="1"/>
    </row>
    <row r="1540" spans="11:40" x14ac:dyDescent="0.2">
      <c r="K1540" s="1"/>
      <c r="L1540" s="1"/>
      <c r="S1540" s="1"/>
      <c r="Z1540" s="1"/>
      <c r="AG1540" s="1"/>
      <c r="AN1540" s="1"/>
    </row>
    <row r="1541" spans="11:40" x14ac:dyDescent="0.2">
      <c r="K1541" s="1"/>
      <c r="L1541" s="1"/>
      <c r="S1541" s="1"/>
      <c r="Z1541" s="1"/>
      <c r="AG1541" s="1"/>
      <c r="AN1541" s="1"/>
    </row>
    <row r="1542" spans="11:40" x14ac:dyDescent="0.2">
      <c r="K1542" s="1"/>
      <c r="L1542" s="1"/>
      <c r="S1542" s="1"/>
      <c r="Z1542" s="1"/>
      <c r="AG1542" s="1"/>
      <c r="AN1542" s="1"/>
    </row>
    <row r="1543" spans="11:40" x14ac:dyDescent="0.2">
      <c r="K1543" s="1"/>
      <c r="L1543" s="1"/>
      <c r="S1543" s="1"/>
      <c r="Z1543" s="1"/>
      <c r="AG1543" s="1"/>
      <c r="AN1543" s="1"/>
    </row>
    <row r="1544" spans="11:40" x14ac:dyDescent="0.2">
      <c r="K1544" s="1"/>
      <c r="L1544" s="1"/>
      <c r="S1544" s="1"/>
      <c r="Z1544" s="1"/>
      <c r="AG1544" s="1"/>
      <c r="AN1544" s="1"/>
    </row>
    <row r="1545" spans="11:40" x14ac:dyDescent="0.2">
      <c r="K1545" s="1"/>
      <c r="L1545" s="1"/>
      <c r="S1545" s="1"/>
      <c r="Z1545" s="1"/>
      <c r="AG1545" s="1"/>
      <c r="AN1545" s="1"/>
    </row>
    <row r="1546" spans="11:40" x14ac:dyDescent="0.2">
      <c r="K1546" s="1"/>
      <c r="L1546" s="1"/>
      <c r="S1546" s="1"/>
      <c r="Z1546" s="1"/>
      <c r="AG1546" s="1"/>
      <c r="AN1546" s="1"/>
    </row>
    <row r="1547" spans="11:40" x14ac:dyDescent="0.2">
      <c r="K1547" s="1"/>
      <c r="L1547" s="1"/>
      <c r="S1547" s="1"/>
      <c r="Z1547" s="1"/>
      <c r="AG1547" s="1"/>
      <c r="AN1547" s="1"/>
    </row>
    <row r="1548" spans="11:40" x14ac:dyDescent="0.2">
      <c r="K1548" s="1"/>
      <c r="L1548" s="1"/>
      <c r="S1548" s="1"/>
      <c r="Z1548" s="1"/>
      <c r="AG1548" s="1"/>
      <c r="AN1548" s="1"/>
    </row>
    <row r="1549" spans="11:40" x14ac:dyDescent="0.2">
      <c r="K1549" s="1"/>
      <c r="L1549" s="1"/>
      <c r="S1549" s="1"/>
      <c r="Z1549" s="1"/>
      <c r="AG1549" s="1"/>
      <c r="AN1549" s="1"/>
    </row>
    <row r="1550" spans="11:40" x14ac:dyDescent="0.2">
      <c r="K1550" s="1"/>
      <c r="L1550" s="1"/>
      <c r="S1550" s="1"/>
      <c r="Z1550" s="1"/>
      <c r="AG1550" s="1"/>
      <c r="AN1550" s="1"/>
    </row>
    <row r="1551" spans="11:40" x14ac:dyDescent="0.2">
      <c r="K1551" s="1"/>
      <c r="L1551" s="1"/>
      <c r="S1551" s="1"/>
      <c r="Z1551" s="1"/>
      <c r="AG1551" s="1"/>
      <c r="AN1551" s="1"/>
    </row>
    <row r="1552" spans="11:40" x14ac:dyDescent="0.2">
      <c r="K1552" s="1"/>
      <c r="L1552" s="1"/>
      <c r="S1552" s="1"/>
      <c r="Z1552" s="1"/>
      <c r="AG1552" s="1"/>
      <c r="AN1552" s="1"/>
    </row>
    <row r="1553" spans="11:40" x14ac:dyDescent="0.2">
      <c r="K1553" s="1"/>
      <c r="L1553" s="1"/>
      <c r="S1553" s="1"/>
      <c r="Z1553" s="1"/>
      <c r="AG1553" s="1"/>
      <c r="AN1553" s="1"/>
    </row>
    <row r="1554" spans="11:40" x14ac:dyDescent="0.2">
      <c r="K1554" s="1"/>
      <c r="L1554" s="1"/>
      <c r="S1554" s="1"/>
      <c r="Z1554" s="1"/>
      <c r="AG1554" s="1"/>
      <c r="AN1554" s="1"/>
    </row>
    <row r="1555" spans="11:40" x14ac:dyDescent="0.2">
      <c r="K1555" s="1"/>
      <c r="L1555" s="1"/>
      <c r="S1555" s="1"/>
      <c r="Z1555" s="1"/>
      <c r="AG1555" s="1"/>
      <c r="AN1555" s="1"/>
    </row>
    <row r="1556" spans="11:40" x14ac:dyDescent="0.2">
      <c r="K1556" s="1"/>
      <c r="L1556" s="1"/>
      <c r="S1556" s="1"/>
      <c r="Z1556" s="1"/>
      <c r="AG1556" s="1"/>
      <c r="AN1556" s="1"/>
    </row>
    <row r="1557" spans="11:40" x14ac:dyDescent="0.2">
      <c r="K1557" s="1"/>
      <c r="L1557" s="1"/>
      <c r="S1557" s="1"/>
      <c r="Z1557" s="1"/>
      <c r="AG1557" s="1"/>
      <c r="AN1557" s="1"/>
    </row>
    <row r="1558" spans="11:40" x14ac:dyDescent="0.2">
      <c r="K1558" s="1"/>
      <c r="L1558" s="1"/>
      <c r="S1558" s="1"/>
      <c r="Z1558" s="1"/>
      <c r="AG1558" s="1"/>
      <c r="AN1558" s="1"/>
    </row>
    <row r="1559" spans="11:40" x14ac:dyDescent="0.2">
      <c r="K1559" s="1"/>
      <c r="L1559" s="1"/>
      <c r="S1559" s="1"/>
      <c r="Z1559" s="1"/>
      <c r="AG1559" s="1"/>
      <c r="AN1559" s="1"/>
    </row>
    <row r="1560" spans="11:40" x14ac:dyDescent="0.2">
      <c r="K1560" s="1"/>
      <c r="L1560" s="1"/>
      <c r="S1560" s="1"/>
      <c r="Z1560" s="1"/>
      <c r="AG1560" s="1"/>
      <c r="AN1560" s="1"/>
    </row>
    <row r="1561" spans="11:40" x14ac:dyDescent="0.2">
      <c r="K1561" s="1"/>
      <c r="L1561" s="1"/>
      <c r="S1561" s="1"/>
      <c r="Z1561" s="1"/>
      <c r="AG1561" s="1"/>
      <c r="AN1561" s="1"/>
    </row>
    <row r="1562" spans="11:40" x14ac:dyDescent="0.2">
      <c r="K1562" s="1"/>
      <c r="L1562" s="1"/>
      <c r="S1562" s="1"/>
      <c r="Z1562" s="1"/>
      <c r="AG1562" s="1"/>
      <c r="AN1562" s="1"/>
    </row>
    <row r="1563" spans="11:40" x14ac:dyDescent="0.2">
      <c r="K1563" s="1"/>
      <c r="L1563" s="1"/>
      <c r="S1563" s="1"/>
      <c r="Z1563" s="1"/>
      <c r="AG1563" s="1"/>
      <c r="AN1563" s="1"/>
    </row>
    <row r="1564" spans="11:40" x14ac:dyDescent="0.2">
      <c r="K1564" s="1"/>
      <c r="L1564" s="1"/>
      <c r="S1564" s="1"/>
      <c r="Z1564" s="1"/>
      <c r="AG1564" s="1"/>
      <c r="AN1564" s="1"/>
    </row>
    <row r="1565" spans="11:40" x14ac:dyDescent="0.2">
      <c r="K1565" s="1"/>
      <c r="L1565" s="1"/>
      <c r="S1565" s="1"/>
      <c r="Z1565" s="1"/>
      <c r="AG1565" s="1"/>
      <c r="AN1565" s="1"/>
    </row>
    <row r="1566" spans="11:40" x14ac:dyDescent="0.2">
      <c r="K1566" s="1"/>
      <c r="L1566" s="1"/>
      <c r="S1566" s="1"/>
      <c r="Z1566" s="1"/>
      <c r="AG1566" s="1"/>
      <c r="AN1566" s="1"/>
    </row>
    <row r="1567" spans="11:40" x14ac:dyDescent="0.2">
      <c r="K1567" s="1"/>
      <c r="L1567" s="1"/>
      <c r="S1567" s="1"/>
      <c r="Z1567" s="1"/>
      <c r="AG1567" s="1"/>
      <c r="AN1567" s="1"/>
    </row>
    <row r="1568" spans="11:40" x14ac:dyDescent="0.2">
      <c r="K1568" s="1"/>
      <c r="L1568" s="1"/>
      <c r="S1568" s="1"/>
      <c r="Z1568" s="1"/>
      <c r="AG1568" s="1"/>
      <c r="AN1568" s="1"/>
    </row>
    <row r="1569" spans="11:40" x14ac:dyDescent="0.2">
      <c r="K1569" s="1"/>
      <c r="L1569" s="1"/>
      <c r="S1569" s="1"/>
      <c r="Z1569" s="1"/>
      <c r="AG1569" s="1"/>
      <c r="AN1569" s="1"/>
    </row>
    <row r="1570" spans="11:40" x14ac:dyDescent="0.2">
      <c r="K1570" s="1"/>
      <c r="L1570" s="1"/>
      <c r="S1570" s="1"/>
      <c r="Z1570" s="1"/>
      <c r="AG1570" s="1"/>
      <c r="AN1570" s="1"/>
    </row>
    <row r="1571" spans="11:40" x14ac:dyDescent="0.2">
      <c r="K1571" s="1"/>
      <c r="L1571" s="1"/>
      <c r="S1571" s="1"/>
      <c r="Z1571" s="1"/>
      <c r="AG1571" s="1"/>
      <c r="AN1571" s="1"/>
    </row>
    <row r="1572" spans="11:40" x14ac:dyDescent="0.2">
      <c r="K1572" s="1"/>
      <c r="L1572" s="1"/>
      <c r="S1572" s="1"/>
      <c r="Z1572" s="1"/>
      <c r="AG1572" s="1"/>
      <c r="AN1572" s="1"/>
    </row>
    <row r="1573" spans="11:40" x14ac:dyDescent="0.2">
      <c r="K1573" s="1"/>
      <c r="L1573" s="1"/>
      <c r="S1573" s="1"/>
      <c r="Z1573" s="1"/>
      <c r="AG1573" s="1"/>
      <c r="AN1573" s="1"/>
    </row>
    <row r="1574" spans="11:40" x14ac:dyDescent="0.2">
      <c r="K1574" s="1"/>
      <c r="L1574" s="1"/>
      <c r="S1574" s="1"/>
      <c r="Z1574" s="1"/>
      <c r="AG1574" s="1"/>
      <c r="AN1574" s="1"/>
    </row>
    <row r="1575" spans="11:40" x14ac:dyDescent="0.2">
      <c r="K1575" s="1"/>
      <c r="L1575" s="1"/>
      <c r="S1575" s="1"/>
      <c r="Z1575" s="1"/>
      <c r="AG1575" s="1"/>
      <c r="AN1575" s="1"/>
    </row>
    <row r="1576" spans="11:40" x14ac:dyDescent="0.2">
      <c r="K1576" s="1"/>
      <c r="L1576" s="1"/>
      <c r="S1576" s="1"/>
      <c r="Z1576" s="1"/>
      <c r="AG1576" s="1"/>
      <c r="AN1576" s="1"/>
    </row>
    <row r="1577" spans="11:40" x14ac:dyDescent="0.2">
      <c r="K1577" s="1"/>
      <c r="L1577" s="1"/>
      <c r="S1577" s="1"/>
      <c r="Z1577" s="1"/>
      <c r="AG1577" s="1"/>
      <c r="AN1577" s="1"/>
    </row>
    <row r="1578" spans="11:40" x14ac:dyDescent="0.2">
      <c r="K1578" s="1"/>
      <c r="L1578" s="1"/>
      <c r="S1578" s="1"/>
      <c r="Z1578" s="1"/>
      <c r="AG1578" s="1"/>
      <c r="AN1578" s="1"/>
    </row>
    <row r="1579" spans="11:40" x14ac:dyDescent="0.2">
      <c r="K1579" s="1"/>
      <c r="L1579" s="1"/>
      <c r="S1579" s="1"/>
      <c r="Z1579" s="1"/>
      <c r="AG1579" s="1"/>
      <c r="AN1579" s="1"/>
    </row>
    <row r="1580" spans="11:40" x14ac:dyDescent="0.2">
      <c r="K1580" s="1"/>
      <c r="L1580" s="1"/>
      <c r="S1580" s="1"/>
      <c r="Z1580" s="1"/>
      <c r="AG1580" s="1"/>
      <c r="AN1580" s="1"/>
    </row>
    <row r="1581" spans="11:40" x14ac:dyDescent="0.2">
      <c r="K1581" s="1"/>
      <c r="L1581" s="1"/>
      <c r="S1581" s="1"/>
      <c r="Z1581" s="1"/>
      <c r="AG1581" s="1"/>
      <c r="AN1581" s="1"/>
    </row>
    <row r="1582" spans="11:40" x14ac:dyDescent="0.2">
      <c r="K1582" s="1"/>
      <c r="L1582" s="1"/>
      <c r="S1582" s="1"/>
      <c r="Z1582" s="1"/>
      <c r="AG1582" s="1"/>
      <c r="AN1582" s="1"/>
    </row>
    <row r="1583" spans="11:40" x14ac:dyDescent="0.2">
      <c r="K1583" s="1"/>
      <c r="L1583" s="1"/>
      <c r="S1583" s="1"/>
      <c r="Z1583" s="1"/>
      <c r="AG1583" s="1"/>
      <c r="AN1583" s="1"/>
    </row>
    <row r="1584" spans="11:40" x14ac:dyDescent="0.2">
      <c r="K1584" s="1"/>
      <c r="L1584" s="1"/>
      <c r="S1584" s="1"/>
      <c r="Z1584" s="1"/>
      <c r="AG1584" s="1"/>
      <c r="AN1584" s="1"/>
    </row>
    <row r="1585" spans="11:40" x14ac:dyDescent="0.2">
      <c r="K1585" s="1"/>
      <c r="L1585" s="1"/>
      <c r="S1585" s="1"/>
      <c r="Z1585" s="1"/>
      <c r="AG1585" s="1"/>
      <c r="AN1585" s="1"/>
    </row>
    <row r="1586" spans="11:40" x14ac:dyDescent="0.2">
      <c r="K1586" s="1"/>
      <c r="L1586" s="1"/>
      <c r="S1586" s="1"/>
      <c r="Z1586" s="1"/>
      <c r="AG1586" s="1"/>
      <c r="AN1586" s="1"/>
    </row>
    <row r="1587" spans="11:40" x14ac:dyDescent="0.2">
      <c r="K1587" s="1"/>
      <c r="L1587" s="1"/>
      <c r="S1587" s="1"/>
      <c r="Z1587" s="1"/>
      <c r="AG1587" s="1"/>
      <c r="AN1587" s="1"/>
    </row>
    <row r="1588" spans="11:40" x14ac:dyDescent="0.2">
      <c r="K1588" s="1"/>
      <c r="L1588" s="1"/>
      <c r="S1588" s="1"/>
      <c r="Z1588" s="1"/>
      <c r="AG1588" s="1"/>
      <c r="AN1588" s="1"/>
    </row>
    <row r="1589" spans="11:40" x14ac:dyDescent="0.2">
      <c r="K1589" s="1"/>
      <c r="L1589" s="1"/>
      <c r="S1589" s="1"/>
      <c r="Z1589" s="1"/>
      <c r="AG1589" s="1"/>
      <c r="AN1589" s="1"/>
    </row>
    <row r="1590" spans="11:40" x14ac:dyDescent="0.2">
      <c r="K1590" s="1"/>
      <c r="L1590" s="1"/>
      <c r="S1590" s="1"/>
      <c r="Z1590" s="1"/>
      <c r="AG1590" s="1"/>
      <c r="AN1590" s="1"/>
    </row>
    <row r="1591" spans="11:40" x14ac:dyDescent="0.2">
      <c r="K1591" s="1"/>
      <c r="L1591" s="1"/>
      <c r="S1591" s="1"/>
      <c r="Z1591" s="1"/>
      <c r="AG1591" s="1"/>
      <c r="AN1591" s="1"/>
    </row>
    <row r="1592" spans="11:40" x14ac:dyDescent="0.2">
      <c r="K1592" s="1"/>
      <c r="L1592" s="1"/>
      <c r="S1592" s="1"/>
      <c r="Z1592" s="1"/>
      <c r="AG1592" s="1"/>
      <c r="AN1592" s="1"/>
    </row>
    <row r="1593" spans="11:40" x14ac:dyDescent="0.2">
      <c r="K1593" s="1"/>
      <c r="L1593" s="1"/>
      <c r="S1593" s="1"/>
      <c r="Z1593" s="1"/>
      <c r="AG1593" s="1"/>
      <c r="AN1593" s="1"/>
    </row>
    <row r="1594" spans="11:40" x14ac:dyDescent="0.2">
      <c r="K1594" s="1"/>
      <c r="L1594" s="1"/>
      <c r="S1594" s="1"/>
      <c r="Z1594" s="1"/>
      <c r="AG1594" s="1"/>
      <c r="AN1594" s="1"/>
    </row>
    <row r="1595" spans="11:40" x14ac:dyDescent="0.2">
      <c r="K1595" s="1"/>
      <c r="L1595" s="1"/>
      <c r="S1595" s="1"/>
      <c r="Z1595" s="1"/>
      <c r="AG1595" s="1"/>
      <c r="AN1595" s="1"/>
    </row>
    <row r="1596" spans="11:40" x14ac:dyDescent="0.2">
      <c r="K1596" s="1"/>
      <c r="L1596" s="1"/>
      <c r="S1596" s="1"/>
      <c r="Z1596" s="1"/>
      <c r="AG1596" s="1"/>
      <c r="AN1596" s="1"/>
    </row>
    <row r="1597" spans="11:40" x14ac:dyDescent="0.2">
      <c r="K1597" s="1"/>
      <c r="L1597" s="1"/>
      <c r="S1597" s="1"/>
      <c r="Z1597" s="1"/>
      <c r="AG1597" s="1"/>
      <c r="AN1597" s="1"/>
    </row>
    <row r="1598" spans="11:40" x14ac:dyDescent="0.2">
      <c r="K1598" s="1"/>
      <c r="L1598" s="1"/>
      <c r="S1598" s="1"/>
      <c r="Z1598" s="1"/>
      <c r="AG1598" s="1"/>
      <c r="AN1598" s="1"/>
    </row>
    <row r="1599" spans="11:40" x14ac:dyDescent="0.2">
      <c r="K1599" s="1"/>
      <c r="L1599" s="1"/>
      <c r="S1599" s="1"/>
      <c r="Z1599" s="1"/>
      <c r="AG1599" s="1"/>
      <c r="AN1599" s="1"/>
    </row>
    <row r="1600" spans="11:40" x14ac:dyDescent="0.2">
      <c r="K1600" s="1"/>
      <c r="L1600" s="1"/>
      <c r="S1600" s="1"/>
      <c r="Z1600" s="1"/>
      <c r="AG1600" s="1"/>
      <c r="AN1600" s="1"/>
    </row>
    <row r="1601" spans="11:40" x14ac:dyDescent="0.2">
      <c r="K1601" s="1"/>
      <c r="L1601" s="1"/>
      <c r="S1601" s="1"/>
      <c r="Z1601" s="1"/>
      <c r="AG1601" s="1"/>
      <c r="AN1601" s="1"/>
    </row>
    <row r="1602" spans="11:40" x14ac:dyDescent="0.2">
      <c r="K1602" s="1"/>
      <c r="L1602" s="1"/>
      <c r="S1602" s="1"/>
      <c r="Z1602" s="1"/>
      <c r="AG1602" s="1"/>
      <c r="AN1602" s="1"/>
    </row>
    <row r="1603" spans="11:40" x14ac:dyDescent="0.2">
      <c r="K1603" s="1"/>
      <c r="L1603" s="1"/>
      <c r="S1603" s="1"/>
      <c r="Z1603" s="1"/>
      <c r="AG1603" s="1"/>
      <c r="AN1603" s="1"/>
    </row>
    <row r="1604" spans="11:40" x14ac:dyDescent="0.2">
      <c r="K1604" s="1"/>
      <c r="L1604" s="1"/>
      <c r="S1604" s="1"/>
      <c r="Z1604" s="1"/>
      <c r="AG1604" s="1"/>
      <c r="AN1604" s="1"/>
    </row>
    <row r="1605" spans="11:40" x14ac:dyDescent="0.2">
      <c r="K1605" s="1"/>
      <c r="L1605" s="1"/>
      <c r="S1605" s="1"/>
      <c r="Z1605" s="1"/>
      <c r="AG1605" s="1"/>
      <c r="AN1605" s="1"/>
    </row>
    <row r="1606" spans="11:40" x14ac:dyDescent="0.2">
      <c r="K1606" s="1"/>
      <c r="L1606" s="1"/>
      <c r="S1606" s="1"/>
      <c r="Z1606" s="1"/>
      <c r="AG1606" s="1"/>
      <c r="AN1606" s="1"/>
    </row>
    <row r="1607" spans="11:40" x14ac:dyDescent="0.2">
      <c r="K1607" s="1"/>
      <c r="L1607" s="1"/>
      <c r="S1607" s="1"/>
      <c r="Z1607" s="1"/>
      <c r="AG1607" s="1"/>
      <c r="AN1607" s="1"/>
    </row>
    <row r="1608" spans="11:40" x14ac:dyDescent="0.2">
      <c r="K1608" s="1"/>
      <c r="L1608" s="1"/>
      <c r="S1608" s="1"/>
      <c r="Z1608" s="1"/>
      <c r="AG1608" s="1"/>
      <c r="AN1608" s="1"/>
    </row>
    <row r="1609" spans="11:40" x14ac:dyDescent="0.2">
      <c r="K1609" s="1"/>
      <c r="L1609" s="1"/>
      <c r="S1609" s="1"/>
      <c r="Z1609" s="1"/>
      <c r="AG1609" s="1"/>
      <c r="AN1609" s="1"/>
    </row>
    <row r="1610" spans="11:40" x14ac:dyDescent="0.2">
      <c r="K1610" s="1"/>
      <c r="L1610" s="1"/>
      <c r="S1610" s="1"/>
      <c r="Z1610" s="1"/>
      <c r="AG1610" s="1"/>
      <c r="AN1610" s="1"/>
    </row>
    <row r="1611" spans="11:40" x14ac:dyDescent="0.2">
      <c r="K1611" s="1"/>
      <c r="L1611" s="1"/>
      <c r="S1611" s="1"/>
      <c r="Z1611" s="1"/>
      <c r="AG1611" s="1"/>
      <c r="AN1611" s="1"/>
    </row>
    <row r="1612" spans="11:40" x14ac:dyDescent="0.2">
      <c r="K1612" s="1"/>
      <c r="L1612" s="1"/>
      <c r="S1612" s="1"/>
      <c r="Z1612" s="1"/>
      <c r="AG1612" s="1"/>
      <c r="AN1612" s="1"/>
    </row>
    <row r="1613" spans="11:40" x14ac:dyDescent="0.2">
      <c r="K1613" s="1"/>
      <c r="L1613" s="1"/>
      <c r="S1613" s="1"/>
      <c r="Z1613" s="1"/>
      <c r="AG1613" s="1"/>
      <c r="AN1613" s="1"/>
    </row>
    <row r="1614" spans="11:40" x14ac:dyDescent="0.2">
      <c r="K1614" s="1"/>
      <c r="L1614" s="1"/>
      <c r="S1614" s="1"/>
      <c r="Z1614" s="1"/>
      <c r="AG1614" s="1"/>
      <c r="AN1614" s="1"/>
    </row>
    <row r="1615" spans="11:40" x14ac:dyDescent="0.2">
      <c r="K1615" s="1"/>
      <c r="L1615" s="1"/>
      <c r="S1615" s="1"/>
      <c r="Z1615" s="1"/>
      <c r="AG1615" s="1"/>
      <c r="AN1615" s="1"/>
    </row>
    <row r="1616" spans="11:40" x14ac:dyDescent="0.2">
      <c r="K1616" s="1"/>
      <c r="L1616" s="1"/>
      <c r="S1616" s="1"/>
      <c r="Z1616" s="1"/>
      <c r="AG1616" s="1"/>
      <c r="AN1616" s="1"/>
    </row>
    <row r="1617" spans="11:40" x14ac:dyDescent="0.2">
      <c r="K1617" s="1"/>
      <c r="L1617" s="1"/>
      <c r="S1617" s="1"/>
      <c r="Z1617" s="1"/>
      <c r="AG1617" s="1"/>
      <c r="AN1617" s="1"/>
    </row>
    <row r="1618" spans="11:40" x14ac:dyDescent="0.2">
      <c r="K1618" s="1"/>
      <c r="L1618" s="1"/>
      <c r="S1618" s="1"/>
      <c r="Z1618" s="1"/>
      <c r="AG1618" s="1"/>
      <c r="AN1618" s="1"/>
    </row>
    <row r="1619" spans="11:40" x14ac:dyDescent="0.2">
      <c r="K1619" s="1"/>
      <c r="L1619" s="1"/>
      <c r="S1619" s="1"/>
      <c r="Z1619" s="1"/>
      <c r="AG1619" s="1"/>
      <c r="AN1619" s="1"/>
    </row>
    <row r="1620" spans="11:40" x14ac:dyDescent="0.2">
      <c r="K1620" s="1"/>
      <c r="L1620" s="1"/>
      <c r="S1620" s="1"/>
      <c r="Z1620" s="1"/>
      <c r="AG1620" s="1"/>
      <c r="AN1620" s="1"/>
    </row>
    <row r="1621" spans="11:40" x14ac:dyDescent="0.2">
      <c r="K1621" s="1"/>
      <c r="L1621" s="1"/>
      <c r="S1621" s="1"/>
      <c r="Z1621" s="1"/>
      <c r="AG1621" s="1"/>
      <c r="AN1621" s="1"/>
    </row>
    <row r="1622" spans="11:40" x14ac:dyDescent="0.2">
      <c r="K1622" s="1"/>
      <c r="L1622" s="1"/>
      <c r="S1622" s="1"/>
      <c r="Z1622" s="1"/>
      <c r="AG1622" s="1"/>
      <c r="AN1622" s="1"/>
    </row>
    <row r="1623" spans="11:40" x14ac:dyDescent="0.2">
      <c r="K1623" s="1"/>
      <c r="L1623" s="1"/>
      <c r="S1623" s="1"/>
      <c r="Z1623" s="1"/>
      <c r="AG1623" s="1"/>
      <c r="AN1623" s="1"/>
    </row>
    <row r="1624" spans="11:40" x14ac:dyDescent="0.2">
      <c r="K1624" s="1"/>
      <c r="L1624" s="1"/>
      <c r="S1624" s="1"/>
      <c r="Z1624" s="1"/>
      <c r="AG1624" s="1"/>
      <c r="AN1624" s="1"/>
    </row>
    <row r="1625" spans="11:40" x14ac:dyDescent="0.2">
      <c r="K1625" s="1"/>
      <c r="L1625" s="1"/>
      <c r="S1625" s="1"/>
      <c r="Z1625" s="1"/>
      <c r="AG1625" s="1"/>
      <c r="AN1625" s="1"/>
    </row>
    <row r="1626" spans="11:40" x14ac:dyDescent="0.2">
      <c r="K1626" s="1"/>
      <c r="L1626" s="1"/>
      <c r="S1626" s="1"/>
      <c r="Z1626" s="1"/>
      <c r="AG1626" s="1"/>
      <c r="AN1626" s="1"/>
    </row>
    <row r="1627" spans="11:40" x14ac:dyDescent="0.2">
      <c r="K1627" s="1"/>
      <c r="L1627" s="1"/>
      <c r="S1627" s="1"/>
      <c r="Z1627" s="1"/>
      <c r="AG1627" s="1"/>
      <c r="AN1627" s="1"/>
    </row>
    <row r="1628" spans="11:40" x14ac:dyDescent="0.2">
      <c r="K1628" s="1"/>
      <c r="L1628" s="1"/>
      <c r="S1628" s="1"/>
      <c r="Z1628" s="1"/>
      <c r="AG1628" s="1"/>
      <c r="AN1628" s="1"/>
    </row>
    <row r="1629" spans="11:40" x14ac:dyDescent="0.2">
      <c r="K1629" s="1"/>
      <c r="L1629" s="1"/>
      <c r="S1629" s="1"/>
      <c r="Z1629" s="1"/>
      <c r="AG1629" s="1"/>
      <c r="AN1629" s="1"/>
    </row>
    <row r="1630" spans="11:40" x14ac:dyDescent="0.2">
      <c r="K1630" s="1"/>
      <c r="L1630" s="1"/>
      <c r="S1630" s="1"/>
      <c r="Z1630" s="1"/>
      <c r="AG1630" s="1"/>
      <c r="AN1630" s="1"/>
    </row>
    <row r="1631" spans="11:40" x14ac:dyDescent="0.2">
      <c r="K1631" s="1"/>
      <c r="L1631" s="1"/>
      <c r="S1631" s="1"/>
      <c r="Z1631" s="1"/>
      <c r="AG1631" s="1"/>
      <c r="AN1631" s="1"/>
    </row>
    <row r="1632" spans="11:40" x14ac:dyDescent="0.2">
      <c r="K1632" s="1"/>
      <c r="L1632" s="1"/>
      <c r="S1632" s="1"/>
      <c r="Z1632" s="1"/>
      <c r="AG1632" s="1"/>
      <c r="AN1632" s="1"/>
    </row>
    <row r="1633" spans="11:40" x14ac:dyDescent="0.2">
      <c r="K1633" s="1"/>
      <c r="L1633" s="1"/>
      <c r="S1633" s="1"/>
      <c r="Z1633" s="1"/>
      <c r="AG1633" s="1"/>
      <c r="AN1633" s="1"/>
    </row>
    <row r="1634" spans="11:40" x14ac:dyDescent="0.2">
      <c r="K1634" s="1"/>
      <c r="L1634" s="1"/>
      <c r="S1634" s="1"/>
      <c r="Z1634" s="1"/>
      <c r="AG1634" s="1"/>
      <c r="AN1634" s="1"/>
    </row>
    <row r="1635" spans="11:40" x14ac:dyDescent="0.2">
      <c r="K1635" s="1"/>
      <c r="L1635" s="1"/>
      <c r="S1635" s="1"/>
      <c r="Z1635" s="1"/>
      <c r="AG1635" s="1"/>
      <c r="AN1635" s="1"/>
    </row>
    <row r="1636" spans="11:40" x14ac:dyDescent="0.2">
      <c r="K1636" s="1"/>
      <c r="L1636" s="1"/>
      <c r="S1636" s="1"/>
      <c r="Z1636" s="1"/>
      <c r="AG1636" s="1"/>
      <c r="AN1636" s="1"/>
    </row>
    <row r="1637" spans="11:40" x14ac:dyDescent="0.2">
      <c r="K1637" s="1"/>
      <c r="L1637" s="1"/>
      <c r="S1637" s="1"/>
      <c r="Z1637" s="1"/>
      <c r="AG1637" s="1"/>
      <c r="AN1637" s="1"/>
    </row>
    <row r="1638" spans="11:40" x14ac:dyDescent="0.2">
      <c r="K1638" s="1"/>
      <c r="L1638" s="1"/>
      <c r="S1638" s="1"/>
      <c r="Z1638" s="1"/>
      <c r="AG1638" s="1"/>
      <c r="AN1638" s="1"/>
    </row>
    <row r="1639" spans="11:40" x14ac:dyDescent="0.2">
      <c r="K1639" s="1"/>
      <c r="L1639" s="1"/>
      <c r="S1639" s="1"/>
      <c r="Z1639" s="1"/>
      <c r="AG1639" s="1"/>
      <c r="AN1639" s="1"/>
    </row>
    <row r="1640" spans="11:40" x14ac:dyDescent="0.2">
      <c r="K1640" s="1"/>
      <c r="L1640" s="1"/>
      <c r="S1640" s="1"/>
      <c r="Z1640" s="1"/>
      <c r="AG1640" s="1"/>
      <c r="AN1640" s="1"/>
    </row>
    <row r="1641" spans="11:40" x14ac:dyDescent="0.2">
      <c r="K1641" s="1"/>
      <c r="L1641" s="1"/>
      <c r="S1641" s="1"/>
      <c r="Z1641" s="1"/>
      <c r="AG1641" s="1"/>
      <c r="AN1641" s="1"/>
    </row>
    <row r="1642" spans="11:40" x14ac:dyDescent="0.2">
      <c r="K1642" s="1"/>
      <c r="L1642" s="1"/>
      <c r="S1642" s="1"/>
      <c r="Z1642" s="1"/>
      <c r="AG1642" s="1"/>
      <c r="AN1642" s="1"/>
    </row>
    <row r="1643" spans="11:40" x14ac:dyDescent="0.2">
      <c r="K1643" s="1"/>
      <c r="L1643" s="1"/>
      <c r="S1643" s="1"/>
      <c r="Z1643" s="1"/>
      <c r="AG1643" s="1"/>
      <c r="AN1643" s="1"/>
    </row>
    <row r="1644" spans="11:40" x14ac:dyDescent="0.2">
      <c r="K1644" s="1"/>
      <c r="L1644" s="1"/>
      <c r="S1644" s="1"/>
      <c r="Z1644" s="1"/>
      <c r="AG1644" s="1"/>
      <c r="AN1644" s="1"/>
    </row>
    <row r="1645" spans="11:40" x14ac:dyDescent="0.2">
      <c r="K1645" s="1"/>
      <c r="L1645" s="1"/>
      <c r="S1645" s="1"/>
      <c r="Z1645" s="1"/>
      <c r="AG1645" s="1"/>
      <c r="AN1645" s="1"/>
    </row>
    <row r="1646" spans="11:40" x14ac:dyDescent="0.2">
      <c r="K1646" s="1"/>
      <c r="L1646" s="1"/>
      <c r="S1646" s="1"/>
      <c r="Z1646" s="1"/>
      <c r="AG1646" s="1"/>
      <c r="AN1646" s="1"/>
    </row>
    <row r="1647" spans="11:40" x14ac:dyDescent="0.2">
      <c r="K1647" s="1"/>
      <c r="L1647" s="1"/>
      <c r="S1647" s="1"/>
      <c r="Z1647" s="1"/>
      <c r="AG1647" s="1"/>
      <c r="AN1647" s="1"/>
    </row>
    <row r="1648" spans="11:40" x14ac:dyDescent="0.2">
      <c r="K1648" s="1"/>
      <c r="L1648" s="1"/>
      <c r="S1648" s="1"/>
      <c r="Z1648" s="1"/>
      <c r="AG1648" s="1"/>
      <c r="AN1648" s="1"/>
    </row>
    <row r="1649" spans="11:40" x14ac:dyDescent="0.2">
      <c r="K1649" s="1"/>
      <c r="L1649" s="1"/>
      <c r="S1649" s="1"/>
      <c r="Z1649" s="1"/>
      <c r="AG1649" s="1"/>
      <c r="AN1649" s="1"/>
    </row>
    <row r="1650" spans="11:40" x14ac:dyDescent="0.2">
      <c r="K1650" s="1"/>
      <c r="L1650" s="1"/>
      <c r="S1650" s="1"/>
      <c r="Z1650" s="1"/>
      <c r="AG1650" s="1"/>
      <c r="AN1650" s="1"/>
    </row>
    <row r="1651" spans="11:40" x14ac:dyDescent="0.2">
      <c r="K1651" s="1"/>
      <c r="L1651" s="1"/>
      <c r="S1651" s="1"/>
      <c r="Z1651" s="1"/>
      <c r="AG1651" s="1"/>
      <c r="AN1651" s="1"/>
    </row>
    <row r="1652" spans="11:40" x14ac:dyDescent="0.2">
      <c r="K1652" s="1"/>
      <c r="L1652" s="1"/>
      <c r="S1652" s="1"/>
      <c r="Z1652" s="1"/>
      <c r="AG1652" s="1"/>
      <c r="AN1652" s="1"/>
    </row>
    <row r="1653" spans="11:40" x14ac:dyDescent="0.2">
      <c r="K1653" s="1"/>
      <c r="L1653" s="1"/>
      <c r="S1653" s="1"/>
      <c r="Z1653" s="1"/>
      <c r="AG1653" s="1"/>
      <c r="AN1653" s="1"/>
    </row>
    <row r="1654" spans="11:40" x14ac:dyDescent="0.2">
      <c r="K1654" s="1"/>
      <c r="L1654" s="1"/>
      <c r="S1654" s="1"/>
      <c r="Z1654" s="1"/>
      <c r="AG1654" s="1"/>
      <c r="AN1654" s="1"/>
    </row>
    <row r="1655" spans="11:40" x14ac:dyDescent="0.2">
      <c r="K1655" s="1"/>
      <c r="L1655" s="1"/>
      <c r="S1655" s="1"/>
      <c r="Z1655" s="1"/>
      <c r="AG1655" s="1"/>
      <c r="AN1655" s="1"/>
    </row>
    <row r="1656" spans="11:40" x14ac:dyDescent="0.2">
      <c r="K1656" s="1"/>
      <c r="L1656" s="1"/>
      <c r="S1656" s="1"/>
      <c r="Z1656" s="1"/>
      <c r="AG1656" s="1"/>
      <c r="AN1656" s="1"/>
    </row>
    <row r="1657" spans="11:40" x14ac:dyDescent="0.2">
      <c r="K1657" s="1"/>
      <c r="L1657" s="1"/>
      <c r="S1657" s="1"/>
      <c r="Z1657" s="1"/>
      <c r="AG1657" s="1"/>
      <c r="AN1657" s="1"/>
    </row>
    <row r="1658" spans="11:40" x14ac:dyDescent="0.2">
      <c r="K1658" s="1"/>
      <c r="L1658" s="1"/>
      <c r="S1658" s="1"/>
      <c r="Z1658" s="1"/>
      <c r="AG1658" s="1"/>
      <c r="AN1658" s="1"/>
    </row>
    <row r="1659" spans="11:40" x14ac:dyDescent="0.2">
      <c r="K1659" s="1"/>
      <c r="L1659" s="1"/>
      <c r="S1659" s="1"/>
      <c r="Z1659" s="1"/>
      <c r="AG1659" s="1"/>
      <c r="AN1659" s="1"/>
    </row>
    <row r="1660" spans="11:40" x14ac:dyDescent="0.2">
      <c r="K1660" s="1"/>
      <c r="L1660" s="1"/>
      <c r="S1660" s="1"/>
      <c r="Z1660" s="1"/>
      <c r="AG1660" s="1"/>
      <c r="AN1660" s="1"/>
    </row>
    <row r="1661" spans="11:40" x14ac:dyDescent="0.2">
      <c r="K1661" s="1"/>
      <c r="L1661" s="1"/>
      <c r="S1661" s="1"/>
      <c r="Z1661" s="1"/>
      <c r="AG1661" s="1"/>
      <c r="AN1661" s="1"/>
    </row>
    <row r="1662" spans="11:40" x14ac:dyDescent="0.2">
      <c r="K1662" s="1"/>
      <c r="L1662" s="1"/>
      <c r="S1662" s="1"/>
      <c r="Z1662" s="1"/>
      <c r="AG1662" s="1"/>
      <c r="AN1662" s="1"/>
    </row>
    <row r="1663" spans="11:40" x14ac:dyDescent="0.2">
      <c r="K1663" s="1"/>
      <c r="L1663" s="1"/>
      <c r="S1663" s="1"/>
      <c r="Z1663" s="1"/>
      <c r="AG1663" s="1"/>
      <c r="AN1663" s="1"/>
    </row>
    <row r="1664" spans="11:40" x14ac:dyDescent="0.2">
      <c r="K1664" s="1"/>
      <c r="L1664" s="1"/>
      <c r="S1664" s="1"/>
      <c r="Z1664" s="1"/>
      <c r="AG1664" s="1"/>
      <c r="AN1664" s="1"/>
    </row>
    <row r="1665" spans="11:40" x14ac:dyDescent="0.2">
      <c r="K1665" s="1"/>
      <c r="L1665" s="1"/>
      <c r="S1665" s="1"/>
      <c r="Z1665" s="1"/>
      <c r="AG1665" s="1"/>
      <c r="AN1665" s="1"/>
    </row>
    <row r="1666" spans="11:40" x14ac:dyDescent="0.2">
      <c r="K1666" s="1"/>
      <c r="L1666" s="1"/>
      <c r="S1666" s="1"/>
      <c r="Z1666" s="1"/>
      <c r="AG1666" s="1"/>
      <c r="AN1666" s="1"/>
    </row>
    <row r="1667" spans="11:40" x14ac:dyDescent="0.2">
      <c r="K1667" s="1"/>
      <c r="L1667" s="1"/>
      <c r="S1667" s="1"/>
      <c r="Z1667" s="1"/>
      <c r="AG1667" s="1"/>
      <c r="AN1667" s="1"/>
    </row>
    <row r="1668" spans="11:40" x14ac:dyDescent="0.2">
      <c r="K1668" s="1"/>
      <c r="L1668" s="1"/>
      <c r="S1668" s="1"/>
      <c r="Z1668" s="1"/>
      <c r="AG1668" s="1"/>
      <c r="AN1668" s="1"/>
    </row>
    <row r="1669" spans="11:40" x14ac:dyDescent="0.2">
      <c r="K1669" s="1"/>
      <c r="L1669" s="1"/>
      <c r="S1669" s="1"/>
      <c r="Z1669" s="1"/>
      <c r="AG1669" s="1"/>
      <c r="AN1669" s="1"/>
    </row>
    <row r="1670" spans="11:40" x14ac:dyDescent="0.2">
      <c r="K1670" s="1"/>
      <c r="L1670" s="1"/>
      <c r="S1670" s="1"/>
      <c r="Z1670" s="1"/>
      <c r="AG1670" s="1"/>
      <c r="AN1670" s="1"/>
    </row>
    <row r="1671" spans="11:40" x14ac:dyDescent="0.2">
      <c r="K1671" s="1"/>
      <c r="L1671" s="1"/>
      <c r="S1671" s="1"/>
      <c r="Z1671" s="1"/>
      <c r="AG1671" s="1"/>
      <c r="AN1671" s="1"/>
    </row>
    <row r="1672" spans="11:40" x14ac:dyDescent="0.2">
      <c r="K1672" s="1"/>
      <c r="L1672" s="1"/>
      <c r="S1672" s="1"/>
      <c r="Z1672" s="1"/>
      <c r="AG1672" s="1"/>
      <c r="AN1672" s="1"/>
    </row>
    <row r="1673" spans="11:40" x14ac:dyDescent="0.2">
      <c r="K1673" s="1"/>
      <c r="L1673" s="1"/>
      <c r="S1673" s="1"/>
      <c r="Z1673" s="1"/>
      <c r="AG1673" s="1"/>
      <c r="AN1673" s="1"/>
    </row>
    <row r="1674" spans="11:40" x14ac:dyDescent="0.2">
      <c r="K1674" s="1"/>
      <c r="L1674" s="1"/>
      <c r="S1674" s="1"/>
      <c r="Z1674" s="1"/>
      <c r="AG1674" s="1"/>
      <c r="AN1674" s="1"/>
    </row>
    <row r="1675" spans="11:40" x14ac:dyDescent="0.2">
      <c r="K1675" s="1"/>
      <c r="L1675" s="1"/>
      <c r="S1675" s="1"/>
      <c r="Z1675" s="1"/>
      <c r="AG1675" s="1"/>
      <c r="AN1675" s="1"/>
    </row>
    <row r="1676" spans="11:40" x14ac:dyDescent="0.2">
      <c r="K1676" s="1"/>
      <c r="L1676" s="1"/>
      <c r="S1676" s="1"/>
      <c r="Z1676" s="1"/>
      <c r="AG1676" s="1"/>
      <c r="AN1676" s="1"/>
    </row>
    <row r="1677" spans="11:40" x14ac:dyDescent="0.2">
      <c r="K1677" s="1"/>
      <c r="L1677" s="1"/>
      <c r="S1677" s="1"/>
      <c r="Z1677" s="1"/>
      <c r="AG1677" s="1"/>
      <c r="AN1677" s="1"/>
    </row>
    <row r="1678" spans="11:40" x14ac:dyDescent="0.2">
      <c r="K1678" s="1"/>
      <c r="L1678" s="1"/>
      <c r="S1678" s="1"/>
      <c r="Z1678" s="1"/>
      <c r="AG1678" s="1"/>
      <c r="AN1678" s="1"/>
    </row>
    <row r="1679" spans="11:40" x14ac:dyDescent="0.2">
      <c r="K1679" s="1"/>
      <c r="L1679" s="1"/>
      <c r="S1679" s="1"/>
      <c r="Z1679" s="1"/>
      <c r="AG1679" s="1"/>
      <c r="AN1679" s="1"/>
    </row>
    <row r="1680" spans="11:40" x14ac:dyDescent="0.2">
      <c r="K1680" s="1"/>
      <c r="L1680" s="1"/>
      <c r="S1680" s="1"/>
      <c r="Z1680" s="1"/>
      <c r="AG1680" s="1"/>
      <c r="AN1680" s="1"/>
    </row>
    <row r="1681" spans="11:40" x14ac:dyDescent="0.2">
      <c r="K1681" s="1"/>
      <c r="L1681" s="1"/>
      <c r="S1681" s="1"/>
      <c r="Z1681" s="1"/>
      <c r="AG1681" s="1"/>
      <c r="AN1681" s="1"/>
    </row>
    <row r="1682" spans="11:40" x14ac:dyDescent="0.2">
      <c r="K1682" s="1"/>
      <c r="L1682" s="1"/>
      <c r="S1682" s="1"/>
      <c r="Z1682" s="1"/>
      <c r="AG1682" s="1"/>
      <c r="AN1682" s="1"/>
    </row>
    <row r="1683" spans="11:40" x14ac:dyDescent="0.2">
      <c r="K1683" s="1"/>
      <c r="L1683" s="1"/>
      <c r="S1683" s="1"/>
      <c r="Z1683" s="1"/>
      <c r="AG1683" s="1"/>
      <c r="AN1683" s="1"/>
    </row>
    <row r="1684" spans="11:40" x14ac:dyDescent="0.2">
      <c r="K1684" s="1"/>
      <c r="L1684" s="1"/>
      <c r="S1684" s="1"/>
      <c r="Z1684" s="1"/>
      <c r="AG1684" s="1"/>
      <c r="AN1684" s="1"/>
    </row>
    <row r="1685" spans="11:40" x14ac:dyDescent="0.2">
      <c r="K1685" s="1"/>
      <c r="L1685" s="1"/>
      <c r="S1685" s="1"/>
      <c r="Z1685" s="1"/>
      <c r="AG1685" s="1"/>
      <c r="AN1685" s="1"/>
    </row>
    <row r="1686" spans="11:40" x14ac:dyDescent="0.2">
      <c r="K1686" s="1"/>
      <c r="L1686" s="1"/>
      <c r="S1686" s="1"/>
      <c r="Z1686" s="1"/>
      <c r="AG1686" s="1"/>
      <c r="AN1686" s="1"/>
    </row>
    <row r="1687" spans="11:40" x14ac:dyDescent="0.2">
      <c r="K1687" s="1"/>
      <c r="L1687" s="1"/>
      <c r="S1687" s="1"/>
      <c r="Z1687" s="1"/>
      <c r="AG1687" s="1"/>
      <c r="AN1687" s="1"/>
    </row>
    <row r="1688" spans="11:40" x14ac:dyDescent="0.2">
      <c r="K1688" s="1"/>
      <c r="L1688" s="1"/>
      <c r="S1688" s="1"/>
      <c r="Z1688" s="1"/>
      <c r="AG1688" s="1"/>
      <c r="AN1688" s="1"/>
    </row>
    <row r="1689" spans="11:40" x14ac:dyDescent="0.2">
      <c r="K1689" s="1"/>
      <c r="L1689" s="1"/>
      <c r="S1689" s="1"/>
      <c r="Z1689" s="1"/>
      <c r="AG1689" s="1"/>
      <c r="AN1689" s="1"/>
    </row>
    <row r="1690" spans="11:40" x14ac:dyDescent="0.2">
      <c r="K1690" s="1"/>
      <c r="L1690" s="1"/>
      <c r="S1690" s="1"/>
      <c r="Z1690" s="1"/>
      <c r="AG1690" s="1"/>
      <c r="AN1690" s="1"/>
    </row>
    <row r="1691" spans="11:40" x14ac:dyDescent="0.2">
      <c r="K1691" s="1"/>
      <c r="L1691" s="1"/>
      <c r="S1691" s="1"/>
      <c r="Z1691" s="1"/>
      <c r="AG1691" s="1"/>
      <c r="AN1691" s="1"/>
    </row>
    <row r="1692" spans="11:40" x14ac:dyDescent="0.2">
      <c r="K1692" s="1"/>
      <c r="L1692" s="1"/>
      <c r="S1692" s="1"/>
      <c r="Z1692" s="1"/>
      <c r="AG1692" s="1"/>
      <c r="AN1692" s="1"/>
    </row>
    <row r="1693" spans="11:40" x14ac:dyDescent="0.2">
      <c r="K1693" s="1"/>
      <c r="L1693" s="1"/>
      <c r="S1693" s="1"/>
      <c r="Z1693" s="1"/>
      <c r="AG1693" s="1"/>
      <c r="AN1693" s="1"/>
    </row>
    <row r="1694" spans="11:40" x14ac:dyDescent="0.2">
      <c r="K1694" s="1"/>
      <c r="L1694" s="1"/>
      <c r="S1694" s="1"/>
      <c r="Z1694" s="1"/>
      <c r="AG1694" s="1"/>
      <c r="AN1694" s="1"/>
    </row>
    <row r="1695" spans="11:40" x14ac:dyDescent="0.2">
      <c r="K1695" s="1"/>
      <c r="L1695" s="1"/>
      <c r="S1695" s="1"/>
      <c r="Z1695" s="1"/>
      <c r="AG1695" s="1"/>
      <c r="AN1695" s="1"/>
    </row>
    <row r="1696" spans="11:40" x14ac:dyDescent="0.2">
      <c r="K1696" s="1"/>
      <c r="L1696" s="1"/>
      <c r="S1696" s="1"/>
      <c r="Z1696" s="1"/>
      <c r="AG1696" s="1"/>
      <c r="AN1696" s="1"/>
    </row>
    <row r="1697" spans="11:40" x14ac:dyDescent="0.2">
      <c r="K1697" s="1"/>
      <c r="L1697" s="1"/>
      <c r="S1697" s="1"/>
      <c r="Z1697" s="1"/>
      <c r="AG1697" s="1"/>
      <c r="AN1697" s="1"/>
    </row>
    <row r="1698" spans="11:40" x14ac:dyDescent="0.2">
      <c r="K1698" s="1"/>
      <c r="L1698" s="1"/>
      <c r="S1698" s="1"/>
      <c r="Z1698" s="1"/>
      <c r="AG1698" s="1"/>
      <c r="AN1698" s="1"/>
    </row>
    <row r="1699" spans="11:40" x14ac:dyDescent="0.2">
      <c r="K1699" s="1"/>
      <c r="L1699" s="1"/>
      <c r="S1699" s="1"/>
      <c r="Z1699" s="1"/>
      <c r="AG1699" s="1"/>
      <c r="AN1699" s="1"/>
    </row>
    <row r="1700" spans="11:40" x14ac:dyDescent="0.2">
      <c r="K1700" s="1"/>
      <c r="L1700" s="1"/>
      <c r="S1700" s="1"/>
      <c r="Z1700" s="1"/>
      <c r="AG1700" s="1"/>
      <c r="AN1700" s="1"/>
    </row>
    <row r="1701" spans="11:40" x14ac:dyDescent="0.2">
      <c r="K1701" s="1"/>
      <c r="L1701" s="1"/>
      <c r="S1701" s="1"/>
      <c r="Z1701" s="1"/>
      <c r="AG1701" s="1"/>
      <c r="AN1701" s="1"/>
    </row>
    <row r="1702" spans="11:40" x14ac:dyDescent="0.2">
      <c r="K1702" s="1"/>
      <c r="L1702" s="1"/>
      <c r="S1702" s="1"/>
      <c r="Z1702" s="1"/>
      <c r="AG1702" s="1"/>
      <c r="AN1702" s="1"/>
    </row>
    <row r="1703" spans="11:40" x14ac:dyDescent="0.2">
      <c r="K1703" s="1"/>
      <c r="L1703" s="1"/>
      <c r="S1703" s="1"/>
      <c r="Z1703" s="1"/>
      <c r="AG1703" s="1"/>
      <c r="AN1703" s="1"/>
    </row>
    <row r="1704" spans="11:40" x14ac:dyDescent="0.2">
      <c r="K1704" s="1"/>
      <c r="L1704" s="1"/>
      <c r="S1704" s="1"/>
      <c r="Z1704" s="1"/>
      <c r="AG1704" s="1"/>
      <c r="AN1704" s="1"/>
    </row>
    <row r="1705" spans="11:40" x14ac:dyDescent="0.2">
      <c r="K1705" s="1"/>
      <c r="L1705" s="1"/>
      <c r="S1705" s="1"/>
      <c r="Z1705" s="1"/>
      <c r="AG1705" s="1"/>
      <c r="AN1705" s="1"/>
    </row>
    <row r="1706" spans="11:40" x14ac:dyDescent="0.2">
      <c r="K1706" s="1"/>
      <c r="L1706" s="1"/>
      <c r="S1706" s="1"/>
      <c r="Z1706" s="1"/>
      <c r="AG1706" s="1"/>
      <c r="AN1706" s="1"/>
    </row>
    <row r="1707" spans="11:40" x14ac:dyDescent="0.2">
      <c r="K1707" s="1"/>
      <c r="L1707" s="1"/>
      <c r="S1707" s="1"/>
      <c r="Z1707" s="1"/>
      <c r="AG1707" s="1"/>
      <c r="AN1707" s="1"/>
    </row>
    <row r="1708" spans="11:40" x14ac:dyDescent="0.2">
      <c r="K1708" s="1"/>
      <c r="L1708" s="1"/>
      <c r="S1708" s="1"/>
      <c r="Z1708" s="1"/>
      <c r="AG1708" s="1"/>
      <c r="AN1708" s="1"/>
    </row>
    <row r="1709" spans="11:40" x14ac:dyDescent="0.2">
      <c r="K1709" s="1"/>
      <c r="L1709" s="1"/>
      <c r="S1709" s="1"/>
      <c r="Z1709" s="1"/>
      <c r="AG1709" s="1"/>
      <c r="AN1709" s="1"/>
    </row>
    <row r="1710" spans="11:40" x14ac:dyDescent="0.2">
      <c r="K1710" s="1"/>
      <c r="L1710" s="1"/>
      <c r="S1710" s="1"/>
      <c r="Z1710" s="1"/>
      <c r="AG1710" s="1"/>
      <c r="AN1710" s="1"/>
    </row>
    <row r="1711" spans="11:40" x14ac:dyDescent="0.2">
      <c r="K1711" s="1"/>
      <c r="L1711" s="1"/>
      <c r="S1711" s="1"/>
      <c r="Z1711" s="1"/>
      <c r="AG1711" s="1"/>
      <c r="AN1711" s="1"/>
    </row>
    <row r="1712" spans="11:40" x14ac:dyDescent="0.2">
      <c r="K1712" s="1"/>
      <c r="L1712" s="1"/>
      <c r="S1712" s="1"/>
      <c r="Z1712" s="1"/>
      <c r="AG1712" s="1"/>
      <c r="AN1712" s="1"/>
    </row>
    <row r="1713" spans="11:40" x14ac:dyDescent="0.2">
      <c r="K1713" s="1"/>
      <c r="L1713" s="1"/>
      <c r="S1713" s="1"/>
      <c r="Z1713" s="1"/>
      <c r="AG1713" s="1"/>
      <c r="AN1713" s="1"/>
    </row>
    <row r="1714" spans="11:40" x14ac:dyDescent="0.2">
      <c r="K1714" s="1"/>
      <c r="L1714" s="1"/>
      <c r="S1714" s="1"/>
      <c r="Z1714" s="1"/>
      <c r="AG1714" s="1"/>
      <c r="AN1714" s="1"/>
    </row>
    <row r="1715" spans="11:40" x14ac:dyDescent="0.2">
      <c r="K1715" s="1"/>
      <c r="L1715" s="1"/>
      <c r="S1715" s="1"/>
      <c r="Z1715" s="1"/>
      <c r="AG1715" s="1"/>
      <c r="AN1715" s="1"/>
    </row>
    <row r="1716" spans="11:40" x14ac:dyDescent="0.2">
      <c r="K1716" s="1"/>
      <c r="L1716" s="1"/>
      <c r="S1716" s="1"/>
      <c r="Z1716" s="1"/>
      <c r="AG1716" s="1"/>
      <c r="AN1716" s="1"/>
    </row>
    <row r="1717" spans="11:40" x14ac:dyDescent="0.2">
      <c r="K1717" s="1"/>
      <c r="L1717" s="1"/>
      <c r="S1717" s="1"/>
      <c r="Z1717" s="1"/>
      <c r="AG1717" s="1"/>
      <c r="AN1717" s="1"/>
    </row>
    <row r="1718" spans="11:40" x14ac:dyDescent="0.2">
      <c r="K1718" s="1"/>
      <c r="L1718" s="1"/>
      <c r="S1718" s="1"/>
      <c r="Z1718" s="1"/>
      <c r="AG1718" s="1"/>
      <c r="AN1718" s="1"/>
    </row>
    <row r="1719" spans="11:40" x14ac:dyDescent="0.2">
      <c r="K1719" s="1"/>
      <c r="L1719" s="1"/>
      <c r="S1719" s="1"/>
      <c r="Z1719" s="1"/>
      <c r="AG1719" s="1"/>
      <c r="AN1719" s="1"/>
    </row>
    <row r="1720" spans="11:40" x14ac:dyDescent="0.2">
      <c r="K1720" s="1"/>
      <c r="L1720" s="1"/>
      <c r="S1720" s="1"/>
      <c r="Z1720" s="1"/>
      <c r="AG1720" s="1"/>
      <c r="AN1720" s="1"/>
    </row>
    <row r="1721" spans="11:40" x14ac:dyDescent="0.2">
      <c r="K1721" s="1"/>
      <c r="L1721" s="1"/>
      <c r="S1721" s="1"/>
      <c r="Z1721" s="1"/>
      <c r="AG1721" s="1"/>
      <c r="AN1721" s="1"/>
    </row>
    <row r="1722" spans="11:40" x14ac:dyDescent="0.2">
      <c r="K1722" s="1"/>
      <c r="L1722" s="1"/>
      <c r="S1722" s="1"/>
      <c r="Z1722" s="1"/>
      <c r="AG1722" s="1"/>
      <c r="AN1722" s="1"/>
    </row>
    <row r="1723" spans="11:40" x14ac:dyDescent="0.2">
      <c r="K1723" s="1"/>
      <c r="L1723" s="1"/>
      <c r="S1723" s="1"/>
      <c r="Z1723" s="1"/>
      <c r="AG1723" s="1"/>
      <c r="AN1723" s="1"/>
    </row>
    <row r="1724" spans="11:40" x14ac:dyDescent="0.2">
      <c r="K1724" s="1"/>
      <c r="L1724" s="1"/>
      <c r="S1724" s="1"/>
      <c r="Z1724" s="1"/>
      <c r="AG1724" s="1"/>
      <c r="AN1724" s="1"/>
    </row>
    <row r="1725" spans="11:40" x14ac:dyDescent="0.2">
      <c r="K1725" s="1"/>
      <c r="L1725" s="1"/>
      <c r="S1725" s="1"/>
      <c r="Z1725" s="1"/>
      <c r="AG1725" s="1"/>
      <c r="AN1725" s="1"/>
    </row>
    <row r="1726" spans="11:40" x14ac:dyDescent="0.2">
      <c r="K1726" s="1"/>
      <c r="L1726" s="1"/>
      <c r="S1726" s="1"/>
      <c r="Z1726" s="1"/>
      <c r="AG1726" s="1"/>
      <c r="AN1726" s="1"/>
    </row>
    <row r="1727" spans="11:40" x14ac:dyDescent="0.2">
      <c r="K1727" s="1"/>
      <c r="L1727" s="1"/>
      <c r="S1727" s="1"/>
      <c r="Z1727" s="1"/>
      <c r="AG1727" s="1"/>
      <c r="AN1727" s="1"/>
    </row>
    <row r="1728" spans="11:40" x14ac:dyDescent="0.2">
      <c r="K1728" s="1"/>
      <c r="L1728" s="1"/>
      <c r="S1728" s="1"/>
      <c r="Z1728" s="1"/>
      <c r="AG1728" s="1"/>
      <c r="AN1728" s="1"/>
    </row>
    <row r="1729" spans="11:40" x14ac:dyDescent="0.2">
      <c r="K1729" s="1"/>
      <c r="L1729" s="1"/>
      <c r="S1729" s="1"/>
      <c r="Z1729" s="1"/>
      <c r="AG1729" s="1"/>
      <c r="AN1729" s="1"/>
    </row>
    <row r="1730" spans="11:40" x14ac:dyDescent="0.2">
      <c r="K1730" s="1"/>
      <c r="L1730" s="1"/>
      <c r="S1730" s="1"/>
      <c r="Z1730" s="1"/>
      <c r="AG1730" s="1"/>
      <c r="AN1730" s="1"/>
    </row>
    <row r="1731" spans="11:40" x14ac:dyDescent="0.2">
      <c r="K1731" s="1"/>
      <c r="L1731" s="1"/>
      <c r="S1731" s="1"/>
      <c r="Z1731" s="1"/>
      <c r="AG1731" s="1"/>
      <c r="AN1731" s="1"/>
    </row>
    <row r="1732" spans="11:40" x14ac:dyDescent="0.2">
      <c r="K1732" s="1"/>
      <c r="L1732" s="1"/>
      <c r="S1732" s="1"/>
      <c r="Z1732" s="1"/>
      <c r="AG1732" s="1"/>
      <c r="AN1732" s="1"/>
    </row>
    <row r="1733" spans="11:40" x14ac:dyDescent="0.2">
      <c r="K1733" s="1"/>
      <c r="L1733" s="1"/>
      <c r="S1733" s="1"/>
      <c r="Z1733" s="1"/>
      <c r="AG1733" s="1"/>
      <c r="AN1733" s="1"/>
    </row>
    <row r="1734" spans="11:40" x14ac:dyDescent="0.2">
      <c r="K1734" s="1"/>
      <c r="L1734" s="1"/>
      <c r="S1734" s="1"/>
      <c r="Z1734" s="1"/>
      <c r="AG1734" s="1"/>
      <c r="AN1734" s="1"/>
    </row>
    <row r="1735" spans="11:40" x14ac:dyDescent="0.2">
      <c r="K1735" s="1"/>
      <c r="L1735" s="1"/>
      <c r="S1735" s="1"/>
      <c r="Z1735" s="1"/>
      <c r="AG1735" s="1"/>
      <c r="AN1735" s="1"/>
    </row>
    <row r="1736" spans="11:40" x14ac:dyDescent="0.2">
      <c r="K1736" s="1"/>
      <c r="L1736" s="1"/>
      <c r="S1736" s="1"/>
      <c r="Z1736" s="1"/>
      <c r="AG1736" s="1"/>
      <c r="AN1736" s="1"/>
    </row>
    <row r="1737" spans="11:40" x14ac:dyDescent="0.2">
      <c r="K1737" s="1"/>
      <c r="L1737" s="1"/>
      <c r="S1737" s="1"/>
      <c r="Z1737" s="1"/>
      <c r="AG1737" s="1"/>
      <c r="AN1737" s="1"/>
    </row>
    <row r="1738" spans="11:40" x14ac:dyDescent="0.2">
      <c r="K1738" s="1"/>
      <c r="L1738" s="1"/>
      <c r="S1738" s="1"/>
      <c r="Z1738" s="1"/>
      <c r="AG1738" s="1"/>
      <c r="AN1738" s="1"/>
    </row>
    <row r="1739" spans="11:40" x14ac:dyDescent="0.2">
      <c r="K1739" s="1"/>
      <c r="L1739" s="1"/>
      <c r="S1739" s="1"/>
      <c r="Z1739" s="1"/>
      <c r="AG1739" s="1"/>
      <c r="AN1739" s="1"/>
    </row>
    <row r="1740" spans="11:40" x14ac:dyDescent="0.2">
      <c r="K1740" s="1"/>
      <c r="L1740" s="1"/>
      <c r="S1740" s="1"/>
      <c r="Z1740" s="1"/>
      <c r="AG1740" s="1"/>
      <c r="AN1740" s="1"/>
    </row>
    <row r="1741" spans="11:40" x14ac:dyDescent="0.2">
      <c r="K1741" s="1"/>
      <c r="L1741" s="1"/>
      <c r="S1741" s="1"/>
      <c r="Z1741" s="1"/>
      <c r="AG1741" s="1"/>
      <c r="AN1741" s="1"/>
    </row>
    <row r="1742" spans="11:40" x14ac:dyDescent="0.2">
      <c r="K1742" s="1"/>
      <c r="L1742" s="1"/>
      <c r="S1742" s="1"/>
      <c r="Z1742" s="1"/>
      <c r="AG1742" s="1"/>
      <c r="AN1742" s="1"/>
    </row>
    <row r="1743" spans="11:40" x14ac:dyDescent="0.2">
      <c r="K1743" s="1"/>
      <c r="L1743" s="1"/>
      <c r="S1743" s="1"/>
      <c r="Z1743" s="1"/>
      <c r="AG1743" s="1"/>
      <c r="AN1743" s="1"/>
    </row>
    <row r="1744" spans="11:40" x14ac:dyDescent="0.2">
      <c r="K1744" s="1"/>
      <c r="L1744" s="1"/>
      <c r="S1744" s="1"/>
      <c r="Z1744" s="1"/>
      <c r="AG1744" s="1"/>
      <c r="AN1744" s="1"/>
    </row>
    <row r="1745" spans="11:40" x14ac:dyDescent="0.2">
      <c r="K1745" s="1"/>
      <c r="L1745" s="1"/>
      <c r="S1745" s="1"/>
      <c r="Z1745" s="1"/>
      <c r="AG1745" s="1"/>
      <c r="AN1745" s="1"/>
    </row>
    <row r="1746" spans="11:40" x14ac:dyDescent="0.2">
      <c r="K1746" s="1"/>
      <c r="L1746" s="1"/>
      <c r="S1746" s="1"/>
      <c r="Z1746" s="1"/>
      <c r="AG1746" s="1"/>
      <c r="AN1746" s="1"/>
    </row>
    <row r="1747" spans="11:40" x14ac:dyDescent="0.2">
      <c r="K1747" s="1"/>
      <c r="L1747" s="1"/>
      <c r="S1747" s="1"/>
      <c r="Z1747" s="1"/>
      <c r="AG1747" s="1"/>
      <c r="AN1747" s="1"/>
    </row>
    <row r="1748" spans="11:40" x14ac:dyDescent="0.2">
      <c r="K1748" s="1"/>
      <c r="L1748" s="1"/>
      <c r="S1748" s="1"/>
      <c r="Z1748" s="1"/>
      <c r="AG1748" s="1"/>
      <c r="AN1748" s="1"/>
    </row>
    <row r="1749" spans="11:40" x14ac:dyDescent="0.2">
      <c r="K1749" s="1"/>
      <c r="L1749" s="1"/>
      <c r="S1749" s="1"/>
      <c r="Z1749" s="1"/>
      <c r="AG1749" s="1"/>
      <c r="AN1749" s="1"/>
    </row>
    <row r="1750" spans="11:40" x14ac:dyDescent="0.2">
      <c r="K1750" s="1"/>
      <c r="L1750" s="1"/>
      <c r="S1750" s="1"/>
      <c r="Z1750" s="1"/>
      <c r="AG1750" s="1"/>
      <c r="AN1750" s="1"/>
    </row>
    <row r="1751" spans="11:40" x14ac:dyDescent="0.2">
      <c r="K1751" s="1"/>
      <c r="L1751" s="1"/>
      <c r="S1751" s="1"/>
      <c r="Z1751" s="1"/>
      <c r="AG1751" s="1"/>
      <c r="AN1751" s="1"/>
    </row>
    <row r="1752" spans="11:40" x14ac:dyDescent="0.2">
      <c r="K1752" s="1"/>
      <c r="L1752" s="1"/>
      <c r="S1752" s="1"/>
      <c r="Z1752" s="1"/>
      <c r="AG1752" s="1"/>
      <c r="AN1752" s="1"/>
    </row>
    <row r="1753" spans="11:40" x14ac:dyDescent="0.2">
      <c r="K1753" s="1"/>
      <c r="L1753" s="1"/>
      <c r="S1753" s="1"/>
      <c r="Z1753" s="1"/>
      <c r="AG1753" s="1"/>
      <c r="AN1753" s="1"/>
    </row>
    <row r="1754" spans="11:40" x14ac:dyDescent="0.2">
      <c r="K1754" s="1"/>
      <c r="L1754" s="1"/>
      <c r="S1754" s="1"/>
      <c r="Z1754" s="1"/>
      <c r="AG1754" s="1"/>
      <c r="AN1754" s="1"/>
    </row>
    <row r="1755" spans="11:40" x14ac:dyDescent="0.2">
      <c r="K1755" s="1"/>
      <c r="L1755" s="1"/>
      <c r="S1755" s="1"/>
      <c r="Z1755" s="1"/>
      <c r="AG1755" s="1"/>
      <c r="AN1755" s="1"/>
    </row>
    <row r="1756" spans="11:40" x14ac:dyDescent="0.2">
      <c r="K1756" s="1"/>
      <c r="L1756" s="1"/>
      <c r="S1756" s="1"/>
      <c r="Z1756" s="1"/>
      <c r="AG1756" s="1"/>
      <c r="AN1756" s="1"/>
    </row>
    <row r="1757" spans="11:40" x14ac:dyDescent="0.2">
      <c r="K1757" s="1"/>
      <c r="L1757" s="1"/>
      <c r="S1757" s="1"/>
      <c r="Z1757" s="1"/>
      <c r="AG1757" s="1"/>
      <c r="AN1757" s="1"/>
    </row>
    <row r="1758" spans="11:40" x14ac:dyDescent="0.2">
      <c r="K1758" s="1"/>
      <c r="L1758" s="1"/>
      <c r="S1758" s="1"/>
      <c r="Z1758" s="1"/>
      <c r="AG1758" s="1"/>
      <c r="AN1758" s="1"/>
    </row>
    <row r="1759" spans="11:40" x14ac:dyDescent="0.2">
      <c r="K1759" s="1"/>
      <c r="L1759" s="1"/>
      <c r="S1759" s="1"/>
      <c r="Z1759" s="1"/>
      <c r="AG1759" s="1"/>
      <c r="AN1759" s="1"/>
    </row>
    <row r="1760" spans="11:40" x14ac:dyDescent="0.2">
      <c r="K1760" s="1"/>
      <c r="L1760" s="1"/>
      <c r="S1760" s="1"/>
      <c r="Z1760" s="1"/>
      <c r="AG1760" s="1"/>
      <c r="AN1760" s="1"/>
    </row>
    <row r="1761" spans="11:40" x14ac:dyDescent="0.2">
      <c r="K1761" s="1"/>
      <c r="L1761" s="1"/>
      <c r="S1761" s="1"/>
      <c r="Z1761" s="1"/>
      <c r="AG1761" s="1"/>
      <c r="AN1761" s="1"/>
    </row>
    <row r="1762" spans="11:40" x14ac:dyDescent="0.2">
      <c r="K1762" s="1"/>
      <c r="L1762" s="1"/>
      <c r="S1762" s="1"/>
      <c r="Z1762" s="1"/>
      <c r="AG1762" s="1"/>
      <c r="AN1762" s="1"/>
    </row>
    <row r="1763" spans="11:40" x14ac:dyDescent="0.2">
      <c r="K1763" s="1"/>
      <c r="L1763" s="1"/>
      <c r="S1763" s="1"/>
      <c r="Z1763" s="1"/>
      <c r="AG1763" s="1"/>
      <c r="AN1763" s="1"/>
    </row>
    <row r="1764" spans="11:40" x14ac:dyDescent="0.2">
      <c r="K1764" s="1"/>
      <c r="L1764" s="1"/>
      <c r="S1764" s="1"/>
      <c r="Z1764" s="1"/>
      <c r="AG1764" s="1"/>
      <c r="AN1764" s="1"/>
    </row>
    <row r="1765" spans="11:40" x14ac:dyDescent="0.2">
      <c r="K1765" s="1"/>
      <c r="L1765" s="1"/>
      <c r="S1765" s="1"/>
      <c r="Z1765" s="1"/>
      <c r="AG1765" s="1"/>
      <c r="AN1765" s="1"/>
    </row>
    <row r="1766" spans="11:40" x14ac:dyDescent="0.2">
      <c r="K1766" s="1"/>
      <c r="L1766" s="1"/>
      <c r="S1766" s="1"/>
      <c r="Z1766" s="1"/>
      <c r="AG1766" s="1"/>
      <c r="AN1766" s="1"/>
    </row>
    <row r="1767" spans="11:40" x14ac:dyDescent="0.2">
      <c r="K1767" s="1"/>
      <c r="L1767" s="1"/>
      <c r="S1767" s="1"/>
      <c r="Z1767" s="1"/>
      <c r="AG1767" s="1"/>
      <c r="AN1767" s="1"/>
    </row>
    <row r="1768" spans="11:40" x14ac:dyDescent="0.2">
      <c r="K1768" s="1"/>
      <c r="L1768" s="1"/>
      <c r="S1768" s="1"/>
      <c r="Z1768" s="1"/>
      <c r="AG1768" s="1"/>
      <c r="AN1768" s="1"/>
    </row>
    <row r="1769" spans="11:40" x14ac:dyDescent="0.2">
      <c r="K1769" s="1"/>
      <c r="L1769" s="1"/>
      <c r="S1769" s="1"/>
      <c r="Z1769" s="1"/>
      <c r="AG1769" s="1"/>
      <c r="AN1769" s="1"/>
    </row>
    <row r="1770" spans="11:40" x14ac:dyDescent="0.2">
      <c r="K1770" s="1"/>
      <c r="L1770" s="1"/>
      <c r="S1770" s="1"/>
      <c r="Z1770" s="1"/>
      <c r="AG1770" s="1"/>
      <c r="AN1770" s="1"/>
    </row>
    <row r="1771" spans="11:40" x14ac:dyDescent="0.2">
      <c r="K1771" s="1"/>
      <c r="L1771" s="1"/>
      <c r="S1771" s="1"/>
      <c r="Z1771" s="1"/>
      <c r="AG1771" s="1"/>
      <c r="AN1771" s="1"/>
    </row>
    <row r="1772" spans="11:40" x14ac:dyDescent="0.2">
      <c r="K1772" s="1"/>
      <c r="L1772" s="1"/>
      <c r="S1772" s="1"/>
      <c r="Z1772" s="1"/>
      <c r="AG1772" s="1"/>
      <c r="AN1772" s="1"/>
    </row>
    <row r="1773" spans="11:40" x14ac:dyDescent="0.2">
      <c r="K1773" s="1"/>
      <c r="L1773" s="1"/>
      <c r="S1773" s="1"/>
      <c r="Z1773" s="1"/>
      <c r="AG1773" s="1"/>
      <c r="AN1773" s="1"/>
    </row>
    <row r="1774" spans="11:40" x14ac:dyDescent="0.2">
      <c r="K1774" s="1"/>
      <c r="L1774" s="1"/>
      <c r="S1774" s="1"/>
      <c r="Z1774" s="1"/>
      <c r="AG1774" s="1"/>
      <c r="AN1774" s="1"/>
    </row>
    <row r="1775" spans="11:40" x14ac:dyDescent="0.2">
      <c r="K1775" s="1"/>
      <c r="L1775" s="1"/>
      <c r="S1775" s="1"/>
      <c r="Z1775" s="1"/>
      <c r="AG1775" s="1"/>
      <c r="AN1775" s="1"/>
    </row>
    <row r="1776" spans="11:40" x14ac:dyDescent="0.2">
      <c r="K1776" s="1"/>
      <c r="L1776" s="1"/>
      <c r="S1776" s="1"/>
      <c r="Z1776" s="1"/>
      <c r="AG1776" s="1"/>
      <c r="AN1776" s="1"/>
    </row>
    <row r="1777" spans="11:40" x14ac:dyDescent="0.2">
      <c r="K1777" s="1"/>
      <c r="L1777" s="1"/>
      <c r="S1777" s="1"/>
      <c r="Z1777" s="1"/>
      <c r="AG1777" s="1"/>
      <c r="AN1777" s="1"/>
    </row>
    <row r="1778" spans="11:40" x14ac:dyDescent="0.2">
      <c r="K1778" s="1"/>
      <c r="L1778" s="1"/>
      <c r="S1778" s="1"/>
      <c r="Z1778" s="1"/>
      <c r="AG1778" s="1"/>
      <c r="AN1778" s="1"/>
    </row>
    <row r="1779" spans="11:40" x14ac:dyDescent="0.2">
      <c r="K1779" s="1"/>
      <c r="L1779" s="1"/>
      <c r="S1779" s="1"/>
      <c r="Z1779" s="1"/>
      <c r="AG1779" s="1"/>
      <c r="AN1779" s="1"/>
    </row>
    <row r="1780" spans="11:40" x14ac:dyDescent="0.2">
      <c r="K1780" s="1"/>
      <c r="L1780" s="1"/>
      <c r="S1780" s="1"/>
      <c r="Z1780" s="1"/>
      <c r="AG1780" s="1"/>
      <c r="AN1780" s="1"/>
    </row>
    <row r="1781" spans="11:40" x14ac:dyDescent="0.2">
      <c r="K1781" s="1"/>
      <c r="L1781" s="1"/>
      <c r="S1781" s="1"/>
      <c r="Z1781" s="1"/>
      <c r="AG1781" s="1"/>
      <c r="AN1781" s="1"/>
    </row>
    <row r="1782" spans="11:40" x14ac:dyDescent="0.2">
      <c r="K1782" s="1"/>
      <c r="L1782" s="1"/>
      <c r="S1782" s="1"/>
      <c r="Z1782" s="1"/>
      <c r="AG1782" s="1"/>
      <c r="AN1782" s="1"/>
    </row>
    <row r="1783" spans="11:40" x14ac:dyDescent="0.2">
      <c r="K1783" s="1"/>
      <c r="L1783" s="1"/>
      <c r="S1783" s="1"/>
      <c r="Z1783" s="1"/>
      <c r="AG1783" s="1"/>
      <c r="AN1783" s="1"/>
    </row>
    <row r="1784" spans="11:40" x14ac:dyDescent="0.2">
      <c r="K1784" s="1"/>
      <c r="L1784" s="1"/>
      <c r="S1784" s="1"/>
      <c r="Z1784" s="1"/>
      <c r="AG1784" s="1"/>
      <c r="AN1784" s="1"/>
    </row>
    <row r="1785" spans="11:40" x14ac:dyDescent="0.2">
      <c r="K1785" s="1"/>
      <c r="L1785" s="1"/>
      <c r="S1785" s="1"/>
      <c r="Z1785" s="1"/>
      <c r="AG1785" s="1"/>
      <c r="AN1785" s="1"/>
    </row>
    <row r="1786" spans="11:40" x14ac:dyDescent="0.2">
      <c r="K1786" s="1"/>
      <c r="L1786" s="1"/>
      <c r="S1786" s="1"/>
      <c r="Z1786" s="1"/>
      <c r="AG1786" s="1"/>
      <c r="AN1786" s="1"/>
    </row>
    <row r="1787" spans="11:40" x14ac:dyDescent="0.2">
      <c r="K1787" s="1"/>
      <c r="L1787" s="1"/>
      <c r="S1787" s="1"/>
      <c r="Z1787" s="1"/>
      <c r="AG1787" s="1"/>
      <c r="AN1787" s="1"/>
    </row>
    <row r="1788" spans="11:40" x14ac:dyDescent="0.2">
      <c r="K1788" s="1"/>
      <c r="L1788" s="1"/>
      <c r="S1788" s="1"/>
      <c r="Z1788" s="1"/>
      <c r="AG1788" s="1"/>
      <c r="AN1788" s="1"/>
    </row>
    <row r="1789" spans="11:40" x14ac:dyDescent="0.2">
      <c r="K1789" s="1"/>
      <c r="L1789" s="1"/>
      <c r="S1789" s="1"/>
      <c r="Z1789" s="1"/>
      <c r="AG1789" s="1"/>
      <c r="AN1789" s="1"/>
    </row>
    <row r="1790" spans="11:40" x14ac:dyDescent="0.2">
      <c r="K1790" s="1"/>
      <c r="L1790" s="1"/>
      <c r="S1790" s="1"/>
      <c r="Z1790" s="1"/>
      <c r="AG1790" s="1"/>
      <c r="AN1790" s="1"/>
    </row>
    <row r="1791" spans="11:40" x14ac:dyDescent="0.2">
      <c r="K1791" s="1"/>
      <c r="L1791" s="1"/>
      <c r="S1791" s="1"/>
      <c r="Z1791" s="1"/>
      <c r="AG1791" s="1"/>
      <c r="AN1791" s="1"/>
    </row>
    <row r="1792" spans="11:40" x14ac:dyDescent="0.2">
      <c r="K1792" s="1"/>
      <c r="L1792" s="1"/>
      <c r="S1792" s="1"/>
      <c r="Z1792" s="1"/>
      <c r="AG1792" s="1"/>
      <c r="AN1792" s="1"/>
    </row>
    <row r="1793" spans="11:40" x14ac:dyDescent="0.2">
      <c r="K1793" s="1"/>
      <c r="L1793" s="1"/>
      <c r="S1793" s="1"/>
      <c r="Z1793" s="1"/>
      <c r="AG1793" s="1"/>
      <c r="AN1793" s="1"/>
    </row>
    <row r="1794" spans="11:40" x14ac:dyDescent="0.2">
      <c r="K1794" s="1"/>
      <c r="L1794" s="1"/>
      <c r="S1794" s="1"/>
      <c r="Z1794" s="1"/>
      <c r="AG1794" s="1"/>
      <c r="AN1794" s="1"/>
    </row>
    <row r="1795" spans="11:40" x14ac:dyDescent="0.2">
      <c r="K1795" s="1"/>
      <c r="L1795" s="1"/>
      <c r="S1795" s="1"/>
      <c r="Z1795" s="1"/>
      <c r="AG1795" s="1"/>
      <c r="AN1795" s="1"/>
    </row>
    <row r="1796" spans="11:40" x14ac:dyDescent="0.2">
      <c r="K1796" s="1"/>
      <c r="L1796" s="1"/>
      <c r="S1796" s="1"/>
      <c r="Z1796" s="1"/>
      <c r="AG1796" s="1"/>
      <c r="AN1796" s="1"/>
    </row>
    <row r="1797" spans="11:40" x14ac:dyDescent="0.2">
      <c r="K1797" s="1"/>
      <c r="L1797" s="1"/>
      <c r="S1797" s="1"/>
      <c r="Z1797" s="1"/>
      <c r="AG1797" s="1"/>
      <c r="AN1797" s="1"/>
    </row>
    <row r="1798" spans="11:40" x14ac:dyDescent="0.2">
      <c r="K1798" s="1"/>
      <c r="L1798" s="1"/>
      <c r="S1798" s="1"/>
      <c r="Z1798" s="1"/>
      <c r="AG1798" s="1"/>
      <c r="AN1798" s="1"/>
    </row>
    <row r="1799" spans="11:40" x14ac:dyDescent="0.2">
      <c r="K1799" s="1"/>
      <c r="L1799" s="1"/>
      <c r="S1799" s="1"/>
      <c r="Z1799" s="1"/>
      <c r="AG1799" s="1"/>
      <c r="AN1799" s="1"/>
    </row>
    <row r="1800" spans="11:40" x14ac:dyDescent="0.2">
      <c r="K1800" s="1"/>
      <c r="L1800" s="1"/>
      <c r="S1800" s="1"/>
      <c r="Z1800" s="1"/>
      <c r="AG1800" s="1"/>
      <c r="AN1800" s="1"/>
    </row>
    <row r="1801" spans="11:40" x14ac:dyDescent="0.2">
      <c r="K1801" s="1"/>
      <c r="L1801" s="1"/>
      <c r="S1801" s="1"/>
      <c r="Z1801" s="1"/>
      <c r="AG1801" s="1"/>
      <c r="AN1801" s="1"/>
    </row>
    <row r="1802" spans="11:40" x14ac:dyDescent="0.2">
      <c r="K1802" s="1"/>
      <c r="L1802" s="1"/>
      <c r="S1802" s="1"/>
      <c r="Z1802" s="1"/>
      <c r="AG1802" s="1"/>
      <c r="AN1802" s="1"/>
    </row>
    <row r="1803" spans="11:40" x14ac:dyDescent="0.2">
      <c r="K1803" s="1"/>
      <c r="L1803" s="1"/>
      <c r="S1803" s="1"/>
      <c r="Z1803" s="1"/>
      <c r="AG1803" s="1"/>
      <c r="AN1803" s="1"/>
    </row>
    <row r="1804" spans="11:40" x14ac:dyDescent="0.2">
      <c r="K1804" s="1"/>
      <c r="L1804" s="1"/>
      <c r="S1804" s="1"/>
      <c r="Z1804" s="1"/>
      <c r="AG1804" s="1"/>
      <c r="AN1804" s="1"/>
    </row>
    <row r="1805" spans="11:40" x14ac:dyDescent="0.2">
      <c r="K1805" s="1"/>
      <c r="L1805" s="1"/>
      <c r="S1805" s="1"/>
      <c r="Z1805" s="1"/>
      <c r="AG1805" s="1"/>
      <c r="AN1805" s="1"/>
    </row>
    <row r="1806" spans="11:40" x14ac:dyDescent="0.2">
      <c r="K1806" s="1"/>
      <c r="L1806" s="1"/>
      <c r="S1806" s="1"/>
      <c r="Z1806" s="1"/>
      <c r="AG1806" s="1"/>
      <c r="AN1806" s="1"/>
    </row>
    <row r="1807" spans="11:40" x14ac:dyDescent="0.2">
      <c r="K1807" s="1"/>
      <c r="L1807" s="1"/>
      <c r="S1807" s="1"/>
      <c r="Z1807" s="1"/>
      <c r="AG1807" s="1"/>
      <c r="AN1807" s="1"/>
    </row>
    <row r="1808" spans="11:40" x14ac:dyDescent="0.2">
      <c r="K1808" s="1"/>
      <c r="L1808" s="1"/>
      <c r="S1808" s="1"/>
      <c r="Z1808" s="1"/>
      <c r="AG1808" s="1"/>
      <c r="AN1808" s="1"/>
    </row>
    <row r="1809" spans="11:40" x14ac:dyDescent="0.2">
      <c r="K1809" s="1"/>
      <c r="L1809" s="1"/>
      <c r="S1809" s="1"/>
      <c r="Z1809" s="1"/>
      <c r="AG1809" s="1"/>
      <c r="AN1809" s="1"/>
    </row>
    <row r="1810" spans="11:40" x14ac:dyDescent="0.2">
      <c r="K1810" s="1"/>
      <c r="L1810" s="1"/>
      <c r="S1810" s="1"/>
      <c r="Z1810" s="1"/>
      <c r="AG1810" s="1"/>
      <c r="AN1810" s="1"/>
    </row>
    <row r="1811" spans="11:40" x14ac:dyDescent="0.2">
      <c r="K1811" s="1"/>
      <c r="L1811" s="1"/>
      <c r="S1811" s="1"/>
      <c r="Z1811" s="1"/>
      <c r="AG1811" s="1"/>
      <c r="AN1811" s="1"/>
    </row>
    <row r="1812" spans="11:40" x14ac:dyDescent="0.2">
      <c r="K1812" s="1"/>
      <c r="L1812" s="1"/>
      <c r="S1812" s="1"/>
      <c r="Z1812" s="1"/>
      <c r="AG1812" s="1"/>
      <c r="AN1812" s="1"/>
    </row>
    <row r="1813" spans="11:40" x14ac:dyDescent="0.2">
      <c r="K1813" s="1"/>
      <c r="L1813" s="1"/>
      <c r="S1813" s="1"/>
      <c r="Z1813" s="1"/>
      <c r="AG1813" s="1"/>
      <c r="AN1813" s="1"/>
    </row>
    <row r="1814" spans="11:40" x14ac:dyDescent="0.2">
      <c r="K1814" s="1"/>
      <c r="L1814" s="1"/>
      <c r="S1814" s="1"/>
      <c r="Z1814" s="1"/>
      <c r="AG1814" s="1"/>
      <c r="AN1814" s="1"/>
    </row>
    <row r="1815" spans="11:40" x14ac:dyDescent="0.2">
      <c r="K1815" s="1"/>
      <c r="L1815" s="1"/>
      <c r="S1815" s="1"/>
      <c r="Z1815" s="1"/>
      <c r="AG1815" s="1"/>
      <c r="AN1815" s="1"/>
    </row>
    <row r="1816" spans="11:40" x14ac:dyDescent="0.2">
      <c r="K1816" s="1"/>
      <c r="L1816" s="1"/>
      <c r="S1816" s="1"/>
      <c r="Z1816" s="1"/>
      <c r="AG1816" s="1"/>
      <c r="AN1816" s="1"/>
    </row>
    <row r="1817" spans="11:40" x14ac:dyDescent="0.2">
      <c r="K1817" s="1"/>
      <c r="L1817" s="1"/>
      <c r="S1817" s="1"/>
      <c r="Z1817" s="1"/>
      <c r="AG1817" s="1"/>
      <c r="AN1817" s="1"/>
    </row>
    <row r="1818" spans="11:40" x14ac:dyDescent="0.2">
      <c r="K1818" s="1"/>
      <c r="L1818" s="1"/>
      <c r="S1818" s="1"/>
      <c r="Z1818" s="1"/>
      <c r="AG1818" s="1"/>
      <c r="AN1818" s="1"/>
    </row>
    <row r="1819" spans="11:40" x14ac:dyDescent="0.2">
      <c r="K1819" s="1"/>
      <c r="L1819" s="1"/>
      <c r="S1819" s="1"/>
      <c r="Z1819" s="1"/>
      <c r="AG1819" s="1"/>
      <c r="AN1819" s="1"/>
    </row>
    <row r="1820" spans="11:40" x14ac:dyDescent="0.2">
      <c r="K1820" s="1"/>
      <c r="L1820" s="1"/>
      <c r="S1820" s="1"/>
      <c r="Z1820" s="1"/>
      <c r="AG1820" s="1"/>
      <c r="AN1820" s="1"/>
    </row>
    <row r="1821" spans="11:40" x14ac:dyDescent="0.2">
      <c r="K1821" s="1"/>
      <c r="L1821" s="1"/>
      <c r="S1821" s="1"/>
      <c r="Z1821" s="1"/>
      <c r="AG1821" s="1"/>
      <c r="AN1821" s="1"/>
    </row>
    <row r="1822" spans="11:40" x14ac:dyDescent="0.2">
      <c r="K1822" s="1"/>
      <c r="L1822" s="1"/>
      <c r="S1822" s="1"/>
      <c r="Z1822" s="1"/>
      <c r="AG1822" s="1"/>
      <c r="AN1822" s="1"/>
    </row>
    <row r="1823" spans="11:40" x14ac:dyDescent="0.2">
      <c r="K1823" s="1"/>
      <c r="L1823" s="1"/>
      <c r="S1823" s="1"/>
      <c r="Z1823" s="1"/>
      <c r="AG1823" s="1"/>
      <c r="AN1823" s="1"/>
    </row>
    <row r="1824" spans="11:40" x14ac:dyDescent="0.2">
      <c r="K1824" s="1"/>
      <c r="L1824" s="1"/>
      <c r="S1824" s="1"/>
      <c r="Z1824" s="1"/>
      <c r="AG1824" s="1"/>
      <c r="AN1824" s="1"/>
    </row>
    <row r="1825" spans="11:40" x14ac:dyDescent="0.2">
      <c r="K1825" s="1"/>
      <c r="L1825" s="1"/>
      <c r="S1825" s="1"/>
      <c r="Z1825" s="1"/>
      <c r="AG1825" s="1"/>
      <c r="AN1825" s="1"/>
    </row>
    <row r="1826" spans="11:40" x14ac:dyDescent="0.2">
      <c r="K1826" s="1"/>
      <c r="L1826" s="1"/>
      <c r="S1826" s="1"/>
      <c r="Z1826" s="1"/>
      <c r="AG1826" s="1"/>
      <c r="AN1826" s="1"/>
    </row>
    <row r="1827" spans="11:40" x14ac:dyDescent="0.2">
      <c r="K1827" s="1"/>
      <c r="L1827" s="1"/>
      <c r="S1827" s="1"/>
      <c r="Z1827" s="1"/>
      <c r="AG1827" s="1"/>
      <c r="AN1827" s="1"/>
    </row>
    <row r="1828" spans="11:40" x14ac:dyDescent="0.2">
      <c r="K1828" s="1"/>
      <c r="L1828" s="1"/>
      <c r="S1828" s="1"/>
      <c r="Z1828" s="1"/>
      <c r="AG1828" s="1"/>
      <c r="AN1828" s="1"/>
    </row>
    <row r="1829" spans="11:40" x14ac:dyDescent="0.2">
      <c r="K1829" s="1"/>
      <c r="L1829" s="1"/>
      <c r="S1829" s="1"/>
      <c r="Z1829" s="1"/>
      <c r="AG1829" s="1"/>
      <c r="AN1829" s="1"/>
    </row>
    <row r="1830" spans="11:40" x14ac:dyDescent="0.2">
      <c r="K1830" s="1"/>
      <c r="L1830" s="1"/>
      <c r="S1830" s="1"/>
      <c r="Z1830" s="1"/>
      <c r="AG1830" s="1"/>
      <c r="AN1830" s="1"/>
    </row>
    <row r="1831" spans="11:40" x14ac:dyDescent="0.2">
      <c r="K1831" s="1"/>
      <c r="L1831" s="1"/>
      <c r="S1831" s="1"/>
      <c r="Z1831" s="1"/>
      <c r="AG1831" s="1"/>
      <c r="AN1831" s="1"/>
    </row>
    <row r="1832" spans="11:40" x14ac:dyDescent="0.2">
      <c r="K1832" s="1"/>
      <c r="L1832" s="1"/>
      <c r="S1832" s="1"/>
      <c r="Z1832" s="1"/>
      <c r="AG1832" s="1"/>
      <c r="AN1832" s="1"/>
    </row>
    <row r="1833" spans="11:40" x14ac:dyDescent="0.2">
      <c r="K1833" s="1"/>
      <c r="L1833" s="1"/>
      <c r="S1833" s="1"/>
      <c r="Z1833" s="1"/>
      <c r="AG1833" s="1"/>
      <c r="AN1833" s="1"/>
    </row>
    <row r="1834" spans="11:40" x14ac:dyDescent="0.2">
      <c r="K1834" s="1"/>
      <c r="L1834" s="1"/>
      <c r="S1834" s="1"/>
      <c r="Z1834" s="1"/>
      <c r="AG1834" s="1"/>
      <c r="AN1834" s="1"/>
    </row>
    <row r="1835" spans="11:40" x14ac:dyDescent="0.2">
      <c r="K1835" s="1"/>
      <c r="L1835" s="1"/>
      <c r="S1835" s="1"/>
      <c r="Z1835" s="1"/>
      <c r="AG1835" s="1"/>
      <c r="AN1835" s="1"/>
    </row>
    <row r="1836" spans="11:40" x14ac:dyDescent="0.2">
      <c r="K1836" s="1"/>
      <c r="L1836" s="1"/>
      <c r="S1836" s="1"/>
      <c r="Z1836" s="1"/>
      <c r="AG1836" s="1"/>
      <c r="AN1836" s="1"/>
    </row>
    <row r="1837" spans="11:40" x14ac:dyDescent="0.2">
      <c r="K1837" s="1"/>
      <c r="L1837" s="1"/>
      <c r="S1837" s="1"/>
      <c r="Z1837" s="1"/>
      <c r="AG1837" s="1"/>
      <c r="AN1837" s="1"/>
    </row>
    <row r="1838" spans="11:40" x14ac:dyDescent="0.2">
      <c r="K1838" s="1"/>
      <c r="L1838" s="1"/>
      <c r="S1838" s="1"/>
      <c r="Z1838" s="1"/>
      <c r="AG1838" s="1"/>
      <c r="AN1838" s="1"/>
    </row>
    <row r="1839" spans="11:40" x14ac:dyDescent="0.2">
      <c r="K1839" s="1"/>
      <c r="L1839" s="1"/>
      <c r="S1839" s="1"/>
      <c r="Z1839" s="1"/>
      <c r="AG1839" s="1"/>
      <c r="AN1839" s="1"/>
    </row>
    <row r="1840" spans="11:40" x14ac:dyDescent="0.2">
      <c r="K1840" s="1"/>
      <c r="L1840" s="1"/>
      <c r="S1840" s="1"/>
      <c r="Z1840" s="1"/>
      <c r="AG1840" s="1"/>
      <c r="AN1840" s="1"/>
    </row>
    <row r="1841" spans="11:40" x14ac:dyDescent="0.2">
      <c r="K1841" s="1"/>
      <c r="L1841" s="1"/>
      <c r="S1841" s="1"/>
      <c r="Z1841" s="1"/>
      <c r="AG1841" s="1"/>
      <c r="AN1841" s="1"/>
    </row>
    <row r="1842" spans="11:40" x14ac:dyDescent="0.2">
      <c r="K1842" s="1"/>
      <c r="L1842" s="1"/>
      <c r="S1842" s="1"/>
      <c r="Z1842" s="1"/>
      <c r="AG1842" s="1"/>
      <c r="AN1842" s="1"/>
    </row>
    <row r="1843" spans="11:40" x14ac:dyDescent="0.2">
      <c r="K1843" s="1"/>
      <c r="L1843" s="1"/>
      <c r="S1843" s="1"/>
      <c r="Z1843" s="1"/>
      <c r="AG1843" s="1"/>
      <c r="AN1843" s="1"/>
    </row>
    <row r="1844" spans="11:40" x14ac:dyDescent="0.2">
      <c r="K1844" s="1"/>
      <c r="L1844" s="1"/>
      <c r="S1844" s="1"/>
      <c r="Z1844" s="1"/>
      <c r="AG1844" s="1"/>
      <c r="AN1844" s="1"/>
    </row>
    <row r="1845" spans="11:40" x14ac:dyDescent="0.2">
      <c r="K1845" s="1"/>
      <c r="L1845" s="1"/>
      <c r="S1845" s="1"/>
      <c r="Z1845" s="1"/>
      <c r="AG1845" s="1"/>
      <c r="AN1845" s="1"/>
    </row>
    <row r="1846" spans="11:40" x14ac:dyDescent="0.2">
      <c r="K1846" s="1"/>
      <c r="L1846" s="1"/>
      <c r="S1846" s="1"/>
      <c r="Z1846" s="1"/>
      <c r="AG1846" s="1"/>
      <c r="AN1846" s="1"/>
    </row>
    <row r="1847" spans="11:40" x14ac:dyDescent="0.2">
      <c r="K1847" s="1"/>
      <c r="L1847" s="1"/>
      <c r="S1847" s="1"/>
      <c r="Z1847" s="1"/>
      <c r="AG1847" s="1"/>
      <c r="AN1847" s="1"/>
    </row>
    <row r="1848" spans="11:40" x14ac:dyDescent="0.2">
      <c r="K1848" s="1"/>
      <c r="L1848" s="1"/>
      <c r="S1848" s="1"/>
      <c r="Z1848" s="1"/>
      <c r="AG1848" s="1"/>
      <c r="AN1848" s="1"/>
    </row>
    <row r="1849" spans="11:40" x14ac:dyDescent="0.2">
      <c r="K1849" s="1"/>
      <c r="L1849" s="1"/>
      <c r="S1849" s="1"/>
      <c r="Z1849" s="1"/>
      <c r="AG1849" s="1"/>
      <c r="AN1849" s="1"/>
    </row>
    <row r="1850" spans="11:40" x14ac:dyDescent="0.2">
      <c r="K1850" s="1"/>
      <c r="L1850" s="1"/>
      <c r="S1850" s="1"/>
      <c r="Z1850" s="1"/>
      <c r="AG1850" s="1"/>
      <c r="AN1850" s="1"/>
    </row>
    <row r="1851" spans="11:40" x14ac:dyDescent="0.2">
      <c r="K1851" s="1"/>
      <c r="L1851" s="1"/>
      <c r="S1851" s="1"/>
      <c r="Z1851" s="1"/>
      <c r="AG1851" s="1"/>
      <c r="AN1851" s="1"/>
    </row>
    <row r="1852" spans="11:40" x14ac:dyDescent="0.2">
      <c r="K1852" s="1"/>
      <c r="L1852" s="1"/>
      <c r="S1852" s="1"/>
      <c r="Z1852" s="1"/>
      <c r="AG1852" s="1"/>
      <c r="AN1852" s="1"/>
    </row>
    <row r="1853" spans="11:40" x14ac:dyDescent="0.2">
      <c r="K1853" s="1"/>
      <c r="L1853" s="1"/>
      <c r="S1853" s="1"/>
      <c r="Z1853" s="1"/>
      <c r="AG1853" s="1"/>
      <c r="AN1853" s="1"/>
    </row>
    <row r="1854" spans="11:40" x14ac:dyDescent="0.2">
      <c r="K1854" s="1"/>
      <c r="L1854" s="1"/>
      <c r="S1854" s="1"/>
      <c r="Z1854" s="1"/>
      <c r="AG1854" s="1"/>
      <c r="AN1854" s="1"/>
    </row>
    <row r="1855" spans="11:40" x14ac:dyDescent="0.2">
      <c r="K1855" s="1"/>
      <c r="L1855" s="1"/>
      <c r="S1855" s="1"/>
      <c r="Z1855" s="1"/>
      <c r="AG1855" s="1"/>
      <c r="AN1855" s="1"/>
    </row>
    <row r="1856" spans="11:40" x14ac:dyDescent="0.2">
      <c r="K1856" s="1"/>
      <c r="L1856" s="1"/>
      <c r="S1856" s="1"/>
      <c r="Z1856" s="1"/>
      <c r="AG1856" s="1"/>
      <c r="AN1856" s="1"/>
    </row>
    <row r="1857" spans="11:40" x14ac:dyDescent="0.2">
      <c r="K1857" s="1"/>
      <c r="L1857" s="1"/>
      <c r="S1857" s="1"/>
      <c r="Z1857" s="1"/>
      <c r="AG1857" s="1"/>
      <c r="AN1857" s="1"/>
    </row>
    <row r="1858" spans="11:40" x14ac:dyDescent="0.2">
      <c r="K1858" s="1"/>
      <c r="L1858" s="1"/>
      <c r="S1858" s="1"/>
      <c r="Z1858" s="1"/>
      <c r="AG1858" s="1"/>
      <c r="AN1858" s="1"/>
    </row>
    <row r="1859" spans="11:40" x14ac:dyDescent="0.2">
      <c r="K1859" s="1"/>
      <c r="L1859" s="1"/>
      <c r="S1859" s="1"/>
      <c r="Z1859" s="1"/>
      <c r="AG1859" s="1"/>
      <c r="AN1859" s="1"/>
    </row>
    <row r="1860" spans="11:40" x14ac:dyDescent="0.2">
      <c r="K1860" s="1"/>
      <c r="L1860" s="1"/>
      <c r="S1860" s="1"/>
      <c r="Z1860" s="1"/>
      <c r="AG1860" s="1"/>
      <c r="AN1860" s="1"/>
    </row>
    <row r="1861" spans="11:40" x14ac:dyDescent="0.2">
      <c r="K1861" s="1"/>
      <c r="L1861" s="1"/>
      <c r="S1861" s="1"/>
      <c r="Z1861" s="1"/>
      <c r="AG1861" s="1"/>
      <c r="AN1861" s="1"/>
    </row>
    <row r="1862" spans="11:40" x14ac:dyDescent="0.2">
      <c r="K1862" s="1"/>
      <c r="L1862" s="1"/>
      <c r="S1862" s="1"/>
      <c r="Z1862" s="1"/>
      <c r="AG1862" s="1"/>
      <c r="AN1862" s="1"/>
    </row>
    <row r="1863" spans="11:40" x14ac:dyDescent="0.2">
      <c r="K1863" s="1"/>
      <c r="L1863" s="1"/>
      <c r="S1863" s="1"/>
      <c r="Z1863" s="1"/>
      <c r="AG1863" s="1"/>
      <c r="AN1863" s="1"/>
    </row>
    <row r="1864" spans="11:40" x14ac:dyDescent="0.2">
      <c r="K1864" s="1"/>
      <c r="L1864" s="1"/>
      <c r="S1864" s="1"/>
      <c r="Z1864" s="1"/>
      <c r="AG1864" s="1"/>
      <c r="AN1864" s="1"/>
    </row>
    <row r="1865" spans="11:40" x14ac:dyDescent="0.2">
      <c r="K1865" s="1"/>
      <c r="L1865" s="1"/>
      <c r="S1865" s="1"/>
      <c r="Z1865" s="1"/>
      <c r="AG1865" s="1"/>
      <c r="AN1865" s="1"/>
    </row>
    <row r="1866" spans="11:40" x14ac:dyDescent="0.2">
      <c r="K1866" s="1"/>
      <c r="L1866" s="1"/>
      <c r="S1866" s="1"/>
      <c r="Z1866" s="1"/>
      <c r="AG1866" s="1"/>
      <c r="AN1866" s="1"/>
    </row>
    <row r="1867" spans="11:40" x14ac:dyDescent="0.2">
      <c r="K1867" s="1"/>
      <c r="L1867" s="1"/>
      <c r="S1867" s="1"/>
      <c r="Z1867" s="1"/>
      <c r="AG1867" s="1"/>
      <c r="AN1867" s="1"/>
    </row>
    <row r="1868" spans="11:40" x14ac:dyDescent="0.2">
      <c r="K1868" s="1"/>
      <c r="L1868" s="1"/>
      <c r="S1868" s="1"/>
      <c r="Z1868" s="1"/>
      <c r="AG1868" s="1"/>
      <c r="AN1868" s="1"/>
    </row>
    <row r="1869" spans="11:40" x14ac:dyDescent="0.2">
      <c r="K1869" s="1"/>
      <c r="L1869" s="1"/>
      <c r="S1869" s="1"/>
      <c r="Z1869" s="1"/>
      <c r="AG1869" s="1"/>
      <c r="AN1869" s="1"/>
    </row>
    <row r="1870" spans="11:40" x14ac:dyDescent="0.2">
      <c r="K1870" s="1"/>
      <c r="L1870" s="1"/>
      <c r="S1870" s="1"/>
      <c r="Z1870" s="1"/>
      <c r="AG1870" s="1"/>
      <c r="AN1870" s="1"/>
    </row>
    <row r="1871" spans="11:40" x14ac:dyDescent="0.2">
      <c r="K1871" s="1"/>
      <c r="L1871" s="1"/>
      <c r="S1871" s="1"/>
      <c r="Z1871" s="1"/>
      <c r="AG1871" s="1"/>
      <c r="AN1871" s="1"/>
    </row>
    <row r="1872" spans="11:40" x14ac:dyDescent="0.2">
      <c r="K1872" s="1"/>
      <c r="L1872" s="1"/>
      <c r="S1872" s="1"/>
      <c r="Z1872" s="1"/>
      <c r="AG1872" s="1"/>
      <c r="AN1872" s="1"/>
    </row>
    <row r="1873" spans="11:40" x14ac:dyDescent="0.2">
      <c r="K1873" s="1"/>
      <c r="L1873" s="1"/>
      <c r="S1873" s="1"/>
      <c r="Z1873" s="1"/>
      <c r="AG1873" s="1"/>
      <c r="AN1873" s="1"/>
    </row>
    <row r="1874" spans="11:40" x14ac:dyDescent="0.2">
      <c r="K1874" s="1"/>
      <c r="L1874" s="1"/>
      <c r="S1874" s="1"/>
      <c r="Z1874" s="1"/>
      <c r="AG1874" s="1"/>
      <c r="AN1874" s="1"/>
    </row>
    <row r="1875" spans="11:40" x14ac:dyDescent="0.2">
      <c r="K1875" s="1"/>
      <c r="L1875" s="1"/>
      <c r="S1875" s="1"/>
      <c r="Z1875" s="1"/>
      <c r="AG1875" s="1"/>
      <c r="AN1875" s="1"/>
    </row>
    <row r="1876" spans="11:40" x14ac:dyDescent="0.2">
      <c r="K1876" s="1"/>
      <c r="L1876" s="1"/>
      <c r="S1876" s="1"/>
      <c r="Z1876" s="1"/>
      <c r="AG1876" s="1"/>
      <c r="AN1876" s="1"/>
    </row>
    <row r="1877" spans="11:40" x14ac:dyDescent="0.2">
      <c r="K1877" s="1"/>
      <c r="L1877" s="1"/>
      <c r="S1877" s="1"/>
      <c r="Z1877" s="1"/>
      <c r="AG1877" s="1"/>
      <c r="AN1877" s="1"/>
    </row>
    <row r="1878" spans="11:40" x14ac:dyDescent="0.2">
      <c r="K1878" s="1"/>
      <c r="L1878" s="1"/>
      <c r="S1878" s="1"/>
      <c r="Z1878" s="1"/>
      <c r="AG1878" s="1"/>
      <c r="AN1878" s="1"/>
    </row>
    <row r="1879" spans="11:40" x14ac:dyDescent="0.2">
      <c r="K1879" s="1"/>
      <c r="L1879" s="1"/>
      <c r="S1879" s="1"/>
      <c r="Z1879" s="1"/>
      <c r="AG1879" s="1"/>
      <c r="AN1879" s="1"/>
    </row>
    <row r="1880" spans="11:40" x14ac:dyDescent="0.2">
      <c r="K1880" s="1"/>
      <c r="L1880" s="1"/>
      <c r="S1880" s="1"/>
      <c r="Z1880" s="1"/>
      <c r="AG1880" s="1"/>
      <c r="AN1880" s="1"/>
    </row>
    <row r="1881" spans="11:40" x14ac:dyDescent="0.2">
      <c r="K1881" s="1"/>
      <c r="L1881" s="1"/>
      <c r="S1881" s="1"/>
      <c r="Z1881" s="1"/>
      <c r="AG1881" s="1"/>
      <c r="AN1881" s="1"/>
    </row>
    <row r="1882" spans="11:40" x14ac:dyDescent="0.2">
      <c r="K1882" s="1"/>
      <c r="L1882" s="1"/>
      <c r="S1882" s="1"/>
      <c r="Z1882" s="1"/>
      <c r="AG1882" s="1"/>
      <c r="AN1882" s="1"/>
    </row>
    <row r="1883" spans="11:40" x14ac:dyDescent="0.2">
      <c r="K1883" s="1"/>
      <c r="L1883" s="1"/>
      <c r="S1883" s="1"/>
      <c r="Z1883" s="1"/>
      <c r="AG1883" s="1"/>
      <c r="AN1883" s="1"/>
    </row>
    <row r="1884" spans="11:40" x14ac:dyDescent="0.2">
      <c r="K1884" s="1"/>
      <c r="L1884" s="1"/>
      <c r="S1884" s="1"/>
      <c r="Z1884" s="1"/>
      <c r="AG1884" s="1"/>
      <c r="AN1884" s="1"/>
    </row>
    <row r="1885" spans="11:40" x14ac:dyDescent="0.2">
      <c r="K1885" s="1"/>
      <c r="L1885" s="1"/>
      <c r="S1885" s="1"/>
      <c r="Z1885" s="1"/>
      <c r="AG1885" s="1"/>
      <c r="AN1885" s="1"/>
    </row>
    <row r="1886" spans="11:40" x14ac:dyDescent="0.2">
      <c r="K1886" s="1"/>
      <c r="L1886" s="1"/>
      <c r="S1886" s="1"/>
      <c r="Z1886" s="1"/>
      <c r="AG1886" s="1"/>
      <c r="AN1886" s="1"/>
    </row>
    <row r="1887" spans="11:40" x14ac:dyDescent="0.2">
      <c r="K1887" s="1"/>
      <c r="L1887" s="1"/>
      <c r="S1887" s="1"/>
      <c r="Z1887" s="1"/>
      <c r="AG1887" s="1"/>
      <c r="AN1887" s="1"/>
    </row>
    <row r="1888" spans="11:40" x14ac:dyDescent="0.2">
      <c r="K1888" s="1"/>
      <c r="L1888" s="1"/>
      <c r="S1888" s="1"/>
      <c r="Z1888" s="1"/>
      <c r="AG1888" s="1"/>
      <c r="AN1888" s="1"/>
    </row>
    <row r="1889" spans="11:40" x14ac:dyDescent="0.2">
      <c r="K1889" s="1"/>
      <c r="L1889" s="1"/>
      <c r="S1889" s="1"/>
      <c r="Z1889" s="1"/>
      <c r="AG1889" s="1"/>
      <c r="AN1889" s="1"/>
    </row>
    <row r="1890" spans="11:40" x14ac:dyDescent="0.2">
      <c r="K1890" s="1"/>
      <c r="L1890" s="1"/>
      <c r="S1890" s="1"/>
      <c r="Z1890" s="1"/>
      <c r="AG1890" s="1"/>
      <c r="AN1890" s="1"/>
    </row>
    <row r="1891" spans="11:40" x14ac:dyDescent="0.2">
      <c r="K1891" s="1"/>
      <c r="L1891" s="1"/>
      <c r="S1891" s="1"/>
      <c r="Z1891" s="1"/>
      <c r="AG1891" s="1"/>
      <c r="AN1891" s="1"/>
    </row>
    <row r="1892" spans="11:40" x14ac:dyDescent="0.2">
      <c r="K1892" s="1"/>
      <c r="L1892" s="1"/>
      <c r="S1892" s="1"/>
      <c r="Z1892" s="1"/>
      <c r="AG1892" s="1"/>
      <c r="AN1892" s="1"/>
    </row>
    <row r="1893" spans="11:40" x14ac:dyDescent="0.2">
      <c r="K1893" s="1"/>
      <c r="L1893" s="1"/>
      <c r="S1893" s="1"/>
      <c r="Z1893" s="1"/>
      <c r="AG1893" s="1"/>
      <c r="AN1893" s="1"/>
    </row>
    <row r="1894" spans="11:40" x14ac:dyDescent="0.2">
      <c r="K1894" s="1"/>
      <c r="L1894" s="1"/>
      <c r="S1894" s="1"/>
      <c r="Z1894" s="1"/>
      <c r="AG1894" s="1"/>
      <c r="AN1894" s="1"/>
    </row>
    <row r="1895" spans="11:40" x14ac:dyDescent="0.2">
      <c r="K1895" s="1"/>
      <c r="L1895" s="1"/>
      <c r="S1895" s="1"/>
      <c r="Z1895" s="1"/>
      <c r="AG1895" s="1"/>
      <c r="AN1895" s="1"/>
    </row>
    <row r="1896" spans="11:40" x14ac:dyDescent="0.2">
      <c r="K1896" s="1"/>
      <c r="L1896" s="1"/>
      <c r="S1896" s="1"/>
      <c r="Z1896" s="1"/>
      <c r="AG1896" s="1"/>
      <c r="AN1896" s="1"/>
    </row>
    <row r="1897" spans="11:40" x14ac:dyDescent="0.2">
      <c r="K1897" s="1"/>
      <c r="L1897" s="1"/>
      <c r="S1897" s="1"/>
      <c r="Z1897" s="1"/>
      <c r="AG1897" s="1"/>
      <c r="AN1897" s="1"/>
    </row>
    <row r="1898" spans="11:40" x14ac:dyDescent="0.2">
      <c r="K1898" s="1"/>
      <c r="L1898" s="1"/>
      <c r="S1898" s="1"/>
      <c r="Z1898" s="1"/>
      <c r="AG1898" s="1"/>
      <c r="AN1898" s="1"/>
    </row>
    <row r="1899" spans="11:40" x14ac:dyDescent="0.2">
      <c r="K1899" s="1"/>
      <c r="L1899" s="1"/>
      <c r="S1899" s="1"/>
      <c r="Z1899" s="1"/>
      <c r="AG1899" s="1"/>
      <c r="AN1899" s="1"/>
    </row>
    <row r="1900" spans="11:40" x14ac:dyDescent="0.2">
      <c r="K1900" s="1"/>
      <c r="L1900" s="1"/>
      <c r="S1900" s="1"/>
      <c r="Z1900" s="1"/>
      <c r="AG1900" s="1"/>
      <c r="AN1900" s="1"/>
    </row>
    <row r="1901" spans="11:40" x14ac:dyDescent="0.2">
      <c r="K1901" s="1"/>
      <c r="L1901" s="1"/>
      <c r="S1901" s="1"/>
      <c r="Z1901" s="1"/>
      <c r="AG1901" s="1"/>
      <c r="AN1901" s="1"/>
    </row>
    <row r="1902" spans="11:40" x14ac:dyDescent="0.2">
      <c r="K1902" s="1"/>
      <c r="L1902" s="1"/>
      <c r="S1902" s="1"/>
      <c r="Z1902" s="1"/>
      <c r="AG1902" s="1"/>
      <c r="AN1902" s="1"/>
    </row>
    <row r="1903" spans="11:40" x14ac:dyDescent="0.2">
      <c r="K1903" s="1"/>
      <c r="L1903" s="1"/>
      <c r="S1903" s="1"/>
      <c r="Z1903" s="1"/>
      <c r="AG1903" s="1"/>
      <c r="AN1903" s="1"/>
    </row>
    <row r="1904" spans="11:40" x14ac:dyDescent="0.2">
      <c r="K1904" s="1"/>
      <c r="L1904" s="1"/>
      <c r="S1904" s="1"/>
      <c r="Z1904" s="1"/>
      <c r="AG1904" s="1"/>
      <c r="AN1904" s="1"/>
    </row>
    <row r="1905" spans="11:40" x14ac:dyDescent="0.2">
      <c r="K1905" s="1"/>
      <c r="L1905" s="1"/>
      <c r="S1905" s="1"/>
      <c r="Z1905" s="1"/>
      <c r="AG1905" s="1"/>
      <c r="AN1905" s="1"/>
    </row>
    <row r="1906" spans="11:40" x14ac:dyDescent="0.2">
      <c r="K1906" s="1"/>
      <c r="L1906" s="1"/>
      <c r="S1906" s="1"/>
      <c r="Z1906" s="1"/>
      <c r="AG1906" s="1"/>
      <c r="AN1906" s="1"/>
    </row>
    <row r="1907" spans="11:40" x14ac:dyDescent="0.2">
      <c r="K1907" s="1"/>
      <c r="L1907" s="1"/>
      <c r="S1907" s="1"/>
      <c r="Z1907" s="1"/>
      <c r="AG1907" s="1"/>
      <c r="AN1907" s="1"/>
    </row>
    <row r="1908" spans="11:40" x14ac:dyDescent="0.2">
      <c r="K1908" s="1"/>
      <c r="L1908" s="1"/>
      <c r="S1908" s="1"/>
      <c r="Z1908" s="1"/>
      <c r="AG1908" s="1"/>
      <c r="AN1908" s="1"/>
    </row>
    <row r="1909" spans="11:40" x14ac:dyDescent="0.2">
      <c r="K1909" s="1"/>
      <c r="L1909" s="1"/>
      <c r="S1909" s="1"/>
      <c r="Z1909" s="1"/>
      <c r="AG1909" s="1"/>
      <c r="AN1909" s="1"/>
    </row>
    <row r="1910" spans="11:40" x14ac:dyDescent="0.2">
      <c r="K1910" s="1"/>
      <c r="L1910" s="1"/>
      <c r="S1910" s="1"/>
      <c r="Z1910" s="1"/>
      <c r="AG1910" s="1"/>
      <c r="AN1910" s="1"/>
    </row>
    <row r="1911" spans="11:40" x14ac:dyDescent="0.2">
      <c r="K1911" s="1"/>
      <c r="L1911" s="1"/>
      <c r="S1911" s="1"/>
      <c r="Z1911" s="1"/>
      <c r="AG1911" s="1"/>
      <c r="AN1911" s="1"/>
    </row>
    <row r="1912" spans="11:40" x14ac:dyDescent="0.2">
      <c r="K1912" s="1"/>
      <c r="L1912" s="1"/>
      <c r="S1912" s="1"/>
      <c r="Z1912" s="1"/>
      <c r="AG1912" s="1"/>
      <c r="AN1912" s="1"/>
    </row>
    <row r="1913" spans="11:40" x14ac:dyDescent="0.2">
      <c r="K1913" s="1"/>
      <c r="L1913" s="1"/>
      <c r="S1913" s="1"/>
      <c r="Z1913" s="1"/>
      <c r="AG1913" s="1"/>
      <c r="AN1913" s="1"/>
    </row>
    <row r="1914" spans="11:40" x14ac:dyDescent="0.2">
      <c r="K1914" s="1"/>
      <c r="L1914" s="1"/>
      <c r="S1914" s="1"/>
      <c r="Z1914" s="1"/>
      <c r="AG1914" s="1"/>
      <c r="AN1914" s="1"/>
    </row>
    <row r="1915" spans="11:40" x14ac:dyDescent="0.2">
      <c r="K1915" s="1"/>
      <c r="L1915" s="1"/>
      <c r="S1915" s="1"/>
      <c r="Z1915" s="1"/>
      <c r="AG1915" s="1"/>
      <c r="AN1915" s="1"/>
    </row>
    <row r="1916" spans="11:40" x14ac:dyDescent="0.2">
      <c r="K1916" s="1"/>
      <c r="L1916" s="1"/>
      <c r="S1916" s="1"/>
      <c r="Z1916" s="1"/>
      <c r="AG1916" s="1"/>
      <c r="AN1916" s="1"/>
    </row>
    <row r="1917" spans="11:40" x14ac:dyDescent="0.2">
      <c r="K1917" s="1"/>
      <c r="L1917" s="1"/>
      <c r="S1917" s="1"/>
      <c r="Z1917" s="1"/>
      <c r="AG1917" s="1"/>
      <c r="AN1917" s="1"/>
    </row>
    <row r="1918" spans="11:40" x14ac:dyDescent="0.2">
      <c r="K1918" s="1"/>
      <c r="L1918" s="1"/>
      <c r="S1918" s="1"/>
      <c r="Z1918" s="1"/>
      <c r="AG1918" s="1"/>
      <c r="AN1918" s="1"/>
    </row>
    <row r="1919" spans="11:40" x14ac:dyDescent="0.2">
      <c r="K1919" s="1"/>
      <c r="L1919" s="1"/>
      <c r="S1919" s="1"/>
      <c r="Z1919" s="1"/>
      <c r="AG1919" s="1"/>
      <c r="AN1919" s="1"/>
    </row>
    <row r="1920" spans="11:40" x14ac:dyDescent="0.2">
      <c r="K1920" s="1"/>
      <c r="L1920" s="1"/>
      <c r="S1920" s="1"/>
      <c r="Z1920" s="1"/>
      <c r="AG1920" s="1"/>
      <c r="AN1920" s="1"/>
    </row>
    <row r="1921" spans="11:40" x14ac:dyDescent="0.2">
      <c r="K1921" s="1"/>
      <c r="L1921" s="1"/>
      <c r="S1921" s="1"/>
      <c r="Z1921" s="1"/>
      <c r="AG1921" s="1"/>
      <c r="AN1921" s="1"/>
    </row>
    <row r="1922" spans="11:40" x14ac:dyDescent="0.2">
      <c r="K1922" s="1"/>
      <c r="L1922" s="1"/>
      <c r="S1922" s="1"/>
      <c r="Z1922" s="1"/>
      <c r="AG1922" s="1"/>
      <c r="AN1922" s="1"/>
    </row>
    <row r="1923" spans="11:40" x14ac:dyDescent="0.2">
      <c r="K1923" s="1"/>
      <c r="L1923" s="1"/>
      <c r="S1923" s="1"/>
      <c r="Z1923" s="1"/>
      <c r="AG1923" s="1"/>
      <c r="AN1923" s="1"/>
    </row>
    <row r="1924" spans="11:40" x14ac:dyDescent="0.2">
      <c r="K1924" s="1"/>
      <c r="L1924" s="1"/>
      <c r="S1924" s="1"/>
      <c r="Z1924" s="1"/>
      <c r="AG1924" s="1"/>
      <c r="AN1924" s="1"/>
    </row>
    <row r="1925" spans="11:40" x14ac:dyDescent="0.2">
      <c r="K1925" s="1"/>
      <c r="L1925" s="1"/>
      <c r="S1925" s="1"/>
      <c r="Z1925" s="1"/>
      <c r="AG1925" s="1"/>
      <c r="AN1925" s="1"/>
    </row>
    <row r="1926" spans="11:40" x14ac:dyDescent="0.2">
      <c r="K1926" s="1"/>
      <c r="L1926" s="1"/>
      <c r="S1926" s="1"/>
      <c r="Z1926" s="1"/>
      <c r="AG1926" s="1"/>
      <c r="AN1926" s="1"/>
    </row>
    <row r="1927" spans="11:40" x14ac:dyDescent="0.2">
      <c r="K1927" s="1"/>
      <c r="L1927" s="1"/>
      <c r="S1927" s="1"/>
      <c r="Z1927" s="1"/>
      <c r="AG1927" s="1"/>
      <c r="AN1927" s="1"/>
    </row>
    <row r="1928" spans="11:40" x14ac:dyDescent="0.2">
      <c r="K1928" s="1"/>
      <c r="L1928" s="1"/>
      <c r="S1928" s="1"/>
      <c r="Z1928" s="1"/>
      <c r="AG1928" s="1"/>
      <c r="AN1928" s="1"/>
    </row>
    <row r="1929" spans="11:40" x14ac:dyDescent="0.2">
      <c r="K1929" s="1"/>
      <c r="L1929" s="1"/>
      <c r="S1929" s="1"/>
      <c r="Z1929" s="1"/>
      <c r="AG1929" s="1"/>
      <c r="AN1929" s="1"/>
    </row>
    <row r="1930" spans="11:40" x14ac:dyDescent="0.2">
      <c r="K1930" s="1"/>
      <c r="L1930" s="1"/>
      <c r="S1930" s="1"/>
      <c r="Z1930" s="1"/>
      <c r="AG1930" s="1"/>
      <c r="AN1930" s="1"/>
    </row>
    <row r="1931" spans="11:40" x14ac:dyDescent="0.2">
      <c r="K1931" s="1"/>
      <c r="L1931" s="1"/>
      <c r="S1931" s="1"/>
      <c r="Z1931" s="1"/>
      <c r="AG1931" s="1"/>
      <c r="AN1931" s="1"/>
    </row>
    <row r="1932" spans="11:40" x14ac:dyDescent="0.2">
      <c r="K1932" s="1"/>
      <c r="L1932" s="1"/>
      <c r="S1932" s="1"/>
      <c r="Z1932" s="1"/>
      <c r="AG1932" s="1"/>
      <c r="AN1932" s="1"/>
    </row>
    <row r="1933" spans="11:40" x14ac:dyDescent="0.2">
      <c r="K1933" s="1"/>
      <c r="L1933" s="1"/>
      <c r="S1933" s="1"/>
      <c r="Z1933" s="1"/>
      <c r="AG1933" s="1"/>
      <c r="AN1933" s="1"/>
    </row>
    <row r="1934" spans="11:40" x14ac:dyDescent="0.2">
      <c r="K1934" s="1"/>
      <c r="L1934" s="1"/>
      <c r="S1934" s="1"/>
      <c r="Z1934" s="1"/>
      <c r="AG1934" s="1"/>
      <c r="AN1934" s="1"/>
    </row>
    <row r="1935" spans="11:40" x14ac:dyDescent="0.2">
      <c r="K1935" s="1"/>
      <c r="L1935" s="1"/>
      <c r="S1935" s="1"/>
      <c r="Z1935" s="1"/>
      <c r="AG1935" s="1"/>
      <c r="AN1935" s="1"/>
    </row>
    <row r="1936" spans="11:40" x14ac:dyDescent="0.2">
      <c r="K1936" s="1"/>
      <c r="L1936" s="1"/>
      <c r="S1936" s="1"/>
      <c r="Z1936" s="1"/>
      <c r="AG1936" s="1"/>
      <c r="AN1936" s="1"/>
    </row>
    <row r="1937" spans="11:40" x14ac:dyDescent="0.2">
      <c r="K1937" s="1"/>
      <c r="L1937" s="1"/>
      <c r="S1937" s="1"/>
      <c r="Z1937" s="1"/>
      <c r="AG1937" s="1"/>
      <c r="AN1937" s="1"/>
    </row>
    <row r="1938" spans="11:40" x14ac:dyDescent="0.2">
      <c r="K1938" s="1"/>
      <c r="L1938" s="1"/>
      <c r="S1938" s="1"/>
      <c r="Z1938" s="1"/>
      <c r="AG1938" s="1"/>
      <c r="AN1938" s="1"/>
    </row>
    <row r="1939" spans="11:40" x14ac:dyDescent="0.2">
      <c r="K1939" s="1"/>
      <c r="L1939" s="1"/>
      <c r="S1939" s="1"/>
      <c r="Z1939" s="1"/>
      <c r="AG1939" s="1"/>
      <c r="AN1939" s="1"/>
    </row>
    <row r="1940" spans="11:40" x14ac:dyDescent="0.2">
      <c r="K1940" s="1"/>
      <c r="L1940" s="1"/>
      <c r="S1940" s="1"/>
      <c r="Z1940" s="1"/>
      <c r="AG1940" s="1"/>
      <c r="AN1940" s="1"/>
    </row>
    <row r="1941" spans="11:40" x14ac:dyDescent="0.2">
      <c r="K1941" s="1"/>
      <c r="L1941" s="1"/>
      <c r="S1941" s="1"/>
      <c r="Z1941" s="1"/>
      <c r="AG1941" s="1"/>
      <c r="AN1941" s="1"/>
    </row>
    <row r="1942" spans="11:40" x14ac:dyDescent="0.2">
      <c r="K1942" s="1"/>
      <c r="L1942" s="1"/>
      <c r="S1942" s="1"/>
      <c r="Z1942" s="1"/>
      <c r="AG1942" s="1"/>
      <c r="AN1942" s="1"/>
    </row>
    <row r="1943" spans="11:40" x14ac:dyDescent="0.2">
      <c r="K1943" s="1"/>
      <c r="L1943" s="1"/>
      <c r="S1943" s="1"/>
      <c r="Z1943" s="1"/>
      <c r="AG1943" s="1"/>
      <c r="AN1943" s="1"/>
    </row>
    <row r="1944" spans="11:40" x14ac:dyDescent="0.2">
      <c r="K1944" s="1"/>
      <c r="L1944" s="1"/>
      <c r="S1944" s="1"/>
      <c r="Z1944" s="1"/>
      <c r="AG1944" s="1"/>
      <c r="AN1944" s="1"/>
    </row>
    <row r="1945" spans="11:40" x14ac:dyDescent="0.2">
      <c r="K1945" s="1"/>
      <c r="L1945" s="1"/>
      <c r="S1945" s="1"/>
      <c r="Z1945" s="1"/>
      <c r="AG1945" s="1"/>
      <c r="AN1945" s="1"/>
    </row>
    <row r="1946" spans="11:40" x14ac:dyDescent="0.2">
      <c r="K1946" s="1"/>
      <c r="L1946" s="1"/>
      <c r="S1946" s="1"/>
      <c r="Z1946" s="1"/>
      <c r="AG1946" s="1"/>
      <c r="AN1946" s="1"/>
    </row>
    <row r="1947" spans="11:40" x14ac:dyDescent="0.2">
      <c r="K1947" s="1"/>
      <c r="L1947" s="1"/>
      <c r="S1947" s="1"/>
      <c r="Z1947" s="1"/>
      <c r="AG1947" s="1"/>
      <c r="AN1947" s="1"/>
    </row>
    <row r="1948" spans="11:40" x14ac:dyDescent="0.2">
      <c r="K1948" s="1"/>
      <c r="L1948" s="1"/>
      <c r="S1948" s="1"/>
      <c r="Z1948" s="1"/>
      <c r="AG1948" s="1"/>
      <c r="AN1948" s="1"/>
    </row>
    <row r="1949" spans="11:40" x14ac:dyDescent="0.2">
      <c r="K1949" s="1"/>
      <c r="L1949" s="1"/>
      <c r="S1949" s="1"/>
      <c r="Z1949" s="1"/>
      <c r="AG1949" s="1"/>
      <c r="AN1949" s="1"/>
    </row>
    <row r="1950" spans="11:40" x14ac:dyDescent="0.2">
      <c r="K1950" s="1"/>
      <c r="L1950" s="1"/>
      <c r="S1950" s="1"/>
      <c r="Z1950" s="1"/>
      <c r="AG1950" s="1"/>
      <c r="AN1950" s="1"/>
    </row>
    <row r="1951" spans="11:40" x14ac:dyDescent="0.2">
      <c r="K1951" s="1"/>
      <c r="L1951" s="1"/>
      <c r="S1951" s="1"/>
      <c r="Z1951" s="1"/>
      <c r="AG1951" s="1"/>
      <c r="AN1951" s="1"/>
    </row>
    <row r="1952" spans="11:40" x14ac:dyDescent="0.2">
      <c r="K1952" s="1"/>
      <c r="L1952" s="1"/>
      <c r="S1952" s="1"/>
      <c r="Z1952" s="1"/>
      <c r="AG1952" s="1"/>
      <c r="AN1952" s="1"/>
    </row>
    <row r="1953" spans="11:40" x14ac:dyDescent="0.2">
      <c r="K1953" s="1"/>
      <c r="L1953" s="1"/>
      <c r="S1953" s="1"/>
      <c r="Z1953" s="1"/>
      <c r="AG1953" s="1"/>
      <c r="AN1953" s="1"/>
    </row>
    <row r="1954" spans="11:40" x14ac:dyDescent="0.2">
      <c r="K1954" s="1"/>
      <c r="L1954" s="1"/>
      <c r="S1954" s="1"/>
      <c r="Z1954" s="1"/>
      <c r="AG1954" s="1"/>
      <c r="AN1954" s="1"/>
    </row>
    <row r="1955" spans="11:40" x14ac:dyDescent="0.2">
      <c r="K1955" s="1"/>
      <c r="L1955" s="1"/>
      <c r="S1955" s="1"/>
      <c r="Z1955" s="1"/>
      <c r="AG1955" s="1"/>
      <c r="AN1955" s="1"/>
    </row>
    <row r="1956" spans="11:40" x14ac:dyDescent="0.2">
      <c r="K1956" s="1"/>
      <c r="L1956" s="1"/>
      <c r="S1956" s="1"/>
      <c r="Z1956" s="1"/>
      <c r="AG1956" s="1"/>
      <c r="AN1956" s="1"/>
    </row>
    <row r="1957" spans="11:40" x14ac:dyDescent="0.2">
      <c r="K1957" s="1"/>
      <c r="L1957" s="1"/>
      <c r="S1957" s="1"/>
      <c r="Z1957" s="1"/>
      <c r="AG1957" s="1"/>
      <c r="AN1957" s="1"/>
    </row>
    <row r="1958" spans="11:40" x14ac:dyDescent="0.2">
      <c r="K1958" s="1"/>
      <c r="L1958" s="1"/>
      <c r="S1958" s="1"/>
      <c r="Z1958" s="1"/>
      <c r="AG1958" s="1"/>
      <c r="AN1958" s="1"/>
    </row>
    <row r="1959" spans="11:40" x14ac:dyDescent="0.2">
      <c r="K1959" s="1"/>
      <c r="L1959" s="1"/>
      <c r="S1959" s="1"/>
      <c r="Z1959" s="1"/>
      <c r="AG1959" s="1"/>
      <c r="AN1959" s="1"/>
    </row>
    <row r="1960" spans="11:40" x14ac:dyDescent="0.2">
      <c r="K1960" s="1"/>
      <c r="L1960" s="1"/>
      <c r="S1960" s="1"/>
      <c r="Z1960" s="1"/>
      <c r="AG1960" s="1"/>
      <c r="AN1960" s="1"/>
    </row>
    <row r="1961" spans="11:40" x14ac:dyDescent="0.2">
      <c r="K1961" s="1"/>
      <c r="L1961" s="1"/>
      <c r="S1961" s="1"/>
      <c r="Z1961" s="1"/>
      <c r="AG1961" s="1"/>
      <c r="AN1961" s="1"/>
    </row>
    <row r="1962" spans="11:40" x14ac:dyDescent="0.2">
      <c r="K1962" s="1"/>
      <c r="L1962" s="1"/>
      <c r="S1962" s="1"/>
      <c r="Z1962" s="1"/>
      <c r="AG1962" s="1"/>
      <c r="AN1962" s="1"/>
    </row>
    <row r="1963" spans="11:40" x14ac:dyDescent="0.2">
      <c r="K1963" s="1"/>
      <c r="L1963" s="1"/>
      <c r="S1963" s="1"/>
      <c r="Z1963" s="1"/>
      <c r="AG1963" s="1"/>
      <c r="AN1963" s="1"/>
    </row>
    <row r="1964" spans="11:40" x14ac:dyDescent="0.2">
      <c r="K1964" s="1"/>
      <c r="L1964" s="1"/>
      <c r="S1964" s="1"/>
      <c r="Z1964" s="1"/>
      <c r="AG1964" s="1"/>
      <c r="AN1964" s="1"/>
    </row>
    <row r="1965" spans="11:40" x14ac:dyDescent="0.2">
      <c r="K1965" s="1"/>
      <c r="L1965" s="1"/>
      <c r="S1965" s="1"/>
      <c r="Z1965" s="1"/>
      <c r="AG1965" s="1"/>
      <c r="AN1965" s="1"/>
    </row>
    <row r="1966" spans="11:40" x14ac:dyDescent="0.2">
      <c r="K1966" s="1"/>
      <c r="L1966" s="1"/>
      <c r="S1966" s="1"/>
      <c r="Z1966" s="1"/>
      <c r="AG1966" s="1"/>
      <c r="AN1966" s="1"/>
    </row>
    <row r="1967" spans="11:40" x14ac:dyDescent="0.2">
      <c r="K1967" s="1"/>
      <c r="L1967" s="1"/>
      <c r="S1967" s="1"/>
      <c r="Z1967" s="1"/>
      <c r="AG1967" s="1"/>
      <c r="AN1967" s="1"/>
    </row>
    <row r="1968" spans="11:40" x14ac:dyDescent="0.2">
      <c r="K1968" s="1"/>
      <c r="L1968" s="1"/>
      <c r="S1968" s="1"/>
      <c r="Z1968" s="1"/>
      <c r="AG1968" s="1"/>
      <c r="AN1968" s="1"/>
    </row>
    <row r="1969" spans="11:40" x14ac:dyDescent="0.2">
      <c r="K1969" s="1"/>
      <c r="L1969" s="1"/>
      <c r="S1969" s="1"/>
      <c r="Z1969" s="1"/>
      <c r="AG1969" s="1"/>
      <c r="AN1969" s="1"/>
    </row>
    <row r="1970" spans="11:40" x14ac:dyDescent="0.2">
      <c r="K1970" s="1"/>
      <c r="L1970" s="1"/>
      <c r="S1970" s="1"/>
      <c r="Z1970" s="1"/>
      <c r="AG1970" s="1"/>
      <c r="AN1970" s="1"/>
    </row>
    <row r="1971" spans="11:40" x14ac:dyDescent="0.2">
      <c r="K1971" s="1"/>
      <c r="L1971" s="1"/>
      <c r="S1971" s="1"/>
      <c r="Z1971" s="1"/>
      <c r="AG1971" s="1"/>
      <c r="AN1971" s="1"/>
    </row>
    <row r="1972" spans="11:40" x14ac:dyDescent="0.2">
      <c r="K1972" s="1"/>
      <c r="L1972" s="1"/>
      <c r="S1972" s="1"/>
      <c r="Z1972" s="1"/>
      <c r="AG1972" s="1"/>
      <c r="AN1972" s="1"/>
    </row>
    <row r="1973" spans="11:40" x14ac:dyDescent="0.2">
      <c r="K1973" s="1"/>
      <c r="L1973" s="1"/>
      <c r="S1973" s="1"/>
      <c r="Z1973" s="1"/>
      <c r="AG1973" s="1"/>
      <c r="AN1973" s="1"/>
    </row>
    <row r="1974" spans="11:40" x14ac:dyDescent="0.2">
      <c r="K1974" s="1"/>
      <c r="L1974" s="1"/>
      <c r="S1974" s="1"/>
      <c r="Z1974" s="1"/>
      <c r="AG1974" s="1"/>
      <c r="AN1974" s="1"/>
    </row>
    <row r="1975" spans="11:40" x14ac:dyDescent="0.2">
      <c r="K1975" s="1"/>
      <c r="L1975" s="1"/>
      <c r="S1975" s="1"/>
      <c r="Z1975" s="1"/>
      <c r="AG1975" s="1"/>
      <c r="AN1975" s="1"/>
    </row>
    <row r="1976" spans="11:40" x14ac:dyDescent="0.2">
      <c r="K1976" s="1"/>
      <c r="L1976" s="1"/>
      <c r="S1976" s="1"/>
      <c r="Z1976" s="1"/>
      <c r="AG1976" s="1"/>
      <c r="AN1976" s="1"/>
    </row>
    <row r="1977" spans="11:40" x14ac:dyDescent="0.2">
      <c r="K1977" s="1"/>
      <c r="L1977" s="1"/>
      <c r="S1977" s="1"/>
      <c r="Z1977" s="1"/>
      <c r="AG1977" s="1"/>
      <c r="AN1977" s="1"/>
    </row>
    <row r="1978" spans="11:40" x14ac:dyDescent="0.2">
      <c r="K1978" s="1"/>
      <c r="L1978" s="1"/>
      <c r="S1978" s="1"/>
      <c r="Z1978" s="1"/>
      <c r="AG1978" s="1"/>
      <c r="AN1978" s="1"/>
    </row>
    <row r="1979" spans="11:40" x14ac:dyDescent="0.2">
      <c r="K1979" s="1"/>
      <c r="L1979" s="1"/>
      <c r="S1979" s="1"/>
      <c r="Z1979" s="1"/>
      <c r="AG1979" s="1"/>
      <c r="AN1979" s="1"/>
    </row>
    <row r="1980" spans="11:40" x14ac:dyDescent="0.2">
      <c r="K1980" s="1"/>
      <c r="L1980" s="1"/>
      <c r="S1980" s="1"/>
      <c r="Z1980" s="1"/>
      <c r="AG1980" s="1"/>
      <c r="AN1980" s="1"/>
    </row>
    <row r="1981" spans="11:40" x14ac:dyDescent="0.2">
      <c r="K1981" s="1"/>
      <c r="L1981" s="1"/>
      <c r="S1981" s="1"/>
      <c r="Z1981" s="1"/>
      <c r="AG1981" s="1"/>
      <c r="AN1981" s="1"/>
    </row>
    <row r="1982" spans="11:40" x14ac:dyDescent="0.2">
      <c r="K1982" s="1"/>
      <c r="L1982" s="1"/>
      <c r="S1982" s="1"/>
      <c r="Z1982" s="1"/>
      <c r="AG1982" s="1"/>
      <c r="AN1982" s="1"/>
    </row>
    <row r="1983" spans="11:40" x14ac:dyDescent="0.2">
      <c r="K1983" s="1"/>
      <c r="L1983" s="1"/>
      <c r="S1983" s="1"/>
      <c r="Z1983" s="1"/>
      <c r="AG1983" s="1"/>
      <c r="AN1983" s="1"/>
    </row>
    <row r="1984" spans="11:40" x14ac:dyDescent="0.2">
      <c r="K1984" s="1"/>
      <c r="L1984" s="1"/>
      <c r="S1984" s="1"/>
      <c r="Z1984" s="1"/>
      <c r="AG1984" s="1"/>
      <c r="AN1984" s="1"/>
    </row>
    <row r="1985" spans="11:40" x14ac:dyDescent="0.2">
      <c r="K1985" s="1"/>
      <c r="L1985" s="1"/>
      <c r="S1985" s="1"/>
      <c r="Z1985" s="1"/>
      <c r="AG1985" s="1"/>
      <c r="AN1985" s="1"/>
    </row>
    <row r="1986" spans="11:40" x14ac:dyDescent="0.2">
      <c r="K1986" s="1"/>
      <c r="L1986" s="1"/>
      <c r="S1986" s="1"/>
      <c r="Z1986" s="1"/>
      <c r="AG1986" s="1"/>
      <c r="AN1986" s="1"/>
    </row>
    <row r="1987" spans="11:40" x14ac:dyDescent="0.2">
      <c r="K1987" s="1"/>
      <c r="L1987" s="1"/>
      <c r="S1987" s="1"/>
      <c r="Z1987" s="1"/>
      <c r="AG1987" s="1"/>
      <c r="AN1987" s="1"/>
    </row>
    <row r="1988" spans="11:40" x14ac:dyDescent="0.2">
      <c r="K1988" s="1"/>
      <c r="L1988" s="1"/>
      <c r="S1988" s="1"/>
      <c r="Z1988" s="1"/>
      <c r="AG1988" s="1"/>
      <c r="AN1988" s="1"/>
    </row>
    <row r="1989" spans="11:40" x14ac:dyDescent="0.2">
      <c r="K1989" s="1"/>
      <c r="L1989" s="1"/>
      <c r="S1989" s="1"/>
      <c r="Z1989" s="1"/>
      <c r="AG1989" s="1"/>
      <c r="AN1989" s="1"/>
    </row>
    <row r="1990" spans="11:40" x14ac:dyDescent="0.2">
      <c r="K1990" s="1"/>
      <c r="L1990" s="1"/>
      <c r="S1990" s="1"/>
      <c r="Z1990" s="1"/>
      <c r="AG1990" s="1"/>
      <c r="AN1990" s="1"/>
    </row>
    <row r="1991" spans="11:40" x14ac:dyDescent="0.2">
      <c r="K1991" s="1"/>
      <c r="L1991" s="1"/>
      <c r="S1991" s="1"/>
      <c r="Z1991" s="1"/>
      <c r="AG1991" s="1"/>
      <c r="AN1991" s="1"/>
    </row>
    <row r="1992" spans="11:40" x14ac:dyDescent="0.2">
      <c r="K1992" s="1"/>
      <c r="L1992" s="1"/>
      <c r="S1992" s="1"/>
      <c r="Z1992" s="1"/>
      <c r="AG1992" s="1"/>
      <c r="AN1992" s="1"/>
    </row>
    <row r="1993" spans="11:40" x14ac:dyDescent="0.2">
      <c r="K1993" s="1"/>
      <c r="L1993" s="1"/>
      <c r="S1993" s="1"/>
      <c r="Z1993" s="1"/>
      <c r="AG1993" s="1"/>
      <c r="AN1993" s="1"/>
    </row>
    <row r="1994" spans="11:40" x14ac:dyDescent="0.2">
      <c r="K1994" s="1"/>
      <c r="L1994" s="1"/>
      <c r="S1994" s="1"/>
      <c r="Z1994" s="1"/>
      <c r="AG1994" s="1"/>
      <c r="AN1994" s="1"/>
    </row>
    <row r="1995" spans="11:40" x14ac:dyDescent="0.2">
      <c r="K1995" s="1"/>
      <c r="L1995" s="1"/>
      <c r="S1995" s="1"/>
      <c r="Z1995" s="1"/>
      <c r="AG1995" s="1"/>
      <c r="AN1995" s="1"/>
    </row>
    <row r="1996" spans="11:40" x14ac:dyDescent="0.2">
      <c r="K1996" s="1"/>
      <c r="L1996" s="1"/>
      <c r="S1996" s="1"/>
      <c r="Z1996" s="1"/>
      <c r="AG1996" s="1"/>
      <c r="AN1996" s="1"/>
    </row>
    <row r="1997" spans="11:40" x14ac:dyDescent="0.2">
      <c r="K1997" s="1"/>
      <c r="L1997" s="1"/>
      <c r="S1997" s="1"/>
      <c r="Z1997" s="1"/>
      <c r="AG1997" s="1"/>
      <c r="AN1997" s="1"/>
    </row>
    <row r="1998" spans="11:40" x14ac:dyDescent="0.2">
      <c r="K1998" s="1"/>
      <c r="L1998" s="1"/>
      <c r="S1998" s="1"/>
      <c r="Z1998" s="1"/>
      <c r="AG1998" s="1"/>
      <c r="AN1998" s="1"/>
    </row>
    <row r="1999" spans="11:40" x14ac:dyDescent="0.2">
      <c r="K1999" s="1"/>
      <c r="L1999" s="1"/>
      <c r="S1999" s="1"/>
      <c r="Z1999" s="1"/>
      <c r="AG1999" s="1"/>
      <c r="AN1999" s="1"/>
    </row>
    <row r="2000" spans="11:40" x14ac:dyDescent="0.2">
      <c r="K2000" s="1"/>
      <c r="L2000" s="1"/>
      <c r="S2000" s="1"/>
      <c r="Z2000" s="1"/>
      <c r="AG2000" s="1"/>
      <c r="AN2000" s="1"/>
    </row>
    <row r="2001" spans="11:40" x14ac:dyDescent="0.2">
      <c r="K2001" s="1"/>
      <c r="L2001" s="1"/>
      <c r="S2001" s="1"/>
      <c r="Z2001" s="1"/>
      <c r="AG2001" s="1"/>
      <c r="AN2001" s="1"/>
    </row>
    <row r="2002" spans="11:40" x14ac:dyDescent="0.2">
      <c r="K2002" s="1"/>
      <c r="L2002" s="1"/>
      <c r="S2002" s="1"/>
      <c r="Z2002" s="1"/>
      <c r="AG2002" s="1"/>
      <c r="AN2002" s="1"/>
    </row>
    <row r="2003" spans="11:40" x14ac:dyDescent="0.2">
      <c r="K2003" s="1"/>
      <c r="L2003" s="1"/>
      <c r="S2003" s="1"/>
      <c r="Z2003" s="1"/>
      <c r="AG2003" s="1"/>
      <c r="AN2003" s="1"/>
    </row>
    <row r="2004" spans="11:40" x14ac:dyDescent="0.2">
      <c r="K2004" s="1"/>
      <c r="L2004" s="1"/>
      <c r="S2004" s="1"/>
      <c r="Z2004" s="1"/>
      <c r="AG2004" s="1"/>
      <c r="AN2004" s="1"/>
    </row>
    <row r="2005" spans="11:40" x14ac:dyDescent="0.2">
      <c r="K2005" s="1"/>
      <c r="L2005" s="1"/>
      <c r="S2005" s="1"/>
      <c r="Z2005" s="1"/>
      <c r="AG2005" s="1"/>
      <c r="AN2005" s="1"/>
    </row>
    <row r="2006" spans="11:40" x14ac:dyDescent="0.2">
      <c r="K2006" s="1"/>
      <c r="L2006" s="1"/>
      <c r="S2006" s="1"/>
      <c r="Z2006" s="1"/>
      <c r="AG2006" s="1"/>
      <c r="AN2006" s="1"/>
    </row>
    <row r="2007" spans="11:40" x14ac:dyDescent="0.2">
      <c r="K2007" s="1"/>
      <c r="L2007" s="1"/>
      <c r="S2007" s="1"/>
      <c r="Z2007" s="1"/>
      <c r="AG2007" s="1"/>
      <c r="AN2007" s="1"/>
    </row>
    <row r="2008" spans="11:40" x14ac:dyDescent="0.2">
      <c r="K2008" s="1"/>
      <c r="L2008" s="1"/>
      <c r="S2008" s="1"/>
      <c r="Z2008" s="1"/>
      <c r="AG2008" s="1"/>
      <c r="AN2008" s="1"/>
    </row>
    <row r="2009" spans="11:40" x14ac:dyDescent="0.2">
      <c r="K2009" s="1"/>
      <c r="L2009" s="1"/>
      <c r="S2009" s="1"/>
      <c r="Z2009" s="1"/>
      <c r="AG2009" s="1"/>
      <c r="AN2009" s="1"/>
    </row>
    <row r="2010" spans="11:40" x14ac:dyDescent="0.2">
      <c r="K2010" s="1"/>
      <c r="L2010" s="1"/>
      <c r="S2010" s="1"/>
      <c r="Z2010" s="1"/>
      <c r="AG2010" s="1"/>
      <c r="AN2010" s="1"/>
    </row>
    <row r="2011" spans="11:40" x14ac:dyDescent="0.2">
      <c r="K2011" s="1"/>
      <c r="L2011" s="1"/>
      <c r="S2011" s="1"/>
      <c r="Z2011" s="1"/>
      <c r="AG2011" s="1"/>
      <c r="AN2011" s="1"/>
    </row>
    <row r="2012" spans="11:40" x14ac:dyDescent="0.2">
      <c r="K2012" s="1"/>
      <c r="L2012" s="1"/>
      <c r="S2012" s="1"/>
      <c r="Z2012" s="1"/>
      <c r="AG2012" s="1"/>
      <c r="AN2012" s="1"/>
    </row>
    <row r="2013" spans="11:40" x14ac:dyDescent="0.2">
      <c r="K2013" s="1"/>
      <c r="L2013" s="1"/>
      <c r="S2013" s="1"/>
      <c r="Z2013" s="1"/>
      <c r="AG2013" s="1"/>
      <c r="AN2013" s="1"/>
    </row>
    <row r="2014" spans="11:40" x14ac:dyDescent="0.2">
      <c r="K2014" s="1"/>
      <c r="L2014" s="1"/>
      <c r="S2014" s="1"/>
      <c r="Z2014" s="1"/>
      <c r="AG2014" s="1"/>
      <c r="AN2014" s="1"/>
    </row>
    <row r="2015" spans="11:40" x14ac:dyDescent="0.2">
      <c r="K2015" s="1"/>
      <c r="L2015" s="1"/>
      <c r="S2015" s="1"/>
      <c r="Z2015" s="1"/>
      <c r="AG2015" s="1"/>
      <c r="AN2015" s="1"/>
    </row>
    <row r="2016" spans="11:40" x14ac:dyDescent="0.2">
      <c r="K2016" s="1"/>
      <c r="L2016" s="1"/>
      <c r="S2016" s="1"/>
      <c r="Z2016" s="1"/>
      <c r="AG2016" s="1"/>
      <c r="AN2016" s="1"/>
    </row>
    <row r="2017" spans="11:40" x14ac:dyDescent="0.2">
      <c r="K2017" s="1"/>
      <c r="L2017" s="1"/>
      <c r="S2017" s="1"/>
      <c r="Z2017" s="1"/>
      <c r="AG2017" s="1"/>
      <c r="AN2017" s="1"/>
    </row>
    <row r="2018" spans="11:40" x14ac:dyDescent="0.2">
      <c r="K2018" s="1"/>
      <c r="L2018" s="1"/>
      <c r="S2018" s="1"/>
      <c r="Z2018" s="1"/>
      <c r="AG2018" s="1"/>
      <c r="AN2018" s="1"/>
    </row>
    <row r="2019" spans="11:40" x14ac:dyDescent="0.2">
      <c r="K2019" s="1"/>
      <c r="L2019" s="1"/>
      <c r="S2019" s="1"/>
      <c r="Z2019" s="1"/>
      <c r="AG2019" s="1"/>
      <c r="AN2019" s="1"/>
    </row>
    <row r="2020" spans="11:40" x14ac:dyDescent="0.2">
      <c r="K2020" s="1"/>
      <c r="L2020" s="1"/>
      <c r="S2020" s="1"/>
      <c r="Z2020" s="1"/>
      <c r="AG2020" s="1"/>
      <c r="AN2020" s="1"/>
    </row>
    <row r="2021" spans="11:40" x14ac:dyDescent="0.2">
      <c r="K2021" s="1"/>
      <c r="L2021" s="1"/>
      <c r="S2021" s="1"/>
      <c r="Z2021" s="1"/>
      <c r="AG2021" s="1"/>
      <c r="AN2021" s="1"/>
    </row>
    <row r="2022" spans="11:40" x14ac:dyDescent="0.2">
      <c r="K2022" s="1"/>
      <c r="L2022" s="1"/>
      <c r="S2022" s="1"/>
      <c r="Z2022" s="1"/>
      <c r="AG2022" s="1"/>
      <c r="AN2022" s="1"/>
    </row>
    <row r="2023" spans="11:40" x14ac:dyDescent="0.2">
      <c r="K2023" s="1"/>
      <c r="L2023" s="1"/>
      <c r="S2023" s="1"/>
      <c r="Z2023" s="1"/>
      <c r="AG2023" s="1"/>
      <c r="AN2023" s="1"/>
    </row>
    <row r="2024" spans="11:40" x14ac:dyDescent="0.2">
      <c r="K2024" s="1"/>
      <c r="L2024" s="1"/>
      <c r="S2024" s="1"/>
      <c r="Z2024" s="1"/>
      <c r="AG2024" s="1"/>
      <c r="AN2024" s="1"/>
    </row>
    <row r="2025" spans="11:40" x14ac:dyDescent="0.2">
      <c r="K2025" s="1"/>
      <c r="L2025" s="1"/>
      <c r="S2025" s="1"/>
      <c r="Z2025" s="1"/>
      <c r="AG2025" s="1"/>
      <c r="AN2025" s="1"/>
    </row>
    <row r="2026" spans="11:40" x14ac:dyDescent="0.2">
      <c r="K2026" s="1"/>
      <c r="L2026" s="1"/>
      <c r="S2026" s="1"/>
      <c r="Z2026" s="1"/>
      <c r="AG2026" s="1"/>
      <c r="AN2026" s="1"/>
    </row>
    <row r="2027" spans="11:40" x14ac:dyDescent="0.2">
      <c r="K2027" s="1"/>
      <c r="L2027" s="1"/>
      <c r="S2027" s="1"/>
      <c r="Z2027" s="1"/>
      <c r="AG2027" s="1"/>
      <c r="AN2027" s="1"/>
    </row>
    <row r="2028" spans="11:40" x14ac:dyDescent="0.2">
      <c r="K2028" s="1"/>
      <c r="L2028" s="1"/>
      <c r="S2028" s="1"/>
      <c r="Z2028" s="1"/>
      <c r="AG2028" s="1"/>
      <c r="AN2028" s="1"/>
    </row>
    <row r="2029" spans="11:40" x14ac:dyDescent="0.2">
      <c r="K2029" s="1"/>
      <c r="L2029" s="1"/>
      <c r="S2029" s="1"/>
      <c r="Z2029" s="1"/>
      <c r="AG2029" s="1"/>
      <c r="AN2029" s="1"/>
    </row>
    <row r="2030" spans="11:40" x14ac:dyDescent="0.2">
      <c r="K2030" s="1"/>
      <c r="L2030" s="1"/>
      <c r="S2030" s="1"/>
      <c r="Z2030" s="1"/>
      <c r="AG2030" s="1"/>
      <c r="AN2030" s="1"/>
    </row>
    <row r="2031" spans="11:40" x14ac:dyDescent="0.2">
      <c r="K2031" s="1"/>
      <c r="L2031" s="1"/>
      <c r="S2031" s="1"/>
      <c r="Z2031" s="1"/>
      <c r="AG2031" s="1"/>
      <c r="AN2031" s="1"/>
    </row>
    <row r="2032" spans="11:40" x14ac:dyDescent="0.2">
      <c r="K2032" s="1"/>
      <c r="L2032" s="1"/>
      <c r="S2032" s="1"/>
      <c r="Z2032" s="1"/>
      <c r="AG2032" s="1"/>
      <c r="AN2032" s="1"/>
    </row>
    <row r="2033" spans="11:40" x14ac:dyDescent="0.2">
      <c r="K2033" s="1"/>
      <c r="L2033" s="1"/>
      <c r="S2033" s="1"/>
      <c r="Z2033" s="1"/>
      <c r="AG2033" s="1"/>
      <c r="AN2033" s="1"/>
    </row>
    <row r="2034" spans="11:40" x14ac:dyDescent="0.2">
      <c r="K2034" s="1"/>
      <c r="L2034" s="1"/>
      <c r="S2034" s="1"/>
      <c r="Z2034" s="1"/>
      <c r="AG2034" s="1"/>
      <c r="AN2034" s="1"/>
    </row>
    <row r="2035" spans="11:40" x14ac:dyDescent="0.2">
      <c r="K2035" s="1"/>
      <c r="L2035" s="1"/>
      <c r="S2035" s="1"/>
      <c r="Z2035" s="1"/>
      <c r="AG2035" s="1"/>
      <c r="AN2035" s="1"/>
    </row>
    <row r="2036" spans="11:40" x14ac:dyDescent="0.2">
      <c r="K2036" s="1"/>
      <c r="L2036" s="1"/>
      <c r="S2036" s="1"/>
      <c r="Z2036" s="1"/>
      <c r="AG2036" s="1"/>
      <c r="AN2036" s="1"/>
    </row>
    <row r="2037" spans="11:40" x14ac:dyDescent="0.2">
      <c r="K2037" s="1"/>
      <c r="L2037" s="1"/>
      <c r="S2037" s="1"/>
      <c r="Z2037" s="1"/>
      <c r="AG2037" s="1"/>
      <c r="AN2037" s="1"/>
    </row>
    <row r="2038" spans="11:40" x14ac:dyDescent="0.2">
      <c r="K2038" s="1"/>
      <c r="L2038" s="1"/>
      <c r="S2038" s="1"/>
      <c r="Z2038" s="1"/>
      <c r="AG2038" s="1"/>
      <c r="AN2038" s="1"/>
    </row>
    <row r="2039" spans="11:40" x14ac:dyDescent="0.2">
      <c r="K2039" s="1"/>
      <c r="L2039" s="1"/>
      <c r="S2039" s="1"/>
      <c r="Z2039" s="1"/>
      <c r="AG2039" s="1"/>
      <c r="AN2039" s="1"/>
    </row>
    <row r="2040" spans="11:40" x14ac:dyDescent="0.2">
      <c r="K2040" s="1"/>
      <c r="L2040" s="1"/>
      <c r="S2040" s="1"/>
      <c r="Z2040" s="1"/>
      <c r="AG2040" s="1"/>
      <c r="AN2040" s="1"/>
    </row>
    <row r="2041" spans="11:40" x14ac:dyDescent="0.2">
      <c r="K2041" s="1"/>
      <c r="L2041" s="1"/>
      <c r="S2041" s="1"/>
      <c r="Z2041" s="1"/>
      <c r="AG2041" s="1"/>
      <c r="AN2041" s="1"/>
    </row>
    <row r="2042" spans="11:40" x14ac:dyDescent="0.2">
      <c r="K2042" s="1"/>
      <c r="L2042" s="1"/>
      <c r="S2042" s="1"/>
      <c r="Z2042" s="1"/>
      <c r="AG2042" s="1"/>
      <c r="AN2042" s="1"/>
    </row>
    <row r="2043" spans="11:40" x14ac:dyDescent="0.2">
      <c r="K2043" s="1"/>
      <c r="L2043" s="1"/>
      <c r="S2043" s="1"/>
      <c r="Z2043" s="1"/>
      <c r="AG2043" s="1"/>
      <c r="AN2043" s="1"/>
    </row>
    <row r="2044" spans="11:40" x14ac:dyDescent="0.2">
      <c r="K2044" s="1"/>
      <c r="L2044" s="1"/>
      <c r="S2044" s="1"/>
      <c r="Z2044" s="1"/>
      <c r="AG2044" s="1"/>
      <c r="AN2044" s="1"/>
    </row>
    <row r="2045" spans="11:40" x14ac:dyDescent="0.2">
      <c r="K2045" s="1"/>
      <c r="L2045" s="1"/>
      <c r="S2045" s="1"/>
      <c r="Z2045" s="1"/>
      <c r="AG2045" s="1"/>
      <c r="AN2045" s="1"/>
    </row>
    <row r="2046" spans="11:40" x14ac:dyDescent="0.2">
      <c r="K2046" s="1"/>
      <c r="L2046" s="1"/>
      <c r="S2046" s="1"/>
      <c r="Z2046" s="1"/>
      <c r="AG2046" s="1"/>
      <c r="AN2046" s="1"/>
    </row>
    <row r="2047" spans="11:40" x14ac:dyDescent="0.2">
      <c r="K2047" s="1"/>
      <c r="L2047" s="1"/>
      <c r="S2047" s="1"/>
      <c r="Z2047" s="1"/>
      <c r="AG2047" s="1"/>
      <c r="AN2047" s="1"/>
    </row>
    <row r="2048" spans="11:40" x14ac:dyDescent="0.2">
      <c r="K2048" s="1"/>
      <c r="L2048" s="1"/>
      <c r="S2048" s="1"/>
      <c r="Z2048" s="1"/>
      <c r="AG2048" s="1"/>
      <c r="AN2048" s="1"/>
    </row>
    <row r="2049" spans="11:40" x14ac:dyDescent="0.2">
      <c r="K2049" s="1"/>
      <c r="L2049" s="1"/>
      <c r="S2049" s="1"/>
      <c r="Z2049" s="1"/>
      <c r="AG2049" s="1"/>
      <c r="AN2049" s="1"/>
    </row>
    <row r="2050" spans="11:40" x14ac:dyDescent="0.2">
      <c r="K2050" s="1"/>
      <c r="L2050" s="1"/>
      <c r="S2050" s="1"/>
      <c r="Z2050" s="1"/>
      <c r="AG2050" s="1"/>
      <c r="AN2050" s="1"/>
    </row>
    <row r="2051" spans="11:40" x14ac:dyDescent="0.2">
      <c r="K2051" s="1"/>
      <c r="L2051" s="1"/>
      <c r="S2051" s="1"/>
      <c r="Z2051" s="1"/>
      <c r="AG2051" s="1"/>
      <c r="AN2051" s="1"/>
    </row>
    <row r="2052" spans="11:40" x14ac:dyDescent="0.2">
      <c r="K2052" s="1"/>
      <c r="L2052" s="1"/>
      <c r="S2052" s="1"/>
      <c r="Z2052" s="1"/>
      <c r="AG2052" s="1"/>
      <c r="AN2052" s="1"/>
    </row>
    <row r="2053" spans="11:40" x14ac:dyDescent="0.2">
      <c r="K2053" s="1"/>
      <c r="L2053" s="1"/>
      <c r="S2053" s="1"/>
      <c r="Z2053" s="1"/>
      <c r="AG2053" s="1"/>
      <c r="AN2053" s="1"/>
    </row>
    <row r="2054" spans="11:40" x14ac:dyDescent="0.2">
      <c r="K2054" s="1"/>
      <c r="L2054" s="1"/>
      <c r="S2054" s="1"/>
      <c r="Z2054" s="1"/>
      <c r="AG2054" s="1"/>
      <c r="AN2054" s="1"/>
    </row>
    <row r="2055" spans="11:40" x14ac:dyDescent="0.2">
      <c r="K2055" s="1"/>
      <c r="L2055" s="1"/>
      <c r="S2055" s="1"/>
      <c r="Z2055" s="1"/>
      <c r="AG2055" s="1"/>
      <c r="AN2055" s="1"/>
    </row>
    <row r="2056" spans="11:40" x14ac:dyDescent="0.2">
      <c r="K2056" s="1"/>
      <c r="L2056" s="1"/>
      <c r="S2056" s="1"/>
      <c r="Z2056" s="1"/>
      <c r="AG2056" s="1"/>
      <c r="AN2056" s="1"/>
    </row>
    <row r="2057" spans="11:40" x14ac:dyDescent="0.2">
      <c r="K2057" s="1"/>
      <c r="L2057" s="1"/>
      <c r="S2057" s="1"/>
      <c r="Z2057" s="1"/>
      <c r="AG2057" s="1"/>
      <c r="AN2057" s="1"/>
    </row>
    <row r="2058" spans="11:40" x14ac:dyDescent="0.2">
      <c r="K2058" s="1"/>
      <c r="L2058" s="1"/>
      <c r="S2058" s="1"/>
      <c r="Z2058" s="1"/>
      <c r="AG2058" s="1"/>
      <c r="AN2058" s="1"/>
    </row>
    <row r="2059" spans="11:40" x14ac:dyDescent="0.2">
      <c r="K2059" s="1"/>
      <c r="L2059" s="1"/>
      <c r="S2059" s="1"/>
      <c r="Z2059" s="1"/>
      <c r="AG2059" s="1"/>
      <c r="AN2059" s="1"/>
    </row>
    <row r="2060" spans="11:40" x14ac:dyDescent="0.2">
      <c r="K2060" s="1"/>
      <c r="L2060" s="1"/>
      <c r="S2060" s="1"/>
      <c r="Z2060" s="1"/>
      <c r="AG2060" s="1"/>
      <c r="AN2060" s="1"/>
    </row>
    <row r="2061" spans="11:40" x14ac:dyDescent="0.2">
      <c r="K2061" s="1"/>
      <c r="L2061" s="1"/>
      <c r="S2061" s="1"/>
      <c r="Z2061" s="1"/>
      <c r="AG2061" s="1"/>
      <c r="AN2061" s="1"/>
    </row>
    <row r="2062" spans="11:40" x14ac:dyDescent="0.2">
      <c r="K2062" s="1"/>
      <c r="L2062" s="1"/>
      <c r="S2062" s="1"/>
      <c r="Z2062" s="1"/>
      <c r="AG2062" s="1"/>
      <c r="AN2062" s="1"/>
    </row>
    <row r="2063" spans="11:40" x14ac:dyDescent="0.2">
      <c r="K2063" s="1"/>
      <c r="L2063" s="1"/>
      <c r="S2063" s="1"/>
      <c r="Z2063" s="1"/>
      <c r="AG2063" s="1"/>
      <c r="AN2063" s="1"/>
    </row>
    <row r="2064" spans="11:40" x14ac:dyDescent="0.2">
      <c r="K2064" s="1"/>
      <c r="L2064" s="1"/>
      <c r="S2064" s="1"/>
      <c r="Z2064" s="1"/>
      <c r="AG2064" s="1"/>
      <c r="AN2064" s="1"/>
    </row>
    <row r="2065" spans="11:40" x14ac:dyDescent="0.2">
      <c r="K2065" s="1"/>
      <c r="L2065" s="1"/>
      <c r="S2065" s="1"/>
      <c r="Z2065" s="1"/>
      <c r="AG2065" s="1"/>
      <c r="AN2065" s="1"/>
    </row>
    <row r="2066" spans="11:40" x14ac:dyDescent="0.2">
      <c r="K2066" s="1"/>
      <c r="L2066" s="1"/>
      <c r="S2066" s="1"/>
      <c r="Z2066" s="1"/>
      <c r="AG2066" s="1"/>
      <c r="AN2066" s="1"/>
    </row>
    <row r="2067" spans="11:40" x14ac:dyDescent="0.2">
      <c r="K2067" s="1"/>
      <c r="L2067" s="1"/>
      <c r="S2067" s="1"/>
      <c r="Z2067" s="1"/>
      <c r="AG2067" s="1"/>
      <c r="AN2067" s="1"/>
    </row>
    <row r="2068" spans="11:40" x14ac:dyDescent="0.2">
      <c r="K2068" s="1"/>
      <c r="L2068" s="1"/>
      <c r="S2068" s="1"/>
      <c r="Z2068" s="1"/>
      <c r="AG2068" s="1"/>
      <c r="AN2068" s="1"/>
    </row>
    <row r="2069" spans="11:40" x14ac:dyDescent="0.2">
      <c r="K2069" s="1"/>
      <c r="L2069" s="1"/>
      <c r="S2069" s="1"/>
      <c r="Z2069" s="1"/>
      <c r="AG2069" s="1"/>
      <c r="AN2069" s="1"/>
    </row>
    <row r="2070" spans="11:40" x14ac:dyDescent="0.2">
      <c r="K2070" s="1"/>
      <c r="L2070" s="1"/>
      <c r="S2070" s="1"/>
      <c r="Z2070" s="1"/>
      <c r="AG2070" s="1"/>
      <c r="AN2070" s="1"/>
    </row>
    <row r="2071" spans="11:40" x14ac:dyDescent="0.2">
      <c r="K2071" s="1"/>
      <c r="L2071" s="1"/>
      <c r="S2071" s="1"/>
      <c r="Z2071" s="1"/>
      <c r="AG2071" s="1"/>
      <c r="AN2071" s="1"/>
    </row>
    <row r="2072" spans="11:40" x14ac:dyDescent="0.2">
      <c r="K2072" s="1"/>
      <c r="L2072" s="1"/>
      <c r="S2072" s="1"/>
      <c r="Z2072" s="1"/>
      <c r="AG2072" s="1"/>
      <c r="AN2072" s="1"/>
    </row>
    <row r="2073" spans="11:40" x14ac:dyDescent="0.2">
      <c r="K2073" s="1"/>
      <c r="L2073" s="1"/>
      <c r="S2073" s="1"/>
      <c r="Z2073" s="1"/>
      <c r="AG2073" s="1"/>
      <c r="AN2073" s="1"/>
    </row>
    <row r="2074" spans="11:40" x14ac:dyDescent="0.2">
      <c r="K2074" s="1"/>
      <c r="L2074" s="1"/>
      <c r="S2074" s="1"/>
      <c r="Z2074" s="1"/>
      <c r="AG2074" s="1"/>
      <c r="AN2074" s="1"/>
    </row>
    <row r="2075" spans="11:40" x14ac:dyDescent="0.2">
      <c r="K2075" s="1"/>
      <c r="L2075" s="1"/>
      <c r="S2075" s="1"/>
      <c r="Z2075" s="1"/>
      <c r="AG2075" s="1"/>
      <c r="AN2075" s="1"/>
    </row>
    <row r="2076" spans="11:40" x14ac:dyDescent="0.2">
      <c r="K2076" s="1"/>
      <c r="L2076" s="1"/>
      <c r="S2076" s="1"/>
      <c r="Z2076" s="1"/>
      <c r="AG2076" s="1"/>
      <c r="AN2076" s="1"/>
    </row>
    <row r="2077" spans="11:40" x14ac:dyDescent="0.2">
      <c r="K2077" s="1"/>
      <c r="L2077" s="1"/>
      <c r="S2077" s="1"/>
      <c r="Z2077" s="1"/>
      <c r="AG2077" s="1"/>
      <c r="AN2077" s="1"/>
    </row>
    <row r="2078" spans="11:40" x14ac:dyDescent="0.2">
      <c r="K2078" s="1"/>
      <c r="L2078" s="1"/>
      <c r="S2078" s="1"/>
      <c r="Z2078" s="1"/>
      <c r="AG2078" s="1"/>
      <c r="AN2078" s="1"/>
    </row>
    <row r="2079" spans="11:40" x14ac:dyDescent="0.2">
      <c r="K2079" s="1"/>
      <c r="L2079" s="1"/>
      <c r="S2079" s="1"/>
      <c r="Z2079" s="1"/>
      <c r="AG2079" s="1"/>
      <c r="AN2079" s="1"/>
    </row>
    <row r="2080" spans="11:40" x14ac:dyDescent="0.2">
      <c r="K2080" s="1"/>
      <c r="L2080" s="1"/>
      <c r="S2080" s="1"/>
      <c r="Z2080" s="1"/>
      <c r="AG2080" s="1"/>
      <c r="AN2080" s="1"/>
    </row>
    <row r="2081" spans="11:40" x14ac:dyDescent="0.2">
      <c r="K2081" s="1"/>
      <c r="L2081" s="1"/>
      <c r="S2081" s="1"/>
      <c r="Z2081" s="1"/>
      <c r="AG2081" s="1"/>
      <c r="AN2081" s="1"/>
    </row>
    <row r="2082" spans="11:40" x14ac:dyDescent="0.2">
      <c r="K2082" s="1"/>
      <c r="L2082" s="1"/>
      <c r="S2082" s="1"/>
      <c r="Z2082" s="1"/>
      <c r="AG2082" s="1"/>
      <c r="AN2082" s="1"/>
    </row>
    <row r="2083" spans="11:40" x14ac:dyDescent="0.2">
      <c r="K2083" s="1"/>
      <c r="L2083" s="1"/>
      <c r="S2083" s="1"/>
      <c r="Z2083" s="1"/>
      <c r="AG2083" s="1"/>
      <c r="AN2083" s="1"/>
    </row>
    <row r="2084" spans="11:40" x14ac:dyDescent="0.2">
      <c r="K2084" s="1"/>
      <c r="L2084" s="1"/>
      <c r="S2084" s="1"/>
      <c r="Z2084" s="1"/>
      <c r="AG2084" s="1"/>
      <c r="AN2084" s="1"/>
    </row>
    <row r="2085" spans="11:40" x14ac:dyDescent="0.2">
      <c r="K2085" s="1"/>
      <c r="L2085" s="1"/>
      <c r="S2085" s="1"/>
      <c r="Z2085" s="1"/>
      <c r="AG2085" s="1"/>
      <c r="AN2085" s="1"/>
    </row>
    <row r="2086" spans="11:40" x14ac:dyDescent="0.2">
      <c r="K2086" s="1"/>
      <c r="L2086" s="1"/>
      <c r="S2086" s="1"/>
      <c r="Z2086" s="1"/>
      <c r="AG2086" s="1"/>
      <c r="AN2086" s="1"/>
    </row>
    <row r="2087" spans="11:40" x14ac:dyDescent="0.2">
      <c r="K2087" s="1"/>
      <c r="L2087" s="1"/>
      <c r="S2087" s="1"/>
      <c r="Z2087" s="1"/>
      <c r="AG2087" s="1"/>
      <c r="AN2087" s="1"/>
    </row>
    <row r="2088" spans="11:40" x14ac:dyDescent="0.2">
      <c r="K2088" s="1"/>
      <c r="L2088" s="1"/>
      <c r="S2088" s="1"/>
      <c r="Z2088" s="1"/>
      <c r="AG2088" s="1"/>
      <c r="AN2088" s="1"/>
    </row>
    <row r="2089" spans="11:40" x14ac:dyDescent="0.2">
      <c r="K2089" s="1"/>
      <c r="L2089" s="1"/>
      <c r="S2089" s="1"/>
      <c r="Z2089" s="1"/>
      <c r="AG2089" s="1"/>
      <c r="AN2089" s="1"/>
    </row>
    <row r="2090" spans="11:40" x14ac:dyDescent="0.2">
      <c r="K2090" s="1"/>
      <c r="L2090" s="1"/>
      <c r="S2090" s="1"/>
      <c r="Z2090" s="1"/>
      <c r="AG2090" s="1"/>
      <c r="AN2090" s="1"/>
    </row>
    <row r="2091" spans="11:40" x14ac:dyDescent="0.2">
      <c r="K2091" s="1"/>
      <c r="L2091" s="1"/>
      <c r="S2091" s="1"/>
      <c r="Z2091" s="1"/>
      <c r="AG2091" s="1"/>
      <c r="AN2091" s="1"/>
    </row>
    <row r="2092" spans="11:40" x14ac:dyDescent="0.2">
      <c r="K2092" s="1"/>
      <c r="L2092" s="1"/>
      <c r="S2092" s="1"/>
      <c r="Z2092" s="1"/>
      <c r="AG2092" s="1"/>
      <c r="AN2092" s="1"/>
    </row>
    <row r="2093" spans="11:40" x14ac:dyDescent="0.2">
      <c r="K2093" s="1"/>
      <c r="L2093" s="1"/>
      <c r="S2093" s="1"/>
      <c r="Z2093" s="1"/>
      <c r="AG2093" s="1"/>
      <c r="AN2093" s="1"/>
    </row>
    <row r="2094" spans="11:40" x14ac:dyDescent="0.2">
      <c r="K2094" s="1"/>
      <c r="L2094" s="1"/>
      <c r="S2094" s="1"/>
      <c r="Z2094" s="1"/>
      <c r="AG2094" s="1"/>
      <c r="AN2094" s="1"/>
    </row>
    <row r="2095" spans="11:40" x14ac:dyDescent="0.2">
      <c r="K2095" s="1"/>
      <c r="L2095" s="1"/>
      <c r="S2095" s="1"/>
      <c r="Z2095" s="1"/>
      <c r="AG2095" s="1"/>
      <c r="AN2095" s="1"/>
    </row>
    <row r="2096" spans="11:40" x14ac:dyDescent="0.2">
      <c r="K2096" s="1"/>
      <c r="L2096" s="1"/>
      <c r="S2096" s="1"/>
      <c r="Z2096" s="1"/>
      <c r="AG2096" s="1"/>
      <c r="AN2096" s="1"/>
    </row>
    <row r="2097" spans="11:40" x14ac:dyDescent="0.2">
      <c r="K2097" s="1"/>
      <c r="L2097" s="1"/>
      <c r="S2097" s="1"/>
      <c r="Z2097" s="1"/>
      <c r="AG2097" s="1"/>
      <c r="AN2097" s="1"/>
    </row>
    <row r="2098" spans="11:40" x14ac:dyDescent="0.2">
      <c r="K2098" s="1"/>
      <c r="L2098" s="1"/>
      <c r="S2098" s="1"/>
      <c r="Z2098" s="1"/>
      <c r="AG2098" s="1"/>
      <c r="AN2098" s="1"/>
    </row>
    <row r="2099" spans="11:40" x14ac:dyDescent="0.2">
      <c r="K2099" s="1"/>
      <c r="L2099" s="1"/>
      <c r="S2099" s="1"/>
      <c r="Z2099" s="1"/>
      <c r="AG2099" s="1"/>
      <c r="AN2099" s="1"/>
    </row>
    <row r="2100" spans="11:40" x14ac:dyDescent="0.2">
      <c r="K2100" s="1"/>
      <c r="L2100" s="1"/>
      <c r="S2100" s="1"/>
      <c r="Z2100" s="1"/>
      <c r="AG2100" s="1"/>
      <c r="AN2100" s="1"/>
    </row>
    <row r="2101" spans="11:40" x14ac:dyDescent="0.2">
      <c r="K2101" s="1"/>
      <c r="L2101" s="1"/>
      <c r="S2101" s="1"/>
      <c r="Z2101" s="1"/>
      <c r="AG2101" s="1"/>
      <c r="AN2101" s="1"/>
    </row>
    <row r="2102" spans="11:40" x14ac:dyDescent="0.2">
      <c r="K2102" s="1"/>
      <c r="L2102" s="1"/>
      <c r="S2102" s="1"/>
      <c r="Z2102" s="1"/>
      <c r="AG2102" s="1"/>
      <c r="AN2102" s="1"/>
    </row>
    <row r="2103" spans="11:40" x14ac:dyDescent="0.2">
      <c r="K2103" s="1"/>
      <c r="L2103" s="1"/>
      <c r="S2103" s="1"/>
      <c r="Z2103" s="1"/>
      <c r="AG2103" s="1"/>
      <c r="AN2103" s="1"/>
    </row>
    <row r="2104" spans="11:40" x14ac:dyDescent="0.2">
      <c r="K2104" s="1"/>
      <c r="L2104" s="1"/>
      <c r="S2104" s="1"/>
      <c r="Z2104" s="1"/>
      <c r="AG2104" s="1"/>
      <c r="AN2104" s="1"/>
    </row>
    <row r="2105" spans="11:40" x14ac:dyDescent="0.2">
      <c r="K2105" s="1"/>
      <c r="L2105" s="1"/>
      <c r="S2105" s="1"/>
      <c r="Z2105" s="1"/>
      <c r="AG2105" s="1"/>
      <c r="AN2105" s="1"/>
    </row>
    <row r="2106" spans="11:40" x14ac:dyDescent="0.2">
      <c r="K2106" s="1"/>
      <c r="L2106" s="1"/>
      <c r="S2106" s="1"/>
      <c r="Z2106" s="1"/>
      <c r="AG2106" s="1"/>
      <c r="AN2106" s="1"/>
    </row>
    <row r="2107" spans="11:40" x14ac:dyDescent="0.2">
      <c r="K2107" s="1"/>
      <c r="L2107" s="1"/>
      <c r="S2107" s="1"/>
      <c r="Z2107" s="1"/>
      <c r="AG2107" s="1"/>
      <c r="AN2107" s="1"/>
    </row>
    <row r="2108" spans="11:40" x14ac:dyDescent="0.2">
      <c r="K2108" s="1"/>
      <c r="L2108" s="1"/>
      <c r="S2108" s="1"/>
      <c r="Z2108" s="1"/>
      <c r="AG2108" s="1"/>
      <c r="AN2108" s="1"/>
    </row>
    <row r="2109" spans="11:40" x14ac:dyDescent="0.2">
      <c r="K2109" s="1"/>
      <c r="L2109" s="1"/>
      <c r="S2109" s="1"/>
      <c r="Z2109" s="1"/>
      <c r="AG2109" s="1"/>
      <c r="AN2109" s="1"/>
    </row>
    <row r="2110" spans="11:40" x14ac:dyDescent="0.2">
      <c r="K2110" s="1"/>
      <c r="L2110" s="1"/>
      <c r="S2110" s="1"/>
      <c r="Z2110" s="1"/>
      <c r="AG2110" s="1"/>
      <c r="AN2110" s="1"/>
    </row>
    <row r="2111" spans="11:40" x14ac:dyDescent="0.2">
      <c r="K2111" s="1"/>
      <c r="L2111" s="1"/>
      <c r="S2111" s="1"/>
      <c r="Z2111" s="1"/>
      <c r="AG2111" s="1"/>
      <c r="AN2111" s="1"/>
    </row>
    <row r="2112" spans="11:40" x14ac:dyDescent="0.2">
      <c r="K2112" s="1"/>
      <c r="L2112" s="1"/>
      <c r="S2112" s="1"/>
      <c r="Z2112" s="1"/>
      <c r="AG2112" s="1"/>
      <c r="AN2112" s="1"/>
    </row>
    <row r="2113" spans="11:40" x14ac:dyDescent="0.2">
      <c r="K2113" s="1"/>
      <c r="L2113" s="1"/>
      <c r="S2113" s="1"/>
      <c r="Z2113" s="1"/>
      <c r="AG2113" s="1"/>
      <c r="AN2113" s="1"/>
    </row>
    <row r="2114" spans="11:40" x14ac:dyDescent="0.2">
      <c r="K2114" s="1"/>
      <c r="L2114" s="1"/>
      <c r="S2114" s="1"/>
      <c r="Z2114" s="1"/>
      <c r="AG2114" s="1"/>
      <c r="AN2114" s="1"/>
    </row>
    <row r="2115" spans="11:40" x14ac:dyDescent="0.2">
      <c r="K2115" s="1"/>
      <c r="L2115" s="1"/>
      <c r="S2115" s="1"/>
      <c r="Z2115" s="1"/>
      <c r="AG2115" s="1"/>
      <c r="AN2115" s="1"/>
    </row>
    <row r="2116" spans="11:40" x14ac:dyDescent="0.2">
      <c r="K2116" s="1"/>
      <c r="L2116" s="1"/>
      <c r="S2116" s="1"/>
      <c r="Z2116" s="1"/>
      <c r="AG2116" s="1"/>
      <c r="AN2116" s="1"/>
    </row>
    <row r="2117" spans="11:40" x14ac:dyDescent="0.2">
      <c r="K2117" s="1"/>
      <c r="L2117" s="1"/>
      <c r="S2117" s="1"/>
      <c r="Z2117" s="1"/>
      <c r="AG2117" s="1"/>
      <c r="AN2117" s="1"/>
    </row>
    <row r="2118" spans="11:40" x14ac:dyDescent="0.2">
      <c r="K2118" s="1"/>
      <c r="L2118" s="1"/>
      <c r="S2118" s="1"/>
      <c r="Z2118" s="1"/>
      <c r="AG2118" s="1"/>
      <c r="AN2118" s="1"/>
    </row>
    <row r="2119" spans="11:40" x14ac:dyDescent="0.2">
      <c r="K2119" s="1"/>
      <c r="L2119" s="1"/>
      <c r="S2119" s="1"/>
      <c r="Z2119" s="1"/>
      <c r="AG2119" s="1"/>
      <c r="AN2119" s="1"/>
    </row>
    <row r="2120" spans="11:40" x14ac:dyDescent="0.2">
      <c r="K2120" s="1"/>
      <c r="L2120" s="1"/>
      <c r="S2120" s="1"/>
      <c r="Z2120" s="1"/>
      <c r="AG2120" s="1"/>
      <c r="AN2120" s="1"/>
    </row>
    <row r="2121" spans="11:40" x14ac:dyDescent="0.2">
      <c r="K2121" s="1"/>
      <c r="L2121" s="1"/>
      <c r="S2121" s="1"/>
      <c r="Z2121" s="1"/>
      <c r="AG2121" s="1"/>
      <c r="AN2121" s="1"/>
    </row>
    <row r="2122" spans="11:40" x14ac:dyDescent="0.2">
      <c r="K2122" s="1"/>
      <c r="L2122" s="1"/>
      <c r="S2122" s="1"/>
      <c r="Z2122" s="1"/>
      <c r="AG2122" s="1"/>
      <c r="AN2122" s="1"/>
    </row>
    <row r="2123" spans="11:40" x14ac:dyDescent="0.2">
      <c r="K2123" s="1"/>
      <c r="L2123" s="1"/>
      <c r="S2123" s="1"/>
      <c r="Z2123" s="1"/>
      <c r="AG2123" s="1"/>
      <c r="AN2123" s="1"/>
    </row>
    <row r="2124" spans="11:40" x14ac:dyDescent="0.2">
      <c r="K2124" s="1"/>
      <c r="L2124" s="1"/>
      <c r="S2124" s="1"/>
      <c r="Z2124" s="1"/>
      <c r="AG2124" s="1"/>
      <c r="AN2124" s="1"/>
    </row>
    <row r="2125" spans="11:40" x14ac:dyDescent="0.2">
      <c r="K2125" s="1"/>
      <c r="L2125" s="1"/>
      <c r="S2125" s="1"/>
      <c r="Z2125" s="1"/>
      <c r="AG2125" s="1"/>
      <c r="AN2125" s="1"/>
    </row>
    <row r="2126" spans="11:40" x14ac:dyDescent="0.2">
      <c r="K2126" s="1"/>
      <c r="L2126" s="1"/>
      <c r="S2126" s="1"/>
      <c r="Z2126" s="1"/>
      <c r="AG2126" s="1"/>
      <c r="AN2126" s="1"/>
    </row>
    <row r="2127" spans="11:40" x14ac:dyDescent="0.2">
      <c r="K2127" s="1"/>
      <c r="L2127" s="1"/>
      <c r="S2127" s="1"/>
      <c r="Z2127" s="1"/>
      <c r="AG2127" s="1"/>
      <c r="AN2127" s="1"/>
    </row>
    <row r="2128" spans="11:40" x14ac:dyDescent="0.2">
      <c r="K2128" s="1"/>
      <c r="L2128" s="1"/>
      <c r="S2128" s="1"/>
      <c r="Z2128" s="1"/>
      <c r="AG2128" s="1"/>
      <c r="AN2128" s="1"/>
    </row>
    <row r="2129" spans="11:40" x14ac:dyDescent="0.2">
      <c r="K2129" s="1"/>
      <c r="L2129" s="1"/>
      <c r="S2129" s="1"/>
      <c r="Z2129" s="1"/>
      <c r="AG2129" s="1"/>
      <c r="AN2129" s="1"/>
    </row>
    <row r="2130" spans="11:40" x14ac:dyDescent="0.2">
      <c r="K2130" s="1"/>
      <c r="L2130" s="1"/>
      <c r="S2130" s="1"/>
      <c r="Z2130" s="1"/>
      <c r="AG2130" s="1"/>
      <c r="AN2130" s="1"/>
    </row>
    <row r="2131" spans="11:40" x14ac:dyDescent="0.2">
      <c r="K2131" s="1"/>
      <c r="L2131" s="1"/>
      <c r="S2131" s="1"/>
      <c r="Z2131" s="1"/>
      <c r="AG2131" s="1"/>
      <c r="AN2131" s="1"/>
    </row>
    <row r="2132" spans="11:40" x14ac:dyDescent="0.2">
      <c r="K2132" s="1"/>
      <c r="L2132" s="1"/>
      <c r="S2132" s="1"/>
      <c r="Z2132" s="1"/>
      <c r="AG2132" s="1"/>
      <c r="AN2132" s="1"/>
    </row>
    <row r="2133" spans="11:40" x14ac:dyDescent="0.2">
      <c r="K2133" s="1"/>
      <c r="L2133" s="1"/>
      <c r="S2133" s="1"/>
      <c r="Z2133" s="1"/>
      <c r="AG2133" s="1"/>
      <c r="AN2133" s="1"/>
    </row>
    <row r="2134" spans="11:40" x14ac:dyDescent="0.2">
      <c r="K2134" s="1"/>
      <c r="L2134" s="1"/>
      <c r="S2134" s="1"/>
      <c r="Z2134" s="1"/>
      <c r="AG2134" s="1"/>
      <c r="AN2134" s="1"/>
    </row>
    <row r="2135" spans="11:40" x14ac:dyDescent="0.2">
      <c r="K2135" s="1"/>
      <c r="L2135" s="1"/>
      <c r="S2135" s="1"/>
      <c r="Z2135" s="1"/>
      <c r="AG2135" s="1"/>
      <c r="AN2135" s="1"/>
    </row>
    <row r="2136" spans="11:40" x14ac:dyDescent="0.2">
      <c r="K2136" s="1"/>
      <c r="L2136" s="1"/>
      <c r="S2136" s="1"/>
      <c r="Z2136" s="1"/>
      <c r="AG2136" s="1"/>
      <c r="AN2136" s="1"/>
    </row>
    <row r="2137" spans="11:40" x14ac:dyDescent="0.2">
      <c r="K2137" s="1"/>
      <c r="L2137" s="1"/>
      <c r="S2137" s="1"/>
      <c r="Z2137" s="1"/>
      <c r="AG2137" s="1"/>
      <c r="AN2137" s="1"/>
    </row>
    <row r="2138" spans="11:40" x14ac:dyDescent="0.2">
      <c r="K2138" s="1"/>
      <c r="L2138" s="1"/>
      <c r="S2138" s="1"/>
      <c r="Z2138" s="1"/>
      <c r="AG2138" s="1"/>
      <c r="AN2138" s="1"/>
    </row>
    <row r="2139" spans="11:40" x14ac:dyDescent="0.2">
      <c r="K2139" s="1"/>
      <c r="L2139" s="1"/>
      <c r="S2139" s="1"/>
      <c r="Z2139" s="1"/>
      <c r="AG2139" s="1"/>
      <c r="AN2139" s="1"/>
    </row>
    <row r="2140" spans="11:40" x14ac:dyDescent="0.2">
      <c r="K2140" s="1"/>
      <c r="L2140" s="1"/>
      <c r="S2140" s="1"/>
      <c r="Z2140" s="1"/>
      <c r="AG2140" s="1"/>
      <c r="AN2140" s="1"/>
    </row>
  </sheetData>
  <mergeCells count="41">
    <mergeCell ref="L4:R4"/>
    <mergeCell ref="AV4:AZ4"/>
    <mergeCell ref="BA4:BE4"/>
    <mergeCell ref="BF4:BJ4"/>
    <mergeCell ref="CG3:DJ3"/>
    <mergeCell ref="AV3:BJ3"/>
    <mergeCell ref="BM3:BR3"/>
    <mergeCell ref="S4:Y4"/>
    <mergeCell ref="Z4:AF4"/>
    <mergeCell ref="AG4:AM4"/>
    <mergeCell ref="AN4:AT4"/>
    <mergeCell ref="BM4:BN4"/>
    <mergeCell ref="BO4:BP4"/>
    <mergeCell ref="BQ4:BR4"/>
    <mergeCell ref="BX32:BZ32"/>
    <mergeCell ref="BX36:BZ36"/>
    <mergeCell ref="BX40:BZ40"/>
    <mergeCell ref="BX44:BZ44"/>
    <mergeCell ref="DL4:DP4"/>
    <mergeCell ref="CG4:CL4"/>
    <mergeCell ref="CM4:CR4"/>
    <mergeCell ref="CS4:CX4"/>
    <mergeCell ref="CY4:DD4"/>
    <mergeCell ref="DE4:DJ4"/>
    <mergeCell ref="DT4:DU4"/>
    <mergeCell ref="EC3:FF3"/>
    <mergeCell ref="FP4:FQ4"/>
    <mergeCell ref="EC4:EH4"/>
    <mergeCell ref="EI4:EN4"/>
    <mergeCell ref="EO4:ET4"/>
    <mergeCell ref="EU4:EZ4"/>
    <mergeCell ref="FA4:FF4"/>
    <mergeCell ref="FH4:FL4"/>
    <mergeCell ref="HD4:HH4"/>
    <mergeCell ref="HL4:HM4"/>
    <mergeCell ref="FY3:HB3"/>
    <mergeCell ref="FY4:GD4"/>
    <mergeCell ref="GE4:GJ4"/>
    <mergeCell ref="GK4:GP4"/>
    <mergeCell ref="GQ4:GV4"/>
    <mergeCell ref="GW4:HB4"/>
  </mergeCells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19A95-AD32-45F5-95A7-D878ECF30A57}">
  <dimension ref="A1:BH167"/>
  <sheetViews>
    <sheetView topLeftCell="A13" workbookViewId="0">
      <selection activeCell="F37" sqref="F37"/>
    </sheetView>
  </sheetViews>
  <sheetFormatPr defaultColWidth="6.625" defaultRowHeight="11.25" x14ac:dyDescent="0.2"/>
  <cols>
    <col min="1" max="1" width="14.75" style="2" bestFit="1" customWidth="1"/>
    <col min="2" max="2" width="15.5" style="2" bestFit="1" customWidth="1"/>
    <col min="3" max="3" width="8.25" style="2" bestFit="1" customWidth="1"/>
    <col min="4" max="8" width="6.625" style="2"/>
    <col min="9" max="9" width="1.5" style="3" customWidth="1"/>
    <col min="10" max="11" width="6.625" style="2"/>
    <col min="12" max="12" width="6.625" style="2" customWidth="1"/>
    <col min="13" max="16" width="6.625" style="2"/>
    <col min="17" max="17" width="6.75" style="2" customWidth="1"/>
    <col min="18" max="18" width="6.625" style="2"/>
    <col min="19" max="19" width="1.5" style="3" customWidth="1"/>
    <col min="20" max="28" width="6.625" style="2"/>
    <col min="29" max="29" width="1.5" style="3" customWidth="1"/>
    <col min="30" max="16384" width="6.625" style="2"/>
  </cols>
  <sheetData>
    <row r="1" spans="1:60" x14ac:dyDescent="0.2">
      <c r="A1" s="2" t="s">
        <v>609</v>
      </c>
      <c r="B1" s="54">
        <f>'奖励（新）'!$E$2</f>
        <v>60</v>
      </c>
      <c r="J1" s="6" t="s">
        <v>611</v>
      </c>
      <c r="T1" s="6" t="s">
        <v>612</v>
      </c>
    </row>
    <row r="2" spans="1:60" x14ac:dyDescent="0.2">
      <c r="K2" s="26" t="s">
        <v>610</v>
      </c>
      <c r="U2" s="26" t="s">
        <v>610</v>
      </c>
    </row>
    <row r="3" spans="1:60" x14ac:dyDescent="0.2">
      <c r="A3" s="2" t="s">
        <v>603</v>
      </c>
      <c r="B3" s="6" t="s">
        <v>606</v>
      </c>
    </row>
    <row r="5" spans="1:60" x14ac:dyDescent="0.2">
      <c r="B5" s="2" t="s">
        <v>617</v>
      </c>
      <c r="C5" s="2">
        <v>5</v>
      </c>
    </row>
    <row r="6" spans="1:60" x14ac:dyDescent="0.2">
      <c r="B6" s="14" t="s">
        <v>602</v>
      </c>
      <c r="C6" s="14" t="s">
        <v>597</v>
      </c>
      <c r="D6" s="14" t="s">
        <v>598</v>
      </c>
      <c r="E6" s="14" t="s">
        <v>599</v>
      </c>
      <c r="F6" s="14" t="s">
        <v>600</v>
      </c>
      <c r="G6" s="14" t="s">
        <v>601</v>
      </c>
      <c r="L6" s="66" t="s">
        <v>627</v>
      </c>
      <c r="M6" s="66"/>
      <c r="N6" s="66"/>
      <c r="O6" s="66"/>
      <c r="P6" s="66"/>
      <c r="V6" s="66" t="s">
        <v>628</v>
      </c>
      <c r="W6" s="66"/>
      <c r="X6" s="66"/>
      <c r="Y6" s="66"/>
      <c r="Z6" s="66"/>
      <c r="AF6" s="66" t="s">
        <v>624</v>
      </c>
      <c r="AG6" s="66"/>
      <c r="AH6" s="66"/>
      <c r="AI6" s="66"/>
      <c r="AJ6" s="66"/>
      <c r="AK6" s="66" t="s">
        <v>625</v>
      </c>
      <c r="AL6" s="66"/>
      <c r="AM6" s="66"/>
      <c r="AN6" s="66"/>
      <c r="AO6" s="66"/>
      <c r="AR6" s="66" t="s">
        <v>626</v>
      </c>
      <c r="AS6" s="66"/>
      <c r="AT6" s="66"/>
      <c r="AU6" s="66"/>
      <c r="AV6" s="66"/>
      <c r="AX6" s="66" t="s">
        <v>629</v>
      </c>
      <c r="AY6" s="66"/>
      <c r="AZ6" s="66"/>
      <c r="BA6" s="66"/>
      <c r="BB6" s="66"/>
    </row>
    <row r="7" spans="1:60" ht="12.75" customHeight="1" x14ac:dyDescent="0.2">
      <c r="B7" s="14" t="s">
        <v>604</v>
      </c>
      <c r="C7" s="14">
        <v>1</v>
      </c>
      <c r="D7" s="14">
        <v>0.9</v>
      </c>
      <c r="E7" s="14">
        <v>0.8</v>
      </c>
      <c r="F7" s="14">
        <v>0.6</v>
      </c>
      <c r="G7" s="14">
        <v>0.5</v>
      </c>
      <c r="K7" s="2" t="s">
        <v>128</v>
      </c>
      <c r="L7" s="2" t="s">
        <v>198</v>
      </c>
      <c r="M7" s="2" t="s">
        <v>199</v>
      </c>
      <c r="N7" s="2" t="s">
        <v>200</v>
      </c>
      <c r="O7" s="2" t="s">
        <v>201</v>
      </c>
      <c r="P7" s="2" t="s">
        <v>202</v>
      </c>
      <c r="U7" s="2" t="s">
        <v>128</v>
      </c>
      <c r="V7" s="2" t="s">
        <v>198</v>
      </c>
      <c r="W7" s="2" t="s">
        <v>199</v>
      </c>
      <c r="X7" s="2" t="s">
        <v>200</v>
      </c>
      <c r="Y7" s="2" t="s">
        <v>201</v>
      </c>
      <c r="Z7" s="2" t="s">
        <v>202</v>
      </c>
      <c r="AE7" s="2" t="s">
        <v>128</v>
      </c>
      <c r="AF7" s="2" t="s">
        <v>198</v>
      </c>
      <c r="AG7" s="2" t="s">
        <v>199</v>
      </c>
      <c r="AH7" s="2" t="s">
        <v>200</v>
      </c>
      <c r="AI7" s="2" t="s">
        <v>201</v>
      </c>
      <c r="AJ7" s="2" t="s">
        <v>202</v>
      </c>
      <c r="AK7" s="2" t="s">
        <v>198</v>
      </c>
      <c r="AL7" s="2" t="s">
        <v>199</v>
      </c>
      <c r="AM7" s="2" t="s">
        <v>200</v>
      </c>
      <c r="AN7" s="2" t="s">
        <v>201</v>
      </c>
      <c r="AO7" s="2" t="s">
        <v>202</v>
      </c>
      <c r="AQ7" s="2" t="s">
        <v>128</v>
      </c>
      <c r="AR7" s="2" t="s">
        <v>198</v>
      </c>
      <c r="AS7" s="2" t="s">
        <v>199</v>
      </c>
      <c r="AT7" s="2" t="s">
        <v>200</v>
      </c>
      <c r="AU7" s="2" t="s">
        <v>201</v>
      </c>
      <c r="AV7" s="2" t="s">
        <v>202</v>
      </c>
      <c r="AX7" s="2" t="s">
        <v>198</v>
      </c>
      <c r="AY7" s="2" t="s">
        <v>199</v>
      </c>
      <c r="AZ7" s="2" t="s">
        <v>200</v>
      </c>
      <c r="BA7" s="2" t="s">
        <v>201</v>
      </c>
      <c r="BB7" s="2" t="s">
        <v>202</v>
      </c>
    </row>
    <row r="8" spans="1:60" x14ac:dyDescent="0.2">
      <c r="B8" s="14" t="s">
        <v>605</v>
      </c>
      <c r="C8" s="14">
        <f>1-C7</f>
        <v>0</v>
      </c>
      <c r="D8" s="14">
        <f t="shared" ref="D8:G8" si="0">1-D7</f>
        <v>9.9999999999999978E-2</v>
      </c>
      <c r="E8" s="14">
        <f t="shared" si="0"/>
        <v>0.19999999999999996</v>
      </c>
      <c r="F8" s="14">
        <f t="shared" si="0"/>
        <v>0.4</v>
      </c>
      <c r="G8" s="14">
        <f t="shared" si="0"/>
        <v>0.5</v>
      </c>
      <c r="K8" s="2">
        <v>1</v>
      </c>
      <c r="L8" s="2">
        <f>标准城池设计!AB4*$B$10/C$14*$C$5*C$7</f>
        <v>1054123.176153363</v>
      </c>
      <c r="M8" s="2">
        <f>标准城池设计!AC4*$B$10/D$14*$C$5*D$7</f>
        <v>1127838.7946315566</v>
      </c>
      <c r="N8" s="2">
        <f>标准城池设计!AD4*$B$10/E$14*$C$5*E$7</f>
        <v>1213678.469837927</v>
      </c>
      <c r="O8" s="2">
        <f>标准城池设计!AE4*$B$10/F$14*$C$5*F$7</f>
        <v>1171675.8770455113</v>
      </c>
      <c r="P8" s="2">
        <f>标准城池设计!AF4*$B$10/G$14*$C$5*G$7</f>
        <v>1317271.8469893222</v>
      </c>
      <c r="Q8" s="2">
        <f>P8/10000</f>
        <v>131.72718469893223</v>
      </c>
      <c r="U8" s="2">
        <v>1</v>
      </c>
      <c r="V8" s="2">
        <f>其他调用!R5*6*其他调用!BM5*$B$10/C$15*$C$5*C$8/3</f>
        <v>0</v>
      </c>
      <c r="W8" s="2">
        <f>其他调用!S5*6*其他调用!BN5*$B$10/D$15*$C$5*D$8/3</f>
        <v>150768.36413825213</v>
      </c>
      <c r="X8" s="2">
        <f>其他调用!T5*6*其他调用!BO5*$B$10/E$15*$C$5*E$8/3</f>
        <v>364104.975575994</v>
      </c>
      <c r="Y8" s="2">
        <f>其他调用!U5*6*其他调用!BP5*$B$10/F$15*$C$5*F$8/3</f>
        <v>916407.56121964508</v>
      </c>
      <c r="Z8" s="2">
        <f>其他调用!V5*6*其他调用!BQ5*$B$10/G$15*$C$5*G$8/3</f>
        <v>1538251.9544289522</v>
      </c>
      <c r="AA8" s="2">
        <f>Z8/10000</f>
        <v>153.82519544289522</v>
      </c>
      <c r="AE8" s="2">
        <v>1</v>
      </c>
      <c r="AF8" s="2">
        <f>L8/IFERROR(INDEX($C$22:$C$35,MATCH(节奏总纲!D4,$B$22:$B$35,1)),MIN($C$22:$C$35))*IFERROR(INDEX($D$22:$D$35,MATCH(节奏总纲!D4,$B$22:$B$35,1)),MIN($D$22:$D$35))</f>
        <v>421.64927046134517</v>
      </c>
      <c r="AG8" s="2">
        <f>M8/IFERROR(INDEX($C$22:$C$35,MATCH(节奏总纲!E4,$B$22:$B$35,1)),MIN($C$22:$C$35))*IFERROR(INDEX($D$22:$D$35,MATCH(节奏总纲!E4,$B$22:$B$35,1)),MIN($D$22:$D$35))</f>
        <v>451.13551785262263</v>
      </c>
      <c r="AH8" s="2">
        <f>N8/IFERROR(INDEX($C$22:$C$35,MATCH(节奏总纲!F4,$B$22:$B$35,1)),MIN($C$22:$C$35))*IFERROR(INDEX($D$22:$D$35,MATCH(节奏总纲!F4,$B$22:$B$35,1)),MIN($D$22:$D$35))</f>
        <v>485.47138793517081</v>
      </c>
      <c r="AI8" s="2">
        <f>O8/IFERROR(INDEX($C$22:$C$35,MATCH(节奏总纲!G4,$B$22:$B$35,1)),MIN($C$22:$C$35))*IFERROR(INDEX($D$22:$D$35,MATCH(节奏总纲!G4,$B$22:$B$35,1)),MIN($D$22:$D$35))</f>
        <v>468.6703508182045</v>
      </c>
      <c r="AJ8" s="2">
        <f>P8/IFERROR(INDEX($C$22:$C$35,MATCH(节奏总纲!H4,$B$22:$B$35,1)),MIN($C$22:$C$35))*IFERROR(INDEX($D$22:$D$35,MATCH(节奏总纲!H4,$B$22:$B$35,1)),MIN($D$22:$D$35))</f>
        <v>526.90873879572894</v>
      </c>
      <c r="AK8" s="2">
        <f>V8/IFERROR(INDEX($E$22:$E$35,MATCH(节奏总纲!D4,$B$22:$B$35,1)),MIN($E$22:$E$35))*IFERROR(INDEX($F$22:$F$35,MATCH(节奏总纲!D4,$B$22:$B$35,1)),MIN($F$22:$F$35))</f>
        <v>0</v>
      </c>
      <c r="AL8" s="2">
        <f>W8/IFERROR(INDEX($E$22:$E$35,MATCH(节奏总纲!E4,$B$22:$B$35,1)),MIN($E$22:$E$35))*IFERROR(INDEX($F$22:$F$35,MATCH(节奏总纲!E4,$B$22:$B$35,1)),MIN($F$22:$F$35))</f>
        <v>2319.5132944346483</v>
      </c>
      <c r="AM8" s="2">
        <f>X8/IFERROR(INDEX($E$22:$E$35,MATCH(节奏总纲!F4,$B$22:$B$35,1)),MIN($E$22:$E$35))*IFERROR(INDEX($F$22:$F$35,MATCH(节奏总纲!F4,$B$22:$B$35,1)),MIN($F$22:$F$35))</f>
        <v>5601.6150088614459</v>
      </c>
      <c r="AN8" s="2">
        <f>Y8/IFERROR(INDEX($E$22:$E$35,MATCH(节奏总纲!G4,$B$22:$B$35,1)),MIN($E$22:$E$35))*IFERROR(INDEX($F$22:$F$35,MATCH(节奏总纲!G4,$B$22:$B$35,1)),MIN($F$22:$F$35))</f>
        <v>14098.577864917617</v>
      </c>
      <c r="AO8" s="2">
        <f>Z8/IFERROR(INDEX($E$22:$E$35,MATCH(节奏总纲!H4,$B$22:$B$35,1)),MIN($E$22:$E$35))*IFERROR(INDEX($F$22:$F$35,MATCH(节奏总纲!H4,$B$22:$B$35,1)),MIN($F$22:$F$35))</f>
        <v>23665.41468352234</v>
      </c>
      <c r="AQ8" s="2">
        <v>1</v>
      </c>
      <c r="AR8" s="2">
        <f>AF8+AK8</f>
        <v>421.64927046134517</v>
      </c>
      <c r="AS8" s="2">
        <f t="shared" ref="AS8:AV8" si="1">AG8+AL8</f>
        <v>2770.6488122872711</v>
      </c>
      <c r="AT8" s="2">
        <f t="shared" si="1"/>
        <v>6087.086396796617</v>
      </c>
      <c r="AU8" s="2">
        <f t="shared" si="1"/>
        <v>14567.248215735821</v>
      </c>
      <c r="AV8" s="2">
        <f t="shared" si="1"/>
        <v>24192.32342231807</v>
      </c>
      <c r="AX8" s="41">
        <f>AK8/AR8</f>
        <v>0</v>
      </c>
      <c r="AY8" s="41">
        <f t="shared" ref="AY8:BB8" si="2">AL8/AS8</f>
        <v>0.83717333071880951</v>
      </c>
      <c r="AZ8" s="41">
        <f t="shared" si="2"/>
        <v>0.92024568795497064</v>
      </c>
      <c r="BA8" s="41">
        <f t="shared" si="2"/>
        <v>0.9678271184868027</v>
      </c>
      <c r="BB8" s="41">
        <f t="shared" si="2"/>
        <v>0.97822000270095422</v>
      </c>
      <c r="BD8" s="2" t="e">
        <f>(AK8/C$8)/(AF8/C$7)</f>
        <v>#DIV/0!</v>
      </c>
      <c r="BE8" s="2">
        <f t="shared" ref="BE8:BH8" si="3">(AL8/D$8)/(AG8/D$7)</f>
        <v>46.273500586428021</v>
      </c>
      <c r="BF8" s="2">
        <f t="shared" si="3"/>
        <v>46.154028007182824</v>
      </c>
      <c r="BG8" s="2">
        <f t="shared" si="3"/>
        <v>45.123116408914036</v>
      </c>
      <c r="BH8" s="2">
        <f t="shared" si="3"/>
        <v>44.913687971109752</v>
      </c>
    </row>
    <row r="9" spans="1:60" x14ac:dyDescent="0.2">
      <c r="K9" s="2">
        <v>2</v>
      </c>
      <c r="L9" s="2">
        <f>标准城池设计!AB5*$B$10/C$14*$C$5*C$7</f>
        <v>2159427.3053657506</v>
      </c>
      <c r="M9" s="2">
        <f>标准城池设计!AC5*$B$10/D$14*$C$5*D$7</f>
        <v>2312264.742253589</v>
      </c>
      <c r="N9" s="2">
        <f>标准城池设计!AD5*$B$10/E$14*$C$5*E$7</f>
        <v>2491093.5092803095</v>
      </c>
      <c r="O9" s="2">
        <f>标准城池设计!AE5*$B$10/F$14*$C$5*F$7</f>
        <v>2404338.8598978943</v>
      </c>
      <c r="P9" s="2">
        <f>标准城池设计!AF5*$B$10/G$14*$C$5*G$7</f>
        <v>2705361.0695426264</v>
      </c>
      <c r="Q9" s="2">
        <f t="shared" ref="Q9:Q72" si="4">P9/10000</f>
        <v>270.53610695426266</v>
      </c>
      <c r="U9" s="2">
        <v>2</v>
      </c>
      <c r="V9" s="2">
        <f>其他调用!R6*6*其他调用!BM6*$B$10/C$15*$C$5*C$8/3</f>
        <v>0</v>
      </c>
      <c r="W9" s="2">
        <f>其他调用!S6*6*其他调用!BN6*$B$10/D$15*$C$5*D$8/3</f>
        <v>171608.05695619111</v>
      </c>
      <c r="X9" s="2">
        <f>其他调用!T6*6*其他调用!BO6*$B$10/E$15*$C$5*E$8/3</f>
        <v>414980.12944329716</v>
      </c>
      <c r="Y9" s="2">
        <f>其他调用!U6*6*其他调用!BP6*$B$10/F$15*$C$5*F$8/3</f>
        <v>1048253.4017147479</v>
      </c>
      <c r="Z9" s="2">
        <f>其他调用!V6*6*其他调用!BQ6*$B$10/G$15*$C$5*G$8/3</f>
        <v>1765053.2099584984</v>
      </c>
      <c r="AA9" s="2">
        <f t="shared" ref="AA9:AA72" si="5">Z9/10000</f>
        <v>176.50532099584984</v>
      </c>
      <c r="AE9" s="2">
        <v>2</v>
      </c>
      <c r="AF9" s="2">
        <f>L9/IFERROR(INDEX($C$22:$C$35,MATCH(节奏总纲!D5,$B$22:$B$35,1)),MIN($C$22:$C$35))*IFERROR(INDEX($D$22:$D$35,MATCH(节奏总纲!D5,$B$22:$B$35,1)),MIN($D$22:$D$35))</f>
        <v>863.77092214630022</v>
      </c>
      <c r="AG9" s="2">
        <f>M9/IFERROR(INDEX($C$22:$C$35,MATCH(节奏总纲!E5,$B$22:$B$35,1)),MIN($C$22:$C$35))*IFERROR(INDEX($D$22:$D$35,MATCH(节奏总纲!E5,$B$22:$B$35,1)),MIN($D$22:$D$35))</f>
        <v>924.90589690143554</v>
      </c>
      <c r="AH9" s="2">
        <f>N9/IFERROR(INDEX($C$22:$C$35,MATCH(节奏总纲!F5,$B$22:$B$35,1)),MIN($C$22:$C$35))*IFERROR(INDEX($D$22:$D$35,MATCH(节奏总纲!F5,$B$22:$B$35,1)),MIN($D$22:$D$35))</f>
        <v>996.4374037121238</v>
      </c>
      <c r="AI9" s="2">
        <f>O9/IFERROR(INDEX($C$22:$C$35,MATCH(节奏总纲!G5,$B$22:$B$35,1)),MIN($C$22:$C$35))*IFERROR(INDEX($D$22:$D$35,MATCH(节奏总纲!G5,$B$22:$B$35,1)),MIN($D$22:$D$35))</f>
        <v>961.73554395915778</v>
      </c>
      <c r="AJ9" s="2">
        <f>P9/IFERROR(INDEX($C$22:$C$35,MATCH(节奏总纲!H5,$B$22:$B$35,1)),MIN($C$22:$C$35))*IFERROR(INDEX($D$22:$D$35,MATCH(节奏总纲!H5,$B$22:$B$35,1)),MIN($D$22:$D$35))</f>
        <v>1082.1444278170507</v>
      </c>
      <c r="AK9" s="2">
        <f>V9/IFERROR(INDEX($E$22:$E$35,MATCH(节奏总纲!D5,$B$22:$B$35,1)),MIN($E$22:$E$35))*IFERROR(INDEX($F$22:$F$35,MATCH(节奏总纲!D5,$B$22:$B$35,1)),MIN($F$22:$F$35))</f>
        <v>0</v>
      </c>
      <c r="AL9" s="2">
        <f>W9/IFERROR(INDEX($E$22:$E$35,MATCH(节奏总纲!E5,$B$22:$B$35,1)),MIN($E$22:$E$35))*IFERROR(INDEX($F$22:$F$35,MATCH(节奏总纲!E5,$B$22:$B$35,1)),MIN($F$22:$F$35))</f>
        <v>2640.1239531721708</v>
      </c>
      <c r="AM9" s="2">
        <f>X9/IFERROR(INDEX($E$22:$E$35,MATCH(节奏总纲!F5,$B$22:$B$35,1)),MIN($E$22:$E$35))*IFERROR(INDEX($F$22:$F$35,MATCH(节奏总纲!F5,$B$22:$B$35,1)),MIN($F$22:$F$35))</f>
        <v>6384.309683743033</v>
      </c>
      <c r="AN9" s="2">
        <f>Y9/IFERROR(INDEX($E$22:$E$35,MATCH(节奏总纲!G5,$B$22:$B$35,1)),MIN($E$22:$E$35))*IFERROR(INDEX($F$22:$F$35,MATCH(节奏总纲!G5,$B$22:$B$35,1)),MIN($F$22:$F$35))</f>
        <v>16126.975410996121</v>
      </c>
      <c r="AO9" s="2">
        <f>Z9/IFERROR(INDEX($E$22:$E$35,MATCH(节奏总纲!H5,$B$22:$B$35,1)),MIN($E$22:$E$35))*IFERROR(INDEX($F$22:$F$35,MATCH(节奏总纲!H5,$B$22:$B$35,1)),MIN($F$22:$F$35))</f>
        <v>27154.664768592284</v>
      </c>
      <c r="AQ9" s="2">
        <v>2</v>
      </c>
      <c r="AR9" s="2">
        <f t="shared" ref="AR9:AR72" si="6">AF9+AK9</f>
        <v>863.77092214630022</v>
      </c>
      <c r="AS9" s="2">
        <f t="shared" ref="AS9:AS72" si="7">AG9+AL9</f>
        <v>3565.0298500736062</v>
      </c>
      <c r="AT9" s="2">
        <f t="shared" ref="AT9:AT72" si="8">AH9+AM9</f>
        <v>7380.7470874551564</v>
      </c>
      <c r="AU9" s="2">
        <f t="shared" ref="AU9:AU72" si="9">AI9+AN9</f>
        <v>17088.710954955281</v>
      </c>
      <c r="AV9" s="2">
        <f t="shared" ref="AV9:AV72" si="10">AJ9+AO9</f>
        <v>28236.809196409333</v>
      </c>
      <c r="AX9" s="41">
        <f t="shared" ref="AX9:AX72" si="11">AK9/AR9</f>
        <v>0</v>
      </c>
      <c r="AY9" s="41">
        <f t="shared" ref="AY9:AY72" si="12">AL9/AS9</f>
        <v>0.7405615280101121</v>
      </c>
      <c r="AZ9" s="41">
        <f t="shared" ref="AZ9:AZ72" si="13">AM9/AT9</f>
        <v>0.86499504834602181</v>
      </c>
      <c r="BA9" s="41">
        <f t="shared" ref="BA9:BA72" si="14">AN9/AU9</f>
        <v>0.94372100116303503</v>
      </c>
      <c r="BB9" s="41">
        <f t="shared" ref="BB9:BB72" si="15">AO9/AV9</f>
        <v>0.96167610793805069</v>
      </c>
      <c r="BD9" s="2" t="e">
        <f t="shared" ref="BD9:BD72" si="16">(AK9/C$8)/(AF9/C$7)</f>
        <v>#DIV/0!</v>
      </c>
      <c r="BE9" s="2">
        <f t="shared" ref="BE9:BE72" si="17">(AL9/D$8)/(AG9/D$7)</f>
        <v>25.690306071301539</v>
      </c>
      <c r="BF9" s="2">
        <f t="shared" ref="BF9:BF72" si="18">(AM9/E$8)/(AH9/E$7)</f>
        <v>25.628542886724059</v>
      </c>
      <c r="BG9" s="2">
        <f t="shared" ref="BG9:BG72" si="19">(AN9/F$8)/(AI9/F$7)</f>
        <v>25.152926153597043</v>
      </c>
      <c r="BH9" s="2">
        <f t="shared" ref="BH9:BH72" si="20">(AO9/G$8)/(AJ9/G$7)</f>
        <v>25.093383166394773</v>
      </c>
    </row>
    <row r="10" spans="1:60" x14ac:dyDescent="0.2">
      <c r="A10" s="2" t="s">
        <v>607</v>
      </c>
      <c r="B10" s="42">
        <v>3600</v>
      </c>
      <c r="K10" s="2">
        <v>3</v>
      </c>
      <c r="L10" s="2">
        <f>标准城池设计!AB6*$B$10/C$14*$C$5*C$7</f>
        <v>3315999.4556152308</v>
      </c>
      <c r="M10" s="2">
        <f>标准城池设计!AC6*$B$10/D$14*$C$5*D$7</f>
        <v>3553409.9593951292</v>
      </c>
      <c r="N10" s="2">
        <f>标准城池设计!AD6*$B$10/E$14*$C$5*E$7</f>
        <v>3832491.5882990318</v>
      </c>
      <c r="O10" s="2">
        <f>标准城池设计!AE6*$B$10/F$14*$C$5*F$7</f>
        <v>3697988.948557151</v>
      </c>
      <c r="P10" s="2">
        <f>标准城池设计!AF6*$B$10/G$14*$C$5*G$7</f>
        <v>4164267.6676599071</v>
      </c>
      <c r="Q10" s="2">
        <f t="shared" si="4"/>
        <v>416.42676676599069</v>
      </c>
      <c r="U10" s="2">
        <v>3</v>
      </c>
      <c r="V10" s="2">
        <f>其他调用!R7*6*其他调用!BM7*$B$10/C$15*$C$5*C$8/3</f>
        <v>0</v>
      </c>
      <c r="W10" s="2">
        <f>其他调用!S7*6*其他调用!BN7*$B$10/D$15*$C$5*D$8/3</f>
        <v>188266.18356072166</v>
      </c>
      <c r="X10" s="2">
        <f>其他调用!T7*6*其他调用!BO7*$B$10/E$15*$C$5*E$8/3</f>
        <v>456120.79830507771</v>
      </c>
      <c r="Y10" s="2">
        <f>其他调用!U7*6*其他调用!BP7*$B$10/F$15*$C$5*F$8/3</f>
        <v>1155886.7097086015</v>
      </c>
      <c r="Z10" s="2">
        <f>其他调用!V7*6*其他调用!BQ7*$B$10/G$15*$C$5*G$8/3</f>
        <v>1950440.7122097814</v>
      </c>
      <c r="AA10" s="2">
        <f t="shared" si="5"/>
        <v>195.04407122097814</v>
      </c>
      <c r="AE10" s="2">
        <v>3</v>
      </c>
      <c r="AF10" s="2">
        <f>L10/IFERROR(INDEX($C$22:$C$35,MATCH(节奏总纲!D6,$B$22:$B$35,1)),MIN($C$22:$C$35))*IFERROR(INDEX($D$22:$D$35,MATCH(节奏总纲!D6,$B$22:$B$35,1)),MIN($D$22:$D$35))</f>
        <v>1326.3997822460924</v>
      </c>
      <c r="AG10" s="2">
        <f>M10/IFERROR(INDEX($C$22:$C$35,MATCH(节奏总纲!E6,$B$22:$B$35,1)),MIN($C$22:$C$35))*IFERROR(INDEX($D$22:$D$35,MATCH(节奏总纲!E6,$B$22:$B$35,1)),MIN($D$22:$D$35))</f>
        <v>1421.3639837580517</v>
      </c>
      <c r="AH10" s="2">
        <f>N10/IFERROR(INDEX($C$22:$C$35,MATCH(节奏总纲!F6,$B$22:$B$35,1)),MIN($C$22:$C$35))*IFERROR(INDEX($D$22:$D$35,MATCH(节奏总纲!F6,$B$22:$B$35,1)),MIN($D$22:$D$35))</f>
        <v>1532.9966353196128</v>
      </c>
      <c r="AI10" s="2">
        <f>O10/IFERROR(INDEX($C$22:$C$35,MATCH(节奏总纲!G6,$B$22:$B$35,1)),MIN($C$22:$C$35))*IFERROR(INDEX($D$22:$D$35,MATCH(节奏总纲!G6,$B$22:$B$35,1)),MIN($D$22:$D$35))</f>
        <v>1479.1955794228604</v>
      </c>
      <c r="AJ10" s="2">
        <f>P10/IFERROR(INDEX($C$22:$C$35,MATCH(节奏总纲!H6,$B$22:$B$35,1)),MIN($C$22:$C$35))*IFERROR(INDEX($D$22:$D$35,MATCH(节奏总纲!H6,$B$22:$B$35,1)),MIN($D$22:$D$35))</f>
        <v>1665.7070670639628</v>
      </c>
      <c r="AK10" s="2">
        <f>V10/IFERROR(INDEX($E$22:$E$35,MATCH(节奏总纲!D6,$B$22:$B$35,1)),MIN($E$22:$E$35))*IFERROR(INDEX($F$22:$F$35,MATCH(节奏总纲!D6,$B$22:$B$35,1)),MIN($F$22:$F$35))</f>
        <v>0</v>
      </c>
      <c r="AL10" s="2">
        <f>W10/IFERROR(INDEX($E$22:$E$35,MATCH(节奏总纲!E6,$B$22:$B$35,1)),MIN($E$22:$E$35))*IFERROR(INDEX($F$22:$F$35,MATCH(节奏总纲!E6,$B$22:$B$35,1)),MIN($F$22:$F$35))</f>
        <v>2896.4028240111024</v>
      </c>
      <c r="AM10" s="2">
        <f>X10/IFERROR(INDEX($E$22:$E$35,MATCH(节奏总纲!F6,$B$22:$B$35,1)),MIN($E$22:$E$35))*IFERROR(INDEX($F$22:$F$35,MATCH(节奏总纲!F6,$B$22:$B$35,1)),MIN($F$22:$F$35))</f>
        <v>7017.243050847349</v>
      </c>
      <c r="AN10" s="2">
        <f>Y10/IFERROR(INDEX($E$22:$E$35,MATCH(节奏总纲!G6,$B$22:$B$35,1)),MIN($E$22:$E$35))*IFERROR(INDEX($F$22:$F$35,MATCH(节奏总纲!G6,$B$22:$B$35,1)),MIN($F$22:$F$35))</f>
        <v>17782.872457055408</v>
      </c>
      <c r="AO10" s="2">
        <f>Z10/IFERROR(INDEX($E$22:$E$35,MATCH(节奏总纲!H6,$B$22:$B$35,1)),MIN($E$22:$E$35))*IFERROR(INDEX($F$22:$F$35,MATCH(节奏总纲!H6,$B$22:$B$35,1)),MIN($F$22:$F$35))</f>
        <v>30006.780187842789</v>
      </c>
      <c r="AQ10" s="2">
        <v>3</v>
      </c>
      <c r="AR10" s="2">
        <f t="shared" si="6"/>
        <v>1326.3997822460924</v>
      </c>
      <c r="AS10" s="2">
        <f t="shared" si="7"/>
        <v>4317.7668077691542</v>
      </c>
      <c r="AT10" s="2">
        <f t="shared" si="8"/>
        <v>8550.2396861669622</v>
      </c>
      <c r="AU10" s="2">
        <f t="shared" si="9"/>
        <v>19262.068036478267</v>
      </c>
      <c r="AV10" s="2">
        <f t="shared" si="10"/>
        <v>31672.487254906751</v>
      </c>
      <c r="AX10" s="41">
        <f t="shared" si="11"/>
        <v>0</v>
      </c>
      <c r="AY10" s="41">
        <f t="shared" si="12"/>
        <v>0.67081038716576191</v>
      </c>
      <c r="AZ10" s="41">
        <f t="shared" si="13"/>
        <v>0.82070717411585814</v>
      </c>
      <c r="BA10" s="41">
        <f t="shared" si="14"/>
        <v>0.9232068136909507</v>
      </c>
      <c r="BB10" s="41">
        <f t="shared" si="15"/>
        <v>0.94740839095906781</v>
      </c>
      <c r="BD10" s="2" t="e">
        <f t="shared" si="16"/>
        <v>#DIV/0!</v>
      </c>
      <c r="BE10" s="2">
        <f t="shared" si="17"/>
        <v>18.339866293205041</v>
      </c>
      <c r="BF10" s="2">
        <f t="shared" si="18"/>
        <v>18.309872022346177</v>
      </c>
      <c r="BG10" s="2">
        <f t="shared" si="19"/>
        <v>18.032982964964415</v>
      </c>
      <c r="BH10" s="2">
        <f t="shared" si="20"/>
        <v>18.014440102444816</v>
      </c>
    </row>
    <row r="11" spans="1:60" x14ac:dyDescent="0.2">
      <c r="K11" s="2">
        <v>4</v>
      </c>
      <c r="L11" s="2">
        <f>标准城池设计!AB7*$B$10/C$14*$C$5*C$7</f>
        <v>4523926.6948798764</v>
      </c>
      <c r="M11" s="2">
        <f>标准城池设计!AC7*$B$10/D$14*$C$5*D$7</f>
        <v>4851406.5625852076</v>
      </c>
      <c r="N11" s="2">
        <f>标准城池设计!AD7*$B$10/E$14*$C$5*E$7</f>
        <v>5238119.17686598</v>
      </c>
      <c r="O11" s="2">
        <f>标准城池设计!AE7*$B$10/F$14*$C$5*F$7</f>
        <v>5052626.1430232795</v>
      </c>
      <c r="P11" s="2">
        <f>标准城池设计!AF7*$B$10/G$14*$C$5*G$7</f>
        <v>5693991.6413411684</v>
      </c>
      <c r="Q11" s="2">
        <f t="shared" si="4"/>
        <v>569.39916413411686</v>
      </c>
      <c r="U11" s="2">
        <v>4</v>
      </c>
      <c r="V11" s="2">
        <f>其他调用!R8*6*其他调用!BM8*$B$10/C$15*$C$5*C$8/3</f>
        <v>0</v>
      </c>
      <c r="W11" s="2">
        <f>其他调用!S8*6*其他调用!BN8*$B$10/D$15*$C$5*D$8/3</f>
        <v>202573.58296723341</v>
      </c>
      <c r="X11" s="2">
        <f>其他调用!T8*6*其他调用!BO8*$B$10/E$15*$C$5*E$8/3</f>
        <v>491147.44652640034</v>
      </c>
      <c r="Y11" s="2">
        <f>其他调用!U8*6*其他调用!BP8*$B$10/F$15*$C$5*F$8/3</f>
        <v>1246783.8894256291</v>
      </c>
      <c r="Z11" s="2">
        <f>其他调用!V8*6*其他调用!BQ8*$B$10/G$15*$C$5*G$8/3</f>
        <v>2107852.8466656166</v>
      </c>
      <c r="AA11" s="2">
        <f t="shared" si="5"/>
        <v>210.78528466656167</v>
      </c>
      <c r="AE11" s="2">
        <v>4</v>
      </c>
      <c r="AF11" s="2">
        <f>L11/IFERROR(INDEX($C$22:$C$35,MATCH(节奏总纲!D7,$B$22:$B$35,1)),MIN($C$22:$C$35))*IFERROR(INDEX($D$22:$D$35,MATCH(节奏总纲!D7,$B$22:$B$35,1)),MIN($D$22:$D$35))</f>
        <v>1809.5706779519505</v>
      </c>
      <c r="AG11" s="2">
        <f>M11/IFERROR(INDEX($C$22:$C$35,MATCH(节奏总纲!E7,$B$22:$B$35,1)),MIN($C$22:$C$35))*IFERROR(INDEX($D$22:$D$35,MATCH(节奏总纲!E7,$B$22:$B$35,1)),MIN($D$22:$D$35))</f>
        <v>1940.5626250340831</v>
      </c>
      <c r="AH11" s="2">
        <f>N11/IFERROR(INDEX($C$22:$C$35,MATCH(节奏总纲!F7,$B$22:$B$35,1)),MIN($C$22:$C$35))*IFERROR(INDEX($D$22:$D$35,MATCH(节奏总纲!F7,$B$22:$B$35,1)),MIN($D$22:$D$35))</f>
        <v>2095.247670746392</v>
      </c>
      <c r="AI11" s="2">
        <f>O11/IFERROR(INDEX($C$22:$C$35,MATCH(节奏总纲!G7,$B$22:$B$35,1)),MIN($C$22:$C$35))*IFERROR(INDEX($D$22:$D$35,MATCH(节奏总纲!G7,$B$22:$B$35,1)),MIN($D$22:$D$35))</f>
        <v>2021.0504572093118</v>
      </c>
      <c r="AJ11" s="2">
        <f>P11/IFERROR(INDEX($C$22:$C$35,MATCH(节奏总纲!H7,$B$22:$B$35,1)),MIN($C$22:$C$35))*IFERROR(INDEX($D$22:$D$35,MATCH(节奏总纲!H7,$B$22:$B$35,1)),MIN($D$22:$D$35))</f>
        <v>2277.5966565364674</v>
      </c>
      <c r="AK11" s="2">
        <f>V11/IFERROR(INDEX($E$22:$E$35,MATCH(节奏总纲!D7,$B$22:$B$35,1)),MIN($E$22:$E$35))*IFERROR(INDEX($F$22:$F$35,MATCH(节奏总纲!D7,$B$22:$B$35,1)),MIN($F$22:$F$35))</f>
        <v>0</v>
      </c>
      <c r="AL11" s="2">
        <f>W11/IFERROR(INDEX($E$22:$E$35,MATCH(节奏总纲!E7,$B$22:$B$35,1)),MIN($E$22:$E$35))*IFERROR(INDEX($F$22:$F$35,MATCH(节奏总纲!E7,$B$22:$B$35,1)),MIN($F$22:$F$35))</f>
        <v>3116.5166610343599</v>
      </c>
      <c r="AM11" s="2">
        <f>X11/IFERROR(INDEX($E$22:$E$35,MATCH(节奏总纲!F7,$B$22:$B$35,1)),MIN($E$22:$E$35))*IFERROR(INDEX($F$22:$F$35,MATCH(节奏总纲!F7,$B$22:$B$35,1)),MIN($F$22:$F$35))</f>
        <v>7556.1145619446206</v>
      </c>
      <c r="AN11" s="2">
        <f>Y11/IFERROR(INDEX($E$22:$E$35,MATCH(节奏总纲!G7,$B$22:$B$35,1)),MIN($E$22:$E$35))*IFERROR(INDEX($F$22:$F$35,MATCH(节奏总纲!G7,$B$22:$B$35,1)),MIN($F$22:$F$35))</f>
        <v>19181.29060654814</v>
      </c>
      <c r="AO11" s="2">
        <f>Z11/IFERROR(INDEX($E$22:$E$35,MATCH(节奏总纲!H7,$B$22:$B$35,1)),MIN($E$22:$E$35))*IFERROR(INDEX($F$22:$F$35,MATCH(节奏总纲!H7,$B$22:$B$35,1)),MIN($F$22:$F$35))</f>
        <v>32428.505333317178</v>
      </c>
      <c r="AQ11" s="2">
        <v>4</v>
      </c>
      <c r="AR11" s="2">
        <f t="shared" si="6"/>
        <v>1809.5706779519505</v>
      </c>
      <c r="AS11" s="2">
        <f t="shared" si="7"/>
        <v>5057.0792860684433</v>
      </c>
      <c r="AT11" s="2">
        <f t="shared" si="8"/>
        <v>9651.3622326910117</v>
      </c>
      <c r="AU11" s="2">
        <f t="shared" si="9"/>
        <v>21202.341063757453</v>
      </c>
      <c r="AV11" s="2">
        <f t="shared" si="10"/>
        <v>34706.101989853647</v>
      </c>
      <c r="AX11" s="41">
        <f t="shared" si="11"/>
        <v>0</v>
      </c>
      <c r="AY11" s="41">
        <f t="shared" si="12"/>
        <v>0.61626810353160444</v>
      </c>
      <c r="AZ11" s="41">
        <f t="shared" si="13"/>
        <v>0.78290653482579009</v>
      </c>
      <c r="BA11" s="41">
        <f t="shared" si="14"/>
        <v>0.90467795744197199</v>
      </c>
      <c r="BB11" s="41">
        <f t="shared" si="15"/>
        <v>0.93437474893601347</v>
      </c>
      <c r="BD11" s="2" t="e">
        <f t="shared" si="16"/>
        <v>#DIV/0!</v>
      </c>
      <c r="BE11" s="2">
        <f t="shared" si="17"/>
        <v>14.45387517386439</v>
      </c>
      <c r="BF11" s="2">
        <f t="shared" si="18"/>
        <v>14.425243693033961</v>
      </c>
      <c r="BG11" s="2">
        <f t="shared" si="19"/>
        <v>14.23612943812932</v>
      </c>
      <c r="BH11" s="2">
        <f t="shared" si="20"/>
        <v>14.238036941374459</v>
      </c>
    </row>
    <row r="12" spans="1:60" x14ac:dyDescent="0.2">
      <c r="A12" s="2" t="s">
        <v>615</v>
      </c>
      <c r="K12" s="2">
        <v>5</v>
      </c>
      <c r="L12" s="2">
        <f>标准城池设计!AB8*$B$10/C$14*$C$5*C$7</f>
        <v>5783296.0911377566</v>
      </c>
      <c r="M12" s="2">
        <f>标准城池设计!AC8*$B$10/D$14*$C$5*D$7</f>
        <v>6206386.66835286</v>
      </c>
      <c r="N12" s="2">
        <f>标准城池设计!AD8*$B$10/E$14*$C$5*E$7</f>
        <v>6708222.7449530438</v>
      </c>
      <c r="O12" s="2">
        <f>标准城池设计!AE8*$B$10/F$14*$C$5*F$7</f>
        <v>6468250.4432962816</v>
      </c>
      <c r="P12" s="2">
        <f>标准城池设计!AF8*$B$10/G$14*$C$5*G$7</f>
        <v>7294532.9905864112</v>
      </c>
      <c r="Q12" s="2">
        <f t="shared" si="4"/>
        <v>729.45329905864116</v>
      </c>
      <c r="U12" s="2">
        <v>5</v>
      </c>
      <c r="V12" s="2">
        <f>其他调用!R9*6*其他调用!BM9*$B$10/C$15*$C$5*C$8/3</f>
        <v>0</v>
      </c>
      <c r="W12" s="2">
        <f>其他调用!S9*6*其他调用!BN9*$B$10/D$15*$C$5*D$8/3</f>
        <v>215290.47507789347</v>
      </c>
      <c r="X12" s="2">
        <f>其他调用!T9*6*其他调用!BO9*$B$10/E$15*$C$5*E$8/3</f>
        <v>521711.85393681494</v>
      </c>
      <c r="Y12" s="2">
        <f>其他调用!U9*6*其他调用!BP9*$B$10/F$15*$C$5*F$8/3</f>
        <v>1325036.398643275</v>
      </c>
      <c r="Z12" s="2">
        <f>其他调用!V9*6*其他调用!BQ9*$B$10/G$15*$C$5*G$8/3</f>
        <v>2239816.1126962402</v>
      </c>
      <c r="AA12" s="2">
        <f t="shared" si="5"/>
        <v>223.98161126962401</v>
      </c>
      <c r="AE12" s="2">
        <v>5</v>
      </c>
      <c r="AF12" s="2">
        <f>L12/IFERROR(INDEX($C$22:$C$35,MATCH(节奏总纲!D8,$B$22:$B$35,1)),MIN($C$22:$C$35))*IFERROR(INDEX($D$22:$D$35,MATCH(节奏总纲!D8,$B$22:$B$35,1)),MIN($D$22:$D$35))</f>
        <v>2313.3184364551025</v>
      </c>
      <c r="AG12" s="2">
        <f>M12/IFERROR(INDEX($C$22:$C$35,MATCH(节奏总纲!E8,$B$22:$B$35,1)),MIN($C$22:$C$35))*IFERROR(INDEX($D$22:$D$35,MATCH(节奏总纲!E8,$B$22:$B$35,1)),MIN($D$22:$D$35))</f>
        <v>2482.5546673411441</v>
      </c>
      <c r="AH12" s="2">
        <f>N12/IFERROR(INDEX($C$22:$C$35,MATCH(节奏总纲!F8,$B$22:$B$35,1)),MIN($C$22:$C$35))*IFERROR(INDEX($D$22:$D$35,MATCH(节奏总纲!F8,$B$22:$B$35,1)),MIN($D$22:$D$35))</f>
        <v>2683.2890979812173</v>
      </c>
      <c r="AI12" s="2">
        <f>O12/IFERROR(INDEX($C$22:$C$35,MATCH(节奏总纲!G8,$B$22:$B$35,1)),MIN($C$22:$C$35))*IFERROR(INDEX($D$22:$D$35,MATCH(节奏总纲!G8,$B$22:$B$35,1)),MIN($D$22:$D$35))</f>
        <v>2587.3001773185129</v>
      </c>
      <c r="AJ12" s="2">
        <f>P12/IFERROR(INDEX($C$22:$C$35,MATCH(节奏总纲!H8,$B$22:$B$35,1)),MIN($C$22:$C$35))*IFERROR(INDEX($D$22:$D$35,MATCH(节奏总纲!H8,$B$22:$B$35,1)),MIN($D$22:$D$35))</f>
        <v>2917.8131962345647</v>
      </c>
      <c r="AK12" s="2">
        <f>V12/IFERROR(INDEX($E$22:$E$35,MATCH(节奏总纲!D8,$B$22:$B$35,1)),MIN($E$22:$E$35))*IFERROR(INDEX($F$22:$F$35,MATCH(节奏总纲!D8,$B$22:$B$35,1)),MIN($F$22:$F$35))</f>
        <v>0</v>
      </c>
      <c r="AL12" s="2">
        <f>W12/IFERROR(INDEX($E$22:$E$35,MATCH(节奏总纲!E8,$B$22:$B$35,1)),MIN($E$22:$E$35))*IFERROR(INDEX($F$22:$F$35,MATCH(节奏总纲!E8,$B$22:$B$35,1)),MIN($F$22:$F$35))</f>
        <v>3312.161155044515</v>
      </c>
      <c r="AM12" s="2">
        <f>X12/IFERROR(INDEX($E$22:$E$35,MATCH(节奏总纲!F8,$B$22:$B$35,1)),MIN($E$22:$E$35))*IFERROR(INDEX($F$22:$F$35,MATCH(节奏总纲!F8,$B$22:$B$35,1)),MIN($F$22:$F$35))</f>
        <v>8026.3362144125376</v>
      </c>
      <c r="AN12" s="2">
        <f>Y12/IFERROR(INDEX($E$22:$E$35,MATCH(节奏总纲!G8,$B$22:$B$35,1)),MIN($E$22:$E$35))*IFERROR(INDEX($F$22:$F$35,MATCH(节奏总纲!G8,$B$22:$B$35,1)),MIN($F$22:$F$35))</f>
        <v>20385.175363742692</v>
      </c>
      <c r="AO12" s="2">
        <f>Z12/IFERROR(INDEX($E$22:$E$35,MATCH(节奏总纲!H8,$B$22:$B$35,1)),MIN($E$22:$E$35))*IFERROR(INDEX($F$22:$F$35,MATCH(节奏总纲!H8,$B$22:$B$35,1)),MIN($F$22:$F$35))</f>
        <v>34458.709426096</v>
      </c>
      <c r="AQ12" s="2">
        <v>5</v>
      </c>
      <c r="AR12" s="2">
        <f t="shared" si="6"/>
        <v>2313.3184364551025</v>
      </c>
      <c r="AS12" s="2">
        <f t="shared" si="7"/>
        <v>5794.7158223856586</v>
      </c>
      <c r="AT12" s="2">
        <f t="shared" si="8"/>
        <v>10709.625312393755</v>
      </c>
      <c r="AU12" s="2">
        <f t="shared" si="9"/>
        <v>22972.475541061205</v>
      </c>
      <c r="AV12" s="2">
        <f t="shared" si="10"/>
        <v>37376.522622330565</v>
      </c>
      <c r="AX12" s="41">
        <f t="shared" si="11"/>
        <v>0</v>
      </c>
      <c r="AY12" s="41">
        <f t="shared" si="12"/>
        <v>0.57158301745346207</v>
      </c>
      <c r="AZ12" s="41">
        <f t="shared" si="13"/>
        <v>0.74945070254923196</v>
      </c>
      <c r="BA12" s="41">
        <f t="shared" si="14"/>
        <v>0.88737390653898185</v>
      </c>
      <c r="BB12" s="41">
        <f t="shared" si="15"/>
        <v>0.92193459980968584</v>
      </c>
      <c r="BD12" s="2" t="e">
        <f t="shared" si="16"/>
        <v>#DIV/0!</v>
      </c>
      <c r="BE12" s="2">
        <f t="shared" si="17"/>
        <v>12.007570583461529</v>
      </c>
      <c r="BF12" s="2">
        <f t="shared" si="18"/>
        <v>11.964922036095453</v>
      </c>
      <c r="BG12" s="2">
        <f t="shared" si="19"/>
        <v>11.818405654540223</v>
      </c>
      <c r="BH12" s="2">
        <f t="shared" si="20"/>
        <v>11.809772287878104</v>
      </c>
    </row>
    <row r="13" spans="1:60" x14ac:dyDescent="0.2">
      <c r="B13" s="14"/>
      <c r="C13" s="14" t="s">
        <v>597</v>
      </c>
      <c r="D13" s="14" t="s">
        <v>598</v>
      </c>
      <c r="E13" s="14" t="s">
        <v>599</v>
      </c>
      <c r="F13" s="14" t="s">
        <v>600</v>
      </c>
      <c r="G13" s="14" t="s">
        <v>601</v>
      </c>
      <c r="K13" s="2">
        <v>6</v>
      </c>
      <c r="L13" s="2">
        <f>标准城池设计!AB9*$B$10/C$14*$C$5*C$7</f>
        <v>7094194.7123669405</v>
      </c>
      <c r="M13" s="2">
        <f>标准城池设计!AC9*$B$10/D$14*$C$5*D$7</f>
        <v>7618482.3932271199</v>
      </c>
      <c r="N13" s="2">
        <f>标准城池设计!AD9*$B$10/E$14*$C$5*E$7</f>
        <v>8243048.7625321094</v>
      </c>
      <c r="O13" s="2">
        <f>标准城池设计!AE9*$B$10/F$14*$C$5*F$7</f>
        <v>7944861.8493761588</v>
      </c>
      <c r="P13" s="2">
        <f>标准城池设计!AF9*$B$10/G$14*$C$5*G$7</f>
        <v>8965891.7153956313</v>
      </c>
      <c r="Q13" s="2">
        <f t="shared" si="4"/>
        <v>896.58917153956315</v>
      </c>
      <c r="U13" s="2">
        <v>6</v>
      </c>
      <c r="V13" s="2">
        <f>其他调用!R10*6*其他调用!BM10*$B$10/C$15*$C$5*C$8/3</f>
        <v>0</v>
      </c>
      <c r="W13" s="2">
        <f>其他调用!S10*6*其他调用!BN10*$B$10/D$15*$C$5*D$8/3</f>
        <v>226864.79223958807</v>
      </c>
      <c r="X13" s="2">
        <f>其他调用!T10*6*其他调用!BO10*$B$10/E$15*$C$5*E$8/3</f>
        <v>550133.52101311227</v>
      </c>
      <c r="Y13" s="2">
        <f>其他调用!U10*6*其他调用!BP10*$B$10/F$15*$C$5*F$8/3</f>
        <v>1398067.9674621108</v>
      </c>
      <c r="Z13" s="2">
        <f>其他调用!V10*6*其他调用!BQ10*$B$10/G$15*$C$5*G$8/3</f>
        <v>2365032.6452734862</v>
      </c>
      <c r="AA13" s="2">
        <f t="shared" si="5"/>
        <v>236.50326452734862</v>
      </c>
      <c r="AE13" s="2">
        <v>6</v>
      </c>
      <c r="AF13" s="2">
        <f>L13/IFERROR(INDEX($C$22:$C$35,MATCH(节奏总纲!D9,$B$22:$B$35,1)),MIN($C$22:$C$35))*IFERROR(INDEX($D$22:$D$35,MATCH(节奏总纲!D9,$B$22:$B$35,1)),MIN($D$22:$D$35))</f>
        <v>2837.677884946776</v>
      </c>
      <c r="AG13" s="2">
        <f>M13/IFERROR(INDEX($C$22:$C$35,MATCH(节奏总纲!E9,$B$22:$B$35,1)),MIN($C$22:$C$35))*IFERROR(INDEX($D$22:$D$35,MATCH(节奏总纲!E9,$B$22:$B$35,1)),MIN($D$22:$D$35))</f>
        <v>3047.3929572908478</v>
      </c>
      <c r="AH13" s="2">
        <f>N13/IFERROR(INDEX($C$22:$C$35,MATCH(节奏总纲!F9,$B$22:$B$35,1)),MIN($C$22:$C$35))*IFERROR(INDEX($D$22:$D$35,MATCH(节奏总纲!F9,$B$22:$B$35,1)),MIN($D$22:$D$35))</f>
        <v>3297.2195050128439</v>
      </c>
      <c r="AI13" s="2">
        <f>O13/IFERROR(INDEX($C$22:$C$35,MATCH(节奏总纲!G9,$B$22:$B$35,1)),MIN($C$22:$C$35))*IFERROR(INDEX($D$22:$D$35,MATCH(节奏总纲!G9,$B$22:$B$35,1)),MIN($D$22:$D$35))</f>
        <v>3177.9447397504637</v>
      </c>
      <c r="AJ13" s="2">
        <f>P13/IFERROR(INDEX($C$22:$C$35,MATCH(节奏总纲!H9,$B$22:$B$35,1)),MIN($C$22:$C$35))*IFERROR(INDEX($D$22:$D$35,MATCH(节奏总纲!H9,$B$22:$B$35,1)),MIN($D$22:$D$35))</f>
        <v>3586.3566861582526</v>
      </c>
      <c r="AK13" s="2">
        <f>V13/IFERROR(INDEX($E$22:$E$35,MATCH(节奏总纲!D9,$B$22:$B$35,1)),MIN($E$22:$E$35))*IFERROR(INDEX($F$22:$F$35,MATCH(节奏总纲!D9,$B$22:$B$35,1)),MIN($F$22:$F$35))</f>
        <v>0</v>
      </c>
      <c r="AL13" s="2">
        <f>W13/IFERROR(INDEX($E$22:$E$35,MATCH(节奏总纲!E9,$B$22:$B$35,1)),MIN($E$22:$E$35))*IFERROR(INDEX($F$22:$F$35,MATCH(节奏总纲!E9,$B$22:$B$35,1)),MIN($F$22:$F$35))</f>
        <v>3490.2275729167395</v>
      </c>
      <c r="AM13" s="2">
        <f>X13/IFERROR(INDEX($E$22:$E$35,MATCH(节奏总纲!F9,$B$22:$B$35,1)),MIN($E$22:$E$35))*IFERROR(INDEX($F$22:$F$35,MATCH(节奏总纲!F9,$B$22:$B$35,1)),MIN($F$22:$F$35))</f>
        <v>8463.5926309709575</v>
      </c>
      <c r="AN13" s="2">
        <f>Y13/IFERROR(INDEX($E$22:$E$35,MATCH(节奏总纲!G9,$B$22:$B$35,1)),MIN($E$22:$E$35))*IFERROR(INDEX($F$22:$F$35,MATCH(节奏总纲!G9,$B$22:$B$35,1)),MIN($F$22:$F$35))</f>
        <v>21508.73796095555</v>
      </c>
      <c r="AO13" s="2">
        <f>Z13/IFERROR(INDEX($E$22:$E$35,MATCH(节奏总纲!H9,$B$22:$B$35,1)),MIN($E$22:$E$35))*IFERROR(INDEX($F$22:$F$35,MATCH(节奏总纲!H9,$B$22:$B$35,1)),MIN($F$22:$F$35))</f>
        <v>36385.117619592093</v>
      </c>
      <c r="AQ13" s="2">
        <v>6</v>
      </c>
      <c r="AR13" s="2">
        <f t="shared" si="6"/>
        <v>2837.677884946776</v>
      </c>
      <c r="AS13" s="2">
        <f t="shared" si="7"/>
        <v>6537.6205302075869</v>
      </c>
      <c r="AT13" s="2">
        <f t="shared" si="8"/>
        <v>11760.812135983801</v>
      </c>
      <c r="AU13" s="2">
        <f t="shared" si="9"/>
        <v>24686.682700706013</v>
      </c>
      <c r="AV13" s="2">
        <f t="shared" si="10"/>
        <v>39971.474305750344</v>
      </c>
      <c r="AX13" s="41">
        <f t="shared" si="11"/>
        <v>0</v>
      </c>
      <c r="AY13" s="41">
        <f t="shared" si="12"/>
        <v>0.53386817983544166</v>
      </c>
      <c r="AZ13" s="41">
        <f t="shared" si="13"/>
        <v>0.71964355293759408</v>
      </c>
      <c r="BA13" s="41">
        <f t="shared" si="14"/>
        <v>0.87126886271926773</v>
      </c>
      <c r="BB13" s="41">
        <f t="shared" si="15"/>
        <v>0.91027709764404874</v>
      </c>
      <c r="BD13" s="2" t="e">
        <f t="shared" si="16"/>
        <v>#DIV/0!</v>
      </c>
      <c r="BE13" s="2">
        <f t="shared" si="17"/>
        <v>10.307842997765599</v>
      </c>
      <c r="BF13" s="2">
        <f t="shared" si="18"/>
        <v>10.26755133299867</v>
      </c>
      <c r="BG13" s="2">
        <f t="shared" si="19"/>
        <v>10.152192559511485</v>
      </c>
      <c r="BH13" s="2">
        <f t="shared" si="20"/>
        <v>10.1454263487016</v>
      </c>
    </row>
    <row r="14" spans="1:60" x14ac:dyDescent="0.2">
      <c r="B14" s="14" t="s">
        <v>608</v>
      </c>
      <c r="C14" s="14">
        <v>35</v>
      </c>
      <c r="D14" s="14">
        <v>30</v>
      </c>
      <c r="E14" s="14">
        <v>25</v>
      </c>
      <c r="F14" s="14">
        <v>20</v>
      </c>
      <c r="G14" s="14">
        <v>15</v>
      </c>
      <c r="K14" s="2">
        <v>7</v>
      </c>
      <c r="L14" s="2">
        <f>标准城池设计!AB10*$B$10/C$14*$C$5*C$7</f>
        <v>8456709.6265455037</v>
      </c>
      <c r="M14" s="2">
        <f>标准城池设计!AC10*$B$10/D$14*$C$5*D$7</f>
        <v>9087825.8537370209</v>
      </c>
      <c r="N14" s="2">
        <f>标准城池设计!AD10*$B$10/E$14*$C$5*E$7</f>
        <v>9842843.699575061</v>
      </c>
      <c r="O14" s="2">
        <f>标准城池设计!AE10*$B$10/F$14*$C$5*F$7</f>
        <v>9482460.3612629082</v>
      </c>
      <c r="P14" s="2">
        <f>标准城池设计!AF10*$B$10/G$14*$C$5*G$7</f>
        <v>10708067.815768832</v>
      </c>
      <c r="Q14" s="2">
        <f t="shared" si="4"/>
        <v>1070.8067815768832</v>
      </c>
      <c r="U14" s="2">
        <v>7</v>
      </c>
      <c r="V14" s="2">
        <f>其他调用!R11*6*其他调用!BM11*$B$10/C$15*$C$5*C$8/3</f>
        <v>0</v>
      </c>
      <c r="W14" s="2">
        <f>其他调用!S11*6*其他调用!BN11*$B$10/D$15*$C$5*D$8/3</f>
        <v>237683.79833735366</v>
      </c>
      <c r="X14" s="2">
        <f>其他调用!T11*6*其他调用!BO11*$B$10/E$15*$C$5*E$8/3</f>
        <v>576631.5644601424</v>
      </c>
      <c r="Y14" s="2">
        <f>其他调用!U11*6*其他调用!BP11*$B$10/F$15*$C$5*F$8/3</f>
        <v>1468340.3504422579</v>
      </c>
      <c r="Z14" s="2">
        <f>其他调用!V11*6*其他调用!BQ11*$B$10/G$15*$C$5*G$8/3</f>
        <v>2484024.3381848298</v>
      </c>
      <c r="AA14" s="2">
        <f t="shared" si="5"/>
        <v>248.40243381848299</v>
      </c>
      <c r="AE14" s="2">
        <v>7</v>
      </c>
      <c r="AF14" s="2">
        <f>L14/IFERROR(INDEX($C$22:$C$35,MATCH(节奏总纲!D10,$B$22:$B$35,1)),MIN($C$22:$C$35))*IFERROR(INDEX($D$22:$D$35,MATCH(节奏总纲!D10,$B$22:$B$35,1)),MIN($D$22:$D$35))</f>
        <v>3382.6838506182016</v>
      </c>
      <c r="AG14" s="2">
        <f>M14/IFERROR(INDEX($C$22:$C$35,MATCH(节奏总纲!E10,$B$22:$B$35,1)),MIN($C$22:$C$35))*IFERROR(INDEX($D$22:$D$35,MATCH(节奏总纲!E10,$B$22:$B$35,1)),MIN($D$22:$D$35))</f>
        <v>3635.1303414948084</v>
      </c>
      <c r="AH14" s="2">
        <f>N14/IFERROR(INDEX($C$22:$C$35,MATCH(节奏总纲!F10,$B$22:$B$35,1)),MIN($C$22:$C$35))*IFERROR(INDEX($D$22:$D$35,MATCH(节奏总纲!F10,$B$22:$B$35,1)),MIN($D$22:$D$35))</f>
        <v>3937.1374798300244</v>
      </c>
      <c r="AI14" s="2">
        <f>O14/IFERROR(INDEX($C$22:$C$35,MATCH(节奏总纲!G10,$B$22:$B$35,1)),MIN($C$22:$C$35))*IFERROR(INDEX($D$22:$D$35,MATCH(节奏总纲!G10,$B$22:$B$35,1)),MIN($D$22:$D$35))</f>
        <v>3792.9841445051634</v>
      </c>
      <c r="AJ14" s="2">
        <f>P14/IFERROR(INDEX($C$22:$C$35,MATCH(节奏总纲!H10,$B$22:$B$35,1)),MIN($C$22:$C$35))*IFERROR(INDEX($D$22:$D$35,MATCH(节奏总纲!H10,$B$22:$B$35,1)),MIN($D$22:$D$35))</f>
        <v>4283.2271263075327</v>
      </c>
      <c r="AK14" s="2">
        <f>V14/IFERROR(INDEX($E$22:$E$35,MATCH(节奏总纲!D10,$B$22:$B$35,1)),MIN($E$22:$E$35))*IFERROR(INDEX($F$22:$F$35,MATCH(节奏总纲!D10,$B$22:$B$35,1)),MIN($F$22:$F$35))</f>
        <v>0</v>
      </c>
      <c r="AL14" s="2">
        <f>W14/IFERROR(INDEX($E$22:$E$35,MATCH(节奏总纲!E10,$B$22:$B$35,1)),MIN($E$22:$E$35))*IFERROR(INDEX($F$22:$F$35,MATCH(节奏总纲!E10,$B$22:$B$35,1)),MIN($F$22:$F$35))</f>
        <v>3656.6738205746715</v>
      </c>
      <c r="AM14" s="2">
        <f>X14/IFERROR(INDEX($E$22:$E$35,MATCH(节奏总纲!F10,$B$22:$B$35,1)),MIN($E$22:$E$35))*IFERROR(INDEX($F$22:$F$35,MATCH(节奏总纲!F10,$B$22:$B$35,1)),MIN($F$22:$F$35))</f>
        <v>8871.2548378483443</v>
      </c>
      <c r="AN14" s="2">
        <f>Y14/IFERROR(INDEX($E$22:$E$35,MATCH(节奏总纲!G10,$B$22:$B$35,1)),MIN($E$22:$E$35))*IFERROR(INDEX($F$22:$F$35,MATCH(节奏总纲!G10,$B$22:$B$35,1)),MIN($F$22:$F$35))</f>
        <v>22589.851545265508</v>
      </c>
      <c r="AO14" s="2">
        <f>Z14/IFERROR(INDEX($E$22:$E$35,MATCH(节奏总纲!H10,$B$22:$B$35,1)),MIN($E$22:$E$35))*IFERROR(INDEX($F$22:$F$35,MATCH(节奏总纲!H10,$B$22:$B$35,1)),MIN($F$22:$F$35))</f>
        <v>38215.759048997381</v>
      </c>
      <c r="AQ14" s="2">
        <v>7</v>
      </c>
      <c r="AR14" s="2">
        <f t="shared" si="6"/>
        <v>3382.6838506182016</v>
      </c>
      <c r="AS14" s="2">
        <f t="shared" si="7"/>
        <v>7291.8041620694803</v>
      </c>
      <c r="AT14" s="2">
        <f t="shared" si="8"/>
        <v>12808.392317678368</v>
      </c>
      <c r="AU14" s="2">
        <f t="shared" si="9"/>
        <v>26382.835689770673</v>
      </c>
      <c r="AV14" s="2">
        <f t="shared" si="10"/>
        <v>42498.986175304912</v>
      </c>
      <c r="AX14" s="41">
        <f t="shared" si="11"/>
        <v>0</v>
      </c>
      <c r="AY14" s="41">
        <f t="shared" si="12"/>
        <v>0.50147723928132404</v>
      </c>
      <c r="AZ14" s="41">
        <f t="shared" si="13"/>
        <v>0.69261267283358285</v>
      </c>
      <c r="BA14" s="41">
        <f t="shared" si="14"/>
        <v>0.85623288606630688</v>
      </c>
      <c r="BB14" s="41">
        <f t="shared" si="15"/>
        <v>0.8992157810861755</v>
      </c>
      <c r="BD14" s="2" t="e">
        <f t="shared" si="16"/>
        <v>#DIV/0!</v>
      </c>
      <c r="BE14" s="2">
        <f t="shared" si="17"/>
        <v>9.0533382006982031</v>
      </c>
      <c r="BF14" s="2">
        <f t="shared" si="18"/>
        <v>9.0128982117549423</v>
      </c>
      <c r="BG14" s="2">
        <f t="shared" si="19"/>
        <v>8.933540459689663</v>
      </c>
      <c r="BH14" s="2">
        <f t="shared" si="20"/>
        <v>8.9221883225095908</v>
      </c>
    </row>
    <row r="15" spans="1:60" x14ac:dyDescent="0.2">
      <c r="B15" s="14" t="s">
        <v>616</v>
      </c>
      <c r="C15" s="14">
        <v>35</v>
      </c>
      <c r="D15" s="14">
        <v>30</v>
      </c>
      <c r="E15" s="14">
        <v>25</v>
      </c>
      <c r="F15" s="14">
        <v>20</v>
      </c>
      <c r="G15" s="14">
        <v>15</v>
      </c>
      <c r="K15" s="2">
        <v>8</v>
      </c>
      <c r="L15" s="2">
        <f>标准城池设计!AB11*$B$10/C$14*$C$5*C$7</f>
        <v>9870927.9016515072</v>
      </c>
      <c r="M15" s="2">
        <f>标准城池设计!AC11*$B$10/D$14*$C$5*D$7</f>
        <v>10614549.166411592</v>
      </c>
      <c r="N15" s="2">
        <f>标准城池设计!AD11*$B$10/E$14*$C$5*E$7</f>
        <v>11507854.026053788</v>
      </c>
      <c r="O15" s="2">
        <f>标准城池设计!AE11*$B$10/F$14*$C$5*F$7</f>
        <v>11081045.978956534</v>
      </c>
      <c r="P15" s="2">
        <f>标准城池设计!AF11*$B$10/G$14*$C$5*G$7</f>
        <v>12521061.291706014</v>
      </c>
      <c r="Q15" s="2">
        <f t="shared" si="4"/>
        <v>1252.1061291706014</v>
      </c>
      <c r="U15" s="2">
        <v>8</v>
      </c>
      <c r="V15" s="2">
        <f>其他调用!R12*6*其他调用!BM12*$B$10/C$15*$C$5*C$8/3</f>
        <v>0</v>
      </c>
      <c r="W15" s="2">
        <f>其他调用!S12*6*其他调用!BN12*$B$10/D$15*$C$5*D$8/3</f>
        <v>248243.48849559276</v>
      </c>
      <c r="X15" s="2">
        <f>其他调用!T12*6*其他调用!BO12*$B$10/E$15*$C$5*E$8/3</f>
        <v>601994.01487112523</v>
      </c>
      <c r="Y15" s="2">
        <f>其他调用!U12*6*其他调用!BP12*$B$10/F$15*$C$5*F$8/3</f>
        <v>1534648.9327350988</v>
      </c>
      <c r="Z15" s="2">
        <f>其他调用!V12*6*其他调用!BQ12*$B$10/G$15*$C$5*G$8/3</f>
        <v>2597752.614696519</v>
      </c>
      <c r="AA15" s="2">
        <f t="shared" si="5"/>
        <v>259.77526146965192</v>
      </c>
      <c r="AE15" s="2">
        <v>8</v>
      </c>
      <c r="AF15" s="2">
        <f>L15/IFERROR(INDEX($C$22:$C$35,MATCH(节奏总纲!D11,$B$22:$B$35,1)),MIN($C$22:$C$35))*IFERROR(INDEX($D$22:$D$35,MATCH(节奏总纲!D11,$B$22:$B$35,1)),MIN($D$22:$D$35))</f>
        <v>3948.371160660603</v>
      </c>
      <c r="AG15" s="2">
        <f>M15/IFERROR(INDEX($C$22:$C$35,MATCH(节奏总纲!E11,$B$22:$B$35,1)),MIN($C$22:$C$35))*IFERROR(INDEX($D$22:$D$35,MATCH(节奏总纲!E11,$B$22:$B$35,1)),MIN($D$22:$D$35))</f>
        <v>4245.8196665646365</v>
      </c>
      <c r="AH15" s="2">
        <f>N15/IFERROR(INDEX($C$22:$C$35,MATCH(节奏总纲!F11,$B$22:$B$35,1)),MIN($C$22:$C$35))*IFERROR(INDEX($D$22:$D$35,MATCH(节奏总纲!F11,$B$22:$B$35,1)),MIN($D$22:$D$35))</f>
        <v>4603.141610421515</v>
      </c>
      <c r="AI15" s="2">
        <f>O15/IFERROR(INDEX($C$22:$C$35,MATCH(节奏总纲!G11,$B$22:$B$35,1)),MIN($C$22:$C$35))*IFERROR(INDEX($D$22:$D$35,MATCH(节奏总纲!G11,$B$22:$B$35,1)),MIN($D$22:$D$35))</f>
        <v>4432.4183915826134</v>
      </c>
      <c r="AJ15" s="2">
        <f>P15/IFERROR(INDEX($C$22:$C$35,MATCH(节奏总纲!H11,$B$22:$B$35,1)),MIN($C$22:$C$35))*IFERROR(INDEX($D$22:$D$35,MATCH(节奏总纲!H11,$B$22:$B$35,1)),MIN($D$22:$D$35))</f>
        <v>5008.4245166824057</v>
      </c>
      <c r="AK15" s="2">
        <f>V15/IFERROR(INDEX($E$22:$E$35,MATCH(节奏总纲!D11,$B$22:$B$35,1)),MIN($E$22:$E$35))*IFERROR(INDEX($F$22:$F$35,MATCH(节奏总纲!D11,$B$22:$B$35,1)),MIN($F$22:$F$35))</f>
        <v>0</v>
      </c>
      <c r="AL15" s="2">
        <f>W15/IFERROR(INDEX($E$22:$E$35,MATCH(节奏总纲!E11,$B$22:$B$35,1)),MIN($E$22:$E$35))*IFERROR(INDEX($F$22:$F$35,MATCH(节奏总纲!E11,$B$22:$B$35,1)),MIN($F$22:$F$35))</f>
        <v>3819.1305922398888</v>
      </c>
      <c r="AM15" s="2">
        <f>X15/IFERROR(INDEX($E$22:$E$35,MATCH(节奏总纲!F11,$B$22:$B$35,1)),MIN($E$22:$E$35))*IFERROR(INDEX($F$22:$F$35,MATCH(节奏总纲!F11,$B$22:$B$35,1)),MIN($F$22:$F$35))</f>
        <v>9261.4463826326955</v>
      </c>
      <c r="AN15" s="2">
        <f>Y15/IFERROR(INDEX($E$22:$E$35,MATCH(节奏总纲!G11,$B$22:$B$35,1)),MIN($E$22:$E$35))*IFERROR(INDEX($F$22:$F$35,MATCH(节奏总纲!G11,$B$22:$B$35,1)),MIN($F$22:$F$35))</f>
        <v>23609.983580539982</v>
      </c>
      <c r="AO15" s="2">
        <f>Z15/IFERROR(INDEX($E$22:$E$35,MATCH(节奏总纲!H11,$B$22:$B$35,1)),MIN($E$22:$E$35))*IFERROR(INDEX($F$22:$F$35,MATCH(节奏总纲!H11,$B$22:$B$35,1)),MIN($F$22:$F$35))</f>
        <v>39965.424841484906</v>
      </c>
      <c r="AQ15" s="2">
        <v>8</v>
      </c>
      <c r="AR15" s="2">
        <f t="shared" si="6"/>
        <v>3948.371160660603</v>
      </c>
      <c r="AS15" s="2">
        <f t="shared" si="7"/>
        <v>8064.9502588045252</v>
      </c>
      <c r="AT15" s="2">
        <f t="shared" si="8"/>
        <v>13864.587993054211</v>
      </c>
      <c r="AU15" s="2">
        <f t="shared" si="9"/>
        <v>28042.401972122596</v>
      </c>
      <c r="AV15" s="2">
        <f t="shared" si="10"/>
        <v>44973.84935816731</v>
      </c>
      <c r="AX15" s="41">
        <f t="shared" si="11"/>
        <v>0</v>
      </c>
      <c r="AY15" s="41">
        <f t="shared" si="12"/>
        <v>0.47354670142826172</v>
      </c>
      <c r="AZ15" s="41">
        <f t="shared" si="13"/>
        <v>0.66799290301828185</v>
      </c>
      <c r="BA15" s="41">
        <f t="shared" si="14"/>
        <v>0.84193870425261885</v>
      </c>
      <c r="BB15" s="41">
        <f t="shared" si="15"/>
        <v>0.88863696151966443</v>
      </c>
      <c r="BD15" s="2" t="e">
        <f t="shared" si="16"/>
        <v>#DIV/0!</v>
      </c>
      <c r="BE15" s="2">
        <f t="shared" si="17"/>
        <v>8.0955334963555128</v>
      </c>
      <c r="BF15" s="2">
        <f t="shared" si="18"/>
        <v>8.0479352289877664</v>
      </c>
      <c r="BG15" s="2">
        <f t="shared" si="19"/>
        <v>7.989989265919661</v>
      </c>
      <c r="BH15" s="2">
        <f t="shared" si="20"/>
        <v>7.9796400461592887</v>
      </c>
    </row>
    <row r="16" spans="1:60" x14ac:dyDescent="0.2">
      <c r="K16" s="2">
        <v>9</v>
      </c>
      <c r="L16" s="2">
        <f>标准城池设计!AB12*$B$10/C$14*$C$5*C$7</f>
        <v>11336936.605663035</v>
      </c>
      <c r="M16" s="2">
        <f>标准城池设计!AC12*$B$10/D$14*$C$5*D$7</f>
        <v>12198784.44777987</v>
      </c>
      <c r="N16" s="2">
        <f>标准城池设计!AD12*$B$10/E$14*$C$5*E$7</f>
        <v>13238326.211940179</v>
      </c>
      <c r="O16" s="2">
        <f>标准城池设计!AE12*$B$10/F$14*$C$5*F$7</f>
        <v>12740618.702457028</v>
      </c>
      <c r="P16" s="2">
        <f>标准城池设计!AF12*$B$10/G$14*$C$5*G$7</f>
        <v>14404872.14320717</v>
      </c>
      <c r="Q16" s="2">
        <f t="shared" si="4"/>
        <v>1440.4872143207169</v>
      </c>
      <c r="U16" s="2">
        <v>9</v>
      </c>
      <c r="V16" s="2">
        <f>其他调用!R13*6*其他调用!BM13*$B$10/C$15*$C$5*C$8/3</f>
        <v>0</v>
      </c>
      <c r="W16" s="2">
        <f>其他调用!S13*6*其他调用!BN13*$B$10/D$15*$C$5*D$8/3</f>
        <v>259397.85312524077</v>
      </c>
      <c r="X16" s="2">
        <f>其他调用!T13*6*其他调用!BO13*$B$10/E$15*$C$5*E$8/3</f>
        <v>629107.48683075979</v>
      </c>
      <c r="Y16" s="2">
        <f>其他调用!U13*6*其他调用!BP13*$B$10/F$15*$C$5*F$8/3</f>
        <v>1605371.086260183</v>
      </c>
      <c r="Z16" s="2">
        <f>其他调用!V13*6*其他调用!BQ13*$B$10/G$15*$C$5*G$8/3</f>
        <v>2720510.0094353235</v>
      </c>
      <c r="AA16" s="2">
        <f t="shared" si="5"/>
        <v>272.05100094353236</v>
      </c>
      <c r="AE16" s="2">
        <v>9</v>
      </c>
      <c r="AF16" s="2">
        <f>L16/IFERROR(INDEX($C$22:$C$35,MATCH(节奏总纲!D12,$B$22:$B$35,1)),MIN($C$22:$C$35))*IFERROR(INDEX($D$22:$D$35,MATCH(节奏总纲!D12,$B$22:$B$35,1)),MIN($D$22:$D$35))</f>
        <v>4534.7746422652144</v>
      </c>
      <c r="AG16" s="2">
        <f>M16/IFERROR(INDEX($C$22:$C$35,MATCH(节奏总纲!E12,$B$22:$B$35,1)),MIN($C$22:$C$35))*IFERROR(INDEX($D$22:$D$35,MATCH(节奏总纲!E12,$B$22:$B$35,1)),MIN($D$22:$D$35))</f>
        <v>4879.5137791119478</v>
      </c>
      <c r="AH16" s="2">
        <f>N16/IFERROR(INDEX($C$22:$C$35,MATCH(节奏总纲!F12,$B$22:$B$35,1)),MIN($C$22:$C$35))*IFERROR(INDEX($D$22:$D$35,MATCH(节奏总纲!F12,$B$22:$B$35,1)),MIN($D$22:$D$35))</f>
        <v>5295.3304847760719</v>
      </c>
      <c r="AI16" s="2">
        <f>O16/IFERROR(INDEX($C$22:$C$35,MATCH(节奏总纲!G12,$B$22:$B$35,1)),MIN($C$22:$C$35))*IFERROR(INDEX($D$22:$D$35,MATCH(节奏总纲!G12,$B$22:$B$35,1)),MIN($D$22:$D$35))</f>
        <v>5096.2474809828109</v>
      </c>
      <c r="AJ16" s="2">
        <f>P16/IFERROR(INDEX($C$22:$C$35,MATCH(节奏总纲!H12,$B$22:$B$35,1)),MIN($C$22:$C$35))*IFERROR(INDEX($D$22:$D$35,MATCH(节奏总纲!H12,$B$22:$B$35,1)),MIN($D$22:$D$35))</f>
        <v>5761.9488572828677</v>
      </c>
      <c r="AK16" s="2">
        <f>V16/IFERROR(INDEX($E$22:$E$35,MATCH(节奏总纲!D12,$B$22:$B$35,1)),MIN($E$22:$E$35))*IFERROR(INDEX($F$22:$F$35,MATCH(节奏总纲!D12,$B$22:$B$35,1)),MIN($F$22:$F$35))</f>
        <v>0</v>
      </c>
      <c r="AL16" s="2">
        <f>W16/IFERROR(INDEX($E$22:$E$35,MATCH(节奏总纲!E12,$B$22:$B$35,1)),MIN($E$22:$E$35))*IFERROR(INDEX($F$22:$F$35,MATCH(节奏总纲!E12,$B$22:$B$35,1)),MIN($F$22:$F$35))</f>
        <v>3990.7362019267812</v>
      </c>
      <c r="AM16" s="2">
        <f>X16/IFERROR(INDEX($E$22:$E$35,MATCH(节奏总纲!F12,$B$22:$B$35,1)),MIN($E$22:$E$35))*IFERROR(INDEX($F$22:$F$35,MATCH(节奏总纲!F12,$B$22:$B$35,1)),MIN($F$22:$F$35))</f>
        <v>9678.5767204732274</v>
      </c>
      <c r="AN16" s="2">
        <f>Y16/IFERROR(INDEX($E$22:$E$35,MATCH(节奏总纲!G12,$B$22:$B$35,1)),MIN($E$22:$E$35))*IFERROR(INDEX($F$22:$F$35,MATCH(节奏总纲!G12,$B$22:$B$35,1)),MIN($F$22:$F$35))</f>
        <v>24698.016711695123</v>
      </c>
      <c r="AO16" s="2">
        <f>Z16/IFERROR(INDEX($E$22:$E$35,MATCH(节奏总纲!H12,$B$22:$B$35,1)),MIN($E$22:$E$35))*IFERROR(INDEX($F$22:$F$35,MATCH(节奏总纲!H12,$B$22:$B$35,1)),MIN($F$22:$F$35))</f>
        <v>41854.000145158825</v>
      </c>
      <c r="AQ16" s="2">
        <v>9</v>
      </c>
      <c r="AR16" s="2">
        <f t="shared" si="6"/>
        <v>4534.7746422652144</v>
      </c>
      <c r="AS16" s="2">
        <f t="shared" si="7"/>
        <v>8870.2499810387289</v>
      </c>
      <c r="AT16" s="2">
        <f t="shared" si="8"/>
        <v>14973.907205249299</v>
      </c>
      <c r="AU16" s="2">
        <f t="shared" si="9"/>
        <v>29794.264192677932</v>
      </c>
      <c r="AV16" s="2">
        <f t="shared" si="10"/>
        <v>47615.949002441695</v>
      </c>
      <c r="AX16" s="41">
        <f t="shared" si="11"/>
        <v>0</v>
      </c>
      <c r="AY16" s="41">
        <f t="shared" si="12"/>
        <v>0.44990121027676561</v>
      </c>
      <c r="AZ16" s="41">
        <f t="shared" si="13"/>
        <v>0.64636280883858255</v>
      </c>
      <c r="BA16" s="41">
        <f t="shared" si="14"/>
        <v>0.82895206110727737</v>
      </c>
      <c r="BB16" s="41">
        <f t="shared" si="15"/>
        <v>0.87899119983962926</v>
      </c>
      <c r="BD16" s="2" t="e">
        <f t="shared" si="16"/>
        <v>#DIV/0!</v>
      </c>
      <c r="BE16" s="2">
        <f t="shared" si="17"/>
        <v>7.3606976930963244</v>
      </c>
      <c r="BF16" s="2">
        <f t="shared" si="18"/>
        <v>7.3110275162608795</v>
      </c>
      <c r="BG16" s="2">
        <f t="shared" si="19"/>
        <v>7.2694713523602594</v>
      </c>
      <c r="BH16" s="2">
        <f t="shared" si="20"/>
        <v>7.263861790834377</v>
      </c>
    </row>
    <row r="17" spans="1:60" x14ac:dyDescent="0.2">
      <c r="K17" s="2">
        <v>10</v>
      </c>
      <c r="L17" s="2">
        <f>标准城池设计!AB13*$B$10/C$14*$C$5*C$7</f>
        <v>13174334.943538662</v>
      </c>
      <c r="M17" s="2">
        <f>标准城池设计!AC13*$B$10/D$14*$C$5*D$7</f>
        <v>13791346.009136334</v>
      </c>
      <c r="N17" s="2">
        <f>标准城池设计!AD13*$B$10/E$14*$C$5*E$7</f>
        <v>15034506.727206115</v>
      </c>
      <c r="O17" s="2">
        <f>标准城池设计!AE13*$B$10/F$14*$C$5*F$7</f>
        <v>14461178.531764397</v>
      </c>
      <c r="P17" s="2">
        <f>标准城池设计!AF13*$B$10/G$14*$C$5*G$7</f>
        <v>16359500.370272314</v>
      </c>
      <c r="Q17" s="2">
        <f t="shared" si="4"/>
        <v>1635.9500370272315</v>
      </c>
      <c r="U17" s="2">
        <v>10</v>
      </c>
      <c r="V17" s="2">
        <f>其他调用!R14*6*其他调用!BM14*$B$10/C$15*$C$5*C$8/3</f>
        <v>0</v>
      </c>
      <c r="W17" s="2">
        <f>其他调用!S14*6*其他调用!BN14*$B$10/D$15*$C$5*D$8/3</f>
        <v>270087.12503977306</v>
      </c>
      <c r="X17" s="2">
        <f>其他调用!T14*6*其他调用!BO14*$B$10/E$15*$C$5*E$8/3</f>
        <v>655926.86911446683</v>
      </c>
      <c r="Y17" s="2">
        <f>其他调用!U14*6*其他调用!BP14*$B$10/F$15*$C$5*F$8/3</f>
        <v>1674510.2548770132</v>
      </c>
      <c r="Z17" s="2">
        <f>其他调用!V14*6*其他调用!BQ14*$B$10/G$15*$C$5*G$8/3</f>
        <v>2839624.8538183384</v>
      </c>
      <c r="AA17" s="2">
        <f t="shared" si="5"/>
        <v>283.96248538183386</v>
      </c>
      <c r="AE17" s="2">
        <v>10</v>
      </c>
      <c r="AF17" s="2">
        <f>L17/IFERROR(INDEX($C$22:$C$35,MATCH(节奏总纲!D13,$B$22:$B$35,1)),MIN($C$22:$C$35))*IFERROR(INDEX($D$22:$D$35,MATCH(节奏总纲!D13,$B$22:$B$35,1)),MIN($D$22:$D$35))</f>
        <v>5269.7339774154652</v>
      </c>
      <c r="AG17" s="2">
        <f>M17/IFERROR(INDEX($C$22:$C$35,MATCH(节奏总纲!E13,$B$22:$B$35,1)),MIN($C$22:$C$35))*IFERROR(INDEX($D$22:$D$35,MATCH(节奏总纲!E13,$B$22:$B$35,1)),MIN($D$22:$D$35))</f>
        <v>5516.5384036545338</v>
      </c>
      <c r="AH17" s="2">
        <f>N17/IFERROR(INDEX($C$22:$C$35,MATCH(节奏总纲!F13,$B$22:$B$35,1)),MIN($C$22:$C$35))*IFERROR(INDEX($D$22:$D$35,MATCH(节奏总纲!F13,$B$22:$B$35,1)),MIN($D$22:$D$35))</f>
        <v>6013.8026908824459</v>
      </c>
      <c r="AI17" s="2">
        <f>O17/IFERROR(INDEX($C$22:$C$35,MATCH(节奏总纲!G13,$B$22:$B$35,1)),MIN($C$22:$C$35))*IFERROR(INDEX($D$22:$D$35,MATCH(节奏总纲!G13,$B$22:$B$35,1)),MIN($D$22:$D$35))</f>
        <v>5784.4714127057587</v>
      </c>
      <c r="AJ17" s="2">
        <f>P17/IFERROR(INDEX($C$22:$C$35,MATCH(节奏总纲!H13,$B$22:$B$35,1)),MIN($C$22:$C$35))*IFERROR(INDEX($D$22:$D$35,MATCH(节奏总纲!H13,$B$22:$B$35,1)),MIN($D$22:$D$35))</f>
        <v>6543.8001481089259</v>
      </c>
      <c r="AK17" s="2">
        <f>V17/IFERROR(INDEX($E$22:$E$35,MATCH(节奏总纲!D13,$B$22:$B$35,1)),MIN($E$22:$E$35))*IFERROR(INDEX($F$22:$F$35,MATCH(节奏总纲!D13,$B$22:$B$35,1)),MIN($F$22:$F$35))</f>
        <v>0</v>
      </c>
      <c r="AL17" s="2">
        <f>W17/IFERROR(INDEX($E$22:$E$35,MATCH(节奏总纲!E13,$B$22:$B$35,1)),MIN($E$22:$E$35))*IFERROR(INDEX($F$22:$F$35,MATCH(节奏总纲!E13,$B$22:$B$35,1)),MIN($F$22:$F$35))</f>
        <v>4155.186539073432</v>
      </c>
      <c r="AM17" s="2">
        <f>X17/IFERROR(INDEX($E$22:$E$35,MATCH(节奏总纲!F13,$B$22:$B$35,1)),MIN($E$22:$E$35))*IFERROR(INDEX($F$22:$F$35,MATCH(节奏总纲!F13,$B$22:$B$35,1)),MIN($F$22:$F$35))</f>
        <v>10091.182601761027</v>
      </c>
      <c r="AN17" s="2">
        <f>Y17/IFERROR(INDEX($E$22:$E$35,MATCH(节奏总纲!G13,$B$22:$B$35,1)),MIN($E$22:$E$35))*IFERROR(INDEX($F$22:$F$35,MATCH(节奏总纲!G13,$B$22:$B$35,1)),MIN($F$22:$F$35))</f>
        <v>25761.696228877125</v>
      </c>
      <c r="AO17" s="2">
        <f>Z17/IFERROR(INDEX($E$22:$E$35,MATCH(节奏总纲!H13,$B$22:$B$35,1)),MIN($E$22:$E$35))*IFERROR(INDEX($F$22:$F$35,MATCH(节奏总纲!H13,$B$22:$B$35,1)),MIN($F$22:$F$35))</f>
        <v>43686.536212589825</v>
      </c>
      <c r="AQ17" s="2">
        <v>10</v>
      </c>
      <c r="AR17" s="2">
        <f t="shared" si="6"/>
        <v>5269.7339774154652</v>
      </c>
      <c r="AS17" s="2">
        <f t="shared" si="7"/>
        <v>9671.7249427279658</v>
      </c>
      <c r="AT17" s="2">
        <f t="shared" si="8"/>
        <v>16104.985292643472</v>
      </c>
      <c r="AU17" s="2">
        <f t="shared" si="9"/>
        <v>31546.167641582884</v>
      </c>
      <c r="AV17" s="2">
        <f t="shared" si="10"/>
        <v>50230.336360698748</v>
      </c>
      <c r="AX17" s="41">
        <f t="shared" si="11"/>
        <v>0</v>
      </c>
      <c r="AY17" s="41">
        <f t="shared" si="12"/>
        <v>0.4296220750361246</v>
      </c>
      <c r="AZ17" s="41">
        <f t="shared" si="13"/>
        <v>0.62658750805382823</v>
      </c>
      <c r="BA17" s="41">
        <f t="shared" si="14"/>
        <v>0.81663473425910216</v>
      </c>
      <c r="BB17" s="41">
        <f t="shared" si="15"/>
        <v>0.86972414237645979</v>
      </c>
      <c r="BD17" s="2" t="e">
        <f t="shared" si="16"/>
        <v>#DIV/0!</v>
      </c>
      <c r="BE17" s="2">
        <f t="shared" si="17"/>
        <v>6.7790117851598337</v>
      </c>
      <c r="BF17" s="2">
        <f t="shared" si="18"/>
        <v>6.7120144244574691</v>
      </c>
      <c r="BG17" s="2">
        <f t="shared" si="19"/>
        <v>6.6803933473396055</v>
      </c>
      <c r="BH17" s="2">
        <f t="shared" si="20"/>
        <v>6.6760193196325952</v>
      </c>
    </row>
    <row r="18" spans="1:60" x14ac:dyDescent="0.2">
      <c r="K18" s="2">
        <v>11</v>
      </c>
      <c r="L18" s="2">
        <f>标准城池设计!AB14*$B$10/C$14*$C$5*C$7</f>
        <v>13657007.286996206</v>
      </c>
      <c r="M18" s="2">
        <f>标准城池设计!AC14*$B$10/D$14*$C$5*D$7</f>
        <v>14254784.563408669</v>
      </c>
      <c r="N18" s="2">
        <f>标准城池设计!AD14*$B$10/E$14*$C$5*E$7</f>
        <v>15666594.989169879</v>
      </c>
      <c r="O18" s="2">
        <f>标准城池设计!AE14*$B$10/F$14*$C$5*F$7</f>
        <v>14975841.543525878</v>
      </c>
      <c r="P18" s="2">
        <f>标准城池设计!AF14*$B$10/G$14*$C$5*G$7</f>
        <v>17028698.826795988</v>
      </c>
      <c r="Q18" s="2">
        <f t="shared" si="4"/>
        <v>1702.8698826795987</v>
      </c>
      <c r="U18" s="2">
        <v>11</v>
      </c>
      <c r="V18" s="2">
        <f>其他调用!R15*6*其他调用!BM15*$B$10/C$15*$C$5*C$8/3</f>
        <v>0</v>
      </c>
      <c r="W18" s="2">
        <f>其他调用!S15*6*其他调用!BN15*$B$10/D$15*$C$5*D$8/3</f>
        <v>280417.17996307346</v>
      </c>
      <c r="X18" s="2">
        <f>其他调用!T15*6*其他调用!BO15*$B$10/E$15*$C$5*E$8/3</f>
        <v>683836.73212533107</v>
      </c>
      <c r="Y18" s="2">
        <f>其他调用!U15*6*其他调用!BP15*$B$10/F$15*$C$5*F$8/3</f>
        <v>1740238.1323194627</v>
      </c>
      <c r="Z18" s="2">
        <f>其他调用!V15*6*其他调用!BQ15*$B$10/G$15*$C$5*G$8/3</f>
        <v>2957670.4676601472</v>
      </c>
      <c r="AA18" s="2">
        <f t="shared" si="5"/>
        <v>295.76704676601474</v>
      </c>
      <c r="AE18" s="2">
        <v>11</v>
      </c>
      <c r="AF18" s="2">
        <f>L18/IFERROR(INDEX($C$22:$C$35,MATCH(节奏总纲!D14,$B$22:$B$35,1)),MIN($C$22:$C$35))*IFERROR(INDEX($D$22:$D$35,MATCH(节奏总纲!D14,$B$22:$B$35,1)),MIN($D$22:$D$35))</f>
        <v>5462.8029147984826</v>
      </c>
      <c r="AG18" s="2">
        <f>M18/IFERROR(INDEX($C$22:$C$35,MATCH(节奏总纲!E14,$B$22:$B$35,1)),MIN($C$22:$C$35))*IFERROR(INDEX($D$22:$D$35,MATCH(节奏总纲!E14,$B$22:$B$35,1)),MIN($D$22:$D$35))</f>
        <v>5701.9138253634674</v>
      </c>
      <c r="AH18" s="2">
        <f>N18/IFERROR(INDEX($C$22:$C$35,MATCH(节奏总纲!F14,$B$22:$B$35,1)),MIN($C$22:$C$35))*IFERROR(INDEX($D$22:$D$35,MATCH(节奏总纲!F14,$B$22:$B$35,1)),MIN($D$22:$D$35))</f>
        <v>6266.6379956679511</v>
      </c>
      <c r="AI18" s="2">
        <f>O18/IFERROR(INDEX($C$22:$C$35,MATCH(节奏总纲!G14,$B$22:$B$35,1)),MIN($C$22:$C$35))*IFERROR(INDEX($D$22:$D$35,MATCH(节奏总纲!G14,$B$22:$B$35,1)),MIN($D$22:$D$35))</f>
        <v>5990.3366174103512</v>
      </c>
      <c r="AJ18" s="2">
        <f>P18/IFERROR(INDEX($C$22:$C$35,MATCH(节奏总纲!H14,$B$22:$B$35,1)),MIN($C$22:$C$35))*IFERROR(INDEX($D$22:$D$35,MATCH(节奏总纲!H14,$B$22:$B$35,1)),MIN($D$22:$D$35))</f>
        <v>6811.4795307183949</v>
      </c>
      <c r="AK18" s="2">
        <f>V18/IFERROR(INDEX($E$22:$E$35,MATCH(节奏总纲!D14,$B$22:$B$35,1)),MIN($E$22:$E$35))*IFERROR(INDEX($F$22:$F$35,MATCH(节奏总纲!D14,$B$22:$B$35,1)),MIN($F$22:$F$35))</f>
        <v>0</v>
      </c>
      <c r="AL18" s="2">
        <f>W18/IFERROR(INDEX($E$22:$E$35,MATCH(节奏总纲!E14,$B$22:$B$35,1)),MIN($E$22:$E$35))*IFERROR(INDEX($F$22:$F$35,MATCH(节奏总纲!E14,$B$22:$B$35,1)),MIN($F$22:$F$35))</f>
        <v>4314.1104609703607</v>
      </c>
      <c r="AM18" s="2">
        <f>X18/IFERROR(INDEX($E$22:$E$35,MATCH(节奏总纲!F14,$B$22:$B$35,1)),MIN($E$22:$E$35))*IFERROR(INDEX($F$22:$F$35,MATCH(节奏总纲!F14,$B$22:$B$35,1)),MIN($F$22:$F$35))</f>
        <v>10520.565109620478</v>
      </c>
      <c r="AN18" s="2">
        <f>Y18/IFERROR(INDEX($E$22:$E$35,MATCH(节奏总纲!G14,$B$22:$B$35,1)),MIN($E$22:$E$35))*IFERROR(INDEX($F$22:$F$35,MATCH(节奏总纲!G14,$B$22:$B$35,1)),MIN($F$22:$F$35))</f>
        <v>26772.894343376349</v>
      </c>
      <c r="AO18" s="2">
        <f>Z18/IFERROR(INDEX($E$22:$E$35,MATCH(节奏总纲!H14,$B$22:$B$35,1)),MIN($E$22:$E$35))*IFERROR(INDEX($F$22:$F$35,MATCH(节奏总纲!H14,$B$22:$B$35,1)),MIN($F$22:$F$35))</f>
        <v>45502.62257938688</v>
      </c>
      <c r="AQ18" s="2">
        <v>11</v>
      </c>
      <c r="AR18" s="2">
        <f t="shared" si="6"/>
        <v>5462.8029147984826</v>
      </c>
      <c r="AS18" s="2">
        <f t="shared" si="7"/>
        <v>10016.024286333828</v>
      </c>
      <c r="AT18" s="2">
        <f t="shared" si="8"/>
        <v>16787.20310528843</v>
      </c>
      <c r="AU18" s="2">
        <f t="shared" si="9"/>
        <v>32763.230960786699</v>
      </c>
      <c r="AV18" s="2">
        <f t="shared" si="10"/>
        <v>52314.102110105276</v>
      </c>
      <c r="AX18" s="41">
        <f t="shared" si="11"/>
        <v>0</v>
      </c>
      <c r="AY18" s="41">
        <f t="shared" si="12"/>
        <v>0.43072084667932226</v>
      </c>
      <c r="AZ18" s="41">
        <f t="shared" si="13"/>
        <v>0.62670148467472886</v>
      </c>
      <c r="BA18" s="41">
        <f t="shared" si="14"/>
        <v>0.81716282424709574</v>
      </c>
      <c r="BB18" s="41">
        <f t="shared" si="15"/>
        <v>0.86979649356530475</v>
      </c>
      <c r="BD18" s="2" t="e">
        <f t="shared" si="16"/>
        <v>#DIV/0!</v>
      </c>
      <c r="BE18" s="2">
        <f t="shared" si="17"/>
        <v>6.8094670207083032</v>
      </c>
      <c r="BF18" s="2">
        <f t="shared" si="18"/>
        <v>6.7152850487889788</v>
      </c>
      <c r="BG18" s="2">
        <f t="shared" si="19"/>
        <v>6.7040208388866098</v>
      </c>
      <c r="BH18" s="2">
        <f t="shared" si="20"/>
        <v>6.6802847126206952</v>
      </c>
    </row>
    <row r="19" spans="1:60" x14ac:dyDescent="0.2">
      <c r="A19" s="2" t="s">
        <v>618</v>
      </c>
      <c r="K19" s="2">
        <v>12</v>
      </c>
      <c r="L19" s="2">
        <f>标准城池设计!AB15*$B$10/C$14*$C$5*C$7</f>
        <v>14152906.50586745</v>
      </c>
      <c r="M19" s="2">
        <f>标准城池设计!AC15*$B$10/D$14*$C$5*D$7</f>
        <v>15128497.473778706</v>
      </c>
      <c r="N19" s="2">
        <f>标准城池设计!AD15*$B$10/E$14*$C$5*E$7</f>
        <v>16173010.083346957</v>
      </c>
      <c r="O19" s="2">
        <f>标准城池设计!AE15*$B$10/F$14*$C$5*F$7</f>
        <v>15497116.95623854</v>
      </c>
      <c r="P19" s="2">
        <f>标准城池设计!AF15*$B$10/G$14*$C$5*G$7</f>
        <v>17655250.754269838</v>
      </c>
      <c r="Q19" s="2">
        <f t="shared" si="4"/>
        <v>1765.5250754269839</v>
      </c>
      <c r="U19" s="2">
        <v>12</v>
      </c>
      <c r="V19" s="2">
        <f>其他调用!R16*6*其他调用!BM16*$B$10/C$15*$C$5*C$8/3</f>
        <v>0</v>
      </c>
      <c r="W19" s="2">
        <f>其他调用!S16*6*其他调用!BN16*$B$10/D$15*$C$5*D$8/3</f>
        <v>290375.32295535121</v>
      </c>
      <c r="X19" s="2">
        <f>其他调用!T16*6*其他调用!BO16*$B$10/E$15*$C$5*E$8/3</f>
        <v>708342.70901657676</v>
      </c>
      <c r="Y19" s="2">
        <f>其他调用!U16*6*其他调用!BP16*$B$10/F$15*$C$5*F$8/3</f>
        <v>1804481.2311406534</v>
      </c>
      <c r="Z19" s="2">
        <f>其他调用!V16*6*其他调用!BQ16*$B$10/G$15*$C$5*G$8/3</f>
        <v>3067871.0117483414</v>
      </c>
      <c r="AA19" s="2">
        <f t="shared" si="5"/>
        <v>306.78710117483416</v>
      </c>
      <c r="AE19" s="2">
        <v>12</v>
      </c>
      <c r="AF19" s="2">
        <f>L19/IFERROR(INDEX($C$22:$C$35,MATCH(节奏总纲!D15,$B$22:$B$35,1)),MIN($C$22:$C$35))*IFERROR(INDEX($D$22:$D$35,MATCH(节奏总纲!D15,$B$22:$B$35,1)),MIN($D$22:$D$35))</f>
        <v>5661.1626023469798</v>
      </c>
      <c r="AG19" s="2">
        <f>M19/IFERROR(INDEX($C$22:$C$35,MATCH(节奏总纲!E15,$B$22:$B$35,1)),MIN($C$22:$C$35))*IFERROR(INDEX($D$22:$D$35,MATCH(节奏总纲!E15,$B$22:$B$35,1)),MIN($D$22:$D$35))</f>
        <v>6051.3989895114828</v>
      </c>
      <c r="AH19" s="2">
        <f>N19/IFERROR(INDEX($C$22:$C$35,MATCH(节奏总纲!F15,$B$22:$B$35,1)),MIN($C$22:$C$35))*IFERROR(INDEX($D$22:$D$35,MATCH(节奏总纲!F15,$B$22:$B$35,1)),MIN($D$22:$D$35))</f>
        <v>6469.2040333387831</v>
      </c>
      <c r="AI19" s="2">
        <f>O19/IFERROR(INDEX($C$22:$C$35,MATCH(节奏总纲!G15,$B$22:$B$35,1)),MIN($C$22:$C$35))*IFERROR(INDEX($D$22:$D$35,MATCH(节奏总纲!G15,$B$22:$B$35,1)),MIN($D$22:$D$35))</f>
        <v>6198.8467824954159</v>
      </c>
      <c r="AJ19" s="2">
        <f>P19/IFERROR(INDEX($C$22:$C$35,MATCH(节奏总纲!H15,$B$22:$B$35,1)),MIN($C$22:$C$35))*IFERROR(INDEX($D$22:$D$35,MATCH(节奏总纲!H15,$B$22:$B$35,1)),MIN($D$22:$D$35))</f>
        <v>7062.1003017079356</v>
      </c>
      <c r="AK19" s="2">
        <f>V19/IFERROR(INDEX($E$22:$E$35,MATCH(节奏总纲!D15,$B$22:$B$35,1)),MIN($E$22:$E$35))*IFERROR(INDEX($F$22:$F$35,MATCH(节奏总纲!D15,$B$22:$B$35,1)),MIN($F$22:$F$35))</f>
        <v>0</v>
      </c>
      <c r="AL19" s="2">
        <f>W19/IFERROR(INDEX($E$22:$E$35,MATCH(节奏总纲!E15,$B$22:$B$35,1)),MIN($E$22:$E$35))*IFERROR(INDEX($F$22:$F$35,MATCH(节奏总纲!E15,$B$22:$B$35,1)),MIN($F$22:$F$35))</f>
        <v>4467.3126608515568</v>
      </c>
      <c r="AM19" s="2">
        <f>X19/IFERROR(INDEX($E$22:$E$35,MATCH(节奏总纲!F15,$B$22:$B$35,1)),MIN($E$22:$E$35))*IFERROR(INDEX($F$22:$F$35,MATCH(节奏总纲!F15,$B$22:$B$35,1)),MIN($F$22:$F$35))</f>
        <v>10897.580138716565</v>
      </c>
      <c r="AN19" s="2">
        <f>Y19/IFERROR(INDEX($E$22:$E$35,MATCH(节奏总纲!G15,$B$22:$B$35,1)),MIN($E$22:$E$35))*IFERROR(INDEX($F$22:$F$35,MATCH(节奏总纲!G15,$B$22:$B$35,1)),MIN($F$22:$F$35))</f>
        <v>27761.249709856205</v>
      </c>
      <c r="AO19" s="2">
        <f>Z19/IFERROR(INDEX($E$22:$E$35,MATCH(节奏总纲!H15,$B$22:$B$35,1)),MIN($E$22:$E$35))*IFERROR(INDEX($F$22:$F$35,MATCH(节奏总纲!H15,$B$22:$B$35,1)),MIN($F$22:$F$35))</f>
        <v>47198.015565359099</v>
      </c>
      <c r="AQ19" s="2">
        <v>12</v>
      </c>
      <c r="AR19" s="2">
        <f t="shared" si="6"/>
        <v>5661.1626023469798</v>
      </c>
      <c r="AS19" s="2">
        <f t="shared" si="7"/>
        <v>10518.711650363039</v>
      </c>
      <c r="AT19" s="2">
        <f t="shared" si="8"/>
        <v>17366.784172055348</v>
      </c>
      <c r="AU19" s="2">
        <f t="shared" si="9"/>
        <v>33960.096492351622</v>
      </c>
      <c r="AV19" s="2">
        <f t="shared" si="10"/>
        <v>54260.115867067034</v>
      </c>
      <c r="AX19" s="41">
        <f t="shared" si="11"/>
        <v>0</v>
      </c>
      <c r="AY19" s="41">
        <f t="shared" si="12"/>
        <v>0.42470150426619724</v>
      </c>
      <c r="AZ19" s="41">
        <f t="shared" si="13"/>
        <v>0.6274955703227838</v>
      </c>
      <c r="BA19" s="41">
        <f t="shared" si="14"/>
        <v>0.81746675001669977</v>
      </c>
      <c r="BB19" s="41">
        <f t="shared" si="15"/>
        <v>0.86984730517329678</v>
      </c>
      <c r="BD19" s="2" t="e">
        <f t="shared" si="16"/>
        <v>#DIV/0!</v>
      </c>
      <c r="BE19" s="2">
        <f t="shared" si="17"/>
        <v>6.6440527252211083</v>
      </c>
      <c r="BF19" s="2">
        <f t="shared" si="18"/>
        <v>6.7381273384214353</v>
      </c>
      <c r="BG19" s="2">
        <f t="shared" si="19"/>
        <v>6.7176808890283457</v>
      </c>
      <c r="BH19" s="2">
        <f t="shared" si="20"/>
        <v>6.6832830955324267</v>
      </c>
    </row>
    <row r="20" spans="1:60" x14ac:dyDescent="0.2">
      <c r="C20" s="66" t="s">
        <v>622</v>
      </c>
      <c r="D20" s="66"/>
      <c r="E20" s="66" t="s">
        <v>623</v>
      </c>
      <c r="F20" s="66"/>
      <c r="K20" s="2">
        <v>13</v>
      </c>
      <c r="L20" s="2">
        <f>标准城池设计!AB16*$B$10/C$14*$C$5*C$7</f>
        <v>14662647.034811333</v>
      </c>
      <c r="M20" s="2">
        <f>标准城池设计!AC16*$B$10/D$14*$C$5*D$7</f>
        <v>15671822.224895598</v>
      </c>
      <c r="N20" s="2">
        <f>标准城池设计!AD16*$B$10/E$14*$C$5*E$7</f>
        <v>17110011.324568231</v>
      </c>
      <c r="O20" s="2">
        <f>标准城池设计!AE16*$B$10/F$14*$C$5*F$7</f>
        <v>16028331.323847603</v>
      </c>
      <c r="P20" s="2">
        <f>标准城池设计!AF16*$B$10/G$14*$C$5*G$7</f>
        <v>18295306.306146771</v>
      </c>
      <c r="Q20" s="2">
        <f t="shared" si="4"/>
        <v>1829.530630614677</v>
      </c>
      <c r="U20" s="2">
        <v>13</v>
      </c>
      <c r="V20" s="2">
        <f>其他调用!R17*6*其他调用!BM17*$B$10/C$15*$C$5*C$8/3</f>
        <v>0</v>
      </c>
      <c r="W20" s="2">
        <f>其他调用!S17*6*其他调用!BN17*$B$10/D$15*$C$5*D$8/3</f>
        <v>300188.449377799</v>
      </c>
      <c r="X20" s="2">
        <f>其他调用!T17*6*其他调用!BO17*$B$10/E$15*$C$5*E$8/3</f>
        <v>733114.91556858027</v>
      </c>
      <c r="Y20" s="2">
        <f>其他调用!U17*6*其他调用!BP17*$B$10/F$15*$C$5*F$8/3</f>
        <v>1866959.1303317554</v>
      </c>
      <c r="Z20" s="2">
        <f>其他调用!V17*6*其他调用!BQ17*$B$10/G$15*$C$5*G$8/3</f>
        <v>3177818.0506726685</v>
      </c>
      <c r="AA20" s="2">
        <f t="shared" si="5"/>
        <v>317.78180506726687</v>
      </c>
      <c r="AE20" s="2">
        <v>13</v>
      </c>
      <c r="AF20" s="2">
        <f>L20/IFERROR(INDEX($C$22:$C$35,MATCH(节奏总纲!D16,$B$22:$B$35,1)),MIN($C$22:$C$35))*IFERROR(INDEX($D$22:$D$35,MATCH(节奏总纲!D16,$B$22:$B$35,1)),MIN($D$22:$D$35))</f>
        <v>5865.0588139245328</v>
      </c>
      <c r="AG20" s="2">
        <f>M20/IFERROR(INDEX($C$22:$C$35,MATCH(节奏总纲!E16,$B$22:$B$35,1)),MIN($C$22:$C$35))*IFERROR(INDEX($D$22:$D$35,MATCH(节奏总纲!E16,$B$22:$B$35,1)),MIN($D$22:$D$35))</f>
        <v>6268.7288899582391</v>
      </c>
      <c r="AH20" s="2">
        <f>N20/IFERROR(INDEX($C$22:$C$35,MATCH(节奏总纲!F16,$B$22:$B$35,1)),MIN($C$22:$C$35))*IFERROR(INDEX($D$22:$D$35,MATCH(节奏总纲!F16,$B$22:$B$35,1)),MIN($D$22:$D$35))</f>
        <v>6844.0045298272926</v>
      </c>
      <c r="AI20" s="2">
        <f>O20/IFERROR(INDEX($C$22:$C$35,MATCH(节奏总纲!G16,$B$22:$B$35,1)),MIN($C$22:$C$35))*IFERROR(INDEX($D$22:$D$35,MATCH(节奏总纲!G16,$B$22:$B$35,1)),MIN($D$22:$D$35))</f>
        <v>6411.3325295390414</v>
      </c>
      <c r="AJ20" s="2">
        <f>P20/IFERROR(INDEX($C$22:$C$35,MATCH(节奏总纲!H16,$B$22:$B$35,1)),MIN($C$22:$C$35))*IFERROR(INDEX($D$22:$D$35,MATCH(节奏总纲!H16,$B$22:$B$35,1)),MIN($D$22:$D$35))</f>
        <v>7318.1225224587079</v>
      </c>
      <c r="AK20" s="2">
        <f>V20/IFERROR(INDEX($E$22:$E$35,MATCH(节奏总纲!D16,$B$22:$B$35,1)),MIN($E$22:$E$35))*IFERROR(INDEX($F$22:$F$35,MATCH(节奏总纲!D16,$B$22:$B$35,1)),MIN($F$22:$F$35))</f>
        <v>0</v>
      </c>
      <c r="AL20" s="2">
        <f>W20/IFERROR(INDEX($E$22:$E$35,MATCH(节奏总纲!E16,$B$22:$B$35,1)),MIN($E$22:$E$35))*IFERROR(INDEX($F$22:$F$35,MATCH(节奏总纲!E16,$B$22:$B$35,1)),MIN($F$22:$F$35))</f>
        <v>4618.2838365815232</v>
      </c>
      <c r="AM20" s="2">
        <f>X20/IFERROR(INDEX($E$22:$E$35,MATCH(节奏总纲!F16,$B$22:$B$35,1)),MIN($E$22:$E$35))*IFERROR(INDEX($F$22:$F$35,MATCH(节奏总纲!F16,$B$22:$B$35,1)),MIN($F$22:$F$35))</f>
        <v>11278.691008747388</v>
      </c>
      <c r="AN20" s="2">
        <f>Y20/IFERROR(INDEX($E$22:$E$35,MATCH(节奏总纲!G16,$B$22:$B$35,1)),MIN($E$22:$E$35))*IFERROR(INDEX($F$22:$F$35,MATCH(节奏总纲!G16,$B$22:$B$35,1)),MIN($F$22:$F$35))</f>
        <v>28722.448158950083</v>
      </c>
      <c r="AO20" s="2">
        <f>Z20/IFERROR(INDEX($E$22:$E$35,MATCH(节奏总纲!H16,$B$22:$B$35,1)),MIN($E$22:$E$35))*IFERROR(INDEX($F$22:$F$35,MATCH(节奏总纲!H16,$B$22:$B$35,1)),MIN($F$22:$F$35))</f>
        <v>48889.508471887209</v>
      </c>
      <c r="AQ20" s="2">
        <v>13</v>
      </c>
      <c r="AR20" s="2">
        <f t="shared" si="6"/>
        <v>5865.0588139245328</v>
      </c>
      <c r="AS20" s="2">
        <f t="shared" si="7"/>
        <v>10887.012726539762</v>
      </c>
      <c r="AT20" s="2">
        <f t="shared" si="8"/>
        <v>18122.695538574681</v>
      </c>
      <c r="AU20" s="2">
        <f t="shared" si="9"/>
        <v>35133.780688489125</v>
      </c>
      <c r="AV20" s="2">
        <f t="shared" si="10"/>
        <v>56207.63099434592</v>
      </c>
      <c r="AX20" s="41">
        <f t="shared" si="11"/>
        <v>0</v>
      </c>
      <c r="AY20" s="41">
        <f t="shared" si="12"/>
        <v>0.42420119757216085</v>
      </c>
      <c r="AZ20" s="41">
        <f t="shared" si="13"/>
        <v>0.62235173485866757</v>
      </c>
      <c r="BA20" s="41">
        <f t="shared" si="14"/>
        <v>0.81751657795144184</v>
      </c>
      <c r="BB20" s="41">
        <f t="shared" si="15"/>
        <v>0.8698019754080214</v>
      </c>
      <c r="BD20" s="2" t="e">
        <f t="shared" si="16"/>
        <v>#DIV/0!</v>
      </c>
      <c r="BE20" s="2">
        <f t="shared" si="17"/>
        <v>6.6304597405408963</v>
      </c>
      <c r="BF20" s="2">
        <f t="shared" si="18"/>
        <v>6.5918664779329177</v>
      </c>
      <c r="BG20" s="2">
        <f t="shared" si="19"/>
        <v>6.7199247644580877</v>
      </c>
      <c r="BH20" s="2">
        <f t="shared" si="20"/>
        <v>6.6806080824486589</v>
      </c>
    </row>
    <row r="21" spans="1:60" x14ac:dyDescent="0.2">
      <c r="B21" s="2" t="s">
        <v>621</v>
      </c>
      <c r="C21" s="2" t="s">
        <v>619</v>
      </c>
      <c r="D21" s="2" t="s">
        <v>620</v>
      </c>
      <c r="E21" s="2" t="s">
        <v>619</v>
      </c>
      <c r="F21" s="2" t="s">
        <v>620</v>
      </c>
      <c r="K21" s="2">
        <v>14</v>
      </c>
      <c r="L21" s="2">
        <f>标准城池设计!AB17*$B$10/C$14*$C$5*C$7</f>
        <v>15186900.729808258</v>
      </c>
      <c r="M21" s="2">
        <f>标准城池设计!AC17*$B$10/D$14*$C$5*D$7</f>
        <v>16226530.279152626</v>
      </c>
      <c r="N21" s="2">
        <f>标准城池设计!AD17*$B$10/E$14*$C$5*E$7</f>
        <v>17694006.682790339</v>
      </c>
      <c r="O21" s="2">
        <f>标准城池设计!AE17*$B$10/F$14*$C$5*F$7</f>
        <v>16569534.734271009</v>
      </c>
      <c r="P21" s="2">
        <f>标准城池设计!AF17*$B$10/G$14*$C$5*G$7</f>
        <v>18948976.729928542</v>
      </c>
      <c r="Q21" s="2">
        <f t="shared" si="4"/>
        <v>1894.8976729928543</v>
      </c>
      <c r="U21" s="2">
        <v>14</v>
      </c>
      <c r="V21" s="2">
        <f>其他调用!R18*6*其他调用!BM18*$B$10/C$15*$C$5*C$8/3</f>
        <v>0</v>
      </c>
      <c r="W21" s="2">
        <f>其他调用!S18*6*其他调用!BN18*$B$10/D$15*$C$5*D$8/3</f>
        <v>309611.48262685369</v>
      </c>
      <c r="X21" s="2">
        <f>其他调用!T18*6*其他调用!BO18*$B$10/E$15*$C$5*E$8/3</f>
        <v>755288.38778675802</v>
      </c>
      <c r="Y21" s="2">
        <f>其他调用!U18*6*其他调用!BP18*$B$10/F$15*$C$5*F$8/3</f>
        <v>1924886.0161374332</v>
      </c>
      <c r="Z21" s="2">
        <f>其他调用!V18*6*其他调用!BQ18*$B$10/G$15*$C$5*G$8/3</f>
        <v>3269778.4827120621</v>
      </c>
      <c r="AA21" s="2">
        <f t="shared" si="5"/>
        <v>326.9778482712062</v>
      </c>
      <c r="AE21" s="2">
        <v>14</v>
      </c>
      <c r="AF21" s="2">
        <f>L21/IFERROR(INDEX($C$22:$C$35,MATCH(节奏总纲!D17,$B$22:$B$35,1)),MIN($C$22:$C$35))*IFERROR(INDEX($D$22:$D$35,MATCH(节奏总纲!D17,$B$22:$B$35,1)),MIN($D$22:$D$35))</f>
        <v>6074.7602919233032</v>
      </c>
      <c r="AG21" s="2">
        <f>M21/IFERROR(INDEX($C$22:$C$35,MATCH(节奏总纲!E17,$B$22:$B$35,1)),MIN($C$22:$C$35))*IFERROR(INDEX($D$22:$D$35,MATCH(节奏总纲!E17,$B$22:$B$35,1)),MIN($D$22:$D$35))</f>
        <v>6490.6121116610502</v>
      </c>
      <c r="AH21" s="2">
        <f>N21/IFERROR(INDEX($C$22:$C$35,MATCH(节奏总纲!F17,$B$22:$B$35,1)),MIN($C$22:$C$35))*IFERROR(INDEX($D$22:$D$35,MATCH(节奏总纲!F17,$B$22:$B$35,1)),MIN($D$22:$D$35))</f>
        <v>7077.6026731161355</v>
      </c>
      <c r="AI21" s="2">
        <f>O21/IFERROR(INDEX($C$22:$C$35,MATCH(节奏总纲!G17,$B$22:$B$35,1)),MIN($C$22:$C$35))*IFERROR(INDEX($D$22:$D$35,MATCH(节奏总纲!G17,$B$22:$B$35,1)),MIN($D$22:$D$35))</f>
        <v>6627.8138937084032</v>
      </c>
      <c r="AJ21" s="2">
        <f>P21/IFERROR(INDEX($C$22:$C$35,MATCH(节奏总纲!H17,$B$22:$B$35,1)),MIN($C$22:$C$35))*IFERROR(INDEX($D$22:$D$35,MATCH(节奏总纲!H17,$B$22:$B$35,1)),MIN($D$22:$D$35))</f>
        <v>7579.5906919714171</v>
      </c>
      <c r="AK21" s="2">
        <f>V21/IFERROR(INDEX($E$22:$E$35,MATCH(节奏总纲!D17,$B$22:$B$35,1)),MIN($E$22:$E$35))*IFERROR(INDEX($F$22:$F$35,MATCH(节奏总纲!D17,$B$22:$B$35,1)),MIN($F$22:$F$35))</f>
        <v>0</v>
      </c>
      <c r="AL21" s="2">
        <f>W21/IFERROR(INDEX($E$22:$E$35,MATCH(节奏总纲!E17,$B$22:$B$35,1)),MIN($E$22:$E$35))*IFERROR(INDEX($F$22:$F$35,MATCH(节奏总纲!E17,$B$22:$B$35,1)),MIN($F$22:$F$35))</f>
        <v>4763.2535788746718</v>
      </c>
      <c r="AM21" s="2">
        <f>X21/IFERROR(INDEX($E$22:$E$35,MATCH(节奏总纲!F17,$B$22:$B$35,1)),MIN($E$22:$E$35))*IFERROR(INDEX($F$22:$F$35,MATCH(节奏总纲!F17,$B$22:$B$35,1)),MIN($F$22:$F$35))</f>
        <v>11619.821350565508</v>
      </c>
      <c r="AN21" s="2">
        <f>Y21/IFERROR(INDEX($E$22:$E$35,MATCH(节奏总纲!G17,$B$22:$B$35,1)),MIN($E$22:$E$35))*IFERROR(INDEX($F$22:$F$35,MATCH(节奏总纲!G17,$B$22:$B$35,1)),MIN($F$22:$F$35))</f>
        <v>29613.631017498974</v>
      </c>
      <c r="AO21" s="2">
        <f>Z21/IFERROR(INDEX($E$22:$E$35,MATCH(节奏总纲!H17,$B$22:$B$35,1)),MIN($E$22:$E$35))*IFERROR(INDEX($F$22:$F$35,MATCH(节奏总纲!H17,$B$22:$B$35,1)),MIN($F$22:$F$35))</f>
        <v>50304.284349416339</v>
      </c>
      <c r="AQ21" s="2">
        <v>14</v>
      </c>
      <c r="AR21" s="2">
        <f t="shared" si="6"/>
        <v>6074.7602919233032</v>
      </c>
      <c r="AS21" s="2">
        <f t="shared" si="7"/>
        <v>11253.865690535722</v>
      </c>
      <c r="AT21" s="2">
        <f t="shared" si="8"/>
        <v>18697.424023681644</v>
      </c>
      <c r="AU21" s="2">
        <f t="shared" si="9"/>
        <v>36241.444911207378</v>
      </c>
      <c r="AV21" s="2">
        <f t="shared" si="10"/>
        <v>57883.875041387757</v>
      </c>
      <c r="AX21" s="41">
        <f t="shared" si="11"/>
        <v>0</v>
      </c>
      <c r="AY21" s="41">
        <f t="shared" si="12"/>
        <v>0.42325488057676691</v>
      </c>
      <c r="AZ21" s="41">
        <f t="shared" si="13"/>
        <v>0.62146642959202081</v>
      </c>
      <c r="BA21" s="41">
        <f t="shared" si="14"/>
        <v>0.81712059466870746</v>
      </c>
      <c r="BB21" s="41">
        <f t="shared" si="15"/>
        <v>0.86905523020786168</v>
      </c>
      <c r="BD21" s="2" t="e">
        <f t="shared" si="16"/>
        <v>#DIV/0!</v>
      </c>
      <c r="BE21" s="2">
        <f t="shared" si="17"/>
        <v>6.604813455552673</v>
      </c>
      <c r="BF21" s="2">
        <f t="shared" si="18"/>
        <v>6.5670944737843113</v>
      </c>
      <c r="BG21" s="2">
        <f t="shared" si="19"/>
        <v>6.7021264082890948</v>
      </c>
      <c r="BH21" s="2">
        <f t="shared" si="20"/>
        <v>6.6368074997374853</v>
      </c>
    </row>
    <row r="22" spans="1:60" x14ac:dyDescent="0.2">
      <c r="B22" s="2">
        <v>30</v>
      </c>
      <c r="C22" s="2">
        <v>2500</v>
      </c>
      <c r="D22" s="2">
        <v>1</v>
      </c>
      <c r="E22" s="2">
        <v>65</v>
      </c>
      <c r="F22" s="2">
        <v>1</v>
      </c>
      <c r="G22" s="2">
        <f t="shared" ref="G22:G34" si="21">C22/E22</f>
        <v>38.46153846153846</v>
      </c>
      <c r="K22" s="2">
        <v>15</v>
      </c>
      <c r="L22" s="2">
        <f>标准城池设计!AB18*$B$10/C$14*$C$5*C$7</f>
        <v>15726402.080529455</v>
      </c>
      <c r="M22" s="2">
        <f>标准城池设计!AC18*$B$10/D$14*$C$5*D$7</f>
        <v>16797936.096340299</v>
      </c>
      <c r="N22" s="2">
        <f>标准城池设计!AD18*$B$10/E$14*$C$5*E$7</f>
        <v>18294512.639868446</v>
      </c>
      <c r="O22" s="2">
        <f>标准城池设计!AE18*$B$10/F$14*$C$5*F$7</f>
        <v>17120777.27542666</v>
      </c>
      <c r="P22" s="2">
        <f>标准城池设计!AF18*$B$10/G$14*$C$5*G$7</f>
        <v>19616373.273116887</v>
      </c>
      <c r="Q22" s="2">
        <f t="shared" si="4"/>
        <v>1961.6373273116888</v>
      </c>
      <c r="U22" s="2">
        <v>15</v>
      </c>
      <c r="V22" s="2">
        <f>其他调用!R19*6*其他调用!BM19*$B$10/C$15*$C$5*C$8/3</f>
        <v>0</v>
      </c>
      <c r="W22" s="2">
        <f>其他调用!S19*6*其他调用!BN19*$B$10/D$15*$C$5*D$8/3</f>
        <v>318724.98711916589</v>
      </c>
      <c r="X22" s="2">
        <f>其他调用!T19*6*其他调用!BO19*$B$10/E$15*$C$5*E$8/3</f>
        <v>778317.03819281107</v>
      </c>
      <c r="Y22" s="2">
        <f>其他调用!U19*6*其他调用!BP19*$B$10/F$15*$C$5*F$8/3</f>
        <v>1981496.7116223823</v>
      </c>
      <c r="Z22" s="2">
        <f>其他调用!V19*6*其他调用!BQ19*$B$10/G$15*$C$5*G$8/3</f>
        <v>3370398.6959391651</v>
      </c>
      <c r="AA22" s="2">
        <f t="shared" si="5"/>
        <v>337.03986959391653</v>
      </c>
      <c r="AE22" s="2">
        <v>15</v>
      </c>
      <c r="AF22" s="2">
        <f>L22/IFERROR(INDEX($C$22:$C$35,MATCH(节奏总纲!D18,$B$22:$B$35,1)),MIN($C$22:$C$35))*IFERROR(INDEX($D$22:$D$35,MATCH(节奏总纲!D18,$B$22:$B$35,1)),MIN($D$22:$D$35))</f>
        <v>6290.5608322117823</v>
      </c>
      <c r="AG22" s="2">
        <f>M22/IFERROR(INDEX($C$22:$C$35,MATCH(节奏总纲!E18,$B$22:$B$35,1)),MIN($C$22:$C$35))*IFERROR(INDEX($D$22:$D$35,MATCH(节奏总纲!E18,$B$22:$B$35,1)),MIN($D$22:$D$35))</f>
        <v>6719.1744385361199</v>
      </c>
      <c r="AH22" s="2">
        <f>N22/IFERROR(INDEX($C$22:$C$35,MATCH(节奏总纲!F18,$B$22:$B$35,1)),MIN($C$22:$C$35))*IFERROR(INDEX($D$22:$D$35,MATCH(节奏总纲!F18,$B$22:$B$35,1)),MIN($D$22:$D$35))</f>
        <v>7317.8050559473786</v>
      </c>
      <c r="AI22" s="2">
        <f>O22/IFERROR(INDEX($C$22:$C$35,MATCH(节奏总纲!G18,$B$22:$B$35,1)),MIN($C$22:$C$35))*IFERROR(INDEX($D$22:$D$35,MATCH(节奏总纲!G18,$B$22:$B$35,1)),MIN($D$22:$D$35))</f>
        <v>6848.3109101706641</v>
      </c>
      <c r="AJ22" s="2">
        <f>P22/IFERROR(INDEX($C$22:$C$35,MATCH(节奏总纲!H18,$B$22:$B$35,1)),MIN($C$22:$C$35))*IFERROR(INDEX($D$22:$D$35,MATCH(节奏总纲!H18,$B$22:$B$35,1)),MIN($D$22:$D$35))</f>
        <v>7846.549309246755</v>
      </c>
      <c r="AK22" s="2">
        <f>V22/IFERROR(INDEX($E$22:$E$35,MATCH(节奏总纲!D18,$B$22:$B$35,1)),MIN($E$22:$E$35))*IFERROR(INDEX($F$22:$F$35,MATCH(节奏总纲!D18,$B$22:$B$35,1)),MIN($F$22:$F$35))</f>
        <v>0</v>
      </c>
      <c r="AL22" s="2">
        <f>W22/IFERROR(INDEX($E$22:$E$35,MATCH(节奏总纲!E18,$B$22:$B$35,1)),MIN($E$22:$E$35))*IFERROR(INDEX($F$22:$F$35,MATCH(节奏总纲!E18,$B$22:$B$35,1)),MIN($F$22:$F$35))</f>
        <v>4903.4613402948598</v>
      </c>
      <c r="AM22" s="2">
        <f>X22/IFERROR(INDEX($E$22:$E$35,MATCH(节奏总纲!F18,$B$22:$B$35,1)),MIN($E$22:$E$35))*IFERROR(INDEX($F$22:$F$35,MATCH(节奏总纲!F18,$B$22:$B$35,1)),MIN($F$22:$F$35))</f>
        <v>11974.1082798894</v>
      </c>
      <c r="AN22" s="2">
        <f>Y22/IFERROR(INDEX($E$22:$E$35,MATCH(节奏总纲!G18,$B$22:$B$35,1)),MIN($E$22:$E$35))*IFERROR(INDEX($F$22:$F$35,MATCH(节奏总纲!G18,$B$22:$B$35,1)),MIN($F$22:$F$35))</f>
        <v>30484.564794190497</v>
      </c>
      <c r="AO22" s="2">
        <f>Z22/IFERROR(INDEX($E$22:$E$35,MATCH(节奏总纲!H18,$B$22:$B$35,1)),MIN($E$22:$E$35))*IFERROR(INDEX($F$22:$F$35,MATCH(节奏总纲!H18,$B$22:$B$35,1)),MIN($F$22:$F$35))</f>
        <v>51852.287629833307</v>
      </c>
      <c r="AQ22" s="2">
        <v>15</v>
      </c>
      <c r="AR22" s="2">
        <f t="shared" si="6"/>
        <v>6290.5608322117823</v>
      </c>
      <c r="AS22" s="2">
        <f t="shared" si="7"/>
        <v>11622.63577883098</v>
      </c>
      <c r="AT22" s="2">
        <f t="shared" si="8"/>
        <v>19291.91333583678</v>
      </c>
      <c r="AU22" s="2">
        <f t="shared" si="9"/>
        <v>37332.875704361162</v>
      </c>
      <c r="AV22" s="2">
        <f t="shared" si="10"/>
        <v>59698.836939080065</v>
      </c>
      <c r="AX22" s="41">
        <f t="shared" si="11"/>
        <v>0</v>
      </c>
      <c r="AY22" s="41">
        <f t="shared" si="12"/>
        <v>0.42188892722817961</v>
      </c>
      <c r="AZ22" s="41">
        <f t="shared" si="13"/>
        <v>0.62068018197273478</v>
      </c>
      <c r="BA22" s="41">
        <f t="shared" si="14"/>
        <v>0.81656085203823026</v>
      </c>
      <c r="BB22" s="41">
        <f t="shared" si="15"/>
        <v>0.86856445264999382</v>
      </c>
      <c r="BD22" s="2" t="e">
        <f t="shared" si="16"/>
        <v>#DIV/0!</v>
      </c>
      <c r="BE22" s="2">
        <f t="shared" si="17"/>
        <v>6.5679426046079001</v>
      </c>
      <c r="BF22" s="2">
        <f t="shared" si="18"/>
        <v>6.5451911814227532</v>
      </c>
      <c r="BG22" s="2">
        <f t="shared" si="19"/>
        <v>6.677098600090603</v>
      </c>
      <c r="BH22" s="2">
        <f t="shared" si="20"/>
        <v>6.6082918218239008</v>
      </c>
    </row>
    <row r="23" spans="1:60" x14ac:dyDescent="0.2">
      <c r="B23" s="2">
        <v>60</v>
      </c>
      <c r="C23" s="2">
        <v>3400</v>
      </c>
      <c r="D23" s="2">
        <v>1</v>
      </c>
      <c r="E23" s="2">
        <v>70</v>
      </c>
      <c r="F23" s="2">
        <v>1</v>
      </c>
      <c r="G23" s="2">
        <f t="shared" si="21"/>
        <v>48.571428571428569</v>
      </c>
      <c r="K23" s="2">
        <v>16</v>
      </c>
      <c r="L23" s="2">
        <f>标准城池设计!AB19*$B$10/C$14*$C$5*C$7</f>
        <v>16281953.884808715</v>
      </c>
      <c r="M23" s="2">
        <f>标准城池设计!AC19*$B$10/D$14*$C$5*D$7</f>
        <v>17386077.413842943</v>
      </c>
      <c r="N23" s="2">
        <f>标准城池设计!AD19*$B$10/E$14*$C$5*E$7</f>
        <v>18910174.389007498</v>
      </c>
      <c r="O23" s="2">
        <f>标准城池设计!AE19*$B$10/F$14*$C$5*F$7</f>
        <v>18143094.525419343</v>
      </c>
      <c r="P23" s="2">
        <f>标准城池设计!AF19*$B$10/G$14*$C$5*G$7</f>
        <v>20297607.183213573</v>
      </c>
      <c r="Q23" s="2">
        <f t="shared" si="4"/>
        <v>2029.7607183213572</v>
      </c>
      <c r="U23" s="2">
        <v>16</v>
      </c>
      <c r="V23" s="2">
        <f>其他调用!R20*6*其他调用!BM20*$B$10/C$15*$C$5*C$8/3</f>
        <v>0</v>
      </c>
      <c r="W23" s="2">
        <f>其他调用!S20*6*其他调用!BN20*$B$10/D$15*$C$5*D$8/3</f>
        <v>327887.44396356604</v>
      </c>
      <c r="X23" s="2">
        <f>其他调用!T20*6*其他调用!BO20*$B$10/E$15*$C$5*E$8/3</f>
        <v>800158.17497792514</v>
      </c>
      <c r="Y23" s="2">
        <f>其他调用!U20*6*其他调用!BP20*$B$10/F$15*$C$5*F$8/3</f>
        <v>2039259.9924615545</v>
      </c>
      <c r="Z23" s="2">
        <f>其他调用!V20*6*其他调用!BQ20*$B$10/G$15*$C$5*G$8/3</f>
        <v>3472367.5556537951</v>
      </c>
      <c r="AA23" s="2">
        <f t="shared" si="5"/>
        <v>347.2367555653795</v>
      </c>
      <c r="AE23" s="2">
        <v>16</v>
      </c>
      <c r="AF23" s="2">
        <f>L23/IFERROR(INDEX($C$22:$C$35,MATCH(节奏总纲!D19,$B$22:$B$35,1)),MIN($C$22:$C$35))*IFERROR(INDEX($D$22:$D$35,MATCH(节奏总纲!D19,$B$22:$B$35,1)),MIN($D$22:$D$35))</f>
        <v>6512.7815539234862</v>
      </c>
      <c r="AG23" s="2">
        <f>M23/IFERROR(INDEX($C$22:$C$35,MATCH(节奏总纲!E19,$B$22:$B$35,1)),MIN($C$22:$C$35))*IFERROR(INDEX($D$22:$D$35,MATCH(节奏总纲!E19,$B$22:$B$35,1)),MIN($D$22:$D$35))</f>
        <v>6954.4309655371771</v>
      </c>
      <c r="AH23" s="2">
        <f>N23/IFERROR(INDEX($C$22:$C$35,MATCH(节奏总纲!F19,$B$22:$B$35,1)),MIN($C$22:$C$35))*IFERROR(INDEX($D$22:$D$35,MATCH(节奏总纲!F19,$B$22:$B$35,1)),MIN($D$22:$D$35))</f>
        <v>7564.0697556029991</v>
      </c>
      <c r="AI23" s="2">
        <f>O23/IFERROR(INDEX($C$22:$C$35,MATCH(节奏总纲!G19,$B$22:$B$35,1)),MIN($C$22:$C$35))*IFERROR(INDEX($D$22:$D$35,MATCH(节奏总纲!G19,$B$22:$B$35,1)),MIN($D$22:$D$35))</f>
        <v>7257.2378101677377</v>
      </c>
      <c r="AJ23" s="2">
        <f>P23/IFERROR(INDEX($C$22:$C$35,MATCH(节奏总纲!H19,$B$22:$B$35,1)),MIN($C$22:$C$35))*IFERROR(INDEX($D$22:$D$35,MATCH(节奏总纲!H19,$B$22:$B$35,1)),MIN($D$22:$D$35))</f>
        <v>8119.0428732854289</v>
      </c>
      <c r="AK23" s="2">
        <f>V23/IFERROR(INDEX($E$22:$E$35,MATCH(节奏总纲!D19,$B$22:$B$35,1)),MIN($E$22:$E$35))*IFERROR(INDEX($F$22:$F$35,MATCH(节奏总纲!D19,$B$22:$B$35,1)),MIN($F$22:$F$35))</f>
        <v>0</v>
      </c>
      <c r="AL23" s="2">
        <f>W23/IFERROR(INDEX($E$22:$E$35,MATCH(节奏总纲!E19,$B$22:$B$35,1)),MIN($E$22:$E$35))*IFERROR(INDEX($F$22:$F$35,MATCH(节奏总纲!E19,$B$22:$B$35,1)),MIN($F$22:$F$35))</f>
        <v>5044.4222148240933</v>
      </c>
      <c r="AM23" s="2">
        <f>X23/IFERROR(INDEX($E$22:$E$35,MATCH(节奏总纲!F19,$B$22:$B$35,1)),MIN($E$22:$E$35))*IFERROR(INDEX($F$22:$F$35,MATCH(节奏总纲!F19,$B$22:$B$35,1)),MIN($F$22:$F$35))</f>
        <v>12310.125768891156</v>
      </c>
      <c r="AN23" s="2">
        <f>Y23/IFERROR(INDEX($E$22:$E$35,MATCH(节奏总纲!G19,$B$22:$B$35,1)),MIN($E$22:$E$35))*IFERROR(INDEX($F$22:$F$35,MATCH(节奏总纲!G19,$B$22:$B$35,1)),MIN($F$22:$F$35))</f>
        <v>31373.230653254683</v>
      </c>
      <c r="AO23" s="2">
        <f>Z23/IFERROR(INDEX($E$22:$E$35,MATCH(节奏总纲!H19,$B$22:$B$35,1)),MIN($E$22:$E$35))*IFERROR(INDEX($F$22:$F$35,MATCH(节奏总纲!H19,$B$22:$B$35,1)),MIN($F$22:$F$35))</f>
        <v>53421.039317750692</v>
      </c>
      <c r="AQ23" s="2">
        <v>16</v>
      </c>
      <c r="AR23" s="2">
        <f t="shared" si="6"/>
        <v>6512.7815539234862</v>
      </c>
      <c r="AS23" s="2">
        <f t="shared" si="7"/>
        <v>11998.853180361271</v>
      </c>
      <c r="AT23" s="2">
        <f t="shared" si="8"/>
        <v>19874.195524494156</v>
      </c>
      <c r="AU23" s="2">
        <f t="shared" si="9"/>
        <v>38630.468463422418</v>
      </c>
      <c r="AV23" s="2">
        <f t="shared" si="10"/>
        <v>61540.082191036119</v>
      </c>
      <c r="AX23" s="41">
        <f t="shared" si="11"/>
        <v>0</v>
      </c>
      <c r="AY23" s="41">
        <f t="shared" si="12"/>
        <v>0.42040869564771288</v>
      </c>
      <c r="AZ23" s="41">
        <f t="shared" si="13"/>
        <v>0.61940246857888737</v>
      </c>
      <c r="BA23" s="41">
        <f t="shared" si="14"/>
        <v>0.81213694529644875</v>
      </c>
      <c r="BB23" s="41">
        <f t="shared" si="15"/>
        <v>0.86806902779099571</v>
      </c>
      <c r="BD23" s="2" t="e">
        <f t="shared" si="16"/>
        <v>#DIV/0!</v>
      </c>
      <c r="BE23" s="2">
        <f t="shared" si="17"/>
        <v>6.5281832774523867</v>
      </c>
      <c r="BF23" s="2">
        <f t="shared" si="18"/>
        <v>6.5097896590774154</v>
      </c>
      <c r="BG23" s="2">
        <f t="shared" si="19"/>
        <v>6.4845396018232897</v>
      </c>
      <c r="BH23" s="2">
        <f t="shared" si="20"/>
        <v>6.5797212986182307</v>
      </c>
    </row>
    <row r="24" spans="1:60" x14ac:dyDescent="0.2">
      <c r="B24" s="2">
        <v>90</v>
      </c>
      <c r="C24" s="2">
        <v>4000</v>
      </c>
      <c r="D24" s="2">
        <v>1</v>
      </c>
      <c r="E24" s="2">
        <v>75</v>
      </c>
      <c r="F24" s="2">
        <v>1</v>
      </c>
      <c r="G24" s="2">
        <f t="shared" si="21"/>
        <v>53.333333333333336</v>
      </c>
      <c r="K24" s="2">
        <v>17</v>
      </c>
      <c r="L24" s="2">
        <f>标准城池设计!AB20*$B$10/C$14*$C$5*C$7</f>
        <v>16849942.71324452</v>
      </c>
      <c r="M24" s="2">
        <f>标准城池设计!AC20*$B$10/D$14*$C$5*D$7</f>
        <v>17988429.311596595</v>
      </c>
      <c r="N24" s="2">
        <f>标准城池设计!AD20*$B$10/E$14*$C$5*E$7</f>
        <v>19539265.76747733</v>
      </c>
      <c r="O24" s="2">
        <f>标准城池设计!AE20*$B$10/F$14*$C$5*F$7</f>
        <v>18774393.980625905</v>
      </c>
      <c r="P24" s="2">
        <f>标准城池设计!AF20*$B$10/G$14*$C$5*G$7</f>
        <v>20988009.375541713</v>
      </c>
      <c r="Q24" s="2">
        <f t="shared" si="4"/>
        <v>2098.8009375541715</v>
      </c>
      <c r="U24" s="2">
        <v>17</v>
      </c>
      <c r="V24" s="2">
        <f>其他调用!R21*6*其他调用!BM21*$B$10/C$15*$C$5*C$8/3</f>
        <v>0</v>
      </c>
      <c r="W24" s="2">
        <f>其他调用!S21*6*其他调用!BN21*$B$10/D$15*$C$5*D$8/3</f>
        <v>336603.62479428976</v>
      </c>
      <c r="X24" s="2">
        <f>其他调用!T21*6*其他调用!BO21*$B$10/E$15*$C$5*E$8/3</f>
        <v>821256.38162774721</v>
      </c>
      <c r="Y24" s="2">
        <f>其他调用!U21*6*其他调用!BP21*$B$10/F$15*$C$5*F$8/3</f>
        <v>2092622.3171077103</v>
      </c>
      <c r="Z24" s="2">
        <f>其他调用!V21*6*其他调用!BQ21*$B$10/G$15*$C$5*G$8/3</f>
        <v>3556607.1872114483</v>
      </c>
      <c r="AA24" s="2">
        <f t="shared" si="5"/>
        <v>355.66071872114486</v>
      </c>
      <c r="AE24" s="2">
        <v>17</v>
      </c>
      <c r="AF24" s="2">
        <f>L24/IFERROR(INDEX($C$22:$C$35,MATCH(节奏总纲!D20,$B$22:$B$35,1)),MIN($C$22:$C$35))*IFERROR(INDEX($D$22:$D$35,MATCH(节奏总纲!D20,$B$22:$B$35,1)),MIN($D$22:$D$35))</f>
        <v>6739.9770852978081</v>
      </c>
      <c r="AG24" s="2">
        <f>M24/IFERROR(INDEX($C$22:$C$35,MATCH(节奏总纲!E20,$B$22:$B$35,1)),MIN($C$22:$C$35))*IFERROR(INDEX($D$22:$D$35,MATCH(节奏总纲!E20,$B$22:$B$35,1)),MIN($D$22:$D$35))</f>
        <v>7195.3717246386377</v>
      </c>
      <c r="AH24" s="2">
        <f>N24/IFERROR(INDEX($C$22:$C$35,MATCH(节奏总纲!F20,$B$22:$B$35,1)),MIN($C$22:$C$35))*IFERROR(INDEX($D$22:$D$35,MATCH(节奏总纲!F20,$B$22:$B$35,1)),MIN($D$22:$D$35))</f>
        <v>7815.7063069909318</v>
      </c>
      <c r="AI24" s="2">
        <f>O24/IFERROR(INDEX($C$22:$C$35,MATCH(节奏总纲!G20,$B$22:$B$35,1)),MIN($C$22:$C$35))*IFERROR(INDEX($D$22:$D$35,MATCH(节奏总纲!G20,$B$22:$B$35,1)),MIN($D$22:$D$35))</f>
        <v>7509.757592250362</v>
      </c>
      <c r="AJ24" s="2">
        <f>P24/IFERROR(INDEX($C$22:$C$35,MATCH(节奏总纲!H20,$B$22:$B$35,1)),MIN($C$22:$C$35))*IFERROR(INDEX($D$22:$D$35,MATCH(节奏总纲!H20,$B$22:$B$35,1)),MIN($D$22:$D$35))</f>
        <v>8395.2037502166859</v>
      </c>
      <c r="AK24" s="2">
        <f>V24/IFERROR(INDEX($E$22:$E$35,MATCH(节奏总纲!D20,$B$22:$B$35,1)),MIN($E$22:$E$35))*IFERROR(INDEX($F$22:$F$35,MATCH(节奏总纲!D20,$B$22:$B$35,1)),MIN($F$22:$F$35))</f>
        <v>0</v>
      </c>
      <c r="AL24" s="2">
        <f>W24/IFERROR(INDEX($E$22:$E$35,MATCH(节奏总纲!E20,$B$22:$B$35,1)),MIN($E$22:$E$35))*IFERROR(INDEX($F$22:$F$35,MATCH(节奏总纲!E20,$B$22:$B$35,1)),MIN($F$22:$F$35))</f>
        <v>5178.5173045275351</v>
      </c>
      <c r="AM24" s="2">
        <f>X24/IFERROR(INDEX($E$22:$E$35,MATCH(节奏总纲!F20,$B$22:$B$35,1)),MIN($E$22:$E$35))*IFERROR(INDEX($F$22:$F$35,MATCH(节奏总纲!F20,$B$22:$B$35,1)),MIN($F$22:$F$35))</f>
        <v>12634.713563503803</v>
      </c>
      <c r="AN24" s="2">
        <f>Y24/IFERROR(INDEX($E$22:$E$35,MATCH(节奏总纲!G20,$B$22:$B$35,1)),MIN($E$22:$E$35))*IFERROR(INDEX($F$22:$F$35,MATCH(节奏总纲!G20,$B$22:$B$35,1)),MIN($F$22:$F$35))</f>
        <v>32194.189493964775</v>
      </c>
      <c r="AO24" s="2">
        <f>Z24/IFERROR(INDEX($E$22:$E$35,MATCH(节奏总纲!H20,$B$22:$B$35,1)),MIN($E$22:$E$35))*IFERROR(INDEX($F$22:$F$35,MATCH(节奏总纲!H20,$B$22:$B$35,1)),MIN($F$22:$F$35))</f>
        <v>54717.033649406898</v>
      </c>
      <c r="AQ24" s="2">
        <v>17</v>
      </c>
      <c r="AR24" s="2">
        <f t="shared" si="6"/>
        <v>6739.9770852978081</v>
      </c>
      <c r="AS24" s="2">
        <f t="shared" si="7"/>
        <v>12373.889029166174</v>
      </c>
      <c r="AT24" s="2">
        <f t="shared" si="8"/>
        <v>20450.419870494734</v>
      </c>
      <c r="AU24" s="2">
        <f t="shared" si="9"/>
        <v>39703.947086215136</v>
      </c>
      <c r="AV24" s="2">
        <f t="shared" si="10"/>
        <v>63112.237399623584</v>
      </c>
      <c r="AX24" s="41">
        <f t="shared" si="11"/>
        <v>0</v>
      </c>
      <c r="AY24" s="41">
        <f t="shared" si="12"/>
        <v>0.41850361614860015</v>
      </c>
      <c r="AZ24" s="41">
        <f t="shared" si="13"/>
        <v>0.61782171923681617</v>
      </c>
      <c r="BA24" s="41">
        <f t="shared" si="14"/>
        <v>0.81085614546223084</v>
      </c>
      <c r="BB24" s="41">
        <f t="shared" si="15"/>
        <v>0.8669797792612125</v>
      </c>
      <c r="BD24" s="2" t="e">
        <f t="shared" si="16"/>
        <v>#DIV/0!</v>
      </c>
      <c r="BE24" s="2">
        <f t="shared" si="17"/>
        <v>6.4773103495342328</v>
      </c>
      <c r="BF24" s="2">
        <f t="shared" si="18"/>
        <v>6.4663195198122558</v>
      </c>
      <c r="BG24" s="2">
        <f t="shared" si="19"/>
        <v>6.4304717759173728</v>
      </c>
      <c r="BH24" s="2">
        <f t="shared" si="20"/>
        <v>6.5176540412130697</v>
      </c>
    </row>
    <row r="25" spans="1:60" x14ac:dyDescent="0.2">
      <c r="B25" s="2">
        <v>150</v>
      </c>
      <c r="C25" s="2">
        <v>4800</v>
      </c>
      <c r="D25" s="2">
        <v>1</v>
      </c>
      <c r="E25" s="2">
        <v>80</v>
      </c>
      <c r="F25" s="2">
        <v>1</v>
      </c>
      <c r="G25" s="2">
        <f t="shared" si="21"/>
        <v>60</v>
      </c>
      <c r="K25" s="2">
        <v>18</v>
      </c>
      <c r="L25" s="2">
        <f>标准城池设计!AB21*$B$10/C$14*$C$5*C$7</f>
        <v>17432936.631777003</v>
      </c>
      <c r="M25" s="2">
        <f>标准城池设计!AC21*$B$10/D$14*$C$5*D$7</f>
        <v>18610712.710770156</v>
      </c>
      <c r="N25" s="2">
        <f>标准城池设计!AD21*$B$10/E$14*$C$5*E$7</f>
        <v>20192570.4044884</v>
      </c>
      <c r="O25" s="2">
        <f>标准城池设计!AE21*$B$10/F$14*$C$5*F$7</f>
        <v>19424630.026077185</v>
      </c>
      <c r="P25" s="2">
        <f>标准城池设计!AF21*$B$10/G$14*$C$5*G$7</f>
        <v>21682347.663810607</v>
      </c>
      <c r="Q25" s="2">
        <f t="shared" si="4"/>
        <v>2168.2347663810606</v>
      </c>
      <c r="U25" s="2">
        <v>18</v>
      </c>
      <c r="V25" s="2">
        <f>其他调用!R22*6*其他调用!BM22*$B$10/C$15*$C$5*C$8/3</f>
        <v>0</v>
      </c>
      <c r="W25" s="2">
        <f>其他调用!S22*6*其他调用!BN22*$B$10/D$15*$C$5*D$8/3</f>
        <v>345483.12973378442</v>
      </c>
      <c r="X25" s="2">
        <f>其他调用!T22*6*其他调用!BO22*$B$10/E$15*$C$5*E$8/3</f>
        <v>843525.79852141626</v>
      </c>
      <c r="Y25" s="2">
        <f>其他调用!U22*6*其他调用!BP22*$B$10/F$15*$C$5*F$8/3</f>
        <v>2148483.5684887059</v>
      </c>
      <c r="Z25" s="2">
        <f>其他调用!V22*6*其他调用!BQ22*$B$10/G$15*$C$5*G$8/3</f>
        <v>3651442.6462263744</v>
      </c>
      <c r="AA25" s="2">
        <f t="shared" si="5"/>
        <v>365.14426462263742</v>
      </c>
      <c r="AE25" s="2">
        <v>18</v>
      </c>
      <c r="AF25" s="2">
        <f>L25/IFERROR(INDEX($C$22:$C$35,MATCH(节奏总纲!D21,$B$22:$B$35,1)),MIN($C$22:$C$35))*IFERROR(INDEX($D$22:$D$35,MATCH(节奏总纲!D21,$B$22:$B$35,1)),MIN($D$22:$D$35))</f>
        <v>6973.1746527108016</v>
      </c>
      <c r="AG25" s="2">
        <f>M25/IFERROR(INDEX($C$22:$C$35,MATCH(节奏总纲!E21,$B$22:$B$35,1)),MIN($C$22:$C$35))*IFERROR(INDEX($D$22:$D$35,MATCH(节奏总纲!E21,$B$22:$B$35,1)),MIN($D$22:$D$35))</f>
        <v>7444.2850843080623</v>
      </c>
      <c r="AH25" s="2">
        <f>N25/IFERROR(INDEX($C$22:$C$35,MATCH(节奏总纲!F21,$B$22:$B$35,1)),MIN($C$22:$C$35))*IFERROR(INDEX($D$22:$D$35,MATCH(节奏总纲!F21,$B$22:$B$35,1)),MIN($D$22:$D$35))</f>
        <v>8077.0281617953597</v>
      </c>
      <c r="AI25" s="2">
        <f>O25/IFERROR(INDEX($C$22:$C$35,MATCH(节奏总纲!G21,$B$22:$B$35,1)),MIN($C$22:$C$35))*IFERROR(INDEX($D$22:$D$35,MATCH(节奏总纲!G21,$B$22:$B$35,1)),MIN($D$22:$D$35))</f>
        <v>7769.8520104308736</v>
      </c>
      <c r="AJ25" s="2">
        <f>P25/IFERROR(INDEX($C$22:$C$35,MATCH(节奏总纲!H21,$B$22:$B$35,1)),MIN($C$22:$C$35))*IFERROR(INDEX($D$22:$D$35,MATCH(节奏总纲!H21,$B$22:$B$35,1)),MIN($D$22:$D$35))</f>
        <v>8672.9390655242423</v>
      </c>
      <c r="AK25" s="2">
        <f>V25/IFERROR(INDEX($E$22:$E$35,MATCH(节奏总纲!D21,$B$22:$B$35,1)),MIN($E$22:$E$35))*IFERROR(INDEX($F$22:$F$35,MATCH(节奏总纲!D21,$B$22:$B$35,1)),MIN($F$22:$F$35))</f>
        <v>0</v>
      </c>
      <c r="AL25" s="2">
        <f>W25/IFERROR(INDEX($E$22:$E$35,MATCH(节奏总纲!E21,$B$22:$B$35,1)),MIN($E$22:$E$35))*IFERROR(INDEX($F$22:$F$35,MATCH(节奏总纲!E21,$B$22:$B$35,1)),MIN($F$22:$F$35))</f>
        <v>5315.1250728274526</v>
      </c>
      <c r="AM25" s="2">
        <f>X25/IFERROR(INDEX($E$22:$E$35,MATCH(节奏总纲!F21,$B$22:$B$35,1)),MIN($E$22:$E$35))*IFERROR(INDEX($F$22:$F$35,MATCH(节奏总纲!F21,$B$22:$B$35,1)),MIN($F$22:$F$35))</f>
        <v>12977.319977252559</v>
      </c>
      <c r="AN25" s="2">
        <f>Y25/IFERROR(INDEX($E$22:$E$35,MATCH(节奏总纲!G21,$B$22:$B$35,1)),MIN($E$22:$E$35))*IFERROR(INDEX($F$22:$F$35,MATCH(节奏总纲!G21,$B$22:$B$35,1)),MIN($F$22:$F$35))</f>
        <v>33053.593361364707</v>
      </c>
      <c r="AO25" s="2">
        <f>Z25/IFERROR(INDEX($E$22:$E$35,MATCH(节奏总纲!H21,$B$22:$B$35,1)),MIN($E$22:$E$35))*IFERROR(INDEX($F$22:$F$35,MATCH(节奏总纲!H21,$B$22:$B$35,1)),MIN($F$22:$F$35))</f>
        <v>56176.040711174988</v>
      </c>
      <c r="AQ25" s="2">
        <v>18</v>
      </c>
      <c r="AR25" s="2">
        <f t="shared" si="6"/>
        <v>6973.1746527108016</v>
      </c>
      <c r="AS25" s="2">
        <f t="shared" si="7"/>
        <v>12759.410157135515</v>
      </c>
      <c r="AT25" s="2">
        <f t="shared" si="8"/>
        <v>21054.348139047917</v>
      </c>
      <c r="AU25" s="2">
        <f t="shared" si="9"/>
        <v>40823.445371795577</v>
      </c>
      <c r="AV25" s="2">
        <f t="shared" si="10"/>
        <v>64848.979776699227</v>
      </c>
      <c r="AX25" s="41">
        <f t="shared" si="11"/>
        <v>0</v>
      </c>
      <c r="AY25" s="41">
        <f t="shared" si="12"/>
        <v>0.416565108211922</v>
      </c>
      <c r="AZ25" s="41">
        <f t="shared" si="13"/>
        <v>0.61637244200329799</v>
      </c>
      <c r="BA25" s="41">
        <f t="shared" si="14"/>
        <v>0.80967182118834669</v>
      </c>
      <c r="BB25" s="41">
        <f t="shared" si="15"/>
        <v>0.86625943699671748</v>
      </c>
      <c r="BD25" s="2" t="e">
        <f t="shared" si="16"/>
        <v>#DIV/0!</v>
      </c>
      <c r="BE25" s="2">
        <f t="shared" si="17"/>
        <v>6.4258857786467205</v>
      </c>
      <c r="BF25" s="2">
        <f t="shared" si="18"/>
        <v>6.4267796111623152</v>
      </c>
      <c r="BG25" s="2">
        <f t="shared" si="19"/>
        <v>6.381124116068924</v>
      </c>
      <c r="BH25" s="2">
        <f t="shared" si="20"/>
        <v>6.477163080100504</v>
      </c>
    </row>
    <row r="26" spans="1:60" x14ac:dyDescent="0.2">
      <c r="B26" s="2">
        <v>210</v>
      </c>
      <c r="C26" s="2">
        <v>5200</v>
      </c>
      <c r="D26" s="2">
        <v>1</v>
      </c>
      <c r="E26" s="2">
        <v>75</v>
      </c>
      <c r="F26" s="2">
        <v>1</v>
      </c>
      <c r="G26" s="2">
        <f t="shared" si="21"/>
        <v>69.333333333333329</v>
      </c>
      <c r="K26" s="2">
        <v>19</v>
      </c>
      <c r="L26" s="2">
        <f>标准城池设计!AB22*$B$10/C$14*$C$5*C$7</f>
        <v>18033900.982788689</v>
      </c>
      <c r="M26" s="2">
        <f>标准城池设计!AC22*$B$10/D$14*$C$5*D$7</f>
        <v>19245598.033554617</v>
      </c>
      <c r="N26" s="2">
        <f>标准城池设计!AD22*$B$10/E$14*$C$5*E$7</f>
        <v>20860956.08068471</v>
      </c>
      <c r="O26" s="2">
        <f>标准城池设计!AE22*$B$10/F$14*$C$5*F$7</f>
        <v>20084871.331524231</v>
      </c>
      <c r="P26" s="2">
        <f>标准城池设计!AF22*$B$10/G$14*$C$5*G$7</f>
        <v>22390335.615335494</v>
      </c>
      <c r="Q26" s="2">
        <f t="shared" si="4"/>
        <v>2239.0335615335493</v>
      </c>
      <c r="U26" s="2">
        <v>19</v>
      </c>
      <c r="V26" s="2">
        <f>其他调用!R23*6*其他调用!BM23*$B$10/C$15*$C$5*C$8/3</f>
        <v>0</v>
      </c>
      <c r="W26" s="2">
        <f>其他调用!S23*6*其他调用!BN23*$B$10/D$15*$C$5*D$8/3</f>
        <v>354292.32630664855</v>
      </c>
      <c r="X26" s="2">
        <f>其他调用!T23*6*其他调用!BO23*$B$10/E$15*$C$5*E$8/3</f>
        <v>864454.69193247182</v>
      </c>
      <c r="Y26" s="2">
        <f>其他调用!U23*6*其他调用!BP23*$B$10/F$15*$C$5*F$8/3</f>
        <v>2201881.489059709</v>
      </c>
      <c r="Z26" s="2">
        <f>其他调用!V23*6*其他调用!BQ23*$B$10/G$15*$C$5*G$8/3</f>
        <v>3740663.0209930683</v>
      </c>
      <c r="AA26" s="2">
        <f t="shared" si="5"/>
        <v>374.06630209930682</v>
      </c>
      <c r="AE26" s="2">
        <v>19</v>
      </c>
      <c r="AF26" s="2">
        <f>L26/IFERROR(INDEX($C$22:$C$35,MATCH(节奏总纲!D22,$B$22:$B$35,1)),MIN($C$22:$C$35))*IFERROR(INDEX($D$22:$D$35,MATCH(节奏总纲!D22,$B$22:$B$35,1)),MIN($D$22:$D$35))</f>
        <v>7213.5603931154756</v>
      </c>
      <c r="AG26" s="2">
        <f>M26/IFERROR(INDEX($C$22:$C$35,MATCH(节奏总纲!E22,$B$22:$B$35,1)),MIN($C$22:$C$35))*IFERROR(INDEX($D$22:$D$35,MATCH(节奏总纲!E22,$B$22:$B$35,1)),MIN($D$22:$D$35))</f>
        <v>7698.2392134218471</v>
      </c>
      <c r="AH26" s="2">
        <f>N26/IFERROR(INDEX($C$22:$C$35,MATCH(节奏总纲!F22,$B$22:$B$35,1)),MIN($C$22:$C$35))*IFERROR(INDEX($D$22:$D$35,MATCH(节奏总纲!F22,$B$22:$B$35,1)),MIN($D$22:$D$35))</f>
        <v>8344.3824322738838</v>
      </c>
      <c r="AI26" s="2">
        <f>O26/IFERROR(INDEX($C$22:$C$35,MATCH(节奏总纲!G22,$B$22:$B$35,1)),MIN($C$22:$C$35))*IFERROR(INDEX($D$22:$D$35,MATCH(节奏总纲!G22,$B$22:$B$35,1)),MIN($D$22:$D$35))</f>
        <v>8033.9485326096919</v>
      </c>
      <c r="AJ26" s="2">
        <f>P26/IFERROR(INDEX($C$22:$C$35,MATCH(节奏总纲!H22,$B$22:$B$35,1)),MIN($C$22:$C$35))*IFERROR(INDEX($D$22:$D$35,MATCH(节奏总纲!H22,$B$22:$B$35,1)),MIN($D$22:$D$35))</f>
        <v>8956.1342461341974</v>
      </c>
      <c r="AK26" s="2">
        <f>V26/IFERROR(INDEX($E$22:$E$35,MATCH(节奏总纲!D22,$B$22:$B$35,1)),MIN($E$22:$E$35))*IFERROR(INDEX($F$22:$F$35,MATCH(节奏总纲!D22,$B$22:$B$35,1)),MIN($F$22:$F$35))</f>
        <v>0</v>
      </c>
      <c r="AL26" s="2">
        <f>W26/IFERROR(INDEX($E$22:$E$35,MATCH(节奏总纲!E22,$B$22:$B$35,1)),MIN($E$22:$E$35))*IFERROR(INDEX($F$22:$F$35,MATCH(节奏总纲!E22,$B$22:$B$35,1)),MIN($F$22:$F$35))</f>
        <v>5450.6511739484395</v>
      </c>
      <c r="AM26" s="2">
        <f>X26/IFERROR(INDEX($E$22:$E$35,MATCH(节奏总纲!F22,$B$22:$B$35,1)),MIN($E$22:$E$35))*IFERROR(INDEX($F$22:$F$35,MATCH(节奏总纲!F22,$B$22:$B$35,1)),MIN($F$22:$F$35))</f>
        <v>13299.302952807258</v>
      </c>
      <c r="AN26" s="2">
        <f>Y26/IFERROR(INDEX($E$22:$E$35,MATCH(节奏总纲!G22,$B$22:$B$35,1)),MIN($E$22:$E$35))*IFERROR(INDEX($F$22:$F$35,MATCH(节奏总纲!G22,$B$22:$B$35,1)),MIN($F$22:$F$35))</f>
        <v>33875.099831687832</v>
      </c>
      <c r="AO26" s="2">
        <f>Z26/IFERROR(INDEX($E$22:$E$35,MATCH(节奏总纲!H22,$B$22:$B$35,1)),MIN($E$22:$E$35))*IFERROR(INDEX($F$22:$F$35,MATCH(节奏总纲!H22,$B$22:$B$35,1)),MIN($F$22:$F$35))</f>
        <v>57548.661861431821</v>
      </c>
      <c r="AQ26" s="2">
        <v>19</v>
      </c>
      <c r="AR26" s="2">
        <f t="shared" si="6"/>
        <v>7213.5603931154756</v>
      </c>
      <c r="AS26" s="2">
        <f t="shared" si="7"/>
        <v>13148.890387370287</v>
      </c>
      <c r="AT26" s="2">
        <f t="shared" si="8"/>
        <v>21643.685385081142</v>
      </c>
      <c r="AU26" s="2">
        <f t="shared" si="9"/>
        <v>41909.048364297523</v>
      </c>
      <c r="AV26" s="2">
        <f t="shared" si="10"/>
        <v>66504.796107566013</v>
      </c>
      <c r="AX26" s="41">
        <f t="shared" si="11"/>
        <v>0</v>
      </c>
      <c r="AY26" s="41">
        <f t="shared" si="12"/>
        <v>0.41453316693428932</v>
      </c>
      <c r="AZ26" s="41">
        <f t="shared" si="13"/>
        <v>0.61446573059015108</v>
      </c>
      <c r="BA26" s="41">
        <f t="shared" si="14"/>
        <v>0.8083003827055677</v>
      </c>
      <c r="BB26" s="41">
        <f t="shared" si="15"/>
        <v>0.86533100211827751</v>
      </c>
      <c r="BD26" s="2" t="e">
        <f t="shared" si="16"/>
        <v>#DIV/0!</v>
      </c>
      <c r="BE26" s="2">
        <f t="shared" si="17"/>
        <v>6.3723481702162861</v>
      </c>
      <c r="BF26" s="2">
        <f t="shared" si="18"/>
        <v>6.3752125748067572</v>
      </c>
      <c r="BG26" s="2">
        <f t="shared" si="19"/>
        <v>6.3247417557237089</v>
      </c>
      <c r="BH26" s="2">
        <f t="shared" si="20"/>
        <v>6.4256140294315012</v>
      </c>
    </row>
    <row r="27" spans="1:60" x14ac:dyDescent="0.2">
      <c r="B27" s="2">
        <v>360</v>
      </c>
      <c r="C27" s="2">
        <v>5700</v>
      </c>
      <c r="D27" s="2">
        <v>1</v>
      </c>
      <c r="E27" s="2">
        <v>90</v>
      </c>
      <c r="F27" s="2">
        <v>1</v>
      </c>
      <c r="G27" s="2">
        <f t="shared" si="21"/>
        <v>63.333333333333336</v>
      </c>
      <c r="K27" s="2">
        <v>20</v>
      </c>
      <c r="L27" s="2">
        <f>标准城池设计!AB23*$B$10/C$14*$C$5*C$7</f>
        <v>18653883.972482871</v>
      </c>
      <c r="M27" s="2">
        <f>标准城池设计!AC23*$B$10/D$14*$C$5*D$7</f>
        <v>19854037.902281772</v>
      </c>
      <c r="N27" s="2">
        <f>标准城池设计!AD23*$B$10/E$14*$C$5*E$7</f>
        <v>21511190.62622935</v>
      </c>
      <c r="O27" s="2">
        <f>标准城池设计!AE23*$B$10/F$14*$C$5*F$7</f>
        <v>20705957.262250833</v>
      </c>
      <c r="P27" s="2">
        <f>标准城池设计!AF23*$B$10/G$14*$C$5*G$7</f>
        <v>23041089.095731013</v>
      </c>
      <c r="Q27" s="2">
        <f t="shared" si="4"/>
        <v>2304.1089095731013</v>
      </c>
      <c r="U27" s="2">
        <v>20</v>
      </c>
      <c r="V27" s="2">
        <f>其他调用!R24*6*其他调用!BM24*$B$10/C$15*$C$5*C$8/3</f>
        <v>0</v>
      </c>
      <c r="W27" s="2">
        <f>其他调用!S24*6*其他调用!BN24*$B$10/D$15*$C$5*D$8/3</f>
        <v>362646.81162473169</v>
      </c>
      <c r="X27" s="2">
        <f>其他调用!T24*6*其他调用!BO24*$B$10/E$15*$C$5*E$8/3</f>
        <v>884780.4769654941</v>
      </c>
      <c r="Y27" s="2">
        <f>其他调用!U24*6*其他调用!BP24*$B$10/F$15*$C$5*F$8/3</f>
        <v>2252510.2068169736</v>
      </c>
      <c r="Z27" s="2">
        <f>其他调用!V24*6*其他调用!BQ24*$B$10/G$15*$C$5*G$8/3</f>
        <v>3828520.4749606638</v>
      </c>
      <c r="AA27" s="2">
        <f t="shared" si="5"/>
        <v>382.8520474960664</v>
      </c>
      <c r="AE27" s="2">
        <v>20</v>
      </c>
      <c r="AF27" s="2">
        <f>L27/IFERROR(INDEX($C$22:$C$35,MATCH(节奏总纲!D23,$B$22:$B$35,1)),MIN($C$22:$C$35))*IFERROR(INDEX($D$22:$D$35,MATCH(节奏总纲!D23,$B$22:$B$35,1)),MIN($D$22:$D$35))</f>
        <v>7461.5535889931489</v>
      </c>
      <c r="AG27" s="2">
        <f>M27/IFERROR(INDEX($C$22:$C$35,MATCH(节奏总纲!E23,$B$22:$B$35,1)),MIN($C$22:$C$35))*IFERROR(INDEX($D$22:$D$35,MATCH(节奏总纲!E23,$B$22:$B$35,1)),MIN($D$22:$D$35))</f>
        <v>7941.6151609127091</v>
      </c>
      <c r="AH27" s="2">
        <f>N27/IFERROR(INDEX($C$22:$C$35,MATCH(节奏总纲!F23,$B$22:$B$35,1)),MIN($C$22:$C$35))*IFERROR(INDEX($D$22:$D$35,MATCH(节奏总纲!F23,$B$22:$B$35,1)),MIN($D$22:$D$35))</f>
        <v>8604.4762504917398</v>
      </c>
      <c r="AI27" s="2">
        <f>O27/IFERROR(INDEX($C$22:$C$35,MATCH(节奏总纲!G23,$B$22:$B$35,1)),MIN($C$22:$C$35))*IFERROR(INDEX($D$22:$D$35,MATCH(节奏总纲!G23,$B$22:$B$35,1)),MIN($D$22:$D$35))</f>
        <v>8282.3829049003325</v>
      </c>
      <c r="AJ27" s="2">
        <f>P27/IFERROR(INDEX($C$22:$C$35,MATCH(节奏总纲!H23,$B$22:$B$35,1)),MIN($C$22:$C$35))*IFERROR(INDEX($D$22:$D$35,MATCH(节奏总纲!H23,$B$22:$B$35,1)),MIN($D$22:$D$35))</f>
        <v>9216.4356382924052</v>
      </c>
      <c r="AK27" s="2">
        <f>V27/IFERROR(INDEX($E$22:$E$35,MATCH(节奏总纲!D23,$B$22:$B$35,1)),MIN($E$22:$E$35))*IFERROR(INDEX($F$22:$F$35,MATCH(节奏总纲!D23,$B$22:$B$35,1)),MIN($F$22:$F$35))</f>
        <v>0</v>
      </c>
      <c r="AL27" s="2">
        <f>W27/IFERROR(INDEX($E$22:$E$35,MATCH(节奏总纲!E23,$B$22:$B$35,1)),MIN($E$22:$E$35))*IFERROR(INDEX($F$22:$F$35,MATCH(节奏总纲!E23,$B$22:$B$35,1)),MIN($F$22:$F$35))</f>
        <v>5579.1817173035643</v>
      </c>
      <c r="AM27" s="2">
        <f>X27/IFERROR(INDEX($E$22:$E$35,MATCH(节奏总纲!F23,$B$22:$B$35,1)),MIN($E$22:$E$35))*IFERROR(INDEX($F$22:$F$35,MATCH(节奏总纲!F23,$B$22:$B$35,1)),MIN($F$22:$F$35))</f>
        <v>13612.007337930678</v>
      </c>
      <c r="AN27" s="2">
        <f>Y27/IFERROR(INDEX($E$22:$E$35,MATCH(节奏总纲!G23,$B$22:$B$35,1)),MIN($E$22:$E$35))*IFERROR(INDEX($F$22:$F$35,MATCH(节奏总纲!G23,$B$22:$B$35,1)),MIN($F$22:$F$35))</f>
        <v>34654.003181799591</v>
      </c>
      <c r="AO27" s="2">
        <f>Z27/IFERROR(INDEX($E$22:$E$35,MATCH(节奏总纲!H23,$B$22:$B$35,1)),MIN($E$22:$E$35))*IFERROR(INDEX($F$22:$F$35,MATCH(节奏总纲!H23,$B$22:$B$35,1)),MIN($F$22:$F$35))</f>
        <v>58900.314999394825</v>
      </c>
      <c r="AQ27" s="2">
        <v>20</v>
      </c>
      <c r="AR27" s="2">
        <f t="shared" si="6"/>
        <v>7461.5535889931489</v>
      </c>
      <c r="AS27" s="2">
        <f t="shared" si="7"/>
        <v>13520.796878216273</v>
      </c>
      <c r="AT27" s="2">
        <f t="shared" si="8"/>
        <v>22216.483588422416</v>
      </c>
      <c r="AU27" s="2">
        <f t="shared" si="9"/>
        <v>42936.386086699924</v>
      </c>
      <c r="AV27" s="2">
        <f t="shared" si="10"/>
        <v>68116.750637687233</v>
      </c>
      <c r="AX27" s="41">
        <f t="shared" si="11"/>
        <v>0</v>
      </c>
      <c r="AY27" s="41">
        <f t="shared" si="12"/>
        <v>0.41263704850801636</v>
      </c>
      <c r="AZ27" s="41">
        <f t="shared" si="13"/>
        <v>0.6126985525749109</v>
      </c>
      <c r="BA27" s="41">
        <f t="shared" si="14"/>
        <v>0.80710107068219461</v>
      </c>
      <c r="BB27" s="41">
        <f t="shared" si="15"/>
        <v>0.86469648725150439</v>
      </c>
      <c r="BD27" s="2" t="e">
        <f t="shared" si="16"/>
        <v>#DIV/0!</v>
      </c>
      <c r="BE27" s="2">
        <f t="shared" si="17"/>
        <v>6.3227233299934023</v>
      </c>
      <c r="BF27" s="2">
        <f t="shared" si="18"/>
        <v>6.3278725824376663</v>
      </c>
      <c r="BG27" s="2">
        <f t="shared" si="19"/>
        <v>6.2760929275492003</v>
      </c>
      <c r="BH27" s="2">
        <f t="shared" si="20"/>
        <v>6.3907911161095798</v>
      </c>
    </row>
    <row r="28" spans="1:60" x14ac:dyDescent="0.2">
      <c r="B28" s="2">
        <v>720</v>
      </c>
      <c r="C28" s="2">
        <v>6700</v>
      </c>
      <c r="D28" s="2">
        <v>1</v>
      </c>
      <c r="E28" s="2">
        <v>95</v>
      </c>
      <c r="F28" s="2">
        <v>1</v>
      </c>
      <c r="G28" s="2">
        <f t="shared" si="21"/>
        <v>70.526315789473685</v>
      </c>
      <c r="K28" s="2">
        <v>21</v>
      </c>
      <c r="L28" s="2">
        <f>标准城池设计!AB24*$B$10/C$14*$C$5*C$7</f>
        <v>19087310.965782799</v>
      </c>
      <c r="M28" s="2">
        <f>标准城池设计!AC24*$B$10/D$14*$C$5*D$7</f>
        <v>20326980.440166745</v>
      </c>
      <c r="N28" s="2">
        <f>标准城池设计!AD24*$B$10/E$14*$C$5*E$7</f>
        <v>22044535.26690492</v>
      </c>
      <c r="O28" s="2">
        <f>标准城池设计!AE24*$B$10/F$14*$C$5*F$7</f>
        <v>21302544.398279719</v>
      </c>
      <c r="P28" s="2">
        <f>标准城池设计!AF24*$B$10/G$14*$C$5*G$7</f>
        <v>23673840.858647846</v>
      </c>
      <c r="Q28" s="2">
        <f t="shared" si="4"/>
        <v>2367.3840858647845</v>
      </c>
      <c r="U28" s="2">
        <v>21</v>
      </c>
      <c r="V28" s="2">
        <f>其他调用!R25*6*其他调用!BM25*$B$10/C$15*$C$5*C$8/3</f>
        <v>0</v>
      </c>
      <c r="W28" s="2">
        <f>其他调用!S25*6*其他调用!BN25*$B$10/D$15*$C$5*D$8/3</f>
        <v>371114.33727305318</v>
      </c>
      <c r="X28" s="2">
        <f>其他调用!T25*6*其他调用!BO25*$B$10/E$15*$C$5*E$8/3</f>
        <v>905207.14163104445</v>
      </c>
      <c r="Y28" s="2">
        <f>其他调用!U25*6*其他调用!BP25*$B$10/F$15*$C$5*F$8/3</f>
        <v>2305795.7144047483</v>
      </c>
      <c r="Z28" s="2">
        <f>其他调用!V25*6*其他调用!BQ25*$B$10/G$15*$C$5*G$8/3</f>
        <v>3916976.8635421935</v>
      </c>
      <c r="AA28" s="2">
        <f t="shared" si="5"/>
        <v>391.69768635421934</v>
      </c>
      <c r="AE28" s="2">
        <v>21</v>
      </c>
      <c r="AF28" s="2">
        <f>L28/IFERROR(INDEX($C$22:$C$35,MATCH(节奏总纲!D24,$B$22:$B$35,1)),MIN($C$22:$C$35))*IFERROR(INDEX($D$22:$D$35,MATCH(节奏总纲!D24,$B$22:$B$35,1)),MIN($D$22:$D$35))</f>
        <v>7634.9243863131196</v>
      </c>
      <c r="AG28" s="2">
        <f>M28/IFERROR(INDEX($C$22:$C$35,MATCH(节奏总纲!E24,$B$22:$B$35,1)),MIN($C$22:$C$35))*IFERROR(INDEX($D$22:$D$35,MATCH(节奏总纲!E24,$B$22:$B$35,1)),MIN($D$22:$D$35))</f>
        <v>8130.7921760666977</v>
      </c>
      <c r="AH28" s="2">
        <f>N28/IFERROR(INDEX($C$22:$C$35,MATCH(节奏总纲!F24,$B$22:$B$35,1)),MIN($C$22:$C$35))*IFERROR(INDEX($D$22:$D$35,MATCH(节奏总纲!F24,$B$22:$B$35,1)),MIN($D$22:$D$35))</f>
        <v>8817.814106761969</v>
      </c>
      <c r="AI28" s="2">
        <f>O28/IFERROR(INDEX($C$22:$C$35,MATCH(节奏总纲!G24,$B$22:$B$35,1)),MIN($C$22:$C$35))*IFERROR(INDEX($D$22:$D$35,MATCH(节奏总纲!G24,$B$22:$B$35,1)),MIN($D$22:$D$35))</f>
        <v>8521.0177593118879</v>
      </c>
      <c r="AJ28" s="2">
        <f>P28/IFERROR(INDEX($C$22:$C$35,MATCH(节奏总纲!H24,$B$22:$B$35,1)),MIN($C$22:$C$35))*IFERROR(INDEX($D$22:$D$35,MATCH(节奏总纲!H24,$B$22:$B$35,1)),MIN($D$22:$D$35))</f>
        <v>9469.5363434591382</v>
      </c>
      <c r="AK28" s="2">
        <f>V28/IFERROR(INDEX($E$22:$E$35,MATCH(节奏总纲!D24,$B$22:$B$35,1)),MIN($E$22:$E$35))*IFERROR(INDEX($F$22:$F$35,MATCH(节奏总纲!D24,$B$22:$B$35,1)),MIN($F$22:$F$35))</f>
        <v>0</v>
      </c>
      <c r="AL28" s="2">
        <f>W28/IFERROR(INDEX($E$22:$E$35,MATCH(节奏总纲!E24,$B$22:$B$35,1)),MIN($E$22:$E$35))*IFERROR(INDEX($F$22:$F$35,MATCH(节奏总纲!E24,$B$22:$B$35,1)),MIN($F$22:$F$35))</f>
        <v>5709.4513426623571</v>
      </c>
      <c r="AM28" s="2">
        <f>X28/IFERROR(INDEX($E$22:$E$35,MATCH(节奏总纲!F24,$B$22:$B$35,1)),MIN($E$22:$E$35))*IFERROR(INDEX($F$22:$F$35,MATCH(节奏总纲!F24,$B$22:$B$35,1)),MIN($F$22:$F$35))</f>
        <v>13926.263717400683</v>
      </c>
      <c r="AN28" s="2">
        <f>Y28/IFERROR(INDEX($E$22:$E$35,MATCH(节奏总纲!G24,$B$22:$B$35,1)),MIN($E$22:$E$35))*IFERROR(INDEX($F$22:$F$35,MATCH(节奏总纲!G24,$B$22:$B$35,1)),MIN($F$22:$F$35))</f>
        <v>35473.780221611509</v>
      </c>
      <c r="AO28" s="2">
        <f>Z28/IFERROR(INDEX($E$22:$E$35,MATCH(节奏总纲!H24,$B$22:$B$35,1)),MIN($E$22:$E$35))*IFERROR(INDEX($F$22:$F$35,MATCH(节奏总纲!H24,$B$22:$B$35,1)),MIN($F$22:$F$35))</f>
        <v>60261.182516033747</v>
      </c>
      <c r="AQ28" s="2">
        <v>21</v>
      </c>
      <c r="AR28" s="2">
        <f t="shared" si="6"/>
        <v>7634.9243863131196</v>
      </c>
      <c r="AS28" s="2">
        <f t="shared" si="7"/>
        <v>13840.243518729054</v>
      </c>
      <c r="AT28" s="2">
        <f t="shared" si="8"/>
        <v>22744.077824162654</v>
      </c>
      <c r="AU28" s="2">
        <f t="shared" si="9"/>
        <v>43994.797980923395</v>
      </c>
      <c r="AV28" s="2">
        <f t="shared" si="10"/>
        <v>69730.718859492888</v>
      </c>
      <c r="AX28" s="41">
        <f t="shared" si="11"/>
        <v>0</v>
      </c>
      <c r="AY28" s="41">
        <f t="shared" si="12"/>
        <v>0.41252535296334547</v>
      </c>
      <c r="AZ28" s="41">
        <f t="shared" si="13"/>
        <v>0.61230285198047563</v>
      </c>
      <c r="BA28" s="41">
        <f t="shared" si="14"/>
        <v>0.80631760684509368</v>
      </c>
      <c r="BB28" s="41">
        <f t="shared" si="15"/>
        <v>0.86419849818929562</v>
      </c>
      <c r="BD28" s="2" t="e">
        <f t="shared" si="16"/>
        <v>#DIV/0!</v>
      </c>
      <c r="BE28" s="2">
        <f t="shared" si="17"/>
        <v>6.3198100469490726</v>
      </c>
      <c r="BF28" s="2">
        <f t="shared" si="18"/>
        <v>6.3173315058757193</v>
      </c>
      <c r="BG28" s="2">
        <f t="shared" si="19"/>
        <v>6.2446378866266166</v>
      </c>
      <c r="BH28" s="2">
        <f t="shared" si="20"/>
        <v>6.3636888154146805</v>
      </c>
    </row>
    <row r="29" spans="1:60" x14ac:dyDescent="0.2">
      <c r="B29" s="2">
        <v>1080</v>
      </c>
      <c r="C29" s="2">
        <v>7200</v>
      </c>
      <c r="D29" s="2">
        <v>1</v>
      </c>
      <c r="E29" s="2">
        <v>100</v>
      </c>
      <c r="F29" s="2">
        <v>1</v>
      </c>
      <c r="G29" s="2">
        <f t="shared" si="21"/>
        <v>72</v>
      </c>
      <c r="K29" s="2">
        <v>22</v>
      </c>
      <c r="L29" s="2">
        <f>标准城池设计!AB25*$B$10/C$14*$C$5*C$7</f>
        <v>19514583.056560345</v>
      </c>
      <c r="M29" s="2">
        <f>标准城池设计!AC25*$B$10/D$14*$C$5*D$7</f>
        <v>20815858.920051169</v>
      </c>
      <c r="N29" s="2">
        <f>标准城池设计!AD25*$B$10/E$14*$C$5*E$7</f>
        <v>22593562.989152282</v>
      </c>
      <c r="O29" s="2">
        <f>标准城池设计!AE25*$B$10/F$14*$C$5*F$7</f>
        <v>21916023.526825216</v>
      </c>
      <c r="P29" s="2">
        <f>标准城池设计!AF25*$B$10/G$14*$C$5*G$7</f>
        <v>24925406.493478414</v>
      </c>
      <c r="Q29" s="2">
        <f t="shared" si="4"/>
        <v>2492.5406493478413</v>
      </c>
      <c r="U29" s="2">
        <v>22</v>
      </c>
      <c r="V29" s="2">
        <f>其他调用!R26*6*其他调用!BM26*$B$10/C$15*$C$5*C$8/3</f>
        <v>0</v>
      </c>
      <c r="W29" s="2">
        <f>其他调用!S26*6*其他调用!BN26*$B$10/D$15*$C$5*D$8/3</f>
        <v>379473.54783733102</v>
      </c>
      <c r="X29" s="2">
        <f>其他调用!T26*6*其他调用!BO26*$B$10/E$15*$C$5*E$8/3</f>
        <v>926096.33193963487</v>
      </c>
      <c r="Y29" s="2">
        <f>其他调用!U26*6*其他调用!BP26*$B$10/F$15*$C$5*F$8/3</f>
        <v>2357090.0915257432</v>
      </c>
      <c r="Z29" s="2">
        <f>其他调用!V26*6*其他调用!BQ26*$B$10/G$15*$C$5*G$8/3</f>
        <v>4007166.6389112226</v>
      </c>
      <c r="AA29" s="2">
        <f t="shared" si="5"/>
        <v>400.71666389112227</v>
      </c>
      <c r="AE29" s="2">
        <v>22</v>
      </c>
      <c r="AF29" s="2">
        <f>L29/IFERROR(INDEX($C$22:$C$35,MATCH(节奏总纲!D25,$B$22:$B$35,1)),MIN($C$22:$C$35))*IFERROR(INDEX($D$22:$D$35,MATCH(节奏总纲!D25,$B$22:$B$35,1)),MIN($D$22:$D$35))</f>
        <v>7805.8332226241382</v>
      </c>
      <c r="AG29" s="2">
        <f>M29/IFERROR(INDEX($C$22:$C$35,MATCH(节奏总纲!E25,$B$22:$B$35,1)),MIN($C$22:$C$35))*IFERROR(INDEX($D$22:$D$35,MATCH(节奏总纲!E25,$B$22:$B$35,1)),MIN($D$22:$D$35))</f>
        <v>8326.3435680204675</v>
      </c>
      <c r="AH29" s="2">
        <f>N29/IFERROR(INDEX($C$22:$C$35,MATCH(节奏总纲!F25,$B$22:$B$35,1)),MIN($C$22:$C$35))*IFERROR(INDEX($D$22:$D$35,MATCH(节奏总纲!F25,$B$22:$B$35,1)),MIN($D$22:$D$35))</f>
        <v>9037.4251956609132</v>
      </c>
      <c r="AI29" s="2">
        <f>O29/IFERROR(INDEX($C$22:$C$35,MATCH(节奏总纲!G25,$B$22:$B$35,1)),MIN($C$22:$C$35))*IFERROR(INDEX($D$22:$D$35,MATCH(节奏总纲!G25,$B$22:$B$35,1)),MIN($D$22:$D$35))</f>
        <v>8766.4094107300862</v>
      </c>
      <c r="AJ29" s="2">
        <f>P29/IFERROR(INDEX($C$22:$C$35,MATCH(节奏总纲!H25,$B$22:$B$35,1)),MIN($C$22:$C$35))*IFERROR(INDEX($D$22:$D$35,MATCH(节奏总纲!H25,$B$22:$B$35,1)),MIN($D$22:$D$35))</f>
        <v>9970.1625973913651</v>
      </c>
      <c r="AK29" s="2">
        <f>V29/IFERROR(INDEX($E$22:$E$35,MATCH(节奏总纲!D25,$B$22:$B$35,1)),MIN($E$22:$E$35))*IFERROR(INDEX($F$22:$F$35,MATCH(节奏总纲!D25,$B$22:$B$35,1)),MIN($F$22:$F$35))</f>
        <v>0</v>
      </c>
      <c r="AL29" s="2">
        <f>W29/IFERROR(INDEX($E$22:$E$35,MATCH(节奏总纲!E25,$B$22:$B$35,1)),MIN($E$22:$E$35))*IFERROR(INDEX($F$22:$F$35,MATCH(节奏总纲!E25,$B$22:$B$35,1)),MIN($F$22:$F$35))</f>
        <v>5838.0545821127853</v>
      </c>
      <c r="AM29" s="2">
        <f>X29/IFERROR(INDEX($E$22:$E$35,MATCH(节奏总纲!F25,$B$22:$B$35,1)),MIN($E$22:$E$35))*IFERROR(INDEX($F$22:$F$35,MATCH(节奏总纲!F25,$B$22:$B$35,1)),MIN($F$22:$F$35))</f>
        <v>14247.635875994383</v>
      </c>
      <c r="AN29" s="2">
        <f>Y29/IFERROR(INDEX($E$22:$E$35,MATCH(节奏总纲!G25,$B$22:$B$35,1)),MIN($E$22:$E$35))*IFERROR(INDEX($F$22:$F$35,MATCH(节奏总纲!G25,$B$22:$B$35,1)),MIN($F$22:$F$35))</f>
        <v>36262.924485011434</v>
      </c>
      <c r="AO29" s="2">
        <f>Z29/IFERROR(INDEX($E$22:$E$35,MATCH(节奏总纲!H25,$B$22:$B$35,1)),MIN($E$22:$E$35))*IFERROR(INDEX($F$22:$F$35,MATCH(节奏总纲!H25,$B$22:$B$35,1)),MIN($F$22:$F$35))</f>
        <v>61648.717521711114</v>
      </c>
      <c r="AQ29" s="2">
        <v>22</v>
      </c>
      <c r="AR29" s="2">
        <f t="shared" si="6"/>
        <v>7805.8332226241382</v>
      </c>
      <c r="AS29" s="2">
        <f t="shared" si="7"/>
        <v>14164.398150133253</v>
      </c>
      <c r="AT29" s="2">
        <f t="shared" si="8"/>
        <v>23285.061071655298</v>
      </c>
      <c r="AU29" s="2">
        <f t="shared" si="9"/>
        <v>45029.333895741518</v>
      </c>
      <c r="AV29" s="2">
        <f t="shared" si="10"/>
        <v>71618.880119102483</v>
      </c>
      <c r="AX29" s="41">
        <f t="shared" si="11"/>
        <v>0</v>
      </c>
      <c r="AY29" s="41">
        <f t="shared" si="12"/>
        <v>0.41216397055725684</v>
      </c>
      <c r="AZ29" s="41">
        <f t="shared" si="13"/>
        <v>0.61187882789527681</v>
      </c>
      <c r="BA29" s="41">
        <f t="shared" si="14"/>
        <v>0.80531780836404654</v>
      </c>
      <c r="BB29" s="41">
        <f t="shared" si="15"/>
        <v>0.86078862751259233</v>
      </c>
      <c r="BD29" s="2" t="e">
        <f t="shared" si="16"/>
        <v>#DIV/0!</v>
      </c>
      <c r="BE29" s="2">
        <f t="shared" si="17"/>
        <v>6.3103919277146412</v>
      </c>
      <c r="BF29" s="2">
        <f t="shared" si="18"/>
        <v>6.3060597758906036</v>
      </c>
      <c r="BG29" s="2">
        <f t="shared" si="19"/>
        <v>6.2048649770952302</v>
      </c>
      <c r="BH29" s="2">
        <f t="shared" si="20"/>
        <v>6.1833211765113179</v>
      </c>
    </row>
    <row r="30" spans="1:60" x14ac:dyDescent="0.2">
      <c r="B30" s="2">
        <f>B29*2</f>
        <v>2160</v>
      </c>
      <c r="C30" s="2">
        <v>8000</v>
      </c>
      <c r="D30" s="2">
        <v>1</v>
      </c>
      <c r="E30" s="2">
        <v>110</v>
      </c>
      <c r="F30" s="2">
        <v>1</v>
      </c>
      <c r="G30" s="2">
        <f t="shared" si="21"/>
        <v>72.727272727272734</v>
      </c>
      <c r="K30" s="2">
        <v>23</v>
      </c>
      <c r="L30" s="2">
        <f>标准城池设计!AB26*$B$10/C$14*$C$5*C$7</f>
        <v>19952683.095918704</v>
      </c>
      <c r="M30" s="2">
        <f>标准城池设计!AC26*$B$10/D$14*$C$5*D$7</f>
        <v>21307232.267477274</v>
      </c>
      <c r="N30" s="2">
        <f>标准城池设计!AD26*$B$10/E$14*$C$5*E$7</f>
        <v>23151824.487678319</v>
      </c>
      <c r="O30" s="2">
        <f>标准城池设计!AE26*$B$10/F$14*$C$5*F$7</f>
        <v>22540273.865937416</v>
      </c>
      <c r="P30" s="2">
        <f>标准城池设计!AF26*$B$10/G$14*$C$5*G$7</f>
        <v>25639482.64086812</v>
      </c>
      <c r="Q30" s="2">
        <f t="shared" si="4"/>
        <v>2563.9482640868118</v>
      </c>
      <c r="U30" s="2">
        <v>23</v>
      </c>
      <c r="V30" s="2">
        <f>其他调用!R27*6*其他调用!BM27*$B$10/C$15*$C$5*C$8/3</f>
        <v>0</v>
      </c>
      <c r="W30" s="2">
        <f>其他调用!S27*6*其他调用!BN27*$B$10/D$15*$C$5*D$8/3</f>
        <v>387752.33359499834</v>
      </c>
      <c r="X30" s="2">
        <f>其他调用!T27*6*其他调用!BO27*$B$10/E$15*$C$5*E$8/3</f>
        <v>945495.90062675299</v>
      </c>
      <c r="Y30" s="2">
        <f>其他调用!U27*6*其他调用!BP27*$B$10/F$15*$C$5*F$8/3</f>
        <v>2407708.3667955287</v>
      </c>
      <c r="Z30" s="2">
        <f>其他调用!V27*6*其他调用!BQ27*$B$10/G$15*$C$5*G$8/3</f>
        <v>4086104.1977377781</v>
      </c>
      <c r="AA30" s="2">
        <f t="shared" si="5"/>
        <v>408.61041977377783</v>
      </c>
      <c r="AE30" s="2">
        <v>23</v>
      </c>
      <c r="AF30" s="2">
        <f>L30/IFERROR(INDEX($C$22:$C$35,MATCH(节奏总纲!D26,$B$22:$B$35,1)),MIN($C$22:$C$35))*IFERROR(INDEX($D$22:$D$35,MATCH(节奏总纲!D26,$B$22:$B$35,1)),MIN($D$22:$D$35))</f>
        <v>7981.0732383674813</v>
      </c>
      <c r="AG30" s="2">
        <f>M30/IFERROR(INDEX($C$22:$C$35,MATCH(节奏总纲!E26,$B$22:$B$35,1)),MIN($C$22:$C$35))*IFERROR(INDEX($D$22:$D$35,MATCH(节奏总纲!E26,$B$22:$B$35,1)),MIN($D$22:$D$35))</f>
        <v>8522.89290699091</v>
      </c>
      <c r="AH30" s="2">
        <f>N30/IFERROR(INDEX($C$22:$C$35,MATCH(节奏总纲!F26,$B$22:$B$35,1)),MIN($C$22:$C$35))*IFERROR(INDEX($D$22:$D$35,MATCH(节奏总纲!F26,$B$22:$B$35,1)),MIN($D$22:$D$35))</f>
        <v>9260.7297950713273</v>
      </c>
      <c r="AI30" s="2">
        <f>O30/IFERROR(INDEX($C$22:$C$35,MATCH(节奏总纲!G26,$B$22:$B$35,1)),MIN($C$22:$C$35))*IFERROR(INDEX($D$22:$D$35,MATCH(节奏总纲!G26,$B$22:$B$35,1)),MIN($D$22:$D$35))</f>
        <v>9016.1095463749662</v>
      </c>
      <c r="AJ30" s="2">
        <f>P30/IFERROR(INDEX($C$22:$C$35,MATCH(节奏总纲!H26,$B$22:$B$35,1)),MIN($C$22:$C$35))*IFERROR(INDEX($D$22:$D$35,MATCH(节奏总纲!H26,$B$22:$B$35,1)),MIN($D$22:$D$35))</f>
        <v>10255.793056347247</v>
      </c>
      <c r="AK30" s="2">
        <f>V30/IFERROR(INDEX($E$22:$E$35,MATCH(节奏总纲!D26,$B$22:$B$35,1)),MIN($E$22:$E$35))*IFERROR(INDEX($F$22:$F$35,MATCH(节奏总纲!D26,$B$22:$B$35,1)),MIN($F$22:$F$35))</f>
        <v>0</v>
      </c>
      <c r="AL30" s="2">
        <f>W30/IFERROR(INDEX($E$22:$E$35,MATCH(节奏总纲!E26,$B$22:$B$35,1)),MIN($E$22:$E$35))*IFERROR(INDEX($F$22:$F$35,MATCH(节奏总纲!E26,$B$22:$B$35,1)),MIN($F$22:$F$35))</f>
        <v>5965.4205168461285</v>
      </c>
      <c r="AM30" s="2">
        <f>X30/IFERROR(INDEX($E$22:$E$35,MATCH(节奏总纲!F26,$B$22:$B$35,1)),MIN($E$22:$E$35))*IFERROR(INDEX($F$22:$F$35,MATCH(节奏总纲!F26,$B$22:$B$35,1)),MIN($F$22:$F$35))</f>
        <v>14546.090778873124</v>
      </c>
      <c r="AN30" s="2">
        <f>Y30/IFERROR(INDEX($E$22:$E$35,MATCH(节奏总纲!G26,$B$22:$B$35,1)),MIN($E$22:$E$35))*IFERROR(INDEX($F$22:$F$35,MATCH(节奏总纲!G26,$B$22:$B$35,1)),MIN($F$22:$F$35))</f>
        <v>37041.667181469675</v>
      </c>
      <c r="AO30" s="2">
        <f>Z30/IFERROR(INDEX($E$22:$E$35,MATCH(节奏总纲!H26,$B$22:$B$35,1)),MIN($E$22:$E$35))*IFERROR(INDEX($F$22:$F$35,MATCH(节奏总纲!H26,$B$22:$B$35,1)),MIN($F$22:$F$35))</f>
        <v>62863.141503658124</v>
      </c>
      <c r="AQ30" s="2">
        <v>23</v>
      </c>
      <c r="AR30" s="2">
        <f t="shared" si="6"/>
        <v>7981.0732383674813</v>
      </c>
      <c r="AS30" s="2">
        <f t="shared" si="7"/>
        <v>14488.313423837038</v>
      </c>
      <c r="AT30" s="2">
        <f t="shared" si="8"/>
        <v>23806.820573944453</v>
      </c>
      <c r="AU30" s="2">
        <f t="shared" si="9"/>
        <v>46057.776727844641</v>
      </c>
      <c r="AV30" s="2">
        <f t="shared" si="10"/>
        <v>73118.934560005378</v>
      </c>
      <c r="AX30" s="41">
        <f t="shared" si="11"/>
        <v>0</v>
      </c>
      <c r="AY30" s="41">
        <f t="shared" si="12"/>
        <v>0.41174016204201258</v>
      </c>
      <c r="AZ30" s="41">
        <f t="shared" si="13"/>
        <v>0.61100518373264834</v>
      </c>
      <c r="BA30" s="41">
        <f t="shared" si="14"/>
        <v>0.80424349182872745</v>
      </c>
      <c r="BB30" s="41">
        <f t="shared" si="15"/>
        <v>0.85973820436441406</v>
      </c>
      <c r="BD30" s="2" t="e">
        <f t="shared" si="16"/>
        <v>#DIV/0!</v>
      </c>
      <c r="BE30" s="2">
        <f t="shared" si="17"/>
        <v>6.2993616413479625</v>
      </c>
      <c r="BF30" s="2">
        <f t="shared" si="18"/>
        <v>6.2829133775676009</v>
      </c>
      <c r="BG30" s="2">
        <f t="shared" si="19"/>
        <v>6.162580488448488</v>
      </c>
      <c r="BH30" s="2">
        <f t="shared" si="20"/>
        <v>6.1295251530794603</v>
      </c>
    </row>
    <row r="31" spans="1:60" x14ac:dyDescent="0.2">
      <c r="B31" s="2">
        <f t="shared" ref="B31:B34" si="22">B30*2</f>
        <v>4320</v>
      </c>
      <c r="C31" s="2">
        <v>9200</v>
      </c>
      <c r="D31" s="2">
        <v>1</v>
      </c>
      <c r="E31" s="2">
        <v>120</v>
      </c>
      <c r="F31" s="2">
        <v>1</v>
      </c>
      <c r="G31" s="2">
        <f t="shared" si="21"/>
        <v>76.666666666666671</v>
      </c>
      <c r="K31" s="2">
        <v>24</v>
      </c>
      <c r="L31" s="2">
        <f>标准城池设计!AB27*$B$10/C$14*$C$5*C$7</f>
        <v>20403424.022506766</v>
      </c>
      <c r="M31" s="2">
        <f>标准城池设计!AC27*$B$10/D$14*$C$5*D$7</f>
        <v>21800316.769761544</v>
      </c>
      <c r="N31" s="2">
        <f>标准城池设计!AD27*$B$10/E$14*$C$5*E$7</f>
        <v>23732403.793825582</v>
      </c>
      <c r="O31" s="2">
        <f>标准城池设计!AE27*$B$10/F$14*$C$5*F$7</f>
        <v>23178938.290439174</v>
      </c>
      <c r="P31" s="2">
        <f>标准城池设计!AF27*$B$10/G$14*$C$5*G$7</f>
        <v>26374815.666023917</v>
      </c>
      <c r="Q31" s="2">
        <f t="shared" si="4"/>
        <v>2637.4815666023919</v>
      </c>
      <c r="U31" s="2">
        <v>24</v>
      </c>
      <c r="V31" s="2">
        <f>其他调用!R28*6*其他调用!BM28*$B$10/C$15*$C$5*C$8/3</f>
        <v>0</v>
      </c>
      <c r="W31" s="2">
        <f>其他调用!S28*6*其他调用!BN28*$B$10/D$15*$C$5*D$8/3</f>
        <v>395996.74241463252</v>
      </c>
      <c r="X31" s="2">
        <f>其他调用!T28*6*其他调用!BO28*$B$10/E$15*$C$5*E$8/3</f>
        <v>966059.84377340507</v>
      </c>
      <c r="Y31" s="2">
        <f>其他调用!U28*6*其他调用!BP28*$B$10/F$15*$C$5*F$8/3</f>
        <v>2457553.7140663504</v>
      </c>
      <c r="Z31" s="2">
        <f>其他调用!V28*6*其他调用!BQ28*$B$10/G$15*$C$5*G$8/3</f>
        <v>4173109.7325639767</v>
      </c>
      <c r="AA31" s="2">
        <f t="shared" si="5"/>
        <v>417.31097325639769</v>
      </c>
      <c r="AE31" s="2">
        <v>24</v>
      </c>
      <c r="AF31" s="2">
        <f>L31/IFERROR(INDEX($C$22:$C$35,MATCH(节奏总纲!D27,$B$22:$B$35,1)),MIN($C$22:$C$35))*IFERROR(INDEX($D$22:$D$35,MATCH(节奏总纲!D27,$B$22:$B$35,1)),MIN($D$22:$D$35))</f>
        <v>8161.3696090027061</v>
      </c>
      <c r="AG31" s="2">
        <f>M31/IFERROR(INDEX($C$22:$C$35,MATCH(节奏总纲!E27,$B$22:$B$35,1)),MIN($C$22:$C$35))*IFERROR(INDEX($D$22:$D$35,MATCH(节奏总纲!E27,$B$22:$B$35,1)),MIN($D$22:$D$35))</f>
        <v>8720.1267079046174</v>
      </c>
      <c r="AH31" s="2">
        <f>N31/IFERROR(INDEX($C$22:$C$35,MATCH(节奏总纲!F27,$B$22:$B$35,1)),MIN($C$22:$C$35))*IFERROR(INDEX($D$22:$D$35,MATCH(节奏总纲!F27,$B$22:$B$35,1)),MIN($D$22:$D$35))</f>
        <v>9492.9615175302333</v>
      </c>
      <c r="AI31" s="2">
        <f>O31/IFERROR(INDEX($C$22:$C$35,MATCH(节奏总纲!G27,$B$22:$B$35,1)),MIN($C$22:$C$35))*IFERROR(INDEX($D$22:$D$35,MATCH(节奏总纲!G27,$B$22:$B$35,1)),MIN($D$22:$D$35))</f>
        <v>9271.5753161756693</v>
      </c>
      <c r="AJ31" s="2">
        <f>P31/IFERROR(INDEX($C$22:$C$35,MATCH(节奏总纲!H27,$B$22:$B$35,1)),MIN($C$22:$C$35))*IFERROR(INDEX($D$22:$D$35,MATCH(节奏总纲!H27,$B$22:$B$35,1)),MIN($D$22:$D$35))</f>
        <v>10549.926266409568</v>
      </c>
      <c r="AK31" s="2">
        <f>V31/IFERROR(INDEX($E$22:$E$35,MATCH(节奏总纲!D27,$B$22:$B$35,1)),MIN($E$22:$E$35))*IFERROR(INDEX($F$22:$F$35,MATCH(节奏总纲!D27,$B$22:$B$35,1)),MIN($F$22:$F$35))</f>
        <v>0</v>
      </c>
      <c r="AL31" s="2">
        <f>W31/IFERROR(INDEX($E$22:$E$35,MATCH(节奏总纲!E27,$B$22:$B$35,1)),MIN($E$22:$E$35))*IFERROR(INDEX($F$22:$F$35,MATCH(节奏总纲!E27,$B$22:$B$35,1)),MIN($F$22:$F$35))</f>
        <v>6092.2575756097312</v>
      </c>
      <c r="AM31" s="2">
        <f>X31/IFERROR(INDEX($E$22:$E$35,MATCH(节奏总纲!F27,$B$22:$B$35,1)),MIN($E$22:$E$35))*IFERROR(INDEX($F$22:$F$35,MATCH(节奏总纲!F27,$B$22:$B$35,1)),MIN($F$22:$F$35))</f>
        <v>14862.459134975463</v>
      </c>
      <c r="AN31" s="2">
        <f>Y31/IFERROR(INDEX($E$22:$E$35,MATCH(节奏总纲!G27,$B$22:$B$35,1)),MIN($E$22:$E$35))*IFERROR(INDEX($F$22:$F$35,MATCH(节奏总纲!G27,$B$22:$B$35,1)),MIN($F$22:$F$35))</f>
        <v>37808.518677943852</v>
      </c>
      <c r="AO31" s="2">
        <f>Z31/IFERROR(INDEX($E$22:$E$35,MATCH(节奏总纲!H27,$B$22:$B$35,1)),MIN($E$22:$E$35))*IFERROR(INDEX($F$22:$F$35,MATCH(节奏总纲!H27,$B$22:$B$35,1)),MIN($F$22:$F$35))</f>
        <v>64201.68819329195</v>
      </c>
      <c r="AQ31" s="2">
        <v>24</v>
      </c>
      <c r="AR31" s="2">
        <f t="shared" si="6"/>
        <v>8161.3696090027061</v>
      </c>
      <c r="AS31" s="2">
        <f t="shared" si="7"/>
        <v>14812.384283514348</v>
      </c>
      <c r="AT31" s="2">
        <f t="shared" si="8"/>
        <v>24355.420652505694</v>
      </c>
      <c r="AU31" s="2">
        <f t="shared" si="9"/>
        <v>47080.093994119525</v>
      </c>
      <c r="AV31" s="2">
        <f t="shared" si="10"/>
        <v>74751.614459701523</v>
      </c>
      <c r="AX31" s="41">
        <f t="shared" si="11"/>
        <v>0</v>
      </c>
      <c r="AY31" s="41">
        <f t="shared" si="12"/>
        <v>0.41129486374386026</v>
      </c>
      <c r="AZ31" s="41">
        <f t="shared" si="13"/>
        <v>0.61023208537547502</v>
      </c>
      <c r="BA31" s="41">
        <f t="shared" si="14"/>
        <v>0.80306803726148623</v>
      </c>
      <c r="BB31" s="41">
        <f t="shared" si="15"/>
        <v>0.85886691086656031</v>
      </c>
      <c r="BD31" s="2" t="e">
        <f t="shared" si="16"/>
        <v>#DIV/0!</v>
      </c>
      <c r="BE31" s="2">
        <f t="shared" si="17"/>
        <v>6.2877891591626796</v>
      </c>
      <c r="BF31" s="2">
        <f t="shared" si="18"/>
        <v>6.2625173851298639</v>
      </c>
      <c r="BG31" s="2">
        <f t="shared" si="19"/>
        <v>6.1168438030128209</v>
      </c>
      <c r="BH31" s="2">
        <f t="shared" si="20"/>
        <v>6.0855106066197715</v>
      </c>
    </row>
    <row r="32" spans="1:60" x14ac:dyDescent="0.2">
      <c r="B32" s="2">
        <f t="shared" si="22"/>
        <v>8640</v>
      </c>
      <c r="C32" s="2">
        <v>10400</v>
      </c>
      <c r="D32" s="2">
        <v>1</v>
      </c>
      <c r="E32" s="2">
        <v>120</v>
      </c>
      <c r="F32" s="2">
        <v>1</v>
      </c>
      <c r="G32" s="2">
        <f t="shared" si="21"/>
        <v>86.666666666666671</v>
      </c>
      <c r="K32" s="2">
        <v>25</v>
      </c>
      <c r="L32" s="2">
        <f>标准城池设计!AB28*$B$10/C$14*$C$5*C$7</f>
        <v>20867741.735451683</v>
      </c>
      <c r="M32" s="2">
        <f>标准城池设计!AC28*$B$10/D$14*$C$5*D$7</f>
        <v>22306364.254072364</v>
      </c>
      <c r="N32" s="2">
        <f>标准城池设计!AD28*$B$10/E$14*$C$5*E$7</f>
        <v>24322475.801102757</v>
      </c>
      <c r="O32" s="2">
        <f>标准城池设计!AE28*$B$10/F$14*$C$5*F$7</f>
        <v>23831774.774938822</v>
      </c>
      <c r="P32" s="2">
        <f>标准城池设计!AF28*$B$10/G$14*$C$5*G$7</f>
        <v>27124480.629642189</v>
      </c>
      <c r="Q32" s="2">
        <f t="shared" si="4"/>
        <v>2712.4480629642189</v>
      </c>
      <c r="U32" s="2">
        <v>25</v>
      </c>
      <c r="V32" s="2">
        <f>其他调用!R29*6*其他调用!BM29*$B$10/C$15*$C$5*C$8/3</f>
        <v>0</v>
      </c>
      <c r="W32" s="2">
        <f>其他调用!S29*6*其他调用!BN29*$B$10/D$15*$C$5*D$8/3</f>
        <v>404240.73083098419</v>
      </c>
      <c r="X32" s="2">
        <f>其他调用!T29*6*其他调用!BO29*$B$10/E$15*$C$5*E$8/3</f>
        <v>985598.19893677288</v>
      </c>
      <c r="Y32" s="2">
        <f>其他调用!U29*6*其他调用!BP29*$B$10/F$15*$C$5*F$8/3</f>
        <v>2508467.9968577935</v>
      </c>
      <c r="Z32" s="2">
        <f>其他调用!V29*6*其他调用!BQ29*$B$10/G$15*$C$5*G$8/3</f>
        <v>4253312.8115697959</v>
      </c>
      <c r="AA32" s="2">
        <f t="shared" si="5"/>
        <v>425.33128115697957</v>
      </c>
      <c r="AE32" s="2">
        <v>25</v>
      </c>
      <c r="AF32" s="2">
        <f>L32/IFERROR(INDEX($C$22:$C$35,MATCH(节奏总纲!D28,$B$22:$B$35,1)),MIN($C$22:$C$35))*IFERROR(INDEX($D$22:$D$35,MATCH(节奏总纲!D28,$B$22:$B$35,1)),MIN($D$22:$D$35))</f>
        <v>8347.0966941806728</v>
      </c>
      <c r="AG32" s="2">
        <f>M32/IFERROR(INDEX($C$22:$C$35,MATCH(节奏总纲!E28,$B$22:$B$35,1)),MIN($C$22:$C$35))*IFERROR(INDEX($D$22:$D$35,MATCH(节奏总纲!E28,$B$22:$B$35,1)),MIN($D$22:$D$35))</f>
        <v>8922.5457016289456</v>
      </c>
      <c r="AH32" s="2">
        <f>N32/IFERROR(INDEX($C$22:$C$35,MATCH(节奏总纲!F28,$B$22:$B$35,1)),MIN($C$22:$C$35))*IFERROR(INDEX($D$22:$D$35,MATCH(节奏总纲!F28,$B$22:$B$35,1)),MIN($D$22:$D$35))</f>
        <v>9728.9903204411021</v>
      </c>
      <c r="AI32" s="2">
        <f>O32/IFERROR(INDEX($C$22:$C$35,MATCH(节奏总纲!G28,$B$22:$B$35,1)),MIN($C$22:$C$35))*IFERROR(INDEX($D$22:$D$35,MATCH(节奏总纲!G28,$B$22:$B$35,1)),MIN($D$22:$D$35))</f>
        <v>9532.7099099755287</v>
      </c>
      <c r="AJ32" s="2">
        <f>P32/IFERROR(INDEX($C$22:$C$35,MATCH(节奏总纲!H28,$B$22:$B$35,1)),MIN($C$22:$C$35))*IFERROR(INDEX($D$22:$D$35,MATCH(节奏总纲!H28,$B$22:$B$35,1)),MIN($D$22:$D$35))</f>
        <v>10849.792251856876</v>
      </c>
      <c r="AK32" s="2">
        <f>V32/IFERROR(INDEX($E$22:$E$35,MATCH(节奏总纲!D28,$B$22:$B$35,1)),MIN($E$22:$E$35))*IFERROR(INDEX($F$22:$F$35,MATCH(节奏总纲!D28,$B$22:$B$35,1)),MIN($F$22:$F$35))</f>
        <v>0</v>
      </c>
      <c r="AL32" s="2">
        <f>W32/IFERROR(INDEX($E$22:$E$35,MATCH(节奏总纲!E28,$B$22:$B$35,1)),MIN($E$22:$E$35))*IFERROR(INDEX($F$22:$F$35,MATCH(节奏总纲!E28,$B$22:$B$35,1)),MIN($F$22:$F$35))</f>
        <v>6219.0881666305258</v>
      </c>
      <c r="AM32" s="2">
        <f>X32/IFERROR(INDEX($E$22:$E$35,MATCH(节奏总纲!F28,$B$22:$B$35,1)),MIN($E$22:$E$35))*IFERROR(INDEX($F$22:$F$35,MATCH(节奏总纲!F28,$B$22:$B$35,1)),MIN($F$22:$F$35))</f>
        <v>15163.049214411891</v>
      </c>
      <c r="AN32" s="2">
        <f>Y32/IFERROR(INDEX($E$22:$E$35,MATCH(节奏总纲!G28,$B$22:$B$35,1)),MIN($E$22:$E$35))*IFERROR(INDEX($F$22:$F$35,MATCH(节奏总纲!G28,$B$22:$B$35,1)),MIN($F$22:$F$35))</f>
        <v>38591.81533627375</v>
      </c>
      <c r="AO32" s="2">
        <f>Z32/IFERROR(INDEX($E$22:$E$35,MATCH(节奏总纲!H28,$B$22:$B$35,1)),MIN($E$22:$E$35))*IFERROR(INDEX($F$22:$F$35,MATCH(节奏总纲!H28,$B$22:$B$35,1)),MIN($F$22:$F$35))</f>
        <v>65435.5817164584</v>
      </c>
      <c r="AQ32" s="2">
        <v>25</v>
      </c>
      <c r="AR32" s="2">
        <f t="shared" si="6"/>
        <v>8347.0966941806728</v>
      </c>
      <c r="AS32" s="2">
        <f t="shared" si="7"/>
        <v>15141.633868259472</v>
      </c>
      <c r="AT32" s="2">
        <f t="shared" si="8"/>
        <v>24892.039534852993</v>
      </c>
      <c r="AU32" s="2">
        <f t="shared" si="9"/>
        <v>48124.525246249279</v>
      </c>
      <c r="AV32" s="2">
        <f t="shared" si="10"/>
        <v>76285.373968315282</v>
      </c>
      <c r="AX32" s="41">
        <f t="shared" si="11"/>
        <v>0</v>
      </c>
      <c r="AY32" s="41">
        <f t="shared" si="12"/>
        <v>0.41072768109042967</v>
      </c>
      <c r="AZ32" s="41">
        <f t="shared" si="13"/>
        <v>0.60915254425741616</v>
      </c>
      <c r="BA32" s="41">
        <f t="shared" si="14"/>
        <v>0.80191576205276982</v>
      </c>
      <c r="BB32" s="41">
        <f t="shared" si="15"/>
        <v>0.85777362438619909</v>
      </c>
      <c r="BD32" s="2" t="e">
        <f t="shared" si="16"/>
        <v>#DIV/0!</v>
      </c>
      <c r="BE32" s="2">
        <f t="shared" si="17"/>
        <v>6.2730744533430913</v>
      </c>
      <c r="BF32" s="2">
        <f t="shared" si="18"/>
        <v>6.2341717752780816</v>
      </c>
      <c r="BG32" s="2">
        <f t="shared" si="19"/>
        <v>6.0725358844533668</v>
      </c>
      <c r="BH32" s="2">
        <f t="shared" si="20"/>
        <v>6.031044668644185</v>
      </c>
    </row>
    <row r="33" spans="2:60" x14ac:dyDescent="0.2">
      <c r="B33" s="2">
        <f t="shared" si="22"/>
        <v>17280</v>
      </c>
      <c r="C33" s="2">
        <v>11000</v>
      </c>
      <c r="D33" s="2">
        <v>1</v>
      </c>
      <c r="E33" s="2">
        <v>120</v>
      </c>
      <c r="F33" s="2">
        <v>1</v>
      </c>
      <c r="G33" s="2">
        <f t="shared" si="21"/>
        <v>91.666666666666671</v>
      </c>
      <c r="K33" s="2">
        <v>26</v>
      </c>
      <c r="L33" s="2">
        <f>标准城池设计!AB29*$B$10/C$14*$C$5*C$7</f>
        <v>21294811.710458145</v>
      </c>
      <c r="M33" s="2">
        <f>标准城池设计!AC29*$B$10/D$14*$C$5*D$7</f>
        <v>22826525.066978499</v>
      </c>
      <c r="N33" s="2">
        <f>标准城池设计!AD29*$B$10/E$14*$C$5*E$7</f>
        <v>24906309.486233547</v>
      </c>
      <c r="O33" s="2">
        <f>标准城池设计!AE29*$B$10/F$14*$C$5*F$7</f>
        <v>24499530.931338739</v>
      </c>
      <c r="P33" s="2">
        <f>标准城池设计!AF29*$B$10/G$14*$C$5*G$7</f>
        <v>27891870.696236189</v>
      </c>
      <c r="Q33" s="2">
        <f t="shared" si="4"/>
        <v>2789.1870696236188</v>
      </c>
      <c r="U33" s="2">
        <v>26</v>
      </c>
      <c r="V33" s="2">
        <f>其他调用!R30*6*其他调用!BM30*$B$10/C$15*$C$5*C$8/3</f>
        <v>0</v>
      </c>
      <c r="W33" s="2">
        <f>其他调用!S30*6*其他调用!BN30*$B$10/D$15*$C$5*D$8/3</f>
        <v>412310.93026588339</v>
      </c>
      <c r="X33" s="2">
        <f>其他调用!T30*6*其他调用!BO30*$B$10/E$15*$C$5*E$8/3</f>
        <v>1005312.7584376489</v>
      </c>
      <c r="Y33" s="2">
        <f>其他调用!U30*6*其他调用!BP30*$B$10/F$15*$C$5*F$8/3</f>
        <v>2555881.7009137236</v>
      </c>
      <c r="Z33" s="2">
        <f>其他调用!V30*6*其他调用!BQ30*$B$10/G$15*$C$5*G$8/3</f>
        <v>4336873.6243597791</v>
      </c>
      <c r="AA33" s="2">
        <f t="shared" si="5"/>
        <v>433.68736243597789</v>
      </c>
      <c r="AE33" s="2">
        <v>26</v>
      </c>
      <c r="AF33" s="2">
        <f>L33/IFERROR(INDEX($C$22:$C$35,MATCH(节奏总纲!D29,$B$22:$B$35,1)),MIN($C$22:$C$35))*IFERROR(INDEX($D$22:$D$35,MATCH(节奏总纲!D29,$B$22:$B$35,1)),MIN($D$22:$D$35))</f>
        <v>8517.9246841832573</v>
      </c>
      <c r="AG33" s="2">
        <f>M33/IFERROR(INDEX($C$22:$C$35,MATCH(节奏总纲!E29,$B$22:$B$35,1)),MIN($C$22:$C$35))*IFERROR(INDEX($D$22:$D$35,MATCH(节奏总纲!E29,$B$22:$B$35,1)),MIN($D$22:$D$35))</f>
        <v>9130.6100267913989</v>
      </c>
      <c r="AH33" s="2">
        <f>N33/IFERROR(INDEX($C$22:$C$35,MATCH(节奏总纲!F29,$B$22:$B$35,1)),MIN($C$22:$C$35))*IFERROR(INDEX($D$22:$D$35,MATCH(节奏总纲!F29,$B$22:$B$35,1)),MIN($D$22:$D$35))</f>
        <v>9962.5237944934197</v>
      </c>
      <c r="AI33" s="2">
        <f>O33/IFERROR(INDEX($C$22:$C$35,MATCH(节奏总纲!G29,$B$22:$B$35,1)),MIN($C$22:$C$35))*IFERROR(INDEX($D$22:$D$35,MATCH(节奏总纲!G29,$B$22:$B$35,1)),MIN($D$22:$D$35))</f>
        <v>9799.8123725354963</v>
      </c>
      <c r="AJ33" s="2">
        <f>P33/IFERROR(INDEX($C$22:$C$35,MATCH(节奏总纲!H29,$B$22:$B$35,1)),MIN($C$22:$C$35))*IFERROR(INDEX($D$22:$D$35,MATCH(节奏总纲!H29,$B$22:$B$35,1)),MIN($D$22:$D$35))</f>
        <v>11156.748278494475</v>
      </c>
      <c r="AK33" s="2">
        <f>V33/IFERROR(INDEX($E$22:$E$35,MATCH(节奏总纲!D29,$B$22:$B$35,1)),MIN($E$22:$E$35))*IFERROR(INDEX($F$22:$F$35,MATCH(节奏总纲!D29,$B$22:$B$35,1)),MIN($F$22:$F$35))</f>
        <v>0</v>
      </c>
      <c r="AL33" s="2">
        <f>W33/IFERROR(INDEX($E$22:$E$35,MATCH(节奏总纲!E29,$B$22:$B$35,1)),MIN($E$22:$E$35))*IFERROR(INDEX($F$22:$F$35,MATCH(节奏总纲!E29,$B$22:$B$35,1)),MIN($F$22:$F$35))</f>
        <v>6343.2450810135906</v>
      </c>
      <c r="AM33" s="2">
        <f>X33/IFERROR(INDEX($E$22:$E$35,MATCH(节奏总纲!F29,$B$22:$B$35,1)),MIN($E$22:$E$35))*IFERROR(INDEX($F$22:$F$35,MATCH(节奏总纲!F29,$B$22:$B$35,1)),MIN($F$22:$F$35))</f>
        <v>15466.350129809984</v>
      </c>
      <c r="AN33" s="2">
        <f>Y33/IFERROR(INDEX($E$22:$E$35,MATCH(节奏总纲!G29,$B$22:$B$35,1)),MIN($E$22:$E$35))*IFERROR(INDEX($F$22:$F$35,MATCH(节奏总纲!G29,$B$22:$B$35,1)),MIN($F$22:$F$35))</f>
        <v>39321.256937134211</v>
      </c>
      <c r="AO33" s="2">
        <f>Z33/IFERROR(INDEX($E$22:$E$35,MATCH(节奏总纲!H29,$B$22:$B$35,1)),MIN($E$22:$E$35))*IFERROR(INDEX($F$22:$F$35,MATCH(节奏总纲!H29,$B$22:$B$35,1)),MIN($F$22:$F$35))</f>
        <v>66721.132682458134</v>
      </c>
      <c r="AQ33" s="2">
        <v>26</v>
      </c>
      <c r="AR33" s="2">
        <f t="shared" si="6"/>
        <v>8517.9246841832573</v>
      </c>
      <c r="AS33" s="2">
        <f t="shared" si="7"/>
        <v>15473.85510780499</v>
      </c>
      <c r="AT33" s="2">
        <f t="shared" si="8"/>
        <v>25428.873924303403</v>
      </c>
      <c r="AU33" s="2">
        <f t="shared" si="9"/>
        <v>49121.069309669707</v>
      </c>
      <c r="AV33" s="2">
        <f t="shared" si="10"/>
        <v>77877.880960952607</v>
      </c>
      <c r="AX33" s="41">
        <f t="shared" si="11"/>
        <v>0</v>
      </c>
      <c r="AY33" s="41">
        <f t="shared" si="12"/>
        <v>0.40993307981887894</v>
      </c>
      <c r="AZ33" s="41">
        <f t="shared" si="13"/>
        <v>0.60822001697165862</v>
      </c>
      <c r="BA33" s="41">
        <f t="shared" si="14"/>
        <v>0.80049676217845778</v>
      </c>
      <c r="BB33" s="41">
        <f t="shared" si="15"/>
        <v>0.85674047443473222</v>
      </c>
      <c r="BD33" s="2" t="e">
        <f t="shared" si="16"/>
        <v>#DIV/0!</v>
      </c>
      <c r="BE33" s="2">
        <f t="shared" si="17"/>
        <v>6.2525072872030361</v>
      </c>
      <c r="BF33" s="2">
        <f t="shared" si="18"/>
        <v>6.2098120712579652</v>
      </c>
      <c r="BG33" s="2">
        <f t="shared" si="19"/>
        <v>6.018674966778061</v>
      </c>
      <c r="BH33" s="2">
        <f t="shared" si="20"/>
        <v>5.9803386270772512</v>
      </c>
    </row>
    <row r="34" spans="2:60" x14ac:dyDescent="0.2">
      <c r="B34" s="2">
        <f t="shared" si="22"/>
        <v>34560</v>
      </c>
      <c r="C34" s="2">
        <v>11000</v>
      </c>
      <c r="D34" s="2">
        <v>1</v>
      </c>
      <c r="E34" s="2">
        <v>120</v>
      </c>
      <c r="F34" s="2">
        <v>1</v>
      </c>
      <c r="G34" s="2">
        <f t="shared" si="21"/>
        <v>91.666666666666671</v>
      </c>
      <c r="K34" s="2">
        <v>27</v>
      </c>
      <c r="L34" s="2">
        <f>标准城池设计!AB30*$B$10/C$14*$C$5*C$7</f>
        <v>23384723.305455487</v>
      </c>
      <c r="M34" s="2">
        <f>标准城池设计!AC30*$B$10/D$14*$C$5*D$7</f>
        <v>25203189.045163393</v>
      </c>
      <c r="N34" s="2">
        <f>标准城池设计!AD30*$B$10/E$14*$C$5*E$7</f>
        <v>27578623.943924204</v>
      </c>
      <c r="O34" s="2">
        <f>标准城池设计!AE30*$B$10/F$14*$C$5*F$7</f>
        <v>27294296.309117977</v>
      </c>
      <c r="P34" s="2">
        <f>标准城池设计!AF30*$B$10/G$14*$C$5*G$7</f>
        <v>31189538.732671183</v>
      </c>
      <c r="Q34" s="2">
        <f t="shared" si="4"/>
        <v>3118.9538732671181</v>
      </c>
      <c r="U34" s="2">
        <v>27</v>
      </c>
      <c r="V34" s="2">
        <f>其他调用!R31*6*其他调用!BM31*$B$10/C$15*$C$5*C$8/3</f>
        <v>0</v>
      </c>
      <c r="W34" s="2">
        <f>其他调用!S31*6*其他调用!BN31*$B$10/D$15*$C$5*D$8/3</f>
        <v>420366.36990086082</v>
      </c>
      <c r="X34" s="2">
        <f>其他调用!T31*6*其他调用!BO31*$B$10/E$15*$C$5*E$8/3</f>
        <v>1024552.0300675345</v>
      </c>
      <c r="Y34" s="2">
        <f>其他调用!U31*6*其他调用!BP31*$B$10/F$15*$C$5*F$8/3</f>
        <v>2605086.4266232694</v>
      </c>
      <c r="Z34" s="2">
        <f>其他调用!V31*6*其他调用!BQ31*$B$10/G$15*$C$5*G$8/3</f>
        <v>4416584.7876268551</v>
      </c>
      <c r="AA34" s="2">
        <f t="shared" si="5"/>
        <v>441.65847876268549</v>
      </c>
      <c r="AE34" s="2">
        <v>27</v>
      </c>
      <c r="AF34" s="2">
        <f>L34/IFERROR(INDEX($C$22:$C$35,MATCH(节奏总纲!D30,$B$22:$B$35,1)),MIN($C$22:$C$35))*IFERROR(INDEX($D$22:$D$35,MATCH(节奏总纲!D30,$B$22:$B$35,1)),MIN($D$22:$D$35))</f>
        <v>9353.8893221821945</v>
      </c>
      <c r="AG34" s="2">
        <f>M34/IFERROR(INDEX($C$22:$C$35,MATCH(节奏总纲!E30,$B$22:$B$35,1)),MIN($C$22:$C$35))*IFERROR(INDEX($D$22:$D$35,MATCH(节奏总纲!E30,$B$22:$B$35,1)),MIN($D$22:$D$35))</f>
        <v>10081.275618065358</v>
      </c>
      <c r="AH34" s="2">
        <f>N34/IFERROR(INDEX($C$22:$C$35,MATCH(节奏总纲!F30,$B$22:$B$35,1)),MIN($C$22:$C$35))*IFERROR(INDEX($D$22:$D$35,MATCH(节奏总纲!F30,$B$22:$B$35,1)),MIN($D$22:$D$35))</f>
        <v>11031.449577569681</v>
      </c>
      <c r="AI34" s="2">
        <f>O34/IFERROR(INDEX($C$22:$C$35,MATCH(节奏总纲!G30,$B$22:$B$35,1)),MIN($C$22:$C$35))*IFERROR(INDEX($D$22:$D$35,MATCH(节奏总纲!G30,$B$22:$B$35,1)),MIN($D$22:$D$35))</f>
        <v>10917.718523647191</v>
      </c>
      <c r="AJ34" s="2">
        <f>P34/IFERROR(INDEX($C$22:$C$35,MATCH(节奏总纲!H30,$B$22:$B$35,1)),MIN($C$22:$C$35))*IFERROR(INDEX($D$22:$D$35,MATCH(节奏总纲!H30,$B$22:$B$35,1)),MIN($D$22:$D$35))</f>
        <v>12475.815493068472</v>
      </c>
      <c r="AK34" s="2">
        <f>V34/IFERROR(INDEX($E$22:$E$35,MATCH(节奏总纲!D30,$B$22:$B$35,1)),MIN($E$22:$E$35))*IFERROR(INDEX($F$22:$F$35,MATCH(节奏总纲!D30,$B$22:$B$35,1)),MIN($F$22:$F$35))</f>
        <v>0</v>
      </c>
      <c r="AL34" s="2">
        <f>W34/IFERROR(INDEX($E$22:$E$35,MATCH(节奏总纲!E30,$B$22:$B$35,1)),MIN($E$22:$E$35))*IFERROR(INDEX($F$22:$F$35,MATCH(节奏总纲!E30,$B$22:$B$35,1)),MIN($F$22:$F$35))</f>
        <v>6467.1749215517048</v>
      </c>
      <c r="AM34" s="2">
        <f>X34/IFERROR(INDEX($E$22:$E$35,MATCH(节奏总纲!F30,$B$22:$B$35,1)),MIN($E$22:$E$35))*IFERROR(INDEX($F$22:$F$35,MATCH(节奏总纲!F30,$B$22:$B$35,1)),MIN($F$22:$F$35))</f>
        <v>15762.338924115917</v>
      </c>
      <c r="AN34" s="2">
        <f>Y34/IFERROR(INDEX($E$22:$E$35,MATCH(节奏总纲!G30,$B$22:$B$35,1)),MIN($E$22:$E$35))*IFERROR(INDEX($F$22:$F$35,MATCH(节奏总纲!G30,$B$22:$B$35,1)),MIN($F$22:$F$35))</f>
        <v>40078.252717281066</v>
      </c>
      <c r="AO34" s="2">
        <f>Z34/IFERROR(INDEX($E$22:$E$35,MATCH(节奏总纲!H30,$B$22:$B$35,1)),MIN($E$22:$E$35))*IFERROR(INDEX($F$22:$F$35,MATCH(节奏总纲!H30,$B$22:$B$35,1)),MIN($F$22:$F$35))</f>
        <v>67947.45827118239</v>
      </c>
      <c r="AQ34" s="2">
        <v>27</v>
      </c>
      <c r="AR34" s="2">
        <f t="shared" si="6"/>
        <v>9353.8893221821945</v>
      </c>
      <c r="AS34" s="2">
        <f t="shared" si="7"/>
        <v>16548.450539617064</v>
      </c>
      <c r="AT34" s="2">
        <f t="shared" si="8"/>
        <v>26793.788501685598</v>
      </c>
      <c r="AU34" s="2">
        <f t="shared" si="9"/>
        <v>50995.971240928258</v>
      </c>
      <c r="AV34" s="2">
        <f t="shared" si="10"/>
        <v>80423.273764250858</v>
      </c>
      <c r="AX34" s="41">
        <f t="shared" si="11"/>
        <v>0</v>
      </c>
      <c r="AY34" s="41">
        <f t="shared" si="12"/>
        <v>0.39080244437805578</v>
      </c>
      <c r="AZ34" s="41">
        <f t="shared" si="13"/>
        <v>0.58828332257397298</v>
      </c>
      <c r="BA34" s="41">
        <f t="shared" si="14"/>
        <v>0.78591017568688115</v>
      </c>
      <c r="BB34" s="41">
        <f t="shared" si="15"/>
        <v>0.8448730708272395</v>
      </c>
      <c r="BD34" s="2" t="e">
        <f t="shared" si="16"/>
        <v>#DIV/0!</v>
      </c>
      <c r="BE34" s="2">
        <f t="shared" si="17"/>
        <v>5.773532685651845</v>
      </c>
      <c r="BF34" s="2">
        <f t="shared" si="18"/>
        <v>5.7154189259643946</v>
      </c>
      <c r="BG34" s="2">
        <f t="shared" si="19"/>
        <v>5.5064049275231444</v>
      </c>
      <c r="BH34" s="2">
        <f t="shared" si="20"/>
        <v>5.4463340139114598</v>
      </c>
    </row>
    <row r="35" spans="2:60" x14ac:dyDescent="0.2">
      <c r="B35" s="2">
        <f>B34*2</f>
        <v>69120</v>
      </c>
      <c r="C35" s="2">
        <v>11000</v>
      </c>
      <c r="D35" s="2">
        <v>1</v>
      </c>
      <c r="E35" s="2">
        <v>120</v>
      </c>
      <c r="F35" s="2">
        <v>1</v>
      </c>
      <c r="G35" s="2">
        <f>C35/E35</f>
        <v>91.666666666666671</v>
      </c>
      <c r="K35" s="2">
        <v>28</v>
      </c>
      <c r="L35" s="2">
        <f>标准城池设计!AB31*$B$10/C$14*$C$5*C$7</f>
        <v>23821816.849961098</v>
      </c>
      <c r="M35" s="2">
        <f>标准城池设计!AC31*$B$10/D$14*$C$5*D$7</f>
        <v>25779780.994465668</v>
      </c>
      <c r="N35" s="2">
        <f>标准城池设计!AD31*$B$10/E$14*$C$5*E$7</f>
        <v>28372745.10221469</v>
      </c>
      <c r="O35" s="2">
        <f>标准城池设计!AE31*$B$10/F$14*$C$5*F$7</f>
        <v>28572701.730910216</v>
      </c>
      <c r="P35" s="2">
        <f>标准城池设计!AF31*$B$10/G$14*$C$5*G$7</f>
        <v>32822036.330171771</v>
      </c>
      <c r="Q35" s="2">
        <f t="shared" si="4"/>
        <v>3282.2036330171773</v>
      </c>
      <c r="U35" s="2">
        <v>28</v>
      </c>
      <c r="V35" s="2">
        <f>其他调用!R32*6*其他调用!BM32*$B$10/C$15*$C$5*C$8/3</f>
        <v>0</v>
      </c>
      <c r="W35" s="2">
        <f>其他调用!S32*6*其他调用!BN32*$B$10/D$15*$C$5*D$8/3</f>
        <v>428357.19150141953</v>
      </c>
      <c r="X35" s="2">
        <f>其他调用!T32*6*其他调用!BO32*$B$10/E$15*$C$5*E$8/3</f>
        <v>1043519.6168139143</v>
      </c>
      <c r="Y35" s="2">
        <f>其他调用!U32*6*其他调用!BP32*$B$10/F$15*$C$5*F$8/3</f>
        <v>2652366.5351125444</v>
      </c>
      <c r="Z35" s="2">
        <f>其他调用!V32*6*其他调用!BQ32*$B$10/G$15*$C$5*G$8/3</f>
        <v>4502453.7788076354</v>
      </c>
      <c r="AA35" s="2">
        <f t="shared" si="5"/>
        <v>450.24537788076356</v>
      </c>
      <c r="AE35" s="2">
        <v>28</v>
      </c>
      <c r="AF35" s="2">
        <f>L35/IFERROR(INDEX($C$22:$C$35,MATCH(节奏总纲!D31,$B$22:$B$35,1)),MIN($C$22:$C$35))*IFERROR(INDEX($D$22:$D$35,MATCH(节奏总纲!D31,$B$22:$B$35,1)),MIN($D$22:$D$35))</f>
        <v>9528.7267399844386</v>
      </c>
      <c r="AG35" s="2">
        <f>M35/IFERROR(INDEX($C$22:$C$35,MATCH(节奏总纲!E31,$B$22:$B$35,1)),MIN($C$22:$C$35))*IFERROR(INDEX($D$22:$D$35,MATCH(节奏总纲!E31,$B$22:$B$35,1)),MIN($D$22:$D$35))</f>
        <v>10311.912397786267</v>
      </c>
      <c r="AH35" s="2">
        <f>N35/IFERROR(INDEX($C$22:$C$35,MATCH(节奏总纲!F31,$B$22:$B$35,1)),MIN($C$22:$C$35))*IFERROR(INDEX($D$22:$D$35,MATCH(节奏总纲!F31,$B$22:$B$35,1)),MIN($D$22:$D$35))</f>
        <v>11349.098040885876</v>
      </c>
      <c r="AI35" s="2">
        <f>O35/IFERROR(INDEX($C$22:$C$35,MATCH(节奏总纲!G31,$B$22:$B$35,1)),MIN($C$22:$C$35))*IFERROR(INDEX($D$22:$D$35,MATCH(节奏总纲!G31,$B$22:$B$35,1)),MIN($D$22:$D$35))</f>
        <v>11429.080692364087</v>
      </c>
      <c r="AJ35" s="2">
        <f>P35/IFERROR(INDEX($C$22:$C$35,MATCH(节奏总纲!H31,$B$22:$B$35,1)),MIN($C$22:$C$35))*IFERROR(INDEX($D$22:$D$35,MATCH(节奏总纲!H31,$B$22:$B$35,1)),MIN($D$22:$D$35))</f>
        <v>13128.814532068709</v>
      </c>
      <c r="AK35" s="2">
        <f>V35/IFERROR(INDEX($E$22:$E$35,MATCH(节奏总纲!D31,$B$22:$B$35,1)),MIN($E$22:$E$35))*IFERROR(INDEX($F$22:$F$35,MATCH(节奏总纲!D31,$B$22:$B$35,1)),MIN($F$22:$F$35))</f>
        <v>0</v>
      </c>
      <c r="AL35" s="2">
        <f>W35/IFERROR(INDEX($E$22:$E$35,MATCH(节奏总纲!E31,$B$22:$B$35,1)),MIN($E$22:$E$35))*IFERROR(INDEX($F$22:$F$35,MATCH(节奏总纲!E31,$B$22:$B$35,1)),MIN($F$22:$F$35))</f>
        <v>6590.1106384833774</v>
      </c>
      <c r="AM35" s="2">
        <f>X35/IFERROR(INDEX($E$22:$E$35,MATCH(节奏总纲!F31,$B$22:$B$35,1)),MIN($E$22:$E$35))*IFERROR(INDEX($F$22:$F$35,MATCH(节奏总纲!F31,$B$22:$B$35,1)),MIN($F$22:$F$35))</f>
        <v>16054.147950983297</v>
      </c>
      <c r="AN35" s="2">
        <f>Y35/IFERROR(INDEX($E$22:$E$35,MATCH(节奏总纲!G31,$B$22:$B$35,1)),MIN($E$22:$E$35))*IFERROR(INDEX($F$22:$F$35,MATCH(节奏总纲!G31,$B$22:$B$35,1)),MIN($F$22:$F$35))</f>
        <v>40805.639001731455</v>
      </c>
      <c r="AO35" s="2">
        <f>Z35/IFERROR(INDEX($E$22:$E$35,MATCH(节奏总纲!H31,$B$22:$B$35,1)),MIN($E$22:$E$35))*IFERROR(INDEX($F$22:$F$35,MATCH(节奏总纲!H31,$B$22:$B$35,1)),MIN($F$22:$F$35))</f>
        <v>69268.519673963616</v>
      </c>
      <c r="AQ35" s="2">
        <v>28</v>
      </c>
      <c r="AR35" s="2">
        <f t="shared" si="6"/>
        <v>9528.7267399844386</v>
      </c>
      <c r="AS35" s="2">
        <f t="shared" si="7"/>
        <v>16902.023036269646</v>
      </c>
      <c r="AT35" s="2">
        <f t="shared" si="8"/>
        <v>27403.245991869175</v>
      </c>
      <c r="AU35" s="2">
        <f t="shared" si="9"/>
        <v>52234.71969409554</v>
      </c>
      <c r="AV35" s="2">
        <f t="shared" si="10"/>
        <v>82397.334206032319</v>
      </c>
      <c r="AX35" s="41">
        <f t="shared" si="11"/>
        <v>0</v>
      </c>
      <c r="AY35" s="41">
        <f t="shared" si="12"/>
        <v>0.38990070149246731</v>
      </c>
      <c r="AZ35" s="41">
        <f t="shared" si="13"/>
        <v>0.58584840481112088</v>
      </c>
      <c r="BA35" s="41">
        <f t="shared" si="14"/>
        <v>0.78119762565403417</v>
      </c>
      <c r="BB35" s="41">
        <f t="shared" si="15"/>
        <v>0.84066457175373588</v>
      </c>
      <c r="BD35" s="2" t="e">
        <f t="shared" si="16"/>
        <v>#DIV/0!</v>
      </c>
      <c r="BE35" s="2">
        <f t="shared" si="17"/>
        <v>5.7516970139392507</v>
      </c>
      <c r="BF35" s="2">
        <f t="shared" si="18"/>
        <v>5.6582991505218025</v>
      </c>
      <c r="BG35" s="2">
        <f t="shared" si="19"/>
        <v>5.3555014747153997</v>
      </c>
      <c r="BH35" s="2">
        <f t="shared" si="20"/>
        <v>5.2760681099399278</v>
      </c>
    </row>
    <row r="36" spans="2:60" x14ac:dyDescent="0.2">
      <c r="K36" s="2">
        <v>29</v>
      </c>
      <c r="L36" s="2">
        <f>标准城池设计!AB32*$B$10/C$14*$C$5*C$7</f>
        <v>24482985.007845905</v>
      </c>
      <c r="M36" s="2">
        <f>标准城池设计!AC32*$B$10/D$14*$C$5*D$7</f>
        <v>26662077.951720394</v>
      </c>
      <c r="N36" s="2">
        <f>标准城池设计!AD32*$B$10/E$14*$C$5*E$7</f>
        <v>29721614.589113235</v>
      </c>
      <c r="O36" s="2">
        <f>标准城池设计!AE32*$B$10/F$14*$C$5*F$7</f>
        <v>30164231.243846212</v>
      </c>
      <c r="P36" s="2">
        <f>标准城池设计!AF32*$B$10/G$14*$C$5*G$7</f>
        <v>34652441.131985769</v>
      </c>
      <c r="Q36" s="2">
        <f t="shared" si="4"/>
        <v>3465.244113198577</v>
      </c>
      <c r="U36" s="2">
        <v>29</v>
      </c>
      <c r="V36" s="2">
        <f>其他调用!R33*6*其他调用!BM33*$B$10/C$15*$C$5*C$8/3</f>
        <v>0</v>
      </c>
      <c r="W36" s="2">
        <f>其他调用!S33*6*其他调用!BN33*$B$10/D$15*$C$5*D$8/3</f>
        <v>436338.2208778786</v>
      </c>
      <c r="X36" s="2">
        <f>其他调用!T33*6*其他调用!BO33*$B$10/E$15*$C$5*E$8/3</f>
        <v>1063369.2901352833</v>
      </c>
      <c r="Y36" s="2">
        <f>其他调用!U33*6*其他调用!BP33*$B$10/F$15*$C$5*F$8/3</f>
        <v>2703939.7486458817</v>
      </c>
      <c r="Z36" s="2">
        <f>其他调用!V33*6*其他调用!BQ33*$B$10/G$15*$C$5*G$8/3</f>
        <v>4586083.3421238391</v>
      </c>
      <c r="AA36" s="2">
        <f t="shared" si="5"/>
        <v>458.60833421238391</v>
      </c>
      <c r="AE36" s="2">
        <v>29</v>
      </c>
      <c r="AF36" s="2">
        <f>L36/IFERROR(INDEX($C$22:$C$35,MATCH(节奏总纲!D32,$B$22:$B$35,1)),MIN($C$22:$C$35))*IFERROR(INDEX($D$22:$D$35,MATCH(节奏总纲!D32,$B$22:$B$35,1)),MIN($D$22:$D$35))</f>
        <v>9793.1940031383619</v>
      </c>
      <c r="AG36" s="2">
        <f>M36/IFERROR(INDEX($C$22:$C$35,MATCH(节奏总纲!E32,$B$22:$B$35,1)),MIN($C$22:$C$35))*IFERROR(INDEX($D$22:$D$35,MATCH(节奏总纲!E32,$B$22:$B$35,1)),MIN($D$22:$D$35))</f>
        <v>10664.831180688157</v>
      </c>
      <c r="AH36" s="2">
        <f>N36/IFERROR(INDEX($C$22:$C$35,MATCH(节奏总纲!F32,$B$22:$B$35,1)),MIN($C$22:$C$35))*IFERROR(INDEX($D$22:$D$35,MATCH(节奏总纲!F32,$B$22:$B$35,1)),MIN($D$22:$D$35))</f>
        <v>11888.645835645295</v>
      </c>
      <c r="AI36" s="2">
        <f>O36/IFERROR(INDEX($C$22:$C$35,MATCH(节奏总纲!G32,$B$22:$B$35,1)),MIN($C$22:$C$35))*IFERROR(INDEX($D$22:$D$35,MATCH(节奏总纲!G32,$B$22:$B$35,1)),MIN($D$22:$D$35))</f>
        <v>12065.692497538485</v>
      </c>
      <c r="AJ36" s="2">
        <f>P36/IFERROR(INDEX($C$22:$C$35,MATCH(节奏总纲!H32,$B$22:$B$35,1)),MIN($C$22:$C$35))*IFERROR(INDEX($D$22:$D$35,MATCH(节奏总纲!H32,$B$22:$B$35,1)),MIN($D$22:$D$35))</f>
        <v>13860.976452794308</v>
      </c>
      <c r="AK36" s="2">
        <f>V36/IFERROR(INDEX($E$22:$E$35,MATCH(节奏总纲!D32,$B$22:$B$35,1)),MIN($E$22:$E$35))*IFERROR(INDEX($F$22:$F$35,MATCH(节奏总纲!D32,$B$22:$B$35,1)),MIN($F$22:$F$35))</f>
        <v>0</v>
      </c>
      <c r="AL36" s="2">
        <f>W36/IFERROR(INDEX($E$22:$E$35,MATCH(节奏总纲!E32,$B$22:$B$35,1)),MIN($E$22:$E$35))*IFERROR(INDEX($F$22:$F$35,MATCH(节奏总纲!E32,$B$22:$B$35,1)),MIN($F$22:$F$35))</f>
        <v>6712.8957058135165</v>
      </c>
      <c r="AM36" s="2">
        <f>X36/IFERROR(INDEX($E$22:$E$35,MATCH(节奏总纲!F32,$B$22:$B$35,1)),MIN($E$22:$E$35))*IFERROR(INDEX($F$22:$F$35,MATCH(节奏总纲!F32,$B$22:$B$35,1)),MIN($F$22:$F$35))</f>
        <v>16359.52754054282</v>
      </c>
      <c r="AN36" s="2">
        <f>Y36/IFERROR(INDEX($E$22:$E$35,MATCH(节奏总纲!G32,$B$22:$B$35,1)),MIN($E$22:$E$35))*IFERROR(INDEX($F$22:$F$35,MATCH(节奏总纲!G32,$B$22:$B$35,1)),MIN($F$22:$F$35))</f>
        <v>41599.073056090485</v>
      </c>
      <c r="AO36" s="2">
        <f>Z36/IFERROR(INDEX($E$22:$E$35,MATCH(节奏总纲!H32,$B$22:$B$35,1)),MIN($E$22:$E$35))*IFERROR(INDEX($F$22:$F$35,MATCH(节奏总纲!H32,$B$22:$B$35,1)),MIN($F$22:$F$35))</f>
        <v>70555.128340366762</v>
      </c>
      <c r="AQ36" s="2">
        <v>29</v>
      </c>
      <c r="AR36" s="2">
        <f t="shared" si="6"/>
        <v>9793.1940031383619</v>
      </c>
      <c r="AS36" s="2">
        <f t="shared" si="7"/>
        <v>17377.726886501674</v>
      </c>
      <c r="AT36" s="2">
        <f t="shared" si="8"/>
        <v>28248.173376188115</v>
      </c>
      <c r="AU36" s="2">
        <f t="shared" si="9"/>
        <v>53664.765553628968</v>
      </c>
      <c r="AV36" s="2">
        <f t="shared" si="10"/>
        <v>84416.104793161066</v>
      </c>
      <c r="AX36" s="41">
        <f t="shared" si="11"/>
        <v>0</v>
      </c>
      <c r="AY36" s="41">
        <f t="shared" si="12"/>
        <v>0.38629308364995807</v>
      </c>
      <c r="AZ36" s="41">
        <f t="shared" si="13"/>
        <v>0.57913576650351251</v>
      </c>
      <c r="BA36" s="41">
        <f t="shared" si="14"/>
        <v>0.77516546707949674</v>
      </c>
      <c r="BB36" s="41">
        <f t="shared" si="15"/>
        <v>0.83580175267791734</v>
      </c>
      <c r="BD36" s="2" t="e">
        <f t="shared" si="16"/>
        <v>#DIV/0!</v>
      </c>
      <c r="BE36" s="2">
        <f t="shared" si="17"/>
        <v>5.6649805635669965</v>
      </c>
      <c r="BF36" s="2">
        <f t="shared" si="18"/>
        <v>5.5042526345574689</v>
      </c>
      <c r="BG36" s="2">
        <f t="shared" si="19"/>
        <v>5.1715730031132177</v>
      </c>
      <c r="BH36" s="2">
        <f t="shared" si="20"/>
        <v>5.0901989899956277</v>
      </c>
    </row>
    <row r="37" spans="2:60" x14ac:dyDescent="0.2">
      <c r="K37" s="2">
        <v>30</v>
      </c>
      <c r="L37" s="2">
        <f>标准城池设计!AB33*$B$10/C$14*$C$5*C$7</f>
        <v>25177462.508650962</v>
      </c>
      <c r="M37" s="2">
        <f>标准城池设计!AC33*$B$10/D$14*$C$5*D$7</f>
        <v>27567591.007141046</v>
      </c>
      <c r="N37" s="2">
        <f>标准城池设计!AD33*$B$10/E$14*$C$5*E$7</f>
        <v>31055177.601688322</v>
      </c>
      <c r="O37" s="2">
        <f>标准城池设计!AE33*$B$10/F$14*$C$5*F$7</f>
        <v>31797277.878327448</v>
      </c>
      <c r="P37" s="2">
        <f>标准城池设计!AF33*$B$10/G$14*$C$5*G$7</f>
        <v>36543554.184111312</v>
      </c>
      <c r="Q37" s="2">
        <f t="shared" si="4"/>
        <v>3654.3554184111313</v>
      </c>
      <c r="U37" s="2">
        <v>30</v>
      </c>
      <c r="V37" s="2">
        <f>其他调用!R34*6*其他调用!BM34*$B$10/C$15*$C$5*C$8/3</f>
        <v>0</v>
      </c>
      <c r="W37" s="2">
        <f>其他调用!S34*6*其他调用!BN34*$B$10/D$15*$C$5*D$8/3</f>
        <v>444407.63676956046</v>
      </c>
      <c r="X37" s="2">
        <f>其他调用!T34*6*其他调用!BO34*$B$10/E$15*$C$5*E$8/3</f>
        <v>1082594.1679967269</v>
      </c>
      <c r="Y37" s="2">
        <f>其他调用!U34*6*其他调用!BP34*$B$10/F$15*$C$5*F$8/3</f>
        <v>2751718.7796562361</v>
      </c>
      <c r="Z37" s="2">
        <f>其他调用!V34*6*其他调用!BQ34*$B$10/G$15*$C$5*G$8/3</f>
        <v>4669809.1010116609</v>
      </c>
      <c r="AA37" s="2">
        <f t="shared" si="5"/>
        <v>466.9809101011661</v>
      </c>
      <c r="AE37" s="2">
        <v>30</v>
      </c>
      <c r="AF37" s="2">
        <f>L37/IFERROR(INDEX($C$22:$C$35,MATCH(节奏总纲!D33,$B$22:$B$35,1)),MIN($C$22:$C$35))*IFERROR(INDEX($D$22:$D$35,MATCH(节奏总纲!D33,$B$22:$B$35,1)),MIN($D$22:$D$35))</f>
        <v>10070.985003460384</v>
      </c>
      <c r="AG37" s="2">
        <f>M37/IFERROR(INDEX($C$22:$C$35,MATCH(节奏总纲!E33,$B$22:$B$35,1)),MIN($C$22:$C$35))*IFERROR(INDEX($D$22:$D$35,MATCH(节奏总纲!E33,$B$22:$B$35,1)),MIN($D$22:$D$35))</f>
        <v>11027.036402856418</v>
      </c>
      <c r="AH37" s="2">
        <f>N37/IFERROR(INDEX($C$22:$C$35,MATCH(节奏总纲!F33,$B$22:$B$35,1)),MIN($C$22:$C$35))*IFERROR(INDEX($D$22:$D$35,MATCH(节奏总纲!F33,$B$22:$B$35,1)),MIN($D$22:$D$35))</f>
        <v>12422.071040675328</v>
      </c>
      <c r="AI37" s="2">
        <f>O37/IFERROR(INDEX($C$22:$C$35,MATCH(节奏总纲!G33,$B$22:$B$35,1)),MIN($C$22:$C$35))*IFERROR(INDEX($D$22:$D$35,MATCH(节奏总纲!G33,$B$22:$B$35,1)),MIN($D$22:$D$35))</f>
        <v>12718.91115133098</v>
      </c>
      <c r="AJ37" s="2">
        <f>P37/IFERROR(INDEX($C$22:$C$35,MATCH(节奏总纲!H33,$B$22:$B$35,1)),MIN($C$22:$C$35))*IFERROR(INDEX($D$22:$D$35,MATCH(节奏总纲!H33,$B$22:$B$35,1)),MIN($D$22:$D$35))</f>
        <v>14617.421673644525</v>
      </c>
      <c r="AK37" s="2">
        <f>V37/IFERROR(INDEX($E$22:$E$35,MATCH(节奏总纲!D33,$B$22:$B$35,1)),MIN($E$22:$E$35))*IFERROR(INDEX($F$22:$F$35,MATCH(节奏总纲!D33,$B$22:$B$35,1)),MIN($F$22:$F$35))</f>
        <v>0</v>
      </c>
      <c r="AL37" s="2">
        <f>W37/IFERROR(INDEX($E$22:$E$35,MATCH(节奏总纲!E33,$B$22:$B$35,1)),MIN($E$22:$E$35))*IFERROR(INDEX($F$22:$F$35,MATCH(节奏总纲!E33,$B$22:$B$35,1)),MIN($F$22:$F$35))</f>
        <v>6837.0405656855455</v>
      </c>
      <c r="AM37" s="2">
        <f>X37/IFERROR(INDEX($E$22:$E$35,MATCH(节奏总纲!F33,$B$22:$B$35,1)),MIN($E$22:$E$35))*IFERROR(INDEX($F$22:$F$35,MATCH(节奏总纲!F33,$B$22:$B$35,1)),MIN($F$22:$F$35))</f>
        <v>16655.294892257338</v>
      </c>
      <c r="AN37" s="2">
        <f>Y37/IFERROR(INDEX($E$22:$E$35,MATCH(节奏总纲!G33,$B$22:$B$35,1)),MIN($E$22:$E$35))*IFERROR(INDEX($F$22:$F$35,MATCH(节奏总纲!G33,$B$22:$B$35,1)),MIN($F$22:$F$35))</f>
        <v>42334.135071634402</v>
      </c>
      <c r="AO37" s="2">
        <f>Z37/IFERROR(INDEX($E$22:$E$35,MATCH(节奏总纲!H33,$B$22:$B$35,1)),MIN($E$22:$E$35))*IFERROR(INDEX($F$22:$F$35,MATCH(节奏总纲!H33,$B$22:$B$35,1)),MIN($F$22:$F$35))</f>
        <v>71843.216938640937</v>
      </c>
      <c r="AQ37" s="2">
        <v>30</v>
      </c>
      <c r="AR37" s="2">
        <f t="shared" si="6"/>
        <v>10070.985003460384</v>
      </c>
      <c r="AS37" s="2">
        <f t="shared" si="7"/>
        <v>17864.076968541965</v>
      </c>
      <c r="AT37" s="2">
        <f t="shared" si="8"/>
        <v>29077.365932932666</v>
      </c>
      <c r="AU37" s="2">
        <f t="shared" si="9"/>
        <v>55053.046222965379</v>
      </c>
      <c r="AV37" s="2">
        <f t="shared" si="10"/>
        <v>86460.63861228546</v>
      </c>
      <c r="AX37" s="41">
        <f t="shared" si="11"/>
        <v>0</v>
      </c>
      <c r="AY37" s="41">
        <f t="shared" si="12"/>
        <v>0.38272565538792419</v>
      </c>
      <c r="AZ37" s="41">
        <f t="shared" si="13"/>
        <v>0.5727924231745406</v>
      </c>
      <c r="BA37" s="41">
        <f t="shared" si="14"/>
        <v>0.76896989314961317</v>
      </c>
      <c r="BB37" s="41">
        <f t="shared" si="15"/>
        <v>0.83093553427018652</v>
      </c>
      <c r="BD37" s="2" t="e">
        <f t="shared" si="16"/>
        <v>#DIV/0!</v>
      </c>
      <c r="BE37" s="2">
        <f t="shared" si="17"/>
        <v>5.5802268935314716</v>
      </c>
      <c r="BF37" s="2">
        <f t="shared" si="18"/>
        <v>5.3631298155422149</v>
      </c>
      <c r="BG37" s="2">
        <f t="shared" si="19"/>
        <v>4.9926602876541422</v>
      </c>
      <c r="BH37" s="2">
        <f t="shared" si="20"/>
        <v>4.9149034995806105</v>
      </c>
    </row>
    <row r="38" spans="2:60" x14ac:dyDescent="0.2">
      <c r="K38" s="2">
        <v>31</v>
      </c>
      <c r="L38" s="2">
        <f>标准城池设计!AB34*$B$10/C$14*$C$5*C$7</f>
        <v>26974267.666874044</v>
      </c>
      <c r="M38" s="2">
        <f>标准城池设计!AC34*$B$10/D$14*$C$5*D$7</f>
        <v>29704232.387913067</v>
      </c>
      <c r="N38" s="2">
        <f>标准城池设计!AD34*$B$10/E$14*$C$5*E$7</f>
        <v>33782334.890097417</v>
      </c>
      <c r="O38" s="2">
        <f>标准城池设计!AE34*$B$10/F$14*$C$5*F$7</f>
        <v>34946182.168540709</v>
      </c>
      <c r="P38" s="2">
        <f>标准城池设计!AF34*$B$10/G$14*$C$5*G$7</f>
        <v>40269759.443571165</v>
      </c>
      <c r="Q38" s="2">
        <f t="shared" si="4"/>
        <v>4026.9759443571165</v>
      </c>
      <c r="U38" s="2">
        <v>31</v>
      </c>
      <c r="V38" s="2">
        <f>其他调用!R35*6*其他调用!BM35*$B$10/C$15*$C$5*C$8/3</f>
        <v>0</v>
      </c>
      <c r="W38" s="2">
        <f>其他调用!S35*6*其他调用!BN35*$B$10/D$15*$C$5*D$8/3</f>
        <v>452283.42151624383</v>
      </c>
      <c r="X38" s="2">
        <f>其他调用!T35*6*其他调用!BO35*$B$10/E$15*$C$5*E$8/3</f>
        <v>1102022.482597146</v>
      </c>
      <c r="Y38" s="2">
        <f>其他调用!U35*6*其他调用!BP35*$B$10/F$15*$C$5*F$8/3</f>
        <v>2800087.7769060307</v>
      </c>
      <c r="Z38" s="2">
        <f>其他调用!V35*6*其他调用!BQ35*$B$10/G$15*$C$5*G$8/3</f>
        <v>4749154.6179086817</v>
      </c>
      <c r="AA38" s="2">
        <f t="shared" si="5"/>
        <v>474.91546179086816</v>
      </c>
      <c r="AE38" s="2">
        <v>31</v>
      </c>
      <c r="AF38" s="2">
        <f>L38/IFERROR(INDEX($C$22:$C$35,MATCH(节奏总纲!D34,$B$22:$B$35,1)),MIN($C$22:$C$35))*IFERROR(INDEX($D$22:$D$35,MATCH(节奏总纲!D34,$B$22:$B$35,1)),MIN($D$22:$D$35))</f>
        <v>10789.707066749617</v>
      </c>
      <c r="AG38" s="2">
        <f>M38/IFERROR(INDEX($C$22:$C$35,MATCH(节奏总纲!E34,$B$22:$B$35,1)),MIN($C$22:$C$35))*IFERROR(INDEX($D$22:$D$35,MATCH(节奏总纲!E34,$B$22:$B$35,1)),MIN($D$22:$D$35))</f>
        <v>11881.692955165227</v>
      </c>
      <c r="AH38" s="2">
        <f>N38/IFERROR(INDEX($C$22:$C$35,MATCH(节奏总纲!F34,$B$22:$B$35,1)),MIN($C$22:$C$35))*IFERROR(INDEX($D$22:$D$35,MATCH(节奏总纲!F34,$B$22:$B$35,1)),MIN($D$22:$D$35))</f>
        <v>13512.933956038967</v>
      </c>
      <c r="AI38" s="2">
        <f>O38/IFERROR(INDEX($C$22:$C$35,MATCH(节奏总纲!G34,$B$22:$B$35,1)),MIN($C$22:$C$35))*IFERROR(INDEX($D$22:$D$35,MATCH(节奏总纲!G34,$B$22:$B$35,1)),MIN($D$22:$D$35))</f>
        <v>13978.472867416283</v>
      </c>
      <c r="AJ38" s="2">
        <f>P38/IFERROR(INDEX($C$22:$C$35,MATCH(节奏总纲!H34,$B$22:$B$35,1)),MIN($C$22:$C$35))*IFERROR(INDEX($D$22:$D$35,MATCH(节奏总纲!H34,$B$22:$B$35,1)),MIN($D$22:$D$35))</f>
        <v>16107.903777428466</v>
      </c>
      <c r="AK38" s="2">
        <f>V38/IFERROR(INDEX($E$22:$E$35,MATCH(节奏总纲!D34,$B$22:$B$35,1)),MIN($E$22:$E$35))*IFERROR(INDEX($F$22:$F$35,MATCH(节奏总纲!D34,$B$22:$B$35,1)),MIN($F$22:$F$35))</f>
        <v>0</v>
      </c>
      <c r="AL38" s="2">
        <f>W38/IFERROR(INDEX($E$22:$E$35,MATCH(节奏总纲!E34,$B$22:$B$35,1)),MIN($E$22:$E$35))*IFERROR(INDEX($F$22:$F$35,MATCH(节奏总纲!E34,$B$22:$B$35,1)),MIN($F$22:$F$35))</f>
        <v>6958.2064848652899</v>
      </c>
      <c r="AM38" s="2">
        <f>X38/IFERROR(INDEX($E$22:$E$35,MATCH(节奏总纲!F34,$B$22:$B$35,1)),MIN($E$22:$E$35))*IFERROR(INDEX($F$22:$F$35,MATCH(节奏总纲!F34,$B$22:$B$35,1)),MIN($F$22:$F$35))</f>
        <v>16954.192039956091</v>
      </c>
      <c r="AN38" s="2">
        <f>Y38/IFERROR(INDEX($E$22:$E$35,MATCH(节奏总纲!G34,$B$22:$B$35,1)),MIN($E$22:$E$35))*IFERROR(INDEX($F$22:$F$35,MATCH(节奏总纲!G34,$B$22:$B$35,1)),MIN($F$22:$F$35))</f>
        <v>43078.273490862011</v>
      </c>
      <c r="AO38" s="2">
        <f>Z38/IFERROR(INDEX($E$22:$E$35,MATCH(节奏总纲!H34,$B$22:$B$35,1)),MIN($E$22:$E$35))*IFERROR(INDEX($F$22:$F$35,MATCH(节奏总纲!H34,$B$22:$B$35,1)),MIN($F$22:$F$35))</f>
        <v>73063.917198595111</v>
      </c>
      <c r="AQ38" s="2">
        <v>31</v>
      </c>
      <c r="AR38" s="2">
        <f t="shared" si="6"/>
        <v>10789.707066749617</v>
      </c>
      <c r="AS38" s="2">
        <f t="shared" si="7"/>
        <v>18839.899440030516</v>
      </c>
      <c r="AT38" s="2">
        <f t="shared" si="8"/>
        <v>30467.125995995058</v>
      </c>
      <c r="AU38" s="2">
        <f t="shared" si="9"/>
        <v>57056.746358278295</v>
      </c>
      <c r="AV38" s="2">
        <f t="shared" si="10"/>
        <v>89171.820976023577</v>
      </c>
      <c r="AX38" s="41">
        <f t="shared" si="11"/>
        <v>0</v>
      </c>
      <c r="AY38" s="41">
        <f t="shared" si="12"/>
        <v>0.36933352574487094</v>
      </c>
      <c r="AZ38" s="41">
        <f t="shared" si="13"/>
        <v>0.55647493768151091</v>
      </c>
      <c r="BA38" s="41">
        <f t="shared" si="14"/>
        <v>0.75500753618790661</v>
      </c>
      <c r="BB38" s="41">
        <f t="shared" si="15"/>
        <v>0.81936105373737356</v>
      </c>
      <c r="BD38" s="2" t="e">
        <f t="shared" si="16"/>
        <v>#DIV/0!</v>
      </c>
      <c r="BE38" s="2">
        <f t="shared" si="17"/>
        <v>5.2706174616777721</v>
      </c>
      <c r="BF38" s="2">
        <f t="shared" si="18"/>
        <v>5.0186560802006204</v>
      </c>
      <c r="BG38" s="2">
        <f t="shared" si="19"/>
        <v>4.6226373116133246</v>
      </c>
      <c r="BH38" s="2">
        <f t="shared" si="20"/>
        <v>4.5359047464001767</v>
      </c>
    </row>
    <row r="39" spans="2:60" x14ac:dyDescent="0.2">
      <c r="K39" s="2">
        <v>32</v>
      </c>
      <c r="L39" s="2">
        <f>标准城池设计!AB35*$B$10/C$14*$C$5*C$7</f>
        <v>27725925.15506395</v>
      </c>
      <c r="M39" s="2">
        <f>标准城池设计!AC35*$B$10/D$14*$C$5*D$7</f>
        <v>30687806.13262666</v>
      </c>
      <c r="N39" s="2">
        <f>标准城池设计!AD35*$B$10/E$14*$C$5*E$7</f>
        <v>35199870.771499775</v>
      </c>
      <c r="O39" s="2">
        <f>标准城池设计!AE35*$B$10/F$14*$C$5*F$7</f>
        <v>36758378.904527657</v>
      </c>
      <c r="P39" s="2">
        <f>标准城池设计!AF35*$B$10/G$14*$C$5*G$7</f>
        <v>42354604.977394827</v>
      </c>
      <c r="Q39" s="2">
        <f t="shared" si="4"/>
        <v>4235.4604977394829</v>
      </c>
      <c r="U39" s="2">
        <v>32</v>
      </c>
      <c r="V39" s="2">
        <f>其他调用!R36*6*其他调用!BM36*$B$10/C$15*$C$5*C$8/3</f>
        <v>0</v>
      </c>
      <c r="W39" s="2">
        <f>其他调用!S36*6*其他调用!BN36*$B$10/D$15*$C$5*D$8/3</f>
        <v>460364.41587789316</v>
      </c>
      <c r="X39" s="2">
        <f>其他调用!T36*6*其他调用!BO36*$B$10/E$15*$C$5*E$8/3</f>
        <v>1120758.9299226585</v>
      </c>
      <c r="Y39" s="2">
        <f>其他调用!U36*6*其他调用!BP36*$B$10/F$15*$C$5*F$8/3</f>
        <v>2847897.4974137992</v>
      </c>
      <c r="Z39" s="2">
        <f>其他调用!V36*6*其他调用!BQ36*$B$10/G$15*$C$5*G$8/3</f>
        <v>4831346.412939203</v>
      </c>
      <c r="AA39" s="2">
        <f t="shared" si="5"/>
        <v>483.13464129392031</v>
      </c>
      <c r="AE39" s="2">
        <v>32</v>
      </c>
      <c r="AF39" s="2">
        <f>L39/IFERROR(INDEX($C$22:$C$35,MATCH(节奏总纲!D35,$B$22:$B$35,1)),MIN($C$22:$C$35))*IFERROR(INDEX($D$22:$D$35,MATCH(节奏总纲!D35,$B$22:$B$35,1)),MIN($D$22:$D$35))</f>
        <v>11090.37006202558</v>
      </c>
      <c r="AG39" s="2">
        <f>M39/IFERROR(INDEX($C$22:$C$35,MATCH(节奏总纲!E35,$B$22:$B$35,1)),MIN($C$22:$C$35))*IFERROR(INDEX($D$22:$D$35,MATCH(节奏总纲!E35,$B$22:$B$35,1)),MIN($D$22:$D$35))</f>
        <v>12275.122453050664</v>
      </c>
      <c r="AH39" s="2">
        <f>N39/IFERROR(INDEX($C$22:$C$35,MATCH(节奏总纲!F35,$B$22:$B$35,1)),MIN($C$22:$C$35))*IFERROR(INDEX($D$22:$D$35,MATCH(节奏总纲!F35,$B$22:$B$35,1)),MIN($D$22:$D$35))</f>
        <v>14079.948308599911</v>
      </c>
      <c r="AI39" s="2">
        <f>O39/IFERROR(INDEX($C$22:$C$35,MATCH(节奏总纲!G35,$B$22:$B$35,1)),MIN($C$22:$C$35))*IFERROR(INDEX($D$22:$D$35,MATCH(节奏总纲!G35,$B$22:$B$35,1)),MIN($D$22:$D$35))</f>
        <v>14703.351561811063</v>
      </c>
      <c r="AJ39" s="2">
        <f>P39/IFERROR(INDEX($C$22:$C$35,MATCH(节奏总纲!H35,$B$22:$B$35,1)),MIN($C$22:$C$35))*IFERROR(INDEX($D$22:$D$35,MATCH(节奏总纲!H35,$B$22:$B$35,1)),MIN($D$22:$D$35))</f>
        <v>16941.841990957932</v>
      </c>
      <c r="AK39" s="2">
        <f>V39/IFERROR(INDEX($E$22:$E$35,MATCH(节奏总纲!D35,$B$22:$B$35,1)),MIN($E$22:$E$35))*IFERROR(INDEX($F$22:$F$35,MATCH(节奏总纲!D35,$B$22:$B$35,1)),MIN($F$22:$F$35))</f>
        <v>0</v>
      </c>
      <c r="AL39" s="2">
        <f>W39/IFERROR(INDEX($E$22:$E$35,MATCH(节奏总纲!E35,$B$22:$B$35,1)),MIN($E$22:$E$35))*IFERROR(INDEX($F$22:$F$35,MATCH(节奏总纲!E35,$B$22:$B$35,1)),MIN($F$22:$F$35))</f>
        <v>7082.52947504451</v>
      </c>
      <c r="AM39" s="2">
        <f>X39/IFERROR(INDEX($E$22:$E$35,MATCH(节奏总纲!F35,$B$22:$B$35,1)),MIN($E$22:$E$35))*IFERROR(INDEX($F$22:$F$35,MATCH(节奏总纲!F35,$B$22:$B$35,1)),MIN($F$22:$F$35))</f>
        <v>17242.445075733209</v>
      </c>
      <c r="AN39" s="2">
        <f>Y39/IFERROR(INDEX($E$22:$E$35,MATCH(节奏总纲!G35,$B$22:$B$35,1)),MIN($E$22:$E$35))*IFERROR(INDEX($F$22:$F$35,MATCH(节奏总纲!G35,$B$22:$B$35,1)),MIN($F$22:$F$35))</f>
        <v>43813.807652519987</v>
      </c>
      <c r="AO39" s="2">
        <f>Z39/IFERROR(INDEX($E$22:$E$35,MATCH(节奏总纲!H35,$B$22:$B$35,1)),MIN($E$22:$E$35))*IFERROR(INDEX($F$22:$F$35,MATCH(节奏总纲!H35,$B$22:$B$35,1)),MIN($F$22:$F$35))</f>
        <v>74328.40635291081</v>
      </c>
      <c r="AQ39" s="2">
        <v>32</v>
      </c>
      <c r="AR39" s="2">
        <f t="shared" si="6"/>
        <v>11090.37006202558</v>
      </c>
      <c r="AS39" s="2">
        <f t="shared" si="7"/>
        <v>19357.651928095176</v>
      </c>
      <c r="AT39" s="2">
        <f t="shared" si="8"/>
        <v>31322.393384333118</v>
      </c>
      <c r="AU39" s="2">
        <f t="shared" si="9"/>
        <v>58517.159214331048</v>
      </c>
      <c r="AV39" s="2">
        <f t="shared" si="10"/>
        <v>91270.248343868734</v>
      </c>
      <c r="AX39" s="41">
        <f t="shared" si="11"/>
        <v>0</v>
      </c>
      <c r="AY39" s="41">
        <f t="shared" si="12"/>
        <v>0.36587750938765029</v>
      </c>
      <c r="AZ39" s="41">
        <f t="shared" si="13"/>
        <v>0.55048299994717398</v>
      </c>
      <c r="BA39" s="41">
        <f t="shared" si="14"/>
        <v>0.74873435827674006</v>
      </c>
      <c r="BB39" s="41">
        <f t="shared" si="15"/>
        <v>0.81437716782441483</v>
      </c>
      <c r="BD39" s="2" t="e">
        <f t="shared" si="16"/>
        <v>#DIV/0!</v>
      </c>
      <c r="BE39" s="2">
        <f t="shared" si="17"/>
        <v>5.1928414986653753</v>
      </c>
      <c r="BF39" s="2">
        <f t="shared" si="18"/>
        <v>4.8984398799821385</v>
      </c>
      <c r="BG39" s="2">
        <f t="shared" si="19"/>
        <v>4.4697776015555553</v>
      </c>
      <c r="BH39" s="2">
        <f t="shared" si="20"/>
        <v>4.3872683025010382</v>
      </c>
    </row>
    <row r="40" spans="2:60" x14ac:dyDescent="0.2">
      <c r="K40" s="2">
        <v>33</v>
      </c>
      <c r="L40" s="2">
        <f>标准城池设计!AB36*$B$10/C$14*$C$5*C$7</f>
        <v>28509829.053287838</v>
      </c>
      <c r="M40" s="2">
        <f>标准城池设计!AC36*$B$10/D$14*$C$5*D$7</f>
        <v>31696028.514749404</v>
      </c>
      <c r="N40" s="2">
        <f>标准城池设计!AD36*$B$10/E$14*$C$5*E$7</f>
        <v>36656796.986325152</v>
      </c>
      <c r="O40" s="2">
        <f>标准城池设计!AE36*$B$10/F$14*$C$5*F$7</f>
        <v>38636084.780294932</v>
      </c>
      <c r="P40" s="2">
        <f>标准城池设计!AF36*$B$10/G$14*$C$5*G$7</f>
        <v>44510924.749624051</v>
      </c>
      <c r="Q40" s="2">
        <f t="shared" si="4"/>
        <v>4451.0924749624055</v>
      </c>
      <c r="U40" s="2">
        <v>33</v>
      </c>
      <c r="V40" s="2">
        <f>其他调用!R37*6*其他调用!BM37*$B$10/C$15*$C$5*C$8/3</f>
        <v>0</v>
      </c>
      <c r="W40" s="2">
        <f>其他调用!S37*6*其他调用!BN37*$B$10/D$15*$C$5*D$8/3</f>
        <v>467890.42515664571</v>
      </c>
      <c r="X40" s="2">
        <f>其他调用!T37*6*其他调用!BO37*$B$10/E$15*$C$5*E$8/3</f>
        <v>1139717.3869164768</v>
      </c>
      <c r="Y40" s="2">
        <f>其他调用!U37*6*其他调用!BP37*$B$10/F$15*$C$5*F$8/3</f>
        <v>2895066.6487003379</v>
      </c>
      <c r="Z40" s="2">
        <f>其他调用!V37*6*其他调用!BQ37*$B$10/G$15*$C$5*G$8/3</f>
        <v>4908487.5103324354</v>
      </c>
      <c r="AA40" s="2">
        <f t="shared" si="5"/>
        <v>490.84875103324356</v>
      </c>
      <c r="AE40" s="2">
        <v>33</v>
      </c>
      <c r="AF40" s="2">
        <f>L40/IFERROR(INDEX($C$22:$C$35,MATCH(节奏总纲!D36,$B$22:$B$35,1)),MIN($C$22:$C$35))*IFERROR(INDEX($D$22:$D$35,MATCH(节奏总纲!D36,$B$22:$B$35,1)),MIN($D$22:$D$35))</f>
        <v>11403.931621315134</v>
      </c>
      <c r="AG40" s="2">
        <f>M40/IFERROR(INDEX($C$22:$C$35,MATCH(节奏总纲!E36,$B$22:$B$35,1)),MIN($C$22:$C$35))*IFERROR(INDEX($D$22:$D$35,MATCH(节奏总纲!E36,$B$22:$B$35,1)),MIN($D$22:$D$35))</f>
        <v>12678.411405899762</v>
      </c>
      <c r="AH40" s="2">
        <f>N40/IFERROR(INDEX($C$22:$C$35,MATCH(节奏总纲!F36,$B$22:$B$35,1)),MIN($C$22:$C$35))*IFERROR(INDEX($D$22:$D$35,MATCH(节奏总纲!F36,$B$22:$B$35,1)),MIN($D$22:$D$35))</f>
        <v>14662.718794530061</v>
      </c>
      <c r="AI40" s="2">
        <f>O40/IFERROR(INDEX($C$22:$C$35,MATCH(节奏总纲!G36,$B$22:$B$35,1)),MIN($C$22:$C$35))*IFERROR(INDEX($D$22:$D$35,MATCH(节奏总纲!G36,$B$22:$B$35,1)),MIN($D$22:$D$35))</f>
        <v>15454.433912117973</v>
      </c>
      <c r="AJ40" s="2">
        <f>P40/IFERROR(INDEX($C$22:$C$35,MATCH(节奏总纲!H36,$B$22:$B$35,1)),MIN($C$22:$C$35))*IFERROR(INDEX($D$22:$D$35,MATCH(节奏总纲!H36,$B$22:$B$35,1)),MIN($D$22:$D$35))</f>
        <v>17804.369899849622</v>
      </c>
      <c r="AK40" s="2">
        <f>V40/IFERROR(INDEX($E$22:$E$35,MATCH(节奏总纲!D36,$B$22:$B$35,1)),MIN($E$22:$E$35))*IFERROR(INDEX($F$22:$F$35,MATCH(节奏总纲!D36,$B$22:$B$35,1)),MIN($F$22:$F$35))</f>
        <v>0</v>
      </c>
      <c r="AL40" s="2">
        <f>W40/IFERROR(INDEX($E$22:$E$35,MATCH(节奏总纲!E36,$B$22:$B$35,1)),MIN($E$22:$E$35))*IFERROR(INDEX($F$22:$F$35,MATCH(节奏总纲!E36,$B$22:$B$35,1)),MIN($F$22:$F$35))</f>
        <v>7198.3142331791651</v>
      </c>
      <c r="AM40" s="2">
        <f>X40/IFERROR(INDEX($E$22:$E$35,MATCH(节奏总纲!F36,$B$22:$B$35,1)),MIN($E$22:$E$35))*IFERROR(INDEX($F$22:$F$35,MATCH(节奏总纲!F36,$B$22:$B$35,1)),MIN($F$22:$F$35))</f>
        <v>17534.113644868874</v>
      </c>
      <c r="AN40" s="2">
        <f>Y40/IFERROR(INDEX($E$22:$E$35,MATCH(节奏总纲!G36,$B$22:$B$35,1)),MIN($E$22:$E$35))*IFERROR(INDEX($F$22:$F$35,MATCH(节奏总纲!G36,$B$22:$B$35,1)),MIN($F$22:$F$35))</f>
        <v>44539.486903082121</v>
      </c>
      <c r="AO40" s="2">
        <f>Z40/IFERROR(INDEX($E$22:$E$35,MATCH(节奏总纲!H36,$B$22:$B$35,1)),MIN($E$22:$E$35))*IFERROR(INDEX($F$22:$F$35,MATCH(节奏总纲!H36,$B$22:$B$35,1)),MIN($F$22:$F$35))</f>
        <v>75515.19246665285</v>
      </c>
      <c r="AQ40" s="2">
        <v>33</v>
      </c>
      <c r="AR40" s="2">
        <f t="shared" si="6"/>
        <v>11403.931621315134</v>
      </c>
      <c r="AS40" s="2">
        <f t="shared" si="7"/>
        <v>19876.725639078926</v>
      </c>
      <c r="AT40" s="2">
        <f t="shared" si="8"/>
        <v>32196.832439398935</v>
      </c>
      <c r="AU40" s="2">
        <f t="shared" si="9"/>
        <v>59993.920815200094</v>
      </c>
      <c r="AV40" s="2">
        <f t="shared" si="10"/>
        <v>93319.562366502476</v>
      </c>
      <c r="AX40" s="41">
        <f t="shared" si="11"/>
        <v>0</v>
      </c>
      <c r="AY40" s="41">
        <f t="shared" si="12"/>
        <v>0.36214788913858198</v>
      </c>
      <c r="AZ40" s="41">
        <f t="shared" si="13"/>
        <v>0.54459126306513794</v>
      </c>
      <c r="BA40" s="41">
        <f t="shared" si="14"/>
        <v>0.74240000149811136</v>
      </c>
      <c r="BB40" s="41">
        <f t="shared" si="15"/>
        <v>0.80921074372461277</v>
      </c>
      <c r="BD40" s="2" t="e">
        <f t="shared" si="16"/>
        <v>#DIV/0!</v>
      </c>
      <c r="BE40" s="2">
        <f t="shared" si="17"/>
        <v>5.1098537525344518</v>
      </c>
      <c r="BF40" s="2">
        <f t="shared" si="18"/>
        <v>4.783318534734498</v>
      </c>
      <c r="BG40" s="2">
        <f t="shared" si="19"/>
        <v>4.3229814003240454</v>
      </c>
      <c r="BH40" s="2">
        <f t="shared" si="20"/>
        <v>4.2413852830192358</v>
      </c>
    </row>
    <row r="41" spans="2:60" x14ac:dyDescent="0.2">
      <c r="K41" s="2">
        <v>34</v>
      </c>
      <c r="L41" s="2">
        <f>标准城池设计!AB37*$B$10/C$14*$C$5*C$7</f>
        <v>29366090.803690519</v>
      </c>
      <c r="M41" s="2">
        <f>标准城池设计!AC37*$B$10/D$14*$C$5*D$7</f>
        <v>32733790.201909296</v>
      </c>
      <c r="N41" s="2">
        <f>标准城池设计!AD37*$B$10/E$14*$C$5*E$7</f>
        <v>38161288.476219527</v>
      </c>
      <c r="O41" s="2">
        <f>标准城池设计!AE37*$B$10/F$14*$C$5*F$7</f>
        <v>40289047.463969551</v>
      </c>
      <c r="P41" s="2">
        <f>标准城池设计!AF37*$B$10/G$14*$C$5*G$7</f>
        <v>46263985.213971868</v>
      </c>
      <c r="Q41" s="2">
        <f t="shared" si="4"/>
        <v>4626.3985213971864</v>
      </c>
      <c r="U41" s="2">
        <v>34</v>
      </c>
      <c r="V41" s="2">
        <f>其他调用!R38*6*其他调用!BM38*$B$10/C$15*$C$5*C$8/3</f>
        <v>0</v>
      </c>
      <c r="W41" s="2">
        <f>其他调用!S38*6*其他调用!BN38*$B$10/D$15*$C$5*D$8/3</f>
        <v>475955.18554976251</v>
      </c>
      <c r="X41" s="2">
        <f>其他调用!T38*6*其他调用!BO38*$B$10/E$15*$C$5*E$8/3</f>
        <v>1158495.1712733011</v>
      </c>
      <c r="Y41" s="2">
        <f>其他调用!U38*6*其他调用!BP38*$B$10/F$15*$C$5*F$8/3</f>
        <v>2943833.9195317342</v>
      </c>
      <c r="Z41" s="2">
        <f>其他调用!V38*6*其他调用!BQ38*$B$10/G$15*$C$5*G$8/3</f>
        <v>4990457.3674005903</v>
      </c>
      <c r="AA41" s="2">
        <f t="shared" si="5"/>
        <v>499.04573674005906</v>
      </c>
      <c r="AE41" s="2">
        <v>34</v>
      </c>
      <c r="AF41" s="2">
        <f>L41/IFERROR(INDEX($C$22:$C$35,MATCH(节奏总纲!D37,$B$22:$B$35,1)),MIN($C$22:$C$35))*IFERROR(INDEX($D$22:$D$35,MATCH(节奏总纲!D37,$B$22:$B$35,1)),MIN($D$22:$D$35))</f>
        <v>11746.436321476207</v>
      </c>
      <c r="AG41" s="2">
        <f>M41/IFERROR(INDEX($C$22:$C$35,MATCH(节奏总纲!E37,$B$22:$B$35,1)),MIN($C$22:$C$35))*IFERROR(INDEX($D$22:$D$35,MATCH(节奏总纲!E37,$B$22:$B$35,1)),MIN($D$22:$D$35))</f>
        <v>13093.516080763718</v>
      </c>
      <c r="AH41" s="2">
        <f>N41/IFERROR(INDEX($C$22:$C$35,MATCH(节奏总纲!F37,$B$22:$B$35,1)),MIN($C$22:$C$35))*IFERROR(INDEX($D$22:$D$35,MATCH(节奏总纲!F37,$B$22:$B$35,1)),MIN($D$22:$D$35))</f>
        <v>15264.515390487812</v>
      </c>
      <c r="AI41" s="2">
        <f>O41/IFERROR(INDEX($C$22:$C$35,MATCH(节奏总纲!G37,$B$22:$B$35,1)),MIN($C$22:$C$35))*IFERROR(INDEX($D$22:$D$35,MATCH(节奏总纲!G37,$B$22:$B$35,1)),MIN($D$22:$D$35))</f>
        <v>16115.61898558782</v>
      </c>
      <c r="AJ41" s="2">
        <f>P41/IFERROR(INDEX($C$22:$C$35,MATCH(节奏总纲!H37,$B$22:$B$35,1)),MIN($C$22:$C$35))*IFERROR(INDEX($D$22:$D$35,MATCH(节奏总纲!H37,$B$22:$B$35,1)),MIN($D$22:$D$35))</f>
        <v>18505.594085588746</v>
      </c>
      <c r="AK41" s="2">
        <f>V41/IFERROR(INDEX($E$22:$E$35,MATCH(节奏总纲!D37,$B$22:$B$35,1)),MIN($E$22:$E$35))*IFERROR(INDEX($F$22:$F$35,MATCH(节奏总纲!D37,$B$22:$B$35,1)),MIN($F$22:$F$35))</f>
        <v>0</v>
      </c>
      <c r="AL41" s="2">
        <f>W41/IFERROR(INDEX($E$22:$E$35,MATCH(节奏总纲!E37,$B$22:$B$35,1)),MIN($E$22:$E$35))*IFERROR(INDEX($F$22:$F$35,MATCH(节奏总纲!E37,$B$22:$B$35,1)),MIN($F$22:$F$35))</f>
        <v>7322.3874699963462</v>
      </c>
      <c r="AM41" s="2">
        <f>X41/IFERROR(INDEX($E$22:$E$35,MATCH(节奏总纲!F37,$B$22:$B$35,1)),MIN($E$22:$E$35))*IFERROR(INDEX($F$22:$F$35,MATCH(节奏总纲!F37,$B$22:$B$35,1)),MIN($F$22:$F$35))</f>
        <v>17823.002634973862</v>
      </c>
      <c r="AN41" s="2">
        <f>Y41/IFERROR(INDEX($E$22:$E$35,MATCH(节奏总纲!G37,$B$22:$B$35,1)),MIN($E$22:$E$35))*IFERROR(INDEX($F$22:$F$35,MATCH(节奏总纲!G37,$B$22:$B$35,1)),MIN($F$22:$F$35))</f>
        <v>45289.752608180526</v>
      </c>
      <c r="AO41" s="2">
        <f>Z41/IFERROR(INDEX($E$22:$E$35,MATCH(节奏总纲!H37,$B$22:$B$35,1)),MIN($E$22:$E$35))*IFERROR(INDEX($F$22:$F$35,MATCH(节奏总纲!H37,$B$22:$B$35,1)),MIN($F$22:$F$35))</f>
        <v>76776.267190778308</v>
      </c>
      <c r="AQ41" s="2">
        <v>34</v>
      </c>
      <c r="AR41" s="2">
        <f t="shared" si="6"/>
        <v>11746.436321476207</v>
      </c>
      <c r="AS41" s="2">
        <f t="shared" si="7"/>
        <v>20415.903550760064</v>
      </c>
      <c r="AT41" s="2">
        <f t="shared" si="8"/>
        <v>33087.518025461672</v>
      </c>
      <c r="AU41" s="2">
        <f t="shared" si="9"/>
        <v>61405.371593768345</v>
      </c>
      <c r="AV41" s="2">
        <f t="shared" si="10"/>
        <v>95281.861276367054</v>
      </c>
      <c r="AX41" s="41">
        <f t="shared" si="11"/>
        <v>0</v>
      </c>
      <c r="AY41" s="41">
        <f t="shared" si="12"/>
        <v>0.35866095525925135</v>
      </c>
      <c r="AZ41" s="41">
        <f t="shared" si="13"/>
        <v>0.5386624231306385</v>
      </c>
      <c r="BA41" s="41">
        <f t="shared" si="14"/>
        <v>0.73755359560069345</v>
      </c>
      <c r="BB41" s="41">
        <f t="shared" si="15"/>
        <v>0.80578051438444431</v>
      </c>
      <c r="BD41" s="2" t="e">
        <f t="shared" si="16"/>
        <v>#DIV/0!</v>
      </c>
      <c r="BE41" s="2">
        <f t="shared" si="17"/>
        <v>5.0331390608505844</v>
      </c>
      <c r="BF41" s="2">
        <f t="shared" si="18"/>
        <v>4.6704404768933294</v>
      </c>
      <c r="BG41" s="2">
        <f t="shared" si="19"/>
        <v>4.2154526594991264</v>
      </c>
      <c r="BH41" s="2">
        <f t="shared" si="20"/>
        <v>4.1488139659654548</v>
      </c>
    </row>
    <row r="42" spans="2:60" x14ac:dyDescent="0.2">
      <c r="K42" s="2">
        <v>35</v>
      </c>
      <c r="L42" s="2">
        <f>标准城池设计!AB38*$B$10/C$14*$C$5*C$7</f>
        <v>30408802.575907834</v>
      </c>
      <c r="M42" s="2">
        <f>标准城池设计!AC38*$B$10/D$14*$C$5*D$7</f>
        <v>33896957.00844644</v>
      </c>
      <c r="N42" s="2">
        <f>标准城池设计!AD38*$B$10/E$14*$C$5*E$7</f>
        <v>39333098.823334433</v>
      </c>
      <c r="O42" s="2">
        <f>标准城池设计!AE38*$B$10/F$14*$C$5*F$7</f>
        <v>41538951.372235782</v>
      </c>
      <c r="P42" s="2">
        <f>标准城池设计!AF38*$B$10/G$14*$C$5*G$7</f>
        <v>47741569.749385357</v>
      </c>
      <c r="Q42" s="2">
        <f t="shared" si="4"/>
        <v>4774.1569749385353</v>
      </c>
      <c r="U42" s="2">
        <v>35</v>
      </c>
      <c r="V42" s="2">
        <f>其他调用!R39*6*其他调用!BM39*$B$10/C$15*$C$5*C$8/3</f>
        <v>0</v>
      </c>
      <c r="W42" s="2">
        <f>其他调用!S39*6*其他调用!BN39*$B$10/D$15*$C$5*D$8/3</f>
        <v>483671.3008963</v>
      </c>
      <c r="X42" s="2">
        <f>其他调用!T39*6*其他调用!BO39*$B$10/E$15*$C$5*E$8/3</f>
        <v>1178233.1147454141</v>
      </c>
      <c r="Y42" s="2">
        <f>其他调用!U39*6*其他调用!BP39*$B$10/F$15*$C$5*F$8/3</f>
        <v>2991017.5774835073</v>
      </c>
      <c r="Z42" s="2">
        <f>其他调用!V39*6*其他调用!BQ39*$B$10/G$15*$C$5*G$8/3</f>
        <v>5068349.5482446207</v>
      </c>
      <c r="AA42" s="2">
        <f t="shared" si="5"/>
        <v>506.83495482446205</v>
      </c>
      <c r="AE42" s="2">
        <v>35</v>
      </c>
      <c r="AF42" s="2">
        <f>L42/IFERROR(INDEX($C$22:$C$35,MATCH(节奏总纲!D38,$B$22:$B$35,1)),MIN($C$22:$C$35))*IFERROR(INDEX($D$22:$D$35,MATCH(节奏总纲!D38,$B$22:$B$35,1)),MIN($D$22:$D$35))</f>
        <v>12163.521030363134</v>
      </c>
      <c r="AG42" s="2">
        <f>M42/IFERROR(INDEX($C$22:$C$35,MATCH(节奏总纲!E38,$B$22:$B$35,1)),MIN($C$22:$C$35))*IFERROR(INDEX($D$22:$D$35,MATCH(节奏总纲!E38,$B$22:$B$35,1)),MIN($D$22:$D$35))</f>
        <v>13558.782803378575</v>
      </c>
      <c r="AH42" s="2">
        <f>N42/IFERROR(INDEX($C$22:$C$35,MATCH(节奏总纲!F38,$B$22:$B$35,1)),MIN($C$22:$C$35))*IFERROR(INDEX($D$22:$D$35,MATCH(节奏总纲!F38,$B$22:$B$35,1)),MIN($D$22:$D$35))</f>
        <v>15733.239529333774</v>
      </c>
      <c r="AI42" s="2">
        <f>O42/IFERROR(INDEX($C$22:$C$35,MATCH(节奏总纲!G38,$B$22:$B$35,1)),MIN($C$22:$C$35))*IFERROR(INDEX($D$22:$D$35,MATCH(节奏总纲!G38,$B$22:$B$35,1)),MIN($D$22:$D$35))</f>
        <v>16615.580548894312</v>
      </c>
      <c r="AJ42" s="2">
        <f>P42/IFERROR(INDEX($C$22:$C$35,MATCH(节奏总纲!H38,$B$22:$B$35,1)),MIN($C$22:$C$35))*IFERROR(INDEX($D$22:$D$35,MATCH(节奏总纲!H38,$B$22:$B$35,1)),MIN($D$22:$D$35))</f>
        <v>19096.627899754141</v>
      </c>
      <c r="AK42" s="2">
        <f>V42/IFERROR(INDEX($E$22:$E$35,MATCH(节奏总纲!D38,$B$22:$B$35,1)),MIN($E$22:$E$35))*IFERROR(INDEX($F$22:$F$35,MATCH(节奏总纲!D38,$B$22:$B$35,1)),MIN($F$22:$F$35))</f>
        <v>0</v>
      </c>
      <c r="AL42" s="2">
        <f>W42/IFERROR(INDEX($E$22:$E$35,MATCH(节奏总纲!E38,$B$22:$B$35,1)),MIN($E$22:$E$35))*IFERROR(INDEX($F$22:$F$35,MATCH(节奏总纲!E38,$B$22:$B$35,1)),MIN($F$22:$F$35))</f>
        <v>7441.0969368661536</v>
      </c>
      <c r="AM42" s="2">
        <f>X42/IFERROR(INDEX($E$22:$E$35,MATCH(节奏总纲!F38,$B$22:$B$35,1)),MIN($E$22:$E$35))*IFERROR(INDEX($F$22:$F$35,MATCH(节奏总纲!F38,$B$22:$B$35,1)),MIN($F$22:$F$35))</f>
        <v>18126.6633037756</v>
      </c>
      <c r="AN42" s="2">
        <f>Y42/IFERROR(INDEX($E$22:$E$35,MATCH(节奏总纲!G38,$B$22:$B$35,1)),MIN($E$22:$E$35))*IFERROR(INDEX($F$22:$F$35,MATCH(节奏总纲!G38,$B$22:$B$35,1)),MIN($F$22:$F$35))</f>
        <v>46015.655038207806</v>
      </c>
      <c r="AO42" s="2">
        <f>Z42/IFERROR(INDEX($E$22:$E$35,MATCH(节奏总纲!H38,$B$22:$B$35,1)),MIN($E$22:$E$35))*IFERROR(INDEX($F$22:$F$35,MATCH(节奏总纲!H38,$B$22:$B$35,1)),MIN($F$22:$F$35))</f>
        <v>77974.608434532624</v>
      </c>
      <c r="AQ42" s="2">
        <v>35</v>
      </c>
      <c r="AR42" s="2">
        <f t="shared" si="6"/>
        <v>12163.521030363134</v>
      </c>
      <c r="AS42" s="2">
        <f t="shared" si="7"/>
        <v>20999.879740244731</v>
      </c>
      <c r="AT42" s="2">
        <f t="shared" si="8"/>
        <v>33859.902833109372</v>
      </c>
      <c r="AU42" s="2">
        <f t="shared" si="9"/>
        <v>62631.235587102114</v>
      </c>
      <c r="AV42" s="2">
        <f t="shared" si="10"/>
        <v>97071.236334286761</v>
      </c>
      <c r="AX42" s="41">
        <f t="shared" si="11"/>
        <v>0</v>
      </c>
      <c r="AY42" s="41">
        <f t="shared" si="12"/>
        <v>0.35433997855739319</v>
      </c>
      <c r="AZ42" s="41">
        <f t="shared" si="13"/>
        <v>0.53534303961589425</v>
      </c>
      <c r="BA42" s="41">
        <f t="shared" si="14"/>
        <v>0.73470776373576741</v>
      </c>
      <c r="BB42" s="41">
        <f t="shared" si="15"/>
        <v>0.80327202350662785</v>
      </c>
      <c r="BD42" s="2" t="e">
        <f t="shared" si="16"/>
        <v>#DIV/0!</v>
      </c>
      <c r="BE42" s="2">
        <f t="shared" si="17"/>
        <v>4.9392245161643755</v>
      </c>
      <c r="BF42" s="2">
        <f t="shared" si="18"/>
        <v>4.6085011977296659</v>
      </c>
      <c r="BG42" s="2">
        <f t="shared" si="19"/>
        <v>4.1541420929709787</v>
      </c>
      <c r="BH42" s="2">
        <f t="shared" si="20"/>
        <v>4.0831611132526966</v>
      </c>
    </row>
    <row r="43" spans="2:60" x14ac:dyDescent="0.2">
      <c r="K43" s="2">
        <v>36</v>
      </c>
      <c r="L43" s="2">
        <f>标准城池设计!AB39*$B$10/C$14*$C$5*C$7</f>
        <v>31714577.915259521</v>
      </c>
      <c r="M43" s="2">
        <f>标准城池设计!AC39*$B$10/D$14*$C$5*D$7</f>
        <v>35159656.290153787</v>
      </c>
      <c r="N43" s="2">
        <f>标准城池设计!AD39*$B$10/E$14*$C$5*E$7</f>
        <v>40442665.419908851</v>
      </c>
      <c r="O43" s="2">
        <f>标准城池设计!AE39*$B$10/F$14*$C$5*F$7</f>
        <v>42817398.621713661</v>
      </c>
      <c r="P43" s="2">
        <f>标准城池设计!AF39*$B$10/G$14*$C$5*G$7</f>
        <v>49236510.090009689</v>
      </c>
      <c r="Q43" s="2">
        <f t="shared" si="4"/>
        <v>4923.6510090009688</v>
      </c>
      <c r="U43" s="2">
        <v>36</v>
      </c>
      <c r="V43" s="2">
        <f>其他调用!R40*6*其他调用!BM40*$B$10/C$15*$C$5*C$8/3</f>
        <v>0</v>
      </c>
      <c r="W43" s="2">
        <f>其他调用!S40*6*其他调用!BN40*$B$10/D$15*$C$5*D$8/3</f>
        <v>491689.62578491034</v>
      </c>
      <c r="X43" s="2">
        <f>其他调用!T40*6*其他调用!BO40*$B$10/E$15*$C$5*E$8/3</f>
        <v>1196430.1992200373</v>
      </c>
      <c r="Y43" s="2">
        <f>其他调用!U40*6*其他调用!BP40*$B$10/F$15*$C$5*F$8/3</f>
        <v>3038370.7302546557</v>
      </c>
      <c r="Z43" s="2">
        <f>其他调用!V40*6*其他调用!BQ40*$B$10/G$15*$C$5*G$8/3</f>
        <v>5143957.9501017053</v>
      </c>
      <c r="AA43" s="2">
        <f t="shared" si="5"/>
        <v>514.39579501017056</v>
      </c>
      <c r="AE43" s="2">
        <v>36</v>
      </c>
      <c r="AF43" s="2">
        <f>L43/IFERROR(INDEX($C$22:$C$35,MATCH(节奏总纲!D39,$B$22:$B$35,1)),MIN($C$22:$C$35))*IFERROR(INDEX($D$22:$D$35,MATCH(节奏总纲!D39,$B$22:$B$35,1)),MIN($D$22:$D$35))</f>
        <v>12685.831166103808</v>
      </c>
      <c r="AG43" s="2">
        <f>M43/IFERROR(INDEX($C$22:$C$35,MATCH(节奏总纲!E39,$B$22:$B$35,1)),MIN($C$22:$C$35))*IFERROR(INDEX($D$22:$D$35,MATCH(节奏总纲!E39,$B$22:$B$35,1)),MIN($D$22:$D$35))</f>
        <v>14063.862516061514</v>
      </c>
      <c r="AH43" s="2">
        <f>N43/IFERROR(INDEX($C$22:$C$35,MATCH(节奏总纲!F39,$B$22:$B$35,1)),MIN($C$22:$C$35))*IFERROR(INDEX($D$22:$D$35,MATCH(节奏总纲!F39,$B$22:$B$35,1)),MIN($D$22:$D$35))</f>
        <v>16177.066167963541</v>
      </c>
      <c r="AI43" s="2">
        <f>O43/IFERROR(INDEX($C$22:$C$35,MATCH(节奏总纲!G39,$B$22:$B$35,1)),MIN($C$22:$C$35))*IFERROR(INDEX($D$22:$D$35,MATCH(节奏总纲!G39,$B$22:$B$35,1)),MIN($D$22:$D$35))</f>
        <v>17126.959448685466</v>
      </c>
      <c r="AJ43" s="2">
        <f>P43/IFERROR(INDEX($C$22:$C$35,MATCH(节奏总纲!H39,$B$22:$B$35,1)),MIN($C$22:$C$35))*IFERROR(INDEX($D$22:$D$35,MATCH(节奏总纲!H39,$B$22:$B$35,1)),MIN($D$22:$D$35))</f>
        <v>19694.604036003875</v>
      </c>
      <c r="AK43" s="2">
        <f>V43/IFERROR(INDEX($E$22:$E$35,MATCH(节奏总纲!D39,$B$22:$B$35,1)),MIN($E$22:$E$35))*IFERROR(INDEX($F$22:$F$35,MATCH(节奏总纲!D39,$B$22:$B$35,1)),MIN($F$22:$F$35))</f>
        <v>0</v>
      </c>
      <c r="AL43" s="2">
        <f>W43/IFERROR(INDEX($E$22:$E$35,MATCH(节奏总纲!E39,$B$22:$B$35,1)),MIN($E$22:$E$35))*IFERROR(INDEX($F$22:$F$35,MATCH(节奏总纲!E39,$B$22:$B$35,1)),MIN($F$22:$F$35))</f>
        <v>7564.4557813063129</v>
      </c>
      <c r="AM43" s="2">
        <f>X43/IFERROR(INDEX($E$22:$E$35,MATCH(节奏总纲!F39,$B$22:$B$35,1)),MIN($E$22:$E$35))*IFERROR(INDEX($F$22:$F$35,MATCH(节奏总纲!F39,$B$22:$B$35,1)),MIN($F$22:$F$35))</f>
        <v>18406.618449539037</v>
      </c>
      <c r="AN43" s="2">
        <f>Y43/IFERROR(INDEX($E$22:$E$35,MATCH(节奏总纲!G39,$B$22:$B$35,1)),MIN($E$22:$E$35))*IFERROR(INDEX($F$22:$F$35,MATCH(节奏总纲!G39,$B$22:$B$35,1)),MIN($F$22:$F$35))</f>
        <v>46744.165080840859</v>
      </c>
      <c r="AO43" s="2">
        <f>Z43/IFERROR(INDEX($E$22:$E$35,MATCH(节奏总纲!H39,$B$22:$B$35,1)),MIN($E$22:$E$35))*IFERROR(INDEX($F$22:$F$35,MATCH(节奏总纲!H39,$B$22:$B$35,1)),MIN($F$22:$F$35))</f>
        <v>79137.814616949312</v>
      </c>
      <c r="AQ43" s="2">
        <v>36</v>
      </c>
      <c r="AR43" s="2">
        <f t="shared" si="6"/>
        <v>12685.831166103808</v>
      </c>
      <c r="AS43" s="2">
        <f t="shared" si="7"/>
        <v>21628.318297367827</v>
      </c>
      <c r="AT43" s="2">
        <f t="shared" si="8"/>
        <v>34583.684617502578</v>
      </c>
      <c r="AU43" s="2">
        <f t="shared" si="9"/>
        <v>63871.124529526322</v>
      </c>
      <c r="AV43" s="2">
        <f t="shared" si="10"/>
        <v>98832.418652953187</v>
      </c>
      <c r="AX43" s="41">
        <f t="shared" si="11"/>
        <v>0</v>
      </c>
      <c r="AY43" s="41">
        <f t="shared" si="12"/>
        <v>0.34974775557223559</v>
      </c>
      <c r="AZ43" s="41">
        <f t="shared" si="13"/>
        <v>0.53223416339575247</v>
      </c>
      <c r="BA43" s="41">
        <f t="shared" si="14"/>
        <v>0.73185129313375374</v>
      </c>
      <c r="BB43" s="41">
        <f t="shared" si="15"/>
        <v>0.80072728863227727</v>
      </c>
      <c r="BD43" s="2" t="e">
        <f t="shared" si="16"/>
        <v>#DIV/0!</v>
      </c>
      <c r="BE43" s="2">
        <f t="shared" si="17"/>
        <v>4.8407826764522577</v>
      </c>
      <c r="BF43" s="2">
        <f t="shared" si="18"/>
        <v>4.5512871761607361</v>
      </c>
      <c r="BG43" s="2">
        <f t="shared" si="19"/>
        <v>4.09391099636444</v>
      </c>
      <c r="BH43" s="2">
        <f t="shared" si="20"/>
        <v>4.0182485757152975</v>
      </c>
    </row>
    <row r="44" spans="2:60" x14ac:dyDescent="0.2">
      <c r="K44" s="2">
        <v>37</v>
      </c>
      <c r="L44" s="2">
        <f>标准城池设计!AB40*$B$10/C$14*$C$5*C$7</f>
        <v>32944017.456941675</v>
      </c>
      <c r="M44" s="2">
        <f>标准城池设计!AC40*$B$10/D$14*$C$5*D$7</f>
        <v>36463784.64561215</v>
      </c>
      <c r="N44" s="2">
        <f>标准城池设计!AD40*$B$10/E$14*$C$5*E$7</f>
        <v>41579572.016931623</v>
      </c>
      <c r="O44" s="2">
        <f>标准城池设计!AE40*$B$10/F$14*$C$5*F$7</f>
        <v>44125928.760075055</v>
      </c>
      <c r="P44" s="2">
        <f>标准城池设计!AF40*$B$10/G$14*$C$5*G$7</f>
        <v>50748083.944410078</v>
      </c>
      <c r="Q44" s="2">
        <f t="shared" si="4"/>
        <v>5074.8083944410082</v>
      </c>
      <c r="U44" s="2">
        <v>37</v>
      </c>
      <c r="V44" s="2">
        <f>其他调用!R41*6*其他调用!BM41*$B$10/C$15*$C$5*C$8/3</f>
        <v>0</v>
      </c>
      <c r="W44" s="2">
        <f>其他调用!S41*6*其他调用!BN41*$B$10/D$15*$C$5*D$8/3</f>
        <v>499337.44297307037</v>
      </c>
      <c r="X44" s="2">
        <f>其他调用!T41*6*其他调用!BO41*$B$10/E$15*$C$5*E$8/3</f>
        <v>1215492.4683344448</v>
      </c>
      <c r="Y44" s="2">
        <f>其他调用!U41*6*其他调用!BP41*$B$10/F$15*$C$5*F$8/3</f>
        <v>3083069.3785379734</v>
      </c>
      <c r="Z44" s="2">
        <f>其他调用!V41*6*其他调用!BQ41*$B$10/G$15*$C$5*G$8/3</f>
        <v>5222446.7731104717</v>
      </c>
      <c r="AA44" s="2">
        <f t="shared" si="5"/>
        <v>522.24467731104721</v>
      </c>
      <c r="AE44" s="2">
        <v>37</v>
      </c>
      <c r="AF44" s="2">
        <f>L44/IFERROR(INDEX($C$22:$C$35,MATCH(节奏总纲!D40,$B$22:$B$35,1)),MIN($C$22:$C$35))*IFERROR(INDEX($D$22:$D$35,MATCH(节奏总纲!D40,$B$22:$B$35,1)),MIN($D$22:$D$35))</f>
        <v>13177.60698277667</v>
      </c>
      <c r="AG44" s="2">
        <f>M44/IFERROR(INDEX($C$22:$C$35,MATCH(节奏总纲!E40,$B$22:$B$35,1)),MIN($C$22:$C$35))*IFERROR(INDEX($D$22:$D$35,MATCH(节奏总纲!E40,$B$22:$B$35,1)),MIN($D$22:$D$35))</f>
        <v>14585.51385824486</v>
      </c>
      <c r="AH44" s="2">
        <f>N44/IFERROR(INDEX($C$22:$C$35,MATCH(节奏总纲!F40,$B$22:$B$35,1)),MIN($C$22:$C$35))*IFERROR(INDEX($D$22:$D$35,MATCH(节奏总纲!F40,$B$22:$B$35,1)),MIN($D$22:$D$35))</f>
        <v>16631.82880677265</v>
      </c>
      <c r="AI44" s="2">
        <f>O44/IFERROR(INDEX($C$22:$C$35,MATCH(节奏总纲!G40,$B$22:$B$35,1)),MIN($C$22:$C$35))*IFERROR(INDEX($D$22:$D$35,MATCH(节奏总纲!G40,$B$22:$B$35,1)),MIN($D$22:$D$35))</f>
        <v>17650.371504030023</v>
      </c>
      <c r="AJ44" s="2">
        <f>P44/IFERROR(INDEX($C$22:$C$35,MATCH(节奏总纲!H40,$B$22:$B$35,1)),MIN($C$22:$C$35))*IFERROR(INDEX($D$22:$D$35,MATCH(节奏总纲!H40,$B$22:$B$35,1)),MIN($D$22:$D$35))</f>
        <v>20299.233577764033</v>
      </c>
      <c r="AK44" s="2">
        <f>V44/IFERROR(INDEX($E$22:$E$35,MATCH(节奏总纲!D40,$B$22:$B$35,1)),MIN($E$22:$E$35))*IFERROR(INDEX($F$22:$F$35,MATCH(节奏总纲!D40,$B$22:$B$35,1)),MIN($F$22:$F$35))</f>
        <v>0</v>
      </c>
      <c r="AL44" s="2">
        <f>W44/IFERROR(INDEX($E$22:$E$35,MATCH(节奏总纲!E40,$B$22:$B$35,1)),MIN($E$22:$E$35))*IFERROR(INDEX($F$22:$F$35,MATCH(节奏总纲!E40,$B$22:$B$35,1)),MIN($F$22:$F$35))</f>
        <v>7682.1145072780055</v>
      </c>
      <c r="AM44" s="2">
        <f>X44/IFERROR(INDEX($E$22:$E$35,MATCH(节奏总纲!F40,$B$22:$B$35,1)),MIN($E$22:$E$35))*IFERROR(INDEX($F$22:$F$35,MATCH(节奏总纲!F40,$B$22:$B$35,1)),MIN($F$22:$F$35))</f>
        <v>18699.884128222227</v>
      </c>
      <c r="AN44" s="2">
        <f>Y44/IFERROR(INDEX($E$22:$E$35,MATCH(节奏总纲!G40,$B$22:$B$35,1)),MIN($E$22:$E$35))*IFERROR(INDEX($F$22:$F$35,MATCH(节奏总纲!G40,$B$22:$B$35,1)),MIN($F$22:$F$35))</f>
        <v>47431.836592891901</v>
      </c>
      <c r="AO44" s="2">
        <f>Z44/IFERROR(INDEX($E$22:$E$35,MATCH(节奏总纲!H40,$B$22:$B$35,1)),MIN($E$22:$E$35))*IFERROR(INDEX($F$22:$F$35,MATCH(节奏总纲!H40,$B$22:$B$35,1)),MIN($F$22:$F$35))</f>
        <v>80345.334970930329</v>
      </c>
      <c r="AQ44" s="2">
        <v>37</v>
      </c>
      <c r="AR44" s="2">
        <f t="shared" si="6"/>
        <v>13177.60698277667</v>
      </c>
      <c r="AS44" s="2">
        <f t="shared" si="7"/>
        <v>22267.628365522865</v>
      </c>
      <c r="AT44" s="2">
        <f t="shared" si="8"/>
        <v>35331.712934994881</v>
      </c>
      <c r="AU44" s="2">
        <f t="shared" si="9"/>
        <v>65082.208096921924</v>
      </c>
      <c r="AV44" s="2">
        <f t="shared" si="10"/>
        <v>100644.56854869437</v>
      </c>
      <c r="AX44" s="41">
        <f t="shared" si="11"/>
        <v>0</v>
      </c>
      <c r="AY44" s="41">
        <f t="shared" si="12"/>
        <v>0.34499024239026194</v>
      </c>
      <c r="AZ44" s="41">
        <f t="shared" si="13"/>
        <v>0.52926627595518072</v>
      </c>
      <c r="BA44" s="41">
        <f t="shared" si="14"/>
        <v>0.72879882197996904</v>
      </c>
      <c r="BB44" s="41">
        <f t="shared" si="15"/>
        <v>0.79830770929339556</v>
      </c>
      <c r="BD44" s="2" t="e">
        <f t="shared" si="16"/>
        <v>#DIV/0!</v>
      </c>
      <c r="BE44" s="2">
        <f t="shared" si="17"/>
        <v>4.7402533251455754</v>
      </c>
      <c r="BF44" s="2">
        <f t="shared" si="18"/>
        <v>4.497372921637445</v>
      </c>
      <c r="BG44" s="2">
        <f t="shared" si="19"/>
        <v>4.0309494263672025</v>
      </c>
      <c r="BH44" s="2">
        <f t="shared" si="20"/>
        <v>3.9580477096899536</v>
      </c>
    </row>
    <row r="45" spans="2:60" x14ac:dyDescent="0.2">
      <c r="K45" s="2">
        <v>38</v>
      </c>
      <c r="L45" s="2">
        <f>标准城池设计!AB41*$B$10/C$14*$C$5*C$7</f>
        <v>34209028.602827214</v>
      </c>
      <c r="M45" s="2">
        <f>标准城池设计!AC41*$B$10/D$14*$C$5*D$7</f>
        <v>37781899.313271917</v>
      </c>
      <c r="N45" s="2">
        <f>标准城池设计!AD41*$B$10/E$14*$C$5*E$7</f>
        <v>42819624.033906013</v>
      </c>
      <c r="O45" s="2">
        <f>标准城池设计!AE41*$B$10/F$14*$C$5*F$7</f>
        <v>45466007.088837199</v>
      </c>
      <c r="P45" s="2">
        <f>标准城池设计!AF41*$B$10/G$14*$C$5*G$7</f>
        <v>52296558.397766441</v>
      </c>
      <c r="Q45" s="2">
        <f t="shared" si="4"/>
        <v>5229.6558397766439</v>
      </c>
      <c r="U45" s="2">
        <v>38</v>
      </c>
      <c r="V45" s="2">
        <f>其他调用!R42*6*其他调用!BM42*$B$10/C$15*$C$5*C$8/3</f>
        <v>0</v>
      </c>
      <c r="W45" s="2">
        <f>其他调用!S42*6*其他调用!BN42*$B$10/D$15*$C$5*D$8/3</f>
        <v>507102.62409538153</v>
      </c>
      <c r="X45" s="2">
        <f>其他调用!T42*6*其他调用!BO42*$B$10/E$15*$C$5*E$8/3</f>
        <v>1233453.0891141479</v>
      </c>
      <c r="Y45" s="2">
        <f>其他调用!U42*6*其他调用!BP42*$B$10/F$15*$C$5*F$8/3</f>
        <v>3130002.2325863368</v>
      </c>
      <c r="Z45" s="2">
        <f>其他调用!V42*6*其他调用!BQ42*$B$10/G$15*$C$5*G$8/3</f>
        <v>5298670.661853184</v>
      </c>
      <c r="AA45" s="2">
        <f t="shared" si="5"/>
        <v>529.86706618531844</v>
      </c>
      <c r="AE45" s="2">
        <v>38</v>
      </c>
      <c r="AF45" s="2">
        <f>L45/IFERROR(INDEX($C$22:$C$35,MATCH(节奏总纲!D41,$B$22:$B$35,1)),MIN($C$22:$C$35))*IFERROR(INDEX($D$22:$D$35,MATCH(节奏总纲!D41,$B$22:$B$35,1)),MIN($D$22:$D$35))</f>
        <v>13683.611441130886</v>
      </c>
      <c r="AG45" s="2">
        <f>M45/IFERROR(INDEX($C$22:$C$35,MATCH(节奏总纲!E41,$B$22:$B$35,1)),MIN($C$22:$C$35))*IFERROR(INDEX($D$22:$D$35,MATCH(节奏总纲!E41,$B$22:$B$35,1)),MIN($D$22:$D$35))</f>
        <v>15112.759725308766</v>
      </c>
      <c r="AH45" s="2">
        <f>N45/IFERROR(INDEX($C$22:$C$35,MATCH(节奏总纲!F41,$B$22:$B$35,1)),MIN($C$22:$C$35))*IFERROR(INDEX($D$22:$D$35,MATCH(节奏总纲!F41,$B$22:$B$35,1)),MIN($D$22:$D$35))</f>
        <v>17127.849613562405</v>
      </c>
      <c r="AI45" s="2">
        <f>O45/IFERROR(INDEX($C$22:$C$35,MATCH(节奏总纲!G41,$B$22:$B$35,1)),MIN($C$22:$C$35))*IFERROR(INDEX($D$22:$D$35,MATCH(节奏总纲!G41,$B$22:$B$35,1)),MIN($D$22:$D$35))</f>
        <v>18186.402835534878</v>
      </c>
      <c r="AJ45" s="2">
        <f>P45/IFERROR(INDEX($C$22:$C$35,MATCH(节奏总纲!H41,$B$22:$B$35,1)),MIN($C$22:$C$35))*IFERROR(INDEX($D$22:$D$35,MATCH(节奏总纲!H41,$B$22:$B$35,1)),MIN($D$22:$D$35))</f>
        <v>20918.623359106576</v>
      </c>
      <c r="AK45" s="2">
        <f>V45/IFERROR(INDEX($E$22:$E$35,MATCH(节奏总纲!D41,$B$22:$B$35,1)),MIN($E$22:$E$35))*IFERROR(INDEX($F$22:$F$35,MATCH(节奏总纲!D41,$B$22:$B$35,1)),MIN($F$22:$F$35))</f>
        <v>0</v>
      </c>
      <c r="AL45" s="2">
        <f>W45/IFERROR(INDEX($E$22:$E$35,MATCH(节奏总纲!E41,$B$22:$B$35,1)),MIN($E$22:$E$35))*IFERROR(INDEX($F$22:$F$35,MATCH(节奏总纲!E41,$B$22:$B$35,1)),MIN($F$22:$F$35))</f>
        <v>7801.5788322366388</v>
      </c>
      <c r="AM45" s="2">
        <f>X45/IFERROR(INDEX($E$22:$E$35,MATCH(节奏总纲!F41,$B$22:$B$35,1)),MIN($E$22:$E$35))*IFERROR(INDEX($F$22:$F$35,MATCH(节奏总纲!F41,$B$22:$B$35,1)),MIN($F$22:$F$35))</f>
        <v>18976.201370986892</v>
      </c>
      <c r="AN45" s="2">
        <f>Y45/IFERROR(INDEX($E$22:$E$35,MATCH(节奏总纲!G41,$B$22:$B$35,1)),MIN($E$22:$E$35))*IFERROR(INDEX($F$22:$F$35,MATCH(节奏总纲!G41,$B$22:$B$35,1)),MIN($F$22:$F$35))</f>
        <v>48153.880501328262</v>
      </c>
      <c r="AO45" s="2">
        <f>Z45/IFERROR(INDEX($E$22:$E$35,MATCH(节奏总纲!H41,$B$22:$B$35,1)),MIN($E$22:$E$35))*IFERROR(INDEX($F$22:$F$35,MATCH(节奏总纲!H41,$B$22:$B$35,1)),MIN($F$22:$F$35))</f>
        <v>81518.01018235668</v>
      </c>
      <c r="AQ45" s="2">
        <v>38</v>
      </c>
      <c r="AR45" s="2">
        <f t="shared" si="6"/>
        <v>13683.611441130886</v>
      </c>
      <c r="AS45" s="2">
        <f t="shared" si="7"/>
        <v>22914.338557545405</v>
      </c>
      <c r="AT45" s="2">
        <f t="shared" si="8"/>
        <v>36104.050984549292</v>
      </c>
      <c r="AU45" s="2">
        <f t="shared" si="9"/>
        <v>66340.28333686314</v>
      </c>
      <c r="AV45" s="2">
        <f t="shared" si="10"/>
        <v>102436.63354146326</v>
      </c>
      <c r="AX45" s="41">
        <f t="shared" si="11"/>
        <v>0</v>
      </c>
      <c r="AY45" s="41">
        <f t="shared" si="12"/>
        <v>0.34046711898946247</v>
      </c>
      <c r="AZ45" s="41">
        <f t="shared" si="13"/>
        <v>0.52559756740615471</v>
      </c>
      <c r="BA45" s="41">
        <f t="shared" si="14"/>
        <v>0.72586184561214728</v>
      </c>
      <c r="BB45" s="41">
        <f t="shared" si="15"/>
        <v>0.7957896249036791</v>
      </c>
      <c r="BD45" s="2" t="e">
        <f t="shared" si="16"/>
        <v>#DIV/0!</v>
      </c>
      <c r="BE45" s="2">
        <f t="shared" si="17"/>
        <v>4.646021690700521</v>
      </c>
      <c r="BF45" s="2">
        <f t="shared" si="18"/>
        <v>4.4316599687939586</v>
      </c>
      <c r="BG45" s="2">
        <f t="shared" si="19"/>
        <v>3.9716936551553084</v>
      </c>
      <c r="BH45" s="2">
        <f t="shared" si="20"/>
        <v>3.8969108426950649</v>
      </c>
    </row>
    <row r="46" spans="2:60" x14ac:dyDescent="0.2">
      <c r="K46" s="2">
        <v>39</v>
      </c>
      <c r="L46" s="2">
        <f>标准城池设计!AB42*$B$10/C$14*$C$5*C$7</f>
        <v>35510942.456773065</v>
      </c>
      <c r="M46" s="2">
        <f>标准城池设计!AC42*$B$10/D$14*$C$5*D$7</f>
        <v>39030979.366831101</v>
      </c>
      <c r="N46" s="2">
        <f>标准城池设计!AD42*$B$10/E$14*$C$5*E$7</f>
        <v>44102071.177392416</v>
      </c>
      <c r="O46" s="2">
        <f>标准城池设计!AE42*$B$10/F$14*$C$5*F$7</f>
        <v>46842317.353492282</v>
      </c>
      <c r="P46" s="2">
        <f>标准城池设计!AF42*$B$10/G$14*$C$5*G$7</f>
        <v>53885970.280239254</v>
      </c>
      <c r="Q46" s="2">
        <f t="shared" si="4"/>
        <v>5388.5970280239253</v>
      </c>
      <c r="U46" s="2">
        <v>39</v>
      </c>
      <c r="V46" s="2">
        <f>其他调用!R43*6*其他调用!BM43*$B$10/C$15*$C$5*C$8/3</f>
        <v>0</v>
      </c>
      <c r="W46" s="2">
        <f>其他调用!S43*6*其他调用!BN43*$B$10/D$15*$C$5*D$8/3</f>
        <v>514764.99966786406</v>
      </c>
      <c r="X46" s="2">
        <f>其他调用!T43*6*其他调用!BO43*$B$10/E$15*$C$5*E$8/3</f>
        <v>1251820.9962316602</v>
      </c>
      <c r="Y46" s="2">
        <f>其他调用!U43*6*其他调用!BP43*$B$10/F$15*$C$5*F$8/3</f>
        <v>3174975.611690029</v>
      </c>
      <c r="Z46" s="2">
        <f>其他调用!V43*6*其他调用!BQ43*$B$10/G$15*$C$5*G$8/3</f>
        <v>5377970.2164179366</v>
      </c>
      <c r="AA46" s="2">
        <f t="shared" si="5"/>
        <v>537.79702164179366</v>
      </c>
      <c r="AE46" s="2">
        <v>39</v>
      </c>
      <c r="AF46" s="2">
        <f>L46/IFERROR(INDEX($C$22:$C$35,MATCH(节奏总纲!D42,$B$22:$B$35,1)),MIN($C$22:$C$35))*IFERROR(INDEX($D$22:$D$35,MATCH(节奏总纲!D42,$B$22:$B$35,1)),MIN($D$22:$D$35))</f>
        <v>14204.376982709226</v>
      </c>
      <c r="AG46" s="2">
        <f>M46/IFERROR(INDEX($C$22:$C$35,MATCH(节奏总纲!E42,$B$22:$B$35,1)),MIN($C$22:$C$35))*IFERROR(INDEX($D$22:$D$35,MATCH(节奏总纲!E42,$B$22:$B$35,1)),MIN($D$22:$D$35))</f>
        <v>15612.391746732441</v>
      </c>
      <c r="AH46" s="2">
        <f>N46/IFERROR(INDEX($C$22:$C$35,MATCH(节奏总纲!F42,$B$22:$B$35,1)),MIN($C$22:$C$35))*IFERROR(INDEX($D$22:$D$35,MATCH(节奏总纲!F42,$B$22:$B$35,1)),MIN($D$22:$D$35))</f>
        <v>17640.828470956967</v>
      </c>
      <c r="AI46" s="2">
        <f>O46/IFERROR(INDEX($C$22:$C$35,MATCH(节奏总纲!G42,$B$22:$B$35,1)),MIN($C$22:$C$35))*IFERROR(INDEX($D$22:$D$35,MATCH(节奏总纲!G42,$B$22:$B$35,1)),MIN($D$22:$D$35))</f>
        <v>18736.926941396912</v>
      </c>
      <c r="AJ46" s="2">
        <f>P46/IFERROR(INDEX($C$22:$C$35,MATCH(节奏总纲!H42,$B$22:$B$35,1)),MIN($C$22:$C$35))*IFERROR(INDEX($D$22:$D$35,MATCH(节奏总纲!H42,$B$22:$B$35,1)),MIN($D$22:$D$35))</f>
        <v>21554.388112095701</v>
      </c>
      <c r="AK46" s="2">
        <f>V46/IFERROR(INDEX($E$22:$E$35,MATCH(节奏总纲!D42,$B$22:$B$35,1)),MIN($E$22:$E$35))*IFERROR(INDEX($F$22:$F$35,MATCH(节奏总纲!D42,$B$22:$B$35,1)),MIN($F$22:$F$35))</f>
        <v>0</v>
      </c>
      <c r="AL46" s="2">
        <f>W46/IFERROR(INDEX($E$22:$E$35,MATCH(节奏总纲!E42,$B$22:$B$35,1)),MIN($E$22:$E$35))*IFERROR(INDEX($F$22:$F$35,MATCH(节奏总纲!E42,$B$22:$B$35,1)),MIN($F$22:$F$35))</f>
        <v>7919.461533351755</v>
      </c>
      <c r="AM46" s="2">
        <f>X46/IFERROR(INDEX($E$22:$E$35,MATCH(节奏总纲!F42,$B$22:$B$35,1)),MIN($E$22:$E$35))*IFERROR(INDEX($F$22:$F$35,MATCH(节奏总纲!F42,$B$22:$B$35,1)),MIN($F$22:$F$35))</f>
        <v>19258.784557410159</v>
      </c>
      <c r="AN46" s="2">
        <f>Y46/IFERROR(INDEX($E$22:$E$35,MATCH(节奏总纲!G42,$B$22:$B$35,1)),MIN($E$22:$E$35))*IFERROR(INDEX($F$22:$F$35,MATCH(节奏总纲!G42,$B$22:$B$35,1)),MIN($F$22:$F$35))</f>
        <v>48845.778641385063</v>
      </c>
      <c r="AO46" s="2">
        <f>Z46/IFERROR(INDEX($E$22:$E$35,MATCH(节奏总纲!H42,$B$22:$B$35,1)),MIN($E$22:$E$35))*IFERROR(INDEX($F$22:$F$35,MATCH(节奏总纲!H42,$B$22:$B$35,1)),MIN($F$22:$F$35))</f>
        <v>82738.003329506711</v>
      </c>
      <c r="AQ46" s="2">
        <v>39</v>
      </c>
      <c r="AR46" s="2">
        <f t="shared" si="6"/>
        <v>14204.376982709226</v>
      </c>
      <c r="AS46" s="2">
        <f t="shared" si="7"/>
        <v>23531.853280084197</v>
      </c>
      <c r="AT46" s="2">
        <f t="shared" si="8"/>
        <v>36899.613028367123</v>
      </c>
      <c r="AU46" s="2">
        <f t="shared" si="9"/>
        <v>67582.705582781971</v>
      </c>
      <c r="AV46" s="2">
        <f t="shared" si="10"/>
        <v>104292.39144160241</v>
      </c>
      <c r="AX46" s="41">
        <f t="shared" si="11"/>
        <v>0</v>
      </c>
      <c r="AY46" s="41">
        <f t="shared" si="12"/>
        <v>0.33654219406740321</v>
      </c>
      <c r="AZ46" s="41">
        <f t="shared" si="13"/>
        <v>0.5219237541218843</v>
      </c>
      <c r="BA46" s="41">
        <f t="shared" si="14"/>
        <v>0.72275559583145021</v>
      </c>
      <c r="BB46" s="41">
        <f t="shared" si="15"/>
        <v>0.7933273193359951</v>
      </c>
      <c r="BD46" s="2" t="e">
        <f t="shared" si="16"/>
        <v>#DIV/0!</v>
      </c>
      <c r="BE46" s="2">
        <f t="shared" si="17"/>
        <v>4.5652937074861173</v>
      </c>
      <c r="BF46" s="2">
        <f t="shared" si="18"/>
        <v>4.3668662362693285</v>
      </c>
      <c r="BG46" s="2">
        <f t="shared" si="19"/>
        <v>3.9103887308328864</v>
      </c>
      <c r="BH46" s="2">
        <f t="shared" si="20"/>
        <v>3.8385688751274052</v>
      </c>
    </row>
    <row r="47" spans="2:60" x14ac:dyDescent="0.2">
      <c r="K47" s="2">
        <v>40</v>
      </c>
      <c r="L47" s="2">
        <f>标准城池设计!AB43*$B$10/C$14*$C$5*C$7</f>
        <v>36851099.717564166</v>
      </c>
      <c r="M47" s="2">
        <f>标准城池设计!AC43*$B$10/D$14*$C$5*D$7</f>
        <v>40182792.6231509</v>
      </c>
      <c r="N47" s="2">
        <f>标准城池设计!AD43*$B$10/E$14*$C$5*E$7</f>
        <v>45412401.446391106</v>
      </c>
      <c r="O47" s="2">
        <f>标准城池设计!AE43*$B$10/F$14*$C$5*F$7</f>
        <v>48217387.703252837</v>
      </c>
      <c r="P47" s="2">
        <f>标准城池设计!AF43*$B$10/G$14*$C$5*G$7</f>
        <v>55491333.882853672</v>
      </c>
      <c r="Q47" s="2">
        <f t="shared" si="4"/>
        <v>5549.1333882853669</v>
      </c>
      <c r="U47" s="2">
        <v>40</v>
      </c>
      <c r="V47" s="2">
        <f>其他调用!R44*6*其他调用!BM44*$B$10/C$15*$C$5*C$8/3</f>
        <v>0</v>
      </c>
      <c r="W47" s="2">
        <f>其他调用!S44*6*其他调用!BN44*$B$10/D$15*$C$5*D$8/3</f>
        <v>522320.52254018182</v>
      </c>
      <c r="X47" s="2">
        <f>其他调用!T44*6*其他调用!BO44*$B$10/E$15*$C$5*E$8/3</f>
        <v>1270389.0832480839</v>
      </c>
      <c r="Y47" s="2">
        <f>其他调用!U44*6*其他调用!BP44*$B$10/F$15*$C$5*F$8/3</f>
        <v>3222996.0170749272</v>
      </c>
      <c r="Z47" s="2">
        <f>其他调用!V44*6*其他调用!BQ44*$B$10/G$15*$C$5*G$8/3</f>
        <v>5456206.8332980266</v>
      </c>
      <c r="AA47" s="2">
        <f t="shared" si="5"/>
        <v>545.62068332980266</v>
      </c>
      <c r="AE47" s="2">
        <v>40</v>
      </c>
      <c r="AF47" s="2">
        <f>L47/IFERROR(INDEX($C$22:$C$35,MATCH(节奏总纲!D43,$B$22:$B$35,1)),MIN($C$22:$C$35))*IFERROR(INDEX($D$22:$D$35,MATCH(节奏总纲!D43,$B$22:$B$35,1)),MIN($D$22:$D$35))</f>
        <v>14740.439887025666</v>
      </c>
      <c r="AG47" s="2">
        <f>M47/IFERROR(INDEX($C$22:$C$35,MATCH(节奏总纲!E43,$B$22:$B$35,1)),MIN($C$22:$C$35))*IFERROR(INDEX($D$22:$D$35,MATCH(节奏总纲!E43,$B$22:$B$35,1)),MIN($D$22:$D$35))</f>
        <v>16073.11704926036</v>
      </c>
      <c r="AH47" s="2">
        <f>N47/IFERROR(INDEX($C$22:$C$35,MATCH(节奏总纲!F43,$B$22:$B$35,1)),MIN($C$22:$C$35))*IFERROR(INDEX($D$22:$D$35,MATCH(节奏总纲!F43,$B$22:$B$35,1)),MIN($D$22:$D$35))</f>
        <v>18164.960578556442</v>
      </c>
      <c r="AI47" s="2">
        <f>O47/IFERROR(INDEX($C$22:$C$35,MATCH(节奏总纲!G43,$B$22:$B$35,1)),MIN($C$22:$C$35))*IFERROR(INDEX($D$22:$D$35,MATCH(节奏总纲!G43,$B$22:$B$35,1)),MIN($D$22:$D$35))</f>
        <v>19286.955081301134</v>
      </c>
      <c r="AJ47" s="2">
        <f>P47/IFERROR(INDEX($C$22:$C$35,MATCH(节奏总纲!H43,$B$22:$B$35,1)),MIN($C$22:$C$35))*IFERROR(INDEX($D$22:$D$35,MATCH(节奏总纲!H43,$B$22:$B$35,1)),MIN($D$22:$D$35))</f>
        <v>22196.533553141468</v>
      </c>
      <c r="AK47" s="2">
        <f>V47/IFERROR(INDEX($E$22:$E$35,MATCH(节奏总纲!D43,$B$22:$B$35,1)),MIN($E$22:$E$35))*IFERROR(INDEX($F$22:$F$35,MATCH(节奏总纲!D43,$B$22:$B$35,1)),MIN($F$22:$F$35))</f>
        <v>0</v>
      </c>
      <c r="AL47" s="2">
        <f>W47/IFERROR(INDEX($E$22:$E$35,MATCH(节奏总纲!E43,$B$22:$B$35,1)),MIN($E$22:$E$35))*IFERROR(INDEX($F$22:$F$35,MATCH(节奏总纲!E43,$B$22:$B$35,1)),MIN($F$22:$F$35))</f>
        <v>8035.7003467720278</v>
      </c>
      <c r="AM47" s="2">
        <f>X47/IFERROR(INDEX($E$22:$E$35,MATCH(节奏总纲!F43,$B$22:$B$35,1)),MIN($E$22:$E$35))*IFERROR(INDEX($F$22:$F$35,MATCH(节奏总纲!F43,$B$22:$B$35,1)),MIN($F$22:$F$35))</f>
        <v>19544.447434585905</v>
      </c>
      <c r="AN47" s="2">
        <f>Y47/IFERROR(INDEX($E$22:$E$35,MATCH(节奏总纲!G43,$B$22:$B$35,1)),MIN($E$22:$E$35))*IFERROR(INDEX($F$22:$F$35,MATCH(节奏总纲!G43,$B$22:$B$35,1)),MIN($F$22:$F$35))</f>
        <v>49584.554108845034</v>
      </c>
      <c r="AO47" s="2">
        <f>Z47/IFERROR(INDEX($E$22:$E$35,MATCH(节奏总纲!H43,$B$22:$B$35,1)),MIN($E$22:$E$35))*IFERROR(INDEX($F$22:$F$35,MATCH(节奏总纲!H43,$B$22:$B$35,1)),MIN($F$22:$F$35))</f>
        <v>83941.643589200408</v>
      </c>
      <c r="AQ47" s="2">
        <v>40</v>
      </c>
      <c r="AR47" s="2">
        <f t="shared" si="6"/>
        <v>14740.439887025666</v>
      </c>
      <c r="AS47" s="2">
        <f t="shared" si="7"/>
        <v>24108.817396032387</v>
      </c>
      <c r="AT47" s="2">
        <f t="shared" si="8"/>
        <v>37709.408013142347</v>
      </c>
      <c r="AU47" s="2">
        <f t="shared" si="9"/>
        <v>68871.509190146171</v>
      </c>
      <c r="AV47" s="2">
        <f t="shared" si="10"/>
        <v>106138.17714234188</v>
      </c>
      <c r="AX47" s="41">
        <f t="shared" si="11"/>
        <v>0</v>
      </c>
      <c r="AY47" s="41">
        <f t="shared" si="12"/>
        <v>0.3333096026557682</v>
      </c>
      <c r="AZ47" s="41">
        <f t="shared" si="13"/>
        <v>0.51829101713223247</v>
      </c>
      <c r="BA47" s="41">
        <f t="shared" si="14"/>
        <v>0.71995742059242362</v>
      </c>
      <c r="BB47" s="41">
        <f t="shared" si="15"/>
        <v>0.79087135137648246</v>
      </c>
      <c r="BD47" s="2" t="e">
        <f t="shared" si="16"/>
        <v>#DIV/0!</v>
      </c>
      <c r="BE47" s="2">
        <f t="shared" si="17"/>
        <v>4.4995194708842297</v>
      </c>
      <c r="BF47" s="2">
        <f t="shared" si="18"/>
        <v>4.3037687530482041</v>
      </c>
      <c r="BG47" s="2">
        <f t="shared" si="19"/>
        <v>3.8563283239756445</v>
      </c>
      <c r="BH47" s="2">
        <f t="shared" si="20"/>
        <v>3.7817456220464738</v>
      </c>
    </row>
    <row r="48" spans="2:60" x14ac:dyDescent="0.2">
      <c r="K48" s="2">
        <v>41</v>
      </c>
      <c r="L48" s="2">
        <f>标准城池设计!AB44*$B$10/C$14*$C$5*C$7</f>
        <v>37735644.247119255</v>
      </c>
      <c r="M48" s="2">
        <f>标准城池设计!AC44*$B$10/D$14*$C$5*D$7</f>
        <v>41107455.117242225</v>
      </c>
      <c r="N48" s="2">
        <f>标准城池设计!AD44*$B$10/E$14*$C$5*E$7</f>
        <v>46634970.874582939</v>
      </c>
      <c r="O48" s="2">
        <f>标准城池设计!AE44*$B$10/F$14*$C$5*F$7</f>
        <v>49622996.687388621</v>
      </c>
      <c r="P48" s="2">
        <f>标准城池设计!AF44*$B$10/G$14*$C$5*G$7</f>
        <v>57122215.494632915</v>
      </c>
      <c r="Q48" s="2">
        <f t="shared" si="4"/>
        <v>5712.221549463291</v>
      </c>
      <c r="U48" s="2">
        <v>41</v>
      </c>
      <c r="V48" s="2">
        <f>其他调用!R45*6*其他调用!BM45*$B$10/C$15*$C$5*C$8/3</f>
        <v>0</v>
      </c>
      <c r="W48" s="2">
        <f>其他调用!S45*6*其他调用!BN45*$B$10/D$15*$C$5*D$8/3</f>
        <v>530230.91672500141</v>
      </c>
      <c r="X48" s="2">
        <f>其他调用!T45*6*其他调用!BO45*$B$10/E$15*$C$5*E$8/3</f>
        <v>1289104.8554999619</v>
      </c>
      <c r="Y48" s="2">
        <f>其他调用!U45*6*其他调用!BP45*$B$10/F$15*$C$5*F$8/3</f>
        <v>3269854.5376223419</v>
      </c>
      <c r="Z48" s="2">
        <f>其他调用!V45*6*其他调用!BQ45*$B$10/G$15*$C$5*G$8/3</f>
        <v>5538416.4289377453</v>
      </c>
      <c r="AA48" s="2">
        <f t="shared" si="5"/>
        <v>553.84164289377452</v>
      </c>
      <c r="AE48" s="2">
        <v>41</v>
      </c>
      <c r="AF48" s="2">
        <f>L48/IFERROR(INDEX($C$22:$C$35,MATCH(节奏总纲!D44,$B$22:$B$35,1)),MIN($C$22:$C$35))*IFERROR(INDEX($D$22:$D$35,MATCH(节奏总纲!D44,$B$22:$B$35,1)),MIN($D$22:$D$35))</f>
        <v>15094.257698847701</v>
      </c>
      <c r="AG48" s="2">
        <f>M48/IFERROR(INDEX($C$22:$C$35,MATCH(节奏总纲!E44,$B$22:$B$35,1)),MIN($C$22:$C$35))*IFERROR(INDEX($D$22:$D$35,MATCH(节奏总纲!E44,$B$22:$B$35,1)),MIN($D$22:$D$35))</f>
        <v>16442.98204689689</v>
      </c>
      <c r="AH48" s="2">
        <f>N48/IFERROR(INDEX($C$22:$C$35,MATCH(节奏总纲!F44,$B$22:$B$35,1)),MIN($C$22:$C$35))*IFERROR(INDEX($D$22:$D$35,MATCH(节奏总纲!F44,$B$22:$B$35,1)),MIN($D$22:$D$35))</f>
        <v>18653.988349833176</v>
      </c>
      <c r="AI48" s="2">
        <f>O48/IFERROR(INDEX($C$22:$C$35,MATCH(节奏总纲!G44,$B$22:$B$35,1)),MIN($C$22:$C$35))*IFERROR(INDEX($D$22:$D$35,MATCH(节奏总纲!G44,$B$22:$B$35,1)),MIN($D$22:$D$35))</f>
        <v>19849.198674955449</v>
      </c>
      <c r="AJ48" s="2">
        <f>P48/IFERROR(INDEX($C$22:$C$35,MATCH(节奏总纲!H44,$B$22:$B$35,1)),MIN($C$22:$C$35))*IFERROR(INDEX($D$22:$D$35,MATCH(节奏总纲!H44,$B$22:$B$35,1)),MIN($D$22:$D$35))</f>
        <v>22848.886197853164</v>
      </c>
      <c r="AK48" s="2">
        <f>V48/IFERROR(INDEX($E$22:$E$35,MATCH(节奏总纲!D44,$B$22:$B$35,1)),MIN($E$22:$E$35))*IFERROR(INDEX($F$22:$F$35,MATCH(节奏总纲!D44,$B$22:$B$35,1)),MIN($F$22:$F$35))</f>
        <v>0</v>
      </c>
      <c r="AL48" s="2">
        <f>W48/IFERROR(INDEX($E$22:$E$35,MATCH(节奏总纲!E44,$B$22:$B$35,1)),MIN($E$22:$E$35))*IFERROR(INDEX($F$22:$F$35,MATCH(节奏总纲!E44,$B$22:$B$35,1)),MIN($F$22:$F$35))</f>
        <v>8157.3987188461761</v>
      </c>
      <c r="AM48" s="2">
        <f>X48/IFERROR(INDEX($E$22:$E$35,MATCH(节奏总纲!F44,$B$22:$B$35,1)),MIN($E$22:$E$35))*IFERROR(INDEX($F$22:$F$35,MATCH(节奏总纲!F44,$B$22:$B$35,1)),MIN($F$22:$F$35))</f>
        <v>19832.382392307107</v>
      </c>
      <c r="AN48" s="2">
        <f>Y48/IFERROR(INDEX($E$22:$E$35,MATCH(节奏总纲!G44,$B$22:$B$35,1)),MIN($E$22:$E$35))*IFERROR(INDEX($F$22:$F$35,MATCH(节奏总纲!G44,$B$22:$B$35,1)),MIN($F$22:$F$35))</f>
        <v>50305.454424959105</v>
      </c>
      <c r="AO48" s="2">
        <f>Z48/IFERROR(INDEX($E$22:$E$35,MATCH(节奏总纲!H44,$B$22:$B$35,1)),MIN($E$22:$E$35))*IFERROR(INDEX($F$22:$F$35,MATCH(节奏总纲!H44,$B$22:$B$35,1)),MIN($F$22:$F$35))</f>
        <v>85206.406599042239</v>
      </c>
      <c r="AQ48" s="2">
        <v>41</v>
      </c>
      <c r="AR48" s="2">
        <f t="shared" si="6"/>
        <v>15094.257698847701</v>
      </c>
      <c r="AS48" s="2">
        <f t="shared" si="7"/>
        <v>24600.380765743066</v>
      </c>
      <c r="AT48" s="2">
        <f t="shared" si="8"/>
        <v>38486.37074214028</v>
      </c>
      <c r="AU48" s="2">
        <f t="shared" si="9"/>
        <v>70154.653099914547</v>
      </c>
      <c r="AV48" s="2">
        <f t="shared" si="10"/>
        <v>108055.2927968954</v>
      </c>
      <c r="AX48" s="41">
        <f t="shared" si="11"/>
        <v>0</v>
      </c>
      <c r="AY48" s="41">
        <f t="shared" si="12"/>
        <v>0.33159644139352729</v>
      </c>
      <c r="AZ48" s="41">
        <f t="shared" si="13"/>
        <v>0.51530923830632414</v>
      </c>
      <c r="BA48" s="41">
        <f t="shared" si="14"/>
        <v>0.71706511545732921</v>
      </c>
      <c r="BB48" s="41">
        <f t="shared" si="15"/>
        <v>0.78854449785443881</v>
      </c>
      <c r="BD48" s="2" t="e">
        <f t="shared" si="16"/>
        <v>#DIV/0!</v>
      </c>
      <c r="BE48" s="2">
        <f t="shared" si="17"/>
        <v>4.4649193352048169</v>
      </c>
      <c r="BF48" s="2">
        <f t="shared" si="18"/>
        <v>4.2526846313773907</v>
      </c>
      <c r="BG48" s="2">
        <f t="shared" si="19"/>
        <v>3.8015731956296723</v>
      </c>
      <c r="BH48" s="2">
        <f t="shared" si="20"/>
        <v>3.7291273570721386</v>
      </c>
    </row>
    <row r="49" spans="11:60" x14ac:dyDescent="0.2">
      <c r="K49" s="2">
        <v>42</v>
      </c>
      <c r="L49" s="2">
        <f>标准城池设计!AB45*$B$10/C$14*$C$5*C$7</f>
        <v>38694316.157049112</v>
      </c>
      <c r="M49" s="2">
        <f>标准城池设计!AC45*$B$10/D$14*$C$5*D$7</f>
        <v>42059512.176834822</v>
      </c>
      <c r="N49" s="2">
        <f>标准城池设计!AD45*$B$10/E$14*$C$5*E$7</f>
        <v>47826151.623411864</v>
      </c>
      <c r="O49" s="2">
        <f>标准城池设计!AE45*$B$10/F$14*$C$5*F$7</f>
        <v>51150996.697791047</v>
      </c>
      <c r="P49" s="2">
        <f>标准城池设计!AF45*$B$10/G$14*$C$5*G$7</f>
        <v>58728623.220857397</v>
      </c>
      <c r="Q49" s="2">
        <f t="shared" si="4"/>
        <v>5872.8623220857398</v>
      </c>
      <c r="U49" s="2">
        <v>42</v>
      </c>
      <c r="V49" s="2">
        <f>其他调用!R46*6*其他调用!BM46*$B$10/C$15*$C$5*C$8/3</f>
        <v>0</v>
      </c>
      <c r="W49" s="2">
        <f>其他调用!S46*6*其他调用!BN46*$B$10/D$15*$C$5*D$8/3</f>
        <v>538015.80450795614</v>
      </c>
      <c r="X49" s="2">
        <f>其他调用!T46*6*其他调用!BO46*$B$10/E$15*$C$5*E$8/3</f>
        <v>1308481.7354629911</v>
      </c>
      <c r="Y49" s="2">
        <f>其他调用!U46*6*其他调用!BP46*$B$10/F$15*$C$5*F$8/3</f>
        <v>3318419.6375343646</v>
      </c>
      <c r="Z49" s="2">
        <f>其他调用!V46*6*其他调用!BQ46*$B$10/G$15*$C$5*G$8/3</f>
        <v>5616847.669715886</v>
      </c>
      <c r="AA49" s="2">
        <f t="shared" si="5"/>
        <v>561.6847669715886</v>
      </c>
      <c r="AE49" s="2">
        <v>42</v>
      </c>
      <c r="AF49" s="2">
        <f>L49/IFERROR(INDEX($C$22:$C$35,MATCH(节奏总纲!D45,$B$22:$B$35,1)),MIN($C$22:$C$35))*IFERROR(INDEX($D$22:$D$35,MATCH(节奏总纲!D45,$B$22:$B$35,1)),MIN($D$22:$D$35))</f>
        <v>15477.726462819644</v>
      </c>
      <c r="AG49" s="2">
        <f>M49/IFERROR(INDEX($C$22:$C$35,MATCH(节奏总纲!E45,$B$22:$B$35,1)),MIN($C$22:$C$35))*IFERROR(INDEX($D$22:$D$35,MATCH(节奏总纲!E45,$B$22:$B$35,1)),MIN($D$22:$D$35))</f>
        <v>16823.804870733929</v>
      </c>
      <c r="AH49" s="2">
        <f>N49/IFERROR(INDEX($C$22:$C$35,MATCH(节奏总纲!F45,$B$22:$B$35,1)),MIN($C$22:$C$35))*IFERROR(INDEX($D$22:$D$35,MATCH(节奏总纲!F45,$B$22:$B$35,1)),MIN($D$22:$D$35))</f>
        <v>19130.460649364744</v>
      </c>
      <c r="AI49" s="2">
        <f>O49/IFERROR(INDEX($C$22:$C$35,MATCH(节奏总纲!G45,$B$22:$B$35,1)),MIN($C$22:$C$35))*IFERROR(INDEX($D$22:$D$35,MATCH(节奏总纲!G45,$B$22:$B$35,1)),MIN($D$22:$D$35))</f>
        <v>20460.398679116421</v>
      </c>
      <c r="AJ49" s="2">
        <f>P49/IFERROR(INDEX($C$22:$C$35,MATCH(节奏总纲!H45,$B$22:$B$35,1)),MIN($C$22:$C$35))*IFERROR(INDEX($D$22:$D$35,MATCH(节奏总纲!H45,$B$22:$B$35,1)),MIN($D$22:$D$35))</f>
        <v>23491.449288342959</v>
      </c>
      <c r="AK49" s="2">
        <f>V49/IFERROR(INDEX($E$22:$E$35,MATCH(节奏总纲!D45,$B$22:$B$35,1)),MIN($E$22:$E$35))*IFERROR(INDEX($F$22:$F$35,MATCH(节奏总纲!D45,$B$22:$B$35,1)),MIN($F$22:$F$35))</f>
        <v>0</v>
      </c>
      <c r="AL49" s="2">
        <f>W49/IFERROR(INDEX($E$22:$E$35,MATCH(节奏总纲!E45,$B$22:$B$35,1)),MIN($E$22:$E$35))*IFERROR(INDEX($F$22:$F$35,MATCH(节奏总纲!E45,$B$22:$B$35,1)),MIN($F$22:$F$35))</f>
        <v>8277.166223199325</v>
      </c>
      <c r="AM49" s="2">
        <f>X49/IFERROR(INDEX($E$22:$E$35,MATCH(节奏总纲!F45,$B$22:$B$35,1)),MIN($E$22:$E$35))*IFERROR(INDEX($F$22:$F$35,MATCH(节奏总纲!F45,$B$22:$B$35,1)),MIN($F$22:$F$35))</f>
        <v>20130.488237892168</v>
      </c>
      <c r="AN49" s="2">
        <f>Y49/IFERROR(INDEX($E$22:$E$35,MATCH(节奏总纲!G45,$B$22:$B$35,1)),MIN($E$22:$E$35))*IFERROR(INDEX($F$22:$F$35,MATCH(节奏总纲!G45,$B$22:$B$35,1)),MIN($F$22:$F$35))</f>
        <v>51052.609808220994</v>
      </c>
      <c r="AO49" s="2">
        <f>Z49/IFERROR(INDEX($E$22:$E$35,MATCH(节奏总纲!H45,$B$22:$B$35,1)),MIN($E$22:$E$35))*IFERROR(INDEX($F$22:$F$35,MATCH(节奏总纲!H45,$B$22:$B$35,1)),MIN($F$22:$F$35))</f>
        <v>86413.041072552092</v>
      </c>
      <c r="AQ49" s="2">
        <v>42</v>
      </c>
      <c r="AR49" s="2">
        <f t="shared" si="6"/>
        <v>15477.726462819644</v>
      </c>
      <c r="AS49" s="2">
        <f t="shared" si="7"/>
        <v>25100.971093933254</v>
      </c>
      <c r="AT49" s="2">
        <f t="shared" si="8"/>
        <v>39260.948887256913</v>
      </c>
      <c r="AU49" s="2">
        <f t="shared" si="9"/>
        <v>71513.008487337414</v>
      </c>
      <c r="AV49" s="2">
        <f t="shared" si="10"/>
        <v>109904.49036089506</v>
      </c>
      <c r="AX49" s="41">
        <f t="shared" si="11"/>
        <v>0</v>
      </c>
      <c r="AY49" s="41">
        <f t="shared" si="12"/>
        <v>0.32975482072882284</v>
      </c>
      <c r="AZ49" s="41">
        <f t="shared" si="13"/>
        <v>0.51273565230681428</v>
      </c>
      <c r="BA49" s="41">
        <f t="shared" si="14"/>
        <v>0.71389263139811443</v>
      </c>
      <c r="BB49" s="41">
        <f t="shared" si="15"/>
        <v>0.78625578253259965</v>
      </c>
      <c r="BD49" s="2" t="e">
        <f t="shared" si="16"/>
        <v>#DIV/0!</v>
      </c>
      <c r="BE49" s="2">
        <f t="shared" si="17"/>
        <v>4.4279220177108582</v>
      </c>
      <c r="BF49" s="2">
        <f t="shared" si="18"/>
        <v>4.2090963948765419</v>
      </c>
      <c r="BG49" s="2">
        <f t="shared" si="19"/>
        <v>3.7427870254793363</v>
      </c>
      <c r="BH49" s="2">
        <f t="shared" si="20"/>
        <v>3.6784891392559755</v>
      </c>
    </row>
    <row r="50" spans="11:60" x14ac:dyDescent="0.2">
      <c r="K50" s="2">
        <v>43</v>
      </c>
      <c r="L50" s="2">
        <f>标准城池设计!AB46*$B$10/C$14*$C$5*C$7</f>
        <v>39746624.484956533</v>
      </c>
      <c r="M50" s="2">
        <f>标准城池设计!AC46*$B$10/D$14*$C$5*D$7</f>
        <v>43029385.076683044</v>
      </c>
      <c r="N50" s="2">
        <f>标准城池设计!AD46*$B$10/E$14*$C$5*E$7</f>
        <v>49042177.908452272</v>
      </c>
      <c r="O50" s="2">
        <f>标准城池设计!AE46*$B$10/F$14*$C$5*F$7</f>
        <v>52724028.199946798</v>
      </c>
      <c r="P50" s="2">
        <f>标准城池设计!AF46*$B$10/G$14*$C$5*G$7</f>
        <v>60542250.088929944</v>
      </c>
      <c r="Q50" s="2">
        <f t="shared" si="4"/>
        <v>6054.2250088929941</v>
      </c>
      <c r="U50" s="2">
        <v>43</v>
      </c>
      <c r="V50" s="2">
        <f>其他调用!R47*6*其他调用!BM47*$B$10/C$15*$C$5*C$8/3</f>
        <v>0</v>
      </c>
      <c r="W50" s="2">
        <f>其他调用!S47*6*其他调用!BN47*$B$10/D$15*$C$5*D$8/3</f>
        <v>545988.31574857153</v>
      </c>
      <c r="X50" s="2">
        <f>其他调用!T47*6*其他调用!BO47*$B$10/E$15*$C$5*E$8/3</f>
        <v>1326895.011818107</v>
      </c>
      <c r="Y50" s="2">
        <f>其他调用!U47*6*其他调用!BP47*$B$10/F$15*$C$5*F$8/3</f>
        <v>3364442.7815161492</v>
      </c>
      <c r="Z50" s="2">
        <f>其他调用!V47*6*其他调用!BQ47*$B$10/G$15*$C$5*G$8/3</f>
        <v>5695707.0315629533</v>
      </c>
      <c r="AA50" s="2">
        <f t="shared" si="5"/>
        <v>569.57070315629528</v>
      </c>
      <c r="AE50" s="2">
        <v>43</v>
      </c>
      <c r="AF50" s="2">
        <f>L50/IFERROR(INDEX($C$22:$C$35,MATCH(节奏总纲!D46,$B$22:$B$35,1)),MIN($C$22:$C$35))*IFERROR(INDEX($D$22:$D$35,MATCH(节奏总纲!D46,$B$22:$B$35,1)),MIN($D$22:$D$35))</f>
        <v>15898.649793982613</v>
      </c>
      <c r="AG50" s="2">
        <f>M50/IFERROR(INDEX($C$22:$C$35,MATCH(节奏总纲!E46,$B$22:$B$35,1)),MIN($C$22:$C$35))*IFERROR(INDEX($D$22:$D$35,MATCH(节奏总纲!E46,$B$22:$B$35,1)),MIN($D$22:$D$35))</f>
        <v>17211.754030673219</v>
      </c>
      <c r="AH50" s="2">
        <f>N50/IFERROR(INDEX($C$22:$C$35,MATCH(节奏总纲!F46,$B$22:$B$35,1)),MIN($C$22:$C$35))*IFERROR(INDEX($D$22:$D$35,MATCH(节奏总纲!F46,$B$22:$B$35,1)),MIN($D$22:$D$35))</f>
        <v>19616.871163380911</v>
      </c>
      <c r="AI50" s="2">
        <f>O50/IFERROR(INDEX($C$22:$C$35,MATCH(节奏总纲!G46,$B$22:$B$35,1)),MIN($C$22:$C$35))*IFERROR(INDEX($D$22:$D$35,MATCH(节奏总纲!G46,$B$22:$B$35,1)),MIN($D$22:$D$35))</f>
        <v>21089.611279978719</v>
      </c>
      <c r="AJ50" s="2">
        <f>P50/IFERROR(INDEX($C$22:$C$35,MATCH(节奏总纲!H46,$B$22:$B$35,1)),MIN($C$22:$C$35))*IFERROR(INDEX($D$22:$D$35,MATCH(节奏总纲!H46,$B$22:$B$35,1)),MIN($D$22:$D$35))</f>
        <v>24216.900035571976</v>
      </c>
      <c r="AK50" s="2">
        <f>V50/IFERROR(INDEX($E$22:$E$35,MATCH(节奏总纲!D46,$B$22:$B$35,1)),MIN($E$22:$E$35))*IFERROR(INDEX($F$22:$F$35,MATCH(节奏总纲!D46,$B$22:$B$35,1)),MIN($F$22:$F$35))</f>
        <v>0</v>
      </c>
      <c r="AL50" s="2">
        <f>W50/IFERROR(INDEX($E$22:$E$35,MATCH(节奏总纲!E46,$B$22:$B$35,1)),MIN($E$22:$E$35))*IFERROR(INDEX($F$22:$F$35,MATCH(节奏总纲!E46,$B$22:$B$35,1)),MIN($F$22:$F$35))</f>
        <v>8399.8202422857157</v>
      </c>
      <c r="AM50" s="2">
        <f>X50/IFERROR(INDEX($E$22:$E$35,MATCH(节奏总纲!F46,$B$22:$B$35,1)),MIN($E$22:$E$35))*IFERROR(INDEX($F$22:$F$35,MATCH(节奏总纲!F46,$B$22:$B$35,1)),MIN($F$22:$F$35))</f>
        <v>20413.769412586262</v>
      </c>
      <c r="AN50" s="2">
        <f>Y50/IFERROR(INDEX($E$22:$E$35,MATCH(节奏总纲!G46,$B$22:$B$35,1)),MIN($E$22:$E$35))*IFERROR(INDEX($F$22:$F$35,MATCH(节奏总纲!G46,$B$22:$B$35,1)),MIN($F$22:$F$35))</f>
        <v>51760.658177171528</v>
      </c>
      <c r="AO50" s="2">
        <f>Z50/IFERROR(INDEX($E$22:$E$35,MATCH(节奏总纲!H46,$B$22:$B$35,1)),MIN($E$22:$E$35))*IFERROR(INDEX($F$22:$F$35,MATCH(节奏总纲!H46,$B$22:$B$35,1)),MIN($F$22:$F$35))</f>
        <v>87626.262024045442</v>
      </c>
      <c r="AQ50" s="2">
        <v>43</v>
      </c>
      <c r="AR50" s="2">
        <f t="shared" si="6"/>
        <v>15898.649793982613</v>
      </c>
      <c r="AS50" s="2">
        <f t="shared" si="7"/>
        <v>25611.574272958933</v>
      </c>
      <c r="AT50" s="2">
        <f t="shared" si="8"/>
        <v>40030.640575967176</v>
      </c>
      <c r="AU50" s="2">
        <f t="shared" si="9"/>
        <v>72850.269457150251</v>
      </c>
      <c r="AV50" s="2">
        <f t="shared" si="10"/>
        <v>111843.16205961742</v>
      </c>
      <c r="AX50" s="41">
        <f t="shared" si="11"/>
        <v>0</v>
      </c>
      <c r="AY50" s="41">
        <f t="shared" si="12"/>
        <v>0.32796969654279967</v>
      </c>
      <c r="AZ50" s="41">
        <f t="shared" si="13"/>
        <v>0.50995360351145336</v>
      </c>
      <c r="BA50" s="41">
        <f t="shared" si="14"/>
        <v>0.7105074361820527</v>
      </c>
      <c r="BB50" s="41">
        <f t="shared" si="15"/>
        <v>0.78347446916188512</v>
      </c>
      <c r="BD50" s="2" t="e">
        <f t="shared" si="16"/>
        <v>#DIV/0!</v>
      </c>
      <c r="BE50" s="2">
        <f t="shared" si="17"/>
        <v>4.392253226826675</v>
      </c>
      <c r="BF50" s="2">
        <f t="shared" si="18"/>
        <v>4.1624924265584085</v>
      </c>
      <c r="BG50" s="2">
        <f t="shared" si="19"/>
        <v>3.6814802432828735</v>
      </c>
      <c r="BH50" s="2">
        <f t="shared" si="20"/>
        <v>3.6183930187320446</v>
      </c>
    </row>
    <row r="51" spans="11:60" x14ac:dyDescent="0.2">
      <c r="K51" s="2">
        <v>44</v>
      </c>
      <c r="L51" s="2">
        <f>标准城池设计!AB47*$B$10/C$14*$C$5*C$7</f>
        <v>40835810.716170199</v>
      </c>
      <c r="M51" s="2">
        <f>标准城池设计!AC47*$B$10/D$14*$C$5*D$7</f>
        <v>44137090.607385315</v>
      </c>
      <c r="N51" s="2">
        <f>标准城池设计!AD47*$B$10/E$14*$C$5*E$7</f>
        <v>50289859.124665134</v>
      </c>
      <c r="O51" s="2">
        <f>标准城池设计!AE47*$B$10/F$14*$C$5*F$7</f>
        <v>54534643.145466931</v>
      </c>
      <c r="P51" s="2">
        <f>标准城池设计!AF47*$B$10/G$14*$C$5*G$7</f>
        <v>62469737.890634201</v>
      </c>
      <c r="Q51" s="2">
        <f t="shared" si="4"/>
        <v>6246.9737890634206</v>
      </c>
      <c r="U51" s="2">
        <v>44</v>
      </c>
      <c r="V51" s="2">
        <f>其他调用!R48*6*其他调用!BM48*$B$10/C$15*$C$5*C$8/3</f>
        <v>0</v>
      </c>
      <c r="W51" s="2">
        <f>其他调用!S48*6*其他调用!BN48*$B$10/D$15*$C$5*D$8/3</f>
        <v>553469.15386176785</v>
      </c>
      <c r="X51" s="2">
        <f>其他调用!T48*6*其他调用!BO48*$B$10/E$15*$C$5*E$8/3</f>
        <v>1345814.7682164379</v>
      </c>
      <c r="Y51" s="2">
        <f>其他调用!U48*6*其他调用!BP48*$B$10/F$15*$C$5*F$8/3</f>
        <v>3410318.8288589143</v>
      </c>
      <c r="Z51" s="2">
        <f>其他调用!V48*6*其他调用!BQ48*$B$10/G$15*$C$5*G$8/3</f>
        <v>5769979.3913926883</v>
      </c>
      <c r="AA51" s="2">
        <f t="shared" si="5"/>
        <v>576.99793913926885</v>
      </c>
      <c r="AE51" s="2">
        <v>44</v>
      </c>
      <c r="AF51" s="2">
        <f>L51/IFERROR(INDEX($C$22:$C$35,MATCH(节奏总纲!D47,$B$22:$B$35,1)),MIN($C$22:$C$35))*IFERROR(INDEX($D$22:$D$35,MATCH(节奏总纲!D47,$B$22:$B$35,1)),MIN($D$22:$D$35))</f>
        <v>16334.32428646808</v>
      </c>
      <c r="AG51" s="2">
        <f>M51/IFERROR(INDEX($C$22:$C$35,MATCH(节奏总纲!E47,$B$22:$B$35,1)),MIN($C$22:$C$35))*IFERROR(INDEX($D$22:$D$35,MATCH(节奏总纲!E47,$B$22:$B$35,1)),MIN($D$22:$D$35))</f>
        <v>17654.836242954127</v>
      </c>
      <c r="AH51" s="2">
        <f>N51/IFERROR(INDEX($C$22:$C$35,MATCH(节奏总纲!F47,$B$22:$B$35,1)),MIN($C$22:$C$35))*IFERROR(INDEX($D$22:$D$35,MATCH(节奏总纲!F47,$B$22:$B$35,1)),MIN($D$22:$D$35))</f>
        <v>20115.943649866054</v>
      </c>
      <c r="AI51" s="2">
        <f>O51/IFERROR(INDEX($C$22:$C$35,MATCH(节奏总纲!G47,$B$22:$B$35,1)),MIN($C$22:$C$35))*IFERROR(INDEX($D$22:$D$35,MATCH(节奏总纲!G47,$B$22:$B$35,1)),MIN($D$22:$D$35))</f>
        <v>21813.857258186774</v>
      </c>
      <c r="AJ51" s="2">
        <f>P51/IFERROR(INDEX($C$22:$C$35,MATCH(节奏总纲!H47,$B$22:$B$35,1)),MIN($C$22:$C$35))*IFERROR(INDEX($D$22:$D$35,MATCH(节奏总纲!H47,$B$22:$B$35,1)),MIN($D$22:$D$35))</f>
        <v>24987.895156253682</v>
      </c>
      <c r="AK51" s="2">
        <f>V51/IFERROR(INDEX($E$22:$E$35,MATCH(节奏总纲!D47,$B$22:$B$35,1)),MIN($E$22:$E$35))*IFERROR(INDEX($F$22:$F$35,MATCH(节奏总纲!D47,$B$22:$B$35,1)),MIN($F$22:$F$35))</f>
        <v>0</v>
      </c>
      <c r="AL51" s="2">
        <f>W51/IFERROR(INDEX($E$22:$E$35,MATCH(节奏总纲!E47,$B$22:$B$35,1)),MIN($E$22:$E$35))*IFERROR(INDEX($F$22:$F$35,MATCH(节奏总纲!E47,$B$22:$B$35,1)),MIN($F$22:$F$35))</f>
        <v>8514.9100594118136</v>
      </c>
      <c r="AM51" s="2">
        <f>X51/IFERROR(INDEX($E$22:$E$35,MATCH(节奏总纲!F47,$B$22:$B$35,1)),MIN($E$22:$E$35))*IFERROR(INDEX($F$22:$F$35,MATCH(节奏总纲!F47,$B$22:$B$35,1)),MIN($F$22:$F$35))</f>
        <v>20704.842587945197</v>
      </c>
      <c r="AN51" s="2">
        <f>Y51/IFERROR(INDEX($E$22:$E$35,MATCH(节奏总纲!G47,$B$22:$B$35,1)),MIN($E$22:$E$35))*IFERROR(INDEX($F$22:$F$35,MATCH(节奏总纲!G47,$B$22:$B$35,1)),MIN($F$22:$F$35))</f>
        <v>52466.443520906374</v>
      </c>
      <c r="AO51" s="2">
        <f>Z51/IFERROR(INDEX($E$22:$E$35,MATCH(节奏总纲!H47,$B$22:$B$35,1)),MIN($E$22:$E$35))*IFERROR(INDEX($F$22:$F$35,MATCH(节奏总纲!H47,$B$22:$B$35,1)),MIN($F$22:$F$35))</f>
        <v>88768.913713733666</v>
      </c>
      <c r="AQ51" s="2">
        <v>44</v>
      </c>
      <c r="AR51" s="2">
        <f t="shared" si="6"/>
        <v>16334.32428646808</v>
      </c>
      <c r="AS51" s="2">
        <f t="shared" si="7"/>
        <v>26169.74630236594</v>
      </c>
      <c r="AT51" s="2">
        <f t="shared" si="8"/>
        <v>40820.786237811248</v>
      </c>
      <c r="AU51" s="2">
        <f t="shared" si="9"/>
        <v>74280.300779093144</v>
      </c>
      <c r="AV51" s="2">
        <f t="shared" si="10"/>
        <v>113756.80886998735</v>
      </c>
      <c r="AX51" s="41">
        <f t="shared" si="11"/>
        <v>0</v>
      </c>
      <c r="AY51" s="41">
        <f t="shared" si="12"/>
        <v>0.32537228145165481</v>
      </c>
      <c r="AZ51" s="41">
        <f t="shared" si="13"/>
        <v>0.50721322385424394</v>
      </c>
      <c r="BA51" s="41">
        <f t="shared" si="14"/>
        <v>0.7063305206172984</v>
      </c>
      <c r="BB51" s="41">
        <f t="shared" si="15"/>
        <v>0.78033934491945578</v>
      </c>
      <c r="BD51" s="2" t="e">
        <f t="shared" si="16"/>
        <v>#DIV/0!</v>
      </c>
      <c r="BE51" s="2">
        <f t="shared" si="17"/>
        <v>4.3406910990347072</v>
      </c>
      <c r="BF51" s="2">
        <f t="shared" si="18"/>
        <v>4.1171009321420664</v>
      </c>
      <c r="BG51" s="2">
        <f t="shared" si="19"/>
        <v>3.6077830871394121</v>
      </c>
      <c r="BH51" s="2">
        <f t="shared" si="20"/>
        <v>3.5524766355327695</v>
      </c>
    </row>
    <row r="52" spans="11:60" x14ac:dyDescent="0.2">
      <c r="K52" s="2">
        <v>45</v>
      </c>
      <c r="L52" s="2">
        <f>标准城池设计!AB48*$B$10/C$14*$C$5*C$7</f>
        <v>42748827.406333417</v>
      </c>
      <c r="M52" s="2">
        <f>标准城池设计!AC48*$B$10/D$14*$C$5*D$7</f>
        <v>46411752.841696069</v>
      </c>
      <c r="N52" s="2">
        <f>标准城池设计!AD48*$B$10/E$14*$C$5*E$7</f>
        <v>52821277.893813543</v>
      </c>
      <c r="O52" s="2">
        <f>标准城池设计!AE48*$B$10/F$14*$C$5*F$7</f>
        <v>57636080.489408806</v>
      </c>
      <c r="P52" s="2">
        <f>标准城池设计!AF48*$B$10/G$14*$C$5*G$7</f>
        <v>66021347.849554509</v>
      </c>
      <c r="Q52" s="2">
        <f t="shared" si="4"/>
        <v>6602.1347849554513</v>
      </c>
      <c r="U52" s="2">
        <v>45</v>
      </c>
      <c r="V52" s="2">
        <f>其他调用!R49*6*其他调用!BM49*$B$10/C$15*$C$5*C$8/3</f>
        <v>0</v>
      </c>
      <c r="W52" s="2">
        <f>其他调用!S49*6*其他调用!BN49*$B$10/D$15*$C$5*D$8/3</f>
        <v>561321.71205909282</v>
      </c>
      <c r="X52" s="2">
        <f>其他调用!T49*6*其他调用!BO49*$B$10/E$15*$C$5*E$8/3</f>
        <v>1363736.4630578086</v>
      </c>
      <c r="Y52" s="2">
        <f>其他调用!U49*6*其他调用!BP49*$B$10/F$15*$C$5*F$8/3</f>
        <v>3457169.0559300533</v>
      </c>
      <c r="Z52" s="2">
        <f>其他调用!V49*6*其他调用!BQ49*$B$10/G$15*$C$5*G$8/3</f>
        <v>5847332.0913748825</v>
      </c>
      <c r="AA52" s="2">
        <f t="shared" si="5"/>
        <v>584.7332091374883</v>
      </c>
      <c r="AE52" s="2">
        <v>45</v>
      </c>
      <c r="AF52" s="2">
        <f>L52/IFERROR(INDEX($C$22:$C$35,MATCH(节奏总纲!D48,$B$22:$B$35,1)),MIN($C$22:$C$35))*IFERROR(INDEX($D$22:$D$35,MATCH(节奏总纲!D48,$B$22:$B$35,1)),MIN($D$22:$D$35))</f>
        <v>17099.530962533368</v>
      </c>
      <c r="AG52" s="2">
        <f>M52/IFERROR(INDEX($C$22:$C$35,MATCH(节奏总纲!E48,$B$22:$B$35,1)),MIN($C$22:$C$35))*IFERROR(INDEX($D$22:$D$35,MATCH(节奏总纲!E48,$B$22:$B$35,1)),MIN($D$22:$D$35))</f>
        <v>18564.701136678428</v>
      </c>
      <c r="AH52" s="2">
        <f>N52/IFERROR(INDEX($C$22:$C$35,MATCH(节奏总纲!F48,$B$22:$B$35,1)),MIN($C$22:$C$35))*IFERROR(INDEX($D$22:$D$35,MATCH(节奏总纲!F48,$B$22:$B$35,1)),MIN($D$22:$D$35))</f>
        <v>21128.511157525416</v>
      </c>
      <c r="AI52" s="2">
        <f>O52/IFERROR(INDEX($C$22:$C$35,MATCH(节奏总纲!G48,$B$22:$B$35,1)),MIN($C$22:$C$35))*IFERROR(INDEX($D$22:$D$35,MATCH(节奏总纲!G48,$B$22:$B$35,1)),MIN($D$22:$D$35))</f>
        <v>23054.432195763522</v>
      </c>
      <c r="AJ52" s="2">
        <f>P52/IFERROR(INDEX($C$22:$C$35,MATCH(节奏总纲!H48,$B$22:$B$35,1)),MIN($C$22:$C$35))*IFERROR(INDEX($D$22:$D$35,MATCH(节奏总纲!H48,$B$22:$B$35,1)),MIN($D$22:$D$35))</f>
        <v>26408.539139821805</v>
      </c>
      <c r="AK52" s="2">
        <f>V52/IFERROR(INDEX($E$22:$E$35,MATCH(节奏总纲!D48,$B$22:$B$35,1)),MIN($E$22:$E$35))*IFERROR(INDEX($F$22:$F$35,MATCH(节奏总纲!D48,$B$22:$B$35,1)),MIN($F$22:$F$35))</f>
        <v>0</v>
      </c>
      <c r="AL52" s="2">
        <f>W52/IFERROR(INDEX($E$22:$E$35,MATCH(节奏总纲!E48,$B$22:$B$35,1)),MIN($E$22:$E$35))*IFERROR(INDEX($F$22:$F$35,MATCH(节奏总纲!E48,$B$22:$B$35,1)),MIN($F$22:$F$35))</f>
        <v>8635.7186470629658</v>
      </c>
      <c r="AM52" s="2">
        <f>X52/IFERROR(INDEX($E$22:$E$35,MATCH(节奏总纲!F48,$B$22:$B$35,1)),MIN($E$22:$E$35))*IFERROR(INDEX($F$22:$F$35,MATCH(节奏总纲!F48,$B$22:$B$35,1)),MIN($F$22:$F$35))</f>
        <v>20980.560970120132</v>
      </c>
      <c r="AN52" s="2">
        <f>Y52/IFERROR(INDEX($E$22:$E$35,MATCH(节奏总纲!G48,$B$22:$B$35,1)),MIN($E$22:$E$35))*IFERROR(INDEX($F$22:$F$35,MATCH(节奏总纲!G48,$B$22:$B$35,1)),MIN($F$22:$F$35))</f>
        <v>53187.216245077747</v>
      </c>
      <c r="AO52" s="2">
        <f>Z52/IFERROR(INDEX($E$22:$E$35,MATCH(节奏总纲!H48,$B$22:$B$35,1)),MIN($E$22:$E$35))*IFERROR(INDEX($F$22:$F$35,MATCH(节奏总纲!H48,$B$22:$B$35,1)),MIN($F$22:$F$35))</f>
        <v>89958.955251921274</v>
      </c>
      <c r="AQ52" s="2">
        <v>45</v>
      </c>
      <c r="AR52" s="2">
        <f t="shared" si="6"/>
        <v>17099.530962533368</v>
      </c>
      <c r="AS52" s="2">
        <f t="shared" si="7"/>
        <v>27200.419783741396</v>
      </c>
      <c r="AT52" s="2">
        <f t="shared" si="8"/>
        <v>42109.072127645544</v>
      </c>
      <c r="AU52" s="2">
        <f t="shared" si="9"/>
        <v>76241.648440841265</v>
      </c>
      <c r="AV52" s="2">
        <f t="shared" si="10"/>
        <v>116367.49439174308</v>
      </c>
      <c r="AX52" s="41">
        <f t="shared" si="11"/>
        <v>0</v>
      </c>
      <c r="AY52" s="41">
        <f t="shared" si="12"/>
        <v>0.31748475632809259</v>
      </c>
      <c r="AZ52" s="41">
        <f t="shared" si="13"/>
        <v>0.49824325044545276</v>
      </c>
      <c r="BA52" s="41">
        <f t="shared" si="14"/>
        <v>0.69761367091043014</v>
      </c>
      <c r="BB52" s="41">
        <f t="shared" si="15"/>
        <v>0.77305914097523409</v>
      </c>
      <c r="BD52" s="2" t="e">
        <f t="shared" si="16"/>
        <v>#DIV/0!</v>
      </c>
      <c r="BE52" s="2">
        <f t="shared" si="17"/>
        <v>4.1865186652540167</v>
      </c>
      <c r="BF52" s="2">
        <f t="shared" si="18"/>
        <v>3.971990418765956</v>
      </c>
      <c r="BG52" s="2">
        <f t="shared" si="19"/>
        <v>3.4605417166716048</v>
      </c>
      <c r="BH52" s="2">
        <f t="shared" si="20"/>
        <v>3.4064343648706759</v>
      </c>
    </row>
    <row r="53" spans="11:60" x14ac:dyDescent="0.2">
      <c r="K53" s="2">
        <v>46</v>
      </c>
      <c r="L53" s="2">
        <f>标准城池设计!AB49*$B$10/C$14*$C$5*C$7</f>
        <v>43739310.130884618</v>
      </c>
      <c r="M53" s="2">
        <f>标准城池设计!AC49*$B$10/D$14*$C$5*D$7</f>
        <v>47670394.20690196</v>
      </c>
      <c r="N53" s="2">
        <f>标准城池设计!AD49*$B$10/E$14*$C$5*E$7</f>
        <v>54345943.585342757</v>
      </c>
      <c r="O53" s="2">
        <f>标准城池设计!AE49*$B$10/F$14*$C$5*F$7</f>
        <v>59457343.524096839</v>
      </c>
      <c r="P53" s="2">
        <f>标准城池设计!AF49*$B$10/G$14*$C$5*G$7</f>
        <v>68067881.019719973</v>
      </c>
      <c r="Q53" s="2">
        <f t="shared" si="4"/>
        <v>6806.7881019719971</v>
      </c>
      <c r="U53" s="2">
        <v>46</v>
      </c>
      <c r="V53" s="2">
        <f>其他调用!R50*6*其他调用!BM50*$B$10/C$15*$C$5*C$8/3</f>
        <v>0</v>
      </c>
      <c r="W53" s="2">
        <f>其他调用!S50*6*其他调用!BN50*$B$10/D$15*$C$5*D$8/3</f>
        <v>568885.32942448452</v>
      </c>
      <c r="X53" s="2">
        <f>其他调用!T50*6*其他调用!BO50*$B$10/E$15*$C$5*E$8/3</f>
        <v>1382443.2098067671</v>
      </c>
      <c r="Y53" s="2">
        <f>其他调用!U50*6*其他调用!BP50*$B$10/F$15*$C$5*F$8/3</f>
        <v>3502221.0525009432</v>
      </c>
      <c r="Z53" s="2">
        <f>其他调用!V50*6*其他调用!BQ50*$B$10/G$15*$C$5*G$8/3</f>
        <v>5920958.3734686309</v>
      </c>
      <c r="AA53" s="2">
        <f t="shared" si="5"/>
        <v>592.09583734686305</v>
      </c>
      <c r="AE53" s="2">
        <v>46</v>
      </c>
      <c r="AF53" s="2">
        <f>L53/IFERROR(INDEX($C$22:$C$35,MATCH(节奏总纲!D49,$B$22:$B$35,1)),MIN($C$22:$C$35))*IFERROR(INDEX($D$22:$D$35,MATCH(节奏总纲!D49,$B$22:$B$35,1)),MIN($D$22:$D$35))</f>
        <v>17495.724052353846</v>
      </c>
      <c r="AG53" s="2">
        <f>M53/IFERROR(INDEX($C$22:$C$35,MATCH(节奏总纲!E49,$B$22:$B$35,1)),MIN($C$22:$C$35))*IFERROR(INDEX($D$22:$D$35,MATCH(节奏总纲!E49,$B$22:$B$35,1)),MIN($D$22:$D$35))</f>
        <v>19068.157682760782</v>
      </c>
      <c r="AH53" s="2">
        <f>N53/IFERROR(INDEX($C$22:$C$35,MATCH(节奏总纲!F49,$B$22:$B$35,1)),MIN($C$22:$C$35))*IFERROR(INDEX($D$22:$D$35,MATCH(节奏总纲!F49,$B$22:$B$35,1)),MIN($D$22:$D$35))</f>
        <v>21738.377434137103</v>
      </c>
      <c r="AI53" s="2">
        <f>O53/IFERROR(INDEX($C$22:$C$35,MATCH(节奏总纲!G49,$B$22:$B$35,1)),MIN($C$22:$C$35))*IFERROR(INDEX($D$22:$D$35,MATCH(节奏总纲!G49,$B$22:$B$35,1)),MIN($D$22:$D$35))</f>
        <v>23782.937409638736</v>
      </c>
      <c r="AJ53" s="2">
        <f>P53/IFERROR(INDEX($C$22:$C$35,MATCH(节奏总纲!H49,$B$22:$B$35,1)),MIN($C$22:$C$35))*IFERROR(INDEX($D$22:$D$35,MATCH(节奏总纲!H49,$B$22:$B$35,1)),MIN($D$22:$D$35))</f>
        <v>27227.152407887988</v>
      </c>
      <c r="AK53" s="2">
        <f>V53/IFERROR(INDEX($E$22:$E$35,MATCH(节奏总纲!D49,$B$22:$B$35,1)),MIN($E$22:$E$35))*IFERROR(INDEX($F$22:$F$35,MATCH(节奏总纲!D49,$B$22:$B$35,1)),MIN($F$22:$F$35))</f>
        <v>0</v>
      </c>
      <c r="AL53" s="2">
        <f>W53/IFERROR(INDEX($E$22:$E$35,MATCH(节奏总纲!E49,$B$22:$B$35,1)),MIN($E$22:$E$35))*IFERROR(INDEX($F$22:$F$35,MATCH(节奏总纲!E49,$B$22:$B$35,1)),MIN($F$22:$F$35))</f>
        <v>8752.0819911459148</v>
      </c>
      <c r="AM53" s="2">
        <f>X53/IFERROR(INDEX($E$22:$E$35,MATCH(节奏总纲!F49,$B$22:$B$35,1)),MIN($E$22:$E$35))*IFERROR(INDEX($F$22:$F$35,MATCH(节奏总纲!F49,$B$22:$B$35,1)),MIN($F$22:$F$35))</f>
        <v>21268.357073950261</v>
      </c>
      <c r="AN53" s="2">
        <f>Y53/IFERROR(INDEX($E$22:$E$35,MATCH(节奏总纲!G49,$B$22:$B$35,1)),MIN($E$22:$E$35))*IFERROR(INDEX($F$22:$F$35,MATCH(节奏总纲!G49,$B$22:$B$35,1)),MIN($F$22:$F$35))</f>
        <v>53880.323884629892</v>
      </c>
      <c r="AO53" s="2">
        <f>Z53/IFERROR(INDEX($E$22:$E$35,MATCH(节奏总纲!H49,$B$22:$B$35,1)),MIN($E$22:$E$35))*IFERROR(INDEX($F$22:$F$35,MATCH(节奏总纲!H49,$B$22:$B$35,1)),MIN($F$22:$F$35))</f>
        <v>91091.667284132782</v>
      </c>
      <c r="AQ53" s="2">
        <v>46</v>
      </c>
      <c r="AR53" s="2">
        <f t="shared" si="6"/>
        <v>17495.724052353846</v>
      </c>
      <c r="AS53" s="2">
        <f t="shared" si="7"/>
        <v>27820.239673906697</v>
      </c>
      <c r="AT53" s="2">
        <f t="shared" si="8"/>
        <v>43006.734508087364</v>
      </c>
      <c r="AU53" s="2">
        <f t="shared" si="9"/>
        <v>77663.261294268625</v>
      </c>
      <c r="AV53" s="2">
        <f t="shared" si="10"/>
        <v>118318.81969202077</v>
      </c>
      <c r="AX53" s="41">
        <f t="shared" si="11"/>
        <v>0</v>
      </c>
      <c r="AY53" s="41">
        <f t="shared" si="12"/>
        <v>0.31459405431919096</v>
      </c>
      <c r="AZ53" s="41">
        <f t="shared" si="13"/>
        <v>0.49453550280481706</v>
      </c>
      <c r="BA53" s="41">
        <f t="shared" si="14"/>
        <v>0.69376849473878766</v>
      </c>
      <c r="BB53" s="41">
        <f t="shared" si="15"/>
        <v>0.76988316415968994</v>
      </c>
      <c r="BD53" s="2" t="e">
        <f t="shared" si="16"/>
        <v>#DIV/0!</v>
      </c>
      <c r="BE53" s="2">
        <f t="shared" si="17"/>
        <v>4.1309044759749822</v>
      </c>
      <c r="BF53" s="2">
        <f t="shared" si="18"/>
        <v>3.9135132579952847</v>
      </c>
      <c r="BG53" s="2">
        <f t="shared" si="19"/>
        <v>3.3982549941114484</v>
      </c>
      <c r="BH53" s="2">
        <f t="shared" si="20"/>
        <v>3.3456185913052949</v>
      </c>
    </row>
    <row r="54" spans="11:60" x14ac:dyDescent="0.2">
      <c r="K54" s="2">
        <v>47</v>
      </c>
      <c r="L54" s="2">
        <f>标准城池设计!AB50*$B$10/C$14*$C$5*C$7</f>
        <v>44755304.049198262</v>
      </c>
      <c r="M54" s="2">
        <f>标准城池设计!AC50*$B$10/D$14*$C$5*D$7</f>
        <v>48976611.16614905</v>
      </c>
      <c r="N54" s="2">
        <f>标准城池设计!AD50*$B$10/E$14*$C$5*E$7</f>
        <v>56048755.048413038</v>
      </c>
      <c r="O54" s="2">
        <f>标准城池设计!AE50*$B$10/F$14*$C$5*F$7</f>
        <v>61323365.268313549</v>
      </c>
      <c r="P54" s="2">
        <f>标准城池设计!AF50*$B$10/G$14*$C$5*G$7</f>
        <v>70163830.536611959</v>
      </c>
      <c r="Q54" s="2">
        <f t="shared" si="4"/>
        <v>7016.3830536611958</v>
      </c>
      <c r="U54" s="2">
        <v>47</v>
      </c>
      <c r="V54" s="2">
        <f>其他调用!R51*6*其他调用!BM51*$B$10/C$15*$C$5*C$8/3</f>
        <v>0</v>
      </c>
      <c r="W54" s="2">
        <f>其他调用!S51*6*其他调用!BN51*$B$10/D$15*$C$5*D$8/3</f>
        <v>576593.47619739256</v>
      </c>
      <c r="X54" s="2">
        <f>其他调用!T51*6*其他调用!BO51*$B$10/E$15*$C$5*E$8/3</f>
        <v>1400498.6986794451</v>
      </c>
      <c r="Y54" s="2">
        <f>其他调用!U51*6*其他调用!BP51*$B$10/F$15*$C$5*F$8/3</f>
        <v>3549337.6134366635</v>
      </c>
      <c r="Z54" s="2">
        <f>其他调用!V51*6*其他调用!BQ51*$B$10/G$15*$C$5*G$8/3</f>
        <v>5994910.6893091267</v>
      </c>
      <c r="AA54" s="2">
        <f t="shared" si="5"/>
        <v>599.49106893091266</v>
      </c>
      <c r="AE54" s="2">
        <v>47</v>
      </c>
      <c r="AF54" s="2">
        <f>L54/IFERROR(INDEX($C$22:$C$35,MATCH(节奏总纲!D50,$B$22:$B$35,1)),MIN($C$22:$C$35))*IFERROR(INDEX($D$22:$D$35,MATCH(节奏总纲!D50,$B$22:$B$35,1)),MIN($D$22:$D$35))</f>
        <v>17902.121619679307</v>
      </c>
      <c r="AG54" s="2">
        <f>M54/IFERROR(INDEX($C$22:$C$35,MATCH(节奏总纲!E50,$B$22:$B$35,1)),MIN($C$22:$C$35))*IFERROR(INDEX($D$22:$D$35,MATCH(节奏总纲!E50,$B$22:$B$35,1)),MIN($D$22:$D$35))</f>
        <v>19590.64446645962</v>
      </c>
      <c r="AH54" s="2">
        <f>N54/IFERROR(INDEX($C$22:$C$35,MATCH(节奏总纲!F50,$B$22:$B$35,1)),MIN($C$22:$C$35))*IFERROR(INDEX($D$22:$D$35,MATCH(节奏总纲!F50,$B$22:$B$35,1)),MIN($D$22:$D$35))</f>
        <v>22419.502019365216</v>
      </c>
      <c r="AI54" s="2">
        <f>O54/IFERROR(INDEX($C$22:$C$35,MATCH(节奏总纲!G50,$B$22:$B$35,1)),MIN($C$22:$C$35))*IFERROR(INDEX($D$22:$D$35,MATCH(节奏总纲!G50,$B$22:$B$35,1)),MIN($D$22:$D$35))</f>
        <v>24529.346107325418</v>
      </c>
      <c r="AJ54" s="2">
        <f>P54/IFERROR(INDEX($C$22:$C$35,MATCH(节奏总纲!H50,$B$22:$B$35,1)),MIN($C$22:$C$35))*IFERROR(INDEX($D$22:$D$35,MATCH(节奏总纲!H50,$B$22:$B$35,1)),MIN($D$22:$D$35))</f>
        <v>28065.532214644783</v>
      </c>
      <c r="AK54" s="2">
        <f>V54/IFERROR(INDEX($E$22:$E$35,MATCH(节奏总纲!D50,$B$22:$B$35,1)),MIN($E$22:$E$35))*IFERROR(INDEX($F$22:$F$35,MATCH(节奏总纲!D50,$B$22:$B$35,1)),MIN($F$22:$F$35))</f>
        <v>0</v>
      </c>
      <c r="AL54" s="2">
        <f>W54/IFERROR(INDEX($E$22:$E$35,MATCH(节奏总纲!E50,$B$22:$B$35,1)),MIN($E$22:$E$35))*IFERROR(INDEX($F$22:$F$35,MATCH(节奏总纲!E50,$B$22:$B$35,1)),MIN($F$22:$F$35))</f>
        <v>8870.6688645752711</v>
      </c>
      <c r="AM54" s="2">
        <f>X54/IFERROR(INDEX($E$22:$E$35,MATCH(节奏总纲!F50,$B$22:$B$35,1)),MIN($E$22:$E$35))*IFERROR(INDEX($F$22:$F$35,MATCH(节奏总纲!F50,$B$22:$B$35,1)),MIN($F$22:$F$35))</f>
        <v>21546.133825837616</v>
      </c>
      <c r="AN54" s="2">
        <f>Y54/IFERROR(INDEX($E$22:$E$35,MATCH(节奏总纲!G50,$B$22:$B$35,1)),MIN($E$22:$E$35))*IFERROR(INDEX($F$22:$F$35,MATCH(节奏总纲!G50,$B$22:$B$35,1)),MIN($F$22:$F$35))</f>
        <v>54605.194052871746</v>
      </c>
      <c r="AO54" s="2">
        <f>Z54/IFERROR(INDEX($E$22:$E$35,MATCH(节奏总纲!H50,$B$22:$B$35,1)),MIN($E$22:$E$35))*IFERROR(INDEX($F$22:$F$35,MATCH(节奏总纲!H50,$B$22:$B$35,1)),MIN($F$22:$F$35))</f>
        <v>92229.395220140417</v>
      </c>
      <c r="AQ54" s="2">
        <v>47</v>
      </c>
      <c r="AR54" s="2">
        <f t="shared" si="6"/>
        <v>17902.121619679307</v>
      </c>
      <c r="AS54" s="2">
        <f t="shared" si="7"/>
        <v>28461.313331034893</v>
      </c>
      <c r="AT54" s="2">
        <f t="shared" si="8"/>
        <v>43965.635845202836</v>
      </c>
      <c r="AU54" s="2">
        <f t="shared" si="9"/>
        <v>79134.540160197168</v>
      </c>
      <c r="AV54" s="2">
        <f t="shared" si="10"/>
        <v>120294.9274347852</v>
      </c>
      <c r="AX54" s="41">
        <f t="shared" si="11"/>
        <v>0</v>
      </c>
      <c r="AY54" s="41">
        <f t="shared" si="12"/>
        <v>0.3116746146391805</v>
      </c>
      <c r="AZ54" s="41">
        <f t="shared" si="13"/>
        <v>0.49006760420112405</v>
      </c>
      <c r="BA54" s="41">
        <f t="shared" si="14"/>
        <v>0.69002983959129505</v>
      </c>
      <c r="BB54" s="41">
        <f t="shared" si="15"/>
        <v>0.76669396779128707</v>
      </c>
      <c r="BD54" s="2" t="e">
        <f t="shared" si="16"/>
        <v>#DIV/0!</v>
      </c>
      <c r="BE54" s="2">
        <f t="shared" si="17"/>
        <v>4.0752115081186631</v>
      </c>
      <c r="BF54" s="2">
        <f t="shared" si="18"/>
        <v>3.8441770574969576</v>
      </c>
      <c r="BG54" s="2">
        <f t="shared" si="19"/>
        <v>3.3391754807049976</v>
      </c>
      <c r="BH54" s="2">
        <f t="shared" si="20"/>
        <v>3.2862157936208494</v>
      </c>
    </row>
    <row r="55" spans="11:60" x14ac:dyDescent="0.2">
      <c r="K55" s="2">
        <v>48</v>
      </c>
      <c r="L55" s="2">
        <f>标准城池设计!AB51*$B$10/C$14*$C$5*C$7</f>
        <v>45936702.658666603</v>
      </c>
      <c r="M55" s="2">
        <f>标准城池设计!AC51*$B$10/D$14*$C$5*D$7</f>
        <v>50313911.922397427</v>
      </c>
      <c r="N55" s="2">
        <f>标准城池设计!AD51*$B$10/E$14*$C$5*E$7</f>
        <v>57814669.531201698</v>
      </c>
      <c r="O55" s="2">
        <f>标准城池设计!AE51*$B$10/F$14*$C$5*F$7</f>
        <v>63233536.435957946</v>
      </c>
      <c r="P55" s="2">
        <f>标准城池设计!AF51*$B$10/G$14*$C$5*G$7</f>
        <v>72308807.222853065</v>
      </c>
      <c r="Q55" s="2">
        <f t="shared" si="4"/>
        <v>7230.8807222853065</v>
      </c>
      <c r="U55" s="2">
        <v>48</v>
      </c>
      <c r="V55" s="2">
        <f>其他调用!R52*6*其他调用!BM52*$B$10/C$15*$C$5*C$8/3</f>
        <v>0</v>
      </c>
      <c r="W55" s="2">
        <f>其他调用!S52*6*其他调用!BN52*$B$10/D$15*$C$5*D$8/3</f>
        <v>584232.21483494737</v>
      </c>
      <c r="X55" s="2">
        <f>其他调用!T52*6*其他调用!BO52*$B$10/E$15*$C$5*E$8/3</f>
        <v>1419032.3588560086</v>
      </c>
      <c r="Y55" s="2">
        <f>其他调用!U52*6*其他调用!BP52*$B$10/F$15*$C$5*F$8/3</f>
        <v>3592440.2432597443</v>
      </c>
      <c r="Z55" s="2">
        <f>其他调用!V52*6*其他调用!BQ52*$B$10/G$15*$C$5*G$8/3</f>
        <v>6070181.1254069321</v>
      </c>
      <c r="AA55" s="2">
        <f t="shared" si="5"/>
        <v>607.01811254069321</v>
      </c>
      <c r="AE55" s="2">
        <v>48</v>
      </c>
      <c r="AF55" s="2">
        <f>L55/IFERROR(INDEX($C$22:$C$35,MATCH(节奏总纲!D51,$B$22:$B$35,1)),MIN($C$22:$C$35))*IFERROR(INDEX($D$22:$D$35,MATCH(节奏总纲!D51,$B$22:$B$35,1)),MIN($D$22:$D$35))</f>
        <v>18374.68106346664</v>
      </c>
      <c r="AG55" s="2">
        <f>M55/IFERROR(INDEX($C$22:$C$35,MATCH(节奏总纲!E51,$B$22:$B$35,1)),MIN($C$22:$C$35))*IFERROR(INDEX($D$22:$D$35,MATCH(节奏总纲!E51,$B$22:$B$35,1)),MIN($D$22:$D$35))</f>
        <v>20125.564768958971</v>
      </c>
      <c r="AH55" s="2">
        <f>N55/IFERROR(INDEX($C$22:$C$35,MATCH(节奏总纲!F51,$B$22:$B$35,1)),MIN($C$22:$C$35))*IFERROR(INDEX($D$22:$D$35,MATCH(节奏总纲!F51,$B$22:$B$35,1)),MIN($D$22:$D$35))</f>
        <v>23125.867812480679</v>
      </c>
      <c r="AI55" s="2">
        <f>O55/IFERROR(INDEX($C$22:$C$35,MATCH(节奏总纲!G51,$B$22:$B$35,1)),MIN($C$22:$C$35))*IFERROR(INDEX($D$22:$D$35,MATCH(节奏总纲!G51,$B$22:$B$35,1)),MIN($D$22:$D$35))</f>
        <v>25293.41457438318</v>
      </c>
      <c r="AJ55" s="2">
        <f>P55/IFERROR(INDEX($C$22:$C$35,MATCH(节奏总纲!H51,$B$22:$B$35,1)),MIN($C$22:$C$35))*IFERROR(INDEX($D$22:$D$35,MATCH(节奏总纲!H51,$B$22:$B$35,1)),MIN($D$22:$D$35))</f>
        <v>28923.522889141226</v>
      </c>
      <c r="AK55" s="2">
        <f>V55/IFERROR(INDEX($E$22:$E$35,MATCH(节奏总纲!D51,$B$22:$B$35,1)),MIN($E$22:$E$35))*IFERROR(INDEX($F$22:$F$35,MATCH(节奏总纲!D51,$B$22:$B$35,1)),MIN($F$22:$F$35))</f>
        <v>0</v>
      </c>
      <c r="AL55" s="2">
        <f>W55/IFERROR(INDEX($E$22:$E$35,MATCH(节奏总纲!E51,$B$22:$B$35,1)),MIN($E$22:$E$35))*IFERROR(INDEX($F$22:$F$35,MATCH(节奏总纲!E51,$B$22:$B$35,1)),MIN($F$22:$F$35))</f>
        <v>8988.1879205376517</v>
      </c>
      <c r="AM55" s="2">
        <f>X55/IFERROR(INDEX($E$22:$E$35,MATCH(节奏总纲!F51,$B$22:$B$35,1)),MIN($E$22:$E$35))*IFERROR(INDEX($F$22:$F$35,MATCH(节奏总纲!F51,$B$22:$B$35,1)),MIN($F$22:$F$35))</f>
        <v>21831.267059323211</v>
      </c>
      <c r="AN55" s="2">
        <f>Y55/IFERROR(INDEX($E$22:$E$35,MATCH(节奏总纲!G51,$B$22:$B$35,1)),MIN($E$22:$E$35))*IFERROR(INDEX($F$22:$F$35,MATCH(节奏总纲!G51,$B$22:$B$35,1)),MIN($F$22:$F$35))</f>
        <v>55268.311434765295</v>
      </c>
      <c r="AO55" s="2">
        <f>Z55/IFERROR(INDEX($E$22:$E$35,MATCH(节奏总纲!H51,$B$22:$B$35,1)),MIN($E$22:$E$35))*IFERROR(INDEX($F$22:$F$35,MATCH(节奏总纲!H51,$B$22:$B$35,1)),MIN($F$22:$F$35))</f>
        <v>93387.401929337415</v>
      </c>
      <c r="AQ55" s="2">
        <v>48</v>
      </c>
      <c r="AR55" s="2">
        <f t="shared" si="6"/>
        <v>18374.68106346664</v>
      </c>
      <c r="AS55" s="2">
        <f t="shared" si="7"/>
        <v>29113.752689496621</v>
      </c>
      <c r="AT55" s="2">
        <f t="shared" si="8"/>
        <v>44957.134871803893</v>
      </c>
      <c r="AU55" s="2">
        <f t="shared" si="9"/>
        <v>80561.726009148479</v>
      </c>
      <c r="AV55" s="2">
        <f t="shared" si="10"/>
        <v>122310.92481847864</v>
      </c>
      <c r="AX55" s="41">
        <f t="shared" si="11"/>
        <v>0</v>
      </c>
      <c r="AY55" s="41">
        <f t="shared" si="12"/>
        <v>0.30872653265960881</v>
      </c>
      <c r="AZ55" s="41">
        <f t="shared" si="13"/>
        <v>0.48560183209129038</v>
      </c>
      <c r="BA55" s="41">
        <f t="shared" si="14"/>
        <v>0.68603683377500013</v>
      </c>
      <c r="BB55" s="41">
        <f t="shared" si="15"/>
        <v>0.76352461620197409</v>
      </c>
      <c r="BD55" s="2" t="e">
        <f t="shared" si="16"/>
        <v>#DIV/0!</v>
      </c>
      <c r="BE55" s="2">
        <f t="shared" si="17"/>
        <v>4.0194495018399046</v>
      </c>
      <c r="BF55" s="2">
        <f t="shared" si="18"/>
        <v>3.7760774620602495</v>
      </c>
      <c r="BG55" s="2">
        <f t="shared" si="19"/>
        <v>3.2776305037165843</v>
      </c>
      <c r="BH55" s="2">
        <f t="shared" si="20"/>
        <v>3.2287699630254205</v>
      </c>
    </row>
    <row r="56" spans="11:60" x14ac:dyDescent="0.2">
      <c r="K56" s="2">
        <v>49</v>
      </c>
      <c r="L56" s="2">
        <f>标准城池设计!AB52*$B$10/C$14*$C$5*C$7</f>
        <v>47288060.10340248</v>
      </c>
      <c r="M56" s="2">
        <f>标准城池设计!AC52*$B$10/D$14*$C$5*D$7</f>
        <v>51687963.23074659</v>
      </c>
      <c r="N56" s="2">
        <f>标准城池设计!AD52*$B$10/E$14*$C$5*E$7</f>
        <v>59534245.439953804</v>
      </c>
      <c r="O56" s="2">
        <f>标准城池设计!AE52*$B$10/F$14*$C$5*F$7</f>
        <v>65035272.636450842</v>
      </c>
      <c r="P56" s="2">
        <f>标准城池设计!AF52*$B$10/G$14*$C$5*G$7</f>
        <v>74202802.151286736</v>
      </c>
      <c r="Q56" s="2">
        <f t="shared" si="4"/>
        <v>7420.2802151286733</v>
      </c>
      <c r="U56" s="2">
        <v>49</v>
      </c>
      <c r="V56" s="2">
        <f>其他调用!R53*6*其他调用!BM53*$B$10/C$15*$C$5*C$8/3</f>
        <v>0</v>
      </c>
      <c r="W56" s="2">
        <f>其他调用!S53*6*其他调用!BN53*$B$10/D$15*$C$5*D$8/3</f>
        <v>591847.27652631188</v>
      </c>
      <c r="X56" s="2">
        <f>其他调用!T53*6*其他调用!BO53*$B$10/E$15*$C$5*E$8/3</f>
        <v>1437129.6936649366</v>
      </c>
      <c r="Y56" s="2">
        <f>其他调用!U53*6*其他调用!BP53*$B$10/F$15*$C$5*F$8/3</f>
        <v>3637504.2721064067</v>
      </c>
      <c r="Z56" s="2">
        <f>其他调用!V53*6*其他调用!BQ53*$B$10/G$15*$C$5*G$8/3</f>
        <v>6145495.0843861056</v>
      </c>
      <c r="AA56" s="2">
        <f t="shared" si="5"/>
        <v>614.54950843861059</v>
      </c>
      <c r="AE56" s="2">
        <v>49</v>
      </c>
      <c r="AF56" s="2">
        <f>L56/IFERROR(INDEX($C$22:$C$35,MATCH(节奏总纲!D52,$B$22:$B$35,1)),MIN($C$22:$C$35))*IFERROR(INDEX($D$22:$D$35,MATCH(节奏总纲!D52,$B$22:$B$35,1)),MIN($D$22:$D$35))</f>
        <v>18915.224041360991</v>
      </c>
      <c r="AG56" s="2">
        <f>M56/IFERROR(INDEX($C$22:$C$35,MATCH(节奏总纲!E52,$B$22:$B$35,1)),MIN($C$22:$C$35))*IFERROR(INDEX($D$22:$D$35,MATCH(节奏总纲!E52,$B$22:$B$35,1)),MIN($D$22:$D$35))</f>
        <v>20675.185292298636</v>
      </c>
      <c r="AH56" s="2">
        <f>N56/IFERROR(INDEX($C$22:$C$35,MATCH(节奏总纲!F52,$B$22:$B$35,1)),MIN($C$22:$C$35))*IFERROR(INDEX($D$22:$D$35,MATCH(节奏总纲!F52,$B$22:$B$35,1)),MIN($D$22:$D$35))</f>
        <v>23813.698175981521</v>
      </c>
      <c r="AI56" s="2">
        <f>O56/IFERROR(INDEX($C$22:$C$35,MATCH(节奏总纲!G52,$B$22:$B$35,1)),MIN($C$22:$C$35))*IFERROR(INDEX($D$22:$D$35,MATCH(节奏总纲!G52,$B$22:$B$35,1)),MIN($D$22:$D$35))</f>
        <v>26014.109054580338</v>
      </c>
      <c r="AJ56" s="2">
        <f>P56/IFERROR(INDEX($C$22:$C$35,MATCH(节奏总纲!H52,$B$22:$B$35,1)),MIN($C$22:$C$35))*IFERROR(INDEX($D$22:$D$35,MATCH(节奏总纲!H52,$B$22:$B$35,1)),MIN($D$22:$D$35))</f>
        <v>29681.120860514693</v>
      </c>
      <c r="AK56" s="2">
        <f>V56/IFERROR(INDEX($E$22:$E$35,MATCH(节奏总纲!D52,$B$22:$B$35,1)),MIN($E$22:$E$35))*IFERROR(INDEX($F$22:$F$35,MATCH(节奏总纲!D52,$B$22:$B$35,1)),MIN($F$22:$F$35))</f>
        <v>0</v>
      </c>
      <c r="AL56" s="2">
        <f>W56/IFERROR(INDEX($E$22:$E$35,MATCH(节奏总纲!E52,$B$22:$B$35,1)),MIN($E$22:$E$35))*IFERROR(INDEX($F$22:$F$35,MATCH(节奏总纲!E52,$B$22:$B$35,1)),MIN($F$22:$F$35))</f>
        <v>9105.342715789413</v>
      </c>
      <c r="AM56" s="2">
        <f>X56/IFERROR(INDEX($E$22:$E$35,MATCH(节奏总纲!F52,$B$22:$B$35,1)),MIN($E$22:$E$35))*IFERROR(INDEX($F$22:$F$35,MATCH(节奏总纲!F52,$B$22:$B$35,1)),MIN($F$22:$F$35))</f>
        <v>22109.687594845178</v>
      </c>
      <c r="AN56" s="2">
        <f>Y56/IFERROR(INDEX($E$22:$E$35,MATCH(节奏总纲!G52,$B$22:$B$35,1)),MIN($E$22:$E$35))*IFERROR(INDEX($F$22:$F$35,MATCH(节奏总纲!G52,$B$22:$B$35,1)),MIN($F$22:$F$35))</f>
        <v>55961.604186252414</v>
      </c>
      <c r="AO56" s="2">
        <f>Z56/IFERROR(INDEX($E$22:$E$35,MATCH(节奏总纲!H52,$B$22:$B$35,1)),MIN($E$22:$E$35))*IFERROR(INDEX($F$22:$F$35,MATCH(节奏总纲!H52,$B$22:$B$35,1)),MIN($F$22:$F$35))</f>
        <v>94546.0782213247</v>
      </c>
      <c r="AQ56" s="2">
        <v>49</v>
      </c>
      <c r="AR56" s="2">
        <f t="shared" si="6"/>
        <v>18915.224041360991</v>
      </c>
      <c r="AS56" s="2">
        <f t="shared" si="7"/>
        <v>29780.528008088047</v>
      </c>
      <c r="AT56" s="2">
        <f t="shared" si="8"/>
        <v>45923.385770826702</v>
      </c>
      <c r="AU56" s="2">
        <f t="shared" si="9"/>
        <v>81975.71324083276</v>
      </c>
      <c r="AV56" s="2">
        <f t="shared" si="10"/>
        <v>124227.1990818394</v>
      </c>
      <c r="AX56" s="41">
        <f t="shared" si="11"/>
        <v>0</v>
      </c>
      <c r="AY56" s="41">
        <f t="shared" si="12"/>
        <v>0.30574819604664183</v>
      </c>
      <c r="AZ56" s="41">
        <f t="shared" si="13"/>
        <v>0.4814472457492579</v>
      </c>
      <c r="BA56" s="41">
        <f t="shared" si="14"/>
        <v>0.68266077809954928</v>
      </c>
      <c r="BB56" s="41">
        <f t="shared" si="15"/>
        <v>0.76107389460691999</v>
      </c>
      <c r="BD56" s="2" t="e">
        <f t="shared" si="16"/>
        <v>#DIV/0!</v>
      </c>
      <c r="BE56" s="2">
        <f t="shared" si="17"/>
        <v>3.963596131476018</v>
      </c>
      <c r="BF56" s="2">
        <f t="shared" si="18"/>
        <v>3.7137764040605843</v>
      </c>
      <c r="BG56" s="2">
        <f t="shared" si="19"/>
        <v>3.2268030438120565</v>
      </c>
      <c r="BH56" s="2">
        <f t="shared" si="20"/>
        <v>3.1853944689501597</v>
      </c>
    </row>
    <row r="57" spans="11:60" x14ac:dyDescent="0.2">
      <c r="K57" s="2">
        <v>50</v>
      </c>
      <c r="L57" s="2">
        <f>标准城池设计!AB53*$B$10/C$14*$C$5*C$7</f>
        <v>48733630.494638205</v>
      </c>
      <c r="M57" s="2">
        <f>标准城池设计!AC53*$B$10/D$14*$C$5*D$7</f>
        <v>53038591.565640174</v>
      </c>
      <c r="N57" s="2">
        <f>标准城池设计!AD53*$B$10/E$14*$C$5*E$7</f>
        <v>60989561.377172381</v>
      </c>
      <c r="O57" s="2">
        <f>标准城池设计!AE53*$B$10/F$14*$C$5*F$7</f>
        <v>66455865.141439185</v>
      </c>
      <c r="P57" s="2">
        <f>标准城池设计!AF53*$B$10/G$14*$C$5*G$7</f>
        <v>75919004.084475666</v>
      </c>
      <c r="Q57" s="2">
        <f t="shared" si="4"/>
        <v>7591.9004084475664</v>
      </c>
      <c r="U57" s="2">
        <v>50</v>
      </c>
      <c r="V57" s="2">
        <f>其他调用!R54*6*其他调用!BM54*$B$10/C$15*$C$5*C$8/3</f>
        <v>0</v>
      </c>
      <c r="W57" s="2">
        <f>其他调用!S54*6*其他调用!BN54*$B$10/D$15*$C$5*D$8/3</f>
        <v>599692.75788121484</v>
      </c>
      <c r="X57" s="2">
        <f>其他调用!T54*6*其他调用!BO54*$B$10/E$15*$C$5*E$8/3</f>
        <v>1455054.6930162832</v>
      </c>
      <c r="Y57" s="2">
        <f>其他调用!U54*6*其他调用!BP54*$B$10/F$15*$C$5*F$8/3</f>
        <v>3683116.8570407075</v>
      </c>
      <c r="Z57" s="2">
        <f>其他调用!V54*6*其他调用!BQ54*$B$10/G$15*$C$5*G$8/3</f>
        <v>6225537.5234730877</v>
      </c>
      <c r="AA57" s="2">
        <f t="shared" si="5"/>
        <v>622.55375234730877</v>
      </c>
      <c r="AE57" s="2">
        <v>50</v>
      </c>
      <c r="AF57" s="2">
        <f>L57/IFERROR(INDEX($C$22:$C$35,MATCH(节奏总纲!D53,$B$22:$B$35,1)),MIN($C$22:$C$35))*IFERROR(INDEX($D$22:$D$35,MATCH(节奏总纲!D53,$B$22:$B$35,1)),MIN($D$22:$D$35))</f>
        <v>19493.45219785528</v>
      </c>
      <c r="AG57" s="2">
        <f>M57/IFERROR(INDEX($C$22:$C$35,MATCH(节奏总纲!E53,$B$22:$B$35,1)),MIN($C$22:$C$35))*IFERROR(INDEX($D$22:$D$35,MATCH(节奏总纲!E53,$B$22:$B$35,1)),MIN($D$22:$D$35))</f>
        <v>21215.436626256069</v>
      </c>
      <c r="AH57" s="2">
        <f>N57/IFERROR(INDEX($C$22:$C$35,MATCH(节奏总纲!F53,$B$22:$B$35,1)),MIN($C$22:$C$35))*IFERROR(INDEX($D$22:$D$35,MATCH(节奏总纲!F53,$B$22:$B$35,1)),MIN($D$22:$D$35))</f>
        <v>24395.824550868951</v>
      </c>
      <c r="AI57" s="2">
        <f>O57/IFERROR(INDEX($C$22:$C$35,MATCH(节奏总纲!G53,$B$22:$B$35,1)),MIN($C$22:$C$35))*IFERROR(INDEX($D$22:$D$35,MATCH(节奏总纲!G53,$B$22:$B$35,1)),MIN($D$22:$D$35))</f>
        <v>26582.346056575672</v>
      </c>
      <c r="AJ57" s="2">
        <f>P57/IFERROR(INDEX($C$22:$C$35,MATCH(节奏总纲!H53,$B$22:$B$35,1)),MIN($C$22:$C$35))*IFERROR(INDEX($D$22:$D$35,MATCH(节奏总纲!H53,$B$22:$B$35,1)),MIN($D$22:$D$35))</f>
        <v>30367.601633790266</v>
      </c>
      <c r="AK57" s="2">
        <f>V57/IFERROR(INDEX($E$22:$E$35,MATCH(节奏总纲!D53,$B$22:$B$35,1)),MIN($E$22:$E$35))*IFERROR(INDEX($F$22:$F$35,MATCH(节奏总纲!D53,$B$22:$B$35,1)),MIN($F$22:$F$35))</f>
        <v>0</v>
      </c>
      <c r="AL57" s="2">
        <f>W57/IFERROR(INDEX($E$22:$E$35,MATCH(节奏总纲!E53,$B$22:$B$35,1)),MIN($E$22:$E$35))*IFERROR(INDEX($F$22:$F$35,MATCH(节奏总纲!E53,$B$22:$B$35,1)),MIN($F$22:$F$35))</f>
        <v>9226.042428941766</v>
      </c>
      <c r="AM57" s="2">
        <f>X57/IFERROR(INDEX($E$22:$E$35,MATCH(节奏总纲!F53,$B$22:$B$35,1)),MIN($E$22:$E$35))*IFERROR(INDEX($F$22:$F$35,MATCH(节奏总纲!F53,$B$22:$B$35,1)),MIN($F$22:$F$35))</f>
        <v>22385.456815635127</v>
      </c>
      <c r="AN57" s="2">
        <f>Y57/IFERROR(INDEX($E$22:$E$35,MATCH(节奏总纲!G53,$B$22:$B$35,1)),MIN($E$22:$E$35))*IFERROR(INDEX($F$22:$F$35,MATCH(节奏总纲!G53,$B$22:$B$35,1)),MIN($F$22:$F$35))</f>
        <v>56663.336262164732</v>
      </c>
      <c r="AO57" s="2">
        <f>Z57/IFERROR(INDEX($E$22:$E$35,MATCH(节奏总纲!H53,$B$22:$B$35,1)),MIN($E$22:$E$35))*IFERROR(INDEX($F$22:$F$35,MATCH(节奏总纲!H53,$B$22:$B$35,1)),MIN($F$22:$F$35))</f>
        <v>95777.500361124432</v>
      </c>
      <c r="AQ57" s="2">
        <v>50</v>
      </c>
      <c r="AR57" s="2">
        <f t="shared" si="6"/>
        <v>19493.45219785528</v>
      </c>
      <c r="AS57" s="2">
        <f t="shared" si="7"/>
        <v>30441.479055197837</v>
      </c>
      <c r="AT57" s="2">
        <f t="shared" si="8"/>
        <v>46781.281366504074</v>
      </c>
      <c r="AU57" s="2">
        <f t="shared" si="9"/>
        <v>83245.682318740408</v>
      </c>
      <c r="AV57" s="2">
        <f t="shared" si="10"/>
        <v>126145.1019949147</v>
      </c>
      <c r="AX57" s="41">
        <f t="shared" si="11"/>
        <v>0</v>
      </c>
      <c r="AY57" s="41">
        <f t="shared" si="12"/>
        <v>0.3030747097476012</v>
      </c>
      <c r="AZ57" s="41">
        <f t="shared" si="13"/>
        <v>0.47851311810504121</v>
      </c>
      <c r="BA57" s="41">
        <f t="shared" si="14"/>
        <v>0.68067597842739513</v>
      </c>
      <c r="BB57" s="41">
        <f t="shared" si="15"/>
        <v>0.75926452035359659</v>
      </c>
      <c r="BD57" s="2" t="e">
        <f t="shared" si="16"/>
        <v>#DIV/0!</v>
      </c>
      <c r="BE57" s="2">
        <f t="shared" si="17"/>
        <v>3.9138662721517208</v>
      </c>
      <c r="BF57" s="2">
        <f t="shared" si="18"/>
        <v>3.6703751117668681</v>
      </c>
      <c r="BG57" s="2">
        <f t="shared" si="19"/>
        <v>3.1974229893911823</v>
      </c>
      <c r="BH57" s="2">
        <f t="shared" si="20"/>
        <v>3.1539369330553937</v>
      </c>
    </row>
    <row r="58" spans="11:60" x14ac:dyDescent="0.2">
      <c r="K58" s="2">
        <v>51</v>
      </c>
      <c r="L58" s="2">
        <f>标准城池设计!AB54*$B$10/C$14*$C$5*C$7</f>
        <v>50194969.606253318</v>
      </c>
      <c r="M58" s="2">
        <f>标准城池设计!AC54*$B$10/D$14*$C$5*D$7</f>
        <v>54522379.232788272</v>
      </c>
      <c r="N58" s="2">
        <f>标准城池设计!AD54*$B$10/E$14*$C$5*E$7</f>
        <v>62432677.881137401</v>
      </c>
      <c r="O58" s="2">
        <f>标准城池设计!AE54*$B$10/F$14*$C$5*F$7</f>
        <v>68007487.22970815</v>
      </c>
      <c r="P58" s="2">
        <f>标准城池设计!AF54*$B$10/G$14*$C$5*G$7</f>
        <v>77697796.233466297</v>
      </c>
      <c r="Q58" s="2">
        <f t="shared" si="4"/>
        <v>7769.7796233466297</v>
      </c>
      <c r="U58" s="2">
        <v>51</v>
      </c>
      <c r="V58" s="2">
        <f>其他调用!R55*6*其他调用!BM55*$B$10/C$15*$C$5*C$8/3</f>
        <v>0</v>
      </c>
      <c r="W58" s="2">
        <f>其他调用!S55*6*其他调用!BN55*$B$10/D$15*$C$5*D$8/3</f>
        <v>606936.043412289</v>
      </c>
      <c r="X58" s="2">
        <f>其他调用!T55*6*其他调用!BO55*$B$10/E$15*$C$5*E$8/3</f>
        <v>1473438.4828352171</v>
      </c>
      <c r="Y58" s="2">
        <f>其他调用!U55*6*其他调用!BP55*$B$10/F$15*$C$5*F$8/3</f>
        <v>3729014.0018598139</v>
      </c>
      <c r="Z58" s="2">
        <f>其他调用!V55*6*其他调用!BQ55*$B$10/G$15*$C$5*G$8/3</f>
        <v>6299031.191772338</v>
      </c>
      <c r="AA58" s="2">
        <f t="shared" si="5"/>
        <v>629.90311917723375</v>
      </c>
      <c r="AE58" s="2">
        <v>51</v>
      </c>
      <c r="AF58" s="2">
        <f>L58/IFERROR(INDEX($C$22:$C$35,MATCH(节奏总纲!D54,$B$22:$B$35,1)),MIN($C$22:$C$35))*IFERROR(INDEX($D$22:$D$35,MATCH(节奏总纲!D54,$B$22:$B$35,1)),MIN($D$22:$D$35))</f>
        <v>20077.987842501327</v>
      </c>
      <c r="AG58" s="2">
        <f>M58/IFERROR(INDEX($C$22:$C$35,MATCH(节奏总纲!E54,$B$22:$B$35,1)),MIN($C$22:$C$35))*IFERROR(INDEX($D$22:$D$35,MATCH(节奏总纲!E54,$B$22:$B$35,1)),MIN($D$22:$D$35))</f>
        <v>21808.951693115308</v>
      </c>
      <c r="AH58" s="2">
        <f>N58/IFERROR(INDEX($C$22:$C$35,MATCH(节奏总纲!F54,$B$22:$B$35,1)),MIN($C$22:$C$35))*IFERROR(INDEX($D$22:$D$35,MATCH(节奏总纲!F54,$B$22:$B$35,1)),MIN($D$22:$D$35))</f>
        <v>24973.071152454959</v>
      </c>
      <c r="AI58" s="2">
        <f>O58/IFERROR(INDEX($C$22:$C$35,MATCH(节奏总纲!G54,$B$22:$B$35,1)),MIN($C$22:$C$35))*IFERROR(INDEX($D$22:$D$35,MATCH(节奏总纲!G54,$B$22:$B$35,1)),MIN($D$22:$D$35))</f>
        <v>27202.99489188326</v>
      </c>
      <c r="AJ58" s="2">
        <f>P58/IFERROR(INDEX($C$22:$C$35,MATCH(节奏总纲!H54,$B$22:$B$35,1)),MIN($C$22:$C$35))*IFERROR(INDEX($D$22:$D$35,MATCH(节奏总纲!H54,$B$22:$B$35,1)),MIN($D$22:$D$35))</f>
        <v>31079.118493386519</v>
      </c>
      <c r="AK58" s="2">
        <f>V58/IFERROR(INDEX($E$22:$E$35,MATCH(节奏总纲!D54,$B$22:$B$35,1)),MIN($E$22:$E$35))*IFERROR(INDEX($F$22:$F$35,MATCH(节奏总纲!D54,$B$22:$B$35,1)),MIN($F$22:$F$35))</f>
        <v>0</v>
      </c>
      <c r="AL58" s="2">
        <f>W58/IFERROR(INDEX($E$22:$E$35,MATCH(节奏总纲!E54,$B$22:$B$35,1)),MIN($E$22:$E$35))*IFERROR(INDEX($F$22:$F$35,MATCH(节奏总纲!E54,$B$22:$B$35,1)),MIN($F$22:$F$35))</f>
        <v>9337.4775909582931</v>
      </c>
      <c r="AM58" s="2">
        <f>X58/IFERROR(INDEX($E$22:$E$35,MATCH(节奏总纲!F54,$B$22:$B$35,1)),MIN($E$22:$E$35))*IFERROR(INDEX($F$22:$F$35,MATCH(节奏总纲!F54,$B$22:$B$35,1)),MIN($F$22:$F$35))</f>
        <v>22668.284351311035</v>
      </c>
      <c r="AN58" s="2">
        <f>Y58/IFERROR(INDEX($E$22:$E$35,MATCH(节奏总纲!G54,$B$22:$B$35,1)),MIN($E$22:$E$35))*IFERROR(INDEX($F$22:$F$35,MATCH(节奏总纲!G54,$B$22:$B$35,1)),MIN($F$22:$F$35))</f>
        <v>57369.446182458676</v>
      </c>
      <c r="AO58" s="2">
        <f>Z58/IFERROR(INDEX($E$22:$E$35,MATCH(节奏总纲!H54,$B$22:$B$35,1)),MIN($E$22:$E$35))*IFERROR(INDEX($F$22:$F$35,MATCH(节奏总纲!H54,$B$22:$B$35,1)),MIN($F$22:$F$35))</f>
        <v>96908.172181112895</v>
      </c>
      <c r="AQ58" s="2">
        <v>51</v>
      </c>
      <c r="AR58" s="2">
        <f t="shared" si="6"/>
        <v>20077.987842501327</v>
      </c>
      <c r="AS58" s="2">
        <f t="shared" si="7"/>
        <v>31146.429284073602</v>
      </c>
      <c r="AT58" s="2">
        <f t="shared" si="8"/>
        <v>47641.355503765997</v>
      </c>
      <c r="AU58" s="2">
        <f t="shared" si="9"/>
        <v>84572.441074341943</v>
      </c>
      <c r="AV58" s="2">
        <f t="shared" si="10"/>
        <v>127987.29067449941</v>
      </c>
      <c r="AX58" s="41">
        <f t="shared" si="11"/>
        <v>0</v>
      </c>
      <c r="AY58" s="41">
        <f t="shared" si="12"/>
        <v>0.29979287531790727</v>
      </c>
      <c r="AZ58" s="41">
        <f t="shared" si="13"/>
        <v>0.47581107026896269</v>
      </c>
      <c r="BA58" s="41">
        <f t="shared" si="14"/>
        <v>0.67834681668971875</v>
      </c>
      <c r="BB58" s="41">
        <f t="shared" si="15"/>
        <v>0.75717027581724705</v>
      </c>
      <c r="BD58" s="2" t="e">
        <f t="shared" si="16"/>
        <v>#DIV/0!</v>
      </c>
      <c r="BE58" s="2">
        <f t="shared" si="17"/>
        <v>3.8533396515869085</v>
      </c>
      <c r="BF58" s="2">
        <f t="shared" si="18"/>
        <v>3.6308364658757881</v>
      </c>
      <c r="BG58" s="2">
        <f t="shared" si="19"/>
        <v>3.1634079120959053</v>
      </c>
      <c r="BH58" s="2">
        <f t="shared" si="20"/>
        <v>3.1181119954137202</v>
      </c>
    </row>
    <row r="59" spans="11:60" x14ac:dyDescent="0.2">
      <c r="K59" s="2">
        <v>52</v>
      </c>
      <c r="L59" s="2">
        <f>标准城池设计!AB55*$B$10/C$14*$C$5*C$7</f>
        <v>51704142.049390495</v>
      </c>
      <c r="M59" s="2">
        <f>标准城池设计!AC55*$B$10/D$14*$C$5*D$7</f>
        <v>56136995.373846933</v>
      </c>
      <c r="N59" s="2">
        <f>标准城池设计!AD55*$B$10/E$14*$C$5*E$7</f>
        <v>63926979.042028524</v>
      </c>
      <c r="O59" s="2">
        <f>标准城池设计!AE55*$B$10/F$14*$C$5*F$7</f>
        <v>69676196.546285942</v>
      </c>
      <c r="P59" s="2">
        <f>标准城池设计!AF55*$B$10/G$14*$C$5*G$7</f>
        <v>79530948.083361596</v>
      </c>
      <c r="Q59" s="2">
        <f t="shared" si="4"/>
        <v>7953.09480833616</v>
      </c>
      <c r="U59" s="2">
        <v>52</v>
      </c>
      <c r="V59" s="2">
        <f>其他调用!R56*6*其他调用!BM56*$B$10/C$15*$C$5*C$8/3</f>
        <v>0</v>
      </c>
      <c r="W59" s="2">
        <f>其他调用!S56*6*其他调用!BN56*$B$10/D$15*$C$5*D$8/3</f>
        <v>614844.04688714305</v>
      </c>
      <c r="X59" s="2">
        <f>其他调用!T56*6*其他调用!BO56*$B$10/E$15*$C$5*E$8/3</f>
        <v>1491948.2080809977</v>
      </c>
      <c r="Y59" s="2">
        <f>其他调用!U56*6*其他调用!BP56*$B$10/F$15*$C$5*F$8/3</f>
        <v>3776751.0445678825</v>
      </c>
      <c r="Z59" s="2">
        <f>其他调用!V56*6*其他调用!BQ56*$B$10/G$15*$C$5*G$8/3</f>
        <v>6377164.7930214442</v>
      </c>
      <c r="AA59" s="2">
        <f t="shared" si="5"/>
        <v>637.71647930214442</v>
      </c>
      <c r="AE59" s="2">
        <v>52</v>
      </c>
      <c r="AF59" s="2">
        <f>L59/IFERROR(INDEX($C$22:$C$35,MATCH(节奏总纲!D55,$B$22:$B$35,1)),MIN($C$22:$C$35))*IFERROR(INDEX($D$22:$D$35,MATCH(节奏总纲!D55,$B$22:$B$35,1)),MIN($D$22:$D$35))</f>
        <v>20681.656819756197</v>
      </c>
      <c r="AG59" s="2">
        <f>M59/IFERROR(INDEX($C$22:$C$35,MATCH(节奏总纲!E55,$B$22:$B$35,1)),MIN($C$22:$C$35))*IFERROR(INDEX($D$22:$D$35,MATCH(节奏总纲!E55,$B$22:$B$35,1)),MIN($D$22:$D$35))</f>
        <v>22454.798149538772</v>
      </c>
      <c r="AH59" s="2">
        <f>N59/IFERROR(INDEX($C$22:$C$35,MATCH(节奏总纲!F55,$B$22:$B$35,1)),MIN($C$22:$C$35))*IFERROR(INDEX($D$22:$D$35,MATCH(节奏总纲!F55,$B$22:$B$35,1)),MIN($D$22:$D$35))</f>
        <v>25570.79161681141</v>
      </c>
      <c r="AI59" s="2">
        <f>O59/IFERROR(INDEX($C$22:$C$35,MATCH(节奏总纲!G55,$B$22:$B$35,1)),MIN($C$22:$C$35))*IFERROR(INDEX($D$22:$D$35,MATCH(节奏总纲!G55,$B$22:$B$35,1)),MIN($D$22:$D$35))</f>
        <v>27870.478618514378</v>
      </c>
      <c r="AJ59" s="2">
        <f>P59/IFERROR(INDEX($C$22:$C$35,MATCH(节奏总纲!H55,$B$22:$B$35,1)),MIN($C$22:$C$35))*IFERROR(INDEX($D$22:$D$35,MATCH(节奏总纲!H55,$B$22:$B$35,1)),MIN($D$22:$D$35))</f>
        <v>31812.37923334464</v>
      </c>
      <c r="AK59" s="2">
        <f>V59/IFERROR(INDEX($E$22:$E$35,MATCH(节奏总纲!D55,$B$22:$B$35,1)),MIN($E$22:$E$35))*IFERROR(INDEX($F$22:$F$35,MATCH(节奏总纲!D55,$B$22:$B$35,1)),MIN($F$22:$F$35))</f>
        <v>0</v>
      </c>
      <c r="AL59" s="2">
        <f>W59/IFERROR(INDEX($E$22:$E$35,MATCH(节奏总纲!E55,$B$22:$B$35,1)),MIN($E$22:$E$35))*IFERROR(INDEX($F$22:$F$35,MATCH(节奏总纲!E55,$B$22:$B$35,1)),MIN($F$22:$F$35))</f>
        <v>9459.1391828791238</v>
      </c>
      <c r="AM59" s="2">
        <f>X59/IFERROR(INDEX($E$22:$E$35,MATCH(节奏总纲!F55,$B$22:$B$35,1)),MIN($E$22:$E$35))*IFERROR(INDEX($F$22:$F$35,MATCH(节奏总纲!F55,$B$22:$B$35,1)),MIN($F$22:$F$35))</f>
        <v>22953.049355092273</v>
      </c>
      <c r="AN59" s="2">
        <f>Y59/IFERROR(INDEX($E$22:$E$35,MATCH(节奏总纲!G55,$B$22:$B$35,1)),MIN($E$22:$E$35))*IFERROR(INDEX($F$22:$F$35,MATCH(节奏总纲!G55,$B$22:$B$35,1)),MIN($F$22:$F$35))</f>
        <v>58103.862224121272</v>
      </c>
      <c r="AO59" s="2">
        <f>Z59/IFERROR(INDEX($E$22:$E$35,MATCH(节奏总纲!H55,$B$22:$B$35,1)),MIN($E$22:$E$35))*IFERROR(INDEX($F$22:$F$35,MATCH(节奏总纲!H55,$B$22:$B$35,1)),MIN($F$22:$F$35))</f>
        <v>98110.2275849453</v>
      </c>
      <c r="AQ59" s="2">
        <v>52</v>
      </c>
      <c r="AR59" s="2">
        <f t="shared" si="6"/>
        <v>20681.656819756197</v>
      </c>
      <c r="AS59" s="2">
        <f t="shared" si="7"/>
        <v>31913.937332417896</v>
      </c>
      <c r="AT59" s="2">
        <f t="shared" si="8"/>
        <v>48523.840971903686</v>
      </c>
      <c r="AU59" s="2">
        <f t="shared" si="9"/>
        <v>85974.340842635647</v>
      </c>
      <c r="AV59" s="2">
        <f t="shared" si="10"/>
        <v>129922.60681828993</v>
      </c>
      <c r="AX59" s="41">
        <f t="shared" si="11"/>
        <v>0</v>
      </c>
      <c r="AY59" s="41">
        <f t="shared" si="12"/>
        <v>0.29639524212735147</v>
      </c>
      <c r="AZ59" s="41">
        <f t="shared" si="13"/>
        <v>0.47302622577595549</v>
      </c>
      <c r="BA59" s="41">
        <f t="shared" si="14"/>
        <v>0.67582794650874378</v>
      </c>
      <c r="BB59" s="41">
        <f t="shared" si="15"/>
        <v>0.75514361963320598</v>
      </c>
      <c r="BD59" s="2" t="e">
        <f t="shared" si="16"/>
        <v>#DIV/0!</v>
      </c>
      <c r="BE59" s="2">
        <f t="shared" si="17"/>
        <v>3.7912722296130181</v>
      </c>
      <c r="BF59" s="2">
        <f t="shared" si="18"/>
        <v>3.5905105636232073</v>
      </c>
      <c r="BG59" s="2">
        <f t="shared" si="19"/>
        <v>3.1271724655020541</v>
      </c>
      <c r="BH59" s="2">
        <f t="shared" si="20"/>
        <v>3.0840267200797586</v>
      </c>
    </row>
    <row r="60" spans="11:60" x14ac:dyDescent="0.2">
      <c r="K60" s="2">
        <v>53</v>
      </c>
      <c r="L60" s="2">
        <f>标准城池设计!AB56*$B$10/C$14*$C$5*C$7</f>
        <v>53248877.811900958</v>
      </c>
      <c r="M60" s="2">
        <f>标准城池设计!AC56*$B$10/D$14*$C$5*D$7</f>
        <v>57801153.874437459</v>
      </c>
      <c r="N60" s="2">
        <f>标准城池设计!AD56*$B$10/E$14*$C$5*E$7</f>
        <v>65460508.134787947</v>
      </c>
      <c r="O60" s="2">
        <f>标准城池设计!AE56*$B$10/F$14*$C$5*F$7</f>
        <v>71396792.756236836</v>
      </c>
      <c r="P60" s="2">
        <f>标准城池设计!AF56*$B$10/G$14*$C$5*G$7</f>
        <v>81502806.80692488</v>
      </c>
      <c r="Q60" s="2">
        <f t="shared" si="4"/>
        <v>8150.2806806924882</v>
      </c>
      <c r="U60" s="2">
        <v>53</v>
      </c>
      <c r="V60" s="2">
        <f>其他调用!R57*6*其他调用!BM57*$B$10/C$15*$C$5*C$8/3</f>
        <v>0</v>
      </c>
      <c r="W60" s="2">
        <f>其他调用!S57*6*其他调用!BN57*$B$10/D$15*$C$5*D$8/3</f>
        <v>622484.38268913783</v>
      </c>
      <c r="X60" s="2">
        <f>其他调用!T57*6*其他调用!BO57*$B$10/E$15*$C$5*E$8/3</f>
        <v>1511514.5818116388</v>
      </c>
      <c r="Y60" s="2">
        <f>其他调用!U57*6*其他调用!BP57*$B$10/F$15*$C$5*F$8/3</f>
        <v>3822294.5955614601</v>
      </c>
      <c r="Z60" s="2">
        <f>其他调用!V57*6*其他调用!BQ57*$B$10/G$15*$C$5*G$8/3</f>
        <v>6452995.9871741273</v>
      </c>
      <c r="AA60" s="2">
        <f t="shared" si="5"/>
        <v>645.29959871741278</v>
      </c>
      <c r="AE60" s="2">
        <v>53</v>
      </c>
      <c r="AF60" s="2">
        <f>L60/IFERROR(INDEX($C$22:$C$35,MATCH(节奏总纲!D56,$B$22:$B$35,1)),MIN($C$22:$C$35))*IFERROR(INDEX($D$22:$D$35,MATCH(节奏总纲!D56,$B$22:$B$35,1)),MIN($D$22:$D$35))</f>
        <v>21299.551124760383</v>
      </c>
      <c r="AG60" s="2">
        <f>M60/IFERROR(INDEX($C$22:$C$35,MATCH(节奏总纲!E56,$B$22:$B$35,1)),MIN($C$22:$C$35))*IFERROR(INDEX($D$22:$D$35,MATCH(节奏总纲!E56,$B$22:$B$35,1)),MIN($D$22:$D$35))</f>
        <v>23120.461549774984</v>
      </c>
      <c r="AH60" s="2">
        <f>N60/IFERROR(INDEX($C$22:$C$35,MATCH(节奏总纲!F56,$B$22:$B$35,1)),MIN($C$22:$C$35))*IFERROR(INDEX($D$22:$D$35,MATCH(节奏总纲!F56,$B$22:$B$35,1)),MIN($D$22:$D$35))</f>
        <v>26184.203253915181</v>
      </c>
      <c r="AI60" s="2">
        <f>O60/IFERROR(INDEX($C$22:$C$35,MATCH(节奏总纲!G56,$B$22:$B$35,1)),MIN($C$22:$C$35))*IFERROR(INDEX($D$22:$D$35,MATCH(节奏总纲!G56,$B$22:$B$35,1)),MIN($D$22:$D$35))</f>
        <v>28558.717102494735</v>
      </c>
      <c r="AJ60" s="2">
        <f>P60/IFERROR(INDEX($C$22:$C$35,MATCH(节奏总纲!H56,$B$22:$B$35,1)),MIN($C$22:$C$35))*IFERROR(INDEX($D$22:$D$35,MATCH(节奏总纲!H56,$B$22:$B$35,1)),MIN($D$22:$D$35))</f>
        <v>32601.122722769953</v>
      </c>
      <c r="AK60" s="2">
        <f>V60/IFERROR(INDEX($E$22:$E$35,MATCH(节奏总纲!D56,$B$22:$B$35,1)),MIN($E$22:$E$35))*IFERROR(INDEX($F$22:$F$35,MATCH(节奏总纲!D56,$B$22:$B$35,1)),MIN($F$22:$F$35))</f>
        <v>0</v>
      </c>
      <c r="AL60" s="2">
        <f>W60/IFERROR(INDEX($E$22:$E$35,MATCH(节奏总纲!E56,$B$22:$B$35,1)),MIN($E$22:$E$35))*IFERROR(INDEX($F$22:$F$35,MATCH(节奏总纲!E56,$B$22:$B$35,1)),MIN($F$22:$F$35))</f>
        <v>9576.6828106021203</v>
      </c>
      <c r="AM60" s="2">
        <f>X60/IFERROR(INDEX($E$22:$E$35,MATCH(节奏总纲!F56,$B$22:$B$35,1)),MIN($E$22:$E$35))*IFERROR(INDEX($F$22:$F$35,MATCH(节奏总纲!F56,$B$22:$B$35,1)),MIN($F$22:$F$35))</f>
        <v>23254.070489409827</v>
      </c>
      <c r="AN60" s="2">
        <f>Y60/IFERROR(INDEX($E$22:$E$35,MATCH(节奏总纲!G56,$B$22:$B$35,1)),MIN($E$22:$E$35))*IFERROR(INDEX($F$22:$F$35,MATCH(节奏总纲!G56,$B$22:$B$35,1)),MIN($F$22:$F$35))</f>
        <v>58804.532239407075</v>
      </c>
      <c r="AO60" s="2">
        <f>Z60/IFERROR(INDEX($E$22:$E$35,MATCH(节奏总纲!H56,$B$22:$B$35,1)),MIN($E$22:$E$35))*IFERROR(INDEX($F$22:$F$35,MATCH(节奏总纲!H56,$B$22:$B$35,1)),MIN($F$22:$F$35))</f>
        <v>99276.861341140422</v>
      </c>
      <c r="AQ60" s="2">
        <v>53</v>
      </c>
      <c r="AR60" s="2">
        <f t="shared" si="6"/>
        <v>21299.551124760383</v>
      </c>
      <c r="AS60" s="2">
        <f t="shared" si="7"/>
        <v>32697.144360377104</v>
      </c>
      <c r="AT60" s="2">
        <f t="shared" si="8"/>
        <v>49438.273743325008</v>
      </c>
      <c r="AU60" s="2">
        <f t="shared" si="9"/>
        <v>87363.249341901814</v>
      </c>
      <c r="AV60" s="2">
        <f t="shared" si="10"/>
        <v>131877.98406391038</v>
      </c>
      <c r="AX60" s="41">
        <f t="shared" si="11"/>
        <v>0</v>
      </c>
      <c r="AY60" s="41">
        <f t="shared" si="12"/>
        <v>0.29289049542220236</v>
      </c>
      <c r="AZ60" s="41">
        <f t="shared" si="13"/>
        <v>0.47036574557883942</v>
      </c>
      <c r="BA60" s="41">
        <f t="shared" si="14"/>
        <v>0.67310376711460995</v>
      </c>
      <c r="BB60" s="41">
        <f t="shared" si="15"/>
        <v>0.75279328877994611</v>
      </c>
      <c r="BD60" s="2" t="e">
        <f t="shared" si="16"/>
        <v>#DIV/0!</v>
      </c>
      <c r="BE60" s="2">
        <f t="shared" si="17"/>
        <v>3.7278730405041558</v>
      </c>
      <c r="BF60" s="2">
        <f t="shared" si="18"/>
        <v>3.5523816041158756</v>
      </c>
      <c r="BG60" s="2">
        <f t="shared" si="19"/>
        <v>3.0886120704422444</v>
      </c>
      <c r="BH60" s="2">
        <f t="shared" si="20"/>
        <v>3.0451976205040761</v>
      </c>
    </row>
    <row r="61" spans="11:60" x14ac:dyDescent="0.2">
      <c r="K61" s="2">
        <v>54</v>
      </c>
      <c r="L61" s="2">
        <f>标准城池设计!AB57*$B$10/C$14*$C$5*C$7</f>
        <v>54887470.165456906</v>
      </c>
      <c r="M61" s="2">
        <f>标准城池设计!AC57*$B$10/D$14*$C$5*D$7</f>
        <v>59585384.803476118</v>
      </c>
      <c r="N61" s="2">
        <f>标准城池设计!AD57*$B$10/E$14*$C$5*E$7</f>
        <v>67339790.322409615</v>
      </c>
      <c r="O61" s="2">
        <f>标准城池设计!AE57*$B$10/F$14*$C$5*F$7</f>
        <v>73110272.113351926</v>
      </c>
      <c r="P61" s="2">
        <f>标准城池设计!AF57*$B$10/G$14*$C$5*G$7</f>
        <v>83556154.436171502</v>
      </c>
      <c r="Q61" s="2">
        <f t="shared" si="4"/>
        <v>8355.615443617151</v>
      </c>
      <c r="U61" s="2">
        <v>54</v>
      </c>
      <c r="V61" s="2">
        <f>其他调用!R58*6*其他调用!BM58*$B$10/C$15*$C$5*C$8/3</f>
        <v>0</v>
      </c>
      <c r="W61" s="2">
        <f>其他调用!S58*6*其他调用!BN58*$B$10/D$15*$C$5*D$8/3</f>
        <v>630391.76713964343</v>
      </c>
      <c r="X61" s="2">
        <f>其他调用!T58*6*其他调用!BO58*$B$10/E$15*$C$5*E$8/3</f>
        <v>1529143.8639386815</v>
      </c>
      <c r="Y61" s="2">
        <f>其他调用!U58*6*其他调用!BP58*$B$10/F$15*$C$5*F$8/3</f>
        <v>3868660.4932724885</v>
      </c>
      <c r="Z61" s="2">
        <f>其他调用!V58*6*其他调用!BQ58*$B$10/G$15*$C$5*G$8/3</f>
        <v>6526404.2950317441</v>
      </c>
      <c r="AA61" s="2">
        <f t="shared" si="5"/>
        <v>652.64042950317446</v>
      </c>
      <c r="AE61" s="2">
        <v>54</v>
      </c>
      <c r="AF61" s="2">
        <f>L61/IFERROR(INDEX($C$22:$C$35,MATCH(节奏总纲!D57,$B$22:$B$35,1)),MIN($C$22:$C$35))*IFERROR(INDEX($D$22:$D$35,MATCH(节奏总纲!D57,$B$22:$B$35,1)),MIN($D$22:$D$35))</f>
        <v>21954.988066182763</v>
      </c>
      <c r="AG61" s="2">
        <f>M61/IFERROR(INDEX($C$22:$C$35,MATCH(节奏总纲!E57,$B$22:$B$35,1)),MIN($C$22:$C$35))*IFERROR(INDEX($D$22:$D$35,MATCH(节奏总纲!E57,$B$22:$B$35,1)),MIN($D$22:$D$35))</f>
        <v>23834.153921390447</v>
      </c>
      <c r="AH61" s="2">
        <f>N61/IFERROR(INDEX($C$22:$C$35,MATCH(节奏总纲!F57,$B$22:$B$35,1)),MIN($C$22:$C$35))*IFERROR(INDEX($D$22:$D$35,MATCH(节奏总纲!F57,$B$22:$B$35,1)),MIN($D$22:$D$35))</f>
        <v>26935.916128963847</v>
      </c>
      <c r="AI61" s="2">
        <f>O61/IFERROR(INDEX($C$22:$C$35,MATCH(节奏总纲!G57,$B$22:$B$35,1)),MIN($C$22:$C$35))*IFERROR(INDEX($D$22:$D$35,MATCH(节奏总纲!G57,$B$22:$B$35,1)),MIN($D$22:$D$35))</f>
        <v>29244.108845340772</v>
      </c>
      <c r="AJ61" s="2">
        <f>P61/IFERROR(INDEX($C$22:$C$35,MATCH(节奏总纲!H57,$B$22:$B$35,1)),MIN($C$22:$C$35))*IFERROR(INDEX($D$22:$D$35,MATCH(节奏总纲!H57,$B$22:$B$35,1)),MIN($D$22:$D$35))</f>
        <v>33422.461774468604</v>
      </c>
      <c r="AK61" s="2">
        <f>V61/IFERROR(INDEX($E$22:$E$35,MATCH(节奏总纲!D57,$B$22:$B$35,1)),MIN($E$22:$E$35))*IFERROR(INDEX($F$22:$F$35,MATCH(节奏总纲!D57,$B$22:$B$35,1)),MIN($F$22:$F$35))</f>
        <v>0</v>
      </c>
      <c r="AL61" s="2">
        <f>W61/IFERROR(INDEX($E$22:$E$35,MATCH(节奏总纲!E57,$B$22:$B$35,1)),MIN($E$22:$E$35))*IFERROR(INDEX($F$22:$F$35,MATCH(节奏总纲!E57,$B$22:$B$35,1)),MIN($F$22:$F$35))</f>
        <v>9698.3348790714372</v>
      </c>
      <c r="AM61" s="2">
        <f>X61/IFERROR(INDEX($E$22:$E$35,MATCH(节奏总纲!F57,$B$22:$B$35,1)),MIN($E$22:$E$35))*IFERROR(INDEX($F$22:$F$35,MATCH(节奏总纲!F57,$B$22:$B$35,1)),MIN($F$22:$F$35))</f>
        <v>23525.290214441255</v>
      </c>
      <c r="AN61" s="2">
        <f>Y61/IFERROR(INDEX($E$22:$E$35,MATCH(节奏总纲!G57,$B$22:$B$35,1)),MIN($E$22:$E$35))*IFERROR(INDEX($F$22:$F$35,MATCH(节奏总纲!G57,$B$22:$B$35,1)),MIN($F$22:$F$35))</f>
        <v>59517.853742653671</v>
      </c>
      <c r="AO61" s="2">
        <f>Z61/IFERROR(INDEX($E$22:$E$35,MATCH(节奏总纲!H57,$B$22:$B$35,1)),MIN($E$22:$E$35))*IFERROR(INDEX($F$22:$F$35,MATCH(节奏总纲!H57,$B$22:$B$35,1)),MIN($F$22:$F$35))</f>
        <v>100406.2199235653</v>
      </c>
      <c r="AQ61" s="2">
        <v>54</v>
      </c>
      <c r="AR61" s="2">
        <f t="shared" si="6"/>
        <v>21954.988066182763</v>
      </c>
      <c r="AS61" s="2">
        <f t="shared" si="7"/>
        <v>33532.488800461884</v>
      </c>
      <c r="AT61" s="2">
        <f t="shared" si="8"/>
        <v>50461.206343405102</v>
      </c>
      <c r="AU61" s="2">
        <f t="shared" si="9"/>
        <v>88761.962587994436</v>
      </c>
      <c r="AV61" s="2">
        <f t="shared" si="10"/>
        <v>133828.68169803391</v>
      </c>
      <c r="AX61" s="41">
        <f t="shared" si="11"/>
        <v>0</v>
      </c>
      <c r="AY61" s="41">
        <f t="shared" si="12"/>
        <v>0.28922204184670747</v>
      </c>
      <c r="AZ61" s="41">
        <f t="shared" si="13"/>
        <v>0.46620546592453455</v>
      </c>
      <c r="BA61" s="41">
        <f t="shared" si="14"/>
        <v>0.67053332314109737</v>
      </c>
      <c r="BB61" s="41">
        <f t="shared" si="15"/>
        <v>0.75025935135577426</v>
      </c>
      <c r="BD61" s="2" t="e">
        <f t="shared" si="16"/>
        <v>#DIV/0!</v>
      </c>
      <c r="BE61" s="2">
        <f t="shared" si="17"/>
        <v>3.6621821860983803</v>
      </c>
      <c r="BF61" s="2">
        <f t="shared" si="18"/>
        <v>3.4935199681803017</v>
      </c>
      <c r="BG61" s="2">
        <f t="shared" si="19"/>
        <v>3.0528124856232108</v>
      </c>
      <c r="BH61" s="2">
        <f t="shared" si="20"/>
        <v>3.0041539310029384</v>
      </c>
    </row>
    <row r="62" spans="11:60" x14ac:dyDescent="0.2">
      <c r="K62" s="2">
        <v>55</v>
      </c>
      <c r="L62" s="2">
        <f>标准城池设计!AB58*$B$10/C$14*$C$5*C$7</f>
        <v>56615646.55034925</v>
      </c>
      <c r="M62" s="2">
        <f>标准城池设计!AC58*$B$10/D$14*$C$5*D$7</f>
        <v>61410413.40782465</v>
      </c>
      <c r="N62" s="2">
        <f>标准城池设计!AD58*$B$10/E$14*$C$5*E$7</f>
        <v>69314088.984538808</v>
      </c>
      <c r="O62" s="2">
        <f>标准城池设计!AE58*$B$10/F$14*$C$5*F$7</f>
        <v>74861574.796269</v>
      </c>
      <c r="P62" s="2">
        <f>标准城池设计!AF58*$B$10/G$14*$C$5*G$7</f>
        <v>85653165.666177392</v>
      </c>
      <c r="Q62" s="2">
        <f t="shared" si="4"/>
        <v>8565.3165666177392</v>
      </c>
      <c r="U62" s="2">
        <v>55</v>
      </c>
      <c r="V62" s="2">
        <f>其他调用!R59*6*其他调用!BM59*$B$10/C$15*$C$5*C$8/3</f>
        <v>0</v>
      </c>
      <c r="W62" s="2">
        <f>其他调用!S59*6*其他调用!BN59*$B$10/D$15*$C$5*D$8/3</f>
        <v>637913.61928899831</v>
      </c>
      <c r="X62" s="2">
        <f>其他调用!T59*6*其他调用!BO59*$B$10/E$15*$C$5*E$8/3</f>
        <v>1547391.208774368</v>
      </c>
      <c r="Y62" s="2">
        <f>其他调用!U59*6*其他调用!BP59*$B$10/F$15*$C$5*F$8/3</f>
        <v>3912204.3090271875</v>
      </c>
      <c r="Z62" s="2">
        <f>其他调用!V59*6*其他调用!BQ59*$B$10/G$15*$C$5*G$8/3</f>
        <v>6602318.858891177</v>
      </c>
      <c r="AA62" s="2">
        <f t="shared" si="5"/>
        <v>660.23188588911773</v>
      </c>
      <c r="AE62" s="2">
        <v>55</v>
      </c>
      <c r="AF62" s="2">
        <f>L62/IFERROR(INDEX($C$22:$C$35,MATCH(节奏总纲!D58,$B$22:$B$35,1)),MIN($C$22:$C$35))*IFERROR(INDEX($D$22:$D$35,MATCH(节奏总纲!D58,$B$22:$B$35,1)),MIN($D$22:$D$35))</f>
        <v>22646.258620139699</v>
      </c>
      <c r="AG62" s="2">
        <f>M62/IFERROR(INDEX($C$22:$C$35,MATCH(节奏总纲!E58,$B$22:$B$35,1)),MIN($C$22:$C$35))*IFERROR(INDEX($D$22:$D$35,MATCH(节奏总纲!E58,$B$22:$B$35,1)),MIN($D$22:$D$35))</f>
        <v>24564.165363129861</v>
      </c>
      <c r="AH62" s="2">
        <f>N62/IFERROR(INDEX($C$22:$C$35,MATCH(节奏总纲!F58,$B$22:$B$35,1)),MIN($C$22:$C$35))*IFERROR(INDEX($D$22:$D$35,MATCH(节奏总纲!F58,$B$22:$B$35,1)),MIN($D$22:$D$35))</f>
        <v>27725.635593815525</v>
      </c>
      <c r="AI62" s="2">
        <f>O62/IFERROR(INDEX($C$22:$C$35,MATCH(节奏总纲!G58,$B$22:$B$35,1)),MIN($C$22:$C$35))*IFERROR(INDEX($D$22:$D$35,MATCH(节奏总纲!G58,$B$22:$B$35,1)),MIN($D$22:$D$35))</f>
        <v>29944.629918507599</v>
      </c>
      <c r="AJ62" s="2">
        <f>P62/IFERROR(INDEX($C$22:$C$35,MATCH(节奏总纲!H58,$B$22:$B$35,1)),MIN($C$22:$C$35))*IFERROR(INDEX($D$22:$D$35,MATCH(节奏总纲!H58,$B$22:$B$35,1)),MIN($D$22:$D$35))</f>
        <v>34261.266266470957</v>
      </c>
      <c r="AK62" s="2">
        <f>V62/IFERROR(INDEX($E$22:$E$35,MATCH(节奏总纲!D58,$B$22:$B$35,1)),MIN($E$22:$E$35))*IFERROR(INDEX($F$22:$F$35,MATCH(节奏总纲!D58,$B$22:$B$35,1)),MIN($F$22:$F$35))</f>
        <v>0</v>
      </c>
      <c r="AL62" s="2">
        <f>W62/IFERROR(INDEX($E$22:$E$35,MATCH(节奏总纲!E58,$B$22:$B$35,1)),MIN($E$22:$E$35))*IFERROR(INDEX($F$22:$F$35,MATCH(节奏总纲!E58,$B$22:$B$35,1)),MIN($F$22:$F$35))</f>
        <v>9814.0556813692056</v>
      </c>
      <c r="AM62" s="2">
        <f>X62/IFERROR(INDEX($E$22:$E$35,MATCH(节奏总纲!F58,$B$22:$B$35,1)),MIN($E$22:$E$35))*IFERROR(INDEX($F$22:$F$35,MATCH(节奏总纲!F58,$B$22:$B$35,1)),MIN($F$22:$F$35))</f>
        <v>23806.018596528738</v>
      </c>
      <c r="AN62" s="2">
        <f>Y62/IFERROR(INDEX($E$22:$E$35,MATCH(节奏总纲!G58,$B$22:$B$35,1)),MIN($E$22:$E$35))*IFERROR(INDEX($F$22:$F$35,MATCH(节奏总纲!G58,$B$22:$B$35,1)),MIN($F$22:$F$35))</f>
        <v>60187.758600418267</v>
      </c>
      <c r="AO62" s="2">
        <f>Z62/IFERROR(INDEX($E$22:$E$35,MATCH(节奏总纲!H58,$B$22:$B$35,1)),MIN($E$22:$E$35))*IFERROR(INDEX($F$22:$F$35,MATCH(节奏总纲!H58,$B$22:$B$35,1)),MIN($F$22:$F$35))</f>
        <v>101574.1362906335</v>
      </c>
      <c r="AQ62" s="2">
        <v>55</v>
      </c>
      <c r="AR62" s="2">
        <f t="shared" si="6"/>
        <v>22646.258620139699</v>
      </c>
      <c r="AS62" s="2">
        <f t="shared" si="7"/>
        <v>34378.221044499063</v>
      </c>
      <c r="AT62" s="2">
        <f t="shared" si="8"/>
        <v>51531.654190344263</v>
      </c>
      <c r="AU62" s="2">
        <f t="shared" si="9"/>
        <v>90132.388518925873</v>
      </c>
      <c r="AV62" s="2">
        <f t="shared" si="10"/>
        <v>135835.40255710445</v>
      </c>
      <c r="AX62" s="41">
        <f t="shared" si="11"/>
        <v>0</v>
      </c>
      <c r="AY62" s="41">
        <f t="shared" si="12"/>
        <v>0.28547305192627398</v>
      </c>
      <c r="AZ62" s="41">
        <f t="shared" si="13"/>
        <v>0.46196884168700697</v>
      </c>
      <c r="BA62" s="41">
        <f t="shared" si="14"/>
        <v>0.66777059378361114</v>
      </c>
      <c r="BB62" s="41">
        <f t="shared" si="15"/>
        <v>0.74777366119949695</v>
      </c>
      <c r="BD62" s="2" t="e">
        <f t="shared" si="16"/>
        <v>#DIV/0!</v>
      </c>
      <c r="BE62" s="2">
        <f t="shared" si="17"/>
        <v>3.5957460726468859</v>
      </c>
      <c r="BF62" s="2">
        <f t="shared" si="18"/>
        <v>3.4345136674650538</v>
      </c>
      <c r="BG62" s="2">
        <f t="shared" si="19"/>
        <v>3.0149525356073226</v>
      </c>
      <c r="BH62" s="2">
        <f t="shared" si="20"/>
        <v>2.9646930005630532</v>
      </c>
    </row>
    <row r="63" spans="11:60" x14ac:dyDescent="0.2">
      <c r="K63" s="2">
        <v>56</v>
      </c>
      <c r="L63" s="2">
        <f>标准城池设计!AB59*$B$10/C$14*$C$5*C$7</f>
        <v>58294511.455316216</v>
      </c>
      <c r="M63" s="2">
        <f>标准城池设计!AC59*$B$10/D$14*$C$5*D$7</f>
        <v>63296221.637792841</v>
      </c>
      <c r="N63" s="2">
        <f>标准城池设计!AD59*$B$10/E$14*$C$5*E$7</f>
        <v>71330939.895883948</v>
      </c>
      <c r="O63" s="2">
        <f>标准城池设计!AE59*$B$10/F$14*$C$5*F$7</f>
        <v>76652221.13458772</v>
      </c>
      <c r="P63" s="2">
        <f>标准城池设计!AF59*$B$10/G$14*$C$5*G$7</f>
        <v>87796206.434771895</v>
      </c>
      <c r="Q63" s="2">
        <f t="shared" si="4"/>
        <v>8779.6206434771902</v>
      </c>
      <c r="U63" s="2">
        <v>56</v>
      </c>
      <c r="V63" s="2">
        <f>其他调用!R60*6*其他调用!BM60*$B$10/C$15*$C$5*C$8/3</f>
        <v>0</v>
      </c>
      <c r="W63" s="2">
        <f>其他调用!S60*6*其他调用!BN60*$B$10/D$15*$C$5*D$8/3</f>
        <v>645438.00564448081</v>
      </c>
      <c r="X63" s="2">
        <f>其他调用!T60*6*其他调用!BO60*$B$10/E$15*$C$5*E$8/3</f>
        <v>1565349.8919421111</v>
      </c>
      <c r="Y63" s="2">
        <f>其他调用!U60*6*其他调用!BP60*$B$10/F$15*$C$5*F$8/3</f>
        <v>3957816.383538946</v>
      </c>
      <c r="Z63" s="2">
        <f>其他调用!V60*6*其他调用!BQ60*$B$10/G$15*$C$5*G$8/3</f>
        <v>6678611.822235059</v>
      </c>
      <c r="AA63" s="2">
        <f t="shared" si="5"/>
        <v>667.86118222350592</v>
      </c>
      <c r="AE63" s="2">
        <v>56</v>
      </c>
      <c r="AF63" s="2">
        <f>L63/IFERROR(INDEX($C$22:$C$35,MATCH(节奏总纲!D59,$B$22:$B$35,1)),MIN($C$22:$C$35))*IFERROR(INDEX($D$22:$D$35,MATCH(节奏总纲!D59,$B$22:$B$35,1)),MIN($D$22:$D$35))</f>
        <v>23317.804582126486</v>
      </c>
      <c r="AG63" s="2">
        <f>M63/IFERROR(INDEX($C$22:$C$35,MATCH(节奏总纲!E59,$B$22:$B$35,1)),MIN($C$22:$C$35))*IFERROR(INDEX($D$22:$D$35,MATCH(节奏总纲!E59,$B$22:$B$35,1)),MIN($D$22:$D$35))</f>
        <v>25318.488655117137</v>
      </c>
      <c r="AH63" s="2">
        <f>N63/IFERROR(INDEX($C$22:$C$35,MATCH(节奏总纲!F59,$B$22:$B$35,1)),MIN($C$22:$C$35))*IFERROR(INDEX($D$22:$D$35,MATCH(节奏总纲!F59,$B$22:$B$35,1)),MIN($D$22:$D$35))</f>
        <v>28532.375958353579</v>
      </c>
      <c r="AI63" s="2">
        <f>O63/IFERROR(INDEX($C$22:$C$35,MATCH(节奏总纲!G59,$B$22:$B$35,1)),MIN($C$22:$C$35))*IFERROR(INDEX($D$22:$D$35,MATCH(节奏总纲!G59,$B$22:$B$35,1)),MIN($D$22:$D$35))</f>
        <v>30660.888453835087</v>
      </c>
      <c r="AJ63" s="2">
        <f>P63/IFERROR(INDEX($C$22:$C$35,MATCH(节奏总纲!H59,$B$22:$B$35,1)),MIN($C$22:$C$35))*IFERROR(INDEX($D$22:$D$35,MATCH(节奏总纲!H59,$B$22:$B$35,1)),MIN($D$22:$D$35))</f>
        <v>35118.482573908761</v>
      </c>
      <c r="AK63" s="2">
        <f>V63/IFERROR(INDEX($E$22:$E$35,MATCH(节奏总纲!D59,$B$22:$B$35,1)),MIN($E$22:$E$35))*IFERROR(INDEX($F$22:$F$35,MATCH(节奏总纲!D59,$B$22:$B$35,1)),MIN($F$22:$F$35))</f>
        <v>0</v>
      </c>
      <c r="AL63" s="2">
        <f>W63/IFERROR(INDEX($E$22:$E$35,MATCH(节奏总纲!E59,$B$22:$B$35,1)),MIN($E$22:$E$35))*IFERROR(INDEX($F$22:$F$35,MATCH(节奏总纲!E59,$B$22:$B$35,1)),MIN($F$22:$F$35))</f>
        <v>9929.8154714535503</v>
      </c>
      <c r="AM63" s="2">
        <f>X63/IFERROR(INDEX($E$22:$E$35,MATCH(节奏总纲!F59,$B$22:$B$35,1)),MIN($E$22:$E$35))*IFERROR(INDEX($F$22:$F$35,MATCH(节奏总纲!F59,$B$22:$B$35,1)),MIN($F$22:$F$35))</f>
        <v>24082.306029878633</v>
      </c>
      <c r="AN63" s="2">
        <f>Y63/IFERROR(INDEX($E$22:$E$35,MATCH(节奏总纲!G59,$B$22:$B$35,1)),MIN($E$22:$E$35))*IFERROR(INDEX($F$22:$F$35,MATCH(节奏总纲!G59,$B$22:$B$35,1)),MIN($F$22:$F$35))</f>
        <v>60889.482823676095</v>
      </c>
      <c r="AO63" s="2">
        <f>Z63/IFERROR(INDEX($E$22:$E$35,MATCH(节奏总纲!H59,$B$22:$B$35,1)),MIN($E$22:$E$35))*IFERROR(INDEX($F$22:$F$35,MATCH(节奏总纲!H59,$B$22:$B$35,1)),MIN($F$22:$F$35))</f>
        <v>102747.87418823168</v>
      </c>
      <c r="AQ63" s="2">
        <v>56</v>
      </c>
      <c r="AR63" s="2">
        <f t="shared" si="6"/>
        <v>23317.804582126486</v>
      </c>
      <c r="AS63" s="2">
        <f t="shared" si="7"/>
        <v>35248.304126570685</v>
      </c>
      <c r="AT63" s="2">
        <f t="shared" si="8"/>
        <v>52614.681988232216</v>
      </c>
      <c r="AU63" s="2">
        <f t="shared" si="9"/>
        <v>91550.371277511178</v>
      </c>
      <c r="AV63" s="2">
        <f t="shared" si="10"/>
        <v>137866.35676214044</v>
      </c>
      <c r="AX63" s="41">
        <f t="shared" si="11"/>
        <v>0</v>
      </c>
      <c r="AY63" s="41">
        <f t="shared" si="12"/>
        <v>0.2817104458642114</v>
      </c>
      <c r="AZ63" s="41">
        <f t="shared" si="13"/>
        <v>0.45771075904753877</v>
      </c>
      <c r="BA63" s="41">
        <f t="shared" si="14"/>
        <v>0.66509269131312898</v>
      </c>
      <c r="BB63" s="41">
        <f t="shared" si="15"/>
        <v>0.74527155573931392</v>
      </c>
      <c r="BD63" s="2" t="e">
        <f t="shared" si="16"/>
        <v>#DIV/0!</v>
      </c>
      <c r="BE63" s="2">
        <f t="shared" si="17"/>
        <v>3.5297659532698722</v>
      </c>
      <c r="BF63" s="2">
        <f t="shared" si="18"/>
        <v>3.3761374888694373</v>
      </c>
      <c r="BG63" s="2">
        <f t="shared" si="19"/>
        <v>2.9788511958168642</v>
      </c>
      <c r="BH63" s="2">
        <f t="shared" si="20"/>
        <v>2.9257492538862744</v>
      </c>
    </row>
    <row r="64" spans="11:60" x14ac:dyDescent="0.2">
      <c r="K64" s="2">
        <v>57</v>
      </c>
      <c r="L64" s="2">
        <f>标准城池设计!AB60*$B$10/C$14*$C$5*C$7</f>
        <v>59838931.305438727</v>
      </c>
      <c r="M64" s="2">
        <f>标准城池设计!AC60*$B$10/D$14*$C$5*D$7</f>
        <v>65243842.846726686</v>
      </c>
      <c r="N64" s="2">
        <f>标准城池设计!AD60*$B$10/E$14*$C$5*E$7</f>
        <v>73426234.838500917</v>
      </c>
      <c r="O64" s="2">
        <f>标准城池设计!AE60*$B$10/F$14*$C$5*F$7</f>
        <v>78487271.672815934</v>
      </c>
      <c r="P64" s="2">
        <f>标准城池设计!AF60*$B$10/G$14*$C$5*G$7</f>
        <v>89989334.756321818</v>
      </c>
      <c r="Q64" s="2">
        <f t="shared" si="4"/>
        <v>8998.9334756321823</v>
      </c>
      <c r="U64" s="2">
        <v>57</v>
      </c>
      <c r="V64" s="2">
        <f>其他调用!R61*6*其他调用!BM61*$B$10/C$15*$C$5*C$8/3</f>
        <v>0</v>
      </c>
      <c r="W64" s="2">
        <f>其他调用!S61*6*其他调用!BN61*$B$10/D$15*$C$5*D$8/3</f>
        <v>653232.08300477476</v>
      </c>
      <c r="X64" s="2">
        <f>其他调用!T61*6*其他调用!BO61*$B$10/E$15*$C$5*E$8/3</f>
        <v>1583519.6702061843</v>
      </c>
      <c r="Y64" s="2">
        <f>其他调用!U61*6*其他调用!BP61*$B$10/F$15*$C$5*F$8/3</f>
        <v>4003816.3824738092</v>
      </c>
      <c r="Z64" s="2">
        <f>其他调用!V61*6*其他调用!BQ61*$B$10/G$15*$C$5*G$8/3</f>
        <v>6759364.6054384513</v>
      </c>
      <c r="AA64" s="2">
        <f t="shared" si="5"/>
        <v>675.9364605438451</v>
      </c>
      <c r="AE64" s="2">
        <v>57</v>
      </c>
      <c r="AF64" s="2">
        <f>L64/IFERROR(INDEX($C$22:$C$35,MATCH(节奏总纲!D60,$B$22:$B$35,1)),MIN($C$22:$C$35))*IFERROR(INDEX($D$22:$D$35,MATCH(节奏总纲!D60,$B$22:$B$35,1)),MIN($D$22:$D$35))</f>
        <v>23935.572522175491</v>
      </c>
      <c r="AG64" s="2">
        <f>M64/IFERROR(INDEX($C$22:$C$35,MATCH(节奏总纲!E60,$B$22:$B$35,1)),MIN($C$22:$C$35))*IFERROR(INDEX($D$22:$D$35,MATCH(节奏总纲!E60,$B$22:$B$35,1)),MIN($D$22:$D$35))</f>
        <v>26097.537138690674</v>
      </c>
      <c r="AH64" s="2">
        <f>N64/IFERROR(INDEX($C$22:$C$35,MATCH(节奏总纲!F60,$B$22:$B$35,1)),MIN($C$22:$C$35))*IFERROR(INDEX($D$22:$D$35,MATCH(节奏总纲!F60,$B$22:$B$35,1)),MIN($D$22:$D$35))</f>
        <v>29370.493935400365</v>
      </c>
      <c r="AI64" s="2">
        <f>O64/IFERROR(INDEX($C$22:$C$35,MATCH(节奏总纲!G60,$B$22:$B$35,1)),MIN($C$22:$C$35))*IFERROR(INDEX($D$22:$D$35,MATCH(节奏总纲!G60,$B$22:$B$35,1)),MIN($D$22:$D$35))</f>
        <v>31394.908669126373</v>
      </c>
      <c r="AJ64" s="2">
        <f>P64/IFERROR(INDEX($C$22:$C$35,MATCH(节奏总纲!H60,$B$22:$B$35,1)),MIN($C$22:$C$35))*IFERROR(INDEX($D$22:$D$35,MATCH(节奏总纲!H60,$B$22:$B$35,1)),MIN($D$22:$D$35))</f>
        <v>35995.733902528729</v>
      </c>
      <c r="AK64" s="2">
        <f>V64/IFERROR(INDEX($E$22:$E$35,MATCH(节奏总纲!D60,$B$22:$B$35,1)),MIN($E$22:$E$35))*IFERROR(INDEX($F$22:$F$35,MATCH(节奏总纲!D60,$B$22:$B$35,1)),MIN($F$22:$F$35))</f>
        <v>0</v>
      </c>
      <c r="AL64" s="2">
        <f>W64/IFERROR(INDEX($E$22:$E$35,MATCH(节奏总纲!E60,$B$22:$B$35,1)),MIN($E$22:$E$35))*IFERROR(INDEX($F$22:$F$35,MATCH(节奏总纲!E60,$B$22:$B$35,1)),MIN($F$22:$F$35))</f>
        <v>10049.724353919612</v>
      </c>
      <c r="AM64" s="2">
        <f>X64/IFERROR(INDEX($E$22:$E$35,MATCH(节奏总纲!F60,$B$22:$B$35,1)),MIN($E$22:$E$35))*IFERROR(INDEX($F$22:$F$35,MATCH(节奏总纲!F60,$B$22:$B$35,1)),MIN($F$22:$F$35))</f>
        <v>24361.841080095142</v>
      </c>
      <c r="AN64" s="2">
        <f>Y64/IFERROR(INDEX($E$22:$E$35,MATCH(节奏总纲!G60,$B$22:$B$35,1)),MIN($E$22:$E$35))*IFERROR(INDEX($F$22:$F$35,MATCH(节奏总纲!G60,$B$22:$B$35,1)),MIN($F$22:$F$35))</f>
        <v>61597.175114981677</v>
      </c>
      <c r="AO64" s="2">
        <f>Z64/IFERROR(INDEX($E$22:$E$35,MATCH(节奏总纲!H60,$B$22:$B$35,1)),MIN($E$22:$E$35))*IFERROR(INDEX($F$22:$F$35,MATCH(节奏总纲!H60,$B$22:$B$35,1)),MIN($F$22:$F$35))</f>
        <v>103990.2246990531</v>
      </c>
      <c r="AQ64" s="2">
        <v>57</v>
      </c>
      <c r="AR64" s="2">
        <f t="shared" si="6"/>
        <v>23935.572522175491</v>
      </c>
      <c r="AS64" s="2">
        <f t="shared" si="7"/>
        <v>36147.261492610283</v>
      </c>
      <c r="AT64" s="2">
        <f t="shared" si="8"/>
        <v>53732.335015495511</v>
      </c>
      <c r="AU64" s="2">
        <f t="shared" si="9"/>
        <v>92992.08378410805</v>
      </c>
      <c r="AV64" s="2">
        <f t="shared" si="10"/>
        <v>139985.95860158183</v>
      </c>
      <c r="AX64" s="41">
        <f t="shared" si="11"/>
        <v>0</v>
      </c>
      <c r="AY64" s="41">
        <f t="shared" si="12"/>
        <v>0.27802173495145999</v>
      </c>
      <c r="AZ64" s="41">
        <f t="shared" si="13"/>
        <v>0.45339256284078466</v>
      </c>
      <c r="BA64" s="41">
        <f t="shared" si="14"/>
        <v>0.66239159946116155</v>
      </c>
      <c r="BB64" s="41">
        <f t="shared" si="15"/>
        <v>0.74286182512792398</v>
      </c>
      <c r="BD64" s="2" t="e">
        <f t="shared" si="16"/>
        <v>#DIV/0!</v>
      </c>
      <c r="BE64" s="2">
        <f t="shared" si="17"/>
        <v>3.465749227776147</v>
      </c>
      <c r="BF64" s="2">
        <f t="shared" si="18"/>
        <v>3.3178660370749475</v>
      </c>
      <c r="BG64" s="2">
        <f t="shared" si="19"/>
        <v>2.9430174059825864</v>
      </c>
      <c r="BH64" s="2">
        <f t="shared" si="20"/>
        <v>2.8889597022981577</v>
      </c>
    </row>
    <row r="65" spans="11:60" x14ac:dyDescent="0.2">
      <c r="K65" s="2">
        <v>58</v>
      </c>
      <c r="L65" s="2">
        <f>标准城池设计!AB61*$B$10/C$14*$C$5*C$7</f>
        <v>61428977.592537045</v>
      </c>
      <c r="M65" s="2">
        <f>标准城池设计!AC61*$B$10/D$14*$C$5*D$7</f>
        <v>67120808.703214839</v>
      </c>
      <c r="N65" s="2">
        <f>标准城池设计!AD61*$B$10/E$14*$C$5*E$7</f>
        <v>75562580.568609357</v>
      </c>
      <c r="O65" s="2">
        <f>标准城池设计!AE61*$B$10/F$14*$C$5*F$7</f>
        <v>80487044.275654301</v>
      </c>
      <c r="P65" s="2">
        <f>标准城池设计!AF61*$B$10/G$14*$C$5*G$7</f>
        <v>92234061.583556563</v>
      </c>
      <c r="Q65" s="2">
        <f t="shared" si="4"/>
        <v>9223.4061583556559</v>
      </c>
      <c r="U65" s="2">
        <v>58</v>
      </c>
      <c r="V65" s="2">
        <f>其他调用!R62*6*其他调用!BM62*$B$10/C$15*$C$5*C$8/3</f>
        <v>0</v>
      </c>
      <c r="W65" s="2">
        <f>其他调用!S62*6*其他调用!BN62*$B$10/D$15*$C$5*D$8/3</f>
        <v>660664.00071172265</v>
      </c>
      <c r="X65" s="2">
        <f>其他调用!T62*6*其他调用!BO62*$B$10/E$15*$C$5*E$8/3</f>
        <v>1602210.6147503378</v>
      </c>
      <c r="Y65" s="2">
        <f>其他调用!U62*6*其他调用!BP62*$B$10/F$15*$C$5*F$8/3</f>
        <v>4051725.6793739847</v>
      </c>
      <c r="Z65" s="2">
        <f>其他调用!V62*6*其他调用!BQ62*$B$10/G$15*$C$5*G$8/3</f>
        <v>6835911.4034563405</v>
      </c>
      <c r="AA65" s="2">
        <f t="shared" si="5"/>
        <v>683.59114034563402</v>
      </c>
      <c r="AE65" s="2">
        <v>58</v>
      </c>
      <c r="AF65" s="2">
        <f>L65/IFERROR(INDEX($C$22:$C$35,MATCH(节奏总纲!D61,$B$22:$B$35,1)),MIN($C$22:$C$35))*IFERROR(INDEX($D$22:$D$35,MATCH(节奏总纲!D61,$B$22:$B$35,1)),MIN($D$22:$D$35))</f>
        <v>24571.591037014819</v>
      </c>
      <c r="AG65" s="2">
        <f>M65/IFERROR(INDEX($C$22:$C$35,MATCH(节奏总纲!E61,$B$22:$B$35,1)),MIN($C$22:$C$35))*IFERROR(INDEX($D$22:$D$35,MATCH(节奏总纲!E61,$B$22:$B$35,1)),MIN($D$22:$D$35))</f>
        <v>26848.323481285937</v>
      </c>
      <c r="AH65" s="2">
        <f>N65/IFERROR(INDEX($C$22:$C$35,MATCH(节奏总纲!F61,$B$22:$B$35,1)),MIN($C$22:$C$35))*IFERROR(INDEX($D$22:$D$35,MATCH(节奏总纲!F61,$B$22:$B$35,1)),MIN($D$22:$D$35))</f>
        <v>30225.032227443742</v>
      </c>
      <c r="AI65" s="2">
        <f>O65/IFERROR(INDEX($C$22:$C$35,MATCH(节奏总纲!G61,$B$22:$B$35,1)),MIN($C$22:$C$35))*IFERROR(INDEX($D$22:$D$35,MATCH(节奏总纲!G61,$B$22:$B$35,1)),MIN($D$22:$D$35))</f>
        <v>32194.817710261719</v>
      </c>
      <c r="AJ65" s="2">
        <f>P65/IFERROR(INDEX($C$22:$C$35,MATCH(节奏总纲!H61,$B$22:$B$35,1)),MIN($C$22:$C$35))*IFERROR(INDEX($D$22:$D$35,MATCH(节奏总纲!H61,$B$22:$B$35,1)),MIN($D$22:$D$35))</f>
        <v>36893.624633422623</v>
      </c>
      <c r="AK65" s="2">
        <f>V65/IFERROR(INDEX($E$22:$E$35,MATCH(节奏总纲!D61,$B$22:$B$35,1)),MIN($E$22:$E$35))*IFERROR(INDEX($F$22:$F$35,MATCH(节奏总纲!D61,$B$22:$B$35,1)),MIN($F$22:$F$35))</f>
        <v>0</v>
      </c>
      <c r="AL65" s="2">
        <f>W65/IFERROR(INDEX($E$22:$E$35,MATCH(节奏总纲!E61,$B$22:$B$35,1)),MIN($E$22:$E$35))*IFERROR(INDEX($F$22:$F$35,MATCH(节奏总纲!E61,$B$22:$B$35,1)),MIN($F$22:$F$35))</f>
        <v>10164.061549411117</v>
      </c>
      <c r="AM65" s="2">
        <f>X65/IFERROR(INDEX($E$22:$E$35,MATCH(节奏总纲!F61,$B$22:$B$35,1)),MIN($E$22:$E$35))*IFERROR(INDEX($F$22:$F$35,MATCH(节奏总纲!F61,$B$22:$B$35,1)),MIN($F$22:$F$35))</f>
        <v>24649.39407308212</v>
      </c>
      <c r="AN65" s="2">
        <f>Y65/IFERROR(INDEX($E$22:$E$35,MATCH(节奏总纲!G61,$B$22:$B$35,1)),MIN($E$22:$E$35))*IFERROR(INDEX($F$22:$F$35,MATCH(节奏总纲!G61,$B$22:$B$35,1)),MIN($F$22:$F$35))</f>
        <v>62334.241221138225</v>
      </c>
      <c r="AO65" s="2">
        <f>Z65/IFERROR(INDEX($E$22:$E$35,MATCH(节奏总纲!H61,$B$22:$B$35,1)),MIN($E$22:$E$35))*IFERROR(INDEX($F$22:$F$35,MATCH(节奏总纲!H61,$B$22:$B$35,1)),MIN($F$22:$F$35))</f>
        <v>105167.86774548216</v>
      </c>
      <c r="AQ65" s="2">
        <v>58</v>
      </c>
      <c r="AR65" s="2">
        <f t="shared" si="6"/>
        <v>24571.591037014819</v>
      </c>
      <c r="AS65" s="2">
        <f t="shared" si="7"/>
        <v>37012.385030697056</v>
      </c>
      <c r="AT65" s="2">
        <f t="shared" si="8"/>
        <v>54874.426300525862</v>
      </c>
      <c r="AU65" s="2">
        <f t="shared" si="9"/>
        <v>94529.058931399952</v>
      </c>
      <c r="AV65" s="2">
        <f t="shared" si="10"/>
        <v>142061.49237890478</v>
      </c>
      <c r="AX65" s="41">
        <f t="shared" si="11"/>
        <v>0</v>
      </c>
      <c r="AY65" s="41">
        <f t="shared" si="12"/>
        <v>0.27461244502296522</v>
      </c>
      <c r="AZ65" s="41">
        <f t="shared" si="13"/>
        <v>0.44919638773236531</v>
      </c>
      <c r="BA65" s="41">
        <f t="shared" si="14"/>
        <v>0.65941882766837223</v>
      </c>
      <c r="BB65" s="41">
        <f t="shared" si="15"/>
        <v>0.74029820456186424</v>
      </c>
      <c r="BD65" s="2" t="e">
        <f t="shared" si="16"/>
        <v>#DIV/0!</v>
      </c>
      <c r="BE65" s="2">
        <f t="shared" si="17"/>
        <v>3.4071607491045723</v>
      </c>
      <c r="BF65" s="2">
        <f t="shared" si="18"/>
        <v>3.2621164983507884</v>
      </c>
      <c r="BG65" s="2">
        <f t="shared" si="19"/>
        <v>2.9042364107533016</v>
      </c>
      <c r="BH65" s="2">
        <f t="shared" si="20"/>
        <v>2.850570221560953</v>
      </c>
    </row>
    <row r="66" spans="11:60" x14ac:dyDescent="0.2">
      <c r="K66" s="2">
        <v>59</v>
      </c>
      <c r="L66" s="2">
        <f>标准城池设计!AB62*$B$10/C$14*$C$5*C$7</f>
        <v>63057703.321985416</v>
      </c>
      <c r="M66" s="2">
        <f>标准城池设计!AC62*$B$10/D$14*$C$5*D$7</f>
        <v>68857513.42476885</v>
      </c>
      <c r="N66" s="2">
        <f>标准城池设计!AD62*$B$10/E$14*$C$5*E$7</f>
        <v>77781330.388566211</v>
      </c>
      <c r="O66" s="2">
        <f>标准城池设计!AE62*$B$10/F$14*$C$5*F$7</f>
        <v>82875018.846639708</v>
      </c>
      <c r="P66" s="2">
        <f>标准城池设计!AF62*$B$10/G$14*$C$5*G$7</f>
        <v>94686065.308332235</v>
      </c>
      <c r="Q66" s="2">
        <f t="shared" si="4"/>
        <v>9468.6065308332236</v>
      </c>
      <c r="U66" s="2">
        <v>59</v>
      </c>
      <c r="V66" s="2">
        <f>其他调用!R63*6*其他调用!BM63*$B$10/C$15*$C$5*C$8/3</f>
        <v>0</v>
      </c>
      <c r="W66" s="2">
        <f>其他调用!S63*6*其他调用!BN63*$B$10/D$15*$C$5*D$8/3</f>
        <v>668605.47232776822</v>
      </c>
      <c r="X66" s="2">
        <f>其他调用!T63*6*其他调用!BO63*$B$10/E$15*$C$5*E$8/3</f>
        <v>1621155.4195055123</v>
      </c>
      <c r="Y66" s="2">
        <f>其他调用!U63*6*其他调用!BP63*$B$10/F$15*$C$5*F$8/3</f>
        <v>4099200.9735849909</v>
      </c>
      <c r="Z66" s="2">
        <f>其他调用!V63*6*其他调用!BQ63*$B$10/G$15*$C$5*G$8/3</f>
        <v>6917844.3283974482</v>
      </c>
      <c r="AA66" s="2">
        <f t="shared" si="5"/>
        <v>691.7844328397448</v>
      </c>
      <c r="AE66" s="2">
        <v>59</v>
      </c>
      <c r="AF66" s="2">
        <f>L66/IFERROR(INDEX($C$22:$C$35,MATCH(节奏总纲!D62,$B$22:$B$35,1)),MIN($C$22:$C$35))*IFERROR(INDEX($D$22:$D$35,MATCH(节奏总纲!D62,$B$22:$B$35,1)),MIN($D$22:$D$35))</f>
        <v>25223.081328794167</v>
      </c>
      <c r="AG66" s="2">
        <f>M66/IFERROR(INDEX($C$22:$C$35,MATCH(节奏总纲!E62,$B$22:$B$35,1)),MIN($C$22:$C$35))*IFERROR(INDEX($D$22:$D$35,MATCH(节奏总纲!E62,$B$22:$B$35,1)),MIN($D$22:$D$35))</f>
        <v>27543.00536990754</v>
      </c>
      <c r="AH66" s="2">
        <f>N66/IFERROR(INDEX($C$22:$C$35,MATCH(节奏总纲!F62,$B$22:$B$35,1)),MIN($C$22:$C$35))*IFERROR(INDEX($D$22:$D$35,MATCH(节奏总纲!F62,$B$22:$B$35,1)),MIN($D$22:$D$35))</f>
        <v>31112.532155426485</v>
      </c>
      <c r="AI66" s="2">
        <f>O66/IFERROR(INDEX($C$22:$C$35,MATCH(节奏总纲!G62,$B$22:$B$35,1)),MIN($C$22:$C$35))*IFERROR(INDEX($D$22:$D$35,MATCH(节奏总纲!G62,$B$22:$B$35,1)),MIN($D$22:$D$35))</f>
        <v>33150.007538655882</v>
      </c>
      <c r="AJ66" s="2">
        <f>P66/IFERROR(INDEX($C$22:$C$35,MATCH(节奏总纲!H62,$B$22:$B$35,1)),MIN($C$22:$C$35))*IFERROR(INDEX($D$22:$D$35,MATCH(节奏总纲!H62,$B$22:$B$35,1)),MIN($D$22:$D$35))</f>
        <v>37874.426123332894</v>
      </c>
      <c r="AK66" s="2">
        <f>V66/IFERROR(INDEX($E$22:$E$35,MATCH(节奏总纲!D62,$B$22:$B$35,1)),MIN($E$22:$E$35))*IFERROR(INDEX($F$22:$F$35,MATCH(节奏总纲!D62,$B$22:$B$35,1)),MIN($F$22:$F$35))</f>
        <v>0</v>
      </c>
      <c r="AL66" s="2">
        <f>W66/IFERROR(INDEX($E$22:$E$35,MATCH(节奏总纲!E62,$B$22:$B$35,1)),MIN($E$22:$E$35))*IFERROR(INDEX($F$22:$F$35,MATCH(节奏总纲!E62,$B$22:$B$35,1)),MIN($F$22:$F$35))</f>
        <v>10286.238035811819</v>
      </c>
      <c r="AM66" s="2">
        <f>X66/IFERROR(INDEX($E$22:$E$35,MATCH(节奏总纲!F62,$B$22:$B$35,1)),MIN($E$22:$E$35))*IFERROR(INDEX($F$22:$F$35,MATCH(节奏总纲!F62,$B$22:$B$35,1)),MIN($F$22:$F$35))</f>
        <v>24940.852607777113</v>
      </c>
      <c r="AN66" s="2">
        <f>Y66/IFERROR(INDEX($E$22:$E$35,MATCH(节奏总纲!G62,$B$22:$B$35,1)),MIN($E$22:$E$35))*IFERROR(INDEX($F$22:$F$35,MATCH(节奏总纲!G62,$B$22:$B$35,1)),MIN($F$22:$F$35))</f>
        <v>63064.630362846015</v>
      </c>
      <c r="AO66" s="2">
        <f>Z66/IFERROR(INDEX($E$22:$E$35,MATCH(节奏总纲!H62,$B$22:$B$35,1)),MIN($E$22:$E$35))*IFERROR(INDEX($F$22:$F$35,MATCH(节奏总纲!H62,$B$22:$B$35,1)),MIN($F$22:$F$35))</f>
        <v>106428.37428303766</v>
      </c>
      <c r="AQ66" s="2">
        <v>59</v>
      </c>
      <c r="AR66" s="2">
        <f t="shared" si="6"/>
        <v>25223.081328794167</v>
      </c>
      <c r="AS66" s="2">
        <f t="shared" si="7"/>
        <v>37829.24340571936</v>
      </c>
      <c r="AT66" s="2">
        <f t="shared" si="8"/>
        <v>56053.384763203598</v>
      </c>
      <c r="AU66" s="2">
        <f t="shared" si="9"/>
        <v>96214.637901501905</v>
      </c>
      <c r="AV66" s="2">
        <f t="shared" si="10"/>
        <v>144302.80040637054</v>
      </c>
      <c r="AX66" s="41">
        <f t="shared" si="11"/>
        <v>0</v>
      </c>
      <c r="AY66" s="41">
        <f t="shared" si="12"/>
        <v>0.27191233843859153</v>
      </c>
      <c r="AZ66" s="41">
        <f t="shared" si="13"/>
        <v>0.44494819917011696</v>
      </c>
      <c r="BA66" s="41">
        <f t="shared" si="14"/>
        <v>0.65545775298148867</v>
      </c>
      <c r="BB66" s="41">
        <f t="shared" si="15"/>
        <v>0.7375350581092337</v>
      </c>
      <c r="BD66" s="2" t="e">
        <f t="shared" si="16"/>
        <v>#DIV/0!</v>
      </c>
      <c r="BE66" s="2">
        <f t="shared" si="17"/>
        <v>3.3611489043767038</v>
      </c>
      <c r="BF66" s="2">
        <f t="shared" si="18"/>
        <v>3.2065345865366432</v>
      </c>
      <c r="BG66" s="2">
        <f t="shared" si="19"/>
        <v>2.8536025349001957</v>
      </c>
      <c r="BH66" s="2">
        <f t="shared" si="20"/>
        <v>2.8100326572993661</v>
      </c>
    </row>
    <row r="67" spans="11:60" x14ac:dyDescent="0.2">
      <c r="K67" s="2">
        <v>60</v>
      </c>
      <c r="L67" s="2">
        <f>标准城池设计!AB63*$B$10/C$14*$C$5*C$7</f>
        <v>65068974.104022712</v>
      </c>
      <c r="M67" s="2">
        <f>标准城池设计!AC63*$B$10/D$14*$C$5*D$7</f>
        <v>71270667.70746766</v>
      </c>
      <c r="N67" s="2">
        <f>标准城池设计!AD63*$B$10/E$14*$C$5*E$7</f>
        <v>80732603.720124543</v>
      </c>
      <c r="O67" s="2">
        <f>标准城池设计!AE63*$B$10/F$14*$C$5*F$7</f>
        <v>85831548.457158282</v>
      </c>
      <c r="P67" s="2">
        <f>标准城池设计!AF63*$B$10/G$14*$C$5*G$7</f>
        <v>97547708.423639998</v>
      </c>
      <c r="Q67" s="2">
        <f t="shared" si="4"/>
        <v>9754.7708423639997</v>
      </c>
      <c r="U67" s="2">
        <v>60</v>
      </c>
      <c r="V67" s="2">
        <f>其他调用!R64*6*其他调用!BM64*$B$10/C$15*$C$5*C$8/3</f>
        <v>0</v>
      </c>
      <c r="W67" s="2">
        <f>其他调用!S64*6*其他调用!BN64*$B$10/D$15*$C$5*D$8/3</f>
        <v>676347.30822443066</v>
      </c>
      <c r="X67" s="2">
        <f>其他调用!T64*6*其他调用!BO64*$B$10/E$15*$C$5*E$8/3</f>
        <v>1640615.9948173959</v>
      </c>
      <c r="Y67" s="2">
        <f>其他调用!U64*6*其他调用!BP64*$B$10/F$15*$C$5*F$8/3</f>
        <v>4146973.9996293876</v>
      </c>
      <c r="Z67" s="2">
        <f>其他调用!V64*6*其他调用!BQ64*$B$10/G$15*$C$5*G$8/3</f>
        <v>6998131.0371291004</v>
      </c>
      <c r="AA67" s="2">
        <f t="shared" si="5"/>
        <v>699.81310371290999</v>
      </c>
      <c r="AE67" s="2">
        <v>60</v>
      </c>
      <c r="AF67" s="2">
        <f>L67/IFERROR(INDEX($C$22:$C$35,MATCH(节奏总纲!D63,$B$22:$B$35,1)),MIN($C$22:$C$35))*IFERROR(INDEX($D$22:$D$35,MATCH(节奏总纲!D63,$B$22:$B$35,1)),MIN($D$22:$D$35))</f>
        <v>19137.933560006681</v>
      </c>
      <c r="AG67" s="2">
        <f>M67/IFERROR(INDEX($C$22:$C$35,MATCH(节奏总纲!E63,$B$22:$B$35,1)),MIN($C$22:$C$35))*IFERROR(INDEX($D$22:$D$35,MATCH(节奏总纲!E63,$B$22:$B$35,1)),MIN($D$22:$D$35))</f>
        <v>28508.267082987066</v>
      </c>
      <c r="AH67" s="2">
        <f>N67/IFERROR(INDEX($C$22:$C$35,MATCH(节奏总纲!F63,$B$22:$B$35,1)),MIN($C$22:$C$35))*IFERROR(INDEX($D$22:$D$35,MATCH(节奏总纲!F63,$B$22:$B$35,1)),MIN($D$22:$D$35))</f>
        <v>32293.041488049817</v>
      </c>
      <c r="AI67" s="2">
        <f>O67/IFERROR(INDEX($C$22:$C$35,MATCH(节奏总纲!G63,$B$22:$B$35,1)),MIN($C$22:$C$35))*IFERROR(INDEX($D$22:$D$35,MATCH(节奏总纲!G63,$B$22:$B$35,1)),MIN($D$22:$D$35))</f>
        <v>34332.619382863311</v>
      </c>
      <c r="AJ67" s="2">
        <f>P67/IFERROR(INDEX($C$22:$C$35,MATCH(节奏总纲!H63,$B$22:$B$35,1)),MIN($C$22:$C$35))*IFERROR(INDEX($D$22:$D$35,MATCH(节奏总纲!H63,$B$22:$B$35,1)),MIN($D$22:$D$35))</f>
        <v>39019.083369455999</v>
      </c>
      <c r="AK67" s="2">
        <f>V67/IFERROR(INDEX($E$22:$E$35,MATCH(节奏总纲!D63,$B$22:$B$35,1)),MIN($E$22:$E$35))*IFERROR(INDEX($F$22:$F$35,MATCH(节奏总纲!D63,$B$22:$B$35,1)),MIN($F$22:$F$35))</f>
        <v>0</v>
      </c>
      <c r="AL67" s="2">
        <f>W67/IFERROR(INDEX($E$22:$E$35,MATCH(节奏总纲!E63,$B$22:$B$35,1)),MIN($E$22:$E$35))*IFERROR(INDEX($F$22:$F$35,MATCH(节奏总纲!E63,$B$22:$B$35,1)),MIN($F$22:$F$35))</f>
        <v>10405.34320345278</v>
      </c>
      <c r="AM67" s="2">
        <f>X67/IFERROR(INDEX($E$22:$E$35,MATCH(节奏总纲!F63,$B$22:$B$35,1)),MIN($E$22:$E$35))*IFERROR(INDEX($F$22:$F$35,MATCH(节奏总纲!F63,$B$22:$B$35,1)),MIN($F$22:$F$35))</f>
        <v>25240.246074113784</v>
      </c>
      <c r="AN67" s="2">
        <f>Y67/IFERROR(INDEX($E$22:$E$35,MATCH(节奏总纲!G63,$B$22:$B$35,1)),MIN($E$22:$E$35))*IFERROR(INDEX($F$22:$F$35,MATCH(节奏总纲!G63,$B$22:$B$35,1)),MIN($F$22:$F$35))</f>
        <v>63799.599994298274</v>
      </c>
      <c r="AO67" s="2">
        <f>Z67/IFERROR(INDEX($E$22:$E$35,MATCH(节奏总纲!H63,$B$22:$B$35,1)),MIN($E$22:$E$35))*IFERROR(INDEX($F$22:$F$35,MATCH(节奏总纲!H63,$B$22:$B$35,1)),MIN($F$22:$F$35))</f>
        <v>107663.55441737077</v>
      </c>
      <c r="AQ67" s="2">
        <v>60</v>
      </c>
      <c r="AR67" s="2">
        <f t="shared" si="6"/>
        <v>19137.933560006681</v>
      </c>
      <c r="AS67" s="2">
        <f t="shared" si="7"/>
        <v>38913.610286439842</v>
      </c>
      <c r="AT67" s="2">
        <f t="shared" si="8"/>
        <v>57533.287562163605</v>
      </c>
      <c r="AU67" s="2">
        <f t="shared" si="9"/>
        <v>98132.219377161586</v>
      </c>
      <c r="AV67" s="2">
        <f t="shared" si="10"/>
        <v>146682.63778682676</v>
      </c>
      <c r="AX67" s="41">
        <f t="shared" si="11"/>
        <v>0</v>
      </c>
      <c r="AY67" s="41">
        <f t="shared" si="12"/>
        <v>0.26739598631069994</v>
      </c>
      <c r="AZ67" s="41">
        <f t="shared" si="13"/>
        <v>0.4387068277098225</v>
      </c>
      <c r="BA67" s="41">
        <f t="shared" si="14"/>
        <v>0.65013917344609062</v>
      </c>
      <c r="BB67" s="41">
        <f t="shared" si="15"/>
        <v>0.73398976212738787</v>
      </c>
      <c r="BD67" s="2" t="e">
        <f t="shared" si="16"/>
        <v>#DIV/0!</v>
      </c>
      <c r="BE67" s="2">
        <f t="shared" si="17"/>
        <v>3.2849449795902048</v>
      </c>
      <c r="BF67" s="2">
        <f t="shared" si="18"/>
        <v>3.126400600383715</v>
      </c>
      <c r="BG67" s="2">
        <f t="shared" si="19"/>
        <v>2.7874191282711895</v>
      </c>
      <c r="BH67" s="2">
        <f t="shared" si="20"/>
        <v>2.7592538091668608</v>
      </c>
    </row>
    <row r="68" spans="11:60" x14ac:dyDescent="0.2">
      <c r="K68" s="2">
        <v>61</v>
      </c>
      <c r="L68" s="2">
        <f>标准城池设计!AB64*$B$10/C$14*$C$5*C$7</f>
        <v>67302951.987008125</v>
      </c>
      <c r="M68" s="2">
        <f>标准城池设计!AC64*$B$10/D$14*$C$5*D$7</f>
        <v>73770130.042787701</v>
      </c>
      <c r="N68" s="2">
        <f>标准城池设计!AD64*$B$10/E$14*$C$5*E$7</f>
        <v>83666283.550733998</v>
      </c>
      <c r="O68" s="2">
        <f>标准城池设计!AE64*$B$10/F$14*$C$5*F$7</f>
        <v>88889041.952987358</v>
      </c>
      <c r="P68" s="2">
        <f>标准城池设计!AF64*$B$10/G$14*$C$5*G$7</f>
        <v>100485280.91059363</v>
      </c>
      <c r="Q68" s="2">
        <f t="shared" si="4"/>
        <v>10048.528091059363</v>
      </c>
      <c r="U68" s="2">
        <v>61</v>
      </c>
      <c r="V68" s="2">
        <f>其他调用!R65*6*其他调用!BM65*$B$10/C$15*$C$5*C$8/3</f>
        <v>0</v>
      </c>
      <c r="W68" s="2">
        <f>其他调用!S65*6*其他调用!BN65*$B$10/D$15*$C$5*D$8/3</f>
        <v>684613.45534724568</v>
      </c>
      <c r="X68" s="2">
        <f>其他调用!T65*6*其他调用!BO65*$B$10/E$15*$C$5*E$8/3</f>
        <v>1659548.9189722575</v>
      </c>
      <c r="Y68" s="2">
        <f>其他调用!U65*6*其他调用!BP65*$B$10/F$15*$C$5*F$8/3</f>
        <v>4195990.7127070492</v>
      </c>
      <c r="Z68" s="2">
        <f>其他调用!V65*6*其他调用!BQ65*$B$10/G$15*$C$5*G$8/3</f>
        <v>7079885.844097645</v>
      </c>
      <c r="AA68" s="2">
        <f t="shared" si="5"/>
        <v>707.98858440976448</v>
      </c>
      <c r="AE68" s="2">
        <v>61</v>
      </c>
      <c r="AF68" s="2">
        <f>L68/IFERROR(INDEX($C$22:$C$35,MATCH(节奏总纲!D64,$B$22:$B$35,1)),MIN($C$22:$C$35))*IFERROR(INDEX($D$22:$D$35,MATCH(节奏总纲!D64,$B$22:$B$35,1)),MIN($D$22:$D$35))</f>
        <v>19794.985878531803</v>
      </c>
      <c r="AG68" s="2">
        <f>M68/IFERROR(INDEX($C$22:$C$35,MATCH(节奏总纲!E64,$B$22:$B$35,1)),MIN($C$22:$C$35))*IFERROR(INDEX($D$22:$D$35,MATCH(节奏总纲!E64,$B$22:$B$35,1)),MIN($D$22:$D$35))</f>
        <v>29508.052017115082</v>
      </c>
      <c r="AH68" s="2">
        <f>N68/IFERROR(INDEX($C$22:$C$35,MATCH(节奏总纲!F64,$B$22:$B$35,1)),MIN($C$22:$C$35))*IFERROR(INDEX($D$22:$D$35,MATCH(节奏总纲!F64,$B$22:$B$35,1)),MIN($D$22:$D$35))</f>
        <v>33466.513420293602</v>
      </c>
      <c r="AI68" s="2">
        <f>O68/IFERROR(INDEX($C$22:$C$35,MATCH(节奏总纲!G64,$B$22:$B$35,1)),MIN($C$22:$C$35))*IFERROR(INDEX($D$22:$D$35,MATCH(节奏总纲!G64,$B$22:$B$35,1)),MIN($D$22:$D$35))</f>
        <v>35555.616781194942</v>
      </c>
      <c r="AJ68" s="2">
        <f>P68/IFERROR(INDEX($C$22:$C$35,MATCH(节奏总纲!H64,$B$22:$B$35,1)),MIN($C$22:$C$35))*IFERROR(INDEX($D$22:$D$35,MATCH(节奏总纲!H64,$B$22:$B$35,1)),MIN($D$22:$D$35))</f>
        <v>40194.112364237451</v>
      </c>
      <c r="AK68" s="2">
        <f>V68/IFERROR(INDEX($E$22:$E$35,MATCH(节奏总纲!D64,$B$22:$B$35,1)),MIN($E$22:$E$35))*IFERROR(INDEX($F$22:$F$35,MATCH(节奏总纲!D64,$B$22:$B$35,1)),MIN($F$22:$F$35))</f>
        <v>0</v>
      </c>
      <c r="AL68" s="2">
        <f>W68/IFERROR(INDEX($E$22:$E$35,MATCH(节奏总纲!E64,$B$22:$B$35,1)),MIN($E$22:$E$35))*IFERROR(INDEX($F$22:$F$35,MATCH(节奏总纲!E64,$B$22:$B$35,1)),MIN($F$22:$F$35))</f>
        <v>10532.514697649933</v>
      </c>
      <c r="AM68" s="2">
        <f>X68/IFERROR(INDEX($E$22:$E$35,MATCH(节奏总纲!F64,$B$22:$B$35,1)),MIN($E$22:$E$35))*IFERROR(INDEX($F$22:$F$35,MATCH(节奏总纲!F64,$B$22:$B$35,1)),MIN($F$22:$F$35))</f>
        <v>25531.521830342423</v>
      </c>
      <c r="AN68" s="2">
        <f>Y68/IFERROR(INDEX($E$22:$E$35,MATCH(节奏总纲!G64,$B$22:$B$35,1)),MIN($E$22:$E$35))*IFERROR(INDEX($F$22:$F$35,MATCH(节奏总纲!G64,$B$22:$B$35,1)),MIN($F$22:$F$35))</f>
        <v>64553.70327241614</v>
      </c>
      <c r="AO68" s="2">
        <f>Z68/IFERROR(INDEX($E$22:$E$35,MATCH(节奏总纲!H64,$B$22:$B$35,1)),MIN($E$22:$E$35))*IFERROR(INDEX($F$22:$F$35,MATCH(节奏总纲!H64,$B$22:$B$35,1)),MIN($F$22:$F$35))</f>
        <v>108921.32067842531</v>
      </c>
      <c r="AQ68" s="2">
        <v>61</v>
      </c>
      <c r="AR68" s="2">
        <f t="shared" si="6"/>
        <v>19794.985878531803</v>
      </c>
      <c r="AS68" s="2">
        <f t="shared" si="7"/>
        <v>40040.566714765017</v>
      </c>
      <c r="AT68" s="2">
        <f t="shared" si="8"/>
        <v>58998.035250636021</v>
      </c>
      <c r="AU68" s="2">
        <f t="shared" si="9"/>
        <v>100109.32005361108</v>
      </c>
      <c r="AV68" s="2">
        <f t="shared" si="10"/>
        <v>149115.43304266277</v>
      </c>
      <c r="AX68" s="41">
        <f t="shared" si="11"/>
        <v>0</v>
      </c>
      <c r="AY68" s="41">
        <f t="shared" si="12"/>
        <v>0.2630460945440628</v>
      </c>
      <c r="AZ68" s="41">
        <f t="shared" si="13"/>
        <v>0.43275206914737357</v>
      </c>
      <c r="BA68" s="41">
        <f t="shared" si="14"/>
        <v>0.64483210192463591</v>
      </c>
      <c r="BB68" s="41">
        <f t="shared" si="15"/>
        <v>0.73044968220869733</v>
      </c>
      <c r="BD68" s="2" t="e">
        <f t="shared" si="16"/>
        <v>#DIV/0!</v>
      </c>
      <c r="BE68" s="2">
        <f t="shared" si="17"/>
        <v>3.2124327361178695</v>
      </c>
      <c r="BF68" s="2">
        <f t="shared" si="18"/>
        <v>3.051590287844026</v>
      </c>
      <c r="BG68" s="2">
        <f t="shared" si="19"/>
        <v>2.7233546672670026</v>
      </c>
      <c r="BH68" s="2">
        <f t="shared" si="20"/>
        <v>2.7098824746118195</v>
      </c>
    </row>
    <row r="69" spans="11:60" x14ac:dyDescent="0.2">
      <c r="K69" s="2">
        <v>62</v>
      </c>
      <c r="L69" s="2">
        <f>标准城池设计!AB65*$B$10/C$14*$C$5*C$7</f>
        <v>69376011.384166017</v>
      </c>
      <c r="M69" s="2">
        <f>标准城池设计!AC65*$B$10/D$14*$C$5*D$7</f>
        <v>76323757.171163753</v>
      </c>
      <c r="N69" s="2">
        <f>标准城池设计!AD65*$B$10/E$14*$C$5*E$7</f>
        <v>86506438.353027612</v>
      </c>
      <c r="O69" s="2">
        <f>标准城池设计!AE65*$B$10/F$14*$C$5*F$7</f>
        <v>92043260.299091533</v>
      </c>
      <c r="P69" s="2">
        <f>标准城池设计!AF65*$B$10/G$14*$C$5*G$7</f>
        <v>103315878.12131438</v>
      </c>
      <c r="Q69" s="2">
        <f t="shared" si="4"/>
        <v>10331.587812131438</v>
      </c>
      <c r="U69" s="2">
        <v>62</v>
      </c>
      <c r="V69" s="2">
        <f>其他调用!R66*6*其他调用!BM66*$B$10/C$15*$C$5*C$8/3</f>
        <v>0</v>
      </c>
      <c r="W69" s="2">
        <f>其他调用!S66*6*其他调用!BN66*$B$10/D$15*$C$5*D$8/3</f>
        <v>692455.15067031572</v>
      </c>
      <c r="X69" s="2">
        <f>其他调用!T66*6*其他调用!BO66*$B$10/E$15*$C$5*E$8/3</f>
        <v>1679500.4383948173</v>
      </c>
      <c r="Y69" s="2">
        <f>其他调用!U66*6*其他调用!BP66*$B$10/F$15*$C$5*F$8/3</f>
        <v>4244587.4927003244</v>
      </c>
      <c r="Z69" s="2">
        <f>其他调用!V66*6*其他调用!BQ66*$B$10/G$15*$C$5*G$8/3</f>
        <v>7162743.8908818783</v>
      </c>
      <c r="AA69" s="2">
        <f t="shared" si="5"/>
        <v>716.27438908818783</v>
      </c>
      <c r="AE69" s="2">
        <v>62</v>
      </c>
      <c r="AF69" s="2">
        <f>L69/IFERROR(INDEX($C$22:$C$35,MATCH(节奏总纲!D65,$B$22:$B$35,1)),MIN($C$22:$C$35))*IFERROR(INDEX($D$22:$D$35,MATCH(节奏总纲!D65,$B$22:$B$35,1)),MIN($D$22:$D$35))</f>
        <v>20404.709230637065</v>
      </c>
      <c r="AG69" s="2">
        <f>M69/IFERROR(INDEX($C$22:$C$35,MATCH(节奏总纲!E65,$B$22:$B$35,1)),MIN($C$22:$C$35))*IFERROR(INDEX($D$22:$D$35,MATCH(节奏总纲!E65,$B$22:$B$35,1)),MIN($D$22:$D$35))</f>
        <v>22448.16387387169</v>
      </c>
      <c r="AH69" s="2">
        <f>N69/IFERROR(INDEX($C$22:$C$35,MATCH(节奏总纲!F65,$B$22:$B$35,1)),MIN($C$22:$C$35))*IFERROR(INDEX($D$22:$D$35,MATCH(节奏总纲!F65,$B$22:$B$35,1)),MIN($D$22:$D$35))</f>
        <v>34602.575341211043</v>
      </c>
      <c r="AI69" s="2">
        <f>O69/IFERROR(INDEX($C$22:$C$35,MATCH(节奏总纲!G65,$B$22:$B$35,1)),MIN($C$22:$C$35))*IFERROR(INDEX($D$22:$D$35,MATCH(节奏总纲!G65,$B$22:$B$35,1)),MIN($D$22:$D$35))</f>
        <v>36817.30411963661</v>
      </c>
      <c r="AJ69" s="2">
        <f>P69/IFERROR(INDEX($C$22:$C$35,MATCH(节奏总纲!H65,$B$22:$B$35,1)),MIN($C$22:$C$35))*IFERROR(INDEX($D$22:$D$35,MATCH(节奏总纲!H65,$B$22:$B$35,1)),MIN($D$22:$D$35))</f>
        <v>41326.351248525752</v>
      </c>
      <c r="AK69" s="2">
        <f>V69/IFERROR(INDEX($E$22:$E$35,MATCH(节奏总纲!D65,$B$22:$B$35,1)),MIN($E$22:$E$35))*IFERROR(INDEX($F$22:$F$35,MATCH(节奏总纲!D65,$B$22:$B$35,1)),MIN($F$22:$F$35))</f>
        <v>0</v>
      </c>
      <c r="AL69" s="2">
        <f>W69/IFERROR(INDEX($E$22:$E$35,MATCH(节奏总纲!E65,$B$22:$B$35,1)),MIN($E$22:$E$35))*IFERROR(INDEX($F$22:$F$35,MATCH(节奏总纲!E65,$B$22:$B$35,1)),MIN($F$22:$F$35))</f>
        <v>9892.2164381473667</v>
      </c>
      <c r="AM69" s="2">
        <f>X69/IFERROR(INDEX($E$22:$E$35,MATCH(节奏总纲!F65,$B$22:$B$35,1)),MIN($E$22:$E$35))*IFERROR(INDEX($F$22:$F$35,MATCH(节奏总纲!F65,$B$22:$B$35,1)),MIN($F$22:$F$35))</f>
        <v>25838.46828299719</v>
      </c>
      <c r="AN69" s="2">
        <f>Y69/IFERROR(INDEX($E$22:$E$35,MATCH(节奏总纲!G65,$B$22:$B$35,1)),MIN($E$22:$E$35))*IFERROR(INDEX($F$22:$F$35,MATCH(节奏总纲!G65,$B$22:$B$35,1)),MIN($F$22:$F$35))</f>
        <v>65301.346041543453</v>
      </c>
      <c r="AO69" s="2">
        <f>Z69/IFERROR(INDEX($E$22:$E$35,MATCH(节奏总纲!H65,$B$22:$B$35,1)),MIN($E$22:$E$35))*IFERROR(INDEX($F$22:$F$35,MATCH(节奏总纲!H65,$B$22:$B$35,1)),MIN($F$22:$F$35))</f>
        <v>110196.05985972121</v>
      </c>
      <c r="AQ69" s="2">
        <v>62</v>
      </c>
      <c r="AR69" s="2">
        <f t="shared" si="6"/>
        <v>20404.709230637065</v>
      </c>
      <c r="AS69" s="2">
        <f t="shared" si="7"/>
        <v>32340.380312019057</v>
      </c>
      <c r="AT69" s="2">
        <f t="shared" si="8"/>
        <v>60441.043624208236</v>
      </c>
      <c r="AU69" s="2">
        <f t="shared" si="9"/>
        <v>102118.65016118006</v>
      </c>
      <c r="AV69" s="2">
        <f t="shared" si="10"/>
        <v>151522.41110824695</v>
      </c>
      <c r="AX69" s="41">
        <f t="shared" si="11"/>
        <v>0</v>
      </c>
      <c r="AY69" s="41">
        <f t="shared" si="12"/>
        <v>0.30587817282009511</v>
      </c>
      <c r="AZ69" s="41">
        <f t="shared" si="13"/>
        <v>0.42749871169743003</v>
      </c>
      <c r="BA69" s="41">
        <f t="shared" si="14"/>
        <v>0.63946542515470362</v>
      </c>
      <c r="BB69" s="41">
        <f t="shared" si="15"/>
        <v>0.72725914967784944</v>
      </c>
      <c r="BD69" s="2" t="e">
        <f t="shared" si="16"/>
        <v>#DIV/0!</v>
      </c>
      <c r="BE69" s="2">
        <f t="shared" si="17"/>
        <v>3.9660236108197617</v>
      </c>
      <c r="BF69" s="2">
        <f t="shared" si="18"/>
        <v>2.9868838406630442</v>
      </c>
      <c r="BG69" s="2">
        <f t="shared" si="19"/>
        <v>2.6604886317592218</v>
      </c>
      <c r="BH69" s="2">
        <f t="shared" si="20"/>
        <v>2.6664841325340154</v>
      </c>
    </row>
    <row r="70" spans="11:60" x14ac:dyDescent="0.2">
      <c r="K70" s="2">
        <v>63</v>
      </c>
      <c r="L70" s="2">
        <f>标准城池设计!AB66*$B$10/C$14*$C$5*C$7</f>
        <v>71325104.82451418</v>
      </c>
      <c r="M70" s="2">
        <f>标准城池设计!AC66*$B$10/D$14*$C$5*D$7</f>
        <v>78967953.639640689</v>
      </c>
      <c r="N70" s="2">
        <f>标准城池设计!AD66*$B$10/E$14*$C$5*E$7</f>
        <v>89438344.15091072</v>
      </c>
      <c r="O70" s="2">
        <f>标准城池设计!AE66*$B$10/F$14*$C$5*F$7</f>
        <v>95304523.711956576</v>
      </c>
      <c r="P70" s="2">
        <f>标准城池设计!AF66*$B$10/G$14*$C$5*G$7</f>
        <v>106085615.30779329</v>
      </c>
      <c r="Q70" s="2">
        <f t="shared" si="4"/>
        <v>10608.561530779329</v>
      </c>
      <c r="U70" s="2">
        <v>63</v>
      </c>
      <c r="V70" s="2">
        <f>其他调用!R67*6*其他调用!BM67*$B$10/C$15*$C$5*C$8/3</f>
        <v>0</v>
      </c>
      <c r="W70" s="2">
        <f>其他调用!S67*6*其他调用!BN67*$B$10/D$15*$C$5*D$8/3</f>
        <v>700697.16091256484</v>
      </c>
      <c r="X70" s="2">
        <f>其他调用!T67*6*其他调用!BO67*$B$10/E$15*$C$5*E$8/3</f>
        <v>1698403.0795401754</v>
      </c>
      <c r="Y70" s="2">
        <f>其他调用!U67*6*其他调用!BP67*$B$10/F$15*$C$5*F$8/3</f>
        <v>4294345.3710522978</v>
      </c>
      <c r="Z70" s="2">
        <f>其他调用!V67*6*其他调用!BQ67*$B$10/G$15*$C$5*G$8/3</f>
        <v>7245965.6245745709</v>
      </c>
      <c r="AA70" s="2">
        <f t="shared" si="5"/>
        <v>724.59656245745714</v>
      </c>
      <c r="AE70" s="2">
        <v>63</v>
      </c>
      <c r="AF70" s="2">
        <f>L70/IFERROR(INDEX($C$22:$C$35,MATCH(节奏总纲!D66,$B$22:$B$35,1)),MIN($C$22:$C$35))*IFERROR(INDEX($D$22:$D$35,MATCH(节奏总纲!D66,$B$22:$B$35,1)),MIN($D$22:$D$35))</f>
        <v>20977.972007210054</v>
      </c>
      <c r="AG70" s="2">
        <f>M70/IFERROR(INDEX($C$22:$C$35,MATCH(节奏总纲!E66,$B$22:$B$35,1)),MIN($C$22:$C$35))*IFERROR(INDEX($D$22:$D$35,MATCH(节奏总纲!E66,$B$22:$B$35,1)),MIN($D$22:$D$35))</f>
        <v>23225.86871754138</v>
      </c>
      <c r="AH70" s="2">
        <f>N70/IFERROR(INDEX($C$22:$C$35,MATCH(节奏总纲!F66,$B$22:$B$35,1)),MIN($C$22:$C$35))*IFERROR(INDEX($D$22:$D$35,MATCH(节奏总纲!F66,$B$22:$B$35,1)),MIN($D$22:$D$35))</f>
        <v>35775.33766036429</v>
      </c>
      <c r="AI70" s="2">
        <f>O70/IFERROR(INDEX($C$22:$C$35,MATCH(节奏总纲!G66,$B$22:$B$35,1)),MIN($C$22:$C$35))*IFERROR(INDEX($D$22:$D$35,MATCH(节奏总纲!G66,$B$22:$B$35,1)),MIN($D$22:$D$35))</f>
        <v>38121.809484782629</v>
      </c>
      <c r="AJ70" s="2">
        <f>P70/IFERROR(INDEX($C$22:$C$35,MATCH(节奏总纲!H66,$B$22:$B$35,1)),MIN($C$22:$C$35))*IFERROR(INDEX($D$22:$D$35,MATCH(节奏总纲!H66,$B$22:$B$35,1)),MIN($D$22:$D$35))</f>
        <v>42434.246123117315</v>
      </c>
      <c r="AK70" s="2">
        <f>V70/IFERROR(INDEX($E$22:$E$35,MATCH(节奏总纲!D66,$B$22:$B$35,1)),MIN($E$22:$E$35))*IFERROR(INDEX($F$22:$F$35,MATCH(节奏总纲!D66,$B$22:$B$35,1)),MIN($F$22:$F$35))</f>
        <v>0</v>
      </c>
      <c r="AL70" s="2">
        <f>W70/IFERROR(INDEX($E$22:$E$35,MATCH(节奏总纲!E66,$B$22:$B$35,1)),MIN($E$22:$E$35))*IFERROR(INDEX($F$22:$F$35,MATCH(节奏总纲!E66,$B$22:$B$35,1)),MIN($F$22:$F$35))</f>
        <v>10009.959441608069</v>
      </c>
      <c r="AM70" s="2">
        <f>X70/IFERROR(INDEX($E$22:$E$35,MATCH(节奏总纲!F66,$B$22:$B$35,1)),MIN($E$22:$E$35))*IFERROR(INDEX($F$22:$F$35,MATCH(节奏总纲!F66,$B$22:$B$35,1)),MIN($F$22:$F$35))</f>
        <v>26129.278146771929</v>
      </c>
      <c r="AN70" s="2">
        <f>Y70/IFERROR(INDEX($E$22:$E$35,MATCH(节奏总纲!G66,$B$22:$B$35,1)),MIN($E$22:$E$35))*IFERROR(INDEX($F$22:$F$35,MATCH(节奏总纲!G66,$B$22:$B$35,1)),MIN($F$22:$F$35))</f>
        <v>66066.851862343043</v>
      </c>
      <c r="AO70" s="2">
        <f>Z70/IFERROR(INDEX($E$22:$E$35,MATCH(节奏总纲!H66,$B$22:$B$35,1)),MIN($E$22:$E$35))*IFERROR(INDEX($F$22:$F$35,MATCH(节奏总纲!H66,$B$22:$B$35,1)),MIN($F$22:$F$35))</f>
        <v>111476.39422422416</v>
      </c>
      <c r="AQ70" s="2">
        <v>63</v>
      </c>
      <c r="AR70" s="2">
        <f t="shared" si="6"/>
        <v>20977.972007210054</v>
      </c>
      <c r="AS70" s="2">
        <f t="shared" si="7"/>
        <v>33235.828159149445</v>
      </c>
      <c r="AT70" s="2">
        <f t="shared" si="8"/>
        <v>61904.615807136215</v>
      </c>
      <c r="AU70" s="2">
        <f t="shared" si="9"/>
        <v>104188.66134712567</v>
      </c>
      <c r="AV70" s="2">
        <f t="shared" si="10"/>
        <v>153910.64034734148</v>
      </c>
      <c r="AX70" s="41">
        <f t="shared" si="11"/>
        <v>0</v>
      </c>
      <c r="AY70" s="41">
        <f t="shared" si="12"/>
        <v>0.30117978085803893</v>
      </c>
      <c r="AZ70" s="41">
        <f t="shared" si="13"/>
        <v>0.42208933544111921</v>
      </c>
      <c r="BA70" s="41">
        <f t="shared" si="14"/>
        <v>0.63410788667519125</v>
      </c>
      <c r="BB70" s="41">
        <f t="shared" si="15"/>
        <v>0.7242929661825015</v>
      </c>
      <c r="BD70" s="2" t="e">
        <f t="shared" si="16"/>
        <v>#DIV/0!</v>
      </c>
      <c r="BE70" s="2">
        <f t="shared" si="17"/>
        <v>3.8788488848398717</v>
      </c>
      <c r="BF70" s="2">
        <f t="shared" si="18"/>
        <v>2.9214850067755722</v>
      </c>
      <c r="BG70" s="2">
        <f t="shared" si="19"/>
        <v>2.5995690952989303</v>
      </c>
      <c r="BH70" s="2">
        <f t="shared" si="20"/>
        <v>2.6270384043300838</v>
      </c>
    </row>
    <row r="71" spans="11:60" x14ac:dyDescent="0.2">
      <c r="K71" s="2">
        <v>64</v>
      </c>
      <c r="L71" s="2">
        <f>标准城池设计!AB67*$B$10/C$14*$C$5*C$7</f>
        <v>73308652.109688103</v>
      </c>
      <c r="M71" s="2">
        <f>标准城池设计!AC67*$B$10/D$14*$C$5*D$7</f>
        <v>81443733.369577095</v>
      </c>
      <c r="N71" s="2">
        <f>标准城池设计!AD67*$B$10/E$14*$C$5*E$7</f>
        <v>92445640.041011244</v>
      </c>
      <c r="O71" s="2">
        <f>标准城池设计!AE67*$B$10/F$14*$C$5*F$7</f>
        <v>98654102.478536144</v>
      </c>
      <c r="P71" s="2">
        <f>标准城池设计!AF67*$B$10/G$14*$C$5*G$7</f>
        <v>108918610.7958656</v>
      </c>
      <c r="Q71" s="2">
        <f t="shared" si="4"/>
        <v>10891.861079586559</v>
      </c>
      <c r="U71" s="2">
        <v>64</v>
      </c>
      <c r="V71" s="2">
        <f>其他调用!R68*6*其他调用!BM68*$B$10/C$15*$C$5*C$8/3</f>
        <v>0</v>
      </c>
      <c r="W71" s="2">
        <f>其他调用!S68*6*其他调用!BN68*$B$10/D$15*$C$5*D$8/3</f>
        <v>708645.02781834023</v>
      </c>
      <c r="X71" s="2">
        <f>其他调用!T68*6*其他调用!BO68*$B$10/E$15*$C$5*E$8/3</f>
        <v>1718400.4074892176</v>
      </c>
      <c r="Y71" s="2">
        <f>其他调用!U68*6*其他调用!BP68*$B$10/F$15*$C$5*F$8/3</f>
        <v>4343023.400892213</v>
      </c>
      <c r="Z71" s="2">
        <f>其他调用!V68*6*其他调用!BQ68*$B$10/G$15*$C$5*G$8/3</f>
        <v>7325120.7621749928</v>
      </c>
      <c r="AA71" s="2">
        <f t="shared" si="5"/>
        <v>732.51207621749927</v>
      </c>
      <c r="AE71" s="2">
        <v>64</v>
      </c>
      <c r="AF71" s="2">
        <f>L71/IFERROR(INDEX($C$22:$C$35,MATCH(节奏总纲!D67,$B$22:$B$35,1)),MIN($C$22:$C$35))*IFERROR(INDEX($D$22:$D$35,MATCH(节奏总纲!D67,$B$22:$B$35,1)),MIN($D$22:$D$35))</f>
        <v>21561.368267555325</v>
      </c>
      <c r="AG71" s="2">
        <f>M71/IFERROR(INDEX($C$22:$C$35,MATCH(节奏总纲!E67,$B$22:$B$35,1)),MIN($C$22:$C$35))*IFERROR(INDEX($D$22:$D$35,MATCH(节奏总纲!E67,$B$22:$B$35,1)),MIN($D$22:$D$35))</f>
        <v>23954.039226346205</v>
      </c>
      <c r="AH71" s="2">
        <f>N71/IFERROR(INDEX($C$22:$C$35,MATCH(节奏总纲!F67,$B$22:$B$35,1)),MIN($C$22:$C$35))*IFERROR(INDEX($D$22:$D$35,MATCH(节奏总纲!F67,$B$22:$B$35,1)),MIN($D$22:$D$35))</f>
        <v>36978.256016404499</v>
      </c>
      <c r="AI71" s="2">
        <f>O71/IFERROR(INDEX($C$22:$C$35,MATCH(节奏总纲!G67,$B$22:$B$35,1)),MIN($C$22:$C$35))*IFERROR(INDEX($D$22:$D$35,MATCH(节奏总纲!G67,$B$22:$B$35,1)),MIN($D$22:$D$35))</f>
        <v>39461.640991414461</v>
      </c>
      <c r="AJ71" s="2">
        <f>P71/IFERROR(INDEX($C$22:$C$35,MATCH(节奏总纲!H67,$B$22:$B$35,1)),MIN($C$22:$C$35))*IFERROR(INDEX($D$22:$D$35,MATCH(节奏总纲!H67,$B$22:$B$35,1)),MIN($D$22:$D$35))</f>
        <v>43567.444318346235</v>
      </c>
      <c r="AK71" s="2">
        <f>V71/IFERROR(INDEX($E$22:$E$35,MATCH(节奏总纲!D67,$B$22:$B$35,1)),MIN($E$22:$E$35))*IFERROR(INDEX($F$22:$F$35,MATCH(节奏总纲!D67,$B$22:$B$35,1)),MIN($F$22:$F$35))</f>
        <v>0</v>
      </c>
      <c r="AL71" s="2">
        <f>W71/IFERROR(INDEX($E$22:$E$35,MATCH(节奏总纲!E67,$B$22:$B$35,1)),MIN($E$22:$E$35))*IFERROR(INDEX($F$22:$F$35,MATCH(节奏总纲!E67,$B$22:$B$35,1)),MIN($F$22:$F$35))</f>
        <v>10123.50039740486</v>
      </c>
      <c r="AM71" s="2">
        <f>X71/IFERROR(INDEX($E$22:$E$35,MATCH(节奏总纲!F67,$B$22:$B$35,1)),MIN($E$22:$E$35))*IFERROR(INDEX($F$22:$F$35,MATCH(节奏总纲!F67,$B$22:$B$35,1)),MIN($F$22:$F$35))</f>
        <v>26436.929345987963</v>
      </c>
      <c r="AN71" s="2">
        <f>Y71/IFERROR(INDEX($E$22:$E$35,MATCH(节奏总纲!G67,$B$22:$B$35,1)),MIN($E$22:$E$35))*IFERROR(INDEX($F$22:$F$35,MATCH(节奏总纲!G67,$B$22:$B$35,1)),MIN($F$22:$F$35))</f>
        <v>66815.744629110966</v>
      </c>
      <c r="AO71" s="2">
        <f>Z71/IFERROR(INDEX($E$22:$E$35,MATCH(节奏总纲!H67,$B$22:$B$35,1)),MIN($E$22:$E$35))*IFERROR(INDEX($F$22:$F$35,MATCH(节奏总纲!H67,$B$22:$B$35,1)),MIN($F$22:$F$35))</f>
        <v>112694.16557192296</v>
      </c>
      <c r="AQ71" s="2">
        <v>64</v>
      </c>
      <c r="AR71" s="2">
        <f t="shared" si="6"/>
        <v>21561.368267555325</v>
      </c>
      <c r="AS71" s="2">
        <f t="shared" si="7"/>
        <v>34077.539623751065</v>
      </c>
      <c r="AT71" s="2">
        <f t="shared" si="8"/>
        <v>63415.185362392462</v>
      </c>
      <c r="AU71" s="2">
        <f t="shared" si="9"/>
        <v>106277.38562052543</v>
      </c>
      <c r="AV71" s="2">
        <f t="shared" si="10"/>
        <v>156261.6098902692</v>
      </c>
      <c r="AX71" s="41">
        <f t="shared" si="11"/>
        <v>0</v>
      </c>
      <c r="AY71" s="41">
        <f t="shared" si="12"/>
        <v>0.29707251489333081</v>
      </c>
      <c r="AZ71" s="41">
        <f t="shared" si="13"/>
        <v>0.41688641600448645</v>
      </c>
      <c r="BA71" s="41">
        <f t="shared" si="14"/>
        <v>0.62869202360400178</v>
      </c>
      <c r="BB71" s="41">
        <f t="shared" si="15"/>
        <v>0.72118907293390622</v>
      </c>
      <c r="BD71" s="2" t="e">
        <f t="shared" si="16"/>
        <v>#DIV/0!</v>
      </c>
      <c r="BE71" s="2">
        <f t="shared" si="17"/>
        <v>3.8035966592403936</v>
      </c>
      <c r="BF71" s="2">
        <f t="shared" si="18"/>
        <v>2.8597270065153828</v>
      </c>
      <c r="BG71" s="2">
        <f t="shared" si="19"/>
        <v>2.5397731677066284</v>
      </c>
      <c r="BH71" s="2">
        <f t="shared" si="20"/>
        <v>2.5866600011804568</v>
      </c>
    </row>
    <row r="72" spans="11:60" x14ac:dyDescent="0.2">
      <c r="K72" s="2">
        <v>65</v>
      </c>
      <c r="L72" s="2">
        <f>标准城池设计!AB68*$B$10/C$14*$C$5*C$7</f>
        <v>75328026.44003433</v>
      </c>
      <c r="M72" s="2">
        <f>标准城池设计!AC68*$B$10/D$14*$C$5*D$7</f>
        <v>83683276.692843482</v>
      </c>
      <c r="N72" s="2">
        <f>标准城池设计!AD68*$B$10/E$14*$C$5*E$7</f>
        <v>95446074.762168363</v>
      </c>
      <c r="O72" s="2">
        <f>标准城池设计!AE68*$B$10/F$14*$C$5*F$7</f>
        <v>101687117.05081846</v>
      </c>
      <c r="P72" s="2">
        <f>标准城池设计!AF68*$B$10/G$14*$C$5*G$7</f>
        <v>111322728.42334351</v>
      </c>
      <c r="Q72" s="2">
        <f t="shared" si="4"/>
        <v>11132.272842334351</v>
      </c>
      <c r="U72" s="2">
        <v>65</v>
      </c>
      <c r="V72" s="2">
        <f>其他调用!R69*6*其他调用!BM69*$B$10/C$15*$C$5*C$8/3</f>
        <v>0</v>
      </c>
      <c r="W72" s="2">
        <f>其他调用!S69*6*其他调用!BN69*$B$10/D$15*$C$5*D$8/3</f>
        <v>716762.1914201472</v>
      </c>
      <c r="X72" s="2">
        <f>其他调用!T69*6*其他调用!BO69*$B$10/E$15*$C$5*E$8/3</f>
        <v>1737631.6843113552</v>
      </c>
      <c r="Y72" s="2">
        <f>其他调用!U69*6*其他调用!BP69*$B$10/F$15*$C$5*F$8/3</f>
        <v>4392413.8381851288</v>
      </c>
      <c r="Z72" s="2">
        <f>其他调用!V69*6*其他调用!BQ69*$B$10/G$15*$C$5*G$8/3</f>
        <v>7402667.5516824173</v>
      </c>
      <c r="AA72" s="2">
        <f t="shared" si="5"/>
        <v>740.26675516824173</v>
      </c>
      <c r="AE72" s="2">
        <v>65</v>
      </c>
      <c r="AF72" s="2">
        <f>L72/IFERROR(INDEX($C$22:$C$35,MATCH(节奏总纲!D68,$B$22:$B$35,1)),MIN($C$22:$C$35))*IFERROR(INDEX($D$22:$D$35,MATCH(节奏总纲!D68,$B$22:$B$35,1)),MIN($D$22:$D$35))</f>
        <v>22155.301894127744</v>
      </c>
      <c r="AG72" s="2">
        <f>M72/IFERROR(INDEX($C$22:$C$35,MATCH(节奏总纲!E68,$B$22:$B$35,1)),MIN($C$22:$C$35))*IFERROR(INDEX($D$22:$D$35,MATCH(节奏总纲!E68,$B$22:$B$35,1)),MIN($D$22:$D$35))</f>
        <v>24612.728439071612</v>
      </c>
      <c r="AH72" s="2">
        <f>N72/IFERROR(INDEX($C$22:$C$35,MATCH(节奏总纲!F68,$B$22:$B$35,1)),MIN($C$22:$C$35))*IFERROR(INDEX($D$22:$D$35,MATCH(节奏总纲!F68,$B$22:$B$35,1)),MIN($D$22:$D$35))</f>
        <v>28072.374930049518</v>
      </c>
      <c r="AI72" s="2">
        <f>O72/IFERROR(INDEX($C$22:$C$35,MATCH(节奏总纲!G68,$B$22:$B$35,1)),MIN($C$22:$C$35))*IFERROR(INDEX($D$22:$D$35,MATCH(节奏总纲!G68,$B$22:$B$35,1)),MIN($D$22:$D$35))</f>
        <v>40674.846820327381</v>
      </c>
      <c r="AJ72" s="2">
        <f>P72/IFERROR(INDEX($C$22:$C$35,MATCH(节奏总纲!H68,$B$22:$B$35,1)),MIN($C$22:$C$35))*IFERROR(INDEX($D$22:$D$35,MATCH(节奏总纲!H68,$B$22:$B$35,1)),MIN($D$22:$D$35))</f>
        <v>44529.091369337402</v>
      </c>
      <c r="AK72" s="2">
        <f>V72/IFERROR(INDEX($E$22:$E$35,MATCH(节奏总纲!D68,$B$22:$B$35,1)),MIN($E$22:$E$35))*IFERROR(INDEX($F$22:$F$35,MATCH(节奏总纲!D68,$B$22:$B$35,1)),MIN($F$22:$F$35))</f>
        <v>0</v>
      </c>
      <c r="AL72" s="2">
        <f>W72/IFERROR(INDEX($E$22:$E$35,MATCH(节奏总纲!E68,$B$22:$B$35,1)),MIN($E$22:$E$35))*IFERROR(INDEX($F$22:$F$35,MATCH(节奏总纲!E68,$B$22:$B$35,1)),MIN($F$22:$F$35))</f>
        <v>10239.459877430674</v>
      </c>
      <c r="AM72" s="2">
        <f>X72/IFERROR(INDEX($E$22:$E$35,MATCH(节奏总纲!F68,$B$22:$B$35,1)),MIN($E$22:$E$35))*IFERROR(INDEX($F$22:$F$35,MATCH(节奏总纲!F68,$B$22:$B$35,1)),MIN($F$22:$F$35))</f>
        <v>24823.309775876503</v>
      </c>
      <c r="AN72" s="2">
        <f>Y72/IFERROR(INDEX($E$22:$E$35,MATCH(节奏总纲!G68,$B$22:$B$35,1)),MIN($E$22:$E$35))*IFERROR(INDEX($F$22:$F$35,MATCH(节奏总纲!G68,$B$22:$B$35,1)),MIN($F$22:$F$35))</f>
        <v>67575.597510540436</v>
      </c>
      <c r="AO72" s="2">
        <f>Z72/IFERROR(INDEX($E$22:$E$35,MATCH(节奏总纲!H68,$B$22:$B$35,1)),MIN($E$22:$E$35))*IFERROR(INDEX($F$22:$F$35,MATCH(节奏总纲!H68,$B$22:$B$35,1)),MIN($F$22:$F$35))</f>
        <v>113887.19310280641</v>
      </c>
      <c r="AQ72" s="2">
        <v>65</v>
      </c>
      <c r="AR72" s="2">
        <f t="shared" si="6"/>
        <v>22155.301894127744</v>
      </c>
      <c r="AS72" s="2">
        <f t="shared" si="7"/>
        <v>34852.188316502288</v>
      </c>
      <c r="AT72" s="2">
        <f t="shared" si="8"/>
        <v>52895.684705926018</v>
      </c>
      <c r="AU72" s="2">
        <f t="shared" si="9"/>
        <v>108250.44433086782</v>
      </c>
      <c r="AV72" s="2">
        <f t="shared" si="10"/>
        <v>158416.2844721438</v>
      </c>
      <c r="AX72" s="41">
        <f t="shared" si="11"/>
        <v>0</v>
      </c>
      <c r="AY72" s="41">
        <f t="shared" si="12"/>
        <v>0.2937967563024545</v>
      </c>
      <c r="AZ72" s="41">
        <f t="shared" si="13"/>
        <v>0.46928799416969252</v>
      </c>
      <c r="BA72" s="41">
        <f t="shared" si="14"/>
        <v>0.62425238000867145</v>
      </c>
      <c r="BB72" s="41">
        <f t="shared" si="15"/>
        <v>0.71891089658041141</v>
      </c>
      <c r="BD72" s="2" t="e">
        <f t="shared" si="16"/>
        <v>#DIV/0!</v>
      </c>
      <c r="BE72" s="2">
        <f t="shared" si="17"/>
        <v>3.7442065443904182</v>
      </c>
      <c r="BF72" s="2">
        <f t="shared" si="18"/>
        <v>3.5370444912809842</v>
      </c>
      <c r="BG72" s="2">
        <f t="shared" si="19"/>
        <v>2.4920412537399885</v>
      </c>
      <c r="BH72" s="2">
        <f t="shared" si="20"/>
        <v>2.5575907704514447</v>
      </c>
    </row>
    <row r="73" spans="11:60" x14ac:dyDescent="0.2">
      <c r="K73" s="2">
        <v>66</v>
      </c>
      <c r="L73" s="2">
        <f>标准城池设计!AB69*$B$10/C$14*$C$5*C$7</f>
        <v>76863001.304038584</v>
      </c>
      <c r="M73" s="2">
        <f>标准城池设计!AC69*$B$10/D$14*$C$5*D$7</f>
        <v>85647697.828152016</v>
      </c>
      <c r="N73" s="2">
        <f>标准城池设计!AD69*$B$10/E$14*$C$5*E$7</f>
        <v>98127519.83792311</v>
      </c>
      <c r="O73" s="2">
        <f>标准城池设计!AE69*$B$10/F$14*$C$5*F$7</f>
        <v>104215820.44153045</v>
      </c>
      <c r="P73" s="2">
        <f>标准城池设计!AF69*$B$10/G$14*$C$5*G$7</f>
        <v>113904411.68433033</v>
      </c>
      <c r="Q73" s="2">
        <f t="shared" ref="Q73:Q136" si="23">P73/10000</f>
        <v>11390.441168433033</v>
      </c>
      <c r="U73" s="2">
        <v>66</v>
      </c>
      <c r="V73" s="2">
        <f>其他调用!R70*6*其他调用!BM70*$B$10/C$15*$C$5*C$8/3</f>
        <v>0</v>
      </c>
      <c r="W73" s="2">
        <f>其他调用!S70*6*其他调用!BN70*$B$10/D$15*$C$5*D$8/3</f>
        <v>724799.4944233665</v>
      </c>
      <c r="X73" s="2">
        <f>其他调用!T70*6*其他调用!BO70*$B$10/E$15*$C$5*E$8/3</f>
        <v>1757485.324494879</v>
      </c>
      <c r="Y73" s="2">
        <f>其他调用!U70*6*其他调用!BP70*$B$10/F$15*$C$5*F$8/3</f>
        <v>4438259.022875838</v>
      </c>
      <c r="Z73" s="2">
        <f>其他调用!V70*6*其他调用!BQ70*$B$10/G$15*$C$5*G$8/3</f>
        <v>7482105.744081974</v>
      </c>
      <c r="AA73" s="2">
        <f t="shared" ref="AA73:AA136" si="24">Z73/10000</f>
        <v>748.21057440819743</v>
      </c>
      <c r="AE73" s="2">
        <v>66</v>
      </c>
      <c r="AF73" s="2">
        <f>L73/IFERROR(INDEX($C$22:$C$35,MATCH(节奏总纲!D69,$B$22:$B$35,1)),MIN($C$22:$C$35))*IFERROR(INDEX($D$22:$D$35,MATCH(节奏总纲!D69,$B$22:$B$35,1)),MIN($D$22:$D$35))</f>
        <v>19215.750326009646</v>
      </c>
      <c r="AG73" s="2">
        <f>M73/IFERROR(INDEX($C$22:$C$35,MATCH(节奏总纲!E69,$B$22:$B$35,1)),MIN($C$22:$C$35))*IFERROR(INDEX($D$22:$D$35,MATCH(节奏总纲!E69,$B$22:$B$35,1)),MIN($D$22:$D$35))</f>
        <v>25190.49936122118</v>
      </c>
      <c r="AH73" s="2">
        <f>N73/IFERROR(INDEX($C$22:$C$35,MATCH(节奏总纲!F69,$B$22:$B$35,1)),MIN($C$22:$C$35))*IFERROR(INDEX($D$22:$D$35,MATCH(节奏总纲!F69,$B$22:$B$35,1)),MIN($D$22:$D$35))</f>
        <v>28861.035246447973</v>
      </c>
      <c r="AI73" s="2">
        <f>O73/IFERROR(INDEX($C$22:$C$35,MATCH(节奏总纲!G69,$B$22:$B$35,1)),MIN($C$22:$C$35))*IFERROR(INDEX($D$22:$D$35,MATCH(节奏总纲!G69,$B$22:$B$35,1)),MIN($D$22:$D$35))</f>
        <v>41686.32817661218</v>
      </c>
      <c r="AJ73" s="2">
        <f>P73/IFERROR(INDEX($C$22:$C$35,MATCH(节奏总纲!H69,$B$22:$B$35,1)),MIN($C$22:$C$35))*IFERROR(INDEX($D$22:$D$35,MATCH(节奏总纲!H69,$B$22:$B$35,1)),MIN($D$22:$D$35))</f>
        <v>45561.764673732134</v>
      </c>
      <c r="AK73" s="2">
        <f>V73/IFERROR(INDEX($E$22:$E$35,MATCH(节奏总纲!D69,$B$22:$B$35,1)),MIN($E$22:$E$35))*IFERROR(INDEX($F$22:$F$35,MATCH(节奏总纲!D69,$B$22:$B$35,1)),MIN($F$22:$F$35))</f>
        <v>0</v>
      </c>
      <c r="AL73" s="2">
        <f>W73/IFERROR(INDEX($E$22:$E$35,MATCH(节奏总纲!E69,$B$22:$B$35,1)),MIN($E$22:$E$35))*IFERROR(INDEX($F$22:$F$35,MATCH(节奏总纲!E69,$B$22:$B$35,1)),MIN($F$22:$F$35))</f>
        <v>10354.278491762379</v>
      </c>
      <c r="AM73" s="2">
        <f>X73/IFERROR(INDEX($E$22:$E$35,MATCH(节奏总纲!F69,$B$22:$B$35,1)),MIN($E$22:$E$35))*IFERROR(INDEX($F$22:$F$35,MATCH(节奏总纲!F69,$B$22:$B$35,1)),MIN($F$22:$F$35))</f>
        <v>25106.933207069698</v>
      </c>
      <c r="AN73" s="2">
        <f>Y73/IFERROR(INDEX($E$22:$E$35,MATCH(节奏总纲!G69,$B$22:$B$35,1)),MIN($E$22:$E$35))*IFERROR(INDEX($F$22:$F$35,MATCH(节奏总纲!G69,$B$22:$B$35,1)),MIN($F$22:$F$35))</f>
        <v>68280.908044243668</v>
      </c>
      <c r="AO73" s="2">
        <f>Z73/IFERROR(INDEX($E$22:$E$35,MATCH(节奏总纲!H69,$B$22:$B$35,1)),MIN($E$22:$E$35))*IFERROR(INDEX($F$22:$F$35,MATCH(节奏总纲!H69,$B$22:$B$35,1)),MIN($F$22:$F$35))</f>
        <v>115109.31913972268</v>
      </c>
      <c r="AQ73" s="2">
        <v>66</v>
      </c>
      <c r="AR73" s="2">
        <f t="shared" ref="AR73:AR136" si="25">AF73+AK73</f>
        <v>19215.750326009646</v>
      </c>
      <c r="AS73" s="2">
        <f t="shared" ref="AS73:AS136" si="26">AG73+AL73</f>
        <v>35544.777852983563</v>
      </c>
      <c r="AT73" s="2">
        <f t="shared" ref="AT73:AT136" si="27">AH73+AM73</f>
        <v>53967.968453517671</v>
      </c>
      <c r="AU73" s="2">
        <f t="shared" ref="AU73:AU136" si="28">AI73+AN73</f>
        <v>109967.23622085585</v>
      </c>
      <c r="AV73" s="2">
        <f t="shared" ref="AV73:AV136" si="29">AJ73+AO73</f>
        <v>160671.08381345481</v>
      </c>
      <c r="AX73" s="41">
        <f t="shared" ref="AX73:AX136" si="30">AK73/AR73</f>
        <v>0</v>
      </c>
      <c r="AY73" s="41">
        <f t="shared" ref="AY73:AY136" si="31">AL73/AS73</f>
        <v>0.29130238299951172</v>
      </c>
      <c r="AZ73" s="41">
        <f t="shared" ref="AZ73:AZ136" si="32">AM73/AT73</f>
        <v>0.46521916474758851</v>
      </c>
      <c r="BA73" s="41">
        <f t="shared" ref="BA73:BA136" si="33">AN73/AU73</f>
        <v>0.62092047041274867</v>
      </c>
      <c r="BB73" s="41">
        <f t="shared" ref="BB73:BB136" si="34">AO73/AV73</f>
        <v>0.7164283479494602</v>
      </c>
      <c r="BD73" s="2" t="e">
        <f t="shared" ref="BD73:BD136" si="35">(AK73/C$8)/(AF73/C$7)</f>
        <v>#DIV/0!</v>
      </c>
      <c r="BE73" s="2">
        <f t="shared" ref="BE73:BE136" si="36">(AL73/D$8)/(AG73/D$7)</f>
        <v>3.6993512946915983</v>
      </c>
      <c r="BF73" s="2">
        <f t="shared" ref="BF73:BF136" si="37">(AM73/E$8)/(AH73/E$7)</f>
        <v>3.4796996008879764</v>
      </c>
      <c r="BG73" s="2">
        <f t="shared" ref="BG73:BG136" si="38">(AN73/F$8)/(AI73/F$7)</f>
        <v>2.4569533117054014</v>
      </c>
      <c r="BH73" s="2">
        <f t="shared" ref="BH73:BH136" si="39">(AO73/G$8)/(AJ73/G$7)</f>
        <v>2.5264455835725568</v>
      </c>
    </row>
    <row r="74" spans="11:60" x14ac:dyDescent="0.2">
      <c r="K74" s="2">
        <v>67</v>
      </c>
      <c r="L74" s="2">
        <f>标准城池设计!AB70*$B$10/C$14*$C$5*C$7</f>
        <v>81774632.705361113</v>
      </c>
      <c r="M74" s="2">
        <f>标准城池设计!AC70*$B$10/D$14*$C$5*D$7</f>
        <v>91382431.113504261</v>
      </c>
      <c r="N74" s="2">
        <f>标准城池设计!AD70*$B$10/E$14*$C$5*E$7</f>
        <v>104760965.27773543</v>
      </c>
      <c r="O74" s="2">
        <f>标准城池设计!AE70*$B$10/F$14*$C$5*F$7</f>
        <v>111398317.81588854</v>
      </c>
      <c r="P74" s="2">
        <f>标准城池设计!AF70*$B$10/G$14*$C$5*G$7</f>
        <v>122278702.7616208</v>
      </c>
      <c r="Q74" s="2">
        <f t="shared" si="23"/>
        <v>12227.870276162081</v>
      </c>
      <c r="U74" s="2">
        <v>67</v>
      </c>
      <c r="V74" s="2">
        <f>其他调用!R71*6*其他调用!BM71*$B$10/C$15*$C$5*C$8/3</f>
        <v>0</v>
      </c>
      <c r="W74" s="2">
        <f>其他调用!S71*6*其他调用!BN71*$B$10/D$15*$C$5*D$8/3</f>
        <v>732946.03984194295</v>
      </c>
      <c r="X74" s="2">
        <f>其他调用!T71*6*其他调用!BO71*$B$10/E$15*$C$5*E$8/3</f>
        <v>1776001.6032367807</v>
      </c>
      <c r="Y74" s="2">
        <f>其他调用!U71*6*其他调用!BP71*$B$10/F$15*$C$5*F$8/3</f>
        <v>4486236.8622970209</v>
      </c>
      <c r="Z74" s="2">
        <f>其他调用!V71*6*其他调用!BQ71*$B$10/G$15*$C$5*G$8/3</f>
        <v>7560586.6459244816</v>
      </c>
      <c r="AA74" s="2">
        <f t="shared" si="24"/>
        <v>756.05866459244817</v>
      </c>
      <c r="AE74" s="2">
        <v>67</v>
      </c>
      <c r="AF74" s="2">
        <f>L74/IFERROR(INDEX($C$22:$C$35,MATCH(节奏总纲!D70,$B$22:$B$35,1)),MIN($C$22:$C$35))*IFERROR(INDEX($D$22:$D$35,MATCH(节奏总纲!D70,$B$22:$B$35,1)),MIN($D$22:$D$35))</f>
        <v>20443.658176340279</v>
      </c>
      <c r="AG74" s="2">
        <f>M74/IFERROR(INDEX($C$22:$C$35,MATCH(节奏总纲!E70,$B$22:$B$35,1)),MIN($C$22:$C$35))*IFERROR(INDEX($D$22:$D$35,MATCH(节奏总纲!E70,$B$22:$B$35,1)),MIN($D$22:$D$35))</f>
        <v>26877.185621618901</v>
      </c>
      <c r="AH74" s="2">
        <f>N74/IFERROR(INDEX($C$22:$C$35,MATCH(节奏总纲!F70,$B$22:$B$35,1)),MIN($C$22:$C$35))*IFERROR(INDEX($D$22:$D$35,MATCH(节奏总纲!F70,$B$22:$B$35,1)),MIN($D$22:$D$35))</f>
        <v>30812.048611098657</v>
      </c>
      <c r="AI74" s="2">
        <f>O74/IFERROR(INDEX($C$22:$C$35,MATCH(节奏总纲!G70,$B$22:$B$35,1)),MIN($C$22:$C$35))*IFERROR(INDEX($D$22:$D$35,MATCH(节奏总纲!G70,$B$22:$B$35,1)),MIN($D$22:$D$35))</f>
        <v>44559.327126355412</v>
      </c>
      <c r="AJ74" s="2">
        <f>P74/IFERROR(INDEX($C$22:$C$35,MATCH(节奏总纲!H70,$B$22:$B$35,1)),MIN($C$22:$C$35))*IFERROR(INDEX($D$22:$D$35,MATCH(节奏总纲!H70,$B$22:$B$35,1)),MIN($D$22:$D$35))</f>
        <v>48911.481104648323</v>
      </c>
      <c r="AK74" s="2">
        <f>V74/IFERROR(INDEX($E$22:$E$35,MATCH(节奏总纲!D70,$B$22:$B$35,1)),MIN($E$22:$E$35))*IFERROR(INDEX($F$22:$F$35,MATCH(节奏总纲!D70,$B$22:$B$35,1)),MIN($F$22:$F$35))</f>
        <v>0</v>
      </c>
      <c r="AL74" s="2">
        <f>W74/IFERROR(INDEX($E$22:$E$35,MATCH(节奏总纲!E70,$B$22:$B$35,1)),MIN($E$22:$E$35))*IFERROR(INDEX($F$22:$F$35,MATCH(节奏总纲!E70,$B$22:$B$35,1)),MIN($F$22:$F$35))</f>
        <v>10470.657712027756</v>
      </c>
      <c r="AM74" s="2">
        <f>X74/IFERROR(INDEX($E$22:$E$35,MATCH(节奏总纲!F70,$B$22:$B$35,1)),MIN($E$22:$E$35))*IFERROR(INDEX($F$22:$F$35,MATCH(节奏总纲!F70,$B$22:$B$35,1)),MIN($F$22:$F$35))</f>
        <v>25371.451474811154</v>
      </c>
      <c r="AN74" s="2">
        <f>Y74/IFERROR(INDEX($E$22:$E$35,MATCH(节奏总纲!G70,$B$22:$B$35,1)),MIN($E$22:$E$35))*IFERROR(INDEX($F$22:$F$35,MATCH(节奏总纲!G70,$B$22:$B$35,1)),MIN($F$22:$F$35))</f>
        <v>69019.028650723398</v>
      </c>
      <c r="AO74" s="2">
        <f>Z74/IFERROR(INDEX($E$22:$E$35,MATCH(节奏总纲!H70,$B$22:$B$35,1)),MIN($E$22:$E$35))*IFERROR(INDEX($F$22:$F$35,MATCH(节奏总纲!H70,$B$22:$B$35,1)),MIN($F$22:$F$35))</f>
        <v>116316.7176296074</v>
      </c>
      <c r="AQ74" s="2">
        <v>67</v>
      </c>
      <c r="AR74" s="2">
        <f t="shared" si="25"/>
        <v>20443.658176340279</v>
      </c>
      <c r="AS74" s="2">
        <f t="shared" si="26"/>
        <v>37347.843333646655</v>
      </c>
      <c r="AT74" s="2">
        <f t="shared" si="27"/>
        <v>56183.500085909807</v>
      </c>
      <c r="AU74" s="2">
        <f t="shared" si="28"/>
        <v>113578.3557770788</v>
      </c>
      <c r="AV74" s="2">
        <f t="shared" si="29"/>
        <v>165228.19873425574</v>
      </c>
      <c r="AX74" s="41">
        <f t="shared" si="30"/>
        <v>0</v>
      </c>
      <c r="AY74" s="41">
        <f t="shared" si="31"/>
        <v>0.2803550828487798</v>
      </c>
      <c r="AZ74" s="41">
        <f t="shared" si="32"/>
        <v>0.45158189568139828</v>
      </c>
      <c r="BA74" s="41">
        <f t="shared" si="33"/>
        <v>0.60767765282839303</v>
      </c>
      <c r="BB74" s="41">
        <f t="shared" si="34"/>
        <v>0.70397618881438651</v>
      </c>
      <c r="BD74" s="2" t="e">
        <f t="shared" si="35"/>
        <v>#DIV/0!</v>
      </c>
      <c r="BE74" s="2">
        <f t="shared" si="36"/>
        <v>3.5061676745071977</v>
      </c>
      <c r="BF74" s="2">
        <f t="shared" si="37"/>
        <v>3.2937052378493568</v>
      </c>
      <c r="BG74" s="2">
        <f t="shared" si="38"/>
        <v>2.3233865871114396</v>
      </c>
      <c r="BH74" s="2">
        <f t="shared" si="39"/>
        <v>2.3781066326890108</v>
      </c>
    </row>
    <row r="75" spans="11:60" x14ac:dyDescent="0.2">
      <c r="K75" s="2">
        <v>68</v>
      </c>
      <c r="L75" s="2">
        <f>标准城池设计!AB71*$B$10/C$14*$C$5*C$7</f>
        <v>83348654.194977984</v>
      </c>
      <c r="M75" s="2">
        <f>标准城池设计!AC71*$B$10/D$14*$C$5*D$7</f>
        <v>93461578.584448084</v>
      </c>
      <c r="N75" s="2">
        <f>标准城池设计!AD71*$B$10/E$14*$C$5*E$7</f>
        <v>107083504.13055938</v>
      </c>
      <c r="O75" s="2">
        <f>标准城池设计!AE71*$B$10/F$14*$C$5*F$7</f>
        <v>114399351.76471366</v>
      </c>
      <c r="P75" s="2">
        <f>标准城池设计!AF71*$B$10/G$14*$C$5*G$7</f>
        <v>125367494.24392554</v>
      </c>
      <c r="Q75" s="2">
        <f t="shared" si="23"/>
        <v>12536.749424392554</v>
      </c>
      <c r="U75" s="2">
        <v>68</v>
      </c>
      <c r="V75" s="2">
        <f>其他调用!R72*6*其他调用!BM72*$B$10/C$15*$C$5*C$8/3</f>
        <v>0</v>
      </c>
      <c r="W75" s="2">
        <f>其他调用!S72*6*其他调用!BN72*$B$10/D$15*$C$5*D$8/3</f>
        <v>740867.03828625346</v>
      </c>
      <c r="X75" s="2">
        <f>其他调用!T72*6*其他调用!BO72*$B$10/E$15*$C$5*E$8/3</f>
        <v>1794621.020353799</v>
      </c>
      <c r="Y75" s="2">
        <f>其他调用!U72*6*其他调用!BP72*$B$10/F$15*$C$5*F$8/3</f>
        <v>4532414.531823677</v>
      </c>
      <c r="Z75" s="2">
        <f>其他调用!V72*6*其他调用!BQ72*$B$10/G$15*$C$5*G$8/3</f>
        <v>7639166.4875230491</v>
      </c>
      <c r="AA75" s="2">
        <f t="shared" si="24"/>
        <v>763.91664875230492</v>
      </c>
      <c r="AE75" s="2">
        <v>68</v>
      </c>
      <c r="AF75" s="2">
        <f>L75/IFERROR(INDEX($C$22:$C$35,MATCH(节奏总纲!D71,$B$22:$B$35,1)),MIN($C$22:$C$35))*IFERROR(INDEX($D$22:$D$35,MATCH(节奏总纲!D71,$B$22:$B$35,1)),MIN($D$22:$D$35))</f>
        <v>20837.163548744495</v>
      </c>
      <c r="AG75" s="2">
        <f>M75/IFERROR(INDEX($C$22:$C$35,MATCH(节奏总纲!E71,$B$22:$B$35,1)),MIN($C$22:$C$35))*IFERROR(INDEX($D$22:$D$35,MATCH(节奏总纲!E71,$B$22:$B$35,1)),MIN($D$22:$D$35))</f>
        <v>23365.394646112021</v>
      </c>
      <c r="AH75" s="2">
        <f>N75/IFERROR(INDEX($C$22:$C$35,MATCH(节奏总纲!F71,$B$22:$B$35,1)),MIN($C$22:$C$35))*IFERROR(INDEX($D$22:$D$35,MATCH(节奏总纲!F71,$B$22:$B$35,1)),MIN($D$22:$D$35))</f>
        <v>31495.148273693936</v>
      </c>
      <c r="AI75" s="2">
        <f>O75/IFERROR(INDEX($C$22:$C$35,MATCH(节奏总纲!G71,$B$22:$B$35,1)),MIN($C$22:$C$35))*IFERROR(INDEX($D$22:$D$35,MATCH(节奏总纲!G71,$B$22:$B$35,1)),MIN($D$22:$D$35))</f>
        <v>45759.740705885466</v>
      </c>
      <c r="AJ75" s="2">
        <f>P75/IFERROR(INDEX($C$22:$C$35,MATCH(节奏总纲!H71,$B$22:$B$35,1)),MIN($C$22:$C$35))*IFERROR(INDEX($D$22:$D$35,MATCH(节奏总纲!H71,$B$22:$B$35,1)),MIN($D$22:$D$35))</f>
        <v>50146.997697570216</v>
      </c>
      <c r="AK75" s="2">
        <f>V75/IFERROR(INDEX($E$22:$E$35,MATCH(节奏总纲!D71,$B$22:$B$35,1)),MIN($E$22:$E$35))*IFERROR(INDEX($F$22:$F$35,MATCH(节奏总纲!D71,$B$22:$B$35,1)),MIN($F$22:$F$35))</f>
        <v>0</v>
      </c>
      <c r="AL75" s="2">
        <f>W75/IFERROR(INDEX($E$22:$E$35,MATCH(节奏总纲!E71,$B$22:$B$35,1)),MIN($E$22:$E$35))*IFERROR(INDEX($F$22:$F$35,MATCH(节奏总纲!E71,$B$22:$B$35,1)),MIN($F$22:$F$35))</f>
        <v>9878.2271771500455</v>
      </c>
      <c r="AM75" s="2">
        <f>X75/IFERROR(INDEX($E$22:$E$35,MATCH(节奏总纲!F71,$B$22:$B$35,1)),MIN($E$22:$E$35))*IFERROR(INDEX($F$22:$F$35,MATCH(节奏总纲!F71,$B$22:$B$35,1)),MIN($F$22:$F$35))</f>
        <v>25637.443147911414</v>
      </c>
      <c r="AN75" s="2">
        <f>Y75/IFERROR(INDEX($E$22:$E$35,MATCH(节奏总纲!G71,$B$22:$B$35,1)),MIN($E$22:$E$35))*IFERROR(INDEX($F$22:$F$35,MATCH(节奏总纲!G71,$B$22:$B$35,1)),MIN($F$22:$F$35))</f>
        <v>69729.454335748873</v>
      </c>
      <c r="AO75" s="2">
        <f>Z75/IFERROR(INDEX($E$22:$E$35,MATCH(节奏总纲!H71,$B$22:$B$35,1)),MIN($E$22:$E$35))*IFERROR(INDEX($F$22:$F$35,MATCH(节奏总纲!H71,$B$22:$B$35,1)),MIN($F$22:$F$35))</f>
        <v>117525.63826958537</v>
      </c>
      <c r="AQ75" s="2">
        <v>68</v>
      </c>
      <c r="AR75" s="2">
        <f t="shared" si="25"/>
        <v>20837.163548744495</v>
      </c>
      <c r="AS75" s="2">
        <f t="shared" si="26"/>
        <v>33243.621823262067</v>
      </c>
      <c r="AT75" s="2">
        <f t="shared" si="27"/>
        <v>57132.59142160535</v>
      </c>
      <c r="AU75" s="2">
        <f t="shared" si="28"/>
        <v>115489.19504163435</v>
      </c>
      <c r="AV75" s="2">
        <f t="shared" si="29"/>
        <v>167672.63596715557</v>
      </c>
      <c r="AX75" s="41">
        <f t="shared" si="30"/>
        <v>0</v>
      </c>
      <c r="AY75" s="41">
        <f t="shared" si="31"/>
        <v>0.2971465392569772</v>
      </c>
      <c r="AZ75" s="41">
        <f t="shared" si="32"/>
        <v>0.44873587054229641</v>
      </c>
      <c r="BA75" s="41">
        <f t="shared" si="33"/>
        <v>0.60377470213218742</v>
      </c>
      <c r="BB75" s="41">
        <f t="shared" si="34"/>
        <v>0.70092318637256223</v>
      </c>
      <c r="BD75" s="2" t="e">
        <f t="shared" si="35"/>
        <v>#DIV/0!</v>
      </c>
      <c r="BE75" s="2">
        <f t="shared" si="36"/>
        <v>3.8049451310741711</v>
      </c>
      <c r="BF75" s="2">
        <f t="shared" si="37"/>
        <v>3.2560498429943747</v>
      </c>
      <c r="BG75" s="2">
        <f t="shared" si="38"/>
        <v>2.2857249601978347</v>
      </c>
      <c r="BH75" s="2">
        <f t="shared" si="39"/>
        <v>2.3436226228012025</v>
      </c>
    </row>
    <row r="76" spans="11:60" x14ac:dyDescent="0.2">
      <c r="K76" s="2">
        <v>69</v>
      </c>
      <c r="L76" s="2">
        <f>标准城池设计!AB72*$B$10/C$14*$C$5*C$7</f>
        <v>84938907.841051891</v>
      </c>
      <c r="M76" s="2">
        <f>标准城池设计!AC72*$B$10/D$14*$C$5*D$7</f>
        <v>95541819.244801983</v>
      </c>
      <c r="N76" s="2">
        <f>标准城池设计!AD72*$B$10/E$14*$C$5*E$7</f>
        <v>109689034.30872679</v>
      </c>
      <c r="O76" s="2">
        <f>标准城池设计!AE72*$B$10/F$14*$C$5*F$7</f>
        <v>117182737.93045352</v>
      </c>
      <c r="P76" s="2">
        <f>标准城池设计!AF72*$B$10/G$14*$C$5*G$7</f>
        <v>128581718.71547885</v>
      </c>
      <c r="Q76" s="2">
        <f t="shared" si="23"/>
        <v>12858.171871547886</v>
      </c>
      <c r="U76" s="2">
        <v>69</v>
      </c>
      <c r="V76" s="2">
        <f>其他调用!R73*6*其他调用!BM73*$B$10/C$15*$C$5*C$8/3</f>
        <v>0</v>
      </c>
      <c r="W76" s="2">
        <f>其他调用!S73*6*其他调用!BN73*$B$10/D$15*$C$5*D$8/3</f>
        <v>748681.03936680977</v>
      </c>
      <c r="X76" s="2">
        <f>其他调用!T73*6*其他调用!BO73*$B$10/E$15*$C$5*E$8/3</f>
        <v>1813747.664889456</v>
      </c>
      <c r="Y76" s="2">
        <f>其他调用!U73*6*其他调用!BP73*$B$10/F$15*$C$5*F$8/3</f>
        <v>4581408.3222229993</v>
      </c>
      <c r="Z76" s="2">
        <f>其他调用!V73*6*其他调用!BQ73*$B$10/G$15*$C$5*G$8/3</f>
        <v>7716283.5723998966</v>
      </c>
      <c r="AA76" s="2">
        <f t="shared" si="24"/>
        <v>771.62835723998967</v>
      </c>
      <c r="AE76" s="2">
        <v>69</v>
      </c>
      <c r="AF76" s="2">
        <f>L76/IFERROR(INDEX($C$22:$C$35,MATCH(节奏总纲!D72,$B$22:$B$35,1)),MIN($C$22:$C$35))*IFERROR(INDEX($D$22:$D$35,MATCH(节奏总纲!D72,$B$22:$B$35,1)),MIN($D$22:$D$35))</f>
        <v>21234.726960262971</v>
      </c>
      <c r="AG76" s="2">
        <f>M76/IFERROR(INDEX($C$22:$C$35,MATCH(节奏总纲!E72,$B$22:$B$35,1)),MIN($C$22:$C$35))*IFERROR(INDEX($D$22:$D$35,MATCH(节奏总纲!E72,$B$22:$B$35,1)),MIN($D$22:$D$35))</f>
        <v>23885.454811200496</v>
      </c>
      <c r="AH76" s="2">
        <f>N76/IFERROR(INDEX($C$22:$C$35,MATCH(节奏总纲!F72,$B$22:$B$35,1)),MIN($C$22:$C$35))*IFERROR(INDEX($D$22:$D$35,MATCH(节奏总纲!F72,$B$22:$B$35,1)),MIN($D$22:$D$35))</f>
        <v>32261.48067903729</v>
      </c>
      <c r="AI76" s="2">
        <f>O76/IFERROR(INDEX($C$22:$C$35,MATCH(节奏总纲!G72,$B$22:$B$35,1)),MIN($C$22:$C$35))*IFERROR(INDEX($D$22:$D$35,MATCH(节奏总纲!G72,$B$22:$B$35,1)),MIN($D$22:$D$35))</f>
        <v>34465.511156015746</v>
      </c>
      <c r="AJ76" s="2">
        <f>P76/IFERROR(INDEX($C$22:$C$35,MATCH(节奏总纲!H72,$B$22:$B$35,1)),MIN($C$22:$C$35))*IFERROR(INDEX($D$22:$D$35,MATCH(节奏总纲!H72,$B$22:$B$35,1)),MIN($D$22:$D$35))</f>
        <v>51432.687486191542</v>
      </c>
      <c r="AK76" s="2">
        <f>V76/IFERROR(INDEX($E$22:$E$35,MATCH(节奏总纲!D72,$B$22:$B$35,1)),MIN($E$22:$E$35))*IFERROR(INDEX($F$22:$F$35,MATCH(节奏总纲!D72,$B$22:$B$35,1)),MIN($F$22:$F$35))</f>
        <v>0</v>
      </c>
      <c r="AL76" s="2">
        <f>W76/IFERROR(INDEX($E$22:$E$35,MATCH(节奏总纲!E72,$B$22:$B$35,1)),MIN($E$22:$E$35))*IFERROR(INDEX($F$22:$F$35,MATCH(节奏总纲!E72,$B$22:$B$35,1)),MIN($F$22:$F$35))</f>
        <v>9982.4138582241303</v>
      </c>
      <c r="AM76" s="2">
        <f>X76/IFERROR(INDEX($E$22:$E$35,MATCH(节奏总纲!F72,$B$22:$B$35,1)),MIN($E$22:$E$35))*IFERROR(INDEX($F$22:$F$35,MATCH(节奏总纲!F72,$B$22:$B$35,1)),MIN($F$22:$F$35))</f>
        <v>25910.680926992227</v>
      </c>
      <c r="AN76" s="2">
        <f>Y76/IFERROR(INDEX($E$22:$E$35,MATCH(节奏总纲!G72,$B$22:$B$35,1)),MIN($E$22:$E$35))*IFERROR(INDEX($F$22:$F$35,MATCH(节奏总纲!G72,$B$22:$B$35,1)),MIN($F$22:$F$35))</f>
        <v>65448.690317471417</v>
      </c>
      <c r="AO76" s="2">
        <f>Z76/IFERROR(INDEX($E$22:$E$35,MATCH(节奏总纲!H72,$B$22:$B$35,1)),MIN($E$22:$E$35))*IFERROR(INDEX($F$22:$F$35,MATCH(节奏总纲!H72,$B$22:$B$35,1)),MIN($F$22:$F$35))</f>
        <v>118712.05495999841</v>
      </c>
      <c r="AQ76" s="2">
        <v>69</v>
      </c>
      <c r="AR76" s="2">
        <f t="shared" si="25"/>
        <v>21234.726960262971</v>
      </c>
      <c r="AS76" s="2">
        <f t="shared" si="26"/>
        <v>33867.868669424628</v>
      </c>
      <c r="AT76" s="2">
        <f t="shared" si="27"/>
        <v>58172.16160602952</v>
      </c>
      <c r="AU76" s="2">
        <f t="shared" si="28"/>
        <v>99914.201473487163</v>
      </c>
      <c r="AV76" s="2">
        <f t="shared" si="29"/>
        <v>170144.74244618995</v>
      </c>
      <c r="AX76" s="41">
        <f t="shared" si="30"/>
        <v>0</v>
      </c>
      <c r="AY76" s="41">
        <f t="shared" si="31"/>
        <v>0.29474585353037269</v>
      </c>
      <c r="AZ76" s="41">
        <f t="shared" si="32"/>
        <v>0.44541375482094164</v>
      </c>
      <c r="BA76" s="41">
        <f t="shared" si="33"/>
        <v>0.65504892550073202</v>
      </c>
      <c r="BB76" s="41">
        <f t="shared" si="34"/>
        <v>0.69771215527004804</v>
      </c>
      <c r="BD76" s="2" t="e">
        <f t="shared" si="35"/>
        <v>#DIV/0!</v>
      </c>
      <c r="BE76" s="2">
        <f t="shared" si="36"/>
        <v>3.761357086735821</v>
      </c>
      <c r="BF76" s="2">
        <f t="shared" si="37"/>
        <v>3.2125842189045404</v>
      </c>
      <c r="BG76" s="2">
        <f t="shared" si="38"/>
        <v>2.8484427528669225</v>
      </c>
      <c r="BH76" s="2">
        <f t="shared" si="39"/>
        <v>2.3081052296143341</v>
      </c>
    </row>
    <row r="77" spans="11:60" x14ac:dyDescent="0.2">
      <c r="K77" s="2">
        <v>70</v>
      </c>
      <c r="L77" s="2">
        <f>标准城池设计!AB73*$B$10/C$14*$C$5*C$7</f>
        <v>86472685.394816458</v>
      </c>
      <c r="M77" s="2">
        <f>标准城池设计!AC73*$B$10/D$14*$C$5*D$7</f>
        <v>97456993.239213228</v>
      </c>
      <c r="N77" s="2">
        <f>标准城池设计!AD73*$B$10/E$14*$C$5*E$7</f>
        <v>111658701.43462652</v>
      </c>
      <c r="O77" s="2">
        <f>标准城池设计!AE73*$B$10/F$14*$C$5*F$7</f>
        <v>119600472.76094194</v>
      </c>
      <c r="P77" s="2">
        <f>标准城池设计!AF73*$B$10/G$14*$C$5*G$7</f>
        <v>132010553.19224048</v>
      </c>
      <c r="Q77" s="2">
        <f t="shared" si="23"/>
        <v>13201.055319224048</v>
      </c>
      <c r="U77" s="2">
        <v>70</v>
      </c>
      <c r="V77" s="2">
        <f>其他调用!R74*6*其他调用!BM74*$B$10/C$15*$C$5*C$8/3</f>
        <v>0</v>
      </c>
      <c r="W77" s="2">
        <f>其他调用!S74*6*其他调用!BN74*$B$10/D$15*$C$5*D$8/3</f>
        <v>756806.46675281215</v>
      </c>
      <c r="X77" s="2">
        <f>其他调用!T74*6*其他调用!BO74*$B$10/E$15*$C$5*E$8/3</f>
        <v>1833408.2704967863</v>
      </c>
      <c r="Y77" s="2">
        <f>其他调用!U74*6*其他调用!BP74*$B$10/F$15*$C$5*F$8/3</f>
        <v>4628282.4583531767</v>
      </c>
      <c r="Z77" s="2">
        <f>其他调用!V74*6*其他调用!BQ74*$B$10/G$15*$C$5*G$8/3</f>
        <v>7797639.8564837975</v>
      </c>
      <c r="AA77" s="2">
        <f t="shared" si="24"/>
        <v>779.76398564837973</v>
      </c>
      <c r="AE77" s="2">
        <v>70</v>
      </c>
      <c r="AF77" s="2">
        <f>L77/IFERROR(INDEX($C$22:$C$35,MATCH(节奏总纲!D73,$B$22:$B$35,1)),MIN($C$22:$C$35))*IFERROR(INDEX($D$22:$D$35,MATCH(节奏总纲!D73,$B$22:$B$35,1)),MIN($D$22:$D$35))</f>
        <v>21618.171348704116</v>
      </c>
      <c r="AG77" s="2">
        <f>M77/IFERROR(INDEX($C$22:$C$35,MATCH(节奏总纲!E73,$B$22:$B$35,1)),MIN($C$22:$C$35))*IFERROR(INDEX($D$22:$D$35,MATCH(节奏总纲!E73,$B$22:$B$35,1)),MIN($D$22:$D$35))</f>
        <v>24364.248309803308</v>
      </c>
      <c r="AH77" s="2">
        <f>N77/IFERROR(INDEX($C$22:$C$35,MATCH(节奏总纲!F73,$B$22:$B$35,1)),MIN($C$22:$C$35))*IFERROR(INDEX($D$22:$D$35,MATCH(节奏总纲!F73,$B$22:$B$35,1)),MIN($D$22:$D$35))</f>
        <v>27914.67535865663</v>
      </c>
      <c r="AI77" s="2">
        <f>O77/IFERROR(INDEX($C$22:$C$35,MATCH(节奏总纲!G73,$B$22:$B$35,1)),MIN($C$22:$C$35))*IFERROR(INDEX($D$22:$D$35,MATCH(节奏总纲!G73,$B$22:$B$35,1)),MIN($D$22:$D$35))</f>
        <v>35176.609635571156</v>
      </c>
      <c r="AJ77" s="2">
        <f>P77/IFERROR(INDEX($C$22:$C$35,MATCH(节奏总纲!H73,$B$22:$B$35,1)),MIN($C$22:$C$35))*IFERROR(INDEX($D$22:$D$35,MATCH(节奏总纲!H73,$B$22:$B$35,1)),MIN($D$22:$D$35))</f>
        <v>52804.221276896191</v>
      </c>
      <c r="AK77" s="2">
        <f>V77/IFERROR(INDEX($E$22:$E$35,MATCH(节奏总纲!D73,$B$22:$B$35,1)),MIN($E$22:$E$35))*IFERROR(INDEX($F$22:$F$35,MATCH(节奏总纲!D73,$B$22:$B$35,1)),MIN($F$22:$F$35))</f>
        <v>0</v>
      </c>
      <c r="AL77" s="2">
        <f>W77/IFERROR(INDEX($E$22:$E$35,MATCH(节奏总纲!E73,$B$22:$B$35,1)),MIN($E$22:$E$35))*IFERROR(INDEX($F$22:$F$35,MATCH(节奏总纲!E73,$B$22:$B$35,1)),MIN($F$22:$F$35))</f>
        <v>10090.752890037495</v>
      </c>
      <c r="AM77" s="2">
        <f>X77/IFERROR(INDEX($E$22:$E$35,MATCH(节奏总纲!F73,$B$22:$B$35,1)),MIN($E$22:$E$35))*IFERROR(INDEX($F$22:$F$35,MATCH(节奏总纲!F73,$B$22:$B$35,1)),MIN($F$22:$F$35))</f>
        <v>24445.44360662382</v>
      </c>
      <c r="AN77" s="2">
        <f>Y77/IFERROR(INDEX($E$22:$E$35,MATCH(节奏总纲!G73,$B$22:$B$35,1)),MIN($E$22:$E$35))*IFERROR(INDEX($F$22:$F$35,MATCH(节奏总纲!G73,$B$22:$B$35,1)),MIN($F$22:$F$35))</f>
        <v>66118.320833616817</v>
      </c>
      <c r="AO77" s="2">
        <f>Z77/IFERROR(INDEX($E$22:$E$35,MATCH(节奏总纲!H73,$B$22:$B$35,1)),MIN($E$22:$E$35))*IFERROR(INDEX($F$22:$F$35,MATCH(节奏总纲!H73,$B$22:$B$35,1)),MIN($F$22:$F$35))</f>
        <v>119963.69009975073</v>
      </c>
      <c r="AQ77" s="2">
        <v>70</v>
      </c>
      <c r="AR77" s="2">
        <f t="shared" si="25"/>
        <v>21618.171348704116</v>
      </c>
      <c r="AS77" s="2">
        <f t="shared" si="26"/>
        <v>34455.001199840801</v>
      </c>
      <c r="AT77" s="2">
        <f t="shared" si="27"/>
        <v>52360.118965280446</v>
      </c>
      <c r="AU77" s="2">
        <f t="shared" si="28"/>
        <v>101294.93046918797</v>
      </c>
      <c r="AV77" s="2">
        <f t="shared" si="29"/>
        <v>172767.91137664692</v>
      </c>
      <c r="AX77" s="41">
        <f t="shared" si="30"/>
        <v>0</v>
      </c>
      <c r="AY77" s="41">
        <f t="shared" si="31"/>
        <v>0.29286758202417706</v>
      </c>
      <c r="AZ77" s="41">
        <f t="shared" si="32"/>
        <v>0.46687142981537888</v>
      </c>
      <c r="BA77" s="41">
        <f t="shared" si="33"/>
        <v>0.65273079834660408</v>
      </c>
      <c r="BB77" s="41">
        <f t="shared" si="34"/>
        <v>0.69436325961145029</v>
      </c>
      <c r="BD77" s="2" t="e">
        <f t="shared" si="35"/>
        <v>#DIV/0!</v>
      </c>
      <c r="BE77" s="2">
        <f t="shared" si="36"/>
        <v>3.7274606158810175</v>
      </c>
      <c r="BF77" s="2">
        <f t="shared" si="37"/>
        <v>3.5028805877254148</v>
      </c>
      <c r="BG77" s="2">
        <f t="shared" si="38"/>
        <v>2.8194155797816096</v>
      </c>
      <c r="BH77" s="2">
        <f t="shared" si="39"/>
        <v>2.2718579537549077</v>
      </c>
    </row>
    <row r="78" spans="11:60" x14ac:dyDescent="0.2">
      <c r="K78" s="2">
        <v>71</v>
      </c>
      <c r="L78" s="2">
        <f>标准城池设计!AB74*$B$10/C$14*$C$5*C$7</f>
        <v>88115327.795234442</v>
      </c>
      <c r="M78" s="2">
        <f>标准城池设计!AC74*$B$10/D$14*$C$5*D$7</f>
        <v>99472362.717006668</v>
      </c>
      <c r="N78" s="2">
        <f>标准城池设计!AD74*$B$10/E$14*$C$5*E$7</f>
        <v>113632858.0827155</v>
      </c>
      <c r="O78" s="2">
        <f>标准城池设计!AE74*$B$10/F$14*$C$5*F$7</f>
        <v>121955908.54178408</v>
      </c>
      <c r="P78" s="2">
        <f>标准城池设计!AF74*$B$10/G$14*$C$5*G$7</f>
        <v>135510491.7038047</v>
      </c>
      <c r="Q78" s="2">
        <f t="shared" si="23"/>
        <v>13551.049170380471</v>
      </c>
      <c r="U78" s="2">
        <v>71</v>
      </c>
      <c r="V78" s="2">
        <f>其他调用!R75*6*其他调用!BM75*$B$10/C$15*$C$5*C$8/3</f>
        <v>0</v>
      </c>
      <c r="W78" s="2">
        <f>其他调用!S75*6*其他调用!BN75*$B$10/D$15*$C$5*D$8/3</f>
        <v>764845.50731752254</v>
      </c>
      <c r="X78" s="2">
        <f>其他调用!T75*6*其他调用!BO75*$B$10/E$15*$C$5*E$8/3</f>
        <v>1852622.8813959395</v>
      </c>
      <c r="Y78" s="2">
        <f>其他调用!U75*6*其他调用!BP75*$B$10/F$15*$C$5*F$8/3</f>
        <v>4676621.5979752252</v>
      </c>
      <c r="Z78" s="2">
        <f>其他调用!V75*6*其他调用!BQ75*$B$10/G$15*$C$5*G$8/3</f>
        <v>7876348.3944539474</v>
      </c>
      <c r="AA78" s="2">
        <f t="shared" si="24"/>
        <v>787.63483944539473</v>
      </c>
      <c r="AE78" s="2">
        <v>71</v>
      </c>
      <c r="AF78" s="2">
        <f>L78/IFERROR(INDEX($C$22:$C$35,MATCH(节奏总纲!D74,$B$22:$B$35,1)),MIN($C$22:$C$35))*IFERROR(INDEX($D$22:$D$35,MATCH(节奏总纲!D74,$B$22:$B$35,1)),MIN($D$22:$D$35))</f>
        <v>22028.831948808609</v>
      </c>
      <c r="AG78" s="2">
        <f>M78/IFERROR(INDEX($C$22:$C$35,MATCH(节奏总纲!E74,$B$22:$B$35,1)),MIN($C$22:$C$35))*IFERROR(INDEX($D$22:$D$35,MATCH(节奏总纲!E74,$B$22:$B$35,1)),MIN($D$22:$D$35))</f>
        <v>24868.090679251669</v>
      </c>
      <c r="AH78" s="2">
        <f>N78/IFERROR(INDEX($C$22:$C$35,MATCH(节奏总纲!F74,$B$22:$B$35,1)),MIN($C$22:$C$35))*IFERROR(INDEX($D$22:$D$35,MATCH(节奏总纲!F74,$B$22:$B$35,1)),MIN($D$22:$D$35))</f>
        <v>28408.214520678874</v>
      </c>
      <c r="AI78" s="2">
        <f>O78/IFERROR(INDEX($C$22:$C$35,MATCH(节奏总纲!G74,$B$22:$B$35,1)),MIN($C$22:$C$35))*IFERROR(INDEX($D$22:$D$35,MATCH(节奏总纲!G74,$B$22:$B$35,1)),MIN($D$22:$D$35))</f>
        <v>35869.384865230611</v>
      </c>
      <c r="AJ78" s="2">
        <f>P78/IFERROR(INDEX($C$22:$C$35,MATCH(节奏总纲!H74,$B$22:$B$35,1)),MIN($C$22:$C$35))*IFERROR(INDEX($D$22:$D$35,MATCH(节奏总纲!H74,$B$22:$B$35,1)),MIN($D$22:$D$35))</f>
        <v>54204.196681521884</v>
      </c>
      <c r="AK78" s="2">
        <f>V78/IFERROR(INDEX($E$22:$E$35,MATCH(节奏总纲!D74,$B$22:$B$35,1)),MIN($E$22:$E$35))*IFERROR(INDEX($F$22:$F$35,MATCH(节奏总纲!D74,$B$22:$B$35,1)),MIN($F$22:$F$35))</f>
        <v>0</v>
      </c>
      <c r="AL78" s="2">
        <f>W78/IFERROR(INDEX($E$22:$E$35,MATCH(节奏总纲!E74,$B$22:$B$35,1)),MIN($E$22:$E$35))*IFERROR(INDEX($F$22:$F$35,MATCH(节奏总纲!E74,$B$22:$B$35,1)),MIN($F$22:$F$35))</f>
        <v>10197.940097566967</v>
      </c>
      <c r="AM78" s="2">
        <f>X78/IFERROR(INDEX($E$22:$E$35,MATCH(节奏总纲!F74,$B$22:$B$35,1)),MIN($E$22:$E$35))*IFERROR(INDEX($F$22:$F$35,MATCH(节奏总纲!F74,$B$22:$B$35,1)),MIN($F$22:$F$35))</f>
        <v>24701.638418612525</v>
      </c>
      <c r="AN78" s="2">
        <f>Y78/IFERROR(INDEX($E$22:$E$35,MATCH(节奏总纲!G74,$B$22:$B$35,1)),MIN($E$22:$E$35))*IFERROR(INDEX($F$22:$F$35,MATCH(节奏总纲!G74,$B$22:$B$35,1)),MIN($F$22:$F$35))</f>
        <v>66808.879971074639</v>
      </c>
      <c r="AO78" s="2">
        <f>Z78/IFERROR(INDEX($E$22:$E$35,MATCH(节奏总纲!H74,$B$22:$B$35,1)),MIN($E$22:$E$35))*IFERROR(INDEX($F$22:$F$35,MATCH(节奏总纲!H74,$B$22:$B$35,1)),MIN($F$22:$F$35))</f>
        <v>121174.59068390688</v>
      </c>
      <c r="AQ78" s="2">
        <v>71</v>
      </c>
      <c r="AR78" s="2">
        <f t="shared" si="25"/>
        <v>22028.831948808609</v>
      </c>
      <c r="AS78" s="2">
        <f t="shared" si="26"/>
        <v>35066.030776818632</v>
      </c>
      <c r="AT78" s="2">
        <f t="shared" si="27"/>
        <v>53109.852939291399</v>
      </c>
      <c r="AU78" s="2">
        <f t="shared" si="28"/>
        <v>102678.26483630526</v>
      </c>
      <c r="AV78" s="2">
        <f t="shared" si="29"/>
        <v>175378.78736542875</v>
      </c>
      <c r="AX78" s="41">
        <f t="shared" si="30"/>
        <v>0</v>
      </c>
      <c r="AY78" s="41">
        <f t="shared" si="31"/>
        <v>0.2908210559236889</v>
      </c>
      <c r="AZ78" s="41">
        <f t="shared" si="32"/>
        <v>0.46510462845469325</v>
      </c>
      <c r="BA78" s="41">
        <f t="shared" si="33"/>
        <v>0.6506623390800832</v>
      </c>
      <c r="BB78" s="41">
        <f t="shared" si="34"/>
        <v>0.69093071348144819</v>
      </c>
      <c r="BD78" s="2" t="e">
        <f t="shared" si="35"/>
        <v>#DIV/0!</v>
      </c>
      <c r="BE78" s="2">
        <f t="shared" si="36"/>
        <v>3.6907321137717766</v>
      </c>
      <c r="BF78" s="2">
        <f t="shared" si="37"/>
        <v>3.4780979847405398</v>
      </c>
      <c r="BG78" s="2">
        <f t="shared" si="38"/>
        <v>2.793839937125659</v>
      </c>
      <c r="BH78" s="2">
        <f t="shared" si="39"/>
        <v>2.2355204597140554</v>
      </c>
    </row>
    <row r="79" spans="11:60" x14ac:dyDescent="0.2">
      <c r="K79" s="2">
        <v>72</v>
      </c>
      <c r="L79" s="2">
        <f>标准城池设计!AB75*$B$10/C$14*$C$5*C$7</f>
        <v>89882631.627070397</v>
      </c>
      <c r="M79" s="2">
        <f>标准城池设计!AC75*$B$10/D$14*$C$5*D$7</f>
        <v>101507994.41155174</v>
      </c>
      <c r="N79" s="2">
        <f>标准城池设计!AD75*$B$10/E$14*$C$5*E$7</f>
        <v>115623325.83245993</v>
      </c>
      <c r="O79" s="2">
        <f>标准城池设计!AE75*$B$10/F$14*$C$5*F$7</f>
        <v>124172767.80513544</v>
      </c>
      <c r="P79" s="2">
        <f>标准城池设计!AF75*$B$10/G$14*$C$5*G$7</f>
        <v>139540247.25618652</v>
      </c>
      <c r="Q79" s="2">
        <f t="shared" si="23"/>
        <v>13954.024725618652</v>
      </c>
      <c r="U79" s="2">
        <v>72</v>
      </c>
      <c r="V79" s="2">
        <f>其他调用!R76*6*其他调用!BM76*$B$10/C$15*$C$5*C$8/3</f>
        <v>0</v>
      </c>
      <c r="W79" s="2">
        <f>其他调用!S76*6*其他调用!BN76*$B$10/D$15*$C$5*D$8/3</f>
        <v>773000.73376265366</v>
      </c>
      <c r="X79" s="2">
        <f>其他调用!T76*6*其他调用!BO76*$B$10/E$15*$C$5*E$8/3</f>
        <v>1871386.8267261267</v>
      </c>
      <c r="Y79" s="2">
        <f>其他调用!U76*6*其他调用!BP76*$B$10/F$15*$C$5*F$8/3</f>
        <v>4723550.0197055899</v>
      </c>
      <c r="Z79" s="2">
        <f>其他调用!V76*6*其他调用!BQ76*$B$10/G$15*$C$5*G$8/3</f>
        <v>7957769.5420983369</v>
      </c>
      <c r="AA79" s="2">
        <f t="shared" si="24"/>
        <v>795.77695420983366</v>
      </c>
      <c r="AE79" s="2">
        <v>72</v>
      </c>
      <c r="AF79" s="2">
        <f>L79/IFERROR(INDEX($C$22:$C$35,MATCH(节奏总纲!D75,$B$22:$B$35,1)),MIN($C$22:$C$35))*IFERROR(INDEX($D$22:$D$35,MATCH(节奏总纲!D75,$B$22:$B$35,1)),MIN($D$22:$D$35))</f>
        <v>22470.657906767599</v>
      </c>
      <c r="AG79" s="2">
        <f>M79/IFERROR(INDEX($C$22:$C$35,MATCH(节奏总纲!E75,$B$22:$B$35,1)),MIN($C$22:$C$35))*IFERROR(INDEX($D$22:$D$35,MATCH(节奏总纲!E75,$B$22:$B$35,1)),MIN($D$22:$D$35))</f>
        <v>25376.998602887936</v>
      </c>
      <c r="AH79" s="2">
        <f>N79/IFERROR(INDEX($C$22:$C$35,MATCH(节奏总纲!F75,$B$22:$B$35,1)),MIN($C$22:$C$35))*IFERROR(INDEX($D$22:$D$35,MATCH(节奏总纲!F75,$B$22:$B$35,1)),MIN($D$22:$D$35))</f>
        <v>28905.831458114983</v>
      </c>
      <c r="AI79" s="2">
        <f>O79/IFERROR(INDEX($C$22:$C$35,MATCH(节奏总纲!G75,$B$22:$B$35,1)),MIN($C$22:$C$35))*IFERROR(INDEX($D$22:$D$35,MATCH(节奏总纲!G75,$B$22:$B$35,1)),MIN($D$22:$D$35))</f>
        <v>36521.402295628075</v>
      </c>
      <c r="AJ79" s="2">
        <f>P79/IFERROR(INDEX($C$22:$C$35,MATCH(节奏总纲!H75,$B$22:$B$35,1)),MIN($C$22:$C$35))*IFERROR(INDEX($D$22:$D$35,MATCH(节奏总纲!H75,$B$22:$B$35,1)),MIN($D$22:$D$35))</f>
        <v>55816.098902474609</v>
      </c>
      <c r="AK79" s="2">
        <f>V79/IFERROR(INDEX($E$22:$E$35,MATCH(节奏总纲!D75,$B$22:$B$35,1)),MIN($E$22:$E$35))*IFERROR(INDEX($F$22:$F$35,MATCH(节奏总纲!D75,$B$22:$B$35,1)),MIN($F$22:$F$35))</f>
        <v>0</v>
      </c>
      <c r="AL79" s="2">
        <f>W79/IFERROR(INDEX($E$22:$E$35,MATCH(节奏总纲!E75,$B$22:$B$35,1)),MIN($E$22:$E$35))*IFERROR(INDEX($F$22:$F$35,MATCH(节奏总纲!E75,$B$22:$B$35,1)),MIN($F$22:$F$35))</f>
        <v>10306.676450168716</v>
      </c>
      <c r="AM79" s="2">
        <f>X79/IFERROR(INDEX($E$22:$E$35,MATCH(节奏总纲!F75,$B$22:$B$35,1)),MIN($E$22:$E$35))*IFERROR(INDEX($F$22:$F$35,MATCH(节奏总纲!F75,$B$22:$B$35,1)),MIN($F$22:$F$35))</f>
        <v>24951.824356348356</v>
      </c>
      <c r="AN79" s="2">
        <f>Y79/IFERROR(INDEX($E$22:$E$35,MATCH(节奏总纲!G75,$B$22:$B$35,1)),MIN($E$22:$E$35))*IFERROR(INDEX($F$22:$F$35,MATCH(节奏总纲!G75,$B$22:$B$35,1)),MIN($F$22:$F$35))</f>
        <v>67479.28599579414</v>
      </c>
      <c r="AO79" s="2">
        <f>Z79/IFERROR(INDEX($E$22:$E$35,MATCH(节奏总纲!H75,$B$22:$B$35,1)),MIN($E$22:$E$35))*IFERROR(INDEX($F$22:$F$35,MATCH(节奏总纲!H75,$B$22:$B$35,1)),MIN($F$22:$F$35))</f>
        <v>122427.2237245898</v>
      </c>
      <c r="AQ79" s="2">
        <v>72</v>
      </c>
      <c r="AR79" s="2">
        <f t="shared" si="25"/>
        <v>22470.657906767599</v>
      </c>
      <c r="AS79" s="2">
        <f t="shared" si="26"/>
        <v>35683.67505305665</v>
      </c>
      <c r="AT79" s="2">
        <f t="shared" si="27"/>
        <v>53857.655814463338</v>
      </c>
      <c r="AU79" s="2">
        <f t="shared" si="28"/>
        <v>104000.68829142221</v>
      </c>
      <c r="AV79" s="2">
        <f t="shared" si="29"/>
        <v>178243.32262706442</v>
      </c>
      <c r="AX79" s="41">
        <f t="shared" si="30"/>
        <v>0</v>
      </c>
      <c r="AY79" s="41">
        <f t="shared" si="31"/>
        <v>0.288834500225779</v>
      </c>
      <c r="AZ79" s="41">
        <f t="shared" si="32"/>
        <v>0.46329206087814179</v>
      </c>
      <c r="BA79" s="41">
        <f t="shared" si="33"/>
        <v>0.64883499430993397</v>
      </c>
      <c r="BB79" s="41">
        <f t="shared" si="34"/>
        <v>0.68685447465957683</v>
      </c>
      <c r="BD79" s="2" t="e">
        <f t="shared" si="35"/>
        <v>#DIV/0!</v>
      </c>
      <c r="BE79" s="2">
        <f t="shared" si="36"/>
        <v>3.6552820726782973</v>
      </c>
      <c r="BF79" s="2">
        <f t="shared" si="37"/>
        <v>3.4528429867176058</v>
      </c>
      <c r="BG79" s="2">
        <f t="shared" si="38"/>
        <v>2.7714962359429438</v>
      </c>
      <c r="BH79" s="2">
        <f t="shared" si="39"/>
        <v>2.1934034468890835</v>
      </c>
    </row>
    <row r="80" spans="11:60" x14ac:dyDescent="0.2">
      <c r="K80" s="2">
        <v>73</v>
      </c>
      <c r="L80" s="2">
        <f>标准城池设计!AB76*$B$10/C$14*$C$5*C$7</f>
        <v>92001172.637535498</v>
      </c>
      <c r="M80" s="2">
        <f>标准城池设计!AC76*$B$10/D$14*$C$5*D$7</f>
        <v>103683339.339257</v>
      </c>
      <c r="N80" s="2">
        <f>标准城池设计!AD76*$B$10/E$14*$C$5*E$7</f>
        <v>117768465.58095656</v>
      </c>
      <c r="O80" s="2">
        <f>标准城池设计!AE76*$B$10/F$14*$C$5*F$7</f>
        <v>128442499.42283919</v>
      </c>
      <c r="P80" s="2">
        <f>标准城池设计!AF76*$B$10/G$14*$C$5*G$7</f>
        <v>145172529.72005704</v>
      </c>
      <c r="Q80" s="2">
        <f t="shared" si="23"/>
        <v>14517.252972005705</v>
      </c>
      <c r="U80" s="2">
        <v>73</v>
      </c>
      <c r="V80" s="2">
        <f>其他调用!R77*6*其他调用!BM77*$B$10/C$15*$C$5*C$8/3</f>
        <v>0</v>
      </c>
      <c r="W80" s="2">
        <f>其他调用!S77*6*其他调用!BN77*$B$10/D$15*$C$5*D$8/3</f>
        <v>780731.26048276853</v>
      </c>
      <c r="X80" s="2">
        <f>其他调用!T77*6*其他调用!BO77*$B$10/E$15*$C$5*E$8/3</f>
        <v>1890516.3666106304</v>
      </c>
      <c r="Y80" s="2">
        <f>其他调用!U77*6*其他调用!BP77*$B$10/F$15*$C$5*F$8/3</f>
        <v>4771492.9359856946</v>
      </c>
      <c r="Z80" s="2">
        <f>其他调用!V77*6*其他调用!BQ77*$B$10/G$15*$C$5*G$8/3</f>
        <v>8035346.0243546078</v>
      </c>
      <c r="AA80" s="2">
        <f t="shared" si="24"/>
        <v>803.53460243546078</v>
      </c>
      <c r="AE80" s="2">
        <v>73</v>
      </c>
      <c r="AF80" s="2">
        <f>L80/IFERROR(INDEX($C$22:$C$35,MATCH(节奏总纲!D76,$B$22:$B$35,1)),MIN($C$22:$C$35))*IFERROR(INDEX($D$22:$D$35,MATCH(节奏总纲!D76,$B$22:$B$35,1)),MIN($D$22:$D$35))</f>
        <v>19166.910966153227</v>
      </c>
      <c r="AG80" s="2">
        <f>M80/IFERROR(INDEX($C$22:$C$35,MATCH(节奏总纲!E76,$B$22:$B$35,1)),MIN($C$22:$C$35))*IFERROR(INDEX($D$22:$D$35,MATCH(节奏总纲!E76,$B$22:$B$35,1)),MIN($D$22:$D$35))</f>
        <v>25920.83483481425</v>
      </c>
      <c r="AH80" s="2">
        <f>N80/IFERROR(INDEX($C$22:$C$35,MATCH(节奏总纲!F76,$B$22:$B$35,1)),MIN($C$22:$C$35))*IFERROR(INDEX($D$22:$D$35,MATCH(节奏总纲!F76,$B$22:$B$35,1)),MIN($D$22:$D$35))</f>
        <v>29442.11639523914</v>
      </c>
      <c r="AI80" s="2">
        <f>O80/IFERROR(INDEX($C$22:$C$35,MATCH(节奏总纲!G76,$B$22:$B$35,1)),MIN($C$22:$C$35))*IFERROR(INDEX($D$22:$D$35,MATCH(节奏总纲!G76,$B$22:$B$35,1)),MIN($D$22:$D$35))</f>
        <v>37777.20571259976</v>
      </c>
      <c r="AJ80" s="2">
        <f>P80/IFERROR(INDEX($C$22:$C$35,MATCH(节奏总纲!H76,$B$22:$B$35,1)),MIN($C$22:$C$35))*IFERROR(INDEX($D$22:$D$35,MATCH(节奏总纲!H76,$B$22:$B$35,1)),MIN($D$22:$D$35))</f>
        <v>58069.011888022818</v>
      </c>
      <c r="AK80" s="2">
        <f>V80/IFERROR(INDEX($E$22:$E$35,MATCH(节奏总纲!D76,$B$22:$B$35,1)),MIN($E$22:$E$35))*IFERROR(INDEX($F$22:$F$35,MATCH(节奏总纲!D76,$B$22:$B$35,1)),MIN($F$22:$F$35))</f>
        <v>0</v>
      </c>
      <c r="AL80" s="2">
        <f>W80/IFERROR(INDEX($E$22:$E$35,MATCH(节奏总纲!E76,$B$22:$B$35,1)),MIN($E$22:$E$35))*IFERROR(INDEX($F$22:$F$35,MATCH(节奏总纲!E76,$B$22:$B$35,1)),MIN($F$22:$F$35))</f>
        <v>10409.750139770247</v>
      </c>
      <c r="AM80" s="2">
        <f>X80/IFERROR(INDEX($E$22:$E$35,MATCH(节奏总纲!F76,$B$22:$B$35,1)),MIN($E$22:$E$35))*IFERROR(INDEX($F$22:$F$35,MATCH(节奏总纲!F76,$B$22:$B$35,1)),MIN($F$22:$F$35))</f>
        <v>25206.88488814174</v>
      </c>
      <c r="AN80" s="2">
        <f>Y80/IFERROR(INDEX($E$22:$E$35,MATCH(节奏总纲!G76,$B$22:$B$35,1)),MIN($E$22:$E$35))*IFERROR(INDEX($F$22:$F$35,MATCH(节奏总纲!G76,$B$22:$B$35,1)),MIN($F$22:$F$35))</f>
        <v>68164.184799795636</v>
      </c>
      <c r="AO80" s="2">
        <f>Z80/IFERROR(INDEX($E$22:$E$35,MATCH(节奏总纲!H76,$B$22:$B$35,1)),MIN($E$22:$E$35))*IFERROR(INDEX($F$22:$F$35,MATCH(节奏总纲!H76,$B$22:$B$35,1)),MIN($F$22:$F$35))</f>
        <v>123620.70806699396</v>
      </c>
      <c r="AQ80" s="2">
        <v>73</v>
      </c>
      <c r="AR80" s="2">
        <f t="shared" si="25"/>
        <v>19166.910966153227</v>
      </c>
      <c r="AS80" s="2">
        <f t="shared" si="26"/>
        <v>36330.584974584497</v>
      </c>
      <c r="AT80" s="2">
        <f t="shared" si="27"/>
        <v>54649.00128338088</v>
      </c>
      <c r="AU80" s="2">
        <f t="shared" si="28"/>
        <v>105941.39051239539</v>
      </c>
      <c r="AV80" s="2">
        <f t="shared" si="29"/>
        <v>181689.71995501677</v>
      </c>
      <c r="AX80" s="41">
        <f t="shared" si="30"/>
        <v>0</v>
      </c>
      <c r="AY80" s="41">
        <f t="shared" si="31"/>
        <v>0.28652855843231023</v>
      </c>
      <c r="AZ80" s="41">
        <f t="shared" si="32"/>
        <v>0.46125060469874168</v>
      </c>
      <c r="BA80" s="41">
        <f t="shared" si="33"/>
        <v>0.64341410349735095</v>
      </c>
      <c r="BB80" s="41">
        <f t="shared" si="34"/>
        <v>0.6803946205520065</v>
      </c>
      <c r="BD80" s="2" t="e">
        <f t="shared" si="35"/>
        <v>#DIV/0!</v>
      </c>
      <c r="BE80" s="2">
        <f t="shared" si="36"/>
        <v>3.614380163871123</v>
      </c>
      <c r="BF80" s="2">
        <f t="shared" si="37"/>
        <v>3.4246023009701521</v>
      </c>
      <c r="BG80" s="2">
        <f t="shared" si="38"/>
        <v>2.7065600875183695</v>
      </c>
      <c r="BH80" s="2">
        <f t="shared" si="39"/>
        <v>2.1288584745574375</v>
      </c>
    </row>
    <row r="81" spans="11:60" x14ac:dyDescent="0.2">
      <c r="K81" s="2">
        <v>74</v>
      </c>
      <c r="L81" s="2">
        <f>标准城池设计!AB77*$B$10/C$14*$C$5*C$7</f>
        <v>94357456.173193842</v>
      </c>
      <c r="M81" s="2">
        <f>标准城池设计!AC77*$B$10/D$14*$C$5*D$7</f>
        <v>105894948.19127451</v>
      </c>
      <c r="N81" s="2">
        <f>标准城池设计!AD77*$B$10/E$14*$C$5*E$7</f>
        <v>119974186.02700439</v>
      </c>
      <c r="O81" s="2">
        <f>标准城池设计!AE77*$B$10/F$14*$C$5*F$7</f>
        <v>132804490.9127361</v>
      </c>
      <c r="P81" s="2">
        <f>标准城池设计!AF77*$B$10/G$14*$C$5*G$7</f>
        <v>150689932.06660223</v>
      </c>
      <c r="Q81" s="2">
        <f t="shared" si="23"/>
        <v>15068.993206660223</v>
      </c>
      <c r="U81" s="2">
        <v>74</v>
      </c>
      <c r="V81" s="2">
        <f>其他调用!R78*6*其他调用!BM78*$B$10/C$15*$C$5*C$8/3</f>
        <v>0</v>
      </c>
      <c r="W81" s="2">
        <f>其他调用!S78*6*其他调用!BN78*$B$10/D$15*$C$5*D$8/3</f>
        <v>788928.97776610032</v>
      </c>
      <c r="X81" s="2">
        <f>其他调用!T78*6*其他调用!BO78*$B$10/E$15*$C$5*E$8/3</f>
        <v>1909809.0295660764</v>
      </c>
      <c r="Y81" s="2">
        <f>其他调用!U78*6*其他调用!BP78*$B$10/F$15*$C$5*F$8/3</f>
        <v>4820048.2798403474</v>
      </c>
      <c r="Z81" s="2">
        <f>其他调用!V78*6*其他调用!BQ78*$B$10/G$15*$C$5*G$8/3</f>
        <v>8118517.2100318233</v>
      </c>
      <c r="AA81" s="2">
        <f t="shared" si="24"/>
        <v>811.85172100318232</v>
      </c>
      <c r="AE81" s="2">
        <v>74</v>
      </c>
      <c r="AF81" s="2">
        <f>L81/IFERROR(INDEX($C$22:$C$35,MATCH(节奏总纲!D77,$B$22:$B$35,1)),MIN($C$22:$C$35))*IFERROR(INDEX($D$22:$D$35,MATCH(节奏总纲!D77,$B$22:$B$35,1)),MIN($D$22:$D$35))</f>
        <v>19657.803369415386</v>
      </c>
      <c r="AG81" s="2">
        <f>M81/IFERROR(INDEX($C$22:$C$35,MATCH(节奏总纲!E77,$B$22:$B$35,1)),MIN($C$22:$C$35))*IFERROR(INDEX($D$22:$D$35,MATCH(节奏总纲!E77,$B$22:$B$35,1)),MIN($D$22:$D$35))</f>
        <v>26473.737047818628</v>
      </c>
      <c r="AH81" s="2">
        <f>N81/IFERROR(INDEX($C$22:$C$35,MATCH(节奏总纲!F77,$B$22:$B$35,1)),MIN($C$22:$C$35))*IFERROR(INDEX($D$22:$D$35,MATCH(节奏总纲!F77,$B$22:$B$35,1)),MIN($D$22:$D$35))</f>
        <v>29993.5465067511</v>
      </c>
      <c r="AI81" s="2">
        <f>O81/IFERROR(INDEX($C$22:$C$35,MATCH(节奏总纲!G77,$B$22:$B$35,1)),MIN($C$22:$C$35))*IFERROR(INDEX($D$22:$D$35,MATCH(节奏总纲!G77,$B$22:$B$35,1)),MIN($D$22:$D$35))</f>
        <v>39060.144386098851</v>
      </c>
      <c r="AJ81" s="2">
        <f>P81/IFERROR(INDEX($C$22:$C$35,MATCH(节奏总纲!H77,$B$22:$B$35,1)),MIN($C$22:$C$35))*IFERROR(INDEX($D$22:$D$35,MATCH(节奏总纲!H77,$B$22:$B$35,1)),MIN($D$22:$D$35))</f>
        <v>60275.972826640893</v>
      </c>
      <c r="AK81" s="2">
        <f>V81/IFERROR(INDEX($E$22:$E$35,MATCH(节奏总纲!D77,$B$22:$B$35,1)),MIN($E$22:$E$35))*IFERROR(INDEX($F$22:$F$35,MATCH(节奏总纲!D77,$B$22:$B$35,1)),MIN($F$22:$F$35))</f>
        <v>0</v>
      </c>
      <c r="AL81" s="2">
        <f>W81/IFERROR(INDEX($E$22:$E$35,MATCH(节奏总纲!E77,$B$22:$B$35,1)),MIN($E$22:$E$35))*IFERROR(INDEX($F$22:$F$35,MATCH(节奏总纲!E77,$B$22:$B$35,1)),MIN($F$22:$F$35))</f>
        <v>10519.053036881338</v>
      </c>
      <c r="AM81" s="2">
        <f>X81/IFERROR(INDEX($E$22:$E$35,MATCH(节奏总纲!F77,$B$22:$B$35,1)),MIN($E$22:$E$35))*IFERROR(INDEX($F$22:$F$35,MATCH(节奏总纲!F77,$B$22:$B$35,1)),MIN($F$22:$F$35))</f>
        <v>25464.120394214351</v>
      </c>
      <c r="AN81" s="2">
        <f>Y81/IFERROR(INDEX($E$22:$E$35,MATCH(节奏总纲!G77,$B$22:$B$35,1)),MIN($E$22:$E$35))*IFERROR(INDEX($F$22:$F$35,MATCH(节奏总纲!G77,$B$22:$B$35,1)),MIN($F$22:$F$35))</f>
        <v>68857.832569147824</v>
      </c>
      <c r="AO81" s="2">
        <f>Z81/IFERROR(INDEX($E$22:$E$35,MATCH(节奏总纲!H77,$B$22:$B$35,1)),MIN($E$22:$E$35))*IFERROR(INDEX($F$22:$F$35,MATCH(节奏总纲!H77,$B$22:$B$35,1)),MIN($F$22:$F$35))</f>
        <v>124900.26476972036</v>
      </c>
      <c r="AQ81" s="2">
        <v>74</v>
      </c>
      <c r="AR81" s="2">
        <f t="shared" si="25"/>
        <v>19657.803369415386</v>
      </c>
      <c r="AS81" s="2">
        <f t="shared" si="26"/>
        <v>36992.790084699969</v>
      </c>
      <c r="AT81" s="2">
        <f t="shared" si="27"/>
        <v>55457.666900965451</v>
      </c>
      <c r="AU81" s="2">
        <f t="shared" si="28"/>
        <v>107917.97695524668</v>
      </c>
      <c r="AV81" s="2">
        <f t="shared" si="29"/>
        <v>185176.23759636126</v>
      </c>
      <c r="AX81" s="41">
        <f t="shared" si="30"/>
        <v>0</v>
      </c>
      <c r="AY81" s="41">
        <f t="shared" si="31"/>
        <v>0.28435414070678505</v>
      </c>
      <c r="AZ81" s="41">
        <f t="shared" si="32"/>
        <v>0.45916321073671151</v>
      </c>
      <c r="BA81" s="41">
        <f t="shared" si="33"/>
        <v>0.63805711070457705</v>
      </c>
      <c r="BB81" s="41">
        <f t="shared" si="34"/>
        <v>0.67449401927029251</v>
      </c>
      <c r="BD81" s="2" t="e">
        <f t="shared" si="35"/>
        <v>#DIV/0!</v>
      </c>
      <c r="BE81" s="2">
        <f t="shared" si="36"/>
        <v>3.5760526426975585</v>
      </c>
      <c r="BF81" s="2">
        <f t="shared" si="37"/>
        <v>3.395946576505418</v>
      </c>
      <c r="BG81" s="2">
        <f t="shared" si="38"/>
        <v>2.6443002317851274</v>
      </c>
      <c r="BH81" s="2">
        <f t="shared" si="39"/>
        <v>2.0721401731490046</v>
      </c>
    </row>
    <row r="82" spans="11:60" x14ac:dyDescent="0.2">
      <c r="K82" s="2">
        <v>75</v>
      </c>
      <c r="L82" s="2">
        <f>标准城池设计!AB78*$B$10/C$14*$C$5*C$7</f>
        <v>96747842.67693916</v>
      </c>
      <c r="M82" s="2">
        <f>标准城池设计!AC78*$B$10/D$14*$C$5*D$7</f>
        <v>108119492.66654411</v>
      </c>
      <c r="N82" s="2">
        <f>标准城池设计!AD78*$B$10/E$14*$C$5*E$7</f>
        <v>122437615.47403949</v>
      </c>
      <c r="O82" s="2">
        <f>标准城池设计!AE78*$B$10/F$14*$C$5*F$7</f>
        <v>137166119.08559933</v>
      </c>
      <c r="P82" s="2">
        <f>标准城池设计!AF78*$B$10/G$14*$C$5*G$7</f>
        <v>156451954.87511697</v>
      </c>
      <c r="Q82" s="2">
        <f t="shared" si="23"/>
        <v>15645.195487511697</v>
      </c>
      <c r="U82" s="2">
        <v>75</v>
      </c>
      <c r="V82" s="2">
        <f>其他调用!R79*6*其他调用!BM79*$B$10/C$15*$C$5*C$8/3</f>
        <v>0</v>
      </c>
      <c r="W82" s="2">
        <f>其他调用!S79*6*其他调用!BN79*$B$10/D$15*$C$5*D$8/3</f>
        <v>796842.56383292156</v>
      </c>
      <c r="X82" s="2">
        <f>其他调用!T79*6*其他调用!BO79*$B$10/E$15*$C$5*E$8/3</f>
        <v>1929575.901318012</v>
      </c>
      <c r="Y82" s="2">
        <f>其他调用!U79*6*其他调用!BP79*$B$10/F$15*$C$5*F$8/3</f>
        <v>4868657.723791766</v>
      </c>
      <c r="Z82" s="2">
        <f>其他调用!V79*6*其他调用!BQ79*$B$10/G$15*$C$5*G$8/3</f>
        <v>8198897.0654252367</v>
      </c>
      <c r="AA82" s="2">
        <f t="shared" si="24"/>
        <v>819.88970654252364</v>
      </c>
      <c r="AE82" s="2">
        <v>75</v>
      </c>
      <c r="AF82" s="2">
        <f>L82/IFERROR(INDEX($C$22:$C$35,MATCH(节奏总纲!D78,$B$22:$B$35,1)),MIN($C$22:$C$35))*IFERROR(INDEX($D$22:$D$35,MATCH(节奏总纲!D78,$B$22:$B$35,1)),MIN($D$22:$D$35))</f>
        <v>20155.800557695657</v>
      </c>
      <c r="AG82" s="2">
        <f>M82/IFERROR(INDEX($C$22:$C$35,MATCH(节奏总纲!E78,$B$22:$B$35,1)),MIN($C$22:$C$35))*IFERROR(INDEX($D$22:$D$35,MATCH(节奏总纲!E78,$B$22:$B$35,1)),MIN($D$22:$D$35))</f>
        <v>22524.894305530022</v>
      </c>
      <c r="AH82" s="2">
        <f>N82/IFERROR(INDEX($C$22:$C$35,MATCH(节奏总纲!F78,$B$22:$B$35,1)),MIN($C$22:$C$35))*IFERROR(INDEX($D$22:$D$35,MATCH(节奏总纲!F78,$B$22:$B$35,1)),MIN($D$22:$D$35))</f>
        <v>30609.403868509875</v>
      </c>
      <c r="AI82" s="2">
        <f>O82/IFERROR(INDEX($C$22:$C$35,MATCH(节奏总纲!G78,$B$22:$B$35,1)),MIN($C$22:$C$35))*IFERROR(INDEX($D$22:$D$35,MATCH(节奏总纲!G78,$B$22:$B$35,1)),MIN($D$22:$D$35))</f>
        <v>34291.52977139983</v>
      </c>
      <c r="AJ82" s="2">
        <f>P82/IFERROR(INDEX($C$22:$C$35,MATCH(节奏总纲!H78,$B$22:$B$35,1)),MIN($C$22:$C$35))*IFERROR(INDEX($D$22:$D$35,MATCH(节奏总纲!H78,$B$22:$B$35,1)),MIN($D$22:$D$35))</f>
        <v>62580.781950046789</v>
      </c>
      <c r="AK82" s="2">
        <f>V82/IFERROR(INDEX($E$22:$E$35,MATCH(节奏总纲!D78,$B$22:$B$35,1)),MIN($E$22:$E$35))*IFERROR(INDEX($F$22:$F$35,MATCH(节奏总纲!D78,$B$22:$B$35,1)),MIN($F$22:$F$35))</f>
        <v>0</v>
      </c>
      <c r="AL82" s="2">
        <f>W82/IFERROR(INDEX($E$22:$E$35,MATCH(节奏总纲!E78,$B$22:$B$35,1)),MIN($E$22:$E$35))*IFERROR(INDEX($F$22:$F$35,MATCH(节奏总纲!E78,$B$22:$B$35,1)),MIN($F$22:$F$35))</f>
        <v>9960.5320479115198</v>
      </c>
      <c r="AM82" s="2">
        <f>X82/IFERROR(INDEX($E$22:$E$35,MATCH(节奏总纲!F78,$B$22:$B$35,1)),MIN($E$22:$E$35))*IFERROR(INDEX($F$22:$F$35,MATCH(节奏总纲!F78,$B$22:$B$35,1)),MIN($F$22:$F$35))</f>
        <v>25727.67868424016</v>
      </c>
      <c r="AN82" s="2">
        <f>Y82/IFERROR(INDEX($E$22:$E$35,MATCH(节奏总纲!G78,$B$22:$B$35,1)),MIN($E$22:$E$35))*IFERROR(INDEX($F$22:$F$35,MATCH(节奏总纲!G78,$B$22:$B$35,1)),MIN($F$22:$F$35))</f>
        <v>64915.436317223546</v>
      </c>
      <c r="AO82" s="2">
        <f>Z82/IFERROR(INDEX($E$22:$E$35,MATCH(节奏总纲!H78,$B$22:$B$35,1)),MIN($E$22:$E$35))*IFERROR(INDEX($F$22:$F$35,MATCH(节奏总纲!H78,$B$22:$B$35,1)),MIN($F$22:$F$35))</f>
        <v>126136.87792961903</v>
      </c>
      <c r="AQ82" s="2">
        <v>75</v>
      </c>
      <c r="AR82" s="2">
        <f t="shared" si="25"/>
        <v>20155.800557695657</v>
      </c>
      <c r="AS82" s="2">
        <f t="shared" si="26"/>
        <v>32485.426353441544</v>
      </c>
      <c r="AT82" s="2">
        <f t="shared" si="27"/>
        <v>56337.082552750035</v>
      </c>
      <c r="AU82" s="2">
        <f t="shared" si="28"/>
        <v>99206.966088623376</v>
      </c>
      <c r="AV82" s="2">
        <f t="shared" si="29"/>
        <v>188717.65987966582</v>
      </c>
      <c r="AX82" s="41">
        <f t="shared" si="30"/>
        <v>0</v>
      </c>
      <c r="AY82" s="41">
        <f t="shared" si="31"/>
        <v>0.30661540161243073</v>
      </c>
      <c r="AZ82" s="41">
        <f t="shared" si="32"/>
        <v>0.45667396177554265</v>
      </c>
      <c r="BA82" s="41">
        <f t="shared" si="33"/>
        <v>0.65434352925613526</v>
      </c>
      <c r="BB82" s="41">
        <f t="shared" si="34"/>
        <v>0.66838937071416171</v>
      </c>
      <c r="BD82" s="2" t="e">
        <f t="shared" si="35"/>
        <v>#DIV/0!</v>
      </c>
      <c r="BE82" s="2">
        <f t="shared" si="36"/>
        <v>3.9798095038872288</v>
      </c>
      <c r="BF82" s="2">
        <f t="shared" si="37"/>
        <v>3.3620620375045074</v>
      </c>
      <c r="BG82" s="2">
        <f t="shared" si="38"/>
        <v>2.8395686959713142</v>
      </c>
      <c r="BH82" s="2">
        <f t="shared" si="39"/>
        <v>2.0155848808393602</v>
      </c>
    </row>
    <row r="83" spans="11:60" x14ac:dyDescent="0.2">
      <c r="K83" s="2">
        <v>76</v>
      </c>
      <c r="L83" s="2">
        <f>标准城池设计!AB79*$B$10/C$14*$C$5*C$7</f>
        <v>98711479.498200551</v>
      </c>
      <c r="M83" s="2">
        <f>标准城池设计!AC79*$B$10/D$14*$C$5*D$7</f>
        <v>110322200.03366345</v>
      </c>
      <c r="N83" s="2">
        <f>标准城池设计!AD79*$B$10/E$14*$C$5*E$7</f>
        <v>126224791.55711904</v>
      </c>
      <c r="O83" s="2">
        <f>标准城池设计!AE79*$B$10/F$14*$C$5*F$7</f>
        <v>141526256.95501855</v>
      </c>
      <c r="P83" s="2">
        <f>标准城池设计!AF79*$B$10/G$14*$C$5*G$7</f>
        <v>162591036.12670186</v>
      </c>
      <c r="Q83" s="2">
        <f t="shared" si="23"/>
        <v>16259.103612670186</v>
      </c>
      <c r="U83" s="2">
        <v>76</v>
      </c>
      <c r="V83" s="2">
        <f>其他调用!R80*6*其他调用!BM80*$B$10/C$15*$C$5*C$8/3</f>
        <v>0</v>
      </c>
      <c r="W83" s="2">
        <f>其他调用!S80*6*其他调用!BN80*$B$10/D$15*$C$5*D$8/3</f>
        <v>805085.6108291843</v>
      </c>
      <c r="X83" s="2">
        <f>其他调用!T80*6*其他调用!BO80*$B$10/E$15*$C$5*E$8/3</f>
        <v>1948472.33764928</v>
      </c>
      <c r="Y83" s="2">
        <f>其他调用!U80*6*其他调用!BP80*$B$10/F$15*$C$5*F$8/3</f>
        <v>4917574.2979457555</v>
      </c>
      <c r="Z83" s="2">
        <f>其他调用!V80*6*其他调用!BQ80*$B$10/G$15*$C$5*G$8/3</f>
        <v>8283538.7565274471</v>
      </c>
      <c r="AA83" s="2">
        <f t="shared" si="24"/>
        <v>828.3538756527447</v>
      </c>
      <c r="AE83" s="2">
        <v>76</v>
      </c>
      <c r="AF83" s="2">
        <f>L83/IFERROR(INDEX($C$22:$C$35,MATCH(节奏总纲!D79,$B$22:$B$35,1)),MIN($C$22:$C$35))*IFERROR(INDEX($D$22:$D$35,MATCH(节奏总纲!D79,$B$22:$B$35,1)),MIN($D$22:$D$35))</f>
        <v>20564.891562125114</v>
      </c>
      <c r="AG83" s="2">
        <f>M83/IFERROR(INDEX($C$22:$C$35,MATCH(节奏总纲!E79,$B$22:$B$35,1)),MIN($C$22:$C$35))*IFERROR(INDEX($D$22:$D$35,MATCH(节奏总纲!E79,$B$22:$B$35,1)),MIN($D$22:$D$35))</f>
        <v>22983.791673679887</v>
      </c>
      <c r="AH83" s="2">
        <f>N83/IFERROR(INDEX($C$22:$C$35,MATCH(节奏总纲!F79,$B$22:$B$35,1)),MIN($C$22:$C$35))*IFERROR(INDEX($D$22:$D$35,MATCH(节奏总纲!F79,$B$22:$B$35,1)),MIN($D$22:$D$35))</f>
        <v>31556.19788927976</v>
      </c>
      <c r="AI83" s="2">
        <f>O83/IFERROR(INDEX($C$22:$C$35,MATCH(节奏总纲!G79,$B$22:$B$35,1)),MIN($C$22:$C$35))*IFERROR(INDEX($D$22:$D$35,MATCH(节奏总纲!G79,$B$22:$B$35,1)),MIN($D$22:$D$35))</f>
        <v>35381.56423875464</v>
      </c>
      <c r="AJ83" s="2">
        <f>P83/IFERROR(INDEX($C$22:$C$35,MATCH(节奏总纲!H79,$B$22:$B$35,1)),MIN($C$22:$C$35))*IFERROR(INDEX($D$22:$D$35,MATCH(节奏总纲!H79,$B$22:$B$35,1)),MIN($D$22:$D$35))</f>
        <v>65036.414450680742</v>
      </c>
      <c r="AK83" s="2">
        <f>V83/IFERROR(INDEX($E$22:$E$35,MATCH(节奏总纲!D79,$B$22:$B$35,1)),MIN($E$22:$E$35))*IFERROR(INDEX($F$22:$F$35,MATCH(节奏总纲!D79,$B$22:$B$35,1)),MIN($F$22:$F$35))</f>
        <v>0</v>
      </c>
      <c r="AL83" s="2">
        <f>W83/IFERROR(INDEX($E$22:$E$35,MATCH(节奏总纲!E79,$B$22:$B$35,1)),MIN($E$22:$E$35))*IFERROR(INDEX($F$22:$F$35,MATCH(节奏总纲!E79,$B$22:$B$35,1)),MIN($F$22:$F$35))</f>
        <v>10063.570135364804</v>
      </c>
      <c r="AM83" s="2">
        <f>X83/IFERROR(INDEX($E$22:$E$35,MATCH(节奏总纲!F79,$B$22:$B$35,1)),MIN($E$22:$E$35))*IFERROR(INDEX($F$22:$F$35,MATCH(节奏总纲!F79,$B$22:$B$35,1)),MIN($F$22:$F$35))</f>
        <v>25979.631168657066</v>
      </c>
      <c r="AN83" s="2">
        <f>Y83/IFERROR(INDEX($E$22:$E$35,MATCH(节奏总纲!G79,$B$22:$B$35,1)),MIN($E$22:$E$35))*IFERROR(INDEX($F$22:$F$35,MATCH(节奏总纲!G79,$B$22:$B$35,1)),MIN($F$22:$F$35))</f>
        <v>65567.657305943401</v>
      </c>
      <c r="AO83" s="2">
        <f>Z83/IFERROR(INDEX($E$22:$E$35,MATCH(节奏总纲!H79,$B$22:$B$35,1)),MIN($E$22:$E$35))*IFERROR(INDEX($F$22:$F$35,MATCH(节奏总纲!H79,$B$22:$B$35,1)),MIN($F$22:$F$35))</f>
        <v>127439.05779272996</v>
      </c>
      <c r="AQ83" s="2">
        <v>76</v>
      </c>
      <c r="AR83" s="2">
        <f t="shared" si="25"/>
        <v>20564.891562125114</v>
      </c>
      <c r="AS83" s="2">
        <f t="shared" si="26"/>
        <v>33047.361809044691</v>
      </c>
      <c r="AT83" s="2">
        <f t="shared" si="27"/>
        <v>57535.829057936826</v>
      </c>
      <c r="AU83" s="2">
        <f t="shared" si="28"/>
        <v>100949.22154469804</v>
      </c>
      <c r="AV83" s="2">
        <f t="shared" si="29"/>
        <v>192475.47224341071</v>
      </c>
      <c r="AX83" s="41">
        <f t="shared" si="30"/>
        <v>0</v>
      </c>
      <c r="AY83" s="41">
        <f t="shared" si="31"/>
        <v>0.3045196222777008</v>
      </c>
      <c r="AZ83" s="41">
        <f t="shared" si="32"/>
        <v>0.45153831263118449</v>
      </c>
      <c r="BA83" s="41">
        <f t="shared" si="33"/>
        <v>0.64951127212914184</v>
      </c>
      <c r="BB83" s="41">
        <f t="shared" si="34"/>
        <v>0.66210544287724316</v>
      </c>
      <c r="BD83" s="2" t="e">
        <f t="shared" si="35"/>
        <v>#DIV/0!</v>
      </c>
      <c r="BE83" s="2">
        <f t="shared" si="36"/>
        <v>3.9406957957247246</v>
      </c>
      <c r="BF83" s="2">
        <f t="shared" si="37"/>
        <v>3.2931256496503143</v>
      </c>
      <c r="BG83" s="2">
        <f t="shared" si="38"/>
        <v>2.7797382075942063</v>
      </c>
      <c r="BH83" s="2">
        <f t="shared" si="39"/>
        <v>1.9595031317320115</v>
      </c>
    </row>
    <row r="84" spans="11:60" x14ac:dyDescent="0.2">
      <c r="K84" s="2">
        <v>77</v>
      </c>
      <c r="L84" s="2">
        <f>标准城池设计!AB80*$B$10/C$14*$C$5*C$7</f>
        <v>100694270.97774428</v>
      </c>
      <c r="M84" s="2">
        <f>标准城池设计!AC80*$B$10/D$14*$C$5*D$7</f>
        <v>112551654.05824395</v>
      </c>
      <c r="N84" s="2">
        <f>标准城池设计!AD80*$B$10/E$14*$C$5*E$7</f>
        <v>130084085.35597044</v>
      </c>
      <c r="O84" s="2">
        <f>标准城池设计!AE80*$B$10/F$14*$C$5*F$7</f>
        <v>145977243.59626934</v>
      </c>
      <c r="P84" s="2">
        <f>标准城池设计!AF80*$B$10/G$14*$C$5*G$7</f>
        <v>168855821.42002213</v>
      </c>
      <c r="Q84" s="2">
        <f t="shared" si="23"/>
        <v>16885.582142002211</v>
      </c>
      <c r="U84" s="2">
        <v>77</v>
      </c>
      <c r="V84" s="2">
        <f>其他调用!R81*6*其他调用!BM81*$B$10/C$15*$C$5*C$8/3</f>
        <v>0</v>
      </c>
      <c r="W84" s="2">
        <f>其他调用!S81*6*其他调用!BN81*$B$10/D$15*$C$5*D$8/3</f>
        <v>812960.96338986652</v>
      </c>
      <c r="X84" s="2">
        <f>其他调用!T81*6*其他调用!BO81*$B$10/E$15*$C$5*E$8/3</f>
        <v>1968414.7963235499</v>
      </c>
      <c r="Y84" s="2">
        <f>其他调用!U81*6*其他调用!BP81*$B$10/F$15*$C$5*F$8/3</f>
        <v>4966333.8031313568</v>
      </c>
      <c r="Z84" s="2">
        <f>其他调用!V81*6*其他调用!BQ81*$B$10/G$15*$C$5*G$8/3</f>
        <v>8360531.0689838538</v>
      </c>
      <c r="AA84" s="2">
        <f t="shared" si="24"/>
        <v>836.05310689838541</v>
      </c>
      <c r="AE84" s="2">
        <v>77</v>
      </c>
      <c r="AF84" s="2">
        <f>L84/IFERROR(INDEX($C$22:$C$35,MATCH(节奏总纲!D80,$B$22:$B$35,1)),MIN($C$22:$C$35))*IFERROR(INDEX($D$22:$D$35,MATCH(节奏总纲!D80,$B$22:$B$35,1)),MIN($D$22:$D$35))</f>
        <v>20977.973120363393</v>
      </c>
      <c r="AG84" s="2">
        <f>M84/IFERROR(INDEX($C$22:$C$35,MATCH(节奏总纲!E80,$B$22:$B$35,1)),MIN($C$22:$C$35))*IFERROR(INDEX($D$22:$D$35,MATCH(节奏总纲!E80,$B$22:$B$35,1)),MIN($D$22:$D$35))</f>
        <v>23448.261262134154</v>
      </c>
      <c r="AH84" s="2">
        <f>N84/IFERROR(INDEX($C$22:$C$35,MATCH(节奏总纲!F80,$B$22:$B$35,1)),MIN($C$22:$C$35))*IFERROR(INDEX($D$22:$D$35,MATCH(节奏总纲!F80,$B$22:$B$35,1)),MIN($D$22:$D$35))</f>
        <v>32521.02133899261</v>
      </c>
      <c r="AI84" s="2">
        <f>O84/IFERROR(INDEX($C$22:$C$35,MATCH(节奏总纲!G80,$B$22:$B$35,1)),MIN($C$22:$C$35))*IFERROR(INDEX($D$22:$D$35,MATCH(节奏总纲!G80,$B$22:$B$35,1)),MIN($D$22:$D$35))</f>
        <v>36494.310899067335</v>
      </c>
      <c r="AJ84" s="2">
        <f>P84/IFERROR(INDEX($C$22:$C$35,MATCH(节奏总纲!H80,$B$22:$B$35,1)),MIN($C$22:$C$35))*IFERROR(INDEX($D$22:$D$35,MATCH(节奏总纲!H80,$B$22:$B$35,1)),MIN($D$22:$D$35))</f>
        <v>67542.328568008845</v>
      </c>
      <c r="AK84" s="2">
        <f>V84/IFERROR(INDEX($E$22:$E$35,MATCH(节奏总纲!D80,$B$22:$B$35,1)),MIN($E$22:$E$35))*IFERROR(INDEX($F$22:$F$35,MATCH(节奏总纲!D80,$B$22:$B$35,1)),MIN($F$22:$F$35))</f>
        <v>0</v>
      </c>
      <c r="AL84" s="2">
        <f>W84/IFERROR(INDEX($E$22:$E$35,MATCH(节奏总纲!E80,$B$22:$B$35,1)),MIN($E$22:$E$35))*IFERROR(INDEX($F$22:$F$35,MATCH(节奏总纲!E80,$B$22:$B$35,1)),MIN($F$22:$F$35))</f>
        <v>10162.012042373331</v>
      </c>
      <c r="AM84" s="2">
        <f>X84/IFERROR(INDEX($E$22:$E$35,MATCH(节奏总纲!F80,$B$22:$B$35,1)),MIN($E$22:$E$35))*IFERROR(INDEX($F$22:$F$35,MATCH(节奏总纲!F80,$B$22:$B$35,1)),MIN($F$22:$F$35))</f>
        <v>26245.530617647331</v>
      </c>
      <c r="AN84" s="2">
        <f>Y84/IFERROR(INDEX($E$22:$E$35,MATCH(节奏总纲!G80,$B$22:$B$35,1)),MIN($E$22:$E$35))*IFERROR(INDEX($F$22:$F$35,MATCH(节奏总纲!G80,$B$22:$B$35,1)),MIN($F$22:$F$35))</f>
        <v>66217.784041751424</v>
      </c>
      <c r="AO84" s="2">
        <f>Z84/IFERROR(INDEX($E$22:$E$35,MATCH(节奏总纲!H80,$B$22:$B$35,1)),MIN($E$22:$E$35))*IFERROR(INDEX($F$22:$F$35,MATCH(节奏总纲!H80,$B$22:$B$35,1)),MIN($F$22:$F$35))</f>
        <v>128623.5549074439</v>
      </c>
      <c r="AQ84" s="2">
        <v>77</v>
      </c>
      <c r="AR84" s="2">
        <f t="shared" si="25"/>
        <v>20977.973120363393</v>
      </c>
      <c r="AS84" s="2">
        <f t="shared" si="26"/>
        <v>33610.273304507486</v>
      </c>
      <c r="AT84" s="2">
        <f t="shared" si="27"/>
        <v>58766.551956639945</v>
      </c>
      <c r="AU84" s="2">
        <f t="shared" si="28"/>
        <v>102712.09494081876</v>
      </c>
      <c r="AV84" s="2">
        <f t="shared" si="29"/>
        <v>196165.88347545275</v>
      </c>
      <c r="AX84" s="41">
        <f t="shared" si="30"/>
        <v>0</v>
      </c>
      <c r="AY84" s="41">
        <f t="shared" si="31"/>
        <v>0.3023483906336013</v>
      </c>
      <c r="AZ84" s="41">
        <f t="shared" si="32"/>
        <v>0.44660661113846223</v>
      </c>
      <c r="BA84" s="41">
        <f t="shared" si="33"/>
        <v>0.64469315010958705</v>
      </c>
      <c r="BB84" s="41">
        <f t="shared" si="34"/>
        <v>0.65568768956473122</v>
      </c>
      <c r="BD84" s="2" t="e">
        <f t="shared" si="35"/>
        <v>#DIV/0!</v>
      </c>
      <c r="BE84" s="2">
        <f t="shared" si="36"/>
        <v>3.9004217566038801</v>
      </c>
      <c r="BF84" s="2">
        <f t="shared" si="37"/>
        <v>3.2281311640331576</v>
      </c>
      <c r="BG84" s="2">
        <f t="shared" si="38"/>
        <v>2.7217030165971861</v>
      </c>
      <c r="BH84" s="2">
        <f t="shared" si="39"/>
        <v>1.9043399544321595</v>
      </c>
    </row>
    <row r="85" spans="11:60" x14ac:dyDescent="0.2">
      <c r="K85" s="2">
        <v>78</v>
      </c>
      <c r="L85" s="2">
        <f>标准城池设计!AB81*$B$10/C$14*$C$5*C$7</f>
        <v>102748545.96287757</v>
      </c>
      <c r="M85" s="2">
        <f>标准城池设计!AC81*$B$10/D$14*$C$5*D$7</f>
        <v>115317593.60231864</v>
      </c>
      <c r="N85" s="2">
        <f>标准城池设计!AD81*$B$10/E$14*$C$5*E$7</f>
        <v>134207147.13596903</v>
      </c>
      <c r="O85" s="2">
        <f>标准城池设计!AE81*$B$10/F$14*$C$5*F$7</f>
        <v>151106409.73741302</v>
      </c>
      <c r="P85" s="2">
        <f>标准城池设计!AF81*$B$10/G$14*$C$5*G$7</f>
        <v>175430756.18721908</v>
      </c>
      <c r="Q85" s="2">
        <f t="shared" si="23"/>
        <v>17543.075618721909</v>
      </c>
      <c r="U85" s="2">
        <v>78</v>
      </c>
      <c r="V85" s="2">
        <f>其他调用!R82*6*其他调用!BM82*$B$10/C$15*$C$5*C$8/3</f>
        <v>0</v>
      </c>
      <c r="W85" s="2">
        <f>其他调用!S82*6*其他调用!BN82*$B$10/D$15*$C$5*D$8/3</f>
        <v>821166.02733290894</v>
      </c>
      <c r="X85" s="2">
        <f>其他调用!T82*6*其他调用!BO82*$B$10/E$15*$C$5*E$8/3</f>
        <v>1987455.4382437626</v>
      </c>
      <c r="Y85" s="2">
        <f>其他调用!U82*6*其他调用!BP82*$B$10/F$15*$C$5*F$8/3</f>
        <v>5015038.8879367122</v>
      </c>
      <c r="Z85" s="2">
        <f>其他调用!V82*6*其他调用!BQ82*$B$10/G$15*$C$5*G$8/3</f>
        <v>8439648.0734558292</v>
      </c>
      <c r="AA85" s="2">
        <f t="shared" si="24"/>
        <v>843.96480734558293</v>
      </c>
      <c r="AE85" s="2">
        <v>78</v>
      </c>
      <c r="AF85" s="2">
        <f>L85/IFERROR(INDEX($C$22:$C$35,MATCH(节奏总纲!D81,$B$22:$B$35,1)),MIN($C$22:$C$35))*IFERROR(INDEX($D$22:$D$35,MATCH(节奏总纲!D81,$B$22:$B$35,1)),MIN($D$22:$D$35))</f>
        <v>19759.33576209184</v>
      </c>
      <c r="AG85" s="2">
        <f>M85/IFERROR(INDEX($C$22:$C$35,MATCH(节奏总纲!E81,$B$22:$B$35,1)),MIN($C$22:$C$35))*IFERROR(INDEX($D$22:$D$35,MATCH(节奏总纲!E81,$B$22:$B$35,1)),MIN($D$22:$D$35))</f>
        <v>24024.498667149717</v>
      </c>
      <c r="AH85" s="2">
        <f>N85/IFERROR(INDEX($C$22:$C$35,MATCH(节奏总纲!F81,$B$22:$B$35,1)),MIN($C$22:$C$35))*IFERROR(INDEX($D$22:$D$35,MATCH(节奏总纲!F81,$B$22:$B$35,1)),MIN($D$22:$D$35))</f>
        <v>27959.822319993549</v>
      </c>
      <c r="AI85" s="2">
        <f>O85/IFERROR(INDEX($C$22:$C$35,MATCH(节奏总纲!G81,$B$22:$B$35,1)),MIN($C$22:$C$35))*IFERROR(INDEX($D$22:$D$35,MATCH(节奏总纲!G81,$B$22:$B$35,1)),MIN($D$22:$D$35))</f>
        <v>37776.602434353255</v>
      </c>
      <c r="AJ85" s="2">
        <f>P85/IFERROR(INDEX($C$22:$C$35,MATCH(节奏总纲!H81,$B$22:$B$35,1)),MIN($C$22:$C$35))*IFERROR(INDEX($D$22:$D$35,MATCH(节奏总纲!H81,$B$22:$B$35,1)),MIN($D$22:$D$35))</f>
        <v>51597.281231535024</v>
      </c>
      <c r="AK85" s="2">
        <f>V85/IFERROR(INDEX($E$22:$E$35,MATCH(节奏总纲!D81,$B$22:$B$35,1)),MIN($E$22:$E$35))*IFERROR(INDEX($F$22:$F$35,MATCH(节奏总纲!D81,$B$22:$B$35,1)),MIN($F$22:$F$35))</f>
        <v>0</v>
      </c>
      <c r="AL85" s="2">
        <f>W85/IFERROR(INDEX($E$22:$E$35,MATCH(节奏总纲!E81,$B$22:$B$35,1)),MIN($E$22:$E$35))*IFERROR(INDEX($F$22:$F$35,MATCH(节奏总纲!E81,$B$22:$B$35,1)),MIN($F$22:$F$35))</f>
        <v>10264.575341661362</v>
      </c>
      <c r="AM85" s="2">
        <f>X85/IFERROR(INDEX($E$22:$E$35,MATCH(节奏总纲!F81,$B$22:$B$35,1)),MIN($E$22:$E$35))*IFERROR(INDEX($F$22:$F$35,MATCH(节奏总纲!F81,$B$22:$B$35,1)),MIN($F$22:$F$35))</f>
        <v>24843.192978047031</v>
      </c>
      <c r="AN85" s="2">
        <f>Y85/IFERROR(INDEX($E$22:$E$35,MATCH(节奏总纲!G81,$B$22:$B$35,1)),MIN($E$22:$E$35))*IFERROR(INDEX($F$22:$F$35,MATCH(节奏总纲!G81,$B$22:$B$35,1)),MIN($F$22:$F$35))</f>
        <v>66867.185172489495</v>
      </c>
      <c r="AO85" s="2">
        <f>Z85/IFERROR(INDEX($E$22:$E$35,MATCH(节奏总纲!H81,$B$22:$B$35,1)),MIN($E$22:$E$35))*IFERROR(INDEX($F$22:$F$35,MATCH(节奏总纲!H81,$B$22:$B$35,1)),MIN($F$22:$F$35))</f>
        <v>120566.40104936899</v>
      </c>
      <c r="AQ85" s="2">
        <v>78</v>
      </c>
      <c r="AR85" s="2">
        <f t="shared" si="25"/>
        <v>19759.33576209184</v>
      </c>
      <c r="AS85" s="2">
        <f t="shared" si="26"/>
        <v>34289.074008811076</v>
      </c>
      <c r="AT85" s="2">
        <f t="shared" si="27"/>
        <v>52803.015298040584</v>
      </c>
      <c r="AU85" s="2">
        <f t="shared" si="28"/>
        <v>104643.78760684276</v>
      </c>
      <c r="AV85" s="2">
        <f t="shared" si="29"/>
        <v>172163.682280904</v>
      </c>
      <c r="AX85" s="41">
        <f t="shared" si="30"/>
        <v>0</v>
      </c>
      <c r="AY85" s="41">
        <f t="shared" si="31"/>
        <v>0.29935411317971816</v>
      </c>
      <c r="AZ85" s="41">
        <f t="shared" si="32"/>
        <v>0.47048814992519777</v>
      </c>
      <c r="BA85" s="41">
        <f t="shared" si="33"/>
        <v>0.6389981355005635</v>
      </c>
      <c r="BB85" s="41">
        <f t="shared" si="34"/>
        <v>0.70030101268774925</v>
      </c>
      <c r="BD85" s="2" t="e">
        <f t="shared" si="35"/>
        <v>#DIV/0!</v>
      </c>
      <c r="BE85" s="2">
        <f t="shared" si="36"/>
        <v>3.8452905658868612</v>
      </c>
      <c r="BF85" s="2">
        <f t="shared" si="37"/>
        <v>3.5541274466944137</v>
      </c>
      <c r="BG85" s="2">
        <f t="shared" si="38"/>
        <v>2.6551031933862532</v>
      </c>
      <c r="BH85" s="2">
        <f t="shared" si="39"/>
        <v>2.3366812779988431</v>
      </c>
    </row>
    <row r="86" spans="11:60" x14ac:dyDescent="0.2">
      <c r="K86" s="2">
        <v>79</v>
      </c>
      <c r="L86" s="2">
        <f>标准城池设计!AB82*$B$10/C$14*$C$5*C$7</f>
        <v>105164550.38136253</v>
      </c>
      <c r="M86" s="2">
        <f>标准城池设计!AC82*$B$10/D$14*$C$5*D$7</f>
        <v>118948507.93736893</v>
      </c>
      <c r="N86" s="2">
        <f>标准城池设计!AD82*$B$10/E$14*$C$5*E$7</f>
        <v>138845807.89117047</v>
      </c>
      <c r="O86" s="2">
        <f>标准城池设计!AE82*$B$10/F$14*$C$5*F$7</f>
        <v>156658525.38512152</v>
      </c>
      <c r="P86" s="2">
        <f>标准城池设计!AF82*$B$10/G$14*$C$5*G$7</f>
        <v>182272546.5889816</v>
      </c>
      <c r="Q86" s="2">
        <f t="shared" si="23"/>
        <v>18227.25465889816</v>
      </c>
      <c r="U86" s="2">
        <v>79</v>
      </c>
      <c r="V86" s="2">
        <f>其他调用!R83*6*其他调用!BM83*$B$10/C$15*$C$5*C$8/3</f>
        <v>0</v>
      </c>
      <c r="W86" s="2">
        <f>其他调用!S83*6*其他调用!BN83*$B$10/D$15*$C$5*D$8/3</f>
        <v>829123.82157988602</v>
      </c>
      <c r="X86" s="2">
        <f>其他调用!T83*6*其他调用!BO83*$B$10/E$15*$C$5*E$8/3</f>
        <v>2007472.8655918445</v>
      </c>
      <c r="Y86" s="2">
        <f>其他调用!U83*6*其他调用!BP83*$B$10/F$15*$C$5*F$8/3</f>
        <v>5061360.2087629363</v>
      </c>
      <c r="Z86" s="2">
        <f>其他调用!V83*6*其他调用!BQ83*$B$10/G$15*$C$5*G$8/3</f>
        <v>8518100.3745667655</v>
      </c>
      <c r="AA86" s="2">
        <f t="shared" si="24"/>
        <v>851.81003745667658</v>
      </c>
      <c r="AE86" s="2">
        <v>79</v>
      </c>
      <c r="AF86" s="2">
        <f>L86/IFERROR(INDEX($C$22:$C$35,MATCH(节奏总纲!D82,$B$22:$B$35,1)),MIN($C$22:$C$35))*IFERROR(INDEX($D$22:$D$35,MATCH(节奏总纲!D82,$B$22:$B$35,1)),MIN($D$22:$D$35))</f>
        <v>20223.951996415872</v>
      </c>
      <c r="AG86" s="2">
        <f>M86/IFERROR(INDEX($C$22:$C$35,MATCH(节奏总纲!E82,$B$22:$B$35,1)),MIN($C$22:$C$35))*IFERROR(INDEX($D$22:$D$35,MATCH(节奏总纲!E82,$B$22:$B$35,1)),MIN($D$22:$D$35))</f>
        <v>24780.939153618529</v>
      </c>
      <c r="AH86" s="2">
        <f>N86/IFERROR(INDEX($C$22:$C$35,MATCH(节奏总纲!F82,$B$22:$B$35,1)),MIN($C$22:$C$35))*IFERROR(INDEX($D$22:$D$35,MATCH(节奏总纲!F82,$B$22:$B$35,1)),MIN($D$22:$D$35))</f>
        <v>28926.20997732718</v>
      </c>
      <c r="AI86" s="2">
        <f>O86/IFERROR(INDEX($C$22:$C$35,MATCH(节奏总纲!G82,$B$22:$B$35,1)),MIN($C$22:$C$35))*IFERROR(INDEX($D$22:$D$35,MATCH(节奏总纲!G82,$B$22:$B$35,1)),MIN($D$22:$D$35))</f>
        <v>39164.631346280381</v>
      </c>
      <c r="AJ86" s="2">
        <f>P86/IFERROR(INDEX($C$22:$C$35,MATCH(节奏总纲!H82,$B$22:$B$35,1)),MIN($C$22:$C$35))*IFERROR(INDEX($D$22:$D$35,MATCH(节奏总纲!H82,$B$22:$B$35,1)),MIN($D$22:$D$35))</f>
        <v>53609.572526171061</v>
      </c>
      <c r="AK86" s="2">
        <f>V86/IFERROR(INDEX($E$22:$E$35,MATCH(节奏总纲!D82,$B$22:$B$35,1)),MIN($E$22:$E$35))*IFERROR(INDEX($F$22:$F$35,MATCH(节奏总纲!D82,$B$22:$B$35,1)),MIN($F$22:$F$35))</f>
        <v>0</v>
      </c>
      <c r="AL86" s="2">
        <f>W86/IFERROR(INDEX($E$22:$E$35,MATCH(节奏总纲!E82,$B$22:$B$35,1)),MIN($E$22:$E$35))*IFERROR(INDEX($F$22:$F$35,MATCH(节奏总纲!E82,$B$22:$B$35,1)),MIN($F$22:$F$35))</f>
        <v>10364.047769748575</v>
      </c>
      <c r="AM86" s="2">
        <f>X86/IFERROR(INDEX($E$22:$E$35,MATCH(节奏总纲!F82,$B$22:$B$35,1)),MIN($E$22:$E$35))*IFERROR(INDEX($F$22:$F$35,MATCH(节奏总纲!F82,$B$22:$B$35,1)),MIN($F$22:$F$35))</f>
        <v>25093.410819898058</v>
      </c>
      <c r="AN86" s="2">
        <f>Y86/IFERROR(INDEX($E$22:$E$35,MATCH(节奏总纲!G82,$B$22:$B$35,1)),MIN($E$22:$E$35))*IFERROR(INDEX($F$22:$F$35,MATCH(节奏总纲!G82,$B$22:$B$35,1)),MIN($F$22:$F$35))</f>
        <v>67484.802783505816</v>
      </c>
      <c r="AO86" s="2">
        <f>Z86/IFERROR(INDEX($E$22:$E$35,MATCH(节奏总纲!H82,$B$22:$B$35,1)),MIN($E$22:$E$35))*IFERROR(INDEX($F$22:$F$35,MATCH(节奏总纲!H82,$B$22:$B$35,1)),MIN($F$22:$F$35))</f>
        <v>121687.14820809665</v>
      </c>
      <c r="AQ86" s="2">
        <v>79</v>
      </c>
      <c r="AR86" s="2">
        <f t="shared" si="25"/>
        <v>20223.951996415872</v>
      </c>
      <c r="AS86" s="2">
        <f t="shared" si="26"/>
        <v>35144.986923367105</v>
      </c>
      <c r="AT86" s="2">
        <f t="shared" si="27"/>
        <v>54019.620797225238</v>
      </c>
      <c r="AU86" s="2">
        <f t="shared" si="28"/>
        <v>106649.4341297862</v>
      </c>
      <c r="AV86" s="2">
        <f t="shared" si="29"/>
        <v>175296.72073426773</v>
      </c>
      <c r="AX86" s="41">
        <f t="shared" si="30"/>
        <v>0</v>
      </c>
      <c r="AY86" s="41">
        <f t="shared" si="31"/>
        <v>0.29489405679242847</v>
      </c>
      <c r="AZ86" s="41">
        <f t="shared" si="32"/>
        <v>0.46452400904648705</v>
      </c>
      <c r="BA86" s="41">
        <f t="shared" si="33"/>
        <v>0.63277225363784595</v>
      </c>
      <c r="BB86" s="41">
        <f t="shared" si="34"/>
        <v>0.69417812095048936</v>
      </c>
      <c r="BD86" s="2" t="e">
        <f t="shared" si="35"/>
        <v>#DIV/0!</v>
      </c>
      <c r="BE86" s="2">
        <f t="shared" si="36"/>
        <v>3.764039342880066</v>
      </c>
      <c r="BF86" s="2">
        <f t="shared" si="37"/>
        <v>3.469989444115448</v>
      </c>
      <c r="BG86" s="2">
        <f t="shared" si="38"/>
        <v>2.5846586753298437</v>
      </c>
      <c r="BH86" s="2">
        <f t="shared" si="39"/>
        <v>2.2698772341206706</v>
      </c>
    </row>
    <row r="87" spans="11:60" x14ac:dyDescent="0.2">
      <c r="K87" s="2">
        <v>80</v>
      </c>
      <c r="L87" s="2">
        <f>标准城池设计!AB83*$B$10/C$14*$C$5*C$7</f>
        <v>107616152.40498015</v>
      </c>
      <c r="M87" s="2">
        <f>标准城池设计!AC83*$B$10/D$14*$C$5*D$7</f>
        <v>122654923.12517938</v>
      </c>
      <c r="N87" s="2">
        <f>标准城池设计!AD83*$B$10/E$14*$C$5*E$7</f>
        <v>143597454.02739009</v>
      </c>
      <c r="O87" s="2">
        <f>标准城池设计!AE83*$B$10/F$14*$C$5*F$7</f>
        <v>162268713.35354856</v>
      </c>
      <c r="P87" s="2">
        <f>标准城池设计!AF83*$B$10/G$14*$C$5*G$7</f>
        <v>188768740.43236089</v>
      </c>
      <c r="Q87" s="2">
        <f t="shared" si="23"/>
        <v>18876.87404323609</v>
      </c>
      <c r="U87" s="2">
        <v>80</v>
      </c>
      <c r="V87" s="2">
        <f>其他调用!R84*6*其他调用!BM84*$B$10/C$15*$C$5*C$8/3</f>
        <v>0</v>
      </c>
      <c r="W87" s="2">
        <f>其他调用!S84*6*其他调用!BN84*$B$10/D$15*$C$5*D$8/3</f>
        <v>837343.69198693254</v>
      </c>
      <c r="X87" s="2">
        <f>其他调用!T84*6*其他调用!BO84*$B$10/E$15*$C$5*E$8/3</f>
        <v>2025659.5888799012</v>
      </c>
      <c r="Y87" s="2">
        <f>其他调用!U84*6*其他调用!BP84*$B$10/F$15*$C$5*F$8/3</f>
        <v>5109087.0784969004</v>
      </c>
      <c r="Z87" s="2">
        <f>其他调用!V84*6*其他调用!BQ84*$B$10/G$15*$C$5*G$8/3</f>
        <v>8595903.8511328381</v>
      </c>
      <c r="AA87" s="2">
        <f t="shared" si="24"/>
        <v>859.59038511328379</v>
      </c>
      <c r="AE87" s="2">
        <v>80</v>
      </c>
      <c r="AF87" s="2">
        <f>L87/IFERROR(INDEX($C$22:$C$35,MATCH(节奏总纲!D83,$B$22:$B$35,1)),MIN($C$22:$C$35))*IFERROR(INDEX($D$22:$D$35,MATCH(节奏总纲!D83,$B$22:$B$35,1)),MIN($D$22:$D$35))</f>
        <v>20695.413924034645</v>
      </c>
      <c r="AG87" s="2">
        <f>M87/IFERROR(INDEX($C$22:$C$35,MATCH(节奏总纲!E83,$B$22:$B$35,1)),MIN($C$22:$C$35))*IFERROR(INDEX($D$22:$D$35,MATCH(节奏总纲!E83,$B$22:$B$35,1)),MIN($D$22:$D$35))</f>
        <v>23587.48521638065</v>
      </c>
      <c r="AH87" s="2">
        <f>N87/IFERROR(INDEX($C$22:$C$35,MATCH(节奏总纲!F83,$B$22:$B$35,1)),MIN($C$22:$C$35))*IFERROR(INDEX($D$22:$D$35,MATCH(节奏总纲!F83,$B$22:$B$35,1)),MIN($D$22:$D$35))</f>
        <v>29916.136255706268</v>
      </c>
      <c r="AI87" s="2">
        <f>O87/IFERROR(INDEX($C$22:$C$35,MATCH(节奏总纲!G83,$B$22:$B$35,1)),MIN($C$22:$C$35))*IFERROR(INDEX($D$22:$D$35,MATCH(节奏总纲!G83,$B$22:$B$35,1)),MIN($D$22:$D$35))</f>
        <v>40567.178338387137</v>
      </c>
      <c r="AJ87" s="2">
        <f>P87/IFERROR(INDEX($C$22:$C$35,MATCH(节奏总纲!H83,$B$22:$B$35,1)),MIN($C$22:$C$35))*IFERROR(INDEX($D$22:$D$35,MATCH(节奏总纲!H83,$B$22:$B$35,1)),MIN($D$22:$D$35))</f>
        <v>55520.217774223791</v>
      </c>
      <c r="AK87" s="2">
        <f>V87/IFERROR(INDEX($E$22:$E$35,MATCH(节奏总纲!D83,$B$22:$B$35,1)),MIN($E$22:$E$35))*IFERROR(INDEX($F$22:$F$35,MATCH(节奏总纲!D83,$B$22:$B$35,1)),MIN($F$22:$F$35))</f>
        <v>0</v>
      </c>
      <c r="AL87" s="2">
        <f>W87/IFERROR(INDEX($E$22:$E$35,MATCH(节奏总纲!E83,$B$22:$B$35,1)),MIN($E$22:$E$35))*IFERROR(INDEX($F$22:$F$35,MATCH(节奏总纲!E83,$B$22:$B$35,1)),MIN($F$22:$F$35))</f>
        <v>11164.582559825767</v>
      </c>
      <c r="AM87" s="2">
        <f>X87/IFERROR(INDEX($E$22:$E$35,MATCH(节奏总纲!F83,$B$22:$B$35,1)),MIN($E$22:$E$35))*IFERROR(INDEX($F$22:$F$35,MATCH(节奏总纲!F83,$B$22:$B$35,1)),MIN($F$22:$F$35))</f>
        <v>25320.744860998766</v>
      </c>
      <c r="AN87" s="2">
        <f>Y87/IFERROR(INDEX($E$22:$E$35,MATCH(节奏总纲!G83,$B$22:$B$35,1)),MIN($E$22:$E$35))*IFERROR(INDEX($F$22:$F$35,MATCH(节奏总纲!G83,$B$22:$B$35,1)),MIN($F$22:$F$35))</f>
        <v>68121.161046625333</v>
      </c>
      <c r="AO87" s="2">
        <f>Z87/IFERROR(INDEX($E$22:$E$35,MATCH(节奏总纲!H83,$B$22:$B$35,1)),MIN($E$22:$E$35))*IFERROR(INDEX($F$22:$F$35,MATCH(节奏总纲!H83,$B$22:$B$35,1)),MIN($F$22:$F$35))</f>
        <v>122798.62644475483</v>
      </c>
      <c r="AQ87" s="2">
        <v>80</v>
      </c>
      <c r="AR87" s="2">
        <f t="shared" si="25"/>
        <v>20695.413924034645</v>
      </c>
      <c r="AS87" s="2">
        <f t="shared" si="26"/>
        <v>34752.067776206415</v>
      </c>
      <c r="AT87" s="2">
        <f t="shared" si="27"/>
        <v>55236.88111670503</v>
      </c>
      <c r="AU87" s="2">
        <f t="shared" si="28"/>
        <v>108688.33938501247</v>
      </c>
      <c r="AV87" s="2">
        <f t="shared" si="29"/>
        <v>178318.84421897863</v>
      </c>
      <c r="AX87" s="41">
        <f t="shared" si="30"/>
        <v>0</v>
      </c>
      <c r="AY87" s="41">
        <f t="shared" si="31"/>
        <v>0.32126383476582032</v>
      </c>
      <c r="AZ87" s="41">
        <f t="shared" si="32"/>
        <v>0.4584028704933728</v>
      </c>
      <c r="BA87" s="41">
        <f t="shared" si="33"/>
        <v>0.62675684836177437</v>
      </c>
      <c r="BB87" s="41">
        <f t="shared" si="34"/>
        <v>0.68864637936950734</v>
      </c>
      <c r="BD87" s="2" t="e">
        <f t="shared" si="35"/>
        <v>#DIV/0!</v>
      </c>
      <c r="BE87" s="2">
        <f t="shared" si="36"/>
        <v>4.2599387818016039</v>
      </c>
      <c r="BF87" s="2">
        <f t="shared" si="37"/>
        <v>3.3855635158994226</v>
      </c>
      <c r="BG87" s="2">
        <f t="shared" si="38"/>
        <v>2.5188279233423385</v>
      </c>
      <c r="BH87" s="2">
        <f t="shared" si="39"/>
        <v>2.2117821465348464</v>
      </c>
    </row>
    <row r="88" spans="11:60" x14ac:dyDescent="0.2">
      <c r="K88" s="2">
        <v>81</v>
      </c>
      <c r="L88" s="2">
        <f>标准城池设计!AB84*$B$10/C$14*$C$5*C$7</f>
        <v>110690437.36611903</v>
      </c>
      <c r="M88" s="2">
        <f>标准城池设计!AC84*$B$10/D$14*$C$5*D$7</f>
        <v>126884106.5057463</v>
      </c>
      <c r="N88" s="2">
        <f>标准城池设计!AD84*$B$10/E$14*$C$5*E$7</f>
        <v>148145289.44850686</v>
      </c>
      <c r="O88" s="2">
        <f>标准城池设计!AE84*$B$10/F$14*$C$5*F$7</f>
        <v>167686522.16400316</v>
      </c>
      <c r="P88" s="2">
        <f>标准城池设计!AF84*$B$10/G$14*$C$5*G$7</f>
        <v>195084388.81060642</v>
      </c>
      <c r="Q88" s="2">
        <f t="shared" si="23"/>
        <v>19508.438881060643</v>
      </c>
      <c r="U88" s="2">
        <v>81</v>
      </c>
      <c r="V88" s="2">
        <f>其他调用!R85*6*其他调用!BM85*$B$10/C$15*$C$5*C$8/3</f>
        <v>0</v>
      </c>
      <c r="W88" s="2">
        <f>其他调用!S85*6*其他调用!BN85*$B$10/D$15*$C$5*D$8/3</f>
        <v>845056.07821697823</v>
      </c>
      <c r="X88" s="2">
        <f>其他调用!T85*6*其他调用!BO85*$B$10/E$15*$C$5*E$8/3</f>
        <v>2044636.182426363</v>
      </c>
      <c r="Y88" s="2">
        <f>其他调用!U85*6*其他调用!BP85*$B$10/F$15*$C$5*F$8/3</f>
        <v>5155319.9395419601</v>
      </c>
      <c r="Z88" s="2">
        <f>其他调用!V85*6*其他调用!BQ85*$B$10/G$15*$C$5*G$8/3</f>
        <v>8674979.9290461484</v>
      </c>
      <c r="AA88" s="2">
        <f t="shared" si="24"/>
        <v>867.49799290461488</v>
      </c>
      <c r="AE88" s="2">
        <v>81</v>
      </c>
      <c r="AF88" s="2">
        <f>L88/IFERROR(INDEX($C$22:$C$35,MATCH(节奏总纲!D84,$B$22:$B$35,1)),MIN($C$22:$C$35))*IFERROR(INDEX($D$22:$D$35,MATCH(节奏总纲!D84,$B$22:$B$35,1)),MIN($D$22:$D$35))</f>
        <v>21286.622570407504</v>
      </c>
      <c r="AG88" s="2">
        <f>M88/IFERROR(INDEX($C$22:$C$35,MATCH(节奏总纲!E84,$B$22:$B$35,1)),MIN($C$22:$C$35))*IFERROR(INDEX($D$22:$D$35,MATCH(节奏总纲!E84,$B$22:$B$35,1)),MIN($D$22:$D$35))</f>
        <v>24400.78971264352</v>
      </c>
      <c r="AH88" s="2">
        <f>N88/IFERROR(INDEX($C$22:$C$35,MATCH(节奏总纲!F84,$B$22:$B$35,1)),MIN($C$22:$C$35))*IFERROR(INDEX($D$22:$D$35,MATCH(节奏总纲!F84,$B$22:$B$35,1)),MIN($D$22:$D$35))</f>
        <v>30863.601968438928</v>
      </c>
      <c r="AI88" s="2">
        <f>O88/IFERROR(INDEX($C$22:$C$35,MATCH(节奏总纲!G84,$B$22:$B$35,1)),MIN($C$22:$C$35))*IFERROR(INDEX($D$22:$D$35,MATCH(节奏总纲!G84,$B$22:$B$35,1)),MIN($D$22:$D$35))</f>
        <v>41921.630541000792</v>
      </c>
      <c r="AJ88" s="2">
        <f>P88/IFERROR(INDEX($C$22:$C$35,MATCH(节奏总纲!H84,$B$22:$B$35,1)),MIN($C$22:$C$35))*IFERROR(INDEX($D$22:$D$35,MATCH(节奏总纲!H84,$B$22:$B$35,1)),MIN($D$22:$D$35))</f>
        <v>57377.76141488424</v>
      </c>
      <c r="AK88" s="2">
        <f>V88/IFERROR(INDEX($E$22:$E$35,MATCH(节奏总纲!D84,$B$22:$B$35,1)),MIN($E$22:$E$35))*IFERROR(INDEX($F$22:$F$35,MATCH(节奏总纲!D84,$B$22:$B$35,1)),MIN($F$22:$F$35))</f>
        <v>0</v>
      </c>
      <c r="AL88" s="2">
        <f>W88/IFERROR(INDEX($E$22:$E$35,MATCH(节奏总纲!E84,$B$22:$B$35,1)),MIN($E$22:$E$35))*IFERROR(INDEX($F$22:$F$35,MATCH(节奏总纲!E84,$B$22:$B$35,1)),MIN($F$22:$F$35))</f>
        <v>11267.414376226376</v>
      </c>
      <c r="AM88" s="2">
        <f>X88/IFERROR(INDEX($E$22:$E$35,MATCH(节奏总纲!F84,$B$22:$B$35,1)),MIN($E$22:$E$35))*IFERROR(INDEX($F$22:$F$35,MATCH(节奏总纲!F84,$B$22:$B$35,1)),MIN($F$22:$F$35))</f>
        <v>25557.952280329537</v>
      </c>
      <c r="AN88" s="2">
        <f>Y88/IFERROR(INDEX($E$22:$E$35,MATCH(节奏总纲!G84,$B$22:$B$35,1)),MIN($E$22:$E$35))*IFERROR(INDEX($F$22:$F$35,MATCH(节奏总纲!G84,$B$22:$B$35,1)),MIN($F$22:$F$35))</f>
        <v>68737.599193892805</v>
      </c>
      <c r="AO88" s="2">
        <f>Z88/IFERROR(INDEX($E$22:$E$35,MATCH(节奏总纲!H84,$B$22:$B$35,1)),MIN($E$22:$E$35))*IFERROR(INDEX($F$22:$F$35,MATCH(节奏总纲!H84,$B$22:$B$35,1)),MIN($F$22:$F$35))</f>
        <v>123928.28470065926</v>
      </c>
      <c r="AQ88" s="2">
        <v>81</v>
      </c>
      <c r="AR88" s="2">
        <f t="shared" si="25"/>
        <v>21286.622570407504</v>
      </c>
      <c r="AS88" s="2">
        <f t="shared" si="26"/>
        <v>35668.204088869898</v>
      </c>
      <c r="AT88" s="2">
        <f t="shared" si="27"/>
        <v>56421.554248768465</v>
      </c>
      <c r="AU88" s="2">
        <f t="shared" si="28"/>
        <v>110659.2297348936</v>
      </c>
      <c r="AV88" s="2">
        <f t="shared" si="29"/>
        <v>181306.04611554352</v>
      </c>
      <c r="AX88" s="41">
        <f t="shared" si="30"/>
        <v>0</v>
      </c>
      <c r="AY88" s="41">
        <f t="shared" si="31"/>
        <v>0.31589519753091022</v>
      </c>
      <c r="AZ88" s="41">
        <f t="shared" si="32"/>
        <v>0.45298206723696199</v>
      </c>
      <c r="BA88" s="41">
        <f t="shared" si="33"/>
        <v>0.62116462728475086</v>
      </c>
      <c r="BB88" s="41">
        <f t="shared" si="34"/>
        <v>0.68353089902849518</v>
      </c>
      <c r="BD88" s="2" t="e">
        <f t="shared" si="35"/>
        <v>#DIV/0!</v>
      </c>
      <c r="BE88" s="2">
        <f t="shared" si="36"/>
        <v>4.1558789932726015</v>
      </c>
      <c r="BF88" s="2">
        <f t="shared" si="37"/>
        <v>3.3123745318469395</v>
      </c>
      <c r="BG88" s="2">
        <f t="shared" si="38"/>
        <v>2.4595035417336071</v>
      </c>
      <c r="BH88" s="2">
        <f t="shared" si="39"/>
        <v>2.1598661510086608</v>
      </c>
    </row>
    <row r="89" spans="11:60" x14ac:dyDescent="0.2">
      <c r="K89" s="2">
        <v>82</v>
      </c>
      <c r="L89" s="2">
        <f>标准城池设计!AB85*$B$10/C$14*$C$5*C$7</f>
        <v>114047675.08436096</v>
      </c>
      <c r="M89" s="2">
        <f>标准城池设计!AC85*$B$10/D$14*$C$5*D$7</f>
        <v>131206852.09395638</v>
      </c>
      <c r="N89" s="2">
        <f>标准城池设计!AD85*$B$10/E$14*$C$5*E$7</f>
        <v>152739513.41745555</v>
      </c>
      <c r="O89" s="2">
        <f>标准城池设计!AE85*$B$10/F$14*$C$5*F$7</f>
        <v>173120569.64438054</v>
      </c>
      <c r="P89" s="2">
        <f>标准城池设计!AF85*$B$10/G$14*$C$5*G$7</f>
        <v>201147640.46991873</v>
      </c>
      <c r="Q89" s="2">
        <f t="shared" si="23"/>
        <v>20114.764046991873</v>
      </c>
      <c r="U89" s="2">
        <v>82</v>
      </c>
      <c r="V89" s="2">
        <f>其他调用!R86*6*其他调用!BM86*$B$10/C$15*$C$5*C$8/3</f>
        <v>0</v>
      </c>
      <c r="W89" s="2">
        <f>其他调用!S86*6*其他调用!BN86*$B$10/D$15*$C$5*D$8/3</f>
        <v>853077.22719750972</v>
      </c>
      <c r="X89" s="2">
        <f>其他调用!T86*6*其他调用!BO86*$B$10/E$15*$C$5*E$8/3</f>
        <v>2063483.9491711522</v>
      </c>
      <c r="Y89" s="2">
        <f>其他调用!U86*6*其他调用!BP86*$B$10/F$15*$C$5*F$8/3</f>
        <v>5204575.1414656481</v>
      </c>
      <c r="Z89" s="2">
        <f>其他调用!V86*6*其他调用!BQ86*$B$10/G$15*$C$5*G$8/3</f>
        <v>8752602.2806052119</v>
      </c>
      <c r="AA89" s="2">
        <f t="shared" si="24"/>
        <v>875.26022806052117</v>
      </c>
      <c r="AE89" s="2">
        <v>82</v>
      </c>
      <c r="AF89" s="2">
        <f>L89/IFERROR(INDEX($C$22:$C$35,MATCH(节奏总纲!D85,$B$22:$B$35,1)),MIN($C$22:$C$35))*IFERROR(INDEX($D$22:$D$35,MATCH(节奏总纲!D85,$B$22:$B$35,1)),MIN($D$22:$D$35))</f>
        <v>21932.245208530952</v>
      </c>
      <c r="AG89" s="2">
        <f>M89/IFERROR(INDEX($C$22:$C$35,MATCH(节奏总纲!E85,$B$22:$B$35,1)),MIN($C$22:$C$35))*IFERROR(INDEX($D$22:$D$35,MATCH(节奏总纲!E85,$B$22:$B$35,1)),MIN($D$22:$D$35))</f>
        <v>25232.086941145459</v>
      </c>
      <c r="AH89" s="2">
        <f>N89/IFERROR(INDEX($C$22:$C$35,MATCH(节奏总纲!F85,$B$22:$B$35,1)),MIN($C$22:$C$35))*IFERROR(INDEX($D$22:$D$35,MATCH(节奏总纲!F85,$B$22:$B$35,1)),MIN($D$22:$D$35))</f>
        <v>31820.731961969908</v>
      </c>
      <c r="AI89" s="2">
        <f>O89/IFERROR(INDEX($C$22:$C$35,MATCH(节奏总纲!G85,$B$22:$B$35,1)),MIN($C$22:$C$35))*IFERROR(INDEX($D$22:$D$35,MATCH(节奏总纲!G85,$B$22:$B$35,1)),MIN($D$22:$D$35))</f>
        <v>36066.785342579278</v>
      </c>
      <c r="AJ89" s="2">
        <f>P89/IFERROR(INDEX($C$22:$C$35,MATCH(节奏总纲!H85,$B$22:$B$35,1)),MIN($C$22:$C$35))*IFERROR(INDEX($D$22:$D$35,MATCH(节奏总纲!H85,$B$22:$B$35,1)),MIN($D$22:$D$35))</f>
        <v>59161.070726446684</v>
      </c>
      <c r="AK89" s="2">
        <f>V89/IFERROR(INDEX($E$22:$E$35,MATCH(节奏总纲!D85,$B$22:$B$35,1)),MIN($E$22:$E$35))*IFERROR(INDEX($F$22:$F$35,MATCH(节奏总纲!D85,$B$22:$B$35,1)),MIN($F$22:$F$35))</f>
        <v>0</v>
      </c>
      <c r="AL89" s="2">
        <f>W89/IFERROR(INDEX($E$22:$E$35,MATCH(节奏总纲!E85,$B$22:$B$35,1)),MIN($E$22:$E$35))*IFERROR(INDEX($F$22:$F$35,MATCH(节奏总纲!E85,$B$22:$B$35,1)),MIN($F$22:$F$35))</f>
        <v>11374.36302930013</v>
      </c>
      <c r="AM89" s="2">
        <f>X89/IFERROR(INDEX($E$22:$E$35,MATCH(节奏总纲!F85,$B$22:$B$35,1)),MIN($E$22:$E$35))*IFERROR(INDEX($F$22:$F$35,MATCH(节奏总纲!F85,$B$22:$B$35,1)),MIN($F$22:$F$35))</f>
        <v>25793.549364639402</v>
      </c>
      <c r="AN89" s="2">
        <f>Y89/IFERROR(INDEX($E$22:$E$35,MATCH(节奏总纲!G85,$B$22:$B$35,1)),MIN($E$22:$E$35))*IFERROR(INDEX($F$22:$F$35,MATCH(节奏总纲!G85,$B$22:$B$35,1)),MIN($F$22:$F$35))</f>
        <v>65057.189268320602</v>
      </c>
      <c r="AO89" s="2">
        <f>Z89/IFERROR(INDEX($E$22:$E$35,MATCH(节奏总纲!H85,$B$22:$B$35,1)),MIN($E$22:$E$35))*IFERROR(INDEX($F$22:$F$35,MATCH(节奏总纲!H85,$B$22:$B$35,1)),MIN($F$22:$F$35))</f>
        <v>125037.17543721732</v>
      </c>
      <c r="AQ89" s="2">
        <v>82</v>
      </c>
      <c r="AR89" s="2">
        <f t="shared" si="25"/>
        <v>21932.245208530952</v>
      </c>
      <c r="AS89" s="2">
        <f t="shared" si="26"/>
        <v>36606.449970445588</v>
      </c>
      <c r="AT89" s="2">
        <f t="shared" si="27"/>
        <v>57614.281326609314</v>
      </c>
      <c r="AU89" s="2">
        <f t="shared" si="28"/>
        <v>101123.97461089988</v>
      </c>
      <c r="AV89" s="2">
        <f t="shared" si="29"/>
        <v>184198.24616366401</v>
      </c>
      <c r="AX89" s="41">
        <f t="shared" si="30"/>
        <v>0</v>
      </c>
      <c r="AY89" s="41">
        <f t="shared" si="31"/>
        <v>0.310720188340669</v>
      </c>
      <c r="AZ89" s="41">
        <f t="shared" si="32"/>
        <v>0.44769367543471517</v>
      </c>
      <c r="BA89" s="41">
        <f t="shared" si="33"/>
        <v>0.64334090425781443</v>
      </c>
      <c r="BB89" s="41">
        <f t="shared" si="34"/>
        <v>0.67881849062840238</v>
      </c>
      <c r="BD89" s="2" t="e">
        <f t="shared" si="35"/>
        <v>#DIV/0!</v>
      </c>
      <c r="BE89" s="2">
        <f t="shared" si="36"/>
        <v>4.0571066318248006</v>
      </c>
      <c r="BF89" s="2">
        <f t="shared" si="37"/>
        <v>3.2423577679440183</v>
      </c>
      <c r="BG89" s="2">
        <f t="shared" si="38"/>
        <v>2.7056967505023044</v>
      </c>
      <c r="BH89" s="2">
        <f t="shared" si="39"/>
        <v>2.1135042672803102</v>
      </c>
    </row>
    <row r="90" spans="11:60" x14ac:dyDescent="0.2">
      <c r="K90" s="2">
        <v>83</v>
      </c>
      <c r="L90" s="2">
        <f>标准城池设计!AB86*$B$10/C$14*$C$5*C$7</f>
        <v>117614463.26987191</v>
      </c>
      <c r="M90" s="2">
        <f>标准城池设计!AC86*$B$10/D$14*$C$5*D$7</f>
        <v>135438484.80714804</v>
      </c>
      <c r="N90" s="2">
        <f>标准城池设计!AD86*$B$10/E$14*$C$5*E$7</f>
        <v>157483948.05862579</v>
      </c>
      <c r="O90" s="2">
        <f>标准城池设计!AE86*$B$10/F$14*$C$5*F$7</f>
        <v>177551099.05087537</v>
      </c>
      <c r="P90" s="2">
        <f>标准城池设计!AF86*$B$10/G$14*$C$5*G$7</f>
        <v>204787640.98511162</v>
      </c>
      <c r="Q90" s="2">
        <f t="shared" si="23"/>
        <v>20478.764098511161</v>
      </c>
      <c r="U90" s="2">
        <v>83</v>
      </c>
      <c r="V90" s="2">
        <f>其他调用!R87*6*其他调用!BM87*$B$10/C$15*$C$5*C$8/3</f>
        <v>0</v>
      </c>
      <c r="W90" s="2">
        <f>其他调用!S87*6*其他调用!BN87*$B$10/D$15*$C$5*D$8/3</f>
        <v>861135.91594475752</v>
      </c>
      <c r="X90" s="2">
        <f>其他调用!T87*6*其他调用!BO87*$B$10/E$15*$C$5*E$8/3</f>
        <v>2083277.8684392909</v>
      </c>
      <c r="Y90" s="2">
        <f>其他调用!U87*6*其他调用!BP87*$B$10/F$15*$C$5*F$8/3</f>
        <v>5251345.2516322844</v>
      </c>
      <c r="Z90" s="2">
        <f>其他调用!V87*6*其他调用!BQ87*$B$10/G$15*$C$5*G$8/3</f>
        <v>8833898.4166850019</v>
      </c>
      <c r="AA90" s="2">
        <f t="shared" si="24"/>
        <v>883.38984166850014</v>
      </c>
      <c r="AE90" s="2">
        <v>83</v>
      </c>
      <c r="AF90" s="2">
        <f>L90/IFERROR(INDEX($C$22:$C$35,MATCH(节奏总纲!D86,$B$22:$B$35,1)),MIN($C$22:$C$35))*IFERROR(INDEX($D$22:$D$35,MATCH(节奏总纲!D86,$B$22:$B$35,1)),MIN($D$22:$D$35))</f>
        <v>22618.166013436905</v>
      </c>
      <c r="AG90" s="2">
        <f>M90/IFERROR(INDEX($C$22:$C$35,MATCH(节奏总纲!E86,$B$22:$B$35,1)),MIN($C$22:$C$35))*IFERROR(INDEX($D$22:$D$35,MATCH(节奏总纲!E86,$B$22:$B$35,1)),MIN($D$22:$D$35))</f>
        <v>26045.862462913083</v>
      </c>
      <c r="AH90" s="2">
        <f>N90/IFERROR(INDEX($C$22:$C$35,MATCH(节奏总纲!F86,$B$22:$B$35,1)),MIN($C$22:$C$35))*IFERROR(INDEX($D$22:$D$35,MATCH(节奏总纲!F86,$B$22:$B$35,1)),MIN($D$22:$D$35))</f>
        <v>30285.374626658806</v>
      </c>
      <c r="AI90" s="2">
        <f>O90/IFERROR(INDEX($C$22:$C$35,MATCH(节奏总纲!G86,$B$22:$B$35,1)),MIN($C$22:$C$35))*IFERROR(INDEX($D$22:$D$35,MATCH(节奏总纲!G86,$B$22:$B$35,1)),MIN($D$22:$D$35))</f>
        <v>36989.812302265702</v>
      </c>
      <c r="AJ90" s="2">
        <f>P90/IFERROR(INDEX($C$22:$C$35,MATCH(节奏总纲!H86,$B$22:$B$35,1)),MIN($C$22:$C$35))*IFERROR(INDEX($D$22:$D$35,MATCH(节奏总纲!H86,$B$22:$B$35,1)),MIN($D$22:$D$35))</f>
        <v>60231.659113268128</v>
      </c>
      <c r="AK90" s="2">
        <f>V90/IFERROR(INDEX($E$22:$E$35,MATCH(节奏总纲!D86,$B$22:$B$35,1)),MIN($E$22:$E$35))*IFERROR(INDEX($F$22:$F$35,MATCH(节奏总纲!D86,$B$22:$B$35,1)),MIN($F$22:$F$35))</f>
        <v>0</v>
      </c>
      <c r="AL90" s="2">
        <f>W90/IFERROR(INDEX($E$22:$E$35,MATCH(节奏总纲!E86,$B$22:$B$35,1)),MIN($E$22:$E$35))*IFERROR(INDEX($F$22:$F$35,MATCH(节奏总纲!E86,$B$22:$B$35,1)),MIN($F$22:$F$35))</f>
        <v>11481.812212596767</v>
      </c>
      <c r="AM90" s="2">
        <f>X90/IFERROR(INDEX($E$22:$E$35,MATCH(节奏总纲!F86,$B$22:$B$35,1)),MIN($E$22:$E$35))*IFERROR(INDEX($F$22:$F$35,MATCH(节奏总纲!F86,$B$22:$B$35,1)),MIN($F$22:$F$35))</f>
        <v>27777.038245857213</v>
      </c>
      <c r="AN90" s="2">
        <f>Y90/IFERROR(INDEX($E$22:$E$35,MATCH(节奏总纲!G86,$B$22:$B$35,1)),MIN($E$22:$E$35))*IFERROR(INDEX($F$22:$F$35,MATCH(节奏总纲!G86,$B$22:$B$35,1)),MIN($F$22:$F$35))</f>
        <v>65641.815645403549</v>
      </c>
      <c r="AO90" s="2">
        <f>Z90/IFERROR(INDEX($E$22:$E$35,MATCH(节奏总纲!H86,$B$22:$B$35,1)),MIN($E$22:$E$35))*IFERROR(INDEX($F$22:$F$35,MATCH(节奏总纲!H86,$B$22:$B$35,1)),MIN($F$22:$F$35))</f>
        <v>126198.54880978575</v>
      </c>
      <c r="AQ90" s="2">
        <v>83</v>
      </c>
      <c r="AR90" s="2">
        <f t="shared" si="25"/>
        <v>22618.166013436905</v>
      </c>
      <c r="AS90" s="2">
        <f t="shared" si="26"/>
        <v>37527.67467550985</v>
      </c>
      <c r="AT90" s="2">
        <f t="shared" si="27"/>
        <v>58062.412872516019</v>
      </c>
      <c r="AU90" s="2">
        <f t="shared" si="28"/>
        <v>102631.62794766924</v>
      </c>
      <c r="AV90" s="2">
        <f t="shared" si="29"/>
        <v>186430.20792305388</v>
      </c>
      <c r="AX90" s="41">
        <f t="shared" si="30"/>
        <v>0</v>
      </c>
      <c r="AY90" s="41">
        <f t="shared" si="31"/>
        <v>0.30595586622076726</v>
      </c>
      <c r="AZ90" s="41">
        <f t="shared" si="32"/>
        <v>0.47839965429692882</v>
      </c>
      <c r="BA90" s="41">
        <f t="shared" si="33"/>
        <v>0.63958661630967795</v>
      </c>
      <c r="BB90" s="41">
        <f t="shared" si="34"/>
        <v>0.67692113963565492</v>
      </c>
      <c r="BD90" s="2" t="e">
        <f t="shared" si="35"/>
        <v>#DIV/0!</v>
      </c>
      <c r="BE90" s="2">
        <f t="shared" si="36"/>
        <v>3.9674750667409211</v>
      </c>
      <c r="BF90" s="2">
        <f t="shared" si="37"/>
        <v>3.6687065738201419</v>
      </c>
      <c r="BG90" s="2">
        <f t="shared" si="38"/>
        <v>2.6618876209348663</v>
      </c>
      <c r="BH90" s="2">
        <f t="shared" si="39"/>
        <v>2.0952195351694387</v>
      </c>
    </row>
    <row r="91" spans="11:60" x14ac:dyDescent="0.2">
      <c r="K91" s="2">
        <v>84</v>
      </c>
      <c r="L91" s="2">
        <f>标准城池设计!AB87*$B$10/C$14*$C$5*C$7</f>
        <v>121326106.18801427</v>
      </c>
      <c r="M91" s="2">
        <f>标准城池设计!AC87*$B$10/D$14*$C$5*D$7</f>
        <v>139701278.85867727</v>
      </c>
      <c r="N91" s="2">
        <f>标准城池设计!AD87*$B$10/E$14*$C$5*E$7</f>
        <v>162348527.36726546</v>
      </c>
      <c r="O91" s="2">
        <f>标准城池设计!AE87*$B$10/F$14*$C$5*F$7</f>
        <v>181562661.86450002</v>
      </c>
      <c r="P91" s="2">
        <f>标准城池设计!AF87*$B$10/G$14*$C$5*G$7</f>
        <v>208177372.01704803</v>
      </c>
      <c r="Q91" s="2">
        <f t="shared" si="23"/>
        <v>20817.737201704804</v>
      </c>
      <c r="U91" s="2">
        <v>84</v>
      </c>
      <c r="V91" s="2">
        <f>其他调用!R88*6*其他调用!BM88*$B$10/C$15*$C$5*C$8/3</f>
        <v>0</v>
      </c>
      <c r="W91" s="2">
        <f>其他调用!S88*6*其他调用!BN88*$B$10/D$15*$C$5*D$8/3</f>
        <v>869234.15483608714</v>
      </c>
      <c r="X91" s="2">
        <f>其他调用!T88*6*其他调用!BO88*$B$10/E$15*$C$5*E$8/3</f>
        <v>2102229.1870092456</v>
      </c>
      <c r="Y91" s="2">
        <f>其他调用!U88*6*其他调用!BP88*$B$10/F$15*$C$5*F$8/3</f>
        <v>5299864.8448977368</v>
      </c>
      <c r="Z91" s="2">
        <f>其他调用!V88*6*其他调用!BQ88*$B$10/G$15*$C$5*G$8/3</f>
        <v>8913510.7177384403</v>
      </c>
      <c r="AA91" s="2">
        <f t="shared" si="24"/>
        <v>891.35107177384407</v>
      </c>
      <c r="AE91" s="2">
        <v>84</v>
      </c>
      <c r="AF91" s="2">
        <f>L91/IFERROR(INDEX($C$22:$C$35,MATCH(节奏总纲!D87,$B$22:$B$35,1)),MIN($C$22:$C$35))*IFERROR(INDEX($D$22:$D$35,MATCH(节奏总纲!D87,$B$22:$B$35,1)),MIN($D$22:$D$35))</f>
        <v>23331.943497695051</v>
      </c>
      <c r="AG91" s="2">
        <f>M91/IFERROR(INDEX($C$22:$C$35,MATCH(节奏总纲!E87,$B$22:$B$35,1)),MIN($C$22:$C$35))*IFERROR(INDEX($D$22:$D$35,MATCH(节奏总纲!E87,$B$22:$B$35,1)),MIN($D$22:$D$35))</f>
        <v>26865.630549745627</v>
      </c>
      <c r="AH91" s="2">
        <f>N91/IFERROR(INDEX($C$22:$C$35,MATCH(节奏总纲!F87,$B$22:$B$35,1)),MIN($C$22:$C$35))*IFERROR(INDEX($D$22:$D$35,MATCH(节奏总纲!F87,$B$22:$B$35,1)),MIN($D$22:$D$35))</f>
        <v>31220.870647551052</v>
      </c>
      <c r="AI91" s="2">
        <f>O91/IFERROR(INDEX($C$22:$C$35,MATCH(节奏总纲!G87,$B$22:$B$35,1)),MIN($C$22:$C$35))*IFERROR(INDEX($D$22:$D$35,MATCH(节奏总纲!G87,$B$22:$B$35,1)),MIN($D$22:$D$35))</f>
        <v>37825.554555104172</v>
      </c>
      <c r="AJ91" s="2">
        <f>P91/IFERROR(INDEX($C$22:$C$35,MATCH(节奏总纲!H87,$B$22:$B$35,1)),MIN($C$22:$C$35))*IFERROR(INDEX($D$22:$D$35,MATCH(节奏总纲!H87,$B$22:$B$35,1)),MIN($D$22:$D$35))</f>
        <v>52044.343004262009</v>
      </c>
      <c r="AK91" s="2">
        <f>V91/IFERROR(INDEX($E$22:$E$35,MATCH(节奏总纲!D87,$B$22:$B$35,1)),MIN($E$22:$E$35))*IFERROR(INDEX($F$22:$F$35,MATCH(节奏总纲!D87,$B$22:$B$35,1)),MIN($F$22:$F$35))</f>
        <v>0</v>
      </c>
      <c r="AL91" s="2">
        <f>W91/IFERROR(INDEX($E$22:$E$35,MATCH(节奏总纲!E87,$B$22:$B$35,1)),MIN($E$22:$E$35))*IFERROR(INDEX($F$22:$F$35,MATCH(节奏总纲!E87,$B$22:$B$35,1)),MIN($F$22:$F$35))</f>
        <v>11589.788731147828</v>
      </c>
      <c r="AM91" s="2">
        <f>X91/IFERROR(INDEX($E$22:$E$35,MATCH(节奏总纲!F87,$B$22:$B$35,1)),MIN($E$22:$E$35))*IFERROR(INDEX($F$22:$F$35,MATCH(节奏总纲!F87,$B$22:$B$35,1)),MIN($F$22:$F$35))</f>
        <v>28029.722493456607</v>
      </c>
      <c r="AN91" s="2">
        <f>Y91/IFERROR(INDEX($E$22:$E$35,MATCH(节奏总纲!G87,$B$22:$B$35,1)),MIN($E$22:$E$35))*IFERROR(INDEX($F$22:$F$35,MATCH(节奏总纲!G87,$B$22:$B$35,1)),MIN($F$22:$F$35))</f>
        <v>66248.310561221704</v>
      </c>
      <c r="AO91" s="2">
        <f>Z91/IFERROR(INDEX($E$22:$E$35,MATCH(节奏总纲!H87,$B$22:$B$35,1)),MIN($E$22:$E$35))*IFERROR(INDEX($F$22:$F$35,MATCH(节奏总纲!H87,$B$22:$B$35,1)),MIN($F$22:$F$35))</f>
        <v>118846.80956984586</v>
      </c>
      <c r="AQ91" s="2">
        <v>84</v>
      </c>
      <c r="AR91" s="2">
        <f t="shared" si="25"/>
        <v>23331.943497695051</v>
      </c>
      <c r="AS91" s="2">
        <f t="shared" si="26"/>
        <v>38455.419280893453</v>
      </c>
      <c r="AT91" s="2">
        <f t="shared" si="27"/>
        <v>59250.593141007659</v>
      </c>
      <c r="AU91" s="2">
        <f t="shared" si="28"/>
        <v>104073.86511632588</v>
      </c>
      <c r="AV91" s="2">
        <f t="shared" si="29"/>
        <v>170891.15257410787</v>
      </c>
      <c r="AX91" s="41">
        <f t="shared" si="30"/>
        <v>0</v>
      </c>
      <c r="AY91" s="41">
        <f t="shared" si="31"/>
        <v>0.30138245656591256</v>
      </c>
      <c r="AZ91" s="41">
        <f t="shared" si="32"/>
        <v>0.47307074929612958</v>
      </c>
      <c r="BA91" s="41">
        <f t="shared" si="33"/>
        <v>0.63655088131083015</v>
      </c>
      <c r="BB91" s="41">
        <f t="shared" si="34"/>
        <v>0.69545326238178018</v>
      </c>
      <c r="BD91" s="2" t="e">
        <f t="shared" si="35"/>
        <v>#DIV/0!</v>
      </c>
      <c r="BE91" s="2">
        <f t="shared" si="36"/>
        <v>3.8825851634931423</v>
      </c>
      <c r="BF91" s="2">
        <f t="shared" si="37"/>
        <v>3.5911519329337156</v>
      </c>
      <c r="BG91" s="2">
        <f t="shared" si="38"/>
        <v>2.6271251541617713</v>
      </c>
      <c r="BH91" s="2">
        <f t="shared" si="39"/>
        <v>2.2835682556337251</v>
      </c>
    </row>
    <row r="92" spans="11:60" x14ac:dyDescent="0.2">
      <c r="K92" s="2">
        <v>85</v>
      </c>
      <c r="L92" s="2">
        <f>标准城池设计!AB88*$B$10/C$14*$C$5*C$7</f>
        <v>125226354.92974935</v>
      </c>
      <c r="M92" s="2">
        <f>标准城池设计!AC88*$B$10/D$14*$C$5*D$7</f>
        <v>143764969.05679101</v>
      </c>
      <c r="N92" s="2">
        <f>标准城池设计!AD88*$B$10/E$14*$C$5*E$7</f>
        <v>167757833.30249593</v>
      </c>
      <c r="O92" s="2">
        <f>标准城池设计!AE88*$B$10/F$14*$C$5*F$7</f>
        <v>184229752.63310382</v>
      </c>
      <c r="P92" s="2">
        <f>标准城池设计!AF88*$B$10/G$14*$C$5*G$7</f>
        <v>211015995.35536712</v>
      </c>
      <c r="Q92" s="2">
        <f t="shared" si="23"/>
        <v>21101.599535536712</v>
      </c>
      <c r="U92" s="2">
        <v>85</v>
      </c>
      <c r="V92" s="2">
        <f>其他调用!R89*6*其他调用!BM89*$B$10/C$15*$C$5*C$8/3</f>
        <v>0</v>
      </c>
      <c r="W92" s="2">
        <f>其他调用!S89*6*其他调用!BN89*$B$10/D$15*$C$5*D$8/3</f>
        <v>877171.11214153387</v>
      </c>
      <c r="X92" s="2">
        <f>其他调用!T89*6*其他调用!BO89*$B$10/E$15*$C$5*E$8/3</f>
        <v>2121277.598415148</v>
      </c>
      <c r="Y92" s="2">
        <f>其他调用!U89*6*其他调用!BP89*$B$10/F$15*$C$5*F$8/3</f>
        <v>5347711.0030060513</v>
      </c>
      <c r="Z92" s="2">
        <f>其他调用!V89*6*其他调用!BQ89*$B$10/G$15*$C$5*G$8/3</f>
        <v>8995618.9385334644</v>
      </c>
      <c r="AA92" s="2">
        <f t="shared" si="24"/>
        <v>899.56189385334642</v>
      </c>
      <c r="AE92" s="2">
        <v>85</v>
      </c>
      <c r="AF92" s="2">
        <f>L92/IFERROR(INDEX($C$22:$C$35,MATCH(节奏总纲!D88,$B$22:$B$35,1)),MIN($C$22:$C$35))*IFERROR(INDEX($D$22:$D$35,MATCH(节奏总纲!D88,$B$22:$B$35,1)),MIN($D$22:$D$35))</f>
        <v>21969.535952587605</v>
      </c>
      <c r="AG92" s="2">
        <f>M92/IFERROR(INDEX($C$22:$C$35,MATCH(节奏总纲!E88,$B$22:$B$35,1)),MIN($C$22:$C$35))*IFERROR(INDEX($D$22:$D$35,MATCH(节奏总纲!E88,$B$22:$B$35,1)),MIN($D$22:$D$35))</f>
        <v>27647.10943399827</v>
      </c>
      <c r="AH92" s="2">
        <f>N92/IFERROR(INDEX($C$22:$C$35,MATCH(节奏总纲!F88,$B$22:$B$35,1)),MIN($C$22:$C$35))*IFERROR(INDEX($D$22:$D$35,MATCH(节奏总纲!F88,$B$22:$B$35,1)),MIN($D$22:$D$35))</f>
        <v>32261.121788941524</v>
      </c>
      <c r="AI92" s="2">
        <f>O92/IFERROR(INDEX($C$22:$C$35,MATCH(节奏总纲!G88,$B$22:$B$35,1)),MIN($C$22:$C$35))*IFERROR(INDEX($D$22:$D$35,MATCH(节奏总纲!G88,$B$22:$B$35,1)),MIN($D$22:$D$35))</f>
        <v>38381.198465229965</v>
      </c>
      <c r="AJ92" s="2">
        <f>P92/IFERROR(INDEX($C$22:$C$35,MATCH(节奏总纲!H88,$B$22:$B$35,1)),MIN($C$22:$C$35))*IFERROR(INDEX($D$22:$D$35,MATCH(节奏总纲!H88,$B$22:$B$35,1)),MIN($D$22:$D$35))</f>
        <v>52753.998838841784</v>
      </c>
      <c r="AK92" s="2">
        <f>V92/IFERROR(INDEX($E$22:$E$35,MATCH(节奏总纲!D88,$B$22:$B$35,1)),MIN($E$22:$E$35))*IFERROR(INDEX($F$22:$F$35,MATCH(节奏总纲!D88,$B$22:$B$35,1)),MIN($F$22:$F$35))</f>
        <v>0</v>
      </c>
      <c r="AL92" s="2">
        <f>W92/IFERROR(INDEX($E$22:$E$35,MATCH(节奏总纲!E88,$B$22:$B$35,1)),MIN($E$22:$E$35))*IFERROR(INDEX($F$22:$F$35,MATCH(节奏总纲!E88,$B$22:$B$35,1)),MIN($F$22:$F$35))</f>
        <v>11695.614828553786</v>
      </c>
      <c r="AM92" s="2">
        <f>X92/IFERROR(INDEX($E$22:$E$35,MATCH(节奏总纲!F88,$B$22:$B$35,1)),MIN($E$22:$E$35))*IFERROR(INDEX($F$22:$F$35,MATCH(节奏总纲!F88,$B$22:$B$35,1)),MIN($F$22:$F$35))</f>
        <v>28283.701312201974</v>
      </c>
      <c r="AN92" s="2">
        <f>Y92/IFERROR(INDEX($E$22:$E$35,MATCH(节奏总纲!G88,$B$22:$B$35,1)),MIN($E$22:$E$35))*IFERROR(INDEX($F$22:$F$35,MATCH(节奏总纲!G88,$B$22:$B$35,1)),MIN($F$22:$F$35))</f>
        <v>66846.387537575647</v>
      </c>
      <c r="AO92" s="2">
        <f>Z92/IFERROR(INDEX($E$22:$E$35,MATCH(节奏总纲!H88,$B$22:$B$35,1)),MIN($E$22:$E$35))*IFERROR(INDEX($F$22:$F$35,MATCH(节奏总纲!H88,$B$22:$B$35,1)),MIN($F$22:$F$35))</f>
        <v>119941.58584711286</v>
      </c>
      <c r="AQ92" s="2">
        <v>85</v>
      </c>
      <c r="AR92" s="2">
        <f t="shared" si="25"/>
        <v>21969.535952587605</v>
      </c>
      <c r="AS92" s="2">
        <f t="shared" si="26"/>
        <v>39342.724262552059</v>
      </c>
      <c r="AT92" s="2">
        <f t="shared" si="27"/>
        <v>60544.823101143498</v>
      </c>
      <c r="AU92" s="2">
        <f t="shared" si="28"/>
        <v>105227.58600280562</v>
      </c>
      <c r="AV92" s="2">
        <f t="shared" si="29"/>
        <v>172695.58468595464</v>
      </c>
      <c r="AX92" s="41">
        <f t="shared" si="30"/>
        <v>0</v>
      </c>
      <c r="AY92" s="41">
        <f t="shared" si="31"/>
        <v>0.29727516453877417</v>
      </c>
      <c r="AZ92" s="41">
        <f t="shared" si="32"/>
        <v>0.46715309193244281</v>
      </c>
      <c r="BA92" s="41">
        <f t="shared" si="33"/>
        <v>0.63525535533803235</v>
      </c>
      <c r="BB92" s="41">
        <f t="shared" si="34"/>
        <v>0.6945260706301527</v>
      </c>
      <c r="BD92" s="2" t="e">
        <f t="shared" si="35"/>
        <v>#DIV/0!</v>
      </c>
      <c r="BE92" s="2">
        <f t="shared" si="36"/>
        <v>3.8072889214068382</v>
      </c>
      <c r="BF92" s="2">
        <f t="shared" si="37"/>
        <v>3.5068465997232718</v>
      </c>
      <c r="BG92" s="2">
        <f t="shared" si="38"/>
        <v>2.6124661374813241</v>
      </c>
      <c r="BH92" s="2">
        <f t="shared" si="39"/>
        <v>2.2736017835069235</v>
      </c>
    </row>
    <row r="93" spans="11:60" x14ac:dyDescent="0.2">
      <c r="K93" s="2">
        <v>86</v>
      </c>
      <c r="L93" s="2">
        <f>标准城池设计!AB89*$B$10/C$14*$C$5*C$7</f>
        <v>129225684.39391172</v>
      </c>
      <c r="M93" s="2">
        <f>标准城池设计!AC89*$B$10/D$14*$C$5*D$7</f>
        <v>147906124.4706156</v>
      </c>
      <c r="N93" s="2">
        <f>标准城池设计!AD89*$B$10/E$14*$C$5*E$7</f>
        <v>173305436.6245462</v>
      </c>
      <c r="O93" s="2">
        <f>标准城池设计!AE89*$B$10/F$14*$C$5*F$7</f>
        <v>186918073.15103814</v>
      </c>
      <c r="P93" s="2">
        <f>标准城池设计!AF89*$B$10/G$14*$C$5*G$7</f>
        <v>213881412.77043307</v>
      </c>
      <c r="Q93" s="2">
        <f t="shared" si="23"/>
        <v>21388.141277043305</v>
      </c>
      <c r="U93" s="2">
        <v>86</v>
      </c>
      <c r="V93" s="2">
        <f>其他调用!R90*6*其他调用!BM90*$B$10/C$15*$C$5*C$8/3</f>
        <v>0</v>
      </c>
      <c r="W93" s="2">
        <f>其他调用!S90*6*其他调用!BN90*$B$10/D$15*$C$5*D$8/3</f>
        <v>885128.97820293403</v>
      </c>
      <c r="X93" s="2">
        <f>其他调用!T90*6*其他调用!BO90*$B$10/E$15*$C$5*E$8/3</f>
        <v>2140620.9533462599</v>
      </c>
      <c r="Y93" s="2">
        <f>其他调用!U90*6*其他调用!BP90*$B$10/F$15*$C$5*F$8/3</f>
        <v>5397827.522639446</v>
      </c>
      <c r="Z93" s="2">
        <f>其他调用!V90*6*其他调用!BQ90*$B$10/G$15*$C$5*G$8/3</f>
        <v>9067309.1809277181</v>
      </c>
      <c r="AA93" s="2">
        <f t="shared" si="24"/>
        <v>906.73091809277184</v>
      </c>
      <c r="AE93" s="2">
        <v>86</v>
      </c>
      <c r="AF93" s="2">
        <f>L93/IFERROR(INDEX($C$22:$C$35,MATCH(节奏总纲!D89,$B$22:$B$35,1)),MIN($C$22:$C$35))*IFERROR(INDEX($D$22:$D$35,MATCH(节奏总纲!D89,$B$22:$B$35,1)),MIN($D$22:$D$35))</f>
        <v>22671.172700686267</v>
      </c>
      <c r="AG93" s="2">
        <f>M93/IFERROR(INDEX($C$22:$C$35,MATCH(节奏总纲!E89,$B$22:$B$35,1)),MIN($C$22:$C$35))*IFERROR(INDEX($D$22:$D$35,MATCH(节奏总纲!E89,$B$22:$B$35,1)),MIN($D$22:$D$35))</f>
        <v>28443.485475118385</v>
      </c>
      <c r="AH93" s="2">
        <f>N93/IFERROR(INDEX($C$22:$C$35,MATCH(节奏总纲!F89,$B$22:$B$35,1)),MIN($C$22:$C$35))*IFERROR(INDEX($D$22:$D$35,MATCH(节奏总纲!F89,$B$22:$B$35,1)),MIN($D$22:$D$35))</f>
        <v>33327.968581643501</v>
      </c>
      <c r="AI93" s="2">
        <f>O93/IFERROR(INDEX($C$22:$C$35,MATCH(节奏总纲!G89,$B$22:$B$35,1)),MIN($C$22:$C$35))*IFERROR(INDEX($D$22:$D$35,MATCH(节奏总纲!G89,$B$22:$B$35,1)),MIN($D$22:$D$35))</f>
        <v>38941.265239799613</v>
      </c>
      <c r="AJ93" s="2">
        <f>P93/IFERROR(INDEX($C$22:$C$35,MATCH(节奏总纲!H89,$B$22:$B$35,1)),MIN($C$22:$C$35))*IFERROR(INDEX($D$22:$D$35,MATCH(节奏总纲!H89,$B$22:$B$35,1)),MIN($D$22:$D$35))</f>
        <v>53470.353192608265</v>
      </c>
      <c r="AK93" s="2">
        <f>V93/IFERROR(INDEX($E$22:$E$35,MATCH(节奏总纲!D89,$B$22:$B$35,1)),MIN($E$22:$E$35))*IFERROR(INDEX($F$22:$F$35,MATCH(节奏总纲!D89,$B$22:$B$35,1)),MIN($F$22:$F$35))</f>
        <v>0</v>
      </c>
      <c r="AL93" s="2">
        <f>W93/IFERROR(INDEX($E$22:$E$35,MATCH(节奏总纲!E89,$B$22:$B$35,1)),MIN($E$22:$E$35))*IFERROR(INDEX($F$22:$F$35,MATCH(节奏总纲!E89,$B$22:$B$35,1)),MIN($F$22:$F$35))</f>
        <v>11801.719709372454</v>
      </c>
      <c r="AM93" s="2">
        <f>X93/IFERROR(INDEX($E$22:$E$35,MATCH(节奏总纲!F89,$B$22:$B$35,1)),MIN($E$22:$E$35))*IFERROR(INDEX($F$22:$F$35,MATCH(节奏总纲!F89,$B$22:$B$35,1)),MIN($F$22:$F$35))</f>
        <v>28541.612711283466</v>
      </c>
      <c r="AN93" s="2">
        <f>Y93/IFERROR(INDEX($E$22:$E$35,MATCH(节奏总纲!G89,$B$22:$B$35,1)),MIN($E$22:$E$35))*IFERROR(INDEX($F$22:$F$35,MATCH(节奏总纲!G89,$B$22:$B$35,1)),MIN($F$22:$F$35))</f>
        <v>67472.844032993075</v>
      </c>
      <c r="AO93" s="2">
        <f>Z93/IFERROR(INDEX($E$22:$E$35,MATCH(节奏总纲!H89,$B$22:$B$35,1)),MIN($E$22:$E$35))*IFERROR(INDEX($F$22:$F$35,MATCH(节奏总纲!H89,$B$22:$B$35,1)),MIN($F$22:$F$35))</f>
        <v>120897.4557457029</v>
      </c>
      <c r="AQ93" s="2">
        <v>86</v>
      </c>
      <c r="AR93" s="2">
        <f t="shared" si="25"/>
        <v>22671.172700686267</v>
      </c>
      <c r="AS93" s="2">
        <f t="shared" si="26"/>
        <v>40245.205184490842</v>
      </c>
      <c r="AT93" s="2">
        <f t="shared" si="27"/>
        <v>61869.581292926967</v>
      </c>
      <c r="AU93" s="2">
        <f t="shared" si="28"/>
        <v>106414.10927279269</v>
      </c>
      <c r="AV93" s="2">
        <f t="shared" si="29"/>
        <v>174367.80893831118</v>
      </c>
      <c r="AX93" s="41">
        <f t="shared" si="30"/>
        <v>0</v>
      </c>
      <c r="AY93" s="41">
        <f t="shared" si="31"/>
        <v>0.29324536066523627</v>
      </c>
      <c r="AZ93" s="41">
        <f t="shared" si="32"/>
        <v>0.46131898931319243</v>
      </c>
      <c r="BA93" s="41">
        <f t="shared" si="33"/>
        <v>0.63405919096711472</v>
      </c>
      <c r="BB93" s="41">
        <f t="shared" si="34"/>
        <v>0.69334733562245243</v>
      </c>
      <c r="BD93" s="2" t="e">
        <f t="shared" si="35"/>
        <v>#DIV/0!</v>
      </c>
      <c r="BE93" s="2">
        <f t="shared" si="36"/>
        <v>3.7342637728862953</v>
      </c>
      <c r="BF93" s="2">
        <f t="shared" si="37"/>
        <v>3.4255448412782923</v>
      </c>
      <c r="BG93" s="2">
        <f t="shared" si="38"/>
        <v>2.5990235660357914</v>
      </c>
      <c r="BH93" s="2">
        <f t="shared" si="39"/>
        <v>2.2610184621412928</v>
      </c>
    </row>
    <row r="94" spans="11:60" x14ac:dyDescent="0.2">
      <c r="K94" s="2">
        <v>87</v>
      </c>
      <c r="L94" s="2">
        <f>标准城池设计!AB90*$B$10/C$14*$C$5*C$7</f>
        <v>132942816.7941802</v>
      </c>
      <c r="M94" s="2">
        <f>标准城池设计!AC90*$B$10/D$14*$C$5*D$7</f>
        <v>152273512.68541577</v>
      </c>
      <c r="N94" s="2">
        <f>标准城池设计!AD90*$B$10/E$14*$C$5*E$7</f>
        <v>178688667.26817214</v>
      </c>
      <c r="O94" s="2">
        <f>标准城池设计!AE90*$B$10/F$14*$C$5*F$7</f>
        <v>189455823.08663893</v>
      </c>
      <c r="P94" s="2">
        <f>标准城池设计!AF90*$B$10/G$14*$C$5*G$7</f>
        <v>216675551.83111075</v>
      </c>
      <c r="Q94" s="2">
        <f t="shared" si="23"/>
        <v>21667.555183111075</v>
      </c>
      <c r="U94" s="2">
        <v>87</v>
      </c>
      <c r="V94" s="2">
        <f>其他调用!R91*6*其他调用!BM91*$B$10/C$15*$C$5*C$8/3</f>
        <v>0</v>
      </c>
      <c r="W94" s="2">
        <f>其他调用!S91*6*其他调用!BN91*$B$10/D$15*$C$5*D$8/3</f>
        <v>893314.96640269447</v>
      </c>
      <c r="X94" s="2">
        <f>其他调用!T91*6*其他调用!BO91*$B$10/E$15*$C$5*E$8/3</f>
        <v>2160281.2694474179</v>
      </c>
      <c r="Y94" s="2">
        <f>其他调用!U91*6*其他调用!BP91*$B$10/F$15*$C$5*F$8/3</f>
        <v>5442930.4970620489</v>
      </c>
      <c r="Z94" s="2">
        <f>其他调用!V91*6*其他调用!BQ91*$B$10/G$15*$C$5*G$8/3</f>
        <v>9141903.1492265556</v>
      </c>
      <c r="AA94" s="2">
        <f t="shared" si="24"/>
        <v>914.1903149226556</v>
      </c>
      <c r="AE94" s="2">
        <v>87</v>
      </c>
      <c r="AF94" s="2">
        <f>L94/IFERROR(INDEX($C$22:$C$35,MATCH(节奏总纲!D90,$B$22:$B$35,1)),MIN($C$22:$C$35))*IFERROR(INDEX($D$22:$D$35,MATCH(节奏总纲!D90,$B$22:$B$35,1)),MIN($D$22:$D$35))</f>
        <v>23323.30119196144</v>
      </c>
      <c r="AG94" s="2">
        <f>M94/IFERROR(INDEX($C$22:$C$35,MATCH(节奏总纲!E90,$B$22:$B$35,1)),MIN($C$22:$C$35))*IFERROR(INDEX($D$22:$D$35,MATCH(节奏总纲!E90,$B$22:$B$35,1)),MIN($D$22:$D$35))</f>
        <v>29283.367824118417</v>
      </c>
      <c r="AH94" s="2">
        <f>N94/IFERROR(INDEX($C$22:$C$35,MATCH(节奏总纲!F90,$B$22:$B$35,1)),MIN($C$22:$C$35))*IFERROR(INDEX($D$22:$D$35,MATCH(节奏总纲!F90,$B$22:$B$35,1)),MIN($D$22:$D$35))</f>
        <v>34363.20524387926</v>
      </c>
      <c r="AI94" s="2">
        <f>O94/IFERROR(INDEX($C$22:$C$35,MATCH(节奏总纲!G90,$B$22:$B$35,1)),MIN($C$22:$C$35))*IFERROR(INDEX($D$22:$D$35,MATCH(节奏总纲!G90,$B$22:$B$35,1)),MIN($D$22:$D$35))</f>
        <v>36433.812132045947</v>
      </c>
      <c r="AJ94" s="2">
        <f>P94/IFERROR(INDEX($C$22:$C$35,MATCH(节奏总纲!H90,$B$22:$B$35,1)),MIN($C$22:$C$35))*IFERROR(INDEX($D$22:$D$35,MATCH(节奏总纲!H90,$B$22:$B$35,1)),MIN($D$22:$D$35))</f>
        <v>54168.88795777769</v>
      </c>
      <c r="AK94" s="2">
        <f>V94/IFERROR(INDEX($E$22:$E$35,MATCH(节奏总纲!D90,$B$22:$B$35,1)),MIN($E$22:$E$35))*IFERROR(INDEX($F$22:$F$35,MATCH(节奏总纲!D90,$B$22:$B$35,1)),MIN($F$22:$F$35))</f>
        <v>0</v>
      </c>
      <c r="AL94" s="2">
        <f>W94/IFERROR(INDEX($E$22:$E$35,MATCH(节奏总纲!E90,$B$22:$B$35,1)),MIN($E$22:$E$35))*IFERROR(INDEX($F$22:$F$35,MATCH(节奏总纲!E90,$B$22:$B$35,1)),MIN($F$22:$F$35))</f>
        <v>11910.866218702593</v>
      </c>
      <c r="AM94" s="2">
        <f>X94/IFERROR(INDEX($E$22:$E$35,MATCH(节奏总纲!F90,$B$22:$B$35,1)),MIN($E$22:$E$35))*IFERROR(INDEX($F$22:$F$35,MATCH(节奏总纲!F90,$B$22:$B$35,1)),MIN($F$22:$F$35))</f>
        <v>28803.750259298904</v>
      </c>
      <c r="AN94" s="2">
        <f>Y94/IFERROR(INDEX($E$22:$E$35,MATCH(节奏总纲!G90,$B$22:$B$35,1)),MIN($E$22:$E$35))*IFERROR(INDEX($F$22:$F$35,MATCH(节奏总纲!G90,$B$22:$B$35,1)),MIN($F$22:$F$35))</f>
        <v>72572.406627493983</v>
      </c>
      <c r="AO94" s="2">
        <f>Z94/IFERROR(INDEX($E$22:$E$35,MATCH(节奏总纲!H90,$B$22:$B$35,1)),MIN($E$22:$E$35))*IFERROR(INDEX($F$22:$F$35,MATCH(节奏总纲!H90,$B$22:$B$35,1)),MIN($F$22:$F$35))</f>
        <v>121892.04198968741</v>
      </c>
      <c r="AQ94" s="2">
        <v>87</v>
      </c>
      <c r="AR94" s="2">
        <f t="shared" si="25"/>
        <v>23323.30119196144</v>
      </c>
      <c r="AS94" s="2">
        <f t="shared" si="26"/>
        <v>41194.234042821008</v>
      </c>
      <c r="AT94" s="2">
        <f t="shared" si="27"/>
        <v>63166.955503178164</v>
      </c>
      <c r="AU94" s="2">
        <f t="shared" si="28"/>
        <v>109006.21875953993</v>
      </c>
      <c r="AV94" s="2">
        <f t="shared" si="29"/>
        <v>176060.92994746511</v>
      </c>
      <c r="AX94" s="41">
        <f t="shared" si="30"/>
        <v>0</v>
      </c>
      <c r="AY94" s="41">
        <f t="shared" si="31"/>
        <v>0.2891391597746753</v>
      </c>
      <c r="AZ94" s="41">
        <f t="shared" si="32"/>
        <v>0.45599396123895319</v>
      </c>
      <c r="BA94" s="41">
        <f t="shared" si="33"/>
        <v>0.66576391194325912</v>
      </c>
      <c r="BB94" s="41">
        <f t="shared" si="34"/>
        <v>0.69232874111285692</v>
      </c>
      <c r="BD94" s="2" t="e">
        <f t="shared" si="35"/>
        <v>#DIV/0!</v>
      </c>
      <c r="BE94" s="2">
        <f t="shared" si="36"/>
        <v>3.6607058522835931</v>
      </c>
      <c r="BF94" s="2">
        <f t="shared" si="37"/>
        <v>3.3528595548495184</v>
      </c>
      <c r="BG94" s="2">
        <f t="shared" si="38"/>
        <v>2.9878457282127946</v>
      </c>
      <c r="BH94" s="2">
        <f t="shared" si="39"/>
        <v>2.2502223432147432</v>
      </c>
    </row>
    <row r="95" spans="11:60" x14ac:dyDescent="0.2">
      <c r="K95" s="2">
        <v>88</v>
      </c>
      <c r="L95" s="2">
        <f>标准城池设计!AB91*$B$10/C$14*$C$5*C$7</f>
        <v>141084043.08297926</v>
      </c>
      <c r="M95" s="2">
        <f>标准城池设计!AC91*$B$10/D$14*$C$5*D$7</f>
        <v>161976611.07096645</v>
      </c>
      <c r="N95" s="2">
        <f>标准城池设计!AD91*$B$10/E$14*$C$5*E$7</f>
        <v>189985183.26115343</v>
      </c>
      <c r="O95" s="2">
        <f>标准城池设计!AE91*$B$10/F$14*$C$5*F$7</f>
        <v>198212391.10381249</v>
      </c>
      <c r="P95" s="2">
        <f>标准城池设计!AF91*$B$10/G$14*$C$5*G$7</f>
        <v>227194227.32911611</v>
      </c>
      <c r="Q95" s="2">
        <f t="shared" si="23"/>
        <v>22719.422732911611</v>
      </c>
      <c r="U95" s="2">
        <v>88</v>
      </c>
      <c r="V95" s="2">
        <f>其他调用!R92*6*其他调用!BM92*$B$10/C$15*$C$5*C$8/3</f>
        <v>0</v>
      </c>
      <c r="W95" s="2">
        <f>其他调用!S92*6*其他调用!BN92*$B$10/D$15*$C$5*D$8/3</f>
        <v>901419.55408550333</v>
      </c>
      <c r="X95" s="2">
        <f>其他调用!T92*6*其他调用!BO92*$B$10/E$15*$C$5*E$8/3</f>
        <v>2179382.8703558366</v>
      </c>
      <c r="Y95" s="2">
        <f>其他调用!U92*6*其他调用!BP92*$B$10/F$15*$C$5*F$8/3</f>
        <v>5487288.7301897099</v>
      </c>
      <c r="Z95" s="2">
        <f>其他调用!V92*6*其他调用!BQ92*$B$10/G$15*$C$5*G$8/3</f>
        <v>9215596.494187044</v>
      </c>
      <c r="AA95" s="2">
        <f t="shared" si="24"/>
        <v>921.55964941870445</v>
      </c>
      <c r="AE95" s="2">
        <v>88</v>
      </c>
      <c r="AF95" s="2">
        <f>L95/IFERROR(INDEX($C$22:$C$35,MATCH(节奏总纲!D91,$B$22:$B$35,1)),MIN($C$22:$C$35))*IFERROR(INDEX($D$22:$D$35,MATCH(节奏总纲!D91,$B$22:$B$35,1)),MIN($D$22:$D$35))</f>
        <v>24751.586505785835</v>
      </c>
      <c r="AG95" s="2">
        <f>M95/IFERROR(INDEX($C$22:$C$35,MATCH(节奏总纲!E91,$B$22:$B$35,1)),MIN($C$22:$C$35))*IFERROR(INDEX($D$22:$D$35,MATCH(节奏总纲!E91,$B$22:$B$35,1)),MIN($D$22:$D$35))</f>
        <v>28416.949310695869</v>
      </c>
      <c r="AH95" s="2">
        <f>N95/IFERROR(INDEX($C$22:$C$35,MATCH(节奏总纲!F91,$B$22:$B$35,1)),MIN($C$22:$C$35))*IFERROR(INDEX($D$22:$D$35,MATCH(节奏总纲!F91,$B$22:$B$35,1)),MIN($D$22:$D$35))</f>
        <v>36535.612165606428</v>
      </c>
      <c r="AI95" s="2">
        <f>O95/IFERROR(INDEX($C$22:$C$35,MATCH(节奏总纲!G91,$B$22:$B$35,1)),MIN($C$22:$C$35))*IFERROR(INDEX($D$22:$D$35,MATCH(节奏总纲!G91,$B$22:$B$35,1)),MIN($D$22:$D$35))</f>
        <v>38117.767519963942</v>
      </c>
      <c r="AJ95" s="2">
        <f>P95/IFERROR(INDEX($C$22:$C$35,MATCH(节奏总纲!H91,$B$22:$B$35,1)),MIN($C$22:$C$35))*IFERROR(INDEX($D$22:$D$35,MATCH(节奏总纲!H91,$B$22:$B$35,1)),MIN($D$22:$D$35))</f>
        <v>56798.556832279028</v>
      </c>
      <c r="AK95" s="2">
        <f>V95/IFERROR(INDEX($E$22:$E$35,MATCH(节奏总纲!D91,$B$22:$B$35,1)),MIN($E$22:$E$35))*IFERROR(INDEX($F$22:$F$35,MATCH(节奏总纲!D91,$B$22:$B$35,1)),MIN($F$22:$F$35))</f>
        <v>0</v>
      </c>
      <c r="AL95" s="2">
        <f>W95/IFERROR(INDEX($E$22:$E$35,MATCH(节奏总纲!E91,$B$22:$B$35,1)),MIN($E$22:$E$35))*IFERROR(INDEX($F$22:$F$35,MATCH(节奏总纲!E91,$B$22:$B$35,1)),MIN($F$22:$F$35))</f>
        <v>10015.772823172259</v>
      </c>
      <c r="AM95" s="2">
        <f>X95/IFERROR(INDEX($E$22:$E$35,MATCH(节奏总纲!F91,$B$22:$B$35,1)),MIN($E$22:$E$35))*IFERROR(INDEX($F$22:$F$35,MATCH(节奏总纲!F91,$B$22:$B$35,1)),MIN($F$22:$F$35))</f>
        <v>29058.438271411156</v>
      </c>
      <c r="AN95" s="2">
        <f>Y95/IFERROR(INDEX($E$22:$E$35,MATCH(节奏总纲!G91,$B$22:$B$35,1)),MIN($E$22:$E$35))*IFERROR(INDEX($F$22:$F$35,MATCH(节奏总纲!G91,$B$22:$B$35,1)),MIN($F$22:$F$35))</f>
        <v>73163.849735862794</v>
      </c>
      <c r="AO95" s="2">
        <f>Z95/IFERROR(INDEX($E$22:$E$35,MATCH(节奏总纲!H91,$B$22:$B$35,1)),MIN($E$22:$E$35))*IFERROR(INDEX($F$22:$F$35,MATCH(节奏总纲!H91,$B$22:$B$35,1)),MIN($F$22:$F$35))</f>
        <v>122874.61992249392</v>
      </c>
      <c r="AQ95" s="2">
        <v>88</v>
      </c>
      <c r="AR95" s="2">
        <f t="shared" si="25"/>
        <v>24751.586505785835</v>
      </c>
      <c r="AS95" s="2">
        <f t="shared" si="26"/>
        <v>38432.722133868127</v>
      </c>
      <c r="AT95" s="2">
        <f t="shared" si="27"/>
        <v>65594.050437017577</v>
      </c>
      <c r="AU95" s="2">
        <f t="shared" si="28"/>
        <v>111281.61725582674</v>
      </c>
      <c r="AV95" s="2">
        <f t="shared" si="29"/>
        <v>179673.17675477295</v>
      </c>
      <c r="AX95" s="41">
        <f t="shared" si="30"/>
        <v>0</v>
      </c>
      <c r="AY95" s="41">
        <f t="shared" si="31"/>
        <v>0.26060534531708451</v>
      </c>
      <c r="AZ95" s="41">
        <f t="shared" si="32"/>
        <v>0.44300417610759735</v>
      </c>
      <c r="BA95" s="41">
        <f t="shared" si="33"/>
        <v>0.65746573010046638</v>
      </c>
      <c r="BB95" s="41">
        <f t="shared" si="34"/>
        <v>0.68387848504620929</v>
      </c>
      <c r="BD95" s="2" t="e">
        <f t="shared" si="35"/>
        <v>#DIV/0!</v>
      </c>
      <c r="BE95" s="2">
        <f t="shared" si="36"/>
        <v>3.1721193722445706</v>
      </c>
      <c r="BF95" s="2">
        <f t="shared" si="37"/>
        <v>3.1813823881966807</v>
      </c>
      <c r="BG95" s="2">
        <f t="shared" si="38"/>
        <v>2.8791238769772001</v>
      </c>
      <c r="BH95" s="2">
        <f t="shared" si="39"/>
        <v>2.1633405279174873</v>
      </c>
    </row>
    <row r="96" spans="11:60" x14ac:dyDescent="0.2">
      <c r="K96" s="2">
        <v>89</v>
      </c>
      <c r="L96" s="2">
        <f>标准城池设计!AB92*$B$10/C$14*$C$5*C$7</f>
        <v>144672735.94131839</v>
      </c>
      <c r="M96" s="2">
        <f>标准城池设计!AC92*$B$10/D$14*$C$5*D$7</f>
        <v>166666514.78594777</v>
      </c>
      <c r="N96" s="2">
        <f>标准城池设计!AD92*$B$10/E$14*$C$5*E$7</f>
        <v>195513952.33124638</v>
      </c>
      <c r="O96" s="2">
        <f>标准城池设计!AE92*$B$10/F$14*$C$5*F$7</f>
        <v>200832010.91664994</v>
      </c>
      <c r="P96" s="2">
        <f>标准城池设计!AF92*$B$10/G$14*$C$5*G$7</f>
        <v>231186227.68149707</v>
      </c>
      <c r="Q96" s="2">
        <f t="shared" si="23"/>
        <v>23118.622768149708</v>
      </c>
      <c r="U96" s="2">
        <v>89</v>
      </c>
      <c r="V96" s="2">
        <f>其他调用!R93*6*其他调用!BM93*$B$10/C$15*$C$5*C$8/3</f>
        <v>0</v>
      </c>
      <c r="W96" s="2">
        <f>其他调用!S93*6*其他调用!BN93*$B$10/D$15*$C$5*D$8/3</f>
        <v>909467.69949300075</v>
      </c>
      <c r="X96" s="2">
        <f>其他调用!T93*6*其他调用!BO93*$B$10/E$15*$C$5*E$8/3</f>
        <v>2196862.179541457</v>
      </c>
      <c r="Y96" s="2">
        <f>其他调用!U93*6*其他调用!BP93*$B$10/F$15*$C$5*F$8/3</f>
        <v>5532073.285563712</v>
      </c>
      <c r="Z96" s="2">
        <f>其他调用!V93*6*其他调用!BQ93*$B$10/G$15*$C$5*G$8/3</f>
        <v>9287320.1912920568</v>
      </c>
      <c r="AA96" s="2">
        <f t="shared" si="24"/>
        <v>928.7320191292057</v>
      </c>
      <c r="AE96" s="2">
        <v>89</v>
      </c>
      <c r="AF96" s="2">
        <f>L96/IFERROR(INDEX($C$22:$C$35,MATCH(节奏总纲!D92,$B$22:$B$35,1)),MIN($C$22:$C$35))*IFERROR(INDEX($D$22:$D$35,MATCH(节奏总纲!D92,$B$22:$B$35,1)),MIN($D$22:$D$35))</f>
        <v>25381.181744090947</v>
      </c>
      <c r="AG96" s="2">
        <f>M96/IFERROR(INDEX($C$22:$C$35,MATCH(节奏总纲!E92,$B$22:$B$35,1)),MIN($C$22:$C$35))*IFERROR(INDEX($D$22:$D$35,MATCH(节奏总纲!E92,$B$22:$B$35,1)),MIN($D$22:$D$35))</f>
        <v>29239.739436131189</v>
      </c>
      <c r="AH96" s="2">
        <f>N96/IFERROR(INDEX($C$22:$C$35,MATCH(节奏总纲!F92,$B$22:$B$35,1)),MIN($C$22:$C$35))*IFERROR(INDEX($D$22:$D$35,MATCH(节奏总纲!F92,$B$22:$B$35,1)),MIN($D$22:$D$35))</f>
        <v>37598.836986778151</v>
      </c>
      <c r="AI96" s="2">
        <f>O96/IFERROR(INDEX($C$22:$C$35,MATCH(节奏总纲!G92,$B$22:$B$35,1)),MIN($C$22:$C$35))*IFERROR(INDEX($D$22:$D$35,MATCH(节奏总纲!G92,$B$22:$B$35,1)),MIN($D$22:$D$35))</f>
        <v>38621.540560894216</v>
      </c>
      <c r="AJ96" s="2">
        <f>P96/IFERROR(INDEX($C$22:$C$35,MATCH(节奏总纲!H92,$B$22:$B$35,1)),MIN($C$22:$C$35))*IFERROR(INDEX($D$22:$D$35,MATCH(节奏总纲!H92,$B$22:$B$35,1)),MIN($D$22:$D$35))</f>
        <v>57796.556920374263</v>
      </c>
      <c r="AK96" s="2">
        <f>V96/IFERROR(INDEX($E$22:$E$35,MATCH(节奏总纲!D92,$B$22:$B$35,1)),MIN($E$22:$E$35))*IFERROR(INDEX($F$22:$F$35,MATCH(节奏总纲!D92,$B$22:$B$35,1)),MIN($F$22:$F$35))</f>
        <v>0</v>
      </c>
      <c r="AL96" s="2">
        <f>W96/IFERROR(INDEX($E$22:$E$35,MATCH(节奏总纲!E92,$B$22:$B$35,1)),MIN($E$22:$E$35))*IFERROR(INDEX($F$22:$F$35,MATCH(节奏总纲!E92,$B$22:$B$35,1)),MIN($F$22:$F$35))</f>
        <v>10105.196661033342</v>
      </c>
      <c r="AM96" s="2">
        <f>X96/IFERROR(INDEX($E$22:$E$35,MATCH(节奏总纲!F92,$B$22:$B$35,1)),MIN($E$22:$E$35))*IFERROR(INDEX($F$22:$F$35,MATCH(节奏总纲!F92,$B$22:$B$35,1)),MIN($F$22:$F$35))</f>
        <v>29291.495727219426</v>
      </c>
      <c r="AN96" s="2">
        <f>Y96/IFERROR(INDEX($E$22:$E$35,MATCH(节奏总纲!G92,$B$22:$B$35,1)),MIN($E$22:$E$35))*IFERROR(INDEX($F$22:$F$35,MATCH(节奏总纲!G92,$B$22:$B$35,1)),MIN($F$22:$F$35))</f>
        <v>73760.9771408495</v>
      </c>
      <c r="AO96" s="2">
        <f>Z96/IFERROR(INDEX($E$22:$E$35,MATCH(节奏总纲!H92,$B$22:$B$35,1)),MIN($E$22:$E$35))*IFERROR(INDEX($F$22:$F$35,MATCH(节奏总纲!H92,$B$22:$B$35,1)),MIN($F$22:$F$35))</f>
        <v>123830.9358838941</v>
      </c>
      <c r="AQ96" s="2">
        <v>89</v>
      </c>
      <c r="AR96" s="2">
        <f t="shared" si="25"/>
        <v>25381.181744090947</v>
      </c>
      <c r="AS96" s="2">
        <f t="shared" si="26"/>
        <v>39344.936097164529</v>
      </c>
      <c r="AT96" s="2">
        <f t="shared" si="27"/>
        <v>66890.332713997574</v>
      </c>
      <c r="AU96" s="2">
        <f t="shared" si="28"/>
        <v>112382.51770174372</v>
      </c>
      <c r="AV96" s="2">
        <f t="shared" si="29"/>
        <v>181627.49280426838</v>
      </c>
      <c r="AX96" s="41">
        <f t="shared" si="30"/>
        <v>0</v>
      </c>
      <c r="AY96" s="41">
        <f t="shared" si="31"/>
        <v>0.25683601661159117</v>
      </c>
      <c r="AZ96" s="41">
        <f t="shared" si="32"/>
        <v>0.43790327449051308</v>
      </c>
      <c r="BA96" s="41">
        <f t="shared" si="33"/>
        <v>0.6563385360043863</v>
      </c>
      <c r="BB96" s="41">
        <f t="shared" si="34"/>
        <v>0.68178519656900738</v>
      </c>
      <c r="BD96" s="2" t="e">
        <f t="shared" si="35"/>
        <v>#DIV/0!</v>
      </c>
      <c r="BE96" s="2">
        <f t="shared" si="36"/>
        <v>3.1103823667087229</v>
      </c>
      <c r="BF96" s="2">
        <f t="shared" si="37"/>
        <v>3.1162129549400648</v>
      </c>
      <c r="BG96" s="2">
        <f t="shared" si="38"/>
        <v>2.8647605482444929</v>
      </c>
      <c r="BH96" s="2">
        <f t="shared" si="39"/>
        <v>2.1425313631484091</v>
      </c>
    </row>
    <row r="97" spans="11:60" x14ac:dyDescent="0.2">
      <c r="K97" s="2">
        <v>90</v>
      </c>
      <c r="L97" s="2">
        <f>标准城池设计!AB93*$B$10/C$14*$C$5*C$7</f>
        <v>148328674.96129006</v>
      </c>
      <c r="M97" s="2">
        <f>标准城池设计!AC93*$B$10/D$14*$C$5*D$7</f>
        <v>171453619.02203375</v>
      </c>
      <c r="N97" s="2">
        <f>标准城池设计!AD93*$B$10/E$14*$C$5*E$7</f>
        <v>201144463.48138005</v>
      </c>
      <c r="O97" s="2">
        <f>标准城池设计!AE93*$B$10/F$14*$C$5*F$7</f>
        <v>204317665.89472288</v>
      </c>
      <c r="P97" s="2">
        <f>标准城池设计!AF93*$B$10/G$14*$C$5*G$7</f>
        <v>235216022.26905701</v>
      </c>
      <c r="Q97" s="2">
        <f t="shared" si="23"/>
        <v>23521.602226905699</v>
      </c>
      <c r="U97" s="2">
        <v>90</v>
      </c>
      <c r="V97" s="2">
        <f>其他调用!R94*6*其他调用!BM94*$B$10/C$15*$C$5*C$8/3</f>
        <v>0</v>
      </c>
      <c r="W97" s="2">
        <f>其他调用!S94*6*其他调用!BN94*$B$10/D$15*$C$5*D$8/3</f>
        <v>916766.57185727649</v>
      </c>
      <c r="X97" s="2">
        <f>其他调用!T94*6*其他调用!BO94*$B$10/E$15*$C$5*E$8/3</f>
        <v>2215330.3397683278</v>
      </c>
      <c r="Y97" s="2">
        <f>其他调用!U94*6*其他调用!BP94*$B$10/F$15*$C$5*F$8/3</f>
        <v>5574554.7549620392</v>
      </c>
      <c r="Z97" s="2">
        <f>其他调用!V94*6*其他调用!BQ94*$B$10/G$15*$C$5*G$8/3</f>
        <v>9359922.6572089139</v>
      </c>
      <c r="AA97" s="2">
        <f t="shared" si="24"/>
        <v>935.9922657208914</v>
      </c>
      <c r="AE97" s="2">
        <v>90</v>
      </c>
      <c r="AF97" s="2">
        <f>L97/IFERROR(INDEX($C$22:$C$35,MATCH(节奏总纲!D93,$B$22:$B$35,1)),MIN($C$22:$C$35))*IFERROR(INDEX($D$22:$D$35,MATCH(节奏总纲!D93,$B$22:$B$35,1)),MIN($D$22:$D$35))</f>
        <v>26022.574554612293</v>
      </c>
      <c r="AG97" s="2">
        <f>M97/IFERROR(INDEX($C$22:$C$35,MATCH(节奏总纲!E93,$B$22:$B$35,1)),MIN($C$22:$C$35))*IFERROR(INDEX($D$22:$D$35,MATCH(节奏总纲!E93,$B$22:$B$35,1)),MIN($D$22:$D$35))</f>
        <v>30079.582284567325</v>
      </c>
      <c r="AH97" s="2">
        <f>N97/IFERROR(INDEX($C$22:$C$35,MATCH(节奏总纲!F93,$B$22:$B$35,1)),MIN($C$22:$C$35))*IFERROR(INDEX($D$22:$D$35,MATCH(节奏总纲!F93,$B$22:$B$35,1)),MIN($D$22:$D$35))</f>
        <v>38681.627592573088</v>
      </c>
      <c r="AI97" s="2">
        <f>O97/IFERROR(INDEX($C$22:$C$35,MATCH(节奏总纲!G93,$B$22:$B$35,1)),MIN($C$22:$C$35))*IFERROR(INDEX($D$22:$D$35,MATCH(节奏总纲!G93,$B$22:$B$35,1)),MIN($D$22:$D$35))</f>
        <v>39291.858825908246</v>
      </c>
      <c r="AJ97" s="2">
        <f>P97/IFERROR(INDEX($C$22:$C$35,MATCH(节奏总纲!H93,$B$22:$B$35,1)),MIN($C$22:$C$35))*IFERROR(INDEX($D$22:$D$35,MATCH(节奏总纲!H93,$B$22:$B$35,1)),MIN($D$22:$D$35))</f>
        <v>58804.005567264248</v>
      </c>
      <c r="AK97" s="2">
        <f>V97/IFERROR(INDEX($E$22:$E$35,MATCH(节奏总纲!D93,$B$22:$B$35,1)),MIN($E$22:$E$35))*IFERROR(INDEX($F$22:$F$35,MATCH(节奏总纲!D93,$B$22:$B$35,1)),MIN($F$22:$F$35))</f>
        <v>0</v>
      </c>
      <c r="AL97" s="2">
        <f>W97/IFERROR(INDEX($E$22:$E$35,MATCH(节奏总纲!E93,$B$22:$B$35,1)),MIN($E$22:$E$35))*IFERROR(INDEX($F$22:$F$35,MATCH(节奏总纲!E93,$B$22:$B$35,1)),MIN($F$22:$F$35))</f>
        <v>10186.295242858627</v>
      </c>
      <c r="AM97" s="2">
        <f>X97/IFERROR(INDEX($E$22:$E$35,MATCH(节奏总纲!F93,$B$22:$B$35,1)),MIN($E$22:$E$35))*IFERROR(INDEX($F$22:$F$35,MATCH(节奏总纲!F93,$B$22:$B$35,1)),MIN($F$22:$F$35))</f>
        <v>29537.737863577702</v>
      </c>
      <c r="AN97" s="2">
        <f>Y97/IFERROR(INDEX($E$22:$E$35,MATCH(节奏总纲!G93,$B$22:$B$35,1)),MIN($E$22:$E$35))*IFERROR(INDEX($F$22:$F$35,MATCH(节奏总纲!G93,$B$22:$B$35,1)),MIN($F$22:$F$35))</f>
        <v>74327.396732827183</v>
      </c>
      <c r="AO97" s="2">
        <f>Z97/IFERROR(INDEX($E$22:$E$35,MATCH(节奏总纲!H93,$B$22:$B$35,1)),MIN($E$22:$E$35))*IFERROR(INDEX($F$22:$F$35,MATCH(节奏总纲!H93,$B$22:$B$35,1)),MIN($F$22:$F$35))</f>
        <v>124798.96876278552</v>
      </c>
      <c r="AQ97" s="2">
        <v>90</v>
      </c>
      <c r="AR97" s="2">
        <f t="shared" si="25"/>
        <v>26022.574554612293</v>
      </c>
      <c r="AS97" s="2">
        <f t="shared" si="26"/>
        <v>40265.877527425953</v>
      </c>
      <c r="AT97" s="2">
        <f t="shared" si="27"/>
        <v>68219.365456150786</v>
      </c>
      <c r="AU97" s="2">
        <f t="shared" si="28"/>
        <v>113619.25555873543</v>
      </c>
      <c r="AV97" s="2">
        <f t="shared" si="29"/>
        <v>183602.97433004976</v>
      </c>
      <c r="AX97" s="41">
        <f t="shared" si="30"/>
        <v>0</v>
      </c>
      <c r="AY97" s="41">
        <f t="shared" si="31"/>
        <v>0.25297586612685946</v>
      </c>
      <c r="AZ97" s="41">
        <f t="shared" si="32"/>
        <v>0.43298171517827455</v>
      </c>
      <c r="BA97" s="41">
        <f t="shared" si="33"/>
        <v>0.6541795786930118</v>
      </c>
      <c r="BB97" s="41">
        <f t="shared" si="34"/>
        <v>0.67972193379854218</v>
      </c>
      <c r="BD97" s="2" t="e">
        <f t="shared" si="35"/>
        <v>#DIV/0!</v>
      </c>
      <c r="BE97" s="2">
        <f t="shared" si="36"/>
        <v>3.0478035339195331</v>
      </c>
      <c r="BF97" s="2">
        <f t="shared" si="37"/>
        <v>3.0544462269988855</v>
      </c>
      <c r="BG97" s="2">
        <f t="shared" si="38"/>
        <v>2.8375113428262098</v>
      </c>
      <c r="BH97" s="2">
        <f t="shared" si="39"/>
        <v>2.1222868673466722</v>
      </c>
    </row>
    <row r="98" spans="11:60" x14ac:dyDescent="0.2">
      <c r="K98" s="2">
        <v>91</v>
      </c>
      <c r="L98" s="2">
        <f>标准城池设计!AB94*$B$10/C$14*$C$5*C$7</f>
        <v>152250209.42619708</v>
      </c>
      <c r="M98" s="2">
        <f>标准城池设计!AC94*$B$10/D$14*$C$5*D$7</f>
        <v>176399479.36624959</v>
      </c>
      <c r="N98" s="2">
        <f>标准城池设计!AD94*$B$10/E$14*$C$5*E$7</f>
        <v>206467633.4330354</v>
      </c>
      <c r="O98" s="2">
        <f>标准城池设计!AE94*$B$10/F$14*$C$5*F$7</f>
        <v>207970538.51748344</v>
      </c>
      <c r="P98" s="2">
        <f>标准城池设计!AF94*$B$10/G$14*$C$5*G$7</f>
        <v>239409773.23916462</v>
      </c>
      <c r="Q98" s="2">
        <f t="shared" si="23"/>
        <v>23940.977323916461</v>
      </c>
      <c r="U98" s="2">
        <v>91</v>
      </c>
      <c r="V98" s="2">
        <f>其他调用!R95*6*其他调用!BM95*$B$10/C$15*$C$5*C$8/3</f>
        <v>0</v>
      </c>
      <c r="W98" s="2">
        <f>其他调用!S95*6*其他调用!BN95*$B$10/D$15*$C$5*D$8/3</f>
        <v>925025.05951407726</v>
      </c>
      <c r="X98" s="2">
        <f>其他调用!T95*6*其他调用!BO95*$B$10/E$15*$C$5*E$8/3</f>
        <v>2233582.8347983966</v>
      </c>
      <c r="Y98" s="2">
        <f>其他调用!U95*6*其他调用!BP95*$B$10/F$15*$C$5*F$8/3</f>
        <v>5623107.9388382388</v>
      </c>
      <c r="Z98" s="2">
        <f>其他调用!V95*6*其他调用!BQ95*$B$10/G$15*$C$5*G$8/3</f>
        <v>9436110.0662384368</v>
      </c>
      <c r="AA98" s="2">
        <f t="shared" si="24"/>
        <v>943.61100662384365</v>
      </c>
      <c r="AE98" s="2">
        <v>91</v>
      </c>
      <c r="AF98" s="2">
        <f>L98/IFERROR(INDEX($C$22:$C$35,MATCH(节奏总纲!D94,$B$22:$B$35,1)),MIN($C$22:$C$35))*IFERROR(INDEX($D$22:$D$35,MATCH(节奏总纲!D94,$B$22:$B$35,1)),MIN($D$22:$D$35))</f>
        <v>26710.563057227559</v>
      </c>
      <c r="AG98" s="2">
        <f>M98/IFERROR(INDEX($C$22:$C$35,MATCH(节奏总纲!E94,$B$22:$B$35,1)),MIN($C$22:$C$35))*IFERROR(INDEX($D$22:$D$35,MATCH(节奏总纲!E94,$B$22:$B$35,1)),MIN($D$22:$D$35))</f>
        <v>30947.277081798173</v>
      </c>
      <c r="AH98" s="2">
        <f>N98/IFERROR(INDEX($C$22:$C$35,MATCH(节奏总纲!F94,$B$22:$B$35,1)),MIN($C$22:$C$35))*IFERROR(INDEX($D$22:$D$35,MATCH(节奏总纲!F94,$B$22:$B$35,1)),MIN($D$22:$D$35))</f>
        <v>36222.39183035709</v>
      </c>
      <c r="AI98" s="2">
        <f>O98/IFERROR(INDEX($C$22:$C$35,MATCH(节奏总纲!G94,$B$22:$B$35,1)),MIN($C$22:$C$35))*IFERROR(INDEX($D$22:$D$35,MATCH(节奏总纲!G94,$B$22:$B$35,1)),MIN($D$22:$D$35))</f>
        <v>39994.334330285281</v>
      </c>
      <c r="AJ98" s="2">
        <f>P98/IFERROR(INDEX($C$22:$C$35,MATCH(节奏总纲!H94,$B$22:$B$35,1)),MIN($C$22:$C$35))*IFERROR(INDEX($D$22:$D$35,MATCH(节奏总纲!H94,$B$22:$B$35,1)),MIN($D$22:$D$35))</f>
        <v>59852.443309791153</v>
      </c>
      <c r="AK98" s="2">
        <f>V98/IFERROR(INDEX($E$22:$E$35,MATCH(节奏总纲!D94,$B$22:$B$35,1)),MIN($E$22:$E$35))*IFERROR(INDEX($F$22:$F$35,MATCH(节奏总纲!D94,$B$22:$B$35,1)),MIN($F$22:$F$35))</f>
        <v>0</v>
      </c>
      <c r="AL98" s="2">
        <f>W98/IFERROR(INDEX($E$22:$E$35,MATCH(节奏总纲!E94,$B$22:$B$35,1)),MIN($E$22:$E$35))*IFERROR(INDEX($F$22:$F$35,MATCH(节奏总纲!E94,$B$22:$B$35,1)),MIN($F$22:$F$35))</f>
        <v>10278.056216823081</v>
      </c>
      <c r="AM98" s="2">
        <f>X98/IFERROR(INDEX($E$22:$E$35,MATCH(节奏总纲!F94,$B$22:$B$35,1)),MIN($E$22:$E$35))*IFERROR(INDEX($F$22:$F$35,MATCH(节奏总纲!F94,$B$22:$B$35,1)),MIN($F$22:$F$35))</f>
        <v>24817.587053315518</v>
      </c>
      <c r="AN98" s="2">
        <f>Y98/IFERROR(INDEX($E$22:$E$35,MATCH(节奏总纲!G94,$B$22:$B$35,1)),MIN($E$22:$E$35))*IFERROR(INDEX($F$22:$F$35,MATCH(节奏总纲!G94,$B$22:$B$35,1)),MIN($F$22:$F$35))</f>
        <v>74974.772517843187</v>
      </c>
      <c r="AO98" s="2">
        <f>Z98/IFERROR(INDEX($E$22:$E$35,MATCH(节奏总纲!H94,$B$22:$B$35,1)),MIN($E$22:$E$35))*IFERROR(INDEX($F$22:$F$35,MATCH(节奏总纲!H94,$B$22:$B$35,1)),MIN($F$22:$F$35))</f>
        <v>125814.80088317915</v>
      </c>
      <c r="AQ98" s="2">
        <v>91</v>
      </c>
      <c r="AR98" s="2">
        <f t="shared" si="25"/>
        <v>26710.563057227559</v>
      </c>
      <c r="AS98" s="2">
        <f t="shared" si="26"/>
        <v>41225.333298621255</v>
      </c>
      <c r="AT98" s="2">
        <f t="shared" si="27"/>
        <v>61039.978883672607</v>
      </c>
      <c r="AU98" s="2">
        <f t="shared" si="28"/>
        <v>114969.10684812846</v>
      </c>
      <c r="AV98" s="2">
        <f t="shared" si="29"/>
        <v>185667.24419297031</v>
      </c>
      <c r="AX98" s="41">
        <f t="shared" si="30"/>
        <v>0</v>
      </c>
      <c r="AY98" s="41">
        <f t="shared" si="31"/>
        <v>0.24931408419120826</v>
      </c>
      <c r="AZ98" s="41">
        <f t="shared" si="32"/>
        <v>0.40657922081873288</v>
      </c>
      <c r="BA98" s="41">
        <f t="shared" si="33"/>
        <v>0.65212972922267831</v>
      </c>
      <c r="BB98" s="41">
        <f t="shared" si="34"/>
        <v>0.67763595797444776</v>
      </c>
      <c r="BD98" s="2" t="e">
        <f t="shared" si="35"/>
        <v>#DIV/0!</v>
      </c>
      <c r="BE98" s="2">
        <f t="shared" si="36"/>
        <v>2.9890353748056775</v>
      </c>
      <c r="BF98" s="2">
        <f t="shared" si="37"/>
        <v>2.7405796027546163</v>
      </c>
      <c r="BG98" s="2">
        <f t="shared" si="38"/>
        <v>2.8119522592379793</v>
      </c>
      <c r="BH98" s="2">
        <f t="shared" si="39"/>
        <v>2.1020829547755042</v>
      </c>
    </row>
    <row r="99" spans="11:60" x14ac:dyDescent="0.2">
      <c r="K99" s="2">
        <v>92</v>
      </c>
      <c r="L99" s="2">
        <f>标准城池设计!AB95*$B$10/C$14*$C$5*C$7</f>
        <v>156302692.41805094</v>
      </c>
      <c r="M99" s="2">
        <f>标准城池设计!AC95*$B$10/D$14*$C$5*D$7</f>
        <v>181774190.77421728</v>
      </c>
      <c r="N99" s="2">
        <f>标准城池设计!AD95*$B$10/E$14*$C$5*E$7</f>
        <v>211718618.95817158</v>
      </c>
      <c r="O99" s="2">
        <f>标准城池设计!AE95*$B$10/F$14*$C$5*F$7</f>
        <v>211718595.69118845</v>
      </c>
      <c r="P99" s="2">
        <f>标准城池设计!AF95*$B$10/G$14*$C$5*G$7</f>
        <v>243697072.46890748</v>
      </c>
      <c r="Q99" s="2">
        <f t="shared" si="23"/>
        <v>24369.707246890746</v>
      </c>
      <c r="U99" s="2">
        <v>92</v>
      </c>
      <c r="V99" s="2">
        <f>其他调用!R96*6*其他调用!BM96*$B$10/C$15*$C$5*C$8/3</f>
        <v>0</v>
      </c>
      <c r="W99" s="2">
        <f>其他调用!S96*6*其他调用!BN96*$B$10/D$15*$C$5*D$8/3</f>
        <v>932691.42407803144</v>
      </c>
      <c r="X99" s="2">
        <f>其他调用!T96*6*其他调用!BO96*$B$10/E$15*$C$5*E$8/3</f>
        <v>2253051.3602718026</v>
      </c>
      <c r="Y99" s="2">
        <f>其他调用!U96*6*其他调用!BP96*$B$10/F$15*$C$5*F$8/3</f>
        <v>5669056.559520755</v>
      </c>
      <c r="Z99" s="2">
        <f>其他调用!V96*6*其他调用!BQ96*$B$10/G$15*$C$5*G$8/3</f>
        <v>9514196.3997140434</v>
      </c>
      <c r="AA99" s="2">
        <f t="shared" si="24"/>
        <v>951.41963997140431</v>
      </c>
      <c r="AE99" s="2">
        <v>92</v>
      </c>
      <c r="AF99" s="2">
        <f>L99/IFERROR(INDEX($C$22:$C$35,MATCH(节奏总纲!D95,$B$22:$B$35,1)),MIN($C$22:$C$35))*IFERROR(INDEX($D$22:$D$35,MATCH(节奏总纲!D95,$B$22:$B$35,1)),MIN($D$22:$D$35))</f>
        <v>27421.524985622971</v>
      </c>
      <c r="AG99" s="2">
        <f>M99/IFERROR(INDEX($C$22:$C$35,MATCH(节奏总纲!E95,$B$22:$B$35,1)),MIN($C$22:$C$35))*IFERROR(INDEX($D$22:$D$35,MATCH(节奏总纲!E95,$B$22:$B$35,1)),MIN($D$22:$D$35))</f>
        <v>31890.208907757416</v>
      </c>
      <c r="AH99" s="2">
        <f>N99/IFERROR(INDEX($C$22:$C$35,MATCH(节奏总纲!F95,$B$22:$B$35,1)),MIN($C$22:$C$35))*IFERROR(INDEX($D$22:$D$35,MATCH(节奏总纲!F95,$B$22:$B$35,1)),MIN($D$22:$D$35))</f>
        <v>37143.617361082732</v>
      </c>
      <c r="AI99" s="2">
        <f>O99/IFERROR(INDEX($C$22:$C$35,MATCH(节奏总纲!G95,$B$22:$B$35,1)),MIN($C$22:$C$35))*IFERROR(INDEX($D$22:$D$35,MATCH(节奏总纲!G95,$B$22:$B$35,1)),MIN($D$22:$D$35))</f>
        <v>40715.114555997781</v>
      </c>
      <c r="AJ99" s="2">
        <f>P99/IFERROR(INDEX($C$22:$C$35,MATCH(节奏总纲!H95,$B$22:$B$35,1)),MIN($C$22:$C$35))*IFERROR(INDEX($D$22:$D$35,MATCH(节奏总纲!H95,$B$22:$B$35,1)),MIN($D$22:$D$35))</f>
        <v>50770.223431022394</v>
      </c>
      <c r="AK99" s="2">
        <f>V99/IFERROR(INDEX($E$22:$E$35,MATCH(节奏总纲!D95,$B$22:$B$35,1)),MIN($E$22:$E$35))*IFERROR(INDEX($F$22:$F$35,MATCH(节奏总纲!D95,$B$22:$B$35,1)),MIN($F$22:$F$35))</f>
        <v>0</v>
      </c>
      <c r="AL99" s="2">
        <f>W99/IFERROR(INDEX($E$22:$E$35,MATCH(节奏总纲!E95,$B$22:$B$35,1)),MIN($E$22:$E$35))*IFERROR(INDEX($F$22:$F$35,MATCH(节奏总纲!E95,$B$22:$B$35,1)),MIN($F$22:$F$35))</f>
        <v>10363.23804531146</v>
      </c>
      <c r="AM99" s="2">
        <f>X99/IFERROR(INDEX($E$22:$E$35,MATCH(节奏总纲!F95,$B$22:$B$35,1)),MIN($E$22:$E$35))*IFERROR(INDEX($F$22:$F$35,MATCH(节奏总纲!F95,$B$22:$B$35,1)),MIN($F$22:$F$35))</f>
        <v>25033.90400302003</v>
      </c>
      <c r="AN99" s="2">
        <f>Y99/IFERROR(INDEX($E$22:$E$35,MATCH(节奏总纲!G95,$B$22:$B$35,1)),MIN($E$22:$E$35))*IFERROR(INDEX($F$22:$F$35,MATCH(节奏总纲!G95,$B$22:$B$35,1)),MIN($F$22:$F$35))</f>
        <v>75587.420793610072</v>
      </c>
      <c r="AO99" s="2">
        <f>Z99/IFERROR(INDEX($E$22:$E$35,MATCH(节奏总纲!H95,$B$22:$B$35,1)),MIN($E$22:$E$35))*IFERROR(INDEX($F$22:$F$35,MATCH(节奏总纲!H95,$B$22:$B$35,1)),MIN($F$22:$F$35))</f>
        <v>118927.45499642554</v>
      </c>
      <c r="AQ99" s="2">
        <v>92</v>
      </c>
      <c r="AR99" s="2">
        <f t="shared" si="25"/>
        <v>27421.524985622971</v>
      </c>
      <c r="AS99" s="2">
        <f t="shared" si="26"/>
        <v>42253.44695306888</v>
      </c>
      <c r="AT99" s="2">
        <f t="shared" si="27"/>
        <v>62177.521364102766</v>
      </c>
      <c r="AU99" s="2">
        <f t="shared" si="28"/>
        <v>116302.53534960785</v>
      </c>
      <c r="AV99" s="2">
        <f t="shared" si="29"/>
        <v>169697.67842744794</v>
      </c>
      <c r="AX99" s="41">
        <f t="shared" si="30"/>
        <v>0</v>
      </c>
      <c r="AY99" s="41">
        <f t="shared" si="31"/>
        <v>0.24526373095245843</v>
      </c>
      <c r="AZ99" s="41">
        <f t="shared" si="32"/>
        <v>0.40261984482181318</v>
      </c>
      <c r="BA99" s="41">
        <f t="shared" si="33"/>
        <v>0.64992066223141831</v>
      </c>
      <c r="BB99" s="41">
        <f t="shared" si="34"/>
        <v>0.70081957572136999</v>
      </c>
      <c r="BD99" s="2" t="e">
        <f t="shared" si="35"/>
        <v>#DIV/0!</v>
      </c>
      <c r="BE99" s="2">
        <f t="shared" si="36"/>
        <v>2.9246952466691143</v>
      </c>
      <c r="BF99" s="2">
        <f t="shared" si="37"/>
        <v>2.6959037144561302</v>
      </c>
      <c r="BG99" s="2">
        <f t="shared" si="38"/>
        <v>2.784743022998883</v>
      </c>
      <c r="BH99" s="2">
        <f t="shared" si="39"/>
        <v>2.3424646763275159</v>
      </c>
    </row>
    <row r="100" spans="11:60" x14ac:dyDescent="0.2">
      <c r="K100" s="2">
        <v>93</v>
      </c>
      <c r="L100" s="2">
        <f>标准城池设计!AB96*$B$10/C$14*$C$5*C$7</f>
        <v>160629826.77497637</v>
      </c>
      <c r="M100" s="2">
        <f>标准城池设计!AC96*$B$10/D$14*$C$5*D$7</f>
        <v>187915175.63771731</v>
      </c>
      <c r="N100" s="2">
        <f>标准城池设计!AD96*$B$10/E$14*$C$5*E$7</f>
        <v>217109153.19130632</v>
      </c>
      <c r="O100" s="2">
        <f>标准城池设计!AE96*$B$10/F$14*$C$5*F$7</f>
        <v>215486486.60043567</v>
      </c>
      <c r="P100" s="2">
        <f>标准城池设计!AF96*$B$10/G$14*$C$5*G$7</f>
        <v>248008691.74276605</v>
      </c>
      <c r="Q100" s="2">
        <f t="shared" si="23"/>
        <v>24800.869174276606</v>
      </c>
      <c r="U100" s="2">
        <v>93</v>
      </c>
      <c r="V100" s="2">
        <f>其他调用!R97*6*其他调用!BM97*$B$10/C$15*$C$5*C$8/3</f>
        <v>0</v>
      </c>
      <c r="W100" s="2">
        <f>其他调用!S97*6*其他调用!BN97*$B$10/D$15*$C$5*D$8/3</f>
        <v>940879.14530242095</v>
      </c>
      <c r="X100" s="2">
        <f>其他调用!T97*6*其他调用!BO97*$B$10/E$15*$C$5*E$8/3</f>
        <v>2271752.9461931069</v>
      </c>
      <c r="Y100" s="2">
        <f>其他调用!U97*6*其他调用!BP97*$B$10/F$15*$C$5*F$8/3</f>
        <v>5716655.1926785344</v>
      </c>
      <c r="Z100" s="2">
        <f>其他调用!V97*6*其他调用!BQ97*$B$10/G$15*$C$5*G$8/3</f>
        <v>9589705.0572908651</v>
      </c>
      <c r="AA100" s="2">
        <f t="shared" si="24"/>
        <v>958.97050572908654</v>
      </c>
      <c r="AE100" s="2">
        <v>93</v>
      </c>
      <c r="AF100" s="2">
        <f>L100/IFERROR(INDEX($C$22:$C$35,MATCH(节奏总纲!D96,$B$22:$B$35,1)),MIN($C$22:$C$35))*IFERROR(INDEX($D$22:$D$35,MATCH(节奏总纲!D96,$B$22:$B$35,1)),MIN($D$22:$D$35))</f>
        <v>28180.671364030943</v>
      </c>
      <c r="AG100" s="2">
        <f>M100/IFERROR(INDEX($C$22:$C$35,MATCH(节奏总纲!E96,$B$22:$B$35,1)),MIN($C$22:$C$35))*IFERROR(INDEX($D$22:$D$35,MATCH(节奏总纲!E96,$B$22:$B$35,1)),MIN($D$22:$D$35))</f>
        <v>32967.574673283736</v>
      </c>
      <c r="AH100" s="2">
        <f>N100/IFERROR(INDEX($C$22:$C$35,MATCH(节奏总纲!F96,$B$22:$B$35,1)),MIN($C$22:$C$35))*IFERROR(INDEX($D$22:$D$35,MATCH(节奏总纲!F96,$B$22:$B$35,1)),MIN($D$22:$D$35))</f>
        <v>38089.325121281814</v>
      </c>
      <c r="AI100" s="2">
        <f>O100/IFERROR(INDEX($C$22:$C$35,MATCH(节奏总纲!G96,$B$22:$B$35,1)),MIN($C$22:$C$35))*IFERROR(INDEX($D$22:$D$35,MATCH(节奏总纲!G96,$B$22:$B$35,1)),MIN($D$22:$D$35))</f>
        <v>41439.708961622244</v>
      </c>
      <c r="AJ100" s="2">
        <f>P100/IFERROR(INDEX($C$22:$C$35,MATCH(节奏总纲!H96,$B$22:$B$35,1)),MIN($C$22:$C$35))*IFERROR(INDEX($D$22:$D$35,MATCH(节奏总纲!H96,$B$22:$B$35,1)),MIN($D$22:$D$35))</f>
        <v>51668.477446409597</v>
      </c>
      <c r="AK100" s="2">
        <f>V100/IFERROR(INDEX($E$22:$E$35,MATCH(节奏总纲!D96,$B$22:$B$35,1)),MIN($E$22:$E$35))*IFERROR(INDEX($F$22:$F$35,MATCH(节奏总纲!D96,$B$22:$B$35,1)),MIN($F$22:$F$35))</f>
        <v>0</v>
      </c>
      <c r="AL100" s="2">
        <f>W100/IFERROR(INDEX($E$22:$E$35,MATCH(节奏总纲!E96,$B$22:$B$35,1)),MIN($E$22:$E$35))*IFERROR(INDEX($F$22:$F$35,MATCH(节奏总纲!E96,$B$22:$B$35,1)),MIN($F$22:$F$35))</f>
        <v>10454.212725582454</v>
      </c>
      <c r="AM100" s="2">
        <f>X100/IFERROR(INDEX($E$22:$E$35,MATCH(节奏总纲!F96,$B$22:$B$35,1)),MIN($E$22:$E$35))*IFERROR(INDEX($F$22:$F$35,MATCH(节奏总纲!F96,$B$22:$B$35,1)),MIN($F$22:$F$35))</f>
        <v>25241.699402145634</v>
      </c>
      <c r="AN100" s="2">
        <f>Y100/IFERROR(INDEX($E$22:$E$35,MATCH(节奏总纲!G96,$B$22:$B$35,1)),MIN($E$22:$E$35))*IFERROR(INDEX($F$22:$F$35,MATCH(节奏总纲!G96,$B$22:$B$35,1)),MIN($F$22:$F$35))</f>
        <v>76222.069235713789</v>
      </c>
      <c r="AO100" s="2">
        <f>Z100/IFERROR(INDEX($E$22:$E$35,MATCH(节奏总纲!H96,$B$22:$B$35,1)),MIN($E$22:$E$35))*IFERROR(INDEX($F$22:$F$35,MATCH(节奏总纲!H96,$B$22:$B$35,1)),MIN($F$22:$F$35))</f>
        <v>119871.31321613581</v>
      </c>
      <c r="AQ100" s="2">
        <v>93</v>
      </c>
      <c r="AR100" s="2">
        <f t="shared" si="25"/>
        <v>28180.671364030943</v>
      </c>
      <c r="AS100" s="2">
        <f t="shared" si="26"/>
        <v>43421.787398866189</v>
      </c>
      <c r="AT100" s="2">
        <f t="shared" si="27"/>
        <v>63331.024523427448</v>
      </c>
      <c r="AU100" s="2">
        <f t="shared" si="28"/>
        <v>117661.77819733604</v>
      </c>
      <c r="AV100" s="2">
        <f t="shared" si="29"/>
        <v>171539.79066254542</v>
      </c>
      <c r="AX100" s="41">
        <f t="shared" si="30"/>
        <v>0</v>
      </c>
      <c r="AY100" s="41">
        <f t="shared" si="31"/>
        <v>0.24075961290012282</v>
      </c>
      <c r="AZ100" s="41">
        <f t="shared" si="32"/>
        <v>0.39856767819709299</v>
      </c>
      <c r="BA100" s="41">
        <f t="shared" si="33"/>
        <v>0.64780653839752622</v>
      </c>
      <c r="BB100" s="41">
        <f t="shared" si="34"/>
        <v>0.69879596304246228</v>
      </c>
      <c r="BD100" s="2" t="e">
        <f t="shared" si="35"/>
        <v>#DIV/0!</v>
      </c>
      <c r="BE100" s="2">
        <f t="shared" si="36"/>
        <v>2.853953178620964</v>
      </c>
      <c r="BF100" s="2">
        <f t="shared" si="37"/>
        <v>2.6507898810779649</v>
      </c>
      <c r="BG100" s="2">
        <f t="shared" si="38"/>
        <v>2.7590228483374672</v>
      </c>
      <c r="BH100" s="2">
        <f t="shared" si="39"/>
        <v>2.3200086230616339</v>
      </c>
    </row>
    <row r="101" spans="11:60" x14ac:dyDescent="0.2">
      <c r="K101" s="2">
        <v>94</v>
      </c>
      <c r="L101" s="2">
        <f>标准城池设计!AB97*$B$10/C$14*$C$5*C$7</f>
        <v>165891079.2355724</v>
      </c>
      <c r="M101" s="2">
        <f>标准城池设计!AC97*$B$10/D$14*$C$5*D$7</f>
        <v>193627134.44409579</v>
      </c>
      <c r="N101" s="2">
        <f>标准城池设计!AD97*$B$10/E$14*$C$5*E$7</f>
        <v>221783609.41444504</v>
      </c>
      <c r="O101" s="2">
        <f>标准城池设计!AE97*$B$10/F$14*$C$5*F$7</f>
        <v>219322588.87901583</v>
      </c>
      <c r="P101" s="2">
        <f>标准城池设计!AF97*$B$10/G$14*$C$5*G$7</f>
        <v>252058689.48334408</v>
      </c>
      <c r="Q101" s="2">
        <f t="shared" si="23"/>
        <v>25205.868948334406</v>
      </c>
      <c r="U101" s="2">
        <v>94</v>
      </c>
      <c r="V101" s="2">
        <f>其他调用!R98*6*其他调用!BM98*$B$10/C$15*$C$5*C$8/3</f>
        <v>0</v>
      </c>
      <c r="W101" s="2">
        <f>其他调用!S98*6*其他调用!BN98*$B$10/D$15*$C$5*D$8/3</f>
        <v>948694.43291230046</v>
      </c>
      <c r="X101" s="2">
        <f>其他调用!T98*6*其他调用!BO98*$B$10/E$15*$C$5*E$8/3</f>
        <v>2290984.6068274062</v>
      </c>
      <c r="Y101" s="2">
        <f>其他调用!U98*6*其他调用!BP98*$B$10/F$15*$C$5*F$8/3</f>
        <v>5762486.1676988862</v>
      </c>
      <c r="Z101" s="2">
        <f>其他调用!V98*6*其他调用!BQ98*$B$10/G$15*$C$5*G$8/3</f>
        <v>9667783.8415638804</v>
      </c>
      <c r="AA101" s="2">
        <f t="shared" si="24"/>
        <v>966.77838415638803</v>
      </c>
      <c r="AE101" s="2">
        <v>94</v>
      </c>
      <c r="AF101" s="2">
        <f>L101/IFERROR(INDEX($C$22:$C$35,MATCH(节奏总纲!D97,$B$22:$B$35,1)),MIN($C$22:$C$35))*IFERROR(INDEX($D$22:$D$35,MATCH(节奏总纲!D97,$B$22:$B$35,1)),MIN($D$22:$D$35))</f>
        <v>29103.698111503931</v>
      </c>
      <c r="AG101" s="2">
        <f>M101/IFERROR(INDEX($C$22:$C$35,MATCH(节奏总纲!E97,$B$22:$B$35,1)),MIN($C$22:$C$35))*IFERROR(INDEX($D$22:$D$35,MATCH(节奏总纲!E97,$B$22:$B$35,1)),MIN($D$22:$D$35))</f>
        <v>33969.672709490493</v>
      </c>
      <c r="AH101" s="2">
        <f>N101/IFERROR(INDEX($C$22:$C$35,MATCH(节奏总纲!F97,$B$22:$B$35,1)),MIN($C$22:$C$35))*IFERROR(INDEX($D$22:$D$35,MATCH(节奏总纲!F97,$B$22:$B$35,1)),MIN($D$22:$D$35))</f>
        <v>38909.405160428956</v>
      </c>
      <c r="AI101" s="2">
        <f>O101/IFERROR(INDEX($C$22:$C$35,MATCH(节奏总纲!G97,$B$22:$B$35,1)),MIN($C$22:$C$35))*IFERROR(INDEX($D$22:$D$35,MATCH(节奏总纲!G97,$B$22:$B$35,1)),MIN($D$22:$D$35))</f>
        <v>42177.420938272277</v>
      </c>
      <c r="AJ101" s="2">
        <f>P101/IFERROR(INDEX($C$22:$C$35,MATCH(节奏总纲!H97,$B$22:$B$35,1)),MIN($C$22:$C$35))*IFERROR(INDEX($D$22:$D$35,MATCH(节奏总纲!H97,$B$22:$B$35,1)),MIN($D$22:$D$35))</f>
        <v>52512.226975696685</v>
      </c>
      <c r="AK101" s="2">
        <f>V101/IFERROR(INDEX($E$22:$E$35,MATCH(节奏总纲!D97,$B$22:$B$35,1)),MIN($E$22:$E$35))*IFERROR(INDEX($F$22:$F$35,MATCH(节奏总纲!D97,$B$22:$B$35,1)),MIN($F$22:$F$35))</f>
        <v>0</v>
      </c>
      <c r="AL101" s="2">
        <f>W101/IFERROR(INDEX($E$22:$E$35,MATCH(节奏总纲!E97,$B$22:$B$35,1)),MIN($E$22:$E$35))*IFERROR(INDEX($F$22:$F$35,MATCH(节奏总纲!E97,$B$22:$B$35,1)),MIN($F$22:$F$35))</f>
        <v>10541.049254581116</v>
      </c>
      <c r="AM101" s="2">
        <f>X101/IFERROR(INDEX($E$22:$E$35,MATCH(节奏总纲!F97,$B$22:$B$35,1)),MIN($E$22:$E$35))*IFERROR(INDEX($F$22:$F$35,MATCH(节奏总纲!F97,$B$22:$B$35,1)),MIN($F$22:$F$35))</f>
        <v>25455.384520304513</v>
      </c>
      <c r="AN101" s="2">
        <f>Y101/IFERROR(INDEX($E$22:$E$35,MATCH(节奏总纲!G97,$B$22:$B$35,1)),MIN($E$22:$E$35))*IFERROR(INDEX($F$22:$F$35,MATCH(节奏总纲!G97,$B$22:$B$35,1)),MIN($F$22:$F$35))</f>
        <v>76833.14890265181</v>
      </c>
      <c r="AO101" s="2">
        <f>Z101/IFERROR(INDEX($E$22:$E$35,MATCH(节奏总纲!H97,$B$22:$B$35,1)),MIN($E$22:$E$35))*IFERROR(INDEX($F$22:$F$35,MATCH(节奏总纲!H97,$B$22:$B$35,1)),MIN($F$22:$F$35))</f>
        <v>120847.2980195485</v>
      </c>
      <c r="AQ101" s="2">
        <v>94</v>
      </c>
      <c r="AR101" s="2">
        <f t="shared" si="25"/>
        <v>29103.698111503931</v>
      </c>
      <c r="AS101" s="2">
        <f t="shared" si="26"/>
        <v>44510.721964071607</v>
      </c>
      <c r="AT101" s="2">
        <f t="shared" si="27"/>
        <v>64364.789680733469</v>
      </c>
      <c r="AU101" s="2">
        <f t="shared" si="28"/>
        <v>119010.56984092409</v>
      </c>
      <c r="AV101" s="2">
        <f t="shared" si="29"/>
        <v>173359.52499524518</v>
      </c>
      <c r="AX101" s="41">
        <f t="shared" si="30"/>
        <v>0</v>
      </c>
      <c r="AY101" s="41">
        <f t="shared" si="31"/>
        <v>0.23682045110590869</v>
      </c>
      <c r="AZ101" s="41">
        <f t="shared" si="32"/>
        <v>0.39548617569590472</v>
      </c>
      <c r="BA101" s="41">
        <f t="shared" si="33"/>
        <v>0.64559936991605971</v>
      </c>
      <c r="BB101" s="41">
        <f t="shared" si="34"/>
        <v>0.69709061571819053</v>
      </c>
      <c r="BD101" s="2" t="e">
        <f t="shared" si="35"/>
        <v>#DIV/0!</v>
      </c>
      <c r="BE101" s="2">
        <f t="shared" si="36"/>
        <v>2.7927688353831361</v>
      </c>
      <c r="BF101" s="2">
        <f t="shared" si="37"/>
        <v>2.6168875535720355</v>
      </c>
      <c r="BG101" s="2">
        <f t="shared" si="38"/>
        <v>2.7324981184280706</v>
      </c>
      <c r="BH101" s="2">
        <f t="shared" si="39"/>
        <v>2.3013173308280783</v>
      </c>
    </row>
    <row r="102" spans="11:60" x14ac:dyDescent="0.2">
      <c r="K102" s="2">
        <v>95</v>
      </c>
      <c r="L102" s="2">
        <f>标准城池设计!AB98*$B$10/C$14*$C$5*C$7</f>
        <v>171363333.99316177</v>
      </c>
      <c r="M102" s="2">
        <f>标准城池设计!AC98*$B$10/D$14*$C$5*D$7</f>
        <v>199349401.5745005</v>
      </c>
      <c r="N102" s="2">
        <f>标准城池设计!AD98*$B$10/E$14*$C$5*E$7</f>
        <v>225775495.40124318</v>
      </c>
      <c r="O102" s="2">
        <f>标准城池设计!AE98*$B$10/F$14*$C$5*F$7</f>
        <v>223212547.36884719</v>
      </c>
      <c r="P102" s="2">
        <f>标准城池设计!AF98*$B$10/G$14*$C$5*G$7</f>
        <v>255516440.64294297</v>
      </c>
      <c r="Q102" s="2">
        <f t="shared" si="23"/>
        <v>25551.644064294298</v>
      </c>
      <c r="U102" s="2">
        <v>95</v>
      </c>
      <c r="V102" s="2">
        <f>其他调用!R99*6*其他调用!BM99*$B$10/C$15*$C$5*C$8/3</f>
        <v>0</v>
      </c>
      <c r="W102" s="2">
        <f>其他调用!S99*6*其他调用!BN99*$B$10/D$15*$C$5*D$8/3</f>
        <v>956897.43496465601</v>
      </c>
      <c r="X102" s="2">
        <f>其他调用!T99*6*其他调用!BO99*$B$10/E$15*$C$5*E$8/3</f>
        <v>2309566.2736329604</v>
      </c>
      <c r="Y102" s="2">
        <f>其他调用!U99*6*其他调用!BP99*$B$10/F$15*$C$5*F$8/3</f>
        <v>5809477.3468809715</v>
      </c>
      <c r="Z102" s="2">
        <f>其他调用!V99*6*其他调用!BQ99*$B$10/G$15*$C$5*G$8/3</f>
        <v>9748594.7646707725</v>
      </c>
      <c r="AA102" s="2">
        <f t="shared" si="24"/>
        <v>974.85947646707723</v>
      </c>
      <c r="AE102" s="2">
        <v>95</v>
      </c>
      <c r="AF102" s="2">
        <f>L102/IFERROR(INDEX($C$22:$C$35,MATCH(节奏总纲!D98,$B$22:$B$35,1)),MIN($C$22:$C$35))*IFERROR(INDEX($D$22:$D$35,MATCH(节奏总纲!D98,$B$22:$B$35,1)),MIN($D$22:$D$35))</f>
        <v>25576.617013904743</v>
      </c>
      <c r="AG102" s="2">
        <f>M102/IFERROR(INDEX($C$22:$C$35,MATCH(节奏总纲!E98,$B$22:$B$35,1)),MIN($C$22:$C$35))*IFERROR(INDEX($D$22:$D$35,MATCH(节奏总纲!E98,$B$22:$B$35,1)),MIN($D$22:$D$35))</f>
        <v>34973.579223596578</v>
      </c>
      <c r="AH102" s="2">
        <f>N102/IFERROR(INDEX($C$22:$C$35,MATCH(节奏总纲!F98,$B$22:$B$35,1)),MIN($C$22:$C$35))*IFERROR(INDEX($D$22:$D$35,MATCH(节奏总纲!F98,$B$22:$B$35,1)),MIN($D$22:$D$35))</f>
        <v>39609.736035305817</v>
      </c>
      <c r="AI102" s="2">
        <f>O102/IFERROR(INDEX($C$22:$C$35,MATCH(节奏总纲!G98,$B$22:$B$35,1)),MIN($C$22:$C$35))*IFERROR(INDEX($D$22:$D$35,MATCH(节奏总纲!G98,$B$22:$B$35,1)),MIN($D$22:$D$35))</f>
        <v>42925.489878624459</v>
      </c>
      <c r="AJ102" s="2">
        <f>P102/IFERROR(INDEX($C$22:$C$35,MATCH(节奏总纲!H98,$B$22:$B$35,1)),MIN($C$22:$C$35))*IFERROR(INDEX($D$22:$D$35,MATCH(节奏总纲!H98,$B$22:$B$35,1)),MIN($D$22:$D$35))</f>
        <v>53232.591800613118</v>
      </c>
      <c r="AK102" s="2">
        <f>V102/IFERROR(INDEX($E$22:$E$35,MATCH(节奏总纲!D98,$B$22:$B$35,1)),MIN($E$22:$E$35))*IFERROR(INDEX($F$22:$F$35,MATCH(节奏总纲!D98,$B$22:$B$35,1)),MIN($F$22:$F$35))</f>
        <v>0</v>
      </c>
      <c r="AL102" s="2">
        <f>W102/IFERROR(INDEX($E$22:$E$35,MATCH(节奏总纲!E98,$B$22:$B$35,1)),MIN($E$22:$E$35))*IFERROR(INDEX($F$22:$F$35,MATCH(节奏总纲!E98,$B$22:$B$35,1)),MIN($F$22:$F$35))</f>
        <v>10632.193721829512</v>
      </c>
      <c r="AM102" s="2">
        <f>X102/IFERROR(INDEX($E$22:$E$35,MATCH(节奏总纲!F98,$B$22:$B$35,1)),MIN($E$22:$E$35))*IFERROR(INDEX($F$22:$F$35,MATCH(节奏总纲!F98,$B$22:$B$35,1)),MIN($F$22:$F$35))</f>
        <v>25661.847484810671</v>
      </c>
      <c r="AN102" s="2">
        <f>Y102/IFERROR(INDEX($E$22:$E$35,MATCH(节奏总纲!G98,$B$22:$B$35,1)),MIN($E$22:$E$35))*IFERROR(INDEX($F$22:$F$35,MATCH(节奏总纲!G98,$B$22:$B$35,1)),MIN($F$22:$F$35))</f>
        <v>77459.697958412959</v>
      </c>
      <c r="AO102" s="2">
        <f>Z102/IFERROR(INDEX($E$22:$E$35,MATCH(节奏总纲!H98,$B$22:$B$35,1)),MIN($E$22:$E$35))*IFERROR(INDEX($F$22:$F$35,MATCH(节奏总纲!H98,$B$22:$B$35,1)),MIN($F$22:$F$35))</f>
        <v>121857.43455838466</v>
      </c>
      <c r="AQ102" s="2">
        <v>95</v>
      </c>
      <c r="AR102" s="2">
        <f t="shared" si="25"/>
        <v>25576.617013904743</v>
      </c>
      <c r="AS102" s="2">
        <f t="shared" si="26"/>
        <v>45605.772945426092</v>
      </c>
      <c r="AT102" s="2">
        <f t="shared" si="27"/>
        <v>65271.583520116488</v>
      </c>
      <c r="AU102" s="2">
        <f t="shared" si="28"/>
        <v>120385.18783703742</v>
      </c>
      <c r="AV102" s="2">
        <f t="shared" si="29"/>
        <v>175090.02635899777</v>
      </c>
      <c r="AX102" s="41">
        <f t="shared" si="30"/>
        <v>0</v>
      </c>
      <c r="AY102" s="41">
        <f t="shared" si="31"/>
        <v>0.23313262850631805</v>
      </c>
      <c r="AZ102" s="41">
        <f t="shared" si="32"/>
        <v>0.39315497036933039</v>
      </c>
      <c r="BA102" s="41">
        <f t="shared" si="33"/>
        <v>0.64343213106306996</v>
      </c>
      <c r="BB102" s="41">
        <f t="shared" si="34"/>
        <v>0.69597016513398036</v>
      </c>
      <c r="BD102" s="2" t="e">
        <f t="shared" si="35"/>
        <v>#DIV/0!</v>
      </c>
      <c r="BE102" s="2">
        <f t="shared" si="36"/>
        <v>2.736058064995075</v>
      </c>
      <c r="BF102" s="2">
        <f t="shared" si="37"/>
        <v>2.5914686694137217</v>
      </c>
      <c r="BG102" s="2">
        <f t="shared" si="38"/>
        <v>2.7067727652300633</v>
      </c>
      <c r="BH102" s="2">
        <f t="shared" si="39"/>
        <v>2.2891508836318044</v>
      </c>
    </row>
    <row r="103" spans="11:60" x14ac:dyDescent="0.2">
      <c r="K103" s="2">
        <v>96</v>
      </c>
      <c r="L103" s="2">
        <f>标准城池设计!AB99*$B$10/C$14*$C$5*C$7</f>
        <v>176958337.18123031</v>
      </c>
      <c r="M103" s="2">
        <f>标准城池设计!AC99*$B$10/D$14*$C$5*D$7</f>
        <v>205174979.31422848</v>
      </c>
      <c r="N103" s="2">
        <f>标准城池设计!AD99*$B$10/E$14*$C$5*E$7</f>
        <v>229789213.47174713</v>
      </c>
      <c r="O103" s="2">
        <f>标准城池设计!AE99*$B$10/F$14*$C$5*F$7</f>
        <v>227124411.06390601</v>
      </c>
      <c r="P103" s="2">
        <f>标准城池设计!AF99*$B$10/G$14*$C$5*G$7</f>
        <v>258974191.80254188</v>
      </c>
      <c r="Q103" s="2">
        <f t="shared" si="23"/>
        <v>25897.41918025419</v>
      </c>
      <c r="U103" s="2">
        <v>96</v>
      </c>
      <c r="V103" s="2">
        <f>其他调用!R100*6*其他调用!BM100*$B$10/C$15*$C$5*C$8/3</f>
        <v>0</v>
      </c>
      <c r="W103" s="2">
        <f>其他调用!S100*6*其他调用!BN100*$B$10/D$15*$C$5*D$8/3</f>
        <v>964690.44635861693</v>
      </c>
      <c r="X103" s="2">
        <f>其他调用!T100*6*其他调用!BO100*$B$10/E$15*$C$5*E$8/3</f>
        <v>2328358.8282768284</v>
      </c>
      <c r="Y103" s="2">
        <f>其他调用!U100*6*其他调用!BP100*$B$10/F$15*$C$5*F$8/3</f>
        <v>5857370.1301253559</v>
      </c>
      <c r="Z103" s="2">
        <f>其他调用!V100*6*其他调用!BQ100*$B$10/G$15*$C$5*G$8/3</f>
        <v>9830557.9585330077</v>
      </c>
      <c r="AA103" s="2">
        <f t="shared" si="24"/>
        <v>983.05579585330076</v>
      </c>
      <c r="AE103" s="2">
        <v>96</v>
      </c>
      <c r="AF103" s="2">
        <f>L103/IFERROR(INDEX($C$22:$C$35,MATCH(节奏总纲!D99,$B$22:$B$35,1)),MIN($C$22:$C$35))*IFERROR(INDEX($D$22:$D$35,MATCH(节奏总纲!D99,$B$22:$B$35,1)),MIN($D$22:$D$35))</f>
        <v>26411.692116601538</v>
      </c>
      <c r="AG103" s="2">
        <f>M103/IFERROR(INDEX($C$22:$C$35,MATCH(节奏总纲!E99,$B$22:$B$35,1)),MIN($C$22:$C$35))*IFERROR(INDEX($D$22:$D$35,MATCH(节奏总纲!E99,$B$22:$B$35,1)),MIN($D$22:$D$35))</f>
        <v>35995.610406004998</v>
      </c>
      <c r="AH103" s="2">
        <f>N103/IFERROR(INDEX($C$22:$C$35,MATCH(节奏总纲!F99,$B$22:$B$35,1)),MIN($C$22:$C$35))*IFERROR(INDEX($D$22:$D$35,MATCH(节奏总纲!F99,$B$22:$B$35,1)),MIN($D$22:$D$35))</f>
        <v>40313.897100306516</v>
      </c>
      <c r="AI103" s="2">
        <f>O103/IFERROR(INDEX($C$22:$C$35,MATCH(节奏总纲!G99,$B$22:$B$35,1)),MIN($C$22:$C$35))*IFERROR(INDEX($D$22:$D$35,MATCH(节奏总纲!G99,$B$22:$B$35,1)),MIN($D$22:$D$35))</f>
        <v>39846.387905948424</v>
      </c>
      <c r="AJ103" s="2">
        <f>P103/IFERROR(INDEX($C$22:$C$35,MATCH(节奏总纲!H99,$B$22:$B$35,1)),MIN($C$22:$C$35))*IFERROR(INDEX($D$22:$D$35,MATCH(节奏总纲!H99,$B$22:$B$35,1)),MIN($D$22:$D$35))</f>
        <v>53952.956625529558</v>
      </c>
      <c r="AK103" s="2">
        <f>V103/IFERROR(INDEX($E$22:$E$35,MATCH(节奏总纲!D99,$B$22:$B$35,1)),MIN($E$22:$E$35))*IFERROR(INDEX($F$22:$F$35,MATCH(节奏总纲!D99,$B$22:$B$35,1)),MIN($F$22:$F$35))</f>
        <v>0</v>
      </c>
      <c r="AL103" s="2">
        <f>W103/IFERROR(INDEX($E$22:$E$35,MATCH(节奏总纲!E99,$B$22:$B$35,1)),MIN($E$22:$E$35))*IFERROR(INDEX($F$22:$F$35,MATCH(节奏总纲!E99,$B$22:$B$35,1)),MIN($F$22:$F$35))</f>
        <v>10718.782737317966</v>
      </c>
      <c r="AM103" s="2">
        <f>X103/IFERROR(INDEX($E$22:$E$35,MATCH(节奏总纲!F99,$B$22:$B$35,1)),MIN($E$22:$E$35))*IFERROR(INDEX($F$22:$F$35,MATCH(节奏总纲!F99,$B$22:$B$35,1)),MIN($F$22:$F$35))</f>
        <v>25870.653647520314</v>
      </c>
      <c r="AN103" s="2">
        <f>Y103/IFERROR(INDEX($E$22:$E$35,MATCH(节奏总纲!G99,$B$22:$B$35,1)),MIN($E$22:$E$35))*IFERROR(INDEX($F$22:$F$35,MATCH(节奏总纲!G99,$B$22:$B$35,1)),MIN($F$22:$F$35))</f>
        <v>65081.89033472618</v>
      </c>
      <c r="AO103" s="2">
        <f>Z103/IFERROR(INDEX($E$22:$E$35,MATCH(节奏总纲!H99,$B$22:$B$35,1)),MIN($E$22:$E$35))*IFERROR(INDEX($F$22:$F$35,MATCH(节奏总纲!H99,$B$22:$B$35,1)),MIN($F$22:$F$35))</f>
        <v>122881.97448166259</v>
      </c>
      <c r="AQ103" s="2">
        <v>96</v>
      </c>
      <c r="AR103" s="2">
        <f t="shared" si="25"/>
        <v>26411.692116601538</v>
      </c>
      <c r="AS103" s="2">
        <f t="shared" si="26"/>
        <v>46714.393143322966</v>
      </c>
      <c r="AT103" s="2">
        <f t="shared" si="27"/>
        <v>66184.550747826826</v>
      </c>
      <c r="AU103" s="2">
        <f t="shared" si="28"/>
        <v>104928.27824067461</v>
      </c>
      <c r="AV103" s="2">
        <f t="shared" si="29"/>
        <v>176834.93110719215</v>
      </c>
      <c r="AX103" s="41">
        <f t="shared" si="30"/>
        <v>0</v>
      </c>
      <c r="AY103" s="41">
        <f t="shared" si="31"/>
        <v>0.22945353703797466</v>
      </c>
      <c r="AZ103" s="41">
        <f t="shared" si="32"/>
        <v>0.39088659445754081</v>
      </c>
      <c r="BA103" s="41">
        <f t="shared" si="33"/>
        <v>0.62025119849434163</v>
      </c>
      <c r="BB103" s="41">
        <f t="shared" si="34"/>
        <v>0.69489649874195469</v>
      </c>
      <c r="BD103" s="2" t="e">
        <f t="shared" si="35"/>
        <v>#DIV/0!</v>
      </c>
      <c r="BE103" s="2">
        <f t="shared" si="36"/>
        <v>2.6800224679553759</v>
      </c>
      <c r="BF103" s="2">
        <f t="shared" si="37"/>
        <v>2.5669216333167277</v>
      </c>
      <c r="BG103" s="2">
        <f t="shared" si="38"/>
        <v>2.4499795497778538</v>
      </c>
      <c r="BH103" s="2">
        <f t="shared" si="39"/>
        <v>2.2775762843646845</v>
      </c>
    </row>
    <row r="104" spans="11:60" x14ac:dyDescent="0.2">
      <c r="K104" s="2">
        <v>97</v>
      </c>
      <c r="L104" s="2">
        <f>标准城池设计!AB100*$B$10/C$14*$C$5*C$7</f>
        <v>182603758.93823487</v>
      </c>
      <c r="M104" s="2">
        <f>标准城池设计!AC100*$B$10/D$14*$C$5*D$7</f>
        <v>210545439.21999794</v>
      </c>
      <c r="N104" s="2">
        <f>标准城池设计!AD100*$B$10/E$14*$C$5*E$7</f>
        <v>233824763.62595668</v>
      </c>
      <c r="O104" s="2">
        <f>标准城池设计!AE100*$B$10/F$14*$C$5*F$7</f>
        <v>231058179.96419224</v>
      </c>
      <c r="P104" s="2">
        <f>标准城池设计!AF100*$B$10/G$14*$C$5*G$7</f>
        <v>262431942.96214077</v>
      </c>
      <c r="Q104" s="2">
        <f t="shared" si="23"/>
        <v>26243.194296214078</v>
      </c>
      <c r="U104" s="2">
        <v>97</v>
      </c>
      <c r="V104" s="2">
        <f>其他调用!R101*6*其他调用!BM101*$B$10/C$15*$C$5*C$8/3</f>
        <v>0</v>
      </c>
      <c r="W104" s="2">
        <f>其他调用!S101*6*其他调用!BN101*$B$10/D$15*$C$5*D$8/3</f>
        <v>972678.42953313619</v>
      </c>
      <c r="X104" s="2">
        <f>其他调用!T101*6*其他调用!BO101*$B$10/E$15*$C$5*E$8/3</f>
        <v>2348131.0381131377</v>
      </c>
      <c r="Y104" s="2">
        <f>其他调用!U101*6*其他调用!BP101*$B$10/F$15*$C$5*F$8/3</f>
        <v>5907880.1101151519</v>
      </c>
      <c r="Z104" s="2">
        <f>其他调用!V101*6*其他调用!BQ101*$B$10/G$15*$C$5*G$8/3</f>
        <v>9916219.9143210668</v>
      </c>
      <c r="AA104" s="2">
        <f t="shared" si="24"/>
        <v>991.62199143210671</v>
      </c>
      <c r="AE104" s="2">
        <v>97</v>
      </c>
      <c r="AF104" s="2">
        <f>L104/IFERROR(INDEX($C$22:$C$35,MATCH(节奏总纲!D100,$B$22:$B$35,1)),MIN($C$22:$C$35))*IFERROR(INDEX($D$22:$D$35,MATCH(节奏总纲!D100,$B$22:$B$35,1)),MIN($D$22:$D$35))</f>
        <v>27254.292378841026</v>
      </c>
      <c r="AG104" s="2">
        <f>M104/IFERROR(INDEX($C$22:$C$35,MATCH(节奏总纲!E100,$B$22:$B$35,1)),MIN($C$22:$C$35))*IFERROR(INDEX($D$22:$D$35,MATCH(节奏总纲!E100,$B$22:$B$35,1)),MIN($D$22:$D$35))</f>
        <v>36937.796354385602</v>
      </c>
      <c r="AH104" s="2">
        <f>N104/IFERROR(INDEX($C$22:$C$35,MATCH(节奏总纲!F100,$B$22:$B$35,1)),MIN($C$22:$C$35))*IFERROR(INDEX($D$22:$D$35,MATCH(节奏总纲!F100,$B$22:$B$35,1)),MIN($D$22:$D$35))</f>
        <v>41021.888355430994</v>
      </c>
      <c r="AI104" s="2">
        <f>O104/IFERROR(INDEX($C$22:$C$35,MATCH(节奏总纲!G100,$B$22:$B$35,1)),MIN($C$22:$C$35))*IFERROR(INDEX($D$22:$D$35,MATCH(节奏总纲!G100,$B$22:$B$35,1)),MIN($D$22:$D$35))</f>
        <v>40536.522800735482</v>
      </c>
      <c r="AJ104" s="2">
        <f>P104/IFERROR(INDEX($C$22:$C$35,MATCH(节奏总纲!H100,$B$22:$B$35,1)),MIN($C$22:$C$35))*IFERROR(INDEX($D$22:$D$35,MATCH(节奏总纲!H100,$B$22:$B$35,1)),MIN($D$22:$D$35))</f>
        <v>50467.681338873226</v>
      </c>
      <c r="AK104" s="2">
        <f>V104/IFERROR(INDEX($E$22:$E$35,MATCH(节奏总纲!D100,$B$22:$B$35,1)),MIN($E$22:$E$35))*IFERROR(INDEX($F$22:$F$35,MATCH(节奏总纲!D100,$B$22:$B$35,1)),MIN($F$22:$F$35))</f>
        <v>0</v>
      </c>
      <c r="AL104" s="2">
        <f>W104/IFERROR(INDEX($E$22:$E$35,MATCH(节奏总纲!E100,$B$22:$B$35,1)),MIN($E$22:$E$35))*IFERROR(INDEX($F$22:$F$35,MATCH(节奏总纲!E100,$B$22:$B$35,1)),MIN($F$22:$F$35))</f>
        <v>10807.538105923735</v>
      </c>
      <c r="AM104" s="2">
        <f>X104/IFERROR(INDEX($E$22:$E$35,MATCH(节奏总纲!F100,$B$22:$B$35,1)),MIN($E$22:$E$35))*IFERROR(INDEX($F$22:$F$35,MATCH(节奏总纲!F100,$B$22:$B$35,1)),MIN($F$22:$F$35))</f>
        <v>26090.344867923752</v>
      </c>
      <c r="AN104" s="2">
        <f>Y104/IFERROR(INDEX($E$22:$E$35,MATCH(节奏总纲!G100,$B$22:$B$35,1)),MIN($E$22:$E$35))*IFERROR(INDEX($F$22:$F$35,MATCH(节奏总纲!G100,$B$22:$B$35,1)),MIN($F$22:$F$35))</f>
        <v>65643.112334612801</v>
      </c>
      <c r="AO104" s="2">
        <f>Z104/IFERROR(INDEX($E$22:$E$35,MATCH(节奏总纲!H100,$B$22:$B$35,1)),MIN($E$22:$E$35))*IFERROR(INDEX($F$22:$F$35,MATCH(节奏总纲!H100,$B$22:$B$35,1)),MIN($F$22:$F$35))</f>
        <v>132216.2655242809</v>
      </c>
      <c r="AQ104" s="2">
        <v>97</v>
      </c>
      <c r="AR104" s="2">
        <f t="shared" si="25"/>
        <v>27254.292378841026</v>
      </c>
      <c r="AS104" s="2">
        <f t="shared" si="26"/>
        <v>47745.334460309336</v>
      </c>
      <c r="AT104" s="2">
        <f t="shared" si="27"/>
        <v>67112.233223354749</v>
      </c>
      <c r="AU104" s="2">
        <f t="shared" si="28"/>
        <v>106179.63513534828</v>
      </c>
      <c r="AV104" s="2">
        <f t="shared" si="29"/>
        <v>182683.94686315412</v>
      </c>
      <c r="AX104" s="41">
        <f t="shared" si="30"/>
        <v>0</v>
      </c>
      <c r="AY104" s="41">
        <f t="shared" si="31"/>
        <v>0.2263579934686191</v>
      </c>
      <c r="AZ104" s="41">
        <f t="shared" si="32"/>
        <v>0.38875691680670271</v>
      </c>
      <c r="BA104" s="41">
        <f t="shared" si="33"/>
        <v>0.61822695332242239</v>
      </c>
      <c r="BB104" s="41">
        <f t="shared" si="34"/>
        <v>0.7237432067488786</v>
      </c>
      <c r="BD104" s="2" t="e">
        <f t="shared" si="35"/>
        <v>#DIV/0!</v>
      </c>
      <c r="BE104" s="2">
        <f t="shared" si="36"/>
        <v>2.6332876498672095</v>
      </c>
      <c r="BF104" s="2">
        <f t="shared" si="37"/>
        <v>2.5440413314829367</v>
      </c>
      <c r="BG104" s="2">
        <f t="shared" si="38"/>
        <v>2.4290358841566122</v>
      </c>
      <c r="BH104" s="2">
        <f t="shared" si="39"/>
        <v>2.6198204874223143</v>
      </c>
    </row>
    <row r="105" spans="11:60" x14ac:dyDescent="0.2">
      <c r="K105" s="2">
        <v>98</v>
      </c>
      <c r="L105" s="2">
        <f>标准城池设计!AB101*$B$10/C$14*$C$5*C$7</f>
        <v>188085663.35011387</v>
      </c>
      <c r="M105" s="2">
        <f>标准城池设计!AC101*$B$10/D$14*$C$5*D$7</f>
        <v>214087897.90897936</v>
      </c>
      <c r="N105" s="2">
        <f>标准城池设计!AD101*$B$10/E$14*$C$5*E$7</f>
        <v>237580255.96969855</v>
      </c>
      <c r="O105" s="2">
        <f>标准城池设计!AE101*$B$10/F$14*$C$5*F$7</f>
        <v>234201429.99368334</v>
      </c>
      <c r="P105" s="2">
        <f>标准城池设计!AF101*$B$10/G$14*$C$5*G$7</f>
        <v>265889694.12173969</v>
      </c>
      <c r="Q105" s="2">
        <f t="shared" si="23"/>
        <v>26588.96941217397</v>
      </c>
      <c r="U105" s="2">
        <v>98</v>
      </c>
      <c r="V105" s="2">
        <f>其他调用!R102*6*其他调用!BM102*$B$10/C$15*$C$5*C$8/3</f>
        <v>0</v>
      </c>
      <c r="W105" s="2">
        <f>其他调用!S102*6*其他调用!BN102*$B$10/D$15*$C$5*D$8/3</f>
        <v>980919.1602200059</v>
      </c>
      <c r="X105" s="2">
        <f>其他调用!T102*6*其他调用!BO102*$B$10/E$15*$C$5*E$8/3</f>
        <v>2368339.8789113443</v>
      </c>
      <c r="Y105" s="2">
        <f>其他调用!U102*6*其他调用!BP102*$B$10/F$15*$C$5*F$8/3</f>
        <v>5959114.7797919465</v>
      </c>
      <c r="Z105" s="2">
        <f>其他调用!V102*6*其他调用!BQ102*$B$10/G$15*$C$5*G$8/3</f>
        <v>10002626.173287043</v>
      </c>
      <c r="AA105" s="2">
        <f t="shared" si="24"/>
        <v>1000.2626173287043</v>
      </c>
      <c r="AE105" s="2">
        <v>98</v>
      </c>
      <c r="AF105" s="2">
        <f>L105/IFERROR(INDEX($C$22:$C$35,MATCH(节奏总纲!D101,$B$22:$B$35,1)),MIN($C$22:$C$35))*IFERROR(INDEX($D$22:$D$35,MATCH(节奏总纲!D101,$B$22:$B$35,1)),MIN($D$22:$D$35))</f>
        <v>28072.487067181173</v>
      </c>
      <c r="AG105" s="2">
        <f>M105/IFERROR(INDEX($C$22:$C$35,MATCH(节奏总纲!E101,$B$22:$B$35,1)),MIN($C$22:$C$35))*IFERROR(INDEX($D$22:$D$35,MATCH(节奏总纲!E101,$B$22:$B$35,1)),MIN($D$22:$D$35))</f>
        <v>31953.417598355129</v>
      </c>
      <c r="AH105" s="2">
        <f>N105/IFERROR(INDEX($C$22:$C$35,MATCH(节奏总纲!F101,$B$22:$B$35,1)),MIN($C$22:$C$35))*IFERROR(INDEX($D$22:$D$35,MATCH(节奏总纲!F101,$B$22:$B$35,1)),MIN($D$22:$D$35))</f>
        <v>41680.746661350626</v>
      </c>
      <c r="AI105" s="2">
        <f>O105/IFERROR(INDEX($C$22:$C$35,MATCH(节奏总纲!G101,$B$22:$B$35,1)),MIN($C$22:$C$35))*IFERROR(INDEX($D$22:$D$35,MATCH(节奏总纲!G101,$B$22:$B$35,1)),MIN($D$22:$D$35))</f>
        <v>41087.97017433041</v>
      </c>
      <c r="AJ105" s="2">
        <f>P105/IFERROR(INDEX($C$22:$C$35,MATCH(节奏总纲!H101,$B$22:$B$35,1)),MIN($C$22:$C$35))*IFERROR(INDEX($D$22:$D$35,MATCH(节奏总纲!H101,$B$22:$B$35,1)),MIN($D$22:$D$35))</f>
        <v>51132.63348494994</v>
      </c>
      <c r="AK105" s="2">
        <f>V105/IFERROR(INDEX($E$22:$E$35,MATCH(节奏总纲!D101,$B$22:$B$35,1)),MIN($E$22:$E$35))*IFERROR(INDEX($F$22:$F$35,MATCH(节奏总纲!D101,$B$22:$B$35,1)),MIN($F$22:$F$35))</f>
        <v>0</v>
      </c>
      <c r="AL105" s="2">
        <f>W105/IFERROR(INDEX($E$22:$E$35,MATCH(节奏总纲!E101,$B$22:$B$35,1)),MIN($E$22:$E$35))*IFERROR(INDEX($F$22:$F$35,MATCH(节奏总纲!E101,$B$22:$B$35,1)),MIN($F$22:$F$35))</f>
        <v>10325.464844421114</v>
      </c>
      <c r="AM105" s="2">
        <f>X105/IFERROR(INDEX($E$22:$E$35,MATCH(节奏总纲!F101,$B$22:$B$35,1)),MIN($E$22:$E$35))*IFERROR(INDEX($F$22:$F$35,MATCH(节奏总纲!F101,$B$22:$B$35,1)),MIN($F$22:$F$35))</f>
        <v>26314.887543459383</v>
      </c>
      <c r="AN105" s="2">
        <f>Y105/IFERROR(INDEX($E$22:$E$35,MATCH(节奏总纲!G101,$B$22:$B$35,1)),MIN($E$22:$E$35))*IFERROR(INDEX($F$22:$F$35,MATCH(节奏总纲!G101,$B$22:$B$35,1)),MIN($F$22:$F$35))</f>
        <v>66212.386442132745</v>
      </c>
      <c r="AO105" s="2">
        <f>Z105/IFERROR(INDEX($E$22:$E$35,MATCH(节奏总纲!H101,$B$22:$B$35,1)),MIN($E$22:$E$35))*IFERROR(INDEX($F$22:$F$35,MATCH(节奏总纲!H101,$B$22:$B$35,1)),MIN($F$22:$F$35))</f>
        <v>133368.34897716058</v>
      </c>
      <c r="AQ105" s="2">
        <v>98</v>
      </c>
      <c r="AR105" s="2">
        <f t="shared" si="25"/>
        <v>28072.487067181173</v>
      </c>
      <c r="AS105" s="2">
        <f t="shared" si="26"/>
        <v>42278.882442776245</v>
      </c>
      <c r="AT105" s="2">
        <f t="shared" si="27"/>
        <v>67995.634204810005</v>
      </c>
      <c r="AU105" s="2">
        <f t="shared" si="28"/>
        <v>107300.35661646316</v>
      </c>
      <c r="AV105" s="2">
        <f t="shared" si="29"/>
        <v>184500.98246211052</v>
      </c>
      <c r="AX105" s="41">
        <f t="shared" si="30"/>
        <v>0</v>
      </c>
      <c r="AY105" s="41">
        <f t="shared" si="31"/>
        <v>0.2442227478078792</v>
      </c>
      <c r="AZ105" s="41">
        <f t="shared" si="32"/>
        <v>0.3870084874007671</v>
      </c>
      <c r="BA105" s="41">
        <f t="shared" si="33"/>
        <v>0.61707517598290751</v>
      </c>
      <c r="BB105" s="41">
        <f t="shared" si="34"/>
        <v>0.72285983086593786</v>
      </c>
      <c r="BD105" s="2" t="e">
        <f t="shared" si="35"/>
        <v>#DIV/0!</v>
      </c>
      <c r="BE105" s="2">
        <f t="shared" si="36"/>
        <v>2.9082705570928913</v>
      </c>
      <c r="BF105" s="2">
        <f t="shared" si="37"/>
        <v>2.5253758294939987</v>
      </c>
      <c r="BG105" s="2">
        <f t="shared" si="38"/>
        <v>2.4172179653023624</v>
      </c>
      <c r="BH105" s="2">
        <f t="shared" si="39"/>
        <v>2.6082824194145093</v>
      </c>
    </row>
    <row r="106" spans="11:60" x14ac:dyDescent="0.2">
      <c r="K106" s="2">
        <v>99</v>
      </c>
      <c r="L106" s="2">
        <f>标准城池设计!AB102*$B$10/C$14*$C$5*C$7</f>
        <v>193669360.42564273</v>
      </c>
      <c r="M106" s="2">
        <f>标准城池设计!AC102*$B$10/D$14*$C$5*D$7</f>
        <v>217645318.76939592</v>
      </c>
      <c r="N106" s="2">
        <f>标准城池设计!AD102*$B$10/E$14*$C$5*E$7</f>
        <v>241312449.335915</v>
      </c>
      <c r="O106" s="2">
        <f>标准城池设计!AE102*$B$10/F$14*$C$5*F$7</f>
        <v>237339840.40195444</v>
      </c>
      <c r="P106" s="2">
        <f>标准城池设计!AF102*$B$10/G$14*$C$5*G$7</f>
        <v>269347445.28133845</v>
      </c>
      <c r="Q106" s="2">
        <f t="shared" si="23"/>
        <v>26934.744528133844</v>
      </c>
      <c r="U106" s="2">
        <v>99</v>
      </c>
      <c r="V106" s="2">
        <f>其他调用!R103*6*其他调用!BM103*$B$10/C$15*$C$5*C$8/3</f>
        <v>0</v>
      </c>
      <c r="W106" s="2">
        <f>其他调用!S103*6*其他调用!BN103*$B$10/D$15*$C$5*D$8/3</f>
        <v>989125.83706968429</v>
      </c>
      <c r="X106" s="2">
        <f>其他调用!T103*6*其他调用!BO103*$B$10/E$15*$C$5*E$8/3</f>
        <v>2388193.8491351837</v>
      </c>
      <c r="Y106" s="2">
        <f>其他调用!U103*6*其他调用!BP103*$B$10/F$15*$C$5*F$8/3</f>
        <v>6009382.8207167527</v>
      </c>
      <c r="Z106" s="2">
        <f>其他调用!V103*6*其他调用!BQ103*$B$10/G$15*$C$5*G$8/3</f>
        <v>10080897.251169376</v>
      </c>
      <c r="AA106" s="2">
        <f t="shared" si="24"/>
        <v>1008.0897251169376</v>
      </c>
      <c r="AE106" s="2">
        <v>99</v>
      </c>
      <c r="AF106" s="2">
        <f>L106/IFERROR(INDEX($C$22:$C$35,MATCH(节奏总纲!D102,$B$22:$B$35,1)),MIN($C$22:$C$35))*IFERROR(INDEX($D$22:$D$35,MATCH(节奏总纲!D102,$B$22:$B$35,1)),MIN($D$22:$D$35))</f>
        <v>28905.874690394437</v>
      </c>
      <c r="AG106" s="2">
        <f>M106/IFERROR(INDEX($C$22:$C$35,MATCH(节奏总纲!E102,$B$22:$B$35,1)),MIN($C$22:$C$35))*IFERROR(INDEX($D$22:$D$35,MATCH(节奏总纲!E102,$B$22:$B$35,1)),MIN($D$22:$D$35))</f>
        <v>32484.375935730735</v>
      </c>
      <c r="AH106" s="2">
        <f>N106/IFERROR(INDEX($C$22:$C$35,MATCH(节奏总纲!F102,$B$22:$B$35,1)),MIN($C$22:$C$35))*IFERROR(INDEX($D$22:$D$35,MATCH(节奏总纲!F102,$B$22:$B$35,1)),MIN($D$22:$D$35))</f>
        <v>42335.517427353509</v>
      </c>
      <c r="AI106" s="2">
        <f>O106/IFERROR(INDEX($C$22:$C$35,MATCH(节奏总纲!G102,$B$22:$B$35,1)),MIN($C$22:$C$35))*IFERROR(INDEX($D$22:$D$35,MATCH(节奏总纲!G102,$B$22:$B$35,1)),MIN($D$22:$D$35))</f>
        <v>41638.568491570957</v>
      </c>
      <c r="AJ106" s="2">
        <f>P106/IFERROR(INDEX($C$22:$C$35,MATCH(节奏总纲!H102,$B$22:$B$35,1)),MIN($C$22:$C$35))*IFERROR(INDEX($D$22:$D$35,MATCH(节奏总纲!H102,$B$22:$B$35,1)),MIN($D$22:$D$35))</f>
        <v>51797.585631026624</v>
      </c>
      <c r="AK106" s="2">
        <f>V106/IFERROR(INDEX($E$22:$E$35,MATCH(节奏总纲!D102,$B$22:$B$35,1)),MIN($E$22:$E$35))*IFERROR(INDEX($F$22:$F$35,MATCH(节奏总纲!D102,$B$22:$B$35,1)),MIN($F$22:$F$35))</f>
        <v>0</v>
      </c>
      <c r="AL106" s="2">
        <f>W106/IFERROR(INDEX($E$22:$E$35,MATCH(节奏总纲!E102,$B$22:$B$35,1)),MIN($E$22:$E$35))*IFERROR(INDEX($F$22:$F$35,MATCH(节奏总纲!E102,$B$22:$B$35,1)),MIN($F$22:$F$35))</f>
        <v>10411.850916522993</v>
      </c>
      <c r="AM106" s="2">
        <f>X106/IFERROR(INDEX($E$22:$E$35,MATCH(节奏总纲!F102,$B$22:$B$35,1)),MIN($E$22:$E$35))*IFERROR(INDEX($F$22:$F$35,MATCH(节奏总纲!F102,$B$22:$B$35,1)),MIN($F$22:$F$35))</f>
        <v>26535.487212613152</v>
      </c>
      <c r="AN106" s="2">
        <f>Y106/IFERROR(INDEX($E$22:$E$35,MATCH(节奏总纲!G102,$B$22:$B$35,1)),MIN($E$22:$E$35))*IFERROR(INDEX($F$22:$F$35,MATCH(节奏总纲!G102,$B$22:$B$35,1)),MIN($F$22:$F$35))</f>
        <v>66770.920230186137</v>
      </c>
      <c r="AO106" s="2">
        <f>Z106/IFERROR(INDEX($E$22:$E$35,MATCH(节奏总纲!H102,$B$22:$B$35,1)),MIN($E$22:$E$35))*IFERROR(INDEX($F$22:$F$35,MATCH(节奏总纲!H102,$B$22:$B$35,1)),MIN($F$22:$F$35))</f>
        <v>134411.96334892503</v>
      </c>
      <c r="AQ106" s="2">
        <v>99</v>
      </c>
      <c r="AR106" s="2">
        <f t="shared" si="25"/>
        <v>28905.874690394437</v>
      </c>
      <c r="AS106" s="2">
        <f t="shared" si="26"/>
        <v>42896.226852253727</v>
      </c>
      <c r="AT106" s="2">
        <f t="shared" si="27"/>
        <v>68871.004639966661</v>
      </c>
      <c r="AU106" s="2">
        <f t="shared" si="28"/>
        <v>108409.48872175709</v>
      </c>
      <c r="AV106" s="2">
        <f t="shared" si="29"/>
        <v>186209.54897995165</v>
      </c>
      <c r="AX106" s="41">
        <f t="shared" si="30"/>
        <v>0</v>
      </c>
      <c r="AY106" s="41">
        <f t="shared" si="31"/>
        <v>0.24272183547481321</v>
      </c>
      <c r="AZ106" s="41">
        <f t="shared" si="32"/>
        <v>0.38529258214442097</v>
      </c>
      <c r="BA106" s="41">
        <f t="shared" si="33"/>
        <v>0.6159139851822365</v>
      </c>
      <c r="BB106" s="41">
        <f t="shared" si="34"/>
        <v>0.72183174324425525</v>
      </c>
      <c r="BD106" s="2" t="e">
        <f t="shared" si="35"/>
        <v>#DIV/0!</v>
      </c>
      <c r="BE106" s="2">
        <f t="shared" si="36"/>
        <v>2.884668569102343</v>
      </c>
      <c r="BF106" s="2">
        <f t="shared" si="37"/>
        <v>2.5071607789508912</v>
      </c>
      <c r="BG106" s="2">
        <f t="shared" si="38"/>
        <v>2.4053752079770518</v>
      </c>
      <c r="BH106" s="2">
        <f t="shared" si="39"/>
        <v>2.5949464962786335</v>
      </c>
    </row>
    <row r="107" spans="11:60" x14ac:dyDescent="0.2">
      <c r="K107" s="2">
        <v>100</v>
      </c>
      <c r="L107" s="2">
        <f>标准城池设计!AB103*$B$10/C$14*$C$5*C$7</f>
        <v>199355734.67184499</v>
      </c>
      <c r="M107" s="2">
        <f>标准城池设计!AC103*$B$10/D$14*$C$5*D$7</f>
        <v>221217701.80124763</v>
      </c>
      <c r="N107" s="2">
        <f>标准城池设计!AD103*$B$10/E$14*$C$5*E$7</f>
        <v>245057160.86137611</v>
      </c>
      <c r="O107" s="2">
        <f>标准城池设计!AE103*$B$10/F$14*$C$5*F$7</f>
        <v>240478250.8102257</v>
      </c>
      <c r="P107" s="2">
        <f>标准城池设计!AF103*$B$10/G$14*$C$5*G$7</f>
        <v>272805196.4409374</v>
      </c>
      <c r="Q107" s="2">
        <f t="shared" si="23"/>
        <v>27280.51964409374</v>
      </c>
      <c r="U107" s="2">
        <v>100</v>
      </c>
      <c r="V107" s="2">
        <f>其他调用!R104*6*其他调用!BM104*$B$10/C$15*$C$5*C$8/3</f>
        <v>0</v>
      </c>
      <c r="W107" s="2">
        <f>其他调用!S104*6*其他调用!BN104*$B$10/D$15*$C$5*D$8/3</f>
        <v>997229.13968230085</v>
      </c>
      <c r="X107" s="2">
        <f>其他调用!T104*6*其他调用!BO104*$B$10/E$15*$C$5*E$8/3</f>
        <v>2407681.2124541504</v>
      </c>
      <c r="Y107" s="2">
        <f>其他调用!U104*6*其他调用!BP104*$B$10/F$15*$C$5*F$8/3</f>
        <v>6056484.800901453</v>
      </c>
      <c r="Z107" s="2">
        <f>其他调用!V104*6*其他调用!BQ104*$B$10/G$15*$C$5*G$8/3</f>
        <v>10157895.315368131</v>
      </c>
      <c r="AA107" s="2">
        <f t="shared" si="24"/>
        <v>1015.7895315368131</v>
      </c>
      <c r="AE107" s="2">
        <v>100</v>
      </c>
      <c r="AF107" s="2">
        <f>L107/IFERROR(INDEX($C$22:$C$35,MATCH(节奏总纲!D103,$B$22:$B$35,1)),MIN($C$22:$C$35))*IFERROR(INDEX($D$22:$D$35,MATCH(节奏总纲!D103,$B$22:$B$35,1)),MIN($D$22:$D$35))</f>
        <v>29754.587264454476</v>
      </c>
      <c r="AG107" s="2">
        <f>M107/IFERROR(INDEX($C$22:$C$35,MATCH(节奏总纲!E103,$B$22:$B$35,1)),MIN($C$22:$C$35))*IFERROR(INDEX($D$22:$D$35,MATCH(节奏总纲!E103,$B$22:$B$35,1)),MIN($D$22:$D$35))</f>
        <v>33017.567433022035</v>
      </c>
      <c r="AH107" s="2">
        <f>N107/IFERROR(INDEX($C$22:$C$35,MATCH(节奏总纲!F103,$B$22:$B$35,1)),MIN($C$22:$C$35))*IFERROR(INDEX($D$22:$D$35,MATCH(节奏总纲!F103,$B$22:$B$35,1)),MIN($D$22:$D$35))</f>
        <v>42992.484361644929</v>
      </c>
      <c r="AI107" s="2">
        <f>O107/IFERROR(INDEX($C$22:$C$35,MATCH(节奏总纲!G103,$B$22:$B$35,1)),MIN($C$22:$C$35))*IFERROR(INDEX($D$22:$D$35,MATCH(节奏总纲!G103,$B$22:$B$35,1)),MIN($D$22:$D$35))</f>
        <v>42189.166808811526</v>
      </c>
      <c r="AJ107" s="2">
        <f>P107/IFERROR(INDEX($C$22:$C$35,MATCH(节奏总纲!H103,$B$22:$B$35,1)),MIN($C$22:$C$35))*IFERROR(INDEX($D$22:$D$35,MATCH(节奏总纲!H103,$B$22:$B$35,1)),MIN($D$22:$D$35))</f>
        <v>52462.537777103345</v>
      </c>
      <c r="AK107" s="2">
        <f>V107/IFERROR(INDEX($E$22:$E$35,MATCH(节奏总纲!D103,$B$22:$B$35,1)),MIN($E$22:$E$35))*IFERROR(INDEX($F$22:$F$35,MATCH(节奏总纲!D103,$B$22:$B$35,1)),MIN($F$22:$F$35))</f>
        <v>0</v>
      </c>
      <c r="AL107" s="2">
        <f>W107/IFERROR(INDEX($E$22:$E$35,MATCH(节奏总纲!E103,$B$22:$B$35,1)),MIN($E$22:$E$35))*IFERROR(INDEX($F$22:$F$35,MATCH(节奏总纲!E103,$B$22:$B$35,1)),MIN($F$22:$F$35))</f>
        <v>10497.148838761063</v>
      </c>
      <c r="AM107" s="2">
        <f>X107/IFERROR(INDEX($E$22:$E$35,MATCH(节奏总纲!F103,$B$22:$B$35,1)),MIN($E$22:$E$35))*IFERROR(INDEX($F$22:$F$35,MATCH(节奏总纲!F103,$B$22:$B$35,1)),MIN($F$22:$F$35))</f>
        <v>26752.013471712784</v>
      </c>
      <c r="AN107" s="2">
        <f>Y107/IFERROR(INDEX($E$22:$E$35,MATCH(节奏总纲!G103,$B$22:$B$35,1)),MIN($E$22:$E$35))*IFERROR(INDEX($F$22:$F$35,MATCH(节奏总纲!G103,$B$22:$B$35,1)),MIN($F$22:$F$35))</f>
        <v>67294.275565571705</v>
      </c>
      <c r="AO107" s="2">
        <f>Z107/IFERROR(INDEX($E$22:$E$35,MATCH(节奏总纲!H103,$B$22:$B$35,1)),MIN($E$22:$E$35))*IFERROR(INDEX($F$22:$F$35,MATCH(节奏总纲!H103,$B$22:$B$35,1)),MIN($F$22:$F$35))</f>
        <v>135438.60420490842</v>
      </c>
      <c r="AQ107" s="2">
        <v>100</v>
      </c>
      <c r="AR107" s="2">
        <f t="shared" si="25"/>
        <v>29754.587264454476</v>
      </c>
      <c r="AS107" s="2">
        <f t="shared" si="26"/>
        <v>43514.716271783094</v>
      </c>
      <c r="AT107" s="2">
        <f t="shared" si="27"/>
        <v>69744.497833357716</v>
      </c>
      <c r="AU107" s="2">
        <f t="shared" si="28"/>
        <v>109483.44237438323</v>
      </c>
      <c r="AV107" s="2">
        <f t="shared" si="29"/>
        <v>187901.14198201176</v>
      </c>
      <c r="AX107" s="41">
        <f t="shared" si="30"/>
        <v>0</v>
      </c>
      <c r="AY107" s="41">
        <f t="shared" si="31"/>
        <v>0.24123215633989753</v>
      </c>
      <c r="AZ107" s="41">
        <f t="shared" si="32"/>
        <v>0.38357166949043126</v>
      </c>
      <c r="BA107" s="41">
        <f t="shared" si="33"/>
        <v>0.61465253654937246</v>
      </c>
      <c r="BB107" s="41">
        <f t="shared" si="34"/>
        <v>0.72079713181239891</v>
      </c>
      <c r="BD107" s="2" t="e">
        <f t="shared" si="35"/>
        <v>#DIV/0!</v>
      </c>
      <c r="BE107" s="2">
        <f t="shared" si="36"/>
        <v>2.8613355523690842</v>
      </c>
      <c r="BF107" s="2">
        <f t="shared" si="37"/>
        <v>2.4889944248561897</v>
      </c>
      <c r="BG107" s="2">
        <f t="shared" si="38"/>
        <v>2.3925908232744515</v>
      </c>
      <c r="BH107" s="2">
        <f t="shared" si="39"/>
        <v>2.5816250975189958</v>
      </c>
    </row>
    <row r="108" spans="11:60" x14ac:dyDescent="0.2">
      <c r="K108" s="2">
        <v>101</v>
      </c>
      <c r="L108" s="2">
        <f>标准城池设计!AB104*$B$10/C$14*$C$5*C$7</f>
        <v>204293230.78319624</v>
      </c>
      <c r="M108" s="2">
        <f>标准城池设计!AC104*$B$10/D$14*$C$5*D$7</f>
        <v>224805047.00453445</v>
      </c>
      <c r="N108" s="2">
        <f>标准城池设计!AD104*$B$10/E$14*$C$5*E$7</f>
        <v>248773512.0315747</v>
      </c>
      <c r="O108" s="2">
        <f>标准城池设计!AE104*$B$10/F$14*$C$5*F$7</f>
        <v>243616661.21849692</v>
      </c>
      <c r="P108" s="2">
        <f>标准城池设计!AF104*$B$10/G$14*$C$5*G$7</f>
        <v>276262947.60053635</v>
      </c>
      <c r="Q108" s="2">
        <f t="shared" si="23"/>
        <v>27626.294760053635</v>
      </c>
      <c r="U108" s="2">
        <v>101</v>
      </c>
      <c r="V108" s="2">
        <f>其他调用!R105*6*其他调用!BM105*$B$10/C$15*$C$5*C$8/3</f>
        <v>0</v>
      </c>
      <c r="W108" s="2">
        <f>其他调用!S105*6*其他调用!BN105*$B$10/D$15*$C$5*D$8/3</f>
        <v>1005323.4712096886</v>
      </c>
      <c r="X108" s="2">
        <f>其他调用!T105*6*其他调用!BO105*$B$10/E$15*$C$5*E$8/3</f>
        <v>2426851.7367791724</v>
      </c>
      <c r="Y108" s="2">
        <f>其他调用!U105*6*其他调用!BP105*$B$10/F$15*$C$5*F$8/3</f>
        <v>6102142.2121664872</v>
      </c>
      <c r="Z108" s="2">
        <f>其他调用!V105*6*其他调用!BQ105*$B$10/G$15*$C$5*G$8/3</f>
        <v>10235682.418130418</v>
      </c>
      <c r="AA108" s="2">
        <f t="shared" si="24"/>
        <v>1023.5682418130418</v>
      </c>
      <c r="AE108" s="2">
        <v>101</v>
      </c>
      <c r="AF108" s="2">
        <f>L108/IFERROR(INDEX($C$22:$C$35,MATCH(节奏总纲!D104,$B$22:$B$35,1)),MIN($C$22:$C$35))*IFERROR(INDEX($D$22:$D$35,MATCH(节奏总纲!D104,$B$22:$B$35,1)),MIN($D$22:$D$35))</f>
        <v>28374.059830999478</v>
      </c>
      <c r="AG108" s="2">
        <f>M108/IFERROR(INDEX($C$22:$C$35,MATCH(节奏总纲!E104,$B$22:$B$35,1)),MIN($C$22:$C$35))*IFERROR(INDEX($D$22:$D$35,MATCH(节奏总纲!E104,$B$22:$B$35,1)),MIN($D$22:$D$35))</f>
        <v>33552.992090229025</v>
      </c>
      <c r="AH108" s="2">
        <f>N108/IFERROR(INDEX($C$22:$C$35,MATCH(节奏总纲!F104,$B$22:$B$35,1)),MIN($C$22:$C$35))*IFERROR(INDEX($D$22:$D$35,MATCH(节奏总纲!F104,$B$22:$B$35,1)),MIN($D$22:$D$35))</f>
        <v>37130.374930085774</v>
      </c>
      <c r="AI108" s="2">
        <f>O108/IFERROR(INDEX($C$22:$C$35,MATCH(节奏总纲!G104,$B$22:$B$35,1)),MIN($C$22:$C$35))*IFERROR(INDEX($D$22:$D$35,MATCH(节奏总纲!G104,$B$22:$B$35,1)),MIN($D$22:$D$35))</f>
        <v>42739.765126052094</v>
      </c>
      <c r="AJ108" s="2">
        <f>P108/IFERROR(INDEX($C$22:$C$35,MATCH(节奏总纲!H104,$B$22:$B$35,1)),MIN($C$22:$C$35))*IFERROR(INDEX($D$22:$D$35,MATCH(节奏总纲!H104,$B$22:$B$35,1)),MIN($D$22:$D$35))</f>
        <v>53127.489923180066</v>
      </c>
      <c r="AK108" s="2">
        <f>V108/IFERROR(INDEX($E$22:$E$35,MATCH(节奏总纲!D104,$B$22:$B$35,1)),MIN($E$22:$E$35))*IFERROR(INDEX($F$22:$F$35,MATCH(节奏总纲!D104,$B$22:$B$35,1)),MIN($F$22:$F$35))</f>
        <v>0</v>
      </c>
      <c r="AL108" s="2">
        <f>W108/IFERROR(INDEX($E$22:$E$35,MATCH(节奏总纲!E104,$B$22:$B$35,1)),MIN($E$22:$E$35))*IFERROR(INDEX($F$22:$F$35,MATCH(节奏总纲!E104,$B$22:$B$35,1)),MIN($F$22:$F$35))</f>
        <v>10582.352328523039</v>
      </c>
      <c r="AM108" s="2">
        <f>X108/IFERROR(INDEX($E$22:$E$35,MATCH(节奏总纲!F104,$B$22:$B$35,1)),MIN($E$22:$E$35))*IFERROR(INDEX($F$22:$F$35,MATCH(节奏总纲!F104,$B$22:$B$35,1)),MIN($F$22:$F$35))</f>
        <v>25545.807755570237</v>
      </c>
      <c r="AN108" s="2">
        <f>Y108/IFERROR(INDEX($E$22:$E$35,MATCH(节奏总纲!G104,$B$22:$B$35,1)),MIN($E$22:$E$35))*IFERROR(INDEX($F$22:$F$35,MATCH(节奏总纲!G104,$B$22:$B$35,1)),MIN($F$22:$F$35))</f>
        <v>67801.580135183191</v>
      </c>
      <c r="AO108" s="2">
        <f>Z108/IFERROR(INDEX($E$22:$E$35,MATCH(节奏总纲!H104,$B$22:$B$35,1)),MIN($E$22:$E$35))*IFERROR(INDEX($F$22:$F$35,MATCH(节奏总纲!H104,$B$22:$B$35,1)),MIN($F$22:$F$35))</f>
        <v>136475.76557507223</v>
      </c>
      <c r="AQ108" s="2">
        <v>101</v>
      </c>
      <c r="AR108" s="2">
        <f t="shared" si="25"/>
        <v>28374.059830999478</v>
      </c>
      <c r="AS108" s="2">
        <f t="shared" si="26"/>
        <v>44135.344418752065</v>
      </c>
      <c r="AT108" s="2">
        <f t="shared" si="27"/>
        <v>62676.182685656007</v>
      </c>
      <c r="AU108" s="2">
        <f t="shared" si="28"/>
        <v>110541.34526123528</v>
      </c>
      <c r="AV108" s="2">
        <f t="shared" si="29"/>
        <v>189603.25549825229</v>
      </c>
      <c r="AX108" s="41">
        <f t="shared" si="30"/>
        <v>0</v>
      </c>
      <c r="AY108" s="41">
        <f t="shared" si="31"/>
        <v>0.23977047121505746</v>
      </c>
      <c r="AZ108" s="41">
        <f t="shared" si="32"/>
        <v>0.40758397625604947</v>
      </c>
      <c r="BA108" s="41">
        <f t="shared" si="33"/>
        <v>0.61335946269653274</v>
      </c>
      <c r="BB108" s="41">
        <f t="shared" si="34"/>
        <v>0.71979653100592589</v>
      </c>
      <c r="BD108" s="2" t="e">
        <f t="shared" si="35"/>
        <v>#DIV/0!</v>
      </c>
      <c r="BE108" s="2">
        <f t="shared" si="36"/>
        <v>2.8385298902878642</v>
      </c>
      <c r="BF108" s="2">
        <f t="shared" si="37"/>
        <v>2.7520118289859918</v>
      </c>
      <c r="BG108" s="2">
        <f t="shared" si="38"/>
        <v>2.3795725105841052</v>
      </c>
      <c r="BH108" s="2">
        <f t="shared" si="39"/>
        <v>2.5688351881937201</v>
      </c>
    </row>
    <row r="109" spans="11:60" x14ac:dyDescent="0.2">
      <c r="K109" s="2">
        <v>102</v>
      </c>
      <c r="L109" s="2">
        <f>标准城池设计!AB105*$B$10/C$14*$C$5*C$7</f>
        <v>208422342.68180525</v>
      </c>
      <c r="M109" s="2">
        <f>标准城池设计!AC105*$B$10/D$14*$C$5*D$7</f>
        <v>228407354.3792564</v>
      </c>
      <c r="N109" s="2">
        <f>标准城池设计!AD105*$B$10/E$14*$C$5*E$7</f>
        <v>252398687.35690695</v>
      </c>
      <c r="O109" s="2">
        <f>标准城池设计!AE105*$B$10/F$14*$C$5*F$7</f>
        <v>246755071.62676805</v>
      </c>
      <c r="P109" s="2">
        <f>标准城池设计!AF105*$B$10/G$14*$C$5*G$7</f>
        <v>279720698.76013517</v>
      </c>
      <c r="Q109" s="2">
        <f t="shared" si="23"/>
        <v>27972.069876013516</v>
      </c>
      <c r="U109" s="2">
        <v>102</v>
      </c>
      <c r="V109" s="2">
        <f>其他调用!R106*6*其他调用!BM106*$B$10/C$15*$C$5*C$8/3</f>
        <v>0</v>
      </c>
      <c r="W109" s="2">
        <f>其他调用!S106*6*其他调用!BN106*$B$10/D$15*$C$5*D$8/3</f>
        <v>1013274.1528704654</v>
      </c>
      <c r="X109" s="2">
        <f>其他调用!T106*6*其他调用!BO106*$B$10/E$15*$C$5*E$8/3</f>
        <v>2444947.4979741056</v>
      </c>
      <c r="Y109" s="2">
        <f>其他调用!U106*6*其他调用!BP106*$B$10/F$15*$C$5*F$8/3</f>
        <v>6148735.4166341126</v>
      </c>
      <c r="Z109" s="2">
        <f>其他调用!V106*6*其他调用!BQ106*$B$10/G$15*$C$5*G$8/3</f>
        <v>10313351.255256353</v>
      </c>
      <c r="AA109" s="2">
        <f t="shared" si="24"/>
        <v>1031.3351255256352</v>
      </c>
      <c r="AE109" s="2">
        <v>102</v>
      </c>
      <c r="AF109" s="2">
        <f>L109/IFERROR(INDEX($C$22:$C$35,MATCH(节奏总纲!D105,$B$22:$B$35,1)),MIN($C$22:$C$35))*IFERROR(INDEX($D$22:$D$35,MATCH(节奏总纲!D105,$B$22:$B$35,1)),MIN($D$22:$D$35))</f>
        <v>28947.547594695174</v>
      </c>
      <c r="AG109" s="2">
        <f>M109/IFERROR(INDEX($C$22:$C$35,MATCH(节奏总纲!E105,$B$22:$B$35,1)),MIN($C$22:$C$35))*IFERROR(INDEX($D$22:$D$35,MATCH(节奏总纲!E105,$B$22:$B$35,1)),MIN($D$22:$D$35))</f>
        <v>34090.649907351704</v>
      </c>
      <c r="AH109" s="2">
        <f>N109/IFERROR(INDEX($C$22:$C$35,MATCH(节奏总纲!F105,$B$22:$B$35,1)),MIN($C$22:$C$35))*IFERROR(INDEX($D$22:$D$35,MATCH(节奏总纲!F105,$B$22:$B$35,1)),MIN($D$22:$D$35))</f>
        <v>37671.44587416522</v>
      </c>
      <c r="AI109" s="2">
        <f>O109/IFERROR(INDEX($C$22:$C$35,MATCH(节奏总纲!G105,$B$22:$B$35,1)),MIN($C$22:$C$35))*IFERROR(INDEX($D$22:$D$35,MATCH(节奏总纲!G105,$B$22:$B$35,1)),MIN($D$22:$D$35))</f>
        <v>43290.363443292641</v>
      </c>
      <c r="AJ109" s="2">
        <f>P109/IFERROR(INDEX($C$22:$C$35,MATCH(节奏总纲!H105,$B$22:$B$35,1)),MIN($C$22:$C$35))*IFERROR(INDEX($D$22:$D$35,MATCH(节奏总纲!H105,$B$22:$B$35,1)),MIN($D$22:$D$35))</f>
        <v>53792.442069256766</v>
      </c>
      <c r="AK109" s="2">
        <f>V109/IFERROR(INDEX($E$22:$E$35,MATCH(节奏总纲!D105,$B$22:$B$35,1)),MIN($E$22:$E$35))*IFERROR(INDEX($F$22:$F$35,MATCH(节奏总纲!D105,$B$22:$B$35,1)),MIN($F$22:$F$35))</f>
        <v>0</v>
      </c>
      <c r="AL109" s="2">
        <f>W109/IFERROR(INDEX($E$22:$E$35,MATCH(节奏总纲!E105,$B$22:$B$35,1)),MIN($E$22:$E$35))*IFERROR(INDEX($F$22:$F$35,MATCH(节奏总纲!E105,$B$22:$B$35,1)),MIN($F$22:$F$35))</f>
        <v>10666.043714425952</v>
      </c>
      <c r="AM109" s="2">
        <f>X109/IFERROR(INDEX($E$22:$E$35,MATCH(节奏总纲!F105,$B$22:$B$35,1)),MIN($E$22:$E$35))*IFERROR(INDEX($F$22:$F$35,MATCH(节奏总纲!F105,$B$22:$B$35,1)),MIN($F$22:$F$35))</f>
        <v>25736.289452359008</v>
      </c>
      <c r="AN109" s="2">
        <f>Y109/IFERROR(INDEX($E$22:$E$35,MATCH(节奏总纲!G105,$B$22:$B$35,1)),MIN($E$22:$E$35))*IFERROR(INDEX($F$22:$F$35,MATCH(节奏总纲!G105,$B$22:$B$35,1)),MIN($F$22:$F$35))</f>
        <v>68319.282407045699</v>
      </c>
      <c r="AO109" s="2">
        <f>Z109/IFERROR(INDEX($E$22:$E$35,MATCH(节奏总纲!H105,$B$22:$B$35,1)),MIN($E$22:$E$35))*IFERROR(INDEX($F$22:$F$35,MATCH(节奏总纲!H105,$B$22:$B$35,1)),MIN($F$22:$F$35))</f>
        <v>137511.35007008471</v>
      </c>
      <c r="AQ109" s="2">
        <v>102</v>
      </c>
      <c r="AR109" s="2">
        <f t="shared" si="25"/>
        <v>28947.547594695174</v>
      </c>
      <c r="AS109" s="2">
        <f t="shared" si="26"/>
        <v>44756.693621777653</v>
      </c>
      <c r="AT109" s="2">
        <f t="shared" si="27"/>
        <v>63407.735326524227</v>
      </c>
      <c r="AU109" s="2">
        <f t="shared" si="28"/>
        <v>111609.64585033833</v>
      </c>
      <c r="AV109" s="2">
        <f t="shared" si="29"/>
        <v>191303.79213934147</v>
      </c>
      <c r="AX109" s="41">
        <f t="shared" si="30"/>
        <v>0</v>
      </c>
      <c r="AY109" s="41">
        <f t="shared" si="31"/>
        <v>0.23831169935296745</v>
      </c>
      <c r="AZ109" s="41">
        <f t="shared" si="32"/>
        <v>0.40588564344440803</v>
      </c>
      <c r="BA109" s="41">
        <f t="shared" si="33"/>
        <v>0.61212704230472748</v>
      </c>
      <c r="BB109" s="41">
        <f t="shared" si="34"/>
        <v>0.71881141786214287</v>
      </c>
      <c r="BD109" s="2" t="e">
        <f t="shared" si="35"/>
        <v>#DIV/0!</v>
      </c>
      <c r="BE109" s="2">
        <f t="shared" si="36"/>
        <v>2.8158569487738703</v>
      </c>
      <c r="BF109" s="2">
        <f t="shared" si="37"/>
        <v>2.7327105562474583</v>
      </c>
      <c r="BG109" s="2">
        <f t="shared" si="38"/>
        <v>2.3672456283442567</v>
      </c>
      <c r="BH109" s="2">
        <f t="shared" si="39"/>
        <v>2.556332168244777</v>
      </c>
    </row>
    <row r="110" spans="11:60" x14ac:dyDescent="0.2">
      <c r="K110" s="2">
        <v>103</v>
      </c>
      <c r="L110" s="2">
        <f>标准城池设计!AB106*$B$10/C$14*$C$5*C$7</f>
        <v>212591214.58294961</v>
      </c>
      <c r="M110" s="2">
        <f>标准城池设计!AC106*$B$10/D$14*$C$5*D$7</f>
        <v>232024623.92541355</v>
      </c>
      <c r="N110" s="2">
        <f>标准城池设计!AD106*$B$10/E$14*$C$5*E$7</f>
        <v>256032621.39227054</v>
      </c>
      <c r="O110" s="2">
        <f>标准城池设计!AE106*$B$10/F$14*$C$5*F$7</f>
        <v>249893482.03503925</v>
      </c>
      <c r="P110" s="2">
        <f>标准城池设计!AF106*$B$10/G$14*$C$5*G$7</f>
        <v>283178449.91973406</v>
      </c>
      <c r="Q110" s="2">
        <f t="shared" si="23"/>
        <v>28317.844991973405</v>
      </c>
      <c r="U110" s="2">
        <v>103</v>
      </c>
      <c r="V110" s="2">
        <f>其他调用!R107*6*其他调用!BM107*$B$10/C$15*$C$5*C$8/3</f>
        <v>0</v>
      </c>
      <c r="W110" s="2">
        <f>其他调用!S107*6*其他调用!BN107*$B$10/D$15*$C$5*D$8/3</f>
        <v>1021005.1640047515</v>
      </c>
      <c r="X110" s="2">
        <f>其他调用!T107*6*其他调用!BO107*$B$10/E$15*$C$5*E$8/3</f>
        <v>2464083.4576313109</v>
      </c>
      <c r="Y110" s="2">
        <f>其他调用!U107*6*其他调用!BP107*$B$10/F$15*$C$5*F$8/3</f>
        <v>6195927.0239192666</v>
      </c>
      <c r="Z110" s="2">
        <f>其他调用!V107*6*其他调用!BQ107*$B$10/G$15*$C$5*G$8/3</f>
        <v>10394431.388131158</v>
      </c>
      <c r="AA110" s="2">
        <f t="shared" si="24"/>
        <v>1039.4431388131159</v>
      </c>
      <c r="AE110" s="2">
        <v>103</v>
      </c>
      <c r="AF110" s="2">
        <f>L110/IFERROR(INDEX($C$22:$C$35,MATCH(节奏总纲!D106,$B$22:$B$35,1)),MIN($C$22:$C$35))*IFERROR(INDEX($D$22:$D$35,MATCH(节奏总纲!D106,$B$22:$B$35,1)),MIN($D$22:$D$35))</f>
        <v>29526.557580965222</v>
      </c>
      <c r="AG110" s="2">
        <f>M110/IFERROR(INDEX($C$22:$C$35,MATCH(节奏总纲!E106,$B$22:$B$35,1)),MIN($C$22:$C$35))*IFERROR(INDEX($D$22:$D$35,MATCH(节奏总纲!E106,$B$22:$B$35,1)),MIN($D$22:$D$35))</f>
        <v>34630.54088439008</v>
      </c>
      <c r="AH110" s="2">
        <f>N110/IFERROR(INDEX($C$22:$C$35,MATCH(节奏总纲!F106,$B$22:$B$35,1)),MIN($C$22:$C$35))*IFERROR(INDEX($D$22:$D$35,MATCH(节奏总纲!F106,$B$22:$B$35,1)),MIN($D$22:$D$35))</f>
        <v>38213.824088398585</v>
      </c>
      <c r="AI110" s="2">
        <f>O110/IFERROR(INDEX($C$22:$C$35,MATCH(节奏总纲!G106,$B$22:$B$35,1)),MIN($C$22:$C$35))*IFERROR(INDEX($D$22:$D$35,MATCH(节奏总纲!G106,$B$22:$B$35,1)),MIN($D$22:$D$35))</f>
        <v>43840.961760533202</v>
      </c>
      <c r="AJ110" s="2">
        <f>P110/IFERROR(INDEX($C$22:$C$35,MATCH(节奏总纲!H106,$B$22:$B$35,1)),MIN($C$22:$C$35))*IFERROR(INDEX($D$22:$D$35,MATCH(节奏总纲!H106,$B$22:$B$35,1)),MIN($D$22:$D$35))</f>
        <v>54457.394215333472</v>
      </c>
      <c r="AK110" s="2">
        <f>V110/IFERROR(INDEX($E$22:$E$35,MATCH(节奏总纲!D106,$B$22:$B$35,1)),MIN($E$22:$E$35))*IFERROR(INDEX($F$22:$F$35,MATCH(节奏总纲!D106,$B$22:$B$35,1)),MIN($F$22:$F$35))</f>
        <v>0</v>
      </c>
      <c r="AL110" s="2">
        <f>W110/IFERROR(INDEX($E$22:$E$35,MATCH(节奏总纲!E106,$B$22:$B$35,1)),MIN($E$22:$E$35))*IFERROR(INDEX($F$22:$F$35,MATCH(节奏总纲!E106,$B$22:$B$35,1)),MIN($F$22:$F$35))</f>
        <v>10747.422778997385</v>
      </c>
      <c r="AM110" s="2">
        <f>X110/IFERROR(INDEX($E$22:$E$35,MATCH(节奏总纲!F106,$B$22:$B$35,1)),MIN($E$22:$E$35))*IFERROR(INDEX($F$22:$F$35,MATCH(节奏总纲!F106,$B$22:$B$35,1)),MIN($F$22:$F$35))</f>
        <v>25937.720606645376</v>
      </c>
      <c r="AN110" s="2">
        <f>Y110/IFERROR(INDEX($E$22:$E$35,MATCH(节奏总纲!G106,$B$22:$B$35,1)),MIN($E$22:$E$35))*IFERROR(INDEX($F$22:$F$35,MATCH(节奏总纲!G106,$B$22:$B$35,1)),MIN($F$22:$F$35))</f>
        <v>68843.633599102963</v>
      </c>
      <c r="AO110" s="2">
        <f>Z110/IFERROR(INDEX($E$22:$E$35,MATCH(节奏总纲!H106,$B$22:$B$35,1)),MIN($E$22:$E$35))*IFERROR(INDEX($F$22:$F$35,MATCH(节奏总纲!H106,$B$22:$B$35,1)),MIN($F$22:$F$35))</f>
        <v>138592.41850841546</v>
      </c>
      <c r="AQ110" s="2">
        <v>103</v>
      </c>
      <c r="AR110" s="2">
        <f t="shared" si="25"/>
        <v>29526.557580965222</v>
      </c>
      <c r="AS110" s="2">
        <f t="shared" si="26"/>
        <v>45377.963663387462</v>
      </c>
      <c r="AT110" s="2">
        <f t="shared" si="27"/>
        <v>64151.544695043965</v>
      </c>
      <c r="AU110" s="2">
        <f t="shared" si="28"/>
        <v>112684.59535963617</v>
      </c>
      <c r="AV110" s="2">
        <f t="shared" si="29"/>
        <v>193049.81272374894</v>
      </c>
      <c r="AX110" s="41">
        <f t="shared" si="30"/>
        <v>0</v>
      </c>
      <c r="AY110" s="41">
        <f t="shared" si="31"/>
        <v>0.2368423329597045</v>
      </c>
      <c r="AZ110" s="41">
        <f t="shared" si="32"/>
        <v>0.40431950204698963</v>
      </c>
      <c r="BA110" s="41">
        <f t="shared" si="33"/>
        <v>0.61094094875512051</v>
      </c>
      <c r="BB110" s="41">
        <f t="shared" si="34"/>
        <v>0.71791014222188809</v>
      </c>
      <c r="BD110" s="2" t="e">
        <f t="shared" si="35"/>
        <v>#DIV/0!</v>
      </c>
      <c r="BE110" s="2">
        <f t="shared" si="36"/>
        <v>2.7931069668789568</v>
      </c>
      <c r="BF110" s="2">
        <f t="shared" si="37"/>
        <v>2.7150091596846884</v>
      </c>
      <c r="BG110" s="2">
        <f t="shared" si="38"/>
        <v>2.3554558625494559</v>
      </c>
      <c r="BH110" s="2">
        <f t="shared" si="39"/>
        <v>2.5449697053149163</v>
      </c>
    </row>
    <row r="111" spans="11:60" x14ac:dyDescent="0.2">
      <c r="K111" s="2">
        <v>104</v>
      </c>
      <c r="L111" s="2">
        <f>标准城池设计!AB107*$B$10/C$14*$C$5*C$7</f>
        <v>216800014.16072521</v>
      </c>
      <c r="M111" s="2">
        <f>标准城池设计!AC107*$B$10/D$14*$C$5*D$7</f>
        <v>235656855.64300582</v>
      </c>
      <c r="N111" s="2">
        <f>标准城池设计!AD107*$B$10/E$14*$C$5*E$7</f>
        <v>259675314.13766572</v>
      </c>
      <c r="O111" s="2">
        <f>标准城池设计!AE107*$B$10/F$14*$C$5*F$7</f>
        <v>253031892.44331041</v>
      </c>
      <c r="P111" s="2">
        <f>标准城池设计!AF107*$B$10/G$14*$C$5*G$7</f>
        <v>286636201.07933295</v>
      </c>
      <c r="Q111" s="2">
        <f t="shared" si="23"/>
        <v>28663.620107933293</v>
      </c>
      <c r="U111" s="2">
        <v>104</v>
      </c>
      <c r="V111" s="2">
        <f>其他调用!R108*6*其他调用!BM108*$B$10/C$15*$C$5*C$8/3</f>
        <v>0</v>
      </c>
      <c r="W111" s="2">
        <f>其他调用!S108*6*其他调用!BN108*$B$10/D$15*$C$5*D$8/3</f>
        <v>1029240.2872328128</v>
      </c>
      <c r="X111" s="2">
        <f>其他调用!T108*6*其他调用!BO108*$B$10/E$15*$C$5*E$8/3</f>
        <v>2483468.1619854285</v>
      </c>
      <c r="Y111" s="2">
        <f>其他调用!U108*6*其他调用!BP108*$B$10/F$15*$C$5*F$8/3</f>
        <v>6246520.7965321699</v>
      </c>
      <c r="Z111" s="2">
        <f>其他调用!V108*6*其他调用!BQ108*$B$10/G$15*$C$5*G$8/3</f>
        <v>10475207.610278178</v>
      </c>
      <c r="AA111" s="2">
        <f t="shared" si="24"/>
        <v>1047.5207610278178</v>
      </c>
      <c r="AE111" s="2">
        <v>104</v>
      </c>
      <c r="AF111" s="2">
        <f>L111/IFERROR(INDEX($C$22:$C$35,MATCH(节奏总纲!D107,$B$22:$B$35,1)),MIN($C$22:$C$35))*IFERROR(INDEX($D$22:$D$35,MATCH(节奏总纲!D107,$B$22:$B$35,1)),MIN($D$22:$D$35))</f>
        <v>30111.113077878501</v>
      </c>
      <c r="AG111" s="2">
        <f>M111/IFERROR(INDEX($C$22:$C$35,MATCH(节奏总纲!E107,$B$22:$B$35,1)),MIN($C$22:$C$35))*IFERROR(INDEX($D$22:$D$35,MATCH(节奏总纲!E107,$B$22:$B$35,1)),MIN($D$22:$D$35))</f>
        <v>32730.118839306364</v>
      </c>
      <c r="AH111" s="2">
        <f>N111/IFERROR(INDEX($C$22:$C$35,MATCH(节奏总纲!F107,$B$22:$B$35,1)),MIN($C$22:$C$35))*IFERROR(INDEX($D$22:$D$35,MATCH(节奏总纲!F107,$B$22:$B$35,1)),MIN($D$22:$D$35))</f>
        <v>38757.50957278593</v>
      </c>
      <c r="AI111" s="2">
        <f>O111/IFERROR(INDEX($C$22:$C$35,MATCH(节奏总纲!G107,$B$22:$B$35,1)),MIN($C$22:$C$35))*IFERROR(INDEX($D$22:$D$35,MATCH(节奏总纲!G107,$B$22:$B$35,1)),MIN($D$22:$D$35))</f>
        <v>44391.560077773756</v>
      </c>
      <c r="AJ111" s="2">
        <f>P111/IFERROR(INDEX($C$22:$C$35,MATCH(节奏总纲!H107,$B$22:$B$35,1)),MIN($C$22:$C$35))*IFERROR(INDEX($D$22:$D$35,MATCH(节奏总纲!H107,$B$22:$B$35,1)),MIN($D$22:$D$35))</f>
        <v>50287.052820935605</v>
      </c>
      <c r="AK111" s="2">
        <f>V111/IFERROR(INDEX($E$22:$E$35,MATCH(节奏总纲!D107,$B$22:$B$35,1)),MIN($E$22:$E$35))*IFERROR(INDEX($F$22:$F$35,MATCH(节奏总纲!D107,$B$22:$B$35,1)),MIN($F$22:$F$35))</f>
        <v>0</v>
      </c>
      <c r="AL111" s="2">
        <f>W111/IFERROR(INDEX($E$22:$E$35,MATCH(节奏总纲!E107,$B$22:$B$35,1)),MIN($E$22:$E$35))*IFERROR(INDEX($F$22:$F$35,MATCH(节奏总纲!E107,$B$22:$B$35,1)),MIN($F$22:$F$35))</f>
        <v>10292.402872328128</v>
      </c>
      <c r="AM111" s="2">
        <f>X111/IFERROR(INDEX($E$22:$E$35,MATCH(节奏总纲!F107,$B$22:$B$35,1)),MIN($E$22:$E$35))*IFERROR(INDEX($F$22:$F$35,MATCH(节奏总纲!F107,$B$22:$B$35,1)),MIN($F$22:$F$35))</f>
        <v>26141.770126162406</v>
      </c>
      <c r="AN111" s="2">
        <f>Y111/IFERROR(INDEX($E$22:$E$35,MATCH(节奏总纲!G107,$B$22:$B$35,1)),MIN($E$22:$E$35))*IFERROR(INDEX($F$22:$F$35,MATCH(节奏总纲!G107,$B$22:$B$35,1)),MIN($F$22:$F$35))</f>
        <v>69405.786628135218</v>
      </c>
      <c r="AO111" s="2">
        <f>Z111/IFERROR(INDEX($E$22:$E$35,MATCH(节奏总纲!H107,$B$22:$B$35,1)),MIN($E$22:$E$35))*IFERROR(INDEX($F$22:$F$35,MATCH(节奏总纲!H107,$B$22:$B$35,1)),MIN($F$22:$F$35))</f>
        <v>116391.19566975754</v>
      </c>
      <c r="AQ111" s="2">
        <v>104</v>
      </c>
      <c r="AR111" s="2">
        <f t="shared" si="25"/>
        <v>30111.113077878501</v>
      </c>
      <c r="AS111" s="2">
        <f t="shared" si="26"/>
        <v>43022.521711634494</v>
      </c>
      <c r="AT111" s="2">
        <f t="shared" si="27"/>
        <v>64899.279698948332</v>
      </c>
      <c r="AU111" s="2">
        <f t="shared" si="28"/>
        <v>113797.34670590897</v>
      </c>
      <c r="AV111" s="2">
        <f t="shared" si="29"/>
        <v>166678.24849069313</v>
      </c>
      <c r="AX111" s="41">
        <f t="shared" si="30"/>
        <v>0</v>
      </c>
      <c r="AY111" s="41">
        <f t="shared" si="31"/>
        <v>0.2392329055306113</v>
      </c>
      <c r="AZ111" s="41">
        <f t="shared" si="32"/>
        <v>0.40280524294610964</v>
      </c>
      <c r="BA111" s="41">
        <f t="shared" si="33"/>
        <v>0.60990689710458157</v>
      </c>
      <c r="BB111" s="41">
        <f t="shared" si="34"/>
        <v>0.69829864858615009</v>
      </c>
      <c r="BD111" s="2" t="e">
        <f t="shared" si="35"/>
        <v>#DIV/0!</v>
      </c>
      <c r="BE111" s="2">
        <f t="shared" si="36"/>
        <v>2.8301646659378972</v>
      </c>
      <c r="BF111" s="2">
        <f t="shared" si="37"/>
        <v>2.6979824466862219</v>
      </c>
      <c r="BG111" s="2">
        <f t="shared" si="38"/>
        <v>2.3452358907820541</v>
      </c>
      <c r="BH111" s="2">
        <f t="shared" si="39"/>
        <v>2.3145360314554231</v>
      </c>
    </row>
    <row r="112" spans="11:60" x14ac:dyDescent="0.2">
      <c r="K112" s="2">
        <v>105</v>
      </c>
      <c r="L112" s="2">
        <f>标准城池设计!AB108*$B$10/C$14*$C$5*C$7</f>
        <v>220138136.85024148</v>
      </c>
      <c r="M112" s="2">
        <f>标准城池设计!AC108*$B$10/D$14*$C$5*D$7</f>
        <v>239284683.85313988</v>
      </c>
      <c r="N112" s="2">
        <f>标准城池设计!AD108*$B$10/E$14*$C$5*E$7</f>
        <v>263326765.59309211</v>
      </c>
      <c r="O112" s="2">
        <f>标准城池设计!AE108*$B$10/F$14*$C$5*F$7</f>
        <v>256170302.85158157</v>
      </c>
      <c r="P112" s="2">
        <f>标准城池设计!AF108*$B$10/G$14*$C$5*G$7</f>
        <v>290221850.5233351</v>
      </c>
      <c r="Q112" s="2">
        <f t="shared" si="23"/>
        <v>29022.185052333509</v>
      </c>
      <c r="U112" s="2">
        <v>105</v>
      </c>
      <c r="V112" s="2">
        <f>其他调用!R109*6*其他调用!BM109*$B$10/C$15*$C$5*C$8/3</f>
        <v>0</v>
      </c>
      <c r="W112" s="2">
        <f>其他调用!S109*6*其他调用!BN109*$B$10/D$15*$C$5*D$8/3</f>
        <v>1037243.4359545567</v>
      </c>
      <c r="X112" s="2">
        <f>其他调用!T109*6*其他调用!BO109*$B$10/E$15*$C$5*E$8/3</f>
        <v>2503546.4151605614</v>
      </c>
      <c r="Y112" s="2">
        <f>其他调用!U109*6*其他调用!BP109*$B$10/F$15*$C$5*F$8/3</f>
        <v>6294412.5569710461</v>
      </c>
      <c r="Z112" s="2">
        <f>其他调用!V109*6*其他调用!BQ109*$B$10/G$15*$C$5*G$8/3</f>
        <v>10557343.517412966</v>
      </c>
      <c r="AA112" s="2">
        <f t="shared" si="24"/>
        <v>1055.7343517412967</v>
      </c>
      <c r="AE112" s="2">
        <v>105</v>
      </c>
      <c r="AF112" s="2">
        <f>L112/IFERROR(INDEX($C$22:$C$35,MATCH(节奏总纲!D108,$B$22:$B$35,1)),MIN($C$22:$C$35))*IFERROR(INDEX($D$22:$D$35,MATCH(节奏总纲!D108,$B$22:$B$35,1)),MIN($D$22:$D$35))</f>
        <v>30574.741229200205</v>
      </c>
      <c r="AG112" s="2">
        <f>M112/IFERROR(INDEX($C$22:$C$35,MATCH(节奏总纲!E108,$B$22:$B$35,1)),MIN($C$22:$C$35))*IFERROR(INDEX($D$22:$D$35,MATCH(节奏总纲!E108,$B$22:$B$35,1)),MIN($D$22:$D$35))</f>
        <v>33233.983868491647</v>
      </c>
      <c r="AH112" s="2">
        <f>N112/IFERROR(INDEX($C$22:$C$35,MATCH(节奏总纲!F108,$B$22:$B$35,1)),MIN($C$22:$C$35))*IFERROR(INDEX($D$22:$D$35,MATCH(节奏总纲!F108,$B$22:$B$35,1)),MIN($D$22:$D$35))</f>
        <v>39302.50232732718</v>
      </c>
      <c r="AI112" s="2">
        <f>O112/IFERROR(INDEX($C$22:$C$35,MATCH(节奏总纲!G108,$B$22:$B$35,1)),MIN($C$22:$C$35))*IFERROR(INDEX($D$22:$D$35,MATCH(节奏总纲!G108,$B$22:$B$35,1)),MIN($D$22:$D$35))</f>
        <v>44942.15839501431</v>
      </c>
      <c r="AJ112" s="2">
        <f>P112/IFERROR(INDEX($C$22:$C$35,MATCH(节奏总纲!H108,$B$22:$B$35,1)),MIN($C$22:$C$35))*IFERROR(INDEX($D$22:$D$35,MATCH(节奏总纲!H108,$B$22:$B$35,1)),MIN($D$22:$D$35))</f>
        <v>50916.114126900895</v>
      </c>
      <c r="AK112" s="2">
        <f>V112/IFERROR(INDEX($E$22:$E$35,MATCH(节奏总纲!D108,$B$22:$B$35,1)),MIN($E$22:$E$35))*IFERROR(INDEX($F$22:$F$35,MATCH(节奏总纲!D108,$B$22:$B$35,1)),MIN($F$22:$F$35))</f>
        <v>0</v>
      </c>
      <c r="AL112" s="2">
        <f>W112/IFERROR(INDEX($E$22:$E$35,MATCH(节奏总纲!E108,$B$22:$B$35,1)),MIN($E$22:$E$35))*IFERROR(INDEX($F$22:$F$35,MATCH(节奏总纲!E108,$B$22:$B$35,1)),MIN($F$22:$F$35))</f>
        <v>10372.434359545567</v>
      </c>
      <c r="AM112" s="2">
        <f>X112/IFERROR(INDEX($E$22:$E$35,MATCH(节奏总纲!F108,$B$22:$B$35,1)),MIN($E$22:$E$35))*IFERROR(INDEX($F$22:$F$35,MATCH(节奏总纲!F108,$B$22:$B$35,1)),MIN($F$22:$F$35))</f>
        <v>26353.120159584858</v>
      </c>
      <c r="AN112" s="2">
        <f>Y112/IFERROR(INDEX($E$22:$E$35,MATCH(节奏总纲!G108,$B$22:$B$35,1)),MIN($E$22:$E$35))*IFERROR(INDEX($F$22:$F$35,MATCH(节奏总纲!G108,$B$22:$B$35,1)),MIN($F$22:$F$35))</f>
        <v>69937.917299678287</v>
      </c>
      <c r="AO112" s="2">
        <f>Z112/IFERROR(INDEX($E$22:$E$35,MATCH(节奏总纲!H108,$B$22:$B$35,1)),MIN($E$22:$E$35))*IFERROR(INDEX($F$22:$F$35,MATCH(节奏总纲!H108,$B$22:$B$35,1)),MIN($F$22:$F$35))</f>
        <v>117303.81686014407</v>
      </c>
      <c r="AQ112" s="2">
        <v>105</v>
      </c>
      <c r="AR112" s="2">
        <f t="shared" si="25"/>
        <v>30574.741229200205</v>
      </c>
      <c r="AS112" s="2">
        <f t="shared" si="26"/>
        <v>43606.418228037212</v>
      </c>
      <c r="AT112" s="2">
        <f t="shared" si="27"/>
        <v>65655.622486912034</v>
      </c>
      <c r="AU112" s="2">
        <f t="shared" si="28"/>
        <v>114880.0756946926</v>
      </c>
      <c r="AV112" s="2">
        <f t="shared" si="29"/>
        <v>168219.93098704497</v>
      </c>
      <c r="AX112" s="41">
        <f t="shared" si="30"/>
        <v>0</v>
      </c>
      <c r="AY112" s="41">
        <f t="shared" si="31"/>
        <v>0.23786485524455434</v>
      </c>
      <c r="AZ112" s="41">
        <f t="shared" si="32"/>
        <v>0.40138405762336893</v>
      </c>
      <c r="BA112" s="41">
        <f t="shared" si="33"/>
        <v>0.60879066171184104</v>
      </c>
      <c r="BB112" s="41">
        <f t="shared" si="34"/>
        <v>0.69732412902474639</v>
      </c>
      <c r="BD112" s="2" t="e">
        <f t="shared" si="35"/>
        <v>#DIV/0!</v>
      </c>
      <c r="BE112" s="2">
        <f t="shared" si="36"/>
        <v>2.8089292455971506</v>
      </c>
      <c r="BF112" s="2">
        <f t="shared" si="37"/>
        <v>2.6820806410854345</v>
      </c>
      <c r="BG112" s="2">
        <f t="shared" si="38"/>
        <v>2.3342643009587927</v>
      </c>
      <c r="BH112" s="2">
        <f t="shared" si="39"/>
        <v>2.3038642848466719</v>
      </c>
    </row>
    <row r="113" spans="11:60" x14ac:dyDescent="0.2">
      <c r="K113" s="2">
        <v>106</v>
      </c>
      <c r="L113" s="2">
        <f>标准城池设计!AB109*$B$10/C$14*$C$5*C$7</f>
        <v>223384559.82948199</v>
      </c>
      <c r="M113" s="2">
        <f>标准城池设计!AC109*$B$10/D$14*$C$5*D$7</f>
        <v>242925672.47347924</v>
      </c>
      <c r="N113" s="2">
        <f>标准城池设计!AD109*$B$10/E$14*$C$5*E$7</f>
        <v>266986975.75854993</v>
      </c>
      <c r="O113" s="2">
        <f>标准城池设计!AE109*$B$10/F$14*$C$5*F$7</f>
        <v>259356461.86464649</v>
      </c>
      <c r="P113" s="2">
        <f>标准城池设计!AF109*$B$10/G$14*$C$5*G$7</f>
        <v>294134008.67997092</v>
      </c>
      <c r="Q113" s="2">
        <f t="shared" si="23"/>
        <v>29413.40086799709</v>
      </c>
      <c r="U113" s="2">
        <v>106</v>
      </c>
      <c r="V113" s="2">
        <f>其他调用!R110*6*其他调用!BM110*$B$10/C$15*$C$5*C$8/3</f>
        <v>0</v>
      </c>
      <c r="W113" s="2">
        <f>其他调用!S110*6*其他调用!BN110*$B$10/D$15*$C$5*D$8/3</f>
        <v>1045557.9188903263</v>
      </c>
      <c r="X113" s="2">
        <f>其他调用!T110*6*其他调用!BO110*$B$10/E$15*$C$5*E$8/3</f>
        <v>2522472.1122554475</v>
      </c>
      <c r="Y113" s="2">
        <f>其他调用!U110*6*其他调用!BP110*$B$10/F$15*$C$5*F$8/3</f>
        <v>6343793.5610260693</v>
      </c>
      <c r="Z113" s="2">
        <f>其他调用!V110*6*其他调用!BQ110*$B$10/G$15*$C$5*G$8/3</f>
        <v>10633449.488323573</v>
      </c>
      <c r="AA113" s="2">
        <f t="shared" si="24"/>
        <v>1063.3449488323572</v>
      </c>
      <c r="AE113" s="2">
        <v>106</v>
      </c>
      <c r="AF113" s="2">
        <f>L113/IFERROR(INDEX($C$22:$C$35,MATCH(节奏总纲!D109,$B$22:$B$35,1)),MIN($C$22:$C$35))*IFERROR(INDEX($D$22:$D$35,MATCH(节奏总纲!D109,$B$22:$B$35,1)),MIN($D$22:$D$35))</f>
        <v>31025.633309650275</v>
      </c>
      <c r="AG113" s="2">
        <f>M113/IFERROR(INDEX($C$22:$C$35,MATCH(节奏总纲!E109,$B$22:$B$35,1)),MIN($C$22:$C$35))*IFERROR(INDEX($D$22:$D$35,MATCH(节奏总纲!E109,$B$22:$B$35,1)),MIN($D$22:$D$35))</f>
        <v>33739.676732427673</v>
      </c>
      <c r="AH113" s="2">
        <f>N113/IFERROR(INDEX($C$22:$C$35,MATCH(节奏总纲!F109,$B$22:$B$35,1)),MIN($C$22:$C$35))*IFERROR(INDEX($D$22:$D$35,MATCH(节奏总纲!F109,$B$22:$B$35,1)),MIN($D$22:$D$35))</f>
        <v>39848.80235202238</v>
      </c>
      <c r="AI113" s="2">
        <f>O113/IFERROR(INDEX($C$22:$C$35,MATCH(节奏总纲!G109,$B$22:$B$35,1)),MIN($C$22:$C$35))*IFERROR(INDEX($D$22:$D$35,MATCH(节奏总纲!G109,$B$22:$B$35,1)),MIN($D$22:$D$35))</f>
        <v>38709.919681290521</v>
      </c>
      <c r="AJ113" s="2">
        <f>P113/IFERROR(INDEX($C$22:$C$35,MATCH(节奏总纲!H109,$B$22:$B$35,1)),MIN($C$22:$C$35))*IFERROR(INDEX($D$22:$D$35,MATCH(节奏总纲!H109,$B$22:$B$35,1)),MIN($D$22:$D$35))</f>
        <v>51602.457663152796</v>
      </c>
      <c r="AK113" s="2">
        <f>V113/IFERROR(INDEX($E$22:$E$35,MATCH(节奏总纲!D109,$B$22:$B$35,1)),MIN($E$22:$E$35))*IFERROR(INDEX($F$22:$F$35,MATCH(节奏总纲!D109,$B$22:$B$35,1)),MIN($F$22:$F$35))</f>
        <v>0</v>
      </c>
      <c r="AL113" s="2">
        <f>W113/IFERROR(INDEX($E$22:$E$35,MATCH(节奏总纲!E109,$B$22:$B$35,1)),MIN($E$22:$E$35))*IFERROR(INDEX($F$22:$F$35,MATCH(节奏总纲!E109,$B$22:$B$35,1)),MIN($F$22:$F$35))</f>
        <v>10455.579188903263</v>
      </c>
      <c r="AM113" s="2">
        <f>X113/IFERROR(INDEX($E$22:$E$35,MATCH(节奏总纲!F109,$B$22:$B$35,1)),MIN($E$22:$E$35))*IFERROR(INDEX($F$22:$F$35,MATCH(节奏总纲!F109,$B$22:$B$35,1)),MIN($F$22:$F$35))</f>
        <v>26552.338023741551</v>
      </c>
      <c r="AN113" s="2">
        <f>Y113/IFERROR(INDEX($E$22:$E$35,MATCH(节奏总纲!G109,$B$22:$B$35,1)),MIN($E$22:$E$35))*IFERROR(INDEX($F$22:$F$35,MATCH(节奏总纲!G109,$B$22:$B$35,1)),MIN($F$22:$F$35))</f>
        <v>66776.77432659021</v>
      </c>
      <c r="AO113" s="2">
        <f>Z113/IFERROR(INDEX($E$22:$E$35,MATCH(节奏总纲!H109,$B$22:$B$35,1)),MIN($E$22:$E$35))*IFERROR(INDEX($F$22:$F$35,MATCH(节奏总纲!H109,$B$22:$B$35,1)),MIN($F$22:$F$35))</f>
        <v>118149.43875915081</v>
      </c>
      <c r="AQ113" s="2">
        <v>106</v>
      </c>
      <c r="AR113" s="2">
        <f t="shared" si="25"/>
        <v>31025.633309650275</v>
      </c>
      <c r="AS113" s="2">
        <f t="shared" si="26"/>
        <v>44195.255921330936</v>
      </c>
      <c r="AT113" s="2">
        <f t="shared" si="27"/>
        <v>66401.140375763935</v>
      </c>
      <c r="AU113" s="2">
        <f t="shared" si="28"/>
        <v>105486.69400788072</v>
      </c>
      <c r="AV113" s="2">
        <f t="shared" si="29"/>
        <v>169751.8964223036</v>
      </c>
      <c r="AX113" s="41">
        <f t="shared" si="30"/>
        <v>0</v>
      </c>
      <c r="AY113" s="41">
        <f t="shared" si="31"/>
        <v>0.23657695766067177</v>
      </c>
      <c r="AZ113" s="41">
        <f t="shared" si="32"/>
        <v>0.39987774115748492</v>
      </c>
      <c r="BA113" s="41">
        <f t="shared" si="33"/>
        <v>0.63303504726009741</v>
      </c>
      <c r="BB113" s="41">
        <f t="shared" si="34"/>
        <v>0.69601248203567778</v>
      </c>
      <c r="BD113" s="2" t="e">
        <f t="shared" si="35"/>
        <v>#DIV/0!</v>
      </c>
      <c r="BE113" s="2">
        <f t="shared" si="36"/>
        <v>2.7890075369242755</v>
      </c>
      <c r="BF113" s="2">
        <f t="shared" si="37"/>
        <v>2.6653085118272308</v>
      </c>
      <c r="BG113" s="2">
        <f t="shared" si="38"/>
        <v>2.5875838109345821</v>
      </c>
      <c r="BH113" s="2">
        <f t="shared" si="39"/>
        <v>2.2896087533349498</v>
      </c>
    </row>
    <row r="114" spans="11:60" x14ac:dyDescent="0.2">
      <c r="K114" s="2">
        <v>107</v>
      </c>
      <c r="L114" s="2">
        <f>标准城池设计!AB110*$B$10/C$14*$C$5*C$7</f>
        <v>226640385.81515247</v>
      </c>
      <c r="M114" s="2">
        <f>标准城池设计!AC110*$B$10/D$14*$C$5*D$7</f>
        <v>246581093.01150271</v>
      </c>
      <c r="N114" s="2">
        <f>标准城池设计!AD110*$B$10/E$14*$C$5*E$7</f>
        <v>270679439.39474112</v>
      </c>
      <c r="O114" s="2">
        <f>标准城池设计!AE110*$B$10/F$14*$C$5*F$7</f>
        <v>262863654.62229294</v>
      </c>
      <c r="P114" s="2">
        <f>标准城池设计!AF110*$B$10/G$14*$C$5*G$7</f>
        <v>298046166.83660662</v>
      </c>
      <c r="Q114" s="2">
        <f t="shared" si="23"/>
        <v>29804.616683660661</v>
      </c>
      <c r="U114" s="2">
        <v>107</v>
      </c>
      <c r="V114" s="2">
        <f>其他调用!R111*6*其他调用!BM111*$B$10/C$15*$C$5*C$8/3</f>
        <v>0</v>
      </c>
      <c r="W114" s="2">
        <f>其他调用!S111*6*其他调用!BN111*$B$10/D$15*$C$5*D$8/3</f>
        <v>1053394.1739054041</v>
      </c>
      <c r="X114" s="2">
        <f>其他调用!T111*6*其他调用!BO111*$B$10/E$15*$C$5*E$8/3</f>
        <v>2542406.0446093432</v>
      </c>
      <c r="Y114" s="2">
        <f>其他调用!U111*6*其他调用!BP111*$B$10/F$15*$C$5*F$8/3</f>
        <v>6389061.8731148541</v>
      </c>
      <c r="Z114" s="2">
        <f>其他调用!V111*6*其他调用!BQ111*$B$10/G$15*$C$5*G$8/3</f>
        <v>10712412.350182803</v>
      </c>
      <c r="AA114" s="2">
        <f t="shared" si="24"/>
        <v>1071.2412350182803</v>
      </c>
      <c r="AE114" s="2">
        <v>107</v>
      </c>
      <c r="AF114" s="2">
        <f>L114/IFERROR(INDEX($C$22:$C$35,MATCH(节奏总纲!D110,$B$22:$B$35,1)),MIN($C$22:$C$35))*IFERROR(INDEX($D$22:$D$35,MATCH(节奏总纲!D110,$B$22:$B$35,1)),MIN($D$22:$D$35))</f>
        <v>31477.831363215621</v>
      </c>
      <c r="AG114" s="2">
        <f>M114/IFERROR(INDEX($C$22:$C$35,MATCH(节奏总纲!E110,$B$22:$B$35,1)),MIN($C$22:$C$35))*IFERROR(INDEX($D$22:$D$35,MATCH(节奏总纲!E110,$B$22:$B$35,1)),MIN($D$22:$D$35))</f>
        <v>34247.37402937538</v>
      </c>
      <c r="AH114" s="2">
        <f>N114/IFERROR(INDEX($C$22:$C$35,MATCH(节奏总纲!F110,$B$22:$B$35,1)),MIN($C$22:$C$35))*IFERROR(INDEX($D$22:$D$35,MATCH(节奏总纲!F110,$B$22:$B$35,1)),MIN($D$22:$D$35))</f>
        <v>37594.366582602932</v>
      </c>
      <c r="AI114" s="2">
        <f>O114/IFERROR(INDEX($C$22:$C$35,MATCH(节奏总纲!G110,$B$22:$B$35,1)),MIN($C$22:$C$35))*IFERROR(INDEX($D$22:$D$35,MATCH(节奏总纲!G110,$B$22:$B$35,1)),MIN($D$22:$D$35))</f>
        <v>39233.381286909396</v>
      </c>
      <c r="AJ114" s="2">
        <f>P114/IFERROR(INDEX($C$22:$C$35,MATCH(节奏总纲!H110,$B$22:$B$35,1)),MIN($C$22:$C$35))*IFERROR(INDEX($D$22:$D$35,MATCH(节奏总纲!H110,$B$22:$B$35,1)),MIN($D$22:$D$35))</f>
        <v>52288.801199404668</v>
      </c>
      <c r="AK114" s="2">
        <f>V114/IFERROR(INDEX($E$22:$E$35,MATCH(节奏总纲!D110,$B$22:$B$35,1)),MIN($E$22:$E$35))*IFERROR(INDEX($F$22:$F$35,MATCH(节奏总纲!D110,$B$22:$B$35,1)),MIN($F$22:$F$35))</f>
        <v>0</v>
      </c>
      <c r="AL114" s="2">
        <f>W114/IFERROR(INDEX($E$22:$E$35,MATCH(节奏总纲!E110,$B$22:$B$35,1)),MIN($E$22:$E$35))*IFERROR(INDEX($F$22:$F$35,MATCH(节奏总纲!E110,$B$22:$B$35,1)),MIN($F$22:$F$35))</f>
        <v>10533.94173905404</v>
      </c>
      <c r="AM114" s="2">
        <f>X114/IFERROR(INDEX($E$22:$E$35,MATCH(节奏总纲!F110,$B$22:$B$35,1)),MIN($E$22:$E$35))*IFERROR(INDEX($F$22:$F$35,MATCH(节奏总纲!F110,$B$22:$B$35,1)),MIN($F$22:$F$35))</f>
        <v>25424.06044609343</v>
      </c>
      <c r="AN114" s="2">
        <f>Y114/IFERROR(INDEX($E$22:$E$35,MATCH(节奏总纲!G110,$B$22:$B$35,1)),MIN($E$22:$E$35))*IFERROR(INDEX($F$22:$F$35,MATCH(节奏总纲!G110,$B$22:$B$35,1)),MIN($F$22:$F$35))</f>
        <v>67253.282874893208</v>
      </c>
      <c r="AO114" s="2">
        <f>Z114/IFERROR(INDEX($E$22:$E$35,MATCH(节奏总纲!H110,$B$22:$B$35,1)),MIN($E$22:$E$35))*IFERROR(INDEX($F$22:$F$35,MATCH(节奏总纲!H110,$B$22:$B$35,1)),MIN($F$22:$F$35))</f>
        <v>119026.80389092004</v>
      </c>
      <c r="AQ114" s="2">
        <v>107</v>
      </c>
      <c r="AR114" s="2">
        <f t="shared" si="25"/>
        <v>31477.831363215621</v>
      </c>
      <c r="AS114" s="2">
        <f t="shared" si="26"/>
        <v>44781.31576842942</v>
      </c>
      <c r="AT114" s="2">
        <f t="shared" si="27"/>
        <v>63018.427028696358</v>
      </c>
      <c r="AU114" s="2">
        <f t="shared" si="28"/>
        <v>106486.6641618026</v>
      </c>
      <c r="AV114" s="2">
        <f t="shared" si="29"/>
        <v>171315.60509032471</v>
      </c>
      <c r="AX114" s="41">
        <f t="shared" si="30"/>
        <v>0</v>
      </c>
      <c r="AY114" s="41">
        <f t="shared" si="31"/>
        <v>0.23523073313715384</v>
      </c>
      <c r="AZ114" s="41">
        <f t="shared" si="32"/>
        <v>0.40343851227064448</v>
      </c>
      <c r="BA114" s="41">
        <f t="shared" si="33"/>
        <v>0.63156530824089196</v>
      </c>
      <c r="BB114" s="41">
        <f t="shared" si="34"/>
        <v>0.69478086265500538</v>
      </c>
      <c r="BD114" s="2" t="e">
        <f t="shared" si="35"/>
        <v>#DIV/0!</v>
      </c>
      <c r="BE114" s="2">
        <f t="shared" si="36"/>
        <v>2.7682553287200311</v>
      </c>
      <c r="BF114" s="2">
        <f t="shared" si="37"/>
        <v>2.7050925718066074</v>
      </c>
      <c r="BG114" s="2">
        <f t="shared" si="38"/>
        <v>2.5712778507316516</v>
      </c>
      <c r="BH114" s="2">
        <f t="shared" si="39"/>
        <v>2.276334533603253</v>
      </c>
    </row>
    <row r="115" spans="11:60" x14ac:dyDescent="0.2">
      <c r="K115" s="2">
        <v>108</v>
      </c>
      <c r="L115" s="2">
        <f>标准城池设计!AB111*$B$10/C$14*$C$5*C$7</f>
        <v>229905614.80725306</v>
      </c>
      <c r="M115" s="2">
        <f>标准城池设计!AC111*$B$10/D$14*$C$5*D$7</f>
        <v>250108656.60018891</v>
      </c>
      <c r="N115" s="2">
        <f>标准城池设计!AD111*$B$10/E$14*$C$5*E$7</f>
        <v>274712502.86707193</v>
      </c>
      <c r="O115" s="2">
        <f>标准城池设计!AE111*$B$10/F$14*$C$5*F$7</f>
        <v>266370847.3799395</v>
      </c>
      <c r="P115" s="2">
        <f>标准城池设计!AF111*$B$10/G$14*$C$5*G$7</f>
        <v>301958324.99324226</v>
      </c>
      <c r="Q115" s="2">
        <f t="shared" si="23"/>
        <v>30195.832499324228</v>
      </c>
      <c r="U115" s="2">
        <v>108</v>
      </c>
      <c r="V115" s="2">
        <f>其他调用!R112*6*其他调用!BM112*$B$10/C$15*$C$5*C$8/3</f>
        <v>0</v>
      </c>
      <c r="W115" s="2">
        <f>其他调用!S112*6*其他调用!BN112*$B$10/D$15*$C$5*D$8/3</f>
        <v>1061658.8777919079</v>
      </c>
      <c r="X115" s="2">
        <f>其他调用!T112*6*其他调用!BO112*$B$10/E$15*$C$5*E$8/3</f>
        <v>2560417.6986102629</v>
      </c>
      <c r="Y115" s="2">
        <f>其他调用!U112*6*其他调用!BP112*$B$10/F$15*$C$5*F$8/3</f>
        <v>6436622.9081211453</v>
      </c>
      <c r="Z115" s="2">
        <f>其他调用!V112*6*其他调用!BQ112*$B$10/G$15*$C$5*G$8/3</f>
        <v>10789996.139486061</v>
      </c>
      <c r="AA115" s="2">
        <f t="shared" si="24"/>
        <v>1078.9996139486061</v>
      </c>
      <c r="AE115" s="2">
        <v>108</v>
      </c>
      <c r="AF115" s="2">
        <f>L115/IFERROR(INDEX($C$22:$C$35,MATCH(节奏总纲!D111,$B$22:$B$35,1)),MIN($C$22:$C$35))*IFERROR(INDEX($D$22:$D$35,MATCH(节奏总纲!D111,$B$22:$B$35,1)),MIN($D$22:$D$35))</f>
        <v>31931.33538989626</v>
      </c>
      <c r="AG115" s="2">
        <f>M115/IFERROR(INDEX($C$22:$C$35,MATCH(节奏总纲!E111,$B$22:$B$35,1)),MIN($C$22:$C$35))*IFERROR(INDEX($D$22:$D$35,MATCH(节奏总纲!E111,$B$22:$B$35,1)),MIN($D$22:$D$35))</f>
        <v>34737.313416692901</v>
      </c>
      <c r="AH115" s="2">
        <f>N115/IFERROR(INDEX($C$22:$C$35,MATCH(节奏总纲!F111,$B$22:$B$35,1)),MIN($C$22:$C$35))*IFERROR(INDEX($D$22:$D$35,MATCH(节奏总纲!F111,$B$22:$B$35,1)),MIN($D$22:$D$35))</f>
        <v>38154.51428709332</v>
      </c>
      <c r="AI115" s="2">
        <f>O115/IFERROR(INDEX($C$22:$C$35,MATCH(节奏总纲!G111,$B$22:$B$35,1)),MIN($C$22:$C$35))*IFERROR(INDEX($D$22:$D$35,MATCH(节奏总纲!G111,$B$22:$B$35,1)),MIN($D$22:$D$35))</f>
        <v>39756.842892528286</v>
      </c>
      <c r="AJ115" s="2">
        <f>P115/IFERROR(INDEX($C$22:$C$35,MATCH(节奏总纲!H111,$B$22:$B$35,1)),MIN($C$22:$C$35))*IFERROR(INDEX($D$22:$D$35,MATCH(节奏总纲!H111,$B$22:$B$35,1)),MIN($D$22:$D$35))</f>
        <v>52975.14473565654</v>
      </c>
      <c r="AK115" s="2">
        <f>V115/IFERROR(INDEX($E$22:$E$35,MATCH(节奏总纲!D111,$B$22:$B$35,1)),MIN($E$22:$E$35))*IFERROR(INDEX($F$22:$F$35,MATCH(节奏总纲!D111,$B$22:$B$35,1)),MIN($F$22:$F$35))</f>
        <v>0</v>
      </c>
      <c r="AL115" s="2">
        <f>W115/IFERROR(INDEX($E$22:$E$35,MATCH(节奏总纲!E111,$B$22:$B$35,1)),MIN($E$22:$E$35))*IFERROR(INDEX($F$22:$F$35,MATCH(节奏总纲!E111,$B$22:$B$35,1)),MIN($F$22:$F$35))</f>
        <v>10616.588777919078</v>
      </c>
      <c r="AM115" s="2">
        <f>X115/IFERROR(INDEX($E$22:$E$35,MATCH(节奏总纲!F111,$B$22:$B$35,1)),MIN($E$22:$E$35))*IFERROR(INDEX($F$22:$F$35,MATCH(节奏总纲!F111,$B$22:$B$35,1)),MIN($F$22:$F$35))</f>
        <v>25604.17698610263</v>
      </c>
      <c r="AN115" s="2">
        <f>Y115/IFERROR(INDEX($E$22:$E$35,MATCH(节奏总纲!G111,$B$22:$B$35,1)),MIN($E$22:$E$35))*IFERROR(INDEX($F$22:$F$35,MATCH(节奏总纲!G111,$B$22:$B$35,1)),MIN($F$22:$F$35))</f>
        <v>67753.925348643636</v>
      </c>
      <c r="AO115" s="2">
        <f>Z115/IFERROR(INDEX($E$22:$E$35,MATCH(节奏总纲!H111,$B$22:$B$35,1)),MIN($E$22:$E$35))*IFERROR(INDEX($F$22:$F$35,MATCH(节奏总纲!H111,$B$22:$B$35,1)),MIN($F$22:$F$35))</f>
        <v>119888.84599428957</v>
      </c>
      <c r="AQ115" s="2">
        <v>108</v>
      </c>
      <c r="AR115" s="2">
        <f t="shared" si="25"/>
        <v>31931.33538989626</v>
      </c>
      <c r="AS115" s="2">
        <f t="shared" si="26"/>
        <v>45353.902194611976</v>
      </c>
      <c r="AT115" s="2">
        <f t="shared" si="27"/>
        <v>63758.691273195946</v>
      </c>
      <c r="AU115" s="2">
        <f t="shared" si="28"/>
        <v>107510.76824117193</v>
      </c>
      <c r="AV115" s="2">
        <f t="shared" si="29"/>
        <v>172863.99072994612</v>
      </c>
      <c r="AX115" s="41">
        <f t="shared" si="30"/>
        <v>0</v>
      </c>
      <c r="AY115" s="41">
        <f t="shared" si="31"/>
        <v>0.23408324894214558</v>
      </c>
      <c r="AZ115" s="41">
        <f t="shared" si="32"/>
        <v>0.40157939999729236</v>
      </c>
      <c r="BA115" s="41">
        <f t="shared" si="33"/>
        <v>0.63020594547939279</v>
      </c>
      <c r="BB115" s="41">
        <f t="shared" si="34"/>
        <v>0.69354436102070516</v>
      </c>
      <c r="BD115" s="2" t="e">
        <f t="shared" si="35"/>
        <v>#DIV/0!</v>
      </c>
      <c r="BE115" s="2">
        <f t="shared" si="36"/>
        <v>2.7506243172897715</v>
      </c>
      <c r="BF115" s="2">
        <f t="shared" si="37"/>
        <v>2.6842618719708211</v>
      </c>
      <c r="BG115" s="2">
        <f t="shared" si="38"/>
        <v>2.5563118353662202</v>
      </c>
      <c r="BH115" s="2">
        <f t="shared" si="39"/>
        <v>2.2631150248390868</v>
      </c>
    </row>
    <row r="116" spans="11:60" x14ac:dyDescent="0.2">
      <c r="K116" s="2">
        <v>109</v>
      </c>
      <c r="L116" s="2">
        <f>标准城池设计!AB112*$B$10/C$14*$C$5*C$7</f>
        <v>233217449.65638673</v>
      </c>
      <c r="M116" s="2">
        <f>标准城池设计!AC112*$B$10/D$14*$C$5*D$7</f>
        <v>253816913.66093579</v>
      </c>
      <c r="N116" s="2">
        <f>标准城池设计!AD112*$B$10/E$14*$C$5*E$7</f>
        <v>278755262.3270691</v>
      </c>
      <c r="O116" s="2">
        <f>标准城池设计!AE112*$B$10/F$14*$C$5*F$7</f>
        <v>269878040.13758606</v>
      </c>
      <c r="P116" s="2">
        <f>标准城池设计!AF112*$B$10/G$14*$C$5*G$7</f>
        <v>305870483.14987803</v>
      </c>
      <c r="Q116" s="2">
        <f t="shared" si="23"/>
        <v>30587.048314987802</v>
      </c>
      <c r="U116" s="2">
        <v>109</v>
      </c>
      <c r="V116" s="2">
        <f>其他调用!R113*6*其他调用!BM113*$B$10/C$15*$C$5*C$8/3</f>
        <v>0</v>
      </c>
      <c r="W116" s="2">
        <f>其他调用!S113*6*其他调用!BN113*$B$10/D$15*$C$5*D$8/3</f>
        <v>1069269.5253757669</v>
      </c>
      <c r="X116" s="2">
        <f>其他调用!T113*6*其他调用!BO113*$B$10/E$15*$C$5*E$8/3</f>
        <v>2579456.9209719533</v>
      </c>
      <c r="Y116" s="2">
        <f>其他调用!U113*6*其他调用!BP113*$B$10/F$15*$C$5*F$8/3</f>
        <v>6483013.597478292</v>
      </c>
      <c r="Z116" s="2">
        <f>其他调用!V113*6*其他调用!BQ113*$B$10/G$15*$C$5*G$8/3</f>
        <v>10871470.936959686</v>
      </c>
      <c r="AA116" s="2">
        <f t="shared" si="24"/>
        <v>1087.1470936959686</v>
      </c>
      <c r="AE116" s="2">
        <v>109</v>
      </c>
      <c r="AF116" s="2">
        <f>L116/IFERROR(INDEX($C$22:$C$35,MATCH(节奏总纲!D112,$B$22:$B$35,1)),MIN($C$22:$C$35))*IFERROR(INDEX($D$22:$D$35,MATCH(节奏总纲!D112,$B$22:$B$35,1)),MIN($D$22:$D$35))</f>
        <v>32391.312452275935</v>
      </c>
      <c r="AG116" s="2">
        <f>M116/IFERROR(INDEX($C$22:$C$35,MATCH(节奏总纲!E112,$B$22:$B$35,1)),MIN($C$22:$C$35))*IFERROR(INDEX($D$22:$D$35,MATCH(节奏总纲!E112,$B$22:$B$35,1)),MIN($D$22:$D$35))</f>
        <v>35252.349119574414</v>
      </c>
      <c r="AH116" s="2">
        <f>N116/IFERROR(INDEX($C$22:$C$35,MATCH(节奏总纲!F112,$B$22:$B$35,1)),MIN($C$22:$C$35))*IFERROR(INDEX($D$22:$D$35,MATCH(节奏总纲!F112,$B$22:$B$35,1)),MIN($D$22:$D$35))</f>
        <v>38716.008656537379</v>
      </c>
      <c r="AI116" s="2">
        <f>O116/IFERROR(INDEX($C$22:$C$35,MATCH(节奏总纲!G112,$B$22:$B$35,1)),MIN($C$22:$C$35))*IFERROR(INDEX($D$22:$D$35,MATCH(节奏总纲!G112,$B$22:$B$35,1)),MIN($D$22:$D$35))</f>
        <v>40280.304498147176</v>
      </c>
      <c r="AJ116" s="2">
        <f>P116/IFERROR(INDEX($C$22:$C$35,MATCH(节奏总纲!H112,$B$22:$B$35,1)),MIN($C$22:$C$35))*IFERROR(INDEX($D$22:$D$35,MATCH(节奏总纲!H112,$B$22:$B$35,1)),MIN($D$22:$D$35))</f>
        <v>53661.488271908427</v>
      </c>
      <c r="AK116" s="2">
        <f>V116/IFERROR(INDEX($E$22:$E$35,MATCH(节奏总纲!D112,$B$22:$B$35,1)),MIN($E$22:$E$35))*IFERROR(INDEX($F$22:$F$35,MATCH(节奏总纲!D112,$B$22:$B$35,1)),MIN($F$22:$F$35))</f>
        <v>0</v>
      </c>
      <c r="AL116" s="2">
        <f>W116/IFERROR(INDEX($E$22:$E$35,MATCH(节奏总纲!E112,$B$22:$B$35,1)),MIN($E$22:$E$35))*IFERROR(INDEX($F$22:$F$35,MATCH(节奏总纲!E112,$B$22:$B$35,1)),MIN($F$22:$F$35))</f>
        <v>10692.695253757669</v>
      </c>
      <c r="AM116" s="2">
        <f>X116/IFERROR(INDEX($E$22:$E$35,MATCH(节奏总纲!F112,$B$22:$B$35,1)),MIN($E$22:$E$35))*IFERROR(INDEX($F$22:$F$35,MATCH(节奏总纲!F112,$B$22:$B$35,1)),MIN($F$22:$F$35))</f>
        <v>25794.569209719532</v>
      </c>
      <c r="AN116" s="2">
        <f>Y116/IFERROR(INDEX($E$22:$E$35,MATCH(节奏总纲!G112,$B$22:$B$35,1)),MIN($E$22:$E$35))*IFERROR(INDEX($F$22:$F$35,MATCH(节奏总纲!G112,$B$22:$B$35,1)),MIN($F$22:$F$35))</f>
        <v>68242.248394508337</v>
      </c>
      <c r="AO116" s="2">
        <f>Z116/IFERROR(INDEX($E$22:$E$35,MATCH(节奏总纲!H112,$B$22:$B$35,1)),MIN($E$22:$E$35))*IFERROR(INDEX($F$22:$F$35,MATCH(节奏总纲!H112,$B$22:$B$35,1)),MIN($F$22:$F$35))</f>
        <v>120794.12152177429</v>
      </c>
      <c r="AQ116" s="2">
        <v>109</v>
      </c>
      <c r="AR116" s="2">
        <f t="shared" si="25"/>
        <v>32391.312452275935</v>
      </c>
      <c r="AS116" s="2">
        <f t="shared" si="26"/>
        <v>45945.044373332086</v>
      </c>
      <c r="AT116" s="2">
        <f t="shared" si="27"/>
        <v>64510.577866256906</v>
      </c>
      <c r="AU116" s="2">
        <f t="shared" si="28"/>
        <v>108522.55289265551</v>
      </c>
      <c r="AV116" s="2">
        <f t="shared" si="29"/>
        <v>174455.6097936827</v>
      </c>
      <c r="AX116" s="41">
        <f t="shared" si="30"/>
        <v>0</v>
      </c>
      <c r="AY116" s="41">
        <f t="shared" si="31"/>
        <v>0.23272793398288755</v>
      </c>
      <c r="AZ116" s="41">
        <f t="shared" si="32"/>
        <v>0.39985022709293871</v>
      </c>
      <c r="BA116" s="41">
        <f t="shared" si="33"/>
        <v>0.62883010559113717</v>
      </c>
      <c r="BB116" s="41">
        <f t="shared" si="34"/>
        <v>0.69240606057110821</v>
      </c>
      <c r="BD116" s="2" t="e">
        <f t="shared" si="35"/>
        <v>#DIV/0!</v>
      </c>
      <c r="BE116" s="2">
        <f t="shared" si="36"/>
        <v>2.7298679290108208</v>
      </c>
      <c r="BF116" s="2">
        <f t="shared" si="37"/>
        <v>2.6650029385572012</v>
      </c>
      <c r="BG116" s="2">
        <f t="shared" si="38"/>
        <v>2.5412760371876293</v>
      </c>
      <c r="BH116" s="2">
        <f t="shared" si="39"/>
        <v>2.2510393470583172</v>
      </c>
    </row>
    <row r="117" spans="11:60" x14ac:dyDescent="0.2">
      <c r="K117" s="2">
        <v>110</v>
      </c>
      <c r="L117" s="2">
        <f>标准城池设计!AB113*$B$10/C$14*$C$5*C$7</f>
        <v>236784546.22076812</v>
      </c>
      <c r="M117" s="2">
        <f>标准城池设计!AC113*$B$10/D$14*$C$5*D$7</f>
        <v>257533330.9678005</v>
      </c>
      <c r="N117" s="2">
        <f>标准城池设计!AD113*$B$10/E$14*$C$5*E$7</f>
        <v>282807717.77473283</v>
      </c>
      <c r="O117" s="2">
        <f>标准城池设计!AE113*$B$10/F$14*$C$5*F$7</f>
        <v>273385232.89523256</v>
      </c>
      <c r="P117" s="2">
        <f>标准城池设计!AF113*$B$10/G$14*$C$5*G$7</f>
        <v>309782641.30651379</v>
      </c>
      <c r="Q117" s="2">
        <f t="shared" si="23"/>
        <v>30978.26413065138</v>
      </c>
      <c r="U117" s="2">
        <v>110</v>
      </c>
      <c r="V117" s="2">
        <f>其他调用!R114*6*其他调用!BM114*$B$10/C$15*$C$5*C$8/3</f>
        <v>0</v>
      </c>
      <c r="W117" s="2">
        <f>其他调用!S114*6*其他调用!BN114*$B$10/D$15*$C$5*D$8/3</f>
        <v>1077470.2585901981</v>
      </c>
      <c r="X117" s="2">
        <f>其他调用!T114*6*其他调用!BO114*$B$10/E$15*$C$5*E$8/3</f>
        <v>2598904.5935247294</v>
      </c>
      <c r="Y117" s="2">
        <f>其他调用!U114*6*其他调用!BP114*$B$10/F$15*$C$5*F$8/3</f>
        <v>6533275.9402419711</v>
      </c>
      <c r="Z117" s="2">
        <f>其他调用!V114*6*其他调用!BQ114*$B$10/G$15*$C$5*G$8/3</f>
        <v>10952786.965788955</v>
      </c>
      <c r="AA117" s="2">
        <f t="shared" si="24"/>
        <v>1095.2786965788955</v>
      </c>
      <c r="AE117" s="2">
        <v>110</v>
      </c>
      <c r="AF117" s="2">
        <f>L117/IFERROR(INDEX($C$22:$C$35,MATCH(节奏总纲!D113,$B$22:$B$35,1)),MIN($C$22:$C$35))*IFERROR(INDEX($D$22:$D$35,MATCH(节奏总纲!D113,$B$22:$B$35,1)),MIN($D$22:$D$35))</f>
        <v>32886.742530662239</v>
      </c>
      <c r="AG117" s="2">
        <f>M117/IFERROR(INDEX($C$22:$C$35,MATCH(节奏总纲!E113,$B$22:$B$35,1)),MIN($C$22:$C$35))*IFERROR(INDEX($D$22:$D$35,MATCH(节奏总纲!E113,$B$22:$B$35,1)),MIN($D$22:$D$35))</f>
        <v>35768.518189972288</v>
      </c>
      <c r="AH117" s="2">
        <f>N117/IFERROR(INDEX($C$22:$C$35,MATCH(节奏总纲!F113,$B$22:$B$35,1)),MIN($C$22:$C$35))*IFERROR(INDEX($D$22:$D$35,MATCH(节奏总纲!F113,$B$22:$B$35,1)),MIN($D$22:$D$35))</f>
        <v>39278.849690935116</v>
      </c>
      <c r="AI117" s="2">
        <f>O117/IFERROR(INDEX($C$22:$C$35,MATCH(节奏总纲!G113,$B$22:$B$35,1)),MIN($C$22:$C$35))*IFERROR(INDEX($D$22:$D$35,MATCH(节奏总纲!G113,$B$22:$B$35,1)),MIN($D$22:$D$35))</f>
        <v>40803.766103766051</v>
      </c>
      <c r="AJ117" s="2">
        <f>P117/IFERROR(INDEX($C$22:$C$35,MATCH(节奏总纲!H113,$B$22:$B$35,1)),MIN($C$22:$C$35))*IFERROR(INDEX($D$22:$D$35,MATCH(节奏总纲!H113,$B$22:$B$35,1)),MIN($D$22:$D$35))</f>
        <v>54347.831808160314</v>
      </c>
      <c r="AK117" s="2">
        <f>V117/IFERROR(INDEX($E$22:$E$35,MATCH(节奏总纲!D113,$B$22:$B$35,1)),MIN($E$22:$E$35))*IFERROR(INDEX($F$22:$F$35,MATCH(节奏总纲!D113,$B$22:$B$35,1)),MIN($F$22:$F$35))</f>
        <v>0</v>
      </c>
      <c r="AL117" s="2">
        <f>W117/IFERROR(INDEX($E$22:$E$35,MATCH(节奏总纲!E113,$B$22:$B$35,1)),MIN($E$22:$E$35))*IFERROR(INDEX($F$22:$F$35,MATCH(节奏总纲!E113,$B$22:$B$35,1)),MIN($F$22:$F$35))</f>
        <v>10774.702585901981</v>
      </c>
      <c r="AM117" s="2">
        <f>X117/IFERROR(INDEX($E$22:$E$35,MATCH(节奏总纲!F113,$B$22:$B$35,1)),MIN($E$22:$E$35))*IFERROR(INDEX($F$22:$F$35,MATCH(节奏总纲!F113,$B$22:$B$35,1)),MIN($F$22:$F$35))</f>
        <v>25989.045935247294</v>
      </c>
      <c r="AN117" s="2">
        <f>Y117/IFERROR(INDEX($E$22:$E$35,MATCH(节奏总纲!G113,$B$22:$B$35,1)),MIN($E$22:$E$35))*IFERROR(INDEX($F$22:$F$35,MATCH(节奏总纲!G113,$B$22:$B$35,1)),MIN($F$22:$F$35))</f>
        <v>68771.325686757584</v>
      </c>
      <c r="AO117" s="2">
        <f>Z117/IFERROR(INDEX($E$22:$E$35,MATCH(节奏总纲!H113,$B$22:$B$35,1)),MIN($E$22:$E$35))*IFERROR(INDEX($F$22:$F$35,MATCH(节奏总纲!H113,$B$22:$B$35,1)),MIN($F$22:$F$35))</f>
        <v>121697.6329532106</v>
      </c>
      <c r="AQ117" s="2">
        <v>110</v>
      </c>
      <c r="AR117" s="2">
        <f t="shared" si="25"/>
        <v>32886.742530662239</v>
      </c>
      <c r="AS117" s="2">
        <f t="shared" si="26"/>
        <v>46543.220775874273</v>
      </c>
      <c r="AT117" s="2">
        <f t="shared" si="27"/>
        <v>65267.895626182406</v>
      </c>
      <c r="AU117" s="2">
        <f t="shared" si="28"/>
        <v>109575.09179052364</v>
      </c>
      <c r="AV117" s="2">
        <f t="shared" si="29"/>
        <v>176045.46476137091</v>
      </c>
      <c r="AX117" s="41">
        <f t="shared" si="30"/>
        <v>0</v>
      </c>
      <c r="AY117" s="41">
        <f t="shared" si="31"/>
        <v>0.23149886076399465</v>
      </c>
      <c r="AZ117" s="41">
        <f t="shared" si="32"/>
        <v>0.39819034589529057</v>
      </c>
      <c r="BA117" s="41">
        <f t="shared" si="33"/>
        <v>0.62761823479216217</v>
      </c>
      <c r="BB117" s="41">
        <f t="shared" si="34"/>
        <v>0.69128524905865296</v>
      </c>
      <c r="BD117" s="2" t="e">
        <f t="shared" si="35"/>
        <v>#DIV/0!</v>
      </c>
      <c r="BE117" s="2">
        <f t="shared" si="36"/>
        <v>2.7111082085671661</v>
      </c>
      <c r="BF117" s="2">
        <f t="shared" si="37"/>
        <v>2.6466198618077277</v>
      </c>
      <c r="BG117" s="2">
        <f t="shared" si="38"/>
        <v>2.5281241998055499</v>
      </c>
      <c r="BH117" s="2">
        <f t="shared" si="39"/>
        <v>2.2392362106143437</v>
      </c>
    </row>
    <row r="118" spans="11:60" x14ac:dyDescent="0.2">
      <c r="K118" s="2">
        <v>111</v>
      </c>
      <c r="L118" s="2">
        <f>标准城池设计!AB114*$B$10/C$14*$C$5*C$7</f>
        <v>240361961.44309986</v>
      </c>
      <c r="M118" s="2">
        <f>标准城池设计!AC114*$B$10/D$14*$C$5*D$7</f>
        <v>261257908.52078295</v>
      </c>
      <c r="N118" s="2">
        <f>标准城池设计!AD114*$B$10/E$14*$C$5*E$7</f>
        <v>286869869.21006292</v>
      </c>
      <c r="O118" s="2">
        <f>标准城池设计!AE114*$B$10/F$14*$C$5*F$7</f>
        <v>276892425.652879</v>
      </c>
      <c r="P118" s="2">
        <f>标准城池设计!AF114*$B$10/G$14*$C$5*G$7</f>
        <v>313694799.46314955</v>
      </c>
      <c r="Q118" s="2">
        <f t="shared" si="23"/>
        <v>31369.479946314954</v>
      </c>
      <c r="U118" s="2">
        <v>111</v>
      </c>
      <c r="V118" s="2">
        <f>其他调用!R115*6*其他调用!BM115*$B$10/C$15*$C$5*C$8/3</f>
        <v>0</v>
      </c>
      <c r="W118" s="2">
        <f>其他调用!S115*6*其他调用!BN115*$B$10/D$15*$C$5*D$8/3</f>
        <v>1085535.4468886675</v>
      </c>
      <c r="X118" s="2">
        <f>其他调用!T115*6*其他调用!BO115*$B$10/E$15*$C$5*E$8/3</f>
        <v>2618848.0572950426</v>
      </c>
      <c r="Y118" s="2">
        <f>其他调用!U115*6*其他调用!BP115*$B$10/F$15*$C$5*F$8/3</f>
        <v>6582732.4622098794</v>
      </c>
      <c r="Z118" s="2">
        <f>其他调用!V115*6*其他调用!BQ115*$B$10/G$15*$C$5*G$8/3</f>
        <v>11037824.117646733</v>
      </c>
      <c r="AA118" s="2">
        <f t="shared" si="24"/>
        <v>1103.7824117646733</v>
      </c>
      <c r="AE118" s="2">
        <v>111</v>
      </c>
      <c r="AF118" s="2">
        <f>L118/IFERROR(INDEX($C$22:$C$35,MATCH(节奏总纲!D114,$B$22:$B$35,1)),MIN($C$22:$C$35))*IFERROR(INDEX($D$22:$D$35,MATCH(节奏总纲!D114,$B$22:$B$35,1)),MIN($D$22:$D$35))</f>
        <v>30045.245180387483</v>
      </c>
      <c r="AG118" s="2">
        <f>M118/IFERROR(INDEX($C$22:$C$35,MATCH(节奏总纲!E114,$B$22:$B$35,1)),MIN($C$22:$C$35))*IFERROR(INDEX($D$22:$D$35,MATCH(节奏总纲!E114,$B$22:$B$35,1)),MIN($D$22:$D$35))</f>
        <v>36285.820627886518</v>
      </c>
      <c r="AH118" s="2">
        <f>N118/IFERROR(INDEX($C$22:$C$35,MATCH(节奏总纲!F114,$B$22:$B$35,1)),MIN($C$22:$C$35))*IFERROR(INDEX($D$22:$D$35,MATCH(节奏总纲!F114,$B$22:$B$35,1)),MIN($D$22:$D$35))</f>
        <v>39843.037390286518</v>
      </c>
      <c r="AI118" s="2">
        <f>O118/IFERROR(INDEX($C$22:$C$35,MATCH(节奏总纲!G114,$B$22:$B$35,1)),MIN($C$22:$C$35))*IFERROR(INDEX($D$22:$D$35,MATCH(节奏总纲!G114,$B$22:$B$35,1)),MIN($D$22:$D$35))</f>
        <v>41327.227709384926</v>
      </c>
      <c r="AJ118" s="2">
        <f>P118/IFERROR(INDEX($C$22:$C$35,MATCH(节奏总纲!H114,$B$22:$B$35,1)),MIN($C$22:$C$35))*IFERROR(INDEX($D$22:$D$35,MATCH(节奏总纲!H114,$B$22:$B$35,1)),MIN($D$22:$D$35))</f>
        <v>55034.175344412201</v>
      </c>
      <c r="AK118" s="2">
        <f>V118/IFERROR(INDEX($E$22:$E$35,MATCH(节奏总纲!D114,$B$22:$B$35,1)),MIN($E$22:$E$35))*IFERROR(INDEX($F$22:$F$35,MATCH(节奏总纲!D114,$B$22:$B$35,1)),MIN($F$22:$F$35))</f>
        <v>0</v>
      </c>
      <c r="AL118" s="2">
        <f>W118/IFERROR(INDEX($E$22:$E$35,MATCH(节奏总纲!E114,$B$22:$B$35,1)),MIN($E$22:$E$35))*IFERROR(INDEX($F$22:$F$35,MATCH(节奏总纲!E114,$B$22:$B$35,1)),MIN($F$22:$F$35))</f>
        <v>10855.354468886675</v>
      </c>
      <c r="AM118" s="2">
        <f>X118/IFERROR(INDEX($E$22:$E$35,MATCH(节奏总纲!F114,$B$22:$B$35,1)),MIN($E$22:$E$35))*IFERROR(INDEX($F$22:$F$35,MATCH(节奏总纲!F114,$B$22:$B$35,1)),MIN($F$22:$F$35))</f>
        <v>26188.480572950426</v>
      </c>
      <c r="AN118" s="2">
        <f>Y118/IFERROR(INDEX($E$22:$E$35,MATCH(节奏总纲!G114,$B$22:$B$35,1)),MIN($E$22:$E$35))*IFERROR(INDEX($F$22:$F$35,MATCH(节奏总纲!G114,$B$22:$B$35,1)),MIN($F$22:$F$35))</f>
        <v>69291.92065484084</v>
      </c>
      <c r="AO118" s="2">
        <f>Z118/IFERROR(INDEX($E$22:$E$35,MATCH(节奏总纲!H114,$B$22:$B$35,1)),MIN($E$22:$E$35))*IFERROR(INDEX($F$22:$F$35,MATCH(节奏总纲!H114,$B$22:$B$35,1)),MIN($F$22:$F$35))</f>
        <v>122642.49019607481</v>
      </c>
      <c r="AQ118" s="2">
        <v>111</v>
      </c>
      <c r="AR118" s="2">
        <f t="shared" si="25"/>
        <v>30045.245180387483</v>
      </c>
      <c r="AS118" s="2">
        <f t="shared" si="26"/>
        <v>47141.175096773193</v>
      </c>
      <c r="AT118" s="2">
        <f t="shared" si="27"/>
        <v>66031.51796323694</v>
      </c>
      <c r="AU118" s="2">
        <f t="shared" si="28"/>
        <v>110619.14836422577</v>
      </c>
      <c r="AV118" s="2">
        <f t="shared" si="29"/>
        <v>177676.66554048701</v>
      </c>
      <c r="AX118" s="41">
        <f t="shared" si="30"/>
        <v>0</v>
      </c>
      <c r="AY118" s="41">
        <f t="shared" si="31"/>
        <v>0.23027331089228029</v>
      </c>
      <c r="AZ118" s="41">
        <f t="shared" si="32"/>
        <v>0.39660576313770141</v>
      </c>
      <c r="BA118" s="41">
        <f t="shared" si="33"/>
        <v>0.62640077852244469</v>
      </c>
      <c r="BB118" s="41">
        <f t="shared" si="34"/>
        <v>0.6902565951640306</v>
      </c>
      <c r="BD118" s="2" t="e">
        <f t="shared" si="35"/>
        <v>#DIV/0!</v>
      </c>
      <c r="BE118" s="2">
        <f t="shared" si="36"/>
        <v>2.6924619184414067</v>
      </c>
      <c r="BF118" s="2">
        <f t="shared" si="37"/>
        <v>2.6291650725740121</v>
      </c>
      <c r="BG118" s="2">
        <f t="shared" si="38"/>
        <v>2.5149976599726811</v>
      </c>
      <c r="BH118" s="2">
        <f t="shared" si="39"/>
        <v>2.2284787484969031</v>
      </c>
    </row>
    <row r="119" spans="11:60" x14ac:dyDescent="0.2">
      <c r="K119" s="2">
        <v>112</v>
      </c>
      <c r="L119" s="2">
        <f>标准城池设计!AB115*$B$10/C$14*$C$5*C$7</f>
        <v>249584645.58542672</v>
      </c>
      <c r="M119" s="2">
        <f>标准城池设计!AC115*$B$10/D$14*$C$5*D$7</f>
        <v>271108304.89811575</v>
      </c>
      <c r="N119" s="2">
        <f>标准城池设计!AD115*$B$10/E$14*$C$5*E$7</f>
        <v>297924506.17451954</v>
      </c>
      <c r="O119" s="2">
        <f>标准城池设计!AE115*$B$10/F$14*$C$5*F$7</f>
        <v>287379697.47119164</v>
      </c>
      <c r="P119" s="2">
        <f>标准城池设计!AF115*$B$10/G$14*$C$5*G$7</f>
        <v>325886835.12350774</v>
      </c>
      <c r="Q119" s="2">
        <f t="shared" si="23"/>
        <v>32588.683512350774</v>
      </c>
      <c r="U119" s="2">
        <v>112</v>
      </c>
      <c r="V119" s="2">
        <f>其他调用!R116*6*其他调用!BM116*$B$10/C$15*$C$5*C$8/3</f>
        <v>0</v>
      </c>
      <c r="W119" s="2">
        <f>其他调用!S116*6*其他调用!BN116*$B$10/D$15*$C$5*D$8/3</f>
        <v>1093760.8548815695</v>
      </c>
      <c r="X119" s="2">
        <f>其他调用!T116*6*其他调用!BO116*$B$10/E$15*$C$5*E$8/3</f>
        <v>2638200.0823925273</v>
      </c>
      <c r="Y119" s="2">
        <f>其他调用!U116*6*其他调用!BP116*$B$10/F$15*$C$5*F$8/3</f>
        <v>6632188.009802877</v>
      </c>
      <c r="Z119" s="2">
        <f>其他调用!V116*6*其他调用!BQ116*$B$10/G$15*$C$5*G$8/3</f>
        <v>11115048.290102115</v>
      </c>
      <c r="AA119" s="2">
        <f t="shared" si="24"/>
        <v>1111.5048290102116</v>
      </c>
      <c r="AE119" s="2">
        <v>112</v>
      </c>
      <c r="AF119" s="2">
        <f>L119/IFERROR(INDEX($C$22:$C$35,MATCH(节奏总纲!D115,$B$22:$B$35,1)),MIN($C$22:$C$35))*IFERROR(INDEX($D$22:$D$35,MATCH(节奏总纲!D115,$B$22:$B$35,1)),MIN($D$22:$D$35))</f>
        <v>31198.080698178339</v>
      </c>
      <c r="AG119" s="2">
        <f>M119/IFERROR(INDEX($C$22:$C$35,MATCH(节奏总纲!E115,$B$22:$B$35,1)),MIN($C$22:$C$35))*IFERROR(INDEX($D$22:$D$35,MATCH(节奏总纲!E115,$B$22:$B$35,1)),MIN($D$22:$D$35))</f>
        <v>37653.931235849413</v>
      </c>
      <c r="AH119" s="2">
        <f>N119/IFERROR(INDEX($C$22:$C$35,MATCH(节奏总纲!F115,$B$22:$B$35,1)),MIN($C$22:$C$35))*IFERROR(INDEX($D$22:$D$35,MATCH(节奏总纲!F115,$B$22:$B$35,1)),MIN($D$22:$D$35))</f>
        <v>41378.40363534994</v>
      </c>
      <c r="AI119" s="2">
        <f>O119/IFERROR(INDEX($C$22:$C$35,MATCH(节奏总纲!G115,$B$22:$B$35,1)),MIN($C$22:$C$35))*IFERROR(INDEX($D$22:$D$35,MATCH(节奏总纲!G115,$B$22:$B$35,1)),MIN($D$22:$D$35))</f>
        <v>39913.846870998837</v>
      </c>
      <c r="AJ119" s="2">
        <f>P119/IFERROR(INDEX($C$22:$C$35,MATCH(节奏总纲!H115,$B$22:$B$35,1)),MIN($C$22:$C$35))*IFERROR(INDEX($D$22:$D$35,MATCH(节奏总纲!H115,$B$22:$B$35,1)),MIN($D$22:$D$35))</f>
        <v>57173.128969036443</v>
      </c>
      <c r="AK119" s="2">
        <f>V119/IFERROR(INDEX($E$22:$E$35,MATCH(节奏总纲!D115,$B$22:$B$35,1)),MIN($E$22:$E$35))*IFERROR(INDEX($F$22:$F$35,MATCH(节奏总纲!D115,$B$22:$B$35,1)),MIN($F$22:$F$35))</f>
        <v>0</v>
      </c>
      <c r="AL119" s="2">
        <f>W119/IFERROR(INDEX($E$22:$E$35,MATCH(节奏总纲!E115,$B$22:$B$35,1)),MIN($E$22:$E$35))*IFERROR(INDEX($F$22:$F$35,MATCH(节奏总纲!E115,$B$22:$B$35,1)),MIN($F$22:$F$35))</f>
        <v>10937.608548815695</v>
      </c>
      <c r="AM119" s="2">
        <f>X119/IFERROR(INDEX($E$22:$E$35,MATCH(节奏总纲!F115,$B$22:$B$35,1)),MIN($E$22:$E$35))*IFERROR(INDEX($F$22:$F$35,MATCH(节奏总纲!F115,$B$22:$B$35,1)),MIN($F$22:$F$35))</f>
        <v>26382.000823925271</v>
      </c>
      <c r="AN119" s="2">
        <f>Y119/IFERROR(INDEX($E$22:$E$35,MATCH(节奏总纲!G115,$B$22:$B$35,1)),MIN($E$22:$E$35))*IFERROR(INDEX($F$22:$F$35,MATCH(节奏总纲!G115,$B$22:$B$35,1)),MIN($F$22:$F$35))</f>
        <v>66321.880098028763</v>
      </c>
      <c r="AO119" s="2">
        <f>Z119/IFERROR(INDEX($E$22:$E$35,MATCH(节奏总纲!H115,$B$22:$B$35,1)),MIN($E$22:$E$35))*IFERROR(INDEX($F$22:$F$35,MATCH(节奏总纲!H115,$B$22:$B$35,1)),MIN($F$22:$F$35))</f>
        <v>123500.53655669016</v>
      </c>
      <c r="AQ119" s="2">
        <v>112</v>
      </c>
      <c r="AR119" s="2">
        <f t="shared" si="25"/>
        <v>31198.080698178339</v>
      </c>
      <c r="AS119" s="2">
        <f t="shared" si="26"/>
        <v>48591.53978466511</v>
      </c>
      <c r="AT119" s="2">
        <f t="shared" si="27"/>
        <v>67760.404459275218</v>
      </c>
      <c r="AU119" s="2">
        <f t="shared" si="28"/>
        <v>106235.7269690276</v>
      </c>
      <c r="AV119" s="2">
        <f t="shared" si="29"/>
        <v>180673.6655257266</v>
      </c>
      <c r="AX119" s="41">
        <f t="shared" si="30"/>
        <v>0</v>
      </c>
      <c r="AY119" s="41">
        <f t="shared" si="31"/>
        <v>0.2250928576720565</v>
      </c>
      <c r="AZ119" s="41">
        <f t="shared" si="32"/>
        <v>0.38934243433834809</v>
      </c>
      <c r="BA119" s="41">
        <f t="shared" si="33"/>
        <v>0.62428979393499628</v>
      </c>
      <c r="BB119" s="41">
        <f t="shared" si="34"/>
        <v>0.68355582534580617</v>
      </c>
      <c r="BD119" s="2" t="e">
        <f t="shared" si="35"/>
        <v>#DIV/0!</v>
      </c>
      <c r="BE119" s="2">
        <f t="shared" si="36"/>
        <v>2.614294808230285</v>
      </c>
      <c r="BF119" s="2">
        <f t="shared" si="37"/>
        <v>2.5503159625410876</v>
      </c>
      <c r="BG119" s="2">
        <f t="shared" si="38"/>
        <v>2.4924387886883128</v>
      </c>
      <c r="BH119" s="2">
        <f t="shared" si="39"/>
        <v>2.1601150537619693</v>
      </c>
    </row>
    <row r="120" spans="11:60" x14ac:dyDescent="0.2">
      <c r="K120" s="2">
        <v>113</v>
      </c>
      <c r="L120" s="2">
        <f>标准城池设计!AB116*$B$10/C$14*$C$5*C$7</f>
        <v>253265808.8939606</v>
      </c>
      <c r="M120" s="2">
        <f>标准城池设计!AC116*$B$10/D$14*$C$5*D$7</f>
        <v>274850762.12693852</v>
      </c>
      <c r="N120" s="2">
        <f>标准城池设计!AD116*$B$10/E$14*$C$5*E$7</f>
        <v>302104009.26924163</v>
      </c>
      <c r="O120" s="2">
        <f>标准城池设计!AE116*$B$10/F$14*$C$5*F$7</f>
        <v>290974195.920865</v>
      </c>
      <c r="P120" s="2">
        <f>标准城池设计!AF116*$B$10/G$14*$C$5*G$7</f>
        <v>329900981.56955278</v>
      </c>
      <c r="Q120" s="2">
        <f t="shared" si="23"/>
        <v>32990.098156955275</v>
      </c>
      <c r="U120" s="2">
        <v>113</v>
      </c>
      <c r="V120" s="2">
        <f>其他调用!R117*6*其他调用!BM117*$B$10/C$15*$C$5*C$8/3</f>
        <v>0</v>
      </c>
      <c r="W120" s="2">
        <f>其他调用!S117*6*其他调用!BN117*$B$10/D$15*$C$5*D$8/3</f>
        <v>1101790.387438094</v>
      </c>
      <c r="X120" s="2">
        <f>其他调用!T117*6*其他调用!BO117*$B$10/E$15*$C$5*E$8/3</f>
        <v>2657893.1844769791</v>
      </c>
      <c r="Y120" s="2">
        <f>其他调用!U117*6*其他调用!BP117*$B$10/F$15*$C$5*F$8/3</f>
        <v>6679362.1474657347</v>
      </c>
      <c r="Z120" s="2">
        <f>其他调用!V117*6*其他调用!BQ117*$B$10/G$15*$C$5*G$8/3</f>
        <v>11193530.243888946</v>
      </c>
      <c r="AA120" s="2">
        <f t="shared" si="24"/>
        <v>1119.3530243888947</v>
      </c>
      <c r="AE120" s="2">
        <v>113</v>
      </c>
      <c r="AF120" s="2">
        <f>L120/IFERROR(INDEX($C$22:$C$35,MATCH(节奏总纲!D116,$B$22:$B$35,1)),MIN($C$22:$C$35))*IFERROR(INDEX($D$22:$D$35,MATCH(节奏总纲!D116,$B$22:$B$35,1)),MIN($D$22:$D$35))</f>
        <v>31658.226111745076</v>
      </c>
      <c r="AG120" s="2">
        <f>M120/IFERROR(INDEX($C$22:$C$35,MATCH(节奏总纲!E116,$B$22:$B$35,1)),MIN($C$22:$C$35))*IFERROR(INDEX($D$22:$D$35,MATCH(节奏总纲!E116,$B$22:$B$35,1)),MIN($D$22:$D$35))</f>
        <v>38173.716962074795</v>
      </c>
      <c r="AH120" s="2">
        <f>N120/IFERROR(INDEX($C$22:$C$35,MATCH(节奏总纲!F116,$B$22:$B$35,1)),MIN($C$22:$C$35))*IFERROR(INDEX($D$22:$D$35,MATCH(节奏总纲!F116,$B$22:$B$35,1)),MIN($D$22:$D$35))</f>
        <v>41958.890176283559</v>
      </c>
      <c r="AI120" s="2">
        <f>O120/IFERROR(INDEX($C$22:$C$35,MATCH(节奏总纲!G116,$B$22:$B$35,1)),MIN($C$22:$C$35))*IFERROR(INDEX($D$22:$D$35,MATCH(节奏总纲!G116,$B$22:$B$35,1)),MIN($D$22:$D$35))</f>
        <v>40413.082766786807</v>
      </c>
      <c r="AJ120" s="2">
        <f>P120/IFERROR(INDEX($C$22:$C$35,MATCH(节奏总纲!H116,$B$22:$B$35,1)),MIN($C$22:$C$35))*IFERROR(INDEX($D$22:$D$35,MATCH(节奏总纲!H116,$B$22:$B$35,1)),MIN($D$22:$D$35))</f>
        <v>57877.36518764084</v>
      </c>
      <c r="AK120" s="2">
        <f>V120/IFERROR(INDEX($E$22:$E$35,MATCH(节奏总纲!D116,$B$22:$B$35,1)),MIN($E$22:$E$35))*IFERROR(INDEX($F$22:$F$35,MATCH(节奏总纲!D116,$B$22:$B$35,1)),MIN($F$22:$F$35))</f>
        <v>0</v>
      </c>
      <c r="AL120" s="2">
        <f>W120/IFERROR(INDEX($E$22:$E$35,MATCH(节奏总纲!E116,$B$22:$B$35,1)),MIN($E$22:$E$35))*IFERROR(INDEX($F$22:$F$35,MATCH(节奏总纲!E116,$B$22:$B$35,1)),MIN($F$22:$F$35))</f>
        <v>11017.90387438094</v>
      </c>
      <c r="AM120" s="2">
        <f>X120/IFERROR(INDEX($E$22:$E$35,MATCH(节奏总纲!F116,$B$22:$B$35,1)),MIN($E$22:$E$35))*IFERROR(INDEX($F$22:$F$35,MATCH(节奏总纲!F116,$B$22:$B$35,1)),MIN($F$22:$F$35))</f>
        <v>26578.931844769791</v>
      </c>
      <c r="AN120" s="2">
        <f>Y120/IFERROR(INDEX($E$22:$E$35,MATCH(节奏总纲!G116,$B$22:$B$35,1)),MIN($E$22:$E$35))*IFERROR(INDEX($F$22:$F$35,MATCH(节奏总纲!G116,$B$22:$B$35,1)),MIN($F$22:$F$35))</f>
        <v>66793.621474657353</v>
      </c>
      <c r="AO120" s="2">
        <f>Z120/IFERROR(INDEX($E$22:$E$35,MATCH(节奏总纲!H116,$B$22:$B$35,1)),MIN($E$22:$E$35))*IFERROR(INDEX($F$22:$F$35,MATCH(节奏总纲!H116,$B$22:$B$35,1)),MIN($F$22:$F$35))</f>
        <v>124372.55826543273</v>
      </c>
      <c r="AQ120" s="2">
        <v>113</v>
      </c>
      <c r="AR120" s="2">
        <f t="shared" si="25"/>
        <v>31658.226111745076</v>
      </c>
      <c r="AS120" s="2">
        <f t="shared" si="26"/>
        <v>49191.620836455739</v>
      </c>
      <c r="AT120" s="2">
        <f t="shared" si="27"/>
        <v>68537.822021053347</v>
      </c>
      <c r="AU120" s="2">
        <f t="shared" si="28"/>
        <v>107206.70424144415</v>
      </c>
      <c r="AV120" s="2">
        <f t="shared" si="29"/>
        <v>182249.92345307357</v>
      </c>
      <c r="AX120" s="41">
        <f t="shared" si="30"/>
        <v>0</v>
      </c>
      <c r="AY120" s="41">
        <f t="shared" si="31"/>
        <v>0.22397928116683663</v>
      </c>
      <c r="AZ120" s="41">
        <f t="shared" si="32"/>
        <v>0.38779948152722615</v>
      </c>
      <c r="BA120" s="41">
        <f t="shared" si="33"/>
        <v>0.62303586279668655</v>
      </c>
      <c r="BB120" s="41">
        <f t="shared" si="34"/>
        <v>0.68242858986690691</v>
      </c>
      <c r="BD120" s="2" t="e">
        <f t="shared" si="35"/>
        <v>#DIV/0!</v>
      </c>
      <c r="BE120" s="2">
        <f t="shared" si="36"/>
        <v>2.5976284931316509</v>
      </c>
      <c r="BF120" s="2">
        <f t="shared" si="37"/>
        <v>2.5338069460943959</v>
      </c>
      <c r="BG120" s="2">
        <f t="shared" si="38"/>
        <v>2.4791583653778271</v>
      </c>
      <c r="BH120" s="2">
        <f t="shared" si="39"/>
        <v>2.148898068566385</v>
      </c>
    </row>
    <row r="121" spans="11:60" x14ac:dyDescent="0.2">
      <c r="K121" s="2">
        <v>114</v>
      </c>
      <c r="L121" s="2">
        <f>标准城池设计!AB117*$B$10/C$14*$C$5*C$7</f>
        <v>256957529.20927432</v>
      </c>
      <c r="M121" s="2">
        <f>标准城池设计!AC117*$B$10/D$14*$C$5*D$7</f>
        <v>278599406.42609227</v>
      </c>
      <c r="N121" s="2">
        <f>标准城池设计!AD117*$B$10/E$14*$C$5*E$7</f>
        <v>306293441.0616107</v>
      </c>
      <c r="O121" s="2">
        <f>标准城池设计!AE117*$B$10/F$14*$C$5*F$7</f>
        <v>294568694.37053829</v>
      </c>
      <c r="P121" s="2">
        <f>标准城池设计!AF117*$B$10/G$14*$C$5*G$7</f>
        <v>333915128.0155977</v>
      </c>
      <c r="Q121" s="2">
        <f t="shared" si="23"/>
        <v>33391.512801559773</v>
      </c>
      <c r="U121" s="2">
        <v>114</v>
      </c>
      <c r="V121" s="2">
        <f>其他调用!R118*6*其他调用!BM118*$B$10/C$15*$C$5*C$8/3</f>
        <v>0</v>
      </c>
      <c r="W121" s="2">
        <f>其他调用!S118*6*其他调用!BN118*$B$10/D$15*$C$5*D$8/3</f>
        <v>1109938.5122589867</v>
      </c>
      <c r="X121" s="2">
        <f>其他调用!T118*6*其他调用!BO118*$B$10/E$15*$C$5*E$8/3</f>
        <v>2676761.7544052489</v>
      </c>
      <c r="Y121" s="2">
        <f>其他调用!U118*6*其他调用!BP118*$B$10/F$15*$C$5*F$8/3</f>
        <v>6725929.0457908139</v>
      </c>
      <c r="Z121" s="2">
        <f>其他调用!V118*6*其他调用!BQ118*$B$10/G$15*$C$5*G$8/3</f>
        <v>11271403.302858457</v>
      </c>
      <c r="AA121" s="2">
        <f t="shared" si="24"/>
        <v>1127.1403302858457</v>
      </c>
      <c r="AE121" s="2">
        <v>114</v>
      </c>
      <c r="AF121" s="2">
        <f>L121/IFERROR(INDEX($C$22:$C$35,MATCH(节奏总纲!D117,$B$22:$B$35,1)),MIN($C$22:$C$35))*IFERROR(INDEX($D$22:$D$35,MATCH(节奏总纲!D117,$B$22:$B$35,1)),MIN($D$22:$D$35))</f>
        <v>32119.691151159292</v>
      </c>
      <c r="AG121" s="2">
        <f>M121/IFERROR(INDEX($C$22:$C$35,MATCH(节奏总纲!E117,$B$22:$B$35,1)),MIN($C$22:$C$35))*IFERROR(INDEX($D$22:$D$35,MATCH(节奏总纲!E117,$B$22:$B$35,1)),MIN($D$22:$D$35))</f>
        <v>34824.925803261533</v>
      </c>
      <c r="AH121" s="2">
        <f>N121/IFERROR(INDEX($C$22:$C$35,MATCH(节奏总纲!F117,$B$22:$B$35,1)),MIN($C$22:$C$35))*IFERROR(INDEX($D$22:$D$35,MATCH(节奏总纲!F117,$B$22:$B$35,1)),MIN($D$22:$D$35))</f>
        <v>42540.755703001487</v>
      </c>
      <c r="AI121" s="2">
        <f>O121/IFERROR(INDEX($C$22:$C$35,MATCH(节奏总纲!G117,$B$22:$B$35,1)),MIN($C$22:$C$35))*IFERROR(INDEX($D$22:$D$35,MATCH(节奏总纲!G117,$B$22:$B$35,1)),MIN($D$22:$D$35))</f>
        <v>40912.318662574762</v>
      </c>
      <c r="AJ121" s="2">
        <f>P121/IFERROR(INDEX($C$22:$C$35,MATCH(节奏总纲!H117,$B$22:$B$35,1)),MIN($C$22:$C$35))*IFERROR(INDEX($D$22:$D$35,MATCH(节奏总纲!H117,$B$22:$B$35,1)),MIN($D$22:$D$35))</f>
        <v>58581.601406245209</v>
      </c>
      <c r="AK121" s="2">
        <f>V121/IFERROR(INDEX($E$22:$E$35,MATCH(节奏总纲!D117,$B$22:$B$35,1)),MIN($E$22:$E$35))*IFERROR(INDEX($F$22:$F$35,MATCH(节奏总纲!D117,$B$22:$B$35,1)),MIN($F$22:$F$35))</f>
        <v>0</v>
      </c>
      <c r="AL121" s="2">
        <f>W121/IFERROR(INDEX($E$22:$E$35,MATCH(节奏总纲!E117,$B$22:$B$35,1)),MIN($E$22:$E$35))*IFERROR(INDEX($F$22:$F$35,MATCH(节奏总纲!E117,$B$22:$B$35,1)),MIN($F$22:$F$35))</f>
        <v>10090.350111445334</v>
      </c>
      <c r="AM121" s="2">
        <f>X121/IFERROR(INDEX($E$22:$E$35,MATCH(节奏总纲!F117,$B$22:$B$35,1)),MIN($E$22:$E$35))*IFERROR(INDEX($F$22:$F$35,MATCH(节奏总纲!F117,$B$22:$B$35,1)),MIN($F$22:$F$35))</f>
        <v>26767.617544052489</v>
      </c>
      <c r="AN121" s="2">
        <f>Y121/IFERROR(INDEX($E$22:$E$35,MATCH(节奏总纲!G117,$B$22:$B$35,1)),MIN($E$22:$E$35))*IFERROR(INDEX($F$22:$F$35,MATCH(节奏总纲!G117,$B$22:$B$35,1)),MIN($F$22:$F$35))</f>
        <v>67259.290457908137</v>
      </c>
      <c r="AO121" s="2">
        <f>Z121/IFERROR(INDEX($E$22:$E$35,MATCH(节奏总纲!H117,$B$22:$B$35,1)),MIN($E$22:$E$35))*IFERROR(INDEX($F$22:$F$35,MATCH(节奏总纲!H117,$B$22:$B$35,1)),MIN($F$22:$F$35))</f>
        <v>125237.81447620508</v>
      </c>
      <c r="AQ121" s="2">
        <v>114</v>
      </c>
      <c r="AR121" s="2">
        <f t="shared" si="25"/>
        <v>32119.691151159292</v>
      </c>
      <c r="AS121" s="2">
        <f t="shared" si="26"/>
        <v>44915.275914706865</v>
      </c>
      <c r="AT121" s="2">
        <f t="shared" si="27"/>
        <v>69308.373247053969</v>
      </c>
      <c r="AU121" s="2">
        <f t="shared" si="28"/>
        <v>108171.6091204829</v>
      </c>
      <c r="AV121" s="2">
        <f t="shared" si="29"/>
        <v>183819.4158824503</v>
      </c>
      <c r="AX121" s="41">
        <f t="shared" si="30"/>
        <v>0</v>
      </c>
      <c r="AY121" s="41">
        <f t="shared" si="31"/>
        <v>0.22465296952882333</v>
      </c>
      <c r="AZ121" s="41">
        <f t="shared" si="32"/>
        <v>0.38621044312550329</v>
      </c>
      <c r="BA121" s="41">
        <f t="shared" si="33"/>
        <v>0.62178321099942124</v>
      </c>
      <c r="BB121" s="41">
        <f t="shared" si="34"/>
        <v>0.68130895680950676</v>
      </c>
      <c r="BD121" s="2" t="e">
        <f t="shared" si="35"/>
        <v>#DIV/0!</v>
      </c>
      <c r="BE121" s="2">
        <f t="shared" si="36"/>
        <v>2.6077055128859143</v>
      </c>
      <c r="BF121" s="2">
        <f t="shared" si="37"/>
        <v>2.5168915880038201</v>
      </c>
      <c r="BG121" s="2">
        <f t="shared" si="38"/>
        <v>2.4659794161007076</v>
      </c>
      <c r="BH121" s="2">
        <f t="shared" si="39"/>
        <v>2.1378352839438399</v>
      </c>
    </row>
    <row r="122" spans="11:60" x14ac:dyDescent="0.2">
      <c r="K122" s="2">
        <v>115</v>
      </c>
      <c r="L122" s="2">
        <f>标准城池设计!AB118*$B$10/C$14*$C$5*C$7</f>
        <v>260659806.53136787</v>
      </c>
      <c r="M122" s="2">
        <f>标准城池设计!AC118*$B$10/D$14*$C$5*D$7</f>
        <v>282354237.79557735</v>
      </c>
      <c r="N122" s="2">
        <f>标准城池设计!AD118*$B$10/E$14*$C$5*E$7</f>
        <v>310492801.5516271</v>
      </c>
      <c r="O122" s="2">
        <f>标准城池设计!AE118*$B$10/F$14*$C$5*F$7</f>
        <v>298163192.82021153</v>
      </c>
      <c r="P122" s="2">
        <f>标准城池设计!AF118*$B$10/G$14*$C$5*G$7</f>
        <v>337929274.46164274</v>
      </c>
      <c r="Q122" s="2">
        <f t="shared" si="23"/>
        <v>33792.927446164271</v>
      </c>
      <c r="U122" s="2">
        <v>115</v>
      </c>
      <c r="V122" s="2">
        <f>其他调用!R119*6*其他调用!BM119*$B$10/C$15*$C$5*C$8/3</f>
        <v>0</v>
      </c>
      <c r="W122" s="2">
        <f>其他调用!S119*6*其他调用!BN119*$B$10/D$15*$C$5*D$8/3</f>
        <v>1117756.1131826837</v>
      </c>
      <c r="X122" s="2">
        <f>其他调用!T119*6*其他调用!BO119*$B$10/E$15*$C$5*E$8/3</f>
        <v>2695203.803061645</v>
      </c>
      <c r="Y122" s="2">
        <f>其他调用!U119*6*其他调用!BP119*$B$10/F$15*$C$5*F$8/3</f>
        <v>6772297.3583398461</v>
      </c>
      <c r="Z122" s="2">
        <f>其他调用!V119*6*其他调用!BQ119*$B$10/G$15*$C$5*G$8/3</f>
        <v>11348451.925183909</v>
      </c>
      <c r="AA122" s="2">
        <f t="shared" si="24"/>
        <v>1134.8451925183908</v>
      </c>
      <c r="AE122" s="2">
        <v>115</v>
      </c>
      <c r="AF122" s="2">
        <f>L122/IFERROR(INDEX($C$22:$C$35,MATCH(节奏总纲!D118,$B$22:$B$35,1)),MIN($C$22:$C$35))*IFERROR(INDEX($D$22:$D$35,MATCH(节奏总纲!D118,$B$22:$B$35,1)),MIN($D$22:$D$35))</f>
        <v>32582.475816420985</v>
      </c>
      <c r="AG122" s="2">
        <f>M122/IFERROR(INDEX($C$22:$C$35,MATCH(节奏总纲!E118,$B$22:$B$35,1)),MIN($C$22:$C$35))*IFERROR(INDEX($D$22:$D$35,MATCH(节奏总纲!E118,$B$22:$B$35,1)),MIN($D$22:$D$35))</f>
        <v>35294.279724447166</v>
      </c>
      <c r="AH122" s="2">
        <f>N122/IFERROR(INDEX($C$22:$C$35,MATCH(节奏总纲!F118,$B$22:$B$35,1)),MIN($C$22:$C$35))*IFERROR(INDEX($D$22:$D$35,MATCH(节奏总纲!F118,$B$22:$B$35,1)),MIN($D$22:$D$35))</f>
        <v>43124.000215503766</v>
      </c>
      <c r="AI122" s="2">
        <f>O122/IFERROR(INDEX($C$22:$C$35,MATCH(节奏总纲!G118,$B$22:$B$35,1)),MIN($C$22:$C$35))*IFERROR(INDEX($D$22:$D$35,MATCH(节奏总纲!G118,$B$22:$B$35,1)),MIN($D$22:$D$35))</f>
        <v>41411.55455836271</v>
      </c>
      <c r="AJ122" s="2">
        <f>P122/IFERROR(INDEX($C$22:$C$35,MATCH(节奏总纲!H118,$B$22:$B$35,1)),MIN($C$22:$C$35))*IFERROR(INDEX($D$22:$D$35,MATCH(节奏总纲!H118,$B$22:$B$35,1)),MIN($D$22:$D$35))</f>
        <v>50437.205143528765</v>
      </c>
      <c r="AK122" s="2">
        <f>V122/IFERROR(INDEX($E$22:$E$35,MATCH(节奏总纲!D118,$B$22:$B$35,1)),MIN($E$22:$E$35))*IFERROR(INDEX($F$22:$F$35,MATCH(节奏总纲!D118,$B$22:$B$35,1)),MIN($F$22:$F$35))</f>
        <v>0</v>
      </c>
      <c r="AL122" s="2">
        <f>W122/IFERROR(INDEX($E$22:$E$35,MATCH(节奏总纲!E118,$B$22:$B$35,1)),MIN($E$22:$E$35))*IFERROR(INDEX($F$22:$F$35,MATCH(节奏总纲!E118,$B$22:$B$35,1)),MIN($F$22:$F$35))</f>
        <v>10161.41921075167</v>
      </c>
      <c r="AM122" s="2">
        <f>X122/IFERROR(INDEX($E$22:$E$35,MATCH(节奏总纲!F118,$B$22:$B$35,1)),MIN($E$22:$E$35))*IFERROR(INDEX($F$22:$F$35,MATCH(节奏总纲!F118,$B$22:$B$35,1)),MIN($F$22:$F$35))</f>
        <v>26952.038030616452</v>
      </c>
      <c r="AN122" s="2">
        <f>Y122/IFERROR(INDEX($E$22:$E$35,MATCH(节奏总纲!G118,$B$22:$B$35,1)),MIN($E$22:$E$35))*IFERROR(INDEX($F$22:$F$35,MATCH(节奏总纲!G118,$B$22:$B$35,1)),MIN($F$22:$F$35))</f>
        <v>67722.97358339846</v>
      </c>
      <c r="AO122" s="2">
        <f>Z122/IFERROR(INDEX($E$22:$E$35,MATCH(节奏总纲!H118,$B$22:$B$35,1)),MIN($E$22:$E$35))*IFERROR(INDEX($F$22:$F$35,MATCH(节奏总纲!H118,$B$22:$B$35,1)),MIN($F$22:$F$35))</f>
        <v>119457.38868614641</v>
      </c>
      <c r="AQ122" s="2">
        <v>115</v>
      </c>
      <c r="AR122" s="2">
        <f t="shared" si="25"/>
        <v>32582.475816420985</v>
      </c>
      <c r="AS122" s="2">
        <f t="shared" si="26"/>
        <v>45455.698935198838</v>
      </c>
      <c r="AT122" s="2">
        <f t="shared" si="27"/>
        <v>70076.03824612021</v>
      </c>
      <c r="AU122" s="2">
        <f t="shared" si="28"/>
        <v>109134.52814176117</v>
      </c>
      <c r="AV122" s="2">
        <f t="shared" si="29"/>
        <v>169894.59382967517</v>
      </c>
      <c r="AX122" s="41">
        <f t="shared" si="30"/>
        <v>0</v>
      </c>
      <c r="AY122" s="41">
        <f t="shared" si="31"/>
        <v>0.22354554981626576</v>
      </c>
      <c r="AZ122" s="41">
        <f t="shared" si="32"/>
        <v>0.38461132657008706</v>
      </c>
      <c r="BA122" s="41">
        <f t="shared" si="33"/>
        <v>0.62054580467355991</v>
      </c>
      <c r="BB122" s="41">
        <f t="shared" si="34"/>
        <v>0.70312648562500057</v>
      </c>
      <c r="BD122" s="2" t="e">
        <f t="shared" si="35"/>
        <v>#DIV/0!</v>
      </c>
      <c r="BE122" s="2">
        <f t="shared" si="36"/>
        <v>2.5911499996816416</v>
      </c>
      <c r="BF122" s="2">
        <f t="shared" si="37"/>
        <v>2.4999571371791958</v>
      </c>
      <c r="BG122" s="2">
        <f t="shared" si="38"/>
        <v>2.4530462924769281</v>
      </c>
      <c r="BH122" s="2">
        <f t="shared" si="39"/>
        <v>2.3684379090040268</v>
      </c>
    </row>
    <row r="123" spans="11:60" x14ac:dyDescent="0.2">
      <c r="K123" s="2">
        <v>116</v>
      </c>
      <c r="L123" s="2">
        <f>标准城池设计!AB119*$B$10/C$14*$C$5*C$7</f>
        <v>264372640.86024106</v>
      </c>
      <c r="M123" s="2">
        <f>标准城池设计!AC119*$B$10/D$14*$C$5*D$7</f>
        <v>286115256.23539358</v>
      </c>
      <c r="N123" s="2">
        <f>标准城池设计!AD119*$B$10/E$14*$C$5*E$7</f>
        <v>314702090.73929054</v>
      </c>
      <c r="O123" s="2">
        <f>标准城池设计!AE119*$B$10/F$14*$C$5*F$7</f>
        <v>301757691.26988488</v>
      </c>
      <c r="P123" s="2">
        <f>标准城池设计!AF119*$B$10/G$14*$C$5*G$7</f>
        <v>341943420.90768784</v>
      </c>
      <c r="Q123" s="2">
        <f t="shared" si="23"/>
        <v>34194.342090768783</v>
      </c>
      <c r="U123" s="2">
        <v>116</v>
      </c>
      <c r="V123" s="2">
        <f>其他调用!R120*6*其他调用!BM120*$B$10/C$15*$C$5*C$8/3</f>
        <v>0</v>
      </c>
      <c r="W123" s="2">
        <f>其他调用!S120*6*其他调用!BN120*$B$10/D$15*$C$5*D$8/3</f>
        <v>1125727.1728597295</v>
      </c>
      <c r="X123" s="2">
        <f>其他调用!T120*6*其他调用!BO120*$B$10/E$15*$C$5*E$8/3</f>
        <v>2714523.4003486917</v>
      </c>
      <c r="Y123" s="2">
        <f>其他调用!U120*6*其他调用!BP120*$B$10/F$15*$C$5*F$8/3</f>
        <v>6820598.0722752912</v>
      </c>
      <c r="Z123" s="2">
        <f>其他调用!V120*6*其他调用!BQ120*$B$10/G$15*$C$5*G$8/3</f>
        <v>11430006.606724298</v>
      </c>
      <c r="AA123" s="2">
        <f t="shared" si="24"/>
        <v>1143.0006606724298</v>
      </c>
      <c r="AE123" s="2">
        <v>116</v>
      </c>
      <c r="AF123" s="2">
        <f>L123/IFERROR(INDEX($C$22:$C$35,MATCH(节奏总纲!D119,$B$22:$B$35,1)),MIN($C$22:$C$35))*IFERROR(INDEX($D$22:$D$35,MATCH(节奏总纲!D119,$B$22:$B$35,1)),MIN($D$22:$D$35))</f>
        <v>33046.580107530135</v>
      </c>
      <c r="AG123" s="2">
        <f>M123/IFERROR(INDEX($C$22:$C$35,MATCH(节奏总纲!E119,$B$22:$B$35,1)),MIN($C$22:$C$35))*IFERROR(INDEX($D$22:$D$35,MATCH(节奏总纲!E119,$B$22:$B$35,1)),MIN($D$22:$D$35))</f>
        <v>35764.407029424197</v>
      </c>
      <c r="AH123" s="2">
        <f>N123/IFERROR(INDEX($C$22:$C$35,MATCH(节奏总纲!F119,$B$22:$B$35,1)),MIN($C$22:$C$35))*IFERROR(INDEX($D$22:$D$35,MATCH(节奏总纲!F119,$B$22:$B$35,1)),MIN($D$22:$D$35))</f>
        <v>43708.623713790352</v>
      </c>
      <c r="AI123" s="2">
        <f>O123/IFERROR(INDEX($C$22:$C$35,MATCH(节奏总纲!G119,$B$22:$B$35,1)),MIN($C$22:$C$35))*IFERROR(INDEX($D$22:$D$35,MATCH(节奏总纲!G119,$B$22:$B$35,1)),MIN($D$22:$D$35))</f>
        <v>41910.79045415068</v>
      </c>
      <c r="AJ123" s="2">
        <f>P123/IFERROR(INDEX($C$22:$C$35,MATCH(节奏总纲!H119,$B$22:$B$35,1)),MIN($C$22:$C$35))*IFERROR(INDEX($D$22:$D$35,MATCH(节奏总纲!H119,$B$22:$B$35,1)),MIN($D$22:$D$35))</f>
        <v>51036.331478759377</v>
      </c>
      <c r="AK123" s="2">
        <f>V123/IFERROR(INDEX($E$22:$E$35,MATCH(节奏总纲!D119,$B$22:$B$35,1)),MIN($E$22:$E$35))*IFERROR(INDEX($F$22:$F$35,MATCH(节奏总纲!D119,$B$22:$B$35,1)),MIN($F$22:$F$35))</f>
        <v>0</v>
      </c>
      <c r="AL123" s="2">
        <f>W123/IFERROR(INDEX($E$22:$E$35,MATCH(节奏总纲!E119,$B$22:$B$35,1)),MIN($E$22:$E$35))*IFERROR(INDEX($F$22:$F$35,MATCH(节奏总纲!E119,$B$22:$B$35,1)),MIN($F$22:$F$35))</f>
        <v>10233.883389633904</v>
      </c>
      <c r="AM123" s="2">
        <f>X123/IFERROR(INDEX($E$22:$E$35,MATCH(节奏总纲!F119,$B$22:$B$35,1)),MIN($E$22:$E$35))*IFERROR(INDEX($F$22:$F$35,MATCH(节奏总纲!F119,$B$22:$B$35,1)),MIN($F$22:$F$35))</f>
        <v>27145.234003486916</v>
      </c>
      <c r="AN123" s="2">
        <f>Y123/IFERROR(INDEX($E$22:$E$35,MATCH(节奏总纲!G119,$B$22:$B$35,1)),MIN($E$22:$E$35))*IFERROR(INDEX($F$22:$F$35,MATCH(节奏总纲!G119,$B$22:$B$35,1)),MIN($F$22:$F$35))</f>
        <v>68205.980722752909</v>
      </c>
      <c r="AO123" s="2">
        <f>Z123/IFERROR(INDEX($E$22:$E$35,MATCH(节奏总纲!H119,$B$22:$B$35,1)),MIN($E$22:$E$35))*IFERROR(INDEX($F$22:$F$35,MATCH(节奏总纲!H119,$B$22:$B$35,1)),MIN($F$22:$F$35))</f>
        <v>120315.8590181505</v>
      </c>
      <c r="AQ123" s="2">
        <v>116</v>
      </c>
      <c r="AR123" s="2">
        <f t="shared" si="25"/>
        <v>33046.580107530135</v>
      </c>
      <c r="AS123" s="2">
        <f t="shared" si="26"/>
        <v>45998.290419058103</v>
      </c>
      <c r="AT123" s="2">
        <f t="shared" si="27"/>
        <v>70853.857717277264</v>
      </c>
      <c r="AU123" s="2">
        <f t="shared" si="28"/>
        <v>110116.7711769036</v>
      </c>
      <c r="AV123" s="2">
        <f t="shared" si="29"/>
        <v>171352.19049690987</v>
      </c>
      <c r="AX123" s="41">
        <f t="shared" si="30"/>
        <v>0</v>
      </c>
      <c r="AY123" s="41">
        <f t="shared" si="31"/>
        <v>0.22248399443544931</v>
      </c>
      <c r="AZ123" s="41">
        <f t="shared" si="32"/>
        <v>0.38311582287872692</v>
      </c>
      <c r="BA123" s="41">
        <f t="shared" si="33"/>
        <v>0.61939684567375641</v>
      </c>
      <c r="BB123" s="41">
        <f t="shared" si="34"/>
        <v>0.70215536007589152</v>
      </c>
      <c r="BD123" s="2" t="e">
        <f t="shared" si="35"/>
        <v>#DIV/0!</v>
      </c>
      <c r="BE123" s="2">
        <f t="shared" si="36"/>
        <v>2.5753244120873666</v>
      </c>
      <c r="BF123" s="2">
        <f t="shared" si="37"/>
        <v>2.4841993819102957</v>
      </c>
      <c r="BG123" s="2">
        <f t="shared" si="38"/>
        <v>2.4411128965952749</v>
      </c>
      <c r="BH123" s="2">
        <f t="shared" si="39"/>
        <v>2.3574550821354454</v>
      </c>
    </row>
    <row r="124" spans="11:60" x14ac:dyDescent="0.2">
      <c r="K124" s="2">
        <v>117</v>
      </c>
      <c r="L124" s="2">
        <f>标准城池设计!AB120*$B$10/C$14*$C$5*C$7</f>
        <v>268096032.195894</v>
      </c>
      <c r="M124" s="2">
        <f>标准城池设计!AC120*$B$10/D$14*$C$5*D$7</f>
        <v>289882461.74554098</v>
      </c>
      <c r="N124" s="2">
        <f>标准城池设计!AD120*$B$10/E$14*$C$5*E$7</f>
        <v>318921308.6246013</v>
      </c>
      <c r="O124" s="2">
        <f>标准城池设计!AE120*$B$10/F$14*$C$5*F$7</f>
        <v>305352189.71955806</v>
      </c>
      <c r="P124" s="2">
        <f>标准城池设计!AF120*$B$10/G$14*$C$5*G$7</f>
        <v>345957567.35373288</v>
      </c>
      <c r="Q124" s="2">
        <f t="shared" si="23"/>
        <v>34595.756735373288</v>
      </c>
      <c r="U124" s="2">
        <v>117</v>
      </c>
      <c r="V124" s="2">
        <f>其他调用!R121*6*其他调用!BM121*$B$10/C$15*$C$5*C$8/3</f>
        <v>0</v>
      </c>
      <c r="W124" s="2">
        <f>其他调用!S121*6*其他调用!BN121*$B$10/D$15*$C$5*D$8/3</f>
        <v>1133862.976770995</v>
      </c>
      <c r="X124" s="2">
        <f>其他调用!T121*6*其他调用!BO121*$B$10/E$15*$C$5*E$8/3</f>
        <v>2733914.8211747105</v>
      </c>
      <c r="Y124" s="2">
        <f>其他调用!U121*6*其他调用!BP121*$B$10/F$15*$C$5*F$8/3</f>
        <v>6869933.3782808008</v>
      </c>
      <c r="Z124" s="2">
        <f>其他调用!V121*6*其他调用!BQ121*$B$10/G$15*$C$5*G$8/3</f>
        <v>11511207.503316777</v>
      </c>
      <c r="AA124" s="2">
        <f t="shared" si="24"/>
        <v>1151.1207503316778</v>
      </c>
      <c r="AE124" s="2">
        <v>117</v>
      </c>
      <c r="AF124" s="2">
        <f>L124/IFERROR(INDEX($C$22:$C$35,MATCH(节奏总纲!D120,$B$22:$B$35,1)),MIN($C$22:$C$35))*IFERROR(INDEX($D$22:$D$35,MATCH(节奏总纲!D120,$B$22:$B$35,1)),MIN($D$22:$D$35))</f>
        <v>33512.004024486749</v>
      </c>
      <c r="AG124" s="2">
        <f>M124/IFERROR(INDEX($C$22:$C$35,MATCH(节奏总纲!E120,$B$22:$B$35,1)),MIN($C$22:$C$35))*IFERROR(INDEX($D$22:$D$35,MATCH(节奏总纲!E120,$B$22:$B$35,1)),MIN($D$22:$D$35))</f>
        <v>36235.30771819262</v>
      </c>
      <c r="AH124" s="2">
        <f>N124/IFERROR(INDEX($C$22:$C$35,MATCH(节奏总纲!F120,$B$22:$B$35,1)),MIN($C$22:$C$35))*IFERROR(INDEX($D$22:$D$35,MATCH(节奏总纲!F120,$B$22:$B$35,1)),MIN($D$22:$D$35))</f>
        <v>39865.16357807516</v>
      </c>
      <c r="AI124" s="2">
        <f>O124/IFERROR(INDEX($C$22:$C$35,MATCH(节奏总纲!G120,$B$22:$B$35,1)),MIN($C$22:$C$35))*IFERROR(INDEX($D$22:$D$35,MATCH(节奏总纲!G120,$B$22:$B$35,1)),MIN($D$22:$D$35))</f>
        <v>42410.02634993862</v>
      </c>
      <c r="AJ124" s="2">
        <f>P124/IFERROR(INDEX($C$22:$C$35,MATCH(节奏总纲!H120,$B$22:$B$35,1)),MIN($C$22:$C$35))*IFERROR(INDEX($D$22:$D$35,MATCH(节奏总纲!H120,$B$22:$B$35,1)),MIN($D$22:$D$35))</f>
        <v>51635.457813989982</v>
      </c>
      <c r="AK124" s="2">
        <f>V124/IFERROR(INDEX($E$22:$E$35,MATCH(节奏总纲!D120,$B$22:$B$35,1)),MIN($E$22:$E$35))*IFERROR(INDEX($F$22:$F$35,MATCH(节奏总纲!D120,$B$22:$B$35,1)),MIN($F$22:$F$35))</f>
        <v>0</v>
      </c>
      <c r="AL124" s="2">
        <f>W124/IFERROR(INDEX($E$22:$E$35,MATCH(节奏总纲!E120,$B$22:$B$35,1)),MIN($E$22:$E$35))*IFERROR(INDEX($F$22:$F$35,MATCH(节奏总纲!E120,$B$22:$B$35,1)),MIN($F$22:$F$35))</f>
        <v>10307.845243372682</v>
      </c>
      <c r="AM124" s="2">
        <f>X124/IFERROR(INDEX($E$22:$E$35,MATCH(节奏总纲!F120,$B$22:$B$35,1)),MIN($E$22:$E$35))*IFERROR(INDEX($F$22:$F$35,MATCH(节奏总纲!F120,$B$22:$B$35,1)),MIN($F$22:$F$35))</f>
        <v>24853.771101588278</v>
      </c>
      <c r="AN124" s="2">
        <f>Y124/IFERROR(INDEX($E$22:$E$35,MATCH(节奏总纲!G120,$B$22:$B$35,1)),MIN($E$22:$E$35))*IFERROR(INDEX($F$22:$F$35,MATCH(节奏总纲!G120,$B$22:$B$35,1)),MIN($F$22:$F$35))</f>
        <v>68699.333782808011</v>
      </c>
      <c r="AO124" s="2">
        <f>Z124/IFERROR(INDEX($E$22:$E$35,MATCH(节奏总纲!H120,$B$22:$B$35,1)),MIN($E$22:$E$35))*IFERROR(INDEX($F$22:$F$35,MATCH(节奏总纲!H120,$B$22:$B$35,1)),MIN($F$22:$F$35))</f>
        <v>121170.60529807133</v>
      </c>
      <c r="AQ124" s="2">
        <v>117</v>
      </c>
      <c r="AR124" s="2">
        <f t="shared" si="25"/>
        <v>33512.004024486749</v>
      </c>
      <c r="AS124" s="2">
        <f t="shared" si="26"/>
        <v>46543.152961565298</v>
      </c>
      <c r="AT124" s="2">
        <f t="shared" si="27"/>
        <v>64718.934679663435</v>
      </c>
      <c r="AU124" s="2">
        <f t="shared" si="28"/>
        <v>111109.36013274663</v>
      </c>
      <c r="AV124" s="2">
        <f t="shared" si="29"/>
        <v>172806.0631120613</v>
      </c>
      <c r="AX124" s="41">
        <f t="shared" si="30"/>
        <v>0</v>
      </c>
      <c r="AY124" s="41">
        <f t="shared" si="31"/>
        <v>0.22146856384836583</v>
      </c>
      <c r="AZ124" s="41">
        <f t="shared" si="32"/>
        <v>0.38402627028096081</v>
      </c>
      <c r="BA124" s="41">
        <f t="shared" si="33"/>
        <v>0.61830374777363739</v>
      </c>
      <c r="BB124" s="41">
        <f t="shared" si="34"/>
        <v>0.70119417754164448</v>
      </c>
      <c r="BD124" s="2" t="e">
        <f t="shared" si="35"/>
        <v>#DIV/0!</v>
      </c>
      <c r="BE124" s="2">
        <f t="shared" si="36"/>
        <v>2.5602268348828434</v>
      </c>
      <c r="BF124" s="2">
        <f t="shared" si="37"/>
        <v>2.493783431031221</v>
      </c>
      <c r="BG124" s="2">
        <f t="shared" si="38"/>
        <v>2.4298263769968429</v>
      </c>
      <c r="BH124" s="2">
        <f t="shared" si="39"/>
        <v>2.3466550008053124</v>
      </c>
    </row>
    <row r="125" spans="11:60" x14ac:dyDescent="0.2">
      <c r="K125" s="2">
        <v>118</v>
      </c>
      <c r="L125" s="2">
        <f>标准城池设计!AB121*$B$10/C$14*$C$5*C$7</f>
        <v>271829980.53832674</v>
      </c>
      <c r="M125" s="2">
        <f>标准城池设计!AC121*$B$10/D$14*$C$5*D$7</f>
        <v>293655854.32601953</v>
      </c>
      <c r="N125" s="2">
        <f>标准城池设计!AD121*$B$10/E$14*$C$5*E$7</f>
        <v>323150455.20755911</v>
      </c>
      <c r="O125" s="2">
        <f>标准城池设计!AE121*$B$10/F$14*$C$5*F$7</f>
        <v>308946688.16923141</v>
      </c>
      <c r="P125" s="2">
        <f>标准城池设计!AF121*$B$10/G$14*$C$5*G$7</f>
        <v>349971713.79977793</v>
      </c>
      <c r="Q125" s="2">
        <f t="shared" si="23"/>
        <v>34997.171379977794</v>
      </c>
      <c r="U125" s="2">
        <v>118</v>
      </c>
      <c r="V125" s="2">
        <f>其他调用!R122*6*其他调用!BM122*$B$10/C$15*$C$5*C$8/3</f>
        <v>0</v>
      </c>
      <c r="W125" s="2">
        <f>其他调用!S122*6*其他调用!BN122*$B$10/D$15*$C$5*D$8/3</f>
        <v>1141905.9055660868</v>
      </c>
      <c r="X125" s="2">
        <f>其他调用!T122*6*其他调用!BO122*$B$10/E$15*$C$5*E$8/3</f>
        <v>2753660.3948470308</v>
      </c>
      <c r="Y125" s="2">
        <f>其他调用!U122*6*其他调用!BP122*$B$10/F$15*$C$5*F$8/3</f>
        <v>6918633.1251490004</v>
      </c>
      <c r="Z125" s="2">
        <f>其他调用!V122*6*其他调用!BQ122*$B$10/G$15*$C$5*G$8/3</f>
        <v>11593464.990851579</v>
      </c>
      <c r="AA125" s="2">
        <f t="shared" si="24"/>
        <v>1159.346499085158</v>
      </c>
      <c r="AE125" s="2">
        <v>118</v>
      </c>
      <c r="AF125" s="2">
        <f>L125/IFERROR(INDEX($C$22:$C$35,MATCH(节奏总纲!D121,$B$22:$B$35,1)),MIN($C$22:$C$35))*IFERROR(INDEX($D$22:$D$35,MATCH(节奏总纲!D121,$B$22:$B$35,1)),MIN($D$22:$D$35))</f>
        <v>33978.74756729084</v>
      </c>
      <c r="AG125" s="2">
        <f>M125/IFERROR(INDEX($C$22:$C$35,MATCH(节奏总纲!E121,$B$22:$B$35,1)),MIN($C$22:$C$35))*IFERROR(INDEX($D$22:$D$35,MATCH(节奏总纲!E121,$B$22:$B$35,1)),MIN($D$22:$D$35))</f>
        <v>36706.981790752441</v>
      </c>
      <c r="AH125" s="2">
        <f>N125/IFERROR(INDEX($C$22:$C$35,MATCH(节奏总纲!F121,$B$22:$B$35,1)),MIN($C$22:$C$35))*IFERROR(INDEX($D$22:$D$35,MATCH(节奏总纲!F121,$B$22:$B$35,1)),MIN($D$22:$D$35))</f>
        <v>40393.806900944888</v>
      </c>
      <c r="AI125" s="2">
        <f>O125/IFERROR(INDEX($C$22:$C$35,MATCH(节奏总纲!G121,$B$22:$B$35,1)),MIN($C$22:$C$35))*IFERROR(INDEX($D$22:$D$35,MATCH(节奏总纲!G121,$B$22:$B$35,1)),MIN($D$22:$D$35))</f>
        <v>42909.262245726582</v>
      </c>
      <c r="AJ125" s="2">
        <f>P125/IFERROR(INDEX($C$22:$C$35,MATCH(节奏总纲!H121,$B$22:$B$35,1)),MIN($C$22:$C$35))*IFERROR(INDEX($D$22:$D$35,MATCH(节奏总纲!H121,$B$22:$B$35,1)),MIN($D$22:$D$35))</f>
        <v>52234.584149220587</v>
      </c>
      <c r="AK125" s="2">
        <f>V125/IFERROR(INDEX($E$22:$E$35,MATCH(节奏总纲!D121,$B$22:$B$35,1)),MIN($E$22:$E$35))*IFERROR(INDEX($F$22:$F$35,MATCH(节奏总纲!D121,$B$22:$B$35,1)),MIN($F$22:$F$35))</f>
        <v>0</v>
      </c>
      <c r="AL125" s="2">
        <f>W125/IFERROR(INDEX($E$22:$E$35,MATCH(节奏总纲!E121,$B$22:$B$35,1)),MIN($E$22:$E$35))*IFERROR(INDEX($F$22:$F$35,MATCH(节奏总纲!E121,$B$22:$B$35,1)),MIN($F$22:$F$35))</f>
        <v>10380.962777873516</v>
      </c>
      <c r="AM125" s="2">
        <f>X125/IFERROR(INDEX($E$22:$E$35,MATCH(节奏总纲!F121,$B$22:$B$35,1)),MIN($E$22:$E$35))*IFERROR(INDEX($F$22:$F$35,MATCH(节奏总纲!F121,$B$22:$B$35,1)),MIN($F$22:$F$35))</f>
        <v>25033.276316791187</v>
      </c>
      <c r="AN125" s="2">
        <f>Y125/IFERROR(INDEX($E$22:$E$35,MATCH(节奏总纲!G121,$B$22:$B$35,1)),MIN($E$22:$E$35))*IFERROR(INDEX($F$22:$F$35,MATCH(节奏总纲!G121,$B$22:$B$35,1)),MIN($F$22:$F$35))</f>
        <v>69186.331251490003</v>
      </c>
      <c r="AO125" s="2">
        <f>Z125/IFERROR(INDEX($E$22:$E$35,MATCH(节奏总纲!H121,$B$22:$B$35,1)),MIN($E$22:$E$35))*IFERROR(INDEX($F$22:$F$35,MATCH(节奏总纲!H121,$B$22:$B$35,1)),MIN($F$22:$F$35))</f>
        <v>122036.47358791136</v>
      </c>
      <c r="AQ125" s="2">
        <v>118</v>
      </c>
      <c r="AR125" s="2">
        <f t="shared" si="25"/>
        <v>33978.74756729084</v>
      </c>
      <c r="AS125" s="2">
        <f t="shared" si="26"/>
        <v>47087.944568625957</v>
      </c>
      <c r="AT125" s="2">
        <f t="shared" si="27"/>
        <v>65427.083217736072</v>
      </c>
      <c r="AU125" s="2">
        <f t="shared" si="28"/>
        <v>112095.59349721659</v>
      </c>
      <c r="AV125" s="2">
        <f t="shared" si="29"/>
        <v>174271.05773713195</v>
      </c>
      <c r="AX125" s="41">
        <f t="shared" si="30"/>
        <v>0</v>
      </c>
      <c r="AY125" s="41">
        <f t="shared" si="31"/>
        <v>0.22045903411104095</v>
      </c>
      <c r="AZ125" s="41">
        <f t="shared" si="32"/>
        <v>0.38261336262664281</v>
      </c>
      <c r="BA125" s="41">
        <f t="shared" si="33"/>
        <v>0.61720830492063861</v>
      </c>
      <c r="BB125" s="41">
        <f t="shared" si="34"/>
        <v>0.70026816370156819</v>
      </c>
      <c r="BD125" s="2" t="e">
        <f t="shared" si="35"/>
        <v>#DIV/0!</v>
      </c>
      <c r="BE125" s="2">
        <f t="shared" si="36"/>
        <v>2.5452559824572409</v>
      </c>
      <c r="BF125" s="2">
        <f t="shared" si="37"/>
        <v>2.4789222148017567</v>
      </c>
      <c r="BG125" s="2">
        <f t="shared" si="38"/>
        <v>2.4185803121695617</v>
      </c>
      <c r="BH125" s="2">
        <f t="shared" si="39"/>
        <v>2.3363155957992308</v>
      </c>
    </row>
    <row r="126" spans="11:60" x14ac:dyDescent="0.2">
      <c r="K126" s="2">
        <v>119</v>
      </c>
      <c r="L126" s="2">
        <f>标准城池设计!AB122*$B$10/C$14*$C$5*C$7</f>
        <v>275574485.88753921</v>
      </c>
      <c r="M126" s="2">
        <f>标准城池设计!AC122*$B$10/D$14*$C$5*D$7</f>
        <v>297435433.97682923</v>
      </c>
      <c r="N126" s="2">
        <f>标准城池设计!AD122*$B$10/E$14*$C$5*E$7</f>
        <v>327279374.51903182</v>
      </c>
      <c r="O126" s="2">
        <f>标准城池设计!AE122*$B$10/F$14*$C$5*F$7</f>
        <v>312541186.61890459</v>
      </c>
      <c r="P126" s="2">
        <f>标准城池设计!AF122*$B$10/G$14*$C$5*G$7</f>
        <v>353985860.24582297</v>
      </c>
      <c r="Q126" s="2">
        <f t="shared" si="23"/>
        <v>35398.586024582299</v>
      </c>
      <c r="U126" s="2">
        <v>119</v>
      </c>
      <c r="V126" s="2">
        <f>其他调用!R123*6*其他调用!BM123*$B$10/C$15*$C$5*C$8/3</f>
        <v>0</v>
      </c>
      <c r="W126" s="2">
        <f>其他调用!S123*6*其他调用!BN123*$B$10/D$15*$C$5*D$8/3</f>
        <v>1150126.2059819512</v>
      </c>
      <c r="X126" s="2">
        <f>其他调用!T123*6*其他调用!BO123*$B$10/E$15*$C$5*E$8/3</f>
        <v>2773088.0750676147</v>
      </c>
      <c r="Y126" s="2">
        <f>其他调用!U123*6*其他调用!BP123*$B$10/F$15*$C$5*F$8/3</f>
        <v>6968278.3668337725</v>
      </c>
      <c r="Z126" s="2">
        <f>其他调用!V123*6*其他调用!BQ123*$B$10/G$15*$C$5*G$8/3</f>
        <v>11670558.779148834</v>
      </c>
      <c r="AA126" s="2">
        <f t="shared" si="24"/>
        <v>1167.0558779148835</v>
      </c>
      <c r="AE126" s="2">
        <v>119</v>
      </c>
      <c r="AF126" s="2">
        <f>L126/IFERROR(INDEX($C$22:$C$35,MATCH(节奏总纲!D122,$B$22:$B$35,1)),MIN($C$22:$C$35))*IFERROR(INDEX($D$22:$D$35,MATCH(节奏总纲!D122,$B$22:$B$35,1)),MIN($D$22:$D$35))</f>
        <v>34446.810735942403</v>
      </c>
      <c r="AG126" s="2">
        <f>M126/IFERROR(INDEX($C$22:$C$35,MATCH(节奏总纲!E122,$B$22:$B$35,1)),MIN($C$22:$C$35))*IFERROR(INDEX($D$22:$D$35,MATCH(节奏总纲!E122,$B$22:$B$35,1)),MIN($D$22:$D$35))</f>
        <v>37179.429247103653</v>
      </c>
      <c r="AH126" s="2">
        <f>N126/IFERROR(INDEX($C$22:$C$35,MATCH(节奏总纲!F122,$B$22:$B$35,1)),MIN($C$22:$C$35))*IFERROR(INDEX($D$22:$D$35,MATCH(节奏总纲!F122,$B$22:$B$35,1)),MIN($D$22:$D$35))</f>
        <v>40909.921814878981</v>
      </c>
      <c r="AI126" s="2">
        <f>O126/IFERROR(INDEX($C$22:$C$35,MATCH(节奏总纲!G122,$B$22:$B$35,1)),MIN($C$22:$C$35))*IFERROR(INDEX($D$22:$D$35,MATCH(节奏总纲!G122,$B$22:$B$35,1)),MIN($D$22:$D$35))</f>
        <v>43408.498141514523</v>
      </c>
      <c r="AJ126" s="2">
        <f>P126/IFERROR(INDEX($C$22:$C$35,MATCH(节奏总纲!H122,$B$22:$B$35,1)),MIN($C$22:$C$35))*IFERROR(INDEX($D$22:$D$35,MATCH(节奏总纲!H122,$B$22:$B$35,1)),MIN($D$22:$D$35))</f>
        <v>52833.710484451192</v>
      </c>
      <c r="AK126" s="2">
        <f>V126/IFERROR(INDEX($E$22:$E$35,MATCH(节奏总纲!D122,$B$22:$B$35,1)),MIN($E$22:$E$35))*IFERROR(INDEX($F$22:$F$35,MATCH(节奏总纲!D122,$B$22:$B$35,1)),MIN($F$22:$F$35))</f>
        <v>0</v>
      </c>
      <c r="AL126" s="2">
        <f>W126/IFERROR(INDEX($E$22:$E$35,MATCH(节奏总纲!E122,$B$22:$B$35,1)),MIN($E$22:$E$35))*IFERROR(INDEX($F$22:$F$35,MATCH(节奏总纲!E122,$B$22:$B$35,1)),MIN($F$22:$F$35))</f>
        <v>10455.692781654101</v>
      </c>
      <c r="AM126" s="2">
        <f>X126/IFERROR(INDEX($E$22:$E$35,MATCH(节奏总纲!F122,$B$22:$B$35,1)),MIN($E$22:$E$35))*IFERROR(INDEX($F$22:$F$35,MATCH(节奏总纲!F122,$B$22:$B$35,1)),MIN($F$22:$F$35))</f>
        <v>25209.89159152377</v>
      </c>
      <c r="AN126" s="2">
        <f>Y126/IFERROR(INDEX($E$22:$E$35,MATCH(节奏总纲!G122,$B$22:$B$35,1)),MIN($E$22:$E$35))*IFERROR(INDEX($F$22:$F$35,MATCH(节奏总纲!G122,$B$22:$B$35,1)),MIN($F$22:$F$35))</f>
        <v>69682.783668337725</v>
      </c>
      <c r="AO126" s="2">
        <f>Z126/IFERROR(INDEX($E$22:$E$35,MATCH(节奏总纲!H122,$B$22:$B$35,1)),MIN($E$22:$E$35))*IFERROR(INDEX($F$22:$F$35,MATCH(节奏总纲!H122,$B$22:$B$35,1)),MIN($F$22:$F$35))</f>
        <v>122847.98714893509</v>
      </c>
      <c r="AQ126" s="2">
        <v>119</v>
      </c>
      <c r="AR126" s="2">
        <f t="shared" si="25"/>
        <v>34446.810735942403</v>
      </c>
      <c r="AS126" s="2">
        <f t="shared" si="26"/>
        <v>47635.122028757753</v>
      </c>
      <c r="AT126" s="2">
        <f t="shared" si="27"/>
        <v>66119.813406402754</v>
      </c>
      <c r="AU126" s="2">
        <f t="shared" si="28"/>
        <v>113091.28180985225</v>
      </c>
      <c r="AV126" s="2">
        <f t="shared" si="29"/>
        <v>175681.6976333863</v>
      </c>
      <c r="AX126" s="41">
        <f t="shared" si="30"/>
        <v>0</v>
      </c>
      <c r="AY126" s="41">
        <f t="shared" si="31"/>
        <v>0.21949545495741368</v>
      </c>
      <c r="AZ126" s="41">
        <f t="shared" si="32"/>
        <v>0.38127590343566448</v>
      </c>
      <c r="BA126" s="41">
        <f t="shared" si="33"/>
        <v>0.61616406280989844</v>
      </c>
      <c r="BB126" s="41">
        <f t="shared" si="34"/>
        <v>0.6992645722566676</v>
      </c>
      <c r="BD126" s="2" t="e">
        <f t="shared" si="35"/>
        <v>#DIV/0!</v>
      </c>
      <c r="BE126" s="2">
        <f t="shared" si="36"/>
        <v>2.5310026791822682</v>
      </c>
      <c r="BF126" s="2">
        <f t="shared" si="37"/>
        <v>2.4649171128315297</v>
      </c>
      <c r="BG126" s="2">
        <f t="shared" si="38"/>
        <v>2.4079196465574775</v>
      </c>
      <c r="BH126" s="2">
        <f t="shared" si="39"/>
        <v>2.325181896605367</v>
      </c>
    </row>
    <row r="127" spans="11:60" x14ac:dyDescent="0.2">
      <c r="K127" s="2">
        <v>120</v>
      </c>
      <c r="L127" s="2">
        <f>标准城池设计!AB123*$B$10/C$14*$C$5*C$7</f>
        <v>279329548.24353147</v>
      </c>
      <c r="M127" s="2">
        <f>标准城池设计!AC123*$B$10/D$14*$C$5*D$7</f>
        <v>301221200.69797009</v>
      </c>
      <c r="N127" s="2">
        <f>标准城池设计!AD123*$B$10/E$14*$C$5*E$7</f>
        <v>331325420.29066491</v>
      </c>
      <c r="O127" s="2">
        <f>标准城池设计!AE123*$B$10/F$14*$C$5*F$7</f>
        <v>316135685.06857795</v>
      </c>
      <c r="P127" s="2">
        <f>标准城池设计!AF123*$B$10/G$14*$C$5*G$7</f>
        <v>358000006.69186807</v>
      </c>
      <c r="Q127" s="2">
        <f t="shared" si="23"/>
        <v>35800.000669186804</v>
      </c>
      <c r="U127" s="2">
        <v>120</v>
      </c>
      <c r="V127" s="2">
        <f>其他调用!R124*6*其他调用!BM124*$B$10/C$15*$C$5*C$8/3</f>
        <v>0</v>
      </c>
      <c r="W127" s="2">
        <f>其他调用!S124*6*其他调用!BN124*$B$10/D$15*$C$5*D$8/3</f>
        <v>1158172.0251176548</v>
      </c>
      <c r="X127" s="2">
        <f>其他调用!T124*6*其他调用!BO124*$B$10/E$15*$C$5*E$8/3</f>
        <v>2792868.4484687848</v>
      </c>
      <c r="Y127" s="2">
        <f>其他调用!U124*6*其他调用!BP124*$B$10/F$15*$C$5*F$8/3</f>
        <v>7013758.6712257946</v>
      </c>
      <c r="Z127" s="2">
        <f>其他调用!V124*6*其他调用!BQ124*$B$10/G$15*$C$5*G$8/3</f>
        <v>11750250.264602857</v>
      </c>
      <c r="AA127" s="2">
        <f t="shared" si="24"/>
        <v>1175.0250264602857</v>
      </c>
      <c r="AE127" s="2">
        <v>120</v>
      </c>
      <c r="AF127" s="2">
        <f>L127/IFERROR(INDEX($C$22:$C$35,MATCH(节奏总纲!D123,$B$22:$B$35,1)),MIN($C$22:$C$35))*IFERROR(INDEX($D$22:$D$35,MATCH(节奏总纲!D123,$B$22:$B$35,1)),MIN($D$22:$D$35))</f>
        <v>34916.193530441436</v>
      </c>
      <c r="AG127" s="2">
        <f>M127/IFERROR(INDEX($C$22:$C$35,MATCH(节奏总纲!E123,$B$22:$B$35,1)),MIN($C$22:$C$35))*IFERROR(INDEX($D$22:$D$35,MATCH(节奏总纲!E123,$B$22:$B$35,1)),MIN($D$22:$D$35))</f>
        <v>37652.650087246264</v>
      </c>
      <c r="AH127" s="2">
        <f>N127/IFERROR(INDEX($C$22:$C$35,MATCH(节奏总纲!F123,$B$22:$B$35,1)),MIN($C$22:$C$35))*IFERROR(INDEX($D$22:$D$35,MATCH(节奏总纲!F123,$B$22:$B$35,1)),MIN($D$22:$D$35))</f>
        <v>41415.677536333111</v>
      </c>
      <c r="AI127" s="2">
        <f>O127/IFERROR(INDEX($C$22:$C$35,MATCH(节奏总纲!G123,$B$22:$B$35,1)),MIN($C$22:$C$35))*IFERROR(INDEX($D$22:$D$35,MATCH(节奏总纲!G123,$B$22:$B$35,1)),MIN($D$22:$D$35))</f>
        <v>43907.734037302493</v>
      </c>
      <c r="AJ127" s="2">
        <f>P127/IFERROR(INDEX($C$22:$C$35,MATCH(节奏总纲!H123,$B$22:$B$35,1)),MIN($C$22:$C$35))*IFERROR(INDEX($D$22:$D$35,MATCH(节奏总纲!H123,$B$22:$B$35,1)),MIN($D$22:$D$35))</f>
        <v>53432.836819681805</v>
      </c>
      <c r="AK127" s="2">
        <f>V127/IFERROR(INDEX($E$22:$E$35,MATCH(节奏总纲!D123,$B$22:$B$35,1)),MIN($E$22:$E$35))*IFERROR(INDEX($F$22:$F$35,MATCH(节奏总纲!D123,$B$22:$B$35,1)),MIN($F$22:$F$35))</f>
        <v>0</v>
      </c>
      <c r="AL127" s="2">
        <f>W127/IFERROR(INDEX($E$22:$E$35,MATCH(节奏总纲!E123,$B$22:$B$35,1)),MIN($E$22:$E$35))*IFERROR(INDEX($F$22:$F$35,MATCH(节奏总纲!E123,$B$22:$B$35,1)),MIN($F$22:$F$35))</f>
        <v>10528.836591978679</v>
      </c>
      <c r="AM127" s="2">
        <f>X127/IFERROR(INDEX($E$22:$E$35,MATCH(节奏总纲!F123,$B$22:$B$35,1)),MIN($E$22:$E$35))*IFERROR(INDEX($F$22:$F$35,MATCH(节奏总纲!F123,$B$22:$B$35,1)),MIN($F$22:$F$35))</f>
        <v>25389.713167898044</v>
      </c>
      <c r="AN127" s="2">
        <f>Y127/IFERROR(INDEX($E$22:$E$35,MATCH(节奏总纲!G123,$B$22:$B$35,1)),MIN($E$22:$E$35))*IFERROR(INDEX($F$22:$F$35,MATCH(节奏总纲!G123,$B$22:$B$35,1)),MIN($F$22:$F$35))</f>
        <v>70137.586712257951</v>
      </c>
      <c r="AO127" s="2">
        <f>Z127/IFERROR(INDEX($E$22:$E$35,MATCH(节奏总纲!H123,$B$22:$B$35,1)),MIN($E$22:$E$35))*IFERROR(INDEX($F$22:$F$35,MATCH(节奏总纲!H123,$B$22:$B$35,1)),MIN($F$22:$F$35))</f>
        <v>123686.84489055639</v>
      </c>
      <c r="AQ127" s="2">
        <v>120</v>
      </c>
      <c r="AR127" s="2">
        <f t="shared" si="25"/>
        <v>34916.193530441436</v>
      </c>
      <c r="AS127" s="2">
        <f t="shared" si="26"/>
        <v>48181.486679224945</v>
      </c>
      <c r="AT127" s="2">
        <f t="shared" si="27"/>
        <v>66805.390704231162</v>
      </c>
      <c r="AU127" s="2">
        <f t="shared" si="28"/>
        <v>114045.32074956044</v>
      </c>
      <c r="AV127" s="2">
        <f t="shared" si="29"/>
        <v>177119.68171023819</v>
      </c>
      <c r="AX127" s="41">
        <f t="shared" si="30"/>
        <v>0</v>
      </c>
      <c r="AY127" s="41">
        <f t="shared" si="31"/>
        <v>0.21852452710884362</v>
      </c>
      <c r="AZ127" s="41">
        <f t="shared" si="32"/>
        <v>0.38005485635592534</v>
      </c>
      <c r="BA127" s="41">
        <f t="shared" si="33"/>
        <v>0.61499749618204547</v>
      </c>
      <c r="BB127" s="41">
        <f t="shared" si="34"/>
        <v>0.69832354990849566</v>
      </c>
      <c r="BD127" s="2" t="e">
        <f t="shared" si="35"/>
        <v>#DIV/0!</v>
      </c>
      <c r="BE127" s="2">
        <f t="shared" si="36"/>
        <v>2.5166762261949036</v>
      </c>
      <c r="BF127" s="2">
        <f t="shared" si="37"/>
        <v>2.4521837794998462</v>
      </c>
      <c r="BG127" s="2">
        <f t="shared" si="38"/>
        <v>2.3960785582559834</v>
      </c>
      <c r="BH127" s="2">
        <f t="shared" si="39"/>
        <v>2.3148096236768914</v>
      </c>
    </row>
    <row r="128" spans="11:60" x14ac:dyDescent="0.2">
      <c r="K128" s="2">
        <v>121</v>
      </c>
      <c r="L128" s="2">
        <f>标准城池设计!AB124*$B$10/C$14*$C$5*C$7</f>
        <v>283095167.60630345</v>
      </c>
      <c r="M128" s="2">
        <f>标准城池设计!AC124*$B$10/D$14*$C$5*D$7</f>
        <v>305013154.48944217</v>
      </c>
      <c r="N128" s="2">
        <f>标准城池设计!AD124*$B$10/E$14*$C$5*E$7</f>
        <v>335376744.69573331</v>
      </c>
      <c r="O128" s="2">
        <f>标准城池设计!AE124*$B$10/F$14*$C$5*F$7</f>
        <v>319730183.51825112</v>
      </c>
      <c r="P128" s="2">
        <f>标准城池设计!AF124*$B$10/G$14*$C$5*G$7</f>
        <v>362014153.13791305</v>
      </c>
      <c r="Q128" s="2">
        <f t="shared" si="23"/>
        <v>36201.415313791302</v>
      </c>
      <c r="U128" s="2">
        <v>121</v>
      </c>
      <c r="V128" s="2">
        <f>其他调用!R125*6*其他调用!BM125*$B$10/C$15*$C$5*C$8/3</f>
        <v>0</v>
      </c>
      <c r="W128" s="2">
        <f>其他调用!S125*6*其他调用!BN125*$B$10/D$15*$C$5*D$8/3</f>
        <v>1166279.054933747</v>
      </c>
      <c r="X128" s="2">
        <f>其他调用!T125*6*其他调用!BO125*$B$10/E$15*$C$5*E$8/3</f>
        <v>2810998.9857070912</v>
      </c>
      <c r="Y128" s="2">
        <f>其他调用!U125*6*其他调用!BP125*$B$10/F$15*$C$5*F$8/3</f>
        <v>7061316.3904228369</v>
      </c>
      <c r="Z128" s="2">
        <f>其他调用!V125*6*其他调用!BQ125*$B$10/G$15*$C$5*G$8/3</f>
        <v>11828149.579950921</v>
      </c>
      <c r="AA128" s="2">
        <f t="shared" si="24"/>
        <v>1182.8149579950921</v>
      </c>
      <c r="AE128" s="2">
        <v>121</v>
      </c>
      <c r="AF128" s="2">
        <f>L128/IFERROR(INDEX($C$22:$C$35,MATCH(节奏总纲!D124,$B$22:$B$35,1)),MIN($C$22:$C$35))*IFERROR(INDEX($D$22:$D$35,MATCH(节奏总纲!D124,$B$22:$B$35,1)),MIN($D$22:$D$35))</f>
        <v>30771.213870250376</v>
      </c>
      <c r="AG128" s="2">
        <f>M128/IFERROR(INDEX($C$22:$C$35,MATCH(节奏总纲!E124,$B$22:$B$35,1)),MIN($C$22:$C$35))*IFERROR(INDEX($D$22:$D$35,MATCH(节奏总纲!E124,$B$22:$B$35,1)),MIN($D$22:$D$35))</f>
        <v>38126.644311180273</v>
      </c>
      <c r="AH128" s="2">
        <f>N128/IFERROR(INDEX($C$22:$C$35,MATCH(节奏总纲!F124,$B$22:$B$35,1)),MIN($C$22:$C$35))*IFERROR(INDEX($D$22:$D$35,MATCH(节奏总纲!F124,$B$22:$B$35,1)),MIN($D$22:$D$35))</f>
        <v>41922.093086966663</v>
      </c>
      <c r="AI128" s="2">
        <f>O128/IFERROR(INDEX($C$22:$C$35,MATCH(节奏总纲!G124,$B$22:$B$35,1)),MIN($C$22:$C$35))*IFERROR(INDEX($D$22:$D$35,MATCH(节奏总纲!G124,$B$22:$B$35,1)),MIN($D$22:$D$35))</f>
        <v>44406.969933090433</v>
      </c>
      <c r="AJ128" s="2">
        <f>P128/IFERROR(INDEX($C$22:$C$35,MATCH(节奏总纲!H124,$B$22:$B$35,1)),MIN($C$22:$C$35))*IFERROR(INDEX($D$22:$D$35,MATCH(节奏总纲!H124,$B$22:$B$35,1)),MIN($D$22:$D$35))</f>
        <v>50279.743491376816</v>
      </c>
      <c r="AK128" s="2">
        <f>V128/IFERROR(INDEX($E$22:$E$35,MATCH(节奏总纲!D124,$B$22:$B$35,1)),MIN($E$22:$E$35))*IFERROR(INDEX($F$22:$F$35,MATCH(节奏总纲!D124,$B$22:$B$35,1)),MIN($F$22:$F$35))</f>
        <v>0</v>
      </c>
      <c r="AL128" s="2">
        <f>W128/IFERROR(INDEX($E$22:$E$35,MATCH(节奏总纲!E124,$B$22:$B$35,1)),MIN($E$22:$E$35))*IFERROR(INDEX($F$22:$F$35,MATCH(节奏总纲!E124,$B$22:$B$35,1)),MIN($F$22:$F$35))</f>
        <v>10602.536863034064</v>
      </c>
      <c r="AM128" s="2">
        <f>X128/IFERROR(INDEX($E$22:$E$35,MATCH(节奏总纲!F124,$B$22:$B$35,1)),MIN($E$22:$E$35))*IFERROR(INDEX($F$22:$F$35,MATCH(节奏总纲!F124,$B$22:$B$35,1)),MIN($F$22:$F$35))</f>
        <v>25554.53623370083</v>
      </c>
      <c r="AN128" s="2">
        <f>Y128/IFERROR(INDEX($E$22:$E$35,MATCH(节奏总纲!G124,$B$22:$B$35,1)),MIN($E$22:$E$35))*IFERROR(INDEX($F$22:$F$35,MATCH(节奏总纲!G124,$B$22:$B$35,1)),MIN($F$22:$F$35))</f>
        <v>70613.163904228364</v>
      </c>
      <c r="AO128" s="2">
        <f>Z128/IFERROR(INDEX($E$22:$E$35,MATCH(节奏总纲!H124,$B$22:$B$35,1)),MIN($E$22:$E$35))*IFERROR(INDEX($F$22:$F$35,MATCH(节奏总纲!H124,$B$22:$B$35,1)),MIN($F$22:$F$35))</f>
        <v>118281.49579950921</v>
      </c>
      <c r="AQ128" s="2">
        <v>121</v>
      </c>
      <c r="AR128" s="2">
        <f t="shared" si="25"/>
        <v>30771.213870250376</v>
      </c>
      <c r="AS128" s="2">
        <f t="shared" si="26"/>
        <v>48729.181174214333</v>
      </c>
      <c r="AT128" s="2">
        <f t="shared" si="27"/>
        <v>67476.629320667489</v>
      </c>
      <c r="AU128" s="2">
        <f t="shared" si="28"/>
        <v>115020.1338373188</v>
      </c>
      <c r="AV128" s="2">
        <f t="shared" si="29"/>
        <v>168561.23929088603</v>
      </c>
      <c r="AX128" s="41">
        <f t="shared" si="30"/>
        <v>0</v>
      </c>
      <c r="AY128" s="41">
        <f t="shared" si="31"/>
        <v>0.21758085417295153</v>
      </c>
      <c r="AZ128" s="41">
        <f t="shared" si="32"/>
        <v>0.37871684598023786</v>
      </c>
      <c r="BA128" s="41">
        <f t="shared" si="33"/>
        <v>0.61392002902814913</v>
      </c>
      <c r="BB128" s="41">
        <f t="shared" si="34"/>
        <v>0.70171230525536721</v>
      </c>
      <c r="BD128" s="2" t="e">
        <f t="shared" si="35"/>
        <v>#DIV/0!</v>
      </c>
      <c r="BE128" s="2">
        <f t="shared" si="36"/>
        <v>2.5027860041520822</v>
      </c>
      <c r="BF128" s="2">
        <f t="shared" si="37"/>
        <v>2.4382882009911468</v>
      </c>
      <c r="BG128" s="2">
        <f t="shared" si="38"/>
        <v>2.3852054309477904</v>
      </c>
      <c r="BH128" s="2">
        <f t="shared" si="39"/>
        <v>2.3524681628456392</v>
      </c>
    </row>
    <row r="129" spans="11:60" x14ac:dyDescent="0.2">
      <c r="K129" s="2">
        <v>122</v>
      </c>
      <c r="L129" s="2">
        <f>标准城池设计!AB125*$B$10/C$14*$C$5*C$7</f>
        <v>286800248.13892168</v>
      </c>
      <c r="M129" s="2">
        <f>标准城池设计!AC125*$B$10/D$14*$C$5*D$7</f>
        <v>308811295.35124546</v>
      </c>
      <c r="N129" s="2">
        <f>标准城池设计!AD125*$B$10/E$14*$C$5*E$7</f>
        <v>339426817.13616467</v>
      </c>
      <c r="O129" s="2">
        <f>标准城池设计!AE125*$B$10/F$14*$C$5*F$7</f>
        <v>323324681.96792442</v>
      </c>
      <c r="P129" s="2">
        <f>标准城池设计!AF125*$B$10/G$14*$C$5*G$7</f>
        <v>366054681.05749452</v>
      </c>
      <c r="Q129" s="2">
        <f t="shared" si="23"/>
        <v>36605.468105749453</v>
      </c>
      <c r="U129" s="2">
        <v>122</v>
      </c>
      <c r="V129" s="2">
        <f>其他调用!R126*6*其他调用!BM126*$B$10/C$15*$C$5*C$8/3</f>
        <v>0</v>
      </c>
      <c r="W129" s="2">
        <f>其他调用!S126*6*其他调用!BN126*$B$10/D$15*$C$5*D$8/3</f>
        <v>1174017.5179681045</v>
      </c>
      <c r="X129" s="2">
        <f>其他调用!T126*6*其他调用!BO126*$B$10/E$15*$C$5*E$8/3</f>
        <v>2830326.4696849757</v>
      </c>
      <c r="Y129" s="2">
        <f>其他调用!U126*6*其他调用!BP126*$B$10/F$15*$C$5*F$8/3</f>
        <v>7107955.8806919968</v>
      </c>
      <c r="Z129" s="2">
        <f>其他调用!V126*6*其他调用!BQ126*$B$10/G$15*$C$5*G$8/3</f>
        <v>11909849.808514854</v>
      </c>
      <c r="AA129" s="2">
        <f t="shared" si="24"/>
        <v>1190.9849808514855</v>
      </c>
      <c r="AE129" s="2">
        <v>122</v>
      </c>
      <c r="AF129" s="2">
        <f>L129/IFERROR(INDEX($C$22:$C$35,MATCH(节奏总纲!D125,$B$22:$B$35,1)),MIN($C$22:$C$35))*IFERROR(INDEX($D$22:$D$35,MATCH(节奏总纲!D125,$B$22:$B$35,1)),MIN($D$22:$D$35))</f>
        <v>31173.940015100183</v>
      </c>
      <c r="AG129" s="2">
        <f>M129/IFERROR(INDEX($C$22:$C$35,MATCH(节奏总纲!E125,$B$22:$B$35,1)),MIN($C$22:$C$35))*IFERROR(INDEX($D$22:$D$35,MATCH(节奏总纲!E125,$B$22:$B$35,1)),MIN($D$22:$D$35))</f>
        <v>38601.41191890568</v>
      </c>
      <c r="AH129" s="2">
        <f>N129/IFERROR(INDEX($C$22:$C$35,MATCH(节奏总纲!F125,$B$22:$B$35,1)),MIN($C$22:$C$35))*IFERROR(INDEX($D$22:$D$35,MATCH(节奏总纲!F125,$B$22:$B$35,1)),MIN($D$22:$D$35))</f>
        <v>42428.35214202058</v>
      </c>
      <c r="AI129" s="2">
        <f>O129/IFERROR(INDEX($C$22:$C$35,MATCH(节奏总纲!G125,$B$22:$B$35,1)),MIN($C$22:$C$35))*IFERROR(INDEX($D$22:$D$35,MATCH(节奏总纲!G125,$B$22:$B$35,1)),MIN($D$22:$D$35))</f>
        <v>40415.585245990551</v>
      </c>
      <c r="AJ129" s="2">
        <f>P129/IFERROR(INDEX($C$22:$C$35,MATCH(节奏总纲!H125,$B$22:$B$35,1)),MIN($C$22:$C$35))*IFERROR(INDEX($D$22:$D$35,MATCH(节奏总纲!H125,$B$22:$B$35,1)),MIN($D$22:$D$35))</f>
        <v>50840.927924652016</v>
      </c>
      <c r="AK129" s="2">
        <f>V129/IFERROR(INDEX($E$22:$E$35,MATCH(节奏总纲!D125,$B$22:$B$35,1)),MIN($E$22:$E$35))*IFERROR(INDEX($F$22:$F$35,MATCH(节奏总纲!D125,$B$22:$B$35,1)),MIN($F$22:$F$35))</f>
        <v>0</v>
      </c>
      <c r="AL129" s="2">
        <f>W129/IFERROR(INDEX($E$22:$E$35,MATCH(节奏总纲!E125,$B$22:$B$35,1)),MIN($E$22:$E$35))*IFERROR(INDEX($F$22:$F$35,MATCH(节奏总纲!E125,$B$22:$B$35,1)),MIN($F$22:$F$35))</f>
        <v>10672.886526982767</v>
      </c>
      <c r="AM129" s="2">
        <f>X129/IFERROR(INDEX($E$22:$E$35,MATCH(节奏总纲!F125,$B$22:$B$35,1)),MIN($E$22:$E$35))*IFERROR(INDEX($F$22:$F$35,MATCH(节奏总纲!F125,$B$22:$B$35,1)),MIN($F$22:$F$35))</f>
        <v>25730.24063349978</v>
      </c>
      <c r="AN129" s="2">
        <f>Y129/IFERROR(INDEX($E$22:$E$35,MATCH(节奏总纲!G125,$B$22:$B$35,1)),MIN($E$22:$E$35))*IFERROR(INDEX($F$22:$F$35,MATCH(节奏总纲!G125,$B$22:$B$35,1)),MIN($F$22:$F$35))</f>
        <v>64617.78073356361</v>
      </c>
      <c r="AO129" s="2">
        <f>Z129/IFERROR(INDEX($E$22:$E$35,MATCH(节奏总纲!H125,$B$22:$B$35,1)),MIN($E$22:$E$35))*IFERROR(INDEX($F$22:$F$35,MATCH(节奏总纲!H125,$B$22:$B$35,1)),MIN($F$22:$F$35))</f>
        <v>119098.49808514855</v>
      </c>
      <c r="AQ129" s="2">
        <v>122</v>
      </c>
      <c r="AR129" s="2">
        <f t="shared" si="25"/>
        <v>31173.940015100183</v>
      </c>
      <c r="AS129" s="2">
        <f t="shared" si="26"/>
        <v>49274.298445888446</v>
      </c>
      <c r="AT129" s="2">
        <f t="shared" si="27"/>
        <v>68158.592775520359</v>
      </c>
      <c r="AU129" s="2">
        <f t="shared" si="28"/>
        <v>105033.36597955416</v>
      </c>
      <c r="AV129" s="2">
        <f t="shared" si="29"/>
        <v>169939.42600980058</v>
      </c>
      <c r="AX129" s="41">
        <f t="shared" si="30"/>
        <v>0</v>
      </c>
      <c r="AY129" s="41">
        <f t="shared" si="31"/>
        <v>0.2166014913170892</v>
      </c>
      <c r="AZ129" s="41">
        <f t="shared" si="32"/>
        <v>0.3775054558159977</v>
      </c>
      <c r="BA129" s="41">
        <f t="shared" si="33"/>
        <v>0.61521193890084547</v>
      </c>
      <c r="BB129" s="41">
        <f t="shared" si="34"/>
        <v>0.70082911824287331</v>
      </c>
      <c r="BD129" s="2" t="e">
        <f t="shared" si="35"/>
        <v>#DIV/0!</v>
      </c>
      <c r="BE129" s="2">
        <f t="shared" si="36"/>
        <v>2.4884058371916682</v>
      </c>
      <c r="BF129" s="2">
        <f t="shared" si="37"/>
        <v>2.4257591289308484</v>
      </c>
      <c r="BG129" s="2">
        <f t="shared" si="38"/>
        <v>2.3982498462016228</v>
      </c>
      <c r="BH129" s="2">
        <f t="shared" si="39"/>
        <v>2.3425712894472848</v>
      </c>
    </row>
    <row r="130" spans="11:60" x14ac:dyDescent="0.2">
      <c r="K130" s="2">
        <v>123</v>
      </c>
      <c r="L130" s="2">
        <f>标准城池设计!AB126*$B$10/C$14*$C$5*C$7</f>
        <v>290448038.47529423</v>
      </c>
      <c r="M130" s="2">
        <f>标准城池设计!AC126*$B$10/D$14*$C$5*D$7</f>
        <v>312615623.28337991</v>
      </c>
      <c r="N130" s="2">
        <f>标准城池设计!AD126*$B$10/E$14*$C$5*E$7</f>
        <v>343251772.75725222</v>
      </c>
      <c r="O130" s="2">
        <f>标准城池设计!AE126*$B$10/F$14*$C$5*F$7</f>
        <v>326919180.41759771</v>
      </c>
      <c r="P130" s="2">
        <f>标准城池设计!AF126*$B$10/G$14*$C$5*G$7</f>
        <v>370636674.21154386</v>
      </c>
      <c r="Q130" s="2">
        <f t="shared" si="23"/>
        <v>37063.667421154387</v>
      </c>
      <c r="U130" s="2">
        <v>123</v>
      </c>
      <c r="V130" s="2">
        <f>其他调用!R127*6*其他调用!BM127*$B$10/C$15*$C$5*C$8/3</f>
        <v>0</v>
      </c>
      <c r="W130" s="2">
        <f>其他调用!S127*6*其他调用!BN127*$B$10/D$15*$C$5*D$8/3</f>
        <v>1182296.8945760711</v>
      </c>
      <c r="X130" s="2">
        <f>其他调用!T127*6*其他调用!BO127*$B$10/E$15*$C$5*E$8/3</f>
        <v>2849694.5115371435</v>
      </c>
      <c r="Y130" s="2">
        <f>其他调用!U127*6*其他调用!BP127*$B$10/F$15*$C$5*F$8/3</f>
        <v>7159180.9906645911</v>
      </c>
      <c r="Z130" s="2">
        <f>其他调用!V127*6*其他调用!BQ127*$B$10/G$15*$C$5*G$8/3</f>
        <v>11991810.162592193</v>
      </c>
      <c r="AA130" s="2">
        <f t="shared" si="24"/>
        <v>1199.1810162592194</v>
      </c>
      <c r="AE130" s="2">
        <v>123</v>
      </c>
      <c r="AF130" s="2">
        <f>L130/IFERROR(INDEX($C$22:$C$35,MATCH(节奏总纲!D126,$B$22:$B$35,1)),MIN($C$22:$C$35))*IFERROR(INDEX($D$22:$D$35,MATCH(节奏总纲!D126,$B$22:$B$35,1)),MIN($D$22:$D$35))</f>
        <v>31570.438964705896</v>
      </c>
      <c r="AG130" s="2">
        <f>M130/IFERROR(INDEX($C$22:$C$35,MATCH(节奏总纲!E126,$B$22:$B$35,1)),MIN($C$22:$C$35))*IFERROR(INDEX($D$22:$D$35,MATCH(节奏总纲!E126,$B$22:$B$35,1)),MIN($D$22:$D$35))</f>
        <v>39076.952910422486</v>
      </c>
      <c r="AH130" s="2">
        <f>N130/IFERROR(INDEX($C$22:$C$35,MATCH(节奏总纲!F126,$B$22:$B$35,1)),MIN($C$22:$C$35))*IFERROR(INDEX($D$22:$D$35,MATCH(节奏总纲!F126,$B$22:$B$35,1)),MIN($D$22:$D$35))</f>
        <v>42906.471594656527</v>
      </c>
      <c r="AI130" s="2">
        <f>O130/IFERROR(INDEX($C$22:$C$35,MATCH(节奏总纲!G126,$B$22:$B$35,1)),MIN($C$22:$C$35))*IFERROR(INDEX($D$22:$D$35,MATCH(节奏总纲!G126,$B$22:$B$35,1)),MIN($D$22:$D$35))</f>
        <v>40864.897552199713</v>
      </c>
      <c r="AJ130" s="2">
        <f>P130/IFERROR(INDEX($C$22:$C$35,MATCH(节奏总纲!H126,$B$22:$B$35,1)),MIN($C$22:$C$35))*IFERROR(INDEX($D$22:$D$35,MATCH(节奏总纲!H126,$B$22:$B$35,1)),MIN($D$22:$D$35))</f>
        <v>51477.315862714422</v>
      </c>
      <c r="AK130" s="2">
        <f>V130/IFERROR(INDEX($E$22:$E$35,MATCH(节奏总纲!D126,$B$22:$B$35,1)),MIN($E$22:$E$35))*IFERROR(INDEX($F$22:$F$35,MATCH(节奏总纲!D126,$B$22:$B$35,1)),MIN($F$22:$F$35))</f>
        <v>0</v>
      </c>
      <c r="AL130" s="2">
        <f>W130/IFERROR(INDEX($E$22:$E$35,MATCH(节奏总纲!E126,$B$22:$B$35,1)),MIN($E$22:$E$35))*IFERROR(INDEX($F$22:$F$35,MATCH(节奏总纲!E126,$B$22:$B$35,1)),MIN($F$22:$F$35))</f>
        <v>10748.153587055191</v>
      </c>
      <c r="AM130" s="2">
        <f>X130/IFERROR(INDEX($E$22:$E$35,MATCH(节奏总纲!F126,$B$22:$B$35,1)),MIN($E$22:$E$35))*IFERROR(INDEX($F$22:$F$35,MATCH(节奏总纲!F126,$B$22:$B$35,1)),MIN($F$22:$F$35))</f>
        <v>25906.313741246759</v>
      </c>
      <c r="AN130" s="2">
        <f>Y130/IFERROR(INDEX($E$22:$E$35,MATCH(节奏总纲!G126,$B$22:$B$35,1)),MIN($E$22:$E$35))*IFERROR(INDEX($F$22:$F$35,MATCH(节奏总纲!G126,$B$22:$B$35,1)),MIN($F$22:$F$35))</f>
        <v>65083.463551496279</v>
      </c>
      <c r="AO130" s="2">
        <f>Z130/IFERROR(INDEX($E$22:$E$35,MATCH(节奏总纲!H126,$B$22:$B$35,1)),MIN($E$22:$E$35))*IFERROR(INDEX($F$22:$F$35,MATCH(节奏总纲!H126,$B$22:$B$35,1)),MIN($F$22:$F$35))</f>
        <v>119918.10162592193</v>
      </c>
      <c r="AQ130" s="2">
        <v>123</v>
      </c>
      <c r="AR130" s="2">
        <f t="shared" si="25"/>
        <v>31570.438964705896</v>
      </c>
      <c r="AS130" s="2">
        <f t="shared" si="26"/>
        <v>49825.106497477675</v>
      </c>
      <c r="AT130" s="2">
        <f t="shared" si="27"/>
        <v>68812.785335903289</v>
      </c>
      <c r="AU130" s="2">
        <f t="shared" si="28"/>
        <v>105948.36110369599</v>
      </c>
      <c r="AV130" s="2">
        <f t="shared" si="29"/>
        <v>171395.41748863636</v>
      </c>
      <c r="AX130" s="41">
        <f t="shared" si="30"/>
        <v>0</v>
      </c>
      <c r="AY130" s="41">
        <f t="shared" si="31"/>
        <v>0.21571762395729752</v>
      </c>
      <c r="AZ130" s="41">
        <f t="shared" si="32"/>
        <v>0.37647529619368653</v>
      </c>
      <c r="BA130" s="41">
        <f t="shared" si="33"/>
        <v>0.61429419835759835</v>
      </c>
      <c r="BB130" s="41">
        <f t="shared" si="34"/>
        <v>0.69965757184769883</v>
      </c>
      <c r="BD130" s="2" t="e">
        <f t="shared" si="35"/>
        <v>#DIV/0!</v>
      </c>
      <c r="BE130" s="2">
        <f t="shared" si="36"/>
        <v>2.47545868034394</v>
      </c>
      <c r="BF130" s="2">
        <f t="shared" si="37"/>
        <v>2.4151427771537457</v>
      </c>
      <c r="BG130" s="2">
        <f t="shared" si="38"/>
        <v>2.3889744297667854</v>
      </c>
      <c r="BH130" s="2">
        <f t="shared" si="39"/>
        <v>2.3295329139874581</v>
      </c>
    </row>
    <row r="131" spans="11:60" x14ac:dyDescent="0.2">
      <c r="K131" s="2">
        <v>124</v>
      </c>
      <c r="L131" s="2">
        <f>标准城池设计!AB127*$B$10/C$14*$C$5*C$7</f>
        <v>294103219.62177759</v>
      </c>
      <c r="M131" s="2">
        <f>标准城池设计!AC127*$B$10/D$14*$C$5*D$7</f>
        <v>316426138.28584558</v>
      </c>
      <c r="N131" s="2">
        <f>标准城池设计!AD127*$B$10/E$14*$C$5*E$7</f>
        <v>347076728.37833977</v>
      </c>
      <c r="O131" s="2">
        <f>标准城池设计!AE127*$B$10/F$14*$C$5*F$7</f>
        <v>331003099.78915691</v>
      </c>
      <c r="P131" s="2">
        <f>标准城池设计!AF127*$B$10/G$14*$C$5*G$7</f>
        <v>375218667.36559319</v>
      </c>
      <c r="Q131" s="2">
        <f t="shared" si="23"/>
        <v>37521.866736559321</v>
      </c>
      <c r="U131" s="2">
        <v>124</v>
      </c>
      <c r="V131" s="2">
        <f>其他调用!R128*6*其他调用!BM128*$B$10/C$15*$C$5*C$8/3</f>
        <v>0</v>
      </c>
      <c r="W131" s="2">
        <f>其他调用!S128*6*其他调用!BN128*$B$10/D$15*$C$5*D$8/3</f>
        <v>1190340.5202832748</v>
      </c>
      <c r="X131" s="2">
        <f>其他调用!T128*6*其他调用!BO128*$B$10/E$15*$C$5*E$8/3</f>
        <v>2869842.8072234765</v>
      </c>
      <c r="Y131" s="2">
        <f>其他调用!U128*6*其他调用!BP128*$B$10/F$15*$C$5*F$8/3</f>
        <v>7207859.2256686883</v>
      </c>
      <c r="Z131" s="2">
        <f>其他调用!V128*6*其他调用!BQ128*$B$10/G$15*$C$5*G$8/3</f>
        <v>12077237.295358106</v>
      </c>
      <c r="AA131" s="2">
        <f t="shared" si="24"/>
        <v>1207.7237295358107</v>
      </c>
      <c r="AE131" s="2">
        <v>124</v>
      </c>
      <c r="AF131" s="2">
        <f>L131/IFERROR(INDEX($C$22:$C$35,MATCH(节奏总纲!D127,$B$22:$B$35,1)),MIN($C$22:$C$35))*IFERROR(INDEX($D$22:$D$35,MATCH(节奏总纲!D127,$B$22:$B$35,1)),MIN($D$22:$D$35))</f>
        <v>31967.741263236694</v>
      </c>
      <c r="AG131" s="2">
        <f>M131/IFERROR(INDEX($C$22:$C$35,MATCH(节奏总纲!E127,$B$22:$B$35,1)),MIN($C$22:$C$35))*IFERROR(INDEX($D$22:$D$35,MATCH(节奏总纲!E127,$B$22:$B$35,1)),MIN($D$22:$D$35))</f>
        <v>34394.14546585278</v>
      </c>
      <c r="AH131" s="2">
        <f>N131/IFERROR(INDEX($C$22:$C$35,MATCH(节奏总纲!F127,$B$22:$B$35,1)),MIN($C$22:$C$35))*IFERROR(INDEX($D$22:$D$35,MATCH(节奏总纲!F127,$B$22:$B$35,1)),MIN($D$22:$D$35))</f>
        <v>43384.591047292473</v>
      </c>
      <c r="AI131" s="2">
        <f>O131/IFERROR(INDEX($C$22:$C$35,MATCH(节奏总纲!G127,$B$22:$B$35,1)),MIN($C$22:$C$35))*IFERROR(INDEX($D$22:$D$35,MATCH(节奏总纲!G127,$B$22:$B$35,1)),MIN($D$22:$D$35))</f>
        <v>41375.387473644616</v>
      </c>
      <c r="AJ131" s="2">
        <f>P131/IFERROR(INDEX($C$22:$C$35,MATCH(节奏总纲!H127,$B$22:$B$35,1)),MIN($C$22:$C$35))*IFERROR(INDEX($D$22:$D$35,MATCH(节奏总纲!H127,$B$22:$B$35,1)),MIN($D$22:$D$35))</f>
        <v>52113.703800776835</v>
      </c>
      <c r="AK131" s="2">
        <f>V131/IFERROR(INDEX($E$22:$E$35,MATCH(节奏总纲!D127,$B$22:$B$35,1)),MIN($E$22:$E$35))*IFERROR(INDEX($F$22:$F$35,MATCH(节奏总纲!D127,$B$22:$B$35,1)),MIN($F$22:$F$35))</f>
        <v>0</v>
      </c>
      <c r="AL131" s="2">
        <f>W131/IFERROR(INDEX($E$22:$E$35,MATCH(节奏总纲!E127,$B$22:$B$35,1)),MIN($E$22:$E$35))*IFERROR(INDEX($F$22:$F$35,MATCH(节奏总纲!E127,$B$22:$B$35,1)),MIN($F$22:$F$35))</f>
        <v>9919.5043356939568</v>
      </c>
      <c r="AM131" s="2">
        <f>X131/IFERROR(INDEX($E$22:$E$35,MATCH(节奏总纲!F127,$B$22:$B$35,1)),MIN($E$22:$E$35))*IFERROR(INDEX($F$22:$F$35,MATCH(节奏总纲!F127,$B$22:$B$35,1)),MIN($F$22:$F$35))</f>
        <v>26089.480065667969</v>
      </c>
      <c r="AN131" s="2">
        <f>Y131/IFERROR(INDEX($E$22:$E$35,MATCH(节奏总纲!G127,$B$22:$B$35,1)),MIN($E$22:$E$35))*IFERROR(INDEX($F$22:$F$35,MATCH(节奏总纲!G127,$B$22:$B$35,1)),MIN($F$22:$F$35))</f>
        <v>65525.99296062444</v>
      </c>
      <c r="AO131" s="2">
        <f>Z131/IFERROR(INDEX($E$22:$E$35,MATCH(节奏总纲!H127,$B$22:$B$35,1)),MIN($E$22:$E$35))*IFERROR(INDEX($F$22:$F$35,MATCH(节奏总纲!H127,$B$22:$B$35,1)),MIN($F$22:$F$35))</f>
        <v>120772.37295358107</v>
      </c>
      <c r="AQ131" s="2">
        <v>124</v>
      </c>
      <c r="AR131" s="2">
        <f t="shared" si="25"/>
        <v>31967.741263236694</v>
      </c>
      <c r="AS131" s="2">
        <f t="shared" si="26"/>
        <v>44313.649801546737</v>
      </c>
      <c r="AT131" s="2">
        <f t="shared" si="27"/>
        <v>69474.071112960446</v>
      </c>
      <c r="AU131" s="2">
        <f t="shared" si="28"/>
        <v>106901.38043426906</v>
      </c>
      <c r="AV131" s="2">
        <f t="shared" si="29"/>
        <v>172886.0767543579</v>
      </c>
      <c r="AX131" s="41">
        <f t="shared" si="30"/>
        <v>0</v>
      </c>
      <c r="AY131" s="41">
        <f t="shared" si="31"/>
        <v>0.22384760407046686</v>
      </c>
      <c r="AZ131" s="41">
        <f t="shared" si="32"/>
        <v>0.37552830354864514</v>
      </c>
      <c r="BA131" s="41">
        <f t="shared" si="33"/>
        <v>0.61295740704597079</v>
      </c>
      <c r="BB131" s="41">
        <f t="shared" si="34"/>
        <v>0.69856621898580273</v>
      </c>
      <c r="BD131" s="2" t="e">
        <f t="shared" si="35"/>
        <v>#DIV/0!</v>
      </c>
      <c r="BE131" s="2">
        <f t="shared" si="36"/>
        <v>2.5956609129853287</v>
      </c>
      <c r="BF131" s="2">
        <f t="shared" si="37"/>
        <v>2.4054144050571762</v>
      </c>
      <c r="BG131" s="2">
        <f t="shared" si="38"/>
        <v>2.3755424527092339</v>
      </c>
      <c r="BH131" s="2">
        <f t="shared" si="39"/>
        <v>2.3174782090959494</v>
      </c>
    </row>
    <row r="132" spans="11:60" x14ac:dyDescent="0.2">
      <c r="K132" s="2">
        <v>125</v>
      </c>
      <c r="L132" s="2">
        <f>标准城池设计!AB128*$B$10/C$14*$C$5*C$7</f>
        <v>297765791.57837188</v>
      </c>
      <c r="M132" s="2">
        <f>标准城池设计!AC128*$B$10/D$14*$C$5*D$7</f>
        <v>320270735.77747154</v>
      </c>
      <c r="N132" s="2">
        <f>标准城池设计!AD128*$B$10/E$14*$C$5*E$7</f>
        <v>351420687.42528135</v>
      </c>
      <c r="O132" s="2">
        <f>标准城池设计!AE128*$B$10/F$14*$C$5*F$7</f>
        <v>335113264.93135184</v>
      </c>
      <c r="P132" s="2">
        <f>标准城池设计!AF128*$B$10/G$14*$C$5*G$7</f>
        <v>379800660.51964247</v>
      </c>
      <c r="Q132" s="2">
        <f t="shared" si="23"/>
        <v>37980.066051964248</v>
      </c>
      <c r="U132" s="2">
        <v>125</v>
      </c>
      <c r="V132" s="2">
        <f>其他调用!R129*6*其他调用!BM129*$B$10/C$15*$C$5*C$8/3</f>
        <v>0</v>
      </c>
      <c r="W132" s="2">
        <f>其他调用!S129*6*其他调用!BN129*$B$10/D$15*$C$5*D$8/3</f>
        <v>1198593.1783910904</v>
      </c>
      <c r="X132" s="2">
        <f>其他调用!T129*6*其他调用!BO129*$B$10/E$15*$C$5*E$8/3</f>
        <v>2889100.5215638224</v>
      </c>
      <c r="Y132" s="2">
        <f>其他调用!U129*6*其他调用!BP129*$B$10/F$15*$C$5*F$8/3</f>
        <v>7257946.229505253</v>
      </c>
      <c r="Z132" s="2">
        <f>其他调用!V129*6*其他调用!BQ129*$B$10/G$15*$C$5*G$8/3</f>
        <v>12152436.691296183</v>
      </c>
      <c r="AA132" s="2">
        <f t="shared" si="24"/>
        <v>1215.2436691296182</v>
      </c>
      <c r="AE132" s="2">
        <v>125</v>
      </c>
      <c r="AF132" s="2">
        <f>L132/IFERROR(INDEX($C$22:$C$35,MATCH(节奏总纲!D128,$B$22:$B$35,1)),MIN($C$22:$C$35))*IFERROR(INDEX($D$22:$D$35,MATCH(节奏总纲!D128,$B$22:$B$35,1)),MIN($D$22:$D$35))</f>
        <v>32365.846910692595</v>
      </c>
      <c r="AG132" s="2">
        <f>M132/IFERROR(INDEX($C$22:$C$35,MATCH(节奏总纲!E128,$B$22:$B$35,1)),MIN($C$22:$C$35))*IFERROR(INDEX($D$22:$D$35,MATCH(节奏总纲!E128,$B$22:$B$35,1)),MIN($D$22:$D$35))</f>
        <v>34812.036497551257</v>
      </c>
      <c r="AH132" s="2">
        <f>N132/IFERROR(INDEX($C$22:$C$35,MATCH(节奏总纲!F128,$B$22:$B$35,1)),MIN($C$22:$C$35))*IFERROR(INDEX($D$22:$D$35,MATCH(节奏总纲!F128,$B$22:$B$35,1)),MIN($D$22:$D$35))</f>
        <v>43927.585928160166</v>
      </c>
      <c r="AI132" s="2">
        <f>O132/IFERROR(INDEX($C$22:$C$35,MATCH(节奏总纲!G128,$B$22:$B$35,1)),MIN($C$22:$C$35))*IFERROR(INDEX($D$22:$D$35,MATCH(节奏总纲!G128,$B$22:$B$35,1)),MIN($D$22:$D$35))</f>
        <v>41889.158116418977</v>
      </c>
      <c r="AJ132" s="2">
        <f>P132/IFERROR(INDEX($C$22:$C$35,MATCH(节奏总纲!H128,$B$22:$B$35,1)),MIN($C$22:$C$35))*IFERROR(INDEX($D$22:$D$35,MATCH(节奏总纲!H128,$B$22:$B$35,1)),MIN($D$22:$D$35))</f>
        <v>52750.091738839234</v>
      </c>
      <c r="AK132" s="2">
        <f>V132/IFERROR(INDEX($E$22:$E$35,MATCH(节奏总纲!D128,$B$22:$B$35,1)),MIN($E$22:$E$35))*IFERROR(INDEX($F$22:$F$35,MATCH(节奏总纲!D128,$B$22:$B$35,1)),MIN($F$22:$F$35))</f>
        <v>0</v>
      </c>
      <c r="AL132" s="2">
        <f>W132/IFERROR(INDEX($E$22:$E$35,MATCH(节奏总纲!E128,$B$22:$B$35,1)),MIN($E$22:$E$35))*IFERROR(INDEX($F$22:$F$35,MATCH(节奏总纲!E128,$B$22:$B$35,1)),MIN($F$22:$F$35))</f>
        <v>9988.27648659242</v>
      </c>
      <c r="AM132" s="2">
        <f>X132/IFERROR(INDEX($E$22:$E$35,MATCH(节奏总纲!F128,$B$22:$B$35,1)),MIN($E$22:$E$35))*IFERROR(INDEX($F$22:$F$35,MATCH(节奏总纲!F128,$B$22:$B$35,1)),MIN($F$22:$F$35))</f>
        <v>26264.55019603475</v>
      </c>
      <c r="AN132" s="2">
        <f>Y132/IFERROR(INDEX($E$22:$E$35,MATCH(节奏总纲!G128,$B$22:$B$35,1)),MIN($E$22:$E$35))*IFERROR(INDEX($F$22:$F$35,MATCH(节奏总纲!G128,$B$22:$B$35,1)),MIN($F$22:$F$35))</f>
        <v>65981.329359138661</v>
      </c>
      <c r="AO132" s="2">
        <f>Z132/IFERROR(INDEX($E$22:$E$35,MATCH(节奏总纲!H128,$B$22:$B$35,1)),MIN($E$22:$E$35))*IFERROR(INDEX($F$22:$F$35,MATCH(节奏总纲!H128,$B$22:$B$35,1)),MIN($F$22:$F$35))</f>
        <v>121524.36691296182</v>
      </c>
      <c r="AQ132" s="2">
        <v>125</v>
      </c>
      <c r="AR132" s="2">
        <f t="shared" si="25"/>
        <v>32365.846910692595</v>
      </c>
      <c r="AS132" s="2">
        <f t="shared" si="26"/>
        <v>44800.312984143675</v>
      </c>
      <c r="AT132" s="2">
        <f t="shared" si="27"/>
        <v>70192.13612419492</v>
      </c>
      <c r="AU132" s="2">
        <f t="shared" si="28"/>
        <v>107870.48747555763</v>
      </c>
      <c r="AV132" s="2">
        <f t="shared" si="29"/>
        <v>174274.45865180105</v>
      </c>
      <c r="AX132" s="41">
        <f t="shared" si="30"/>
        <v>0</v>
      </c>
      <c r="AY132" s="41">
        <f t="shared" si="31"/>
        <v>0.22295104255471618</v>
      </c>
      <c r="AZ132" s="41">
        <f t="shared" si="32"/>
        <v>0.37418080779823248</v>
      </c>
      <c r="BA132" s="41">
        <f t="shared" si="33"/>
        <v>0.61167174547245251</v>
      </c>
      <c r="BB132" s="41">
        <f t="shared" si="34"/>
        <v>0.69731599141424683</v>
      </c>
      <c r="BD132" s="2" t="e">
        <f t="shared" si="35"/>
        <v>#DIV/0!</v>
      </c>
      <c r="BE132" s="2">
        <f t="shared" si="36"/>
        <v>2.5822818031819299</v>
      </c>
      <c r="BF132" s="2">
        <f t="shared" si="37"/>
        <v>2.3916224523686052</v>
      </c>
      <c r="BG132" s="2">
        <f t="shared" si="38"/>
        <v>2.362711462561351</v>
      </c>
      <c r="BH132" s="2">
        <f t="shared" si="39"/>
        <v>2.3037754609909986</v>
      </c>
    </row>
    <row r="133" spans="11:60" x14ac:dyDescent="0.2">
      <c r="K133" s="2">
        <v>126</v>
      </c>
      <c r="L133" s="2">
        <f>标准城池设计!AB129*$B$10/C$14*$C$5*C$7</f>
        <v>301376116.95463955</v>
      </c>
      <c r="M133" s="2">
        <f>标准城池设计!AC129*$B$10/D$14*$C$5*D$7</f>
        <v>324575266.25899088</v>
      </c>
      <c r="N133" s="2">
        <f>标准城池设计!AD129*$B$10/E$14*$C$5*E$7</f>
        <v>355789466.74239188</v>
      </c>
      <c r="O133" s="2">
        <f>标准城池设计!AE129*$B$10/F$14*$C$5*F$7</f>
        <v>339223430.07354677</v>
      </c>
      <c r="P133" s="2">
        <f>标准城池设计!AF129*$B$10/G$14*$C$5*G$7</f>
        <v>384382653.67369175</v>
      </c>
      <c r="Q133" s="2">
        <f t="shared" si="23"/>
        <v>38438.265367369175</v>
      </c>
      <c r="U133" s="2">
        <v>126</v>
      </c>
      <c r="V133" s="2">
        <f>其他调用!R130*6*其他调用!BM130*$B$10/C$15*$C$5*C$8/3</f>
        <v>0</v>
      </c>
      <c r="W133" s="2">
        <f>其他调用!S130*6*其他调用!BN130*$B$10/D$15*$C$5*D$8/3</f>
        <v>1206593.5289021705</v>
      </c>
      <c r="X133" s="2">
        <f>其他调用!T130*6*其他调用!BO130*$B$10/E$15*$C$5*E$8/3</f>
        <v>2909002.0246093795</v>
      </c>
      <c r="Y133" s="2">
        <f>其他调用!U130*6*其他调用!BP130*$B$10/F$15*$C$5*F$8/3</f>
        <v>7303794.5933710784</v>
      </c>
      <c r="Z133" s="2">
        <f>其他调用!V130*6*其他调用!BQ130*$B$10/G$15*$C$5*G$8/3</f>
        <v>12230038.580596475</v>
      </c>
      <c r="AA133" s="2">
        <f t="shared" si="24"/>
        <v>1223.0038580596474</v>
      </c>
      <c r="AE133" s="2">
        <v>126</v>
      </c>
      <c r="AF133" s="2">
        <f>L133/IFERROR(INDEX($C$22:$C$35,MATCH(节奏总纲!D129,$B$22:$B$35,1)),MIN($C$22:$C$35))*IFERROR(INDEX($D$22:$D$35,MATCH(节奏总纲!D129,$B$22:$B$35,1)),MIN($D$22:$D$35))</f>
        <v>32758.273582026039</v>
      </c>
      <c r="AG133" s="2">
        <f>M133/IFERROR(INDEX($C$22:$C$35,MATCH(节奏总纲!E129,$B$22:$B$35,1)),MIN($C$22:$C$35))*IFERROR(INDEX($D$22:$D$35,MATCH(节奏总纲!E129,$B$22:$B$35,1)),MIN($D$22:$D$35))</f>
        <v>35279.920245542489</v>
      </c>
      <c r="AH133" s="2">
        <f>N133/IFERROR(INDEX($C$22:$C$35,MATCH(节奏总纲!F129,$B$22:$B$35,1)),MIN($C$22:$C$35))*IFERROR(INDEX($D$22:$D$35,MATCH(节奏总纲!F129,$B$22:$B$35,1)),MIN($D$22:$D$35))</f>
        <v>44473.683342798984</v>
      </c>
      <c r="AI133" s="2">
        <f>O133/IFERROR(INDEX($C$22:$C$35,MATCH(节奏总纲!G129,$B$22:$B$35,1)),MIN($C$22:$C$35))*IFERROR(INDEX($D$22:$D$35,MATCH(节奏总纲!G129,$B$22:$B$35,1)),MIN($D$22:$D$35))</f>
        <v>42402.928759193346</v>
      </c>
      <c r="AJ133" s="2">
        <f>P133/IFERROR(INDEX($C$22:$C$35,MATCH(节奏总纲!H129,$B$22:$B$35,1)),MIN($C$22:$C$35))*IFERROR(INDEX($D$22:$D$35,MATCH(节奏总纲!H129,$B$22:$B$35,1)),MIN($D$22:$D$35))</f>
        <v>53386.479676901632</v>
      </c>
      <c r="AK133" s="2">
        <f>V133/IFERROR(INDEX($E$22:$E$35,MATCH(节奏总纲!D129,$B$22:$B$35,1)),MIN($E$22:$E$35))*IFERROR(INDEX($F$22:$F$35,MATCH(节奏总纲!D129,$B$22:$B$35,1)),MIN($F$22:$F$35))</f>
        <v>0</v>
      </c>
      <c r="AL133" s="2">
        <f>W133/IFERROR(INDEX($E$22:$E$35,MATCH(节奏总纲!E129,$B$22:$B$35,1)),MIN($E$22:$E$35))*IFERROR(INDEX($F$22:$F$35,MATCH(节奏总纲!E129,$B$22:$B$35,1)),MIN($F$22:$F$35))</f>
        <v>10054.946074184754</v>
      </c>
      <c r="AM133" s="2">
        <f>X133/IFERROR(INDEX($E$22:$E$35,MATCH(节奏总纲!F129,$B$22:$B$35,1)),MIN($E$22:$E$35))*IFERROR(INDEX($F$22:$F$35,MATCH(节奏总纲!F129,$B$22:$B$35,1)),MIN($F$22:$F$35))</f>
        <v>26445.472950994357</v>
      </c>
      <c r="AN133" s="2">
        <f>Y133/IFERROR(INDEX($E$22:$E$35,MATCH(节奏总纲!G129,$B$22:$B$35,1)),MIN($E$22:$E$35))*IFERROR(INDEX($F$22:$F$35,MATCH(节奏总纲!G129,$B$22:$B$35,1)),MIN($F$22:$F$35))</f>
        <v>66398.132667009806</v>
      </c>
      <c r="AO133" s="2">
        <f>Z133/IFERROR(INDEX($E$22:$E$35,MATCH(节奏总纲!H129,$B$22:$B$35,1)),MIN($E$22:$E$35))*IFERROR(INDEX($F$22:$F$35,MATCH(节奏总纲!H129,$B$22:$B$35,1)),MIN($F$22:$F$35))</f>
        <v>122300.38580596475</v>
      </c>
      <c r="AQ133" s="2">
        <v>126</v>
      </c>
      <c r="AR133" s="2">
        <f t="shared" si="25"/>
        <v>32758.273582026039</v>
      </c>
      <c r="AS133" s="2">
        <f t="shared" si="26"/>
        <v>45334.86631972724</v>
      </c>
      <c r="AT133" s="2">
        <f t="shared" si="27"/>
        <v>70919.156293793349</v>
      </c>
      <c r="AU133" s="2">
        <f t="shared" si="28"/>
        <v>108801.06142620314</v>
      </c>
      <c r="AV133" s="2">
        <f t="shared" si="29"/>
        <v>175686.86548286639</v>
      </c>
      <c r="AX133" s="41">
        <f t="shared" si="30"/>
        <v>0</v>
      </c>
      <c r="AY133" s="41">
        <f t="shared" si="31"/>
        <v>0.2217927809309409</v>
      </c>
      <c r="AZ133" s="41">
        <f t="shared" si="32"/>
        <v>0.37289604576568819</v>
      </c>
      <c r="BA133" s="41">
        <f t="shared" si="33"/>
        <v>0.61027100100531539</v>
      </c>
      <c r="BB133" s="41">
        <f t="shared" si="34"/>
        <v>0.69612708650603095</v>
      </c>
      <c r="BD133" s="2" t="e">
        <f t="shared" si="35"/>
        <v>#DIV/0!</v>
      </c>
      <c r="BE133" s="2">
        <f t="shared" si="36"/>
        <v>2.5650430623945786</v>
      </c>
      <c r="BF133" s="2">
        <f t="shared" si="37"/>
        <v>2.3785277911123428</v>
      </c>
      <c r="BG133" s="2">
        <f t="shared" si="38"/>
        <v>2.3488282983028879</v>
      </c>
      <c r="BH133" s="2">
        <f t="shared" si="39"/>
        <v>2.2908494162966813</v>
      </c>
    </row>
    <row r="134" spans="11:60" x14ac:dyDescent="0.2">
      <c r="K134" s="2">
        <v>127</v>
      </c>
      <c r="L134" s="2">
        <f>标准城池设计!AB130*$B$10/C$14*$C$5*C$7</f>
        <v>305327808.2031135</v>
      </c>
      <c r="M134" s="2">
        <f>标准城池设计!AC130*$B$10/D$14*$C$5*D$7</f>
        <v>328886824.84174591</v>
      </c>
      <c r="N134" s="2">
        <f>标准城池设计!AD130*$B$10/E$14*$C$5*E$7</f>
        <v>360158246.05950254</v>
      </c>
      <c r="O134" s="2">
        <f>标准城池设计!AE130*$B$10/F$14*$C$5*F$7</f>
        <v>343333595.21574175</v>
      </c>
      <c r="P134" s="2">
        <f>标准城池设计!AF130*$B$10/G$14*$C$5*G$7</f>
        <v>388964646.82774115</v>
      </c>
      <c r="Q134" s="2">
        <f t="shared" si="23"/>
        <v>38896.464682774116</v>
      </c>
      <c r="U134" s="2">
        <v>127</v>
      </c>
      <c r="V134" s="2">
        <f>其他调用!R131*6*其他调用!BM131*$B$10/C$15*$C$5*C$8/3</f>
        <v>0</v>
      </c>
      <c r="W134" s="2">
        <f>其他调用!S131*6*其他调用!BN131*$B$10/D$15*$C$5*D$8/3</f>
        <v>1214850.6302414357</v>
      </c>
      <c r="X134" s="2">
        <f>其他调用!T131*6*其他调用!BO131*$B$10/E$15*$C$5*E$8/3</f>
        <v>2927211.1610632096</v>
      </c>
      <c r="Y134" s="2">
        <f>其他调用!U131*6*其他调用!BP131*$B$10/F$15*$C$5*F$8/3</f>
        <v>7349701.2713853074</v>
      </c>
      <c r="Z134" s="2">
        <f>其他调用!V131*6*其他调用!BQ131*$B$10/G$15*$C$5*G$8/3</f>
        <v>12307635.734236574</v>
      </c>
      <c r="AA134" s="2">
        <f t="shared" si="24"/>
        <v>1230.7635734236574</v>
      </c>
      <c r="AE134" s="2">
        <v>127</v>
      </c>
      <c r="AF134" s="2">
        <f>L134/IFERROR(INDEX($C$22:$C$35,MATCH(节奏总纲!D130,$B$22:$B$35,1)),MIN($C$22:$C$35))*IFERROR(INDEX($D$22:$D$35,MATCH(节奏总纲!D130,$B$22:$B$35,1)),MIN($D$22:$D$35))</f>
        <v>33187.805239468857</v>
      </c>
      <c r="AG134" s="2">
        <f>M134/IFERROR(INDEX($C$22:$C$35,MATCH(节奏总纲!E130,$B$22:$B$35,1)),MIN($C$22:$C$35))*IFERROR(INDEX($D$22:$D$35,MATCH(节奏总纲!E130,$B$22:$B$35,1)),MIN($D$22:$D$35))</f>
        <v>35748.56791758108</v>
      </c>
      <c r="AH134" s="2">
        <f>N134/IFERROR(INDEX($C$22:$C$35,MATCH(节奏总纲!F130,$B$22:$B$35,1)),MIN($C$22:$C$35))*IFERROR(INDEX($D$22:$D$35,MATCH(节奏总纲!F130,$B$22:$B$35,1)),MIN($D$22:$D$35))</f>
        <v>39147.635441250277</v>
      </c>
      <c r="AI134" s="2">
        <f>O134/IFERROR(INDEX($C$22:$C$35,MATCH(节奏总纲!G130,$B$22:$B$35,1)),MIN($C$22:$C$35))*IFERROR(INDEX($D$22:$D$35,MATCH(节奏总纲!G130,$B$22:$B$35,1)),MIN($D$22:$D$35))</f>
        <v>42916.699401967722</v>
      </c>
      <c r="AJ134" s="2">
        <f>P134/IFERROR(INDEX($C$22:$C$35,MATCH(节奏总纲!H130,$B$22:$B$35,1)),MIN($C$22:$C$35))*IFERROR(INDEX($D$22:$D$35,MATCH(节奏总纲!H130,$B$22:$B$35,1)),MIN($D$22:$D$35))</f>
        <v>54022.867614964045</v>
      </c>
      <c r="AK134" s="2">
        <f>V134/IFERROR(INDEX($E$22:$E$35,MATCH(节奏总纲!D130,$B$22:$B$35,1)),MIN($E$22:$E$35))*IFERROR(INDEX($F$22:$F$35,MATCH(节奏总纲!D130,$B$22:$B$35,1)),MIN($F$22:$F$35))</f>
        <v>0</v>
      </c>
      <c r="AL134" s="2">
        <f>W134/IFERROR(INDEX($E$22:$E$35,MATCH(节奏总纲!E130,$B$22:$B$35,1)),MIN($E$22:$E$35))*IFERROR(INDEX($F$22:$F$35,MATCH(节奏总纲!E130,$B$22:$B$35,1)),MIN($F$22:$F$35))</f>
        <v>10123.755252011964</v>
      </c>
      <c r="AM134" s="2">
        <f>X134/IFERROR(INDEX($E$22:$E$35,MATCH(节奏总纲!F130,$B$22:$B$35,1)),MIN($E$22:$E$35))*IFERROR(INDEX($F$22:$F$35,MATCH(节奏总纲!F130,$B$22:$B$35,1)),MIN($F$22:$F$35))</f>
        <v>24393.426342193412</v>
      </c>
      <c r="AN134" s="2">
        <f>Y134/IFERROR(INDEX($E$22:$E$35,MATCH(节奏总纲!G130,$B$22:$B$35,1)),MIN($E$22:$E$35))*IFERROR(INDEX($F$22:$F$35,MATCH(节奏总纲!G130,$B$22:$B$35,1)),MIN($F$22:$F$35))</f>
        <v>66815.466103502797</v>
      </c>
      <c r="AO134" s="2">
        <f>Z134/IFERROR(INDEX($E$22:$E$35,MATCH(节奏总纲!H130,$B$22:$B$35,1)),MIN($E$22:$E$35))*IFERROR(INDEX($F$22:$F$35,MATCH(节奏总纲!H130,$B$22:$B$35,1)),MIN($F$22:$F$35))</f>
        <v>123076.35734236574</v>
      </c>
      <c r="AQ134" s="2">
        <v>127</v>
      </c>
      <c r="AR134" s="2">
        <f t="shared" si="25"/>
        <v>33187.805239468857</v>
      </c>
      <c r="AS134" s="2">
        <f t="shared" si="26"/>
        <v>45872.323169593044</v>
      </c>
      <c r="AT134" s="2">
        <f t="shared" si="27"/>
        <v>63541.061783443685</v>
      </c>
      <c r="AU134" s="2">
        <f t="shared" si="28"/>
        <v>109732.16550547052</v>
      </c>
      <c r="AV134" s="2">
        <f t="shared" si="29"/>
        <v>177099.22495732977</v>
      </c>
      <c r="AX134" s="41">
        <f t="shared" si="30"/>
        <v>0</v>
      </c>
      <c r="AY134" s="41">
        <f t="shared" si="31"/>
        <v>0.22069419101761567</v>
      </c>
      <c r="AZ134" s="41">
        <f t="shared" si="32"/>
        <v>0.38390020024105709</v>
      </c>
      <c r="BA134" s="41">
        <f t="shared" si="33"/>
        <v>0.6088959039104338</v>
      </c>
      <c r="BB134" s="41">
        <f t="shared" si="34"/>
        <v>0.69495706360103893</v>
      </c>
      <c r="BD134" s="2" t="e">
        <f t="shared" si="35"/>
        <v>#DIV/0!</v>
      </c>
      <c r="BE134" s="2">
        <f t="shared" si="36"/>
        <v>2.548739783875317</v>
      </c>
      <c r="BF134" s="2">
        <f t="shared" si="37"/>
        <v>2.4924546340788503</v>
      </c>
      <c r="BG134" s="2">
        <f t="shared" si="38"/>
        <v>2.3352960631138138</v>
      </c>
      <c r="BH134" s="2">
        <f t="shared" si="39"/>
        <v>2.2782270319222047</v>
      </c>
    </row>
    <row r="135" spans="11:60" x14ac:dyDescent="0.2">
      <c r="K135" s="2">
        <v>128</v>
      </c>
      <c r="L135" s="2">
        <f>标准城池设计!AB131*$B$10/C$14*$C$5*C$7</f>
        <v>309283878.83411461</v>
      </c>
      <c r="M135" s="2">
        <f>标准城池设计!AC131*$B$10/D$14*$C$5*D$7</f>
        <v>333205411.52573639</v>
      </c>
      <c r="N135" s="2">
        <f>标准城池设计!AD131*$B$10/E$14*$C$5*E$7</f>
        <v>364527025.37661308</v>
      </c>
      <c r="O135" s="2">
        <f>标准城池设计!AE131*$B$10/F$14*$C$5*F$7</f>
        <v>347443760.35793668</v>
      </c>
      <c r="P135" s="2">
        <f>标准城池设计!AF131*$B$10/G$14*$C$5*G$7</f>
        <v>393546639.98179042</v>
      </c>
      <c r="Q135" s="2">
        <f t="shared" si="23"/>
        <v>39354.663998179043</v>
      </c>
      <c r="U135" s="2">
        <v>128</v>
      </c>
      <c r="V135" s="2">
        <f>其他调用!R132*6*其他调用!BM132*$B$10/C$15*$C$5*C$8/3</f>
        <v>0</v>
      </c>
      <c r="W135" s="2">
        <f>其他调用!S132*6*其他调用!BN132*$B$10/D$15*$C$5*D$8/3</f>
        <v>1222397.0594203919</v>
      </c>
      <c r="X135" s="2">
        <f>其他调用!T132*6*其他调用!BO132*$B$10/E$15*$C$5*E$8/3</f>
        <v>2945678.2137219789</v>
      </c>
      <c r="Y135" s="2">
        <f>其他调用!U132*6*其他调用!BP132*$B$10/F$15*$C$5*F$8/3</f>
        <v>7396142.8168996861</v>
      </c>
      <c r="Z135" s="2">
        <f>其他调用!V132*6*其他调用!BQ132*$B$10/G$15*$C$5*G$8/3</f>
        <v>12386676.607482934</v>
      </c>
      <c r="AA135" s="2">
        <f t="shared" si="24"/>
        <v>1238.6676607482934</v>
      </c>
      <c r="AE135" s="2">
        <v>128</v>
      </c>
      <c r="AF135" s="2">
        <f>L135/IFERROR(INDEX($C$22:$C$35,MATCH(节奏总纲!D131,$B$22:$B$35,1)),MIN($C$22:$C$35))*IFERROR(INDEX($D$22:$D$35,MATCH(节奏总纲!D131,$B$22:$B$35,1)),MIN($D$22:$D$35))</f>
        <v>33617.812916751587</v>
      </c>
      <c r="AG135" s="2">
        <f>M135/IFERROR(INDEX($C$22:$C$35,MATCH(节奏总纲!E131,$B$22:$B$35,1)),MIN($C$22:$C$35))*IFERROR(INDEX($D$22:$D$35,MATCH(节奏总纲!E131,$B$22:$B$35,1)),MIN($D$22:$D$35))</f>
        <v>36217.979513667</v>
      </c>
      <c r="AH135" s="2">
        <f>N135/IFERROR(INDEX($C$22:$C$35,MATCH(节奏总纲!F131,$B$22:$B$35,1)),MIN($C$22:$C$35))*IFERROR(INDEX($D$22:$D$35,MATCH(节奏总纲!F131,$B$22:$B$35,1)),MIN($D$22:$D$35))</f>
        <v>39622.502758327508</v>
      </c>
      <c r="AI135" s="2">
        <f>O135/IFERROR(INDEX($C$22:$C$35,MATCH(节奏总纲!G131,$B$22:$B$35,1)),MIN($C$22:$C$35))*IFERROR(INDEX($D$22:$D$35,MATCH(节奏总纲!G131,$B$22:$B$35,1)),MIN($D$22:$D$35))</f>
        <v>43430.470044742084</v>
      </c>
      <c r="AJ135" s="2">
        <f>P135/IFERROR(INDEX($C$22:$C$35,MATCH(节奏总纲!H131,$B$22:$B$35,1)),MIN($C$22:$C$35))*IFERROR(INDEX($D$22:$D$35,MATCH(节奏总纲!H131,$B$22:$B$35,1)),MIN($D$22:$D$35))</f>
        <v>54659.255553026451</v>
      </c>
      <c r="AK135" s="2">
        <f>V135/IFERROR(INDEX($E$22:$E$35,MATCH(节奏总纲!D131,$B$22:$B$35,1)),MIN($E$22:$E$35))*IFERROR(INDEX($F$22:$F$35,MATCH(节奏总纲!D131,$B$22:$B$35,1)),MIN($F$22:$F$35))</f>
        <v>0</v>
      </c>
      <c r="AL135" s="2">
        <f>W135/IFERROR(INDEX($E$22:$E$35,MATCH(节奏总纲!E131,$B$22:$B$35,1)),MIN($E$22:$E$35))*IFERROR(INDEX($F$22:$F$35,MATCH(节奏总纲!E131,$B$22:$B$35,1)),MIN($F$22:$F$35))</f>
        <v>10186.642161836598</v>
      </c>
      <c r="AM135" s="2">
        <f>X135/IFERROR(INDEX($E$22:$E$35,MATCH(节奏总纲!F131,$B$22:$B$35,1)),MIN($E$22:$E$35))*IFERROR(INDEX($F$22:$F$35,MATCH(节奏总纲!F131,$B$22:$B$35,1)),MIN($F$22:$F$35))</f>
        <v>24547.318447683159</v>
      </c>
      <c r="AN135" s="2">
        <f>Y135/IFERROR(INDEX($E$22:$E$35,MATCH(节奏总纲!G131,$B$22:$B$35,1)),MIN($E$22:$E$35))*IFERROR(INDEX($F$22:$F$35,MATCH(节奏总纲!G131,$B$22:$B$35,1)),MIN($F$22:$F$35))</f>
        <v>67237.661971815323</v>
      </c>
      <c r="AO135" s="2">
        <f>Z135/IFERROR(INDEX($E$22:$E$35,MATCH(节奏总纲!H131,$B$22:$B$35,1)),MIN($E$22:$E$35))*IFERROR(INDEX($F$22:$F$35,MATCH(节奏总纲!H131,$B$22:$B$35,1)),MIN($F$22:$F$35))</f>
        <v>123866.76607482934</v>
      </c>
      <c r="AQ135" s="2">
        <v>128</v>
      </c>
      <c r="AR135" s="2">
        <f t="shared" si="25"/>
        <v>33617.812916751587</v>
      </c>
      <c r="AS135" s="2">
        <f t="shared" si="26"/>
        <v>46404.6216755036</v>
      </c>
      <c r="AT135" s="2">
        <f t="shared" si="27"/>
        <v>64169.821206010667</v>
      </c>
      <c r="AU135" s="2">
        <f t="shared" si="28"/>
        <v>110668.13201655741</v>
      </c>
      <c r="AV135" s="2">
        <f t="shared" si="29"/>
        <v>178526.02162785578</v>
      </c>
      <c r="AX135" s="41">
        <f t="shared" si="30"/>
        <v>0</v>
      </c>
      <c r="AY135" s="41">
        <f t="shared" si="31"/>
        <v>0.21951783667302249</v>
      </c>
      <c r="AZ135" s="41">
        <f t="shared" si="32"/>
        <v>0.38253680603030665</v>
      </c>
      <c r="BA135" s="41">
        <f t="shared" si="33"/>
        <v>0.60756118989842245</v>
      </c>
      <c r="BB135" s="41">
        <f t="shared" si="34"/>
        <v>0.69383031641759363</v>
      </c>
      <c r="BD135" s="2" t="e">
        <f t="shared" si="35"/>
        <v>#DIV/0!</v>
      </c>
      <c r="BE135" s="2">
        <f t="shared" si="36"/>
        <v>2.5313333512139646</v>
      </c>
      <c r="BF135" s="2">
        <f t="shared" si="37"/>
        <v>2.478118921200557</v>
      </c>
      <c r="BG135" s="2">
        <f t="shared" si="38"/>
        <v>2.3222519317387214</v>
      </c>
      <c r="BH135" s="2">
        <f t="shared" si="39"/>
        <v>2.2661626987338455</v>
      </c>
    </row>
    <row r="136" spans="11:60" x14ac:dyDescent="0.2">
      <c r="K136" s="2">
        <v>129</v>
      </c>
      <c r="L136" s="2">
        <f>标准城池设计!AB132*$B$10/C$14*$C$5*C$7</f>
        <v>313244328.84764326</v>
      </c>
      <c r="M136" s="2">
        <f>标准城池设计!AC132*$B$10/D$14*$C$5*D$7</f>
        <v>337531026.3109628</v>
      </c>
      <c r="N136" s="2">
        <f>标准城池设计!AD132*$B$10/E$14*$C$5*E$7</f>
        <v>368895804.69372368</v>
      </c>
      <c r="O136" s="2">
        <f>标准城池设计!AE132*$B$10/F$14*$C$5*F$7</f>
        <v>351553925.50013167</v>
      </c>
      <c r="P136" s="2">
        <f>标准城池设计!AF132*$B$10/G$14*$C$5*G$7</f>
        <v>398128633.1358397</v>
      </c>
      <c r="Q136" s="2">
        <f t="shared" si="23"/>
        <v>39812.86331358397</v>
      </c>
      <c r="U136" s="2">
        <v>129</v>
      </c>
      <c r="V136" s="2">
        <f>其他调用!R133*6*其他调用!BM133*$B$10/C$15*$C$5*C$8/3</f>
        <v>0</v>
      </c>
      <c r="W136" s="2">
        <f>其他调用!S133*6*其他调用!BN133*$B$10/D$15*$C$5*D$8/3</f>
        <v>1230584.888465612</v>
      </c>
      <c r="X136" s="2">
        <f>其他调用!T133*6*其他调用!BO133*$B$10/E$15*$C$5*E$8/3</f>
        <v>2965352.9076682348</v>
      </c>
      <c r="Y136" s="2">
        <f>其他调用!U133*6*其他调用!BP133*$B$10/F$15*$C$5*F$8/3</f>
        <v>7446243.0049154451</v>
      </c>
      <c r="Z136" s="2">
        <f>其他调用!V133*6*其他调用!BQ133*$B$10/G$15*$C$5*G$8/3</f>
        <v>12469726.183903953</v>
      </c>
      <c r="AA136" s="2">
        <f t="shared" si="24"/>
        <v>1246.9726183903954</v>
      </c>
      <c r="AE136" s="2">
        <v>129</v>
      </c>
      <c r="AF136" s="2">
        <f>L136/IFERROR(INDEX($C$22:$C$35,MATCH(节奏总纲!D132,$B$22:$B$35,1)),MIN($C$22:$C$35))*IFERROR(INDEX($D$22:$D$35,MATCH(节奏总纲!D132,$B$22:$B$35,1)),MIN($D$22:$D$35))</f>
        <v>34048.29661387427</v>
      </c>
      <c r="AG136" s="2">
        <f>M136/IFERROR(INDEX($C$22:$C$35,MATCH(节奏总纲!E132,$B$22:$B$35,1)),MIN($C$22:$C$35))*IFERROR(INDEX($D$22:$D$35,MATCH(节奏总纲!E132,$B$22:$B$35,1)),MIN($D$22:$D$35))</f>
        <v>36688.155033800307</v>
      </c>
      <c r="AH136" s="2">
        <f>N136/IFERROR(INDEX($C$22:$C$35,MATCH(节奏总纲!F132,$B$22:$B$35,1)),MIN($C$22:$C$35))*IFERROR(INDEX($D$22:$D$35,MATCH(节奏总纲!F132,$B$22:$B$35,1)),MIN($D$22:$D$35))</f>
        <v>40097.370075404746</v>
      </c>
      <c r="AI136" s="2">
        <f>O136/IFERROR(INDEX($C$22:$C$35,MATCH(节奏总纲!G132,$B$22:$B$35,1)),MIN($C$22:$C$35))*IFERROR(INDEX($D$22:$D$35,MATCH(节奏总纲!G132,$B$22:$B$35,1)),MIN($D$22:$D$35))</f>
        <v>43944.24068751646</v>
      </c>
      <c r="AJ136" s="2">
        <f>P136/IFERROR(INDEX($C$22:$C$35,MATCH(节奏总纲!H132,$B$22:$B$35,1)),MIN($C$22:$C$35))*IFERROR(INDEX($D$22:$D$35,MATCH(节奏总纲!H132,$B$22:$B$35,1)),MIN($D$22:$D$35))</f>
        <v>55295.643491088849</v>
      </c>
      <c r="AK136" s="2">
        <f>V136/IFERROR(INDEX($E$22:$E$35,MATCH(节奏总纲!D132,$B$22:$B$35,1)),MIN($E$22:$E$35))*IFERROR(INDEX($F$22:$F$35,MATCH(节奏总纲!D132,$B$22:$B$35,1)),MIN($F$22:$F$35))</f>
        <v>0</v>
      </c>
      <c r="AL136" s="2">
        <f>W136/IFERROR(INDEX($E$22:$E$35,MATCH(节奏总纲!E132,$B$22:$B$35,1)),MIN($E$22:$E$35))*IFERROR(INDEX($F$22:$F$35,MATCH(节奏总纲!E132,$B$22:$B$35,1)),MIN($F$22:$F$35))</f>
        <v>10254.874070546766</v>
      </c>
      <c r="AM136" s="2">
        <f>X136/IFERROR(INDEX($E$22:$E$35,MATCH(节奏总纲!F132,$B$22:$B$35,1)),MIN($E$22:$E$35))*IFERROR(INDEX($F$22:$F$35,MATCH(节奏总纲!F132,$B$22:$B$35,1)),MIN($F$22:$F$35))</f>
        <v>24711.274230568622</v>
      </c>
      <c r="AN136" s="2">
        <f>Y136/IFERROR(INDEX($E$22:$E$35,MATCH(节奏总纲!G132,$B$22:$B$35,1)),MIN($E$22:$E$35))*IFERROR(INDEX($F$22:$F$35,MATCH(节奏总纲!G132,$B$22:$B$35,1)),MIN($F$22:$F$35))</f>
        <v>67693.118226504041</v>
      </c>
      <c r="AO136" s="2">
        <f>Z136/IFERROR(INDEX($E$22:$E$35,MATCH(节奏总纲!H132,$B$22:$B$35,1)),MIN($E$22:$E$35))*IFERROR(INDEX($F$22:$F$35,MATCH(节奏总纲!H132,$B$22:$B$35,1)),MIN($F$22:$F$35))</f>
        <v>124697.26183903954</v>
      </c>
      <c r="AQ136" s="2">
        <v>129</v>
      </c>
      <c r="AR136" s="2">
        <f t="shared" si="25"/>
        <v>34048.29661387427</v>
      </c>
      <c r="AS136" s="2">
        <f t="shared" si="26"/>
        <v>46943.029104347072</v>
      </c>
      <c r="AT136" s="2">
        <f t="shared" si="27"/>
        <v>64808.644305973372</v>
      </c>
      <c r="AU136" s="2">
        <f t="shared" si="28"/>
        <v>111637.3589140205</v>
      </c>
      <c r="AV136" s="2">
        <f t="shared" si="29"/>
        <v>179992.90533012839</v>
      </c>
      <c r="AX136" s="41">
        <f t="shared" si="30"/>
        <v>0</v>
      </c>
      <c r="AY136" s="41">
        <f t="shared" si="31"/>
        <v>0.21845360783497314</v>
      </c>
      <c r="AZ136" s="41">
        <f t="shared" si="32"/>
        <v>0.38129595974731723</v>
      </c>
      <c r="BA136" s="41">
        <f t="shared" si="33"/>
        <v>0.60636617423598405</v>
      </c>
      <c r="BB136" s="41">
        <f t="shared" si="34"/>
        <v>0.69278987196928643</v>
      </c>
      <c r="BD136" s="2" t="e">
        <f t="shared" si="35"/>
        <v>#DIV/0!</v>
      </c>
      <c r="BE136" s="2">
        <f t="shared" si="36"/>
        <v>2.5156311771440079</v>
      </c>
      <c r="BF136" s="2">
        <f t="shared" si="37"/>
        <v>2.4651266837798156</v>
      </c>
      <c r="BG136" s="2">
        <f t="shared" si="38"/>
        <v>2.310648124786034</v>
      </c>
      <c r="BH136" s="2">
        <f t="shared" si="39"/>
        <v>2.255101016396257</v>
      </c>
    </row>
    <row r="137" spans="11:60" x14ac:dyDescent="0.2">
      <c r="K137" s="2">
        <v>130</v>
      </c>
      <c r="L137" s="2">
        <f>标准城池设计!AB133*$B$10/C$14*$C$5*C$7</f>
        <v>317209158.24369913</v>
      </c>
      <c r="M137" s="2">
        <f>标准城池设计!AC133*$B$10/D$14*$C$5*D$7</f>
        <v>341863669.19742459</v>
      </c>
      <c r="N137" s="2">
        <f>标准城池设计!AD133*$B$10/E$14*$C$5*E$7</f>
        <v>373264584.01083416</v>
      </c>
      <c r="O137" s="2">
        <f>标准城池设计!AE133*$B$10/F$14*$C$5*F$7</f>
        <v>355664090.64232647</v>
      </c>
      <c r="P137" s="2">
        <f>标准城池设计!AF133*$B$10/G$14*$C$5*G$7</f>
        <v>402710626.28988898</v>
      </c>
      <c r="Q137" s="2">
        <f t="shared" ref="Q137:Q167" si="40">P137/10000</f>
        <v>40271.062628988897</v>
      </c>
      <c r="U137" s="2">
        <v>130</v>
      </c>
      <c r="V137" s="2">
        <f>其他调用!R134*6*其他调用!BM134*$B$10/C$15*$C$5*C$8/3</f>
        <v>0</v>
      </c>
      <c r="W137" s="2">
        <f>其他调用!S134*6*其他调用!BN134*$B$10/D$15*$C$5*D$8/3</f>
        <v>1238687.5155983241</v>
      </c>
      <c r="X137" s="2">
        <f>其他调用!T134*6*其他调用!BO134*$B$10/E$15*$C$5*E$8/3</f>
        <v>2985250.6562069636</v>
      </c>
      <c r="Y137" s="2">
        <f>其他调用!U134*6*其他调用!BP134*$B$10/F$15*$C$5*F$8/3</f>
        <v>7496261.3836200321</v>
      </c>
      <c r="Z137" s="2">
        <f>其他调用!V134*6*其他调用!BQ134*$B$10/G$15*$C$5*G$8/3</f>
        <v>12553283.688145643</v>
      </c>
      <c r="AA137" s="2">
        <f t="shared" ref="AA137:AA167" si="41">Z137/10000</f>
        <v>1255.3283688145643</v>
      </c>
      <c r="AE137" s="2">
        <v>130</v>
      </c>
      <c r="AF137" s="2">
        <f>L137/IFERROR(INDEX($C$22:$C$35,MATCH(节奏总纲!D133,$B$22:$B$35,1)),MIN($C$22:$C$35))*IFERROR(INDEX($D$22:$D$35,MATCH(节奏总纲!D133,$B$22:$B$35,1)),MIN($D$22:$D$35))</f>
        <v>34479.256330836863</v>
      </c>
      <c r="AG137" s="2">
        <f>M137/IFERROR(INDEX($C$22:$C$35,MATCH(节奏总纲!E133,$B$22:$B$35,1)),MIN($C$22:$C$35))*IFERROR(INDEX($D$22:$D$35,MATCH(节奏总纲!E133,$B$22:$B$35,1)),MIN($D$22:$D$35))</f>
        <v>37159.094477980936</v>
      </c>
      <c r="AH137" s="2">
        <f>N137/IFERROR(INDEX($C$22:$C$35,MATCH(节奏总纲!F133,$B$22:$B$35,1)),MIN($C$22:$C$35))*IFERROR(INDEX($D$22:$D$35,MATCH(节奏总纲!F133,$B$22:$B$35,1)),MIN($D$22:$D$35))</f>
        <v>40572.237392481977</v>
      </c>
      <c r="AI137" s="2">
        <f>O137/IFERROR(INDEX($C$22:$C$35,MATCH(节奏总纲!G133,$B$22:$B$35,1)),MIN($C$22:$C$35))*IFERROR(INDEX($D$22:$D$35,MATCH(节奏总纲!G133,$B$22:$B$35,1)),MIN($D$22:$D$35))</f>
        <v>44458.011330290807</v>
      </c>
      <c r="AJ137" s="2">
        <f>P137/IFERROR(INDEX($C$22:$C$35,MATCH(节奏总纲!H133,$B$22:$B$35,1)),MIN($C$22:$C$35))*IFERROR(INDEX($D$22:$D$35,MATCH(节奏总纲!H133,$B$22:$B$35,1)),MIN($D$22:$D$35))</f>
        <v>55932.031429151248</v>
      </c>
      <c r="AK137" s="2">
        <f>V137/IFERROR(INDEX($E$22:$E$35,MATCH(节奏总纲!D133,$B$22:$B$35,1)),MIN($E$22:$E$35))*IFERROR(INDEX($F$22:$F$35,MATCH(节奏总纲!D133,$B$22:$B$35,1)),MIN($F$22:$F$35))</f>
        <v>0</v>
      </c>
      <c r="AL137" s="2">
        <f>W137/IFERROR(INDEX($E$22:$E$35,MATCH(节奏总纲!E133,$B$22:$B$35,1)),MIN($E$22:$E$35))*IFERROR(INDEX($F$22:$F$35,MATCH(节奏总纲!E133,$B$22:$B$35,1)),MIN($F$22:$F$35))</f>
        <v>10322.395963319368</v>
      </c>
      <c r="AM137" s="2">
        <f>X137/IFERROR(INDEX($E$22:$E$35,MATCH(节奏总纲!F133,$B$22:$B$35,1)),MIN($E$22:$E$35))*IFERROR(INDEX($F$22:$F$35,MATCH(节奏总纲!F133,$B$22:$B$35,1)),MIN($F$22:$F$35))</f>
        <v>24877.088801724698</v>
      </c>
      <c r="AN137" s="2">
        <f>Y137/IFERROR(INDEX($E$22:$E$35,MATCH(节奏总纲!G133,$B$22:$B$35,1)),MIN($E$22:$E$35))*IFERROR(INDEX($F$22:$F$35,MATCH(节奏总纲!G133,$B$22:$B$35,1)),MIN($F$22:$F$35))</f>
        <v>68147.830760182114</v>
      </c>
      <c r="AO137" s="2">
        <f>Z137/IFERROR(INDEX($E$22:$E$35,MATCH(节奏总纲!H133,$B$22:$B$35,1)),MIN($E$22:$E$35))*IFERROR(INDEX($F$22:$F$35,MATCH(节奏总纲!H133,$B$22:$B$35,1)),MIN($F$22:$F$35))</f>
        <v>125532.83688145643</v>
      </c>
      <c r="AQ137" s="2">
        <v>130</v>
      </c>
      <c r="AR137" s="2">
        <f t="shared" ref="AR137:AR167" si="42">AF137+AK137</f>
        <v>34479.256330836863</v>
      </c>
      <c r="AS137" s="2">
        <f t="shared" ref="AS137:AS167" si="43">AG137+AL137</f>
        <v>47481.490441300302</v>
      </c>
      <c r="AT137" s="2">
        <f t="shared" ref="AT137:AT167" si="44">AH137+AM137</f>
        <v>65449.326194206675</v>
      </c>
      <c r="AU137" s="2">
        <f t="shared" ref="AU137:AU167" si="45">AI137+AN137</f>
        <v>112605.84209047293</v>
      </c>
      <c r="AV137" s="2">
        <f t="shared" ref="AV137:AV167" si="46">AJ137+AO137</f>
        <v>181464.86831060768</v>
      </c>
      <c r="AX137" s="41">
        <f t="shared" ref="AX137:AX167" si="47">AK137/AR137</f>
        <v>0</v>
      </c>
      <c r="AY137" s="41">
        <f t="shared" ref="AY137:AY167" si="48">AL137/AS137</f>
        <v>0.21739831389835126</v>
      </c>
      <c r="AZ137" s="41">
        <f t="shared" ref="AZ137:AZ167" si="49">AM137/AT137</f>
        <v>0.380096942906751</v>
      </c>
      <c r="BA137" s="41">
        <f t="shared" ref="BA137:BA167" si="50">AN137/AU137</f>
        <v>0.60518912247402656</v>
      </c>
      <c r="BB137" s="41">
        <f t="shared" ref="BB137:BB167" si="51">AO137/AV137</f>
        <v>0.69177487659256365</v>
      </c>
      <c r="BD137" s="2" t="e">
        <f t="shared" ref="BD137:BD167" si="52">(AK137/C$8)/(AF137/C$7)</f>
        <v>#DIV/0!</v>
      </c>
      <c r="BE137" s="2">
        <f t="shared" ref="BE137:BE167" si="53">(AL137/D$8)/(AG137/D$7)</f>
        <v>2.5001030023733293</v>
      </c>
      <c r="BF137" s="2">
        <f t="shared" ref="BF137:BF167" si="54">(AM137/E$8)/(AH137/E$7)</f>
        <v>2.4526218321235023</v>
      </c>
      <c r="BG137" s="2">
        <f t="shared" ref="BG137:BG167" si="55">(AN137/F$8)/(AI137/F$7)</f>
        <v>2.29928741933236</v>
      </c>
      <c r="BH137" s="2">
        <f t="shared" ref="BH137:BH167" si="56">(AO137/G$8)/(AJ137/G$7)</f>
        <v>2.2443818626625083</v>
      </c>
    </row>
    <row r="138" spans="11:60" x14ac:dyDescent="0.2">
      <c r="K138" s="2">
        <v>131</v>
      </c>
      <c r="L138" s="2">
        <f>标准城池设计!AB134*$B$10/C$14*$C$5*C$7</f>
        <v>321178367.02228242</v>
      </c>
      <c r="M138" s="2">
        <f>标准城池设计!AC134*$B$10/D$14*$C$5*D$7</f>
        <v>346203340.18512213</v>
      </c>
      <c r="N138" s="2">
        <f>标准城池设计!AD134*$B$10/E$14*$C$5*E$7</f>
        <v>377633363.32794476</v>
      </c>
      <c r="O138" s="2">
        <f>标准城池设计!AE134*$B$10/F$14*$C$5*F$7</f>
        <v>359774255.78452146</v>
      </c>
      <c r="P138" s="2">
        <f>标准城池设计!AF134*$B$10/G$14*$C$5*G$7</f>
        <v>407292619.44393826</v>
      </c>
      <c r="Q138" s="2">
        <f t="shared" si="40"/>
        <v>40729.261944393824</v>
      </c>
      <c r="U138" s="2">
        <v>131</v>
      </c>
      <c r="V138" s="2">
        <f>其他调用!R135*6*其他调用!BM135*$B$10/C$15*$C$5*C$8/3</f>
        <v>0</v>
      </c>
      <c r="W138" s="2">
        <f>其他调用!S135*6*其他调用!BN135*$B$10/D$15*$C$5*D$8/3</f>
        <v>1246881.5466461855</v>
      </c>
      <c r="X138" s="2">
        <f>其他调用!T135*6*其他调用!BO135*$B$10/E$15*$C$5*E$8/3</f>
        <v>3004842.9378002342</v>
      </c>
      <c r="Y138" s="2">
        <f>其他调用!U135*6*其他调用!BP135*$B$10/F$15*$C$5*F$8/3</f>
        <v>7545788.1842752546</v>
      </c>
      <c r="Z138" s="2">
        <f>其他调用!V135*6*其他调用!BQ135*$B$10/G$15*$C$5*G$8/3</f>
        <v>12634019.181437297</v>
      </c>
      <c r="AA138" s="2">
        <f t="shared" si="41"/>
        <v>1263.4019181437297</v>
      </c>
      <c r="AE138" s="2">
        <v>131</v>
      </c>
      <c r="AF138" s="2">
        <f>L138/IFERROR(INDEX($C$22:$C$35,MATCH(节奏总纲!D134,$B$22:$B$35,1)),MIN($C$22:$C$35))*IFERROR(INDEX($D$22:$D$35,MATCH(节奏总纲!D134,$B$22:$B$35,1)),MIN($D$22:$D$35))</f>
        <v>30882.535290604079</v>
      </c>
      <c r="AG138" s="2">
        <f>M138/IFERROR(INDEX($C$22:$C$35,MATCH(节奏总纲!E134,$B$22:$B$35,1)),MIN($C$22:$C$35))*IFERROR(INDEX($D$22:$D$35,MATCH(节奏总纲!E134,$B$22:$B$35,1)),MIN($D$22:$D$35))</f>
        <v>37630.79784620893</v>
      </c>
      <c r="AH138" s="2">
        <f>N138/IFERROR(INDEX($C$22:$C$35,MATCH(节奏总纲!F134,$B$22:$B$35,1)),MIN($C$22:$C$35))*IFERROR(INDEX($D$22:$D$35,MATCH(节奏总纲!F134,$B$22:$B$35,1)),MIN($D$22:$D$35))</f>
        <v>41047.104709559215</v>
      </c>
      <c r="AI138" s="2">
        <f>O138/IFERROR(INDEX($C$22:$C$35,MATCH(节奏总纲!G134,$B$22:$B$35,1)),MIN($C$22:$C$35))*IFERROR(INDEX($D$22:$D$35,MATCH(节奏总纲!G134,$B$22:$B$35,1)),MIN($D$22:$D$35))</f>
        <v>44971.781973065183</v>
      </c>
      <c r="AJ138" s="2">
        <f>P138/IFERROR(INDEX($C$22:$C$35,MATCH(节奏总纲!H134,$B$22:$B$35,1)),MIN($C$22:$C$35))*IFERROR(INDEX($D$22:$D$35,MATCH(节奏总纲!H134,$B$22:$B$35,1)),MIN($D$22:$D$35))</f>
        <v>50911.577430492282</v>
      </c>
      <c r="AK138" s="2">
        <f>V138/IFERROR(INDEX($E$22:$E$35,MATCH(节奏总纲!D134,$B$22:$B$35,1)),MIN($E$22:$E$35))*IFERROR(INDEX($F$22:$F$35,MATCH(节奏总纲!D134,$B$22:$B$35,1)),MIN($F$22:$F$35))</f>
        <v>0</v>
      </c>
      <c r="AL138" s="2">
        <f>W138/IFERROR(INDEX($E$22:$E$35,MATCH(节奏总纲!E134,$B$22:$B$35,1)),MIN($E$22:$E$35))*IFERROR(INDEX($F$22:$F$35,MATCH(节奏总纲!E134,$B$22:$B$35,1)),MIN($F$22:$F$35))</f>
        <v>10390.679555384879</v>
      </c>
      <c r="AM138" s="2">
        <f>X138/IFERROR(INDEX($E$22:$E$35,MATCH(节奏总纲!F134,$B$22:$B$35,1)),MIN($E$22:$E$35))*IFERROR(INDEX($F$22:$F$35,MATCH(节奏总纲!F134,$B$22:$B$35,1)),MIN($F$22:$F$35))</f>
        <v>25040.357815001953</v>
      </c>
      <c r="AN138" s="2">
        <f>Y138/IFERROR(INDEX($E$22:$E$35,MATCH(节奏总纲!G134,$B$22:$B$35,1)),MIN($E$22:$E$35))*IFERROR(INDEX($F$22:$F$35,MATCH(节奏总纲!G134,$B$22:$B$35,1)),MIN($F$22:$F$35))</f>
        <v>68598.074402502316</v>
      </c>
      <c r="AO138" s="2">
        <f>Z138/IFERROR(INDEX($E$22:$E$35,MATCH(节奏总纲!H134,$B$22:$B$35,1)),MIN($E$22:$E$35))*IFERROR(INDEX($F$22:$F$35,MATCH(节奏总纲!H134,$B$22:$B$35,1)),MIN($F$22:$F$35))</f>
        <v>114854.71983124815</v>
      </c>
      <c r="AQ138" s="2">
        <v>131</v>
      </c>
      <c r="AR138" s="2">
        <f t="shared" si="42"/>
        <v>30882.535290604079</v>
      </c>
      <c r="AS138" s="2">
        <f t="shared" si="43"/>
        <v>48021.477401593809</v>
      </c>
      <c r="AT138" s="2">
        <f t="shared" si="44"/>
        <v>66087.462524561168</v>
      </c>
      <c r="AU138" s="2">
        <f t="shared" si="45"/>
        <v>113569.8563755675</v>
      </c>
      <c r="AV138" s="2">
        <f t="shared" si="46"/>
        <v>165766.29726174043</v>
      </c>
      <c r="AX138" s="41">
        <f t="shared" si="47"/>
        <v>0</v>
      </c>
      <c r="AY138" s="41">
        <f t="shared" si="48"/>
        <v>0.21637567433608398</v>
      </c>
      <c r="AZ138" s="41">
        <f t="shared" si="49"/>
        <v>0.37889725007516811</v>
      </c>
      <c r="BA138" s="41">
        <f t="shared" si="50"/>
        <v>0.60401656382881497</v>
      </c>
      <c r="BB138" s="41">
        <f t="shared" si="51"/>
        <v>0.69287136003222471</v>
      </c>
      <c r="BD138" s="2" t="e">
        <f t="shared" si="52"/>
        <v>#DIV/0!</v>
      </c>
      <c r="BE138" s="2">
        <f t="shared" si="53"/>
        <v>2.4850952238814972</v>
      </c>
      <c r="BF138" s="2">
        <f t="shared" si="54"/>
        <v>2.4401582515680293</v>
      </c>
      <c r="BG138" s="2">
        <f t="shared" si="55"/>
        <v>2.2880372333340344</v>
      </c>
      <c r="BH138" s="2">
        <f t="shared" si="56"/>
        <v>2.2559646671340148</v>
      </c>
    </row>
    <row r="139" spans="11:60" x14ac:dyDescent="0.2">
      <c r="K139" s="2">
        <v>132</v>
      </c>
      <c r="L139" s="2">
        <f>标准城池设计!AB135*$B$10/C$14*$C$5*C$7</f>
        <v>325151955.18339294</v>
      </c>
      <c r="M139" s="2">
        <f>标准城池设计!AC135*$B$10/D$14*$C$5*D$7</f>
        <v>350550039.27405536</v>
      </c>
      <c r="N139" s="2">
        <f>标准城池设计!AD135*$B$10/E$14*$C$5*E$7</f>
        <v>382002142.64505523</v>
      </c>
      <c r="O139" s="2">
        <f>标准城池设计!AE135*$B$10/F$14*$C$5*F$7</f>
        <v>363884420.92671633</v>
      </c>
      <c r="P139" s="2">
        <f>标准城池设计!AF135*$B$10/G$14*$C$5*G$7</f>
        <v>411874612.59798753</v>
      </c>
      <c r="Q139" s="2">
        <f t="shared" si="40"/>
        <v>41187.461259798751</v>
      </c>
      <c r="U139" s="2">
        <v>132</v>
      </c>
      <c r="V139" s="2">
        <f>其他调用!R136*6*其他调用!BM136*$B$10/C$15*$C$5*C$8/3</f>
        <v>0</v>
      </c>
      <c r="W139" s="2">
        <f>其他调用!S136*6*其他调用!BN136*$B$10/D$15*$C$5*D$8/3</f>
        <v>1254985.0840335265</v>
      </c>
      <c r="X139" s="2">
        <f>其他调用!T136*6*其他调用!BO136*$B$10/E$15*$C$5*E$8/3</f>
        <v>3024683.1964834179</v>
      </c>
      <c r="Y139" s="2">
        <f>其他调用!U136*6*其他调用!BP136*$B$10/F$15*$C$5*F$8/3</f>
        <v>7594148.4872223595</v>
      </c>
      <c r="Z139" s="2">
        <f>其他调用!V136*6*其他调用!BQ136*$B$10/G$15*$C$5*G$8/3</f>
        <v>12711791.44847698</v>
      </c>
      <c r="AA139" s="2">
        <f t="shared" si="41"/>
        <v>1271.1791448476979</v>
      </c>
      <c r="AE139" s="2">
        <v>132</v>
      </c>
      <c r="AF139" s="2">
        <f>L139/IFERROR(INDEX($C$22:$C$35,MATCH(节奏总纲!D135,$B$22:$B$35,1)),MIN($C$22:$C$35))*IFERROR(INDEX($D$22:$D$35,MATCH(节奏总纲!D135,$B$22:$B$35,1)),MIN($D$22:$D$35))</f>
        <v>31264.611075326244</v>
      </c>
      <c r="AG139" s="2">
        <f>M139/IFERROR(INDEX($C$22:$C$35,MATCH(节奏总纲!E135,$B$22:$B$35,1)),MIN($C$22:$C$35))*IFERROR(INDEX($D$22:$D$35,MATCH(节奏总纲!E135,$B$22:$B$35,1)),MIN($D$22:$D$35))</f>
        <v>38103.265138484276</v>
      </c>
      <c r="AH139" s="2">
        <f>N139/IFERROR(INDEX($C$22:$C$35,MATCH(节奏总纲!F135,$B$22:$B$35,1)),MIN($C$22:$C$35))*IFERROR(INDEX($D$22:$D$35,MATCH(节奏总纲!F135,$B$22:$B$35,1)),MIN($D$22:$D$35))</f>
        <v>41521.972026636438</v>
      </c>
      <c r="AI139" s="2">
        <f>O139/IFERROR(INDEX($C$22:$C$35,MATCH(节奏总纲!G135,$B$22:$B$35,1)),MIN($C$22:$C$35))*IFERROR(INDEX($D$22:$D$35,MATCH(节奏总纲!G135,$B$22:$B$35,1)),MIN($D$22:$D$35))</f>
        <v>39552.654448556124</v>
      </c>
      <c r="AJ139" s="2">
        <f>P139/IFERROR(INDEX($C$22:$C$35,MATCH(节奏总纲!H135,$B$22:$B$35,1)),MIN($C$22:$C$35))*IFERROR(INDEX($D$22:$D$35,MATCH(节奏总纲!H135,$B$22:$B$35,1)),MIN($D$22:$D$35))</f>
        <v>51484.32657474844</v>
      </c>
      <c r="AK139" s="2">
        <f>V139/IFERROR(INDEX($E$22:$E$35,MATCH(节奏总纲!D135,$B$22:$B$35,1)),MIN($E$22:$E$35))*IFERROR(INDEX($F$22:$F$35,MATCH(节奏总纲!D135,$B$22:$B$35,1)),MIN($F$22:$F$35))</f>
        <v>0</v>
      </c>
      <c r="AL139" s="2">
        <f>W139/IFERROR(INDEX($E$22:$E$35,MATCH(节奏总纲!E135,$B$22:$B$35,1)),MIN($E$22:$E$35))*IFERROR(INDEX($F$22:$F$35,MATCH(节奏总纲!E135,$B$22:$B$35,1)),MIN($F$22:$F$35))</f>
        <v>10458.20903361272</v>
      </c>
      <c r="AM139" s="2">
        <f>X139/IFERROR(INDEX($E$22:$E$35,MATCH(节奏总纲!F135,$B$22:$B$35,1)),MIN($E$22:$E$35))*IFERROR(INDEX($F$22:$F$35,MATCH(节奏总纲!F135,$B$22:$B$35,1)),MIN($F$22:$F$35))</f>
        <v>25205.693304028482</v>
      </c>
      <c r="AN139" s="2">
        <f>Y139/IFERROR(INDEX($E$22:$E$35,MATCH(节奏总纲!G135,$B$22:$B$35,1)),MIN($E$22:$E$35))*IFERROR(INDEX($F$22:$F$35,MATCH(节奏总纲!G135,$B$22:$B$35,1)),MIN($F$22:$F$35))</f>
        <v>63284.570726852995</v>
      </c>
      <c r="AO139" s="2">
        <f>Z139/IFERROR(INDEX($E$22:$E$35,MATCH(节奏总纲!H135,$B$22:$B$35,1)),MIN($E$22:$E$35))*IFERROR(INDEX($F$22:$F$35,MATCH(节奏总纲!H135,$B$22:$B$35,1)),MIN($F$22:$F$35))</f>
        <v>115561.74044069981</v>
      </c>
      <c r="AQ139" s="2">
        <v>132</v>
      </c>
      <c r="AR139" s="2">
        <f t="shared" si="42"/>
        <v>31264.611075326244</v>
      </c>
      <c r="AS139" s="2">
        <f t="shared" si="43"/>
        <v>48561.474172096998</v>
      </c>
      <c r="AT139" s="2">
        <f t="shared" si="44"/>
        <v>66727.665330664924</v>
      </c>
      <c r="AU139" s="2">
        <f t="shared" si="45"/>
        <v>102837.22517540911</v>
      </c>
      <c r="AV139" s="2">
        <f t="shared" si="46"/>
        <v>167046.06701544824</v>
      </c>
      <c r="AX139" s="41">
        <f t="shared" si="47"/>
        <v>0</v>
      </c>
      <c r="AY139" s="41">
        <f t="shared" si="48"/>
        <v>0.21536020501663264</v>
      </c>
      <c r="AZ139" s="41">
        <f t="shared" si="49"/>
        <v>0.37773977523600127</v>
      </c>
      <c r="BA139" s="41">
        <f t="shared" si="50"/>
        <v>0.61538582569598421</v>
      </c>
      <c r="BB139" s="41">
        <f t="shared" si="51"/>
        <v>0.69179563760703677</v>
      </c>
      <c r="BD139" s="2" t="e">
        <f t="shared" si="52"/>
        <v>#DIV/0!</v>
      </c>
      <c r="BE139" s="2">
        <f t="shared" si="53"/>
        <v>2.4702313820200525</v>
      </c>
      <c r="BF139" s="2">
        <f t="shared" si="54"/>
        <v>2.4281788242484228</v>
      </c>
      <c r="BG139" s="2">
        <f t="shared" si="55"/>
        <v>2.4000122725958994</v>
      </c>
      <c r="BH139" s="2">
        <f t="shared" si="56"/>
        <v>2.2446004081051623</v>
      </c>
    </row>
    <row r="140" spans="11:60" x14ac:dyDescent="0.2">
      <c r="K140" s="2">
        <v>133</v>
      </c>
      <c r="L140" s="2">
        <f>标准城池设计!AB136*$B$10/C$14*$C$5*C$7</f>
        <v>329129922.72703081</v>
      </c>
      <c r="M140" s="2">
        <f>标准城池设计!AC136*$B$10/D$14*$C$5*D$7</f>
        <v>354903766.46422404</v>
      </c>
      <c r="N140" s="2">
        <f>标准城池设计!AD136*$B$10/E$14*$C$5*E$7</f>
        <v>386370921.96216583</v>
      </c>
      <c r="O140" s="2">
        <f>标准城池设计!AE136*$B$10/F$14*$C$5*F$7</f>
        <v>367994586.06891137</v>
      </c>
      <c r="P140" s="2">
        <f>标准城池设计!AF136*$B$10/G$14*$C$5*G$7</f>
        <v>416456605.75203681</v>
      </c>
      <c r="Q140" s="2">
        <f t="shared" si="40"/>
        <v>41645.660575203678</v>
      </c>
      <c r="U140" s="2">
        <v>133</v>
      </c>
      <c r="V140" s="2">
        <f>其他调用!R137*6*其他调用!BM137*$B$10/C$15*$C$5*C$8/3</f>
        <v>0</v>
      </c>
      <c r="W140" s="2">
        <f>其他调用!S137*6*其他调用!BN137*$B$10/D$15*$C$5*D$8/3</f>
        <v>1263165.1012544732</v>
      </c>
      <c r="X140" s="2">
        <f>其他调用!T137*6*其他调用!BO137*$B$10/E$15*$C$5*E$8/3</f>
        <v>3043704.055041878</v>
      </c>
      <c r="Y140" s="2">
        <f>其他调用!U137*6*其他调用!BP137*$B$10/F$15*$C$5*F$8/3</f>
        <v>7639921.2604067316</v>
      </c>
      <c r="Z140" s="2">
        <f>其他调用!V137*6*其他调用!BQ137*$B$10/G$15*$C$5*G$8/3</f>
        <v>12790841.259589558</v>
      </c>
      <c r="AA140" s="2">
        <f t="shared" si="41"/>
        <v>1279.0841259589558</v>
      </c>
      <c r="AE140" s="2">
        <v>133</v>
      </c>
      <c r="AF140" s="2">
        <f>L140/IFERROR(INDEX($C$22:$C$35,MATCH(节奏总纲!D136,$B$22:$B$35,1)),MIN($C$22:$C$35))*IFERROR(INDEX($D$22:$D$35,MATCH(节奏总纲!D136,$B$22:$B$35,1)),MIN($D$22:$D$35))</f>
        <v>31647.107954522195</v>
      </c>
      <c r="AG140" s="2">
        <f>M140/IFERROR(INDEX($C$22:$C$35,MATCH(节奏总纲!E136,$B$22:$B$35,1)),MIN($C$22:$C$35))*IFERROR(INDEX($D$22:$D$35,MATCH(节奏总纲!E136,$B$22:$B$35,1)),MIN($D$22:$D$35))</f>
        <v>38576.496354806965</v>
      </c>
      <c r="AH140" s="2">
        <f>N140/IFERROR(INDEX($C$22:$C$35,MATCH(节奏总纲!F136,$B$22:$B$35,1)),MIN($C$22:$C$35))*IFERROR(INDEX($D$22:$D$35,MATCH(节奏总纲!F136,$B$22:$B$35,1)),MIN($D$22:$D$35))</f>
        <v>41996.839343713676</v>
      </c>
      <c r="AI140" s="2">
        <f>O140/IFERROR(INDEX($C$22:$C$35,MATCH(节奏总纲!G136,$B$22:$B$35,1)),MIN($C$22:$C$35))*IFERROR(INDEX($D$22:$D$35,MATCH(节奏总纲!G136,$B$22:$B$35,1)),MIN($D$22:$D$35))</f>
        <v>39999.411529229495</v>
      </c>
      <c r="AJ140" s="2">
        <f>P140/IFERROR(INDEX($C$22:$C$35,MATCH(节奏总纲!H136,$B$22:$B$35,1)),MIN($C$22:$C$35))*IFERROR(INDEX($D$22:$D$35,MATCH(节奏总纲!H136,$B$22:$B$35,1)),MIN($D$22:$D$35))</f>
        <v>52057.075719004599</v>
      </c>
      <c r="AK140" s="2">
        <f>V140/IFERROR(INDEX($E$22:$E$35,MATCH(节奏总纲!D136,$B$22:$B$35,1)),MIN($E$22:$E$35))*IFERROR(INDEX($F$22:$F$35,MATCH(节奏总纲!D136,$B$22:$B$35,1)),MIN($F$22:$F$35))</f>
        <v>0</v>
      </c>
      <c r="AL140" s="2">
        <f>W140/IFERROR(INDEX($E$22:$E$35,MATCH(节奏总纲!E136,$B$22:$B$35,1)),MIN($E$22:$E$35))*IFERROR(INDEX($F$22:$F$35,MATCH(节奏总纲!E136,$B$22:$B$35,1)),MIN($F$22:$F$35))</f>
        <v>10526.375843787277</v>
      </c>
      <c r="AM140" s="2">
        <f>X140/IFERROR(INDEX($E$22:$E$35,MATCH(节奏总纲!F136,$B$22:$B$35,1)),MIN($E$22:$E$35))*IFERROR(INDEX($F$22:$F$35,MATCH(节奏总纲!F136,$B$22:$B$35,1)),MIN($F$22:$F$35))</f>
        <v>25364.200458682317</v>
      </c>
      <c r="AN140" s="2">
        <f>Y140/IFERROR(INDEX($E$22:$E$35,MATCH(节奏总纲!G136,$B$22:$B$35,1)),MIN($E$22:$E$35))*IFERROR(INDEX($F$22:$F$35,MATCH(节奏总纲!G136,$B$22:$B$35,1)),MIN($F$22:$F$35))</f>
        <v>63666.010503389429</v>
      </c>
      <c r="AO140" s="2">
        <f>Z140/IFERROR(INDEX($E$22:$E$35,MATCH(节奏总纲!H136,$B$22:$B$35,1)),MIN($E$22:$E$35))*IFERROR(INDEX($F$22:$F$35,MATCH(节奏总纲!H136,$B$22:$B$35,1)),MIN($F$22:$F$35))</f>
        <v>116280.3750871778</v>
      </c>
      <c r="AQ140" s="2">
        <v>133</v>
      </c>
      <c r="AR140" s="2">
        <f t="shared" si="42"/>
        <v>31647.107954522195</v>
      </c>
      <c r="AS140" s="2">
        <f t="shared" si="43"/>
        <v>49102.872198594239</v>
      </c>
      <c r="AT140" s="2">
        <f t="shared" si="44"/>
        <v>67361.039802396001</v>
      </c>
      <c r="AU140" s="2">
        <f t="shared" si="45"/>
        <v>103665.42203261892</v>
      </c>
      <c r="AV140" s="2">
        <f t="shared" si="46"/>
        <v>168337.4508061824</v>
      </c>
      <c r="AX140" s="41">
        <f t="shared" si="47"/>
        <v>0</v>
      </c>
      <c r="AY140" s="41">
        <f t="shared" si="48"/>
        <v>0.21437393318284617</v>
      </c>
      <c r="AZ140" s="41">
        <f t="shared" si="49"/>
        <v>0.37654110644800531</v>
      </c>
      <c r="BA140" s="41">
        <f t="shared" si="50"/>
        <v>0.61414895396226288</v>
      </c>
      <c r="BB140" s="41">
        <f t="shared" si="51"/>
        <v>0.69075760937510444</v>
      </c>
      <c r="BD140" s="2" t="e">
        <f t="shared" si="52"/>
        <v>#DIV/0!</v>
      </c>
      <c r="BE140" s="2">
        <f t="shared" si="53"/>
        <v>2.4558316992486651</v>
      </c>
      <c r="BF140" s="2">
        <f t="shared" si="54"/>
        <v>2.4158199383620027</v>
      </c>
      <c r="BG140" s="2">
        <f t="shared" si="55"/>
        <v>2.387510518380962</v>
      </c>
      <c r="BH140" s="2">
        <f t="shared" si="56"/>
        <v>2.2337093177273317</v>
      </c>
    </row>
    <row r="141" spans="11:60" x14ac:dyDescent="0.2">
      <c r="K141" s="2">
        <v>134</v>
      </c>
      <c r="L141" s="2">
        <f>标准城池设计!AB137*$B$10/C$14*$C$5*C$7</f>
        <v>333112269.6531961</v>
      </c>
      <c r="M141" s="2">
        <f>标准城池设计!AC137*$B$10/D$14*$C$5*D$7</f>
        <v>359264521.75562841</v>
      </c>
      <c r="N141" s="2">
        <f>标准城池设计!AD137*$B$10/E$14*$C$5*E$7</f>
        <v>390739701.27927619</v>
      </c>
      <c r="O141" s="2">
        <f>标准城池设计!AE137*$B$10/F$14*$C$5*F$7</f>
        <v>372104751.2111063</v>
      </c>
      <c r="P141" s="2">
        <f>标准城池设计!AF137*$B$10/G$14*$C$5*G$7</f>
        <v>421038598.90608603</v>
      </c>
      <c r="Q141" s="2">
        <f t="shared" si="40"/>
        <v>42103.859890608604</v>
      </c>
      <c r="U141" s="2">
        <v>134</v>
      </c>
      <c r="V141" s="2">
        <f>其他调用!R138*6*其他调用!BM138*$B$10/C$15*$C$5*C$8/3</f>
        <v>0</v>
      </c>
      <c r="W141" s="2">
        <f>其他调用!S138*6*其他调用!BN138*$B$10/D$15*$C$5*D$8/3</f>
        <v>1271028.5203039886</v>
      </c>
      <c r="X141" s="2">
        <f>其他调用!T138*6*其他调用!BO138*$B$10/E$15*$C$5*E$8/3</f>
        <v>3062068.9944130597</v>
      </c>
      <c r="Y141" s="2">
        <f>其他调用!U138*6*其他调用!BP138*$B$10/F$15*$C$5*F$8/3</f>
        <v>7687432.2026005043</v>
      </c>
      <c r="Z141" s="2">
        <f>其他调用!V138*6*其他调用!BQ138*$B$10/G$15*$C$5*G$8/3</f>
        <v>12868495.528360123</v>
      </c>
      <c r="AA141" s="2">
        <f t="shared" si="41"/>
        <v>1286.8495528360122</v>
      </c>
      <c r="AE141" s="2">
        <v>134</v>
      </c>
      <c r="AF141" s="2">
        <f>L141/IFERROR(INDEX($C$22:$C$35,MATCH(节奏总纲!D137,$B$22:$B$35,1)),MIN($C$22:$C$35))*IFERROR(INDEX($D$22:$D$35,MATCH(节奏总纲!D137,$B$22:$B$35,1)),MIN($D$22:$D$35))</f>
        <v>32030.025928191932</v>
      </c>
      <c r="AG141" s="2">
        <f>M141/IFERROR(INDEX($C$22:$C$35,MATCH(节奏总纲!E137,$B$22:$B$35,1)),MIN($C$22:$C$35))*IFERROR(INDEX($D$22:$D$35,MATCH(节奏总纲!E137,$B$22:$B$35,1)),MIN($D$22:$D$35))</f>
        <v>34544.66555342581</v>
      </c>
      <c r="AH141" s="2">
        <f>N141/IFERROR(INDEX($C$22:$C$35,MATCH(节奏总纲!F137,$B$22:$B$35,1)),MIN($C$22:$C$35))*IFERROR(INDEX($D$22:$D$35,MATCH(节奏总纲!F137,$B$22:$B$35,1)),MIN($D$22:$D$35))</f>
        <v>42471.706660790893</v>
      </c>
      <c r="AI141" s="2">
        <f>O141/IFERROR(INDEX($C$22:$C$35,MATCH(节奏总纲!G137,$B$22:$B$35,1)),MIN($C$22:$C$35))*IFERROR(INDEX($D$22:$D$35,MATCH(节奏总纲!G137,$B$22:$B$35,1)),MIN($D$22:$D$35))</f>
        <v>40446.168609902859</v>
      </c>
      <c r="AJ141" s="2">
        <f>P141/IFERROR(INDEX($C$22:$C$35,MATCH(节奏总纲!H137,$B$22:$B$35,1)),MIN($C$22:$C$35))*IFERROR(INDEX($D$22:$D$35,MATCH(节奏总纲!H137,$B$22:$B$35,1)),MIN($D$22:$D$35))</f>
        <v>52629.82486326075</v>
      </c>
      <c r="AK141" s="2">
        <f>V141/IFERROR(INDEX($E$22:$E$35,MATCH(节奏总纲!D137,$B$22:$B$35,1)),MIN($E$22:$E$35))*IFERROR(INDEX($F$22:$F$35,MATCH(节奏总纲!D137,$B$22:$B$35,1)),MIN($F$22:$F$35))</f>
        <v>0</v>
      </c>
      <c r="AL141" s="2">
        <f>W141/IFERROR(INDEX($E$22:$E$35,MATCH(节奏总纲!E137,$B$22:$B$35,1)),MIN($E$22:$E$35))*IFERROR(INDEX($F$22:$F$35,MATCH(节奏总纲!E137,$B$22:$B$35,1)),MIN($F$22:$F$35))</f>
        <v>10591.904335866571</v>
      </c>
      <c r="AM141" s="2">
        <f>X141/IFERROR(INDEX($E$22:$E$35,MATCH(节奏总纲!F137,$B$22:$B$35,1)),MIN($E$22:$E$35))*IFERROR(INDEX($F$22:$F$35,MATCH(节奏总纲!F137,$B$22:$B$35,1)),MIN($F$22:$F$35))</f>
        <v>25517.241620108831</v>
      </c>
      <c r="AN141" s="2">
        <f>Y141/IFERROR(INDEX($E$22:$E$35,MATCH(节奏总纲!G137,$B$22:$B$35,1)),MIN($E$22:$E$35))*IFERROR(INDEX($F$22:$F$35,MATCH(节奏总纲!G137,$B$22:$B$35,1)),MIN($F$22:$F$35))</f>
        <v>64061.93502167087</v>
      </c>
      <c r="AO141" s="2">
        <f>Z141/IFERROR(INDEX($E$22:$E$35,MATCH(节奏总纲!H137,$B$22:$B$35,1)),MIN($E$22:$E$35))*IFERROR(INDEX($F$22:$F$35,MATCH(节奏总纲!H137,$B$22:$B$35,1)),MIN($F$22:$F$35))</f>
        <v>116986.32298509203</v>
      </c>
      <c r="AQ141" s="2">
        <v>134</v>
      </c>
      <c r="AR141" s="2">
        <f t="shared" si="42"/>
        <v>32030.025928191932</v>
      </c>
      <c r="AS141" s="2">
        <f t="shared" si="43"/>
        <v>45136.569889292383</v>
      </c>
      <c r="AT141" s="2">
        <f t="shared" si="44"/>
        <v>67988.948280899727</v>
      </c>
      <c r="AU141" s="2">
        <f t="shared" si="45"/>
        <v>104508.10363157373</v>
      </c>
      <c r="AV141" s="2">
        <f t="shared" si="46"/>
        <v>169616.14784835279</v>
      </c>
      <c r="AX141" s="41">
        <f t="shared" si="47"/>
        <v>0</v>
      </c>
      <c r="AY141" s="41">
        <f t="shared" si="48"/>
        <v>0.23466347491281694</v>
      </c>
      <c r="AZ141" s="41">
        <f t="shared" si="49"/>
        <v>0.37531455133977182</v>
      </c>
      <c r="BA141" s="41">
        <f t="shared" si="50"/>
        <v>0.61298533602246552</v>
      </c>
      <c r="BB141" s="41">
        <f t="shared" si="51"/>
        <v>0.68971217934795315</v>
      </c>
      <c r="BD141" s="2" t="e">
        <f t="shared" si="52"/>
        <v>#DIV/0!</v>
      </c>
      <c r="BE141" s="2">
        <f t="shared" si="53"/>
        <v>2.7595328394587839</v>
      </c>
      <c r="BF141" s="2">
        <f t="shared" si="54"/>
        <v>2.4032226276101958</v>
      </c>
      <c r="BG141" s="2">
        <f t="shared" si="55"/>
        <v>2.3758221318639028</v>
      </c>
      <c r="BH141" s="2">
        <f t="shared" si="56"/>
        <v>2.2228142177755292</v>
      </c>
    </row>
    <row r="142" spans="11:60" x14ac:dyDescent="0.2">
      <c r="K142" s="2">
        <v>135</v>
      </c>
      <c r="L142" s="2">
        <f>标准城池设计!AB138*$B$10/C$14*$C$5*C$7</f>
        <v>337098995.96188855</v>
      </c>
      <c r="M142" s="2">
        <f>标准城池设计!AC138*$B$10/D$14*$C$5*D$7</f>
        <v>363632305.14826858</v>
      </c>
      <c r="N142" s="2">
        <f>标准城池设计!AD138*$B$10/E$14*$C$5*E$7</f>
        <v>395108480.59638685</v>
      </c>
      <c r="O142" s="2">
        <f>标准城池设计!AE138*$B$10/F$14*$C$5*F$7</f>
        <v>376214916.35330123</v>
      </c>
      <c r="P142" s="2">
        <f>标准城池设计!AF138*$B$10/G$14*$C$5*G$7</f>
        <v>425620592.06013536</v>
      </c>
      <c r="Q142" s="2">
        <f t="shared" si="40"/>
        <v>42562.059206013539</v>
      </c>
      <c r="U142" s="2">
        <v>135</v>
      </c>
      <c r="V142" s="2">
        <f>其他调用!R139*6*其他调用!BM139*$B$10/C$15*$C$5*C$8/3</f>
        <v>0</v>
      </c>
      <c r="W142" s="2">
        <f>其他调用!S139*6*其他调用!BN139*$B$10/D$15*$C$5*D$8/3</f>
        <v>1278996.0766088511</v>
      </c>
      <c r="X142" s="2">
        <f>其他调用!T139*6*其他调用!BO139*$B$10/E$15*$C$5*E$8/3</f>
        <v>3081534.654914686</v>
      </c>
      <c r="Y142" s="2">
        <f>其他调用!U139*6*其他调用!BP139*$B$10/F$15*$C$5*F$8/3</f>
        <v>7735287.0738920299</v>
      </c>
      <c r="Z142" s="2">
        <f>其他调用!V139*6*其他调用!BQ139*$B$10/G$15*$C$5*G$8/3</f>
        <v>12952597.554607749</v>
      </c>
      <c r="AA142" s="2">
        <f t="shared" si="41"/>
        <v>1295.2597554607748</v>
      </c>
      <c r="AE142" s="2">
        <v>135</v>
      </c>
      <c r="AF142" s="2">
        <f>L142/IFERROR(INDEX($C$22:$C$35,MATCH(节奏总纲!D138,$B$22:$B$35,1)),MIN($C$22:$C$35))*IFERROR(INDEX($D$22:$D$35,MATCH(节奏总纲!D138,$B$22:$B$35,1)),MIN($D$22:$D$35))</f>
        <v>32413.364996335436</v>
      </c>
      <c r="AG142" s="2">
        <f>M142/IFERROR(INDEX($C$22:$C$35,MATCH(节奏总纲!E138,$B$22:$B$35,1)),MIN($C$22:$C$35))*IFERROR(INDEX($D$22:$D$35,MATCH(节奏总纲!E138,$B$22:$B$35,1)),MIN($D$22:$D$35))</f>
        <v>34964.644725795057</v>
      </c>
      <c r="AH142" s="2">
        <f>N142/IFERROR(INDEX($C$22:$C$35,MATCH(节奏总纲!F138,$B$22:$B$35,1)),MIN($C$22:$C$35))*IFERROR(INDEX($D$22:$D$35,MATCH(节奏总纲!F138,$B$22:$B$35,1)),MIN($D$22:$D$35))</f>
        <v>42946.573977868138</v>
      </c>
      <c r="AI142" s="2">
        <f>O142/IFERROR(INDEX($C$22:$C$35,MATCH(节奏总纲!G138,$B$22:$B$35,1)),MIN($C$22:$C$35))*IFERROR(INDEX($D$22:$D$35,MATCH(节奏总纲!G138,$B$22:$B$35,1)),MIN($D$22:$D$35))</f>
        <v>40892.925690576223</v>
      </c>
      <c r="AJ142" s="2">
        <f>P142/IFERROR(INDEX($C$22:$C$35,MATCH(节奏总纲!H138,$B$22:$B$35,1)),MIN($C$22:$C$35))*IFERROR(INDEX($D$22:$D$35,MATCH(节奏总纲!H138,$B$22:$B$35,1)),MIN($D$22:$D$35))</f>
        <v>53202.574007516923</v>
      </c>
      <c r="AK142" s="2">
        <f>V142/IFERROR(INDEX($E$22:$E$35,MATCH(节奏总纲!D138,$B$22:$B$35,1)),MIN($E$22:$E$35))*IFERROR(INDEX($F$22:$F$35,MATCH(节奏总纲!D138,$B$22:$B$35,1)),MIN($F$22:$F$35))</f>
        <v>0</v>
      </c>
      <c r="AL142" s="2">
        <f>W142/IFERROR(INDEX($E$22:$E$35,MATCH(节奏总纲!E138,$B$22:$B$35,1)),MIN($E$22:$E$35))*IFERROR(INDEX($F$22:$F$35,MATCH(节奏总纲!E138,$B$22:$B$35,1)),MIN($F$22:$F$35))</f>
        <v>10658.300638407092</v>
      </c>
      <c r="AM142" s="2">
        <f>X142/IFERROR(INDEX($E$22:$E$35,MATCH(节奏总纲!F138,$B$22:$B$35,1)),MIN($E$22:$E$35))*IFERROR(INDEX($F$22:$F$35,MATCH(节奏总纲!F138,$B$22:$B$35,1)),MIN($F$22:$F$35))</f>
        <v>25679.455457622382</v>
      </c>
      <c r="AN142" s="2">
        <f>Y142/IFERROR(INDEX($E$22:$E$35,MATCH(节奏总纲!G138,$B$22:$B$35,1)),MIN($E$22:$E$35))*IFERROR(INDEX($F$22:$F$35,MATCH(节奏总纲!G138,$B$22:$B$35,1)),MIN($F$22:$F$35))</f>
        <v>64460.725615766918</v>
      </c>
      <c r="AO142" s="2">
        <f>Z142/IFERROR(INDEX($E$22:$E$35,MATCH(节奏总纲!H138,$B$22:$B$35,1)),MIN($E$22:$E$35))*IFERROR(INDEX($F$22:$F$35,MATCH(节奏总纲!H138,$B$22:$B$35,1)),MIN($F$22:$F$35))</f>
        <v>117750.88686007044</v>
      </c>
      <c r="AQ142" s="2">
        <v>135</v>
      </c>
      <c r="AR142" s="2">
        <f t="shared" si="42"/>
        <v>32413.364996335436</v>
      </c>
      <c r="AS142" s="2">
        <f t="shared" si="43"/>
        <v>45622.945364202147</v>
      </c>
      <c r="AT142" s="2">
        <f t="shared" si="44"/>
        <v>68626.02943549052</v>
      </c>
      <c r="AU142" s="2">
        <f t="shared" si="45"/>
        <v>105353.65130634315</v>
      </c>
      <c r="AV142" s="2">
        <f t="shared" si="46"/>
        <v>170953.46086758736</v>
      </c>
      <c r="AX142" s="41">
        <f t="shared" si="47"/>
        <v>0</v>
      </c>
      <c r="AY142" s="41">
        <f t="shared" si="48"/>
        <v>0.23361710984074438</v>
      </c>
      <c r="AZ142" s="41">
        <f t="shared" si="49"/>
        <v>0.37419410198810132</v>
      </c>
      <c r="BA142" s="41">
        <f t="shared" si="50"/>
        <v>0.61185089284025462</v>
      </c>
      <c r="BB142" s="41">
        <f t="shared" si="51"/>
        <v>0.68878913747920456</v>
      </c>
      <c r="BD142" s="2" t="e">
        <f t="shared" si="52"/>
        <v>#DIV/0!</v>
      </c>
      <c r="BE142" s="2">
        <f t="shared" si="53"/>
        <v>2.7434772038423061</v>
      </c>
      <c r="BF142" s="2">
        <f t="shared" si="54"/>
        <v>2.3917582315977897</v>
      </c>
      <c r="BG142" s="2">
        <f t="shared" si="55"/>
        <v>2.3644942686488393</v>
      </c>
      <c r="BH142" s="2">
        <f t="shared" si="56"/>
        <v>2.2132554496974821</v>
      </c>
    </row>
    <row r="143" spans="11:60" x14ac:dyDescent="0.2">
      <c r="K143" s="2">
        <v>136</v>
      </c>
      <c r="L143" s="2">
        <f>标准城池设计!AB139*$B$10/C$14*$C$5*C$7</f>
        <v>341090101.6531083</v>
      </c>
      <c r="M143" s="2">
        <f>标准城池设计!AC139*$B$10/D$14*$C$5*D$7</f>
        <v>368007116.64214438</v>
      </c>
      <c r="N143" s="2">
        <f>标准城池设计!AD139*$B$10/E$14*$C$5*E$7</f>
        <v>399477259.91349745</v>
      </c>
      <c r="O143" s="2">
        <f>标准城池设计!AE139*$B$10/F$14*$C$5*F$7</f>
        <v>380325081.49549609</v>
      </c>
      <c r="P143" s="2">
        <f>标准城池设计!AF139*$B$10/G$14*$C$5*G$7</f>
        <v>430202585.21418464</v>
      </c>
      <c r="Q143" s="2">
        <f t="shared" si="40"/>
        <v>43020.258521418466</v>
      </c>
      <c r="U143" s="2">
        <v>136</v>
      </c>
      <c r="V143" s="2">
        <f>其他调用!R140*6*其他调用!BM140*$B$10/C$15*$C$5*C$8/3</f>
        <v>0</v>
      </c>
      <c r="W143" s="2">
        <f>其他调用!S140*6*其他调用!BN140*$B$10/D$15*$C$5*D$8/3</f>
        <v>1287212.0667930243</v>
      </c>
      <c r="X143" s="2">
        <f>其他调用!T140*6*其他调用!BO140*$B$10/E$15*$C$5*E$8/3</f>
        <v>3101332.6929838932</v>
      </c>
      <c r="Y143" s="2">
        <f>其他调用!U140*6*其他调用!BP140*$B$10/F$15*$C$5*F$8/3</f>
        <v>7786583.5776144853</v>
      </c>
      <c r="Z143" s="2">
        <f>其他调用!V140*6*其他调用!BQ140*$B$10/G$15*$C$5*G$8/3</f>
        <v>13034641.731698535</v>
      </c>
      <c r="AA143" s="2">
        <f t="shared" si="41"/>
        <v>1303.4641731698534</v>
      </c>
      <c r="AE143" s="2">
        <v>136</v>
      </c>
      <c r="AF143" s="2">
        <f>L143/IFERROR(INDEX($C$22:$C$35,MATCH(节奏总纲!D139,$B$22:$B$35,1)),MIN($C$22:$C$35))*IFERROR(INDEX($D$22:$D$35,MATCH(节奏总纲!D139,$B$22:$B$35,1)),MIN($D$22:$D$35))</f>
        <v>32797.125158952724</v>
      </c>
      <c r="AG143" s="2">
        <f>M143/IFERROR(INDEX($C$22:$C$35,MATCH(节奏总纲!E139,$B$22:$B$35,1)),MIN($C$22:$C$35))*IFERROR(INDEX($D$22:$D$35,MATCH(节奏总纲!E139,$B$22:$B$35,1)),MIN($D$22:$D$35))</f>
        <v>35385.299677129267</v>
      </c>
      <c r="AH143" s="2">
        <f>N143/IFERROR(INDEX($C$22:$C$35,MATCH(节奏总纲!F139,$B$22:$B$35,1)),MIN($C$22:$C$35))*IFERROR(INDEX($D$22:$D$35,MATCH(节奏总纲!F139,$B$22:$B$35,1)),MIN($D$22:$D$35))</f>
        <v>43421.441294945376</v>
      </c>
      <c r="AI143" s="2">
        <f>O143/IFERROR(INDEX($C$22:$C$35,MATCH(节奏总纲!G139,$B$22:$B$35,1)),MIN($C$22:$C$35))*IFERROR(INDEX($D$22:$D$35,MATCH(节奏总纲!G139,$B$22:$B$35,1)),MIN($D$22:$D$35))</f>
        <v>41339.682771249572</v>
      </c>
      <c r="AJ143" s="2">
        <f>P143/IFERROR(INDEX($C$22:$C$35,MATCH(节奏总纲!H139,$B$22:$B$35,1)),MIN($C$22:$C$35))*IFERROR(INDEX($D$22:$D$35,MATCH(节奏总纲!H139,$B$22:$B$35,1)),MIN($D$22:$D$35))</f>
        <v>53775.323151773082</v>
      </c>
      <c r="AK143" s="2">
        <f>V143/IFERROR(INDEX($E$22:$E$35,MATCH(节奏总纲!D139,$B$22:$B$35,1)),MIN($E$22:$E$35))*IFERROR(INDEX($F$22:$F$35,MATCH(节奏总纲!D139,$B$22:$B$35,1)),MIN($F$22:$F$35))</f>
        <v>0</v>
      </c>
      <c r="AL143" s="2">
        <f>W143/IFERROR(INDEX($E$22:$E$35,MATCH(节奏总纲!E139,$B$22:$B$35,1)),MIN($E$22:$E$35))*IFERROR(INDEX($F$22:$F$35,MATCH(节奏总纲!E139,$B$22:$B$35,1)),MIN($F$22:$F$35))</f>
        <v>10726.767223275203</v>
      </c>
      <c r="AM143" s="2">
        <f>X143/IFERROR(INDEX($E$22:$E$35,MATCH(节奏总纲!F139,$B$22:$B$35,1)),MIN($E$22:$E$35))*IFERROR(INDEX($F$22:$F$35,MATCH(节奏总纲!F139,$B$22:$B$35,1)),MIN($F$22:$F$35))</f>
        <v>25844.439108199109</v>
      </c>
      <c r="AN143" s="2">
        <f>Y143/IFERROR(INDEX($E$22:$E$35,MATCH(节奏总纲!G139,$B$22:$B$35,1)),MIN($E$22:$E$35))*IFERROR(INDEX($F$22:$F$35,MATCH(节奏总纲!G139,$B$22:$B$35,1)),MIN($F$22:$F$35))</f>
        <v>64888.196480120714</v>
      </c>
      <c r="AO143" s="2">
        <f>Z143/IFERROR(INDEX($E$22:$E$35,MATCH(节奏总纲!H139,$B$22:$B$35,1)),MIN($E$22:$E$35))*IFERROR(INDEX($F$22:$F$35,MATCH(节奏总纲!H139,$B$22:$B$35,1)),MIN($F$22:$F$35))</f>
        <v>118496.74301544123</v>
      </c>
      <c r="AQ143" s="2">
        <v>136</v>
      </c>
      <c r="AR143" s="2">
        <f t="shared" si="42"/>
        <v>32797.125158952724</v>
      </c>
      <c r="AS143" s="2">
        <f t="shared" si="43"/>
        <v>46112.066900404468</v>
      </c>
      <c r="AT143" s="2">
        <f t="shared" si="44"/>
        <v>69265.880403144489</v>
      </c>
      <c r="AU143" s="2">
        <f t="shared" si="45"/>
        <v>106227.87925137029</v>
      </c>
      <c r="AV143" s="2">
        <f t="shared" si="46"/>
        <v>172272.0661672143</v>
      </c>
      <c r="AX143" s="41">
        <f t="shared" si="47"/>
        <v>0</v>
      </c>
      <c r="AY143" s="41">
        <f t="shared" si="48"/>
        <v>0.23262386495152126</v>
      </c>
      <c r="AZ143" s="41">
        <f t="shared" si="49"/>
        <v>0.37311933318075374</v>
      </c>
      <c r="BA143" s="41">
        <f t="shared" si="50"/>
        <v>0.61083961138463272</v>
      </c>
      <c r="BB143" s="41">
        <f t="shared" si="51"/>
        <v>0.68784653050148858</v>
      </c>
      <c r="BD143" s="2" t="e">
        <f t="shared" si="52"/>
        <v>#DIV/0!</v>
      </c>
      <c r="BE143" s="2">
        <f t="shared" si="53"/>
        <v>2.7282771628432627</v>
      </c>
      <c r="BF143" s="2">
        <f t="shared" si="54"/>
        <v>2.3807997466180493</v>
      </c>
      <c r="BG143" s="2">
        <f t="shared" si="55"/>
        <v>2.3544519017904162</v>
      </c>
      <c r="BH143" s="2">
        <f t="shared" si="56"/>
        <v>2.2035524115959526</v>
      </c>
    </row>
    <row r="144" spans="11:60" x14ac:dyDescent="0.2">
      <c r="K144" s="2">
        <v>137</v>
      </c>
      <c r="L144" s="2">
        <f>标准城池设计!AB140*$B$10/C$14*$C$5*C$7</f>
        <v>352876691.47527969</v>
      </c>
      <c r="M144" s="2">
        <f>标准城池设计!AC140*$B$10/D$14*$C$5*D$7</f>
        <v>380903776.47079498</v>
      </c>
      <c r="N144" s="2">
        <f>标准城池设计!AD140*$B$10/E$14*$C$5*E$7</f>
        <v>413311430.0952577</v>
      </c>
      <c r="O144" s="2">
        <f>标准城池设计!AE140*$B$10/F$14*$C$5*F$7</f>
        <v>393772678.7487635</v>
      </c>
      <c r="P144" s="2">
        <f>标准城池设计!AF140*$B$10/G$14*$C$5*G$7</f>
        <v>445831244.45412314</v>
      </c>
      <c r="Q144" s="2">
        <f t="shared" si="40"/>
        <v>44583.124445412315</v>
      </c>
      <c r="U144" s="2">
        <v>137</v>
      </c>
      <c r="V144" s="2">
        <f>其他调用!R141*6*其他调用!BM141*$B$10/C$15*$C$5*C$8/3</f>
        <v>0</v>
      </c>
      <c r="W144" s="2">
        <f>其他调用!S141*6*其他调用!BN141*$B$10/D$15*$C$5*D$8/3</f>
        <v>1295336.726026885</v>
      </c>
      <c r="X144" s="2">
        <f>其他调用!T141*6*其他调用!BO141*$B$10/E$15*$C$5*E$8/3</f>
        <v>3121321.5507296245</v>
      </c>
      <c r="Y144" s="2">
        <f>其他调用!U141*6*其他调用!BP141*$B$10/F$15*$C$5*F$8/3</f>
        <v>7835052.1775680901</v>
      </c>
      <c r="Z144" s="2">
        <f>其他调用!V141*6*其他调用!BQ141*$B$10/G$15*$C$5*G$8/3</f>
        <v>13118593.284776637</v>
      </c>
      <c r="AA144" s="2">
        <f t="shared" si="41"/>
        <v>1311.8593284776637</v>
      </c>
      <c r="AE144" s="2">
        <v>137</v>
      </c>
      <c r="AF144" s="2">
        <f>L144/IFERROR(INDEX($C$22:$C$35,MATCH(节奏总纲!D140,$B$22:$B$35,1)),MIN($C$22:$C$35))*IFERROR(INDEX($D$22:$D$35,MATCH(节奏总纲!D140,$B$22:$B$35,1)),MIN($D$22:$D$35))</f>
        <v>33930.451103392275</v>
      </c>
      <c r="AG144" s="2">
        <f>M144/IFERROR(INDEX($C$22:$C$35,MATCH(节奏总纲!E140,$B$22:$B$35,1)),MIN($C$22:$C$35))*IFERROR(INDEX($D$22:$D$35,MATCH(节奏总纲!E140,$B$22:$B$35,1)),MIN($D$22:$D$35))</f>
        <v>36625.363122191826</v>
      </c>
      <c r="AH144" s="2">
        <f>N144/IFERROR(INDEX($C$22:$C$35,MATCH(节奏总纲!F140,$B$22:$B$35,1)),MIN($C$22:$C$35))*IFERROR(INDEX($D$22:$D$35,MATCH(节奏总纲!F140,$B$22:$B$35,1)),MIN($D$22:$D$35))</f>
        <v>39741.483663005551</v>
      </c>
      <c r="AI144" s="2">
        <f>O144/IFERROR(INDEX($C$22:$C$35,MATCH(节奏总纲!G140,$B$22:$B$35,1)),MIN($C$22:$C$35))*IFERROR(INDEX($D$22:$D$35,MATCH(节奏总纲!G140,$B$22:$B$35,1)),MIN($D$22:$D$35))</f>
        <v>42801.378124865601</v>
      </c>
      <c r="AJ144" s="2">
        <f>P144/IFERROR(INDEX($C$22:$C$35,MATCH(节奏总纲!H140,$B$22:$B$35,1)),MIN($C$22:$C$35))*IFERROR(INDEX($D$22:$D$35,MATCH(节奏总纲!H140,$B$22:$B$35,1)),MIN($D$22:$D$35))</f>
        <v>55728.905556765392</v>
      </c>
      <c r="AK144" s="2">
        <f>V144/IFERROR(INDEX($E$22:$E$35,MATCH(节奏总纲!D140,$B$22:$B$35,1)),MIN($E$22:$E$35))*IFERROR(INDEX($F$22:$F$35,MATCH(节奏总纲!D140,$B$22:$B$35,1)),MIN($F$22:$F$35))</f>
        <v>0</v>
      </c>
      <c r="AL144" s="2">
        <f>W144/IFERROR(INDEX($E$22:$E$35,MATCH(节奏总纲!E140,$B$22:$B$35,1)),MIN($E$22:$E$35))*IFERROR(INDEX($F$22:$F$35,MATCH(节奏总纲!E140,$B$22:$B$35,1)),MIN($F$22:$F$35))</f>
        <v>10794.472716890708</v>
      </c>
      <c r="AM144" s="2">
        <f>X144/IFERROR(INDEX($E$22:$E$35,MATCH(节奏总纲!F140,$B$22:$B$35,1)),MIN($E$22:$E$35))*IFERROR(INDEX($F$22:$F$35,MATCH(节奏总纲!F140,$B$22:$B$35,1)),MIN($F$22:$F$35))</f>
        <v>26011.012922746871</v>
      </c>
      <c r="AN144" s="2">
        <f>Y144/IFERROR(INDEX($E$22:$E$35,MATCH(节奏总纲!G140,$B$22:$B$35,1)),MIN($E$22:$E$35))*IFERROR(INDEX($F$22:$F$35,MATCH(节奏总纲!G140,$B$22:$B$35,1)),MIN($F$22:$F$35))</f>
        <v>65292.101479734083</v>
      </c>
      <c r="AO144" s="2">
        <f>Z144/IFERROR(INDEX($E$22:$E$35,MATCH(节奏总纲!H140,$B$22:$B$35,1)),MIN($E$22:$E$35))*IFERROR(INDEX($F$22:$F$35,MATCH(节奏总纲!H140,$B$22:$B$35,1)),MIN($F$22:$F$35))</f>
        <v>119259.93895251489</v>
      </c>
      <c r="AQ144" s="2">
        <v>137</v>
      </c>
      <c r="AR144" s="2">
        <f t="shared" si="42"/>
        <v>33930.451103392275</v>
      </c>
      <c r="AS144" s="2">
        <f t="shared" si="43"/>
        <v>47419.835839082531</v>
      </c>
      <c r="AT144" s="2">
        <f t="shared" si="44"/>
        <v>65752.496585752422</v>
      </c>
      <c r="AU144" s="2">
        <f t="shared" si="45"/>
        <v>108093.47960459968</v>
      </c>
      <c r="AV144" s="2">
        <f t="shared" si="46"/>
        <v>174988.84450928029</v>
      </c>
      <c r="AX144" s="41">
        <f t="shared" si="47"/>
        <v>0</v>
      </c>
      <c r="AY144" s="41">
        <f t="shared" si="48"/>
        <v>0.22763623124975285</v>
      </c>
      <c r="AZ144" s="41">
        <f t="shared" si="49"/>
        <v>0.39558973838847461</v>
      </c>
      <c r="BA144" s="41">
        <f t="shared" si="50"/>
        <v>0.60403367269301711</v>
      </c>
      <c r="BB144" s="41">
        <f t="shared" si="51"/>
        <v>0.68152880994759701</v>
      </c>
      <c r="BD144" s="2" t="e">
        <f t="shared" si="52"/>
        <v>#DIV/0!</v>
      </c>
      <c r="BE144" s="2">
        <f t="shared" si="53"/>
        <v>2.6525403755833805</v>
      </c>
      <c r="BF144" s="2">
        <f t="shared" si="54"/>
        <v>2.6180213243482848</v>
      </c>
      <c r="BG144" s="2">
        <f t="shared" si="55"/>
        <v>2.2882009063793118</v>
      </c>
      <c r="BH144" s="2">
        <f t="shared" si="56"/>
        <v>2.1400014545600015</v>
      </c>
    </row>
    <row r="145" spans="11:60" x14ac:dyDescent="0.2">
      <c r="K145" s="2">
        <v>138</v>
      </c>
      <c r="L145" s="2">
        <f>标准城池设计!AB141*$B$10/C$14*$C$5*C$7</f>
        <v>356966862.11690927</v>
      </c>
      <c r="M145" s="2">
        <f>标准城池设计!AC141*$B$10/D$14*$C$5*D$7</f>
        <v>385392997.35656184</v>
      </c>
      <c r="N145" s="2">
        <f>标准城池设计!AD141*$B$10/E$14*$C$5*E$7</f>
        <v>417782605.37474203</v>
      </c>
      <c r="O145" s="2">
        <f>标准城池设计!AE141*$B$10/F$14*$C$5*F$7</f>
        <v>397982674.45622575</v>
      </c>
      <c r="P145" s="2">
        <f>标准城池设计!AF141*$B$10/G$14*$C$5*G$7</f>
        <v>450529653.30205595</v>
      </c>
      <c r="Q145" s="2">
        <f t="shared" si="40"/>
        <v>45052.965330205596</v>
      </c>
      <c r="U145" s="2">
        <v>138</v>
      </c>
      <c r="V145" s="2">
        <f>其他调用!R142*6*其他调用!BM142*$B$10/C$15*$C$5*C$8/3</f>
        <v>0</v>
      </c>
      <c r="W145" s="2">
        <f>其他调用!S142*6*其他调用!BN142*$B$10/D$15*$C$5*D$8/3</f>
        <v>1303532.8320217393</v>
      </c>
      <c r="X145" s="2">
        <f>其他调用!T142*6*其他调用!BO142*$B$10/E$15*$C$5*E$8/3</f>
        <v>3140552.0001795799</v>
      </c>
      <c r="Y145" s="2">
        <f>其他调用!U142*6*其他调用!BP142*$B$10/F$15*$C$5*F$8/3</f>
        <v>7885184.7910896959</v>
      </c>
      <c r="Z145" s="2">
        <f>其他调用!V142*6*其他调用!BQ142*$B$10/G$15*$C$5*G$8/3</f>
        <v>13194451.923939213</v>
      </c>
      <c r="AA145" s="2">
        <f t="shared" si="41"/>
        <v>1319.4451923939214</v>
      </c>
      <c r="AE145" s="2">
        <v>138</v>
      </c>
      <c r="AF145" s="2">
        <f>L145/IFERROR(INDEX($C$22:$C$35,MATCH(节奏总纲!D141,$B$22:$B$35,1)),MIN($C$22:$C$35))*IFERROR(INDEX($D$22:$D$35,MATCH(节奏总纲!D141,$B$22:$B$35,1)),MIN($D$22:$D$35))</f>
        <v>34323.736742010507</v>
      </c>
      <c r="AG145" s="2">
        <f>M145/IFERROR(INDEX($C$22:$C$35,MATCH(节奏总纲!E141,$B$22:$B$35,1)),MIN($C$22:$C$35))*IFERROR(INDEX($D$22:$D$35,MATCH(节奏总纲!E141,$B$22:$B$35,1)),MIN($D$22:$D$35))</f>
        <v>37057.018976592488</v>
      </c>
      <c r="AH145" s="2">
        <f>N145/IFERROR(INDEX($C$22:$C$35,MATCH(节奏总纲!F141,$B$22:$B$35,1)),MIN($C$22:$C$35))*IFERROR(INDEX($D$22:$D$35,MATCH(节奏总纲!F141,$B$22:$B$35,1)),MIN($D$22:$D$35))</f>
        <v>40171.404362955967</v>
      </c>
      <c r="AI145" s="2">
        <f>O145/IFERROR(INDEX($C$22:$C$35,MATCH(节奏总纲!G141,$B$22:$B$35,1)),MIN($C$22:$C$35))*IFERROR(INDEX($D$22:$D$35,MATCH(节奏总纲!G141,$B$22:$B$35,1)),MIN($D$22:$D$35))</f>
        <v>43258.98635393758</v>
      </c>
      <c r="AJ145" s="2">
        <f>P145/IFERROR(INDEX($C$22:$C$35,MATCH(节奏总纲!H141,$B$22:$B$35,1)),MIN($C$22:$C$35))*IFERROR(INDEX($D$22:$D$35,MATCH(节奏总纲!H141,$B$22:$B$35,1)),MIN($D$22:$D$35))</f>
        <v>56316.206662756995</v>
      </c>
      <c r="AK145" s="2">
        <f>V145/IFERROR(INDEX($E$22:$E$35,MATCH(节奏总纲!D141,$B$22:$B$35,1)),MIN($E$22:$E$35))*IFERROR(INDEX($F$22:$F$35,MATCH(节奏总纲!D141,$B$22:$B$35,1)),MIN($F$22:$F$35))</f>
        <v>0</v>
      </c>
      <c r="AL145" s="2">
        <f>W145/IFERROR(INDEX($E$22:$E$35,MATCH(节奏总纲!E141,$B$22:$B$35,1)),MIN($E$22:$E$35))*IFERROR(INDEX($F$22:$F$35,MATCH(节奏总纲!E141,$B$22:$B$35,1)),MIN($F$22:$F$35))</f>
        <v>10862.773600181161</v>
      </c>
      <c r="AM145" s="2">
        <f>X145/IFERROR(INDEX($E$22:$E$35,MATCH(节奏总纲!F141,$B$22:$B$35,1)),MIN($E$22:$E$35))*IFERROR(INDEX($F$22:$F$35,MATCH(节奏总纲!F141,$B$22:$B$35,1)),MIN($F$22:$F$35))</f>
        <v>26171.266668163167</v>
      </c>
      <c r="AN145" s="2">
        <f>Y145/IFERROR(INDEX($E$22:$E$35,MATCH(节奏总纲!G141,$B$22:$B$35,1)),MIN($E$22:$E$35))*IFERROR(INDEX($F$22:$F$35,MATCH(节奏总纲!G141,$B$22:$B$35,1)),MIN($F$22:$F$35))</f>
        <v>65709.873259080792</v>
      </c>
      <c r="AO145" s="2">
        <f>Z145/IFERROR(INDEX($E$22:$E$35,MATCH(节奏总纲!H141,$B$22:$B$35,1)),MIN($E$22:$E$35))*IFERROR(INDEX($F$22:$F$35,MATCH(节奏总纲!H141,$B$22:$B$35,1)),MIN($F$22:$F$35))</f>
        <v>119949.56294490193</v>
      </c>
      <c r="AQ145" s="2">
        <v>138</v>
      </c>
      <c r="AR145" s="2">
        <f t="shared" si="42"/>
        <v>34323.736742010507</v>
      </c>
      <c r="AS145" s="2">
        <f t="shared" si="43"/>
        <v>47919.792576773645</v>
      </c>
      <c r="AT145" s="2">
        <f t="shared" si="44"/>
        <v>66342.671031119127</v>
      </c>
      <c r="AU145" s="2">
        <f t="shared" si="45"/>
        <v>108968.85961301837</v>
      </c>
      <c r="AV145" s="2">
        <f t="shared" si="46"/>
        <v>176265.76960765893</v>
      </c>
      <c r="AX145" s="41">
        <f t="shared" si="47"/>
        <v>0</v>
      </c>
      <c r="AY145" s="41">
        <f t="shared" si="48"/>
        <v>0.2266865738781654</v>
      </c>
      <c r="AZ145" s="41">
        <f t="shared" si="49"/>
        <v>0.39448617701700767</v>
      </c>
      <c r="BA145" s="41">
        <f t="shared" si="50"/>
        <v>0.60301515031392061</v>
      </c>
      <c r="BB145" s="41">
        <f t="shared" si="51"/>
        <v>0.68050400943922129</v>
      </c>
      <c r="BD145" s="2" t="e">
        <f t="shared" si="52"/>
        <v>#DIV/0!</v>
      </c>
      <c r="BE145" s="2">
        <f t="shared" si="53"/>
        <v>2.6382306267912399</v>
      </c>
      <c r="BF145" s="2">
        <f t="shared" si="54"/>
        <v>2.6059598446398344</v>
      </c>
      <c r="BG145" s="2">
        <f t="shared" si="55"/>
        <v>2.2784817259050145</v>
      </c>
      <c r="BH145" s="2">
        <f t="shared" si="56"/>
        <v>2.1299297316526631</v>
      </c>
    </row>
    <row r="146" spans="11:60" x14ac:dyDescent="0.2">
      <c r="K146" s="2">
        <v>139</v>
      </c>
      <c r="L146" s="2">
        <f>标准城池设计!AB142*$B$10/C$14*$C$5*C$7</f>
        <v>361061511.01574922</v>
      </c>
      <c r="M146" s="2">
        <f>标准城池设计!AC142*$B$10/D$14*$C$5*D$7</f>
        <v>389889407.04386884</v>
      </c>
      <c r="N146" s="2">
        <f>标准城池设计!AD142*$B$10/E$14*$C$5*E$7</f>
        <v>422253780.6542263</v>
      </c>
      <c r="O146" s="2">
        <f>标准城池设计!AE142*$B$10/F$14*$C$5*F$7</f>
        <v>402192670.16368812</v>
      </c>
      <c r="P146" s="2">
        <f>标准城池设计!AF142*$B$10/G$14*$C$5*G$7</f>
        <v>455302605.39604902</v>
      </c>
      <c r="Q146" s="2">
        <f t="shared" si="40"/>
        <v>45530.260539604904</v>
      </c>
      <c r="U146" s="2">
        <v>139</v>
      </c>
      <c r="V146" s="2">
        <f>其他调用!R143*6*其他调用!BM143*$B$10/C$15*$C$5*C$8/3</f>
        <v>0</v>
      </c>
      <c r="W146" s="2">
        <f>其他调用!S143*6*其他调用!BN143*$B$10/D$15*$C$5*D$8/3</f>
        <v>1311565.3961566645</v>
      </c>
      <c r="X146" s="2">
        <f>其他调用!T143*6*其他调用!BO143*$B$10/E$15*$C$5*E$8/3</f>
        <v>3160461.1832399112</v>
      </c>
      <c r="Y146" s="2">
        <f>其他调用!U143*6*其他调用!BP143*$B$10/F$15*$C$5*F$8/3</f>
        <v>7930638.4551622197</v>
      </c>
      <c r="Z146" s="2">
        <f>其他调用!V143*6*其他调用!BQ143*$B$10/G$15*$C$5*G$8/3</f>
        <v>13274145.206740508</v>
      </c>
      <c r="AA146" s="2">
        <f t="shared" si="41"/>
        <v>1327.4145206740509</v>
      </c>
      <c r="AE146" s="2">
        <v>139</v>
      </c>
      <c r="AF146" s="2">
        <f>L146/IFERROR(INDEX($C$22:$C$35,MATCH(节奏总纲!D142,$B$22:$B$35,1)),MIN($C$22:$C$35))*IFERROR(INDEX($D$22:$D$35,MATCH(节奏总纲!D142,$B$22:$B$35,1)),MIN($D$22:$D$35))</f>
        <v>34717.452982283576</v>
      </c>
      <c r="AG146" s="2">
        <f>M146/IFERROR(INDEX($C$22:$C$35,MATCH(节奏总纲!E142,$B$22:$B$35,1)),MIN($C$22:$C$35))*IFERROR(INDEX($D$22:$D$35,MATCH(节奏总纲!E142,$B$22:$B$35,1)),MIN($D$22:$D$35))</f>
        <v>37489.366061910463</v>
      </c>
      <c r="AH146" s="2">
        <f>N146/IFERROR(INDEX($C$22:$C$35,MATCH(节奏总纲!F142,$B$22:$B$35,1)),MIN($C$22:$C$35))*IFERROR(INDEX($D$22:$D$35,MATCH(节奏总纲!F142,$B$22:$B$35,1)),MIN($D$22:$D$35))</f>
        <v>40601.325062906377</v>
      </c>
      <c r="AI146" s="2">
        <f>O146/IFERROR(INDEX($C$22:$C$35,MATCH(节奏总纲!G142,$B$22:$B$35,1)),MIN($C$22:$C$35))*IFERROR(INDEX($D$22:$D$35,MATCH(节奏总纲!G142,$B$22:$B$35,1)),MIN($D$22:$D$35))</f>
        <v>43716.594583009581</v>
      </c>
      <c r="AJ146" s="2">
        <f>P146/IFERROR(INDEX($C$22:$C$35,MATCH(节奏总纲!H142,$B$22:$B$35,1)),MIN($C$22:$C$35))*IFERROR(INDEX($D$22:$D$35,MATCH(节奏总纲!H142,$B$22:$B$35,1)),MIN($D$22:$D$35))</f>
        <v>56912.82567450613</v>
      </c>
      <c r="AK146" s="2">
        <f>V146/IFERROR(INDEX($E$22:$E$35,MATCH(节奏总纲!D142,$B$22:$B$35,1)),MIN($E$22:$E$35))*IFERROR(INDEX($F$22:$F$35,MATCH(节奏总纲!D142,$B$22:$B$35,1)),MIN($F$22:$F$35))</f>
        <v>0</v>
      </c>
      <c r="AL146" s="2">
        <f>W146/IFERROR(INDEX($E$22:$E$35,MATCH(节奏总纲!E142,$B$22:$B$35,1)),MIN($E$22:$E$35))*IFERROR(INDEX($F$22:$F$35,MATCH(节奏总纲!E142,$B$22:$B$35,1)),MIN($F$22:$F$35))</f>
        <v>10929.71163463887</v>
      </c>
      <c r="AM146" s="2">
        <f>X146/IFERROR(INDEX($E$22:$E$35,MATCH(节奏总纲!F142,$B$22:$B$35,1)),MIN($E$22:$E$35))*IFERROR(INDEX($F$22:$F$35,MATCH(节奏总纲!F142,$B$22:$B$35,1)),MIN($F$22:$F$35))</f>
        <v>26337.176526999261</v>
      </c>
      <c r="AN146" s="2">
        <f>Y146/IFERROR(INDEX($E$22:$E$35,MATCH(节奏总纲!G142,$B$22:$B$35,1)),MIN($E$22:$E$35))*IFERROR(INDEX($F$22:$F$35,MATCH(节奏总纲!G142,$B$22:$B$35,1)),MIN($F$22:$F$35))</f>
        <v>66088.6537930185</v>
      </c>
      <c r="AO146" s="2">
        <f>Z146/IFERROR(INDEX($E$22:$E$35,MATCH(节奏总纲!H142,$B$22:$B$35,1)),MIN($E$22:$E$35))*IFERROR(INDEX($F$22:$F$35,MATCH(节奏总纲!H142,$B$22:$B$35,1)),MIN($F$22:$F$35))</f>
        <v>120674.04733400462</v>
      </c>
      <c r="AQ146" s="2">
        <v>139</v>
      </c>
      <c r="AR146" s="2">
        <f t="shared" si="42"/>
        <v>34717.452982283576</v>
      </c>
      <c r="AS146" s="2">
        <f t="shared" si="43"/>
        <v>48419.077696549335</v>
      </c>
      <c r="AT146" s="2">
        <f t="shared" si="44"/>
        <v>66938.501589905645</v>
      </c>
      <c r="AU146" s="2">
        <f t="shared" si="45"/>
        <v>109805.24837602809</v>
      </c>
      <c r="AV146" s="2">
        <f t="shared" si="46"/>
        <v>177586.87300851074</v>
      </c>
      <c r="AX146" s="41">
        <f t="shared" si="47"/>
        <v>0</v>
      </c>
      <c r="AY146" s="41">
        <f t="shared" si="48"/>
        <v>0.2257315123418345</v>
      </c>
      <c r="AZ146" s="41">
        <f t="shared" si="49"/>
        <v>0.39345333255817783</v>
      </c>
      <c r="BA146" s="41">
        <f t="shared" si="50"/>
        <v>0.60187153865995457</v>
      </c>
      <c r="BB146" s="41">
        <f t="shared" si="51"/>
        <v>0.67952121285575762</v>
      </c>
      <c r="BD146" s="2" t="e">
        <f t="shared" si="52"/>
        <v>#DIV/0!</v>
      </c>
      <c r="BE146" s="2">
        <f t="shared" si="53"/>
        <v>2.6238748489186117</v>
      </c>
      <c r="BF146" s="2">
        <f t="shared" si="54"/>
        <v>2.5947110333166026</v>
      </c>
      <c r="BG146" s="2">
        <f t="shared" si="55"/>
        <v>2.267628154368083</v>
      </c>
      <c r="BH146" s="2">
        <f t="shared" si="56"/>
        <v>2.1203313296050257</v>
      </c>
    </row>
    <row r="147" spans="11:60" x14ac:dyDescent="0.2">
      <c r="K147" s="2">
        <v>140</v>
      </c>
      <c r="L147" s="2">
        <f>标准城池设计!AB143*$B$10/C$14*$C$5*C$7</f>
        <v>365160638.17179948</v>
      </c>
      <c r="M147" s="2">
        <f>标准城池设计!AC143*$B$10/D$14*$C$5*D$7</f>
        <v>394278984.29217273</v>
      </c>
      <c r="N147" s="2">
        <f>标准城池设计!AD143*$B$10/E$14*$C$5*E$7</f>
        <v>426724955.93371058</v>
      </c>
      <c r="O147" s="2">
        <f>标准城池设计!AE143*$B$10/F$14*$C$5*F$7</f>
        <v>406452516.35785902</v>
      </c>
      <c r="P147" s="2">
        <f>标准城池设计!AF143*$B$10/G$14*$C$5*G$7</f>
        <v>461501025.54889321</v>
      </c>
      <c r="Q147" s="2">
        <f t="shared" si="40"/>
        <v>46150.102554889323</v>
      </c>
      <c r="U147" s="2">
        <v>140</v>
      </c>
      <c r="V147" s="2">
        <f>其他调用!R144*6*其他调用!BM144*$B$10/C$15*$C$5*C$8/3</f>
        <v>0</v>
      </c>
      <c r="W147" s="2">
        <f>其他调用!S144*6*其他调用!BN144*$B$10/D$15*$C$5*D$8/3</f>
        <v>1319768.7976143013</v>
      </c>
      <c r="X147" s="2">
        <f>其他调用!T144*6*其他调用!BO144*$B$10/E$15*$C$5*E$8/3</f>
        <v>3178617.2120853239</v>
      </c>
      <c r="Y147" s="2">
        <f>其他调用!U144*6*其他调用!BP144*$B$10/F$15*$C$5*F$8/3</f>
        <v>7977962.2719316231</v>
      </c>
      <c r="Z147" s="2">
        <f>其他调用!V144*6*其他调用!BQ144*$B$10/G$15*$C$5*G$8/3</f>
        <v>13351846.109588863</v>
      </c>
      <c r="AA147" s="2">
        <f t="shared" si="41"/>
        <v>1335.1846109588864</v>
      </c>
      <c r="AE147" s="2">
        <v>140</v>
      </c>
      <c r="AF147" s="2">
        <f>L147/IFERROR(INDEX($C$22:$C$35,MATCH(节奏总纲!D143,$B$22:$B$35,1)),MIN($C$22:$C$35))*IFERROR(INDEX($D$22:$D$35,MATCH(节奏总纲!D143,$B$22:$B$35,1)),MIN($D$22:$D$35))</f>
        <v>35111.599824211487</v>
      </c>
      <c r="AG147" s="2">
        <f>M147/IFERROR(INDEX($C$22:$C$35,MATCH(节奏总纲!E143,$B$22:$B$35,1)),MIN($C$22:$C$35))*IFERROR(INDEX($D$22:$D$35,MATCH(节奏总纲!E143,$B$22:$B$35,1)),MIN($D$22:$D$35))</f>
        <v>37911.4407973243</v>
      </c>
      <c r="AH147" s="2">
        <f>N147/IFERROR(INDEX($C$22:$C$35,MATCH(节奏总纲!F143,$B$22:$B$35,1)),MIN($C$22:$C$35))*IFERROR(INDEX($D$22:$D$35,MATCH(节奏总纲!F143,$B$22:$B$35,1)),MIN($D$22:$D$35))</f>
        <v>41031.245762856786</v>
      </c>
      <c r="AI147" s="2">
        <f>O147/IFERROR(INDEX($C$22:$C$35,MATCH(节奏总纲!G143,$B$22:$B$35,1)),MIN($C$22:$C$35))*IFERROR(INDEX($D$22:$D$35,MATCH(节奏总纲!G143,$B$22:$B$35,1)),MIN($D$22:$D$35))</f>
        <v>44179.621343245548</v>
      </c>
      <c r="AJ147" s="2">
        <f>P147/IFERROR(INDEX($C$22:$C$35,MATCH(节奏总纲!H143,$B$22:$B$35,1)),MIN($C$22:$C$35))*IFERROR(INDEX($D$22:$D$35,MATCH(节奏总纲!H143,$B$22:$B$35,1)),MIN($D$22:$D$35))</f>
        <v>57687.62819361165</v>
      </c>
      <c r="AK147" s="2">
        <f>V147/IFERROR(INDEX($E$22:$E$35,MATCH(节奏总纲!D143,$B$22:$B$35,1)),MIN($E$22:$E$35))*IFERROR(INDEX($F$22:$F$35,MATCH(节奏总纲!D143,$B$22:$B$35,1)),MIN($F$22:$F$35))</f>
        <v>0</v>
      </c>
      <c r="AL147" s="2">
        <f>W147/IFERROR(INDEX($E$22:$E$35,MATCH(节奏总纲!E143,$B$22:$B$35,1)),MIN($E$22:$E$35))*IFERROR(INDEX($F$22:$F$35,MATCH(节奏总纲!E143,$B$22:$B$35,1)),MIN($F$22:$F$35))</f>
        <v>10998.073313452511</v>
      </c>
      <c r="AM147" s="2">
        <f>X147/IFERROR(INDEX($E$22:$E$35,MATCH(节奏总纲!F143,$B$22:$B$35,1)),MIN($E$22:$E$35))*IFERROR(INDEX($F$22:$F$35,MATCH(节奏总纲!F143,$B$22:$B$35,1)),MIN($F$22:$F$35))</f>
        <v>26488.476767377699</v>
      </c>
      <c r="AN147" s="2">
        <f>Y147/IFERROR(INDEX($E$22:$E$35,MATCH(节奏总纲!G143,$B$22:$B$35,1)),MIN($E$22:$E$35))*IFERROR(INDEX($F$22:$F$35,MATCH(节奏总纲!G143,$B$22:$B$35,1)),MIN($F$22:$F$35))</f>
        <v>66483.018932763531</v>
      </c>
      <c r="AO147" s="2">
        <f>Z147/IFERROR(INDEX($E$22:$E$35,MATCH(节奏总纲!H143,$B$22:$B$35,1)),MIN($E$22:$E$35))*IFERROR(INDEX($F$22:$F$35,MATCH(节奏总纲!H143,$B$22:$B$35,1)),MIN($F$22:$F$35))</f>
        <v>121380.41917808057</v>
      </c>
      <c r="AQ147" s="2">
        <v>140</v>
      </c>
      <c r="AR147" s="2">
        <f t="shared" si="42"/>
        <v>35111.599824211487</v>
      </c>
      <c r="AS147" s="2">
        <f t="shared" si="43"/>
        <v>48909.514110776814</v>
      </c>
      <c r="AT147" s="2">
        <f t="shared" si="44"/>
        <v>67519.722530234489</v>
      </c>
      <c r="AU147" s="2">
        <f t="shared" si="45"/>
        <v>110662.64027600907</v>
      </c>
      <c r="AV147" s="2">
        <f t="shared" si="46"/>
        <v>179068.04737169223</v>
      </c>
      <c r="AX147" s="41">
        <f t="shared" si="47"/>
        <v>0</v>
      </c>
      <c r="AY147" s="41">
        <f t="shared" si="48"/>
        <v>0.22486572425443857</v>
      </c>
      <c r="AZ147" s="41">
        <f t="shared" si="49"/>
        <v>0.39230725149257673</v>
      </c>
      <c r="BA147" s="41">
        <f t="shared" si="50"/>
        <v>0.60077202899682314</v>
      </c>
      <c r="BB147" s="41">
        <f t="shared" si="51"/>
        <v>0.67784521560192579</v>
      </c>
      <c r="BD147" s="2" t="e">
        <f t="shared" si="52"/>
        <v>#DIV/0!</v>
      </c>
      <c r="BE147" s="2">
        <f t="shared" si="53"/>
        <v>2.6108915340421084</v>
      </c>
      <c r="BF147" s="2">
        <f t="shared" si="54"/>
        <v>2.5822737062842185</v>
      </c>
      <c r="BG147" s="2">
        <f t="shared" si="55"/>
        <v>2.2572517682836994</v>
      </c>
      <c r="BH147" s="2">
        <f t="shared" si="56"/>
        <v>2.1040979318945596</v>
      </c>
    </row>
    <row r="148" spans="11:60" x14ac:dyDescent="0.2">
      <c r="K148" s="2">
        <v>141</v>
      </c>
      <c r="L148" s="2">
        <f>标准城池设计!AB144*$B$10/C$14*$C$5*C$7</f>
        <v>369264243.58506018</v>
      </c>
      <c r="M148" s="2">
        <f>标准城池设计!AC144*$B$10/D$14*$C$5*D$7</f>
        <v>398662230.76943594</v>
      </c>
      <c r="N148" s="2">
        <f>标准城池设计!AD144*$B$10/E$14*$C$5*E$7</f>
        <v>431315761.07674611</v>
      </c>
      <c r="O148" s="2">
        <f>标准城池设计!AE144*$B$10/F$14*$C$5*F$7</f>
        <v>411969120.58954167</v>
      </c>
      <c r="P148" s="2">
        <f>标准城池设计!AF144*$B$10/G$14*$C$5*G$7</f>
        <v>467699445.70173746</v>
      </c>
      <c r="Q148" s="2">
        <f t="shared" si="40"/>
        <v>46769.94457017375</v>
      </c>
      <c r="U148" s="2">
        <v>141</v>
      </c>
      <c r="V148" s="2">
        <f>其他调用!R145*6*其他调用!BM145*$B$10/C$15*$C$5*C$8/3</f>
        <v>0</v>
      </c>
      <c r="W148" s="2">
        <f>其他调用!S145*6*其他调用!BN145*$B$10/D$15*$C$5*D$8/3</f>
        <v>1327508.192278859</v>
      </c>
      <c r="X148" s="2">
        <f>其他调用!T145*6*其他调用!BO145*$B$10/E$15*$C$5*E$8/3</f>
        <v>3197790.0554324412</v>
      </c>
      <c r="Y148" s="2">
        <f>其他调用!U145*6*其他调用!BP145*$B$10/F$15*$C$5*F$8/3</f>
        <v>8025279.8201990724</v>
      </c>
      <c r="Z148" s="2">
        <f>其他调用!V145*6*其他调用!BQ145*$B$10/G$15*$C$5*G$8/3</f>
        <v>13433189.546414634</v>
      </c>
      <c r="AA148" s="2">
        <f t="shared" si="41"/>
        <v>1343.3189546414635</v>
      </c>
      <c r="AE148" s="2">
        <v>141</v>
      </c>
      <c r="AF148" s="2">
        <f>L148/IFERROR(INDEX($C$22:$C$35,MATCH(节奏总纲!D144,$B$22:$B$35,1)),MIN($C$22:$C$35))*IFERROR(INDEX($D$22:$D$35,MATCH(节奏总纲!D144,$B$22:$B$35,1)),MIN($D$22:$D$35))</f>
        <v>33569.476689550924</v>
      </c>
      <c r="AG148" s="2">
        <f>M148/IFERROR(INDEX($C$22:$C$35,MATCH(节奏总纲!E144,$B$22:$B$35,1)),MIN($C$22:$C$35))*IFERROR(INDEX($D$22:$D$35,MATCH(节奏总纲!E144,$B$22:$B$35,1)),MIN($D$22:$D$35))</f>
        <v>38332.906804753453</v>
      </c>
      <c r="AH148" s="2">
        <f>N148/IFERROR(INDEX($C$22:$C$35,MATCH(节奏总纲!F144,$B$22:$B$35,1)),MIN($C$22:$C$35))*IFERROR(INDEX($D$22:$D$35,MATCH(节奏总纲!F144,$B$22:$B$35,1)),MIN($D$22:$D$35))</f>
        <v>41472.669334302511</v>
      </c>
      <c r="AI148" s="2">
        <f>O148/IFERROR(INDEX($C$22:$C$35,MATCH(节奏总纲!G144,$B$22:$B$35,1)),MIN($C$22:$C$35))*IFERROR(INDEX($D$22:$D$35,MATCH(节奏总纲!G144,$B$22:$B$35,1)),MIN($D$22:$D$35))</f>
        <v>44779.252237993664</v>
      </c>
      <c r="AJ148" s="2">
        <f>P148/IFERROR(INDEX($C$22:$C$35,MATCH(节奏总纲!H144,$B$22:$B$35,1)),MIN($C$22:$C$35))*IFERROR(INDEX($D$22:$D$35,MATCH(节奏总纲!H144,$B$22:$B$35,1)),MIN($D$22:$D$35))</f>
        <v>50836.896271927988</v>
      </c>
      <c r="AK148" s="2">
        <f>V148/IFERROR(INDEX($E$22:$E$35,MATCH(节奏总纲!D144,$B$22:$B$35,1)),MIN($E$22:$E$35))*IFERROR(INDEX($F$22:$F$35,MATCH(节奏总纲!D144,$B$22:$B$35,1)),MIN($F$22:$F$35))</f>
        <v>0</v>
      </c>
      <c r="AL148" s="2">
        <f>W148/IFERROR(INDEX($E$22:$E$35,MATCH(节奏总纲!E144,$B$22:$B$35,1)),MIN($E$22:$E$35))*IFERROR(INDEX($F$22:$F$35,MATCH(节奏总纲!E144,$B$22:$B$35,1)),MIN($F$22:$F$35))</f>
        <v>11062.568268990492</v>
      </c>
      <c r="AM148" s="2">
        <f>X148/IFERROR(INDEX($E$22:$E$35,MATCH(节奏总纲!F144,$B$22:$B$35,1)),MIN($E$22:$E$35))*IFERROR(INDEX($F$22:$F$35,MATCH(节奏总纲!F144,$B$22:$B$35,1)),MIN($F$22:$F$35))</f>
        <v>26648.250461937008</v>
      </c>
      <c r="AN148" s="2">
        <f>Y148/IFERROR(INDEX($E$22:$E$35,MATCH(节奏总纲!G144,$B$22:$B$35,1)),MIN($E$22:$E$35))*IFERROR(INDEX($F$22:$F$35,MATCH(节奏总纲!G144,$B$22:$B$35,1)),MIN($F$22:$F$35))</f>
        <v>66877.331834992263</v>
      </c>
      <c r="AO148" s="2">
        <f>Z148/IFERROR(INDEX($E$22:$E$35,MATCH(节奏总纲!H144,$B$22:$B$35,1)),MIN($E$22:$E$35))*IFERROR(INDEX($F$22:$F$35,MATCH(节奏总纲!H144,$B$22:$B$35,1)),MIN($F$22:$F$35))</f>
        <v>111943.24622012195</v>
      </c>
      <c r="AQ148" s="2">
        <v>141</v>
      </c>
      <c r="AR148" s="2">
        <f t="shared" si="42"/>
        <v>33569.476689550924</v>
      </c>
      <c r="AS148" s="2">
        <f t="shared" si="43"/>
        <v>49395.475073743946</v>
      </c>
      <c r="AT148" s="2">
        <f t="shared" si="44"/>
        <v>68120.919796239526</v>
      </c>
      <c r="AU148" s="2">
        <f t="shared" si="45"/>
        <v>111656.58407298592</v>
      </c>
      <c r="AV148" s="2">
        <f t="shared" si="46"/>
        <v>162780.14249204993</v>
      </c>
      <c r="AX148" s="41">
        <f t="shared" si="47"/>
        <v>0</v>
      </c>
      <c r="AY148" s="41">
        <f t="shared" si="48"/>
        <v>0.22395914306877018</v>
      </c>
      <c r="AZ148" s="41">
        <f t="shared" si="49"/>
        <v>0.39119040878552658</v>
      </c>
      <c r="BA148" s="41">
        <f t="shared" si="50"/>
        <v>0.59895555994509864</v>
      </c>
      <c r="BB148" s="41">
        <f t="shared" si="51"/>
        <v>0.68769595914064996</v>
      </c>
      <c r="BD148" s="2" t="e">
        <f t="shared" si="52"/>
        <v>#DIV/0!</v>
      </c>
      <c r="BE148" s="2">
        <f t="shared" si="53"/>
        <v>2.5973275370958344</v>
      </c>
      <c r="BF148" s="2">
        <f t="shared" si="54"/>
        <v>2.5701987250573186</v>
      </c>
      <c r="BG148" s="2">
        <f t="shared" si="55"/>
        <v>2.240233874816107</v>
      </c>
      <c r="BH148" s="2">
        <f t="shared" si="56"/>
        <v>2.2020078806804877</v>
      </c>
    </row>
    <row r="149" spans="11:60" x14ac:dyDescent="0.2">
      <c r="K149" s="2">
        <v>142</v>
      </c>
      <c r="L149" s="2">
        <f>标准城池设计!AB145*$B$10/C$14*$C$5*C$7</f>
        <v>373372327.25553101</v>
      </c>
      <c r="M149" s="2">
        <f>标准城池设计!AC145*$B$10/D$14*$C$5*D$7</f>
        <v>403279981.09652555</v>
      </c>
      <c r="N149" s="2">
        <f>标准城池设计!AD145*$B$10/E$14*$C$5*E$7</f>
        <v>437132105.7548362</v>
      </c>
      <c r="O149" s="2">
        <f>标准城池设计!AE145*$B$10/F$14*$C$5*F$7</f>
        <v>417485724.82122409</v>
      </c>
      <c r="P149" s="2">
        <f>标准城池设计!AF145*$B$10/G$14*$C$5*G$7</f>
        <v>473897865.85458165</v>
      </c>
      <c r="Q149" s="2">
        <f t="shared" si="40"/>
        <v>47389.786585458169</v>
      </c>
      <c r="U149" s="2">
        <v>142</v>
      </c>
      <c r="V149" s="2">
        <f>其他调用!R146*6*其他调用!BM146*$B$10/C$15*$C$5*C$8/3</f>
        <v>0</v>
      </c>
      <c r="W149" s="2">
        <f>其他调用!S146*6*其他调用!BN146*$B$10/D$15*$C$5*D$8/3</f>
        <v>1335812.8451710946</v>
      </c>
      <c r="X149" s="2">
        <f>其他调用!T146*6*其他调用!BO146*$B$10/E$15*$C$5*E$8/3</f>
        <v>3217351.664385302</v>
      </c>
      <c r="Y149" s="2">
        <f>其他调用!U146*6*其他调用!BP146*$B$10/F$15*$C$5*F$8/3</f>
        <v>8075673.062992095</v>
      </c>
      <c r="Z149" s="2">
        <f>其他调用!V146*6*其他调用!BQ146*$B$10/G$15*$C$5*G$8/3</f>
        <v>13515344.449839361</v>
      </c>
      <c r="AA149" s="2">
        <f t="shared" si="41"/>
        <v>1351.5344449839361</v>
      </c>
      <c r="AE149" s="2">
        <v>142</v>
      </c>
      <c r="AF149" s="2">
        <f>L149/IFERROR(INDEX($C$22:$C$35,MATCH(节奏总纲!D145,$B$22:$B$35,1)),MIN($C$22:$C$35))*IFERROR(INDEX($D$22:$D$35,MATCH(节奏总纲!D145,$B$22:$B$35,1)),MIN($D$22:$D$35))</f>
        <v>33942.938841411909</v>
      </c>
      <c r="AG149" s="2">
        <f>M149/IFERROR(INDEX($C$22:$C$35,MATCH(节奏总纲!E145,$B$22:$B$35,1)),MIN($C$22:$C$35))*IFERROR(INDEX($D$22:$D$35,MATCH(节奏总纲!E145,$B$22:$B$35,1)),MIN($D$22:$D$35))</f>
        <v>38776.921259281306</v>
      </c>
      <c r="AH149" s="2">
        <f>N149/IFERROR(INDEX($C$22:$C$35,MATCH(节奏总纲!F145,$B$22:$B$35,1)),MIN($C$22:$C$35))*IFERROR(INDEX($D$22:$D$35,MATCH(节奏总纲!F145,$B$22:$B$35,1)),MIN($D$22:$D$35))</f>
        <v>42031.933245657325</v>
      </c>
      <c r="AI149" s="2">
        <f>O149/IFERROR(INDEX($C$22:$C$35,MATCH(节奏总纲!G145,$B$22:$B$35,1)),MIN($C$22:$C$35))*IFERROR(INDEX($D$22:$D$35,MATCH(节奏总纲!G145,$B$22:$B$35,1)),MIN($D$22:$D$35))</f>
        <v>40142.858155886934</v>
      </c>
      <c r="AJ149" s="2">
        <f>P149/IFERROR(INDEX($C$22:$C$35,MATCH(节奏总纲!H145,$B$22:$B$35,1)),MIN($C$22:$C$35))*IFERROR(INDEX($D$22:$D$35,MATCH(节奏总纲!H145,$B$22:$B$35,1)),MIN($D$22:$D$35))</f>
        <v>51510.63759288931</v>
      </c>
      <c r="AK149" s="2">
        <f>V149/IFERROR(INDEX($E$22:$E$35,MATCH(节奏总纲!D145,$B$22:$B$35,1)),MIN($E$22:$E$35))*IFERROR(INDEX($F$22:$F$35,MATCH(节奏总纲!D145,$B$22:$B$35,1)),MIN($F$22:$F$35))</f>
        <v>0</v>
      </c>
      <c r="AL149" s="2">
        <f>W149/IFERROR(INDEX($E$22:$E$35,MATCH(节奏总纲!E145,$B$22:$B$35,1)),MIN($E$22:$E$35))*IFERROR(INDEX($F$22:$F$35,MATCH(节奏总纲!E145,$B$22:$B$35,1)),MIN($F$22:$F$35))</f>
        <v>11131.773709759122</v>
      </c>
      <c r="AM149" s="2">
        <f>X149/IFERROR(INDEX($E$22:$E$35,MATCH(节奏总纲!F145,$B$22:$B$35,1)),MIN($E$22:$E$35))*IFERROR(INDEX($F$22:$F$35,MATCH(节奏总纲!F145,$B$22:$B$35,1)),MIN($F$22:$F$35))</f>
        <v>26811.263869877515</v>
      </c>
      <c r="AN149" s="2">
        <f>Y149/IFERROR(INDEX($E$22:$E$35,MATCH(节奏总纲!G145,$B$22:$B$35,1)),MIN($E$22:$E$35))*IFERROR(INDEX($F$22:$F$35,MATCH(节奏总纲!G145,$B$22:$B$35,1)),MIN($F$22:$F$35))</f>
        <v>67297.275524934128</v>
      </c>
      <c r="AO149" s="2">
        <f>Z149/IFERROR(INDEX($E$22:$E$35,MATCH(节奏总纲!H145,$B$22:$B$35,1)),MIN($E$22:$E$35))*IFERROR(INDEX($F$22:$F$35,MATCH(节奏总纲!H145,$B$22:$B$35,1)),MIN($F$22:$F$35))</f>
        <v>112627.87041532801</v>
      </c>
      <c r="AQ149" s="2">
        <v>142</v>
      </c>
      <c r="AR149" s="2">
        <f t="shared" si="42"/>
        <v>33942.938841411909</v>
      </c>
      <c r="AS149" s="2">
        <f t="shared" si="43"/>
        <v>49908.694969040429</v>
      </c>
      <c r="AT149" s="2">
        <f t="shared" si="44"/>
        <v>68843.197115534844</v>
      </c>
      <c r="AU149" s="2">
        <f t="shared" si="45"/>
        <v>107440.13368082106</v>
      </c>
      <c r="AV149" s="2">
        <f t="shared" si="46"/>
        <v>164138.50800821732</v>
      </c>
      <c r="AX149" s="41">
        <f t="shared" si="47"/>
        <v>0</v>
      </c>
      <c r="AY149" s="41">
        <f t="shared" si="48"/>
        <v>0.2230427727405902</v>
      </c>
      <c r="AZ149" s="41">
        <f t="shared" si="49"/>
        <v>0.38945407815505723</v>
      </c>
      <c r="BA149" s="41">
        <f t="shared" si="50"/>
        <v>0.62636999061131327</v>
      </c>
      <c r="BB149" s="41">
        <f t="shared" si="51"/>
        <v>0.68617579008144436</v>
      </c>
      <c r="BD149" s="2" t="e">
        <f t="shared" si="52"/>
        <v>#DIV/0!</v>
      </c>
      <c r="BE149" s="2">
        <f t="shared" si="53"/>
        <v>2.5836492463633243</v>
      </c>
      <c r="BF149" s="2">
        <f t="shared" si="54"/>
        <v>2.5515137467675362</v>
      </c>
      <c r="BG149" s="2">
        <f t="shared" si="55"/>
        <v>2.5146668155864109</v>
      </c>
      <c r="BH149" s="2">
        <f t="shared" si="56"/>
        <v>2.1864973077109711</v>
      </c>
    </row>
    <row r="150" spans="11:60" x14ac:dyDescent="0.2">
      <c r="K150" s="2">
        <v>143</v>
      </c>
      <c r="L150" s="2">
        <f>标准城池设计!AB146*$B$10/C$14*$C$5*C$7</f>
        <v>377852815.47393763</v>
      </c>
      <c r="M150" s="2">
        <f>标准城池设计!AC146*$B$10/D$14*$C$5*D$7</f>
        <v>408807596.83634138</v>
      </c>
      <c r="N150" s="2">
        <f>标准城池设计!AD146*$B$10/E$14*$C$5*E$7</f>
        <v>442948450.43292642</v>
      </c>
      <c r="O150" s="2">
        <f>标准城池设计!AE146*$B$10/F$14*$C$5*F$7</f>
        <v>423002329.05290657</v>
      </c>
      <c r="P150" s="2">
        <f>标准城池设计!AF146*$B$10/G$14*$C$5*G$7</f>
        <v>480096286.00742608</v>
      </c>
      <c r="Q150" s="2">
        <f t="shared" si="40"/>
        <v>48009.62860074261</v>
      </c>
      <c r="U150" s="2">
        <v>143</v>
      </c>
      <c r="V150" s="2">
        <f>其他调用!R147*6*其他调用!BM147*$B$10/C$15*$C$5*C$8/3</f>
        <v>0</v>
      </c>
      <c r="W150" s="2">
        <f>其他调用!S147*6*其他调用!BN147*$B$10/D$15*$C$5*D$8/3</f>
        <v>1343812.6398528565</v>
      </c>
      <c r="X150" s="2">
        <f>其他调用!T147*6*其他调用!BO147*$B$10/E$15*$C$5*E$8/3</f>
        <v>3237416.1602664343</v>
      </c>
      <c r="Y150" s="2">
        <f>其他调用!U147*6*其他调用!BP147*$B$10/F$15*$C$5*F$8/3</f>
        <v>8124745.5830440149</v>
      </c>
      <c r="Z150" s="2">
        <f>其他调用!V147*6*其他调用!BQ147*$B$10/G$15*$C$5*G$8/3</f>
        <v>13599752.401069114</v>
      </c>
      <c r="AA150" s="2">
        <f t="shared" si="41"/>
        <v>1359.9752401069113</v>
      </c>
      <c r="AE150" s="2">
        <v>143</v>
      </c>
      <c r="AF150" s="2">
        <f>L150/IFERROR(INDEX($C$22:$C$35,MATCH(节奏总纲!D146,$B$22:$B$35,1)),MIN($C$22:$C$35))*IFERROR(INDEX($D$22:$D$35,MATCH(节奏总纲!D146,$B$22:$B$35,1)),MIN($D$22:$D$35))</f>
        <v>34350.25595217615</v>
      </c>
      <c r="AG150" s="2">
        <f>M150/IFERROR(INDEX($C$22:$C$35,MATCH(节奏总纲!E146,$B$22:$B$35,1)),MIN($C$22:$C$35))*IFERROR(INDEX($D$22:$D$35,MATCH(节奏总纲!E146,$B$22:$B$35,1)),MIN($D$22:$D$35))</f>
        <v>39308.422772725135</v>
      </c>
      <c r="AH150" s="2">
        <f>N150/IFERROR(INDEX($C$22:$C$35,MATCH(节奏总纲!F146,$B$22:$B$35,1)),MIN($C$22:$C$35))*IFERROR(INDEX($D$22:$D$35,MATCH(节奏总纲!F146,$B$22:$B$35,1)),MIN($D$22:$D$35))</f>
        <v>42591.197157012153</v>
      </c>
      <c r="AI150" s="2">
        <f>O150/IFERROR(INDEX($C$22:$C$35,MATCH(节奏总纲!G146,$B$22:$B$35,1)),MIN($C$22:$C$35))*IFERROR(INDEX($D$22:$D$35,MATCH(节奏总纲!G146,$B$22:$B$35,1)),MIN($D$22:$D$35))</f>
        <v>40673.300870471787</v>
      </c>
      <c r="AJ150" s="2">
        <f>P150/IFERROR(INDEX($C$22:$C$35,MATCH(节奏总纲!H146,$B$22:$B$35,1)),MIN($C$22:$C$35))*IFERROR(INDEX($D$22:$D$35,MATCH(节奏总纲!H146,$B$22:$B$35,1)),MIN($D$22:$D$35))</f>
        <v>52184.378913850662</v>
      </c>
      <c r="AK150" s="2">
        <f>V150/IFERROR(INDEX($E$22:$E$35,MATCH(节奏总纲!D146,$B$22:$B$35,1)),MIN($E$22:$E$35))*IFERROR(INDEX($F$22:$F$35,MATCH(节奏总纲!D146,$B$22:$B$35,1)),MIN($F$22:$F$35))</f>
        <v>0</v>
      </c>
      <c r="AL150" s="2">
        <f>W150/IFERROR(INDEX($E$22:$E$35,MATCH(节奏总纲!E146,$B$22:$B$35,1)),MIN($E$22:$E$35))*IFERROR(INDEX($F$22:$F$35,MATCH(节奏总纲!E146,$B$22:$B$35,1)),MIN($F$22:$F$35))</f>
        <v>11198.438665440472</v>
      </c>
      <c r="AM150" s="2">
        <f>X150/IFERROR(INDEX($E$22:$E$35,MATCH(节奏总纲!F146,$B$22:$B$35,1)),MIN($E$22:$E$35))*IFERROR(INDEX($F$22:$F$35,MATCH(节奏总纲!F146,$B$22:$B$35,1)),MIN($F$22:$F$35))</f>
        <v>26978.468002220285</v>
      </c>
      <c r="AN150" s="2">
        <f>Y150/IFERROR(INDEX($E$22:$E$35,MATCH(节奏总纲!G146,$B$22:$B$35,1)),MIN($E$22:$E$35))*IFERROR(INDEX($F$22:$F$35,MATCH(节奏总纲!G146,$B$22:$B$35,1)),MIN($F$22:$F$35))</f>
        <v>67706.21319203345</v>
      </c>
      <c r="AO150" s="2">
        <f>Z150/IFERROR(INDEX($E$22:$E$35,MATCH(节奏总纲!H146,$B$22:$B$35,1)),MIN($E$22:$E$35))*IFERROR(INDEX($F$22:$F$35,MATCH(节奏总纲!H146,$B$22:$B$35,1)),MIN($F$22:$F$35))</f>
        <v>113331.27000890928</v>
      </c>
      <c r="AQ150" s="2">
        <v>143</v>
      </c>
      <c r="AR150" s="2">
        <f t="shared" si="42"/>
        <v>34350.25595217615</v>
      </c>
      <c r="AS150" s="2">
        <f t="shared" si="43"/>
        <v>50506.861438165608</v>
      </c>
      <c r="AT150" s="2">
        <f t="shared" si="44"/>
        <v>69569.665159232434</v>
      </c>
      <c r="AU150" s="2">
        <f t="shared" si="45"/>
        <v>108379.51406250524</v>
      </c>
      <c r="AV150" s="2">
        <f t="shared" si="46"/>
        <v>165515.64892275995</v>
      </c>
      <c r="AX150" s="41">
        <f t="shared" si="47"/>
        <v>0</v>
      </c>
      <c r="AY150" s="41">
        <f t="shared" si="48"/>
        <v>0.221721135437221</v>
      </c>
      <c r="AZ150" s="41">
        <f t="shared" si="49"/>
        <v>0.38779068348929707</v>
      </c>
      <c r="BA150" s="41">
        <f t="shared" si="50"/>
        <v>0.62471412404548654</v>
      </c>
      <c r="BB150" s="41">
        <f t="shared" si="51"/>
        <v>0.6847163440225329</v>
      </c>
      <c r="BD150" s="2" t="e">
        <f t="shared" si="52"/>
        <v>#DIV/0!</v>
      </c>
      <c r="BE150" s="2">
        <f t="shared" si="53"/>
        <v>2.5639784270076698</v>
      </c>
      <c r="BF150" s="2">
        <f t="shared" si="54"/>
        <v>2.5337130489912605</v>
      </c>
      <c r="BG150" s="2">
        <f t="shared" si="55"/>
        <v>2.4969529793383627</v>
      </c>
      <c r="BH150" s="2">
        <f t="shared" si="56"/>
        <v>2.1717470317315426</v>
      </c>
    </row>
    <row r="151" spans="11:60" x14ac:dyDescent="0.2">
      <c r="K151" s="2">
        <v>144</v>
      </c>
      <c r="L151" s="2">
        <f>标准城池设计!AB147*$B$10/C$14*$C$5*C$7</f>
        <v>382989843.16626382</v>
      </c>
      <c r="M151" s="2">
        <f>标准城池设计!AC147*$B$10/D$14*$C$5*D$7</f>
        <v>414201823.78001648</v>
      </c>
      <c r="N151" s="2">
        <f>标准城池设计!AD147*$B$10/E$14*$C$5*E$7</f>
        <v>448764795.11101669</v>
      </c>
      <c r="O151" s="2">
        <f>标准城池设计!AE147*$B$10/F$14*$C$5*F$7</f>
        <v>428518933.28458893</v>
      </c>
      <c r="P151" s="2">
        <f>标准城池设计!AF147*$B$10/G$14*$C$5*G$7</f>
        <v>486294706.16027033</v>
      </c>
      <c r="Q151" s="2">
        <f t="shared" si="40"/>
        <v>48629.470616027036</v>
      </c>
      <c r="U151" s="2">
        <v>144</v>
      </c>
      <c r="V151" s="2">
        <f>其他调用!R148*6*其他调用!BM148*$B$10/C$15*$C$5*C$8/3</f>
        <v>0</v>
      </c>
      <c r="W151" s="2">
        <f>其他调用!S148*6*其他调用!BN148*$B$10/D$15*$C$5*D$8/3</f>
        <v>1352117.127179442</v>
      </c>
      <c r="X151" s="2">
        <f>其他调用!T148*6*其他调用!BO148*$B$10/E$15*$C$5*E$8/3</f>
        <v>3256741.7952941009</v>
      </c>
      <c r="Y151" s="2">
        <f>其他调用!U148*6*其他调用!BP148*$B$10/F$15*$C$5*F$8/3</f>
        <v>8174722.8734306777</v>
      </c>
      <c r="Z151" s="2">
        <f>其他调用!V148*6*其他调用!BQ148*$B$10/G$15*$C$5*G$8/3</f>
        <v>13678591.295386037</v>
      </c>
      <c r="AA151" s="2">
        <f t="shared" si="41"/>
        <v>1367.8591295386036</v>
      </c>
      <c r="AE151" s="2">
        <v>144</v>
      </c>
      <c r="AF151" s="2">
        <f>L151/IFERROR(INDEX($C$22:$C$35,MATCH(节奏总纲!D147,$B$22:$B$35,1)),MIN($C$22:$C$35))*IFERROR(INDEX($D$22:$D$35,MATCH(节奏总纲!D147,$B$22:$B$35,1)),MIN($D$22:$D$35))</f>
        <v>34817.258469660344</v>
      </c>
      <c r="AG151" s="2">
        <f>M151/IFERROR(INDEX($C$22:$C$35,MATCH(节奏总纲!E147,$B$22:$B$35,1)),MIN($C$22:$C$35))*IFERROR(INDEX($D$22:$D$35,MATCH(节奏总纲!E147,$B$22:$B$35,1)),MIN($D$22:$D$35))</f>
        <v>37654.711252728768</v>
      </c>
      <c r="AH151" s="2">
        <f>N151/IFERROR(INDEX($C$22:$C$35,MATCH(节奏总纲!F147,$B$22:$B$35,1)),MIN($C$22:$C$35))*IFERROR(INDEX($D$22:$D$35,MATCH(节奏总纲!F147,$B$22:$B$35,1)),MIN($D$22:$D$35))</f>
        <v>43150.461068366989</v>
      </c>
      <c r="AI151" s="2">
        <f>O151/IFERROR(INDEX($C$22:$C$35,MATCH(节奏总纲!G147,$B$22:$B$35,1)),MIN($C$22:$C$35))*IFERROR(INDEX($D$22:$D$35,MATCH(节奏总纲!G147,$B$22:$B$35,1)),MIN($D$22:$D$35))</f>
        <v>41203.743585056625</v>
      </c>
      <c r="AJ151" s="2">
        <f>P151/IFERROR(INDEX($C$22:$C$35,MATCH(节奏总纲!H147,$B$22:$B$35,1)),MIN($C$22:$C$35))*IFERROR(INDEX($D$22:$D$35,MATCH(节奏总纲!H147,$B$22:$B$35,1)),MIN($D$22:$D$35))</f>
        <v>52858.120234811991</v>
      </c>
      <c r="AK151" s="2">
        <f>V151/IFERROR(INDEX($E$22:$E$35,MATCH(节奏总纲!D147,$B$22:$B$35,1)),MIN($E$22:$E$35))*IFERROR(INDEX($F$22:$F$35,MATCH(节奏总纲!D147,$B$22:$B$35,1)),MIN($F$22:$F$35))</f>
        <v>0</v>
      </c>
      <c r="AL151" s="2">
        <f>W151/IFERROR(INDEX($E$22:$E$35,MATCH(节奏总纲!E147,$B$22:$B$35,1)),MIN($E$22:$E$35))*IFERROR(INDEX($F$22:$F$35,MATCH(节奏总纲!E147,$B$22:$B$35,1)),MIN($F$22:$F$35))</f>
        <v>11267.642726495349</v>
      </c>
      <c r="AM151" s="2">
        <f>X151/IFERROR(INDEX($E$22:$E$35,MATCH(节奏总纲!F147,$B$22:$B$35,1)),MIN($E$22:$E$35))*IFERROR(INDEX($F$22:$F$35,MATCH(节奏总纲!F147,$B$22:$B$35,1)),MIN($F$22:$F$35))</f>
        <v>27139.514960784174</v>
      </c>
      <c r="AN151" s="2">
        <f>Y151/IFERROR(INDEX($E$22:$E$35,MATCH(节奏总纲!G147,$B$22:$B$35,1)),MIN($E$22:$E$35))*IFERROR(INDEX($F$22:$F$35,MATCH(节奏总纲!G147,$B$22:$B$35,1)),MIN($F$22:$F$35))</f>
        <v>68122.690611922313</v>
      </c>
      <c r="AO151" s="2">
        <f>Z151/IFERROR(INDEX($E$22:$E$35,MATCH(节奏总纲!H147,$B$22:$B$35,1)),MIN($E$22:$E$35))*IFERROR(INDEX($F$22:$F$35,MATCH(节奏总纲!H147,$B$22:$B$35,1)),MIN($F$22:$F$35))</f>
        <v>113988.26079488364</v>
      </c>
      <c r="AQ151" s="2">
        <v>144</v>
      </c>
      <c r="AR151" s="2">
        <f t="shared" si="42"/>
        <v>34817.258469660344</v>
      </c>
      <c r="AS151" s="2">
        <f t="shared" si="43"/>
        <v>48922.353979224121</v>
      </c>
      <c r="AT151" s="2">
        <f t="shared" si="44"/>
        <v>70289.976029151163</v>
      </c>
      <c r="AU151" s="2">
        <f t="shared" si="45"/>
        <v>109326.43419697894</v>
      </c>
      <c r="AV151" s="2">
        <f t="shared" si="46"/>
        <v>166846.38102969562</v>
      </c>
      <c r="AX151" s="41">
        <f t="shared" si="47"/>
        <v>0</v>
      </c>
      <c r="AY151" s="41">
        <f t="shared" si="48"/>
        <v>0.23031685538435834</v>
      </c>
      <c r="AZ151" s="41">
        <f t="shared" si="49"/>
        <v>0.38610789893467429</v>
      </c>
      <c r="BA151" s="41">
        <f t="shared" si="50"/>
        <v>0.62311270931220741</v>
      </c>
      <c r="BB151" s="41">
        <f t="shared" si="51"/>
        <v>0.683192887321876</v>
      </c>
      <c r="BD151" s="2" t="e">
        <f t="shared" si="52"/>
        <v>#DIV/0!</v>
      </c>
      <c r="BE151" s="2">
        <f t="shared" si="53"/>
        <v>2.6931234144335461</v>
      </c>
      <c r="BF151" s="2">
        <f t="shared" si="54"/>
        <v>2.5158030101031561</v>
      </c>
      <c r="BG151" s="2">
        <f t="shared" si="55"/>
        <v>2.47996970728996</v>
      </c>
      <c r="BH151" s="2">
        <f t="shared" si="56"/>
        <v>2.1564947880952405</v>
      </c>
    </row>
    <row r="152" spans="11:60" x14ac:dyDescent="0.2">
      <c r="K152" s="2">
        <v>145</v>
      </c>
      <c r="L152" s="2">
        <f>标准城池设计!AB148*$B$10/C$14*$C$5*C$7</f>
        <v>388132520.03543901</v>
      </c>
      <c r="M152" s="2">
        <f>标准城池设计!AC148*$B$10/D$14*$C$5*D$7</f>
        <v>419596050.72369158</v>
      </c>
      <c r="N152" s="2">
        <f>标准城池设计!AD148*$B$10/E$14*$C$5*E$7</f>
        <v>454581139.78910679</v>
      </c>
      <c r="O152" s="2">
        <f>标准城池设计!AE148*$B$10/F$14*$C$5*F$7</f>
        <v>434035537.51627147</v>
      </c>
      <c r="P152" s="2">
        <f>标准城池设计!AF148*$B$10/G$14*$C$5*G$7</f>
        <v>492493126.31311464</v>
      </c>
      <c r="Q152" s="2">
        <f t="shared" si="40"/>
        <v>49249.312631311463</v>
      </c>
      <c r="U152" s="2">
        <v>145</v>
      </c>
      <c r="V152" s="2">
        <f>其他调用!R149*6*其他调用!BM149*$B$10/C$15*$C$5*C$8/3</f>
        <v>0</v>
      </c>
      <c r="W152" s="2">
        <f>其他调用!S149*6*其他调用!BN149*$B$10/D$15*$C$5*D$8/3</f>
        <v>1360143.0795867459</v>
      </c>
      <c r="X152" s="2">
        <f>其他调用!T149*6*其他调用!BO149*$B$10/E$15*$C$5*E$8/3</f>
        <v>3276711.6679794211</v>
      </c>
      <c r="Y152" s="2">
        <f>其他调用!U149*6*其他调用!BP149*$B$10/F$15*$C$5*F$8/3</f>
        <v>8222024.6729739904</v>
      </c>
      <c r="Z152" s="2">
        <f>其他调用!V149*6*其他调用!BQ149*$B$10/G$15*$C$5*G$8/3</f>
        <v>13757316.11926437</v>
      </c>
      <c r="AA152" s="2">
        <f t="shared" si="41"/>
        <v>1375.7316119264369</v>
      </c>
      <c r="AE152" s="2">
        <v>145</v>
      </c>
      <c r="AF152" s="2">
        <f>L152/IFERROR(INDEX($C$22:$C$35,MATCH(节奏总纲!D148,$B$22:$B$35,1)),MIN($C$22:$C$35))*IFERROR(INDEX($D$22:$D$35,MATCH(节奏总纲!D148,$B$22:$B$35,1)),MIN($D$22:$D$35))</f>
        <v>35284.774548676272</v>
      </c>
      <c r="AG152" s="2">
        <f>M152/IFERROR(INDEX($C$22:$C$35,MATCH(节奏总纲!E148,$B$22:$B$35,1)),MIN($C$22:$C$35))*IFERROR(INDEX($D$22:$D$35,MATCH(节奏总纲!E148,$B$22:$B$35,1)),MIN($D$22:$D$35))</f>
        <v>38145.095520335599</v>
      </c>
      <c r="AH152" s="2">
        <f>N152/IFERROR(INDEX($C$22:$C$35,MATCH(节奏总纲!F148,$B$22:$B$35,1)),MIN($C$22:$C$35))*IFERROR(INDEX($D$22:$D$35,MATCH(节奏总纲!F148,$B$22:$B$35,1)),MIN($D$22:$D$35))</f>
        <v>43709.724979721803</v>
      </c>
      <c r="AI152" s="2">
        <f>O152/IFERROR(INDEX($C$22:$C$35,MATCH(节奏总纲!G148,$B$22:$B$35,1)),MIN($C$22:$C$35))*IFERROR(INDEX($D$22:$D$35,MATCH(节奏总纲!G148,$B$22:$B$35,1)),MIN($D$22:$D$35))</f>
        <v>41734.186299641486</v>
      </c>
      <c r="AJ152" s="2">
        <f>P152/IFERROR(INDEX($C$22:$C$35,MATCH(节奏总纲!H148,$B$22:$B$35,1)),MIN($C$22:$C$35))*IFERROR(INDEX($D$22:$D$35,MATCH(节奏总纲!H148,$B$22:$B$35,1)),MIN($D$22:$D$35))</f>
        <v>53531.861555773328</v>
      </c>
      <c r="AK152" s="2">
        <f>V152/IFERROR(INDEX($E$22:$E$35,MATCH(节奏总纲!D148,$B$22:$B$35,1)),MIN($E$22:$E$35))*IFERROR(INDEX($F$22:$F$35,MATCH(节奏总纲!D148,$B$22:$B$35,1)),MIN($F$22:$F$35))</f>
        <v>0</v>
      </c>
      <c r="AL152" s="2">
        <f>W152/IFERROR(INDEX($E$22:$E$35,MATCH(节奏总纲!E148,$B$22:$B$35,1)),MIN($E$22:$E$35))*IFERROR(INDEX($F$22:$F$35,MATCH(节奏总纲!E148,$B$22:$B$35,1)),MIN($F$22:$F$35))</f>
        <v>11334.525663222883</v>
      </c>
      <c r="AM152" s="2">
        <f>X152/IFERROR(INDEX($E$22:$E$35,MATCH(节奏总纲!F148,$B$22:$B$35,1)),MIN($E$22:$E$35))*IFERROR(INDEX($F$22:$F$35,MATCH(节奏总纲!F148,$B$22:$B$35,1)),MIN($F$22:$F$35))</f>
        <v>27305.930566495175</v>
      </c>
      <c r="AN152" s="2">
        <f>Y152/IFERROR(INDEX($E$22:$E$35,MATCH(节奏总纲!G148,$B$22:$B$35,1)),MIN($E$22:$E$35))*IFERROR(INDEX($F$22:$F$35,MATCH(节奏总纲!G148,$B$22:$B$35,1)),MIN($F$22:$F$35))</f>
        <v>68516.872274783251</v>
      </c>
      <c r="AO152" s="2">
        <f>Z152/IFERROR(INDEX($E$22:$E$35,MATCH(节奏总纲!H148,$B$22:$B$35,1)),MIN($E$22:$E$35))*IFERROR(INDEX($F$22:$F$35,MATCH(节奏总纲!H148,$B$22:$B$35,1)),MIN($F$22:$F$35))</f>
        <v>114644.30099386975</v>
      </c>
      <c r="AQ152" s="2">
        <v>145</v>
      </c>
      <c r="AR152" s="2">
        <f t="shared" si="42"/>
        <v>35284.774548676272</v>
      </c>
      <c r="AS152" s="2">
        <f t="shared" si="43"/>
        <v>49479.621183558484</v>
      </c>
      <c r="AT152" s="2">
        <f t="shared" si="44"/>
        <v>71015.655546216978</v>
      </c>
      <c r="AU152" s="2">
        <f t="shared" si="45"/>
        <v>110251.05857442474</v>
      </c>
      <c r="AV152" s="2">
        <f t="shared" si="46"/>
        <v>168176.16254964308</v>
      </c>
      <c r="AX152" s="41">
        <f t="shared" si="47"/>
        <v>0</v>
      </c>
      <c r="AY152" s="41">
        <f t="shared" si="48"/>
        <v>0.22907462490818781</v>
      </c>
      <c r="AZ152" s="41">
        <f t="shared" si="49"/>
        <v>0.38450578758263354</v>
      </c>
      <c r="BA152" s="41">
        <f t="shared" si="50"/>
        <v>0.62146226222881196</v>
      </c>
      <c r="BB152" s="41">
        <f t="shared" si="51"/>
        <v>0.6816917407068821</v>
      </c>
      <c r="BD152" s="2" t="e">
        <f t="shared" si="52"/>
        <v>#DIV/0!</v>
      </c>
      <c r="BE152" s="2">
        <f t="shared" si="53"/>
        <v>2.6742817019457412</v>
      </c>
      <c r="BF152" s="2">
        <f t="shared" si="54"/>
        <v>2.4988425874711577</v>
      </c>
      <c r="BG152" s="2">
        <f t="shared" si="55"/>
        <v>2.4626168023086086</v>
      </c>
      <c r="BH152" s="2">
        <f t="shared" si="56"/>
        <v>2.1416087104392045</v>
      </c>
    </row>
    <row r="153" spans="11:60" x14ac:dyDescent="0.2">
      <c r="K153" s="2">
        <v>146</v>
      </c>
      <c r="L153" s="2">
        <f>标准城池设计!AB149*$B$10/C$14*$C$5*C$7</f>
        <v>393280846.08146316</v>
      </c>
      <c r="M153" s="2">
        <f>标准城池设计!AC149*$B$10/D$14*$C$5*D$7</f>
        <v>424990277.66736668</v>
      </c>
      <c r="N153" s="2">
        <f>标准城池设计!AD149*$B$10/E$14*$C$5*E$7</f>
        <v>460397484.46719694</v>
      </c>
      <c r="O153" s="2">
        <f>标准城池设计!AE149*$B$10/F$14*$C$5*F$7</f>
        <v>439552141.74795395</v>
      </c>
      <c r="P153" s="2">
        <f>标准城池设计!AF149*$B$10/G$14*$C$5*G$7</f>
        <v>498691546.46595889</v>
      </c>
      <c r="Q153" s="2">
        <f t="shared" si="40"/>
        <v>49869.154646595889</v>
      </c>
      <c r="U153" s="2">
        <v>146</v>
      </c>
      <c r="V153" s="2">
        <f>其他调用!R150*6*其他调用!BM150*$B$10/C$15*$C$5*C$8/3</f>
        <v>0</v>
      </c>
      <c r="W153" s="2">
        <f>其他调用!S150*6*其他调用!BN150*$B$10/D$15*$C$5*D$8/3</f>
        <v>1368395.2140638249</v>
      </c>
      <c r="X153" s="2">
        <f>其他调用!T150*6*其他调用!BO150*$B$10/E$15*$C$5*E$8/3</f>
        <v>3295285.2146294988</v>
      </c>
      <c r="Y153" s="2">
        <f>其他调用!U150*6*其他调用!BP150*$B$10/F$15*$C$5*F$8/3</f>
        <v>8268533.7545179082</v>
      </c>
      <c r="Z153" s="2">
        <f>其他调用!V150*6*其他调用!BQ150*$B$10/G$15*$C$5*G$8/3</f>
        <v>13835091.049891258</v>
      </c>
      <c r="AA153" s="2">
        <f t="shared" si="41"/>
        <v>1383.5091049891257</v>
      </c>
      <c r="AE153" s="2">
        <v>146</v>
      </c>
      <c r="AF153" s="2">
        <f>L153/IFERROR(INDEX($C$22:$C$35,MATCH(节奏总纲!D149,$B$22:$B$35,1)),MIN($C$22:$C$35))*IFERROR(INDEX($D$22:$D$35,MATCH(节奏总纲!D149,$B$22:$B$35,1)),MIN($D$22:$D$35))</f>
        <v>35752.804189223927</v>
      </c>
      <c r="AG153" s="2">
        <f>M153/IFERROR(INDEX($C$22:$C$35,MATCH(节奏总纲!E149,$B$22:$B$35,1)),MIN($C$22:$C$35))*IFERROR(INDEX($D$22:$D$35,MATCH(节奏总纲!E149,$B$22:$B$35,1)),MIN($D$22:$D$35))</f>
        <v>38635.479787942422</v>
      </c>
      <c r="AH153" s="2">
        <f>N153/IFERROR(INDEX($C$22:$C$35,MATCH(节奏总纲!F149,$B$22:$B$35,1)),MIN($C$22:$C$35))*IFERROR(INDEX($D$22:$D$35,MATCH(节奏总纲!F149,$B$22:$B$35,1)),MIN($D$22:$D$35))</f>
        <v>44268.988891076631</v>
      </c>
      <c r="AI153" s="2">
        <f>O153/IFERROR(INDEX($C$22:$C$35,MATCH(节奏总纲!G149,$B$22:$B$35,1)),MIN($C$22:$C$35))*IFERROR(INDEX($D$22:$D$35,MATCH(节奏总纲!G149,$B$22:$B$35,1)),MIN($D$22:$D$35))</f>
        <v>42264.629014226339</v>
      </c>
      <c r="AJ153" s="2">
        <f>P153/IFERROR(INDEX($C$22:$C$35,MATCH(节奏总纲!H149,$B$22:$B$35,1)),MIN($C$22:$C$35))*IFERROR(INDEX($D$22:$D$35,MATCH(节奏总纲!H149,$B$22:$B$35,1)),MIN($D$22:$D$35))</f>
        <v>54205.602876734665</v>
      </c>
      <c r="AK153" s="2">
        <f>V153/IFERROR(INDEX($E$22:$E$35,MATCH(节奏总纲!D149,$B$22:$B$35,1)),MIN($E$22:$E$35))*IFERROR(INDEX($F$22:$F$35,MATCH(节奏总纲!D149,$B$22:$B$35,1)),MIN($F$22:$F$35))</f>
        <v>0</v>
      </c>
      <c r="AL153" s="2">
        <f>W153/IFERROR(INDEX($E$22:$E$35,MATCH(节奏总纲!E149,$B$22:$B$35,1)),MIN($E$22:$E$35))*IFERROR(INDEX($F$22:$F$35,MATCH(节奏总纲!E149,$B$22:$B$35,1)),MIN($F$22:$F$35))</f>
        <v>11403.293450531874</v>
      </c>
      <c r="AM153" s="2">
        <f>X153/IFERROR(INDEX($E$22:$E$35,MATCH(节奏总纲!F149,$B$22:$B$35,1)),MIN($E$22:$E$35))*IFERROR(INDEX($F$22:$F$35,MATCH(节奏总纲!F149,$B$22:$B$35,1)),MIN($F$22:$F$35))</f>
        <v>27460.710121912489</v>
      </c>
      <c r="AN153" s="2">
        <f>Y153/IFERROR(INDEX($E$22:$E$35,MATCH(节奏总纲!G149,$B$22:$B$35,1)),MIN($E$22:$E$35))*IFERROR(INDEX($F$22:$F$35,MATCH(节奏总纲!G149,$B$22:$B$35,1)),MIN($F$22:$F$35))</f>
        <v>68904.447954315896</v>
      </c>
      <c r="AO153" s="2">
        <f>Z153/IFERROR(INDEX($E$22:$E$35,MATCH(节奏总纲!H149,$B$22:$B$35,1)),MIN($E$22:$E$35))*IFERROR(INDEX($F$22:$F$35,MATCH(节奏总纲!H149,$B$22:$B$35,1)),MIN($F$22:$F$35))</f>
        <v>115292.42541576047</v>
      </c>
      <c r="AQ153" s="2">
        <v>146</v>
      </c>
      <c r="AR153" s="2">
        <f t="shared" si="42"/>
        <v>35752.804189223927</v>
      </c>
      <c r="AS153" s="2">
        <f t="shared" si="43"/>
        <v>50038.773238474299</v>
      </c>
      <c r="AT153" s="2">
        <f t="shared" si="44"/>
        <v>71729.69901298912</v>
      </c>
      <c r="AU153" s="2">
        <f t="shared" si="45"/>
        <v>111169.07696854224</v>
      </c>
      <c r="AV153" s="2">
        <f t="shared" si="46"/>
        <v>169498.02829249515</v>
      </c>
      <c r="AX153" s="41">
        <f t="shared" si="47"/>
        <v>0</v>
      </c>
      <c r="AY153" s="41">
        <f t="shared" si="48"/>
        <v>0.22788914900423654</v>
      </c>
      <c r="AZ153" s="41">
        <f t="shared" si="49"/>
        <v>0.38283598704268629</v>
      </c>
      <c r="BA153" s="41">
        <f t="shared" si="50"/>
        <v>0.61981667774226401</v>
      </c>
      <c r="BB153" s="41">
        <f t="shared" si="51"/>
        <v>0.68019921280031359</v>
      </c>
      <c r="BD153" s="2" t="e">
        <f t="shared" si="52"/>
        <v>#DIV/0!</v>
      </c>
      <c r="BE153" s="2">
        <f t="shared" si="53"/>
        <v>2.6563573590411607</v>
      </c>
      <c r="BF153" s="2">
        <f t="shared" si="54"/>
        <v>2.4812593022604856</v>
      </c>
      <c r="BG153" s="2">
        <f t="shared" si="55"/>
        <v>2.4454650222218639</v>
      </c>
      <c r="BH153" s="2">
        <f t="shared" si="56"/>
        <v>2.1269466493701632</v>
      </c>
    </row>
    <row r="154" spans="11:60" x14ac:dyDescent="0.2">
      <c r="K154" s="2">
        <v>147</v>
      </c>
      <c r="L154" s="2">
        <f>标准城池设计!AB150*$B$10/C$14*$C$5*C$7</f>
        <v>398434821.30433643</v>
      </c>
      <c r="M154" s="2">
        <f>标准城池设计!AC150*$B$10/D$14*$C$5*D$7</f>
        <v>430384504.61104178</v>
      </c>
      <c r="N154" s="2">
        <f>标准城池设计!AD150*$B$10/E$14*$C$5*E$7</f>
        <v>466207871.59671998</v>
      </c>
      <c r="O154" s="2">
        <f>标准城池设计!AE150*$B$10/F$14*$C$5*F$7</f>
        <v>445062677.61243254</v>
      </c>
      <c r="P154" s="2">
        <f>标准城池设计!AF150*$B$10/G$14*$C$5*G$7</f>
        <v>504889966.6188032</v>
      </c>
      <c r="Q154" s="2">
        <f t="shared" si="40"/>
        <v>50488.996661880323</v>
      </c>
      <c r="U154" s="2">
        <v>147</v>
      </c>
      <c r="V154" s="2">
        <f>其他调用!R151*6*其他调用!BM151*$B$10/C$15*$C$5*C$8/3</f>
        <v>0</v>
      </c>
      <c r="W154" s="2">
        <f>其他调用!S151*6*其他调用!BN151*$B$10/D$15*$C$5*D$8/3</f>
        <v>1376076.9522825789</v>
      </c>
      <c r="X154" s="2">
        <f>其他调用!T151*6*其他调用!BO151*$B$10/E$15*$C$5*E$8/3</f>
        <v>3313853.221940761</v>
      </c>
      <c r="Y154" s="2">
        <f>其他调用!U151*6*其他调用!BP151*$B$10/F$15*$C$5*F$8/3</f>
        <v>8314554.9714897098</v>
      </c>
      <c r="Z154" s="2">
        <f>其他调用!V151*6*其他调用!BQ151*$B$10/G$15*$C$5*G$8/3</f>
        <v>13912696.415158272</v>
      </c>
      <c r="AA154" s="2">
        <f t="shared" si="41"/>
        <v>1391.2696415158273</v>
      </c>
      <c r="AE154" s="2">
        <v>147</v>
      </c>
      <c r="AF154" s="2">
        <f>L154/IFERROR(INDEX($C$22:$C$35,MATCH(节奏总纲!D150,$B$22:$B$35,1)),MIN($C$22:$C$35))*IFERROR(INDEX($D$22:$D$35,MATCH(节奏总纲!D150,$B$22:$B$35,1)),MIN($D$22:$D$35))</f>
        <v>36221.347391303309</v>
      </c>
      <c r="AG154" s="2">
        <f>M154/IFERROR(INDEX($C$22:$C$35,MATCH(节奏总纲!E150,$B$22:$B$35,1)),MIN($C$22:$C$35))*IFERROR(INDEX($D$22:$D$35,MATCH(节奏总纲!E150,$B$22:$B$35,1)),MIN($D$22:$D$35))</f>
        <v>39125.864055549253</v>
      </c>
      <c r="AH154" s="2">
        <f>N154/IFERROR(INDEX($C$22:$C$35,MATCH(节奏总纲!F150,$B$22:$B$35,1)),MIN($C$22:$C$35))*IFERROR(INDEX($D$22:$D$35,MATCH(节奏总纲!F150,$B$22:$B$35,1)),MIN($D$22:$D$35))</f>
        <v>42382.533781519996</v>
      </c>
      <c r="AI154" s="2">
        <f>O154/IFERROR(INDEX($C$22:$C$35,MATCH(节奏总纲!G150,$B$22:$B$35,1)),MIN($C$22:$C$35))*IFERROR(INDEX($D$22:$D$35,MATCH(节奏总纲!G150,$B$22:$B$35,1)),MIN($D$22:$D$35))</f>
        <v>42794.488231964664</v>
      </c>
      <c r="AJ154" s="2">
        <f>P154/IFERROR(INDEX($C$22:$C$35,MATCH(节奏总纲!H150,$B$22:$B$35,1)),MIN($C$22:$C$35))*IFERROR(INDEX($D$22:$D$35,MATCH(节奏总纲!H150,$B$22:$B$35,1)),MIN($D$22:$D$35))</f>
        <v>54879.344197696002</v>
      </c>
      <c r="AK154" s="2">
        <f>V154/IFERROR(INDEX($E$22:$E$35,MATCH(节奏总纲!D150,$B$22:$B$35,1)),MIN($E$22:$E$35))*IFERROR(INDEX($F$22:$F$35,MATCH(节奏总纲!D150,$B$22:$B$35,1)),MIN($F$22:$F$35))</f>
        <v>0</v>
      </c>
      <c r="AL154" s="2">
        <f>W154/IFERROR(INDEX($E$22:$E$35,MATCH(节奏总纲!E150,$B$22:$B$35,1)),MIN($E$22:$E$35))*IFERROR(INDEX($F$22:$F$35,MATCH(节奏总纲!E150,$B$22:$B$35,1)),MIN($F$22:$F$35))</f>
        <v>11467.307935688157</v>
      </c>
      <c r="AM154" s="2">
        <f>X154/IFERROR(INDEX($E$22:$E$35,MATCH(节奏总纲!F150,$B$22:$B$35,1)),MIN($E$22:$E$35))*IFERROR(INDEX($F$22:$F$35,MATCH(节奏总纲!F150,$B$22:$B$35,1)),MIN($F$22:$F$35))</f>
        <v>27615.443516173007</v>
      </c>
      <c r="AN154" s="2">
        <f>Y154/IFERROR(INDEX($E$22:$E$35,MATCH(节奏总纲!G150,$B$22:$B$35,1)),MIN($E$22:$E$35))*IFERROR(INDEX($F$22:$F$35,MATCH(节奏总纲!G150,$B$22:$B$35,1)),MIN($F$22:$F$35))</f>
        <v>69287.958095747585</v>
      </c>
      <c r="AO154" s="2">
        <f>Z154/IFERROR(INDEX($E$22:$E$35,MATCH(节奏总纲!H150,$B$22:$B$35,1)),MIN($E$22:$E$35))*IFERROR(INDEX($F$22:$F$35,MATCH(节奏总纲!H150,$B$22:$B$35,1)),MIN($F$22:$F$35))</f>
        <v>115939.13679298559</v>
      </c>
      <c r="AQ154" s="2">
        <v>147</v>
      </c>
      <c r="AR154" s="2">
        <f t="shared" si="42"/>
        <v>36221.347391303309</v>
      </c>
      <c r="AS154" s="2">
        <f t="shared" si="43"/>
        <v>50593.17199123741</v>
      </c>
      <c r="AT154" s="2">
        <f t="shared" si="44"/>
        <v>69997.977297692996</v>
      </c>
      <c r="AU154" s="2">
        <f t="shared" si="45"/>
        <v>112082.44632771224</v>
      </c>
      <c r="AV154" s="2">
        <f t="shared" si="46"/>
        <v>170818.48099068159</v>
      </c>
      <c r="AX154" s="41">
        <f t="shared" si="47"/>
        <v>0</v>
      </c>
      <c r="AY154" s="41">
        <f t="shared" si="48"/>
        <v>0.22665722437158636</v>
      </c>
      <c r="AZ154" s="41">
        <f t="shared" si="49"/>
        <v>0.39451773583010608</v>
      </c>
      <c r="BA154" s="41">
        <f t="shared" si="50"/>
        <v>0.61818741797587107</v>
      </c>
      <c r="BB154" s="41">
        <f t="shared" si="51"/>
        <v>0.67872712671710411</v>
      </c>
      <c r="BD154" s="2" t="e">
        <f t="shared" si="52"/>
        <v>#DIV/0!</v>
      </c>
      <c r="BE154" s="2">
        <f t="shared" si="53"/>
        <v>2.637788938658741</v>
      </c>
      <c r="BF154" s="2">
        <f t="shared" si="54"/>
        <v>2.6063041590226157</v>
      </c>
      <c r="BG154" s="2">
        <f t="shared" si="55"/>
        <v>2.4286290463450633</v>
      </c>
      <c r="BH154" s="2">
        <f t="shared" si="56"/>
        <v>2.1126188457232522</v>
      </c>
    </row>
    <row r="155" spans="11:60" x14ac:dyDescent="0.2">
      <c r="K155" s="2">
        <v>148</v>
      </c>
      <c r="L155" s="2">
        <f>标准城池设计!AB151*$B$10/C$14*$C$5*C$7</f>
        <v>403594445.70405871</v>
      </c>
      <c r="M155" s="2">
        <f>标准城池设计!AC151*$B$10/D$14*$C$5*D$7</f>
        <v>435778731.55471683</v>
      </c>
      <c r="N155" s="2">
        <f>标准城池设计!AD151*$B$10/E$14*$C$5*E$7</f>
        <v>472008412.68386424</v>
      </c>
      <c r="O155" s="2">
        <f>标准城池设计!AE151*$B$10/F$14*$C$5*F$7</f>
        <v>450554433.36018473</v>
      </c>
      <c r="P155" s="2">
        <f>标准城池设计!AF151*$B$10/G$14*$C$5*G$7</f>
        <v>511032945.4995755</v>
      </c>
      <c r="Q155" s="2">
        <f t="shared" si="40"/>
        <v>51103.294549957551</v>
      </c>
      <c r="U155" s="2">
        <v>148</v>
      </c>
      <c r="V155" s="2">
        <f>其他调用!R152*6*其他调用!BM152*$B$10/C$15*$C$5*C$8/3</f>
        <v>0</v>
      </c>
      <c r="W155" s="2">
        <f>其他调用!S152*6*其他调用!BN152*$B$10/D$15*$C$5*D$8/3</f>
        <v>1384289.643520585</v>
      </c>
      <c r="X155" s="2">
        <f>其他调用!T152*6*其他调用!BO152*$B$10/E$15*$C$5*E$8/3</f>
        <v>3333188.4976664125</v>
      </c>
      <c r="Y155" s="2">
        <f>其他调用!U152*6*其他调用!BP152*$B$10/F$15*$C$5*F$8/3</f>
        <v>8363038.3278022176</v>
      </c>
      <c r="Z155" s="2">
        <f>其他调用!V152*6*其他调用!BQ152*$B$10/G$15*$C$5*G$8/3</f>
        <v>13992176.461912142</v>
      </c>
      <c r="AA155" s="2">
        <f t="shared" si="41"/>
        <v>1399.2176461912143</v>
      </c>
      <c r="AE155" s="2">
        <v>148</v>
      </c>
      <c r="AF155" s="2">
        <f>L155/IFERROR(INDEX($C$22:$C$35,MATCH(节奏总纲!D151,$B$22:$B$35,1)),MIN($C$22:$C$35))*IFERROR(INDEX($D$22:$D$35,MATCH(节奏总纲!D151,$B$22:$B$35,1)),MIN($D$22:$D$35))</f>
        <v>36690.404154914431</v>
      </c>
      <c r="AG155" s="2">
        <f>M155/IFERROR(INDEX($C$22:$C$35,MATCH(节奏总纲!E151,$B$22:$B$35,1)),MIN($C$22:$C$35))*IFERROR(INDEX($D$22:$D$35,MATCH(节奏总纲!E151,$B$22:$B$35,1)),MIN($D$22:$D$35))</f>
        <v>39616.248323156076</v>
      </c>
      <c r="AH155" s="2">
        <f>N155/IFERROR(INDEX($C$22:$C$35,MATCH(节奏总纲!F151,$B$22:$B$35,1)),MIN($C$22:$C$35))*IFERROR(INDEX($D$22:$D$35,MATCH(节奏总纲!F151,$B$22:$B$35,1)),MIN($D$22:$D$35))</f>
        <v>42909.855698533109</v>
      </c>
      <c r="AI155" s="2">
        <f>O155/IFERROR(INDEX($C$22:$C$35,MATCH(节奏总纲!G151,$B$22:$B$35,1)),MIN($C$22:$C$35))*IFERROR(INDEX($D$22:$D$35,MATCH(节奏总纲!G151,$B$22:$B$35,1)),MIN($D$22:$D$35))</f>
        <v>43322.541669248531</v>
      </c>
      <c r="AJ155" s="2">
        <f>P155/IFERROR(INDEX($C$22:$C$35,MATCH(节奏总纲!H151,$B$22:$B$35,1)),MIN($C$22:$C$35))*IFERROR(INDEX($D$22:$D$35,MATCH(节奏总纲!H151,$B$22:$B$35,1)),MIN($D$22:$D$35))</f>
        <v>55547.059293432118</v>
      </c>
      <c r="AK155" s="2">
        <f>V155/IFERROR(INDEX($E$22:$E$35,MATCH(节奏总纲!D151,$B$22:$B$35,1)),MIN($E$22:$E$35))*IFERROR(INDEX($F$22:$F$35,MATCH(节奏总纲!D151,$B$22:$B$35,1)),MIN($F$22:$F$35))</f>
        <v>0</v>
      </c>
      <c r="AL155" s="2">
        <f>W155/IFERROR(INDEX($E$22:$E$35,MATCH(节奏总纲!E151,$B$22:$B$35,1)),MIN($E$22:$E$35))*IFERROR(INDEX($F$22:$F$35,MATCH(节奏总纲!E151,$B$22:$B$35,1)),MIN($F$22:$F$35))</f>
        <v>11535.747029338208</v>
      </c>
      <c r="AM155" s="2">
        <f>X155/IFERROR(INDEX($E$22:$E$35,MATCH(节奏总纲!F151,$B$22:$B$35,1)),MIN($E$22:$E$35))*IFERROR(INDEX($F$22:$F$35,MATCH(节奏总纲!F151,$B$22:$B$35,1)),MIN($F$22:$F$35))</f>
        <v>27776.57081388677</v>
      </c>
      <c r="AN155" s="2">
        <f>Y155/IFERROR(INDEX($E$22:$E$35,MATCH(节奏总纲!G151,$B$22:$B$35,1)),MIN($E$22:$E$35))*IFERROR(INDEX($F$22:$F$35,MATCH(节奏总纲!G151,$B$22:$B$35,1)),MIN($F$22:$F$35))</f>
        <v>69691.986065018486</v>
      </c>
      <c r="AO155" s="2">
        <f>Z155/IFERROR(INDEX($E$22:$E$35,MATCH(节奏总纲!H151,$B$22:$B$35,1)),MIN($E$22:$E$35))*IFERROR(INDEX($F$22:$F$35,MATCH(节奏总纲!H151,$B$22:$B$35,1)),MIN($F$22:$F$35))</f>
        <v>116601.47051593452</v>
      </c>
      <c r="AQ155" s="2">
        <v>148</v>
      </c>
      <c r="AR155" s="2">
        <f t="shared" si="42"/>
        <v>36690.404154914431</v>
      </c>
      <c r="AS155" s="2">
        <f t="shared" si="43"/>
        <v>51151.995352494283</v>
      </c>
      <c r="AT155" s="2">
        <f t="shared" si="44"/>
        <v>70686.426512419886</v>
      </c>
      <c r="AU155" s="2">
        <f t="shared" si="45"/>
        <v>113014.52773426702</v>
      </c>
      <c r="AV155" s="2">
        <f t="shared" si="46"/>
        <v>172148.52980936662</v>
      </c>
      <c r="AX155" s="41">
        <f t="shared" si="47"/>
        <v>0</v>
      </c>
      <c r="AY155" s="41">
        <f t="shared" si="48"/>
        <v>0.22551900370345376</v>
      </c>
      <c r="AZ155" s="41">
        <f t="shared" si="49"/>
        <v>0.39295480312625958</v>
      </c>
      <c r="BA155" s="41">
        <f t="shared" si="50"/>
        <v>0.61666395871587798</v>
      </c>
      <c r="BB155" s="41">
        <f t="shared" si="51"/>
        <v>0.67733062051157999</v>
      </c>
      <c r="BD155" s="2" t="e">
        <f t="shared" si="52"/>
        <v>#DIV/0!</v>
      </c>
      <c r="BE155" s="2">
        <f t="shared" si="53"/>
        <v>2.6206853919420512</v>
      </c>
      <c r="BF155" s="2">
        <f t="shared" si="54"/>
        <v>2.5892951967989331</v>
      </c>
      <c r="BG155" s="2">
        <f t="shared" si="55"/>
        <v>2.4130158358582983</v>
      </c>
      <c r="BH155" s="2">
        <f t="shared" si="56"/>
        <v>2.099147497619581</v>
      </c>
    </row>
    <row r="156" spans="11:60" x14ac:dyDescent="0.2">
      <c r="K156" s="2">
        <v>149</v>
      </c>
      <c r="L156" s="2">
        <f>标准城池设计!AB152*$B$10/C$14*$C$5*C$7</f>
        <v>408759719.28062999</v>
      </c>
      <c r="M156" s="2">
        <f>标准城池设计!AC152*$B$10/D$14*$C$5*D$7</f>
        <v>441172958.49839199</v>
      </c>
      <c r="N156" s="2">
        <f>标准城池设计!AD152*$B$10/E$14*$C$5*E$7</f>
        <v>477808953.77100843</v>
      </c>
      <c r="O156" s="2">
        <f>标准城池设计!AE152*$B$10/F$14*$C$5*F$7</f>
        <v>456046189.10793716</v>
      </c>
      <c r="P156" s="2">
        <f>标准城池设计!AF152*$B$10/G$14*$C$5*G$7</f>
        <v>517163862.78909796</v>
      </c>
      <c r="Q156" s="2">
        <f t="shared" si="40"/>
        <v>51716.386278909798</v>
      </c>
      <c r="U156" s="2">
        <v>149</v>
      </c>
      <c r="V156" s="2">
        <f>其他调用!R153*6*其他调用!BM153*$B$10/C$15*$C$5*C$8/3</f>
        <v>0</v>
      </c>
      <c r="W156" s="2">
        <f>其他调用!S153*6*其他调用!BN153*$B$10/D$15*$C$5*D$8/3</f>
        <v>1392327.2577881163</v>
      </c>
      <c r="X156" s="2">
        <f>其他调用!T153*6*其他调用!BO153*$B$10/E$15*$C$5*E$8/3</f>
        <v>3352610.3605821417</v>
      </c>
      <c r="Y156" s="2">
        <f>其他调用!U153*6*其他调用!BP153*$B$10/F$15*$C$5*F$8/3</f>
        <v>8411563.1479306705</v>
      </c>
      <c r="Z156" s="2">
        <f>其他调用!V153*6*其他调用!BQ153*$B$10/G$15*$C$5*G$8/3</f>
        <v>14069284.192868195</v>
      </c>
      <c r="AA156" s="2">
        <f t="shared" si="41"/>
        <v>1406.9284192868195</v>
      </c>
      <c r="AE156" s="2">
        <v>149</v>
      </c>
      <c r="AF156" s="2">
        <f>L156/IFERROR(INDEX($C$22:$C$35,MATCH(节奏总纲!D152,$B$22:$B$35,1)),MIN($C$22:$C$35))*IFERROR(INDEX($D$22:$D$35,MATCH(节奏总纲!D152,$B$22:$B$35,1)),MIN($D$22:$D$35))</f>
        <v>37159.974480057273</v>
      </c>
      <c r="AG156" s="2">
        <f>M156/IFERROR(INDEX($C$22:$C$35,MATCH(节奏总纲!E152,$B$22:$B$35,1)),MIN($C$22:$C$35))*IFERROR(INDEX($D$22:$D$35,MATCH(节奏总纲!E152,$B$22:$B$35,1)),MIN($D$22:$D$35))</f>
        <v>40106.632590762907</v>
      </c>
      <c r="AH156" s="2">
        <f>N156/IFERROR(INDEX($C$22:$C$35,MATCH(节奏总纲!F152,$B$22:$B$35,1)),MIN($C$22:$C$35))*IFERROR(INDEX($D$22:$D$35,MATCH(节奏总纲!F152,$B$22:$B$35,1)),MIN($D$22:$D$35))</f>
        <v>43437.177615546221</v>
      </c>
      <c r="AI156" s="2">
        <f>O156/IFERROR(INDEX($C$22:$C$35,MATCH(节奏总纲!G152,$B$22:$B$35,1)),MIN($C$22:$C$35))*IFERROR(INDEX($D$22:$D$35,MATCH(节奏总纲!G152,$B$22:$B$35,1)),MIN($D$22:$D$35))</f>
        <v>43850.595106532419</v>
      </c>
      <c r="AJ156" s="2">
        <f>P156/IFERROR(INDEX($C$22:$C$35,MATCH(节奏总纲!H152,$B$22:$B$35,1)),MIN($C$22:$C$35))*IFERROR(INDEX($D$22:$D$35,MATCH(节奏总纲!H152,$B$22:$B$35,1)),MIN($D$22:$D$35))</f>
        <v>56213.463346641081</v>
      </c>
      <c r="AK156" s="2">
        <f>V156/IFERROR(INDEX($E$22:$E$35,MATCH(节奏总纲!D152,$B$22:$B$35,1)),MIN($E$22:$E$35))*IFERROR(INDEX($F$22:$F$35,MATCH(节奏总纲!D152,$B$22:$B$35,1)),MIN($F$22:$F$35))</f>
        <v>0</v>
      </c>
      <c r="AL156" s="2">
        <f>W156/IFERROR(INDEX($E$22:$E$35,MATCH(节奏总纲!E152,$B$22:$B$35,1)),MIN($E$22:$E$35))*IFERROR(INDEX($F$22:$F$35,MATCH(节奏总纲!E152,$B$22:$B$35,1)),MIN($F$22:$F$35))</f>
        <v>11602.727148234302</v>
      </c>
      <c r="AM156" s="2">
        <f>X156/IFERROR(INDEX($E$22:$E$35,MATCH(节奏总纲!F152,$B$22:$B$35,1)),MIN($E$22:$E$35))*IFERROR(INDEX($F$22:$F$35,MATCH(节奏总纲!F152,$B$22:$B$35,1)),MIN($F$22:$F$35))</f>
        <v>27938.419671517848</v>
      </c>
      <c r="AN156" s="2">
        <f>Y156/IFERROR(INDEX($E$22:$E$35,MATCH(节奏总纲!G152,$B$22:$B$35,1)),MIN($E$22:$E$35))*IFERROR(INDEX($F$22:$F$35,MATCH(节奏总纲!G152,$B$22:$B$35,1)),MIN($F$22:$F$35))</f>
        <v>70096.359566088926</v>
      </c>
      <c r="AO156" s="2">
        <f>Z156/IFERROR(INDEX($E$22:$E$35,MATCH(节奏总纲!H152,$B$22:$B$35,1)),MIN($E$22:$E$35))*IFERROR(INDEX($F$22:$F$35,MATCH(节奏总纲!H152,$B$22:$B$35,1)),MIN($F$22:$F$35))</f>
        <v>117244.03494056829</v>
      </c>
      <c r="AQ156" s="2">
        <v>149</v>
      </c>
      <c r="AR156" s="2">
        <f t="shared" si="42"/>
        <v>37159.974480057273</v>
      </c>
      <c r="AS156" s="2">
        <f t="shared" si="43"/>
        <v>51709.359738997213</v>
      </c>
      <c r="AT156" s="2">
        <f t="shared" si="44"/>
        <v>71375.597287064069</v>
      </c>
      <c r="AU156" s="2">
        <f t="shared" si="45"/>
        <v>113946.95467262134</v>
      </c>
      <c r="AV156" s="2">
        <f t="shared" si="46"/>
        <v>173457.49828720937</v>
      </c>
      <c r="AX156" s="41">
        <f t="shared" si="47"/>
        <v>0</v>
      </c>
      <c r="AY156" s="41">
        <f t="shared" si="48"/>
        <v>0.22438350052677158</v>
      </c>
      <c r="AZ156" s="41">
        <f t="shared" si="49"/>
        <v>0.3914281734015182</v>
      </c>
      <c r="BA156" s="41">
        <f t="shared" si="50"/>
        <v>0.61516659016891972</v>
      </c>
      <c r="BB156" s="41">
        <f t="shared" si="51"/>
        <v>0.67592370522049539</v>
      </c>
      <c r="BD156" s="2" t="e">
        <f t="shared" si="52"/>
        <v>#DIV/0!</v>
      </c>
      <c r="BE156" s="2">
        <f t="shared" si="53"/>
        <v>2.6036726992173138</v>
      </c>
      <c r="BF156" s="2">
        <f t="shared" si="54"/>
        <v>2.5727656542324389</v>
      </c>
      <c r="BG156" s="2">
        <f t="shared" si="55"/>
        <v>2.3977904768154445</v>
      </c>
      <c r="BH156" s="2">
        <f t="shared" si="56"/>
        <v>2.0856931411178379</v>
      </c>
    </row>
    <row r="157" spans="11:60" x14ac:dyDescent="0.2">
      <c r="K157" s="2">
        <v>150</v>
      </c>
      <c r="L157" s="2">
        <f>标准城池设计!AB153*$B$10/C$14*$C$5*C$7</f>
        <v>413776878.60568464</v>
      </c>
      <c r="M157" s="2">
        <f>标准城池设计!AC153*$B$10/D$14*$C$5*D$7</f>
        <v>446431996.54057825</v>
      </c>
      <c r="N157" s="2">
        <f>标准城池设计!AD153*$B$10/E$14*$C$5*E$7</f>
        <v>483609494.85815263</v>
      </c>
      <c r="O157" s="2">
        <f>标准城池设计!AE153*$B$10/F$14*$C$5*F$7</f>
        <v>461537944.85568935</v>
      </c>
      <c r="P157" s="2">
        <f>标准城池设计!AF153*$B$10/G$14*$C$5*G$7</f>
        <v>523294780.07862055</v>
      </c>
      <c r="Q157" s="2">
        <f t="shared" si="40"/>
        <v>52329.478007862053</v>
      </c>
      <c r="U157" s="2">
        <v>150</v>
      </c>
      <c r="V157" s="2">
        <f>其他调用!R154*6*其他调用!BM154*$B$10/C$15*$C$5*C$8/3</f>
        <v>0</v>
      </c>
      <c r="W157" s="2">
        <f>其他调用!S154*6*其他调用!BN154*$B$10/D$15*$C$5*D$8/3</f>
        <v>1399687.0737506913</v>
      </c>
      <c r="X157" s="2">
        <f>其他调用!T154*6*其他调用!BO154*$B$10/E$15*$C$5*E$8/3</f>
        <v>3371947.6571885417</v>
      </c>
      <c r="Y157" s="2">
        <f>其他调用!U154*6*其他调用!BP154*$B$10/F$15*$C$5*F$8/3</f>
        <v>8459164.9471955243</v>
      </c>
      <c r="Z157" s="2">
        <f>其他调用!V154*6*其他调用!BQ154*$B$10/G$15*$C$5*G$8/3</f>
        <v>14150938.367157975</v>
      </c>
      <c r="AA157" s="2">
        <f t="shared" si="41"/>
        <v>1415.0938367157976</v>
      </c>
      <c r="AE157" s="2">
        <v>150</v>
      </c>
      <c r="AF157" s="2">
        <f>L157/IFERROR(INDEX($C$22:$C$35,MATCH(节奏总纲!D153,$B$22:$B$35,1)),MIN($C$22:$C$35))*IFERROR(INDEX($D$22:$D$35,MATCH(节奏总纲!D153,$B$22:$B$35,1)),MIN($D$22:$D$35))</f>
        <v>37616.07987324406</v>
      </c>
      <c r="AG157" s="2">
        <f>M157/IFERROR(INDEX($C$22:$C$35,MATCH(节奏总纲!E153,$B$22:$B$35,1)),MIN($C$22:$C$35))*IFERROR(INDEX($D$22:$D$35,MATCH(节奏总纲!E153,$B$22:$B$35,1)),MIN($D$22:$D$35))</f>
        <v>40584.726958234387</v>
      </c>
      <c r="AH157" s="2">
        <f>N157/IFERROR(INDEX($C$22:$C$35,MATCH(节奏总纲!F153,$B$22:$B$35,1)),MIN($C$22:$C$35))*IFERROR(INDEX($D$22:$D$35,MATCH(节奏总纲!F153,$B$22:$B$35,1)),MIN($D$22:$D$35))</f>
        <v>43964.499532559326</v>
      </c>
      <c r="AI157" s="2">
        <f>O157/IFERROR(INDEX($C$22:$C$35,MATCH(节奏总纲!G153,$B$22:$B$35,1)),MIN($C$22:$C$35))*IFERROR(INDEX($D$22:$D$35,MATCH(节奏总纲!G153,$B$22:$B$35,1)),MIN($D$22:$D$35))</f>
        <v>44378.648543816285</v>
      </c>
      <c r="AJ157" s="2">
        <f>P157/IFERROR(INDEX($C$22:$C$35,MATCH(节奏总纲!H153,$B$22:$B$35,1)),MIN($C$22:$C$35))*IFERROR(INDEX($D$22:$D$35,MATCH(节奏总纲!H153,$B$22:$B$35,1)),MIN($D$22:$D$35))</f>
        <v>56879.86739985006</v>
      </c>
      <c r="AK157" s="2">
        <f>V157/IFERROR(INDEX($E$22:$E$35,MATCH(节奏总纲!D153,$B$22:$B$35,1)),MIN($E$22:$E$35))*IFERROR(INDEX($F$22:$F$35,MATCH(节奏总纲!D153,$B$22:$B$35,1)),MIN($F$22:$F$35))</f>
        <v>0</v>
      </c>
      <c r="AL157" s="2">
        <f>W157/IFERROR(INDEX($E$22:$E$35,MATCH(节奏总纲!E153,$B$22:$B$35,1)),MIN($E$22:$E$35))*IFERROR(INDEX($F$22:$F$35,MATCH(节奏总纲!E153,$B$22:$B$35,1)),MIN($F$22:$F$35))</f>
        <v>11664.058947922427</v>
      </c>
      <c r="AM157" s="2">
        <f>X157/IFERROR(INDEX($E$22:$E$35,MATCH(节奏总纲!F153,$B$22:$B$35,1)),MIN($E$22:$E$35))*IFERROR(INDEX($F$22:$F$35,MATCH(节奏总纲!F153,$B$22:$B$35,1)),MIN($F$22:$F$35))</f>
        <v>28099.563809904514</v>
      </c>
      <c r="AN157" s="2">
        <f>Y157/IFERROR(INDEX($E$22:$E$35,MATCH(节奏总纲!G153,$B$22:$B$35,1)),MIN($E$22:$E$35))*IFERROR(INDEX($F$22:$F$35,MATCH(节奏总纲!G153,$B$22:$B$35,1)),MIN($F$22:$F$35))</f>
        <v>70493.041226629372</v>
      </c>
      <c r="AO157" s="2">
        <f>Z157/IFERROR(INDEX($E$22:$E$35,MATCH(节奏总纲!H153,$B$22:$B$35,1)),MIN($E$22:$E$35))*IFERROR(INDEX($F$22:$F$35,MATCH(节奏总纲!H153,$B$22:$B$35,1)),MIN($F$22:$F$35))</f>
        <v>117924.48639298313</v>
      </c>
      <c r="AQ157" s="2">
        <v>150</v>
      </c>
      <c r="AR157" s="2">
        <f t="shared" si="42"/>
        <v>37616.07987324406</v>
      </c>
      <c r="AS157" s="2">
        <f t="shared" si="43"/>
        <v>52248.785906156816</v>
      </c>
      <c r="AT157" s="2">
        <f t="shared" si="44"/>
        <v>72064.063342463836</v>
      </c>
      <c r="AU157" s="2">
        <f t="shared" si="45"/>
        <v>114871.68977044566</v>
      </c>
      <c r="AV157" s="2">
        <f t="shared" si="46"/>
        <v>174804.35379283319</v>
      </c>
      <c r="AX157" s="41">
        <f t="shared" si="47"/>
        <v>0</v>
      </c>
      <c r="AY157" s="41">
        <f t="shared" si="48"/>
        <v>0.22324076522796246</v>
      </c>
      <c r="AZ157" s="41">
        <f t="shared" si="49"/>
        <v>0.38992477674162473</v>
      </c>
      <c r="BA157" s="41">
        <f t="shared" si="50"/>
        <v>0.61366766143598517</v>
      </c>
      <c r="BB157" s="41">
        <f t="shared" si="51"/>
        <v>0.67460840553628088</v>
      </c>
      <c r="BD157" s="2" t="e">
        <f t="shared" si="52"/>
        <v>#DIV/0!</v>
      </c>
      <c r="BE157" s="2">
        <f t="shared" si="53"/>
        <v>2.5866018672327864</v>
      </c>
      <c r="BF157" s="2">
        <f t="shared" si="54"/>
        <v>2.5565685140206802</v>
      </c>
      <c r="BG157" s="2">
        <f t="shared" si="55"/>
        <v>2.3826674608070681</v>
      </c>
      <c r="BH157" s="2">
        <f t="shared" si="56"/>
        <v>2.0732201354128681</v>
      </c>
    </row>
    <row r="158" spans="11:60" x14ac:dyDescent="0.2">
      <c r="K158" s="2">
        <v>151</v>
      </c>
      <c r="L158" s="2">
        <f>标准城池设计!AB154*$B$10/C$14*$C$5*C$7</f>
        <v>418630910.16540056</v>
      </c>
      <c r="M158" s="2">
        <f>标准城池设计!AC154*$B$10/D$14*$C$5*D$7</f>
        <v>451473237.51288885</v>
      </c>
      <c r="N158" s="2">
        <f>标准城池设计!AD154*$B$10/E$14*$C$5*E$7</f>
        <v>489052848.2199595</v>
      </c>
      <c r="O158" s="2">
        <f>标准城池设计!AE154*$B$10/F$14*$C$5*F$7</f>
        <v>466732728.63437259</v>
      </c>
      <c r="P158" s="2">
        <f>标准城池设计!AF154*$B$10/G$14*$C$5*G$7</f>
        <v>529232465.2810604</v>
      </c>
      <c r="Q158" s="2">
        <f t="shared" si="40"/>
        <v>52923.246528106043</v>
      </c>
      <c r="U158" s="2">
        <v>151</v>
      </c>
      <c r="V158" s="2">
        <f>其他调用!R155*6*其他调用!BM155*$B$10/C$15*$C$5*C$8/3</f>
        <v>0</v>
      </c>
      <c r="W158" s="2">
        <f>其他调用!S155*6*其他调用!BN155*$B$10/D$15*$C$5*D$8/3</f>
        <v>1405659.2400112341</v>
      </c>
      <c r="X158" s="2">
        <f>其他调用!T155*6*其他调用!BO155*$B$10/E$15*$C$5*E$8/3</f>
        <v>3386435.8658837876</v>
      </c>
      <c r="Y158" s="2">
        <f>其他调用!U155*6*其他调用!BP155*$B$10/F$15*$C$5*F$8/3</f>
        <v>8499248.2991901506</v>
      </c>
      <c r="Z158" s="2">
        <f>其他调用!V155*6*其他调用!BQ155*$B$10/G$15*$C$5*G$8/3</f>
        <v>14230076.250088476</v>
      </c>
      <c r="AA158" s="2">
        <f t="shared" si="41"/>
        <v>1423.0076250088475</v>
      </c>
      <c r="AE158" s="2">
        <v>151</v>
      </c>
      <c r="AF158" s="2">
        <f>L158/IFERROR(INDEX($C$22:$C$35,MATCH(节奏总纲!D154,$B$22:$B$35,1)),MIN($C$22:$C$35))*IFERROR(INDEX($D$22:$D$35,MATCH(节奏总纲!D154,$B$22:$B$35,1)),MIN($D$22:$D$35))</f>
        <v>38057.355469581868</v>
      </c>
      <c r="AG158" s="2">
        <f>M158/IFERROR(INDEX($C$22:$C$35,MATCH(节奏总纲!E154,$B$22:$B$35,1)),MIN($C$22:$C$35))*IFERROR(INDEX($D$22:$D$35,MATCH(节奏总纲!E154,$B$22:$B$35,1)),MIN($D$22:$D$35))</f>
        <v>41043.021592080804</v>
      </c>
      <c r="AH158" s="2">
        <f>N158/IFERROR(INDEX($C$22:$C$35,MATCH(节奏总纲!F154,$B$22:$B$35,1)),MIN($C$22:$C$35))*IFERROR(INDEX($D$22:$D$35,MATCH(节奏总纲!F154,$B$22:$B$35,1)),MIN($D$22:$D$35))</f>
        <v>44459.349838178139</v>
      </c>
      <c r="AI158" s="2">
        <f>O158/IFERROR(INDEX($C$22:$C$35,MATCH(节奏总纲!G154,$B$22:$B$35,1)),MIN($C$22:$C$35))*IFERROR(INDEX($D$22:$D$35,MATCH(节奏总纲!G154,$B$22:$B$35,1)),MIN($D$22:$D$35))</f>
        <v>44878.146984074287</v>
      </c>
      <c r="AJ158" s="2">
        <f>P158/IFERROR(INDEX($C$22:$C$35,MATCH(节奏总纲!H154,$B$22:$B$35,1)),MIN($C$22:$C$35))*IFERROR(INDEX($D$22:$D$35,MATCH(节奏总纲!H154,$B$22:$B$35,1)),MIN($D$22:$D$35))</f>
        <v>50887.73704625581</v>
      </c>
      <c r="AK158" s="2">
        <f>V158/IFERROR(INDEX($E$22:$E$35,MATCH(节奏总纲!D154,$B$22:$B$35,1)),MIN($E$22:$E$35))*IFERROR(INDEX($F$22:$F$35,MATCH(节奏总纲!D154,$B$22:$B$35,1)),MIN($F$22:$F$35))</f>
        <v>0</v>
      </c>
      <c r="AL158" s="2">
        <f>W158/IFERROR(INDEX($E$22:$E$35,MATCH(节奏总纲!E154,$B$22:$B$35,1)),MIN($E$22:$E$35))*IFERROR(INDEX($F$22:$F$35,MATCH(节奏总纲!E154,$B$22:$B$35,1)),MIN($F$22:$F$35))</f>
        <v>11713.827000093617</v>
      </c>
      <c r="AM158" s="2">
        <f>X158/IFERROR(INDEX($E$22:$E$35,MATCH(节奏总纲!F154,$B$22:$B$35,1)),MIN($E$22:$E$35))*IFERROR(INDEX($F$22:$F$35,MATCH(节奏总纲!F154,$B$22:$B$35,1)),MIN($F$22:$F$35))</f>
        <v>28220.298882364896</v>
      </c>
      <c r="AN158" s="2">
        <f>Y158/IFERROR(INDEX($E$22:$E$35,MATCH(节奏总纲!G154,$B$22:$B$35,1)),MIN($E$22:$E$35))*IFERROR(INDEX($F$22:$F$35,MATCH(节奏总纲!G154,$B$22:$B$35,1)),MIN($F$22:$F$35))</f>
        <v>70827.069159917926</v>
      </c>
      <c r="AO158" s="2">
        <f>Z158/IFERROR(INDEX($E$22:$E$35,MATCH(节奏总纲!H154,$B$22:$B$35,1)),MIN($E$22:$E$35))*IFERROR(INDEX($F$22:$F$35,MATCH(节奏总纲!H154,$B$22:$B$35,1)),MIN($F$22:$F$35))</f>
        <v>118583.9687507373</v>
      </c>
      <c r="AQ158" s="2">
        <v>151</v>
      </c>
      <c r="AR158" s="2">
        <f t="shared" si="42"/>
        <v>38057.355469581868</v>
      </c>
      <c r="AS158" s="2">
        <f t="shared" si="43"/>
        <v>52756.848592174421</v>
      </c>
      <c r="AT158" s="2">
        <f t="shared" si="44"/>
        <v>72679.648720543031</v>
      </c>
      <c r="AU158" s="2">
        <f t="shared" si="45"/>
        <v>115705.21614399221</v>
      </c>
      <c r="AV158" s="2">
        <f t="shared" si="46"/>
        <v>169471.7057969931</v>
      </c>
      <c r="AX158" s="41">
        <f t="shared" si="47"/>
        <v>0</v>
      </c>
      <c r="AY158" s="41">
        <f t="shared" si="48"/>
        <v>0.22203424413472575</v>
      </c>
      <c r="AZ158" s="41">
        <f t="shared" si="49"/>
        <v>0.38828336926714369</v>
      </c>
      <c r="BA158" s="41">
        <f t="shared" si="50"/>
        <v>0.61213376129711761</v>
      </c>
      <c r="BB158" s="41">
        <f t="shared" si="51"/>
        <v>0.6997272387922191</v>
      </c>
      <c r="BD158" s="2" t="e">
        <f t="shared" si="52"/>
        <v>#DIV/0!</v>
      </c>
      <c r="BE158" s="2">
        <f t="shared" si="53"/>
        <v>2.5686325935901388</v>
      </c>
      <c r="BF158" s="2">
        <f t="shared" si="54"/>
        <v>2.5389753997825277</v>
      </c>
      <c r="BG158" s="2">
        <f t="shared" si="55"/>
        <v>2.3673126204960737</v>
      </c>
      <c r="BH158" s="2">
        <f t="shared" si="56"/>
        <v>2.330305406250373</v>
      </c>
    </row>
    <row r="159" spans="11:60" x14ac:dyDescent="0.2">
      <c r="K159" s="2">
        <v>152</v>
      </c>
      <c r="L159" s="2">
        <f>标准城池设计!AB155*$B$10/C$14*$C$5*C$7</f>
        <v>423490222.14008117</v>
      </c>
      <c r="M159" s="2">
        <f>标准城池设计!AC155*$B$10/D$14*$C$5*D$7</f>
        <v>456514478.48519993</v>
      </c>
      <c r="N159" s="2">
        <f>标准城池设计!AD155*$B$10/E$14*$C$5*E$7</f>
        <v>494442833.26036131</v>
      </c>
      <c r="O159" s="2">
        <f>标准城池设计!AE155*$B$10/F$14*$C$5*F$7</f>
        <v>471846898.59406143</v>
      </c>
      <c r="P159" s="2">
        <f>标准城池设计!AF155*$B$10/G$14*$C$5*G$7</f>
        <v>534979703.48478466</v>
      </c>
      <c r="Q159" s="2">
        <f t="shared" si="40"/>
        <v>53497.97034847847</v>
      </c>
      <c r="U159" s="2">
        <v>152</v>
      </c>
      <c r="V159" s="2">
        <f>其他调用!R156*6*其他调用!BM156*$B$10/C$15*$C$5*C$8/3</f>
        <v>0</v>
      </c>
      <c r="W159" s="2">
        <f>其他调用!S156*6*其他调用!BN156*$B$10/D$15*$C$5*D$8/3</f>
        <v>1411649.4804765058</v>
      </c>
      <c r="X159" s="2">
        <f>其他调用!T156*6*其他调用!BO156*$B$10/E$15*$C$5*E$8/3</f>
        <v>3401332.2449870352</v>
      </c>
      <c r="Y159" s="2">
        <f>其他调用!U156*6*其他调用!BP156*$B$10/F$15*$C$5*F$8/3</f>
        <v>8539824.6579039153</v>
      </c>
      <c r="Z159" s="2">
        <f>其他调用!V156*6*其他调用!BQ156*$B$10/G$15*$C$5*G$8/3</f>
        <v>14268000</v>
      </c>
      <c r="AA159" s="2">
        <f t="shared" si="41"/>
        <v>1426.8</v>
      </c>
      <c r="AE159" s="2">
        <v>152</v>
      </c>
      <c r="AF159" s="2">
        <f>L159/IFERROR(INDEX($C$22:$C$35,MATCH(节奏总纲!D155,$B$22:$B$35,1)),MIN($C$22:$C$35))*IFERROR(INDEX($D$22:$D$35,MATCH(节奏总纲!D155,$B$22:$B$35,1)),MIN($D$22:$D$35))</f>
        <v>38499.111103643743</v>
      </c>
      <c r="AG159" s="2">
        <f>M159/IFERROR(INDEX($C$22:$C$35,MATCH(节奏总纲!E155,$B$22:$B$35,1)),MIN($C$22:$C$35))*IFERROR(INDEX($D$22:$D$35,MATCH(节奏总纲!E155,$B$22:$B$35,1)),MIN($D$22:$D$35))</f>
        <v>41501.316225927265</v>
      </c>
      <c r="AH159" s="2">
        <f>N159/IFERROR(INDEX($C$22:$C$35,MATCH(节奏总纲!F155,$B$22:$B$35,1)),MIN($C$22:$C$35))*IFERROR(INDEX($D$22:$D$35,MATCH(节奏总纲!F155,$B$22:$B$35,1)),MIN($D$22:$D$35))</f>
        <v>44949.348478214662</v>
      </c>
      <c r="AI159" s="2">
        <f>O159/IFERROR(INDEX($C$22:$C$35,MATCH(节奏总纲!G155,$B$22:$B$35,1)),MIN($C$22:$C$35))*IFERROR(INDEX($D$22:$D$35,MATCH(节奏总纲!G155,$B$22:$B$35,1)),MIN($D$22:$D$35))</f>
        <v>42895.172599460129</v>
      </c>
      <c r="AJ159" s="2">
        <f>P159/IFERROR(INDEX($C$22:$C$35,MATCH(节奏总纲!H155,$B$22:$B$35,1)),MIN($C$22:$C$35))*IFERROR(INDEX($D$22:$D$35,MATCH(节奏总纲!H155,$B$22:$B$35,1)),MIN($D$22:$D$35))</f>
        <v>51440.356104306215</v>
      </c>
      <c r="AK159" s="2">
        <f>V159/IFERROR(INDEX($E$22:$E$35,MATCH(节奏总纲!D155,$B$22:$B$35,1)),MIN($E$22:$E$35))*IFERROR(INDEX($F$22:$F$35,MATCH(节奏总纲!D155,$B$22:$B$35,1)),MIN($F$22:$F$35))</f>
        <v>0</v>
      </c>
      <c r="AL159" s="2">
        <f>W159/IFERROR(INDEX($E$22:$E$35,MATCH(节奏总纲!E155,$B$22:$B$35,1)),MIN($E$22:$E$35))*IFERROR(INDEX($F$22:$F$35,MATCH(节奏总纲!E155,$B$22:$B$35,1)),MIN($F$22:$F$35))</f>
        <v>11763.745670637549</v>
      </c>
      <c r="AM159" s="2">
        <f>X159/IFERROR(INDEX($E$22:$E$35,MATCH(节奏总纲!F155,$B$22:$B$35,1)),MIN($E$22:$E$35))*IFERROR(INDEX($F$22:$F$35,MATCH(节奏总纲!F155,$B$22:$B$35,1)),MIN($F$22:$F$35))</f>
        <v>28344.43537489196</v>
      </c>
      <c r="AN159" s="2">
        <f>Y159/IFERROR(INDEX($E$22:$E$35,MATCH(节奏总纲!G155,$B$22:$B$35,1)),MIN($E$22:$E$35))*IFERROR(INDEX($F$22:$F$35,MATCH(节奏总纲!G155,$B$22:$B$35,1)),MIN($F$22:$F$35))</f>
        <v>71165.205482532634</v>
      </c>
      <c r="AO159" s="2">
        <f>Z159/IFERROR(INDEX($E$22:$E$35,MATCH(节奏总纲!H155,$B$22:$B$35,1)),MIN($E$22:$E$35))*IFERROR(INDEX($F$22:$F$35,MATCH(节奏总纲!H155,$B$22:$B$35,1)),MIN($F$22:$F$35))</f>
        <v>118900</v>
      </c>
      <c r="AQ159" s="2">
        <v>152</v>
      </c>
      <c r="AR159" s="2">
        <f t="shared" si="42"/>
        <v>38499.111103643743</v>
      </c>
      <c r="AS159" s="2">
        <f t="shared" si="43"/>
        <v>53265.061896564817</v>
      </c>
      <c r="AT159" s="2">
        <f t="shared" si="44"/>
        <v>73293.783853106623</v>
      </c>
      <c r="AU159" s="2">
        <f t="shared" si="45"/>
        <v>114060.37808199276</v>
      </c>
      <c r="AV159" s="2">
        <f t="shared" si="46"/>
        <v>170340.35610430621</v>
      </c>
      <c r="AX159" s="41">
        <f t="shared" si="47"/>
        <v>0</v>
      </c>
      <c r="AY159" s="41">
        <f t="shared" si="48"/>
        <v>0.22085294284425153</v>
      </c>
      <c r="AZ159" s="41">
        <f t="shared" si="49"/>
        <v>0.38672359216300112</v>
      </c>
      <c r="BA159" s="41">
        <f t="shared" si="50"/>
        <v>0.62392573722116929</v>
      </c>
      <c r="BB159" s="41">
        <f t="shared" si="51"/>
        <v>0.69801427400558436</v>
      </c>
      <c r="BD159" s="2" t="e">
        <f t="shared" si="52"/>
        <v>#DIV/0!</v>
      </c>
      <c r="BE159" s="2">
        <f t="shared" si="53"/>
        <v>2.5510928487033167</v>
      </c>
      <c r="BF159" s="2">
        <f t="shared" si="54"/>
        <v>2.5223444908109847</v>
      </c>
      <c r="BG159" s="2">
        <f t="shared" si="55"/>
        <v>2.4885739292990383</v>
      </c>
      <c r="BH159" s="2">
        <f t="shared" si="56"/>
        <v>2.3114147918981174</v>
      </c>
    </row>
    <row r="160" spans="11:60" x14ac:dyDescent="0.2">
      <c r="K160" s="2">
        <v>153</v>
      </c>
      <c r="L160" s="2">
        <f>标准城池设计!AB156*$B$10/C$14*$C$5*C$7</f>
        <v>428354814.52972627</v>
      </c>
      <c r="M160" s="2">
        <f>标准城池设计!AC156*$B$10/D$14*$C$5*D$7</f>
        <v>461555719.45751065</v>
      </c>
      <c r="N160" s="2">
        <f>标准城池设计!AD156*$B$10/E$14*$C$5*E$7</f>
        <v>499832818.30076307</v>
      </c>
      <c r="O160" s="2">
        <f>标准城池设计!AE156*$B$10/F$14*$C$5*F$7</f>
        <v>476961068.5537501</v>
      </c>
      <c r="P160" s="2">
        <f>标准城池设计!AF156*$B$10/G$14*$C$5*G$7</f>
        <v>540726941.68850911</v>
      </c>
      <c r="Q160" s="2">
        <f t="shared" si="40"/>
        <v>54072.694168850911</v>
      </c>
      <c r="U160" s="2">
        <v>153</v>
      </c>
      <c r="V160" s="2">
        <f>其他调用!R157*6*其他调用!BM157*$B$10/C$15*$C$5*C$8/3</f>
        <v>0</v>
      </c>
      <c r="W160" s="2">
        <f>其他调用!S157*6*其他调用!BN157*$B$10/D$15*$C$5*D$8/3</f>
        <v>1418220.3475065075</v>
      </c>
      <c r="X160" s="2">
        <f>其他调用!T157*6*其他调用!BO157*$B$10/E$15*$C$5*E$8/3</f>
        <v>3417199.4565574601</v>
      </c>
      <c r="Y160" s="2">
        <f>其他调用!U157*6*其他调用!BP157*$B$10/F$15*$C$5*F$8/3</f>
        <v>8560800</v>
      </c>
      <c r="Z160" s="2">
        <f>其他调用!V157*6*其他调用!BQ157*$B$10/G$15*$C$5*G$8/3</f>
        <v>14268000</v>
      </c>
      <c r="AA160" s="2">
        <f t="shared" si="41"/>
        <v>1426.8</v>
      </c>
      <c r="AE160" s="2">
        <v>153</v>
      </c>
      <c r="AF160" s="2">
        <f>L160/IFERROR(INDEX($C$22:$C$35,MATCH(节奏总纲!D156,$B$22:$B$35,1)),MIN($C$22:$C$35))*IFERROR(INDEX($D$22:$D$35,MATCH(节奏总纲!D156,$B$22:$B$35,1)),MIN($D$22:$D$35))</f>
        <v>38941.346775429658</v>
      </c>
      <c r="AG160" s="2">
        <f>M160/IFERROR(INDEX($C$22:$C$35,MATCH(节奏总纲!E156,$B$22:$B$35,1)),MIN($C$22:$C$35))*IFERROR(INDEX($D$22:$D$35,MATCH(节奏总纲!E156,$B$22:$B$35,1)),MIN($D$22:$D$35))</f>
        <v>41959.610859773697</v>
      </c>
      <c r="AH160" s="2">
        <f>N160/IFERROR(INDEX($C$22:$C$35,MATCH(节奏总纲!F156,$B$22:$B$35,1)),MIN($C$22:$C$35))*IFERROR(INDEX($D$22:$D$35,MATCH(节奏总纲!F156,$B$22:$B$35,1)),MIN($D$22:$D$35))</f>
        <v>45439.347118251186</v>
      </c>
      <c r="AI160" s="2">
        <f>O160/IFERROR(INDEX($C$22:$C$35,MATCH(节奏总纲!G156,$B$22:$B$35,1)),MIN($C$22:$C$35))*IFERROR(INDEX($D$22:$D$35,MATCH(节奏总纲!G156,$B$22:$B$35,1)),MIN($D$22:$D$35))</f>
        <v>43360.097141250008</v>
      </c>
      <c r="AJ160" s="2">
        <f>P160/IFERROR(INDEX($C$22:$C$35,MATCH(节奏总纲!H156,$B$22:$B$35,1)),MIN($C$22:$C$35))*IFERROR(INDEX($D$22:$D$35,MATCH(节奏总纲!H156,$B$22:$B$35,1)),MIN($D$22:$D$35))</f>
        <v>49156.994698955372</v>
      </c>
      <c r="AK160" s="2">
        <f>V160/IFERROR(INDEX($E$22:$E$35,MATCH(节奏总纲!D156,$B$22:$B$35,1)),MIN($E$22:$E$35))*IFERROR(INDEX($F$22:$F$35,MATCH(节奏总纲!D156,$B$22:$B$35,1)),MIN($F$22:$F$35))</f>
        <v>0</v>
      </c>
      <c r="AL160" s="2">
        <f>W160/IFERROR(INDEX($E$22:$E$35,MATCH(节奏总纲!E156,$B$22:$B$35,1)),MIN($E$22:$E$35))*IFERROR(INDEX($F$22:$F$35,MATCH(节奏总纲!E156,$B$22:$B$35,1)),MIN($F$22:$F$35))</f>
        <v>11818.502895887563</v>
      </c>
      <c r="AM160" s="2">
        <f>X160/IFERROR(INDEX($E$22:$E$35,MATCH(节奏总纲!F156,$B$22:$B$35,1)),MIN($E$22:$E$35))*IFERROR(INDEX($F$22:$F$35,MATCH(节奏总纲!F156,$B$22:$B$35,1)),MIN($F$22:$F$35))</f>
        <v>28476.662137978834</v>
      </c>
      <c r="AN160" s="2">
        <f>Y160/IFERROR(INDEX($E$22:$E$35,MATCH(节奏总纲!G156,$B$22:$B$35,1)),MIN($E$22:$E$35))*IFERROR(INDEX($F$22:$F$35,MATCH(节奏总纲!G156,$B$22:$B$35,1)),MIN($F$22:$F$35))</f>
        <v>71340</v>
      </c>
      <c r="AO160" s="2">
        <f>Z160/IFERROR(INDEX($E$22:$E$35,MATCH(节奏总纲!H156,$B$22:$B$35,1)),MIN($E$22:$E$35))*IFERROR(INDEX($F$22:$F$35,MATCH(节奏总纲!H156,$B$22:$B$35,1)),MIN($F$22:$F$35))</f>
        <v>118900</v>
      </c>
      <c r="AQ160" s="2">
        <v>153</v>
      </c>
      <c r="AR160" s="2">
        <f t="shared" si="42"/>
        <v>38941.346775429658</v>
      </c>
      <c r="AS160" s="2">
        <f t="shared" si="43"/>
        <v>53778.113755661259</v>
      </c>
      <c r="AT160" s="2">
        <f t="shared" si="44"/>
        <v>73916.009256230027</v>
      </c>
      <c r="AU160" s="2">
        <f t="shared" si="45"/>
        <v>114700.09714125001</v>
      </c>
      <c r="AV160" s="2">
        <f t="shared" si="46"/>
        <v>168056.99469895539</v>
      </c>
      <c r="AX160" s="41">
        <f t="shared" si="47"/>
        <v>0</v>
      </c>
      <c r="AY160" s="41">
        <f t="shared" si="48"/>
        <v>0.21976417673525078</v>
      </c>
      <c r="AZ160" s="41">
        <f t="shared" si="49"/>
        <v>0.38525702922169963</v>
      </c>
      <c r="BA160" s="41">
        <f t="shared" si="50"/>
        <v>0.62196983069810963</v>
      </c>
      <c r="BB160" s="41">
        <f t="shared" si="51"/>
        <v>0.70749807357312611</v>
      </c>
      <c r="BD160" s="2" t="e">
        <f t="shared" si="52"/>
        <v>#DIV/0!</v>
      </c>
      <c r="BE160" s="2">
        <f t="shared" si="53"/>
        <v>2.5349740830165977</v>
      </c>
      <c r="BF160" s="2">
        <f t="shared" si="54"/>
        <v>2.5067844451084458</v>
      </c>
      <c r="BG160" s="2">
        <f t="shared" si="55"/>
        <v>2.4679372754033237</v>
      </c>
      <c r="BH160" s="2">
        <f t="shared" si="56"/>
        <v>2.4187809024567306</v>
      </c>
    </row>
    <row r="161" spans="11:60" x14ac:dyDescent="0.2">
      <c r="K161" s="2">
        <v>154</v>
      </c>
      <c r="L161" s="2">
        <f>标准城池设计!AB157*$B$10/C$14*$C$5*C$7</f>
        <v>433175164.28198791</v>
      </c>
      <c r="M161" s="2">
        <f>标准城池设计!AC157*$B$10/D$14*$C$5*D$7</f>
        <v>466552503.53986514</v>
      </c>
      <c r="N161" s="2">
        <f>标准城池设计!AD157*$B$10/E$14*$C$5*E$7</f>
        <v>505222803.34116501</v>
      </c>
      <c r="O161" s="2">
        <f>标准城池设计!AE157*$B$10/F$14*$C$5*F$7</f>
        <v>482075238.513439</v>
      </c>
      <c r="P161" s="2">
        <f>标准城池设计!AF157*$B$10/G$14*$C$5*G$7</f>
        <v>541192747.96943998</v>
      </c>
      <c r="Q161" s="2">
        <f t="shared" si="40"/>
        <v>54119.274796943995</v>
      </c>
      <c r="U161" s="2">
        <v>154</v>
      </c>
      <c r="V161" s="2">
        <f>其他调用!R158*6*其他调用!BM158*$B$10/C$15*$C$5*C$8/3</f>
        <v>0</v>
      </c>
      <c r="W161" s="2">
        <f>其他调用!S158*6*其他调用!BN158*$B$10/D$15*$C$5*D$8/3</f>
        <v>1424369.1454928245</v>
      </c>
      <c r="X161" s="2">
        <f>其他调用!T158*6*其他调用!BO158*$B$10/E$15*$C$5*E$8/3</f>
        <v>3424319.9999999995</v>
      </c>
      <c r="Y161" s="2">
        <f>其他调用!U158*6*其他调用!BP158*$B$10/F$15*$C$5*F$8/3</f>
        <v>8560800</v>
      </c>
      <c r="Z161" s="2">
        <f>其他调用!V158*6*其他调用!BQ158*$B$10/G$15*$C$5*G$8/3</f>
        <v>14268000</v>
      </c>
      <c r="AA161" s="2">
        <f t="shared" si="41"/>
        <v>1426.8</v>
      </c>
      <c r="AE161" s="2">
        <v>154</v>
      </c>
      <c r="AF161" s="2">
        <f>L161/IFERROR(INDEX($C$22:$C$35,MATCH(节奏总纲!D157,$B$22:$B$35,1)),MIN($C$22:$C$35))*IFERROR(INDEX($D$22:$D$35,MATCH(节奏总纲!D157,$B$22:$B$35,1)),MIN($D$22:$D$35))</f>
        <v>39379.560389271624</v>
      </c>
      <c r="AG161" s="2">
        <f>M161/IFERROR(INDEX($C$22:$C$35,MATCH(节奏总纲!E157,$B$22:$B$35,1)),MIN($C$22:$C$35))*IFERROR(INDEX($D$22:$D$35,MATCH(节奏总纲!E157,$B$22:$B$35,1)),MIN($D$22:$D$35))</f>
        <v>42413.863958169561</v>
      </c>
      <c r="AH161" s="2">
        <f>N161/IFERROR(INDEX($C$22:$C$35,MATCH(节奏总纲!F157,$B$22:$B$35,1)),MIN($C$22:$C$35))*IFERROR(INDEX($D$22:$D$35,MATCH(节奏总纲!F157,$B$22:$B$35,1)),MIN($D$22:$D$35))</f>
        <v>45929.345758287731</v>
      </c>
      <c r="AI161" s="2">
        <f>O161/IFERROR(INDEX($C$22:$C$35,MATCH(节奏总纲!G157,$B$22:$B$35,1)),MIN($C$22:$C$35))*IFERROR(INDEX($D$22:$D$35,MATCH(节奏总纲!G157,$B$22:$B$35,1)),MIN($D$22:$D$35))</f>
        <v>43825.021683039908</v>
      </c>
      <c r="AJ161" s="2">
        <f>P161/IFERROR(INDEX($C$22:$C$35,MATCH(节奏总纲!H157,$B$22:$B$35,1)),MIN($C$22:$C$35))*IFERROR(INDEX($D$22:$D$35,MATCH(节奏总纲!H157,$B$22:$B$35,1)),MIN($D$22:$D$35))</f>
        <v>49199.340724494541</v>
      </c>
      <c r="AK161" s="2">
        <f>V161/IFERROR(INDEX($E$22:$E$35,MATCH(节奏总纲!D157,$B$22:$B$35,1)),MIN($E$22:$E$35))*IFERROR(INDEX($F$22:$F$35,MATCH(节奏总纲!D157,$B$22:$B$35,1)),MIN($F$22:$F$35))</f>
        <v>0</v>
      </c>
      <c r="AL161" s="2">
        <f>W161/IFERROR(INDEX($E$22:$E$35,MATCH(节奏总纲!E157,$B$22:$B$35,1)),MIN($E$22:$E$35))*IFERROR(INDEX($F$22:$F$35,MATCH(节奏总纲!E157,$B$22:$B$35,1)),MIN($F$22:$F$35))</f>
        <v>11869.742879106871</v>
      </c>
      <c r="AM161" s="2">
        <f>X161/IFERROR(INDEX($E$22:$E$35,MATCH(节奏总纲!F157,$B$22:$B$35,1)),MIN($E$22:$E$35))*IFERROR(INDEX($F$22:$F$35,MATCH(节奏总纲!F157,$B$22:$B$35,1)),MIN($F$22:$F$35))</f>
        <v>28535.999999999996</v>
      </c>
      <c r="AN161" s="2">
        <f>Y161/IFERROR(INDEX($E$22:$E$35,MATCH(节奏总纲!G157,$B$22:$B$35,1)),MIN($E$22:$E$35))*IFERROR(INDEX($F$22:$F$35,MATCH(节奏总纲!G157,$B$22:$B$35,1)),MIN($F$22:$F$35))</f>
        <v>71340</v>
      </c>
      <c r="AO161" s="2">
        <f>Z161/IFERROR(INDEX($E$22:$E$35,MATCH(节奏总纲!H157,$B$22:$B$35,1)),MIN($E$22:$E$35))*IFERROR(INDEX($F$22:$F$35,MATCH(节奏总纲!H157,$B$22:$B$35,1)),MIN($F$22:$F$35))</f>
        <v>118900</v>
      </c>
      <c r="AQ161" s="2">
        <v>154</v>
      </c>
      <c r="AR161" s="2">
        <f t="shared" si="42"/>
        <v>39379.560389271624</v>
      </c>
      <c r="AS161" s="2">
        <f t="shared" si="43"/>
        <v>54283.606837276428</v>
      </c>
      <c r="AT161" s="2">
        <f t="shared" si="44"/>
        <v>74465.345758287731</v>
      </c>
      <c r="AU161" s="2">
        <f t="shared" si="45"/>
        <v>115165.0216830399</v>
      </c>
      <c r="AV161" s="2">
        <f t="shared" si="46"/>
        <v>168099.34072449454</v>
      </c>
      <c r="AX161" s="41">
        <f t="shared" si="47"/>
        <v>0</v>
      </c>
      <c r="AY161" s="41">
        <f t="shared" si="48"/>
        <v>0.21866164705466745</v>
      </c>
      <c r="AZ161" s="41">
        <f t="shared" si="49"/>
        <v>0.38321181093588141</v>
      </c>
      <c r="BA161" s="41">
        <f t="shared" si="50"/>
        <v>0.61945892040331274</v>
      </c>
      <c r="BB161" s="41">
        <f t="shared" si="51"/>
        <v>0.70731984722575725</v>
      </c>
      <c r="BD161" s="2" t="e">
        <f t="shared" si="52"/>
        <v>#DIV/0!</v>
      </c>
      <c r="BE161" s="2">
        <f t="shared" si="53"/>
        <v>2.518697330130546</v>
      </c>
      <c r="BF161" s="2">
        <f t="shared" si="54"/>
        <v>2.4852084895941124</v>
      </c>
      <c r="BG161" s="2">
        <f t="shared" si="55"/>
        <v>2.4417557799272558</v>
      </c>
      <c r="BH161" s="2">
        <f t="shared" si="56"/>
        <v>2.4166990502131682</v>
      </c>
    </row>
    <row r="162" spans="11:60" x14ac:dyDescent="0.2">
      <c r="K162" s="2">
        <v>155</v>
      </c>
      <c r="L162" s="2">
        <f>标准城池设计!AB158*$B$10/C$14*$C$5*C$7</f>
        <v>437999350.57801181</v>
      </c>
      <c r="M162" s="2">
        <f>标准城池设计!AC158*$B$10/D$14*$C$5*D$7</f>
        <v>471548833.06431448</v>
      </c>
      <c r="N162" s="2">
        <f>标准城池设计!AD158*$B$10/E$14*$C$5*E$7</f>
        <v>510612788.38156682</v>
      </c>
      <c r="O162" s="2">
        <f>标准城池设计!AE158*$B$10/F$14*$C$5*F$7</f>
        <v>482719909.25632322</v>
      </c>
      <c r="P162" s="2">
        <f>标准城池设计!AF158*$B$10/G$14*$C$5*G$7</f>
        <v>541192747.96943998</v>
      </c>
      <c r="Q162" s="2">
        <f t="shared" si="40"/>
        <v>54119.274796943995</v>
      </c>
      <c r="U162" s="2">
        <v>155</v>
      </c>
      <c r="V162" s="2">
        <f>其他调用!R159*6*其他调用!BM159*$B$10/C$15*$C$5*C$8/3</f>
        <v>0</v>
      </c>
      <c r="W162" s="2">
        <f>其他调用!S159*6*其他调用!BN159*$B$10/D$15*$C$5*D$8/3</f>
        <v>1426799.9999999998</v>
      </c>
      <c r="X162" s="2">
        <f>其他调用!T159*6*其他调用!BO159*$B$10/E$15*$C$5*E$8/3</f>
        <v>3424319.9999999995</v>
      </c>
      <c r="Y162" s="2">
        <f>其他调用!U159*6*其他调用!BP159*$B$10/F$15*$C$5*F$8/3</f>
        <v>8560800</v>
      </c>
      <c r="Z162" s="2">
        <f>其他调用!V159*6*其他调用!BQ159*$B$10/G$15*$C$5*G$8/3</f>
        <v>14268000</v>
      </c>
      <c r="AA162" s="2">
        <f t="shared" si="41"/>
        <v>1426.8</v>
      </c>
      <c r="AE162" s="2">
        <v>155</v>
      </c>
      <c r="AF162" s="2">
        <f>L162/IFERROR(INDEX($C$22:$C$35,MATCH(节奏总纲!D158,$B$22:$B$35,1)),MIN($C$22:$C$35))*IFERROR(INDEX($D$22:$D$35,MATCH(节奏总纲!D158,$B$22:$B$35,1)),MIN($D$22:$D$35))</f>
        <v>39818.122779819256</v>
      </c>
      <c r="AG162" s="2">
        <f>M162/IFERROR(INDEX($C$22:$C$35,MATCH(节奏总纲!E158,$B$22:$B$35,1)),MIN($C$22:$C$35))*IFERROR(INDEX($D$22:$D$35,MATCH(节奏总纲!E158,$B$22:$B$35,1)),MIN($D$22:$D$35))</f>
        <v>42868.075733119498</v>
      </c>
      <c r="AH162" s="2">
        <f>N162/IFERROR(INDEX($C$22:$C$35,MATCH(节奏总纲!F158,$B$22:$B$35,1)),MIN($C$22:$C$35))*IFERROR(INDEX($D$22:$D$35,MATCH(节奏总纲!F158,$B$22:$B$35,1)),MIN($D$22:$D$35))</f>
        <v>46419.344398324254</v>
      </c>
      <c r="AI162" s="2">
        <f>O162/IFERROR(INDEX($C$22:$C$35,MATCH(节奏总纲!G158,$B$22:$B$35,1)),MIN($C$22:$C$35))*IFERROR(INDEX($D$22:$D$35,MATCH(节奏总纲!G158,$B$22:$B$35,1)),MIN($D$22:$D$35))</f>
        <v>43883.628114211198</v>
      </c>
      <c r="AJ162" s="2">
        <f>P162/IFERROR(INDEX($C$22:$C$35,MATCH(节奏总纲!H158,$B$22:$B$35,1)),MIN($C$22:$C$35))*IFERROR(INDEX($D$22:$D$35,MATCH(节奏总纲!H158,$B$22:$B$35,1)),MIN($D$22:$D$35))</f>
        <v>49199.340724494541</v>
      </c>
      <c r="AK162" s="2">
        <f>V162/IFERROR(INDEX($E$22:$E$35,MATCH(节奏总纲!D158,$B$22:$B$35,1)),MIN($E$22:$E$35))*IFERROR(INDEX($F$22:$F$35,MATCH(节奏总纲!D158,$B$22:$B$35,1)),MIN($F$22:$F$35))</f>
        <v>0</v>
      </c>
      <c r="AL162" s="2">
        <f>W162/IFERROR(INDEX($E$22:$E$35,MATCH(节奏总纲!E158,$B$22:$B$35,1)),MIN($E$22:$E$35))*IFERROR(INDEX($F$22:$F$35,MATCH(节奏总纲!E158,$B$22:$B$35,1)),MIN($F$22:$F$35))</f>
        <v>11889.999999999998</v>
      </c>
      <c r="AM162" s="2">
        <f>X162/IFERROR(INDEX($E$22:$E$35,MATCH(节奏总纲!F158,$B$22:$B$35,1)),MIN($E$22:$E$35))*IFERROR(INDEX($F$22:$F$35,MATCH(节奏总纲!F158,$B$22:$B$35,1)),MIN($F$22:$F$35))</f>
        <v>28535.999999999996</v>
      </c>
      <c r="AN162" s="2">
        <f>Y162/IFERROR(INDEX($E$22:$E$35,MATCH(节奏总纲!G158,$B$22:$B$35,1)),MIN($E$22:$E$35))*IFERROR(INDEX($F$22:$F$35,MATCH(节奏总纲!G158,$B$22:$B$35,1)),MIN($F$22:$F$35))</f>
        <v>71340</v>
      </c>
      <c r="AO162" s="2">
        <f>Z162/IFERROR(INDEX($E$22:$E$35,MATCH(节奏总纲!H158,$B$22:$B$35,1)),MIN($E$22:$E$35))*IFERROR(INDEX($F$22:$F$35,MATCH(节奏总纲!H158,$B$22:$B$35,1)),MIN($F$22:$F$35))</f>
        <v>118900</v>
      </c>
      <c r="AQ162" s="2">
        <v>155</v>
      </c>
      <c r="AR162" s="2">
        <f t="shared" si="42"/>
        <v>39818.122779819256</v>
      </c>
      <c r="AS162" s="2">
        <f t="shared" si="43"/>
        <v>54758.075733119498</v>
      </c>
      <c r="AT162" s="2">
        <f t="shared" si="44"/>
        <v>74955.344398324247</v>
      </c>
      <c r="AU162" s="2">
        <f t="shared" si="45"/>
        <v>115223.6281142112</v>
      </c>
      <c r="AV162" s="2">
        <f t="shared" si="46"/>
        <v>168099.34072449454</v>
      </c>
      <c r="AX162" s="41">
        <f t="shared" si="47"/>
        <v>0</v>
      </c>
      <c r="AY162" s="41">
        <f t="shared" si="48"/>
        <v>0.21713692164694773</v>
      </c>
      <c r="AZ162" s="41">
        <f t="shared" si="49"/>
        <v>0.38070667580893625</v>
      </c>
      <c r="BA162" s="41">
        <f t="shared" si="50"/>
        <v>0.61914384373738729</v>
      </c>
      <c r="BB162" s="41">
        <f>AO162/AV162</f>
        <v>0.70731984722575725</v>
      </c>
      <c r="BD162" s="2" t="e">
        <f t="shared" si="52"/>
        <v>#DIV/0!</v>
      </c>
      <c r="BE162" s="2">
        <f t="shared" si="53"/>
        <v>2.4962632021601343</v>
      </c>
      <c r="BF162" s="2">
        <f t="shared" si="54"/>
        <v>2.458974840758859</v>
      </c>
      <c r="BG162" s="2">
        <f t="shared" si="55"/>
        <v>2.438494823661721</v>
      </c>
      <c r="BH162" s="2">
        <f t="shared" si="56"/>
        <v>2.4166990502131682</v>
      </c>
    </row>
    <row r="163" spans="11:60" x14ac:dyDescent="0.2">
      <c r="K163" s="2">
        <v>156</v>
      </c>
      <c r="L163" s="2">
        <f>标准城池设计!AB159*$B$10/C$14*$C$5*C$7</f>
        <v>447717329.78117889</v>
      </c>
      <c r="M163" s="2">
        <f>标准城池设计!AC159*$B$10/D$14*$C$5*D$7</f>
        <v>481871568.68297768</v>
      </c>
      <c r="N163" s="2">
        <f>标准城池设计!AD159*$B$10/E$14*$C$5*E$7</f>
        <v>517274471.83587837</v>
      </c>
      <c r="O163" s="2">
        <f>标准城池设计!AE159*$B$10/F$14*$C$5*F$7</f>
        <v>488443216.92163193</v>
      </c>
      <c r="P163" s="2">
        <f>标准城池设计!AF159*$B$10/G$14*$C$5*G$7</f>
        <v>547897499.65439999</v>
      </c>
      <c r="Q163" s="2">
        <f t="shared" si="40"/>
        <v>54789.749965440002</v>
      </c>
      <c r="U163" s="2">
        <v>156</v>
      </c>
      <c r="V163" s="2">
        <f>其他调用!R160*6*其他调用!BM160*$B$10/C$15*$C$5*C$8/3</f>
        <v>0</v>
      </c>
      <c r="W163" s="2">
        <f>其他调用!S160*6*其他调用!BN160*$B$10/D$15*$C$5*D$8/3</f>
        <v>1426799.9999999998</v>
      </c>
      <c r="X163" s="2">
        <f>其他调用!T160*6*其他调用!BO160*$B$10/E$15*$C$5*E$8/3</f>
        <v>3424319.9999999995</v>
      </c>
      <c r="Y163" s="2">
        <f>其他调用!U160*6*其他调用!BP160*$B$10/F$15*$C$5*F$8/3</f>
        <v>8560800</v>
      </c>
      <c r="Z163" s="2">
        <f>其他调用!V160*6*其他调用!BQ160*$B$10/G$15*$C$5*G$8/3</f>
        <v>14268000</v>
      </c>
      <c r="AA163" s="2">
        <f t="shared" si="41"/>
        <v>1426.8</v>
      </c>
      <c r="AE163" s="2">
        <v>156</v>
      </c>
      <c r="AF163" s="2">
        <f>L163/IFERROR(INDEX($C$22:$C$35,MATCH(节奏总纲!D159,$B$22:$B$35,1)),MIN($C$22:$C$35))*IFERROR(INDEX($D$22:$D$35,MATCH(节奏总纲!D159,$B$22:$B$35,1)),MIN($D$22:$D$35))</f>
        <v>40701.57543465263</v>
      </c>
      <c r="AG163" s="2">
        <f>M163/IFERROR(INDEX($C$22:$C$35,MATCH(节奏总纲!E159,$B$22:$B$35,1)),MIN($C$22:$C$35))*IFERROR(INDEX($D$22:$D$35,MATCH(节奏总纲!E159,$B$22:$B$35,1)),MIN($D$22:$D$35))</f>
        <v>43806.506243907061</v>
      </c>
      <c r="AH163" s="2">
        <f>N163/IFERROR(INDEX($C$22:$C$35,MATCH(节奏总纲!F159,$B$22:$B$35,1)),MIN($C$22:$C$35))*IFERROR(INDEX($D$22:$D$35,MATCH(节奏总纲!F159,$B$22:$B$35,1)),MIN($D$22:$D$35))</f>
        <v>47024.951985079853</v>
      </c>
      <c r="AI163" s="2">
        <f>O163/IFERROR(INDEX($C$22:$C$35,MATCH(节奏总纲!G159,$B$22:$B$35,1)),MIN($C$22:$C$35))*IFERROR(INDEX($D$22:$D$35,MATCH(节奏总纲!G159,$B$22:$B$35,1)),MIN($D$22:$D$35))</f>
        <v>44403.928811057449</v>
      </c>
      <c r="AJ163" s="2">
        <f>P163/IFERROR(INDEX($C$22:$C$35,MATCH(节奏总纲!H159,$B$22:$B$35,1)),MIN($C$22:$C$35))*IFERROR(INDEX($D$22:$D$35,MATCH(节奏总纲!H159,$B$22:$B$35,1)),MIN($D$22:$D$35))</f>
        <v>49808.863604945451</v>
      </c>
      <c r="AK163" s="2">
        <f>V163/IFERROR(INDEX($E$22:$E$35,MATCH(节奏总纲!D159,$B$22:$B$35,1)),MIN($E$22:$E$35))*IFERROR(INDEX($F$22:$F$35,MATCH(节奏总纲!D159,$B$22:$B$35,1)),MIN($F$22:$F$35))</f>
        <v>0</v>
      </c>
      <c r="AL163" s="2">
        <f>W163/IFERROR(INDEX($E$22:$E$35,MATCH(节奏总纲!E159,$B$22:$B$35,1)),MIN($E$22:$E$35))*IFERROR(INDEX($F$22:$F$35,MATCH(节奏总纲!E159,$B$22:$B$35,1)),MIN($F$22:$F$35))</f>
        <v>11889.999999999998</v>
      </c>
      <c r="AM163" s="2">
        <f>X163/IFERROR(INDEX($E$22:$E$35,MATCH(节奏总纲!F159,$B$22:$B$35,1)),MIN($E$22:$E$35))*IFERROR(INDEX($F$22:$F$35,MATCH(节奏总纲!F159,$B$22:$B$35,1)),MIN($F$22:$F$35))</f>
        <v>28535.999999999996</v>
      </c>
      <c r="AN163" s="2">
        <f>Y163/IFERROR(INDEX($E$22:$E$35,MATCH(节奏总纲!G159,$B$22:$B$35,1)),MIN($E$22:$E$35))*IFERROR(INDEX($F$22:$F$35,MATCH(节奏总纲!G159,$B$22:$B$35,1)),MIN($F$22:$F$35))</f>
        <v>71340</v>
      </c>
      <c r="AO163" s="2">
        <f>Z163/IFERROR(INDEX($E$22:$E$35,MATCH(节奏总纲!H159,$B$22:$B$35,1)),MIN($E$22:$E$35))*IFERROR(INDEX($F$22:$F$35,MATCH(节奏总纲!H159,$B$22:$B$35,1)),MIN($F$22:$F$35))</f>
        <v>118900</v>
      </c>
      <c r="AQ163" s="2">
        <v>156</v>
      </c>
      <c r="AR163" s="2">
        <f t="shared" si="42"/>
        <v>40701.57543465263</v>
      </c>
      <c r="AS163" s="2">
        <f t="shared" si="43"/>
        <v>55696.506243907061</v>
      </c>
      <c r="AT163" s="2">
        <f t="shared" si="44"/>
        <v>75560.951985079853</v>
      </c>
      <c r="AU163" s="2">
        <f t="shared" si="45"/>
        <v>115743.92881105744</v>
      </c>
      <c r="AV163" s="2">
        <f t="shared" si="46"/>
        <v>168708.86360494545</v>
      </c>
      <c r="AX163" s="41">
        <f t="shared" si="47"/>
        <v>0</v>
      </c>
      <c r="AY163" s="41">
        <f t="shared" si="48"/>
        <v>0.21347838135360078</v>
      </c>
      <c r="AZ163" s="41">
        <f t="shared" si="49"/>
        <v>0.37765537953564521</v>
      </c>
      <c r="BA163" s="41">
        <f t="shared" si="50"/>
        <v>0.61636062239132006</v>
      </c>
      <c r="BB163" s="41">
        <f t="shared" si="51"/>
        <v>0.70476439387571466</v>
      </c>
      <c r="BD163" s="2" t="e">
        <f t="shared" si="52"/>
        <v>#DIV/0!</v>
      </c>
      <c r="BE163" s="2">
        <f t="shared" si="53"/>
        <v>2.4427878225254216</v>
      </c>
      <c r="BF163" s="2">
        <f t="shared" si="54"/>
        <v>2.4273071036035461</v>
      </c>
      <c r="BG163" s="2">
        <f t="shared" si="55"/>
        <v>2.4099218890142984</v>
      </c>
      <c r="BH163" s="2">
        <f t="shared" si="56"/>
        <v>2.3871253306047038</v>
      </c>
    </row>
    <row r="164" spans="11:60" x14ac:dyDescent="0.2">
      <c r="K164" s="2">
        <v>157</v>
      </c>
      <c r="L164" s="2">
        <f>标准城池设计!AB160*$B$10/C$14*$C$5*C$7</f>
        <v>452605332.16295099</v>
      </c>
      <c r="M164" s="2">
        <f>标准城池设计!AC160*$B$10/D$14*$C$5*D$7</f>
        <v>482612550.96247196</v>
      </c>
      <c r="N164" s="2">
        <f>标准城池设计!AD160*$B$10/E$14*$C$5*E$7</f>
        <v>517274471.83587837</v>
      </c>
      <c r="O164" s="2">
        <f>标准城池设计!AE160*$B$10/F$14*$C$5*F$7</f>
        <v>488443216.92163193</v>
      </c>
      <c r="P164" s="2">
        <f>标准城池设计!AF160*$B$10/G$14*$C$5*G$7</f>
        <v>547897499.65439999</v>
      </c>
      <c r="Q164" s="2">
        <f t="shared" si="40"/>
        <v>54789.749965440002</v>
      </c>
      <c r="U164" s="2">
        <v>157</v>
      </c>
      <c r="V164" s="2">
        <f>其他调用!R161*6*其他调用!BM161*$B$10/C$15*$C$5*C$8/3</f>
        <v>0</v>
      </c>
      <c r="W164" s="2">
        <f>其他调用!S161*6*其他调用!BN161*$B$10/D$15*$C$5*D$8/3</f>
        <v>1426799.9999999998</v>
      </c>
      <c r="X164" s="2">
        <f>其他调用!T161*6*其他调用!BO161*$B$10/E$15*$C$5*E$8/3</f>
        <v>3424319.9999999995</v>
      </c>
      <c r="Y164" s="2">
        <f>其他调用!U161*6*其他调用!BP161*$B$10/F$15*$C$5*F$8/3</f>
        <v>8560800</v>
      </c>
      <c r="Z164" s="2">
        <f>其他调用!V161*6*其他调用!BQ161*$B$10/G$15*$C$5*G$8/3</f>
        <v>14268000</v>
      </c>
      <c r="AA164" s="2">
        <f t="shared" si="41"/>
        <v>1426.8</v>
      </c>
      <c r="AE164" s="2">
        <v>157</v>
      </c>
      <c r="AF164" s="2">
        <f>L164/IFERROR(INDEX($C$22:$C$35,MATCH(节奏总纲!D160,$B$22:$B$35,1)),MIN($C$22:$C$35))*IFERROR(INDEX($D$22:$D$35,MATCH(节奏总纲!D160,$B$22:$B$35,1)),MIN($D$22:$D$35))</f>
        <v>41145.939287540998</v>
      </c>
      <c r="AG164" s="2">
        <f>M164/IFERROR(INDEX($C$22:$C$35,MATCH(节奏总纲!E160,$B$22:$B$35,1)),MIN($C$22:$C$35))*IFERROR(INDEX($D$22:$D$35,MATCH(节奏总纲!E160,$B$22:$B$35,1)),MIN($D$22:$D$35))</f>
        <v>43873.86826931563</v>
      </c>
      <c r="AH164" s="2">
        <f>N164/IFERROR(INDEX($C$22:$C$35,MATCH(节奏总纲!F160,$B$22:$B$35,1)),MIN($C$22:$C$35))*IFERROR(INDEX($D$22:$D$35,MATCH(节奏总纲!F160,$B$22:$B$35,1)),MIN($D$22:$D$35))</f>
        <v>47024.951985079853</v>
      </c>
      <c r="AI164" s="2">
        <f>O164/IFERROR(INDEX($C$22:$C$35,MATCH(节奏总纲!G160,$B$22:$B$35,1)),MIN($C$22:$C$35))*IFERROR(INDEX($D$22:$D$35,MATCH(节奏总纲!G160,$B$22:$B$35,1)),MIN($D$22:$D$35))</f>
        <v>44403.928811057449</v>
      </c>
      <c r="AJ164" s="2">
        <f>P164/IFERROR(INDEX($C$22:$C$35,MATCH(节奏总纲!H160,$B$22:$B$35,1)),MIN($C$22:$C$35))*IFERROR(INDEX($D$22:$D$35,MATCH(节奏总纲!H160,$B$22:$B$35,1)),MIN($D$22:$D$35))</f>
        <v>49808.863604945451</v>
      </c>
      <c r="AK164" s="2">
        <f>V164/IFERROR(INDEX($E$22:$E$35,MATCH(节奏总纲!D160,$B$22:$B$35,1)),MIN($E$22:$E$35))*IFERROR(INDEX($F$22:$F$35,MATCH(节奏总纲!D160,$B$22:$B$35,1)),MIN($F$22:$F$35))</f>
        <v>0</v>
      </c>
      <c r="AL164" s="2">
        <f>W164/IFERROR(INDEX($E$22:$E$35,MATCH(节奏总纲!E160,$B$22:$B$35,1)),MIN($E$22:$E$35))*IFERROR(INDEX($F$22:$F$35,MATCH(节奏总纲!E160,$B$22:$B$35,1)),MIN($F$22:$F$35))</f>
        <v>11889.999999999998</v>
      </c>
      <c r="AM164" s="2">
        <f>X164/IFERROR(INDEX($E$22:$E$35,MATCH(节奏总纲!F160,$B$22:$B$35,1)),MIN($E$22:$E$35))*IFERROR(INDEX($F$22:$F$35,MATCH(节奏总纲!F160,$B$22:$B$35,1)),MIN($F$22:$F$35))</f>
        <v>28535.999999999996</v>
      </c>
      <c r="AN164" s="2">
        <f>Y164/IFERROR(INDEX($E$22:$E$35,MATCH(节奏总纲!G160,$B$22:$B$35,1)),MIN($E$22:$E$35))*IFERROR(INDEX($F$22:$F$35,MATCH(节奏总纲!G160,$B$22:$B$35,1)),MIN($F$22:$F$35))</f>
        <v>71340</v>
      </c>
      <c r="AO164" s="2">
        <f>Z164/IFERROR(INDEX($E$22:$E$35,MATCH(节奏总纲!H160,$B$22:$B$35,1)),MIN($E$22:$E$35))*IFERROR(INDEX($F$22:$F$35,MATCH(节奏总纲!H160,$B$22:$B$35,1)),MIN($F$22:$F$35))</f>
        <v>118900</v>
      </c>
      <c r="AQ164" s="2">
        <v>157</v>
      </c>
      <c r="AR164" s="2">
        <f t="shared" si="42"/>
        <v>41145.939287540998</v>
      </c>
      <c r="AS164" s="2">
        <f t="shared" si="43"/>
        <v>55763.86826931563</v>
      </c>
      <c r="AT164" s="2">
        <f t="shared" si="44"/>
        <v>75560.951985079853</v>
      </c>
      <c r="AU164" s="2">
        <f t="shared" si="45"/>
        <v>115743.92881105744</v>
      </c>
      <c r="AV164" s="2">
        <f t="shared" si="46"/>
        <v>168708.86360494545</v>
      </c>
      <c r="AX164" s="41">
        <f t="shared" si="47"/>
        <v>0</v>
      </c>
      <c r="AY164" s="41">
        <f t="shared" si="48"/>
        <v>0.21322050225383191</v>
      </c>
      <c r="AZ164" s="41">
        <f t="shared" si="49"/>
        <v>0.37765537953564521</v>
      </c>
      <c r="BA164" s="41">
        <f t="shared" si="50"/>
        <v>0.61636062239132006</v>
      </c>
      <c r="BB164" s="41">
        <f t="shared" si="51"/>
        <v>0.70476439387571466</v>
      </c>
      <c r="BD164" s="2" t="e">
        <f t="shared" si="52"/>
        <v>#DIV/0!</v>
      </c>
      <c r="BE164" s="2">
        <f t="shared" si="53"/>
        <v>2.4390372725543403</v>
      </c>
      <c r="BF164" s="2">
        <f t="shared" si="54"/>
        <v>2.4273071036035461</v>
      </c>
      <c r="BG164" s="2">
        <f t="shared" si="55"/>
        <v>2.4099218890142984</v>
      </c>
      <c r="BH164" s="2">
        <f t="shared" si="56"/>
        <v>2.3871253306047038</v>
      </c>
    </row>
    <row r="165" spans="11:60" x14ac:dyDescent="0.2">
      <c r="K165" s="2">
        <v>158</v>
      </c>
      <c r="L165" s="2">
        <f>标准城池设计!AB161*$B$10/C$14*$C$5*C$7</f>
        <v>454497902.43472612</v>
      </c>
      <c r="M165" s="2">
        <f>标准城池设计!AC161*$B$10/D$14*$C$5*D$7</f>
        <v>482612550.96247196</v>
      </c>
      <c r="N165" s="2">
        <f>标准城池设计!AD161*$B$10/E$14*$C$5*E$7</f>
        <v>517274471.83587837</v>
      </c>
      <c r="O165" s="2">
        <f>标准城池设计!AE161*$B$10/F$14*$C$5*F$7</f>
        <v>488443216.92163193</v>
      </c>
      <c r="P165" s="2">
        <f>标准城池设计!AF161*$B$10/G$14*$C$5*G$7</f>
        <v>547897499.65439999</v>
      </c>
      <c r="Q165" s="2">
        <f t="shared" si="40"/>
        <v>54789.749965440002</v>
      </c>
      <c r="U165" s="2">
        <v>158</v>
      </c>
      <c r="V165" s="2">
        <f>其他调用!R162*6*其他调用!BM162*$B$10/C$15*$C$5*C$8/3</f>
        <v>0</v>
      </c>
      <c r="W165" s="2">
        <f>其他调用!S162*6*其他调用!BN162*$B$10/D$15*$C$5*D$8/3</f>
        <v>1426799.9999999998</v>
      </c>
      <c r="X165" s="2">
        <f>其他调用!T162*6*其他调用!BO162*$B$10/E$15*$C$5*E$8/3</f>
        <v>3424319.9999999995</v>
      </c>
      <c r="Y165" s="2">
        <f>其他调用!U162*6*其他调用!BP162*$B$10/F$15*$C$5*F$8/3</f>
        <v>8560800</v>
      </c>
      <c r="Z165" s="2">
        <f>其他调用!V162*6*其他调用!BQ162*$B$10/G$15*$C$5*G$8/3</f>
        <v>14268000</v>
      </c>
      <c r="AA165" s="2">
        <f t="shared" si="41"/>
        <v>1426.8</v>
      </c>
      <c r="AE165" s="2">
        <v>158</v>
      </c>
      <c r="AF165" s="2">
        <f>L165/IFERROR(INDEX($C$22:$C$35,MATCH(节奏总纲!D161,$B$22:$B$35,1)),MIN($C$22:$C$35))*IFERROR(INDEX($D$22:$D$35,MATCH(节奏总纲!D161,$B$22:$B$35,1)),MIN($D$22:$D$35))</f>
        <v>41317.991130429647</v>
      </c>
      <c r="AG165" s="2">
        <f>M165/IFERROR(INDEX($C$22:$C$35,MATCH(节奏总纲!E161,$B$22:$B$35,1)),MIN($C$22:$C$35))*IFERROR(INDEX($D$22:$D$35,MATCH(节奏总纲!E161,$B$22:$B$35,1)),MIN($D$22:$D$35))</f>
        <v>43873.86826931563</v>
      </c>
      <c r="AH165" s="2">
        <f>N165/IFERROR(INDEX($C$22:$C$35,MATCH(节奏总纲!F161,$B$22:$B$35,1)),MIN($C$22:$C$35))*IFERROR(INDEX($D$22:$D$35,MATCH(节奏总纲!F161,$B$22:$B$35,1)),MIN($D$22:$D$35))</f>
        <v>47024.951985079853</v>
      </c>
      <c r="AI165" s="2">
        <f>O165/IFERROR(INDEX($C$22:$C$35,MATCH(节奏总纲!G161,$B$22:$B$35,1)),MIN($C$22:$C$35))*IFERROR(INDEX($D$22:$D$35,MATCH(节奏总纲!G161,$B$22:$B$35,1)),MIN($D$22:$D$35))</f>
        <v>44403.928811057449</v>
      </c>
      <c r="AJ165" s="2">
        <f>P165/IFERROR(INDEX($C$22:$C$35,MATCH(节奏总纲!H161,$B$22:$B$35,1)),MIN($C$22:$C$35))*IFERROR(INDEX($D$22:$D$35,MATCH(节奏总纲!H161,$B$22:$B$35,1)),MIN($D$22:$D$35))</f>
        <v>49808.863604945451</v>
      </c>
      <c r="AK165" s="2">
        <f>V165/IFERROR(INDEX($E$22:$E$35,MATCH(节奏总纲!D161,$B$22:$B$35,1)),MIN($E$22:$E$35))*IFERROR(INDEX($F$22:$F$35,MATCH(节奏总纲!D161,$B$22:$B$35,1)),MIN($F$22:$F$35))</f>
        <v>0</v>
      </c>
      <c r="AL165" s="2">
        <f>W165/IFERROR(INDEX($E$22:$E$35,MATCH(节奏总纲!E161,$B$22:$B$35,1)),MIN($E$22:$E$35))*IFERROR(INDEX($F$22:$F$35,MATCH(节奏总纲!E161,$B$22:$B$35,1)),MIN($F$22:$F$35))</f>
        <v>11889.999999999998</v>
      </c>
      <c r="AM165" s="2">
        <f>X165/IFERROR(INDEX($E$22:$E$35,MATCH(节奏总纲!F161,$B$22:$B$35,1)),MIN($E$22:$E$35))*IFERROR(INDEX($F$22:$F$35,MATCH(节奏总纲!F161,$B$22:$B$35,1)),MIN($F$22:$F$35))</f>
        <v>28535.999999999996</v>
      </c>
      <c r="AN165" s="2">
        <f>Y165/IFERROR(INDEX($E$22:$E$35,MATCH(节奏总纲!G161,$B$22:$B$35,1)),MIN($E$22:$E$35))*IFERROR(INDEX($F$22:$F$35,MATCH(节奏总纲!G161,$B$22:$B$35,1)),MIN($F$22:$F$35))</f>
        <v>71340</v>
      </c>
      <c r="AO165" s="2">
        <f>Z165/IFERROR(INDEX($E$22:$E$35,MATCH(节奏总纲!H161,$B$22:$B$35,1)),MIN($E$22:$E$35))*IFERROR(INDEX($F$22:$F$35,MATCH(节奏总纲!H161,$B$22:$B$35,1)),MIN($F$22:$F$35))</f>
        <v>118900</v>
      </c>
      <c r="AQ165" s="2">
        <v>158</v>
      </c>
      <c r="AR165" s="2">
        <f t="shared" si="42"/>
        <v>41317.991130429647</v>
      </c>
      <c r="AS165" s="2">
        <f t="shared" si="43"/>
        <v>55763.86826931563</v>
      </c>
      <c r="AT165" s="2">
        <f t="shared" si="44"/>
        <v>75560.951985079853</v>
      </c>
      <c r="AU165" s="2">
        <f t="shared" si="45"/>
        <v>115743.92881105744</v>
      </c>
      <c r="AV165" s="2">
        <f t="shared" si="46"/>
        <v>168708.86360494545</v>
      </c>
      <c r="AX165" s="41">
        <f t="shared" si="47"/>
        <v>0</v>
      </c>
      <c r="AY165" s="41">
        <f t="shared" si="48"/>
        <v>0.21322050225383191</v>
      </c>
      <c r="AZ165" s="41">
        <f t="shared" si="49"/>
        <v>0.37765537953564521</v>
      </c>
      <c r="BA165" s="41">
        <f t="shared" si="50"/>
        <v>0.61636062239132006</v>
      </c>
      <c r="BB165" s="41">
        <f t="shared" si="51"/>
        <v>0.70476439387571466</v>
      </c>
      <c r="BD165" s="2" t="e">
        <f t="shared" si="52"/>
        <v>#DIV/0!</v>
      </c>
      <c r="BE165" s="2">
        <f t="shared" si="53"/>
        <v>2.4390372725543403</v>
      </c>
      <c r="BF165" s="2">
        <f t="shared" si="54"/>
        <v>2.4273071036035461</v>
      </c>
      <c r="BG165" s="2">
        <f t="shared" si="55"/>
        <v>2.4099218890142984</v>
      </c>
      <c r="BH165" s="2">
        <f t="shared" si="56"/>
        <v>2.3871253306047038</v>
      </c>
    </row>
    <row r="166" spans="11:60" x14ac:dyDescent="0.2">
      <c r="K166" s="2">
        <v>159</v>
      </c>
      <c r="L166" s="2">
        <f>标准城池设计!AB162*$B$10/C$14*$C$5*C$7</f>
        <v>454756752.00055599</v>
      </c>
      <c r="M166" s="2">
        <f>标准城池设计!AC162*$B$10/D$14*$C$5*D$7</f>
        <v>482612550.96247196</v>
      </c>
      <c r="N166" s="2">
        <f>标准城池设计!AD162*$B$10/E$14*$C$5*E$7</f>
        <v>517274471.83587837</v>
      </c>
      <c r="O166" s="2">
        <f>标准城池设计!AE162*$B$10/F$14*$C$5*F$7</f>
        <v>488443216.92163193</v>
      </c>
      <c r="P166" s="2">
        <f>标准城池设计!AF162*$B$10/G$14*$C$5*G$7</f>
        <v>547897499.65439999</v>
      </c>
      <c r="Q166" s="2">
        <f t="shared" si="40"/>
        <v>54789.749965440002</v>
      </c>
      <c r="U166" s="2">
        <v>159</v>
      </c>
      <c r="V166" s="2">
        <f>其他调用!R163*6*其他调用!BM163*$B$10/C$15*$C$5*C$8/3</f>
        <v>0</v>
      </c>
      <c r="W166" s="2">
        <f>其他调用!S163*6*其他调用!BN163*$B$10/D$15*$C$5*D$8/3</f>
        <v>1426799.9999999998</v>
      </c>
      <c r="X166" s="2">
        <f>其他调用!T163*6*其他调用!BO163*$B$10/E$15*$C$5*E$8/3</f>
        <v>3424319.9999999995</v>
      </c>
      <c r="Y166" s="2">
        <f>其他调用!U163*6*其他调用!BP163*$B$10/F$15*$C$5*F$8/3</f>
        <v>8560800</v>
      </c>
      <c r="Z166" s="2">
        <f>其他调用!V163*6*其他调用!BQ163*$B$10/G$15*$C$5*G$8/3</f>
        <v>14268000</v>
      </c>
      <c r="AA166" s="2">
        <f t="shared" si="41"/>
        <v>1426.8</v>
      </c>
      <c r="AE166" s="2">
        <v>159</v>
      </c>
      <c r="AF166" s="2">
        <f>L166/IFERROR(INDEX($C$22:$C$35,MATCH(节奏总纲!D162,$B$22:$B$35,1)),MIN($C$22:$C$35))*IFERROR(INDEX($D$22:$D$35,MATCH(节奏总纲!D162,$B$22:$B$35,1)),MIN($D$22:$D$35))</f>
        <v>41341.522909141451</v>
      </c>
      <c r="AG166" s="2">
        <f>M166/IFERROR(INDEX($C$22:$C$35,MATCH(节奏总纲!E162,$B$22:$B$35,1)),MIN($C$22:$C$35))*IFERROR(INDEX($D$22:$D$35,MATCH(节奏总纲!E162,$B$22:$B$35,1)),MIN($D$22:$D$35))</f>
        <v>43873.86826931563</v>
      </c>
      <c r="AH166" s="2">
        <f>N166/IFERROR(INDEX($C$22:$C$35,MATCH(节奏总纲!F162,$B$22:$B$35,1)),MIN($C$22:$C$35))*IFERROR(INDEX($D$22:$D$35,MATCH(节奏总纲!F162,$B$22:$B$35,1)),MIN($D$22:$D$35))</f>
        <v>47024.951985079853</v>
      </c>
      <c r="AI166" s="2">
        <f>O166/IFERROR(INDEX($C$22:$C$35,MATCH(节奏总纲!G162,$B$22:$B$35,1)),MIN($C$22:$C$35))*IFERROR(INDEX($D$22:$D$35,MATCH(节奏总纲!G162,$B$22:$B$35,1)),MIN($D$22:$D$35))</f>
        <v>44403.928811057449</v>
      </c>
      <c r="AJ166" s="2">
        <f>P166/IFERROR(INDEX($C$22:$C$35,MATCH(节奏总纲!H162,$B$22:$B$35,1)),MIN($C$22:$C$35))*IFERROR(INDEX($D$22:$D$35,MATCH(节奏总纲!H162,$B$22:$B$35,1)),MIN($D$22:$D$35))</f>
        <v>49808.863604945451</v>
      </c>
      <c r="AK166" s="2">
        <f>V166/IFERROR(INDEX($E$22:$E$35,MATCH(节奏总纲!D162,$B$22:$B$35,1)),MIN($E$22:$E$35))*IFERROR(INDEX($F$22:$F$35,MATCH(节奏总纲!D162,$B$22:$B$35,1)),MIN($F$22:$F$35))</f>
        <v>0</v>
      </c>
      <c r="AL166" s="2">
        <f>W166/IFERROR(INDEX($E$22:$E$35,MATCH(节奏总纲!E162,$B$22:$B$35,1)),MIN($E$22:$E$35))*IFERROR(INDEX($F$22:$F$35,MATCH(节奏总纲!E162,$B$22:$B$35,1)),MIN($F$22:$F$35))</f>
        <v>11889.999999999998</v>
      </c>
      <c r="AM166" s="2">
        <f>X166/IFERROR(INDEX($E$22:$E$35,MATCH(节奏总纲!F162,$B$22:$B$35,1)),MIN($E$22:$E$35))*IFERROR(INDEX($F$22:$F$35,MATCH(节奏总纲!F162,$B$22:$B$35,1)),MIN($F$22:$F$35))</f>
        <v>28535.999999999996</v>
      </c>
      <c r="AN166" s="2">
        <f>Y166/IFERROR(INDEX($E$22:$E$35,MATCH(节奏总纲!G162,$B$22:$B$35,1)),MIN($E$22:$E$35))*IFERROR(INDEX($F$22:$F$35,MATCH(节奏总纲!G162,$B$22:$B$35,1)),MIN($F$22:$F$35))</f>
        <v>71340</v>
      </c>
      <c r="AO166" s="2">
        <f>Z166/IFERROR(INDEX($E$22:$E$35,MATCH(节奏总纲!H162,$B$22:$B$35,1)),MIN($E$22:$E$35))*IFERROR(INDEX($F$22:$F$35,MATCH(节奏总纲!H162,$B$22:$B$35,1)),MIN($F$22:$F$35))</f>
        <v>118900</v>
      </c>
      <c r="AQ166" s="2">
        <v>159</v>
      </c>
      <c r="AR166" s="2">
        <f t="shared" si="42"/>
        <v>41341.522909141451</v>
      </c>
      <c r="AS166" s="2">
        <f t="shared" si="43"/>
        <v>55763.86826931563</v>
      </c>
      <c r="AT166" s="2">
        <f t="shared" si="44"/>
        <v>75560.951985079853</v>
      </c>
      <c r="AU166" s="2">
        <f t="shared" si="45"/>
        <v>115743.92881105744</v>
      </c>
      <c r="AV166" s="2">
        <f t="shared" si="46"/>
        <v>168708.86360494545</v>
      </c>
      <c r="AX166" s="41">
        <f t="shared" si="47"/>
        <v>0</v>
      </c>
      <c r="AY166" s="41">
        <f t="shared" si="48"/>
        <v>0.21322050225383191</v>
      </c>
      <c r="AZ166" s="41">
        <f t="shared" si="49"/>
        <v>0.37765537953564521</v>
      </c>
      <c r="BA166" s="41">
        <f t="shared" si="50"/>
        <v>0.61636062239132006</v>
      </c>
      <c r="BB166" s="41">
        <f t="shared" si="51"/>
        <v>0.70476439387571466</v>
      </c>
      <c r="BD166" s="2" t="e">
        <f t="shared" si="52"/>
        <v>#DIV/0!</v>
      </c>
      <c r="BE166" s="2">
        <f t="shared" si="53"/>
        <v>2.4390372725543403</v>
      </c>
      <c r="BF166" s="2">
        <f t="shared" si="54"/>
        <v>2.4273071036035461</v>
      </c>
      <c r="BG166" s="2">
        <f t="shared" si="55"/>
        <v>2.4099218890142984</v>
      </c>
      <c r="BH166" s="2">
        <f t="shared" si="56"/>
        <v>2.3871253306047038</v>
      </c>
    </row>
    <row r="167" spans="11:60" x14ac:dyDescent="0.2">
      <c r="K167" s="2">
        <v>160</v>
      </c>
      <c r="L167" s="2">
        <f>标准城池设计!AB163*$B$10/C$14*$C$5*C$7</f>
        <v>455013537.25762391</v>
      </c>
      <c r="M167" s="2">
        <f>标准城池设计!AC163*$B$10/D$14*$C$5*D$7</f>
        <v>482612550.96247196</v>
      </c>
      <c r="N167" s="2">
        <f>标准城池设计!AD163*$B$10/E$14*$C$5*E$7</f>
        <v>517274471.83587837</v>
      </c>
      <c r="O167" s="2">
        <f>标准城池设计!AE163*$B$10/F$14*$C$5*F$7</f>
        <v>488443216.92163193</v>
      </c>
      <c r="P167" s="2">
        <f>标准城池设计!AF163*$B$10/G$14*$C$5*G$7</f>
        <v>547897499.65439999</v>
      </c>
      <c r="Q167" s="2">
        <f t="shared" si="40"/>
        <v>54789.749965440002</v>
      </c>
      <c r="U167" s="2">
        <v>160</v>
      </c>
      <c r="V167" s="2">
        <f>其他调用!R164*6*其他调用!BM164*$B$10/C$15*$C$5*C$8/3</f>
        <v>0</v>
      </c>
      <c r="W167" s="2">
        <f>其他调用!S164*6*其他调用!BN164*$B$10/D$15*$C$5*D$8/3</f>
        <v>1426799.9999999998</v>
      </c>
      <c r="X167" s="2">
        <f>其他调用!T164*6*其他调用!BO164*$B$10/E$15*$C$5*E$8/3</f>
        <v>3424319.9999999995</v>
      </c>
      <c r="Y167" s="2">
        <f>其他调用!U164*6*其他调用!BP164*$B$10/F$15*$C$5*F$8/3</f>
        <v>8560800</v>
      </c>
      <c r="Z167" s="2">
        <f>其他调用!V164*6*其他调用!BQ164*$B$10/G$15*$C$5*G$8/3</f>
        <v>14268000</v>
      </c>
      <c r="AA167" s="2">
        <f t="shared" si="41"/>
        <v>1426.8</v>
      </c>
      <c r="AE167" s="2">
        <v>160</v>
      </c>
      <c r="AF167" s="2">
        <f>L167/IFERROR(INDEX($C$22:$C$35,MATCH(节奏总纲!D163,$B$22:$B$35,1)),MIN($C$22:$C$35))*IFERROR(INDEX($D$22:$D$35,MATCH(节奏总纲!D163,$B$22:$B$35,1)),MIN($D$22:$D$35))</f>
        <v>41364.867023420353</v>
      </c>
      <c r="AG167" s="2">
        <f>M167/IFERROR(INDEX($C$22:$C$35,MATCH(节奏总纲!E163,$B$22:$B$35,1)),MIN($C$22:$C$35))*IFERROR(INDEX($D$22:$D$35,MATCH(节奏总纲!E163,$B$22:$B$35,1)),MIN($D$22:$D$35))</f>
        <v>43873.86826931563</v>
      </c>
      <c r="AH167" s="2">
        <f>N167/IFERROR(INDEX($C$22:$C$35,MATCH(节奏总纲!F163,$B$22:$B$35,1)),MIN($C$22:$C$35))*IFERROR(INDEX($D$22:$D$35,MATCH(节奏总纲!F163,$B$22:$B$35,1)),MIN($D$22:$D$35))</f>
        <v>47024.951985079853</v>
      </c>
      <c r="AI167" s="2">
        <f>O167/IFERROR(INDEX($C$22:$C$35,MATCH(节奏总纲!G163,$B$22:$B$35,1)),MIN($C$22:$C$35))*IFERROR(INDEX($D$22:$D$35,MATCH(节奏总纲!G163,$B$22:$B$35,1)),MIN($D$22:$D$35))</f>
        <v>44403.928811057449</v>
      </c>
      <c r="AJ167" s="2">
        <f>P167/IFERROR(INDEX($C$22:$C$35,MATCH(节奏总纲!H163,$B$22:$B$35,1)),MIN($C$22:$C$35))*IFERROR(INDEX($D$22:$D$35,MATCH(节奏总纲!H163,$B$22:$B$35,1)),MIN($D$22:$D$35))</f>
        <v>49808.863604945451</v>
      </c>
      <c r="AK167" s="2">
        <f>V167/IFERROR(INDEX($E$22:$E$35,MATCH(节奏总纲!D163,$B$22:$B$35,1)),MIN($E$22:$E$35))*IFERROR(INDEX($F$22:$F$35,MATCH(节奏总纲!D163,$B$22:$B$35,1)),MIN($F$22:$F$35))</f>
        <v>0</v>
      </c>
      <c r="AL167" s="2">
        <f>W167/IFERROR(INDEX($E$22:$E$35,MATCH(节奏总纲!E163,$B$22:$B$35,1)),MIN($E$22:$E$35))*IFERROR(INDEX($F$22:$F$35,MATCH(节奏总纲!E163,$B$22:$B$35,1)),MIN($F$22:$F$35))</f>
        <v>11889.999999999998</v>
      </c>
      <c r="AM167" s="2">
        <f>X167/IFERROR(INDEX($E$22:$E$35,MATCH(节奏总纲!F163,$B$22:$B$35,1)),MIN($E$22:$E$35))*IFERROR(INDEX($F$22:$F$35,MATCH(节奏总纲!F163,$B$22:$B$35,1)),MIN($F$22:$F$35))</f>
        <v>28535.999999999996</v>
      </c>
      <c r="AN167" s="2">
        <f>Y167/IFERROR(INDEX($E$22:$E$35,MATCH(节奏总纲!G163,$B$22:$B$35,1)),MIN($E$22:$E$35))*IFERROR(INDEX($F$22:$F$35,MATCH(节奏总纲!G163,$B$22:$B$35,1)),MIN($F$22:$F$35))</f>
        <v>71340</v>
      </c>
      <c r="AO167" s="2">
        <f>Z167/IFERROR(INDEX($E$22:$E$35,MATCH(节奏总纲!H163,$B$22:$B$35,1)),MIN($E$22:$E$35))*IFERROR(INDEX($F$22:$F$35,MATCH(节奏总纲!H163,$B$22:$B$35,1)),MIN($F$22:$F$35))</f>
        <v>118900</v>
      </c>
      <c r="AQ167" s="2">
        <v>160</v>
      </c>
      <c r="AR167" s="2">
        <f t="shared" si="42"/>
        <v>41364.867023420353</v>
      </c>
      <c r="AS167" s="2">
        <f t="shared" si="43"/>
        <v>55763.86826931563</v>
      </c>
      <c r="AT167" s="2">
        <f t="shared" si="44"/>
        <v>75560.951985079853</v>
      </c>
      <c r="AU167" s="2">
        <f t="shared" si="45"/>
        <v>115743.92881105744</v>
      </c>
      <c r="AV167" s="2">
        <f t="shared" si="46"/>
        <v>168708.86360494545</v>
      </c>
      <c r="AX167" s="41">
        <f t="shared" si="47"/>
        <v>0</v>
      </c>
      <c r="AY167" s="41">
        <f t="shared" si="48"/>
        <v>0.21322050225383191</v>
      </c>
      <c r="AZ167" s="41">
        <f t="shared" si="49"/>
        <v>0.37765537953564521</v>
      </c>
      <c r="BA167" s="41">
        <f t="shared" si="50"/>
        <v>0.61636062239132006</v>
      </c>
      <c r="BB167" s="41">
        <f t="shared" si="51"/>
        <v>0.70476439387571466</v>
      </c>
      <c r="BD167" s="2" t="e">
        <f t="shared" si="52"/>
        <v>#DIV/0!</v>
      </c>
      <c r="BE167" s="2">
        <f t="shared" si="53"/>
        <v>2.4390372725543403</v>
      </c>
      <c r="BF167" s="2">
        <f t="shared" si="54"/>
        <v>2.4273071036035461</v>
      </c>
      <c r="BG167" s="2">
        <f t="shared" si="55"/>
        <v>2.4099218890142984</v>
      </c>
      <c r="BH167" s="2">
        <f t="shared" si="56"/>
        <v>2.3871253306047038</v>
      </c>
    </row>
  </sheetData>
  <mergeCells count="8">
    <mergeCell ref="AX6:BB6"/>
    <mergeCell ref="L6:P6"/>
    <mergeCell ref="V6:Z6"/>
    <mergeCell ref="C20:D20"/>
    <mergeCell ref="E20:F20"/>
    <mergeCell ref="AF6:AJ6"/>
    <mergeCell ref="AK6:AO6"/>
    <mergeCell ref="AR6:AV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D44C-6F2E-4786-BBA5-5D328DEBA9AE}">
  <sheetPr codeName="Sheet7"/>
  <dimension ref="A1:EP167"/>
  <sheetViews>
    <sheetView tabSelected="1" topLeftCell="BJ1" workbookViewId="0">
      <selection activeCell="BY28" sqref="BY28"/>
    </sheetView>
  </sheetViews>
  <sheetFormatPr defaultColWidth="6.625" defaultRowHeight="11.25" x14ac:dyDescent="0.15"/>
  <cols>
    <col min="1" max="2" width="6.625" style="2"/>
    <col min="3" max="7" width="6.625" style="2" customWidth="1"/>
    <col min="8" max="9" width="6.625" style="2"/>
    <col min="10" max="10" width="6.625" style="3" customWidth="1"/>
    <col min="11" max="11" width="6.625" style="2"/>
    <col min="12" max="12" width="6.625" style="2" customWidth="1"/>
    <col min="13" max="13" width="13.875" style="2" bestFit="1" customWidth="1"/>
    <col min="14" max="15" width="7.5" style="2" bestFit="1" customWidth="1"/>
    <col min="16" max="16" width="10.5" style="2" bestFit="1" customWidth="1"/>
    <col min="17" max="18" width="6.625" style="2" customWidth="1"/>
    <col min="19" max="19" width="6.625" style="2"/>
    <col min="20" max="40" width="6.625" style="2" customWidth="1"/>
    <col min="41" max="43" width="6.625" style="2"/>
    <col min="44" max="44" width="6.625" style="3" customWidth="1"/>
    <col min="45" max="46" width="6.625" style="2"/>
    <col min="47" max="49" width="13.875" style="2" bestFit="1" customWidth="1"/>
    <col min="50" max="50" width="6.625" style="2" customWidth="1"/>
    <col min="51" max="51" width="13" style="2" bestFit="1" customWidth="1"/>
    <col min="52" max="53" width="6.625" style="2" customWidth="1"/>
    <col min="54" max="54" width="6.625" style="2"/>
    <col min="55" max="68" width="6.625" style="2" customWidth="1"/>
    <col min="69" max="69" width="6.625" style="3"/>
    <col min="70" max="70" width="6.625" style="2"/>
    <col min="71" max="71" width="15.5" style="2" bestFit="1" customWidth="1"/>
    <col min="72" max="74" width="6.625" style="2" customWidth="1"/>
    <col min="75" max="76" width="13" style="2" bestFit="1" customWidth="1"/>
    <col min="77" max="77" width="6.625" style="2" customWidth="1"/>
    <col min="78" max="78" width="10.5" style="2" bestFit="1" customWidth="1"/>
    <col min="79" max="79" width="6.625" style="2" customWidth="1"/>
    <col min="80" max="81" width="6.625" style="2"/>
    <col min="82" max="93" width="6.625" style="2" customWidth="1"/>
    <col min="94" max="94" width="6.625" style="2"/>
    <col min="95" max="95" width="6.625" style="3" hidden="1" customWidth="1"/>
    <col min="96" max="96" width="0" style="2" hidden="1" customWidth="1"/>
    <col min="97" max="114" width="6.625" style="2" hidden="1" customWidth="1"/>
    <col min="115" max="115" width="0" style="2" hidden="1" customWidth="1"/>
    <col min="116" max="120" width="6.625" style="2" hidden="1" customWidth="1"/>
    <col min="121" max="121" width="0" style="2" hidden="1" customWidth="1"/>
    <col min="122" max="125" width="6.625" style="2" hidden="1" customWidth="1"/>
    <col min="126" max="126" width="0" style="2" hidden="1" customWidth="1"/>
    <col min="127" max="127" width="6.625" style="3"/>
    <col min="128" max="128" width="6.625" style="7"/>
    <col min="129" max="134" width="6.625" style="2"/>
    <col min="135" max="137" width="6.625" style="7"/>
    <col min="138" max="139" width="6.625" style="2"/>
    <col min="140" max="141" width="6.625" style="7"/>
    <col min="142" max="143" width="6.625" style="2"/>
    <col min="144" max="145" width="6.625" style="7"/>
    <col min="146" max="16384" width="6.625" style="2"/>
  </cols>
  <sheetData>
    <row r="1" spans="1:146" x14ac:dyDescent="0.15">
      <c r="A1" s="6" t="s">
        <v>118</v>
      </c>
      <c r="K1" s="24" t="s">
        <v>186</v>
      </c>
      <c r="AS1" s="24" t="s">
        <v>297</v>
      </c>
      <c r="BR1" s="24" t="s">
        <v>281</v>
      </c>
      <c r="DX1" s="7" t="s">
        <v>586</v>
      </c>
    </row>
    <row r="2" spans="1:146" x14ac:dyDescent="0.15">
      <c r="A2" s="1" t="s">
        <v>522</v>
      </c>
      <c r="E2" s="52">
        <v>60</v>
      </c>
    </row>
    <row r="3" spans="1:146" x14ac:dyDescent="0.15">
      <c r="A3" s="1" t="s">
        <v>527</v>
      </c>
    </row>
    <row r="4" spans="1:146" x14ac:dyDescent="0.15">
      <c r="A4" s="1" t="s">
        <v>528</v>
      </c>
    </row>
    <row r="5" spans="1:146" x14ac:dyDescent="0.15">
      <c r="B5" s="14" t="s">
        <v>523</v>
      </c>
      <c r="C5" s="14" t="s">
        <v>524</v>
      </c>
      <c r="L5" s="5" t="s">
        <v>633</v>
      </c>
      <c r="AW5" s="5"/>
      <c r="BV5" s="5"/>
      <c r="BW5" s="5"/>
    </row>
    <row r="6" spans="1:146" x14ac:dyDescent="0.15">
      <c r="B6" s="14" t="s">
        <v>525</v>
      </c>
      <c r="C6" s="53">
        <f>2*3</f>
        <v>6</v>
      </c>
      <c r="M6" s="66" t="s">
        <v>196</v>
      </c>
      <c r="N6" s="66"/>
      <c r="O6" s="66"/>
      <c r="P6" s="66"/>
      <c r="Q6" s="66"/>
      <c r="U6" s="66" t="s">
        <v>532</v>
      </c>
      <c r="V6" s="66"/>
      <c r="W6" s="66"/>
      <c r="X6" s="66"/>
      <c r="Y6" s="66"/>
      <c r="Z6" s="66" t="s">
        <v>531</v>
      </c>
      <c r="AA6" s="66"/>
      <c r="AB6" s="66"/>
      <c r="AC6" s="66"/>
      <c r="AD6" s="66"/>
      <c r="AE6" s="66" t="s">
        <v>561</v>
      </c>
      <c r="AF6" s="66"/>
      <c r="AG6" s="66"/>
      <c r="AH6" s="66"/>
      <c r="AI6" s="66"/>
      <c r="AJ6" s="66" t="s">
        <v>584</v>
      </c>
      <c r="AK6" s="66"/>
      <c r="AL6" s="66"/>
      <c r="AM6" s="66"/>
      <c r="AN6" s="66"/>
      <c r="AW6" s="66" t="s">
        <v>298</v>
      </c>
      <c r="AX6" s="66"/>
      <c r="AY6" s="66"/>
      <c r="BD6" s="66" t="s">
        <v>561</v>
      </c>
      <c r="BE6" s="66"/>
      <c r="BF6" s="66"/>
      <c r="BG6" s="66"/>
      <c r="BH6" s="66"/>
      <c r="BI6" s="66" t="s">
        <v>584</v>
      </c>
      <c r="BJ6" s="66"/>
      <c r="BK6" s="66"/>
      <c r="BL6" s="66"/>
      <c r="BM6" s="66"/>
      <c r="BV6" s="66" t="s">
        <v>533</v>
      </c>
      <c r="BW6" s="66"/>
      <c r="BX6" s="66"/>
      <c r="BY6" s="66"/>
      <c r="BZ6" s="66"/>
      <c r="CE6" s="66" t="s">
        <v>560</v>
      </c>
      <c r="CF6" s="66"/>
      <c r="CG6" s="66"/>
      <c r="CH6" s="66"/>
      <c r="CI6" s="66"/>
      <c r="CJ6" s="66" t="s">
        <v>584</v>
      </c>
      <c r="CK6" s="66"/>
      <c r="CL6" s="66"/>
      <c r="CM6" s="66"/>
      <c r="CN6" s="66"/>
      <c r="CT6" s="66" t="s">
        <v>560</v>
      </c>
      <c r="CU6" s="66"/>
      <c r="CV6" s="66"/>
      <c r="CW6" s="66"/>
      <c r="CX6" s="66"/>
      <c r="CZ6" s="2" t="s">
        <v>563</v>
      </c>
      <c r="DD6" s="2" t="s">
        <v>566</v>
      </c>
      <c r="DH6" s="2" t="s">
        <v>567</v>
      </c>
      <c r="DZ6" s="66" t="s">
        <v>587</v>
      </c>
      <c r="EA6" s="66"/>
      <c r="EB6" s="66"/>
      <c r="EC6" s="66"/>
      <c r="ED6" s="66"/>
      <c r="EF6" s="7" t="s">
        <v>588</v>
      </c>
      <c r="EJ6" s="7" t="s">
        <v>592</v>
      </c>
      <c r="EN6" s="7" t="s">
        <v>593</v>
      </c>
    </row>
    <row r="7" spans="1:146" x14ac:dyDescent="0.15">
      <c r="B7" s="14" t="s">
        <v>526</v>
      </c>
      <c r="C7" s="53">
        <f>2*1</f>
        <v>2</v>
      </c>
      <c r="L7" s="2" t="s">
        <v>187</v>
      </c>
      <c r="M7" s="2" t="s">
        <v>568</v>
      </c>
      <c r="N7" s="2" t="s">
        <v>577</v>
      </c>
      <c r="O7" s="2" t="s">
        <v>576</v>
      </c>
      <c r="P7" s="2" t="s">
        <v>585</v>
      </c>
      <c r="Q7" s="2" t="s">
        <v>545</v>
      </c>
      <c r="R7" s="2" t="s">
        <v>189</v>
      </c>
      <c r="T7" s="2" t="s">
        <v>521</v>
      </c>
      <c r="U7" s="2" t="s">
        <v>198</v>
      </c>
      <c r="V7" s="2" t="s">
        <v>199</v>
      </c>
      <c r="W7" s="2" t="s">
        <v>200</v>
      </c>
      <c r="X7" s="2" t="s">
        <v>201</v>
      </c>
      <c r="Y7" s="2" t="s">
        <v>202</v>
      </c>
      <c r="Z7" s="2" t="s">
        <v>198</v>
      </c>
      <c r="AA7" s="2" t="s">
        <v>199</v>
      </c>
      <c r="AB7" s="2" t="s">
        <v>200</v>
      </c>
      <c r="AC7" s="2" t="s">
        <v>201</v>
      </c>
      <c r="AD7" s="2" t="s">
        <v>202</v>
      </c>
      <c r="AE7" s="2" t="s">
        <v>198</v>
      </c>
      <c r="AF7" s="2" t="s">
        <v>199</v>
      </c>
      <c r="AG7" s="2" t="s">
        <v>200</v>
      </c>
      <c r="AH7" s="2" t="s">
        <v>201</v>
      </c>
      <c r="AI7" s="2" t="s">
        <v>202</v>
      </c>
      <c r="AJ7" s="2" t="s">
        <v>198</v>
      </c>
      <c r="AK7" s="2" t="s">
        <v>199</v>
      </c>
      <c r="AL7" s="2" t="s">
        <v>200</v>
      </c>
      <c r="AM7" s="2" t="s">
        <v>201</v>
      </c>
      <c r="AN7" s="2" t="s">
        <v>202</v>
      </c>
      <c r="AU7" s="2" t="s">
        <v>204</v>
      </c>
      <c r="AV7" s="2" t="s">
        <v>205</v>
      </c>
      <c r="AW7" s="2" t="s">
        <v>547</v>
      </c>
      <c r="AX7" s="2" t="s">
        <v>301</v>
      </c>
      <c r="AY7" s="2" t="s">
        <v>585</v>
      </c>
      <c r="AZ7" s="2" t="s">
        <v>546</v>
      </c>
      <c r="BA7" s="2" t="s">
        <v>189</v>
      </c>
      <c r="BC7" s="2" t="s">
        <v>521</v>
      </c>
      <c r="BD7" s="2" t="s">
        <v>198</v>
      </c>
      <c r="BE7" s="2" t="s">
        <v>199</v>
      </c>
      <c r="BF7" s="2" t="s">
        <v>200</v>
      </c>
      <c r="BG7" s="2" t="s">
        <v>201</v>
      </c>
      <c r="BH7" s="2" t="s">
        <v>202</v>
      </c>
      <c r="BI7" s="2" t="s">
        <v>198</v>
      </c>
      <c r="BJ7" s="2" t="s">
        <v>199</v>
      </c>
      <c r="BK7" s="2" t="s">
        <v>200</v>
      </c>
      <c r="BL7" s="2" t="s">
        <v>201</v>
      </c>
      <c r="BM7" s="2" t="s">
        <v>202</v>
      </c>
      <c r="BS7" s="2" t="s">
        <v>632</v>
      </c>
      <c r="BT7" s="2" t="s">
        <v>204</v>
      </c>
      <c r="BU7" s="2" t="s">
        <v>205</v>
      </c>
      <c r="BV7" s="2" t="s">
        <v>194</v>
      </c>
      <c r="BW7" s="2" t="s">
        <v>306</v>
      </c>
      <c r="BX7" s="2" t="s">
        <v>317</v>
      </c>
      <c r="BY7" s="2" t="s">
        <v>545</v>
      </c>
      <c r="BZ7" s="2" t="s">
        <v>585</v>
      </c>
      <c r="CA7" s="2" t="s">
        <v>189</v>
      </c>
      <c r="CB7" s="2" t="s">
        <v>203</v>
      </c>
      <c r="CD7" s="2" t="s">
        <v>521</v>
      </c>
      <c r="CE7" s="2" t="s">
        <v>198</v>
      </c>
      <c r="CF7" s="2" t="s">
        <v>199</v>
      </c>
      <c r="CG7" s="2" t="s">
        <v>200</v>
      </c>
      <c r="CH7" s="2" t="s">
        <v>201</v>
      </c>
      <c r="CI7" s="2" t="s">
        <v>202</v>
      </c>
      <c r="CJ7" s="2" t="s">
        <v>198</v>
      </c>
      <c r="CK7" s="2" t="s">
        <v>199</v>
      </c>
      <c r="CL7" s="2" t="s">
        <v>200</v>
      </c>
      <c r="CM7" s="2" t="s">
        <v>201</v>
      </c>
      <c r="CN7" s="2" t="s">
        <v>202</v>
      </c>
      <c r="CS7" s="2" t="s">
        <v>258</v>
      </c>
      <c r="CT7" s="2" t="s">
        <v>198</v>
      </c>
      <c r="CU7" s="2" t="s">
        <v>199</v>
      </c>
      <c r="CV7" s="2" t="s">
        <v>200</v>
      </c>
      <c r="CW7" s="2" t="s">
        <v>201</v>
      </c>
      <c r="CX7" s="2" t="s">
        <v>202</v>
      </c>
      <c r="CZ7" s="2" t="s">
        <v>562</v>
      </c>
      <c r="DA7" s="2" t="s">
        <v>564</v>
      </c>
      <c r="DB7" s="2" t="s">
        <v>565</v>
      </c>
      <c r="DD7" s="2" t="s">
        <v>562</v>
      </c>
      <c r="DE7" s="2" t="s">
        <v>564</v>
      </c>
      <c r="DF7" s="2" t="s">
        <v>565</v>
      </c>
      <c r="DH7" s="2" t="s">
        <v>562</v>
      </c>
      <c r="DI7" s="2" t="s">
        <v>564</v>
      </c>
      <c r="DJ7" s="2" t="s">
        <v>565</v>
      </c>
      <c r="DY7" s="2" t="s">
        <v>258</v>
      </c>
      <c r="DZ7" s="2" t="s">
        <v>198</v>
      </c>
      <c r="EA7" s="2" t="s">
        <v>199</v>
      </c>
      <c r="EB7" s="2" t="s">
        <v>200</v>
      </c>
      <c r="EC7" s="2" t="s">
        <v>201</v>
      </c>
      <c r="ED7" s="2" t="s">
        <v>202</v>
      </c>
      <c r="EF7" s="7" t="s">
        <v>589</v>
      </c>
      <c r="EG7" s="7" t="s">
        <v>590</v>
      </c>
      <c r="EH7" s="2" t="s">
        <v>591</v>
      </c>
      <c r="EJ7" s="7" t="s">
        <v>589</v>
      </c>
      <c r="EK7" s="7" t="s">
        <v>590</v>
      </c>
      <c r="EL7" s="2" t="s">
        <v>591</v>
      </c>
      <c r="EN7" s="7" t="s">
        <v>589</v>
      </c>
      <c r="EO7" s="7" t="s">
        <v>590</v>
      </c>
      <c r="EP7" s="2" t="s">
        <v>591</v>
      </c>
    </row>
    <row r="8" spans="1:146" x14ac:dyDescent="0.15">
      <c r="L8" s="2">
        <v>1</v>
      </c>
      <c r="M8" s="2">
        <v>15</v>
      </c>
      <c r="N8" s="2">
        <v>80</v>
      </c>
      <c r="O8" s="2">
        <v>800</v>
      </c>
      <c r="P8" s="2">
        <v>21600</v>
      </c>
      <c r="Q8" s="2">
        <v>1000</v>
      </c>
      <c r="R8" s="2">
        <f>IF(M8="",0,IFERROR(INDEX(道具投放节奏!$K:$K,MATCH(M$7,道具投放节奏!$D:$D,0)),INDEX(其他调用!$CD$3:$CD$6,MATCH(M$7,其他调用!$CB$3:$CB$6,0)))*M8)+
IF(Q8="",0,$D$17*Q8)</f>
        <v>6250</v>
      </c>
      <c r="T8" s="2">
        <v>1</v>
      </c>
      <c r="U8" s="2">
        <f>$N$8*SUM(C$11:C$12)/(365/12)*MAX(节奏总纲!D4-$E$2,0)</f>
        <v>0</v>
      </c>
      <c r="V8" s="2">
        <f>$N$8*SUM(D$11:D$12)/(365/12)*MAX(节奏总纲!E4-$E$2,0)</f>
        <v>0</v>
      </c>
      <c r="W8" s="2">
        <f>$N$8*SUM(E$11:E$12)/(365/12)*MAX(节奏总纲!F4-$E$2,0)</f>
        <v>0</v>
      </c>
      <c r="X8" s="2">
        <f>$N$8*SUM(F$11:F$12)/(365/12)*MAX(节奏总纲!G4-$E$2,0)</f>
        <v>0</v>
      </c>
      <c r="Y8" s="2">
        <f>$N$8*SUM(G$11:G$12)/(365/12)*MAX(节奏总纲!H4-$E$2,0)</f>
        <v>0</v>
      </c>
      <c r="Z8" s="2">
        <f>$O$8*SUM(C$11:C$12)/(365/12)*MAX(节奏总纲!D4-$E$2,0)</f>
        <v>0</v>
      </c>
      <c r="AA8" s="2">
        <f>$O$8*SUM(D$11:D$12)/(365/12)*MAX(节奏总纲!E4-$E$2,0)</f>
        <v>0</v>
      </c>
      <c r="AB8" s="2">
        <f>$O$8*SUM(E$11:E$12)/(365/12)*MAX(节奏总纲!F4-$E$2,0)</f>
        <v>0</v>
      </c>
      <c r="AC8" s="2">
        <f>$O$8*SUM(F$11:F$12)/(365/12)*MAX(节奏总纲!G4-$E$2,0)</f>
        <v>0</v>
      </c>
      <c r="AD8" s="2">
        <f>$O$8*SUM(G$11:G$12)/(365/12)*MAX(节奏总纲!H4-$E$2,0)</f>
        <v>0</v>
      </c>
      <c r="AE8" s="2">
        <f>$Q$8*SUM(C$11:C$12)/(365/12)*MAX(节奏总纲!D4-$E$2,0)</f>
        <v>0</v>
      </c>
      <c r="AF8" s="2">
        <f>$Q$8*SUM(D$11:D$12)/(365/12)*MAX(节奏总纲!E4-$E$2,0)</f>
        <v>0</v>
      </c>
      <c r="AG8" s="2">
        <f>$Q$8*SUM(E$11:E$12)/(365/12)*MAX(节奏总纲!F4-$E$2,0)</f>
        <v>0</v>
      </c>
      <c r="AH8" s="2">
        <f>$Q$8*SUM(F$11:F$12)/(365/12)*MAX(节奏总纲!G4-$E$2,0)</f>
        <v>0</v>
      </c>
      <c r="AI8" s="2">
        <f>$Q$8*SUM(G$11:G$12)/(365/12)*MAX(节奏总纲!H4-$E$2,0)</f>
        <v>0</v>
      </c>
      <c r="AJ8" s="2">
        <f>$P$8*SUM(C$11:C$12)/(365/12)*MAX(节奏总纲!D4-$E$2,0)</f>
        <v>0</v>
      </c>
      <c r="AK8" s="2">
        <f>$P$8*SUM(D$11:D$12)/(365/12)*MAX(节奏总纲!E4-$E$2,0)</f>
        <v>0</v>
      </c>
      <c r="AL8" s="2">
        <f>$P$8*SUM(E$11:E$12)/(365/12)*MAX(节奏总纲!F4-$E$2,0)</f>
        <v>0</v>
      </c>
      <c r="AM8" s="2">
        <f>$P$8*SUM(F$11:F$12)/(365/12)*MAX(节奏总纲!G4-$E$2,0)</f>
        <v>0</v>
      </c>
      <c r="AN8" s="2">
        <f>$P$8*SUM(G$11:G$12)/(365/12)*MAX(节奏总纲!H4-$E$2,0)</f>
        <v>0</v>
      </c>
      <c r="AU8" s="2">
        <v>1</v>
      </c>
      <c r="AV8" s="2">
        <v>1</v>
      </c>
      <c r="AW8" s="43">
        <f>AW28+AW38</f>
        <v>70</v>
      </c>
      <c r="AX8" s="43">
        <f t="shared" ref="AX8:AZ8" si="0">AX28+AX38</f>
        <v>10</v>
      </c>
      <c r="AY8" s="43">
        <f t="shared" si="0"/>
        <v>72000</v>
      </c>
      <c r="AZ8" s="43">
        <f t="shared" si="0"/>
        <v>3000</v>
      </c>
      <c r="BA8" s="2">
        <f>IF(AW8="",0,$AX$20*AW8)+
IF(AX8="",0,IFERROR(INDEX(道具投放节奏!$K:$K,MATCH(AX$7,道具投放节奏!$D:$D,0)),INDEX(其他调用!$CD$3:$CD$6,MATCH(AX$7,其他调用!$CB$3:$CB$6,0)))*AX8)+
IF(AZ8="",0,AZ8*$D$17)</f>
        <v>54000</v>
      </c>
      <c r="BB8" s="2">
        <f>AY8/3600</f>
        <v>20</v>
      </c>
      <c r="BC8" s="2">
        <v>1</v>
      </c>
      <c r="BD8" s="2">
        <f>$AZ$8/(365/12)*MAX(节奏总纲!D4-$E$2,0)</f>
        <v>0</v>
      </c>
      <c r="BE8" s="2">
        <f>$AZ$8/(365/12)*MAX(节奏总纲!E4-$E$2,0)</f>
        <v>0</v>
      </c>
      <c r="BF8" s="2">
        <f>$AZ$8/(365/12)*MAX(节奏总纲!F4-$E$2,0)</f>
        <v>0</v>
      </c>
      <c r="BG8" s="2">
        <f>$AZ$8/(365/12)*MAX(节奏总纲!G4-$E$2,0)</f>
        <v>0</v>
      </c>
      <c r="BH8" s="2">
        <f>$AZ$8/(365/12)*MAX(节奏总纲!H4-$E$2,0)</f>
        <v>0</v>
      </c>
      <c r="BI8" s="2">
        <f>$AY$8/(365/12)*MAX(节奏总纲!D4-$E$2,0)</f>
        <v>0</v>
      </c>
      <c r="BJ8" s="2">
        <f>$AY$8/(365/12)*MAX(节奏总纲!E4-$E$2,0)</f>
        <v>0</v>
      </c>
      <c r="BK8" s="2">
        <f>$AY$8/(365/12)*MAX(节奏总纲!F4-$E$2,0)</f>
        <v>0</v>
      </c>
      <c r="BL8" s="2">
        <f>$AY$8/(365/12)*MAX(节奏总纲!G4-$E$2,0)</f>
        <v>0</v>
      </c>
      <c r="BM8" s="2">
        <f>$AY$8/(365/12)*MAX(节奏总纲!H4-$E$2,0)</f>
        <v>0</v>
      </c>
      <c r="BS8" s="2">
        <v>30000</v>
      </c>
      <c r="BT8" s="2">
        <v>1</v>
      </c>
      <c r="BU8" s="2">
        <v>1</v>
      </c>
      <c r="BV8" s="2">
        <v>500</v>
      </c>
      <c r="BW8" s="2">
        <v>8</v>
      </c>
      <c r="BY8" s="2">
        <v>800</v>
      </c>
      <c r="BZ8" s="2">
        <v>7200</v>
      </c>
      <c r="CA8" s="2">
        <f>IF(BV8="",0,INDEX(道具投放节奏!$K:$K,MATCH(BV$7,道具投放节奏!$D:$D,0))*BV8)+
IF(BW8="",0,INDEX(道具投放节奏!$K:$K,MATCH(BW$7,道具投放节奏!$D:$D,0))*BW8)+
IF(BX8="",0,INDEX(道具投放节奏!$K:$K,MATCH(BX$7,道具投放节奏!$D:$D,0))*BX8)+
IF(BY8="",0,$D$17*BY8)</f>
        <v>5140</v>
      </c>
      <c r="CB8" s="2" t="s">
        <v>31</v>
      </c>
      <c r="CD8" s="2">
        <v>1</v>
      </c>
      <c r="CE8" s="2">
        <f>INDEX($BY$8:$BY$15,MATCH(CE$7,$CB$8:$CB$15,0))*SUM(C$11:C$12)/(365/12)*MAX(节奏总纲!D4-$E$2,0)</f>
        <v>0</v>
      </c>
      <c r="CF8" s="2">
        <f>INDEX($BY$8:$BY$15,MATCH(CF$7,$CB$8:$CB$15,0))*SUM(D$11:D$12)/(365/12)*MAX(节奏总纲!E4-$E$2,0)</f>
        <v>0</v>
      </c>
      <c r="CG8" s="2">
        <f>INDEX($BY$8:$BY$15,MATCH(CG$7,$CB$8:$CB$15,0))*SUM(E$11:E$12)/(365/12)*MAX(节奏总纲!F4-$E$2,0)</f>
        <v>0</v>
      </c>
      <c r="CH8" s="2">
        <f>INDEX($BY$8:$BY$15,MATCH(CH$7,$CB$8:$CB$15,0))*SUM(F$11:F$12)/(365/12)*MAX(节奏总纲!G4-$E$2,0)</f>
        <v>0</v>
      </c>
      <c r="CI8" s="2">
        <f>INDEX($BY$8:$BY$15,MATCH(CI$7,$CB$8:$CB$15,0))*SUM(G$11:G$12)/(365/12)*MAX(节奏总纲!H4-$E$2,0)</f>
        <v>0</v>
      </c>
      <c r="CJ8" s="2">
        <f>INDEX($BZ$8:$BZ$15,MATCH(CE$7,$CB$8:$CB$15,0))*SUM(C$11:C$12)/(365/12)*MAX(节奏总纲!D4-$E$2,0)</f>
        <v>0</v>
      </c>
      <c r="CK8" s="2">
        <f>INDEX($BZ$8:$BZ$15,MATCH(CF$7,$CB$8:$CB$15,0))*SUM(D$11:D$12)/(365/12)*MAX(节奏总纲!E4-$E$2,0)</f>
        <v>0</v>
      </c>
      <c r="CL8" s="2">
        <f>INDEX($BZ$8:$BZ$15,MATCH(CG$7,$CB$8:$CB$15,0))*SUM(E$11:E$12)/(365/12)*MAX(节奏总纲!F4-$E$2,0)</f>
        <v>0</v>
      </c>
      <c r="CM8" s="2">
        <f>INDEX($BZ$8:$BZ$15,MATCH(CH$7,$CB$8:$CB$15,0))*SUM(F$11:F$12)/(365/12)*MAX(节奏总纲!G4-$E$2,0)</f>
        <v>0</v>
      </c>
      <c r="CN8" s="2">
        <f>INDEX($BZ$8:$BZ$15,MATCH(CI$7,$CB$8:$CB$15,0))*SUM(G$11:G$12)/(365/12)*MAX(节奏总纲!H4-$E$2,0)</f>
        <v>0</v>
      </c>
      <c r="CS8" s="2">
        <v>1</v>
      </c>
      <c r="CT8" s="2">
        <f t="shared" ref="CT8:CT39" si="1">AE8+BD8+CE8</f>
        <v>0</v>
      </c>
      <c r="CU8" s="2">
        <f t="shared" ref="CU8:CU39" si="2">AF8+BE8+CF8</f>
        <v>0</v>
      </c>
      <c r="CV8" s="2">
        <f t="shared" ref="CV8:CV39" si="3">AG8+BF8+CG8</f>
        <v>0</v>
      </c>
      <c r="CW8" s="2">
        <f t="shared" ref="CW8:CW39" si="4">AH8+BG8+CH8</f>
        <v>0</v>
      </c>
      <c r="CX8" s="2">
        <f t="shared" ref="CX8:CX39" si="5">AI8+BH8+CI8</f>
        <v>0</v>
      </c>
      <c r="CZ8" s="41" t="e">
        <f t="shared" ref="CZ8:CZ39" si="6">AE8/CT8</f>
        <v>#DIV/0!</v>
      </c>
      <c r="DA8" s="41" t="e">
        <f t="shared" ref="DA8:DA39" si="7">BD8/CT8</f>
        <v>#DIV/0!</v>
      </c>
      <c r="DB8" s="41" t="e">
        <f t="shared" ref="DB8:DB39" si="8">CE8/CT8</f>
        <v>#DIV/0!</v>
      </c>
      <c r="DD8" s="41" t="e">
        <f t="shared" ref="DD8:DD39" si="9">AG8/CV8</f>
        <v>#DIV/0!</v>
      </c>
      <c r="DE8" s="41" t="e">
        <f t="shared" ref="DE8:DE39" si="10">BF8/CV8</f>
        <v>#DIV/0!</v>
      </c>
      <c r="DF8" s="41" t="e">
        <f t="shared" ref="DF8:DF39" si="11">CG8/CV8</f>
        <v>#DIV/0!</v>
      </c>
      <c r="DH8" s="41" t="e">
        <f t="shared" ref="DH8:DH39" si="12">AI8/CX8</f>
        <v>#DIV/0!</v>
      </c>
      <c r="DI8" s="41" t="e">
        <f t="shared" ref="DI8:DI39" si="13">BH8/CX8</f>
        <v>#DIV/0!</v>
      </c>
      <c r="DJ8" s="41" t="e">
        <f t="shared" ref="DJ8:DJ39" si="14">CI8/CX8</f>
        <v>#DIV/0!</v>
      </c>
      <c r="DL8" s="2">
        <f>CT8/节奏总纲!D4</f>
        <v>0</v>
      </c>
      <c r="DM8" s="2">
        <f>CU8/节奏总纲!E4</f>
        <v>0</v>
      </c>
      <c r="DN8" s="2">
        <f>CV8/节奏总纲!F4</f>
        <v>0</v>
      </c>
      <c r="DO8" s="2">
        <f>CW8/节奏总纲!G4</f>
        <v>0</v>
      </c>
      <c r="DP8" s="2">
        <f>CX8/节奏总纲!H4</f>
        <v>0</v>
      </c>
      <c r="DR8" s="2" t="e">
        <f t="shared" ref="DR8:DR39" si="15">DM8/$DL8</f>
        <v>#DIV/0!</v>
      </c>
      <c r="DS8" s="2" t="e">
        <f t="shared" ref="DS8:DS39" si="16">DN8/$DL8</f>
        <v>#DIV/0!</v>
      </c>
      <c r="DT8" s="2" t="e">
        <f t="shared" ref="DT8:DT39" si="17">DO8/$DL8</f>
        <v>#DIV/0!</v>
      </c>
      <c r="DU8" s="2" t="e">
        <f t="shared" ref="DU8:DU39" si="18">DP8/$DL8</f>
        <v>#DIV/0!</v>
      </c>
      <c r="DY8" s="2">
        <v>1</v>
      </c>
      <c r="DZ8" s="2">
        <f>AJ8+BI8+CJ8</f>
        <v>0</v>
      </c>
      <c r="EA8" s="2">
        <f t="shared" ref="EA8:ED8" si="19">AK8+BJ8+CK8</f>
        <v>0</v>
      </c>
      <c r="EB8" s="2">
        <f t="shared" si="19"/>
        <v>0</v>
      </c>
      <c r="EC8" s="2">
        <f t="shared" si="19"/>
        <v>0</v>
      </c>
      <c r="ED8" s="2">
        <f t="shared" si="19"/>
        <v>0</v>
      </c>
      <c r="EF8" s="57" t="e">
        <f>AJ8/DZ8</f>
        <v>#DIV/0!</v>
      </c>
      <c r="EG8" s="57" t="e">
        <f>BI8/DZ8</f>
        <v>#DIV/0!</v>
      </c>
      <c r="EH8" s="41" t="e">
        <f>CJ8/DZ8</f>
        <v>#DIV/0!</v>
      </c>
      <c r="EJ8" s="57" t="e">
        <f>AL8/EB8</f>
        <v>#DIV/0!</v>
      </c>
      <c r="EK8" s="57" t="e">
        <f>BK8/EB8</f>
        <v>#DIV/0!</v>
      </c>
      <c r="EL8" s="41" t="e">
        <f>CL8/EB8</f>
        <v>#DIV/0!</v>
      </c>
      <c r="EN8" s="57" t="e">
        <f>AN8/ED8</f>
        <v>#DIV/0!</v>
      </c>
      <c r="EO8" s="57" t="e">
        <f>BM8/ED8</f>
        <v>#DIV/0!</v>
      </c>
      <c r="EP8" s="41" t="e">
        <f>CN8/ED8</f>
        <v>#DIV/0!</v>
      </c>
    </row>
    <row r="9" spans="1:146" x14ac:dyDescent="0.15">
      <c r="C9" s="4"/>
      <c r="L9" s="2">
        <v>2</v>
      </c>
      <c r="M9" s="2">
        <v>5</v>
      </c>
      <c r="N9" s="2">
        <v>80</v>
      </c>
      <c r="O9" s="2">
        <v>800</v>
      </c>
      <c r="P9" s="2">
        <f>P8/2</f>
        <v>10800</v>
      </c>
      <c r="Q9" s="2">
        <v>600</v>
      </c>
      <c r="R9" s="2">
        <f>IF(M9="",0,IFERROR(INDEX(道具投放节奏!$K:$K,MATCH(M$7,道具投放节奏!$D:$D,0)),INDEX(其他调用!$CD$3:$CD$6,MATCH(M$7,其他调用!$CB$3:$CB$6,0)))*M9)+
IF(Q9="",0,$D$17*Q9)</f>
        <v>3416.6666666666665</v>
      </c>
      <c r="T9" s="2">
        <v>2</v>
      </c>
      <c r="U9" s="2">
        <f>$N$8*SUM(C$11:C$12)/(365/12)*MAX(节奏总纲!D5-$E$2,0)</f>
        <v>0</v>
      </c>
      <c r="V9" s="2">
        <f>$N$8*SUM(D$11:D$12)/(365/12)*MAX(节奏总纲!E5-$E$2,0)</f>
        <v>0</v>
      </c>
      <c r="W9" s="2">
        <f>$N$8*SUM(E$11:E$12)/(365/12)*MAX(节奏总纲!F5-$E$2,0)</f>
        <v>0</v>
      </c>
      <c r="X9" s="2">
        <f>$N$8*SUM(F$11:F$12)/(365/12)*MAX(节奏总纲!G5-$E$2,0)</f>
        <v>0</v>
      </c>
      <c r="Y9" s="2">
        <f>$N$8*SUM(G$11:G$12)/(365/12)*MAX(节奏总纲!H5-$E$2,0)</f>
        <v>0</v>
      </c>
      <c r="Z9" s="2">
        <f>$O$8*SUM(C$11:C$12)/(365/12)*MAX(节奏总纲!D5-$E$2,0)</f>
        <v>0</v>
      </c>
      <c r="AA9" s="2">
        <f>$O$8*SUM(D$11:D$12)/(365/12)*MAX(节奏总纲!E5-$E$2,0)</f>
        <v>0</v>
      </c>
      <c r="AB9" s="2">
        <f>$O$8*SUM(E$11:E$12)/(365/12)*MAX(节奏总纲!F5-$E$2,0)</f>
        <v>0</v>
      </c>
      <c r="AC9" s="2">
        <f>$O$8*SUM(F$11:F$12)/(365/12)*MAX(节奏总纲!G5-$E$2,0)</f>
        <v>0</v>
      </c>
      <c r="AD9" s="2">
        <f>$O$8*SUM(G$11:G$12)/(365/12)*MAX(节奏总纲!H5-$E$2,0)</f>
        <v>0</v>
      </c>
      <c r="AE9" s="2">
        <f>$Q$8*SUM(C$11:C$12)/(365/12)*MAX(节奏总纲!D5-$E$2,0)</f>
        <v>0</v>
      </c>
      <c r="AF9" s="2">
        <f>$Q$8*SUM(D$11:D$12)/(365/12)*MAX(节奏总纲!E5-$E$2,0)</f>
        <v>0</v>
      </c>
      <c r="AG9" s="2">
        <f>$Q$8*SUM(E$11:E$12)/(365/12)*MAX(节奏总纲!F5-$E$2,0)</f>
        <v>0</v>
      </c>
      <c r="AH9" s="2">
        <f>$Q$8*SUM(F$11:F$12)/(365/12)*MAX(节奏总纲!G5-$E$2,0)</f>
        <v>0</v>
      </c>
      <c r="AI9" s="2">
        <f>$Q$8*SUM(G$11:G$12)/(365/12)*MAX(节奏总纲!H5-$E$2,0)</f>
        <v>0</v>
      </c>
      <c r="AJ9" s="2">
        <f>$P$8*SUM(C$11:C$12)/(365/12)*MAX(节奏总纲!D5-$E$2,0)</f>
        <v>0</v>
      </c>
      <c r="AK9" s="2">
        <f>$P$8*SUM(D$11:D$12)/(365/12)*MAX(节奏总纲!E5-$E$2,0)</f>
        <v>0</v>
      </c>
      <c r="AL9" s="2">
        <f>$P$8*SUM(E$11:E$12)/(365/12)*MAX(节奏总纲!F5-$E$2,0)</f>
        <v>0</v>
      </c>
      <c r="AM9" s="2">
        <f>$P$8*SUM(F$11:F$12)/(365/12)*MAX(节奏总纲!G5-$E$2,0)</f>
        <v>0</v>
      </c>
      <c r="AN9" s="2">
        <f>$P$8*SUM(G$11:G$12)/(365/12)*MAX(节奏总纲!H5-$E$2,0)</f>
        <v>0</v>
      </c>
      <c r="AU9" s="2">
        <v>2</v>
      </c>
      <c r="AV9" s="2">
        <v>2</v>
      </c>
      <c r="AW9" s="43">
        <f t="shared" ref="AW9:AZ9" si="20">AW29+AW39</f>
        <v>58</v>
      </c>
      <c r="AX9" s="43">
        <f t="shared" si="20"/>
        <v>8</v>
      </c>
      <c r="AY9" s="43">
        <f t="shared" si="20"/>
        <v>68400</v>
      </c>
      <c r="AZ9" s="43">
        <f t="shared" si="20"/>
        <v>2750</v>
      </c>
      <c r="BA9" s="2">
        <f>IF(AW9="",0,$AX$20*AW9)+
IF(AX9="",0,IFERROR(INDEX(道具投放节奏!$K:$K,MATCH(AX$7,道具投放节奏!$D:$D,0)),INDEX(其他调用!$CD$3:$CD$6,MATCH(AX$7,其他调用!$CB$3:$CB$6,0)))*AX9)+
IF(AZ9="",0,AZ9*$D$17)</f>
        <v>45950</v>
      </c>
      <c r="BB9" s="2">
        <f t="shared" ref="BB9:BB14" si="21">AY9/3600</f>
        <v>19</v>
      </c>
      <c r="BC9" s="2">
        <v>2</v>
      </c>
      <c r="BD9" s="2">
        <f>$AZ$8/(365/12)*MAX(节奏总纲!D5-$E$2,0)</f>
        <v>0</v>
      </c>
      <c r="BE9" s="2">
        <f>$AZ$8/(365/12)*MAX(节奏总纲!E5-$E$2,0)</f>
        <v>0</v>
      </c>
      <c r="BF9" s="2">
        <f>$AZ$8/(365/12)*MAX(节奏总纲!F5-$E$2,0)</f>
        <v>0</v>
      </c>
      <c r="BG9" s="2">
        <f>$AZ$8/(365/12)*MAX(节奏总纲!G5-$E$2,0)</f>
        <v>0</v>
      </c>
      <c r="BH9" s="2">
        <f>$AZ$8/(365/12)*MAX(节奏总纲!H5-$E$2,0)</f>
        <v>0</v>
      </c>
      <c r="BI9" s="2">
        <f>$AY$8/(365/12)*MAX(节奏总纲!D5-$E$2,0)</f>
        <v>0</v>
      </c>
      <c r="BJ9" s="2">
        <f>$AY$8/(365/12)*MAX(节奏总纲!E5-$E$2,0)</f>
        <v>0</v>
      </c>
      <c r="BK9" s="2">
        <f>$AY$8/(365/12)*MAX(节奏总纲!F5-$E$2,0)</f>
        <v>0</v>
      </c>
      <c r="BL9" s="2">
        <f>$AY$8/(365/12)*MAX(节奏总纲!G5-$E$2,0)</f>
        <v>0</v>
      </c>
      <c r="BM9" s="2">
        <f>$AY$8/(365/12)*MAX(节奏总纲!H5-$E$2,0)</f>
        <v>0</v>
      </c>
      <c r="BS9" s="2">
        <v>25000</v>
      </c>
      <c r="BT9" s="2">
        <v>2</v>
      </c>
      <c r="BU9" s="2">
        <v>2</v>
      </c>
      <c r="BV9" s="2">
        <v>300</v>
      </c>
      <c r="BW9" s="2">
        <v>5</v>
      </c>
      <c r="BY9" s="2">
        <v>500</v>
      </c>
      <c r="BZ9" s="2">
        <v>7200</v>
      </c>
      <c r="CA9" s="2">
        <f>IF(BV9="",0,INDEX(道具投放节奏!$K:$K,MATCH(BV$7,道具投放节奏!$D:$D,0))*BV9)+
IF(BW9="",0,INDEX(道具投放节奏!$K:$K,MATCH(BW$7,道具投放节奏!$D:$D,0))*BW9)+
IF(BX9="",0,INDEX(道具投放节奏!$K:$K,MATCH(BX$7,道具投放节奏!$D:$D,0))*BX9)+
IF(BY9="",0,$D$17*BY9)</f>
        <v>3200</v>
      </c>
      <c r="CB9" s="2" t="s">
        <v>12</v>
      </c>
      <c r="CD9" s="2">
        <v>2</v>
      </c>
      <c r="CE9" s="2">
        <f>INDEX($BY$8:$BY$15,MATCH(CE$7,$CB$8:$CB$15,0))*SUM(C$11:C$12)/(365/12)*MAX(节奏总纲!D5-$E$2,0)</f>
        <v>0</v>
      </c>
      <c r="CF9" s="2">
        <f>INDEX($BY$8:$BY$15,MATCH(CF$7,$CB$8:$CB$15,0))*SUM(D$11:D$12)/(365/12)*MAX(节奏总纲!E5-$E$2,0)</f>
        <v>0</v>
      </c>
      <c r="CG9" s="2">
        <f>INDEX($BY$8:$BY$15,MATCH(CG$7,$CB$8:$CB$15,0))*SUM(E$11:E$12)/(365/12)*MAX(节奏总纲!F5-$E$2,0)</f>
        <v>0</v>
      </c>
      <c r="CH9" s="2">
        <f>INDEX($BY$8:$BY$15,MATCH(CH$7,$CB$8:$CB$15,0))*SUM(F$11:F$12)/(365/12)*MAX(节奏总纲!G5-$E$2,0)</f>
        <v>0</v>
      </c>
      <c r="CI9" s="2">
        <f>INDEX($BY$8:$BY$15,MATCH(CI$7,$CB$8:$CB$15,0))*SUM(G$11:G$12)/(365/12)*MAX(节奏总纲!H5-$E$2,0)</f>
        <v>0</v>
      </c>
      <c r="CJ9" s="2">
        <f>INDEX($BZ$8:$BZ$15,MATCH(CE$7,$CB$8:$CB$15,0))*SUM(C$11:C$12)/(365/12)*MAX(节奏总纲!D5-$E$2,0)</f>
        <v>0</v>
      </c>
      <c r="CK9" s="2">
        <f>INDEX($BZ$8:$BZ$15,MATCH(CF$7,$CB$8:$CB$15,0))*SUM(D$11:D$12)/(365/12)*MAX(节奏总纲!E5-$E$2,0)</f>
        <v>0</v>
      </c>
      <c r="CL9" s="2">
        <f>INDEX($BZ$8:$BZ$15,MATCH(CG$7,$CB$8:$CB$15,0))*SUM(E$11:E$12)/(365/12)*MAX(节奏总纲!F5-$E$2,0)</f>
        <v>0</v>
      </c>
      <c r="CM9" s="2">
        <f>INDEX($BZ$8:$BZ$15,MATCH(CH$7,$CB$8:$CB$15,0))*SUM(F$11:F$12)/(365/12)*MAX(节奏总纲!G5-$E$2,0)</f>
        <v>0</v>
      </c>
      <c r="CN9" s="2">
        <f>INDEX($BZ$8:$BZ$15,MATCH(CI$7,$CB$8:$CB$15,0))*SUM(G$11:G$12)/(365/12)*MAX(节奏总纲!H5-$E$2,0)</f>
        <v>0</v>
      </c>
      <c r="CS9" s="2">
        <v>2</v>
      </c>
      <c r="CT9" s="2">
        <f t="shared" si="1"/>
        <v>0</v>
      </c>
      <c r="CU9" s="2">
        <f t="shared" si="2"/>
        <v>0</v>
      </c>
      <c r="CV9" s="2">
        <f t="shared" si="3"/>
        <v>0</v>
      </c>
      <c r="CW9" s="2">
        <f t="shared" si="4"/>
        <v>0</v>
      </c>
      <c r="CX9" s="2">
        <f t="shared" si="5"/>
        <v>0</v>
      </c>
      <c r="CZ9" s="41" t="e">
        <f t="shared" si="6"/>
        <v>#DIV/0!</v>
      </c>
      <c r="DA9" s="41" t="e">
        <f t="shared" si="7"/>
        <v>#DIV/0!</v>
      </c>
      <c r="DB9" s="41" t="e">
        <f t="shared" si="8"/>
        <v>#DIV/0!</v>
      </c>
      <c r="DD9" s="41" t="e">
        <f t="shared" si="9"/>
        <v>#DIV/0!</v>
      </c>
      <c r="DE9" s="41" t="e">
        <f t="shared" si="10"/>
        <v>#DIV/0!</v>
      </c>
      <c r="DF9" s="41" t="e">
        <f t="shared" si="11"/>
        <v>#DIV/0!</v>
      </c>
      <c r="DH9" s="41" t="e">
        <f t="shared" si="12"/>
        <v>#DIV/0!</v>
      </c>
      <c r="DI9" s="41" t="e">
        <f t="shared" si="13"/>
        <v>#DIV/0!</v>
      </c>
      <c r="DJ9" s="41" t="e">
        <f t="shared" si="14"/>
        <v>#DIV/0!</v>
      </c>
      <c r="DL9" s="2">
        <f>CT9/节奏总纲!D5</f>
        <v>0</v>
      </c>
      <c r="DM9" s="2">
        <f>CU9/节奏总纲!E5</f>
        <v>0</v>
      </c>
      <c r="DN9" s="2">
        <f>CV9/节奏总纲!F5</f>
        <v>0</v>
      </c>
      <c r="DO9" s="2">
        <f>CW9/节奏总纲!G5</f>
        <v>0</v>
      </c>
      <c r="DP9" s="2">
        <f>CX9/节奏总纲!H5</f>
        <v>0</v>
      </c>
      <c r="DR9" s="2" t="e">
        <f t="shared" si="15"/>
        <v>#DIV/0!</v>
      </c>
      <c r="DS9" s="2" t="e">
        <f t="shared" si="16"/>
        <v>#DIV/0!</v>
      </c>
      <c r="DT9" s="2" t="e">
        <f t="shared" si="17"/>
        <v>#DIV/0!</v>
      </c>
      <c r="DU9" s="2" t="e">
        <f t="shared" si="18"/>
        <v>#DIV/0!</v>
      </c>
      <c r="DY9" s="2">
        <v>2</v>
      </c>
      <c r="DZ9" s="2">
        <f t="shared" ref="DZ9:DZ72" si="22">AJ9+BI9+CJ9</f>
        <v>0</v>
      </c>
      <c r="EA9" s="2">
        <f t="shared" ref="EA9:EA72" si="23">AK9+BJ9+CK9</f>
        <v>0</v>
      </c>
      <c r="EB9" s="2">
        <f t="shared" ref="EB9:EB72" si="24">AL9+BK9+CL9</f>
        <v>0</v>
      </c>
      <c r="EC9" s="2">
        <f t="shared" ref="EC9:EC72" si="25">AM9+BL9+CM9</f>
        <v>0</v>
      </c>
      <c r="ED9" s="2">
        <f t="shared" ref="ED9:ED72" si="26">AN9+BM9+CN9</f>
        <v>0</v>
      </c>
      <c r="EF9" s="57" t="e">
        <f t="shared" ref="EF9:EF72" si="27">AJ9/DZ9</f>
        <v>#DIV/0!</v>
      </c>
      <c r="EG9" s="57" t="e">
        <f t="shared" ref="EG9:EG72" si="28">BI9/DZ9</f>
        <v>#DIV/0!</v>
      </c>
      <c r="EH9" s="41" t="e">
        <f t="shared" ref="EH9:EH72" si="29">CJ9/DZ9</f>
        <v>#DIV/0!</v>
      </c>
      <c r="EJ9" s="57" t="e">
        <f t="shared" ref="EJ9:EJ72" si="30">AL9/EB9</f>
        <v>#DIV/0!</v>
      </c>
      <c r="EK9" s="57" t="e">
        <f t="shared" ref="EK9:EK72" si="31">BK9/EB9</f>
        <v>#DIV/0!</v>
      </c>
      <c r="EL9" s="41" t="e">
        <f t="shared" ref="EL9:EL72" si="32">CL9/EB9</f>
        <v>#DIV/0!</v>
      </c>
      <c r="EN9" s="57" t="e">
        <f t="shared" ref="EN9:EN72" si="33">AN9/ED9</f>
        <v>#DIV/0!</v>
      </c>
      <c r="EO9" s="57" t="e">
        <f t="shared" ref="EO9:EO72" si="34">BM9/ED9</f>
        <v>#DIV/0!</v>
      </c>
      <c r="EP9" s="41" t="e">
        <f t="shared" ref="EP9:EP72" si="35">CN9/ED9</f>
        <v>#DIV/0!</v>
      </c>
    </row>
    <row r="10" spans="1:146" x14ac:dyDescent="0.15">
      <c r="C10" s="2" t="s">
        <v>198</v>
      </c>
      <c r="D10" s="2" t="s">
        <v>199</v>
      </c>
      <c r="E10" s="2" t="s">
        <v>200</v>
      </c>
      <c r="F10" s="2" t="s">
        <v>201</v>
      </c>
      <c r="G10" s="2" t="s">
        <v>202</v>
      </c>
      <c r="T10" s="2">
        <v>3</v>
      </c>
      <c r="U10" s="2">
        <f>$N$8*SUM(C$11:C$12)/(365/12)*MAX(节奏总纲!D6-$E$2,0)</f>
        <v>0</v>
      </c>
      <c r="V10" s="2">
        <f>$N$8*SUM(D$11:D$12)/(365/12)*MAX(节奏总纲!E6-$E$2,0)</f>
        <v>0</v>
      </c>
      <c r="W10" s="2">
        <f>$N$8*SUM(E$11:E$12)/(365/12)*MAX(节奏总纲!F6-$E$2,0)</f>
        <v>0</v>
      </c>
      <c r="X10" s="2">
        <f>$N$8*SUM(F$11:F$12)/(365/12)*MAX(节奏总纲!G6-$E$2,0)</f>
        <v>0</v>
      </c>
      <c r="Y10" s="2">
        <f>$N$8*SUM(G$11:G$12)/(365/12)*MAX(节奏总纲!H6-$E$2,0)</f>
        <v>0</v>
      </c>
      <c r="Z10" s="2">
        <f>$O$8*SUM(C$11:C$12)/(365/12)*MAX(节奏总纲!D6-$E$2,0)</f>
        <v>0</v>
      </c>
      <c r="AA10" s="2">
        <f>$O$8*SUM(D$11:D$12)/(365/12)*MAX(节奏总纲!E6-$E$2,0)</f>
        <v>0</v>
      </c>
      <c r="AB10" s="2">
        <f>$O$8*SUM(E$11:E$12)/(365/12)*MAX(节奏总纲!F6-$E$2,0)</f>
        <v>0</v>
      </c>
      <c r="AC10" s="2">
        <f>$O$8*SUM(F$11:F$12)/(365/12)*MAX(节奏总纲!G6-$E$2,0)</f>
        <v>0</v>
      </c>
      <c r="AD10" s="2">
        <f>$O$8*SUM(G$11:G$12)/(365/12)*MAX(节奏总纲!H6-$E$2,0)</f>
        <v>0</v>
      </c>
      <c r="AE10" s="2">
        <f>$Q$8*SUM(C$11:C$12)/(365/12)*MAX(节奏总纲!D6-$E$2,0)</f>
        <v>0</v>
      </c>
      <c r="AF10" s="2">
        <f>$Q$8*SUM(D$11:D$12)/(365/12)*MAX(节奏总纲!E6-$E$2,0)</f>
        <v>0</v>
      </c>
      <c r="AG10" s="2">
        <f>$Q$8*SUM(E$11:E$12)/(365/12)*MAX(节奏总纲!F6-$E$2,0)</f>
        <v>0</v>
      </c>
      <c r="AH10" s="2">
        <f>$Q$8*SUM(F$11:F$12)/(365/12)*MAX(节奏总纲!G6-$E$2,0)</f>
        <v>0</v>
      </c>
      <c r="AI10" s="2">
        <f>$Q$8*SUM(G$11:G$12)/(365/12)*MAX(节奏总纲!H6-$E$2,0)</f>
        <v>0</v>
      </c>
      <c r="AJ10" s="2">
        <f>$P$8*SUM(C$11:C$12)/(365/12)*MAX(节奏总纲!D6-$E$2,0)</f>
        <v>0</v>
      </c>
      <c r="AK10" s="2">
        <f>$P$8*SUM(D$11:D$12)/(365/12)*MAX(节奏总纲!E6-$E$2,0)</f>
        <v>0</v>
      </c>
      <c r="AL10" s="2">
        <f>$P$8*SUM(E$11:E$12)/(365/12)*MAX(节奏总纲!F6-$E$2,0)</f>
        <v>0</v>
      </c>
      <c r="AM10" s="2">
        <f>$P$8*SUM(F$11:F$12)/(365/12)*MAX(节奏总纲!G6-$E$2,0)</f>
        <v>0</v>
      </c>
      <c r="AN10" s="2">
        <f>$P$8*SUM(G$11:G$12)/(365/12)*MAX(节奏总纲!H6-$E$2,0)</f>
        <v>0</v>
      </c>
      <c r="AU10" s="2">
        <v>3</v>
      </c>
      <c r="AV10" s="2">
        <v>3</v>
      </c>
      <c r="AW10" s="43">
        <f t="shared" ref="AW10:AZ10" si="36">AW30+AW40</f>
        <v>46</v>
      </c>
      <c r="AX10" s="43">
        <f t="shared" si="36"/>
        <v>6</v>
      </c>
      <c r="AY10" s="43">
        <f t="shared" si="36"/>
        <v>64800</v>
      </c>
      <c r="AZ10" s="43">
        <f t="shared" si="36"/>
        <v>2500</v>
      </c>
      <c r="BA10" s="2">
        <f>IF(AW10="",0,$AX$20*AW10)+
IF(AX10="",0,IFERROR(INDEX(道具投放节奏!$K:$K,MATCH(AX$7,道具投放节奏!$D:$D,0)),INDEX(其他调用!$CD$3:$CD$6,MATCH(AX$7,其他调用!$CB$3:$CB$6,0)))*AX10)+
IF(AZ10="",0,AZ10*$D$17)</f>
        <v>37900</v>
      </c>
      <c r="BB10" s="2">
        <f t="shared" si="21"/>
        <v>18</v>
      </c>
      <c r="BC10" s="2">
        <v>3</v>
      </c>
      <c r="BD10" s="2">
        <f>$AZ$8/(365/12)*MAX(节奏总纲!D6-$E$2,0)</f>
        <v>0</v>
      </c>
      <c r="BE10" s="2">
        <f>$AZ$8/(365/12)*MAX(节奏总纲!E6-$E$2,0)</f>
        <v>0</v>
      </c>
      <c r="BF10" s="2">
        <f>$AZ$8/(365/12)*MAX(节奏总纲!F6-$E$2,0)</f>
        <v>0</v>
      </c>
      <c r="BG10" s="2">
        <f>$AZ$8/(365/12)*MAX(节奏总纲!G6-$E$2,0)</f>
        <v>0</v>
      </c>
      <c r="BH10" s="2">
        <f>$AZ$8/(365/12)*MAX(节奏总纲!H6-$E$2,0)</f>
        <v>0</v>
      </c>
      <c r="BI10" s="2">
        <f>$AY$8/(365/12)*MAX(节奏总纲!D6-$E$2,0)</f>
        <v>0</v>
      </c>
      <c r="BJ10" s="2">
        <f>$AY$8/(365/12)*MAX(节奏总纲!E6-$E$2,0)</f>
        <v>0</v>
      </c>
      <c r="BK10" s="2">
        <f>$AY$8/(365/12)*MAX(节奏总纲!F6-$E$2,0)</f>
        <v>0</v>
      </c>
      <c r="BL10" s="2">
        <f>$AY$8/(365/12)*MAX(节奏总纲!G6-$E$2,0)</f>
        <v>0</v>
      </c>
      <c r="BM10" s="2">
        <f>$AY$8/(365/12)*MAX(节奏总纲!H6-$E$2,0)</f>
        <v>0</v>
      </c>
      <c r="BS10" s="2">
        <v>20000</v>
      </c>
      <c r="BT10" s="2">
        <v>3</v>
      </c>
      <c r="BU10" s="2">
        <v>3</v>
      </c>
      <c r="BV10" s="2">
        <v>200</v>
      </c>
      <c r="BW10" s="2">
        <v>3</v>
      </c>
      <c r="BY10" s="2">
        <v>300</v>
      </c>
      <c r="BZ10" s="2">
        <v>8400</v>
      </c>
      <c r="CA10" s="2">
        <f>IF(BV10="",0,INDEX(道具投放节奏!$K:$K,MATCH(BV$7,道具投放节奏!$D:$D,0))*BV10)+
IF(BW10="",0,INDEX(道具投放节奏!$K:$K,MATCH(BW$7,道具投放节奏!$D:$D,0))*BW10)+
IF(BX10="",0,INDEX(道具投放节奏!$K:$K,MATCH(BX$7,道具投放节奏!$D:$D,0))*BX10)+
IF(BY10="",0,$D$17*BY10)</f>
        <v>1940</v>
      </c>
      <c r="CB10" s="2" t="s">
        <v>12</v>
      </c>
      <c r="CD10" s="2">
        <v>3</v>
      </c>
      <c r="CE10" s="2">
        <f>INDEX($BY$8:$BY$15,MATCH(CE$7,$CB$8:$CB$15,0))*SUM(C$11:C$12)/(365/12)*MAX(节奏总纲!D6-$E$2,0)</f>
        <v>0</v>
      </c>
      <c r="CF10" s="2">
        <f>INDEX($BY$8:$BY$15,MATCH(CF$7,$CB$8:$CB$15,0))*SUM(D$11:D$12)/(365/12)*MAX(节奏总纲!E6-$E$2,0)</f>
        <v>0</v>
      </c>
      <c r="CG10" s="2">
        <f>INDEX($BY$8:$BY$15,MATCH(CG$7,$CB$8:$CB$15,0))*SUM(E$11:E$12)/(365/12)*MAX(节奏总纲!F6-$E$2,0)</f>
        <v>0</v>
      </c>
      <c r="CH10" s="2">
        <f>INDEX($BY$8:$BY$15,MATCH(CH$7,$CB$8:$CB$15,0))*SUM(F$11:F$12)/(365/12)*MAX(节奏总纲!G6-$E$2,0)</f>
        <v>0</v>
      </c>
      <c r="CI10" s="2">
        <f>INDEX($BY$8:$BY$15,MATCH(CI$7,$CB$8:$CB$15,0))*SUM(G$11:G$12)/(365/12)*MAX(节奏总纲!H6-$E$2,0)</f>
        <v>0</v>
      </c>
      <c r="CJ10" s="2">
        <f>INDEX($BZ$8:$BZ$15,MATCH(CE$7,$CB$8:$CB$15,0))*SUM(C$11:C$12)/(365/12)*MAX(节奏总纲!D6-$E$2,0)</f>
        <v>0</v>
      </c>
      <c r="CK10" s="2">
        <f>INDEX($BZ$8:$BZ$15,MATCH(CF$7,$CB$8:$CB$15,0))*SUM(D$11:D$12)/(365/12)*MAX(节奏总纲!E6-$E$2,0)</f>
        <v>0</v>
      </c>
      <c r="CL10" s="2">
        <f>INDEX($BZ$8:$BZ$15,MATCH(CG$7,$CB$8:$CB$15,0))*SUM(E$11:E$12)/(365/12)*MAX(节奏总纲!F6-$E$2,0)</f>
        <v>0</v>
      </c>
      <c r="CM10" s="2">
        <f>INDEX($BZ$8:$BZ$15,MATCH(CH$7,$CB$8:$CB$15,0))*SUM(F$11:F$12)/(365/12)*MAX(节奏总纲!G6-$E$2,0)</f>
        <v>0</v>
      </c>
      <c r="CN10" s="2">
        <f>INDEX($BZ$8:$BZ$15,MATCH(CI$7,$CB$8:$CB$15,0))*SUM(G$11:G$12)/(365/12)*MAX(节奏总纲!H6-$E$2,0)</f>
        <v>0</v>
      </c>
      <c r="CS10" s="2">
        <v>3</v>
      </c>
      <c r="CT10" s="2">
        <f t="shared" si="1"/>
        <v>0</v>
      </c>
      <c r="CU10" s="2">
        <f t="shared" si="2"/>
        <v>0</v>
      </c>
      <c r="CV10" s="2">
        <f t="shared" si="3"/>
        <v>0</v>
      </c>
      <c r="CW10" s="2">
        <f t="shared" si="4"/>
        <v>0</v>
      </c>
      <c r="CX10" s="2">
        <f t="shared" si="5"/>
        <v>0</v>
      </c>
      <c r="CZ10" s="41" t="e">
        <f t="shared" si="6"/>
        <v>#DIV/0!</v>
      </c>
      <c r="DA10" s="41" t="e">
        <f t="shared" si="7"/>
        <v>#DIV/0!</v>
      </c>
      <c r="DB10" s="41" t="e">
        <f t="shared" si="8"/>
        <v>#DIV/0!</v>
      </c>
      <c r="DD10" s="41" t="e">
        <f t="shared" si="9"/>
        <v>#DIV/0!</v>
      </c>
      <c r="DE10" s="41" t="e">
        <f t="shared" si="10"/>
        <v>#DIV/0!</v>
      </c>
      <c r="DF10" s="41" t="e">
        <f t="shared" si="11"/>
        <v>#DIV/0!</v>
      </c>
      <c r="DH10" s="41" t="e">
        <f t="shared" si="12"/>
        <v>#DIV/0!</v>
      </c>
      <c r="DI10" s="41" t="e">
        <f t="shared" si="13"/>
        <v>#DIV/0!</v>
      </c>
      <c r="DJ10" s="41" t="e">
        <f t="shared" si="14"/>
        <v>#DIV/0!</v>
      </c>
      <c r="DL10" s="2">
        <f>CT10/节奏总纲!D6</f>
        <v>0</v>
      </c>
      <c r="DM10" s="2">
        <f>CU10/节奏总纲!E6</f>
        <v>0</v>
      </c>
      <c r="DN10" s="2">
        <f>CV10/节奏总纲!F6</f>
        <v>0</v>
      </c>
      <c r="DO10" s="2">
        <f>CW10/节奏总纲!G6</f>
        <v>0</v>
      </c>
      <c r="DP10" s="2">
        <f>CX10/节奏总纲!H6</f>
        <v>0</v>
      </c>
      <c r="DR10" s="2" t="e">
        <f t="shared" si="15"/>
        <v>#DIV/0!</v>
      </c>
      <c r="DS10" s="2" t="e">
        <f t="shared" si="16"/>
        <v>#DIV/0!</v>
      </c>
      <c r="DT10" s="2" t="e">
        <f t="shared" si="17"/>
        <v>#DIV/0!</v>
      </c>
      <c r="DU10" s="2" t="e">
        <f t="shared" si="18"/>
        <v>#DIV/0!</v>
      </c>
      <c r="DY10" s="2">
        <v>3</v>
      </c>
      <c r="DZ10" s="2">
        <f t="shared" si="22"/>
        <v>0</v>
      </c>
      <c r="EA10" s="2">
        <f t="shared" si="23"/>
        <v>0</v>
      </c>
      <c r="EB10" s="2">
        <f t="shared" si="24"/>
        <v>0</v>
      </c>
      <c r="EC10" s="2">
        <f t="shared" si="25"/>
        <v>0</v>
      </c>
      <c r="ED10" s="2">
        <f t="shared" si="26"/>
        <v>0</v>
      </c>
      <c r="EF10" s="57" t="e">
        <f t="shared" si="27"/>
        <v>#DIV/0!</v>
      </c>
      <c r="EG10" s="57" t="e">
        <f t="shared" si="28"/>
        <v>#DIV/0!</v>
      </c>
      <c r="EH10" s="41" t="e">
        <f t="shared" si="29"/>
        <v>#DIV/0!</v>
      </c>
      <c r="EJ10" s="57" t="e">
        <f t="shared" si="30"/>
        <v>#DIV/0!</v>
      </c>
      <c r="EK10" s="57" t="e">
        <f t="shared" si="31"/>
        <v>#DIV/0!</v>
      </c>
      <c r="EL10" s="41" t="e">
        <f t="shared" si="32"/>
        <v>#DIV/0!</v>
      </c>
      <c r="EN10" s="57" t="e">
        <f t="shared" si="33"/>
        <v>#DIV/0!</v>
      </c>
      <c r="EO10" s="57" t="e">
        <f t="shared" si="34"/>
        <v>#DIV/0!</v>
      </c>
      <c r="EP10" s="41" t="e">
        <f t="shared" si="35"/>
        <v>#DIV/0!</v>
      </c>
    </row>
    <row r="11" spans="1:146" x14ac:dyDescent="0.15">
      <c r="B11" s="17" t="s">
        <v>529</v>
      </c>
      <c r="C11" s="2">
        <f>$C$6</f>
        <v>6</v>
      </c>
      <c r="D11" s="2">
        <f>$C$6</f>
        <v>6</v>
      </c>
      <c r="E11" s="2">
        <f>$C$6</f>
        <v>6</v>
      </c>
      <c r="F11" s="2">
        <f>$C$6</f>
        <v>6</v>
      </c>
      <c r="G11" s="2">
        <f>$C$6</f>
        <v>6</v>
      </c>
      <c r="T11" s="2">
        <v>4</v>
      </c>
      <c r="U11" s="2">
        <f>$N$8*SUM(C$11:C$12)/(365/12)*MAX(节奏总纲!D7-$E$2,0)</f>
        <v>0</v>
      </c>
      <c r="V11" s="2">
        <f>$N$8*SUM(D$11:D$12)/(365/12)*MAX(节奏总纲!E7-$E$2,0)</f>
        <v>0</v>
      </c>
      <c r="W11" s="2">
        <f>$N$8*SUM(E$11:E$12)/(365/12)*MAX(节奏总纲!F7-$E$2,0)</f>
        <v>0</v>
      </c>
      <c r="X11" s="2">
        <f>$N$8*SUM(F$11:F$12)/(365/12)*MAX(节奏总纲!G7-$E$2,0)</f>
        <v>0</v>
      </c>
      <c r="Y11" s="2">
        <f>$N$8*SUM(G$11:G$12)/(365/12)*MAX(节奏总纲!H7-$E$2,0)</f>
        <v>0</v>
      </c>
      <c r="Z11" s="2">
        <f>$O$8*SUM(C$11:C$12)/(365/12)*MAX(节奏总纲!D7-$E$2,0)</f>
        <v>0</v>
      </c>
      <c r="AA11" s="2">
        <f>$O$8*SUM(D$11:D$12)/(365/12)*MAX(节奏总纲!E7-$E$2,0)</f>
        <v>0</v>
      </c>
      <c r="AB11" s="2">
        <f>$O$8*SUM(E$11:E$12)/(365/12)*MAX(节奏总纲!F7-$E$2,0)</f>
        <v>0</v>
      </c>
      <c r="AC11" s="2">
        <f>$O$8*SUM(F$11:F$12)/(365/12)*MAX(节奏总纲!G7-$E$2,0)</f>
        <v>0</v>
      </c>
      <c r="AD11" s="2">
        <f>$O$8*SUM(G$11:G$12)/(365/12)*MAX(节奏总纲!H7-$E$2,0)</f>
        <v>0</v>
      </c>
      <c r="AE11" s="2">
        <f>$Q$8*SUM(C$11:C$12)/(365/12)*MAX(节奏总纲!D7-$E$2,0)</f>
        <v>0</v>
      </c>
      <c r="AF11" s="2">
        <f>$Q$8*SUM(D$11:D$12)/(365/12)*MAX(节奏总纲!E7-$E$2,0)</f>
        <v>0</v>
      </c>
      <c r="AG11" s="2">
        <f>$Q$8*SUM(E$11:E$12)/(365/12)*MAX(节奏总纲!F7-$E$2,0)</f>
        <v>0</v>
      </c>
      <c r="AH11" s="2">
        <f>$Q$8*SUM(F$11:F$12)/(365/12)*MAX(节奏总纲!G7-$E$2,0)</f>
        <v>0</v>
      </c>
      <c r="AI11" s="2">
        <f>$Q$8*SUM(G$11:G$12)/(365/12)*MAX(节奏总纲!H7-$E$2,0)</f>
        <v>0</v>
      </c>
      <c r="AJ11" s="2">
        <f>$P$8*SUM(C$11:C$12)/(365/12)*MAX(节奏总纲!D7-$E$2,0)</f>
        <v>0</v>
      </c>
      <c r="AK11" s="2">
        <f>$P$8*SUM(D$11:D$12)/(365/12)*MAX(节奏总纲!E7-$E$2,0)</f>
        <v>0</v>
      </c>
      <c r="AL11" s="2">
        <f>$P$8*SUM(E$11:E$12)/(365/12)*MAX(节奏总纲!F7-$E$2,0)</f>
        <v>0</v>
      </c>
      <c r="AM11" s="2">
        <f>$P$8*SUM(F$11:F$12)/(365/12)*MAX(节奏总纲!G7-$E$2,0)</f>
        <v>0</v>
      </c>
      <c r="AN11" s="2">
        <f>$P$8*SUM(G$11:G$12)/(365/12)*MAX(节奏总纲!H7-$E$2,0)</f>
        <v>0</v>
      </c>
      <c r="AU11" s="2">
        <v>4</v>
      </c>
      <c r="AV11" s="2">
        <v>5</v>
      </c>
      <c r="AW11" s="43">
        <f t="shared" ref="AW11:AZ11" si="37">AW31+AW41</f>
        <v>34</v>
      </c>
      <c r="AX11" s="43">
        <f t="shared" si="37"/>
        <v>4</v>
      </c>
      <c r="AY11" s="43">
        <f t="shared" si="37"/>
        <v>61200</v>
      </c>
      <c r="AZ11" s="43">
        <f t="shared" si="37"/>
        <v>2250</v>
      </c>
      <c r="BA11" s="2">
        <f>IF(AW11="",0,$AX$20*AW11)+
IF(AX11="",0,IFERROR(INDEX(道具投放节奏!$K:$K,MATCH(AX$7,道具投放节奏!$D:$D,0)),INDEX(其他调用!$CD$3:$CD$6,MATCH(AX$7,其他调用!$CB$3:$CB$6,0)))*AX11)+
IF(AZ11="",0,AZ11*$D$17)</f>
        <v>29850</v>
      </c>
      <c r="BB11" s="2">
        <f t="shared" si="21"/>
        <v>17</v>
      </c>
      <c r="BC11" s="2">
        <v>4</v>
      </c>
      <c r="BD11" s="2">
        <f>$AZ$8/(365/12)*MAX(节奏总纲!D7-$E$2,0)</f>
        <v>0</v>
      </c>
      <c r="BE11" s="2">
        <f>$AZ$8/(365/12)*MAX(节奏总纲!E7-$E$2,0)</f>
        <v>0</v>
      </c>
      <c r="BF11" s="2">
        <f>$AZ$8/(365/12)*MAX(节奏总纲!F7-$E$2,0)</f>
        <v>0</v>
      </c>
      <c r="BG11" s="2">
        <f>$AZ$8/(365/12)*MAX(节奏总纲!G7-$E$2,0)</f>
        <v>0</v>
      </c>
      <c r="BH11" s="2">
        <f>$AZ$8/(365/12)*MAX(节奏总纲!H7-$E$2,0)</f>
        <v>0</v>
      </c>
      <c r="BI11" s="2">
        <f>$AY$8/(365/12)*MAX(节奏总纲!D7-$E$2,0)</f>
        <v>0</v>
      </c>
      <c r="BJ11" s="2">
        <f>$AY$8/(365/12)*MAX(节奏总纲!E7-$E$2,0)</f>
        <v>0</v>
      </c>
      <c r="BK11" s="2">
        <f>$AY$8/(365/12)*MAX(节奏总纲!F7-$E$2,0)</f>
        <v>0</v>
      </c>
      <c r="BL11" s="2">
        <f>$AY$8/(365/12)*MAX(节奏总纲!G7-$E$2,0)</f>
        <v>0</v>
      </c>
      <c r="BM11" s="2">
        <f>$AY$8/(365/12)*MAX(节奏总纲!H7-$E$2,0)</f>
        <v>0</v>
      </c>
      <c r="BS11" s="2">
        <v>15000</v>
      </c>
      <c r="BT11" s="2">
        <v>4</v>
      </c>
      <c r="BU11" s="2">
        <v>5</v>
      </c>
      <c r="BV11" s="2">
        <v>200</v>
      </c>
      <c r="BX11" s="2">
        <v>6</v>
      </c>
      <c r="BY11" s="2">
        <v>200</v>
      </c>
      <c r="BZ11" s="2">
        <v>7200</v>
      </c>
      <c r="CA11" s="2">
        <f>IF(BV11="",0,INDEX(道具投放节奏!$K:$K,MATCH(BV$7,道具投放节奏!$D:$D,0))*BV11)+
IF(BW11="",0,INDEX(道具投放节奏!$K:$K,MATCH(BW$7,道具投放节奏!$D:$D,0))*BW11)+
IF(BX11="",0,INDEX(道具投放节奏!$K:$K,MATCH(BX$7,道具投放节奏!$D:$D,0))*BX11)+
IF(BY11="",0,$D$17*BY11)</f>
        <v>1380</v>
      </c>
      <c r="CB11" s="2" t="s">
        <v>11</v>
      </c>
      <c r="CD11" s="2">
        <v>4</v>
      </c>
      <c r="CE11" s="2">
        <f>INDEX($BY$8:$BY$15,MATCH(CE$7,$CB$8:$CB$15,0))*SUM(C$11:C$12)/(365/12)*MAX(节奏总纲!D7-$E$2,0)</f>
        <v>0</v>
      </c>
      <c r="CF11" s="2">
        <f>INDEX($BY$8:$BY$15,MATCH(CF$7,$CB$8:$CB$15,0))*SUM(D$11:D$12)/(365/12)*MAX(节奏总纲!E7-$E$2,0)</f>
        <v>0</v>
      </c>
      <c r="CG11" s="2">
        <f>INDEX($BY$8:$BY$15,MATCH(CG$7,$CB$8:$CB$15,0))*SUM(E$11:E$12)/(365/12)*MAX(节奏总纲!F7-$E$2,0)</f>
        <v>0</v>
      </c>
      <c r="CH11" s="2">
        <f>INDEX($BY$8:$BY$15,MATCH(CH$7,$CB$8:$CB$15,0))*SUM(F$11:F$12)/(365/12)*MAX(节奏总纲!G7-$E$2,0)</f>
        <v>0</v>
      </c>
      <c r="CI11" s="2">
        <f>INDEX($BY$8:$BY$15,MATCH(CI$7,$CB$8:$CB$15,0))*SUM(G$11:G$12)/(365/12)*MAX(节奏总纲!H7-$E$2,0)</f>
        <v>0</v>
      </c>
      <c r="CJ11" s="2">
        <f>INDEX($BZ$8:$BZ$15,MATCH(CE$7,$CB$8:$CB$15,0))*SUM(C$11:C$12)/(365/12)*MAX(节奏总纲!D7-$E$2,0)</f>
        <v>0</v>
      </c>
      <c r="CK11" s="2">
        <f>INDEX($BZ$8:$BZ$15,MATCH(CF$7,$CB$8:$CB$15,0))*SUM(D$11:D$12)/(365/12)*MAX(节奏总纲!E7-$E$2,0)</f>
        <v>0</v>
      </c>
      <c r="CL11" s="2">
        <f>INDEX($BZ$8:$BZ$15,MATCH(CG$7,$CB$8:$CB$15,0))*SUM(E$11:E$12)/(365/12)*MAX(节奏总纲!F7-$E$2,0)</f>
        <v>0</v>
      </c>
      <c r="CM11" s="2">
        <f>INDEX($BZ$8:$BZ$15,MATCH(CH$7,$CB$8:$CB$15,0))*SUM(F$11:F$12)/(365/12)*MAX(节奏总纲!G7-$E$2,0)</f>
        <v>0</v>
      </c>
      <c r="CN11" s="2">
        <f>INDEX($BZ$8:$BZ$15,MATCH(CI$7,$CB$8:$CB$15,0))*SUM(G$11:G$12)/(365/12)*MAX(节奏总纲!H7-$E$2,0)</f>
        <v>0</v>
      </c>
      <c r="CS11" s="2">
        <v>4</v>
      </c>
      <c r="CT11" s="2">
        <f t="shared" si="1"/>
        <v>0</v>
      </c>
      <c r="CU11" s="2">
        <f t="shared" si="2"/>
        <v>0</v>
      </c>
      <c r="CV11" s="2">
        <f t="shared" si="3"/>
        <v>0</v>
      </c>
      <c r="CW11" s="2">
        <f t="shared" si="4"/>
        <v>0</v>
      </c>
      <c r="CX11" s="2">
        <f t="shared" si="5"/>
        <v>0</v>
      </c>
      <c r="CZ11" s="41" t="e">
        <f t="shared" si="6"/>
        <v>#DIV/0!</v>
      </c>
      <c r="DA11" s="41" t="e">
        <f t="shared" si="7"/>
        <v>#DIV/0!</v>
      </c>
      <c r="DB11" s="41" t="e">
        <f t="shared" si="8"/>
        <v>#DIV/0!</v>
      </c>
      <c r="DD11" s="41" t="e">
        <f t="shared" si="9"/>
        <v>#DIV/0!</v>
      </c>
      <c r="DE11" s="41" t="e">
        <f t="shared" si="10"/>
        <v>#DIV/0!</v>
      </c>
      <c r="DF11" s="41" t="e">
        <f t="shared" si="11"/>
        <v>#DIV/0!</v>
      </c>
      <c r="DH11" s="41" t="e">
        <f t="shared" si="12"/>
        <v>#DIV/0!</v>
      </c>
      <c r="DI11" s="41" t="e">
        <f t="shared" si="13"/>
        <v>#DIV/0!</v>
      </c>
      <c r="DJ11" s="41" t="e">
        <f t="shared" si="14"/>
        <v>#DIV/0!</v>
      </c>
      <c r="DL11" s="2">
        <f>CT11/节奏总纲!D7</f>
        <v>0</v>
      </c>
      <c r="DM11" s="2">
        <f>CU11/节奏总纲!E7</f>
        <v>0</v>
      </c>
      <c r="DN11" s="2">
        <f>CV11/节奏总纲!F7</f>
        <v>0</v>
      </c>
      <c r="DO11" s="2">
        <f>CW11/节奏总纲!G7</f>
        <v>0</v>
      </c>
      <c r="DP11" s="2">
        <f>CX11/节奏总纲!H7</f>
        <v>0</v>
      </c>
      <c r="DR11" s="2" t="e">
        <f t="shared" si="15"/>
        <v>#DIV/0!</v>
      </c>
      <c r="DS11" s="2" t="e">
        <f t="shared" si="16"/>
        <v>#DIV/0!</v>
      </c>
      <c r="DT11" s="2" t="e">
        <f t="shared" si="17"/>
        <v>#DIV/0!</v>
      </c>
      <c r="DU11" s="2" t="e">
        <f t="shared" si="18"/>
        <v>#DIV/0!</v>
      </c>
      <c r="DY11" s="2">
        <v>4</v>
      </c>
      <c r="DZ11" s="2">
        <f t="shared" si="22"/>
        <v>0</v>
      </c>
      <c r="EA11" s="2">
        <f t="shared" si="23"/>
        <v>0</v>
      </c>
      <c r="EB11" s="2">
        <f t="shared" si="24"/>
        <v>0</v>
      </c>
      <c r="EC11" s="2">
        <f t="shared" si="25"/>
        <v>0</v>
      </c>
      <c r="ED11" s="2">
        <f t="shared" si="26"/>
        <v>0</v>
      </c>
      <c r="EF11" s="57" t="e">
        <f t="shared" si="27"/>
        <v>#DIV/0!</v>
      </c>
      <c r="EG11" s="57" t="e">
        <f t="shared" si="28"/>
        <v>#DIV/0!</v>
      </c>
      <c r="EH11" s="41" t="e">
        <f t="shared" si="29"/>
        <v>#DIV/0!</v>
      </c>
      <c r="EJ11" s="57" t="e">
        <f t="shared" si="30"/>
        <v>#DIV/0!</v>
      </c>
      <c r="EK11" s="57" t="e">
        <f t="shared" si="31"/>
        <v>#DIV/0!</v>
      </c>
      <c r="EL11" s="41" t="e">
        <f t="shared" si="32"/>
        <v>#DIV/0!</v>
      </c>
      <c r="EN11" s="57" t="e">
        <f t="shared" si="33"/>
        <v>#DIV/0!</v>
      </c>
      <c r="EO11" s="57" t="e">
        <f t="shared" si="34"/>
        <v>#DIV/0!</v>
      </c>
      <c r="EP11" s="41" t="e">
        <f t="shared" si="35"/>
        <v>#DIV/0!</v>
      </c>
    </row>
    <row r="12" spans="1:146" x14ac:dyDescent="0.15">
      <c r="B12" s="17" t="s">
        <v>530</v>
      </c>
      <c r="C12" s="2">
        <f>$C$7</f>
        <v>2</v>
      </c>
      <c r="D12" s="2">
        <f>$C$7</f>
        <v>2</v>
      </c>
      <c r="E12" s="2">
        <f>$C$7</f>
        <v>2</v>
      </c>
      <c r="F12" s="2">
        <f>$C$7</f>
        <v>2</v>
      </c>
      <c r="G12" s="2">
        <f>$C$7</f>
        <v>2</v>
      </c>
      <c r="H12" s="21"/>
      <c r="I12" s="21"/>
      <c r="T12" s="2">
        <v>5</v>
      </c>
      <c r="U12" s="2">
        <f>$N$8*SUM(C$11:C$12)/(365/12)*MAX(节奏总纲!D8-$E$2,0)</f>
        <v>0</v>
      </c>
      <c r="V12" s="2">
        <f>$N$8*SUM(D$11:D$12)/(365/12)*MAX(节奏总纲!E8-$E$2,0)</f>
        <v>0</v>
      </c>
      <c r="W12" s="2">
        <f>$N$8*SUM(E$11:E$12)/(365/12)*MAX(节奏总纲!F8-$E$2,0)</f>
        <v>0</v>
      </c>
      <c r="X12" s="2">
        <f>$N$8*SUM(F$11:F$12)/(365/12)*MAX(节奏总纲!G8-$E$2,0)</f>
        <v>0</v>
      </c>
      <c r="Y12" s="2">
        <f>$N$8*SUM(G$11:G$12)/(365/12)*MAX(节奏总纲!H8-$E$2,0)</f>
        <v>0</v>
      </c>
      <c r="Z12" s="2">
        <f>$O$8*SUM(C$11:C$12)/(365/12)*MAX(节奏总纲!D8-$E$2,0)</f>
        <v>0</v>
      </c>
      <c r="AA12" s="2">
        <f>$O$8*SUM(D$11:D$12)/(365/12)*MAX(节奏总纲!E8-$E$2,0)</f>
        <v>0</v>
      </c>
      <c r="AB12" s="2">
        <f>$O$8*SUM(E$11:E$12)/(365/12)*MAX(节奏总纲!F8-$E$2,0)</f>
        <v>0</v>
      </c>
      <c r="AC12" s="2">
        <f>$O$8*SUM(F$11:F$12)/(365/12)*MAX(节奏总纲!G8-$E$2,0)</f>
        <v>0</v>
      </c>
      <c r="AD12" s="2">
        <f>$O$8*SUM(G$11:G$12)/(365/12)*MAX(节奏总纲!H8-$E$2,0)</f>
        <v>0</v>
      </c>
      <c r="AE12" s="2">
        <f>$Q$8*SUM(C$11:C$12)/(365/12)*MAX(节奏总纲!D8-$E$2,0)</f>
        <v>0</v>
      </c>
      <c r="AF12" s="2">
        <f>$Q$8*SUM(D$11:D$12)/(365/12)*MAX(节奏总纲!E8-$E$2,0)</f>
        <v>0</v>
      </c>
      <c r="AG12" s="2">
        <f>$Q$8*SUM(E$11:E$12)/(365/12)*MAX(节奏总纲!F8-$E$2,0)</f>
        <v>0</v>
      </c>
      <c r="AH12" s="2">
        <f>$Q$8*SUM(F$11:F$12)/(365/12)*MAX(节奏总纲!G8-$E$2,0)</f>
        <v>0</v>
      </c>
      <c r="AI12" s="2">
        <f>$Q$8*SUM(G$11:G$12)/(365/12)*MAX(节奏总纲!H8-$E$2,0)</f>
        <v>0</v>
      </c>
      <c r="AJ12" s="2">
        <f>$P$8*SUM(C$11:C$12)/(365/12)*MAX(节奏总纲!D8-$E$2,0)</f>
        <v>0</v>
      </c>
      <c r="AK12" s="2">
        <f>$P$8*SUM(D$11:D$12)/(365/12)*MAX(节奏总纲!E8-$E$2,0)</f>
        <v>0</v>
      </c>
      <c r="AL12" s="2">
        <f>$P$8*SUM(E$11:E$12)/(365/12)*MAX(节奏总纲!F8-$E$2,0)</f>
        <v>0</v>
      </c>
      <c r="AM12" s="2">
        <f>$P$8*SUM(F$11:F$12)/(365/12)*MAX(节奏总纲!G8-$E$2,0)</f>
        <v>0</v>
      </c>
      <c r="AN12" s="2">
        <f>$P$8*SUM(G$11:G$12)/(365/12)*MAX(节奏总纲!H8-$E$2,0)</f>
        <v>0</v>
      </c>
      <c r="AU12" s="2">
        <v>6</v>
      </c>
      <c r="AV12" s="2">
        <v>10</v>
      </c>
      <c r="AW12" s="43">
        <f t="shared" ref="AW12:AZ12" si="38">AW32+AW42</f>
        <v>12</v>
      </c>
      <c r="AX12" s="43">
        <f t="shared" si="38"/>
        <v>3</v>
      </c>
      <c r="AY12" s="43">
        <f t="shared" si="38"/>
        <v>50400</v>
      </c>
      <c r="AZ12" s="43">
        <f t="shared" si="38"/>
        <v>1800</v>
      </c>
      <c r="BA12" s="2">
        <f>IF(AW12="",0,$AX$20*AW12)+
IF(AX12="",0,IFERROR(INDEX(道具投放节奏!$K:$K,MATCH(AX$7,道具投放节奏!$D:$D,0)),INDEX(其他调用!$CD$3:$CD$6,MATCH(AX$7,其他调用!$CB$3:$CB$6,0)))*AX12)+
IF(AZ12="",0,AZ12*$D$17)</f>
        <v>16200</v>
      </c>
      <c r="BB12" s="2">
        <f t="shared" si="21"/>
        <v>14</v>
      </c>
      <c r="BC12" s="2">
        <v>5</v>
      </c>
      <c r="BD12" s="2">
        <f>$AZ$8/(365/12)*MAX(节奏总纲!D8-$E$2,0)</f>
        <v>0</v>
      </c>
      <c r="BE12" s="2">
        <f>$AZ$8/(365/12)*MAX(节奏总纲!E8-$E$2,0)</f>
        <v>0</v>
      </c>
      <c r="BF12" s="2">
        <f>$AZ$8/(365/12)*MAX(节奏总纲!F8-$E$2,0)</f>
        <v>0</v>
      </c>
      <c r="BG12" s="2">
        <f>$AZ$8/(365/12)*MAX(节奏总纲!G8-$E$2,0)</f>
        <v>0</v>
      </c>
      <c r="BH12" s="2">
        <f>$AZ$8/(365/12)*MAX(节奏总纲!H8-$E$2,0)</f>
        <v>0</v>
      </c>
      <c r="BI12" s="2">
        <f>$AY$8/(365/12)*MAX(节奏总纲!D8-$E$2,0)</f>
        <v>0</v>
      </c>
      <c r="BJ12" s="2">
        <f>$AY$8/(365/12)*MAX(节奏总纲!E8-$E$2,0)</f>
        <v>0</v>
      </c>
      <c r="BK12" s="2">
        <f>$AY$8/(365/12)*MAX(节奏总纲!F8-$E$2,0)</f>
        <v>0</v>
      </c>
      <c r="BL12" s="2">
        <f>$AY$8/(365/12)*MAX(节奏总纲!G8-$E$2,0)</f>
        <v>0</v>
      </c>
      <c r="BM12" s="2">
        <f>$AY$8/(365/12)*MAX(节奏总纲!H8-$E$2,0)</f>
        <v>0</v>
      </c>
      <c r="BS12" s="2">
        <v>10000</v>
      </c>
      <c r="BT12" s="2">
        <v>6</v>
      </c>
      <c r="BU12" s="2">
        <v>10</v>
      </c>
      <c r="BV12" s="2">
        <v>150</v>
      </c>
      <c r="BX12" s="2">
        <v>5</v>
      </c>
      <c r="BY12" s="2">
        <v>150</v>
      </c>
      <c r="BZ12" s="2">
        <v>6000</v>
      </c>
      <c r="CA12" s="2">
        <f>IF(BV12="",0,INDEX(道具投放节奏!$K:$K,MATCH(BV$7,道具投放节奏!$D:$D,0))*BV12)+
IF(BW12="",0,INDEX(道具投放节奏!$K:$K,MATCH(BW$7,道具投放节奏!$D:$D,0))*BW12)+
IF(BX12="",0,INDEX(道具投放节奏!$K:$K,MATCH(BX$7,道具投放节奏!$D:$D,0))*BX12)+
IF(BY12="",0,$D$17*BY12)</f>
        <v>1050</v>
      </c>
      <c r="CB12" s="2" t="s">
        <v>11</v>
      </c>
      <c r="CD12" s="2">
        <v>5</v>
      </c>
      <c r="CE12" s="2">
        <f>INDEX($BY$8:$BY$15,MATCH(CE$7,$CB$8:$CB$15,0))*SUM(C$11:C$12)/(365/12)*MAX(节奏总纲!D8-$E$2,0)</f>
        <v>0</v>
      </c>
      <c r="CF12" s="2">
        <f>INDEX($BY$8:$BY$15,MATCH(CF$7,$CB$8:$CB$15,0))*SUM(D$11:D$12)/(365/12)*MAX(节奏总纲!E8-$E$2,0)</f>
        <v>0</v>
      </c>
      <c r="CG12" s="2">
        <f>INDEX($BY$8:$BY$15,MATCH(CG$7,$CB$8:$CB$15,0))*SUM(E$11:E$12)/(365/12)*MAX(节奏总纲!F8-$E$2,0)</f>
        <v>0</v>
      </c>
      <c r="CH12" s="2">
        <f>INDEX($BY$8:$BY$15,MATCH(CH$7,$CB$8:$CB$15,0))*SUM(F$11:F$12)/(365/12)*MAX(节奏总纲!G8-$E$2,0)</f>
        <v>0</v>
      </c>
      <c r="CI12" s="2">
        <f>INDEX($BY$8:$BY$15,MATCH(CI$7,$CB$8:$CB$15,0))*SUM(G$11:G$12)/(365/12)*MAX(节奏总纲!H8-$E$2,0)</f>
        <v>0</v>
      </c>
      <c r="CJ12" s="2">
        <f>INDEX($BZ$8:$BZ$15,MATCH(CE$7,$CB$8:$CB$15,0))*SUM(C$11:C$12)/(365/12)*MAX(节奏总纲!D8-$E$2,0)</f>
        <v>0</v>
      </c>
      <c r="CK12" s="2">
        <f>INDEX($BZ$8:$BZ$15,MATCH(CF$7,$CB$8:$CB$15,0))*SUM(D$11:D$12)/(365/12)*MAX(节奏总纲!E8-$E$2,0)</f>
        <v>0</v>
      </c>
      <c r="CL12" s="2">
        <f>INDEX($BZ$8:$BZ$15,MATCH(CG$7,$CB$8:$CB$15,0))*SUM(E$11:E$12)/(365/12)*MAX(节奏总纲!F8-$E$2,0)</f>
        <v>0</v>
      </c>
      <c r="CM12" s="2">
        <f>INDEX($BZ$8:$BZ$15,MATCH(CH$7,$CB$8:$CB$15,0))*SUM(F$11:F$12)/(365/12)*MAX(节奏总纲!G8-$E$2,0)</f>
        <v>0</v>
      </c>
      <c r="CN12" s="2">
        <f>INDEX($BZ$8:$BZ$15,MATCH(CI$7,$CB$8:$CB$15,0))*SUM(G$11:G$12)/(365/12)*MAX(节奏总纲!H8-$E$2,0)</f>
        <v>0</v>
      </c>
      <c r="CS12" s="2">
        <v>5</v>
      </c>
      <c r="CT12" s="2">
        <f t="shared" si="1"/>
        <v>0</v>
      </c>
      <c r="CU12" s="2">
        <f t="shared" si="2"/>
        <v>0</v>
      </c>
      <c r="CV12" s="2">
        <f t="shared" si="3"/>
        <v>0</v>
      </c>
      <c r="CW12" s="2">
        <f t="shared" si="4"/>
        <v>0</v>
      </c>
      <c r="CX12" s="2">
        <f t="shared" si="5"/>
        <v>0</v>
      </c>
      <c r="CZ12" s="41" t="e">
        <f t="shared" si="6"/>
        <v>#DIV/0!</v>
      </c>
      <c r="DA12" s="41" t="e">
        <f t="shared" si="7"/>
        <v>#DIV/0!</v>
      </c>
      <c r="DB12" s="41" t="e">
        <f t="shared" si="8"/>
        <v>#DIV/0!</v>
      </c>
      <c r="DD12" s="41" t="e">
        <f t="shared" si="9"/>
        <v>#DIV/0!</v>
      </c>
      <c r="DE12" s="41" t="e">
        <f t="shared" si="10"/>
        <v>#DIV/0!</v>
      </c>
      <c r="DF12" s="41" t="e">
        <f t="shared" si="11"/>
        <v>#DIV/0!</v>
      </c>
      <c r="DH12" s="41" t="e">
        <f t="shared" si="12"/>
        <v>#DIV/0!</v>
      </c>
      <c r="DI12" s="41" t="e">
        <f t="shared" si="13"/>
        <v>#DIV/0!</v>
      </c>
      <c r="DJ12" s="41" t="e">
        <f t="shared" si="14"/>
        <v>#DIV/0!</v>
      </c>
      <c r="DL12" s="2">
        <f>CT12/节奏总纲!D8</f>
        <v>0</v>
      </c>
      <c r="DM12" s="2">
        <f>CU12/节奏总纲!E8</f>
        <v>0</v>
      </c>
      <c r="DN12" s="2">
        <f>CV12/节奏总纲!F8</f>
        <v>0</v>
      </c>
      <c r="DO12" s="2">
        <f>CW12/节奏总纲!G8</f>
        <v>0</v>
      </c>
      <c r="DP12" s="2">
        <f>CX12/节奏总纲!H8</f>
        <v>0</v>
      </c>
      <c r="DR12" s="2" t="e">
        <f t="shared" si="15"/>
        <v>#DIV/0!</v>
      </c>
      <c r="DS12" s="2" t="e">
        <f t="shared" si="16"/>
        <v>#DIV/0!</v>
      </c>
      <c r="DT12" s="2" t="e">
        <f t="shared" si="17"/>
        <v>#DIV/0!</v>
      </c>
      <c r="DU12" s="2" t="e">
        <f t="shared" si="18"/>
        <v>#DIV/0!</v>
      </c>
      <c r="DY12" s="2">
        <v>5</v>
      </c>
      <c r="DZ12" s="2">
        <f t="shared" si="22"/>
        <v>0</v>
      </c>
      <c r="EA12" s="2">
        <f t="shared" si="23"/>
        <v>0</v>
      </c>
      <c r="EB12" s="2">
        <f t="shared" si="24"/>
        <v>0</v>
      </c>
      <c r="EC12" s="2">
        <f t="shared" si="25"/>
        <v>0</v>
      </c>
      <c r="ED12" s="2">
        <f t="shared" si="26"/>
        <v>0</v>
      </c>
      <c r="EF12" s="57" t="e">
        <f t="shared" si="27"/>
        <v>#DIV/0!</v>
      </c>
      <c r="EG12" s="57" t="e">
        <f t="shared" si="28"/>
        <v>#DIV/0!</v>
      </c>
      <c r="EH12" s="41" t="e">
        <f t="shared" si="29"/>
        <v>#DIV/0!</v>
      </c>
      <c r="EJ12" s="57" t="e">
        <f t="shared" si="30"/>
        <v>#DIV/0!</v>
      </c>
      <c r="EK12" s="57" t="e">
        <f t="shared" si="31"/>
        <v>#DIV/0!</v>
      </c>
      <c r="EL12" s="41" t="e">
        <f t="shared" si="32"/>
        <v>#DIV/0!</v>
      </c>
      <c r="EN12" s="57" t="e">
        <f t="shared" si="33"/>
        <v>#DIV/0!</v>
      </c>
      <c r="EO12" s="57" t="e">
        <f t="shared" si="34"/>
        <v>#DIV/0!</v>
      </c>
      <c r="EP12" s="41" t="e">
        <f t="shared" si="35"/>
        <v>#DIV/0!</v>
      </c>
    </row>
    <row r="13" spans="1:146" x14ac:dyDescent="0.15">
      <c r="C13" s="4"/>
      <c r="G13" s="41"/>
      <c r="H13" s="41"/>
      <c r="I13" s="41"/>
      <c r="T13" s="2">
        <v>6</v>
      </c>
      <c r="U13" s="2">
        <f>$N$8*SUM(C$11:C$12)/(365/12)*MAX(节奏总纲!D9-$E$2,0)</f>
        <v>0</v>
      </c>
      <c r="V13" s="2">
        <f>$N$8*SUM(D$11:D$12)/(365/12)*MAX(节奏总纲!E9-$E$2,0)</f>
        <v>0</v>
      </c>
      <c r="W13" s="2">
        <f>$N$8*SUM(E$11:E$12)/(365/12)*MAX(节奏总纲!F9-$E$2,0)</f>
        <v>0</v>
      </c>
      <c r="X13" s="2">
        <f>$N$8*SUM(F$11:F$12)/(365/12)*MAX(节奏总纲!G9-$E$2,0)</f>
        <v>0</v>
      </c>
      <c r="Y13" s="2">
        <f>$N$8*SUM(G$11:G$12)/(365/12)*MAX(节奏总纲!H9-$E$2,0)</f>
        <v>0</v>
      </c>
      <c r="Z13" s="2">
        <f>$O$8*SUM(C$11:C$12)/(365/12)*MAX(节奏总纲!D9-$E$2,0)</f>
        <v>0</v>
      </c>
      <c r="AA13" s="2">
        <f>$O$8*SUM(D$11:D$12)/(365/12)*MAX(节奏总纲!E9-$E$2,0)</f>
        <v>0</v>
      </c>
      <c r="AB13" s="2">
        <f>$O$8*SUM(E$11:E$12)/(365/12)*MAX(节奏总纲!F9-$E$2,0)</f>
        <v>0</v>
      </c>
      <c r="AC13" s="2">
        <f>$O$8*SUM(F$11:F$12)/(365/12)*MAX(节奏总纲!G9-$E$2,0)</f>
        <v>0</v>
      </c>
      <c r="AD13" s="2">
        <f>$O$8*SUM(G$11:G$12)/(365/12)*MAX(节奏总纲!H9-$E$2,0)</f>
        <v>0</v>
      </c>
      <c r="AE13" s="2">
        <f>$Q$8*SUM(C$11:C$12)/(365/12)*MAX(节奏总纲!D9-$E$2,0)</f>
        <v>0</v>
      </c>
      <c r="AF13" s="2">
        <f>$Q$8*SUM(D$11:D$12)/(365/12)*MAX(节奏总纲!E9-$E$2,0)</f>
        <v>0</v>
      </c>
      <c r="AG13" s="2">
        <f>$Q$8*SUM(E$11:E$12)/(365/12)*MAX(节奏总纲!F9-$E$2,0)</f>
        <v>0</v>
      </c>
      <c r="AH13" s="2">
        <f>$Q$8*SUM(F$11:F$12)/(365/12)*MAX(节奏总纲!G9-$E$2,0)</f>
        <v>0</v>
      </c>
      <c r="AI13" s="2">
        <f>$Q$8*SUM(G$11:G$12)/(365/12)*MAX(节奏总纲!H9-$E$2,0)</f>
        <v>0</v>
      </c>
      <c r="AJ13" s="2">
        <f>$P$8*SUM(C$11:C$12)/(365/12)*MAX(节奏总纲!D9-$E$2,0)</f>
        <v>0</v>
      </c>
      <c r="AK13" s="2">
        <f>$P$8*SUM(D$11:D$12)/(365/12)*MAX(节奏总纲!E9-$E$2,0)</f>
        <v>0</v>
      </c>
      <c r="AL13" s="2">
        <f>$P$8*SUM(E$11:E$12)/(365/12)*MAX(节奏总纲!F9-$E$2,0)</f>
        <v>0</v>
      </c>
      <c r="AM13" s="2">
        <f>$P$8*SUM(F$11:F$12)/(365/12)*MAX(节奏总纲!G9-$E$2,0)</f>
        <v>0</v>
      </c>
      <c r="AN13" s="2">
        <f>$P$8*SUM(G$11:G$12)/(365/12)*MAX(节奏总纲!H9-$E$2,0)</f>
        <v>0</v>
      </c>
      <c r="AU13" s="2">
        <v>11</v>
      </c>
      <c r="AV13" s="2">
        <v>20</v>
      </c>
      <c r="AW13" s="43">
        <f t="shared" ref="AW13:AZ13" si="39">AW33+AW43</f>
        <v>10</v>
      </c>
      <c r="AX13" s="43">
        <f t="shared" si="39"/>
        <v>2</v>
      </c>
      <c r="AY13" s="43">
        <f t="shared" si="39"/>
        <v>46800</v>
      </c>
      <c r="AZ13" s="43">
        <f t="shared" si="39"/>
        <v>1600</v>
      </c>
      <c r="BA13" s="2">
        <f>IF(AW13="",0,$AX$20*AW13)+
IF(AX13="",0,IFERROR(INDEX(道具投放节奏!$K:$K,MATCH(AX$7,道具投放节奏!$D:$D,0)),INDEX(其他调用!$CD$3:$CD$6,MATCH(AX$7,其他调用!$CB$3:$CB$6,0)))*AX13)+
IF(AZ13="",0,AZ13*$D$17)</f>
        <v>13800</v>
      </c>
      <c r="BB13" s="2">
        <f t="shared" si="21"/>
        <v>13</v>
      </c>
      <c r="BC13" s="2">
        <v>6</v>
      </c>
      <c r="BD13" s="2">
        <f>$AZ$8/(365/12)*MAX(节奏总纲!D9-$E$2,0)</f>
        <v>0</v>
      </c>
      <c r="BE13" s="2">
        <f>$AZ$8/(365/12)*MAX(节奏总纲!E9-$E$2,0)</f>
        <v>0</v>
      </c>
      <c r="BF13" s="2">
        <f>$AZ$8/(365/12)*MAX(节奏总纲!F9-$E$2,0)</f>
        <v>0</v>
      </c>
      <c r="BG13" s="2">
        <f>$AZ$8/(365/12)*MAX(节奏总纲!G9-$E$2,0)</f>
        <v>0</v>
      </c>
      <c r="BH13" s="2">
        <f>$AZ$8/(365/12)*MAX(节奏总纲!H9-$E$2,0)</f>
        <v>0</v>
      </c>
      <c r="BI13" s="2">
        <f>$AY$8/(365/12)*MAX(节奏总纲!D9-$E$2,0)</f>
        <v>0</v>
      </c>
      <c r="BJ13" s="2">
        <f>$AY$8/(365/12)*MAX(节奏总纲!E9-$E$2,0)</f>
        <v>0</v>
      </c>
      <c r="BK13" s="2">
        <f>$AY$8/(365/12)*MAX(节奏总纲!F9-$E$2,0)</f>
        <v>0</v>
      </c>
      <c r="BL13" s="2">
        <f>$AY$8/(365/12)*MAX(节奏总纲!G9-$E$2,0)</f>
        <v>0</v>
      </c>
      <c r="BM13" s="2">
        <f>$AY$8/(365/12)*MAX(节奏总纲!H9-$E$2,0)</f>
        <v>0</v>
      </c>
      <c r="BS13" s="2">
        <v>5000</v>
      </c>
      <c r="BT13" s="2">
        <v>11</v>
      </c>
      <c r="BU13" s="2">
        <v>20</v>
      </c>
      <c r="BV13" s="2">
        <v>150</v>
      </c>
      <c r="BX13" s="2">
        <v>4</v>
      </c>
      <c r="BY13" s="2">
        <v>120</v>
      </c>
      <c r="BZ13" s="2">
        <v>4800</v>
      </c>
      <c r="CA13" s="2">
        <f>IF(BV13="",0,INDEX(道具投放节奏!$K:$K,MATCH(BV$7,道具投放节奏!$D:$D,0))*BV13)+
IF(BW13="",0,INDEX(道具投放节奏!$K:$K,MATCH(BW$7,道具投放节奏!$D:$D,0))*BW13)+
IF(BX13="",0,INDEX(道具投放节奏!$K:$K,MATCH(BX$7,道具投放节奏!$D:$D,0))*BX13)+
IF(BY13="",0,$D$17*BY13)</f>
        <v>870</v>
      </c>
      <c r="CB13" s="2" t="s">
        <v>10</v>
      </c>
      <c r="CD13" s="2">
        <v>6</v>
      </c>
      <c r="CE13" s="2">
        <f>INDEX($BY$8:$BY$15,MATCH(CE$7,$CB$8:$CB$15,0))*SUM(C$11:C$12)/(365/12)*MAX(节奏总纲!D9-$E$2,0)</f>
        <v>0</v>
      </c>
      <c r="CF13" s="2">
        <f>INDEX($BY$8:$BY$15,MATCH(CF$7,$CB$8:$CB$15,0))*SUM(D$11:D$12)/(365/12)*MAX(节奏总纲!E9-$E$2,0)</f>
        <v>0</v>
      </c>
      <c r="CG13" s="2">
        <f>INDEX($BY$8:$BY$15,MATCH(CG$7,$CB$8:$CB$15,0))*SUM(E$11:E$12)/(365/12)*MAX(节奏总纲!F9-$E$2,0)</f>
        <v>0</v>
      </c>
      <c r="CH13" s="2">
        <f>INDEX($BY$8:$BY$15,MATCH(CH$7,$CB$8:$CB$15,0))*SUM(F$11:F$12)/(365/12)*MAX(节奏总纲!G9-$E$2,0)</f>
        <v>0</v>
      </c>
      <c r="CI13" s="2">
        <f>INDEX($BY$8:$BY$15,MATCH(CI$7,$CB$8:$CB$15,0))*SUM(G$11:G$12)/(365/12)*MAX(节奏总纲!H9-$E$2,0)</f>
        <v>0</v>
      </c>
      <c r="CJ13" s="2">
        <f>INDEX($BZ$8:$BZ$15,MATCH(CE$7,$CB$8:$CB$15,0))*SUM(C$11:C$12)/(365/12)*MAX(节奏总纲!D9-$E$2,0)</f>
        <v>0</v>
      </c>
      <c r="CK13" s="2">
        <f>INDEX($BZ$8:$BZ$15,MATCH(CF$7,$CB$8:$CB$15,0))*SUM(D$11:D$12)/(365/12)*MAX(节奏总纲!E9-$E$2,0)</f>
        <v>0</v>
      </c>
      <c r="CL13" s="2">
        <f>INDEX($BZ$8:$BZ$15,MATCH(CG$7,$CB$8:$CB$15,0))*SUM(E$11:E$12)/(365/12)*MAX(节奏总纲!F9-$E$2,0)</f>
        <v>0</v>
      </c>
      <c r="CM13" s="2">
        <f>INDEX($BZ$8:$BZ$15,MATCH(CH$7,$CB$8:$CB$15,0))*SUM(F$11:F$12)/(365/12)*MAX(节奏总纲!G9-$E$2,0)</f>
        <v>0</v>
      </c>
      <c r="CN13" s="2">
        <f>INDEX($BZ$8:$BZ$15,MATCH(CI$7,$CB$8:$CB$15,0))*SUM(G$11:G$12)/(365/12)*MAX(节奏总纲!H9-$E$2,0)</f>
        <v>0</v>
      </c>
      <c r="CS13" s="2">
        <v>6</v>
      </c>
      <c r="CT13" s="2">
        <f t="shared" si="1"/>
        <v>0</v>
      </c>
      <c r="CU13" s="2">
        <f t="shared" si="2"/>
        <v>0</v>
      </c>
      <c r="CV13" s="2">
        <f t="shared" si="3"/>
        <v>0</v>
      </c>
      <c r="CW13" s="2">
        <f t="shared" si="4"/>
        <v>0</v>
      </c>
      <c r="CX13" s="2">
        <f t="shared" si="5"/>
        <v>0</v>
      </c>
      <c r="CZ13" s="41" t="e">
        <f t="shared" si="6"/>
        <v>#DIV/0!</v>
      </c>
      <c r="DA13" s="41" t="e">
        <f t="shared" si="7"/>
        <v>#DIV/0!</v>
      </c>
      <c r="DB13" s="41" t="e">
        <f t="shared" si="8"/>
        <v>#DIV/0!</v>
      </c>
      <c r="DD13" s="41" t="e">
        <f t="shared" si="9"/>
        <v>#DIV/0!</v>
      </c>
      <c r="DE13" s="41" t="e">
        <f t="shared" si="10"/>
        <v>#DIV/0!</v>
      </c>
      <c r="DF13" s="41" t="e">
        <f t="shared" si="11"/>
        <v>#DIV/0!</v>
      </c>
      <c r="DH13" s="41" t="e">
        <f t="shared" si="12"/>
        <v>#DIV/0!</v>
      </c>
      <c r="DI13" s="41" t="e">
        <f t="shared" si="13"/>
        <v>#DIV/0!</v>
      </c>
      <c r="DJ13" s="41" t="e">
        <f t="shared" si="14"/>
        <v>#DIV/0!</v>
      </c>
      <c r="DL13" s="2">
        <f>CT13/节奏总纲!D9</f>
        <v>0</v>
      </c>
      <c r="DM13" s="2">
        <f>CU13/节奏总纲!E9</f>
        <v>0</v>
      </c>
      <c r="DN13" s="2">
        <f>CV13/节奏总纲!F9</f>
        <v>0</v>
      </c>
      <c r="DO13" s="2">
        <f>CW13/节奏总纲!G9</f>
        <v>0</v>
      </c>
      <c r="DP13" s="2">
        <f>CX13/节奏总纲!H9</f>
        <v>0</v>
      </c>
      <c r="DR13" s="2" t="e">
        <f t="shared" si="15"/>
        <v>#DIV/0!</v>
      </c>
      <c r="DS13" s="2" t="e">
        <f t="shared" si="16"/>
        <v>#DIV/0!</v>
      </c>
      <c r="DT13" s="2" t="e">
        <f t="shared" si="17"/>
        <v>#DIV/0!</v>
      </c>
      <c r="DU13" s="2" t="e">
        <f t="shared" si="18"/>
        <v>#DIV/0!</v>
      </c>
      <c r="DY13" s="2">
        <v>6</v>
      </c>
      <c r="DZ13" s="2">
        <f t="shared" si="22"/>
        <v>0</v>
      </c>
      <c r="EA13" s="2">
        <f t="shared" si="23"/>
        <v>0</v>
      </c>
      <c r="EB13" s="2">
        <f t="shared" si="24"/>
        <v>0</v>
      </c>
      <c r="EC13" s="2">
        <f t="shared" si="25"/>
        <v>0</v>
      </c>
      <c r="ED13" s="2">
        <f t="shared" si="26"/>
        <v>0</v>
      </c>
      <c r="EF13" s="57" t="e">
        <f t="shared" si="27"/>
        <v>#DIV/0!</v>
      </c>
      <c r="EG13" s="57" t="e">
        <f t="shared" si="28"/>
        <v>#DIV/0!</v>
      </c>
      <c r="EH13" s="41" t="e">
        <f t="shared" si="29"/>
        <v>#DIV/0!</v>
      </c>
      <c r="EJ13" s="57" t="e">
        <f t="shared" si="30"/>
        <v>#DIV/0!</v>
      </c>
      <c r="EK13" s="57" t="e">
        <f t="shared" si="31"/>
        <v>#DIV/0!</v>
      </c>
      <c r="EL13" s="41" t="e">
        <f t="shared" si="32"/>
        <v>#DIV/0!</v>
      </c>
      <c r="EN13" s="57" t="e">
        <f t="shared" si="33"/>
        <v>#DIV/0!</v>
      </c>
      <c r="EO13" s="57" t="e">
        <f t="shared" si="34"/>
        <v>#DIV/0!</v>
      </c>
      <c r="EP13" s="41" t="e">
        <f t="shared" si="35"/>
        <v>#DIV/0!</v>
      </c>
    </row>
    <row r="14" spans="1:146" x14ac:dyDescent="0.15">
      <c r="A14" s="6" t="s">
        <v>542</v>
      </c>
      <c r="C14" s="4"/>
      <c r="G14" s="41"/>
      <c r="H14" s="41"/>
      <c r="I14" s="41"/>
      <c r="T14" s="2">
        <v>7</v>
      </c>
      <c r="U14" s="2">
        <f>$N$8*SUM(C$11:C$12)/(365/12)*MAX(节奏总纲!D10-$E$2,0)</f>
        <v>0</v>
      </c>
      <c r="V14" s="2">
        <f>$N$8*SUM(D$11:D$12)/(365/12)*MAX(节奏总纲!E10-$E$2,0)</f>
        <v>0</v>
      </c>
      <c r="W14" s="2">
        <f>$N$8*SUM(E$11:E$12)/(365/12)*MAX(节奏总纲!F10-$E$2,0)</f>
        <v>0</v>
      </c>
      <c r="X14" s="2">
        <f>$N$8*SUM(F$11:F$12)/(365/12)*MAX(节奏总纲!G10-$E$2,0)</f>
        <v>0</v>
      </c>
      <c r="Y14" s="2">
        <f>$N$8*SUM(G$11:G$12)/(365/12)*MAX(节奏总纲!H10-$E$2,0)</f>
        <v>0</v>
      </c>
      <c r="Z14" s="2">
        <f>$O$8*SUM(C$11:C$12)/(365/12)*MAX(节奏总纲!D10-$E$2,0)</f>
        <v>0</v>
      </c>
      <c r="AA14" s="2">
        <f>$O$8*SUM(D$11:D$12)/(365/12)*MAX(节奏总纲!E10-$E$2,0)</f>
        <v>0</v>
      </c>
      <c r="AB14" s="2">
        <f>$O$8*SUM(E$11:E$12)/(365/12)*MAX(节奏总纲!F10-$E$2,0)</f>
        <v>0</v>
      </c>
      <c r="AC14" s="2">
        <f>$O$8*SUM(F$11:F$12)/(365/12)*MAX(节奏总纲!G10-$E$2,0)</f>
        <v>0</v>
      </c>
      <c r="AD14" s="2">
        <f>$O$8*SUM(G$11:G$12)/(365/12)*MAX(节奏总纲!H10-$E$2,0)</f>
        <v>0</v>
      </c>
      <c r="AE14" s="2">
        <f>$Q$8*SUM(C$11:C$12)/(365/12)*MAX(节奏总纲!D10-$E$2,0)</f>
        <v>0</v>
      </c>
      <c r="AF14" s="2">
        <f>$Q$8*SUM(D$11:D$12)/(365/12)*MAX(节奏总纲!E10-$E$2,0)</f>
        <v>0</v>
      </c>
      <c r="AG14" s="2">
        <f>$Q$8*SUM(E$11:E$12)/(365/12)*MAX(节奏总纲!F10-$E$2,0)</f>
        <v>0</v>
      </c>
      <c r="AH14" s="2">
        <f>$Q$8*SUM(F$11:F$12)/(365/12)*MAX(节奏总纲!G10-$E$2,0)</f>
        <v>0</v>
      </c>
      <c r="AI14" s="2">
        <f>$Q$8*SUM(G$11:G$12)/(365/12)*MAX(节奏总纲!H10-$E$2,0)</f>
        <v>0</v>
      </c>
      <c r="AJ14" s="2">
        <f>$P$8*SUM(C$11:C$12)/(365/12)*MAX(节奏总纲!D10-$E$2,0)</f>
        <v>0</v>
      </c>
      <c r="AK14" s="2">
        <f>$P$8*SUM(D$11:D$12)/(365/12)*MAX(节奏总纲!E10-$E$2,0)</f>
        <v>0</v>
      </c>
      <c r="AL14" s="2">
        <f>$P$8*SUM(E$11:E$12)/(365/12)*MAX(节奏总纲!F10-$E$2,0)</f>
        <v>0</v>
      </c>
      <c r="AM14" s="2">
        <f>$P$8*SUM(F$11:F$12)/(365/12)*MAX(节奏总纲!G10-$E$2,0)</f>
        <v>0</v>
      </c>
      <c r="AN14" s="2">
        <f>$P$8*SUM(G$11:G$12)/(365/12)*MAX(节奏总纲!H10-$E$2,0)</f>
        <v>0</v>
      </c>
      <c r="AU14" s="2">
        <v>21</v>
      </c>
      <c r="AV14" s="2">
        <v>50</v>
      </c>
      <c r="AW14" s="43">
        <f t="shared" ref="AW14:AZ14" si="40">AW34+AW44</f>
        <v>8</v>
      </c>
      <c r="AX14" s="43">
        <f t="shared" si="40"/>
        <v>1</v>
      </c>
      <c r="AY14" s="43">
        <f t="shared" si="40"/>
        <v>43200</v>
      </c>
      <c r="AZ14" s="43">
        <f t="shared" si="40"/>
        <v>1500</v>
      </c>
      <c r="BA14" s="2">
        <f>IF(AW14="",0,$AX$20*AW14)+
IF(AX14="",0,IFERROR(INDEX(道具投放节奏!$K:$K,MATCH(AX$7,道具投放节奏!$D:$D,0)),INDEX(其他调用!$CD$3:$CD$6,MATCH(AX$7,其他调用!$CB$3:$CB$6,0)))*AX14)+
IF(AZ14="",0,AZ14*$D$17)</f>
        <v>11900</v>
      </c>
      <c r="BB14" s="2">
        <f t="shared" si="21"/>
        <v>12</v>
      </c>
      <c r="BC14" s="2">
        <v>7</v>
      </c>
      <c r="BD14" s="2">
        <f>$AZ$8/(365/12)*MAX(节奏总纲!D10-$E$2,0)</f>
        <v>0</v>
      </c>
      <c r="BE14" s="2">
        <f>$AZ$8/(365/12)*MAX(节奏总纲!E10-$E$2,0)</f>
        <v>0</v>
      </c>
      <c r="BF14" s="2">
        <f>$AZ$8/(365/12)*MAX(节奏总纲!F10-$E$2,0)</f>
        <v>0</v>
      </c>
      <c r="BG14" s="2">
        <f>$AZ$8/(365/12)*MAX(节奏总纲!G10-$E$2,0)</f>
        <v>0</v>
      </c>
      <c r="BH14" s="2">
        <f>$AZ$8/(365/12)*MAX(节奏总纲!H10-$E$2,0)</f>
        <v>0</v>
      </c>
      <c r="BI14" s="2">
        <f>$AY$8/(365/12)*MAX(节奏总纲!D10-$E$2,0)</f>
        <v>0</v>
      </c>
      <c r="BJ14" s="2">
        <f>$AY$8/(365/12)*MAX(节奏总纲!E10-$E$2,0)</f>
        <v>0</v>
      </c>
      <c r="BK14" s="2">
        <f>$AY$8/(365/12)*MAX(节奏总纲!F10-$E$2,0)</f>
        <v>0</v>
      </c>
      <c r="BL14" s="2">
        <f>$AY$8/(365/12)*MAX(节奏总纲!G10-$E$2,0)</f>
        <v>0</v>
      </c>
      <c r="BM14" s="2">
        <f>$AY$8/(365/12)*MAX(节奏总纲!H10-$E$2,0)</f>
        <v>0</v>
      </c>
      <c r="BS14" s="2">
        <v>3000</v>
      </c>
      <c r="BT14" s="2">
        <v>21</v>
      </c>
      <c r="BU14" s="2">
        <v>50</v>
      </c>
      <c r="BV14" s="2">
        <v>100</v>
      </c>
      <c r="BX14" s="2">
        <v>3</v>
      </c>
      <c r="BY14" s="2">
        <v>100</v>
      </c>
      <c r="BZ14" s="2">
        <v>4200</v>
      </c>
      <c r="CA14" s="2">
        <f>IF(BV14="",0,INDEX(道具投放节奏!$K:$K,MATCH(BV$7,道具投放节奏!$D:$D,0))*BV14)+
IF(BW14="",0,INDEX(道具投放节奏!$K:$K,MATCH(BW$7,道具投放节奏!$D:$D,0))*BW14)+
IF(BX14="",0,INDEX(道具投放节奏!$K:$K,MATCH(BX$7,道具投放节奏!$D:$D,0))*BX14)+
IF(BY14="",0,$D$17*BY14)</f>
        <v>690</v>
      </c>
      <c r="CB14" s="2" t="s">
        <v>9</v>
      </c>
      <c r="CD14" s="2">
        <v>7</v>
      </c>
      <c r="CE14" s="2">
        <f>INDEX($BY$8:$BY$15,MATCH(CE$7,$CB$8:$CB$15,0))*SUM(C$11:C$12)/(365/12)*MAX(节奏总纲!D10-$E$2,0)</f>
        <v>0</v>
      </c>
      <c r="CF14" s="2">
        <f>INDEX($BY$8:$BY$15,MATCH(CF$7,$CB$8:$CB$15,0))*SUM(D$11:D$12)/(365/12)*MAX(节奏总纲!E10-$E$2,0)</f>
        <v>0</v>
      </c>
      <c r="CG14" s="2">
        <f>INDEX($BY$8:$BY$15,MATCH(CG$7,$CB$8:$CB$15,0))*SUM(E$11:E$12)/(365/12)*MAX(节奏总纲!F10-$E$2,0)</f>
        <v>0</v>
      </c>
      <c r="CH14" s="2">
        <f>INDEX($BY$8:$BY$15,MATCH(CH$7,$CB$8:$CB$15,0))*SUM(F$11:F$12)/(365/12)*MAX(节奏总纲!G10-$E$2,0)</f>
        <v>0</v>
      </c>
      <c r="CI14" s="2">
        <f>INDEX($BY$8:$BY$15,MATCH(CI$7,$CB$8:$CB$15,0))*SUM(G$11:G$12)/(365/12)*MAX(节奏总纲!H10-$E$2,0)</f>
        <v>0</v>
      </c>
      <c r="CJ14" s="2">
        <f>INDEX($BZ$8:$BZ$15,MATCH(CE$7,$CB$8:$CB$15,0))*SUM(C$11:C$12)/(365/12)*MAX(节奏总纲!D10-$E$2,0)</f>
        <v>0</v>
      </c>
      <c r="CK14" s="2">
        <f>INDEX($BZ$8:$BZ$15,MATCH(CF$7,$CB$8:$CB$15,0))*SUM(D$11:D$12)/(365/12)*MAX(节奏总纲!E10-$E$2,0)</f>
        <v>0</v>
      </c>
      <c r="CL14" s="2">
        <f>INDEX($BZ$8:$BZ$15,MATCH(CG$7,$CB$8:$CB$15,0))*SUM(E$11:E$12)/(365/12)*MAX(节奏总纲!F10-$E$2,0)</f>
        <v>0</v>
      </c>
      <c r="CM14" s="2">
        <f>INDEX($BZ$8:$BZ$15,MATCH(CH$7,$CB$8:$CB$15,0))*SUM(F$11:F$12)/(365/12)*MAX(节奏总纲!G10-$E$2,0)</f>
        <v>0</v>
      </c>
      <c r="CN14" s="2">
        <f>INDEX($BZ$8:$BZ$15,MATCH(CI$7,$CB$8:$CB$15,0))*SUM(G$11:G$12)/(365/12)*MAX(节奏总纲!H10-$E$2,0)</f>
        <v>0</v>
      </c>
      <c r="CS14" s="2">
        <v>7</v>
      </c>
      <c r="CT14" s="2">
        <f t="shared" si="1"/>
        <v>0</v>
      </c>
      <c r="CU14" s="2">
        <f t="shared" si="2"/>
        <v>0</v>
      </c>
      <c r="CV14" s="2">
        <f t="shared" si="3"/>
        <v>0</v>
      </c>
      <c r="CW14" s="2">
        <f t="shared" si="4"/>
        <v>0</v>
      </c>
      <c r="CX14" s="2">
        <f t="shared" si="5"/>
        <v>0</v>
      </c>
      <c r="CZ14" s="41" t="e">
        <f t="shared" si="6"/>
        <v>#DIV/0!</v>
      </c>
      <c r="DA14" s="41" t="e">
        <f t="shared" si="7"/>
        <v>#DIV/0!</v>
      </c>
      <c r="DB14" s="41" t="e">
        <f t="shared" si="8"/>
        <v>#DIV/0!</v>
      </c>
      <c r="DD14" s="41" t="e">
        <f t="shared" si="9"/>
        <v>#DIV/0!</v>
      </c>
      <c r="DE14" s="41" t="e">
        <f t="shared" si="10"/>
        <v>#DIV/0!</v>
      </c>
      <c r="DF14" s="41" t="e">
        <f t="shared" si="11"/>
        <v>#DIV/0!</v>
      </c>
      <c r="DH14" s="41" t="e">
        <f t="shared" si="12"/>
        <v>#DIV/0!</v>
      </c>
      <c r="DI14" s="41" t="e">
        <f t="shared" si="13"/>
        <v>#DIV/0!</v>
      </c>
      <c r="DJ14" s="41" t="e">
        <f t="shared" si="14"/>
        <v>#DIV/0!</v>
      </c>
      <c r="DL14" s="2">
        <f>CT14/节奏总纲!D10</f>
        <v>0</v>
      </c>
      <c r="DM14" s="2">
        <f>CU14/节奏总纲!E10</f>
        <v>0</v>
      </c>
      <c r="DN14" s="2">
        <f>CV14/节奏总纲!F10</f>
        <v>0</v>
      </c>
      <c r="DO14" s="2">
        <f>CW14/节奏总纲!G10</f>
        <v>0</v>
      </c>
      <c r="DP14" s="2">
        <f>CX14/节奏总纲!H10</f>
        <v>0</v>
      </c>
      <c r="DR14" s="2" t="e">
        <f t="shared" si="15"/>
        <v>#DIV/0!</v>
      </c>
      <c r="DS14" s="2" t="e">
        <f t="shared" si="16"/>
        <v>#DIV/0!</v>
      </c>
      <c r="DT14" s="2" t="e">
        <f t="shared" si="17"/>
        <v>#DIV/0!</v>
      </c>
      <c r="DU14" s="2" t="e">
        <f t="shared" si="18"/>
        <v>#DIV/0!</v>
      </c>
      <c r="DY14" s="2">
        <v>7</v>
      </c>
      <c r="DZ14" s="2">
        <f t="shared" si="22"/>
        <v>0</v>
      </c>
      <c r="EA14" s="2">
        <f t="shared" si="23"/>
        <v>0</v>
      </c>
      <c r="EB14" s="2">
        <f t="shared" si="24"/>
        <v>0</v>
      </c>
      <c r="EC14" s="2">
        <f t="shared" si="25"/>
        <v>0</v>
      </c>
      <c r="ED14" s="2">
        <f t="shared" si="26"/>
        <v>0</v>
      </c>
      <c r="EF14" s="57" t="e">
        <f t="shared" si="27"/>
        <v>#DIV/0!</v>
      </c>
      <c r="EG14" s="57" t="e">
        <f t="shared" si="28"/>
        <v>#DIV/0!</v>
      </c>
      <c r="EH14" s="41" t="e">
        <f t="shared" si="29"/>
        <v>#DIV/0!</v>
      </c>
      <c r="EJ14" s="57" t="e">
        <f t="shared" si="30"/>
        <v>#DIV/0!</v>
      </c>
      <c r="EK14" s="57" t="e">
        <f t="shared" si="31"/>
        <v>#DIV/0!</v>
      </c>
      <c r="EL14" s="41" t="e">
        <f t="shared" si="32"/>
        <v>#DIV/0!</v>
      </c>
      <c r="EN14" s="57" t="e">
        <f t="shared" si="33"/>
        <v>#DIV/0!</v>
      </c>
      <c r="EO14" s="57" t="e">
        <f t="shared" si="34"/>
        <v>#DIV/0!</v>
      </c>
      <c r="EP14" s="41" t="e">
        <f t="shared" si="35"/>
        <v>#DIV/0!</v>
      </c>
    </row>
    <row r="15" spans="1:146" x14ac:dyDescent="0.15">
      <c r="B15" s="2" t="s">
        <v>556</v>
      </c>
      <c r="C15" s="4" t="s">
        <v>543</v>
      </c>
      <c r="D15" s="54">
        <f>'[1]功能-付费相关'!$I$26</f>
        <v>100</v>
      </c>
      <c r="E15" s="2" t="s">
        <v>544</v>
      </c>
      <c r="F15" s="2">
        <f>D15/$D$17</f>
        <v>20</v>
      </c>
      <c r="G15" s="41"/>
      <c r="H15" s="41"/>
      <c r="I15" s="41"/>
      <c r="T15" s="2">
        <v>8</v>
      </c>
      <c r="U15" s="2">
        <f>$N$8*SUM(C$11:C$12)/(365/12)*MAX(节奏总纲!D11-$E$2,0)</f>
        <v>0</v>
      </c>
      <c r="V15" s="2">
        <f>$N$8*SUM(D$11:D$12)/(365/12)*MAX(节奏总纲!E11-$E$2,0)</f>
        <v>0</v>
      </c>
      <c r="W15" s="2">
        <f>$N$8*SUM(E$11:E$12)/(365/12)*MAX(节奏总纲!F11-$E$2,0)</f>
        <v>0</v>
      </c>
      <c r="X15" s="2">
        <f>$N$8*SUM(F$11:F$12)/(365/12)*MAX(节奏总纲!G11-$E$2,0)</f>
        <v>0</v>
      </c>
      <c r="Y15" s="2">
        <f>$N$8*SUM(G$11:G$12)/(365/12)*MAX(节奏总纲!H11-$E$2,0)</f>
        <v>0</v>
      </c>
      <c r="Z15" s="2">
        <f>$O$8*SUM(C$11:C$12)/(365/12)*MAX(节奏总纲!D11-$E$2,0)</f>
        <v>0</v>
      </c>
      <c r="AA15" s="2">
        <f>$O$8*SUM(D$11:D$12)/(365/12)*MAX(节奏总纲!E11-$E$2,0)</f>
        <v>0</v>
      </c>
      <c r="AB15" s="2">
        <f>$O$8*SUM(E$11:E$12)/(365/12)*MAX(节奏总纲!F11-$E$2,0)</f>
        <v>0</v>
      </c>
      <c r="AC15" s="2">
        <f>$O$8*SUM(F$11:F$12)/(365/12)*MAX(节奏总纲!G11-$E$2,0)</f>
        <v>0</v>
      </c>
      <c r="AD15" s="2">
        <f>$O$8*SUM(G$11:G$12)/(365/12)*MAX(节奏总纲!H11-$E$2,0)</f>
        <v>0</v>
      </c>
      <c r="AE15" s="2">
        <f>$Q$8*SUM(C$11:C$12)/(365/12)*MAX(节奏总纲!D11-$E$2,0)</f>
        <v>0</v>
      </c>
      <c r="AF15" s="2">
        <f>$Q$8*SUM(D$11:D$12)/(365/12)*MAX(节奏总纲!E11-$E$2,0)</f>
        <v>0</v>
      </c>
      <c r="AG15" s="2">
        <f>$Q$8*SUM(E$11:E$12)/(365/12)*MAX(节奏总纲!F11-$E$2,0)</f>
        <v>0</v>
      </c>
      <c r="AH15" s="2">
        <f>$Q$8*SUM(F$11:F$12)/(365/12)*MAX(节奏总纲!G11-$E$2,0)</f>
        <v>0</v>
      </c>
      <c r="AI15" s="2">
        <f>$Q$8*SUM(G$11:G$12)/(365/12)*MAX(节奏总纲!H11-$E$2,0)</f>
        <v>0</v>
      </c>
      <c r="AJ15" s="2">
        <f>$P$8*SUM(C$11:C$12)/(365/12)*MAX(节奏总纲!D11-$E$2,0)</f>
        <v>0</v>
      </c>
      <c r="AK15" s="2">
        <f>$P$8*SUM(D$11:D$12)/(365/12)*MAX(节奏总纲!E11-$E$2,0)</f>
        <v>0</v>
      </c>
      <c r="AL15" s="2">
        <f>$P$8*SUM(E$11:E$12)/(365/12)*MAX(节奏总纲!F11-$E$2,0)</f>
        <v>0</v>
      </c>
      <c r="AM15" s="2">
        <f>$P$8*SUM(F$11:F$12)/(365/12)*MAX(节奏总纲!G11-$E$2,0)</f>
        <v>0</v>
      </c>
      <c r="AN15" s="2">
        <f>$P$8*SUM(G$11:G$12)/(365/12)*MAX(节奏总纲!H11-$E$2,0)</f>
        <v>0</v>
      </c>
      <c r="BC15" s="2">
        <v>8</v>
      </c>
      <c r="BD15" s="2">
        <f>$AZ$8/(365/12)*MAX(节奏总纲!D11-$E$2,0)</f>
        <v>0</v>
      </c>
      <c r="BE15" s="2">
        <f>$AZ$8/(365/12)*MAX(节奏总纲!E11-$E$2,0)</f>
        <v>0</v>
      </c>
      <c r="BF15" s="2">
        <f>$AZ$8/(365/12)*MAX(节奏总纲!F11-$E$2,0)</f>
        <v>0</v>
      </c>
      <c r="BG15" s="2">
        <f>$AZ$8/(365/12)*MAX(节奏总纲!G11-$E$2,0)</f>
        <v>0</v>
      </c>
      <c r="BH15" s="2">
        <f>$AZ$8/(365/12)*MAX(节奏总纲!H11-$E$2,0)</f>
        <v>0</v>
      </c>
      <c r="BI15" s="2">
        <f>$AY$8/(365/12)*MAX(节奏总纲!D11-$E$2,0)</f>
        <v>0</v>
      </c>
      <c r="BJ15" s="2">
        <f>$AY$8/(365/12)*MAX(节奏总纲!E11-$E$2,0)</f>
        <v>0</v>
      </c>
      <c r="BK15" s="2">
        <f>$AY$8/(365/12)*MAX(节奏总纲!F11-$E$2,0)</f>
        <v>0</v>
      </c>
      <c r="BL15" s="2">
        <f>$AY$8/(365/12)*MAX(节奏总纲!G11-$E$2,0)</f>
        <v>0</v>
      </c>
      <c r="BM15" s="2">
        <f>$AY$8/(365/12)*MAX(节奏总纲!H11-$E$2,0)</f>
        <v>0</v>
      </c>
      <c r="BS15" s="2">
        <v>1000</v>
      </c>
      <c r="BT15" s="2">
        <v>51</v>
      </c>
      <c r="BU15" s="2">
        <v>100</v>
      </c>
      <c r="BV15" s="2">
        <v>100</v>
      </c>
      <c r="BX15" s="2">
        <v>2</v>
      </c>
      <c r="BY15" s="2">
        <v>80</v>
      </c>
      <c r="BZ15" s="2">
        <v>3600</v>
      </c>
      <c r="CA15" s="2">
        <f>IF(BV15="",0,INDEX(道具投放节奏!$K:$K,MATCH(BV$7,道具投放节奏!$D:$D,0))*BV15)+
IF(BW15="",0,INDEX(道具投放节奏!$K:$K,MATCH(BW$7,道具投放节奏!$D:$D,0))*BW15)+
IF(BX15="",0,INDEX(道具投放节奏!$K:$K,MATCH(BX$7,道具投放节奏!$D:$D,0))*BX15)+
IF(BY15="",0,$D$17*BY15)</f>
        <v>560</v>
      </c>
      <c r="CB15" s="2" t="s">
        <v>23</v>
      </c>
      <c r="CD15" s="2">
        <v>8</v>
      </c>
      <c r="CE15" s="2">
        <f>INDEX($BY$8:$BY$15,MATCH(CE$7,$CB$8:$CB$15,0))*SUM(C$11:C$12)/(365/12)*MAX(节奏总纲!D11-$E$2,0)</f>
        <v>0</v>
      </c>
      <c r="CF15" s="2">
        <f>INDEX($BY$8:$BY$15,MATCH(CF$7,$CB$8:$CB$15,0))*SUM(D$11:D$12)/(365/12)*MAX(节奏总纲!E11-$E$2,0)</f>
        <v>0</v>
      </c>
      <c r="CG15" s="2">
        <f>INDEX($BY$8:$BY$15,MATCH(CG$7,$CB$8:$CB$15,0))*SUM(E$11:E$12)/(365/12)*MAX(节奏总纲!F11-$E$2,0)</f>
        <v>0</v>
      </c>
      <c r="CH15" s="2">
        <f>INDEX($BY$8:$BY$15,MATCH(CH$7,$CB$8:$CB$15,0))*SUM(F$11:F$12)/(365/12)*MAX(节奏总纲!G11-$E$2,0)</f>
        <v>0</v>
      </c>
      <c r="CI15" s="2">
        <f>INDEX($BY$8:$BY$15,MATCH(CI$7,$CB$8:$CB$15,0))*SUM(G$11:G$12)/(365/12)*MAX(节奏总纲!H11-$E$2,0)</f>
        <v>0</v>
      </c>
      <c r="CJ15" s="2">
        <f>INDEX($BZ$8:$BZ$15,MATCH(CE$7,$CB$8:$CB$15,0))*SUM(C$11:C$12)/(365/12)*MAX(节奏总纲!D11-$E$2,0)</f>
        <v>0</v>
      </c>
      <c r="CK15" s="2">
        <f>INDEX($BZ$8:$BZ$15,MATCH(CF$7,$CB$8:$CB$15,0))*SUM(D$11:D$12)/(365/12)*MAX(节奏总纲!E11-$E$2,0)</f>
        <v>0</v>
      </c>
      <c r="CL15" s="2">
        <f>INDEX($BZ$8:$BZ$15,MATCH(CG$7,$CB$8:$CB$15,0))*SUM(E$11:E$12)/(365/12)*MAX(节奏总纲!F11-$E$2,0)</f>
        <v>0</v>
      </c>
      <c r="CM15" s="2">
        <f>INDEX($BZ$8:$BZ$15,MATCH(CH$7,$CB$8:$CB$15,0))*SUM(F$11:F$12)/(365/12)*MAX(节奏总纲!G11-$E$2,0)</f>
        <v>0</v>
      </c>
      <c r="CN15" s="2">
        <f>INDEX($BZ$8:$BZ$15,MATCH(CI$7,$CB$8:$CB$15,0))*SUM(G$11:G$12)/(365/12)*MAX(节奏总纲!H11-$E$2,0)</f>
        <v>0</v>
      </c>
      <c r="CS15" s="2">
        <v>8</v>
      </c>
      <c r="CT15" s="2">
        <f t="shared" si="1"/>
        <v>0</v>
      </c>
      <c r="CU15" s="2">
        <f t="shared" si="2"/>
        <v>0</v>
      </c>
      <c r="CV15" s="2">
        <f t="shared" si="3"/>
        <v>0</v>
      </c>
      <c r="CW15" s="2">
        <f t="shared" si="4"/>
        <v>0</v>
      </c>
      <c r="CX15" s="2">
        <f t="shared" si="5"/>
        <v>0</v>
      </c>
      <c r="CZ15" s="41" t="e">
        <f t="shared" si="6"/>
        <v>#DIV/0!</v>
      </c>
      <c r="DA15" s="41" t="e">
        <f t="shared" si="7"/>
        <v>#DIV/0!</v>
      </c>
      <c r="DB15" s="41" t="e">
        <f t="shared" si="8"/>
        <v>#DIV/0!</v>
      </c>
      <c r="DD15" s="41" t="e">
        <f t="shared" si="9"/>
        <v>#DIV/0!</v>
      </c>
      <c r="DE15" s="41" t="e">
        <f t="shared" si="10"/>
        <v>#DIV/0!</v>
      </c>
      <c r="DF15" s="41" t="e">
        <f t="shared" si="11"/>
        <v>#DIV/0!</v>
      </c>
      <c r="DH15" s="41" t="e">
        <f t="shared" si="12"/>
        <v>#DIV/0!</v>
      </c>
      <c r="DI15" s="41" t="e">
        <f t="shared" si="13"/>
        <v>#DIV/0!</v>
      </c>
      <c r="DJ15" s="41" t="e">
        <f t="shared" si="14"/>
        <v>#DIV/0!</v>
      </c>
      <c r="DL15" s="2">
        <f>CT15/节奏总纲!D11</f>
        <v>0</v>
      </c>
      <c r="DM15" s="2">
        <f>CU15/节奏总纲!E11</f>
        <v>0</v>
      </c>
      <c r="DN15" s="2">
        <f>CV15/节奏总纲!F11</f>
        <v>0</v>
      </c>
      <c r="DO15" s="2">
        <f>CW15/节奏总纲!G11</f>
        <v>0</v>
      </c>
      <c r="DP15" s="2">
        <f>CX15/节奏总纲!H11</f>
        <v>0</v>
      </c>
      <c r="DR15" s="2" t="e">
        <f t="shared" si="15"/>
        <v>#DIV/0!</v>
      </c>
      <c r="DS15" s="2" t="e">
        <f t="shared" si="16"/>
        <v>#DIV/0!</v>
      </c>
      <c r="DT15" s="2" t="e">
        <f t="shared" si="17"/>
        <v>#DIV/0!</v>
      </c>
      <c r="DU15" s="2" t="e">
        <f t="shared" si="18"/>
        <v>#DIV/0!</v>
      </c>
      <c r="DY15" s="2">
        <v>8</v>
      </c>
      <c r="DZ15" s="2">
        <f t="shared" si="22"/>
        <v>0</v>
      </c>
      <c r="EA15" s="2">
        <f t="shared" si="23"/>
        <v>0</v>
      </c>
      <c r="EB15" s="2">
        <f t="shared" si="24"/>
        <v>0</v>
      </c>
      <c r="EC15" s="2">
        <f t="shared" si="25"/>
        <v>0</v>
      </c>
      <c r="ED15" s="2">
        <f t="shared" si="26"/>
        <v>0</v>
      </c>
      <c r="EF15" s="57" t="e">
        <f t="shared" si="27"/>
        <v>#DIV/0!</v>
      </c>
      <c r="EG15" s="57" t="e">
        <f t="shared" si="28"/>
        <v>#DIV/0!</v>
      </c>
      <c r="EH15" s="41" t="e">
        <f t="shared" si="29"/>
        <v>#DIV/0!</v>
      </c>
      <c r="EJ15" s="57" t="e">
        <f t="shared" si="30"/>
        <v>#DIV/0!</v>
      </c>
      <c r="EK15" s="57" t="e">
        <f t="shared" si="31"/>
        <v>#DIV/0!</v>
      </c>
      <c r="EL15" s="41" t="e">
        <f t="shared" si="32"/>
        <v>#DIV/0!</v>
      </c>
      <c r="EN15" s="57" t="e">
        <f t="shared" si="33"/>
        <v>#DIV/0!</v>
      </c>
      <c r="EO15" s="57" t="e">
        <f t="shared" si="34"/>
        <v>#DIV/0!</v>
      </c>
      <c r="EP15" s="41" t="e">
        <f t="shared" si="35"/>
        <v>#DIV/0!</v>
      </c>
    </row>
    <row r="16" spans="1:146" x14ac:dyDescent="0.15">
      <c r="B16" s="2" t="s">
        <v>557</v>
      </c>
      <c r="C16" s="2" t="s">
        <v>543</v>
      </c>
      <c r="D16" s="54">
        <f>'[1]功能-付费相关'!$I$27</f>
        <v>1</v>
      </c>
      <c r="E16" s="2" t="s">
        <v>544</v>
      </c>
      <c r="F16" s="2">
        <f>D16/$D$17</f>
        <v>0.2</v>
      </c>
      <c r="G16" s="4"/>
      <c r="H16" s="4"/>
      <c r="I16" s="4"/>
      <c r="T16" s="2">
        <v>9</v>
      </c>
      <c r="U16" s="2">
        <f>$N$8*SUM(C$11:C$12)/(365/12)*MAX(节奏总纲!D12-$E$2,0)</f>
        <v>0</v>
      </c>
      <c r="V16" s="2">
        <f>$N$8*SUM(D$11:D$12)/(365/12)*MAX(节奏总纲!E12-$E$2,0)</f>
        <v>0</v>
      </c>
      <c r="W16" s="2">
        <f>$N$8*SUM(E$11:E$12)/(365/12)*MAX(节奏总纲!F12-$E$2,0)</f>
        <v>0</v>
      </c>
      <c r="X16" s="2">
        <f>$N$8*SUM(F$11:F$12)/(365/12)*MAX(节奏总纲!G12-$E$2,0)</f>
        <v>0</v>
      </c>
      <c r="Y16" s="2">
        <f>$N$8*SUM(G$11:G$12)/(365/12)*MAX(节奏总纲!H12-$E$2,0)</f>
        <v>0</v>
      </c>
      <c r="Z16" s="2">
        <f>$O$8*SUM(C$11:C$12)/(365/12)*MAX(节奏总纲!D12-$E$2,0)</f>
        <v>0</v>
      </c>
      <c r="AA16" s="2">
        <f>$O$8*SUM(D$11:D$12)/(365/12)*MAX(节奏总纲!E12-$E$2,0)</f>
        <v>0</v>
      </c>
      <c r="AB16" s="2">
        <f>$O$8*SUM(E$11:E$12)/(365/12)*MAX(节奏总纲!F12-$E$2,0)</f>
        <v>0</v>
      </c>
      <c r="AC16" s="2">
        <f>$O$8*SUM(F$11:F$12)/(365/12)*MAX(节奏总纲!G12-$E$2,0)</f>
        <v>0</v>
      </c>
      <c r="AD16" s="2">
        <f>$O$8*SUM(G$11:G$12)/(365/12)*MAX(节奏总纲!H12-$E$2,0)</f>
        <v>0</v>
      </c>
      <c r="AE16" s="2">
        <f>$Q$8*SUM(C$11:C$12)/(365/12)*MAX(节奏总纲!D12-$E$2,0)</f>
        <v>0</v>
      </c>
      <c r="AF16" s="2">
        <f>$Q$8*SUM(D$11:D$12)/(365/12)*MAX(节奏总纲!E12-$E$2,0)</f>
        <v>0</v>
      </c>
      <c r="AG16" s="2">
        <f>$Q$8*SUM(E$11:E$12)/(365/12)*MAX(节奏总纲!F12-$E$2,0)</f>
        <v>0</v>
      </c>
      <c r="AH16" s="2">
        <f>$Q$8*SUM(F$11:F$12)/(365/12)*MAX(节奏总纲!G12-$E$2,0)</f>
        <v>0</v>
      </c>
      <c r="AI16" s="2">
        <f>$Q$8*SUM(G$11:G$12)/(365/12)*MAX(节奏总纲!H12-$E$2,0)</f>
        <v>0</v>
      </c>
      <c r="AJ16" s="2">
        <f>$P$8*SUM(C$11:C$12)/(365/12)*MAX(节奏总纲!D12-$E$2,0)</f>
        <v>0</v>
      </c>
      <c r="AK16" s="2">
        <f>$P$8*SUM(D$11:D$12)/(365/12)*MAX(节奏总纲!E12-$E$2,0)</f>
        <v>0</v>
      </c>
      <c r="AL16" s="2">
        <f>$P$8*SUM(E$11:E$12)/(365/12)*MAX(节奏总纲!F12-$E$2,0)</f>
        <v>0</v>
      </c>
      <c r="AM16" s="2">
        <f>$P$8*SUM(F$11:F$12)/(365/12)*MAX(节奏总纲!G12-$E$2,0)</f>
        <v>0</v>
      </c>
      <c r="AN16" s="2">
        <f>$P$8*SUM(G$11:G$12)/(365/12)*MAX(节奏总纲!H12-$E$2,0)</f>
        <v>0</v>
      </c>
      <c r="BC16" s="2">
        <v>9</v>
      </c>
      <c r="BD16" s="2">
        <f>$AZ$8/(365/12)*MAX(节奏总纲!D12-$E$2,0)</f>
        <v>0</v>
      </c>
      <c r="BE16" s="2">
        <f>$AZ$8/(365/12)*MAX(节奏总纲!E12-$E$2,0)</f>
        <v>0</v>
      </c>
      <c r="BF16" s="2">
        <f>$AZ$8/(365/12)*MAX(节奏总纲!F12-$E$2,0)</f>
        <v>0</v>
      </c>
      <c r="BG16" s="2">
        <f>$AZ$8/(365/12)*MAX(节奏总纲!G12-$E$2,0)</f>
        <v>0</v>
      </c>
      <c r="BH16" s="2">
        <f>$AZ$8/(365/12)*MAX(节奏总纲!H12-$E$2,0)</f>
        <v>0</v>
      </c>
      <c r="BI16" s="2">
        <f>$AY$8/(365/12)*MAX(节奏总纲!D12-$E$2,0)</f>
        <v>0</v>
      </c>
      <c r="BJ16" s="2">
        <f>$AY$8/(365/12)*MAX(节奏总纲!E12-$E$2,0)</f>
        <v>0</v>
      </c>
      <c r="BK16" s="2">
        <f>$AY$8/(365/12)*MAX(节奏总纲!F12-$E$2,0)</f>
        <v>0</v>
      </c>
      <c r="BL16" s="2">
        <f>$AY$8/(365/12)*MAX(节奏总纲!G12-$E$2,0)</f>
        <v>0</v>
      </c>
      <c r="BM16" s="2">
        <f>$AY$8/(365/12)*MAX(节奏总纲!H12-$E$2,0)</f>
        <v>0</v>
      </c>
      <c r="BS16" s="2">
        <v>0</v>
      </c>
      <c r="BT16" s="2">
        <v>101</v>
      </c>
      <c r="BU16" s="2">
        <v>999</v>
      </c>
      <c r="BY16" s="2">
        <v>10</v>
      </c>
      <c r="CB16" s="2" t="s">
        <v>641</v>
      </c>
      <c r="CD16" s="2">
        <v>9</v>
      </c>
      <c r="CE16" s="2">
        <f>INDEX($BY$8:$BY$15,MATCH(CE$7,$CB$8:$CB$15,0))*SUM(C$11:C$12)/(365/12)*MAX(节奏总纲!D12-$E$2,0)</f>
        <v>0</v>
      </c>
      <c r="CF16" s="2">
        <f>INDEX($BY$8:$BY$15,MATCH(CF$7,$CB$8:$CB$15,0))*SUM(D$11:D$12)/(365/12)*MAX(节奏总纲!E12-$E$2,0)</f>
        <v>0</v>
      </c>
      <c r="CG16" s="2">
        <f>INDEX($BY$8:$BY$15,MATCH(CG$7,$CB$8:$CB$15,0))*SUM(E$11:E$12)/(365/12)*MAX(节奏总纲!F12-$E$2,0)</f>
        <v>0</v>
      </c>
      <c r="CH16" s="2">
        <f>INDEX($BY$8:$BY$15,MATCH(CH$7,$CB$8:$CB$15,0))*SUM(F$11:F$12)/(365/12)*MAX(节奏总纲!G12-$E$2,0)</f>
        <v>0</v>
      </c>
      <c r="CI16" s="2">
        <f>INDEX($BY$8:$BY$15,MATCH(CI$7,$CB$8:$CB$15,0))*SUM(G$11:G$12)/(365/12)*MAX(节奏总纲!H12-$E$2,0)</f>
        <v>0</v>
      </c>
      <c r="CJ16" s="2">
        <f>INDEX($BZ$8:$BZ$15,MATCH(CE$7,$CB$8:$CB$15,0))*SUM(C$11:C$12)/(365/12)*MAX(节奏总纲!D12-$E$2,0)</f>
        <v>0</v>
      </c>
      <c r="CK16" s="2">
        <f>INDEX($BZ$8:$BZ$15,MATCH(CF$7,$CB$8:$CB$15,0))*SUM(D$11:D$12)/(365/12)*MAX(节奏总纲!E12-$E$2,0)</f>
        <v>0</v>
      </c>
      <c r="CL16" s="2">
        <f>INDEX($BZ$8:$BZ$15,MATCH(CG$7,$CB$8:$CB$15,0))*SUM(E$11:E$12)/(365/12)*MAX(节奏总纲!F12-$E$2,0)</f>
        <v>0</v>
      </c>
      <c r="CM16" s="2">
        <f>INDEX($BZ$8:$BZ$15,MATCH(CH$7,$CB$8:$CB$15,0))*SUM(F$11:F$12)/(365/12)*MAX(节奏总纲!G12-$E$2,0)</f>
        <v>0</v>
      </c>
      <c r="CN16" s="2">
        <f>INDEX($BZ$8:$BZ$15,MATCH(CI$7,$CB$8:$CB$15,0))*SUM(G$11:G$12)/(365/12)*MAX(节奏总纲!H12-$E$2,0)</f>
        <v>0</v>
      </c>
      <c r="CS16" s="2">
        <v>9</v>
      </c>
      <c r="CT16" s="2">
        <f t="shared" si="1"/>
        <v>0</v>
      </c>
      <c r="CU16" s="2">
        <f t="shared" si="2"/>
        <v>0</v>
      </c>
      <c r="CV16" s="2">
        <f t="shared" si="3"/>
        <v>0</v>
      </c>
      <c r="CW16" s="2">
        <f t="shared" si="4"/>
        <v>0</v>
      </c>
      <c r="CX16" s="2">
        <f t="shared" si="5"/>
        <v>0</v>
      </c>
      <c r="CZ16" s="41" t="e">
        <f t="shared" si="6"/>
        <v>#DIV/0!</v>
      </c>
      <c r="DA16" s="41" t="e">
        <f t="shared" si="7"/>
        <v>#DIV/0!</v>
      </c>
      <c r="DB16" s="41" t="e">
        <f t="shared" si="8"/>
        <v>#DIV/0!</v>
      </c>
      <c r="DD16" s="41" t="e">
        <f t="shared" si="9"/>
        <v>#DIV/0!</v>
      </c>
      <c r="DE16" s="41" t="e">
        <f t="shared" si="10"/>
        <v>#DIV/0!</v>
      </c>
      <c r="DF16" s="41" t="e">
        <f t="shared" si="11"/>
        <v>#DIV/0!</v>
      </c>
      <c r="DH16" s="41" t="e">
        <f t="shared" si="12"/>
        <v>#DIV/0!</v>
      </c>
      <c r="DI16" s="41" t="e">
        <f t="shared" si="13"/>
        <v>#DIV/0!</v>
      </c>
      <c r="DJ16" s="41" t="e">
        <f t="shared" si="14"/>
        <v>#DIV/0!</v>
      </c>
      <c r="DL16" s="2">
        <f>CT16/节奏总纲!D12</f>
        <v>0</v>
      </c>
      <c r="DM16" s="2">
        <f>CU16/节奏总纲!E12</f>
        <v>0</v>
      </c>
      <c r="DN16" s="2">
        <f>CV16/节奏总纲!F12</f>
        <v>0</v>
      </c>
      <c r="DO16" s="2">
        <f>CW16/节奏总纲!G12</f>
        <v>0</v>
      </c>
      <c r="DP16" s="2">
        <f>CX16/节奏总纲!H12</f>
        <v>0</v>
      </c>
      <c r="DR16" s="2" t="e">
        <f t="shared" si="15"/>
        <v>#DIV/0!</v>
      </c>
      <c r="DS16" s="2" t="e">
        <f t="shared" si="16"/>
        <v>#DIV/0!</v>
      </c>
      <c r="DT16" s="2" t="e">
        <f t="shared" si="17"/>
        <v>#DIV/0!</v>
      </c>
      <c r="DU16" s="2" t="e">
        <f t="shared" si="18"/>
        <v>#DIV/0!</v>
      </c>
      <c r="DY16" s="2">
        <v>9</v>
      </c>
      <c r="DZ16" s="2">
        <f t="shared" si="22"/>
        <v>0</v>
      </c>
      <c r="EA16" s="2">
        <f t="shared" si="23"/>
        <v>0</v>
      </c>
      <c r="EB16" s="2">
        <f t="shared" si="24"/>
        <v>0</v>
      </c>
      <c r="EC16" s="2">
        <f t="shared" si="25"/>
        <v>0</v>
      </c>
      <c r="ED16" s="2">
        <f t="shared" si="26"/>
        <v>0</v>
      </c>
      <c r="EF16" s="57" t="e">
        <f t="shared" si="27"/>
        <v>#DIV/0!</v>
      </c>
      <c r="EG16" s="57" t="e">
        <f t="shared" si="28"/>
        <v>#DIV/0!</v>
      </c>
      <c r="EH16" s="41" t="e">
        <f t="shared" si="29"/>
        <v>#DIV/0!</v>
      </c>
      <c r="EJ16" s="57" t="e">
        <f t="shared" si="30"/>
        <v>#DIV/0!</v>
      </c>
      <c r="EK16" s="57" t="e">
        <f t="shared" si="31"/>
        <v>#DIV/0!</v>
      </c>
      <c r="EL16" s="41" t="e">
        <f t="shared" si="32"/>
        <v>#DIV/0!</v>
      </c>
      <c r="EN16" s="57" t="e">
        <f t="shared" si="33"/>
        <v>#DIV/0!</v>
      </c>
      <c r="EO16" s="57" t="e">
        <f t="shared" si="34"/>
        <v>#DIV/0!</v>
      </c>
      <c r="EP16" s="41" t="e">
        <f t="shared" si="35"/>
        <v>#DIV/0!</v>
      </c>
    </row>
    <row r="17" spans="2:146" x14ac:dyDescent="0.15">
      <c r="B17" s="2" t="s">
        <v>546</v>
      </c>
      <c r="C17" s="2" t="s">
        <v>543</v>
      </c>
      <c r="D17" s="2">
        <v>5</v>
      </c>
      <c r="E17" s="2" t="s">
        <v>544</v>
      </c>
      <c r="T17" s="2">
        <v>10</v>
      </c>
      <c r="U17" s="2">
        <f>$N$8*SUM(C$11:C$12)/(365/12)*MAX(节奏总纲!D13-$E$2,0)</f>
        <v>0</v>
      </c>
      <c r="V17" s="2">
        <f>$N$8*SUM(D$11:D$12)/(365/12)*MAX(节奏总纲!E13-$E$2,0)</f>
        <v>0</v>
      </c>
      <c r="W17" s="2">
        <f>$N$8*SUM(E$11:E$12)/(365/12)*MAX(节奏总纲!F13-$E$2,0)</f>
        <v>0</v>
      </c>
      <c r="X17" s="2">
        <f>$N$8*SUM(F$11:F$12)/(365/12)*MAX(节奏总纲!G13-$E$2,0)</f>
        <v>0</v>
      </c>
      <c r="Y17" s="2">
        <f>$N$8*SUM(G$11:G$12)/(365/12)*MAX(节奏总纲!H13-$E$2,0)</f>
        <v>0</v>
      </c>
      <c r="Z17" s="2">
        <f>$O$8*SUM(C$11:C$12)/(365/12)*MAX(节奏总纲!D13-$E$2,0)</f>
        <v>0</v>
      </c>
      <c r="AA17" s="2">
        <f>$O$8*SUM(D$11:D$12)/(365/12)*MAX(节奏总纲!E13-$E$2,0)</f>
        <v>0</v>
      </c>
      <c r="AB17" s="2">
        <f>$O$8*SUM(E$11:E$12)/(365/12)*MAX(节奏总纲!F13-$E$2,0)</f>
        <v>0</v>
      </c>
      <c r="AC17" s="2">
        <f>$O$8*SUM(F$11:F$12)/(365/12)*MAX(节奏总纲!G13-$E$2,0)</f>
        <v>0</v>
      </c>
      <c r="AD17" s="2">
        <f>$O$8*SUM(G$11:G$12)/(365/12)*MAX(节奏总纲!H13-$E$2,0)</f>
        <v>0</v>
      </c>
      <c r="AE17" s="2">
        <f>$Q$8*SUM(C$11:C$12)/(365/12)*MAX(节奏总纲!D13-$E$2,0)</f>
        <v>0</v>
      </c>
      <c r="AF17" s="2">
        <f>$Q$8*SUM(D$11:D$12)/(365/12)*MAX(节奏总纲!E13-$E$2,0)</f>
        <v>0</v>
      </c>
      <c r="AG17" s="2">
        <f>$Q$8*SUM(E$11:E$12)/(365/12)*MAX(节奏总纲!F13-$E$2,0)</f>
        <v>0</v>
      </c>
      <c r="AH17" s="2">
        <f>$Q$8*SUM(F$11:F$12)/(365/12)*MAX(节奏总纲!G13-$E$2,0)</f>
        <v>0</v>
      </c>
      <c r="AI17" s="2">
        <f>$Q$8*SUM(G$11:G$12)/(365/12)*MAX(节奏总纲!H13-$E$2,0)</f>
        <v>0</v>
      </c>
      <c r="AJ17" s="2">
        <f>$P$8*SUM(C$11:C$12)/(365/12)*MAX(节奏总纲!D13-$E$2,0)</f>
        <v>0</v>
      </c>
      <c r="AK17" s="2">
        <f>$P$8*SUM(D$11:D$12)/(365/12)*MAX(节奏总纲!E13-$E$2,0)</f>
        <v>0</v>
      </c>
      <c r="AL17" s="2">
        <f>$P$8*SUM(E$11:E$12)/(365/12)*MAX(节奏总纲!F13-$E$2,0)</f>
        <v>0</v>
      </c>
      <c r="AM17" s="2">
        <f>$P$8*SUM(F$11:F$12)/(365/12)*MAX(节奏总纲!G13-$E$2,0)</f>
        <v>0</v>
      </c>
      <c r="AN17" s="2">
        <f>$P$8*SUM(G$11:G$12)/(365/12)*MAX(节奏总纲!H13-$E$2,0)</f>
        <v>0</v>
      </c>
      <c r="BA17" s="2">
        <f>5*3600</f>
        <v>18000</v>
      </c>
      <c r="BC17" s="2">
        <v>10</v>
      </c>
      <c r="BD17" s="2">
        <f>$AZ$8/(365/12)*MAX(节奏总纲!D13-$E$2,0)</f>
        <v>0</v>
      </c>
      <c r="BE17" s="2">
        <f>$AZ$8/(365/12)*MAX(节奏总纲!E13-$E$2,0)</f>
        <v>0</v>
      </c>
      <c r="BF17" s="2">
        <f>$AZ$8/(365/12)*MAX(节奏总纲!F13-$E$2,0)</f>
        <v>0</v>
      </c>
      <c r="BG17" s="2">
        <f>$AZ$8/(365/12)*MAX(节奏总纲!G13-$E$2,0)</f>
        <v>0</v>
      </c>
      <c r="BH17" s="2">
        <f>$AZ$8/(365/12)*MAX(节奏总纲!H13-$E$2,0)</f>
        <v>0</v>
      </c>
      <c r="BI17" s="2">
        <f>$AY$8/(365/12)*MAX(节奏总纲!D13-$E$2,0)</f>
        <v>0</v>
      </c>
      <c r="BJ17" s="2">
        <f>$AY$8/(365/12)*MAX(节奏总纲!E13-$E$2,0)</f>
        <v>0</v>
      </c>
      <c r="BK17" s="2">
        <f>$AY$8/(365/12)*MAX(节奏总纲!F13-$E$2,0)</f>
        <v>0</v>
      </c>
      <c r="BL17" s="2">
        <f>$AY$8/(365/12)*MAX(节奏总纲!G13-$E$2,0)</f>
        <v>0</v>
      </c>
      <c r="BM17" s="2">
        <f>$AY$8/(365/12)*MAX(节奏总纲!H13-$E$2,0)</f>
        <v>0</v>
      </c>
      <c r="CD17" s="2">
        <v>10</v>
      </c>
      <c r="CE17" s="2">
        <f>INDEX($BY$8:$BY$15,MATCH(CE$7,$CB$8:$CB$15,0))*SUM(C$11:C$12)/(365/12)*MAX(节奏总纲!D13-$E$2,0)</f>
        <v>0</v>
      </c>
      <c r="CF17" s="2">
        <f>INDEX($BY$8:$BY$15,MATCH(CF$7,$CB$8:$CB$15,0))*SUM(D$11:D$12)/(365/12)*MAX(节奏总纲!E13-$E$2,0)</f>
        <v>0</v>
      </c>
      <c r="CG17" s="2">
        <f>INDEX($BY$8:$BY$15,MATCH(CG$7,$CB$8:$CB$15,0))*SUM(E$11:E$12)/(365/12)*MAX(节奏总纲!F13-$E$2,0)</f>
        <v>0</v>
      </c>
      <c r="CH17" s="2">
        <f>INDEX($BY$8:$BY$15,MATCH(CH$7,$CB$8:$CB$15,0))*SUM(F$11:F$12)/(365/12)*MAX(节奏总纲!G13-$E$2,0)</f>
        <v>0</v>
      </c>
      <c r="CI17" s="2">
        <f>INDEX($BY$8:$BY$15,MATCH(CI$7,$CB$8:$CB$15,0))*SUM(G$11:G$12)/(365/12)*MAX(节奏总纲!H13-$E$2,0)</f>
        <v>0</v>
      </c>
      <c r="CJ17" s="2">
        <f>INDEX($BZ$8:$BZ$15,MATCH(CE$7,$CB$8:$CB$15,0))*SUM(C$11:C$12)/(365/12)*MAX(节奏总纲!D13-$E$2,0)</f>
        <v>0</v>
      </c>
      <c r="CK17" s="2">
        <f>INDEX($BZ$8:$BZ$15,MATCH(CF$7,$CB$8:$CB$15,0))*SUM(D$11:D$12)/(365/12)*MAX(节奏总纲!E13-$E$2,0)</f>
        <v>0</v>
      </c>
      <c r="CL17" s="2">
        <f>INDEX($BZ$8:$BZ$15,MATCH(CG$7,$CB$8:$CB$15,0))*SUM(E$11:E$12)/(365/12)*MAX(节奏总纲!F13-$E$2,0)</f>
        <v>0</v>
      </c>
      <c r="CM17" s="2">
        <f>INDEX($BZ$8:$BZ$15,MATCH(CH$7,$CB$8:$CB$15,0))*SUM(F$11:F$12)/(365/12)*MAX(节奏总纲!G13-$E$2,0)</f>
        <v>0</v>
      </c>
      <c r="CN17" s="2">
        <f>INDEX($BZ$8:$BZ$15,MATCH(CI$7,$CB$8:$CB$15,0))*SUM(G$11:G$12)/(365/12)*MAX(节奏总纲!H13-$E$2,0)</f>
        <v>0</v>
      </c>
      <c r="CS17" s="2">
        <v>10</v>
      </c>
      <c r="CT17" s="2">
        <f t="shared" si="1"/>
        <v>0</v>
      </c>
      <c r="CU17" s="2">
        <f t="shared" si="2"/>
        <v>0</v>
      </c>
      <c r="CV17" s="2">
        <f t="shared" si="3"/>
        <v>0</v>
      </c>
      <c r="CW17" s="2">
        <f t="shared" si="4"/>
        <v>0</v>
      </c>
      <c r="CX17" s="2">
        <f t="shared" si="5"/>
        <v>0</v>
      </c>
      <c r="CZ17" s="41" t="e">
        <f t="shared" si="6"/>
        <v>#DIV/0!</v>
      </c>
      <c r="DA17" s="41" t="e">
        <f t="shared" si="7"/>
        <v>#DIV/0!</v>
      </c>
      <c r="DB17" s="41" t="e">
        <f t="shared" si="8"/>
        <v>#DIV/0!</v>
      </c>
      <c r="DD17" s="41" t="e">
        <f t="shared" si="9"/>
        <v>#DIV/0!</v>
      </c>
      <c r="DE17" s="41" t="e">
        <f t="shared" si="10"/>
        <v>#DIV/0!</v>
      </c>
      <c r="DF17" s="41" t="e">
        <f t="shared" si="11"/>
        <v>#DIV/0!</v>
      </c>
      <c r="DH17" s="41" t="e">
        <f t="shared" si="12"/>
        <v>#DIV/0!</v>
      </c>
      <c r="DI17" s="41" t="e">
        <f t="shared" si="13"/>
        <v>#DIV/0!</v>
      </c>
      <c r="DJ17" s="41" t="e">
        <f t="shared" si="14"/>
        <v>#DIV/0!</v>
      </c>
      <c r="DL17" s="2">
        <f>CT17/节奏总纲!D13</f>
        <v>0</v>
      </c>
      <c r="DM17" s="2">
        <f>CU17/节奏总纲!E13</f>
        <v>0</v>
      </c>
      <c r="DN17" s="2">
        <f>CV17/节奏总纲!F13</f>
        <v>0</v>
      </c>
      <c r="DO17" s="2">
        <f>CW17/节奏总纲!G13</f>
        <v>0</v>
      </c>
      <c r="DP17" s="2">
        <f>CX17/节奏总纲!H13</f>
        <v>0</v>
      </c>
      <c r="DR17" s="2" t="e">
        <f t="shared" si="15"/>
        <v>#DIV/0!</v>
      </c>
      <c r="DS17" s="2" t="e">
        <f t="shared" si="16"/>
        <v>#DIV/0!</v>
      </c>
      <c r="DT17" s="2" t="e">
        <f t="shared" si="17"/>
        <v>#DIV/0!</v>
      </c>
      <c r="DU17" s="2" t="e">
        <f t="shared" si="18"/>
        <v>#DIV/0!</v>
      </c>
      <c r="DY17" s="2">
        <v>10</v>
      </c>
      <c r="DZ17" s="2">
        <f t="shared" si="22"/>
        <v>0</v>
      </c>
      <c r="EA17" s="2">
        <f t="shared" si="23"/>
        <v>0</v>
      </c>
      <c r="EB17" s="2">
        <f t="shared" si="24"/>
        <v>0</v>
      </c>
      <c r="EC17" s="2">
        <f t="shared" si="25"/>
        <v>0</v>
      </c>
      <c r="ED17" s="2">
        <f t="shared" si="26"/>
        <v>0</v>
      </c>
      <c r="EF17" s="57" t="e">
        <f t="shared" si="27"/>
        <v>#DIV/0!</v>
      </c>
      <c r="EG17" s="57" t="e">
        <f t="shared" si="28"/>
        <v>#DIV/0!</v>
      </c>
      <c r="EH17" s="41" t="e">
        <f t="shared" si="29"/>
        <v>#DIV/0!</v>
      </c>
      <c r="EJ17" s="57" t="e">
        <f t="shared" si="30"/>
        <v>#DIV/0!</v>
      </c>
      <c r="EK17" s="57" t="e">
        <f t="shared" si="31"/>
        <v>#DIV/0!</v>
      </c>
      <c r="EL17" s="41" t="e">
        <f t="shared" si="32"/>
        <v>#DIV/0!</v>
      </c>
      <c r="EN17" s="57" t="e">
        <f t="shared" si="33"/>
        <v>#DIV/0!</v>
      </c>
      <c r="EO17" s="57" t="e">
        <f t="shared" si="34"/>
        <v>#DIV/0!</v>
      </c>
      <c r="EP17" s="41" t="e">
        <f t="shared" si="35"/>
        <v>#DIV/0!</v>
      </c>
    </row>
    <row r="18" spans="2:146" x14ac:dyDescent="0.15">
      <c r="T18" s="2">
        <v>11</v>
      </c>
      <c r="U18" s="2">
        <f>$N$8*SUM(C$11:C$12)/(365/12)*MAX(节奏总纲!D14-$E$2,0)</f>
        <v>0</v>
      </c>
      <c r="V18" s="2">
        <f>$N$8*SUM(D$11:D$12)/(365/12)*MAX(节奏总纲!E14-$E$2,0)</f>
        <v>0</v>
      </c>
      <c r="W18" s="2">
        <f>$N$8*SUM(E$11:E$12)/(365/12)*MAX(节奏总纲!F14-$E$2,0)</f>
        <v>0</v>
      </c>
      <c r="X18" s="2">
        <f>$N$8*SUM(F$11:F$12)/(365/12)*MAX(节奏总纲!G14-$E$2,0)</f>
        <v>0</v>
      </c>
      <c r="Y18" s="2">
        <f>$N$8*SUM(G$11:G$12)/(365/12)*MAX(节奏总纲!H14-$E$2,0)</f>
        <v>0</v>
      </c>
      <c r="Z18" s="2">
        <f>$O$8*SUM(C$11:C$12)/(365/12)*MAX(节奏总纲!D14-$E$2,0)</f>
        <v>0</v>
      </c>
      <c r="AA18" s="2">
        <f>$O$8*SUM(D$11:D$12)/(365/12)*MAX(节奏总纲!E14-$E$2,0)</f>
        <v>0</v>
      </c>
      <c r="AB18" s="2">
        <f>$O$8*SUM(E$11:E$12)/(365/12)*MAX(节奏总纲!F14-$E$2,0)</f>
        <v>0</v>
      </c>
      <c r="AC18" s="2">
        <f>$O$8*SUM(F$11:F$12)/(365/12)*MAX(节奏总纲!G14-$E$2,0)</f>
        <v>0</v>
      </c>
      <c r="AD18" s="2">
        <f>$O$8*SUM(G$11:G$12)/(365/12)*MAX(节奏总纲!H14-$E$2,0)</f>
        <v>0</v>
      </c>
      <c r="AE18" s="2">
        <f>$Q$8*SUM(C$11:C$12)/(365/12)*MAX(节奏总纲!D14-$E$2,0)</f>
        <v>0</v>
      </c>
      <c r="AF18" s="2">
        <f>$Q$8*SUM(D$11:D$12)/(365/12)*MAX(节奏总纲!E14-$E$2,0)</f>
        <v>0</v>
      </c>
      <c r="AG18" s="2">
        <f>$Q$8*SUM(E$11:E$12)/(365/12)*MAX(节奏总纲!F14-$E$2,0)</f>
        <v>0</v>
      </c>
      <c r="AH18" s="2">
        <f>$Q$8*SUM(F$11:F$12)/(365/12)*MAX(节奏总纲!G14-$E$2,0)</f>
        <v>0</v>
      </c>
      <c r="AI18" s="2">
        <f>$Q$8*SUM(G$11:G$12)/(365/12)*MAX(节奏总纲!H14-$E$2,0)</f>
        <v>0</v>
      </c>
      <c r="AJ18" s="2">
        <f>$P$8*SUM(C$11:C$12)/(365/12)*MAX(节奏总纲!D14-$E$2,0)</f>
        <v>0</v>
      </c>
      <c r="AK18" s="2">
        <f>$P$8*SUM(D$11:D$12)/(365/12)*MAX(节奏总纲!E14-$E$2,0)</f>
        <v>0</v>
      </c>
      <c r="AL18" s="2">
        <f>$P$8*SUM(E$11:E$12)/(365/12)*MAX(节奏总纲!F14-$E$2,0)</f>
        <v>0</v>
      </c>
      <c r="AM18" s="2">
        <f>$P$8*SUM(F$11:F$12)/(365/12)*MAX(节奏总纲!G14-$E$2,0)</f>
        <v>0</v>
      </c>
      <c r="AN18" s="2">
        <f>$P$8*SUM(G$11:G$12)/(365/12)*MAX(节奏总纲!H14-$E$2,0)</f>
        <v>0</v>
      </c>
      <c r="AU18" s="2" t="s">
        <v>548</v>
      </c>
      <c r="BC18" s="2">
        <v>11</v>
      </c>
      <c r="BD18" s="2">
        <f>$AZ$8/(365/12)*MAX(节奏总纲!D14-$E$2,0)</f>
        <v>0</v>
      </c>
      <c r="BE18" s="2">
        <f>$AZ$8/(365/12)*MAX(节奏总纲!E14-$E$2,0)</f>
        <v>0</v>
      </c>
      <c r="BF18" s="2">
        <f>$AZ$8/(365/12)*MAX(节奏总纲!F14-$E$2,0)</f>
        <v>0</v>
      </c>
      <c r="BG18" s="2">
        <f>$AZ$8/(365/12)*MAX(节奏总纲!G14-$E$2,0)</f>
        <v>0</v>
      </c>
      <c r="BH18" s="2">
        <f>$AZ$8/(365/12)*MAX(节奏总纲!H14-$E$2,0)</f>
        <v>0</v>
      </c>
      <c r="BI18" s="2">
        <f>$AY$8/(365/12)*MAX(节奏总纲!D14-$E$2,0)</f>
        <v>0</v>
      </c>
      <c r="BJ18" s="2">
        <f>$AY$8/(365/12)*MAX(节奏总纲!E14-$E$2,0)</f>
        <v>0</v>
      </c>
      <c r="BK18" s="2">
        <f>$AY$8/(365/12)*MAX(节奏总纲!F14-$E$2,0)</f>
        <v>0</v>
      </c>
      <c r="BL18" s="2">
        <f>$AY$8/(365/12)*MAX(节奏总纲!G14-$E$2,0)</f>
        <v>0</v>
      </c>
      <c r="BM18" s="2">
        <f>$AY$8/(365/12)*MAX(节奏总纲!H14-$E$2,0)</f>
        <v>0</v>
      </c>
      <c r="CD18" s="2">
        <v>11</v>
      </c>
      <c r="CE18" s="2">
        <f>INDEX($BY$8:$BY$15,MATCH(CE$7,$CB$8:$CB$15,0))*SUM(C$11:C$12)/(365/12)*MAX(节奏总纲!D14-$E$2,0)</f>
        <v>0</v>
      </c>
      <c r="CF18" s="2">
        <f>INDEX($BY$8:$BY$15,MATCH(CF$7,$CB$8:$CB$15,0))*SUM(D$11:D$12)/(365/12)*MAX(节奏总纲!E14-$E$2,0)</f>
        <v>0</v>
      </c>
      <c r="CG18" s="2">
        <f>INDEX($BY$8:$BY$15,MATCH(CG$7,$CB$8:$CB$15,0))*SUM(E$11:E$12)/(365/12)*MAX(节奏总纲!F14-$E$2,0)</f>
        <v>0</v>
      </c>
      <c r="CH18" s="2">
        <f>INDEX($BY$8:$BY$15,MATCH(CH$7,$CB$8:$CB$15,0))*SUM(F$11:F$12)/(365/12)*MAX(节奏总纲!G14-$E$2,0)</f>
        <v>0</v>
      </c>
      <c r="CI18" s="2">
        <f>INDEX($BY$8:$BY$15,MATCH(CI$7,$CB$8:$CB$15,0))*SUM(G$11:G$12)/(365/12)*MAX(节奏总纲!H14-$E$2,0)</f>
        <v>0</v>
      </c>
      <c r="CJ18" s="2">
        <f>INDEX($BZ$8:$BZ$15,MATCH(CE$7,$CB$8:$CB$15,0))*SUM(C$11:C$12)/(365/12)*MAX(节奏总纲!D14-$E$2,0)</f>
        <v>0</v>
      </c>
      <c r="CK18" s="2">
        <f>INDEX($BZ$8:$BZ$15,MATCH(CF$7,$CB$8:$CB$15,0))*SUM(D$11:D$12)/(365/12)*MAX(节奏总纲!E14-$E$2,0)</f>
        <v>0</v>
      </c>
      <c r="CL18" s="2">
        <f>INDEX($BZ$8:$BZ$15,MATCH(CG$7,$CB$8:$CB$15,0))*SUM(E$11:E$12)/(365/12)*MAX(节奏总纲!F14-$E$2,0)</f>
        <v>0</v>
      </c>
      <c r="CM18" s="2">
        <f>INDEX($BZ$8:$BZ$15,MATCH(CH$7,$CB$8:$CB$15,0))*SUM(F$11:F$12)/(365/12)*MAX(节奏总纲!G14-$E$2,0)</f>
        <v>0</v>
      </c>
      <c r="CN18" s="2">
        <f>INDEX($BZ$8:$BZ$15,MATCH(CI$7,$CB$8:$CB$15,0))*SUM(G$11:G$12)/(365/12)*MAX(节奏总纲!H14-$E$2,0)</f>
        <v>0</v>
      </c>
      <c r="CS18" s="2">
        <v>11</v>
      </c>
      <c r="CT18" s="2">
        <f t="shared" si="1"/>
        <v>0</v>
      </c>
      <c r="CU18" s="2">
        <f t="shared" si="2"/>
        <v>0</v>
      </c>
      <c r="CV18" s="2">
        <f t="shared" si="3"/>
        <v>0</v>
      </c>
      <c r="CW18" s="2">
        <f t="shared" si="4"/>
        <v>0</v>
      </c>
      <c r="CX18" s="2">
        <f t="shared" si="5"/>
        <v>0</v>
      </c>
      <c r="CZ18" s="41" t="e">
        <f t="shared" si="6"/>
        <v>#DIV/0!</v>
      </c>
      <c r="DA18" s="41" t="e">
        <f t="shared" si="7"/>
        <v>#DIV/0!</v>
      </c>
      <c r="DB18" s="41" t="e">
        <f t="shared" si="8"/>
        <v>#DIV/0!</v>
      </c>
      <c r="DD18" s="41" t="e">
        <f t="shared" si="9"/>
        <v>#DIV/0!</v>
      </c>
      <c r="DE18" s="41" t="e">
        <f t="shared" si="10"/>
        <v>#DIV/0!</v>
      </c>
      <c r="DF18" s="41" t="e">
        <f t="shared" si="11"/>
        <v>#DIV/0!</v>
      </c>
      <c r="DH18" s="41" t="e">
        <f t="shared" si="12"/>
        <v>#DIV/0!</v>
      </c>
      <c r="DI18" s="41" t="e">
        <f t="shared" si="13"/>
        <v>#DIV/0!</v>
      </c>
      <c r="DJ18" s="41" t="e">
        <f t="shared" si="14"/>
        <v>#DIV/0!</v>
      </c>
      <c r="DL18" s="2">
        <f>CT18/节奏总纲!D14</f>
        <v>0</v>
      </c>
      <c r="DM18" s="2">
        <f>CU18/节奏总纲!E14</f>
        <v>0</v>
      </c>
      <c r="DN18" s="2">
        <f>CV18/节奏总纲!F14</f>
        <v>0</v>
      </c>
      <c r="DO18" s="2">
        <f>CW18/节奏总纲!G14</f>
        <v>0</v>
      </c>
      <c r="DP18" s="2">
        <f>CX18/节奏总纲!H14</f>
        <v>0</v>
      </c>
      <c r="DR18" s="2" t="e">
        <f t="shared" si="15"/>
        <v>#DIV/0!</v>
      </c>
      <c r="DS18" s="2" t="e">
        <f t="shared" si="16"/>
        <v>#DIV/0!</v>
      </c>
      <c r="DT18" s="2" t="e">
        <f t="shared" si="17"/>
        <v>#DIV/0!</v>
      </c>
      <c r="DU18" s="2" t="e">
        <f t="shared" si="18"/>
        <v>#DIV/0!</v>
      </c>
      <c r="DY18" s="2">
        <v>11</v>
      </c>
      <c r="DZ18" s="2">
        <f t="shared" si="22"/>
        <v>0</v>
      </c>
      <c r="EA18" s="2">
        <f t="shared" si="23"/>
        <v>0</v>
      </c>
      <c r="EB18" s="2">
        <f t="shared" si="24"/>
        <v>0</v>
      </c>
      <c r="EC18" s="2">
        <f t="shared" si="25"/>
        <v>0</v>
      </c>
      <c r="ED18" s="2">
        <f t="shared" si="26"/>
        <v>0</v>
      </c>
      <c r="EF18" s="57" t="e">
        <f t="shared" si="27"/>
        <v>#DIV/0!</v>
      </c>
      <c r="EG18" s="57" t="e">
        <f t="shared" si="28"/>
        <v>#DIV/0!</v>
      </c>
      <c r="EH18" s="41" t="e">
        <f t="shared" si="29"/>
        <v>#DIV/0!</v>
      </c>
      <c r="EJ18" s="57" t="e">
        <f t="shared" si="30"/>
        <v>#DIV/0!</v>
      </c>
      <c r="EK18" s="57" t="e">
        <f t="shared" si="31"/>
        <v>#DIV/0!</v>
      </c>
      <c r="EL18" s="41" t="e">
        <f t="shared" si="32"/>
        <v>#DIV/0!</v>
      </c>
      <c r="EN18" s="57" t="e">
        <f t="shared" si="33"/>
        <v>#DIV/0!</v>
      </c>
      <c r="EO18" s="57" t="e">
        <f t="shared" si="34"/>
        <v>#DIV/0!</v>
      </c>
      <c r="EP18" s="41" t="e">
        <f t="shared" si="35"/>
        <v>#DIV/0!</v>
      </c>
    </row>
    <row r="19" spans="2:146" x14ac:dyDescent="0.15">
      <c r="T19" s="2">
        <v>12</v>
      </c>
      <c r="U19" s="2">
        <f>$N$8*SUM(C$11:C$12)/(365/12)*MAX(节奏总纲!D15-$E$2,0)</f>
        <v>0</v>
      </c>
      <c r="V19" s="2">
        <f>$N$8*SUM(D$11:D$12)/(365/12)*MAX(节奏总纲!E15-$E$2,0)</f>
        <v>0</v>
      </c>
      <c r="W19" s="2">
        <f>$N$8*SUM(E$11:E$12)/(365/12)*MAX(节奏总纲!F15-$E$2,0)</f>
        <v>0</v>
      </c>
      <c r="X19" s="2">
        <f>$N$8*SUM(F$11:F$12)/(365/12)*MAX(节奏总纲!G15-$E$2,0)</f>
        <v>0</v>
      </c>
      <c r="Y19" s="2">
        <f>$N$8*SUM(G$11:G$12)/(365/12)*MAX(节奏总纲!H15-$E$2,0)</f>
        <v>0</v>
      </c>
      <c r="Z19" s="2">
        <f>$O$8*SUM(C$11:C$12)/(365/12)*MAX(节奏总纲!D15-$E$2,0)</f>
        <v>0</v>
      </c>
      <c r="AA19" s="2">
        <f>$O$8*SUM(D$11:D$12)/(365/12)*MAX(节奏总纲!E15-$E$2,0)</f>
        <v>0</v>
      </c>
      <c r="AB19" s="2">
        <f>$O$8*SUM(E$11:E$12)/(365/12)*MAX(节奏总纲!F15-$E$2,0)</f>
        <v>0</v>
      </c>
      <c r="AC19" s="2">
        <f>$O$8*SUM(F$11:F$12)/(365/12)*MAX(节奏总纲!G15-$E$2,0)</f>
        <v>0</v>
      </c>
      <c r="AD19" s="2">
        <f>$O$8*SUM(G$11:G$12)/(365/12)*MAX(节奏总纲!H15-$E$2,0)</f>
        <v>0</v>
      </c>
      <c r="AE19" s="2">
        <f>$Q$8*SUM(C$11:C$12)/(365/12)*MAX(节奏总纲!D15-$E$2,0)</f>
        <v>0</v>
      </c>
      <c r="AF19" s="2">
        <f>$Q$8*SUM(D$11:D$12)/(365/12)*MAX(节奏总纲!E15-$E$2,0)</f>
        <v>0</v>
      </c>
      <c r="AG19" s="2">
        <f>$Q$8*SUM(E$11:E$12)/(365/12)*MAX(节奏总纲!F15-$E$2,0)</f>
        <v>0</v>
      </c>
      <c r="AH19" s="2">
        <f>$Q$8*SUM(F$11:F$12)/(365/12)*MAX(节奏总纲!G15-$E$2,0)</f>
        <v>0</v>
      </c>
      <c r="AI19" s="2">
        <f>$Q$8*SUM(G$11:G$12)/(365/12)*MAX(节奏总纲!H15-$E$2,0)</f>
        <v>0</v>
      </c>
      <c r="AJ19" s="2">
        <f>$P$8*SUM(C$11:C$12)/(365/12)*MAX(节奏总纲!D15-$E$2,0)</f>
        <v>0</v>
      </c>
      <c r="AK19" s="2">
        <f>$P$8*SUM(D$11:D$12)/(365/12)*MAX(节奏总纲!E15-$E$2,0)</f>
        <v>0</v>
      </c>
      <c r="AL19" s="2">
        <f>$P$8*SUM(E$11:E$12)/(365/12)*MAX(节奏总纲!F15-$E$2,0)</f>
        <v>0</v>
      </c>
      <c r="AM19" s="2">
        <f>$P$8*SUM(F$11:F$12)/(365/12)*MAX(节奏总纲!G15-$E$2,0)</f>
        <v>0</v>
      </c>
      <c r="AN19" s="2">
        <f>$P$8*SUM(G$11:G$12)/(365/12)*MAX(节奏总纲!H15-$E$2,0)</f>
        <v>0</v>
      </c>
      <c r="AV19" s="2" t="s">
        <v>549</v>
      </c>
      <c r="AW19" s="2" t="s">
        <v>550</v>
      </c>
      <c r="AX19" s="2" t="s">
        <v>551</v>
      </c>
      <c r="BC19" s="2">
        <v>12</v>
      </c>
      <c r="BD19" s="2">
        <f>$AZ$8/(365/12)*MAX(节奏总纲!D15-$E$2,0)</f>
        <v>0</v>
      </c>
      <c r="BE19" s="2">
        <f>$AZ$8/(365/12)*MAX(节奏总纲!E15-$E$2,0)</f>
        <v>0</v>
      </c>
      <c r="BF19" s="2">
        <f>$AZ$8/(365/12)*MAX(节奏总纲!F15-$E$2,0)</f>
        <v>0</v>
      </c>
      <c r="BG19" s="2">
        <f>$AZ$8/(365/12)*MAX(节奏总纲!G15-$E$2,0)</f>
        <v>0</v>
      </c>
      <c r="BH19" s="2">
        <f>$AZ$8/(365/12)*MAX(节奏总纲!H15-$E$2,0)</f>
        <v>0</v>
      </c>
      <c r="BI19" s="2">
        <f>$AY$8/(365/12)*MAX(节奏总纲!D15-$E$2,0)</f>
        <v>0</v>
      </c>
      <c r="BJ19" s="2">
        <f>$AY$8/(365/12)*MAX(节奏总纲!E15-$E$2,0)</f>
        <v>0</v>
      </c>
      <c r="BK19" s="2">
        <f>$AY$8/(365/12)*MAX(节奏总纲!F15-$E$2,0)</f>
        <v>0</v>
      </c>
      <c r="BL19" s="2">
        <f>$AY$8/(365/12)*MAX(节奏总纲!G15-$E$2,0)</f>
        <v>0</v>
      </c>
      <c r="BM19" s="2">
        <f>$AY$8/(365/12)*MAX(节奏总纲!H15-$E$2,0)</f>
        <v>0</v>
      </c>
      <c r="CD19" s="2">
        <v>12</v>
      </c>
      <c r="CE19" s="2">
        <f>INDEX($BY$8:$BY$15,MATCH(CE$7,$CB$8:$CB$15,0))*SUM(C$11:C$12)/(365/12)*MAX(节奏总纲!D15-$E$2,0)</f>
        <v>0</v>
      </c>
      <c r="CF19" s="2">
        <f>INDEX($BY$8:$BY$15,MATCH(CF$7,$CB$8:$CB$15,0))*SUM(D$11:D$12)/(365/12)*MAX(节奏总纲!E15-$E$2,0)</f>
        <v>0</v>
      </c>
      <c r="CG19" s="2">
        <f>INDEX($BY$8:$BY$15,MATCH(CG$7,$CB$8:$CB$15,0))*SUM(E$11:E$12)/(365/12)*MAX(节奏总纲!F15-$E$2,0)</f>
        <v>0</v>
      </c>
      <c r="CH19" s="2">
        <f>INDEX($BY$8:$BY$15,MATCH(CH$7,$CB$8:$CB$15,0))*SUM(F$11:F$12)/(365/12)*MAX(节奏总纲!G15-$E$2,0)</f>
        <v>0</v>
      </c>
      <c r="CI19" s="2">
        <f>INDEX($BY$8:$BY$15,MATCH(CI$7,$CB$8:$CB$15,0))*SUM(G$11:G$12)/(365/12)*MAX(节奏总纲!H15-$E$2,0)</f>
        <v>0</v>
      </c>
      <c r="CJ19" s="2">
        <f>INDEX($BZ$8:$BZ$15,MATCH(CE$7,$CB$8:$CB$15,0))*SUM(C$11:C$12)/(365/12)*MAX(节奏总纲!D15-$E$2,0)</f>
        <v>0</v>
      </c>
      <c r="CK19" s="2">
        <f>INDEX($BZ$8:$BZ$15,MATCH(CF$7,$CB$8:$CB$15,0))*SUM(D$11:D$12)/(365/12)*MAX(节奏总纲!E15-$E$2,0)</f>
        <v>0</v>
      </c>
      <c r="CL19" s="2">
        <f>INDEX($BZ$8:$BZ$15,MATCH(CG$7,$CB$8:$CB$15,0))*SUM(E$11:E$12)/(365/12)*MAX(节奏总纲!F15-$E$2,0)</f>
        <v>0</v>
      </c>
      <c r="CM19" s="2">
        <f>INDEX($BZ$8:$BZ$15,MATCH(CH$7,$CB$8:$CB$15,0))*SUM(F$11:F$12)/(365/12)*MAX(节奏总纲!G15-$E$2,0)</f>
        <v>0</v>
      </c>
      <c r="CN19" s="2">
        <f>INDEX($BZ$8:$BZ$15,MATCH(CI$7,$CB$8:$CB$15,0))*SUM(G$11:G$12)/(365/12)*MAX(节奏总纲!H15-$E$2,0)</f>
        <v>0</v>
      </c>
      <c r="CS19" s="2">
        <v>12</v>
      </c>
      <c r="CT19" s="2">
        <f t="shared" si="1"/>
        <v>0</v>
      </c>
      <c r="CU19" s="2">
        <f t="shared" si="2"/>
        <v>0</v>
      </c>
      <c r="CV19" s="2">
        <f t="shared" si="3"/>
        <v>0</v>
      </c>
      <c r="CW19" s="2">
        <f t="shared" si="4"/>
        <v>0</v>
      </c>
      <c r="CX19" s="2">
        <f t="shared" si="5"/>
        <v>0</v>
      </c>
      <c r="CZ19" s="41" t="e">
        <f t="shared" si="6"/>
        <v>#DIV/0!</v>
      </c>
      <c r="DA19" s="41" t="e">
        <f t="shared" si="7"/>
        <v>#DIV/0!</v>
      </c>
      <c r="DB19" s="41" t="e">
        <f t="shared" si="8"/>
        <v>#DIV/0!</v>
      </c>
      <c r="DD19" s="41" t="e">
        <f t="shared" si="9"/>
        <v>#DIV/0!</v>
      </c>
      <c r="DE19" s="41" t="e">
        <f t="shared" si="10"/>
        <v>#DIV/0!</v>
      </c>
      <c r="DF19" s="41" t="e">
        <f t="shared" si="11"/>
        <v>#DIV/0!</v>
      </c>
      <c r="DH19" s="41" t="e">
        <f t="shared" si="12"/>
        <v>#DIV/0!</v>
      </c>
      <c r="DI19" s="41" t="e">
        <f t="shared" si="13"/>
        <v>#DIV/0!</v>
      </c>
      <c r="DJ19" s="41" t="e">
        <f t="shared" si="14"/>
        <v>#DIV/0!</v>
      </c>
      <c r="DL19" s="2">
        <f>CT19/节奏总纲!D15</f>
        <v>0</v>
      </c>
      <c r="DM19" s="2">
        <f>CU19/节奏总纲!E15</f>
        <v>0</v>
      </c>
      <c r="DN19" s="2">
        <f>CV19/节奏总纲!F15</f>
        <v>0</v>
      </c>
      <c r="DO19" s="2">
        <f>CW19/节奏总纲!G15</f>
        <v>0</v>
      </c>
      <c r="DP19" s="2">
        <f>CX19/节奏总纲!H15</f>
        <v>0</v>
      </c>
      <c r="DR19" s="2" t="e">
        <f t="shared" si="15"/>
        <v>#DIV/0!</v>
      </c>
      <c r="DS19" s="2" t="e">
        <f t="shared" si="16"/>
        <v>#DIV/0!</v>
      </c>
      <c r="DT19" s="2" t="e">
        <f t="shared" si="17"/>
        <v>#DIV/0!</v>
      </c>
      <c r="DU19" s="2" t="e">
        <f t="shared" si="18"/>
        <v>#DIV/0!</v>
      </c>
      <c r="DY19" s="2">
        <v>12</v>
      </c>
      <c r="DZ19" s="2">
        <f t="shared" si="22"/>
        <v>0</v>
      </c>
      <c r="EA19" s="2">
        <f t="shared" si="23"/>
        <v>0</v>
      </c>
      <c r="EB19" s="2">
        <f t="shared" si="24"/>
        <v>0</v>
      </c>
      <c r="EC19" s="2">
        <f t="shared" si="25"/>
        <v>0</v>
      </c>
      <c r="ED19" s="2">
        <f t="shared" si="26"/>
        <v>0</v>
      </c>
      <c r="EF19" s="57" t="e">
        <f t="shared" si="27"/>
        <v>#DIV/0!</v>
      </c>
      <c r="EG19" s="57" t="e">
        <f t="shared" si="28"/>
        <v>#DIV/0!</v>
      </c>
      <c r="EH19" s="41" t="e">
        <f t="shared" si="29"/>
        <v>#DIV/0!</v>
      </c>
      <c r="EJ19" s="57" t="e">
        <f t="shared" si="30"/>
        <v>#DIV/0!</v>
      </c>
      <c r="EK19" s="57" t="e">
        <f t="shared" si="31"/>
        <v>#DIV/0!</v>
      </c>
      <c r="EL19" s="41" t="e">
        <f t="shared" si="32"/>
        <v>#DIV/0!</v>
      </c>
      <c r="EN19" s="57" t="e">
        <f t="shared" si="33"/>
        <v>#DIV/0!</v>
      </c>
      <c r="EO19" s="57" t="e">
        <f t="shared" si="34"/>
        <v>#DIV/0!</v>
      </c>
      <c r="EP19" s="41" t="e">
        <f t="shared" si="35"/>
        <v>#DIV/0!</v>
      </c>
    </row>
    <row r="20" spans="2:146" x14ac:dyDescent="0.15">
      <c r="T20" s="2">
        <v>13</v>
      </c>
      <c r="U20" s="2">
        <f>$N$8*SUM(C$11:C$12)/(365/12)*MAX(节奏总纲!D16-$E$2,0)</f>
        <v>0</v>
      </c>
      <c r="V20" s="2">
        <f>$N$8*SUM(D$11:D$12)/(365/12)*MAX(节奏总纲!E16-$E$2,0)</f>
        <v>0</v>
      </c>
      <c r="W20" s="2">
        <f>$N$8*SUM(E$11:E$12)/(365/12)*MAX(节奏总纲!F16-$E$2,0)</f>
        <v>0</v>
      </c>
      <c r="X20" s="2">
        <f>$N$8*SUM(F$11:F$12)/(365/12)*MAX(节奏总纲!G16-$E$2,0)</f>
        <v>0</v>
      </c>
      <c r="Y20" s="2">
        <f>$N$8*SUM(G$11:G$12)/(365/12)*MAX(节奏总纲!H16-$E$2,0)</f>
        <v>0</v>
      </c>
      <c r="Z20" s="2">
        <f>$O$8*SUM(C$11:C$12)/(365/12)*MAX(节奏总纲!D16-$E$2,0)</f>
        <v>0</v>
      </c>
      <c r="AA20" s="2">
        <f>$O$8*SUM(D$11:D$12)/(365/12)*MAX(节奏总纲!E16-$E$2,0)</f>
        <v>0</v>
      </c>
      <c r="AB20" s="2">
        <f>$O$8*SUM(E$11:E$12)/(365/12)*MAX(节奏总纲!F16-$E$2,0)</f>
        <v>0</v>
      </c>
      <c r="AC20" s="2">
        <f>$O$8*SUM(F$11:F$12)/(365/12)*MAX(节奏总纲!G16-$E$2,0)</f>
        <v>0</v>
      </c>
      <c r="AD20" s="2">
        <f>$O$8*SUM(G$11:G$12)/(365/12)*MAX(节奏总纲!H16-$E$2,0)</f>
        <v>0</v>
      </c>
      <c r="AE20" s="2">
        <f>$Q$8*SUM(C$11:C$12)/(365/12)*MAX(节奏总纲!D16-$E$2,0)</f>
        <v>0</v>
      </c>
      <c r="AF20" s="2">
        <f>$Q$8*SUM(D$11:D$12)/(365/12)*MAX(节奏总纲!E16-$E$2,0)</f>
        <v>0</v>
      </c>
      <c r="AG20" s="2">
        <f>$Q$8*SUM(E$11:E$12)/(365/12)*MAX(节奏总纲!F16-$E$2,0)</f>
        <v>0</v>
      </c>
      <c r="AH20" s="2">
        <f>$Q$8*SUM(F$11:F$12)/(365/12)*MAX(节奏总纲!G16-$E$2,0)</f>
        <v>0</v>
      </c>
      <c r="AI20" s="2">
        <f>$Q$8*SUM(G$11:G$12)/(365/12)*MAX(节奏总纲!H16-$E$2,0)</f>
        <v>0</v>
      </c>
      <c r="AJ20" s="2">
        <f>$P$8*SUM(C$11:C$12)/(365/12)*MAX(节奏总纲!D16-$E$2,0)</f>
        <v>0</v>
      </c>
      <c r="AK20" s="2">
        <f>$P$8*SUM(D$11:D$12)/(365/12)*MAX(节奏总纲!E16-$E$2,0)</f>
        <v>0</v>
      </c>
      <c r="AL20" s="2">
        <f>$P$8*SUM(E$11:E$12)/(365/12)*MAX(节奏总纲!F16-$E$2,0)</f>
        <v>0</v>
      </c>
      <c r="AM20" s="2">
        <f>$P$8*SUM(F$11:F$12)/(365/12)*MAX(节奏总纲!G16-$E$2,0)</f>
        <v>0</v>
      </c>
      <c r="AN20" s="2">
        <f>$P$8*SUM(G$11:G$12)/(365/12)*MAX(节奏总纲!H16-$E$2,0)</f>
        <v>0</v>
      </c>
      <c r="AV20" s="2" t="s">
        <v>553</v>
      </c>
      <c r="AW20" s="2">
        <v>1</v>
      </c>
      <c r="AX20" s="2">
        <f>INDEX(道具投放节奏!$K:$K,MATCH(AV20,道具投放节奏!$D:$D,0))*AW20</f>
        <v>500</v>
      </c>
      <c r="AY20" s="2">
        <f>$AW$8*AW20</f>
        <v>70</v>
      </c>
      <c r="BC20" s="2">
        <v>13</v>
      </c>
      <c r="BD20" s="2">
        <f>$AZ$8/(365/12)*MAX(节奏总纲!D16-$E$2,0)</f>
        <v>0</v>
      </c>
      <c r="BE20" s="2">
        <f>$AZ$8/(365/12)*MAX(节奏总纲!E16-$E$2,0)</f>
        <v>0</v>
      </c>
      <c r="BF20" s="2">
        <f>$AZ$8/(365/12)*MAX(节奏总纲!F16-$E$2,0)</f>
        <v>0</v>
      </c>
      <c r="BG20" s="2">
        <f>$AZ$8/(365/12)*MAX(节奏总纲!G16-$E$2,0)</f>
        <v>0</v>
      </c>
      <c r="BH20" s="2">
        <f>$AZ$8/(365/12)*MAX(节奏总纲!H16-$E$2,0)</f>
        <v>0</v>
      </c>
      <c r="BI20" s="2">
        <f>$AY$8/(365/12)*MAX(节奏总纲!D16-$E$2,0)</f>
        <v>0</v>
      </c>
      <c r="BJ20" s="2">
        <f>$AY$8/(365/12)*MAX(节奏总纲!E16-$E$2,0)</f>
        <v>0</v>
      </c>
      <c r="BK20" s="2">
        <f>$AY$8/(365/12)*MAX(节奏总纲!F16-$E$2,0)</f>
        <v>0</v>
      </c>
      <c r="BL20" s="2">
        <f>$AY$8/(365/12)*MAX(节奏总纲!G16-$E$2,0)</f>
        <v>0</v>
      </c>
      <c r="BM20" s="2">
        <f>$AY$8/(365/12)*MAX(节奏总纲!H16-$E$2,0)</f>
        <v>0</v>
      </c>
      <c r="CD20" s="2">
        <v>13</v>
      </c>
      <c r="CE20" s="2">
        <f>INDEX($BY$8:$BY$15,MATCH(CE$7,$CB$8:$CB$15,0))*SUM(C$11:C$12)/(365/12)*MAX(节奏总纲!D16-$E$2,0)</f>
        <v>0</v>
      </c>
      <c r="CF20" s="2">
        <f>INDEX($BY$8:$BY$15,MATCH(CF$7,$CB$8:$CB$15,0))*SUM(D$11:D$12)/(365/12)*MAX(节奏总纲!E16-$E$2,0)</f>
        <v>0</v>
      </c>
      <c r="CG20" s="2">
        <f>INDEX($BY$8:$BY$15,MATCH(CG$7,$CB$8:$CB$15,0))*SUM(E$11:E$12)/(365/12)*MAX(节奏总纲!F16-$E$2,0)</f>
        <v>0</v>
      </c>
      <c r="CH20" s="2">
        <f>INDEX($BY$8:$BY$15,MATCH(CH$7,$CB$8:$CB$15,0))*SUM(F$11:F$12)/(365/12)*MAX(节奏总纲!G16-$E$2,0)</f>
        <v>0</v>
      </c>
      <c r="CI20" s="2">
        <f>INDEX($BY$8:$BY$15,MATCH(CI$7,$CB$8:$CB$15,0))*SUM(G$11:G$12)/(365/12)*MAX(节奏总纲!H16-$E$2,0)</f>
        <v>0</v>
      </c>
      <c r="CJ20" s="2">
        <f>INDEX($BZ$8:$BZ$15,MATCH(CE$7,$CB$8:$CB$15,0))*SUM(C$11:C$12)/(365/12)*MAX(节奏总纲!D16-$E$2,0)</f>
        <v>0</v>
      </c>
      <c r="CK20" s="2">
        <f>INDEX($BZ$8:$BZ$15,MATCH(CF$7,$CB$8:$CB$15,0))*SUM(D$11:D$12)/(365/12)*MAX(节奏总纲!E16-$E$2,0)</f>
        <v>0</v>
      </c>
      <c r="CL20" s="2">
        <f>INDEX($BZ$8:$BZ$15,MATCH(CG$7,$CB$8:$CB$15,0))*SUM(E$11:E$12)/(365/12)*MAX(节奏总纲!F16-$E$2,0)</f>
        <v>0</v>
      </c>
      <c r="CM20" s="2">
        <f>INDEX($BZ$8:$BZ$15,MATCH(CH$7,$CB$8:$CB$15,0))*SUM(F$11:F$12)/(365/12)*MAX(节奏总纲!G16-$E$2,0)</f>
        <v>0</v>
      </c>
      <c r="CN20" s="2">
        <f>INDEX($BZ$8:$BZ$15,MATCH(CI$7,$CB$8:$CB$15,0))*SUM(G$11:G$12)/(365/12)*MAX(节奏总纲!H16-$E$2,0)</f>
        <v>0</v>
      </c>
      <c r="CS20" s="2">
        <v>13</v>
      </c>
      <c r="CT20" s="2">
        <f t="shared" si="1"/>
        <v>0</v>
      </c>
      <c r="CU20" s="2">
        <f t="shared" si="2"/>
        <v>0</v>
      </c>
      <c r="CV20" s="2">
        <f t="shared" si="3"/>
        <v>0</v>
      </c>
      <c r="CW20" s="2">
        <f t="shared" si="4"/>
        <v>0</v>
      </c>
      <c r="CX20" s="2">
        <f t="shared" si="5"/>
        <v>0</v>
      </c>
      <c r="CZ20" s="41" t="e">
        <f t="shared" si="6"/>
        <v>#DIV/0!</v>
      </c>
      <c r="DA20" s="41" t="e">
        <f t="shared" si="7"/>
        <v>#DIV/0!</v>
      </c>
      <c r="DB20" s="41" t="e">
        <f t="shared" si="8"/>
        <v>#DIV/0!</v>
      </c>
      <c r="DD20" s="41" t="e">
        <f t="shared" si="9"/>
        <v>#DIV/0!</v>
      </c>
      <c r="DE20" s="41" t="e">
        <f t="shared" si="10"/>
        <v>#DIV/0!</v>
      </c>
      <c r="DF20" s="41" t="e">
        <f t="shared" si="11"/>
        <v>#DIV/0!</v>
      </c>
      <c r="DH20" s="41" t="e">
        <f t="shared" si="12"/>
        <v>#DIV/0!</v>
      </c>
      <c r="DI20" s="41" t="e">
        <f t="shared" si="13"/>
        <v>#DIV/0!</v>
      </c>
      <c r="DJ20" s="41" t="e">
        <f t="shared" si="14"/>
        <v>#DIV/0!</v>
      </c>
      <c r="DL20" s="2">
        <f>CT20/节奏总纲!D16</f>
        <v>0</v>
      </c>
      <c r="DM20" s="2">
        <f>CU20/节奏总纲!E16</f>
        <v>0</v>
      </c>
      <c r="DN20" s="2">
        <f>CV20/节奏总纲!F16</f>
        <v>0</v>
      </c>
      <c r="DO20" s="2">
        <f>CW20/节奏总纲!G16</f>
        <v>0</v>
      </c>
      <c r="DP20" s="2">
        <f>CX20/节奏总纲!H16</f>
        <v>0</v>
      </c>
      <c r="DR20" s="2" t="e">
        <f t="shared" si="15"/>
        <v>#DIV/0!</v>
      </c>
      <c r="DS20" s="2" t="e">
        <f t="shared" si="16"/>
        <v>#DIV/0!</v>
      </c>
      <c r="DT20" s="2" t="e">
        <f t="shared" si="17"/>
        <v>#DIV/0!</v>
      </c>
      <c r="DU20" s="2" t="e">
        <f t="shared" si="18"/>
        <v>#DIV/0!</v>
      </c>
      <c r="DY20" s="2">
        <v>13</v>
      </c>
      <c r="DZ20" s="2">
        <f t="shared" si="22"/>
        <v>0</v>
      </c>
      <c r="EA20" s="2">
        <f t="shared" si="23"/>
        <v>0</v>
      </c>
      <c r="EB20" s="2">
        <f t="shared" si="24"/>
        <v>0</v>
      </c>
      <c r="EC20" s="2">
        <f t="shared" si="25"/>
        <v>0</v>
      </c>
      <c r="ED20" s="2">
        <f t="shared" si="26"/>
        <v>0</v>
      </c>
      <c r="EF20" s="57" t="e">
        <f t="shared" si="27"/>
        <v>#DIV/0!</v>
      </c>
      <c r="EG20" s="57" t="e">
        <f t="shared" si="28"/>
        <v>#DIV/0!</v>
      </c>
      <c r="EH20" s="41" t="e">
        <f t="shared" si="29"/>
        <v>#DIV/0!</v>
      </c>
      <c r="EJ20" s="57" t="e">
        <f t="shared" si="30"/>
        <v>#DIV/0!</v>
      </c>
      <c r="EK20" s="57" t="e">
        <f t="shared" si="31"/>
        <v>#DIV/0!</v>
      </c>
      <c r="EL20" s="41" t="e">
        <f t="shared" si="32"/>
        <v>#DIV/0!</v>
      </c>
      <c r="EN20" s="57" t="e">
        <f t="shared" si="33"/>
        <v>#DIV/0!</v>
      </c>
      <c r="EO20" s="57" t="e">
        <f t="shared" si="34"/>
        <v>#DIV/0!</v>
      </c>
      <c r="EP20" s="41" t="e">
        <f t="shared" si="35"/>
        <v>#DIV/0!</v>
      </c>
    </row>
    <row r="21" spans="2:146" x14ac:dyDescent="0.15">
      <c r="T21" s="2">
        <v>14</v>
      </c>
      <c r="U21" s="2">
        <f>$N$8*SUM(C$11:C$12)/(365/12)*MAX(节奏总纲!D17-$E$2,0)</f>
        <v>0</v>
      </c>
      <c r="V21" s="2">
        <f>$N$8*SUM(D$11:D$12)/(365/12)*MAX(节奏总纲!E17-$E$2,0)</f>
        <v>0</v>
      </c>
      <c r="W21" s="2">
        <f>$N$8*SUM(E$11:E$12)/(365/12)*MAX(节奏总纲!F17-$E$2,0)</f>
        <v>0</v>
      </c>
      <c r="X21" s="2">
        <f>$N$8*SUM(F$11:F$12)/(365/12)*MAX(节奏总纲!G17-$E$2,0)</f>
        <v>0</v>
      </c>
      <c r="Y21" s="2">
        <f>$N$8*SUM(G$11:G$12)/(365/12)*MAX(节奏总纲!H17-$E$2,0)</f>
        <v>0</v>
      </c>
      <c r="Z21" s="2">
        <f>$O$8*SUM(C$11:C$12)/(365/12)*MAX(节奏总纲!D17-$E$2,0)</f>
        <v>0</v>
      </c>
      <c r="AA21" s="2">
        <f>$O$8*SUM(D$11:D$12)/(365/12)*MAX(节奏总纲!E17-$E$2,0)</f>
        <v>0</v>
      </c>
      <c r="AB21" s="2">
        <f>$O$8*SUM(E$11:E$12)/(365/12)*MAX(节奏总纲!F17-$E$2,0)</f>
        <v>0</v>
      </c>
      <c r="AC21" s="2">
        <f>$O$8*SUM(F$11:F$12)/(365/12)*MAX(节奏总纲!G17-$E$2,0)</f>
        <v>0</v>
      </c>
      <c r="AD21" s="2">
        <f>$O$8*SUM(G$11:G$12)/(365/12)*MAX(节奏总纲!H17-$E$2,0)</f>
        <v>0</v>
      </c>
      <c r="AE21" s="2">
        <f>$Q$8*SUM(C$11:C$12)/(365/12)*MAX(节奏总纲!D17-$E$2,0)</f>
        <v>0</v>
      </c>
      <c r="AF21" s="2">
        <f>$Q$8*SUM(D$11:D$12)/(365/12)*MAX(节奏总纲!E17-$E$2,0)</f>
        <v>0</v>
      </c>
      <c r="AG21" s="2">
        <f>$Q$8*SUM(E$11:E$12)/(365/12)*MAX(节奏总纲!F17-$E$2,0)</f>
        <v>0</v>
      </c>
      <c r="AH21" s="2">
        <f>$Q$8*SUM(F$11:F$12)/(365/12)*MAX(节奏总纲!G17-$E$2,0)</f>
        <v>0</v>
      </c>
      <c r="AI21" s="2">
        <f>$Q$8*SUM(G$11:G$12)/(365/12)*MAX(节奏总纲!H17-$E$2,0)</f>
        <v>0</v>
      </c>
      <c r="AJ21" s="2">
        <f>$P$8*SUM(C$11:C$12)/(365/12)*MAX(节奏总纲!D17-$E$2,0)</f>
        <v>0</v>
      </c>
      <c r="AK21" s="2">
        <f>$P$8*SUM(D$11:D$12)/(365/12)*MAX(节奏总纲!E17-$E$2,0)</f>
        <v>0</v>
      </c>
      <c r="AL21" s="2">
        <f>$P$8*SUM(E$11:E$12)/(365/12)*MAX(节奏总纲!F17-$E$2,0)</f>
        <v>0</v>
      </c>
      <c r="AM21" s="2">
        <f>$P$8*SUM(F$11:F$12)/(365/12)*MAX(节奏总纲!G17-$E$2,0)</f>
        <v>0</v>
      </c>
      <c r="AN21" s="2">
        <f>$P$8*SUM(G$11:G$12)/(365/12)*MAX(节奏总纲!H17-$E$2,0)</f>
        <v>0</v>
      </c>
      <c r="AV21" s="2" t="s">
        <v>554</v>
      </c>
      <c r="AW21" s="2">
        <v>3</v>
      </c>
      <c r="AX21" s="2">
        <f>INDEX(道具投放节奏!$K:$K,MATCH(AV21,道具投放节奏!$D:$D,0))*AW21</f>
        <v>300</v>
      </c>
      <c r="AY21" s="2">
        <f>$AW$8*AW21</f>
        <v>210</v>
      </c>
      <c r="BC21" s="2">
        <v>14</v>
      </c>
      <c r="BD21" s="2">
        <f>$AZ$8/(365/12)*MAX(节奏总纲!D17-$E$2,0)</f>
        <v>0</v>
      </c>
      <c r="BE21" s="2">
        <f>$AZ$8/(365/12)*MAX(节奏总纲!E17-$E$2,0)</f>
        <v>0</v>
      </c>
      <c r="BF21" s="2">
        <f>$AZ$8/(365/12)*MAX(节奏总纲!F17-$E$2,0)</f>
        <v>0</v>
      </c>
      <c r="BG21" s="2">
        <f>$AZ$8/(365/12)*MAX(节奏总纲!G17-$E$2,0)</f>
        <v>0</v>
      </c>
      <c r="BH21" s="2">
        <f>$AZ$8/(365/12)*MAX(节奏总纲!H17-$E$2,0)</f>
        <v>0</v>
      </c>
      <c r="BI21" s="2">
        <f>$AY$8/(365/12)*MAX(节奏总纲!D17-$E$2,0)</f>
        <v>0</v>
      </c>
      <c r="BJ21" s="2">
        <f>$AY$8/(365/12)*MAX(节奏总纲!E17-$E$2,0)</f>
        <v>0</v>
      </c>
      <c r="BK21" s="2">
        <f>$AY$8/(365/12)*MAX(节奏总纲!F17-$E$2,0)</f>
        <v>0</v>
      </c>
      <c r="BL21" s="2">
        <f>$AY$8/(365/12)*MAX(节奏总纲!G17-$E$2,0)</f>
        <v>0</v>
      </c>
      <c r="BM21" s="2">
        <f>$AY$8/(365/12)*MAX(节奏总纲!H17-$E$2,0)</f>
        <v>0</v>
      </c>
      <c r="CD21" s="2">
        <v>14</v>
      </c>
      <c r="CE21" s="2">
        <f>INDEX($BY$8:$BY$15,MATCH(CE$7,$CB$8:$CB$15,0))*SUM(C$11:C$12)/(365/12)*MAX(节奏总纲!D17-$E$2,0)</f>
        <v>0</v>
      </c>
      <c r="CF21" s="2">
        <f>INDEX($BY$8:$BY$15,MATCH(CF$7,$CB$8:$CB$15,0))*SUM(D$11:D$12)/(365/12)*MAX(节奏总纲!E17-$E$2,0)</f>
        <v>0</v>
      </c>
      <c r="CG21" s="2">
        <f>INDEX($BY$8:$BY$15,MATCH(CG$7,$CB$8:$CB$15,0))*SUM(E$11:E$12)/(365/12)*MAX(节奏总纲!F17-$E$2,0)</f>
        <v>0</v>
      </c>
      <c r="CH21" s="2">
        <f>INDEX($BY$8:$BY$15,MATCH(CH$7,$CB$8:$CB$15,0))*SUM(F$11:F$12)/(365/12)*MAX(节奏总纲!G17-$E$2,0)</f>
        <v>0</v>
      </c>
      <c r="CI21" s="2">
        <f>INDEX($BY$8:$BY$15,MATCH(CI$7,$CB$8:$CB$15,0))*SUM(G$11:G$12)/(365/12)*MAX(节奏总纲!H17-$E$2,0)</f>
        <v>0</v>
      </c>
      <c r="CJ21" s="2">
        <f>INDEX($BZ$8:$BZ$15,MATCH(CE$7,$CB$8:$CB$15,0))*SUM(C$11:C$12)/(365/12)*MAX(节奏总纲!D17-$E$2,0)</f>
        <v>0</v>
      </c>
      <c r="CK21" s="2">
        <f>INDEX($BZ$8:$BZ$15,MATCH(CF$7,$CB$8:$CB$15,0))*SUM(D$11:D$12)/(365/12)*MAX(节奏总纲!E17-$E$2,0)</f>
        <v>0</v>
      </c>
      <c r="CL21" s="2">
        <f>INDEX($BZ$8:$BZ$15,MATCH(CG$7,$CB$8:$CB$15,0))*SUM(E$11:E$12)/(365/12)*MAX(节奏总纲!F17-$E$2,0)</f>
        <v>0</v>
      </c>
      <c r="CM21" s="2">
        <f>INDEX($BZ$8:$BZ$15,MATCH(CH$7,$CB$8:$CB$15,0))*SUM(F$11:F$12)/(365/12)*MAX(节奏总纲!G17-$E$2,0)</f>
        <v>0</v>
      </c>
      <c r="CN21" s="2">
        <f>INDEX($BZ$8:$BZ$15,MATCH(CI$7,$CB$8:$CB$15,0))*SUM(G$11:G$12)/(365/12)*MAX(节奏总纲!H17-$E$2,0)</f>
        <v>0</v>
      </c>
      <c r="CS21" s="2">
        <v>14</v>
      </c>
      <c r="CT21" s="2">
        <f t="shared" si="1"/>
        <v>0</v>
      </c>
      <c r="CU21" s="2">
        <f t="shared" si="2"/>
        <v>0</v>
      </c>
      <c r="CV21" s="2">
        <f t="shared" si="3"/>
        <v>0</v>
      </c>
      <c r="CW21" s="2">
        <f t="shared" si="4"/>
        <v>0</v>
      </c>
      <c r="CX21" s="2">
        <f t="shared" si="5"/>
        <v>0</v>
      </c>
      <c r="CZ21" s="41" t="e">
        <f t="shared" si="6"/>
        <v>#DIV/0!</v>
      </c>
      <c r="DA21" s="41" t="e">
        <f t="shared" si="7"/>
        <v>#DIV/0!</v>
      </c>
      <c r="DB21" s="41" t="e">
        <f t="shared" si="8"/>
        <v>#DIV/0!</v>
      </c>
      <c r="DD21" s="41" t="e">
        <f t="shared" si="9"/>
        <v>#DIV/0!</v>
      </c>
      <c r="DE21" s="41" t="e">
        <f t="shared" si="10"/>
        <v>#DIV/0!</v>
      </c>
      <c r="DF21" s="41" t="e">
        <f t="shared" si="11"/>
        <v>#DIV/0!</v>
      </c>
      <c r="DH21" s="41" t="e">
        <f t="shared" si="12"/>
        <v>#DIV/0!</v>
      </c>
      <c r="DI21" s="41" t="e">
        <f t="shared" si="13"/>
        <v>#DIV/0!</v>
      </c>
      <c r="DJ21" s="41" t="e">
        <f t="shared" si="14"/>
        <v>#DIV/0!</v>
      </c>
      <c r="DL21" s="2">
        <f>CT21/节奏总纲!D17</f>
        <v>0</v>
      </c>
      <c r="DM21" s="2">
        <f>CU21/节奏总纲!E17</f>
        <v>0</v>
      </c>
      <c r="DN21" s="2">
        <f>CV21/节奏总纲!F17</f>
        <v>0</v>
      </c>
      <c r="DO21" s="2">
        <f>CW21/节奏总纲!G17</f>
        <v>0</v>
      </c>
      <c r="DP21" s="2">
        <f>CX21/节奏总纲!H17</f>
        <v>0</v>
      </c>
      <c r="DR21" s="2" t="e">
        <f t="shared" si="15"/>
        <v>#DIV/0!</v>
      </c>
      <c r="DS21" s="2" t="e">
        <f t="shared" si="16"/>
        <v>#DIV/0!</v>
      </c>
      <c r="DT21" s="2" t="e">
        <f t="shared" si="17"/>
        <v>#DIV/0!</v>
      </c>
      <c r="DU21" s="2" t="e">
        <f t="shared" si="18"/>
        <v>#DIV/0!</v>
      </c>
      <c r="DY21" s="2">
        <v>14</v>
      </c>
      <c r="DZ21" s="2">
        <f t="shared" si="22"/>
        <v>0</v>
      </c>
      <c r="EA21" s="2">
        <f t="shared" si="23"/>
        <v>0</v>
      </c>
      <c r="EB21" s="2">
        <f t="shared" si="24"/>
        <v>0</v>
      </c>
      <c r="EC21" s="2">
        <f t="shared" si="25"/>
        <v>0</v>
      </c>
      <c r="ED21" s="2">
        <f t="shared" si="26"/>
        <v>0</v>
      </c>
      <c r="EF21" s="57" t="e">
        <f t="shared" si="27"/>
        <v>#DIV/0!</v>
      </c>
      <c r="EG21" s="57" t="e">
        <f t="shared" si="28"/>
        <v>#DIV/0!</v>
      </c>
      <c r="EH21" s="41" t="e">
        <f t="shared" si="29"/>
        <v>#DIV/0!</v>
      </c>
      <c r="EJ21" s="57" t="e">
        <f t="shared" si="30"/>
        <v>#DIV/0!</v>
      </c>
      <c r="EK21" s="57" t="e">
        <f t="shared" si="31"/>
        <v>#DIV/0!</v>
      </c>
      <c r="EL21" s="41" t="e">
        <f t="shared" si="32"/>
        <v>#DIV/0!</v>
      </c>
      <c r="EN21" s="57" t="e">
        <f t="shared" si="33"/>
        <v>#DIV/0!</v>
      </c>
      <c r="EO21" s="57" t="e">
        <f t="shared" si="34"/>
        <v>#DIV/0!</v>
      </c>
      <c r="EP21" s="41" t="e">
        <f t="shared" si="35"/>
        <v>#DIV/0!</v>
      </c>
    </row>
    <row r="22" spans="2:146" x14ac:dyDescent="0.15">
      <c r="T22" s="2">
        <v>15</v>
      </c>
      <c r="U22" s="2">
        <f>$N$8*SUM(C$11:C$12)/(365/12)*MAX(节奏总纲!D18-$E$2,0)</f>
        <v>0</v>
      </c>
      <c r="V22" s="2">
        <f>$N$8*SUM(D$11:D$12)/(365/12)*MAX(节奏总纲!E18-$E$2,0)</f>
        <v>0</v>
      </c>
      <c r="W22" s="2">
        <f>$N$8*SUM(E$11:E$12)/(365/12)*MAX(节奏总纲!F18-$E$2,0)</f>
        <v>0</v>
      </c>
      <c r="X22" s="2">
        <f>$N$8*SUM(F$11:F$12)/(365/12)*MAX(节奏总纲!G18-$E$2,0)</f>
        <v>0</v>
      </c>
      <c r="Y22" s="2">
        <f>$N$8*SUM(G$11:G$12)/(365/12)*MAX(节奏总纲!H18-$E$2,0)</f>
        <v>0</v>
      </c>
      <c r="Z22" s="2">
        <f>$O$8*SUM(C$11:C$12)/(365/12)*MAX(节奏总纲!D18-$E$2,0)</f>
        <v>0</v>
      </c>
      <c r="AA22" s="2">
        <f>$O$8*SUM(D$11:D$12)/(365/12)*MAX(节奏总纲!E18-$E$2,0)</f>
        <v>0</v>
      </c>
      <c r="AB22" s="2">
        <f>$O$8*SUM(E$11:E$12)/(365/12)*MAX(节奏总纲!F18-$E$2,0)</f>
        <v>0</v>
      </c>
      <c r="AC22" s="2">
        <f>$O$8*SUM(F$11:F$12)/(365/12)*MAX(节奏总纲!G18-$E$2,0)</f>
        <v>0</v>
      </c>
      <c r="AD22" s="2">
        <f>$O$8*SUM(G$11:G$12)/(365/12)*MAX(节奏总纲!H18-$E$2,0)</f>
        <v>0</v>
      </c>
      <c r="AE22" s="2">
        <f>$Q$8*SUM(C$11:C$12)/(365/12)*MAX(节奏总纲!D18-$E$2,0)</f>
        <v>0</v>
      </c>
      <c r="AF22" s="2">
        <f>$Q$8*SUM(D$11:D$12)/(365/12)*MAX(节奏总纲!E18-$E$2,0)</f>
        <v>0</v>
      </c>
      <c r="AG22" s="2">
        <f>$Q$8*SUM(E$11:E$12)/(365/12)*MAX(节奏总纲!F18-$E$2,0)</f>
        <v>0</v>
      </c>
      <c r="AH22" s="2">
        <f>$Q$8*SUM(F$11:F$12)/(365/12)*MAX(节奏总纲!G18-$E$2,0)</f>
        <v>0</v>
      </c>
      <c r="AI22" s="2">
        <f>$Q$8*SUM(G$11:G$12)/(365/12)*MAX(节奏总纲!H18-$E$2,0)</f>
        <v>0</v>
      </c>
      <c r="AJ22" s="2">
        <f>$P$8*SUM(C$11:C$12)/(365/12)*MAX(节奏总纲!D18-$E$2,0)</f>
        <v>0</v>
      </c>
      <c r="AK22" s="2">
        <f>$P$8*SUM(D$11:D$12)/(365/12)*MAX(节奏总纲!E18-$E$2,0)</f>
        <v>0</v>
      </c>
      <c r="AL22" s="2">
        <f>$P$8*SUM(E$11:E$12)/(365/12)*MAX(节奏总纲!F18-$E$2,0)</f>
        <v>0</v>
      </c>
      <c r="AM22" s="2">
        <f>$P$8*SUM(F$11:F$12)/(365/12)*MAX(节奏总纲!G18-$E$2,0)</f>
        <v>0</v>
      </c>
      <c r="AN22" s="2">
        <f>$P$8*SUM(G$11:G$12)/(365/12)*MAX(节奏总纲!H18-$E$2,0)</f>
        <v>0</v>
      </c>
      <c r="AV22" s="2" t="s">
        <v>555</v>
      </c>
      <c r="AW22" s="2">
        <v>5</v>
      </c>
      <c r="AX22" s="2">
        <f>INDEX(道具投放节奏!$K:$K,MATCH(AV22,道具投放节奏!$D:$D,0))*AW22</f>
        <v>500</v>
      </c>
      <c r="AY22" s="2">
        <f>$AW$8*AW22</f>
        <v>350</v>
      </c>
      <c r="BC22" s="2">
        <v>15</v>
      </c>
      <c r="BD22" s="2">
        <f>$AZ$8/(365/12)*MAX(节奏总纲!D18-$E$2,0)</f>
        <v>0</v>
      </c>
      <c r="BE22" s="2">
        <f>$AZ$8/(365/12)*MAX(节奏总纲!E18-$E$2,0)</f>
        <v>0</v>
      </c>
      <c r="BF22" s="2">
        <f>$AZ$8/(365/12)*MAX(节奏总纲!F18-$E$2,0)</f>
        <v>0</v>
      </c>
      <c r="BG22" s="2">
        <f>$AZ$8/(365/12)*MAX(节奏总纲!G18-$E$2,0)</f>
        <v>0</v>
      </c>
      <c r="BH22" s="2">
        <f>$AZ$8/(365/12)*MAX(节奏总纲!H18-$E$2,0)</f>
        <v>0</v>
      </c>
      <c r="BI22" s="2">
        <f>$AY$8/(365/12)*MAX(节奏总纲!D18-$E$2,0)</f>
        <v>0</v>
      </c>
      <c r="BJ22" s="2">
        <f>$AY$8/(365/12)*MAX(节奏总纲!E18-$E$2,0)</f>
        <v>0</v>
      </c>
      <c r="BK22" s="2">
        <f>$AY$8/(365/12)*MAX(节奏总纲!F18-$E$2,0)</f>
        <v>0</v>
      </c>
      <c r="BL22" s="2">
        <f>$AY$8/(365/12)*MAX(节奏总纲!G18-$E$2,0)</f>
        <v>0</v>
      </c>
      <c r="BM22" s="2">
        <f>$AY$8/(365/12)*MAX(节奏总纲!H18-$E$2,0)</f>
        <v>0</v>
      </c>
      <c r="CD22" s="2">
        <v>15</v>
      </c>
      <c r="CE22" s="2">
        <f>INDEX($BY$8:$BY$15,MATCH(CE$7,$CB$8:$CB$15,0))*SUM(C$11:C$12)/(365/12)*MAX(节奏总纲!D18-$E$2,0)</f>
        <v>0</v>
      </c>
      <c r="CF22" s="2">
        <f>INDEX($BY$8:$BY$15,MATCH(CF$7,$CB$8:$CB$15,0))*SUM(D$11:D$12)/(365/12)*MAX(节奏总纲!E18-$E$2,0)</f>
        <v>0</v>
      </c>
      <c r="CG22" s="2">
        <f>INDEX($BY$8:$BY$15,MATCH(CG$7,$CB$8:$CB$15,0))*SUM(E$11:E$12)/(365/12)*MAX(节奏总纲!F18-$E$2,0)</f>
        <v>0</v>
      </c>
      <c r="CH22" s="2">
        <f>INDEX($BY$8:$BY$15,MATCH(CH$7,$CB$8:$CB$15,0))*SUM(F$11:F$12)/(365/12)*MAX(节奏总纲!G18-$E$2,0)</f>
        <v>0</v>
      </c>
      <c r="CI22" s="2">
        <f>INDEX($BY$8:$BY$15,MATCH(CI$7,$CB$8:$CB$15,0))*SUM(G$11:G$12)/(365/12)*MAX(节奏总纲!H18-$E$2,0)</f>
        <v>0</v>
      </c>
      <c r="CJ22" s="2">
        <f>INDEX($BZ$8:$BZ$15,MATCH(CE$7,$CB$8:$CB$15,0))*SUM(C$11:C$12)/(365/12)*MAX(节奏总纲!D18-$E$2,0)</f>
        <v>0</v>
      </c>
      <c r="CK22" s="2">
        <f>INDEX($BZ$8:$BZ$15,MATCH(CF$7,$CB$8:$CB$15,0))*SUM(D$11:D$12)/(365/12)*MAX(节奏总纲!E18-$E$2,0)</f>
        <v>0</v>
      </c>
      <c r="CL22" s="2">
        <f>INDEX($BZ$8:$BZ$15,MATCH(CG$7,$CB$8:$CB$15,0))*SUM(E$11:E$12)/(365/12)*MAX(节奏总纲!F18-$E$2,0)</f>
        <v>0</v>
      </c>
      <c r="CM22" s="2">
        <f>INDEX($BZ$8:$BZ$15,MATCH(CH$7,$CB$8:$CB$15,0))*SUM(F$11:F$12)/(365/12)*MAX(节奏总纲!G18-$E$2,0)</f>
        <v>0</v>
      </c>
      <c r="CN22" s="2">
        <f>INDEX($BZ$8:$BZ$15,MATCH(CI$7,$CB$8:$CB$15,0))*SUM(G$11:G$12)/(365/12)*MAX(节奏总纲!H18-$E$2,0)</f>
        <v>0</v>
      </c>
      <c r="CS22" s="2">
        <v>15</v>
      </c>
      <c r="CT22" s="2">
        <f t="shared" si="1"/>
        <v>0</v>
      </c>
      <c r="CU22" s="2">
        <f t="shared" si="2"/>
        <v>0</v>
      </c>
      <c r="CV22" s="2">
        <f t="shared" si="3"/>
        <v>0</v>
      </c>
      <c r="CW22" s="2">
        <f t="shared" si="4"/>
        <v>0</v>
      </c>
      <c r="CX22" s="2">
        <f t="shared" si="5"/>
        <v>0</v>
      </c>
      <c r="CZ22" s="41" t="e">
        <f t="shared" si="6"/>
        <v>#DIV/0!</v>
      </c>
      <c r="DA22" s="41" t="e">
        <f t="shared" si="7"/>
        <v>#DIV/0!</v>
      </c>
      <c r="DB22" s="41" t="e">
        <f t="shared" si="8"/>
        <v>#DIV/0!</v>
      </c>
      <c r="DD22" s="41" t="e">
        <f t="shared" si="9"/>
        <v>#DIV/0!</v>
      </c>
      <c r="DE22" s="41" t="e">
        <f t="shared" si="10"/>
        <v>#DIV/0!</v>
      </c>
      <c r="DF22" s="41" t="e">
        <f t="shared" si="11"/>
        <v>#DIV/0!</v>
      </c>
      <c r="DH22" s="41" t="e">
        <f t="shared" si="12"/>
        <v>#DIV/0!</v>
      </c>
      <c r="DI22" s="41" t="e">
        <f t="shared" si="13"/>
        <v>#DIV/0!</v>
      </c>
      <c r="DJ22" s="41" t="e">
        <f t="shared" si="14"/>
        <v>#DIV/0!</v>
      </c>
      <c r="DL22" s="2">
        <f>CT22/节奏总纲!D18</f>
        <v>0</v>
      </c>
      <c r="DM22" s="2">
        <f>CU22/节奏总纲!E18</f>
        <v>0</v>
      </c>
      <c r="DN22" s="2">
        <f>CV22/节奏总纲!F18</f>
        <v>0</v>
      </c>
      <c r="DO22" s="2">
        <f>CW22/节奏总纲!G18</f>
        <v>0</v>
      </c>
      <c r="DP22" s="2">
        <f>CX22/节奏总纲!H18</f>
        <v>0</v>
      </c>
      <c r="DR22" s="2" t="e">
        <f t="shared" si="15"/>
        <v>#DIV/0!</v>
      </c>
      <c r="DS22" s="2" t="e">
        <f t="shared" si="16"/>
        <v>#DIV/0!</v>
      </c>
      <c r="DT22" s="2" t="e">
        <f t="shared" si="17"/>
        <v>#DIV/0!</v>
      </c>
      <c r="DU22" s="2" t="e">
        <f t="shared" si="18"/>
        <v>#DIV/0!</v>
      </c>
      <c r="DY22" s="2">
        <v>15</v>
      </c>
      <c r="DZ22" s="2">
        <f t="shared" si="22"/>
        <v>0</v>
      </c>
      <c r="EA22" s="2">
        <f t="shared" si="23"/>
        <v>0</v>
      </c>
      <c r="EB22" s="2">
        <f t="shared" si="24"/>
        <v>0</v>
      </c>
      <c r="EC22" s="2">
        <f t="shared" si="25"/>
        <v>0</v>
      </c>
      <c r="ED22" s="2">
        <f t="shared" si="26"/>
        <v>0</v>
      </c>
      <c r="EF22" s="57" t="e">
        <f t="shared" si="27"/>
        <v>#DIV/0!</v>
      </c>
      <c r="EG22" s="57" t="e">
        <f t="shared" si="28"/>
        <v>#DIV/0!</v>
      </c>
      <c r="EH22" s="41" t="e">
        <f t="shared" si="29"/>
        <v>#DIV/0!</v>
      </c>
      <c r="EJ22" s="57" t="e">
        <f t="shared" si="30"/>
        <v>#DIV/0!</v>
      </c>
      <c r="EK22" s="57" t="e">
        <f t="shared" si="31"/>
        <v>#DIV/0!</v>
      </c>
      <c r="EL22" s="41" t="e">
        <f t="shared" si="32"/>
        <v>#DIV/0!</v>
      </c>
      <c r="EN22" s="57" t="e">
        <f t="shared" si="33"/>
        <v>#DIV/0!</v>
      </c>
      <c r="EO22" s="57" t="e">
        <f t="shared" si="34"/>
        <v>#DIV/0!</v>
      </c>
      <c r="EP22" s="41" t="e">
        <f t="shared" si="35"/>
        <v>#DIV/0!</v>
      </c>
    </row>
    <row r="23" spans="2:146" x14ac:dyDescent="0.15">
      <c r="T23" s="2">
        <v>16</v>
      </c>
      <c r="U23" s="2">
        <f>$N$8*SUM(C$11:C$12)/(365/12)*MAX(节奏总纲!D19-$E$2,0)</f>
        <v>0</v>
      </c>
      <c r="V23" s="2">
        <f>$N$8*SUM(D$11:D$12)/(365/12)*MAX(节奏总纲!E19-$E$2,0)</f>
        <v>0</v>
      </c>
      <c r="W23" s="2">
        <f>$N$8*SUM(E$11:E$12)/(365/12)*MAX(节奏总纲!F19-$E$2,0)</f>
        <v>0</v>
      </c>
      <c r="X23" s="2">
        <f>$N$8*SUM(F$11:F$12)/(365/12)*MAX(节奏总纲!G19-$E$2,0)</f>
        <v>0</v>
      </c>
      <c r="Y23" s="2">
        <f>$N$8*SUM(G$11:G$12)/(365/12)*MAX(节奏总纲!H19-$E$2,0)</f>
        <v>0</v>
      </c>
      <c r="Z23" s="2">
        <f>$O$8*SUM(C$11:C$12)/(365/12)*MAX(节奏总纲!D19-$E$2,0)</f>
        <v>0</v>
      </c>
      <c r="AA23" s="2">
        <f>$O$8*SUM(D$11:D$12)/(365/12)*MAX(节奏总纲!E19-$E$2,0)</f>
        <v>0</v>
      </c>
      <c r="AB23" s="2">
        <f>$O$8*SUM(E$11:E$12)/(365/12)*MAX(节奏总纲!F19-$E$2,0)</f>
        <v>0</v>
      </c>
      <c r="AC23" s="2">
        <f>$O$8*SUM(F$11:F$12)/(365/12)*MAX(节奏总纲!G19-$E$2,0)</f>
        <v>0</v>
      </c>
      <c r="AD23" s="2">
        <f>$O$8*SUM(G$11:G$12)/(365/12)*MAX(节奏总纲!H19-$E$2,0)</f>
        <v>0</v>
      </c>
      <c r="AE23" s="2">
        <f>$Q$8*SUM(C$11:C$12)/(365/12)*MAX(节奏总纲!D19-$E$2,0)</f>
        <v>0</v>
      </c>
      <c r="AF23" s="2">
        <f>$Q$8*SUM(D$11:D$12)/(365/12)*MAX(节奏总纲!E19-$E$2,0)</f>
        <v>0</v>
      </c>
      <c r="AG23" s="2">
        <f>$Q$8*SUM(E$11:E$12)/(365/12)*MAX(节奏总纲!F19-$E$2,0)</f>
        <v>0</v>
      </c>
      <c r="AH23" s="2">
        <f>$Q$8*SUM(F$11:F$12)/(365/12)*MAX(节奏总纲!G19-$E$2,0)</f>
        <v>0</v>
      </c>
      <c r="AI23" s="2">
        <f>$Q$8*SUM(G$11:G$12)/(365/12)*MAX(节奏总纲!H19-$E$2,0)</f>
        <v>0</v>
      </c>
      <c r="AJ23" s="2">
        <f>$P$8*SUM(C$11:C$12)/(365/12)*MAX(节奏总纲!D19-$E$2,0)</f>
        <v>0</v>
      </c>
      <c r="AK23" s="2">
        <f>$P$8*SUM(D$11:D$12)/(365/12)*MAX(节奏总纲!E19-$E$2,0)</f>
        <v>0</v>
      </c>
      <c r="AL23" s="2">
        <f>$P$8*SUM(E$11:E$12)/(365/12)*MAX(节奏总纲!F19-$E$2,0)</f>
        <v>0</v>
      </c>
      <c r="AM23" s="2">
        <f>$P$8*SUM(F$11:F$12)/(365/12)*MAX(节奏总纲!G19-$E$2,0)</f>
        <v>0</v>
      </c>
      <c r="AN23" s="2">
        <f>$P$8*SUM(G$11:G$12)/(365/12)*MAX(节奏总纲!H19-$E$2,0)</f>
        <v>0</v>
      </c>
      <c r="BC23" s="2">
        <v>16</v>
      </c>
      <c r="BD23" s="2">
        <f>$AZ$8/(365/12)*MAX(节奏总纲!D19-$E$2,0)</f>
        <v>0</v>
      </c>
      <c r="BE23" s="2">
        <f>$AZ$8/(365/12)*MAX(节奏总纲!E19-$E$2,0)</f>
        <v>0</v>
      </c>
      <c r="BF23" s="2">
        <f>$AZ$8/(365/12)*MAX(节奏总纲!F19-$E$2,0)</f>
        <v>0</v>
      </c>
      <c r="BG23" s="2">
        <f>$AZ$8/(365/12)*MAX(节奏总纲!G19-$E$2,0)</f>
        <v>0</v>
      </c>
      <c r="BH23" s="2">
        <f>$AZ$8/(365/12)*MAX(节奏总纲!H19-$E$2,0)</f>
        <v>0</v>
      </c>
      <c r="BI23" s="2">
        <f>$AY$8/(365/12)*MAX(节奏总纲!D19-$E$2,0)</f>
        <v>0</v>
      </c>
      <c r="BJ23" s="2">
        <f>$AY$8/(365/12)*MAX(节奏总纲!E19-$E$2,0)</f>
        <v>0</v>
      </c>
      <c r="BK23" s="2">
        <f>$AY$8/(365/12)*MAX(节奏总纲!F19-$E$2,0)</f>
        <v>0</v>
      </c>
      <c r="BL23" s="2">
        <f>$AY$8/(365/12)*MAX(节奏总纲!G19-$E$2,0)</f>
        <v>0</v>
      </c>
      <c r="BM23" s="2">
        <f>$AY$8/(365/12)*MAX(节奏总纲!H19-$E$2,0)</f>
        <v>0</v>
      </c>
      <c r="CD23" s="2">
        <v>16</v>
      </c>
      <c r="CE23" s="2">
        <f>INDEX($BY$8:$BY$15,MATCH(CE$7,$CB$8:$CB$15,0))*SUM(C$11:C$12)/(365/12)*MAX(节奏总纲!D19-$E$2,0)</f>
        <v>0</v>
      </c>
      <c r="CF23" s="2">
        <f>INDEX($BY$8:$BY$15,MATCH(CF$7,$CB$8:$CB$15,0))*SUM(D$11:D$12)/(365/12)*MAX(节奏总纲!E19-$E$2,0)</f>
        <v>0</v>
      </c>
      <c r="CG23" s="2">
        <f>INDEX($BY$8:$BY$15,MATCH(CG$7,$CB$8:$CB$15,0))*SUM(E$11:E$12)/(365/12)*MAX(节奏总纲!F19-$E$2,0)</f>
        <v>0</v>
      </c>
      <c r="CH23" s="2">
        <f>INDEX($BY$8:$BY$15,MATCH(CH$7,$CB$8:$CB$15,0))*SUM(F$11:F$12)/(365/12)*MAX(节奏总纲!G19-$E$2,0)</f>
        <v>0</v>
      </c>
      <c r="CI23" s="2">
        <f>INDEX($BY$8:$BY$15,MATCH(CI$7,$CB$8:$CB$15,0))*SUM(G$11:G$12)/(365/12)*MAX(节奏总纲!H19-$E$2,0)</f>
        <v>0</v>
      </c>
      <c r="CJ23" s="2">
        <f>INDEX($BZ$8:$BZ$15,MATCH(CE$7,$CB$8:$CB$15,0))*SUM(C$11:C$12)/(365/12)*MAX(节奏总纲!D19-$E$2,0)</f>
        <v>0</v>
      </c>
      <c r="CK23" s="2">
        <f>INDEX($BZ$8:$BZ$15,MATCH(CF$7,$CB$8:$CB$15,0))*SUM(D$11:D$12)/(365/12)*MAX(节奏总纲!E19-$E$2,0)</f>
        <v>0</v>
      </c>
      <c r="CL23" s="2">
        <f>INDEX($BZ$8:$BZ$15,MATCH(CG$7,$CB$8:$CB$15,0))*SUM(E$11:E$12)/(365/12)*MAX(节奏总纲!F19-$E$2,0)</f>
        <v>0</v>
      </c>
      <c r="CM23" s="2">
        <f>INDEX($BZ$8:$BZ$15,MATCH(CH$7,$CB$8:$CB$15,0))*SUM(F$11:F$12)/(365/12)*MAX(节奏总纲!G19-$E$2,0)</f>
        <v>0</v>
      </c>
      <c r="CN23" s="2">
        <f>INDEX($BZ$8:$BZ$15,MATCH(CI$7,$CB$8:$CB$15,0))*SUM(G$11:G$12)/(365/12)*MAX(节奏总纲!H19-$E$2,0)</f>
        <v>0</v>
      </c>
      <c r="CS23" s="2">
        <v>16</v>
      </c>
      <c r="CT23" s="2">
        <f t="shared" si="1"/>
        <v>0</v>
      </c>
      <c r="CU23" s="2">
        <f t="shared" si="2"/>
        <v>0</v>
      </c>
      <c r="CV23" s="2">
        <f t="shared" si="3"/>
        <v>0</v>
      </c>
      <c r="CW23" s="2">
        <f t="shared" si="4"/>
        <v>0</v>
      </c>
      <c r="CX23" s="2">
        <f t="shared" si="5"/>
        <v>0</v>
      </c>
      <c r="CZ23" s="41" t="e">
        <f t="shared" si="6"/>
        <v>#DIV/0!</v>
      </c>
      <c r="DA23" s="41" t="e">
        <f t="shared" si="7"/>
        <v>#DIV/0!</v>
      </c>
      <c r="DB23" s="41" t="e">
        <f t="shared" si="8"/>
        <v>#DIV/0!</v>
      </c>
      <c r="DD23" s="41" t="e">
        <f t="shared" si="9"/>
        <v>#DIV/0!</v>
      </c>
      <c r="DE23" s="41" t="e">
        <f t="shared" si="10"/>
        <v>#DIV/0!</v>
      </c>
      <c r="DF23" s="41" t="e">
        <f t="shared" si="11"/>
        <v>#DIV/0!</v>
      </c>
      <c r="DH23" s="41" t="e">
        <f t="shared" si="12"/>
        <v>#DIV/0!</v>
      </c>
      <c r="DI23" s="41" t="e">
        <f t="shared" si="13"/>
        <v>#DIV/0!</v>
      </c>
      <c r="DJ23" s="41" t="e">
        <f t="shared" si="14"/>
        <v>#DIV/0!</v>
      </c>
      <c r="DL23" s="2">
        <f>CT23/节奏总纲!D19</f>
        <v>0</v>
      </c>
      <c r="DM23" s="2">
        <f>CU23/节奏总纲!E19</f>
        <v>0</v>
      </c>
      <c r="DN23" s="2">
        <f>CV23/节奏总纲!F19</f>
        <v>0</v>
      </c>
      <c r="DO23" s="2">
        <f>CW23/节奏总纲!G19</f>
        <v>0</v>
      </c>
      <c r="DP23" s="2">
        <f>CX23/节奏总纲!H19</f>
        <v>0</v>
      </c>
      <c r="DR23" s="2" t="e">
        <f t="shared" si="15"/>
        <v>#DIV/0!</v>
      </c>
      <c r="DS23" s="2" t="e">
        <f t="shared" si="16"/>
        <v>#DIV/0!</v>
      </c>
      <c r="DT23" s="2" t="e">
        <f t="shared" si="17"/>
        <v>#DIV/0!</v>
      </c>
      <c r="DU23" s="2" t="e">
        <f t="shared" si="18"/>
        <v>#DIV/0!</v>
      </c>
      <c r="DY23" s="2">
        <v>16</v>
      </c>
      <c r="DZ23" s="2">
        <f t="shared" si="22"/>
        <v>0</v>
      </c>
      <c r="EA23" s="2">
        <f t="shared" si="23"/>
        <v>0</v>
      </c>
      <c r="EB23" s="2">
        <f t="shared" si="24"/>
        <v>0</v>
      </c>
      <c r="EC23" s="2">
        <f t="shared" si="25"/>
        <v>0</v>
      </c>
      <c r="ED23" s="2">
        <f t="shared" si="26"/>
        <v>0</v>
      </c>
      <c r="EF23" s="57" t="e">
        <f t="shared" si="27"/>
        <v>#DIV/0!</v>
      </c>
      <c r="EG23" s="57" t="e">
        <f t="shared" si="28"/>
        <v>#DIV/0!</v>
      </c>
      <c r="EH23" s="41" t="e">
        <f t="shared" si="29"/>
        <v>#DIV/0!</v>
      </c>
      <c r="EJ23" s="57" t="e">
        <f t="shared" si="30"/>
        <v>#DIV/0!</v>
      </c>
      <c r="EK23" s="57" t="e">
        <f t="shared" si="31"/>
        <v>#DIV/0!</v>
      </c>
      <c r="EL23" s="41" t="e">
        <f t="shared" si="32"/>
        <v>#DIV/0!</v>
      </c>
      <c r="EN23" s="57" t="e">
        <f t="shared" si="33"/>
        <v>#DIV/0!</v>
      </c>
      <c r="EO23" s="57" t="e">
        <f t="shared" si="34"/>
        <v>#DIV/0!</v>
      </c>
      <c r="EP23" s="41" t="e">
        <f t="shared" si="35"/>
        <v>#DIV/0!</v>
      </c>
    </row>
    <row r="24" spans="2:146" x14ac:dyDescent="0.15">
      <c r="T24" s="2">
        <v>17</v>
      </c>
      <c r="U24" s="2">
        <f>$N$8*SUM(C$11:C$12)/(365/12)*MAX(节奏总纲!D20-$E$2,0)</f>
        <v>0</v>
      </c>
      <c r="V24" s="2">
        <f>$N$8*SUM(D$11:D$12)/(365/12)*MAX(节奏总纲!E20-$E$2,0)</f>
        <v>0</v>
      </c>
      <c r="W24" s="2">
        <f>$N$8*SUM(E$11:E$12)/(365/12)*MAX(节奏总纲!F20-$E$2,0)</f>
        <v>0</v>
      </c>
      <c r="X24" s="2">
        <f>$N$8*SUM(F$11:F$12)/(365/12)*MAX(节奏总纲!G20-$E$2,0)</f>
        <v>0</v>
      </c>
      <c r="Y24" s="2">
        <f>$N$8*SUM(G$11:G$12)/(365/12)*MAX(节奏总纲!H20-$E$2,0)</f>
        <v>0</v>
      </c>
      <c r="Z24" s="2">
        <f>$O$8*SUM(C$11:C$12)/(365/12)*MAX(节奏总纲!D20-$E$2,0)</f>
        <v>0</v>
      </c>
      <c r="AA24" s="2">
        <f>$O$8*SUM(D$11:D$12)/(365/12)*MAX(节奏总纲!E20-$E$2,0)</f>
        <v>0</v>
      </c>
      <c r="AB24" s="2">
        <f>$O$8*SUM(E$11:E$12)/(365/12)*MAX(节奏总纲!F20-$E$2,0)</f>
        <v>0</v>
      </c>
      <c r="AC24" s="2">
        <f>$O$8*SUM(F$11:F$12)/(365/12)*MAX(节奏总纲!G20-$E$2,0)</f>
        <v>0</v>
      </c>
      <c r="AD24" s="2">
        <f>$O$8*SUM(G$11:G$12)/(365/12)*MAX(节奏总纲!H20-$E$2,0)</f>
        <v>0</v>
      </c>
      <c r="AE24" s="2">
        <f>$Q$8*SUM(C$11:C$12)/(365/12)*MAX(节奏总纲!D20-$E$2,0)</f>
        <v>0</v>
      </c>
      <c r="AF24" s="2">
        <f>$Q$8*SUM(D$11:D$12)/(365/12)*MAX(节奏总纲!E20-$E$2,0)</f>
        <v>0</v>
      </c>
      <c r="AG24" s="2">
        <f>$Q$8*SUM(E$11:E$12)/(365/12)*MAX(节奏总纲!F20-$E$2,0)</f>
        <v>0</v>
      </c>
      <c r="AH24" s="2">
        <f>$Q$8*SUM(F$11:F$12)/(365/12)*MAX(节奏总纲!G20-$E$2,0)</f>
        <v>0</v>
      </c>
      <c r="AI24" s="2">
        <f>$Q$8*SUM(G$11:G$12)/(365/12)*MAX(节奏总纲!H20-$E$2,0)</f>
        <v>0</v>
      </c>
      <c r="AJ24" s="2">
        <f>$P$8*SUM(C$11:C$12)/(365/12)*MAX(节奏总纲!D20-$E$2,0)</f>
        <v>0</v>
      </c>
      <c r="AK24" s="2">
        <f>$P$8*SUM(D$11:D$12)/(365/12)*MAX(节奏总纲!E20-$E$2,0)</f>
        <v>0</v>
      </c>
      <c r="AL24" s="2">
        <f>$P$8*SUM(E$11:E$12)/(365/12)*MAX(节奏总纲!F20-$E$2,0)</f>
        <v>0</v>
      </c>
      <c r="AM24" s="2">
        <f>$P$8*SUM(F$11:F$12)/(365/12)*MAX(节奏总纲!G20-$E$2,0)</f>
        <v>0</v>
      </c>
      <c r="AN24" s="2">
        <f>$P$8*SUM(G$11:G$12)/(365/12)*MAX(节奏总纲!H20-$E$2,0)</f>
        <v>0</v>
      </c>
      <c r="BC24" s="2">
        <v>17</v>
      </c>
      <c r="BD24" s="2">
        <f>$AZ$8/(365/12)*MAX(节奏总纲!D20-$E$2,0)</f>
        <v>0</v>
      </c>
      <c r="BE24" s="2">
        <f>$AZ$8/(365/12)*MAX(节奏总纲!E20-$E$2,0)</f>
        <v>0</v>
      </c>
      <c r="BF24" s="2">
        <f>$AZ$8/(365/12)*MAX(节奏总纲!F20-$E$2,0)</f>
        <v>0</v>
      </c>
      <c r="BG24" s="2">
        <f>$AZ$8/(365/12)*MAX(节奏总纲!G20-$E$2,0)</f>
        <v>0</v>
      </c>
      <c r="BH24" s="2">
        <f>$AZ$8/(365/12)*MAX(节奏总纲!H20-$E$2,0)</f>
        <v>0</v>
      </c>
      <c r="BI24" s="2">
        <f>$AY$8/(365/12)*MAX(节奏总纲!D20-$E$2,0)</f>
        <v>0</v>
      </c>
      <c r="BJ24" s="2">
        <f>$AY$8/(365/12)*MAX(节奏总纲!E20-$E$2,0)</f>
        <v>0</v>
      </c>
      <c r="BK24" s="2">
        <f>$AY$8/(365/12)*MAX(节奏总纲!F20-$E$2,0)</f>
        <v>0</v>
      </c>
      <c r="BL24" s="2">
        <f>$AY$8/(365/12)*MAX(节奏总纲!G20-$E$2,0)</f>
        <v>0</v>
      </c>
      <c r="BM24" s="2">
        <f>$AY$8/(365/12)*MAX(节奏总纲!H20-$E$2,0)</f>
        <v>0</v>
      </c>
      <c r="CD24" s="2">
        <v>17</v>
      </c>
      <c r="CE24" s="2">
        <f>INDEX($BY$8:$BY$15,MATCH(CE$7,$CB$8:$CB$15,0))*SUM(C$11:C$12)/(365/12)*MAX(节奏总纲!D20-$E$2,0)</f>
        <v>0</v>
      </c>
      <c r="CF24" s="2">
        <f>INDEX($BY$8:$BY$15,MATCH(CF$7,$CB$8:$CB$15,0))*SUM(D$11:D$12)/(365/12)*MAX(节奏总纲!E20-$E$2,0)</f>
        <v>0</v>
      </c>
      <c r="CG24" s="2">
        <f>INDEX($BY$8:$BY$15,MATCH(CG$7,$CB$8:$CB$15,0))*SUM(E$11:E$12)/(365/12)*MAX(节奏总纲!F20-$E$2,0)</f>
        <v>0</v>
      </c>
      <c r="CH24" s="2">
        <f>INDEX($BY$8:$BY$15,MATCH(CH$7,$CB$8:$CB$15,0))*SUM(F$11:F$12)/(365/12)*MAX(节奏总纲!G20-$E$2,0)</f>
        <v>0</v>
      </c>
      <c r="CI24" s="2">
        <f>INDEX($BY$8:$BY$15,MATCH(CI$7,$CB$8:$CB$15,0))*SUM(G$11:G$12)/(365/12)*MAX(节奏总纲!H20-$E$2,0)</f>
        <v>0</v>
      </c>
      <c r="CJ24" s="2">
        <f>INDEX($BZ$8:$BZ$15,MATCH(CE$7,$CB$8:$CB$15,0))*SUM(C$11:C$12)/(365/12)*MAX(节奏总纲!D20-$E$2,0)</f>
        <v>0</v>
      </c>
      <c r="CK24" s="2">
        <f>INDEX($BZ$8:$BZ$15,MATCH(CF$7,$CB$8:$CB$15,0))*SUM(D$11:D$12)/(365/12)*MAX(节奏总纲!E20-$E$2,0)</f>
        <v>0</v>
      </c>
      <c r="CL24" s="2">
        <f>INDEX($BZ$8:$BZ$15,MATCH(CG$7,$CB$8:$CB$15,0))*SUM(E$11:E$12)/(365/12)*MAX(节奏总纲!F20-$E$2,0)</f>
        <v>0</v>
      </c>
      <c r="CM24" s="2">
        <f>INDEX($BZ$8:$BZ$15,MATCH(CH$7,$CB$8:$CB$15,0))*SUM(F$11:F$12)/(365/12)*MAX(节奏总纲!G20-$E$2,0)</f>
        <v>0</v>
      </c>
      <c r="CN24" s="2">
        <f>INDEX($BZ$8:$BZ$15,MATCH(CI$7,$CB$8:$CB$15,0))*SUM(G$11:G$12)/(365/12)*MAX(节奏总纲!H20-$E$2,0)</f>
        <v>0</v>
      </c>
      <c r="CS24" s="2">
        <v>17</v>
      </c>
      <c r="CT24" s="2">
        <f t="shared" si="1"/>
        <v>0</v>
      </c>
      <c r="CU24" s="2">
        <f t="shared" si="2"/>
        <v>0</v>
      </c>
      <c r="CV24" s="2">
        <f t="shared" si="3"/>
        <v>0</v>
      </c>
      <c r="CW24" s="2">
        <f t="shared" si="4"/>
        <v>0</v>
      </c>
      <c r="CX24" s="2">
        <f t="shared" si="5"/>
        <v>0</v>
      </c>
      <c r="CZ24" s="41" t="e">
        <f t="shared" si="6"/>
        <v>#DIV/0!</v>
      </c>
      <c r="DA24" s="41" t="e">
        <f t="shared" si="7"/>
        <v>#DIV/0!</v>
      </c>
      <c r="DB24" s="41" t="e">
        <f t="shared" si="8"/>
        <v>#DIV/0!</v>
      </c>
      <c r="DD24" s="41" t="e">
        <f t="shared" si="9"/>
        <v>#DIV/0!</v>
      </c>
      <c r="DE24" s="41" t="e">
        <f t="shared" si="10"/>
        <v>#DIV/0!</v>
      </c>
      <c r="DF24" s="41" t="e">
        <f t="shared" si="11"/>
        <v>#DIV/0!</v>
      </c>
      <c r="DH24" s="41" t="e">
        <f t="shared" si="12"/>
        <v>#DIV/0!</v>
      </c>
      <c r="DI24" s="41" t="e">
        <f t="shared" si="13"/>
        <v>#DIV/0!</v>
      </c>
      <c r="DJ24" s="41" t="e">
        <f t="shared" si="14"/>
        <v>#DIV/0!</v>
      </c>
      <c r="DL24" s="2">
        <f>CT24/节奏总纲!D20</f>
        <v>0</v>
      </c>
      <c r="DM24" s="2">
        <f>CU24/节奏总纲!E20</f>
        <v>0</v>
      </c>
      <c r="DN24" s="2">
        <f>CV24/节奏总纲!F20</f>
        <v>0</v>
      </c>
      <c r="DO24" s="2">
        <f>CW24/节奏总纲!G20</f>
        <v>0</v>
      </c>
      <c r="DP24" s="2">
        <f>CX24/节奏总纲!H20</f>
        <v>0</v>
      </c>
      <c r="DR24" s="2" t="e">
        <f t="shared" si="15"/>
        <v>#DIV/0!</v>
      </c>
      <c r="DS24" s="2" t="e">
        <f t="shared" si="16"/>
        <v>#DIV/0!</v>
      </c>
      <c r="DT24" s="2" t="e">
        <f t="shared" si="17"/>
        <v>#DIV/0!</v>
      </c>
      <c r="DU24" s="2" t="e">
        <f t="shared" si="18"/>
        <v>#DIV/0!</v>
      </c>
      <c r="DY24" s="2">
        <v>17</v>
      </c>
      <c r="DZ24" s="2">
        <f t="shared" si="22"/>
        <v>0</v>
      </c>
      <c r="EA24" s="2">
        <f t="shared" si="23"/>
        <v>0</v>
      </c>
      <c r="EB24" s="2">
        <f t="shared" si="24"/>
        <v>0</v>
      </c>
      <c r="EC24" s="2">
        <f t="shared" si="25"/>
        <v>0</v>
      </c>
      <c r="ED24" s="2">
        <f t="shared" si="26"/>
        <v>0</v>
      </c>
      <c r="EF24" s="57" t="e">
        <f t="shared" si="27"/>
        <v>#DIV/0!</v>
      </c>
      <c r="EG24" s="57" t="e">
        <f t="shared" si="28"/>
        <v>#DIV/0!</v>
      </c>
      <c r="EH24" s="41" t="e">
        <f t="shared" si="29"/>
        <v>#DIV/0!</v>
      </c>
      <c r="EJ24" s="57" t="e">
        <f t="shared" si="30"/>
        <v>#DIV/0!</v>
      </c>
      <c r="EK24" s="57" t="e">
        <f t="shared" si="31"/>
        <v>#DIV/0!</v>
      </c>
      <c r="EL24" s="41" t="e">
        <f t="shared" si="32"/>
        <v>#DIV/0!</v>
      </c>
      <c r="EN24" s="57" t="e">
        <f t="shared" si="33"/>
        <v>#DIV/0!</v>
      </c>
      <c r="EO24" s="57" t="e">
        <f t="shared" si="34"/>
        <v>#DIV/0!</v>
      </c>
      <c r="EP24" s="41" t="e">
        <f t="shared" si="35"/>
        <v>#DIV/0!</v>
      </c>
    </row>
    <row r="25" spans="2:146" x14ac:dyDescent="0.15">
      <c r="T25" s="2">
        <v>18</v>
      </c>
      <c r="U25" s="2">
        <f>$N$8*SUM(C$11:C$12)/(365/12)*MAX(节奏总纲!D21-$E$2,0)</f>
        <v>0</v>
      </c>
      <c r="V25" s="2">
        <f>$N$8*SUM(D$11:D$12)/(365/12)*MAX(节奏总纲!E21-$E$2,0)</f>
        <v>0</v>
      </c>
      <c r="W25" s="2">
        <f>$N$8*SUM(E$11:E$12)/(365/12)*MAX(节奏总纲!F21-$E$2,0)</f>
        <v>0</v>
      </c>
      <c r="X25" s="2">
        <f>$N$8*SUM(F$11:F$12)/(365/12)*MAX(节奏总纲!G21-$E$2,0)</f>
        <v>0</v>
      </c>
      <c r="Y25" s="2">
        <f>$N$8*SUM(G$11:G$12)/(365/12)*MAX(节奏总纲!H21-$E$2,0)</f>
        <v>0</v>
      </c>
      <c r="Z25" s="2">
        <f>$O$8*SUM(C$11:C$12)/(365/12)*MAX(节奏总纲!D21-$E$2,0)</f>
        <v>0</v>
      </c>
      <c r="AA25" s="2">
        <f>$O$8*SUM(D$11:D$12)/(365/12)*MAX(节奏总纲!E21-$E$2,0)</f>
        <v>0</v>
      </c>
      <c r="AB25" s="2">
        <f>$O$8*SUM(E$11:E$12)/(365/12)*MAX(节奏总纲!F21-$E$2,0)</f>
        <v>0</v>
      </c>
      <c r="AC25" s="2">
        <f>$O$8*SUM(F$11:F$12)/(365/12)*MAX(节奏总纲!G21-$E$2,0)</f>
        <v>0</v>
      </c>
      <c r="AD25" s="2">
        <f>$O$8*SUM(G$11:G$12)/(365/12)*MAX(节奏总纲!H21-$E$2,0)</f>
        <v>0</v>
      </c>
      <c r="AE25" s="2">
        <f>$Q$8*SUM(C$11:C$12)/(365/12)*MAX(节奏总纲!D21-$E$2,0)</f>
        <v>0</v>
      </c>
      <c r="AF25" s="2">
        <f>$Q$8*SUM(D$11:D$12)/(365/12)*MAX(节奏总纲!E21-$E$2,0)</f>
        <v>0</v>
      </c>
      <c r="AG25" s="2">
        <f>$Q$8*SUM(E$11:E$12)/(365/12)*MAX(节奏总纲!F21-$E$2,0)</f>
        <v>0</v>
      </c>
      <c r="AH25" s="2">
        <f>$Q$8*SUM(F$11:F$12)/(365/12)*MAX(节奏总纲!G21-$E$2,0)</f>
        <v>0</v>
      </c>
      <c r="AI25" s="2">
        <f>$Q$8*SUM(G$11:G$12)/(365/12)*MAX(节奏总纲!H21-$E$2,0)</f>
        <v>0</v>
      </c>
      <c r="AJ25" s="2">
        <f>$P$8*SUM(C$11:C$12)/(365/12)*MAX(节奏总纲!D21-$E$2,0)</f>
        <v>0</v>
      </c>
      <c r="AK25" s="2">
        <f>$P$8*SUM(D$11:D$12)/(365/12)*MAX(节奏总纲!E21-$E$2,0)</f>
        <v>0</v>
      </c>
      <c r="AL25" s="2">
        <f>$P$8*SUM(E$11:E$12)/(365/12)*MAX(节奏总纲!F21-$E$2,0)</f>
        <v>0</v>
      </c>
      <c r="AM25" s="2">
        <f>$P$8*SUM(F$11:F$12)/(365/12)*MAX(节奏总纲!G21-$E$2,0)</f>
        <v>0</v>
      </c>
      <c r="AN25" s="2">
        <f>$P$8*SUM(G$11:G$12)/(365/12)*MAX(节奏总纲!H21-$E$2,0)</f>
        <v>0</v>
      </c>
      <c r="BC25" s="2">
        <v>18</v>
      </c>
      <c r="BD25" s="2">
        <f>$AZ$8/(365/12)*MAX(节奏总纲!D21-$E$2,0)</f>
        <v>0</v>
      </c>
      <c r="BE25" s="2">
        <f>$AZ$8/(365/12)*MAX(节奏总纲!E21-$E$2,0)</f>
        <v>0</v>
      </c>
      <c r="BF25" s="2">
        <f>$AZ$8/(365/12)*MAX(节奏总纲!F21-$E$2,0)</f>
        <v>0</v>
      </c>
      <c r="BG25" s="2">
        <f>$AZ$8/(365/12)*MAX(节奏总纲!G21-$E$2,0)</f>
        <v>0</v>
      </c>
      <c r="BH25" s="2">
        <f>$AZ$8/(365/12)*MAX(节奏总纲!H21-$E$2,0)</f>
        <v>0</v>
      </c>
      <c r="BI25" s="2">
        <f>$AY$8/(365/12)*MAX(节奏总纲!D21-$E$2,0)</f>
        <v>0</v>
      </c>
      <c r="BJ25" s="2">
        <f>$AY$8/(365/12)*MAX(节奏总纲!E21-$E$2,0)</f>
        <v>0</v>
      </c>
      <c r="BK25" s="2">
        <f>$AY$8/(365/12)*MAX(节奏总纲!F21-$E$2,0)</f>
        <v>0</v>
      </c>
      <c r="BL25" s="2">
        <f>$AY$8/(365/12)*MAX(节奏总纲!G21-$E$2,0)</f>
        <v>0</v>
      </c>
      <c r="BM25" s="2">
        <f>$AY$8/(365/12)*MAX(节奏总纲!H21-$E$2,0)</f>
        <v>0</v>
      </c>
      <c r="CD25" s="2">
        <v>18</v>
      </c>
      <c r="CE25" s="2">
        <f>INDEX($BY$8:$BY$15,MATCH(CE$7,$CB$8:$CB$15,0))*SUM(C$11:C$12)/(365/12)*MAX(节奏总纲!D21-$E$2,0)</f>
        <v>0</v>
      </c>
      <c r="CF25" s="2">
        <f>INDEX($BY$8:$BY$15,MATCH(CF$7,$CB$8:$CB$15,0))*SUM(D$11:D$12)/(365/12)*MAX(节奏总纲!E21-$E$2,0)</f>
        <v>0</v>
      </c>
      <c r="CG25" s="2">
        <f>INDEX($BY$8:$BY$15,MATCH(CG$7,$CB$8:$CB$15,0))*SUM(E$11:E$12)/(365/12)*MAX(节奏总纲!F21-$E$2,0)</f>
        <v>0</v>
      </c>
      <c r="CH25" s="2">
        <f>INDEX($BY$8:$BY$15,MATCH(CH$7,$CB$8:$CB$15,0))*SUM(F$11:F$12)/(365/12)*MAX(节奏总纲!G21-$E$2,0)</f>
        <v>0</v>
      </c>
      <c r="CI25" s="2">
        <f>INDEX($BY$8:$BY$15,MATCH(CI$7,$CB$8:$CB$15,0))*SUM(G$11:G$12)/(365/12)*MAX(节奏总纲!H21-$E$2,0)</f>
        <v>0</v>
      </c>
      <c r="CJ25" s="2">
        <f>INDEX($BZ$8:$BZ$15,MATCH(CE$7,$CB$8:$CB$15,0))*SUM(C$11:C$12)/(365/12)*MAX(节奏总纲!D21-$E$2,0)</f>
        <v>0</v>
      </c>
      <c r="CK25" s="2">
        <f>INDEX($BZ$8:$BZ$15,MATCH(CF$7,$CB$8:$CB$15,0))*SUM(D$11:D$12)/(365/12)*MAX(节奏总纲!E21-$E$2,0)</f>
        <v>0</v>
      </c>
      <c r="CL25" s="2">
        <f>INDEX($BZ$8:$BZ$15,MATCH(CG$7,$CB$8:$CB$15,0))*SUM(E$11:E$12)/(365/12)*MAX(节奏总纲!F21-$E$2,0)</f>
        <v>0</v>
      </c>
      <c r="CM25" s="2">
        <f>INDEX($BZ$8:$BZ$15,MATCH(CH$7,$CB$8:$CB$15,0))*SUM(F$11:F$12)/(365/12)*MAX(节奏总纲!G21-$E$2,0)</f>
        <v>0</v>
      </c>
      <c r="CN25" s="2">
        <f>INDEX($BZ$8:$BZ$15,MATCH(CI$7,$CB$8:$CB$15,0))*SUM(G$11:G$12)/(365/12)*MAX(节奏总纲!H21-$E$2,0)</f>
        <v>0</v>
      </c>
      <c r="CS25" s="2">
        <v>18</v>
      </c>
      <c r="CT25" s="2">
        <f t="shared" si="1"/>
        <v>0</v>
      </c>
      <c r="CU25" s="2">
        <f t="shared" si="2"/>
        <v>0</v>
      </c>
      <c r="CV25" s="2">
        <f t="shared" si="3"/>
        <v>0</v>
      </c>
      <c r="CW25" s="2">
        <f t="shared" si="4"/>
        <v>0</v>
      </c>
      <c r="CX25" s="2">
        <f t="shared" si="5"/>
        <v>0</v>
      </c>
      <c r="CZ25" s="41" t="e">
        <f t="shared" si="6"/>
        <v>#DIV/0!</v>
      </c>
      <c r="DA25" s="41" t="e">
        <f t="shared" si="7"/>
        <v>#DIV/0!</v>
      </c>
      <c r="DB25" s="41" t="e">
        <f t="shared" si="8"/>
        <v>#DIV/0!</v>
      </c>
      <c r="DD25" s="41" t="e">
        <f t="shared" si="9"/>
        <v>#DIV/0!</v>
      </c>
      <c r="DE25" s="41" t="e">
        <f t="shared" si="10"/>
        <v>#DIV/0!</v>
      </c>
      <c r="DF25" s="41" t="e">
        <f t="shared" si="11"/>
        <v>#DIV/0!</v>
      </c>
      <c r="DH25" s="41" t="e">
        <f t="shared" si="12"/>
        <v>#DIV/0!</v>
      </c>
      <c r="DI25" s="41" t="e">
        <f t="shared" si="13"/>
        <v>#DIV/0!</v>
      </c>
      <c r="DJ25" s="41" t="e">
        <f t="shared" si="14"/>
        <v>#DIV/0!</v>
      </c>
      <c r="DL25" s="2">
        <f>CT25/节奏总纲!D21</f>
        <v>0</v>
      </c>
      <c r="DM25" s="2">
        <f>CU25/节奏总纲!E21</f>
        <v>0</v>
      </c>
      <c r="DN25" s="2">
        <f>CV25/节奏总纲!F21</f>
        <v>0</v>
      </c>
      <c r="DO25" s="2">
        <f>CW25/节奏总纲!G21</f>
        <v>0</v>
      </c>
      <c r="DP25" s="2">
        <f>CX25/节奏总纲!H21</f>
        <v>0</v>
      </c>
      <c r="DR25" s="2" t="e">
        <f t="shared" si="15"/>
        <v>#DIV/0!</v>
      </c>
      <c r="DS25" s="2" t="e">
        <f t="shared" si="16"/>
        <v>#DIV/0!</v>
      </c>
      <c r="DT25" s="2" t="e">
        <f t="shared" si="17"/>
        <v>#DIV/0!</v>
      </c>
      <c r="DU25" s="2" t="e">
        <f t="shared" si="18"/>
        <v>#DIV/0!</v>
      </c>
      <c r="DY25" s="2">
        <v>18</v>
      </c>
      <c r="DZ25" s="2">
        <f t="shared" si="22"/>
        <v>0</v>
      </c>
      <c r="EA25" s="2">
        <f t="shared" si="23"/>
        <v>0</v>
      </c>
      <c r="EB25" s="2">
        <f t="shared" si="24"/>
        <v>0</v>
      </c>
      <c r="EC25" s="2">
        <f t="shared" si="25"/>
        <v>0</v>
      </c>
      <c r="ED25" s="2">
        <f t="shared" si="26"/>
        <v>0</v>
      </c>
      <c r="EF25" s="57" t="e">
        <f t="shared" si="27"/>
        <v>#DIV/0!</v>
      </c>
      <c r="EG25" s="57" t="e">
        <f t="shared" si="28"/>
        <v>#DIV/0!</v>
      </c>
      <c r="EH25" s="41" t="e">
        <f t="shared" si="29"/>
        <v>#DIV/0!</v>
      </c>
      <c r="EJ25" s="57" t="e">
        <f t="shared" si="30"/>
        <v>#DIV/0!</v>
      </c>
      <c r="EK25" s="57" t="e">
        <f t="shared" si="31"/>
        <v>#DIV/0!</v>
      </c>
      <c r="EL25" s="41" t="e">
        <f t="shared" si="32"/>
        <v>#DIV/0!</v>
      </c>
      <c r="EN25" s="57" t="e">
        <f t="shared" si="33"/>
        <v>#DIV/0!</v>
      </c>
      <c r="EO25" s="57" t="e">
        <f t="shared" si="34"/>
        <v>#DIV/0!</v>
      </c>
      <c r="EP25" s="41" t="e">
        <f t="shared" si="35"/>
        <v>#DIV/0!</v>
      </c>
    </row>
    <row r="26" spans="2:146" x14ac:dyDescent="0.15">
      <c r="T26" s="2">
        <v>19</v>
      </c>
      <c r="U26" s="2">
        <f>$N$8*SUM(C$11:C$12)/(365/12)*MAX(节奏总纲!D22-$E$2,0)</f>
        <v>0</v>
      </c>
      <c r="V26" s="2">
        <f>$N$8*SUM(D$11:D$12)/(365/12)*MAX(节奏总纲!E22-$E$2,0)</f>
        <v>0</v>
      </c>
      <c r="W26" s="2">
        <f>$N$8*SUM(E$11:E$12)/(365/12)*MAX(节奏总纲!F22-$E$2,0)</f>
        <v>0</v>
      </c>
      <c r="X26" s="2">
        <f>$N$8*SUM(F$11:F$12)/(365/12)*MAX(节奏总纲!G22-$E$2,0)</f>
        <v>0</v>
      </c>
      <c r="Y26" s="2">
        <f>$N$8*SUM(G$11:G$12)/(365/12)*MAX(节奏总纲!H22-$E$2,0)</f>
        <v>0</v>
      </c>
      <c r="Z26" s="2">
        <f>$O$8*SUM(C$11:C$12)/(365/12)*MAX(节奏总纲!D22-$E$2,0)</f>
        <v>0</v>
      </c>
      <c r="AA26" s="2">
        <f>$O$8*SUM(D$11:D$12)/(365/12)*MAX(节奏总纲!E22-$E$2,0)</f>
        <v>0</v>
      </c>
      <c r="AB26" s="2">
        <f>$O$8*SUM(E$11:E$12)/(365/12)*MAX(节奏总纲!F22-$E$2,0)</f>
        <v>0</v>
      </c>
      <c r="AC26" s="2">
        <f>$O$8*SUM(F$11:F$12)/(365/12)*MAX(节奏总纲!G22-$E$2,0)</f>
        <v>0</v>
      </c>
      <c r="AD26" s="2">
        <f>$O$8*SUM(G$11:G$12)/(365/12)*MAX(节奏总纲!H22-$E$2,0)</f>
        <v>0</v>
      </c>
      <c r="AE26" s="2">
        <f>$Q$8*SUM(C$11:C$12)/(365/12)*MAX(节奏总纲!D22-$E$2,0)</f>
        <v>0</v>
      </c>
      <c r="AF26" s="2">
        <f>$Q$8*SUM(D$11:D$12)/(365/12)*MAX(节奏总纲!E22-$E$2,0)</f>
        <v>0</v>
      </c>
      <c r="AG26" s="2">
        <f>$Q$8*SUM(E$11:E$12)/(365/12)*MAX(节奏总纲!F22-$E$2,0)</f>
        <v>0</v>
      </c>
      <c r="AH26" s="2">
        <f>$Q$8*SUM(F$11:F$12)/(365/12)*MAX(节奏总纲!G22-$E$2,0)</f>
        <v>0</v>
      </c>
      <c r="AI26" s="2">
        <f>$Q$8*SUM(G$11:G$12)/(365/12)*MAX(节奏总纲!H22-$E$2,0)</f>
        <v>0</v>
      </c>
      <c r="AJ26" s="2">
        <f>$P$8*SUM(C$11:C$12)/(365/12)*MAX(节奏总纲!D22-$E$2,0)</f>
        <v>0</v>
      </c>
      <c r="AK26" s="2">
        <f>$P$8*SUM(D$11:D$12)/(365/12)*MAX(节奏总纲!E22-$E$2,0)</f>
        <v>0</v>
      </c>
      <c r="AL26" s="2">
        <f>$P$8*SUM(E$11:E$12)/(365/12)*MAX(节奏总纲!F22-$E$2,0)</f>
        <v>0</v>
      </c>
      <c r="AM26" s="2">
        <f>$P$8*SUM(F$11:F$12)/(365/12)*MAX(节奏总纲!G22-$E$2,0)</f>
        <v>0</v>
      </c>
      <c r="AN26" s="2">
        <f>$P$8*SUM(G$11:G$12)/(365/12)*MAX(节奏总纲!H22-$E$2,0)</f>
        <v>0</v>
      </c>
      <c r="AU26" s="2" t="s">
        <v>634</v>
      </c>
      <c r="BC26" s="2">
        <v>19</v>
      </c>
      <c r="BD26" s="2">
        <f>$AZ$8/(365/12)*MAX(节奏总纲!D22-$E$2,0)</f>
        <v>0</v>
      </c>
      <c r="BE26" s="2">
        <f>$AZ$8/(365/12)*MAX(节奏总纲!E22-$E$2,0)</f>
        <v>0</v>
      </c>
      <c r="BF26" s="2">
        <f>$AZ$8/(365/12)*MAX(节奏总纲!F22-$E$2,0)</f>
        <v>0</v>
      </c>
      <c r="BG26" s="2">
        <f>$AZ$8/(365/12)*MAX(节奏总纲!G22-$E$2,0)</f>
        <v>0</v>
      </c>
      <c r="BH26" s="2">
        <f>$AZ$8/(365/12)*MAX(节奏总纲!H22-$E$2,0)</f>
        <v>0</v>
      </c>
      <c r="BI26" s="2">
        <f>$AY$8/(365/12)*MAX(节奏总纲!D22-$E$2,0)</f>
        <v>0</v>
      </c>
      <c r="BJ26" s="2">
        <f>$AY$8/(365/12)*MAX(节奏总纲!E22-$E$2,0)</f>
        <v>0</v>
      </c>
      <c r="BK26" s="2">
        <f>$AY$8/(365/12)*MAX(节奏总纲!F22-$E$2,0)</f>
        <v>0</v>
      </c>
      <c r="BL26" s="2">
        <f>$AY$8/(365/12)*MAX(节奏总纲!G22-$E$2,0)</f>
        <v>0</v>
      </c>
      <c r="BM26" s="2">
        <f>$AY$8/(365/12)*MAX(节奏总纲!H22-$E$2,0)</f>
        <v>0</v>
      </c>
      <c r="CD26" s="2">
        <v>19</v>
      </c>
      <c r="CE26" s="2">
        <f>INDEX($BY$8:$BY$15,MATCH(CE$7,$CB$8:$CB$15,0))*SUM(C$11:C$12)/(365/12)*MAX(节奏总纲!D22-$E$2,0)</f>
        <v>0</v>
      </c>
      <c r="CF26" s="2">
        <f>INDEX($BY$8:$BY$15,MATCH(CF$7,$CB$8:$CB$15,0))*SUM(D$11:D$12)/(365/12)*MAX(节奏总纲!E22-$E$2,0)</f>
        <v>0</v>
      </c>
      <c r="CG26" s="2">
        <f>INDEX($BY$8:$BY$15,MATCH(CG$7,$CB$8:$CB$15,0))*SUM(E$11:E$12)/(365/12)*MAX(节奏总纲!F22-$E$2,0)</f>
        <v>0</v>
      </c>
      <c r="CH26" s="2">
        <f>INDEX($BY$8:$BY$15,MATCH(CH$7,$CB$8:$CB$15,0))*SUM(F$11:F$12)/(365/12)*MAX(节奏总纲!G22-$E$2,0)</f>
        <v>0</v>
      </c>
      <c r="CI26" s="2">
        <f>INDEX($BY$8:$BY$15,MATCH(CI$7,$CB$8:$CB$15,0))*SUM(G$11:G$12)/(365/12)*MAX(节奏总纲!H22-$E$2,0)</f>
        <v>0</v>
      </c>
      <c r="CJ26" s="2">
        <f>INDEX($BZ$8:$BZ$15,MATCH(CE$7,$CB$8:$CB$15,0))*SUM(C$11:C$12)/(365/12)*MAX(节奏总纲!D22-$E$2,0)</f>
        <v>0</v>
      </c>
      <c r="CK26" s="2">
        <f>INDEX($BZ$8:$BZ$15,MATCH(CF$7,$CB$8:$CB$15,0))*SUM(D$11:D$12)/(365/12)*MAX(节奏总纲!E22-$E$2,0)</f>
        <v>0</v>
      </c>
      <c r="CL26" s="2">
        <f>INDEX($BZ$8:$BZ$15,MATCH(CG$7,$CB$8:$CB$15,0))*SUM(E$11:E$12)/(365/12)*MAX(节奏总纲!F22-$E$2,0)</f>
        <v>0</v>
      </c>
      <c r="CM26" s="2">
        <f>INDEX($BZ$8:$BZ$15,MATCH(CH$7,$CB$8:$CB$15,0))*SUM(F$11:F$12)/(365/12)*MAX(节奏总纲!G22-$E$2,0)</f>
        <v>0</v>
      </c>
      <c r="CN26" s="2">
        <f>INDEX($BZ$8:$BZ$15,MATCH(CI$7,$CB$8:$CB$15,0))*SUM(G$11:G$12)/(365/12)*MAX(节奏总纲!H22-$E$2,0)</f>
        <v>0</v>
      </c>
      <c r="CS26" s="2">
        <v>19</v>
      </c>
      <c r="CT26" s="2">
        <f t="shared" si="1"/>
        <v>0</v>
      </c>
      <c r="CU26" s="2">
        <f t="shared" si="2"/>
        <v>0</v>
      </c>
      <c r="CV26" s="2">
        <f t="shared" si="3"/>
        <v>0</v>
      </c>
      <c r="CW26" s="2">
        <f t="shared" si="4"/>
        <v>0</v>
      </c>
      <c r="CX26" s="2">
        <f t="shared" si="5"/>
        <v>0</v>
      </c>
      <c r="CZ26" s="41" t="e">
        <f t="shared" si="6"/>
        <v>#DIV/0!</v>
      </c>
      <c r="DA26" s="41" t="e">
        <f t="shared" si="7"/>
        <v>#DIV/0!</v>
      </c>
      <c r="DB26" s="41" t="e">
        <f t="shared" si="8"/>
        <v>#DIV/0!</v>
      </c>
      <c r="DD26" s="41" t="e">
        <f t="shared" si="9"/>
        <v>#DIV/0!</v>
      </c>
      <c r="DE26" s="41" t="e">
        <f t="shared" si="10"/>
        <v>#DIV/0!</v>
      </c>
      <c r="DF26" s="41" t="e">
        <f t="shared" si="11"/>
        <v>#DIV/0!</v>
      </c>
      <c r="DH26" s="41" t="e">
        <f t="shared" si="12"/>
        <v>#DIV/0!</v>
      </c>
      <c r="DI26" s="41" t="e">
        <f t="shared" si="13"/>
        <v>#DIV/0!</v>
      </c>
      <c r="DJ26" s="41" t="e">
        <f t="shared" si="14"/>
        <v>#DIV/0!</v>
      </c>
      <c r="DL26" s="2">
        <f>CT26/节奏总纲!D22</f>
        <v>0</v>
      </c>
      <c r="DM26" s="2">
        <f>CU26/节奏总纲!E22</f>
        <v>0</v>
      </c>
      <c r="DN26" s="2">
        <f>CV26/节奏总纲!F22</f>
        <v>0</v>
      </c>
      <c r="DO26" s="2">
        <f>CW26/节奏总纲!G22</f>
        <v>0</v>
      </c>
      <c r="DP26" s="2">
        <f>CX26/节奏总纲!H22</f>
        <v>0</v>
      </c>
      <c r="DR26" s="2" t="e">
        <f t="shared" si="15"/>
        <v>#DIV/0!</v>
      </c>
      <c r="DS26" s="2" t="e">
        <f t="shared" si="16"/>
        <v>#DIV/0!</v>
      </c>
      <c r="DT26" s="2" t="e">
        <f t="shared" si="17"/>
        <v>#DIV/0!</v>
      </c>
      <c r="DU26" s="2" t="e">
        <f t="shared" si="18"/>
        <v>#DIV/0!</v>
      </c>
      <c r="DY26" s="2">
        <v>19</v>
      </c>
      <c r="DZ26" s="2">
        <f t="shared" si="22"/>
        <v>0</v>
      </c>
      <c r="EA26" s="2">
        <f t="shared" si="23"/>
        <v>0</v>
      </c>
      <c r="EB26" s="2">
        <f t="shared" si="24"/>
        <v>0</v>
      </c>
      <c r="EC26" s="2">
        <f t="shared" si="25"/>
        <v>0</v>
      </c>
      <c r="ED26" s="2">
        <f t="shared" si="26"/>
        <v>0</v>
      </c>
      <c r="EF26" s="57" t="e">
        <f t="shared" si="27"/>
        <v>#DIV/0!</v>
      </c>
      <c r="EG26" s="57" t="e">
        <f t="shared" si="28"/>
        <v>#DIV/0!</v>
      </c>
      <c r="EH26" s="41" t="e">
        <f t="shared" si="29"/>
        <v>#DIV/0!</v>
      </c>
      <c r="EJ26" s="57" t="e">
        <f t="shared" si="30"/>
        <v>#DIV/0!</v>
      </c>
      <c r="EK26" s="57" t="e">
        <f t="shared" si="31"/>
        <v>#DIV/0!</v>
      </c>
      <c r="EL26" s="41" t="e">
        <f t="shared" si="32"/>
        <v>#DIV/0!</v>
      </c>
      <c r="EN26" s="57" t="e">
        <f t="shared" si="33"/>
        <v>#DIV/0!</v>
      </c>
      <c r="EO26" s="57" t="e">
        <f t="shared" si="34"/>
        <v>#DIV/0!</v>
      </c>
      <c r="EP26" s="41" t="e">
        <f t="shared" si="35"/>
        <v>#DIV/0!</v>
      </c>
    </row>
    <row r="27" spans="2:146" x14ac:dyDescent="0.15">
      <c r="T27" s="2">
        <v>20</v>
      </c>
      <c r="U27" s="2">
        <f>$N$8*SUM(C$11:C$12)/(365/12)*MAX(节奏总纲!D23-$E$2,0)</f>
        <v>0</v>
      </c>
      <c r="V27" s="2">
        <f>$N$8*SUM(D$11:D$12)/(365/12)*MAX(节奏总纲!E23-$E$2,0)</f>
        <v>0</v>
      </c>
      <c r="W27" s="2">
        <f>$N$8*SUM(E$11:E$12)/(365/12)*MAX(节奏总纲!F23-$E$2,0)</f>
        <v>0</v>
      </c>
      <c r="X27" s="2">
        <f>$N$8*SUM(F$11:F$12)/(365/12)*MAX(节奏总纲!G23-$E$2,0)</f>
        <v>0</v>
      </c>
      <c r="Y27" s="2">
        <f>$N$8*SUM(G$11:G$12)/(365/12)*MAX(节奏总纲!H23-$E$2,0)</f>
        <v>0</v>
      </c>
      <c r="Z27" s="2">
        <f>$O$8*SUM(C$11:C$12)/(365/12)*MAX(节奏总纲!D23-$E$2,0)</f>
        <v>0</v>
      </c>
      <c r="AA27" s="2">
        <f>$O$8*SUM(D$11:D$12)/(365/12)*MAX(节奏总纲!E23-$E$2,0)</f>
        <v>0</v>
      </c>
      <c r="AB27" s="2">
        <f>$O$8*SUM(E$11:E$12)/(365/12)*MAX(节奏总纲!F23-$E$2,0)</f>
        <v>0</v>
      </c>
      <c r="AC27" s="2">
        <f>$O$8*SUM(F$11:F$12)/(365/12)*MAX(节奏总纲!G23-$E$2,0)</f>
        <v>0</v>
      </c>
      <c r="AD27" s="2">
        <f>$O$8*SUM(G$11:G$12)/(365/12)*MAX(节奏总纲!H23-$E$2,0)</f>
        <v>0</v>
      </c>
      <c r="AE27" s="2">
        <f>$Q$8*SUM(C$11:C$12)/(365/12)*MAX(节奏总纲!D23-$E$2,0)</f>
        <v>0</v>
      </c>
      <c r="AF27" s="2">
        <f>$Q$8*SUM(D$11:D$12)/(365/12)*MAX(节奏总纲!E23-$E$2,0)</f>
        <v>0</v>
      </c>
      <c r="AG27" s="2">
        <f>$Q$8*SUM(E$11:E$12)/(365/12)*MAX(节奏总纲!F23-$E$2,0)</f>
        <v>0</v>
      </c>
      <c r="AH27" s="2">
        <f>$Q$8*SUM(F$11:F$12)/(365/12)*MAX(节奏总纲!G23-$E$2,0)</f>
        <v>0</v>
      </c>
      <c r="AI27" s="2">
        <f>$Q$8*SUM(G$11:G$12)/(365/12)*MAX(节奏总纲!H23-$E$2,0)</f>
        <v>0</v>
      </c>
      <c r="AJ27" s="2">
        <f>$P$8*SUM(C$11:C$12)/(365/12)*MAX(节奏总纲!D23-$E$2,0)</f>
        <v>0</v>
      </c>
      <c r="AK27" s="2">
        <f>$P$8*SUM(D$11:D$12)/(365/12)*MAX(节奏总纲!E23-$E$2,0)</f>
        <v>0</v>
      </c>
      <c r="AL27" s="2">
        <f>$P$8*SUM(E$11:E$12)/(365/12)*MAX(节奏总纲!F23-$E$2,0)</f>
        <v>0</v>
      </c>
      <c r="AM27" s="2">
        <f>$P$8*SUM(F$11:F$12)/(365/12)*MAX(节奏总纲!G23-$E$2,0)</f>
        <v>0</v>
      </c>
      <c r="AN27" s="2">
        <f>$P$8*SUM(G$11:G$12)/(365/12)*MAX(节奏总纲!H23-$E$2,0)</f>
        <v>0</v>
      </c>
      <c r="AU27" s="2" t="s">
        <v>635</v>
      </c>
      <c r="AV27" s="2" t="s">
        <v>636</v>
      </c>
      <c r="AW27" s="2" t="s">
        <v>547</v>
      </c>
      <c r="AX27" s="2" t="s">
        <v>637</v>
      </c>
      <c r="AY27" s="2" t="s">
        <v>638</v>
      </c>
      <c r="AZ27" s="2" t="s">
        <v>639</v>
      </c>
      <c r="BC27" s="2">
        <v>20</v>
      </c>
      <c r="BD27" s="2">
        <f>$AZ$8/(365/12)*MAX(节奏总纲!D23-$E$2,0)</f>
        <v>0</v>
      </c>
      <c r="BE27" s="2">
        <f>$AZ$8/(365/12)*MAX(节奏总纲!E23-$E$2,0)</f>
        <v>0</v>
      </c>
      <c r="BF27" s="2">
        <f>$AZ$8/(365/12)*MAX(节奏总纲!F23-$E$2,0)</f>
        <v>0</v>
      </c>
      <c r="BG27" s="2">
        <f>$AZ$8/(365/12)*MAX(节奏总纲!G23-$E$2,0)</f>
        <v>0</v>
      </c>
      <c r="BH27" s="2">
        <f>$AZ$8/(365/12)*MAX(节奏总纲!H23-$E$2,0)</f>
        <v>0</v>
      </c>
      <c r="BI27" s="2">
        <f>$AY$8/(365/12)*MAX(节奏总纲!D23-$E$2,0)</f>
        <v>0</v>
      </c>
      <c r="BJ27" s="2">
        <f>$AY$8/(365/12)*MAX(节奏总纲!E23-$E$2,0)</f>
        <v>0</v>
      </c>
      <c r="BK27" s="2">
        <f>$AY$8/(365/12)*MAX(节奏总纲!F23-$E$2,0)</f>
        <v>0</v>
      </c>
      <c r="BL27" s="2">
        <f>$AY$8/(365/12)*MAX(节奏总纲!G23-$E$2,0)</f>
        <v>0</v>
      </c>
      <c r="BM27" s="2">
        <f>$AY$8/(365/12)*MAX(节奏总纲!H23-$E$2,0)</f>
        <v>0</v>
      </c>
      <c r="CD27" s="2">
        <v>20</v>
      </c>
      <c r="CE27" s="2">
        <f>INDEX($BY$8:$BY$15,MATCH(CE$7,$CB$8:$CB$15,0))*SUM(C$11:C$12)/(365/12)*MAX(节奏总纲!D23-$E$2,0)</f>
        <v>0</v>
      </c>
      <c r="CF27" s="2">
        <f>INDEX($BY$8:$BY$15,MATCH(CF$7,$CB$8:$CB$15,0))*SUM(D$11:D$12)/(365/12)*MAX(节奏总纲!E23-$E$2,0)</f>
        <v>0</v>
      </c>
      <c r="CG27" s="2">
        <f>INDEX($BY$8:$BY$15,MATCH(CG$7,$CB$8:$CB$15,0))*SUM(E$11:E$12)/(365/12)*MAX(节奏总纲!F23-$E$2,0)</f>
        <v>0</v>
      </c>
      <c r="CH27" s="2">
        <f>INDEX($BY$8:$BY$15,MATCH(CH$7,$CB$8:$CB$15,0))*SUM(F$11:F$12)/(365/12)*MAX(节奏总纲!G23-$E$2,0)</f>
        <v>0</v>
      </c>
      <c r="CI27" s="2">
        <f>INDEX($BY$8:$BY$15,MATCH(CI$7,$CB$8:$CB$15,0))*SUM(G$11:G$12)/(365/12)*MAX(节奏总纲!H23-$E$2,0)</f>
        <v>0</v>
      </c>
      <c r="CJ27" s="2">
        <f>INDEX($BZ$8:$BZ$15,MATCH(CE$7,$CB$8:$CB$15,0))*SUM(C$11:C$12)/(365/12)*MAX(节奏总纲!D23-$E$2,0)</f>
        <v>0</v>
      </c>
      <c r="CK27" s="2">
        <f>INDEX($BZ$8:$BZ$15,MATCH(CF$7,$CB$8:$CB$15,0))*SUM(D$11:D$12)/(365/12)*MAX(节奏总纲!E23-$E$2,0)</f>
        <v>0</v>
      </c>
      <c r="CL27" s="2">
        <f>INDEX($BZ$8:$BZ$15,MATCH(CG$7,$CB$8:$CB$15,0))*SUM(E$11:E$12)/(365/12)*MAX(节奏总纲!F23-$E$2,0)</f>
        <v>0</v>
      </c>
      <c r="CM27" s="2">
        <f>INDEX($BZ$8:$BZ$15,MATCH(CH$7,$CB$8:$CB$15,0))*SUM(F$11:F$12)/(365/12)*MAX(节奏总纲!G23-$E$2,0)</f>
        <v>0</v>
      </c>
      <c r="CN27" s="2">
        <f>INDEX($BZ$8:$BZ$15,MATCH(CI$7,$CB$8:$CB$15,0))*SUM(G$11:G$12)/(365/12)*MAX(节奏总纲!H23-$E$2,0)</f>
        <v>0</v>
      </c>
      <c r="CS27" s="2">
        <v>20</v>
      </c>
      <c r="CT27" s="2">
        <f t="shared" si="1"/>
        <v>0</v>
      </c>
      <c r="CU27" s="2">
        <f t="shared" si="2"/>
        <v>0</v>
      </c>
      <c r="CV27" s="2">
        <f t="shared" si="3"/>
        <v>0</v>
      </c>
      <c r="CW27" s="2">
        <f t="shared" si="4"/>
        <v>0</v>
      </c>
      <c r="CX27" s="2">
        <f t="shared" si="5"/>
        <v>0</v>
      </c>
      <c r="CZ27" s="41" t="e">
        <f t="shared" si="6"/>
        <v>#DIV/0!</v>
      </c>
      <c r="DA27" s="41" t="e">
        <f t="shared" si="7"/>
        <v>#DIV/0!</v>
      </c>
      <c r="DB27" s="41" t="e">
        <f t="shared" si="8"/>
        <v>#DIV/0!</v>
      </c>
      <c r="DD27" s="41" t="e">
        <f t="shared" si="9"/>
        <v>#DIV/0!</v>
      </c>
      <c r="DE27" s="41" t="e">
        <f t="shared" si="10"/>
        <v>#DIV/0!</v>
      </c>
      <c r="DF27" s="41" t="e">
        <f t="shared" si="11"/>
        <v>#DIV/0!</v>
      </c>
      <c r="DH27" s="41" t="e">
        <f t="shared" si="12"/>
        <v>#DIV/0!</v>
      </c>
      <c r="DI27" s="41" t="e">
        <f t="shared" si="13"/>
        <v>#DIV/0!</v>
      </c>
      <c r="DJ27" s="41" t="e">
        <f t="shared" si="14"/>
        <v>#DIV/0!</v>
      </c>
      <c r="DL27" s="2">
        <f>CT27/节奏总纲!D23</f>
        <v>0</v>
      </c>
      <c r="DM27" s="2">
        <f>CU27/节奏总纲!E23</f>
        <v>0</v>
      </c>
      <c r="DN27" s="2">
        <f>CV27/节奏总纲!F23</f>
        <v>0</v>
      </c>
      <c r="DO27" s="2">
        <f>CW27/节奏总纲!G23</f>
        <v>0</v>
      </c>
      <c r="DP27" s="2">
        <f>CX27/节奏总纲!H23</f>
        <v>0</v>
      </c>
      <c r="DR27" s="2" t="e">
        <f t="shared" si="15"/>
        <v>#DIV/0!</v>
      </c>
      <c r="DS27" s="2" t="e">
        <f t="shared" si="16"/>
        <v>#DIV/0!</v>
      </c>
      <c r="DT27" s="2" t="e">
        <f t="shared" si="17"/>
        <v>#DIV/0!</v>
      </c>
      <c r="DU27" s="2" t="e">
        <f t="shared" si="18"/>
        <v>#DIV/0!</v>
      </c>
      <c r="DY27" s="2">
        <v>20</v>
      </c>
      <c r="DZ27" s="2">
        <f t="shared" si="22"/>
        <v>0</v>
      </c>
      <c r="EA27" s="2">
        <f t="shared" si="23"/>
        <v>0</v>
      </c>
      <c r="EB27" s="2">
        <f t="shared" si="24"/>
        <v>0</v>
      </c>
      <c r="EC27" s="2">
        <f t="shared" si="25"/>
        <v>0</v>
      </c>
      <c r="ED27" s="2">
        <f t="shared" si="26"/>
        <v>0</v>
      </c>
      <c r="EF27" s="57" t="e">
        <f t="shared" si="27"/>
        <v>#DIV/0!</v>
      </c>
      <c r="EG27" s="57" t="e">
        <f t="shared" si="28"/>
        <v>#DIV/0!</v>
      </c>
      <c r="EH27" s="41" t="e">
        <f t="shared" si="29"/>
        <v>#DIV/0!</v>
      </c>
      <c r="EJ27" s="57" t="e">
        <f t="shared" si="30"/>
        <v>#DIV/0!</v>
      </c>
      <c r="EK27" s="57" t="e">
        <f t="shared" si="31"/>
        <v>#DIV/0!</v>
      </c>
      <c r="EL27" s="41" t="e">
        <f t="shared" si="32"/>
        <v>#DIV/0!</v>
      </c>
      <c r="EN27" s="57" t="e">
        <f t="shared" si="33"/>
        <v>#DIV/0!</v>
      </c>
      <c r="EO27" s="57" t="e">
        <f t="shared" si="34"/>
        <v>#DIV/0!</v>
      </c>
      <c r="EP27" s="41" t="e">
        <f t="shared" si="35"/>
        <v>#DIV/0!</v>
      </c>
    </row>
    <row r="28" spans="2:146" x14ac:dyDescent="0.15">
      <c r="T28" s="2">
        <v>21</v>
      </c>
      <c r="U28" s="2">
        <f>$N$8*SUM(C$11:C$12)/(365/12)*MAX(节奏总纲!D24-$E$2,0)</f>
        <v>0</v>
      </c>
      <c r="V28" s="2">
        <f>$N$8*SUM(D$11:D$12)/(365/12)*MAX(节奏总纲!E24-$E$2,0)</f>
        <v>0</v>
      </c>
      <c r="W28" s="2">
        <f>$N$8*SUM(E$11:E$12)/(365/12)*MAX(节奏总纲!F24-$E$2,0)</f>
        <v>0</v>
      </c>
      <c r="X28" s="2">
        <f>$N$8*SUM(F$11:F$12)/(365/12)*MAX(节奏总纲!G24-$E$2,0)</f>
        <v>0</v>
      </c>
      <c r="Y28" s="2">
        <f>$N$8*SUM(G$11:G$12)/(365/12)*MAX(节奏总纲!H24-$E$2,0)</f>
        <v>0</v>
      </c>
      <c r="Z28" s="2">
        <f>$O$8*SUM(C$11:C$12)/(365/12)*MAX(节奏总纲!D24-$E$2,0)</f>
        <v>0</v>
      </c>
      <c r="AA28" s="2">
        <f>$O$8*SUM(D$11:D$12)/(365/12)*MAX(节奏总纲!E24-$E$2,0)</f>
        <v>0</v>
      </c>
      <c r="AB28" s="2">
        <f>$O$8*SUM(E$11:E$12)/(365/12)*MAX(节奏总纲!F24-$E$2,0)</f>
        <v>0</v>
      </c>
      <c r="AC28" s="2">
        <f>$O$8*SUM(F$11:F$12)/(365/12)*MAX(节奏总纲!G24-$E$2,0)</f>
        <v>0</v>
      </c>
      <c r="AD28" s="2">
        <f>$O$8*SUM(G$11:G$12)/(365/12)*MAX(节奏总纲!H24-$E$2,0)</f>
        <v>0</v>
      </c>
      <c r="AE28" s="2">
        <f>$Q$8*SUM(C$11:C$12)/(365/12)*MAX(节奏总纲!D24-$E$2,0)</f>
        <v>0</v>
      </c>
      <c r="AF28" s="2">
        <f>$Q$8*SUM(D$11:D$12)/(365/12)*MAX(节奏总纲!E24-$E$2,0)</f>
        <v>0</v>
      </c>
      <c r="AG28" s="2">
        <f>$Q$8*SUM(E$11:E$12)/(365/12)*MAX(节奏总纲!F24-$E$2,0)</f>
        <v>0</v>
      </c>
      <c r="AH28" s="2">
        <f>$Q$8*SUM(F$11:F$12)/(365/12)*MAX(节奏总纲!G24-$E$2,0)</f>
        <v>0</v>
      </c>
      <c r="AI28" s="2">
        <f>$Q$8*SUM(G$11:G$12)/(365/12)*MAX(节奏总纲!H24-$E$2,0)</f>
        <v>0</v>
      </c>
      <c r="AJ28" s="2">
        <f>$P$8*SUM(C$11:C$12)/(365/12)*MAX(节奏总纲!D24-$E$2,0)</f>
        <v>0</v>
      </c>
      <c r="AK28" s="2">
        <f>$P$8*SUM(D$11:D$12)/(365/12)*MAX(节奏总纲!E24-$E$2,0)</f>
        <v>0</v>
      </c>
      <c r="AL28" s="2">
        <f>$P$8*SUM(E$11:E$12)/(365/12)*MAX(节奏总纲!F24-$E$2,0)</f>
        <v>0</v>
      </c>
      <c r="AM28" s="2">
        <f>$P$8*SUM(F$11:F$12)/(365/12)*MAX(节奏总纲!G24-$E$2,0)</f>
        <v>0</v>
      </c>
      <c r="AN28" s="2">
        <f>$P$8*SUM(G$11:G$12)/(365/12)*MAX(节奏总纲!H24-$E$2,0)</f>
        <v>0</v>
      </c>
      <c r="AU28" s="2">
        <v>1</v>
      </c>
      <c r="AV28" s="2">
        <v>1</v>
      </c>
      <c r="AW28" s="2">
        <v>50</v>
      </c>
      <c r="AY28" s="2">
        <v>18000</v>
      </c>
      <c r="AZ28" s="2">
        <v>1000</v>
      </c>
      <c r="BC28" s="2">
        <v>21</v>
      </c>
      <c r="BD28" s="2">
        <f>$AZ$8/(365/12)*MAX(节奏总纲!D24-$E$2,0)</f>
        <v>0</v>
      </c>
      <c r="BE28" s="2">
        <f>$AZ$8/(365/12)*MAX(节奏总纲!E24-$E$2,0)</f>
        <v>0</v>
      </c>
      <c r="BF28" s="2">
        <f>$AZ$8/(365/12)*MAX(节奏总纲!F24-$E$2,0)</f>
        <v>0</v>
      </c>
      <c r="BG28" s="2">
        <f>$AZ$8/(365/12)*MAX(节奏总纲!G24-$E$2,0)</f>
        <v>0</v>
      </c>
      <c r="BH28" s="2">
        <f>$AZ$8/(365/12)*MAX(节奏总纲!H24-$E$2,0)</f>
        <v>0</v>
      </c>
      <c r="BI28" s="2">
        <f>$AY$8/(365/12)*MAX(节奏总纲!D24-$E$2,0)</f>
        <v>0</v>
      </c>
      <c r="BJ28" s="2">
        <f>$AY$8/(365/12)*MAX(节奏总纲!E24-$E$2,0)</f>
        <v>0</v>
      </c>
      <c r="BK28" s="2">
        <f>$AY$8/(365/12)*MAX(节奏总纲!F24-$E$2,0)</f>
        <v>0</v>
      </c>
      <c r="BL28" s="2">
        <f>$AY$8/(365/12)*MAX(节奏总纲!G24-$E$2,0)</f>
        <v>0</v>
      </c>
      <c r="BM28" s="2">
        <f>$AY$8/(365/12)*MAX(节奏总纲!H24-$E$2,0)</f>
        <v>0</v>
      </c>
      <c r="CD28" s="2">
        <v>21</v>
      </c>
      <c r="CE28" s="2">
        <f>INDEX($BY$8:$BY$15,MATCH(CE$7,$CB$8:$CB$15,0))*SUM(C$11:C$12)/(365/12)*MAX(节奏总纲!D24-$E$2,0)</f>
        <v>0</v>
      </c>
      <c r="CF28" s="2">
        <f>INDEX($BY$8:$BY$15,MATCH(CF$7,$CB$8:$CB$15,0))*SUM(D$11:D$12)/(365/12)*MAX(节奏总纲!E24-$E$2,0)</f>
        <v>0</v>
      </c>
      <c r="CG28" s="2">
        <f>INDEX($BY$8:$BY$15,MATCH(CG$7,$CB$8:$CB$15,0))*SUM(E$11:E$12)/(365/12)*MAX(节奏总纲!F24-$E$2,0)</f>
        <v>0</v>
      </c>
      <c r="CH28" s="2">
        <f>INDEX($BY$8:$BY$15,MATCH(CH$7,$CB$8:$CB$15,0))*SUM(F$11:F$12)/(365/12)*MAX(节奏总纲!G24-$E$2,0)</f>
        <v>0</v>
      </c>
      <c r="CI28" s="2">
        <f>INDEX($BY$8:$BY$15,MATCH(CI$7,$CB$8:$CB$15,0))*SUM(G$11:G$12)/(365/12)*MAX(节奏总纲!H24-$E$2,0)</f>
        <v>0</v>
      </c>
      <c r="CJ28" s="2">
        <f>INDEX($BZ$8:$BZ$15,MATCH(CE$7,$CB$8:$CB$15,0))*SUM(C$11:C$12)/(365/12)*MAX(节奏总纲!D24-$E$2,0)</f>
        <v>0</v>
      </c>
      <c r="CK28" s="2">
        <f>INDEX($BZ$8:$BZ$15,MATCH(CF$7,$CB$8:$CB$15,0))*SUM(D$11:D$12)/(365/12)*MAX(节奏总纲!E24-$E$2,0)</f>
        <v>0</v>
      </c>
      <c r="CL28" s="2">
        <f>INDEX($BZ$8:$BZ$15,MATCH(CG$7,$CB$8:$CB$15,0))*SUM(E$11:E$12)/(365/12)*MAX(节奏总纲!F24-$E$2,0)</f>
        <v>0</v>
      </c>
      <c r="CM28" s="2">
        <f>INDEX($BZ$8:$BZ$15,MATCH(CH$7,$CB$8:$CB$15,0))*SUM(F$11:F$12)/(365/12)*MAX(节奏总纲!G24-$E$2,0)</f>
        <v>0</v>
      </c>
      <c r="CN28" s="2">
        <f>INDEX($BZ$8:$BZ$15,MATCH(CI$7,$CB$8:$CB$15,0))*SUM(G$11:G$12)/(365/12)*MAX(节奏总纲!H24-$E$2,0)</f>
        <v>0</v>
      </c>
      <c r="CS28" s="2">
        <v>21</v>
      </c>
      <c r="CT28" s="2">
        <f t="shared" si="1"/>
        <v>0</v>
      </c>
      <c r="CU28" s="2">
        <f t="shared" si="2"/>
        <v>0</v>
      </c>
      <c r="CV28" s="2">
        <f t="shared" si="3"/>
        <v>0</v>
      </c>
      <c r="CW28" s="2">
        <f t="shared" si="4"/>
        <v>0</v>
      </c>
      <c r="CX28" s="2">
        <f t="shared" si="5"/>
        <v>0</v>
      </c>
      <c r="CZ28" s="41" t="e">
        <f t="shared" si="6"/>
        <v>#DIV/0!</v>
      </c>
      <c r="DA28" s="41" t="e">
        <f t="shared" si="7"/>
        <v>#DIV/0!</v>
      </c>
      <c r="DB28" s="41" t="e">
        <f t="shared" si="8"/>
        <v>#DIV/0!</v>
      </c>
      <c r="DD28" s="41" t="e">
        <f t="shared" si="9"/>
        <v>#DIV/0!</v>
      </c>
      <c r="DE28" s="41" t="e">
        <f t="shared" si="10"/>
        <v>#DIV/0!</v>
      </c>
      <c r="DF28" s="41" t="e">
        <f t="shared" si="11"/>
        <v>#DIV/0!</v>
      </c>
      <c r="DH28" s="41" t="e">
        <f t="shared" si="12"/>
        <v>#DIV/0!</v>
      </c>
      <c r="DI28" s="41" t="e">
        <f t="shared" si="13"/>
        <v>#DIV/0!</v>
      </c>
      <c r="DJ28" s="41" t="e">
        <f t="shared" si="14"/>
        <v>#DIV/0!</v>
      </c>
      <c r="DL28" s="2">
        <f>CT28/节奏总纲!D24</f>
        <v>0</v>
      </c>
      <c r="DM28" s="2">
        <f>CU28/节奏总纲!E24</f>
        <v>0</v>
      </c>
      <c r="DN28" s="2">
        <f>CV28/节奏总纲!F24</f>
        <v>0</v>
      </c>
      <c r="DO28" s="2">
        <f>CW28/节奏总纲!G24</f>
        <v>0</v>
      </c>
      <c r="DP28" s="2">
        <f>CX28/节奏总纲!H24</f>
        <v>0</v>
      </c>
      <c r="DR28" s="2" t="e">
        <f t="shared" si="15"/>
        <v>#DIV/0!</v>
      </c>
      <c r="DS28" s="2" t="e">
        <f t="shared" si="16"/>
        <v>#DIV/0!</v>
      </c>
      <c r="DT28" s="2" t="e">
        <f t="shared" si="17"/>
        <v>#DIV/0!</v>
      </c>
      <c r="DU28" s="2" t="e">
        <f t="shared" si="18"/>
        <v>#DIV/0!</v>
      </c>
      <c r="DY28" s="2">
        <v>21</v>
      </c>
      <c r="DZ28" s="2">
        <f t="shared" si="22"/>
        <v>0</v>
      </c>
      <c r="EA28" s="2">
        <f t="shared" si="23"/>
        <v>0</v>
      </c>
      <c r="EB28" s="2">
        <f t="shared" si="24"/>
        <v>0</v>
      </c>
      <c r="EC28" s="2">
        <f t="shared" si="25"/>
        <v>0</v>
      </c>
      <c r="ED28" s="2">
        <f t="shared" si="26"/>
        <v>0</v>
      </c>
      <c r="EF28" s="57" t="e">
        <f t="shared" si="27"/>
        <v>#DIV/0!</v>
      </c>
      <c r="EG28" s="57" t="e">
        <f t="shared" si="28"/>
        <v>#DIV/0!</v>
      </c>
      <c r="EH28" s="41" t="e">
        <f t="shared" si="29"/>
        <v>#DIV/0!</v>
      </c>
      <c r="EJ28" s="57" t="e">
        <f t="shared" si="30"/>
        <v>#DIV/0!</v>
      </c>
      <c r="EK28" s="57" t="e">
        <f t="shared" si="31"/>
        <v>#DIV/0!</v>
      </c>
      <c r="EL28" s="41" t="e">
        <f t="shared" si="32"/>
        <v>#DIV/0!</v>
      </c>
      <c r="EN28" s="57" t="e">
        <f t="shared" si="33"/>
        <v>#DIV/0!</v>
      </c>
      <c r="EO28" s="57" t="e">
        <f t="shared" si="34"/>
        <v>#DIV/0!</v>
      </c>
      <c r="EP28" s="41" t="e">
        <f t="shared" si="35"/>
        <v>#DIV/0!</v>
      </c>
    </row>
    <row r="29" spans="2:146" x14ac:dyDescent="0.15">
      <c r="T29" s="2">
        <v>22</v>
      </c>
      <c r="U29" s="2">
        <f>$N$8*SUM(C$11:C$12)/(365/12)*MAX(节奏总纲!D25-$E$2,0)</f>
        <v>0</v>
      </c>
      <c r="V29" s="2">
        <f>$N$8*SUM(D$11:D$12)/(365/12)*MAX(节奏总纲!E25-$E$2,0)</f>
        <v>0</v>
      </c>
      <c r="W29" s="2">
        <f>$N$8*SUM(E$11:E$12)/(365/12)*MAX(节奏总纲!F25-$E$2,0)</f>
        <v>0</v>
      </c>
      <c r="X29" s="2">
        <f>$N$8*SUM(F$11:F$12)/(365/12)*MAX(节奏总纲!G25-$E$2,0)</f>
        <v>0</v>
      </c>
      <c r="Y29" s="2">
        <f>$N$8*SUM(G$11:G$12)/(365/12)*MAX(节奏总纲!H25-$E$2,0)</f>
        <v>0</v>
      </c>
      <c r="Z29" s="2">
        <f>$O$8*SUM(C$11:C$12)/(365/12)*MAX(节奏总纲!D25-$E$2,0)</f>
        <v>0</v>
      </c>
      <c r="AA29" s="2">
        <f>$O$8*SUM(D$11:D$12)/(365/12)*MAX(节奏总纲!E25-$E$2,0)</f>
        <v>0</v>
      </c>
      <c r="AB29" s="2">
        <f>$O$8*SUM(E$11:E$12)/(365/12)*MAX(节奏总纲!F25-$E$2,0)</f>
        <v>0</v>
      </c>
      <c r="AC29" s="2">
        <f>$O$8*SUM(F$11:F$12)/(365/12)*MAX(节奏总纲!G25-$E$2,0)</f>
        <v>0</v>
      </c>
      <c r="AD29" s="2">
        <f>$O$8*SUM(G$11:G$12)/(365/12)*MAX(节奏总纲!H25-$E$2,0)</f>
        <v>0</v>
      </c>
      <c r="AE29" s="2">
        <f>$Q$8*SUM(C$11:C$12)/(365/12)*MAX(节奏总纲!D25-$E$2,0)</f>
        <v>0</v>
      </c>
      <c r="AF29" s="2">
        <f>$Q$8*SUM(D$11:D$12)/(365/12)*MAX(节奏总纲!E25-$E$2,0)</f>
        <v>0</v>
      </c>
      <c r="AG29" s="2">
        <f>$Q$8*SUM(E$11:E$12)/(365/12)*MAX(节奏总纲!F25-$E$2,0)</f>
        <v>0</v>
      </c>
      <c r="AH29" s="2">
        <f>$Q$8*SUM(F$11:F$12)/(365/12)*MAX(节奏总纲!G25-$E$2,0)</f>
        <v>0</v>
      </c>
      <c r="AI29" s="2">
        <f>$Q$8*SUM(G$11:G$12)/(365/12)*MAX(节奏总纲!H25-$E$2,0)</f>
        <v>0</v>
      </c>
      <c r="AJ29" s="2">
        <f>$P$8*SUM(C$11:C$12)/(365/12)*MAX(节奏总纲!D25-$E$2,0)</f>
        <v>0</v>
      </c>
      <c r="AK29" s="2">
        <f>$P$8*SUM(D$11:D$12)/(365/12)*MAX(节奏总纲!E25-$E$2,0)</f>
        <v>0</v>
      </c>
      <c r="AL29" s="2">
        <f>$P$8*SUM(E$11:E$12)/(365/12)*MAX(节奏总纲!F25-$E$2,0)</f>
        <v>0</v>
      </c>
      <c r="AM29" s="2">
        <f>$P$8*SUM(F$11:F$12)/(365/12)*MAX(节奏总纲!G25-$E$2,0)</f>
        <v>0</v>
      </c>
      <c r="AN29" s="2">
        <f>$P$8*SUM(G$11:G$12)/(365/12)*MAX(节奏总纲!H25-$E$2,0)</f>
        <v>0</v>
      </c>
      <c r="AU29" s="2">
        <v>2</v>
      </c>
      <c r="AV29" s="2">
        <v>2</v>
      </c>
      <c r="AW29" s="2">
        <v>40</v>
      </c>
      <c r="AY29" s="2">
        <v>14400</v>
      </c>
      <c r="AZ29" s="2">
        <v>750</v>
      </c>
      <c r="BC29" s="2">
        <v>22</v>
      </c>
      <c r="BD29" s="2">
        <f>$AZ$8/(365/12)*MAX(节奏总纲!D25-$E$2,0)</f>
        <v>0</v>
      </c>
      <c r="BE29" s="2">
        <f>$AZ$8/(365/12)*MAX(节奏总纲!E25-$E$2,0)</f>
        <v>0</v>
      </c>
      <c r="BF29" s="2">
        <f>$AZ$8/(365/12)*MAX(节奏总纲!F25-$E$2,0)</f>
        <v>0</v>
      </c>
      <c r="BG29" s="2">
        <f>$AZ$8/(365/12)*MAX(节奏总纲!G25-$E$2,0)</f>
        <v>0</v>
      </c>
      <c r="BH29" s="2">
        <f>$AZ$8/(365/12)*MAX(节奏总纲!H25-$E$2,0)</f>
        <v>0</v>
      </c>
      <c r="BI29" s="2">
        <f>$AY$8/(365/12)*MAX(节奏总纲!D25-$E$2,0)</f>
        <v>0</v>
      </c>
      <c r="BJ29" s="2">
        <f>$AY$8/(365/12)*MAX(节奏总纲!E25-$E$2,0)</f>
        <v>0</v>
      </c>
      <c r="BK29" s="2">
        <f>$AY$8/(365/12)*MAX(节奏总纲!F25-$E$2,0)</f>
        <v>0</v>
      </c>
      <c r="BL29" s="2">
        <f>$AY$8/(365/12)*MAX(节奏总纲!G25-$E$2,0)</f>
        <v>0</v>
      </c>
      <c r="BM29" s="2">
        <f>$AY$8/(365/12)*MAX(节奏总纲!H25-$E$2,0)</f>
        <v>0</v>
      </c>
      <c r="CD29" s="2">
        <v>22</v>
      </c>
      <c r="CE29" s="2">
        <f>INDEX($BY$8:$BY$15,MATCH(CE$7,$CB$8:$CB$15,0))*SUM(C$11:C$12)/(365/12)*MAX(节奏总纲!D25-$E$2,0)</f>
        <v>0</v>
      </c>
      <c r="CF29" s="2">
        <f>INDEX($BY$8:$BY$15,MATCH(CF$7,$CB$8:$CB$15,0))*SUM(D$11:D$12)/(365/12)*MAX(节奏总纲!E25-$E$2,0)</f>
        <v>0</v>
      </c>
      <c r="CG29" s="2">
        <f>INDEX($BY$8:$BY$15,MATCH(CG$7,$CB$8:$CB$15,0))*SUM(E$11:E$12)/(365/12)*MAX(节奏总纲!F25-$E$2,0)</f>
        <v>0</v>
      </c>
      <c r="CH29" s="2">
        <f>INDEX($BY$8:$BY$15,MATCH(CH$7,$CB$8:$CB$15,0))*SUM(F$11:F$12)/(365/12)*MAX(节奏总纲!G25-$E$2,0)</f>
        <v>0</v>
      </c>
      <c r="CI29" s="2">
        <f>INDEX($BY$8:$BY$15,MATCH(CI$7,$CB$8:$CB$15,0))*SUM(G$11:G$12)/(365/12)*MAX(节奏总纲!H25-$E$2,0)</f>
        <v>0</v>
      </c>
      <c r="CJ29" s="2">
        <f>INDEX($BZ$8:$BZ$15,MATCH(CE$7,$CB$8:$CB$15,0))*SUM(C$11:C$12)/(365/12)*MAX(节奏总纲!D25-$E$2,0)</f>
        <v>0</v>
      </c>
      <c r="CK29" s="2">
        <f>INDEX($BZ$8:$BZ$15,MATCH(CF$7,$CB$8:$CB$15,0))*SUM(D$11:D$12)/(365/12)*MAX(节奏总纲!E25-$E$2,0)</f>
        <v>0</v>
      </c>
      <c r="CL29" s="2">
        <f>INDEX($BZ$8:$BZ$15,MATCH(CG$7,$CB$8:$CB$15,0))*SUM(E$11:E$12)/(365/12)*MAX(节奏总纲!F25-$E$2,0)</f>
        <v>0</v>
      </c>
      <c r="CM29" s="2">
        <f>INDEX($BZ$8:$BZ$15,MATCH(CH$7,$CB$8:$CB$15,0))*SUM(F$11:F$12)/(365/12)*MAX(节奏总纲!G25-$E$2,0)</f>
        <v>0</v>
      </c>
      <c r="CN29" s="2">
        <f>INDEX($BZ$8:$BZ$15,MATCH(CI$7,$CB$8:$CB$15,0))*SUM(G$11:G$12)/(365/12)*MAX(节奏总纲!H25-$E$2,0)</f>
        <v>0</v>
      </c>
      <c r="CS29" s="2">
        <v>22</v>
      </c>
      <c r="CT29" s="2">
        <f t="shared" si="1"/>
        <v>0</v>
      </c>
      <c r="CU29" s="2">
        <f t="shared" si="2"/>
        <v>0</v>
      </c>
      <c r="CV29" s="2">
        <f t="shared" si="3"/>
        <v>0</v>
      </c>
      <c r="CW29" s="2">
        <f t="shared" si="4"/>
        <v>0</v>
      </c>
      <c r="CX29" s="2">
        <f t="shared" si="5"/>
        <v>0</v>
      </c>
      <c r="CZ29" s="41" t="e">
        <f t="shared" si="6"/>
        <v>#DIV/0!</v>
      </c>
      <c r="DA29" s="41" t="e">
        <f t="shared" si="7"/>
        <v>#DIV/0!</v>
      </c>
      <c r="DB29" s="41" t="e">
        <f t="shared" si="8"/>
        <v>#DIV/0!</v>
      </c>
      <c r="DD29" s="41" t="e">
        <f t="shared" si="9"/>
        <v>#DIV/0!</v>
      </c>
      <c r="DE29" s="41" t="e">
        <f t="shared" si="10"/>
        <v>#DIV/0!</v>
      </c>
      <c r="DF29" s="41" t="e">
        <f t="shared" si="11"/>
        <v>#DIV/0!</v>
      </c>
      <c r="DH29" s="41" t="e">
        <f t="shared" si="12"/>
        <v>#DIV/0!</v>
      </c>
      <c r="DI29" s="41" t="e">
        <f t="shared" si="13"/>
        <v>#DIV/0!</v>
      </c>
      <c r="DJ29" s="41" t="e">
        <f t="shared" si="14"/>
        <v>#DIV/0!</v>
      </c>
      <c r="DL29" s="2">
        <f>CT29/节奏总纲!D25</f>
        <v>0</v>
      </c>
      <c r="DM29" s="2">
        <f>CU29/节奏总纲!E25</f>
        <v>0</v>
      </c>
      <c r="DN29" s="2">
        <f>CV29/节奏总纲!F25</f>
        <v>0</v>
      </c>
      <c r="DO29" s="2">
        <f>CW29/节奏总纲!G25</f>
        <v>0</v>
      </c>
      <c r="DP29" s="2">
        <f>CX29/节奏总纲!H25</f>
        <v>0</v>
      </c>
      <c r="DR29" s="2" t="e">
        <f t="shared" si="15"/>
        <v>#DIV/0!</v>
      </c>
      <c r="DS29" s="2" t="e">
        <f t="shared" si="16"/>
        <v>#DIV/0!</v>
      </c>
      <c r="DT29" s="2" t="e">
        <f t="shared" si="17"/>
        <v>#DIV/0!</v>
      </c>
      <c r="DU29" s="2" t="e">
        <f t="shared" si="18"/>
        <v>#DIV/0!</v>
      </c>
      <c r="DY29" s="2">
        <v>22</v>
      </c>
      <c r="DZ29" s="2">
        <f t="shared" si="22"/>
        <v>0</v>
      </c>
      <c r="EA29" s="2">
        <f t="shared" si="23"/>
        <v>0</v>
      </c>
      <c r="EB29" s="2">
        <f t="shared" si="24"/>
        <v>0</v>
      </c>
      <c r="EC29" s="2">
        <f t="shared" si="25"/>
        <v>0</v>
      </c>
      <c r="ED29" s="2">
        <f t="shared" si="26"/>
        <v>0</v>
      </c>
      <c r="EF29" s="57" t="e">
        <f t="shared" si="27"/>
        <v>#DIV/0!</v>
      </c>
      <c r="EG29" s="57" t="e">
        <f t="shared" si="28"/>
        <v>#DIV/0!</v>
      </c>
      <c r="EH29" s="41" t="e">
        <f t="shared" si="29"/>
        <v>#DIV/0!</v>
      </c>
      <c r="EJ29" s="57" t="e">
        <f t="shared" si="30"/>
        <v>#DIV/0!</v>
      </c>
      <c r="EK29" s="57" t="e">
        <f t="shared" si="31"/>
        <v>#DIV/0!</v>
      </c>
      <c r="EL29" s="41" t="e">
        <f t="shared" si="32"/>
        <v>#DIV/0!</v>
      </c>
      <c r="EN29" s="57" t="e">
        <f t="shared" si="33"/>
        <v>#DIV/0!</v>
      </c>
      <c r="EO29" s="57" t="e">
        <f t="shared" si="34"/>
        <v>#DIV/0!</v>
      </c>
      <c r="EP29" s="41" t="e">
        <f t="shared" si="35"/>
        <v>#DIV/0!</v>
      </c>
    </row>
    <row r="30" spans="2:146" x14ac:dyDescent="0.15">
      <c r="T30" s="2">
        <v>23</v>
      </c>
      <c r="U30" s="2">
        <f>$N$8*SUM(C$11:C$12)/(365/12)*MAX(节奏总纲!D26-$E$2,0)</f>
        <v>0</v>
      </c>
      <c r="V30" s="2">
        <f>$N$8*SUM(D$11:D$12)/(365/12)*MAX(节奏总纲!E26-$E$2,0)</f>
        <v>0</v>
      </c>
      <c r="W30" s="2">
        <f>$N$8*SUM(E$11:E$12)/(365/12)*MAX(节奏总纲!F26-$E$2,0)</f>
        <v>0</v>
      </c>
      <c r="X30" s="2">
        <f>$N$8*SUM(F$11:F$12)/(365/12)*MAX(节奏总纲!G26-$E$2,0)</f>
        <v>0</v>
      </c>
      <c r="Y30" s="2">
        <f>$N$8*SUM(G$11:G$12)/(365/12)*MAX(节奏总纲!H26-$E$2,0)</f>
        <v>0</v>
      </c>
      <c r="Z30" s="2">
        <f>$O$8*SUM(C$11:C$12)/(365/12)*MAX(节奏总纲!D26-$E$2,0)</f>
        <v>0</v>
      </c>
      <c r="AA30" s="2">
        <f>$O$8*SUM(D$11:D$12)/(365/12)*MAX(节奏总纲!E26-$E$2,0)</f>
        <v>0</v>
      </c>
      <c r="AB30" s="2">
        <f>$O$8*SUM(E$11:E$12)/(365/12)*MAX(节奏总纲!F26-$E$2,0)</f>
        <v>0</v>
      </c>
      <c r="AC30" s="2">
        <f>$O$8*SUM(F$11:F$12)/(365/12)*MAX(节奏总纲!G26-$E$2,0)</f>
        <v>0</v>
      </c>
      <c r="AD30" s="2">
        <f>$O$8*SUM(G$11:G$12)/(365/12)*MAX(节奏总纲!H26-$E$2,0)</f>
        <v>0</v>
      </c>
      <c r="AE30" s="2">
        <f>$Q$8*SUM(C$11:C$12)/(365/12)*MAX(节奏总纲!D26-$E$2,0)</f>
        <v>0</v>
      </c>
      <c r="AF30" s="2">
        <f>$Q$8*SUM(D$11:D$12)/(365/12)*MAX(节奏总纲!E26-$E$2,0)</f>
        <v>0</v>
      </c>
      <c r="AG30" s="2">
        <f>$Q$8*SUM(E$11:E$12)/(365/12)*MAX(节奏总纲!F26-$E$2,0)</f>
        <v>0</v>
      </c>
      <c r="AH30" s="2">
        <f>$Q$8*SUM(F$11:F$12)/(365/12)*MAX(节奏总纲!G26-$E$2,0)</f>
        <v>0</v>
      </c>
      <c r="AI30" s="2">
        <f>$Q$8*SUM(G$11:G$12)/(365/12)*MAX(节奏总纲!H26-$E$2,0)</f>
        <v>0</v>
      </c>
      <c r="AJ30" s="2">
        <f>$P$8*SUM(C$11:C$12)/(365/12)*MAX(节奏总纲!D26-$E$2,0)</f>
        <v>0</v>
      </c>
      <c r="AK30" s="2">
        <f>$P$8*SUM(D$11:D$12)/(365/12)*MAX(节奏总纲!E26-$E$2,0)</f>
        <v>0</v>
      </c>
      <c r="AL30" s="2">
        <f>$P$8*SUM(E$11:E$12)/(365/12)*MAX(节奏总纲!F26-$E$2,0)</f>
        <v>0</v>
      </c>
      <c r="AM30" s="2">
        <f>$P$8*SUM(F$11:F$12)/(365/12)*MAX(节奏总纲!G26-$E$2,0)</f>
        <v>0</v>
      </c>
      <c r="AN30" s="2">
        <f>$P$8*SUM(G$11:G$12)/(365/12)*MAX(节奏总纲!H26-$E$2,0)</f>
        <v>0</v>
      </c>
      <c r="AU30" s="2">
        <v>3</v>
      </c>
      <c r="AV30" s="2">
        <v>3</v>
      </c>
      <c r="AW30" s="2">
        <v>30</v>
      </c>
      <c r="AY30" s="2">
        <v>10800</v>
      </c>
      <c r="AZ30" s="2">
        <v>500</v>
      </c>
      <c r="BC30" s="2">
        <v>23</v>
      </c>
      <c r="BD30" s="2">
        <f>$AZ$8/(365/12)*MAX(节奏总纲!D26-$E$2,0)</f>
        <v>0</v>
      </c>
      <c r="BE30" s="2">
        <f>$AZ$8/(365/12)*MAX(节奏总纲!E26-$E$2,0)</f>
        <v>0</v>
      </c>
      <c r="BF30" s="2">
        <f>$AZ$8/(365/12)*MAX(节奏总纲!F26-$E$2,0)</f>
        <v>0</v>
      </c>
      <c r="BG30" s="2">
        <f>$AZ$8/(365/12)*MAX(节奏总纲!G26-$E$2,0)</f>
        <v>0</v>
      </c>
      <c r="BH30" s="2">
        <f>$AZ$8/(365/12)*MAX(节奏总纲!H26-$E$2,0)</f>
        <v>0</v>
      </c>
      <c r="BI30" s="2">
        <f>$AY$8/(365/12)*MAX(节奏总纲!D26-$E$2,0)</f>
        <v>0</v>
      </c>
      <c r="BJ30" s="2">
        <f>$AY$8/(365/12)*MAX(节奏总纲!E26-$E$2,0)</f>
        <v>0</v>
      </c>
      <c r="BK30" s="2">
        <f>$AY$8/(365/12)*MAX(节奏总纲!F26-$E$2,0)</f>
        <v>0</v>
      </c>
      <c r="BL30" s="2">
        <f>$AY$8/(365/12)*MAX(节奏总纲!G26-$E$2,0)</f>
        <v>0</v>
      </c>
      <c r="BM30" s="2">
        <f>$AY$8/(365/12)*MAX(节奏总纲!H26-$E$2,0)</f>
        <v>0</v>
      </c>
      <c r="CD30" s="2">
        <v>23</v>
      </c>
      <c r="CE30" s="2">
        <f>INDEX($BY$8:$BY$15,MATCH(CE$7,$CB$8:$CB$15,0))*SUM(C$11:C$12)/(365/12)*MAX(节奏总纲!D26-$E$2,0)</f>
        <v>0</v>
      </c>
      <c r="CF30" s="2">
        <f>INDEX($BY$8:$BY$15,MATCH(CF$7,$CB$8:$CB$15,0))*SUM(D$11:D$12)/(365/12)*MAX(节奏总纲!E26-$E$2,0)</f>
        <v>0</v>
      </c>
      <c r="CG30" s="2">
        <f>INDEX($BY$8:$BY$15,MATCH(CG$7,$CB$8:$CB$15,0))*SUM(E$11:E$12)/(365/12)*MAX(节奏总纲!F26-$E$2,0)</f>
        <v>0</v>
      </c>
      <c r="CH30" s="2">
        <f>INDEX($BY$8:$BY$15,MATCH(CH$7,$CB$8:$CB$15,0))*SUM(F$11:F$12)/(365/12)*MAX(节奏总纲!G26-$E$2,0)</f>
        <v>0</v>
      </c>
      <c r="CI30" s="2">
        <f>INDEX($BY$8:$BY$15,MATCH(CI$7,$CB$8:$CB$15,0))*SUM(G$11:G$12)/(365/12)*MAX(节奏总纲!H26-$E$2,0)</f>
        <v>0</v>
      </c>
      <c r="CJ30" s="2">
        <f>INDEX($BZ$8:$BZ$15,MATCH(CE$7,$CB$8:$CB$15,0))*SUM(C$11:C$12)/(365/12)*MAX(节奏总纲!D26-$E$2,0)</f>
        <v>0</v>
      </c>
      <c r="CK30" s="2">
        <f>INDEX($BZ$8:$BZ$15,MATCH(CF$7,$CB$8:$CB$15,0))*SUM(D$11:D$12)/(365/12)*MAX(节奏总纲!E26-$E$2,0)</f>
        <v>0</v>
      </c>
      <c r="CL30" s="2">
        <f>INDEX($BZ$8:$BZ$15,MATCH(CG$7,$CB$8:$CB$15,0))*SUM(E$11:E$12)/(365/12)*MAX(节奏总纲!F26-$E$2,0)</f>
        <v>0</v>
      </c>
      <c r="CM30" s="2">
        <f>INDEX($BZ$8:$BZ$15,MATCH(CH$7,$CB$8:$CB$15,0))*SUM(F$11:F$12)/(365/12)*MAX(节奏总纲!G26-$E$2,0)</f>
        <v>0</v>
      </c>
      <c r="CN30" s="2">
        <f>INDEX($BZ$8:$BZ$15,MATCH(CI$7,$CB$8:$CB$15,0))*SUM(G$11:G$12)/(365/12)*MAX(节奏总纲!H26-$E$2,0)</f>
        <v>0</v>
      </c>
      <c r="CS30" s="2">
        <v>23</v>
      </c>
      <c r="CT30" s="2">
        <f t="shared" si="1"/>
        <v>0</v>
      </c>
      <c r="CU30" s="2">
        <f t="shared" si="2"/>
        <v>0</v>
      </c>
      <c r="CV30" s="2">
        <f t="shared" si="3"/>
        <v>0</v>
      </c>
      <c r="CW30" s="2">
        <f t="shared" si="4"/>
        <v>0</v>
      </c>
      <c r="CX30" s="2">
        <f t="shared" si="5"/>
        <v>0</v>
      </c>
      <c r="CZ30" s="41" t="e">
        <f t="shared" si="6"/>
        <v>#DIV/0!</v>
      </c>
      <c r="DA30" s="41" t="e">
        <f t="shared" si="7"/>
        <v>#DIV/0!</v>
      </c>
      <c r="DB30" s="41" t="e">
        <f t="shared" si="8"/>
        <v>#DIV/0!</v>
      </c>
      <c r="DD30" s="41" t="e">
        <f t="shared" si="9"/>
        <v>#DIV/0!</v>
      </c>
      <c r="DE30" s="41" t="e">
        <f t="shared" si="10"/>
        <v>#DIV/0!</v>
      </c>
      <c r="DF30" s="41" t="e">
        <f t="shared" si="11"/>
        <v>#DIV/0!</v>
      </c>
      <c r="DH30" s="41" t="e">
        <f t="shared" si="12"/>
        <v>#DIV/0!</v>
      </c>
      <c r="DI30" s="41" t="e">
        <f t="shared" si="13"/>
        <v>#DIV/0!</v>
      </c>
      <c r="DJ30" s="41" t="e">
        <f t="shared" si="14"/>
        <v>#DIV/0!</v>
      </c>
      <c r="DL30" s="2">
        <f>CT30/节奏总纲!D26</f>
        <v>0</v>
      </c>
      <c r="DM30" s="2">
        <f>CU30/节奏总纲!E26</f>
        <v>0</v>
      </c>
      <c r="DN30" s="2">
        <f>CV30/节奏总纲!F26</f>
        <v>0</v>
      </c>
      <c r="DO30" s="2">
        <f>CW30/节奏总纲!G26</f>
        <v>0</v>
      </c>
      <c r="DP30" s="2">
        <f>CX30/节奏总纲!H26</f>
        <v>0</v>
      </c>
      <c r="DR30" s="2" t="e">
        <f t="shared" si="15"/>
        <v>#DIV/0!</v>
      </c>
      <c r="DS30" s="2" t="e">
        <f t="shared" si="16"/>
        <v>#DIV/0!</v>
      </c>
      <c r="DT30" s="2" t="e">
        <f t="shared" si="17"/>
        <v>#DIV/0!</v>
      </c>
      <c r="DU30" s="2" t="e">
        <f t="shared" si="18"/>
        <v>#DIV/0!</v>
      </c>
      <c r="DY30" s="2">
        <v>23</v>
      </c>
      <c r="DZ30" s="2">
        <f t="shared" si="22"/>
        <v>0</v>
      </c>
      <c r="EA30" s="2">
        <f t="shared" si="23"/>
        <v>0</v>
      </c>
      <c r="EB30" s="2">
        <f t="shared" si="24"/>
        <v>0</v>
      </c>
      <c r="EC30" s="2">
        <f t="shared" si="25"/>
        <v>0</v>
      </c>
      <c r="ED30" s="2">
        <f t="shared" si="26"/>
        <v>0</v>
      </c>
      <c r="EF30" s="57" t="e">
        <f t="shared" si="27"/>
        <v>#DIV/0!</v>
      </c>
      <c r="EG30" s="57" t="e">
        <f t="shared" si="28"/>
        <v>#DIV/0!</v>
      </c>
      <c r="EH30" s="41" t="e">
        <f t="shared" si="29"/>
        <v>#DIV/0!</v>
      </c>
      <c r="EJ30" s="57" t="e">
        <f t="shared" si="30"/>
        <v>#DIV/0!</v>
      </c>
      <c r="EK30" s="57" t="e">
        <f t="shared" si="31"/>
        <v>#DIV/0!</v>
      </c>
      <c r="EL30" s="41" t="e">
        <f t="shared" si="32"/>
        <v>#DIV/0!</v>
      </c>
      <c r="EN30" s="57" t="e">
        <f t="shared" si="33"/>
        <v>#DIV/0!</v>
      </c>
      <c r="EO30" s="57" t="e">
        <f t="shared" si="34"/>
        <v>#DIV/0!</v>
      </c>
      <c r="EP30" s="41" t="e">
        <f t="shared" si="35"/>
        <v>#DIV/0!</v>
      </c>
    </row>
    <row r="31" spans="2:146" x14ac:dyDescent="0.15">
      <c r="T31" s="2">
        <v>24</v>
      </c>
      <c r="U31" s="2">
        <f>$N$8*SUM(C$11:C$12)/(365/12)*MAX(节奏总纲!D27-$E$2,0)</f>
        <v>0</v>
      </c>
      <c r="V31" s="2">
        <f>$N$8*SUM(D$11:D$12)/(365/12)*MAX(节奏总纲!E27-$E$2,0)</f>
        <v>0</v>
      </c>
      <c r="W31" s="2">
        <f>$N$8*SUM(E$11:E$12)/(365/12)*MAX(节奏总纲!F27-$E$2,0)</f>
        <v>0</v>
      </c>
      <c r="X31" s="2">
        <f>$N$8*SUM(F$11:F$12)/(365/12)*MAX(节奏总纲!G27-$E$2,0)</f>
        <v>0</v>
      </c>
      <c r="Y31" s="2">
        <f>$N$8*SUM(G$11:G$12)/(365/12)*MAX(节奏总纲!H27-$E$2,0)</f>
        <v>0</v>
      </c>
      <c r="Z31" s="2">
        <f>$O$8*SUM(C$11:C$12)/(365/12)*MAX(节奏总纲!D27-$E$2,0)</f>
        <v>0</v>
      </c>
      <c r="AA31" s="2">
        <f>$O$8*SUM(D$11:D$12)/(365/12)*MAX(节奏总纲!E27-$E$2,0)</f>
        <v>0</v>
      </c>
      <c r="AB31" s="2">
        <f>$O$8*SUM(E$11:E$12)/(365/12)*MAX(节奏总纲!F27-$E$2,0)</f>
        <v>0</v>
      </c>
      <c r="AC31" s="2">
        <f>$O$8*SUM(F$11:F$12)/(365/12)*MAX(节奏总纲!G27-$E$2,0)</f>
        <v>0</v>
      </c>
      <c r="AD31" s="2">
        <f>$O$8*SUM(G$11:G$12)/(365/12)*MAX(节奏总纲!H27-$E$2,0)</f>
        <v>0</v>
      </c>
      <c r="AE31" s="2">
        <f>$Q$8*SUM(C$11:C$12)/(365/12)*MAX(节奏总纲!D27-$E$2,0)</f>
        <v>0</v>
      </c>
      <c r="AF31" s="2">
        <f>$Q$8*SUM(D$11:D$12)/(365/12)*MAX(节奏总纲!E27-$E$2,0)</f>
        <v>0</v>
      </c>
      <c r="AG31" s="2">
        <f>$Q$8*SUM(E$11:E$12)/(365/12)*MAX(节奏总纲!F27-$E$2,0)</f>
        <v>0</v>
      </c>
      <c r="AH31" s="2">
        <f>$Q$8*SUM(F$11:F$12)/(365/12)*MAX(节奏总纲!G27-$E$2,0)</f>
        <v>0</v>
      </c>
      <c r="AI31" s="2">
        <f>$Q$8*SUM(G$11:G$12)/(365/12)*MAX(节奏总纲!H27-$E$2,0)</f>
        <v>0</v>
      </c>
      <c r="AJ31" s="2">
        <f>$P$8*SUM(C$11:C$12)/(365/12)*MAX(节奏总纲!D27-$E$2,0)</f>
        <v>0</v>
      </c>
      <c r="AK31" s="2">
        <f>$P$8*SUM(D$11:D$12)/(365/12)*MAX(节奏总纲!E27-$E$2,0)</f>
        <v>0</v>
      </c>
      <c r="AL31" s="2">
        <f>$P$8*SUM(E$11:E$12)/(365/12)*MAX(节奏总纲!F27-$E$2,0)</f>
        <v>0</v>
      </c>
      <c r="AM31" s="2">
        <f>$P$8*SUM(F$11:F$12)/(365/12)*MAX(节奏总纲!G27-$E$2,0)</f>
        <v>0</v>
      </c>
      <c r="AN31" s="2">
        <f>$P$8*SUM(G$11:G$12)/(365/12)*MAX(节奏总纲!H27-$E$2,0)</f>
        <v>0</v>
      </c>
      <c r="AU31" s="2">
        <v>4</v>
      </c>
      <c r="AV31" s="2">
        <v>4</v>
      </c>
      <c r="AW31" s="2">
        <v>20</v>
      </c>
      <c r="AY31" s="2">
        <v>7200</v>
      </c>
      <c r="AZ31" s="2">
        <v>250</v>
      </c>
      <c r="BC31" s="2">
        <v>24</v>
      </c>
      <c r="BD31" s="2">
        <f>$AZ$8/(365/12)*MAX(节奏总纲!D27-$E$2,0)</f>
        <v>0</v>
      </c>
      <c r="BE31" s="2">
        <f>$AZ$8/(365/12)*MAX(节奏总纲!E27-$E$2,0)</f>
        <v>0</v>
      </c>
      <c r="BF31" s="2">
        <f>$AZ$8/(365/12)*MAX(节奏总纲!F27-$E$2,0)</f>
        <v>0</v>
      </c>
      <c r="BG31" s="2">
        <f>$AZ$8/(365/12)*MAX(节奏总纲!G27-$E$2,0)</f>
        <v>0</v>
      </c>
      <c r="BH31" s="2">
        <f>$AZ$8/(365/12)*MAX(节奏总纲!H27-$E$2,0)</f>
        <v>0</v>
      </c>
      <c r="BI31" s="2">
        <f>$AY$8/(365/12)*MAX(节奏总纲!D27-$E$2,0)</f>
        <v>0</v>
      </c>
      <c r="BJ31" s="2">
        <f>$AY$8/(365/12)*MAX(节奏总纲!E27-$E$2,0)</f>
        <v>0</v>
      </c>
      <c r="BK31" s="2">
        <f>$AY$8/(365/12)*MAX(节奏总纲!F27-$E$2,0)</f>
        <v>0</v>
      </c>
      <c r="BL31" s="2">
        <f>$AY$8/(365/12)*MAX(节奏总纲!G27-$E$2,0)</f>
        <v>0</v>
      </c>
      <c r="BM31" s="2">
        <f>$AY$8/(365/12)*MAX(节奏总纲!H27-$E$2,0)</f>
        <v>0</v>
      </c>
      <c r="CD31" s="2">
        <v>24</v>
      </c>
      <c r="CE31" s="2">
        <f>INDEX($BY$8:$BY$15,MATCH(CE$7,$CB$8:$CB$15,0))*SUM(C$11:C$12)/(365/12)*MAX(节奏总纲!D27-$E$2,0)</f>
        <v>0</v>
      </c>
      <c r="CF31" s="2">
        <f>INDEX($BY$8:$BY$15,MATCH(CF$7,$CB$8:$CB$15,0))*SUM(D$11:D$12)/(365/12)*MAX(节奏总纲!E27-$E$2,0)</f>
        <v>0</v>
      </c>
      <c r="CG31" s="2">
        <f>INDEX($BY$8:$BY$15,MATCH(CG$7,$CB$8:$CB$15,0))*SUM(E$11:E$12)/(365/12)*MAX(节奏总纲!F27-$E$2,0)</f>
        <v>0</v>
      </c>
      <c r="CH31" s="2">
        <f>INDEX($BY$8:$BY$15,MATCH(CH$7,$CB$8:$CB$15,0))*SUM(F$11:F$12)/(365/12)*MAX(节奏总纲!G27-$E$2,0)</f>
        <v>0</v>
      </c>
      <c r="CI31" s="2">
        <f>INDEX($BY$8:$BY$15,MATCH(CI$7,$CB$8:$CB$15,0))*SUM(G$11:G$12)/(365/12)*MAX(节奏总纲!H27-$E$2,0)</f>
        <v>0</v>
      </c>
      <c r="CJ31" s="2">
        <f>INDEX($BZ$8:$BZ$15,MATCH(CE$7,$CB$8:$CB$15,0))*SUM(C$11:C$12)/(365/12)*MAX(节奏总纲!D27-$E$2,0)</f>
        <v>0</v>
      </c>
      <c r="CK31" s="2">
        <f>INDEX($BZ$8:$BZ$15,MATCH(CF$7,$CB$8:$CB$15,0))*SUM(D$11:D$12)/(365/12)*MAX(节奏总纲!E27-$E$2,0)</f>
        <v>0</v>
      </c>
      <c r="CL31" s="2">
        <f>INDEX($BZ$8:$BZ$15,MATCH(CG$7,$CB$8:$CB$15,0))*SUM(E$11:E$12)/(365/12)*MAX(节奏总纲!F27-$E$2,0)</f>
        <v>0</v>
      </c>
      <c r="CM31" s="2">
        <f>INDEX($BZ$8:$BZ$15,MATCH(CH$7,$CB$8:$CB$15,0))*SUM(F$11:F$12)/(365/12)*MAX(节奏总纲!G27-$E$2,0)</f>
        <v>0</v>
      </c>
      <c r="CN31" s="2">
        <f>INDEX($BZ$8:$BZ$15,MATCH(CI$7,$CB$8:$CB$15,0))*SUM(G$11:G$12)/(365/12)*MAX(节奏总纲!H27-$E$2,0)</f>
        <v>0</v>
      </c>
      <c r="CS31" s="2">
        <v>24</v>
      </c>
      <c r="CT31" s="2">
        <f t="shared" si="1"/>
        <v>0</v>
      </c>
      <c r="CU31" s="2">
        <f t="shared" si="2"/>
        <v>0</v>
      </c>
      <c r="CV31" s="2">
        <f t="shared" si="3"/>
        <v>0</v>
      </c>
      <c r="CW31" s="2">
        <f t="shared" si="4"/>
        <v>0</v>
      </c>
      <c r="CX31" s="2">
        <f t="shared" si="5"/>
        <v>0</v>
      </c>
      <c r="CZ31" s="41" t="e">
        <f t="shared" si="6"/>
        <v>#DIV/0!</v>
      </c>
      <c r="DA31" s="41" t="e">
        <f t="shared" si="7"/>
        <v>#DIV/0!</v>
      </c>
      <c r="DB31" s="41" t="e">
        <f t="shared" si="8"/>
        <v>#DIV/0!</v>
      </c>
      <c r="DD31" s="41" t="e">
        <f t="shared" si="9"/>
        <v>#DIV/0!</v>
      </c>
      <c r="DE31" s="41" t="e">
        <f t="shared" si="10"/>
        <v>#DIV/0!</v>
      </c>
      <c r="DF31" s="41" t="e">
        <f t="shared" si="11"/>
        <v>#DIV/0!</v>
      </c>
      <c r="DH31" s="41" t="e">
        <f t="shared" si="12"/>
        <v>#DIV/0!</v>
      </c>
      <c r="DI31" s="41" t="e">
        <f t="shared" si="13"/>
        <v>#DIV/0!</v>
      </c>
      <c r="DJ31" s="41" t="e">
        <f t="shared" si="14"/>
        <v>#DIV/0!</v>
      </c>
      <c r="DL31" s="2">
        <f>CT31/节奏总纲!D27</f>
        <v>0</v>
      </c>
      <c r="DM31" s="2">
        <f>CU31/节奏总纲!E27</f>
        <v>0</v>
      </c>
      <c r="DN31" s="2">
        <f>CV31/节奏总纲!F27</f>
        <v>0</v>
      </c>
      <c r="DO31" s="2">
        <f>CW31/节奏总纲!G27</f>
        <v>0</v>
      </c>
      <c r="DP31" s="2">
        <f>CX31/节奏总纲!H27</f>
        <v>0</v>
      </c>
      <c r="DR31" s="2" t="e">
        <f t="shared" si="15"/>
        <v>#DIV/0!</v>
      </c>
      <c r="DS31" s="2" t="e">
        <f t="shared" si="16"/>
        <v>#DIV/0!</v>
      </c>
      <c r="DT31" s="2" t="e">
        <f t="shared" si="17"/>
        <v>#DIV/0!</v>
      </c>
      <c r="DU31" s="2" t="e">
        <f t="shared" si="18"/>
        <v>#DIV/0!</v>
      </c>
      <c r="DY31" s="2">
        <v>24</v>
      </c>
      <c r="DZ31" s="2">
        <f t="shared" si="22"/>
        <v>0</v>
      </c>
      <c r="EA31" s="2">
        <f t="shared" si="23"/>
        <v>0</v>
      </c>
      <c r="EB31" s="2">
        <f t="shared" si="24"/>
        <v>0</v>
      </c>
      <c r="EC31" s="2">
        <f t="shared" si="25"/>
        <v>0</v>
      </c>
      <c r="ED31" s="2">
        <f t="shared" si="26"/>
        <v>0</v>
      </c>
      <c r="EF31" s="57" t="e">
        <f t="shared" si="27"/>
        <v>#DIV/0!</v>
      </c>
      <c r="EG31" s="57" t="e">
        <f t="shared" si="28"/>
        <v>#DIV/0!</v>
      </c>
      <c r="EH31" s="41" t="e">
        <f t="shared" si="29"/>
        <v>#DIV/0!</v>
      </c>
      <c r="EJ31" s="57" t="e">
        <f t="shared" si="30"/>
        <v>#DIV/0!</v>
      </c>
      <c r="EK31" s="57" t="e">
        <f t="shared" si="31"/>
        <v>#DIV/0!</v>
      </c>
      <c r="EL31" s="41" t="e">
        <f t="shared" si="32"/>
        <v>#DIV/0!</v>
      </c>
      <c r="EN31" s="57" t="e">
        <f t="shared" si="33"/>
        <v>#DIV/0!</v>
      </c>
      <c r="EO31" s="57" t="e">
        <f t="shared" si="34"/>
        <v>#DIV/0!</v>
      </c>
      <c r="EP31" s="41" t="e">
        <f t="shared" si="35"/>
        <v>#DIV/0!</v>
      </c>
    </row>
    <row r="32" spans="2:146" x14ac:dyDescent="0.15">
      <c r="T32" s="2">
        <v>25</v>
      </c>
      <c r="U32" s="2">
        <f>$N$8*SUM(C$11:C$12)/(365/12)*MAX(节奏总纲!D28-$E$2,0)</f>
        <v>0</v>
      </c>
      <c r="V32" s="2">
        <f>$N$8*SUM(D$11:D$12)/(365/12)*MAX(节奏总纲!E28-$E$2,0)</f>
        <v>0</v>
      </c>
      <c r="W32" s="2">
        <f>$N$8*SUM(E$11:E$12)/(365/12)*MAX(节奏总纲!F28-$E$2,0)</f>
        <v>0</v>
      </c>
      <c r="X32" s="2">
        <f>$N$8*SUM(F$11:F$12)/(365/12)*MAX(节奏总纲!G28-$E$2,0)</f>
        <v>0</v>
      </c>
      <c r="Y32" s="2">
        <f>$N$8*SUM(G$11:G$12)/(365/12)*MAX(节奏总纲!H28-$E$2,0)</f>
        <v>0</v>
      </c>
      <c r="Z32" s="2">
        <f>$O$8*SUM(C$11:C$12)/(365/12)*MAX(节奏总纲!D28-$E$2,0)</f>
        <v>0</v>
      </c>
      <c r="AA32" s="2">
        <f>$O$8*SUM(D$11:D$12)/(365/12)*MAX(节奏总纲!E28-$E$2,0)</f>
        <v>0</v>
      </c>
      <c r="AB32" s="2">
        <f>$O$8*SUM(E$11:E$12)/(365/12)*MAX(节奏总纲!F28-$E$2,0)</f>
        <v>0</v>
      </c>
      <c r="AC32" s="2">
        <f>$O$8*SUM(F$11:F$12)/(365/12)*MAX(节奏总纲!G28-$E$2,0)</f>
        <v>0</v>
      </c>
      <c r="AD32" s="2">
        <f>$O$8*SUM(G$11:G$12)/(365/12)*MAX(节奏总纲!H28-$E$2,0)</f>
        <v>0</v>
      </c>
      <c r="AE32" s="2">
        <f>$Q$8*SUM(C$11:C$12)/(365/12)*MAX(节奏总纲!D28-$E$2,0)</f>
        <v>0</v>
      </c>
      <c r="AF32" s="2">
        <f>$Q$8*SUM(D$11:D$12)/(365/12)*MAX(节奏总纲!E28-$E$2,0)</f>
        <v>0</v>
      </c>
      <c r="AG32" s="2">
        <f>$Q$8*SUM(E$11:E$12)/(365/12)*MAX(节奏总纲!F28-$E$2,0)</f>
        <v>0</v>
      </c>
      <c r="AH32" s="2">
        <f>$Q$8*SUM(F$11:F$12)/(365/12)*MAX(节奏总纲!G28-$E$2,0)</f>
        <v>0</v>
      </c>
      <c r="AI32" s="2">
        <f>$Q$8*SUM(G$11:G$12)/(365/12)*MAX(节奏总纲!H28-$E$2,0)</f>
        <v>0</v>
      </c>
      <c r="AJ32" s="2">
        <f>$P$8*SUM(C$11:C$12)/(365/12)*MAX(节奏总纲!D28-$E$2,0)</f>
        <v>0</v>
      </c>
      <c r="AK32" s="2">
        <f>$P$8*SUM(D$11:D$12)/(365/12)*MAX(节奏总纲!E28-$E$2,0)</f>
        <v>0</v>
      </c>
      <c r="AL32" s="2">
        <f>$P$8*SUM(E$11:E$12)/(365/12)*MAX(节奏总纲!F28-$E$2,0)</f>
        <v>0</v>
      </c>
      <c r="AM32" s="2">
        <f>$P$8*SUM(F$11:F$12)/(365/12)*MAX(节奏总纲!G28-$E$2,0)</f>
        <v>0</v>
      </c>
      <c r="AN32" s="2">
        <f>$P$8*SUM(G$11:G$12)/(365/12)*MAX(节奏总纲!H28-$E$2,0)</f>
        <v>0</v>
      </c>
      <c r="AU32" s="43"/>
      <c r="AV32" s="43"/>
      <c r="AW32" s="43"/>
      <c r="AX32" s="43"/>
      <c r="AY32" s="43"/>
      <c r="AZ32" s="43"/>
      <c r="BC32" s="2">
        <v>25</v>
      </c>
      <c r="BD32" s="2">
        <f>$AZ$8/(365/12)*MAX(节奏总纲!D28-$E$2,0)</f>
        <v>0</v>
      </c>
      <c r="BE32" s="2">
        <f>$AZ$8/(365/12)*MAX(节奏总纲!E28-$E$2,0)</f>
        <v>0</v>
      </c>
      <c r="BF32" s="2">
        <f>$AZ$8/(365/12)*MAX(节奏总纲!F28-$E$2,0)</f>
        <v>0</v>
      </c>
      <c r="BG32" s="2">
        <f>$AZ$8/(365/12)*MAX(节奏总纲!G28-$E$2,0)</f>
        <v>0</v>
      </c>
      <c r="BH32" s="2">
        <f>$AZ$8/(365/12)*MAX(节奏总纲!H28-$E$2,0)</f>
        <v>0</v>
      </c>
      <c r="BI32" s="2">
        <f>$AY$8/(365/12)*MAX(节奏总纲!D28-$E$2,0)</f>
        <v>0</v>
      </c>
      <c r="BJ32" s="2">
        <f>$AY$8/(365/12)*MAX(节奏总纲!E28-$E$2,0)</f>
        <v>0</v>
      </c>
      <c r="BK32" s="2">
        <f>$AY$8/(365/12)*MAX(节奏总纲!F28-$E$2,0)</f>
        <v>0</v>
      </c>
      <c r="BL32" s="2">
        <f>$AY$8/(365/12)*MAX(节奏总纲!G28-$E$2,0)</f>
        <v>0</v>
      </c>
      <c r="BM32" s="2">
        <f>$AY$8/(365/12)*MAX(节奏总纲!H28-$E$2,0)</f>
        <v>0</v>
      </c>
      <c r="CD32" s="2">
        <v>25</v>
      </c>
      <c r="CE32" s="2">
        <f>INDEX($BY$8:$BY$15,MATCH(CE$7,$CB$8:$CB$15,0))*SUM(C$11:C$12)/(365/12)*MAX(节奏总纲!D28-$E$2,0)</f>
        <v>0</v>
      </c>
      <c r="CF32" s="2">
        <f>INDEX($BY$8:$BY$15,MATCH(CF$7,$CB$8:$CB$15,0))*SUM(D$11:D$12)/(365/12)*MAX(节奏总纲!E28-$E$2,0)</f>
        <v>0</v>
      </c>
      <c r="CG32" s="2">
        <f>INDEX($BY$8:$BY$15,MATCH(CG$7,$CB$8:$CB$15,0))*SUM(E$11:E$12)/(365/12)*MAX(节奏总纲!F28-$E$2,0)</f>
        <v>0</v>
      </c>
      <c r="CH32" s="2">
        <f>INDEX($BY$8:$BY$15,MATCH(CH$7,$CB$8:$CB$15,0))*SUM(F$11:F$12)/(365/12)*MAX(节奏总纲!G28-$E$2,0)</f>
        <v>0</v>
      </c>
      <c r="CI32" s="2">
        <f>INDEX($BY$8:$BY$15,MATCH(CI$7,$CB$8:$CB$15,0))*SUM(G$11:G$12)/(365/12)*MAX(节奏总纲!H28-$E$2,0)</f>
        <v>0</v>
      </c>
      <c r="CJ32" s="2">
        <f>INDEX($BZ$8:$BZ$15,MATCH(CE$7,$CB$8:$CB$15,0))*SUM(C$11:C$12)/(365/12)*MAX(节奏总纲!D28-$E$2,0)</f>
        <v>0</v>
      </c>
      <c r="CK32" s="2">
        <f>INDEX($BZ$8:$BZ$15,MATCH(CF$7,$CB$8:$CB$15,0))*SUM(D$11:D$12)/(365/12)*MAX(节奏总纲!E28-$E$2,0)</f>
        <v>0</v>
      </c>
      <c r="CL32" s="2">
        <f>INDEX($BZ$8:$BZ$15,MATCH(CG$7,$CB$8:$CB$15,0))*SUM(E$11:E$12)/(365/12)*MAX(节奏总纲!F28-$E$2,0)</f>
        <v>0</v>
      </c>
      <c r="CM32" s="2">
        <f>INDEX($BZ$8:$BZ$15,MATCH(CH$7,$CB$8:$CB$15,0))*SUM(F$11:F$12)/(365/12)*MAX(节奏总纲!G28-$E$2,0)</f>
        <v>0</v>
      </c>
      <c r="CN32" s="2">
        <f>INDEX($BZ$8:$BZ$15,MATCH(CI$7,$CB$8:$CB$15,0))*SUM(G$11:G$12)/(365/12)*MAX(节奏总纲!H28-$E$2,0)</f>
        <v>0</v>
      </c>
      <c r="CS32" s="2">
        <v>25</v>
      </c>
      <c r="CT32" s="2">
        <f t="shared" si="1"/>
        <v>0</v>
      </c>
      <c r="CU32" s="2">
        <f t="shared" si="2"/>
        <v>0</v>
      </c>
      <c r="CV32" s="2">
        <f t="shared" si="3"/>
        <v>0</v>
      </c>
      <c r="CW32" s="2">
        <f t="shared" si="4"/>
        <v>0</v>
      </c>
      <c r="CX32" s="2">
        <f t="shared" si="5"/>
        <v>0</v>
      </c>
      <c r="CZ32" s="41" t="e">
        <f t="shared" si="6"/>
        <v>#DIV/0!</v>
      </c>
      <c r="DA32" s="41" t="e">
        <f t="shared" si="7"/>
        <v>#DIV/0!</v>
      </c>
      <c r="DB32" s="41" t="e">
        <f t="shared" si="8"/>
        <v>#DIV/0!</v>
      </c>
      <c r="DD32" s="41" t="e">
        <f t="shared" si="9"/>
        <v>#DIV/0!</v>
      </c>
      <c r="DE32" s="41" t="e">
        <f t="shared" si="10"/>
        <v>#DIV/0!</v>
      </c>
      <c r="DF32" s="41" t="e">
        <f t="shared" si="11"/>
        <v>#DIV/0!</v>
      </c>
      <c r="DH32" s="41" t="e">
        <f t="shared" si="12"/>
        <v>#DIV/0!</v>
      </c>
      <c r="DI32" s="41" t="e">
        <f t="shared" si="13"/>
        <v>#DIV/0!</v>
      </c>
      <c r="DJ32" s="41" t="e">
        <f t="shared" si="14"/>
        <v>#DIV/0!</v>
      </c>
      <c r="DL32" s="2">
        <f>CT32/节奏总纲!D28</f>
        <v>0</v>
      </c>
      <c r="DM32" s="2">
        <f>CU32/节奏总纲!E28</f>
        <v>0</v>
      </c>
      <c r="DN32" s="2">
        <f>CV32/节奏总纲!F28</f>
        <v>0</v>
      </c>
      <c r="DO32" s="2">
        <f>CW32/节奏总纲!G28</f>
        <v>0</v>
      </c>
      <c r="DP32" s="2">
        <f>CX32/节奏总纲!H28</f>
        <v>0</v>
      </c>
      <c r="DR32" s="2" t="e">
        <f t="shared" si="15"/>
        <v>#DIV/0!</v>
      </c>
      <c r="DS32" s="2" t="e">
        <f t="shared" si="16"/>
        <v>#DIV/0!</v>
      </c>
      <c r="DT32" s="2" t="e">
        <f t="shared" si="17"/>
        <v>#DIV/0!</v>
      </c>
      <c r="DU32" s="2" t="e">
        <f t="shared" si="18"/>
        <v>#DIV/0!</v>
      </c>
      <c r="DY32" s="2">
        <v>25</v>
      </c>
      <c r="DZ32" s="2">
        <f t="shared" si="22"/>
        <v>0</v>
      </c>
      <c r="EA32" s="2">
        <f t="shared" si="23"/>
        <v>0</v>
      </c>
      <c r="EB32" s="2">
        <f t="shared" si="24"/>
        <v>0</v>
      </c>
      <c r="EC32" s="2">
        <f t="shared" si="25"/>
        <v>0</v>
      </c>
      <c r="ED32" s="2">
        <f t="shared" si="26"/>
        <v>0</v>
      </c>
      <c r="EF32" s="57" t="e">
        <f t="shared" si="27"/>
        <v>#DIV/0!</v>
      </c>
      <c r="EG32" s="57" t="e">
        <f t="shared" si="28"/>
        <v>#DIV/0!</v>
      </c>
      <c r="EH32" s="41" t="e">
        <f t="shared" si="29"/>
        <v>#DIV/0!</v>
      </c>
      <c r="EJ32" s="57" t="e">
        <f t="shared" si="30"/>
        <v>#DIV/0!</v>
      </c>
      <c r="EK32" s="57" t="e">
        <f t="shared" si="31"/>
        <v>#DIV/0!</v>
      </c>
      <c r="EL32" s="41" t="e">
        <f t="shared" si="32"/>
        <v>#DIV/0!</v>
      </c>
      <c r="EN32" s="57" t="e">
        <f t="shared" si="33"/>
        <v>#DIV/0!</v>
      </c>
      <c r="EO32" s="57" t="e">
        <f t="shared" si="34"/>
        <v>#DIV/0!</v>
      </c>
      <c r="EP32" s="41" t="e">
        <f t="shared" si="35"/>
        <v>#DIV/0!</v>
      </c>
    </row>
    <row r="33" spans="20:146" x14ac:dyDescent="0.15">
      <c r="T33" s="2">
        <v>26</v>
      </c>
      <c r="U33" s="2">
        <f>$N$8*SUM(C$11:C$12)/(365/12)*MAX(节奏总纲!D29-$E$2,0)</f>
        <v>0</v>
      </c>
      <c r="V33" s="2">
        <f>$N$8*SUM(D$11:D$12)/(365/12)*MAX(节奏总纲!E29-$E$2,0)</f>
        <v>0</v>
      </c>
      <c r="W33" s="2">
        <f>$N$8*SUM(E$11:E$12)/(365/12)*MAX(节奏总纲!F29-$E$2,0)</f>
        <v>0</v>
      </c>
      <c r="X33" s="2">
        <f>$N$8*SUM(F$11:F$12)/(365/12)*MAX(节奏总纲!G29-$E$2,0)</f>
        <v>0</v>
      </c>
      <c r="Y33" s="2">
        <f>$N$8*SUM(G$11:G$12)/(365/12)*MAX(节奏总纲!H29-$E$2,0)</f>
        <v>0</v>
      </c>
      <c r="Z33" s="2">
        <f>$O$8*SUM(C$11:C$12)/(365/12)*MAX(节奏总纲!D29-$E$2,0)</f>
        <v>0</v>
      </c>
      <c r="AA33" s="2">
        <f>$O$8*SUM(D$11:D$12)/(365/12)*MAX(节奏总纲!E29-$E$2,0)</f>
        <v>0</v>
      </c>
      <c r="AB33" s="2">
        <f>$O$8*SUM(E$11:E$12)/(365/12)*MAX(节奏总纲!F29-$E$2,0)</f>
        <v>0</v>
      </c>
      <c r="AC33" s="2">
        <f>$O$8*SUM(F$11:F$12)/(365/12)*MAX(节奏总纲!G29-$E$2,0)</f>
        <v>0</v>
      </c>
      <c r="AD33" s="2">
        <f>$O$8*SUM(G$11:G$12)/(365/12)*MAX(节奏总纲!H29-$E$2,0)</f>
        <v>0</v>
      </c>
      <c r="AE33" s="2">
        <f>$Q$8*SUM(C$11:C$12)/(365/12)*MAX(节奏总纲!D29-$E$2,0)</f>
        <v>0</v>
      </c>
      <c r="AF33" s="2">
        <f>$Q$8*SUM(D$11:D$12)/(365/12)*MAX(节奏总纲!E29-$E$2,0)</f>
        <v>0</v>
      </c>
      <c r="AG33" s="2">
        <f>$Q$8*SUM(E$11:E$12)/(365/12)*MAX(节奏总纲!F29-$E$2,0)</f>
        <v>0</v>
      </c>
      <c r="AH33" s="2">
        <f>$Q$8*SUM(F$11:F$12)/(365/12)*MAX(节奏总纲!G29-$E$2,0)</f>
        <v>0</v>
      </c>
      <c r="AI33" s="2">
        <f>$Q$8*SUM(G$11:G$12)/(365/12)*MAX(节奏总纲!H29-$E$2,0)</f>
        <v>0</v>
      </c>
      <c r="AJ33" s="2">
        <f>$P$8*SUM(C$11:C$12)/(365/12)*MAX(节奏总纲!D29-$E$2,0)</f>
        <v>0</v>
      </c>
      <c r="AK33" s="2">
        <f>$P$8*SUM(D$11:D$12)/(365/12)*MAX(节奏总纲!E29-$E$2,0)</f>
        <v>0</v>
      </c>
      <c r="AL33" s="2">
        <f>$P$8*SUM(E$11:E$12)/(365/12)*MAX(节奏总纲!F29-$E$2,0)</f>
        <v>0</v>
      </c>
      <c r="AM33" s="2">
        <f>$P$8*SUM(F$11:F$12)/(365/12)*MAX(节奏总纲!G29-$E$2,0)</f>
        <v>0</v>
      </c>
      <c r="AN33" s="2">
        <f>$P$8*SUM(G$11:G$12)/(365/12)*MAX(节奏总纲!H29-$E$2,0)</f>
        <v>0</v>
      </c>
      <c r="AU33" s="43"/>
      <c r="AV33" s="43"/>
      <c r="AW33" s="43"/>
      <c r="AX33" s="43"/>
      <c r="AY33" s="43"/>
      <c r="AZ33" s="43"/>
      <c r="BC33" s="2">
        <v>26</v>
      </c>
      <c r="BD33" s="2">
        <f>$AZ$8/(365/12)*MAX(节奏总纲!D29-$E$2,0)</f>
        <v>0</v>
      </c>
      <c r="BE33" s="2">
        <f>$AZ$8/(365/12)*MAX(节奏总纲!E29-$E$2,0)</f>
        <v>0</v>
      </c>
      <c r="BF33" s="2">
        <f>$AZ$8/(365/12)*MAX(节奏总纲!F29-$E$2,0)</f>
        <v>0</v>
      </c>
      <c r="BG33" s="2">
        <f>$AZ$8/(365/12)*MAX(节奏总纲!G29-$E$2,0)</f>
        <v>0</v>
      </c>
      <c r="BH33" s="2">
        <f>$AZ$8/(365/12)*MAX(节奏总纲!H29-$E$2,0)</f>
        <v>0</v>
      </c>
      <c r="BI33" s="2">
        <f>$AY$8/(365/12)*MAX(节奏总纲!D29-$E$2,0)</f>
        <v>0</v>
      </c>
      <c r="BJ33" s="2">
        <f>$AY$8/(365/12)*MAX(节奏总纲!E29-$E$2,0)</f>
        <v>0</v>
      </c>
      <c r="BK33" s="2">
        <f>$AY$8/(365/12)*MAX(节奏总纲!F29-$E$2,0)</f>
        <v>0</v>
      </c>
      <c r="BL33" s="2">
        <f>$AY$8/(365/12)*MAX(节奏总纲!G29-$E$2,0)</f>
        <v>0</v>
      </c>
      <c r="BM33" s="2">
        <f>$AY$8/(365/12)*MAX(节奏总纲!H29-$E$2,0)</f>
        <v>0</v>
      </c>
      <c r="CD33" s="2">
        <v>26</v>
      </c>
      <c r="CE33" s="2">
        <f>INDEX($BY$8:$BY$15,MATCH(CE$7,$CB$8:$CB$15,0))*SUM(C$11:C$12)/(365/12)*MAX(节奏总纲!D29-$E$2,0)</f>
        <v>0</v>
      </c>
      <c r="CF33" s="2">
        <f>INDEX($BY$8:$BY$15,MATCH(CF$7,$CB$8:$CB$15,0))*SUM(D$11:D$12)/(365/12)*MAX(节奏总纲!E29-$E$2,0)</f>
        <v>0</v>
      </c>
      <c r="CG33" s="2">
        <f>INDEX($BY$8:$BY$15,MATCH(CG$7,$CB$8:$CB$15,0))*SUM(E$11:E$12)/(365/12)*MAX(节奏总纲!F29-$E$2,0)</f>
        <v>0</v>
      </c>
      <c r="CH33" s="2">
        <f>INDEX($BY$8:$BY$15,MATCH(CH$7,$CB$8:$CB$15,0))*SUM(F$11:F$12)/(365/12)*MAX(节奏总纲!G29-$E$2,0)</f>
        <v>0</v>
      </c>
      <c r="CI33" s="2">
        <f>INDEX($BY$8:$BY$15,MATCH(CI$7,$CB$8:$CB$15,0))*SUM(G$11:G$12)/(365/12)*MAX(节奏总纲!H29-$E$2,0)</f>
        <v>0</v>
      </c>
      <c r="CJ33" s="2">
        <f>INDEX($BZ$8:$BZ$15,MATCH(CE$7,$CB$8:$CB$15,0))*SUM(C$11:C$12)/(365/12)*MAX(节奏总纲!D29-$E$2,0)</f>
        <v>0</v>
      </c>
      <c r="CK33" s="2">
        <f>INDEX($BZ$8:$BZ$15,MATCH(CF$7,$CB$8:$CB$15,0))*SUM(D$11:D$12)/(365/12)*MAX(节奏总纲!E29-$E$2,0)</f>
        <v>0</v>
      </c>
      <c r="CL33" s="2">
        <f>INDEX($BZ$8:$BZ$15,MATCH(CG$7,$CB$8:$CB$15,0))*SUM(E$11:E$12)/(365/12)*MAX(节奏总纲!F29-$E$2,0)</f>
        <v>0</v>
      </c>
      <c r="CM33" s="2">
        <f>INDEX($BZ$8:$BZ$15,MATCH(CH$7,$CB$8:$CB$15,0))*SUM(F$11:F$12)/(365/12)*MAX(节奏总纲!G29-$E$2,0)</f>
        <v>0</v>
      </c>
      <c r="CN33" s="2">
        <f>INDEX($BZ$8:$BZ$15,MATCH(CI$7,$CB$8:$CB$15,0))*SUM(G$11:G$12)/(365/12)*MAX(节奏总纲!H29-$E$2,0)</f>
        <v>0</v>
      </c>
      <c r="CS33" s="2">
        <v>26</v>
      </c>
      <c r="CT33" s="2">
        <f t="shared" si="1"/>
        <v>0</v>
      </c>
      <c r="CU33" s="2">
        <f t="shared" si="2"/>
        <v>0</v>
      </c>
      <c r="CV33" s="2">
        <f t="shared" si="3"/>
        <v>0</v>
      </c>
      <c r="CW33" s="2">
        <f t="shared" si="4"/>
        <v>0</v>
      </c>
      <c r="CX33" s="2">
        <f t="shared" si="5"/>
        <v>0</v>
      </c>
      <c r="CZ33" s="41" t="e">
        <f t="shared" si="6"/>
        <v>#DIV/0!</v>
      </c>
      <c r="DA33" s="41" t="e">
        <f t="shared" si="7"/>
        <v>#DIV/0!</v>
      </c>
      <c r="DB33" s="41" t="e">
        <f t="shared" si="8"/>
        <v>#DIV/0!</v>
      </c>
      <c r="DD33" s="41" t="e">
        <f t="shared" si="9"/>
        <v>#DIV/0!</v>
      </c>
      <c r="DE33" s="41" t="e">
        <f t="shared" si="10"/>
        <v>#DIV/0!</v>
      </c>
      <c r="DF33" s="41" t="e">
        <f t="shared" si="11"/>
        <v>#DIV/0!</v>
      </c>
      <c r="DH33" s="41" t="e">
        <f t="shared" si="12"/>
        <v>#DIV/0!</v>
      </c>
      <c r="DI33" s="41" t="e">
        <f t="shared" si="13"/>
        <v>#DIV/0!</v>
      </c>
      <c r="DJ33" s="41" t="e">
        <f t="shared" si="14"/>
        <v>#DIV/0!</v>
      </c>
      <c r="DL33" s="2">
        <f>CT33/节奏总纲!D29</f>
        <v>0</v>
      </c>
      <c r="DM33" s="2">
        <f>CU33/节奏总纲!E29</f>
        <v>0</v>
      </c>
      <c r="DN33" s="2">
        <f>CV33/节奏总纲!F29</f>
        <v>0</v>
      </c>
      <c r="DO33" s="2">
        <f>CW33/节奏总纲!G29</f>
        <v>0</v>
      </c>
      <c r="DP33" s="2">
        <f>CX33/节奏总纲!H29</f>
        <v>0</v>
      </c>
      <c r="DR33" s="2" t="e">
        <f t="shared" si="15"/>
        <v>#DIV/0!</v>
      </c>
      <c r="DS33" s="2" t="e">
        <f t="shared" si="16"/>
        <v>#DIV/0!</v>
      </c>
      <c r="DT33" s="2" t="e">
        <f t="shared" si="17"/>
        <v>#DIV/0!</v>
      </c>
      <c r="DU33" s="2" t="e">
        <f t="shared" si="18"/>
        <v>#DIV/0!</v>
      </c>
      <c r="DY33" s="2">
        <v>26</v>
      </c>
      <c r="DZ33" s="2">
        <f t="shared" si="22"/>
        <v>0</v>
      </c>
      <c r="EA33" s="2">
        <f t="shared" si="23"/>
        <v>0</v>
      </c>
      <c r="EB33" s="2">
        <f t="shared" si="24"/>
        <v>0</v>
      </c>
      <c r="EC33" s="2">
        <f t="shared" si="25"/>
        <v>0</v>
      </c>
      <c r="ED33" s="2">
        <f t="shared" si="26"/>
        <v>0</v>
      </c>
      <c r="EF33" s="57" t="e">
        <f t="shared" si="27"/>
        <v>#DIV/0!</v>
      </c>
      <c r="EG33" s="57" t="e">
        <f t="shared" si="28"/>
        <v>#DIV/0!</v>
      </c>
      <c r="EH33" s="41" t="e">
        <f t="shared" si="29"/>
        <v>#DIV/0!</v>
      </c>
      <c r="EJ33" s="57" t="e">
        <f t="shared" si="30"/>
        <v>#DIV/0!</v>
      </c>
      <c r="EK33" s="57" t="e">
        <f t="shared" si="31"/>
        <v>#DIV/0!</v>
      </c>
      <c r="EL33" s="41" t="e">
        <f t="shared" si="32"/>
        <v>#DIV/0!</v>
      </c>
      <c r="EN33" s="57" t="e">
        <f t="shared" si="33"/>
        <v>#DIV/0!</v>
      </c>
      <c r="EO33" s="57" t="e">
        <f t="shared" si="34"/>
        <v>#DIV/0!</v>
      </c>
      <c r="EP33" s="41" t="e">
        <f t="shared" si="35"/>
        <v>#DIV/0!</v>
      </c>
    </row>
    <row r="34" spans="20:146" x14ac:dyDescent="0.15">
      <c r="T34" s="2">
        <v>27</v>
      </c>
      <c r="U34" s="2">
        <f>$N$8*SUM(C$11:C$12)/(365/12)*MAX(节奏总纲!D30-$E$2,0)</f>
        <v>0</v>
      </c>
      <c r="V34" s="2">
        <f>$N$8*SUM(D$11:D$12)/(365/12)*MAX(节奏总纲!E30-$E$2,0)</f>
        <v>0</v>
      </c>
      <c r="W34" s="2">
        <f>$N$8*SUM(E$11:E$12)/(365/12)*MAX(节奏总纲!F30-$E$2,0)</f>
        <v>0</v>
      </c>
      <c r="X34" s="2">
        <f>$N$8*SUM(F$11:F$12)/(365/12)*MAX(节奏总纲!G30-$E$2,0)</f>
        <v>0</v>
      </c>
      <c r="Y34" s="2">
        <f>$N$8*SUM(G$11:G$12)/(365/12)*MAX(节奏总纲!H30-$E$2,0)</f>
        <v>0</v>
      </c>
      <c r="Z34" s="2">
        <f>$O$8*SUM(C$11:C$12)/(365/12)*MAX(节奏总纲!D30-$E$2,0)</f>
        <v>0</v>
      </c>
      <c r="AA34" s="2">
        <f>$O$8*SUM(D$11:D$12)/(365/12)*MAX(节奏总纲!E30-$E$2,0)</f>
        <v>0</v>
      </c>
      <c r="AB34" s="2">
        <f>$O$8*SUM(E$11:E$12)/(365/12)*MAX(节奏总纲!F30-$E$2,0)</f>
        <v>0</v>
      </c>
      <c r="AC34" s="2">
        <f>$O$8*SUM(F$11:F$12)/(365/12)*MAX(节奏总纲!G30-$E$2,0)</f>
        <v>0</v>
      </c>
      <c r="AD34" s="2">
        <f>$O$8*SUM(G$11:G$12)/(365/12)*MAX(节奏总纲!H30-$E$2,0)</f>
        <v>0</v>
      </c>
      <c r="AE34" s="2">
        <f>$Q$8*SUM(C$11:C$12)/(365/12)*MAX(节奏总纲!D30-$E$2,0)</f>
        <v>0</v>
      </c>
      <c r="AF34" s="2">
        <f>$Q$8*SUM(D$11:D$12)/(365/12)*MAX(节奏总纲!E30-$E$2,0)</f>
        <v>0</v>
      </c>
      <c r="AG34" s="2">
        <f>$Q$8*SUM(E$11:E$12)/(365/12)*MAX(节奏总纲!F30-$E$2,0)</f>
        <v>0</v>
      </c>
      <c r="AH34" s="2">
        <f>$Q$8*SUM(F$11:F$12)/(365/12)*MAX(节奏总纲!G30-$E$2,0)</f>
        <v>0</v>
      </c>
      <c r="AI34" s="2">
        <f>$Q$8*SUM(G$11:G$12)/(365/12)*MAX(节奏总纲!H30-$E$2,0)</f>
        <v>0</v>
      </c>
      <c r="AJ34" s="2">
        <f>$P$8*SUM(C$11:C$12)/(365/12)*MAX(节奏总纲!D30-$E$2,0)</f>
        <v>0</v>
      </c>
      <c r="AK34" s="2">
        <f>$P$8*SUM(D$11:D$12)/(365/12)*MAX(节奏总纲!E30-$E$2,0)</f>
        <v>0</v>
      </c>
      <c r="AL34" s="2">
        <f>$P$8*SUM(E$11:E$12)/(365/12)*MAX(节奏总纲!F30-$E$2,0)</f>
        <v>0</v>
      </c>
      <c r="AM34" s="2">
        <f>$P$8*SUM(F$11:F$12)/(365/12)*MAX(节奏总纲!G30-$E$2,0)</f>
        <v>0</v>
      </c>
      <c r="AN34" s="2">
        <f>$P$8*SUM(G$11:G$12)/(365/12)*MAX(节奏总纲!H30-$E$2,0)</f>
        <v>0</v>
      </c>
      <c r="AU34" s="43"/>
      <c r="AV34" s="43"/>
      <c r="AW34" s="43"/>
      <c r="AX34" s="43"/>
      <c r="AY34" s="43"/>
      <c r="AZ34" s="43"/>
      <c r="BC34" s="2">
        <v>27</v>
      </c>
      <c r="BD34" s="2">
        <f>$AZ$8/(365/12)*MAX(节奏总纲!D30-$E$2,0)</f>
        <v>0</v>
      </c>
      <c r="BE34" s="2">
        <f>$AZ$8/(365/12)*MAX(节奏总纲!E30-$E$2,0)</f>
        <v>0</v>
      </c>
      <c r="BF34" s="2">
        <f>$AZ$8/(365/12)*MAX(节奏总纲!F30-$E$2,0)</f>
        <v>0</v>
      </c>
      <c r="BG34" s="2">
        <f>$AZ$8/(365/12)*MAX(节奏总纲!G30-$E$2,0)</f>
        <v>0</v>
      </c>
      <c r="BH34" s="2">
        <f>$AZ$8/(365/12)*MAX(节奏总纲!H30-$E$2,0)</f>
        <v>0</v>
      </c>
      <c r="BI34" s="2">
        <f>$AY$8/(365/12)*MAX(节奏总纲!D30-$E$2,0)</f>
        <v>0</v>
      </c>
      <c r="BJ34" s="2">
        <f>$AY$8/(365/12)*MAX(节奏总纲!E30-$E$2,0)</f>
        <v>0</v>
      </c>
      <c r="BK34" s="2">
        <f>$AY$8/(365/12)*MAX(节奏总纲!F30-$E$2,0)</f>
        <v>0</v>
      </c>
      <c r="BL34" s="2">
        <f>$AY$8/(365/12)*MAX(节奏总纲!G30-$E$2,0)</f>
        <v>0</v>
      </c>
      <c r="BM34" s="2">
        <f>$AY$8/(365/12)*MAX(节奏总纲!H30-$E$2,0)</f>
        <v>0</v>
      </c>
      <c r="CD34" s="2">
        <v>27</v>
      </c>
      <c r="CE34" s="2">
        <f>INDEX($BY$8:$BY$15,MATCH(CE$7,$CB$8:$CB$15,0))*SUM(C$11:C$12)/(365/12)*MAX(节奏总纲!D30-$E$2,0)</f>
        <v>0</v>
      </c>
      <c r="CF34" s="2">
        <f>INDEX($BY$8:$BY$15,MATCH(CF$7,$CB$8:$CB$15,0))*SUM(D$11:D$12)/(365/12)*MAX(节奏总纲!E30-$E$2,0)</f>
        <v>0</v>
      </c>
      <c r="CG34" s="2">
        <f>INDEX($BY$8:$BY$15,MATCH(CG$7,$CB$8:$CB$15,0))*SUM(E$11:E$12)/(365/12)*MAX(节奏总纲!F30-$E$2,0)</f>
        <v>0</v>
      </c>
      <c r="CH34" s="2">
        <f>INDEX($BY$8:$BY$15,MATCH(CH$7,$CB$8:$CB$15,0))*SUM(F$11:F$12)/(365/12)*MAX(节奏总纲!G30-$E$2,0)</f>
        <v>0</v>
      </c>
      <c r="CI34" s="2">
        <f>INDEX($BY$8:$BY$15,MATCH(CI$7,$CB$8:$CB$15,0))*SUM(G$11:G$12)/(365/12)*MAX(节奏总纲!H30-$E$2,0)</f>
        <v>0</v>
      </c>
      <c r="CJ34" s="2">
        <f>INDEX($BZ$8:$BZ$15,MATCH(CE$7,$CB$8:$CB$15,0))*SUM(C$11:C$12)/(365/12)*MAX(节奏总纲!D30-$E$2,0)</f>
        <v>0</v>
      </c>
      <c r="CK34" s="2">
        <f>INDEX($BZ$8:$BZ$15,MATCH(CF$7,$CB$8:$CB$15,0))*SUM(D$11:D$12)/(365/12)*MAX(节奏总纲!E30-$E$2,0)</f>
        <v>0</v>
      </c>
      <c r="CL34" s="2">
        <f>INDEX($BZ$8:$BZ$15,MATCH(CG$7,$CB$8:$CB$15,0))*SUM(E$11:E$12)/(365/12)*MAX(节奏总纲!F30-$E$2,0)</f>
        <v>0</v>
      </c>
      <c r="CM34" s="2">
        <f>INDEX($BZ$8:$BZ$15,MATCH(CH$7,$CB$8:$CB$15,0))*SUM(F$11:F$12)/(365/12)*MAX(节奏总纲!G30-$E$2,0)</f>
        <v>0</v>
      </c>
      <c r="CN34" s="2">
        <f>INDEX($BZ$8:$BZ$15,MATCH(CI$7,$CB$8:$CB$15,0))*SUM(G$11:G$12)/(365/12)*MAX(节奏总纲!H30-$E$2,0)</f>
        <v>0</v>
      </c>
      <c r="CS34" s="2">
        <v>27</v>
      </c>
      <c r="CT34" s="2">
        <f t="shared" si="1"/>
        <v>0</v>
      </c>
      <c r="CU34" s="2">
        <f t="shared" si="2"/>
        <v>0</v>
      </c>
      <c r="CV34" s="2">
        <f t="shared" si="3"/>
        <v>0</v>
      </c>
      <c r="CW34" s="2">
        <f t="shared" si="4"/>
        <v>0</v>
      </c>
      <c r="CX34" s="2">
        <f t="shared" si="5"/>
        <v>0</v>
      </c>
      <c r="CZ34" s="41" t="e">
        <f t="shared" si="6"/>
        <v>#DIV/0!</v>
      </c>
      <c r="DA34" s="41" t="e">
        <f t="shared" si="7"/>
        <v>#DIV/0!</v>
      </c>
      <c r="DB34" s="41" t="e">
        <f t="shared" si="8"/>
        <v>#DIV/0!</v>
      </c>
      <c r="DD34" s="41" t="e">
        <f t="shared" si="9"/>
        <v>#DIV/0!</v>
      </c>
      <c r="DE34" s="41" t="e">
        <f t="shared" si="10"/>
        <v>#DIV/0!</v>
      </c>
      <c r="DF34" s="41" t="e">
        <f t="shared" si="11"/>
        <v>#DIV/0!</v>
      </c>
      <c r="DH34" s="41" t="e">
        <f t="shared" si="12"/>
        <v>#DIV/0!</v>
      </c>
      <c r="DI34" s="41" t="e">
        <f t="shared" si="13"/>
        <v>#DIV/0!</v>
      </c>
      <c r="DJ34" s="41" t="e">
        <f t="shared" si="14"/>
        <v>#DIV/0!</v>
      </c>
      <c r="DL34" s="2">
        <f>CT34/节奏总纲!D30</f>
        <v>0</v>
      </c>
      <c r="DM34" s="2">
        <f>CU34/节奏总纲!E30</f>
        <v>0</v>
      </c>
      <c r="DN34" s="2">
        <f>CV34/节奏总纲!F30</f>
        <v>0</v>
      </c>
      <c r="DO34" s="2">
        <f>CW34/节奏总纲!G30</f>
        <v>0</v>
      </c>
      <c r="DP34" s="2">
        <f>CX34/节奏总纲!H30</f>
        <v>0</v>
      </c>
      <c r="DR34" s="2" t="e">
        <f t="shared" si="15"/>
        <v>#DIV/0!</v>
      </c>
      <c r="DS34" s="2" t="e">
        <f t="shared" si="16"/>
        <v>#DIV/0!</v>
      </c>
      <c r="DT34" s="2" t="e">
        <f t="shared" si="17"/>
        <v>#DIV/0!</v>
      </c>
      <c r="DU34" s="2" t="e">
        <f t="shared" si="18"/>
        <v>#DIV/0!</v>
      </c>
      <c r="DY34" s="2">
        <v>27</v>
      </c>
      <c r="DZ34" s="2">
        <f t="shared" si="22"/>
        <v>0</v>
      </c>
      <c r="EA34" s="2">
        <f t="shared" si="23"/>
        <v>0</v>
      </c>
      <c r="EB34" s="2">
        <f t="shared" si="24"/>
        <v>0</v>
      </c>
      <c r="EC34" s="2">
        <f t="shared" si="25"/>
        <v>0</v>
      </c>
      <c r="ED34" s="2">
        <f t="shared" si="26"/>
        <v>0</v>
      </c>
      <c r="EF34" s="57" t="e">
        <f t="shared" si="27"/>
        <v>#DIV/0!</v>
      </c>
      <c r="EG34" s="57" t="e">
        <f t="shared" si="28"/>
        <v>#DIV/0!</v>
      </c>
      <c r="EH34" s="41" t="e">
        <f t="shared" si="29"/>
        <v>#DIV/0!</v>
      </c>
      <c r="EJ34" s="57" t="e">
        <f t="shared" si="30"/>
        <v>#DIV/0!</v>
      </c>
      <c r="EK34" s="57" t="e">
        <f t="shared" si="31"/>
        <v>#DIV/0!</v>
      </c>
      <c r="EL34" s="41" t="e">
        <f t="shared" si="32"/>
        <v>#DIV/0!</v>
      </c>
      <c r="EN34" s="57" t="e">
        <f t="shared" si="33"/>
        <v>#DIV/0!</v>
      </c>
      <c r="EO34" s="57" t="e">
        <f t="shared" si="34"/>
        <v>#DIV/0!</v>
      </c>
      <c r="EP34" s="41" t="e">
        <f t="shared" si="35"/>
        <v>#DIV/0!</v>
      </c>
    </row>
    <row r="35" spans="20:146" x14ac:dyDescent="0.15">
      <c r="T35" s="2">
        <v>28</v>
      </c>
      <c r="U35" s="2">
        <f>$N$8*SUM(C$11:C$12)/(365/12)*MAX(节奏总纲!D31-$E$2,0)</f>
        <v>0</v>
      </c>
      <c r="V35" s="2">
        <f>$N$8*SUM(D$11:D$12)/(365/12)*MAX(节奏总纲!E31-$E$2,0)</f>
        <v>0</v>
      </c>
      <c r="W35" s="2">
        <f>$N$8*SUM(E$11:E$12)/(365/12)*MAX(节奏总纲!F31-$E$2,0)</f>
        <v>0</v>
      </c>
      <c r="X35" s="2">
        <f>$N$8*SUM(F$11:F$12)/(365/12)*MAX(节奏总纲!G31-$E$2,0)</f>
        <v>0</v>
      </c>
      <c r="Y35" s="2">
        <f>$N$8*SUM(G$11:G$12)/(365/12)*MAX(节奏总纲!H31-$E$2,0)</f>
        <v>0</v>
      </c>
      <c r="Z35" s="2">
        <f>$O$8*SUM(C$11:C$12)/(365/12)*MAX(节奏总纲!D31-$E$2,0)</f>
        <v>0</v>
      </c>
      <c r="AA35" s="2">
        <f>$O$8*SUM(D$11:D$12)/(365/12)*MAX(节奏总纲!E31-$E$2,0)</f>
        <v>0</v>
      </c>
      <c r="AB35" s="2">
        <f>$O$8*SUM(E$11:E$12)/(365/12)*MAX(节奏总纲!F31-$E$2,0)</f>
        <v>0</v>
      </c>
      <c r="AC35" s="2">
        <f>$O$8*SUM(F$11:F$12)/(365/12)*MAX(节奏总纲!G31-$E$2,0)</f>
        <v>0</v>
      </c>
      <c r="AD35" s="2">
        <f>$O$8*SUM(G$11:G$12)/(365/12)*MAX(节奏总纲!H31-$E$2,0)</f>
        <v>0</v>
      </c>
      <c r="AE35" s="2">
        <f>$Q$8*SUM(C$11:C$12)/(365/12)*MAX(节奏总纲!D31-$E$2,0)</f>
        <v>0</v>
      </c>
      <c r="AF35" s="2">
        <f>$Q$8*SUM(D$11:D$12)/(365/12)*MAX(节奏总纲!E31-$E$2,0)</f>
        <v>0</v>
      </c>
      <c r="AG35" s="2">
        <f>$Q$8*SUM(E$11:E$12)/(365/12)*MAX(节奏总纲!F31-$E$2,0)</f>
        <v>0</v>
      </c>
      <c r="AH35" s="2">
        <f>$Q$8*SUM(F$11:F$12)/(365/12)*MAX(节奏总纲!G31-$E$2,0)</f>
        <v>0</v>
      </c>
      <c r="AI35" s="2">
        <f>$Q$8*SUM(G$11:G$12)/(365/12)*MAX(节奏总纲!H31-$E$2,0)</f>
        <v>0</v>
      </c>
      <c r="AJ35" s="2">
        <f>$P$8*SUM(C$11:C$12)/(365/12)*MAX(节奏总纲!D31-$E$2,0)</f>
        <v>0</v>
      </c>
      <c r="AK35" s="2">
        <f>$P$8*SUM(D$11:D$12)/(365/12)*MAX(节奏总纲!E31-$E$2,0)</f>
        <v>0</v>
      </c>
      <c r="AL35" s="2">
        <f>$P$8*SUM(E$11:E$12)/(365/12)*MAX(节奏总纲!F31-$E$2,0)</f>
        <v>0</v>
      </c>
      <c r="AM35" s="2">
        <f>$P$8*SUM(F$11:F$12)/(365/12)*MAX(节奏总纲!G31-$E$2,0)</f>
        <v>0</v>
      </c>
      <c r="AN35" s="2">
        <f>$P$8*SUM(G$11:G$12)/(365/12)*MAX(节奏总纲!H31-$E$2,0)</f>
        <v>0</v>
      </c>
      <c r="BC35" s="2">
        <v>28</v>
      </c>
      <c r="BD35" s="2">
        <f>$AZ$8/(365/12)*MAX(节奏总纲!D31-$E$2,0)</f>
        <v>0</v>
      </c>
      <c r="BE35" s="2">
        <f>$AZ$8/(365/12)*MAX(节奏总纲!E31-$E$2,0)</f>
        <v>0</v>
      </c>
      <c r="BF35" s="2">
        <f>$AZ$8/(365/12)*MAX(节奏总纲!F31-$E$2,0)</f>
        <v>0</v>
      </c>
      <c r="BG35" s="2">
        <f>$AZ$8/(365/12)*MAX(节奏总纲!G31-$E$2,0)</f>
        <v>0</v>
      </c>
      <c r="BH35" s="2">
        <f>$AZ$8/(365/12)*MAX(节奏总纲!H31-$E$2,0)</f>
        <v>0</v>
      </c>
      <c r="BI35" s="2">
        <f>$AY$8/(365/12)*MAX(节奏总纲!D31-$E$2,0)</f>
        <v>0</v>
      </c>
      <c r="BJ35" s="2">
        <f>$AY$8/(365/12)*MAX(节奏总纲!E31-$E$2,0)</f>
        <v>0</v>
      </c>
      <c r="BK35" s="2">
        <f>$AY$8/(365/12)*MAX(节奏总纲!F31-$E$2,0)</f>
        <v>0</v>
      </c>
      <c r="BL35" s="2">
        <f>$AY$8/(365/12)*MAX(节奏总纲!G31-$E$2,0)</f>
        <v>0</v>
      </c>
      <c r="BM35" s="2">
        <f>$AY$8/(365/12)*MAX(节奏总纲!H31-$E$2,0)</f>
        <v>0</v>
      </c>
      <c r="CD35" s="2">
        <v>28</v>
      </c>
      <c r="CE35" s="2">
        <f>INDEX($BY$8:$BY$15,MATCH(CE$7,$CB$8:$CB$15,0))*SUM(C$11:C$12)/(365/12)*MAX(节奏总纲!D31-$E$2,0)</f>
        <v>0</v>
      </c>
      <c r="CF35" s="2">
        <f>INDEX($BY$8:$BY$15,MATCH(CF$7,$CB$8:$CB$15,0))*SUM(D$11:D$12)/(365/12)*MAX(节奏总纲!E31-$E$2,0)</f>
        <v>0</v>
      </c>
      <c r="CG35" s="2">
        <f>INDEX($BY$8:$BY$15,MATCH(CG$7,$CB$8:$CB$15,0))*SUM(E$11:E$12)/(365/12)*MAX(节奏总纲!F31-$E$2,0)</f>
        <v>0</v>
      </c>
      <c r="CH35" s="2">
        <f>INDEX($BY$8:$BY$15,MATCH(CH$7,$CB$8:$CB$15,0))*SUM(F$11:F$12)/(365/12)*MAX(节奏总纲!G31-$E$2,0)</f>
        <v>0</v>
      </c>
      <c r="CI35" s="2">
        <f>INDEX($BY$8:$BY$15,MATCH(CI$7,$CB$8:$CB$15,0))*SUM(G$11:G$12)/(365/12)*MAX(节奏总纲!H31-$E$2,0)</f>
        <v>0</v>
      </c>
      <c r="CJ35" s="2">
        <f>INDEX($BZ$8:$BZ$15,MATCH(CE$7,$CB$8:$CB$15,0))*SUM(C$11:C$12)/(365/12)*MAX(节奏总纲!D31-$E$2,0)</f>
        <v>0</v>
      </c>
      <c r="CK35" s="2">
        <f>INDEX($BZ$8:$BZ$15,MATCH(CF$7,$CB$8:$CB$15,0))*SUM(D$11:D$12)/(365/12)*MAX(节奏总纲!E31-$E$2,0)</f>
        <v>0</v>
      </c>
      <c r="CL35" s="2">
        <f>INDEX($BZ$8:$BZ$15,MATCH(CG$7,$CB$8:$CB$15,0))*SUM(E$11:E$12)/(365/12)*MAX(节奏总纲!F31-$E$2,0)</f>
        <v>0</v>
      </c>
      <c r="CM35" s="2">
        <f>INDEX($BZ$8:$BZ$15,MATCH(CH$7,$CB$8:$CB$15,0))*SUM(F$11:F$12)/(365/12)*MAX(节奏总纲!G31-$E$2,0)</f>
        <v>0</v>
      </c>
      <c r="CN35" s="2">
        <f>INDEX($BZ$8:$BZ$15,MATCH(CI$7,$CB$8:$CB$15,0))*SUM(G$11:G$12)/(365/12)*MAX(节奏总纲!H31-$E$2,0)</f>
        <v>0</v>
      </c>
      <c r="CS35" s="2">
        <v>28</v>
      </c>
      <c r="CT35" s="2">
        <f t="shared" si="1"/>
        <v>0</v>
      </c>
      <c r="CU35" s="2">
        <f t="shared" si="2"/>
        <v>0</v>
      </c>
      <c r="CV35" s="2">
        <f t="shared" si="3"/>
        <v>0</v>
      </c>
      <c r="CW35" s="2">
        <f t="shared" si="4"/>
        <v>0</v>
      </c>
      <c r="CX35" s="2">
        <f t="shared" si="5"/>
        <v>0</v>
      </c>
      <c r="CZ35" s="41" t="e">
        <f t="shared" si="6"/>
        <v>#DIV/0!</v>
      </c>
      <c r="DA35" s="41" t="e">
        <f t="shared" si="7"/>
        <v>#DIV/0!</v>
      </c>
      <c r="DB35" s="41" t="e">
        <f t="shared" si="8"/>
        <v>#DIV/0!</v>
      </c>
      <c r="DD35" s="41" t="e">
        <f t="shared" si="9"/>
        <v>#DIV/0!</v>
      </c>
      <c r="DE35" s="41" t="e">
        <f t="shared" si="10"/>
        <v>#DIV/0!</v>
      </c>
      <c r="DF35" s="41" t="e">
        <f t="shared" si="11"/>
        <v>#DIV/0!</v>
      </c>
      <c r="DH35" s="41" t="e">
        <f t="shared" si="12"/>
        <v>#DIV/0!</v>
      </c>
      <c r="DI35" s="41" t="e">
        <f t="shared" si="13"/>
        <v>#DIV/0!</v>
      </c>
      <c r="DJ35" s="41" t="e">
        <f t="shared" si="14"/>
        <v>#DIV/0!</v>
      </c>
      <c r="DL35" s="2">
        <f>CT35/节奏总纲!D31</f>
        <v>0</v>
      </c>
      <c r="DM35" s="2">
        <f>CU35/节奏总纲!E31</f>
        <v>0</v>
      </c>
      <c r="DN35" s="2">
        <f>CV35/节奏总纲!F31</f>
        <v>0</v>
      </c>
      <c r="DO35" s="2">
        <f>CW35/节奏总纲!G31</f>
        <v>0</v>
      </c>
      <c r="DP35" s="2">
        <f>CX35/节奏总纲!H31</f>
        <v>0</v>
      </c>
      <c r="DR35" s="2" t="e">
        <f t="shared" si="15"/>
        <v>#DIV/0!</v>
      </c>
      <c r="DS35" s="2" t="e">
        <f t="shared" si="16"/>
        <v>#DIV/0!</v>
      </c>
      <c r="DT35" s="2" t="e">
        <f t="shared" si="17"/>
        <v>#DIV/0!</v>
      </c>
      <c r="DU35" s="2" t="e">
        <f t="shared" si="18"/>
        <v>#DIV/0!</v>
      </c>
      <c r="DY35" s="2">
        <v>28</v>
      </c>
      <c r="DZ35" s="2">
        <f t="shared" si="22"/>
        <v>0</v>
      </c>
      <c r="EA35" s="2">
        <f t="shared" si="23"/>
        <v>0</v>
      </c>
      <c r="EB35" s="2">
        <f t="shared" si="24"/>
        <v>0</v>
      </c>
      <c r="EC35" s="2">
        <f t="shared" si="25"/>
        <v>0</v>
      </c>
      <c r="ED35" s="2">
        <f t="shared" si="26"/>
        <v>0</v>
      </c>
      <c r="EF35" s="57" t="e">
        <f t="shared" si="27"/>
        <v>#DIV/0!</v>
      </c>
      <c r="EG35" s="57" t="e">
        <f t="shared" si="28"/>
        <v>#DIV/0!</v>
      </c>
      <c r="EH35" s="41" t="e">
        <f t="shared" si="29"/>
        <v>#DIV/0!</v>
      </c>
      <c r="EJ35" s="57" t="e">
        <f t="shared" si="30"/>
        <v>#DIV/0!</v>
      </c>
      <c r="EK35" s="57" t="e">
        <f t="shared" si="31"/>
        <v>#DIV/0!</v>
      </c>
      <c r="EL35" s="41" t="e">
        <f t="shared" si="32"/>
        <v>#DIV/0!</v>
      </c>
      <c r="EN35" s="57" t="e">
        <f t="shared" si="33"/>
        <v>#DIV/0!</v>
      </c>
      <c r="EO35" s="57" t="e">
        <f t="shared" si="34"/>
        <v>#DIV/0!</v>
      </c>
      <c r="EP35" s="41" t="e">
        <f t="shared" si="35"/>
        <v>#DIV/0!</v>
      </c>
    </row>
    <row r="36" spans="20:146" x14ac:dyDescent="0.15">
      <c r="T36" s="2">
        <v>29</v>
      </c>
      <c r="U36" s="2">
        <f>$N$8*SUM(C$11:C$12)/(365/12)*MAX(节奏总纲!D32-$E$2,0)</f>
        <v>0</v>
      </c>
      <c r="V36" s="2">
        <f>$N$8*SUM(D$11:D$12)/(365/12)*MAX(节奏总纲!E32-$E$2,0)</f>
        <v>0</v>
      </c>
      <c r="W36" s="2">
        <f>$N$8*SUM(E$11:E$12)/(365/12)*MAX(节奏总纲!F32-$E$2,0)</f>
        <v>0</v>
      </c>
      <c r="X36" s="2">
        <f>$N$8*SUM(F$11:F$12)/(365/12)*MAX(节奏总纲!G32-$E$2,0)</f>
        <v>0</v>
      </c>
      <c r="Y36" s="2">
        <f>$N$8*SUM(G$11:G$12)/(365/12)*MAX(节奏总纲!H32-$E$2,0)</f>
        <v>0</v>
      </c>
      <c r="Z36" s="2">
        <f>$O$8*SUM(C$11:C$12)/(365/12)*MAX(节奏总纲!D32-$E$2,0)</f>
        <v>0</v>
      </c>
      <c r="AA36" s="2">
        <f>$O$8*SUM(D$11:D$12)/(365/12)*MAX(节奏总纲!E32-$E$2,0)</f>
        <v>0</v>
      </c>
      <c r="AB36" s="2">
        <f>$O$8*SUM(E$11:E$12)/(365/12)*MAX(节奏总纲!F32-$E$2,0)</f>
        <v>0</v>
      </c>
      <c r="AC36" s="2">
        <f>$O$8*SUM(F$11:F$12)/(365/12)*MAX(节奏总纲!G32-$E$2,0)</f>
        <v>0</v>
      </c>
      <c r="AD36" s="2">
        <f>$O$8*SUM(G$11:G$12)/(365/12)*MAX(节奏总纲!H32-$E$2,0)</f>
        <v>0</v>
      </c>
      <c r="AE36" s="2">
        <f>$Q$8*SUM(C$11:C$12)/(365/12)*MAX(节奏总纲!D32-$E$2,0)</f>
        <v>0</v>
      </c>
      <c r="AF36" s="2">
        <f>$Q$8*SUM(D$11:D$12)/(365/12)*MAX(节奏总纲!E32-$E$2,0)</f>
        <v>0</v>
      </c>
      <c r="AG36" s="2">
        <f>$Q$8*SUM(E$11:E$12)/(365/12)*MAX(节奏总纲!F32-$E$2,0)</f>
        <v>0</v>
      </c>
      <c r="AH36" s="2">
        <f>$Q$8*SUM(F$11:F$12)/(365/12)*MAX(节奏总纲!G32-$E$2,0)</f>
        <v>0</v>
      </c>
      <c r="AI36" s="2">
        <f>$Q$8*SUM(G$11:G$12)/(365/12)*MAX(节奏总纲!H32-$E$2,0)</f>
        <v>0</v>
      </c>
      <c r="AJ36" s="2">
        <f>$P$8*SUM(C$11:C$12)/(365/12)*MAX(节奏总纲!D32-$E$2,0)</f>
        <v>0</v>
      </c>
      <c r="AK36" s="2">
        <f>$P$8*SUM(D$11:D$12)/(365/12)*MAX(节奏总纲!E32-$E$2,0)</f>
        <v>0</v>
      </c>
      <c r="AL36" s="2">
        <f>$P$8*SUM(E$11:E$12)/(365/12)*MAX(节奏总纲!F32-$E$2,0)</f>
        <v>0</v>
      </c>
      <c r="AM36" s="2">
        <f>$P$8*SUM(F$11:F$12)/(365/12)*MAX(节奏总纲!G32-$E$2,0)</f>
        <v>0</v>
      </c>
      <c r="AN36" s="2">
        <f>$P$8*SUM(G$11:G$12)/(365/12)*MAX(节奏总纲!H32-$E$2,0)</f>
        <v>0</v>
      </c>
      <c r="AU36" s="2" t="s">
        <v>640</v>
      </c>
      <c r="BC36" s="2">
        <v>29</v>
      </c>
      <c r="BD36" s="2">
        <f>$AZ$8/(365/12)*MAX(节奏总纲!D32-$E$2,0)</f>
        <v>0</v>
      </c>
      <c r="BE36" s="2">
        <f>$AZ$8/(365/12)*MAX(节奏总纲!E32-$E$2,0)</f>
        <v>0</v>
      </c>
      <c r="BF36" s="2">
        <f>$AZ$8/(365/12)*MAX(节奏总纲!F32-$E$2,0)</f>
        <v>0</v>
      </c>
      <c r="BG36" s="2">
        <f>$AZ$8/(365/12)*MAX(节奏总纲!G32-$E$2,0)</f>
        <v>0</v>
      </c>
      <c r="BH36" s="2">
        <f>$AZ$8/(365/12)*MAX(节奏总纲!H32-$E$2,0)</f>
        <v>0</v>
      </c>
      <c r="BI36" s="2">
        <f>$AY$8/(365/12)*MAX(节奏总纲!D32-$E$2,0)</f>
        <v>0</v>
      </c>
      <c r="BJ36" s="2">
        <f>$AY$8/(365/12)*MAX(节奏总纲!E32-$E$2,0)</f>
        <v>0</v>
      </c>
      <c r="BK36" s="2">
        <f>$AY$8/(365/12)*MAX(节奏总纲!F32-$E$2,0)</f>
        <v>0</v>
      </c>
      <c r="BL36" s="2">
        <f>$AY$8/(365/12)*MAX(节奏总纲!G32-$E$2,0)</f>
        <v>0</v>
      </c>
      <c r="BM36" s="2">
        <f>$AY$8/(365/12)*MAX(节奏总纲!H32-$E$2,0)</f>
        <v>0</v>
      </c>
      <c r="CD36" s="2">
        <v>29</v>
      </c>
      <c r="CE36" s="2">
        <f>INDEX($BY$8:$BY$15,MATCH(CE$7,$CB$8:$CB$15,0))*SUM(C$11:C$12)/(365/12)*MAX(节奏总纲!D32-$E$2,0)</f>
        <v>0</v>
      </c>
      <c r="CF36" s="2">
        <f>INDEX($BY$8:$BY$15,MATCH(CF$7,$CB$8:$CB$15,0))*SUM(D$11:D$12)/(365/12)*MAX(节奏总纲!E32-$E$2,0)</f>
        <v>0</v>
      </c>
      <c r="CG36" s="2">
        <f>INDEX($BY$8:$BY$15,MATCH(CG$7,$CB$8:$CB$15,0))*SUM(E$11:E$12)/(365/12)*MAX(节奏总纲!F32-$E$2,0)</f>
        <v>0</v>
      </c>
      <c r="CH36" s="2">
        <f>INDEX($BY$8:$BY$15,MATCH(CH$7,$CB$8:$CB$15,0))*SUM(F$11:F$12)/(365/12)*MAX(节奏总纲!G32-$E$2,0)</f>
        <v>0</v>
      </c>
      <c r="CI36" s="2">
        <f>INDEX($BY$8:$BY$15,MATCH(CI$7,$CB$8:$CB$15,0))*SUM(G$11:G$12)/(365/12)*MAX(节奏总纲!H32-$E$2,0)</f>
        <v>0</v>
      </c>
      <c r="CJ36" s="2">
        <f>INDEX($BZ$8:$BZ$15,MATCH(CE$7,$CB$8:$CB$15,0))*SUM(C$11:C$12)/(365/12)*MAX(节奏总纲!D32-$E$2,0)</f>
        <v>0</v>
      </c>
      <c r="CK36" s="2">
        <f>INDEX($BZ$8:$BZ$15,MATCH(CF$7,$CB$8:$CB$15,0))*SUM(D$11:D$12)/(365/12)*MAX(节奏总纲!E32-$E$2,0)</f>
        <v>0</v>
      </c>
      <c r="CL36" s="2">
        <f>INDEX($BZ$8:$BZ$15,MATCH(CG$7,$CB$8:$CB$15,0))*SUM(E$11:E$12)/(365/12)*MAX(节奏总纲!F32-$E$2,0)</f>
        <v>0</v>
      </c>
      <c r="CM36" s="2">
        <f>INDEX($BZ$8:$BZ$15,MATCH(CH$7,$CB$8:$CB$15,0))*SUM(F$11:F$12)/(365/12)*MAX(节奏总纲!G32-$E$2,0)</f>
        <v>0</v>
      </c>
      <c r="CN36" s="2">
        <f>INDEX($BZ$8:$BZ$15,MATCH(CI$7,$CB$8:$CB$15,0))*SUM(G$11:G$12)/(365/12)*MAX(节奏总纲!H32-$E$2,0)</f>
        <v>0</v>
      </c>
      <c r="CS36" s="2">
        <v>29</v>
      </c>
      <c r="CT36" s="2">
        <f t="shared" si="1"/>
        <v>0</v>
      </c>
      <c r="CU36" s="2">
        <f t="shared" si="2"/>
        <v>0</v>
      </c>
      <c r="CV36" s="2">
        <f t="shared" si="3"/>
        <v>0</v>
      </c>
      <c r="CW36" s="2">
        <f t="shared" si="4"/>
        <v>0</v>
      </c>
      <c r="CX36" s="2">
        <f t="shared" si="5"/>
        <v>0</v>
      </c>
      <c r="CZ36" s="41" t="e">
        <f t="shared" si="6"/>
        <v>#DIV/0!</v>
      </c>
      <c r="DA36" s="41" t="e">
        <f t="shared" si="7"/>
        <v>#DIV/0!</v>
      </c>
      <c r="DB36" s="41" t="e">
        <f t="shared" si="8"/>
        <v>#DIV/0!</v>
      </c>
      <c r="DD36" s="41" t="e">
        <f t="shared" si="9"/>
        <v>#DIV/0!</v>
      </c>
      <c r="DE36" s="41" t="e">
        <f t="shared" si="10"/>
        <v>#DIV/0!</v>
      </c>
      <c r="DF36" s="41" t="e">
        <f t="shared" si="11"/>
        <v>#DIV/0!</v>
      </c>
      <c r="DH36" s="41" t="e">
        <f t="shared" si="12"/>
        <v>#DIV/0!</v>
      </c>
      <c r="DI36" s="41" t="e">
        <f t="shared" si="13"/>
        <v>#DIV/0!</v>
      </c>
      <c r="DJ36" s="41" t="e">
        <f t="shared" si="14"/>
        <v>#DIV/0!</v>
      </c>
      <c r="DL36" s="2">
        <f>CT36/节奏总纲!D32</f>
        <v>0</v>
      </c>
      <c r="DM36" s="2">
        <f>CU36/节奏总纲!E32</f>
        <v>0</v>
      </c>
      <c r="DN36" s="2">
        <f>CV36/节奏总纲!F32</f>
        <v>0</v>
      </c>
      <c r="DO36" s="2">
        <f>CW36/节奏总纲!G32</f>
        <v>0</v>
      </c>
      <c r="DP36" s="2">
        <f>CX36/节奏总纲!H32</f>
        <v>0</v>
      </c>
      <c r="DR36" s="2" t="e">
        <f t="shared" si="15"/>
        <v>#DIV/0!</v>
      </c>
      <c r="DS36" s="2" t="e">
        <f t="shared" si="16"/>
        <v>#DIV/0!</v>
      </c>
      <c r="DT36" s="2" t="e">
        <f t="shared" si="17"/>
        <v>#DIV/0!</v>
      </c>
      <c r="DU36" s="2" t="e">
        <f t="shared" si="18"/>
        <v>#DIV/0!</v>
      </c>
      <c r="DY36" s="2">
        <v>29</v>
      </c>
      <c r="DZ36" s="2">
        <f t="shared" si="22"/>
        <v>0</v>
      </c>
      <c r="EA36" s="2">
        <f t="shared" si="23"/>
        <v>0</v>
      </c>
      <c r="EB36" s="2">
        <f t="shared" si="24"/>
        <v>0</v>
      </c>
      <c r="EC36" s="2">
        <f t="shared" si="25"/>
        <v>0</v>
      </c>
      <c r="ED36" s="2">
        <f t="shared" si="26"/>
        <v>0</v>
      </c>
      <c r="EF36" s="57" t="e">
        <f t="shared" si="27"/>
        <v>#DIV/0!</v>
      </c>
      <c r="EG36" s="57" t="e">
        <f t="shared" si="28"/>
        <v>#DIV/0!</v>
      </c>
      <c r="EH36" s="41" t="e">
        <f t="shared" si="29"/>
        <v>#DIV/0!</v>
      </c>
      <c r="EJ36" s="57" t="e">
        <f t="shared" si="30"/>
        <v>#DIV/0!</v>
      </c>
      <c r="EK36" s="57" t="e">
        <f t="shared" si="31"/>
        <v>#DIV/0!</v>
      </c>
      <c r="EL36" s="41" t="e">
        <f t="shared" si="32"/>
        <v>#DIV/0!</v>
      </c>
      <c r="EN36" s="57" t="e">
        <f t="shared" si="33"/>
        <v>#DIV/0!</v>
      </c>
      <c r="EO36" s="57" t="e">
        <f t="shared" si="34"/>
        <v>#DIV/0!</v>
      </c>
      <c r="EP36" s="41" t="e">
        <f t="shared" si="35"/>
        <v>#DIV/0!</v>
      </c>
    </row>
    <row r="37" spans="20:146" x14ac:dyDescent="0.15">
      <c r="T37" s="2">
        <v>30</v>
      </c>
      <c r="U37" s="2">
        <f>$N$8*SUM(C$11:C$12)/(365/12)*MAX(节奏总纲!D33-$E$2,0)</f>
        <v>0</v>
      </c>
      <c r="V37" s="2">
        <f>$N$8*SUM(D$11:D$12)/(365/12)*MAX(节奏总纲!E33-$E$2,0)</f>
        <v>0</v>
      </c>
      <c r="W37" s="2">
        <f>$N$8*SUM(E$11:E$12)/(365/12)*MAX(节奏总纲!F33-$E$2,0)</f>
        <v>0</v>
      </c>
      <c r="X37" s="2">
        <f>$N$8*SUM(F$11:F$12)/(365/12)*MAX(节奏总纲!G33-$E$2,0)</f>
        <v>0</v>
      </c>
      <c r="Y37" s="2">
        <f>$N$8*SUM(G$11:G$12)/(365/12)*MAX(节奏总纲!H33-$E$2,0)</f>
        <v>0</v>
      </c>
      <c r="Z37" s="2">
        <f>$O$8*SUM(C$11:C$12)/(365/12)*MAX(节奏总纲!D33-$E$2,0)</f>
        <v>0</v>
      </c>
      <c r="AA37" s="2">
        <f>$O$8*SUM(D$11:D$12)/(365/12)*MAX(节奏总纲!E33-$E$2,0)</f>
        <v>0</v>
      </c>
      <c r="AB37" s="2">
        <f>$O$8*SUM(E$11:E$12)/(365/12)*MAX(节奏总纲!F33-$E$2,0)</f>
        <v>0</v>
      </c>
      <c r="AC37" s="2">
        <f>$O$8*SUM(F$11:F$12)/(365/12)*MAX(节奏总纲!G33-$E$2,0)</f>
        <v>0</v>
      </c>
      <c r="AD37" s="2">
        <f>$O$8*SUM(G$11:G$12)/(365/12)*MAX(节奏总纲!H33-$E$2,0)</f>
        <v>0</v>
      </c>
      <c r="AE37" s="2">
        <f>$Q$8*SUM(C$11:C$12)/(365/12)*MAX(节奏总纲!D33-$E$2,0)</f>
        <v>0</v>
      </c>
      <c r="AF37" s="2">
        <f>$Q$8*SUM(D$11:D$12)/(365/12)*MAX(节奏总纲!E33-$E$2,0)</f>
        <v>0</v>
      </c>
      <c r="AG37" s="2">
        <f>$Q$8*SUM(E$11:E$12)/(365/12)*MAX(节奏总纲!F33-$E$2,0)</f>
        <v>0</v>
      </c>
      <c r="AH37" s="2">
        <f>$Q$8*SUM(F$11:F$12)/(365/12)*MAX(节奏总纲!G33-$E$2,0)</f>
        <v>0</v>
      </c>
      <c r="AI37" s="2">
        <f>$Q$8*SUM(G$11:G$12)/(365/12)*MAX(节奏总纲!H33-$E$2,0)</f>
        <v>0</v>
      </c>
      <c r="AJ37" s="2">
        <f>$P$8*SUM(C$11:C$12)/(365/12)*MAX(节奏总纲!D33-$E$2,0)</f>
        <v>0</v>
      </c>
      <c r="AK37" s="2">
        <f>$P$8*SUM(D$11:D$12)/(365/12)*MAX(节奏总纲!E33-$E$2,0)</f>
        <v>0</v>
      </c>
      <c r="AL37" s="2">
        <f>$P$8*SUM(E$11:E$12)/(365/12)*MAX(节奏总纲!F33-$E$2,0)</f>
        <v>0</v>
      </c>
      <c r="AM37" s="2">
        <f>$P$8*SUM(F$11:F$12)/(365/12)*MAX(节奏总纲!G33-$E$2,0)</f>
        <v>0</v>
      </c>
      <c r="AN37" s="2">
        <f>$P$8*SUM(G$11:G$12)/(365/12)*MAX(节奏总纲!H33-$E$2,0)</f>
        <v>0</v>
      </c>
      <c r="AU37" s="2" t="s">
        <v>204</v>
      </c>
      <c r="AV37" s="2" t="s">
        <v>205</v>
      </c>
      <c r="AW37" s="2" t="s">
        <v>547</v>
      </c>
      <c r="AX37" s="2" t="s">
        <v>301</v>
      </c>
      <c r="AY37" s="2" t="s">
        <v>585</v>
      </c>
      <c r="AZ37" s="2" t="s">
        <v>545</v>
      </c>
      <c r="BC37" s="2">
        <v>30</v>
      </c>
      <c r="BD37" s="2">
        <f>$AZ$8/(365/12)*MAX(节奏总纲!D33-$E$2,0)</f>
        <v>0</v>
      </c>
      <c r="BE37" s="2">
        <f>$AZ$8/(365/12)*MAX(节奏总纲!E33-$E$2,0)</f>
        <v>0</v>
      </c>
      <c r="BF37" s="2">
        <f>$AZ$8/(365/12)*MAX(节奏总纲!F33-$E$2,0)</f>
        <v>0</v>
      </c>
      <c r="BG37" s="2">
        <f>$AZ$8/(365/12)*MAX(节奏总纲!G33-$E$2,0)</f>
        <v>0</v>
      </c>
      <c r="BH37" s="2">
        <f>$AZ$8/(365/12)*MAX(节奏总纲!H33-$E$2,0)</f>
        <v>0</v>
      </c>
      <c r="BI37" s="2">
        <f>$AY$8/(365/12)*MAX(节奏总纲!D33-$E$2,0)</f>
        <v>0</v>
      </c>
      <c r="BJ37" s="2">
        <f>$AY$8/(365/12)*MAX(节奏总纲!E33-$E$2,0)</f>
        <v>0</v>
      </c>
      <c r="BK37" s="2">
        <f>$AY$8/(365/12)*MAX(节奏总纲!F33-$E$2,0)</f>
        <v>0</v>
      </c>
      <c r="BL37" s="2">
        <f>$AY$8/(365/12)*MAX(节奏总纲!G33-$E$2,0)</f>
        <v>0</v>
      </c>
      <c r="BM37" s="2">
        <f>$AY$8/(365/12)*MAX(节奏总纲!H33-$E$2,0)</f>
        <v>0</v>
      </c>
      <c r="CD37" s="2">
        <v>30</v>
      </c>
      <c r="CE37" s="2">
        <f>INDEX($BY$8:$BY$15,MATCH(CE$7,$CB$8:$CB$15,0))*SUM(C$11:C$12)/(365/12)*MAX(节奏总纲!D33-$E$2,0)</f>
        <v>0</v>
      </c>
      <c r="CF37" s="2">
        <f>INDEX($BY$8:$BY$15,MATCH(CF$7,$CB$8:$CB$15,0))*SUM(D$11:D$12)/(365/12)*MAX(节奏总纲!E33-$E$2,0)</f>
        <v>0</v>
      </c>
      <c r="CG37" s="2">
        <f>INDEX($BY$8:$BY$15,MATCH(CG$7,$CB$8:$CB$15,0))*SUM(E$11:E$12)/(365/12)*MAX(节奏总纲!F33-$E$2,0)</f>
        <v>0</v>
      </c>
      <c r="CH37" s="2">
        <f>INDEX($BY$8:$BY$15,MATCH(CH$7,$CB$8:$CB$15,0))*SUM(F$11:F$12)/(365/12)*MAX(节奏总纲!G33-$E$2,0)</f>
        <v>0</v>
      </c>
      <c r="CI37" s="2">
        <f>INDEX($BY$8:$BY$15,MATCH(CI$7,$CB$8:$CB$15,0))*SUM(G$11:G$12)/(365/12)*MAX(节奏总纲!H33-$E$2,0)</f>
        <v>0</v>
      </c>
      <c r="CJ37" s="2">
        <f>INDEX($BZ$8:$BZ$15,MATCH(CE$7,$CB$8:$CB$15,0))*SUM(C$11:C$12)/(365/12)*MAX(节奏总纲!D33-$E$2,0)</f>
        <v>0</v>
      </c>
      <c r="CK37" s="2">
        <f>INDEX($BZ$8:$BZ$15,MATCH(CF$7,$CB$8:$CB$15,0))*SUM(D$11:D$12)/(365/12)*MAX(节奏总纲!E33-$E$2,0)</f>
        <v>0</v>
      </c>
      <c r="CL37" s="2">
        <f>INDEX($BZ$8:$BZ$15,MATCH(CG$7,$CB$8:$CB$15,0))*SUM(E$11:E$12)/(365/12)*MAX(节奏总纲!F33-$E$2,0)</f>
        <v>0</v>
      </c>
      <c r="CM37" s="2">
        <f>INDEX($BZ$8:$BZ$15,MATCH(CH$7,$CB$8:$CB$15,0))*SUM(F$11:F$12)/(365/12)*MAX(节奏总纲!G33-$E$2,0)</f>
        <v>0</v>
      </c>
      <c r="CN37" s="2">
        <f>INDEX($BZ$8:$BZ$15,MATCH(CI$7,$CB$8:$CB$15,0))*SUM(G$11:G$12)/(365/12)*MAX(节奏总纲!H33-$E$2,0)</f>
        <v>0</v>
      </c>
      <c r="CS37" s="2">
        <v>30</v>
      </c>
      <c r="CT37" s="2">
        <f t="shared" si="1"/>
        <v>0</v>
      </c>
      <c r="CU37" s="2">
        <f t="shared" si="2"/>
        <v>0</v>
      </c>
      <c r="CV37" s="2">
        <f t="shared" si="3"/>
        <v>0</v>
      </c>
      <c r="CW37" s="2">
        <f t="shared" si="4"/>
        <v>0</v>
      </c>
      <c r="CX37" s="2">
        <f t="shared" si="5"/>
        <v>0</v>
      </c>
      <c r="CZ37" s="41" t="e">
        <f t="shared" si="6"/>
        <v>#DIV/0!</v>
      </c>
      <c r="DA37" s="41" t="e">
        <f t="shared" si="7"/>
        <v>#DIV/0!</v>
      </c>
      <c r="DB37" s="41" t="e">
        <f t="shared" si="8"/>
        <v>#DIV/0!</v>
      </c>
      <c r="DD37" s="41" t="e">
        <f t="shared" si="9"/>
        <v>#DIV/0!</v>
      </c>
      <c r="DE37" s="41" t="e">
        <f t="shared" si="10"/>
        <v>#DIV/0!</v>
      </c>
      <c r="DF37" s="41" t="e">
        <f t="shared" si="11"/>
        <v>#DIV/0!</v>
      </c>
      <c r="DH37" s="41" t="e">
        <f t="shared" si="12"/>
        <v>#DIV/0!</v>
      </c>
      <c r="DI37" s="41" t="e">
        <f t="shared" si="13"/>
        <v>#DIV/0!</v>
      </c>
      <c r="DJ37" s="41" t="e">
        <f t="shared" si="14"/>
        <v>#DIV/0!</v>
      </c>
      <c r="DL37" s="2">
        <f>CT37/节奏总纲!D33</f>
        <v>0</v>
      </c>
      <c r="DM37" s="2">
        <f>CU37/节奏总纲!E33</f>
        <v>0</v>
      </c>
      <c r="DN37" s="2">
        <f>CV37/节奏总纲!F33</f>
        <v>0</v>
      </c>
      <c r="DO37" s="2">
        <f>CW37/节奏总纲!G33</f>
        <v>0</v>
      </c>
      <c r="DP37" s="2">
        <f>CX37/节奏总纲!H33</f>
        <v>0</v>
      </c>
      <c r="DR37" s="2" t="e">
        <f t="shared" si="15"/>
        <v>#DIV/0!</v>
      </c>
      <c r="DS37" s="2" t="e">
        <f t="shared" si="16"/>
        <v>#DIV/0!</v>
      </c>
      <c r="DT37" s="2" t="e">
        <f t="shared" si="17"/>
        <v>#DIV/0!</v>
      </c>
      <c r="DU37" s="2" t="e">
        <f t="shared" si="18"/>
        <v>#DIV/0!</v>
      </c>
      <c r="DY37" s="2">
        <v>30</v>
      </c>
      <c r="DZ37" s="2">
        <f t="shared" si="22"/>
        <v>0</v>
      </c>
      <c r="EA37" s="2">
        <f t="shared" si="23"/>
        <v>0</v>
      </c>
      <c r="EB37" s="2">
        <f t="shared" si="24"/>
        <v>0</v>
      </c>
      <c r="EC37" s="2">
        <f t="shared" si="25"/>
        <v>0</v>
      </c>
      <c r="ED37" s="2">
        <f t="shared" si="26"/>
        <v>0</v>
      </c>
      <c r="EF37" s="57" t="e">
        <f t="shared" si="27"/>
        <v>#DIV/0!</v>
      </c>
      <c r="EG37" s="57" t="e">
        <f t="shared" si="28"/>
        <v>#DIV/0!</v>
      </c>
      <c r="EH37" s="41" t="e">
        <f t="shared" si="29"/>
        <v>#DIV/0!</v>
      </c>
      <c r="EJ37" s="57" t="e">
        <f t="shared" si="30"/>
        <v>#DIV/0!</v>
      </c>
      <c r="EK37" s="57" t="e">
        <f t="shared" si="31"/>
        <v>#DIV/0!</v>
      </c>
      <c r="EL37" s="41" t="e">
        <f t="shared" si="32"/>
        <v>#DIV/0!</v>
      </c>
      <c r="EN37" s="57" t="e">
        <f t="shared" si="33"/>
        <v>#DIV/0!</v>
      </c>
      <c r="EO37" s="57" t="e">
        <f t="shared" si="34"/>
        <v>#DIV/0!</v>
      </c>
      <c r="EP37" s="41" t="e">
        <f t="shared" si="35"/>
        <v>#DIV/0!</v>
      </c>
    </row>
    <row r="38" spans="20:146" x14ac:dyDescent="0.15">
      <c r="T38" s="2">
        <v>31</v>
      </c>
      <c r="U38" s="2">
        <f>$N$8*SUM(C$11:C$12)/(365/12)*MAX(节奏总纲!D34-$E$2,0)</f>
        <v>0</v>
      </c>
      <c r="V38" s="2">
        <f>$N$8*SUM(D$11:D$12)/(365/12)*MAX(节奏总纲!E34-$E$2,0)</f>
        <v>0</v>
      </c>
      <c r="W38" s="2">
        <f>$N$8*SUM(E$11:E$12)/(365/12)*MAX(节奏总纲!F34-$E$2,0)</f>
        <v>0</v>
      </c>
      <c r="X38" s="2">
        <f>$N$8*SUM(F$11:F$12)/(365/12)*MAX(节奏总纲!G34-$E$2,0)</f>
        <v>0</v>
      </c>
      <c r="Y38" s="2">
        <f>$N$8*SUM(G$11:G$12)/(365/12)*MAX(节奏总纲!H34-$E$2,0)</f>
        <v>0</v>
      </c>
      <c r="Z38" s="2">
        <f>$O$8*SUM(C$11:C$12)/(365/12)*MAX(节奏总纲!D34-$E$2,0)</f>
        <v>0</v>
      </c>
      <c r="AA38" s="2">
        <f>$O$8*SUM(D$11:D$12)/(365/12)*MAX(节奏总纲!E34-$E$2,0)</f>
        <v>0</v>
      </c>
      <c r="AB38" s="2">
        <f>$O$8*SUM(E$11:E$12)/(365/12)*MAX(节奏总纲!F34-$E$2,0)</f>
        <v>0</v>
      </c>
      <c r="AC38" s="2">
        <f>$O$8*SUM(F$11:F$12)/(365/12)*MAX(节奏总纲!G34-$E$2,0)</f>
        <v>0</v>
      </c>
      <c r="AD38" s="2">
        <f>$O$8*SUM(G$11:G$12)/(365/12)*MAX(节奏总纲!H34-$E$2,0)</f>
        <v>0</v>
      </c>
      <c r="AE38" s="2">
        <f>$Q$8*SUM(C$11:C$12)/(365/12)*MAX(节奏总纲!D34-$E$2,0)</f>
        <v>0</v>
      </c>
      <c r="AF38" s="2">
        <f>$Q$8*SUM(D$11:D$12)/(365/12)*MAX(节奏总纲!E34-$E$2,0)</f>
        <v>0</v>
      </c>
      <c r="AG38" s="2">
        <f>$Q$8*SUM(E$11:E$12)/(365/12)*MAX(节奏总纲!F34-$E$2,0)</f>
        <v>0</v>
      </c>
      <c r="AH38" s="2">
        <f>$Q$8*SUM(F$11:F$12)/(365/12)*MAX(节奏总纲!G34-$E$2,0)</f>
        <v>0</v>
      </c>
      <c r="AI38" s="2">
        <f>$Q$8*SUM(G$11:G$12)/(365/12)*MAX(节奏总纲!H34-$E$2,0)</f>
        <v>0</v>
      </c>
      <c r="AJ38" s="2">
        <f>$P$8*SUM(C$11:C$12)/(365/12)*MAX(节奏总纲!D34-$E$2,0)</f>
        <v>0</v>
      </c>
      <c r="AK38" s="2">
        <f>$P$8*SUM(D$11:D$12)/(365/12)*MAX(节奏总纲!E34-$E$2,0)</f>
        <v>0</v>
      </c>
      <c r="AL38" s="2">
        <f>$P$8*SUM(E$11:E$12)/(365/12)*MAX(节奏总纲!F34-$E$2,0)</f>
        <v>0</v>
      </c>
      <c r="AM38" s="2">
        <f>$P$8*SUM(F$11:F$12)/(365/12)*MAX(节奏总纲!G34-$E$2,0)</f>
        <v>0</v>
      </c>
      <c r="AN38" s="2">
        <f>$P$8*SUM(G$11:G$12)/(365/12)*MAX(节奏总纲!H34-$E$2,0)</f>
        <v>0</v>
      </c>
      <c r="AU38" s="2">
        <v>1</v>
      </c>
      <c r="AV38" s="2">
        <v>1</v>
      </c>
      <c r="AW38" s="2">
        <v>20</v>
      </c>
      <c r="AX38" s="2">
        <v>10</v>
      </c>
      <c r="AY38" s="2">
        <v>54000</v>
      </c>
      <c r="AZ38" s="2">
        <v>2000</v>
      </c>
      <c r="BC38" s="2">
        <v>31</v>
      </c>
      <c r="BD38" s="2">
        <f>$AZ$8/(365/12)*MAX(节奏总纲!D34-$E$2,0)</f>
        <v>0</v>
      </c>
      <c r="BE38" s="2">
        <f>$AZ$8/(365/12)*MAX(节奏总纲!E34-$E$2,0)</f>
        <v>0</v>
      </c>
      <c r="BF38" s="2">
        <f>$AZ$8/(365/12)*MAX(节奏总纲!F34-$E$2,0)</f>
        <v>0</v>
      </c>
      <c r="BG38" s="2">
        <f>$AZ$8/(365/12)*MAX(节奏总纲!G34-$E$2,0)</f>
        <v>0</v>
      </c>
      <c r="BH38" s="2">
        <f>$AZ$8/(365/12)*MAX(节奏总纲!H34-$E$2,0)</f>
        <v>0</v>
      </c>
      <c r="BI38" s="2">
        <f>$AY$8/(365/12)*MAX(节奏总纲!D34-$E$2,0)</f>
        <v>0</v>
      </c>
      <c r="BJ38" s="2">
        <f>$AY$8/(365/12)*MAX(节奏总纲!E34-$E$2,0)</f>
        <v>0</v>
      </c>
      <c r="BK38" s="2">
        <f>$AY$8/(365/12)*MAX(节奏总纲!F34-$E$2,0)</f>
        <v>0</v>
      </c>
      <c r="BL38" s="2">
        <f>$AY$8/(365/12)*MAX(节奏总纲!G34-$E$2,0)</f>
        <v>0</v>
      </c>
      <c r="BM38" s="2">
        <f>$AY$8/(365/12)*MAX(节奏总纲!H34-$E$2,0)</f>
        <v>0</v>
      </c>
      <c r="CD38" s="2">
        <v>31</v>
      </c>
      <c r="CE38" s="2">
        <f>INDEX($BY$8:$BY$15,MATCH(CE$7,$CB$8:$CB$15,0))*SUM(C$11:C$12)/(365/12)*MAX(节奏总纲!D34-$E$2,0)</f>
        <v>0</v>
      </c>
      <c r="CF38" s="2">
        <f>INDEX($BY$8:$BY$15,MATCH(CF$7,$CB$8:$CB$15,0))*SUM(D$11:D$12)/(365/12)*MAX(节奏总纲!E34-$E$2,0)</f>
        <v>0</v>
      </c>
      <c r="CG38" s="2">
        <f>INDEX($BY$8:$BY$15,MATCH(CG$7,$CB$8:$CB$15,0))*SUM(E$11:E$12)/(365/12)*MAX(节奏总纲!F34-$E$2,0)</f>
        <v>0</v>
      </c>
      <c r="CH38" s="2">
        <f>INDEX($BY$8:$BY$15,MATCH(CH$7,$CB$8:$CB$15,0))*SUM(F$11:F$12)/(365/12)*MAX(节奏总纲!G34-$E$2,0)</f>
        <v>0</v>
      </c>
      <c r="CI38" s="2">
        <f>INDEX($BY$8:$BY$15,MATCH(CI$7,$CB$8:$CB$15,0))*SUM(G$11:G$12)/(365/12)*MAX(节奏总纲!H34-$E$2,0)</f>
        <v>0</v>
      </c>
      <c r="CJ38" s="2">
        <f>INDEX($BZ$8:$BZ$15,MATCH(CE$7,$CB$8:$CB$15,0))*SUM(C$11:C$12)/(365/12)*MAX(节奏总纲!D34-$E$2,0)</f>
        <v>0</v>
      </c>
      <c r="CK38" s="2">
        <f>INDEX($BZ$8:$BZ$15,MATCH(CF$7,$CB$8:$CB$15,0))*SUM(D$11:D$12)/(365/12)*MAX(节奏总纲!E34-$E$2,0)</f>
        <v>0</v>
      </c>
      <c r="CL38" s="2">
        <f>INDEX($BZ$8:$BZ$15,MATCH(CG$7,$CB$8:$CB$15,0))*SUM(E$11:E$12)/(365/12)*MAX(节奏总纲!F34-$E$2,0)</f>
        <v>0</v>
      </c>
      <c r="CM38" s="2">
        <f>INDEX($BZ$8:$BZ$15,MATCH(CH$7,$CB$8:$CB$15,0))*SUM(F$11:F$12)/(365/12)*MAX(节奏总纲!G34-$E$2,0)</f>
        <v>0</v>
      </c>
      <c r="CN38" s="2">
        <f>INDEX($BZ$8:$BZ$15,MATCH(CI$7,$CB$8:$CB$15,0))*SUM(G$11:G$12)/(365/12)*MAX(节奏总纲!H34-$E$2,0)</f>
        <v>0</v>
      </c>
      <c r="CS38" s="2">
        <v>31</v>
      </c>
      <c r="CT38" s="2">
        <f t="shared" si="1"/>
        <v>0</v>
      </c>
      <c r="CU38" s="2">
        <f t="shared" si="2"/>
        <v>0</v>
      </c>
      <c r="CV38" s="2">
        <f t="shared" si="3"/>
        <v>0</v>
      </c>
      <c r="CW38" s="2">
        <f t="shared" si="4"/>
        <v>0</v>
      </c>
      <c r="CX38" s="2">
        <f t="shared" si="5"/>
        <v>0</v>
      </c>
      <c r="CZ38" s="41" t="e">
        <f t="shared" si="6"/>
        <v>#DIV/0!</v>
      </c>
      <c r="DA38" s="41" t="e">
        <f t="shared" si="7"/>
        <v>#DIV/0!</v>
      </c>
      <c r="DB38" s="41" t="e">
        <f t="shared" si="8"/>
        <v>#DIV/0!</v>
      </c>
      <c r="DD38" s="41" t="e">
        <f t="shared" si="9"/>
        <v>#DIV/0!</v>
      </c>
      <c r="DE38" s="41" t="e">
        <f t="shared" si="10"/>
        <v>#DIV/0!</v>
      </c>
      <c r="DF38" s="41" t="e">
        <f t="shared" si="11"/>
        <v>#DIV/0!</v>
      </c>
      <c r="DH38" s="41" t="e">
        <f t="shared" si="12"/>
        <v>#DIV/0!</v>
      </c>
      <c r="DI38" s="41" t="e">
        <f t="shared" si="13"/>
        <v>#DIV/0!</v>
      </c>
      <c r="DJ38" s="41" t="e">
        <f t="shared" si="14"/>
        <v>#DIV/0!</v>
      </c>
      <c r="DL38" s="2">
        <f>CT38/节奏总纲!D34</f>
        <v>0</v>
      </c>
      <c r="DM38" s="2">
        <f>CU38/节奏总纲!E34</f>
        <v>0</v>
      </c>
      <c r="DN38" s="2">
        <f>CV38/节奏总纲!F34</f>
        <v>0</v>
      </c>
      <c r="DO38" s="2">
        <f>CW38/节奏总纲!G34</f>
        <v>0</v>
      </c>
      <c r="DP38" s="2">
        <f>CX38/节奏总纲!H34</f>
        <v>0</v>
      </c>
      <c r="DR38" s="2" t="e">
        <f t="shared" si="15"/>
        <v>#DIV/0!</v>
      </c>
      <c r="DS38" s="2" t="e">
        <f t="shared" si="16"/>
        <v>#DIV/0!</v>
      </c>
      <c r="DT38" s="2" t="e">
        <f t="shared" si="17"/>
        <v>#DIV/0!</v>
      </c>
      <c r="DU38" s="2" t="e">
        <f t="shared" si="18"/>
        <v>#DIV/0!</v>
      </c>
      <c r="DY38" s="2">
        <v>31</v>
      </c>
      <c r="DZ38" s="2">
        <f t="shared" si="22"/>
        <v>0</v>
      </c>
      <c r="EA38" s="2">
        <f t="shared" si="23"/>
        <v>0</v>
      </c>
      <c r="EB38" s="2">
        <f t="shared" si="24"/>
        <v>0</v>
      </c>
      <c r="EC38" s="2">
        <f t="shared" si="25"/>
        <v>0</v>
      </c>
      <c r="ED38" s="2">
        <f t="shared" si="26"/>
        <v>0</v>
      </c>
      <c r="EF38" s="57" t="e">
        <f t="shared" si="27"/>
        <v>#DIV/0!</v>
      </c>
      <c r="EG38" s="57" t="e">
        <f t="shared" si="28"/>
        <v>#DIV/0!</v>
      </c>
      <c r="EH38" s="41" t="e">
        <f t="shared" si="29"/>
        <v>#DIV/0!</v>
      </c>
      <c r="EJ38" s="57" t="e">
        <f t="shared" si="30"/>
        <v>#DIV/0!</v>
      </c>
      <c r="EK38" s="57" t="e">
        <f t="shared" si="31"/>
        <v>#DIV/0!</v>
      </c>
      <c r="EL38" s="41" t="e">
        <f t="shared" si="32"/>
        <v>#DIV/0!</v>
      </c>
      <c r="EN38" s="57" t="e">
        <f t="shared" si="33"/>
        <v>#DIV/0!</v>
      </c>
      <c r="EO38" s="57" t="e">
        <f t="shared" si="34"/>
        <v>#DIV/0!</v>
      </c>
      <c r="EP38" s="41" t="e">
        <f t="shared" si="35"/>
        <v>#DIV/0!</v>
      </c>
    </row>
    <row r="39" spans="20:146" x14ac:dyDescent="0.15">
      <c r="T39" s="2">
        <v>32</v>
      </c>
      <c r="U39" s="2">
        <f>$N$8*SUM(C$11:C$12)/(365/12)*MAX(节奏总纲!D35-$E$2,0)</f>
        <v>0</v>
      </c>
      <c r="V39" s="2">
        <f>$N$8*SUM(D$11:D$12)/(365/12)*MAX(节奏总纲!E35-$E$2,0)</f>
        <v>0</v>
      </c>
      <c r="W39" s="2">
        <f>$N$8*SUM(E$11:E$12)/(365/12)*MAX(节奏总纲!F35-$E$2,0)</f>
        <v>0</v>
      </c>
      <c r="X39" s="2">
        <f>$N$8*SUM(F$11:F$12)/(365/12)*MAX(节奏总纲!G35-$E$2,0)</f>
        <v>0</v>
      </c>
      <c r="Y39" s="2">
        <f>$N$8*SUM(G$11:G$12)/(365/12)*MAX(节奏总纲!H35-$E$2,0)</f>
        <v>0</v>
      </c>
      <c r="Z39" s="2">
        <f>$O$8*SUM(C$11:C$12)/(365/12)*MAX(节奏总纲!D35-$E$2,0)</f>
        <v>0</v>
      </c>
      <c r="AA39" s="2">
        <f>$O$8*SUM(D$11:D$12)/(365/12)*MAX(节奏总纲!E35-$E$2,0)</f>
        <v>0</v>
      </c>
      <c r="AB39" s="2">
        <f>$O$8*SUM(E$11:E$12)/(365/12)*MAX(节奏总纲!F35-$E$2,0)</f>
        <v>0</v>
      </c>
      <c r="AC39" s="2">
        <f>$O$8*SUM(F$11:F$12)/(365/12)*MAX(节奏总纲!G35-$E$2,0)</f>
        <v>0</v>
      </c>
      <c r="AD39" s="2">
        <f>$O$8*SUM(G$11:G$12)/(365/12)*MAX(节奏总纲!H35-$E$2,0)</f>
        <v>0</v>
      </c>
      <c r="AE39" s="2">
        <f>$Q$8*SUM(C$11:C$12)/(365/12)*MAX(节奏总纲!D35-$E$2,0)</f>
        <v>0</v>
      </c>
      <c r="AF39" s="2">
        <f>$Q$8*SUM(D$11:D$12)/(365/12)*MAX(节奏总纲!E35-$E$2,0)</f>
        <v>0</v>
      </c>
      <c r="AG39" s="2">
        <f>$Q$8*SUM(E$11:E$12)/(365/12)*MAX(节奏总纲!F35-$E$2,0)</f>
        <v>0</v>
      </c>
      <c r="AH39" s="2">
        <f>$Q$8*SUM(F$11:F$12)/(365/12)*MAX(节奏总纲!G35-$E$2,0)</f>
        <v>0</v>
      </c>
      <c r="AI39" s="2">
        <f>$Q$8*SUM(G$11:G$12)/(365/12)*MAX(节奏总纲!H35-$E$2,0)</f>
        <v>0</v>
      </c>
      <c r="AJ39" s="2">
        <f>$P$8*SUM(C$11:C$12)/(365/12)*MAX(节奏总纲!D35-$E$2,0)</f>
        <v>0</v>
      </c>
      <c r="AK39" s="2">
        <f>$P$8*SUM(D$11:D$12)/(365/12)*MAX(节奏总纲!E35-$E$2,0)</f>
        <v>0</v>
      </c>
      <c r="AL39" s="2">
        <f>$P$8*SUM(E$11:E$12)/(365/12)*MAX(节奏总纲!F35-$E$2,0)</f>
        <v>0</v>
      </c>
      <c r="AM39" s="2">
        <f>$P$8*SUM(F$11:F$12)/(365/12)*MAX(节奏总纲!G35-$E$2,0)</f>
        <v>0</v>
      </c>
      <c r="AN39" s="2">
        <f>$P$8*SUM(G$11:G$12)/(365/12)*MAX(节奏总纲!H35-$E$2,0)</f>
        <v>0</v>
      </c>
      <c r="AU39" s="2">
        <v>2</v>
      </c>
      <c r="AV39" s="2">
        <v>2</v>
      </c>
      <c r="AW39" s="2">
        <v>18</v>
      </c>
      <c r="AX39" s="2">
        <v>8</v>
      </c>
      <c r="AY39" s="2">
        <v>54000</v>
      </c>
      <c r="AZ39" s="2">
        <v>2000</v>
      </c>
      <c r="BC39" s="2">
        <v>32</v>
      </c>
      <c r="BD39" s="2">
        <f>$AZ$8/(365/12)*MAX(节奏总纲!D35-$E$2,0)</f>
        <v>0</v>
      </c>
      <c r="BE39" s="2">
        <f>$AZ$8/(365/12)*MAX(节奏总纲!E35-$E$2,0)</f>
        <v>0</v>
      </c>
      <c r="BF39" s="2">
        <f>$AZ$8/(365/12)*MAX(节奏总纲!F35-$E$2,0)</f>
        <v>0</v>
      </c>
      <c r="BG39" s="2">
        <f>$AZ$8/(365/12)*MAX(节奏总纲!G35-$E$2,0)</f>
        <v>0</v>
      </c>
      <c r="BH39" s="2">
        <f>$AZ$8/(365/12)*MAX(节奏总纲!H35-$E$2,0)</f>
        <v>0</v>
      </c>
      <c r="BI39" s="2">
        <f>$AY$8/(365/12)*MAX(节奏总纲!D35-$E$2,0)</f>
        <v>0</v>
      </c>
      <c r="BJ39" s="2">
        <f>$AY$8/(365/12)*MAX(节奏总纲!E35-$E$2,0)</f>
        <v>0</v>
      </c>
      <c r="BK39" s="2">
        <f>$AY$8/(365/12)*MAX(节奏总纲!F35-$E$2,0)</f>
        <v>0</v>
      </c>
      <c r="BL39" s="2">
        <f>$AY$8/(365/12)*MAX(节奏总纲!G35-$E$2,0)</f>
        <v>0</v>
      </c>
      <c r="BM39" s="2">
        <f>$AY$8/(365/12)*MAX(节奏总纲!H35-$E$2,0)</f>
        <v>0</v>
      </c>
      <c r="CD39" s="2">
        <v>32</v>
      </c>
      <c r="CE39" s="2">
        <f>INDEX($BY$8:$BY$15,MATCH(CE$7,$CB$8:$CB$15,0))*SUM(C$11:C$12)/(365/12)*MAX(节奏总纲!D35-$E$2,0)</f>
        <v>0</v>
      </c>
      <c r="CF39" s="2">
        <f>INDEX($BY$8:$BY$15,MATCH(CF$7,$CB$8:$CB$15,0))*SUM(D$11:D$12)/(365/12)*MAX(节奏总纲!E35-$E$2,0)</f>
        <v>0</v>
      </c>
      <c r="CG39" s="2">
        <f>INDEX($BY$8:$BY$15,MATCH(CG$7,$CB$8:$CB$15,0))*SUM(E$11:E$12)/(365/12)*MAX(节奏总纲!F35-$E$2,0)</f>
        <v>0</v>
      </c>
      <c r="CH39" s="2">
        <f>INDEX($BY$8:$BY$15,MATCH(CH$7,$CB$8:$CB$15,0))*SUM(F$11:F$12)/(365/12)*MAX(节奏总纲!G35-$E$2,0)</f>
        <v>0</v>
      </c>
      <c r="CI39" s="2">
        <f>INDEX($BY$8:$BY$15,MATCH(CI$7,$CB$8:$CB$15,0))*SUM(G$11:G$12)/(365/12)*MAX(节奏总纲!H35-$E$2,0)</f>
        <v>0</v>
      </c>
      <c r="CJ39" s="2">
        <f>INDEX($BZ$8:$BZ$15,MATCH(CE$7,$CB$8:$CB$15,0))*SUM(C$11:C$12)/(365/12)*MAX(节奏总纲!D35-$E$2,0)</f>
        <v>0</v>
      </c>
      <c r="CK39" s="2">
        <f>INDEX($BZ$8:$BZ$15,MATCH(CF$7,$CB$8:$CB$15,0))*SUM(D$11:D$12)/(365/12)*MAX(节奏总纲!E35-$E$2,0)</f>
        <v>0</v>
      </c>
      <c r="CL39" s="2">
        <f>INDEX($BZ$8:$BZ$15,MATCH(CG$7,$CB$8:$CB$15,0))*SUM(E$11:E$12)/(365/12)*MAX(节奏总纲!F35-$E$2,0)</f>
        <v>0</v>
      </c>
      <c r="CM39" s="2">
        <f>INDEX($BZ$8:$BZ$15,MATCH(CH$7,$CB$8:$CB$15,0))*SUM(F$11:F$12)/(365/12)*MAX(节奏总纲!G35-$E$2,0)</f>
        <v>0</v>
      </c>
      <c r="CN39" s="2">
        <f>INDEX($BZ$8:$BZ$15,MATCH(CI$7,$CB$8:$CB$15,0))*SUM(G$11:G$12)/(365/12)*MAX(节奏总纲!H35-$E$2,0)</f>
        <v>0</v>
      </c>
      <c r="CS39" s="2">
        <v>32</v>
      </c>
      <c r="CT39" s="2">
        <f t="shared" si="1"/>
        <v>0</v>
      </c>
      <c r="CU39" s="2">
        <f t="shared" si="2"/>
        <v>0</v>
      </c>
      <c r="CV39" s="2">
        <f t="shared" si="3"/>
        <v>0</v>
      </c>
      <c r="CW39" s="2">
        <f t="shared" si="4"/>
        <v>0</v>
      </c>
      <c r="CX39" s="2">
        <f t="shared" si="5"/>
        <v>0</v>
      </c>
      <c r="CZ39" s="41" t="e">
        <f t="shared" si="6"/>
        <v>#DIV/0!</v>
      </c>
      <c r="DA39" s="41" t="e">
        <f t="shared" si="7"/>
        <v>#DIV/0!</v>
      </c>
      <c r="DB39" s="41" t="e">
        <f t="shared" si="8"/>
        <v>#DIV/0!</v>
      </c>
      <c r="DD39" s="41" t="e">
        <f t="shared" si="9"/>
        <v>#DIV/0!</v>
      </c>
      <c r="DE39" s="41" t="e">
        <f t="shared" si="10"/>
        <v>#DIV/0!</v>
      </c>
      <c r="DF39" s="41" t="e">
        <f t="shared" si="11"/>
        <v>#DIV/0!</v>
      </c>
      <c r="DH39" s="41" t="e">
        <f t="shared" si="12"/>
        <v>#DIV/0!</v>
      </c>
      <c r="DI39" s="41" t="e">
        <f t="shared" si="13"/>
        <v>#DIV/0!</v>
      </c>
      <c r="DJ39" s="41" t="e">
        <f t="shared" si="14"/>
        <v>#DIV/0!</v>
      </c>
      <c r="DL39" s="2">
        <f>CT39/节奏总纲!D35</f>
        <v>0</v>
      </c>
      <c r="DM39" s="2">
        <f>CU39/节奏总纲!E35</f>
        <v>0</v>
      </c>
      <c r="DN39" s="2">
        <f>CV39/节奏总纲!F35</f>
        <v>0</v>
      </c>
      <c r="DO39" s="2">
        <f>CW39/节奏总纲!G35</f>
        <v>0</v>
      </c>
      <c r="DP39" s="2">
        <f>CX39/节奏总纲!H35</f>
        <v>0</v>
      </c>
      <c r="DR39" s="2" t="e">
        <f t="shared" si="15"/>
        <v>#DIV/0!</v>
      </c>
      <c r="DS39" s="2" t="e">
        <f t="shared" si="16"/>
        <v>#DIV/0!</v>
      </c>
      <c r="DT39" s="2" t="e">
        <f t="shared" si="17"/>
        <v>#DIV/0!</v>
      </c>
      <c r="DU39" s="2" t="e">
        <f t="shared" si="18"/>
        <v>#DIV/0!</v>
      </c>
      <c r="DY39" s="2">
        <v>32</v>
      </c>
      <c r="DZ39" s="2">
        <f t="shared" si="22"/>
        <v>0</v>
      </c>
      <c r="EA39" s="2">
        <f t="shared" si="23"/>
        <v>0</v>
      </c>
      <c r="EB39" s="2">
        <f t="shared" si="24"/>
        <v>0</v>
      </c>
      <c r="EC39" s="2">
        <f t="shared" si="25"/>
        <v>0</v>
      </c>
      <c r="ED39" s="2">
        <f t="shared" si="26"/>
        <v>0</v>
      </c>
      <c r="EF39" s="57" t="e">
        <f t="shared" si="27"/>
        <v>#DIV/0!</v>
      </c>
      <c r="EG39" s="57" t="e">
        <f t="shared" si="28"/>
        <v>#DIV/0!</v>
      </c>
      <c r="EH39" s="41" t="e">
        <f t="shared" si="29"/>
        <v>#DIV/0!</v>
      </c>
      <c r="EJ39" s="57" t="e">
        <f t="shared" si="30"/>
        <v>#DIV/0!</v>
      </c>
      <c r="EK39" s="57" t="e">
        <f t="shared" si="31"/>
        <v>#DIV/0!</v>
      </c>
      <c r="EL39" s="41" t="e">
        <f t="shared" si="32"/>
        <v>#DIV/0!</v>
      </c>
      <c r="EN39" s="57" t="e">
        <f t="shared" si="33"/>
        <v>#DIV/0!</v>
      </c>
      <c r="EO39" s="57" t="e">
        <f t="shared" si="34"/>
        <v>#DIV/0!</v>
      </c>
      <c r="EP39" s="41" t="e">
        <f t="shared" si="35"/>
        <v>#DIV/0!</v>
      </c>
    </row>
    <row r="40" spans="20:146" x14ac:dyDescent="0.15">
      <c r="T40" s="2">
        <v>33</v>
      </c>
      <c r="U40" s="2">
        <f>$N$8*SUM(C$11:C$12)/(365/12)*MAX(节奏总纲!D36-$E$2,0)</f>
        <v>0</v>
      </c>
      <c r="V40" s="2">
        <f>$N$8*SUM(D$11:D$12)/(365/12)*MAX(节奏总纲!E36-$E$2,0)</f>
        <v>0</v>
      </c>
      <c r="W40" s="2">
        <f>$N$8*SUM(E$11:E$12)/(365/12)*MAX(节奏总纲!F36-$E$2,0)</f>
        <v>0</v>
      </c>
      <c r="X40" s="2">
        <f>$N$8*SUM(F$11:F$12)/(365/12)*MAX(节奏总纲!G36-$E$2,0)</f>
        <v>0</v>
      </c>
      <c r="Y40" s="2">
        <f>$N$8*SUM(G$11:G$12)/(365/12)*MAX(节奏总纲!H36-$E$2,0)</f>
        <v>0</v>
      </c>
      <c r="Z40" s="2">
        <f>$O$8*SUM(C$11:C$12)/(365/12)*MAX(节奏总纲!D36-$E$2,0)</f>
        <v>0</v>
      </c>
      <c r="AA40" s="2">
        <f>$O$8*SUM(D$11:D$12)/(365/12)*MAX(节奏总纲!E36-$E$2,0)</f>
        <v>0</v>
      </c>
      <c r="AB40" s="2">
        <f>$O$8*SUM(E$11:E$12)/(365/12)*MAX(节奏总纲!F36-$E$2,0)</f>
        <v>0</v>
      </c>
      <c r="AC40" s="2">
        <f>$O$8*SUM(F$11:F$12)/(365/12)*MAX(节奏总纲!G36-$E$2,0)</f>
        <v>0</v>
      </c>
      <c r="AD40" s="2">
        <f>$O$8*SUM(G$11:G$12)/(365/12)*MAX(节奏总纲!H36-$E$2,0)</f>
        <v>0</v>
      </c>
      <c r="AE40" s="2">
        <f>$Q$8*SUM(C$11:C$12)/(365/12)*MAX(节奏总纲!D36-$E$2,0)</f>
        <v>0</v>
      </c>
      <c r="AF40" s="2">
        <f>$Q$8*SUM(D$11:D$12)/(365/12)*MAX(节奏总纲!E36-$E$2,0)</f>
        <v>0</v>
      </c>
      <c r="AG40" s="2">
        <f>$Q$8*SUM(E$11:E$12)/(365/12)*MAX(节奏总纲!F36-$E$2,0)</f>
        <v>0</v>
      </c>
      <c r="AH40" s="2">
        <f>$Q$8*SUM(F$11:F$12)/(365/12)*MAX(节奏总纲!G36-$E$2,0)</f>
        <v>0</v>
      </c>
      <c r="AI40" s="2">
        <f>$Q$8*SUM(G$11:G$12)/(365/12)*MAX(节奏总纲!H36-$E$2,0)</f>
        <v>0</v>
      </c>
      <c r="AJ40" s="2">
        <f>$P$8*SUM(C$11:C$12)/(365/12)*MAX(节奏总纲!D36-$E$2,0)</f>
        <v>0</v>
      </c>
      <c r="AK40" s="2">
        <f>$P$8*SUM(D$11:D$12)/(365/12)*MAX(节奏总纲!E36-$E$2,0)</f>
        <v>0</v>
      </c>
      <c r="AL40" s="2">
        <f>$P$8*SUM(E$11:E$12)/(365/12)*MAX(节奏总纲!F36-$E$2,0)</f>
        <v>0</v>
      </c>
      <c r="AM40" s="2">
        <f>$P$8*SUM(F$11:F$12)/(365/12)*MAX(节奏总纲!G36-$E$2,0)</f>
        <v>0</v>
      </c>
      <c r="AN40" s="2">
        <f>$P$8*SUM(G$11:G$12)/(365/12)*MAX(节奏总纲!H36-$E$2,0)</f>
        <v>0</v>
      </c>
      <c r="AU40" s="2">
        <v>3</v>
      </c>
      <c r="AV40" s="2">
        <v>3</v>
      </c>
      <c r="AW40" s="2">
        <v>16</v>
      </c>
      <c r="AX40" s="2">
        <v>6</v>
      </c>
      <c r="AY40" s="2">
        <v>54000</v>
      </c>
      <c r="AZ40" s="2">
        <v>2000</v>
      </c>
      <c r="BC40" s="2">
        <v>33</v>
      </c>
      <c r="BD40" s="2">
        <f>$AZ$8/(365/12)*MAX(节奏总纲!D36-$E$2,0)</f>
        <v>0</v>
      </c>
      <c r="BE40" s="2">
        <f>$AZ$8/(365/12)*MAX(节奏总纲!E36-$E$2,0)</f>
        <v>0</v>
      </c>
      <c r="BF40" s="2">
        <f>$AZ$8/(365/12)*MAX(节奏总纲!F36-$E$2,0)</f>
        <v>0</v>
      </c>
      <c r="BG40" s="2">
        <f>$AZ$8/(365/12)*MAX(节奏总纲!G36-$E$2,0)</f>
        <v>0</v>
      </c>
      <c r="BH40" s="2">
        <f>$AZ$8/(365/12)*MAX(节奏总纲!H36-$E$2,0)</f>
        <v>0</v>
      </c>
      <c r="BI40" s="2">
        <f>$AY$8/(365/12)*MAX(节奏总纲!D36-$E$2,0)</f>
        <v>0</v>
      </c>
      <c r="BJ40" s="2">
        <f>$AY$8/(365/12)*MAX(节奏总纲!E36-$E$2,0)</f>
        <v>0</v>
      </c>
      <c r="BK40" s="2">
        <f>$AY$8/(365/12)*MAX(节奏总纲!F36-$E$2,0)</f>
        <v>0</v>
      </c>
      <c r="BL40" s="2">
        <f>$AY$8/(365/12)*MAX(节奏总纲!G36-$E$2,0)</f>
        <v>0</v>
      </c>
      <c r="BM40" s="2">
        <f>$AY$8/(365/12)*MAX(节奏总纲!H36-$E$2,0)</f>
        <v>0</v>
      </c>
      <c r="CD40" s="2">
        <v>33</v>
      </c>
      <c r="CE40" s="2">
        <f>INDEX($BY$8:$BY$15,MATCH(CE$7,$CB$8:$CB$15,0))*SUM(C$11:C$12)/(365/12)*MAX(节奏总纲!D36-$E$2,0)</f>
        <v>0</v>
      </c>
      <c r="CF40" s="2">
        <f>INDEX($BY$8:$BY$15,MATCH(CF$7,$CB$8:$CB$15,0))*SUM(D$11:D$12)/(365/12)*MAX(节奏总纲!E36-$E$2,0)</f>
        <v>0</v>
      </c>
      <c r="CG40" s="2">
        <f>INDEX($BY$8:$BY$15,MATCH(CG$7,$CB$8:$CB$15,0))*SUM(E$11:E$12)/(365/12)*MAX(节奏总纲!F36-$E$2,0)</f>
        <v>0</v>
      </c>
      <c r="CH40" s="2">
        <f>INDEX($BY$8:$BY$15,MATCH(CH$7,$CB$8:$CB$15,0))*SUM(F$11:F$12)/(365/12)*MAX(节奏总纲!G36-$E$2,0)</f>
        <v>0</v>
      </c>
      <c r="CI40" s="2">
        <f>INDEX($BY$8:$BY$15,MATCH(CI$7,$CB$8:$CB$15,0))*SUM(G$11:G$12)/(365/12)*MAX(节奏总纲!H36-$E$2,0)</f>
        <v>0</v>
      </c>
      <c r="CJ40" s="2">
        <f>INDEX($BZ$8:$BZ$15,MATCH(CE$7,$CB$8:$CB$15,0))*SUM(C$11:C$12)/(365/12)*MAX(节奏总纲!D36-$E$2,0)</f>
        <v>0</v>
      </c>
      <c r="CK40" s="2">
        <f>INDEX($BZ$8:$BZ$15,MATCH(CF$7,$CB$8:$CB$15,0))*SUM(D$11:D$12)/(365/12)*MAX(节奏总纲!E36-$E$2,0)</f>
        <v>0</v>
      </c>
      <c r="CL40" s="2">
        <f>INDEX($BZ$8:$BZ$15,MATCH(CG$7,$CB$8:$CB$15,0))*SUM(E$11:E$12)/(365/12)*MAX(节奏总纲!F36-$E$2,0)</f>
        <v>0</v>
      </c>
      <c r="CM40" s="2">
        <f>INDEX($BZ$8:$BZ$15,MATCH(CH$7,$CB$8:$CB$15,0))*SUM(F$11:F$12)/(365/12)*MAX(节奏总纲!G36-$E$2,0)</f>
        <v>0</v>
      </c>
      <c r="CN40" s="2">
        <f>INDEX($BZ$8:$BZ$15,MATCH(CI$7,$CB$8:$CB$15,0))*SUM(G$11:G$12)/(365/12)*MAX(节奏总纲!H36-$E$2,0)</f>
        <v>0</v>
      </c>
      <c r="CS40" s="2">
        <v>33</v>
      </c>
      <c r="CT40" s="2">
        <f t="shared" ref="CT40:CT71" si="41">AE40+BD40+CE40</f>
        <v>0</v>
      </c>
      <c r="CU40" s="2">
        <f t="shared" ref="CU40:CU71" si="42">AF40+BE40+CF40</f>
        <v>0</v>
      </c>
      <c r="CV40" s="2">
        <f t="shared" ref="CV40:CV71" si="43">AG40+BF40+CG40</f>
        <v>0</v>
      </c>
      <c r="CW40" s="2">
        <f t="shared" ref="CW40:CW71" si="44">AH40+BG40+CH40</f>
        <v>0</v>
      </c>
      <c r="CX40" s="2">
        <f t="shared" ref="CX40:CX71" si="45">AI40+BH40+CI40</f>
        <v>0</v>
      </c>
      <c r="CZ40" s="41" t="e">
        <f t="shared" ref="CZ40:CZ71" si="46">AE40/CT40</f>
        <v>#DIV/0!</v>
      </c>
      <c r="DA40" s="41" t="e">
        <f t="shared" ref="DA40:DA71" si="47">BD40/CT40</f>
        <v>#DIV/0!</v>
      </c>
      <c r="DB40" s="41" t="e">
        <f t="shared" ref="DB40:DB71" si="48">CE40/CT40</f>
        <v>#DIV/0!</v>
      </c>
      <c r="DD40" s="41" t="e">
        <f t="shared" ref="DD40:DD71" si="49">AG40/CV40</f>
        <v>#DIV/0!</v>
      </c>
      <c r="DE40" s="41" t="e">
        <f t="shared" ref="DE40:DE71" si="50">BF40/CV40</f>
        <v>#DIV/0!</v>
      </c>
      <c r="DF40" s="41" t="e">
        <f t="shared" ref="DF40:DF71" si="51">CG40/CV40</f>
        <v>#DIV/0!</v>
      </c>
      <c r="DH40" s="41" t="e">
        <f t="shared" ref="DH40:DH71" si="52">AI40/CX40</f>
        <v>#DIV/0!</v>
      </c>
      <c r="DI40" s="41" t="e">
        <f t="shared" ref="DI40:DI71" si="53">BH40/CX40</f>
        <v>#DIV/0!</v>
      </c>
      <c r="DJ40" s="41" t="e">
        <f t="shared" ref="DJ40:DJ71" si="54">CI40/CX40</f>
        <v>#DIV/0!</v>
      </c>
      <c r="DL40" s="2">
        <f>CT40/节奏总纲!D36</f>
        <v>0</v>
      </c>
      <c r="DM40" s="2">
        <f>CU40/节奏总纲!E36</f>
        <v>0</v>
      </c>
      <c r="DN40" s="2">
        <f>CV40/节奏总纲!F36</f>
        <v>0</v>
      </c>
      <c r="DO40" s="2">
        <f>CW40/节奏总纲!G36</f>
        <v>0</v>
      </c>
      <c r="DP40" s="2">
        <f>CX40/节奏总纲!H36</f>
        <v>0</v>
      </c>
      <c r="DR40" s="2" t="e">
        <f t="shared" ref="DR40:DR71" si="55">DM40/$DL40</f>
        <v>#DIV/0!</v>
      </c>
      <c r="DS40" s="2" t="e">
        <f t="shared" ref="DS40:DS71" si="56">DN40/$DL40</f>
        <v>#DIV/0!</v>
      </c>
      <c r="DT40" s="2" t="e">
        <f t="shared" ref="DT40:DT71" si="57">DO40/$DL40</f>
        <v>#DIV/0!</v>
      </c>
      <c r="DU40" s="2" t="e">
        <f t="shared" ref="DU40:DU71" si="58">DP40/$DL40</f>
        <v>#DIV/0!</v>
      </c>
      <c r="DY40" s="2">
        <v>33</v>
      </c>
      <c r="DZ40" s="2">
        <f t="shared" si="22"/>
        <v>0</v>
      </c>
      <c r="EA40" s="2">
        <f t="shared" si="23"/>
        <v>0</v>
      </c>
      <c r="EB40" s="2">
        <f t="shared" si="24"/>
        <v>0</v>
      </c>
      <c r="EC40" s="2">
        <f t="shared" si="25"/>
        <v>0</v>
      </c>
      <c r="ED40" s="2">
        <f t="shared" si="26"/>
        <v>0</v>
      </c>
      <c r="EF40" s="57" t="e">
        <f t="shared" si="27"/>
        <v>#DIV/0!</v>
      </c>
      <c r="EG40" s="57" t="e">
        <f t="shared" si="28"/>
        <v>#DIV/0!</v>
      </c>
      <c r="EH40" s="41" t="e">
        <f t="shared" si="29"/>
        <v>#DIV/0!</v>
      </c>
      <c r="EJ40" s="57" t="e">
        <f t="shared" si="30"/>
        <v>#DIV/0!</v>
      </c>
      <c r="EK40" s="57" t="e">
        <f t="shared" si="31"/>
        <v>#DIV/0!</v>
      </c>
      <c r="EL40" s="41" t="e">
        <f t="shared" si="32"/>
        <v>#DIV/0!</v>
      </c>
      <c r="EN40" s="57" t="e">
        <f t="shared" si="33"/>
        <v>#DIV/0!</v>
      </c>
      <c r="EO40" s="57" t="e">
        <f t="shared" si="34"/>
        <v>#DIV/0!</v>
      </c>
      <c r="EP40" s="41" t="e">
        <f t="shared" si="35"/>
        <v>#DIV/0!</v>
      </c>
    </row>
    <row r="41" spans="20:146" x14ac:dyDescent="0.15">
      <c r="T41" s="2">
        <v>34</v>
      </c>
      <c r="U41" s="2">
        <f>$N$8*SUM(C$11:C$12)/(365/12)*MAX(节奏总纲!D37-$E$2,0)</f>
        <v>0</v>
      </c>
      <c r="V41" s="2">
        <f>$N$8*SUM(D$11:D$12)/(365/12)*MAX(节奏总纲!E37-$E$2,0)</f>
        <v>0</v>
      </c>
      <c r="W41" s="2">
        <f>$N$8*SUM(E$11:E$12)/(365/12)*MAX(节奏总纲!F37-$E$2,0)</f>
        <v>0</v>
      </c>
      <c r="X41" s="2">
        <f>$N$8*SUM(F$11:F$12)/(365/12)*MAX(节奏总纲!G37-$E$2,0)</f>
        <v>0</v>
      </c>
      <c r="Y41" s="2">
        <f>$N$8*SUM(G$11:G$12)/(365/12)*MAX(节奏总纲!H37-$E$2,0)</f>
        <v>0</v>
      </c>
      <c r="Z41" s="2">
        <f>$O$8*SUM(C$11:C$12)/(365/12)*MAX(节奏总纲!D37-$E$2,0)</f>
        <v>0</v>
      </c>
      <c r="AA41" s="2">
        <f>$O$8*SUM(D$11:D$12)/(365/12)*MAX(节奏总纲!E37-$E$2,0)</f>
        <v>0</v>
      </c>
      <c r="AB41" s="2">
        <f>$O$8*SUM(E$11:E$12)/(365/12)*MAX(节奏总纲!F37-$E$2,0)</f>
        <v>0</v>
      </c>
      <c r="AC41" s="2">
        <f>$O$8*SUM(F$11:F$12)/(365/12)*MAX(节奏总纲!G37-$E$2,0)</f>
        <v>0</v>
      </c>
      <c r="AD41" s="2">
        <f>$O$8*SUM(G$11:G$12)/(365/12)*MAX(节奏总纲!H37-$E$2,0)</f>
        <v>0</v>
      </c>
      <c r="AE41" s="2">
        <f>$Q$8*SUM(C$11:C$12)/(365/12)*MAX(节奏总纲!D37-$E$2,0)</f>
        <v>0</v>
      </c>
      <c r="AF41" s="2">
        <f>$Q$8*SUM(D$11:D$12)/(365/12)*MAX(节奏总纲!E37-$E$2,0)</f>
        <v>0</v>
      </c>
      <c r="AG41" s="2">
        <f>$Q$8*SUM(E$11:E$12)/(365/12)*MAX(节奏总纲!F37-$E$2,0)</f>
        <v>0</v>
      </c>
      <c r="AH41" s="2">
        <f>$Q$8*SUM(F$11:F$12)/(365/12)*MAX(节奏总纲!G37-$E$2,0)</f>
        <v>0</v>
      </c>
      <c r="AI41" s="2">
        <f>$Q$8*SUM(G$11:G$12)/(365/12)*MAX(节奏总纲!H37-$E$2,0)</f>
        <v>0</v>
      </c>
      <c r="AJ41" s="2">
        <f>$P$8*SUM(C$11:C$12)/(365/12)*MAX(节奏总纲!D37-$E$2,0)</f>
        <v>0</v>
      </c>
      <c r="AK41" s="2">
        <f>$P$8*SUM(D$11:D$12)/(365/12)*MAX(节奏总纲!E37-$E$2,0)</f>
        <v>0</v>
      </c>
      <c r="AL41" s="2">
        <f>$P$8*SUM(E$11:E$12)/(365/12)*MAX(节奏总纲!F37-$E$2,0)</f>
        <v>0</v>
      </c>
      <c r="AM41" s="2">
        <f>$P$8*SUM(F$11:F$12)/(365/12)*MAX(节奏总纲!G37-$E$2,0)</f>
        <v>0</v>
      </c>
      <c r="AN41" s="2">
        <f>$P$8*SUM(G$11:G$12)/(365/12)*MAX(节奏总纲!H37-$E$2,0)</f>
        <v>0</v>
      </c>
      <c r="AU41" s="2">
        <v>4</v>
      </c>
      <c r="AV41" s="2">
        <v>5</v>
      </c>
      <c r="AW41" s="2">
        <v>14</v>
      </c>
      <c r="AX41" s="2">
        <v>4</v>
      </c>
      <c r="AY41" s="2">
        <v>54000</v>
      </c>
      <c r="AZ41" s="2">
        <v>2000</v>
      </c>
      <c r="BC41" s="2">
        <v>34</v>
      </c>
      <c r="BD41" s="2">
        <f>$AZ$8/(365/12)*MAX(节奏总纲!D37-$E$2,0)</f>
        <v>0</v>
      </c>
      <c r="BE41" s="2">
        <f>$AZ$8/(365/12)*MAX(节奏总纲!E37-$E$2,0)</f>
        <v>0</v>
      </c>
      <c r="BF41" s="2">
        <f>$AZ$8/(365/12)*MAX(节奏总纲!F37-$E$2,0)</f>
        <v>0</v>
      </c>
      <c r="BG41" s="2">
        <f>$AZ$8/(365/12)*MAX(节奏总纲!G37-$E$2,0)</f>
        <v>0</v>
      </c>
      <c r="BH41" s="2">
        <f>$AZ$8/(365/12)*MAX(节奏总纲!H37-$E$2,0)</f>
        <v>0</v>
      </c>
      <c r="BI41" s="2">
        <f>$AY$8/(365/12)*MAX(节奏总纲!D37-$E$2,0)</f>
        <v>0</v>
      </c>
      <c r="BJ41" s="2">
        <f>$AY$8/(365/12)*MAX(节奏总纲!E37-$E$2,0)</f>
        <v>0</v>
      </c>
      <c r="BK41" s="2">
        <f>$AY$8/(365/12)*MAX(节奏总纲!F37-$E$2,0)</f>
        <v>0</v>
      </c>
      <c r="BL41" s="2">
        <f>$AY$8/(365/12)*MAX(节奏总纲!G37-$E$2,0)</f>
        <v>0</v>
      </c>
      <c r="BM41" s="2">
        <f>$AY$8/(365/12)*MAX(节奏总纲!H37-$E$2,0)</f>
        <v>0</v>
      </c>
      <c r="CD41" s="2">
        <v>34</v>
      </c>
      <c r="CE41" s="2">
        <f>INDEX($BY$8:$BY$15,MATCH(CE$7,$CB$8:$CB$15,0))*SUM(C$11:C$12)/(365/12)*MAX(节奏总纲!D37-$E$2,0)</f>
        <v>0</v>
      </c>
      <c r="CF41" s="2">
        <f>INDEX($BY$8:$BY$15,MATCH(CF$7,$CB$8:$CB$15,0))*SUM(D$11:D$12)/(365/12)*MAX(节奏总纲!E37-$E$2,0)</f>
        <v>0</v>
      </c>
      <c r="CG41" s="2">
        <f>INDEX($BY$8:$BY$15,MATCH(CG$7,$CB$8:$CB$15,0))*SUM(E$11:E$12)/(365/12)*MAX(节奏总纲!F37-$E$2,0)</f>
        <v>0</v>
      </c>
      <c r="CH41" s="2">
        <f>INDEX($BY$8:$BY$15,MATCH(CH$7,$CB$8:$CB$15,0))*SUM(F$11:F$12)/(365/12)*MAX(节奏总纲!G37-$E$2,0)</f>
        <v>0</v>
      </c>
      <c r="CI41" s="2">
        <f>INDEX($BY$8:$BY$15,MATCH(CI$7,$CB$8:$CB$15,0))*SUM(G$11:G$12)/(365/12)*MAX(节奏总纲!H37-$E$2,0)</f>
        <v>0</v>
      </c>
      <c r="CJ41" s="2">
        <f>INDEX($BZ$8:$BZ$15,MATCH(CE$7,$CB$8:$CB$15,0))*SUM(C$11:C$12)/(365/12)*MAX(节奏总纲!D37-$E$2,0)</f>
        <v>0</v>
      </c>
      <c r="CK41" s="2">
        <f>INDEX($BZ$8:$BZ$15,MATCH(CF$7,$CB$8:$CB$15,0))*SUM(D$11:D$12)/(365/12)*MAX(节奏总纲!E37-$E$2,0)</f>
        <v>0</v>
      </c>
      <c r="CL41" s="2">
        <f>INDEX($BZ$8:$BZ$15,MATCH(CG$7,$CB$8:$CB$15,0))*SUM(E$11:E$12)/(365/12)*MAX(节奏总纲!F37-$E$2,0)</f>
        <v>0</v>
      </c>
      <c r="CM41" s="2">
        <f>INDEX($BZ$8:$BZ$15,MATCH(CH$7,$CB$8:$CB$15,0))*SUM(F$11:F$12)/(365/12)*MAX(节奏总纲!G37-$E$2,0)</f>
        <v>0</v>
      </c>
      <c r="CN41" s="2">
        <f>INDEX($BZ$8:$BZ$15,MATCH(CI$7,$CB$8:$CB$15,0))*SUM(G$11:G$12)/(365/12)*MAX(节奏总纲!H37-$E$2,0)</f>
        <v>0</v>
      </c>
      <c r="CS41" s="2">
        <v>34</v>
      </c>
      <c r="CT41" s="2">
        <f t="shared" si="41"/>
        <v>0</v>
      </c>
      <c r="CU41" s="2">
        <f t="shared" si="42"/>
        <v>0</v>
      </c>
      <c r="CV41" s="2">
        <f t="shared" si="43"/>
        <v>0</v>
      </c>
      <c r="CW41" s="2">
        <f t="shared" si="44"/>
        <v>0</v>
      </c>
      <c r="CX41" s="2">
        <f t="shared" si="45"/>
        <v>0</v>
      </c>
      <c r="CZ41" s="41" t="e">
        <f t="shared" si="46"/>
        <v>#DIV/0!</v>
      </c>
      <c r="DA41" s="41" t="e">
        <f t="shared" si="47"/>
        <v>#DIV/0!</v>
      </c>
      <c r="DB41" s="41" t="e">
        <f t="shared" si="48"/>
        <v>#DIV/0!</v>
      </c>
      <c r="DD41" s="41" t="e">
        <f t="shared" si="49"/>
        <v>#DIV/0!</v>
      </c>
      <c r="DE41" s="41" t="e">
        <f t="shared" si="50"/>
        <v>#DIV/0!</v>
      </c>
      <c r="DF41" s="41" t="e">
        <f t="shared" si="51"/>
        <v>#DIV/0!</v>
      </c>
      <c r="DH41" s="41" t="e">
        <f t="shared" si="52"/>
        <v>#DIV/0!</v>
      </c>
      <c r="DI41" s="41" t="e">
        <f t="shared" si="53"/>
        <v>#DIV/0!</v>
      </c>
      <c r="DJ41" s="41" t="e">
        <f t="shared" si="54"/>
        <v>#DIV/0!</v>
      </c>
      <c r="DL41" s="2">
        <f>CT41/节奏总纲!D37</f>
        <v>0</v>
      </c>
      <c r="DM41" s="2">
        <f>CU41/节奏总纲!E37</f>
        <v>0</v>
      </c>
      <c r="DN41" s="2">
        <f>CV41/节奏总纲!F37</f>
        <v>0</v>
      </c>
      <c r="DO41" s="2">
        <f>CW41/节奏总纲!G37</f>
        <v>0</v>
      </c>
      <c r="DP41" s="2">
        <f>CX41/节奏总纲!H37</f>
        <v>0</v>
      </c>
      <c r="DR41" s="2" t="e">
        <f t="shared" si="55"/>
        <v>#DIV/0!</v>
      </c>
      <c r="DS41" s="2" t="e">
        <f t="shared" si="56"/>
        <v>#DIV/0!</v>
      </c>
      <c r="DT41" s="2" t="e">
        <f t="shared" si="57"/>
        <v>#DIV/0!</v>
      </c>
      <c r="DU41" s="2" t="e">
        <f t="shared" si="58"/>
        <v>#DIV/0!</v>
      </c>
      <c r="DY41" s="2">
        <v>34</v>
      </c>
      <c r="DZ41" s="2">
        <f t="shared" si="22"/>
        <v>0</v>
      </c>
      <c r="EA41" s="2">
        <f t="shared" si="23"/>
        <v>0</v>
      </c>
      <c r="EB41" s="2">
        <f t="shared" si="24"/>
        <v>0</v>
      </c>
      <c r="EC41" s="2">
        <f t="shared" si="25"/>
        <v>0</v>
      </c>
      <c r="ED41" s="2">
        <f t="shared" si="26"/>
        <v>0</v>
      </c>
      <c r="EF41" s="57" t="e">
        <f t="shared" si="27"/>
        <v>#DIV/0!</v>
      </c>
      <c r="EG41" s="57" t="e">
        <f t="shared" si="28"/>
        <v>#DIV/0!</v>
      </c>
      <c r="EH41" s="41" t="e">
        <f t="shared" si="29"/>
        <v>#DIV/0!</v>
      </c>
      <c r="EJ41" s="57" t="e">
        <f t="shared" si="30"/>
        <v>#DIV/0!</v>
      </c>
      <c r="EK41" s="57" t="e">
        <f t="shared" si="31"/>
        <v>#DIV/0!</v>
      </c>
      <c r="EL41" s="41" t="e">
        <f t="shared" si="32"/>
        <v>#DIV/0!</v>
      </c>
      <c r="EN41" s="57" t="e">
        <f t="shared" si="33"/>
        <v>#DIV/0!</v>
      </c>
      <c r="EO41" s="57" t="e">
        <f t="shared" si="34"/>
        <v>#DIV/0!</v>
      </c>
      <c r="EP41" s="41" t="e">
        <f t="shared" si="35"/>
        <v>#DIV/0!</v>
      </c>
    </row>
    <row r="42" spans="20:146" x14ac:dyDescent="0.15">
      <c r="T42" s="2">
        <v>35</v>
      </c>
      <c r="U42" s="2">
        <f>$N$8*SUM(C$11:C$12)/(365/12)*MAX(节奏总纲!D38-$E$2,0)</f>
        <v>0</v>
      </c>
      <c r="V42" s="2">
        <f>$N$8*SUM(D$11:D$12)/(365/12)*MAX(节奏总纲!E38-$E$2,0)</f>
        <v>0</v>
      </c>
      <c r="W42" s="2">
        <f>$N$8*SUM(E$11:E$12)/(365/12)*MAX(节奏总纲!F38-$E$2,0)</f>
        <v>0</v>
      </c>
      <c r="X42" s="2">
        <f>$N$8*SUM(F$11:F$12)/(365/12)*MAX(节奏总纲!G38-$E$2,0)</f>
        <v>0</v>
      </c>
      <c r="Y42" s="2">
        <f>$N$8*SUM(G$11:G$12)/(365/12)*MAX(节奏总纲!H38-$E$2,0)</f>
        <v>0</v>
      </c>
      <c r="Z42" s="2">
        <f>$O$8*SUM(C$11:C$12)/(365/12)*MAX(节奏总纲!D38-$E$2,0)</f>
        <v>0</v>
      </c>
      <c r="AA42" s="2">
        <f>$O$8*SUM(D$11:D$12)/(365/12)*MAX(节奏总纲!E38-$E$2,0)</f>
        <v>0</v>
      </c>
      <c r="AB42" s="2">
        <f>$O$8*SUM(E$11:E$12)/(365/12)*MAX(节奏总纲!F38-$E$2,0)</f>
        <v>0</v>
      </c>
      <c r="AC42" s="2">
        <f>$O$8*SUM(F$11:F$12)/(365/12)*MAX(节奏总纲!G38-$E$2,0)</f>
        <v>0</v>
      </c>
      <c r="AD42" s="2">
        <f>$O$8*SUM(G$11:G$12)/(365/12)*MAX(节奏总纲!H38-$E$2,0)</f>
        <v>0</v>
      </c>
      <c r="AE42" s="2">
        <f>$Q$8*SUM(C$11:C$12)/(365/12)*MAX(节奏总纲!D38-$E$2,0)</f>
        <v>0</v>
      </c>
      <c r="AF42" s="2">
        <f>$Q$8*SUM(D$11:D$12)/(365/12)*MAX(节奏总纲!E38-$E$2,0)</f>
        <v>0</v>
      </c>
      <c r="AG42" s="2">
        <f>$Q$8*SUM(E$11:E$12)/(365/12)*MAX(节奏总纲!F38-$E$2,0)</f>
        <v>0</v>
      </c>
      <c r="AH42" s="2">
        <f>$Q$8*SUM(F$11:F$12)/(365/12)*MAX(节奏总纲!G38-$E$2,0)</f>
        <v>0</v>
      </c>
      <c r="AI42" s="2">
        <f>$Q$8*SUM(G$11:G$12)/(365/12)*MAX(节奏总纲!H38-$E$2,0)</f>
        <v>0</v>
      </c>
      <c r="AJ42" s="2">
        <f>$P$8*SUM(C$11:C$12)/(365/12)*MAX(节奏总纲!D38-$E$2,0)</f>
        <v>0</v>
      </c>
      <c r="AK42" s="2">
        <f>$P$8*SUM(D$11:D$12)/(365/12)*MAX(节奏总纲!E38-$E$2,0)</f>
        <v>0</v>
      </c>
      <c r="AL42" s="2">
        <f>$P$8*SUM(E$11:E$12)/(365/12)*MAX(节奏总纲!F38-$E$2,0)</f>
        <v>0</v>
      </c>
      <c r="AM42" s="2">
        <f>$P$8*SUM(F$11:F$12)/(365/12)*MAX(节奏总纲!G38-$E$2,0)</f>
        <v>0</v>
      </c>
      <c r="AN42" s="2">
        <f>$P$8*SUM(G$11:G$12)/(365/12)*MAX(节奏总纲!H38-$E$2,0)</f>
        <v>0</v>
      </c>
      <c r="AU42" s="2">
        <v>6</v>
      </c>
      <c r="AV42" s="2">
        <v>10</v>
      </c>
      <c r="AW42" s="2">
        <v>12</v>
      </c>
      <c r="AX42" s="2">
        <v>3</v>
      </c>
      <c r="AY42" s="2">
        <v>50400</v>
      </c>
      <c r="AZ42" s="2">
        <v>1800</v>
      </c>
      <c r="BC42" s="2">
        <v>35</v>
      </c>
      <c r="BD42" s="2">
        <f>$AZ$8/(365/12)*MAX(节奏总纲!D38-$E$2,0)</f>
        <v>0</v>
      </c>
      <c r="BE42" s="2">
        <f>$AZ$8/(365/12)*MAX(节奏总纲!E38-$E$2,0)</f>
        <v>0</v>
      </c>
      <c r="BF42" s="2">
        <f>$AZ$8/(365/12)*MAX(节奏总纲!F38-$E$2,0)</f>
        <v>0</v>
      </c>
      <c r="BG42" s="2">
        <f>$AZ$8/(365/12)*MAX(节奏总纲!G38-$E$2,0)</f>
        <v>0</v>
      </c>
      <c r="BH42" s="2">
        <f>$AZ$8/(365/12)*MAX(节奏总纲!H38-$E$2,0)</f>
        <v>0</v>
      </c>
      <c r="BI42" s="2">
        <f>$AY$8/(365/12)*MAX(节奏总纲!D38-$E$2,0)</f>
        <v>0</v>
      </c>
      <c r="BJ42" s="2">
        <f>$AY$8/(365/12)*MAX(节奏总纲!E38-$E$2,0)</f>
        <v>0</v>
      </c>
      <c r="BK42" s="2">
        <f>$AY$8/(365/12)*MAX(节奏总纲!F38-$E$2,0)</f>
        <v>0</v>
      </c>
      <c r="BL42" s="2">
        <f>$AY$8/(365/12)*MAX(节奏总纲!G38-$E$2,0)</f>
        <v>0</v>
      </c>
      <c r="BM42" s="2">
        <f>$AY$8/(365/12)*MAX(节奏总纲!H38-$E$2,0)</f>
        <v>0</v>
      </c>
      <c r="CD42" s="2">
        <v>35</v>
      </c>
      <c r="CE42" s="2">
        <f>INDEX($BY$8:$BY$15,MATCH(CE$7,$CB$8:$CB$15,0))*SUM(C$11:C$12)/(365/12)*MAX(节奏总纲!D38-$E$2,0)</f>
        <v>0</v>
      </c>
      <c r="CF42" s="2">
        <f>INDEX($BY$8:$BY$15,MATCH(CF$7,$CB$8:$CB$15,0))*SUM(D$11:D$12)/(365/12)*MAX(节奏总纲!E38-$E$2,0)</f>
        <v>0</v>
      </c>
      <c r="CG42" s="2">
        <f>INDEX($BY$8:$BY$15,MATCH(CG$7,$CB$8:$CB$15,0))*SUM(E$11:E$12)/(365/12)*MAX(节奏总纲!F38-$E$2,0)</f>
        <v>0</v>
      </c>
      <c r="CH42" s="2">
        <f>INDEX($BY$8:$BY$15,MATCH(CH$7,$CB$8:$CB$15,0))*SUM(F$11:F$12)/(365/12)*MAX(节奏总纲!G38-$E$2,0)</f>
        <v>0</v>
      </c>
      <c r="CI42" s="2">
        <f>INDEX($BY$8:$BY$15,MATCH(CI$7,$CB$8:$CB$15,0))*SUM(G$11:G$12)/(365/12)*MAX(节奏总纲!H38-$E$2,0)</f>
        <v>0</v>
      </c>
      <c r="CJ42" s="2">
        <f>INDEX($BZ$8:$BZ$15,MATCH(CE$7,$CB$8:$CB$15,0))*SUM(C$11:C$12)/(365/12)*MAX(节奏总纲!D38-$E$2,0)</f>
        <v>0</v>
      </c>
      <c r="CK42" s="2">
        <f>INDEX($BZ$8:$BZ$15,MATCH(CF$7,$CB$8:$CB$15,0))*SUM(D$11:D$12)/(365/12)*MAX(节奏总纲!E38-$E$2,0)</f>
        <v>0</v>
      </c>
      <c r="CL42" s="2">
        <f>INDEX($BZ$8:$BZ$15,MATCH(CG$7,$CB$8:$CB$15,0))*SUM(E$11:E$12)/(365/12)*MAX(节奏总纲!F38-$E$2,0)</f>
        <v>0</v>
      </c>
      <c r="CM42" s="2">
        <f>INDEX($BZ$8:$BZ$15,MATCH(CH$7,$CB$8:$CB$15,0))*SUM(F$11:F$12)/(365/12)*MAX(节奏总纲!G38-$E$2,0)</f>
        <v>0</v>
      </c>
      <c r="CN42" s="2">
        <f>INDEX($BZ$8:$BZ$15,MATCH(CI$7,$CB$8:$CB$15,0))*SUM(G$11:G$12)/(365/12)*MAX(节奏总纲!H38-$E$2,0)</f>
        <v>0</v>
      </c>
      <c r="CS42" s="2">
        <v>35</v>
      </c>
      <c r="CT42" s="2">
        <f t="shared" si="41"/>
        <v>0</v>
      </c>
      <c r="CU42" s="2">
        <f t="shared" si="42"/>
        <v>0</v>
      </c>
      <c r="CV42" s="2">
        <f t="shared" si="43"/>
        <v>0</v>
      </c>
      <c r="CW42" s="2">
        <f t="shared" si="44"/>
        <v>0</v>
      </c>
      <c r="CX42" s="2">
        <f t="shared" si="45"/>
        <v>0</v>
      </c>
      <c r="CZ42" s="41" t="e">
        <f t="shared" si="46"/>
        <v>#DIV/0!</v>
      </c>
      <c r="DA42" s="41" t="e">
        <f t="shared" si="47"/>
        <v>#DIV/0!</v>
      </c>
      <c r="DB42" s="41" t="e">
        <f t="shared" si="48"/>
        <v>#DIV/0!</v>
      </c>
      <c r="DD42" s="41" t="e">
        <f t="shared" si="49"/>
        <v>#DIV/0!</v>
      </c>
      <c r="DE42" s="41" t="e">
        <f t="shared" si="50"/>
        <v>#DIV/0!</v>
      </c>
      <c r="DF42" s="41" t="e">
        <f t="shared" si="51"/>
        <v>#DIV/0!</v>
      </c>
      <c r="DH42" s="41" t="e">
        <f t="shared" si="52"/>
        <v>#DIV/0!</v>
      </c>
      <c r="DI42" s="41" t="e">
        <f t="shared" si="53"/>
        <v>#DIV/0!</v>
      </c>
      <c r="DJ42" s="41" t="e">
        <f t="shared" si="54"/>
        <v>#DIV/0!</v>
      </c>
      <c r="DL42" s="2">
        <f>CT42/节奏总纲!D38</f>
        <v>0</v>
      </c>
      <c r="DM42" s="2">
        <f>CU42/节奏总纲!E38</f>
        <v>0</v>
      </c>
      <c r="DN42" s="2">
        <f>CV42/节奏总纲!F38</f>
        <v>0</v>
      </c>
      <c r="DO42" s="2">
        <f>CW42/节奏总纲!G38</f>
        <v>0</v>
      </c>
      <c r="DP42" s="2">
        <f>CX42/节奏总纲!H38</f>
        <v>0</v>
      </c>
      <c r="DR42" s="2" t="e">
        <f t="shared" si="55"/>
        <v>#DIV/0!</v>
      </c>
      <c r="DS42" s="2" t="e">
        <f t="shared" si="56"/>
        <v>#DIV/0!</v>
      </c>
      <c r="DT42" s="2" t="e">
        <f t="shared" si="57"/>
        <v>#DIV/0!</v>
      </c>
      <c r="DU42" s="2" t="e">
        <f t="shared" si="58"/>
        <v>#DIV/0!</v>
      </c>
      <c r="DY42" s="2">
        <v>35</v>
      </c>
      <c r="DZ42" s="2">
        <f t="shared" si="22"/>
        <v>0</v>
      </c>
      <c r="EA42" s="2">
        <f t="shared" si="23"/>
        <v>0</v>
      </c>
      <c r="EB42" s="2">
        <f t="shared" si="24"/>
        <v>0</v>
      </c>
      <c r="EC42" s="2">
        <f t="shared" si="25"/>
        <v>0</v>
      </c>
      <c r="ED42" s="2">
        <f t="shared" si="26"/>
        <v>0</v>
      </c>
      <c r="EF42" s="57" t="e">
        <f t="shared" si="27"/>
        <v>#DIV/0!</v>
      </c>
      <c r="EG42" s="57" t="e">
        <f t="shared" si="28"/>
        <v>#DIV/0!</v>
      </c>
      <c r="EH42" s="41" t="e">
        <f t="shared" si="29"/>
        <v>#DIV/0!</v>
      </c>
      <c r="EJ42" s="57" t="e">
        <f t="shared" si="30"/>
        <v>#DIV/0!</v>
      </c>
      <c r="EK42" s="57" t="e">
        <f t="shared" si="31"/>
        <v>#DIV/0!</v>
      </c>
      <c r="EL42" s="41" t="e">
        <f t="shared" si="32"/>
        <v>#DIV/0!</v>
      </c>
      <c r="EN42" s="57" t="e">
        <f t="shared" si="33"/>
        <v>#DIV/0!</v>
      </c>
      <c r="EO42" s="57" t="e">
        <f t="shared" si="34"/>
        <v>#DIV/0!</v>
      </c>
      <c r="EP42" s="41" t="e">
        <f t="shared" si="35"/>
        <v>#DIV/0!</v>
      </c>
    </row>
    <row r="43" spans="20:146" x14ac:dyDescent="0.15">
      <c r="T43" s="2">
        <v>36</v>
      </c>
      <c r="U43" s="2">
        <f>$N$8*SUM(C$11:C$12)/(365/12)*MAX(节奏总纲!D39-$E$2,0)</f>
        <v>0</v>
      </c>
      <c r="V43" s="2">
        <f>$N$8*SUM(D$11:D$12)/(365/12)*MAX(节奏总纲!E39-$E$2,0)</f>
        <v>0</v>
      </c>
      <c r="W43" s="2">
        <f>$N$8*SUM(E$11:E$12)/(365/12)*MAX(节奏总纲!F39-$E$2,0)</f>
        <v>0</v>
      </c>
      <c r="X43" s="2">
        <f>$N$8*SUM(F$11:F$12)/(365/12)*MAX(节奏总纲!G39-$E$2,0)</f>
        <v>0</v>
      </c>
      <c r="Y43" s="2">
        <f>$N$8*SUM(G$11:G$12)/(365/12)*MAX(节奏总纲!H39-$E$2,0)</f>
        <v>0</v>
      </c>
      <c r="Z43" s="2">
        <f>$O$8*SUM(C$11:C$12)/(365/12)*MAX(节奏总纲!D39-$E$2,0)</f>
        <v>0</v>
      </c>
      <c r="AA43" s="2">
        <f>$O$8*SUM(D$11:D$12)/(365/12)*MAX(节奏总纲!E39-$E$2,0)</f>
        <v>0</v>
      </c>
      <c r="AB43" s="2">
        <f>$O$8*SUM(E$11:E$12)/(365/12)*MAX(节奏总纲!F39-$E$2,0)</f>
        <v>0</v>
      </c>
      <c r="AC43" s="2">
        <f>$O$8*SUM(F$11:F$12)/(365/12)*MAX(节奏总纲!G39-$E$2,0)</f>
        <v>0</v>
      </c>
      <c r="AD43" s="2">
        <f>$O$8*SUM(G$11:G$12)/(365/12)*MAX(节奏总纲!H39-$E$2,0)</f>
        <v>0</v>
      </c>
      <c r="AE43" s="2">
        <f>$Q$8*SUM(C$11:C$12)/(365/12)*MAX(节奏总纲!D39-$E$2,0)</f>
        <v>0</v>
      </c>
      <c r="AF43" s="2">
        <f>$Q$8*SUM(D$11:D$12)/(365/12)*MAX(节奏总纲!E39-$E$2,0)</f>
        <v>0</v>
      </c>
      <c r="AG43" s="2">
        <f>$Q$8*SUM(E$11:E$12)/(365/12)*MAX(节奏总纲!F39-$E$2,0)</f>
        <v>0</v>
      </c>
      <c r="AH43" s="2">
        <f>$Q$8*SUM(F$11:F$12)/(365/12)*MAX(节奏总纲!G39-$E$2,0)</f>
        <v>0</v>
      </c>
      <c r="AI43" s="2">
        <f>$Q$8*SUM(G$11:G$12)/(365/12)*MAX(节奏总纲!H39-$E$2,0)</f>
        <v>0</v>
      </c>
      <c r="AJ43" s="2">
        <f>$P$8*SUM(C$11:C$12)/(365/12)*MAX(节奏总纲!D39-$E$2,0)</f>
        <v>0</v>
      </c>
      <c r="AK43" s="2">
        <f>$P$8*SUM(D$11:D$12)/(365/12)*MAX(节奏总纲!E39-$E$2,0)</f>
        <v>0</v>
      </c>
      <c r="AL43" s="2">
        <f>$P$8*SUM(E$11:E$12)/(365/12)*MAX(节奏总纲!F39-$E$2,0)</f>
        <v>0</v>
      </c>
      <c r="AM43" s="2">
        <f>$P$8*SUM(F$11:F$12)/(365/12)*MAX(节奏总纲!G39-$E$2,0)</f>
        <v>0</v>
      </c>
      <c r="AN43" s="2">
        <f>$P$8*SUM(G$11:G$12)/(365/12)*MAX(节奏总纲!H39-$E$2,0)</f>
        <v>0</v>
      </c>
      <c r="AU43" s="2">
        <v>11</v>
      </c>
      <c r="AV43" s="2">
        <v>20</v>
      </c>
      <c r="AW43" s="2">
        <v>10</v>
      </c>
      <c r="AX43" s="2">
        <v>2</v>
      </c>
      <c r="AY43" s="2">
        <v>46800</v>
      </c>
      <c r="AZ43" s="2">
        <v>1600</v>
      </c>
      <c r="BC43" s="2">
        <v>36</v>
      </c>
      <c r="BD43" s="2">
        <f>$AZ$8/(365/12)*MAX(节奏总纲!D39-$E$2,0)</f>
        <v>0</v>
      </c>
      <c r="BE43" s="2">
        <f>$AZ$8/(365/12)*MAX(节奏总纲!E39-$E$2,0)</f>
        <v>0</v>
      </c>
      <c r="BF43" s="2">
        <f>$AZ$8/(365/12)*MAX(节奏总纲!F39-$E$2,0)</f>
        <v>0</v>
      </c>
      <c r="BG43" s="2">
        <f>$AZ$8/(365/12)*MAX(节奏总纲!G39-$E$2,0)</f>
        <v>0</v>
      </c>
      <c r="BH43" s="2">
        <f>$AZ$8/(365/12)*MAX(节奏总纲!H39-$E$2,0)</f>
        <v>0</v>
      </c>
      <c r="BI43" s="2">
        <f>$AY$8/(365/12)*MAX(节奏总纲!D39-$E$2,0)</f>
        <v>0</v>
      </c>
      <c r="BJ43" s="2">
        <f>$AY$8/(365/12)*MAX(节奏总纲!E39-$E$2,0)</f>
        <v>0</v>
      </c>
      <c r="BK43" s="2">
        <f>$AY$8/(365/12)*MAX(节奏总纲!F39-$E$2,0)</f>
        <v>0</v>
      </c>
      <c r="BL43" s="2">
        <f>$AY$8/(365/12)*MAX(节奏总纲!G39-$E$2,0)</f>
        <v>0</v>
      </c>
      <c r="BM43" s="2">
        <f>$AY$8/(365/12)*MAX(节奏总纲!H39-$E$2,0)</f>
        <v>0</v>
      </c>
      <c r="CD43" s="2">
        <v>36</v>
      </c>
      <c r="CE43" s="2">
        <f>INDEX($BY$8:$BY$15,MATCH(CE$7,$CB$8:$CB$15,0))*SUM(C$11:C$12)/(365/12)*MAX(节奏总纲!D39-$E$2,0)</f>
        <v>0</v>
      </c>
      <c r="CF43" s="2">
        <f>INDEX($BY$8:$BY$15,MATCH(CF$7,$CB$8:$CB$15,0))*SUM(D$11:D$12)/(365/12)*MAX(节奏总纲!E39-$E$2,0)</f>
        <v>0</v>
      </c>
      <c r="CG43" s="2">
        <f>INDEX($BY$8:$BY$15,MATCH(CG$7,$CB$8:$CB$15,0))*SUM(E$11:E$12)/(365/12)*MAX(节奏总纲!F39-$E$2,0)</f>
        <v>0</v>
      </c>
      <c r="CH43" s="2">
        <f>INDEX($BY$8:$BY$15,MATCH(CH$7,$CB$8:$CB$15,0))*SUM(F$11:F$12)/(365/12)*MAX(节奏总纲!G39-$E$2,0)</f>
        <v>0</v>
      </c>
      <c r="CI43" s="2">
        <f>INDEX($BY$8:$BY$15,MATCH(CI$7,$CB$8:$CB$15,0))*SUM(G$11:G$12)/(365/12)*MAX(节奏总纲!H39-$E$2,0)</f>
        <v>0</v>
      </c>
      <c r="CJ43" s="2">
        <f>INDEX($BZ$8:$BZ$15,MATCH(CE$7,$CB$8:$CB$15,0))*SUM(C$11:C$12)/(365/12)*MAX(节奏总纲!D39-$E$2,0)</f>
        <v>0</v>
      </c>
      <c r="CK43" s="2">
        <f>INDEX($BZ$8:$BZ$15,MATCH(CF$7,$CB$8:$CB$15,0))*SUM(D$11:D$12)/(365/12)*MAX(节奏总纲!E39-$E$2,0)</f>
        <v>0</v>
      </c>
      <c r="CL43" s="2">
        <f>INDEX($BZ$8:$BZ$15,MATCH(CG$7,$CB$8:$CB$15,0))*SUM(E$11:E$12)/(365/12)*MAX(节奏总纲!F39-$E$2,0)</f>
        <v>0</v>
      </c>
      <c r="CM43" s="2">
        <f>INDEX($BZ$8:$BZ$15,MATCH(CH$7,$CB$8:$CB$15,0))*SUM(F$11:F$12)/(365/12)*MAX(节奏总纲!G39-$E$2,0)</f>
        <v>0</v>
      </c>
      <c r="CN43" s="2">
        <f>INDEX($BZ$8:$BZ$15,MATCH(CI$7,$CB$8:$CB$15,0))*SUM(G$11:G$12)/(365/12)*MAX(节奏总纲!H39-$E$2,0)</f>
        <v>0</v>
      </c>
      <c r="CS43" s="2">
        <v>36</v>
      </c>
      <c r="CT43" s="2">
        <f t="shared" si="41"/>
        <v>0</v>
      </c>
      <c r="CU43" s="2">
        <f t="shared" si="42"/>
        <v>0</v>
      </c>
      <c r="CV43" s="2">
        <f t="shared" si="43"/>
        <v>0</v>
      </c>
      <c r="CW43" s="2">
        <f t="shared" si="44"/>
        <v>0</v>
      </c>
      <c r="CX43" s="2">
        <f t="shared" si="45"/>
        <v>0</v>
      </c>
      <c r="CZ43" s="41" t="e">
        <f t="shared" si="46"/>
        <v>#DIV/0!</v>
      </c>
      <c r="DA43" s="41" t="e">
        <f t="shared" si="47"/>
        <v>#DIV/0!</v>
      </c>
      <c r="DB43" s="41" t="e">
        <f t="shared" si="48"/>
        <v>#DIV/0!</v>
      </c>
      <c r="DD43" s="41" t="e">
        <f t="shared" si="49"/>
        <v>#DIV/0!</v>
      </c>
      <c r="DE43" s="41" t="e">
        <f t="shared" si="50"/>
        <v>#DIV/0!</v>
      </c>
      <c r="DF43" s="41" t="e">
        <f t="shared" si="51"/>
        <v>#DIV/0!</v>
      </c>
      <c r="DH43" s="41" t="e">
        <f t="shared" si="52"/>
        <v>#DIV/0!</v>
      </c>
      <c r="DI43" s="41" t="e">
        <f t="shared" si="53"/>
        <v>#DIV/0!</v>
      </c>
      <c r="DJ43" s="41" t="e">
        <f t="shared" si="54"/>
        <v>#DIV/0!</v>
      </c>
      <c r="DL43" s="2">
        <f>CT43/节奏总纲!D39</f>
        <v>0</v>
      </c>
      <c r="DM43" s="2">
        <f>CU43/节奏总纲!E39</f>
        <v>0</v>
      </c>
      <c r="DN43" s="2">
        <f>CV43/节奏总纲!F39</f>
        <v>0</v>
      </c>
      <c r="DO43" s="2">
        <f>CW43/节奏总纲!G39</f>
        <v>0</v>
      </c>
      <c r="DP43" s="2">
        <f>CX43/节奏总纲!H39</f>
        <v>0</v>
      </c>
      <c r="DR43" s="2" t="e">
        <f t="shared" si="55"/>
        <v>#DIV/0!</v>
      </c>
      <c r="DS43" s="2" t="e">
        <f t="shared" si="56"/>
        <v>#DIV/0!</v>
      </c>
      <c r="DT43" s="2" t="e">
        <f t="shared" si="57"/>
        <v>#DIV/0!</v>
      </c>
      <c r="DU43" s="2" t="e">
        <f t="shared" si="58"/>
        <v>#DIV/0!</v>
      </c>
      <c r="DY43" s="2">
        <v>36</v>
      </c>
      <c r="DZ43" s="2">
        <f t="shared" si="22"/>
        <v>0</v>
      </c>
      <c r="EA43" s="2">
        <f t="shared" si="23"/>
        <v>0</v>
      </c>
      <c r="EB43" s="2">
        <f t="shared" si="24"/>
        <v>0</v>
      </c>
      <c r="EC43" s="2">
        <f t="shared" si="25"/>
        <v>0</v>
      </c>
      <c r="ED43" s="2">
        <f t="shared" si="26"/>
        <v>0</v>
      </c>
      <c r="EF43" s="57" t="e">
        <f t="shared" si="27"/>
        <v>#DIV/0!</v>
      </c>
      <c r="EG43" s="57" t="e">
        <f t="shared" si="28"/>
        <v>#DIV/0!</v>
      </c>
      <c r="EH43" s="41" t="e">
        <f t="shared" si="29"/>
        <v>#DIV/0!</v>
      </c>
      <c r="EJ43" s="57" t="e">
        <f t="shared" si="30"/>
        <v>#DIV/0!</v>
      </c>
      <c r="EK43" s="57" t="e">
        <f t="shared" si="31"/>
        <v>#DIV/0!</v>
      </c>
      <c r="EL43" s="41" t="e">
        <f t="shared" si="32"/>
        <v>#DIV/0!</v>
      </c>
      <c r="EN43" s="57" t="e">
        <f t="shared" si="33"/>
        <v>#DIV/0!</v>
      </c>
      <c r="EO43" s="57" t="e">
        <f t="shared" si="34"/>
        <v>#DIV/0!</v>
      </c>
      <c r="EP43" s="41" t="e">
        <f t="shared" si="35"/>
        <v>#DIV/0!</v>
      </c>
    </row>
    <row r="44" spans="20:146" x14ac:dyDescent="0.15">
      <c r="T44" s="2">
        <v>37</v>
      </c>
      <c r="U44" s="2">
        <f>$N$8*SUM(C$11:C$12)/(365/12)*MAX(节奏总纲!D40-$E$2,0)</f>
        <v>0</v>
      </c>
      <c r="V44" s="2">
        <f>$N$8*SUM(D$11:D$12)/(365/12)*MAX(节奏总纲!E40-$E$2,0)</f>
        <v>0</v>
      </c>
      <c r="W44" s="2">
        <f>$N$8*SUM(E$11:E$12)/(365/12)*MAX(节奏总纲!F40-$E$2,0)</f>
        <v>0</v>
      </c>
      <c r="X44" s="2">
        <f>$N$8*SUM(F$11:F$12)/(365/12)*MAX(节奏总纲!G40-$E$2,0)</f>
        <v>0</v>
      </c>
      <c r="Y44" s="2">
        <f>$N$8*SUM(G$11:G$12)/(365/12)*MAX(节奏总纲!H40-$E$2,0)</f>
        <v>0</v>
      </c>
      <c r="Z44" s="2">
        <f>$O$8*SUM(C$11:C$12)/(365/12)*MAX(节奏总纲!D40-$E$2,0)</f>
        <v>0</v>
      </c>
      <c r="AA44" s="2">
        <f>$O$8*SUM(D$11:D$12)/(365/12)*MAX(节奏总纲!E40-$E$2,0)</f>
        <v>0</v>
      </c>
      <c r="AB44" s="2">
        <f>$O$8*SUM(E$11:E$12)/(365/12)*MAX(节奏总纲!F40-$E$2,0)</f>
        <v>0</v>
      </c>
      <c r="AC44" s="2">
        <f>$O$8*SUM(F$11:F$12)/(365/12)*MAX(节奏总纲!G40-$E$2,0)</f>
        <v>0</v>
      </c>
      <c r="AD44" s="2">
        <f>$O$8*SUM(G$11:G$12)/(365/12)*MAX(节奏总纲!H40-$E$2,0)</f>
        <v>0</v>
      </c>
      <c r="AE44" s="2">
        <f>$Q$8*SUM(C$11:C$12)/(365/12)*MAX(节奏总纲!D40-$E$2,0)</f>
        <v>0</v>
      </c>
      <c r="AF44" s="2">
        <f>$Q$8*SUM(D$11:D$12)/(365/12)*MAX(节奏总纲!E40-$E$2,0)</f>
        <v>0</v>
      </c>
      <c r="AG44" s="2">
        <f>$Q$8*SUM(E$11:E$12)/(365/12)*MAX(节奏总纲!F40-$E$2,0)</f>
        <v>0</v>
      </c>
      <c r="AH44" s="2">
        <f>$Q$8*SUM(F$11:F$12)/(365/12)*MAX(节奏总纲!G40-$E$2,0)</f>
        <v>0</v>
      </c>
      <c r="AI44" s="2">
        <f>$Q$8*SUM(G$11:G$12)/(365/12)*MAX(节奏总纲!H40-$E$2,0)</f>
        <v>0</v>
      </c>
      <c r="AJ44" s="2">
        <f>$P$8*SUM(C$11:C$12)/(365/12)*MAX(节奏总纲!D40-$E$2,0)</f>
        <v>0</v>
      </c>
      <c r="AK44" s="2">
        <f>$P$8*SUM(D$11:D$12)/(365/12)*MAX(节奏总纲!E40-$E$2,0)</f>
        <v>0</v>
      </c>
      <c r="AL44" s="2">
        <f>$P$8*SUM(E$11:E$12)/(365/12)*MAX(节奏总纲!F40-$E$2,0)</f>
        <v>0</v>
      </c>
      <c r="AM44" s="2">
        <f>$P$8*SUM(F$11:F$12)/(365/12)*MAX(节奏总纲!G40-$E$2,0)</f>
        <v>0</v>
      </c>
      <c r="AN44" s="2">
        <f>$P$8*SUM(G$11:G$12)/(365/12)*MAX(节奏总纲!H40-$E$2,0)</f>
        <v>0</v>
      </c>
      <c r="AU44" s="2">
        <v>21</v>
      </c>
      <c r="AV44" s="2">
        <v>50</v>
      </c>
      <c r="AW44" s="2">
        <v>8</v>
      </c>
      <c r="AX44" s="2">
        <v>1</v>
      </c>
      <c r="AY44" s="2">
        <v>43200</v>
      </c>
      <c r="AZ44" s="2">
        <v>1500</v>
      </c>
      <c r="BC44" s="2">
        <v>37</v>
      </c>
      <c r="BD44" s="2">
        <f>$AZ$8/(365/12)*MAX(节奏总纲!D40-$E$2,0)</f>
        <v>0</v>
      </c>
      <c r="BE44" s="2">
        <f>$AZ$8/(365/12)*MAX(节奏总纲!E40-$E$2,0)</f>
        <v>0</v>
      </c>
      <c r="BF44" s="2">
        <f>$AZ$8/(365/12)*MAX(节奏总纲!F40-$E$2,0)</f>
        <v>0</v>
      </c>
      <c r="BG44" s="2">
        <f>$AZ$8/(365/12)*MAX(节奏总纲!G40-$E$2,0)</f>
        <v>0</v>
      </c>
      <c r="BH44" s="2">
        <f>$AZ$8/(365/12)*MAX(节奏总纲!H40-$E$2,0)</f>
        <v>0</v>
      </c>
      <c r="BI44" s="2">
        <f>$AY$8/(365/12)*MAX(节奏总纲!D40-$E$2,0)</f>
        <v>0</v>
      </c>
      <c r="BJ44" s="2">
        <f>$AY$8/(365/12)*MAX(节奏总纲!E40-$E$2,0)</f>
        <v>0</v>
      </c>
      <c r="BK44" s="2">
        <f>$AY$8/(365/12)*MAX(节奏总纲!F40-$E$2,0)</f>
        <v>0</v>
      </c>
      <c r="BL44" s="2">
        <f>$AY$8/(365/12)*MAX(节奏总纲!G40-$E$2,0)</f>
        <v>0</v>
      </c>
      <c r="BM44" s="2">
        <f>$AY$8/(365/12)*MAX(节奏总纲!H40-$E$2,0)</f>
        <v>0</v>
      </c>
      <c r="CD44" s="2">
        <v>37</v>
      </c>
      <c r="CE44" s="2">
        <f>INDEX($BY$8:$BY$15,MATCH(CE$7,$CB$8:$CB$15,0))*SUM(C$11:C$12)/(365/12)*MAX(节奏总纲!D40-$E$2,0)</f>
        <v>0</v>
      </c>
      <c r="CF44" s="2">
        <f>INDEX($BY$8:$BY$15,MATCH(CF$7,$CB$8:$CB$15,0))*SUM(D$11:D$12)/(365/12)*MAX(节奏总纲!E40-$E$2,0)</f>
        <v>0</v>
      </c>
      <c r="CG44" s="2">
        <f>INDEX($BY$8:$BY$15,MATCH(CG$7,$CB$8:$CB$15,0))*SUM(E$11:E$12)/(365/12)*MAX(节奏总纲!F40-$E$2,0)</f>
        <v>0</v>
      </c>
      <c r="CH44" s="2">
        <f>INDEX($BY$8:$BY$15,MATCH(CH$7,$CB$8:$CB$15,0))*SUM(F$11:F$12)/(365/12)*MAX(节奏总纲!G40-$E$2,0)</f>
        <v>0</v>
      </c>
      <c r="CI44" s="2">
        <f>INDEX($BY$8:$BY$15,MATCH(CI$7,$CB$8:$CB$15,0))*SUM(G$11:G$12)/(365/12)*MAX(节奏总纲!H40-$E$2,0)</f>
        <v>0</v>
      </c>
      <c r="CJ44" s="2">
        <f>INDEX($BZ$8:$BZ$15,MATCH(CE$7,$CB$8:$CB$15,0))*SUM(C$11:C$12)/(365/12)*MAX(节奏总纲!D40-$E$2,0)</f>
        <v>0</v>
      </c>
      <c r="CK44" s="2">
        <f>INDEX($BZ$8:$BZ$15,MATCH(CF$7,$CB$8:$CB$15,0))*SUM(D$11:D$12)/(365/12)*MAX(节奏总纲!E40-$E$2,0)</f>
        <v>0</v>
      </c>
      <c r="CL44" s="2">
        <f>INDEX($BZ$8:$BZ$15,MATCH(CG$7,$CB$8:$CB$15,0))*SUM(E$11:E$12)/(365/12)*MAX(节奏总纲!F40-$E$2,0)</f>
        <v>0</v>
      </c>
      <c r="CM44" s="2">
        <f>INDEX($BZ$8:$BZ$15,MATCH(CH$7,$CB$8:$CB$15,0))*SUM(F$11:F$12)/(365/12)*MAX(节奏总纲!G40-$E$2,0)</f>
        <v>0</v>
      </c>
      <c r="CN44" s="2">
        <f>INDEX($BZ$8:$BZ$15,MATCH(CI$7,$CB$8:$CB$15,0))*SUM(G$11:G$12)/(365/12)*MAX(节奏总纲!H40-$E$2,0)</f>
        <v>0</v>
      </c>
      <c r="CS44" s="2">
        <v>37</v>
      </c>
      <c r="CT44" s="2">
        <f t="shared" si="41"/>
        <v>0</v>
      </c>
      <c r="CU44" s="2">
        <f t="shared" si="42"/>
        <v>0</v>
      </c>
      <c r="CV44" s="2">
        <f t="shared" si="43"/>
        <v>0</v>
      </c>
      <c r="CW44" s="2">
        <f t="shared" si="44"/>
        <v>0</v>
      </c>
      <c r="CX44" s="2">
        <f t="shared" si="45"/>
        <v>0</v>
      </c>
      <c r="CZ44" s="41" t="e">
        <f t="shared" si="46"/>
        <v>#DIV/0!</v>
      </c>
      <c r="DA44" s="41" t="e">
        <f t="shared" si="47"/>
        <v>#DIV/0!</v>
      </c>
      <c r="DB44" s="41" t="e">
        <f t="shared" si="48"/>
        <v>#DIV/0!</v>
      </c>
      <c r="DD44" s="41" t="e">
        <f t="shared" si="49"/>
        <v>#DIV/0!</v>
      </c>
      <c r="DE44" s="41" t="e">
        <f t="shared" si="50"/>
        <v>#DIV/0!</v>
      </c>
      <c r="DF44" s="41" t="e">
        <f t="shared" si="51"/>
        <v>#DIV/0!</v>
      </c>
      <c r="DH44" s="41" t="e">
        <f t="shared" si="52"/>
        <v>#DIV/0!</v>
      </c>
      <c r="DI44" s="41" t="e">
        <f t="shared" si="53"/>
        <v>#DIV/0!</v>
      </c>
      <c r="DJ44" s="41" t="e">
        <f t="shared" si="54"/>
        <v>#DIV/0!</v>
      </c>
      <c r="DL44" s="2">
        <f>CT44/节奏总纲!D40</f>
        <v>0</v>
      </c>
      <c r="DM44" s="2">
        <f>CU44/节奏总纲!E40</f>
        <v>0</v>
      </c>
      <c r="DN44" s="2">
        <f>CV44/节奏总纲!F40</f>
        <v>0</v>
      </c>
      <c r="DO44" s="2">
        <f>CW44/节奏总纲!G40</f>
        <v>0</v>
      </c>
      <c r="DP44" s="2">
        <f>CX44/节奏总纲!H40</f>
        <v>0</v>
      </c>
      <c r="DR44" s="2" t="e">
        <f t="shared" si="55"/>
        <v>#DIV/0!</v>
      </c>
      <c r="DS44" s="2" t="e">
        <f t="shared" si="56"/>
        <v>#DIV/0!</v>
      </c>
      <c r="DT44" s="2" t="e">
        <f t="shared" si="57"/>
        <v>#DIV/0!</v>
      </c>
      <c r="DU44" s="2" t="e">
        <f t="shared" si="58"/>
        <v>#DIV/0!</v>
      </c>
      <c r="DY44" s="2">
        <v>37</v>
      </c>
      <c r="DZ44" s="2">
        <f t="shared" si="22"/>
        <v>0</v>
      </c>
      <c r="EA44" s="2">
        <f t="shared" si="23"/>
        <v>0</v>
      </c>
      <c r="EB44" s="2">
        <f t="shared" si="24"/>
        <v>0</v>
      </c>
      <c r="EC44" s="2">
        <f t="shared" si="25"/>
        <v>0</v>
      </c>
      <c r="ED44" s="2">
        <f t="shared" si="26"/>
        <v>0</v>
      </c>
      <c r="EF44" s="57" t="e">
        <f t="shared" si="27"/>
        <v>#DIV/0!</v>
      </c>
      <c r="EG44" s="57" t="e">
        <f t="shared" si="28"/>
        <v>#DIV/0!</v>
      </c>
      <c r="EH44" s="41" t="e">
        <f t="shared" si="29"/>
        <v>#DIV/0!</v>
      </c>
      <c r="EJ44" s="57" t="e">
        <f t="shared" si="30"/>
        <v>#DIV/0!</v>
      </c>
      <c r="EK44" s="57" t="e">
        <f t="shared" si="31"/>
        <v>#DIV/0!</v>
      </c>
      <c r="EL44" s="41" t="e">
        <f t="shared" si="32"/>
        <v>#DIV/0!</v>
      </c>
      <c r="EN44" s="57" t="e">
        <f t="shared" si="33"/>
        <v>#DIV/0!</v>
      </c>
      <c r="EO44" s="57" t="e">
        <f t="shared" si="34"/>
        <v>#DIV/0!</v>
      </c>
      <c r="EP44" s="41" t="e">
        <f t="shared" si="35"/>
        <v>#DIV/0!</v>
      </c>
    </row>
    <row r="45" spans="20:146" x14ac:dyDescent="0.15">
      <c r="T45" s="2">
        <v>38</v>
      </c>
      <c r="U45" s="2">
        <f>$N$8*SUM(C$11:C$12)/(365/12)*MAX(节奏总纲!D41-$E$2,0)</f>
        <v>0</v>
      </c>
      <c r="V45" s="2">
        <f>$N$8*SUM(D$11:D$12)/(365/12)*MAX(节奏总纲!E41-$E$2,0)</f>
        <v>0</v>
      </c>
      <c r="W45" s="2">
        <f>$N$8*SUM(E$11:E$12)/(365/12)*MAX(节奏总纲!F41-$E$2,0)</f>
        <v>0</v>
      </c>
      <c r="X45" s="2">
        <f>$N$8*SUM(F$11:F$12)/(365/12)*MAX(节奏总纲!G41-$E$2,0)</f>
        <v>0</v>
      </c>
      <c r="Y45" s="2">
        <f>$N$8*SUM(G$11:G$12)/(365/12)*MAX(节奏总纲!H41-$E$2,0)</f>
        <v>0</v>
      </c>
      <c r="Z45" s="2">
        <f>$O$8*SUM(C$11:C$12)/(365/12)*MAX(节奏总纲!D41-$E$2,0)</f>
        <v>0</v>
      </c>
      <c r="AA45" s="2">
        <f>$O$8*SUM(D$11:D$12)/(365/12)*MAX(节奏总纲!E41-$E$2,0)</f>
        <v>0</v>
      </c>
      <c r="AB45" s="2">
        <f>$O$8*SUM(E$11:E$12)/(365/12)*MAX(节奏总纲!F41-$E$2,0)</f>
        <v>0</v>
      </c>
      <c r="AC45" s="2">
        <f>$O$8*SUM(F$11:F$12)/(365/12)*MAX(节奏总纲!G41-$E$2,0)</f>
        <v>0</v>
      </c>
      <c r="AD45" s="2">
        <f>$O$8*SUM(G$11:G$12)/(365/12)*MAX(节奏总纲!H41-$E$2,0)</f>
        <v>0</v>
      </c>
      <c r="AE45" s="2">
        <f>$Q$8*SUM(C$11:C$12)/(365/12)*MAX(节奏总纲!D41-$E$2,0)</f>
        <v>0</v>
      </c>
      <c r="AF45" s="2">
        <f>$Q$8*SUM(D$11:D$12)/(365/12)*MAX(节奏总纲!E41-$E$2,0)</f>
        <v>0</v>
      </c>
      <c r="AG45" s="2">
        <f>$Q$8*SUM(E$11:E$12)/(365/12)*MAX(节奏总纲!F41-$E$2,0)</f>
        <v>0</v>
      </c>
      <c r="AH45" s="2">
        <f>$Q$8*SUM(F$11:F$12)/(365/12)*MAX(节奏总纲!G41-$E$2,0)</f>
        <v>0</v>
      </c>
      <c r="AI45" s="2">
        <f>$Q$8*SUM(G$11:G$12)/(365/12)*MAX(节奏总纲!H41-$E$2,0)</f>
        <v>0</v>
      </c>
      <c r="AJ45" s="2">
        <f>$P$8*SUM(C$11:C$12)/(365/12)*MAX(节奏总纲!D41-$E$2,0)</f>
        <v>0</v>
      </c>
      <c r="AK45" s="2">
        <f>$P$8*SUM(D$11:D$12)/(365/12)*MAX(节奏总纲!E41-$E$2,0)</f>
        <v>0</v>
      </c>
      <c r="AL45" s="2">
        <f>$P$8*SUM(E$11:E$12)/(365/12)*MAX(节奏总纲!F41-$E$2,0)</f>
        <v>0</v>
      </c>
      <c r="AM45" s="2">
        <f>$P$8*SUM(F$11:F$12)/(365/12)*MAX(节奏总纲!G41-$E$2,0)</f>
        <v>0</v>
      </c>
      <c r="AN45" s="2">
        <f>$P$8*SUM(G$11:G$12)/(365/12)*MAX(节奏总纲!H41-$E$2,0)</f>
        <v>0</v>
      </c>
      <c r="BC45" s="2">
        <v>38</v>
      </c>
      <c r="BD45" s="2">
        <f>$AZ$8/(365/12)*MAX(节奏总纲!D41-$E$2,0)</f>
        <v>0</v>
      </c>
      <c r="BE45" s="2">
        <f>$AZ$8/(365/12)*MAX(节奏总纲!E41-$E$2,0)</f>
        <v>0</v>
      </c>
      <c r="BF45" s="2">
        <f>$AZ$8/(365/12)*MAX(节奏总纲!F41-$E$2,0)</f>
        <v>0</v>
      </c>
      <c r="BG45" s="2">
        <f>$AZ$8/(365/12)*MAX(节奏总纲!G41-$E$2,0)</f>
        <v>0</v>
      </c>
      <c r="BH45" s="2">
        <f>$AZ$8/(365/12)*MAX(节奏总纲!H41-$E$2,0)</f>
        <v>0</v>
      </c>
      <c r="BI45" s="2">
        <f>$AY$8/(365/12)*MAX(节奏总纲!D41-$E$2,0)</f>
        <v>0</v>
      </c>
      <c r="BJ45" s="2">
        <f>$AY$8/(365/12)*MAX(节奏总纲!E41-$E$2,0)</f>
        <v>0</v>
      </c>
      <c r="BK45" s="2">
        <f>$AY$8/(365/12)*MAX(节奏总纲!F41-$E$2,0)</f>
        <v>0</v>
      </c>
      <c r="BL45" s="2">
        <f>$AY$8/(365/12)*MAX(节奏总纲!G41-$E$2,0)</f>
        <v>0</v>
      </c>
      <c r="BM45" s="2">
        <f>$AY$8/(365/12)*MAX(节奏总纲!H41-$E$2,0)</f>
        <v>0</v>
      </c>
      <c r="CD45" s="2">
        <v>38</v>
      </c>
      <c r="CE45" s="2">
        <f>INDEX($BY$8:$BY$15,MATCH(CE$7,$CB$8:$CB$15,0))*SUM(C$11:C$12)/(365/12)*MAX(节奏总纲!D41-$E$2,0)</f>
        <v>0</v>
      </c>
      <c r="CF45" s="2">
        <f>INDEX($BY$8:$BY$15,MATCH(CF$7,$CB$8:$CB$15,0))*SUM(D$11:D$12)/(365/12)*MAX(节奏总纲!E41-$E$2,0)</f>
        <v>0</v>
      </c>
      <c r="CG45" s="2">
        <f>INDEX($BY$8:$BY$15,MATCH(CG$7,$CB$8:$CB$15,0))*SUM(E$11:E$12)/(365/12)*MAX(节奏总纲!F41-$E$2,0)</f>
        <v>0</v>
      </c>
      <c r="CH45" s="2">
        <f>INDEX($BY$8:$BY$15,MATCH(CH$7,$CB$8:$CB$15,0))*SUM(F$11:F$12)/(365/12)*MAX(节奏总纲!G41-$E$2,0)</f>
        <v>0</v>
      </c>
      <c r="CI45" s="2">
        <f>INDEX($BY$8:$BY$15,MATCH(CI$7,$CB$8:$CB$15,0))*SUM(G$11:G$12)/(365/12)*MAX(节奏总纲!H41-$E$2,0)</f>
        <v>0</v>
      </c>
      <c r="CJ45" s="2">
        <f>INDEX($BZ$8:$BZ$15,MATCH(CE$7,$CB$8:$CB$15,0))*SUM(C$11:C$12)/(365/12)*MAX(节奏总纲!D41-$E$2,0)</f>
        <v>0</v>
      </c>
      <c r="CK45" s="2">
        <f>INDEX($BZ$8:$BZ$15,MATCH(CF$7,$CB$8:$CB$15,0))*SUM(D$11:D$12)/(365/12)*MAX(节奏总纲!E41-$E$2,0)</f>
        <v>0</v>
      </c>
      <c r="CL45" s="2">
        <f>INDEX($BZ$8:$BZ$15,MATCH(CG$7,$CB$8:$CB$15,0))*SUM(E$11:E$12)/(365/12)*MAX(节奏总纲!F41-$E$2,0)</f>
        <v>0</v>
      </c>
      <c r="CM45" s="2">
        <f>INDEX($BZ$8:$BZ$15,MATCH(CH$7,$CB$8:$CB$15,0))*SUM(F$11:F$12)/(365/12)*MAX(节奏总纲!G41-$E$2,0)</f>
        <v>0</v>
      </c>
      <c r="CN45" s="2">
        <f>INDEX($BZ$8:$BZ$15,MATCH(CI$7,$CB$8:$CB$15,0))*SUM(G$11:G$12)/(365/12)*MAX(节奏总纲!H41-$E$2,0)</f>
        <v>0</v>
      </c>
      <c r="CS45" s="2">
        <v>38</v>
      </c>
      <c r="CT45" s="2">
        <f t="shared" si="41"/>
        <v>0</v>
      </c>
      <c r="CU45" s="2">
        <f t="shared" si="42"/>
        <v>0</v>
      </c>
      <c r="CV45" s="2">
        <f t="shared" si="43"/>
        <v>0</v>
      </c>
      <c r="CW45" s="2">
        <f t="shared" si="44"/>
        <v>0</v>
      </c>
      <c r="CX45" s="2">
        <f t="shared" si="45"/>
        <v>0</v>
      </c>
      <c r="CZ45" s="41" t="e">
        <f t="shared" si="46"/>
        <v>#DIV/0!</v>
      </c>
      <c r="DA45" s="41" t="e">
        <f t="shared" si="47"/>
        <v>#DIV/0!</v>
      </c>
      <c r="DB45" s="41" t="e">
        <f t="shared" si="48"/>
        <v>#DIV/0!</v>
      </c>
      <c r="DD45" s="41" t="e">
        <f t="shared" si="49"/>
        <v>#DIV/0!</v>
      </c>
      <c r="DE45" s="41" t="e">
        <f t="shared" si="50"/>
        <v>#DIV/0!</v>
      </c>
      <c r="DF45" s="41" t="e">
        <f t="shared" si="51"/>
        <v>#DIV/0!</v>
      </c>
      <c r="DH45" s="41" t="e">
        <f t="shared" si="52"/>
        <v>#DIV/0!</v>
      </c>
      <c r="DI45" s="41" t="e">
        <f t="shared" si="53"/>
        <v>#DIV/0!</v>
      </c>
      <c r="DJ45" s="41" t="e">
        <f t="shared" si="54"/>
        <v>#DIV/0!</v>
      </c>
      <c r="DL45" s="2">
        <f>CT45/节奏总纲!D41</f>
        <v>0</v>
      </c>
      <c r="DM45" s="2">
        <f>CU45/节奏总纲!E41</f>
        <v>0</v>
      </c>
      <c r="DN45" s="2">
        <f>CV45/节奏总纲!F41</f>
        <v>0</v>
      </c>
      <c r="DO45" s="2">
        <f>CW45/节奏总纲!G41</f>
        <v>0</v>
      </c>
      <c r="DP45" s="2">
        <f>CX45/节奏总纲!H41</f>
        <v>0</v>
      </c>
      <c r="DR45" s="2" t="e">
        <f t="shared" si="55"/>
        <v>#DIV/0!</v>
      </c>
      <c r="DS45" s="2" t="e">
        <f t="shared" si="56"/>
        <v>#DIV/0!</v>
      </c>
      <c r="DT45" s="2" t="e">
        <f t="shared" si="57"/>
        <v>#DIV/0!</v>
      </c>
      <c r="DU45" s="2" t="e">
        <f t="shared" si="58"/>
        <v>#DIV/0!</v>
      </c>
      <c r="DY45" s="2">
        <v>38</v>
      </c>
      <c r="DZ45" s="2">
        <f t="shared" si="22"/>
        <v>0</v>
      </c>
      <c r="EA45" s="2">
        <f t="shared" si="23"/>
        <v>0</v>
      </c>
      <c r="EB45" s="2">
        <f t="shared" si="24"/>
        <v>0</v>
      </c>
      <c r="EC45" s="2">
        <f t="shared" si="25"/>
        <v>0</v>
      </c>
      <c r="ED45" s="2">
        <f t="shared" si="26"/>
        <v>0</v>
      </c>
      <c r="EF45" s="57" t="e">
        <f t="shared" si="27"/>
        <v>#DIV/0!</v>
      </c>
      <c r="EG45" s="57" t="e">
        <f t="shared" si="28"/>
        <v>#DIV/0!</v>
      </c>
      <c r="EH45" s="41" t="e">
        <f t="shared" si="29"/>
        <v>#DIV/0!</v>
      </c>
      <c r="EJ45" s="57" t="e">
        <f t="shared" si="30"/>
        <v>#DIV/0!</v>
      </c>
      <c r="EK45" s="57" t="e">
        <f t="shared" si="31"/>
        <v>#DIV/0!</v>
      </c>
      <c r="EL45" s="41" t="e">
        <f t="shared" si="32"/>
        <v>#DIV/0!</v>
      </c>
      <c r="EN45" s="57" t="e">
        <f t="shared" si="33"/>
        <v>#DIV/0!</v>
      </c>
      <c r="EO45" s="57" t="e">
        <f t="shared" si="34"/>
        <v>#DIV/0!</v>
      </c>
      <c r="EP45" s="41" t="e">
        <f t="shared" si="35"/>
        <v>#DIV/0!</v>
      </c>
    </row>
    <row r="46" spans="20:146" x14ac:dyDescent="0.15">
      <c r="T46" s="2">
        <v>39</v>
      </c>
      <c r="U46" s="2">
        <f>$N$8*SUM(C$11:C$12)/(365/12)*MAX(节奏总纲!D42-$E$2,0)</f>
        <v>0</v>
      </c>
      <c r="V46" s="2">
        <f>$N$8*SUM(D$11:D$12)/(365/12)*MAX(节奏总纲!E42-$E$2,0)</f>
        <v>0</v>
      </c>
      <c r="W46" s="2">
        <f>$N$8*SUM(E$11:E$12)/(365/12)*MAX(节奏总纲!F42-$E$2,0)</f>
        <v>0</v>
      </c>
      <c r="X46" s="2">
        <f>$N$8*SUM(F$11:F$12)/(365/12)*MAX(节奏总纲!G42-$E$2,0)</f>
        <v>0</v>
      </c>
      <c r="Y46" s="2">
        <f>$N$8*SUM(G$11:G$12)/(365/12)*MAX(节奏总纲!H42-$E$2,0)</f>
        <v>0</v>
      </c>
      <c r="Z46" s="2">
        <f>$O$8*SUM(C$11:C$12)/(365/12)*MAX(节奏总纲!D42-$E$2,0)</f>
        <v>0</v>
      </c>
      <c r="AA46" s="2">
        <f>$O$8*SUM(D$11:D$12)/(365/12)*MAX(节奏总纲!E42-$E$2,0)</f>
        <v>0</v>
      </c>
      <c r="AB46" s="2">
        <f>$O$8*SUM(E$11:E$12)/(365/12)*MAX(节奏总纲!F42-$E$2,0)</f>
        <v>0</v>
      </c>
      <c r="AC46" s="2">
        <f>$O$8*SUM(F$11:F$12)/(365/12)*MAX(节奏总纲!G42-$E$2,0)</f>
        <v>0</v>
      </c>
      <c r="AD46" s="2">
        <f>$O$8*SUM(G$11:G$12)/(365/12)*MAX(节奏总纲!H42-$E$2,0)</f>
        <v>0</v>
      </c>
      <c r="AE46" s="2">
        <f>$Q$8*SUM(C$11:C$12)/(365/12)*MAX(节奏总纲!D42-$E$2,0)</f>
        <v>0</v>
      </c>
      <c r="AF46" s="2">
        <f>$Q$8*SUM(D$11:D$12)/(365/12)*MAX(节奏总纲!E42-$E$2,0)</f>
        <v>0</v>
      </c>
      <c r="AG46" s="2">
        <f>$Q$8*SUM(E$11:E$12)/(365/12)*MAX(节奏总纲!F42-$E$2,0)</f>
        <v>0</v>
      </c>
      <c r="AH46" s="2">
        <f>$Q$8*SUM(F$11:F$12)/(365/12)*MAX(节奏总纲!G42-$E$2,0)</f>
        <v>0</v>
      </c>
      <c r="AI46" s="2">
        <f>$Q$8*SUM(G$11:G$12)/(365/12)*MAX(节奏总纲!H42-$E$2,0)</f>
        <v>0</v>
      </c>
      <c r="AJ46" s="2">
        <f>$P$8*SUM(C$11:C$12)/(365/12)*MAX(节奏总纲!D42-$E$2,0)</f>
        <v>0</v>
      </c>
      <c r="AK46" s="2">
        <f>$P$8*SUM(D$11:D$12)/(365/12)*MAX(节奏总纲!E42-$E$2,0)</f>
        <v>0</v>
      </c>
      <c r="AL46" s="2">
        <f>$P$8*SUM(E$11:E$12)/(365/12)*MAX(节奏总纲!F42-$E$2,0)</f>
        <v>0</v>
      </c>
      <c r="AM46" s="2">
        <f>$P$8*SUM(F$11:F$12)/(365/12)*MAX(节奏总纲!G42-$E$2,0)</f>
        <v>0</v>
      </c>
      <c r="AN46" s="2">
        <f>$P$8*SUM(G$11:G$12)/(365/12)*MAX(节奏总纲!H42-$E$2,0)</f>
        <v>0</v>
      </c>
      <c r="BC46" s="2">
        <v>39</v>
      </c>
      <c r="BD46" s="2">
        <f>$AZ$8/(365/12)*MAX(节奏总纲!D42-$E$2,0)</f>
        <v>0</v>
      </c>
      <c r="BE46" s="2">
        <f>$AZ$8/(365/12)*MAX(节奏总纲!E42-$E$2,0)</f>
        <v>0</v>
      </c>
      <c r="BF46" s="2">
        <f>$AZ$8/(365/12)*MAX(节奏总纲!F42-$E$2,0)</f>
        <v>0</v>
      </c>
      <c r="BG46" s="2">
        <f>$AZ$8/(365/12)*MAX(节奏总纲!G42-$E$2,0)</f>
        <v>0</v>
      </c>
      <c r="BH46" s="2">
        <f>$AZ$8/(365/12)*MAX(节奏总纲!H42-$E$2,0)</f>
        <v>0</v>
      </c>
      <c r="BI46" s="2">
        <f>$AY$8/(365/12)*MAX(节奏总纲!D42-$E$2,0)</f>
        <v>0</v>
      </c>
      <c r="BJ46" s="2">
        <f>$AY$8/(365/12)*MAX(节奏总纲!E42-$E$2,0)</f>
        <v>0</v>
      </c>
      <c r="BK46" s="2">
        <f>$AY$8/(365/12)*MAX(节奏总纲!F42-$E$2,0)</f>
        <v>0</v>
      </c>
      <c r="BL46" s="2">
        <f>$AY$8/(365/12)*MAX(节奏总纲!G42-$E$2,0)</f>
        <v>0</v>
      </c>
      <c r="BM46" s="2">
        <f>$AY$8/(365/12)*MAX(节奏总纲!H42-$E$2,0)</f>
        <v>0</v>
      </c>
      <c r="CD46" s="2">
        <v>39</v>
      </c>
      <c r="CE46" s="2">
        <f>INDEX($BY$8:$BY$15,MATCH(CE$7,$CB$8:$CB$15,0))*SUM(C$11:C$12)/(365/12)*MAX(节奏总纲!D42-$E$2,0)</f>
        <v>0</v>
      </c>
      <c r="CF46" s="2">
        <f>INDEX($BY$8:$BY$15,MATCH(CF$7,$CB$8:$CB$15,0))*SUM(D$11:D$12)/(365/12)*MAX(节奏总纲!E42-$E$2,0)</f>
        <v>0</v>
      </c>
      <c r="CG46" s="2">
        <f>INDEX($BY$8:$BY$15,MATCH(CG$7,$CB$8:$CB$15,0))*SUM(E$11:E$12)/(365/12)*MAX(节奏总纲!F42-$E$2,0)</f>
        <v>0</v>
      </c>
      <c r="CH46" s="2">
        <f>INDEX($BY$8:$BY$15,MATCH(CH$7,$CB$8:$CB$15,0))*SUM(F$11:F$12)/(365/12)*MAX(节奏总纲!G42-$E$2,0)</f>
        <v>0</v>
      </c>
      <c r="CI46" s="2">
        <f>INDEX($BY$8:$BY$15,MATCH(CI$7,$CB$8:$CB$15,0))*SUM(G$11:G$12)/(365/12)*MAX(节奏总纲!H42-$E$2,0)</f>
        <v>0</v>
      </c>
      <c r="CJ46" s="2">
        <f>INDEX($BZ$8:$BZ$15,MATCH(CE$7,$CB$8:$CB$15,0))*SUM(C$11:C$12)/(365/12)*MAX(节奏总纲!D42-$E$2,0)</f>
        <v>0</v>
      </c>
      <c r="CK46" s="2">
        <f>INDEX($BZ$8:$BZ$15,MATCH(CF$7,$CB$8:$CB$15,0))*SUM(D$11:D$12)/(365/12)*MAX(节奏总纲!E42-$E$2,0)</f>
        <v>0</v>
      </c>
      <c r="CL46" s="2">
        <f>INDEX($BZ$8:$BZ$15,MATCH(CG$7,$CB$8:$CB$15,0))*SUM(E$11:E$12)/(365/12)*MAX(节奏总纲!F42-$E$2,0)</f>
        <v>0</v>
      </c>
      <c r="CM46" s="2">
        <f>INDEX($BZ$8:$BZ$15,MATCH(CH$7,$CB$8:$CB$15,0))*SUM(F$11:F$12)/(365/12)*MAX(节奏总纲!G42-$E$2,0)</f>
        <v>0</v>
      </c>
      <c r="CN46" s="2">
        <f>INDEX($BZ$8:$BZ$15,MATCH(CI$7,$CB$8:$CB$15,0))*SUM(G$11:G$12)/(365/12)*MAX(节奏总纲!H42-$E$2,0)</f>
        <v>0</v>
      </c>
      <c r="CS46" s="2">
        <v>39</v>
      </c>
      <c r="CT46" s="2">
        <f t="shared" si="41"/>
        <v>0</v>
      </c>
      <c r="CU46" s="2">
        <f t="shared" si="42"/>
        <v>0</v>
      </c>
      <c r="CV46" s="2">
        <f t="shared" si="43"/>
        <v>0</v>
      </c>
      <c r="CW46" s="2">
        <f t="shared" si="44"/>
        <v>0</v>
      </c>
      <c r="CX46" s="2">
        <f t="shared" si="45"/>
        <v>0</v>
      </c>
      <c r="CZ46" s="41" t="e">
        <f t="shared" si="46"/>
        <v>#DIV/0!</v>
      </c>
      <c r="DA46" s="41" t="e">
        <f t="shared" si="47"/>
        <v>#DIV/0!</v>
      </c>
      <c r="DB46" s="41" t="e">
        <f t="shared" si="48"/>
        <v>#DIV/0!</v>
      </c>
      <c r="DD46" s="41" t="e">
        <f t="shared" si="49"/>
        <v>#DIV/0!</v>
      </c>
      <c r="DE46" s="41" t="e">
        <f t="shared" si="50"/>
        <v>#DIV/0!</v>
      </c>
      <c r="DF46" s="41" t="e">
        <f t="shared" si="51"/>
        <v>#DIV/0!</v>
      </c>
      <c r="DH46" s="41" t="e">
        <f t="shared" si="52"/>
        <v>#DIV/0!</v>
      </c>
      <c r="DI46" s="41" t="e">
        <f t="shared" si="53"/>
        <v>#DIV/0!</v>
      </c>
      <c r="DJ46" s="41" t="e">
        <f t="shared" si="54"/>
        <v>#DIV/0!</v>
      </c>
      <c r="DL46" s="2">
        <f>CT46/节奏总纲!D42</f>
        <v>0</v>
      </c>
      <c r="DM46" s="2">
        <f>CU46/节奏总纲!E42</f>
        <v>0</v>
      </c>
      <c r="DN46" s="2">
        <f>CV46/节奏总纲!F42</f>
        <v>0</v>
      </c>
      <c r="DO46" s="2">
        <f>CW46/节奏总纲!G42</f>
        <v>0</v>
      </c>
      <c r="DP46" s="2">
        <f>CX46/节奏总纲!H42</f>
        <v>0</v>
      </c>
      <c r="DR46" s="2" t="e">
        <f t="shared" si="55"/>
        <v>#DIV/0!</v>
      </c>
      <c r="DS46" s="2" t="e">
        <f t="shared" si="56"/>
        <v>#DIV/0!</v>
      </c>
      <c r="DT46" s="2" t="e">
        <f t="shared" si="57"/>
        <v>#DIV/0!</v>
      </c>
      <c r="DU46" s="2" t="e">
        <f t="shared" si="58"/>
        <v>#DIV/0!</v>
      </c>
      <c r="DY46" s="2">
        <v>39</v>
      </c>
      <c r="DZ46" s="2">
        <f t="shared" si="22"/>
        <v>0</v>
      </c>
      <c r="EA46" s="2">
        <f t="shared" si="23"/>
        <v>0</v>
      </c>
      <c r="EB46" s="2">
        <f t="shared" si="24"/>
        <v>0</v>
      </c>
      <c r="EC46" s="2">
        <f t="shared" si="25"/>
        <v>0</v>
      </c>
      <c r="ED46" s="2">
        <f t="shared" si="26"/>
        <v>0</v>
      </c>
      <c r="EF46" s="57" t="e">
        <f t="shared" si="27"/>
        <v>#DIV/0!</v>
      </c>
      <c r="EG46" s="57" t="e">
        <f t="shared" si="28"/>
        <v>#DIV/0!</v>
      </c>
      <c r="EH46" s="41" t="e">
        <f t="shared" si="29"/>
        <v>#DIV/0!</v>
      </c>
      <c r="EJ46" s="57" t="e">
        <f t="shared" si="30"/>
        <v>#DIV/0!</v>
      </c>
      <c r="EK46" s="57" t="e">
        <f t="shared" si="31"/>
        <v>#DIV/0!</v>
      </c>
      <c r="EL46" s="41" t="e">
        <f t="shared" si="32"/>
        <v>#DIV/0!</v>
      </c>
      <c r="EN46" s="57" t="e">
        <f t="shared" si="33"/>
        <v>#DIV/0!</v>
      </c>
      <c r="EO46" s="57" t="e">
        <f t="shared" si="34"/>
        <v>#DIV/0!</v>
      </c>
      <c r="EP46" s="41" t="e">
        <f t="shared" si="35"/>
        <v>#DIV/0!</v>
      </c>
    </row>
    <row r="47" spans="20:146" x14ac:dyDescent="0.15">
      <c r="T47" s="2">
        <v>40</v>
      </c>
      <c r="U47" s="2">
        <f>$N$8*SUM(C$11:C$12)/(365/12)*MAX(节奏总纲!D43-$E$2,0)</f>
        <v>0</v>
      </c>
      <c r="V47" s="2">
        <f>$N$8*SUM(D$11:D$12)/(365/12)*MAX(节奏总纲!E43-$E$2,0)</f>
        <v>0</v>
      </c>
      <c r="W47" s="2">
        <f>$N$8*SUM(E$11:E$12)/(365/12)*MAX(节奏总纲!F43-$E$2,0)</f>
        <v>0</v>
      </c>
      <c r="X47" s="2">
        <f>$N$8*SUM(F$11:F$12)/(365/12)*MAX(节奏总纲!G43-$E$2,0)</f>
        <v>0</v>
      </c>
      <c r="Y47" s="2">
        <f>$N$8*SUM(G$11:G$12)/(365/12)*MAX(节奏总纲!H43-$E$2,0)</f>
        <v>0</v>
      </c>
      <c r="Z47" s="2">
        <f>$O$8*SUM(C$11:C$12)/(365/12)*MAX(节奏总纲!D43-$E$2,0)</f>
        <v>0</v>
      </c>
      <c r="AA47" s="2">
        <f>$O$8*SUM(D$11:D$12)/(365/12)*MAX(节奏总纲!E43-$E$2,0)</f>
        <v>0</v>
      </c>
      <c r="AB47" s="2">
        <f>$O$8*SUM(E$11:E$12)/(365/12)*MAX(节奏总纲!F43-$E$2,0)</f>
        <v>0</v>
      </c>
      <c r="AC47" s="2">
        <f>$O$8*SUM(F$11:F$12)/(365/12)*MAX(节奏总纲!G43-$E$2,0)</f>
        <v>0</v>
      </c>
      <c r="AD47" s="2">
        <f>$O$8*SUM(G$11:G$12)/(365/12)*MAX(节奏总纲!H43-$E$2,0)</f>
        <v>0</v>
      </c>
      <c r="AE47" s="2">
        <f>$Q$8*SUM(C$11:C$12)/(365/12)*MAX(节奏总纲!D43-$E$2,0)</f>
        <v>0</v>
      </c>
      <c r="AF47" s="2">
        <f>$Q$8*SUM(D$11:D$12)/(365/12)*MAX(节奏总纲!E43-$E$2,0)</f>
        <v>0</v>
      </c>
      <c r="AG47" s="2">
        <f>$Q$8*SUM(E$11:E$12)/(365/12)*MAX(节奏总纲!F43-$E$2,0)</f>
        <v>0</v>
      </c>
      <c r="AH47" s="2">
        <f>$Q$8*SUM(F$11:F$12)/(365/12)*MAX(节奏总纲!G43-$E$2,0)</f>
        <v>0</v>
      </c>
      <c r="AI47" s="2">
        <f>$Q$8*SUM(G$11:G$12)/(365/12)*MAX(节奏总纲!H43-$E$2,0)</f>
        <v>0</v>
      </c>
      <c r="AJ47" s="2">
        <f>$P$8*SUM(C$11:C$12)/(365/12)*MAX(节奏总纲!D43-$E$2,0)</f>
        <v>0</v>
      </c>
      <c r="AK47" s="2">
        <f>$P$8*SUM(D$11:D$12)/(365/12)*MAX(节奏总纲!E43-$E$2,0)</f>
        <v>0</v>
      </c>
      <c r="AL47" s="2">
        <f>$P$8*SUM(E$11:E$12)/(365/12)*MAX(节奏总纲!F43-$E$2,0)</f>
        <v>0</v>
      </c>
      <c r="AM47" s="2">
        <f>$P$8*SUM(F$11:F$12)/(365/12)*MAX(节奏总纲!G43-$E$2,0)</f>
        <v>0</v>
      </c>
      <c r="AN47" s="2">
        <f>$P$8*SUM(G$11:G$12)/(365/12)*MAX(节奏总纲!H43-$E$2,0)</f>
        <v>0</v>
      </c>
      <c r="BC47" s="2">
        <v>40</v>
      </c>
      <c r="BD47" s="2">
        <f>$AZ$8/(365/12)*MAX(节奏总纲!D43-$E$2,0)</f>
        <v>0</v>
      </c>
      <c r="BE47" s="2">
        <f>$AZ$8/(365/12)*MAX(节奏总纲!E43-$E$2,0)</f>
        <v>0</v>
      </c>
      <c r="BF47" s="2">
        <f>$AZ$8/(365/12)*MAX(节奏总纲!F43-$E$2,0)</f>
        <v>0</v>
      </c>
      <c r="BG47" s="2">
        <f>$AZ$8/(365/12)*MAX(节奏总纲!G43-$E$2,0)</f>
        <v>0</v>
      </c>
      <c r="BH47" s="2">
        <f>$AZ$8/(365/12)*MAX(节奏总纲!H43-$E$2,0)</f>
        <v>0</v>
      </c>
      <c r="BI47" s="2">
        <f>$AY$8/(365/12)*MAX(节奏总纲!D43-$E$2,0)</f>
        <v>0</v>
      </c>
      <c r="BJ47" s="2">
        <f>$AY$8/(365/12)*MAX(节奏总纲!E43-$E$2,0)</f>
        <v>0</v>
      </c>
      <c r="BK47" s="2">
        <f>$AY$8/(365/12)*MAX(节奏总纲!F43-$E$2,0)</f>
        <v>0</v>
      </c>
      <c r="BL47" s="2">
        <f>$AY$8/(365/12)*MAX(节奏总纲!G43-$E$2,0)</f>
        <v>0</v>
      </c>
      <c r="BM47" s="2">
        <f>$AY$8/(365/12)*MAX(节奏总纲!H43-$E$2,0)</f>
        <v>0</v>
      </c>
      <c r="CD47" s="2">
        <v>40</v>
      </c>
      <c r="CE47" s="2">
        <f>INDEX($BY$8:$BY$15,MATCH(CE$7,$CB$8:$CB$15,0))*SUM(C$11:C$12)/(365/12)*MAX(节奏总纲!D43-$E$2,0)</f>
        <v>0</v>
      </c>
      <c r="CF47" s="2">
        <f>INDEX($BY$8:$BY$15,MATCH(CF$7,$CB$8:$CB$15,0))*SUM(D$11:D$12)/(365/12)*MAX(节奏总纲!E43-$E$2,0)</f>
        <v>0</v>
      </c>
      <c r="CG47" s="2">
        <f>INDEX($BY$8:$BY$15,MATCH(CG$7,$CB$8:$CB$15,0))*SUM(E$11:E$12)/(365/12)*MAX(节奏总纲!F43-$E$2,0)</f>
        <v>0</v>
      </c>
      <c r="CH47" s="2">
        <f>INDEX($BY$8:$BY$15,MATCH(CH$7,$CB$8:$CB$15,0))*SUM(F$11:F$12)/(365/12)*MAX(节奏总纲!G43-$E$2,0)</f>
        <v>0</v>
      </c>
      <c r="CI47" s="2">
        <f>INDEX($BY$8:$BY$15,MATCH(CI$7,$CB$8:$CB$15,0))*SUM(G$11:G$12)/(365/12)*MAX(节奏总纲!H43-$E$2,0)</f>
        <v>0</v>
      </c>
      <c r="CJ47" s="2">
        <f>INDEX($BZ$8:$BZ$15,MATCH(CE$7,$CB$8:$CB$15,0))*SUM(C$11:C$12)/(365/12)*MAX(节奏总纲!D43-$E$2,0)</f>
        <v>0</v>
      </c>
      <c r="CK47" s="2">
        <f>INDEX($BZ$8:$BZ$15,MATCH(CF$7,$CB$8:$CB$15,0))*SUM(D$11:D$12)/(365/12)*MAX(节奏总纲!E43-$E$2,0)</f>
        <v>0</v>
      </c>
      <c r="CL47" s="2">
        <f>INDEX($BZ$8:$BZ$15,MATCH(CG$7,$CB$8:$CB$15,0))*SUM(E$11:E$12)/(365/12)*MAX(节奏总纲!F43-$E$2,0)</f>
        <v>0</v>
      </c>
      <c r="CM47" s="2">
        <f>INDEX($BZ$8:$BZ$15,MATCH(CH$7,$CB$8:$CB$15,0))*SUM(F$11:F$12)/(365/12)*MAX(节奏总纲!G43-$E$2,0)</f>
        <v>0</v>
      </c>
      <c r="CN47" s="2">
        <f>INDEX($BZ$8:$BZ$15,MATCH(CI$7,$CB$8:$CB$15,0))*SUM(G$11:G$12)/(365/12)*MAX(节奏总纲!H43-$E$2,0)</f>
        <v>0</v>
      </c>
      <c r="CS47" s="2">
        <v>40</v>
      </c>
      <c r="CT47" s="2">
        <f t="shared" si="41"/>
        <v>0</v>
      </c>
      <c r="CU47" s="2">
        <f t="shared" si="42"/>
        <v>0</v>
      </c>
      <c r="CV47" s="2">
        <f t="shared" si="43"/>
        <v>0</v>
      </c>
      <c r="CW47" s="2">
        <f t="shared" si="44"/>
        <v>0</v>
      </c>
      <c r="CX47" s="2">
        <f t="shared" si="45"/>
        <v>0</v>
      </c>
      <c r="CZ47" s="41" t="e">
        <f t="shared" si="46"/>
        <v>#DIV/0!</v>
      </c>
      <c r="DA47" s="41" t="e">
        <f t="shared" si="47"/>
        <v>#DIV/0!</v>
      </c>
      <c r="DB47" s="41" t="e">
        <f t="shared" si="48"/>
        <v>#DIV/0!</v>
      </c>
      <c r="DD47" s="41" t="e">
        <f t="shared" si="49"/>
        <v>#DIV/0!</v>
      </c>
      <c r="DE47" s="41" t="e">
        <f t="shared" si="50"/>
        <v>#DIV/0!</v>
      </c>
      <c r="DF47" s="41" t="e">
        <f t="shared" si="51"/>
        <v>#DIV/0!</v>
      </c>
      <c r="DH47" s="41" t="e">
        <f t="shared" si="52"/>
        <v>#DIV/0!</v>
      </c>
      <c r="DI47" s="41" t="e">
        <f t="shared" si="53"/>
        <v>#DIV/0!</v>
      </c>
      <c r="DJ47" s="41" t="e">
        <f t="shared" si="54"/>
        <v>#DIV/0!</v>
      </c>
      <c r="DL47" s="2">
        <f>CT47/节奏总纲!D43</f>
        <v>0</v>
      </c>
      <c r="DM47" s="2">
        <f>CU47/节奏总纲!E43</f>
        <v>0</v>
      </c>
      <c r="DN47" s="2">
        <f>CV47/节奏总纲!F43</f>
        <v>0</v>
      </c>
      <c r="DO47" s="2">
        <f>CW47/节奏总纲!G43</f>
        <v>0</v>
      </c>
      <c r="DP47" s="2">
        <f>CX47/节奏总纲!H43</f>
        <v>0</v>
      </c>
      <c r="DR47" s="2" t="e">
        <f t="shared" si="55"/>
        <v>#DIV/0!</v>
      </c>
      <c r="DS47" s="2" t="e">
        <f t="shared" si="56"/>
        <v>#DIV/0!</v>
      </c>
      <c r="DT47" s="2" t="e">
        <f t="shared" si="57"/>
        <v>#DIV/0!</v>
      </c>
      <c r="DU47" s="2" t="e">
        <f t="shared" si="58"/>
        <v>#DIV/0!</v>
      </c>
      <c r="DY47" s="2">
        <v>40</v>
      </c>
      <c r="DZ47" s="2">
        <f t="shared" si="22"/>
        <v>0</v>
      </c>
      <c r="EA47" s="2">
        <f t="shared" si="23"/>
        <v>0</v>
      </c>
      <c r="EB47" s="2">
        <f t="shared" si="24"/>
        <v>0</v>
      </c>
      <c r="EC47" s="2">
        <f t="shared" si="25"/>
        <v>0</v>
      </c>
      <c r="ED47" s="2">
        <f t="shared" si="26"/>
        <v>0</v>
      </c>
      <c r="EF47" s="57" t="e">
        <f t="shared" si="27"/>
        <v>#DIV/0!</v>
      </c>
      <c r="EG47" s="57" t="e">
        <f t="shared" si="28"/>
        <v>#DIV/0!</v>
      </c>
      <c r="EH47" s="41" t="e">
        <f t="shared" si="29"/>
        <v>#DIV/0!</v>
      </c>
      <c r="EJ47" s="57" t="e">
        <f t="shared" si="30"/>
        <v>#DIV/0!</v>
      </c>
      <c r="EK47" s="57" t="e">
        <f t="shared" si="31"/>
        <v>#DIV/0!</v>
      </c>
      <c r="EL47" s="41" t="e">
        <f t="shared" si="32"/>
        <v>#DIV/0!</v>
      </c>
      <c r="EN47" s="57" t="e">
        <f t="shared" si="33"/>
        <v>#DIV/0!</v>
      </c>
      <c r="EO47" s="57" t="e">
        <f t="shared" si="34"/>
        <v>#DIV/0!</v>
      </c>
      <c r="EP47" s="41" t="e">
        <f t="shared" si="35"/>
        <v>#DIV/0!</v>
      </c>
    </row>
    <row r="48" spans="20:146" x14ac:dyDescent="0.15">
      <c r="T48" s="2">
        <v>41</v>
      </c>
      <c r="U48" s="2">
        <f>$N$8*SUM(C$11:C$12)/(365/12)*MAX(节奏总纲!D44-$E$2,0)</f>
        <v>0</v>
      </c>
      <c r="V48" s="2">
        <f>$N$8*SUM(D$11:D$12)/(365/12)*MAX(节奏总纲!E44-$E$2,0)</f>
        <v>0</v>
      </c>
      <c r="W48" s="2">
        <f>$N$8*SUM(E$11:E$12)/(365/12)*MAX(节奏总纲!F44-$E$2,0)</f>
        <v>0</v>
      </c>
      <c r="X48" s="2">
        <f>$N$8*SUM(F$11:F$12)/(365/12)*MAX(节奏总纲!G44-$E$2,0)</f>
        <v>0</v>
      </c>
      <c r="Y48" s="2">
        <f>$N$8*SUM(G$11:G$12)/(365/12)*MAX(节奏总纲!H44-$E$2,0)</f>
        <v>0</v>
      </c>
      <c r="Z48" s="2">
        <f>$O$8*SUM(C$11:C$12)/(365/12)*MAX(节奏总纲!D44-$E$2,0)</f>
        <v>0</v>
      </c>
      <c r="AA48" s="2">
        <f>$O$8*SUM(D$11:D$12)/(365/12)*MAX(节奏总纲!E44-$E$2,0)</f>
        <v>0</v>
      </c>
      <c r="AB48" s="2">
        <f>$O$8*SUM(E$11:E$12)/(365/12)*MAX(节奏总纲!F44-$E$2,0)</f>
        <v>0</v>
      </c>
      <c r="AC48" s="2">
        <f>$O$8*SUM(F$11:F$12)/(365/12)*MAX(节奏总纲!G44-$E$2,0)</f>
        <v>0</v>
      </c>
      <c r="AD48" s="2">
        <f>$O$8*SUM(G$11:G$12)/(365/12)*MAX(节奏总纲!H44-$E$2,0)</f>
        <v>0</v>
      </c>
      <c r="AE48" s="2">
        <f>$Q$8*SUM(C$11:C$12)/(365/12)*MAX(节奏总纲!D44-$E$2,0)</f>
        <v>0</v>
      </c>
      <c r="AF48" s="2">
        <f>$Q$8*SUM(D$11:D$12)/(365/12)*MAX(节奏总纲!E44-$E$2,0)</f>
        <v>0</v>
      </c>
      <c r="AG48" s="2">
        <f>$Q$8*SUM(E$11:E$12)/(365/12)*MAX(节奏总纲!F44-$E$2,0)</f>
        <v>0</v>
      </c>
      <c r="AH48" s="2">
        <f>$Q$8*SUM(F$11:F$12)/(365/12)*MAX(节奏总纲!G44-$E$2,0)</f>
        <v>0</v>
      </c>
      <c r="AI48" s="2">
        <f>$Q$8*SUM(G$11:G$12)/(365/12)*MAX(节奏总纲!H44-$E$2,0)</f>
        <v>0</v>
      </c>
      <c r="AJ48" s="2">
        <f>$P$8*SUM(C$11:C$12)/(365/12)*MAX(节奏总纲!D44-$E$2,0)</f>
        <v>0</v>
      </c>
      <c r="AK48" s="2">
        <f>$P$8*SUM(D$11:D$12)/(365/12)*MAX(节奏总纲!E44-$E$2,0)</f>
        <v>0</v>
      </c>
      <c r="AL48" s="2">
        <f>$P$8*SUM(E$11:E$12)/(365/12)*MAX(节奏总纲!F44-$E$2,0)</f>
        <v>0</v>
      </c>
      <c r="AM48" s="2">
        <f>$P$8*SUM(F$11:F$12)/(365/12)*MAX(节奏总纲!G44-$E$2,0)</f>
        <v>0</v>
      </c>
      <c r="AN48" s="2">
        <f>$P$8*SUM(G$11:G$12)/(365/12)*MAX(节奏总纲!H44-$E$2,0)</f>
        <v>0</v>
      </c>
      <c r="BC48" s="2">
        <v>41</v>
      </c>
      <c r="BD48" s="2">
        <f>$AZ$8/(365/12)*MAX(节奏总纲!D44-$E$2,0)</f>
        <v>0</v>
      </c>
      <c r="BE48" s="2">
        <f>$AZ$8/(365/12)*MAX(节奏总纲!E44-$E$2,0)</f>
        <v>0</v>
      </c>
      <c r="BF48" s="2">
        <f>$AZ$8/(365/12)*MAX(节奏总纲!F44-$E$2,0)</f>
        <v>0</v>
      </c>
      <c r="BG48" s="2">
        <f>$AZ$8/(365/12)*MAX(节奏总纲!G44-$E$2,0)</f>
        <v>0</v>
      </c>
      <c r="BH48" s="2">
        <f>$AZ$8/(365/12)*MAX(节奏总纲!H44-$E$2,0)</f>
        <v>0</v>
      </c>
      <c r="BI48" s="2">
        <f>$AY$8/(365/12)*MAX(节奏总纲!D44-$E$2,0)</f>
        <v>0</v>
      </c>
      <c r="BJ48" s="2">
        <f>$AY$8/(365/12)*MAX(节奏总纲!E44-$E$2,0)</f>
        <v>0</v>
      </c>
      <c r="BK48" s="2">
        <f>$AY$8/(365/12)*MAX(节奏总纲!F44-$E$2,0)</f>
        <v>0</v>
      </c>
      <c r="BL48" s="2">
        <f>$AY$8/(365/12)*MAX(节奏总纲!G44-$E$2,0)</f>
        <v>0</v>
      </c>
      <c r="BM48" s="2">
        <f>$AY$8/(365/12)*MAX(节奏总纲!H44-$E$2,0)</f>
        <v>0</v>
      </c>
      <c r="CD48" s="2">
        <v>41</v>
      </c>
      <c r="CE48" s="2">
        <f>INDEX($BY$8:$BY$15,MATCH(CE$7,$CB$8:$CB$15,0))*SUM(C$11:C$12)/(365/12)*MAX(节奏总纲!D44-$E$2,0)</f>
        <v>0</v>
      </c>
      <c r="CF48" s="2">
        <f>INDEX($BY$8:$BY$15,MATCH(CF$7,$CB$8:$CB$15,0))*SUM(D$11:D$12)/(365/12)*MAX(节奏总纲!E44-$E$2,0)</f>
        <v>0</v>
      </c>
      <c r="CG48" s="2">
        <f>INDEX($BY$8:$BY$15,MATCH(CG$7,$CB$8:$CB$15,0))*SUM(E$11:E$12)/(365/12)*MAX(节奏总纲!F44-$E$2,0)</f>
        <v>0</v>
      </c>
      <c r="CH48" s="2">
        <f>INDEX($BY$8:$BY$15,MATCH(CH$7,$CB$8:$CB$15,0))*SUM(F$11:F$12)/(365/12)*MAX(节奏总纲!G44-$E$2,0)</f>
        <v>0</v>
      </c>
      <c r="CI48" s="2">
        <f>INDEX($BY$8:$BY$15,MATCH(CI$7,$CB$8:$CB$15,0))*SUM(G$11:G$12)/(365/12)*MAX(节奏总纲!H44-$E$2,0)</f>
        <v>0</v>
      </c>
      <c r="CJ48" s="2">
        <f>INDEX($BZ$8:$BZ$15,MATCH(CE$7,$CB$8:$CB$15,0))*SUM(C$11:C$12)/(365/12)*MAX(节奏总纲!D44-$E$2,0)</f>
        <v>0</v>
      </c>
      <c r="CK48" s="2">
        <f>INDEX($BZ$8:$BZ$15,MATCH(CF$7,$CB$8:$CB$15,0))*SUM(D$11:D$12)/(365/12)*MAX(节奏总纲!E44-$E$2,0)</f>
        <v>0</v>
      </c>
      <c r="CL48" s="2">
        <f>INDEX($BZ$8:$BZ$15,MATCH(CG$7,$CB$8:$CB$15,0))*SUM(E$11:E$12)/(365/12)*MAX(节奏总纲!F44-$E$2,0)</f>
        <v>0</v>
      </c>
      <c r="CM48" s="2">
        <f>INDEX($BZ$8:$BZ$15,MATCH(CH$7,$CB$8:$CB$15,0))*SUM(F$11:F$12)/(365/12)*MAX(节奏总纲!G44-$E$2,0)</f>
        <v>0</v>
      </c>
      <c r="CN48" s="2">
        <f>INDEX($BZ$8:$BZ$15,MATCH(CI$7,$CB$8:$CB$15,0))*SUM(G$11:G$12)/(365/12)*MAX(节奏总纲!H44-$E$2,0)</f>
        <v>0</v>
      </c>
      <c r="CS48" s="2">
        <v>41</v>
      </c>
      <c r="CT48" s="2">
        <f t="shared" si="41"/>
        <v>0</v>
      </c>
      <c r="CU48" s="2">
        <f t="shared" si="42"/>
        <v>0</v>
      </c>
      <c r="CV48" s="2">
        <f t="shared" si="43"/>
        <v>0</v>
      </c>
      <c r="CW48" s="2">
        <f t="shared" si="44"/>
        <v>0</v>
      </c>
      <c r="CX48" s="2">
        <f t="shared" si="45"/>
        <v>0</v>
      </c>
      <c r="CZ48" s="41" t="e">
        <f t="shared" si="46"/>
        <v>#DIV/0!</v>
      </c>
      <c r="DA48" s="41" t="e">
        <f t="shared" si="47"/>
        <v>#DIV/0!</v>
      </c>
      <c r="DB48" s="41" t="e">
        <f t="shared" si="48"/>
        <v>#DIV/0!</v>
      </c>
      <c r="DD48" s="41" t="e">
        <f t="shared" si="49"/>
        <v>#DIV/0!</v>
      </c>
      <c r="DE48" s="41" t="e">
        <f t="shared" si="50"/>
        <v>#DIV/0!</v>
      </c>
      <c r="DF48" s="41" t="e">
        <f t="shared" si="51"/>
        <v>#DIV/0!</v>
      </c>
      <c r="DH48" s="41" t="e">
        <f t="shared" si="52"/>
        <v>#DIV/0!</v>
      </c>
      <c r="DI48" s="41" t="e">
        <f t="shared" si="53"/>
        <v>#DIV/0!</v>
      </c>
      <c r="DJ48" s="41" t="e">
        <f t="shared" si="54"/>
        <v>#DIV/0!</v>
      </c>
      <c r="DL48" s="2">
        <f>CT48/节奏总纲!D44</f>
        <v>0</v>
      </c>
      <c r="DM48" s="2">
        <f>CU48/节奏总纲!E44</f>
        <v>0</v>
      </c>
      <c r="DN48" s="2">
        <f>CV48/节奏总纲!F44</f>
        <v>0</v>
      </c>
      <c r="DO48" s="2">
        <f>CW48/节奏总纲!G44</f>
        <v>0</v>
      </c>
      <c r="DP48" s="2">
        <f>CX48/节奏总纲!H44</f>
        <v>0</v>
      </c>
      <c r="DR48" s="2" t="e">
        <f t="shared" si="55"/>
        <v>#DIV/0!</v>
      </c>
      <c r="DS48" s="2" t="e">
        <f t="shared" si="56"/>
        <v>#DIV/0!</v>
      </c>
      <c r="DT48" s="2" t="e">
        <f t="shared" si="57"/>
        <v>#DIV/0!</v>
      </c>
      <c r="DU48" s="2" t="e">
        <f t="shared" si="58"/>
        <v>#DIV/0!</v>
      </c>
      <c r="DY48" s="2">
        <v>41</v>
      </c>
      <c r="DZ48" s="2">
        <f t="shared" si="22"/>
        <v>0</v>
      </c>
      <c r="EA48" s="2">
        <f t="shared" si="23"/>
        <v>0</v>
      </c>
      <c r="EB48" s="2">
        <f t="shared" si="24"/>
        <v>0</v>
      </c>
      <c r="EC48" s="2">
        <f t="shared" si="25"/>
        <v>0</v>
      </c>
      <c r="ED48" s="2">
        <f t="shared" si="26"/>
        <v>0</v>
      </c>
      <c r="EF48" s="57" t="e">
        <f t="shared" si="27"/>
        <v>#DIV/0!</v>
      </c>
      <c r="EG48" s="57" t="e">
        <f t="shared" si="28"/>
        <v>#DIV/0!</v>
      </c>
      <c r="EH48" s="41" t="e">
        <f t="shared" si="29"/>
        <v>#DIV/0!</v>
      </c>
      <c r="EJ48" s="57" t="e">
        <f t="shared" si="30"/>
        <v>#DIV/0!</v>
      </c>
      <c r="EK48" s="57" t="e">
        <f t="shared" si="31"/>
        <v>#DIV/0!</v>
      </c>
      <c r="EL48" s="41" t="e">
        <f t="shared" si="32"/>
        <v>#DIV/0!</v>
      </c>
      <c r="EN48" s="57" t="e">
        <f t="shared" si="33"/>
        <v>#DIV/0!</v>
      </c>
      <c r="EO48" s="57" t="e">
        <f t="shared" si="34"/>
        <v>#DIV/0!</v>
      </c>
      <c r="EP48" s="41" t="e">
        <f t="shared" si="35"/>
        <v>#DIV/0!</v>
      </c>
    </row>
    <row r="49" spans="20:146" x14ac:dyDescent="0.15">
      <c r="T49" s="2">
        <v>42</v>
      </c>
      <c r="U49" s="2">
        <f>$N$8*SUM(C$11:C$12)/(365/12)*MAX(节奏总纲!D45-$E$2,0)</f>
        <v>0</v>
      </c>
      <c r="V49" s="2">
        <f>$N$8*SUM(D$11:D$12)/(365/12)*MAX(节奏总纲!E45-$E$2,0)</f>
        <v>0</v>
      </c>
      <c r="W49" s="2">
        <f>$N$8*SUM(E$11:E$12)/(365/12)*MAX(节奏总纲!F45-$E$2,0)</f>
        <v>0</v>
      </c>
      <c r="X49" s="2">
        <f>$N$8*SUM(F$11:F$12)/(365/12)*MAX(节奏总纲!G45-$E$2,0)</f>
        <v>0</v>
      </c>
      <c r="Y49" s="2">
        <f>$N$8*SUM(G$11:G$12)/(365/12)*MAX(节奏总纲!H45-$E$2,0)</f>
        <v>0</v>
      </c>
      <c r="Z49" s="2">
        <f>$O$8*SUM(C$11:C$12)/(365/12)*MAX(节奏总纲!D45-$E$2,0)</f>
        <v>0</v>
      </c>
      <c r="AA49" s="2">
        <f>$O$8*SUM(D$11:D$12)/(365/12)*MAX(节奏总纲!E45-$E$2,0)</f>
        <v>0</v>
      </c>
      <c r="AB49" s="2">
        <f>$O$8*SUM(E$11:E$12)/(365/12)*MAX(节奏总纲!F45-$E$2,0)</f>
        <v>0</v>
      </c>
      <c r="AC49" s="2">
        <f>$O$8*SUM(F$11:F$12)/(365/12)*MAX(节奏总纲!G45-$E$2,0)</f>
        <v>0</v>
      </c>
      <c r="AD49" s="2">
        <f>$O$8*SUM(G$11:G$12)/(365/12)*MAX(节奏总纲!H45-$E$2,0)</f>
        <v>0</v>
      </c>
      <c r="AE49" s="2">
        <f>$Q$8*SUM(C$11:C$12)/(365/12)*MAX(节奏总纲!D45-$E$2,0)</f>
        <v>0</v>
      </c>
      <c r="AF49" s="2">
        <f>$Q$8*SUM(D$11:D$12)/(365/12)*MAX(节奏总纲!E45-$E$2,0)</f>
        <v>0</v>
      </c>
      <c r="AG49" s="2">
        <f>$Q$8*SUM(E$11:E$12)/(365/12)*MAX(节奏总纲!F45-$E$2,0)</f>
        <v>0</v>
      </c>
      <c r="AH49" s="2">
        <f>$Q$8*SUM(F$11:F$12)/(365/12)*MAX(节奏总纲!G45-$E$2,0)</f>
        <v>0</v>
      </c>
      <c r="AI49" s="2">
        <f>$Q$8*SUM(G$11:G$12)/(365/12)*MAX(节奏总纲!H45-$E$2,0)</f>
        <v>0</v>
      </c>
      <c r="AJ49" s="2">
        <f>$P$8*SUM(C$11:C$12)/(365/12)*MAX(节奏总纲!D45-$E$2,0)</f>
        <v>0</v>
      </c>
      <c r="AK49" s="2">
        <f>$P$8*SUM(D$11:D$12)/(365/12)*MAX(节奏总纲!E45-$E$2,0)</f>
        <v>0</v>
      </c>
      <c r="AL49" s="2">
        <f>$P$8*SUM(E$11:E$12)/(365/12)*MAX(节奏总纲!F45-$E$2,0)</f>
        <v>0</v>
      </c>
      <c r="AM49" s="2">
        <f>$P$8*SUM(F$11:F$12)/(365/12)*MAX(节奏总纲!G45-$E$2,0)</f>
        <v>0</v>
      </c>
      <c r="AN49" s="2">
        <f>$P$8*SUM(G$11:G$12)/(365/12)*MAX(节奏总纲!H45-$E$2,0)</f>
        <v>0</v>
      </c>
      <c r="BC49" s="2">
        <v>42</v>
      </c>
      <c r="BD49" s="2">
        <f>$AZ$8/(365/12)*MAX(节奏总纲!D45-$E$2,0)</f>
        <v>0</v>
      </c>
      <c r="BE49" s="2">
        <f>$AZ$8/(365/12)*MAX(节奏总纲!E45-$E$2,0)</f>
        <v>0</v>
      </c>
      <c r="BF49" s="2">
        <f>$AZ$8/(365/12)*MAX(节奏总纲!F45-$E$2,0)</f>
        <v>0</v>
      </c>
      <c r="BG49" s="2">
        <f>$AZ$8/(365/12)*MAX(节奏总纲!G45-$E$2,0)</f>
        <v>0</v>
      </c>
      <c r="BH49" s="2">
        <f>$AZ$8/(365/12)*MAX(节奏总纲!H45-$E$2,0)</f>
        <v>0</v>
      </c>
      <c r="BI49" s="2">
        <f>$AY$8/(365/12)*MAX(节奏总纲!D45-$E$2,0)</f>
        <v>0</v>
      </c>
      <c r="BJ49" s="2">
        <f>$AY$8/(365/12)*MAX(节奏总纲!E45-$E$2,0)</f>
        <v>0</v>
      </c>
      <c r="BK49" s="2">
        <f>$AY$8/(365/12)*MAX(节奏总纲!F45-$E$2,0)</f>
        <v>0</v>
      </c>
      <c r="BL49" s="2">
        <f>$AY$8/(365/12)*MAX(节奏总纲!G45-$E$2,0)</f>
        <v>0</v>
      </c>
      <c r="BM49" s="2">
        <f>$AY$8/(365/12)*MAX(节奏总纲!H45-$E$2,0)</f>
        <v>0</v>
      </c>
      <c r="CD49" s="2">
        <v>42</v>
      </c>
      <c r="CE49" s="2">
        <f>INDEX($BY$8:$BY$15,MATCH(CE$7,$CB$8:$CB$15,0))*SUM(C$11:C$12)/(365/12)*MAX(节奏总纲!D45-$E$2,0)</f>
        <v>0</v>
      </c>
      <c r="CF49" s="2">
        <f>INDEX($BY$8:$BY$15,MATCH(CF$7,$CB$8:$CB$15,0))*SUM(D$11:D$12)/(365/12)*MAX(节奏总纲!E45-$E$2,0)</f>
        <v>0</v>
      </c>
      <c r="CG49" s="2">
        <f>INDEX($BY$8:$BY$15,MATCH(CG$7,$CB$8:$CB$15,0))*SUM(E$11:E$12)/(365/12)*MAX(节奏总纲!F45-$E$2,0)</f>
        <v>0</v>
      </c>
      <c r="CH49" s="2">
        <f>INDEX($BY$8:$BY$15,MATCH(CH$7,$CB$8:$CB$15,0))*SUM(F$11:F$12)/(365/12)*MAX(节奏总纲!G45-$E$2,0)</f>
        <v>0</v>
      </c>
      <c r="CI49" s="2">
        <f>INDEX($BY$8:$BY$15,MATCH(CI$7,$CB$8:$CB$15,0))*SUM(G$11:G$12)/(365/12)*MAX(节奏总纲!H45-$E$2,0)</f>
        <v>0</v>
      </c>
      <c r="CJ49" s="2">
        <f>INDEX($BZ$8:$BZ$15,MATCH(CE$7,$CB$8:$CB$15,0))*SUM(C$11:C$12)/(365/12)*MAX(节奏总纲!D45-$E$2,0)</f>
        <v>0</v>
      </c>
      <c r="CK49" s="2">
        <f>INDEX($BZ$8:$BZ$15,MATCH(CF$7,$CB$8:$CB$15,0))*SUM(D$11:D$12)/(365/12)*MAX(节奏总纲!E45-$E$2,0)</f>
        <v>0</v>
      </c>
      <c r="CL49" s="2">
        <f>INDEX($BZ$8:$BZ$15,MATCH(CG$7,$CB$8:$CB$15,0))*SUM(E$11:E$12)/(365/12)*MAX(节奏总纲!F45-$E$2,0)</f>
        <v>0</v>
      </c>
      <c r="CM49" s="2">
        <f>INDEX($BZ$8:$BZ$15,MATCH(CH$7,$CB$8:$CB$15,0))*SUM(F$11:F$12)/(365/12)*MAX(节奏总纲!G45-$E$2,0)</f>
        <v>0</v>
      </c>
      <c r="CN49" s="2">
        <f>INDEX($BZ$8:$BZ$15,MATCH(CI$7,$CB$8:$CB$15,0))*SUM(G$11:G$12)/(365/12)*MAX(节奏总纲!H45-$E$2,0)</f>
        <v>0</v>
      </c>
      <c r="CS49" s="2">
        <v>42</v>
      </c>
      <c r="CT49" s="2">
        <f t="shared" si="41"/>
        <v>0</v>
      </c>
      <c r="CU49" s="2">
        <f t="shared" si="42"/>
        <v>0</v>
      </c>
      <c r="CV49" s="2">
        <f t="shared" si="43"/>
        <v>0</v>
      </c>
      <c r="CW49" s="2">
        <f t="shared" si="44"/>
        <v>0</v>
      </c>
      <c r="CX49" s="2">
        <f t="shared" si="45"/>
        <v>0</v>
      </c>
      <c r="CZ49" s="41" t="e">
        <f t="shared" si="46"/>
        <v>#DIV/0!</v>
      </c>
      <c r="DA49" s="41" t="e">
        <f t="shared" si="47"/>
        <v>#DIV/0!</v>
      </c>
      <c r="DB49" s="41" t="e">
        <f t="shared" si="48"/>
        <v>#DIV/0!</v>
      </c>
      <c r="DD49" s="41" t="e">
        <f t="shared" si="49"/>
        <v>#DIV/0!</v>
      </c>
      <c r="DE49" s="41" t="e">
        <f t="shared" si="50"/>
        <v>#DIV/0!</v>
      </c>
      <c r="DF49" s="41" t="e">
        <f t="shared" si="51"/>
        <v>#DIV/0!</v>
      </c>
      <c r="DH49" s="41" t="e">
        <f t="shared" si="52"/>
        <v>#DIV/0!</v>
      </c>
      <c r="DI49" s="41" t="e">
        <f t="shared" si="53"/>
        <v>#DIV/0!</v>
      </c>
      <c r="DJ49" s="41" t="e">
        <f t="shared" si="54"/>
        <v>#DIV/0!</v>
      </c>
      <c r="DL49" s="2">
        <f>CT49/节奏总纲!D45</f>
        <v>0</v>
      </c>
      <c r="DM49" s="2">
        <f>CU49/节奏总纲!E45</f>
        <v>0</v>
      </c>
      <c r="DN49" s="2">
        <f>CV49/节奏总纲!F45</f>
        <v>0</v>
      </c>
      <c r="DO49" s="2">
        <f>CW49/节奏总纲!G45</f>
        <v>0</v>
      </c>
      <c r="DP49" s="2">
        <f>CX49/节奏总纲!H45</f>
        <v>0</v>
      </c>
      <c r="DR49" s="2" t="e">
        <f t="shared" si="55"/>
        <v>#DIV/0!</v>
      </c>
      <c r="DS49" s="2" t="e">
        <f t="shared" si="56"/>
        <v>#DIV/0!</v>
      </c>
      <c r="DT49" s="2" t="e">
        <f t="shared" si="57"/>
        <v>#DIV/0!</v>
      </c>
      <c r="DU49" s="2" t="e">
        <f t="shared" si="58"/>
        <v>#DIV/0!</v>
      </c>
      <c r="DY49" s="2">
        <v>42</v>
      </c>
      <c r="DZ49" s="2">
        <f t="shared" si="22"/>
        <v>0</v>
      </c>
      <c r="EA49" s="2">
        <f t="shared" si="23"/>
        <v>0</v>
      </c>
      <c r="EB49" s="2">
        <f t="shared" si="24"/>
        <v>0</v>
      </c>
      <c r="EC49" s="2">
        <f t="shared" si="25"/>
        <v>0</v>
      </c>
      <c r="ED49" s="2">
        <f t="shared" si="26"/>
        <v>0</v>
      </c>
      <c r="EF49" s="57" t="e">
        <f t="shared" si="27"/>
        <v>#DIV/0!</v>
      </c>
      <c r="EG49" s="57" t="e">
        <f t="shared" si="28"/>
        <v>#DIV/0!</v>
      </c>
      <c r="EH49" s="41" t="e">
        <f t="shared" si="29"/>
        <v>#DIV/0!</v>
      </c>
      <c r="EJ49" s="57" t="e">
        <f t="shared" si="30"/>
        <v>#DIV/0!</v>
      </c>
      <c r="EK49" s="57" t="e">
        <f t="shared" si="31"/>
        <v>#DIV/0!</v>
      </c>
      <c r="EL49" s="41" t="e">
        <f t="shared" si="32"/>
        <v>#DIV/0!</v>
      </c>
      <c r="EN49" s="57" t="e">
        <f t="shared" si="33"/>
        <v>#DIV/0!</v>
      </c>
      <c r="EO49" s="57" t="e">
        <f t="shared" si="34"/>
        <v>#DIV/0!</v>
      </c>
      <c r="EP49" s="41" t="e">
        <f t="shared" si="35"/>
        <v>#DIV/0!</v>
      </c>
    </row>
    <row r="50" spans="20:146" x14ac:dyDescent="0.15">
      <c r="T50" s="2">
        <v>43</v>
      </c>
      <c r="U50" s="2">
        <f>$N$8*SUM(C$11:C$12)/(365/12)*MAX(节奏总纲!D46-$E$2,0)</f>
        <v>0</v>
      </c>
      <c r="V50" s="2">
        <f>$N$8*SUM(D$11:D$12)/(365/12)*MAX(节奏总纲!E46-$E$2,0)</f>
        <v>0</v>
      </c>
      <c r="W50" s="2">
        <f>$N$8*SUM(E$11:E$12)/(365/12)*MAX(节奏总纲!F46-$E$2,0)</f>
        <v>0</v>
      </c>
      <c r="X50" s="2">
        <f>$N$8*SUM(F$11:F$12)/(365/12)*MAX(节奏总纲!G46-$E$2,0)</f>
        <v>0</v>
      </c>
      <c r="Y50" s="2">
        <f>$N$8*SUM(G$11:G$12)/(365/12)*MAX(节奏总纲!H46-$E$2,0)</f>
        <v>0</v>
      </c>
      <c r="Z50" s="2">
        <f>$O$8*SUM(C$11:C$12)/(365/12)*MAX(节奏总纲!D46-$E$2,0)</f>
        <v>0</v>
      </c>
      <c r="AA50" s="2">
        <f>$O$8*SUM(D$11:D$12)/(365/12)*MAX(节奏总纲!E46-$E$2,0)</f>
        <v>0</v>
      </c>
      <c r="AB50" s="2">
        <f>$O$8*SUM(E$11:E$12)/(365/12)*MAX(节奏总纲!F46-$E$2,0)</f>
        <v>0</v>
      </c>
      <c r="AC50" s="2">
        <f>$O$8*SUM(F$11:F$12)/(365/12)*MAX(节奏总纲!G46-$E$2,0)</f>
        <v>0</v>
      </c>
      <c r="AD50" s="2">
        <f>$O$8*SUM(G$11:G$12)/(365/12)*MAX(节奏总纲!H46-$E$2,0)</f>
        <v>0</v>
      </c>
      <c r="AE50" s="2">
        <f>$Q$8*SUM(C$11:C$12)/(365/12)*MAX(节奏总纲!D46-$E$2,0)</f>
        <v>0</v>
      </c>
      <c r="AF50" s="2">
        <f>$Q$8*SUM(D$11:D$12)/(365/12)*MAX(节奏总纲!E46-$E$2,0)</f>
        <v>0</v>
      </c>
      <c r="AG50" s="2">
        <f>$Q$8*SUM(E$11:E$12)/(365/12)*MAX(节奏总纲!F46-$E$2,0)</f>
        <v>0</v>
      </c>
      <c r="AH50" s="2">
        <f>$Q$8*SUM(F$11:F$12)/(365/12)*MAX(节奏总纲!G46-$E$2,0)</f>
        <v>0</v>
      </c>
      <c r="AI50" s="2">
        <f>$Q$8*SUM(G$11:G$12)/(365/12)*MAX(节奏总纲!H46-$E$2,0)</f>
        <v>0</v>
      </c>
      <c r="AJ50" s="2">
        <f>$P$8*SUM(C$11:C$12)/(365/12)*MAX(节奏总纲!D46-$E$2,0)</f>
        <v>0</v>
      </c>
      <c r="AK50" s="2">
        <f>$P$8*SUM(D$11:D$12)/(365/12)*MAX(节奏总纲!E46-$E$2,0)</f>
        <v>0</v>
      </c>
      <c r="AL50" s="2">
        <f>$P$8*SUM(E$11:E$12)/(365/12)*MAX(节奏总纲!F46-$E$2,0)</f>
        <v>0</v>
      </c>
      <c r="AM50" s="2">
        <f>$P$8*SUM(F$11:F$12)/(365/12)*MAX(节奏总纲!G46-$E$2,0)</f>
        <v>0</v>
      </c>
      <c r="AN50" s="2">
        <f>$P$8*SUM(G$11:G$12)/(365/12)*MAX(节奏总纲!H46-$E$2,0)</f>
        <v>0</v>
      </c>
      <c r="BC50" s="2">
        <v>43</v>
      </c>
      <c r="BD50" s="2">
        <f>$AZ$8/(365/12)*MAX(节奏总纲!D46-$E$2,0)</f>
        <v>0</v>
      </c>
      <c r="BE50" s="2">
        <f>$AZ$8/(365/12)*MAX(节奏总纲!E46-$E$2,0)</f>
        <v>0</v>
      </c>
      <c r="BF50" s="2">
        <f>$AZ$8/(365/12)*MAX(节奏总纲!F46-$E$2,0)</f>
        <v>0</v>
      </c>
      <c r="BG50" s="2">
        <f>$AZ$8/(365/12)*MAX(节奏总纲!G46-$E$2,0)</f>
        <v>0</v>
      </c>
      <c r="BH50" s="2">
        <f>$AZ$8/(365/12)*MAX(节奏总纲!H46-$E$2,0)</f>
        <v>0</v>
      </c>
      <c r="BI50" s="2">
        <f>$AY$8/(365/12)*MAX(节奏总纲!D46-$E$2,0)</f>
        <v>0</v>
      </c>
      <c r="BJ50" s="2">
        <f>$AY$8/(365/12)*MAX(节奏总纲!E46-$E$2,0)</f>
        <v>0</v>
      </c>
      <c r="BK50" s="2">
        <f>$AY$8/(365/12)*MAX(节奏总纲!F46-$E$2,0)</f>
        <v>0</v>
      </c>
      <c r="BL50" s="2">
        <f>$AY$8/(365/12)*MAX(节奏总纲!G46-$E$2,0)</f>
        <v>0</v>
      </c>
      <c r="BM50" s="2">
        <f>$AY$8/(365/12)*MAX(节奏总纲!H46-$E$2,0)</f>
        <v>0</v>
      </c>
      <c r="CD50" s="2">
        <v>43</v>
      </c>
      <c r="CE50" s="2">
        <f>INDEX($BY$8:$BY$15,MATCH(CE$7,$CB$8:$CB$15,0))*SUM(C$11:C$12)/(365/12)*MAX(节奏总纲!D46-$E$2,0)</f>
        <v>0</v>
      </c>
      <c r="CF50" s="2">
        <f>INDEX($BY$8:$BY$15,MATCH(CF$7,$CB$8:$CB$15,0))*SUM(D$11:D$12)/(365/12)*MAX(节奏总纲!E46-$E$2,0)</f>
        <v>0</v>
      </c>
      <c r="CG50" s="2">
        <f>INDEX($BY$8:$BY$15,MATCH(CG$7,$CB$8:$CB$15,0))*SUM(E$11:E$12)/(365/12)*MAX(节奏总纲!F46-$E$2,0)</f>
        <v>0</v>
      </c>
      <c r="CH50" s="2">
        <f>INDEX($BY$8:$BY$15,MATCH(CH$7,$CB$8:$CB$15,0))*SUM(F$11:F$12)/(365/12)*MAX(节奏总纲!G46-$E$2,0)</f>
        <v>0</v>
      </c>
      <c r="CI50" s="2">
        <f>INDEX($BY$8:$BY$15,MATCH(CI$7,$CB$8:$CB$15,0))*SUM(G$11:G$12)/(365/12)*MAX(节奏总纲!H46-$E$2,0)</f>
        <v>0</v>
      </c>
      <c r="CJ50" s="2">
        <f>INDEX($BZ$8:$BZ$15,MATCH(CE$7,$CB$8:$CB$15,0))*SUM(C$11:C$12)/(365/12)*MAX(节奏总纲!D46-$E$2,0)</f>
        <v>0</v>
      </c>
      <c r="CK50" s="2">
        <f>INDEX($BZ$8:$BZ$15,MATCH(CF$7,$CB$8:$CB$15,0))*SUM(D$11:D$12)/(365/12)*MAX(节奏总纲!E46-$E$2,0)</f>
        <v>0</v>
      </c>
      <c r="CL50" s="2">
        <f>INDEX($BZ$8:$BZ$15,MATCH(CG$7,$CB$8:$CB$15,0))*SUM(E$11:E$12)/(365/12)*MAX(节奏总纲!F46-$E$2,0)</f>
        <v>0</v>
      </c>
      <c r="CM50" s="2">
        <f>INDEX($BZ$8:$BZ$15,MATCH(CH$7,$CB$8:$CB$15,0))*SUM(F$11:F$12)/(365/12)*MAX(节奏总纲!G46-$E$2,0)</f>
        <v>0</v>
      </c>
      <c r="CN50" s="2">
        <f>INDEX($BZ$8:$BZ$15,MATCH(CI$7,$CB$8:$CB$15,0))*SUM(G$11:G$12)/(365/12)*MAX(节奏总纲!H46-$E$2,0)</f>
        <v>0</v>
      </c>
      <c r="CS50" s="2">
        <v>43</v>
      </c>
      <c r="CT50" s="2">
        <f t="shared" si="41"/>
        <v>0</v>
      </c>
      <c r="CU50" s="2">
        <f t="shared" si="42"/>
        <v>0</v>
      </c>
      <c r="CV50" s="2">
        <f t="shared" si="43"/>
        <v>0</v>
      </c>
      <c r="CW50" s="2">
        <f t="shared" si="44"/>
        <v>0</v>
      </c>
      <c r="CX50" s="2">
        <f t="shared" si="45"/>
        <v>0</v>
      </c>
      <c r="CZ50" s="41" t="e">
        <f t="shared" si="46"/>
        <v>#DIV/0!</v>
      </c>
      <c r="DA50" s="41" t="e">
        <f t="shared" si="47"/>
        <v>#DIV/0!</v>
      </c>
      <c r="DB50" s="41" t="e">
        <f t="shared" si="48"/>
        <v>#DIV/0!</v>
      </c>
      <c r="DD50" s="41" t="e">
        <f t="shared" si="49"/>
        <v>#DIV/0!</v>
      </c>
      <c r="DE50" s="41" t="e">
        <f t="shared" si="50"/>
        <v>#DIV/0!</v>
      </c>
      <c r="DF50" s="41" t="e">
        <f t="shared" si="51"/>
        <v>#DIV/0!</v>
      </c>
      <c r="DH50" s="41" t="e">
        <f t="shared" si="52"/>
        <v>#DIV/0!</v>
      </c>
      <c r="DI50" s="41" t="e">
        <f t="shared" si="53"/>
        <v>#DIV/0!</v>
      </c>
      <c r="DJ50" s="41" t="e">
        <f t="shared" si="54"/>
        <v>#DIV/0!</v>
      </c>
      <c r="DL50" s="2">
        <f>CT50/节奏总纲!D46</f>
        <v>0</v>
      </c>
      <c r="DM50" s="2">
        <f>CU50/节奏总纲!E46</f>
        <v>0</v>
      </c>
      <c r="DN50" s="2">
        <f>CV50/节奏总纲!F46</f>
        <v>0</v>
      </c>
      <c r="DO50" s="2">
        <f>CW50/节奏总纲!G46</f>
        <v>0</v>
      </c>
      <c r="DP50" s="2">
        <f>CX50/节奏总纲!H46</f>
        <v>0</v>
      </c>
      <c r="DR50" s="2" t="e">
        <f t="shared" si="55"/>
        <v>#DIV/0!</v>
      </c>
      <c r="DS50" s="2" t="e">
        <f t="shared" si="56"/>
        <v>#DIV/0!</v>
      </c>
      <c r="DT50" s="2" t="e">
        <f t="shared" si="57"/>
        <v>#DIV/0!</v>
      </c>
      <c r="DU50" s="2" t="e">
        <f t="shared" si="58"/>
        <v>#DIV/0!</v>
      </c>
      <c r="DY50" s="2">
        <v>43</v>
      </c>
      <c r="DZ50" s="2">
        <f t="shared" si="22"/>
        <v>0</v>
      </c>
      <c r="EA50" s="2">
        <f t="shared" si="23"/>
        <v>0</v>
      </c>
      <c r="EB50" s="2">
        <f t="shared" si="24"/>
        <v>0</v>
      </c>
      <c r="EC50" s="2">
        <f t="shared" si="25"/>
        <v>0</v>
      </c>
      <c r="ED50" s="2">
        <f t="shared" si="26"/>
        <v>0</v>
      </c>
      <c r="EF50" s="57" t="e">
        <f t="shared" si="27"/>
        <v>#DIV/0!</v>
      </c>
      <c r="EG50" s="57" t="e">
        <f t="shared" si="28"/>
        <v>#DIV/0!</v>
      </c>
      <c r="EH50" s="41" t="e">
        <f t="shared" si="29"/>
        <v>#DIV/0!</v>
      </c>
      <c r="EJ50" s="57" t="e">
        <f t="shared" si="30"/>
        <v>#DIV/0!</v>
      </c>
      <c r="EK50" s="57" t="e">
        <f t="shared" si="31"/>
        <v>#DIV/0!</v>
      </c>
      <c r="EL50" s="41" t="e">
        <f t="shared" si="32"/>
        <v>#DIV/0!</v>
      </c>
      <c r="EN50" s="57" t="e">
        <f t="shared" si="33"/>
        <v>#DIV/0!</v>
      </c>
      <c r="EO50" s="57" t="e">
        <f t="shared" si="34"/>
        <v>#DIV/0!</v>
      </c>
      <c r="EP50" s="41" t="e">
        <f t="shared" si="35"/>
        <v>#DIV/0!</v>
      </c>
    </row>
    <row r="51" spans="20:146" x14ac:dyDescent="0.15">
      <c r="T51" s="2">
        <v>44</v>
      </c>
      <c r="U51" s="2">
        <f>$N$8*SUM(C$11:C$12)/(365/12)*MAX(节奏总纲!D47-$E$2,0)</f>
        <v>0</v>
      </c>
      <c r="V51" s="2">
        <f>$N$8*SUM(D$11:D$12)/(365/12)*MAX(节奏总纲!E47-$E$2,0)</f>
        <v>0</v>
      </c>
      <c r="W51" s="2">
        <f>$N$8*SUM(E$11:E$12)/(365/12)*MAX(节奏总纲!F47-$E$2,0)</f>
        <v>0</v>
      </c>
      <c r="X51" s="2">
        <f>$N$8*SUM(F$11:F$12)/(365/12)*MAX(节奏总纲!G47-$E$2,0)</f>
        <v>0</v>
      </c>
      <c r="Y51" s="2">
        <f>$N$8*SUM(G$11:G$12)/(365/12)*MAX(节奏总纲!H47-$E$2,0)</f>
        <v>0</v>
      </c>
      <c r="Z51" s="2">
        <f>$O$8*SUM(C$11:C$12)/(365/12)*MAX(节奏总纲!D47-$E$2,0)</f>
        <v>0</v>
      </c>
      <c r="AA51" s="2">
        <f>$O$8*SUM(D$11:D$12)/(365/12)*MAX(节奏总纲!E47-$E$2,0)</f>
        <v>0</v>
      </c>
      <c r="AB51" s="2">
        <f>$O$8*SUM(E$11:E$12)/(365/12)*MAX(节奏总纲!F47-$E$2,0)</f>
        <v>0</v>
      </c>
      <c r="AC51" s="2">
        <f>$O$8*SUM(F$11:F$12)/(365/12)*MAX(节奏总纲!G47-$E$2,0)</f>
        <v>0</v>
      </c>
      <c r="AD51" s="2">
        <f>$O$8*SUM(G$11:G$12)/(365/12)*MAX(节奏总纲!H47-$E$2,0)</f>
        <v>0</v>
      </c>
      <c r="AE51" s="2">
        <f>$Q$8*SUM(C$11:C$12)/(365/12)*MAX(节奏总纲!D47-$E$2,0)</f>
        <v>0</v>
      </c>
      <c r="AF51" s="2">
        <f>$Q$8*SUM(D$11:D$12)/(365/12)*MAX(节奏总纲!E47-$E$2,0)</f>
        <v>0</v>
      </c>
      <c r="AG51" s="2">
        <f>$Q$8*SUM(E$11:E$12)/(365/12)*MAX(节奏总纲!F47-$E$2,0)</f>
        <v>0</v>
      </c>
      <c r="AH51" s="2">
        <f>$Q$8*SUM(F$11:F$12)/(365/12)*MAX(节奏总纲!G47-$E$2,0)</f>
        <v>0</v>
      </c>
      <c r="AI51" s="2">
        <f>$Q$8*SUM(G$11:G$12)/(365/12)*MAX(节奏总纲!H47-$E$2,0)</f>
        <v>0</v>
      </c>
      <c r="AJ51" s="2">
        <f>$P$8*SUM(C$11:C$12)/(365/12)*MAX(节奏总纲!D47-$E$2,0)</f>
        <v>0</v>
      </c>
      <c r="AK51" s="2">
        <f>$P$8*SUM(D$11:D$12)/(365/12)*MAX(节奏总纲!E47-$E$2,0)</f>
        <v>0</v>
      </c>
      <c r="AL51" s="2">
        <f>$P$8*SUM(E$11:E$12)/(365/12)*MAX(节奏总纲!F47-$E$2,0)</f>
        <v>0</v>
      </c>
      <c r="AM51" s="2">
        <f>$P$8*SUM(F$11:F$12)/(365/12)*MAX(节奏总纲!G47-$E$2,0)</f>
        <v>0</v>
      </c>
      <c r="AN51" s="2">
        <f>$P$8*SUM(G$11:G$12)/(365/12)*MAX(节奏总纲!H47-$E$2,0)</f>
        <v>0</v>
      </c>
      <c r="BC51" s="2">
        <v>44</v>
      </c>
      <c r="BD51" s="2">
        <f>$AZ$8/(365/12)*MAX(节奏总纲!D47-$E$2,0)</f>
        <v>0</v>
      </c>
      <c r="BE51" s="2">
        <f>$AZ$8/(365/12)*MAX(节奏总纲!E47-$E$2,0)</f>
        <v>0</v>
      </c>
      <c r="BF51" s="2">
        <f>$AZ$8/(365/12)*MAX(节奏总纲!F47-$E$2,0)</f>
        <v>0</v>
      </c>
      <c r="BG51" s="2">
        <f>$AZ$8/(365/12)*MAX(节奏总纲!G47-$E$2,0)</f>
        <v>0</v>
      </c>
      <c r="BH51" s="2">
        <f>$AZ$8/(365/12)*MAX(节奏总纲!H47-$E$2,0)</f>
        <v>0</v>
      </c>
      <c r="BI51" s="2">
        <f>$AY$8/(365/12)*MAX(节奏总纲!D47-$E$2,0)</f>
        <v>0</v>
      </c>
      <c r="BJ51" s="2">
        <f>$AY$8/(365/12)*MAX(节奏总纲!E47-$E$2,0)</f>
        <v>0</v>
      </c>
      <c r="BK51" s="2">
        <f>$AY$8/(365/12)*MAX(节奏总纲!F47-$E$2,0)</f>
        <v>0</v>
      </c>
      <c r="BL51" s="2">
        <f>$AY$8/(365/12)*MAX(节奏总纲!G47-$E$2,0)</f>
        <v>0</v>
      </c>
      <c r="BM51" s="2">
        <f>$AY$8/(365/12)*MAX(节奏总纲!H47-$E$2,0)</f>
        <v>0</v>
      </c>
      <c r="CD51" s="2">
        <v>44</v>
      </c>
      <c r="CE51" s="2">
        <f>INDEX($BY$8:$BY$15,MATCH(CE$7,$CB$8:$CB$15,0))*SUM(C$11:C$12)/(365/12)*MAX(节奏总纲!D47-$E$2,0)</f>
        <v>0</v>
      </c>
      <c r="CF51" s="2">
        <f>INDEX($BY$8:$BY$15,MATCH(CF$7,$CB$8:$CB$15,0))*SUM(D$11:D$12)/(365/12)*MAX(节奏总纲!E47-$E$2,0)</f>
        <v>0</v>
      </c>
      <c r="CG51" s="2">
        <f>INDEX($BY$8:$BY$15,MATCH(CG$7,$CB$8:$CB$15,0))*SUM(E$11:E$12)/(365/12)*MAX(节奏总纲!F47-$E$2,0)</f>
        <v>0</v>
      </c>
      <c r="CH51" s="2">
        <f>INDEX($BY$8:$BY$15,MATCH(CH$7,$CB$8:$CB$15,0))*SUM(F$11:F$12)/(365/12)*MAX(节奏总纲!G47-$E$2,0)</f>
        <v>0</v>
      </c>
      <c r="CI51" s="2">
        <f>INDEX($BY$8:$BY$15,MATCH(CI$7,$CB$8:$CB$15,0))*SUM(G$11:G$12)/(365/12)*MAX(节奏总纲!H47-$E$2,0)</f>
        <v>0</v>
      </c>
      <c r="CJ51" s="2">
        <f>INDEX($BZ$8:$BZ$15,MATCH(CE$7,$CB$8:$CB$15,0))*SUM(C$11:C$12)/(365/12)*MAX(节奏总纲!D47-$E$2,0)</f>
        <v>0</v>
      </c>
      <c r="CK51" s="2">
        <f>INDEX($BZ$8:$BZ$15,MATCH(CF$7,$CB$8:$CB$15,0))*SUM(D$11:D$12)/(365/12)*MAX(节奏总纲!E47-$E$2,0)</f>
        <v>0</v>
      </c>
      <c r="CL51" s="2">
        <f>INDEX($BZ$8:$BZ$15,MATCH(CG$7,$CB$8:$CB$15,0))*SUM(E$11:E$12)/(365/12)*MAX(节奏总纲!F47-$E$2,0)</f>
        <v>0</v>
      </c>
      <c r="CM51" s="2">
        <f>INDEX($BZ$8:$BZ$15,MATCH(CH$7,$CB$8:$CB$15,0))*SUM(F$11:F$12)/(365/12)*MAX(节奏总纲!G47-$E$2,0)</f>
        <v>0</v>
      </c>
      <c r="CN51" s="2">
        <f>INDEX($BZ$8:$BZ$15,MATCH(CI$7,$CB$8:$CB$15,0))*SUM(G$11:G$12)/(365/12)*MAX(节奏总纲!H47-$E$2,0)</f>
        <v>0</v>
      </c>
      <c r="CS51" s="2">
        <v>44</v>
      </c>
      <c r="CT51" s="2">
        <f t="shared" si="41"/>
        <v>0</v>
      </c>
      <c r="CU51" s="2">
        <f t="shared" si="42"/>
        <v>0</v>
      </c>
      <c r="CV51" s="2">
        <f t="shared" si="43"/>
        <v>0</v>
      </c>
      <c r="CW51" s="2">
        <f t="shared" si="44"/>
        <v>0</v>
      </c>
      <c r="CX51" s="2">
        <f t="shared" si="45"/>
        <v>0</v>
      </c>
      <c r="CZ51" s="41" t="e">
        <f t="shared" si="46"/>
        <v>#DIV/0!</v>
      </c>
      <c r="DA51" s="41" t="e">
        <f t="shared" si="47"/>
        <v>#DIV/0!</v>
      </c>
      <c r="DB51" s="41" t="e">
        <f t="shared" si="48"/>
        <v>#DIV/0!</v>
      </c>
      <c r="DD51" s="41" t="e">
        <f t="shared" si="49"/>
        <v>#DIV/0!</v>
      </c>
      <c r="DE51" s="41" t="e">
        <f t="shared" si="50"/>
        <v>#DIV/0!</v>
      </c>
      <c r="DF51" s="41" t="e">
        <f t="shared" si="51"/>
        <v>#DIV/0!</v>
      </c>
      <c r="DH51" s="41" t="e">
        <f t="shared" si="52"/>
        <v>#DIV/0!</v>
      </c>
      <c r="DI51" s="41" t="e">
        <f t="shared" si="53"/>
        <v>#DIV/0!</v>
      </c>
      <c r="DJ51" s="41" t="e">
        <f t="shared" si="54"/>
        <v>#DIV/0!</v>
      </c>
      <c r="DL51" s="2">
        <f>CT51/节奏总纲!D47</f>
        <v>0</v>
      </c>
      <c r="DM51" s="2">
        <f>CU51/节奏总纲!E47</f>
        <v>0</v>
      </c>
      <c r="DN51" s="2">
        <f>CV51/节奏总纲!F47</f>
        <v>0</v>
      </c>
      <c r="DO51" s="2">
        <f>CW51/节奏总纲!G47</f>
        <v>0</v>
      </c>
      <c r="DP51" s="2">
        <f>CX51/节奏总纲!H47</f>
        <v>0</v>
      </c>
      <c r="DR51" s="2" t="e">
        <f t="shared" si="55"/>
        <v>#DIV/0!</v>
      </c>
      <c r="DS51" s="2" t="e">
        <f t="shared" si="56"/>
        <v>#DIV/0!</v>
      </c>
      <c r="DT51" s="2" t="e">
        <f t="shared" si="57"/>
        <v>#DIV/0!</v>
      </c>
      <c r="DU51" s="2" t="e">
        <f t="shared" si="58"/>
        <v>#DIV/0!</v>
      </c>
      <c r="DY51" s="2">
        <v>44</v>
      </c>
      <c r="DZ51" s="2">
        <f t="shared" si="22"/>
        <v>0</v>
      </c>
      <c r="EA51" s="2">
        <f t="shared" si="23"/>
        <v>0</v>
      </c>
      <c r="EB51" s="2">
        <f t="shared" si="24"/>
        <v>0</v>
      </c>
      <c r="EC51" s="2">
        <f t="shared" si="25"/>
        <v>0</v>
      </c>
      <c r="ED51" s="2">
        <f t="shared" si="26"/>
        <v>0</v>
      </c>
      <c r="EF51" s="57" t="e">
        <f t="shared" si="27"/>
        <v>#DIV/0!</v>
      </c>
      <c r="EG51" s="57" t="e">
        <f t="shared" si="28"/>
        <v>#DIV/0!</v>
      </c>
      <c r="EH51" s="41" t="e">
        <f t="shared" si="29"/>
        <v>#DIV/0!</v>
      </c>
      <c r="EJ51" s="57" t="e">
        <f t="shared" si="30"/>
        <v>#DIV/0!</v>
      </c>
      <c r="EK51" s="57" t="e">
        <f t="shared" si="31"/>
        <v>#DIV/0!</v>
      </c>
      <c r="EL51" s="41" t="e">
        <f t="shared" si="32"/>
        <v>#DIV/0!</v>
      </c>
      <c r="EN51" s="57" t="e">
        <f t="shared" si="33"/>
        <v>#DIV/0!</v>
      </c>
      <c r="EO51" s="57" t="e">
        <f t="shared" si="34"/>
        <v>#DIV/0!</v>
      </c>
      <c r="EP51" s="41" t="e">
        <f t="shared" si="35"/>
        <v>#DIV/0!</v>
      </c>
    </row>
    <row r="52" spans="20:146" x14ac:dyDescent="0.15">
      <c r="T52" s="2">
        <v>45</v>
      </c>
      <c r="U52" s="2">
        <f>$N$8*SUM(C$11:C$12)/(365/12)*MAX(节奏总纲!D48-$E$2,0)</f>
        <v>0</v>
      </c>
      <c r="V52" s="2">
        <f>$N$8*SUM(D$11:D$12)/(365/12)*MAX(节奏总纲!E48-$E$2,0)</f>
        <v>0</v>
      </c>
      <c r="W52" s="2">
        <f>$N$8*SUM(E$11:E$12)/(365/12)*MAX(节奏总纲!F48-$E$2,0)</f>
        <v>0</v>
      </c>
      <c r="X52" s="2">
        <f>$N$8*SUM(F$11:F$12)/(365/12)*MAX(节奏总纲!G48-$E$2,0)</f>
        <v>0</v>
      </c>
      <c r="Y52" s="2">
        <f>$N$8*SUM(G$11:G$12)/(365/12)*MAX(节奏总纲!H48-$E$2,0)</f>
        <v>0</v>
      </c>
      <c r="Z52" s="2">
        <f>$O$8*SUM(C$11:C$12)/(365/12)*MAX(节奏总纲!D48-$E$2,0)</f>
        <v>0</v>
      </c>
      <c r="AA52" s="2">
        <f>$O$8*SUM(D$11:D$12)/(365/12)*MAX(节奏总纲!E48-$E$2,0)</f>
        <v>0</v>
      </c>
      <c r="AB52" s="2">
        <f>$O$8*SUM(E$11:E$12)/(365/12)*MAX(节奏总纲!F48-$E$2,0)</f>
        <v>0</v>
      </c>
      <c r="AC52" s="2">
        <f>$O$8*SUM(F$11:F$12)/(365/12)*MAX(节奏总纲!G48-$E$2,0)</f>
        <v>0</v>
      </c>
      <c r="AD52" s="2">
        <f>$O$8*SUM(G$11:G$12)/(365/12)*MAX(节奏总纲!H48-$E$2,0)</f>
        <v>0</v>
      </c>
      <c r="AE52" s="2">
        <f>$Q$8*SUM(C$11:C$12)/(365/12)*MAX(节奏总纲!D48-$E$2,0)</f>
        <v>0</v>
      </c>
      <c r="AF52" s="2">
        <f>$Q$8*SUM(D$11:D$12)/(365/12)*MAX(节奏总纲!E48-$E$2,0)</f>
        <v>0</v>
      </c>
      <c r="AG52" s="2">
        <f>$Q$8*SUM(E$11:E$12)/(365/12)*MAX(节奏总纲!F48-$E$2,0)</f>
        <v>0</v>
      </c>
      <c r="AH52" s="2">
        <f>$Q$8*SUM(F$11:F$12)/(365/12)*MAX(节奏总纲!G48-$E$2,0)</f>
        <v>0</v>
      </c>
      <c r="AI52" s="2">
        <f>$Q$8*SUM(G$11:G$12)/(365/12)*MAX(节奏总纲!H48-$E$2,0)</f>
        <v>0</v>
      </c>
      <c r="AJ52" s="2">
        <f>$P$8*SUM(C$11:C$12)/(365/12)*MAX(节奏总纲!D48-$E$2,0)</f>
        <v>0</v>
      </c>
      <c r="AK52" s="2">
        <f>$P$8*SUM(D$11:D$12)/(365/12)*MAX(节奏总纲!E48-$E$2,0)</f>
        <v>0</v>
      </c>
      <c r="AL52" s="2">
        <f>$P$8*SUM(E$11:E$12)/(365/12)*MAX(节奏总纲!F48-$E$2,0)</f>
        <v>0</v>
      </c>
      <c r="AM52" s="2">
        <f>$P$8*SUM(F$11:F$12)/(365/12)*MAX(节奏总纲!G48-$E$2,0)</f>
        <v>0</v>
      </c>
      <c r="AN52" s="2">
        <f>$P$8*SUM(G$11:G$12)/(365/12)*MAX(节奏总纲!H48-$E$2,0)</f>
        <v>0</v>
      </c>
      <c r="BC52" s="2">
        <v>45</v>
      </c>
      <c r="BD52" s="2">
        <f>$AZ$8/(365/12)*MAX(节奏总纲!D48-$E$2,0)</f>
        <v>0</v>
      </c>
      <c r="BE52" s="2">
        <f>$AZ$8/(365/12)*MAX(节奏总纲!E48-$E$2,0)</f>
        <v>0</v>
      </c>
      <c r="BF52" s="2">
        <f>$AZ$8/(365/12)*MAX(节奏总纲!F48-$E$2,0)</f>
        <v>0</v>
      </c>
      <c r="BG52" s="2">
        <f>$AZ$8/(365/12)*MAX(节奏总纲!G48-$E$2,0)</f>
        <v>0</v>
      </c>
      <c r="BH52" s="2">
        <f>$AZ$8/(365/12)*MAX(节奏总纲!H48-$E$2,0)</f>
        <v>0</v>
      </c>
      <c r="BI52" s="2">
        <f>$AY$8/(365/12)*MAX(节奏总纲!D48-$E$2,0)</f>
        <v>0</v>
      </c>
      <c r="BJ52" s="2">
        <f>$AY$8/(365/12)*MAX(节奏总纲!E48-$E$2,0)</f>
        <v>0</v>
      </c>
      <c r="BK52" s="2">
        <f>$AY$8/(365/12)*MAX(节奏总纲!F48-$E$2,0)</f>
        <v>0</v>
      </c>
      <c r="BL52" s="2">
        <f>$AY$8/(365/12)*MAX(节奏总纲!G48-$E$2,0)</f>
        <v>0</v>
      </c>
      <c r="BM52" s="2">
        <f>$AY$8/(365/12)*MAX(节奏总纲!H48-$E$2,0)</f>
        <v>0</v>
      </c>
      <c r="CD52" s="2">
        <v>45</v>
      </c>
      <c r="CE52" s="2">
        <f>INDEX($BY$8:$BY$15,MATCH(CE$7,$CB$8:$CB$15,0))*SUM(C$11:C$12)/(365/12)*MAX(节奏总纲!D48-$E$2,0)</f>
        <v>0</v>
      </c>
      <c r="CF52" s="2">
        <f>INDEX($BY$8:$BY$15,MATCH(CF$7,$CB$8:$CB$15,0))*SUM(D$11:D$12)/(365/12)*MAX(节奏总纲!E48-$E$2,0)</f>
        <v>0</v>
      </c>
      <c r="CG52" s="2">
        <f>INDEX($BY$8:$BY$15,MATCH(CG$7,$CB$8:$CB$15,0))*SUM(E$11:E$12)/(365/12)*MAX(节奏总纲!F48-$E$2,0)</f>
        <v>0</v>
      </c>
      <c r="CH52" s="2">
        <f>INDEX($BY$8:$BY$15,MATCH(CH$7,$CB$8:$CB$15,0))*SUM(F$11:F$12)/(365/12)*MAX(节奏总纲!G48-$E$2,0)</f>
        <v>0</v>
      </c>
      <c r="CI52" s="2">
        <f>INDEX($BY$8:$BY$15,MATCH(CI$7,$CB$8:$CB$15,0))*SUM(G$11:G$12)/(365/12)*MAX(节奏总纲!H48-$E$2,0)</f>
        <v>0</v>
      </c>
      <c r="CJ52" s="2">
        <f>INDEX($BZ$8:$BZ$15,MATCH(CE$7,$CB$8:$CB$15,0))*SUM(C$11:C$12)/(365/12)*MAX(节奏总纲!D48-$E$2,0)</f>
        <v>0</v>
      </c>
      <c r="CK52" s="2">
        <f>INDEX($BZ$8:$BZ$15,MATCH(CF$7,$CB$8:$CB$15,0))*SUM(D$11:D$12)/(365/12)*MAX(节奏总纲!E48-$E$2,0)</f>
        <v>0</v>
      </c>
      <c r="CL52" s="2">
        <f>INDEX($BZ$8:$BZ$15,MATCH(CG$7,$CB$8:$CB$15,0))*SUM(E$11:E$12)/(365/12)*MAX(节奏总纲!F48-$E$2,0)</f>
        <v>0</v>
      </c>
      <c r="CM52" s="2">
        <f>INDEX($BZ$8:$BZ$15,MATCH(CH$7,$CB$8:$CB$15,0))*SUM(F$11:F$12)/(365/12)*MAX(节奏总纲!G48-$E$2,0)</f>
        <v>0</v>
      </c>
      <c r="CN52" s="2">
        <f>INDEX($BZ$8:$BZ$15,MATCH(CI$7,$CB$8:$CB$15,0))*SUM(G$11:G$12)/(365/12)*MAX(节奏总纲!H48-$E$2,0)</f>
        <v>0</v>
      </c>
      <c r="CS52" s="2">
        <v>45</v>
      </c>
      <c r="CT52" s="2">
        <f t="shared" si="41"/>
        <v>0</v>
      </c>
      <c r="CU52" s="2">
        <f t="shared" si="42"/>
        <v>0</v>
      </c>
      <c r="CV52" s="2">
        <f t="shared" si="43"/>
        <v>0</v>
      </c>
      <c r="CW52" s="2">
        <f t="shared" si="44"/>
        <v>0</v>
      </c>
      <c r="CX52" s="2">
        <f t="shared" si="45"/>
        <v>0</v>
      </c>
      <c r="CZ52" s="41" t="e">
        <f t="shared" si="46"/>
        <v>#DIV/0!</v>
      </c>
      <c r="DA52" s="41" t="e">
        <f t="shared" si="47"/>
        <v>#DIV/0!</v>
      </c>
      <c r="DB52" s="41" t="e">
        <f t="shared" si="48"/>
        <v>#DIV/0!</v>
      </c>
      <c r="DD52" s="41" t="e">
        <f t="shared" si="49"/>
        <v>#DIV/0!</v>
      </c>
      <c r="DE52" s="41" t="e">
        <f t="shared" si="50"/>
        <v>#DIV/0!</v>
      </c>
      <c r="DF52" s="41" t="e">
        <f t="shared" si="51"/>
        <v>#DIV/0!</v>
      </c>
      <c r="DH52" s="41" t="e">
        <f t="shared" si="52"/>
        <v>#DIV/0!</v>
      </c>
      <c r="DI52" s="41" t="e">
        <f t="shared" si="53"/>
        <v>#DIV/0!</v>
      </c>
      <c r="DJ52" s="41" t="e">
        <f t="shared" si="54"/>
        <v>#DIV/0!</v>
      </c>
      <c r="DL52" s="2">
        <f>CT52/节奏总纲!D48</f>
        <v>0</v>
      </c>
      <c r="DM52" s="2">
        <f>CU52/节奏总纲!E48</f>
        <v>0</v>
      </c>
      <c r="DN52" s="2">
        <f>CV52/节奏总纲!F48</f>
        <v>0</v>
      </c>
      <c r="DO52" s="2">
        <f>CW52/节奏总纲!G48</f>
        <v>0</v>
      </c>
      <c r="DP52" s="2">
        <f>CX52/节奏总纲!H48</f>
        <v>0</v>
      </c>
      <c r="DR52" s="2" t="e">
        <f t="shared" si="55"/>
        <v>#DIV/0!</v>
      </c>
      <c r="DS52" s="2" t="e">
        <f t="shared" si="56"/>
        <v>#DIV/0!</v>
      </c>
      <c r="DT52" s="2" t="e">
        <f t="shared" si="57"/>
        <v>#DIV/0!</v>
      </c>
      <c r="DU52" s="2" t="e">
        <f t="shared" si="58"/>
        <v>#DIV/0!</v>
      </c>
      <c r="DY52" s="2">
        <v>45</v>
      </c>
      <c r="DZ52" s="2">
        <f t="shared" si="22"/>
        <v>0</v>
      </c>
      <c r="EA52" s="2">
        <f t="shared" si="23"/>
        <v>0</v>
      </c>
      <c r="EB52" s="2">
        <f t="shared" si="24"/>
        <v>0</v>
      </c>
      <c r="EC52" s="2">
        <f t="shared" si="25"/>
        <v>0</v>
      </c>
      <c r="ED52" s="2">
        <f t="shared" si="26"/>
        <v>0</v>
      </c>
      <c r="EF52" s="57" t="e">
        <f t="shared" si="27"/>
        <v>#DIV/0!</v>
      </c>
      <c r="EG52" s="57" t="e">
        <f t="shared" si="28"/>
        <v>#DIV/0!</v>
      </c>
      <c r="EH52" s="41" t="e">
        <f t="shared" si="29"/>
        <v>#DIV/0!</v>
      </c>
      <c r="EJ52" s="57" t="e">
        <f t="shared" si="30"/>
        <v>#DIV/0!</v>
      </c>
      <c r="EK52" s="57" t="e">
        <f t="shared" si="31"/>
        <v>#DIV/0!</v>
      </c>
      <c r="EL52" s="41" t="e">
        <f t="shared" si="32"/>
        <v>#DIV/0!</v>
      </c>
      <c r="EN52" s="57" t="e">
        <f t="shared" si="33"/>
        <v>#DIV/0!</v>
      </c>
      <c r="EO52" s="57" t="e">
        <f t="shared" si="34"/>
        <v>#DIV/0!</v>
      </c>
      <c r="EP52" s="41" t="e">
        <f t="shared" si="35"/>
        <v>#DIV/0!</v>
      </c>
    </row>
    <row r="53" spans="20:146" x14ac:dyDescent="0.15">
      <c r="T53" s="2">
        <v>46</v>
      </c>
      <c r="U53" s="2">
        <f>$N$8*SUM(C$11:C$12)/(365/12)*MAX(节奏总纲!D49-$E$2,0)</f>
        <v>0</v>
      </c>
      <c r="V53" s="2">
        <f>$N$8*SUM(D$11:D$12)/(365/12)*MAX(节奏总纲!E49-$E$2,0)</f>
        <v>0</v>
      </c>
      <c r="W53" s="2">
        <f>$N$8*SUM(E$11:E$12)/(365/12)*MAX(节奏总纲!F49-$E$2,0)</f>
        <v>0</v>
      </c>
      <c r="X53" s="2">
        <f>$N$8*SUM(F$11:F$12)/(365/12)*MAX(节奏总纲!G49-$E$2,0)</f>
        <v>0</v>
      </c>
      <c r="Y53" s="2">
        <f>$N$8*SUM(G$11:G$12)/(365/12)*MAX(节奏总纲!H49-$E$2,0)</f>
        <v>0</v>
      </c>
      <c r="Z53" s="2">
        <f>$O$8*SUM(C$11:C$12)/(365/12)*MAX(节奏总纲!D49-$E$2,0)</f>
        <v>0</v>
      </c>
      <c r="AA53" s="2">
        <f>$O$8*SUM(D$11:D$12)/(365/12)*MAX(节奏总纲!E49-$E$2,0)</f>
        <v>0</v>
      </c>
      <c r="AB53" s="2">
        <f>$O$8*SUM(E$11:E$12)/(365/12)*MAX(节奏总纲!F49-$E$2,0)</f>
        <v>0</v>
      </c>
      <c r="AC53" s="2">
        <f>$O$8*SUM(F$11:F$12)/(365/12)*MAX(节奏总纲!G49-$E$2,0)</f>
        <v>0</v>
      </c>
      <c r="AD53" s="2">
        <f>$O$8*SUM(G$11:G$12)/(365/12)*MAX(节奏总纲!H49-$E$2,0)</f>
        <v>0</v>
      </c>
      <c r="AE53" s="2">
        <f>$Q$8*SUM(C$11:C$12)/(365/12)*MAX(节奏总纲!D49-$E$2,0)</f>
        <v>0</v>
      </c>
      <c r="AF53" s="2">
        <f>$Q$8*SUM(D$11:D$12)/(365/12)*MAX(节奏总纲!E49-$E$2,0)</f>
        <v>0</v>
      </c>
      <c r="AG53" s="2">
        <f>$Q$8*SUM(E$11:E$12)/(365/12)*MAX(节奏总纲!F49-$E$2,0)</f>
        <v>0</v>
      </c>
      <c r="AH53" s="2">
        <f>$Q$8*SUM(F$11:F$12)/(365/12)*MAX(节奏总纲!G49-$E$2,0)</f>
        <v>0</v>
      </c>
      <c r="AI53" s="2">
        <f>$Q$8*SUM(G$11:G$12)/(365/12)*MAX(节奏总纲!H49-$E$2,0)</f>
        <v>0</v>
      </c>
      <c r="AJ53" s="2">
        <f>$P$8*SUM(C$11:C$12)/(365/12)*MAX(节奏总纲!D49-$E$2,0)</f>
        <v>0</v>
      </c>
      <c r="AK53" s="2">
        <f>$P$8*SUM(D$11:D$12)/(365/12)*MAX(节奏总纲!E49-$E$2,0)</f>
        <v>0</v>
      </c>
      <c r="AL53" s="2">
        <f>$P$8*SUM(E$11:E$12)/(365/12)*MAX(节奏总纲!F49-$E$2,0)</f>
        <v>0</v>
      </c>
      <c r="AM53" s="2">
        <f>$P$8*SUM(F$11:F$12)/(365/12)*MAX(节奏总纲!G49-$E$2,0)</f>
        <v>0</v>
      </c>
      <c r="AN53" s="2">
        <f>$P$8*SUM(G$11:G$12)/(365/12)*MAX(节奏总纲!H49-$E$2,0)</f>
        <v>0</v>
      </c>
      <c r="BC53" s="2">
        <v>46</v>
      </c>
      <c r="BD53" s="2">
        <f>$AZ$8/(365/12)*MAX(节奏总纲!D49-$E$2,0)</f>
        <v>0</v>
      </c>
      <c r="BE53" s="2">
        <f>$AZ$8/(365/12)*MAX(节奏总纲!E49-$E$2,0)</f>
        <v>0</v>
      </c>
      <c r="BF53" s="2">
        <f>$AZ$8/(365/12)*MAX(节奏总纲!F49-$E$2,0)</f>
        <v>0</v>
      </c>
      <c r="BG53" s="2">
        <f>$AZ$8/(365/12)*MAX(节奏总纲!G49-$E$2,0)</f>
        <v>0</v>
      </c>
      <c r="BH53" s="2">
        <f>$AZ$8/(365/12)*MAX(节奏总纲!H49-$E$2,0)</f>
        <v>0</v>
      </c>
      <c r="BI53" s="2">
        <f>$AY$8/(365/12)*MAX(节奏总纲!D49-$E$2,0)</f>
        <v>0</v>
      </c>
      <c r="BJ53" s="2">
        <f>$AY$8/(365/12)*MAX(节奏总纲!E49-$E$2,0)</f>
        <v>0</v>
      </c>
      <c r="BK53" s="2">
        <f>$AY$8/(365/12)*MAX(节奏总纲!F49-$E$2,0)</f>
        <v>0</v>
      </c>
      <c r="BL53" s="2">
        <f>$AY$8/(365/12)*MAX(节奏总纲!G49-$E$2,0)</f>
        <v>0</v>
      </c>
      <c r="BM53" s="2">
        <f>$AY$8/(365/12)*MAX(节奏总纲!H49-$E$2,0)</f>
        <v>0</v>
      </c>
      <c r="CD53" s="2">
        <v>46</v>
      </c>
      <c r="CE53" s="2">
        <f>INDEX($BY$8:$BY$15,MATCH(CE$7,$CB$8:$CB$15,0))*SUM(C$11:C$12)/(365/12)*MAX(节奏总纲!D49-$E$2,0)</f>
        <v>0</v>
      </c>
      <c r="CF53" s="2">
        <f>INDEX($BY$8:$BY$15,MATCH(CF$7,$CB$8:$CB$15,0))*SUM(D$11:D$12)/(365/12)*MAX(节奏总纲!E49-$E$2,0)</f>
        <v>0</v>
      </c>
      <c r="CG53" s="2">
        <f>INDEX($BY$8:$BY$15,MATCH(CG$7,$CB$8:$CB$15,0))*SUM(E$11:E$12)/(365/12)*MAX(节奏总纲!F49-$E$2,0)</f>
        <v>0</v>
      </c>
      <c r="CH53" s="2">
        <f>INDEX($BY$8:$BY$15,MATCH(CH$7,$CB$8:$CB$15,0))*SUM(F$11:F$12)/(365/12)*MAX(节奏总纲!G49-$E$2,0)</f>
        <v>0</v>
      </c>
      <c r="CI53" s="2">
        <f>INDEX($BY$8:$BY$15,MATCH(CI$7,$CB$8:$CB$15,0))*SUM(G$11:G$12)/(365/12)*MAX(节奏总纲!H49-$E$2,0)</f>
        <v>0</v>
      </c>
      <c r="CJ53" s="2">
        <f>INDEX($BZ$8:$BZ$15,MATCH(CE$7,$CB$8:$CB$15,0))*SUM(C$11:C$12)/(365/12)*MAX(节奏总纲!D49-$E$2,0)</f>
        <v>0</v>
      </c>
      <c r="CK53" s="2">
        <f>INDEX($BZ$8:$BZ$15,MATCH(CF$7,$CB$8:$CB$15,0))*SUM(D$11:D$12)/(365/12)*MAX(节奏总纲!E49-$E$2,0)</f>
        <v>0</v>
      </c>
      <c r="CL53" s="2">
        <f>INDEX($BZ$8:$BZ$15,MATCH(CG$7,$CB$8:$CB$15,0))*SUM(E$11:E$12)/(365/12)*MAX(节奏总纲!F49-$E$2,0)</f>
        <v>0</v>
      </c>
      <c r="CM53" s="2">
        <f>INDEX($BZ$8:$BZ$15,MATCH(CH$7,$CB$8:$CB$15,0))*SUM(F$11:F$12)/(365/12)*MAX(节奏总纲!G49-$E$2,0)</f>
        <v>0</v>
      </c>
      <c r="CN53" s="2">
        <f>INDEX($BZ$8:$BZ$15,MATCH(CI$7,$CB$8:$CB$15,0))*SUM(G$11:G$12)/(365/12)*MAX(节奏总纲!H49-$E$2,0)</f>
        <v>0</v>
      </c>
      <c r="CS53" s="2">
        <v>46</v>
      </c>
      <c r="CT53" s="2">
        <f t="shared" si="41"/>
        <v>0</v>
      </c>
      <c r="CU53" s="2">
        <f t="shared" si="42"/>
        <v>0</v>
      </c>
      <c r="CV53" s="2">
        <f t="shared" si="43"/>
        <v>0</v>
      </c>
      <c r="CW53" s="2">
        <f t="shared" si="44"/>
        <v>0</v>
      </c>
      <c r="CX53" s="2">
        <f t="shared" si="45"/>
        <v>0</v>
      </c>
      <c r="CZ53" s="41" t="e">
        <f t="shared" si="46"/>
        <v>#DIV/0!</v>
      </c>
      <c r="DA53" s="41" t="e">
        <f t="shared" si="47"/>
        <v>#DIV/0!</v>
      </c>
      <c r="DB53" s="41" t="e">
        <f t="shared" si="48"/>
        <v>#DIV/0!</v>
      </c>
      <c r="DD53" s="41" t="e">
        <f t="shared" si="49"/>
        <v>#DIV/0!</v>
      </c>
      <c r="DE53" s="41" t="e">
        <f t="shared" si="50"/>
        <v>#DIV/0!</v>
      </c>
      <c r="DF53" s="41" t="e">
        <f t="shared" si="51"/>
        <v>#DIV/0!</v>
      </c>
      <c r="DH53" s="41" t="e">
        <f t="shared" si="52"/>
        <v>#DIV/0!</v>
      </c>
      <c r="DI53" s="41" t="e">
        <f t="shared" si="53"/>
        <v>#DIV/0!</v>
      </c>
      <c r="DJ53" s="41" t="e">
        <f t="shared" si="54"/>
        <v>#DIV/0!</v>
      </c>
      <c r="DL53" s="2">
        <f>CT53/节奏总纲!D49</f>
        <v>0</v>
      </c>
      <c r="DM53" s="2">
        <f>CU53/节奏总纲!E49</f>
        <v>0</v>
      </c>
      <c r="DN53" s="2">
        <f>CV53/节奏总纲!F49</f>
        <v>0</v>
      </c>
      <c r="DO53" s="2">
        <f>CW53/节奏总纲!G49</f>
        <v>0</v>
      </c>
      <c r="DP53" s="2">
        <f>CX53/节奏总纲!H49</f>
        <v>0</v>
      </c>
      <c r="DR53" s="2" t="e">
        <f t="shared" si="55"/>
        <v>#DIV/0!</v>
      </c>
      <c r="DS53" s="2" t="e">
        <f t="shared" si="56"/>
        <v>#DIV/0!</v>
      </c>
      <c r="DT53" s="2" t="e">
        <f t="shared" si="57"/>
        <v>#DIV/0!</v>
      </c>
      <c r="DU53" s="2" t="e">
        <f t="shared" si="58"/>
        <v>#DIV/0!</v>
      </c>
      <c r="DY53" s="2">
        <v>46</v>
      </c>
      <c r="DZ53" s="2">
        <f t="shared" si="22"/>
        <v>0</v>
      </c>
      <c r="EA53" s="2">
        <f t="shared" si="23"/>
        <v>0</v>
      </c>
      <c r="EB53" s="2">
        <f t="shared" si="24"/>
        <v>0</v>
      </c>
      <c r="EC53" s="2">
        <f t="shared" si="25"/>
        <v>0</v>
      </c>
      <c r="ED53" s="2">
        <f t="shared" si="26"/>
        <v>0</v>
      </c>
      <c r="EF53" s="57" t="e">
        <f t="shared" si="27"/>
        <v>#DIV/0!</v>
      </c>
      <c r="EG53" s="57" t="e">
        <f t="shared" si="28"/>
        <v>#DIV/0!</v>
      </c>
      <c r="EH53" s="41" t="e">
        <f t="shared" si="29"/>
        <v>#DIV/0!</v>
      </c>
      <c r="EJ53" s="57" t="e">
        <f t="shared" si="30"/>
        <v>#DIV/0!</v>
      </c>
      <c r="EK53" s="57" t="e">
        <f t="shared" si="31"/>
        <v>#DIV/0!</v>
      </c>
      <c r="EL53" s="41" t="e">
        <f t="shared" si="32"/>
        <v>#DIV/0!</v>
      </c>
      <c r="EN53" s="57" t="e">
        <f t="shared" si="33"/>
        <v>#DIV/0!</v>
      </c>
      <c r="EO53" s="57" t="e">
        <f t="shared" si="34"/>
        <v>#DIV/0!</v>
      </c>
      <c r="EP53" s="41" t="e">
        <f t="shared" si="35"/>
        <v>#DIV/0!</v>
      </c>
    </row>
    <row r="54" spans="20:146" x14ac:dyDescent="0.15">
      <c r="T54" s="2">
        <v>47</v>
      </c>
      <c r="U54" s="2">
        <f>$N$8*SUM(C$11:C$12)/(365/12)*MAX(节奏总纲!D50-$E$2,0)</f>
        <v>0</v>
      </c>
      <c r="V54" s="2">
        <f>$N$8*SUM(D$11:D$12)/(365/12)*MAX(节奏总纲!E50-$E$2,0)</f>
        <v>0</v>
      </c>
      <c r="W54" s="2">
        <f>$N$8*SUM(E$11:E$12)/(365/12)*MAX(节奏总纲!F50-$E$2,0)</f>
        <v>0</v>
      </c>
      <c r="X54" s="2">
        <f>$N$8*SUM(F$11:F$12)/(365/12)*MAX(节奏总纲!G50-$E$2,0)</f>
        <v>0</v>
      </c>
      <c r="Y54" s="2">
        <f>$N$8*SUM(G$11:G$12)/(365/12)*MAX(节奏总纲!H50-$E$2,0)</f>
        <v>0</v>
      </c>
      <c r="Z54" s="2">
        <f>$O$8*SUM(C$11:C$12)/(365/12)*MAX(节奏总纲!D50-$E$2,0)</f>
        <v>0</v>
      </c>
      <c r="AA54" s="2">
        <f>$O$8*SUM(D$11:D$12)/(365/12)*MAX(节奏总纲!E50-$E$2,0)</f>
        <v>0</v>
      </c>
      <c r="AB54" s="2">
        <f>$O$8*SUM(E$11:E$12)/(365/12)*MAX(节奏总纲!F50-$E$2,0)</f>
        <v>0</v>
      </c>
      <c r="AC54" s="2">
        <f>$O$8*SUM(F$11:F$12)/(365/12)*MAX(节奏总纲!G50-$E$2,0)</f>
        <v>0</v>
      </c>
      <c r="AD54" s="2">
        <f>$O$8*SUM(G$11:G$12)/(365/12)*MAX(节奏总纲!H50-$E$2,0)</f>
        <v>0</v>
      </c>
      <c r="AE54" s="2">
        <f>$Q$8*SUM(C$11:C$12)/(365/12)*MAX(节奏总纲!D50-$E$2,0)</f>
        <v>0</v>
      </c>
      <c r="AF54" s="2">
        <f>$Q$8*SUM(D$11:D$12)/(365/12)*MAX(节奏总纲!E50-$E$2,0)</f>
        <v>0</v>
      </c>
      <c r="AG54" s="2">
        <f>$Q$8*SUM(E$11:E$12)/(365/12)*MAX(节奏总纲!F50-$E$2,0)</f>
        <v>0</v>
      </c>
      <c r="AH54" s="2">
        <f>$Q$8*SUM(F$11:F$12)/(365/12)*MAX(节奏总纲!G50-$E$2,0)</f>
        <v>0</v>
      </c>
      <c r="AI54" s="2">
        <f>$Q$8*SUM(G$11:G$12)/(365/12)*MAX(节奏总纲!H50-$E$2,0)</f>
        <v>0</v>
      </c>
      <c r="AJ54" s="2">
        <f>$P$8*SUM(C$11:C$12)/(365/12)*MAX(节奏总纲!D50-$E$2,0)</f>
        <v>0</v>
      </c>
      <c r="AK54" s="2">
        <f>$P$8*SUM(D$11:D$12)/(365/12)*MAX(节奏总纲!E50-$E$2,0)</f>
        <v>0</v>
      </c>
      <c r="AL54" s="2">
        <f>$P$8*SUM(E$11:E$12)/(365/12)*MAX(节奏总纲!F50-$E$2,0)</f>
        <v>0</v>
      </c>
      <c r="AM54" s="2">
        <f>$P$8*SUM(F$11:F$12)/(365/12)*MAX(节奏总纲!G50-$E$2,0)</f>
        <v>0</v>
      </c>
      <c r="AN54" s="2">
        <f>$P$8*SUM(G$11:G$12)/(365/12)*MAX(节奏总纲!H50-$E$2,0)</f>
        <v>0</v>
      </c>
      <c r="BC54" s="2">
        <v>47</v>
      </c>
      <c r="BD54" s="2">
        <f>$AZ$8/(365/12)*MAX(节奏总纲!D50-$E$2,0)</f>
        <v>0</v>
      </c>
      <c r="BE54" s="2">
        <f>$AZ$8/(365/12)*MAX(节奏总纲!E50-$E$2,0)</f>
        <v>0</v>
      </c>
      <c r="BF54" s="2">
        <f>$AZ$8/(365/12)*MAX(节奏总纲!F50-$E$2,0)</f>
        <v>0</v>
      </c>
      <c r="BG54" s="2">
        <f>$AZ$8/(365/12)*MAX(节奏总纲!G50-$E$2,0)</f>
        <v>0</v>
      </c>
      <c r="BH54" s="2">
        <f>$AZ$8/(365/12)*MAX(节奏总纲!H50-$E$2,0)</f>
        <v>0</v>
      </c>
      <c r="BI54" s="2">
        <f>$AY$8/(365/12)*MAX(节奏总纲!D50-$E$2,0)</f>
        <v>0</v>
      </c>
      <c r="BJ54" s="2">
        <f>$AY$8/(365/12)*MAX(节奏总纲!E50-$E$2,0)</f>
        <v>0</v>
      </c>
      <c r="BK54" s="2">
        <f>$AY$8/(365/12)*MAX(节奏总纲!F50-$E$2,0)</f>
        <v>0</v>
      </c>
      <c r="BL54" s="2">
        <f>$AY$8/(365/12)*MAX(节奏总纲!G50-$E$2,0)</f>
        <v>0</v>
      </c>
      <c r="BM54" s="2">
        <f>$AY$8/(365/12)*MAX(节奏总纲!H50-$E$2,0)</f>
        <v>0</v>
      </c>
      <c r="CD54" s="2">
        <v>47</v>
      </c>
      <c r="CE54" s="2">
        <f>INDEX($BY$8:$BY$15,MATCH(CE$7,$CB$8:$CB$15,0))*SUM(C$11:C$12)/(365/12)*MAX(节奏总纲!D50-$E$2,0)</f>
        <v>0</v>
      </c>
      <c r="CF54" s="2">
        <f>INDEX($BY$8:$BY$15,MATCH(CF$7,$CB$8:$CB$15,0))*SUM(D$11:D$12)/(365/12)*MAX(节奏总纲!E50-$E$2,0)</f>
        <v>0</v>
      </c>
      <c r="CG54" s="2">
        <f>INDEX($BY$8:$BY$15,MATCH(CG$7,$CB$8:$CB$15,0))*SUM(E$11:E$12)/(365/12)*MAX(节奏总纲!F50-$E$2,0)</f>
        <v>0</v>
      </c>
      <c r="CH54" s="2">
        <f>INDEX($BY$8:$BY$15,MATCH(CH$7,$CB$8:$CB$15,0))*SUM(F$11:F$12)/(365/12)*MAX(节奏总纲!G50-$E$2,0)</f>
        <v>0</v>
      </c>
      <c r="CI54" s="2">
        <f>INDEX($BY$8:$BY$15,MATCH(CI$7,$CB$8:$CB$15,0))*SUM(G$11:G$12)/(365/12)*MAX(节奏总纲!H50-$E$2,0)</f>
        <v>0</v>
      </c>
      <c r="CJ54" s="2">
        <f>INDEX($BZ$8:$BZ$15,MATCH(CE$7,$CB$8:$CB$15,0))*SUM(C$11:C$12)/(365/12)*MAX(节奏总纲!D50-$E$2,0)</f>
        <v>0</v>
      </c>
      <c r="CK54" s="2">
        <f>INDEX($BZ$8:$BZ$15,MATCH(CF$7,$CB$8:$CB$15,0))*SUM(D$11:D$12)/(365/12)*MAX(节奏总纲!E50-$E$2,0)</f>
        <v>0</v>
      </c>
      <c r="CL54" s="2">
        <f>INDEX($BZ$8:$BZ$15,MATCH(CG$7,$CB$8:$CB$15,0))*SUM(E$11:E$12)/(365/12)*MAX(节奏总纲!F50-$E$2,0)</f>
        <v>0</v>
      </c>
      <c r="CM54" s="2">
        <f>INDEX($BZ$8:$BZ$15,MATCH(CH$7,$CB$8:$CB$15,0))*SUM(F$11:F$12)/(365/12)*MAX(节奏总纲!G50-$E$2,0)</f>
        <v>0</v>
      </c>
      <c r="CN54" s="2">
        <f>INDEX($BZ$8:$BZ$15,MATCH(CI$7,$CB$8:$CB$15,0))*SUM(G$11:G$12)/(365/12)*MAX(节奏总纲!H50-$E$2,0)</f>
        <v>0</v>
      </c>
      <c r="CS54" s="2">
        <v>47</v>
      </c>
      <c r="CT54" s="2">
        <f t="shared" si="41"/>
        <v>0</v>
      </c>
      <c r="CU54" s="2">
        <f t="shared" si="42"/>
        <v>0</v>
      </c>
      <c r="CV54" s="2">
        <f t="shared" si="43"/>
        <v>0</v>
      </c>
      <c r="CW54" s="2">
        <f t="shared" si="44"/>
        <v>0</v>
      </c>
      <c r="CX54" s="2">
        <f t="shared" si="45"/>
        <v>0</v>
      </c>
      <c r="CZ54" s="41" t="e">
        <f t="shared" si="46"/>
        <v>#DIV/0!</v>
      </c>
      <c r="DA54" s="41" t="e">
        <f t="shared" si="47"/>
        <v>#DIV/0!</v>
      </c>
      <c r="DB54" s="41" t="e">
        <f t="shared" si="48"/>
        <v>#DIV/0!</v>
      </c>
      <c r="DD54" s="41" t="e">
        <f t="shared" si="49"/>
        <v>#DIV/0!</v>
      </c>
      <c r="DE54" s="41" t="e">
        <f t="shared" si="50"/>
        <v>#DIV/0!</v>
      </c>
      <c r="DF54" s="41" t="e">
        <f t="shared" si="51"/>
        <v>#DIV/0!</v>
      </c>
      <c r="DH54" s="41" t="e">
        <f t="shared" si="52"/>
        <v>#DIV/0!</v>
      </c>
      <c r="DI54" s="41" t="e">
        <f t="shared" si="53"/>
        <v>#DIV/0!</v>
      </c>
      <c r="DJ54" s="41" t="e">
        <f t="shared" si="54"/>
        <v>#DIV/0!</v>
      </c>
      <c r="DL54" s="2">
        <f>CT54/节奏总纲!D50</f>
        <v>0</v>
      </c>
      <c r="DM54" s="2">
        <f>CU54/节奏总纲!E50</f>
        <v>0</v>
      </c>
      <c r="DN54" s="2">
        <f>CV54/节奏总纲!F50</f>
        <v>0</v>
      </c>
      <c r="DO54" s="2">
        <f>CW54/节奏总纲!G50</f>
        <v>0</v>
      </c>
      <c r="DP54" s="2">
        <f>CX54/节奏总纲!H50</f>
        <v>0</v>
      </c>
      <c r="DR54" s="2" t="e">
        <f t="shared" si="55"/>
        <v>#DIV/0!</v>
      </c>
      <c r="DS54" s="2" t="e">
        <f t="shared" si="56"/>
        <v>#DIV/0!</v>
      </c>
      <c r="DT54" s="2" t="e">
        <f t="shared" si="57"/>
        <v>#DIV/0!</v>
      </c>
      <c r="DU54" s="2" t="e">
        <f t="shared" si="58"/>
        <v>#DIV/0!</v>
      </c>
      <c r="DY54" s="2">
        <v>47</v>
      </c>
      <c r="DZ54" s="2">
        <f t="shared" si="22"/>
        <v>0</v>
      </c>
      <c r="EA54" s="2">
        <f t="shared" si="23"/>
        <v>0</v>
      </c>
      <c r="EB54" s="2">
        <f t="shared" si="24"/>
        <v>0</v>
      </c>
      <c r="EC54" s="2">
        <f t="shared" si="25"/>
        <v>0</v>
      </c>
      <c r="ED54" s="2">
        <f t="shared" si="26"/>
        <v>0</v>
      </c>
      <c r="EF54" s="57" t="e">
        <f t="shared" si="27"/>
        <v>#DIV/0!</v>
      </c>
      <c r="EG54" s="57" t="e">
        <f t="shared" si="28"/>
        <v>#DIV/0!</v>
      </c>
      <c r="EH54" s="41" t="e">
        <f t="shared" si="29"/>
        <v>#DIV/0!</v>
      </c>
      <c r="EJ54" s="57" t="e">
        <f t="shared" si="30"/>
        <v>#DIV/0!</v>
      </c>
      <c r="EK54" s="57" t="e">
        <f t="shared" si="31"/>
        <v>#DIV/0!</v>
      </c>
      <c r="EL54" s="41" t="e">
        <f t="shared" si="32"/>
        <v>#DIV/0!</v>
      </c>
      <c r="EN54" s="57" t="e">
        <f t="shared" si="33"/>
        <v>#DIV/0!</v>
      </c>
      <c r="EO54" s="57" t="e">
        <f t="shared" si="34"/>
        <v>#DIV/0!</v>
      </c>
      <c r="EP54" s="41" t="e">
        <f t="shared" si="35"/>
        <v>#DIV/0!</v>
      </c>
    </row>
    <row r="55" spans="20:146" x14ac:dyDescent="0.15">
      <c r="T55" s="2">
        <v>48</v>
      </c>
      <c r="U55" s="2">
        <f>$N$8*SUM(C$11:C$12)/(365/12)*MAX(节奏总纲!D51-$E$2,0)</f>
        <v>0</v>
      </c>
      <c r="V55" s="2">
        <f>$N$8*SUM(D$11:D$12)/(365/12)*MAX(节奏总纲!E51-$E$2,0)</f>
        <v>0</v>
      </c>
      <c r="W55" s="2">
        <f>$N$8*SUM(E$11:E$12)/(365/12)*MAX(节奏总纲!F51-$E$2,0)</f>
        <v>0</v>
      </c>
      <c r="X55" s="2">
        <f>$N$8*SUM(F$11:F$12)/(365/12)*MAX(节奏总纲!G51-$E$2,0)</f>
        <v>0</v>
      </c>
      <c r="Y55" s="2">
        <f>$N$8*SUM(G$11:G$12)/(365/12)*MAX(节奏总纲!H51-$E$2,0)</f>
        <v>0</v>
      </c>
      <c r="Z55" s="2">
        <f>$O$8*SUM(C$11:C$12)/(365/12)*MAX(节奏总纲!D51-$E$2,0)</f>
        <v>0</v>
      </c>
      <c r="AA55" s="2">
        <f>$O$8*SUM(D$11:D$12)/(365/12)*MAX(节奏总纲!E51-$E$2,0)</f>
        <v>0</v>
      </c>
      <c r="AB55" s="2">
        <f>$O$8*SUM(E$11:E$12)/(365/12)*MAX(节奏总纲!F51-$E$2,0)</f>
        <v>0</v>
      </c>
      <c r="AC55" s="2">
        <f>$O$8*SUM(F$11:F$12)/(365/12)*MAX(节奏总纲!G51-$E$2,0)</f>
        <v>0</v>
      </c>
      <c r="AD55" s="2">
        <f>$O$8*SUM(G$11:G$12)/(365/12)*MAX(节奏总纲!H51-$E$2,0)</f>
        <v>0</v>
      </c>
      <c r="AE55" s="2">
        <f>$Q$8*SUM(C$11:C$12)/(365/12)*MAX(节奏总纲!D51-$E$2,0)</f>
        <v>0</v>
      </c>
      <c r="AF55" s="2">
        <f>$Q$8*SUM(D$11:D$12)/(365/12)*MAX(节奏总纲!E51-$E$2,0)</f>
        <v>0</v>
      </c>
      <c r="AG55" s="2">
        <f>$Q$8*SUM(E$11:E$12)/(365/12)*MAX(节奏总纲!F51-$E$2,0)</f>
        <v>0</v>
      </c>
      <c r="AH55" s="2">
        <f>$Q$8*SUM(F$11:F$12)/(365/12)*MAX(节奏总纲!G51-$E$2,0)</f>
        <v>0</v>
      </c>
      <c r="AI55" s="2">
        <f>$Q$8*SUM(G$11:G$12)/(365/12)*MAX(节奏总纲!H51-$E$2,0)</f>
        <v>0</v>
      </c>
      <c r="AJ55" s="2">
        <f>$P$8*SUM(C$11:C$12)/(365/12)*MAX(节奏总纲!D51-$E$2,0)</f>
        <v>0</v>
      </c>
      <c r="AK55" s="2">
        <f>$P$8*SUM(D$11:D$12)/(365/12)*MAX(节奏总纲!E51-$E$2,0)</f>
        <v>0</v>
      </c>
      <c r="AL55" s="2">
        <f>$P$8*SUM(E$11:E$12)/(365/12)*MAX(节奏总纲!F51-$E$2,0)</f>
        <v>0</v>
      </c>
      <c r="AM55" s="2">
        <f>$P$8*SUM(F$11:F$12)/(365/12)*MAX(节奏总纲!G51-$E$2,0)</f>
        <v>0</v>
      </c>
      <c r="AN55" s="2">
        <f>$P$8*SUM(G$11:G$12)/(365/12)*MAX(节奏总纲!H51-$E$2,0)</f>
        <v>0</v>
      </c>
      <c r="BC55" s="2">
        <v>48</v>
      </c>
      <c r="BD55" s="2">
        <f>$AZ$8/(365/12)*MAX(节奏总纲!D51-$E$2,0)</f>
        <v>0</v>
      </c>
      <c r="BE55" s="2">
        <f>$AZ$8/(365/12)*MAX(节奏总纲!E51-$E$2,0)</f>
        <v>0</v>
      </c>
      <c r="BF55" s="2">
        <f>$AZ$8/(365/12)*MAX(节奏总纲!F51-$E$2,0)</f>
        <v>0</v>
      </c>
      <c r="BG55" s="2">
        <f>$AZ$8/(365/12)*MAX(节奏总纲!G51-$E$2,0)</f>
        <v>0</v>
      </c>
      <c r="BH55" s="2">
        <f>$AZ$8/(365/12)*MAX(节奏总纲!H51-$E$2,0)</f>
        <v>0</v>
      </c>
      <c r="BI55" s="2">
        <f>$AY$8/(365/12)*MAX(节奏总纲!D51-$E$2,0)</f>
        <v>0</v>
      </c>
      <c r="BJ55" s="2">
        <f>$AY$8/(365/12)*MAX(节奏总纲!E51-$E$2,0)</f>
        <v>0</v>
      </c>
      <c r="BK55" s="2">
        <f>$AY$8/(365/12)*MAX(节奏总纲!F51-$E$2,0)</f>
        <v>0</v>
      </c>
      <c r="BL55" s="2">
        <f>$AY$8/(365/12)*MAX(节奏总纲!G51-$E$2,0)</f>
        <v>0</v>
      </c>
      <c r="BM55" s="2">
        <f>$AY$8/(365/12)*MAX(节奏总纲!H51-$E$2,0)</f>
        <v>0</v>
      </c>
      <c r="CD55" s="2">
        <v>48</v>
      </c>
      <c r="CE55" s="2">
        <f>INDEX($BY$8:$BY$15,MATCH(CE$7,$CB$8:$CB$15,0))*SUM(C$11:C$12)/(365/12)*MAX(节奏总纲!D51-$E$2,0)</f>
        <v>0</v>
      </c>
      <c r="CF55" s="2">
        <f>INDEX($BY$8:$BY$15,MATCH(CF$7,$CB$8:$CB$15,0))*SUM(D$11:D$12)/(365/12)*MAX(节奏总纲!E51-$E$2,0)</f>
        <v>0</v>
      </c>
      <c r="CG55" s="2">
        <f>INDEX($BY$8:$BY$15,MATCH(CG$7,$CB$8:$CB$15,0))*SUM(E$11:E$12)/(365/12)*MAX(节奏总纲!F51-$E$2,0)</f>
        <v>0</v>
      </c>
      <c r="CH55" s="2">
        <f>INDEX($BY$8:$BY$15,MATCH(CH$7,$CB$8:$CB$15,0))*SUM(F$11:F$12)/(365/12)*MAX(节奏总纲!G51-$E$2,0)</f>
        <v>0</v>
      </c>
      <c r="CI55" s="2">
        <f>INDEX($BY$8:$BY$15,MATCH(CI$7,$CB$8:$CB$15,0))*SUM(G$11:G$12)/(365/12)*MAX(节奏总纲!H51-$E$2,0)</f>
        <v>0</v>
      </c>
      <c r="CJ55" s="2">
        <f>INDEX($BZ$8:$BZ$15,MATCH(CE$7,$CB$8:$CB$15,0))*SUM(C$11:C$12)/(365/12)*MAX(节奏总纲!D51-$E$2,0)</f>
        <v>0</v>
      </c>
      <c r="CK55" s="2">
        <f>INDEX($BZ$8:$BZ$15,MATCH(CF$7,$CB$8:$CB$15,0))*SUM(D$11:D$12)/(365/12)*MAX(节奏总纲!E51-$E$2,0)</f>
        <v>0</v>
      </c>
      <c r="CL55" s="2">
        <f>INDEX($BZ$8:$BZ$15,MATCH(CG$7,$CB$8:$CB$15,0))*SUM(E$11:E$12)/(365/12)*MAX(节奏总纲!F51-$E$2,0)</f>
        <v>0</v>
      </c>
      <c r="CM55" s="2">
        <f>INDEX($BZ$8:$BZ$15,MATCH(CH$7,$CB$8:$CB$15,0))*SUM(F$11:F$12)/(365/12)*MAX(节奏总纲!G51-$E$2,0)</f>
        <v>0</v>
      </c>
      <c r="CN55" s="2">
        <f>INDEX($BZ$8:$BZ$15,MATCH(CI$7,$CB$8:$CB$15,0))*SUM(G$11:G$12)/(365/12)*MAX(节奏总纲!H51-$E$2,0)</f>
        <v>0</v>
      </c>
      <c r="CS55" s="2">
        <v>48</v>
      </c>
      <c r="CT55" s="2">
        <f t="shared" si="41"/>
        <v>0</v>
      </c>
      <c r="CU55" s="2">
        <f t="shared" si="42"/>
        <v>0</v>
      </c>
      <c r="CV55" s="2">
        <f t="shared" si="43"/>
        <v>0</v>
      </c>
      <c r="CW55" s="2">
        <f t="shared" si="44"/>
        <v>0</v>
      </c>
      <c r="CX55" s="2">
        <f t="shared" si="45"/>
        <v>0</v>
      </c>
      <c r="CZ55" s="41" t="e">
        <f t="shared" si="46"/>
        <v>#DIV/0!</v>
      </c>
      <c r="DA55" s="41" t="e">
        <f t="shared" si="47"/>
        <v>#DIV/0!</v>
      </c>
      <c r="DB55" s="41" t="e">
        <f t="shared" si="48"/>
        <v>#DIV/0!</v>
      </c>
      <c r="DD55" s="41" t="e">
        <f t="shared" si="49"/>
        <v>#DIV/0!</v>
      </c>
      <c r="DE55" s="41" t="e">
        <f t="shared" si="50"/>
        <v>#DIV/0!</v>
      </c>
      <c r="DF55" s="41" t="e">
        <f t="shared" si="51"/>
        <v>#DIV/0!</v>
      </c>
      <c r="DH55" s="41" t="e">
        <f t="shared" si="52"/>
        <v>#DIV/0!</v>
      </c>
      <c r="DI55" s="41" t="e">
        <f t="shared" si="53"/>
        <v>#DIV/0!</v>
      </c>
      <c r="DJ55" s="41" t="e">
        <f t="shared" si="54"/>
        <v>#DIV/0!</v>
      </c>
      <c r="DL55" s="2">
        <f>CT55/节奏总纲!D51</f>
        <v>0</v>
      </c>
      <c r="DM55" s="2">
        <f>CU55/节奏总纲!E51</f>
        <v>0</v>
      </c>
      <c r="DN55" s="2">
        <f>CV55/节奏总纲!F51</f>
        <v>0</v>
      </c>
      <c r="DO55" s="2">
        <f>CW55/节奏总纲!G51</f>
        <v>0</v>
      </c>
      <c r="DP55" s="2">
        <f>CX55/节奏总纲!H51</f>
        <v>0</v>
      </c>
      <c r="DR55" s="2" t="e">
        <f t="shared" si="55"/>
        <v>#DIV/0!</v>
      </c>
      <c r="DS55" s="2" t="e">
        <f t="shared" si="56"/>
        <v>#DIV/0!</v>
      </c>
      <c r="DT55" s="2" t="e">
        <f t="shared" si="57"/>
        <v>#DIV/0!</v>
      </c>
      <c r="DU55" s="2" t="e">
        <f t="shared" si="58"/>
        <v>#DIV/0!</v>
      </c>
      <c r="DY55" s="2">
        <v>48</v>
      </c>
      <c r="DZ55" s="2">
        <f t="shared" si="22"/>
        <v>0</v>
      </c>
      <c r="EA55" s="2">
        <f t="shared" si="23"/>
        <v>0</v>
      </c>
      <c r="EB55" s="2">
        <f t="shared" si="24"/>
        <v>0</v>
      </c>
      <c r="EC55" s="2">
        <f t="shared" si="25"/>
        <v>0</v>
      </c>
      <c r="ED55" s="2">
        <f t="shared" si="26"/>
        <v>0</v>
      </c>
      <c r="EF55" s="57" t="e">
        <f t="shared" si="27"/>
        <v>#DIV/0!</v>
      </c>
      <c r="EG55" s="57" t="e">
        <f t="shared" si="28"/>
        <v>#DIV/0!</v>
      </c>
      <c r="EH55" s="41" t="e">
        <f t="shared" si="29"/>
        <v>#DIV/0!</v>
      </c>
      <c r="EJ55" s="57" t="e">
        <f t="shared" si="30"/>
        <v>#DIV/0!</v>
      </c>
      <c r="EK55" s="57" t="e">
        <f t="shared" si="31"/>
        <v>#DIV/0!</v>
      </c>
      <c r="EL55" s="41" t="e">
        <f t="shared" si="32"/>
        <v>#DIV/0!</v>
      </c>
      <c r="EN55" s="57" t="e">
        <f t="shared" si="33"/>
        <v>#DIV/0!</v>
      </c>
      <c r="EO55" s="57" t="e">
        <f t="shared" si="34"/>
        <v>#DIV/0!</v>
      </c>
      <c r="EP55" s="41" t="e">
        <f t="shared" si="35"/>
        <v>#DIV/0!</v>
      </c>
    </row>
    <row r="56" spans="20:146" x14ac:dyDescent="0.15">
      <c r="T56" s="2">
        <v>49</v>
      </c>
      <c r="U56" s="2">
        <f>$N$8*SUM(C$11:C$12)/(365/12)*MAX(节奏总纲!D52-$E$2,0)</f>
        <v>0</v>
      </c>
      <c r="V56" s="2">
        <f>$N$8*SUM(D$11:D$12)/(365/12)*MAX(节奏总纲!E52-$E$2,0)</f>
        <v>0</v>
      </c>
      <c r="W56" s="2">
        <f>$N$8*SUM(E$11:E$12)/(365/12)*MAX(节奏总纲!F52-$E$2,0)</f>
        <v>0</v>
      </c>
      <c r="X56" s="2">
        <f>$N$8*SUM(F$11:F$12)/(365/12)*MAX(节奏总纲!G52-$E$2,0)</f>
        <v>0</v>
      </c>
      <c r="Y56" s="2">
        <f>$N$8*SUM(G$11:G$12)/(365/12)*MAX(节奏总纲!H52-$E$2,0)</f>
        <v>0</v>
      </c>
      <c r="Z56" s="2">
        <f>$O$8*SUM(C$11:C$12)/(365/12)*MAX(节奏总纲!D52-$E$2,0)</f>
        <v>0</v>
      </c>
      <c r="AA56" s="2">
        <f>$O$8*SUM(D$11:D$12)/(365/12)*MAX(节奏总纲!E52-$E$2,0)</f>
        <v>0</v>
      </c>
      <c r="AB56" s="2">
        <f>$O$8*SUM(E$11:E$12)/(365/12)*MAX(节奏总纲!F52-$E$2,0)</f>
        <v>0</v>
      </c>
      <c r="AC56" s="2">
        <f>$O$8*SUM(F$11:F$12)/(365/12)*MAX(节奏总纲!G52-$E$2,0)</f>
        <v>0</v>
      </c>
      <c r="AD56" s="2">
        <f>$O$8*SUM(G$11:G$12)/(365/12)*MAX(节奏总纲!H52-$E$2,0)</f>
        <v>0</v>
      </c>
      <c r="AE56" s="2">
        <f>$Q$8*SUM(C$11:C$12)/(365/12)*MAX(节奏总纲!D52-$E$2,0)</f>
        <v>0</v>
      </c>
      <c r="AF56" s="2">
        <f>$Q$8*SUM(D$11:D$12)/(365/12)*MAX(节奏总纲!E52-$E$2,0)</f>
        <v>0</v>
      </c>
      <c r="AG56" s="2">
        <f>$Q$8*SUM(E$11:E$12)/(365/12)*MAX(节奏总纲!F52-$E$2,0)</f>
        <v>0</v>
      </c>
      <c r="AH56" s="2">
        <f>$Q$8*SUM(F$11:F$12)/(365/12)*MAX(节奏总纲!G52-$E$2,0)</f>
        <v>0</v>
      </c>
      <c r="AI56" s="2">
        <f>$Q$8*SUM(G$11:G$12)/(365/12)*MAX(节奏总纲!H52-$E$2,0)</f>
        <v>0</v>
      </c>
      <c r="AJ56" s="2">
        <f>$P$8*SUM(C$11:C$12)/(365/12)*MAX(节奏总纲!D52-$E$2,0)</f>
        <v>0</v>
      </c>
      <c r="AK56" s="2">
        <f>$P$8*SUM(D$11:D$12)/(365/12)*MAX(节奏总纲!E52-$E$2,0)</f>
        <v>0</v>
      </c>
      <c r="AL56" s="2">
        <f>$P$8*SUM(E$11:E$12)/(365/12)*MAX(节奏总纲!F52-$E$2,0)</f>
        <v>0</v>
      </c>
      <c r="AM56" s="2">
        <f>$P$8*SUM(F$11:F$12)/(365/12)*MAX(节奏总纲!G52-$E$2,0)</f>
        <v>0</v>
      </c>
      <c r="AN56" s="2">
        <f>$P$8*SUM(G$11:G$12)/(365/12)*MAX(节奏总纲!H52-$E$2,0)</f>
        <v>0</v>
      </c>
      <c r="BC56" s="2">
        <v>49</v>
      </c>
      <c r="BD56" s="2">
        <f>$AZ$8/(365/12)*MAX(节奏总纲!D52-$E$2,0)</f>
        <v>0</v>
      </c>
      <c r="BE56" s="2">
        <f>$AZ$8/(365/12)*MAX(节奏总纲!E52-$E$2,0)</f>
        <v>0</v>
      </c>
      <c r="BF56" s="2">
        <f>$AZ$8/(365/12)*MAX(节奏总纲!F52-$E$2,0)</f>
        <v>0</v>
      </c>
      <c r="BG56" s="2">
        <f>$AZ$8/(365/12)*MAX(节奏总纲!G52-$E$2,0)</f>
        <v>0</v>
      </c>
      <c r="BH56" s="2">
        <f>$AZ$8/(365/12)*MAX(节奏总纲!H52-$E$2,0)</f>
        <v>0</v>
      </c>
      <c r="BI56" s="2">
        <f>$AY$8/(365/12)*MAX(节奏总纲!D52-$E$2,0)</f>
        <v>0</v>
      </c>
      <c r="BJ56" s="2">
        <f>$AY$8/(365/12)*MAX(节奏总纲!E52-$E$2,0)</f>
        <v>0</v>
      </c>
      <c r="BK56" s="2">
        <f>$AY$8/(365/12)*MAX(节奏总纲!F52-$E$2,0)</f>
        <v>0</v>
      </c>
      <c r="BL56" s="2">
        <f>$AY$8/(365/12)*MAX(节奏总纲!G52-$E$2,0)</f>
        <v>0</v>
      </c>
      <c r="BM56" s="2">
        <f>$AY$8/(365/12)*MAX(节奏总纲!H52-$E$2,0)</f>
        <v>0</v>
      </c>
      <c r="CD56" s="2">
        <v>49</v>
      </c>
      <c r="CE56" s="2">
        <f>INDEX($BY$8:$BY$15,MATCH(CE$7,$CB$8:$CB$15,0))*SUM(C$11:C$12)/(365/12)*MAX(节奏总纲!D52-$E$2,0)</f>
        <v>0</v>
      </c>
      <c r="CF56" s="2">
        <f>INDEX($BY$8:$BY$15,MATCH(CF$7,$CB$8:$CB$15,0))*SUM(D$11:D$12)/(365/12)*MAX(节奏总纲!E52-$E$2,0)</f>
        <v>0</v>
      </c>
      <c r="CG56" s="2">
        <f>INDEX($BY$8:$BY$15,MATCH(CG$7,$CB$8:$CB$15,0))*SUM(E$11:E$12)/(365/12)*MAX(节奏总纲!F52-$E$2,0)</f>
        <v>0</v>
      </c>
      <c r="CH56" s="2">
        <f>INDEX($BY$8:$BY$15,MATCH(CH$7,$CB$8:$CB$15,0))*SUM(F$11:F$12)/(365/12)*MAX(节奏总纲!G52-$E$2,0)</f>
        <v>0</v>
      </c>
      <c r="CI56" s="2">
        <f>INDEX($BY$8:$BY$15,MATCH(CI$7,$CB$8:$CB$15,0))*SUM(G$11:G$12)/(365/12)*MAX(节奏总纲!H52-$E$2,0)</f>
        <v>0</v>
      </c>
      <c r="CJ56" s="2">
        <f>INDEX($BZ$8:$BZ$15,MATCH(CE$7,$CB$8:$CB$15,0))*SUM(C$11:C$12)/(365/12)*MAX(节奏总纲!D52-$E$2,0)</f>
        <v>0</v>
      </c>
      <c r="CK56" s="2">
        <f>INDEX($BZ$8:$BZ$15,MATCH(CF$7,$CB$8:$CB$15,0))*SUM(D$11:D$12)/(365/12)*MAX(节奏总纲!E52-$E$2,0)</f>
        <v>0</v>
      </c>
      <c r="CL56" s="2">
        <f>INDEX($BZ$8:$BZ$15,MATCH(CG$7,$CB$8:$CB$15,0))*SUM(E$11:E$12)/(365/12)*MAX(节奏总纲!F52-$E$2,0)</f>
        <v>0</v>
      </c>
      <c r="CM56" s="2">
        <f>INDEX($BZ$8:$BZ$15,MATCH(CH$7,$CB$8:$CB$15,0))*SUM(F$11:F$12)/(365/12)*MAX(节奏总纲!G52-$E$2,0)</f>
        <v>0</v>
      </c>
      <c r="CN56" s="2">
        <f>INDEX($BZ$8:$BZ$15,MATCH(CI$7,$CB$8:$CB$15,0))*SUM(G$11:G$12)/(365/12)*MAX(节奏总纲!H52-$E$2,0)</f>
        <v>0</v>
      </c>
      <c r="CS56" s="2">
        <v>49</v>
      </c>
      <c r="CT56" s="2">
        <f t="shared" si="41"/>
        <v>0</v>
      </c>
      <c r="CU56" s="2">
        <f t="shared" si="42"/>
        <v>0</v>
      </c>
      <c r="CV56" s="2">
        <f t="shared" si="43"/>
        <v>0</v>
      </c>
      <c r="CW56" s="2">
        <f t="shared" si="44"/>
        <v>0</v>
      </c>
      <c r="CX56" s="2">
        <f t="shared" si="45"/>
        <v>0</v>
      </c>
      <c r="CZ56" s="41" t="e">
        <f t="shared" si="46"/>
        <v>#DIV/0!</v>
      </c>
      <c r="DA56" s="41" t="e">
        <f t="shared" si="47"/>
        <v>#DIV/0!</v>
      </c>
      <c r="DB56" s="41" t="e">
        <f t="shared" si="48"/>
        <v>#DIV/0!</v>
      </c>
      <c r="DD56" s="41" t="e">
        <f t="shared" si="49"/>
        <v>#DIV/0!</v>
      </c>
      <c r="DE56" s="41" t="e">
        <f t="shared" si="50"/>
        <v>#DIV/0!</v>
      </c>
      <c r="DF56" s="41" t="e">
        <f t="shared" si="51"/>
        <v>#DIV/0!</v>
      </c>
      <c r="DH56" s="41" t="e">
        <f t="shared" si="52"/>
        <v>#DIV/0!</v>
      </c>
      <c r="DI56" s="41" t="e">
        <f t="shared" si="53"/>
        <v>#DIV/0!</v>
      </c>
      <c r="DJ56" s="41" t="e">
        <f t="shared" si="54"/>
        <v>#DIV/0!</v>
      </c>
      <c r="DL56" s="2">
        <f>CT56/节奏总纲!D52</f>
        <v>0</v>
      </c>
      <c r="DM56" s="2">
        <f>CU56/节奏总纲!E52</f>
        <v>0</v>
      </c>
      <c r="DN56" s="2">
        <f>CV56/节奏总纲!F52</f>
        <v>0</v>
      </c>
      <c r="DO56" s="2">
        <f>CW56/节奏总纲!G52</f>
        <v>0</v>
      </c>
      <c r="DP56" s="2">
        <f>CX56/节奏总纲!H52</f>
        <v>0</v>
      </c>
      <c r="DR56" s="2" t="e">
        <f t="shared" si="55"/>
        <v>#DIV/0!</v>
      </c>
      <c r="DS56" s="2" t="e">
        <f t="shared" si="56"/>
        <v>#DIV/0!</v>
      </c>
      <c r="DT56" s="2" t="e">
        <f t="shared" si="57"/>
        <v>#DIV/0!</v>
      </c>
      <c r="DU56" s="2" t="e">
        <f t="shared" si="58"/>
        <v>#DIV/0!</v>
      </c>
      <c r="DY56" s="2">
        <v>49</v>
      </c>
      <c r="DZ56" s="2">
        <f t="shared" si="22"/>
        <v>0</v>
      </c>
      <c r="EA56" s="2">
        <f t="shared" si="23"/>
        <v>0</v>
      </c>
      <c r="EB56" s="2">
        <f t="shared" si="24"/>
        <v>0</v>
      </c>
      <c r="EC56" s="2">
        <f t="shared" si="25"/>
        <v>0</v>
      </c>
      <c r="ED56" s="2">
        <f t="shared" si="26"/>
        <v>0</v>
      </c>
      <c r="EF56" s="57" t="e">
        <f t="shared" si="27"/>
        <v>#DIV/0!</v>
      </c>
      <c r="EG56" s="57" t="e">
        <f t="shared" si="28"/>
        <v>#DIV/0!</v>
      </c>
      <c r="EH56" s="41" t="e">
        <f t="shared" si="29"/>
        <v>#DIV/0!</v>
      </c>
      <c r="EJ56" s="57" t="e">
        <f t="shared" si="30"/>
        <v>#DIV/0!</v>
      </c>
      <c r="EK56" s="57" t="e">
        <f t="shared" si="31"/>
        <v>#DIV/0!</v>
      </c>
      <c r="EL56" s="41" t="e">
        <f t="shared" si="32"/>
        <v>#DIV/0!</v>
      </c>
      <c r="EN56" s="57" t="e">
        <f t="shared" si="33"/>
        <v>#DIV/0!</v>
      </c>
      <c r="EO56" s="57" t="e">
        <f t="shared" si="34"/>
        <v>#DIV/0!</v>
      </c>
      <c r="EP56" s="41" t="e">
        <f t="shared" si="35"/>
        <v>#DIV/0!</v>
      </c>
    </row>
    <row r="57" spans="20:146" x14ac:dyDescent="0.15">
      <c r="T57" s="2">
        <v>50</v>
      </c>
      <c r="U57" s="2">
        <f>$N$8*SUM(C$11:C$12)/(365/12)*MAX(节奏总纲!D53-$E$2,0)</f>
        <v>0</v>
      </c>
      <c r="V57" s="2">
        <f>$N$8*SUM(D$11:D$12)/(365/12)*MAX(节奏总纲!E53-$E$2,0)</f>
        <v>0</v>
      </c>
      <c r="W57" s="2">
        <f>$N$8*SUM(E$11:E$12)/(365/12)*MAX(节奏总纲!F53-$E$2,0)</f>
        <v>0</v>
      </c>
      <c r="X57" s="2">
        <f>$N$8*SUM(F$11:F$12)/(365/12)*MAX(节奏总纲!G53-$E$2,0)</f>
        <v>0</v>
      </c>
      <c r="Y57" s="2">
        <f>$N$8*SUM(G$11:G$12)/(365/12)*MAX(节奏总纲!H53-$E$2,0)</f>
        <v>0</v>
      </c>
      <c r="Z57" s="2">
        <f>$O$8*SUM(C$11:C$12)/(365/12)*MAX(节奏总纲!D53-$E$2,0)</f>
        <v>0</v>
      </c>
      <c r="AA57" s="2">
        <f>$O$8*SUM(D$11:D$12)/(365/12)*MAX(节奏总纲!E53-$E$2,0)</f>
        <v>0</v>
      </c>
      <c r="AB57" s="2">
        <f>$O$8*SUM(E$11:E$12)/(365/12)*MAX(节奏总纲!F53-$E$2,0)</f>
        <v>0</v>
      </c>
      <c r="AC57" s="2">
        <f>$O$8*SUM(F$11:F$12)/(365/12)*MAX(节奏总纲!G53-$E$2,0)</f>
        <v>0</v>
      </c>
      <c r="AD57" s="2">
        <f>$O$8*SUM(G$11:G$12)/(365/12)*MAX(节奏总纲!H53-$E$2,0)</f>
        <v>0</v>
      </c>
      <c r="AE57" s="2">
        <f>$Q$8*SUM(C$11:C$12)/(365/12)*MAX(节奏总纲!D53-$E$2,0)</f>
        <v>0</v>
      </c>
      <c r="AF57" s="2">
        <f>$Q$8*SUM(D$11:D$12)/(365/12)*MAX(节奏总纲!E53-$E$2,0)</f>
        <v>0</v>
      </c>
      <c r="AG57" s="2">
        <f>$Q$8*SUM(E$11:E$12)/(365/12)*MAX(节奏总纲!F53-$E$2,0)</f>
        <v>0</v>
      </c>
      <c r="AH57" s="2">
        <f>$Q$8*SUM(F$11:F$12)/(365/12)*MAX(节奏总纲!G53-$E$2,0)</f>
        <v>0</v>
      </c>
      <c r="AI57" s="2">
        <f>$Q$8*SUM(G$11:G$12)/(365/12)*MAX(节奏总纲!H53-$E$2,0)</f>
        <v>0</v>
      </c>
      <c r="AJ57" s="2">
        <f>$P$8*SUM(C$11:C$12)/(365/12)*MAX(节奏总纲!D53-$E$2,0)</f>
        <v>0</v>
      </c>
      <c r="AK57" s="2">
        <f>$P$8*SUM(D$11:D$12)/(365/12)*MAX(节奏总纲!E53-$E$2,0)</f>
        <v>0</v>
      </c>
      <c r="AL57" s="2">
        <f>$P$8*SUM(E$11:E$12)/(365/12)*MAX(节奏总纲!F53-$E$2,0)</f>
        <v>0</v>
      </c>
      <c r="AM57" s="2">
        <f>$P$8*SUM(F$11:F$12)/(365/12)*MAX(节奏总纲!G53-$E$2,0)</f>
        <v>0</v>
      </c>
      <c r="AN57" s="2">
        <f>$P$8*SUM(G$11:G$12)/(365/12)*MAX(节奏总纲!H53-$E$2,0)</f>
        <v>0</v>
      </c>
      <c r="BC57" s="2">
        <v>50</v>
      </c>
      <c r="BD57" s="2">
        <f>$AZ$8/(365/12)*MAX(节奏总纲!D53-$E$2,0)</f>
        <v>0</v>
      </c>
      <c r="BE57" s="2">
        <f>$AZ$8/(365/12)*MAX(节奏总纲!E53-$E$2,0)</f>
        <v>0</v>
      </c>
      <c r="BF57" s="2">
        <f>$AZ$8/(365/12)*MAX(节奏总纲!F53-$E$2,0)</f>
        <v>0</v>
      </c>
      <c r="BG57" s="2">
        <f>$AZ$8/(365/12)*MAX(节奏总纲!G53-$E$2,0)</f>
        <v>0</v>
      </c>
      <c r="BH57" s="2">
        <f>$AZ$8/(365/12)*MAX(节奏总纲!H53-$E$2,0)</f>
        <v>0</v>
      </c>
      <c r="BI57" s="2">
        <f>$AY$8/(365/12)*MAX(节奏总纲!D53-$E$2,0)</f>
        <v>0</v>
      </c>
      <c r="BJ57" s="2">
        <f>$AY$8/(365/12)*MAX(节奏总纲!E53-$E$2,0)</f>
        <v>0</v>
      </c>
      <c r="BK57" s="2">
        <f>$AY$8/(365/12)*MAX(节奏总纲!F53-$E$2,0)</f>
        <v>0</v>
      </c>
      <c r="BL57" s="2">
        <f>$AY$8/(365/12)*MAX(节奏总纲!G53-$E$2,0)</f>
        <v>0</v>
      </c>
      <c r="BM57" s="2">
        <f>$AY$8/(365/12)*MAX(节奏总纲!H53-$E$2,0)</f>
        <v>0</v>
      </c>
      <c r="CD57" s="2">
        <v>50</v>
      </c>
      <c r="CE57" s="2">
        <f>INDEX($BY$8:$BY$15,MATCH(CE$7,$CB$8:$CB$15,0))*SUM(C$11:C$12)/(365/12)*MAX(节奏总纲!D53-$E$2,0)</f>
        <v>0</v>
      </c>
      <c r="CF57" s="2">
        <f>INDEX($BY$8:$BY$15,MATCH(CF$7,$CB$8:$CB$15,0))*SUM(D$11:D$12)/(365/12)*MAX(节奏总纲!E53-$E$2,0)</f>
        <v>0</v>
      </c>
      <c r="CG57" s="2">
        <f>INDEX($BY$8:$BY$15,MATCH(CG$7,$CB$8:$CB$15,0))*SUM(E$11:E$12)/(365/12)*MAX(节奏总纲!F53-$E$2,0)</f>
        <v>0</v>
      </c>
      <c r="CH57" s="2">
        <f>INDEX($BY$8:$BY$15,MATCH(CH$7,$CB$8:$CB$15,0))*SUM(F$11:F$12)/(365/12)*MAX(节奏总纲!G53-$E$2,0)</f>
        <v>0</v>
      </c>
      <c r="CI57" s="2">
        <f>INDEX($BY$8:$BY$15,MATCH(CI$7,$CB$8:$CB$15,0))*SUM(G$11:G$12)/(365/12)*MAX(节奏总纲!H53-$E$2,0)</f>
        <v>0</v>
      </c>
      <c r="CJ57" s="2">
        <f>INDEX($BZ$8:$BZ$15,MATCH(CE$7,$CB$8:$CB$15,0))*SUM(C$11:C$12)/(365/12)*MAX(节奏总纲!D53-$E$2,0)</f>
        <v>0</v>
      </c>
      <c r="CK57" s="2">
        <f>INDEX($BZ$8:$BZ$15,MATCH(CF$7,$CB$8:$CB$15,0))*SUM(D$11:D$12)/(365/12)*MAX(节奏总纲!E53-$E$2,0)</f>
        <v>0</v>
      </c>
      <c r="CL57" s="2">
        <f>INDEX($BZ$8:$BZ$15,MATCH(CG$7,$CB$8:$CB$15,0))*SUM(E$11:E$12)/(365/12)*MAX(节奏总纲!F53-$E$2,0)</f>
        <v>0</v>
      </c>
      <c r="CM57" s="2">
        <f>INDEX($BZ$8:$BZ$15,MATCH(CH$7,$CB$8:$CB$15,0))*SUM(F$11:F$12)/(365/12)*MAX(节奏总纲!G53-$E$2,0)</f>
        <v>0</v>
      </c>
      <c r="CN57" s="2">
        <f>INDEX($BZ$8:$BZ$15,MATCH(CI$7,$CB$8:$CB$15,0))*SUM(G$11:G$12)/(365/12)*MAX(节奏总纲!H53-$E$2,0)</f>
        <v>0</v>
      </c>
      <c r="CS57" s="2">
        <v>50</v>
      </c>
      <c r="CT57" s="2">
        <f t="shared" si="41"/>
        <v>0</v>
      </c>
      <c r="CU57" s="2">
        <f t="shared" si="42"/>
        <v>0</v>
      </c>
      <c r="CV57" s="2">
        <f t="shared" si="43"/>
        <v>0</v>
      </c>
      <c r="CW57" s="2">
        <f t="shared" si="44"/>
        <v>0</v>
      </c>
      <c r="CX57" s="2">
        <f t="shared" si="45"/>
        <v>0</v>
      </c>
      <c r="CZ57" s="41" t="e">
        <f t="shared" si="46"/>
        <v>#DIV/0!</v>
      </c>
      <c r="DA57" s="41" t="e">
        <f t="shared" si="47"/>
        <v>#DIV/0!</v>
      </c>
      <c r="DB57" s="41" t="e">
        <f t="shared" si="48"/>
        <v>#DIV/0!</v>
      </c>
      <c r="DD57" s="41" t="e">
        <f t="shared" si="49"/>
        <v>#DIV/0!</v>
      </c>
      <c r="DE57" s="41" t="e">
        <f t="shared" si="50"/>
        <v>#DIV/0!</v>
      </c>
      <c r="DF57" s="41" t="e">
        <f t="shared" si="51"/>
        <v>#DIV/0!</v>
      </c>
      <c r="DH57" s="41" t="e">
        <f t="shared" si="52"/>
        <v>#DIV/0!</v>
      </c>
      <c r="DI57" s="41" t="e">
        <f t="shared" si="53"/>
        <v>#DIV/0!</v>
      </c>
      <c r="DJ57" s="41" t="e">
        <f t="shared" si="54"/>
        <v>#DIV/0!</v>
      </c>
      <c r="DL57" s="2">
        <f>CT57/节奏总纲!D53</f>
        <v>0</v>
      </c>
      <c r="DM57" s="2">
        <f>CU57/节奏总纲!E53</f>
        <v>0</v>
      </c>
      <c r="DN57" s="2">
        <f>CV57/节奏总纲!F53</f>
        <v>0</v>
      </c>
      <c r="DO57" s="2">
        <f>CW57/节奏总纲!G53</f>
        <v>0</v>
      </c>
      <c r="DP57" s="2">
        <f>CX57/节奏总纲!H53</f>
        <v>0</v>
      </c>
      <c r="DR57" s="2" t="e">
        <f t="shared" si="55"/>
        <v>#DIV/0!</v>
      </c>
      <c r="DS57" s="2" t="e">
        <f t="shared" si="56"/>
        <v>#DIV/0!</v>
      </c>
      <c r="DT57" s="2" t="e">
        <f t="shared" si="57"/>
        <v>#DIV/0!</v>
      </c>
      <c r="DU57" s="2" t="e">
        <f t="shared" si="58"/>
        <v>#DIV/0!</v>
      </c>
      <c r="DY57" s="2">
        <v>50</v>
      </c>
      <c r="DZ57" s="2">
        <f t="shared" si="22"/>
        <v>0</v>
      </c>
      <c r="EA57" s="2">
        <f t="shared" si="23"/>
        <v>0</v>
      </c>
      <c r="EB57" s="2">
        <f t="shared" si="24"/>
        <v>0</v>
      </c>
      <c r="EC57" s="2">
        <f t="shared" si="25"/>
        <v>0</v>
      </c>
      <c r="ED57" s="2">
        <f t="shared" si="26"/>
        <v>0</v>
      </c>
      <c r="EF57" s="57" t="e">
        <f t="shared" si="27"/>
        <v>#DIV/0!</v>
      </c>
      <c r="EG57" s="57" t="e">
        <f t="shared" si="28"/>
        <v>#DIV/0!</v>
      </c>
      <c r="EH57" s="41" t="e">
        <f t="shared" si="29"/>
        <v>#DIV/0!</v>
      </c>
      <c r="EJ57" s="57" t="e">
        <f t="shared" si="30"/>
        <v>#DIV/0!</v>
      </c>
      <c r="EK57" s="57" t="e">
        <f t="shared" si="31"/>
        <v>#DIV/0!</v>
      </c>
      <c r="EL57" s="41" t="e">
        <f t="shared" si="32"/>
        <v>#DIV/0!</v>
      </c>
      <c r="EN57" s="57" t="e">
        <f t="shared" si="33"/>
        <v>#DIV/0!</v>
      </c>
      <c r="EO57" s="57" t="e">
        <f t="shared" si="34"/>
        <v>#DIV/0!</v>
      </c>
      <c r="EP57" s="41" t="e">
        <f t="shared" si="35"/>
        <v>#DIV/0!</v>
      </c>
    </row>
    <row r="58" spans="20:146" x14ac:dyDescent="0.15">
      <c r="T58" s="2">
        <v>51</v>
      </c>
      <c r="U58" s="2">
        <f>$N$8*SUM(C$11:C$12)/(365/12)*MAX(节奏总纲!D54-$E$2,0)</f>
        <v>0</v>
      </c>
      <c r="V58" s="2">
        <f>$N$8*SUM(D$11:D$12)/(365/12)*MAX(节奏总纲!E54-$E$2,0)</f>
        <v>0</v>
      </c>
      <c r="W58" s="2">
        <f>$N$8*SUM(E$11:E$12)/(365/12)*MAX(节奏总纲!F54-$E$2,0)</f>
        <v>0</v>
      </c>
      <c r="X58" s="2">
        <f>$N$8*SUM(F$11:F$12)/(365/12)*MAX(节奏总纲!G54-$E$2,0)</f>
        <v>0</v>
      </c>
      <c r="Y58" s="2">
        <f>$N$8*SUM(G$11:G$12)/(365/12)*MAX(节奏总纲!H54-$E$2,0)</f>
        <v>0</v>
      </c>
      <c r="Z58" s="2">
        <f>$O$8*SUM(C$11:C$12)/(365/12)*MAX(节奏总纲!D54-$E$2,0)</f>
        <v>0</v>
      </c>
      <c r="AA58" s="2">
        <f>$O$8*SUM(D$11:D$12)/(365/12)*MAX(节奏总纲!E54-$E$2,0)</f>
        <v>0</v>
      </c>
      <c r="AB58" s="2">
        <f>$O$8*SUM(E$11:E$12)/(365/12)*MAX(节奏总纲!F54-$E$2,0)</f>
        <v>0</v>
      </c>
      <c r="AC58" s="2">
        <f>$O$8*SUM(F$11:F$12)/(365/12)*MAX(节奏总纲!G54-$E$2,0)</f>
        <v>0</v>
      </c>
      <c r="AD58" s="2">
        <f>$O$8*SUM(G$11:G$12)/(365/12)*MAX(节奏总纲!H54-$E$2,0)</f>
        <v>0</v>
      </c>
      <c r="AE58" s="2">
        <f>$Q$8*SUM(C$11:C$12)/(365/12)*MAX(节奏总纲!D54-$E$2,0)</f>
        <v>0</v>
      </c>
      <c r="AF58" s="2">
        <f>$Q$8*SUM(D$11:D$12)/(365/12)*MAX(节奏总纲!E54-$E$2,0)</f>
        <v>0</v>
      </c>
      <c r="AG58" s="2">
        <f>$Q$8*SUM(E$11:E$12)/(365/12)*MAX(节奏总纲!F54-$E$2,0)</f>
        <v>0</v>
      </c>
      <c r="AH58" s="2">
        <f>$Q$8*SUM(F$11:F$12)/(365/12)*MAX(节奏总纲!G54-$E$2,0)</f>
        <v>0</v>
      </c>
      <c r="AI58" s="2">
        <f>$Q$8*SUM(G$11:G$12)/(365/12)*MAX(节奏总纲!H54-$E$2,0)</f>
        <v>0</v>
      </c>
      <c r="AJ58" s="2">
        <f>$P$8*SUM(C$11:C$12)/(365/12)*MAX(节奏总纲!D54-$E$2,0)</f>
        <v>0</v>
      </c>
      <c r="AK58" s="2">
        <f>$P$8*SUM(D$11:D$12)/(365/12)*MAX(节奏总纲!E54-$E$2,0)</f>
        <v>0</v>
      </c>
      <c r="AL58" s="2">
        <f>$P$8*SUM(E$11:E$12)/(365/12)*MAX(节奏总纲!F54-$E$2,0)</f>
        <v>0</v>
      </c>
      <c r="AM58" s="2">
        <f>$P$8*SUM(F$11:F$12)/(365/12)*MAX(节奏总纲!G54-$E$2,0)</f>
        <v>0</v>
      </c>
      <c r="AN58" s="2">
        <f>$P$8*SUM(G$11:G$12)/(365/12)*MAX(节奏总纲!H54-$E$2,0)</f>
        <v>0</v>
      </c>
      <c r="BC58" s="2">
        <v>51</v>
      </c>
      <c r="BD58" s="2">
        <f>$AZ$8/(365/12)*MAX(节奏总纲!D54-$E$2,0)</f>
        <v>0</v>
      </c>
      <c r="BE58" s="2">
        <f>$AZ$8/(365/12)*MAX(节奏总纲!E54-$E$2,0)</f>
        <v>0</v>
      </c>
      <c r="BF58" s="2">
        <f>$AZ$8/(365/12)*MAX(节奏总纲!F54-$E$2,0)</f>
        <v>0</v>
      </c>
      <c r="BG58" s="2">
        <f>$AZ$8/(365/12)*MAX(节奏总纲!G54-$E$2,0)</f>
        <v>0</v>
      </c>
      <c r="BH58" s="2">
        <f>$AZ$8/(365/12)*MAX(节奏总纲!H54-$E$2,0)</f>
        <v>0</v>
      </c>
      <c r="BI58" s="2">
        <f>$AY$8/(365/12)*MAX(节奏总纲!D54-$E$2,0)</f>
        <v>0</v>
      </c>
      <c r="BJ58" s="2">
        <f>$AY$8/(365/12)*MAX(节奏总纲!E54-$E$2,0)</f>
        <v>0</v>
      </c>
      <c r="BK58" s="2">
        <f>$AY$8/(365/12)*MAX(节奏总纲!F54-$E$2,0)</f>
        <v>0</v>
      </c>
      <c r="BL58" s="2">
        <f>$AY$8/(365/12)*MAX(节奏总纲!G54-$E$2,0)</f>
        <v>0</v>
      </c>
      <c r="BM58" s="2">
        <f>$AY$8/(365/12)*MAX(节奏总纲!H54-$E$2,0)</f>
        <v>0</v>
      </c>
      <c r="CD58" s="2">
        <v>51</v>
      </c>
      <c r="CE58" s="2">
        <f>INDEX($BY$8:$BY$15,MATCH(CE$7,$CB$8:$CB$15,0))*SUM(C$11:C$12)/(365/12)*MAX(节奏总纲!D54-$E$2,0)</f>
        <v>0</v>
      </c>
      <c r="CF58" s="2">
        <f>INDEX($BY$8:$BY$15,MATCH(CF$7,$CB$8:$CB$15,0))*SUM(D$11:D$12)/(365/12)*MAX(节奏总纲!E54-$E$2,0)</f>
        <v>0</v>
      </c>
      <c r="CG58" s="2">
        <f>INDEX($BY$8:$BY$15,MATCH(CG$7,$CB$8:$CB$15,0))*SUM(E$11:E$12)/(365/12)*MAX(节奏总纲!F54-$E$2,0)</f>
        <v>0</v>
      </c>
      <c r="CH58" s="2">
        <f>INDEX($BY$8:$BY$15,MATCH(CH$7,$CB$8:$CB$15,0))*SUM(F$11:F$12)/(365/12)*MAX(节奏总纲!G54-$E$2,0)</f>
        <v>0</v>
      </c>
      <c r="CI58" s="2">
        <f>INDEX($BY$8:$BY$15,MATCH(CI$7,$CB$8:$CB$15,0))*SUM(G$11:G$12)/(365/12)*MAX(节奏总纲!H54-$E$2,0)</f>
        <v>0</v>
      </c>
      <c r="CJ58" s="2">
        <f>INDEX($BZ$8:$BZ$15,MATCH(CE$7,$CB$8:$CB$15,0))*SUM(C$11:C$12)/(365/12)*MAX(节奏总纲!D54-$E$2,0)</f>
        <v>0</v>
      </c>
      <c r="CK58" s="2">
        <f>INDEX($BZ$8:$BZ$15,MATCH(CF$7,$CB$8:$CB$15,0))*SUM(D$11:D$12)/(365/12)*MAX(节奏总纲!E54-$E$2,0)</f>
        <v>0</v>
      </c>
      <c r="CL58" s="2">
        <f>INDEX($BZ$8:$BZ$15,MATCH(CG$7,$CB$8:$CB$15,0))*SUM(E$11:E$12)/(365/12)*MAX(节奏总纲!F54-$E$2,0)</f>
        <v>0</v>
      </c>
      <c r="CM58" s="2">
        <f>INDEX($BZ$8:$BZ$15,MATCH(CH$7,$CB$8:$CB$15,0))*SUM(F$11:F$12)/(365/12)*MAX(节奏总纲!G54-$E$2,0)</f>
        <v>0</v>
      </c>
      <c r="CN58" s="2">
        <f>INDEX($BZ$8:$BZ$15,MATCH(CI$7,$CB$8:$CB$15,0))*SUM(G$11:G$12)/(365/12)*MAX(节奏总纲!H54-$E$2,0)</f>
        <v>0</v>
      </c>
      <c r="CS58" s="2">
        <v>51</v>
      </c>
      <c r="CT58" s="2">
        <f t="shared" si="41"/>
        <v>0</v>
      </c>
      <c r="CU58" s="2">
        <f t="shared" si="42"/>
        <v>0</v>
      </c>
      <c r="CV58" s="2">
        <f t="shared" si="43"/>
        <v>0</v>
      </c>
      <c r="CW58" s="2">
        <f t="shared" si="44"/>
        <v>0</v>
      </c>
      <c r="CX58" s="2">
        <f t="shared" si="45"/>
        <v>0</v>
      </c>
      <c r="CZ58" s="41" t="e">
        <f t="shared" si="46"/>
        <v>#DIV/0!</v>
      </c>
      <c r="DA58" s="41" t="e">
        <f t="shared" si="47"/>
        <v>#DIV/0!</v>
      </c>
      <c r="DB58" s="41" t="e">
        <f t="shared" si="48"/>
        <v>#DIV/0!</v>
      </c>
      <c r="DD58" s="41" t="e">
        <f t="shared" si="49"/>
        <v>#DIV/0!</v>
      </c>
      <c r="DE58" s="41" t="e">
        <f t="shared" si="50"/>
        <v>#DIV/0!</v>
      </c>
      <c r="DF58" s="41" t="e">
        <f t="shared" si="51"/>
        <v>#DIV/0!</v>
      </c>
      <c r="DH58" s="41" t="e">
        <f t="shared" si="52"/>
        <v>#DIV/0!</v>
      </c>
      <c r="DI58" s="41" t="e">
        <f t="shared" si="53"/>
        <v>#DIV/0!</v>
      </c>
      <c r="DJ58" s="41" t="e">
        <f t="shared" si="54"/>
        <v>#DIV/0!</v>
      </c>
      <c r="DL58" s="2">
        <f>CT58/节奏总纲!D54</f>
        <v>0</v>
      </c>
      <c r="DM58" s="2">
        <f>CU58/节奏总纲!E54</f>
        <v>0</v>
      </c>
      <c r="DN58" s="2">
        <f>CV58/节奏总纲!F54</f>
        <v>0</v>
      </c>
      <c r="DO58" s="2">
        <f>CW58/节奏总纲!G54</f>
        <v>0</v>
      </c>
      <c r="DP58" s="2">
        <f>CX58/节奏总纲!H54</f>
        <v>0</v>
      </c>
      <c r="DR58" s="2" t="e">
        <f t="shared" si="55"/>
        <v>#DIV/0!</v>
      </c>
      <c r="DS58" s="2" t="e">
        <f t="shared" si="56"/>
        <v>#DIV/0!</v>
      </c>
      <c r="DT58" s="2" t="e">
        <f t="shared" si="57"/>
        <v>#DIV/0!</v>
      </c>
      <c r="DU58" s="2" t="e">
        <f t="shared" si="58"/>
        <v>#DIV/0!</v>
      </c>
      <c r="DY58" s="2">
        <v>51</v>
      </c>
      <c r="DZ58" s="2">
        <f t="shared" si="22"/>
        <v>0</v>
      </c>
      <c r="EA58" s="2">
        <f t="shared" si="23"/>
        <v>0</v>
      </c>
      <c r="EB58" s="2">
        <f t="shared" si="24"/>
        <v>0</v>
      </c>
      <c r="EC58" s="2">
        <f t="shared" si="25"/>
        <v>0</v>
      </c>
      <c r="ED58" s="2">
        <f t="shared" si="26"/>
        <v>0</v>
      </c>
      <c r="EF58" s="57" t="e">
        <f t="shared" si="27"/>
        <v>#DIV/0!</v>
      </c>
      <c r="EG58" s="57" t="e">
        <f t="shared" si="28"/>
        <v>#DIV/0!</v>
      </c>
      <c r="EH58" s="41" t="e">
        <f t="shared" si="29"/>
        <v>#DIV/0!</v>
      </c>
      <c r="EJ58" s="57" t="e">
        <f t="shared" si="30"/>
        <v>#DIV/0!</v>
      </c>
      <c r="EK58" s="57" t="e">
        <f t="shared" si="31"/>
        <v>#DIV/0!</v>
      </c>
      <c r="EL58" s="41" t="e">
        <f t="shared" si="32"/>
        <v>#DIV/0!</v>
      </c>
      <c r="EN58" s="57" t="e">
        <f t="shared" si="33"/>
        <v>#DIV/0!</v>
      </c>
      <c r="EO58" s="57" t="e">
        <f t="shared" si="34"/>
        <v>#DIV/0!</v>
      </c>
      <c r="EP58" s="41" t="e">
        <f t="shared" si="35"/>
        <v>#DIV/0!</v>
      </c>
    </row>
    <row r="59" spans="20:146" x14ac:dyDescent="0.15">
      <c r="T59" s="2">
        <v>52</v>
      </c>
      <c r="U59" s="2">
        <f>$N$8*SUM(C$11:C$12)/(365/12)*MAX(节奏总纲!D55-$E$2,0)</f>
        <v>0</v>
      </c>
      <c r="V59" s="2">
        <f>$N$8*SUM(D$11:D$12)/(365/12)*MAX(节奏总纲!E55-$E$2,0)</f>
        <v>0</v>
      </c>
      <c r="W59" s="2">
        <f>$N$8*SUM(E$11:E$12)/(365/12)*MAX(节奏总纲!F55-$E$2,0)</f>
        <v>0</v>
      </c>
      <c r="X59" s="2">
        <f>$N$8*SUM(F$11:F$12)/(365/12)*MAX(节奏总纲!G55-$E$2,0)</f>
        <v>0</v>
      </c>
      <c r="Y59" s="2">
        <f>$N$8*SUM(G$11:G$12)/(365/12)*MAX(节奏总纲!H55-$E$2,0)</f>
        <v>0</v>
      </c>
      <c r="Z59" s="2">
        <f>$O$8*SUM(C$11:C$12)/(365/12)*MAX(节奏总纲!D55-$E$2,0)</f>
        <v>0</v>
      </c>
      <c r="AA59" s="2">
        <f>$O$8*SUM(D$11:D$12)/(365/12)*MAX(节奏总纲!E55-$E$2,0)</f>
        <v>0</v>
      </c>
      <c r="AB59" s="2">
        <f>$O$8*SUM(E$11:E$12)/(365/12)*MAX(节奏总纲!F55-$E$2,0)</f>
        <v>0</v>
      </c>
      <c r="AC59" s="2">
        <f>$O$8*SUM(F$11:F$12)/(365/12)*MAX(节奏总纲!G55-$E$2,0)</f>
        <v>0</v>
      </c>
      <c r="AD59" s="2">
        <f>$O$8*SUM(G$11:G$12)/(365/12)*MAX(节奏总纲!H55-$E$2,0)</f>
        <v>0</v>
      </c>
      <c r="AE59" s="2">
        <f>$Q$8*SUM(C$11:C$12)/(365/12)*MAX(节奏总纲!D55-$E$2,0)</f>
        <v>0</v>
      </c>
      <c r="AF59" s="2">
        <f>$Q$8*SUM(D$11:D$12)/(365/12)*MAX(节奏总纲!E55-$E$2,0)</f>
        <v>0</v>
      </c>
      <c r="AG59" s="2">
        <f>$Q$8*SUM(E$11:E$12)/(365/12)*MAX(节奏总纲!F55-$E$2,0)</f>
        <v>0</v>
      </c>
      <c r="AH59" s="2">
        <f>$Q$8*SUM(F$11:F$12)/(365/12)*MAX(节奏总纲!G55-$E$2,0)</f>
        <v>0</v>
      </c>
      <c r="AI59" s="2">
        <f>$Q$8*SUM(G$11:G$12)/(365/12)*MAX(节奏总纲!H55-$E$2,0)</f>
        <v>0</v>
      </c>
      <c r="AJ59" s="2">
        <f>$P$8*SUM(C$11:C$12)/(365/12)*MAX(节奏总纲!D55-$E$2,0)</f>
        <v>0</v>
      </c>
      <c r="AK59" s="2">
        <f>$P$8*SUM(D$11:D$12)/(365/12)*MAX(节奏总纲!E55-$E$2,0)</f>
        <v>0</v>
      </c>
      <c r="AL59" s="2">
        <f>$P$8*SUM(E$11:E$12)/(365/12)*MAX(节奏总纲!F55-$E$2,0)</f>
        <v>0</v>
      </c>
      <c r="AM59" s="2">
        <f>$P$8*SUM(F$11:F$12)/(365/12)*MAX(节奏总纲!G55-$E$2,0)</f>
        <v>0</v>
      </c>
      <c r="AN59" s="2">
        <f>$P$8*SUM(G$11:G$12)/(365/12)*MAX(节奏总纲!H55-$E$2,0)</f>
        <v>0</v>
      </c>
      <c r="BC59" s="2">
        <v>52</v>
      </c>
      <c r="BD59" s="2">
        <f>$AZ$8/(365/12)*MAX(节奏总纲!D55-$E$2,0)</f>
        <v>0</v>
      </c>
      <c r="BE59" s="2">
        <f>$AZ$8/(365/12)*MAX(节奏总纲!E55-$E$2,0)</f>
        <v>0</v>
      </c>
      <c r="BF59" s="2">
        <f>$AZ$8/(365/12)*MAX(节奏总纲!F55-$E$2,0)</f>
        <v>0</v>
      </c>
      <c r="BG59" s="2">
        <f>$AZ$8/(365/12)*MAX(节奏总纲!G55-$E$2,0)</f>
        <v>0</v>
      </c>
      <c r="BH59" s="2">
        <f>$AZ$8/(365/12)*MAX(节奏总纲!H55-$E$2,0)</f>
        <v>0</v>
      </c>
      <c r="BI59" s="2">
        <f>$AY$8/(365/12)*MAX(节奏总纲!D55-$E$2,0)</f>
        <v>0</v>
      </c>
      <c r="BJ59" s="2">
        <f>$AY$8/(365/12)*MAX(节奏总纲!E55-$E$2,0)</f>
        <v>0</v>
      </c>
      <c r="BK59" s="2">
        <f>$AY$8/(365/12)*MAX(节奏总纲!F55-$E$2,0)</f>
        <v>0</v>
      </c>
      <c r="BL59" s="2">
        <f>$AY$8/(365/12)*MAX(节奏总纲!G55-$E$2,0)</f>
        <v>0</v>
      </c>
      <c r="BM59" s="2">
        <f>$AY$8/(365/12)*MAX(节奏总纲!H55-$E$2,0)</f>
        <v>0</v>
      </c>
      <c r="CD59" s="2">
        <v>52</v>
      </c>
      <c r="CE59" s="2">
        <f>INDEX($BY$8:$BY$15,MATCH(CE$7,$CB$8:$CB$15,0))*SUM(C$11:C$12)/(365/12)*MAX(节奏总纲!D55-$E$2,0)</f>
        <v>0</v>
      </c>
      <c r="CF59" s="2">
        <f>INDEX($BY$8:$BY$15,MATCH(CF$7,$CB$8:$CB$15,0))*SUM(D$11:D$12)/(365/12)*MAX(节奏总纲!E55-$E$2,0)</f>
        <v>0</v>
      </c>
      <c r="CG59" s="2">
        <f>INDEX($BY$8:$BY$15,MATCH(CG$7,$CB$8:$CB$15,0))*SUM(E$11:E$12)/(365/12)*MAX(节奏总纲!F55-$E$2,0)</f>
        <v>0</v>
      </c>
      <c r="CH59" s="2">
        <f>INDEX($BY$8:$BY$15,MATCH(CH$7,$CB$8:$CB$15,0))*SUM(F$11:F$12)/(365/12)*MAX(节奏总纲!G55-$E$2,0)</f>
        <v>0</v>
      </c>
      <c r="CI59" s="2">
        <f>INDEX($BY$8:$BY$15,MATCH(CI$7,$CB$8:$CB$15,0))*SUM(G$11:G$12)/(365/12)*MAX(节奏总纲!H55-$E$2,0)</f>
        <v>0</v>
      </c>
      <c r="CJ59" s="2">
        <f>INDEX($BZ$8:$BZ$15,MATCH(CE$7,$CB$8:$CB$15,0))*SUM(C$11:C$12)/(365/12)*MAX(节奏总纲!D55-$E$2,0)</f>
        <v>0</v>
      </c>
      <c r="CK59" s="2">
        <f>INDEX($BZ$8:$BZ$15,MATCH(CF$7,$CB$8:$CB$15,0))*SUM(D$11:D$12)/(365/12)*MAX(节奏总纲!E55-$E$2,0)</f>
        <v>0</v>
      </c>
      <c r="CL59" s="2">
        <f>INDEX($BZ$8:$BZ$15,MATCH(CG$7,$CB$8:$CB$15,0))*SUM(E$11:E$12)/(365/12)*MAX(节奏总纲!F55-$E$2,0)</f>
        <v>0</v>
      </c>
      <c r="CM59" s="2">
        <f>INDEX($BZ$8:$BZ$15,MATCH(CH$7,$CB$8:$CB$15,0))*SUM(F$11:F$12)/(365/12)*MAX(节奏总纲!G55-$E$2,0)</f>
        <v>0</v>
      </c>
      <c r="CN59" s="2">
        <f>INDEX($BZ$8:$BZ$15,MATCH(CI$7,$CB$8:$CB$15,0))*SUM(G$11:G$12)/(365/12)*MAX(节奏总纲!H55-$E$2,0)</f>
        <v>0</v>
      </c>
      <c r="CS59" s="2">
        <v>52</v>
      </c>
      <c r="CT59" s="2">
        <f t="shared" si="41"/>
        <v>0</v>
      </c>
      <c r="CU59" s="2">
        <f t="shared" si="42"/>
        <v>0</v>
      </c>
      <c r="CV59" s="2">
        <f t="shared" si="43"/>
        <v>0</v>
      </c>
      <c r="CW59" s="2">
        <f t="shared" si="44"/>
        <v>0</v>
      </c>
      <c r="CX59" s="2">
        <f t="shared" si="45"/>
        <v>0</v>
      </c>
      <c r="CZ59" s="41" t="e">
        <f t="shared" si="46"/>
        <v>#DIV/0!</v>
      </c>
      <c r="DA59" s="41" t="e">
        <f t="shared" si="47"/>
        <v>#DIV/0!</v>
      </c>
      <c r="DB59" s="41" t="e">
        <f t="shared" si="48"/>
        <v>#DIV/0!</v>
      </c>
      <c r="DD59" s="41" t="e">
        <f t="shared" si="49"/>
        <v>#DIV/0!</v>
      </c>
      <c r="DE59" s="41" t="e">
        <f t="shared" si="50"/>
        <v>#DIV/0!</v>
      </c>
      <c r="DF59" s="41" t="e">
        <f t="shared" si="51"/>
        <v>#DIV/0!</v>
      </c>
      <c r="DH59" s="41" t="e">
        <f t="shared" si="52"/>
        <v>#DIV/0!</v>
      </c>
      <c r="DI59" s="41" t="e">
        <f t="shared" si="53"/>
        <v>#DIV/0!</v>
      </c>
      <c r="DJ59" s="41" t="e">
        <f t="shared" si="54"/>
        <v>#DIV/0!</v>
      </c>
      <c r="DL59" s="2">
        <f>CT59/节奏总纲!D55</f>
        <v>0</v>
      </c>
      <c r="DM59" s="2">
        <f>CU59/节奏总纲!E55</f>
        <v>0</v>
      </c>
      <c r="DN59" s="2">
        <f>CV59/节奏总纲!F55</f>
        <v>0</v>
      </c>
      <c r="DO59" s="2">
        <f>CW59/节奏总纲!G55</f>
        <v>0</v>
      </c>
      <c r="DP59" s="2">
        <f>CX59/节奏总纲!H55</f>
        <v>0</v>
      </c>
      <c r="DR59" s="2" t="e">
        <f t="shared" si="55"/>
        <v>#DIV/0!</v>
      </c>
      <c r="DS59" s="2" t="e">
        <f t="shared" si="56"/>
        <v>#DIV/0!</v>
      </c>
      <c r="DT59" s="2" t="e">
        <f t="shared" si="57"/>
        <v>#DIV/0!</v>
      </c>
      <c r="DU59" s="2" t="e">
        <f t="shared" si="58"/>
        <v>#DIV/0!</v>
      </c>
      <c r="DY59" s="2">
        <v>52</v>
      </c>
      <c r="DZ59" s="2">
        <f t="shared" si="22"/>
        <v>0</v>
      </c>
      <c r="EA59" s="2">
        <f t="shared" si="23"/>
        <v>0</v>
      </c>
      <c r="EB59" s="2">
        <f t="shared" si="24"/>
        <v>0</v>
      </c>
      <c r="EC59" s="2">
        <f t="shared" si="25"/>
        <v>0</v>
      </c>
      <c r="ED59" s="2">
        <f t="shared" si="26"/>
        <v>0</v>
      </c>
      <c r="EF59" s="57" t="e">
        <f t="shared" si="27"/>
        <v>#DIV/0!</v>
      </c>
      <c r="EG59" s="57" t="e">
        <f t="shared" si="28"/>
        <v>#DIV/0!</v>
      </c>
      <c r="EH59" s="41" t="e">
        <f t="shared" si="29"/>
        <v>#DIV/0!</v>
      </c>
      <c r="EJ59" s="57" t="e">
        <f t="shared" si="30"/>
        <v>#DIV/0!</v>
      </c>
      <c r="EK59" s="57" t="e">
        <f t="shared" si="31"/>
        <v>#DIV/0!</v>
      </c>
      <c r="EL59" s="41" t="e">
        <f t="shared" si="32"/>
        <v>#DIV/0!</v>
      </c>
      <c r="EN59" s="57" t="e">
        <f t="shared" si="33"/>
        <v>#DIV/0!</v>
      </c>
      <c r="EO59" s="57" t="e">
        <f t="shared" si="34"/>
        <v>#DIV/0!</v>
      </c>
      <c r="EP59" s="41" t="e">
        <f t="shared" si="35"/>
        <v>#DIV/0!</v>
      </c>
    </row>
    <row r="60" spans="20:146" x14ac:dyDescent="0.15">
      <c r="T60" s="2">
        <v>53</v>
      </c>
      <c r="U60" s="2">
        <f>$N$8*SUM(C$11:C$12)/(365/12)*MAX(节奏总纲!D56-$E$2,0)</f>
        <v>0</v>
      </c>
      <c r="V60" s="2">
        <f>$N$8*SUM(D$11:D$12)/(365/12)*MAX(节奏总纲!E56-$E$2,0)</f>
        <v>0</v>
      </c>
      <c r="W60" s="2">
        <f>$N$8*SUM(E$11:E$12)/(365/12)*MAX(节奏总纲!F56-$E$2,0)</f>
        <v>0</v>
      </c>
      <c r="X60" s="2">
        <f>$N$8*SUM(F$11:F$12)/(365/12)*MAX(节奏总纲!G56-$E$2,0)</f>
        <v>0</v>
      </c>
      <c r="Y60" s="2">
        <f>$N$8*SUM(G$11:G$12)/(365/12)*MAX(节奏总纲!H56-$E$2,0)</f>
        <v>0</v>
      </c>
      <c r="Z60" s="2">
        <f>$O$8*SUM(C$11:C$12)/(365/12)*MAX(节奏总纲!D56-$E$2,0)</f>
        <v>0</v>
      </c>
      <c r="AA60" s="2">
        <f>$O$8*SUM(D$11:D$12)/(365/12)*MAX(节奏总纲!E56-$E$2,0)</f>
        <v>0</v>
      </c>
      <c r="AB60" s="2">
        <f>$O$8*SUM(E$11:E$12)/(365/12)*MAX(节奏总纲!F56-$E$2,0)</f>
        <v>0</v>
      </c>
      <c r="AC60" s="2">
        <f>$O$8*SUM(F$11:F$12)/(365/12)*MAX(节奏总纲!G56-$E$2,0)</f>
        <v>0</v>
      </c>
      <c r="AD60" s="2">
        <f>$O$8*SUM(G$11:G$12)/(365/12)*MAX(节奏总纲!H56-$E$2,0)</f>
        <v>0</v>
      </c>
      <c r="AE60" s="2">
        <f>$Q$8*SUM(C$11:C$12)/(365/12)*MAX(节奏总纲!D56-$E$2,0)</f>
        <v>0</v>
      </c>
      <c r="AF60" s="2">
        <f>$Q$8*SUM(D$11:D$12)/(365/12)*MAX(节奏总纲!E56-$E$2,0)</f>
        <v>0</v>
      </c>
      <c r="AG60" s="2">
        <f>$Q$8*SUM(E$11:E$12)/(365/12)*MAX(节奏总纲!F56-$E$2,0)</f>
        <v>0</v>
      </c>
      <c r="AH60" s="2">
        <f>$Q$8*SUM(F$11:F$12)/(365/12)*MAX(节奏总纲!G56-$E$2,0)</f>
        <v>0</v>
      </c>
      <c r="AI60" s="2">
        <f>$Q$8*SUM(G$11:G$12)/(365/12)*MAX(节奏总纲!H56-$E$2,0)</f>
        <v>0</v>
      </c>
      <c r="AJ60" s="2">
        <f>$P$8*SUM(C$11:C$12)/(365/12)*MAX(节奏总纲!D56-$E$2,0)</f>
        <v>0</v>
      </c>
      <c r="AK60" s="2">
        <f>$P$8*SUM(D$11:D$12)/(365/12)*MAX(节奏总纲!E56-$E$2,0)</f>
        <v>0</v>
      </c>
      <c r="AL60" s="2">
        <f>$P$8*SUM(E$11:E$12)/(365/12)*MAX(节奏总纲!F56-$E$2,0)</f>
        <v>0</v>
      </c>
      <c r="AM60" s="2">
        <f>$P$8*SUM(F$11:F$12)/(365/12)*MAX(节奏总纲!G56-$E$2,0)</f>
        <v>0</v>
      </c>
      <c r="AN60" s="2">
        <f>$P$8*SUM(G$11:G$12)/(365/12)*MAX(节奏总纲!H56-$E$2,0)</f>
        <v>0</v>
      </c>
      <c r="BC60" s="2">
        <v>53</v>
      </c>
      <c r="BD60" s="2">
        <f>$AZ$8/(365/12)*MAX(节奏总纲!D56-$E$2,0)</f>
        <v>0</v>
      </c>
      <c r="BE60" s="2">
        <f>$AZ$8/(365/12)*MAX(节奏总纲!E56-$E$2,0)</f>
        <v>0</v>
      </c>
      <c r="BF60" s="2">
        <f>$AZ$8/(365/12)*MAX(节奏总纲!F56-$E$2,0)</f>
        <v>0</v>
      </c>
      <c r="BG60" s="2">
        <f>$AZ$8/(365/12)*MAX(节奏总纲!G56-$E$2,0)</f>
        <v>0</v>
      </c>
      <c r="BH60" s="2">
        <f>$AZ$8/(365/12)*MAX(节奏总纲!H56-$E$2,0)</f>
        <v>0</v>
      </c>
      <c r="BI60" s="2">
        <f>$AY$8/(365/12)*MAX(节奏总纲!D56-$E$2,0)</f>
        <v>0</v>
      </c>
      <c r="BJ60" s="2">
        <f>$AY$8/(365/12)*MAX(节奏总纲!E56-$E$2,0)</f>
        <v>0</v>
      </c>
      <c r="BK60" s="2">
        <f>$AY$8/(365/12)*MAX(节奏总纲!F56-$E$2,0)</f>
        <v>0</v>
      </c>
      <c r="BL60" s="2">
        <f>$AY$8/(365/12)*MAX(节奏总纲!G56-$E$2,0)</f>
        <v>0</v>
      </c>
      <c r="BM60" s="2">
        <f>$AY$8/(365/12)*MAX(节奏总纲!H56-$E$2,0)</f>
        <v>0</v>
      </c>
      <c r="CD60" s="2">
        <v>53</v>
      </c>
      <c r="CE60" s="2">
        <f>INDEX($BY$8:$BY$15,MATCH(CE$7,$CB$8:$CB$15,0))*SUM(C$11:C$12)/(365/12)*MAX(节奏总纲!D56-$E$2,0)</f>
        <v>0</v>
      </c>
      <c r="CF60" s="2">
        <f>INDEX($BY$8:$BY$15,MATCH(CF$7,$CB$8:$CB$15,0))*SUM(D$11:D$12)/(365/12)*MAX(节奏总纲!E56-$E$2,0)</f>
        <v>0</v>
      </c>
      <c r="CG60" s="2">
        <f>INDEX($BY$8:$BY$15,MATCH(CG$7,$CB$8:$CB$15,0))*SUM(E$11:E$12)/(365/12)*MAX(节奏总纲!F56-$E$2,0)</f>
        <v>0</v>
      </c>
      <c r="CH60" s="2">
        <f>INDEX($BY$8:$BY$15,MATCH(CH$7,$CB$8:$CB$15,0))*SUM(F$11:F$12)/(365/12)*MAX(节奏总纲!G56-$E$2,0)</f>
        <v>0</v>
      </c>
      <c r="CI60" s="2">
        <f>INDEX($BY$8:$BY$15,MATCH(CI$7,$CB$8:$CB$15,0))*SUM(G$11:G$12)/(365/12)*MAX(节奏总纲!H56-$E$2,0)</f>
        <v>0</v>
      </c>
      <c r="CJ60" s="2">
        <f>INDEX($BZ$8:$BZ$15,MATCH(CE$7,$CB$8:$CB$15,0))*SUM(C$11:C$12)/(365/12)*MAX(节奏总纲!D56-$E$2,0)</f>
        <v>0</v>
      </c>
      <c r="CK60" s="2">
        <f>INDEX($BZ$8:$BZ$15,MATCH(CF$7,$CB$8:$CB$15,0))*SUM(D$11:D$12)/(365/12)*MAX(节奏总纲!E56-$E$2,0)</f>
        <v>0</v>
      </c>
      <c r="CL60" s="2">
        <f>INDEX($BZ$8:$BZ$15,MATCH(CG$7,$CB$8:$CB$15,0))*SUM(E$11:E$12)/(365/12)*MAX(节奏总纲!F56-$E$2,0)</f>
        <v>0</v>
      </c>
      <c r="CM60" s="2">
        <f>INDEX($BZ$8:$BZ$15,MATCH(CH$7,$CB$8:$CB$15,0))*SUM(F$11:F$12)/(365/12)*MAX(节奏总纲!G56-$E$2,0)</f>
        <v>0</v>
      </c>
      <c r="CN60" s="2">
        <f>INDEX($BZ$8:$BZ$15,MATCH(CI$7,$CB$8:$CB$15,0))*SUM(G$11:G$12)/(365/12)*MAX(节奏总纲!H56-$E$2,0)</f>
        <v>0</v>
      </c>
      <c r="CS60" s="2">
        <v>53</v>
      </c>
      <c r="CT60" s="2">
        <f t="shared" si="41"/>
        <v>0</v>
      </c>
      <c r="CU60" s="2">
        <f t="shared" si="42"/>
        <v>0</v>
      </c>
      <c r="CV60" s="2">
        <f t="shared" si="43"/>
        <v>0</v>
      </c>
      <c r="CW60" s="2">
        <f t="shared" si="44"/>
        <v>0</v>
      </c>
      <c r="CX60" s="2">
        <f t="shared" si="45"/>
        <v>0</v>
      </c>
      <c r="CZ60" s="41" t="e">
        <f t="shared" si="46"/>
        <v>#DIV/0!</v>
      </c>
      <c r="DA60" s="41" t="e">
        <f t="shared" si="47"/>
        <v>#DIV/0!</v>
      </c>
      <c r="DB60" s="41" t="e">
        <f t="shared" si="48"/>
        <v>#DIV/0!</v>
      </c>
      <c r="DD60" s="41" t="e">
        <f t="shared" si="49"/>
        <v>#DIV/0!</v>
      </c>
      <c r="DE60" s="41" t="e">
        <f t="shared" si="50"/>
        <v>#DIV/0!</v>
      </c>
      <c r="DF60" s="41" t="e">
        <f t="shared" si="51"/>
        <v>#DIV/0!</v>
      </c>
      <c r="DH60" s="41" t="e">
        <f t="shared" si="52"/>
        <v>#DIV/0!</v>
      </c>
      <c r="DI60" s="41" t="e">
        <f t="shared" si="53"/>
        <v>#DIV/0!</v>
      </c>
      <c r="DJ60" s="41" t="e">
        <f t="shared" si="54"/>
        <v>#DIV/0!</v>
      </c>
      <c r="DL60" s="2">
        <f>CT60/节奏总纲!D56</f>
        <v>0</v>
      </c>
      <c r="DM60" s="2">
        <f>CU60/节奏总纲!E56</f>
        <v>0</v>
      </c>
      <c r="DN60" s="2">
        <f>CV60/节奏总纲!F56</f>
        <v>0</v>
      </c>
      <c r="DO60" s="2">
        <f>CW60/节奏总纲!G56</f>
        <v>0</v>
      </c>
      <c r="DP60" s="2">
        <f>CX60/节奏总纲!H56</f>
        <v>0</v>
      </c>
      <c r="DR60" s="2" t="e">
        <f t="shared" si="55"/>
        <v>#DIV/0!</v>
      </c>
      <c r="DS60" s="2" t="e">
        <f t="shared" si="56"/>
        <v>#DIV/0!</v>
      </c>
      <c r="DT60" s="2" t="e">
        <f t="shared" si="57"/>
        <v>#DIV/0!</v>
      </c>
      <c r="DU60" s="2" t="e">
        <f t="shared" si="58"/>
        <v>#DIV/0!</v>
      </c>
      <c r="DY60" s="2">
        <v>53</v>
      </c>
      <c r="DZ60" s="2">
        <f t="shared" si="22"/>
        <v>0</v>
      </c>
      <c r="EA60" s="2">
        <f t="shared" si="23"/>
        <v>0</v>
      </c>
      <c r="EB60" s="2">
        <f t="shared" si="24"/>
        <v>0</v>
      </c>
      <c r="EC60" s="2">
        <f t="shared" si="25"/>
        <v>0</v>
      </c>
      <c r="ED60" s="2">
        <f t="shared" si="26"/>
        <v>0</v>
      </c>
      <c r="EF60" s="57" t="e">
        <f t="shared" si="27"/>
        <v>#DIV/0!</v>
      </c>
      <c r="EG60" s="57" t="e">
        <f t="shared" si="28"/>
        <v>#DIV/0!</v>
      </c>
      <c r="EH60" s="41" t="e">
        <f t="shared" si="29"/>
        <v>#DIV/0!</v>
      </c>
      <c r="EJ60" s="57" t="e">
        <f t="shared" si="30"/>
        <v>#DIV/0!</v>
      </c>
      <c r="EK60" s="57" t="e">
        <f t="shared" si="31"/>
        <v>#DIV/0!</v>
      </c>
      <c r="EL60" s="41" t="e">
        <f t="shared" si="32"/>
        <v>#DIV/0!</v>
      </c>
      <c r="EN60" s="57" t="e">
        <f t="shared" si="33"/>
        <v>#DIV/0!</v>
      </c>
      <c r="EO60" s="57" t="e">
        <f t="shared" si="34"/>
        <v>#DIV/0!</v>
      </c>
      <c r="EP60" s="41" t="e">
        <f t="shared" si="35"/>
        <v>#DIV/0!</v>
      </c>
    </row>
    <row r="61" spans="20:146" x14ac:dyDescent="0.15">
      <c r="T61" s="2">
        <v>54</v>
      </c>
      <c r="U61" s="2">
        <f>$N$8*SUM(C$11:C$12)/(365/12)*MAX(节奏总纲!D57-$E$2,0)</f>
        <v>0</v>
      </c>
      <c r="V61" s="2">
        <f>$N$8*SUM(D$11:D$12)/(365/12)*MAX(节奏总纲!E57-$E$2,0)</f>
        <v>0</v>
      </c>
      <c r="W61" s="2">
        <f>$N$8*SUM(E$11:E$12)/(365/12)*MAX(节奏总纲!F57-$E$2,0)</f>
        <v>0</v>
      </c>
      <c r="X61" s="2">
        <f>$N$8*SUM(F$11:F$12)/(365/12)*MAX(节奏总纲!G57-$E$2,0)</f>
        <v>0</v>
      </c>
      <c r="Y61" s="2">
        <f>$N$8*SUM(G$11:G$12)/(365/12)*MAX(节奏总纲!H57-$E$2,0)</f>
        <v>0</v>
      </c>
      <c r="Z61" s="2">
        <f>$O$8*SUM(C$11:C$12)/(365/12)*MAX(节奏总纲!D57-$E$2,0)</f>
        <v>0</v>
      </c>
      <c r="AA61" s="2">
        <f>$O$8*SUM(D$11:D$12)/(365/12)*MAX(节奏总纲!E57-$E$2,0)</f>
        <v>0</v>
      </c>
      <c r="AB61" s="2">
        <f>$O$8*SUM(E$11:E$12)/(365/12)*MAX(节奏总纲!F57-$E$2,0)</f>
        <v>0</v>
      </c>
      <c r="AC61" s="2">
        <f>$O$8*SUM(F$11:F$12)/(365/12)*MAX(节奏总纲!G57-$E$2,0)</f>
        <v>0</v>
      </c>
      <c r="AD61" s="2">
        <f>$O$8*SUM(G$11:G$12)/(365/12)*MAX(节奏总纲!H57-$E$2,0)</f>
        <v>0</v>
      </c>
      <c r="AE61" s="2">
        <f>$Q$8*SUM(C$11:C$12)/(365/12)*MAX(节奏总纲!D57-$E$2,0)</f>
        <v>0</v>
      </c>
      <c r="AF61" s="2">
        <f>$Q$8*SUM(D$11:D$12)/(365/12)*MAX(节奏总纲!E57-$E$2,0)</f>
        <v>0</v>
      </c>
      <c r="AG61" s="2">
        <f>$Q$8*SUM(E$11:E$12)/(365/12)*MAX(节奏总纲!F57-$E$2,0)</f>
        <v>0</v>
      </c>
      <c r="AH61" s="2">
        <f>$Q$8*SUM(F$11:F$12)/(365/12)*MAX(节奏总纲!G57-$E$2,0)</f>
        <v>0</v>
      </c>
      <c r="AI61" s="2">
        <f>$Q$8*SUM(G$11:G$12)/(365/12)*MAX(节奏总纲!H57-$E$2,0)</f>
        <v>0</v>
      </c>
      <c r="AJ61" s="2">
        <f>$P$8*SUM(C$11:C$12)/(365/12)*MAX(节奏总纲!D57-$E$2,0)</f>
        <v>0</v>
      </c>
      <c r="AK61" s="2">
        <f>$P$8*SUM(D$11:D$12)/(365/12)*MAX(节奏总纲!E57-$E$2,0)</f>
        <v>0</v>
      </c>
      <c r="AL61" s="2">
        <f>$P$8*SUM(E$11:E$12)/(365/12)*MAX(节奏总纲!F57-$E$2,0)</f>
        <v>0</v>
      </c>
      <c r="AM61" s="2">
        <f>$P$8*SUM(F$11:F$12)/(365/12)*MAX(节奏总纲!G57-$E$2,0)</f>
        <v>0</v>
      </c>
      <c r="AN61" s="2">
        <f>$P$8*SUM(G$11:G$12)/(365/12)*MAX(节奏总纲!H57-$E$2,0)</f>
        <v>0</v>
      </c>
      <c r="BC61" s="2">
        <v>54</v>
      </c>
      <c r="BD61" s="2">
        <f>$AZ$8/(365/12)*MAX(节奏总纲!D57-$E$2,0)</f>
        <v>0</v>
      </c>
      <c r="BE61" s="2">
        <f>$AZ$8/(365/12)*MAX(节奏总纲!E57-$E$2,0)</f>
        <v>0</v>
      </c>
      <c r="BF61" s="2">
        <f>$AZ$8/(365/12)*MAX(节奏总纲!F57-$E$2,0)</f>
        <v>0</v>
      </c>
      <c r="BG61" s="2">
        <f>$AZ$8/(365/12)*MAX(节奏总纲!G57-$E$2,0)</f>
        <v>0</v>
      </c>
      <c r="BH61" s="2">
        <f>$AZ$8/(365/12)*MAX(节奏总纲!H57-$E$2,0)</f>
        <v>0</v>
      </c>
      <c r="BI61" s="2">
        <f>$AY$8/(365/12)*MAX(节奏总纲!D57-$E$2,0)</f>
        <v>0</v>
      </c>
      <c r="BJ61" s="2">
        <f>$AY$8/(365/12)*MAX(节奏总纲!E57-$E$2,0)</f>
        <v>0</v>
      </c>
      <c r="BK61" s="2">
        <f>$AY$8/(365/12)*MAX(节奏总纲!F57-$E$2,0)</f>
        <v>0</v>
      </c>
      <c r="BL61" s="2">
        <f>$AY$8/(365/12)*MAX(节奏总纲!G57-$E$2,0)</f>
        <v>0</v>
      </c>
      <c r="BM61" s="2">
        <f>$AY$8/(365/12)*MAX(节奏总纲!H57-$E$2,0)</f>
        <v>0</v>
      </c>
      <c r="CD61" s="2">
        <v>54</v>
      </c>
      <c r="CE61" s="2">
        <f>INDEX($BY$8:$BY$15,MATCH(CE$7,$CB$8:$CB$15,0))*SUM(C$11:C$12)/(365/12)*MAX(节奏总纲!D57-$E$2,0)</f>
        <v>0</v>
      </c>
      <c r="CF61" s="2">
        <f>INDEX($BY$8:$BY$15,MATCH(CF$7,$CB$8:$CB$15,0))*SUM(D$11:D$12)/(365/12)*MAX(节奏总纲!E57-$E$2,0)</f>
        <v>0</v>
      </c>
      <c r="CG61" s="2">
        <f>INDEX($BY$8:$BY$15,MATCH(CG$7,$CB$8:$CB$15,0))*SUM(E$11:E$12)/(365/12)*MAX(节奏总纲!F57-$E$2,0)</f>
        <v>0</v>
      </c>
      <c r="CH61" s="2">
        <f>INDEX($BY$8:$BY$15,MATCH(CH$7,$CB$8:$CB$15,0))*SUM(F$11:F$12)/(365/12)*MAX(节奏总纲!G57-$E$2,0)</f>
        <v>0</v>
      </c>
      <c r="CI61" s="2">
        <f>INDEX($BY$8:$BY$15,MATCH(CI$7,$CB$8:$CB$15,0))*SUM(G$11:G$12)/(365/12)*MAX(节奏总纲!H57-$E$2,0)</f>
        <v>0</v>
      </c>
      <c r="CJ61" s="2">
        <f>INDEX($BZ$8:$BZ$15,MATCH(CE$7,$CB$8:$CB$15,0))*SUM(C$11:C$12)/(365/12)*MAX(节奏总纲!D57-$E$2,0)</f>
        <v>0</v>
      </c>
      <c r="CK61" s="2">
        <f>INDEX($BZ$8:$BZ$15,MATCH(CF$7,$CB$8:$CB$15,0))*SUM(D$11:D$12)/(365/12)*MAX(节奏总纲!E57-$E$2,0)</f>
        <v>0</v>
      </c>
      <c r="CL61" s="2">
        <f>INDEX($BZ$8:$BZ$15,MATCH(CG$7,$CB$8:$CB$15,0))*SUM(E$11:E$12)/(365/12)*MAX(节奏总纲!F57-$E$2,0)</f>
        <v>0</v>
      </c>
      <c r="CM61" s="2">
        <f>INDEX($BZ$8:$BZ$15,MATCH(CH$7,$CB$8:$CB$15,0))*SUM(F$11:F$12)/(365/12)*MAX(节奏总纲!G57-$E$2,0)</f>
        <v>0</v>
      </c>
      <c r="CN61" s="2">
        <f>INDEX($BZ$8:$BZ$15,MATCH(CI$7,$CB$8:$CB$15,0))*SUM(G$11:G$12)/(365/12)*MAX(节奏总纲!H57-$E$2,0)</f>
        <v>0</v>
      </c>
      <c r="CS61" s="2">
        <v>54</v>
      </c>
      <c r="CT61" s="2">
        <f t="shared" si="41"/>
        <v>0</v>
      </c>
      <c r="CU61" s="2">
        <f t="shared" si="42"/>
        <v>0</v>
      </c>
      <c r="CV61" s="2">
        <f t="shared" si="43"/>
        <v>0</v>
      </c>
      <c r="CW61" s="2">
        <f t="shared" si="44"/>
        <v>0</v>
      </c>
      <c r="CX61" s="2">
        <f t="shared" si="45"/>
        <v>0</v>
      </c>
      <c r="CZ61" s="41" t="e">
        <f t="shared" si="46"/>
        <v>#DIV/0!</v>
      </c>
      <c r="DA61" s="41" t="e">
        <f t="shared" si="47"/>
        <v>#DIV/0!</v>
      </c>
      <c r="DB61" s="41" t="e">
        <f t="shared" si="48"/>
        <v>#DIV/0!</v>
      </c>
      <c r="DD61" s="41" t="e">
        <f t="shared" si="49"/>
        <v>#DIV/0!</v>
      </c>
      <c r="DE61" s="41" t="e">
        <f t="shared" si="50"/>
        <v>#DIV/0!</v>
      </c>
      <c r="DF61" s="41" t="e">
        <f t="shared" si="51"/>
        <v>#DIV/0!</v>
      </c>
      <c r="DH61" s="41" t="e">
        <f t="shared" si="52"/>
        <v>#DIV/0!</v>
      </c>
      <c r="DI61" s="41" t="e">
        <f t="shared" si="53"/>
        <v>#DIV/0!</v>
      </c>
      <c r="DJ61" s="41" t="e">
        <f t="shared" si="54"/>
        <v>#DIV/0!</v>
      </c>
      <c r="DL61" s="2">
        <f>CT61/节奏总纲!D57</f>
        <v>0</v>
      </c>
      <c r="DM61" s="2">
        <f>CU61/节奏总纲!E57</f>
        <v>0</v>
      </c>
      <c r="DN61" s="2">
        <f>CV61/节奏总纲!F57</f>
        <v>0</v>
      </c>
      <c r="DO61" s="2">
        <f>CW61/节奏总纲!G57</f>
        <v>0</v>
      </c>
      <c r="DP61" s="2">
        <f>CX61/节奏总纲!H57</f>
        <v>0</v>
      </c>
      <c r="DR61" s="2" t="e">
        <f t="shared" si="55"/>
        <v>#DIV/0!</v>
      </c>
      <c r="DS61" s="2" t="e">
        <f t="shared" si="56"/>
        <v>#DIV/0!</v>
      </c>
      <c r="DT61" s="2" t="e">
        <f t="shared" si="57"/>
        <v>#DIV/0!</v>
      </c>
      <c r="DU61" s="2" t="e">
        <f t="shared" si="58"/>
        <v>#DIV/0!</v>
      </c>
      <c r="DY61" s="2">
        <v>54</v>
      </c>
      <c r="DZ61" s="2">
        <f t="shared" si="22"/>
        <v>0</v>
      </c>
      <c r="EA61" s="2">
        <f t="shared" si="23"/>
        <v>0</v>
      </c>
      <c r="EB61" s="2">
        <f t="shared" si="24"/>
        <v>0</v>
      </c>
      <c r="EC61" s="2">
        <f t="shared" si="25"/>
        <v>0</v>
      </c>
      <c r="ED61" s="2">
        <f t="shared" si="26"/>
        <v>0</v>
      </c>
      <c r="EF61" s="57" t="e">
        <f t="shared" si="27"/>
        <v>#DIV/0!</v>
      </c>
      <c r="EG61" s="57" t="e">
        <f t="shared" si="28"/>
        <v>#DIV/0!</v>
      </c>
      <c r="EH61" s="41" t="e">
        <f t="shared" si="29"/>
        <v>#DIV/0!</v>
      </c>
      <c r="EJ61" s="57" t="e">
        <f t="shared" si="30"/>
        <v>#DIV/0!</v>
      </c>
      <c r="EK61" s="57" t="e">
        <f t="shared" si="31"/>
        <v>#DIV/0!</v>
      </c>
      <c r="EL61" s="41" t="e">
        <f t="shared" si="32"/>
        <v>#DIV/0!</v>
      </c>
      <c r="EN61" s="57" t="e">
        <f t="shared" si="33"/>
        <v>#DIV/0!</v>
      </c>
      <c r="EO61" s="57" t="e">
        <f t="shared" si="34"/>
        <v>#DIV/0!</v>
      </c>
      <c r="EP61" s="41" t="e">
        <f t="shared" si="35"/>
        <v>#DIV/0!</v>
      </c>
    </row>
    <row r="62" spans="20:146" x14ac:dyDescent="0.15">
      <c r="T62" s="2">
        <v>55</v>
      </c>
      <c r="U62" s="2">
        <f>$N$8*SUM(C$11:C$12)/(365/12)*MAX(节奏总纲!D58-$E$2,0)</f>
        <v>0</v>
      </c>
      <c r="V62" s="2">
        <f>$N$8*SUM(D$11:D$12)/(365/12)*MAX(节奏总纲!E58-$E$2,0)</f>
        <v>0</v>
      </c>
      <c r="W62" s="2">
        <f>$N$8*SUM(E$11:E$12)/(365/12)*MAX(节奏总纲!F58-$E$2,0)</f>
        <v>0</v>
      </c>
      <c r="X62" s="2">
        <f>$N$8*SUM(F$11:F$12)/(365/12)*MAX(节奏总纲!G58-$E$2,0)</f>
        <v>0</v>
      </c>
      <c r="Y62" s="2">
        <f>$N$8*SUM(G$11:G$12)/(365/12)*MAX(节奏总纲!H58-$E$2,0)</f>
        <v>0</v>
      </c>
      <c r="Z62" s="2">
        <f>$O$8*SUM(C$11:C$12)/(365/12)*MAX(节奏总纲!D58-$E$2,0)</f>
        <v>0</v>
      </c>
      <c r="AA62" s="2">
        <f>$O$8*SUM(D$11:D$12)/(365/12)*MAX(节奏总纲!E58-$E$2,0)</f>
        <v>0</v>
      </c>
      <c r="AB62" s="2">
        <f>$O$8*SUM(E$11:E$12)/(365/12)*MAX(节奏总纲!F58-$E$2,0)</f>
        <v>0</v>
      </c>
      <c r="AC62" s="2">
        <f>$O$8*SUM(F$11:F$12)/(365/12)*MAX(节奏总纲!G58-$E$2,0)</f>
        <v>0</v>
      </c>
      <c r="AD62" s="2">
        <f>$O$8*SUM(G$11:G$12)/(365/12)*MAX(节奏总纲!H58-$E$2,0)</f>
        <v>0</v>
      </c>
      <c r="AE62" s="2">
        <f>$Q$8*SUM(C$11:C$12)/(365/12)*MAX(节奏总纲!D58-$E$2,0)</f>
        <v>0</v>
      </c>
      <c r="AF62" s="2">
        <f>$Q$8*SUM(D$11:D$12)/(365/12)*MAX(节奏总纲!E58-$E$2,0)</f>
        <v>0</v>
      </c>
      <c r="AG62" s="2">
        <f>$Q$8*SUM(E$11:E$12)/(365/12)*MAX(节奏总纲!F58-$E$2,0)</f>
        <v>0</v>
      </c>
      <c r="AH62" s="2">
        <f>$Q$8*SUM(F$11:F$12)/(365/12)*MAX(节奏总纲!G58-$E$2,0)</f>
        <v>0</v>
      </c>
      <c r="AI62" s="2">
        <f>$Q$8*SUM(G$11:G$12)/(365/12)*MAX(节奏总纲!H58-$E$2,0)</f>
        <v>0</v>
      </c>
      <c r="AJ62" s="2">
        <f>$P$8*SUM(C$11:C$12)/(365/12)*MAX(节奏总纲!D58-$E$2,0)</f>
        <v>0</v>
      </c>
      <c r="AK62" s="2">
        <f>$P$8*SUM(D$11:D$12)/(365/12)*MAX(节奏总纲!E58-$E$2,0)</f>
        <v>0</v>
      </c>
      <c r="AL62" s="2">
        <f>$P$8*SUM(E$11:E$12)/(365/12)*MAX(节奏总纲!F58-$E$2,0)</f>
        <v>0</v>
      </c>
      <c r="AM62" s="2">
        <f>$P$8*SUM(F$11:F$12)/(365/12)*MAX(节奏总纲!G58-$E$2,0)</f>
        <v>0</v>
      </c>
      <c r="AN62" s="2">
        <f>$P$8*SUM(G$11:G$12)/(365/12)*MAX(节奏总纲!H58-$E$2,0)</f>
        <v>0</v>
      </c>
      <c r="BC62" s="2">
        <v>55</v>
      </c>
      <c r="BD62" s="2">
        <f>$AZ$8/(365/12)*MAX(节奏总纲!D58-$E$2,0)</f>
        <v>0</v>
      </c>
      <c r="BE62" s="2">
        <f>$AZ$8/(365/12)*MAX(节奏总纲!E58-$E$2,0)</f>
        <v>0</v>
      </c>
      <c r="BF62" s="2">
        <f>$AZ$8/(365/12)*MAX(节奏总纲!F58-$E$2,0)</f>
        <v>0</v>
      </c>
      <c r="BG62" s="2">
        <f>$AZ$8/(365/12)*MAX(节奏总纲!G58-$E$2,0)</f>
        <v>0</v>
      </c>
      <c r="BH62" s="2">
        <f>$AZ$8/(365/12)*MAX(节奏总纲!H58-$E$2,0)</f>
        <v>0</v>
      </c>
      <c r="BI62" s="2">
        <f>$AY$8/(365/12)*MAX(节奏总纲!D58-$E$2,0)</f>
        <v>0</v>
      </c>
      <c r="BJ62" s="2">
        <f>$AY$8/(365/12)*MAX(节奏总纲!E58-$E$2,0)</f>
        <v>0</v>
      </c>
      <c r="BK62" s="2">
        <f>$AY$8/(365/12)*MAX(节奏总纲!F58-$E$2,0)</f>
        <v>0</v>
      </c>
      <c r="BL62" s="2">
        <f>$AY$8/(365/12)*MAX(节奏总纲!G58-$E$2,0)</f>
        <v>0</v>
      </c>
      <c r="BM62" s="2">
        <f>$AY$8/(365/12)*MAX(节奏总纲!H58-$E$2,0)</f>
        <v>0</v>
      </c>
      <c r="CD62" s="2">
        <v>55</v>
      </c>
      <c r="CE62" s="2">
        <f>INDEX($BY$8:$BY$15,MATCH(CE$7,$CB$8:$CB$15,0))*SUM(C$11:C$12)/(365/12)*MAX(节奏总纲!D58-$E$2,0)</f>
        <v>0</v>
      </c>
      <c r="CF62" s="2">
        <f>INDEX($BY$8:$BY$15,MATCH(CF$7,$CB$8:$CB$15,0))*SUM(D$11:D$12)/(365/12)*MAX(节奏总纲!E58-$E$2,0)</f>
        <v>0</v>
      </c>
      <c r="CG62" s="2">
        <f>INDEX($BY$8:$BY$15,MATCH(CG$7,$CB$8:$CB$15,0))*SUM(E$11:E$12)/(365/12)*MAX(节奏总纲!F58-$E$2,0)</f>
        <v>0</v>
      </c>
      <c r="CH62" s="2">
        <f>INDEX($BY$8:$BY$15,MATCH(CH$7,$CB$8:$CB$15,0))*SUM(F$11:F$12)/(365/12)*MAX(节奏总纲!G58-$E$2,0)</f>
        <v>0</v>
      </c>
      <c r="CI62" s="2">
        <f>INDEX($BY$8:$BY$15,MATCH(CI$7,$CB$8:$CB$15,0))*SUM(G$11:G$12)/(365/12)*MAX(节奏总纲!H58-$E$2,0)</f>
        <v>0</v>
      </c>
      <c r="CJ62" s="2">
        <f>INDEX($BZ$8:$BZ$15,MATCH(CE$7,$CB$8:$CB$15,0))*SUM(C$11:C$12)/(365/12)*MAX(节奏总纲!D58-$E$2,0)</f>
        <v>0</v>
      </c>
      <c r="CK62" s="2">
        <f>INDEX($BZ$8:$BZ$15,MATCH(CF$7,$CB$8:$CB$15,0))*SUM(D$11:D$12)/(365/12)*MAX(节奏总纲!E58-$E$2,0)</f>
        <v>0</v>
      </c>
      <c r="CL62" s="2">
        <f>INDEX($BZ$8:$BZ$15,MATCH(CG$7,$CB$8:$CB$15,0))*SUM(E$11:E$12)/(365/12)*MAX(节奏总纲!F58-$E$2,0)</f>
        <v>0</v>
      </c>
      <c r="CM62" s="2">
        <f>INDEX($BZ$8:$BZ$15,MATCH(CH$7,$CB$8:$CB$15,0))*SUM(F$11:F$12)/(365/12)*MAX(节奏总纲!G58-$E$2,0)</f>
        <v>0</v>
      </c>
      <c r="CN62" s="2">
        <f>INDEX($BZ$8:$BZ$15,MATCH(CI$7,$CB$8:$CB$15,0))*SUM(G$11:G$12)/(365/12)*MAX(节奏总纲!H58-$E$2,0)</f>
        <v>0</v>
      </c>
      <c r="CS62" s="2">
        <v>55</v>
      </c>
      <c r="CT62" s="2">
        <f t="shared" si="41"/>
        <v>0</v>
      </c>
      <c r="CU62" s="2">
        <f t="shared" si="42"/>
        <v>0</v>
      </c>
      <c r="CV62" s="2">
        <f t="shared" si="43"/>
        <v>0</v>
      </c>
      <c r="CW62" s="2">
        <f t="shared" si="44"/>
        <v>0</v>
      </c>
      <c r="CX62" s="2">
        <f t="shared" si="45"/>
        <v>0</v>
      </c>
      <c r="CZ62" s="41" t="e">
        <f t="shared" si="46"/>
        <v>#DIV/0!</v>
      </c>
      <c r="DA62" s="41" t="e">
        <f t="shared" si="47"/>
        <v>#DIV/0!</v>
      </c>
      <c r="DB62" s="41" t="e">
        <f t="shared" si="48"/>
        <v>#DIV/0!</v>
      </c>
      <c r="DD62" s="41" t="e">
        <f t="shared" si="49"/>
        <v>#DIV/0!</v>
      </c>
      <c r="DE62" s="41" t="e">
        <f t="shared" si="50"/>
        <v>#DIV/0!</v>
      </c>
      <c r="DF62" s="41" t="e">
        <f t="shared" si="51"/>
        <v>#DIV/0!</v>
      </c>
      <c r="DH62" s="41" t="e">
        <f t="shared" si="52"/>
        <v>#DIV/0!</v>
      </c>
      <c r="DI62" s="41" t="e">
        <f t="shared" si="53"/>
        <v>#DIV/0!</v>
      </c>
      <c r="DJ62" s="41" t="e">
        <f t="shared" si="54"/>
        <v>#DIV/0!</v>
      </c>
      <c r="DL62" s="2">
        <f>CT62/节奏总纲!D58</f>
        <v>0</v>
      </c>
      <c r="DM62" s="2">
        <f>CU62/节奏总纲!E58</f>
        <v>0</v>
      </c>
      <c r="DN62" s="2">
        <f>CV62/节奏总纲!F58</f>
        <v>0</v>
      </c>
      <c r="DO62" s="2">
        <f>CW62/节奏总纲!G58</f>
        <v>0</v>
      </c>
      <c r="DP62" s="2">
        <f>CX62/节奏总纲!H58</f>
        <v>0</v>
      </c>
      <c r="DR62" s="2" t="e">
        <f t="shared" si="55"/>
        <v>#DIV/0!</v>
      </c>
      <c r="DS62" s="2" t="e">
        <f t="shared" si="56"/>
        <v>#DIV/0!</v>
      </c>
      <c r="DT62" s="2" t="e">
        <f t="shared" si="57"/>
        <v>#DIV/0!</v>
      </c>
      <c r="DU62" s="2" t="e">
        <f t="shared" si="58"/>
        <v>#DIV/0!</v>
      </c>
      <c r="DY62" s="2">
        <v>55</v>
      </c>
      <c r="DZ62" s="2">
        <f t="shared" si="22"/>
        <v>0</v>
      </c>
      <c r="EA62" s="2">
        <f t="shared" si="23"/>
        <v>0</v>
      </c>
      <c r="EB62" s="2">
        <f t="shared" si="24"/>
        <v>0</v>
      </c>
      <c r="EC62" s="2">
        <f t="shared" si="25"/>
        <v>0</v>
      </c>
      <c r="ED62" s="2">
        <f t="shared" si="26"/>
        <v>0</v>
      </c>
      <c r="EF62" s="57" t="e">
        <f t="shared" si="27"/>
        <v>#DIV/0!</v>
      </c>
      <c r="EG62" s="57" t="e">
        <f t="shared" si="28"/>
        <v>#DIV/0!</v>
      </c>
      <c r="EH62" s="41" t="e">
        <f t="shared" si="29"/>
        <v>#DIV/0!</v>
      </c>
      <c r="EJ62" s="57" t="e">
        <f t="shared" si="30"/>
        <v>#DIV/0!</v>
      </c>
      <c r="EK62" s="57" t="e">
        <f t="shared" si="31"/>
        <v>#DIV/0!</v>
      </c>
      <c r="EL62" s="41" t="e">
        <f t="shared" si="32"/>
        <v>#DIV/0!</v>
      </c>
      <c r="EN62" s="57" t="e">
        <f t="shared" si="33"/>
        <v>#DIV/0!</v>
      </c>
      <c r="EO62" s="57" t="e">
        <f t="shared" si="34"/>
        <v>#DIV/0!</v>
      </c>
      <c r="EP62" s="41" t="e">
        <f t="shared" si="35"/>
        <v>#DIV/0!</v>
      </c>
    </row>
    <row r="63" spans="20:146" x14ac:dyDescent="0.15">
      <c r="T63" s="2">
        <v>56</v>
      </c>
      <c r="U63" s="2">
        <f>$N$8*SUM(C$11:C$12)/(365/12)*MAX(节奏总纲!D59-$E$2,0)</f>
        <v>0</v>
      </c>
      <c r="V63" s="2">
        <f>$N$8*SUM(D$11:D$12)/(365/12)*MAX(节奏总纲!E59-$E$2,0)</f>
        <v>0</v>
      </c>
      <c r="W63" s="2">
        <f>$N$8*SUM(E$11:E$12)/(365/12)*MAX(节奏总纲!F59-$E$2,0)</f>
        <v>0</v>
      </c>
      <c r="X63" s="2">
        <f>$N$8*SUM(F$11:F$12)/(365/12)*MAX(节奏总纲!G59-$E$2,0)</f>
        <v>0</v>
      </c>
      <c r="Y63" s="2">
        <f>$N$8*SUM(G$11:G$12)/(365/12)*MAX(节奏总纲!H59-$E$2,0)</f>
        <v>0</v>
      </c>
      <c r="Z63" s="2">
        <f>$O$8*SUM(C$11:C$12)/(365/12)*MAX(节奏总纲!D59-$E$2,0)</f>
        <v>0</v>
      </c>
      <c r="AA63" s="2">
        <f>$O$8*SUM(D$11:D$12)/(365/12)*MAX(节奏总纲!E59-$E$2,0)</f>
        <v>0</v>
      </c>
      <c r="AB63" s="2">
        <f>$O$8*SUM(E$11:E$12)/(365/12)*MAX(节奏总纲!F59-$E$2,0)</f>
        <v>0</v>
      </c>
      <c r="AC63" s="2">
        <f>$O$8*SUM(F$11:F$12)/(365/12)*MAX(节奏总纲!G59-$E$2,0)</f>
        <v>0</v>
      </c>
      <c r="AD63" s="2">
        <f>$O$8*SUM(G$11:G$12)/(365/12)*MAX(节奏总纲!H59-$E$2,0)</f>
        <v>0</v>
      </c>
      <c r="AE63" s="2">
        <f>$Q$8*SUM(C$11:C$12)/(365/12)*MAX(节奏总纲!D59-$E$2,0)</f>
        <v>0</v>
      </c>
      <c r="AF63" s="2">
        <f>$Q$8*SUM(D$11:D$12)/(365/12)*MAX(节奏总纲!E59-$E$2,0)</f>
        <v>0</v>
      </c>
      <c r="AG63" s="2">
        <f>$Q$8*SUM(E$11:E$12)/(365/12)*MAX(节奏总纲!F59-$E$2,0)</f>
        <v>0</v>
      </c>
      <c r="AH63" s="2">
        <f>$Q$8*SUM(F$11:F$12)/(365/12)*MAX(节奏总纲!G59-$E$2,0)</f>
        <v>0</v>
      </c>
      <c r="AI63" s="2">
        <f>$Q$8*SUM(G$11:G$12)/(365/12)*MAX(节奏总纲!H59-$E$2,0)</f>
        <v>0</v>
      </c>
      <c r="AJ63" s="2">
        <f>$P$8*SUM(C$11:C$12)/(365/12)*MAX(节奏总纲!D59-$E$2,0)</f>
        <v>0</v>
      </c>
      <c r="AK63" s="2">
        <f>$P$8*SUM(D$11:D$12)/(365/12)*MAX(节奏总纲!E59-$E$2,0)</f>
        <v>0</v>
      </c>
      <c r="AL63" s="2">
        <f>$P$8*SUM(E$11:E$12)/(365/12)*MAX(节奏总纲!F59-$E$2,0)</f>
        <v>0</v>
      </c>
      <c r="AM63" s="2">
        <f>$P$8*SUM(F$11:F$12)/(365/12)*MAX(节奏总纲!G59-$E$2,0)</f>
        <v>0</v>
      </c>
      <c r="AN63" s="2">
        <f>$P$8*SUM(G$11:G$12)/(365/12)*MAX(节奏总纲!H59-$E$2,0)</f>
        <v>0</v>
      </c>
      <c r="BC63" s="2">
        <v>56</v>
      </c>
      <c r="BD63" s="2">
        <f>$AZ$8/(365/12)*MAX(节奏总纲!D59-$E$2,0)</f>
        <v>0</v>
      </c>
      <c r="BE63" s="2">
        <f>$AZ$8/(365/12)*MAX(节奏总纲!E59-$E$2,0)</f>
        <v>0</v>
      </c>
      <c r="BF63" s="2">
        <f>$AZ$8/(365/12)*MAX(节奏总纲!F59-$E$2,0)</f>
        <v>0</v>
      </c>
      <c r="BG63" s="2">
        <f>$AZ$8/(365/12)*MAX(节奏总纲!G59-$E$2,0)</f>
        <v>0</v>
      </c>
      <c r="BH63" s="2">
        <f>$AZ$8/(365/12)*MAX(节奏总纲!H59-$E$2,0)</f>
        <v>0</v>
      </c>
      <c r="BI63" s="2">
        <f>$AY$8/(365/12)*MAX(节奏总纲!D59-$E$2,0)</f>
        <v>0</v>
      </c>
      <c r="BJ63" s="2">
        <f>$AY$8/(365/12)*MAX(节奏总纲!E59-$E$2,0)</f>
        <v>0</v>
      </c>
      <c r="BK63" s="2">
        <f>$AY$8/(365/12)*MAX(节奏总纲!F59-$E$2,0)</f>
        <v>0</v>
      </c>
      <c r="BL63" s="2">
        <f>$AY$8/(365/12)*MAX(节奏总纲!G59-$E$2,0)</f>
        <v>0</v>
      </c>
      <c r="BM63" s="2">
        <f>$AY$8/(365/12)*MAX(节奏总纲!H59-$E$2,0)</f>
        <v>0</v>
      </c>
      <c r="CD63" s="2">
        <v>56</v>
      </c>
      <c r="CE63" s="2">
        <f>INDEX($BY$8:$BY$15,MATCH(CE$7,$CB$8:$CB$15,0))*SUM(C$11:C$12)/(365/12)*MAX(节奏总纲!D59-$E$2,0)</f>
        <v>0</v>
      </c>
      <c r="CF63" s="2">
        <f>INDEX($BY$8:$BY$15,MATCH(CF$7,$CB$8:$CB$15,0))*SUM(D$11:D$12)/(365/12)*MAX(节奏总纲!E59-$E$2,0)</f>
        <v>0</v>
      </c>
      <c r="CG63" s="2">
        <f>INDEX($BY$8:$BY$15,MATCH(CG$7,$CB$8:$CB$15,0))*SUM(E$11:E$12)/(365/12)*MAX(节奏总纲!F59-$E$2,0)</f>
        <v>0</v>
      </c>
      <c r="CH63" s="2">
        <f>INDEX($BY$8:$BY$15,MATCH(CH$7,$CB$8:$CB$15,0))*SUM(F$11:F$12)/(365/12)*MAX(节奏总纲!G59-$E$2,0)</f>
        <v>0</v>
      </c>
      <c r="CI63" s="2">
        <f>INDEX($BY$8:$BY$15,MATCH(CI$7,$CB$8:$CB$15,0))*SUM(G$11:G$12)/(365/12)*MAX(节奏总纲!H59-$E$2,0)</f>
        <v>0</v>
      </c>
      <c r="CJ63" s="2">
        <f>INDEX($BZ$8:$BZ$15,MATCH(CE$7,$CB$8:$CB$15,0))*SUM(C$11:C$12)/(365/12)*MAX(节奏总纲!D59-$E$2,0)</f>
        <v>0</v>
      </c>
      <c r="CK63" s="2">
        <f>INDEX($BZ$8:$BZ$15,MATCH(CF$7,$CB$8:$CB$15,0))*SUM(D$11:D$12)/(365/12)*MAX(节奏总纲!E59-$E$2,0)</f>
        <v>0</v>
      </c>
      <c r="CL63" s="2">
        <f>INDEX($BZ$8:$BZ$15,MATCH(CG$7,$CB$8:$CB$15,0))*SUM(E$11:E$12)/(365/12)*MAX(节奏总纲!F59-$E$2,0)</f>
        <v>0</v>
      </c>
      <c r="CM63" s="2">
        <f>INDEX($BZ$8:$BZ$15,MATCH(CH$7,$CB$8:$CB$15,0))*SUM(F$11:F$12)/(365/12)*MAX(节奏总纲!G59-$E$2,0)</f>
        <v>0</v>
      </c>
      <c r="CN63" s="2">
        <f>INDEX($BZ$8:$BZ$15,MATCH(CI$7,$CB$8:$CB$15,0))*SUM(G$11:G$12)/(365/12)*MAX(节奏总纲!H59-$E$2,0)</f>
        <v>0</v>
      </c>
      <c r="CS63" s="2">
        <v>56</v>
      </c>
      <c r="CT63" s="2">
        <f t="shared" si="41"/>
        <v>0</v>
      </c>
      <c r="CU63" s="2">
        <f t="shared" si="42"/>
        <v>0</v>
      </c>
      <c r="CV63" s="2">
        <f t="shared" si="43"/>
        <v>0</v>
      </c>
      <c r="CW63" s="2">
        <f t="shared" si="44"/>
        <v>0</v>
      </c>
      <c r="CX63" s="2">
        <f t="shared" si="45"/>
        <v>0</v>
      </c>
      <c r="CZ63" s="41" t="e">
        <f t="shared" si="46"/>
        <v>#DIV/0!</v>
      </c>
      <c r="DA63" s="41" t="e">
        <f t="shared" si="47"/>
        <v>#DIV/0!</v>
      </c>
      <c r="DB63" s="41" t="e">
        <f t="shared" si="48"/>
        <v>#DIV/0!</v>
      </c>
      <c r="DD63" s="41" t="e">
        <f t="shared" si="49"/>
        <v>#DIV/0!</v>
      </c>
      <c r="DE63" s="41" t="e">
        <f t="shared" si="50"/>
        <v>#DIV/0!</v>
      </c>
      <c r="DF63" s="41" t="e">
        <f t="shared" si="51"/>
        <v>#DIV/0!</v>
      </c>
      <c r="DH63" s="41" t="e">
        <f t="shared" si="52"/>
        <v>#DIV/0!</v>
      </c>
      <c r="DI63" s="41" t="e">
        <f t="shared" si="53"/>
        <v>#DIV/0!</v>
      </c>
      <c r="DJ63" s="41" t="e">
        <f t="shared" si="54"/>
        <v>#DIV/0!</v>
      </c>
      <c r="DL63" s="2">
        <f>CT63/节奏总纲!D59</f>
        <v>0</v>
      </c>
      <c r="DM63" s="2">
        <f>CU63/节奏总纲!E59</f>
        <v>0</v>
      </c>
      <c r="DN63" s="2">
        <f>CV63/节奏总纲!F59</f>
        <v>0</v>
      </c>
      <c r="DO63" s="2">
        <f>CW63/节奏总纲!G59</f>
        <v>0</v>
      </c>
      <c r="DP63" s="2">
        <f>CX63/节奏总纲!H59</f>
        <v>0</v>
      </c>
      <c r="DR63" s="2" t="e">
        <f t="shared" si="55"/>
        <v>#DIV/0!</v>
      </c>
      <c r="DS63" s="2" t="e">
        <f t="shared" si="56"/>
        <v>#DIV/0!</v>
      </c>
      <c r="DT63" s="2" t="e">
        <f t="shared" si="57"/>
        <v>#DIV/0!</v>
      </c>
      <c r="DU63" s="2" t="e">
        <f t="shared" si="58"/>
        <v>#DIV/0!</v>
      </c>
      <c r="DY63" s="2">
        <v>56</v>
      </c>
      <c r="DZ63" s="2">
        <f t="shared" si="22"/>
        <v>0</v>
      </c>
      <c r="EA63" s="2">
        <f t="shared" si="23"/>
        <v>0</v>
      </c>
      <c r="EB63" s="2">
        <f t="shared" si="24"/>
        <v>0</v>
      </c>
      <c r="EC63" s="2">
        <f t="shared" si="25"/>
        <v>0</v>
      </c>
      <c r="ED63" s="2">
        <f t="shared" si="26"/>
        <v>0</v>
      </c>
      <c r="EF63" s="57" t="e">
        <f t="shared" si="27"/>
        <v>#DIV/0!</v>
      </c>
      <c r="EG63" s="57" t="e">
        <f t="shared" si="28"/>
        <v>#DIV/0!</v>
      </c>
      <c r="EH63" s="41" t="e">
        <f t="shared" si="29"/>
        <v>#DIV/0!</v>
      </c>
      <c r="EJ63" s="57" t="e">
        <f t="shared" si="30"/>
        <v>#DIV/0!</v>
      </c>
      <c r="EK63" s="57" t="e">
        <f t="shared" si="31"/>
        <v>#DIV/0!</v>
      </c>
      <c r="EL63" s="41" t="e">
        <f t="shared" si="32"/>
        <v>#DIV/0!</v>
      </c>
      <c r="EN63" s="57" t="e">
        <f t="shared" si="33"/>
        <v>#DIV/0!</v>
      </c>
      <c r="EO63" s="57" t="e">
        <f t="shared" si="34"/>
        <v>#DIV/0!</v>
      </c>
      <c r="EP63" s="41" t="e">
        <f t="shared" si="35"/>
        <v>#DIV/0!</v>
      </c>
    </row>
    <row r="64" spans="20:146" x14ac:dyDescent="0.15">
      <c r="T64" s="2">
        <v>57</v>
      </c>
      <c r="U64" s="2">
        <f>$N$8*SUM(C$11:C$12)/(365/12)*MAX(节奏总纲!D60-$E$2,0)</f>
        <v>0</v>
      </c>
      <c r="V64" s="2">
        <f>$N$8*SUM(D$11:D$12)/(365/12)*MAX(节奏总纲!E60-$E$2,0)</f>
        <v>0</v>
      </c>
      <c r="W64" s="2">
        <f>$N$8*SUM(E$11:E$12)/(365/12)*MAX(节奏总纲!F60-$E$2,0)</f>
        <v>0</v>
      </c>
      <c r="X64" s="2">
        <f>$N$8*SUM(F$11:F$12)/(365/12)*MAX(节奏总纲!G60-$E$2,0)</f>
        <v>0</v>
      </c>
      <c r="Y64" s="2">
        <f>$N$8*SUM(G$11:G$12)/(365/12)*MAX(节奏总纲!H60-$E$2,0)</f>
        <v>0</v>
      </c>
      <c r="Z64" s="2">
        <f>$O$8*SUM(C$11:C$12)/(365/12)*MAX(节奏总纲!D60-$E$2,0)</f>
        <v>0</v>
      </c>
      <c r="AA64" s="2">
        <f>$O$8*SUM(D$11:D$12)/(365/12)*MAX(节奏总纲!E60-$E$2,0)</f>
        <v>0</v>
      </c>
      <c r="AB64" s="2">
        <f>$O$8*SUM(E$11:E$12)/(365/12)*MAX(节奏总纲!F60-$E$2,0)</f>
        <v>0</v>
      </c>
      <c r="AC64" s="2">
        <f>$O$8*SUM(F$11:F$12)/(365/12)*MAX(节奏总纲!G60-$E$2,0)</f>
        <v>0</v>
      </c>
      <c r="AD64" s="2">
        <f>$O$8*SUM(G$11:G$12)/(365/12)*MAX(节奏总纲!H60-$E$2,0)</f>
        <v>0</v>
      </c>
      <c r="AE64" s="2">
        <f>$Q$8*SUM(C$11:C$12)/(365/12)*MAX(节奏总纲!D60-$E$2,0)</f>
        <v>0</v>
      </c>
      <c r="AF64" s="2">
        <f>$Q$8*SUM(D$11:D$12)/(365/12)*MAX(节奏总纲!E60-$E$2,0)</f>
        <v>0</v>
      </c>
      <c r="AG64" s="2">
        <f>$Q$8*SUM(E$11:E$12)/(365/12)*MAX(节奏总纲!F60-$E$2,0)</f>
        <v>0</v>
      </c>
      <c r="AH64" s="2">
        <f>$Q$8*SUM(F$11:F$12)/(365/12)*MAX(节奏总纲!G60-$E$2,0)</f>
        <v>0</v>
      </c>
      <c r="AI64" s="2">
        <f>$Q$8*SUM(G$11:G$12)/(365/12)*MAX(节奏总纲!H60-$E$2,0)</f>
        <v>0</v>
      </c>
      <c r="AJ64" s="2">
        <f>$P$8*SUM(C$11:C$12)/(365/12)*MAX(节奏总纲!D60-$E$2,0)</f>
        <v>0</v>
      </c>
      <c r="AK64" s="2">
        <f>$P$8*SUM(D$11:D$12)/(365/12)*MAX(节奏总纲!E60-$E$2,0)</f>
        <v>0</v>
      </c>
      <c r="AL64" s="2">
        <f>$P$8*SUM(E$11:E$12)/(365/12)*MAX(节奏总纲!F60-$E$2,0)</f>
        <v>0</v>
      </c>
      <c r="AM64" s="2">
        <f>$P$8*SUM(F$11:F$12)/(365/12)*MAX(节奏总纲!G60-$E$2,0)</f>
        <v>0</v>
      </c>
      <c r="AN64" s="2">
        <f>$P$8*SUM(G$11:G$12)/(365/12)*MAX(节奏总纲!H60-$E$2,0)</f>
        <v>0</v>
      </c>
      <c r="BC64" s="2">
        <v>57</v>
      </c>
      <c r="BD64" s="2">
        <f>$AZ$8/(365/12)*MAX(节奏总纲!D60-$E$2,0)</f>
        <v>0</v>
      </c>
      <c r="BE64" s="2">
        <f>$AZ$8/(365/12)*MAX(节奏总纲!E60-$E$2,0)</f>
        <v>0</v>
      </c>
      <c r="BF64" s="2">
        <f>$AZ$8/(365/12)*MAX(节奏总纲!F60-$E$2,0)</f>
        <v>0</v>
      </c>
      <c r="BG64" s="2">
        <f>$AZ$8/(365/12)*MAX(节奏总纲!G60-$E$2,0)</f>
        <v>0</v>
      </c>
      <c r="BH64" s="2">
        <f>$AZ$8/(365/12)*MAX(节奏总纲!H60-$E$2,0)</f>
        <v>0</v>
      </c>
      <c r="BI64" s="2">
        <f>$AY$8/(365/12)*MAX(节奏总纲!D60-$E$2,0)</f>
        <v>0</v>
      </c>
      <c r="BJ64" s="2">
        <f>$AY$8/(365/12)*MAX(节奏总纲!E60-$E$2,0)</f>
        <v>0</v>
      </c>
      <c r="BK64" s="2">
        <f>$AY$8/(365/12)*MAX(节奏总纲!F60-$E$2,0)</f>
        <v>0</v>
      </c>
      <c r="BL64" s="2">
        <f>$AY$8/(365/12)*MAX(节奏总纲!G60-$E$2,0)</f>
        <v>0</v>
      </c>
      <c r="BM64" s="2">
        <f>$AY$8/(365/12)*MAX(节奏总纲!H60-$E$2,0)</f>
        <v>0</v>
      </c>
      <c r="CD64" s="2">
        <v>57</v>
      </c>
      <c r="CE64" s="2">
        <f>INDEX($BY$8:$BY$15,MATCH(CE$7,$CB$8:$CB$15,0))*SUM(C$11:C$12)/(365/12)*MAX(节奏总纲!D60-$E$2,0)</f>
        <v>0</v>
      </c>
      <c r="CF64" s="2">
        <f>INDEX($BY$8:$BY$15,MATCH(CF$7,$CB$8:$CB$15,0))*SUM(D$11:D$12)/(365/12)*MAX(节奏总纲!E60-$E$2,0)</f>
        <v>0</v>
      </c>
      <c r="CG64" s="2">
        <f>INDEX($BY$8:$BY$15,MATCH(CG$7,$CB$8:$CB$15,0))*SUM(E$11:E$12)/(365/12)*MAX(节奏总纲!F60-$E$2,0)</f>
        <v>0</v>
      </c>
      <c r="CH64" s="2">
        <f>INDEX($BY$8:$BY$15,MATCH(CH$7,$CB$8:$CB$15,0))*SUM(F$11:F$12)/(365/12)*MAX(节奏总纲!G60-$E$2,0)</f>
        <v>0</v>
      </c>
      <c r="CI64" s="2">
        <f>INDEX($BY$8:$BY$15,MATCH(CI$7,$CB$8:$CB$15,0))*SUM(G$11:G$12)/(365/12)*MAX(节奏总纲!H60-$E$2,0)</f>
        <v>0</v>
      </c>
      <c r="CJ64" s="2">
        <f>INDEX($BZ$8:$BZ$15,MATCH(CE$7,$CB$8:$CB$15,0))*SUM(C$11:C$12)/(365/12)*MAX(节奏总纲!D60-$E$2,0)</f>
        <v>0</v>
      </c>
      <c r="CK64" s="2">
        <f>INDEX($BZ$8:$BZ$15,MATCH(CF$7,$CB$8:$CB$15,0))*SUM(D$11:D$12)/(365/12)*MAX(节奏总纲!E60-$E$2,0)</f>
        <v>0</v>
      </c>
      <c r="CL64" s="2">
        <f>INDEX($BZ$8:$BZ$15,MATCH(CG$7,$CB$8:$CB$15,0))*SUM(E$11:E$12)/(365/12)*MAX(节奏总纲!F60-$E$2,0)</f>
        <v>0</v>
      </c>
      <c r="CM64" s="2">
        <f>INDEX($BZ$8:$BZ$15,MATCH(CH$7,$CB$8:$CB$15,0))*SUM(F$11:F$12)/(365/12)*MAX(节奏总纲!G60-$E$2,0)</f>
        <v>0</v>
      </c>
      <c r="CN64" s="2">
        <f>INDEX($BZ$8:$BZ$15,MATCH(CI$7,$CB$8:$CB$15,0))*SUM(G$11:G$12)/(365/12)*MAX(节奏总纲!H60-$E$2,0)</f>
        <v>0</v>
      </c>
      <c r="CS64" s="2">
        <v>57</v>
      </c>
      <c r="CT64" s="2">
        <f t="shared" si="41"/>
        <v>0</v>
      </c>
      <c r="CU64" s="2">
        <f t="shared" si="42"/>
        <v>0</v>
      </c>
      <c r="CV64" s="2">
        <f t="shared" si="43"/>
        <v>0</v>
      </c>
      <c r="CW64" s="2">
        <f t="shared" si="44"/>
        <v>0</v>
      </c>
      <c r="CX64" s="2">
        <f t="shared" si="45"/>
        <v>0</v>
      </c>
      <c r="CZ64" s="41" t="e">
        <f t="shared" si="46"/>
        <v>#DIV/0!</v>
      </c>
      <c r="DA64" s="41" t="e">
        <f t="shared" si="47"/>
        <v>#DIV/0!</v>
      </c>
      <c r="DB64" s="41" t="e">
        <f t="shared" si="48"/>
        <v>#DIV/0!</v>
      </c>
      <c r="DD64" s="41" t="e">
        <f t="shared" si="49"/>
        <v>#DIV/0!</v>
      </c>
      <c r="DE64" s="41" t="e">
        <f t="shared" si="50"/>
        <v>#DIV/0!</v>
      </c>
      <c r="DF64" s="41" t="e">
        <f t="shared" si="51"/>
        <v>#DIV/0!</v>
      </c>
      <c r="DH64" s="41" t="e">
        <f t="shared" si="52"/>
        <v>#DIV/0!</v>
      </c>
      <c r="DI64" s="41" t="e">
        <f t="shared" si="53"/>
        <v>#DIV/0!</v>
      </c>
      <c r="DJ64" s="41" t="e">
        <f t="shared" si="54"/>
        <v>#DIV/0!</v>
      </c>
      <c r="DL64" s="2">
        <f>CT64/节奏总纲!D60</f>
        <v>0</v>
      </c>
      <c r="DM64" s="2">
        <f>CU64/节奏总纲!E60</f>
        <v>0</v>
      </c>
      <c r="DN64" s="2">
        <f>CV64/节奏总纲!F60</f>
        <v>0</v>
      </c>
      <c r="DO64" s="2">
        <f>CW64/节奏总纲!G60</f>
        <v>0</v>
      </c>
      <c r="DP64" s="2">
        <f>CX64/节奏总纲!H60</f>
        <v>0</v>
      </c>
      <c r="DR64" s="2" t="e">
        <f t="shared" si="55"/>
        <v>#DIV/0!</v>
      </c>
      <c r="DS64" s="2" t="e">
        <f t="shared" si="56"/>
        <v>#DIV/0!</v>
      </c>
      <c r="DT64" s="2" t="e">
        <f t="shared" si="57"/>
        <v>#DIV/0!</v>
      </c>
      <c r="DU64" s="2" t="e">
        <f t="shared" si="58"/>
        <v>#DIV/0!</v>
      </c>
      <c r="DY64" s="2">
        <v>57</v>
      </c>
      <c r="DZ64" s="2">
        <f t="shared" si="22"/>
        <v>0</v>
      </c>
      <c r="EA64" s="2">
        <f t="shared" si="23"/>
        <v>0</v>
      </c>
      <c r="EB64" s="2">
        <f t="shared" si="24"/>
        <v>0</v>
      </c>
      <c r="EC64" s="2">
        <f t="shared" si="25"/>
        <v>0</v>
      </c>
      <c r="ED64" s="2">
        <f t="shared" si="26"/>
        <v>0</v>
      </c>
      <c r="EF64" s="57" t="e">
        <f t="shared" si="27"/>
        <v>#DIV/0!</v>
      </c>
      <c r="EG64" s="57" t="e">
        <f t="shared" si="28"/>
        <v>#DIV/0!</v>
      </c>
      <c r="EH64" s="41" t="e">
        <f t="shared" si="29"/>
        <v>#DIV/0!</v>
      </c>
      <c r="EJ64" s="57" t="e">
        <f t="shared" si="30"/>
        <v>#DIV/0!</v>
      </c>
      <c r="EK64" s="57" t="e">
        <f t="shared" si="31"/>
        <v>#DIV/0!</v>
      </c>
      <c r="EL64" s="41" t="e">
        <f t="shared" si="32"/>
        <v>#DIV/0!</v>
      </c>
      <c r="EN64" s="57" t="e">
        <f t="shared" si="33"/>
        <v>#DIV/0!</v>
      </c>
      <c r="EO64" s="57" t="e">
        <f t="shared" si="34"/>
        <v>#DIV/0!</v>
      </c>
      <c r="EP64" s="41" t="e">
        <f t="shared" si="35"/>
        <v>#DIV/0!</v>
      </c>
    </row>
    <row r="65" spans="20:146" x14ac:dyDescent="0.15">
      <c r="T65" s="2">
        <v>58</v>
      </c>
      <c r="U65" s="2">
        <f>$N$8*SUM(C$11:C$12)/(365/12)*MAX(节奏总纲!D61-$E$2,0)</f>
        <v>0</v>
      </c>
      <c r="V65" s="2">
        <f>$N$8*SUM(D$11:D$12)/(365/12)*MAX(节奏总纲!E61-$E$2,0)</f>
        <v>0</v>
      </c>
      <c r="W65" s="2">
        <f>$N$8*SUM(E$11:E$12)/(365/12)*MAX(节奏总纲!F61-$E$2,0)</f>
        <v>0</v>
      </c>
      <c r="X65" s="2">
        <f>$N$8*SUM(F$11:F$12)/(365/12)*MAX(节奏总纲!G61-$E$2,0)</f>
        <v>0</v>
      </c>
      <c r="Y65" s="2">
        <f>$N$8*SUM(G$11:G$12)/(365/12)*MAX(节奏总纲!H61-$E$2,0)</f>
        <v>0</v>
      </c>
      <c r="Z65" s="2">
        <f>$O$8*SUM(C$11:C$12)/(365/12)*MAX(节奏总纲!D61-$E$2,0)</f>
        <v>0</v>
      </c>
      <c r="AA65" s="2">
        <f>$O$8*SUM(D$11:D$12)/(365/12)*MAX(节奏总纲!E61-$E$2,0)</f>
        <v>0</v>
      </c>
      <c r="AB65" s="2">
        <f>$O$8*SUM(E$11:E$12)/(365/12)*MAX(节奏总纲!F61-$E$2,0)</f>
        <v>0</v>
      </c>
      <c r="AC65" s="2">
        <f>$O$8*SUM(F$11:F$12)/(365/12)*MAX(节奏总纲!G61-$E$2,0)</f>
        <v>0</v>
      </c>
      <c r="AD65" s="2">
        <f>$O$8*SUM(G$11:G$12)/(365/12)*MAX(节奏总纲!H61-$E$2,0)</f>
        <v>0</v>
      </c>
      <c r="AE65" s="2">
        <f>$Q$8*SUM(C$11:C$12)/(365/12)*MAX(节奏总纲!D61-$E$2,0)</f>
        <v>0</v>
      </c>
      <c r="AF65" s="2">
        <f>$Q$8*SUM(D$11:D$12)/(365/12)*MAX(节奏总纲!E61-$E$2,0)</f>
        <v>0</v>
      </c>
      <c r="AG65" s="2">
        <f>$Q$8*SUM(E$11:E$12)/(365/12)*MAX(节奏总纲!F61-$E$2,0)</f>
        <v>0</v>
      </c>
      <c r="AH65" s="2">
        <f>$Q$8*SUM(F$11:F$12)/(365/12)*MAX(节奏总纲!G61-$E$2,0)</f>
        <v>0</v>
      </c>
      <c r="AI65" s="2">
        <f>$Q$8*SUM(G$11:G$12)/(365/12)*MAX(节奏总纲!H61-$E$2,0)</f>
        <v>0</v>
      </c>
      <c r="AJ65" s="2">
        <f>$P$8*SUM(C$11:C$12)/(365/12)*MAX(节奏总纲!D61-$E$2,0)</f>
        <v>0</v>
      </c>
      <c r="AK65" s="2">
        <f>$P$8*SUM(D$11:D$12)/(365/12)*MAX(节奏总纲!E61-$E$2,0)</f>
        <v>0</v>
      </c>
      <c r="AL65" s="2">
        <f>$P$8*SUM(E$11:E$12)/(365/12)*MAX(节奏总纲!F61-$E$2,0)</f>
        <v>0</v>
      </c>
      <c r="AM65" s="2">
        <f>$P$8*SUM(F$11:F$12)/(365/12)*MAX(节奏总纲!G61-$E$2,0)</f>
        <v>0</v>
      </c>
      <c r="AN65" s="2">
        <f>$P$8*SUM(G$11:G$12)/(365/12)*MAX(节奏总纲!H61-$E$2,0)</f>
        <v>0</v>
      </c>
      <c r="BC65" s="2">
        <v>58</v>
      </c>
      <c r="BD65" s="2">
        <f>$AZ$8/(365/12)*MAX(节奏总纲!D61-$E$2,0)</f>
        <v>0</v>
      </c>
      <c r="BE65" s="2">
        <f>$AZ$8/(365/12)*MAX(节奏总纲!E61-$E$2,0)</f>
        <v>0</v>
      </c>
      <c r="BF65" s="2">
        <f>$AZ$8/(365/12)*MAX(节奏总纲!F61-$E$2,0)</f>
        <v>0</v>
      </c>
      <c r="BG65" s="2">
        <f>$AZ$8/(365/12)*MAX(节奏总纲!G61-$E$2,0)</f>
        <v>0</v>
      </c>
      <c r="BH65" s="2">
        <f>$AZ$8/(365/12)*MAX(节奏总纲!H61-$E$2,0)</f>
        <v>0</v>
      </c>
      <c r="BI65" s="2">
        <f>$AY$8/(365/12)*MAX(节奏总纲!D61-$E$2,0)</f>
        <v>0</v>
      </c>
      <c r="BJ65" s="2">
        <f>$AY$8/(365/12)*MAX(节奏总纲!E61-$E$2,0)</f>
        <v>0</v>
      </c>
      <c r="BK65" s="2">
        <f>$AY$8/(365/12)*MAX(节奏总纲!F61-$E$2,0)</f>
        <v>0</v>
      </c>
      <c r="BL65" s="2">
        <f>$AY$8/(365/12)*MAX(节奏总纲!G61-$E$2,0)</f>
        <v>0</v>
      </c>
      <c r="BM65" s="2">
        <f>$AY$8/(365/12)*MAX(节奏总纲!H61-$E$2,0)</f>
        <v>0</v>
      </c>
      <c r="CD65" s="2">
        <v>58</v>
      </c>
      <c r="CE65" s="2">
        <f>INDEX($BY$8:$BY$15,MATCH(CE$7,$CB$8:$CB$15,0))*SUM(C$11:C$12)/(365/12)*MAX(节奏总纲!D61-$E$2,0)</f>
        <v>0</v>
      </c>
      <c r="CF65" s="2">
        <f>INDEX($BY$8:$BY$15,MATCH(CF$7,$CB$8:$CB$15,0))*SUM(D$11:D$12)/(365/12)*MAX(节奏总纲!E61-$E$2,0)</f>
        <v>0</v>
      </c>
      <c r="CG65" s="2">
        <f>INDEX($BY$8:$BY$15,MATCH(CG$7,$CB$8:$CB$15,0))*SUM(E$11:E$12)/(365/12)*MAX(节奏总纲!F61-$E$2,0)</f>
        <v>0</v>
      </c>
      <c r="CH65" s="2">
        <f>INDEX($BY$8:$BY$15,MATCH(CH$7,$CB$8:$CB$15,0))*SUM(F$11:F$12)/(365/12)*MAX(节奏总纲!G61-$E$2,0)</f>
        <v>0</v>
      </c>
      <c r="CI65" s="2">
        <f>INDEX($BY$8:$BY$15,MATCH(CI$7,$CB$8:$CB$15,0))*SUM(G$11:G$12)/(365/12)*MAX(节奏总纲!H61-$E$2,0)</f>
        <v>0</v>
      </c>
      <c r="CJ65" s="2">
        <f>INDEX($BZ$8:$BZ$15,MATCH(CE$7,$CB$8:$CB$15,0))*SUM(C$11:C$12)/(365/12)*MAX(节奏总纲!D61-$E$2,0)</f>
        <v>0</v>
      </c>
      <c r="CK65" s="2">
        <f>INDEX($BZ$8:$BZ$15,MATCH(CF$7,$CB$8:$CB$15,0))*SUM(D$11:D$12)/(365/12)*MAX(节奏总纲!E61-$E$2,0)</f>
        <v>0</v>
      </c>
      <c r="CL65" s="2">
        <f>INDEX($BZ$8:$BZ$15,MATCH(CG$7,$CB$8:$CB$15,0))*SUM(E$11:E$12)/(365/12)*MAX(节奏总纲!F61-$E$2,0)</f>
        <v>0</v>
      </c>
      <c r="CM65" s="2">
        <f>INDEX($BZ$8:$BZ$15,MATCH(CH$7,$CB$8:$CB$15,0))*SUM(F$11:F$12)/(365/12)*MAX(节奏总纲!G61-$E$2,0)</f>
        <v>0</v>
      </c>
      <c r="CN65" s="2">
        <f>INDEX($BZ$8:$BZ$15,MATCH(CI$7,$CB$8:$CB$15,0))*SUM(G$11:G$12)/(365/12)*MAX(节奏总纲!H61-$E$2,0)</f>
        <v>0</v>
      </c>
      <c r="CS65" s="2">
        <v>58</v>
      </c>
      <c r="CT65" s="2">
        <f t="shared" si="41"/>
        <v>0</v>
      </c>
      <c r="CU65" s="2">
        <f t="shared" si="42"/>
        <v>0</v>
      </c>
      <c r="CV65" s="2">
        <f t="shared" si="43"/>
        <v>0</v>
      </c>
      <c r="CW65" s="2">
        <f t="shared" si="44"/>
        <v>0</v>
      </c>
      <c r="CX65" s="2">
        <f t="shared" si="45"/>
        <v>0</v>
      </c>
      <c r="CZ65" s="41" t="e">
        <f t="shared" si="46"/>
        <v>#DIV/0!</v>
      </c>
      <c r="DA65" s="41" t="e">
        <f t="shared" si="47"/>
        <v>#DIV/0!</v>
      </c>
      <c r="DB65" s="41" t="e">
        <f t="shared" si="48"/>
        <v>#DIV/0!</v>
      </c>
      <c r="DD65" s="41" t="e">
        <f t="shared" si="49"/>
        <v>#DIV/0!</v>
      </c>
      <c r="DE65" s="41" t="e">
        <f t="shared" si="50"/>
        <v>#DIV/0!</v>
      </c>
      <c r="DF65" s="41" t="e">
        <f t="shared" si="51"/>
        <v>#DIV/0!</v>
      </c>
      <c r="DH65" s="41" t="e">
        <f t="shared" si="52"/>
        <v>#DIV/0!</v>
      </c>
      <c r="DI65" s="41" t="e">
        <f t="shared" si="53"/>
        <v>#DIV/0!</v>
      </c>
      <c r="DJ65" s="41" t="e">
        <f t="shared" si="54"/>
        <v>#DIV/0!</v>
      </c>
      <c r="DL65" s="2">
        <f>CT65/节奏总纲!D61</f>
        <v>0</v>
      </c>
      <c r="DM65" s="2">
        <f>CU65/节奏总纲!E61</f>
        <v>0</v>
      </c>
      <c r="DN65" s="2">
        <f>CV65/节奏总纲!F61</f>
        <v>0</v>
      </c>
      <c r="DO65" s="2">
        <f>CW65/节奏总纲!G61</f>
        <v>0</v>
      </c>
      <c r="DP65" s="2">
        <f>CX65/节奏总纲!H61</f>
        <v>0</v>
      </c>
      <c r="DR65" s="2" t="e">
        <f t="shared" si="55"/>
        <v>#DIV/0!</v>
      </c>
      <c r="DS65" s="2" t="e">
        <f t="shared" si="56"/>
        <v>#DIV/0!</v>
      </c>
      <c r="DT65" s="2" t="e">
        <f t="shared" si="57"/>
        <v>#DIV/0!</v>
      </c>
      <c r="DU65" s="2" t="e">
        <f t="shared" si="58"/>
        <v>#DIV/0!</v>
      </c>
      <c r="DY65" s="2">
        <v>58</v>
      </c>
      <c r="DZ65" s="2">
        <f t="shared" si="22"/>
        <v>0</v>
      </c>
      <c r="EA65" s="2">
        <f t="shared" si="23"/>
        <v>0</v>
      </c>
      <c r="EB65" s="2">
        <f t="shared" si="24"/>
        <v>0</v>
      </c>
      <c r="EC65" s="2">
        <f t="shared" si="25"/>
        <v>0</v>
      </c>
      <c r="ED65" s="2">
        <f t="shared" si="26"/>
        <v>0</v>
      </c>
      <c r="EF65" s="57" t="e">
        <f t="shared" si="27"/>
        <v>#DIV/0!</v>
      </c>
      <c r="EG65" s="57" t="e">
        <f t="shared" si="28"/>
        <v>#DIV/0!</v>
      </c>
      <c r="EH65" s="41" t="e">
        <f t="shared" si="29"/>
        <v>#DIV/0!</v>
      </c>
      <c r="EJ65" s="57" t="e">
        <f t="shared" si="30"/>
        <v>#DIV/0!</v>
      </c>
      <c r="EK65" s="57" t="e">
        <f t="shared" si="31"/>
        <v>#DIV/0!</v>
      </c>
      <c r="EL65" s="41" t="e">
        <f t="shared" si="32"/>
        <v>#DIV/0!</v>
      </c>
      <c r="EN65" s="57" t="e">
        <f t="shared" si="33"/>
        <v>#DIV/0!</v>
      </c>
      <c r="EO65" s="57" t="e">
        <f t="shared" si="34"/>
        <v>#DIV/0!</v>
      </c>
      <c r="EP65" s="41" t="e">
        <f t="shared" si="35"/>
        <v>#DIV/0!</v>
      </c>
    </row>
    <row r="66" spans="20:146" x14ac:dyDescent="0.15">
      <c r="T66" s="2">
        <v>59</v>
      </c>
      <c r="U66" s="2">
        <f>$N$8*SUM(C$11:C$12)/(365/12)*MAX(节奏总纲!D62-$E$2,0)</f>
        <v>0</v>
      </c>
      <c r="V66" s="2">
        <f>$N$8*SUM(D$11:D$12)/(365/12)*MAX(节奏总纲!E62-$E$2,0)</f>
        <v>0</v>
      </c>
      <c r="W66" s="2">
        <f>$N$8*SUM(E$11:E$12)/(365/12)*MAX(节奏总纲!F62-$E$2,0)</f>
        <v>0</v>
      </c>
      <c r="X66" s="2">
        <f>$N$8*SUM(F$11:F$12)/(365/12)*MAX(节奏总纲!G62-$E$2,0)</f>
        <v>0</v>
      </c>
      <c r="Y66" s="2">
        <f>$N$8*SUM(G$11:G$12)/(365/12)*MAX(节奏总纲!H62-$E$2,0)</f>
        <v>0</v>
      </c>
      <c r="Z66" s="2">
        <f>$O$8*SUM(C$11:C$12)/(365/12)*MAX(节奏总纲!D62-$E$2,0)</f>
        <v>0</v>
      </c>
      <c r="AA66" s="2">
        <f>$O$8*SUM(D$11:D$12)/(365/12)*MAX(节奏总纲!E62-$E$2,0)</f>
        <v>0</v>
      </c>
      <c r="AB66" s="2">
        <f>$O$8*SUM(E$11:E$12)/(365/12)*MAX(节奏总纲!F62-$E$2,0)</f>
        <v>0</v>
      </c>
      <c r="AC66" s="2">
        <f>$O$8*SUM(F$11:F$12)/(365/12)*MAX(节奏总纲!G62-$E$2,0)</f>
        <v>0</v>
      </c>
      <c r="AD66" s="2">
        <f>$O$8*SUM(G$11:G$12)/(365/12)*MAX(节奏总纲!H62-$E$2,0)</f>
        <v>0</v>
      </c>
      <c r="AE66" s="2">
        <f>$Q$8*SUM(C$11:C$12)/(365/12)*MAX(节奏总纲!D62-$E$2,0)</f>
        <v>0</v>
      </c>
      <c r="AF66" s="2">
        <f>$Q$8*SUM(D$11:D$12)/(365/12)*MAX(节奏总纲!E62-$E$2,0)</f>
        <v>0</v>
      </c>
      <c r="AG66" s="2">
        <f>$Q$8*SUM(E$11:E$12)/(365/12)*MAX(节奏总纲!F62-$E$2,0)</f>
        <v>0</v>
      </c>
      <c r="AH66" s="2">
        <f>$Q$8*SUM(F$11:F$12)/(365/12)*MAX(节奏总纲!G62-$E$2,0)</f>
        <v>0</v>
      </c>
      <c r="AI66" s="2">
        <f>$Q$8*SUM(G$11:G$12)/(365/12)*MAX(节奏总纲!H62-$E$2,0)</f>
        <v>0</v>
      </c>
      <c r="AJ66" s="2">
        <f>$P$8*SUM(C$11:C$12)/(365/12)*MAX(节奏总纲!D62-$E$2,0)</f>
        <v>0</v>
      </c>
      <c r="AK66" s="2">
        <f>$P$8*SUM(D$11:D$12)/(365/12)*MAX(节奏总纲!E62-$E$2,0)</f>
        <v>0</v>
      </c>
      <c r="AL66" s="2">
        <f>$P$8*SUM(E$11:E$12)/(365/12)*MAX(节奏总纲!F62-$E$2,0)</f>
        <v>0</v>
      </c>
      <c r="AM66" s="2">
        <f>$P$8*SUM(F$11:F$12)/(365/12)*MAX(节奏总纲!G62-$E$2,0)</f>
        <v>0</v>
      </c>
      <c r="AN66" s="2">
        <f>$P$8*SUM(G$11:G$12)/(365/12)*MAX(节奏总纲!H62-$E$2,0)</f>
        <v>0</v>
      </c>
      <c r="BC66" s="2">
        <v>59</v>
      </c>
      <c r="BD66" s="2">
        <f>$AZ$8/(365/12)*MAX(节奏总纲!D62-$E$2,0)</f>
        <v>0</v>
      </c>
      <c r="BE66" s="2">
        <f>$AZ$8/(365/12)*MAX(节奏总纲!E62-$E$2,0)</f>
        <v>0</v>
      </c>
      <c r="BF66" s="2">
        <f>$AZ$8/(365/12)*MAX(节奏总纲!F62-$E$2,0)</f>
        <v>0</v>
      </c>
      <c r="BG66" s="2">
        <f>$AZ$8/(365/12)*MAX(节奏总纲!G62-$E$2,0)</f>
        <v>0</v>
      </c>
      <c r="BH66" s="2">
        <f>$AZ$8/(365/12)*MAX(节奏总纲!H62-$E$2,0)</f>
        <v>0</v>
      </c>
      <c r="BI66" s="2">
        <f>$AY$8/(365/12)*MAX(节奏总纲!D62-$E$2,0)</f>
        <v>0</v>
      </c>
      <c r="BJ66" s="2">
        <f>$AY$8/(365/12)*MAX(节奏总纲!E62-$E$2,0)</f>
        <v>0</v>
      </c>
      <c r="BK66" s="2">
        <f>$AY$8/(365/12)*MAX(节奏总纲!F62-$E$2,0)</f>
        <v>0</v>
      </c>
      <c r="BL66" s="2">
        <f>$AY$8/(365/12)*MAX(节奏总纲!G62-$E$2,0)</f>
        <v>0</v>
      </c>
      <c r="BM66" s="2">
        <f>$AY$8/(365/12)*MAX(节奏总纲!H62-$E$2,0)</f>
        <v>0</v>
      </c>
      <c r="CD66" s="2">
        <v>59</v>
      </c>
      <c r="CE66" s="2">
        <f>INDEX($BY$8:$BY$15,MATCH(CE$7,$CB$8:$CB$15,0))*SUM(C$11:C$12)/(365/12)*MAX(节奏总纲!D62-$E$2,0)</f>
        <v>0</v>
      </c>
      <c r="CF66" s="2">
        <f>INDEX($BY$8:$BY$15,MATCH(CF$7,$CB$8:$CB$15,0))*SUM(D$11:D$12)/(365/12)*MAX(节奏总纲!E62-$E$2,0)</f>
        <v>0</v>
      </c>
      <c r="CG66" s="2">
        <f>INDEX($BY$8:$BY$15,MATCH(CG$7,$CB$8:$CB$15,0))*SUM(E$11:E$12)/(365/12)*MAX(节奏总纲!F62-$E$2,0)</f>
        <v>0</v>
      </c>
      <c r="CH66" s="2">
        <f>INDEX($BY$8:$BY$15,MATCH(CH$7,$CB$8:$CB$15,0))*SUM(F$11:F$12)/(365/12)*MAX(节奏总纲!G62-$E$2,0)</f>
        <v>0</v>
      </c>
      <c r="CI66" s="2">
        <f>INDEX($BY$8:$BY$15,MATCH(CI$7,$CB$8:$CB$15,0))*SUM(G$11:G$12)/(365/12)*MAX(节奏总纲!H62-$E$2,0)</f>
        <v>0</v>
      </c>
      <c r="CJ66" s="2">
        <f>INDEX($BZ$8:$BZ$15,MATCH(CE$7,$CB$8:$CB$15,0))*SUM(C$11:C$12)/(365/12)*MAX(节奏总纲!D62-$E$2,0)</f>
        <v>0</v>
      </c>
      <c r="CK66" s="2">
        <f>INDEX($BZ$8:$BZ$15,MATCH(CF$7,$CB$8:$CB$15,0))*SUM(D$11:D$12)/(365/12)*MAX(节奏总纲!E62-$E$2,0)</f>
        <v>0</v>
      </c>
      <c r="CL66" s="2">
        <f>INDEX($BZ$8:$BZ$15,MATCH(CG$7,$CB$8:$CB$15,0))*SUM(E$11:E$12)/(365/12)*MAX(节奏总纲!F62-$E$2,0)</f>
        <v>0</v>
      </c>
      <c r="CM66" s="2">
        <f>INDEX($BZ$8:$BZ$15,MATCH(CH$7,$CB$8:$CB$15,0))*SUM(F$11:F$12)/(365/12)*MAX(节奏总纲!G62-$E$2,0)</f>
        <v>0</v>
      </c>
      <c r="CN66" s="2">
        <f>INDEX($BZ$8:$BZ$15,MATCH(CI$7,$CB$8:$CB$15,0))*SUM(G$11:G$12)/(365/12)*MAX(节奏总纲!H62-$E$2,0)</f>
        <v>0</v>
      </c>
      <c r="CS66" s="2">
        <v>59</v>
      </c>
      <c r="CT66" s="2">
        <f t="shared" si="41"/>
        <v>0</v>
      </c>
      <c r="CU66" s="2">
        <f t="shared" si="42"/>
        <v>0</v>
      </c>
      <c r="CV66" s="2">
        <f t="shared" si="43"/>
        <v>0</v>
      </c>
      <c r="CW66" s="2">
        <f t="shared" si="44"/>
        <v>0</v>
      </c>
      <c r="CX66" s="2">
        <f t="shared" si="45"/>
        <v>0</v>
      </c>
      <c r="CZ66" s="41" t="e">
        <f t="shared" si="46"/>
        <v>#DIV/0!</v>
      </c>
      <c r="DA66" s="41" t="e">
        <f t="shared" si="47"/>
        <v>#DIV/0!</v>
      </c>
      <c r="DB66" s="41" t="e">
        <f t="shared" si="48"/>
        <v>#DIV/0!</v>
      </c>
      <c r="DD66" s="41" t="e">
        <f t="shared" si="49"/>
        <v>#DIV/0!</v>
      </c>
      <c r="DE66" s="41" t="e">
        <f t="shared" si="50"/>
        <v>#DIV/0!</v>
      </c>
      <c r="DF66" s="41" t="e">
        <f t="shared" si="51"/>
        <v>#DIV/0!</v>
      </c>
      <c r="DH66" s="41" t="e">
        <f t="shared" si="52"/>
        <v>#DIV/0!</v>
      </c>
      <c r="DI66" s="41" t="e">
        <f t="shared" si="53"/>
        <v>#DIV/0!</v>
      </c>
      <c r="DJ66" s="41" t="e">
        <f t="shared" si="54"/>
        <v>#DIV/0!</v>
      </c>
      <c r="DL66" s="2">
        <f>CT66/节奏总纲!D62</f>
        <v>0</v>
      </c>
      <c r="DM66" s="2">
        <f>CU66/节奏总纲!E62</f>
        <v>0</v>
      </c>
      <c r="DN66" s="2">
        <f>CV66/节奏总纲!F62</f>
        <v>0</v>
      </c>
      <c r="DO66" s="2">
        <f>CW66/节奏总纲!G62</f>
        <v>0</v>
      </c>
      <c r="DP66" s="2">
        <f>CX66/节奏总纲!H62</f>
        <v>0</v>
      </c>
      <c r="DR66" s="2" t="e">
        <f t="shared" si="55"/>
        <v>#DIV/0!</v>
      </c>
      <c r="DS66" s="2" t="e">
        <f t="shared" si="56"/>
        <v>#DIV/0!</v>
      </c>
      <c r="DT66" s="2" t="e">
        <f t="shared" si="57"/>
        <v>#DIV/0!</v>
      </c>
      <c r="DU66" s="2" t="e">
        <f t="shared" si="58"/>
        <v>#DIV/0!</v>
      </c>
      <c r="DY66" s="2">
        <v>59</v>
      </c>
      <c r="DZ66" s="2">
        <f t="shared" si="22"/>
        <v>0</v>
      </c>
      <c r="EA66" s="2">
        <f t="shared" si="23"/>
        <v>0</v>
      </c>
      <c r="EB66" s="2">
        <f t="shared" si="24"/>
        <v>0</v>
      </c>
      <c r="EC66" s="2">
        <f t="shared" si="25"/>
        <v>0</v>
      </c>
      <c r="ED66" s="2">
        <f t="shared" si="26"/>
        <v>0</v>
      </c>
      <c r="EF66" s="57" t="e">
        <f t="shared" si="27"/>
        <v>#DIV/0!</v>
      </c>
      <c r="EG66" s="57" t="e">
        <f t="shared" si="28"/>
        <v>#DIV/0!</v>
      </c>
      <c r="EH66" s="41" t="e">
        <f t="shared" si="29"/>
        <v>#DIV/0!</v>
      </c>
      <c r="EJ66" s="57" t="e">
        <f t="shared" si="30"/>
        <v>#DIV/0!</v>
      </c>
      <c r="EK66" s="57" t="e">
        <f t="shared" si="31"/>
        <v>#DIV/0!</v>
      </c>
      <c r="EL66" s="41" t="e">
        <f t="shared" si="32"/>
        <v>#DIV/0!</v>
      </c>
      <c r="EN66" s="57" t="e">
        <f t="shared" si="33"/>
        <v>#DIV/0!</v>
      </c>
      <c r="EO66" s="57" t="e">
        <f t="shared" si="34"/>
        <v>#DIV/0!</v>
      </c>
      <c r="EP66" s="41" t="e">
        <f t="shared" si="35"/>
        <v>#DIV/0!</v>
      </c>
    </row>
    <row r="67" spans="20:146" x14ac:dyDescent="0.15">
      <c r="T67" s="2">
        <v>60</v>
      </c>
      <c r="U67" s="2">
        <f>$N$8*SUM(C$11:C$12)/(365/12)*MAX(节奏总纲!D63-$E$2,0)</f>
        <v>63.123287671232873</v>
      </c>
      <c r="V67" s="2">
        <f>$N$8*SUM(D$11:D$12)/(365/12)*MAX(节奏总纲!E63-$E$2,0)</f>
        <v>0</v>
      </c>
      <c r="W67" s="2">
        <f>$N$8*SUM(E$11:E$12)/(365/12)*MAX(节奏总纲!F63-$E$2,0)</f>
        <v>0</v>
      </c>
      <c r="X67" s="2">
        <f>$N$8*SUM(F$11:F$12)/(365/12)*MAX(节奏总纲!G63-$E$2,0)</f>
        <v>0</v>
      </c>
      <c r="Y67" s="2">
        <f>$N$8*SUM(G$11:G$12)/(365/12)*MAX(节奏总纲!H63-$E$2,0)</f>
        <v>0</v>
      </c>
      <c r="Z67" s="2">
        <f>$O$8*SUM(C$11:C$12)/(365/12)*MAX(节奏总纲!D63-$E$2,0)</f>
        <v>631.23287671232879</v>
      </c>
      <c r="AA67" s="2">
        <f>$O$8*SUM(D$11:D$12)/(365/12)*MAX(节奏总纲!E63-$E$2,0)</f>
        <v>0</v>
      </c>
      <c r="AB67" s="2">
        <f>$O$8*SUM(E$11:E$12)/(365/12)*MAX(节奏总纲!F63-$E$2,0)</f>
        <v>0</v>
      </c>
      <c r="AC67" s="2">
        <f>$O$8*SUM(F$11:F$12)/(365/12)*MAX(节奏总纲!G63-$E$2,0)</f>
        <v>0</v>
      </c>
      <c r="AD67" s="2">
        <f>$O$8*SUM(G$11:G$12)/(365/12)*MAX(节奏总纲!H63-$E$2,0)</f>
        <v>0</v>
      </c>
      <c r="AE67" s="2">
        <f>$Q$8*SUM(C$11:C$12)/(365/12)*MAX(节奏总纲!D63-$E$2,0)</f>
        <v>789.04109589041082</v>
      </c>
      <c r="AF67" s="2">
        <f>$Q$8*SUM(D$11:D$12)/(365/12)*MAX(节奏总纲!E63-$E$2,0)</f>
        <v>0</v>
      </c>
      <c r="AG67" s="2">
        <f>$Q$8*SUM(E$11:E$12)/(365/12)*MAX(节奏总纲!F63-$E$2,0)</f>
        <v>0</v>
      </c>
      <c r="AH67" s="2">
        <f>$Q$8*SUM(F$11:F$12)/(365/12)*MAX(节奏总纲!G63-$E$2,0)</f>
        <v>0</v>
      </c>
      <c r="AI67" s="2">
        <f>$Q$8*SUM(G$11:G$12)/(365/12)*MAX(节奏总纲!H63-$E$2,0)</f>
        <v>0</v>
      </c>
      <c r="AJ67" s="2">
        <f>$P$8*SUM(C$11:C$12)/(365/12)*MAX(节奏总纲!D63-$E$2,0)</f>
        <v>17043.287671232876</v>
      </c>
      <c r="AK67" s="2">
        <f>$P$8*SUM(D$11:D$12)/(365/12)*MAX(节奏总纲!E63-$E$2,0)</f>
        <v>0</v>
      </c>
      <c r="AL67" s="2">
        <f>$P$8*SUM(E$11:E$12)/(365/12)*MAX(节奏总纲!F63-$E$2,0)</f>
        <v>0</v>
      </c>
      <c r="AM67" s="2">
        <f>$P$8*SUM(F$11:F$12)/(365/12)*MAX(节奏总纲!G63-$E$2,0)</f>
        <v>0</v>
      </c>
      <c r="AN67" s="2">
        <f>$P$8*SUM(G$11:G$12)/(365/12)*MAX(节奏总纲!H63-$E$2,0)</f>
        <v>0</v>
      </c>
      <c r="BC67" s="2">
        <v>60</v>
      </c>
      <c r="BD67" s="2">
        <f>$AZ$8/(365/12)*MAX(节奏总纲!D63-$E$2,0)</f>
        <v>295.89041095890411</v>
      </c>
      <c r="BE67" s="2">
        <f>$AZ$8/(365/12)*MAX(节奏总纲!E63-$E$2,0)</f>
        <v>0</v>
      </c>
      <c r="BF67" s="2">
        <f>$AZ$8/(365/12)*MAX(节奏总纲!F63-$E$2,0)</f>
        <v>0</v>
      </c>
      <c r="BG67" s="2">
        <f>$AZ$8/(365/12)*MAX(节奏总纲!G63-$E$2,0)</f>
        <v>0</v>
      </c>
      <c r="BH67" s="2">
        <f>$AZ$8/(365/12)*MAX(节奏总纲!H63-$E$2,0)</f>
        <v>0</v>
      </c>
      <c r="BI67" s="2">
        <f>$AY$8/(365/12)*MAX(节奏总纲!D63-$E$2,0)</f>
        <v>7101.3698630136987</v>
      </c>
      <c r="BJ67" s="2">
        <f>$AY$8/(365/12)*MAX(节奏总纲!E63-$E$2,0)</f>
        <v>0</v>
      </c>
      <c r="BK67" s="2">
        <f>$AY$8/(365/12)*MAX(节奏总纲!F63-$E$2,0)</f>
        <v>0</v>
      </c>
      <c r="BL67" s="2">
        <f>$AY$8/(365/12)*MAX(节奏总纲!G63-$E$2,0)</f>
        <v>0</v>
      </c>
      <c r="BM67" s="2">
        <f>$AY$8/(365/12)*MAX(节奏总纲!H63-$E$2,0)</f>
        <v>0</v>
      </c>
      <c r="CD67" s="2">
        <v>60</v>
      </c>
      <c r="CE67" s="2">
        <f>INDEX($BY$8:$BY$15,MATCH(CE$7,$CB$8:$CB$15,0))*SUM(C$11:C$12)/(365/12)*MAX(节奏总纲!D63-$E$2,0)</f>
        <v>78.904109589041099</v>
      </c>
      <c r="CF67" s="2">
        <f>INDEX($BY$8:$BY$15,MATCH(CF$7,$CB$8:$CB$15,0))*SUM(D$11:D$12)/(365/12)*MAX(节奏总纲!E63-$E$2,0)</f>
        <v>0</v>
      </c>
      <c r="CG67" s="2">
        <f>INDEX($BY$8:$BY$15,MATCH(CG$7,$CB$8:$CB$15,0))*SUM(E$11:E$12)/(365/12)*MAX(节奏总纲!F63-$E$2,0)</f>
        <v>0</v>
      </c>
      <c r="CH67" s="2">
        <f>INDEX($BY$8:$BY$15,MATCH(CH$7,$CB$8:$CB$15,0))*SUM(F$11:F$12)/(365/12)*MAX(节奏总纲!G63-$E$2,0)</f>
        <v>0</v>
      </c>
      <c r="CI67" s="2">
        <f>INDEX($BY$8:$BY$15,MATCH(CI$7,$CB$8:$CB$15,0))*SUM(G$11:G$12)/(365/12)*MAX(节奏总纲!H63-$E$2,0)</f>
        <v>0</v>
      </c>
      <c r="CJ67" s="2">
        <f>INDEX($BZ$8:$BZ$15,MATCH(CE$7,$CB$8:$CB$15,0))*SUM(C$11:C$12)/(365/12)*MAX(节奏总纲!D63-$E$2,0)</f>
        <v>3313.972602739726</v>
      </c>
      <c r="CK67" s="2">
        <f>INDEX($BZ$8:$BZ$15,MATCH(CF$7,$CB$8:$CB$15,0))*SUM(D$11:D$12)/(365/12)*MAX(节奏总纲!E63-$E$2,0)</f>
        <v>0</v>
      </c>
      <c r="CL67" s="2">
        <f>INDEX($BZ$8:$BZ$15,MATCH(CG$7,$CB$8:$CB$15,0))*SUM(E$11:E$12)/(365/12)*MAX(节奏总纲!F63-$E$2,0)</f>
        <v>0</v>
      </c>
      <c r="CM67" s="2">
        <f>INDEX($BZ$8:$BZ$15,MATCH(CH$7,$CB$8:$CB$15,0))*SUM(F$11:F$12)/(365/12)*MAX(节奏总纲!G63-$E$2,0)</f>
        <v>0</v>
      </c>
      <c r="CN67" s="2">
        <f>INDEX($BZ$8:$BZ$15,MATCH(CI$7,$CB$8:$CB$15,0))*SUM(G$11:G$12)/(365/12)*MAX(节奏总纲!H63-$E$2,0)</f>
        <v>0</v>
      </c>
      <c r="CS67" s="2">
        <v>60</v>
      </c>
      <c r="CT67" s="2">
        <f t="shared" si="41"/>
        <v>1163.8356164383561</v>
      </c>
      <c r="CU67" s="2">
        <f t="shared" si="42"/>
        <v>0</v>
      </c>
      <c r="CV67" s="2">
        <f t="shared" si="43"/>
        <v>0</v>
      </c>
      <c r="CW67" s="2">
        <f t="shared" si="44"/>
        <v>0</v>
      </c>
      <c r="CX67" s="2">
        <f t="shared" si="45"/>
        <v>0</v>
      </c>
      <c r="CZ67" s="41">
        <f t="shared" si="46"/>
        <v>0.67796610169491522</v>
      </c>
      <c r="DA67" s="41">
        <f t="shared" si="47"/>
        <v>0.25423728813559326</v>
      </c>
      <c r="DB67" s="41">
        <f t="shared" si="48"/>
        <v>6.7796610169491539E-2</v>
      </c>
      <c r="DD67" s="41" t="e">
        <f t="shared" si="49"/>
        <v>#DIV/0!</v>
      </c>
      <c r="DE67" s="41" t="e">
        <f t="shared" si="50"/>
        <v>#DIV/0!</v>
      </c>
      <c r="DF67" s="41" t="e">
        <f t="shared" si="51"/>
        <v>#DIV/0!</v>
      </c>
      <c r="DH67" s="41" t="e">
        <f t="shared" si="52"/>
        <v>#DIV/0!</v>
      </c>
      <c r="DI67" s="41" t="e">
        <f t="shared" si="53"/>
        <v>#DIV/0!</v>
      </c>
      <c r="DJ67" s="41" t="e">
        <f t="shared" si="54"/>
        <v>#DIV/0!</v>
      </c>
      <c r="DL67" s="2">
        <f>CT67/节奏总纲!D63</f>
        <v>18.473581213307238</v>
      </c>
      <c r="DM67" s="2">
        <f>CU67/节奏总纲!E63</f>
        <v>0</v>
      </c>
      <c r="DN67" s="2">
        <f>CV67/节奏总纲!F63</f>
        <v>0</v>
      </c>
      <c r="DO67" s="2">
        <f>CW67/节奏总纲!G63</f>
        <v>0</v>
      </c>
      <c r="DP67" s="2">
        <f>CX67/节奏总纲!H63</f>
        <v>0</v>
      </c>
      <c r="DR67" s="2">
        <f t="shared" si="55"/>
        <v>0</v>
      </c>
      <c r="DS67" s="2">
        <f t="shared" si="56"/>
        <v>0</v>
      </c>
      <c r="DT67" s="2">
        <f t="shared" si="57"/>
        <v>0</v>
      </c>
      <c r="DU67" s="2">
        <f t="shared" si="58"/>
        <v>0</v>
      </c>
      <c r="DY67" s="2">
        <v>60</v>
      </c>
      <c r="DZ67" s="2">
        <f t="shared" si="22"/>
        <v>27458.630136986299</v>
      </c>
      <c r="EA67" s="2">
        <f t="shared" si="23"/>
        <v>0</v>
      </c>
      <c r="EB67" s="2">
        <f t="shared" si="24"/>
        <v>0</v>
      </c>
      <c r="EC67" s="2">
        <f t="shared" si="25"/>
        <v>0</v>
      </c>
      <c r="ED67" s="2">
        <f t="shared" si="26"/>
        <v>0</v>
      </c>
      <c r="EF67" s="57">
        <f t="shared" si="27"/>
        <v>0.62068965517241381</v>
      </c>
      <c r="EG67" s="57">
        <f t="shared" si="28"/>
        <v>0.25862068965517243</v>
      </c>
      <c r="EH67" s="41">
        <f t="shared" si="29"/>
        <v>0.1206896551724138</v>
      </c>
      <c r="EJ67" s="57" t="e">
        <f t="shared" si="30"/>
        <v>#DIV/0!</v>
      </c>
      <c r="EK67" s="57" t="e">
        <f t="shared" si="31"/>
        <v>#DIV/0!</v>
      </c>
      <c r="EL67" s="41" t="e">
        <f t="shared" si="32"/>
        <v>#DIV/0!</v>
      </c>
      <c r="EN67" s="57" t="e">
        <f t="shared" si="33"/>
        <v>#DIV/0!</v>
      </c>
      <c r="EO67" s="57" t="e">
        <f t="shared" si="34"/>
        <v>#DIV/0!</v>
      </c>
      <c r="EP67" s="41" t="e">
        <f t="shared" si="35"/>
        <v>#DIV/0!</v>
      </c>
    </row>
    <row r="68" spans="20:146" x14ac:dyDescent="0.15">
      <c r="T68" s="2">
        <v>61</v>
      </c>
      <c r="U68" s="2">
        <f>$N$8*SUM(C$11:C$12)/(365/12)*MAX(节奏总纲!D64-$E$2,0)</f>
        <v>159.77559535846186</v>
      </c>
      <c r="V68" s="2">
        <f>$N$8*SUM(D$11:D$12)/(365/12)*MAX(节奏总纲!E64-$E$2,0)</f>
        <v>0</v>
      </c>
      <c r="W68" s="2">
        <f>$N$8*SUM(E$11:E$12)/(365/12)*MAX(节奏总纲!F64-$E$2,0)</f>
        <v>0</v>
      </c>
      <c r="X68" s="2">
        <f>$N$8*SUM(F$11:F$12)/(365/12)*MAX(节奏总纲!G64-$E$2,0)</f>
        <v>0</v>
      </c>
      <c r="Y68" s="2">
        <f>$N$8*SUM(G$11:G$12)/(365/12)*MAX(节奏总纲!H64-$E$2,0)</f>
        <v>0</v>
      </c>
      <c r="Z68" s="2">
        <f>$O$8*SUM(C$11:C$12)/(365/12)*MAX(节奏总纲!D64-$E$2,0)</f>
        <v>1597.7559535846185</v>
      </c>
      <c r="AA68" s="2">
        <f>$O$8*SUM(D$11:D$12)/(365/12)*MAX(节奏总纲!E64-$E$2,0)</f>
        <v>0</v>
      </c>
      <c r="AB68" s="2">
        <f>$O$8*SUM(E$11:E$12)/(365/12)*MAX(节奏总纲!F64-$E$2,0)</f>
        <v>0</v>
      </c>
      <c r="AC68" s="2">
        <f>$O$8*SUM(F$11:F$12)/(365/12)*MAX(节奏总纲!G64-$E$2,0)</f>
        <v>0</v>
      </c>
      <c r="AD68" s="2">
        <f>$O$8*SUM(G$11:G$12)/(365/12)*MAX(节奏总纲!H64-$E$2,0)</f>
        <v>0</v>
      </c>
      <c r="AE68" s="2">
        <f>$Q$8*SUM(C$11:C$12)/(365/12)*MAX(节奏总纲!D64-$E$2,0)</f>
        <v>1997.1949419807731</v>
      </c>
      <c r="AF68" s="2">
        <f>$Q$8*SUM(D$11:D$12)/(365/12)*MAX(节奏总纲!E64-$E$2,0)</f>
        <v>0</v>
      </c>
      <c r="AG68" s="2">
        <f>$Q$8*SUM(E$11:E$12)/(365/12)*MAX(节奏总纲!F64-$E$2,0)</f>
        <v>0</v>
      </c>
      <c r="AH68" s="2">
        <f>$Q$8*SUM(F$11:F$12)/(365/12)*MAX(节奏总纲!G64-$E$2,0)</f>
        <v>0</v>
      </c>
      <c r="AI68" s="2">
        <f>$Q$8*SUM(G$11:G$12)/(365/12)*MAX(节奏总纲!H64-$E$2,0)</f>
        <v>0</v>
      </c>
      <c r="AJ68" s="2">
        <f>$P$8*SUM(C$11:C$12)/(365/12)*MAX(节奏总纲!D64-$E$2,0)</f>
        <v>43139.410746784699</v>
      </c>
      <c r="AK68" s="2">
        <f>$P$8*SUM(D$11:D$12)/(365/12)*MAX(节奏总纲!E64-$E$2,0)</f>
        <v>0</v>
      </c>
      <c r="AL68" s="2">
        <f>$P$8*SUM(E$11:E$12)/(365/12)*MAX(节奏总纲!F64-$E$2,0)</f>
        <v>0</v>
      </c>
      <c r="AM68" s="2">
        <f>$P$8*SUM(F$11:F$12)/(365/12)*MAX(节奏总纲!G64-$E$2,0)</f>
        <v>0</v>
      </c>
      <c r="AN68" s="2">
        <f>$P$8*SUM(G$11:G$12)/(365/12)*MAX(节奏总纲!H64-$E$2,0)</f>
        <v>0</v>
      </c>
      <c r="BC68" s="2">
        <v>61</v>
      </c>
      <c r="BD68" s="2">
        <f>$AZ$8/(365/12)*MAX(节奏总纲!D64-$E$2,0)</f>
        <v>748.94810324279001</v>
      </c>
      <c r="BE68" s="2">
        <f>$AZ$8/(365/12)*MAX(节奏总纲!E64-$E$2,0)</f>
        <v>0</v>
      </c>
      <c r="BF68" s="2">
        <f>$AZ$8/(365/12)*MAX(节奏总纲!F64-$E$2,0)</f>
        <v>0</v>
      </c>
      <c r="BG68" s="2">
        <f>$AZ$8/(365/12)*MAX(节奏总纲!G64-$E$2,0)</f>
        <v>0</v>
      </c>
      <c r="BH68" s="2">
        <f>$AZ$8/(365/12)*MAX(节奏总纲!H64-$E$2,0)</f>
        <v>0</v>
      </c>
      <c r="BI68" s="2">
        <f>$AY$8/(365/12)*MAX(节奏总纲!D64-$E$2,0)</f>
        <v>17974.754477826958</v>
      </c>
      <c r="BJ68" s="2">
        <f>$AY$8/(365/12)*MAX(节奏总纲!E64-$E$2,0)</f>
        <v>0</v>
      </c>
      <c r="BK68" s="2">
        <f>$AY$8/(365/12)*MAX(节奏总纲!F64-$E$2,0)</f>
        <v>0</v>
      </c>
      <c r="BL68" s="2">
        <f>$AY$8/(365/12)*MAX(节奏总纲!G64-$E$2,0)</f>
        <v>0</v>
      </c>
      <c r="BM68" s="2">
        <f>$AY$8/(365/12)*MAX(节奏总纲!H64-$E$2,0)</f>
        <v>0</v>
      </c>
      <c r="CD68" s="2">
        <v>61</v>
      </c>
      <c r="CE68" s="2">
        <f>INDEX($BY$8:$BY$15,MATCH(CE$7,$CB$8:$CB$15,0))*SUM(C$11:C$12)/(365/12)*MAX(节奏总纲!D64-$E$2,0)</f>
        <v>199.71949419807731</v>
      </c>
      <c r="CF68" s="2">
        <f>INDEX($BY$8:$BY$15,MATCH(CF$7,$CB$8:$CB$15,0))*SUM(D$11:D$12)/(365/12)*MAX(节奏总纲!E64-$E$2,0)</f>
        <v>0</v>
      </c>
      <c r="CG68" s="2">
        <f>INDEX($BY$8:$BY$15,MATCH(CG$7,$CB$8:$CB$15,0))*SUM(E$11:E$12)/(365/12)*MAX(节奏总纲!F64-$E$2,0)</f>
        <v>0</v>
      </c>
      <c r="CH68" s="2">
        <f>INDEX($BY$8:$BY$15,MATCH(CH$7,$CB$8:$CB$15,0))*SUM(F$11:F$12)/(365/12)*MAX(节奏总纲!G64-$E$2,0)</f>
        <v>0</v>
      </c>
      <c r="CI68" s="2">
        <f>INDEX($BY$8:$BY$15,MATCH(CI$7,$CB$8:$CB$15,0))*SUM(G$11:G$12)/(365/12)*MAX(节奏总纲!H64-$E$2,0)</f>
        <v>0</v>
      </c>
      <c r="CJ68" s="2">
        <f>INDEX($BZ$8:$BZ$15,MATCH(CE$7,$CB$8:$CB$15,0))*SUM(C$11:C$12)/(365/12)*MAX(节奏总纲!D64-$E$2,0)</f>
        <v>8388.2187563192474</v>
      </c>
      <c r="CK68" s="2">
        <f>INDEX($BZ$8:$BZ$15,MATCH(CF$7,$CB$8:$CB$15,0))*SUM(D$11:D$12)/(365/12)*MAX(节奏总纲!E64-$E$2,0)</f>
        <v>0</v>
      </c>
      <c r="CL68" s="2">
        <f>INDEX($BZ$8:$BZ$15,MATCH(CG$7,$CB$8:$CB$15,0))*SUM(E$11:E$12)/(365/12)*MAX(节奏总纲!F64-$E$2,0)</f>
        <v>0</v>
      </c>
      <c r="CM68" s="2">
        <f>INDEX($BZ$8:$BZ$15,MATCH(CH$7,$CB$8:$CB$15,0))*SUM(F$11:F$12)/(365/12)*MAX(节奏总纲!G64-$E$2,0)</f>
        <v>0</v>
      </c>
      <c r="CN68" s="2">
        <f>INDEX($BZ$8:$BZ$15,MATCH(CI$7,$CB$8:$CB$15,0))*SUM(G$11:G$12)/(365/12)*MAX(节奏总纲!H64-$E$2,0)</f>
        <v>0</v>
      </c>
      <c r="CS68" s="2">
        <v>61</v>
      </c>
      <c r="CT68" s="2">
        <f t="shared" si="41"/>
        <v>2945.8625394216406</v>
      </c>
      <c r="CU68" s="2">
        <f t="shared" si="42"/>
        <v>0</v>
      </c>
      <c r="CV68" s="2">
        <f t="shared" si="43"/>
        <v>0</v>
      </c>
      <c r="CW68" s="2">
        <f t="shared" si="44"/>
        <v>0</v>
      </c>
      <c r="CX68" s="2">
        <f t="shared" si="45"/>
        <v>0</v>
      </c>
      <c r="CZ68" s="41">
        <f t="shared" si="46"/>
        <v>0.67796610169491522</v>
      </c>
      <c r="DA68" s="41">
        <f t="shared" si="47"/>
        <v>0.25423728813559321</v>
      </c>
      <c r="DB68" s="41">
        <f t="shared" si="48"/>
        <v>6.7796610169491525E-2</v>
      </c>
      <c r="DD68" s="41" t="e">
        <f t="shared" si="49"/>
        <v>#DIV/0!</v>
      </c>
      <c r="DE68" s="41" t="e">
        <f t="shared" si="50"/>
        <v>#DIV/0!</v>
      </c>
      <c r="DF68" s="41" t="e">
        <f t="shared" si="51"/>
        <v>#DIV/0!</v>
      </c>
      <c r="DH68" s="41" t="e">
        <f t="shared" si="52"/>
        <v>#DIV/0!</v>
      </c>
      <c r="DI68" s="41" t="e">
        <f t="shared" si="53"/>
        <v>#DIV/0!</v>
      </c>
      <c r="DJ68" s="41" t="e">
        <f t="shared" si="54"/>
        <v>#DIV/0!</v>
      </c>
      <c r="DL68" s="2">
        <f>CT68/节奏总纲!D64</f>
        <v>43.582037763825674</v>
      </c>
      <c r="DM68" s="2">
        <f>CU68/节奏总纲!E64</f>
        <v>0</v>
      </c>
      <c r="DN68" s="2">
        <f>CV68/节奏总纲!F64</f>
        <v>0</v>
      </c>
      <c r="DO68" s="2">
        <f>CW68/节奏总纲!G64</f>
        <v>0</v>
      </c>
      <c r="DP68" s="2">
        <f>CX68/节奏总纲!H64</f>
        <v>0</v>
      </c>
      <c r="DR68" s="2">
        <f t="shared" si="55"/>
        <v>0</v>
      </c>
      <c r="DS68" s="2">
        <f t="shared" si="56"/>
        <v>0</v>
      </c>
      <c r="DT68" s="2">
        <f t="shared" si="57"/>
        <v>0</v>
      </c>
      <c r="DU68" s="2">
        <f t="shared" si="58"/>
        <v>0</v>
      </c>
      <c r="DY68" s="2">
        <v>61</v>
      </c>
      <c r="DZ68" s="2">
        <f t="shared" si="22"/>
        <v>69502.383980930899</v>
      </c>
      <c r="EA68" s="2">
        <f t="shared" si="23"/>
        <v>0</v>
      </c>
      <c r="EB68" s="2">
        <f t="shared" si="24"/>
        <v>0</v>
      </c>
      <c r="EC68" s="2">
        <f t="shared" si="25"/>
        <v>0</v>
      </c>
      <c r="ED68" s="2">
        <f t="shared" si="26"/>
        <v>0</v>
      </c>
      <c r="EF68" s="57">
        <f t="shared" si="27"/>
        <v>0.62068965517241381</v>
      </c>
      <c r="EG68" s="57">
        <f t="shared" si="28"/>
        <v>0.25862068965517243</v>
      </c>
      <c r="EH68" s="41">
        <f t="shared" si="29"/>
        <v>0.12068965517241381</v>
      </c>
      <c r="EJ68" s="57" t="e">
        <f t="shared" si="30"/>
        <v>#DIV/0!</v>
      </c>
      <c r="EK68" s="57" t="e">
        <f t="shared" si="31"/>
        <v>#DIV/0!</v>
      </c>
      <c r="EL68" s="41" t="e">
        <f t="shared" si="32"/>
        <v>#DIV/0!</v>
      </c>
      <c r="EN68" s="57" t="e">
        <f t="shared" si="33"/>
        <v>#DIV/0!</v>
      </c>
      <c r="EO68" s="57" t="e">
        <f t="shared" si="34"/>
        <v>#DIV/0!</v>
      </c>
      <c r="EP68" s="41" t="e">
        <f t="shared" si="35"/>
        <v>#DIV/0!</v>
      </c>
    </row>
    <row r="69" spans="20:146" x14ac:dyDescent="0.15">
      <c r="T69" s="2">
        <v>62</v>
      </c>
      <c r="U69" s="2">
        <f>$N$8*SUM(C$11:C$12)/(365/12)*MAX(节奏总纲!D65-$E$2,0)</f>
        <v>263.36497383052733</v>
      </c>
      <c r="V69" s="2">
        <f>$N$8*SUM(D$11:D$12)/(365/12)*MAX(节奏总纲!E65-$E$2,0)</f>
        <v>59.819154814685739</v>
      </c>
      <c r="W69" s="2">
        <f>$N$8*SUM(E$11:E$12)/(365/12)*MAX(节奏总纲!F65-$E$2,0)</f>
        <v>0</v>
      </c>
      <c r="X69" s="2">
        <f>$N$8*SUM(F$11:F$12)/(365/12)*MAX(节奏总纲!G65-$E$2,0)</f>
        <v>0</v>
      </c>
      <c r="Y69" s="2">
        <f>$N$8*SUM(G$11:G$12)/(365/12)*MAX(节奏总纲!H65-$E$2,0)</f>
        <v>0</v>
      </c>
      <c r="Z69" s="2">
        <f>$O$8*SUM(C$11:C$12)/(365/12)*MAX(节奏总纲!D65-$E$2,0)</f>
        <v>2633.6497383052729</v>
      </c>
      <c r="AA69" s="2">
        <f>$O$8*SUM(D$11:D$12)/(365/12)*MAX(节奏总纲!E65-$E$2,0)</f>
        <v>598.19154814685737</v>
      </c>
      <c r="AB69" s="2">
        <f>$O$8*SUM(E$11:E$12)/(365/12)*MAX(节奏总纲!F65-$E$2,0)</f>
        <v>0</v>
      </c>
      <c r="AC69" s="2">
        <f>$O$8*SUM(F$11:F$12)/(365/12)*MAX(节奏总纲!G65-$E$2,0)</f>
        <v>0</v>
      </c>
      <c r="AD69" s="2">
        <f>$O$8*SUM(G$11:G$12)/(365/12)*MAX(节奏总纲!H65-$E$2,0)</f>
        <v>0</v>
      </c>
      <c r="AE69" s="2">
        <f>$Q$8*SUM(C$11:C$12)/(365/12)*MAX(节奏总纲!D65-$E$2,0)</f>
        <v>3292.0621728815913</v>
      </c>
      <c r="AF69" s="2">
        <f>$Q$8*SUM(D$11:D$12)/(365/12)*MAX(节奏总纲!E65-$E$2,0)</f>
        <v>747.73943518357169</v>
      </c>
      <c r="AG69" s="2">
        <f>$Q$8*SUM(E$11:E$12)/(365/12)*MAX(节奏总纲!F65-$E$2,0)</f>
        <v>0</v>
      </c>
      <c r="AH69" s="2">
        <f>$Q$8*SUM(F$11:F$12)/(365/12)*MAX(节奏总纲!G65-$E$2,0)</f>
        <v>0</v>
      </c>
      <c r="AI69" s="2">
        <f>$Q$8*SUM(G$11:G$12)/(365/12)*MAX(节奏总纲!H65-$E$2,0)</f>
        <v>0</v>
      </c>
      <c r="AJ69" s="2">
        <f>$P$8*SUM(C$11:C$12)/(365/12)*MAX(节奏总纲!D65-$E$2,0)</f>
        <v>71108.542934242374</v>
      </c>
      <c r="AK69" s="2">
        <f>$P$8*SUM(D$11:D$12)/(365/12)*MAX(节奏总纲!E65-$E$2,0)</f>
        <v>16151.17179996515</v>
      </c>
      <c r="AL69" s="2">
        <f>$P$8*SUM(E$11:E$12)/(365/12)*MAX(节奏总纲!F65-$E$2,0)</f>
        <v>0</v>
      </c>
      <c r="AM69" s="2">
        <f>$P$8*SUM(F$11:F$12)/(365/12)*MAX(节奏总纲!G65-$E$2,0)</f>
        <v>0</v>
      </c>
      <c r="AN69" s="2">
        <f>$P$8*SUM(G$11:G$12)/(365/12)*MAX(节奏总纲!H65-$E$2,0)</f>
        <v>0</v>
      </c>
      <c r="BC69" s="2">
        <v>62</v>
      </c>
      <c r="BD69" s="2">
        <f>$AZ$8/(365/12)*MAX(节奏总纲!D65-$E$2,0)</f>
        <v>1234.5233148305967</v>
      </c>
      <c r="BE69" s="2">
        <f>$AZ$8/(365/12)*MAX(节奏总纲!E65-$E$2,0)</f>
        <v>280.40228819383941</v>
      </c>
      <c r="BF69" s="2">
        <f>$AZ$8/(365/12)*MAX(节奏总纲!F65-$E$2,0)</f>
        <v>0</v>
      </c>
      <c r="BG69" s="2">
        <f>$AZ$8/(365/12)*MAX(节奏总纲!G65-$E$2,0)</f>
        <v>0</v>
      </c>
      <c r="BH69" s="2">
        <f>$AZ$8/(365/12)*MAX(节奏总纲!H65-$E$2,0)</f>
        <v>0</v>
      </c>
      <c r="BI69" s="2">
        <f>$AY$8/(365/12)*MAX(节奏总纲!D65-$E$2,0)</f>
        <v>29628.559555934324</v>
      </c>
      <c r="BJ69" s="2">
        <f>$AY$8/(365/12)*MAX(节奏总纲!E65-$E$2,0)</f>
        <v>6729.6549166521463</v>
      </c>
      <c r="BK69" s="2">
        <f>$AY$8/(365/12)*MAX(节奏总纲!F65-$E$2,0)</f>
        <v>0</v>
      </c>
      <c r="BL69" s="2">
        <f>$AY$8/(365/12)*MAX(节奏总纲!G65-$E$2,0)</f>
        <v>0</v>
      </c>
      <c r="BM69" s="2">
        <f>$AY$8/(365/12)*MAX(节奏总纲!H65-$E$2,0)</f>
        <v>0</v>
      </c>
      <c r="CD69" s="2">
        <v>62</v>
      </c>
      <c r="CE69" s="2">
        <f>INDEX($BY$8:$BY$15,MATCH(CE$7,$CB$8:$CB$15,0))*SUM(C$11:C$12)/(365/12)*MAX(节奏总纲!D65-$E$2,0)</f>
        <v>329.20621728815911</v>
      </c>
      <c r="CF69" s="2">
        <f>INDEX($BY$8:$BY$15,MATCH(CF$7,$CB$8:$CB$15,0))*SUM(D$11:D$12)/(365/12)*MAX(节奏总纲!E65-$E$2,0)</f>
        <v>89.728732222028611</v>
      </c>
      <c r="CG69" s="2">
        <f>INDEX($BY$8:$BY$15,MATCH(CG$7,$CB$8:$CB$15,0))*SUM(E$11:E$12)/(365/12)*MAX(节奏总纲!F65-$E$2,0)</f>
        <v>0</v>
      </c>
      <c r="CH69" s="2">
        <f>INDEX($BY$8:$BY$15,MATCH(CH$7,$CB$8:$CB$15,0))*SUM(F$11:F$12)/(365/12)*MAX(节奏总纲!G65-$E$2,0)</f>
        <v>0</v>
      </c>
      <c r="CI69" s="2">
        <f>INDEX($BY$8:$BY$15,MATCH(CI$7,$CB$8:$CB$15,0))*SUM(G$11:G$12)/(365/12)*MAX(节奏总纲!H65-$E$2,0)</f>
        <v>0</v>
      </c>
      <c r="CJ69" s="2">
        <f>INDEX($BZ$8:$BZ$15,MATCH(CE$7,$CB$8:$CB$15,0))*SUM(C$11:C$12)/(365/12)*MAX(节奏总纲!D65-$E$2,0)</f>
        <v>13826.661126102685</v>
      </c>
      <c r="CK69" s="2">
        <f>INDEX($BZ$8:$BZ$15,MATCH(CF$7,$CB$8:$CB$15,0))*SUM(D$11:D$12)/(365/12)*MAX(节奏总纲!E65-$E$2,0)</f>
        <v>3589.1492888811449</v>
      </c>
      <c r="CL69" s="2">
        <f>INDEX($BZ$8:$BZ$15,MATCH(CG$7,$CB$8:$CB$15,0))*SUM(E$11:E$12)/(365/12)*MAX(节奏总纲!F65-$E$2,0)</f>
        <v>0</v>
      </c>
      <c r="CM69" s="2">
        <f>INDEX($BZ$8:$BZ$15,MATCH(CH$7,$CB$8:$CB$15,0))*SUM(F$11:F$12)/(365/12)*MAX(节奏总纲!G65-$E$2,0)</f>
        <v>0</v>
      </c>
      <c r="CN69" s="2">
        <f>INDEX($BZ$8:$BZ$15,MATCH(CI$7,$CB$8:$CB$15,0))*SUM(G$11:G$12)/(365/12)*MAX(节奏总纲!H65-$E$2,0)</f>
        <v>0</v>
      </c>
      <c r="CS69" s="2">
        <v>62</v>
      </c>
      <c r="CT69" s="2">
        <f t="shared" si="41"/>
        <v>4855.7917050003471</v>
      </c>
      <c r="CU69" s="2">
        <f t="shared" si="42"/>
        <v>1117.8704555994398</v>
      </c>
      <c r="CV69" s="2">
        <f t="shared" si="43"/>
        <v>0</v>
      </c>
      <c r="CW69" s="2">
        <f t="shared" si="44"/>
        <v>0</v>
      </c>
      <c r="CX69" s="2">
        <f t="shared" si="45"/>
        <v>0</v>
      </c>
      <c r="CZ69" s="41">
        <f t="shared" si="46"/>
        <v>0.67796610169491522</v>
      </c>
      <c r="DA69" s="41">
        <f t="shared" si="47"/>
        <v>0.25423728813559321</v>
      </c>
      <c r="DB69" s="41">
        <f t="shared" si="48"/>
        <v>6.7796610169491525E-2</v>
      </c>
      <c r="DD69" s="41" t="e">
        <f t="shared" si="49"/>
        <v>#DIV/0!</v>
      </c>
      <c r="DE69" s="41" t="e">
        <f t="shared" si="50"/>
        <v>#DIV/0!</v>
      </c>
      <c r="DF69" s="41" t="e">
        <f t="shared" si="51"/>
        <v>#DIV/0!</v>
      </c>
      <c r="DH69" s="41" t="e">
        <f t="shared" si="52"/>
        <v>#DIV/0!</v>
      </c>
      <c r="DI69" s="41" t="e">
        <f t="shared" si="53"/>
        <v>#DIV/0!</v>
      </c>
      <c r="DJ69" s="41" t="e">
        <f t="shared" si="54"/>
        <v>#DIV/0!</v>
      </c>
      <c r="DL69" s="2">
        <f>CT69/节奏总纲!D65</f>
        <v>66.961018062973494</v>
      </c>
      <c r="DM69" s="2">
        <f>CU69/节奏总纲!E65</f>
        <v>17.788314229982639</v>
      </c>
      <c r="DN69" s="2">
        <f>CV69/节奏总纲!F65</f>
        <v>0</v>
      </c>
      <c r="DO69" s="2">
        <f>CW69/节奏总纲!G65</f>
        <v>0</v>
      </c>
      <c r="DP69" s="2">
        <f>CX69/节奏总纲!H65</f>
        <v>0</v>
      </c>
      <c r="DR69" s="2">
        <f t="shared" si="55"/>
        <v>0.26565178882515822</v>
      </c>
      <c r="DS69" s="2">
        <f t="shared" si="56"/>
        <v>0</v>
      </c>
      <c r="DT69" s="2">
        <f t="shared" si="57"/>
        <v>0</v>
      </c>
      <c r="DU69" s="2">
        <f t="shared" si="58"/>
        <v>0</v>
      </c>
      <c r="DY69" s="2">
        <v>62</v>
      </c>
      <c r="DZ69" s="2">
        <f t="shared" si="22"/>
        <v>114563.76361627938</v>
      </c>
      <c r="EA69" s="2">
        <f t="shared" si="23"/>
        <v>26469.97600549844</v>
      </c>
      <c r="EB69" s="2">
        <f t="shared" si="24"/>
        <v>0</v>
      </c>
      <c r="EC69" s="2">
        <f t="shared" si="25"/>
        <v>0</v>
      </c>
      <c r="ED69" s="2">
        <f t="shared" si="26"/>
        <v>0</v>
      </c>
      <c r="EF69" s="57">
        <f t="shared" si="27"/>
        <v>0.62068965517241381</v>
      </c>
      <c r="EG69" s="57">
        <f t="shared" si="28"/>
        <v>0.25862068965517243</v>
      </c>
      <c r="EH69" s="41">
        <f t="shared" si="29"/>
        <v>0.1206896551724138</v>
      </c>
      <c r="EJ69" s="57" t="e">
        <f t="shared" si="30"/>
        <v>#DIV/0!</v>
      </c>
      <c r="EK69" s="57" t="e">
        <f t="shared" si="31"/>
        <v>#DIV/0!</v>
      </c>
      <c r="EL69" s="41" t="e">
        <f t="shared" si="32"/>
        <v>#DIV/0!</v>
      </c>
      <c r="EN69" s="57" t="e">
        <f t="shared" si="33"/>
        <v>#DIV/0!</v>
      </c>
      <c r="EO69" s="57" t="e">
        <f t="shared" si="34"/>
        <v>#DIV/0!</v>
      </c>
      <c r="EP69" s="41" t="e">
        <f t="shared" si="35"/>
        <v>#DIV/0!</v>
      </c>
    </row>
    <row r="70" spans="20:146" x14ac:dyDescent="0.15">
      <c r="T70" s="2">
        <v>63</v>
      </c>
      <c r="U70" s="2">
        <f>$N$8*SUM(C$11:C$12)/(365/12)*MAX(节奏总纲!D66-$E$2,0)</f>
        <v>374.38932067751517</v>
      </c>
      <c r="V70" s="2">
        <f>$N$8*SUM(D$11:D$12)/(365/12)*MAX(节奏总纲!E66-$E$2,0)</f>
        <v>157.17865234415672</v>
      </c>
      <c r="W70" s="2">
        <f>$N$8*SUM(E$11:E$12)/(365/12)*MAX(节奏总纲!F66-$E$2,0)</f>
        <v>0</v>
      </c>
      <c r="X70" s="2">
        <f>$N$8*SUM(F$11:F$12)/(365/12)*MAX(节奏总纲!G66-$E$2,0)</f>
        <v>0</v>
      </c>
      <c r="Y70" s="2">
        <f>$N$8*SUM(G$11:G$12)/(365/12)*MAX(节奏总纲!H66-$E$2,0)</f>
        <v>0</v>
      </c>
      <c r="Z70" s="2">
        <f>$O$8*SUM(C$11:C$12)/(365/12)*MAX(节奏总纲!D66-$E$2,0)</f>
        <v>3743.8932067751516</v>
      </c>
      <c r="AA70" s="2">
        <f>$O$8*SUM(D$11:D$12)/(365/12)*MAX(节奏总纲!E66-$E$2,0)</f>
        <v>1571.7865234415672</v>
      </c>
      <c r="AB70" s="2">
        <f>$O$8*SUM(E$11:E$12)/(365/12)*MAX(节奏总纲!F66-$E$2,0)</f>
        <v>0</v>
      </c>
      <c r="AC70" s="2">
        <f>$O$8*SUM(F$11:F$12)/(365/12)*MAX(节奏总纲!G66-$E$2,0)</f>
        <v>0</v>
      </c>
      <c r="AD70" s="2">
        <f>$O$8*SUM(G$11:G$12)/(365/12)*MAX(节奏总纲!H66-$E$2,0)</f>
        <v>0</v>
      </c>
      <c r="AE70" s="2">
        <f>$Q$8*SUM(C$11:C$12)/(365/12)*MAX(节奏总纲!D66-$E$2,0)</f>
        <v>4679.8665084689392</v>
      </c>
      <c r="AF70" s="2">
        <f>$Q$8*SUM(D$11:D$12)/(365/12)*MAX(节奏总纲!E66-$E$2,0)</f>
        <v>1964.7331543019588</v>
      </c>
      <c r="AG70" s="2">
        <f>$Q$8*SUM(E$11:E$12)/(365/12)*MAX(节奏总纲!F66-$E$2,0)</f>
        <v>0</v>
      </c>
      <c r="AH70" s="2">
        <f>$Q$8*SUM(F$11:F$12)/(365/12)*MAX(节奏总纲!G66-$E$2,0)</f>
        <v>0</v>
      </c>
      <c r="AI70" s="2">
        <f>$Q$8*SUM(G$11:G$12)/(365/12)*MAX(节奏总纲!H66-$E$2,0)</f>
        <v>0</v>
      </c>
      <c r="AJ70" s="2">
        <f>$P$8*SUM(C$11:C$12)/(365/12)*MAX(节奏总纲!D66-$E$2,0)</f>
        <v>101085.1165829291</v>
      </c>
      <c r="AK70" s="2">
        <f>$P$8*SUM(D$11:D$12)/(365/12)*MAX(节奏总纲!E66-$E$2,0)</f>
        <v>42438.236132922313</v>
      </c>
      <c r="AL70" s="2">
        <f>$P$8*SUM(E$11:E$12)/(365/12)*MAX(节奏总纲!F66-$E$2,0)</f>
        <v>0</v>
      </c>
      <c r="AM70" s="2">
        <f>$P$8*SUM(F$11:F$12)/(365/12)*MAX(节奏总纲!G66-$E$2,0)</f>
        <v>0</v>
      </c>
      <c r="AN70" s="2">
        <f>$P$8*SUM(G$11:G$12)/(365/12)*MAX(节奏总纲!H66-$E$2,0)</f>
        <v>0</v>
      </c>
      <c r="BC70" s="2">
        <v>63</v>
      </c>
      <c r="BD70" s="2">
        <f>$AZ$8/(365/12)*MAX(节奏总纲!D66-$E$2,0)</f>
        <v>1754.9499406758525</v>
      </c>
      <c r="BE70" s="2">
        <f>$AZ$8/(365/12)*MAX(节奏总纲!E66-$E$2,0)</f>
        <v>736.77493286323465</v>
      </c>
      <c r="BF70" s="2">
        <f>$AZ$8/(365/12)*MAX(节奏总纲!F66-$E$2,0)</f>
        <v>0</v>
      </c>
      <c r="BG70" s="2">
        <f>$AZ$8/(365/12)*MAX(节奏总纲!G66-$E$2,0)</f>
        <v>0</v>
      </c>
      <c r="BH70" s="2">
        <f>$AZ$8/(365/12)*MAX(节奏总纲!H66-$E$2,0)</f>
        <v>0</v>
      </c>
      <c r="BI70" s="2">
        <f>$AY$8/(365/12)*MAX(节奏总纲!D66-$E$2,0)</f>
        <v>42118.798576220463</v>
      </c>
      <c r="BJ70" s="2">
        <f>$AY$8/(365/12)*MAX(节奏总纲!E66-$E$2,0)</f>
        <v>17682.59838871763</v>
      </c>
      <c r="BK70" s="2">
        <f>$AY$8/(365/12)*MAX(节奏总纲!F66-$E$2,0)</f>
        <v>0</v>
      </c>
      <c r="BL70" s="2">
        <f>$AY$8/(365/12)*MAX(节奏总纲!G66-$E$2,0)</f>
        <v>0</v>
      </c>
      <c r="BM70" s="2">
        <f>$AY$8/(365/12)*MAX(节奏总纲!H66-$E$2,0)</f>
        <v>0</v>
      </c>
      <c r="CD70" s="2">
        <v>63</v>
      </c>
      <c r="CE70" s="2">
        <f>INDEX($BY$8:$BY$15,MATCH(CE$7,$CB$8:$CB$15,0))*SUM(C$11:C$12)/(365/12)*MAX(节奏总纲!D66-$E$2,0)</f>
        <v>467.98665084689395</v>
      </c>
      <c r="CF70" s="2">
        <f>INDEX($BY$8:$BY$15,MATCH(CF$7,$CB$8:$CB$15,0))*SUM(D$11:D$12)/(365/12)*MAX(节奏总纲!E66-$E$2,0)</f>
        <v>235.76797851623508</v>
      </c>
      <c r="CG70" s="2">
        <f>INDEX($BY$8:$BY$15,MATCH(CG$7,$CB$8:$CB$15,0))*SUM(E$11:E$12)/(365/12)*MAX(节奏总纲!F66-$E$2,0)</f>
        <v>0</v>
      </c>
      <c r="CH70" s="2">
        <f>INDEX($BY$8:$BY$15,MATCH(CH$7,$CB$8:$CB$15,0))*SUM(F$11:F$12)/(365/12)*MAX(节奏总纲!G66-$E$2,0)</f>
        <v>0</v>
      </c>
      <c r="CI70" s="2">
        <f>INDEX($BY$8:$BY$15,MATCH(CI$7,$CB$8:$CB$15,0))*SUM(G$11:G$12)/(365/12)*MAX(节奏总纲!H66-$E$2,0)</f>
        <v>0</v>
      </c>
      <c r="CJ70" s="2">
        <f>INDEX($BZ$8:$BZ$15,MATCH(CE$7,$CB$8:$CB$15,0))*SUM(C$11:C$12)/(365/12)*MAX(节奏总纲!D66-$E$2,0)</f>
        <v>19655.439335569547</v>
      </c>
      <c r="CK70" s="2">
        <f>INDEX($BZ$8:$BZ$15,MATCH(CF$7,$CB$8:$CB$15,0))*SUM(D$11:D$12)/(365/12)*MAX(节奏总纲!E66-$E$2,0)</f>
        <v>9430.7191406494039</v>
      </c>
      <c r="CL70" s="2">
        <f>INDEX($BZ$8:$BZ$15,MATCH(CG$7,$CB$8:$CB$15,0))*SUM(E$11:E$12)/(365/12)*MAX(节奏总纲!F66-$E$2,0)</f>
        <v>0</v>
      </c>
      <c r="CM70" s="2">
        <f>INDEX($BZ$8:$BZ$15,MATCH(CH$7,$CB$8:$CB$15,0))*SUM(F$11:F$12)/(365/12)*MAX(节奏总纲!G66-$E$2,0)</f>
        <v>0</v>
      </c>
      <c r="CN70" s="2">
        <f>INDEX($BZ$8:$BZ$15,MATCH(CI$7,$CB$8:$CB$15,0))*SUM(G$11:G$12)/(365/12)*MAX(节奏总纲!H66-$E$2,0)</f>
        <v>0</v>
      </c>
      <c r="CS70" s="2">
        <v>63</v>
      </c>
      <c r="CT70" s="2">
        <f t="shared" si="41"/>
        <v>6902.8030999916855</v>
      </c>
      <c r="CU70" s="2">
        <f t="shared" si="42"/>
        <v>2937.2760656814285</v>
      </c>
      <c r="CV70" s="2">
        <f t="shared" si="43"/>
        <v>0</v>
      </c>
      <c r="CW70" s="2">
        <f t="shared" si="44"/>
        <v>0</v>
      </c>
      <c r="CX70" s="2">
        <f t="shared" si="45"/>
        <v>0</v>
      </c>
      <c r="CZ70" s="41">
        <f t="shared" si="46"/>
        <v>0.67796610169491522</v>
      </c>
      <c r="DA70" s="41">
        <f t="shared" si="47"/>
        <v>0.25423728813559326</v>
      </c>
      <c r="DB70" s="41">
        <f t="shared" si="48"/>
        <v>6.7796610169491525E-2</v>
      </c>
      <c r="DD70" s="41" t="e">
        <f t="shared" si="49"/>
        <v>#DIV/0!</v>
      </c>
      <c r="DE70" s="41" t="e">
        <f t="shared" si="50"/>
        <v>#DIV/0!</v>
      </c>
      <c r="DF70" s="41" t="e">
        <f t="shared" si="51"/>
        <v>#DIV/0!</v>
      </c>
      <c r="DH70" s="41" t="e">
        <f t="shared" si="52"/>
        <v>#DIV/0!</v>
      </c>
      <c r="DI70" s="41" t="e">
        <f t="shared" si="53"/>
        <v>#DIV/0!</v>
      </c>
      <c r="DJ70" s="41" t="e">
        <f t="shared" si="54"/>
        <v>#DIV/0!</v>
      </c>
      <c r="DL70" s="2">
        <f>CT70/节奏总纲!D66</f>
        <v>88.732682714270055</v>
      </c>
      <c r="DM70" s="2">
        <f>CU70/节奏总纲!E66</f>
        <v>43.534498571240476</v>
      </c>
      <c r="DN70" s="2">
        <f>CV70/节奏总纲!F66</f>
        <v>0</v>
      </c>
      <c r="DO70" s="2">
        <f>CW70/节奏总纲!G66</f>
        <v>0</v>
      </c>
      <c r="DP70" s="2">
        <f>CX70/节奏总纲!H66</f>
        <v>0</v>
      </c>
      <c r="DR70" s="2">
        <f t="shared" si="55"/>
        <v>0.49062529430589646</v>
      </c>
      <c r="DS70" s="2">
        <f t="shared" si="56"/>
        <v>0</v>
      </c>
      <c r="DT70" s="2">
        <f t="shared" si="57"/>
        <v>0</v>
      </c>
      <c r="DU70" s="2">
        <f t="shared" si="58"/>
        <v>0</v>
      </c>
      <c r="DY70" s="2">
        <v>63</v>
      </c>
      <c r="DZ70" s="2">
        <f t="shared" si="22"/>
        <v>162859.3544947191</v>
      </c>
      <c r="EA70" s="2">
        <f t="shared" si="23"/>
        <v>69551.553662289356</v>
      </c>
      <c r="EB70" s="2">
        <f t="shared" si="24"/>
        <v>0</v>
      </c>
      <c r="EC70" s="2">
        <f t="shared" si="25"/>
        <v>0</v>
      </c>
      <c r="ED70" s="2">
        <f t="shared" si="26"/>
        <v>0</v>
      </c>
      <c r="EF70" s="57">
        <f t="shared" si="27"/>
        <v>0.62068965517241381</v>
      </c>
      <c r="EG70" s="57">
        <f t="shared" si="28"/>
        <v>0.25862068965517243</v>
      </c>
      <c r="EH70" s="41">
        <f t="shared" si="29"/>
        <v>0.1206896551724138</v>
      </c>
      <c r="EJ70" s="57" t="e">
        <f t="shared" si="30"/>
        <v>#DIV/0!</v>
      </c>
      <c r="EK70" s="57" t="e">
        <f t="shared" si="31"/>
        <v>#DIV/0!</v>
      </c>
      <c r="EL70" s="41" t="e">
        <f t="shared" si="32"/>
        <v>#DIV/0!</v>
      </c>
      <c r="EN70" s="57" t="e">
        <f t="shared" si="33"/>
        <v>#DIV/0!</v>
      </c>
      <c r="EO70" s="57" t="e">
        <f t="shared" si="34"/>
        <v>#DIV/0!</v>
      </c>
      <c r="EP70" s="41" t="e">
        <f t="shared" si="35"/>
        <v>#DIV/0!</v>
      </c>
    </row>
    <row r="71" spans="20:146" x14ac:dyDescent="0.15">
      <c r="T71" s="2">
        <v>64</v>
      </c>
      <c r="U71" s="2">
        <f>$N$8*SUM(C$11:C$12)/(365/12)*MAX(节奏总纲!D67-$E$2,0)</f>
        <v>493.38226932354172</v>
      </c>
      <c r="V71" s="2">
        <f>$N$8*SUM(D$11:D$12)/(365/12)*MAX(节奏总纲!E67-$E$2,0)</f>
        <v>260.90799111168008</v>
      </c>
      <c r="W71" s="2">
        <f>$N$8*SUM(E$11:E$12)/(365/12)*MAX(节奏总纲!F67-$E$2,0)</f>
        <v>0</v>
      </c>
      <c r="X71" s="2">
        <f>$N$8*SUM(F$11:F$12)/(365/12)*MAX(节奏总纲!G67-$E$2,0)</f>
        <v>0</v>
      </c>
      <c r="Y71" s="2">
        <f>$N$8*SUM(G$11:G$12)/(365/12)*MAX(节奏总纲!H67-$E$2,0)</f>
        <v>0</v>
      </c>
      <c r="Z71" s="2">
        <f>$O$8*SUM(C$11:C$12)/(365/12)*MAX(节奏总纲!D67-$E$2,0)</f>
        <v>4933.8226932354173</v>
      </c>
      <c r="AA71" s="2">
        <f>$O$8*SUM(D$11:D$12)/(365/12)*MAX(节奏总纲!E67-$E$2,0)</f>
        <v>2609.0799111168008</v>
      </c>
      <c r="AB71" s="2">
        <f>$O$8*SUM(E$11:E$12)/(365/12)*MAX(节奏总纲!F67-$E$2,0)</f>
        <v>0</v>
      </c>
      <c r="AC71" s="2">
        <f>$O$8*SUM(F$11:F$12)/(365/12)*MAX(节奏总纲!G67-$E$2,0)</f>
        <v>0</v>
      </c>
      <c r="AD71" s="2">
        <f>$O$8*SUM(G$11:G$12)/(365/12)*MAX(节奏总纲!H67-$E$2,0)</f>
        <v>0</v>
      </c>
      <c r="AE71" s="2">
        <f>$Q$8*SUM(C$11:C$12)/(365/12)*MAX(节奏总纲!D67-$E$2,0)</f>
        <v>6167.2783665442712</v>
      </c>
      <c r="AF71" s="2">
        <f>$Q$8*SUM(D$11:D$12)/(365/12)*MAX(节奏总纲!E67-$E$2,0)</f>
        <v>3261.3498888960012</v>
      </c>
      <c r="AG71" s="2">
        <f>$Q$8*SUM(E$11:E$12)/(365/12)*MAX(节奏总纲!F67-$E$2,0)</f>
        <v>0</v>
      </c>
      <c r="AH71" s="2">
        <f>$Q$8*SUM(F$11:F$12)/(365/12)*MAX(节奏总纲!G67-$E$2,0)</f>
        <v>0</v>
      </c>
      <c r="AI71" s="2">
        <f>$Q$8*SUM(G$11:G$12)/(365/12)*MAX(节奏总纲!H67-$E$2,0)</f>
        <v>0</v>
      </c>
      <c r="AJ71" s="2">
        <f>$P$8*SUM(C$11:C$12)/(365/12)*MAX(节奏总纲!D67-$E$2,0)</f>
        <v>133213.21271735625</v>
      </c>
      <c r="AK71" s="2">
        <f>$P$8*SUM(D$11:D$12)/(365/12)*MAX(节奏总纲!E67-$E$2,0)</f>
        <v>70445.157600153616</v>
      </c>
      <c r="AL71" s="2">
        <f>$P$8*SUM(E$11:E$12)/(365/12)*MAX(节奏总纲!F67-$E$2,0)</f>
        <v>0</v>
      </c>
      <c r="AM71" s="2">
        <f>$P$8*SUM(F$11:F$12)/(365/12)*MAX(节奏总纲!G67-$E$2,0)</f>
        <v>0</v>
      </c>
      <c r="AN71" s="2">
        <f>$P$8*SUM(G$11:G$12)/(365/12)*MAX(节奏总纲!H67-$E$2,0)</f>
        <v>0</v>
      </c>
      <c r="BC71" s="2">
        <v>64</v>
      </c>
      <c r="BD71" s="2">
        <f>$AZ$8/(365/12)*MAX(节奏总纲!D67-$E$2,0)</f>
        <v>2312.7293874541019</v>
      </c>
      <c r="BE71" s="2">
        <f>$AZ$8/(365/12)*MAX(节奏总纲!E67-$E$2,0)</f>
        <v>1223.0062083360006</v>
      </c>
      <c r="BF71" s="2">
        <f>$AZ$8/(365/12)*MAX(节奏总纲!F67-$E$2,0)</f>
        <v>0</v>
      </c>
      <c r="BG71" s="2">
        <f>$AZ$8/(365/12)*MAX(节奏总纲!G67-$E$2,0)</f>
        <v>0</v>
      </c>
      <c r="BH71" s="2">
        <f>$AZ$8/(365/12)*MAX(节奏总纲!H67-$E$2,0)</f>
        <v>0</v>
      </c>
      <c r="BI71" s="2">
        <f>$AY$8/(365/12)*MAX(节奏总纲!D67-$E$2,0)</f>
        <v>55505.505298898446</v>
      </c>
      <c r="BJ71" s="2">
        <f>$AY$8/(365/12)*MAX(节奏总纲!E67-$E$2,0)</f>
        <v>29352.149000064011</v>
      </c>
      <c r="BK71" s="2">
        <f>$AY$8/(365/12)*MAX(节奏总纲!F67-$E$2,0)</f>
        <v>0</v>
      </c>
      <c r="BL71" s="2">
        <f>$AY$8/(365/12)*MAX(节奏总纲!G67-$E$2,0)</f>
        <v>0</v>
      </c>
      <c r="BM71" s="2">
        <f>$AY$8/(365/12)*MAX(节奏总纲!H67-$E$2,0)</f>
        <v>0</v>
      </c>
      <c r="CD71" s="2">
        <v>64</v>
      </c>
      <c r="CE71" s="2">
        <f>INDEX($BY$8:$BY$15,MATCH(CE$7,$CB$8:$CB$15,0))*SUM(C$11:C$12)/(365/12)*MAX(节奏总纲!D67-$E$2,0)</f>
        <v>616.72783665442716</v>
      </c>
      <c r="CF71" s="2">
        <f>INDEX($BY$8:$BY$15,MATCH(CF$7,$CB$8:$CB$15,0))*SUM(D$11:D$12)/(365/12)*MAX(节奏总纲!E67-$E$2,0)</f>
        <v>391.36198666752011</v>
      </c>
      <c r="CG71" s="2">
        <f>INDEX($BY$8:$BY$15,MATCH(CG$7,$CB$8:$CB$15,0))*SUM(E$11:E$12)/(365/12)*MAX(节奏总纲!F67-$E$2,0)</f>
        <v>0</v>
      </c>
      <c r="CH71" s="2">
        <f>INDEX($BY$8:$BY$15,MATCH(CH$7,$CB$8:$CB$15,0))*SUM(F$11:F$12)/(365/12)*MAX(节奏总纲!G67-$E$2,0)</f>
        <v>0</v>
      </c>
      <c r="CI71" s="2">
        <f>INDEX($BY$8:$BY$15,MATCH(CI$7,$CB$8:$CB$15,0))*SUM(G$11:G$12)/(365/12)*MAX(节奏总纲!H67-$E$2,0)</f>
        <v>0</v>
      </c>
      <c r="CJ71" s="2">
        <f>INDEX($BZ$8:$BZ$15,MATCH(CE$7,$CB$8:$CB$15,0))*SUM(C$11:C$12)/(365/12)*MAX(节奏总纲!D67-$E$2,0)</f>
        <v>25902.569139485942</v>
      </c>
      <c r="CK71" s="2">
        <f>INDEX($BZ$8:$BZ$15,MATCH(CF$7,$CB$8:$CB$15,0))*SUM(D$11:D$12)/(365/12)*MAX(节奏总纲!E67-$E$2,0)</f>
        <v>15654.479466700806</v>
      </c>
      <c r="CL71" s="2">
        <f>INDEX($BZ$8:$BZ$15,MATCH(CG$7,$CB$8:$CB$15,0))*SUM(E$11:E$12)/(365/12)*MAX(节奏总纲!F67-$E$2,0)</f>
        <v>0</v>
      </c>
      <c r="CM71" s="2">
        <f>INDEX($BZ$8:$BZ$15,MATCH(CH$7,$CB$8:$CB$15,0))*SUM(F$11:F$12)/(365/12)*MAX(节奏总纲!G67-$E$2,0)</f>
        <v>0</v>
      </c>
      <c r="CN71" s="2">
        <f>INDEX($BZ$8:$BZ$15,MATCH(CI$7,$CB$8:$CB$15,0))*SUM(G$11:G$12)/(365/12)*MAX(节奏总纲!H67-$E$2,0)</f>
        <v>0</v>
      </c>
      <c r="CS71" s="2">
        <v>64</v>
      </c>
      <c r="CT71" s="2">
        <f t="shared" si="41"/>
        <v>9096.7355906527991</v>
      </c>
      <c r="CU71" s="2">
        <f t="shared" si="42"/>
        <v>4875.7180838995218</v>
      </c>
      <c r="CV71" s="2">
        <f t="shared" si="43"/>
        <v>0</v>
      </c>
      <c r="CW71" s="2">
        <f t="shared" si="44"/>
        <v>0</v>
      </c>
      <c r="CX71" s="2">
        <f t="shared" si="45"/>
        <v>0</v>
      </c>
      <c r="CZ71" s="41">
        <f t="shared" si="46"/>
        <v>0.67796610169491534</v>
      </c>
      <c r="DA71" s="41">
        <f t="shared" si="47"/>
        <v>0.25423728813559326</v>
      </c>
      <c r="DB71" s="41">
        <f t="shared" si="48"/>
        <v>6.7796610169491539E-2</v>
      </c>
      <c r="DD71" s="41" t="e">
        <f t="shared" si="49"/>
        <v>#DIV/0!</v>
      </c>
      <c r="DE71" s="41" t="e">
        <f t="shared" si="50"/>
        <v>#DIV/0!</v>
      </c>
      <c r="DF71" s="41" t="e">
        <f t="shared" si="51"/>
        <v>#DIV/0!</v>
      </c>
      <c r="DH71" s="41" t="e">
        <f t="shared" si="52"/>
        <v>#DIV/0!</v>
      </c>
      <c r="DI71" s="41" t="e">
        <f t="shared" si="53"/>
        <v>#DIV/0!</v>
      </c>
      <c r="DJ71" s="41" t="e">
        <f t="shared" si="54"/>
        <v>#DIV/0!</v>
      </c>
      <c r="DL71" s="2">
        <f>CT71/节奏总纲!D67</f>
        <v>109.01016680991448</v>
      </c>
      <c r="DM71" s="2">
        <f>CU71/节奏总纲!E67</f>
        <v>67.344243069625449</v>
      </c>
      <c r="DN71" s="2">
        <f>CV71/节奏总纲!F67</f>
        <v>0</v>
      </c>
      <c r="DO71" s="2">
        <f>CW71/节奏总纲!G67</f>
        <v>0</v>
      </c>
      <c r="DP71" s="2">
        <f>CX71/节奏总纲!H67</f>
        <v>0</v>
      </c>
      <c r="DR71" s="2">
        <f t="shared" si="55"/>
        <v>0.6177794699374819</v>
      </c>
      <c r="DS71" s="2">
        <f t="shared" si="56"/>
        <v>0</v>
      </c>
      <c r="DT71" s="2">
        <f t="shared" si="57"/>
        <v>0</v>
      </c>
      <c r="DU71" s="2">
        <f t="shared" si="58"/>
        <v>0</v>
      </c>
      <c r="DY71" s="2">
        <v>64</v>
      </c>
      <c r="DZ71" s="2">
        <f t="shared" si="22"/>
        <v>214621.28715574063</v>
      </c>
      <c r="EA71" s="2">
        <f t="shared" si="23"/>
        <v>115451.78606691843</v>
      </c>
      <c r="EB71" s="2">
        <f t="shared" si="24"/>
        <v>0</v>
      </c>
      <c r="EC71" s="2">
        <f t="shared" si="25"/>
        <v>0</v>
      </c>
      <c r="ED71" s="2">
        <f t="shared" si="26"/>
        <v>0</v>
      </c>
      <c r="EF71" s="57">
        <f t="shared" si="27"/>
        <v>0.62068965517241381</v>
      </c>
      <c r="EG71" s="57">
        <f t="shared" si="28"/>
        <v>0.25862068965517243</v>
      </c>
      <c r="EH71" s="41">
        <f t="shared" si="29"/>
        <v>0.12068965517241381</v>
      </c>
      <c r="EJ71" s="57" t="e">
        <f t="shared" si="30"/>
        <v>#DIV/0!</v>
      </c>
      <c r="EK71" s="57" t="e">
        <f t="shared" si="31"/>
        <v>#DIV/0!</v>
      </c>
      <c r="EL71" s="41" t="e">
        <f t="shared" si="32"/>
        <v>#DIV/0!</v>
      </c>
      <c r="EN71" s="57" t="e">
        <f t="shared" si="33"/>
        <v>#DIV/0!</v>
      </c>
      <c r="EO71" s="57" t="e">
        <f t="shared" si="34"/>
        <v>#DIV/0!</v>
      </c>
      <c r="EP71" s="41" t="e">
        <f t="shared" si="35"/>
        <v>#DIV/0!</v>
      </c>
    </row>
    <row r="72" spans="20:146" x14ac:dyDescent="0.15">
      <c r="T72" s="2">
        <v>65</v>
      </c>
      <c r="U72" s="2">
        <f>$N$8*SUM(C$11:C$12)/(365/12)*MAX(节奏总纲!D68-$E$2,0)</f>
        <v>620.9157539112972</v>
      </c>
      <c r="V72" s="2">
        <f>$N$8*SUM(D$11:D$12)/(365/12)*MAX(节奏总纲!E68-$E$2,0)</f>
        <v>371.3677041892833</v>
      </c>
      <c r="W72" s="2">
        <f>$N$8*SUM(E$11:E$12)/(365/12)*MAX(节奏总纲!F68-$E$2,0)</f>
        <v>80.008585004411003</v>
      </c>
      <c r="X72" s="2">
        <f>$N$8*SUM(F$11:F$12)/(365/12)*MAX(节奏总纲!G68-$E$2,0)</f>
        <v>0</v>
      </c>
      <c r="Y72" s="2">
        <f>$N$8*SUM(G$11:G$12)/(365/12)*MAX(节奏总纲!H68-$E$2,0)</f>
        <v>0</v>
      </c>
      <c r="Z72" s="2">
        <f>$O$8*SUM(C$11:C$12)/(365/12)*MAX(节奏总纲!D68-$E$2,0)</f>
        <v>6209.1575391129727</v>
      </c>
      <c r="AA72" s="2">
        <f>$O$8*SUM(D$11:D$12)/(365/12)*MAX(节奏总纲!E68-$E$2,0)</f>
        <v>3713.6770418928331</v>
      </c>
      <c r="AB72" s="2">
        <f>$O$8*SUM(E$11:E$12)/(365/12)*MAX(节奏总纲!F68-$E$2,0)</f>
        <v>800.08585004410997</v>
      </c>
      <c r="AC72" s="2">
        <f>$O$8*SUM(F$11:F$12)/(365/12)*MAX(节奏总纲!G68-$E$2,0)</f>
        <v>0</v>
      </c>
      <c r="AD72" s="2">
        <f>$O$8*SUM(G$11:G$12)/(365/12)*MAX(节奏总纲!H68-$E$2,0)</f>
        <v>0</v>
      </c>
      <c r="AE72" s="2">
        <f>$Q$8*SUM(C$11:C$12)/(365/12)*MAX(节奏总纲!D68-$E$2,0)</f>
        <v>7761.4469238912152</v>
      </c>
      <c r="AF72" s="2">
        <f>$Q$8*SUM(D$11:D$12)/(365/12)*MAX(节奏总纲!E68-$E$2,0)</f>
        <v>4642.0963023660406</v>
      </c>
      <c r="AG72" s="2">
        <f>$Q$8*SUM(E$11:E$12)/(365/12)*MAX(节奏总纲!F68-$E$2,0)</f>
        <v>1000.1073125551375</v>
      </c>
      <c r="AH72" s="2">
        <f>$Q$8*SUM(F$11:F$12)/(365/12)*MAX(节奏总纲!G68-$E$2,0)</f>
        <v>0</v>
      </c>
      <c r="AI72" s="2">
        <f>$Q$8*SUM(G$11:G$12)/(365/12)*MAX(节奏总纲!H68-$E$2,0)</f>
        <v>0</v>
      </c>
      <c r="AJ72" s="2">
        <f>$P$8*SUM(C$11:C$12)/(365/12)*MAX(节奏总纲!D68-$E$2,0)</f>
        <v>167647.25355605024</v>
      </c>
      <c r="AK72" s="2">
        <f>$P$8*SUM(D$11:D$12)/(365/12)*MAX(节奏总纲!E68-$E$2,0)</f>
        <v>100269.28013110648</v>
      </c>
      <c r="AL72" s="2">
        <f>$P$8*SUM(E$11:E$12)/(365/12)*MAX(节奏总纲!F68-$E$2,0)</f>
        <v>21602.317951190969</v>
      </c>
      <c r="AM72" s="2">
        <f>$P$8*SUM(F$11:F$12)/(365/12)*MAX(节奏总纲!G68-$E$2,0)</f>
        <v>0</v>
      </c>
      <c r="AN72" s="2">
        <f>$P$8*SUM(G$11:G$12)/(365/12)*MAX(节奏总纲!H68-$E$2,0)</f>
        <v>0</v>
      </c>
      <c r="BC72" s="2">
        <v>65</v>
      </c>
      <c r="BD72" s="2">
        <f>$AZ$8/(365/12)*MAX(节奏总纲!D68-$E$2,0)</f>
        <v>2910.5425964592059</v>
      </c>
      <c r="BE72" s="2">
        <f>$AZ$8/(365/12)*MAX(节奏总纲!E68-$E$2,0)</f>
        <v>1740.7861133872655</v>
      </c>
      <c r="BF72" s="2">
        <f>$AZ$8/(365/12)*MAX(节奏总纲!F68-$E$2,0)</f>
        <v>375.04024220817661</v>
      </c>
      <c r="BG72" s="2">
        <f>$AZ$8/(365/12)*MAX(节奏总纲!G68-$E$2,0)</f>
        <v>0</v>
      </c>
      <c r="BH72" s="2">
        <f>$AZ$8/(365/12)*MAX(节奏总纲!H68-$E$2,0)</f>
        <v>0</v>
      </c>
      <c r="BI72" s="2">
        <f>$AY$8/(365/12)*MAX(节奏总纲!D68-$E$2,0)</f>
        <v>69853.022315020949</v>
      </c>
      <c r="BJ72" s="2">
        <f>$AY$8/(365/12)*MAX(节奏总纲!E68-$E$2,0)</f>
        <v>41778.866721294376</v>
      </c>
      <c r="BK72" s="2">
        <f>$AY$8/(365/12)*MAX(节奏总纲!F68-$E$2,0)</f>
        <v>9000.965812996239</v>
      </c>
      <c r="BL72" s="2">
        <f>$AY$8/(365/12)*MAX(节奏总纲!G68-$E$2,0)</f>
        <v>0</v>
      </c>
      <c r="BM72" s="2">
        <f>$AY$8/(365/12)*MAX(节奏总纲!H68-$E$2,0)</f>
        <v>0</v>
      </c>
      <c r="CD72" s="2">
        <v>65</v>
      </c>
      <c r="CE72" s="2">
        <f>INDEX($BY$8:$BY$15,MATCH(CE$7,$CB$8:$CB$15,0))*SUM(C$11:C$12)/(365/12)*MAX(节奏总纲!D68-$E$2,0)</f>
        <v>776.14469238912159</v>
      </c>
      <c r="CF72" s="2">
        <f>INDEX($BY$8:$BY$15,MATCH(CF$7,$CB$8:$CB$15,0))*SUM(D$11:D$12)/(365/12)*MAX(节奏总纲!E68-$E$2,0)</f>
        <v>557.05155628392492</v>
      </c>
      <c r="CG72" s="2">
        <f>INDEX($BY$8:$BY$15,MATCH(CG$7,$CB$8:$CB$15,0))*SUM(E$11:E$12)/(365/12)*MAX(节奏总纲!F68-$E$2,0)</f>
        <v>200.02146251102749</v>
      </c>
      <c r="CH72" s="2">
        <f>INDEX($BY$8:$BY$15,MATCH(CH$7,$CB$8:$CB$15,0))*SUM(F$11:F$12)/(365/12)*MAX(节奏总纲!G68-$E$2,0)</f>
        <v>0</v>
      </c>
      <c r="CI72" s="2">
        <f>INDEX($BY$8:$BY$15,MATCH(CI$7,$CB$8:$CB$15,0))*SUM(G$11:G$12)/(365/12)*MAX(节奏总纲!H68-$E$2,0)</f>
        <v>0</v>
      </c>
      <c r="CJ72" s="2">
        <f>INDEX($BZ$8:$BZ$15,MATCH(CE$7,$CB$8:$CB$15,0))*SUM(C$11:C$12)/(365/12)*MAX(节奏总纲!D68-$E$2,0)</f>
        <v>32598.077080343108</v>
      </c>
      <c r="CK72" s="2">
        <f>INDEX($BZ$8:$BZ$15,MATCH(CF$7,$CB$8:$CB$15,0))*SUM(D$11:D$12)/(365/12)*MAX(节奏总纲!E68-$E$2,0)</f>
        <v>22282.062251357002</v>
      </c>
      <c r="CL72" s="2">
        <f>INDEX($BZ$8:$BZ$15,MATCH(CG$7,$CB$8:$CB$15,0))*SUM(E$11:E$12)/(365/12)*MAX(节奏总纲!F68-$E$2,0)</f>
        <v>7200.7726503969898</v>
      </c>
      <c r="CM72" s="2">
        <f>INDEX($BZ$8:$BZ$15,MATCH(CH$7,$CB$8:$CB$15,0))*SUM(F$11:F$12)/(365/12)*MAX(节奏总纲!G68-$E$2,0)</f>
        <v>0</v>
      </c>
      <c r="CN72" s="2">
        <f>INDEX($BZ$8:$BZ$15,MATCH(CI$7,$CB$8:$CB$15,0))*SUM(G$11:G$12)/(365/12)*MAX(节奏总纲!H68-$E$2,0)</f>
        <v>0</v>
      </c>
      <c r="CS72" s="2">
        <v>65</v>
      </c>
      <c r="CT72" s="2">
        <f t="shared" ref="CT72:CT103" si="59">AE72+BD72+CE72</f>
        <v>11448.134212739542</v>
      </c>
      <c r="CU72" s="2">
        <f t="shared" ref="CU72:CU103" si="60">AF72+BE72+CF72</f>
        <v>6939.9339720372309</v>
      </c>
      <c r="CV72" s="2">
        <f t="shared" ref="CV72:CV103" si="61">AG72+BF72+CG72</f>
        <v>1575.1690172743415</v>
      </c>
      <c r="CW72" s="2">
        <f t="shared" ref="CW72:CW103" si="62">AH72+BG72+CH72</f>
        <v>0</v>
      </c>
      <c r="CX72" s="2">
        <f t="shared" ref="CX72:CX103" si="63">AI72+BH72+CI72</f>
        <v>0</v>
      </c>
      <c r="CZ72" s="41">
        <f t="shared" ref="CZ72:CZ103" si="64">AE72/CT72</f>
        <v>0.67796610169491534</v>
      </c>
      <c r="DA72" s="41">
        <f t="shared" ref="DA72:DA103" si="65">BD72/CT72</f>
        <v>0.25423728813559326</v>
      </c>
      <c r="DB72" s="41">
        <f t="shared" ref="DB72:DB103" si="66">CE72/CT72</f>
        <v>6.7796610169491539E-2</v>
      </c>
      <c r="DD72" s="41">
        <f t="shared" ref="DD72:DD103" si="67">AG72/CV72</f>
        <v>0.63492063492063489</v>
      </c>
      <c r="DE72" s="41">
        <f t="shared" ref="DE72:DE103" si="68">BF72/CV72</f>
        <v>0.23809523809523814</v>
      </c>
      <c r="DF72" s="41">
        <f t="shared" ref="DF72:DF103" si="69">CG72/CV72</f>
        <v>0.12698412698412698</v>
      </c>
      <c r="DH72" s="41" t="e">
        <f t="shared" ref="DH72:DH103" si="70">AI72/CX72</f>
        <v>#DIV/0!</v>
      </c>
      <c r="DI72" s="41" t="e">
        <f t="shared" ref="DI72:DI103" si="71">BH72/CX72</f>
        <v>#DIV/0!</v>
      </c>
      <c r="DJ72" s="41" t="e">
        <f t="shared" ref="DJ72:DJ103" si="72">CI72/CX72</f>
        <v>#DIV/0!</v>
      </c>
      <c r="DL72" s="2">
        <f>CT72/节奏总纲!D68</f>
        <v>127.89829824615509</v>
      </c>
      <c r="DM72" s="2">
        <f>CU72/节奏总纲!E68</f>
        <v>89.374969950737793</v>
      </c>
      <c r="DN72" s="2">
        <f>CV72/节奏总纲!F68</f>
        <v>24.688205492894035</v>
      </c>
      <c r="DO72" s="2">
        <f>CW72/节奏总纲!G68</f>
        <v>0</v>
      </c>
      <c r="DP72" s="2">
        <f>CX72/节奏总纲!H68</f>
        <v>0</v>
      </c>
      <c r="DR72" s="2">
        <f t="shared" ref="DR72:DR103" si="73">DM72/$DL72</f>
        <v>0.69879717851073597</v>
      </c>
      <c r="DS72" s="2">
        <f t="shared" ref="DS72:DS103" si="74">DN72/$DL72</f>
        <v>0.19302997640655642</v>
      </c>
      <c r="DT72" s="2">
        <f t="shared" ref="DT72:DT103" si="75">DO72/$DL72</f>
        <v>0</v>
      </c>
      <c r="DU72" s="2">
        <f t="shared" ref="DU72:DU103" si="76">DP72/$DL72</f>
        <v>0</v>
      </c>
      <c r="DY72" s="2">
        <v>65</v>
      </c>
      <c r="DZ72" s="2">
        <f t="shared" si="22"/>
        <v>270098.3529514143</v>
      </c>
      <c r="EA72" s="2">
        <f t="shared" si="23"/>
        <v>164330.20910375786</v>
      </c>
      <c r="EB72" s="2">
        <f t="shared" si="24"/>
        <v>37804.0564145842</v>
      </c>
      <c r="EC72" s="2">
        <f t="shared" si="25"/>
        <v>0</v>
      </c>
      <c r="ED72" s="2">
        <f t="shared" si="26"/>
        <v>0</v>
      </c>
      <c r="EF72" s="57">
        <f t="shared" si="27"/>
        <v>0.6206896551724137</v>
      </c>
      <c r="EG72" s="57">
        <f t="shared" si="28"/>
        <v>0.25862068965517243</v>
      </c>
      <c r="EH72" s="41">
        <f t="shared" si="29"/>
        <v>0.1206896551724138</v>
      </c>
      <c r="EJ72" s="57">
        <f t="shared" si="30"/>
        <v>0.5714285714285714</v>
      </c>
      <c r="EK72" s="57">
        <f t="shared" si="31"/>
        <v>0.23809523809523811</v>
      </c>
      <c r="EL72" s="41">
        <f t="shared" si="32"/>
        <v>0.19047619047619047</v>
      </c>
      <c r="EN72" s="57" t="e">
        <f t="shared" si="33"/>
        <v>#DIV/0!</v>
      </c>
      <c r="EO72" s="57" t="e">
        <f t="shared" si="34"/>
        <v>#DIV/0!</v>
      </c>
      <c r="EP72" s="41" t="e">
        <f t="shared" si="35"/>
        <v>#DIV/0!</v>
      </c>
    </row>
    <row r="73" spans="20:146" x14ac:dyDescent="0.15">
      <c r="T73" s="2">
        <v>66</v>
      </c>
      <c r="U73" s="2">
        <f>$N$8*SUM(C$11:C$12)/(365/12)*MAX(节奏总纲!D69-$E$2,0)</f>
        <v>757.60275827723444</v>
      </c>
      <c r="V73" s="2">
        <f>$N$8*SUM(D$11:D$12)/(365/12)*MAX(节奏总纲!E69-$E$2,0)</f>
        <v>491.35772843492504</v>
      </c>
      <c r="W73" s="2">
        <f>$N$8*SUM(E$11:E$12)/(365/12)*MAX(节奏总纲!F69-$E$2,0)</f>
        <v>178.65112282347221</v>
      </c>
      <c r="X73" s="2">
        <f>$N$8*SUM(F$11:F$12)/(365/12)*MAX(节奏总纲!G69-$E$2,0)</f>
        <v>0</v>
      </c>
      <c r="Y73" s="2">
        <f>$N$8*SUM(G$11:G$12)/(365/12)*MAX(节奏总纲!H69-$E$2,0)</f>
        <v>0</v>
      </c>
      <c r="Z73" s="2">
        <f>$O$8*SUM(C$11:C$12)/(365/12)*MAX(节奏总纲!D69-$E$2,0)</f>
        <v>7576.0275827723444</v>
      </c>
      <c r="AA73" s="2">
        <f>$O$8*SUM(D$11:D$12)/(365/12)*MAX(节奏总纲!E69-$E$2,0)</f>
        <v>4913.5772843492505</v>
      </c>
      <c r="AB73" s="2">
        <f>$O$8*SUM(E$11:E$12)/(365/12)*MAX(节奏总纲!F69-$E$2,0)</f>
        <v>1786.511228234722</v>
      </c>
      <c r="AC73" s="2">
        <f>$O$8*SUM(F$11:F$12)/(365/12)*MAX(节奏总纲!G69-$E$2,0)</f>
        <v>0</v>
      </c>
      <c r="AD73" s="2">
        <f>$O$8*SUM(G$11:G$12)/(365/12)*MAX(节奏总纲!H69-$E$2,0)</f>
        <v>0</v>
      </c>
      <c r="AE73" s="2">
        <f>$Q$8*SUM(C$11:C$12)/(365/12)*MAX(节奏总纲!D69-$E$2,0)</f>
        <v>9470.0344784654299</v>
      </c>
      <c r="AF73" s="2">
        <f>$Q$8*SUM(D$11:D$12)/(365/12)*MAX(节奏总纲!E69-$E$2,0)</f>
        <v>6141.9716054365626</v>
      </c>
      <c r="AG73" s="2">
        <f>$Q$8*SUM(E$11:E$12)/(365/12)*MAX(节奏总纲!F69-$E$2,0)</f>
        <v>2233.1390352934022</v>
      </c>
      <c r="AH73" s="2">
        <f>$Q$8*SUM(F$11:F$12)/(365/12)*MAX(节奏总纲!G69-$E$2,0)</f>
        <v>0</v>
      </c>
      <c r="AI73" s="2">
        <f>$Q$8*SUM(G$11:G$12)/(365/12)*MAX(节奏总纲!H69-$E$2,0)</f>
        <v>0</v>
      </c>
      <c r="AJ73" s="2">
        <f>$P$8*SUM(C$11:C$12)/(365/12)*MAX(节奏总纲!D69-$E$2,0)</f>
        <v>204552.7447348533</v>
      </c>
      <c r="AK73" s="2">
        <f>$P$8*SUM(D$11:D$12)/(365/12)*MAX(节奏总纲!E69-$E$2,0)</f>
        <v>132666.58667742976</v>
      </c>
      <c r="AL73" s="2">
        <f>$P$8*SUM(E$11:E$12)/(365/12)*MAX(节奏总纲!F69-$E$2,0)</f>
        <v>48235.803162337492</v>
      </c>
      <c r="AM73" s="2">
        <f>$P$8*SUM(F$11:F$12)/(365/12)*MAX(节奏总纲!G69-$E$2,0)</f>
        <v>0</v>
      </c>
      <c r="AN73" s="2">
        <f>$P$8*SUM(G$11:G$12)/(365/12)*MAX(节奏总纲!H69-$E$2,0)</f>
        <v>0</v>
      </c>
      <c r="BC73" s="2">
        <v>66</v>
      </c>
      <c r="BD73" s="2">
        <f>$AZ$8/(365/12)*MAX(节奏总纲!D69-$E$2,0)</f>
        <v>3551.2629294245367</v>
      </c>
      <c r="BE73" s="2">
        <f>$AZ$8/(365/12)*MAX(节奏总纲!E69-$E$2,0)</f>
        <v>2303.2393520387109</v>
      </c>
      <c r="BF73" s="2">
        <f>$AZ$8/(365/12)*MAX(节奏总纲!F69-$E$2,0)</f>
        <v>837.42713823502595</v>
      </c>
      <c r="BG73" s="2">
        <f>$AZ$8/(365/12)*MAX(节奏总纲!G69-$E$2,0)</f>
        <v>0</v>
      </c>
      <c r="BH73" s="2">
        <f>$AZ$8/(365/12)*MAX(节奏总纲!H69-$E$2,0)</f>
        <v>0</v>
      </c>
      <c r="BI73" s="2">
        <f>$AY$8/(365/12)*MAX(节奏总纲!D69-$E$2,0)</f>
        <v>85230.310306188883</v>
      </c>
      <c r="BJ73" s="2">
        <f>$AY$8/(365/12)*MAX(节奏总纲!E69-$E$2,0)</f>
        <v>55277.744448929065</v>
      </c>
      <c r="BK73" s="2">
        <f>$AY$8/(365/12)*MAX(节奏总纲!F69-$E$2,0)</f>
        <v>20098.251317640625</v>
      </c>
      <c r="BL73" s="2">
        <f>$AY$8/(365/12)*MAX(节奏总纲!G69-$E$2,0)</f>
        <v>0</v>
      </c>
      <c r="BM73" s="2">
        <f>$AY$8/(365/12)*MAX(节奏总纲!H69-$E$2,0)</f>
        <v>0</v>
      </c>
      <c r="CD73" s="2">
        <v>66</v>
      </c>
      <c r="CE73" s="2">
        <f>INDEX($BY$8:$BY$15,MATCH(CE$7,$CB$8:$CB$15,0))*SUM(C$11:C$12)/(365/12)*MAX(节奏总纲!D69-$E$2,0)</f>
        <v>947.00344784654305</v>
      </c>
      <c r="CF73" s="2">
        <f>INDEX($BY$8:$BY$15,MATCH(CF$7,$CB$8:$CB$15,0))*SUM(D$11:D$12)/(365/12)*MAX(节奏总纲!E69-$E$2,0)</f>
        <v>737.03659265238753</v>
      </c>
      <c r="CG73" s="2">
        <f>INDEX($BY$8:$BY$15,MATCH(CG$7,$CB$8:$CB$15,0))*SUM(E$11:E$12)/(365/12)*MAX(节奏总纲!F69-$E$2,0)</f>
        <v>446.6278070586805</v>
      </c>
      <c r="CH73" s="2">
        <f>INDEX($BY$8:$BY$15,MATCH(CH$7,$CB$8:$CB$15,0))*SUM(F$11:F$12)/(365/12)*MAX(节奏总纲!G69-$E$2,0)</f>
        <v>0</v>
      </c>
      <c r="CI73" s="2">
        <f>INDEX($BY$8:$BY$15,MATCH(CI$7,$CB$8:$CB$15,0))*SUM(G$11:G$12)/(365/12)*MAX(节奏总纲!H69-$E$2,0)</f>
        <v>0</v>
      </c>
      <c r="CJ73" s="2">
        <f>INDEX($BZ$8:$BZ$15,MATCH(CE$7,$CB$8:$CB$15,0))*SUM(C$11:C$12)/(365/12)*MAX(节奏总纲!D69-$E$2,0)</f>
        <v>39774.144809554811</v>
      </c>
      <c r="CK73" s="2">
        <f>INDEX($BZ$8:$BZ$15,MATCH(CF$7,$CB$8:$CB$15,0))*SUM(D$11:D$12)/(365/12)*MAX(节奏总纲!E69-$E$2,0)</f>
        <v>29481.463706095503</v>
      </c>
      <c r="CL73" s="2">
        <f>INDEX($BZ$8:$BZ$15,MATCH(CG$7,$CB$8:$CB$15,0))*SUM(E$11:E$12)/(365/12)*MAX(节奏总纲!F69-$E$2,0)</f>
        <v>16078.601054112496</v>
      </c>
      <c r="CM73" s="2">
        <f>INDEX($BZ$8:$BZ$15,MATCH(CH$7,$CB$8:$CB$15,0))*SUM(F$11:F$12)/(365/12)*MAX(节奏总纲!G69-$E$2,0)</f>
        <v>0</v>
      </c>
      <c r="CN73" s="2">
        <f>INDEX($BZ$8:$BZ$15,MATCH(CI$7,$CB$8:$CB$15,0))*SUM(G$11:G$12)/(365/12)*MAX(节奏总纲!H69-$E$2,0)</f>
        <v>0</v>
      </c>
      <c r="CS73" s="2">
        <v>66</v>
      </c>
      <c r="CT73" s="2">
        <f t="shared" si="59"/>
        <v>13968.300855736508</v>
      </c>
      <c r="CU73" s="2">
        <f t="shared" si="60"/>
        <v>9182.2475501276622</v>
      </c>
      <c r="CV73" s="2">
        <f t="shared" si="61"/>
        <v>3517.1939805871089</v>
      </c>
      <c r="CW73" s="2">
        <f t="shared" si="62"/>
        <v>0</v>
      </c>
      <c r="CX73" s="2">
        <f t="shared" si="63"/>
        <v>0</v>
      </c>
      <c r="CZ73" s="41">
        <f t="shared" si="64"/>
        <v>0.67796610169491534</v>
      </c>
      <c r="DA73" s="41">
        <f t="shared" si="65"/>
        <v>0.25423728813559326</v>
      </c>
      <c r="DB73" s="41">
        <f t="shared" si="66"/>
        <v>6.7796610169491539E-2</v>
      </c>
      <c r="DD73" s="41">
        <f t="shared" si="67"/>
        <v>0.63492063492063489</v>
      </c>
      <c r="DE73" s="41">
        <f t="shared" si="68"/>
        <v>0.23809523809523811</v>
      </c>
      <c r="DF73" s="41">
        <f t="shared" si="69"/>
        <v>0.12698412698412698</v>
      </c>
      <c r="DH73" s="41" t="e">
        <f t="shared" si="70"/>
        <v>#DIV/0!</v>
      </c>
      <c r="DI73" s="41" t="e">
        <f t="shared" si="71"/>
        <v>#DIV/0!</v>
      </c>
      <c r="DJ73" s="41" t="e">
        <f t="shared" si="72"/>
        <v>#DIV/0!</v>
      </c>
      <c r="DL73" s="2">
        <f>CT73/节奏总纲!D69</f>
        <v>145.49425231327714</v>
      </c>
      <c r="DM73" s="2">
        <f>CU73/节奏总纲!E69</f>
        <v>110.16191377872993</v>
      </c>
      <c r="DN73" s="2">
        <f>CV73/节奏总纲!F69</f>
        <v>51.352958965673359</v>
      </c>
      <c r="DO73" s="2">
        <f>CW73/节奏总纲!G69</f>
        <v>0</v>
      </c>
      <c r="DP73" s="2">
        <f>CX73/节奏总纲!H69</f>
        <v>0</v>
      </c>
      <c r="DR73" s="2">
        <f t="shared" si="73"/>
        <v>0.75715646513327628</v>
      </c>
      <c r="DS73" s="2">
        <f t="shared" si="74"/>
        <v>0.35295524152459679</v>
      </c>
      <c r="DT73" s="2">
        <f t="shared" si="75"/>
        <v>0</v>
      </c>
      <c r="DU73" s="2">
        <f t="shared" si="76"/>
        <v>0</v>
      </c>
      <c r="DY73" s="2">
        <v>66</v>
      </c>
      <c r="DZ73" s="2">
        <f t="shared" ref="DZ73:DZ136" si="77">AJ73+BI73+CJ73</f>
        <v>329557.19985059695</v>
      </c>
      <c r="EA73" s="2">
        <f t="shared" ref="EA73:EA136" si="78">AK73+BJ73+CK73</f>
        <v>217425.79483245432</v>
      </c>
      <c r="EB73" s="2">
        <f t="shared" ref="EB73:EB136" si="79">AL73+BK73+CL73</f>
        <v>84412.65553409062</v>
      </c>
      <c r="EC73" s="2">
        <f t="shared" ref="EC73:EC136" si="80">AM73+BL73+CM73</f>
        <v>0</v>
      </c>
      <c r="ED73" s="2">
        <f t="shared" ref="ED73:ED136" si="81">AN73+BM73+CN73</f>
        <v>0</v>
      </c>
      <c r="EF73" s="57">
        <f t="shared" ref="EF73:EF136" si="82">AJ73/DZ73</f>
        <v>0.62068965517241381</v>
      </c>
      <c r="EG73" s="57">
        <f t="shared" ref="EG73:EG136" si="83">BI73/DZ73</f>
        <v>0.25862068965517249</v>
      </c>
      <c r="EH73" s="41">
        <f t="shared" ref="EH73:EH136" si="84">CJ73/DZ73</f>
        <v>0.12068965517241381</v>
      </c>
      <c r="EJ73" s="57">
        <f t="shared" ref="EJ73:EJ136" si="85">AL73/EB73</f>
        <v>0.5714285714285714</v>
      </c>
      <c r="EK73" s="57">
        <f t="shared" ref="EK73:EK136" si="86">BK73/EB73</f>
        <v>0.23809523809523811</v>
      </c>
      <c r="EL73" s="41">
        <f t="shared" ref="EL73:EL136" si="87">CL73/EB73</f>
        <v>0.19047619047619044</v>
      </c>
      <c r="EN73" s="57" t="e">
        <f t="shared" ref="EN73:EN136" si="88">AN73/ED73</f>
        <v>#DIV/0!</v>
      </c>
      <c r="EO73" s="57" t="e">
        <f t="shared" ref="EO73:EO136" si="89">BM73/ED73</f>
        <v>#DIV/0!</v>
      </c>
      <c r="EP73" s="41" t="e">
        <f t="shared" ref="EP73:EP136" si="90">CN73/ED73</f>
        <v>#DIV/0!</v>
      </c>
    </row>
    <row r="74" spans="20:146" x14ac:dyDescent="0.15">
      <c r="T74" s="2">
        <v>67</v>
      </c>
      <c r="U74" s="2">
        <f>$N$8*SUM(C$11:C$12)/(365/12)*MAX(节奏总纲!D70-$E$2,0)</f>
        <v>904.10026223022874</v>
      </c>
      <c r="V74" s="2">
        <f>$N$8*SUM(D$11:D$12)/(365/12)*MAX(节奏总纲!E70-$E$2,0)</f>
        <v>620.06345757787301</v>
      </c>
      <c r="W74" s="2">
        <f>$N$8*SUM(E$11:E$12)/(365/12)*MAX(节奏总纲!F70-$E$2,0)</f>
        <v>279.69593651849056</v>
      </c>
      <c r="X74" s="2">
        <f>$N$8*SUM(F$11:F$12)/(365/12)*MAX(节奏总纲!G70-$E$2,0)</f>
        <v>0</v>
      </c>
      <c r="Y74" s="2">
        <f>$N$8*SUM(G$11:G$12)/(365/12)*MAX(节奏总纲!H70-$E$2,0)</f>
        <v>0</v>
      </c>
      <c r="Z74" s="2">
        <f>$O$8*SUM(C$11:C$12)/(365/12)*MAX(节奏总纲!D70-$E$2,0)</f>
        <v>9041.0026223022869</v>
      </c>
      <c r="AA74" s="2">
        <f>$O$8*SUM(D$11:D$12)/(365/12)*MAX(节奏总纲!E70-$E$2,0)</f>
        <v>6200.6345757787303</v>
      </c>
      <c r="AB74" s="2">
        <f>$O$8*SUM(E$11:E$12)/(365/12)*MAX(节奏总纲!F70-$E$2,0)</f>
        <v>2796.9593651849054</v>
      </c>
      <c r="AC74" s="2">
        <f>$O$8*SUM(F$11:F$12)/(365/12)*MAX(节奏总纲!G70-$E$2,0)</f>
        <v>0</v>
      </c>
      <c r="AD74" s="2">
        <f>$O$8*SUM(G$11:G$12)/(365/12)*MAX(节奏总纲!H70-$E$2,0)</f>
        <v>0</v>
      </c>
      <c r="AE74" s="2">
        <f>$Q$8*SUM(C$11:C$12)/(365/12)*MAX(节奏总纲!D70-$E$2,0)</f>
        <v>11301.253277877859</v>
      </c>
      <c r="AF74" s="2">
        <f>$Q$8*SUM(D$11:D$12)/(365/12)*MAX(节奏总纲!E70-$E$2,0)</f>
        <v>7750.7932197234122</v>
      </c>
      <c r="AG74" s="2">
        <f>$Q$8*SUM(E$11:E$12)/(365/12)*MAX(节奏总纲!F70-$E$2,0)</f>
        <v>3496.1992064811316</v>
      </c>
      <c r="AH74" s="2">
        <f>$Q$8*SUM(F$11:F$12)/(365/12)*MAX(节奏总纲!G70-$E$2,0)</f>
        <v>0</v>
      </c>
      <c r="AI74" s="2">
        <f>$Q$8*SUM(G$11:G$12)/(365/12)*MAX(节奏总纲!H70-$E$2,0)</f>
        <v>0</v>
      </c>
      <c r="AJ74" s="2">
        <f>$P$8*SUM(C$11:C$12)/(365/12)*MAX(节奏总纲!D70-$E$2,0)</f>
        <v>244107.07080216176</v>
      </c>
      <c r="AK74" s="2">
        <f>$P$8*SUM(D$11:D$12)/(365/12)*MAX(节奏总纲!E70-$E$2,0)</f>
        <v>167417.1335460257</v>
      </c>
      <c r="AL74" s="2">
        <f>$P$8*SUM(E$11:E$12)/(365/12)*MAX(节奏总纲!F70-$E$2,0)</f>
        <v>75517.902859992435</v>
      </c>
      <c r="AM74" s="2">
        <f>$P$8*SUM(F$11:F$12)/(365/12)*MAX(节奏总纲!G70-$E$2,0)</f>
        <v>0</v>
      </c>
      <c r="AN74" s="2">
        <f>$P$8*SUM(G$11:G$12)/(365/12)*MAX(节奏总纲!H70-$E$2,0)</f>
        <v>0</v>
      </c>
      <c r="BC74" s="2">
        <v>67</v>
      </c>
      <c r="BD74" s="2">
        <f>$AZ$8/(365/12)*MAX(节奏总纲!D70-$E$2,0)</f>
        <v>4237.9699792041974</v>
      </c>
      <c r="BE74" s="2">
        <f>$AZ$8/(365/12)*MAX(节奏总纲!E70-$E$2,0)</f>
        <v>2906.5474573962797</v>
      </c>
      <c r="BF74" s="2">
        <f>$AZ$8/(365/12)*MAX(节奏总纲!F70-$E$2,0)</f>
        <v>1311.0747024304244</v>
      </c>
      <c r="BG74" s="2">
        <f>$AZ$8/(365/12)*MAX(节奏总纲!G70-$E$2,0)</f>
        <v>0</v>
      </c>
      <c r="BH74" s="2">
        <f>$AZ$8/(365/12)*MAX(节奏总纲!H70-$E$2,0)</f>
        <v>0</v>
      </c>
      <c r="BI74" s="2">
        <f>$AY$8/(365/12)*MAX(节奏总纲!D70-$E$2,0)</f>
        <v>101711.27950090074</v>
      </c>
      <c r="BJ74" s="2">
        <f>$AY$8/(365/12)*MAX(节奏总纲!E70-$E$2,0)</f>
        <v>69757.138977510724</v>
      </c>
      <c r="BK74" s="2">
        <f>$AY$8/(365/12)*MAX(节奏总纲!F70-$E$2,0)</f>
        <v>31465.792858330187</v>
      </c>
      <c r="BL74" s="2">
        <f>$AY$8/(365/12)*MAX(节奏总纲!G70-$E$2,0)</f>
        <v>0</v>
      </c>
      <c r="BM74" s="2">
        <f>$AY$8/(365/12)*MAX(节奏总纲!H70-$E$2,0)</f>
        <v>0</v>
      </c>
      <c r="CD74" s="2">
        <v>67</v>
      </c>
      <c r="CE74" s="2">
        <f>INDEX($BY$8:$BY$15,MATCH(CE$7,$CB$8:$CB$15,0))*SUM(C$11:C$12)/(365/12)*MAX(节奏总纲!D70-$E$2,0)</f>
        <v>1130.1253277877859</v>
      </c>
      <c r="CF74" s="2">
        <f>INDEX($BY$8:$BY$15,MATCH(CF$7,$CB$8:$CB$15,0))*SUM(D$11:D$12)/(365/12)*MAX(节奏总纲!E70-$E$2,0)</f>
        <v>930.09518636680957</v>
      </c>
      <c r="CG74" s="2">
        <f>INDEX($BY$8:$BY$15,MATCH(CG$7,$CB$8:$CB$15,0))*SUM(E$11:E$12)/(365/12)*MAX(节奏总纲!F70-$E$2,0)</f>
        <v>699.23984129622636</v>
      </c>
      <c r="CH74" s="2">
        <f>INDEX($BY$8:$BY$15,MATCH(CH$7,$CB$8:$CB$15,0))*SUM(F$11:F$12)/(365/12)*MAX(节奏总纲!G70-$E$2,0)</f>
        <v>0</v>
      </c>
      <c r="CI74" s="2">
        <f>INDEX($BY$8:$BY$15,MATCH(CI$7,$CB$8:$CB$15,0))*SUM(G$11:G$12)/(365/12)*MAX(节奏总纲!H70-$E$2,0)</f>
        <v>0</v>
      </c>
      <c r="CJ74" s="2">
        <f>INDEX($BZ$8:$BZ$15,MATCH(CE$7,$CB$8:$CB$15,0))*SUM(C$11:C$12)/(365/12)*MAX(节奏总纲!D70-$E$2,0)</f>
        <v>47465.26376708701</v>
      </c>
      <c r="CK74" s="2">
        <f>INDEX($BZ$8:$BZ$15,MATCH(CF$7,$CB$8:$CB$15,0))*SUM(D$11:D$12)/(365/12)*MAX(节奏总纲!E70-$E$2,0)</f>
        <v>37203.807454672387</v>
      </c>
      <c r="CL74" s="2">
        <f>INDEX($BZ$8:$BZ$15,MATCH(CG$7,$CB$8:$CB$15,0))*SUM(E$11:E$12)/(365/12)*MAX(节奏总纲!F70-$E$2,0)</f>
        <v>25172.634286664146</v>
      </c>
      <c r="CM74" s="2">
        <f>INDEX($BZ$8:$BZ$15,MATCH(CH$7,$CB$8:$CB$15,0))*SUM(F$11:F$12)/(365/12)*MAX(节奏总纲!G70-$E$2,0)</f>
        <v>0</v>
      </c>
      <c r="CN74" s="2">
        <f>INDEX($BZ$8:$BZ$15,MATCH(CI$7,$CB$8:$CB$15,0))*SUM(G$11:G$12)/(365/12)*MAX(节奏总纲!H70-$E$2,0)</f>
        <v>0</v>
      </c>
      <c r="CS74" s="2">
        <v>67</v>
      </c>
      <c r="CT74" s="2">
        <f t="shared" si="59"/>
        <v>16669.34858486984</v>
      </c>
      <c r="CU74" s="2">
        <f t="shared" si="60"/>
        <v>11587.4358634865</v>
      </c>
      <c r="CV74" s="2">
        <f t="shared" si="61"/>
        <v>5506.5137502077823</v>
      </c>
      <c r="CW74" s="2">
        <f t="shared" si="62"/>
        <v>0</v>
      </c>
      <c r="CX74" s="2">
        <f t="shared" si="63"/>
        <v>0</v>
      </c>
      <c r="CZ74" s="41">
        <f t="shared" si="64"/>
        <v>0.67796610169491534</v>
      </c>
      <c r="DA74" s="41">
        <f t="shared" si="65"/>
        <v>0.25423728813559326</v>
      </c>
      <c r="DB74" s="41">
        <f t="shared" si="66"/>
        <v>6.7796610169491525E-2</v>
      </c>
      <c r="DD74" s="41">
        <f t="shared" si="67"/>
        <v>0.63492063492063489</v>
      </c>
      <c r="DE74" s="41">
        <f t="shared" si="68"/>
        <v>0.23809523809523811</v>
      </c>
      <c r="DF74" s="41">
        <f t="shared" si="69"/>
        <v>0.12698412698412698</v>
      </c>
      <c r="DH74" s="41" t="e">
        <f t="shared" si="70"/>
        <v>#DIV/0!</v>
      </c>
      <c r="DI74" s="41" t="e">
        <f t="shared" si="71"/>
        <v>#DIV/0!</v>
      </c>
      <c r="DJ74" s="41" t="e">
        <f t="shared" si="72"/>
        <v>#DIV/0!</v>
      </c>
      <c r="DL74" s="2">
        <f>CT74/节奏总纲!D70</f>
        <v>161.8881490204277</v>
      </c>
      <c r="DM74" s="2">
        <f>CU74/节奏总纲!E70</f>
        <v>129.51318242640465</v>
      </c>
      <c r="DN74" s="2">
        <f>CV74/节奏总纲!F70</f>
        <v>75.130308705995489</v>
      </c>
      <c r="DO74" s="2">
        <f>CW74/节奏总纲!G70</f>
        <v>0</v>
      </c>
      <c r="DP74" s="2">
        <f>CX74/节奏总纲!H70</f>
        <v>0</v>
      </c>
      <c r="DR74" s="2">
        <f t="shared" si="73"/>
        <v>0.8000164509266342</v>
      </c>
      <c r="DS74" s="2">
        <f t="shared" si="74"/>
        <v>0.46408776158479176</v>
      </c>
      <c r="DT74" s="2">
        <f t="shared" si="75"/>
        <v>0</v>
      </c>
      <c r="DU74" s="2">
        <f t="shared" si="76"/>
        <v>0</v>
      </c>
      <c r="DY74" s="2">
        <v>67</v>
      </c>
      <c r="DZ74" s="2">
        <f t="shared" si="77"/>
        <v>393283.61407014949</v>
      </c>
      <c r="EA74" s="2">
        <f t="shared" si="78"/>
        <v>274378.07997820881</v>
      </c>
      <c r="EB74" s="2">
        <f t="shared" si="79"/>
        <v>132156.33000498675</v>
      </c>
      <c r="EC74" s="2">
        <f t="shared" si="80"/>
        <v>0</v>
      </c>
      <c r="ED74" s="2">
        <f t="shared" si="81"/>
        <v>0</v>
      </c>
      <c r="EF74" s="57">
        <f t="shared" si="82"/>
        <v>0.62068965517241381</v>
      </c>
      <c r="EG74" s="57">
        <f t="shared" si="83"/>
        <v>0.25862068965517243</v>
      </c>
      <c r="EH74" s="41">
        <f t="shared" si="84"/>
        <v>0.1206896551724138</v>
      </c>
      <c r="EJ74" s="57">
        <f t="shared" si="85"/>
        <v>0.57142857142857151</v>
      </c>
      <c r="EK74" s="57">
        <f t="shared" si="86"/>
        <v>0.23809523809523817</v>
      </c>
      <c r="EL74" s="41">
        <f t="shared" si="87"/>
        <v>0.19047619047619049</v>
      </c>
      <c r="EN74" s="57" t="e">
        <f t="shared" si="88"/>
        <v>#DIV/0!</v>
      </c>
      <c r="EO74" s="57" t="e">
        <f t="shared" si="89"/>
        <v>#DIV/0!</v>
      </c>
      <c r="EP74" s="41" t="e">
        <f t="shared" si="90"/>
        <v>#DIV/0!</v>
      </c>
    </row>
    <row r="75" spans="20:146" x14ac:dyDescent="0.15">
      <c r="T75" s="2">
        <v>68</v>
      </c>
      <c r="U75" s="2">
        <f>$N$8*SUM(C$11:C$12)/(365/12)*MAX(节奏总纲!D71-$E$2,0)</f>
        <v>1061.1123992948537</v>
      </c>
      <c r="V75" s="2">
        <f>$N$8*SUM(D$11:D$12)/(365/12)*MAX(节奏总纲!E71-$E$2,0)</f>
        <v>753.9353675053344</v>
      </c>
      <c r="W75" s="2">
        <f>$N$8*SUM(E$11:E$12)/(365/12)*MAX(节奏总纲!F71-$E$2,0)</f>
        <v>384.02172559238829</v>
      </c>
      <c r="X75" s="2">
        <f>$N$8*SUM(F$11:F$12)/(365/12)*MAX(节奏总纲!G71-$E$2,0)</f>
        <v>0</v>
      </c>
      <c r="Y75" s="2">
        <f>$N$8*SUM(G$11:G$12)/(365/12)*MAX(节奏总纲!H71-$E$2,0)</f>
        <v>0</v>
      </c>
      <c r="Z75" s="2">
        <f>$O$8*SUM(C$11:C$12)/(365/12)*MAX(节奏总纲!D71-$E$2,0)</f>
        <v>10611.123992948538</v>
      </c>
      <c r="AA75" s="2">
        <f>$O$8*SUM(D$11:D$12)/(365/12)*MAX(节奏总纲!E71-$E$2,0)</f>
        <v>7539.353675053344</v>
      </c>
      <c r="AB75" s="2">
        <f>$O$8*SUM(E$11:E$12)/(365/12)*MAX(节奏总纲!F71-$E$2,0)</f>
        <v>3840.2172559238829</v>
      </c>
      <c r="AC75" s="2">
        <f>$O$8*SUM(F$11:F$12)/(365/12)*MAX(节奏总纲!G71-$E$2,0)</f>
        <v>0</v>
      </c>
      <c r="AD75" s="2">
        <f>$O$8*SUM(G$11:G$12)/(365/12)*MAX(节奏总纲!H71-$E$2,0)</f>
        <v>0</v>
      </c>
      <c r="AE75" s="2">
        <f>$Q$8*SUM(C$11:C$12)/(365/12)*MAX(节奏总纲!D71-$E$2,0)</f>
        <v>13263.904991185671</v>
      </c>
      <c r="AF75" s="2">
        <f>$Q$8*SUM(D$11:D$12)/(365/12)*MAX(节奏总纲!E71-$E$2,0)</f>
        <v>9424.1920938166786</v>
      </c>
      <c r="AG75" s="2">
        <f>$Q$8*SUM(E$11:E$12)/(365/12)*MAX(节奏总纲!F71-$E$2,0)</f>
        <v>4800.271569904854</v>
      </c>
      <c r="AH75" s="2">
        <f>$Q$8*SUM(F$11:F$12)/(365/12)*MAX(节奏总纲!G71-$E$2,0)</f>
        <v>0</v>
      </c>
      <c r="AI75" s="2">
        <f>$Q$8*SUM(G$11:G$12)/(365/12)*MAX(节奏总纲!H71-$E$2,0)</f>
        <v>0</v>
      </c>
      <c r="AJ75" s="2">
        <f>$P$8*SUM(C$11:C$12)/(365/12)*MAX(节奏总纲!D71-$E$2,0)</f>
        <v>286500.34780961048</v>
      </c>
      <c r="AK75" s="2">
        <f>$P$8*SUM(D$11:D$12)/(365/12)*MAX(节奏总纲!E71-$E$2,0)</f>
        <v>203562.54922644029</v>
      </c>
      <c r="AL75" s="2">
        <f>$P$8*SUM(E$11:E$12)/(365/12)*MAX(节奏总纲!F71-$E$2,0)</f>
        <v>103685.86590994484</v>
      </c>
      <c r="AM75" s="2">
        <f>$P$8*SUM(F$11:F$12)/(365/12)*MAX(节奏总纲!G71-$E$2,0)</f>
        <v>0</v>
      </c>
      <c r="AN75" s="2">
        <f>$P$8*SUM(G$11:G$12)/(365/12)*MAX(节奏总纲!H71-$E$2,0)</f>
        <v>0</v>
      </c>
      <c r="BC75" s="2">
        <v>68</v>
      </c>
      <c r="BD75" s="2">
        <f>$AZ$8/(365/12)*MAX(节奏总纲!D71-$E$2,0)</f>
        <v>4973.9643716946266</v>
      </c>
      <c r="BE75" s="2">
        <f>$AZ$8/(365/12)*MAX(节奏总纲!E71-$E$2,0)</f>
        <v>3534.0720351812547</v>
      </c>
      <c r="BF75" s="2">
        <f>$AZ$8/(365/12)*MAX(节奏总纲!F71-$E$2,0)</f>
        <v>1800.1018387143201</v>
      </c>
      <c r="BG75" s="2">
        <f>$AZ$8/(365/12)*MAX(节奏总纲!G71-$E$2,0)</f>
        <v>0</v>
      </c>
      <c r="BH75" s="2">
        <f>$AZ$8/(365/12)*MAX(节奏总纲!H71-$E$2,0)</f>
        <v>0</v>
      </c>
      <c r="BI75" s="2">
        <f>$AY$8/(365/12)*MAX(节奏总纲!D71-$E$2,0)</f>
        <v>119375.14492067105</v>
      </c>
      <c r="BJ75" s="2">
        <f>$AY$8/(365/12)*MAX(节奏总纲!E71-$E$2,0)</f>
        <v>84817.728844350117</v>
      </c>
      <c r="BK75" s="2">
        <f>$AY$8/(365/12)*MAX(节奏总纲!F71-$E$2,0)</f>
        <v>43202.444129143689</v>
      </c>
      <c r="BL75" s="2">
        <f>$AY$8/(365/12)*MAX(节奏总纲!G71-$E$2,0)</f>
        <v>0</v>
      </c>
      <c r="BM75" s="2">
        <f>$AY$8/(365/12)*MAX(节奏总纲!H71-$E$2,0)</f>
        <v>0</v>
      </c>
      <c r="CD75" s="2">
        <v>68</v>
      </c>
      <c r="CE75" s="2">
        <f>INDEX($BY$8:$BY$15,MATCH(CE$7,$CB$8:$CB$15,0))*SUM(C$11:C$12)/(365/12)*MAX(节奏总纲!D71-$E$2,0)</f>
        <v>1326.3904991185673</v>
      </c>
      <c r="CF75" s="2">
        <f>INDEX($BY$8:$BY$15,MATCH(CF$7,$CB$8:$CB$15,0))*SUM(D$11:D$12)/(365/12)*MAX(节奏总纲!E71-$E$2,0)</f>
        <v>1130.9030512580016</v>
      </c>
      <c r="CG75" s="2">
        <f>INDEX($BY$8:$BY$15,MATCH(CG$7,$CB$8:$CB$15,0))*SUM(E$11:E$12)/(365/12)*MAX(节奏总纲!F71-$E$2,0)</f>
        <v>960.05431398097073</v>
      </c>
      <c r="CH75" s="2">
        <f>INDEX($BY$8:$BY$15,MATCH(CH$7,$CB$8:$CB$15,0))*SUM(F$11:F$12)/(365/12)*MAX(节奏总纲!G71-$E$2,0)</f>
        <v>0</v>
      </c>
      <c r="CI75" s="2">
        <f>INDEX($BY$8:$BY$15,MATCH(CI$7,$CB$8:$CB$15,0))*SUM(G$11:G$12)/(365/12)*MAX(节奏总纲!H71-$E$2,0)</f>
        <v>0</v>
      </c>
      <c r="CJ75" s="2">
        <f>INDEX($BZ$8:$BZ$15,MATCH(CE$7,$CB$8:$CB$15,0))*SUM(C$11:C$12)/(365/12)*MAX(节奏总纲!D71-$E$2,0)</f>
        <v>55708.400962979824</v>
      </c>
      <c r="CK75" s="2">
        <f>INDEX($BZ$8:$BZ$15,MATCH(CF$7,$CB$8:$CB$15,0))*SUM(D$11:D$12)/(365/12)*MAX(节奏总纲!E71-$E$2,0)</f>
        <v>45236.122050320068</v>
      </c>
      <c r="CL75" s="2">
        <f>INDEX($BZ$8:$BZ$15,MATCH(CG$7,$CB$8:$CB$15,0))*SUM(E$11:E$12)/(365/12)*MAX(节奏总纲!F71-$E$2,0)</f>
        <v>34561.95530331495</v>
      </c>
      <c r="CM75" s="2">
        <f>INDEX($BZ$8:$BZ$15,MATCH(CH$7,$CB$8:$CB$15,0))*SUM(F$11:F$12)/(365/12)*MAX(节奏总纲!G71-$E$2,0)</f>
        <v>0</v>
      </c>
      <c r="CN75" s="2">
        <f>INDEX($BZ$8:$BZ$15,MATCH(CI$7,$CB$8:$CB$15,0))*SUM(G$11:G$12)/(365/12)*MAX(节奏总纲!H71-$E$2,0)</f>
        <v>0</v>
      </c>
      <c r="CS75" s="2">
        <v>68</v>
      </c>
      <c r="CT75" s="2">
        <f t="shared" si="59"/>
        <v>19564.259861998864</v>
      </c>
      <c r="CU75" s="2">
        <f t="shared" si="60"/>
        <v>14089.167180255934</v>
      </c>
      <c r="CV75" s="2">
        <f t="shared" si="61"/>
        <v>7560.427722600145</v>
      </c>
      <c r="CW75" s="2">
        <f t="shared" si="62"/>
        <v>0</v>
      </c>
      <c r="CX75" s="2">
        <f t="shared" si="63"/>
        <v>0</v>
      </c>
      <c r="CZ75" s="41">
        <f t="shared" si="64"/>
        <v>0.67796610169491522</v>
      </c>
      <c r="DA75" s="41">
        <f t="shared" si="65"/>
        <v>0.25423728813559321</v>
      </c>
      <c r="DB75" s="41">
        <f t="shared" si="66"/>
        <v>6.7796610169491539E-2</v>
      </c>
      <c r="DD75" s="41">
        <f t="shared" si="67"/>
        <v>0.63492063492063489</v>
      </c>
      <c r="DE75" s="41">
        <f t="shared" si="68"/>
        <v>0.23809523809523808</v>
      </c>
      <c r="DF75" s="41">
        <f t="shared" si="69"/>
        <v>0.12698412698412698</v>
      </c>
      <c r="DH75" s="41" t="e">
        <f t="shared" si="70"/>
        <v>#DIV/0!</v>
      </c>
      <c r="DI75" s="41" t="e">
        <f t="shared" si="71"/>
        <v>#DIV/0!</v>
      </c>
      <c r="DJ75" s="41" t="e">
        <f t="shared" si="72"/>
        <v>#DIV/0!</v>
      </c>
      <c r="DL75" s="2">
        <f>CT75/节奏总纲!D71</f>
        <v>177.16359886558493</v>
      </c>
      <c r="DM75" s="2">
        <f>CU75/节奏总纲!E71</f>
        <v>147.02011151385821</v>
      </c>
      <c r="DN75" s="2">
        <f>CV75/节奏总纲!F71</f>
        <v>96.617609736529346</v>
      </c>
      <c r="DO75" s="2">
        <f>CW75/节奏总纲!G71</f>
        <v>0</v>
      </c>
      <c r="DP75" s="2">
        <f>CX75/节奏总纲!H71</f>
        <v>0</v>
      </c>
      <c r="DR75" s="2">
        <f t="shared" si="73"/>
        <v>0.82985507437903905</v>
      </c>
      <c r="DS75" s="2">
        <f t="shared" si="74"/>
        <v>0.54535813426229673</v>
      </c>
      <c r="DT75" s="2">
        <f t="shared" si="75"/>
        <v>0</v>
      </c>
      <c r="DU75" s="2">
        <f t="shared" si="76"/>
        <v>0</v>
      </c>
      <c r="DY75" s="2">
        <v>68</v>
      </c>
      <c r="DZ75" s="2">
        <f t="shared" si="77"/>
        <v>461583.89369326137</v>
      </c>
      <c r="EA75" s="2">
        <f t="shared" si="78"/>
        <v>333616.40012111049</v>
      </c>
      <c r="EB75" s="2">
        <f t="shared" si="79"/>
        <v>181450.26534240349</v>
      </c>
      <c r="EC75" s="2">
        <f t="shared" si="80"/>
        <v>0</v>
      </c>
      <c r="ED75" s="2">
        <f t="shared" si="81"/>
        <v>0</v>
      </c>
      <c r="EF75" s="57">
        <f t="shared" si="82"/>
        <v>0.6206896551724137</v>
      </c>
      <c r="EG75" s="57">
        <f t="shared" si="83"/>
        <v>0.25862068965517243</v>
      </c>
      <c r="EH75" s="41">
        <f t="shared" si="84"/>
        <v>0.1206896551724138</v>
      </c>
      <c r="EJ75" s="57">
        <f t="shared" si="85"/>
        <v>0.5714285714285714</v>
      </c>
      <c r="EK75" s="57">
        <f t="shared" si="86"/>
        <v>0.23809523809523808</v>
      </c>
      <c r="EL75" s="41">
        <f t="shared" si="87"/>
        <v>0.19047619047619047</v>
      </c>
      <c r="EN75" s="57" t="e">
        <f t="shared" si="88"/>
        <v>#DIV/0!</v>
      </c>
      <c r="EO75" s="57" t="e">
        <f t="shared" si="89"/>
        <v>#DIV/0!</v>
      </c>
      <c r="EP75" s="41" t="e">
        <f t="shared" si="90"/>
        <v>#DIV/0!</v>
      </c>
    </row>
    <row r="76" spans="20:146" x14ac:dyDescent="0.15">
      <c r="T76" s="2">
        <v>69</v>
      </c>
      <c r="U76" s="2">
        <f>$N$8*SUM(C$11:C$12)/(365/12)*MAX(节奏总纲!D72-$E$2,0)</f>
        <v>1229.3938410968299</v>
      </c>
      <c r="V76" s="2">
        <f>$N$8*SUM(D$11:D$12)/(365/12)*MAX(节奏总纲!E72-$E$2,0)</f>
        <v>894.48791159314214</v>
      </c>
      <c r="W76" s="2">
        <f>$N$8*SUM(E$11:E$12)/(365/12)*MAX(节奏总纲!F72-$E$2,0)</f>
        <v>502.76758333436425</v>
      </c>
      <c r="X76" s="2">
        <f>$N$8*SUM(F$11:F$12)/(365/12)*MAX(节奏总纲!G72-$E$2,0)</f>
        <v>32.304491888707247</v>
      </c>
      <c r="Y76" s="2">
        <f>$N$8*SUM(G$11:G$12)/(365/12)*MAX(节奏总纲!H72-$E$2,0)</f>
        <v>0</v>
      </c>
      <c r="Z76" s="2">
        <f>$O$8*SUM(C$11:C$12)/(365/12)*MAX(节奏总纲!D72-$E$2,0)</f>
        <v>12293.9384109683</v>
      </c>
      <c r="AA76" s="2">
        <f>$O$8*SUM(D$11:D$12)/(365/12)*MAX(节奏总纲!E72-$E$2,0)</f>
        <v>8944.8791159314205</v>
      </c>
      <c r="AB76" s="2">
        <f>$O$8*SUM(E$11:E$12)/(365/12)*MAX(节奏总纲!F72-$E$2,0)</f>
        <v>5027.6758333436428</v>
      </c>
      <c r="AC76" s="2">
        <f>$O$8*SUM(F$11:F$12)/(365/12)*MAX(节奏总纲!G72-$E$2,0)</f>
        <v>323.04491888707247</v>
      </c>
      <c r="AD76" s="2">
        <f>$O$8*SUM(G$11:G$12)/(365/12)*MAX(节奏总纲!H72-$E$2,0)</f>
        <v>0</v>
      </c>
      <c r="AE76" s="2">
        <f>$Q$8*SUM(C$11:C$12)/(365/12)*MAX(节奏总纲!D72-$E$2,0)</f>
        <v>15367.423013710373</v>
      </c>
      <c r="AF76" s="2">
        <f>$Q$8*SUM(D$11:D$12)/(365/12)*MAX(节奏总纲!E72-$E$2,0)</f>
        <v>11181.098894914276</v>
      </c>
      <c r="AG76" s="2">
        <f>$Q$8*SUM(E$11:E$12)/(365/12)*MAX(节奏总纲!F72-$E$2,0)</f>
        <v>6284.5947916795531</v>
      </c>
      <c r="AH76" s="2">
        <f>$Q$8*SUM(F$11:F$12)/(365/12)*MAX(节奏总纲!G72-$E$2,0)</f>
        <v>403.80614860884054</v>
      </c>
      <c r="AI76" s="2">
        <f>$Q$8*SUM(G$11:G$12)/(365/12)*MAX(节奏总纲!H72-$E$2,0)</f>
        <v>0</v>
      </c>
      <c r="AJ76" s="2">
        <f>$P$8*SUM(C$11:C$12)/(365/12)*MAX(节奏总纲!D72-$E$2,0)</f>
        <v>331936.33709614404</v>
      </c>
      <c r="AK76" s="2">
        <f>$P$8*SUM(D$11:D$12)/(365/12)*MAX(节奏总纲!E72-$E$2,0)</f>
        <v>241511.73613014838</v>
      </c>
      <c r="AL76" s="2">
        <f>$P$8*SUM(E$11:E$12)/(365/12)*MAX(节奏总纲!F72-$E$2,0)</f>
        <v>135747.24750027835</v>
      </c>
      <c r="AM76" s="2">
        <f>$P$8*SUM(F$11:F$12)/(365/12)*MAX(节奏总纲!G72-$E$2,0)</f>
        <v>8722.2128099509573</v>
      </c>
      <c r="AN76" s="2">
        <f>$P$8*SUM(G$11:G$12)/(365/12)*MAX(节奏总纲!H72-$E$2,0)</f>
        <v>0</v>
      </c>
      <c r="BC76" s="2">
        <v>69</v>
      </c>
      <c r="BD76" s="2">
        <f>$AZ$8/(365/12)*MAX(节奏总纲!D72-$E$2,0)</f>
        <v>5762.7836301413899</v>
      </c>
      <c r="BE76" s="2">
        <f>$AZ$8/(365/12)*MAX(节奏总纲!E72-$E$2,0)</f>
        <v>4192.9120855928541</v>
      </c>
      <c r="BF76" s="2">
        <f>$AZ$8/(365/12)*MAX(节奏总纲!F72-$E$2,0)</f>
        <v>2356.7230468798325</v>
      </c>
      <c r="BG76" s="2">
        <f>$AZ$8/(365/12)*MAX(节奏总纲!G72-$E$2,0)</f>
        <v>151.42730572831522</v>
      </c>
      <c r="BH76" s="2">
        <f>$AZ$8/(365/12)*MAX(节奏总纲!H72-$E$2,0)</f>
        <v>0</v>
      </c>
      <c r="BI76" s="2">
        <f>$AY$8/(365/12)*MAX(节奏总纲!D72-$E$2,0)</f>
        <v>138306.80712339337</v>
      </c>
      <c r="BJ76" s="2">
        <f>$AY$8/(365/12)*MAX(节奏总纲!E72-$E$2,0)</f>
        <v>100629.8900542285</v>
      </c>
      <c r="BK76" s="2">
        <f>$AY$8/(365/12)*MAX(节奏总纲!F72-$E$2,0)</f>
        <v>56561.35312511598</v>
      </c>
      <c r="BL76" s="2">
        <f>$AY$8/(365/12)*MAX(节奏总纲!G72-$E$2,0)</f>
        <v>3634.2553374795657</v>
      </c>
      <c r="BM76" s="2">
        <f>$AY$8/(365/12)*MAX(节奏总纲!H72-$E$2,0)</f>
        <v>0</v>
      </c>
      <c r="CD76" s="2">
        <v>69</v>
      </c>
      <c r="CE76" s="2">
        <f>INDEX($BY$8:$BY$15,MATCH(CE$7,$CB$8:$CB$15,0))*SUM(C$11:C$12)/(365/12)*MAX(节奏总纲!D72-$E$2,0)</f>
        <v>1536.7423013710375</v>
      </c>
      <c r="CF76" s="2">
        <f>INDEX($BY$8:$BY$15,MATCH(CF$7,$CB$8:$CB$15,0))*SUM(D$11:D$12)/(365/12)*MAX(节奏总纲!E72-$E$2,0)</f>
        <v>1341.7318673897132</v>
      </c>
      <c r="CG76" s="2">
        <f>INDEX($BY$8:$BY$15,MATCH(CG$7,$CB$8:$CB$15,0))*SUM(E$11:E$12)/(365/12)*MAX(节奏总纲!F72-$E$2,0)</f>
        <v>1256.9189583359107</v>
      </c>
      <c r="CH76" s="2">
        <f>INDEX($BY$8:$BY$15,MATCH(CH$7,$CB$8:$CB$15,0))*SUM(F$11:F$12)/(365/12)*MAX(节奏总纲!G72-$E$2,0)</f>
        <v>201.90307430442027</v>
      </c>
      <c r="CI76" s="2">
        <f>INDEX($BY$8:$BY$15,MATCH(CI$7,$CB$8:$CB$15,0))*SUM(G$11:G$12)/(365/12)*MAX(节奏总纲!H72-$E$2,0)</f>
        <v>0</v>
      </c>
      <c r="CJ76" s="2">
        <f>INDEX($BZ$8:$BZ$15,MATCH(CE$7,$CB$8:$CB$15,0))*SUM(C$11:C$12)/(365/12)*MAX(节奏总纲!D72-$E$2,0)</f>
        <v>64543.176657583572</v>
      </c>
      <c r="CK76" s="2">
        <f>INDEX($BZ$8:$BZ$15,MATCH(CF$7,$CB$8:$CB$15,0))*SUM(D$11:D$12)/(365/12)*MAX(节奏总纲!E72-$E$2,0)</f>
        <v>53669.27469558853</v>
      </c>
      <c r="CL76" s="2">
        <f>INDEX($BZ$8:$BZ$15,MATCH(CG$7,$CB$8:$CB$15,0))*SUM(E$11:E$12)/(365/12)*MAX(节奏总纲!F72-$E$2,0)</f>
        <v>45249.08250009278</v>
      </c>
      <c r="CM76" s="2">
        <f>INDEX($BZ$8:$BZ$15,MATCH(CH$7,$CB$8:$CB$15,0))*SUM(F$11:F$12)/(365/12)*MAX(节奏总纲!G72-$E$2,0)</f>
        <v>2907.4042699836523</v>
      </c>
      <c r="CN76" s="2">
        <f>INDEX($BZ$8:$BZ$15,MATCH(CI$7,$CB$8:$CB$15,0))*SUM(G$11:G$12)/(365/12)*MAX(节奏总纲!H72-$E$2,0)</f>
        <v>0</v>
      </c>
      <c r="CS76" s="2">
        <v>69</v>
      </c>
      <c r="CT76" s="2">
        <f t="shared" si="59"/>
        <v>22666.948945222801</v>
      </c>
      <c r="CU76" s="2">
        <f t="shared" si="60"/>
        <v>16715.742847896843</v>
      </c>
      <c r="CV76" s="2">
        <f t="shared" si="61"/>
        <v>9898.2367968952967</v>
      </c>
      <c r="CW76" s="2">
        <f t="shared" si="62"/>
        <v>757.13652864157598</v>
      </c>
      <c r="CX76" s="2">
        <f t="shared" si="63"/>
        <v>0</v>
      </c>
      <c r="CZ76" s="41">
        <f t="shared" si="64"/>
        <v>0.67796610169491522</v>
      </c>
      <c r="DA76" s="41">
        <f t="shared" si="65"/>
        <v>0.25423728813559321</v>
      </c>
      <c r="DB76" s="41">
        <f t="shared" si="66"/>
        <v>6.7796610169491525E-2</v>
      </c>
      <c r="DD76" s="41">
        <f t="shared" si="67"/>
        <v>0.63492063492063489</v>
      </c>
      <c r="DE76" s="41">
        <f t="shared" si="68"/>
        <v>0.23809523809523808</v>
      </c>
      <c r="DF76" s="41">
        <f t="shared" si="69"/>
        <v>0.12698412698412698</v>
      </c>
      <c r="DH76" s="41" t="e">
        <f t="shared" si="70"/>
        <v>#DIV/0!</v>
      </c>
      <c r="DI76" s="41" t="e">
        <f t="shared" si="71"/>
        <v>#DIV/0!</v>
      </c>
      <c r="DJ76" s="41" t="e">
        <f t="shared" si="72"/>
        <v>#DIV/0!</v>
      </c>
      <c r="DL76" s="2">
        <f>CT76/节奏总纲!D72</f>
        <v>191.39820210900322</v>
      </c>
      <c r="DM76" s="2">
        <f>CU76/节奏总纲!E72</f>
        <v>163.06217136061946</v>
      </c>
      <c r="DN76" s="2">
        <f>CV76/节奏总纲!F72</f>
        <v>117.98426035384793</v>
      </c>
      <c r="DO76" s="2">
        <f>CW76/节奏总纲!G72</f>
        <v>12.304099788317743</v>
      </c>
      <c r="DP76" s="2">
        <f>CX76/节奏总纲!H72</f>
        <v>0</v>
      </c>
      <c r="DR76" s="2">
        <f t="shared" si="73"/>
        <v>0.85195247167344812</v>
      </c>
      <c r="DS76" s="2">
        <f t="shared" si="74"/>
        <v>0.61643348293655698</v>
      </c>
      <c r="DT76" s="2">
        <f t="shared" si="75"/>
        <v>6.4285346741713031E-2</v>
      </c>
      <c r="DU76" s="2">
        <f t="shared" si="76"/>
        <v>0</v>
      </c>
      <c r="DY76" s="2">
        <v>69</v>
      </c>
      <c r="DZ76" s="2">
        <f t="shared" si="77"/>
        <v>534786.32087712095</v>
      </c>
      <c r="EA76" s="2">
        <f t="shared" si="78"/>
        <v>395810.9008799654</v>
      </c>
      <c r="EB76" s="2">
        <f t="shared" si="79"/>
        <v>237557.68312548709</v>
      </c>
      <c r="EC76" s="2">
        <f t="shared" si="80"/>
        <v>15263.872417414175</v>
      </c>
      <c r="ED76" s="2">
        <f t="shared" si="81"/>
        <v>0</v>
      </c>
      <c r="EF76" s="57">
        <f t="shared" si="82"/>
        <v>0.62068965517241381</v>
      </c>
      <c r="EG76" s="57">
        <f t="shared" si="83"/>
        <v>0.25862068965517249</v>
      </c>
      <c r="EH76" s="41">
        <f t="shared" si="84"/>
        <v>0.12068965517241381</v>
      </c>
      <c r="EJ76" s="57">
        <f t="shared" si="85"/>
        <v>0.57142857142857151</v>
      </c>
      <c r="EK76" s="57">
        <f t="shared" si="86"/>
        <v>0.23809523809523811</v>
      </c>
      <c r="EL76" s="41">
        <f t="shared" si="87"/>
        <v>0.19047619047619047</v>
      </c>
      <c r="EN76" s="57" t="e">
        <f t="shared" si="88"/>
        <v>#DIV/0!</v>
      </c>
      <c r="EO76" s="57" t="e">
        <f t="shared" si="89"/>
        <v>#DIV/0!</v>
      </c>
      <c r="EP76" s="41" t="e">
        <f t="shared" si="90"/>
        <v>#DIV/0!</v>
      </c>
    </row>
    <row r="77" spans="20:146" x14ac:dyDescent="0.15">
      <c r="T77" s="2">
        <v>70</v>
      </c>
      <c r="U77" s="2">
        <f>$N$8*SUM(C$11:C$12)/(365/12)*MAX(节奏总纲!D73-$E$2,0)</f>
        <v>1409.7534246575342</v>
      </c>
      <c r="V77" s="2">
        <f>$N$8*SUM(D$11:D$12)/(365/12)*MAX(节奏总纲!E73-$E$2,0)</f>
        <v>1051.4088328767123</v>
      </c>
      <c r="W77" s="2">
        <f>$N$8*SUM(E$11:E$12)/(365/12)*MAX(节奏总纲!F73-$E$2,0)</f>
        <v>633.47375342465739</v>
      </c>
      <c r="X77" s="2">
        <f>$N$8*SUM(F$11:F$12)/(365/12)*MAX(节奏总纲!G73-$E$2,0)</f>
        <v>124.68322191780834</v>
      </c>
      <c r="Y77" s="2">
        <f>$N$8*SUM(G$11:G$12)/(365/12)*MAX(节奏总纲!H73-$E$2,0)</f>
        <v>0</v>
      </c>
      <c r="Z77" s="2">
        <f>$O$8*SUM(C$11:C$12)/(365/12)*MAX(节奏总纲!D73-$E$2,0)</f>
        <v>14097.534246575342</v>
      </c>
      <c r="AA77" s="2">
        <f>$O$8*SUM(D$11:D$12)/(365/12)*MAX(节奏总纲!E73-$E$2,0)</f>
        <v>10514.088328767124</v>
      </c>
      <c r="AB77" s="2">
        <f>$O$8*SUM(E$11:E$12)/(365/12)*MAX(节奏总纲!F73-$E$2,0)</f>
        <v>6334.7375342465748</v>
      </c>
      <c r="AC77" s="2">
        <f>$O$8*SUM(F$11:F$12)/(365/12)*MAX(节奏总纲!G73-$E$2,0)</f>
        <v>1246.8322191780835</v>
      </c>
      <c r="AD77" s="2">
        <f>$O$8*SUM(G$11:G$12)/(365/12)*MAX(节奏总纲!H73-$E$2,0)</f>
        <v>0</v>
      </c>
      <c r="AE77" s="2">
        <f>$Q$8*SUM(C$11:C$12)/(365/12)*MAX(节奏总纲!D73-$E$2,0)</f>
        <v>17621.917808219176</v>
      </c>
      <c r="AF77" s="2">
        <f>$Q$8*SUM(D$11:D$12)/(365/12)*MAX(节奏总纲!E73-$E$2,0)</f>
        <v>13142.610410958903</v>
      </c>
      <c r="AG77" s="2">
        <f>$Q$8*SUM(E$11:E$12)/(365/12)*MAX(节奏总纲!F73-$E$2,0)</f>
        <v>7918.4219178082176</v>
      </c>
      <c r="AH77" s="2">
        <f>$Q$8*SUM(F$11:F$12)/(365/12)*MAX(节奏总纲!G73-$E$2,0)</f>
        <v>1558.5402739726042</v>
      </c>
      <c r="AI77" s="2">
        <f>$Q$8*SUM(G$11:G$12)/(365/12)*MAX(节奏总纲!H73-$E$2,0)</f>
        <v>0</v>
      </c>
      <c r="AJ77" s="2">
        <f>$P$8*SUM(C$11:C$12)/(365/12)*MAX(节奏总纲!D73-$E$2,0)</f>
        <v>380633.42465753423</v>
      </c>
      <c r="AK77" s="2">
        <f>$P$8*SUM(D$11:D$12)/(365/12)*MAX(节奏总纲!E73-$E$2,0)</f>
        <v>283880.38487671234</v>
      </c>
      <c r="AL77" s="2">
        <f>$P$8*SUM(E$11:E$12)/(365/12)*MAX(节奏总纲!F73-$E$2,0)</f>
        <v>171037.91342465751</v>
      </c>
      <c r="AM77" s="2">
        <f>$P$8*SUM(F$11:F$12)/(365/12)*MAX(节奏总纲!G73-$E$2,0)</f>
        <v>33664.469917808252</v>
      </c>
      <c r="AN77" s="2">
        <f>$P$8*SUM(G$11:G$12)/(365/12)*MAX(节奏总纲!H73-$E$2,0)</f>
        <v>0</v>
      </c>
      <c r="BC77" s="2">
        <v>70</v>
      </c>
      <c r="BD77" s="2">
        <f>$AZ$8/(365/12)*MAX(节奏总纲!D73-$E$2,0)</f>
        <v>6608.2191780821913</v>
      </c>
      <c r="BE77" s="2">
        <f>$AZ$8/(365/12)*MAX(节奏总纲!E73-$E$2,0)</f>
        <v>4928.4789041095892</v>
      </c>
      <c r="BF77" s="2">
        <f>$AZ$8/(365/12)*MAX(节奏总纲!F73-$E$2,0)</f>
        <v>2969.4082191780817</v>
      </c>
      <c r="BG77" s="2">
        <f>$AZ$8/(365/12)*MAX(节奏总纲!G73-$E$2,0)</f>
        <v>584.45260273972667</v>
      </c>
      <c r="BH77" s="2">
        <f>$AZ$8/(365/12)*MAX(节奏总纲!H73-$E$2,0)</f>
        <v>0</v>
      </c>
      <c r="BI77" s="2">
        <f>$AY$8/(365/12)*MAX(节奏总纲!D73-$E$2,0)</f>
        <v>158597.26027397261</v>
      </c>
      <c r="BJ77" s="2">
        <f>$AY$8/(365/12)*MAX(节奏总纲!E73-$E$2,0)</f>
        <v>118283.49369863015</v>
      </c>
      <c r="BK77" s="2">
        <f>$AY$8/(365/12)*MAX(节奏总纲!F73-$E$2,0)</f>
        <v>71265.797260273961</v>
      </c>
      <c r="BL77" s="2">
        <f>$AY$8/(365/12)*MAX(节奏总纲!G73-$E$2,0)</f>
        <v>14026.86246575344</v>
      </c>
      <c r="BM77" s="2">
        <f>$AY$8/(365/12)*MAX(节奏总纲!H73-$E$2,0)</f>
        <v>0</v>
      </c>
      <c r="CD77" s="2">
        <v>70</v>
      </c>
      <c r="CE77" s="2">
        <f>INDEX($BY$8:$BY$15,MATCH(CE$7,$CB$8:$CB$15,0))*SUM(C$11:C$12)/(365/12)*MAX(节奏总纲!D73-$E$2,0)</f>
        <v>1762.1917808219177</v>
      </c>
      <c r="CF77" s="2">
        <f>INDEX($BY$8:$BY$15,MATCH(CF$7,$CB$8:$CB$15,0))*SUM(D$11:D$12)/(365/12)*MAX(节奏总纲!E73-$E$2,0)</f>
        <v>1577.1132493150685</v>
      </c>
      <c r="CG77" s="2">
        <f>INDEX($BY$8:$BY$15,MATCH(CG$7,$CB$8:$CB$15,0))*SUM(E$11:E$12)/(365/12)*MAX(节奏总纲!F73-$E$2,0)</f>
        <v>1583.6843835616437</v>
      </c>
      <c r="CH77" s="2">
        <f>INDEX($BY$8:$BY$15,MATCH(CH$7,$CB$8:$CB$15,0))*SUM(F$11:F$12)/(365/12)*MAX(节奏总纲!G73-$E$2,0)</f>
        <v>779.27013698630208</v>
      </c>
      <c r="CI77" s="2">
        <f>INDEX($BY$8:$BY$15,MATCH(CI$7,$CB$8:$CB$15,0))*SUM(G$11:G$12)/(365/12)*MAX(节奏总纲!H73-$E$2,0)</f>
        <v>0</v>
      </c>
      <c r="CJ77" s="2">
        <f>INDEX($BZ$8:$BZ$15,MATCH(CE$7,$CB$8:$CB$15,0))*SUM(C$11:C$12)/(365/12)*MAX(节奏总纲!D73-$E$2,0)</f>
        <v>74012.054794520547</v>
      </c>
      <c r="CK77" s="2">
        <f>INDEX($BZ$8:$BZ$15,MATCH(CF$7,$CB$8:$CB$15,0))*SUM(D$11:D$12)/(365/12)*MAX(节奏总纲!E73-$E$2,0)</f>
        <v>63084.529972602744</v>
      </c>
      <c r="CL77" s="2">
        <f>INDEX($BZ$8:$BZ$15,MATCH(CG$7,$CB$8:$CB$15,0))*SUM(E$11:E$12)/(365/12)*MAX(节奏总纲!F73-$E$2,0)</f>
        <v>57012.637808219166</v>
      </c>
      <c r="CM77" s="2">
        <f>INDEX($BZ$8:$BZ$15,MATCH(CH$7,$CB$8:$CB$15,0))*SUM(F$11:F$12)/(365/12)*MAX(节奏总纲!G73-$E$2,0)</f>
        <v>11221.489972602751</v>
      </c>
      <c r="CN77" s="2">
        <f>INDEX($BZ$8:$BZ$15,MATCH(CI$7,$CB$8:$CB$15,0))*SUM(G$11:G$12)/(365/12)*MAX(节奏总纲!H73-$E$2,0)</f>
        <v>0</v>
      </c>
      <c r="CS77" s="2">
        <v>70</v>
      </c>
      <c r="CT77" s="2">
        <f t="shared" si="59"/>
        <v>25992.328767123287</v>
      </c>
      <c r="CU77" s="2">
        <f t="shared" si="60"/>
        <v>19648.202564383562</v>
      </c>
      <c r="CV77" s="2">
        <f t="shared" si="61"/>
        <v>12471.514520547944</v>
      </c>
      <c r="CW77" s="2">
        <f t="shared" si="62"/>
        <v>2922.2630136986331</v>
      </c>
      <c r="CX77" s="2">
        <f t="shared" si="63"/>
        <v>0</v>
      </c>
      <c r="CZ77" s="41">
        <f t="shared" si="64"/>
        <v>0.67796610169491522</v>
      </c>
      <c r="DA77" s="41">
        <f t="shared" si="65"/>
        <v>0.25423728813559321</v>
      </c>
      <c r="DB77" s="41">
        <f t="shared" si="66"/>
        <v>6.7796610169491525E-2</v>
      </c>
      <c r="DD77" s="41">
        <f t="shared" si="67"/>
        <v>0.63492063492063489</v>
      </c>
      <c r="DE77" s="41">
        <f t="shared" si="68"/>
        <v>0.23809523809523808</v>
      </c>
      <c r="DF77" s="41">
        <f t="shared" si="69"/>
        <v>0.12698412698412698</v>
      </c>
      <c r="DH77" s="41" t="e">
        <f t="shared" si="70"/>
        <v>#DIV/0!</v>
      </c>
      <c r="DI77" s="41" t="e">
        <f t="shared" si="71"/>
        <v>#DIV/0!</v>
      </c>
      <c r="DJ77" s="41" t="e">
        <f t="shared" si="72"/>
        <v>#DIV/0!</v>
      </c>
      <c r="DL77" s="2">
        <f>CT77/节奏总纲!D73</f>
        <v>204.66400604034084</v>
      </c>
      <c r="DM77" s="2">
        <f>CU77/节奏总纲!E73</f>
        <v>178.66988845417367</v>
      </c>
      <c r="DN77" s="2">
        <f>CV77/节奏总纲!F73</f>
        <v>138.40860005158279</v>
      </c>
      <c r="DO77" s="2">
        <f>CW77/节奏总纲!G73</f>
        <v>44.326613349553099</v>
      </c>
      <c r="DP77" s="2">
        <f>CX77/节奏总纲!H73</f>
        <v>0</v>
      </c>
      <c r="DR77" s="2">
        <f t="shared" si="73"/>
        <v>0.87299125972818337</v>
      </c>
      <c r="DS77" s="2">
        <f t="shared" si="74"/>
        <v>0.67627230957407036</v>
      </c>
      <c r="DT77" s="2">
        <f t="shared" si="75"/>
        <v>0.21658235958117611</v>
      </c>
      <c r="DU77" s="2">
        <f t="shared" si="76"/>
        <v>0</v>
      </c>
      <c r="DY77" s="2">
        <v>70</v>
      </c>
      <c r="DZ77" s="2">
        <f t="shared" si="77"/>
        <v>613242.73972602747</v>
      </c>
      <c r="EA77" s="2">
        <f t="shared" si="78"/>
        <v>465248.4085479452</v>
      </c>
      <c r="EB77" s="2">
        <f t="shared" si="79"/>
        <v>299316.34849315067</v>
      </c>
      <c r="EC77" s="2">
        <f t="shared" si="80"/>
        <v>58912.822356164441</v>
      </c>
      <c r="ED77" s="2">
        <f t="shared" si="81"/>
        <v>0</v>
      </c>
      <c r="EF77" s="57">
        <f t="shared" si="82"/>
        <v>0.6206896551724137</v>
      </c>
      <c r="EG77" s="57">
        <f t="shared" si="83"/>
        <v>0.25862068965517238</v>
      </c>
      <c r="EH77" s="41">
        <f t="shared" si="84"/>
        <v>0.12068965517241377</v>
      </c>
      <c r="EJ77" s="57">
        <f t="shared" si="85"/>
        <v>0.5714285714285714</v>
      </c>
      <c r="EK77" s="57">
        <f t="shared" si="86"/>
        <v>0.23809523809523808</v>
      </c>
      <c r="EL77" s="41">
        <f t="shared" si="87"/>
        <v>0.19047619047619044</v>
      </c>
      <c r="EN77" s="57" t="e">
        <f t="shared" si="88"/>
        <v>#DIV/0!</v>
      </c>
      <c r="EO77" s="57" t="e">
        <f t="shared" si="89"/>
        <v>#DIV/0!</v>
      </c>
      <c r="EP77" s="41" t="e">
        <f t="shared" si="90"/>
        <v>#DIV/0!</v>
      </c>
    </row>
    <row r="78" spans="20:146" x14ac:dyDescent="0.15">
      <c r="T78" s="2">
        <v>71</v>
      </c>
      <c r="U78" s="2">
        <f>$N$8*SUM(C$11:C$12)/(365/12)*MAX(节奏总纲!D74-$E$2,0)</f>
        <v>1603.0580400319927</v>
      </c>
      <c r="V78" s="2">
        <f>$N$8*SUM(D$11:D$12)/(365/12)*MAX(节奏总纲!E74-$E$2,0)</f>
        <v>1221.0837183642213</v>
      </c>
      <c r="W78" s="2">
        <f>$N$8*SUM(E$11:E$12)/(365/12)*MAX(节奏总纲!F74-$E$2,0)</f>
        <v>769.76372089479889</v>
      </c>
      <c r="X78" s="2">
        <f>$N$8*SUM(F$11:F$12)/(365/12)*MAX(节奏总纲!G74-$E$2,0)</f>
        <v>223.30833348261552</v>
      </c>
      <c r="Y78" s="2">
        <f>$N$8*SUM(G$11:G$12)/(365/12)*MAX(节奏总纲!H74-$E$2,0)</f>
        <v>0</v>
      </c>
      <c r="Z78" s="2">
        <f>$O$8*SUM(C$11:C$12)/(365/12)*MAX(节奏总纲!D74-$E$2,0)</f>
        <v>16030.580400319928</v>
      </c>
      <c r="AA78" s="2">
        <f>$O$8*SUM(D$11:D$12)/(365/12)*MAX(节奏总纲!E74-$E$2,0)</f>
        <v>12210.837183642214</v>
      </c>
      <c r="AB78" s="2">
        <f>$O$8*SUM(E$11:E$12)/(365/12)*MAX(节奏总纲!F74-$E$2,0)</f>
        <v>7697.6372089479892</v>
      </c>
      <c r="AC78" s="2">
        <f>$O$8*SUM(F$11:F$12)/(365/12)*MAX(节奏总纲!G74-$E$2,0)</f>
        <v>2233.0833348261549</v>
      </c>
      <c r="AD78" s="2">
        <f>$O$8*SUM(G$11:G$12)/(365/12)*MAX(节奏总纲!H74-$E$2,0)</f>
        <v>0</v>
      </c>
      <c r="AE78" s="2">
        <f>$Q$8*SUM(C$11:C$12)/(365/12)*MAX(节奏总纲!D74-$E$2,0)</f>
        <v>20038.225500399909</v>
      </c>
      <c r="AF78" s="2">
        <f>$Q$8*SUM(D$11:D$12)/(365/12)*MAX(节奏总纲!E74-$E$2,0)</f>
        <v>15263.546479552766</v>
      </c>
      <c r="AG78" s="2">
        <f>$Q$8*SUM(E$11:E$12)/(365/12)*MAX(节奏总纲!F74-$E$2,0)</f>
        <v>9622.0465111849862</v>
      </c>
      <c r="AH78" s="2">
        <f>$Q$8*SUM(F$11:F$12)/(365/12)*MAX(节奏总纲!G74-$E$2,0)</f>
        <v>2791.3541685326936</v>
      </c>
      <c r="AI78" s="2">
        <f>$Q$8*SUM(G$11:G$12)/(365/12)*MAX(节奏总纲!H74-$E$2,0)</f>
        <v>0</v>
      </c>
      <c r="AJ78" s="2">
        <f>$P$8*SUM(C$11:C$12)/(365/12)*MAX(节奏总纲!D74-$E$2,0)</f>
        <v>432825.67080863804</v>
      </c>
      <c r="AK78" s="2">
        <f>$P$8*SUM(D$11:D$12)/(365/12)*MAX(节奏总纲!E74-$E$2,0)</f>
        <v>329692.60395833972</v>
      </c>
      <c r="AL78" s="2">
        <f>$P$8*SUM(E$11:E$12)/(365/12)*MAX(节奏总纲!F74-$E$2,0)</f>
        <v>207836.20464159569</v>
      </c>
      <c r="AM78" s="2">
        <f>$P$8*SUM(F$11:F$12)/(365/12)*MAX(节奏总纲!G74-$E$2,0)</f>
        <v>60293.250040306186</v>
      </c>
      <c r="AN78" s="2">
        <f>$P$8*SUM(G$11:G$12)/(365/12)*MAX(节奏总纲!H74-$E$2,0)</f>
        <v>0</v>
      </c>
      <c r="BC78" s="2">
        <v>71</v>
      </c>
      <c r="BD78" s="2">
        <f>$AZ$8/(365/12)*MAX(节奏总纲!D74-$E$2,0)</f>
        <v>7514.3345626499658</v>
      </c>
      <c r="BE78" s="2">
        <f>$AZ$8/(365/12)*MAX(节奏总纲!E74-$E$2,0)</f>
        <v>5723.8299298322872</v>
      </c>
      <c r="BF78" s="2">
        <f>$AZ$8/(365/12)*MAX(节奏总纲!F74-$E$2,0)</f>
        <v>3608.2674416943696</v>
      </c>
      <c r="BG78" s="2">
        <f>$AZ$8/(365/12)*MAX(节奏总纲!G74-$E$2,0)</f>
        <v>1046.7578131997602</v>
      </c>
      <c r="BH78" s="2">
        <f>$AZ$8/(365/12)*MAX(节奏总纲!H74-$E$2,0)</f>
        <v>0</v>
      </c>
      <c r="BI78" s="2">
        <f>$AY$8/(365/12)*MAX(节奏总纲!D74-$E$2,0)</f>
        <v>180344.02950359919</v>
      </c>
      <c r="BJ78" s="2">
        <f>$AY$8/(365/12)*MAX(节奏总纲!E74-$E$2,0)</f>
        <v>137371.91831597491</v>
      </c>
      <c r="BK78" s="2">
        <f>$AY$8/(365/12)*MAX(节奏总纲!F74-$E$2,0)</f>
        <v>86598.418600664882</v>
      </c>
      <c r="BL78" s="2">
        <f>$AY$8/(365/12)*MAX(节奏总纲!G74-$E$2,0)</f>
        <v>25122.187516794245</v>
      </c>
      <c r="BM78" s="2">
        <f>$AY$8/(365/12)*MAX(节奏总纲!H74-$E$2,0)</f>
        <v>0</v>
      </c>
      <c r="CD78" s="2">
        <v>71</v>
      </c>
      <c r="CE78" s="2">
        <f>INDEX($BY$8:$BY$15,MATCH(CE$7,$CB$8:$CB$15,0))*SUM(C$11:C$12)/(365/12)*MAX(节奏总纲!D74-$E$2,0)</f>
        <v>2003.822550039991</v>
      </c>
      <c r="CF78" s="2">
        <f>INDEX($BY$8:$BY$15,MATCH(CF$7,$CB$8:$CB$15,0))*SUM(D$11:D$12)/(365/12)*MAX(节奏总纲!E74-$E$2,0)</f>
        <v>1831.6255775463319</v>
      </c>
      <c r="CG78" s="2">
        <f>INDEX($BY$8:$BY$15,MATCH(CG$7,$CB$8:$CB$15,0))*SUM(E$11:E$12)/(365/12)*MAX(节奏总纲!F74-$E$2,0)</f>
        <v>1924.4093022369973</v>
      </c>
      <c r="CH78" s="2">
        <f>INDEX($BY$8:$BY$15,MATCH(CH$7,$CB$8:$CB$15,0))*SUM(F$11:F$12)/(365/12)*MAX(节奏总纲!G74-$E$2,0)</f>
        <v>1395.6770842663468</v>
      </c>
      <c r="CI78" s="2">
        <f>INDEX($BY$8:$BY$15,MATCH(CI$7,$CB$8:$CB$15,0))*SUM(G$11:G$12)/(365/12)*MAX(节奏总纲!H74-$E$2,0)</f>
        <v>0</v>
      </c>
      <c r="CJ78" s="2">
        <f>INDEX($BZ$8:$BZ$15,MATCH(CE$7,$CB$8:$CB$15,0))*SUM(C$11:C$12)/(365/12)*MAX(节奏总纲!D74-$E$2,0)</f>
        <v>84160.547101679622</v>
      </c>
      <c r="CK78" s="2">
        <f>INDEX($BZ$8:$BZ$15,MATCH(CF$7,$CB$8:$CB$15,0))*SUM(D$11:D$12)/(365/12)*MAX(节奏总纲!E74-$E$2,0)</f>
        <v>73265.02310185328</v>
      </c>
      <c r="CL78" s="2">
        <f>INDEX($BZ$8:$BZ$15,MATCH(CG$7,$CB$8:$CB$15,0))*SUM(E$11:E$12)/(365/12)*MAX(节奏总纲!F74-$E$2,0)</f>
        <v>69278.734880531891</v>
      </c>
      <c r="CM78" s="2">
        <f>INDEX($BZ$8:$BZ$15,MATCH(CH$7,$CB$8:$CB$15,0))*SUM(F$11:F$12)/(365/12)*MAX(节奏总纲!G74-$E$2,0)</f>
        <v>20097.750013435394</v>
      </c>
      <c r="CN78" s="2">
        <f>INDEX($BZ$8:$BZ$15,MATCH(CI$7,$CB$8:$CB$15,0))*SUM(G$11:G$12)/(365/12)*MAX(节奏总纲!H74-$E$2,0)</f>
        <v>0</v>
      </c>
      <c r="CS78" s="2">
        <v>71</v>
      </c>
      <c r="CT78" s="2">
        <f t="shared" si="59"/>
        <v>29556.382613089863</v>
      </c>
      <c r="CU78" s="2">
        <f t="shared" si="60"/>
        <v>22819.001986931387</v>
      </c>
      <c r="CV78" s="2">
        <f t="shared" si="61"/>
        <v>15154.723255116354</v>
      </c>
      <c r="CW78" s="2">
        <f t="shared" si="62"/>
        <v>5233.7890659988007</v>
      </c>
      <c r="CX78" s="2">
        <f t="shared" si="63"/>
        <v>0</v>
      </c>
      <c r="CZ78" s="41">
        <f t="shared" si="64"/>
        <v>0.67796610169491534</v>
      </c>
      <c r="DA78" s="41">
        <f t="shared" si="65"/>
        <v>0.25423728813559326</v>
      </c>
      <c r="DB78" s="41">
        <f t="shared" si="66"/>
        <v>6.7796610169491539E-2</v>
      </c>
      <c r="DD78" s="41">
        <f t="shared" si="67"/>
        <v>0.63492063492063489</v>
      </c>
      <c r="DE78" s="41">
        <f t="shared" si="68"/>
        <v>0.23809523809523805</v>
      </c>
      <c r="DF78" s="41">
        <f t="shared" si="69"/>
        <v>0.12698412698412698</v>
      </c>
      <c r="DH78" s="41" t="e">
        <f t="shared" si="70"/>
        <v>#DIV/0!</v>
      </c>
      <c r="DI78" s="41" t="e">
        <f t="shared" si="71"/>
        <v>#DIV/0!</v>
      </c>
      <c r="DJ78" s="41" t="e">
        <f t="shared" si="72"/>
        <v>#DIV/0!</v>
      </c>
      <c r="DL78" s="2">
        <f>CT78/节奏总纲!D74</f>
        <v>217.02792423353407</v>
      </c>
      <c r="DM78" s="2">
        <f>CU78/节奏总纲!E74</f>
        <v>193.32685512588691</v>
      </c>
      <c r="DN78" s="2">
        <f>CV78/节奏总纲!F74</f>
        <v>156.90746996488991</v>
      </c>
      <c r="DO78" s="2">
        <f>CW78/节奏总纲!G74</f>
        <v>74.119382332946856</v>
      </c>
      <c r="DP78" s="2">
        <f>CX78/节奏总纲!H74</f>
        <v>0</v>
      </c>
      <c r="DR78" s="2">
        <f t="shared" si="73"/>
        <v>0.89079253653026003</v>
      </c>
      <c r="DS78" s="2">
        <f t="shared" si="74"/>
        <v>0.72298286277690604</v>
      </c>
      <c r="DT78" s="2">
        <f t="shared" si="75"/>
        <v>0.34152002602757375</v>
      </c>
      <c r="DU78" s="2">
        <f t="shared" si="76"/>
        <v>0</v>
      </c>
      <c r="DY78" s="2">
        <v>71</v>
      </c>
      <c r="DZ78" s="2">
        <f t="shared" si="77"/>
        <v>697330.24741391686</v>
      </c>
      <c r="EA78" s="2">
        <f t="shared" si="78"/>
        <v>540329.54537616798</v>
      </c>
      <c r="EB78" s="2">
        <f t="shared" si="79"/>
        <v>363713.35812279244</v>
      </c>
      <c r="EC78" s="2">
        <f t="shared" si="80"/>
        <v>105513.18757053583</v>
      </c>
      <c r="ED78" s="2">
        <f t="shared" si="81"/>
        <v>0</v>
      </c>
      <c r="EF78" s="57">
        <f t="shared" si="82"/>
        <v>0.62068965517241381</v>
      </c>
      <c r="EG78" s="57">
        <f t="shared" si="83"/>
        <v>0.25862068965517243</v>
      </c>
      <c r="EH78" s="41">
        <f t="shared" si="84"/>
        <v>0.1206896551724138</v>
      </c>
      <c r="EJ78" s="57">
        <f t="shared" si="85"/>
        <v>0.5714285714285714</v>
      </c>
      <c r="EK78" s="57">
        <f t="shared" si="86"/>
        <v>0.23809523809523814</v>
      </c>
      <c r="EL78" s="41">
        <f t="shared" si="87"/>
        <v>0.19047619047619047</v>
      </c>
      <c r="EN78" s="57" t="e">
        <f t="shared" si="88"/>
        <v>#DIV/0!</v>
      </c>
      <c r="EO78" s="57" t="e">
        <f t="shared" si="89"/>
        <v>#DIV/0!</v>
      </c>
      <c r="EP78" s="41" t="e">
        <f t="shared" si="90"/>
        <v>#DIV/0!</v>
      </c>
    </row>
    <row r="79" spans="20:146" x14ac:dyDescent="0.15">
      <c r="T79" s="2">
        <v>72</v>
      </c>
      <c r="U79" s="2">
        <f>$N$8*SUM(C$11:C$12)/(365/12)*MAX(节奏总纲!D75-$E$2,0)</f>
        <v>1810.2367969761231</v>
      </c>
      <c r="V79" s="2">
        <f>$N$8*SUM(D$11:D$12)/(365/12)*MAX(节奏总纲!E75-$E$2,0)</f>
        <v>1400.952817262739</v>
      </c>
      <c r="W79" s="2">
        <f>$N$8*SUM(E$11:E$12)/(365/12)*MAX(节奏总纲!F75-$E$2,0)</f>
        <v>911.47130098389482</v>
      </c>
      <c r="X79" s="2">
        <f>$N$8*SUM(F$11:F$12)/(365/12)*MAX(节奏总纲!G75-$E$2,0)</f>
        <v>327.9650866627864</v>
      </c>
      <c r="Y79" s="2">
        <f>$N$8*SUM(G$11:G$12)/(365/12)*MAX(节奏总纲!H75-$E$2,0)</f>
        <v>0</v>
      </c>
      <c r="Z79" s="2">
        <f>$O$8*SUM(C$11:C$12)/(365/12)*MAX(节奏总纲!D75-$E$2,0)</f>
        <v>18102.367969761232</v>
      </c>
      <c r="AA79" s="2">
        <f>$O$8*SUM(D$11:D$12)/(365/12)*MAX(节奏总纲!E75-$E$2,0)</f>
        <v>14009.528172627392</v>
      </c>
      <c r="AB79" s="2">
        <f>$O$8*SUM(E$11:E$12)/(365/12)*MAX(节奏总纲!F75-$E$2,0)</f>
        <v>9114.713009838948</v>
      </c>
      <c r="AC79" s="2">
        <f>$O$8*SUM(F$11:F$12)/(365/12)*MAX(节奏总纲!G75-$E$2,0)</f>
        <v>3279.6508666278642</v>
      </c>
      <c r="AD79" s="2">
        <f>$O$8*SUM(G$11:G$12)/(365/12)*MAX(节奏总纲!H75-$E$2,0)</f>
        <v>0</v>
      </c>
      <c r="AE79" s="2">
        <f>$Q$8*SUM(C$11:C$12)/(365/12)*MAX(节奏总纲!D75-$E$2,0)</f>
        <v>22627.959962201538</v>
      </c>
      <c r="AF79" s="2">
        <f>$Q$8*SUM(D$11:D$12)/(365/12)*MAX(节奏总纲!E75-$E$2,0)</f>
        <v>17511.910215784239</v>
      </c>
      <c r="AG79" s="2">
        <f>$Q$8*SUM(E$11:E$12)/(365/12)*MAX(节奏总纲!F75-$E$2,0)</f>
        <v>11393.391262298685</v>
      </c>
      <c r="AH79" s="2">
        <f>$Q$8*SUM(F$11:F$12)/(365/12)*MAX(节奏总纲!G75-$E$2,0)</f>
        <v>4099.5635832848302</v>
      </c>
      <c r="AI79" s="2">
        <f>$Q$8*SUM(G$11:G$12)/(365/12)*MAX(节奏总纲!H75-$E$2,0)</f>
        <v>0</v>
      </c>
      <c r="AJ79" s="2">
        <f>$P$8*SUM(C$11:C$12)/(365/12)*MAX(节奏总纲!D75-$E$2,0)</f>
        <v>488763.9351835532</v>
      </c>
      <c r="AK79" s="2">
        <f>$P$8*SUM(D$11:D$12)/(365/12)*MAX(节奏总纲!E75-$E$2,0)</f>
        <v>378257.26066093956</v>
      </c>
      <c r="AL79" s="2">
        <f>$P$8*SUM(E$11:E$12)/(365/12)*MAX(节奏总纲!F75-$E$2,0)</f>
        <v>246097.2512656516</v>
      </c>
      <c r="AM79" s="2">
        <f>$P$8*SUM(F$11:F$12)/(365/12)*MAX(节奏总纲!G75-$E$2,0)</f>
        <v>88550.573398952329</v>
      </c>
      <c r="AN79" s="2">
        <f>$P$8*SUM(G$11:G$12)/(365/12)*MAX(节奏总纲!H75-$E$2,0)</f>
        <v>0</v>
      </c>
      <c r="BC79" s="2">
        <v>72</v>
      </c>
      <c r="BD79" s="2">
        <f>$AZ$8/(365/12)*MAX(节奏总纲!D75-$E$2,0)</f>
        <v>8485.4849858255766</v>
      </c>
      <c r="BE79" s="2">
        <f>$AZ$8/(365/12)*MAX(节奏总纲!E75-$E$2,0)</f>
        <v>6566.9663309190901</v>
      </c>
      <c r="BF79" s="2">
        <f>$AZ$8/(365/12)*MAX(节奏总纲!F75-$E$2,0)</f>
        <v>4272.5217233620069</v>
      </c>
      <c r="BG79" s="2">
        <f>$AZ$8/(365/12)*MAX(节奏总纲!G75-$E$2,0)</f>
        <v>1537.3363437318112</v>
      </c>
      <c r="BH79" s="2">
        <f>$AZ$8/(365/12)*MAX(节奏总纲!H75-$E$2,0)</f>
        <v>0</v>
      </c>
      <c r="BI79" s="2">
        <f>$AY$8/(365/12)*MAX(节奏总纲!D75-$E$2,0)</f>
        <v>203651.63965981387</v>
      </c>
      <c r="BJ79" s="2">
        <f>$AY$8/(365/12)*MAX(节奏总纲!E75-$E$2,0)</f>
        <v>157607.19194205815</v>
      </c>
      <c r="BK79" s="2">
        <f>$AY$8/(365/12)*MAX(节奏总纲!F75-$E$2,0)</f>
        <v>102540.52136068817</v>
      </c>
      <c r="BL79" s="2">
        <f>$AY$8/(365/12)*MAX(节奏总纲!G75-$E$2,0)</f>
        <v>36896.072249563476</v>
      </c>
      <c r="BM79" s="2">
        <f>$AY$8/(365/12)*MAX(节奏总纲!H75-$E$2,0)</f>
        <v>0</v>
      </c>
      <c r="CD79" s="2">
        <v>72</v>
      </c>
      <c r="CE79" s="2">
        <f>INDEX($BY$8:$BY$15,MATCH(CE$7,$CB$8:$CB$15,0))*SUM(C$11:C$12)/(365/12)*MAX(节奏总纲!D75-$E$2,0)</f>
        <v>2262.7959962201539</v>
      </c>
      <c r="CF79" s="2">
        <f>INDEX($BY$8:$BY$15,MATCH(CF$7,$CB$8:$CB$15,0))*SUM(D$11:D$12)/(365/12)*MAX(节奏总纲!E75-$E$2,0)</f>
        <v>2101.4292258941086</v>
      </c>
      <c r="CG79" s="2">
        <f>INDEX($BY$8:$BY$15,MATCH(CG$7,$CB$8:$CB$15,0))*SUM(E$11:E$12)/(365/12)*MAX(节奏总纲!F75-$E$2,0)</f>
        <v>2278.678252459737</v>
      </c>
      <c r="CH79" s="2">
        <f>INDEX($BY$8:$BY$15,MATCH(CH$7,$CB$8:$CB$15,0))*SUM(F$11:F$12)/(365/12)*MAX(节奏总纲!G75-$E$2,0)</f>
        <v>2049.7817916424151</v>
      </c>
      <c r="CI79" s="2">
        <f>INDEX($BY$8:$BY$15,MATCH(CI$7,$CB$8:$CB$15,0))*SUM(G$11:G$12)/(365/12)*MAX(节奏总纲!H75-$E$2,0)</f>
        <v>0</v>
      </c>
      <c r="CJ79" s="2">
        <f>INDEX($BZ$8:$BZ$15,MATCH(CE$7,$CB$8:$CB$15,0))*SUM(C$11:C$12)/(365/12)*MAX(节奏总纲!D75-$E$2,0)</f>
        <v>95037.431841246464</v>
      </c>
      <c r="CK79" s="2">
        <f>INDEX($BZ$8:$BZ$15,MATCH(CF$7,$CB$8:$CB$15,0))*SUM(D$11:D$12)/(365/12)*MAX(节奏总纲!E75-$E$2,0)</f>
        <v>84057.169035764353</v>
      </c>
      <c r="CL79" s="2">
        <f>INDEX($BZ$8:$BZ$15,MATCH(CG$7,$CB$8:$CB$15,0))*SUM(E$11:E$12)/(365/12)*MAX(节奏总纲!F75-$E$2,0)</f>
        <v>82032.41708855053</v>
      </c>
      <c r="CM79" s="2">
        <f>INDEX($BZ$8:$BZ$15,MATCH(CH$7,$CB$8:$CB$15,0))*SUM(F$11:F$12)/(365/12)*MAX(节奏总纲!G75-$E$2,0)</f>
        <v>29516.857799650774</v>
      </c>
      <c r="CN79" s="2">
        <f>INDEX($BZ$8:$BZ$15,MATCH(CI$7,$CB$8:$CB$15,0))*SUM(G$11:G$12)/(365/12)*MAX(节奏总纲!H75-$E$2,0)</f>
        <v>0</v>
      </c>
      <c r="CS79" s="2">
        <v>72</v>
      </c>
      <c r="CT79" s="2">
        <f t="shared" si="59"/>
        <v>33376.240944247271</v>
      </c>
      <c r="CU79" s="2">
        <f t="shared" si="60"/>
        <v>26180.305772597439</v>
      </c>
      <c r="CV79" s="2">
        <f t="shared" si="61"/>
        <v>17944.591238120429</v>
      </c>
      <c r="CW79" s="2">
        <f t="shared" si="62"/>
        <v>7686.6817186590561</v>
      </c>
      <c r="CX79" s="2">
        <f t="shared" si="63"/>
        <v>0</v>
      </c>
      <c r="CZ79" s="41">
        <f t="shared" si="64"/>
        <v>0.67796610169491522</v>
      </c>
      <c r="DA79" s="41">
        <f t="shared" si="65"/>
        <v>0.25423728813559321</v>
      </c>
      <c r="DB79" s="41">
        <f t="shared" si="66"/>
        <v>6.7796610169491525E-2</v>
      </c>
      <c r="DD79" s="41">
        <f t="shared" si="67"/>
        <v>0.63492063492063489</v>
      </c>
      <c r="DE79" s="41">
        <f t="shared" si="68"/>
        <v>0.23809523809523811</v>
      </c>
      <c r="DF79" s="41">
        <f t="shared" si="69"/>
        <v>0.12698412698412698</v>
      </c>
      <c r="DH79" s="41" t="e">
        <f t="shared" si="70"/>
        <v>#DIV/0!</v>
      </c>
      <c r="DI79" s="41" t="e">
        <f t="shared" si="71"/>
        <v>#DIV/0!</v>
      </c>
      <c r="DJ79" s="41" t="e">
        <f t="shared" si="72"/>
        <v>#DIV/0!</v>
      </c>
      <c r="DL79" s="2">
        <f>CT79/节奏总纲!D75</f>
        <v>228.55212134925588</v>
      </c>
      <c r="DM79" s="2">
        <f>CU79/节奏总纲!E75</f>
        <v>206.82529222559685</v>
      </c>
      <c r="DN79" s="2">
        <f>CV79/节奏总纲!F75</f>
        <v>173.68205955633985</v>
      </c>
      <c r="DO79" s="2">
        <f>CW79/节奏总纲!G75</f>
        <v>101.69332928207155</v>
      </c>
      <c r="DP79" s="2">
        <f>CX79/节奏总纲!H75</f>
        <v>0</v>
      </c>
      <c r="DR79" s="2">
        <f t="shared" si="73"/>
        <v>0.90493709270605394</v>
      </c>
      <c r="DS79" s="2">
        <f t="shared" si="74"/>
        <v>0.75992320058553386</v>
      </c>
      <c r="DT79" s="2">
        <f t="shared" si="75"/>
        <v>0.44494589978743437</v>
      </c>
      <c r="DU79" s="2">
        <f t="shared" si="76"/>
        <v>0</v>
      </c>
      <c r="DY79" s="2">
        <v>72</v>
      </c>
      <c r="DZ79" s="2">
        <f t="shared" si="77"/>
        <v>787453.00668461353</v>
      </c>
      <c r="EA79" s="2">
        <f t="shared" si="78"/>
        <v>619921.62163876207</v>
      </c>
      <c r="EB79" s="2">
        <f t="shared" si="79"/>
        <v>430670.18971489032</v>
      </c>
      <c r="EC79" s="2">
        <f t="shared" si="80"/>
        <v>154963.50344816659</v>
      </c>
      <c r="ED79" s="2">
        <f t="shared" si="81"/>
        <v>0</v>
      </c>
      <c r="EF79" s="57">
        <f t="shared" si="82"/>
        <v>0.62068965517241381</v>
      </c>
      <c r="EG79" s="57">
        <f t="shared" si="83"/>
        <v>0.25862068965517243</v>
      </c>
      <c r="EH79" s="41">
        <f t="shared" si="84"/>
        <v>0.1206896551724138</v>
      </c>
      <c r="EJ79" s="57">
        <f t="shared" si="85"/>
        <v>0.5714285714285714</v>
      </c>
      <c r="EK79" s="57">
        <f t="shared" si="86"/>
        <v>0.23809523809523811</v>
      </c>
      <c r="EL79" s="41">
        <f t="shared" si="87"/>
        <v>0.19047619047619047</v>
      </c>
      <c r="EN79" s="57" t="e">
        <f t="shared" si="88"/>
        <v>#DIV/0!</v>
      </c>
      <c r="EO79" s="57" t="e">
        <f t="shared" si="89"/>
        <v>#DIV/0!</v>
      </c>
      <c r="EP79" s="41" t="e">
        <f t="shared" si="90"/>
        <v>#DIV/0!</v>
      </c>
    </row>
    <row r="80" spans="20:146" x14ac:dyDescent="0.15">
      <c r="T80" s="2">
        <v>73</v>
      </c>
      <c r="U80" s="2">
        <f>$N$8*SUM(C$11:C$12)/(365/12)*MAX(节奏总纲!D76-$E$2,0)</f>
        <v>2032.2854906700993</v>
      </c>
      <c r="V80" s="2">
        <f>$N$8*SUM(D$11:D$12)/(365/12)*MAX(节奏总纲!E76-$E$2,0)</f>
        <v>1586.8351224684884</v>
      </c>
      <c r="W80" s="2">
        <f>$N$8*SUM(E$11:E$12)/(365/12)*MAX(节奏总纲!F76-$E$2,0)</f>
        <v>1064.28757515506</v>
      </c>
      <c r="X80" s="2">
        <f>$N$8*SUM(F$11:F$12)/(365/12)*MAX(节奏总纲!G76-$E$2,0)</f>
        <v>440.92063977233198</v>
      </c>
      <c r="Y80" s="2">
        <f>$N$8*SUM(G$11:G$12)/(365/12)*MAX(节奏总纲!H76-$E$2,0)</f>
        <v>0</v>
      </c>
      <c r="Z80" s="2">
        <f>$O$8*SUM(C$11:C$12)/(365/12)*MAX(节奏总纲!D76-$E$2,0)</f>
        <v>20322.854906700995</v>
      </c>
      <c r="AA80" s="2">
        <f>$O$8*SUM(D$11:D$12)/(365/12)*MAX(节奏总纲!E76-$E$2,0)</f>
        <v>15868.351224684884</v>
      </c>
      <c r="AB80" s="2">
        <f>$O$8*SUM(E$11:E$12)/(365/12)*MAX(节奏总纲!F76-$E$2,0)</f>
        <v>10642.8757515506</v>
      </c>
      <c r="AC80" s="2">
        <f>$O$8*SUM(F$11:F$12)/(365/12)*MAX(节奏总纲!G76-$E$2,0)</f>
        <v>4409.2063977233202</v>
      </c>
      <c r="AD80" s="2">
        <f>$O$8*SUM(G$11:G$12)/(365/12)*MAX(节奏总纲!H76-$E$2,0)</f>
        <v>0</v>
      </c>
      <c r="AE80" s="2">
        <f>$Q$8*SUM(C$11:C$12)/(365/12)*MAX(节奏总纲!D76-$E$2,0)</f>
        <v>25403.568633376242</v>
      </c>
      <c r="AF80" s="2">
        <f>$Q$8*SUM(D$11:D$12)/(365/12)*MAX(节奏总纲!E76-$E$2,0)</f>
        <v>19835.439030856101</v>
      </c>
      <c r="AG80" s="2">
        <f>$Q$8*SUM(E$11:E$12)/(365/12)*MAX(节奏总纲!F76-$E$2,0)</f>
        <v>13303.594689438249</v>
      </c>
      <c r="AH80" s="2">
        <f>$Q$8*SUM(F$11:F$12)/(365/12)*MAX(节奏总纲!G76-$E$2,0)</f>
        <v>5511.50799715415</v>
      </c>
      <c r="AI80" s="2">
        <f>$Q$8*SUM(G$11:G$12)/(365/12)*MAX(节奏总纲!H76-$E$2,0)</f>
        <v>0</v>
      </c>
      <c r="AJ80" s="2">
        <f>$P$8*SUM(C$11:C$12)/(365/12)*MAX(节奏总纲!D76-$E$2,0)</f>
        <v>548717.08248092677</v>
      </c>
      <c r="AK80" s="2">
        <f>$P$8*SUM(D$11:D$12)/(365/12)*MAX(节奏总纲!E76-$E$2,0)</f>
        <v>428445.48306649184</v>
      </c>
      <c r="AL80" s="2">
        <f>$P$8*SUM(E$11:E$12)/(365/12)*MAX(节奏总纲!F76-$E$2,0)</f>
        <v>287357.64529186621</v>
      </c>
      <c r="AM80" s="2">
        <f>$P$8*SUM(F$11:F$12)/(365/12)*MAX(节奏总纲!G76-$E$2,0)</f>
        <v>119048.57273852963</v>
      </c>
      <c r="AN80" s="2">
        <f>$P$8*SUM(G$11:G$12)/(365/12)*MAX(节奏总纲!H76-$E$2,0)</f>
        <v>0</v>
      </c>
      <c r="BC80" s="2">
        <v>73</v>
      </c>
      <c r="BD80" s="2">
        <f>$AZ$8/(365/12)*MAX(节奏总纲!D76-$E$2,0)</f>
        <v>9526.3382375160909</v>
      </c>
      <c r="BE80" s="2">
        <f>$AZ$8/(365/12)*MAX(节奏总纲!E76-$E$2,0)</f>
        <v>7438.2896365710394</v>
      </c>
      <c r="BF80" s="2">
        <f>$AZ$8/(365/12)*MAX(节奏总纲!F76-$E$2,0)</f>
        <v>4988.8480085393439</v>
      </c>
      <c r="BG80" s="2">
        <f>$AZ$8/(365/12)*MAX(节奏总纲!G76-$E$2,0)</f>
        <v>2066.8154989328063</v>
      </c>
      <c r="BH80" s="2">
        <f>$AZ$8/(365/12)*MAX(节奏总纲!H76-$E$2,0)</f>
        <v>0</v>
      </c>
      <c r="BI80" s="2">
        <f>$AY$8/(365/12)*MAX(节奏总纲!D76-$E$2,0)</f>
        <v>228632.11770038618</v>
      </c>
      <c r="BJ80" s="2">
        <f>$AY$8/(365/12)*MAX(节奏总纲!E76-$E$2,0)</f>
        <v>178518.95127770494</v>
      </c>
      <c r="BK80" s="2">
        <f>$AY$8/(365/12)*MAX(节奏总纲!F76-$E$2,0)</f>
        <v>119732.35220494425</v>
      </c>
      <c r="BL80" s="2">
        <f>$AY$8/(365/12)*MAX(节奏总纲!G76-$E$2,0)</f>
        <v>49603.571974387356</v>
      </c>
      <c r="BM80" s="2">
        <f>$AY$8/(365/12)*MAX(节奏总纲!H76-$E$2,0)</f>
        <v>0</v>
      </c>
      <c r="CD80" s="2">
        <v>73</v>
      </c>
      <c r="CE80" s="2">
        <f>INDEX($BY$8:$BY$15,MATCH(CE$7,$CB$8:$CB$15,0))*SUM(C$11:C$12)/(365/12)*MAX(节奏总纲!D76-$E$2,0)</f>
        <v>2540.3568633376244</v>
      </c>
      <c r="CF80" s="2">
        <f>INDEX($BY$8:$BY$15,MATCH(CF$7,$CB$8:$CB$15,0))*SUM(D$11:D$12)/(365/12)*MAX(节奏总纲!E76-$E$2,0)</f>
        <v>2380.2526837027326</v>
      </c>
      <c r="CG80" s="2">
        <f>INDEX($BY$8:$BY$15,MATCH(CG$7,$CB$8:$CB$15,0))*SUM(E$11:E$12)/(365/12)*MAX(节奏总纲!F76-$E$2,0)</f>
        <v>2660.7189378876501</v>
      </c>
      <c r="CH80" s="2">
        <f>INDEX($BY$8:$BY$15,MATCH(CH$7,$CB$8:$CB$15,0))*SUM(F$11:F$12)/(365/12)*MAX(节奏总纲!G76-$E$2,0)</f>
        <v>2755.753998577075</v>
      </c>
      <c r="CI80" s="2">
        <f>INDEX($BY$8:$BY$15,MATCH(CI$7,$CB$8:$CB$15,0))*SUM(G$11:G$12)/(365/12)*MAX(节奏总纲!H76-$E$2,0)</f>
        <v>0</v>
      </c>
      <c r="CJ80" s="2">
        <f>INDEX($BZ$8:$BZ$15,MATCH(CE$7,$CB$8:$CB$15,0))*SUM(C$11:C$12)/(365/12)*MAX(节奏总纲!D76-$E$2,0)</f>
        <v>106694.98826018022</v>
      </c>
      <c r="CK80" s="2">
        <f>INDEX($BZ$8:$BZ$15,MATCH(CF$7,$CB$8:$CB$15,0))*SUM(D$11:D$12)/(365/12)*MAX(节奏总纲!E76-$E$2,0)</f>
        <v>95210.107348109304</v>
      </c>
      <c r="CL80" s="2">
        <f>INDEX($BZ$8:$BZ$15,MATCH(CG$7,$CB$8:$CB$15,0))*SUM(E$11:E$12)/(365/12)*MAX(节奏总纲!F76-$E$2,0)</f>
        <v>95785.881763955389</v>
      </c>
      <c r="CM80" s="2">
        <f>INDEX($BZ$8:$BZ$15,MATCH(CH$7,$CB$8:$CB$15,0))*SUM(F$11:F$12)/(365/12)*MAX(节奏总纲!G76-$E$2,0)</f>
        <v>39682.85757950988</v>
      </c>
      <c r="CN80" s="2">
        <f>INDEX($BZ$8:$BZ$15,MATCH(CI$7,$CB$8:$CB$15,0))*SUM(G$11:G$12)/(365/12)*MAX(节奏总纲!H76-$E$2,0)</f>
        <v>0</v>
      </c>
      <c r="CS80" s="2">
        <v>73</v>
      </c>
      <c r="CT80" s="2">
        <f t="shared" si="59"/>
        <v>37470.263734229957</v>
      </c>
      <c r="CU80" s="2">
        <f t="shared" si="60"/>
        <v>29653.981351129874</v>
      </c>
      <c r="CV80" s="2">
        <f t="shared" si="61"/>
        <v>20953.161635865243</v>
      </c>
      <c r="CW80" s="2">
        <f t="shared" si="62"/>
        <v>10334.07749466403</v>
      </c>
      <c r="CX80" s="2">
        <f t="shared" si="63"/>
        <v>0</v>
      </c>
      <c r="CZ80" s="41">
        <f t="shared" si="64"/>
        <v>0.67796610169491522</v>
      </c>
      <c r="DA80" s="41">
        <f t="shared" si="65"/>
        <v>0.25423728813559321</v>
      </c>
      <c r="DB80" s="41">
        <f t="shared" si="66"/>
        <v>6.7796610169491525E-2</v>
      </c>
      <c r="DD80" s="41">
        <f t="shared" si="67"/>
        <v>0.63492063492063489</v>
      </c>
      <c r="DE80" s="41">
        <f t="shared" si="68"/>
        <v>0.23809523809523811</v>
      </c>
      <c r="DF80" s="41">
        <f t="shared" si="69"/>
        <v>0.126984126984127</v>
      </c>
      <c r="DH80" s="41" t="e">
        <f t="shared" si="70"/>
        <v>#DIV/0!</v>
      </c>
      <c r="DI80" s="41" t="e">
        <f t="shared" si="71"/>
        <v>#DIV/0!</v>
      </c>
      <c r="DJ80" s="41" t="e">
        <f t="shared" si="72"/>
        <v>#DIV/0!</v>
      </c>
      <c r="DL80" s="2">
        <f>CT80/节奏总纲!D76</f>
        <v>239.29436666395137</v>
      </c>
      <c r="DM80" s="2">
        <f>CU80/节奏总纲!E76</f>
        <v>218.98433767406084</v>
      </c>
      <c r="DN80" s="2">
        <f>CV80/节奏总纲!F76</f>
        <v>189.48183194676611</v>
      </c>
      <c r="DO80" s="2">
        <f>CW80/节奏总纲!G76</f>
        <v>127.65178609655457</v>
      </c>
      <c r="DP80" s="2">
        <f>CX80/节奏总纲!H76</f>
        <v>0</v>
      </c>
      <c r="DR80" s="2">
        <f t="shared" si="73"/>
        <v>0.91512533590724876</v>
      </c>
      <c r="DS80" s="2">
        <f t="shared" si="74"/>
        <v>0.79183574017378111</v>
      </c>
      <c r="DT80" s="2">
        <f t="shared" si="75"/>
        <v>0.53345086169880462</v>
      </c>
      <c r="DU80" s="2">
        <f t="shared" si="76"/>
        <v>0</v>
      </c>
      <c r="DY80" s="2">
        <v>73</v>
      </c>
      <c r="DZ80" s="2">
        <f t="shared" si="77"/>
        <v>884044.1884414932</v>
      </c>
      <c r="EA80" s="2">
        <f t="shared" si="78"/>
        <v>702174.54169230605</v>
      </c>
      <c r="EB80" s="2">
        <f t="shared" si="79"/>
        <v>502875.87926076585</v>
      </c>
      <c r="EC80" s="2">
        <f t="shared" si="80"/>
        <v>208335.00229242686</v>
      </c>
      <c r="ED80" s="2">
        <f t="shared" si="81"/>
        <v>0</v>
      </c>
      <c r="EF80" s="57">
        <f t="shared" si="82"/>
        <v>0.6206896551724137</v>
      </c>
      <c r="EG80" s="57">
        <f t="shared" si="83"/>
        <v>0.25862068965517243</v>
      </c>
      <c r="EH80" s="41">
        <f t="shared" si="84"/>
        <v>0.1206896551724138</v>
      </c>
      <c r="EJ80" s="57">
        <f t="shared" si="85"/>
        <v>0.5714285714285714</v>
      </c>
      <c r="EK80" s="57">
        <f t="shared" si="86"/>
        <v>0.23809523809523811</v>
      </c>
      <c r="EL80" s="41">
        <f t="shared" si="87"/>
        <v>0.19047619047619047</v>
      </c>
      <c r="EN80" s="57" t="e">
        <f t="shared" si="88"/>
        <v>#DIV/0!</v>
      </c>
      <c r="EO80" s="57" t="e">
        <f t="shared" si="89"/>
        <v>#DIV/0!</v>
      </c>
      <c r="EP80" s="41" t="e">
        <f t="shared" si="90"/>
        <v>#DIV/0!</v>
      </c>
    </row>
    <row r="81" spans="20:146" x14ac:dyDescent="0.15">
      <c r="T81" s="2">
        <v>74</v>
      </c>
      <c r="U81" s="2">
        <f>$N$8*SUM(C$11:C$12)/(365/12)*MAX(节奏总纲!D77-$E$2,0)</f>
        <v>2270.2713879621524</v>
      </c>
      <c r="V81" s="2">
        <f>$N$8*SUM(D$11:D$12)/(365/12)*MAX(节奏总纲!E77-$E$2,0)</f>
        <v>1791.9387790183787</v>
      </c>
      <c r="W81" s="2">
        <f>$N$8*SUM(E$11:E$12)/(365/12)*MAX(节奏总纲!F77-$E$2,0)</f>
        <v>1235.1794055358171</v>
      </c>
      <c r="X81" s="2">
        <f>$N$8*SUM(F$11:F$12)/(365/12)*MAX(节奏总纲!G77-$E$2,0)</f>
        <v>565.37244352887774</v>
      </c>
      <c r="Y81" s="2">
        <f>$N$8*SUM(G$11:G$12)/(365/12)*MAX(节奏总纲!H77-$E$2,0)</f>
        <v>0</v>
      </c>
      <c r="Z81" s="2">
        <f>$O$8*SUM(C$11:C$12)/(365/12)*MAX(节奏总纲!D77-$E$2,0)</f>
        <v>22702.713879621526</v>
      </c>
      <c r="AA81" s="2">
        <f>$O$8*SUM(D$11:D$12)/(365/12)*MAX(节奏总纲!E77-$E$2,0)</f>
        <v>17919.387790183788</v>
      </c>
      <c r="AB81" s="2">
        <f>$O$8*SUM(E$11:E$12)/(365/12)*MAX(节奏总纲!F77-$E$2,0)</f>
        <v>12351.79405535817</v>
      </c>
      <c r="AC81" s="2">
        <f>$O$8*SUM(F$11:F$12)/(365/12)*MAX(节奏总纲!G77-$E$2,0)</f>
        <v>5653.7244352887774</v>
      </c>
      <c r="AD81" s="2">
        <f>$O$8*SUM(G$11:G$12)/(365/12)*MAX(节奏总纲!H77-$E$2,0)</f>
        <v>0</v>
      </c>
      <c r="AE81" s="2">
        <f>$Q$8*SUM(C$11:C$12)/(365/12)*MAX(节奏总纲!D77-$E$2,0)</f>
        <v>28378.392349526905</v>
      </c>
      <c r="AF81" s="2">
        <f>$Q$8*SUM(D$11:D$12)/(365/12)*MAX(节奏总纲!E77-$E$2,0)</f>
        <v>22399.234737729734</v>
      </c>
      <c r="AG81" s="2">
        <f>$Q$8*SUM(E$11:E$12)/(365/12)*MAX(节奏总纲!F77-$E$2,0)</f>
        <v>15439.742569197711</v>
      </c>
      <c r="AH81" s="2">
        <f>$Q$8*SUM(F$11:F$12)/(365/12)*MAX(节奏总纲!G77-$E$2,0)</f>
        <v>7067.1555441109722</v>
      </c>
      <c r="AI81" s="2">
        <f>$Q$8*SUM(G$11:G$12)/(365/12)*MAX(节奏总纲!H77-$E$2,0)</f>
        <v>0</v>
      </c>
      <c r="AJ81" s="2">
        <f>$P$8*SUM(C$11:C$12)/(365/12)*MAX(节奏总纲!D77-$E$2,0)</f>
        <v>612973.27474978112</v>
      </c>
      <c r="AK81" s="2">
        <f>$P$8*SUM(D$11:D$12)/(365/12)*MAX(节奏总纲!E77-$E$2,0)</f>
        <v>483823.47033496224</v>
      </c>
      <c r="AL81" s="2">
        <f>$P$8*SUM(E$11:E$12)/(365/12)*MAX(节奏总纲!F77-$E$2,0)</f>
        <v>333498.4394946706</v>
      </c>
      <c r="AM81" s="2">
        <f>$P$8*SUM(F$11:F$12)/(365/12)*MAX(节奏总纲!G77-$E$2,0)</f>
        <v>152650.55975279698</v>
      </c>
      <c r="AN81" s="2">
        <f>$P$8*SUM(G$11:G$12)/(365/12)*MAX(节奏总纲!H77-$E$2,0)</f>
        <v>0</v>
      </c>
      <c r="BC81" s="2">
        <v>74</v>
      </c>
      <c r="BD81" s="2">
        <f>$AZ$8/(365/12)*MAX(节奏总纲!D77-$E$2,0)</f>
        <v>10641.89713107259</v>
      </c>
      <c r="BE81" s="2">
        <f>$AZ$8/(365/12)*MAX(节奏总纲!E77-$E$2,0)</f>
        <v>8399.7130266486511</v>
      </c>
      <c r="BF81" s="2">
        <f>$AZ$8/(365/12)*MAX(节奏总纲!F77-$E$2,0)</f>
        <v>5789.9034634491427</v>
      </c>
      <c r="BG81" s="2">
        <f>$AZ$8/(365/12)*MAX(节奏总纲!G77-$E$2,0)</f>
        <v>2650.1833290416148</v>
      </c>
      <c r="BH81" s="2">
        <f>$AZ$8/(365/12)*MAX(节奏总纲!H77-$E$2,0)</f>
        <v>0</v>
      </c>
      <c r="BI81" s="2">
        <f>$AY$8/(365/12)*MAX(节奏总纲!D77-$E$2,0)</f>
        <v>255405.53114574216</v>
      </c>
      <c r="BJ81" s="2">
        <f>$AY$8/(365/12)*MAX(节奏总纲!E77-$E$2,0)</f>
        <v>201593.11263956761</v>
      </c>
      <c r="BK81" s="2">
        <f>$AY$8/(365/12)*MAX(节奏总纲!F77-$E$2,0)</f>
        <v>138957.68312277942</v>
      </c>
      <c r="BL81" s="2">
        <f>$AY$8/(365/12)*MAX(节奏总纲!G77-$E$2,0)</f>
        <v>63604.399896998752</v>
      </c>
      <c r="BM81" s="2">
        <f>$AY$8/(365/12)*MAX(节奏总纲!H77-$E$2,0)</f>
        <v>0</v>
      </c>
      <c r="CD81" s="2">
        <v>74</v>
      </c>
      <c r="CE81" s="2">
        <f>INDEX($BY$8:$BY$15,MATCH(CE$7,$CB$8:$CB$15,0))*SUM(C$11:C$12)/(365/12)*MAX(节奏总纲!D77-$E$2,0)</f>
        <v>2837.8392349526907</v>
      </c>
      <c r="CF81" s="2">
        <f>INDEX($BY$8:$BY$15,MATCH(CF$7,$CB$8:$CB$15,0))*SUM(D$11:D$12)/(365/12)*MAX(节奏总纲!E77-$E$2,0)</f>
        <v>2687.9081685275683</v>
      </c>
      <c r="CG81" s="2">
        <f>INDEX($BY$8:$BY$15,MATCH(CG$7,$CB$8:$CB$15,0))*SUM(E$11:E$12)/(365/12)*MAX(节奏总纲!F77-$E$2,0)</f>
        <v>3087.9485138395426</v>
      </c>
      <c r="CH81" s="2">
        <f>INDEX($BY$8:$BY$15,MATCH(CH$7,$CB$8:$CB$15,0))*SUM(F$11:F$12)/(365/12)*MAX(节奏总纲!G77-$E$2,0)</f>
        <v>3533.5777720554861</v>
      </c>
      <c r="CI81" s="2">
        <f>INDEX($BY$8:$BY$15,MATCH(CI$7,$CB$8:$CB$15,0))*SUM(G$11:G$12)/(365/12)*MAX(节奏总纲!H77-$E$2,0)</f>
        <v>0</v>
      </c>
      <c r="CJ81" s="2">
        <f>INDEX($BZ$8:$BZ$15,MATCH(CE$7,$CB$8:$CB$15,0))*SUM(C$11:C$12)/(365/12)*MAX(节奏总纲!D77-$E$2,0)</f>
        <v>119189.24786801302</v>
      </c>
      <c r="CK81" s="2">
        <f>INDEX($BZ$8:$BZ$15,MATCH(CF$7,$CB$8:$CB$15,0))*SUM(D$11:D$12)/(365/12)*MAX(节奏总纲!E77-$E$2,0)</f>
        <v>107516.32674110273</v>
      </c>
      <c r="CL81" s="2">
        <f>INDEX($BZ$8:$BZ$15,MATCH(CG$7,$CB$8:$CB$15,0))*SUM(E$11:E$12)/(365/12)*MAX(节奏总纲!F77-$E$2,0)</f>
        <v>111166.14649822352</v>
      </c>
      <c r="CM81" s="2">
        <f>INDEX($BZ$8:$BZ$15,MATCH(CH$7,$CB$8:$CB$15,0))*SUM(F$11:F$12)/(365/12)*MAX(节奏总纲!G77-$E$2,0)</f>
        <v>50883.519917598998</v>
      </c>
      <c r="CN81" s="2">
        <f>INDEX($BZ$8:$BZ$15,MATCH(CI$7,$CB$8:$CB$15,0))*SUM(G$11:G$12)/(365/12)*MAX(节奏总纲!H77-$E$2,0)</f>
        <v>0</v>
      </c>
      <c r="CS81" s="2">
        <v>74</v>
      </c>
      <c r="CT81" s="2">
        <f t="shared" si="59"/>
        <v>41858.128715552186</v>
      </c>
      <c r="CU81" s="2">
        <f t="shared" si="60"/>
        <v>33486.85593290595</v>
      </c>
      <c r="CV81" s="2">
        <f t="shared" si="61"/>
        <v>24317.594546486398</v>
      </c>
      <c r="CW81" s="2">
        <f t="shared" si="62"/>
        <v>13250.916645208072</v>
      </c>
      <c r="CX81" s="2">
        <f t="shared" si="63"/>
        <v>0</v>
      </c>
      <c r="CZ81" s="41">
        <f t="shared" si="64"/>
        <v>0.67796610169491522</v>
      </c>
      <c r="DA81" s="41">
        <f t="shared" si="65"/>
        <v>0.25423728813559321</v>
      </c>
      <c r="DB81" s="41">
        <f t="shared" si="66"/>
        <v>6.7796610169491525E-2</v>
      </c>
      <c r="DD81" s="41">
        <f t="shared" si="67"/>
        <v>0.63492063492063489</v>
      </c>
      <c r="DE81" s="41">
        <f t="shared" si="68"/>
        <v>0.23809523809523811</v>
      </c>
      <c r="DF81" s="41">
        <f t="shared" si="69"/>
        <v>0.12698412698412698</v>
      </c>
      <c r="DH81" s="41" t="e">
        <f t="shared" si="70"/>
        <v>#DIV/0!</v>
      </c>
      <c r="DI81" s="41" t="e">
        <f t="shared" si="71"/>
        <v>#DIV/0!</v>
      </c>
      <c r="DJ81" s="41" t="e">
        <f t="shared" si="72"/>
        <v>#DIV/0!</v>
      </c>
      <c r="DL81" s="2">
        <f>CT81/节奏总纲!D77</f>
        <v>249.30835916972717</v>
      </c>
      <c r="DM81" s="2">
        <f>CU81/节奏总纲!E77</f>
        <v>230.68330971506367</v>
      </c>
      <c r="DN81" s="2">
        <f>CV81/节奏总纲!F77</f>
        <v>204.86050103678963</v>
      </c>
      <c r="DO81" s="2">
        <f>CW81/节奏总纲!G77</f>
        <v>152.53746651775072</v>
      </c>
      <c r="DP81" s="2">
        <f>CX81/节奏总纲!H77</f>
        <v>0</v>
      </c>
      <c r="DR81" s="2">
        <f t="shared" si="73"/>
        <v>0.92529312086971094</v>
      </c>
      <c r="DS81" s="2">
        <f t="shared" si="74"/>
        <v>0.82171533164406341</v>
      </c>
      <c r="DT81" s="2">
        <f t="shared" si="75"/>
        <v>0.6118425672759108</v>
      </c>
      <c r="DU81" s="2">
        <f t="shared" si="76"/>
        <v>0</v>
      </c>
      <c r="DY81" s="2">
        <v>74</v>
      </c>
      <c r="DZ81" s="2">
        <f t="shared" si="77"/>
        <v>987568.05376353627</v>
      </c>
      <c r="EA81" s="2">
        <f t="shared" si="78"/>
        <v>792932.90971563256</v>
      </c>
      <c r="EB81" s="2">
        <f t="shared" si="79"/>
        <v>583622.26911567349</v>
      </c>
      <c r="EC81" s="2">
        <f t="shared" si="80"/>
        <v>267138.47956739471</v>
      </c>
      <c r="ED81" s="2">
        <f t="shared" si="81"/>
        <v>0</v>
      </c>
      <c r="EF81" s="57">
        <f t="shared" si="82"/>
        <v>0.62068965517241381</v>
      </c>
      <c r="EG81" s="57">
        <f t="shared" si="83"/>
        <v>0.25862068965517243</v>
      </c>
      <c r="EH81" s="41">
        <f t="shared" si="84"/>
        <v>0.12068965517241381</v>
      </c>
      <c r="EJ81" s="57">
        <f t="shared" si="85"/>
        <v>0.57142857142857151</v>
      </c>
      <c r="EK81" s="57">
        <f t="shared" si="86"/>
        <v>0.23809523809523811</v>
      </c>
      <c r="EL81" s="41">
        <f t="shared" si="87"/>
        <v>0.19047619047619047</v>
      </c>
      <c r="EN81" s="57" t="e">
        <f t="shared" si="88"/>
        <v>#DIV/0!</v>
      </c>
      <c r="EO81" s="57" t="e">
        <f t="shared" si="89"/>
        <v>#DIV/0!</v>
      </c>
      <c r="EP81" s="41" t="e">
        <f t="shared" si="90"/>
        <v>#DIV/0!</v>
      </c>
    </row>
    <row r="82" spans="20:146" x14ac:dyDescent="0.15">
      <c r="T82" s="2">
        <v>75</v>
      </c>
      <c r="U82" s="2">
        <f>$N$8*SUM(C$11:C$12)/(365/12)*MAX(节奏总纲!D78-$E$2,0)</f>
        <v>2525.338357137663</v>
      </c>
      <c r="V82" s="2">
        <f>$N$8*SUM(D$11:D$12)/(365/12)*MAX(节奏总纲!E78-$E$2,0)</f>
        <v>2014.7423630338617</v>
      </c>
      <c r="W82" s="2">
        <f>$N$8*SUM(E$11:E$12)/(365/12)*MAX(节奏总纲!F78-$E$2,0)</f>
        <v>1417.7844352092404</v>
      </c>
      <c r="X82" s="2">
        <f>$N$8*SUM(F$11:F$12)/(365/12)*MAX(节奏总纲!G78-$E$2,0)</f>
        <v>698.85921502451231</v>
      </c>
      <c r="Y82" s="2">
        <f>$N$8*SUM(G$11:G$12)/(365/12)*MAX(节奏总纲!H78-$E$2,0)</f>
        <v>0</v>
      </c>
      <c r="Z82" s="2">
        <f>$O$8*SUM(C$11:C$12)/(365/12)*MAX(节奏总纲!D78-$E$2,0)</f>
        <v>25253.383571376628</v>
      </c>
      <c r="AA82" s="2">
        <f>$O$8*SUM(D$11:D$12)/(365/12)*MAX(节奏总纲!E78-$E$2,0)</f>
        <v>20147.423630338617</v>
      </c>
      <c r="AB82" s="2">
        <f>$O$8*SUM(E$11:E$12)/(365/12)*MAX(节奏总纲!F78-$E$2,0)</f>
        <v>14177.844352092405</v>
      </c>
      <c r="AC82" s="2">
        <f>$O$8*SUM(F$11:F$12)/(365/12)*MAX(节奏总纲!G78-$E$2,0)</f>
        <v>6988.5921502451229</v>
      </c>
      <c r="AD82" s="2">
        <f>$O$8*SUM(G$11:G$12)/(365/12)*MAX(节奏总纲!H78-$E$2,0)</f>
        <v>0</v>
      </c>
      <c r="AE82" s="2">
        <f>$Q$8*SUM(C$11:C$12)/(365/12)*MAX(节奏总纲!D78-$E$2,0)</f>
        <v>31566.729464220785</v>
      </c>
      <c r="AF82" s="2">
        <f>$Q$8*SUM(D$11:D$12)/(365/12)*MAX(节奏总纲!E78-$E$2,0)</f>
        <v>25184.27953792327</v>
      </c>
      <c r="AG82" s="2">
        <f>$Q$8*SUM(E$11:E$12)/(365/12)*MAX(节奏总纲!F78-$E$2,0)</f>
        <v>17722.305440115506</v>
      </c>
      <c r="AH82" s="2">
        <f>$Q$8*SUM(F$11:F$12)/(365/12)*MAX(节奏总纲!G78-$E$2,0)</f>
        <v>8735.7401878064029</v>
      </c>
      <c r="AI82" s="2">
        <f>$Q$8*SUM(G$11:G$12)/(365/12)*MAX(节奏总纲!H78-$E$2,0)</f>
        <v>0</v>
      </c>
      <c r="AJ82" s="2">
        <f>$P$8*SUM(C$11:C$12)/(365/12)*MAX(节奏总纲!D78-$E$2,0)</f>
        <v>681841.35642716894</v>
      </c>
      <c r="AK82" s="2">
        <f>$P$8*SUM(D$11:D$12)/(365/12)*MAX(节奏总纲!E78-$E$2,0)</f>
        <v>543980.4380191426</v>
      </c>
      <c r="AL82" s="2">
        <f>$P$8*SUM(E$11:E$12)/(365/12)*MAX(节奏总纲!F78-$E$2,0)</f>
        <v>382801.79750649491</v>
      </c>
      <c r="AM82" s="2">
        <f>$P$8*SUM(F$11:F$12)/(365/12)*MAX(节奏总纲!G78-$E$2,0)</f>
        <v>188691.98805661831</v>
      </c>
      <c r="AN82" s="2">
        <f>$P$8*SUM(G$11:G$12)/(365/12)*MAX(节奏总纲!H78-$E$2,0)</f>
        <v>0</v>
      </c>
      <c r="BC82" s="2">
        <v>75</v>
      </c>
      <c r="BD82" s="2">
        <f>$AZ$8/(365/12)*MAX(节奏总纲!D78-$E$2,0)</f>
        <v>11837.523549082794</v>
      </c>
      <c r="BE82" s="2">
        <f>$AZ$8/(365/12)*MAX(节奏总纲!E78-$E$2,0)</f>
        <v>9444.1048267212263</v>
      </c>
      <c r="BF82" s="2">
        <f>$AZ$8/(365/12)*MAX(节奏总纲!F78-$E$2,0)</f>
        <v>6645.8645400433143</v>
      </c>
      <c r="BG82" s="2">
        <f>$AZ$8/(365/12)*MAX(节奏总纲!G78-$E$2,0)</f>
        <v>3275.9025704274018</v>
      </c>
      <c r="BH82" s="2">
        <f>$AZ$8/(365/12)*MAX(节奏总纲!H78-$E$2,0)</f>
        <v>0</v>
      </c>
      <c r="BI82" s="2">
        <f>$AY$8/(365/12)*MAX(节奏总纲!D78-$E$2,0)</f>
        <v>284100.5651779871</v>
      </c>
      <c r="BJ82" s="2">
        <f>$AY$8/(365/12)*MAX(节奏总纲!E78-$E$2,0)</f>
        <v>226658.51584130948</v>
      </c>
      <c r="BK82" s="2">
        <f>$AY$8/(365/12)*MAX(节奏总纲!F78-$E$2,0)</f>
        <v>159500.74896103956</v>
      </c>
      <c r="BL82" s="2">
        <f>$AY$8/(365/12)*MAX(节奏总纲!G78-$E$2,0)</f>
        <v>78621.661690257635</v>
      </c>
      <c r="BM82" s="2">
        <f>$AY$8/(365/12)*MAX(节奏总纲!H78-$E$2,0)</f>
        <v>0</v>
      </c>
      <c r="CD82" s="2">
        <v>75</v>
      </c>
      <c r="CE82" s="2">
        <f>INDEX($BY$8:$BY$15,MATCH(CE$7,$CB$8:$CB$15,0))*SUM(C$11:C$12)/(365/12)*MAX(节奏总纲!D78-$E$2,0)</f>
        <v>3156.6729464220784</v>
      </c>
      <c r="CF82" s="2">
        <f>INDEX($BY$8:$BY$15,MATCH(CF$7,$CB$8:$CB$15,0))*SUM(D$11:D$12)/(365/12)*MAX(节奏总纲!E78-$E$2,0)</f>
        <v>3022.1135445507925</v>
      </c>
      <c r="CG82" s="2">
        <f>INDEX($BY$8:$BY$15,MATCH(CG$7,$CB$8:$CB$15,0))*SUM(E$11:E$12)/(365/12)*MAX(节奏总纲!F78-$E$2,0)</f>
        <v>3544.4610880231012</v>
      </c>
      <c r="CH82" s="2">
        <f>INDEX($BY$8:$BY$15,MATCH(CH$7,$CB$8:$CB$15,0))*SUM(F$11:F$12)/(365/12)*MAX(节奏总纲!G78-$E$2,0)</f>
        <v>4367.8700939032015</v>
      </c>
      <c r="CI82" s="2">
        <f>INDEX($BY$8:$BY$15,MATCH(CI$7,$CB$8:$CB$15,0))*SUM(G$11:G$12)/(365/12)*MAX(节奏总纲!H78-$E$2,0)</f>
        <v>0</v>
      </c>
      <c r="CJ82" s="2">
        <f>INDEX($BZ$8:$BZ$15,MATCH(CE$7,$CB$8:$CB$15,0))*SUM(C$11:C$12)/(365/12)*MAX(节奏总纲!D78-$E$2,0)</f>
        <v>132580.26374972731</v>
      </c>
      <c r="CK82" s="2">
        <f>INDEX($BZ$8:$BZ$15,MATCH(CF$7,$CB$8:$CB$15,0))*SUM(D$11:D$12)/(365/12)*MAX(节奏总纲!E78-$E$2,0)</f>
        <v>120884.54178203172</v>
      </c>
      <c r="CL82" s="2">
        <f>INDEX($BZ$8:$BZ$15,MATCH(CG$7,$CB$8:$CB$15,0))*SUM(E$11:E$12)/(365/12)*MAX(节奏总纲!F78-$E$2,0)</f>
        <v>127600.59916883163</v>
      </c>
      <c r="CM82" s="2">
        <f>INDEX($BZ$8:$BZ$15,MATCH(CH$7,$CB$8:$CB$15,0))*SUM(F$11:F$12)/(365/12)*MAX(节奏总纲!G78-$E$2,0)</f>
        <v>62897.329352206107</v>
      </c>
      <c r="CN82" s="2">
        <f>INDEX($BZ$8:$BZ$15,MATCH(CI$7,$CB$8:$CB$15,0))*SUM(G$11:G$12)/(365/12)*MAX(节奏总纲!H78-$E$2,0)</f>
        <v>0</v>
      </c>
      <c r="CS82" s="2">
        <v>75</v>
      </c>
      <c r="CT82" s="2">
        <f t="shared" si="59"/>
        <v>46560.925959725653</v>
      </c>
      <c r="CU82" s="2">
        <f t="shared" si="60"/>
        <v>37650.497909195285</v>
      </c>
      <c r="CV82" s="2">
        <f t="shared" si="61"/>
        <v>27912.63106818192</v>
      </c>
      <c r="CW82" s="2">
        <f t="shared" si="62"/>
        <v>16379.512852137006</v>
      </c>
      <c r="CX82" s="2">
        <f t="shared" si="63"/>
        <v>0</v>
      </c>
      <c r="CZ82" s="41">
        <f t="shared" si="64"/>
        <v>0.67796610169491534</v>
      </c>
      <c r="DA82" s="41">
        <f t="shared" si="65"/>
        <v>0.25423728813559326</v>
      </c>
      <c r="DB82" s="41">
        <f t="shared" si="66"/>
        <v>6.7796610169491525E-2</v>
      </c>
      <c r="DD82" s="41">
        <f t="shared" si="67"/>
        <v>0.634920634920635</v>
      </c>
      <c r="DE82" s="41">
        <f t="shared" si="68"/>
        <v>0.23809523809523811</v>
      </c>
      <c r="DF82" s="41">
        <f t="shared" si="69"/>
        <v>0.126984126984127</v>
      </c>
      <c r="DH82" s="41" t="e">
        <f t="shared" si="70"/>
        <v>#DIV/0!</v>
      </c>
      <c r="DI82" s="41" t="e">
        <f t="shared" si="71"/>
        <v>#DIV/0!</v>
      </c>
      <c r="DJ82" s="41" t="e">
        <f t="shared" si="72"/>
        <v>#DIV/0!</v>
      </c>
      <c r="DL82" s="2">
        <f>CT82/节奏总纲!D78</f>
        <v>258.644026794583</v>
      </c>
      <c r="DM82" s="2">
        <f>CU82/节奏总纲!E78</f>
        <v>241.73250787782933</v>
      </c>
      <c r="DN82" s="2">
        <f>CV82/节奏总纲!F78</f>
        <v>219.12594180568951</v>
      </c>
      <c r="DO82" s="2">
        <f>CW82/节奏总纲!G78</f>
        <v>175.719427480977</v>
      </c>
      <c r="DP82" s="2">
        <f>CX82/节奏总纲!H78</f>
        <v>0</v>
      </c>
      <c r="DR82" s="2">
        <f t="shared" si="73"/>
        <v>0.93461469369178618</v>
      </c>
      <c r="DS82" s="2">
        <f t="shared" si="74"/>
        <v>0.84721052529746199</v>
      </c>
      <c r="DT82" s="2">
        <f t="shared" si="75"/>
        <v>0.67938714710985637</v>
      </c>
      <c r="DU82" s="2">
        <f t="shared" si="76"/>
        <v>0</v>
      </c>
      <c r="DY82" s="2">
        <v>75</v>
      </c>
      <c r="DZ82" s="2">
        <f t="shared" si="77"/>
        <v>1098522.1853548833</v>
      </c>
      <c r="EA82" s="2">
        <f t="shared" si="78"/>
        <v>891523.49564248382</v>
      </c>
      <c r="EB82" s="2">
        <f t="shared" si="79"/>
        <v>669903.1456363661</v>
      </c>
      <c r="EC82" s="2">
        <f t="shared" si="80"/>
        <v>330210.97909908206</v>
      </c>
      <c r="ED82" s="2">
        <f t="shared" si="81"/>
        <v>0</v>
      </c>
      <c r="EF82" s="57">
        <f t="shared" si="82"/>
        <v>0.62068965517241381</v>
      </c>
      <c r="EG82" s="57">
        <f t="shared" si="83"/>
        <v>0.25862068965517243</v>
      </c>
      <c r="EH82" s="41">
        <f t="shared" si="84"/>
        <v>0.1206896551724138</v>
      </c>
      <c r="EJ82" s="57">
        <f t="shared" si="85"/>
        <v>0.5714285714285714</v>
      </c>
      <c r="EK82" s="57">
        <f t="shared" si="86"/>
        <v>0.23809523809523811</v>
      </c>
      <c r="EL82" s="41">
        <f t="shared" si="87"/>
        <v>0.19047619047619047</v>
      </c>
      <c r="EN82" s="57" t="e">
        <f t="shared" si="88"/>
        <v>#DIV/0!</v>
      </c>
      <c r="EO82" s="57" t="e">
        <f t="shared" si="89"/>
        <v>#DIV/0!</v>
      </c>
      <c r="EP82" s="41" t="e">
        <f t="shared" si="90"/>
        <v>#DIV/0!</v>
      </c>
    </row>
    <row r="83" spans="20:146" x14ac:dyDescent="0.15">
      <c r="T83" s="2">
        <v>76</v>
      </c>
      <c r="U83" s="2">
        <f>$N$8*SUM(C$11:C$12)/(365/12)*MAX(节奏总纲!D79-$E$2,0)</f>
        <v>2798.7123658695382</v>
      </c>
      <c r="V83" s="2">
        <f>$N$8*SUM(D$11:D$12)/(365/12)*MAX(节奏总纲!E79-$E$2,0)</f>
        <v>2250.8594375767507</v>
      </c>
      <c r="W83" s="2">
        <f>$N$8*SUM(E$11:E$12)/(365/12)*MAX(节奏总纲!F79-$E$2,0)</f>
        <v>1610.0055303521272</v>
      </c>
      <c r="X83" s="2">
        <f>$N$8*SUM(F$11:F$12)/(365/12)*MAX(节奏总纲!G79-$E$2,0)</f>
        <v>842.44286580552387</v>
      </c>
      <c r="Y83" s="2">
        <f>$N$8*SUM(G$11:G$12)/(365/12)*MAX(节奏总纲!H79-$E$2,0)</f>
        <v>0</v>
      </c>
      <c r="Z83" s="2">
        <f>$O$8*SUM(C$11:C$12)/(365/12)*MAX(节奏总纲!D79-$E$2,0)</f>
        <v>27987.123658695378</v>
      </c>
      <c r="AA83" s="2">
        <f>$O$8*SUM(D$11:D$12)/(365/12)*MAX(节奏总纲!E79-$E$2,0)</f>
        <v>22508.594375767509</v>
      </c>
      <c r="AB83" s="2">
        <f>$O$8*SUM(E$11:E$12)/(365/12)*MAX(节奏总纲!F79-$E$2,0)</f>
        <v>16100.055303521271</v>
      </c>
      <c r="AC83" s="2">
        <f>$O$8*SUM(F$11:F$12)/(365/12)*MAX(节奏总纲!G79-$E$2,0)</f>
        <v>8424.428658055238</v>
      </c>
      <c r="AD83" s="2">
        <f>$O$8*SUM(G$11:G$12)/(365/12)*MAX(节奏总纲!H79-$E$2,0)</f>
        <v>0</v>
      </c>
      <c r="AE83" s="2">
        <f>$Q$8*SUM(C$11:C$12)/(365/12)*MAX(节奏总纲!D79-$E$2,0)</f>
        <v>34983.904573369226</v>
      </c>
      <c r="AF83" s="2">
        <f>$Q$8*SUM(D$11:D$12)/(365/12)*MAX(节奏总纲!E79-$E$2,0)</f>
        <v>28135.742969709383</v>
      </c>
      <c r="AG83" s="2">
        <f>$Q$8*SUM(E$11:E$12)/(365/12)*MAX(节奏总纲!F79-$E$2,0)</f>
        <v>20125.069129401589</v>
      </c>
      <c r="AH83" s="2">
        <f>$Q$8*SUM(F$11:F$12)/(365/12)*MAX(节奏总纲!G79-$E$2,0)</f>
        <v>10530.535822569047</v>
      </c>
      <c r="AI83" s="2">
        <f>$Q$8*SUM(G$11:G$12)/(365/12)*MAX(节奏总纲!H79-$E$2,0)</f>
        <v>0</v>
      </c>
      <c r="AJ83" s="2">
        <f>$P$8*SUM(C$11:C$12)/(365/12)*MAX(节奏总纲!D79-$E$2,0)</f>
        <v>755652.33878477523</v>
      </c>
      <c r="AK83" s="2">
        <f>$P$8*SUM(D$11:D$12)/(365/12)*MAX(节奏总纲!E79-$E$2,0)</f>
        <v>607732.04814572271</v>
      </c>
      <c r="AL83" s="2">
        <f>$P$8*SUM(E$11:E$12)/(365/12)*MAX(节奏总纲!F79-$E$2,0)</f>
        <v>434701.49319507426</v>
      </c>
      <c r="AM83" s="2">
        <f>$P$8*SUM(F$11:F$12)/(365/12)*MAX(节奏总纲!G79-$E$2,0)</f>
        <v>227459.57376749144</v>
      </c>
      <c r="AN83" s="2">
        <f>$P$8*SUM(G$11:G$12)/(365/12)*MAX(节奏总纲!H79-$E$2,0)</f>
        <v>0</v>
      </c>
      <c r="BC83" s="2">
        <v>76</v>
      </c>
      <c r="BD83" s="2">
        <f>$AZ$8/(365/12)*MAX(节奏总纲!D79-$E$2,0)</f>
        <v>13118.964215013459</v>
      </c>
      <c r="BE83" s="2">
        <f>$AZ$8/(365/12)*MAX(节奏总纲!E79-$E$2,0)</f>
        <v>10550.90361364102</v>
      </c>
      <c r="BF83" s="2">
        <f>$AZ$8/(365/12)*MAX(节奏总纲!F79-$E$2,0)</f>
        <v>7546.9009235255953</v>
      </c>
      <c r="BG83" s="2">
        <f>$AZ$8/(365/12)*MAX(节奏总纲!G79-$E$2,0)</f>
        <v>3948.9509334633931</v>
      </c>
      <c r="BH83" s="2">
        <f>$AZ$8/(365/12)*MAX(节奏总纲!H79-$E$2,0)</f>
        <v>0</v>
      </c>
      <c r="BI83" s="2">
        <f>$AY$8/(365/12)*MAX(节奏总纲!D79-$E$2,0)</f>
        <v>314855.14116032305</v>
      </c>
      <c r="BJ83" s="2">
        <f>$AY$8/(365/12)*MAX(节奏总纲!E79-$E$2,0)</f>
        <v>253221.68672738448</v>
      </c>
      <c r="BK83" s="2">
        <f>$AY$8/(365/12)*MAX(节奏总纲!F79-$E$2,0)</f>
        <v>181125.62216461429</v>
      </c>
      <c r="BL83" s="2">
        <f>$AY$8/(365/12)*MAX(节奏总纲!G79-$E$2,0)</f>
        <v>94774.822403121434</v>
      </c>
      <c r="BM83" s="2">
        <f>$AY$8/(365/12)*MAX(节奏总纲!H79-$E$2,0)</f>
        <v>0</v>
      </c>
      <c r="CD83" s="2">
        <v>76</v>
      </c>
      <c r="CE83" s="2">
        <f>INDEX($BY$8:$BY$15,MATCH(CE$7,$CB$8:$CB$15,0))*SUM(C$11:C$12)/(365/12)*MAX(节奏总纲!D79-$E$2,0)</f>
        <v>3498.3904573369223</v>
      </c>
      <c r="CF83" s="2">
        <f>INDEX($BY$8:$BY$15,MATCH(CF$7,$CB$8:$CB$15,0))*SUM(D$11:D$12)/(365/12)*MAX(节奏总纲!E79-$E$2,0)</f>
        <v>3376.289156365126</v>
      </c>
      <c r="CG83" s="2">
        <f>INDEX($BY$8:$BY$15,MATCH(CG$7,$CB$8:$CB$15,0))*SUM(E$11:E$12)/(365/12)*MAX(节奏总纲!F79-$E$2,0)</f>
        <v>4025.0138258803177</v>
      </c>
      <c r="CH83" s="2">
        <f>INDEX($BY$8:$BY$15,MATCH(CH$7,$CB$8:$CB$15,0))*SUM(F$11:F$12)/(365/12)*MAX(节奏总纲!G79-$E$2,0)</f>
        <v>5265.2679112845235</v>
      </c>
      <c r="CI83" s="2">
        <f>INDEX($BY$8:$BY$15,MATCH(CI$7,$CB$8:$CB$15,0))*SUM(G$11:G$12)/(365/12)*MAX(节奏总纲!H79-$E$2,0)</f>
        <v>0</v>
      </c>
      <c r="CJ83" s="2">
        <f>INDEX($BZ$8:$BZ$15,MATCH(CE$7,$CB$8:$CB$15,0))*SUM(C$11:C$12)/(365/12)*MAX(节奏总纲!D79-$E$2,0)</f>
        <v>146932.39920815075</v>
      </c>
      <c r="CK83" s="2">
        <f>INDEX($BZ$8:$BZ$15,MATCH(CF$7,$CB$8:$CB$15,0))*SUM(D$11:D$12)/(365/12)*MAX(节奏总纲!E79-$E$2,0)</f>
        <v>135051.56625460504</v>
      </c>
      <c r="CL83" s="2">
        <f>INDEX($BZ$8:$BZ$15,MATCH(CG$7,$CB$8:$CB$15,0))*SUM(E$11:E$12)/(365/12)*MAX(节奏总纲!F79-$E$2,0)</f>
        <v>144900.49773169143</v>
      </c>
      <c r="CM83" s="2">
        <f>INDEX($BZ$8:$BZ$15,MATCH(CH$7,$CB$8:$CB$15,0))*SUM(F$11:F$12)/(365/12)*MAX(节奏总纲!G79-$E$2,0)</f>
        <v>75819.857922497147</v>
      </c>
      <c r="CN83" s="2">
        <f>INDEX($BZ$8:$BZ$15,MATCH(CI$7,$CB$8:$CB$15,0))*SUM(G$11:G$12)/(365/12)*MAX(节奏总纲!H79-$E$2,0)</f>
        <v>0</v>
      </c>
      <c r="CS83" s="2">
        <v>76</v>
      </c>
      <c r="CT83" s="2">
        <f t="shared" si="59"/>
        <v>51601.259245719608</v>
      </c>
      <c r="CU83" s="2">
        <f t="shared" si="60"/>
        <v>42062.935739715533</v>
      </c>
      <c r="CV83" s="2">
        <f t="shared" si="61"/>
        <v>31696.983878807499</v>
      </c>
      <c r="CW83" s="2">
        <f t="shared" si="62"/>
        <v>19744.754667316964</v>
      </c>
      <c r="CX83" s="2">
        <f t="shared" si="63"/>
        <v>0</v>
      </c>
      <c r="CZ83" s="41">
        <f t="shared" si="64"/>
        <v>0.67796610169491522</v>
      </c>
      <c r="DA83" s="41">
        <f t="shared" si="65"/>
        <v>0.25423728813559321</v>
      </c>
      <c r="DB83" s="41">
        <f t="shared" si="66"/>
        <v>6.7796610169491525E-2</v>
      </c>
      <c r="DD83" s="41">
        <f t="shared" si="67"/>
        <v>0.634920634920635</v>
      </c>
      <c r="DE83" s="41">
        <f t="shared" si="68"/>
        <v>0.23809523809523811</v>
      </c>
      <c r="DF83" s="41">
        <f t="shared" si="69"/>
        <v>0.126984126984127</v>
      </c>
      <c r="DH83" s="41" t="e">
        <f t="shared" si="70"/>
        <v>#DIV/0!</v>
      </c>
      <c r="DI83" s="41" t="e">
        <f t="shared" si="71"/>
        <v>#DIV/0!</v>
      </c>
      <c r="DJ83" s="41" t="e">
        <f t="shared" si="72"/>
        <v>#DIV/0!</v>
      </c>
      <c r="DL83" s="2">
        <f>CT83/节奏总纲!D79</f>
        <v>267.34780203234146</v>
      </c>
      <c r="DM83" s="2">
        <f>CU83/节奏总纲!E79</f>
        <v>251.91242376265248</v>
      </c>
      <c r="DN83" s="2">
        <f>CV83/节奏总纲!F79</f>
        <v>232.18309648474303</v>
      </c>
      <c r="DO83" s="2">
        <f>CW83/节奏总纲!G79</f>
        <v>197.37259493934548</v>
      </c>
      <c r="DP83" s="2">
        <f>CX83/节奏总纲!H79</f>
        <v>0</v>
      </c>
      <c r="DR83" s="2">
        <f t="shared" si="73"/>
        <v>0.94226480205802576</v>
      </c>
      <c r="DS83" s="2">
        <f t="shared" si="74"/>
        <v>0.86846831999260465</v>
      </c>
      <c r="DT83" s="2">
        <f t="shared" si="75"/>
        <v>0.73826152090627262</v>
      </c>
      <c r="DU83" s="2">
        <f t="shared" si="76"/>
        <v>0</v>
      </c>
      <c r="DY83" s="2">
        <v>76</v>
      </c>
      <c r="DZ83" s="2">
        <f t="shared" si="77"/>
        <v>1217439.8791532491</v>
      </c>
      <c r="EA83" s="2">
        <f t="shared" si="78"/>
        <v>996005.30112771224</v>
      </c>
      <c r="EB83" s="2">
        <f t="shared" si="79"/>
        <v>760727.61309137999</v>
      </c>
      <c r="EC83" s="2">
        <f t="shared" si="80"/>
        <v>398054.25409311004</v>
      </c>
      <c r="ED83" s="2">
        <f t="shared" si="81"/>
        <v>0</v>
      </c>
      <c r="EF83" s="57">
        <f t="shared" si="82"/>
        <v>0.6206896551724137</v>
      </c>
      <c r="EG83" s="57">
        <f t="shared" si="83"/>
        <v>0.25862068965517243</v>
      </c>
      <c r="EH83" s="41">
        <f t="shared" si="84"/>
        <v>0.12068965517241378</v>
      </c>
      <c r="EJ83" s="57">
        <f t="shared" si="85"/>
        <v>0.5714285714285714</v>
      </c>
      <c r="EK83" s="57">
        <f t="shared" si="86"/>
        <v>0.23809523809523811</v>
      </c>
      <c r="EL83" s="41">
        <f t="shared" si="87"/>
        <v>0.19047619047619049</v>
      </c>
      <c r="EN83" s="57" t="e">
        <f t="shared" si="88"/>
        <v>#DIV/0!</v>
      </c>
      <c r="EO83" s="57" t="e">
        <f t="shared" si="89"/>
        <v>#DIV/0!</v>
      </c>
      <c r="EP83" s="41" t="e">
        <f t="shared" si="90"/>
        <v>#DIV/0!</v>
      </c>
    </row>
    <row r="84" spans="20:146" x14ac:dyDescent="0.15">
      <c r="T84" s="2">
        <v>77</v>
      </c>
      <c r="U84" s="2">
        <f>$N$8*SUM(C$11:C$12)/(365/12)*MAX(节奏总纲!D80-$E$2,0)</f>
        <v>3091.7073737755263</v>
      </c>
      <c r="V84" s="2">
        <f>$N$8*SUM(D$11:D$12)/(365/12)*MAX(节奏总纲!E80-$E$2,0)</f>
        <v>2506.506505479822</v>
      </c>
      <c r="W84" s="2">
        <f>$N$8*SUM(E$11:E$12)/(365/12)*MAX(节奏总纲!F80-$E$2,0)</f>
        <v>1820.7242379457925</v>
      </c>
      <c r="X84" s="2">
        <f>$N$8*SUM(F$11:F$12)/(365/12)*MAX(节奏总纲!G80-$E$2,0)</f>
        <v>997.78551690495806</v>
      </c>
      <c r="Y84" s="2">
        <f>$N$8*SUM(G$11:G$12)/(365/12)*MAX(节奏总纲!H80-$E$2,0)</f>
        <v>0</v>
      </c>
      <c r="Z84" s="2">
        <f>$O$8*SUM(C$11:C$12)/(365/12)*MAX(节奏总纲!D80-$E$2,0)</f>
        <v>30917.073737755265</v>
      </c>
      <c r="AA84" s="2">
        <f>$O$8*SUM(D$11:D$12)/(365/12)*MAX(节奏总纲!E80-$E$2,0)</f>
        <v>25065.065054798219</v>
      </c>
      <c r="AB84" s="2">
        <f>$O$8*SUM(E$11:E$12)/(365/12)*MAX(节奏总纲!F80-$E$2,0)</f>
        <v>18207.242379457923</v>
      </c>
      <c r="AC84" s="2">
        <f>$O$8*SUM(F$11:F$12)/(365/12)*MAX(节奏总纲!G80-$E$2,0)</f>
        <v>9977.8551690495806</v>
      </c>
      <c r="AD84" s="2">
        <f>$O$8*SUM(G$11:G$12)/(365/12)*MAX(节奏总纲!H80-$E$2,0)</f>
        <v>0</v>
      </c>
      <c r="AE84" s="2">
        <f>$Q$8*SUM(C$11:C$12)/(365/12)*MAX(节奏总纲!D80-$E$2,0)</f>
        <v>38646.342172194076</v>
      </c>
      <c r="AF84" s="2">
        <f>$Q$8*SUM(D$11:D$12)/(365/12)*MAX(节奏总纲!E80-$E$2,0)</f>
        <v>31331.331318497771</v>
      </c>
      <c r="AG84" s="2">
        <f>$Q$8*SUM(E$11:E$12)/(365/12)*MAX(节奏总纲!F80-$E$2,0)</f>
        <v>22759.052974322403</v>
      </c>
      <c r="AH84" s="2">
        <f>$Q$8*SUM(F$11:F$12)/(365/12)*MAX(节奏总纲!G80-$E$2,0)</f>
        <v>12472.318961311976</v>
      </c>
      <c r="AI84" s="2">
        <f>$Q$8*SUM(G$11:G$12)/(365/12)*MAX(节奏总纲!H80-$E$2,0)</f>
        <v>0</v>
      </c>
      <c r="AJ84" s="2">
        <f>$P$8*SUM(C$11:C$12)/(365/12)*MAX(节奏总纲!D80-$E$2,0)</f>
        <v>834760.99091939209</v>
      </c>
      <c r="AK84" s="2">
        <f>$P$8*SUM(D$11:D$12)/(365/12)*MAX(节奏总纲!E80-$E$2,0)</f>
        <v>676756.7564795519</v>
      </c>
      <c r="AL84" s="2">
        <f>$P$8*SUM(E$11:E$12)/(365/12)*MAX(节奏总纲!F80-$E$2,0)</f>
        <v>491595.54424536397</v>
      </c>
      <c r="AM84" s="2">
        <f>$P$8*SUM(F$11:F$12)/(365/12)*MAX(节奏总纲!G80-$E$2,0)</f>
        <v>269402.08956433868</v>
      </c>
      <c r="AN84" s="2">
        <f>$P$8*SUM(G$11:G$12)/(365/12)*MAX(节奏总纲!H80-$E$2,0)</f>
        <v>0</v>
      </c>
      <c r="BC84" s="2">
        <v>77</v>
      </c>
      <c r="BD84" s="2">
        <f>$AZ$8/(365/12)*MAX(节奏总纲!D80-$E$2,0)</f>
        <v>14492.378314572781</v>
      </c>
      <c r="BE84" s="2">
        <f>$AZ$8/(365/12)*MAX(节奏总纲!E80-$E$2,0)</f>
        <v>11749.249244436665</v>
      </c>
      <c r="BF84" s="2">
        <f>$AZ$8/(365/12)*MAX(节奏总纲!F80-$E$2,0)</f>
        <v>8534.6448653709031</v>
      </c>
      <c r="BG84" s="2">
        <f>$AZ$8/(365/12)*MAX(节奏总纲!G80-$E$2,0)</f>
        <v>4677.1196104919909</v>
      </c>
      <c r="BH84" s="2">
        <f>$AZ$8/(365/12)*MAX(节奏总纲!H80-$E$2,0)</f>
        <v>0</v>
      </c>
      <c r="BI84" s="2">
        <f>$AY$8/(365/12)*MAX(节奏总纲!D80-$E$2,0)</f>
        <v>347817.07954974676</v>
      </c>
      <c r="BJ84" s="2">
        <f>$AY$8/(365/12)*MAX(节奏总纲!E80-$E$2,0)</f>
        <v>281981.98186647997</v>
      </c>
      <c r="BK84" s="2">
        <f>$AY$8/(365/12)*MAX(节奏总纲!F80-$E$2,0)</f>
        <v>204831.47676890166</v>
      </c>
      <c r="BL84" s="2">
        <f>$AY$8/(365/12)*MAX(节奏总纲!G80-$E$2,0)</f>
        <v>112250.8706518078</v>
      </c>
      <c r="BM84" s="2">
        <f>$AY$8/(365/12)*MAX(节奏总纲!H80-$E$2,0)</f>
        <v>0</v>
      </c>
      <c r="CD84" s="2">
        <v>77</v>
      </c>
      <c r="CE84" s="2">
        <f>INDEX($BY$8:$BY$15,MATCH(CE$7,$CB$8:$CB$15,0))*SUM(C$11:C$12)/(365/12)*MAX(节奏总纲!D80-$E$2,0)</f>
        <v>3864.6342172194081</v>
      </c>
      <c r="CF84" s="2">
        <f>INDEX($BY$8:$BY$15,MATCH(CF$7,$CB$8:$CB$15,0))*SUM(D$11:D$12)/(365/12)*MAX(节奏总纲!E80-$E$2,0)</f>
        <v>3759.7597582197327</v>
      </c>
      <c r="CG84" s="2">
        <f>INDEX($BY$8:$BY$15,MATCH(CG$7,$CB$8:$CB$15,0))*SUM(E$11:E$12)/(365/12)*MAX(节奏总纲!F80-$E$2,0)</f>
        <v>4551.8105948644807</v>
      </c>
      <c r="CH84" s="2">
        <f>INDEX($BY$8:$BY$15,MATCH(CH$7,$CB$8:$CB$15,0))*SUM(F$11:F$12)/(365/12)*MAX(节奏总纲!G80-$E$2,0)</f>
        <v>6236.1594806559879</v>
      </c>
      <c r="CI84" s="2">
        <f>INDEX($BY$8:$BY$15,MATCH(CI$7,$CB$8:$CB$15,0))*SUM(G$11:G$12)/(365/12)*MAX(节奏总纲!H80-$E$2,0)</f>
        <v>0</v>
      </c>
      <c r="CJ84" s="2">
        <f>INDEX($BZ$8:$BZ$15,MATCH(CE$7,$CB$8:$CB$15,0))*SUM(C$11:C$12)/(365/12)*MAX(节奏总纲!D80-$E$2,0)</f>
        <v>162314.63712321516</v>
      </c>
      <c r="CK84" s="2">
        <f>INDEX($BZ$8:$BZ$15,MATCH(CF$7,$CB$8:$CB$15,0))*SUM(D$11:D$12)/(365/12)*MAX(节奏总纲!E80-$E$2,0)</f>
        <v>150390.39032878933</v>
      </c>
      <c r="CL84" s="2">
        <f>INDEX($BZ$8:$BZ$15,MATCH(CG$7,$CB$8:$CB$15,0))*SUM(E$11:E$12)/(365/12)*MAX(节奏总纲!F80-$E$2,0)</f>
        <v>163865.1814151213</v>
      </c>
      <c r="CM84" s="2">
        <f>INDEX($BZ$8:$BZ$15,MATCH(CH$7,$CB$8:$CB$15,0))*SUM(F$11:F$12)/(365/12)*MAX(节奏总纲!G80-$E$2,0)</f>
        <v>89800.696521446225</v>
      </c>
      <c r="CN84" s="2">
        <f>INDEX($BZ$8:$BZ$15,MATCH(CI$7,$CB$8:$CB$15,0))*SUM(G$11:G$12)/(365/12)*MAX(节奏总纲!H80-$E$2,0)</f>
        <v>0</v>
      </c>
      <c r="CS84" s="2">
        <v>77</v>
      </c>
      <c r="CT84" s="2">
        <f t="shared" si="59"/>
        <v>57003.354703986261</v>
      </c>
      <c r="CU84" s="2">
        <f t="shared" si="60"/>
        <v>46840.340321154174</v>
      </c>
      <c r="CV84" s="2">
        <f t="shared" si="61"/>
        <v>35845.508434557785</v>
      </c>
      <c r="CW84" s="2">
        <f t="shared" si="62"/>
        <v>23385.598052459954</v>
      </c>
      <c r="CX84" s="2">
        <f t="shared" si="63"/>
        <v>0</v>
      </c>
      <c r="CZ84" s="41">
        <f t="shared" si="64"/>
        <v>0.67796610169491522</v>
      </c>
      <c r="DA84" s="41">
        <f t="shared" si="65"/>
        <v>0.25423728813559326</v>
      </c>
      <c r="DB84" s="41">
        <f t="shared" si="66"/>
        <v>6.7796610169491539E-2</v>
      </c>
      <c r="DD84" s="41">
        <f t="shared" si="67"/>
        <v>0.63492063492063489</v>
      </c>
      <c r="DE84" s="41">
        <f t="shared" si="68"/>
        <v>0.23809523809523814</v>
      </c>
      <c r="DF84" s="41">
        <f t="shared" si="69"/>
        <v>0.12698412698412698</v>
      </c>
      <c r="DH84" s="41" t="e">
        <f t="shared" si="70"/>
        <v>#DIV/0!</v>
      </c>
      <c r="DI84" s="41" t="e">
        <f t="shared" si="71"/>
        <v>#DIV/0!</v>
      </c>
      <c r="DJ84" s="41" t="e">
        <f t="shared" si="72"/>
        <v>#DIV/0!</v>
      </c>
      <c r="DL84" s="2">
        <f>CT84/节奏总纲!D80</f>
        <v>275.46287604161682</v>
      </c>
      <c r="DM84" s="2">
        <f>CU84/节奏总纲!E80</f>
        <v>261.49624474109618</v>
      </c>
      <c r="DN84" s="2">
        <f>CV84/节奏总纲!F80</f>
        <v>244.62611202134102</v>
      </c>
      <c r="DO84" s="2">
        <f>CW84/节奏总纲!G80</f>
        <v>217.70084482892915</v>
      </c>
      <c r="DP84" s="2">
        <f>CX84/节奏总纲!H80</f>
        <v>0</v>
      </c>
      <c r="DR84" s="2">
        <f t="shared" si="73"/>
        <v>0.94929759138066006</v>
      </c>
      <c r="DS84" s="2">
        <f t="shared" si="74"/>
        <v>0.88805473730835149</v>
      </c>
      <c r="DT84" s="2">
        <f t="shared" si="75"/>
        <v>0.79030919867415816</v>
      </c>
      <c r="DU84" s="2">
        <f t="shared" si="76"/>
        <v>0</v>
      </c>
      <c r="DY84" s="2">
        <v>77</v>
      </c>
      <c r="DZ84" s="2">
        <f t="shared" si="77"/>
        <v>1344892.7075923542</v>
      </c>
      <c r="EA84" s="2">
        <f t="shared" si="78"/>
        <v>1109129.1286748212</v>
      </c>
      <c r="EB84" s="2">
        <f t="shared" si="79"/>
        <v>860292.2024293869</v>
      </c>
      <c r="EC84" s="2">
        <f t="shared" si="80"/>
        <v>471453.65673759271</v>
      </c>
      <c r="ED84" s="2">
        <f t="shared" si="81"/>
        <v>0</v>
      </c>
      <c r="EF84" s="57">
        <f t="shared" si="82"/>
        <v>0.6206896551724137</v>
      </c>
      <c r="EG84" s="57">
        <f t="shared" si="83"/>
        <v>0.25862068965517243</v>
      </c>
      <c r="EH84" s="41">
        <f t="shared" si="84"/>
        <v>0.1206896551724138</v>
      </c>
      <c r="EJ84" s="57">
        <f t="shared" si="85"/>
        <v>0.57142857142857151</v>
      </c>
      <c r="EK84" s="57">
        <f t="shared" si="86"/>
        <v>0.23809523809523811</v>
      </c>
      <c r="EL84" s="41">
        <f t="shared" si="87"/>
        <v>0.19047619047619047</v>
      </c>
      <c r="EN84" s="57" t="e">
        <f t="shared" si="88"/>
        <v>#DIV/0!</v>
      </c>
      <c r="EO84" s="57" t="e">
        <f t="shared" si="89"/>
        <v>#DIV/0!</v>
      </c>
      <c r="EP84" s="41" t="e">
        <f t="shared" si="90"/>
        <v>#DIV/0!</v>
      </c>
    </row>
    <row r="85" spans="20:146" x14ac:dyDescent="0.15">
      <c r="T85" s="2">
        <v>78</v>
      </c>
      <c r="U85" s="2">
        <f>$N$8*SUM(C$11:C$12)/(365/12)*MAX(节奏总纲!D81-$E$2,0)</f>
        <v>3405.7316479047763</v>
      </c>
      <c r="V85" s="2">
        <f>$N$8*SUM(D$11:D$12)/(365/12)*MAX(节奏总纲!E81-$E$2,0)</f>
        <v>2778.3259171661011</v>
      </c>
      <c r="W85" s="2">
        <f>$N$8*SUM(E$11:E$12)/(365/12)*MAX(节奏总纲!F81-$E$2,0)</f>
        <v>2045.8857448975123</v>
      </c>
      <c r="X85" s="2">
        <f>$N$8*SUM(F$11:F$12)/(365/12)*MAX(节奏总纲!G81-$E$2,0)</f>
        <v>1160.7955176054516</v>
      </c>
      <c r="Y85" s="2">
        <f>$N$8*SUM(G$11:G$12)/(365/12)*MAX(节奏总纲!H81-$E$2,0)</f>
        <v>76.840081016757026</v>
      </c>
      <c r="Z85" s="2">
        <f>$O$8*SUM(C$11:C$12)/(365/12)*MAX(节奏总纲!D81-$E$2,0)</f>
        <v>34057.316479047768</v>
      </c>
      <c r="AA85" s="2">
        <f>$O$8*SUM(D$11:D$12)/(365/12)*MAX(节奏总纲!E81-$E$2,0)</f>
        <v>27783.259171661011</v>
      </c>
      <c r="AB85" s="2">
        <f>$O$8*SUM(E$11:E$12)/(365/12)*MAX(节奏总纲!F81-$E$2,0)</f>
        <v>20458.857448975123</v>
      </c>
      <c r="AC85" s="2">
        <f>$O$8*SUM(F$11:F$12)/(365/12)*MAX(节奏总纲!G81-$E$2,0)</f>
        <v>11607.955176054516</v>
      </c>
      <c r="AD85" s="2">
        <f>$O$8*SUM(G$11:G$12)/(365/12)*MAX(节奏总纲!H81-$E$2,0)</f>
        <v>768.40081016757028</v>
      </c>
      <c r="AE85" s="2">
        <f>$Q$8*SUM(C$11:C$12)/(365/12)*MAX(节奏总纲!D81-$E$2,0)</f>
        <v>42571.645598809708</v>
      </c>
      <c r="AF85" s="2">
        <f>$Q$8*SUM(D$11:D$12)/(365/12)*MAX(节奏总纲!E81-$E$2,0)</f>
        <v>34729.073964576259</v>
      </c>
      <c r="AG85" s="2">
        <f>$Q$8*SUM(E$11:E$12)/(365/12)*MAX(节奏总纲!F81-$E$2,0)</f>
        <v>25573.571811218902</v>
      </c>
      <c r="AH85" s="2">
        <f>$Q$8*SUM(F$11:F$12)/(365/12)*MAX(节奏总纲!G81-$E$2,0)</f>
        <v>14509.943970068145</v>
      </c>
      <c r="AI85" s="2">
        <f>$Q$8*SUM(G$11:G$12)/(365/12)*MAX(节奏总纲!H81-$E$2,0)</f>
        <v>960.50101270946288</v>
      </c>
      <c r="AJ85" s="2">
        <f>$P$8*SUM(C$11:C$12)/(365/12)*MAX(节奏总纲!D81-$E$2,0)</f>
        <v>919547.54493428965</v>
      </c>
      <c r="AK85" s="2">
        <f>$P$8*SUM(D$11:D$12)/(365/12)*MAX(节奏总纲!E81-$E$2,0)</f>
        <v>750147.9976348473</v>
      </c>
      <c r="AL85" s="2">
        <f>$P$8*SUM(E$11:E$12)/(365/12)*MAX(节奏总纲!F81-$E$2,0)</f>
        <v>552389.15112232824</v>
      </c>
      <c r="AM85" s="2">
        <f>$P$8*SUM(F$11:F$12)/(365/12)*MAX(节奏总纲!G81-$E$2,0)</f>
        <v>313414.78975347191</v>
      </c>
      <c r="AN85" s="2">
        <f>$P$8*SUM(G$11:G$12)/(365/12)*MAX(节奏总纲!H81-$E$2,0)</f>
        <v>20746.821874524398</v>
      </c>
      <c r="BC85" s="2">
        <v>78</v>
      </c>
      <c r="BD85" s="2">
        <f>$AZ$8/(365/12)*MAX(节奏总纲!D81-$E$2,0)</f>
        <v>15964.367099553639</v>
      </c>
      <c r="BE85" s="2">
        <f>$AZ$8/(365/12)*MAX(节奏总纲!E81-$E$2,0)</f>
        <v>13023.402736716098</v>
      </c>
      <c r="BF85" s="2">
        <f>$AZ$8/(365/12)*MAX(节奏总纲!F81-$E$2,0)</f>
        <v>9590.089429207088</v>
      </c>
      <c r="BG85" s="2">
        <f>$AZ$8/(365/12)*MAX(节奏总纲!G81-$E$2,0)</f>
        <v>5441.2289887755551</v>
      </c>
      <c r="BH85" s="2">
        <f>$AZ$8/(365/12)*MAX(节奏总纲!H81-$E$2,0)</f>
        <v>360.18787976604858</v>
      </c>
      <c r="BI85" s="2">
        <f>$AY$8/(365/12)*MAX(节奏总纲!D81-$E$2,0)</f>
        <v>383144.81038928736</v>
      </c>
      <c r="BJ85" s="2">
        <f>$AY$8/(365/12)*MAX(节奏总纲!E81-$E$2,0)</f>
        <v>312561.66568118636</v>
      </c>
      <c r="BK85" s="2">
        <f>$AY$8/(365/12)*MAX(节奏总纲!F81-$E$2,0)</f>
        <v>230162.14630097014</v>
      </c>
      <c r="BL85" s="2">
        <f>$AY$8/(365/12)*MAX(节奏总纲!G81-$E$2,0)</f>
        <v>130589.49573061331</v>
      </c>
      <c r="BM85" s="2">
        <f>$AY$8/(365/12)*MAX(节奏总纲!H81-$E$2,0)</f>
        <v>8644.509114385166</v>
      </c>
      <c r="CD85" s="2">
        <v>78</v>
      </c>
      <c r="CE85" s="2">
        <f>INDEX($BY$8:$BY$15,MATCH(CE$7,$CB$8:$CB$15,0))*SUM(C$11:C$12)/(365/12)*MAX(节奏总纲!D81-$E$2,0)</f>
        <v>4257.164559880971</v>
      </c>
      <c r="CF85" s="2">
        <f>INDEX($BY$8:$BY$15,MATCH(CF$7,$CB$8:$CB$15,0))*SUM(D$11:D$12)/(365/12)*MAX(节奏总纲!E81-$E$2,0)</f>
        <v>4167.4888757491517</v>
      </c>
      <c r="CG85" s="2">
        <f>INDEX($BY$8:$BY$15,MATCH(CG$7,$CB$8:$CB$15,0))*SUM(E$11:E$12)/(365/12)*MAX(节奏总纲!F81-$E$2,0)</f>
        <v>5114.7143622437807</v>
      </c>
      <c r="CH85" s="2">
        <f>INDEX($BY$8:$BY$15,MATCH(CH$7,$CB$8:$CB$15,0))*SUM(F$11:F$12)/(365/12)*MAX(节奏总纲!G81-$E$2,0)</f>
        <v>7254.9719850340725</v>
      </c>
      <c r="CI85" s="2">
        <f>INDEX($BY$8:$BY$15,MATCH(CI$7,$CB$8:$CB$15,0))*SUM(G$11:G$12)/(365/12)*MAX(节奏总纲!H81-$E$2,0)</f>
        <v>768.40081016757028</v>
      </c>
      <c r="CJ85" s="2">
        <f>INDEX($BZ$8:$BZ$15,MATCH(CE$7,$CB$8:$CB$15,0))*SUM(C$11:C$12)/(365/12)*MAX(节奏总纲!D81-$E$2,0)</f>
        <v>178800.91151500077</v>
      </c>
      <c r="CK85" s="2">
        <f>INDEX($BZ$8:$BZ$15,MATCH(CF$7,$CB$8:$CB$15,0))*SUM(D$11:D$12)/(365/12)*MAX(节奏总纲!E81-$E$2,0)</f>
        <v>166699.55502996608</v>
      </c>
      <c r="CL85" s="2">
        <f>INDEX($BZ$8:$BZ$15,MATCH(CG$7,$CB$8:$CB$15,0))*SUM(E$11:E$12)/(365/12)*MAX(节奏总纲!F81-$E$2,0)</f>
        <v>184129.7170407761</v>
      </c>
      <c r="CM85" s="2">
        <f>INDEX($BZ$8:$BZ$15,MATCH(CH$7,$CB$8:$CB$15,0))*SUM(F$11:F$12)/(365/12)*MAX(节奏总纲!G81-$E$2,0)</f>
        <v>104471.59658449065</v>
      </c>
      <c r="CN85" s="2">
        <f>INDEX($BZ$8:$BZ$15,MATCH(CI$7,$CB$8:$CB$15,0))*SUM(G$11:G$12)/(365/12)*MAX(节奏总纲!H81-$E$2,0)</f>
        <v>6915.6072915081331</v>
      </c>
      <c r="CS85" s="2">
        <v>78</v>
      </c>
      <c r="CT85" s="2">
        <f t="shared" si="59"/>
        <v>62793.177258244315</v>
      </c>
      <c r="CU85" s="2">
        <f t="shared" si="60"/>
        <v>51919.965577041505</v>
      </c>
      <c r="CV85" s="2">
        <f t="shared" si="61"/>
        <v>40278.375602669774</v>
      </c>
      <c r="CW85" s="2">
        <f t="shared" si="62"/>
        <v>27206.144943877774</v>
      </c>
      <c r="CX85" s="2">
        <f t="shared" si="63"/>
        <v>2089.0897026430816</v>
      </c>
      <c r="CZ85" s="41">
        <f t="shared" si="64"/>
        <v>0.67796610169491534</v>
      </c>
      <c r="DA85" s="41">
        <f t="shared" si="65"/>
        <v>0.25423728813559321</v>
      </c>
      <c r="DB85" s="41">
        <f t="shared" si="66"/>
        <v>6.7796610169491525E-2</v>
      </c>
      <c r="DD85" s="41">
        <f t="shared" si="67"/>
        <v>0.63492063492063489</v>
      </c>
      <c r="DE85" s="41">
        <f t="shared" si="68"/>
        <v>0.23809523809523808</v>
      </c>
      <c r="DF85" s="41">
        <f t="shared" si="69"/>
        <v>0.12698412698412698</v>
      </c>
      <c r="DH85" s="41">
        <f t="shared" si="70"/>
        <v>0.45977011494252878</v>
      </c>
      <c r="DI85" s="41">
        <f t="shared" si="71"/>
        <v>0.17241379310344829</v>
      </c>
      <c r="DJ85" s="41">
        <f t="shared" si="72"/>
        <v>0.36781609195402298</v>
      </c>
      <c r="DL85" s="2">
        <f>CT85/节奏总纲!D81</f>
        <v>283.02943306939471</v>
      </c>
      <c r="DM85" s="2">
        <f>CU85/节奏总纲!E81</f>
        <v>270.35617358953107</v>
      </c>
      <c r="DN85" s="2">
        <f>CV85/节奏总纲!F81</f>
        <v>256.1702297339246</v>
      </c>
      <c r="DO85" s="2">
        <f>CW85/节奏总纲!G81</f>
        <v>236.23003900409336</v>
      </c>
      <c r="DP85" s="2">
        <f>CX85/节奏总纲!H81</f>
        <v>32.820537047325168</v>
      </c>
      <c r="DR85" s="2">
        <f t="shared" si="73"/>
        <v>0.95522282137788705</v>
      </c>
      <c r="DS85" s="2">
        <f t="shared" si="74"/>
        <v>0.9051010241437164</v>
      </c>
      <c r="DT85" s="2">
        <f t="shared" si="75"/>
        <v>0.83464831357724256</v>
      </c>
      <c r="DU85" s="2">
        <f t="shared" si="76"/>
        <v>0.11596156870115359</v>
      </c>
      <c r="DY85" s="2">
        <v>78</v>
      </c>
      <c r="DZ85" s="2">
        <f t="shared" si="77"/>
        <v>1481493.2668385778</v>
      </c>
      <c r="EA85" s="2">
        <f t="shared" si="78"/>
        <v>1229409.218346</v>
      </c>
      <c r="EB85" s="2">
        <f t="shared" si="79"/>
        <v>966681.01446407451</v>
      </c>
      <c r="EC85" s="2">
        <f t="shared" si="80"/>
        <v>548475.88206857583</v>
      </c>
      <c r="ED85" s="2">
        <f t="shared" si="81"/>
        <v>36306.938280417693</v>
      </c>
      <c r="EF85" s="57">
        <f t="shared" si="82"/>
        <v>0.62068965517241381</v>
      </c>
      <c r="EG85" s="57">
        <f t="shared" si="83"/>
        <v>0.25862068965517243</v>
      </c>
      <c r="EH85" s="41">
        <f t="shared" si="84"/>
        <v>0.1206896551724138</v>
      </c>
      <c r="EJ85" s="57">
        <f t="shared" si="85"/>
        <v>0.5714285714285714</v>
      </c>
      <c r="EK85" s="57">
        <f t="shared" si="86"/>
        <v>0.23809523809523811</v>
      </c>
      <c r="EL85" s="41">
        <f t="shared" si="87"/>
        <v>0.19047619047619047</v>
      </c>
      <c r="EN85" s="57">
        <f t="shared" si="88"/>
        <v>0.57142857142857151</v>
      </c>
      <c r="EO85" s="57">
        <f t="shared" si="89"/>
        <v>0.23809523809523811</v>
      </c>
      <c r="EP85" s="41">
        <f t="shared" si="90"/>
        <v>0.19047619047619049</v>
      </c>
    </row>
    <row r="86" spans="20:146" x14ac:dyDescent="0.15">
      <c r="T86" s="2">
        <v>79</v>
      </c>
      <c r="U86" s="2">
        <f>$N$8*SUM(C$11:C$12)/(365/12)*MAX(节奏总纲!D82-$E$2,0)</f>
        <v>3742.2945315087281</v>
      </c>
      <c r="V86" s="2">
        <f>$N$8*SUM(D$11:D$12)/(365/12)*MAX(节奏总纲!E82-$E$2,0)</f>
        <v>3073.6585574416276</v>
      </c>
      <c r="W86" s="2">
        <f>$N$8*SUM(E$11:E$12)/(365/12)*MAX(节奏总纲!F82-$E$2,0)</f>
        <v>2287.9111927070867</v>
      </c>
      <c r="X86" s="2">
        <f>$N$8*SUM(F$11:F$12)/(365/12)*MAX(节奏总纲!G82-$E$2,0)</f>
        <v>1327.9981700568626</v>
      </c>
      <c r="Y86" s="2">
        <f>$N$8*SUM(G$11:G$12)/(365/12)*MAX(节奏总纲!H82-$E$2,0)</f>
        <v>170.89759218026401</v>
      </c>
      <c r="Z86" s="2">
        <f>$O$8*SUM(C$11:C$12)/(365/12)*MAX(节奏总纲!D82-$E$2,0)</f>
        <v>37422.94531508728</v>
      </c>
      <c r="AA86" s="2">
        <f>$O$8*SUM(D$11:D$12)/(365/12)*MAX(节奏总纲!E82-$E$2,0)</f>
        <v>30736.585574416273</v>
      </c>
      <c r="AB86" s="2">
        <f>$O$8*SUM(E$11:E$12)/(365/12)*MAX(节奏总纲!F82-$E$2,0)</f>
        <v>22879.111927070866</v>
      </c>
      <c r="AC86" s="2">
        <f>$O$8*SUM(F$11:F$12)/(365/12)*MAX(节奏总纲!G82-$E$2,0)</f>
        <v>13279.981700568627</v>
      </c>
      <c r="AD86" s="2">
        <f>$O$8*SUM(G$11:G$12)/(365/12)*MAX(节奏总纲!H82-$E$2,0)</f>
        <v>1708.97592180264</v>
      </c>
      <c r="AE86" s="2">
        <f>$Q$8*SUM(C$11:C$12)/(365/12)*MAX(节奏总纲!D82-$E$2,0)</f>
        <v>46778.681643859098</v>
      </c>
      <c r="AF86" s="2">
        <f>$Q$8*SUM(D$11:D$12)/(365/12)*MAX(节奏总纲!E82-$E$2,0)</f>
        <v>38420.731968020344</v>
      </c>
      <c r="AG86" s="2">
        <f>$Q$8*SUM(E$11:E$12)/(365/12)*MAX(节奏总纲!F82-$E$2,0)</f>
        <v>28598.889908838581</v>
      </c>
      <c r="AH86" s="2">
        <f>$Q$8*SUM(F$11:F$12)/(365/12)*MAX(节奏总纲!G82-$E$2,0)</f>
        <v>16599.977125710782</v>
      </c>
      <c r="AI86" s="2">
        <f>$Q$8*SUM(G$11:G$12)/(365/12)*MAX(节奏总纲!H82-$E$2,0)</f>
        <v>2136.2199022533</v>
      </c>
      <c r="AJ86" s="2">
        <f>$P$8*SUM(C$11:C$12)/(365/12)*MAX(节奏总纲!D82-$E$2,0)</f>
        <v>1010419.5235073566</v>
      </c>
      <c r="AK86" s="2">
        <f>$P$8*SUM(D$11:D$12)/(365/12)*MAX(节奏总纲!E82-$E$2,0)</f>
        <v>829887.81050923932</v>
      </c>
      <c r="AL86" s="2">
        <f>$P$8*SUM(E$11:E$12)/(365/12)*MAX(节奏总纲!F82-$E$2,0)</f>
        <v>617736.02203091339</v>
      </c>
      <c r="AM86" s="2">
        <f>$P$8*SUM(F$11:F$12)/(365/12)*MAX(节奏总纲!G82-$E$2,0)</f>
        <v>358559.5059153529</v>
      </c>
      <c r="AN86" s="2">
        <f>$P$8*SUM(G$11:G$12)/(365/12)*MAX(节奏总纲!H82-$E$2,0)</f>
        <v>46142.349888671277</v>
      </c>
      <c r="BC86" s="2">
        <v>79</v>
      </c>
      <c r="BD86" s="2">
        <f>$AZ$8/(365/12)*MAX(节奏总纲!D82-$E$2,0)</f>
        <v>17542.005616447164</v>
      </c>
      <c r="BE86" s="2">
        <f>$AZ$8/(365/12)*MAX(节奏总纲!E82-$E$2,0)</f>
        <v>14407.774488007628</v>
      </c>
      <c r="BF86" s="2">
        <f>$AZ$8/(365/12)*MAX(节奏总纲!F82-$E$2,0)</f>
        <v>10724.583715814468</v>
      </c>
      <c r="BG86" s="2">
        <f>$AZ$8/(365/12)*MAX(节奏总纲!G82-$E$2,0)</f>
        <v>6224.9914221415438</v>
      </c>
      <c r="BH86" s="2">
        <f>$AZ$8/(365/12)*MAX(节奏总纲!H82-$E$2,0)</f>
        <v>801.08246334498756</v>
      </c>
      <c r="BI86" s="2">
        <f>$AY$8/(365/12)*MAX(节奏总纲!D82-$E$2,0)</f>
        <v>421008.13479473197</v>
      </c>
      <c r="BJ86" s="2">
        <f>$AY$8/(365/12)*MAX(节奏总纲!E82-$E$2,0)</f>
        <v>345786.58771218313</v>
      </c>
      <c r="BK86" s="2">
        <f>$AY$8/(365/12)*MAX(节奏总纲!F82-$E$2,0)</f>
        <v>257390.00917954725</v>
      </c>
      <c r="BL86" s="2">
        <f>$AY$8/(365/12)*MAX(节奏总纲!G82-$E$2,0)</f>
        <v>149399.79413139707</v>
      </c>
      <c r="BM86" s="2">
        <f>$AY$8/(365/12)*MAX(节奏总纲!H82-$E$2,0)</f>
        <v>19225.979120279702</v>
      </c>
      <c r="CD86" s="2">
        <v>79</v>
      </c>
      <c r="CE86" s="2">
        <f>INDEX($BY$8:$BY$15,MATCH(CE$7,$CB$8:$CB$15,0))*SUM(C$11:C$12)/(365/12)*MAX(节奏总纲!D82-$E$2,0)</f>
        <v>4677.8681643859099</v>
      </c>
      <c r="CF86" s="2">
        <f>INDEX($BY$8:$BY$15,MATCH(CF$7,$CB$8:$CB$15,0))*SUM(D$11:D$12)/(365/12)*MAX(节奏总纲!E82-$E$2,0)</f>
        <v>4610.4878361624415</v>
      </c>
      <c r="CG86" s="2">
        <f>INDEX($BY$8:$BY$15,MATCH(CG$7,$CB$8:$CB$15,0))*SUM(E$11:E$12)/(365/12)*MAX(节奏总纲!F82-$E$2,0)</f>
        <v>5719.7779817677165</v>
      </c>
      <c r="CH86" s="2">
        <f>INDEX($BY$8:$BY$15,MATCH(CH$7,$CB$8:$CB$15,0))*SUM(F$11:F$12)/(365/12)*MAX(节奏总纲!G82-$E$2,0)</f>
        <v>8299.9885628553911</v>
      </c>
      <c r="CI86" s="2">
        <f>INDEX($BY$8:$BY$15,MATCH(CI$7,$CB$8:$CB$15,0))*SUM(G$11:G$12)/(365/12)*MAX(节奏总纲!H82-$E$2,0)</f>
        <v>1708.97592180264</v>
      </c>
      <c r="CJ86" s="2">
        <f>INDEX($BZ$8:$BZ$15,MATCH(CE$7,$CB$8:$CB$15,0))*SUM(C$11:C$12)/(365/12)*MAX(节奏总纲!D82-$E$2,0)</f>
        <v>196470.46290420825</v>
      </c>
      <c r="CK86" s="2">
        <f>INDEX($BZ$8:$BZ$15,MATCH(CF$7,$CB$8:$CB$15,0))*SUM(D$11:D$12)/(365/12)*MAX(节奏总纲!E82-$E$2,0)</f>
        <v>184419.51344649767</v>
      </c>
      <c r="CL86" s="2">
        <f>INDEX($BZ$8:$BZ$15,MATCH(CG$7,$CB$8:$CB$15,0))*SUM(E$11:E$12)/(365/12)*MAX(节奏总纲!F82-$E$2,0)</f>
        <v>205912.00734363779</v>
      </c>
      <c r="CM86" s="2">
        <f>INDEX($BZ$8:$BZ$15,MATCH(CH$7,$CB$8:$CB$15,0))*SUM(F$11:F$12)/(365/12)*MAX(节奏总纲!G82-$E$2,0)</f>
        <v>119519.83530511764</v>
      </c>
      <c r="CN86" s="2">
        <f>INDEX($BZ$8:$BZ$15,MATCH(CI$7,$CB$8:$CB$15,0))*SUM(G$11:G$12)/(365/12)*MAX(节奏总纲!H82-$E$2,0)</f>
        <v>15380.783296223761</v>
      </c>
      <c r="CS86" s="2">
        <v>79</v>
      </c>
      <c r="CT86" s="2">
        <f t="shared" si="59"/>
        <v>68998.555424692182</v>
      </c>
      <c r="CU86" s="2">
        <f t="shared" si="60"/>
        <v>57438.994292190415</v>
      </c>
      <c r="CV86" s="2">
        <f t="shared" si="61"/>
        <v>45043.251606420767</v>
      </c>
      <c r="CW86" s="2">
        <f t="shared" si="62"/>
        <v>31124.957110707714</v>
      </c>
      <c r="CX86" s="2">
        <f t="shared" si="63"/>
        <v>4646.2782874009272</v>
      </c>
      <c r="CZ86" s="41">
        <f t="shared" si="64"/>
        <v>0.67796610169491511</v>
      </c>
      <c r="DA86" s="41">
        <f t="shared" si="65"/>
        <v>0.25423728813559321</v>
      </c>
      <c r="DB86" s="41">
        <f t="shared" si="66"/>
        <v>6.7796610169491511E-2</v>
      </c>
      <c r="DD86" s="41">
        <f t="shared" si="67"/>
        <v>0.63492063492063489</v>
      </c>
      <c r="DE86" s="41">
        <f t="shared" si="68"/>
        <v>0.23809523809523808</v>
      </c>
      <c r="DF86" s="41">
        <f t="shared" si="69"/>
        <v>0.12698412698412698</v>
      </c>
      <c r="DH86" s="41">
        <f t="shared" si="70"/>
        <v>0.45977011494252878</v>
      </c>
      <c r="DI86" s="41">
        <f t="shared" si="71"/>
        <v>0.17241379310344829</v>
      </c>
      <c r="DJ86" s="41">
        <f t="shared" si="72"/>
        <v>0.36781609195402298</v>
      </c>
      <c r="DL86" s="2">
        <f>CT86/节奏总纲!D82</f>
        <v>290.08486687392008</v>
      </c>
      <c r="DM86" s="2">
        <f>CU86/节奏总纲!E82</f>
        <v>278.72341752796575</v>
      </c>
      <c r="DN86" s="2">
        <f>CV86/节奏总纲!F82</f>
        <v>266.94612731169934</v>
      </c>
      <c r="DO86" s="2">
        <f>CW86/节奏总纲!G82</f>
        <v>252.81309699582903</v>
      </c>
      <c r="DP86" s="2">
        <f>CX86/节奏总纲!H82</f>
        <v>68.205167432601357</v>
      </c>
      <c r="DR86" s="2">
        <f t="shared" si="73"/>
        <v>0.96083405015783752</v>
      </c>
      <c r="DS86" s="2">
        <f t="shared" si="74"/>
        <v>0.92023458579010409</v>
      </c>
      <c r="DT86" s="2">
        <f t="shared" si="75"/>
        <v>0.87151425622526346</v>
      </c>
      <c r="DU86" s="2">
        <f t="shared" si="76"/>
        <v>0.23512142555938792</v>
      </c>
      <c r="DY86" s="2">
        <v>79</v>
      </c>
      <c r="DZ86" s="2">
        <f t="shared" si="77"/>
        <v>1627898.1212062971</v>
      </c>
      <c r="EA86" s="2">
        <f t="shared" si="78"/>
        <v>1360093.9116679202</v>
      </c>
      <c r="EB86" s="2">
        <f t="shared" si="79"/>
        <v>1081038.0385540985</v>
      </c>
      <c r="EC86" s="2">
        <f t="shared" si="80"/>
        <v>627479.13535186765</v>
      </c>
      <c r="ED86" s="2">
        <f t="shared" si="81"/>
        <v>80749.112305174742</v>
      </c>
      <c r="EF86" s="57">
        <f t="shared" si="82"/>
        <v>0.6206896551724137</v>
      </c>
      <c r="EG86" s="57">
        <f t="shared" si="83"/>
        <v>0.25862068965517238</v>
      </c>
      <c r="EH86" s="41">
        <f t="shared" si="84"/>
        <v>0.12068965517241378</v>
      </c>
      <c r="EJ86" s="57">
        <f t="shared" si="85"/>
        <v>0.5714285714285714</v>
      </c>
      <c r="EK86" s="57">
        <f t="shared" si="86"/>
        <v>0.23809523809523811</v>
      </c>
      <c r="EL86" s="41">
        <f t="shared" si="87"/>
        <v>0.19047619047619047</v>
      </c>
      <c r="EN86" s="57">
        <f t="shared" si="88"/>
        <v>0.5714285714285714</v>
      </c>
      <c r="EO86" s="57">
        <f t="shared" si="89"/>
        <v>0.23809523809523811</v>
      </c>
      <c r="EP86" s="41">
        <f t="shared" si="90"/>
        <v>0.19047619047619049</v>
      </c>
    </row>
    <row r="87" spans="20:146" x14ac:dyDescent="0.15">
      <c r="T87" s="2">
        <v>80</v>
      </c>
      <c r="U87" s="2">
        <f>$N$8*SUM(C$11:C$12)/(365/12)*MAX(节奏总纲!D83-$E$2,0)</f>
        <v>4103.0136986301368</v>
      </c>
      <c r="V87" s="2">
        <f>$N$8*SUM(D$11:D$12)/(365/12)*MAX(节奏总纲!E83-$E$2,0)</f>
        <v>3389.4049315068492</v>
      </c>
      <c r="W87" s="2">
        <f>$N$8*SUM(E$11:E$12)/(365/12)*MAX(节奏总纲!F83-$E$2,0)</f>
        <v>2532.0013150684931</v>
      </c>
      <c r="X87" s="2">
        <f>$N$8*SUM(F$11:F$12)/(365/12)*MAX(节奏总纲!G83-$E$2,0)</f>
        <v>1506.1216438356166</v>
      </c>
      <c r="Y87" s="2">
        <f>$N$8*SUM(G$11:G$12)/(365/12)*MAX(节奏总纲!H83-$E$2,0)</f>
        <v>268.84208219178083</v>
      </c>
      <c r="Z87" s="2">
        <f>$O$8*SUM(C$11:C$12)/(365/12)*MAX(节奏总纲!D83-$E$2,0)</f>
        <v>41030.136986301368</v>
      </c>
      <c r="AA87" s="2">
        <f>$O$8*SUM(D$11:D$12)/(365/12)*MAX(节奏总纲!E83-$E$2,0)</f>
        <v>33894.049315068492</v>
      </c>
      <c r="AB87" s="2">
        <f>$O$8*SUM(E$11:E$12)/(365/12)*MAX(节奏总纲!F83-$E$2,0)</f>
        <v>25320.013150684932</v>
      </c>
      <c r="AC87" s="2">
        <f>$O$8*SUM(F$11:F$12)/(365/12)*MAX(节奏总纲!G83-$E$2,0)</f>
        <v>15061.216438356167</v>
      </c>
      <c r="AD87" s="2">
        <f>$O$8*SUM(G$11:G$12)/(365/12)*MAX(节奏总纲!H83-$E$2,0)</f>
        <v>2688.4208219178081</v>
      </c>
      <c r="AE87" s="2">
        <f>$Q$8*SUM(C$11:C$12)/(365/12)*MAX(节奏总纲!D83-$E$2,0)</f>
        <v>51287.67123287671</v>
      </c>
      <c r="AF87" s="2">
        <f>$Q$8*SUM(D$11:D$12)/(365/12)*MAX(节奏总纲!E83-$E$2,0)</f>
        <v>42367.561643835616</v>
      </c>
      <c r="AG87" s="2">
        <f>$Q$8*SUM(E$11:E$12)/(365/12)*MAX(节奏总纲!F83-$E$2,0)</f>
        <v>31650.016438356164</v>
      </c>
      <c r="AH87" s="2">
        <f>$Q$8*SUM(F$11:F$12)/(365/12)*MAX(节奏总纲!G83-$E$2,0)</f>
        <v>18826.520547945205</v>
      </c>
      <c r="AI87" s="2">
        <f>$Q$8*SUM(G$11:G$12)/(365/12)*MAX(节奏总纲!H83-$E$2,0)</f>
        <v>3360.5260273972603</v>
      </c>
      <c r="AJ87" s="2">
        <f>$P$8*SUM(C$11:C$12)/(365/12)*MAX(节奏总纲!D83-$E$2,0)</f>
        <v>1107813.6986301369</v>
      </c>
      <c r="AK87" s="2">
        <f>$P$8*SUM(D$11:D$12)/(365/12)*MAX(节奏总纲!E83-$E$2,0)</f>
        <v>915139.33150684927</v>
      </c>
      <c r="AL87" s="2">
        <f>$P$8*SUM(E$11:E$12)/(365/12)*MAX(节奏总纲!F83-$E$2,0)</f>
        <v>683640.35506849317</v>
      </c>
      <c r="AM87" s="2">
        <f>$P$8*SUM(F$11:F$12)/(365/12)*MAX(节奏总纲!G83-$E$2,0)</f>
        <v>406652.84383561648</v>
      </c>
      <c r="AN87" s="2">
        <f>$P$8*SUM(G$11:G$12)/(365/12)*MAX(节奏总纲!H83-$E$2,0)</f>
        <v>72587.36219178082</v>
      </c>
      <c r="BC87" s="2">
        <v>80</v>
      </c>
      <c r="BD87" s="2">
        <f>$AZ$8/(365/12)*MAX(节奏总纲!D83-$E$2,0)</f>
        <v>19232.876712328765</v>
      </c>
      <c r="BE87" s="2">
        <f>$AZ$8/(365/12)*MAX(节奏总纲!E83-$E$2,0)</f>
        <v>15887.835616438357</v>
      </c>
      <c r="BF87" s="2">
        <f>$AZ$8/(365/12)*MAX(节奏总纲!F83-$E$2,0)</f>
        <v>11868.756164383562</v>
      </c>
      <c r="BG87" s="2">
        <f>$AZ$8/(365/12)*MAX(节奏总纲!G83-$E$2,0)</f>
        <v>7059.9452054794529</v>
      </c>
      <c r="BH87" s="2">
        <f>$AZ$8/(365/12)*MAX(节奏总纲!H83-$E$2,0)</f>
        <v>1260.1972602739727</v>
      </c>
      <c r="BI87" s="2">
        <f>$AY$8/(365/12)*MAX(节奏总纲!D83-$E$2,0)</f>
        <v>461589.0410958904</v>
      </c>
      <c r="BJ87" s="2">
        <f>$AY$8/(365/12)*MAX(节奏总纲!E83-$E$2,0)</f>
        <v>381308.05479452055</v>
      </c>
      <c r="BK87" s="2">
        <f>$AY$8/(365/12)*MAX(节奏总纲!F83-$E$2,0)</f>
        <v>284850.14794520551</v>
      </c>
      <c r="BL87" s="2">
        <f>$AY$8/(365/12)*MAX(节奏总纲!G83-$E$2,0)</f>
        <v>169438.68493150687</v>
      </c>
      <c r="BM87" s="2">
        <f>$AY$8/(365/12)*MAX(节奏总纲!H83-$E$2,0)</f>
        <v>30244.734246575346</v>
      </c>
      <c r="CD87" s="2">
        <v>80</v>
      </c>
      <c r="CE87" s="2">
        <f>INDEX($BY$8:$BY$15,MATCH(CE$7,$CB$8:$CB$15,0))*SUM(C$11:C$12)/(365/12)*MAX(节奏总纲!D83-$E$2,0)</f>
        <v>5128.767123287671</v>
      </c>
      <c r="CF87" s="2">
        <f>INDEX($BY$8:$BY$15,MATCH(CF$7,$CB$8:$CB$15,0))*SUM(D$11:D$12)/(365/12)*MAX(节奏总纲!E83-$E$2,0)</f>
        <v>5084.1073972602735</v>
      </c>
      <c r="CG87" s="2">
        <f>INDEX($BY$8:$BY$15,MATCH(CG$7,$CB$8:$CB$15,0))*SUM(E$11:E$12)/(365/12)*MAX(节奏总纲!F83-$E$2,0)</f>
        <v>6330.003287671233</v>
      </c>
      <c r="CH87" s="2">
        <f>INDEX($BY$8:$BY$15,MATCH(CH$7,$CB$8:$CB$15,0))*SUM(F$11:F$12)/(365/12)*MAX(节奏总纲!G83-$E$2,0)</f>
        <v>9413.2602739726026</v>
      </c>
      <c r="CI87" s="2">
        <f>INDEX($BY$8:$BY$15,MATCH(CI$7,$CB$8:$CB$15,0))*SUM(G$11:G$12)/(365/12)*MAX(节奏总纲!H83-$E$2,0)</f>
        <v>2688.4208219178081</v>
      </c>
      <c r="CJ87" s="2">
        <f>INDEX($BZ$8:$BZ$15,MATCH(CE$7,$CB$8:$CB$15,0))*SUM(C$11:C$12)/(365/12)*MAX(节奏总纲!D83-$E$2,0)</f>
        <v>215408.21917808219</v>
      </c>
      <c r="CK87" s="2">
        <f>INDEX($BZ$8:$BZ$15,MATCH(CF$7,$CB$8:$CB$15,0))*SUM(D$11:D$12)/(365/12)*MAX(节奏总纲!E83-$E$2,0)</f>
        <v>203364.29589041098</v>
      </c>
      <c r="CL87" s="2">
        <f>INDEX($BZ$8:$BZ$15,MATCH(CG$7,$CB$8:$CB$15,0))*SUM(E$11:E$12)/(365/12)*MAX(节奏总纲!F83-$E$2,0)</f>
        <v>227880.1183561644</v>
      </c>
      <c r="CM87" s="2">
        <f>INDEX($BZ$8:$BZ$15,MATCH(CH$7,$CB$8:$CB$15,0))*SUM(F$11:F$12)/(365/12)*MAX(节奏总纲!G83-$E$2,0)</f>
        <v>135550.94794520549</v>
      </c>
      <c r="CN87" s="2">
        <f>INDEX($BZ$8:$BZ$15,MATCH(CI$7,$CB$8:$CB$15,0))*SUM(G$11:G$12)/(365/12)*MAX(节奏总纲!H83-$E$2,0)</f>
        <v>24195.787397260276</v>
      </c>
      <c r="CS87" s="2">
        <v>80</v>
      </c>
      <c r="CT87" s="2">
        <f t="shared" si="59"/>
        <v>75649.315068493146</v>
      </c>
      <c r="CU87" s="2">
        <f t="shared" si="60"/>
        <v>63339.504657534249</v>
      </c>
      <c r="CV87" s="2">
        <f t="shared" si="61"/>
        <v>49848.775890410965</v>
      </c>
      <c r="CW87" s="2">
        <f t="shared" si="62"/>
        <v>35299.726027397264</v>
      </c>
      <c r="CX87" s="2">
        <f t="shared" si="63"/>
        <v>7309.1441095890414</v>
      </c>
      <c r="CZ87" s="41">
        <f t="shared" si="64"/>
        <v>0.67796610169491522</v>
      </c>
      <c r="DA87" s="41">
        <f t="shared" si="65"/>
        <v>0.25423728813559321</v>
      </c>
      <c r="DB87" s="41">
        <f t="shared" si="66"/>
        <v>6.7796610169491525E-2</v>
      </c>
      <c r="DD87" s="41">
        <f t="shared" si="67"/>
        <v>0.63492063492063489</v>
      </c>
      <c r="DE87" s="41">
        <f t="shared" si="68"/>
        <v>0.23809523809523805</v>
      </c>
      <c r="DF87" s="41">
        <f t="shared" si="69"/>
        <v>0.12698412698412698</v>
      </c>
      <c r="DH87" s="41">
        <f t="shared" si="70"/>
        <v>0.45977011494252873</v>
      </c>
      <c r="DI87" s="41">
        <f t="shared" si="71"/>
        <v>0.17241379310344829</v>
      </c>
      <c r="DJ87" s="41">
        <f t="shared" si="72"/>
        <v>0.36781609195402298</v>
      </c>
      <c r="DL87" s="2">
        <f>CT87/节奏总纲!D83</f>
        <v>296.66398066075743</v>
      </c>
      <c r="DM87" s="2">
        <f>CU87/节奏总纲!E83</f>
        <v>286.49390351011715</v>
      </c>
      <c r="DN87" s="2">
        <f>CV87/节奏总纲!F83</f>
        <v>276.42165674302947</v>
      </c>
      <c r="DO87" s="2">
        <f>CW87/节奏总纲!G83</f>
        <v>268.27577160204635</v>
      </c>
      <c r="DP87" s="2">
        <f>CX87/节奏总纲!H83</f>
        <v>100.4320610850824</v>
      </c>
      <c r="DR87" s="2">
        <f t="shared" si="73"/>
        <v>0.96571853068246249</v>
      </c>
      <c r="DS87" s="2">
        <f t="shared" si="74"/>
        <v>0.93176682968844959</v>
      </c>
      <c r="DT87" s="2">
        <f t="shared" si="75"/>
        <v>0.90430854128134386</v>
      </c>
      <c r="DU87" s="2">
        <f t="shared" si="76"/>
        <v>0.33853810247334654</v>
      </c>
      <c r="DY87" s="2">
        <v>80</v>
      </c>
      <c r="DZ87" s="2">
        <f t="shared" si="77"/>
        <v>1784810.9589041094</v>
      </c>
      <c r="EA87" s="2">
        <f t="shared" si="78"/>
        <v>1499811.6821917808</v>
      </c>
      <c r="EB87" s="2">
        <f t="shared" si="79"/>
        <v>1196370.6213698629</v>
      </c>
      <c r="EC87" s="2">
        <f t="shared" si="80"/>
        <v>711642.47671232885</v>
      </c>
      <c r="ED87" s="2">
        <f t="shared" si="81"/>
        <v>127027.88383561643</v>
      </c>
      <c r="EF87" s="57">
        <f t="shared" si="82"/>
        <v>0.62068965517241381</v>
      </c>
      <c r="EG87" s="57">
        <f t="shared" si="83"/>
        <v>0.25862068965517243</v>
      </c>
      <c r="EH87" s="41">
        <f t="shared" si="84"/>
        <v>0.1206896551724138</v>
      </c>
      <c r="EJ87" s="57">
        <f t="shared" si="85"/>
        <v>0.57142857142857151</v>
      </c>
      <c r="EK87" s="57">
        <f t="shared" si="86"/>
        <v>0.23809523809523814</v>
      </c>
      <c r="EL87" s="41">
        <f t="shared" si="87"/>
        <v>0.19047619047619049</v>
      </c>
      <c r="EN87" s="57">
        <f t="shared" si="88"/>
        <v>0.5714285714285714</v>
      </c>
      <c r="EO87" s="57">
        <f t="shared" si="89"/>
        <v>0.23809523809523814</v>
      </c>
      <c r="EP87" s="41">
        <f t="shared" si="90"/>
        <v>0.19047619047619049</v>
      </c>
    </row>
    <row r="88" spans="20:146" x14ac:dyDescent="0.15">
      <c r="T88" s="2">
        <v>81</v>
      </c>
      <c r="U88" s="2">
        <f>$N$8*SUM(C$11:C$12)/(365/12)*MAX(节奏总纲!D84-$E$2,0)</f>
        <v>4489.6229293790539</v>
      </c>
      <c r="V88" s="2">
        <f>$N$8*SUM(D$11:D$12)/(365/12)*MAX(节奏总纲!E84-$E$2,0)</f>
        <v>3710.7901217274321</v>
      </c>
      <c r="W88" s="2">
        <f>$N$8*SUM(E$11:E$12)/(365/12)*MAX(节奏总纲!F84-$E$2,0)</f>
        <v>2791.6063502153984</v>
      </c>
      <c r="X88" s="2">
        <f>$N$8*SUM(F$11:F$12)/(365/12)*MAX(节奏总纲!G84-$E$2,0)</f>
        <v>1699.2847093509738</v>
      </c>
      <c r="Y88" s="2">
        <f>$N$8*SUM(G$11:G$12)/(365/12)*MAX(节奏总纲!H84-$E$2,0)</f>
        <v>375.72910343783957</v>
      </c>
      <c r="Z88" s="2">
        <f>$O$8*SUM(C$11:C$12)/(365/12)*MAX(节奏总纲!D84-$E$2,0)</f>
        <v>44896.229293790537</v>
      </c>
      <c r="AA88" s="2">
        <f>$O$8*SUM(D$11:D$12)/(365/12)*MAX(节奏总纲!E84-$E$2,0)</f>
        <v>37107.901217274317</v>
      </c>
      <c r="AB88" s="2">
        <f>$O$8*SUM(E$11:E$12)/(365/12)*MAX(节奏总纲!F84-$E$2,0)</f>
        <v>27916.063502153982</v>
      </c>
      <c r="AC88" s="2">
        <f>$O$8*SUM(F$11:F$12)/(365/12)*MAX(节奏总纲!G84-$E$2,0)</f>
        <v>16992.847093509736</v>
      </c>
      <c r="AD88" s="2">
        <f>$O$8*SUM(G$11:G$12)/(365/12)*MAX(节奏总纲!H84-$E$2,0)</f>
        <v>3757.2910343783956</v>
      </c>
      <c r="AE88" s="2">
        <f>$Q$8*SUM(C$11:C$12)/(365/12)*MAX(节奏总纲!D84-$E$2,0)</f>
        <v>56120.286617238169</v>
      </c>
      <c r="AF88" s="2">
        <f>$Q$8*SUM(D$11:D$12)/(365/12)*MAX(节奏总纲!E84-$E$2,0)</f>
        <v>46384.876521592894</v>
      </c>
      <c r="AG88" s="2">
        <f>$Q$8*SUM(E$11:E$12)/(365/12)*MAX(节奏总纲!F84-$E$2,0)</f>
        <v>34895.079377692477</v>
      </c>
      <c r="AH88" s="2">
        <f>$Q$8*SUM(F$11:F$12)/(365/12)*MAX(节奏总纲!G84-$E$2,0)</f>
        <v>21241.058866887171</v>
      </c>
      <c r="AI88" s="2">
        <f>$Q$8*SUM(G$11:G$12)/(365/12)*MAX(节奏总纲!H84-$E$2,0)</f>
        <v>4696.6137929729939</v>
      </c>
      <c r="AJ88" s="2">
        <f>$P$8*SUM(C$11:C$12)/(365/12)*MAX(节奏总纲!D84-$E$2,0)</f>
        <v>1212198.1909323444</v>
      </c>
      <c r="AK88" s="2">
        <f>$P$8*SUM(D$11:D$12)/(365/12)*MAX(节奏总纲!E84-$E$2,0)</f>
        <v>1001913.3328664065</v>
      </c>
      <c r="AL88" s="2">
        <f>$P$8*SUM(E$11:E$12)/(365/12)*MAX(节奏总纲!F84-$E$2,0)</f>
        <v>753733.71455815749</v>
      </c>
      <c r="AM88" s="2">
        <f>$P$8*SUM(F$11:F$12)/(365/12)*MAX(节奏总纲!G84-$E$2,0)</f>
        <v>458806.87152476289</v>
      </c>
      <c r="AN88" s="2">
        <f>$P$8*SUM(G$11:G$12)/(365/12)*MAX(节奏总纲!H84-$E$2,0)</f>
        <v>101446.85792821668</v>
      </c>
      <c r="BC88" s="2">
        <v>81</v>
      </c>
      <c r="BD88" s="2">
        <f>$AZ$8/(365/12)*MAX(节奏总纲!D84-$E$2,0)</f>
        <v>21045.107481464314</v>
      </c>
      <c r="BE88" s="2">
        <f>$AZ$8/(365/12)*MAX(节奏总纲!E84-$E$2,0)</f>
        <v>17394.328695597338</v>
      </c>
      <c r="BF88" s="2">
        <f>$AZ$8/(365/12)*MAX(节奏总纲!F84-$E$2,0)</f>
        <v>13085.65476663468</v>
      </c>
      <c r="BG88" s="2">
        <f>$AZ$8/(365/12)*MAX(节奏总纲!G84-$E$2,0)</f>
        <v>7965.3970750826893</v>
      </c>
      <c r="BH88" s="2">
        <f>$AZ$8/(365/12)*MAX(节奏总纲!H84-$E$2,0)</f>
        <v>1761.2301723648729</v>
      </c>
      <c r="BI88" s="2">
        <f>$AY$8/(365/12)*MAX(节奏总纲!D84-$E$2,0)</f>
        <v>505082.5795551436</v>
      </c>
      <c r="BJ88" s="2">
        <f>$AY$8/(365/12)*MAX(节奏总纲!E84-$E$2,0)</f>
        <v>417463.88869433611</v>
      </c>
      <c r="BK88" s="2">
        <f>$AY$8/(365/12)*MAX(节奏总纲!F84-$E$2,0)</f>
        <v>314055.71439923235</v>
      </c>
      <c r="BL88" s="2">
        <f>$AY$8/(365/12)*MAX(节奏总纲!G84-$E$2,0)</f>
        <v>191169.52980198455</v>
      </c>
      <c r="BM88" s="2">
        <f>$AY$8/(365/12)*MAX(节奏总纲!H84-$E$2,0)</f>
        <v>42269.524136756954</v>
      </c>
      <c r="CD88" s="2">
        <v>81</v>
      </c>
      <c r="CE88" s="2">
        <f>INDEX($BY$8:$BY$15,MATCH(CE$7,$CB$8:$CB$15,0))*SUM(C$11:C$12)/(365/12)*MAX(节奏总纲!D84-$E$2,0)</f>
        <v>5612.0286617238171</v>
      </c>
      <c r="CF88" s="2">
        <f>INDEX($BY$8:$BY$15,MATCH(CF$7,$CB$8:$CB$15,0))*SUM(D$11:D$12)/(365/12)*MAX(节奏总纲!E84-$E$2,0)</f>
        <v>5566.1851825911481</v>
      </c>
      <c r="CG88" s="2">
        <f>INDEX($BY$8:$BY$15,MATCH(CG$7,$CB$8:$CB$15,0))*SUM(E$11:E$12)/(365/12)*MAX(节奏总纲!F84-$E$2,0)</f>
        <v>6979.0158755384955</v>
      </c>
      <c r="CH88" s="2">
        <f>INDEX($BY$8:$BY$15,MATCH(CH$7,$CB$8:$CB$15,0))*SUM(F$11:F$12)/(365/12)*MAX(节奏总纲!G84-$E$2,0)</f>
        <v>10620.529433443586</v>
      </c>
      <c r="CI88" s="2">
        <f>INDEX($BY$8:$BY$15,MATCH(CI$7,$CB$8:$CB$15,0))*SUM(G$11:G$12)/(365/12)*MAX(节奏总纲!H84-$E$2,0)</f>
        <v>3757.2910343783956</v>
      </c>
      <c r="CJ88" s="2">
        <f>INDEX($BZ$8:$BZ$15,MATCH(CE$7,$CB$8:$CB$15,0))*SUM(C$11:C$12)/(365/12)*MAX(节奏总纲!D84-$E$2,0)</f>
        <v>235705.20379240034</v>
      </c>
      <c r="CK88" s="2">
        <f>INDEX($BZ$8:$BZ$15,MATCH(CF$7,$CB$8:$CB$15,0))*SUM(D$11:D$12)/(365/12)*MAX(节奏总纲!E84-$E$2,0)</f>
        <v>222647.40730364594</v>
      </c>
      <c r="CL88" s="2">
        <f>INDEX($BZ$8:$BZ$15,MATCH(CG$7,$CB$8:$CB$15,0))*SUM(E$11:E$12)/(365/12)*MAX(节奏总纲!F84-$E$2,0)</f>
        <v>251244.57151938585</v>
      </c>
      <c r="CM88" s="2">
        <f>INDEX($BZ$8:$BZ$15,MATCH(CH$7,$CB$8:$CB$15,0))*SUM(F$11:F$12)/(365/12)*MAX(节奏总纲!G84-$E$2,0)</f>
        <v>152935.62384158763</v>
      </c>
      <c r="CN88" s="2">
        <f>INDEX($BZ$8:$BZ$15,MATCH(CI$7,$CB$8:$CB$15,0))*SUM(G$11:G$12)/(365/12)*MAX(节奏总纲!H84-$E$2,0)</f>
        <v>33815.619309405556</v>
      </c>
      <c r="CS88" s="2">
        <v>81</v>
      </c>
      <c r="CT88" s="2">
        <f t="shared" si="59"/>
        <v>82777.4227604263</v>
      </c>
      <c r="CU88" s="2">
        <f t="shared" si="60"/>
        <v>69345.390399781376</v>
      </c>
      <c r="CV88" s="2">
        <f t="shared" si="61"/>
        <v>54959.750019865656</v>
      </c>
      <c r="CW88" s="2">
        <f t="shared" si="62"/>
        <v>39826.985375413446</v>
      </c>
      <c r="CX88" s="2">
        <f t="shared" si="63"/>
        <v>10215.134999716262</v>
      </c>
      <c r="CZ88" s="41">
        <f t="shared" si="64"/>
        <v>0.67796610169491522</v>
      </c>
      <c r="DA88" s="41">
        <f t="shared" si="65"/>
        <v>0.25423728813559321</v>
      </c>
      <c r="DB88" s="41">
        <f t="shared" si="66"/>
        <v>6.7796610169491525E-2</v>
      </c>
      <c r="DD88" s="41">
        <f t="shared" si="67"/>
        <v>0.63492063492063489</v>
      </c>
      <c r="DE88" s="41">
        <f t="shared" si="68"/>
        <v>0.23809523809523808</v>
      </c>
      <c r="DF88" s="41">
        <f t="shared" si="69"/>
        <v>0.12698412698412698</v>
      </c>
      <c r="DH88" s="41">
        <f t="shared" si="70"/>
        <v>0.45977011494252873</v>
      </c>
      <c r="DI88" s="41">
        <f t="shared" si="71"/>
        <v>0.17241379310344832</v>
      </c>
      <c r="DJ88" s="41">
        <f t="shared" si="72"/>
        <v>0.36781609195402304</v>
      </c>
      <c r="DL88" s="2">
        <f>CT88/节奏总纲!D84</f>
        <v>302.79917190258874</v>
      </c>
      <c r="DM88" s="2">
        <f>CU88/节奏总纲!E84</f>
        <v>293.3898929773369</v>
      </c>
      <c r="DN88" s="2">
        <f>CV88/节奏总纲!F84</f>
        <v>285.24736134877634</v>
      </c>
      <c r="DO88" s="2">
        <f>CW88/节奏总纲!G84</f>
        <v>282.94193884407355</v>
      </c>
      <c r="DP88" s="2">
        <f>CX88/节奏总纲!H84</f>
        <v>131.20394937277226</v>
      </c>
      <c r="DR88" s="2">
        <f t="shared" si="73"/>
        <v>0.96892567814459274</v>
      </c>
      <c r="DS88" s="2">
        <f t="shared" si="74"/>
        <v>0.9420348132277625</v>
      </c>
      <c r="DT88" s="2">
        <f t="shared" si="75"/>
        <v>0.93442111174298947</v>
      </c>
      <c r="DU88" s="2">
        <f t="shared" si="76"/>
        <v>0.43330352770905495</v>
      </c>
      <c r="DY88" s="2">
        <v>81</v>
      </c>
      <c r="DZ88" s="2">
        <f t="shared" si="77"/>
        <v>1952985.9742798884</v>
      </c>
      <c r="EA88" s="2">
        <f t="shared" si="78"/>
        <v>1642024.6288643887</v>
      </c>
      <c r="EB88" s="2">
        <f t="shared" si="79"/>
        <v>1319034.0004767757</v>
      </c>
      <c r="EC88" s="2">
        <f t="shared" si="80"/>
        <v>802912.02516833507</v>
      </c>
      <c r="ED88" s="2">
        <f t="shared" si="81"/>
        <v>177532.00137437921</v>
      </c>
      <c r="EF88" s="57">
        <f t="shared" si="82"/>
        <v>0.6206896551724137</v>
      </c>
      <c r="EG88" s="57">
        <f t="shared" si="83"/>
        <v>0.25862068965517243</v>
      </c>
      <c r="EH88" s="41">
        <f t="shared" si="84"/>
        <v>0.1206896551724138</v>
      </c>
      <c r="EJ88" s="57">
        <f t="shared" si="85"/>
        <v>0.5714285714285714</v>
      </c>
      <c r="EK88" s="57">
        <f t="shared" si="86"/>
        <v>0.23809523809523814</v>
      </c>
      <c r="EL88" s="41">
        <f t="shared" si="87"/>
        <v>0.19047619047619047</v>
      </c>
      <c r="EN88" s="57">
        <f t="shared" si="88"/>
        <v>0.5714285714285714</v>
      </c>
      <c r="EO88" s="57">
        <f t="shared" si="89"/>
        <v>0.23809523809523808</v>
      </c>
      <c r="EP88" s="41">
        <f t="shared" si="90"/>
        <v>0.19047619047619044</v>
      </c>
    </row>
    <row r="89" spans="20:146" x14ac:dyDescent="0.15">
      <c r="T89" s="2">
        <v>82</v>
      </c>
      <c r="U89" s="2">
        <f>$N$8*SUM(C$11:C$12)/(365/12)*MAX(节奏总纲!D85-$E$2,0)</f>
        <v>4903.98044326731</v>
      </c>
      <c r="V89" s="2">
        <f>$N$8*SUM(D$11:D$12)/(365/12)*MAX(节奏总纲!E85-$E$2,0)</f>
        <v>4064.1104712778642</v>
      </c>
      <c r="W89" s="2">
        <f>$N$8*SUM(E$11:E$12)/(365/12)*MAX(节奏总纲!F85-$E$2,0)</f>
        <v>3079.9456582858261</v>
      </c>
      <c r="X89" s="2">
        <f>$N$8*SUM(F$11:F$12)/(365/12)*MAX(节奏总纲!G85-$E$2,0)</f>
        <v>1910.7874593930285</v>
      </c>
      <c r="Y89" s="2">
        <f>$N$8*SUM(G$11:G$12)/(365/12)*MAX(节奏总纲!H85-$E$2,0)</f>
        <v>488.80496643586105</v>
      </c>
      <c r="Z89" s="2">
        <f>$O$8*SUM(C$11:C$12)/(365/12)*MAX(节奏总纲!D85-$E$2,0)</f>
        <v>49039.804432673096</v>
      </c>
      <c r="AA89" s="2">
        <f>$O$8*SUM(D$11:D$12)/(365/12)*MAX(节奏总纲!E85-$E$2,0)</f>
        <v>40641.104712778644</v>
      </c>
      <c r="AB89" s="2">
        <f>$O$8*SUM(E$11:E$12)/(365/12)*MAX(节奏总纲!F85-$E$2,0)</f>
        <v>30799.45658285826</v>
      </c>
      <c r="AC89" s="2">
        <f>$O$8*SUM(F$11:F$12)/(365/12)*MAX(节奏总纲!G85-$E$2,0)</f>
        <v>19107.874593930283</v>
      </c>
      <c r="AD89" s="2">
        <f>$O$8*SUM(G$11:G$12)/(365/12)*MAX(节奏总纲!H85-$E$2,0)</f>
        <v>4888.0496643586112</v>
      </c>
      <c r="AE89" s="2">
        <f>$Q$8*SUM(C$11:C$12)/(365/12)*MAX(节奏总纲!D85-$E$2,0)</f>
        <v>61299.755540841368</v>
      </c>
      <c r="AF89" s="2">
        <f>$Q$8*SUM(D$11:D$12)/(365/12)*MAX(节奏总纲!E85-$E$2,0)</f>
        <v>50801.380890973298</v>
      </c>
      <c r="AG89" s="2">
        <f>$Q$8*SUM(E$11:E$12)/(365/12)*MAX(节奏总纲!F85-$E$2,0)</f>
        <v>38499.32072857282</v>
      </c>
      <c r="AH89" s="2">
        <f>$Q$8*SUM(F$11:F$12)/(365/12)*MAX(节奏总纲!G85-$E$2,0)</f>
        <v>23884.843242412855</v>
      </c>
      <c r="AI89" s="2">
        <f>$Q$8*SUM(G$11:G$12)/(365/12)*MAX(节奏总纲!H85-$E$2,0)</f>
        <v>6110.0620804482633</v>
      </c>
      <c r="AJ89" s="2">
        <f>$P$8*SUM(C$11:C$12)/(365/12)*MAX(节奏总纲!D85-$E$2,0)</f>
        <v>1324074.7196821736</v>
      </c>
      <c r="AK89" s="2">
        <f>$P$8*SUM(D$11:D$12)/(365/12)*MAX(节奏总纲!E85-$E$2,0)</f>
        <v>1097309.8272450233</v>
      </c>
      <c r="AL89" s="2">
        <f>$P$8*SUM(E$11:E$12)/(365/12)*MAX(节奏总纲!F85-$E$2,0)</f>
        <v>831585.32773717295</v>
      </c>
      <c r="AM89" s="2">
        <f>$P$8*SUM(F$11:F$12)/(365/12)*MAX(节奏总纲!G85-$E$2,0)</f>
        <v>515912.61403611768</v>
      </c>
      <c r="AN89" s="2">
        <f>$P$8*SUM(G$11:G$12)/(365/12)*MAX(节奏总纲!H85-$E$2,0)</f>
        <v>131977.34093768249</v>
      </c>
      <c r="BC89" s="2">
        <v>82</v>
      </c>
      <c r="BD89" s="2">
        <f>$AZ$8/(365/12)*MAX(节奏总纲!D85-$E$2,0)</f>
        <v>22987.408327815516</v>
      </c>
      <c r="BE89" s="2">
        <f>$AZ$8/(365/12)*MAX(节奏总纲!E85-$E$2,0)</f>
        <v>19050.517834114988</v>
      </c>
      <c r="BF89" s="2">
        <f>$AZ$8/(365/12)*MAX(节奏总纲!F85-$E$2,0)</f>
        <v>14437.245273214809</v>
      </c>
      <c r="BG89" s="2">
        <f>$AZ$8/(365/12)*MAX(节奏总纲!G85-$E$2,0)</f>
        <v>8956.8162159048206</v>
      </c>
      <c r="BH89" s="2">
        <f>$AZ$8/(365/12)*MAX(节奏总纲!H85-$E$2,0)</f>
        <v>2291.2732801680986</v>
      </c>
      <c r="BI89" s="2">
        <f>$AY$8/(365/12)*MAX(节奏总纲!D85-$E$2,0)</f>
        <v>551697.79986757238</v>
      </c>
      <c r="BJ89" s="2">
        <f>$AY$8/(365/12)*MAX(节奏总纲!E85-$E$2,0)</f>
        <v>457212.42801875976</v>
      </c>
      <c r="BK89" s="2">
        <f>$AY$8/(365/12)*MAX(节奏总纲!F85-$E$2,0)</f>
        <v>346493.88655715541</v>
      </c>
      <c r="BL89" s="2">
        <f>$AY$8/(365/12)*MAX(节奏总纲!G85-$E$2,0)</f>
        <v>214963.58918171571</v>
      </c>
      <c r="BM89" s="2">
        <f>$AY$8/(365/12)*MAX(节奏总纲!H85-$E$2,0)</f>
        <v>54990.558724034374</v>
      </c>
      <c r="CD89" s="2">
        <v>82</v>
      </c>
      <c r="CE89" s="2">
        <f>INDEX($BY$8:$BY$15,MATCH(CE$7,$CB$8:$CB$15,0))*SUM(C$11:C$12)/(365/12)*MAX(节奏总纲!D85-$E$2,0)</f>
        <v>6129.975554084137</v>
      </c>
      <c r="CF89" s="2">
        <f>INDEX($BY$8:$BY$15,MATCH(CF$7,$CB$8:$CB$15,0))*SUM(D$11:D$12)/(365/12)*MAX(节奏总纲!E85-$E$2,0)</f>
        <v>6096.1657069167959</v>
      </c>
      <c r="CG89" s="2">
        <f>INDEX($BY$8:$BY$15,MATCH(CG$7,$CB$8:$CB$15,0))*SUM(E$11:E$12)/(365/12)*MAX(节奏总纲!F85-$E$2,0)</f>
        <v>7699.864145714565</v>
      </c>
      <c r="CH89" s="2">
        <f>INDEX($BY$8:$BY$15,MATCH(CH$7,$CB$8:$CB$15,0))*SUM(F$11:F$12)/(365/12)*MAX(节奏总纲!G85-$E$2,0)</f>
        <v>11942.421621206428</v>
      </c>
      <c r="CI89" s="2">
        <f>INDEX($BY$8:$BY$15,MATCH(CI$7,$CB$8:$CB$15,0))*SUM(G$11:G$12)/(365/12)*MAX(节奏总纲!H85-$E$2,0)</f>
        <v>4888.0496643586112</v>
      </c>
      <c r="CJ89" s="2">
        <f>INDEX($BZ$8:$BZ$15,MATCH(CE$7,$CB$8:$CB$15,0))*SUM(C$11:C$12)/(365/12)*MAX(节奏总纲!D85-$E$2,0)</f>
        <v>257458.97327153376</v>
      </c>
      <c r="CK89" s="2">
        <f>INDEX($BZ$8:$BZ$15,MATCH(CF$7,$CB$8:$CB$15,0))*SUM(D$11:D$12)/(365/12)*MAX(节奏总纲!E85-$E$2,0)</f>
        <v>243846.62827667187</v>
      </c>
      <c r="CL89" s="2">
        <f>INDEX($BZ$8:$BZ$15,MATCH(CG$7,$CB$8:$CB$15,0))*SUM(E$11:E$12)/(365/12)*MAX(节奏总纲!F85-$E$2,0)</f>
        <v>277195.10924572434</v>
      </c>
      <c r="CM89" s="2">
        <f>INDEX($BZ$8:$BZ$15,MATCH(CH$7,$CB$8:$CB$15,0))*SUM(F$11:F$12)/(365/12)*MAX(节奏总纲!G85-$E$2,0)</f>
        <v>171970.87134537255</v>
      </c>
      <c r="CN89" s="2">
        <f>INDEX($BZ$8:$BZ$15,MATCH(CI$7,$CB$8:$CB$15,0))*SUM(G$11:G$12)/(365/12)*MAX(节奏总纲!H85-$E$2,0)</f>
        <v>43992.446979227498</v>
      </c>
      <c r="CS89" s="2">
        <v>82</v>
      </c>
      <c r="CT89" s="2">
        <f t="shared" si="59"/>
        <v>90417.13942274102</v>
      </c>
      <c r="CU89" s="2">
        <f t="shared" si="60"/>
        <v>75948.064432005078</v>
      </c>
      <c r="CV89" s="2">
        <f t="shared" si="61"/>
        <v>60636.430147502193</v>
      </c>
      <c r="CW89" s="2">
        <f t="shared" si="62"/>
        <v>44784.081079524105</v>
      </c>
      <c r="CX89" s="2">
        <f t="shared" si="63"/>
        <v>13289.385024974974</v>
      </c>
      <c r="CZ89" s="41">
        <f t="shared" si="64"/>
        <v>0.67796610169491522</v>
      </c>
      <c r="DA89" s="41">
        <f t="shared" si="65"/>
        <v>0.25423728813559326</v>
      </c>
      <c r="DB89" s="41">
        <f t="shared" si="66"/>
        <v>6.7796610169491525E-2</v>
      </c>
      <c r="DD89" s="41">
        <f t="shared" si="67"/>
        <v>0.63492063492063489</v>
      </c>
      <c r="DE89" s="41">
        <f t="shared" si="68"/>
        <v>0.23809523809523811</v>
      </c>
      <c r="DF89" s="41">
        <f t="shared" si="69"/>
        <v>0.126984126984127</v>
      </c>
      <c r="DH89" s="41">
        <f t="shared" si="70"/>
        <v>0.45977011494252867</v>
      </c>
      <c r="DI89" s="41">
        <f t="shared" si="71"/>
        <v>0.17241379310344826</v>
      </c>
      <c r="DJ89" s="41">
        <f t="shared" si="72"/>
        <v>0.36781609195402298</v>
      </c>
      <c r="DL89" s="2">
        <f>CT89/节奏总纲!D85</f>
        <v>308.52060328542996</v>
      </c>
      <c r="DM89" s="2">
        <f>CU89/节奏总纲!E85</f>
        <v>300.01082102118522</v>
      </c>
      <c r="DN89" s="2">
        <f>CV89/节奏总纲!F85</f>
        <v>293.81300393258624</v>
      </c>
      <c r="DO89" s="2">
        <f>CW89/节奏总纲!G85</f>
        <v>296.95271103861461</v>
      </c>
      <c r="DP89" s="2">
        <f>CX89/节奏总纲!H85</f>
        <v>159.6687602116483</v>
      </c>
      <c r="DR89" s="2">
        <f t="shared" si="73"/>
        <v>0.97241745875761865</v>
      </c>
      <c r="DS89" s="2">
        <f t="shared" si="74"/>
        <v>0.95232863155256808</v>
      </c>
      <c r="DT89" s="2">
        <f t="shared" si="75"/>
        <v>0.9625052844976022</v>
      </c>
      <c r="DU89" s="2">
        <f t="shared" si="76"/>
        <v>0.51753029947218676</v>
      </c>
      <c r="DY89" s="2">
        <v>82</v>
      </c>
      <c r="DZ89" s="2">
        <f t="shared" si="77"/>
        <v>2133231.4928212799</v>
      </c>
      <c r="EA89" s="2">
        <f t="shared" si="78"/>
        <v>1798368.8835404548</v>
      </c>
      <c r="EB89" s="2">
        <f t="shared" si="79"/>
        <v>1455274.3235400526</v>
      </c>
      <c r="EC89" s="2">
        <f t="shared" si="80"/>
        <v>902847.07456320594</v>
      </c>
      <c r="ED89" s="2">
        <f t="shared" si="81"/>
        <v>230960.34664094436</v>
      </c>
      <c r="EF89" s="57">
        <f t="shared" si="82"/>
        <v>0.6206896551724137</v>
      </c>
      <c r="EG89" s="57">
        <f t="shared" si="83"/>
        <v>0.25862068965517243</v>
      </c>
      <c r="EH89" s="41">
        <f t="shared" si="84"/>
        <v>0.12068965517241378</v>
      </c>
      <c r="EJ89" s="57">
        <f t="shared" si="85"/>
        <v>0.5714285714285714</v>
      </c>
      <c r="EK89" s="57">
        <f t="shared" si="86"/>
        <v>0.23809523809523811</v>
      </c>
      <c r="EL89" s="41">
        <f t="shared" si="87"/>
        <v>0.19047619047619049</v>
      </c>
      <c r="EN89" s="57">
        <f t="shared" si="88"/>
        <v>0.5714285714285714</v>
      </c>
      <c r="EO89" s="57">
        <f t="shared" si="89"/>
        <v>0.23809523809523811</v>
      </c>
      <c r="EP89" s="41">
        <f t="shared" si="90"/>
        <v>0.19047619047619047</v>
      </c>
    </row>
    <row r="90" spans="20:146" x14ac:dyDescent="0.15">
      <c r="T90" s="2">
        <v>83</v>
      </c>
      <c r="U90" s="2">
        <f>$N$8*SUM(C$11:C$12)/(365/12)*MAX(节奏总纲!D86-$E$2,0)</f>
        <v>5348.0778306552729</v>
      </c>
      <c r="V90" s="2">
        <f>$N$8*SUM(D$11:D$12)/(365/12)*MAX(节奏总纲!E86-$E$2,0)</f>
        <v>4451.0270662956254</v>
      </c>
      <c r="W90" s="2">
        <f>$N$8*SUM(E$11:E$12)/(365/12)*MAX(节奏总纲!F86-$E$2,0)</f>
        <v>3399.2895820685098</v>
      </c>
      <c r="X90" s="2">
        <f>$N$8*SUM(F$11:F$12)/(365/12)*MAX(节奏总纲!G86-$E$2,0)</f>
        <v>2137.3368118676503</v>
      </c>
      <c r="Y90" s="2">
        <f>$N$8*SUM(G$11:G$12)/(365/12)*MAX(节奏总纲!H86-$E$2,0)</f>
        <v>614.26757009563494</v>
      </c>
      <c r="Z90" s="2">
        <f>$O$8*SUM(C$11:C$12)/(365/12)*MAX(节奏总纲!D86-$E$2,0)</f>
        <v>53480.778306552733</v>
      </c>
      <c r="AA90" s="2">
        <f>$O$8*SUM(D$11:D$12)/(365/12)*MAX(节奏总纲!E86-$E$2,0)</f>
        <v>44510.27066295626</v>
      </c>
      <c r="AB90" s="2">
        <f>$O$8*SUM(E$11:E$12)/(365/12)*MAX(节奏总纲!F86-$E$2,0)</f>
        <v>33992.895820685095</v>
      </c>
      <c r="AC90" s="2">
        <f>$O$8*SUM(F$11:F$12)/(365/12)*MAX(节奏总纲!G86-$E$2,0)</f>
        <v>21373.368118676506</v>
      </c>
      <c r="AD90" s="2">
        <f>$O$8*SUM(G$11:G$12)/(365/12)*MAX(节奏总纲!H86-$E$2,0)</f>
        <v>6142.6757009563489</v>
      </c>
      <c r="AE90" s="2">
        <f>$Q$8*SUM(C$11:C$12)/(365/12)*MAX(节奏总纲!D86-$E$2,0)</f>
        <v>66850.972883190916</v>
      </c>
      <c r="AF90" s="2">
        <f>$Q$8*SUM(D$11:D$12)/(365/12)*MAX(节奏总纲!E86-$E$2,0)</f>
        <v>55637.838328695318</v>
      </c>
      <c r="AG90" s="2">
        <f>$Q$8*SUM(E$11:E$12)/(365/12)*MAX(节奏总纲!F86-$E$2,0)</f>
        <v>42491.119775856372</v>
      </c>
      <c r="AH90" s="2">
        <f>$Q$8*SUM(F$11:F$12)/(365/12)*MAX(节奏总纲!G86-$E$2,0)</f>
        <v>26716.710148345628</v>
      </c>
      <c r="AI90" s="2">
        <f>$Q$8*SUM(G$11:G$12)/(365/12)*MAX(节奏总纲!H86-$E$2,0)</f>
        <v>7678.3446261954359</v>
      </c>
      <c r="AJ90" s="2">
        <f>$P$8*SUM(C$11:C$12)/(365/12)*MAX(节奏总纲!D86-$E$2,0)</f>
        <v>1443981.0142769236</v>
      </c>
      <c r="AK90" s="2">
        <f>$P$8*SUM(D$11:D$12)/(365/12)*MAX(节奏总纲!E86-$E$2,0)</f>
        <v>1201777.307899819</v>
      </c>
      <c r="AL90" s="2">
        <f>$P$8*SUM(E$11:E$12)/(365/12)*MAX(节奏总纲!F86-$E$2,0)</f>
        <v>917808.18715849763</v>
      </c>
      <c r="AM90" s="2">
        <f>$P$8*SUM(F$11:F$12)/(365/12)*MAX(节奏总纲!G86-$E$2,0)</f>
        <v>577080.9392042656</v>
      </c>
      <c r="AN90" s="2">
        <f>$P$8*SUM(G$11:G$12)/(365/12)*MAX(节奏总纲!H86-$E$2,0)</f>
        <v>165852.24392582141</v>
      </c>
      <c r="BC90" s="2">
        <v>83</v>
      </c>
      <c r="BD90" s="2">
        <f>$AZ$8/(365/12)*MAX(节奏总纲!D86-$E$2,0)</f>
        <v>25069.114831196592</v>
      </c>
      <c r="BE90" s="2">
        <f>$AZ$8/(365/12)*MAX(节奏总纲!E86-$E$2,0)</f>
        <v>20864.189373260746</v>
      </c>
      <c r="BF90" s="2">
        <f>$AZ$8/(365/12)*MAX(节奏总纲!F86-$E$2,0)</f>
        <v>15934.16991594614</v>
      </c>
      <c r="BG90" s="2">
        <f>$AZ$8/(365/12)*MAX(节奏总纲!G86-$E$2,0)</f>
        <v>10018.766305629611</v>
      </c>
      <c r="BH90" s="2">
        <f>$AZ$8/(365/12)*MAX(节奏总纲!H86-$E$2,0)</f>
        <v>2879.3792348232887</v>
      </c>
      <c r="BI90" s="2">
        <f>$AY$8/(365/12)*MAX(节奏总纲!D86-$E$2,0)</f>
        <v>601658.75594871829</v>
      </c>
      <c r="BJ90" s="2">
        <f>$AY$8/(365/12)*MAX(节奏总纲!E86-$E$2,0)</f>
        <v>500740.54495825793</v>
      </c>
      <c r="BK90" s="2">
        <f>$AY$8/(365/12)*MAX(节奏总纲!F86-$E$2,0)</f>
        <v>382420.07798270736</v>
      </c>
      <c r="BL90" s="2">
        <f>$AY$8/(365/12)*MAX(节奏总纲!G86-$E$2,0)</f>
        <v>240450.3913351107</v>
      </c>
      <c r="BM90" s="2">
        <f>$AY$8/(365/12)*MAX(节奏总纲!H86-$E$2,0)</f>
        <v>69105.101635758925</v>
      </c>
      <c r="CD90" s="2">
        <v>83</v>
      </c>
      <c r="CE90" s="2">
        <f>INDEX($BY$8:$BY$15,MATCH(CE$7,$CB$8:$CB$15,0))*SUM(C$11:C$12)/(365/12)*MAX(节奏总纲!D86-$E$2,0)</f>
        <v>6685.0972883190916</v>
      </c>
      <c r="CF90" s="2">
        <f>INDEX($BY$8:$BY$15,MATCH(CF$7,$CB$8:$CB$15,0))*SUM(D$11:D$12)/(365/12)*MAX(节奏总纲!E86-$E$2,0)</f>
        <v>6676.5405994434386</v>
      </c>
      <c r="CG90" s="2">
        <f>INDEX($BY$8:$BY$15,MATCH(CG$7,$CB$8:$CB$15,0))*SUM(E$11:E$12)/(365/12)*MAX(节奏总纲!F86-$E$2,0)</f>
        <v>8498.2239551712737</v>
      </c>
      <c r="CH90" s="2">
        <f>INDEX($BY$8:$BY$15,MATCH(CH$7,$CB$8:$CB$15,0))*SUM(F$11:F$12)/(365/12)*MAX(节奏总纲!G86-$E$2,0)</f>
        <v>13358.355074172814</v>
      </c>
      <c r="CI90" s="2">
        <f>INDEX($BY$8:$BY$15,MATCH(CI$7,$CB$8:$CB$15,0))*SUM(G$11:G$12)/(365/12)*MAX(节奏总纲!H86-$E$2,0)</f>
        <v>6142.6757009563489</v>
      </c>
      <c r="CJ90" s="2">
        <f>INDEX($BZ$8:$BZ$15,MATCH(CE$7,$CB$8:$CB$15,0))*SUM(C$11:C$12)/(365/12)*MAX(节奏总纲!D86-$E$2,0)</f>
        <v>280774.08610940183</v>
      </c>
      <c r="CK90" s="2">
        <f>INDEX($BZ$8:$BZ$15,MATCH(CF$7,$CB$8:$CB$15,0))*SUM(D$11:D$12)/(365/12)*MAX(节奏总纲!E86-$E$2,0)</f>
        <v>267061.62397773756</v>
      </c>
      <c r="CL90" s="2">
        <f>INDEX($BZ$8:$BZ$15,MATCH(CG$7,$CB$8:$CB$15,0))*SUM(E$11:E$12)/(365/12)*MAX(节奏总纲!F86-$E$2,0)</f>
        <v>305936.0623861659</v>
      </c>
      <c r="CM90" s="2">
        <f>INDEX($BZ$8:$BZ$15,MATCH(CH$7,$CB$8:$CB$15,0))*SUM(F$11:F$12)/(365/12)*MAX(节奏总纲!G86-$E$2,0)</f>
        <v>192360.31306808855</v>
      </c>
      <c r="CN90" s="2">
        <f>INDEX($BZ$8:$BZ$15,MATCH(CI$7,$CB$8:$CB$15,0))*SUM(G$11:G$12)/(365/12)*MAX(节奏总纲!H86-$E$2,0)</f>
        <v>55284.081308607136</v>
      </c>
      <c r="CS90" s="2">
        <v>83</v>
      </c>
      <c r="CT90" s="2">
        <f t="shared" si="59"/>
        <v>98605.185002706596</v>
      </c>
      <c r="CU90" s="2">
        <f t="shared" si="60"/>
        <v>83178.5683013995</v>
      </c>
      <c r="CV90" s="2">
        <f t="shared" si="61"/>
        <v>66923.513646973792</v>
      </c>
      <c r="CW90" s="2">
        <f t="shared" si="62"/>
        <v>50093.831528148046</v>
      </c>
      <c r="CX90" s="2">
        <f t="shared" si="63"/>
        <v>16700.399561975075</v>
      </c>
      <c r="CZ90" s="41">
        <f t="shared" si="64"/>
        <v>0.67796610169491534</v>
      </c>
      <c r="DA90" s="41">
        <f t="shared" si="65"/>
        <v>0.25423728813559321</v>
      </c>
      <c r="DB90" s="41">
        <f t="shared" si="66"/>
        <v>6.7796610169491525E-2</v>
      </c>
      <c r="DD90" s="41">
        <f t="shared" si="67"/>
        <v>0.63492063492063489</v>
      </c>
      <c r="DE90" s="41">
        <f t="shared" si="68"/>
        <v>0.23809523809523808</v>
      </c>
      <c r="DF90" s="41">
        <f t="shared" si="69"/>
        <v>0.12698412698412695</v>
      </c>
      <c r="DH90" s="41">
        <f t="shared" si="70"/>
        <v>0.45977011494252867</v>
      </c>
      <c r="DI90" s="41">
        <f t="shared" si="71"/>
        <v>0.17241379310344826</v>
      </c>
      <c r="DJ90" s="41">
        <f t="shared" si="72"/>
        <v>0.36781609195402298</v>
      </c>
      <c r="DL90" s="2">
        <f>CT90/节奏总纲!D86</f>
        <v>313.85636090960463</v>
      </c>
      <c r="DM90" s="2">
        <f>CU90/节奏总纲!E86</f>
        <v>306.32194471586428</v>
      </c>
      <c r="DN90" s="2">
        <f>CV90/节奏总纲!F86</f>
        <v>302.06305707380807</v>
      </c>
      <c r="DO90" s="2">
        <f>CW90/节奏总纲!G86</f>
        <v>310.02656550182098</v>
      </c>
      <c r="DP90" s="2">
        <f>CX90/节奏总纲!H86</f>
        <v>187.23742163461148</v>
      </c>
      <c r="DR90" s="2">
        <f t="shared" si="73"/>
        <v>0.97599406246888087</v>
      </c>
      <c r="DS90" s="2">
        <f t="shared" si="74"/>
        <v>0.96242451865044976</v>
      </c>
      <c r="DT90" s="2">
        <f t="shared" si="75"/>
        <v>0.98779761736647842</v>
      </c>
      <c r="DU90" s="2">
        <f t="shared" si="76"/>
        <v>0.59657042187059162</v>
      </c>
      <c r="DY90" s="2">
        <v>83</v>
      </c>
      <c r="DZ90" s="2">
        <f t="shared" si="77"/>
        <v>2326413.8563350434</v>
      </c>
      <c r="EA90" s="2">
        <f t="shared" si="78"/>
        <v>1969579.4768358143</v>
      </c>
      <c r="EB90" s="2">
        <f t="shared" si="79"/>
        <v>1606164.3275273708</v>
      </c>
      <c r="EC90" s="2">
        <f t="shared" si="80"/>
        <v>1009891.6436074649</v>
      </c>
      <c r="ED90" s="2">
        <f t="shared" si="81"/>
        <v>290241.42687018745</v>
      </c>
      <c r="EF90" s="57">
        <f t="shared" si="82"/>
        <v>0.62068965517241381</v>
      </c>
      <c r="EG90" s="57">
        <f t="shared" si="83"/>
        <v>0.25862068965517249</v>
      </c>
      <c r="EH90" s="41">
        <f t="shared" si="84"/>
        <v>0.12068965517241381</v>
      </c>
      <c r="EJ90" s="57">
        <f t="shared" si="85"/>
        <v>0.57142857142857151</v>
      </c>
      <c r="EK90" s="57">
        <f t="shared" si="86"/>
        <v>0.23809523809523811</v>
      </c>
      <c r="EL90" s="41">
        <f t="shared" si="87"/>
        <v>0.19047619047619049</v>
      </c>
      <c r="EN90" s="57">
        <f t="shared" si="88"/>
        <v>0.57142857142857151</v>
      </c>
      <c r="EO90" s="57">
        <f t="shared" si="89"/>
        <v>0.23809523809523811</v>
      </c>
      <c r="EP90" s="41">
        <f t="shared" si="90"/>
        <v>0.19047619047619049</v>
      </c>
    </row>
    <row r="91" spans="20:146" x14ac:dyDescent="0.15">
      <c r="T91" s="2">
        <v>84</v>
      </c>
      <c r="U91" s="2">
        <f>$N$8*SUM(C$11:C$12)/(365/12)*MAX(节奏总纲!D87-$E$2,0)</f>
        <v>5824.0496252393732</v>
      </c>
      <c r="V91" s="2">
        <f>$N$8*SUM(D$11:D$12)/(365/12)*MAX(节奏总纲!E87-$E$2,0)</f>
        <v>4865.9527460439967</v>
      </c>
      <c r="W91" s="2">
        <f>$N$8*SUM(E$11:E$12)/(365/12)*MAX(节奏总纲!F87-$E$2,0)</f>
        <v>3729.9843308441523</v>
      </c>
      <c r="X91" s="2">
        <f>$N$8*SUM(F$11:F$12)/(365/12)*MAX(节奏总纲!G87-$E$2,0)</f>
        <v>2377.1685450571881</v>
      </c>
      <c r="Y91" s="2">
        <f>$N$8*SUM(G$11:G$12)/(365/12)*MAX(节奏总纲!H87-$E$2,0)</f>
        <v>750.10461411592723</v>
      </c>
      <c r="Z91" s="2">
        <f>$O$8*SUM(C$11:C$12)/(365/12)*MAX(节奏总纲!D87-$E$2,0)</f>
        <v>58240.496252393736</v>
      </c>
      <c r="AA91" s="2">
        <f>$O$8*SUM(D$11:D$12)/(365/12)*MAX(节奏总纲!E87-$E$2,0)</f>
        <v>48659.527460439967</v>
      </c>
      <c r="AB91" s="2">
        <f>$O$8*SUM(E$11:E$12)/(365/12)*MAX(节奏总纲!F87-$E$2,0)</f>
        <v>37299.843308441523</v>
      </c>
      <c r="AC91" s="2">
        <f>$O$8*SUM(F$11:F$12)/(365/12)*MAX(节奏总纲!G87-$E$2,0)</f>
        <v>23771.685450571884</v>
      </c>
      <c r="AD91" s="2">
        <f>$O$8*SUM(G$11:G$12)/(365/12)*MAX(节奏总纲!H87-$E$2,0)</f>
        <v>7501.0461411592723</v>
      </c>
      <c r="AE91" s="2">
        <f>$Q$8*SUM(C$11:C$12)/(365/12)*MAX(节奏总纲!D87-$E$2,0)</f>
        <v>72800.620315492168</v>
      </c>
      <c r="AF91" s="2">
        <f>$Q$8*SUM(D$11:D$12)/(365/12)*MAX(节奏总纲!E87-$E$2,0)</f>
        <v>60824.409325549961</v>
      </c>
      <c r="AG91" s="2">
        <f>$Q$8*SUM(E$11:E$12)/(365/12)*MAX(节奏总纲!F87-$E$2,0)</f>
        <v>46624.804135551902</v>
      </c>
      <c r="AH91" s="2">
        <f>$Q$8*SUM(F$11:F$12)/(365/12)*MAX(节奏总纲!G87-$E$2,0)</f>
        <v>29714.60681321485</v>
      </c>
      <c r="AI91" s="2">
        <f>$Q$8*SUM(G$11:G$12)/(365/12)*MAX(节奏总纲!H87-$E$2,0)</f>
        <v>9376.3076764490888</v>
      </c>
      <c r="AJ91" s="2">
        <f>$P$8*SUM(C$11:C$12)/(365/12)*MAX(节奏总纲!D87-$E$2,0)</f>
        <v>1572493.3988146307</v>
      </c>
      <c r="AK91" s="2">
        <f>$P$8*SUM(D$11:D$12)/(365/12)*MAX(节奏总纲!E87-$E$2,0)</f>
        <v>1313807.2414318791</v>
      </c>
      <c r="AL91" s="2">
        <f>$P$8*SUM(E$11:E$12)/(365/12)*MAX(节奏总纲!F87-$E$2,0)</f>
        <v>1007095.7693279211</v>
      </c>
      <c r="AM91" s="2">
        <f>$P$8*SUM(F$11:F$12)/(365/12)*MAX(节奏总纲!G87-$E$2,0)</f>
        <v>641835.50716544082</v>
      </c>
      <c r="AN91" s="2">
        <f>$P$8*SUM(G$11:G$12)/(365/12)*MAX(节奏总纲!H87-$E$2,0)</f>
        <v>202528.24581130032</v>
      </c>
      <c r="BC91" s="2">
        <v>84</v>
      </c>
      <c r="BD91" s="2">
        <f>$AZ$8/(365/12)*MAX(节奏总纲!D87-$E$2,0)</f>
        <v>27300.232618309565</v>
      </c>
      <c r="BE91" s="2">
        <f>$AZ$8/(365/12)*MAX(节奏总纲!E87-$E$2,0)</f>
        <v>22809.153497081235</v>
      </c>
      <c r="BF91" s="2">
        <f>$AZ$8/(365/12)*MAX(节奏总纲!F87-$E$2,0)</f>
        <v>17484.301550831966</v>
      </c>
      <c r="BG91" s="2">
        <f>$AZ$8/(365/12)*MAX(节奏总纲!G87-$E$2,0)</f>
        <v>11142.977554955571</v>
      </c>
      <c r="BH91" s="2">
        <f>$AZ$8/(365/12)*MAX(节奏总纲!H87-$E$2,0)</f>
        <v>3516.115378668409</v>
      </c>
      <c r="BI91" s="2">
        <f>$AY$8/(365/12)*MAX(节奏总纲!D87-$E$2,0)</f>
        <v>655205.58283942949</v>
      </c>
      <c r="BJ91" s="2">
        <f>$AY$8/(365/12)*MAX(节奏总纲!E87-$E$2,0)</f>
        <v>547419.68392994965</v>
      </c>
      <c r="BK91" s="2">
        <f>$AY$8/(365/12)*MAX(节奏总纲!F87-$E$2,0)</f>
        <v>419623.23721996718</v>
      </c>
      <c r="BL91" s="2">
        <f>$AY$8/(365/12)*MAX(节奏总纲!G87-$E$2,0)</f>
        <v>267431.4613189337</v>
      </c>
      <c r="BM91" s="2">
        <f>$AY$8/(365/12)*MAX(节奏总纲!H87-$E$2,0)</f>
        <v>84386.769088041809</v>
      </c>
      <c r="CD91" s="2">
        <v>84</v>
      </c>
      <c r="CE91" s="2">
        <f>INDEX($BY$8:$BY$15,MATCH(CE$7,$CB$8:$CB$15,0))*SUM(C$11:C$12)/(365/12)*MAX(节奏总纲!D87-$E$2,0)</f>
        <v>7280.062031549217</v>
      </c>
      <c r="CF91" s="2">
        <f>INDEX($BY$8:$BY$15,MATCH(CF$7,$CB$8:$CB$15,0))*SUM(D$11:D$12)/(365/12)*MAX(节奏总纲!E87-$E$2,0)</f>
        <v>7298.9291190659951</v>
      </c>
      <c r="CG91" s="2">
        <f>INDEX($BY$8:$BY$15,MATCH(CG$7,$CB$8:$CB$15,0))*SUM(E$11:E$12)/(365/12)*MAX(节奏总纲!F87-$E$2,0)</f>
        <v>9324.9608271103807</v>
      </c>
      <c r="CH91" s="2">
        <f>INDEX($BY$8:$BY$15,MATCH(CH$7,$CB$8:$CB$15,0))*SUM(F$11:F$12)/(365/12)*MAX(节奏总纲!G87-$E$2,0)</f>
        <v>14857.303406607425</v>
      </c>
      <c r="CI91" s="2">
        <f>INDEX($BY$8:$BY$15,MATCH(CI$7,$CB$8:$CB$15,0))*SUM(G$11:G$12)/(365/12)*MAX(节奏总纲!H87-$E$2,0)</f>
        <v>7501.0461411592723</v>
      </c>
      <c r="CJ91" s="2">
        <f>INDEX($BZ$8:$BZ$15,MATCH(CE$7,$CB$8:$CB$15,0))*SUM(C$11:C$12)/(365/12)*MAX(节奏总纲!D87-$E$2,0)</f>
        <v>305762.60532506712</v>
      </c>
      <c r="CK91" s="2">
        <f>INDEX($BZ$8:$BZ$15,MATCH(CF$7,$CB$8:$CB$15,0))*SUM(D$11:D$12)/(365/12)*MAX(节奏总纲!E87-$E$2,0)</f>
        <v>291957.16476263985</v>
      </c>
      <c r="CL91" s="2">
        <f>INDEX($BZ$8:$BZ$15,MATCH(CG$7,$CB$8:$CB$15,0))*SUM(E$11:E$12)/(365/12)*MAX(节奏总纲!F87-$E$2,0)</f>
        <v>335698.5897759737</v>
      </c>
      <c r="CM91" s="2">
        <f>INDEX($BZ$8:$BZ$15,MATCH(CH$7,$CB$8:$CB$15,0))*SUM(F$11:F$12)/(365/12)*MAX(节奏总纲!G87-$E$2,0)</f>
        <v>213945.16905514692</v>
      </c>
      <c r="CN91" s="2">
        <f>INDEX($BZ$8:$BZ$15,MATCH(CI$7,$CB$8:$CB$15,0))*SUM(G$11:G$12)/(365/12)*MAX(节奏总纲!H87-$E$2,0)</f>
        <v>67509.415270433441</v>
      </c>
      <c r="CS91" s="2">
        <v>84</v>
      </c>
      <c r="CT91" s="2">
        <f t="shared" si="59"/>
        <v>107380.91496535095</v>
      </c>
      <c r="CU91" s="2">
        <f t="shared" si="60"/>
        <v>90932.491941697197</v>
      </c>
      <c r="CV91" s="2">
        <f t="shared" si="61"/>
        <v>73434.066513494254</v>
      </c>
      <c r="CW91" s="2">
        <f t="shared" si="62"/>
        <v>55714.887774777846</v>
      </c>
      <c r="CX91" s="2">
        <f t="shared" si="63"/>
        <v>20393.469196276772</v>
      </c>
      <c r="CZ91" s="41">
        <f t="shared" si="64"/>
        <v>0.67796610169491522</v>
      </c>
      <c r="DA91" s="41">
        <f t="shared" si="65"/>
        <v>0.25423728813559321</v>
      </c>
      <c r="DB91" s="41">
        <f t="shared" si="66"/>
        <v>6.7796610169491525E-2</v>
      </c>
      <c r="DD91" s="41">
        <f t="shared" si="67"/>
        <v>0.63492063492063489</v>
      </c>
      <c r="DE91" s="41">
        <f t="shared" si="68"/>
        <v>0.23809523809523811</v>
      </c>
      <c r="DF91" s="41">
        <f t="shared" si="69"/>
        <v>0.12698412698412698</v>
      </c>
      <c r="DH91" s="41">
        <f t="shared" si="70"/>
        <v>0.45977011494252867</v>
      </c>
      <c r="DI91" s="41">
        <f t="shared" si="71"/>
        <v>0.17241379310344829</v>
      </c>
      <c r="DJ91" s="41">
        <f t="shared" si="72"/>
        <v>0.36781609195402298</v>
      </c>
      <c r="DL91" s="2">
        <f>CT91/节奏总纲!D87</f>
        <v>318.83260077140551</v>
      </c>
      <c r="DM91" s="2">
        <f>CU91/节奏总纲!E87</f>
        <v>312.2044101043623</v>
      </c>
      <c r="DN91" s="2">
        <f>CV91/节奏总纲!F87</f>
        <v>309.49397771686438</v>
      </c>
      <c r="DO91" s="2">
        <f>CW91/节奏总纲!G87</f>
        <v>322.09343028819501</v>
      </c>
      <c r="DP91" s="2">
        <f>CX91/节奏总纲!H87</f>
        <v>213.2104038783869</v>
      </c>
      <c r="DR91" s="2">
        <f t="shared" si="73"/>
        <v>0.97921106357691623</v>
      </c>
      <c r="DS91" s="2">
        <f t="shared" si="74"/>
        <v>0.9707099492588066</v>
      </c>
      <c r="DT91" s="2">
        <f t="shared" si="75"/>
        <v>1.0102274030601013</v>
      </c>
      <c r="DU91" s="2">
        <f t="shared" si="76"/>
        <v>0.66872209229084789</v>
      </c>
      <c r="DY91" s="2">
        <v>84</v>
      </c>
      <c r="DZ91" s="2">
        <f t="shared" si="77"/>
        <v>2533461.586979127</v>
      </c>
      <c r="EA91" s="2">
        <f t="shared" si="78"/>
        <v>2153184.0901244688</v>
      </c>
      <c r="EB91" s="2">
        <f t="shared" si="79"/>
        <v>1762417.596323862</v>
      </c>
      <c r="EC91" s="2">
        <f t="shared" si="80"/>
        <v>1123212.1375395213</v>
      </c>
      <c r="ED91" s="2">
        <f t="shared" si="81"/>
        <v>354424.43016977562</v>
      </c>
      <c r="EF91" s="57">
        <f t="shared" si="82"/>
        <v>0.62068965517241381</v>
      </c>
      <c r="EG91" s="57">
        <f t="shared" si="83"/>
        <v>0.25862068965517243</v>
      </c>
      <c r="EH91" s="41">
        <f t="shared" si="84"/>
        <v>0.12068965517241383</v>
      </c>
      <c r="EJ91" s="57">
        <f t="shared" si="85"/>
        <v>0.5714285714285714</v>
      </c>
      <c r="EK91" s="57">
        <f t="shared" si="86"/>
        <v>0.23809523809523811</v>
      </c>
      <c r="EL91" s="41">
        <f t="shared" si="87"/>
        <v>0.19047619047619047</v>
      </c>
      <c r="EN91" s="57">
        <f t="shared" si="88"/>
        <v>0.5714285714285714</v>
      </c>
      <c r="EO91" s="57">
        <f t="shared" si="89"/>
        <v>0.23809523809523808</v>
      </c>
      <c r="EP91" s="41">
        <f t="shared" si="90"/>
        <v>0.19047619047619044</v>
      </c>
    </row>
    <row r="92" spans="20:146" x14ac:dyDescent="0.15">
      <c r="T92" s="2">
        <v>85</v>
      </c>
      <c r="U92" s="2">
        <f>$N$8*SUM(C$11:C$12)/(365/12)*MAX(节奏总纲!D88-$E$2,0)</f>
        <v>6334.1835635903954</v>
      </c>
      <c r="V92" s="2">
        <f>$N$8*SUM(D$11:D$12)/(365/12)*MAX(节奏总纲!E88-$E$2,0)</f>
        <v>5296.4812668861387</v>
      </c>
      <c r="W92" s="2">
        <f>$N$8*SUM(E$11:E$12)/(365/12)*MAX(节奏总纲!F88-$E$2,0)</f>
        <v>4080.2577112320296</v>
      </c>
      <c r="X92" s="2">
        <f>$N$8*SUM(F$11:F$12)/(365/12)*MAX(节奏总纲!G88-$E$2,0)</f>
        <v>2642.2119955210796</v>
      </c>
      <c r="Y92" s="2">
        <f>$N$8*SUM(G$11:G$12)/(365/12)*MAX(节奏总纲!H88-$E$2,0)</f>
        <v>894.98265260761741</v>
      </c>
      <c r="Z92" s="2">
        <f>$O$8*SUM(C$11:C$12)/(365/12)*MAX(节奏总纲!D88-$E$2,0)</f>
        <v>63341.835635903954</v>
      </c>
      <c r="AA92" s="2">
        <f>$O$8*SUM(D$11:D$12)/(365/12)*MAX(节奏总纲!E88-$E$2,0)</f>
        <v>52964.812668861385</v>
      </c>
      <c r="AB92" s="2">
        <f>$O$8*SUM(E$11:E$12)/(365/12)*MAX(节奏总纲!F88-$E$2,0)</f>
        <v>40802.577112320294</v>
      </c>
      <c r="AC92" s="2">
        <f>$O$8*SUM(F$11:F$12)/(365/12)*MAX(节奏总纲!G88-$E$2,0)</f>
        <v>26422.119955210797</v>
      </c>
      <c r="AD92" s="2">
        <f>$O$8*SUM(G$11:G$12)/(365/12)*MAX(节奏总纲!H88-$E$2,0)</f>
        <v>8949.8265260761746</v>
      </c>
      <c r="AE92" s="2">
        <f>$Q$8*SUM(C$11:C$12)/(365/12)*MAX(节奏总纲!D88-$E$2,0)</f>
        <v>79177.294544879944</v>
      </c>
      <c r="AF92" s="2">
        <f>$Q$8*SUM(D$11:D$12)/(365/12)*MAX(节奏总纲!E88-$E$2,0)</f>
        <v>66206.015836076724</v>
      </c>
      <c r="AG92" s="2">
        <f>$Q$8*SUM(E$11:E$12)/(365/12)*MAX(节奏总纲!F88-$E$2,0)</f>
        <v>51003.221390400366</v>
      </c>
      <c r="AH92" s="2">
        <f>$Q$8*SUM(F$11:F$12)/(365/12)*MAX(节奏总纲!G88-$E$2,0)</f>
        <v>33027.649944013494</v>
      </c>
      <c r="AI92" s="2">
        <f>$Q$8*SUM(G$11:G$12)/(365/12)*MAX(节奏总纲!H88-$E$2,0)</f>
        <v>11187.283157595217</v>
      </c>
      <c r="AJ92" s="2">
        <f>$P$8*SUM(C$11:C$12)/(365/12)*MAX(节奏总纲!D88-$E$2,0)</f>
        <v>1710229.5621694068</v>
      </c>
      <c r="AK92" s="2">
        <f>$P$8*SUM(D$11:D$12)/(365/12)*MAX(节奏总纲!E88-$E$2,0)</f>
        <v>1430049.9420592573</v>
      </c>
      <c r="AL92" s="2">
        <f>$P$8*SUM(E$11:E$12)/(365/12)*MAX(节奏总纲!F88-$E$2,0)</f>
        <v>1101669.5820326479</v>
      </c>
      <c r="AM92" s="2">
        <f>$P$8*SUM(F$11:F$12)/(365/12)*MAX(节奏总纲!G88-$E$2,0)</f>
        <v>713397.23879069148</v>
      </c>
      <c r="AN92" s="2">
        <f>$P$8*SUM(G$11:G$12)/(365/12)*MAX(节奏总纲!H88-$E$2,0)</f>
        <v>241645.3162040567</v>
      </c>
      <c r="BC92" s="2">
        <v>85</v>
      </c>
      <c r="BD92" s="2">
        <f>$AZ$8/(365/12)*MAX(节奏总纲!D88-$E$2,0)</f>
        <v>29691.485454329981</v>
      </c>
      <c r="BE92" s="2">
        <f>$AZ$8/(365/12)*MAX(节奏总纲!E88-$E$2,0)</f>
        <v>24827.255938528775</v>
      </c>
      <c r="BF92" s="2">
        <f>$AZ$8/(365/12)*MAX(节奏总纲!F88-$E$2,0)</f>
        <v>19126.20802140014</v>
      </c>
      <c r="BG92" s="2">
        <f>$AZ$8/(365/12)*MAX(节奏总纲!G88-$E$2,0)</f>
        <v>12385.368729005062</v>
      </c>
      <c r="BH92" s="2">
        <f>$AZ$8/(365/12)*MAX(节奏总纲!H88-$E$2,0)</f>
        <v>4195.2311840982065</v>
      </c>
      <c r="BI92" s="2">
        <f>$AY$8/(365/12)*MAX(节奏总纲!D88-$E$2,0)</f>
        <v>712595.65090391948</v>
      </c>
      <c r="BJ92" s="2">
        <f>$AY$8/(365/12)*MAX(节奏总纲!E88-$E$2,0)</f>
        <v>595854.1425246906</v>
      </c>
      <c r="BK92" s="2">
        <f>$AY$8/(365/12)*MAX(节奏总纲!F88-$E$2,0)</f>
        <v>459028.99251360336</v>
      </c>
      <c r="BL92" s="2">
        <f>$AY$8/(365/12)*MAX(节奏总纲!G88-$E$2,0)</f>
        <v>297248.84949612152</v>
      </c>
      <c r="BM92" s="2">
        <f>$AY$8/(365/12)*MAX(节奏总纲!H88-$E$2,0)</f>
        <v>100685.54841835696</v>
      </c>
      <c r="CD92" s="2">
        <v>85</v>
      </c>
      <c r="CE92" s="2">
        <f>INDEX($BY$8:$BY$15,MATCH(CE$7,$CB$8:$CB$15,0))*SUM(C$11:C$12)/(365/12)*MAX(节奏总纲!D88-$E$2,0)</f>
        <v>7917.7294544879942</v>
      </c>
      <c r="CF92" s="2">
        <f>INDEX($BY$8:$BY$15,MATCH(CF$7,$CB$8:$CB$15,0))*SUM(D$11:D$12)/(365/12)*MAX(节奏总纲!E88-$E$2,0)</f>
        <v>7944.7219003292075</v>
      </c>
      <c r="CG92" s="2">
        <f>INDEX($BY$8:$BY$15,MATCH(CG$7,$CB$8:$CB$15,0))*SUM(E$11:E$12)/(365/12)*MAX(节奏总纲!F88-$E$2,0)</f>
        <v>10200.644278080073</v>
      </c>
      <c r="CH92" s="2">
        <f>INDEX($BY$8:$BY$15,MATCH(CH$7,$CB$8:$CB$15,0))*SUM(F$11:F$12)/(365/12)*MAX(节奏总纲!G88-$E$2,0)</f>
        <v>16513.824972006747</v>
      </c>
      <c r="CI92" s="2">
        <f>INDEX($BY$8:$BY$15,MATCH(CI$7,$CB$8:$CB$15,0))*SUM(G$11:G$12)/(365/12)*MAX(节奏总纲!H88-$E$2,0)</f>
        <v>8949.8265260761746</v>
      </c>
      <c r="CJ92" s="2">
        <f>INDEX($BZ$8:$BZ$15,MATCH(CE$7,$CB$8:$CB$15,0))*SUM(C$11:C$12)/(365/12)*MAX(节奏总纲!D88-$E$2,0)</f>
        <v>332544.63708849577</v>
      </c>
      <c r="CK92" s="2">
        <f>INDEX($BZ$8:$BZ$15,MATCH(CF$7,$CB$8:$CB$15,0))*SUM(D$11:D$12)/(365/12)*MAX(节奏总纲!E88-$E$2,0)</f>
        <v>317788.87601316831</v>
      </c>
      <c r="CL92" s="2">
        <f>INDEX($BZ$8:$BZ$15,MATCH(CG$7,$CB$8:$CB$15,0))*SUM(E$11:E$12)/(365/12)*MAX(节奏总纲!F88-$E$2,0)</f>
        <v>367223.19401088264</v>
      </c>
      <c r="CM92" s="2">
        <f>INDEX($BZ$8:$BZ$15,MATCH(CH$7,$CB$8:$CB$15,0))*SUM(F$11:F$12)/(365/12)*MAX(节奏总纲!G88-$E$2,0)</f>
        <v>237799.07959689718</v>
      </c>
      <c r="CN92" s="2">
        <f>INDEX($BZ$8:$BZ$15,MATCH(CI$7,$CB$8:$CB$15,0))*SUM(G$11:G$12)/(365/12)*MAX(节奏总纲!H88-$E$2,0)</f>
        <v>80548.438734685566</v>
      </c>
      <c r="CS92" s="2">
        <v>85</v>
      </c>
      <c r="CT92" s="2">
        <f t="shared" si="59"/>
        <v>116786.50945369792</v>
      </c>
      <c r="CU92" s="2">
        <f t="shared" si="60"/>
        <v>98977.993674934711</v>
      </c>
      <c r="CV92" s="2">
        <f t="shared" si="61"/>
        <v>80330.073689880577</v>
      </c>
      <c r="CW92" s="2">
        <f t="shared" si="62"/>
        <v>61926.843645025299</v>
      </c>
      <c r="CX92" s="2">
        <f t="shared" si="63"/>
        <v>24332.340867769599</v>
      </c>
      <c r="CZ92" s="41">
        <f t="shared" si="64"/>
        <v>0.67796610169491522</v>
      </c>
      <c r="DA92" s="41">
        <f t="shared" si="65"/>
        <v>0.25423728813559326</v>
      </c>
      <c r="DB92" s="41">
        <f t="shared" si="66"/>
        <v>6.7796610169491525E-2</v>
      </c>
      <c r="DD92" s="41">
        <f t="shared" si="67"/>
        <v>0.63492063492063489</v>
      </c>
      <c r="DE92" s="41">
        <f t="shared" si="68"/>
        <v>0.23809523809523814</v>
      </c>
      <c r="DF92" s="41">
        <f t="shared" si="69"/>
        <v>0.12698412698412698</v>
      </c>
      <c r="DH92" s="41">
        <f t="shared" si="70"/>
        <v>0.45977011494252867</v>
      </c>
      <c r="DI92" s="41">
        <f t="shared" si="71"/>
        <v>0.17241379310344826</v>
      </c>
      <c r="DJ92" s="41">
        <f t="shared" si="72"/>
        <v>0.36781609195402298</v>
      </c>
      <c r="DL92" s="2">
        <f>CT92/节奏总纲!D88</f>
        <v>323.47368445950531</v>
      </c>
      <c r="DM92" s="2">
        <f>CU92/节奏总纲!E88</f>
        <v>317.52131089116591</v>
      </c>
      <c r="DN92" s="2">
        <f>CV92/节奏总纲!F88</f>
        <v>316.36164487528208</v>
      </c>
      <c r="DO92" s="2">
        <f>CW92/节奏总纲!G88</f>
        <v>333.70453059212787</v>
      </c>
      <c r="DP92" s="2">
        <f>CX92/节奏总纲!H88</f>
        <v>237.3076992271983</v>
      </c>
      <c r="DR92" s="2">
        <f t="shared" si="73"/>
        <v>0.98159858481754003</v>
      </c>
      <c r="DS92" s="2">
        <f t="shared" si="74"/>
        <v>0.97801354507057725</v>
      </c>
      <c r="DT92" s="2">
        <f t="shared" si="75"/>
        <v>1.0316280631907271</v>
      </c>
      <c r="DU92" s="2">
        <f t="shared" si="76"/>
        <v>0.73362288998475278</v>
      </c>
      <c r="DY92" s="2">
        <v>85</v>
      </c>
      <c r="DZ92" s="2">
        <f t="shared" si="77"/>
        <v>2755369.850161822</v>
      </c>
      <c r="EA92" s="2">
        <f t="shared" si="78"/>
        <v>2343692.960597116</v>
      </c>
      <c r="EB92" s="2">
        <f t="shared" si="79"/>
        <v>1927921.7685571339</v>
      </c>
      <c r="EC92" s="2">
        <f t="shared" si="80"/>
        <v>1248445.1678837102</v>
      </c>
      <c r="ED92" s="2">
        <f t="shared" si="81"/>
        <v>422879.30335709918</v>
      </c>
      <c r="EF92" s="57">
        <f t="shared" si="82"/>
        <v>0.62068965517241381</v>
      </c>
      <c r="EG92" s="57">
        <f t="shared" si="83"/>
        <v>0.25862068965517243</v>
      </c>
      <c r="EH92" s="41">
        <f t="shared" si="84"/>
        <v>0.1206896551724138</v>
      </c>
      <c r="EJ92" s="57">
        <f t="shared" si="85"/>
        <v>0.5714285714285714</v>
      </c>
      <c r="EK92" s="57">
        <f t="shared" si="86"/>
        <v>0.23809523809523814</v>
      </c>
      <c r="EL92" s="41">
        <f t="shared" si="87"/>
        <v>0.19047619047619047</v>
      </c>
      <c r="EN92" s="57">
        <f t="shared" si="88"/>
        <v>0.57142857142857151</v>
      </c>
      <c r="EO92" s="57">
        <f t="shared" si="89"/>
        <v>0.23809523809523814</v>
      </c>
      <c r="EP92" s="41">
        <f t="shared" si="90"/>
        <v>0.19047619047619049</v>
      </c>
    </row>
    <row r="93" spans="20:146" x14ac:dyDescent="0.15">
      <c r="T93" s="2">
        <v>86</v>
      </c>
      <c r="U93" s="2">
        <f>$N$8*SUM(C$11:C$12)/(365/12)*MAX(节奏总纲!D89-$E$2,0)</f>
        <v>6880.9315810541457</v>
      </c>
      <c r="V93" s="2">
        <f>$N$8*SUM(D$11:D$12)/(365/12)*MAX(节奏总纲!E89-$E$2,0)</f>
        <v>5765.2861462305491</v>
      </c>
      <c r="W93" s="2">
        <f>$N$8*SUM(E$11:E$12)/(365/12)*MAX(节奏总纲!F89-$E$2,0)</f>
        <v>4465.5999316477328</v>
      </c>
      <c r="X93" s="2">
        <f>$N$8*SUM(F$11:F$12)/(365/12)*MAX(节奏总纲!G89-$E$2,0)</f>
        <v>2933.0125532988218</v>
      </c>
      <c r="Y93" s="2">
        <f>$N$8*SUM(G$11:G$12)/(365/12)*MAX(节奏总纲!H89-$E$2,0)</f>
        <v>1029.9005962311255</v>
      </c>
      <c r="Z93" s="2">
        <f>$O$8*SUM(C$11:C$12)/(365/12)*MAX(节奏总纲!D89-$E$2,0)</f>
        <v>68809.315810541462</v>
      </c>
      <c r="AA93" s="2">
        <f>$O$8*SUM(D$11:D$12)/(365/12)*MAX(节奏总纲!E89-$E$2,0)</f>
        <v>57652.861462305489</v>
      </c>
      <c r="AB93" s="2">
        <f>$O$8*SUM(E$11:E$12)/(365/12)*MAX(节奏总纲!F89-$E$2,0)</f>
        <v>44655.999316477326</v>
      </c>
      <c r="AC93" s="2">
        <f>$O$8*SUM(F$11:F$12)/(365/12)*MAX(节奏总纲!G89-$E$2,0)</f>
        <v>29330.125532988215</v>
      </c>
      <c r="AD93" s="2">
        <f>$O$8*SUM(G$11:G$12)/(365/12)*MAX(节奏总纲!H89-$E$2,0)</f>
        <v>10299.005962311254</v>
      </c>
      <c r="AE93" s="2">
        <f>$Q$8*SUM(C$11:C$12)/(365/12)*MAX(节奏总纲!D89-$E$2,0)</f>
        <v>86011.64476317681</v>
      </c>
      <c r="AF93" s="2">
        <f>$Q$8*SUM(D$11:D$12)/(365/12)*MAX(节奏总纲!E89-$E$2,0)</f>
        <v>72066.076827881858</v>
      </c>
      <c r="AG93" s="2">
        <f>$Q$8*SUM(E$11:E$12)/(365/12)*MAX(节奏总纲!F89-$E$2,0)</f>
        <v>55819.999145596659</v>
      </c>
      <c r="AH93" s="2">
        <f>$Q$8*SUM(F$11:F$12)/(365/12)*MAX(节奏总纲!G89-$E$2,0)</f>
        <v>36662.656916235268</v>
      </c>
      <c r="AI93" s="2">
        <f>$Q$8*SUM(G$11:G$12)/(365/12)*MAX(节奏总纲!H89-$E$2,0)</f>
        <v>12873.757452889067</v>
      </c>
      <c r="AJ93" s="2">
        <f>$P$8*SUM(C$11:C$12)/(365/12)*MAX(节奏总纲!D89-$E$2,0)</f>
        <v>1857851.5268846191</v>
      </c>
      <c r="AK93" s="2">
        <f>$P$8*SUM(D$11:D$12)/(365/12)*MAX(节奏总纲!E89-$E$2,0)</f>
        <v>1556627.2594822482</v>
      </c>
      <c r="AL93" s="2">
        <f>$P$8*SUM(E$11:E$12)/(365/12)*MAX(节奏总纲!F89-$E$2,0)</f>
        <v>1205711.9815448879</v>
      </c>
      <c r="AM93" s="2">
        <f>$P$8*SUM(F$11:F$12)/(365/12)*MAX(节奏总纲!G89-$E$2,0)</f>
        <v>791913.38939068175</v>
      </c>
      <c r="AN93" s="2">
        <f>$P$8*SUM(G$11:G$12)/(365/12)*MAX(节奏总纲!H89-$E$2,0)</f>
        <v>278073.16098240385</v>
      </c>
      <c r="BC93" s="2">
        <v>86</v>
      </c>
      <c r="BD93" s="2">
        <f>$AZ$8/(365/12)*MAX(节奏总纲!D89-$E$2,0)</f>
        <v>32254.366786191309</v>
      </c>
      <c r="BE93" s="2">
        <f>$AZ$8/(365/12)*MAX(节奏总纲!E89-$E$2,0)</f>
        <v>27024.7788104557</v>
      </c>
      <c r="BF93" s="2">
        <f>$AZ$8/(365/12)*MAX(节奏总纲!F89-$E$2,0)</f>
        <v>20932.49967959875</v>
      </c>
      <c r="BG93" s="2">
        <f>$AZ$8/(365/12)*MAX(节奏总纲!G89-$E$2,0)</f>
        <v>13748.496343588227</v>
      </c>
      <c r="BH93" s="2">
        <f>$AZ$8/(365/12)*MAX(节奏总纲!H89-$E$2,0)</f>
        <v>4827.6590448334009</v>
      </c>
      <c r="BI93" s="2">
        <f>$AY$8/(365/12)*MAX(节奏总纲!D89-$E$2,0)</f>
        <v>774104.80286859139</v>
      </c>
      <c r="BJ93" s="2">
        <f>$AY$8/(365/12)*MAX(节奏总纲!E89-$E$2,0)</f>
        <v>648594.69145093684</v>
      </c>
      <c r="BK93" s="2">
        <f>$AY$8/(365/12)*MAX(节奏总纲!F89-$E$2,0)</f>
        <v>502379.99231036997</v>
      </c>
      <c r="BL93" s="2">
        <f>$AY$8/(365/12)*MAX(节奏总纲!G89-$E$2,0)</f>
        <v>329963.91224611743</v>
      </c>
      <c r="BM93" s="2">
        <f>$AY$8/(365/12)*MAX(节奏总纲!H89-$E$2,0)</f>
        <v>115863.81707600162</v>
      </c>
      <c r="CD93" s="2">
        <v>86</v>
      </c>
      <c r="CE93" s="2">
        <f>INDEX($BY$8:$BY$15,MATCH(CE$7,$CB$8:$CB$15,0))*SUM(C$11:C$12)/(365/12)*MAX(节奏总纲!D89-$E$2,0)</f>
        <v>8601.1644763176828</v>
      </c>
      <c r="CF93" s="2">
        <f>INDEX($BY$8:$BY$15,MATCH(CF$7,$CB$8:$CB$15,0))*SUM(D$11:D$12)/(365/12)*MAX(节奏总纲!E89-$E$2,0)</f>
        <v>8647.9292193458241</v>
      </c>
      <c r="CG93" s="2">
        <f>INDEX($BY$8:$BY$15,MATCH(CG$7,$CB$8:$CB$15,0))*SUM(E$11:E$12)/(365/12)*MAX(节奏总纲!F89-$E$2,0)</f>
        <v>11163.999829119331</v>
      </c>
      <c r="CH93" s="2">
        <f>INDEX($BY$8:$BY$15,MATCH(CH$7,$CB$8:$CB$15,0))*SUM(F$11:F$12)/(365/12)*MAX(节奏总纲!G89-$E$2,0)</f>
        <v>18331.328458117634</v>
      </c>
      <c r="CI93" s="2">
        <f>INDEX($BY$8:$BY$15,MATCH(CI$7,$CB$8:$CB$15,0))*SUM(G$11:G$12)/(365/12)*MAX(节奏总纲!H89-$E$2,0)</f>
        <v>10299.005962311254</v>
      </c>
      <c r="CJ93" s="2">
        <f>INDEX($BZ$8:$BZ$15,MATCH(CE$7,$CB$8:$CB$15,0))*SUM(C$11:C$12)/(365/12)*MAX(节奏总纲!D89-$E$2,0)</f>
        <v>361248.90800534264</v>
      </c>
      <c r="CK93" s="2">
        <f>INDEX($BZ$8:$BZ$15,MATCH(CF$7,$CB$8:$CB$15,0))*SUM(D$11:D$12)/(365/12)*MAX(节奏总纲!E89-$E$2,0)</f>
        <v>345917.16877383296</v>
      </c>
      <c r="CL93" s="2">
        <f>INDEX($BZ$8:$BZ$15,MATCH(CG$7,$CB$8:$CB$15,0))*SUM(E$11:E$12)/(365/12)*MAX(节奏总纲!F89-$E$2,0)</f>
        <v>401903.99384829594</v>
      </c>
      <c r="CM93" s="2">
        <f>INDEX($BZ$8:$BZ$15,MATCH(CH$7,$CB$8:$CB$15,0))*SUM(F$11:F$12)/(365/12)*MAX(节奏总纲!G89-$E$2,0)</f>
        <v>263971.12979689392</v>
      </c>
      <c r="CN93" s="2">
        <f>INDEX($BZ$8:$BZ$15,MATCH(CI$7,$CB$8:$CB$15,0))*SUM(G$11:G$12)/(365/12)*MAX(节奏总纲!H89-$E$2,0)</f>
        <v>92691.053660801292</v>
      </c>
      <c r="CS93" s="2">
        <v>86</v>
      </c>
      <c r="CT93" s="2">
        <f t="shared" si="59"/>
        <v>126867.17602568581</v>
      </c>
      <c r="CU93" s="2">
        <f t="shared" si="60"/>
        <v>107738.78485768338</v>
      </c>
      <c r="CV93" s="2">
        <f t="shared" si="61"/>
        <v>87916.498654314739</v>
      </c>
      <c r="CW93" s="2">
        <f t="shared" si="62"/>
        <v>68742.481717941118</v>
      </c>
      <c r="CX93" s="2">
        <f t="shared" si="63"/>
        <v>28000.422460033722</v>
      </c>
      <c r="CZ93" s="41">
        <f t="shared" si="64"/>
        <v>0.67796610169491511</v>
      </c>
      <c r="DA93" s="41">
        <f t="shared" si="65"/>
        <v>0.25423728813559321</v>
      </c>
      <c r="DB93" s="41">
        <f t="shared" si="66"/>
        <v>6.7796610169491525E-2</v>
      </c>
      <c r="DD93" s="41">
        <f t="shared" si="67"/>
        <v>0.63492063492063489</v>
      </c>
      <c r="DE93" s="41">
        <f t="shared" si="68"/>
        <v>0.23809523809523814</v>
      </c>
      <c r="DF93" s="41">
        <f t="shared" si="69"/>
        <v>0.12698412698412698</v>
      </c>
      <c r="DH93" s="41">
        <f t="shared" si="70"/>
        <v>0.45977011494252873</v>
      </c>
      <c r="DI93" s="41">
        <f t="shared" si="71"/>
        <v>0.17241379310344829</v>
      </c>
      <c r="DJ93" s="41">
        <f t="shared" si="72"/>
        <v>0.36781609195402298</v>
      </c>
      <c r="DL93" s="2">
        <f>CT93/节奏总纲!D89</f>
        <v>327.80230491761347</v>
      </c>
      <c r="DM93" s="2">
        <f>CU93/节奏总纲!E89</f>
        <v>322.57002462168481</v>
      </c>
      <c r="DN93" s="2">
        <f>CV93/节奏总纲!F89</f>
        <v>322.94662460932381</v>
      </c>
      <c r="DO93" s="2">
        <f>CW93/节奏总纲!G89</f>
        <v>344.75619794149816</v>
      </c>
      <c r="DP93" s="2">
        <f>CX93/节奏总纲!H89</f>
        <v>257.00934496881496</v>
      </c>
      <c r="DR93" s="2">
        <f t="shared" si="73"/>
        <v>0.98403830535223447</v>
      </c>
      <c r="DS93" s="2">
        <f t="shared" si="74"/>
        <v>0.98518716849928789</v>
      </c>
      <c r="DT93" s="2">
        <f t="shared" si="75"/>
        <v>1.0517198713051932</v>
      </c>
      <c r="DU93" s="2">
        <f t="shared" si="76"/>
        <v>0.78403763827532913</v>
      </c>
      <c r="DY93" s="2">
        <v>86</v>
      </c>
      <c r="DZ93" s="2">
        <f t="shared" si="77"/>
        <v>2993205.2377585536</v>
      </c>
      <c r="EA93" s="2">
        <f t="shared" si="78"/>
        <v>2551139.1197070181</v>
      </c>
      <c r="EB93" s="2">
        <f t="shared" si="79"/>
        <v>2109995.9677035538</v>
      </c>
      <c r="EC93" s="2">
        <f t="shared" si="80"/>
        <v>1385848.431433693</v>
      </c>
      <c r="ED93" s="2">
        <f t="shared" si="81"/>
        <v>486628.03171920672</v>
      </c>
      <c r="EF93" s="57">
        <f t="shared" si="82"/>
        <v>0.6206896551724137</v>
      </c>
      <c r="EG93" s="57">
        <f t="shared" si="83"/>
        <v>0.25862068965517238</v>
      </c>
      <c r="EH93" s="41">
        <f t="shared" si="84"/>
        <v>0.12068965517241378</v>
      </c>
      <c r="EJ93" s="57">
        <f t="shared" si="85"/>
        <v>0.5714285714285714</v>
      </c>
      <c r="EK93" s="57">
        <f t="shared" si="86"/>
        <v>0.23809523809523811</v>
      </c>
      <c r="EL93" s="41">
        <f t="shared" si="87"/>
        <v>0.19047619047619047</v>
      </c>
      <c r="EN93" s="57">
        <f t="shared" si="88"/>
        <v>0.5714285714285714</v>
      </c>
      <c r="EO93" s="57">
        <f t="shared" si="89"/>
        <v>0.23809523809523814</v>
      </c>
      <c r="EP93" s="41">
        <f t="shared" si="90"/>
        <v>0.19047619047619049</v>
      </c>
    </row>
    <row r="94" spans="20:146" x14ac:dyDescent="0.15">
      <c r="T94" s="2">
        <v>87</v>
      </c>
      <c r="U94" s="2">
        <f>$N$8*SUM(C$11:C$12)/(365/12)*MAX(节奏总纲!D90-$E$2,0)</f>
        <v>7466.9215968661138</v>
      </c>
      <c r="V94" s="2">
        <f>$N$8*SUM(D$11:D$12)/(365/12)*MAX(节奏总纲!E90-$E$2,0)</f>
        <v>6276.2331622864531</v>
      </c>
      <c r="W94" s="2">
        <f>$N$8*SUM(E$11:E$12)/(365/12)*MAX(节奏总纲!F90-$E$2,0)</f>
        <v>4890.0064510602788</v>
      </c>
      <c r="X94" s="2">
        <f>$N$8*SUM(F$11:F$12)/(365/12)*MAX(节奏总纲!G90-$E$2,0)</f>
        <v>3210.4723248643336</v>
      </c>
      <c r="Y94" s="2">
        <f>$N$8*SUM(G$11:G$12)/(365/12)*MAX(节奏总纲!H90-$E$2,0)</f>
        <v>1173.033317306468</v>
      </c>
      <c r="Z94" s="2">
        <f>$O$8*SUM(C$11:C$12)/(365/12)*MAX(节奏总纲!D90-$E$2,0)</f>
        <v>74669.215968661141</v>
      </c>
      <c r="AA94" s="2">
        <f>$O$8*SUM(D$11:D$12)/(365/12)*MAX(节奏总纲!E90-$E$2,0)</f>
        <v>62762.331622864527</v>
      </c>
      <c r="AB94" s="2">
        <f>$O$8*SUM(E$11:E$12)/(365/12)*MAX(节奏总纲!F90-$E$2,0)</f>
        <v>48900.064510602781</v>
      </c>
      <c r="AC94" s="2">
        <f>$O$8*SUM(F$11:F$12)/(365/12)*MAX(节奏总纲!G90-$E$2,0)</f>
        <v>32104.723248643335</v>
      </c>
      <c r="AD94" s="2">
        <f>$O$8*SUM(G$11:G$12)/(365/12)*MAX(节奏总纲!H90-$E$2,0)</f>
        <v>11730.333173064681</v>
      </c>
      <c r="AE94" s="2">
        <f>$Q$8*SUM(C$11:C$12)/(365/12)*MAX(节奏总纲!D90-$E$2,0)</f>
        <v>93336.519960826423</v>
      </c>
      <c r="AF94" s="2">
        <f>$Q$8*SUM(D$11:D$12)/(365/12)*MAX(节奏总纲!E90-$E$2,0)</f>
        <v>78452.914528580659</v>
      </c>
      <c r="AG94" s="2">
        <f>$Q$8*SUM(E$11:E$12)/(365/12)*MAX(节奏总纲!F90-$E$2,0)</f>
        <v>61125.080638253479</v>
      </c>
      <c r="AH94" s="2">
        <f>$Q$8*SUM(F$11:F$12)/(365/12)*MAX(节奏总纲!G90-$E$2,0)</f>
        <v>40130.904060804169</v>
      </c>
      <c r="AI94" s="2">
        <f>$Q$8*SUM(G$11:G$12)/(365/12)*MAX(节奏总纲!H90-$E$2,0)</f>
        <v>14662.916466330849</v>
      </c>
      <c r="AJ94" s="2">
        <f>$P$8*SUM(C$11:C$12)/(365/12)*MAX(节奏总纲!D90-$E$2,0)</f>
        <v>2016068.8311538508</v>
      </c>
      <c r="AK94" s="2">
        <f>$P$8*SUM(D$11:D$12)/(365/12)*MAX(节奏总纲!E90-$E$2,0)</f>
        <v>1694582.9538173422</v>
      </c>
      <c r="AL94" s="2">
        <f>$P$8*SUM(E$11:E$12)/(365/12)*MAX(节奏总纲!F90-$E$2,0)</f>
        <v>1320301.7417862751</v>
      </c>
      <c r="AM94" s="2">
        <f>$P$8*SUM(F$11:F$12)/(365/12)*MAX(节奏总纲!G90-$E$2,0)</f>
        <v>866827.52771337004</v>
      </c>
      <c r="AN94" s="2">
        <f>$P$8*SUM(G$11:G$12)/(365/12)*MAX(节奏总纲!H90-$E$2,0)</f>
        <v>316718.99567274633</v>
      </c>
      <c r="BC94" s="2">
        <v>87</v>
      </c>
      <c r="BD94" s="2">
        <f>$AZ$8/(365/12)*MAX(节奏总纲!D90-$E$2,0)</f>
        <v>35001.194985309914</v>
      </c>
      <c r="BE94" s="2">
        <f>$AZ$8/(365/12)*MAX(节奏总纲!E90-$E$2,0)</f>
        <v>29419.842948217749</v>
      </c>
      <c r="BF94" s="2">
        <f>$AZ$8/(365/12)*MAX(节奏总纲!F90-$E$2,0)</f>
        <v>22921.905239345055</v>
      </c>
      <c r="BG94" s="2">
        <f>$AZ$8/(365/12)*MAX(节奏总纲!G90-$E$2,0)</f>
        <v>15049.089022801563</v>
      </c>
      <c r="BH94" s="2">
        <f>$AZ$8/(365/12)*MAX(节奏总纲!H90-$E$2,0)</f>
        <v>5498.5936748740687</v>
      </c>
      <c r="BI94" s="2">
        <f>$AY$8/(365/12)*MAX(节奏总纲!D90-$E$2,0)</f>
        <v>840028.67964743788</v>
      </c>
      <c r="BJ94" s="2">
        <f>$AY$8/(365/12)*MAX(节奏总纲!E90-$E$2,0)</f>
        <v>706076.230757226</v>
      </c>
      <c r="BK94" s="2">
        <f>$AY$8/(365/12)*MAX(节奏总纲!F90-$E$2,0)</f>
        <v>550125.72574428131</v>
      </c>
      <c r="BL94" s="2">
        <f>$AY$8/(365/12)*MAX(节奏总纲!G90-$E$2,0)</f>
        <v>361178.13654723752</v>
      </c>
      <c r="BM94" s="2">
        <f>$AY$8/(365/12)*MAX(节奏总纲!H90-$E$2,0)</f>
        <v>131966.24819697766</v>
      </c>
      <c r="CD94" s="2">
        <v>87</v>
      </c>
      <c r="CE94" s="2">
        <f>INDEX($BY$8:$BY$15,MATCH(CE$7,$CB$8:$CB$15,0))*SUM(C$11:C$12)/(365/12)*MAX(节奏总纲!D90-$E$2,0)</f>
        <v>9333.6519960826427</v>
      </c>
      <c r="CF94" s="2">
        <f>INDEX($BY$8:$BY$15,MATCH(CF$7,$CB$8:$CB$15,0))*SUM(D$11:D$12)/(365/12)*MAX(节奏总纲!E90-$E$2,0)</f>
        <v>9414.3497434296787</v>
      </c>
      <c r="CG94" s="2">
        <f>INDEX($BY$8:$BY$15,MATCH(CG$7,$CB$8:$CB$15,0))*SUM(E$11:E$12)/(365/12)*MAX(节奏总纲!F90-$E$2,0)</f>
        <v>12225.016127650695</v>
      </c>
      <c r="CH94" s="2">
        <f>INDEX($BY$8:$BY$15,MATCH(CH$7,$CB$8:$CB$15,0))*SUM(F$11:F$12)/(365/12)*MAX(节奏总纲!G90-$E$2,0)</f>
        <v>20065.452030402084</v>
      </c>
      <c r="CI94" s="2">
        <f>INDEX($BY$8:$BY$15,MATCH(CI$7,$CB$8:$CB$15,0))*SUM(G$11:G$12)/(365/12)*MAX(节奏总纲!H90-$E$2,0)</f>
        <v>11730.333173064681</v>
      </c>
      <c r="CJ94" s="2">
        <f>INDEX($BZ$8:$BZ$15,MATCH(CE$7,$CB$8:$CB$15,0))*SUM(C$11:C$12)/(365/12)*MAX(节奏总纲!D90-$E$2,0)</f>
        <v>392013.383835471</v>
      </c>
      <c r="CK94" s="2">
        <f>INDEX($BZ$8:$BZ$15,MATCH(CF$7,$CB$8:$CB$15,0))*SUM(D$11:D$12)/(365/12)*MAX(节奏总纲!E90-$E$2,0)</f>
        <v>376573.98973718722</v>
      </c>
      <c r="CL94" s="2">
        <f>INDEX($BZ$8:$BZ$15,MATCH(CG$7,$CB$8:$CB$15,0))*SUM(E$11:E$12)/(365/12)*MAX(节奏总纲!F90-$E$2,0)</f>
        <v>440100.58059542504</v>
      </c>
      <c r="CM94" s="2">
        <f>INDEX($BZ$8:$BZ$15,MATCH(CH$7,$CB$8:$CB$15,0))*SUM(F$11:F$12)/(365/12)*MAX(节奏总纲!G90-$E$2,0)</f>
        <v>288942.50923779001</v>
      </c>
      <c r="CN94" s="2">
        <f>INDEX($BZ$8:$BZ$15,MATCH(CI$7,$CB$8:$CB$15,0))*SUM(G$11:G$12)/(365/12)*MAX(节奏总纲!H90-$E$2,0)</f>
        <v>105572.99855758212</v>
      </c>
      <c r="CS94" s="2">
        <v>87</v>
      </c>
      <c r="CT94" s="2">
        <f t="shared" si="59"/>
        <v>137671.366942219</v>
      </c>
      <c r="CU94" s="2">
        <f t="shared" si="60"/>
        <v>117287.10722022808</v>
      </c>
      <c r="CV94" s="2">
        <f t="shared" si="61"/>
        <v>96272.002005249233</v>
      </c>
      <c r="CW94" s="2">
        <f t="shared" si="62"/>
        <v>75245.445114007816</v>
      </c>
      <c r="CX94" s="2">
        <f t="shared" si="63"/>
        <v>31891.843314269601</v>
      </c>
      <c r="CZ94" s="41">
        <f t="shared" si="64"/>
        <v>0.67796610169491511</v>
      </c>
      <c r="DA94" s="41">
        <f t="shared" si="65"/>
        <v>0.25423728813559321</v>
      </c>
      <c r="DB94" s="41">
        <f t="shared" si="66"/>
        <v>6.7796610169491511E-2</v>
      </c>
      <c r="DD94" s="41">
        <f t="shared" si="67"/>
        <v>0.63492063492063489</v>
      </c>
      <c r="DE94" s="41">
        <f t="shared" si="68"/>
        <v>0.23809523809523808</v>
      </c>
      <c r="DF94" s="41">
        <f t="shared" si="69"/>
        <v>0.12698412698412698</v>
      </c>
      <c r="DH94" s="41">
        <f t="shared" si="70"/>
        <v>0.45977011494252867</v>
      </c>
      <c r="DI94" s="41">
        <f t="shared" si="71"/>
        <v>0.17241379310344826</v>
      </c>
      <c r="DJ94" s="41">
        <f t="shared" si="72"/>
        <v>0.36781609195402298</v>
      </c>
      <c r="DL94" s="2">
        <f>CT94/节奏总纲!D90</f>
        <v>331.83960305057303</v>
      </c>
      <c r="DM94" s="2">
        <f>CU94/节奏总纲!E90</f>
        <v>327.35745217076931</v>
      </c>
      <c r="DN94" s="2">
        <f>CV94/节奏总纲!F90</f>
        <v>329.24462857022644</v>
      </c>
      <c r="DO94" s="2">
        <f>CW94/节奏总纲!G90</f>
        <v>353.96122151687018</v>
      </c>
      <c r="DP94" s="2">
        <f>CX94/节奏总纲!H90</f>
        <v>275.52436433328853</v>
      </c>
      <c r="DR94" s="2">
        <f t="shared" si="73"/>
        <v>0.98649302000544936</v>
      </c>
      <c r="DS94" s="2">
        <f t="shared" si="74"/>
        <v>0.99218003379798192</v>
      </c>
      <c r="DT94" s="2">
        <f t="shared" si="75"/>
        <v>1.0666635876578172</v>
      </c>
      <c r="DU94" s="2">
        <f t="shared" si="76"/>
        <v>0.83029379796870739</v>
      </c>
      <c r="DY94" s="2">
        <v>87</v>
      </c>
      <c r="DZ94" s="2">
        <f t="shared" si="77"/>
        <v>3248110.8946367595</v>
      </c>
      <c r="EA94" s="2">
        <f t="shared" si="78"/>
        <v>2777233.1743117552</v>
      </c>
      <c r="EB94" s="2">
        <f t="shared" si="79"/>
        <v>2310528.0481259814</v>
      </c>
      <c r="EC94" s="2">
        <f t="shared" si="80"/>
        <v>1516948.1734983977</v>
      </c>
      <c r="ED94" s="2">
        <f t="shared" si="81"/>
        <v>554258.24242730613</v>
      </c>
      <c r="EF94" s="57">
        <f t="shared" si="82"/>
        <v>0.62068965517241381</v>
      </c>
      <c r="EG94" s="57">
        <f t="shared" si="83"/>
        <v>0.25862068965517243</v>
      </c>
      <c r="EH94" s="41">
        <f t="shared" si="84"/>
        <v>0.1206896551724138</v>
      </c>
      <c r="EJ94" s="57">
        <f t="shared" si="85"/>
        <v>0.5714285714285714</v>
      </c>
      <c r="EK94" s="57">
        <f t="shared" si="86"/>
        <v>0.23809523809523811</v>
      </c>
      <c r="EL94" s="41">
        <f t="shared" si="87"/>
        <v>0.19047619047619049</v>
      </c>
      <c r="EN94" s="57">
        <f t="shared" si="88"/>
        <v>0.5714285714285714</v>
      </c>
      <c r="EO94" s="57">
        <f t="shared" si="89"/>
        <v>0.23809523809523811</v>
      </c>
      <c r="EP94" s="41">
        <f t="shared" si="90"/>
        <v>0.19047619047619047</v>
      </c>
    </row>
    <row r="95" spans="20:146" x14ac:dyDescent="0.15">
      <c r="T95" s="2">
        <v>88</v>
      </c>
      <c r="U95" s="2">
        <f>$N$8*SUM(C$11:C$12)/(365/12)*MAX(节奏总纲!D91-$E$2,0)</f>
        <v>8094.9701451246219</v>
      </c>
      <c r="V95" s="2">
        <f>$N$8*SUM(D$11:D$12)/(365/12)*MAX(节奏总纲!E91-$E$2,0)</f>
        <v>6833.5877860001783</v>
      </c>
      <c r="W95" s="2">
        <f>$N$8*SUM(E$11:E$12)/(365/12)*MAX(节奏总纲!F91-$E$2,0)</f>
        <v>5321.4261447946155</v>
      </c>
      <c r="X95" s="2">
        <f>$N$8*SUM(F$11:F$12)/(365/12)*MAX(节奏总纲!G91-$E$2,0)</f>
        <v>3492.9831702180863</v>
      </c>
      <c r="Y95" s="2">
        <f>$N$8*SUM(G$11:G$12)/(365/12)*MAX(节奏总纲!H91-$E$2,0)</f>
        <v>1329.5439904734928</v>
      </c>
      <c r="Z95" s="2">
        <f>$O$8*SUM(C$11:C$12)/(365/12)*MAX(节奏总纲!D91-$E$2,0)</f>
        <v>80949.701451246219</v>
      </c>
      <c r="AA95" s="2">
        <f>$O$8*SUM(D$11:D$12)/(365/12)*MAX(节奏总纲!E91-$E$2,0)</f>
        <v>68335.877860001783</v>
      </c>
      <c r="AB95" s="2">
        <f>$O$8*SUM(E$11:E$12)/(365/12)*MAX(节奏总纲!F91-$E$2,0)</f>
        <v>53214.261447946155</v>
      </c>
      <c r="AC95" s="2">
        <f>$O$8*SUM(F$11:F$12)/(365/12)*MAX(节奏总纲!G91-$E$2,0)</f>
        <v>34929.831702180862</v>
      </c>
      <c r="AD95" s="2">
        <f>$O$8*SUM(G$11:G$12)/(365/12)*MAX(节奏总纲!H91-$E$2,0)</f>
        <v>13295.439904734929</v>
      </c>
      <c r="AE95" s="2">
        <f>$Q$8*SUM(C$11:C$12)/(365/12)*MAX(节奏总纲!D91-$E$2,0)</f>
        <v>101187.12681405776</v>
      </c>
      <c r="AF95" s="2">
        <f>$Q$8*SUM(D$11:D$12)/(365/12)*MAX(节奏总纲!E91-$E$2,0)</f>
        <v>85419.847325002222</v>
      </c>
      <c r="AG95" s="2">
        <f>$Q$8*SUM(E$11:E$12)/(365/12)*MAX(节奏总纲!F91-$E$2,0)</f>
        <v>66517.826809932681</v>
      </c>
      <c r="AH95" s="2">
        <f>$Q$8*SUM(F$11:F$12)/(365/12)*MAX(节奏总纲!G91-$E$2,0)</f>
        <v>43662.289627726073</v>
      </c>
      <c r="AI95" s="2">
        <f>$Q$8*SUM(G$11:G$12)/(365/12)*MAX(节奏总纲!H91-$E$2,0)</f>
        <v>16619.299880918661</v>
      </c>
      <c r="AJ95" s="2">
        <f>$P$8*SUM(C$11:C$12)/(365/12)*MAX(节奏总纲!D91-$E$2,0)</f>
        <v>2185641.9391836477</v>
      </c>
      <c r="AK95" s="2">
        <f>$P$8*SUM(D$11:D$12)/(365/12)*MAX(节奏总纲!E91-$E$2,0)</f>
        <v>1845068.7022200481</v>
      </c>
      <c r="AL95" s="2">
        <f>$P$8*SUM(E$11:E$12)/(365/12)*MAX(节奏总纲!F91-$E$2,0)</f>
        <v>1436785.0590945461</v>
      </c>
      <c r="AM95" s="2">
        <f>$P$8*SUM(F$11:F$12)/(365/12)*MAX(节奏总纲!G91-$E$2,0)</f>
        <v>943105.45595888328</v>
      </c>
      <c r="AN95" s="2">
        <f>$P$8*SUM(G$11:G$12)/(365/12)*MAX(节奏总纲!H91-$E$2,0)</f>
        <v>358976.87742784311</v>
      </c>
      <c r="BC95" s="2">
        <v>88</v>
      </c>
      <c r="BD95" s="2">
        <f>$AZ$8/(365/12)*MAX(节奏总纲!D91-$E$2,0)</f>
        <v>37945.172555271667</v>
      </c>
      <c r="BE95" s="2">
        <f>$AZ$8/(365/12)*MAX(节奏总纲!E91-$E$2,0)</f>
        <v>32032.442746875837</v>
      </c>
      <c r="BF95" s="2">
        <f>$AZ$8/(365/12)*MAX(节奏总纲!F91-$E$2,0)</f>
        <v>24944.185053724759</v>
      </c>
      <c r="BG95" s="2">
        <f>$AZ$8/(365/12)*MAX(节奏总纲!G91-$E$2,0)</f>
        <v>16373.358610397279</v>
      </c>
      <c r="BH95" s="2">
        <f>$AZ$8/(365/12)*MAX(节奏总纲!H91-$E$2,0)</f>
        <v>6232.2374553444979</v>
      </c>
      <c r="BI95" s="2">
        <f>$AY$8/(365/12)*MAX(节奏总纲!D91-$E$2,0)</f>
        <v>910684.14132652001</v>
      </c>
      <c r="BJ95" s="2">
        <f>$AY$8/(365/12)*MAX(节奏总纲!E91-$E$2,0)</f>
        <v>768778.62592502008</v>
      </c>
      <c r="BK95" s="2">
        <f>$AY$8/(365/12)*MAX(节奏总纲!F91-$E$2,0)</f>
        <v>598660.44128939428</v>
      </c>
      <c r="BL95" s="2">
        <f>$AY$8/(365/12)*MAX(节奏总纲!G91-$E$2,0)</f>
        <v>392960.60664953472</v>
      </c>
      <c r="BM95" s="2">
        <f>$AY$8/(365/12)*MAX(节奏总纲!H91-$E$2,0)</f>
        <v>149573.69892826796</v>
      </c>
      <c r="CD95" s="2">
        <v>88</v>
      </c>
      <c r="CE95" s="2">
        <f>INDEX($BY$8:$BY$15,MATCH(CE$7,$CB$8:$CB$15,0))*SUM(C$11:C$12)/(365/12)*MAX(节奏总纲!D91-$E$2,0)</f>
        <v>10118.712681405777</v>
      </c>
      <c r="CF95" s="2">
        <f>INDEX($BY$8:$BY$15,MATCH(CF$7,$CB$8:$CB$15,0))*SUM(D$11:D$12)/(365/12)*MAX(节奏总纲!E91-$E$2,0)</f>
        <v>10250.381679000267</v>
      </c>
      <c r="CG95" s="2">
        <f>INDEX($BY$8:$BY$15,MATCH(CG$7,$CB$8:$CB$15,0))*SUM(E$11:E$12)/(365/12)*MAX(节奏总纲!F91-$E$2,0)</f>
        <v>13303.565361986539</v>
      </c>
      <c r="CH95" s="2">
        <f>INDEX($BY$8:$BY$15,MATCH(CH$7,$CB$8:$CB$15,0))*SUM(F$11:F$12)/(365/12)*MAX(节奏总纲!G91-$E$2,0)</f>
        <v>21831.144813863037</v>
      </c>
      <c r="CI95" s="2">
        <f>INDEX($BY$8:$BY$15,MATCH(CI$7,$CB$8:$CB$15,0))*SUM(G$11:G$12)/(365/12)*MAX(节奏总纲!H91-$E$2,0)</f>
        <v>13295.439904734929</v>
      </c>
      <c r="CJ95" s="2">
        <f>INDEX($BZ$8:$BZ$15,MATCH(CE$7,$CB$8:$CB$15,0))*SUM(C$11:C$12)/(365/12)*MAX(节奏总纲!D91-$E$2,0)</f>
        <v>424985.93261904264</v>
      </c>
      <c r="CK95" s="2">
        <f>INDEX($BZ$8:$BZ$15,MATCH(CF$7,$CB$8:$CB$15,0))*SUM(D$11:D$12)/(365/12)*MAX(节奏总纲!E91-$E$2,0)</f>
        <v>410015.2671600107</v>
      </c>
      <c r="CL95" s="2">
        <f>INDEX($BZ$8:$BZ$15,MATCH(CG$7,$CB$8:$CB$15,0))*SUM(E$11:E$12)/(365/12)*MAX(节奏总纲!F91-$E$2,0)</f>
        <v>478928.35303151538</v>
      </c>
      <c r="CM95" s="2">
        <f>INDEX($BZ$8:$BZ$15,MATCH(CH$7,$CB$8:$CB$15,0))*SUM(F$11:F$12)/(365/12)*MAX(节奏总纲!G91-$E$2,0)</f>
        <v>314368.48531962774</v>
      </c>
      <c r="CN95" s="2">
        <f>INDEX($BZ$8:$BZ$15,MATCH(CI$7,$CB$8:$CB$15,0))*SUM(G$11:G$12)/(365/12)*MAX(节奏总纲!H91-$E$2,0)</f>
        <v>119658.95914261436</v>
      </c>
      <c r="CS95" s="2">
        <v>88</v>
      </c>
      <c r="CT95" s="2">
        <f t="shared" si="59"/>
        <v>149251.01205073518</v>
      </c>
      <c r="CU95" s="2">
        <f t="shared" si="60"/>
        <v>127702.67175087833</v>
      </c>
      <c r="CV95" s="2">
        <f t="shared" si="61"/>
        <v>104765.57722564398</v>
      </c>
      <c r="CW95" s="2">
        <f t="shared" si="62"/>
        <v>81866.793051986388</v>
      </c>
      <c r="CX95" s="2">
        <f t="shared" si="63"/>
        <v>36146.977240998087</v>
      </c>
      <c r="CZ95" s="41">
        <f t="shared" si="64"/>
        <v>0.67796610169491534</v>
      </c>
      <c r="DA95" s="41">
        <f t="shared" si="65"/>
        <v>0.25423728813559326</v>
      </c>
      <c r="DB95" s="41">
        <f t="shared" si="66"/>
        <v>6.7796610169491539E-2</v>
      </c>
      <c r="DD95" s="41">
        <f t="shared" si="67"/>
        <v>0.63492063492063489</v>
      </c>
      <c r="DE95" s="41">
        <f t="shared" si="68"/>
        <v>0.23809523809523811</v>
      </c>
      <c r="DF95" s="41">
        <f t="shared" si="69"/>
        <v>0.126984126984127</v>
      </c>
      <c r="DH95" s="41">
        <f t="shared" si="70"/>
        <v>0.45977011494252873</v>
      </c>
      <c r="DI95" s="41">
        <f t="shared" si="71"/>
        <v>0.17241379310344829</v>
      </c>
      <c r="DJ95" s="41">
        <f t="shared" si="72"/>
        <v>0.36781609195402298</v>
      </c>
      <c r="DL95" s="2">
        <f>CT95/节奏总纲!D91</f>
        <v>335.60527588409877</v>
      </c>
      <c r="DM95" s="2">
        <f>CU95/节奏总纲!E91</f>
        <v>331.89061172671018</v>
      </c>
      <c r="DN95" s="2">
        <f>CV95/节奏总纲!F91</f>
        <v>334.81451252491598</v>
      </c>
      <c r="DO95" s="2">
        <f>CW95/节奏总纲!G91</f>
        <v>362.23016386174612</v>
      </c>
      <c r="DP95" s="2">
        <f>CX95/节奏总纲!H91</f>
        <v>293.42945799752709</v>
      </c>
      <c r="DR95" s="2">
        <f t="shared" si="73"/>
        <v>0.98893144886473283</v>
      </c>
      <c r="DS95" s="2">
        <f t="shared" si="74"/>
        <v>0.99764376958288381</v>
      </c>
      <c r="DT95" s="2">
        <f t="shared" si="75"/>
        <v>1.0793339374880455</v>
      </c>
      <c r="DU95" s="2">
        <f t="shared" si="76"/>
        <v>0.87432909755227717</v>
      </c>
      <c r="DY95" s="2">
        <v>88</v>
      </c>
      <c r="DZ95" s="2">
        <f t="shared" si="77"/>
        <v>3521312.0131292106</v>
      </c>
      <c r="EA95" s="2">
        <f t="shared" si="78"/>
        <v>3023862.5953050787</v>
      </c>
      <c r="EB95" s="2">
        <f t="shared" si="79"/>
        <v>2514373.8534154557</v>
      </c>
      <c r="EC95" s="2">
        <f t="shared" si="80"/>
        <v>1650434.5479280457</v>
      </c>
      <c r="ED95" s="2">
        <f t="shared" si="81"/>
        <v>628209.53549872548</v>
      </c>
      <c r="EF95" s="57">
        <f t="shared" si="82"/>
        <v>0.6206896551724137</v>
      </c>
      <c r="EG95" s="57">
        <f t="shared" si="83"/>
        <v>0.25862068965517243</v>
      </c>
      <c r="EH95" s="41">
        <f t="shared" si="84"/>
        <v>0.12068965517241378</v>
      </c>
      <c r="EJ95" s="57">
        <f t="shared" si="85"/>
        <v>0.5714285714285714</v>
      </c>
      <c r="EK95" s="57">
        <f t="shared" si="86"/>
        <v>0.23809523809523814</v>
      </c>
      <c r="EL95" s="41">
        <f t="shared" si="87"/>
        <v>0.19047619047619049</v>
      </c>
      <c r="EN95" s="57">
        <f t="shared" si="88"/>
        <v>0.5714285714285714</v>
      </c>
      <c r="EO95" s="57">
        <f t="shared" si="89"/>
        <v>0.23809523809523808</v>
      </c>
      <c r="EP95" s="41">
        <f t="shared" si="90"/>
        <v>0.19047619047619044</v>
      </c>
    </row>
    <row r="96" spans="20:146" x14ac:dyDescent="0.15">
      <c r="T96" s="2">
        <v>89</v>
      </c>
      <c r="U96" s="2">
        <f>$N$8*SUM(C$11:C$12)/(365/12)*MAX(节奏总纲!D92-$E$2,0)</f>
        <v>8768.0959123325265</v>
      </c>
      <c r="V96" s="2">
        <f>$N$8*SUM(D$11:D$12)/(365/12)*MAX(节奏总纲!E92-$E$2,0)</f>
        <v>7401.9334134563978</v>
      </c>
      <c r="W96" s="2">
        <f>$N$8*SUM(E$11:E$12)/(365/12)*MAX(节奏总纲!F92-$E$2,0)</f>
        <v>5735.8571207741288</v>
      </c>
      <c r="X96" s="2">
        <f>$N$8*SUM(F$11:F$12)/(365/12)*MAX(节奏总纲!G92-$E$2,0)</f>
        <v>3793.9403822835384</v>
      </c>
      <c r="Y96" s="2">
        <f>$N$8*SUM(G$11:G$12)/(365/12)*MAX(节奏总纲!H92-$E$2,0)</f>
        <v>1485.908142992811</v>
      </c>
      <c r="Z96" s="2">
        <f>$O$8*SUM(C$11:C$12)/(365/12)*MAX(节奏总纲!D92-$E$2,0)</f>
        <v>87680.959123325258</v>
      </c>
      <c r="AA96" s="2">
        <f>$O$8*SUM(D$11:D$12)/(365/12)*MAX(节奏总纲!E92-$E$2,0)</f>
        <v>74019.334134563978</v>
      </c>
      <c r="AB96" s="2">
        <f>$O$8*SUM(E$11:E$12)/(365/12)*MAX(节奏总纲!F92-$E$2,0)</f>
        <v>57358.57120774129</v>
      </c>
      <c r="AC96" s="2">
        <f>$O$8*SUM(F$11:F$12)/(365/12)*MAX(节奏总纲!G92-$E$2,0)</f>
        <v>37939.403822835382</v>
      </c>
      <c r="AD96" s="2">
        <f>$O$8*SUM(G$11:G$12)/(365/12)*MAX(节奏总纲!H92-$E$2,0)</f>
        <v>14859.08142992811</v>
      </c>
      <c r="AE96" s="2">
        <f>$Q$8*SUM(C$11:C$12)/(365/12)*MAX(节奏总纲!D92-$E$2,0)</f>
        <v>109601.19890415657</v>
      </c>
      <c r="AF96" s="2">
        <f>$Q$8*SUM(D$11:D$12)/(365/12)*MAX(节奏总纲!E92-$E$2,0)</f>
        <v>92524.167668204973</v>
      </c>
      <c r="AG96" s="2">
        <f>$Q$8*SUM(E$11:E$12)/(365/12)*MAX(节奏总纲!F92-$E$2,0)</f>
        <v>71698.214009676609</v>
      </c>
      <c r="AH96" s="2">
        <f>$Q$8*SUM(F$11:F$12)/(365/12)*MAX(节奏总纲!G92-$E$2,0)</f>
        <v>47424.254778544229</v>
      </c>
      <c r="AI96" s="2">
        <f>$Q$8*SUM(G$11:G$12)/(365/12)*MAX(节奏总纲!H92-$E$2,0)</f>
        <v>18573.851787410134</v>
      </c>
      <c r="AJ96" s="2">
        <f>$P$8*SUM(C$11:C$12)/(365/12)*MAX(节奏总纲!D92-$E$2,0)</f>
        <v>2367385.896329782</v>
      </c>
      <c r="AK96" s="2">
        <f>$P$8*SUM(D$11:D$12)/(365/12)*MAX(节奏总纲!E92-$E$2,0)</f>
        <v>1998522.0216332274</v>
      </c>
      <c r="AL96" s="2">
        <f>$P$8*SUM(E$11:E$12)/(365/12)*MAX(节奏总纲!F92-$E$2,0)</f>
        <v>1548681.4226090149</v>
      </c>
      <c r="AM96" s="2">
        <f>$P$8*SUM(F$11:F$12)/(365/12)*MAX(节奏总纲!G92-$E$2,0)</f>
        <v>1024363.9032165554</v>
      </c>
      <c r="AN96" s="2">
        <f>$P$8*SUM(G$11:G$12)/(365/12)*MAX(节奏总纲!H92-$E$2,0)</f>
        <v>401195.19860805891</v>
      </c>
      <c r="BC96" s="2">
        <v>89</v>
      </c>
      <c r="BD96" s="2">
        <f>$AZ$8/(365/12)*MAX(节奏总纲!D92-$E$2,0)</f>
        <v>41100.449589058713</v>
      </c>
      <c r="BE96" s="2">
        <f>$AZ$8/(365/12)*MAX(节奏总纲!E92-$E$2,0)</f>
        <v>34696.56287557687</v>
      </c>
      <c r="BF96" s="2">
        <f>$AZ$8/(365/12)*MAX(节奏总纲!F92-$E$2,0)</f>
        <v>26886.83025362873</v>
      </c>
      <c r="BG96" s="2">
        <f>$AZ$8/(365/12)*MAX(节奏总纲!G92-$E$2,0)</f>
        <v>17784.095541954088</v>
      </c>
      <c r="BH96" s="2">
        <f>$AZ$8/(365/12)*MAX(节奏总纲!H92-$E$2,0)</f>
        <v>6965.1944202788018</v>
      </c>
      <c r="BI96" s="2">
        <f>$AY$8/(365/12)*MAX(节奏总纲!D92-$E$2,0)</f>
        <v>986410.79013740923</v>
      </c>
      <c r="BJ96" s="2">
        <f>$AY$8/(365/12)*MAX(节奏总纲!E92-$E$2,0)</f>
        <v>832717.50901384489</v>
      </c>
      <c r="BK96" s="2">
        <f>$AY$8/(365/12)*MAX(节奏总纲!F92-$E$2,0)</f>
        <v>645283.92608708958</v>
      </c>
      <c r="BL96" s="2">
        <f>$AY$8/(365/12)*MAX(节奏总纲!G92-$E$2,0)</f>
        <v>426818.29300689814</v>
      </c>
      <c r="BM96" s="2">
        <f>$AY$8/(365/12)*MAX(节奏总纲!H92-$E$2,0)</f>
        <v>167164.66608669123</v>
      </c>
      <c r="CD96" s="2">
        <v>89</v>
      </c>
      <c r="CE96" s="2">
        <f>INDEX($BY$8:$BY$15,MATCH(CE$7,$CB$8:$CB$15,0))*SUM(C$11:C$12)/(365/12)*MAX(节奏总纲!D92-$E$2,0)</f>
        <v>10960.119890415657</v>
      </c>
      <c r="CF96" s="2">
        <f>INDEX($BY$8:$BY$15,MATCH(CF$7,$CB$8:$CB$15,0))*SUM(D$11:D$12)/(365/12)*MAX(节奏总纲!E92-$E$2,0)</f>
        <v>11102.900120184597</v>
      </c>
      <c r="CG96" s="2">
        <f>INDEX($BY$8:$BY$15,MATCH(CG$7,$CB$8:$CB$15,0))*SUM(E$11:E$12)/(365/12)*MAX(节奏总纲!F92-$E$2,0)</f>
        <v>14339.642801935322</v>
      </c>
      <c r="CH96" s="2">
        <f>INDEX($BY$8:$BY$15,MATCH(CH$7,$CB$8:$CB$15,0))*SUM(F$11:F$12)/(365/12)*MAX(节奏总纲!G92-$E$2,0)</f>
        <v>23712.127389272115</v>
      </c>
      <c r="CI96" s="2">
        <f>INDEX($BY$8:$BY$15,MATCH(CI$7,$CB$8:$CB$15,0))*SUM(G$11:G$12)/(365/12)*MAX(节奏总纲!H92-$E$2,0)</f>
        <v>14859.08142992811</v>
      </c>
      <c r="CJ96" s="2">
        <f>INDEX($BZ$8:$BZ$15,MATCH(CE$7,$CB$8:$CB$15,0))*SUM(C$11:C$12)/(365/12)*MAX(节奏总纲!D92-$E$2,0)</f>
        <v>460325.03539745766</v>
      </c>
      <c r="CK96" s="2">
        <f>INDEX($BZ$8:$BZ$15,MATCH(CF$7,$CB$8:$CB$15,0))*SUM(D$11:D$12)/(365/12)*MAX(节奏总纲!E92-$E$2,0)</f>
        <v>444116.00480738393</v>
      </c>
      <c r="CL96" s="2">
        <f>INDEX($BZ$8:$BZ$15,MATCH(CG$7,$CB$8:$CB$15,0))*SUM(E$11:E$12)/(365/12)*MAX(节奏总纲!F92-$E$2,0)</f>
        <v>516227.1408696716</v>
      </c>
      <c r="CM96" s="2">
        <f>INDEX($BZ$8:$BZ$15,MATCH(CH$7,$CB$8:$CB$15,0))*SUM(F$11:F$12)/(365/12)*MAX(节奏总纲!G92-$E$2,0)</f>
        <v>341454.63440551847</v>
      </c>
      <c r="CN96" s="2">
        <f>INDEX($BZ$8:$BZ$15,MATCH(CI$7,$CB$8:$CB$15,0))*SUM(G$11:G$12)/(365/12)*MAX(节奏总纲!H92-$E$2,0)</f>
        <v>133731.73286935297</v>
      </c>
      <c r="CS96" s="2">
        <v>89</v>
      </c>
      <c r="CT96" s="2">
        <f t="shared" si="59"/>
        <v>161661.76838363093</v>
      </c>
      <c r="CU96" s="2">
        <f t="shared" si="60"/>
        <v>138323.63066396644</v>
      </c>
      <c r="CV96" s="2">
        <f t="shared" si="61"/>
        <v>112924.68706524067</v>
      </c>
      <c r="CW96" s="2">
        <f t="shared" si="62"/>
        <v>88920.477709770435</v>
      </c>
      <c r="CX96" s="2">
        <f t="shared" si="63"/>
        <v>40398.12763761705</v>
      </c>
      <c r="CZ96" s="41">
        <f t="shared" si="64"/>
        <v>0.67796610169491534</v>
      </c>
      <c r="DA96" s="41">
        <f t="shared" si="65"/>
        <v>0.25423728813559321</v>
      </c>
      <c r="DB96" s="41">
        <f t="shared" si="66"/>
        <v>6.7796610169491525E-2</v>
      </c>
      <c r="DD96" s="41">
        <f t="shared" si="67"/>
        <v>0.63492063492063489</v>
      </c>
      <c r="DE96" s="41">
        <f t="shared" si="68"/>
        <v>0.23809523809523811</v>
      </c>
      <c r="DF96" s="41">
        <f t="shared" si="69"/>
        <v>0.12698412698412698</v>
      </c>
      <c r="DH96" s="41">
        <f t="shared" si="70"/>
        <v>0.45977011494252867</v>
      </c>
      <c r="DI96" s="41">
        <f t="shared" si="71"/>
        <v>0.17241379310344829</v>
      </c>
      <c r="DJ96" s="41">
        <f t="shared" si="72"/>
        <v>0.36781609195402298</v>
      </c>
      <c r="DL96" s="2">
        <f>CT96/节奏总纲!D92</f>
        <v>339.11767692787623</v>
      </c>
      <c r="DM96" s="2">
        <f>CU96/节奏总纲!E92</f>
        <v>335.91259135836884</v>
      </c>
      <c r="DN96" s="2">
        <f>CV96/节奏总纲!F92</f>
        <v>339.51836913589182</v>
      </c>
      <c r="DO96" s="2">
        <f>CW96/节奏总纲!G92</f>
        <v>370.02255117515028</v>
      </c>
      <c r="DP96" s="2">
        <f>CX96/节奏总纲!H92</f>
        <v>309.2813821744457</v>
      </c>
      <c r="DR96" s="2">
        <f t="shared" si="73"/>
        <v>0.99054875110450513</v>
      </c>
      <c r="DS96" s="2">
        <f t="shared" si="74"/>
        <v>1.001181572755645</v>
      </c>
      <c r="DT96" s="2">
        <f t="shared" si="75"/>
        <v>1.091133185763852</v>
      </c>
      <c r="DU96" s="2">
        <f t="shared" si="76"/>
        <v>0.91201787230992348</v>
      </c>
      <c r="DY96" s="2">
        <v>89</v>
      </c>
      <c r="DZ96" s="2">
        <f t="shared" si="77"/>
        <v>3814121.7218646491</v>
      </c>
      <c r="EA96" s="2">
        <f t="shared" si="78"/>
        <v>3275355.5354544558</v>
      </c>
      <c r="EB96" s="2">
        <f t="shared" si="79"/>
        <v>2710192.4895657757</v>
      </c>
      <c r="EC96" s="2">
        <f t="shared" si="80"/>
        <v>1792636.830628972</v>
      </c>
      <c r="ED96" s="2">
        <f t="shared" si="81"/>
        <v>702091.59756410308</v>
      </c>
      <c r="EF96" s="57">
        <f t="shared" si="82"/>
        <v>0.6206896551724137</v>
      </c>
      <c r="EG96" s="57">
        <f t="shared" si="83"/>
        <v>0.25862068965517243</v>
      </c>
      <c r="EH96" s="41">
        <f t="shared" si="84"/>
        <v>0.1206896551724138</v>
      </c>
      <c r="EJ96" s="57">
        <f t="shared" si="85"/>
        <v>0.57142857142857151</v>
      </c>
      <c r="EK96" s="57">
        <f t="shared" si="86"/>
        <v>0.23809523809523814</v>
      </c>
      <c r="EL96" s="41">
        <f t="shared" si="87"/>
        <v>0.19047619047619049</v>
      </c>
      <c r="EN96" s="57">
        <f t="shared" si="88"/>
        <v>0.5714285714285714</v>
      </c>
      <c r="EO96" s="57">
        <f t="shared" si="89"/>
        <v>0.23809523809523811</v>
      </c>
      <c r="EP96" s="41">
        <f t="shared" si="90"/>
        <v>0.19047619047619049</v>
      </c>
    </row>
    <row r="97" spans="20:146" x14ac:dyDescent="0.15">
      <c r="T97" s="2">
        <v>90</v>
      </c>
      <c r="U97" s="2">
        <f>$N$8*SUM(C$11:C$12)/(365/12)*MAX(节奏总纲!D93-$E$2,0)</f>
        <v>9489.534246575342</v>
      </c>
      <c r="V97" s="2">
        <f>$N$8*SUM(D$11:D$12)/(365/12)*MAX(节奏总纲!E93-$E$2,0)</f>
        <v>7956.2990465753428</v>
      </c>
      <c r="W97" s="2">
        <f>$N$8*SUM(E$11:E$12)/(365/12)*MAX(节奏总纲!F93-$E$2,0)</f>
        <v>6188.6702465753415</v>
      </c>
      <c r="X97" s="2">
        <f>$N$8*SUM(F$11:F$12)/(365/12)*MAX(节奏总纲!G93-$E$2,0)</f>
        <v>4100.6318465753429</v>
      </c>
      <c r="Y97" s="2">
        <f>$N$8*SUM(G$11:G$12)/(365/12)*MAX(节奏总纲!H93-$E$2,0)</f>
        <v>1651.3262465753428</v>
      </c>
      <c r="Z97" s="2">
        <f>$O$8*SUM(C$11:C$12)/(365/12)*MAX(节奏总纲!D93-$E$2,0)</f>
        <v>94895.34246575342</v>
      </c>
      <c r="AA97" s="2">
        <f>$O$8*SUM(D$11:D$12)/(365/12)*MAX(节奏总纲!E93-$E$2,0)</f>
        <v>79562.990465753435</v>
      </c>
      <c r="AB97" s="2">
        <f>$O$8*SUM(E$11:E$12)/(365/12)*MAX(节奏总纲!F93-$E$2,0)</f>
        <v>61886.70246575342</v>
      </c>
      <c r="AC97" s="2">
        <f>$O$8*SUM(F$11:F$12)/(365/12)*MAX(节奏总纲!G93-$E$2,0)</f>
        <v>41006.318465753429</v>
      </c>
      <c r="AD97" s="2">
        <f>$O$8*SUM(G$11:G$12)/(365/12)*MAX(节奏总纲!H93-$E$2,0)</f>
        <v>16513.262465753429</v>
      </c>
      <c r="AE97" s="2">
        <f>$Q$8*SUM(C$11:C$12)/(365/12)*MAX(节奏总纲!D93-$E$2,0)</f>
        <v>118619.17808219176</v>
      </c>
      <c r="AF97" s="2">
        <f>$Q$8*SUM(D$11:D$12)/(365/12)*MAX(节奏总纲!E93-$E$2,0)</f>
        <v>99453.738082191776</v>
      </c>
      <c r="AG97" s="2">
        <f>$Q$8*SUM(E$11:E$12)/(365/12)*MAX(节奏总纲!F93-$E$2,0)</f>
        <v>77358.378082191775</v>
      </c>
      <c r="AH97" s="2">
        <f>$Q$8*SUM(F$11:F$12)/(365/12)*MAX(节奏总纲!G93-$E$2,0)</f>
        <v>51257.898082191779</v>
      </c>
      <c r="AI97" s="2">
        <f>$Q$8*SUM(G$11:G$12)/(365/12)*MAX(节奏总纲!H93-$E$2,0)</f>
        <v>20641.578082191783</v>
      </c>
      <c r="AJ97" s="2">
        <f>$P$8*SUM(C$11:C$12)/(365/12)*MAX(节奏总纲!D93-$E$2,0)</f>
        <v>2562174.246575342</v>
      </c>
      <c r="AK97" s="2">
        <f>$P$8*SUM(D$11:D$12)/(365/12)*MAX(节奏总纲!E93-$E$2,0)</f>
        <v>2148200.7425753423</v>
      </c>
      <c r="AL97" s="2">
        <f>$P$8*SUM(E$11:E$12)/(365/12)*MAX(节奏总纲!F93-$E$2,0)</f>
        <v>1670940.9665753422</v>
      </c>
      <c r="AM97" s="2">
        <f>$P$8*SUM(F$11:F$12)/(365/12)*MAX(节奏总纲!G93-$E$2,0)</f>
        <v>1107170.5985753424</v>
      </c>
      <c r="AN97" s="2">
        <f>$P$8*SUM(G$11:G$12)/(365/12)*MAX(节奏总纲!H93-$E$2,0)</f>
        <v>445858.08657534258</v>
      </c>
      <c r="BC97" s="2">
        <v>90</v>
      </c>
      <c r="BD97" s="2">
        <f>$AZ$8/(365/12)*MAX(节奏总纲!D93-$E$2,0)</f>
        <v>44482.191780821915</v>
      </c>
      <c r="BE97" s="2">
        <f>$AZ$8/(365/12)*MAX(节奏总纲!E93-$E$2,0)</f>
        <v>37295.151780821921</v>
      </c>
      <c r="BF97" s="2">
        <f>$AZ$8/(365/12)*MAX(节奏总纲!F93-$E$2,0)</f>
        <v>29009.391780821916</v>
      </c>
      <c r="BG97" s="2">
        <f>$AZ$8/(365/12)*MAX(节奏总纲!G93-$E$2,0)</f>
        <v>19221.711780821919</v>
      </c>
      <c r="BH97" s="2">
        <f>$AZ$8/(365/12)*MAX(节奏总纲!H93-$E$2,0)</f>
        <v>7740.5917808219201</v>
      </c>
      <c r="BI97" s="2">
        <f>$AY$8/(365/12)*MAX(节奏总纲!D93-$E$2,0)</f>
        <v>1067572.602739726</v>
      </c>
      <c r="BJ97" s="2">
        <f>$AY$8/(365/12)*MAX(节奏总纲!E93-$E$2,0)</f>
        <v>895083.64273972611</v>
      </c>
      <c r="BK97" s="2">
        <f>$AY$8/(365/12)*MAX(节奏总纲!F93-$E$2,0)</f>
        <v>696225.40273972601</v>
      </c>
      <c r="BL97" s="2">
        <f>$AY$8/(365/12)*MAX(节奏总纲!G93-$E$2,0)</f>
        <v>461321.08273972606</v>
      </c>
      <c r="BM97" s="2">
        <f>$AY$8/(365/12)*MAX(节奏总纲!H93-$E$2,0)</f>
        <v>185774.20273972608</v>
      </c>
      <c r="CD97" s="2">
        <v>90</v>
      </c>
      <c r="CE97" s="2">
        <f>INDEX($BY$8:$BY$15,MATCH(CE$7,$CB$8:$CB$15,0))*SUM(C$11:C$12)/(365/12)*MAX(节奏总纲!D93-$E$2,0)</f>
        <v>11861.917808219177</v>
      </c>
      <c r="CF97" s="2">
        <f>INDEX($BY$8:$BY$15,MATCH(CF$7,$CB$8:$CB$15,0))*SUM(D$11:D$12)/(365/12)*MAX(节奏总纲!E93-$E$2,0)</f>
        <v>11934.448569863014</v>
      </c>
      <c r="CG97" s="2">
        <f>INDEX($BY$8:$BY$15,MATCH(CG$7,$CB$8:$CB$15,0))*SUM(E$11:E$12)/(365/12)*MAX(节奏总纲!F93-$E$2,0)</f>
        <v>15471.675616438355</v>
      </c>
      <c r="CH97" s="2">
        <f>INDEX($BY$8:$BY$15,MATCH(CH$7,$CB$8:$CB$15,0))*SUM(F$11:F$12)/(365/12)*MAX(节奏总纲!G93-$E$2,0)</f>
        <v>25628.94904109589</v>
      </c>
      <c r="CI97" s="2">
        <f>INDEX($BY$8:$BY$15,MATCH(CI$7,$CB$8:$CB$15,0))*SUM(G$11:G$12)/(365/12)*MAX(节奏总纲!H93-$E$2,0)</f>
        <v>16513.262465753429</v>
      </c>
      <c r="CJ97" s="2">
        <f>INDEX($BZ$8:$BZ$15,MATCH(CE$7,$CB$8:$CB$15,0))*SUM(C$11:C$12)/(365/12)*MAX(节奏总纲!D93-$E$2,0)</f>
        <v>498200.54794520547</v>
      </c>
      <c r="CK97" s="2">
        <f>INDEX($BZ$8:$BZ$15,MATCH(CF$7,$CB$8:$CB$15,0))*SUM(D$11:D$12)/(365/12)*MAX(节奏总纲!E93-$E$2,0)</f>
        <v>477377.94279452064</v>
      </c>
      <c r="CL97" s="2">
        <f>INDEX($BZ$8:$BZ$15,MATCH(CG$7,$CB$8:$CB$15,0))*SUM(E$11:E$12)/(365/12)*MAX(节奏总纲!F93-$E$2,0)</f>
        <v>556980.32219178078</v>
      </c>
      <c r="CM97" s="2">
        <f>INDEX($BZ$8:$BZ$15,MATCH(CH$7,$CB$8:$CB$15,0))*SUM(F$11:F$12)/(365/12)*MAX(节奏总纲!G93-$E$2,0)</f>
        <v>369056.86619178083</v>
      </c>
      <c r="CN97" s="2">
        <f>INDEX($BZ$8:$BZ$15,MATCH(CI$7,$CB$8:$CB$15,0))*SUM(G$11:G$12)/(365/12)*MAX(节奏总纲!H93-$E$2,0)</f>
        <v>148619.36219178085</v>
      </c>
      <c r="CS97" s="2">
        <v>90</v>
      </c>
      <c r="CT97" s="2">
        <f t="shared" si="59"/>
        <v>174963.28767123286</v>
      </c>
      <c r="CU97" s="2">
        <f t="shared" si="60"/>
        <v>148683.33843287671</v>
      </c>
      <c r="CV97" s="2">
        <f t="shared" si="61"/>
        <v>121839.44547945204</v>
      </c>
      <c r="CW97" s="2">
        <f t="shared" si="62"/>
        <v>96108.558904109581</v>
      </c>
      <c r="CX97" s="2">
        <f t="shared" si="63"/>
        <v>44895.432328767129</v>
      </c>
      <c r="CZ97" s="41">
        <f t="shared" si="64"/>
        <v>0.67796610169491522</v>
      </c>
      <c r="DA97" s="41">
        <f t="shared" si="65"/>
        <v>0.25423728813559321</v>
      </c>
      <c r="DB97" s="41">
        <f t="shared" si="66"/>
        <v>6.7796610169491525E-2</v>
      </c>
      <c r="DD97" s="41">
        <f t="shared" si="67"/>
        <v>0.63492063492063489</v>
      </c>
      <c r="DE97" s="41">
        <f t="shared" si="68"/>
        <v>0.23809523809523811</v>
      </c>
      <c r="DF97" s="41">
        <f t="shared" si="69"/>
        <v>0.12698412698412698</v>
      </c>
      <c r="DH97" s="41">
        <f t="shared" si="70"/>
        <v>0.45977011494252873</v>
      </c>
      <c r="DI97" s="41">
        <f t="shared" si="71"/>
        <v>0.17241379310344832</v>
      </c>
      <c r="DJ97" s="41">
        <f t="shared" si="72"/>
        <v>0.36781609195402304</v>
      </c>
      <c r="DL97" s="2">
        <f>CT97/节奏总纲!D93</f>
        <v>342.39390933705062</v>
      </c>
      <c r="DM97" s="2">
        <f>CU97/节奏总纲!E93</f>
        <v>339.35786942656176</v>
      </c>
      <c r="DN97" s="2">
        <f>CV97/节奏总纲!F93</f>
        <v>344.05967835879636</v>
      </c>
      <c r="DO97" s="2">
        <f>CW97/节奏总纲!G93</f>
        <v>377.06369613534156</v>
      </c>
      <c r="DP97" s="2">
        <f>CX97/节奏总纲!H93</f>
        <v>324.19922103947198</v>
      </c>
      <c r="DR97" s="2">
        <f t="shared" si="73"/>
        <v>0.99113290327982972</v>
      </c>
      <c r="DS97" s="2">
        <f t="shared" si="74"/>
        <v>1.0048650661601166</v>
      </c>
      <c r="DT97" s="2">
        <f t="shared" si="75"/>
        <v>1.1012570196281213</v>
      </c>
      <c r="DU97" s="2">
        <f t="shared" si="76"/>
        <v>0.9468603622862114</v>
      </c>
      <c r="DY97" s="2">
        <v>90</v>
      </c>
      <c r="DZ97" s="2">
        <f t="shared" si="77"/>
        <v>4127947.3972602733</v>
      </c>
      <c r="EA97" s="2">
        <f t="shared" si="78"/>
        <v>3520662.3281095894</v>
      </c>
      <c r="EB97" s="2">
        <f t="shared" si="79"/>
        <v>2924146.6915068491</v>
      </c>
      <c r="EC97" s="2">
        <f t="shared" si="80"/>
        <v>1937548.5475068495</v>
      </c>
      <c r="ED97" s="2">
        <f t="shared" si="81"/>
        <v>780251.65150684945</v>
      </c>
      <c r="EF97" s="57">
        <f t="shared" si="82"/>
        <v>0.62068965517241381</v>
      </c>
      <c r="EG97" s="57">
        <f t="shared" si="83"/>
        <v>0.25862068965517243</v>
      </c>
      <c r="EH97" s="41">
        <f t="shared" si="84"/>
        <v>0.12068965517241381</v>
      </c>
      <c r="EJ97" s="57">
        <f t="shared" si="85"/>
        <v>0.5714285714285714</v>
      </c>
      <c r="EK97" s="57">
        <f t="shared" si="86"/>
        <v>0.23809523809523811</v>
      </c>
      <c r="EL97" s="41">
        <f t="shared" si="87"/>
        <v>0.19047619047619047</v>
      </c>
      <c r="EN97" s="57">
        <f t="shared" si="88"/>
        <v>0.57142857142857151</v>
      </c>
      <c r="EO97" s="57">
        <f t="shared" si="89"/>
        <v>0.23809523809523814</v>
      </c>
      <c r="EP97" s="41">
        <f t="shared" si="90"/>
        <v>0.19047619047619047</v>
      </c>
    </row>
    <row r="98" spans="20:146" x14ac:dyDescent="0.15">
      <c r="T98" s="2">
        <v>91</v>
      </c>
      <c r="U98" s="2">
        <f>$N$8*SUM(C$11:C$12)/(365/12)*MAX(节奏总纲!D94-$E$2,0)</f>
        <v>10262.752708073178</v>
      </c>
      <c r="V98" s="2">
        <f>$N$8*SUM(D$11:D$12)/(365/12)*MAX(节奏总纲!E94-$E$2,0)</f>
        <v>8619.2565554635876</v>
      </c>
      <c r="W98" s="2">
        <f>$N$8*SUM(E$11:E$12)/(365/12)*MAX(节奏总纲!F94-$E$2,0)</f>
        <v>6700.3076816241974</v>
      </c>
      <c r="X98" s="2">
        <f>$N$8*SUM(F$11:F$12)/(365/12)*MAX(节奏总纲!G94-$E$2,0)</f>
        <v>4473.6354748628146</v>
      </c>
      <c r="Y98" s="2">
        <f>$N$8*SUM(G$11:G$12)/(365/12)*MAX(节奏总纲!H94-$E$2,0)</f>
        <v>1849.3432311797587</v>
      </c>
      <c r="Z98" s="2">
        <f>$O$8*SUM(C$11:C$12)/(365/12)*MAX(节奏总纲!D94-$E$2,0)</f>
        <v>102627.52708073179</v>
      </c>
      <c r="AA98" s="2">
        <f>$O$8*SUM(D$11:D$12)/(365/12)*MAX(节奏总纲!E94-$E$2,0)</f>
        <v>86192.565554635876</v>
      </c>
      <c r="AB98" s="2">
        <f>$O$8*SUM(E$11:E$12)/(365/12)*MAX(节奏总纲!F94-$E$2,0)</f>
        <v>67003.07681624197</v>
      </c>
      <c r="AC98" s="2">
        <f>$O$8*SUM(F$11:F$12)/(365/12)*MAX(节奏总纲!G94-$E$2,0)</f>
        <v>44736.354748628146</v>
      </c>
      <c r="AD98" s="2">
        <f>$O$8*SUM(G$11:G$12)/(365/12)*MAX(节奏总纲!H94-$E$2,0)</f>
        <v>18493.432311797587</v>
      </c>
      <c r="AE98" s="2">
        <f>$Q$8*SUM(C$11:C$12)/(365/12)*MAX(节奏总纲!D94-$E$2,0)</f>
        <v>128284.40885091473</v>
      </c>
      <c r="AF98" s="2">
        <f>$Q$8*SUM(D$11:D$12)/(365/12)*MAX(节奏总纲!E94-$E$2,0)</f>
        <v>107740.70694329483</v>
      </c>
      <c r="AG98" s="2">
        <f>$Q$8*SUM(E$11:E$12)/(365/12)*MAX(节奏总纲!F94-$E$2,0)</f>
        <v>83753.846020302459</v>
      </c>
      <c r="AH98" s="2">
        <f>$Q$8*SUM(F$11:F$12)/(365/12)*MAX(节奏总纲!G94-$E$2,0)</f>
        <v>55920.443435785186</v>
      </c>
      <c r="AI98" s="2">
        <f>$Q$8*SUM(G$11:G$12)/(365/12)*MAX(节奏总纲!H94-$E$2,0)</f>
        <v>23116.790389746984</v>
      </c>
      <c r="AJ98" s="2">
        <f>$P$8*SUM(C$11:C$12)/(365/12)*MAX(节奏总纲!D94-$E$2,0)</f>
        <v>2770943.231179758</v>
      </c>
      <c r="AK98" s="2">
        <f>$P$8*SUM(D$11:D$12)/(365/12)*MAX(节奏总纲!E94-$E$2,0)</f>
        <v>2327199.2699751686</v>
      </c>
      <c r="AL98" s="2">
        <f>$P$8*SUM(E$11:E$12)/(365/12)*MAX(节奏总纲!F94-$E$2,0)</f>
        <v>1809083.0740385333</v>
      </c>
      <c r="AM98" s="2">
        <f>$P$8*SUM(F$11:F$12)/(365/12)*MAX(节奏总纲!G94-$E$2,0)</f>
        <v>1207881.5782129599</v>
      </c>
      <c r="AN98" s="2">
        <f>$P$8*SUM(G$11:G$12)/(365/12)*MAX(节奏总纲!H94-$E$2,0)</f>
        <v>499322.67241853481</v>
      </c>
      <c r="BC98" s="2">
        <v>91</v>
      </c>
      <c r="BD98" s="2">
        <f>$AZ$8/(365/12)*MAX(节奏总纲!D94-$E$2,0)</f>
        <v>48106.653319093028</v>
      </c>
      <c r="BE98" s="2">
        <f>$AZ$8/(365/12)*MAX(节奏总纲!E94-$E$2,0)</f>
        <v>40402.765103735568</v>
      </c>
      <c r="BF98" s="2">
        <f>$AZ$8/(365/12)*MAX(节奏总纲!F94-$E$2,0)</f>
        <v>31407.692257613428</v>
      </c>
      <c r="BG98" s="2">
        <f>$AZ$8/(365/12)*MAX(节奏总纲!G94-$E$2,0)</f>
        <v>20970.166288419445</v>
      </c>
      <c r="BH98" s="2">
        <f>$AZ$8/(365/12)*MAX(节奏总纲!H94-$E$2,0)</f>
        <v>8668.7963961551195</v>
      </c>
      <c r="BI98" s="2">
        <f>$AY$8/(365/12)*MAX(节奏总纲!D94-$E$2,0)</f>
        <v>1154559.6796582327</v>
      </c>
      <c r="BJ98" s="2">
        <f>$AY$8/(365/12)*MAX(节奏总纲!E94-$E$2,0)</f>
        <v>969666.36248965363</v>
      </c>
      <c r="BK98" s="2">
        <f>$AY$8/(365/12)*MAX(节奏总纲!F94-$E$2,0)</f>
        <v>753784.61418272229</v>
      </c>
      <c r="BL98" s="2">
        <f>$AY$8/(365/12)*MAX(节奏总纲!G94-$E$2,0)</f>
        <v>503283.99092206667</v>
      </c>
      <c r="BM98" s="2">
        <f>$AY$8/(365/12)*MAX(节奏总纲!H94-$E$2,0)</f>
        <v>208051.11350772288</v>
      </c>
      <c r="CD98" s="2">
        <v>91</v>
      </c>
      <c r="CE98" s="2">
        <f>INDEX($BY$8:$BY$15,MATCH(CE$7,$CB$8:$CB$15,0))*SUM(C$11:C$12)/(365/12)*MAX(节奏总纲!D94-$E$2,0)</f>
        <v>12828.440885091473</v>
      </c>
      <c r="CF98" s="2">
        <f>INDEX($BY$8:$BY$15,MATCH(CF$7,$CB$8:$CB$15,0))*SUM(D$11:D$12)/(365/12)*MAX(节奏总纲!E94-$E$2,0)</f>
        <v>12928.884833195381</v>
      </c>
      <c r="CG98" s="2">
        <f>INDEX($BY$8:$BY$15,MATCH(CG$7,$CB$8:$CB$15,0))*SUM(E$11:E$12)/(365/12)*MAX(节奏总纲!F94-$E$2,0)</f>
        <v>16750.769204060492</v>
      </c>
      <c r="CH98" s="2">
        <f>INDEX($BY$8:$BY$15,MATCH(CH$7,$CB$8:$CB$15,0))*SUM(F$11:F$12)/(365/12)*MAX(节奏总纲!G94-$E$2,0)</f>
        <v>27960.221717892593</v>
      </c>
      <c r="CI98" s="2">
        <f>INDEX($BY$8:$BY$15,MATCH(CI$7,$CB$8:$CB$15,0))*SUM(G$11:G$12)/(365/12)*MAX(节奏总纲!H94-$E$2,0)</f>
        <v>18493.432311797587</v>
      </c>
      <c r="CJ98" s="2">
        <f>INDEX($BZ$8:$BZ$15,MATCH(CE$7,$CB$8:$CB$15,0))*SUM(C$11:C$12)/(365/12)*MAX(节奏总纲!D94-$E$2,0)</f>
        <v>538794.51717384194</v>
      </c>
      <c r="CK98" s="2">
        <f>INDEX($BZ$8:$BZ$15,MATCH(CF$7,$CB$8:$CB$15,0))*SUM(D$11:D$12)/(365/12)*MAX(节奏总纲!E94-$E$2,0)</f>
        <v>517155.39332781528</v>
      </c>
      <c r="CL98" s="2">
        <f>INDEX($BZ$8:$BZ$15,MATCH(CG$7,$CB$8:$CB$15,0))*SUM(E$11:E$12)/(365/12)*MAX(节奏总纲!F94-$E$2,0)</f>
        <v>603027.69134617771</v>
      </c>
      <c r="CM98" s="2">
        <f>INDEX($BZ$8:$BZ$15,MATCH(CH$7,$CB$8:$CB$15,0))*SUM(F$11:F$12)/(365/12)*MAX(节奏总纲!G94-$E$2,0)</f>
        <v>402627.19273765333</v>
      </c>
      <c r="CN98" s="2">
        <f>INDEX($BZ$8:$BZ$15,MATCH(CI$7,$CB$8:$CB$15,0))*SUM(G$11:G$12)/(365/12)*MAX(节奏总纲!H94-$E$2,0)</f>
        <v>166440.89080617827</v>
      </c>
      <c r="CS98" s="2">
        <v>91</v>
      </c>
      <c r="CT98" s="2">
        <f t="shared" si="59"/>
        <v>189219.50305509922</v>
      </c>
      <c r="CU98" s="2">
        <f t="shared" si="60"/>
        <v>161072.35688022579</v>
      </c>
      <c r="CV98" s="2">
        <f t="shared" si="61"/>
        <v>131912.30748197637</v>
      </c>
      <c r="CW98" s="2">
        <f t="shared" si="62"/>
        <v>104850.83144209723</v>
      </c>
      <c r="CX98" s="2">
        <f t="shared" si="63"/>
        <v>50279.019097699689</v>
      </c>
      <c r="CZ98" s="41">
        <f t="shared" si="64"/>
        <v>0.67796610169491522</v>
      </c>
      <c r="DA98" s="41">
        <f t="shared" si="65"/>
        <v>0.25423728813559326</v>
      </c>
      <c r="DB98" s="41">
        <f t="shared" si="66"/>
        <v>6.7796610169491525E-2</v>
      </c>
      <c r="DD98" s="41">
        <f t="shared" si="67"/>
        <v>0.63492063492063489</v>
      </c>
      <c r="DE98" s="41">
        <f t="shared" si="68"/>
        <v>0.23809523809523814</v>
      </c>
      <c r="DF98" s="41">
        <f t="shared" si="69"/>
        <v>0.12698412698412698</v>
      </c>
      <c r="DH98" s="41">
        <f t="shared" si="70"/>
        <v>0.45977011494252873</v>
      </c>
      <c r="DI98" s="41">
        <f t="shared" si="71"/>
        <v>0.17241379310344829</v>
      </c>
      <c r="DJ98" s="41">
        <f t="shared" si="72"/>
        <v>0.36781609195402298</v>
      </c>
      <c r="DL98" s="2">
        <f>CT98/节奏总纲!D94</f>
        <v>345.44991241761022</v>
      </c>
      <c r="DM98" s="2">
        <f>CU98/节奏总纲!E94</f>
        <v>342.97046612642822</v>
      </c>
      <c r="DN98" s="2">
        <f>CV98/节奏总纲!F94</f>
        <v>348.56944423869703</v>
      </c>
      <c r="DO98" s="2">
        <f>CW98/节奏总纲!G94</f>
        <v>384.61252874736027</v>
      </c>
      <c r="DP98" s="2">
        <f>CX98/节奏总纲!H94</f>
        <v>339.97127309052684</v>
      </c>
      <c r="DR98" s="2">
        <f t="shared" si="73"/>
        <v>0.99282255921320184</v>
      </c>
      <c r="DS98" s="2">
        <f t="shared" si="74"/>
        <v>1.009030344802391</v>
      </c>
      <c r="DT98" s="2">
        <f t="shared" si="75"/>
        <v>1.1133669887355677</v>
      </c>
      <c r="DU98" s="2">
        <f t="shared" si="76"/>
        <v>0.98414056819774109</v>
      </c>
      <c r="DY98" s="2">
        <v>91</v>
      </c>
      <c r="DZ98" s="2">
        <f t="shared" si="77"/>
        <v>4464297.4280118328</v>
      </c>
      <c r="EA98" s="2">
        <f t="shared" si="78"/>
        <v>3814021.0257926378</v>
      </c>
      <c r="EB98" s="2">
        <f t="shared" si="79"/>
        <v>3165895.3795674331</v>
      </c>
      <c r="EC98" s="2">
        <f t="shared" si="80"/>
        <v>2113792.7618726799</v>
      </c>
      <c r="ED98" s="2">
        <f t="shared" si="81"/>
        <v>873814.67673243606</v>
      </c>
      <c r="EF98" s="57">
        <f t="shared" si="82"/>
        <v>0.6206896551724137</v>
      </c>
      <c r="EG98" s="57">
        <f t="shared" si="83"/>
        <v>0.25862068965517243</v>
      </c>
      <c r="EH98" s="41">
        <f t="shared" si="84"/>
        <v>0.12068965517241381</v>
      </c>
      <c r="EJ98" s="57">
        <f t="shared" si="85"/>
        <v>0.5714285714285714</v>
      </c>
      <c r="EK98" s="57">
        <f t="shared" si="86"/>
        <v>0.23809523809523814</v>
      </c>
      <c r="EL98" s="41">
        <f t="shared" si="87"/>
        <v>0.19047619047619047</v>
      </c>
      <c r="EN98" s="57">
        <f t="shared" si="88"/>
        <v>0.5714285714285714</v>
      </c>
      <c r="EO98" s="57">
        <f t="shared" si="89"/>
        <v>0.23809523809523811</v>
      </c>
      <c r="EP98" s="41">
        <f t="shared" si="90"/>
        <v>0.19047619047619044</v>
      </c>
    </row>
    <row r="99" spans="20:146" x14ac:dyDescent="0.15">
      <c r="T99" s="2">
        <v>92</v>
      </c>
      <c r="U99" s="2">
        <f>$N$8*SUM(C$11:C$12)/(365/12)*MAX(节奏总纲!D95-$E$2,0)</f>
        <v>11091.46773584969</v>
      </c>
      <c r="V99" s="2">
        <f>$N$8*SUM(D$11:D$12)/(365/12)*MAX(节奏总纲!E95-$E$2,0)</f>
        <v>9306.324346649546</v>
      </c>
      <c r="W99" s="2">
        <f>$N$8*SUM(E$11:E$12)/(365/12)*MAX(节奏总纲!F95-$E$2,0)</f>
        <v>7261.7483541746415</v>
      </c>
      <c r="X99" s="2">
        <f>$N$8*SUM(F$11:F$12)/(365/12)*MAX(节奏总纲!G95-$E$2,0)</f>
        <v>4872.497617348984</v>
      </c>
      <c r="Y99" s="2">
        <f>$N$8*SUM(G$11:G$12)/(365/12)*MAX(节奏总纲!H95-$E$2,0)</f>
        <v>2054.5653884455051</v>
      </c>
      <c r="Z99" s="2">
        <f>$O$8*SUM(C$11:C$12)/(365/12)*MAX(节奏总纲!D95-$E$2,0)</f>
        <v>110914.67735849691</v>
      </c>
      <c r="AA99" s="2">
        <f>$O$8*SUM(D$11:D$12)/(365/12)*MAX(节奏总纲!E95-$E$2,0)</f>
        <v>93063.243466495464</v>
      </c>
      <c r="AB99" s="2">
        <f>$O$8*SUM(E$11:E$12)/(365/12)*MAX(节奏总纲!F95-$E$2,0)</f>
        <v>72617.48354174642</v>
      </c>
      <c r="AC99" s="2">
        <f>$O$8*SUM(F$11:F$12)/(365/12)*MAX(节奏总纲!G95-$E$2,0)</f>
        <v>48724.976173489835</v>
      </c>
      <c r="AD99" s="2">
        <f>$O$8*SUM(G$11:G$12)/(365/12)*MAX(节奏总纲!H95-$E$2,0)</f>
        <v>20545.653884455052</v>
      </c>
      <c r="AE99" s="2">
        <f>$Q$8*SUM(C$11:C$12)/(365/12)*MAX(节奏总纲!D95-$E$2,0)</f>
        <v>138643.34669812111</v>
      </c>
      <c r="AF99" s="2">
        <f>$Q$8*SUM(D$11:D$12)/(365/12)*MAX(节奏总纲!E95-$E$2,0)</f>
        <v>116329.05433311933</v>
      </c>
      <c r="AG99" s="2">
        <f>$Q$8*SUM(E$11:E$12)/(365/12)*MAX(节奏总纲!F95-$E$2,0)</f>
        <v>90771.854427183018</v>
      </c>
      <c r="AH99" s="2">
        <f>$Q$8*SUM(F$11:F$12)/(365/12)*MAX(节奏总纲!G95-$E$2,0)</f>
        <v>60906.22021686229</v>
      </c>
      <c r="AI99" s="2">
        <f>$Q$8*SUM(G$11:G$12)/(365/12)*MAX(节奏总纲!H95-$E$2,0)</f>
        <v>25682.067355568812</v>
      </c>
      <c r="AJ99" s="2">
        <f>$P$8*SUM(C$11:C$12)/(365/12)*MAX(节奏总纲!D95-$E$2,0)</f>
        <v>2994696.2886794163</v>
      </c>
      <c r="AK99" s="2">
        <f>$P$8*SUM(D$11:D$12)/(365/12)*MAX(节奏总纲!E95-$E$2,0)</f>
        <v>2512707.5735953776</v>
      </c>
      <c r="AL99" s="2">
        <f>$P$8*SUM(E$11:E$12)/(365/12)*MAX(节奏总纲!F95-$E$2,0)</f>
        <v>1960672.0556271533</v>
      </c>
      <c r="AM99" s="2">
        <f>$P$8*SUM(F$11:F$12)/(365/12)*MAX(节奏总纲!G95-$E$2,0)</f>
        <v>1315574.3566842256</v>
      </c>
      <c r="AN99" s="2">
        <f>$P$8*SUM(G$11:G$12)/(365/12)*MAX(节奏总纲!H95-$E$2,0)</f>
        <v>554732.65488028631</v>
      </c>
      <c r="BC99" s="2">
        <v>92</v>
      </c>
      <c r="BD99" s="2">
        <f>$AZ$8/(365/12)*MAX(节奏总纲!D95-$E$2,0)</f>
        <v>51991.255011795423</v>
      </c>
      <c r="BE99" s="2">
        <f>$AZ$8/(365/12)*MAX(节奏总纲!E95-$E$2,0)</f>
        <v>43623.395374919754</v>
      </c>
      <c r="BF99" s="2">
        <f>$AZ$8/(365/12)*MAX(节奏总纲!F95-$E$2,0)</f>
        <v>34039.445410193635</v>
      </c>
      <c r="BG99" s="2">
        <f>$AZ$8/(365/12)*MAX(节奏总纲!G95-$E$2,0)</f>
        <v>22839.832581323361</v>
      </c>
      <c r="BH99" s="2">
        <f>$AZ$8/(365/12)*MAX(节奏总纲!H95-$E$2,0)</f>
        <v>9630.7752583383044</v>
      </c>
      <c r="BI99" s="2">
        <f>$AY$8/(365/12)*MAX(节奏总纲!D95-$E$2,0)</f>
        <v>1247790.1202830903</v>
      </c>
      <c r="BJ99" s="2">
        <f>$AY$8/(365/12)*MAX(节奏总纲!E95-$E$2,0)</f>
        <v>1046961.4889980741</v>
      </c>
      <c r="BK99" s="2">
        <f>$AY$8/(365/12)*MAX(节奏总纲!F95-$E$2,0)</f>
        <v>816946.68984464719</v>
      </c>
      <c r="BL99" s="2">
        <f>$AY$8/(365/12)*MAX(节奏总纲!G95-$E$2,0)</f>
        <v>548155.98195176071</v>
      </c>
      <c r="BM99" s="2">
        <f>$AY$8/(365/12)*MAX(节奏总纲!H95-$E$2,0)</f>
        <v>231138.60620011933</v>
      </c>
      <c r="CD99" s="2">
        <v>92</v>
      </c>
      <c r="CE99" s="2">
        <f>INDEX($BY$8:$BY$15,MATCH(CE$7,$CB$8:$CB$15,0))*SUM(C$11:C$12)/(365/12)*MAX(节奏总纲!D95-$E$2,0)</f>
        <v>13864.334669812113</v>
      </c>
      <c r="CF99" s="2">
        <f>INDEX($BY$8:$BY$15,MATCH(CF$7,$CB$8:$CB$15,0))*SUM(D$11:D$12)/(365/12)*MAX(节奏总纲!E95-$E$2,0)</f>
        <v>13959.48651997432</v>
      </c>
      <c r="CG99" s="2">
        <f>INDEX($BY$8:$BY$15,MATCH(CG$7,$CB$8:$CB$15,0))*SUM(E$11:E$12)/(365/12)*MAX(节奏总纲!F95-$E$2,0)</f>
        <v>18154.370885436605</v>
      </c>
      <c r="CH99" s="2">
        <f>INDEX($BY$8:$BY$15,MATCH(CH$7,$CB$8:$CB$15,0))*SUM(F$11:F$12)/(365/12)*MAX(节奏总纲!G95-$E$2,0)</f>
        <v>30453.110108431145</v>
      </c>
      <c r="CI99" s="2">
        <f>INDEX($BY$8:$BY$15,MATCH(CI$7,$CB$8:$CB$15,0))*SUM(G$11:G$12)/(365/12)*MAX(节奏总纲!H95-$E$2,0)</f>
        <v>20545.653884455052</v>
      </c>
      <c r="CJ99" s="2">
        <f>INDEX($BZ$8:$BZ$15,MATCH(CE$7,$CB$8:$CB$15,0))*SUM(C$11:C$12)/(365/12)*MAX(节奏总纲!D95-$E$2,0)</f>
        <v>582302.05613210879</v>
      </c>
      <c r="CK99" s="2">
        <f>INDEX($BZ$8:$BZ$15,MATCH(CF$7,$CB$8:$CB$15,0))*SUM(D$11:D$12)/(365/12)*MAX(节奏总纲!E95-$E$2,0)</f>
        <v>558379.46079897287</v>
      </c>
      <c r="CL99" s="2">
        <f>INDEX($BZ$8:$BZ$15,MATCH(CG$7,$CB$8:$CB$15,0))*SUM(E$11:E$12)/(365/12)*MAX(节奏总纲!F95-$E$2,0)</f>
        <v>653557.35187571775</v>
      </c>
      <c r="CM99" s="2">
        <f>INDEX($BZ$8:$BZ$15,MATCH(CH$7,$CB$8:$CB$15,0))*SUM(F$11:F$12)/(365/12)*MAX(节奏总纲!G95-$E$2,0)</f>
        <v>438524.7855614085</v>
      </c>
      <c r="CN99" s="2">
        <f>INDEX($BZ$8:$BZ$15,MATCH(CI$7,$CB$8:$CB$15,0))*SUM(G$11:G$12)/(365/12)*MAX(节奏总纲!H95-$E$2,0)</f>
        <v>184910.88496009546</v>
      </c>
      <c r="CS99" s="2">
        <v>92</v>
      </c>
      <c r="CT99" s="2">
        <f t="shared" si="59"/>
        <v>204498.93637972866</v>
      </c>
      <c r="CU99" s="2">
        <f t="shared" si="60"/>
        <v>173911.93622801339</v>
      </c>
      <c r="CV99" s="2">
        <f t="shared" si="61"/>
        <v>142965.67072281326</v>
      </c>
      <c r="CW99" s="2">
        <f t="shared" si="62"/>
        <v>114199.16290661678</v>
      </c>
      <c r="CX99" s="2">
        <f t="shared" si="63"/>
        <v>55858.496498362168</v>
      </c>
      <c r="CZ99" s="41">
        <f t="shared" si="64"/>
        <v>0.67796610169491511</v>
      </c>
      <c r="DA99" s="41">
        <f t="shared" si="65"/>
        <v>0.25423728813559321</v>
      </c>
      <c r="DB99" s="41">
        <f t="shared" si="66"/>
        <v>6.7796610169491525E-2</v>
      </c>
      <c r="DD99" s="41">
        <f t="shared" si="67"/>
        <v>0.63492063492063489</v>
      </c>
      <c r="DE99" s="41">
        <f t="shared" si="68"/>
        <v>0.23809523809523811</v>
      </c>
      <c r="DF99" s="41">
        <f t="shared" si="69"/>
        <v>0.12698412698412698</v>
      </c>
      <c r="DH99" s="41">
        <f t="shared" si="70"/>
        <v>0.45977011494252873</v>
      </c>
      <c r="DI99" s="41">
        <f t="shared" si="71"/>
        <v>0.17241379310344826</v>
      </c>
      <c r="DJ99" s="41">
        <f t="shared" si="72"/>
        <v>0.36781609195402304</v>
      </c>
      <c r="DL99" s="2">
        <f>CT99/节奏总纲!D95</f>
        <v>348.30054197625975</v>
      </c>
      <c r="DM99" s="2">
        <f>CU99/节奏总纲!E95</f>
        <v>346.23620036081263</v>
      </c>
      <c r="DN99" s="2">
        <f>CV99/节奏总纲!F95</f>
        <v>352.89521693664125</v>
      </c>
      <c r="DO99" s="2">
        <f>CW99/节奏总纲!G95</f>
        <v>391.66909272349488</v>
      </c>
      <c r="DP99" s="2">
        <f>CX99/节奏总纲!H95</f>
        <v>354.33010148152187</v>
      </c>
      <c r="DR99" s="2">
        <f t="shared" si="73"/>
        <v>0.99407310248863223</v>
      </c>
      <c r="DS99" s="2">
        <f t="shared" si="74"/>
        <v>1.0131916962698688</v>
      </c>
      <c r="DT99" s="2">
        <f t="shared" si="75"/>
        <v>1.1245147380511142</v>
      </c>
      <c r="DU99" s="2">
        <f t="shared" si="76"/>
        <v>1.0173113698619312</v>
      </c>
      <c r="DY99" s="2">
        <v>92</v>
      </c>
      <c r="DZ99" s="2">
        <f t="shared" si="77"/>
        <v>4824788.4650946157</v>
      </c>
      <c r="EA99" s="2">
        <f t="shared" si="78"/>
        <v>4118048.5233924245</v>
      </c>
      <c r="EB99" s="2">
        <f t="shared" si="79"/>
        <v>3431176.0973475184</v>
      </c>
      <c r="EC99" s="2">
        <f t="shared" si="80"/>
        <v>2302255.1241973946</v>
      </c>
      <c r="ED99" s="2">
        <f t="shared" si="81"/>
        <v>970782.14604050107</v>
      </c>
      <c r="EF99" s="57">
        <f t="shared" si="82"/>
        <v>0.6206896551724137</v>
      </c>
      <c r="EG99" s="57">
        <f t="shared" si="83"/>
        <v>0.25862068965517243</v>
      </c>
      <c r="EH99" s="41">
        <f t="shared" si="84"/>
        <v>0.1206896551724138</v>
      </c>
      <c r="EJ99" s="57">
        <f t="shared" si="85"/>
        <v>0.5714285714285714</v>
      </c>
      <c r="EK99" s="57">
        <f t="shared" si="86"/>
        <v>0.23809523809523808</v>
      </c>
      <c r="EL99" s="41">
        <f t="shared" si="87"/>
        <v>0.19047619047619047</v>
      </c>
      <c r="EN99" s="57">
        <f t="shared" si="88"/>
        <v>0.5714285714285714</v>
      </c>
      <c r="EO99" s="57">
        <f t="shared" si="89"/>
        <v>0.23809523809523814</v>
      </c>
      <c r="EP99" s="41">
        <f t="shared" si="90"/>
        <v>0.19047619047619049</v>
      </c>
    </row>
    <row r="100" spans="20:146" x14ac:dyDescent="0.15">
      <c r="T100" s="2">
        <v>93</v>
      </c>
      <c r="U100" s="2">
        <f>$N$8*SUM(C$11:C$12)/(365/12)*MAX(节奏总纲!D96-$E$2,0)</f>
        <v>11979.662510625603</v>
      </c>
      <c r="V100" s="2">
        <f>$N$8*SUM(D$11:D$12)/(365/12)*MAX(节奏总纲!E96-$E$2,0)</f>
        <v>10064.850763643937</v>
      </c>
      <c r="W100" s="2">
        <f>$N$8*SUM(E$11:E$12)/(365/12)*MAX(节奏总纲!F96-$E$2,0)</f>
        <v>7862.6848333323778</v>
      </c>
      <c r="X100" s="2">
        <f>$N$8*SUM(F$11:F$12)/(365/12)*MAX(节奏总纲!G96-$E$2,0)</f>
        <v>5292.3877372802217</v>
      </c>
      <c r="Y100" s="2">
        <f>$N$8*SUM(G$11:G$12)/(365/12)*MAX(节奏总纲!H96-$E$2,0)</f>
        <v>2279.8035572087874</v>
      </c>
      <c r="Z100" s="2">
        <f>$O$8*SUM(C$11:C$12)/(365/12)*MAX(节奏总纲!D96-$E$2,0)</f>
        <v>119796.62510625603</v>
      </c>
      <c r="AA100" s="2">
        <f>$O$8*SUM(D$11:D$12)/(365/12)*MAX(节奏总纲!E96-$E$2,0)</f>
        <v>100648.50763643936</v>
      </c>
      <c r="AB100" s="2">
        <f>$O$8*SUM(E$11:E$12)/(365/12)*MAX(节奏总纲!F96-$E$2,0)</f>
        <v>78626.848333323782</v>
      </c>
      <c r="AC100" s="2">
        <f>$O$8*SUM(F$11:F$12)/(365/12)*MAX(节奏总纲!G96-$E$2,0)</f>
        <v>52923.877372802213</v>
      </c>
      <c r="AD100" s="2">
        <f>$O$8*SUM(G$11:G$12)/(365/12)*MAX(节奏总纲!H96-$E$2,0)</f>
        <v>22798.035572087872</v>
      </c>
      <c r="AE100" s="2">
        <f>$Q$8*SUM(C$11:C$12)/(365/12)*MAX(节奏总纲!D96-$E$2,0)</f>
        <v>149745.78138282002</v>
      </c>
      <c r="AF100" s="2">
        <f>$Q$8*SUM(D$11:D$12)/(365/12)*MAX(节奏总纲!E96-$E$2,0)</f>
        <v>125810.6345455492</v>
      </c>
      <c r="AG100" s="2">
        <f>$Q$8*SUM(E$11:E$12)/(365/12)*MAX(节奏总纲!F96-$E$2,0)</f>
        <v>98283.560416654713</v>
      </c>
      <c r="AH100" s="2">
        <f>$Q$8*SUM(F$11:F$12)/(365/12)*MAX(节奏总纲!G96-$E$2,0)</f>
        <v>66154.846716002765</v>
      </c>
      <c r="AI100" s="2">
        <f>$Q$8*SUM(G$11:G$12)/(365/12)*MAX(节奏总纲!H96-$E$2,0)</f>
        <v>28497.544465109841</v>
      </c>
      <c r="AJ100" s="2">
        <f>$P$8*SUM(C$11:C$12)/(365/12)*MAX(节奏总纲!D96-$E$2,0)</f>
        <v>3234508.8778689126</v>
      </c>
      <c r="AK100" s="2">
        <f>$P$8*SUM(D$11:D$12)/(365/12)*MAX(节奏总纲!E96-$E$2,0)</f>
        <v>2717509.7061838629</v>
      </c>
      <c r="AL100" s="2">
        <f>$P$8*SUM(E$11:E$12)/(365/12)*MAX(节奏总纲!F96-$E$2,0)</f>
        <v>2122924.9049997418</v>
      </c>
      <c r="AM100" s="2">
        <f>$P$8*SUM(F$11:F$12)/(365/12)*MAX(节奏总纲!G96-$E$2,0)</f>
        <v>1428944.6890656599</v>
      </c>
      <c r="AN100" s="2">
        <f>$P$8*SUM(G$11:G$12)/(365/12)*MAX(节奏总纲!H96-$E$2,0)</f>
        <v>615546.96044637251</v>
      </c>
      <c r="BC100" s="2">
        <v>93</v>
      </c>
      <c r="BD100" s="2">
        <f>$AZ$8/(365/12)*MAX(节奏总纲!D96-$E$2,0)</f>
        <v>56154.668018557517</v>
      </c>
      <c r="BE100" s="2">
        <f>$AZ$8/(365/12)*MAX(节奏总纲!E96-$E$2,0)</f>
        <v>47178.987954580953</v>
      </c>
      <c r="BF100" s="2">
        <f>$AZ$8/(365/12)*MAX(节奏总纲!F96-$E$2,0)</f>
        <v>36856.335156245521</v>
      </c>
      <c r="BG100" s="2">
        <f>$AZ$8/(365/12)*MAX(节奏总纲!G96-$E$2,0)</f>
        <v>24808.06751850104</v>
      </c>
      <c r="BH100" s="2">
        <f>$AZ$8/(365/12)*MAX(节奏总纲!H96-$E$2,0)</f>
        <v>10686.579174416191</v>
      </c>
      <c r="BI100" s="2">
        <f>$AY$8/(365/12)*MAX(节奏总纲!D96-$E$2,0)</f>
        <v>1347712.0324453805</v>
      </c>
      <c r="BJ100" s="2">
        <f>$AY$8/(365/12)*MAX(节奏总纲!E96-$E$2,0)</f>
        <v>1132295.7109099429</v>
      </c>
      <c r="BK100" s="2">
        <f>$AY$8/(365/12)*MAX(节奏总纲!F96-$E$2,0)</f>
        <v>884552.04374989262</v>
      </c>
      <c r="BL100" s="2">
        <f>$AY$8/(365/12)*MAX(节奏总纲!G96-$E$2,0)</f>
        <v>595393.62044402503</v>
      </c>
      <c r="BM100" s="2">
        <f>$AY$8/(365/12)*MAX(节奏总纲!H96-$E$2,0)</f>
        <v>256477.9001859886</v>
      </c>
      <c r="CD100" s="2">
        <v>93</v>
      </c>
      <c r="CE100" s="2">
        <f>INDEX($BY$8:$BY$15,MATCH(CE$7,$CB$8:$CB$15,0))*SUM(C$11:C$12)/(365/12)*MAX(节奏总纲!D96-$E$2,0)</f>
        <v>14974.578138282004</v>
      </c>
      <c r="CF100" s="2">
        <f>INDEX($BY$8:$BY$15,MATCH(CF$7,$CB$8:$CB$15,0))*SUM(D$11:D$12)/(365/12)*MAX(节奏总纲!E96-$E$2,0)</f>
        <v>15097.276145465905</v>
      </c>
      <c r="CG100" s="2">
        <f>INDEX($BY$8:$BY$15,MATCH(CG$7,$CB$8:$CB$15,0))*SUM(E$11:E$12)/(365/12)*MAX(节奏总纲!F96-$E$2,0)</f>
        <v>19656.712083330945</v>
      </c>
      <c r="CH100" s="2">
        <f>INDEX($BY$8:$BY$15,MATCH(CH$7,$CB$8:$CB$15,0))*SUM(F$11:F$12)/(365/12)*MAX(节奏总纲!G96-$E$2,0)</f>
        <v>33077.423358001382</v>
      </c>
      <c r="CI100" s="2">
        <f>INDEX($BY$8:$BY$15,MATCH(CI$7,$CB$8:$CB$15,0))*SUM(G$11:G$12)/(365/12)*MAX(节奏总纲!H96-$E$2,0)</f>
        <v>22798.035572087872</v>
      </c>
      <c r="CJ100" s="2">
        <f>INDEX($BZ$8:$BZ$15,MATCH(CE$7,$CB$8:$CB$15,0))*SUM(C$11:C$12)/(365/12)*MAX(节奏总纲!D96-$E$2,0)</f>
        <v>628932.28180784418</v>
      </c>
      <c r="CK100" s="2">
        <f>INDEX($BZ$8:$BZ$15,MATCH(CF$7,$CB$8:$CB$15,0))*SUM(D$11:D$12)/(365/12)*MAX(节奏总纲!E96-$E$2,0)</f>
        <v>603891.04581863619</v>
      </c>
      <c r="CL100" s="2">
        <f>INDEX($BZ$8:$BZ$15,MATCH(CG$7,$CB$8:$CB$15,0))*SUM(E$11:E$12)/(365/12)*MAX(节奏总纲!F96-$E$2,0)</f>
        <v>707641.63499991398</v>
      </c>
      <c r="CM100" s="2">
        <f>INDEX($BZ$8:$BZ$15,MATCH(CH$7,$CB$8:$CB$15,0))*SUM(F$11:F$12)/(365/12)*MAX(节奏总纲!G96-$E$2,0)</f>
        <v>476314.89635521994</v>
      </c>
      <c r="CN100" s="2">
        <f>INDEX($BZ$8:$BZ$15,MATCH(CI$7,$CB$8:$CB$15,0))*SUM(G$11:G$12)/(365/12)*MAX(节奏总纲!H96-$E$2,0)</f>
        <v>205182.32014879087</v>
      </c>
      <c r="CS100" s="2">
        <v>93</v>
      </c>
      <c r="CT100" s="2">
        <f t="shared" si="59"/>
        <v>220875.02753965952</v>
      </c>
      <c r="CU100" s="2">
        <f t="shared" si="60"/>
        <v>188086.89864559605</v>
      </c>
      <c r="CV100" s="2">
        <f t="shared" si="61"/>
        <v>154796.60765623121</v>
      </c>
      <c r="CW100" s="2">
        <f t="shared" si="62"/>
        <v>124040.3375925052</v>
      </c>
      <c r="CX100" s="2">
        <f t="shared" si="63"/>
        <v>61982.159211613907</v>
      </c>
      <c r="CZ100" s="41">
        <f t="shared" si="64"/>
        <v>0.67796610169491522</v>
      </c>
      <c r="DA100" s="41">
        <f t="shared" si="65"/>
        <v>0.25423728813559326</v>
      </c>
      <c r="DB100" s="41">
        <f t="shared" si="66"/>
        <v>6.7796610169491539E-2</v>
      </c>
      <c r="DD100" s="41">
        <f t="shared" si="67"/>
        <v>0.63492063492063477</v>
      </c>
      <c r="DE100" s="41">
        <f t="shared" si="68"/>
        <v>0.23809523809523805</v>
      </c>
      <c r="DF100" s="41">
        <f t="shared" si="69"/>
        <v>0.12698412698412698</v>
      </c>
      <c r="DH100" s="41">
        <f t="shared" si="70"/>
        <v>0.45977011494252873</v>
      </c>
      <c r="DI100" s="41">
        <f t="shared" si="71"/>
        <v>0.17241379310344826</v>
      </c>
      <c r="DJ100" s="41">
        <f t="shared" si="72"/>
        <v>0.36781609195402298</v>
      </c>
      <c r="DL100" s="2">
        <f>CT100/节奏总纲!D96</f>
        <v>350.95964497459556</v>
      </c>
      <c r="DM100" s="2">
        <f>CU100/节奏总纲!E96</f>
        <v>349.38146772614175</v>
      </c>
      <c r="DN100" s="2">
        <f>CV100/节奏总纲!F96</f>
        <v>356.93550854185008</v>
      </c>
      <c r="DO100" s="2">
        <f>CW100/节奏总纲!G96</f>
        <v>398.16978995242005</v>
      </c>
      <c r="DP100" s="2">
        <f>CX100/节奏总纲!H96</f>
        <v>368.17430892431747</v>
      </c>
      <c r="DR100" s="2">
        <f t="shared" si="73"/>
        <v>0.99550325152463592</v>
      </c>
      <c r="DS100" s="2">
        <f t="shared" si="74"/>
        <v>1.0170272099736342</v>
      </c>
      <c r="DT100" s="2">
        <f t="shared" si="75"/>
        <v>1.1345173032108629</v>
      </c>
      <c r="DU100" s="2">
        <f t="shared" si="76"/>
        <v>1.0490502660240837</v>
      </c>
      <c r="DY100" s="2">
        <v>93</v>
      </c>
      <c r="DZ100" s="2">
        <f t="shared" si="77"/>
        <v>5211153.1921221381</v>
      </c>
      <c r="EA100" s="2">
        <f t="shared" si="78"/>
        <v>4453696.4629124422</v>
      </c>
      <c r="EB100" s="2">
        <f t="shared" si="79"/>
        <v>3715118.5837495485</v>
      </c>
      <c r="EC100" s="2">
        <f t="shared" si="80"/>
        <v>2500653.2058649049</v>
      </c>
      <c r="ED100" s="2">
        <f t="shared" si="81"/>
        <v>1077207.1807811521</v>
      </c>
      <c r="EF100" s="57">
        <f t="shared" si="82"/>
        <v>0.6206896551724137</v>
      </c>
      <c r="EG100" s="57">
        <f t="shared" si="83"/>
        <v>0.25862068965517238</v>
      </c>
      <c r="EH100" s="41">
        <f t="shared" si="84"/>
        <v>0.12068965517241378</v>
      </c>
      <c r="EJ100" s="57">
        <f t="shared" si="85"/>
        <v>0.5714285714285714</v>
      </c>
      <c r="EK100" s="57">
        <f t="shared" si="86"/>
        <v>0.23809523809523814</v>
      </c>
      <c r="EL100" s="41">
        <f t="shared" si="87"/>
        <v>0.19047619047619047</v>
      </c>
      <c r="EN100" s="57">
        <f t="shared" si="88"/>
        <v>0.57142857142857129</v>
      </c>
      <c r="EO100" s="57">
        <f t="shared" si="89"/>
        <v>0.23809523809523811</v>
      </c>
      <c r="EP100" s="41">
        <f t="shared" si="90"/>
        <v>0.19047619047619047</v>
      </c>
    </row>
    <row r="101" spans="20:146" x14ac:dyDescent="0.15">
      <c r="T101" s="2">
        <v>94</v>
      </c>
      <c r="U101" s="2">
        <f>$N$8*SUM(C$11:C$12)/(365/12)*MAX(节奏总纲!D97-$E$2,0)</f>
        <v>12931.606099793817</v>
      </c>
      <c r="V101" s="2">
        <f>$N$8*SUM(D$11:D$12)/(365/12)*MAX(节奏总纲!E97-$E$2,0)</f>
        <v>10863.529830779886</v>
      </c>
      <c r="W101" s="2">
        <f>$N$8*SUM(E$11:E$12)/(365/12)*MAX(节奏总纲!F97-$E$2,0)</f>
        <v>8501.6362744043308</v>
      </c>
      <c r="X101" s="2">
        <f>$N$8*SUM(F$11:F$12)/(365/12)*MAX(节奏总纲!G97-$E$2,0)</f>
        <v>5738.0504845826954</v>
      </c>
      <c r="Y101" s="2">
        <f>$N$8*SUM(G$11:G$12)/(365/12)*MAX(节奏总纲!H97-$E$2,0)</f>
        <v>2517.4155810874222</v>
      </c>
      <c r="Z101" s="2">
        <f>$O$8*SUM(C$11:C$12)/(365/12)*MAX(节奏总纲!D97-$E$2,0)</f>
        <v>129316.06099793817</v>
      </c>
      <c r="AA101" s="2">
        <f>$O$8*SUM(D$11:D$12)/(365/12)*MAX(节奏总纲!E97-$E$2,0)</f>
        <v>108635.29830779885</v>
      </c>
      <c r="AB101" s="2">
        <f>$O$8*SUM(E$11:E$12)/(365/12)*MAX(节奏总纲!F97-$E$2,0)</f>
        <v>85016.362744043319</v>
      </c>
      <c r="AC101" s="2">
        <f>$O$8*SUM(F$11:F$12)/(365/12)*MAX(节奏总纲!G97-$E$2,0)</f>
        <v>57380.504845826952</v>
      </c>
      <c r="AD101" s="2">
        <f>$O$8*SUM(G$11:G$12)/(365/12)*MAX(节奏总纲!H97-$E$2,0)</f>
        <v>25174.155810874221</v>
      </c>
      <c r="AE101" s="2">
        <f>$Q$8*SUM(C$11:C$12)/(365/12)*MAX(节奏总纲!D97-$E$2,0)</f>
        <v>161645.07624742272</v>
      </c>
      <c r="AF101" s="2">
        <f>$Q$8*SUM(D$11:D$12)/(365/12)*MAX(节奏总纲!E97-$E$2,0)</f>
        <v>135794.12288474856</v>
      </c>
      <c r="AG101" s="2">
        <f>$Q$8*SUM(E$11:E$12)/(365/12)*MAX(节奏总纲!F97-$E$2,0)</f>
        <v>106270.45343005414</v>
      </c>
      <c r="AH101" s="2">
        <f>$Q$8*SUM(F$11:F$12)/(365/12)*MAX(节奏总纲!G97-$E$2,0)</f>
        <v>71725.631057283681</v>
      </c>
      <c r="AI101" s="2">
        <f>$Q$8*SUM(G$11:G$12)/(365/12)*MAX(节奏总纲!H97-$E$2,0)</f>
        <v>31467.694763592772</v>
      </c>
      <c r="AJ101" s="2">
        <f>$P$8*SUM(C$11:C$12)/(365/12)*MAX(节奏总纲!D97-$E$2,0)</f>
        <v>3491533.6469443305</v>
      </c>
      <c r="AK101" s="2">
        <f>$P$8*SUM(D$11:D$12)/(365/12)*MAX(节奏总纲!E97-$E$2,0)</f>
        <v>2933153.0543105691</v>
      </c>
      <c r="AL101" s="2">
        <f>$P$8*SUM(E$11:E$12)/(365/12)*MAX(节奏总纲!F97-$E$2,0)</f>
        <v>2295441.7940891692</v>
      </c>
      <c r="AM101" s="2">
        <f>$P$8*SUM(F$11:F$12)/(365/12)*MAX(节奏总纲!G97-$E$2,0)</f>
        <v>1549273.6308373276</v>
      </c>
      <c r="AN101" s="2">
        <f>$P$8*SUM(G$11:G$12)/(365/12)*MAX(节奏总纲!H97-$E$2,0)</f>
        <v>679702.2068936039</v>
      </c>
      <c r="BC101" s="2">
        <v>94</v>
      </c>
      <c r="BD101" s="2">
        <f>$AZ$8/(365/12)*MAX(节奏总纲!D97-$E$2,0)</f>
        <v>60616.903592783521</v>
      </c>
      <c r="BE101" s="2">
        <f>$AZ$8/(365/12)*MAX(节奏总纲!E97-$E$2,0)</f>
        <v>50922.796081780711</v>
      </c>
      <c r="BF101" s="2">
        <f>$AZ$8/(365/12)*MAX(节奏总纲!F97-$E$2,0)</f>
        <v>39851.420036270305</v>
      </c>
      <c r="BG101" s="2">
        <f>$AZ$8/(365/12)*MAX(节奏总纲!G97-$E$2,0)</f>
        <v>26897.111646481382</v>
      </c>
      <c r="BH101" s="2">
        <f>$AZ$8/(365/12)*MAX(节奏总纲!H97-$E$2,0)</f>
        <v>11800.38553634729</v>
      </c>
      <c r="BI101" s="2">
        <f>$AY$8/(365/12)*MAX(节奏总纲!D97-$E$2,0)</f>
        <v>1454805.6862268045</v>
      </c>
      <c r="BJ101" s="2">
        <f>$AY$8/(365/12)*MAX(节奏总纲!E97-$E$2,0)</f>
        <v>1222147.1059627372</v>
      </c>
      <c r="BK101" s="2">
        <f>$AY$8/(365/12)*MAX(节奏总纲!F97-$E$2,0)</f>
        <v>956434.08087048738</v>
      </c>
      <c r="BL101" s="2">
        <f>$AY$8/(365/12)*MAX(节奏总纲!G97-$E$2,0)</f>
        <v>645530.67951555317</v>
      </c>
      <c r="BM101" s="2">
        <f>$AY$8/(365/12)*MAX(节奏总纲!H97-$E$2,0)</f>
        <v>283209.25287233497</v>
      </c>
      <c r="CD101" s="2">
        <v>94</v>
      </c>
      <c r="CE101" s="2">
        <f>INDEX($BY$8:$BY$15,MATCH(CE$7,$CB$8:$CB$15,0))*SUM(C$11:C$12)/(365/12)*MAX(节奏总纲!D97-$E$2,0)</f>
        <v>16164.507624742271</v>
      </c>
      <c r="CF101" s="2">
        <f>INDEX($BY$8:$BY$15,MATCH(CF$7,$CB$8:$CB$15,0))*SUM(D$11:D$12)/(365/12)*MAX(节奏总纲!E97-$E$2,0)</f>
        <v>16295.294746169828</v>
      </c>
      <c r="CG101" s="2">
        <f>INDEX($BY$8:$BY$15,MATCH(CG$7,$CB$8:$CB$15,0))*SUM(E$11:E$12)/(365/12)*MAX(节奏总纲!F97-$E$2,0)</f>
        <v>21254.09068601083</v>
      </c>
      <c r="CH101" s="2">
        <f>INDEX($BY$8:$BY$15,MATCH(CH$7,$CB$8:$CB$15,0))*SUM(F$11:F$12)/(365/12)*MAX(节奏总纲!G97-$E$2,0)</f>
        <v>35862.815528641841</v>
      </c>
      <c r="CI101" s="2">
        <f>INDEX($BY$8:$BY$15,MATCH(CI$7,$CB$8:$CB$15,0))*SUM(G$11:G$12)/(365/12)*MAX(节奏总纲!H97-$E$2,0)</f>
        <v>25174.155810874221</v>
      </c>
      <c r="CJ101" s="2">
        <f>INDEX($BZ$8:$BZ$15,MATCH(CE$7,$CB$8:$CB$15,0))*SUM(C$11:C$12)/(365/12)*MAX(节奏总纲!D97-$E$2,0)</f>
        <v>678909.32023917546</v>
      </c>
      <c r="CK101" s="2">
        <f>INDEX($BZ$8:$BZ$15,MATCH(CF$7,$CB$8:$CB$15,0))*SUM(D$11:D$12)/(365/12)*MAX(节奏总纲!E97-$E$2,0)</f>
        <v>651811.78984679317</v>
      </c>
      <c r="CL101" s="2">
        <f>INDEX($BZ$8:$BZ$15,MATCH(CG$7,$CB$8:$CB$15,0))*SUM(E$11:E$12)/(365/12)*MAX(节奏总纲!F97-$E$2,0)</f>
        <v>765147.26469638979</v>
      </c>
      <c r="CM101" s="2">
        <f>INDEX($BZ$8:$BZ$15,MATCH(CH$7,$CB$8:$CB$15,0))*SUM(F$11:F$12)/(365/12)*MAX(节奏总纲!G97-$E$2,0)</f>
        <v>516424.5436124425</v>
      </c>
      <c r="CN101" s="2">
        <f>INDEX($BZ$8:$BZ$15,MATCH(CI$7,$CB$8:$CB$15,0))*SUM(G$11:G$12)/(365/12)*MAX(节奏总纲!H97-$E$2,0)</f>
        <v>226567.40229786799</v>
      </c>
      <c r="CS101" s="2">
        <v>94</v>
      </c>
      <c r="CT101" s="2">
        <f t="shared" si="59"/>
        <v>238426.48746494853</v>
      </c>
      <c r="CU101" s="2">
        <f t="shared" si="60"/>
        <v>203012.2137126991</v>
      </c>
      <c r="CV101" s="2">
        <f t="shared" si="61"/>
        <v>167375.96415233528</v>
      </c>
      <c r="CW101" s="2">
        <f t="shared" si="62"/>
        <v>134485.55823240691</v>
      </c>
      <c r="CX101" s="2">
        <f t="shared" si="63"/>
        <v>68442.23611081428</v>
      </c>
      <c r="CZ101" s="41">
        <f t="shared" si="64"/>
        <v>0.67796610169491522</v>
      </c>
      <c r="DA101" s="41">
        <f t="shared" si="65"/>
        <v>0.25423728813559321</v>
      </c>
      <c r="DB101" s="41">
        <f t="shared" si="66"/>
        <v>6.7796610169491511E-2</v>
      </c>
      <c r="DD101" s="41">
        <f t="shared" si="67"/>
        <v>0.63492063492063489</v>
      </c>
      <c r="DE101" s="41">
        <f t="shared" si="68"/>
        <v>0.23809523809523811</v>
      </c>
      <c r="DF101" s="41">
        <f t="shared" si="69"/>
        <v>0.12698412698412698</v>
      </c>
      <c r="DH101" s="41">
        <f t="shared" si="70"/>
        <v>0.45977011494252873</v>
      </c>
      <c r="DI101" s="41">
        <f t="shared" si="71"/>
        <v>0.17241379310344829</v>
      </c>
      <c r="DJ101" s="41">
        <f t="shared" si="72"/>
        <v>0.36781609195402304</v>
      </c>
      <c r="DL101" s="2">
        <f>CT101/节奏总纲!D97</f>
        <v>353.44012891031758</v>
      </c>
      <c r="DM101" s="2">
        <f>CU101/节奏总纲!E97</f>
        <v>352.26793758837727</v>
      </c>
      <c r="DN101" s="2">
        <f>CV101/节奏总纲!F97</f>
        <v>360.68587786585499</v>
      </c>
      <c r="DO101" s="2">
        <f>CW101/节奏总纲!G97</f>
        <v>404.21640782437231</v>
      </c>
      <c r="DP101" s="2">
        <f>CX101/节奏总纲!H97</f>
        <v>380.99070460572648</v>
      </c>
      <c r="DR101" s="2">
        <f t="shared" si="73"/>
        <v>0.99668347981437688</v>
      </c>
      <c r="DS101" s="2">
        <f t="shared" si="74"/>
        <v>1.0205006403146033</v>
      </c>
      <c r="DT101" s="2">
        <f t="shared" si="75"/>
        <v>1.1436630273721373</v>
      </c>
      <c r="DU101" s="2">
        <f t="shared" si="76"/>
        <v>1.0779497669954721</v>
      </c>
      <c r="DY101" s="2">
        <v>94</v>
      </c>
      <c r="DZ101" s="2">
        <f t="shared" si="77"/>
        <v>5625248.6534103099</v>
      </c>
      <c r="EA101" s="2">
        <f t="shared" si="78"/>
        <v>4807111.9501200989</v>
      </c>
      <c r="EB101" s="2">
        <f t="shared" si="79"/>
        <v>4017023.1396560464</v>
      </c>
      <c r="EC101" s="2">
        <f t="shared" si="80"/>
        <v>2711228.853965323</v>
      </c>
      <c r="ED101" s="2">
        <f t="shared" si="81"/>
        <v>1189478.8620638067</v>
      </c>
      <c r="EF101" s="57">
        <f t="shared" si="82"/>
        <v>0.62068965517241381</v>
      </c>
      <c r="EG101" s="57">
        <f t="shared" si="83"/>
        <v>0.25862068965517243</v>
      </c>
      <c r="EH101" s="41">
        <f t="shared" si="84"/>
        <v>0.12068965517241381</v>
      </c>
      <c r="EJ101" s="57">
        <f t="shared" si="85"/>
        <v>0.5714285714285714</v>
      </c>
      <c r="EK101" s="57">
        <f t="shared" si="86"/>
        <v>0.23809523809523814</v>
      </c>
      <c r="EL101" s="41">
        <f t="shared" si="87"/>
        <v>0.19047619047619047</v>
      </c>
      <c r="EN101" s="57">
        <f t="shared" si="88"/>
        <v>0.57142857142857151</v>
      </c>
      <c r="EO101" s="57">
        <f t="shared" si="89"/>
        <v>0.23809523809523811</v>
      </c>
      <c r="EP101" s="41">
        <f t="shared" si="90"/>
        <v>0.19047619047619049</v>
      </c>
    </row>
    <row r="102" spans="20:146" x14ac:dyDescent="0.15">
      <c r="T102" s="2">
        <v>95</v>
      </c>
      <c r="U102" s="2">
        <f>$N$8*SUM(C$11:C$12)/(365/12)*MAX(节奏总纲!D98-$E$2,0)</f>
        <v>13951.873976495859</v>
      </c>
      <c r="V102" s="2">
        <f>$N$8*SUM(D$11:D$12)/(365/12)*MAX(节奏总纲!E98-$E$2,0)</f>
        <v>11744.273281684393</v>
      </c>
      <c r="W102" s="2">
        <f>$N$8*SUM(E$11:E$12)/(365/12)*MAX(节奏总纲!F98-$E$2,0)</f>
        <v>9173.0498673278253</v>
      </c>
      <c r="X102" s="2">
        <f>$N$8*SUM(F$11:F$12)/(365/12)*MAX(节奏总纲!G98-$E$2,0)</f>
        <v>6215.382223831276</v>
      </c>
      <c r="Y102" s="2">
        <f>$N$8*SUM(G$11:G$12)/(365/12)*MAX(节奏总纲!H98-$E$2,0)</f>
        <v>2795.1986525451443</v>
      </c>
      <c r="Z102" s="2">
        <f>$O$8*SUM(C$11:C$12)/(365/12)*MAX(节奏总纲!D98-$E$2,0)</f>
        <v>139518.73976495859</v>
      </c>
      <c r="AA102" s="2">
        <f>$O$8*SUM(D$11:D$12)/(365/12)*MAX(节奏总纲!E98-$E$2,0)</f>
        <v>117442.73281684393</v>
      </c>
      <c r="AB102" s="2">
        <f>$O$8*SUM(E$11:E$12)/(365/12)*MAX(节奏总纲!F98-$E$2,0)</f>
        <v>91730.498673278242</v>
      </c>
      <c r="AC102" s="2">
        <f>$O$8*SUM(F$11:F$12)/(365/12)*MAX(节奏总纲!G98-$E$2,0)</f>
        <v>62153.822238312758</v>
      </c>
      <c r="AD102" s="2">
        <f>$O$8*SUM(G$11:G$12)/(365/12)*MAX(节奏总纲!H98-$E$2,0)</f>
        <v>27951.986525451444</v>
      </c>
      <c r="AE102" s="2">
        <f>$Q$8*SUM(C$11:C$12)/(365/12)*MAX(节奏总纲!D98-$E$2,0)</f>
        <v>174398.42470619825</v>
      </c>
      <c r="AF102" s="2">
        <f>$Q$8*SUM(D$11:D$12)/(365/12)*MAX(节奏总纲!E98-$E$2,0)</f>
        <v>146803.4160210549</v>
      </c>
      <c r="AG102" s="2">
        <f>$Q$8*SUM(E$11:E$12)/(365/12)*MAX(节奏总纲!F98-$E$2,0)</f>
        <v>114663.12334159781</v>
      </c>
      <c r="AH102" s="2">
        <f>$Q$8*SUM(F$11:F$12)/(365/12)*MAX(节奏总纲!G98-$E$2,0)</f>
        <v>77692.277797890943</v>
      </c>
      <c r="AI102" s="2">
        <f>$Q$8*SUM(G$11:G$12)/(365/12)*MAX(节奏总纲!H98-$E$2,0)</f>
        <v>34939.983156814305</v>
      </c>
      <c r="AJ102" s="2">
        <f>$P$8*SUM(C$11:C$12)/(365/12)*MAX(节奏总纲!D98-$E$2,0)</f>
        <v>3767005.9736538818</v>
      </c>
      <c r="AK102" s="2">
        <f>$P$8*SUM(D$11:D$12)/(365/12)*MAX(节奏总纲!E98-$E$2,0)</f>
        <v>3170953.7860547858</v>
      </c>
      <c r="AL102" s="2">
        <f>$P$8*SUM(E$11:E$12)/(365/12)*MAX(节奏总纲!F98-$E$2,0)</f>
        <v>2476723.4641785128</v>
      </c>
      <c r="AM102" s="2">
        <f>$P$8*SUM(F$11:F$12)/(365/12)*MAX(节奏总纲!G98-$E$2,0)</f>
        <v>1678153.2004344445</v>
      </c>
      <c r="AN102" s="2">
        <f>$P$8*SUM(G$11:G$12)/(365/12)*MAX(节奏总纲!H98-$E$2,0)</f>
        <v>754703.63618718891</v>
      </c>
      <c r="BC102" s="2">
        <v>95</v>
      </c>
      <c r="BD102" s="2">
        <f>$AZ$8/(365/12)*MAX(节奏总纲!D98-$E$2,0)</f>
        <v>65399.409264824339</v>
      </c>
      <c r="BE102" s="2">
        <f>$AZ$8/(365/12)*MAX(节奏总纲!E98-$E$2,0)</f>
        <v>55051.281007895588</v>
      </c>
      <c r="BF102" s="2">
        <f>$AZ$8/(365/12)*MAX(节奏总纲!F98-$E$2,0)</f>
        <v>42998.671253099179</v>
      </c>
      <c r="BG102" s="2">
        <f>$AZ$8/(365/12)*MAX(节奏总纲!G98-$E$2,0)</f>
        <v>29134.604174209107</v>
      </c>
      <c r="BH102" s="2">
        <f>$AZ$8/(365/12)*MAX(节奏总纲!H98-$E$2,0)</f>
        <v>13102.493683805364</v>
      </c>
      <c r="BI102" s="2">
        <f>$AY$8/(365/12)*MAX(节奏总纲!D98-$E$2,0)</f>
        <v>1569585.8223557842</v>
      </c>
      <c r="BJ102" s="2">
        <f>$AY$8/(365/12)*MAX(节奏总纲!E98-$E$2,0)</f>
        <v>1321230.7441894943</v>
      </c>
      <c r="BK102" s="2">
        <f>$AY$8/(365/12)*MAX(节奏总纲!F98-$E$2,0)</f>
        <v>1031968.1100743804</v>
      </c>
      <c r="BL102" s="2">
        <f>$AY$8/(365/12)*MAX(节奏总纲!G98-$E$2,0)</f>
        <v>699230.50018101861</v>
      </c>
      <c r="BM102" s="2">
        <f>$AY$8/(365/12)*MAX(节奏总纲!H98-$E$2,0)</f>
        <v>314459.84841132874</v>
      </c>
      <c r="CD102" s="2">
        <v>95</v>
      </c>
      <c r="CE102" s="2">
        <f>INDEX($BY$8:$BY$15,MATCH(CE$7,$CB$8:$CB$15,0))*SUM(C$11:C$12)/(365/12)*MAX(节奏总纲!D98-$E$2,0)</f>
        <v>17439.842470619824</v>
      </c>
      <c r="CF102" s="2">
        <f>INDEX($BY$8:$BY$15,MATCH(CF$7,$CB$8:$CB$15,0))*SUM(D$11:D$12)/(365/12)*MAX(节奏总纲!E98-$E$2,0)</f>
        <v>17616.409922526589</v>
      </c>
      <c r="CG102" s="2">
        <f>INDEX($BY$8:$BY$15,MATCH(CG$7,$CB$8:$CB$15,0))*SUM(E$11:E$12)/(365/12)*MAX(节奏总纲!F98-$E$2,0)</f>
        <v>22932.62466831956</v>
      </c>
      <c r="CH102" s="2">
        <f>INDEX($BY$8:$BY$15,MATCH(CH$7,$CB$8:$CB$15,0))*SUM(F$11:F$12)/(365/12)*MAX(节奏总纲!G98-$E$2,0)</f>
        <v>38846.138898945472</v>
      </c>
      <c r="CI102" s="2">
        <f>INDEX($BY$8:$BY$15,MATCH(CI$7,$CB$8:$CB$15,0))*SUM(G$11:G$12)/(365/12)*MAX(节奏总纲!H98-$E$2,0)</f>
        <v>27951.986525451444</v>
      </c>
      <c r="CJ102" s="2">
        <f>INDEX($BZ$8:$BZ$15,MATCH(CE$7,$CB$8:$CB$15,0))*SUM(C$11:C$12)/(365/12)*MAX(节奏总纲!D98-$E$2,0)</f>
        <v>732473.38376603264</v>
      </c>
      <c r="CK102" s="2">
        <f>INDEX($BZ$8:$BZ$15,MATCH(CF$7,$CB$8:$CB$15,0))*SUM(D$11:D$12)/(365/12)*MAX(节奏总纲!E98-$E$2,0)</f>
        <v>704656.39690106362</v>
      </c>
      <c r="CL102" s="2">
        <f>INDEX($BZ$8:$BZ$15,MATCH(CG$7,$CB$8:$CB$15,0))*SUM(E$11:E$12)/(365/12)*MAX(节奏总纲!F98-$E$2,0)</f>
        <v>825574.48805950419</v>
      </c>
      <c r="CM102" s="2">
        <f>INDEX($BZ$8:$BZ$15,MATCH(CH$7,$CB$8:$CB$15,0))*SUM(F$11:F$12)/(365/12)*MAX(节奏总纲!G98-$E$2,0)</f>
        <v>559384.40014481486</v>
      </c>
      <c r="CN102" s="2">
        <f>INDEX($BZ$8:$BZ$15,MATCH(CI$7,$CB$8:$CB$15,0))*SUM(G$11:G$12)/(365/12)*MAX(节奏总纲!H98-$E$2,0)</f>
        <v>251567.87872906297</v>
      </c>
      <c r="CS102" s="2">
        <v>95</v>
      </c>
      <c r="CT102" s="2">
        <f t="shared" si="59"/>
        <v>257237.6764416424</v>
      </c>
      <c r="CU102" s="2">
        <f t="shared" si="60"/>
        <v>219471.10695147709</v>
      </c>
      <c r="CV102" s="2">
        <f t="shared" si="61"/>
        <v>180594.41926301655</v>
      </c>
      <c r="CW102" s="2">
        <f t="shared" si="62"/>
        <v>145673.02087104553</v>
      </c>
      <c r="CX102" s="2">
        <f t="shared" si="63"/>
        <v>75994.463366071112</v>
      </c>
      <c r="CZ102" s="41">
        <f t="shared" si="64"/>
        <v>0.67796610169491534</v>
      </c>
      <c r="DA102" s="41">
        <f t="shared" si="65"/>
        <v>0.25423728813559321</v>
      </c>
      <c r="DB102" s="41">
        <f t="shared" si="66"/>
        <v>6.7796610169491525E-2</v>
      </c>
      <c r="DD102" s="41">
        <f t="shared" si="67"/>
        <v>0.63492063492063489</v>
      </c>
      <c r="DE102" s="41">
        <f t="shared" si="68"/>
        <v>0.23809523809523811</v>
      </c>
      <c r="DF102" s="41">
        <f t="shared" si="69"/>
        <v>0.12698412698412698</v>
      </c>
      <c r="DH102" s="41">
        <f t="shared" si="70"/>
        <v>0.45977011494252873</v>
      </c>
      <c r="DI102" s="41">
        <f t="shared" si="71"/>
        <v>0.17241379310344826</v>
      </c>
      <c r="DJ102" s="41">
        <f t="shared" si="72"/>
        <v>0.36781609195402298</v>
      </c>
      <c r="DL102" s="2">
        <f>CT102/节奏总纲!D98</f>
        <v>355.75402631444865</v>
      </c>
      <c r="DM102" s="2">
        <f>CU102/节奏总纲!E98</f>
        <v>355.03999842508961</v>
      </c>
      <c r="DN102" s="2">
        <f>CV102/节奏总纲!F98</f>
        <v>364.13193473924463</v>
      </c>
      <c r="DO102" s="2">
        <f>CW102/节奏总纲!G98</f>
        <v>409.89332895187852</v>
      </c>
      <c r="DP102" s="2">
        <f>CX102/节奏总纲!H98</f>
        <v>394.07073400976697</v>
      </c>
      <c r="DR102" s="2">
        <f t="shared" si="73"/>
        <v>0.99799291691296865</v>
      </c>
      <c r="DS102" s="2">
        <f t="shared" si="74"/>
        <v>1.0235497220132395</v>
      </c>
      <c r="DT102" s="2">
        <f t="shared" si="75"/>
        <v>1.152181840914926</v>
      </c>
      <c r="DU102" s="2">
        <f t="shared" si="76"/>
        <v>1.1077056192231269</v>
      </c>
      <c r="DY102" s="2">
        <v>95</v>
      </c>
      <c r="DZ102" s="2">
        <f t="shared" si="77"/>
        <v>6069065.179775699</v>
      </c>
      <c r="EA102" s="2">
        <f t="shared" si="78"/>
        <v>5196840.9271453433</v>
      </c>
      <c r="EB102" s="2">
        <f t="shared" si="79"/>
        <v>4334266.0623123972</v>
      </c>
      <c r="EC102" s="2">
        <f t="shared" si="80"/>
        <v>2936768.1007602778</v>
      </c>
      <c r="ED102" s="2">
        <f t="shared" si="81"/>
        <v>1320731.3633275805</v>
      </c>
      <c r="EF102" s="57">
        <f t="shared" si="82"/>
        <v>0.6206896551724137</v>
      </c>
      <c r="EG102" s="57">
        <f t="shared" si="83"/>
        <v>0.25862068965517243</v>
      </c>
      <c r="EH102" s="41">
        <f t="shared" si="84"/>
        <v>0.1206896551724138</v>
      </c>
      <c r="EJ102" s="57">
        <f t="shared" si="85"/>
        <v>0.57142857142857151</v>
      </c>
      <c r="EK102" s="57">
        <f t="shared" si="86"/>
        <v>0.23809523809523814</v>
      </c>
      <c r="EL102" s="41">
        <f t="shared" si="87"/>
        <v>0.19047619047619047</v>
      </c>
      <c r="EN102" s="57">
        <f t="shared" si="88"/>
        <v>0.57142857142857151</v>
      </c>
      <c r="EO102" s="57">
        <f t="shared" si="89"/>
        <v>0.23809523809523814</v>
      </c>
      <c r="EP102" s="41">
        <f t="shared" si="90"/>
        <v>0.19047619047619049</v>
      </c>
    </row>
    <row r="103" spans="20:146" x14ac:dyDescent="0.15">
      <c r="T103" s="2">
        <v>96</v>
      </c>
      <c r="U103" s="2">
        <f>$N$8*SUM(C$11:C$12)/(365/12)*MAX(节奏总纲!D99-$E$2,0)</f>
        <v>15045.37001142336</v>
      </c>
      <c r="V103" s="2">
        <f>$N$8*SUM(D$11:D$12)/(365/12)*MAX(节奏总纲!E99-$E$2,0)</f>
        <v>12646.487370414216</v>
      </c>
      <c r="W103" s="2">
        <f>$N$8*SUM(E$11:E$12)/(365/12)*MAX(节奏总纲!F99-$E$2,0)</f>
        <v>9888.8323425784165</v>
      </c>
      <c r="X103" s="2">
        <f>$N$8*SUM(F$11:F$12)/(365/12)*MAX(节奏总纲!G99-$E$2,0)</f>
        <v>6747.9431742686884</v>
      </c>
      <c r="Y103" s="2">
        <f>$N$8*SUM(G$11:G$12)/(365/12)*MAX(节奏总纲!H99-$E$2,0)</f>
        <v>3090.0956122132784</v>
      </c>
      <c r="Z103" s="2">
        <f>$O$8*SUM(C$11:C$12)/(365/12)*MAX(节奏总纲!D99-$E$2,0)</f>
        <v>150453.70011423359</v>
      </c>
      <c r="AA103" s="2">
        <f>$O$8*SUM(D$11:D$12)/(365/12)*MAX(节奏总纲!E99-$E$2,0)</f>
        <v>126464.87370414216</v>
      </c>
      <c r="AB103" s="2">
        <f>$O$8*SUM(E$11:E$12)/(365/12)*MAX(节奏总纲!F99-$E$2,0)</f>
        <v>98888.323425784169</v>
      </c>
      <c r="AC103" s="2">
        <f>$O$8*SUM(F$11:F$12)/(365/12)*MAX(节奏总纲!G99-$E$2,0)</f>
        <v>67479.431742686895</v>
      </c>
      <c r="AD103" s="2">
        <f>$O$8*SUM(G$11:G$12)/(365/12)*MAX(节奏总纲!H99-$E$2,0)</f>
        <v>30900.956122132786</v>
      </c>
      <c r="AE103" s="2">
        <f>$Q$8*SUM(C$11:C$12)/(365/12)*MAX(节奏总纲!D99-$E$2,0)</f>
        <v>188067.12514279198</v>
      </c>
      <c r="AF103" s="2">
        <f>$Q$8*SUM(D$11:D$12)/(365/12)*MAX(节奏总纲!E99-$E$2,0)</f>
        <v>158081.09213017768</v>
      </c>
      <c r="AG103" s="2">
        <f>$Q$8*SUM(E$11:E$12)/(365/12)*MAX(节奏总纲!F99-$E$2,0)</f>
        <v>123610.4042822302</v>
      </c>
      <c r="AH103" s="2">
        <f>$Q$8*SUM(F$11:F$12)/(365/12)*MAX(节奏总纲!G99-$E$2,0)</f>
        <v>84349.289678358604</v>
      </c>
      <c r="AI103" s="2">
        <f>$Q$8*SUM(G$11:G$12)/(365/12)*MAX(节奏总纲!H99-$E$2,0)</f>
        <v>38626.195152665976</v>
      </c>
      <c r="AJ103" s="2">
        <f>$P$8*SUM(C$11:C$12)/(365/12)*MAX(节奏总纲!D99-$E$2,0)</f>
        <v>4062249.903084307</v>
      </c>
      <c r="AK103" s="2">
        <f>$P$8*SUM(D$11:D$12)/(365/12)*MAX(节奏总纲!E99-$E$2,0)</f>
        <v>3414551.5900118379</v>
      </c>
      <c r="AL103" s="2">
        <f>$P$8*SUM(E$11:E$12)/(365/12)*MAX(节奏总纲!F99-$E$2,0)</f>
        <v>2669984.7324961722</v>
      </c>
      <c r="AM103" s="2">
        <f>$P$8*SUM(F$11:F$12)/(365/12)*MAX(节奏总纲!G99-$E$2,0)</f>
        <v>1821944.6570525458</v>
      </c>
      <c r="AN103" s="2">
        <f>$P$8*SUM(G$11:G$12)/(365/12)*MAX(节奏总纲!H99-$E$2,0)</f>
        <v>834325.81529758521</v>
      </c>
      <c r="BC103" s="2">
        <v>96</v>
      </c>
      <c r="BD103" s="2">
        <f>$AZ$8/(365/12)*MAX(节奏总纲!D99-$E$2,0)</f>
        <v>70525.171928547003</v>
      </c>
      <c r="BE103" s="2">
        <f>$AZ$8/(365/12)*MAX(节奏总纲!E99-$E$2,0)</f>
        <v>59280.409548816635</v>
      </c>
      <c r="BF103" s="2">
        <f>$AZ$8/(365/12)*MAX(节奏总纲!F99-$E$2,0)</f>
        <v>46353.901605836327</v>
      </c>
      <c r="BG103" s="2">
        <f>$AZ$8/(365/12)*MAX(节奏总纲!G99-$E$2,0)</f>
        <v>31630.983629384478</v>
      </c>
      <c r="BH103" s="2">
        <f>$AZ$8/(365/12)*MAX(节奏总纲!H99-$E$2,0)</f>
        <v>14484.823182249744</v>
      </c>
      <c r="BI103" s="2">
        <f>$AY$8/(365/12)*MAX(节奏总纲!D99-$E$2,0)</f>
        <v>1692604.1262851281</v>
      </c>
      <c r="BJ103" s="2">
        <f>$AY$8/(365/12)*MAX(节奏总纲!E99-$E$2,0)</f>
        <v>1422729.8291715994</v>
      </c>
      <c r="BK103" s="2">
        <f>$AY$8/(365/12)*MAX(节奏总纲!F99-$E$2,0)</f>
        <v>1112493.6385400719</v>
      </c>
      <c r="BL103" s="2">
        <f>$AY$8/(365/12)*MAX(节奏总纲!G99-$E$2,0)</f>
        <v>759143.60710522754</v>
      </c>
      <c r="BM103" s="2">
        <f>$AY$8/(365/12)*MAX(节奏总纲!H99-$E$2,0)</f>
        <v>347635.75637399388</v>
      </c>
      <c r="CD103" s="2">
        <v>96</v>
      </c>
      <c r="CE103" s="2">
        <f>INDEX($BY$8:$BY$15,MATCH(CE$7,$CB$8:$CB$15,0))*SUM(C$11:C$12)/(365/12)*MAX(节奏总纲!D99-$E$2,0)</f>
        <v>18806.712514279199</v>
      </c>
      <c r="CF103" s="2">
        <f>INDEX($BY$8:$BY$15,MATCH(CF$7,$CB$8:$CB$15,0))*SUM(D$11:D$12)/(365/12)*MAX(节奏总纲!E99-$E$2,0)</f>
        <v>18969.731055621323</v>
      </c>
      <c r="CG103" s="2">
        <f>INDEX($BY$8:$BY$15,MATCH(CG$7,$CB$8:$CB$15,0))*SUM(E$11:E$12)/(365/12)*MAX(节奏总纲!F99-$E$2,0)</f>
        <v>24722.080856446042</v>
      </c>
      <c r="CH103" s="2">
        <f>INDEX($BY$8:$BY$15,MATCH(CH$7,$CB$8:$CB$15,0))*SUM(F$11:F$12)/(365/12)*MAX(节奏总纲!G99-$E$2,0)</f>
        <v>42174.644839179302</v>
      </c>
      <c r="CI103" s="2">
        <f>INDEX($BY$8:$BY$15,MATCH(CI$7,$CB$8:$CB$15,0))*SUM(G$11:G$12)/(365/12)*MAX(节奏总纲!H99-$E$2,0)</f>
        <v>30900.956122132786</v>
      </c>
      <c r="CJ103" s="2">
        <f>INDEX($BZ$8:$BZ$15,MATCH(CE$7,$CB$8:$CB$15,0))*SUM(C$11:C$12)/(365/12)*MAX(节奏总纲!D99-$E$2,0)</f>
        <v>789881.92559972638</v>
      </c>
      <c r="CK103" s="2">
        <f>INDEX($BZ$8:$BZ$15,MATCH(CF$7,$CB$8:$CB$15,0))*SUM(D$11:D$12)/(365/12)*MAX(节奏总纲!E99-$E$2,0)</f>
        <v>758789.24222485302</v>
      </c>
      <c r="CL103" s="2">
        <f>INDEX($BZ$8:$BZ$15,MATCH(CG$7,$CB$8:$CB$15,0))*SUM(E$11:E$12)/(365/12)*MAX(节奏总纲!F99-$E$2,0)</f>
        <v>889994.91083205747</v>
      </c>
      <c r="CM103" s="2">
        <f>INDEX($BZ$8:$BZ$15,MATCH(CH$7,$CB$8:$CB$15,0))*SUM(F$11:F$12)/(365/12)*MAX(节奏总纲!G99-$E$2,0)</f>
        <v>607314.88568418194</v>
      </c>
      <c r="CN103" s="2">
        <f>INDEX($BZ$8:$BZ$15,MATCH(CI$7,$CB$8:$CB$15,0))*SUM(G$11:G$12)/(365/12)*MAX(节奏总纲!H99-$E$2,0)</f>
        <v>278108.60509919503</v>
      </c>
      <c r="CS103" s="2">
        <v>96</v>
      </c>
      <c r="CT103" s="2">
        <f t="shared" si="59"/>
        <v>277399.00958561816</v>
      </c>
      <c r="CU103" s="2">
        <f t="shared" si="60"/>
        <v>236331.23273461565</v>
      </c>
      <c r="CV103" s="2">
        <f t="shared" si="61"/>
        <v>194686.38674451257</v>
      </c>
      <c r="CW103" s="2">
        <f t="shared" si="62"/>
        <v>158154.91814692237</v>
      </c>
      <c r="CX103" s="2">
        <f t="shared" si="63"/>
        <v>84011.974457048505</v>
      </c>
      <c r="CZ103" s="41">
        <f t="shared" si="64"/>
        <v>0.67796610169491522</v>
      </c>
      <c r="DA103" s="41">
        <f t="shared" si="65"/>
        <v>0.25423728813559326</v>
      </c>
      <c r="DB103" s="41">
        <f t="shared" si="66"/>
        <v>6.7796610169491539E-2</v>
      </c>
      <c r="DD103" s="41">
        <f t="shared" si="67"/>
        <v>0.63492063492063489</v>
      </c>
      <c r="DE103" s="41">
        <f t="shared" si="68"/>
        <v>0.23809523809523811</v>
      </c>
      <c r="DF103" s="41">
        <f t="shared" si="69"/>
        <v>0.126984126984127</v>
      </c>
      <c r="DH103" s="41">
        <f t="shared" si="70"/>
        <v>0.45977011494252867</v>
      </c>
      <c r="DI103" s="41">
        <f t="shared" si="71"/>
        <v>0.17241379310344829</v>
      </c>
      <c r="DJ103" s="41">
        <f t="shared" si="72"/>
        <v>0.36781609195402304</v>
      </c>
      <c r="DL103" s="2">
        <f>CT103/节奏总纲!D99</f>
        <v>357.91255472276441</v>
      </c>
      <c r="DM103" s="2">
        <f>CU103/节奏总纲!E99</f>
        <v>357.51562936431981</v>
      </c>
      <c r="DN103" s="2">
        <f>CV103/节奏总纲!F99</f>
        <v>367.3487065615426</v>
      </c>
      <c r="DO103" s="2">
        <f>CW103/节奏总纲!G99</f>
        <v>415.42857902857895</v>
      </c>
      <c r="DP103" s="2">
        <f>CX103/节奏总纲!H99</f>
        <v>406.12960094002693</v>
      </c>
      <c r="DR103" s="2">
        <f t="shared" si="73"/>
        <v>0.99889099906329892</v>
      </c>
      <c r="DS103" s="2">
        <f t="shared" si="74"/>
        <v>1.0263644058143959</v>
      </c>
      <c r="DT103" s="2">
        <f t="shared" si="75"/>
        <v>1.1606985380838788</v>
      </c>
      <c r="DU103" s="2">
        <f t="shared" si="76"/>
        <v>1.1347173927849805</v>
      </c>
      <c r="DY103" s="2">
        <v>96</v>
      </c>
      <c r="DZ103" s="2">
        <f t="shared" si="77"/>
        <v>6544735.9549691621</v>
      </c>
      <c r="EA103" s="2">
        <f t="shared" si="78"/>
        <v>5596070.6614082903</v>
      </c>
      <c r="EB103" s="2">
        <f t="shared" si="79"/>
        <v>4672473.2818683013</v>
      </c>
      <c r="EC103" s="2">
        <f t="shared" si="80"/>
        <v>3188403.1498419554</v>
      </c>
      <c r="ED103" s="2">
        <f t="shared" si="81"/>
        <v>1460070.1767707742</v>
      </c>
      <c r="EF103" s="57">
        <f t="shared" si="82"/>
        <v>0.6206896551724137</v>
      </c>
      <c r="EG103" s="57">
        <f t="shared" si="83"/>
        <v>0.25862068965517238</v>
      </c>
      <c r="EH103" s="41">
        <f t="shared" si="84"/>
        <v>0.12068965517241378</v>
      </c>
      <c r="EJ103" s="57">
        <f t="shared" si="85"/>
        <v>0.5714285714285714</v>
      </c>
      <c r="EK103" s="57">
        <f t="shared" si="86"/>
        <v>0.23809523809523814</v>
      </c>
      <c r="EL103" s="41">
        <f t="shared" si="87"/>
        <v>0.19047619047619049</v>
      </c>
      <c r="EN103" s="57">
        <f t="shared" si="88"/>
        <v>0.5714285714285714</v>
      </c>
      <c r="EO103" s="57">
        <f t="shared" si="89"/>
        <v>0.23809523809523811</v>
      </c>
      <c r="EP103" s="41">
        <f t="shared" si="90"/>
        <v>0.19047619047619044</v>
      </c>
    </row>
    <row r="104" spans="20:146" x14ac:dyDescent="0.15">
      <c r="T104" s="2">
        <v>97</v>
      </c>
      <c r="U104" s="2">
        <f>$N$8*SUM(C$11:C$12)/(365/12)*MAX(节奏总纲!D100-$E$2,0)</f>
        <v>16217.3500430473</v>
      </c>
      <c r="V104" s="2">
        <f>$N$8*SUM(D$11:D$12)/(365/12)*MAX(节奏总纲!E100-$E$2,0)</f>
        <v>13628.589323589802</v>
      </c>
      <c r="W104" s="2">
        <f>$N$8*SUM(E$11:E$12)/(365/12)*MAX(节奏总纲!F100-$E$2,0)</f>
        <v>10716.452011897576</v>
      </c>
      <c r="X104" s="2">
        <f>$N$8*SUM(F$11:F$12)/(365/12)*MAX(节奏总纲!G100-$E$2,0)</f>
        <v>7360.3273789749592</v>
      </c>
      <c r="Y104" s="2">
        <f>$N$8*SUM(G$11:G$12)/(365/12)*MAX(节奏总纲!H100-$E$2,0)</f>
        <v>3436.108732667004</v>
      </c>
      <c r="Z104" s="2">
        <f>$O$8*SUM(C$11:C$12)/(365/12)*MAX(节奏总纲!D100-$E$2,0)</f>
        <v>162173.50043047298</v>
      </c>
      <c r="AA104" s="2">
        <f>$O$8*SUM(D$11:D$12)/(365/12)*MAX(节奏总纲!E100-$E$2,0)</f>
        <v>136285.89323589802</v>
      </c>
      <c r="AB104" s="2">
        <f>$O$8*SUM(E$11:E$12)/(365/12)*MAX(节奏总纲!F100-$E$2,0)</f>
        <v>107164.52011897575</v>
      </c>
      <c r="AC104" s="2">
        <f>$O$8*SUM(F$11:F$12)/(365/12)*MAX(节奏总纲!G100-$E$2,0)</f>
        <v>73603.273789749583</v>
      </c>
      <c r="AD104" s="2">
        <f>$O$8*SUM(G$11:G$12)/(365/12)*MAX(节奏总纲!H100-$E$2,0)</f>
        <v>34361.087326670036</v>
      </c>
      <c r="AE104" s="2">
        <f>$Q$8*SUM(C$11:C$12)/(365/12)*MAX(节奏总纲!D100-$E$2,0)</f>
        <v>202716.87553809123</v>
      </c>
      <c r="AF104" s="2">
        <f>$Q$8*SUM(D$11:D$12)/(365/12)*MAX(节奏总纲!E100-$E$2,0)</f>
        <v>170357.36654487252</v>
      </c>
      <c r="AG104" s="2">
        <f>$Q$8*SUM(E$11:E$12)/(365/12)*MAX(节奏总纲!F100-$E$2,0)</f>
        <v>133955.65014871969</v>
      </c>
      <c r="AH104" s="2">
        <f>$Q$8*SUM(F$11:F$12)/(365/12)*MAX(节奏总纲!G100-$E$2,0)</f>
        <v>92004.092237186982</v>
      </c>
      <c r="AI104" s="2">
        <f>$Q$8*SUM(G$11:G$12)/(365/12)*MAX(节奏总纲!H100-$E$2,0)</f>
        <v>42951.359158337546</v>
      </c>
      <c r="AJ104" s="2">
        <f>$P$8*SUM(C$11:C$12)/(365/12)*MAX(节奏总纲!D100-$E$2,0)</f>
        <v>4378684.5116227707</v>
      </c>
      <c r="AK104" s="2">
        <f>$P$8*SUM(D$11:D$12)/(365/12)*MAX(节奏总纲!E100-$E$2,0)</f>
        <v>3679719.1173692462</v>
      </c>
      <c r="AL104" s="2">
        <f>$P$8*SUM(E$11:E$12)/(365/12)*MAX(节奏总纲!F100-$E$2,0)</f>
        <v>2893442.0432123453</v>
      </c>
      <c r="AM104" s="2">
        <f>$P$8*SUM(F$11:F$12)/(365/12)*MAX(节奏总纲!G100-$E$2,0)</f>
        <v>1987288.3923232388</v>
      </c>
      <c r="AN104" s="2">
        <f>$P$8*SUM(G$11:G$12)/(365/12)*MAX(节奏总纲!H100-$E$2,0)</f>
        <v>927749.35782009107</v>
      </c>
      <c r="BC104" s="2">
        <v>97</v>
      </c>
      <c r="BD104" s="2">
        <f>$AZ$8/(365/12)*MAX(节奏总纲!D100-$E$2,0)</f>
        <v>76018.82832678422</v>
      </c>
      <c r="BE104" s="2">
        <f>$AZ$8/(365/12)*MAX(节奏总纲!E100-$E$2,0)</f>
        <v>63884.012454327196</v>
      </c>
      <c r="BF104" s="2">
        <f>$AZ$8/(365/12)*MAX(节奏总纲!F100-$E$2,0)</f>
        <v>50233.368805769889</v>
      </c>
      <c r="BG104" s="2">
        <f>$AZ$8/(365/12)*MAX(节奏总纲!G100-$E$2,0)</f>
        <v>34501.53458894512</v>
      </c>
      <c r="BH104" s="2">
        <f>$AZ$8/(365/12)*MAX(节奏总纲!H100-$E$2,0)</f>
        <v>16106.75968437658</v>
      </c>
      <c r="BI104" s="2">
        <f>$AY$8/(365/12)*MAX(节奏总纲!D100-$E$2,0)</f>
        <v>1824451.8798428213</v>
      </c>
      <c r="BJ104" s="2">
        <f>$AY$8/(365/12)*MAX(节奏总纲!E100-$E$2,0)</f>
        <v>1533216.2989038527</v>
      </c>
      <c r="BK104" s="2">
        <f>$AY$8/(365/12)*MAX(节奏总纲!F100-$E$2,0)</f>
        <v>1205600.8513384773</v>
      </c>
      <c r="BL104" s="2">
        <f>$AY$8/(365/12)*MAX(节奏总纲!G100-$E$2,0)</f>
        <v>828036.83013468294</v>
      </c>
      <c r="BM104" s="2">
        <f>$AY$8/(365/12)*MAX(节奏总纲!H100-$E$2,0)</f>
        <v>386562.23242503795</v>
      </c>
      <c r="CD104" s="2">
        <v>97</v>
      </c>
      <c r="CE104" s="2">
        <f>INDEX($BY$8:$BY$15,MATCH(CE$7,$CB$8:$CB$15,0))*SUM(C$11:C$12)/(365/12)*MAX(节奏总纲!D100-$E$2,0)</f>
        <v>20271.687553809123</v>
      </c>
      <c r="CF104" s="2">
        <f>INDEX($BY$8:$BY$15,MATCH(CF$7,$CB$8:$CB$15,0))*SUM(D$11:D$12)/(365/12)*MAX(节奏总纲!E100-$E$2,0)</f>
        <v>20442.883985384702</v>
      </c>
      <c r="CG104" s="2">
        <f>INDEX($BY$8:$BY$15,MATCH(CG$7,$CB$8:$CB$15,0))*SUM(E$11:E$12)/(365/12)*MAX(节奏总纲!F100-$E$2,0)</f>
        <v>26791.130029743937</v>
      </c>
      <c r="CH104" s="2">
        <f>INDEX($BY$8:$BY$15,MATCH(CH$7,$CB$8:$CB$15,0))*SUM(F$11:F$12)/(365/12)*MAX(节奏总纲!G100-$E$2,0)</f>
        <v>46002.046118593491</v>
      </c>
      <c r="CI104" s="2">
        <f>INDEX($BY$8:$BY$15,MATCH(CI$7,$CB$8:$CB$15,0))*SUM(G$11:G$12)/(365/12)*MAX(节奏总纲!H100-$E$2,0)</f>
        <v>34361.087326670036</v>
      </c>
      <c r="CJ104" s="2">
        <f>INDEX($BZ$8:$BZ$15,MATCH(CE$7,$CB$8:$CB$15,0))*SUM(C$11:C$12)/(365/12)*MAX(节奏总纲!D100-$E$2,0)</f>
        <v>851410.87725998322</v>
      </c>
      <c r="CK104" s="2">
        <f>INDEX($BZ$8:$BZ$15,MATCH(CF$7,$CB$8:$CB$15,0))*SUM(D$11:D$12)/(365/12)*MAX(节奏总纲!E100-$E$2,0)</f>
        <v>817715.3594153882</v>
      </c>
      <c r="CL104" s="2">
        <f>INDEX($BZ$8:$BZ$15,MATCH(CG$7,$CB$8:$CB$15,0))*SUM(E$11:E$12)/(365/12)*MAX(节奏总纲!F100-$E$2,0)</f>
        <v>964480.68107078178</v>
      </c>
      <c r="CM104" s="2">
        <f>INDEX($BZ$8:$BZ$15,MATCH(CH$7,$CB$8:$CB$15,0))*SUM(F$11:F$12)/(365/12)*MAX(节奏总纲!G100-$E$2,0)</f>
        <v>662429.46410774626</v>
      </c>
      <c r="CN104" s="2">
        <f>INDEX($BZ$8:$BZ$15,MATCH(CI$7,$CB$8:$CB$15,0))*SUM(G$11:G$12)/(365/12)*MAX(节奏总纲!H100-$E$2,0)</f>
        <v>309249.78594003036</v>
      </c>
      <c r="CS104" s="2">
        <v>97</v>
      </c>
      <c r="CT104" s="2">
        <f t="shared" ref="CT104:CT135" si="91">AE104+BD104+CE104</f>
        <v>299007.39141868462</v>
      </c>
      <c r="CU104" s="2">
        <f t="shared" ref="CU104:CU135" si="92">AF104+BE104+CF104</f>
        <v>254684.26298458443</v>
      </c>
      <c r="CV104" s="2">
        <f t="shared" ref="CV104:CV135" si="93">AG104+BF104+CG104</f>
        <v>210980.14898423353</v>
      </c>
      <c r="CW104" s="2">
        <f t="shared" ref="CW104:CW135" si="94">AH104+BG104+CH104</f>
        <v>172507.67294472558</v>
      </c>
      <c r="CX104" s="2">
        <f t="shared" ref="CX104:CX135" si="95">AI104+BH104+CI104</f>
        <v>93419.206169384153</v>
      </c>
      <c r="CZ104" s="41">
        <f t="shared" ref="CZ104:CZ135" si="96">AE104/CT104</f>
        <v>0.67796610169491511</v>
      </c>
      <c r="DA104" s="41">
        <f t="shared" ref="DA104:DA135" si="97">BD104/CT104</f>
        <v>0.25423728813559321</v>
      </c>
      <c r="DB104" s="41">
        <f t="shared" ref="DB104:DB135" si="98">CE104/CT104</f>
        <v>6.7796610169491511E-2</v>
      </c>
      <c r="DD104" s="41">
        <f t="shared" ref="DD104:DD135" si="99">AG104/CV104</f>
        <v>0.63492063492063489</v>
      </c>
      <c r="DE104" s="41">
        <f t="shared" ref="DE104:DE135" si="100">BF104/CV104</f>
        <v>0.23809523809523811</v>
      </c>
      <c r="DF104" s="41">
        <f t="shared" ref="DF104:DF135" si="101">CG104/CV104</f>
        <v>0.12698412698412698</v>
      </c>
      <c r="DH104" s="41">
        <f t="shared" ref="DH104:DH135" si="102">AI104/CX104</f>
        <v>0.45977011494252878</v>
      </c>
      <c r="DI104" s="41">
        <f t="shared" ref="DI104:DI135" si="103">BH104/CX104</f>
        <v>0.17241379310344829</v>
      </c>
      <c r="DJ104" s="41">
        <f t="shared" ref="DJ104:DJ135" si="104">CI104/CX104</f>
        <v>0.36781609195402304</v>
      </c>
      <c r="DL104" s="2">
        <f>CT104/节奏总纲!D100</f>
        <v>359.92617245154383</v>
      </c>
      <c r="DM104" s="2">
        <f>CU104/节奏总纲!E100</f>
        <v>359.8694633470987</v>
      </c>
      <c r="DN104" s="2">
        <f>CV104/节奏总纲!F100</f>
        <v>370.58886559866386</v>
      </c>
      <c r="DO104" s="2">
        <f>CW104/节奏总纲!G100</f>
        <v>420.94834382875985</v>
      </c>
      <c r="DP104" s="2">
        <f>CX104/节奏总纲!H100</f>
        <v>418.34868870007659</v>
      </c>
      <c r="DR104" s="2">
        <f t="shared" ref="DR104:DR135" si="105">DM104/$DL104</f>
        <v>0.9998424423985095</v>
      </c>
      <c r="DS104" s="2">
        <f t="shared" ref="DS104:DS135" si="106">DN104/$DL104</f>
        <v>1.0296246673991332</v>
      </c>
      <c r="DT104" s="2">
        <f t="shared" ref="DT104:DT135" si="107">DO104/$DL104</f>
        <v>1.1695408004413219</v>
      </c>
      <c r="DU104" s="2">
        <f t="shared" ref="DU104:DU135" si="108">DP104/$DL104</f>
        <v>1.1623180549794503</v>
      </c>
      <c r="DY104" s="2">
        <v>97</v>
      </c>
      <c r="DZ104" s="2">
        <f t="shared" si="77"/>
        <v>7054547.2687255759</v>
      </c>
      <c r="EA104" s="2">
        <f t="shared" si="78"/>
        <v>6030650.7756884862</v>
      </c>
      <c r="EB104" s="2">
        <f t="shared" si="79"/>
        <v>5063523.5756216049</v>
      </c>
      <c r="EC104" s="2">
        <f t="shared" si="80"/>
        <v>3477754.6865656679</v>
      </c>
      <c r="ED104" s="2">
        <f t="shared" si="81"/>
        <v>1623561.3761851594</v>
      </c>
      <c r="EF104" s="57">
        <f t="shared" si="82"/>
        <v>0.6206896551724137</v>
      </c>
      <c r="EG104" s="57">
        <f t="shared" si="83"/>
        <v>0.25862068965517243</v>
      </c>
      <c r="EH104" s="41">
        <f t="shared" si="84"/>
        <v>0.12068965517241378</v>
      </c>
      <c r="EJ104" s="57">
        <f t="shared" si="85"/>
        <v>0.5714285714285714</v>
      </c>
      <c r="EK104" s="57">
        <f t="shared" si="86"/>
        <v>0.23809523809523808</v>
      </c>
      <c r="EL104" s="41">
        <f t="shared" si="87"/>
        <v>0.19047619047619047</v>
      </c>
      <c r="EN104" s="57">
        <f t="shared" si="88"/>
        <v>0.5714285714285714</v>
      </c>
      <c r="EO104" s="57">
        <f t="shared" si="89"/>
        <v>0.23809523809523808</v>
      </c>
      <c r="EP104" s="41">
        <f t="shared" si="90"/>
        <v>0.19047619047619047</v>
      </c>
    </row>
    <row r="105" spans="20:146" x14ac:dyDescent="0.15">
      <c r="T105" s="2">
        <v>98</v>
      </c>
      <c r="U105" s="2">
        <f>$N$8*SUM(C$11:C$12)/(365/12)*MAX(节奏总纲!D101-$E$2,0)</f>
        <v>17473.447139564312</v>
      </c>
      <c r="V105" s="2">
        <f>$N$8*SUM(D$11:D$12)/(365/12)*MAX(节奏总纲!E101-$E$2,0)</f>
        <v>14736.130265898626</v>
      </c>
      <c r="W105" s="2">
        <f>$N$8*SUM(E$11:E$12)/(365/12)*MAX(节奏总纲!F101-$E$2,0)</f>
        <v>11635.336682108951</v>
      </c>
      <c r="X105" s="2">
        <f>$N$8*SUM(F$11:F$12)/(365/12)*MAX(节奏总纲!G101-$E$2,0)</f>
        <v>8036.1678153657695</v>
      </c>
      <c r="Y105" s="2">
        <f>$N$8*SUM(G$11:G$12)/(365/12)*MAX(节奏总纲!H101-$E$2,0)</f>
        <v>3803.7250928395597</v>
      </c>
      <c r="Z105" s="2">
        <f>$O$8*SUM(C$11:C$12)/(365/12)*MAX(节奏总纲!D101-$E$2,0)</f>
        <v>174734.47139564314</v>
      </c>
      <c r="AA105" s="2">
        <f>$O$8*SUM(D$11:D$12)/(365/12)*MAX(节奏总纲!E101-$E$2,0)</f>
        <v>147361.30265898624</v>
      </c>
      <c r="AB105" s="2">
        <f>$O$8*SUM(E$11:E$12)/(365/12)*MAX(节奏总纲!F101-$E$2,0)</f>
        <v>116353.36682108951</v>
      </c>
      <c r="AC105" s="2">
        <f>$O$8*SUM(F$11:F$12)/(365/12)*MAX(节奏总纲!G101-$E$2,0)</f>
        <v>80361.678153657689</v>
      </c>
      <c r="AD105" s="2">
        <f>$O$8*SUM(G$11:G$12)/(365/12)*MAX(节奏总纲!H101-$E$2,0)</f>
        <v>38037.250928395595</v>
      </c>
      <c r="AE105" s="2">
        <f>$Q$8*SUM(C$11:C$12)/(365/12)*MAX(节奏总纲!D101-$E$2,0)</f>
        <v>218418.08924455391</v>
      </c>
      <c r="AF105" s="2">
        <f>$Q$8*SUM(D$11:D$12)/(365/12)*MAX(节奏总纲!E101-$E$2,0)</f>
        <v>184201.62832373282</v>
      </c>
      <c r="AG105" s="2">
        <f>$Q$8*SUM(E$11:E$12)/(365/12)*MAX(节奏总纲!F101-$E$2,0)</f>
        <v>145441.70852636188</v>
      </c>
      <c r="AH105" s="2">
        <f>$Q$8*SUM(F$11:F$12)/(365/12)*MAX(节奏总纲!G101-$E$2,0)</f>
        <v>100452.09769207212</v>
      </c>
      <c r="AI105" s="2">
        <f>$Q$8*SUM(G$11:G$12)/(365/12)*MAX(节奏总纲!H101-$E$2,0)</f>
        <v>47546.563660494496</v>
      </c>
      <c r="AJ105" s="2">
        <f>$P$8*SUM(C$11:C$12)/(365/12)*MAX(节奏总纲!D101-$E$2,0)</f>
        <v>4717830.7276823642</v>
      </c>
      <c r="AK105" s="2">
        <f>$P$8*SUM(D$11:D$12)/(365/12)*MAX(节奏总纲!E101-$E$2,0)</f>
        <v>3978755.1717926287</v>
      </c>
      <c r="AL105" s="2">
        <f>$P$8*SUM(E$11:E$12)/(365/12)*MAX(节奏总纲!F101-$E$2,0)</f>
        <v>3141540.9041694165</v>
      </c>
      <c r="AM105" s="2">
        <f>$P$8*SUM(F$11:F$12)/(365/12)*MAX(节奏总纲!G101-$E$2,0)</f>
        <v>2169765.3101487574</v>
      </c>
      <c r="AN105" s="2">
        <f>$P$8*SUM(G$11:G$12)/(365/12)*MAX(节奏总纲!H101-$E$2,0)</f>
        <v>1027005.7750666811</v>
      </c>
      <c r="BC105" s="2">
        <v>98</v>
      </c>
      <c r="BD105" s="2">
        <f>$AZ$8/(365/12)*MAX(节奏总纲!D101-$E$2,0)</f>
        <v>81906.783466707726</v>
      </c>
      <c r="BE105" s="2">
        <f>$AZ$8/(365/12)*MAX(节奏总纲!E101-$E$2,0)</f>
        <v>69075.610621399814</v>
      </c>
      <c r="BF105" s="2">
        <f>$AZ$8/(365/12)*MAX(节奏总纲!F101-$E$2,0)</f>
        <v>54540.640697385708</v>
      </c>
      <c r="BG105" s="2">
        <f>$AZ$8/(365/12)*MAX(节奏总纲!G101-$E$2,0)</f>
        <v>37669.536634527045</v>
      </c>
      <c r="BH105" s="2">
        <f>$AZ$8/(365/12)*MAX(节奏总纲!H101-$E$2,0)</f>
        <v>17829.961372685437</v>
      </c>
      <c r="BI105" s="2">
        <f>$AY$8/(365/12)*MAX(节奏总纲!D101-$E$2,0)</f>
        <v>1965762.8032009855</v>
      </c>
      <c r="BJ105" s="2">
        <f>$AY$8/(365/12)*MAX(节奏总纲!E101-$E$2,0)</f>
        <v>1657814.6549135954</v>
      </c>
      <c r="BK105" s="2">
        <f>$AY$8/(365/12)*MAX(节奏总纲!F101-$E$2,0)</f>
        <v>1308975.376737257</v>
      </c>
      <c r="BL105" s="2">
        <f>$AY$8/(365/12)*MAX(节奏总纲!G101-$E$2,0)</f>
        <v>904068.87922864908</v>
      </c>
      <c r="BM105" s="2">
        <f>$AY$8/(365/12)*MAX(节奏总纲!H101-$E$2,0)</f>
        <v>427919.07294445048</v>
      </c>
      <c r="CD105" s="2">
        <v>98</v>
      </c>
      <c r="CE105" s="2">
        <f>INDEX($BY$8:$BY$15,MATCH(CE$7,$CB$8:$CB$15,0))*SUM(C$11:C$12)/(365/12)*MAX(节奏总纲!D101-$E$2,0)</f>
        <v>21841.808924455392</v>
      </c>
      <c r="CF105" s="2">
        <f>INDEX($BY$8:$BY$15,MATCH(CF$7,$CB$8:$CB$15,0))*SUM(D$11:D$12)/(365/12)*MAX(节奏总纲!E101-$E$2,0)</f>
        <v>22104.195398847936</v>
      </c>
      <c r="CG105" s="2">
        <f>INDEX($BY$8:$BY$15,MATCH(CG$7,$CB$8:$CB$15,0))*SUM(E$11:E$12)/(365/12)*MAX(节奏总纲!F101-$E$2,0)</f>
        <v>29088.341705272378</v>
      </c>
      <c r="CH105" s="2">
        <f>INDEX($BY$8:$BY$15,MATCH(CH$7,$CB$8:$CB$15,0))*SUM(F$11:F$12)/(365/12)*MAX(节奏总纲!G101-$E$2,0)</f>
        <v>50226.048846036058</v>
      </c>
      <c r="CI105" s="2">
        <f>INDEX($BY$8:$BY$15,MATCH(CI$7,$CB$8:$CB$15,0))*SUM(G$11:G$12)/(365/12)*MAX(节奏总纲!H101-$E$2,0)</f>
        <v>38037.250928395595</v>
      </c>
      <c r="CJ105" s="2">
        <f>INDEX($BZ$8:$BZ$15,MATCH(CE$7,$CB$8:$CB$15,0))*SUM(C$11:C$12)/(365/12)*MAX(节奏总纲!D101-$E$2,0)</f>
        <v>917355.97482712648</v>
      </c>
      <c r="CK105" s="2">
        <f>INDEX($BZ$8:$BZ$15,MATCH(CF$7,$CB$8:$CB$15,0))*SUM(D$11:D$12)/(365/12)*MAX(节奏总纲!E101-$E$2,0)</f>
        <v>884167.81595391757</v>
      </c>
      <c r="CL105" s="2">
        <f>INDEX($BZ$8:$BZ$15,MATCH(CG$7,$CB$8:$CB$15,0))*SUM(E$11:E$12)/(365/12)*MAX(节奏总纲!F101-$E$2,0)</f>
        <v>1047180.3013898055</v>
      </c>
      <c r="CM105" s="2">
        <f>INDEX($BZ$8:$BZ$15,MATCH(CH$7,$CB$8:$CB$15,0))*SUM(F$11:F$12)/(365/12)*MAX(节奏总纲!G101-$E$2,0)</f>
        <v>723255.10338291922</v>
      </c>
      <c r="CN105" s="2">
        <f>INDEX($BZ$8:$BZ$15,MATCH(CI$7,$CB$8:$CB$15,0))*SUM(G$11:G$12)/(365/12)*MAX(节奏总纲!H101-$E$2,0)</f>
        <v>342335.25835556036</v>
      </c>
      <c r="CS105" s="2">
        <v>98</v>
      </c>
      <c r="CT105" s="2">
        <f t="shared" si="91"/>
        <v>322166.68163571699</v>
      </c>
      <c r="CU105" s="2">
        <f t="shared" si="92"/>
        <v>275381.43434398057</v>
      </c>
      <c r="CV105" s="2">
        <f t="shared" si="93"/>
        <v>229070.69092901997</v>
      </c>
      <c r="CW105" s="2">
        <f t="shared" si="94"/>
        <v>188347.68317263521</v>
      </c>
      <c r="CX105" s="2">
        <f t="shared" si="95"/>
        <v>103413.77596157553</v>
      </c>
      <c r="CZ105" s="41">
        <f t="shared" si="96"/>
        <v>0.67796610169491534</v>
      </c>
      <c r="DA105" s="41">
        <f t="shared" si="97"/>
        <v>0.25423728813559326</v>
      </c>
      <c r="DB105" s="41">
        <f t="shared" si="98"/>
        <v>6.7796610169491539E-2</v>
      </c>
      <c r="DD105" s="41">
        <f t="shared" si="99"/>
        <v>0.63492063492063489</v>
      </c>
      <c r="DE105" s="41">
        <f t="shared" si="100"/>
        <v>0.23809523809523811</v>
      </c>
      <c r="DF105" s="41">
        <f t="shared" si="101"/>
        <v>0.12698412698412698</v>
      </c>
      <c r="DH105" s="41">
        <f t="shared" si="102"/>
        <v>0.45977011494252873</v>
      </c>
      <c r="DI105" s="41">
        <f t="shared" si="103"/>
        <v>0.17241379310344826</v>
      </c>
      <c r="DJ105" s="41">
        <f t="shared" si="104"/>
        <v>0.36781609195402293</v>
      </c>
      <c r="DL105" s="2">
        <f>CT105/节奏总纲!D101</f>
        <v>361.8046304820964</v>
      </c>
      <c r="DM105" s="2">
        <f>CU105/节奏总纲!E101</f>
        <v>362.177228518812</v>
      </c>
      <c r="DN105" s="2">
        <f>CV105/节奏总纲!F101</f>
        <v>373.69919392169629</v>
      </c>
      <c r="DO105" s="2">
        <f>CW105/节奏总纲!G101</f>
        <v>426.19613226545022</v>
      </c>
      <c r="DP105" s="2">
        <f>CX105/节奏总纲!H101</f>
        <v>429.50201491156076</v>
      </c>
      <c r="DR105" s="2">
        <f t="shared" si="105"/>
        <v>1.0010298321395696</v>
      </c>
      <c r="DS105" s="2">
        <f t="shared" si="106"/>
        <v>1.0328756528730731</v>
      </c>
      <c r="DT105" s="2">
        <f t="shared" si="107"/>
        <v>1.1779731279214243</v>
      </c>
      <c r="DU105" s="2">
        <f t="shared" si="108"/>
        <v>1.1871103317258795</v>
      </c>
      <c r="DY105" s="2">
        <v>98</v>
      </c>
      <c r="DZ105" s="2">
        <f t="shared" si="77"/>
        <v>7600949.5057104761</v>
      </c>
      <c r="EA105" s="2">
        <f t="shared" si="78"/>
        <v>6520737.6426601419</v>
      </c>
      <c r="EB105" s="2">
        <f t="shared" si="79"/>
        <v>5497696.5822964795</v>
      </c>
      <c r="EC105" s="2">
        <f t="shared" si="80"/>
        <v>3797089.2927603256</v>
      </c>
      <c r="ED105" s="2">
        <f t="shared" si="81"/>
        <v>1797260.1063666921</v>
      </c>
      <c r="EF105" s="57">
        <f t="shared" si="82"/>
        <v>0.6206896551724137</v>
      </c>
      <c r="EG105" s="57">
        <f t="shared" si="83"/>
        <v>0.25862068965517249</v>
      </c>
      <c r="EH105" s="41">
        <f t="shared" si="84"/>
        <v>0.1206896551724138</v>
      </c>
      <c r="EJ105" s="57">
        <f t="shared" si="85"/>
        <v>0.5714285714285714</v>
      </c>
      <c r="EK105" s="57">
        <f t="shared" si="86"/>
        <v>0.23809523809523808</v>
      </c>
      <c r="EL105" s="41">
        <f t="shared" si="87"/>
        <v>0.19047619047619047</v>
      </c>
      <c r="EN105" s="57">
        <f t="shared" si="88"/>
        <v>0.5714285714285714</v>
      </c>
      <c r="EO105" s="57">
        <f t="shared" si="89"/>
        <v>0.23809523809523808</v>
      </c>
      <c r="EP105" s="41">
        <f t="shared" si="90"/>
        <v>0.19047619047619047</v>
      </c>
    </row>
    <row r="106" spans="20:146" x14ac:dyDescent="0.15">
      <c r="T106" s="2">
        <v>99</v>
      </c>
      <c r="U106" s="2">
        <f>$N$8*SUM(C$11:C$12)/(365/12)*MAX(节奏总纲!D102-$E$2,0)</f>
        <v>18819.698673980121</v>
      </c>
      <c r="V106" s="2">
        <f>$N$8*SUM(D$11:D$12)/(365/12)*MAX(节奏总纲!E102-$E$2,0)</f>
        <v>15917.825914220133</v>
      </c>
      <c r="W106" s="2">
        <f>$N$8*SUM(E$11:E$12)/(365/12)*MAX(节奏总纲!F102-$E$2,0)</f>
        <v>12596.235917927383</v>
      </c>
      <c r="X106" s="2">
        <f>$N$8*SUM(F$11:F$12)/(365/12)*MAX(节奏总纲!G102-$E$2,0)</f>
        <v>8740.4603478656645</v>
      </c>
      <c r="Y106" s="2">
        <f>$N$8*SUM(G$11:G$12)/(365/12)*MAX(节奏总纲!H102-$E$2,0)</f>
        <v>4157.7104255318918</v>
      </c>
      <c r="Z106" s="2">
        <f>$O$8*SUM(C$11:C$12)/(365/12)*MAX(节奏总纲!D102-$E$2,0)</f>
        <v>188196.98673980124</v>
      </c>
      <c r="AA106" s="2">
        <f>$O$8*SUM(D$11:D$12)/(365/12)*MAX(节奏总纲!E102-$E$2,0)</f>
        <v>159178.25914220134</v>
      </c>
      <c r="AB106" s="2">
        <f>$O$8*SUM(E$11:E$12)/(365/12)*MAX(节奏总纲!F102-$E$2,0)</f>
        <v>125962.35917927383</v>
      </c>
      <c r="AC106" s="2">
        <f>$O$8*SUM(F$11:F$12)/(365/12)*MAX(节奏总纲!G102-$E$2,0)</f>
        <v>87404.603478656645</v>
      </c>
      <c r="AD106" s="2">
        <f>$O$8*SUM(G$11:G$12)/(365/12)*MAX(节奏总纲!H102-$E$2,0)</f>
        <v>41577.104255318918</v>
      </c>
      <c r="AE106" s="2">
        <f>$Q$8*SUM(C$11:C$12)/(365/12)*MAX(节奏总纲!D102-$E$2,0)</f>
        <v>235246.23342475152</v>
      </c>
      <c r="AF106" s="2">
        <f>$Q$8*SUM(D$11:D$12)/(365/12)*MAX(节奏总纲!E102-$E$2,0)</f>
        <v>198972.82392775165</v>
      </c>
      <c r="AG106" s="2">
        <f>$Q$8*SUM(E$11:E$12)/(365/12)*MAX(节奏总纲!F102-$E$2,0)</f>
        <v>157452.94897409229</v>
      </c>
      <c r="AH106" s="2">
        <f>$Q$8*SUM(F$11:F$12)/(365/12)*MAX(节奏总纲!G102-$E$2,0)</f>
        <v>109255.7543483208</v>
      </c>
      <c r="AI106" s="2">
        <f>$Q$8*SUM(G$11:G$12)/(365/12)*MAX(节奏总纲!H102-$E$2,0)</f>
        <v>51971.380319148644</v>
      </c>
      <c r="AJ106" s="2">
        <f>$P$8*SUM(C$11:C$12)/(365/12)*MAX(节奏总纲!D102-$E$2,0)</f>
        <v>5081318.6419746326</v>
      </c>
      <c r="AK106" s="2">
        <f>$P$8*SUM(D$11:D$12)/(365/12)*MAX(节奏总纲!E102-$E$2,0)</f>
        <v>4297812.9968394358</v>
      </c>
      <c r="AL106" s="2">
        <f>$P$8*SUM(E$11:E$12)/(365/12)*MAX(节奏总纲!F102-$E$2,0)</f>
        <v>3400983.6978403935</v>
      </c>
      <c r="AM106" s="2">
        <f>$P$8*SUM(F$11:F$12)/(365/12)*MAX(节奏总纲!G102-$E$2,0)</f>
        <v>2359924.2939237291</v>
      </c>
      <c r="AN106" s="2">
        <f>$P$8*SUM(G$11:G$12)/(365/12)*MAX(节奏总纲!H102-$E$2,0)</f>
        <v>1122581.8148936108</v>
      </c>
      <c r="BC106" s="2">
        <v>99</v>
      </c>
      <c r="BD106" s="2">
        <f>$AZ$8/(365/12)*MAX(节奏总纲!D102-$E$2,0)</f>
        <v>88217.337534281833</v>
      </c>
      <c r="BE106" s="2">
        <f>$AZ$8/(365/12)*MAX(节奏总纲!E102-$E$2,0)</f>
        <v>74614.808972906874</v>
      </c>
      <c r="BF106" s="2">
        <f>$AZ$8/(365/12)*MAX(节奏总纲!F102-$E$2,0)</f>
        <v>59044.855865284611</v>
      </c>
      <c r="BG106" s="2">
        <f>$AZ$8/(365/12)*MAX(节奏总纲!G102-$E$2,0)</f>
        <v>40970.907880620303</v>
      </c>
      <c r="BH106" s="2">
        <f>$AZ$8/(365/12)*MAX(节奏总纲!H102-$E$2,0)</f>
        <v>19489.267619680744</v>
      </c>
      <c r="BI106" s="2">
        <f>$AY$8/(365/12)*MAX(节奏总纲!D102-$E$2,0)</f>
        <v>2117216.100822764</v>
      </c>
      <c r="BJ106" s="2">
        <f>$AY$8/(365/12)*MAX(节奏总纲!E102-$E$2,0)</f>
        <v>1790755.4153497652</v>
      </c>
      <c r="BK106" s="2">
        <f>$AY$8/(365/12)*MAX(节奏总纲!F102-$E$2,0)</f>
        <v>1417076.5407668308</v>
      </c>
      <c r="BL106" s="2">
        <f>$AY$8/(365/12)*MAX(节奏总纲!G102-$E$2,0)</f>
        <v>983301.78913488728</v>
      </c>
      <c r="BM106" s="2">
        <f>$AY$8/(365/12)*MAX(节奏总纲!H102-$E$2,0)</f>
        <v>467742.42287233786</v>
      </c>
      <c r="CD106" s="2">
        <v>99</v>
      </c>
      <c r="CE106" s="2">
        <f>INDEX($BY$8:$BY$15,MATCH(CE$7,$CB$8:$CB$15,0))*SUM(C$11:C$12)/(365/12)*MAX(节奏总纲!D102-$E$2,0)</f>
        <v>23524.623342475155</v>
      </c>
      <c r="CF106" s="2">
        <f>INDEX($BY$8:$BY$15,MATCH(CF$7,$CB$8:$CB$15,0))*SUM(D$11:D$12)/(365/12)*MAX(节奏总纲!E102-$E$2,0)</f>
        <v>23876.738871330199</v>
      </c>
      <c r="CG106" s="2">
        <f>INDEX($BY$8:$BY$15,MATCH(CG$7,$CB$8:$CB$15,0))*SUM(E$11:E$12)/(365/12)*MAX(节奏总纲!F102-$E$2,0)</f>
        <v>31490.589794818457</v>
      </c>
      <c r="CH106" s="2">
        <f>INDEX($BY$8:$BY$15,MATCH(CH$7,$CB$8:$CB$15,0))*SUM(F$11:F$12)/(365/12)*MAX(节奏总纲!G102-$E$2,0)</f>
        <v>54627.8771741604</v>
      </c>
      <c r="CI106" s="2">
        <f>INDEX($BY$8:$BY$15,MATCH(CI$7,$CB$8:$CB$15,0))*SUM(G$11:G$12)/(365/12)*MAX(节奏总纲!H102-$E$2,0)</f>
        <v>41577.104255318918</v>
      </c>
      <c r="CJ106" s="2">
        <f>INDEX($BZ$8:$BZ$15,MATCH(CE$7,$CB$8:$CB$15,0))*SUM(C$11:C$12)/(365/12)*MAX(节奏总纲!D102-$E$2,0)</f>
        <v>988034.18038395653</v>
      </c>
      <c r="CK106" s="2">
        <f>INDEX($BZ$8:$BZ$15,MATCH(CF$7,$CB$8:$CB$15,0))*SUM(D$11:D$12)/(365/12)*MAX(节奏总纲!E102-$E$2,0)</f>
        <v>955069.55485320813</v>
      </c>
      <c r="CL106" s="2">
        <f>INDEX($BZ$8:$BZ$15,MATCH(CG$7,$CB$8:$CB$15,0))*SUM(E$11:E$12)/(365/12)*MAX(节奏总纲!F102-$E$2,0)</f>
        <v>1133661.2326134644</v>
      </c>
      <c r="CM106" s="2">
        <f>INDEX($BZ$8:$BZ$15,MATCH(CH$7,$CB$8:$CB$15,0))*SUM(F$11:F$12)/(365/12)*MAX(节奏总纲!G102-$E$2,0)</f>
        <v>786641.43130790978</v>
      </c>
      <c r="CN106" s="2">
        <f>INDEX($BZ$8:$BZ$15,MATCH(CI$7,$CB$8:$CB$15,0))*SUM(G$11:G$12)/(365/12)*MAX(节奏总纲!H102-$E$2,0)</f>
        <v>374193.93829787022</v>
      </c>
      <c r="CS106" s="2">
        <v>99</v>
      </c>
      <c r="CT106" s="2">
        <f t="shared" si="91"/>
        <v>346988.19430150848</v>
      </c>
      <c r="CU106" s="2">
        <f t="shared" si="92"/>
        <v>297464.37177198875</v>
      </c>
      <c r="CV106" s="2">
        <f t="shared" si="93"/>
        <v>247988.39463419534</v>
      </c>
      <c r="CW106" s="2">
        <f t="shared" si="94"/>
        <v>204854.53940310149</v>
      </c>
      <c r="CX106" s="2">
        <f t="shared" si="95"/>
        <v>113037.7521941483</v>
      </c>
      <c r="CZ106" s="41">
        <f t="shared" si="96"/>
        <v>0.67796610169491534</v>
      </c>
      <c r="DA106" s="41">
        <f t="shared" si="97"/>
        <v>0.25423728813559326</v>
      </c>
      <c r="DB106" s="41">
        <f t="shared" si="98"/>
        <v>6.7796610169491539E-2</v>
      </c>
      <c r="DD106" s="41">
        <f t="shared" si="99"/>
        <v>0.634920634920635</v>
      </c>
      <c r="DE106" s="41">
        <f t="shared" si="100"/>
        <v>0.23809523809523811</v>
      </c>
      <c r="DF106" s="41">
        <f t="shared" si="101"/>
        <v>0.12698412698412698</v>
      </c>
      <c r="DH106" s="41">
        <f t="shared" si="102"/>
        <v>0.45977011494252873</v>
      </c>
      <c r="DI106" s="41">
        <f t="shared" si="103"/>
        <v>0.17241379310344832</v>
      </c>
      <c r="DJ106" s="41">
        <f t="shared" si="104"/>
        <v>0.36781609195402304</v>
      </c>
      <c r="DL106" s="2">
        <f>CT106/节奏总纲!D102</f>
        <v>363.55702073504528</v>
      </c>
      <c r="DM106" s="2">
        <f>CU106/节奏总纲!E102</f>
        <v>364.31141516780195</v>
      </c>
      <c r="DN106" s="2">
        <f>CV106/节奏总纲!F102</f>
        <v>376.51056462189655</v>
      </c>
      <c r="DO106" s="2">
        <f>CW106/节奏总纲!G102</f>
        <v>430.9103119946688</v>
      </c>
      <c r="DP106" s="2">
        <f>CX106/节奏总纲!H102</f>
        <v>438.81196932079519</v>
      </c>
      <c r="DR106" s="2">
        <f t="shared" si="105"/>
        <v>1.0020750374486824</v>
      </c>
      <c r="DS106" s="2">
        <f t="shared" si="106"/>
        <v>1.0356300199090134</v>
      </c>
      <c r="DT106" s="2">
        <f t="shared" si="107"/>
        <v>1.1852619738258598</v>
      </c>
      <c r="DU106" s="2">
        <f t="shared" si="108"/>
        <v>1.2069962737443449</v>
      </c>
      <c r="DY106" s="2">
        <v>99</v>
      </c>
      <c r="DZ106" s="2">
        <f t="shared" si="77"/>
        <v>8186568.9231813531</v>
      </c>
      <c r="EA106" s="2">
        <f t="shared" si="78"/>
        <v>7043637.9670424089</v>
      </c>
      <c r="EB106" s="2">
        <f t="shared" si="79"/>
        <v>5951721.4712206889</v>
      </c>
      <c r="EC106" s="2">
        <f t="shared" si="80"/>
        <v>4129867.5143665262</v>
      </c>
      <c r="ED106" s="2">
        <f t="shared" si="81"/>
        <v>1964518.1760638189</v>
      </c>
      <c r="EF106" s="57">
        <f t="shared" si="82"/>
        <v>0.6206896551724137</v>
      </c>
      <c r="EG106" s="57">
        <f t="shared" si="83"/>
        <v>0.25862068965517243</v>
      </c>
      <c r="EH106" s="41">
        <f t="shared" si="84"/>
        <v>0.12068965517241381</v>
      </c>
      <c r="EJ106" s="57">
        <f t="shared" si="85"/>
        <v>0.5714285714285714</v>
      </c>
      <c r="EK106" s="57">
        <f t="shared" si="86"/>
        <v>0.23809523809523811</v>
      </c>
      <c r="EL106" s="41">
        <f t="shared" si="87"/>
        <v>0.19047619047619044</v>
      </c>
      <c r="EN106" s="57">
        <f t="shared" si="88"/>
        <v>0.5714285714285714</v>
      </c>
      <c r="EO106" s="57">
        <f t="shared" si="89"/>
        <v>0.23809523809523811</v>
      </c>
      <c r="EP106" s="41">
        <f t="shared" si="90"/>
        <v>0.19047619047619047</v>
      </c>
    </row>
    <row r="107" spans="20:146" x14ac:dyDescent="0.15">
      <c r="T107" s="2">
        <v>100</v>
      </c>
      <c r="U107" s="2">
        <f>$N$8*SUM(C$11:C$12)/(365/12)*MAX(节奏总纲!D103-$E$2,0)</f>
        <v>20262.575342465752</v>
      </c>
      <c r="V107" s="2">
        <f>$N$8*SUM(D$11:D$12)/(365/12)*MAX(节奏总纲!E103-$E$2,0)</f>
        <v>17156.511912328766</v>
      </c>
      <c r="W107" s="2">
        <f>$N$8*SUM(E$11:E$12)/(365/12)*MAX(节奏总纲!F103-$E$2,0)</f>
        <v>13607.032635616437</v>
      </c>
      <c r="X107" s="2">
        <f>$N$8*SUM(F$11:F$12)/(365/12)*MAX(节奏总纲!G103-$E$2,0)</f>
        <v>9431.1746630136986</v>
      </c>
      <c r="Y107" s="2">
        <f>$N$8*SUM(G$11:G$12)/(365/12)*MAX(节奏总纲!H103-$E$2,0)</f>
        <v>4519.1602849315068</v>
      </c>
      <c r="Z107" s="2">
        <f>$O$8*SUM(C$11:C$12)/(365/12)*MAX(节奏总纲!D103-$E$2,0)</f>
        <v>202625.75342465751</v>
      </c>
      <c r="AA107" s="2">
        <f>$O$8*SUM(D$11:D$12)/(365/12)*MAX(节奏总纲!E103-$E$2,0)</f>
        <v>171565.11912328767</v>
      </c>
      <c r="AB107" s="2">
        <f>$O$8*SUM(E$11:E$12)/(365/12)*MAX(节奏总纲!F103-$E$2,0)</f>
        <v>136070.32635616438</v>
      </c>
      <c r="AC107" s="2">
        <f>$O$8*SUM(F$11:F$12)/(365/12)*MAX(节奏总纲!G103-$E$2,0)</f>
        <v>94311.746630136986</v>
      </c>
      <c r="AD107" s="2">
        <f>$O$8*SUM(G$11:G$12)/(365/12)*MAX(节奏总纲!H103-$E$2,0)</f>
        <v>45191.602849315066</v>
      </c>
      <c r="AE107" s="2">
        <f>$Q$8*SUM(C$11:C$12)/(365/12)*MAX(节奏总纲!D103-$E$2,0)</f>
        <v>253282.19178082189</v>
      </c>
      <c r="AF107" s="2">
        <f>$Q$8*SUM(D$11:D$12)/(365/12)*MAX(节奏总纲!E103-$E$2,0)</f>
        <v>214456.39890410958</v>
      </c>
      <c r="AG107" s="2">
        <f>$Q$8*SUM(E$11:E$12)/(365/12)*MAX(节奏总纲!F103-$E$2,0)</f>
        <v>170087.90794520546</v>
      </c>
      <c r="AH107" s="2">
        <f>$Q$8*SUM(F$11:F$12)/(365/12)*MAX(节奏总纲!G103-$E$2,0)</f>
        <v>117889.68328767123</v>
      </c>
      <c r="AI107" s="2">
        <f>$Q$8*SUM(G$11:G$12)/(365/12)*MAX(节奏总纲!H103-$E$2,0)</f>
        <v>56489.503561643833</v>
      </c>
      <c r="AJ107" s="2">
        <f>$P$8*SUM(C$11:C$12)/(365/12)*MAX(节奏总纲!D103-$E$2,0)</f>
        <v>5470895.3424657527</v>
      </c>
      <c r="AK107" s="2">
        <f>$P$8*SUM(D$11:D$12)/(365/12)*MAX(节奏总纲!E103-$E$2,0)</f>
        <v>4632258.2163287671</v>
      </c>
      <c r="AL107" s="2">
        <f>$P$8*SUM(E$11:E$12)/(365/12)*MAX(节奏总纲!F103-$E$2,0)</f>
        <v>3673898.811616438</v>
      </c>
      <c r="AM107" s="2">
        <f>$P$8*SUM(F$11:F$12)/(365/12)*MAX(节奏总纲!G103-$E$2,0)</f>
        <v>2546417.1590136983</v>
      </c>
      <c r="AN107" s="2">
        <f>$P$8*SUM(G$11:G$12)/(365/12)*MAX(节奏总纲!H103-$E$2,0)</f>
        <v>1220173.2769315068</v>
      </c>
      <c r="BC107" s="2">
        <v>100</v>
      </c>
      <c r="BD107" s="2">
        <f>$AZ$8/(365/12)*MAX(节奏总纲!D103-$E$2,0)</f>
        <v>94980.821917808222</v>
      </c>
      <c r="BE107" s="2">
        <f>$AZ$8/(365/12)*MAX(节奏总纲!E103-$E$2,0)</f>
        <v>80421.149589041102</v>
      </c>
      <c r="BF107" s="2">
        <f>$AZ$8/(365/12)*MAX(节奏总纲!F103-$E$2,0)</f>
        <v>63782.965479452054</v>
      </c>
      <c r="BG107" s="2">
        <f>$AZ$8/(365/12)*MAX(节奏总纲!G103-$E$2,0)</f>
        <v>44208.631232876709</v>
      </c>
      <c r="BH107" s="2">
        <f>$AZ$8/(365/12)*MAX(节奏总纲!H103-$E$2,0)</f>
        <v>21183.563835616438</v>
      </c>
      <c r="BI107" s="2">
        <f>$AY$8/(365/12)*MAX(节奏总纲!D103-$E$2,0)</f>
        <v>2279539.7260273974</v>
      </c>
      <c r="BJ107" s="2">
        <f>$AY$8/(365/12)*MAX(节奏总纲!E103-$E$2,0)</f>
        <v>1930107.5901369865</v>
      </c>
      <c r="BK107" s="2">
        <f>$AY$8/(365/12)*MAX(节奏总纲!F103-$E$2,0)</f>
        <v>1530791.1715068494</v>
      </c>
      <c r="BL107" s="2">
        <f>$AY$8/(365/12)*MAX(节奏总纲!G103-$E$2,0)</f>
        <v>1061007.1495890412</v>
      </c>
      <c r="BM107" s="2">
        <f>$AY$8/(365/12)*MAX(节奏总纲!H103-$E$2,0)</f>
        <v>508405.53205479454</v>
      </c>
      <c r="CD107" s="2">
        <v>100</v>
      </c>
      <c r="CE107" s="2">
        <f>INDEX($BY$8:$BY$15,MATCH(CE$7,$CB$8:$CB$15,0))*SUM(C$11:C$12)/(365/12)*MAX(节奏总纲!D103-$E$2,0)</f>
        <v>25328.219178082189</v>
      </c>
      <c r="CF107" s="2">
        <f>INDEX($BY$8:$BY$15,MATCH(CF$7,$CB$8:$CB$15,0))*SUM(D$11:D$12)/(365/12)*MAX(节奏总纲!E103-$E$2,0)</f>
        <v>25734.767868493152</v>
      </c>
      <c r="CG107" s="2">
        <f>INDEX($BY$8:$BY$15,MATCH(CG$7,$CB$8:$CB$15,0))*SUM(E$11:E$12)/(365/12)*MAX(节奏总纲!F103-$E$2,0)</f>
        <v>34017.581589041096</v>
      </c>
      <c r="CH107" s="2">
        <f>INDEX($BY$8:$BY$15,MATCH(CH$7,$CB$8:$CB$15,0))*SUM(F$11:F$12)/(365/12)*MAX(节奏总纲!G103-$E$2,0)</f>
        <v>58944.841643835614</v>
      </c>
      <c r="CI107" s="2">
        <f>INDEX($BY$8:$BY$15,MATCH(CI$7,$CB$8:$CB$15,0))*SUM(G$11:G$12)/(365/12)*MAX(节奏总纲!H103-$E$2,0)</f>
        <v>45191.602849315066</v>
      </c>
      <c r="CJ107" s="2">
        <f>INDEX($BZ$8:$BZ$15,MATCH(CE$7,$CB$8:$CB$15,0))*SUM(C$11:C$12)/(365/12)*MAX(节奏总纲!D103-$E$2,0)</f>
        <v>1063785.2054794519</v>
      </c>
      <c r="CK107" s="2">
        <f>INDEX($BZ$8:$BZ$15,MATCH(CF$7,$CB$8:$CB$15,0))*SUM(D$11:D$12)/(365/12)*MAX(节奏总纲!E103-$E$2,0)</f>
        <v>1029390.7147397262</v>
      </c>
      <c r="CL107" s="2">
        <f>INDEX($BZ$8:$BZ$15,MATCH(CG$7,$CB$8:$CB$15,0))*SUM(E$11:E$12)/(365/12)*MAX(节奏总纲!F103-$E$2,0)</f>
        <v>1224632.9372054792</v>
      </c>
      <c r="CM107" s="2">
        <f>INDEX($BZ$8:$BZ$15,MATCH(CH$7,$CB$8:$CB$15,0))*SUM(F$11:F$12)/(365/12)*MAX(节奏总纲!G103-$E$2,0)</f>
        <v>848805.71967123286</v>
      </c>
      <c r="CN107" s="2">
        <f>INDEX($BZ$8:$BZ$15,MATCH(CI$7,$CB$8:$CB$15,0))*SUM(G$11:G$12)/(365/12)*MAX(节奏总纲!H103-$E$2,0)</f>
        <v>406724.42564383562</v>
      </c>
      <c r="CS107" s="2">
        <v>100</v>
      </c>
      <c r="CT107" s="2">
        <f t="shared" si="91"/>
        <v>373591.23287671228</v>
      </c>
      <c r="CU107" s="2">
        <f t="shared" si="92"/>
        <v>320612.31636164384</v>
      </c>
      <c r="CV107" s="2">
        <f t="shared" si="93"/>
        <v>267888.45501369861</v>
      </c>
      <c r="CW107" s="2">
        <f t="shared" si="94"/>
        <v>221043.15616438354</v>
      </c>
      <c r="CX107" s="2">
        <f t="shared" si="95"/>
        <v>122864.67024657533</v>
      </c>
      <c r="CZ107" s="41">
        <f t="shared" si="96"/>
        <v>0.67796610169491522</v>
      </c>
      <c r="DA107" s="41">
        <f t="shared" si="97"/>
        <v>0.25423728813559326</v>
      </c>
      <c r="DB107" s="41">
        <f t="shared" si="98"/>
        <v>6.7796610169491525E-2</v>
      </c>
      <c r="DD107" s="41">
        <f t="shared" si="99"/>
        <v>0.63492063492063489</v>
      </c>
      <c r="DE107" s="41">
        <f t="shared" si="100"/>
        <v>0.23809523809523811</v>
      </c>
      <c r="DF107" s="41">
        <f t="shared" si="101"/>
        <v>0.126984126984127</v>
      </c>
      <c r="DH107" s="41">
        <f t="shared" si="102"/>
        <v>0.45977011494252873</v>
      </c>
      <c r="DI107" s="41">
        <f t="shared" si="103"/>
        <v>0.17241379310344829</v>
      </c>
      <c r="DJ107" s="41">
        <f t="shared" si="104"/>
        <v>0.36781609195402298</v>
      </c>
      <c r="DL107" s="2">
        <f>CT107/节奏总纲!D103</f>
        <v>365.19182099385364</v>
      </c>
      <c r="DM107" s="2">
        <f>CU107/节奏总纲!E103</f>
        <v>366.25455628599224</v>
      </c>
      <c r="DN107" s="2">
        <f>CV107/节奏总纲!F103</f>
        <v>379.07577797187361</v>
      </c>
      <c r="DO107" s="2">
        <f>CW107/节奏总纲!G103</f>
        <v>434.93048799586865</v>
      </c>
      <c r="DP107" s="2">
        <f>CX107/节奏总纲!H103</f>
        <v>447.14190974152689</v>
      </c>
      <c r="DR107" s="2">
        <f t="shared" si="105"/>
        <v>1.0029100741885357</v>
      </c>
      <c r="DS107" s="2">
        <f t="shared" si="106"/>
        <v>1.0380182582956963</v>
      </c>
      <c r="DT107" s="2">
        <f t="shared" si="107"/>
        <v>1.1909644822061574</v>
      </c>
      <c r="DU107" s="2">
        <f t="shared" si="108"/>
        <v>1.2244028590910105</v>
      </c>
      <c r="DY107" s="2">
        <v>100</v>
      </c>
      <c r="DZ107" s="2">
        <f t="shared" si="77"/>
        <v>8814220.2739726026</v>
      </c>
      <c r="EA107" s="2">
        <f t="shared" si="78"/>
        <v>7591756.5212054793</v>
      </c>
      <c r="EB107" s="2">
        <f t="shared" si="79"/>
        <v>6429322.920328767</v>
      </c>
      <c r="EC107" s="2">
        <f t="shared" si="80"/>
        <v>4456230.0282739727</v>
      </c>
      <c r="ED107" s="2">
        <f t="shared" si="81"/>
        <v>2135303.2346301368</v>
      </c>
      <c r="EF107" s="57">
        <f t="shared" si="82"/>
        <v>0.6206896551724137</v>
      </c>
      <c r="EG107" s="57">
        <f t="shared" si="83"/>
        <v>0.25862068965517243</v>
      </c>
      <c r="EH107" s="41">
        <f t="shared" si="84"/>
        <v>0.12068965517241378</v>
      </c>
      <c r="EJ107" s="57">
        <f t="shared" si="85"/>
        <v>0.5714285714285714</v>
      </c>
      <c r="EK107" s="57">
        <f t="shared" si="86"/>
        <v>0.23809523809523811</v>
      </c>
      <c r="EL107" s="41">
        <f t="shared" si="87"/>
        <v>0.19047619047619044</v>
      </c>
      <c r="EN107" s="57">
        <f t="shared" si="88"/>
        <v>0.57142857142857151</v>
      </c>
      <c r="EO107" s="57">
        <f t="shared" si="89"/>
        <v>0.23809523809523814</v>
      </c>
      <c r="EP107" s="41">
        <f t="shared" si="90"/>
        <v>0.19047619047619049</v>
      </c>
    </row>
    <row r="108" spans="20:146" x14ac:dyDescent="0.15">
      <c r="T108" s="2">
        <v>101</v>
      </c>
      <c r="U108" s="2">
        <f>$N$8*SUM(C$11:C$12)/(365/12)*MAX(节奏总纲!D104-$E$2,0)</f>
        <v>21809.012265461406</v>
      </c>
      <c r="V108" s="2">
        <f>$N$8*SUM(D$11:D$12)/(365/12)*MAX(节奏总纲!E104-$E$2,0)</f>
        <v>18498.255169751257</v>
      </c>
      <c r="W108" s="2">
        <f>$N$8*SUM(E$11:E$12)/(365/12)*MAX(节奏总纲!F104-$E$2,0)</f>
        <v>14649.932636201062</v>
      </c>
      <c r="X108" s="2">
        <f>$N$8*SUM(F$11:F$12)/(365/12)*MAX(节奏总纲!G104-$E$2,0)</f>
        <v>10141.765831310724</v>
      </c>
      <c r="Y108" s="2">
        <f>$N$8*SUM(G$11:G$12)/(365/12)*MAX(节奏总纲!H104-$E$2,0)</f>
        <v>4911.461764429253</v>
      </c>
      <c r="Z108" s="2">
        <f>$O$8*SUM(C$11:C$12)/(365/12)*MAX(节奏总纲!D104-$E$2,0)</f>
        <v>218090.12265461407</v>
      </c>
      <c r="AA108" s="2">
        <f>$O$8*SUM(D$11:D$12)/(365/12)*MAX(节奏总纲!E104-$E$2,0)</f>
        <v>184982.55169751256</v>
      </c>
      <c r="AB108" s="2">
        <f>$O$8*SUM(E$11:E$12)/(365/12)*MAX(节奏总纲!F104-$E$2,0)</f>
        <v>146499.32636201062</v>
      </c>
      <c r="AC108" s="2">
        <f>$O$8*SUM(F$11:F$12)/(365/12)*MAX(节奏总纲!G104-$E$2,0)</f>
        <v>101417.65831310725</v>
      </c>
      <c r="AD108" s="2">
        <f>$O$8*SUM(G$11:G$12)/(365/12)*MAX(节奏总纲!H104-$E$2,0)</f>
        <v>49114.617644292528</v>
      </c>
      <c r="AE108" s="2">
        <f>$Q$8*SUM(C$11:C$12)/(365/12)*MAX(节奏总纲!D104-$E$2,0)</f>
        <v>272612.65331826755</v>
      </c>
      <c r="AF108" s="2">
        <f>$Q$8*SUM(D$11:D$12)/(365/12)*MAX(节奏总纲!E104-$E$2,0)</f>
        <v>231228.18962189069</v>
      </c>
      <c r="AG108" s="2">
        <f>$Q$8*SUM(E$11:E$12)/(365/12)*MAX(节奏总纲!F104-$E$2,0)</f>
        <v>183124.15795251325</v>
      </c>
      <c r="AH108" s="2">
        <f>$Q$8*SUM(F$11:F$12)/(365/12)*MAX(节奏总纲!G104-$E$2,0)</f>
        <v>126772.07289138406</v>
      </c>
      <c r="AI108" s="2">
        <f>$Q$8*SUM(G$11:G$12)/(365/12)*MAX(节奏总纲!H104-$E$2,0)</f>
        <v>61393.272055365662</v>
      </c>
      <c r="AJ108" s="2">
        <f>$P$8*SUM(C$11:C$12)/(365/12)*MAX(节奏总纲!D104-$E$2,0)</f>
        <v>5888433.31167458</v>
      </c>
      <c r="AK108" s="2">
        <f>$P$8*SUM(D$11:D$12)/(365/12)*MAX(节奏总纲!E104-$E$2,0)</f>
        <v>4994528.8958328394</v>
      </c>
      <c r="AL108" s="2">
        <f>$P$8*SUM(E$11:E$12)/(365/12)*MAX(节奏总纲!F104-$E$2,0)</f>
        <v>3955481.8117742864</v>
      </c>
      <c r="AM108" s="2">
        <f>$P$8*SUM(F$11:F$12)/(365/12)*MAX(节奏总纲!G104-$E$2,0)</f>
        <v>2738276.7744538956</v>
      </c>
      <c r="AN108" s="2">
        <f>$P$8*SUM(G$11:G$12)/(365/12)*MAX(节奏总纲!H104-$E$2,0)</f>
        <v>1326094.6763958982</v>
      </c>
      <c r="BC108" s="2">
        <v>101</v>
      </c>
      <c r="BD108" s="2">
        <f>$AZ$8/(365/12)*MAX(节奏总纲!D104-$E$2,0)</f>
        <v>102229.74499435035</v>
      </c>
      <c r="BE108" s="2">
        <f>$AZ$8/(365/12)*MAX(节奏总纲!E104-$E$2,0)</f>
        <v>86710.571108209013</v>
      </c>
      <c r="BF108" s="2">
        <f>$AZ$8/(365/12)*MAX(节奏总纲!F104-$E$2,0)</f>
        <v>68671.559232192478</v>
      </c>
      <c r="BG108" s="2">
        <f>$AZ$8/(365/12)*MAX(节奏总纲!G104-$E$2,0)</f>
        <v>47539.527334269027</v>
      </c>
      <c r="BH108" s="2">
        <f>$AZ$8/(365/12)*MAX(节奏总纲!H104-$E$2,0)</f>
        <v>23022.477020762126</v>
      </c>
      <c r="BI108" s="2">
        <f>$AY$8/(365/12)*MAX(节奏总纲!D104-$E$2,0)</f>
        <v>2453513.8798644082</v>
      </c>
      <c r="BJ108" s="2">
        <f>$AY$8/(365/12)*MAX(节奏总纲!E104-$E$2,0)</f>
        <v>2081053.7065970167</v>
      </c>
      <c r="BK108" s="2">
        <f>$AY$8/(365/12)*MAX(节奏总纲!F104-$E$2,0)</f>
        <v>1648117.4215726196</v>
      </c>
      <c r="BL108" s="2">
        <f>$AY$8/(365/12)*MAX(节奏总纲!G104-$E$2,0)</f>
        <v>1140948.6560224567</v>
      </c>
      <c r="BM108" s="2">
        <f>$AY$8/(365/12)*MAX(节奏总纲!H104-$E$2,0)</f>
        <v>552539.44849829096</v>
      </c>
      <c r="CD108" s="2">
        <v>101</v>
      </c>
      <c r="CE108" s="2">
        <f>INDEX($BY$8:$BY$15,MATCH(CE$7,$CB$8:$CB$15,0))*SUM(C$11:C$12)/(365/12)*MAX(节奏总纲!D104-$E$2,0)</f>
        <v>27261.265331826758</v>
      </c>
      <c r="CF108" s="2">
        <f>INDEX($BY$8:$BY$15,MATCH(CF$7,$CB$8:$CB$15,0))*SUM(D$11:D$12)/(365/12)*MAX(节奏总纲!E104-$E$2,0)</f>
        <v>27747.382754626884</v>
      </c>
      <c r="CG108" s="2">
        <f>INDEX($BY$8:$BY$15,MATCH(CG$7,$CB$8:$CB$15,0))*SUM(E$11:E$12)/(365/12)*MAX(节奏总纲!F104-$E$2,0)</f>
        <v>36624.831590502654</v>
      </c>
      <c r="CH108" s="2">
        <f>INDEX($BY$8:$BY$15,MATCH(CH$7,$CB$8:$CB$15,0))*SUM(F$11:F$12)/(365/12)*MAX(节奏总纲!G104-$E$2,0)</f>
        <v>63386.036445692029</v>
      </c>
      <c r="CI108" s="2">
        <f>INDEX($BY$8:$BY$15,MATCH(CI$7,$CB$8:$CB$15,0))*SUM(G$11:G$12)/(365/12)*MAX(节奏总纲!H104-$E$2,0)</f>
        <v>49114.617644292528</v>
      </c>
      <c r="CJ108" s="2">
        <f>INDEX($BZ$8:$BZ$15,MATCH(CE$7,$CB$8:$CB$15,0))*SUM(C$11:C$12)/(365/12)*MAX(节奏总纲!D104-$E$2,0)</f>
        <v>1144973.1439367239</v>
      </c>
      <c r="CK108" s="2">
        <f>INDEX($BZ$8:$BZ$15,MATCH(CF$7,$CB$8:$CB$15,0))*SUM(D$11:D$12)/(365/12)*MAX(节奏总纲!E104-$E$2,0)</f>
        <v>1109895.3101850755</v>
      </c>
      <c r="CL108" s="2">
        <f>INDEX($BZ$8:$BZ$15,MATCH(CG$7,$CB$8:$CB$15,0))*SUM(E$11:E$12)/(365/12)*MAX(节奏总纲!F104-$E$2,0)</f>
        <v>1318493.9372580955</v>
      </c>
      <c r="CM108" s="2">
        <f>INDEX($BZ$8:$BZ$15,MATCH(CH$7,$CB$8:$CB$15,0))*SUM(F$11:F$12)/(365/12)*MAX(节奏总纲!G104-$E$2,0)</f>
        <v>912758.92481796525</v>
      </c>
      <c r="CN108" s="2">
        <f>INDEX($BZ$8:$BZ$15,MATCH(CI$7,$CB$8:$CB$15,0))*SUM(G$11:G$12)/(365/12)*MAX(节奏总纲!H104-$E$2,0)</f>
        <v>442031.55879863276</v>
      </c>
      <c r="CS108" s="2">
        <v>101</v>
      </c>
      <c r="CT108" s="2">
        <f t="shared" si="91"/>
        <v>402103.66364444466</v>
      </c>
      <c r="CU108" s="2">
        <f t="shared" si="92"/>
        <v>345686.14348472655</v>
      </c>
      <c r="CV108" s="2">
        <f t="shared" si="93"/>
        <v>288420.54877520836</v>
      </c>
      <c r="CW108" s="2">
        <f t="shared" si="94"/>
        <v>237697.63667134513</v>
      </c>
      <c r="CX108" s="2">
        <f t="shared" si="95"/>
        <v>133530.36672042031</v>
      </c>
      <c r="CZ108" s="41">
        <f t="shared" si="96"/>
        <v>0.67796610169491522</v>
      </c>
      <c r="DA108" s="41">
        <f t="shared" si="97"/>
        <v>0.25423728813559326</v>
      </c>
      <c r="DB108" s="41">
        <f t="shared" si="98"/>
        <v>6.7796610169491525E-2</v>
      </c>
      <c r="DD108" s="41">
        <f t="shared" si="99"/>
        <v>0.634920634920635</v>
      </c>
      <c r="DE108" s="41">
        <f t="shared" si="100"/>
        <v>0.23809523809523814</v>
      </c>
      <c r="DF108" s="41">
        <f t="shared" si="101"/>
        <v>0.126984126984127</v>
      </c>
      <c r="DH108" s="41">
        <f t="shared" si="102"/>
        <v>0.45977011494252873</v>
      </c>
      <c r="DI108" s="41">
        <f t="shared" si="103"/>
        <v>0.17241379310344832</v>
      </c>
      <c r="DJ108" s="41">
        <f t="shared" si="104"/>
        <v>0.36781609195402298</v>
      </c>
      <c r="DL108" s="2">
        <f>CT108/节奏总纲!D104</f>
        <v>366.71693671738217</v>
      </c>
      <c r="DM108" s="2">
        <f>CU108/节奏总纲!E104</f>
        <v>368.08451074868412</v>
      </c>
      <c r="DN108" s="2">
        <f>CV108/节奏总纲!F104</f>
        <v>381.38087514831597</v>
      </c>
      <c r="DO108" s="2">
        <f>CW108/节奏总纲!G104</f>
        <v>438.55815527459646</v>
      </c>
      <c r="DP108" s="2">
        <f>CX108/节奏总纲!H104</f>
        <v>455.07907929290758</v>
      </c>
      <c r="DR108" s="2">
        <f t="shared" si="105"/>
        <v>1.003729236079314</v>
      </c>
      <c r="DS108" s="2">
        <f t="shared" si="106"/>
        <v>1.0399870771232878</v>
      </c>
      <c r="DT108" s="2">
        <f t="shared" si="107"/>
        <v>1.1959037376356036</v>
      </c>
      <c r="DU108" s="2">
        <f t="shared" si="108"/>
        <v>1.2409546266569724</v>
      </c>
      <c r="DY108" s="2">
        <v>101</v>
      </c>
      <c r="DZ108" s="2">
        <f t="shared" si="77"/>
        <v>9486920.3354757112</v>
      </c>
      <c r="EA108" s="2">
        <f t="shared" si="78"/>
        <v>8185477.9126149314</v>
      </c>
      <c r="EB108" s="2">
        <f t="shared" si="79"/>
        <v>6922093.170605001</v>
      </c>
      <c r="EC108" s="2">
        <f t="shared" si="80"/>
        <v>4791984.3552943179</v>
      </c>
      <c r="ED108" s="2">
        <f t="shared" si="81"/>
        <v>2320665.6836928218</v>
      </c>
      <c r="EF108" s="57">
        <f t="shared" si="82"/>
        <v>0.62068965517241381</v>
      </c>
      <c r="EG108" s="57">
        <f t="shared" si="83"/>
        <v>0.25862068965517243</v>
      </c>
      <c r="EH108" s="41">
        <f t="shared" si="84"/>
        <v>0.12068965517241381</v>
      </c>
      <c r="EJ108" s="57">
        <f t="shared" si="85"/>
        <v>0.5714285714285714</v>
      </c>
      <c r="EK108" s="57">
        <f t="shared" si="86"/>
        <v>0.23809523809523814</v>
      </c>
      <c r="EL108" s="41">
        <f t="shared" si="87"/>
        <v>0.19047619047619049</v>
      </c>
      <c r="EN108" s="57">
        <f t="shared" si="88"/>
        <v>0.57142857142857151</v>
      </c>
      <c r="EO108" s="57">
        <f t="shared" si="89"/>
        <v>0.23809523809523814</v>
      </c>
      <c r="EP108" s="41">
        <f t="shared" si="90"/>
        <v>0.19047619047619049</v>
      </c>
    </row>
    <row r="109" spans="20:146" x14ac:dyDescent="0.15">
      <c r="T109" s="2">
        <v>102</v>
      </c>
      <c r="U109" s="2">
        <f>$N$8*SUM(C$11:C$12)/(365/12)*MAX(节奏总纲!D105-$E$2,0)</f>
        <v>23466.442321014449</v>
      </c>
      <c r="V109" s="2">
        <f>$N$8*SUM(D$11:D$12)/(365/12)*MAX(节奏总纲!E105-$E$2,0)</f>
        <v>19868.386196183561</v>
      </c>
      <c r="W109" s="2">
        <f>$N$8*SUM(E$11:E$12)/(365/12)*MAX(节奏总纲!F105-$E$2,0)</f>
        <v>15701.565185640571</v>
      </c>
      <c r="X109" s="2">
        <f>$N$8*SUM(F$11:F$12)/(365/12)*MAX(节奏总纲!G105-$E$2,0)</f>
        <v>10899.211237584495</v>
      </c>
      <c r="Y109" s="2">
        <f>$N$8*SUM(G$11:G$12)/(365/12)*MAX(节奏总纲!H105-$E$2,0)</f>
        <v>5335.2069208356952</v>
      </c>
      <c r="Z109" s="2">
        <f>$O$8*SUM(C$11:C$12)/(365/12)*MAX(节奏总纲!D105-$E$2,0)</f>
        <v>234664.42321014448</v>
      </c>
      <c r="AA109" s="2">
        <f>$O$8*SUM(D$11:D$12)/(365/12)*MAX(节奏总纲!E105-$E$2,0)</f>
        <v>198683.86196183559</v>
      </c>
      <c r="AB109" s="2">
        <f>$O$8*SUM(E$11:E$12)/(365/12)*MAX(节奏总纲!F105-$E$2,0)</f>
        <v>157015.65185640572</v>
      </c>
      <c r="AC109" s="2">
        <f>$O$8*SUM(F$11:F$12)/(365/12)*MAX(节奏总纲!G105-$E$2,0)</f>
        <v>108992.11237584495</v>
      </c>
      <c r="AD109" s="2">
        <f>$O$8*SUM(G$11:G$12)/(365/12)*MAX(节奏总纲!H105-$E$2,0)</f>
        <v>53352.069208356952</v>
      </c>
      <c r="AE109" s="2">
        <f>$Q$8*SUM(C$11:C$12)/(365/12)*MAX(节奏总纲!D105-$E$2,0)</f>
        <v>293330.52901268058</v>
      </c>
      <c r="AF109" s="2">
        <f>$Q$8*SUM(D$11:D$12)/(365/12)*MAX(节奏总纲!E105-$E$2,0)</f>
        <v>248354.82745229447</v>
      </c>
      <c r="AG109" s="2">
        <f>$Q$8*SUM(E$11:E$12)/(365/12)*MAX(节奏总纲!F105-$E$2,0)</f>
        <v>196269.56482050713</v>
      </c>
      <c r="AH109" s="2">
        <f>$Q$8*SUM(F$11:F$12)/(365/12)*MAX(节奏总纲!G105-$E$2,0)</f>
        <v>136240.14046980618</v>
      </c>
      <c r="AI109" s="2">
        <f>$Q$8*SUM(G$11:G$12)/(365/12)*MAX(节奏总纲!H105-$E$2,0)</f>
        <v>66690.086510446185</v>
      </c>
      <c r="AJ109" s="2">
        <f>$P$8*SUM(C$11:C$12)/(365/12)*MAX(节奏总纲!D105-$E$2,0)</f>
        <v>6335939.4266739013</v>
      </c>
      <c r="AK109" s="2">
        <f>$P$8*SUM(D$11:D$12)/(365/12)*MAX(节奏总纲!E105-$E$2,0)</f>
        <v>5364464.2729695607</v>
      </c>
      <c r="AL109" s="2">
        <f>$P$8*SUM(E$11:E$12)/(365/12)*MAX(节奏总纲!F105-$E$2,0)</f>
        <v>4239422.6001229547</v>
      </c>
      <c r="AM109" s="2">
        <f>$P$8*SUM(F$11:F$12)/(365/12)*MAX(节奏总纲!G105-$E$2,0)</f>
        <v>2942787.0341478135</v>
      </c>
      <c r="AN109" s="2">
        <f>$P$8*SUM(G$11:G$12)/(365/12)*MAX(节奏总纲!H105-$E$2,0)</f>
        <v>1440505.8686256376</v>
      </c>
      <c r="BC109" s="2">
        <v>102</v>
      </c>
      <c r="BD109" s="2">
        <f>$AZ$8/(365/12)*MAX(节奏总纲!D105-$E$2,0)</f>
        <v>109998.94837975524</v>
      </c>
      <c r="BE109" s="2">
        <f>$AZ$8/(365/12)*MAX(节奏总纲!E105-$E$2,0)</f>
        <v>93133.060294610434</v>
      </c>
      <c r="BF109" s="2">
        <f>$AZ$8/(365/12)*MAX(节奏总纲!F105-$E$2,0)</f>
        <v>73601.086807690182</v>
      </c>
      <c r="BG109" s="2">
        <f>$AZ$8/(365/12)*MAX(节奏总纲!G105-$E$2,0)</f>
        <v>51090.052676177322</v>
      </c>
      <c r="BH109" s="2">
        <f>$AZ$8/(365/12)*MAX(节奏总纲!H105-$E$2,0)</f>
        <v>25008.782441417323</v>
      </c>
      <c r="BI109" s="2">
        <f>$AY$8/(365/12)*MAX(节奏总纲!D105-$E$2,0)</f>
        <v>2639974.7611141256</v>
      </c>
      <c r="BJ109" s="2">
        <f>$AY$8/(365/12)*MAX(节奏总纲!E105-$E$2,0)</f>
        <v>2235193.4470706508</v>
      </c>
      <c r="BK109" s="2">
        <f>$AY$8/(365/12)*MAX(节奏总纲!F105-$E$2,0)</f>
        <v>1766426.0833845644</v>
      </c>
      <c r="BL109" s="2">
        <f>$AY$8/(365/12)*MAX(节奏总纲!G105-$E$2,0)</f>
        <v>1226161.2642282557</v>
      </c>
      <c r="BM109" s="2">
        <f>$AY$8/(365/12)*MAX(节奏总纲!H105-$E$2,0)</f>
        <v>600210.77859401575</v>
      </c>
      <c r="CD109" s="2">
        <v>102</v>
      </c>
      <c r="CE109" s="2">
        <f>INDEX($BY$8:$BY$15,MATCH(CE$7,$CB$8:$CB$15,0))*SUM(C$11:C$12)/(365/12)*MAX(节奏总纲!D105-$E$2,0)</f>
        <v>29333.05290126806</v>
      </c>
      <c r="CF109" s="2">
        <f>INDEX($BY$8:$BY$15,MATCH(CF$7,$CB$8:$CB$15,0))*SUM(D$11:D$12)/(365/12)*MAX(节奏总纲!E105-$E$2,0)</f>
        <v>29802.57929427534</v>
      </c>
      <c r="CG109" s="2">
        <f>INDEX($BY$8:$BY$15,MATCH(CG$7,$CB$8:$CB$15,0))*SUM(E$11:E$12)/(365/12)*MAX(节奏总纲!F105-$E$2,0)</f>
        <v>39253.91296410143</v>
      </c>
      <c r="CH109" s="2">
        <f>INDEX($BY$8:$BY$15,MATCH(CH$7,$CB$8:$CB$15,0))*SUM(F$11:F$12)/(365/12)*MAX(节奏总纲!G105-$E$2,0)</f>
        <v>68120.070234903091</v>
      </c>
      <c r="CI109" s="2">
        <f>INDEX($BY$8:$BY$15,MATCH(CI$7,$CB$8:$CB$15,0))*SUM(G$11:G$12)/(365/12)*MAX(节奏总纲!H105-$E$2,0)</f>
        <v>53352.069208356952</v>
      </c>
      <c r="CJ109" s="2">
        <f>INDEX($BZ$8:$BZ$15,MATCH(CE$7,$CB$8:$CB$15,0))*SUM(C$11:C$12)/(365/12)*MAX(节奏总纲!D105-$E$2,0)</f>
        <v>1231988.2218532586</v>
      </c>
      <c r="CK109" s="2">
        <f>INDEX($BZ$8:$BZ$15,MATCH(CF$7,$CB$8:$CB$15,0))*SUM(D$11:D$12)/(365/12)*MAX(节奏总纲!E105-$E$2,0)</f>
        <v>1192103.1717710136</v>
      </c>
      <c r="CL109" s="2">
        <f>INDEX($BZ$8:$BZ$15,MATCH(CG$7,$CB$8:$CB$15,0))*SUM(E$11:E$12)/(365/12)*MAX(节奏总纲!F105-$E$2,0)</f>
        <v>1413140.8667076514</v>
      </c>
      <c r="CM109" s="2">
        <f>INDEX($BZ$8:$BZ$15,MATCH(CH$7,$CB$8:$CB$15,0))*SUM(F$11:F$12)/(365/12)*MAX(节奏总纲!G105-$E$2,0)</f>
        <v>980929.0113826046</v>
      </c>
      <c r="CN109" s="2">
        <f>INDEX($BZ$8:$BZ$15,MATCH(CI$7,$CB$8:$CB$15,0))*SUM(G$11:G$12)/(365/12)*MAX(节奏总纲!H105-$E$2,0)</f>
        <v>480168.62287521258</v>
      </c>
      <c r="CS109" s="2">
        <v>102</v>
      </c>
      <c r="CT109" s="2">
        <f t="shared" si="91"/>
        <v>432662.53029370389</v>
      </c>
      <c r="CU109" s="2">
        <f t="shared" si="92"/>
        <v>371290.46704118024</v>
      </c>
      <c r="CV109" s="2">
        <f t="shared" si="93"/>
        <v>309124.5645922987</v>
      </c>
      <c r="CW109" s="2">
        <f t="shared" si="94"/>
        <v>255450.26338088658</v>
      </c>
      <c r="CX109" s="2">
        <f t="shared" si="95"/>
        <v>145050.93816022045</v>
      </c>
      <c r="CZ109" s="41">
        <f t="shared" si="96"/>
        <v>0.67796610169491522</v>
      </c>
      <c r="DA109" s="41">
        <f t="shared" si="97"/>
        <v>0.25423728813559326</v>
      </c>
      <c r="DB109" s="41">
        <f t="shared" si="98"/>
        <v>6.7796610169491525E-2</v>
      </c>
      <c r="DD109" s="41">
        <f t="shared" si="99"/>
        <v>0.634920634920635</v>
      </c>
      <c r="DE109" s="41">
        <f t="shared" si="100"/>
        <v>0.23809523809523814</v>
      </c>
      <c r="DF109" s="41">
        <f t="shared" si="101"/>
        <v>0.126984126984127</v>
      </c>
      <c r="DH109" s="41">
        <f t="shared" si="102"/>
        <v>0.45977011494252873</v>
      </c>
      <c r="DI109" s="41">
        <f t="shared" si="103"/>
        <v>0.17241379310344829</v>
      </c>
      <c r="DJ109" s="41">
        <f t="shared" si="104"/>
        <v>0.36781609195402304</v>
      </c>
      <c r="DL109" s="2">
        <f>CT109/节奏总纲!D105</f>
        <v>368.13973996319072</v>
      </c>
      <c r="DM109" s="2">
        <f>CU109/节奏总纲!E105</f>
        <v>369.71336218906168</v>
      </c>
      <c r="DN109" s="2">
        <f>CV109/节奏总纲!F105</f>
        <v>383.41828242542107</v>
      </c>
      <c r="DO109" s="2">
        <f>CW109/节奏总纲!G105</f>
        <v>441.95825057691866</v>
      </c>
      <c r="DP109" s="2">
        <f>CX109/节奏总纲!H105</f>
        <v>462.59201532234601</v>
      </c>
      <c r="DR109" s="2">
        <f t="shared" si="105"/>
        <v>1.004274524195699</v>
      </c>
      <c r="DS109" s="2">
        <f t="shared" si="106"/>
        <v>1.0415020189446487</v>
      </c>
      <c r="DT109" s="2">
        <f t="shared" si="107"/>
        <v>1.2005176366482706</v>
      </c>
      <c r="DU109" s="2">
        <f t="shared" si="108"/>
        <v>1.2565663662624398</v>
      </c>
      <c r="DY109" s="2">
        <v>102</v>
      </c>
      <c r="DZ109" s="2">
        <f t="shared" si="77"/>
        <v>10207902.409641284</v>
      </c>
      <c r="EA109" s="2">
        <f t="shared" si="78"/>
        <v>8791760.8918112256</v>
      </c>
      <c r="EB109" s="2">
        <f t="shared" si="79"/>
        <v>7418989.5502151698</v>
      </c>
      <c r="EC109" s="2">
        <f t="shared" si="80"/>
        <v>5149877.3097586744</v>
      </c>
      <c r="ED109" s="2">
        <f t="shared" si="81"/>
        <v>2520885.2700948659</v>
      </c>
      <c r="EF109" s="57">
        <f t="shared" si="82"/>
        <v>0.62068965517241381</v>
      </c>
      <c r="EG109" s="57">
        <f t="shared" si="83"/>
        <v>0.25862068965517243</v>
      </c>
      <c r="EH109" s="41">
        <f t="shared" si="84"/>
        <v>0.1206896551724138</v>
      </c>
      <c r="EJ109" s="57">
        <f t="shared" si="85"/>
        <v>0.57142857142857151</v>
      </c>
      <c r="EK109" s="57">
        <f t="shared" si="86"/>
        <v>0.23809523809523811</v>
      </c>
      <c r="EL109" s="41">
        <f t="shared" si="87"/>
        <v>0.19047619047619047</v>
      </c>
      <c r="EN109" s="57">
        <f t="shared" si="88"/>
        <v>0.5714285714285714</v>
      </c>
      <c r="EO109" s="57">
        <f t="shared" si="89"/>
        <v>0.23809523809523811</v>
      </c>
      <c r="EP109" s="41">
        <f t="shared" si="90"/>
        <v>0.19047619047619049</v>
      </c>
    </row>
    <row r="110" spans="20:146" x14ac:dyDescent="0.15">
      <c r="T110" s="2">
        <v>103</v>
      </c>
      <c r="U110" s="2">
        <f>$N$8*SUM(C$11:C$12)/(365/12)*MAX(节奏总纲!D106-$E$2,0)</f>
        <v>25242.831870566279</v>
      </c>
      <c r="V110" s="2">
        <f>$N$8*SUM(D$11:D$12)/(365/12)*MAX(节奏总纲!E106-$E$2,0)</f>
        <v>21322.698351978019</v>
      </c>
      <c r="W110" s="2">
        <f>$N$8*SUM(E$11:E$12)/(365/12)*MAX(节奏总纲!F106-$E$2,0)</f>
        <v>16864.507291622744</v>
      </c>
      <c r="X110" s="2">
        <f>$N$8*SUM(F$11:F$12)/(365/12)*MAX(节奏总纲!G106-$E$2,0)</f>
        <v>11762.23749900449</v>
      </c>
      <c r="Y110" s="2">
        <f>$N$8*SUM(G$11:G$12)/(365/12)*MAX(节奏总纲!H106-$E$2,0)</f>
        <v>5803.8465931313258</v>
      </c>
      <c r="Z110" s="2">
        <f>$O$8*SUM(C$11:C$12)/(365/12)*MAX(节奏总纲!D106-$E$2,0)</f>
        <v>252428.31870566279</v>
      </c>
      <c r="AA110" s="2">
        <f>$O$8*SUM(D$11:D$12)/(365/12)*MAX(节奏总纲!E106-$E$2,0)</f>
        <v>213226.98351978019</v>
      </c>
      <c r="AB110" s="2">
        <f>$O$8*SUM(E$11:E$12)/(365/12)*MAX(节奏总纲!F106-$E$2,0)</f>
        <v>168645.07291622742</v>
      </c>
      <c r="AC110" s="2">
        <f>$O$8*SUM(F$11:F$12)/(365/12)*MAX(节奏总纲!G106-$E$2,0)</f>
        <v>117622.37499004489</v>
      </c>
      <c r="AD110" s="2">
        <f>$O$8*SUM(G$11:G$12)/(365/12)*MAX(节奏总纲!H106-$E$2,0)</f>
        <v>58038.465931313258</v>
      </c>
      <c r="AE110" s="2">
        <f>$Q$8*SUM(C$11:C$12)/(365/12)*MAX(节奏总纲!D106-$E$2,0)</f>
        <v>315535.39838207845</v>
      </c>
      <c r="AF110" s="2">
        <f>$Q$8*SUM(D$11:D$12)/(365/12)*MAX(节奏总纲!E106-$E$2,0)</f>
        <v>266533.72939972521</v>
      </c>
      <c r="AG110" s="2">
        <f>$Q$8*SUM(E$11:E$12)/(365/12)*MAX(节奏总纲!F106-$E$2,0)</f>
        <v>210806.34114528427</v>
      </c>
      <c r="AH110" s="2">
        <f>$Q$8*SUM(F$11:F$12)/(365/12)*MAX(节奏总纲!G106-$E$2,0)</f>
        <v>147027.9687375561</v>
      </c>
      <c r="AI110" s="2">
        <f>$Q$8*SUM(G$11:G$12)/(365/12)*MAX(节奏总纲!H106-$E$2,0)</f>
        <v>72548.082414141565</v>
      </c>
      <c r="AJ110" s="2">
        <f>$P$8*SUM(C$11:C$12)/(365/12)*MAX(节奏总纲!D106-$E$2,0)</f>
        <v>6815564.6050528949</v>
      </c>
      <c r="AK110" s="2">
        <f>$P$8*SUM(D$11:D$12)/(365/12)*MAX(节奏总纲!E106-$E$2,0)</f>
        <v>5757128.5550340647</v>
      </c>
      <c r="AL110" s="2">
        <f>$P$8*SUM(E$11:E$12)/(365/12)*MAX(节奏总纲!F106-$E$2,0)</f>
        <v>4553416.9687381405</v>
      </c>
      <c r="AM110" s="2">
        <f>$P$8*SUM(F$11:F$12)/(365/12)*MAX(节奏总纲!G106-$E$2,0)</f>
        <v>3175804.1247312119</v>
      </c>
      <c r="AN110" s="2">
        <f>$P$8*SUM(G$11:G$12)/(365/12)*MAX(节奏总纲!H106-$E$2,0)</f>
        <v>1567038.580145458</v>
      </c>
      <c r="BC110" s="2">
        <v>103</v>
      </c>
      <c r="BD110" s="2">
        <f>$AZ$8/(365/12)*MAX(节奏总纲!D106-$E$2,0)</f>
        <v>118325.77439327944</v>
      </c>
      <c r="BE110" s="2">
        <f>$AZ$8/(365/12)*MAX(节奏总纲!E106-$E$2,0)</f>
        <v>99950.148524896969</v>
      </c>
      <c r="BF110" s="2">
        <f>$AZ$8/(365/12)*MAX(节奏总纲!F106-$E$2,0)</f>
        <v>79052.377929481605</v>
      </c>
      <c r="BG110" s="2">
        <f>$AZ$8/(365/12)*MAX(节奏总纲!G106-$E$2,0)</f>
        <v>55135.488276583543</v>
      </c>
      <c r="BH110" s="2">
        <f>$AZ$8/(365/12)*MAX(节奏总纲!H106-$E$2,0)</f>
        <v>27205.530905303091</v>
      </c>
      <c r="BI110" s="2">
        <f>$AY$8/(365/12)*MAX(节奏总纲!D106-$E$2,0)</f>
        <v>2839818.5854387064</v>
      </c>
      <c r="BJ110" s="2">
        <f>$AY$8/(365/12)*MAX(节奏总纲!E106-$E$2,0)</f>
        <v>2398803.564597527</v>
      </c>
      <c r="BK110" s="2">
        <f>$AY$8/(365/12)*MAX(节奏总纲!F106-$E$2,0)</f>
        <v>1897257.0703075586</v>
      </c>
      <c r="BL110" s="2">
        <f>$AY$8/(365/12)*MAX(节奏总纲!G106-$E$2,0)</f>
        <v>1323251.7186380052</v>
      </c>
      <c r="BM110" s="2">
        <f>$AY$8/(365/12)*MAX(节奏总纲!H106-$E$2,0)</f>
        <v>652932.74172727426</v>
      </c>
      <c r="CD110" s="2">
        <v>103</v>
      </c>
      <c r="CE110" s="2">
        <f>INDEX($BY$8:$BY$15,MATCH(CE$7,$CB$8:$CB$15,0))*SUM(C$11:C$12)/(365/12)*MAX(节奏总纲!D106-$E$2,0)</f>
        <v>31553.539838207849</v>
      </c>
      <c r="CF110" s="2">
        <f>INDEX($BY$8:$BY$15,MATCH(CF$7,$CB$8:$CB$15,0))*SUM(D$11:D$12)/(365/12)*MAX(节奏总纲!E106-$E$2,0)</f>
        <v>31984.047527967028</v>
      </c>
      <c r="CG110" s="2">
        <f>INDEX($BY$8:$BY$15,MATCH(CG$7,$CB$8:$CB$15,0))*SUM(E$11:E$12)/(365/12)*MAX(节奏总纲!F106-$E$2,0)</f>
        <v>42161.268229056855</v>
      </c>
      <c r="CH110" s="2">
        <f>INDEX($BY$8:$BY$15,MATCH(CH$7,$CB$8:$CB$15,0))*SUM(F$11:F$12)/(365/12)*MAX(节奏总纲!G106-$E$2,0)</f>
        <v>73513.984368778052</v>
      </c>
      <c r="CI110" s="2">
        <f>INDEX($BY$8:$BY$15,MATCH(CI$7,$CB$8:$CB$15,0))*SUM(G$11:G$12)/(365/12)*MAX(节奏总纲!H106-$E$2,0)</f>
        <v>58038.465931313258</v>
      </c>
      <c r="CJ110" s="2">
        <f>INDEX($BZ$8:$BZ$15,MATCH(CE$7,$CB$8:$CB$15,0))*SUM(C$11:C$12)/(365/12)*MAX(节奏总纲!D106-$E$2,0)</f>
        <v>1325248.6732047298</v>
      </c>
      <c r="CK110" s="2">
        <f>INDEX($BZ$8:$BZ$15,MATCH(CF$7,$CB$8:$CB$15,0))*SUM(D$11:D$12)/(365/12)*MAX(节奏总纲!E106-$E$2,0)</f>
        <v>1279361.9011186813</v>
      </c>
      <c r="CL110" s="2">
        <f>INDEX($BZ$8:$BZ$15,MATCH(CG$7,$CB$8:$CB$15,0))*SUM(E$11:E$12)/(365/12)*MAX(节奏总纲!F106-$E$2,0)</f>
        <v>1517805.6562460468</v>
      </c>
      <c r="CM110" s="2">
        <f>INDEX($BZ$8:$BZ$15,MATCH(CH$7,$CB$8:$CB$15,0))*SUM(F$11:F$12)/(365/12)*MAX(节奏总纲!G106-$E$2,0)</f>
        <v>1058601.374910404</v>
      </c>
      <c r="CN110" s="2">
        <f>INDEX($BZ$8:$BZ$15,MATCH(CI$7,$CB$8:$CB$15,0))*SUM(G$11:G$12)/(365/12)*MAX(节奏总纲!H106-$E$2,0)</f>
        <v>522346.19338181935</v>
      </c>
      <c r="CS110" s="2">
        <v>103</v>
      </c>
      <c r="CT110" s="2">
        <f t="shared" si="91"/>
        <v>465414.71261356573</v>
      </c>
      <c r="CU110" s="2">
        <f t="shared" si="92"/>
        <v>398467.92545258917</v>
      </c>
      <c r="CV110" s="2">
        <f t="shared" si="93"/>
        <v>332019.98730382271</v>
      </c>
      <c r="CW110" s="2">
        <f t="shared" si="94"/>
        <v>275677.44138291769</v>
      </c>
      <c r="CX110" s="2">
        <f t="shared" si="95"/>
        <v>157792.07925075793</v>
      </c>
      <c r="CZ110" s="41">
        <f t="shared" si="96"/>
        <v>0.67796610169491522</v>
      </c>
      <c r="DA110" s="41">
        <f t="shared" si="97"/>
        <v>0.25423728813559326</v>
      </c>
      <c r="DB110" s="41">
        <f t="shared" si="98"/>
        <v>6.7796610169491525E-2</v>
      </c>
      <c r="DD110" s="41">
        <f t="shared" si="99"/>
        <v>0.634920634920635</v>
      </c>
      <c r="DE110" s="41">
        <f t="shared" si="100"/>
        <v>0.23809523809523811</v>
      </c>
      <c r="DF110" s="41">
        <f t="shared" si="101"/>
        <v>0.126984126984127</v>
      </c>
      <c r="DH110" s="41">
        <f t="shared" si="102"/>
        <v>0.45977011494252867</v>
      </c>
      <c r="DI110" s="41">
        <f t="shared" si="103"/>
        <v>0.17241379310344826</v>
      </c>
      <c r="DJ110" s="41">
        <f t="shared" si="104"/>
        <v>0.36781609195402298</v>
      </c>
      <c r="DL110" s="2">
        <f>CT110/节奏总纲!D106</f>
        <v>369.46710562669682</v>
      </c>
      <c r="DM110" s="2">
        <f>CU110/节奏总纲!E106</f>
        <v>371.22607520462691</v>
      </c>
      <c r="DN110" s="2">
        <f>CV110/节奏总纲!F106</f>
        <v>385.39608201720557</v>
      </c>
      <c r="DO110" s="2">
        <f>CW110/节奏总纲!G106</f>
        <v>445.35029831710722</v>
      </c>
      <c r="DP110" s="2">
        <f>CX110/节奏总纲!H106</f>
        <v>469.85161530266907</v>
      </c>
      <c r="DR110" s="2">
        <f t="shared" si="105"/>
        <v>1.004760828639796</v>
      </c>
      <c r="DS110" s="2">
        <f t="shared" si="106"/>
        <v>1.0431133818083473</v>
      </c>
      <c r="DT110" s="2">
        <f t="shared" si="107"/>
        <v>1.2053855175055326</v>
      </c>
      <c r="DU110" s="2">
        <f t="shared" si="108"/>
        <v>1.2717008040694129</v>
      </c>
      <c r="DY110" s="2">
        <v>103</v>
      </c>
      <c r="DZ110" s="2">
        <f t="shared" si="77"/>
        <v>10980631.863696331</v>
      </c>
      <c r="EA110" s="2">
        <f t="shared" si="78"/>
        <v>9435294.020750273</v>
      </c>
      <c r="EB110" s="2">
        <f t="shared" si="79"/>
        <v>7968479.6952917455</v>
      </c>
      <c r="EC110" s="2">
        <f t="shared" si="80"/>
        <v>5557657.2182796216</v>
      </c>
      <c r="ED110" s="2">
        <f t="shared" si="81"/>
        <v>2742317.5152545515</v>
      </c>
      <c r="EF110" s="57">
        <f t="shared" si="82"/>
        <v>0.62068965517241381</v>
      </c>
      <c r="EG110" s="57">
        <f t="shared" si="83"/>
        <v>0.25862068965517243</v>
      </c>
      <c r="EH110" s="41">
        <f t="shared" si="84"/>
        <v>0.12068965517241381</v>
      </c>
      <c r="EJ110" s="57">
        <f t="shared" si="85"/>
        <v>0.57142857142857151</v>
      </c>
      <c r="EK110" s="57">
        <f t="shared" si="86"/>
        <v>0.23809523809523811</v>
      </c>
      <c r="EL110" s="41">
        <f t="shared" si="87"/>
        <v>0.19047619047619047</v>
      </c>
      <c r="EN110" s="57">
        <f t="shared" si="88"/>
        <v>0.5714285714285714</v>
      </c>
      <c r="EO110" s="57">
        <f t="shared" si="89"/>
        <v>0.23809523809523814</v>
      </c>
      <c r="EP110" s="41">
        <f t="shared" si="90"/>
        <v>0.19047619047619047</v>
      </c>
    </row>
    <row r="111" spans="20:146" x14ac:dyDescent="0.15">
      <c r="T111" s="2">
        <v>104</v>
      </c>
      <c r="U111" s="2">
        <f>$N$8*SUM(C$11:C$12)/(365/12)*MAX(节奏总纲!D107-$E$2,0)</f>
        <v>27146.719048902705</v>
      </c>
      <c r="V111" s="2">
        <f>$N$8*SUM(D$11:D$12)/(365/12)*MAX(节奏总纲!E107-$E$2,0)</f>
        <v>22950.682453598951</v>
      </c>
      <c r="W111" s="2">
        <f>$N$8*SUM(E$11:E$12)/(365/12)*MAX(节奏总纲!F107-$E$2,0)</f>
        <v>18209.189510090513</v>
      </c>
      <c r="X111" s="2">
        <f>$N$8*SUM(F$11:F$12)/(365/12)*MAX(节奏总纲!G107-$E$2,0)</f>
        <v>12731.898680201801</v>
      </c>
      <c r="Y111" s="2">
        <f>$N$8*SUM(G$11:G$12)/(365/12)*MAX(节奏总纲!H107-$E$2,0)</f>
        <v>6322.7865887967482</v>
      </c>
      <c r="Z111" s="2">
        <f>$O$8*SUM(C$11:C$12)/(365/12)*MAX(节奏总纲!D107-$E$2,0)</f>
        <v>271467.19048902701</v>
      </c>
      <c r="AA111" s="2">
        <f>$O$8*SUM(D$11:D$12)/(365/12)*MAX(节奏总纲!E107-$E$2,0)</f>
        <v>229506.82453598952</v>
      </c>
      <c r="AB111" s="2">
        <f>$O$8*SUM(E$11:E$12)/(365/12)*MAX(节奏总纲!F107-$E$2,0)</f>
        <v>182091.89510090515</v>
      </c>
      <c r="AC111" s="2">
        <f>$O$8*SUM(F$11:F$12)/(365/12)*MAX(节奏总纲!G107-$E$2,0)</f>
        <v>127318.98680201801</v>
      </c>
      <c r="AD111" s="2">
        <f>$O$8*SUM(G$11:G$12)/(365/12)*MAX(节奏总纲!H107-$E$2,0)</f>
        <v>63227.865887967484</v>
      </c>
      <c r="AE111" s="2">
        <f>$Q$8*SUM(C$11:C$12)/(365/12)*MAX(节奏总纲!D107-$E$2,0)</f>
        <v>339333.98811128375</v>
      </c>
      <c r="AF111" s="2">
        <f>$Q$8*SUM(D$11:D$12)/(365/12)*MAX(节奏总纲!E107-$E$2,0)</f>
        <v>286883.53066998691</v>
      </c>
      <c r="AG111" s="2">
        <f>$Q$8*SUM(E$11:E$12)/(365/12)*MAX(节奏总纲!F107-$E$2,0)</f>
        <v>227614.86887613143</v>
      </c>
      <c r="AH111" s="2">
        <f>$Q$8*SUM(F$11:F$12)/(365/12)*MAX(节奏总纲!G107-$E$2,0)</f>
        <v>159148.73350252252</v>
      </c>
      <c r="AI111" s="2">
        <f>$Q$8*SUM(G$11:G$12)/(365/12)*MAX(节奏总纲!H107-$E$2,0)</f>
        <v>79034.832359959357</v>
      </c>
      <c r="AJ111" s="2">
        <f>$P$8*SUM(C$11:C$12)/(365/12)*MAX(节奏总纲!D107-$E$2,0)</f>
        <v>7329614.1432037298</v>
      </c>
      <c r="AK111" s="2">
        <f>$P$8*SUM(D$11:D$12)/(365/12)*MAX(节奏总纲!E107-$E$2,0)</f>
        <v>6196684.2624717169</v>
      </c>
      <c r="AL111" s="2">
        <f>$P$8*SUM(E$11:E$12)/(365/12)*MAX(节奏总纲!F107-$E$2,0)</f>
        <v>4916481.1677244389</v>
      </c>
      <c r="AM111" s="2">
        <f>$P$8*SUM(F$11:F$12)/(365/12)*MAX(节奏总纲!G107-$E$2,0)</f>
        <v>3437612.6436544862</v>
      </c>
      <c r="AN111" s="2">
        <f>$P$8*SUM(G$11:G$12)/(365/12)*MAX(节奏总纲!H107-$E$2,0)</f>
        <v>1707152.378975122</v>
      </c>
      <c r="BC111" s="2">
        <v>104</v>
      </c>
      <c r="BD111" s="2">
        <f>$AZ$8/(365/12)*MAX(节奏总纲!D107-$E$2,0)</f>
        <v>127250.24554173142</v>
      </c>
      <c r="BE111" s="2">
        <f>$AZ$8/(365/12)*MAX(节奏总纲!E107-$E$2,0)</f>
        <v>107581.32400124508</v>
      </c>
      <c r="BF111" s="2">
        <f>$AZ$8/(365/12)*MAX(节奏总纲!F107-$E$2,0)</f>
        <v>85355.575828549292</v>
      </c>
      <c r="BG111" s="2">
        <f>$AZ$8/(365/12)*MAX(节奏总纲!G107-$E$2,0)</f>
        <v>59680.775063445944</v>
      </c>
      <c r="BH111" s="2">
        <f>$AZ$8/(365/12)*MAX(节奏总纲!H107-$E$2,0)</f>
        <v>29638.062134984761</v>
      </c>
      <c r="BI111" s="2">
        <f>$AY$8/(365/12)*MAX(节奏总纲!D107-$E$2,0)</f>
        <v>3054005.8930015545</v>
      </c>
      <c r="BJ111" s="2">
        <f>$AY$8/(365/12)*MAX(节奏总纲!E107-$E$2,0)</f>
        <v>2581951.776029882</v>
      </c>
      <c r="BK111" s="2">
        <f>$AY$8/(365/12)*MAX(节奏总纲!F107-$E$2,0)</f>
        <v>2048533.8198851831</v>
      </c>
      <c r="BL111" s="2">
        <f>$AY$8/(365/12)*MAX(节奏总纲!G107-$E$2,0)</f>
        <v>1432338.6015227027</v>
      </c>
      <c r="BM111" s="2">
        <f>$AY$8/(365/12)*MAX(节奏总纲!H107-$E$2,0)</f>
        <v>711313.49123963423</v>
      </c>
      <c r="CD111" s="2">
        <v>104</v>
      </c>
      <c r="CE111" s="2">
        <f>INDEX($BY$8:$BY$15,MATCH(CE$7,$CB$8:$CB$15,0))*SUM(C$11:C$12)/(365/12)*MAX(节奏总纲!D107-$E$2,0)</f>
        <v>33933.398811128376</v>
      </c>
      <c r="CF111" s="2">
        <f>INDEX($BY$8:$BY$15,MATCH(CF$7,$CB$8:$CB$15,0))*SUM(D$11:D$12)/(365/12)*MAX(节奏总纲!E107-$E$2,0)</f>
        <v>34426.02368039843</v>
      </c>
      <c r="CG111" s="2">
        <f>INDEX($BY$8:$BY$15,MATCH(CG$7,$CB$8:$CB$15,0))*SUM(E$11:E$12)/(365/12)*MAX(节奏总纲!F107-$E$2,0)</f>
        <v>45522.973775226288</v>
      </c>
      <c r="CH111" s="2">
        <f>INDEX($BY$8:$BY$15,MATCH(CH$7,$CB$8:$CB$15,0))*SUM(F$11:F$12)/(365/12)*MAX(节奏总纲!G107-$E$2,0)</f>
        <v>79574.366751261259</v>
      </c>
      <c r="CI111" s="2">
        <f>INDEX($BY$8:$BY$15,MATCH(CI$7,$CB$8:$CB$15,0))*SUM(G$11:G$12)/(365/12)*MAX(节奏总纲!H107-$E$2,0)</f>
        <v>63227.865887967484</v>
      </c>
      <c r="CJ111" s="2">
        <f>INDEX($BZ$8:$BZ$15,MATCH(CE$7,$CB$8:$CB$15,0))*SUM(C$11:C$12)/(365/12)*MAX(节奏总纲!D107-$E$2,0)</f>
        <v>1425202.7500673919</v>
      </c>
      <c r="CK111" s="2">
        <f>INDEX($BZ$8:$BZ$15,MATCH(CF$7,$CB$8:$CB$15,0))*SUM(D$11:D$12)/(365/12)*MAX(节奏总纲!E107-$E$2,0)</f>
        <v>1377040.9472159373</v>
      </c>
      <c r="CL111" s="2">
        <f>INDEX($BZ$8:$BZ$15,MATCH(CG$7,$CB$8:$CB$15,0))*SUM(E$11:E$12)/(365/12)*MAX(节奏总纲!F107-$E$2,0)</f>
        <v>1638827.0559081463</v>
      </c>
      <c r="CM111" s="2">
        <f>INDEX($BZ$8:$BZ$15,MATCH(CH$7,$CB$8:$CB$15,0))*SUM(F$11:F$12)/(365/12)*MAX(节奏总纲!G107-$E$2,0)</f>
        <v>1145870.8812181621</v>
      </c>
      <c r="CN111" s="2">
        <f>INDEX($BZ$8:$BZ$15,MATCH(CI$7,$CB$8:$CB$15,0))*SUM(G$11:G$12)/(365/12)*MAX(节奏总纲!H107-$E$2,0)</f>
        <v>569050.79299170733</v>
      </c>
      <c r="CS111" s="2">
        <v>104</v>
      </c>
      <c r="CT111" s="2">
        <f t="shared" si="91"/>
        <v>500517.63246414356</v>
      </c>
      <c r="CU111" s="2">
        <f t="shared" si="92"/>
        <v>428890.87835163041</v>
      </c>
      <c r="CV111" s="2">
        <f t="shared" si="93"/>
        <v>358493.41847990698</v>
      </c>
      <c r="CW111" s="2">
        <f t="shared" si="94"/>
        <v>298403.87531722971</v>
      </c>
      <c r="CX111" s="2">
        <f t="shared" si="95"/>
        <v>171900.7603829116</v>
      </c>
      <c r="CZ111" s="41">
        <f t="shared" si="96"/>
        <v>0.67796610169491522</v>
      </c>
      <c r="DA111" s="41">
        <f t="shared" si="97"/>
        <v>0.25423728813559321</v>
      </c>
      <c r="DB111" s="41">
        <f t="shared" si="98"/>
        <v>6.7796610169491525E-2</v>
      </c>
      <c r="DD111" s="41">
        <f t="shared" si="99"/>
        <v>0.634920634920635</v>
      </c>
      <c r="DE111" s="41">
        <f t="shared" si="100"/>
        <v>0.23809523809523814</v>
      </c>
      <c r="DF111" s="41">
        <f t="shared" si="101"/>
        <v>0.126984126984127</v>
      </c>
      <c r="DH111" s="41">
        <f t="shared" si="102"/>
        <v>0.45977011494252873</v>
      </c>
      <c r="DI111" s="41">
        <f t="shared" si="103"/>
        <v>0.17241379310344829</v>
      </c>
      <c r="DJ111" s="41">
        <f t="shared" si="104"/>
        <v>0.36781609195402298</v>
      </c>
      <c r="DL111" s="2">
        <f>CT111/节奏总纲!D107</f>
        <v>370.70544518604942</v>
      </c>
      <c r="DM111" s="2">
        <f>CU111/节奏总纲!E107</f>
        <v>372.70387232427339</v>
      </c>
      <c r="DN111" s="2">
        <f>CV111/节奏总纲!F107</f>
        <v>387.38845220060705</v>
      </c>
      <c r="DO111" s="2">
        <f>CW111/节奏总纲!G107</f>
        <v>448.66235865153976</v>
      </c>
      <c r="DP111" s="2">
        <f>CX111/节奏总纲!H107</f>
        <v>476.84377785540306</v>
      </c>
      <c r="DR111" s="2">
        <f t="shared" si="105"/>
        <v>1.0053908761367694</v>
      </c>
      <c r="DS111" s="2">
        <f t="shared" si="106"/>
        <v>1.0450034042693512</v>
      </c>
      <c r="DT111" s="2">
        <f t="shared" si="107"/>
        <v>1.2102934134845669</v>
      </c>
      <c r="DU111" s="2">
        <f t="shared" si="108"/>
        <v>1.2863144689339132</v>
      </c>
      <c r="DY111" s="2">
        <v>104</v>
      </c>
      <c r="DZ111" s="2">
        <f t="shared" si="77"/>
        <v>11808822.786272677</v>
      </c>
      <c r="EA111" s="2">
        <f t="shared" si="78"/>
        <v>10155676.985717535</v>
      </c>
      <c r="EB111" s="2">
        <f t="shared" si="79"/>
        <v>8603842.0435177684</v>
      </c>
      <c r="EC111" s="2">
        <f t="shared" si="80"/>
        <v>6015822.1263953513</v>
      </c>
      <c r="ED111" s="2">
        <f t="shared" si="81"/>
        <v>2987516.6632064637</v>
      </c>
      <c r="EF111" s="57">
        <f t="shared" si="82"/>
        <v>0.6206896551724137</v>
      </c>
      <c r="EG111" s="57">
        <f t="shared" si="83"/>
        <v>0.25862068965517243</v>
      </c>
      <c r="EH111" s="41">
        <f t="shared" si="84"/>
        <v>0.12068965517241378</v>
      </c>
      <c r="EJ111" s="57">
        <f t="shared" si="85"/>
        <v>0.5714285714285714</v>
      </c>
      <c r="EK111" s="57">
        <f t="shared" si="86"/>
        <v>0.23809523809523811</v>
      </c>
      <c r="EL111" s="41">
        <f t="shared" si="87"/>
        <v>0.19047619047619047</v>
      </c>
      <c r="EN111" s="57">
        <f t="shared" si="88"/>
        <v>0.5714285714285714</v>
      </c>
      <c r="EO111" s="57">
        <f t="shared" si="89"/>
        <v>0.23809523809523811</v>
      </c>
      <c r="EP111" s="41">
        <f t="shared" si="90"/>
        <v>0.19047619047619047</v>
      </c>
    </row>
    <row r="112" spans="20:146" x14ac:dyDescent="0.15">
      <c r="T112" s="2">
        <v>105</v>
      </c>
      <c r="U112" s="2">
        <f>$N$8*SUM(C$11:C$12)/(365/12)*MAX(节奏总纲!D108-$E$2,0)</f>
        <v>29187.25480230679</v>
      </c>
      <c r="V112" s="2">
        <f>$N$8*SUM(D$11:D$12)/(365/12)*MAX(节奏总纲!E108-$E$2,0)</f>
        <v>24720.280796780989</v>
      </c>
      <c r="W112" s="2">
        <f>$N$8*SUM(E$11:E$12)/(365/12)*MAX(节奏总纲!F108-$E$2,0)</f>
        <v>19635.177463973836</v>
      </c>
      <c r="X112" s="2">
        <f>$N$8*SUM(F$11:F$12)/(365/12)*MAX(节奏总纲!G108-$E$2,0)</f>
        <v>13752.29145260652</v>
      </c>
      <c r="Y112" s="2">
        <f>$N$8*SUM(G$11:G$12)/(365/12)*MAX(节奏总纲!H108-$E$2,0)</f>
        <v>6867.6096349556401</v>
      </c>
      <c r="Z112" s="2">
        <f>$O$8*SUM(C$11:C$12)/(365/12)*MAX(节奏总纲!D108-$E$2,0)</f>
        <v>291872.54802306794</v>
      </c>
      <c r="AA112" s="2">
        <f>$O$8*SUM(D$11:D$12)/(365/12)*MAX(节奏总纲!E108-$E$2,0)</f>
        <v>247202.80796780987</v>
      </c>
      <c r="AB112" s="2">
        <f>$O$8*SUM(E$11:E$12)/(365/12)*MAX(节奏总纲!F108-$E$2,0)</f>
        <v>196351.77463973837</v>
      </c>
      <c r="AC112" s="2">
        <f>$O$8*SUM(F$11:F$12)/(365/12)*MAX(节奏总纲!G108-$E$2,0)</f>
        <v>137522.9145260652</v>
      </c>
      <c r="AD112" s="2">
        <f>$O$8*SUM(G$11:G$12)/(365/12)*MAX(节奏总纲!H108-$E$2,0)</f>
        <v>68676.096349556406</v>
      </c>
      <c r="AE112" s="2">
        <f>$Q$8*SUM(C$11:C$12)/(365/12)*MAX(节奏总纲!D108-$E$2,0)</f>
        <v>364840.68502883485</v>
      </c>
      <c r="AF112" s="2">
        <f>$Q$8*SUM(D$11:D$12)/(365/12)*MAX(节奏总纲!E108-$E$2,0)</f>
        <v>309003.50995976233</v>
      </c>
      <c r="AG112" s="2">
        <f>$Q$8*SUM(E$11:E$12)/(365/12)*MAX(节奏总纲!F108-$E$2,0)</f>
        <v>245439.71829967294</v>
      </c>
      <c r="AH112" s="2">
        <f>$Q$8*SUM(F$11:F$12)/(365/12)*MAX(节奏总纲!G108-$E$2,0)</f>
        <v>171903.64315758148</v>
      </c>
      <c r="AI112" s="2">
        <f>$Q$8*SUM(G$11:G$12)/(365/12)*MAX(节奏总纲!H108-$E$2,0)</f>
        <v>85845.120436945494</v>
      </c>
      <c r="AJ112" s="2">
        <f>$P$8*SUM(C$11:C$12)/(365/12)*MAX(节奏总纲!D108-$E$2,0)</f>
        <v>7880558.7966228332</v>
      </c>
      <c r="AK112" s="2">
        <f>$P$8*SUM(D$11:D$12)/(365/12)*MAX(节奏总纲!E108-$E$2,0)</f>
        <v>6674475.8151308661</v>
      </c>
      <c r="AL112" s="2">
        <f>$P$8*SUM(E$11:E$12)/(365/12)*MAX(节奏总纲!F108-$E$2,0)</f>
        <v>5301497.9152729362</v>
      </c>
      <c r="AM112" s="2">
        <f>$P$8*SUM(F$11:F$12)/(365/12)*MAX(节奏总纲!G108-$E$2,0)</f>
        <v>3713118.6922037601</v>
      </c>
      <c r="AN112" s="2">
        <f>$P$8*SUM(G$11:G$12)/(365/12)*MAX(节奏总纲!H108-$E$2,0)</f>
        <v>1854254.6014380227</v>
      </c>
      <c r="BC112" s="2">
        <v>105</v>
      </c>
      <c r="BD112" s="2">
        <f>$AZ$8/(365/12)*MAX(节奏总纲!D108-$E$2,0)</f>
        <v>136815.25688581308</v>
      </c>
      <c r="BE112" s="2">
        <f>$AZ$8/(365/12)*MAX(节奏总纲!E108-$E$2,0)</f>
        <v>115876.31623491089</v>
      </c>
      <c r="BF112" s="2">
        <f>$AZ$8/(365/12)*MAX(节奏总纲!F108-$E$2,0)</f>
        <v>92039.894362377367</v>
      </c>
      <c r="BG112" s="2">
        <f>$AZ$8/(365/12)*MAX(节奏总纲!G108-$E$2,0)</f>
        <v>64463.866184093058</v>
      </c>
      <c r="BH112" s="2">
        <f>$AZ$8/(365/12)*MAX(节奏总纲!H108-$E$2,0)</f>
        <v>32191.920163854564</v>
      </c>
      <c r="BI112" s="2">
        <f>$AY$8/(365/12)*MAX(节奏总纲!D108-$E$2,0)</f>
        <v>3283566.1652595145</v>
      </c>
      <c r="BJ112" s="2">
        <f>$AY$8/(365/12)*MAX(节奏总纲!E108-$E$2,0)</f>
        <v>2781031.5896378611</v>
      </c>
      <c r="BK112" s="2">
        <f>$AY$8/(365/12)*MAX(节奏总纲!F108-$E$2,0)</f>
        <v>2208957.4646970569</v>
      </c>
      <c r="BL112" s="2">
        <f>$AY$8/(365/12)*MAX(节奏总纲!G108-$E$2,0)</f>
        <v>1547132.7884182334</v>
      </c>
      <c r="BM112" s="2">
        <f>$AY$8/(365/12)*MAX(节奏总纲!H108-$E$2,0)</f>
        <v>772606.08393250953</v>
      </c>
      <c r="CD112" s="2">
        <v>105</v>
      </c>
      <c r="CE112" s="2">
        <f>INDEX($BY$8:$BY$15,MATCH(CE$7,$CB$8:$CB$15,0))*SUM(C$11:C$12)/(365/12)*MAX(节奏总纲!D108-$E$2,0)</f>
        <v>36484.068502883492</v>
      </c>
      <c r="CF112" s="2">
        <f>INDEX($BY$8:$BY$15,MATCH(CF$7,$CB$8:$CB$15,0))*SUM(D$11:D$12)/(365/12)*MAX(节奏总纲!E108-$E$2,0)</f>
        <v>37080.421195171482</v>
      </c>
      <c r="CG112" s="2">
        <f>INDEX($BY$8:$BY$15,MATCH(CG$7,$CB$8:$CB$15,0))*SUM(E$11:E$12)/(365/12)*MAX(节奏总纲!F108-$E$2,0)</f>
        <v>49087.943659934594</v>
      </c>
      <c r="CH112" s="2">
        <f>INDEX($BY$8:$BY$15,MATCH(CH$7,$CB$8:$CB$15,0))*SUM(F$11:F$12)/(365/12)*MAX(节奏总纲!G108-$E$2,0)</f>
        <v>85951.821578790739</v>
      </c>
      <c r="CI112" s="2">
        <f>INDEX($BY$8:$BY$15,MATCH(CI$7,$CB$8:$CB$15,0))*SUM(G$11:G$12)/(365/12)*MAX(节奏总纲!H108-$E$2,0)</f>
        <v>68676.096349556406</v>
      </c>
      <c r="CJ112" s="2">
        <f>INDEX($BZ$8:$BZ$15,MATCH(CE$7,$CB$8:$CB$15,0))*SUM(C$11:C$12)/(365/12)*MAX(节奏总纲!D108-$E$2,0)</f>
        <v>1532330.8771211067</v>
      </c>
      <c r="CK112" s="2">
        <f>INDEX($BZ$8:$BZ$15,MATCH(CF$7,$CB$8:$CB$15,0))*SUM(D$11:D$12)/(365/12)*MAX(节奏总纲!E108-$E$2,0)</f>
        <v>1483216.8478068593</v>
      </c>
      <c r="CL112" s="2">
        <f>INDEX($BZ$8:$BZ$15,MATCH(CG$7,$CB$8:$CB$15,0))*SUM(E$11:E$12)/(365/12)*MAX(节奏总纲!F108-$E$2,0)</f>
        <v>1767165.9717576453</v>
      </c>
      <c r="CM112" s="2">
        <f>INDEX($BZ$8:$BZ$15,MATCH(CH$7,$CB$8:$CB$15,0))*SUM(F$11:F$12)/(365/12)*MAX(节奏总纲!G108-$E$2,0)</f>
        <v>1237706.2307345867</v>
      </c>
      <c r="CN112" s="2">
        <f>INDEX($BZ$8:$BZ$15,MATCH(CI$7,$CB$8:$CB$15,0))*SUM(G$11:G$12)/(365/12)*MAX(节奏总纲!H108-$E$2,0)</f>
        <v>618084.8671460076</v>
      </c>
      <c r="CS112" s="2">
        <v>105</v>
      </c>
      <c r="CT112" s="2">
        <f t="shared" si="91"/>
        <v>538140.01041753148</v>
      </c>
      <c r="CU112" s="2">
        <f t="shared" si="92"/>
        <v>461960.24738984468</v>
      </c>
      <c r="CV112" s="2">
        <f t="shared" si="93"/>
        <v>386567.55632198486</v>
      </c>
      <c r="CW112" s="2">
        <f t="shared" si="94"/>
        <v>322319.33092046529</v>
      </c>
      <c r="CX112" s="2">
        <f t="shared" si="95"/>
        <v>186713.13695035648</v>
      </c>
      <c r="CZ112" s="41">
        <f t="shared" si="96"/>
        <v>0.67796610169491511</v>
      </c>
      <c r="DA112" s="41">
        <f t="shared" si="97"/>
        <v>0.25423728813559321</v>
      </c>
      <c r="DB112" s="41">
        <f t="shared" si="98"/>
        <v>6.7796610169491525E-2</v>
      </c>
      <c r="DD112" s="41">
        <f t="shared" si="99"/>
        <v>0.634920634920635</v>
      </c>
      <c r="DE112" s="41">
        <f t="shared" si="100"/>
        <v>0.23809523809523814</v>
      </c>
      <c r="DF112" s="41">
        <f t="shared" si="101"/>
        <v>0.126984126984127</v>
      </c>
      <c r="DH112" s="41">
        <f t="shared" si="102"/>
        <v>0.45977011494252867</v>
      </c>
      <c r="DI112" s="41">
        <f t="shared" si="103"/>
        <v>0.17241379310344826</v>
      </c>
      <c r="DJ112" s="41">
        <f t="shared" si="104"/>
        <v>0.36781609195402298</v>
      </c>
      <c r="DL112" s="2">
        <f>CT112/节奏总纲!D108</f>
        <v>371.86073812853863</v>
      </c>
      <c r="DM112" s="2">
        <f>CU112/节奏总纲!E108</f>
        <v>374.10016851396944</v>
      </c>
      <c r="DN112" s="2">
        <f>CV112/节奏总纲!F108</f>
        <v>389.22116413208067</v>
      </c>
      <c r="DO112" s="2">
        <f>CW112/节奏总纲!G108</f>
        <v>451.68575529855491</v>
      </c>
      <c r="DP112" s="2">
        <f>CX112/节奏总纲!H108</f>
        <v>483.22418069908741</v>
      </c>
      <c r="DR112" s="2">
        <f t="shared" si="105"/>
        <v>1.0060222286351099</v>
      </c>
      <c r="DS112" s="2">
        <f t="shared" si="106"/>
        <v>1.0466852889361533</v>
      </c>
      <c r="DT112" s="2">
        <f t="shared" si="107"/>
        <v>1.2146637409793548</v>
      </c>
      <c r="DU112" s="2">
        <f t="shared" si="108"/>
        <v>1.2994762048045376</v>
      </c>
      <c r="DY112" s="2">
        <v>105</v>
      </c>
      <c r="DZ112" s="2">
        <f t="shared" si="77"/>
        <v>12696455.839003455</v>
      </c>
      <c r="EA112" s="2">
        <f t="shared" si="78"/>
        <v>10938724.252575587</v>
      </c>
      <c r="EB112" s="2">
        <f t="shared" si="79"/>
        <v>9277621.3517276384</v>
      </c>
      <c r="EC112" s="2">
        <f t="shared" si="80"/>
        <v>6497957.7113565803</v>
      </c>
      <c r="ED112" s="2">
        <f t="shared" si="81"/>
        <v>3244945.55251654</v>
      </c>
      <c r="EF112" s="57">
        <f t="shared" si="82"/>
        <v>0.6206896551724137</v>
      </c>
      <c r="EG112" s="57">
        <f t="shared" si="83"/>
        <v>0.25862068965517243</v>
      </c>
      <c r="EH112" s="41">
        <f t="shared" si="84"/>
        <v>0.1206896551724138</v>
      </c>
      <c r="EJ112" s="57">
        <f t="shared" si="85"/>
        <v>0.5714285714285714</v>
      </c>
      <c r="EK112" s="57">
        <f t="shared" si="86"/>
        <v>0.23809523809523811</v>
      </c>
      <c r="EL112" s="41">
        <f t="shared" si="87"/>
        <v>0.19047619047619047</v>
      </c>
      <c r="EN112" s="57">
        <f t="shared" si="88"/>
        <v>0.5714285714285714</v>
      </c>
      <c r="EO112" s="57">
        <f t="shared" si="89"/>
        <v>0.23809523809523808</v>
      </c>
      <c r="EP112" s="41">
        <f t="shared" si="90"/>
        <v>0.19047619047619047</v>
      </c>
    </row>
    <row r="113" spans="20:146" x14ac:dyDescent="0.15">
      <c r="T113" s="2">
        <v>106</v>
      </c>
      <c r="U113" s="2">
        <f>$N$8*SUM(C$11:C$12)/(365/12)*MAX(节奏总纲!D109-$E$2,0)</f>
        <v>31374.246872161762</v>
      </c>
      <c r="V113" s="2">
        <f>$N$8*SUM(D$11:D$12)/(365/12)*MAX(节奏总纲!E109-$E$2,0)</f>
        <v>26606.023157563588</v>
      </c>
      <c r="W113" s="2">
        <f>$N$8*SUM(E$11:E$12)/(365/12)*MAX(节奏总纲!F109-$E$2,0)</f>
        <v>21139.373792777864</v>
      </c>
      <c r="X113" s="2">
        <f>$N$8*SUM(F$11:F$12)/(365/12)*MAX(节奏总纲!G109-$E$2,0)</f>
        <v>14820.906228464331</v>
      </c>
      <c r="Y113" s="2">
        <f>$N$8*SUM(G$11:G$12)/(365/12)*MAX(节奏总纲!H109-$E$2,0)</f>
        <v>7418.8998049813308</v>
      </c>
      <c r="Z113" s="2">
        <f>$O$8*SUM(C$11:C$12)/(365/12)*MAX(节奏总纲!D109-$E$2,0)</f>
        <v>313742.46872161765</v>
      </c>
      <c r="AA113" s="2">
        <f>$O$8*SUM(D$11:D$12)/(365/12)*MAX(节奏总纲!E109-$E$2,0)</f>
        <v>266060.23157563584</v>
      </c>
      <c r="AB113" s="2">
        <f>$O$8*SUM(E$11:E$12)/(365/12)*MAX(节奏总纲!F109-$E$2,0)</f>
        <v>211393.73792777862</v>
      </c>
      <c r="AC113" s="2">
        <f>$O$8*SUM(F$11:F$12)/(365/12)*MAX(节奏总纲!G109-$E$2,0)</f>
        <v>148209.06228464333</v>
      </c>
      <c r="AD113" s="2">
        <f>$O$8*SUM(G$11:G$12)/(365/12)*MAX(节奏总纲!H109-$E$2,0)</f>
        <v>74188.998049813308</v>
      </c>
      <c r="AE113" s="2">
        <f>$Q$8*SUM(C$11:C$12)/(365/12)*MAX(节奏总纲!D109-$E$2,0)</f>
        <v>392178.08590202202</v>
      </c>
      <c r="AF113" s="2">
        <f>$Q$8*SUM(D$11:D$12)/(365/12)*MAX(节奏总纲!E109-$E$2,0)</f>
        <v>332575.28946954483</v>
      </c>
      <c r="AG113" s="2">
        <f>$Q$8*SUM(E$11:E$12)/(365/12)*MAX(节奏总纲!F109-$E$2,0)</f>
        <v>264242.17240972328</v>
      </c>
      <c r="AH113" s="2">
        <f>$Q$8*SUM(F$11:F$12)/(365/12)*MAX(节奏总纲!G109-$E$2,0)</f>
        <v>185261.32785580415</v>
      </c>
      <c r="AI113" s="2">
        <f>$Q$8*SUM(G$11:G$12)/(365/12)*MAX(节奏总纲!H109-$E$2,0)</f>
        <v>92736.247562266624</v>
      </c>
      <c r="AJ113" s="2">
        <f>$P$8*SUM(C$11:C$12)/(365/12)*MAX(节奏总纲!D109-$E$2,0)</f>
        <v>8471046.6554836761</v>
      </c>
      <c r="AK113" s="2">
        <f>$P$8*SUM(D$11:D$12)/(365/12)*MAX(节奏总纲!E109-$E$2,0)</f>
        <v>7183626.2525421679</v>
      </c>
      <c r="AL113" s="2">
        <f>$P$8*SUM(E$11:E$12)/(365/12)*MAX(节奏总纲!F109-$E$2,0)</f>
        <v>5707630.9240500228</v>
      </c>
      <c r="AM113" s="2">
        <f>$P$8*SUM(F$11:F$12)/(365/12)*MAX(节奏总纲!G109-$E$2,0)</f>
        <v>4001644.6816853695</v>
      </c>
      <c r="AN113" s="2">
        <f>$P$8*SUM(G$11:G$12)/(365/12)*MAX(节奏总纲!H109-$E$2,0)</f>
        <v>2003102.9473449592</v>
      </c>
      <c r="BC113" s="2">
        <v>106</v>
      </c>
      <c r="BD113" s="2">
        <f>$AZ$8/(365/12)*MAX(节奏总纲!D109-$E$2,0)</f>
        <v>147066.78221325827</v>
      </c>
      <c r="BE113" s="2">
        <f>$AZ$8/(365/12)*MAX(节奏总纲!E109-$E$2,0)</f>
        <v>124715.73355107932</v>
      </c>
      <c r="BF113" s="2">
        <f>$AZ$8/(365/12)*MAX(节奏总纲!F109-$E$2,0)</f>
        <v>99090.81465364623</v>
      </c>
      <c r="BG113" s="2">
        <f>$AZ$8/(365/12)*MAX(节奏总纲!G109-$E$2,0)</f>
        <v>69472.99794592656</v>
      </c>
      <c r="BH113" s="2">
        <f>$AZ$8/(365/12)*MAX(节奏总纲!H109-$E$2,0)</f>
        <v>34776.092835849988</v>
      </c>
      <c r="BI113" s="2">
        <f>$AY$8/(365/12)*MAX(节奏总纲!D109-$E$2,0)</f>
        <v>3529602.7731181988</v>
      </c>
      <c r="BJ113" s="2">
        <f>$AY$8/(365/12)*MAX(节奏总纲!E109-$E$2,0)</f>
        <v>2993177.6052259039</v>
      </c>
      <c r="BK113" s="2">
        <f>$AY$8/(365/12)*MAX(节奏总纲!F109-$E$2,0)</f>
        <v>2378179.5516875098</v>
      </c>
      <c r="BL113" s="2">
        <f>$AY$8/(365/12)*MAX(节奏总纲!G109-$E$2,0)</f>
        <v>1667351.9507022374</v>
      </c>
      <c r="BM113" s="2">
        <f>$AY$8/(365/12)*MAX(节奏总纲!H109-$E$2,0)</f>
        <v>834626.22806039976</v>
      </c>
      <c r="CD113" s="2">
        <v>106</v>
      </c>
      <c r="CE113" s="2">
        <f>INDEX($BY$8:$BY$15,MATCH(CE$7,$CB$8:$CB$15,0))*SUM(C$11:C$12)/(365/12)*MAX(节奏总纲!D109-$E$2,0)</f>
        <v>39217.808590202207</v>
      </c>
      <c r="CF113" s="2">
        <f>INDEX($BY$8:$BY$15,MATCH(CF$7,$CB$8:$CB$15,0))*SUM(D$11:D$12)/(365/12)*MAX(节奏总纲!E109-$E$2,0)</f>
        <v>39909.034736345384</v>
      </c>
      <c r="CG113" s="2">
        <f>INDEX($BY$8:$BY$15,MATCH(CG$7,$CB$8:$CB$15,0))*SUM(E$11:E$12)/(365/12)*MAX(节奏总纲!F109-$E$2,0)</f>
        <v>52848.434481944656</v>
      </c>
      <c r="CH113" s="2">
        <f>INDEX($BY$8:$BY$15,MATCH(CH$7,$CB$8:$CB$15,0))*SUM(F$11:F$12)/(365/12)*MAX(节奏总纲!G109-$E$2,0)</f>
        <v>92630.663927902075</v>
      </c>
      <c r="CI113" s="2">
        <f>INDEX($BY$8:$BY$15,MATCH(CI$7,$CB$8:$CB$15,0))*SUM(G$11:G$12)/(365/12)*MAX(节奏总纲!H109-$E$2,0)</f>
        <v>74188.998049813308</v>
      </c>
      <c r="CJ113" s="2">
        <f>INDEX($BZ$8:$BZ$15,MATCH(CE$7,$CB$8:$CB$15,0))*SUM(C$11:C$12)/(365/12)*MAX(节奏总纲!D109-$E$2,0)</f>
        <v>1647147.9607884926</v>
      </c>
      <c r="CK113" s="2">
        <f>INDEX($BZ$8:$BZ$15,MATCH(CF$7,$CB$8:$CB$15,0))*SUM(D$11:D$12)/(365/12)*MAX(节奏总纲!E109-$E$2,0)</f>
        <v>1596361.3894538153</v>
      </c>
      <c r="CL113" s="2">
        <f>INDEX($BZ$8:$BZ$15,MATCH(CG$7,$CB$8:$CB$15,0))*SUM(E$11:E$12)/(365/12)*MAX(节奏总纲!F109-$E$2,0)</f>
        <v>1902543.6413500076</v>
      </c>
      <c r="CM113" s="2">
        <f>INDEX($BZ$8:$BZ$15,MATCH(CH$7,$CB$8:$CB$15,0))*SUM(F$11:F$12)/(365/12)*MAX(节奏总纲!G109-$E$2,0)</f>
        <v>1333881.5605617899</v>
      </c>
      <c r="CN113" s="2">
        <f>INDEX($BZ$8:$BZ$15,MATCH(CI$7,$CB$8:$CB$15,0))*SUM(G$11:G$12)/(365/12)*MAX(节奏总纲!H109-$E$2,0)</f>
        <v>667700.98244831967</v>
      </c>
      <c r="CS113" s="2">
        <v>106</v>
      </c>
      <c r="CT113" s="2">
        <f t="shared" si="91"/>
        <v>578462.67670548253</v>
      </c>
      <c r="CU113" s="2">
        <f t="shared" si="92"/>
        <v>497200.05775696959</v>
      </c>
      <c r="CV113" s="2">
        <f t="shared" si="93"/>
        <v>416181.42154531414</v>
      </c>
      <c r="CW113" s="2">
        <f t="shared" si="94"/>
        <v>347364.9897296328</v>
      </c>
      <c r="CX113" s="2">
        <f t="shared" si="95"/>
        <v>201701.33844792994</v>
      </c>
      <c r="CZ113" s="41">
        <f t="shared" si="96"/>
        <v>0.67796610169491522</v>
      </c>
      <c r="DA113" s="41">
        <f t="shared" si="97"/>
        <v>0.25423728813559321</v>
      </c>
      <c r="DB113" s="41">
        <f t="shared" si="98"/>
        <v>6.7796610169491525E-2</v>
      </c>
      <c r="DD113" s="41">
        <f t="shared" si="99"/>
        <v>0.634920634920635</v>
      </c>
      <c r="DE113" s="41">
        <f t="shared" si="100"/>
        <v>0.23809523809523811</v>
      </c>
      <c r="DF113" s="41">
        <f t="shared" si="101"/>
        <v>0.126984126984127</v>
      </c>
      <c r="DH113" s="41">
        <f t="shared" si="102"/>
        <v>0.45977011494252867</v>
      </c>
      <c r="DI113" s="41">
        <f t="shared" si="103"/>
        <v>0.17241379310344826</v>
      </c>
      <c r="DJ113" s="41">
        <f t="shared" si="104"/>
        <v>0.36781609195402298</v>
      </c>
      <c r="DL113" s="2">
        <f>CT113/节奏总纲!D109</f>
        <v>372.93856122144138</v>
      </c>
      <c r="DM113" s="2">
        <f>CU113/节奏总纲!E109</f>
        <v>375.39294381538406</v>
      </c>
      <c r="DN113" s="2">
        <f>CV113/节奏总纲!F109</f>
        <v>390.90152308616729</v>
      </c>
      <c r="DO113" s="2">
        <f>CW113/节奏总纲!G109</f>
        <v>454.44077685346099</v>
      </c>
      <c r="DP113" s="2">
        <f>CX113/节奏总纲!H109</f>
        <v>488.86516469724438</v>
      </c>
      <c r="DR113" s="2">
        <f t="shared" si="105"/>
        <v>1.0065811982164143</v>
      </c>
      <c r="DS113" s="2">
        <f t="shared" si="106"/>
        <v>1.0481660083792192</v>
      </c>
      <c r="DT113" s="2">
        <f t="shared" si="107"/>
        <v>1.2185405965129621</v>
      </c>
      <c r="DU113" s="2">
        <f t="shared" si="108"/>
        <v>1.3108463847131344</v>
      </c>
      <c r="DY113" s="2">
        <v>106</v>
      </c>
      <c r="DZ113" s="2">
        <f t="shared" si="77"/>
        <v>13647797.389390368</v>
      </c>
      <c r="EA113" s="2">
        <f t="shared" si="78"/>
        <v>11773165.247221887</v>
      </c>
      <c r="EB113" s="2">
        <f t="shared" si="79"/>
        <v>9988354.1170875393</v>
      </c>
      <c r="EC113" s="2">
        <f t="shared" si="80"/>
        <v>7002878.1929493966</v>
      </c>
      <c r="ED113" s="2">
        <f t="shared" si="81"/>
        <v>3505430.1578536788</v>
      </c>
      <c r="EF113" s="57">
        <f t="shared" si="82"/>
        <v>0.6206896551724137</v>
      </c>
      <c r="EG113" s="57">
        <f t="shared" si="83"/>
        <v>0.25862068965517243</v>
      </c>
      <c r="EH113" s="41">
        <f t="shared" si="84"/>
        <v>0.12068965517241378</v>
      </c>
      <c r="EJ113" s="57">
        <f t="shared" si="85"/>
        <v>0.57142857142857151</v>
      </c>
      <c r="EK113" s="57">
        <f t="shared" si="86"/>
        <v>0.23809523809523814</v>
      </c>
      <c r="EL113" s="41">
        <f t="shared" si="87"/>
        <v>0.19047619047619049</v>
      </c>
      <c r="EN113" s="57">
        <f t="shared" si="88"/>
        <v>0.5714285714285714</v>
      </c>
      <c r="EO113" s="57">
        <f t="shared" si="89"/>
        <v>0.23809523809523811</v>
      </c>
      <c r="EP113" s="41">
        <f t="shared" si="90"/>
        <v>0.19047619047619044</v>
      </c>
    </row>
    <row r="114" spans="20:146" x14ac:dyDescent="0.15">
      <c r="T114" s="2">
        <v>107</v>
      </c>
      <c r="U114" s="2">
        <f>$N$8*SUM(C$11:C$12)/(365/12)*MAX(节奏总纲!D110-$E$2,0)</f>
        <v>33718.206935409667</v>
      </c>
      <c r="V114" s="2">
        <f>$N$8*SUM(D$11:D$12)/(365/12)*MAX(节奏总纲!E110-$E$2,0)</f>
        <v>28593.538386495442</v>
      </c>
      <c r="W114" s="2">
        <f>$N$8*SUM(E$11:E$12)/(365/12)*MAX(节奏总纲!F110-$E$2,0)</f>
        <v>22758.76218199787</v>
      </c>
      <c r="X114" s="2">
        <f>$N$8*SUM(F$11:F$12)/(365/12)*MAX(节奏总纲!G110-$E$2,0)</f>
        <v>15909.546469524113</v>
      </c>
      <c r="Y114" s="2">
        <f>$N$8*SUM(G$11:G$12)/(365/12)*MAX(节奏总纲!H110-$E$2,0)</f>
        <v>8000.4163745786709</v>
      </c>
      <c r="Z114" s="2">
        <f>$O$8*SUM(C$11:C$12)/(365/12)*MAX(节奏总纲!D110-$E$2,0)</f>
        <v>337182.06935409666</v>
      </c>
      <c r="AA114" s="2">
        <f>$O$8*SUM(D$11:D$12)/(365/12)*MAX(节奏总纲!E110-$E$2,0)</f>
        <v>285935.3838649544</v>
      </c>
      <c r="AB114" s="2">
        <f>$O$8*SUM(E$11:E$12)/(365/12)*MAX(节奏总纲!F110-$E$2,0)</f>
        <v>227587.6218199787</v>
      </c>
      <c r="AC114" s="2">
        <f>$O$8*SUM(F$11:F$12)/(365/12)*MAX(节奏总纲!G110-$E$2,0)</f>
        <v>159095.46469524113</v>
      </c>
      <c r="AD114" s="2">
        <f>$O$8*SUM(G$11:G$12)/(365/12)*MAX(节奏总纲!H110-$E$2,0)</f>
        <v>80004.163745786718</v>
      </c>
      <c r="AE114" s="2">
        <f>$Q$8*SUM(C$11:C$12)/(365/12)*MAX(节奏总纲!D110-$E$2,0)</f>
        <v>421477.58669262083</v>
      </c>
      <c r="AF114" s="2">
        <f>$Q$8*SUM(D$11:D$12)/(365/12)*MAX(节奏总纲!E110-$E$2,0)</f>
        <v>357419.22983119299</v>
      </c>
      <c r="AG114" s="2">
        <f>$Q$8*SUM(E$11:E$12)/(365/12)*MAX(节奏总纲!F110-$E$2,0)</f>
        <v>284484.52727497334</v>
      </c>
      <c r="AH114" s="2">
        <f>$Q$8*SUM(F$11:F$12)/(365/12)*MAX(节奏总纲!G110-$E$2,0)</f>
        <v>198869.33086905139</v>
      </c>
      <c r="AI114" s="2">
        <f>$Q$8*SUM(G$11:G$12)/(365/12)*MAX(节奏总纲!H110-$E$2,0)</f>
        <v>100005.20468223338</v>
      </c>
      <c r="AJ114" s="2">
        <f>$P$8*SUM(C$11:C$12)/(365/12)*MAX(节奏总纲!D110-$E$2,0)</f>
        <v>9103915.8725606091</v>
      </c>
      <c r="AK114" s="2">
        <f>$P$8*SUM(D$11:D$12)/(365/12)*MAX(节奏总纲!E110-$E$2,0)</f>
        <v>7720255.3643537685</v>
      </c>
      <c r="AL114" s="2">
        <f>$P$8*SUM(E$11:E$12)/(365/12)*MAX(节奏总纲!F110-$E$2,0)</f>
        <v>6144865.7891394245</v>
      </c>
      <c r="AM114" s="2">
        <f>$P$8*SUM(F$11:F$12)/(365/12)*MAX(节奏总纲!G110-$E$2,0)</f>
        <v>4295577.5467715105</v>
      </c>
      <c r="AN114" s="2">
        <f>$P$8*SUM(G$11:G$12)/(365/12)*MAX(节奏总纲!H110-$E$2,0)</f>
        <v>2160112.4211362414</v>
      </c>
      <c r="BC114" s="2">
        <v>107</v>
      </c>
      <c r="BD114" s="2">
        <f>$AZ$8/(365/12)*MAX(节奏总纲!D110-$E$2,0)</f>
        <v>158054.09500973282</v>
      </c>
      <c r="BE114" s="2">
        <f>$AZ$8/(365/12)*MAX(节奏总纲!E110-$E$2,0)</f>
        <v>134032.21118669739</v>
      </c>
      <c r="BF114" s="2">
        <f>$AZ$8/(365/12)*MAX(节奏总纲!F110-$E$2,0)</f>
        <v>106681.69772811502</v>
      </c>
      <c r="BG114" s="2">
        <f>$AZ$8/(365/12)*MAX(节奏总纲!G110-$E$2,0)</f>
        <v>74575.999075894288</v>
      </c>
      <c r="BH114" s="2">
        <f>$AZ$8/(365/12)*MAX(节奏总纲!H110-$E$2,0)</f>
        <v>37501.951755837523</v>
      </c>
      <c r="BI114" s="2">
        <f>$AY$8/(365/12)*MAX(节奏总纲!D110-$E$2,0)</f>
        <v>3793298.2802335876</v>
      </c>
      <c r="BJ114" s="2">
        <f>$AY$8/(365/12)*MAX(节奏总纲!E110-$E$2,0)</f>
        <v>3216773.0684807375</v>
      </c>
      <c r="BK114" s="2">
        <f>$AY$8/(365/12)*MAX(节奏总纲!F110-$E$2,0)</f>
        <v>2560360.7454747604</v>
      </c>
      <c r="BL114" s="2">
        <f>$AY$8/(365/12)*MAX(节奏总纲!G110-$E$2,0)</f>
        <v>1789823.9778214628</v>
      </c>
      <c r="BM114" s="2">
        <f>$AY$8/(365/12)*MAX(节奏总纲!H110-$E$2,0)</f>
        <v>900046.84214010055</v>
      </c>
      <c r="CD114" s="2">
        <v>107</v>
      </c>
      <c r="CE114" s="2">
        <f>INDEX($BY$8:$BY$15,MATCH(CE$7,$CB$8:$CB$15,0))*SUM(C$11:C$12)/(365/12)*MAX(节奏总纲!D110-$E$2,0)</f>
        <v>42147.758669262083</v>
      </c>
      <c r="CF114" s="2">
        <f>INDEX($BY$8:$BY$15,MATCH(CF$7,$CB$8:$CB$15,0))*SUM(D$11:D$12)/(365/12)*MAX(节奏总纲!E110-$E$2,0)</f>
        <v>42890.307579743159</v>
      </c>
      <c r="CG114" s="2">
        <f>INDEX($BY$8:$BY$15,MATCH(CG$7,$CB$8:$CB$15,0))*SUM(E$11:E$12)/(365/12)*MAX(节奏总纲!F110-$E$2,0)</f>
        <v>56896.905454994674</v>
      </c>
      <c r="CH114" s="2">
        <f>INDEX($BY$8:$BY$15,MATCH(CH$7,$CB$8:$CB$15,0))*SUM(F$11:F$12)/(365/12)*MAX(节奏总纲!G110-$E$2,0)</f>
        <v>99434.665434525697</v>
      </c>
      <c r="CI114" s="2">
        <f>INDEX($BY$8:$BY$15,MATCH(CI$7,$CB$8:$CB$15,0))*SUM(G$11:G$12)/(365/12)*MAX(节奏总纲!H110-$E$2,0)</f>
        <v>80004.163745786718</v>
      </c>
      <c r="CJ114" s="2">
        <f>INDEX($BZ$8:$BZ$15,MATCH(CE$7,$CB$8:$CB$15,0))*SUM(C$11:C$12)/(365/12)*MAX(节奏总纲!D110-$E$2,0)</f>
        <v>1770205.8641090076</v>
      </c>
      <c r="CK114" s="2">
        <f>INDEX($BZ$8:$BZ$15,MATCH(CF$7,$CB$8:$CB$15,0))*SUM(D$11:D$12)/(365/12)*MAX(节奏总纲!E110-$E$2,0)</f>
        <v>1715612.3031897265</v>
      </c>
      <c r="CL114" s="2">
        <f>INDEX($BZ$8:$BZ$15,MATCH(CG$7,$CB$8:$CB$15,0))*SUM(E$11:E$12)/(365/12)*MAX(节奏总纲!F110-$E$2,0)</f>
        <v>2048288.5963798084</v>
      </c>
      <c r="CM114" s="2">
        <f>INDEX($BZ$8:$BZ$15,MATCH(CH$7,$CB$8:$CB$15,0))*SUM(F$11:F$12)/(365/12)*MAX(节奏总纲!G110-$E$2,0)</f>
        <v>1431859.1822571701</v>
      </c>
      <c r="CN114" s="2">
        <f>INDEX($BZ$8:$BZ$15,MATCH(CI$7,$CB$8:$CB$15,0))*SUM(G$11:G$12)/(365/12)*MAX(节奏总纲!H110-$E$2,0)</f>
        <v>720037.47371208039</v>
      </c>
      <c r="CS114" s="2">
        <v>107</v>
      </c>
      <c r="CT114" s="2">
        <f t="shared" si="91"/>
        <v>621679.4403716157</v>
      </c>
      <c r="CU114" s="2">
        <f t="shared" si="92"/>
        <v>534341.74859763356</v>
      </c>
      <c r="CV114" s="2">
        <f t="shared" si="93"/>
        <v>448063.130458083</v>
      </c>
      <c r="CW114" s="2">
        <f t="shared" si="94"/>
        <v>372879.99537947139</v>
      </c>
      <c r="CX114" s="2">
        <f t="shared" si="95"/>
        <v>217511.32018385764</v>
      </c>
      <c r="CZ114" s="41">
        <f t="shared" si="96"/>
        <v>0.67796610169491522</v>
      </c>
      <c r="DA114" s="41">
        <f t="shared" si="97"/>
        <v>0.25423728813559326</v>
      </c>
      <c r="DB114" s="41">
        <f t="shared" si="98"/>
        <v>6.7796610169491525E-2</v>
      </c>
      <c r="DD114" s="41">
        <f t="shared" si="99"/>
        <v>0.63492063492063489</v>
      </c>
      <c r="DE114" s="41">
        <f t="shared" si="100"/>
        <v>0.23809523809523814</v>
      </c>
      <c r="DF114" s="41">
        <f t="shared" si="101"/>
        <v>0.126984126984127</v>
      </c>
      <c r="DH114" s="41">
        <f t="shared" si="102"/>
        <v>0.45977011494252867</v>
      </c>
      <c r="DI114" s="41">
        <f t="shared" si="103"/>
        <v>0.17241379310344829</v>
      </c>
      <c r="DJ114" s="41">
        <f t="shared" si="104"/>
        <v>0.36781609195402298</v>
      </c>
      <c r="DL114" s="2">
        <f>CT114/节奏总纲!D110</f>
        <v>373.94411577829737</v>
      </c>
      <c r="DM114" s="2">
        <f>CU114/节奏总纲!E110</f>
        <v>376.57872492922161</v>
      </c>
      <c r="DN114" s="2">
        <f>CV114/节奏总纲!F110</f>
        <v>392.47532716775777</v>
      </c>
      <c r="DO114" s="2">
        <f>CW114/节奏总纲!G110</f>
        <v>456.89483774710322</v>
      </c>
      <c r="DP114" s="2">
        <f>CX114/节奏总纲!H110</f>
        <v>494.08774526044408</v>
      </c>
      <c r="DR114" s="2">
        <f t="shared" si="105"/>
        <v>1.0070454622489267</v>
      </c>
      <c r="DS114" s="2">
        <f t="shared" si="106"/>
        <v>1.0495560983782055</v>
      </c>
      <c r="DT114" s="2">
        <f t="shared" si="107"/>
        <v>1.2218265202439644</v>
      </c>
      <c r="DU114" s="2">
        <f t="shared" si="108"/>
        <v>1.3212876588045499</v>
      </c>
      <c r="DY114" s="2">
        <v>107</v>
      </c>
      <c r="DZ114" s="2">
        <f t="shared" si="77"/>
        <v>14667420.016903205</v>
      </c>
      <c r="EA114" s="2">
        <f t="shared" si="78"/>
        <v>12652640.736024233</v>
      </c>
      <c r="EB114" s="2">
        <f t="shared" si="79"/>
        <v>10753515.130993994</v>
      </c>
      <c r="EC114" s="2">
        <f t="shared" si="80"/>
        <v>7517260.7068501431</v>
      </c>
      <c r="ED114" s="2">
        <f t="shared" si="81"/>
        <v>3780196.7369884225</v>
      </c>
      <c r="EF114" s="57">
        <f t="shared" si="82"/>
        <v>0.6206896551724137</v>
      </c>
      <c r="EG114" s="57">
        <f t="shared" si="83"/>
        <v>0.25862068965517243</v>
      </c>
      <c r="EH114" s="41">
        <f t="shared" si="84"/>
        <v>0.1206896551724138</v>
      </c>
      <c r="EJ114" s="57">
        <f t="shared" si="85"/>
        <v>0.5714285714285714</v>
      </c>
      <c r="EK114" s="57">
        <f t="shared" si="86"/>
        <v>0.23809523809523808</v>
      </c>
      <c r="EL114" s="41">
        <f t="shared" si="87"/>
        <v>0.19047619047619047</v>
      </c>
      <c r="EN114" s="57">
        <f t="shared" si="88"/>
        <v>0.5714285714285714</v>
      </c>
      <c r="EO114" s="57">
        <f t="shared" si="89"/>
        <v>0.23809523809523808</v>
      </c>
      <c r="EP114" s="41">
        <f t="shared" si="90"/>
        <v>0.19047619047619047</v>
      </c>
    </row>
    <row r="115" spans="20:146" x14ac:dyDescent="0.15">
      <c r="T115" s="2">
        <v>108</v>
      </c>
      <c r="U115" s="2">
        <f>$N$8*SUM(C$11:C$12)/(365/12)*MAX(节奏总纲!D111-$E$2,0)</f>
        <v>36230.4011284437</v>
      </c>
      <c r="V115" s="2">
        <f>$N$8*SUM(D$11:D$12)/(365/12)*MAX(节奏总纲!E111-$E$2,0)</f>
        <v>30737.696130249988</v>
      </c>
      <c r="W115" s="2">
        <f>$N$8*SUM(E$11:E$12)/(365/12)*MAX(节奏总纲!F111-$E$2,0)</f>
        <v>24367.658047020555</v>
      </c>
      <c r="X115" s="2">
        <f>$N$8*SUM(F$11:F$12)/(365/12)*MAX(节奏总纲!G111-$E$2,0)</f>
        <v>17079.044725185344</v>
      </c>
      <c r="Y115" s="2">
        <f>$N$8*SUM(G$11:G$12)/(365/12)*MAX(节奏总纲!H111-$E$2,0)</f>
        <v>8650.6482501413375</v>
      </c>
      <c r="Z115" s="2">
        <f>$O$8*SUM(C$11:C$12)/(365/12)*MAX(节奏总纲!D111-$E$2,0)</f>
        <v>362304.01128443703</v>
      </c>
      <c r="AA115" s="2">
        <f>$O$8*SUM(D$11:D$12)/(365/12)*MAX(节奏总纲!E111-$E$2,0)</f>
        <v>307376.96130249987</v>
      </c>
      <c r="AB115" s="2">
        <f>$O$8*SUM(E$11:E$12)/(365/12)*MAX(节奏总纲!F111-$E$2,0)</f>
        <v>243676.58047020555</v>
      </c>
      <c r="AC115" s="2">
        <f>$O$8*SUM(F$11:F$12)/(365/12)*MAX(节奏总纲!G111-$E$2,0)</f>
        <v>170790.44725185345</v>
      </c>
      <c r="AD115" s="2">
        <f>$O$8*SUM(G$11:G$12)/(365/12)*MAX(节奏总纲!H111-$E$2,0)</f>
        <v>86506.482501413382</v>
      </c>
      <c r="AE115" s="2">
        <f>$Q$8*SUM(C$11:C$12)/(365/12)*MAX(节奏总纲!D111-$E$2,0)</f>
        <v>452880.01410554623</v>
      </c>
      <c r="AF115" s="2">
        <f>$Q$8*SUM(D$11:D$12)/(365/12)*MAX(节奏总纲!E111-$E$2,0)</f>
        <v>384221.20162812481</v>
      </c>
      <c r="AG115" s="2">
        <f>$Q$8*SUM(E$11:E$12)/(365/12)*MAX(节奏总纲!F111-$E$2,0)</f>
        <v>304595.7255877569</v>
      </c>
      <c r="AH115" s="2">
        <f>$Q$8*SUM(F$11:F$12)/(365/12)*MAX(节奏总纲!G111-$E$2,0)</f>
        <v>213488.0590648168</v>
      </c>
      <c r="AI115" s="2">
        <f>$Q$8*SUM(G$11:G$12)/(365/12)*MAX(节奏总纲!H111-$E$2,0)</f>
        <v>108133.10312676671</v>
      </c>
      <c r="AJ115" s="2">
        <f>$P$8*SUM(C$11:C$12)/(365/12)*MAX(节奏总纲!D111-$E$2,0)</f>
        <v>9782208.3046797998</v>
      </c>
      <c r="AK115" s="2">
        <f>$P$8*SUM(D$11:D$12)/(365/12)*MAX(节奏总纲!E111-$E$2,0)</f>
        <v>8299177.9551674966</v>
      </c>
      <c r="AL115" s="2">
        <f>$P$8*SUM(E$11:E$12)/(365/12)*MAX(节奏总纲!F111-$E$2,0)</f>
        <v>6579267.6726955492</v>
      </c>
      <c r="AM115" s="2">
        <f>$P$8*SUM(F$11:F$12)/(365/12)*MAX(节奏总纲!G111-$E$2,0)</f>
        <v>4611342.0758000426</v>
      </c>
      <c r="AN115" s="2">
        <f>$P$8*SUM(G$11:G$12)/(365/12)*MAX(节奏总纲!H111-$E$2,0)</f>
        <v>2335675.0275381613</v>
      </c>
      <c r="BC115" s="2">
        <v>108</v>
      </c>
      <c r="BD115" s="2">
        <f>$AZ$8/(365/12)*MAX(节奏总纲!D111-$E$2,0)</f>
        <v>169830.00528957986</v>
      </c>
      <c r="BE115" s="2">
        <f>$AZ$8/(365/12)*MAX(节奏总纲!E111-$E$2,0)</f>
        <v>144082.95061054683</v>
      </c>
      <c r="BF115" s="2">
        <f>$AZ$8/(365/12)*MAX(节奏总纲!F111-$E$2,0)</f>
        <v>114223.39709540884</v>
      </c>
      <c r="BG115" s="2">
        <f>$AZ$8/(365/12)*MAX(节奏总纲!G111-$E$2,0)</f>
        <v>80058.0221493063</v>
      </c>
      <c r="BH115" s="2">
        <f>$AZ$8/(365/12)*MAX(节奏总纲!H111-$E$2,0)</f>
        <v>40549.913672537521</v>
      </c>
      <c r="BI115" s="2">
        <f>$AY$8/(365/12)*MAX(节奏总纲!D111-$E$2,0)</f>
        <v>4075920.1269499166</v>
      </c>
      <c r="BJ115" s="2">
        <f>$AY$8/(365/12)*MAX(节奏总纲!E111-$E$2,0)</f>
        <v>3457990.8146531237</v>
      </c>
      <c r="BK115" s="2">
        <f>$AY$8/(365/12)*MAX(节奏总纲!F111-$E$2,0)</f>
        <v>2741361.5302898125</v>
      </c>
      <c r="BL115" s="2">
        <f>$AY$8/(365/12)*MAX(节奏总纲!G111-$E$2,0)</f>
        <v>1921392.5315833513</v>
      </c>
      <c r="BM115" s="2">
        <f>$AY$8/(365/12)*MAX(节奏总纲!H111-$E$2,0)</f>
        <v>973197.92814090056</v>
      </c>
      <c r="CD115" s="2">
        <v>108</v>
      </c>
      <c r="CE115" s="2">
        <f>INDEX($BY$8:$BY$15,MATCH(CE$7,$CB$8:$CB$15,0))*SUM(C$11:C$12)/(365/12)*MAX(节奏总纲!D111-$E$2,0)</f>
        <v>45288.001410554629</v>
      </c>
      <c r="CF115" s="2">
        <f>INDEX($BY$8:$BY$15,MATCH(CF$7,$CB$8:$CB$15,0))*SUM(D$11:D$12)/(365/12)*MAX(节奏总纲!E111-$E$2,0)</f>
        <v>46106.544195374983</v>
      </c>
      <c r="CG115" s="2">
        <f>INDEX($BY$8:$BY$15,MATCH(CG$7,$CB$8:$CB$15,0))*SUM(E$11:E$12)/(365/12)*MAX(节奏总纲!F111-$E$2,0)</f>
        <v>60919.145117551387</v>
      </c>
      <c r="CH115" s="2">
        <f>INDEX($BY$8:$BY$15,MATCH(CH$7,$CB$8:$CB$15,0))*SUM(F$11:F$12)/(365/12)*MAX(节奏总纲!G111-$E$2,0)</f>
        <v>106744.0295324084</v>
      </c>
      <c r="CI115" s="2">
        <f>INDEX($BY$8:$BY$15,MATCH(CI$7,$CB$8:$CB$15,0))*SUM(G$11:G$12)/(365/12)*MAX(节奏总纲!H111-$E$2,0)</f>
        <v>86506.482501413382</v>
      </c>
      <c r="CJ115" s="2">
        <f>INDEX($BZ$8:$BZ$15,MATCH(CE$7,$CB$8:$CB$15,0))*SUM(C$11:C$12)/(365/12)*MAX(节奏总纲!D111-$E$2,0)</f>
        <v>1902096.0592432944</v>
      </c>
      <c r="CK115" s="2">
        <f>INDEX($BZ$8:$BZ$15,MATCH(CF$7,$CB$8:$CB$15,0))*SUM(D$11:D$12)/(365/12)*MAX(节奏总纲!E111-$E$2,0)</f>
        <v>1844261.7678149994</v>
      </c>
      <c r="CL115" s="2">
        <f>INDEX($BZ$8:$BZ$15,MATCH(CG$7,$CB$8:$CB$15,0))*SUM(E$11:E$12)/(365/12)*MAX(节奏总纲!F111-$E$2,0)</f>
        <v>2193089.2242318499</v>
      </c>
      <c r="CM115" s="2">
        <f>INDEX($BZ$8:$BZ$15,MATCH(CH$7,$CB$8:$CB$15,0))*SUM(F$11:F$12)/(365/12)*MAX(节奏总纲!G111-$E$2,0)</f>
        <v>1537114.0252666809</v>
      </c>
      <c r="CN115" s="2">
        <f>INDEX($BZ$8:$BZ$15,MATCH(CI$7,$CB$8:$CB$15,0))*SUM(G$11:G$12)/(365/12)*MAX(节奏总纲!H111-$E$2,0)</f>
        <v>778558.34251272038</v>
      </c>
      <c r="CS115" s="2">
        <v>108</v>
      </c>
      <c r="CT115" s="2">
        <f t="shared" si="91"/>
        <v>667998.02080568066</v>
      </c>
      <c r="CU115" s="2">
        <f t="shared" si="92"/>
        <v>574410.69643404661</v>
      </c>
      <c r="CV115" s="2">
        <f t="shared" si="93"/>
        <v>479738.26780071709</v>
      </c>
      <c r="CW115" s="2">
        <f t="shared" si="94"/>
        <v>400290.11074653151</v>
      </c>
      <c r="CX115" s="2">
        <f t="shared" si="95"/>
        <v>235189.49930071761</v>
      </c>
      <c r="CZ115" s="41">
        <f t="shared" si="96"/>
        <v>0.67796610169491534</v>
      </c>
      <c r="DA115" s="41">
        <f t="shared" si="97"/>
        <v>0.25423728813559326</v>
      </c>
      <c r="DB115" s="41">
        <f t="shared" si="98"/>
        <v>6.7796610169491539E-2</v>
      </c>
      <c r="DD115" s="41">
        <f t="shared" si="99"/>
        <v>0.634920634920635</v>
      </c>
      <c r="DE115" s="41">
        <f t="shared" si="100"/>
        <v>0.23809523809523811</v>
      </c>
      <c r="DF115" s="41">
        <f t="shared" si="101"/>
        <v>0.126984126984127</v>
      </c>
      <c r="DH115" s="41">
        <f t="shared" si="102"/>
        <v>0.45977011494252873</v>
      </c>
      <c r="DI115" s="41">
        <f t="shared" si="103"/>
        <v>0.17241379310344829</v>
      </c>
      <c r="DJ115" s="41">
        <f t="shared" si="104"/>
        <v>0.36781609195402304</v>
      </c>
      <c r="DL115" s="2">
        <f>CT115/节奏总纲!D111</f>
        <v>374.8822530606293</v>
      </c>
      <c r="DM115" s="2">
        <f>CU115/节奏总纲!E111</f>
        <v>377.69279380778642</v>
      </c>
      <c r="DN115" s="2">
        <f>CV115/节奏总纲!F111</f>
        <v>393.84198740855078</v>
      </c>
      <c r="DO115" s="2">
        <f>CW115/节奏总纲!G111</f>
        <v>459.20659664444867</v>
      </c>
      <c r="DP115" s="2">
        <f>CX115/节奏总纲!H111</f>
        <v>499.20184569893866</v>
      </c>
      <c r="DR115" s="2">
        <f t="shared" si="105"/>
        <v>1.0074971293631831</v>
      </c>
      <c r="DS115" s="2">
        <f t="shared" si="106"/>
        <v>1.0505751717856198</v>
      </c>
      <c r="DT115" s="2">
        <f t="shared" si="107"/>
        <v>1.2249355441485295</v>
      </c>
      <c r="DU115" s="2">
        <f t="shared" si="108"/>
        <v>1.3316230406303158</v>
      </c>
      <c r="DY115" s="2">
        <v>108</v>
      </c>
      <c r="DZ115" s="2">
        <f t="shared" si="77"/>
        <v>15760224.490873013</v>
      </c>
      <c r="EA115" s="2">
        <f t="shared" si="78"/>
        <v>13601430.537635619</v>
      </c>
      <c r="EB115" s="2">
        <f t="shared" si="79"/>
        <v>11513718.427217212</v>
      </c>
      <c r="EC115" s="2">
        <f t="shared" si="80"/>
        <v>8069848.6326500745</v>
      </c>
      <c r="ED115" s="2">
        <f t="shared" si="81"/>
        <v>4087431.2981917821</v>
      </c>
      <c r="EF115" s="57">
        <f t="shared" si="82"/>
        <v>0.6206896551724137</v>
      </c>
      <c r="EG115" s="57">
        <f t="shared" si="83"/>
        <v>0.25862068965517238</v>
      </c>
      <c r="EH115" s="41">
        <f t="shared" si="84"/>
        <v>0.12068965517241378</v>
      </c>
      <c r="EJ115" s="57">
        <f t="shared" si="85"/>
        <v>0.5714285714285714</v>
      </c>
      <c r="EK115" s="57">
        <f t="shared" si="86"/>
        <v>0.23809523809523811</v>
      </c>
      <c r="EL115" s="41">
        <f t="shared" si="87"/>
        <v>0.19047619047619049</v>
      </c>
      <c r="EN115" s="57">
        <f t="shared" si="88"/>
        <v>0.5714285714285714</v>
      </c>
      <c r="EO115" s="57">
        <f t="shared" si="89"/>
        <v>0.23809523809523811</v>
      </c>
      <c r="EP115" s="41">
        <f t="shared" si="90"/>
        <v>0.19047619047619047</v>
      </c>
    </row>
    <row r="116" spans="20:146" x14ac:dyDescent="0.15">
      <c r="T116" s="2">
        <v>109</v>
      </c>
      <c r="U116" s="2">
        <f>$N$8*SUM(C$11:C$12)/(365/12)*MAX(节奏总纲!D112-$E$2,0)</f>
        <v>38922.904197275318</v>
      </c>
      <c r="V116" s="2">
        <f>$N$8*SUM(D$11:D$12)/(365/12)*MAX(节奏总纲!E112-$E$2,0)</f>
        <v>32923.228463635816</v>
      </c>
      <c r="W116" s="2">
        <f>$N$8*SUM(E$11:E$12)/(365/12)*MAX(节奏总纲!F112-$E$2,0)</f>
        <v>26123.863867977376</v>
      </c>
      <c r="X116" s="2">
        <f>$N$8*SUM(F$11:F$12)/(365/12)*MAX(节奏总纲!G112-$E$2,0)</f>
        <v>18343.976245521862</v>
      </c>
      <c r="Y116" s="2">
        <f>$N$8*SUM(G$11:G$12)/(365/12)*MAX(节奏总纲!H112-$E$2,0)</f>
        <v>9354.5089875502763</v>
      </c>
      <c r="Z116" s="2">
        <f>$O$8*SUM(C$11:C$12)/(365/12)*MAX(节奏总纲!D112-$E$2,0)</f>
        <v>389229.04197275318</v>
      </c>
      <c r="AA116" s="2">
        <f>$O$8*SUM(D$11:D$12)/(365/12)*MAX(节奏总纲!E112-$E$2,0)</f>
        <v>329232.28463635815</v>
      </c>
      <c r="AB116" s="2">
        <f>$O$8*SUM(E$11:E$12)/(365/12)*MAX(节奏总纲!F112-$E$2,0)</f>
        <v>261238.63867977375</v>
      </c>
      <c r="AC116" s="2">
        <f>$O$8*SUM(F$11:F$12)/(365/12)*MAX(节奏总纲!G112-$E$2,0)</f>
        <v>183439.76245521862</v>
      </c>
      <c r="AD116" s="2">
        <f>$O$8*SUM(G$11:G$12)/(365/12)*MAX(节奏总纲!H112-$E$2,0)</f>
        <v>93545.089875502759</v>
      </c>
      <c r="AE116" s="2">
        <f>$Q$8*SUM(C$11:C$12)/(365/12)*MAX(节奏总纲!D112-$E$2,0)</f>
        <v>486536.30246594147</v>
      </c>
      <c r="AF116" s="2">
        <f>$Q$8*SUM(D$11:D$12)/(365/12)*MAX(节奏总纲!E112-$E$2,0)</f>
        <v>411540.35579544766</v>
      </c>
      <c r="AG116" s="2">
        <f>$Q$8*SUM(E$11:E$12)/(365/12)*MAX(节奏总纲!F112-$E$2,0)</f>
        <v>326548.29834971717</v>
      </c>
      <c r="AH116" s="2">
        <f>$Q$8*SUM(F$11:F$12)/(365/12)*MAX(节奏总纲!G112-$E$2,0)</f>
        <v>229299.70306902326</v>
      </c>
      <c r="AI116" s="2">
        <f>$Q$8*SUM(G$11:G$12)/(365/12)*MAX(节奏总纲!H112-$E$2,0)</f>
        <v>116931.36234437843</v>
      </c>
      <c r="AJ116" s="2">
        <f>$P$8*SUM(C$11:C$12)/(365/12)*MAX(节奏总纲!D112-$E$2,0)</f>
        <v>10509184.133264337</v>
      </c>
      <c r="AK116" s="2">
        <f>$P$8*SUM(D$11:D$12)/(365/12)*MAX(节奏总纲!E112-$E$2,0)</f>
        <v>8889271.6851816699</v>
      </c>
      <c r="AL116" s="2">
        <f>$P$8*SUM(E$11:E$12)/(365/12)*MAX(节奏总纲!F112-$E$2,0)</f>
        <v>7053443.2443538914</v>
      </c>
      <c r="AM116" s="2">
        <f>$P$8*SUM(F$11:F$12)/(365/12)*MAX(节奏总纲!G112-$E$2,0)</f>
        <v>4952873.5862909025</v>
      </c>
      <c r="AN116" s="2">
        <f>$P$8*SUM(G$11:G$12)/(365/12)*MAX(节奏总纲!H112-$E$2,0)</f>
        <v>2525717.4266385743</v>
      </c>
      <c r="BC116" s="2">
        <v>109</v>
      </c>
      <c r="BD116" s="2">
        <f>$AZ$8/(365/12)*MAX(节奏总纲!D112-$E$2,0)</f>
        <v>182451.11342472807</v>
      </c>
      <c r="BE116" s="2">
        <f>$AZ$8/(365/12)*MAX(节奏总纲!E112-$E$2,0)</f>
        <v>154327.63342329289</v>
      </c>
      <c r="BF116" s="2">
        <f>$AZ$8/(365/12)*MAX(节奏总纲!F112-$E$2,0)</f>
        <v>122455.61188114395</v>
      </c>
      <c r="BG116" s="2">
        <f>$AZ$8/(365/12)*MAX(节奏总纲!G112-$E$2,0)</f>
        <v>85987.388650883731</v>
      </c>
      <c r="BH116" s="2">
        <f>$AZ$8/(365/12)*MAX(节奏总纲!H112-$E$2,0)</f>
        <v>43849.260879141919</v>
      </c>
      <c r="BI116" s="2">
        <f>$AY$8/(365/12)*MAX(节奏总纲!D112-$E$2,0)</f>
        <v>4378826.722193474</v>
      </c>
      <c r="BJ116" s="2">
        <f>$AY$8/(365/12)*MAX(节奏总纲!E112-$E$2,0)</f>
        <v>3703863.2021590294</v>
      </c>
      <c r="BK116" s="2">
        <f>$AY$8/(365/12)*MAX(节奏总纲!F112-$E$2,0)</f>
        <v>2938934.685147455</v>
      </c>
      <c r="BL116" s="2">
        <f>$AY$8/(365/12)*MAX(节奏总纲!G112-$E$2,0)</f>
        <v>2063697.3276212097</v>
      </c>
      <c r="BM116" s="2">
        <f>$AY$8/(365/12)*MAX(节奏总纲!H112-$E$2,0)</f>
        <v>1052382.2610994061</v>
      </c>
      <c r="CD116" s="2">
        <v>109</v>
      </c>
      <c r="CE116" s="2">
        <f>INDEX($BY$8:$BY$15,MATCH(CE$7,$CB$8:$CB$15,0))*SUM(C$11:C$12)/(365/12)*MAX(节奏总纲!D112-$E$2,0)</f>
        <v>48653.630246594148</v>
      </c>
      <c r="CF116" s="2">
        <f>INDEX($BY$8:$BY$15,MATCH(CF$7,$CB$8:$CB$15,0))*SUM(D$11:D$12)/(365/12)*MAX(节奏总纲!E112-$E$2,0)</f>
        <v>49384.842695453721</v>
      </c>
      <c r="CG116" s="2">
        <f>INDEX($BY$8:$BY$15,MATCH(CG$7,$CB$8:$CB$15,0))*SUM(E$11:E$12)/(365/12)*MAX(节奏总纲!F112-$E$2,0)</f>
        <v>65309.659669943438</v>
      </c>
      <c r="CH116" s="2">
        <f>INDEX($BY$8:$BY$15,MATCH(CH$7,$CB$8:$CB$15,0))*SUM(F$11:F$12)/(365/12)*MAX(节奏总纲!G112-$E$2,0)</f>
        <v>114649.85153451163</v>
      </c>
      <c r="CI116" s="2">
        <f>INDEX($BY$8:$BY$15,MATCH(CI$7,$CB$8:$CB$15,0))*SUM(G$11:G$12)/(365/12)*MAX(节奏总纲!H112-$E$2,0)</f>
        <v>93545.089875502759</v>
      </c>
      <c r="CJ116" s="2">
        <f>INDEX($BZ$8:$BZ$15,MATCH(CE$7,$CB$8:$CB$15,0))*SUM(C$11:C$12)/(365/12)*MAX(节奏总纲!D112-$E$2,0)</f>
        <v>2043452.4703569543</v>
      </c>
      <c r="CK116" s="2">
        <f>INDEX($BZ$8:$BZ$15,MATCH(CF$7,$CB$8:$CB$15,0))*SUM(D$11:D$12)/(365/12)*MAX(节奏总纲!E112-$E$2,0)</f>
        <v>1975393.7078181491</v>
      </c>
      <c r="CL116" s="2">
        <f>INDEX($BZ$8:$BZ$15,MATCH(CG$7,$CB$8:$CB$15,0))*SUM(E$11:E$12)/(365/12)*MAX(节奏总纲!F112-$E$2,0)</f>
        <v>2351147.7481179638</v>
      </c>
      <c r="CM116" s="2">
        <f>INDEX($BZ$8:$BZ$15,MATCH(CH$7,$CB$8:$CB$15,0))*SUM(F$11:F$12)/(365/12)*MAX(节奏总纲!G112-$E$2,0)</f>
        <v>1650957.8620969674</v>
      </c>
      <c r="CN116" s="2">
        <f>INDEX($BZ$8:$BZ$15,MATCH(CI$7,$CB$8:$CB$15,0))*SUM(G$11:G$12)/(365/12)*MAX(节奏总纲!H112-$E$2,0)</f>
        <v>841905.80887952482</v>
      </c>
      <c r="CS116" s="2">
        <v>109</v>
      </c>
      <c r="CT116" s="2">
        <f t="shared" si="91"/>
        <v>717641.04613726377</v>
      </c>
      <c r="CU116" s="2">
        <f t="shared" si="92"/>
        <v>615252.83191419416</v>
      </c>
      <c r="CV116" s="2">
        <f t="shared" si="93"/>
        <v>514313.56990080455</v>
      </c>
      <c r="CW116" s="2">
        <f t="shared" si="94"/>
        <v>429936.94325441867</v>
      </c>
      <c r="CX116" s="2">
        <f t="shared" si="95"/>
        <v>254325.71309902309</v>
      </c>
      <c r="CZ116" s="41">
        <f t="shared" si="96"/>
        <v>0.67796610169491511</v>
      </c>
      <c r="DA116" s="41">
        <f t="shared" si="97"/>
        <v>0.25423728813559321</v>
      </c>
      <c r="DB116" s="41">
        <f t="shared" si="98"/>
        <v>6.7796610169491511E-2</v>
      </c>
      <c r="DD116" s="41">
        <f t="shared" si="99"/>
        <v>0.63492063492063489</v>
      </c>
      <c r="DE116" s="41">
        <f t="shared" si="100"/>
        <v>0.23809523809523811</v>
      </c>
      <c r="DF116" s="41">
        <f t="shared" si="101"/>
        <v>0.12698412698412698</v>
      </c>
      <c r="DH116" s="41">
        <f t="shared" si="102"/>
        <v>0.45977011494252873</v>
      </c>
      <c r="DI116" s="41">
        <f t="shared" si="103"/>
        <v>0.17241379310344829</v>
      </c>
      <c r="DJ116" s="41">
        <f t="shared" si="104"/>
        <v>0.36781609195402304</v>
      </c>
      <c r="DL116" s="2">
        <f>CT116/节奏总纲!D112</f>
        <v>375.75749794499478</v>
      </c>
      <c r="DM116" s="2">
        <f>CU116/节奏总纲!E112</f>
        <v>378.68453836145642</v>
      </c>
      <c r="DN116" s="2">
        <f>CV116/节奏总纲!F112</f>
        <v>395.15047440184844</v>
      </c>
      <c r="DO116" s="2">
        <f>CW116/节奏总纲!G112</f>
        <v>461.39653744072842</v>
      </c>
      <c r="DP116" s="2">
        <f>CX116/节奏总纲!H112</f>
        <v>504.03168956040054</v>
      </c>
      <c r="DR116" s="2">
        <f t="shared" si="105"/>
        <v>1.0077897059472387</v>
      </c>
      <c r="DS116" s="2">
        <f t="shared" si="106"/>
        <v>1.0516103512582269</v>
      </c>
      <c r="DT116" s="2">
        <f t="shared" si="107"/>
        <v>1.227910394241208</v>
      </c>
      <c r="DU116" s="2">
        <f t="shared" si="108"/>
        <v>1.3413749354754942</v>
      </c>
      <c r="DY116" s="2">
        <v>109</v>
      </c>
      <c r="DZ116" s="2">
        <f t="shared" si="77"/>
        <v>16931463.325814765</v>
      </c>
      <c r="EA116" s="2">
        <f t="shared" si="78"/>
        <v>14568528.595158847</v>
      </c>
      <c r="EB116" s="2">
        <f t="shared" si="79"/>
        <v>12343525.677619312</v>
      </c>
      <c r="EC116" s="2">
        <f t="shared" si="80"/>
        <v>8667528.7760090791</v>
      </c>
      <c r="ED116" s="2">
        <f t="shared" si="81"/>
        <v>4420005.4966175053</v>
      </c>
      <c r="EF116" s="57">
        <f t="shared" si="82"/>
        <v>0.62068965517241381</v>
      </c>
      <c r="EG116" s="57">
        <f t="shared" si="83"/>
        <v>0.25862068965517243</v>
      </c>
      <c r="EH116" s="41">
        <f t="shared" si="84"/>
        <v>0.12068965517241378</v>
      </c>
      <c r="EJ116" s="57">
        <f t="shared" si="85"/>
        <v>0.57142857142857129</v>
      </c>
      <c r="EK116" s="57">
        <f t="shared" si="86"/>
        <v>0.23809523809523808</v>
      </c>
      <c r="EL116" s="41">
        <f t="shared" si="87"/>
        <v>0.19047619047619044</v>
      </c>
      <c r="EN116" s="57">
        <f t="shared" si="88"/>
        <v>0.5714285714285714</v>
      </c>
      <c r="EO116" s="57">
        <f t="shared" si="89"/>
        <v>0.23809523809523811</v>
      </c>
      <c r="EP116" s="41">
        <f t="shared" si="90"/>
        <v>0.19047619047619047</v>
      </c>
    </row>
    <row r="117" spans="20:146" x14ac:dyDescent="0.15">
      <c r="T117" s="2">
        <v>110</v>
      </c>
      <c r="U117" s="2">
        <f>$N$8*SUM(C$11:C$12)/(365/12)*MAX(节奏总纲!D113-$E$2,0)</f>
        <v>41808.657534246573</v>
      </c>
      <c r="V117" s="2">
        <f>$N$8*SUM(D$11:D$12)/(365/12)*MAX(节奏总纲!E113-$E$2,0)</f>
        <v>35378.138827397263</v>
      </c>
      <c r="W117" s="2">
        <f>$N$8*SUM(E$11:E$12)/(365/12)*MAX(节奏总纲!F113-$E$2,0)</f>
        <v>28137.883002739723</v>
      </c>
      <c r="X117" s="2">
        <f>$N$8*SUM(F$11:F$12)/(365/12)*MAX(节奏总纲!G113-$E$2,0)</f>
        <v>19807.927758904108</v>
      </c>
      <c r="Y117" s="2">
        <f>$N$8*SUM(G$11:G$12)/(365/12)*MAX(节奏总纲!H113-$E$2,0)</f>
        <v>10142.767693150683</v>
      </c>
      <c r="Z117" s="2">
        <f>$O$8*SUM(C$11:C$12)/(365/12)*MAX(节奏总纲!D113-$E$2,0)</f>
        <v>418086.57534246572</v>
      </c>
      <c r="AA117" s="2">
        <f>$O$8*SUM(D$11:D$12)/(365/12)*MAX(节奏总纲!E113-$E$2,0)</f>
        <v>353781.38827397261</v>
      </c>
      <c r="AB117" s="2">
        <f>$O$8*SUM(E$11:E$12)/(365/12)*MAX(节奏总纲!F113-$E$2,0)</f>
        <v>281378.8300273972</v>
      </c>
      <c r="AC117" s="2">
        <f>$O$8*SUM(F$11:F$12)/(365/12)*MAX(节奏总纲!G113-$E$2,0)</f>
        <v>198079.2775890411</v>
      </c>
      <c r="AD117" s="2">
        <f>$O$8*SUM(G$11:G$12)/(365/12)*MAX(节奏总纲!H113-$E$2,0)</f>
        <v>101427.67693150682</v>
      </c>
      <c r="AE117" s="2">
        <f>$Q$8*SUM(C$11:C$12)/(365/12)*MAX(节奏总纲!D113-$E$2,0)</f>
        <v>522608.21917808213</v>
      </c>
      <c r="AF117" s="2">
        <f>$Q$8*SUM(D$11:D$12)/(365/12)*MAX(节奏总纲!E113-$E$2,0)</f>
        <v>442226.73534246575</v>
      </c>
      <c r="AG117" s="2">
        <f>$Q$8*SUM(E$11:E$12)/(365/12)*MAX(节奏总纲!F113-$E$2,0)</f>
        <v>351723.53753424651</v>
      </c>
      <c r="AH117" s="2">
        <f>$Q$8*SUM(F$11:F$12)/(365/12)*MAX(节奏总纲!G113-$E$2,0)</f>
        <v>247599.09698630136</v>
      </c>
      <c r="AI117" s="2">
        <f>$Q$8*SUM(G$11:G$12)/(365/12)*MAX(节奏总纲!H113-$E$2,0)</f>
        <v>126784.59616438353</v>
      </c>
      <c r="AJ117" s="2">
        <f>$P$8*SUM(C$11:C$12)/(365/12)*MAX(节奏总纲!D113-$E$2,0)</f>
        <v>11288337.534246575</v>
      </c>
      <c r="AK117" s="2">
        <f>$P$8*SUM(D$11:D$12)/(365/12)*MAX(节奏总纲!E113-$E$2,0)</f>
        <v>9552097.4833972603</v>
      </c>
      <c r="AL117" s="2">
        <f>$P$8*SUM(E$11:E$12)/(365/12)*MAX(节奏总纲!F113-$E$2,0)</f>
        <v>7597228.4107397245</v>
      </c>
      <c r="AM117" s="2">
        <f>$P$8*SUM(F$11:F$12)/(365/12)*MAX(节奏总纲!G113-$E$2,0)</f>
        <v>5348140.4949041093</v>
      </c>
      <c r="AN117" s="2">
        <f>$P$8*SUM(G$11:G$12)/(365/12)*MAX(节奏总纲!H113-$E$2,0)</f>
        <v>2738547.277150684</v>
      </c>
      <c r="BC117" s="2">
        <v>110</v>
      </c>
      <c r="BD117" s="2">
        <f>$AZ$8/(365/12)*MAX(节奏总纲!D113-$E$2,0)</f>
        <v>195978.08219178082</v>
      </c>
      <c r="BE117" s="2">
        <f>$AZ$8/(365/12)*MAX(节奏总纲!E113-$E$2,0)</f>
        <v>165835.02575342465</v>
      </c>
      <c r="BF117" s="2">
        <f>$AZ$8/(365/12)*MAX(节奏总纲!F113-$E$2,0)</f>
        <v>131896.32657534245</v>
      </c>
      <c r="BG117" s="2">
        <f>$AZ$8/(365/12)*MAX(节奏总纲!G113-$E$2,0)</f>
        <v>92849.66136986301</v>
      </c>
      <c r="BH117" s="2">
        <f>$AZ$8/(365/12)*MAX(节奏总纲!H113-$E$2,0)</f>
        <v>47544.223561643827</v>
      </c>
      <c r="BI117" s="2">
        <f>$AY$8/(365/12)*MAX(节奏总纲!D113-$E$2,0)</f>
        <v>4703473.9726027399</v>
      </c>
      <c r="BJ117" s="2">
        <f>$AY$8/(365/12)*MAX(节奏总纲!E113-$E$2,0)</f>
        <v>3980040.6180821918</v>
      </c>
      <c r="BK117" s="2">
        <f>$AY$8/(365/12)*MAX(节奏总纲!F113-$E$2,0)</f>
        <v>3165511.8378082188</v>
      </c>
      <c r="BL117" s="2">
        <f>$AY$8/(365/12)*MAX(节奏总纲!G113-$E$2,0)</f>
        <v>2228391.8728767126</v>
      </c>
      <c r="BM117" s="2">
        <f>$AY$8/(365/12)*MAX(节奏总纲!H113-$E$2,0)</f>
        <v>1141061.3654794518</v>
      </c>
      <c r="CD117" s="2">
        <v>110</v>
      </c>
      <c r="CE117" s="2">
        <f>INDEX($BY$8:$BY$15,MATCH(CE$7,$CB$8:$CB$15,0))*SUM(C$11:C$12)/(365/12)*MAX(节奏总纲!D113-$E$2,0)</f>
        <v>52260.821917808214</v>
      </c>
      <c r="CF117" s="2">
        <f>INDEX($BY$8:$BY$15,MATCH(CF$7,$CB$8:$CB$15,0))*SUM(D$11:D$12)/(365/12)*MAX(节奏总纲!E113-$E$2,0)</f>
        <v>53067.20824109589</v>
      </c>
      <c r="CG117" s="2">
        <f>INDEX($BY$8:$BY$15,MATCH(CG$7,$CB$8:$CB$15,0))*SUM(E$11:E$12)/(365/12)*MAX(节奏总纲!F113-$E$2,0)</f>
        <v>70344.7075068493</v>
      </c>
      <c r="CH117" s="2">
        <f>INDEX($BY$8:$BY$15,MATCH(CH$7,$CB$8:$CB$15,0))*SUM(F$11:F$12)/(365/12)*MAX(节奏总纲!G113-$E$2,0)</f>
        <v>123799.54849315068</v>
      </c>
      <c r="CI117" s="2">
        <f>INDEX($BY$8:$BY$15,MATCH(CI$7,$CB$8:$CB$15,0))*SUM(G$11:G$12)/(365/12)*MAX(节奏总纲!H113-$E$2,0)</f>
        <v>101427.67693150682</v>
      </c>
      <c r="CJ117" s="2">
        <f>INDEX($BZ$8:$BZ$15,MATCH(CE$7,$CB$8:$CB$15,0))*SUM(C$11:C$12)/(365/12)*MAX(节奏总纲!D113-$E$2,0)</f>
        <v>2194954.5205479451</v>
      </c>
      <c r="CK117" s="2">
        <f>INDEX($BZ$8:$BZ$15,MATCH(CF$7,$CB$8:$CB$15,0))*SUM(D$11:D$12)/(365/12)*MAX(节奏总纲!E113-$E$2,0)</f>
        <v>2122688.3296438358</v>
      </c>
      <c r="CL117" s="2">
        <f>INDEX($BZ$8:$BZ$15,MATCH(CG$7,$CB$8:$CB$15,0))*SUM(E$11:E$12)/(365/12)*MAX(节奏总纲!F113-$E$2,0)</f>
        <v>2532409.4702465748</v>
      </c>
      <c r="CM117" s="2">
        <f>INDEX($BZ$8:$BZ$15,MATCH(CH$7,$CB$8:$CB$15,0))*SUM(F$11:F$12)/(365/12)*MAX(节奏总纲!G113-$E$2,0)</f>
        <v>1782713.4983013698</v>
      </c>
      <c r="CN117" s="2">
        <f>INDEX($BZ$8:$BZ$15,MATCH(CI$7,$CB$8:$CB$15,0))*SUM(G$11:G$12)/(365/12)*MAX(节奏总纲!H113-$E$2,0)</f>
        <v>912849.09238356142</v>
      </c>
      <c r="CS117" s="2">
        <v>110</v>
      </c>
      <c r="CT117" s="2">
        <f t="shared" si="91"/>
        <v>770847.12328767125</v>
      </c>
      <c r="CU117" s="2">
        <f t="shared" si="92"/>
        <v>661128.96933698631</v>
      </c>
      <c r="CV117" s="2">
        <f t="shared" si="93"/>
        <v>553964.57161643822</v>
      </c>
      <c r="CW117" s="2">
        <f t="shared" si="94"/>
        <v>464248.30684931506</v>
      </c>
      <c r="CX117" s="2">
        <f t="shared" si="95"/>
        <v>275756.49665753421</v>
      </c>
      <c r="CZ117" s="41">
        <f t="shared" si="96"/>
        <v>0.67796610169491511</v>
      </c>
      <c r="DA117" s="41">
        <f t="shared" si="97"/>
        <v>0.25423728813559321</v>
      </c>
      <c r="DB117" s="41">
        <f t="shared" si="98"/>
        <v>6.7796610169491511E-2</v>
      </c>
      <c r="DD117" s="41">
        <f t="shared" si="99"/>
        <v>0.634920634920635</v>
      </c>
      <c r="DE117" s="41">
        <f t="shared" si="100"/>
        <v>0.23809523809523814</v>
      </c>
      <c r="DF117" s="41">
        <f t="shared" si="101"/>
        <v>0.12698412698412698</v>
      </c>
      <c r="DH117" s="41">
        <f t="shared" si="102"/>
        <v>0.45977011494252867</v>
      </c>
      <c r="DI117" s="41">
        <f t="shared" si="103"/>
        <v>0.17241379310344826</v>
      </c>
      <c r="DJ117" s="41">
        <f t="shared" si="104"/>
        <v>0.36781609195402293</v>
      </c>
      <c r="DL117" s="2">
        <f>CT117/节奏总纲!D113</f>
        <v>376.57407097590192</v>
      </c>
      <c r="DM117" s="2">
        <f>CU117/节奏总纲!E113</f>
        <v>379.6574373947202</v>
      </c>
      <c r="DN117" s="2">
        <f>CV117/节奏总纲!F113</f>
        <v>396.45861917974639</v>
      </c>
      <c r="DO117" s="2">
        <f>CW117/节奏总纲!G113</f>
        <v>463.60278632962968</v>
      </c>
      <c r="DP117" s="2">
        <f>CX117/节奏总纲!H113</f>
        <v>508.73302293669434</v>
      </c>
      <c r="DR117" s="2">
        <f t="shared" si="105"/>
        <v>1.0081879413811674</v>
      </c>
      <c r="DS117" s="2">
        <f t="shared" si="106"/>
        <v>1.0528038166629825</v>
      </c>
      <c r="DT117" s="2">
        <f t="shared" si="107"/>
        <v>1.2311064995213039</v>
      </c>
      <c r="DU117" s="2">
        <f t="shared" si="108"/>
        <v>1.3509507481975562</v>
      </c>
      <c r="DY117" s="2">
        <v>110</v>
      </c>
      <c r="DZ117" s="2">
        <f t="shared" si="77"/>
        <v>18186766.02739726</v>
      </c>
      <c r="EA117" s="2">
        <f t="shared" si="78"/>
        <v>15654826.431123288</v>
      </c>
      <c r="EB117" s="2">
        <f t="shared" si="79"/>
        <v>13295149.718794517</v>
      </c>
      <c r="EC117" s="2">
        <f t="shared" si="80"/>
        <v>9359245.8660821915</v>
      </c>
      <c r="ED117" s="2">
        <f t="shared" si="81"/>
        <v>4792457.7350136973</v>
      </c>
      <c r="EF117" s="57">
        <f t="shared" si="82"/>
        <v>0.62068965517241381</v>
      </c>
      <c r="EG117" s="57">
        <f t="shared" si="83"/>
        <v>0.25862068965517243</v>
      </c>
      <c r="EH117" s="41">
        <f t="shared" si="84"/>
        <v>0.12068965517241378</v>
      </c>
      <c r="EJ117" s="57">
        <f t="shared" si="85"/>
        <v>0.57142857142857151</v>
      </c>
      <c r="EK117" s="57">
        <f t="shared" si="86"/>
        <v>0.23809523809523814</v>
      </c>
      <c r="EL117" s="41">
        <f t="shared" si="87"/>
        <v>0.19047619047619049</v>
      </c>
      <c r="EN117" s="57">
        <f t="shared" si="88"/>
        <v>0.5714285714285714</v>
      </c>
      <c r="EO117" s="57">
        <f t="shared" si="89"/>
        <v>0.23809523809523811</v>
      </c>
      <c r="EP117" s="41">
        <f t="shared" si="90"/>
        <v>0.19047619047619049</v>
      </c>
    </row>
    <row r="118" spans="20:146" x14ac:dyDescent="0.15">
      <c r="T118" s="2">
        <v>111</v>
      </c>
      <c r="U118" s="2">
        <f>$N$8*SUM(C$11:C$12)/(365/12)*MAX(节奏总纲!D114-$E$2,0)</f>
        <v>44901.531380237881</v>
      </c>
      <c r="V118" s="2">
        <f>$N$8*SUM(D$11:D$12)/(365/12)*MAX(节奏总纲!E114-$E$2,0)</f>
        <v>38064.643404742455</v>
      </c>
      <c r="W118" s="2">
        <f>$N$8*SUM(E$11:E$12)/(365/12)*MAX(节奏总纲!F114-$E$2,0)</f>
        <v>30309.091886287148</v>
      </c>
      <c r="X118" s="2">
        <f>$N$8*SUM(F$11:F$12)/(365/12)*MAX(节奏总纲!G114-$E$2,0)</f>
        <v>21390.207640063552</v>
      </c>
      <c r="Y118" s="2">
        <f>$N$8*SUM(G$11:G$12)/(365/12)*MAX(节奏总纲!H114-$E$2,0)</f>
        <v>11007.924684702846</v>
      </c>
      <c r="Z118" s="2">
        <f>$O$8*SUM(C$11:C$12)/(365/12)*MAX(节奏总纲!D114-$E$2,0)</f>
        <v>449015.31380237883</v>
      </c>
      <c r="AA118" s="2">
        <f>$O$8*SUM(D$11:D$12)/(365/12)*MAX(节奏总纲!E114-$E$2,0)</f>
        <v>380646.43404742458</v>
      </c>
      <c r="AB118" s="2">
        <f>$O$8*SUM(E$11:E$12)/(365/12)*MAX(节奏总纲!F114-$E$2,0)</f>
        <v>303090.91886287148</v>
      </c>
      <c r="AC118" s="2">
        <f>$O$8*SUM(F$11:F$12)/(365/12)*MAX(节奏总纲!G114-$E$2,0)</f>
        <v>213902.07640063553</v>
      </c>
      <c r="AD118" s="2">
        <f>$O$8*SUM(G$11:G$12)/(365/12)*MAX(节奏总纲!H114-$E$2,0)</f>
        <v>110079.24684702845</v>
      </c>
      <c r="AE118" s="2">
        <f>$Q$8*SUM(C$11:C$12)/(365/12)*MAX(节奏总纲!D114-$E$2,0)</f>
        <v>561269.14225297351</v>
      </c>
      <c r="AF118" s="2">
        <f>$Q$8*SUM(D$11:D$12)/(365/12)*MAX(节奏总纲!E114-$E$2,0)</f>
        <v>475808.0425592807</v>
      </c>
      <c r="AG118" s="2">
        <f>$Q$8*SUM(E$11:E$12)/(365/12)*MAX(节奏总纲!F114-$E$2,0)</f>
        <v>378863.64857858932</v>
      </c>
      <c r="AH118" s="2">
        <f>$Q$8*SUM(F$11:F$12)/(365/12)*MAX(节奏总纲!G114-$E$2,0)</f>
        <v>267377.59550079441</v>
      </c>
      <c r="AI118" s="2">
        <f>$Q$8*SUM(G$11:G$12)/(365/12)*MAX(节奏总纲!H114-$E$2,0)</f>
        <v>137599.05855878556</v>
      </c>
      <c r="AJ118" s="2">
        <f>$P$8*SUM(C$11:C$12)/(365/12)*MAX(节奏总纲!D114-$E$2,0)</f>
        <v>12123413.472664228</v>
      </c>
      <c r="AK118" s="2">
        <f>$P$8*SUM(D$11:D$12)/(365/12)*MAX(节奏总纲!E114-$E$2,0)</f>
        <v>10277453.719280463</v>
      </c>
      <c r="AL118" s="2">
        <f>$P$8*SUM(E$11:E$12)/(365/12)*MAX(节奏总纲!F114-$E$2,0)</f>
        <v>8183454.80929753</v>
      </c>
      <c r="AM118" s="2">
        <f>$P$8*SUM(F$11:F$12)/(365/12)*MAX(节奏总纲!G114-$E$2,0)</f>
        <v>5775356.0628171591</v>
      </c>
      <c r="AN118" s="2">
        <f>$P$8*SUM(G$11:G$12)/(365/12)*MAX(节奏总纲!H114-$E$2,0)</f>
        <v>2972139.6648697681</v>
      </c>
      <c r="BC118" s="2">
        <v>111</v>
      </c>
      <c r="BD118" s="2">
        <f>$AZ$8/(365/12)*MAX(节奏总纲!D114-$E$2,0)</f>
        <v>210475.92834486507</v>
      </c>
      <c r="BE118" s="2">
        <f>$AZ$8/(365/12)*MAX(节奏总纲!E114-$E$2,0)</f>
        <v>178428.01595973028</v>
      </c>
      <c r="BF118" s="2">
        <f>$AZ$8/(365/12)*MAX(节奏总纲!F114-$E$2,0)</f>
        <v>142073.86821697102</v>
      </c>
      <c r="BG118" s="2">
        <f>$AZ$8/(365/12)*MAX(节奏总纲!G114-$E$2,0)</f>
        <v>100266.59831279791</v>
      </c>
      <c r="BH118" s="2">
        <f>$AZ$8/(365/12)*MAX(节奏总纲!H114-$E$2,0)</f>
        <v>51599.646959544589</v>
      </c>
      <c r="BI118" s="2">
        <f>$AY$8/(365/12)*MAX(节奏总纲!D114-$E$2,0)</f>
        <v>5051422.2802767623</v>
      </c>
      <c r="BJ118" s="2">
        <f>$AY$8/(365/12)*MAX(节奏总纲!E114-$E$2,0)</f>
        <v>4282272.3830335271</v>
      </c>
      <c r="BK118" s="2">
        <f>$AY$8/(365/12)*MAX(节奏总纲!F114-$E$2,0)</f>
        <v>3409772.8372073043</v>
      </c>
      <c r="BL118" s="2">
        <f>$AY$8/(365/12)*MAX(节奏总纲!G114-$E$2,0)</f>
        <v>2406398.35950715</v>
      </c>
      <c r="BM118" s="2">
        <f>$AY$8/(365/12)*MAX(节奏总纲!H114-$E$2,0)</f>
        <v>1238391.5270290703</v>
      </c>
      <c r="CD118" s="2">
        <v>111</v>
      </c>
      <c r="CE118" s="2">
        <f>INDEX($BY$8:$BY$15,MATCH(CE$7,$CB$8:$CB$15,0))*SUM(C$11:C$12)/(365/12)*MAX(节奏总纲!D114-$E$2,0)</f>
        <v>56126.914225297354</v>
      </c>
      <c r="CF118" s="2">
        <f>INDEX($BY$8:$BY$15,MATCH(CF$7,$CB$8:$CB$15,0))*SUM(D$11:D$12)/(365/12)*MAX(节奏总纲!E114-$E$2,0)</f>
        <v>57096.96510711369</v>
      </c>
      <c r="CG118" s="2">
        <f>INDEX($BY$8:$BY$15,MATCH(CG$7,$CB$8:$CB$15,0))*SUM(E$11:E$12)/(365/12)*MAX(节奏总纲!F114-$E$2,0)</f>
        <v>75772.729715717869</v>
      </c>
      <c r="CH118" s="2">
        <f>INDEX($BY$8:$BY$15,MATCH(CH$7,$CB$8:$CB$15,0))*SUM(F$11:F$12)/(365/12)*MAX(节奏总纲!G114-$E$2,0)</f>
        <v>133688.79775039721</v>
      </c>
      <c r="CI118" s="2">
        <f>INDEX($BY$8:$BY$15,MATCH(CI$7,$CB$8:$CB$15,0))*SUM(G$11:G$12)/(365/12)*MAX(节奏总纲!H114-$E$2,0)</f>
        <v>110079.24684702845</v>
      </c>
      <c r="CJ118" s="2">
        <f>INDEX($BZ$8:$BZ$15,MATCH(CE$7,$CB$8:$CB$15,0))*SUM(C$11:C$12)/(365/12)*MAX(节奏总纲!D114-$E$2,0)</f>
        <v>2357330.3974624891</v>
      </c>
      <c r="CK118" s="2">
        <f>INDEX($BZ$8:$BZ$15,MATCH(CF$7,$CB$8:$CB$15,0))*SUM(D$11:D$12)/(365/12)*MAX(节奏总纲!E114-$E$2,0)</f>
        <v>2283878.6042845477</v>
      </c>
      <c r="CL118" s="2">
        <f>INDEX($BZ$8:$BZ$15,MATCH(CG$7,$CB$8:$CB$15,0))*SUM(E$11:E$12)/(365/12)*MAX(节奏总纲!F114-$E$2,0)</f>
        <v>2727818.2697658432</v>
      </c>
      <c r="CM118" s="2">
        <f>INDEX($BZ$8:$BZ$15,MATCH(CH$7,$CB$8:$CB$15,0))*SUM(F$11:F$12)/(365/12)*MAX(节奏总纲!G114-$E$2,0)</f>
        <v>1925118.6876057198</v>
      </c>
      <c r="CN118" s="2">
        <f>INDEX($BZ$8:$BZ$15,MATCH(CI$7,$CB$8:$CB$15,0))*SUM(G$11:G$12)/(365/12)*MAX(节奏总纲!H114-$E$2,0)</f>
        <v>990713.2216232561</v>
      </c>
      <c r="CS118" s="2">
        <v>111</v>
      </c>
      <c r="CT118" s="2">
        <f t="shared" si="91"/>
        <v>827871.98482313601</v>
      </c>
      <c r="CU118" s="2">
        <f t="shared" si="92"/>
        <v>711333.02362612472</v>
      </c>
      <c r="CV118" s="2">
        <f t="shared" si="93"/>
        <v>596710.24651127821</v>
      </c>
      <c r="CW118" s="2">
        <f t="shared" si="94"/>
        <v>501332.99156398955</v>
      </c>
      <c r="CX118" s="2">
        <f t="shared" si="95"/>
        <v>299277.95236535859</v>
      </c>
      <c r="CZ118" s="41">
        <f t="shared" si="96"/>
        <v>0.67796610169491522</v>
      </c>
      <c r="DA118" s="41">
        <f t="shared" si="97"/>
        <v>0.25423728813559321</v>
      </c>
      <c r="DB118" s="41">
        <f t="shared" si="98"/>
        <v>6.7796610169491525E-2</v>
      </c>
      <c r="DD118" s="41">
        <f t="shared" si="99"/>
        <v>0.63492063492063489</v>
      </c>
      <c r="DE118" s="41">
        <f t="shared" si="100"/>
        <v>0.23809523809523814</v>
      </c>
      <c r="DF118" s="41">
        <f t="shared" si="101"/>
        <v>0.12698412698412698</v>
      </c>
      <c r="DH118" s="41">
        <f t="shared" si="102"/>
        <v>0.45977011494252873</v>
      </c>
      <c r="DI118" s="41">
        <f t="shared" si="103"/>
        <v>0.17241379310344829</v>
      </c>
      <c r="DJ118" s="41">
        <f t="shared" si="104"/>
        <v>0.36781609195402298</v>
      </c>
      <c r="DL118" s="2">
        <f>CT118/节奏总纲!D114</f>
        <v>377.33590891648254</v>
      </c>
      <c r="DM118" s="2">
        <f>CU118/节奏总纲!E114</f>
        <v>380.58292817652955</v>
      </c>
      <c r="DN118" s="2">
        <f>CV118/节奏总纲!F114</f>
        <v>397.68191544157133</v>
      </c>
      <c r="DO118" s="2">
        <f>CW118/节奏总纲!G114</f>
        <v>465.66669484392139</v>
      </c>
      <c r="DP118" s="2">
        <f>CX118/节奏总纲!H114</f>
        <v>513.19769532666271</v>
      </c>
      <c r="DR118" s="2">
        <f t="shared" si="105"/>
        <v>1.0086051159810652</v>
      </c>
      <c r="DS118" s="2">
        <f t="shared" si="106"/>
        <v>1.0539201439468409</v>
      </c>
      <c r="DT118" s="2">
        <f t="shared" si="107"/>
        <v>1.2340905910096924</v>
      </c>
      <c r="DU118" s="2">
        <f t="shared" si="108"/>
        <v>1.3600552801886954</v>
      </c>
      <c r="DY118" s="2">
        <v>111</v>
      </c>
      <c r="DZ118" s="2">
        <f t="shared" si="77"/>
        <v>19532166.150403477</v>
      </c>
      <c r="EA118" s="2">
        <f t="shared" si="78"/>
        <v>16843604.706598539</v>
      </c>
      <c r="EB118" s="2">
        <f t="shared" si="79"/>
        <v>14321045.916270677</v>
      </c>
      <c r="EC118" s="2">
        <f t="shared" si="80"/>
        <v>10106873.109930029</v>
      </c>
      <c r="ED118" s="2">
        <f t="shared" si="81"/>
        <v>5201244.4135220945</v>
      </c>
      <c r="EF118" s="57">
        <f t="shared" si="82"/>
        <v>0.62068965517241381</v>
      </c>
      <c r="EG118" s="57">
        <f t="shared" si="83"/>
        <v>0.25862068965517249</v>
      </c>
      <c r="EH118" s="41">
        <f t="shared" si="84"/>
        <v>0.12068965517241381</v>
      </c>
      <c r="EJ118" s="57">
        <f t="shared" si="85"/>
        <v>0.5714285714285714</v>
      </c>
      <c r="EK118" s="57">
        <f t="shared" si="86"/>
        <v>0.23809523809523811</v>
      </c>
      <c r="EL118" s="41">
        <f t="shared" si="87"/>
        <v>0.19047619047619047</v>
      </c>
      <c r="EN118" s="57">
        <f t="shared" si="88"/>
        <v>0.5714285714285714</v>
      </c>
      <c r="EO118" s="57">
        <f t="shared" si="89"/>
        <v>0.23809523809523814</v>
      </c>
      <c r="EP118" s="41">
        <f t="shared" si="90"/>
        <v>0.19047619047619047</v>
      </c>
    </row>
    <row r="119" spans="20:146" x14ac:dyDescent="0.15">
      <c r="T119" s="2">
        <v>112</v>
      </c>
      <c r="U119" s="2">
        <f>$N$8*SUM(C$11:C$12)/(365/12)*MAX(节奏总纲!D115-$E$2,0)</f>
        <v>48216.391491343966</v>
      </c>
      <c r="V119" s="2">
        <f>$N$8*SUM(D$11:D$12)/(365/12)*MAX(节奏总纲!E115-$E$2,0)</f>
        <v>40918.260047740594</v>
      </c>
      <c r="W119" s="2">
        <f>$N$8*SUM(E$11:E$12)/(365/12)*MAX(节奏总纲!F115-$E$2,0)</f>
        <v>32600.864144894989</v>
      </c>
      <c r="X119" s="2">
        <f>$N$8*SUM(F$11:F$12)/(365/12)*MAX(节奏总纲!G115-$E$2,0)</f>
        <v>23046.49681093017</v>
      </c>
      <c r="Y119" s="2">
        <f>$N$8*SUM(G$11:G$12)/(365/12)*MAX(节奏总纲!H115-$E$2,0)</f>
        <v>11849.431416439029</v>
      </c>
      <c r="Z119" s="2">
        <f>$O$8*SUM(C$11:C$12)/(365/12)*MAX(节奏总纲!D115-$E$2,0)</f>
        <v>482163.91491343966</v>
      </c>
      <c r="AA119" s="2">
        <f>$O$8*SUM(D$11:D$12)/(365/12)*MAX(节奏总纲!E115-$E$2,0)</f>
        <v>409182.600477406</v>
      </c>
      <c r="AB119" s="2">
        <f>$O$8*SUM(E$11:E$12)/(365/12)*MAX(节奏总纲!F115-$E$2,0)</f>
        <v>326008.64144894987</v>
      </c>
      <c r="AC119" s="2">
        <f>$O$8*SUM(F$11:F$12)/(365/12)*MAX(节奏总纲!G115-$E$2,0)</f>
        <v>230464.9681093017</v>
      </c>
      <c r="AD119" s="2">
        <f>$O$8*SUM(G$11:G$12)/(365/12)*MAX(节奏总纲!H115-$E$2,0)</f>
        <v>118494.31416439029</v>
      </c>
      <c r="AE119" s="2">
        <f>$Q$8*SUM(C$11:C$12)/(365/12)*MAX(节奏总纲!D115-$E$2,0)</f>
        <v>602704.89364179957</v>
      </c>
      <c r="AF119" s="2">
        <f>$Q$8*SUM(D$11:D$12)/(365/12)*MAX(节奏总纲!E115-$E$2,0)</f>
        <v>511478.25059675745</v>
      </c>
      <c r="AG119" s="2">
        <f>$Q$8*SUM(E$11:E$12)/(365/12)*MAX(节奏总纲!F115-$E$2,0)</f>
        <v>407510.80181118735</v>
      </c>
      <c r="AH119" s="2">
        <f>$Q$8*SUM(F$11:F$12)/(365/12)*MAX(节奏总纲!G115-$E$2,0)</f>
        <v>288081.21013662708</v>
      </c>
      <c r="AI119" s="2">
        <f>$Q$8*SUM(G$11:G$12)/(365/12)*MAX(节奏总纲!H115-$E$2,0)</f>
        <v>148117.89270548784</v>
      </c>
      <c r="AJ119" s="2">
        <f>$P$8*SUM(C$11:C$12)/(365/12)*MAX(节奏总纲!D115-$E$2,0)</f>
        <v>13018425.70266287</v>
      </c>
      <c r="AK119" s="2">
        <f>$P$8*SUM(D$11:D$12)/(365/12)*MAX(节奏总纲!E115-$E$2,0)</f>
        <v>11047930.21288996</v>
      </c>
      <c r="AL119" s="2">
        <f>$P$8*SUM(E$11:E$12)/(365/12)*MAX(节奏总纲!F115-$E$2,0)</f>
        <v>8802233.3191216476</v>
      </c>
      <c r="AM119" s="2">
        <f>$P$8*SUM(F$11:F$12)/(365/12)*MAX(节奏总纲!G115-$E$2,0)</f>
        <v>6222554.1389511451</v>
      </c>
      <c r="AN119" s="2">
        <f>$P$8*SUM(G$11:G$12)/(365/12)*MAX(节奏总纲!H115-$E$2,0)</f>
        <v>3199346.4824385378</v>
      </c>
      <c r="BC119" s="2">
        <v>112</v>
      </c>
      <c r="BD119" s="2">
        <f>$AZ$8/(365/12)*MAX(节奏总纲!D115-$E$2,0)</f>
        <v>226014.33511567485</v>
      </c>
      <c r="BE119" s="2">
        <f>$AZ$8/(365/12)*MAX(节奏总纲!E115-$E$2,0)</f>
        <v>191804.34397378407</v>
      </c>
      <c r="BF119" s="2">
        <f>$AZ$8/(365/12)*MAX(节奏总纲!F115-$E$2,0)</f>
        <v>152816.55067919526</v>
      </c>
      <c r="BG119" s="2">
        <f>$AZ$8/(365/12)*MAX(节奏总纲!G115-$E$2,0)</f>
        <v>108030.45380123517</v>
      </c>
      <c r="BH119" s="2">
        <f>$AZ$8/(365/12)*MAX(节奏总纲!H115-$E$2,0)</f>
        <v>55544.209764557949</v>
      </c>
      <c r="BI119" s="2">
        <f>$AY$8/(365/12)*MAX(节奏总纲!D115-$E$2,0)</f>
        <v>5424344.0427761963</v>
      </c>
      <c r="BJ119" s="2">
        <f>$AY$8/(365/12)*MAX(节奏总纲!E115-$E$2,0)</f>
        <v>4603304.2553708171</v>
      </c>
      <c r="BK119" s="2">
        <f>$AY$8/(365/12)*MAX(节奏总纲!F115-$E$2,0)</f>
        <v>3667597.2163006864</v>
      </c>
      <c r="BL119" s="2">
        <f>$AY$8/(365/12)*MAX(节奏总纲!G115-$E$2,0)</f>
        <v>2592730.891229644</v>
      </c>
      <c r="BM119" s="2">
        <f>$AY$8/(365/12)*MAX(节奏总纲!H115-$E$2,0)</f>
        <v>1333061.0343493908</v>
      </c>
      <c r="CD119" s="2">
        <v>112</v>
      </c>
      <c r="CE119" s="2">
        <f>INDEX($BY$8:$BY$15,MATCH(CE$7,$CB$8:$CB$15,0))*SUM(C$11:C$12)/(365/12)*MAX(节奏总纲!D115-$E$2,0)</f>
        <v>60270.489364179957</v>
      </c>
      <c r="CF119" s="2">
        <f>INDEX($BY$8:$BY$15,MATCH(CF$7,$CB$8:$CB$15,0))*SUM(D$11:D$12)/(365/12)*MAX(节奏总纲!E115-$E$2,0)</f>
        <v>61377.390071610898</v>
      </c>
      <c r="CG119" s="2">
        <f>INDEX($BY$8:$BY$15,MATCH(CG$7,$CB$8:$CB$15,0))*SUM(E$11:E$12)/(365/12)*MAX(节奏总纲!F115-$E$2,0)</f>
        <v>81502.160362237468</v>
      </c>
      <c r="CH119" s="2">
        <f>INDEX($BY$8:$BY$15,MATCH(CH$7,$CB$8:$CB$15,0))*SUM(F$11:F$12)/(365/12)*MAX(节奏总纲!G115-$E$2,0)</f>
        <v>144040.60506831354</v>
      </c>
      <c r="CI119" s="2">
        <f>INDEX($BY$8:$BY$15,MATCH(CI$7,$CB$8:$CB$15,0))*SUM(G$11:G$12)/(365/12)*MAX(节奏总纲!H115-$E$2,0)</f>
        <v>118494.31416439029</v>
      </c>
      <c r="CJ119" s="2">
        <f>INDEX($BZ$8:$BZ$15,MATCH(CE$7,$CB$8:$CB$15,0))*SUM(C$11:C$12)/(365/12)*MAX(节奏总纲!D115-$E$2,0)</f>
        <v>2531360.5532955583</v>
      </c>
      <c r="CK119" s="2">
        <f>INDEX($BZ$8:$BZ$15,MATCH(CF$7,$CB$8:$CB$15,0))*SUM(D$11:D$12)/(365/12)*MAX(节奏总纲!E115-$E$2,0)</f>
        <v>2455095.6028644359</v>
      </c>
      <c r="CL119" s="2">
        <f>INDEX($BZ$8:$BZ$15,MATCH(CG$7,$CB$8:$CB$15,0))*SUM(E$11:E$12)/(365/12)*MAX(节奏总纲!F115-$E$2,0)</f>
        <v>2934077.7730405489</v>
      </c>
      <c r="CM119" s="2">
        <f>INDEX($BZ$8:$BZ$15,MATCH(CH$7,$CB$8:$CB$15,0))*SUM(F$11:F$12)/(365/12)*MAX(节奏总纲!G115-$E$2,0)</f>
        <v>2074184.7129837151</v>
      </c>
      <c r="CN119" s="2">
        <f>INDEX($BZ$8:$BZ$15,MATCH(CI$7,$CB$8:$CB$15,0))*SUM(G$11:G$12)/(365/12)*MAX(节奏总纲!H115-$E$2,0)</f>
        <v>1066448.8274795127</v>
      </c>
      <c r="CS119" s="2">
        <v>112</v>
      </c>
      <c r="CT119" s="2">
        <f t="shared" si="91"/>
        <v>888989.71812165435</v>
      </c>
      <c r="CU119" s="2">
        <f t="shared" si="92"/>
        <v>764659.98464215244</v>
      </c>
      <c r="CV119" s="2">
        <f t="shared" si="93"/>
        <v>641829.5128526201</v>
      </c>
      <c r="CW119" s="2">
        <f t="shared" si="94"/>
        <v>540152.2690061758</v>
      </c>
      <c r="CX119" s="2">
        <f t="shared" si="95"/>
        <v>322156.41663443611</v>
      </c>
      <c r="CZ119" s="41">
        <f t="shared" si="96"/>
        <v>0.67796610169491522</v>
      </c>
      <c r="DA119" s="41">
        <f t="shared" si="97"/>
        <v>0.25423728813559326</v>
      </c>
      <c r="DB119" s="41">
        <f t="shared" si="98"/>
        <v>6.7796610169491525E-2</v>
      </c>
      <c r="DD119" s="41">
        <f t="shared" si="99"/>
        <v>0.63492063492063489</v>
      </c>
      <c r="DE119" s="41">
        <f t="shared" si="100"/>
        <v>0.23809523809523811</v>
      </c>
      <c r="DF119" s="41">
        <f t="shared" si="101"/>
        <v>0.12698412698412698</v>
      </c>
      <c r="DH119" s="41">
        <f t="shared" si="102"/>
        <v>0.45977011494252867</v>
      </c>
      <c r="DI119" s="41">
        <f t="shared" si="103"/>
        <v>0.17241379310344826</v>
      </c>
      <c r="DJ119" s="41">
        <f t="shared" si="104"/>
        <v>0.36781609195402298</v>
      </c>
      <c r="DL119" s="2">
        <f>CT119/节奏总纲!D115</f>
        <v>378.046683900826</v>
      </c>
      <c r="DM119" s="2">
        <f>CU119/节奏总纲!E115</f>
        <v>381.43687086511034</v>
      </c>
      <c r="DN119" s="2">
        <f>CV119/节奏总纲!F115</f>
        <v>398.80296373032888</v>
      </c>
      <c r="DO119" s="2">
        <f>CW119/节奏总纲!G115</f>
        <v>467.53931425471524</v>
      </c>
      <c r="DP119" s="2">
        <f>CX119/节奏总纲!H115</f>
        <v>516.97507738972183</v>
      </c>
      <c r="DR119" s="2">
        <f t="shared" si="105"/>
        <v>1.0089676410577211</v>
      </c>
      <c r="DS119" s="2">
        <f t="shared" si="106"/>
        <v>1.0549040124233651</v>
      </c>
      <c r="DT119" s="2">
        <f t="shared" si="107"/>
        <v>1.2367237544063898</v>
      </c>
      <c r="DU119" s="2">
        <f t="shared" si="108"/>
        <v>1.3674900466137703</v>
      </c>
      <c r="DY119" s="2">
        <v>112</v>
      </c>
      <c r="DZ119" s="2">
        <f t="shared" si="77"/>
        <v>20974130.298734628</v>
      </c>
      <c r="EA119" s="2">
        <f t="shared" si="78"/>
        <v>18106330.071125213</v>
      </c>
      <c r="EB119" s="2">
        <f t="shared" si="79"/>
        <v>15403908.308462884</v>
      </c>
      <c r="EC119" s="2">
        <f t="shared" si="80"/>
        <v>10889469.743164504</v>
      </c>
      <c r="ED119" s="2">
        <f t="shared" si="81"/>
        <v>5598856.344267441</v>
      </c>
      <c r="EF119" s="57">
        <f t="shared" si="82"/>
        <v>0.6206896551724137</v>
      </c>
      <c r="EG119" s="57">
        <f t="shared" si="83"/>
        <v>0.25862068965517238</v>
      </c>
      <c r="EH119" s="41">
        <f t="shared" si="84"/>
        <v>0.12068965517241378</v>
      </c>
      <c r="EJ119" s="57">
        <f t="shared" si="85"/>
        <v>0.5714285714285714</v>
      </c>
      <c r="EK119" s="57">
        <f t="shared" si="86"/>
        <v>0.23809523809523808</v>
      </c>
      <c r="EL119" s="41">
        <f t="shared" si="87"/>
        <v>0.19047619047619044</v>
      </c>
      <c r="EN119" s="57">
        <f t="shared" si="88"/>
        <v>0.5714285714285714</v>
      </c>
      <c r="EO119" s="57">
        <f t="shared" si="89"/>
        <v>0.23809523809523811</v>
      </c>
      <c r="EP119" s="41">
        <f t="shared" si="90"/>
        <v>0.19047619047619049</v>
      </c>
    </row>
    <row r="120" spans="20:146" x14ac:dyDescent="0.15">
      <c r="T120" s="2">
        <v>113</v>
      </c>
      <c r="U120" s="2">
        <f>$N$8*SUM(C$11:C$12)/(365/12)*MAX(节奏总纲!D116-$E$2,0)</f>
        <v>51769.170590447626</v>
      </c>
      <c r="V120" s="2">
        <f>$N$8*SUM(D$11:D$12)/(365/12)*MAX(节奏总纲!E116-$E$2,0)</f>
        <v>43968.216884264009</v>
      </c>
      <c r="W120" s="2">
        <f>$N$8*SUM(E$11:E$12)/(365/12)*MAX(节奏总纲!F116-$E$2,0)</f>
        <v>35069.508305762247</v>
      </c>
      <c r="X120" s="2">
        <f>$N$8*SUM(F$11:F$12)/(365/12)*MAX(节奏总纲!G116-$E$2,0)</f>
        <v>24738.945545975923</v>
      </c>
      <c r="Y120" s="2">
        <f>$N$8*SUM(G$11:G$12)/(365/12)*MAX(节奏总纲!H116-$E$2,0)</f>
        <v>12743.189404992012</v>
      </c>
      <c r="Z120" s="2">
        <f>$O$8*SUM(C$11:C$12)/(365/12)*MAX(节奏总纲!D116-$E$2,0)</f>
        <v>517691.70590447629</v>
      </c>
      <c r="AA120" s="2">
        <f>$O$8*SUM(D$11:D$12)/(365/12)*MAX(节奏总纲!E116-$E$2,0)</f>
        <v>439682.16884264012</v>
      </c>
      <c r="AB120" s="2">
        <f>$O$8*SUM(E$11:E$12)/(365/12)*MAX(节奏总纲!F116-$E$2,0)</f>
        <v>350695.08305762243</v>
      </c>
      <c r="AC120" s="2">
        <f>$O$8*SUM(F$11:F$12)/(365/12)*MAX(节奏总纲!G116-$E$2,0)</f>
        <v>247389.45545975925</v>
      </c>
      <c r="AD120" s="2">
        <f>$O$8*SUM(G$11:G$12)/(365/12)*MAX(节奏总纲!H116-$E$2,0)</f>
        <v>127431.89404992013</v>
      </c>
      <c r="AE120" s="2">
        <f>$Q$8*SUM(C$11:C$12)/(365/12)*MAX(节奏总纲!D116-$E$2,0)</f>
        <v>647114.63238059531</v>
      </c>
      <c r="AF120" s="2">
        <f>$Q$8*SUM(D$11:D$12)/(365/12)*MAX(节奏总纲!E116-$E$2,0)</f>
        <v>549602.71105330007</v>
      </c>
      <c r="AG120" s="2">
        <f>$Q$8*SUM(E$11:E$12)/(365/12)*MAX(节奏总纲!F116-$E$2,0)</f>
        <v>438368.85382202803</v>
      </c>
      <c r="AH120" s="2">
        <f>$Q$8*SUM(F$11:F$12)/(365/12)*MAX(节奏总纲!G116-$E$2,0)</f>
        <v>309236.81932469906</v>
      </c>
      <c r="AI120" s="2">
        <f>$Q$8*SUM(G$11:G$12)/(365/12)*MAX(节奏总纲!H116-$E$2,0)</f>
        <v>159289.86756240015</v>
      </c>
      <c r="AJ120" s="2">
        <f>$P$8*SUM(C$11:C$12)/(365/12)*MAX(节奏总纲!D116-$E$2,0)</f>
        <v>13977676.059420859</v>
      </c>
      <c r="AK120" s="2">
        <f>$P$8*SUM(D$11:D$12)/(365/12)*MAX(节奏总纲!E116-$E$2,0)</f>
        <v>11871418.558751283</v>
      </c>
      <c r="AL120" s="2">
        <f>$P$8*SUM(E$11:E$12)/(365/12)*MAX(节奏总纲!F116-$E$2,0)</f>
        <v>9468767.2425558064</v>
      </c>
      <c r="AM120" s="2">
        <f>$P$8*SUM(F$11:F$12)/(365/12)*MAX(节奏总纲!G116-$E$2,0)</f>
        <v>6679515.2974134991</v>
      </c>
      <c r="AN120" s="2">
        <f>$P$8*SUM(G$11:G$12)/(365/12)*MAX(节奏总纲!H116-$E$2,0)</f>
        <v>3440661.1393478434</v>
      </c>
      <c r="BC120" s="2">
        <v>113</v>
      </c>
      <c r="BD120" s="2">
        <f>$AZ$8/(365/12)*MAX(节奏总纲!D116-$E$2,0)</f>
        <v>242667.98714272326</v>
      </c>
      <c r="BE120" s="2">
        <f>$AZ$8/(365/12)*MAX(节奏总纲!E116-$E$2,0)</f>
        <v>206101.01664498757</v>
      </c>
      <c r="BF120" s="2">
        <f>$AZ$8/(365/12)*MAX(节奏总纲!F116-$E$2,0)</f>
        <v>164388.32018326054</v>
      </c>
      <c r="BG120" s="2">
        <f>$AZ$8/(365/12)*MAX(节奏总纲!G116-$E$2,0)</f>
        <v>115963.80724676215</v>
      </c>
      <c r="BH120" s="2">
        <f>$AZ$8/(365/12)*MAX(节奏总纲!H116-$E$2,0)</f>
        <v>59733.700335900059</v>
      </c>
      <c r="BI120" s="2">
        <f>$AY$8/(365/12)*MAX(节奏总纲!D116-$E$2,0)</f>
        <v>5824031.6914253579</v>
      </c>
      <c r="BJ120" s="2">
        <f>$AY$8/(365/12)*MAX(节奏总纲!E116-$E$2,0)</f>
        <v>4946424.3994797021</v>
      </c>
      <c r="BK120" s="2">
        <f>$AY$8/(365/12)*MAX(节奏总纲!F116-$E$2,0)</f>
        <v>3945319.684398253</v>
      </c>
      <c r="BL120" s="2">
        <f>$AY$8/(365/12)*MAX(节奏总纲!G116-$E$2,0)</f>
        <v>2783131.3739222917</v>
      </c>
      <c r="BM120" s="2">
        <f>$AY$8/(365/12)*MAX(节奏总纲!H116-$E$2,0)</f>
        <v>1433608.8080616016</v>
      </c>
      <c r="CD120" s="2">
        <v>113</v>
      </c>
      <c r="CE120" s="2">
        <f>INDEX($BY$8:$BY$15,MATCH(CE$7,$CB$8:$CB$15,0))*SUM(C$11:C$12)/(365/12)*MAX(节奏总纲!D116-$E$2,0)</f>
        <v>64711.463238059536</v>
      </c>
      <c r="CF120" s="2">
        <f>INDEX($BY$8:$BY$15,MATCH(CF$7,$CB$8:$CB$15,0))*SUM(D$11:D$12)/(365/12)*MAX(节奏总纲!E116-$E$2,0)</f>
        <v>65952.325326396021</v>
      </c>
      <c r="CG120" s="2">
        <f>INDEX($BY$8:$BY$15,MATCH(CG$7,$CB$8:$CB$15,0))*SUM(E$11:E$12)/(365/12)*MAX(节奏总纲!F116-$E$2,0)</f>
        <v>87673.770764405606</v>
      </c>
      <c r="CH120" s="2">
        <f>INDEX($BY$8:$BY$15,MATCH(CH$7,$CB$8:$CB$15,0))*SUM(F$11:F$12)/(365/12)*MAX(节奏总纲!G116-$E$2,0)</f>
        <v>154618.40966234953</v>
      </c>
      <c r="CI120" s="2">
        <f>INDEX($BY$8:$BY$15,MATCH(CI$7,$CB$8:$CB$15,0))*SUM(G$11:G$12)/(365/12)*MAX(节奏总纲!H116-$E$2,0)</f>
        <v>127431.89404992013</v>
      </c>
      <c r="CJ120" s="2">
        <f>INDEX($BZ$8:$BZ$15,MATCH(CE$7,$CB$8:$CB$15,0))*SUM(C$11:C$12)/(365/12)*MAX(节奏总纲!D116-$E$2,0)</f>
        <v>2717881.4559985003</v>
      </c>
      <c r="CK120" s="2">
        <f>INDEX($BZ$8:$BZ$15,MATCH(CF$7,$CB$8:$CB$15,0))*SUM(D$11:D$12)/(365/12)*MAX(节奏总纲!E116-$E$2,0)</f>
        <v>2638093.013055841</v>
      </c>
      <c r="CL120" s="2">
        <f>INDEX($BZ$8:$BZ$15,MATCH(CG$7,$CB$8:$CB$15,0))*SUM(E$11:E$12)/(365/12)*MAX(节奏总纲!F116-$E$2,0)</f>
        <v>3156255.7475186018</v>
      </c>
      <c r="CM120" s="2">
        <f>INDEX($BZ$8:$BZ$15,MATCH(CH$7,$CB$8:$CB$15,0))*SUM(F$11:F$12)/(365/12)*MAX(节奏总纲!G116-$E$2,0)</f>
        <v>2226505.0991378333</v>
      </c>
      <c r="CN120" s="2">
        <f>INDEX($BZ$8:$BZ$15,MATCH(CI$7,$CB$8:$CB$15,0))*SUM(G$11:G$12)/(365/12)*MAX(节奏总纲!H116-$E$2,0)</f>
        <v>1146887.046449281</v>
      </c>
      <c r="CS120" s="2">
        <v>113</v>
      </c>
      <c r="CT120" s="2">
        <f t="shared" si="91"/>
        <v>954494.08276137814</v>
      </c>
      <c r="CU120" s="2">
        <f t="shared" si="92"/>
        <v>821656.05302468373</v>
      </c>
      <c r="CV120" s="2">
        <f t="shared" si="93"/>
        <v>690430.94476969424</v>
      </c>
      <c r="CW120" s="2">
        <f t="shared" si="94"/>
        <v>579819.03623381071</v>
      </c>
      <c r="CX120" s="2">
        <f t="shared" si="95"/>
        <v>346455.46194822033</v>
      </c>
      <c r="CZ120" s="41">
        <f t="shared" si="96"/>
        <v>0.67796610169491522</v>
      </c>
      <c r="DA120" s="41">
        <f t="shared" si="97"/>
        <v>0.25423728813559321</v>
      </c>
      <c r="DB120" s="41">
        <f t="shared" si="98"/>
        <v>6.7796610169491525E-2</v>
      </c>
      <c r="DD120" s="41">
        <f t="shared" si="99"/>
        <v>0.63492063492063489</v>
      </c>
      <c r="DE120" s="41">
        <f t="shared" si="100"/>
        <v>0.23809523809523811</v>
      </c>
      <c r="DF120" s="41">
        <f t="shared" si="101"/>
        <v>0.12698412698412698</v>
      </c>
      <c r="DH120" s="41">
        <f t="shared" si="102"/>
        <v>0.45977011494252873</v>
      </c>
      <c r="DI120" s="41">
        <f t="shared" si="103"/>
        <v>0.17241379310344829</v>
      </c>
      <c r="DJ120" s="41">
        <f t="shared" si="104"/>
        <v>0.36781609195402298</v>
      </c>
      <c r="DL120" s="2">
        <f>CT120/节奏总纲!D116</f>
        <v>378.7098212844914</v>
      </c>
      <c r="DM120" s="2">
        <f>CU120/节奏总纲!E116</f>
        <v>382.23044164766162</v>
      </c>
      <c r="DN120" s="2">
        <f>CV120/节奏总纲!F116</f>
        <v>399.85230890400146</v>
      </c>
      <c r="DO120" s="2">
        <f>CW120/节奏总纲!G116</f>
        <v>469.20637499251927</v>
      </c>
      <c r="DP120" s="2">
        <f>CX120/节奏总纲!H116</f>
        <v>520.48993882505647</v>
      </c>
      <c r="DR120" s="2">
        <f t="shared" si="105"/>
        <v>1.0092963534751467</v>
      </c>
      <c r="DS120" s="2">
        <f t="shared" si="106"/>
        <v>1.0558276718248285</v>
      </c>
      <c r="DT120" s="2">
        <f t="shared" si="107"/>
        <v>1.238960144738485</v>
      </c>
      <c r="DU120" s="2">
        <f t="shared" si="108"/>
        <v>1.3743766587823929</v>
      </c>
      <c r="DY120" s="2">
        <v>113</v>
      </c>
      <c r="DZ120" s="2">
        <f t="shared" si="77"/>
        <v>22519589.206844717</v>
      </c>
      <c r="EA120" s="2">
        <f t="shared" si="78"/>
        <v>19455935.97128683</v>
      </c>
      <c r="EB120" s="2">
        <f t="shared" si="79"/>
        <v>16570342.67447266</v>
      </c>
      <c r="EC120" s="2">
        <f t="shared" si="80"/>
        <v>11689151.770473624</v>
      </c>
      <c r="ED120" s="2">
        <f t="shared" si="81"/>
        <v>6021156.9938587267</v>
      </c>
      <c r="EF120" s="57">
        <f t="shared" si="82"/>
        <v>0.62068965517241381</v>
      </c>
      <c r="EG120" s="57">
        <f t="shared" si="83"/>
        <v>0.25862068965517243</v>
      </c>
      <c r="EH120" s="41">
        <f t="shared" si="84"/>
        <v>0.1206896551724138</v>
      </c>
      <c r="EJ120" s="57">
        <f t="shared" si="85"/>
        <v>0.57142857142857151</v>
      </c>
      <c r="EK120" s="57">
        <f t="shared" si="86"/>
        <v>0.23809523809523814</v>
      </c>
      <c r="EL120" s="41">
        <f t="shared" si="87"/>
        <v>0.19047619047619047</v>
      </c>
      <c r="EN120" s="57">
        <f t="shared" si="88"/>
        <v>0.5714285714285714</v>
      </c>
      <c r="EO120" s="57">
        <f t="shared" si="89"/>
        <v>0.23809523809523808</v>
      </c>
      <c r="EP120" s="41">
        <f t="shared" si="90"/>
        <v>0.19047619047619044</v>
      </c>
    </row>
    <row r="121" spans="20:146" x14ac:dyDescent="0.15">
      <c r="T121" s="2">
        <v>114</v>
      </c>
      <c r="U121" s="2">
        <f>$N$8*SUM(C$11:C$12)/(365/12)*MAX(节奏总纲!D117-$E$2,0)</f>
        <v>55576.944947120486</v>
      </c>
      <c r="V121" s="2">
        <f>$N$8*SUM(D$11:D$12)/(365/12)*MAX(节奏总纲!E117-$E$2,0)</f>
        <v>47227.235515210406</v>
      </c>
      <c r="W121" s="2">
        <f>$N$8*SUM(E$11:E$12)/(365/12)*MAX(节奏总纲!F117-$E$2,0)</f>
        <v>37587.271460397948</v>
      </c>
      <c r="X121" s="2">
        <f>$N$8*SUM(F$11:F$12)/(365/12)*MAX(节奏总纲!G117-$E$2,0)</f>
        <v>26497.902432721592</v>
      </c>
      <c r="Y121" s="2">
        <f>$N$8*SUM(G$11:G$12)/(365/12)*MAX(节奏总纲!H117-$E$2,0)</f>
        <v>13697.667142958824</v>
      </c>
      <c r="Z121" s="2">
        <f>$O$8*SUM(C$11:C$12)/(365/12)*MAX(节奏总纲!D117-$E$2,0)</f>
        <v>555769.44947120489</v>
      </c>
      <c r="AA121" s="2">
        <f>$O$8*SUM(D$11:D$12)/(365/12)*MAX(节奏总纲!E117-$E$2,0)</f>
        <v>472272.35515210405</v>
      </c>
      <c r="AB121" s="2">
        <f>$O$8*SUM(E$11:E$12)/(365/12)*MAX(节奏总纲!F117-$E$2,0)</f>
        <v>375872.71460397943</v>
      </c>
      <c r="AC121" s="2">
        <f>$O$8*SUM(F$11:F$12)/(365/12)*MAX(节奏总纲!G117-$E$2,0)</f>
        <v>264979.02432721591</v>
      </c>
      <c r="AD121" s="2">
        <f>$O$8*SUM(G$11:G$12)/(365/12)*MAX(节奏总纲!H117-$E$2,0)</f>
        <v>136976.67142958823</v>
      </c>
      <c r="AE121" s="2">
        <f>$Q$8*SUM(C$11:C$12)/(365/12)*MAX(节奏总纲!D117-$E$2,0)</f>
        <v>694711.81183900603</v>
      </c>
      <c r="AF121" s="2">
        <f>$Q$8*SUM(D$11:D$12)/(365/12)*MAX(节奏总纲!E117-$E$2,0)</f>
        <v>590340.44394013006</v>
      </c>
      <c r="AG121" s="2">
        <f>$Q$8*SUM(E$11:E$12)/(365/12)*MAX(节奏总纲!F117-$E$2,0)</f>
        <v>469840.89325497427</v>
      </c>
      <c r="AH121" s="2">
        <f>$Q$8*SUM(F$11:F$12)/(365/12)*MAX(节奏总纲!G117-$E$2,0)</f>
        <v>331223.78040901985</v>
      </c>
      <c r="AI121" s="2">
        <f>$Q$8*SUM(G$11:G$12)/(365/12)*MAX(节奏总纲!H117-$E$2,0)</f>
        <v>171220.83928698528</v>
      </c>
      <c r="AJ121" s="2">
        <f>$P$8*SUM(C$11:C$12)/(365/12)*MAX(节奏总纲!D117-$E$2,0)</f>
        <v>15005775.135722531</v>
      </c>
      <c r="AK121" s="2">
        <f>$P$8*SUM(D$11:D$12)/(365/12)*MAX(节奏总纲!E117-$E$2,0)</f>
        <v>12751353.589106809</v>
      </c>
      <c r="AL121" s="2">
        <f>$P$8*SUM(E$11:E$12)/(365/12)*MAX(节奏总纲!F117-$E$2,0)</f>
        <v>10148563.294307444</v>
      </c>
      <c r="AM121" s="2">
        <f>$P$8*SUM(F$11:F$12)/(365/12)*MAX(节奏总纲!G117-$E$2,0)</f>
        <v>7154433.6568348296</v>
      </c>
      <c r="AN121" s="2">
        <f>$P$8*SUM(G$11:G$12)/(365/12)*MAX(节奏总纲!H117-$E$2,0)</f>
        <v>3698370.1285988824</v>
      </c>
      <c r="BC121" s="2">
        <v>114</v>
      </c>
      <c r="BD121" s="2">
        <f>$AZ$8/(365/12)*MAX(节奏总纲!D117-$E$2,0)</f>
        <v>260516.92943962727</v>
      </c>
      <c r="BE121" s="2">
        <f>$AZ$8/(365/12)*MAX(节奏总纲!E117-$E$2,0)</f>
        <v>221377.66647754877</v>
      </c>
      <c r="BF121" s="2">
        <f>$AZ$8/(365/12)*MAX(节奏总纲!F117-$E$2,0)</f>
        <v>176190.33497061537</v>
      </c>
      <c r="BG121" s="2">
        <f>$AZ$8/(365/12)*MAX(节奏总纲!G117-$E$2,0)</f>
        <v>124208.91765338246</v>
      </c>
      <c r="BH121" s="2">
        <f>$AZ$8/(365/12)*MAX(节奏总纲!H117-$E$2,0)</f>
        <v>64207.814732619488</v>
      </c>
      <c r="BI121" s="2">
        <f>$AY$8/(365/12)*MAX(节奏总纲!D117-$E$2,0)</f>
        <v>6252406.3065510551</v>
      </c>
      <c r="BJ121" s="2">
        <f>$AY$8/(365/12)*MAX(节奏总纲!E117-$E$2,0)</f>
        <v>5313063.9954611706</v>
      </c>
      <c r="BK121" s="2">
        <f>$AY$8/(365/12)*MAX(节奏总纲!F117-$E$2,0)</f>
        <v>4228568.0392947691</v>
      </c>
      <c r="BL121" s="2">
        <f>$AY$8/(365/12)*MAX(节奏总纲!G117-$E$2,0)</f>
        <v>2981014.0236811792</v>
      </c>
      <c r="BM121" s="2">
        <f>$AY$8/(365/12)*MAX(节奏总纲!H117-$E$2,0)</f>
        <v>1540987.5535828678</v>
      </c>
      <c r="CD121" s="2">
        <v>114</v>
      </c>
      <c r="CE121" s="2">
        <f>INDEX($BY$8:$BY$15,MATCH(CE$7,$CB$8:$CB$15,0))*SUM(C$11:C$12)/(365/12)*MAX(节奏总纲!D117-$E$2,0)</f>
        <v>69471.181183900611</v>
      </c>
      <c r="CF121" s="2">
        <f>INDEX($BY$8:$BY$15,MATCH(CF$7,$CB$8:$CB$15,0))*SUM(D$11:D$12)/(365/12)*MAX(节奏总纲!E117-$E$2,0)</f>
        <v>70840.853272815613</v>
      </c>
      <c r="CG121" s="2">
        <f>INDEX($BY$8:$BY$15,MATCH(CG$7,$CB$8:$CB$15,0))*SUM(E$11:E$12)/(365/12)*MAX(节奏总纲!F117-$E$2,0)</f>
        <v>93968.178650994858</v>
      </c>
      <c r="CH121" s="2">
        <f>INDEX($BY$8:$BY$15,MATCH(CH$7,$CB$8:$CB$15,0))*SUM(F$11:F$12)/(365/12)*MAX(节奏总纲!G117-$E$2,0)</f>
        <v>165611.89020450992</v>
      </c>
      <c r="CI121" s="2">
        <f>INDEX($BY$8:$BY$15,MATCH(CI$7,$CB$8:$CB$15,0))*SUM(G$11:G$12)/(365/12)*MAX(节奏总纲!H117-$E$2,0)</f>
        <v>136976.67142958823</v>
      </c>
      <c r="CJ121" s="2">
        <f>INDEX($BZ$8:$BZ$15,MATCH(CE$7,$CB$8:$CB$15,0))*SUM(C$11:C$12)/(365/12)*MAX(节奏总纲!D117-$E$2,0)</f>
        <v>2917789.6097238255</v>
      </c>
      <c r="CK121" s="2">
        <f>INDEX($BZ$8:$BZ$15,MATCH(CF$7,$CB$8:$CB$15,0))*SUM(D$11:D$12)/(365/12)*MAX(节奏总纲!E117-$E$2,0)</f>
        <v>2833634.1309126248</v>
      </c>
      <c r="CL121" s="2">
        <f>INDEX($BZ$8:$BZ$15,MATCH(CG$7,$CB$8:$CB$15,0))*SUM(E$11:E$12)/(365/12)*MAX(节奏总纲!F117-$E$2,0)</f>
        <v>3382854.4314358151</v>
      </c>
      <c r="CM121" s="2">
        <f>INDEX($BZ$8:$BZ$15,MATCH(CH$7,$CB$8:$CB$15,0))*SUM(F$11:F$12)/(365/12)*MAX(节奏总纲!G117-$E$2,0)</f>
        <v>2384811.218944943</v>
      </c>
      <c r="CN121" s="2">
        <f>INDEX($BZ$8:$BZ$15,MATCH(CI$7,$CB$8:$CB$15,0))*SUM(G$11:G$12)/(365/12)*MAX(节奏总纲!H117-$E$2,0)</f>
        <v>1232790.042866294</v>
      </c>
      <c r="CS121" s="2">
        <v>114</v>
      </c>
      <c r="CT121" s="2">
        <f t="shared" si="91"/>
        <v>1024699.9224625338</v>
      </c>
      <c r="CU121" s="2">
        <f t="shared" si="92"/>
        <v>882558.96369049442</v>
      </c>
      <c r="CV121" s="2">
        <f t="shared" si="93"/>
        <v>739999.40687658451</v>
      </c>
      <c r="CW121" s="2">
        <f t="shared" si="94"/>
        <v>621044.58826691227</v>
      </c>
      <c r="CX121" s="2">
        <f t="shared" si="95"/>
        <v>372405.32544919301</v>
      </c>
      <c r="CZ121" s="41">
        <f t="shared" si="96"/>
        <v>0.67796610169491534</v>
      </c>
      <c r="DA121" s="41">
        <f t="shared" si="97"/>
        <v>0.25423728813559326</v>
      </c>
      <c r="DB121" s="41">
        <f t="shared" si="98"/>
        <v>6.7796610169491539E-2</v>
      </c>
      <c r="DD121" s="41">
        <f t="shared" si="99"/>
        <v>0.63492063492063489</v>
      </c>
      <c r="DE121" s="41">
        <f t="shared" si="100"/>
        <v>0.23809523809523811</v>
      </c>
      <c r="DF121" s="41">
        <f t="shared" si="101"/>
        <v>0.12698412698412698</v>
      </c>
      <c r="DH121" s="41">
        <f t="shared" si="102"/>
        <v>0.45977011494252873</v>
      </c>
      <c r="DI121" s="41">
        <f t="shared" si="103"/>
        <v>0.17241379310344829</v>
      </c>
      <c r="DJ121" s="41">
        <f t="shared" si="104"/>
        <v>0.36781609195402298</v>
      </c>
      <c r="DL121" s="2">
        <f>CT121/节奏总纲!D117</f>
        <v>379.32851628287659</v>
      </c>
      <c r="DM121" s="2">
        <f>CU121/节奏总纲!E117</f>
        <v>382.96807977996735</v>
      </c>
      <c r="DN121" s="2">
        <f>CV121/节奏总纲!F117</f>
        <v>400.78516859047261</v>
      </c>
      <c r="DO121" s="2">
        <f>CW121/节奏总纲!G117</f>
        <v>470.72353818657848</v>
      </c>
      <c r="DP121" s="2">
        <f>CX121/节奏总纲!H117</f>
        <v>523.77984989494507</v>
      </c>
      <c r="DR121" s="2">
        <f t="shared" si="105"/>
        <v>1.0095947532043086</v>
      </c>
      <c r="DS121" s="2">
        <f t="shared" si="106"/>
        <v>1.0565648280752906</v>
      </c>
      <c r="DT121" s="2">
        <f t="shared" si="107"/>
        <v>1.2409389697334168</v>
      </c>
      <c r="DU121" s="2">
        <f t="shared" si="108"/>
        <v>1.3808079999562881</v>
      </c>
      <c r="DY121" s="2">
        <v>114</v>
      </c>
      <c r="DZ121" s="2">
        <f t="shared" si="77"/>
        <v>24175971.051997412</v>
      </c>
      <c r="EA121" s="2">
        <f t="shared" si="78"/>
        <v>20898051.715480603</v>
      </c>
      <c r="EB121" s="2">
        <f t="shared" si="79"/>
        <v>17759985.765038028</v>
      </c>
      <c r="EC121" s="2">
        <f t="shared" si="80"/>
        <v>12520258.899460951</v>
      </c>
      <c r="ED121" s="2">
        <f t="shared" si="81"/>
        <v>6472147.7250480447</v>
      </c>
      <c r="EF121" s="57">
        <f t="shared" si="82"/>
        <v>0.62068965517241381</v>
      </c>
      <c r="EG121" s="57">
        <f t="shared" si="83"/>
        <v>0.25862068965517243</v>
      </c>
      <c r="EH121" s="41">
        <f t="shared" si="84"/>
        <v>0.12068965517241378</v>
      </c>
      <c r="EJ121" s="57">
        <f t="shared" si="85"/>
        <v>0.5714285714285714</v>
      </c>
      <c r="EK121" s="57">
        <f t="shared" si="86"/>
        <v>0.23809523809523811</v>
      </c>
      <c r="EL121" s="41">
        <f t="shared" si="87"/>
        <v>0.19047619047619049</v>
      </c>
      <c r="EN121" s="57">
        <f t="shared" si="88"/>
        <v>0.5714285714285714</v>
      </c>
      <c r="EO121" s="57">
        <f t="shared" si="89"/>
        <v>0.23809523809523811</v>
      </c>
      <c r="EP121" s="41">
        <f t="shared" si="90"/>
        <v>0.19047619047619044</v>
      </c>
    </row>
    <row r="122" spans="20:146" x14ac:dyDescent="0.15">
      <c r="T122" s="2">
        <v>115</v>
      </c>
      <c r="U122" s="2">
        <f>$N$8*SUM(C$11:C$12)/(365/12)*MAX(节奏总纲!D118-$E$2,0)</f>
        <v>59658.016453928649</v>
      </c>
      <c r="V122" s="2">
        <f>$N$8*SUM(D$11:D$12)/(365/12)*MAX(节奏总纲!E118-$E$2,0)</f>
        <v>50562.588460370804</v>
      </c>
      <c r="W122" s="2">
        <f>$N$8*SUM(E$11:E$12)/(365/12)*MAX(节奏总纲!F118-$E$2,0)</f>
        <v>40187.830340458539</v>
      </c>
      <c r="X122" s="2">
        <f>$N$8*SUM(F$11:F$12)/(365/12)*MAX(节奏总纲!G118-$E$2,0)</f>
        <v>28344.888599349051</v>
      </c>
      <c r="Y122" s="2">
        <f>$N$8*SUM(G$11:G$12)/(365/12)*MAX(节奏总纲!H118-$E$2,0)</f>
        <v>14704.792633122646</v>
      </c>
      <c r="Z122" s="2">
        <f>$O$8*SUM(C$11:C$12)/(365/12)*MAX(节奏总纲!D118-$E$2,0)</f>
        <v>596580.16453928652</v>
      </c>
      <c r="AA122" s="2">
        <f>$O$8*SUM(D$11:D$12)/(365/12)*MAX(节奏总纲!E118-$E$2,0)</f>
        <v>505625.88460370805</v>
      </c>
      <c r="AB122" s="2">
        <f>$O$8*SUM(E$11:E$12)/(365/12)*MAX(节奏总纲!F118-$E$2,0)</f>
        <v>401878.30340458534</v>
      </c>
      <c r="AC122" s="2">
        <f>$O$8*SUM(F$11:F$12)/(365/12)*MAX(节奏总纲!G118-$E$2,0)</f>
        <v>283448.88599349052</v>
      </c>
      <c r="AD122" s="2">
        <f>$O$8*SUM(G$11:G$12)/(365/12)*MAX(节奏总纲!H118-$E$2,0)</f>
        <v>147047.92633122645</v>
      </c>
      <c r="AE122" s="2">
        <f>$Q$8*SUM(C$11:C$12)/(365/12)*MAX(节奏总纲!D118-$E$2,0)</f>
        <v>745725.20567410812</v>
      </c>
      <c r="AF122" s="2">
        <f>$Q$8*SUM(D$11:D$12)/(365/12)*MAX(节奏总纲!E118-$E$2,0)</f>
        <v>632032.35575463495</v>
      </c>
      <c r="AG122" s="2">
        <f>$Q$8*SUM(E$11:E$12)/(365/12)*MAX(节奏总纲!F118-$E$2,0)</f>
        <v>502347.87925573165</v>
      </c>
      <c r="AH122" s="2">
        <f>$Q$8*SUM(F$11:F$12)/(365/12)*MAX(节奏总纲!G118-$E$2,0)</f>
        <v>354311.10749186313</v>
      </c>
      <c r="AI122" s="2">
        <f>$Q$8*SUM(G$11:G$12)/(365/12)*MAX(节奏总纲!H118-$E$2,0)</f>
        <v>183809.90791403307</v>
      </c>
      <c r="AJ122" s="2">
        <f>$P$8*SUM(C$11:C$12)/(365/12)*MAX(节奏总纲!D118-$E$2,0)</f>
        <v>16107664.442560736</v>
      </c>
      <c r="AK122" s="2">
        <f>$P$8*SUM(D$11:D$12)/(365/12)*MAX(节奏总纲!E118-$E$2,0)</f>
        <v>13651898.884300116</v>
      </c>
      <c r="AL122" s="2">
        <f>$P$8*SUM(E$11:E$12)/(365/12)*MAX(节奏总纲!F118-$E$2,0)</f>
        <v>10850714.191923805</v>
      </c>
      <c r="AM122" s="2">
        <f>$P$8*SUM(F$11:F$12)/(365/12)*MAX(节奏总纲!G118-$E$2,0)</f>
        <v>7653119.9218242439</v>
      </c>
      <c r="AN122" s="2">
        <f>$P$8*SUM(G$11:G$12)/(365/12)*MAX(节奏总纲!H118-$E$2,0)</f>
        <v>3970294.0109431143</v>
      </c>
      <c r="BC122" s="2">
        <v>115</v>
      </c>
      <c r="BD122" s="2">
        <f>$AZ$8/(365/12)*MAX(节奏总纲!D118-$E$2,0)</f>
        <v>279646.95212779054</v>
      </c>
      <c r="BE122" s="2">
        <f>$AZ$8/(365/12)*MAX(节奏总纲!E118-$E$2,0)</f>
        <v>237012.13340798815</v>
      </c>
      <c r="BF122" s="2">
        <f>$AZ$8/(365/12)*MAX(节奏总纲!F118-$E$2,0)</f>
        <v>188380.45472089938</v>
      </c>
      <c r="BG122" s="2">
        <f>$AZ$8/(365/12)*MAX(节奏总纲!G118-$E$2,0)</f>
        <v>132866.6653094487</v>
      </c>
      <c r="BH122" s="2">
        <f>$AZ$8/(365/12)*MAX(节奏总纲!H118-$E$2,0)</f>
        <v>68928.715467762406</v>
      </c>
      <c r="BI122" s="2">
        <f>$AY$8/(365/12)*MAX(节奏总纲!D118-$E$2,0)</f>
        <v>6711526.851066974</v>
      </c>
      <c r="BJ122" s="2">
        <f>$AY$8/(365/12)*MAX(节奏总纲!E118-$E$2,0)</f>
        <v>5688291.2017917158</v>
      </c>
      <c r="BK122" s="2">
        <f>$AY$8/(365/12)*MAX(节奏总纲!F118-$E$2,0)</f>
        <v>4521130.9133015852</v>
      </c>
      <c r="BL122" s="2">
        <f>$AY$8/(365/12)*MAX(节奏总纲!G118-$E$2,0)</f>
        <v>3188799.9674267685</v>
      </c>
      <c r="BM122" s="2">
        <f>$AY$8/(365/12)*MAX(节奏总纲!H118-$E$2,0)</f>
        <v>1654289.1712262977</v>
      </c>
      <c r="CD122" s="2">
        <v>115</v>
      </c>
      <c r="CE122" s="2">
        <f>INDEX($BY$8:$BY$15,MATCH(CE$7,$CB$8:$CB$15,0))*SUM(C$11:C$12)/(365/12)*MAX(节奏总纲!D118-$E$2,0)</f>
        <v>74572.520567410815</v>
      </c>
      <c r="CF122" s="2">
        <f>INDEX($BY$8:$BY$15,MATCH(CF$7,$CB$8:$CB$15,0))*SUM(D$11:D$12)/(365/12)*MAX(节奏总纲!E118-$E$2,0)</f>
        <v>75843.882690556202</v>
      </c>
      <c r="CG122" s="2">
        <f>INDEX($BY$8:$BY$15,MATCH(CG$7,$CB$8:$CB$15,0))*SUM(E$11:E$12)/(365/12)*MAX(节奏总纲!F118-$E$2,0)</f>
        <v>100469.57585114634</v>
      </c>
      <c r="CH122" s="2">
        <f>INDEX($BY$8:$BY$15,MATCH(CH$7,$CB$8:$CB$15,0))*SUM(F$11:F$12)/(365/12)*MAX(节奏总纲!G118-$E$2,0)</f>
        <v>177155.55374593157</v>
      </c>
      <c r="CI122" s="2">
        <f>INDEX($BY$8:$BY$15,MATCH(CI$7,$CB$8:$CB$15,0))*SUM(G$11:G$12)/(365/12)*MAX(节奏总纲!H118-$E$2,0)</f>
        <v>147047.92633122645</v>
      </c>
      <c r="CJ122" s="2">
        <f>INDEX($BZ$8:$BZ$15,MATCH(CE$7,$CB$8:$CB$15,0))*SUM(C$11:C$12)/(365/12)*MAX(节奏总纲!D118-$E$2,0)</f>
        <v>3132045.8638312542</v>
      </c>
      <c r="CK122" s="2">
        <f>INDEX($BZ$8:$BZ$15,MATCH(CF$7,$CB$8:$CB$15,0))*SUM(D$11:D$12)/(365/12)*MAX(节奏总纲!E118-$E$2,0)</f>
        <v>3033755.3076222483</v>
      </c>
      <c r="CL122" s="2">
        <f>INDEX($BZ$8:$BZ$15,MATCH(CG$7,$CB$8:$CB$15,0))*SUM(E$11:E$12)/(365/12)*MAX(节奏总纲!F118-$E$2,0)</f>
        <v>3616904.7306412682</v>
      </c>
      <c r="CM122" s="2">
        <f>INDEX($BZ$8:$BZ$15,MATCH(CH$7,$CB$8:$CB$15,0))*SUM(F$11:F$12)/(365/12)*MAX(节奏总纲!G118-$E$2,0)</f>
        <v>2551039.9739414146</v>
      </c>
      <c r="CN122" s="2">
        <f>INDEX($BZ$8:$BZ$15,MATCH(CI$7,$CB$8:$CB$15,0))*SUM(G$11:G$12)/(365/12)*MAX(节奏总纲!H118-$E$2,0)</f>
        <v>1323431.3369810381</v>
      </c>
      <c r="CS122" s="2">
        <v>115</v>
      </c>
      <c r="CT122" s="2">
        <f t="shared" si="91"/>
        <v>1099944.6783693095</v>
      </c>
      <c r="CU122" s="2">
        <f t="shared" si="92"/>
        <v>944888.3718531793</v>
      </c>
      <c r="CV122" s="2">
        <f t="shared" si="93"/>
        <v>791197.90982777742</v>
      </c>
      <c r="CW122" s="2">
        <f t="shared" si="94"/>
        <v>664333.3265472434</v>
      </c>
      <c r="CX122" s="2">
        <f t="shared" si="95"/>
        <v>399786.54971302196</v>
      </c>
      <c r="CZ122" s="41">
        <f t="shared" si="96"/>
        <v>0.67796610169491522</v>
      </c>
      <c r="DA122" s="41">
        <f t="shared" si="97"/>
        <v>0.25423728813559321</v>
      </c>
      <c r="DB122" s="41">
        <f t="shared" si="98"/>
        <v>6.7796610169491525E-2</v>
      </c>
      <c r="DD122" s="41">
        <f t="shared" si="99"/>
        <v>0.63492063492063489</v>
      </c>
      <c r="DE122" s="41">
        <f t="shared" si="100"/>
        <v>0.23809523809523808</v>
      </c>
      <c r="DF122" s="41">
        <f t="shared" si="101"/>
        <v>0.12698412698412698</v>
      </c>
      <c r="DH122" s="41">
        <f t="shared" si="102"/>
        <v>0.45977011494252873</v>
      </c>
      <c r="DI122" s="41">
        <f t="shared" si="103"/>
        <v>0.17241379310344826</v>
      </c>
      <c r="DJ122" s="41">
        <f t="shared" si="104"/>
        <v>0.36781609195402293</v>
      </c>
      <c r="DL122" s="2">
        <f>CT122/节奏总纲!D118</f>
        <v>379.90574948079313</v>
      </c>
      <c r="DM122" s="2">
        <f>CU122/节奏总纲!E118</f>
        <v>383.62693757886552</v>
      </c>
      <c r="DN122" s="2">
        <f>CV122/节奏总纲!F118</f>
        <v>401.62972663145047</v>
      </c>
      <c r="DO122" s="2">
        <f>CW122/节奏总纲!G118</f>
        <v>472.12260374648145</v>
      </c>
      <c r="DP122" s="2">
        <f>CX122/节奏总纲!H118</f>
        <v>526.82476381139145</v>
      </c>
      <c r="DR122" s="2">
        <f t="shared" si="105"/>
        <v>1.0097950296965972</v>
      </c>
      <c r="DS122" s="2">
        <f t="shared" si="106"/>
        <v>1.0571825437765732</v>
      </c>
      <c r="DT122" s="2">
        <f t="shared" si="107"/>
        <v>1.2427361375596937</v>
      </c>
      <c r="DU122" s="2">
        <f t="shared" si="108"/>
        <v>1.3867249035619718</v>
      </c>
      <c r="DY122" s="2">
        <v>115</v>
      </c>
      <c r="DZ122" s="2">
        <f t="shared" si="77"/>
        <v>25951237.157458965</v>
      </c>
      <c r="EA122" s="2">
        <f t="shared" si="78"/>
        <v>22373945.393714078</v>
      </c>
      <c r="EB122" s="2">
        <f t="shared" si="79"/>
        <v>18988749.83586666</v>
      </c>
      <c r="EC122" s="2">
        <f t="shared" si="80"/>
        <v>13392959.863192428</v>
      </c>
      <c r="ED122" s="2">
        <f t="shared" si="81"/>
        <v>6948014.5191504508</v>
      </c>
      <c r="EF122" s="57">
        <f t="shared" si="82"/>
        <v>0.62068965517241381</v>
      </c>
      <c r="EG122" s="57">
        <f t="shared" si="83"/>
        <v>0.25862068965517243</v>
      </c>
      <c r="EH122" s="41">
        <f t="shared" si="84"/>
        <v>0.12068965517241378</v>
      </c>
      <c r="EJ122" s="57">
        <f t="shared" si="85"/>
        <v>0.5714285714285714</v>
      </c>
      <c r="EK122" s="57">
        <f t="shared" si="86"/>
        <v>0.23809523809523808</v>
      </c>
      <c r="EL122" s="41">
        <f t="shared" si="87"/>
        <v>0.19047619047619047</v>
      </c>
      <c r="EN122" s="57">
        <f t="shared" si="88"/>
        <v>0.5714285714285714</v>
      </c>
      <c r="EO122" s="57">
        <f t="shared" si="89"/>
        <v>0.23809523809523808</v>
      </c>
      <c r="EP122" s="41">
        <f t="shared" si="90"/>
        <v>0.19047619047619047</v>
      </c>
    </row>
    <row r="123" spans="20:146" x14ac:dyDescent="0.15">
      <c r="T123" s="2">
        <v>116</v>
      </c>
      <c r="U123" s="2">
        <f>$N$8*SUM(C$11:C$12)/(365/12)*MAX(节奏总纲!D119-$E$2,0)</f>
        <v>64032.000593638593</v>
      </c>
      <c r="V123" s="2">
        <f>$N$8*SUM(D$11:D$12)/(365/12)*MAX(节奏总纲!E119-$E$2,0)</f>
        <v>54218.242301674989</v>
      </c>
      <c r="W123" s="2">
        <f>$N$8*SUM(E$11:E$12)/(365/12)*MAX(节奏总纲!F119-$E$2,0)</f>
        <v>43111.653576039527</v>
      </c>
      <c r="X123" s="2">
        <f>$N$8*SUM(F$11:F$12)/(365/12)*MAX(节奏总纲!G119-$E$2,0)</f>
        <v>30490.2332311522</v>
      </c>
      <c r="Y123" s="2">
        <f>$N$8*SUM(G$11:G$12)/(365/12)*MAX(节奏总纲!H119-$E$2,0)</f>
        <v>15851.21387614062</v>
      </c>
      <c r="Z123" s="2">
        <f>$O$8*SUM(C$11:C$12)/(365/12)*MAX(节奏总纲!D119-$E$2,0)</f>
        <v>640320.00593638595</v>
      </c>
      <c r="AA123" s="2">
        <f>$O$8*SUM(D$11:D$12)/(365/12)*MAX(节奏总纲!E119-$E$2,0)</f>
        <v>542182.4230167499</v>
      </c>
      <c r="AB123" s="2">
        <f>$O$8*SUM(E$11:E$12)/(365/12)*MAX(节奏总纲!F119-$E$2,0)</f>
        <v>431116.53576039529</v>
      </c>
      <c r="AC123" s="2">
        <f>$O$8*SUM(F$11:F$12)/(365/12)*MAX(节奏总纲!G119-$E$2,0)</f>
        <v>304902.33231152204</v>
      </c>
      <c r="AD123" s="2">
        <f>$O$8*SUM(G$11:G$12)/(365/12)*MAX(节奏总纲!H119-$E$2,0)</f>
        <v>158512.13876140621</v>
      </c>
      <c r="AE123" s="2">
        <f>$Q$8*SUM(C$11:C$12)/(365/12)*MAX(节奏总纲!D119-$E$2,0)</f>
        <v>800400.00742048235</v>
      </c>
      <c r="AF123" s="2">
        <f>$Q$8*SUM(D$11:D$12)/(365/12)*MAX(节奏总纲!E119-$E$2,0)</f>
        <v>677728.02877093735</v>
      </c>
      <c r="AG123" s="2">
        <f>$Q$8*SUM(E$11:E$12)/(365/12)*MAX(节奏总纲!F119-$E$2,0)</f>
        <v>538895.66970049404</v>
      </c>
      <c r="AH123" s="2">
        <f>$Q$8*SUM(F$11:F$12)/(365/12)*MAX(节奏总纲!G119-$E$2,0)</f>
        <v>381127.91538940248</v>
      </c>
      <c r="AI123" s="2">
        <f>$Q$8*SUM(G$11:G$12)/(365/12)*MAX(节奏总纲!H119-$E$2,0)</f>
        <v>198140.17345175776</v>
      </c>
      <c r="AJ123" s="2">
        <f>$P$8*SUM(C$11:C$12)/(365/12)*MAX(节奏总纲!D119-$E$2,0)</f>
        <v>17288640.160282422</v>
      </c>
      <c r="AK123" s="2">
        <f>$P$8*SUM(D$11:D$12)/(365/12)*MAX(节奏总纲!E119-$E$2,0)</f>
        <v>14638925.421452247</v>
      </c>
      <c r="AL123" s="2">
        <f>$P$8*SUM(E$11:E$12)/(365/12)*MAX(节奏总纲!F119-$E$2,0)</f>
        <v>11640146.465530673</v>
      </c>
      <c r="AM123" s="2">
        <f>$P$8*SUM(F$11:F$12)/(365/12)*MAX(节奏总纲!G119-$E$2,0)</f>
        <v>8232362.9724110942</v>
      </c>
      <c r="AN123" s="2">
        <f>$P$8*SUM(G$11:G$12)/(365/12)*MAX(节奏总纲!H119-$E$2,0)</f>
        <v>4279827.7465579677</v>
      </c>
      <c r="BC123" s="2">
        <v>116</v>
      </c>
      <c r="BD123" s="2">
        <f>$AZ$8/(365/12)*MAX(节奏总纲!D119-$E$2,0)</f>
        <v>300150.00278268091</v>
      </c>
      <c r="BE123" s="2">
        <f>$AZ$8/(365/12)*MAX(节奏总纲!E119-$E$2,0)</f>
        <v>254148.01078910151</v>
      </c>
      <c r="BF123" s="2">
        <f>$AZ$8/(365/12)*MAX(节奏总纲!F119-$E$2,0)</f>
        <v>202085.87613768529</v>
      </c>
      <c r="BG123" s="2">
        <f>$AZ$8/(365/12)*MAX(节奏总纲!G119-$E$2,0)</f>
        <v>142922.96827102595</v>
      </c>
      <c r="BH123" s="2">
        <f>$AZ$8/(365/12)*MAX(节奏总纲!H119-$E$2,0)</f>
        <v>74302.565044409159</v>
      </c>
      <c r="BI123" s="2">
        <f>$AY$8/(365/12)*MAX(节奏总纲!D119-$E$2,0)</f>
        <v>7203600.0667843428</v>
      </c>
      <c r="BJ123" s="2">
        <f>$AY$8/(365/12)*MAX(节奏总纲!E119-$E$2,0)</f>
        <v>6099552.2589384364</v>
      </c>
      <c r="BK123" s="2">
        <f>$AY$8/(365/12)*MAX(节奏总纲!F119-$E$2,0)</f>
        <v>4850061.0273044473</v>
      </c>
      <c r="BL123" s="2">
        <f>$AY$8/(365/12)*MAX(节奏总纲!G119-$E$2,0)</f>
        <v>3430151.2385046231</v>
      </c>
      <c r="BM123" s="2">
        <f>$AY$8/(365/12)*MAX(节奏总纲!H119-$E$2,0)</f>
        <v>1783261.56106582</v>
      </c>
      <c r="CD123" s="2">
        <v>116</v>
      </c>
      <c r="CE123" s="2">
        <f>INDEX($BY$8:$BY$15,MATCH(CE$7,$CB$8:$CB$15,0))*SUM(C$11:C$12)/(365/12)*MAX(节奏总纲!D119-$E$2,0)</f>
        <v>80040.000742048243</v>
      </c>
      <c r="CF123" s="2">
        <f>INDEX($BY$8:$BY$15,MATCH(CF$7,$CB$8:$CB$15,0))*SUM(D$11:D$12)/(365/12)*MAX(节奏总纲!E119-$E$2,0)</f>
        <v>81327.36345251248</v>
      </c>
      <c r="CG123" s="2">
        <f>INDEX($BY$8:$BY$15,MATCH(CG$7,$CB$8:$CB$15,0))*SUM(E$11:E$12)/(365/12)*MAX(节奏总纲!F119-$E$2,0)</f>
        <v>107779.13394009882</v>
      </c>
      <c r="CH123" s="2">
        <f>INDEX($BY$8:$BY$15,MATCH(CH$7,$CB$8:$CB$15,0))*SUM(F$11:F$12)/(365/12)*MAX(节奏总纲!G119-$E$2,0)</f>
        <v>190563.95769470124</v>
      </c>
      <c r="CI123" s="2">
        <f>INDEX($BY$8:$BY$15,MATCH(CI$7,$CB$8:$CB$15,0))*SUM(G$11:G$12)/(365/12)*MAX(节奏总纲!H119-$E$2,0)</f>
        <v>158512.13876140621</v>
      </c>
      <c r="CJ123" s="2">
        <f>INDEX($BZ$8:$BZ$15,MATCH(CE$7,$CB$8:$CB$15,0))*SUM(C$11:C$12)/(365/12)*MAX(节奏总纲!D119-$E$2,0)</f>
        <v>3361680.0311660264</v>
      </c>
      <c r="CK123" s="2">
        <f>INDEX($BZ$8:$BZ$15,MATCH(CF$7,$CB$8:$CB$15,0))*SUM(D$11:D$12)/(365/12)*MAX(节奏总纲!E119-$E$2,0)</f>
        <v>3253094.5381004997</v>
      </c>
      <c r="CL123" s="2">
        <f>INDEX($BZ$8:$BZ$15,MATCH(CG$7,$CB$8:$CB$15,0))*SUM(E$11:E$12)/(365/12)*MAX(节奏总纲!F119-$E$2,0)</f>
        <v>3880048.8218435575</v>
      </c>
      <c r="CM123" s="2">
        <f>INDEX($BZ$8:$BZ$15,MATCH(CH$7,$CB$8:$CB$15,0))*SUM(F$11:F$12)/(365/12)*MAX(节奏总纲!G119-$E$2,0)</f>
        <v>2744120.9908036981</v>
      </c>
      <c r="CN123" s="2">
        <f>INDEX($BZ$8:$BZ$15,MATCH(CI$7,$CB$8:$CB$15,0))*SUM(G$11:G$12)/(365/12)*MAX(节奏总纲!H119-$E$2,0)</f>
        <v>1426609.2488526558</v>
      </c>
      <c r="CS123" s="2">
        <v>116</v>
      </c>
      <c r="CT123" s="2">
        <f t="shared" si="91"/>
        <v>1180590.0109452114</v>
      </c>
      <c r="CU123" s="2">
        <f t="shared" si="92"/>
        <v>1013203.4030125514</v>
      </c>
      <c r="CV123" s="2">
        <f t="shared" si="93"/>
        <v>848760.67977827811</v>
      </c>
      <c r="CW123" s="2">
        <f t="shared" si="94"/>
        <v>714614.84135512973</v>
      </c>
      <c r="CX123" s="2">
        <f t="shared" si="95"/>
        <v>430954.87725757307</v>
      </c>
      <c r="CZ123" s="41">
        <f t="shared" si="96"/>
        <v>0.67796610169491534</v>
      </c>
      <c r="DA123" s="41">
        <f t="shared" si="97"/>
        <v>0.25423728813559326</v>
      </c>
      <c r="DB123" s="41">
        <f t="shared" si="98"/>
        <v>6.7796610169491539E-2</v>
      </c>
      <c r="DD123" s="41">
        <f t="shared" si="99"/>
        <v>0.63492063492063489</v>
      </c>
      <c r="DE123" s="41">
        <f t="shared" si="100"/>
        <v>0.23809523809523814</v>
      </c>
      <c r="DF123" s="41">
        <f t="shared" si="101"/>
        <v>0.126984126984127</v>
      </c>
      <c r="DH123" s="41">
        <f t="shared" si="102"/>
        <v>0.45977011494252878</v>
      </c>
      <c r="DI123" s="41">
        <f t="shared" si="103"/>
        <v>0.17241379310344829</v>
      </c>
      <c r="DJ123" s="41">
        <f t="shared" si="104"/>
        <v>0.36781609195402304</v>
      </c>
      <c r="DL123" s="2">
        <f>CT123/节奏总纲!D119</f>
        <v>380.44430129072924</v>
      </c>
      <c r="DM123" s="2">
        <f>CU123/节奏总纲!E119</f>
        <v>384.25807288013175</v>
      </c>
      <c r="DN123" s="2">
        <f>CV123/节奏总纲!F119</f>
        <v>402.46105435081728</v>
      </c>
      <c r="DO123" s="2">
        <f>CW123/节奏总纲!G119</f>
        <v>473.54334851873926</v>
      </c>
      <c r="DP123" s="2">
        <f>CX123/节奏总纲!H119</f>
        <v>529.85465972797454</v>
      </c>
      <c r="DR123" s="2">
        <f t="shared" si="105"/>
        <v>1.0100245202161355</v>
      </c>
      <c r="DS123" s="2">
        <f t="shared" si="106"/>
        <v>1.0578711600762374</v>
      </c>
      <c r="DT123" s="2">
        <f t="shared" si="107"/>
        <v>1.2447113727611476</v>
      </c>
      <c r="DU123" s="2">
        <f t="shared" si="108"/>
        <v>1.3927259731065558</v>
      </c>
      <c r="DY123" s="2">
        <v>116</v>
      </c>
      <c r="DZ123" s="2">
        <f t="shared" si="77"/>
        <v>27853920.258232787</v>
      </c>
      <c r="EA123" s="2">
        <f t="shared" si="78"/>
        <v>23991572.218491182</v>
      </c>
      <c r="EB123" s="2">
        <f t="shared" si="79"/>
        <v>20370256.314678676</v>
      </c>
      <c r="EC123" s="2">
        <f t="shared" si="80"/>
        <v>14406635.201719416</v>
      </c>
      <c r="ED123" s="2">
        <f t="shared" si="81"/>
        <v>7489698.556476444</v>
      </c>
      <c r="EF123" s="57">
        <f t="shared" si="82"/>
        <v>0.62068965517241392</v>
      </c>
      <c r="EG123" s="57">
        <f t="shared" si="83"/>
        <v>0.25862068965517243</v>
      </c>
      <c r="EH123" s="41">
        <f t="shared" si="84"/>
        <v>0.1206896551724138</v>
      </c>
      <c r="EJ123" s="57">
        <f t="shared" si="85"/>
        <v>0.57142857142857151</v>
      </c>
      <c r="EK123" s="57">
        <f t="shared" si="86"/>
        <v>0.23809523809523811</v>
      </c>
      <c r="EL123" s="41">
        <f t="shared" si="87"/>
        <v>0.19047619047619049</v>
      </c>
      <c r="EN123" s="57">
        <f t="shared" si="88"/>
        <v>0.5714285714285714</v>
      </c>
      <c r="EO123" s="57">
        <f t="shared" si="89"/>
        <v>0.23809523809523811</v>
      </c>
      <c r="EP123" s="41">
        <f t="shared" si="90"/>
        <v>0.19047619047619044</v>
      </c>
    </row>
    <row r="124" spans="20:146" x14ac:dyDescent="0.15">
      <c r="T124" s="2">
        <v>117</v>
      </c>
      <c r="U124" s="2">
        <f>$N$8*SUM(C$11:C$12)/(365/12)*MAX(节奏总纲!D120-$E$2,0)</f>
        <v>68719.920720134338</v>
      </c>
      <c r="V124" s="2">
        <f>$N$8*SUM(D$11:D$12)/(365/12)*MAX(节奏总纲!E120-$E$2,0)</f>
        <v>58215.564510453143</v>
      </c>
      <c r="W124" s="2">
        <f>$N$8*SUM(E$11:E$12)/(365/12)*MAX(节奏总纲!F120-$E$2,0)</f>
        <v>46346.551764537529</v>
      </c>
      <c r="X124" s="2">
        <f>$N$8*SUM(F$11:F$12)/(365/12)*MAX(节奏总纲!G120-$E$2,0)</f>
        <v>32783.965265961793</v>
      </c>
      <c r="Y124" s="2">
        <f>$N$8*SUM(G$11:G$12)/(365/12)*MAX(节奏总纲!H120-$E$2,0)</f>
        <v>17107.910695884584</v>
      </c>
      <c r="Z124" s="2">
        <f>$O$8*SUM(C$11:C$12)/(365/12)*MAX(节奏总纲!D120-$E$2,0)</f>
        <v>687199.2072013435</v>
      </c>
      <c r="AA124" s="2">
        <f>$O$8*SUM(D$11:D$12)/(365/12)*MAX(节奏总纲!E120-$E$2,0)</f>
        <v>582155.64510453143</v>
      </c>
      <c r="AB124" s="2">
        <f>$O$8*SUM(E$11:E$12)/(365/12)*MAX(节奏总纲!F120-$E$2,0)</f>
        <v>463465.51764537528</v>
      </c>
      <c r="AC124" s="2">
        <f>$O$8*SUM(F$11:F$12)/(365/12)*MAX(节奏总纲!G120-$E$2,0)</f>
        <v>327839.65265961795</v>
      </c>
      <c r="AD124" s="2">
        <f>$O$8*SUM(G$11:G$12)/(365/12)*MAX(节奏总纲!H120-$E$2,0)</f>
        <v>171079.10695884583</v>
      </c>
      <c r="AE124" s="2">
        <f>$Q$8*SUM(C$11:C$12)/(365/12)*MAX(节奏总纲!D120-$E$2,0)</f>
        <v>858999.00900167925</v>
      </c>
      <c r="AF124" s="2">
        <f>$Q$8*SUM(D$11:D$12)/(365/12)*MAX(节奏总纲!E120-$E$2,0)</f>
        <v>727694.55638066423</v>
      </c>
      <c r="AG124" s="2">
        <f>$Q$8*SUM(E$11:E$12)/(365/12)*MAX(节奏总纲!F120-$E$2,0)</f>
        <v>579331.89705671906</v>
      </c>
      <c r="AH124" s="2">
        <f>$Q$8*SUM(F$11:F$12)/(365/12)*MAX(节奏总纲!G120-$E$2,0)</f>
        <v>409799.5658245224</v>
      </c>
      <c r="AI124" s="2">
        <f>$Q$8*SUM(G$11:G$12)/(365/12)*MAX(节奏总纲!H120-$E$2,0)</f>
        <v>213848.88369855727</v>
      </c>
      <c r="AJ124" s="2">
        <f>$P$8*SUM(C$11:C$12)/(365/12)*MAX(节奏总纲!D120-$E$2,0)</f>
        <v>18554378.594436273</v>
      </c>
      <c r="AK124" s="2">
        <f>$P$8*SUM(D$11:D$12)/(365/12)*MAX(节奏总纲!E120-$E$2,0)</f>
        <v>15718202.417822348</v>
      </c>
      <c r="AL124" s="2">
        <f>$P$8*SUM(E$11:E$12)/(365/12)*MAX(节奏总纲!F120-$E$2,0)</f>
        <v>12513568.976425132</v>
      </c>
      <c r="AM124" s="2">
        <f>$P$8*SUM(F$11:F$12)/(365/12)*MAX(节奏总纲!G120-$E$2,0)</f>
        <v>8851670.6218096837</v>
      </c>
      <c r="AN124" s="2">
        <f>$P$8*SUM(G$11:G$12)/(365/12)*MAX(节奏总纲!H120-$E$2,0)</f>
        <v>4619135.8878888367</v>
      </c>
      <c r="BC124" s="2">
        <v>117</v>
      </c>
      <c r="BD124" s="2">
        <f>$AZ$8/(365/12)*MAX(节奏总纲!D120-$E$2,0)</f>
        <v>322124.62837562972</v>
      </c>
      <c r="BE124" s="2">
        <f>$AZ$8/(365/12)*MAX(节奏总纲!E120-$E$2,0)</f>
        <v>272885.45864274912</v>
      </c>
      <c r="BF124" s="2">
        <f>$AZ$8/(365/12)*MAX(节奏总纲!F120-$E$2,0)</f>
        <v>217249.46139626967</v>
      </c>
      <c r="BG124" s="2">
        <f>$AZ$8/(365/12)*MAX(节奏总纲!G120-$E$2,0)</f>
        <v>153674.8371841959</v>
      </c>
      <c r="BH124" s="2">
        <f>$AZ$8/(365/12)*MAX(节奏总纲!H120-$E$2,0)</f>
        <v>80193.331386958977</v>
      </c>
      <c r="BI124" s="2">
        <f>$AY$8/(365/12)*MAX(节奏总纲!D120-$E$2,0)</f>
        <v>7730991.0810151147</v>
      </c>
      <c r="BJ124" s="2">
        <f>$AY$8/(365/12)*MAX(节奏总纲!E120-$E$2,0)</f>
        <v>6549251.0074259788</v>
      </c>
      <c r="BK124" s="2">
        <f>$AY$8/(365/12)*MAX(节奏总纲!F120-$E$2,0)</f>
        <v>5213987.0735104727</v>
      </c>
      <c r="BL124" s="2">
        <f>$AY$8/(365/12)*MAX(节奏总纲!G120-$E$2,0)</f>
        <v>3688196.0924207019</v>
      </c>
      <c r="BM124" s="2">
        <f>$AY$8/(365/12)*MAX(节奏总纲!H120-$E$2,0)</f>
        <v>1924639.9532870157</v>
      </c>
      <c r="CD124" s="2">
        <v>117</v>
      </c>
      <c r="CE124" s="2">
        <f>INDEX($BY$8:$BY$15,MATCH(CE$7,$CB$8:$CB$15,0))*SUM(C$11:C$12)/(365/12)*MAX(节奏总纲!D120-$E$2,0)</f>
        <v>85899.900900167937</v>
      </c>
      <c r="CF124" s="2">
        <f>INDEX($BY$8:$BY$15,MATCH(CF$7,$CB$8:$CB$15,0))*SUM(D$11:D$12)/(365/12)*MAX(节奏总纲!E120-$E$2,0)</f>
        <v>87323.346765679715</v>
      </c>
      <c r="CG124" s="2">
        <f>INDEX($BY$8:$BY$15,MATCH(CG$7,$CB$8:$CB$15,0))*SUM(E$11:E$12)/(365/12)*MAX(节奏总纲!F120-$E$2,0)</f>
        <v>115866.37941134382</v>
      </c>
      <c r="CH124" s="2">
        <f>INDEX($BY$8:$BY$15,MATCH(CH$7,$CB$8:$CB$15,0))*SUM(F$11:F$12)/(365/12)*MAX(节奏总纲!G120-$E$2,0)</f>
        <v>204899.7829122612</v>
      </c>
      <c r="CI124" s="2">
        <f>INDEX($BY$8:$BY$15,MATCH(CI$7,$CB$8:$CB$15,0))*SUM(G$11:G$12)/(365/12)*MAX(节奏总纲!H120-$E$2,0)</f>
        <v>171079.10695884583</v>
      </c>
      <c r="CJ124" s="2">
        <f>INDEX($BZ$8:$BZ$15,MATCH(CE$7,$CB$8:$CB$15,0))*SUM(C$11:C$12)/(365/12)*MAX(节奏总纲!D120-$E$2,0)</f>
        <v>3607795.8378070532</v>
      </c>
      <c r="CK124" s="2">
        <f>INDEX($BZ$8:$BZ$15,MATCH(CF$7,$CB$8:$CB$15,0))*SUM(D$11:D$12)/(365/12)*MAX(节奏总纲!E120-$E$2,0)</f>
        <v>3492933.8706271886</v>
      </c>
      <c r="CL124" s="2">
        <f>INDEX($BZ$8:$BZ$15,MATCH(CG$7,$CB$8:$CB$15,0))*SUM(E$11:E$12)/(365/12)*MAX(节奏总纲!F120-$E$2,0)</f>
        <v>4171189.6588083776</v>
      </c>
      <c r="CM124" s="2">
        <f>INDEX($BZ$8:$BZ$15,MATCH(CH$7,$CB$8:$CB$15,0))*SUM(F$11:F$12)/(365/12)*MAX(节奏总纲!G120-$E$2,0)</f>
        <v>2950556.8739365614</v>
      </c>
      <c r="CN124" s="2">
        <f>INDEX($BZ$8:$BZ$15,MATCH(CI$7,$CB$8:$CB$15,0))*SUM(G$11:G$12)/(365/12)*MAX(节奏总纲!H120-$E$2,0)</f>
        <v>1539711.9626296123</v>
      </c>
      <c r="CS124" s="2">
        <v>117</v>
      </c>
      <c r="CT124" s="2">
        <f t="shared" si="91"/>
        <v>1267023.5382774768</v>
      </c>
      <c r="CU124" s="2">
        <f t="shared" si="92"/>
        <v>1087903.3617890931</v>
      </c>
      <c r="CV124" s="2">
        <f t="shared" si="93"/>
        <v>912447.73786433262</v>
      </c>
      <c r="CW124" s="2">
        <f t="shared" si="94"/>
        <v>768374.18592097948</v>
      </c>
      <c r="CX124" s="2">
        <f t="shared" si="95"/>
        <v>465121.32204436208</v>
      </c>
      <c r="CZ124" s="41">
        <f t="shared" si="96"/>
        <v>0.67796610169491534</v>
      </c>
      <c r="DA124" s="41">
        <f t="shared" si="97"/>
        <v>0.25423728813559326</v>
      </c>
      <c r="DB124" s="41">
        <f t="shared" si="98"/>
        <v>6.7796610169491539E-2</v>
      </c>
      <c r="DD124" s="41">
        <f t="shared" si="99"/>
        <v>0.63492063492063489</v>
      </c>
      <c r="DE124" s="41">
        <f t="shared" si="100"/>
        <v>0.23809523809523811</v>
      </c>
      <c r="DF124" s="41">
        <f t="shared" si="101"/>
        <v>0.12698412698412698</v>
      </c>
      <c r="DH124" s="41">
        <f t="shared" si="102"/>
        <v>0.45977011494252873</v>
      </c>
      <c r="DI124" s="41">
        <f t="shared" si="103"/>
        <v>0.17241379310344826</v>
      </c>
      <c r="DJ124" s="41">
        <f t="shared" si="104"/>
        <v>0.36781609195402304</v>
      </c>
      <c r="DL124" s="2">
        <f>CT124/节奏总纲!D120</f>
        <v>380.94676543185307</v>
      </c>
      <c r="DM124" s="2">
        <f>CU124/节奏总纲!E120</f>
        <v>384.85939856025664</v>
      </c>
      <c r="DN124" s="2">
        <f>CV124/节奏总纲!F120</f>
        <v>403.261847194148</v>
      </c>
      <c r="DO124" s="2">
        <f>CW124/节奏总纲!G120</f>
        <v>474.86430858123873</v>
      </c>
      <c r="DP124" s="2">
        <f>CX124/节奏总纲!H120</f>
        <v>532.74152355098499</v>
      </c>
      <c r="DR124" s="2">
        <f t="shared" si="105"/>
        <v>1.0102708133614628</v>
      </c>
      <c r="DS124" s="2">
        <f t="shared" si="106"/>
        <v>1.0585779531084818</v>
      </c>
      <c r="DT124" s="2">
        <f t="shared" si="107"/>
        <v>1.246537184908022</v>
      </c>
      <c r="DU124" s="2">
        <f t="shared" si="108"/>
        <v>1.3984671137633959</v>
      </c>
      <c r="DY124" s="2">
        <v>117</v>
      </c>
      <c r="DZ124" s="2">
        <f t="shared" si="77"/>
        <v>29893165.513258439</v>
      </c>
      <c r="EA124" s="2">
        <f t="shared" si="78"/>
        <v>25760387.295875512</v>
      </c>
      <c r="EB124" s="2">
        <f t="shared" si="79"/>
        <v>21898745.708743982</v>
      </c>
      <c r="EC124" s="2">
        <f t="shared" si="80"/>
        <v>15490423.588166947</v>
      </c>
      <c r="ED124" s="2">
        <f t="shared" si="81"/>
        <v>8083487.8038054649</v>
      </c>
      <c r="EF124" s="57">
        <f t="shared" si="82"/>
        <v>0.62068965517241381</v>
      </c>
      <c r="EG124" s="57">
        <f t="shared" si="83"/>
        <v>0.25862068965517243</v>
      </c>
      <c r="EH124" s="41">
        <f t="shared" si="84"/>
        <v>0.1206896551724138</v>
      </c>
      <c r="EJ124" s="57">
        <f t="shared" si="85"/>
        <v>0.5714285714285714</v>
      </c>
      <c r="EK124" s="57">
        <f t="shared" si="86"/>
        <v>0.23809523809523814</v>
      </c>
      <c r="EL124" s="41">
        <f t="shared" si="87"/>
        <v>0.19047619047619047</v>
      </c>
      <c r="EN124" s="57">
        <f t="shared" si="88"/>
        <v>0.5714285714285714</v>
      </c>
      <c r="EO124" s="57">
        <f t="shared" si="89"/>
        <v>0.23809523809523811</v>
      </c>
      <c r="EP124" s="41">
        <f t="shared" si="90"/>
        <v>0.19047619047619047</v>
      </c>
    </row>
    <row r="125" spans="20:146" x14ac:dyDescent="0.15">
      <c r="T125" s="2">
        <v>118</v>
      </c>
      <c r="U125" s="2">
        <f>$N$8*SUM(C$11:C$12)/(365/12)*MAX(节奏总纲!D121-$E$2,0)</f>
        <v>73744.309106202534</v>
      </c>
      <c r="V125" s="2">
        <f>$N$8*SUM(D$11:D$12)/(365/12)*MAX(节奏总纲!E121-$E$2,0)</f>
        <v>62500.793554744414</v>
      </c>
      <c r="W125" s="2">
        <f>$N$8*SUM(E$11:E$12)/(365/12)*MAX(节奏总纲!F121-$E$2,0)</f>
        <v>49787.145216037614</v>
      </c>
      <c r="X125" s="2">
        <f>$N$8*SUM(F$11:F$12)/(365/12)*MAX(节奏总纲!G121-$E$2,0)</f>
        <v>35295.836313157641</v>
      </c>
      <c r="Y125" s="2">
        <f>$N$8*SUM(G$11:G$12)/(365/12)*MAX(节奏总纲!H121-$E$2,0)</f>
        <v>18434.313324713443</v>
      </c>
      <c r="Z125" s="2">
        <f>$O$8*SUM(C$11:C$12)/(365/12)*MAX(节奏总纲!D121-$E$2,0)</f>
        <v>737443.0910620254</v>
      </c>
      <c r="AA125" s="2">
        <f>$O$8*SUM(D$11:D$12)/(365/12)*MAX(节奏总纲!E121-$E$2,0)</f>
        <v>625007.93554744415</v>
      </c>
      <c r="AB125" s="2">
        <f>$O$8*SUM(E$11:E$12)/(365/12)*MAX(节奏总纲!F121-$E$2,0)</f>
        <v>497871.45216037612</v>
      </c>
      <c r="AC125" s="2">
        <f>$O$8*SUM(F$11:F$12)/(365/12)*MAX(节奏总纲!G121-$E$2,0)</f>
        <v>352958.36313157639</v>
      </c>
      <c r="AD125" s="2">
        <f>$O$8*SUM(G$11:G$12)/(365/12)*MAX(节奏总纲!H121-$E$2,0)</f>
        <v>184343.13324713445</v>
      </c>
      <c r="AE125" s="2">
        <f>$Q$8*SUM(C$11:C$12)/(365/12)*MAX(节奏总纲!D121-$E$2,0)</f>
        <v>921803.86382753169</v>
      </c>
      <c r="AF125" s="2">
        <f>$Q$8*SUM(D$11:D$12)/(365/12)*MAX(节奏总纲!E121-$E$2,0)</f>
        <v>781259.91943430516</v>
      </c>
      <c r="AG125" s="2">
        <f>$Q$8*SUM(E$11:E$12)/(365/12)*MAX(节奏总纲!F121-$E$2,0)</f>
        <v>622339.31520047016</v>
      </c>
      <c r="AH125" s="2">
        <f>$Q$8*SUM(F$11:F$12)/(365/12)*MAX(节奏总纲!G121-$E$2,0)</f>
        <v>441197.95391447045</v>
      </c>
      <c r="AI125" s="2">
        <f>$Q$8*SUM(G$11:G$12)/(365/12)*MAX(节奏总纲!H121-$E$2,0)</f>
        <v>230428.91655891805</v>
      </c>
      <c r="AJ125" s="2">
        <f>$P$8*SUM(C$11:C$12)/(365/12)*MAX(节奏总纲!D121-$E$2,0)</f>
        <v>19910963.458674684</v>
      </c>
      <c r="AK125" s="2">
        <f>$P$8*SUM(D$11:D$12)/(365/12)*MAX(节奏总纲!E121-$E$2,0)</f>
        <v>16875214.259780992</v>
      </c>
      <c r="AL125" s="2">
        <f>$P$8*SUM(E$11:E$12)/(365/12)*MAX(节奏总纲!F121-$E$2,0)</f>
        <v>13442529.208330154</v>
      </c>
      <c r="AM125" s="2">
        <f>$P$8*SUM(F$11:F$12)/(365/12)*MAX(节奏总纲!G121-$E$2,0)</f>
        <v>9529875.8045525625</v>
      </c>
      <c r="AN125" s="2">
        <f>$P$8*SUM(G$11:G$12)/(365/12)*MAX(节奏总纲!H121-$E$2,0)</f>
        <v>4977264.5976726301</v>
      </c>
      <c r="BC125" s="2">
        <v>118</v>
      </c>
      <c r="BD125" s="2">
        <f>$AZ$8/(365/12)*MAX(节奏总纲!D121-$E$2,0)</f>
        <v>345676.44893532438</v>
      </c>
      <c r="BE125" s="2">
        <f>$AZ$8/(365/12)*MAX(节奏总纲!E121-$E$2,0)</f>
        <v>292972.46978786442</v>
      </c>
      <c r="BF125" s="2">
        <f>$AZ$8/(365/12)*MAX(节奏总纲!F121-$E$2,0)</f>
        <v>233377.24320017631</v>
      </c>
      <c r="BG125" s="2">
        <f>$AZ$8/(365/12)*MAX(节奏总纲!G121-$E$2,0)</f>
        <v>165449.23271792644</v>
      </c>
      <c r="BH125" s="2">
        <f>$AZ$8/(365/12)*MAX(节奏总纲!H121-$E$2,0)</f>
        <v>86410.843709594279</v>
      </c>
      <c r="BI125" s="2">
        <f>$AY$8/(365/12)*MAX(节奏总纲!D121-$E$2,0)</f>
        <v>8296234.7744477857</v>
      </c>
      <c r="BJ125" s="2">
        <f>$AY$8/(365/12)*MAX(节奏总纲!E121-$E$2,0)</f>
        <v>7031339.2749087475</v>
      </c>
      <c r="BK125" s="2">
        <f>$AY$8/(365/12)*MAX(节奏总纲!F121-$E$2,0)</f>
        <v>5601053.8368042316</v>
      </c>
      <c r="BL125" s="2">
        <f>$AY$8/(365/12)*MAX(节奏总纲!G121-$E$2,0)</f>
        <v>3970781.5852302345</v>
      </c>
      <c r="BM125" s="2">
        <f>$AY$8/(365/12)*MAX(节奏总纲!H121-$E$2,0)</f>
        <v>2073860.2490302627</v>
      </c>
      <c r="CD125" s="2">
        <v>118</v>
      </c>
      <c r="CE125" s="2">
        <f>INDEX($BY$8:$BY$15,MATCH(CE$7,$CB$8:$CB$15,0))*SUM(C$11:C$12)/(365/12)*MAX(节奏总纲!D121-$E$2,0)</f>
        <v>92180.386382753175</v>
      </c>
      <c r="CF125" s="2">
        <f>INDEX($BY$8:$BY$15,MATCH(CF$7,$CB$8:$CB$15,0))*SUM(D$11:D$12)/(365/12)*MAX(节奏总纲!E121-$E$2,0)</f>
        <v>93751.190332116617</v>
      </c>
      <c r="CG125" s="2">
        <f>INDEX($BY$8:$BY$15,MATCH(CG$7,$CB$8:$CB$15,0))*SUM(E$11:E$12)/(365/12)*MAX(节奏总纲!F121-$E$2,0)</f>
        <v>124467.86304009403</v>
      </c>
      <c r="CH125" s="2">
        <f>INDEX($BY$8:$BY$15,MATCH(CH$7,$CB$8:$CB$15,0))*SUM(F$11:F$12)/(365/12)*MAX(节奏总纲!G121-$E$2,0)</f>
        <v>220598.97695723522</v>
      </c>
      <c r="CI125" s="2">
        <f>INDEX($BY$8:$BY$15,MATCH(CI$7,$CB$8:$CB$15,0))*SUM(G$11:G$12)/(365/12)*MAX(节奏总纲!H121-$E$2,0)</f>
        <v>184343.13324713445</v>
      </c>
      <c r="CJ125" s="2">
        <f>INDEX($BZ$8:$BZ$15,MATCH(CE$7,$CB$8:$CB$15,0))*SUM(C$11:C$12)/(365/12)*MAX(节奏总纲!D121-$E$2,0)</f>
        <v>3871576.2280756333</v>
      </c>
      <c r="CK125" s="2">
        <f>INDEX($BZ$8:$BZ$15,MATCH(CF$7,$CB$8:$CB$15,0))*SUM(D$11:D$12)/(365/12)*MAX(节奏总纲!E121-$E$2,0)</f>
        <v>3750047.6132846652</v>
      </c>
      <c r="CL125" s="2">
        <f>INDEX($BZ$8:$BZ$15,MATCH(CG$7,$CB$8:$CB$15,0))*SUM(E$11:E$12)/(365/12)*MAX(节奏总纲!F121-$E$2,0)</f>
        <v>4480843.0694433851</v>
      </c>
      <c r="CM125" s="2">
        <f>INDEX($BZ$8:$BZ$15,MATCH(CH$7,$CB$8:$CB$15,0))*SUM(F$11:F$12)/(365/12)*MAX(节奏总纲!G121-$E$2,0)</f>
        <v>3176625.2681841874</v>
      </c>
      <c r="CN125" s="2">
        <f>INDEX($BZ$8:$BZ$15,MATCH(CI$7,$CB$8:$CB$15,0))*SUM(G$11:G$12)/(365/12)*MAX(节奏总纲!H121-$E$2,0)</f>
        <v>1659088.1992242099</v>
      </c>
      <c r="CS125" s="2">
        <v>118</v>
      </c>
      <c r="CT125" s="2">
        <f t="shared" si="91"/>
        <v>1359660.6991456093</v>
      </c>
      <c r="CU125" s="2">
        <f t="shared" si="92"/>
        <v>1167983.5795542861</v>
      </c>
      <c r="CV125" s="2">
        <f t="shared" si="93"/>
        <v>980184.42144074047</v>
      </c>
      <c r="CW125" s="2">
        <f t="shared" si="94"/>
        <v>827246.16358963214</v>
      </c>
      <c r="CX125" s="2">
        <f t="shared" si="95"/>
        <v>501182.89351564675</v>
      </c>
      <c r="CZ125" s="41">
        <f t="shared" si="96"/>
        <v>0.67796610169491522</v>
      </c>
      <c r="DA125" s="41">
        <f t="shared" si="97"/>
        <v>0.25423728813559321</v>
      </c>
      <c r="DB125" s="41">
        <f t="shared" si="98"/>
        <v>6.7796610169491525E-2</v>
      </c>
      <c r="DD125" s="41">
        <f t="shared" si="99"/>
        <v>0.63492063492063489</v>
      </c>
      <c r="DE125" s="41">
        <f t="shared" si="100"/>
        <v>0.23809523809523811</v>
      </c>
      <c r="DF125" s="41">
        <f t="shared" si="101"/>
        <v>0.12698412698412698</v>
      </c>
      <c r="DH125" s="41">
        <f t="shared" si="102"/>
        <v>0.45977011494252873</v>
      </c>
      <c r="DI125" s="41">
        <f t="shared" si="103"/>
        <v>0.17241379310344829</v>
      </c>
      <c r="DJ125" s="41">
        <f t="shared" si="104"/>
        <v>0.36781609195402304</v>
      </c>
      <c r="DL125" s="2">
        <f>CT125/节奏总纲!D121</f>
        <v>381.41556149676268</v>
      </c>
      <c r="DM125" s="2">
        <f>CU125/节奏总纲!E121</f>
        <v>385.42029944003571</v>
      </c>
      <c r="DN125" s="2">
        <f>CV125/节奏总纲!F121</f>
        <v>404.00218552417402</v>
      </c>
      <c r="DO125" s="2">
        <f>CW125/节奏总纲!G121</f>
        <v>476.12074054650645</v>
      </c>
      <c r="DP125" s="2">
        <f>CX125/节奏总纲!H121</f>
        <v>535.38892218174726</v>
      </c>
      <c r="DR125" s="2">
        <f t="shared" si="105"/>
        <v>1.0104996710872454</v>
      </c>
      <c r="DS125" s="2">
        <f t="shared" si="106"/>
        <v>1.0592178880661718</v>
      </c>
      <c r="DT125" s="2">
        <f t="shared" si="107"/>
        <v>1.2482992006883484</v>
      </c>
      <c r="DU125" s="2">
        <f t="shared" si="108"/>
        <v>1.4036892466598834</v>
      </c>
      <c r="DY125" s="2">
        <v>118</v>
      </c>
      <c r="DZ125" s="2">
        <f t="shared" si="77"/>
        <v>32078774.461198103</v>
      </c>
      <c r="EA125" s="2">
        <f t="shared" si="78"/>
        <v>27656601.147974405</v>
      </c>
      <c r="EB125" s="2">
        <f t="shared" si="79"/>
        <v>23524426.114577774</v>
      </c>
      <c r="EC125" s="2">
        <f t="shared" si="80"/>
        <v>16677282.657966984</v>
      </c>
      <c r="ED125" s="2">
        <f t="shared" si="81"/>
        <v>8710213.0459271017</v>
      </c>
      <c r="EF125" s="57">
        <f t="shared" si="82"/>
        <v>0.62068965517241381</v>
      </c>
      <c r="EG125" s="57">
        <f t="shared" si="83"/>
        <v>0.25862068965517243</v>
      </c>
      <c r="EH125" s="41">
        <f t="shared" si="84"/>
        <v>0.1206896551724138</v>
      </c>
      <c r="EJ125" s="57">
        <f t="shared" si="85"/>
        <v>0.57142857142857129</v>
      </c>
      <c r="EK125" s="57">
        <f t="shared" si="86"/>
        <v>0.23809523809523808</v>
      </c>
      <c r="EL125" s="41">
        <f t="shared" si="87"/>
        <v>0.19047619047619047</v>
      </c>
      <c r="EN125" s="57">
        <f t="shared" si="88"/>
        <v>0.57142857142857151</v>
      </c>
      <c r="EO125" s="57">
        <f t="shared" si="89"/>
        <v>0.23809523809523814</v>
      </c>
      <c r="EP125" s="41">
        <f t="shared" si="90"/>
        <v>0.19047619047619047</v>
      </c>
    </row>
    <row r="126" spans="20:146" x14ac:dyDescent="0.15">
      <c r="T126" s="2">
        <v>119</v>
      </c>
      <c r="U126" s="2">
        <f>$N$8*SUM(C$11:C$12)/(365/12)*MAX(节奏总纲!D122-$E$2,0)</f>
        <v>79129.315243865713</v>
      </c>
      <c r="V126" s="2">
        <f>$N$8*SUM(D$11:D$12)/(365/12)*MAX(节奏总纲!E122-$E$2,0)</f>
        <v>67126.822340970262</v>
      </c>
      <c r="W126" s="2">
        <f>$N$8*SUM(E$11:E$12)/(365/12)*MAX(节奏总纲!F122-$E$2,0)</f>
        <v>53540.611352428175</v>
      </c>
      <c r="X126" s="2">
        <f>$N$8*SUM(F$11:F$12)/(365/12)*MAX(节奏总纲!G122-$E$2,0)</f>
        <v>37944.605838953852</v>
      </c>
      <c r="Y126" s="2">
        <f>$N$8*SUM(G$11:G$12)/(365/12)*MAX(节奏总纲!H122-$E$2,0)</f>
        <v>19784.102511665958</v>
      </c>
      <c r="Z126" s="2">
        <f>$O$8*SUM(C$11:C$12)/(365/12)*MAX(节奏总纲!D122-$E$2,0)</f>
        <v>791293.15243865701</v>
      </c>
      <c r="AA126" s="2">
        <f>$O$8*SUM(D$11:D$12)/(365/12)*MAX(节奏总纲!E122-$E$2,0)</f>
        <v>671268.22340970254</v>
      </c>
      <c r="AB126" s="2">
        <f>$O$8*SUM(E$11:E$12)/(365/12)*MAX(节奏总纲!F122-$E$2,0)</f>
        <v>535406.11352428177</v>
      </c>
      <c r="AC126" s="2">
        <f>$O$8*SUM(F$11:F$12)/(365/12)*MAX(节奏总纲!G122-$E$2,0)</f>
        <v>379446.05838953855</v>
      </c>
      <c r="AD126" s="2">
        <f>$O$8*SUM(G$11:G$12)/(365/12)*MAX(节奏总纲!H122-$E$2,0)</f>
        <v>197841.02511665958</v>
      </c>
      <c r="AE126" s="2">
        <f>$Q$8*SUM(C$11:C$12)/(365/12)*MAX(节奏总纲!D122-$E$2,0)</f>
        <v>989116.44054832123</v>
      </c>
      <c r="AF126" s="2">
        <f>$Q$8*SUM(D$11:D$12)/(365/12)*MAX(节奏总纲!E122-$E$2,0)</f>
        <v>839085.27926212817</v>
      </c>
      <c r="AG126" s="2">
        <f>$Q$8*SUM(E$11:E$12)/(365/12)*MAX(节奏总纲!F122-$E$2,0)</f>
        <v>669257.64190535224</v>
      </c>
      <c r="AH126" s="2">
        <f>$Q$8*SUM(F$11:F$12)/(365/12)*MAX(节奏总纲!G122-$E$2,0)</f>
        <v>474307.57298692316</v>
      </c>
      <c r="AI126" s="2">
        <f>$Q$8*SUM(G$11:G$12)/(365/12)*MAX(节奏总纲!H122-$E$2,0)</f>
        <v>247301.28139582445</v>
      </c>
      <c r="AJ126" s="2">
        <f>$P$8*SUM(C$11:C$12)/(365/12)*MAX(节奏总纲!D122-$E$2,0)</f>
        <v>21364915.115843739</v>
      </c>
      <c r="AK126" s="2">
        <f>$P$8*SUM(D$11:D$12)/(365/12)*MAX(节奏总纲!E122-$E$2,0)</f>
        <v>18124242.032061968</v>
      </c>
      <c r="AL126" s="2">
        <f>$P$8*SUM(E$11:E$12)/(365/12)*MAX(节奏总纲!F122-$E$2,0)</f>
        <v>14455965.065155609</v>
      </c>
      <c r="AM126" s="2">
        <f>$P$8*SUM(F$11:F$12)/(365/12)*MAX(节奏总纲!G122-$E$2,0)</f>
        <v>10245043.576517541</v>
      </c>
      <c r="AN126" s="2">
        <f>$P$8*SUM(G$11:G$12)/(365/12)*MAX(节奏总纲!H122-$E$2,0)</f>
        <v>5341707.6781498082</v>
      </c>
      <c r="BC126" s="2">
        <v>119</v>
      </c>
      <c r="BD126" s="2">
        <f>$AZ$8/(365/12)*MAX(节奏总纲!D122-$E$2,0)</f>
        <v>370918.66520562052</v>
      </c>
      <c r="BE126" s="2">
        <f>$AZ$8/(365/12)*MAX(节奏总纲!E122-$E$2,0)</f>
        <v>314656.97972329811</v>
      </c>
      <c r="BF126" s="2">
        <f>$AZ$8/(365/12)*MAX(节奏总纲!F122-$E$2,0)</f>
        <v>250971.61571450709</v>
      </c>
      <c r="BG126" s="2">
        <f>$AZ$8/(365/12)*MAX(节奏总纲!G122-$E$2,0)</f>
        <v>177865.33987009618</v>
      </c>
      <c r="BH126" s="2">
        <f>$AZ$8/(365/12)*MAX(节奏总纲!H122-$E$2,0)</f>
        <v>92737.980523434177</v>
      </c>
      <c r="BI126" s="2">
        <f>$AY$8/(365/12)*MAX(节奏总纲!D122-$E$2,0)</f>
        <v>8902047.964934893</v>
      </c>
      <c r="BJ126" s="2">
        <f>$AY$8/(365/12)*MAX(节奏总纲!E122-$E$2,0)</f>
        <v>7551767.5133591546</v>
      </c>
      <c r="BK126" s="2">
        <f>$AY$8/(365/12)*MAX(节奏总纲!F122-$E$2,0)</f>
        <v>6023318.7771481704</v>
      </c>
      <c r="BL126" s="2">
        <f>$AY$8/(365/12)*MAX(节奏总纲!G122-$E$2,0)</f>
        <v>4268768.1568823084</v>
      </c>
      <c r="BM126" s="2">
        <f>$AY$8/(365/12)*MAX(节奏总纲!H122-$E$2,0)</f>
        <v>2225711.5325624202</v>
      </c>
      <c r="CD126" s="2">
        <v>119</v>
      </c>
      <c r="CE126" s="2">
        <f>INDEX($BY$8:$BY$15,MATCH(CE$7,$CB$8:$CB$15,0))*SUM(C$11:C$12)/(365/12)*MAX(节奏总纲!D122-$E$2,0)</f>
        <v>98911.644054832126</v>
      </c>
      <c r="CF126" s="2">
        <f>INDEX($BY$8:$BY$15,MATCH(CF$7,$CB$8:$CB$15,0))*SUM(D$11:D$12)/(365/12)*MAX(节奏总纲!E122-$E$2,0)</f>
        <v>100690.23351145539</v>
      </c>
      <c r="CG126" s="2">
        <f>INDEX($BY$8:$BY$15,MATCH(CG$7,$CB$8:$CB$15,0))*SUM(E$11:E$12)/(365/12)*MAX(节奏总纲!F122-$E$2,0)</f>
        <v>133851.52838107044</v>
      </c>
      <c r="CH126" s="2">
        <f>INDEX($BY$8:$BY$15,MATCH(CH$7,$CB$8:$CB$15,0))*SUM(F$11:F$12)/(365/12)*MAX(节奏总纲!G122-$E$2,0)</f>
        <v>237153.78649346158</v>
      </c>
      <c r="CI126" s="2">
        <f>INDEX($BY$8:$BY$15,MATCH(CI$7,$CB$8:$CB$15,0))*SUM(G$11:G$12)/(365/12)*MAX(节奏总纲!H122-$E$2,0)</f>
        <v>197841.02511665958</v>
      </c>
      <c r="CJ126" s="2">
        <f>INDEX($BZ$8:$BZ$15,MATCH(CE$7,$CB$8:$CB$15,0))*SUM(C$11:C$12)/(365/12)*MAX(节奏总纲!D122-$E$2,0)</f>
        <v>4154289.0503029497</v>
      </c>
      <c r="CK126" s="2">
        <f>INDEX($BZ$8:$BZ$15,MATCH(CF$7,$CB$8:$CB$15,0))*SUM(D$11:D$12)/(365/12)*MAX(节奏总纲!E122-$E$2,0)</f>
        <v>4027609.3404582157</v>
      </c>
      <c r="CL126" s="2">
        <f>INDEX($BZ$8:$BZ$15,MATCH(CG$7,$CB$8:$CB$15,0))*SUM(E$11:E$12)/(365/12)*MAX(节奏总纲!F122-$E$2,0)</f>
        <v>4818655.0217185356</v>
      </c>
      <c r="CM126" s="2">
        <f>INDEX($BZ$8:$BZ$15,MATCH(CH$7,$CB$8:$CB$15,0))*SUM(F$11:F$12)/(365/12)*MAX(节奏总纲!G122-$E$2,0)</f>
        <v>3415014.5255058468</v>
      </c>
      <c r="CN126" s="2">
        <f>INDEX($BZ$8:$BZ$15,MATCH(CI$7,$CB$8:$CB$15,0))*SUM(G$11:G$12)/(365/12)*MAX(节奏总纲!H122-$E$2,0)</f>
        <v>1780569.2260499361</v>
      </c>
      <c r="CS126" s="2">
        <v>119</v>
      </c>
      <c r="CT126" s="2">
        <f t="shared" si="91"/>
        <v>1458946.7498087739</v>
      </c>
      <c r="CU126" s="2">
        <f t="shared" si="92"/>
        <v>1254432.4924968816</v>
      </c>
      <c r="CV126" s="2">
        <f t="shared" si="93"/>
        <v>1054080.7860009298</v>
      </c>
      <c r="CW126" s="2">
        <f t="shared" si="94"/>
        <v>889326.69935048092</v>
      </c>
      <c r="CX126" s="2">
        <f t="shared" si="95"/>
        <v>537880.28703591821</v>
      </c>
      <c r="CZ126" s="41">
        <f t="shared" si="96"/>
        <v>0.67796610169491522</v>
      </c>
      <c r="DA126" s="41">
        <f t="shared" si="97"/>
        <v>0.25423728813559326</v>
      </c>
      <c r="DB126" s="41">
        <f t="shared" si="98"/>
        <v>6.7796610169491525E-2</v>
      </c>
      <c r="DD126" s="41">
        <f t="shared" si="99"/>
        <v>0.63492063492063489</v>
      </c>
      <c r="DE126" s="41">
        <f t="shared" si="100"/>
        <v>0.23809523809523811</v>
      </c>
      <c r="DF126" s="41">
        <f t="shared" si="101"/>
        <v>0.12698412698412698</v>
      </c>
      <c r="DH126" s="41">
        <f t="shared" si="102"/>
        <v>0.45977011494252873</v>
      </c>
      <c r="DI126" s="41">
        <f t="shared" si="103"/>
        <v>0.17241379310344829</v>
      </c>
      <c r="DJ126" s="41">
        <f t="shared" si="104"/>
        <v>0.36781609195402298</v>
      </c>
      <c r="DL126" s="2">
        <f>CT126/节奏总纲!D122</f>
        <v>381.85294666832294</v>
      </c>
      <c r="DM126" s="2">
        <f>CU126/节奏总纲!E122</f>
        <v>385.94690920371454</v>
      </c>
      <c r="DN126" s="2">
        <f>CV126/节奏总纲!F122</f>
        <v>404.70382441566682</v>
      </c>
      <c r="DO126" s="2">
        <f>CW126/节奏总纲!G122</f>
        <v>477.27125742728674</v>
      </c>
      <c r="DP126" s="2">
        <f>CX126/节奏总纲!H122</f>
        <v>537.74043133942712</v>
      </c>
      <c r="DR126" s="2">
        <f t="shared" si="105"/>
        <v>1.0107213066472618</v>
      </c>
      <c r="DS126" s="2">
        <f t="shared" si="106"/>
        <v>1.0598420882874373</v>
      </c>
      <c r="DT126" s="2">
        <f t="shared" si="107"/>
        <v>1.2498823476196559</v>
      </c>
      <c r="DU126" s="2">
        <f t="shared" si="108"/>
        <v>1.4082395750281007</v>
      </c>
      <c r="DY126" s="2">
        <v>119</v>
      </c>
      <c r="DZ126" s="2">
        <f t="shared" si="77"/>
        <v>34421252.131081581</v>
      </c>
      <c r="EA126" s="2">
        <f t="shared" si="78"/>
        <v>29703618.885879338</v>
      </c>
      <c r="EB126" s="2">
        <f t="shared" si="79"/>
        <v>25297938.864022315</v>
      </c>
      <c r="EC126" s="2">
        <f t="shared" si="80"/>
        <v>17928826.258905698</v>
      </c>
      <c r="ED126" s="2">
        <f t="shared" si="81"/>
        <v>9347988.4367621634</v>
      </c>
      <c r="EF126" s="57">
        <f t="shared" si="82"/>
        <v>0.62068965517241381</v>
      </c>
      <c r="EG126" s="57">
        <f t="shared" si="83"/>
        <v>0.25862068965517243</v>
      </c>
      <c r="EH126" s="41">
        <f t="shared" si="84"/>
        <v>0.1206896551724138</v>
      </c>
      <c r="EJ126" s="57">
        <f t="shared" si="85"/>
        <v>0.5714285714285714</v>
      </c>
      <c r="EK126" s="57">
        <f t="shared" si="86"/>
        <v>0.23809523809523811</v>
      </c>
      <c r="EL126" s="41">
        <f t="shared" si="87"/>
        <v>0.19047619047619047</v>
      </c>
      <c r="EN126" s="57">
        <f t="shared" si="88"/>
        <v>0.57142857142857151</v>
      </c>
      <c r="EO126" s="57">
        <f t="shared" si="89"/>
        <v>0.23809523809523814</v>
      </c>
      <c r="EP126" s="41">
        <f t="shared" si="90"/>
        <v>0.19047619047619049</v>
      </c>
    </row>
    <row r="127" spans="20:146" x14ac:dyDescent="0.15">
      <c r="T127" s="2">
        <v>120</v>
      </c>
      <c r="U127" s="2">
        <f>$N$8*SUM(C$11:C$12)/(365/12)*MAX(节奏总纲!D123-$E$2,0)</f>
        <v>84900.821917808207</v>
      </c>
      <c r="V127" s="2">
        <f>$N$8*SUM(D$11:D$12)/(365/12)*MAX(节奏总纲!E123-$E$2,0)</f>
        <v>72088.34104109589</v>
      </c>
      <c r="W127" s="2">
        <f>$N$8*SUM(E$11:E$12)/(365/12)*MAX(节奏总纲!F123-$E$2,0)</f>
        <v>57483.663780821917</v>
      </c>
      <c r="X127" s="2">
        <f>$N$8*SUM(F$11:F$12)/(365/12)*MAX(节奏总纲!G123-$E$2,0)</f>
        <v>40578.426739726026</v>
      </c>
      <c r="Y127" s="2">
        <f>$N$8*SUM(G$11:G$12)/(365/12)*MAX(节奏总纲!H123-$E$2,0)</f>
        <v>21208.919671232874</v>
      </c>
      <c r="Z127" s="2">
        <f>$O$8*SUM(C$11:C$12)/(365/12)*MAX(节奏总纲!D123-$E$2,0)</f>
        <v>849008.21917808219</v>
      </c>
      <c r="AA127" s="2">
        <f>$O$8*SUM(D$11:D$12)/(365/12)*MAX(节奏总纲!E123-$E$2,0)</f>
        <v>720883.41041095881</v>
      </c>
      <c r="AB127" s="2">
        <f>$O$8*SUM(E$11:E$12)/(365/12)*MAX(节奏总纲!F123-$E$2,0)</f>
        <v>574836.63780821918</v>
      </c>
      <c r="AC127" s="2">
        <f>$O$8*SUM(F$11:F$12)/(365/12)*MAX(节奏总纲!G123-$E$2,0)</f>
        <v>405784.26739726024</v>
      </c>
      <c r="AD127" s="2">
        <f>$O$8*SUM(G$11:G$12)/(365/12)*MAX(节奏总纲!H123-$E$2,0)</f>
        <v>212089.19671232873</v>
      </c>
      <c r="AE127" s="2">
        <f>$Q$8*SUM(C$11:C$12)/(365/12)*MAX(节奏总纲!D123-$E$2,0)</f>
        <v>1061260.2739726026</v>
      </c>
      <c r="AF127" s="2">
        <f>$Q$8*SUM(D$11:D$12)/(365/12)*MAX(节奏总纲!E123-$E$2,0)</f>
        <v>901104.26301369851</v>
      </c>
      <c r="AG127" s="2">
        <f>$Q$8*SUM(E$11:E$12)/(365/12)*MAX(节奏总纲!F123-$E$2,0)</f>
        <v>718545.79726027395</v>
      </c>
      <c r="AH127" s="2">
        <f>$Q$8*SUM(F$11:F$12)/(365/12)*MAX(节奏总纲!G123-$E$2,0)</f>
        <v>507230.33424657525</v>
      </c>
      <c r="AI127" s="2">
        <f>$Q$8*SUM(G$11:G$12)/(365/12)*MAX(节奏总纲!H123-$E$2,0)</f>
        <v>265111.49589041091</v>
      </c>
      <c r="AJ127" s="2">
        <f>$P$8*SUM(C$11:C$12)/(365/12)*MAX(节奏总纲!D123-$E$2,0)</f>
        <v>22923221.917808216</v>
      </c>
      <c r="AK127" s="2">
        <f>$P$8*SUM(D$11:D$12)/(365/12)*MAX(节奏总纲!E123-$E$2,0)</f>
        <v>19463852.081095889</v>
      </c>
      <c r="AL127" s="2">
        <f>$P$8*SUM(E$11:E$12)/(365/12)*MAX(节奏总纲!F123-$E$2,0)</f>
        <v>15520589.220821917</v>
      </c>
      <c r="AM127" s="2">
        <f>$P$8*SUM(F$11:F$12)/(365/12)*MAX(节奏总纲!G123-$E$2,0)</f>
        <v>10956175.219726026</v>
      </c>
      <c r="AN127" s="2">
        <f>$P$8*SUM(G$11:G$12)/(365/12)*MAX(节奏总纲!H123-$E$2,0)</f>
        <v>5726408.311232876</v>
      </c>
      <c r="BC127" s="2">
        <v>120</v>
      </c>
      <c r="BD127" s="2">
        <f>$AZ$8/(365/12)*MAX(节奏总纲!D123-$E$2,0)</f>
        <v>397972.60273972602</v>
      </c>
      <c r="BE127" s="2">
        <f>$AZ$8/(365/12)*MAX(节奏总纲!E123-$E$2,0)</f>
        <v>337914.09863013698</v>
      </c>
      <c r="BF127" s="2">
        <f>$AZ$8/(365/12)*MAX(节奏总纲!F123-$E$2,0)</f>
        <v>269454.67397260276</v>
      </c>
      <c r="BG127" s="2">
        <f>$AZ$8/(365/12)*MAX(节奏总纲!G123-$E$2,0)</f>
        <v>190211.37534246573</v>
      </c>
      <c r="BH127" s="2">
        <f>$AZ$8/(365/12)*MAX(节奏总纲!H123-$E$2,0)</f>
        <v>99416.810958904098</v>
      </c>
      <c r="BI127" s="2">
        <f>$AY$8/(365/12)*MAX(节奏总纲!D123-$E$2,0)</f>
        <v>9551342.4657534249</v>
      </c>
      <c r="BJ127" s="2">
        <f>$AY$8/(365/12)*MAX(节奏总纲!E123-$E$2,0)</f>
        <v>8109938.3671232881</v>
      </c>
      <c r="BK127" s="2">
        <f>$AY$8/(365/12)*MAX(节奏总纲!F123-$E$2,0)</f>
        <v>6466912.1753424658</v>
      </c>
      <c r="BL127" s="2">
        <f>$AY$8/(365/12)*MAX(节奏总纲!G123-$E$2,0)</f>
        <v>4565073.0082191778</v>
      </c>
      <c r="BM127" s="2">
        <f>$AY$8/(365/12)*MAX(节奏总纲!H123-$E$2,0)</f>
        <v>2386003.4630136983</v>
      </c>
      <c r="CD127" s="2">
        <v>120</v>
      </c>
      <c r="CE127" s="2">
        <f>INDEX($BY$8:$BY$15,MATCH(CE$7,$CB$8:$CB$15,0))*SUM(C$11:C$12)/(365/12)*MAX(节奏总纲!D123-$E$2,0)</f>
        <v>106126.02739726027</v>
      </c>
      <c r="CF127" s="2">
        <f>INDEX($BY$8:$BY$15,MATCH(CF$7,$CB$8:$CB$15,0))*SUM(D$11:D$12)/(365/12)*MAX(节奏总纲!E123-$E$2,0)</f>
        <v>108132.51156164383</v>
      </c>
      <c r="CG127" s="2">
        <f>INDEX($BY$8:$BY$15,MATCH(CG$7,$CB$8:$CB$15,0))*SUM(E$11:E$12)/(365/12)*MAX(节奏总纲!F123-$E$2,0)</f>
        <v>143709.1594520548</v>
      </c>
      <c r="CH127" s="2">
        <f>INDEX($BY$8:$BY$15,MATCH(CH$7,$CB$8:$CB$15,0))*SUM(F$11:F$12)/(365/12)*MAX(节奏总纲!G123-$E$2,0)</f>
        <v>253615.16712328763</v>
      </c>
      <c r="CI127" s="2">
        <f>INDEX($BY$8:$BY$15,MATCH(CI$7,$CB$8:$CB$15,0))*SUM(G$11:G$12)/(365/12)*MAX(节奏总纲!H123-$E$2,0)</f>
        <v>212089.19671232873</v>
      </c>
      <c r="CJ127" s="2">
        <f>INDEX($BZ$8:$BZ$15,MATCH(CE$7,$CB$8:$CB$15,0))*SUM(C$11:C$12)/(365/12)*MAX(节奏总纲!D123-$E$2,0)</f>
        <v>4457293.1506849313</v>
      </c>
      <c r="CK127" s="2">
        <f>INDEX($BZ$8:$BZ$15,MATCH(CF$7,$CB$8:$CB$15,0))*SUM(D$11:D$12)/(365/12)*MAX(节奏总纲!E123-$E$2,0)</f>
        <v>4325300.4624657538</v>
      </c>
      <c r="CL127" s="2">
        <f>INDEX($BZ$8:$BZ$15,MATCH(CG$7,$CB$8:$CB$15,0))*SUM(E$11:E$12)/(365/12)*MAX(节奏总纲!F123-$E$2,0)</f>
        <v>5173529.740273972</v>
      </c>
      <c r="CM127" s="2">
        <f>INDEX($BZ$8:$BZ$15,MATCH(CH$7,$CB$8:$CB$15,0))*SUM(F$11:F$12)/(365/12)*MAX(节奏总纲!G123-$E$2,0)</f>
        <v>3652058.4065753422</v>
      </c>
      <c r="CN127" s="2">
        <f>INDEX($BZ$8:$BZ$15,MATCH(CI$7,$CB$8:$CB$15,0))*SUM(G$11:G$12)/(365/12)*MAX(节奏总纲!H123-$E$2,0)</f>
        <v>1908802.7704109584</v>
      </c>
      <c r="CS127" s="2">
        <v>120</v>
      </c>
      <c r="CT127" s="2">
        <f t="shared" si="91"/>
        <v>1565358.9041095888</v>
      </c>
      <c r="CU127" s="2">
        <f t="shared" si="92"/>
        <v>1347150.8732054792</v>
      </c>
      <c r="CV127" s="2">
        <f t="shared" si="93"/>
        <v>1131709.6306849315</v>
      </c>
      <c r="CW127" s="2">
        <f t="shared" si="94"/>
        <v>951056.87671232852</v>
      </c>
      <c r="CX127" s="2">
        <f t="shared" si="95"/>
        <v>576617.50356164377</v>
      </c>
      <c r="CZ127" s="41">
        <f t="shared" si="96"/>
        <v>0.67796610169491522</v>
      </c>
      <c r="DA127" s="41">
        <f t="shared" si="97"/>
        <v>0.25423728813559326</v>
      </c>
      <c r="DB127" s="41">
        <f t="shared" si="98"/>
        <v>6.7796610169491539E-2</v>
      </c>
      <c r="DD127" s="41">
        <f t="shared" si="99"/>
        <v>0.63492063492063489</v>
      </c>
      <c r="DE127" s="41">
        <f t="shared" si="100"/>
        <v>0.23809523809523811</v>
      </c>
      <c r="DF127" s="41">
        <f t="shared" si="101"/>
        <v>0.12698412698412698</v>
      </c>
      <c r="DH127" s="41">
        <f t="shared" si="102"/>
        <v>0.45977011494252873</v>
      </c>
      <c r="DI127" s="41">
        <f t="shared" si="103"/>
        <v>0.17241379310344829</v>
      </c>
      <c r="DJ127" s="41">
        <f t="shared" si="104"/>
        <v>0.36781609195402298</v>
      </c>
      <c r="DL127" s="2">
        <f>CT127/节奏总纲!D123</f>
        <v>382.26102664458824</v>
      </c>
      <c r="DM127" s="2">
        <f>CU127/节奏总纲!E123</f>
        <v>386.43788583501731</v>
      </c>
      <c r="DN127" s="2">
        <f>CV127/节奏总纲!F123</f>
        <v>405.34433584193084</v>
      </c>
      <c r="DO127" s="2">
        <f>CW127/节奏总纲!G123</f>
        <v>478.27084337205969</v>
      </c>
      <c r="DP127" s="2">
        <f>CX127/节奏总纲!H123</f>
        <v>539.91616249957292</v>
      </c>
      <c r="DR127" s="2">
        <f t="shared" si="105"/>
        <v>1.0109267199617307</v>
      </c>
      <c r="DS127" s="2">
        <f t="shared" si="106"/>
        <v>1.0603862481089514</v>
      </c>
      <c r="DT127" s="2">
        <f t="shared" si="107"/>
        <v>1.2511629751278246</v>
      </c>
      <c r="DU127" s="2">
        <f t="shared" si="108"/>
        <v>1.4124279611731552</v>
      </c>
      <c r="DY127" s="2">
        <v>120</v>
      </c>
      <c r="DZ127" s="2">
        <f t="shared" si="77"/>
        <v>36931857.534246571</v>
      </c>
      <c r="EA127" s="2">
        <f t="shared" si="78"/>
        <v>31899090.910684928</v>
      </c>
      <c r="EB127" s="2">
        <f t="shared" si="79"/>
        <v>27161031.136438355</v>
      </c>
      <c r="EC127" s="2">
        <f t="shared" si="80"/>
        <v>19173306.634520546</v>
      </c>
      <c r="ED127" s="2">
        <f t="shared" si="81"/>
        <v>10021214.544657532</v>
      </c>
      <c r="EF127" s="57">
        <f t="shared" si="82"/>
        <v>0.62068965517241381</v>
      </c>
      <c r="EG127" s="57">
        <f t="shared" si="83"/>
        <v>0.25862068965517243</v>
      </c>
      <c r="EH127" s="41">
        <f t="shared" si="84"/>
        <v>0.1206896551724138</v>
      </c>
      <c r="EJ127" s="57">
        <f t="shared" si="85"/>
        <v>0.5714285714285714</v>
      </c>
      <c r="EK127" s="57">
        <f t="shared" si="86"/>
        <v>0.23809523809523811</v>
      </c>
      <c r="EL127" s="41">
        <f t="shared" si="87"/>
        <v>0.19047619047619047</v>
      </c>
      <c r="EN127" s="57">
        <f t="shared" si="88"/>
        <v>0.57142857142857151</v>
      </c>
      <c r="EO127" s="57">
        <f t="shared" si="89"/>
        <v>0.23809523809523811</v>
      </c>
      <c r="EP127" s="41">
        <f t="shared" si="90"/>
        <v>0.19047619047619047</v>
      </c>
    </row>
    <row r="128" spans="20:146" x14ac:dyDescent="0.15">
      <c r="T128" s="2">
        <v>121</v>
      </c>
      <c r="U128" s="2">
        <f>$N$8*SUM(C$11:C$12)/(365/12)*MAX(节奏总纲!D124-$E$2,0)</f>
        <v>91086.569609790924</v>
      </c>
      <c r="V128" s="2">
        <f>$N$8*SUM(D$11:D$12)/(365/12)*MAX(节奏总纲!E124-$E$2,0)</f>
        <v>77252.684112381234</v>
      </c>
      <c r="W128" s="2">
        <f>$N$8*SUM(E$11:E$12)/(365/12)*MAX(节奏总纲!F124-$E$2,0)</f>
        <v>61414.824547589757</v>
      </c>
      <c r="X128" s="2">
        <f>$N$8*SUM(F$11:F$12)/(365/12)*MAX(节奏总纲!G124-$E$2,0)</f>
        <v>43388.292844690077</v>
      </c>
      <c r="Y128" s="2">
        <f>$N$8*SUM(G$11:G$12)/(365/12)*MAX(节奏总纲!H124-$E$2,0)</f>
        <v>22794.457958693001</v>
      </c>
      <c r="Z128" s="2">
        <f>$O$8*SUM(C$11:C$12)/(365/12)*MAX(节奏总纲!D124-$E$2,0)</f>
        <v>910865.69609790924</v>
      </c>
      <c r="AA128" s="2">
        <f>$O$8*SUM(D$11:D$12)/(365/12)*MAX(节奏总纲!E124-$E$2,0)</f>
        <v>772526.84112381225</v>
      </c>
      <c r="AB128" s="2">
        <f>$O$8*SUM(E$11:E$12)/(365/12)*MAX(节奏总纲!F124-$E$2,0)</f>
        <v>614148.24547589757</v>
      </c>
      <c r="AC128" s="2">
        <f>$O$8*SUM(F$11:F$12)/(365/12)*MAX(节奏总纲!G124-$E$2,0)</f>
        <v>433882.92844690074</v>
      </c>
      <c r="AD128" s="2">
        <f>$O$8*SUM(G$11:G$12)/(365/12)*MAX(节奏总纲!H124-$E$2,0)</f>
        <v>227944.57958693002</v>
      </c>
      <c r="AE128" s="2">
        <f>$Q$8*SUM(C$11:C$12)/(365/12)*MAX(节奏总纲!D124-$E$2,0)</f>
        <v>1138582.1201223866</v>
      </c>
      <c r="AF128" s="2">
        <f>$Q$8*SUM(D$11:D$12)/(365/12)*MAX(节奏总纲!E124-$E$2,0)</f>
        <v>965658.55140476534</v>
      </c>
      <c r="AG128" s="2">
        <f>$Q$8*SUM(E$11:E$12)/(365/12)*MAX(节奏总纲!F124-$E$2,0)</f>
        <v>767685.30684487184</v>
      </c>
      <c r="AH128" s="2">
        <f>$Q$8*SUM(F$11:F$12)/(365/12)*MAX(节奏总纲!G124-$E$2,0)</f>
        <v>542353.66055862594</v>
      </c>
      <c r="AI128" s="2">
        <f>$Q$8*SUM(G$11:G$12)/(365/12)*MAX(节奏总纲!H124-$E$2,0)</f>
        <v>284930.72448366252</v>
      </c>
      <c r="AJ128" s="2">
        <f>$P$8*SUM(C$11:C$12)/(365/12)*MAX(节奏总纲!D124-$E$2,0)</f>
        <v>24593373.794643551</v>
      </c>
      <c r="AK128" s="2">
        <f>$P$8*SUM(D$11:D$12)/(365/12)*MAX(节奏总纲!E124-$E$2,0)</f>
        <v>20858224.710342932</v>
      </c>
      <c r="AL128" s="2">
        <f>$P$8*SUM(E$11:E$12)/(365/12)*MAX(节奏总纲!F124-$E$2,0)</f>
        <v>16582002.627849232</v>
      </c>
      <c r="AM128" s="2">
        <f>$P$8*SUM(F$11:F$12)/(365/12)*MAX(节奏总纲!G124-$E$2,0)</f>
        <v>11714839.068066319</v>
      </c>
      <c r="AN128" s="2">
        <f>$P$8*SUM(G$11:G$12)/(365/12)*MAX(节奏总纲!H124-$E$2,0)</f>
        <v>6154503.6488471106</v>
      </c>
      <c r="BC128" s="2">
        <v>121</v>
      </c>
      <c r="BD128" s="2">
        <f>$AZ$8/(365/12)*MAX(节奏总纲!D124-$E$2,0)</f>
        <v>426968.29504589498</v>
      </c>
      <c r="BE128" s="2">
        <f>$AZ$8/(365/12)*MAX(节奏总纲!E124-$E$2,0)</f>
        <v>362121.956776787</v>
      </c>
      <c r="BF128" s="2">
        <f>$AZ$8/(365/12)*MAX(节奏总纲!F124-$E$2,0)</f>
        <v>287881.99006682698</v>
      </c>
      <c r="BG128" s="2">
        <f>$AZ$8/(365/12)*MAX(节奏总纲!G124-$E$2,0)</f>
        <v>203382.62270948471</v>
      </c>
      <c r="BH128" s="2">
        <f>$AZ$8/(365/12)*MAX(节奏总纲!H124-$E$2,0)</f>
        <v>106849.02168137344</v>
      </c>
      <c r="BI128" s="2">
        <f>$AY$8/(365/12)*MAX(节奏总纲!D124-$E$2,0)</f>
        <v>10247239.081101481</v>
      </c>
      <c r="BJ128" s="2">
        <f>$AY$8/(365/12)*MAX(节奏总纲!E124-$E$2,0)</f>
        <v>8690926.9626428895</v>
      </c>
      <c r="BK128" s="2">
        <f>$AY$8/(365/12)*MAX(节奏总纲!F124-$E$2,0)</f>
        <v>6909167.7616038481</v>
      </c>
      <c r="BL128" s="2">
        <f>$AY$8/(365/12)*MAX(节奏总纲!G124-$E$2,0)</f>
        <v>4881182.9450276336</v>
      </c>
      <c r="BM128" s="2">
        <f>$AY$8/(365/12)*MAX(节奏总纲!H124-$E$2,0)</f>
        <v>2564376.5203529629</v>
      </c>
      <c r="CD128" s="2">
        <v>121</v>
      </c>
      <c r="CE128" s="2">
        <f>INDEX($BY$8:$BY$15,MATCH(CE$7,$CB$8:$CB$15,0))*SUM(C$11:C$12)/(365/12)*MAX(节奏总纲!D124-$E$2,0)</f>
        <v>113858.21201223866</v>
      </c>
      <c r="CF128" s="2">
        <f>INDEX($BY$8:$BY$15,MATCH(CF$7,$CB$8:$CB$15,0))*SUM(D$11:D$12)/(365/12)*MAX(节奏总纲!E124-$E$2,0)</f>
        <v>115879.02616857184</v>
      </c>
      <c r="CG128" s="2">
        <f>INDEX($BY$8:$BY$15,MATCH(CG$7,$CB$8:$CB$15,0))*SUM(E$11:E$12)/(365/12)*MAX(节奏总纲!F124-$E$2,0)</f>
        <v>153537.06136897439</v>
      </c>
      <c r="CH128" s="2">
        <f>INDEX($BY$8:$BY$15,MATCH(CH$7,$CB$8:$CB$15,0))*SUM(F$11:F$12)/(365/12)*MAX(节奏总纲!G124-$E$2,0)</f>
        <v>271176.83027931297</v>
      </c>
      <c r="CI128" s="2">
        <f>INDEX($BY$8:$BY$15,MATCH(CI$7,$CB$8:$CB$15,0))*SUM(G$11:G$12)/(365/12)*MAX(节奏总纲!H124-$E$2,0)</f>
        <v>227944.57958693002</v>
      </c>
      <c r="CJ128" s="2">
        <f>INDEX($BZ$8:$BZ$15,MATCH(CE$7,$CB$8:$CB$15,0))*SUM(C$11:C$12)/(365/12)*MAX(节奏总纲!D124-$E$2,0)</f>
        <v>4782044.904514024</v>
      </c>
      <c r="CK128" s="2">
        <f>INDEX($BZ$8:$BZ$15,MATCH(CF$7,$CB$8:$CB$15,0))*SUM(D$11:D$12)/(365/12)*MAX(节奏总纲!E124-$E$2,0)</f>
        <v>4635161.0467428742</v>
      </c>
      <c r="CL128" s="2">
        <f>INDEX($BZ$8:$BZ$15,MATCH(CG$7,$CB$8:$CB$15,0))*SUM(E$11:E$12)/(365/12)*MAX(节奏总纲!F124-$E$2,0)</f>
        <v>5527334.2092830772</v>
      </c>
      <c r="CM128" s="2">
        <f>INDEX($BZ$8:$BZ$15,MATCH(CH$7,$CB$8:$CB$15,0))*SUM(F$11:F$12)/(365/12)*MAX(节奏总纲!G124-$E$2,0)</f>
        <v>3904946.3560221065</v>
      </c>
      <c r="CN128" s="2">
        <f>INDEX($BZ$8:$BZ$15,MATCH(CI$7,$CB$8:$CB$15,0))*SUM(G$11:G$12)/(365/12)*MAX(节奏总纲!H124-$E$2,0)</f>
        <v>2051501.2162823703</v>
      </c>
      <c r="CS128" s="2">
        <v>121</v>
      </c>
      <c r="CT128" s="2">
        <f t="shared" si="91"/>
        <v>1679408.6271805202</v>
      </c>
      <c r="CU128" s="2">
        <f t="shared" si="92"/>
        <v>1443659.5343501242</v>
      </c>
      <c r="CV128" s="2">
        <f t="shared" si="93"/>
        <v>1209104.3582806732</v>
      </c>
      <c r="CW128" s="2">
        <f t="shared" si="94"/>
        <v>1016913.1135474236</v>
      </c>
      <c r="CX128" s="2">
        <f t="shared" si="95"/>
        <v>619724.32575196598</v>
      </c>
      <c r="CZ128" s="41">
        <f t="shared" si="96"/>
        <v>0.67796610169491522</v>
      </c>
      <c r="DA128" s="41">
        <f t="shared" si="97"/>
        <v>0.25423728813559321</v>
      </c>
      <c r="DB128" s="41">
        <f t="shared" si="98"/>
        <v>6.7796610169491525E-2</v>
      </c>
      <c r="DD128" s="41">
        <f t="shared" si="99"/>
        <v>0.63492063492063489</v>
      </c>
      <c r="DE128" s="41">
        <f t="shared" si="100"/>
        <v>0.23809523809523814</v>
      </c>
      <c r="DF128" s="41">
        <f t="shared" si="101"/>
        <v>0.126984126984127</v>
      </c>
      <c r="DH128" s="41">
        <f t="shared" si="102"/>
        <v>0.45977011494252873</v>
      </c>
      <c r="DI128" s="41">
        <f t="shared" si="103"/>
        <v>0.17241379310344829</v>
      </c>
      <c r="DJ128" s="41">
        <f t="shared" si="104"/>
        <v>0.36781609195402298</v>
      </c>
      <c r="DL128" s="2">
        <f>CT128/节奏总纲!D124</f>
        <v>382.64176582578585</v>
      </c>
      <c r="DM128" s="2">
        <f>CU128/节奏总纲!E124</f>
        <v>386.88302508859016</v>
      </c>
      <c r="DN128" s="2">
        <f>CV128/节奏总纲!F124</f>
        <v>405.90269014366913</v>
      </c>
      <c r="DO128" s="2">
        <f>CW128/节奏总纲!G124</f>
        <v>479.20722975737169</v>
      </c>
      <c r="DP128" s="2">
        <f>CX128/节奏总纲!H124</f>
        <v>542.03434819054632</v>
      </c>
      <c r="DR128" s="2">
        <f t="shared" si="105"/>
        <v>1.0110841513958917</v>
      </c>
      <c r="DS128" s="2">
        <f t="shared" si="106"/>
        <v>1.060790343332447</v>
      </c>
      <c r="DT128" s="2">
        <f t="shared" si="107"/>
        <v>1.2523651952190484</v>
      </c>
      <c r="DU128" s="2">
        <f t="shared" si="108"/>
        <v>1.4165582448135858</v>
      </c>
      <c r="DY128" s="2">
        <v>121</v>
      </c>
      <c r="DZ128" s="2">
        <f t="shared" si="77"/>
        <v>39622657.78025905</v>
      </c>
      <c r="EA128" s="2">
        <f t="shared" si="78"/>
        <v>34184312.719728693</v>
      </c>
      <c r="EB128" s="2">
        <f t="shared" si="79"/>
        <v>29018504.598736156</v>
      </c>
      <c r="EC128" s="2">
        <f t="shared" si="80"/>
        <v>20500968.36911606</v>
      </c>
      <c r="ED128" s="2">
        <f t="shared" si="81"/>
        <v>10770381.385482443</v>
      </c>
      <c r="EF128" s="57">
        <f t="shared" si="82"/>
        <v>0.62068965517241381</v>
      </c>
      <c r="EG128" s="57">
        <f t="shared" si="83"/>
        <v>0.25862068965517249</v>
      </c>
      <c r="EH128" s="41">
        <f t="shared" si="84"/>
        <v>0.12068965517241381</v>
      </c>
      <c r="EJ128" s="57">
        <f t="shared" si="85"/>
        <v>0.5714285714285714</v>
      </c>
      <c r="EK128" s="57">
        <f t="shared" si="86"/>
        <v>0.23809523809523814</v>
      </c>
      <c r="EL128" s="41">
        <f t="shared" si="87"/>
        <v>0.19047619047619047</v>
      </c>
      <c r="EN128" s="57">
        <f t="shared" si="88"/>
        <v>0.5714285714285714</v>
      </c>
      <c r="EO128" s="57">
        <f t="shared" si="89"/>
        <v>0.23809523809523811</v>
      </c>
      <c r="EP128" s="41">
        <f t="shared" si="90"/>
        <v>0.19047619047619049</v>
      </c>
    </row>
    <row r="129" spans="20:146" x14ac:dyDescent="0.15">
      <c r="T129" s="2">
        <v>122</v>
      </c>
      <c r="U129" s="2">
        <f>$N$8*SUM(C$11:C$12)/(365/12)*MAX(节奏总纲!D125-$E$2,0)</f>
        <v>97716.289832003022</v>
      </c>
      <c r="V129" s="2">
        <f>$N$8*SUM(D$11:D$12)/(365/12)*MAX(节奏总纲!E125-$E$2,0)</f>
        <v>82681.416858576558</v>
      </c>
      <c r="W129" s="2">
        <f>$N$8*SUM(E$11:E$12)/(365/12)*MAX(节奏总纲!F125-$E$2,0)</f>
        <v>65726.356026792782</v>
      </c>
      <c r="X129" s="2">
        <f>$N$8*SUM(F$11:F$12)/(365/12)*MAX(节奏总纲!G125-$E$2,0)</f>
        <v>46524.477443219825</v>
      </c>
      <c r="Y129" s="2">
        <f>$N$8*SUM(G$11:G$12)/(365/12)*MAX(节奏总纲!H125-$E$2,0)</f>
        <v>24491.806449903623</v>
      </c>
      <c r="Z129" s="2">
        <f>$O$8*SUM(C$11:C$12)/(365/12)*MAX(节奏总纲!D125-$E$2,0)</f>
        <v>977162.89832003019</v>
      </c>
      <c r="AA129" s="2">
        <f>$O$8*SUM(D$11:D$12)/(365/12)*MAX(节奏总纲!E125-$E$2,0)</f>
        <v>826814.16858576552</v>
      </c>
      <c r="AB129" s="2">
        <f>$O$8*SUM(E$11:E$12)/(365/12)*MAX(节奏总纲!F125-$E$2,0)</f>
        <v>657263.56026792782</v>
      </c>
      <c r="AC129" s="2">
        <f>$O$8*SUM(F$11:F$12)/(365/12)*MAX(节奏总纲!G125-$E$2,0)</f>
        <v>465244.77443219826</v>
      </c>
      <c r="AD129" s="2">
        <f>$O$8*SUM(G$11:G$12)/(365/12)*MAX(节奏总纲!H125-$E$2,0)</f>
        <v>244918.06449903623</v>
      </c>
      <c r="AE129" s="2">
        <f>$Q$8*SUM(C$11:C$12)/(365/12)*MAX(节奏总纲!D125-$E$2,0)</f>
        <v>1221453.6229000378</v>
      </c>
      <c r="AF129" s="2">
        <f>$Q$8*SUM(D$11:D$12)/(365/12)*MAX(节奏总纲!E125-$E$2,0)</f>
        <v>1033517.7107322069</v>
      </c>
      <c r="AG129" s="2">
        <f>$Q$8*SUM(E$11:E$12)/(365/12)*MAX(节奏总纲!F125-$E$2,0)</f>
        <v>821579.45033490984</v>
      </c>
      <c r="AH129" s="2">
        <f>$Q$8*SUM(F$11:F$12)/(365/12)*MAX(节奏总纲!G125-$E$2,0)</f>
        <v>581555.9680402478</v>
      </c>
      <c r="AI129" s="2">
        <f>$Q$8*SUM(G$11:G$12)/(365/12)*MAX(节奏总纲!H125-$E$2,0)</f>
        <v>306147.58062379528</v>
      </c>
      <c r="AJ129" s="2">
        <f>$P$8*SUM(C$11:C$12)/(365/12)*MAX(节奏总纲!D125-$E$2,0)</f>
        <v>26383398.254640814</v>
      </c>
      <c r="AK129" s="2">
        <f>$P$8*SUM(D$11:D$12)/(365/12)*MAX(节奏总纲!E125-$E$2,0)</f>
        <v>22323982.55181567</v>
      </c>
      <c r="AL129" s="2">
        <f>$P$8*SUM(E$11:E$12)/(365/12)*MAX(节奏总纲!F125-$E$2,0)</f>
        <v>17746116.127234053</v>
      </c>
      <c r="AM129" s="2">
        <f>$P$8*SUM(F$11:F$12)/(365/12)*MAX(节奏总纲!G125-$E$2,0)</f>
        <v>12561608.909669353</v>
      </c>
      <c r="AN129" s="2">
        <f>$P$8*SUM(G$11:G$12)/(365/12)*MAX(节奏总纲!H125-$E$2,0)</f>
        <v>6612787.7414739784</v>
      </c>
      <c r="BC129" s="2">
        <v>122</v>
      </c>
      <c r="BD129" s="2">
        <f>$AZ$8/(365/12)*MAX(节奏总纲!D125-$E$2,0)</f>
        <v>458045.10858751414</v>
      </c>
      <c r="BE129" s="2">
        <f>$AZ$8/(365/12)*MAX(节奏总纲!E125-$E$2,0)</f>
        <v>387569.14152457763</v>
      </c>
      <c r="BF129" s="2">
        <f>$AZ$8/(365/12)*MAX(节奏总纲!F125-$E$2,0)</f>
        <v>308092.29387559119</v>
      </c>
      <c r="BG129" s="2">
        <f>$AZ$8/(365/12)*MAX(节奏总纲!G125-$E$2,0)</f>
        <v>218083.48801509294</v>
      </c>
      <c r="BH129" s="2">
        <f>$AZ$8/(365/12)*MAX(节奏总纲!H125-$E$2,0)</f>
        <v>114805.34273392324</v>
      </c>
      <c r="BI129" s="2">
        <f>$AY$8/(365/12)*MAX(节奏总纲!D125-$E$2,0)</f>
        <v>10993082.606100341</v>
      </c>
      <c r="BJ129" s="2">
        <f>$AY$8/(365/12)*MAX(节奏总纲!E125-$E$2,0)</f>
        <v>9301659.396589864</v>
      </c>
      <c r="BK129" s="2">
        <f>$AY$8/(365/12)*MAX(节奏总纲!F125-$E$2,0)</f>
        <v>7394215.053014189</v>
      </c>
      <c r="BL129" s="2">
        <f>$AY$8/(365/12)*MAX(节奏总纲!G125-$E$2,0)</f>
        <v>5234003.7123622308</v>
      </c>
      <c r="BM129" s="2">
        <f>$AY$8/(365/12)*MAX(节奏总纲!H125-$E$2,0)</f>
        <v>2755328.225614158</v>
      </c>
      <c r="CD129" s="2">
        <v>122</v>
      </c>
      <c r="CE129" s="2">
        <f>INDEX($BY$8:$BY$15,MATCH(CE$7,$CB$8:$CB$15,0))*SUM(C$11:C$12)/(365/12)*MAX(节奏总纲!D125-$E$2,0)</f>
        <v>122145.36229000377</v>
      </c>
      <c r="CF129" s="2">
        <f>INDEX($BY$8:$BY$15,MATCH(CF$7,$CB$8:$CB$15,0))*SUM(D$11:D$12)/(365/12)*MAX(节奏总纲!E125-$E$2,0)</f>
        <v>124022.12528786484</v>
      </c>
      <c r="CG129" s="2">
        <f>INDEX($BY$8:$BY$15,MATCH(CG$7,$CB$8:$CB$15,0))*SUM(E$11:E$12)/(365/12)*MAX(节奏总纲!F125-$E$2,0)</f>
        <v>164315.89006698196</v>
      </c>
      <c r="CH129" s="2">
        <f>INDEX($BY$8:$BY$15,MATCH(CH$7,$CB$8:$CB$15,0))*SUM(F$11:F$12)/(365/12)*MAX(节奏总纲!G125-$E$2,0)</f>
        <v>290777.9840201239</v>
      </c>
      <c r="CI129" s="2">
        <f>INDEX($BY$8:$BY$15,MATCH(CI$7,$CB$8:$CB$15,0))*SUM(G$11:G$12)/(365/12)*MAX(节奏总纲!H125-$E$2,0)</f>
        <v>244918.06449903623</v>
      </c>
      <c r="CJ129" s="2">
        <f>INDEX($BZ$8:$BZ$15,MATCH(CE$7,$CB$8:$CB$15,0))*SUM(C$11:C$12)/(365/12)*MAX(节奏总纲!D125-$E$2,0)</f>
        <v>5130105.2161801588</v>
      </c>
      <c r="CK129" s="2">
        <f>INDEX($BZ$8:$BZ$15,MATCH(CF$7,$CB$8:$CB$15,0))*SUM(D$11:D$12)/(365/12)*MAX(节奏总纲!E125-$E$2,0)</f>
        <v>4960885.0115145938</v>
      </c>
      <c r="CL129" s="2">
        <f>INDEX($BZ$8:$BZ$15,MATCH(CG$7,$CB$8:$CB$15,0))*SUM(E$11:E$12)/(365/12)*MAX(节奏总纲!F125-$E$2,0)</f>
        <v>5915372.0424113506</v>
      </c>
      <c r="CM129" s="2">
        <f>INDEX($BZ$8:$BZ$15,MATCH(CH$7,$CB$8:$CB$15,0))*SUM(F$11:F$12)/(365/12)*MAX(节奏总纲!G125-$E$2,0)</f>
        <v>4187202.9698897842</v>
      </c>
      <c r="CN129" s="2">
        <f>INDEX($BZ$8:$BZ$15,MATCH(CI$7,$CB$8:$CB$15,0))*SUM(G$11:G$12)/(365/12)*MAX(节奏总纲!H125-$E$2,0)</f>
        <v>2204262.5804913263</v>
      </c>
      <c r="CS129" s="2">
        <v>122</v>
      </c>
      <c r="CT129" s="2">
        <f t="shared" si="91"/>
        <v>1801644.0937775557</v>
      </c>
      <c r="CU129" s="2">
        <f t="shared" si="92"/>
        <v>1545108.9775446495</v>
      </c>
      <c r="CV129" s="2">
        <f t="shared" si="93"/>
        <v>1293987.634277483</v>
      </c>
      <c r="CW129" s="2">
        <f t="shared" si="94"/>
        <v>1090417.4400754645</v>
      </c>
      <c r="CX129" s="2">
        <f t="shared" si="95"/>
        <v>665870.9878567548</v>
      </c>
      <c r="CZ129" s="41">
        <f t="shared" si="96"/>
        <v>0.67796610169491522</v>
      </c>
      <c r="DA129" s="41">
        <f t="shared" si="97"/>
        <v>0.25423728813559321</v>
      </c>
      <c r="DB129" s="41">
        <f t="shared" si="98"/>
        <v>6.7796610169491525E-2</v>
      </c>
      <c r="DD129" s="41">
        <f t="shared" si="99"/>
        <v>0.63492063492063489</v>
      </c>
      <c r="DE129" s="41">
        <f t="shared" si="100"/>
        <v>0.23809523809523811</v>
      </c>
      <c r="DF129" s="41">
        <f t="shared" si="101"/>
        <v>0.12698412698412698</v>
      </c>
      <c r="DH129" s="41">
        <f t="shared" si="102"/>
        <v>0.45977011494252867</v>
      </c>
      <c r="DI129" s="41">
        <f t="shared" si="103"/>
        <v>0.17241379310344829</v>
      </c>
      <c r="DJ129" s="41">
        <f t="shared" si="104"/>
        <v>0.36781609195402298</v>
      </c>
      <c r="DL129" s="2">
        <f>CT129/节奏总纲!D125</f>
        <v>382.99699681359965</v>
      </c>
      <c r="DM129" s="2">
        <f>CU129/节奏总纲!E125</f>
        <v>387.29190437760178</v>
      </c>
      <c r="DN129" s="2">
        <f>CV129/节奏总纲!F125</f>
        <v>406.43971890066831</v>
      </c>
      <c r="DO129" s="2">
        <f>CW129/节奏总纲!G125</f>
        <v>480.12231757095003</v>
      </c>
      <c r="DP129" s="2">
        <f>CX129/节奏总纲!H125</f>
        <v>544.01286107110491</v>
      </c>
      <c r="DR129" s="2">
        <f t="shared" si="105"/>
        <v>1.0112139458004481</v>
      </c>
      <c r="DS129" s="2">
        <f t="shared" si="106"/>
        <v>1.0612086316135736</v>
      </c>
      <c r="DT129" s="2">
        <f t="shared" si="107"/>
        <v>1.2535929042927201</v>
      </c>
      <c r="DU129" s="2">
        <f t="shared" si="108"/>
        <v>1.4204102528142535</v>
      </c>
      <c r="DY129" s="2">
        <v>122</v>
      </c>
      <c r="DZ129" s="2">
        <f t="shared" si="77"/>
        <v>42506586.076921314</v>
      </c>
      <c r="EA129" s="2">
        <f t="shared" si="78"/>
        <v>36586526.959920131</v>
      </c>
      <c r="EB129" s="2">
        <f t="shared" si="79"/>
        <v>31055703.222659592</v>
      </c>
      <c r="EC129" s="2">
        <f t="shared" si="80"/>
        <v>21982815.591921367</v>
      </c>
      <c r="ED129" s="2">
        <f t="shared" si="81"/>
        <v>11572378.547579464</v>
      </c>
      <c r="EF129" s="57">
        <f t="shared" si="82"/>
        <v>0.6206896551724137</v>
      </c>
      <c r="EG129" s="57">
        <f t="shared" si="83"/>
        <v>0.25862068965517243</v>
      </c>
      <c r="EH129" s="41">
        <f t="shared" si="84"/>
        <v>0.1206896551724138</v>
      </c>
      <c r="EJ129" s="57">
        <f t="shared" si="85"/>
        <v>0.5714285714285714</v>
      </c>
      <c r="EK129" s="57">
        <f t="shared" si="86"/>
        <v>0.23809523809523811</v>
      </c>
      <c r="EL129" s="41">
        <f t="shared" si="87"/>
        <v>0.19047619047619047</v>
      </c>
      <c r="EN129" s="57">
        <f t="shared" si="88"/>
        <v>0.5714285714285714</v>
      </c>
      <c r="EO129" s="57">
        <f t="shared" si="89"/>
        <v>0.23809523809523808</v>
      </c>
      <c r="EP129" s="41">
        <f t="shared" si="90"/>
        <v>0.19047619047619047</v>
      </c>
    </row>
    <row r="130" spans="20:146" x14ac:dyDescent="0.15">
      <c r="T130" s="2">
        <v>123</v>
      </c>
      <c r="U130" s="2">
        <f>$N$8*SUM(C$11:C$12)/(365/12)*MAX(节奏总纲!D126-$E$2,0)</f>
        <v>104821.84803021034</v>
      </c>
      <c r="V130" s="2">
        <f>$N$8*SUM(D$11:D$12)/(365/12)*MAX(节奏总纲!E126-$E$2,0)</f>
        <v>88707.640766476179</v>
      </c>
      <c r="W130" s="2">
        <f>$N$8*SUM(E$11:E$12)/(365/12)*MAX(节奏总纲!F126-$E$2,0)</f>
        <v>70694.524286014959</v>
      </c>
      <c r="X130" s="2">
        <f>$N$8*SUM(F$11:F$12)/(365/12)*MAX(节奏总纲!G126-$E$2,0)</f>
        <v>50135.384274746495</v>
      </c>
      <c r="Y130" s="2">
        <f>$N$8*SUM(G$11:G$12)/(365/12)*MAX(节奏总纲!H126-$E$2,0)</f>
        <v>26436.148575482443</v>
      </c>
      <c r="Z130" s="2">
        <f>$O$8*SUM(C$11:C$12)/(365/12)*MAX(节奏总纲!D126-$E$2,0)</f>
        <v>1048218.4803021034</v>
      </c>
      <c r="AA130" s="2">
        <f>$O$8*SUM(D$11:D$12)/(365/12)*MAX(节奏总纲!E126-$E$2,0)</f>
        <v>887076.40766476176</v>
      </c>
      <c r="AB130" s="2">
        <f>$O$8*SUM(E$11:E$12)/(365/12)*MAX(节奏总纲!F126-$E$2,0)</f>
        <v>706945.24286014959</v>
      </c>
      <c r="AC130" s="2">
        <f>$O$8*SUM(F$11:F$12)/(365/12)*MAX(节奏总纲!G126-$E$2,0)</f>
        <v>501353.84274746495</v>
      </c>
      <c r="AD130" s="2">
        <f>$O$8*SUM(G$11:G$12)/(365/12)*MAX(节奏总纲!H126-$E$2,0)</f>
        <v>264361.48575482442</v>
      </c>
      <c r="AE130" s="2">
        <f>$Q$8*SUM(C$11:C$12)/(365/12)*MAX(节奏总纲!D126-$E$2,0)</f>
        <v>1310273.1003776293</v>
      </c>
      <c r="AF130" s="2">
        <f>$Q$8*SUM(D$11:D$12)/(365/12)*MAX(节奏总纲!E126-$E$2,0)</f>
        <v>1108845.5095809521</v>
      </c>
      <c r="AG130" s="2">
        <f>$Q$8*SUM(E$11:E$12)/(365/12)*MAX(节奏总纲!F126-$E$2,0)</f>
        <v>883681.55357518699</v>
      </c>
      <c r="AH130" s="2">
        <f>$Q$8*SUM(F$11:F$12)/(365/12)*MAX(节奏总纲!G126-$E$2,0)</f>
        <v>626692.30343433109</v>
      </c>
      <c r="AI130" s="2">
        <f>$Q$8*SUM(G$11:G$12)/(365/12)*MAX(节奏总纲!H126-$E$2,0)</f>
        <v>330451.85719353048</v>
      </c>
      <c r="AJ130" s="2">
        <f>$P$8*SUM(C$11:C$12)/(365/12)*MAX(节奏总纲!D126-$E$2,0)</f>
        <v>28301898.968156792</v>
      </c>
      <c r="AK130" s="2">
        <f>$P$8*SUM(D$11:D$12)/(365/12)*MAX(节奏总纲!E126-$E$2,0)</f>
        <v>23951063.006948568</v>
      </c>
      <c r="AL130" s="2">
        <f>$P$8*SUM(E$11:E$12)/(365/12)*MAX(节奏总纲!F126-$E$2,0)</f>
        <v>19087521.557224039</v>
      </c>
      <c r="AM130" s="2">
        <f>$P$8*SUM(F$11:F$12)/(365/12)*MAX(节奏总纲!G126-$E$2,0)</f>
        <v>13536553.754181553</v>
      </c>
      <c r="AN130" s="2">
        <f>$P$8*SUM(G$11:G$12)/(365/12)*MAX(节奏总纲!H126-$E$2,0)</f>
        <v>7137760.1153802592</v>
      </c>
      <c r="BC130" s="2">
        <v>123</v>
      </c>
      <c r="BD130" s="2">
        <f>$AZ$8/(365/12)*MAX(节奏总纲!D126-$E$2,0)</f>
        <v>491352.41264161095</v>
      </c>
      <c r="BE130" s="2">
        <f>$AZ$8/(365/12)*MAX(节奏总纲!E126-$E$2,0)</f>
        <v>415817.0660928571</v>
      </c>
      <c r="BF130" s="2">
        <f>$AZ$8/(365/12)*MAX(节奏总纲!F126-$E$2,0)</f>
        <v>331380.58259069512</v>
      </c>
      <c r="BG130" s="2">
        <f>$AZ$8/(365/12)*MAX(节奏总纲!G126-$E$2,0)</f>
        <v>235009.6137878742</v>
      </c>
      <c r="BH130" s="2">
        <f>$AZ$8/(365/12)*MAX(节奏总纲!H126-$E$2,0)</f>
        <v>123919.44644757395</v>
      </c>
      <c r="BI130" s="2">
        <f>$AY$8/(365/12)*MAX(节奏总纲!D126-$E$2,0)</f>
        <v>11792457.903398665</v>
      </c>
      <c r="BJ130" s="2">
        <f>$AY$8/(365/12)*MAX(节奏总纲!E126-$E$2,0)</f>
        <v>9979609.5862285718</v>
      </c>
      <c r="BK130" s="2">
        <f>$AY$8/(365/12)*MAX(节奏总纲!F126-$E$2,0)</f>
        <v>7953133.9821766829</v>
      </c>
      <c r="BL130" s="2">
        <f>$AY$8/(365/12)*MAX(节奏总纲!G126-$E$2,0)</f>
        <v>5640230.7309089806</v>
      </c>
      <c r="BM130" s="2">
        <f>$AY$8/(365/12)*MAX(节奏总纲!H126-$E$2,0)</f>
        <v>2974066.7147417748</v>
      </c>
      <c r="CD130" s="2">
        <v>123</v>
      </c>
      <c r="CE130" s="2">
        <f>INDEX($BY$8:$BY$15,MATCH(CE$7,$CB$8:$CB$15,0))*SUM(C$11:C$12)/(365/12)*MAX(节奏总纲!D126-$E$2,0)</f>
        <v>131027.31003776293</v>
      </c>
      <c r="CF130" s="2">
        <f>INDEX($BY$8:$BY$15,MATCH(CF$7,$CB$8:$CB$15,0))*SUM(D$11:D$12)/(365/12)*MAX(节奏总纲!E126-$E$2,0)</f>
        <v>133061.46114971428</v>
      </c>
      <c r="CG130" s="2">
        <f>INDEX($BY$8:$BY$15,MATCH(CG$7,$CB$8:$CB$15,0))*SUM(E$11:E$12)/(365/12)*MAX(节奏总纲!F126-$E$2,0)</f>
        <v>176736.3107150374</v>
      </c>
      <c r="CH130" s="2">
        <f>INDEX($BY$8:$BY$15,MATCH(CH$7,$CB$8:$CB$15,0))*SUM(F$11:F$12)/(365/12)*MAX(节奏总纲!G126-$E$2,0)</f>
        <v>313346.15171716554</v>
      </c>
      <c r="CI130" s="2">
        <f>INDEX($BY$8:$BY$15,MATCH(CI$7,$CB$8:$CB$15,0))*SUM(G$11:G$12)/(365/12)*MAX(节奏总纲!H126-$E$2,0)</f>
        <v>264361.48575482442</v>
      </c>
      <c r="CJ130" s="2">
        <f>INDEX($BZ$8:$BZ$15,MATCH(CE$7,$CB$8:$CB$15,0))*SUM(C$11:C$12)/(365/12)*MAX(节奏总纲!D126-$E$2,0)</f>
        <v>5503147.0215860428</v>
      </c>
      <c r="CK130" s="2">
        <f>INDEX($BZ$8:$BZ$15,MATCH(CF$7,$CB$8:$CB$15,0))*SUM(D$11:D$12)/(365/12)*MAX(节奏总纲!E126-$E$2,0)</f>
        <v>5322458.4459885713</v>
      </c>
      <c r="CL130" s="2">
        <f>INDEX($BZ$8:$BZ$15,MATCH(CG$7,$CB$8:$CB$15,0))*SUM(E$11:E$12)/(365/12)*MAX(节奏总纲!F126-$E$2,0)</f>
        <v>6362507.1857413463</v>
      </c>
      <c r="CM130" s="2">
        <f>INDEX($BZ$8:$BZ$15,MATCH(CH$7,$CB$8:$CB$15,0))*SUM(F$11:F$12)/(365/12)*MAX(节奏总纲!G126-$E$2,0)</f>
        <v>4512184.5847271839</v>
      </c>
      <c r="CN130" s="2">
        <f>INDEX($BZ$8:$BZ$15,MATCH(CI$7,$CB$8:$CB$15,0))*SUM(G$11:G$12)/(365/12)*MAX(节奏总纲!H126-$E$2,0)</f>
        <v>2379253.3717934196</v>
      </c>
      <c r="CS130" s="2">
        <v>123</v>
      </c>
      <c r="CT130" s="2">
        <f t="shared" si="91"/>
        <v>1932652.8230570031</v>
      </c>
      <c r="CU130" s="2">
        <f t="shared" si="92"/>
        <v>1657724.0368235235</v>
      </c>
      <c r="CV130" s="2">
        <f t="shared" si="93"/>
        <v>1391798.4468809194</v>
      </c>
      <c r="CW130" s="2">
        <f t="shared" si="94"/>
        <v>1175048.0689393708</v>
      </c>
      <c r="CX130" s="2">
        <f t="shared" si="95"/>
        <v>718732.78939592885</v>
      </c>
      <c r="CZ130" s="41">
        <f t="shared" si="96"/>
        <v>0.67796610169491534</v>
      </c>
      <c r="DA130" s="41">
        <f t="shared" si="97"/>
        <v>0.25423728813559321</v>
      </c>
      <c r="DB130" s="41">
        <f t="shared" si="98"/>
        <v>6.7796610169491525E-2</v>
      </c>
      <c r="DD130" s="41">
        <f t="shared" si="99"/>
        <v>0.634920634920635</v>
      </c>
      <c r="DE130" s="41">
        <f t="shared" si="100"/>
        <v>0.23809523809523811</v>
      </c>
      <c r="DF130" s="41">
        <f t="shared" si="101"/>
        <v>0.126984126984127</v>
      </c>
      <c r="DH130" s="41">
        <f t="shared" si="102"/>
        <v>0.45977011494252867</v>
      </c>
      <c r="DI130" s="41">
        <f t="shared" si="103"/>
        <v>0.17241379310344829</v>
      </c>
      <c r="DJ130" s="41">
        <f t="shared" si="104"/>
        <v>0.36781609195402298</v>
      </c>
      <c r="DL130" s="2">
        <f>CT130/节奏总纲!D126</f>
        <v>383.32842926952139</v>
      </c>
      <c r="DM130" s="2">
        <f>CU130/节奏总纲!E126</f>
        <v>387.68799735640624</v>
      </c>
      <c r="DN130" s="2">
        <f>CV130/节奏总纲!F126</f>
        <v>406.97873222456053</v>
      </c>
      <c r="DO130" s="2">
        <f>CW130/节奏总纲!G126</f>
        <v>481.03761306833155</v>
      </c>
      <c r="DP130" s="2">
        <f>CX130/节奏总纲!H126</f>
        <v>545.98130295202338</v>
      </c>
      <c r="DR130" s="2">
        <f t="shared" si="105"/>
        <v>1.0113729318099169</v>
      </c>
      <c r="DS130" s="2">
        <f t="shared" si="106"/>
        <v>1.0616972317970459</v>
      </c>
      <c r="DT130" s="2">
        <f t="shared" si="107"/>
        <v>1.2548967839014884</v>
      </c>
      <c r="DU130" s="2">
        <f t="shared" si="108"/>
        <v>1.4243172727690891</v>
      </c>
      <c r="DY130" s="2">
        <v>123</v>
      </c>
      <c r="DZ130" s="2">
        <f t="shared" si="77"/>
        <v>45597503.893141501</v>
      </c>
      <c r="EA130" s="2">
        <f t="shared" si="78"/>
        <v>39253131.039165713</v>
      </c>
      <c r="EB130" s="2">
        <f t="shared" si="79"/>
        <v>33403162.725142069</v>
      </c>
      <c r="EC130" s="2">
        <f t="shared" si="80"/>
        <v>23688969.069817714</v>
      </c>
      <c r="ED130" s="2">
        <f t="shared" si="81"/>
        <v>12491080.201915454</v>
      </c>
      <c r="EF130" s="57">
        <f t="shared" si="82"/>
        <v>0.62068965517241381</v>
      </c>
      <c r="EG130" s="57">
        <f t="shared" si="83"/>
        <v>0.25862068965517243</v>
      </c>
      <c r="EH130" s="41">
        <f t="shared" si="84"/>
        <v>0.12068965517241378</v>
      </c>
      <c r="EJ130" s="57">
        <f t="shared" si="85"/>
        <v>0.5714285714285714</v>
      </c>
      <c r="EK130" s="57">
        <f t="shared" si="86"/>
        <v>0.23809523809523808</v>
      </c>
      <c r="EL130" s="41">
        <f t="shared" si="87"/>
        <v>0.19047619047619047</v>
      </c>
      <c r="EN130" s="57">
        <f t="shared" si="88"/>
        <v>0.5714285714285714</v>
      </c>
      <c r="EO130" s="57">
        <f t="shared" si="89"/>
        <v>0.23809523809523811</v>
      </c>
      <c r="EP130" s="41">
        <f t="shared" si="90"/>
        <v>0.19047619047619047</v>
      </c>
    </row>
    <row r="131" spans="20:146" x14ac:dyDescent="0.15">
      <c r="T131" s="2">
        <v>124</v>
      </c>
      <c r="U131" s="2">
        <f>$N$8*SUM(C$11:C$12)/(365/12)*MAX(节奏总纲!D127-$E$2,0)</f>
        <v>112437.39674355595</v>
      </c>
      <c r="V131" s="2">
        <f>$N$8*SUM(D$11:D$12)/(365/12)*MAX(节奏总纲!E127-$E$2,0)</f>
        <v>95348.307410259746</v>
      </c>
      <c r="W131" s="2">
        <f>$N$8*SUM(E$11:E$12)/(365/12)*MAX(节奏总纲!F127-$E$2,0)</f>
        <v>75985.220827023964</v>
      </c>
      <c r="X131" s="2">
        <f>$N$8*SUM(F$11:F$12)/(365/12)*MAX(节奏总纲!G127-$E$2,0)</f>
        <v>53950.187475109116</v>
      </c>
      <c r="Y131" s="2">
        <f>$N$8*SUM(G$11:G$12)/(365/12)*MAX(节奏总纲!H127-$E$2,0)</f>
        <v>28526.898220784264</v>
      </c>
      <c r="Z131" s="2">
        <f>$O$8*SUM(C$11:C$12)/(365/12)*MAX(节奏总纲!D127-$E$2,0)</f>
        <v>1124373.9674355595</v>
      </c>
      <c r="AA131" s="2">
        <f>$O$8*SUM(D$11:D$12)/(365/12)*MAX(节奏总纲!E127-$E$2,0)</f>
        <v>953483.07410259754</v>
      </c>
      <c r="AB131" s="2">
        <f>$O$8*SUM(E$11:E$12)/(365/12)*MAX(节奏总纲!F127-$E$2,0)</f>
        <v>759852.20827023964</v>
      </c>
      <c r="AC131" s="2">
        <f>$O$8*SUM(F$11:F$12)/(365/12)*MAX(节奏总纲!G127-$E$2,0)</f>
        <v>539501.87475109124</v>
      </c>
      <c r="AD131" s="2">
        <f>$O$8*SUM(G$11:G$12)/(365/12)*MAX(节奏总纲!H127-$E$2,0)</f>
        <v>285268.98220784264</v>
      </c>
      <c r="AE131" s="2">
        <f>$Q$8*SUM(C$11:C$12)/(365/12)*MAX(节奏总纲!D127-$E$2,0)</f>
        <v>1405467.4592944493</v>
      </c>
      <c r="AF131" s="2">
        <f>$Q$8*SUM(D$11:D$12)/(365/12)*MAX(节奏总纲!E127-$E$2,0)</f>
        <v>1191853.8426282469</v>
      </c>
      <c r="AG131" s="2">
        <f>$Q$8*SUM(E$11:E$12)/(365/12)*MAX(节奏总纲!F127-$E$2,0)</f>
        <v>949815.26033779955</v>
      </c>
      <c r="AH131" s="2">
        <f>$Q$8*SUM(F$11:F$12)/(365/12)*MAX(节奏总纲!G127-$E$2,0)</f>
        <v>674377.34343886399</v>
      </c>
      <c r="AI131" s="2">
        <f>$Q$8*SUM(G$11:G$12)/(365/12)*MAX(节奏总纲!H127-$E$2,0)</f>
        <v>356586.22775980324</v>
      </c>
      <c r="AJ131" s="2">
        <f>$P$8*SUM(C$11:C$12)/(365/12)*MAX(节奏总纲!D127-$E$2,0)</f>
        <v>30358097.120760102</v>
      </c>
      <c r="AK131" s="2">
        <f>$P$8*SUM(D$11:D$12)/(365/12)*MAX(节奏总纲!E127-$E$2,0)</f>
        <v>25744043.000770133</v>
      </c>
      <c r="AL131" s="2">
        <f>$P$8*SUM(E$11:E$12)/(365/12)*MAX(节奏总纲!F127-$E$2,0)</f>
        <v>20516009.623296469</v>
      </c>
      <c r="AM131" s="2">
        <f>$P$8*SUM(F$11:F$12)/(365/12)*MAX(节奏总纲!G127-$E$2,0)</f>
        <v>14566550.618279461</v>
      </c>
      <c r="AN131" s="2">
        <f>$P$8*SUM(G$11:G$12)/(365/12)*MAX(节奏总纲!H127-$E$2,0)</f>
        <v>7702262.5196117507</v>
      </c>
      <c r="BC131" s="2">
        <v>124</v>
      </c>
      <c r="BD131" s="2">
        <f>$AZ$8/(365/12)*MAX(节奏总纲!D127-$E$2,0)</f>
        <v>527050.29723541846</v>
      </c>
      <c r="BE131" s="2">
        <f>$AZ$8/(365/12)*MAX(节奏总纲!E127-$E$2,0)</f>
        <v>446945.19098559261</v>
      </c>
      <c r="BF131" s="2">
        <f>$AZ$8/(365/12)*MAX(节奏总纲!F127-$E$2,0)</f>
        <v>356180.72262667486</v>
      </c>
      <c r="BG131" s="2">
        <f>$AZ$8/(365/12)*MAX(节奏总纲!G127-$E$2,0)</f>
        <v>252891.503789574</v>
      </c>
      <c r="BH131" s="2">
        <f>$AZ$8/(365/12)*MAX(节奏总纲!H127-$E$2,0)</f>
        <v>133719.83540992622</v>
      </c>
      <c r="BI131" s="2">
        <f>$AY$8/(365/12)*MAX(节奏总纲!D127-$E$2,0)</f>
        <v>12649207.133650044</v>
      </c>
      <c r="BJ131" s="2">
        <f>$AY$8/(365/12)*MAX(节奏总纲!E127-$E$2,0)</f>
        <v>10726684.583654223</v>
      </c>
      <c r="BK131" s="2">
        <f>$AY$8/(365/12)*MAX(节奏总纲!F127-$E$2,0)</f>
        <v>8548337.3430401962</v>
      </c>
      <c r="BL131" s="2">
        <f>$AY$8/(365/12)*MAX(节奏总纲!G127-$E$2,0)</f>
        <v>6069396.0909497766</v>
      </c>
      <c r="BM131" s="2">
        <f>$AY$8/(365/12)*MAX(节奏总纲!H127-$E$2,0)</f>
        <v>3209276.0498382295</v>
      </c>
      <c r="CD131" s="2">
        <v>124</v>
      </c>
      <c r="CE131" s="2">
        <f>INDEX($BY$8:$BY$15,MATCH(CE$7,$CB$8:$CB$15,0))*SUM(C$11:C$12)/(365/12)*MAX(节奏总纲!D127-$E$2,0)</f>
        <v>140546.74592944494</v>
      </c>
      <c r="CF131" s="2">
        <f>INDEX($BY$8:$BY$15,MATCH(CF$7,$CB$8:$CB$15,0))*SUM(D$11:D$12)/(365/12)*MAX(节奏总纲!E127-$E$2,0)</f>
        <v>143022.46111538963</v>
      </c>
      <c r="CG131" s="2">
        <f>INDEX($BY$8:$BY$15,MATCH(CG$7,$CB$8:$CB$15,0))*SUM(E$11:E$12)/(365/12)*MAX(节奏总纲!F127-$E$2,0)</f>
        <v>189963.05206755991</v>
      </c>
      <c r="CH131" s="2">
        <f>INDEX($BY$8:$BY$15,MATCH(CH$7,$CB$8:$CB$15,0))*SUM(F$11:F$12)/(365/12)*MAX(节奏总纲!G127-$E$2,0)</f>
        <v>337188.67171943199</v>
      </c>
      <c r="CI131" s="2">
        <f>INDEX($BY$8:$BY$15,MATCH(CI$7,$CB$8:$CB$15,0))*SUM(G$11:G$12)/(365/12)*MAX(节奏总纲!H127-$E$2,0)</f>
        <v>285268.98220784264</v>
      </c>
      <c r="CJ131" s="2">
        <f>INDEX($BZ$8:$BZ$15,MATCH(CE$7,$CB$8:$CB$15,0))*SUM(C$11:C$12)/(365/12)*MAX(节奏总纲!D127-$E$2,0)</f>
        <v>5902963.3290366875</v>
      </c>
      <c r="CK131" s="2">
        <f>INDEX($BZ$8:$BZ$15,MATCH(CF$7,$CB$8:$CB$15,0))*SUM(D$11:D$12)/(365/12)*MAX(节奏总纲!E127-$E$2,0)</f>
        <v>5720898.4446155857</v>
      </c>
      <c r="CL131" s="2">
        <f>INDEX($BZ$8:$BZ$15,MATCH(CG$7,$CB$8:$CB$15,0))*SUM(E$11:E$12)/(365/12)*MAX(节奏总纲!F127-$E$2,0)</f>
        <v>6838669.8744321568</v>
      </c>
      <c r="CM131" s="2">
        <f>INDEX($BZ$8:$BZ$15,MATCH(CH$7,$CB$8:$CB$15,0))*SUM(F$11:F$12)/(365/12)*MAX(节奏总纲!G127-$E$2,0)</f>
        <v>4855516.8727598209</v>
      </c>
      <c r="CN131" s="2">
        <f>INDEX($BZ$8:$BZ$15,MATCH(CI$7,$CB$8:$CB$15,0))*SUM(G$11:G$12)/(365/12)*MAX(节奏总纲!H127-$E$2,0)</f>
        <v>2567420.8398705837</v>
      </c>
      <c r="CS131" s="2">
        <v>124</v>
      </c>
      <c r="CT131" s="2">
        <f t="shared" si="91"/>
        <v>2073064.5024593126</v>
      </c>
      <c r="CU131" s="2">
        <f t="shared" si="92"/>
        <v>1781821.494729229</v>
      </c>
      <c r="CV131" s="2">
        <f t="shared" si="93"/>
        <v>1495959.0350320344</v>
      </c>
      <c r="CW131" s="2">
        <f t="shared" si="94"/>
        <v>1264457.51894787</v>
      </c>
      <c r="CX131" s="2">
        <f t="shared" si="95"/>
        <v>775575.04537757207</v>
      </c>
      <c r="CZ131" s="41">
        <f t="shared" si="96"/>
        <v>0.67796610169491534</v>
      </c>
      <c r="DA131" s="41">
        <f t="shared" si="97"/>
        <v>0.25423728813559321</v>
      </c>
      <c r="DB131" s="41">
        <f t="shared" si="98"/>
        <v>6.7796610169491539E-2</v>
      </c>
      <c r="DD131" s="41">
        <f t="shared" si="99"/>
        <v>0.63492063492063489</v>
      </c>
      <c r="DE131" s="41">
        <f t="shared" si="100"/>
        <v>0.23809523809523811</v>
      </c>
      <c r="DF131" s="41">
        <f t="shared" si="101"/>
        <v>0.12698412698412698</v>
      </c>
      <c r="DH131" s="41">
        <f t="shared" si="102"/>
        <v>0.45977011494252873</v>
      </c>
      <c r="DI131" s="41">
        <f t="shared" si="103"/>
        <v>0.17241379310344829</v>
      </c>
      <c r="DJ131" s="41">
        <f t="shared" si="104"/>
        <v>0.36781609195402304</v>
      </c>
      <c r="DL131" s="2">
        <f>CT131/节奏总纲!D127</f>
        <v>383.63765817581208</v>
      </c>
      <c r="DM131" s="2">
        <f>CU131/节奏总纲!E127</f>
        <v>388.06724863564165</v>
      </c>
      <c r="DN131" s="2">
        <f>CV131/节奏总纲!F127</f>
        <v>407.4765070337059</v>
      </c>
      <c r="DO131" s="2">
        <f>CW131/节奏总纲!G127</f>
        <v>481.87454052259824</v>
      </c>
      <c r="DP131" s="2">
        <f>CX131/节奏总纲!H127</f>
        <v>547.81125619627085</v>
      </c>
      <c r="DR131" s="2">
        <f t="shared" si="105"/>
        <v>1.0115462868814604</v>
      </c>
      <c r="DS131" s="2">
        <f t="shared" si="106"/>
        <v>1.062138969806163</v>
      </c>
      <c r="DT131" s="2">
        <f t="shared" si="107"/>
        <v>1.2560668387298062</v>
      </c>
      <c r="DU131" s="2">
        <f t="shared" si="108"/>
        <v>1.4279392143125373</v>
      </c>
      <c r="DY131" s="2">
        <v>124</v>
      </c>
      <c r="DZ131" s="2">
        <f t="shared" si="77"/>
        <v>48910267.583446838</v>
      </c>
      <c r="EA131" s="2">
        <f t="shared" si="78"/>
        <v>42191626.029039942</v>
      </c>
      <c r="EB131" s="2">
        <f t="shared" si="79"/>
        <v>35903016.840768822</v>
      </c>
      <c r="EC131" s="2">
        <f t="shared" si="80"/>
        <v>25491463.581989057</v>
      </c>
      <c r="ED131" s="2">
        <f t="shared" si="81"/>
        <v>13478959.409320563</v>
      </c>
      <c r="EF131" s="57">
        <f t="shared" si="82"/>
        <v>0.6206896551724137</v>
      </c>
      <c r="EG131" s="57">
        <f t="shared" si="83"/>
        <v>0.25862068965517243</v>
      </c>
      <c r="EH131" s="41">
        <f t="shared" si="84"/>
        <v>0.1206896551724138</v>
      </c>
      <c r="EJ131" s="57">
        <f t="shared" si="85"/>
        <v>0.5714285714285714</v>
      </c>
      <c r="EK131" s="57">
        <f t="shared" si="86"/>
        <v>0.23809523809523811</v>
      </c>
      <c r="EL131" s="41">
        <f t="shared" si="87"/>
        <v>0.19047619047619049</v>
      </c>
      <c r="EN131" s="57">
        <f t="shared" si="88"/>
        <v>0.57142857142857151</v>
      </c>
      <c r="EO131" s="57">
        <f t="shared" si="89"/>
        <v>0.23809523809523811</v>
      </c>
      <c r="EP131" s="41">
        <f t="shared" si="90"/>
        <v>0.19047619047619049</v>
      </c>
    </row>
    <row r="132" spans="20:146" x14ac:dyDescent="0.15">
      <c r="T132" s="2">
        <v>125</v>
      </c>
      <c r="U132" s="2">
        <f>$N$8*SUM(C$11:C$12)/(365/12)*MAX(节奏总纲!D128-$E$2,0)</f>
        <v>120599.53975717239</v>
      </c>
      <c r="V132" s="2">
        <f>$N$8*SUM(D$11:D$12)/(365/12)*MAX(节奏总纲!E128-$E$2,0)</f>
        <v>102234.93552672543</v>
      </c>
      <c r="W132" s="2">
        <f>$N$8*SUM(E$11:E$12)/(365/12)*MAX(节奏总纲!F128-$E$2,0)</f>
        <v>81640.256595434519</v>
      </c>
      <c r="X132" s="2">
        <f>$N$8*SUM(F$11:F$12)/(365/12)*MAX(节奏总纲!G128-$E$2,0)</f>
        <v>57999.02752637869</v>
      </c>
      <c r="Y132" s="2">
        <f>$N$8*SUM(G$11:G$12)/(365/12)*MAX(节奏总纲!H128-$E$2,0)</f>
        <v>30506.95908318799</v>
      </c>
      <c r="Z132" s="2">
        <f>$O$8*SUM(C$11:C$12)/(365/12)*MAX(节奏总纲!D128-$E$2,0)</f>
        <v>1205995.3975717239</v>
      </c>
      <c r="AA132" s="2">
        <f>$O$8*SUM(D$11:D$12)/(365/12)*MAX(节奏总纲!E128-$E$2,0)</f>
        <v>1022349.3552672542</v>
      </c>
      <c r="AB132" s="2">
        <f>$O$8*SUM(E$11:E$12)/(365/12)*MAX(节奏总纲!F128-$E$2,0)</f>
        <v>816402.56595434516</v>
      </c>
      <c r="AC132" s="2">
        <f>$O$8*SUM(F$11:F$12)/(365/12)*MAX(节奏总纲!G128-$E$2,0)</f>
        <v>579990.2752637869</v>
      </c>
      <c r="AD132" s="2">
        <f>$O$8*SUM(G$11:G$12)/(365/12)*MAX(节奏总纲!H128-$E$2,0)</f>
        <v>305069.59083187993</v>
      </c>
      <c r="AE132" s="2">
        <f>$Q$8*SUM(C$11:C$12)/(365/12)*MAX(节奏总纲!D128-$E$2,0)</f>
        <v>1507494.2469646549</v>
      </c>
      <c r="AF132" s="2">
        <f>$Q$8*SUM(D$11:D$12)/(365/12)*MAX(节奏总纲!E128-$E$2,0)</f>
        <v>1277936.6940840676</v>
      </c>
      <c r="AG132" s="2">
        <f>$Q$8*SUM(E$11:E$12)/(365/12)*MAX(节奏总纲!F128-$E$2,0)</f>
        <v>1020503.2074429314</v>
      </c>
      <c r="AH132" s="2">
        <f>$Q$8*SUM(F$11:F$12)/(365/12)*MAX(节奏总纲!G128-$E$2,0)</f>
        <v>724987.84407973359</v>
      </c>
      <c r="AI132" s="2">
        <f>$Q$8*SUM(G$11:G$12)/(365/12)*MAX(节奏总纲!H128-$E$2,0)</f>
        <v>381336.98853984987</v>
      </c>
      <c r="AJ132" s="2">
        <f>$P$8*SUM(C$11:C$12)/(365/12)*MAX(节奏总纲!D128-$E$2,0)</f>
        <v>32561875.734436546</v>
      </c>
      <c r="AK132" s="2">
        <f>$P$8*SUM(D$11:D$12)/(365/12)*MAX(节奏总纲!E128-$E$2,0)</f>
        <v>27603432.592215862</v>
      </c>
      <c r="AL132" s="2">
        <f>$P$8*SUM(E$11:E$12)/(365/12)*MAX(节奏总纲!F128-$E$2,0)</f>
        <v>22042869.280767318</v>
      </c>
      <c r="AM132" s="2">
        <f>$P$8*SUM(F$11:F$12)/(365/12)*MAX(节奏总纲!G128-$E$2,0)</f>
        <v>15659737.432122245</v>
      </c>
      <c r="AN132" s="2">
        <f>$P$8*SUM(G$11:G$12)/(365/12)*MAX(节奏总纲!H128-$E$2,0)</f>
        <v>8236878.9524607575</v>
      </c>
      <c r="BC132" s="2">
        <v>125</v>
      </c>
      <c r="BD132" s="2">
        <f>$AZ$8/(365/12)*MAX(节奏总纲!D128-$E$2,0)</f>
        <v>565310.34261174558</v>
      </c>
      <c r="BE132" s="2">
        <f>$AZ$8/(365/12)*MAX(节奏总纲!E128-$E$2,0)</f>
        <v>479226.26028152544</v>
      </c>
      <c r="BF132" s="2">
        <f>$AZ$8/(365/12)*MAX(节奏总纲!F128-$E$2,0)</f>
        <v>382688.70279109932</v>
      </c>
      <c r="BG132" s="2">
        <f>$AZ$8/(365/12)*MAX(节奏总纲!G128-$E$2,0)</f>
        <v>271870.44152990013</v>
      </c>
      <c r="BH132" s="2">
        <f>$AZ$8/(365/12)*MAX(节奏总纲!H128-$E$2,0)</f>
        <v>143001.3707024437</v>
      </c>
      <c r="BI132" s="2">
        <f>$AY$8/(365/12)*MAX(节奏总纲!D128-$E$2,0)</f>
        <v>13567448.222681895</v>
      </c>
      <c r="BJ132" s="2">
        <f>$AY$8/(365/12)*MAX(节奏总纲!E128-$E$2,0)</f>
        <v>11501430.246756611</v>
      </c>
      <c r="BK132" s="2">
        <f>$AY$8/(365/12)*MAX(节奏总纲!F128-$E$2,0)</f>
        <v>9184528.8669863828</v>
      </c>
      <c r="BL132" s="2">
        <f>$AY$8/(365/12)*MAX(节奏总纲!G128-$E$2,0)</f>
        <v>6524890.5967176026</v>
      </c>
      <c r="BM132" s="2">
        <f>$AY$8/(365/12)*MAX(节奏总纲!H128-$E$2,0)</f>
        <v>3432032.8968586493</v>
      </c>
      <c r="CD132" s="2">
        <v>125</v>
      </c>
      <c r="CE132" s="2">
        <f>INDEX($BY$8:$BY$15,MATCH(CE$7,$CB$8:$CB$15,0))*SUM(C$11:C$12)/(365/12)*MAX(节奏总纲!D128-$E$2,0)</f>
        <v>150749.42469646549</v>
      </c>
      <c r="CF132" s="2">
        <f>INDEX($BY$8:$BY$15,MATCH(CF$7,$CB$8:$CB$15,0))*SUM(D$11:D$12)/(365/12)*MAX(节奏总纲!E128-$E$2,0)</f>
        <v>153352.40329008814</v>
      </c>
      <c r="CG132" s="2">
        <f>INDEX($BY$8:$BY$15,MATCH(CG$7,$CB$8:$CB$15,0))*SUM(E$11:E$12)/(365/12)*MAX(节奏总纲!F128-$E$2,0)</f>
        <v>204100.64148858629</v>
      </c>
      <c r="CH132" s="2">
        <f>INDEX($BY$8:$BY$15,MATCH(CH$7,$CB$8:$CB$15,0))*SUM(F$11:F$12)/(365/12)*MAX(节奏总纲!G128-$E$2,0)</f>
        <v>362493.9220398668</v>
      </c>
      <c r="CI132" s="2">
        <f>INDEX($BY$8:$BY$15,MATCH(CI$7,$CB$8:$CB$15,0))*SUM(G$11:G$12)/(365/12)*MAX(节奏总纲!H128-$E$2,0)</f>
        <v>305069.59083187993</v>
      </c>
      <c r="CJ132" s="2">
        <f>INDEX($BZ$8:$BZ$15,MATCH(CE$7,$CB$8:$CB$15,0))*SUM(C$11:C$12)/(365/12)*MAX(节奏总纲!D128-$E$2,0)</f>
        <v>6331475.8372515505</v>
      </c>
      <c r="CK132" s="2">
        <f>INDEX($BZ$8:$BZ$15,MATCH(CF$7,$CB$8:$CB$15,0))*SUM(D$11:D$12)/(365/12)*MAX(节奏总纲!E128-$E$2,0)</f>
        <v>6134096.131603526</v>
      </c>
      <c r="CL132" s="2">
        <f>INDEX($BZ$8:$BZ$15,MATCH(CG$7,$CB$8:$CB$15,0))*SUM(E$11:E$12)/(365/12)*MAX(节奏总纲!F128-$E$2,0)</f>
        <v>7347623.0935891056</v>
      </c>
      <c r="CM132" s="2">
        <f>INDEX($BZ$8:$BZ$15,MATCH(CH$7,$CB$8:$CB$15,0))*SUM(F$11:F$12)/(365/12)*MAX(节奏总纲!G128-$E$2,0)</f>
        <v>5219912.4773740815</v>
      </c>
      <c r="CN132" s="2">
        <f>INDEX($BZ$8:$BZ$15,MATCH(CI$7,$CB$8:$CB$15,0))*SUM(G$11:G$12)/(365/12)*MAX(节奏总纲!H128-$E$2,0)</f>
        <v>2745626.317486919</v>
      </c>
      <c r="CS132" s="2">
        <v>125</v>
      </c>
      <c r="CT132" s="2">
        <f t="shared" si="91"/>
        <v>2223554.0142728658</v>
      </c>
      <c r="CU132" s="2">
        <f t="shared" si="92"/>
        <v>1910515.357655681</v>
      </c>
      <c r="CV132" s="2">
        <f t="shared" si="93"/>
        <v>1607292.5517226171</v>
      </c>
      <c r="CW132" s="2">
        <f t="shared" si="94"/>
        <v>1359352.2076495006</v>
      </c>
      <c r="CX132" s="2">
        <f t="shared" si="95"/>
        <v>829407.95007417351</v>
      </c>
      <c r="CZ132" s="41">
        <f t="shared" si="96"/>
        <v>0.67796610169491534</v>
      </c>
      <c r="DA132" s="41">
        <f t="shared" si="97"/>
        <v>0.25423728813559321</v>
      </c>
      <c r="DB132" s="41">
        <f t="shared" si="98"/>
        <v>6.7796610169491525E-2</v>
      </c>
      <c r="DD132" s="41">
        <f t="shared" si="99"/>
        <v>0.63492063492063489</v>
      </c>
      <c r="DE132" s="41">
        <f t="shared" si="100"/>
        <v>0.23809523809523811</v>
      </c>
      <c r="DF132" s="41">
        <f t="shared" si="101"/>
        <v>0.12698412698412698</v>
      </c>
      <c r="DH132" s="41">
        <f t="shared" si="102"/>
        <v>0.45977011494252873</v>
      </c>
      <c r="DI132" s="41">
        <f t="shared" si="103"/>
        <v>0.17241379310344826</v>
      </c>
      <c r="DJ132" s="41">
        <f t="shared" si="104"/>
        <v>0.36781609195402304</v>
      </c>
      <c r="DL132" s="2">
        <f>CT132/节奏总纲!D128</f>
        <v>383.92617153961987</v>
      </c>
      <c r="DM132" s="2">
        <f>CU132/节奏总纲!E128</f>
        <v>388.40914209742442</v>
      </c>
      <c r="DN132" s="2">
        <f>CV132/节奏总纲!F128</f>
        <v>407.93831308006844</v>
      </c>
      <c r="DO132" s="2">
        <f>CW132/节奏总纲!G128</f>
        <v>482.64494475273005</v>
      </c>
      <c r="DP132" s="2">
        <f>CX132/节奏总纲!H128</f>
        <v>549.32225872933418</v>
      </c>
      <c r="DR132" s="2">
        <f t="shared" si="105"/>
        <v>1.0116766474653889</v>
      </c>
      <c r="DS132" s="2">
        <f t="shared" si="106"/>
        <v>1.0625436433368298</v>
      </c>
      <c r="DT132" s="2">
        <f t="shared" si="107"/>
        <v>1.2571295747232558</v>
      </c>
      <c r="DU132" s="2">
        <f t="shared" si="108"/>
        <v>1.4308018037073202</v>
      </c>
      <c r="DY132" s="2">
        <v>125</v>
      </c>
      <c r="DZ132" s="2">
        <f t="shared" si="77"/>
        <v>52460799.794369988</v>
      </c>
      <c r="EA132" s="2">
        <f t="shared" si="78"/>
        <v>45238958.970575996</v>
      </c>
      <c r="EB132" s="2">
        <f t="shared" si="79"/>
        <v>38575021.241342805</v>
      </c>
      <c r="EC132" s="2">
        <f t="shared" si="80"/>
        <v>27404540.50621393</v>
      </c>
      <c r="ED132" s="2">
        <f t="shared" si="81"/>
        <v>14414538.166806325</v>
      </c>
      <c r="EF132" s="57">
        <f t="shared" si="82"/>
        <v>0.62068965517241381</v>
      </c>
      <c r="EG132" s="57">
        <f t="shared" si="83"/>
        <v>0.25862068965517243</v>
      </c>
      <c r="EH132" s="41">
        <f t="shared" si="84"/>
        <v>0.1206896551724138</v>
      </c>
      <c r="EJ132" s="57">
        <f t="shared" si="85"/>
        <v>0.5714285714285714</v>
      </c>
      <c r="EK132" s="57">
        <f t="shared" si="86"/>
        <v>0.23809523809523811</v>
      </c>
      <c r="EL132" s="41">
        <f t="shared" si="87"/>
        <v>0.19047619047619047</v>
      </c>
      <c r="EN132" s="57">
        <f t="shared" si="88"/>
        <v>0.5714285714285714</v>
      </c>
      <c r="EO132" s="57">
        <f t="shared" si="89"/>
        <v>0.23809523809523814</v>
      </c>
      <c r="EP132" s="41">
        <f t="shared" si="90"/>
        <v>0.19047619047619047</v>
      </c>
    </row>
    <row r="133" spans="20:146" x14ac:dyDescent="0.15">
      <c r="T133" s="2">
        <v>126</v>
      </c>
      <c r="U133" s="2">
        <f>$N$8*SUM(C$11:C$12)/(365/12)*MAX(节奏总纲!D129-$E$2,0)</f>
        <v>129347.50803659228</v>
      </c>
      <c r="V133" s="2">
        <f>$N$8*SUM(D$11:D$12)/(365/12)*MAX(节奏总纲!E129-$E$2,0)</f>
        <v>109821.31695498475</v>
      </c>
      <c r="W133" s="2">
        <f>$N$8*SUM(E$11:E$12)/(365/12)*MAX(节奏总纲!F129-$E$2,0)</f>
        <v>87656.80440281886</v>
      </c>
      <c r="X133" s="2">
        <f>$N$8*SUM(F$11:F$12)/(365/12)*MAX(节奏总纲!G129-$E$2,0)</f>
        <v>62005.005550459551</v>
      </c>
      <c r="Y133" s="2">
        <f>$N$8*SUM(G$11:G$12)/(365/12)*MAX(节奏总纲!H129-$E$2,0)</f>
        <v>32617.761447705736</v>
      </c>
      <c r="Z133" s="2">
        <f>$O$8*SUM(C$11:C$12)/(365/12)*MAX(节奏总纲!D129-$E$2,0)</f>
        <v>1293475.0803659228</v>
      </c>
      <c r="AA133" s="2">
        <f>$O$8*SUM(D$11:D$12)/(365/12)*MAX(节奏总纲!E129-$E$2,0)</f>
        <v>1098213.1695498475</v>
      </c>
      <c r="AB133" s="2">
        <f>$O$8*SUM(E$11:E$12)/(365/12)*MAX(节奏总纲!F129-$E$2,0)</f>
        <v>876568.04402818857</v>
      </c>
      <c r="AC133" s="2">
        <f>$O$8*SUM(F$11:F$12)/(365/12)*MAX(节奏总纲!G129-$E$2,0)</f>
        <v>620050.05550459551</v>
      </c>
      <c r="AD133" s="2">
        <f>$O$8*SUM(G$11:G$12)/(365/12)*MAX(节奏总纲!H129-$E$2,0)</f>
        <v>326177.61447705736</v>
      </c>
      <c r="AE133" s="2">
        <f>$Q$8*SUM(C$11:C$12)/(365/12)*MAX(节奏总纲!D129-$E$2,0)</f>
        <v>1616843.8504574033</v>
      </c>
      <c r="AF133" s="2">
        <f>$Q$8*SUM(D$11:D$12)/(365/12)*MAX(节奏总纲!E129-$E$2,0)</f>
        <v>1372766.4619373095</v>
      </c>
      <c r="AG133" s="2">
        <f>$Q$8*SUM(E$11:E$12)/(365/12)*MAX(节奏总纲!F129-$E$2,0)</f>
        <v>1095710.0550352356</v>
      </c>
      <c r="AH133" s="2">
        <f>$Q$8*SUM(F$11:F$12)/(365/12)*MAX(节奏总纲!G129-$E$2,0)</f>
        <v>775062.56938074436</v>
      </c>
      <c r="AI133" s="2">
        <f>$Q$8*SUM(G$11:G$12)/(365/12)*MAX(节奏总纲!H129-$E$2,0)</f>
        <v>407722.01809632167</v>
      </c>
      <c r="AJ133" s="2">
        <f>$P$8*SUM(C$11:C$12)/(365/12)*MAX(节奏总纲!D129-$E$2,0)</f>
        <v>34923827.169879913</v>
      </c>
      <c r="AK133" s="2">
        <f>$P$8*SUM(D$11:D$12)/(365/12)*MAX(节奏总纲!E129-$E$2,0)</f>
        <v>29651755.577845883</v>
      </c>
      <c r="AL133" s="2">
        <f>$P$8*SUM(E$11:E$12)/(365/12)*MAX(节奏总纲!F129-$E$2,0)</f>
        <v>23667337.188761093</v>
      </c>
      <c r="AM133" s="2">
        <f>$P$8*SUM(F$11:F$12)/(365/12)*MAX(节奏总纲!G129-$E$2,0)</f>
        <v>16741351.498624079</v>
      </c>
      <c r="AN133" s="2">
        <f>$P$8*SUM(G$11:G$12)/(365/12)*MAX(节奏总纲!H129-$E$2,0)</f>
        <v>8806795.5908805486</v>
      </c>
      <c r="BC133" s="2">
        <v>126</v>
      </c>
      <c r="BD133" s="2">
        <f>$AZ$8/(365/12)*MAX(节奏总纲!D129-$E$2,0)</f>
        <v>606316.44392152631</v>
      </c>
      <c r="BE133" s="2">
        <f>$AZ$8/(365/12)*MAX(节奏总纲!E129-$E$2,0)</f>
        <v>514787.42322649108</v>
      </c>
      <c r="BF133" s="2">
        <f>$AZ$8/(365/12)*MAX(节奏总纲!F129-$E$2,0)</f>
        <v>410891.27063821343</v>
      </c>
      <c r="BG133" s="2">
        <f>$AZ$8/(365/12)*MAX(节奏总纲!G129-$E$2,0)</f>
        <v>290648.46351777914</v>
      </c>
      <c r="BH133" s="2">
        <f>$AZ$8/(365/12)*MAX(节奏总纲!H129-$E$2,0)</f>
        <v>152895.75678612065</v>
      </c>
      <c r="BI133" s="2">
        <f>$AY$8/(365/12)*MAX(节奏总纲!D129-$E$2,0)</f>
        <v>14551594.654116632</v>
      </c>
      <c r="BJ133" s="2">
        <f>$AY$8/(365/12)*MAX(节奏总纲!E129-$E$2,0)</f>
        <v>12354898.157435786</v>
      </c>
      <c r="BK133" s="2">
        <f>$AY$8/(365/12)*MAX(节奏总纲!F129-$E$2,0)</f>
        <v>9861390.495317122</v>
      </c>
      <c r="BL133" s="2">
        <f>$AY$8/(365/12)*MAX(节奏总纲!G129-$E$2,0)</f>
        <v>6975563.1244267002</v>
      </c>
      <c r="BM133" s="2">
        <f>$AY$8/(365/12)*MAX(节奏总纲!H129-$E$2,0)</f>
        <v>3669498.1628668956</v>
      </c>
      <c r="CD133" s="2">
        <v>126</v>
      </c>
      <c r="CE133" s="2">
        <f>INDEX($BY$8:$BY$15,MATCH(CE$7,$CB$8:$CB$15,0))*SUM(C$11:C$12)/(365/12)*MAX(节奏总纲!D129-$E$2,0)</f>
        <v>161684.38504574035</v>
      </c>
      <c r="CF133" s="2">
        <f>INDEX($BY$8:$BY$15,MATCH(CF$7,$CB$8:$CB$15,0))*SUM(D$11:D$12)/(365/12)*MAX(节奏总纲!E129-$E$2,0)</f>
        <v>164731.97543247713</v>
      </c>
      <c r="CG133" s="2">
        <f>INDEX($BY$8:$BY$15,MATCH(CG$7,$CB$8:$CB$15,0))*SUM(E$11:E$12)/(365/12)*MAX(节奏总纲!F129-$E$2,0)</f>
        <v>219142.01100704714</v>
      </c>
      <c r="CH133" s="2">
        <f>INDEX($BY$8:$BY$15,MATCH(CH$7,$CB$8:$CB$15,0))*SUM(F$11:F$12)/(365/12)*MAX(节奏总纲!G129-$E$2,0)</f>
        <v>387531.28469037218</v>
      </c>
      <c r="CI133" s="2">
        <f>INDEX($BY$8:$BY$15,MATCH(CI$7,$CB$8:$CB$15,0))*SUM(G$11:G$12)/(365/12)*MAX(节奏总纲!H129-$E$2,0)</f>
        <v>326177.61447705736</v>
      </c>
      <c r="CJ133" s="2">
        <f>INDEX($BZ$8:$BZ$15,MATCH(CE$7,$CB$8:$CB$15,0))*SUM(C$11:C$12)/(365/12)*MAX(节奏总纲!D129-$E$2,0)</f>
        <v>6790744.1719210949</v>
      </c>
      <c r="CK133" s="2">
        <f>INDEX($BZ$8:$BZ$15,MATCH(CF$7,$CB$8:$CB$15,0))*SUM(D$11:D$12)/(365/12)*MAX(节奏总纲!E129-$E$2,0)</f>
        <v>6589279.0172990859</v>
      </c>
      <c r="CL133" s="2">
        <f>INDEX($BZ$8:$BZ$15,MATCH(CG$7,$CB$8:$CB$15,0))*SUM(E$11:E$12)/(365/12)*MAX(节奏总纲!F129-$E$2,0)</f>
        <v>7889112.3962536976</v>
      </c>
      <c r="CM133" s="2">
        <f>INDEX($BZ$8:$BZ$15,MATCH(CH$7,$CB$8:$CB$15,0))*SUM(F$11:F$12)/(365/12)*MAX(节奏总纲!G129-$E$2,0)</f>
        <v>5580450.499541359</v>
      </c>
      <c r="CN133" s="2">
        <f>INDEX($BZ$8:$BZ$15,MATCH(CI$7,$CB$8:$CB$15,0))*SUM(G$11:G$12)/(365/12)*MAX(节奏总纲!H129-$E$2,0)</f>
        <v>2935598.5302935163</v>
      </c>
      <c r="CS133" s="2">
        <v>126</v>
      </c>
      <c r="CT133" s="2">
        <f t="shared" si="91"/>
        <v>2384844.6794246701</v>
      </c>
      <c r="CU133" s="2">
        <f t="shared" si="92"/>
        <v>2052285.8605962778</v>
      </c>
      <c r="CV133" s="2">
        <f t="shared" si="93"/>
        <v>1725743.3366804961</v>
      </c>
      <c r="CW133" s="2">
        <f t="shared" si="94"/>
        <v>1453242.3175888956</v>
      </c>
      <c r="CX133" s="2">
        <f t="shared" si="95"/>
        <v>886795.38935949968</v>
      </c>
      <c r="CZ133" s="41">
        <f t="shared" si="96"/>
        <v>0.67796610169491522</v>
      </c>
      <c r="DA133" s="41">
        <f t="shared" si="97"/>
        <v>0.25423728813559321</v>
      </c>
      <c r="DB133" s="41">
        <f t="shared" si="98"/>
        <v>6.7796610169491525E-2</v>
      </c>
      <c r="DD133" s="41">
        <f t="shared" si="99"/>
        <v>0.63492063492063489</v>
      </c>
      <c r="DE133" s="41">
        <f t="shared" si="100"/>
        <v>0.23809523809523814</v>
      </c>
      <c r="DF133" s="41">
        <f t="shared" si="101"/>
        <v>0.126984126984127</v>
      </c>
      <c r="DH133" s="41">
        <f t="shared" si="102"/>
        <v>0.45977011494252873</v>
      </c>
      <c r="DI133" s="41">
        <f t="shared" si="103"/>
        <v>0.17241379310344829</v>
      </c>
      <c r="DJ133" s="41">
        <f t="shared" si="104"/>
        <v>0.36781609195402298</v>
      </c>
      <c r="DL133" s="2">
        <f>CT133/节奏总纲!D129</f>
        <v>384.19535757801606</v>
      </c>
      <c r="DM133" s="2">
        <f>CU133/节奏总纲!E129</f>
        <v>388.73670426485944</v>
      </c>
      <c r="DN133" s="2">
        <f>CV133/节奏总纲!F129</f>
        <v>408.36514925873405</v>
      </c>
      <c r="DO133" s="2">
        <f>CW133/节奏总纲!G129</f>
        <v>483.31014858363289</v>
      </c>
      <c r="DP133" s="2">
        <f>CX133/节奏总纲!H129</f>
        <v>550.73853879188277</v>
      </c>
      <c r="DR133" s="2">
        <f t="shared" si="105"/>
        <v>1.0118204101045682</v>
      </c>
      <c r="DS133" s="2">
        <f t="shared" si="106"/>
        <v>1.0629101606877434</v>
      </c>
      <c r="DT133" s="2">
        <f t="shared" si="107"/>
        <v>1.2579801891163931</v>
      </c>
      <c r="DU133" s="2">
        <f t="shared" si="108"/>
        <v>1.4334856679782964</v>
      </c>
      <c r="DY133" s="2">
        <v>126</v>
      </c>
      <c r="DZ133" s="2">
        <f t="shared" si="77"/>
        <v>56266165.995917641</v>
      </c>
      <c r="EA133" s="2">
        <f t="shared" si="78"/>
        <v>48595932.752580754</v>
      </c>
      <c r="EB133" s="2">
        <f t="shared" si="79"/>
        <v>41417840.080331914</v>
      </c>
      <c r="EC133" s="2">
        <f t="shared" si="80"/>
        <v>29297365.122592136</v>
      </c>
      <c r="ED133" s="2">
        <f t="shared" si="81"/>
        <v>15411892.284040961</v>
      </c>
      <c r="EF133" s="57">
        <f t="shared" si="82"/>
        <v>0.62068965517241381</v>
      </c>
      <c r="EG133" s="57">
        <f t="shared" si="83"/>
        <v>0.25862068965517243</v>
      </c>
      <c r="EH133" s="41">
        <f t="shared" si="84"/>
        <v>0.1206896551724138</v>
      </c>
      <c r="EJ133" s="57">
        <f t="shared" si="85"/>
        <v>0.5714285714285714</v>
      </c>
      <c r="EK133" s="57">
        <f t="shared" si="86"/>
        <v>0.23809523809523808</v>
      </c>
      <c r="EL133" s="41">
        <f t="shared" si="87"/>
        <v>0.19047619047619047</v>
      </c>
      <c r="EN133" s="57">
        <f t="shared" si="88"/>
        <v>0.5714285714285714</v>
      </c>
      <c r="EO133" s="57">
        <f t="shared" si="89"/>
        <v>0.23809523809523808</v>
      </c>
      <c r="EP133" s="41">
        <f t="shared" si="90"/>
        <v>0.19047619047619047</v>
      </c>
    </row>
    <row r="134" spans="20:146" x14ac:dyDescent="0.15">
      <c r="T134" s="2">
        <v>127</v>
      </c>
      <c r="U134" s="2">
        <f>$N$8*SUM(C$11:C$12)/(365/12)*MAX(节奏总纲!D130-$E$2,0)</f>
        <v>138723.34828958378</v>
      </c>
      <c r="V134" s="2">
        <f>$N$8*SUM(D$11:D$12)/(365/12)*MAX(节奏总纲!E130-$E$2,0)</f>
        <v>117795.46909015403</v>
      </c>
      <c r="W134" s="2">
        <f>$N$8*SUM(E$11:E$12)/(365/12)*MAX(节奏总纲!F130-$E$2,0)</f>
        <v>93605.920423522155</v>
      </c>
      <c r="X134" s="2">
        <f>$N$8*SUM(F$11:F$12)/(365/12)*MAX(节奏总纲!G130-$E$2,0)</f>
        <v>66140.703708283909</v>
      </c>
      <c r="Y134" s="2">
        <f>$N$8*SUM(G$11:G$12)/(365/12)*MAX(节奏总纲!H130-$E$2,0)</f>
        <v>34923.86717669302</v>
      </c>
      <c r="Z134" s="2">
        <f>$O$8*SUM(C$11:C$12)/(365/12)*MAX(节奏总纲!D130-$E$2,0)</f>
        <v>1387233.4828958379</v>
      </c>
      <c r="AA134" s="2">
        <f>$O$8*SUM(D$11:D$12)/(365/12)*MAX(节奏总纲!E130-$E$2,0)</f>
        <v>1177954.6909015402</v>
      </c>
      <c r="AB134" s="2">
        <f>$O$8*SUM(E$11:E$12)/(365/12)*MAX(节奏总纲!F130-$E$2,0)</f>
        <v>936059.20423522149</v>
      </c>
      <c r="AC134" s="2">
        <f>$O$8*SUM(F$11:F$12)/(365/12)*MAX(节奏总纲!G130-$E$2,0)</f>
        <v>661407.03708283906</v>
      </c>
      <c r="AD134" s="2">
        <f>$O$8*SUM(G$11:G$12)/(365/12)*MAX(节奏总纲!H130-$E$2,0)</f>
        <v>349238.6717669302</v>
      </c>
      <c r="AE134" s="2">
        <f>$Q$8*SUM(C$11:C$12)/(365/12)*MAX(节奏总纲!D130-$E$2,0)</f>
        <v>1734041.8536197972</v>
      </c>
      <c r="AF134" s="2">
        <f>$Q$8*SUM(D$11:D$12)/(365/12)*MAX(节奏总纲!E130-$E$2,0)</f>
        <v>1472443.3636269253</v>
      </c>
      <c r="AG134" s="2">
        <f>$Q$8*SUM(E$11:E$12)/(365/12)*MAX(节奏总纲!F130-$E$2,0)</f>
        <v>1170074.0052940268</v>
      </c>
      <c r="AH134" s="2">
        <f>$Q$8*SUM(F$11:F$12)/(365/12)*MAX(节奏总纲!G130-$E$2,0)</f>
        <v>826758.79635354877</v>
      </c>
      <c r="AI134" s="2">
        <f>$Q$8*SUM(G$11:G$12)/(365/12)*MAX(节奏总纲!H130-$E$2,0)</f>
        <v>436548.33970866277</v>
      </c>
      <c r="AJ134" s="2">
        <f>$P$8*SUM(C$11:C$12)/(365/12)*MAX(节奏总纲!D130-$E$2,0)</f>
        <v>37455304.038187616</v>
      </c>
      <c r="AK134" s="2">
        <f>$P$8*SUM(D$11:D$12)/(365/12)*MAX(节奏总纲!E130-$E$2,0)</f>
        <v>31804776.654341586</v>
      </c>
      <c r="AL134" s="2">
        <f>$P$8*SUM(E$11:E$12)/(365/12)*MAX(节奏总纲!F130-$E$2,0)</f>
        <v>25273598.514350981</v>
      </c>
      <c r="AM134" s="2">
        <f>$P$8*SUM(F$11:F$12)/(365/12)*MAX(节奏总纲!G130-$E$2,0)</f>
        <v>17857990.001236655</v>
      </c>
      <c r="AN134" s="2">
        <f>$P$8*SUM(G$11:G$12)/(365/12)*MAX(节奏总纲!H130-$E$2,0)</f>
        <v>9429444.1377071161</v>
      </c>
      <c r="BC134" s="2">
        <v>127</v>
      </c>
      <c r="BD134" s="2">
        <f>$AZ$8/(365/12)*MAX(节奏总纲!D130-$E$2,0)</f>
        <v>650265.69510742393</v>
      </c>
      <c r="BE134" s="2">
        <f>$AZ$8/(365/12)*MAX(节奏总纲!E130-$E$2,0)</f>
        <v>552166.26136009698</v>
      </c>
      <c r="BF134" s="2">
        <f>$AZ$8/(365/12)*MAX(节奏总纲!F130-$E$2,0)</f>
        <v>438777.75198526011</v>
      </c>
      <c r="BG134" s="2">
        <f>$AZ$8/(365/12)*MAX(节奏总纲!G130-$E$2,0)</f>
        <v>310034.54863258079</v>
      </c>
      <c r="BH134" s="2">
        <f>$AZ$8/(365/12)*MAX(节奏总纲!H130-$E$2,0)</f>
        <v>163705.62739074853</v>
      </c>
      <c r="BI134" s="2">
        <f>$AY$8/(365/12)*MAX(节奏总纲!D130-$E$2,0)</f>
        <v>15606376.682578176</v>
      </c>
      <c r="BJ134" s="2">
        <f>$AY$8/(365/12)*MAX(节奏总纲!E130-$E$2,0)</f>
        <v>13251990.272642329</v>
      </c>
      <c r="BK134" s="2">
        <f>$AY$8/(365/12)*MAX(节奏总纲!F130-$E$2,0)</f>
        <v>10530666.047646243</v>
      </c>
      <c r="BL134" s="2">
        <f>$AY$8/(365/12)*MAX(节奏总纲!G130-$E$2,0)</f>
        <v>7440829.1671819398</v>
      </c>
      <c r="BM134" s="2">
        <f>$AY$8/(365/12)*MAX(节奏总纲!H130-$E$2,0)</f>
        <v>3928935.0573779652</v>
      </c>
      <c r="CD134" s="2">
        <v>127</v>
      </c>
      <c r="CE134" s="2">
        <f>INDEX($BY$8:$BY$15,MATCH(CE$7,$CB$8:$CB$15,0))*SUM(C$11:C$12)/(365/12)*MAX(节奏总纲!D130-$E$2,0)</f>
        <v>173404.18536197973</v>
      </c>
      <c r="CF134" s="2">
        <f>INDEX($BY$8:$BY$15,MATCH(CF$7,$CB$8:$CB$15,0))*SUM(D$11:D$12)/(365/12)*MAX(节奏总纲!E130-$E$2,0)</f>
        <v>176693.20363523104</v>
      </c>
      <c r="CG134" s="2">
        <f>INDEX($BY$8:$BY$15,MATCH(CG$7,$CB$8:$CB$15,0))*SUM(E$11:E$12)/(365/12)*MAX(节奏总纲!F130-$E$2,0)</f>
        <v>234014.80105880537</v>
      </c>
      <c r="CH134" s="2">
        <f>INDEX($BY$8:$BY$15,MATCH(CH$7,$CB$8:$CB$15,0))*SUM(F$11:F$12)/(365/12)*MAX(节奏总纲!G130-$E$2,0)</f>
        <v>413379.39817677438</v>
      </c>
      <c r="CI134" s="2">
        <f>INDEX($BY$8:$BY$15,MATCH(CI$7,$CB$8:$CB$15,0))*SUM(G$11:G$12)/(365/12)*MAX(节奏总纲!H130-$E$2,0)</f>
        <v>349238.6717669302</v>
      </c>
      <c r="CJ134" s="2">
        <f>INDEX($BZ$8:$BZ$15,MATCH(CE$7,$CB$8:$CB$15,0))*SUM(C$11:C$12)/(365/12)*MAX(节奏总纲!D130-$E$2,0)</f>
        <v>7282975.7852031486</v>
      </c>
      <c r="CK134" s="2">
        <f>INDEX($BZ$8:$BZ$15,MATCH(CF$7,$CB$8:$CB$15,0))*SUM(D$11:D$12)/(365/12)*MAX(节奏总纲!E130-$E$2,0)</f>
        <v>7067728.1454092423</v>
      </c>
      <c r="CL134" s="2">
        <f>INDEX($BZ$8:$BZ$15,MATCH(CG$7,$CB$8:$CB$15,0))*SUM(E$11:E$12)/(365/12)*MAX(节奏总纲!F130-$E$2,0)</f>
        <v>8424532.8381169941</v>
      </c>
      <c r="CM134" s="2">
        <f>INDEX($BZ$8:$BZ$15,MATCH(CH$7,$CB$8:$CB$15,0))*SUM(F$11:F$12)/(365/12)*MAX(节奏总纲!G130-$E$2,0)</f>
        <v>5952663.3337455513</v>
      </c>
      <c r="CN134" s="2">
        <f>INDEX($BZ$8:$BZ$15,MATCH(CI$7,$CB$8:$CB$15,0))*SUM(G$11:G$12)/(365/12)*MAX(节奏总纲!H130-$E$2,0)</f>
        <v>3143148.0459023719</v>
      </c>
      <c r="CS134" s="2">
        <v>127</v>
      </c>
      <c r="CT134" s="2">
        <f t="shared" si="91"/>
        <v>2557711.7340892004</v>
      </c>
      <c r="CU134" s="2">
        <f t="shared" si="92"/>
        <v>2201302.8286222531</v>
      </c>
      <c r="CV134" s="2">
        <f t="shared" si="93"/>
        <v>1842866.5583380922</v>
      </c>
      <c r="CW134" s="2">
        <f t="shared" si="94"/>
        <v>1550172.7431629039</v>
      </c>
      <c r="CX134" s="2">
        <f t="shared" si="95"/>
        <v>949492.63886634144</v>
      </c>
      <c r="CZ134" s="41">
        <f t="shared" si="96"/>
        <v>0.67796610169491534</v>
      </c>
      <c r="DA134" s="41">
        <f t="shared" si="97"/>
        <v>0.25423728813559326</v>
      </c>
      <c r="DB134" s="41">
        <f t="shared" si="98"/>
        <v>6.7796610169491539E-2</v>
      </c>
      <c r="DD134" s="41">
        <f t="shared" si="99"/>
        <v>0.63492063492063489</v>
      </c>
      <c r="DE134" s="41">
        <f t="shared" si="100"/>
        <v>0.23809523809523814</v>
      </c>
      <c r="DF134" s="41">
        <f t="shared" si="101"/>
        <v>0.126984126984127</v>
      </c>
      <c r="DH134" s="41">
        <f t="shared" si="102"/>
        <v>0.45977011494252878</v>
      </c>
      <c r="DI134" s="41">
        <f t="shared" si="103"/>
        <v>0.17241379310344829</v>
      </c>
      <c r="DJ134" s="41">
        <f t="shared" si="104"/>
        <v>0.36781609195402298</v>
      </c>
      <c r="DL134" s="2">
        <f>CT134/节奏总纲!D130</f>
        <v>384.44651141911936</v>
      </c>
      <c r="DM134" s="2">
        <f>CU134/节奏总纲!E130</f>
        <v>389.0360097521197</v>
      </c>
      <c r="DN134" s="2">
        <f>CV134/节奏总纲!F130</f>
        <v>408.73396849925587</v>
      </c>
      <c r="DO134" s="2">
        <f>CW134/节奏总纲!G130</f>
        <v>483.91394048794427</v>
      </c>
      <c r="DP134" s="2">
        <f>CX134/节奏总纲!H130</f>
        <v>552.09699474682475</v>
      </c>
      <c r="DR134" s="2">
        <f t="shared" si="105"/>
        <v>1.0119379372596178</v>
      </c>
      <c r="DS134" s="2">
        <f t="shared" si="106"/>
        <v>1.0631751267308511</v>
      </c>
      <c r="DT134" s="2">
        <f t="shared" si="107"/>
        <v>1.2587289157642703</v>
      </c>
      <c r="DU134" s="2">
        <f t="shared" si="108"/>
        <v>1.4360827276305668</v>
      </c>
      <c r="DY134" s="2">
        <v>127</v>
      </c>
      <c r="DZ134" s="2">
        <f t="shared" si="77"/>
        <v>60344656.505968943</v>
      </c>
      <c r="EA134" s="2">
        <f t="shared" si="78"/>
        <v>52124495.072393157</v>
      </c>
      <c r="EB134" s="2">
        <f t="shared" si="79"/>
        <v>44228797.400114216</v>
      </c>
      <c r="EC134" s="2">
        <f t="shared" si="80"/>
        <v>31251482.502164144</v>
      </c>
      <c r="ED134" s="2">
        <f t="shared" si="81"/>
        <v>16501527.240987454</v>
      </c>
      <c r="EF134" s="57">
        <f t="shared" si="82"/>
        <v>0.6206896551724137</v>
      </c>
      <c r="EG134" s="57">
        <f t="shared" si="83"/>
        <v>0.25862068965517243</v>
      </c>
      <c r="EH134" s="41">
        <f t="shared" si="84"/>
        <v>0.1206896551724138</v>
      </c>
      <c r="EJ134" s="57">
        <f t="shared" si="85"/>
        <v>0.5714285714285714</v>
      </c>
      <c r="EK134" s="57">
        <f t="shared" si="86"/>
        <v>0.23809523809523811</v>
      </c>
      <c r="EL134" s="41">
        <f t="shared" si="87"/>
        <v>0.19047619047619049</v>
      </c>
      <c r="EN134" s="57">
        <f t="shared" si="88"/>
        <v>0.5714285714285714</v>
      </c>
      <c r="EO134" s="57">
        <f t="shared" si="89"/>
        <v>0.23809523809523811</v>
      </c>
      <c r="EP134" s="41">
        <f t="shared" si="90"/>
        <v>0.19047619047619047</v>
      </c>
    </row>
    <row r="135" spans="20:146" x14ac:dyDescent="0.15">
      <c r="T135" s="2">
        <v>128</v>
      </c>
      <c r="U135" s="2">
        <f>$N$8*SUM(C$11:C$12)/(365/12)*MAX(节奏总纲!D131-$E$2,0)</f>
        <v>148772.12506171988</v>
      </c>
      <c r="V135" s="2">
        <f>$N$8*SUM(D$11:D$12)/(365/12)*MAX(节奏总纲!E131-$E$2,0)</f>
        <v>125741.81537159521</v>
      </c>
      <c r="W135" s="2">
        <f>$N$8*SUM(E$11:E$12)/(365/12)*MAX(节奏总纲!F131-$E$2,0)</f>
        <v>99860.848455982778</v>
      </c>
      <c r="X135" s="2">
        <f>$N$8*SUM(F$11:F$12)/(365/12)*MAX(节奏总纲!G131-$E$2,0)</f>
        <v>70679.120542437158</v>
      </c>
      <c r="Y135" s="2">
        <f>$N$8*SUM(G$11:G$12)/(365/12)*MAX(节奏总纲!H131-$E$2,0)</f>
        <v>37431.455217801122</v>
      </c>
      <c r="Z135" s="2">
        <f>$O$8*SUM(C$11:C$12)/(365/12)*MAX(节奏总纲!D131-$E$2,0)</f>
        <v>1487721.2506171989</v>
      </c>
      <c r="AA135" s="2">
        <f>$O$8*SUM(D$11:D$12)/(365/12)*MAX(节奏总纲!E131-$E$2,0)</f>
        <v>1257418.1537159521</v>
      </c>
      <c r="AB135" s="2">
        <f>$O$8*SUM(E$11:E$12)/(365/12)*MAX(节奏总纲!F131-$E$2,0)</f>
        <v>998608.48455982783</v>
      </c>
      <c r="AC135" s="2">
        <f>$O$8*SUM(F$11:F$12)/(365/12)*MAX(节奏总纲!G131-$E$2,0)</f>
        <v>706791.20542437152</v>
      </c>
      <c r="AD135" s="2">
        <f>$O$8*SUM(G$11:G$12)/(365/12)*MAX(节奏总纲!H131-$E$2,0)</f>
        <v>374314.55217801128</v>
      </c>
      <c r="AE135" s="2">
        <f>$Q$8*SUM(C$11:C$12)/(365/12)*MAX(节奏总纲!D131-$E$2,0)</f>
        <v>1859651.5632714985</v>
      </c>
      <c r="AF135" s="2">
        <f>$Q$8*SUM(D$11:D$12)/(365/12)*MAX(节奏总纲!E131-$E$2,0)</f>
        <v>1571772.6921449399</v>
      </c>
      <c r="AG135" s="2">
        <f>$Q$8*SUM(E$11:E$12)/(365/12)*MAX(节奏总纲!F131-$E$2,0)</f>
        <v>1248260.6056997846</v>
      </c>
      <c r="AH135" s="2">
        <f>$Q$8*SUM(F$11:F$12)/(365/12)*MAX(节奏总纲!G131-$E$2,0)</f>
        <v>883489.00678046443</v>
      </c>
      <c r="AI135" s="2">
        <f>$Q$8*SUM(G$11:G$12)/(365/12)*MAX(节奏总纲!H131-$E$2,0)</f>
        <v>467893.19022251404</v>
      </c>
      <c r="AJ135" s="2">
        <f>$P$8*SUM(C$11:C$12)/(365/12)*MAX(节奏总纲!D131-$E$2,0)</f>
        <v>40168473.766664371</v>
      </c>
      <c r="AK135" s="2">
        <f>$P$8*SUM(D$11:D$12)/(365/12)*MAX(节奏总纲!E131-$E$2,0)</f>
        <v>33950290.1503307</v>
      </c>
      <c r="AL135" s="2">
        <f>$P$8*SUM(E$11:E$12)/(365/12)*MAX(节奏总纲!F131-$E$2,0)</f>
        <v>26962429.08311535</v>
      </c>
      <c r="AM135" s="2">
        <f>$P$8*SUM(F$11:F$12)/(365/12)*MAX(节奏总纲!G131-$E$2,0)</f>
        <v>19083362.546458032</v>
      </c>
      <c r="AN135" s="2">
        <f>$P$8*SUM(G$11:G$12)/(365/12)*MAX(节奏总纲!H131-$E$2,0)</f>
        <v>10106492.908806304</v>
      </c>
      <c r="BC135" s="2">
        <v>128</v>
      </c>
      <c r="BD135" s="2">
        <f>$AZ$8/(365/12)*MAX(节奏总纲!D131-$E$2,0)</f>
        <v>697369.33622681198</v>
      </c>
      <c r="BE135" s="2">
        <f>$AZ$8/(365/12)*MAX(节奏总纲!E131-$E$2,0)</f>
        <v>589414.75955435249</v>
      </c>
      <c r="BF135" s="2">
        <f>$AZ$8/(365/12)*MAX(节奏总纲!F131-$E$2,0)</f>
        <v>468097.72713741928</v>
      </c>
      <c r="BG135" s="2">
        <f>$AZ$8/(365/12)*MAX(节奏总纲!G131-$E$2,0)</f>
        <v>331308.37754267419</v>
      </c>
      <c r="BH135" s="2">
        <f>$AZ$8/(365/12)*MAX(节奏总纲!H131-$E$2,0)</f>
        <v>175459.94633344279</v>
      </c>
      <c r="BI135" s="2">
        <f>$AY$8/(365/12)*MAX(节奏总纲!D131-$E$2,0)</f>
        <v>16736864.069443488</v>
      </c>
      <c r="BJ135" s="2">
        <f>$AY$8/(365/12)*MAX(节奏总纲!E131-$E$2,0)</f>
        <v>14145954.229304461</v>
      </c>
      <c r="BK135" s="2">
        <f>$AY$8/(365/12)*MAX(节奏总纲!F131-$E$2,0)</f>
        <v>11234345.451298064</v>
      </c>
      <c r="BL135" s="2">
        <f>$AY$8/(365/12)*MAX(节奏总纲!G131-$E$2,0)</f>
        <v>7951401.0610241806</v>
      </c>
      <c r="BM135" s="2">
        <f>$AY$8/(365/12)*MAX(节奏总纲!H131-$E$2,0)</f>
        <v>4211038.7120026266</v>
      </c>
      <c r="CD135" s="2">
        <v>128</v>
      </c>
      <c r="CE135" s="2">
        <f>INDEX($BY$8:$BY$15,MATCH(CE$7,$CB$8:$CB$15,0))*SUM(C$11:C$12)/(365/12)*MAX(节奏总纲!D131-$E$2,0)</f>
        <v>185965.15632714986</v>
      </c>
      <c r="CF135" s="2">
        <f>INDEX($BY$8:$BY$15,MATCH(CF$7,$CB$8:$CB$15,0))*SUM(D$11:D$12)/(365/12)*MAX(节奏总纲!E131-$E$2,0)</f>
        <v>188612.72305739281</v>
      </c>
      <c r="CG135" s="2">
        <f>INDEX($BY$8:$BY$15,MATCH(CG$7,$CB$8:$CB$15,0))*SUM(E$11:E$12)/(365/12)*MAX(节奏总纲!F131-$E$2,0)</f>
        <v>249652.12113995696</v>
      </c>
      <c r="CH135" s="2">
        <f>INDEX($BY$8:$BY$15,MATCH(CH$7,$CB$8:$CB$15,0))*SUM(F$11:F$12)/(365/12)*MAX(节奏总纲!G131-$E$2,0)</f>
        <v>441744.50339023222</v>
      </c>
      <c r="CI135" s="2">
        <f>INDEX($BY$8:$BY$15,MATCH(CI$7,$CB$8:$CB$15,0))*SUM(G$11:G$12)/(365/12)*MAX(节奏总纲!H131-$E$2,0)</f>
        <v>374314.55217801128</v>
      </c>
      <c r="CJ135" s="2">
        <f>INDEX($BZ$8:$BZ$15,MATCH(CE$7,$CB$8:$CB$15,0))*SUM(C$11:C$12)/(365/12)*MAX(节奏总纲!D131-$E$2,0)</f>
        <v>7810536.5657402948</v>
      </c>
      <c r="CK135" s="2">
        <f>INDEX($BZ$8:$BZ$15,MATCH(CF$7,$CB$8:$CB$15,0))*SUM(D$11:D$12)/(365/12)*MAX(节奏总纲!E131-$E$2,0)</f>
        <v>7544508.9222957129</v>
      </c>
      <c r="CL135" s="2">
        <f>INDEX($BZ$8:$BZ$15,MATCH(CG$7,$CB$8:$CB$15,0))*SUM(E$11:E$12)/(365/12)*MAX(节奏总纲!F131-$E$2,0)</f>
        <v>8987476.3610384502</v>
      </c>
      <c r="CM135" s="2">
        <f>INDEX($BZ$8:$BZ$15,MATCH(CH$7,$CB$8:$CB$15,0))*SUM(F$11:F$12)/(365/12)*MAX(节奏总纲!G131-$E$2,0)</f>
        <v>6361120.8488193443</v>
      </c>
      <c r="CN135" s="2">
        <f>INDEX($BZ$8:$BZ$15,MATCH(CI$7,$CB$8:$CB$15,0))*SUM(G$11:G$12)/(365/12)*MAX(节奏总纲!H131-$E$2,0)</f>
        <v>3368830.969602101</v>
      </c>
      <c r="CS135" s="2">
        <v>128</v>
      </c>
      <c r="CT135" s="2">
        <f t="shared" si="91"/>
        <v>2742986.0558254602</v>
      </c>
      <c r="CU135" s="2">
        <f t="shared" si="92"/>
        <v>2349800.1747566853</v>
      </c>
      <c r="CV135" s="2">
        <f t="shared" si="93"/>
        <v>1966010.4539771609</v>
      </c>
      <c r="CW135" s="2">
        <f t="shared" si="94"/>
        <v>1656541.8877133708</v>
      </c>
      <c r="CX135" s="2">
        <f t="shared" si="95"/>
        <v>1017667.6887339681</v>
      </c>
      <c r="CZ135" s="41">
        <f t="shared" si="96"/>
        <v>0.67796610169491534</v>
      </c>
      <c r="DA135" s="41">
        <f t="shared" si="97"/>
        <v>0.25423728813559326</v>
      </c>
      <c r="DB135" s="41">
        <f t="shared" si="98"/>
        <v>6.7796610169491525E-2</v>
      </c>
      <c r="DD135" s="41">
        <f t="shared" si="99"/>
        <v>0.63492063492063489</v>
      </c>
      <c r="DE135" s="41">
        <f t="shared" si="100"/>
        <v>0.23809523809523811</v>
      </c>
      <c r="DF135" s="41">
        <f t="shared" si="101"/>
        <v>0.126984126984127</v>
      </c>
      <c r="DH135" s="41">
        <f t="shared" si="102"/>
        <v>0.45977011494252873</v>
      </c>
      <c r="DI135" s="41">
        <f t="shared" si="103"/>
        <v>0.17241379310344829</v>
      </c>
      <c r="DJ135" s="41">
        <f t="shared" si="104"/>
        <v>0.36781609195402304</v>
      </c>
      <c r="DL135" s="2">
        <f>CT135/节奏总纲!D131</f>
        <v>384.68084135207198</v>
      </c>
      <c r="DM135" s="2">
        <f>CU135/节奏总纲!E131</f>
        <v>389.29688324199088</v>
      </c>
      <c r="DN135" s="2">
        <f>CV135/节奏总纲!F131</f>
        <v>409.07494782084063</v>
      </c>
      <c r="DO135" s="2">
        <f>CW135/节奏总纲!G131</f>
        <v>484.49663818247438</v>
      </c>
      <c r="DP135" s="2">
        <f>CX135/节奏总纲!H131</f>
        <v>553.39037465724107</v>
      </c>
      <c r="DR135" s="2">
        <f t="shared" si="105"/>
        <v>1.0119996667203246</v>
      </c>
      <c r="DS135" s="2">
        <f t="shared" si="106"/>
        <v>1.0634138845673429</v>
      </c>
      <c r="DT135" s="2">
        <f t="shared" si="107"/>
        <v>1.2594769120280878</v>
      </c>
      <c r="DU135" s="2">
        <f t="shared" si="108"/>
        <v>1.4385701474297257</v>
      </c>
      <c r="DY135" s="2">
        <v>128</v>
      </c>
      <c r="DZ135" s="2">
        <f t="shared" si="77"/>
        <v>64715874.401848152</v>
      </c>
      <c r="EA135" s="2">
        <f t="shared" si="78"/>
        <v>55640753.301930875</v>
      </c>
      <c r="EB135" s="2">
        <f t="shared" si="79"/>
        <v>47184250.895451859</v>
      </c>
      <c r="EC135" s="2">
        <f t="shared" si="80"/>
        <v>33395884.456301559</v>
      </c>
      <c r="ED135" s="2">
        <f t="shared" si="81"/>
        <v>17686362.59041103</v>
      </c>
      <c r="EF135" s="57">
        <f t="shared" si="82"/>
        <v>0.62068965517241381</v>
      </c>
      <c r="EG135" s="57">
        <f t="shared" si="83"/>
        <v>0.25862068965517243</v>
      </c>
      <c r="EH135" s="41">
        <f t="shared" si="84"/>
        <v>0.1206896551724138</v>
      </c>
      <c r="EJ135" s="57">
        <f t="shared" si="85"/>
        <v>0.57142857142857151</v>
      </c>
      <c r="EK135" s="57">
        <f t="shared" si="86"/>
        <v>0.23809523809523814</v>
      </c>
      <c r="EL135" s="41">
        <f t="shared" si="87"/>
        <v>0.19047619047619049</v>
      </c>
      <c r="EN135" s="57">
        <f t="shared" si="88"/>
        <v>0.57142857142857151</v>
      </c>
      <c r="EO135" s="57">
        <f t="shared" si="89"/>
        <v>0.23809523809523811</v>
      </c>
      <c r="EP135" s="41">
        <f t="shared" si="90"/>
        <v>0.19047619047619049</v>
      </c>
    </row>
    <row r="136" spans="20:146" x14ac:dyDescent="0.15">
      <c r="T136" s="2">
        <v>129</v>
      </c>
      <c r="U136" s="2">
        <f>$N$8*SUM(C$11:C$12)/(365/12)*MAX(节奏总纲!D132-$E$2,0)</f>
        <v>159542.1373370465</v>
      </c>
      <c r="V136" s="2">
        <f>$N$8*SUM(D$11:D$12)/(365/12)*MAX(节奏总纲!E132-$E$2,0)</f>
        <v>134858.63076265919</v>
      </c>
      <c r="W136" s="2">
        <f>$N$8*SUM(E$11:E$12)/(365/12)*MAX(节奏总纲!F132-$E$2,0)</f>
        <v>107296.72179295243</v>
      </c>
      <c r="X136" s="2">
        <f>$N$8*SUM(F$11:F$12)/(365/12)*MAX(节奏总纲!G132-$E$2,0)</f>
        <v>76100.628793401018</v>
      </c>
      <c r="Y136" s="2">
        <f>$N$8*SUM(G$11:G$12)/(365/12)*MAX(节奏总纲!H132-$E$2,0)</f>
        <v>40305.524145462135</v>
      </c>
      <c r="Z136" s="2">
        <f>$O$8*SUM(C$11:C$12)/(365/12)*MAX(节奏总纲!D132-$E$2,0)</f>
        <v>1595421.3733704649</v>
      </c>
      <c r="AA136" s="2">
        <f>$O$8*SUM(D$11:D$12)/(365/12)*MAX(节奏总纲!E132-$E$2,0)</f>
        <v>1348586.3076265918</v>
      </c>
      <c r="AB136" s="2">
        <f>$O$8*SUM(E$11:E$12)/(365/12)*MAX(节奏总纲!F132-$E$2,0)</f>
        <v>1072967.2179295244</v>
      </c>
      <c r="AC136" s="2">
        <f>$O$8*SUM(F$11:F$12)/(365/12)*MAX(节奏总纲!G132-$E$2,0)</f>
        <v>761006.28793401027</v>
      </c>
      <c r="AD136" s="2">
        <f>$O$8*SUM(G$11:G$12)/(365/12)*MAX(节奏总纲!H132-$E$2,0)</f>
        <v>403055.24145462137</v>
      </c>
      <c r="AE136" s="2">
        <f>$Q$8*SUM(C$11:C$12)/(365/12)*MAX(节奏总纲!D132-$E$2,0)</f>
        <v>1994276.7167130811</v>
      </c>
      <c r="AF136" s="2">
        <f>$Q$8*SUM(D$11:D$12)/(365/12)*MAX(节奏总纲!E132-$E$2,0)</f>
        <v>1685732.8845332395</v>
      </c>
      <c r="AG136" s="2">
        <f>$Q$8*SUM(E$11:E$12)/(365/12)*MAX(节奏总纲!F132-$E$2,0)</f>
        <v>1341209.0224119052</v>
      </c>
      <c r="AH136" s="2">
        <f>$Q$8*SUM(F$11:F$12)/(365/12)*MAX(节奏总纲!G132-$E$2,0)</f>
        <v>951257.85991751275</v>
      </c>
      <c r="AI136" s="2">
        <f>$Q$8*SUM(G$11:G$12)/(365/12)*MAX(节奏总纲!H132-$E$2,0)</f>
        <v>503819.0518182767</v>
      </c>
      <c r="AJ136" s="2">
        <f>$P$8*SUM(C$11:C$12)/(365/12)*MAX(节奏总纲!D132-$E$2,0)</f>
        <v>43076377.081002556</v>
      </c>
      <c r="AK136" s="2">
        <f>$P$8*SUM(D$11:D$12)/(365/12)*MAX(节奏总纲!E132-$E$2,0)</f>
        <v>36411830.305917978</v>
      </c>
      <c r="AL136" s="2">
        <f>$P$8*SUM(E$11:E$12)/(365/12)*MAX(节奏总纲!F132-$E$2,0)</f>
        <v>28970114.884097155</v>
      </c>
      <c r="AM136" s="2">
        <f>$P$8*SUM(F$11:F$12)/(365/12)*MAX(节奏总纲!G132-$E$2,0)</f>
        <v>20547169.774218276</v>
      </c>
      <c r="AN136" s="2">
        <f>$P$8*SUM(G$11:G$12)/(365/12)*MAX(节奏总纲!H132-$E$2,0)</f>
        <v>10882491.519274777</v>
      </c>
      <c r="BC136" s="2">
        <v>129</v>
      </c>
      <c r="BD136" s="2">
        <f>$AZ$8/(365/12)*MAX(节奏总纲!D132-$E$2,0)</f>
        <v>747853.76876740553</v>
      </c>
      <c r="BE136" s="2">
        <f>$AZ$8/(365/12)*MAX(节奏总纲!E132-$E$2,0)</f>
        <v>632149.83169996494</v>
      </c>
      <c r="BF136" s="2">
        <f>$AZ$8/(365/12)*MAX(节奏总纲!F132-$E$2,0)</f>
        <v>502953.38340446452</v>
      </c>
      <c r="BG136" s="2">
        <f>$AZ$8/(365/12)*MAX(节奏总纲!G132-$E$2,0)</f>
        <v>356721.69746906729</v>
      </c>
      <c r="BH136" s="2">
        <f>$AZ$8/(365/12)*MAX(节奏总纲!H132-$E$2,0)</f>
        <v>188932.14443185378</v>
      </c>
      <c r="BI136" s="2">
        <f>$AY$8/(365/12)*MAX(节奏总纲!D132-$E$2,0)</f>
        <v>17948490.450417731</v>
      </c>
      <c r="BJ136" s="2">
        <f>$AY$8/(365/12)*MAX(节奏总纲!E132-$E$2,0)</f>
        <v>15171595.960799158</v>
      </c>
      <c r="BK136" s="2">
        <f>$AY$8/(365/12)*MAX(节奏总纲!F132-$E$2,0)</f>
        <v>12070881.201707149</v>
      </c>
      <c r="BL136" s="2">
        <f>$AY$8/(365/12)*MAX(节奏总纲!G132-$E$2,0)</f>
        <v>8561320.7392576151</v>
      </c>
      <c r="BM136" s="2">
        <f>$AY$8/(365/12)*MAX(节奏总纲!H132-$E$2,0)</f>
        <v>4534371.4663644908</v>
      </c>
      <c r="CD136" s="2">
        <v>129</v>
      </c>
      <c r="CE136" s="2">
        <f>INDEX($BY$8:$BY$15,MATCH(CE$7,$CB$8:$CB$15,0))*SUM(C$11:C$12)/(365/12)*MAX(节奏总纲!D132-$E$2,0)</f>
        <v>199427.67167130811</v>
      </c>
      <c r="CF136" s="2">
        <f>INDEX($BY$8:$BY$15,MATCH(CF$7,$CB$8:$CB$15,0))*SUM(D$11:D$12)/(365/12)*MAX(节奏总纲!E132-$E$2,0)</f>
        <v>202287.94614398875</v>
      </c>
      <c r="CG136" s="2">
        <f>INDEX($BY$8:$BY$15,MATCH(CG$7,$CB$8:$CB$15,0))*SUM(E$11:E$12)/(365/12)*MAX(节奏总纲!F132-$E$2,0)</f>
        <v>268241.80448238109</v>
      </c>
      <c r="CH136" s="2">
        <f>INDEX($BY$8:$BY$15,MATCH(CH$7,$CB$8:$CB$15,0))*SUM(F$11:F$12)/(365/12)*MAX(节奏总纲!G132-$E$2,0)</f>
        <v>475628.92995875637</v>
      </c>
      <c r="CI136" s="2">
        <f>INDEX($BY$8:$BY$15,MATCH(CI$7,$CB$8:$CB$15,0))*SUM(G$11:G$12)/(365/12)*MAX(节奏总纲!H132-$E$2,0)</f>
        <v>403055.24145462137</v>
      </c>
      <c r="CJ136" s="2">
        <f>INDEX($BZ$8:$BZ$15,MATCH(CE$7,$CB$8:$CB$15,0))*SUM(C$11:C$12)/(365/12)*MAX(节奏总纲!D132-$E$2,0)</f>
        <v>8375962.2101949416</v>
      </c>
      <c r="CK136" s="2">
        <f>INDEX($BZ$8:$BZ$15,MATCH(CF$7,$CB$8:$CB$15,0))*SUM(D$11:D$12)/(365/12)*MAX(节奏总纲!E132-$E$2,0)</f>
        <v>8091517.845759551</v>
      </c>
      <c r="CL136" s="2">
        <f>INDEX($BZ$8:$BZ$15,MATCH(CG$7,$CB$8:$CB$15,0))*SUM(E$11:E$12)/(365/12)*MAX(节奏总纲!F132-$E$2,0)</f>
        <v>9656704.9613657184</v>
      </c>
      <c r="CM136" s="2">
        <f>INDEX($BZ$8:$BZ$15,MATCH(CH$7,$CB$8:$CB$15,0))*SUM(F$11:F$12)/(365/12)*MAX(节奏总纲!G132-$E$2,0)</f>
        <v>6849056.591406092</v>
      </c>
      <c r="CN136" s="2">
        <f>INDEX($BZ$8:$BZ$15,MATCH(CI$7,$CB$8:$CB$15,0))*SUM(G$11:G$12)/(365/12)*MAX(节奏总纲!H132-$E$2,0)</f>
        <v>3627497.1730915923</v>
      </c>
      <c r="CS136" s="2">
        <v>129</v>
      </c>
      <c r="CT136" s="2">
        <f t="shared" ref="CT136:CT167" si="109">AE136+BD136+CE136</f>
        <v>2941558.1571517945</v>
      </c>
      <c r="CU136" s="2">
        <f t="shared" ref="CU136:CU167" si="110">AF136+BE136+CF136</f>
        <v>2520170.6623771936</v>
      </c>
      <c r="CV136" s="2">
        <f t="shared" ref="CV136:CV167" si="111">AG136+BF136+CG136</f>
        <v>2112404.2102987505</v>
      </c>
      <c r="CW136" s="2">
        <f t="shared" ref="CW136:CW167" si="112">AH136+BG136+CH136</f>
        <v>1783608.4873453362</v>
      </c>
      <c r="CX136" s="2">
        <f t="shared" ref="CX136:CX167" si="113">AI136+BH136+CI136</f>
        <v>1095806.4377047517</v>
      </c>
      <c r="CZ136" s="41">
        <f t="shared" ref="CZ136:CZ167" si="114">AE136/CT136</f>
        <v>0.67796610169491534</v>
      </c>
      <c r="DA136" s="41">
        <f t="shared" ref="DA136:DA167" si="115">BD136/CT136</f>
        <v>0.25423728813559326</v>
      </c>
      <c r="DB136" s="41">
        <f t="shared" ref="DB136:DB167" si="116">CE136/CT136</f>
        <v>6.7796610169491525E-2</v>
      </c>
      <c r="DD136" s="41">
        <f t="shared" ref="DD136:DD167" si="117">AG136/CV136</f>
        <v>0.634920634920635</v>
      </c>
      <c r="DE136" s="41">
        <f t="shared" ref="DE136:DE167" si="118">BF136/CV136</f>
        <v>0.23809523809523814</v>
      </c>
      <c r="DF136" s="41">
        <f t="shared" ref="DF136:DF167" si="119">CG136/CV136</f>
        <v>0.126984126984127</v>
      </c>
      <c r="DH136" s="41">
        <f t="shared" ref="DH136:DH167" si="120">AI136/CX136</f>
        <v>0.45977011494252878</v>
      </c>
      <c r="DI136" s="41">
        <f t="shared" ref="DI136:DI167" si="121">BH136/CX136</f>
        <v>0.17241379310344832</v>
      </c>
      <c r="DJ136" s="41">
        <f t="shared" ref="DJ136:DJ167" si="122">CI136/CX136</f>
        <v>0.36781609195402304</v>
      </c>
      <c r="DL136" s="2">
        <f>CT136/节奏总纲!D132</f>
        <v>384.89947465638875</v>
      </c>
      <c r="DM136" s="2">
        <f>CU136/节奏总纲!E132</f>
        <v>389.55866448676039</v>
      </c>
      <c r="DN136" s="2">
        <f>CV136/节奏总纲!F132</f>
        <v>409.42918377328232</v>
      </c>
      <c r="DO136" s="2">
        <f>CW136/节奏总纲!G132</f>
        <v>485.10310288155262</v>
      </c>
      <c r="DP136" s="2">
        <f>CX136/节奏总纲!H132</f>
        <v>554.68085873675591</v>
      </c>
      <c r="DR136" s="2">
        <f t="shared" ref="DR136:DR167" si="123">DM136/$DL136</f>
        <v>1.0121049524282439</v>
      </c>
      <c r="DS136" s="2">
        <f t="shared" ref="DS136:DS167" si="124">DN136/$DL136</f>
        <v>1.0637301704264261</v>
      </c>
      <c r="DT136" s="2">
        <f t="shared" ref="DT136:DT167" si="125">DO136/$DL136</f>
        <v>1.2603371394949776</v>
      </c>
      <c r="DU136" s="2">
        <f t="shared" ref="DU136:DU167" si="126">DP136/$DL136</f>
        <v>1.4411057828331308</v>
      </c>
      <c r="DY136" s="2">
        <v>129</v>
      </c>
      <c r="DZ136" s="2">
        <f t="shared" si="77"/>
        <v>69400829.741615236</v>
      </c>
      <c r="EA136" s="2">
        <f t="shared" si="78"/>
        <v>59674944.112476684</v>
      </c>
      <c r="EB136" s="2">
        <f t="shared" si="79"/>
        <v>50697701.047170028</v>
      </c>
      <c r="EC136" s="2">
        <f t="shared" si="80"/>
        <v>35957547.104881987</v>
      </c>
      <c r="ED136" s="2">
        <f t="shared" si="81"/>
        <v>19044360.158730857</v>
      </c>
      <c r="EF136" s="57">
        <f t="shared" si="82"/>
        <v>0.6206896551724137</v>
      </c>
      <c r="EG136" s="57">
        <f t="shared" si="83"/>
        <v>0.25862068965517238</v>
      </c>
      <c r="EH136" s="41">
        <f t="shared" si="84"/>
        <v>0.12068965517241378</v>
      </c>
      <c r="EJ136" s="57">
        <f t="shared" si="85"/>
        <v>0.5714285714285714</v>
      </c>
      <c r="EK136" s="57">
        <f t="shared" si="86"/>
        <v>0.23809523809523808</v>
      </c>
      <c r="EL136" s="41">
        <f t="shared" si="87"/>
        <v>0.19047619047619044</v>
      </c>
      <c r="EN136" s="57">
        <f t="shared" si="88"/>
        <v>0.57142857142857151</v>
      </c>
      <c r="EO136" s="57">
        <f t="shared" si="89"/>
        <v>0.23809523809523814</v>
      </c>
      <c r="EP136" s="41">
        <f t="shared" si="90"/>
        <v>0.19047619047619049</v>
      </c>
    </row>
    <row r="137" spans="20:146" x14ac:dyDescent="0.15">
      <c r="T137" s="2">
        <v>130</v>
      </c>
      <c r="U137" s="2">
        <f>$N$8*SUM(C$11:C$12)/(365/12)*MAX(节奏总纲!D133-$E$2,0)</f>
        <v>171085.15068493149</v>
      </c>
      <c r="V137" s="2">
        <f>$N$8*SUM(D$11:D$12)/(365/12)*MAX(节奏总纲!E133-$E$2,0)</f>
        <v>144802.1391780822</v>
      </c>
      <c r="W137" s="2">
        <f>$N$8*SUM(E$11:E$12)/(365/12)*MAX(节奏总纲!F133-$E$2,0)</f>
        <v>115347.93152876712</v>
      </c>
      <c r="X137" s="2">
        <f>$N$8*SUM(F$11:F$12)/(365/12)*MAX(节奏总纲!G133-$E$2,0)</f>
        <v>81878.024416438348</v>
      </c>
      <c r="Y137" s="2">
        <f>$N$8*SUM(G$11:G$12)/(365/12)*MAX(节奏总纲!H133-$E$2,0)</f>
        <v>43444.505950684936</v>
      </c>
      <c r="Z137" s="2">
        <f>$O$8*SUM(C$11:C$12)/(365/12)*MAX(节奏总纲!D133-$E$2,0)</f>
        <v>1710851.506849315</v>
      </c>
      <c r="AA137" s="2">
        <f>$O$8*SUM(D$11:D$12)/(365/12)*MAX(节奏总纲!E133-$E$2,0)</f>
        <v>1448021.3917808218</v>
      </c>
      <c r="AB137" s="2">
        <f>$O$8*SUM(E$11:E$12)/(365/12)*MAX(节奏总纲!F133-$E$2,0)</f>
        <v>1153479.3152876713</v>
      </c>
      <c r="AC137" s="2">
        <f>$O$8*SUM(F$11:F$12)/(365/12)*MAX(节奏总纲!G133-$E$2,0)</f>
        <v>818780.2441643835</v>
      </c>
      <c r="AD137" s="2">
        <f>$O$8*SUM(G$11:G$12)/(365/12)*MAX(节奏总纲!H133-$E$2,0)</f>
        <v>434445.05950684933</v>
      </c>
      <c r="AE137" s="2">
        <f>$Q$8*SUM(C$11:C$12)/(365/12)*MAX(节奏总纲!D133-$E$2,0)</f>
        <v>2138564.3835616438</v>
      </c>
      <c r="AF137" s="2">
        <f>$Q$8*SUM(D$11:D$12)/(365/12)*MAX(节奏总纲!E133-$E$2,0)</f>
        <v>1810026.7397260272</v>
      </c>
      <c r="AG137" s="2">
        <f>$Q$8*SUM(E$11:E$12)/(365/12)*MAX(节奏总纲!F133-$E$2,0)</f>
        <v>1441849.1441095888</v>
      </c>
      <c r="AH137" s="2">
        <f>$Q$8*SUM(F$11:F$12)/(365/12)*MAX(节奏总纲!G133-$E$2,0)</f>
        <v>1023475.3052054794</v>
      </c>
      <c r="AI137" s="2">
        <f>$Q$8*SUM(G$11:G$12)/(365/12)*MAX(节奏总纲!H133-$E$2,0)</f>
        <v>543056.32438356162</v>
      </c>
      <c r="AJ137" s="2">
        <f>$P$8*SUM(C$11:C$12)/(365/12)*MAX(节奏总纲!D133-$E$2,0)</f>
        <v>46192990.684931502</v>
      </c>
      <c r="AK137" s="2">
        <f>$P$8*SUM(D$11:D$12)/(365/12)*MAX(节奏总纲!E133-$E$2,0)</f>
        <v>39096577.578082189</v>
      </c>
      <c r="AL137" s="2">
        <f>$P$8*SUM(E$11:E$12)/(365/12)*MAX(节奏总纲!F133-$E$2,0)</f>
        <v>31143941.512767121</v>
      </c>
      <c r="AM137" s="2">
        <f>$P$8*SUM(F$11:F$12)/(365/12)*MAX(节奏总纲!G133-$E$2,0)</f>
        <v>22107066.592438355</v>
      </c>
      <c r="AN137" s="2">
        <f>$P$8*SUM(G$11:G$12)/(365/12)*MAX(节奏总纲!H133-$E$2,0)</f>
        <v>11730016.606684932</v>
      </c>
      <c r="BC137" s="2">
        <v>130</v>
      </c>
      <c r="BD137" s="2">
        <f>$AZ$8/(365/12)*MAX(节奏总纲!D133-$E$2,0)</f>
        <v>801961.64383561641</v>
      </c>
      <c r="BE137" s="2">
        <f>$AZ$8/(365/12)*MAX(节奏总纲!E133-$E$2,0)</f>
        <v>678760.0273972603</v>
      </c>
      <c r="BF137" s="2">
        <f>$AZ$8/(365/12)*MAX(节奏总纲!F133-$E$2,0)</f>
        <v>540693.42904109589</v>
      </c>
      <c r="BG137" s="2">
        <f>$AZ$8/(365/12)*MAX(节奏总纲!G133-$E$2,0)</f>
        <v>383803.23945205478</v>
      </c>
      <c r="BH137" s="2">
        <f>$AZ$8/(365/12)*MAX(节奏总纲!H133-$E$2,0)</f>
        <v>203646.12164383562</v>
      </c>
      <c r="BI137" s="2">
        <f>$AY$8/(365/12)*MAX(节奏总纲!D133-$E$2,0)</f>
        <v>19247079.452054795</v>
      </c>
      <c r="BJ137" s="2">
        <f>$AY$8/(365/12)*MAX(节奏总纲!E133-$E$2,0)</f>
        <v>16290240.657534247</v>
      </c>
      <c r="BK137" s="2">
        <f>$AY$8/(365/12)*MAX(节奏总纲!F133-$E$2,0)</f>
        <v>12976642.296986302</v>
      </c>
      <c r="BL137" s="2">
        <f>$AY$8/(365/12)*MAX(节奏总纲!G133-$E$2,0)</f>
        <v>9211277.7468493152</v>
      </c>
      <c r="BM137" s="2">
        <f>$AY$8/(365/12)*MAX(节奏总纲!H133-$E$2,0)</f>
        <v>4887506.9194520554</v>
      </c>
      <c r="CD137" s="2">
        <v>130</v>
      </c>
      <c r="CE137" s="2">
        <f>INDEX($BY$8:$BY$15,MATCH(CE$7,$CB$8:$CB$15,0))*SUM(C$11:C$12)/(365/12)*MAX(节奏总纲!D133-$E$2,0)</f>
        <v>213856.43835616438</v>
      </c>
      <c r="CF137" s="2">
        <f>INDEX($BY$8:$BY$15,MATCH(CF$7,$CB$8:$CB$15,0))*SUM(D$11:D$12)/(365/12)*MAX(节奏总纲!E133-$E$2,0)</f>
        <v>217203.20876712329</v>
      </c>
      <c r="CG137" s="2">
        <f>INDEX($BY$8:$BY$15,MATCH(CG$7,$CB$8:$CB$15,0))*SUM(E$11:E$12)/(365/12)*MAX(节奏总纲!F133-$E$2,0)</f>
        <v>288369.82882191782</v>
      </c>
      <c r="CH137" s="2">
        <f>INDEX($BY$8:$BY$15,MATCH(CH$7,$CB$8:$CB$15,0))*SUM(F$11:F$12)/(365/12)*MAX(节奏总纲!G133-$E$2,0)</f>
        <v>511737.65260273969</v>
      </c>
      <c r="CI137" s="2">
        <f>INDEX($BY$8:$BY$15,MATCH(CI$7,$CB$8:$CB$15,0))*SUM(G$11:G$12)/(365/12)*MAX(节奏总纲!H133-$E$2,0)</f>
        <v>434445.05950684933</v>
      </c>
      <c r="CJ137" s="2">
        <f>INDEX($BZ$8:$BZ$15,MATCH(CE$7,$CB$8:$CB$15,0))*SUM(C$11:C$12)/(365/12)*MAX(节奏总纲!D133-$E$2,0)</f>
        <v>8981970.4109589048</v>
      </c>
      <c r="CK137" s="2">
        <f>INDEX($BZ$8:$BZ$15,MATCH(CF$7,$CB$8:$CB$15,0))*SUM(D$11:D$12)/(365/12)*MAX(节奏总纲!E133-$E$2,0)</f>
        <v>8688128.3506849315</v>
      </c>
      <c r="CL137" s="2">
        <f>INDEX($BZ$8:$BZ$15,MATCH(CG$7,$CB$8:$CB$15,0))*SUM(E$11:E$12)/(365/12)*MAX(节奏总纲!F133-$E$2,0)</f>
        <v>10381313.83758904</v>
      </c>
      <c r="CM137" s="2">
        <f>INDEX($BZ$8:$BZ$15,MATCH(CH$7,$CB$8:$CB$15,0))*SUM(F$11:F$12)/(365/12)*MAX(节奏总纲!G133-$E$2,0)</f>
        <v>7369022.197479452</v>
      </c>
      <c r="CN137" s="2">
        <f>INDEX($BZ$8:$BZ$15,MATCH(CI$7,$CB$8:$CB$15,0))*SUM(G$11:G$12)/(365/12)*MAX(节奏总纲!H133-$E$2,0)</f>
        <v>3910005.535561644</v>
      </c>
      <c r="CS137" s="2">
        <v>130</v>
      </c>
      <c r="CT137" s="2">
        <f t="shared" si="109"/>
        <v>3154382.4657534244</v>
      </c>
      <c r="CU137" s="2">
        <f t="shared" si="110"/>
        <v>2705989.9758904111</v>
      </c>
      <c r="CV137" s="2">
        <f t="shared" si="111"/>
        <v>2270912.4019726026</v>
      </c>
      <c r="CW137" s="2">
        <f t="shared" si="112"/>
        <v>1919016.1972602739</v>
      </c>
      <c r="CX137" s="2">
        <f t="shared" si="113"/>
        <v>1181147.5055342466</v>
      </c>
      <c r="CZ137" s="41">
        <f t="shared" si="114"/>
        <v>0.67796610169491522</v>
      </c>
      <c r="DA137" s="41">
        <f t="shared" si="115"/>
        <v>0.25423728813559321</v>
      </c>
      <c r="DB137" s="41">
        <f t="shared" si="116"/>
        <v>6.7796610169491525E-2</v>
      </c>
      <c r="DD137" s="41">
        <f t="shared" si="117"/>
        <v>0.63492063492063489</v>
      </c>
      <c r="DE137" s="41">
        <f t="shared" si="118"/>
        <v>0.23809523809523811</v>
      </c>
      <c r="DF137" s="41">
        <f t="shared" si="119"/>
        <v>0.126984126984127</v>
      </c>
      <c r="DH137" s="41">
        <f t="shared" si="120"/>
        <v>0.45977011494252873</v>
      </c>
      <c r="DI137" s="41">
        <f t="shared" si="121"/>
        <v>0.17241379310344829</v>
      </c>
      <c r="DJ137" s="41">
        <f t="shared" si="122"/>
        <v>0.36781609195402298</v>
      </c>
      <c r="DL137" s="2">
        <f>CT137/节奏总纲!D133</f>
        <v>385.10346303911911</v>
      </c>
      <c r="DM137" s="2">
        <f>CU137/节奏总纲!E133</f>
        <v>389.80692542111814</v>
      </c>
      <c r="DN137" s="2">
        <f>CV137/节奏总纲!F133</f>
        <v>409.76179416486849</v>
      </c>
      <c r="DO137" s="2">
        <f>CW137/节奏总纲!G133</f>
        <v>485.66232577302765</v>
      </c>
      <c r="DP137" s="2">
        <f>CX137/节奏总纲!H133</f>
        <v>555.90072369811764</v>
      </c>
      <c r="DR137" s="2">
        <f t="shared" si="123"/>
        <v>1.0122135032099704</v>
      </c>
      <c r="DS137" s="2">
        <f t="shared" si="124"/>
        <v>1.0640304060917898</v>
      </c>
      <c r="DT137" s="2">
        <f t="shared" si="125"/>
        <v>1.2611216786790975</v>
      </c>
      <c r="DU137" s="2">
        <f t="shared" si="126"/>
        <v>1.4435100617146328</v>
      </c>
      <c r="DY137" s="2">
        <v>130</v>
      </c>
      <c r="DZ137" s="2">
        <f t="shared" ref="DZ137:DZ167" si="127">AJ137+BI137+CJ137</f>
        <v>74422040.547945201</v>
      </c>
      <c r="EA137" s="2">
        <f t="shared" ref="EA137:EA167" si="128">AK137+BJ137+CK137</f>
        <v>64074946.586301371</v>
      </c>
      <c r="EB137" s="2">
        <f t="shared" ref="EB137:EB167" si="129">AL137+BK137+CL137</f>
        <v>54501897.647342466</v>
      </c>
      <c r="EC137" s="2">
        <f t="shared" ref="EC137:EC167" si="130">AM137+BL137+CM137</f>
        <v>38687366.536767118</v>
      </c>
      <c r="ED137" s="2">
        <f t="shared" ref="ED137:ED167" si="131">AN137+BM137+CN137</f>
        <v>20527529.06169863</v>
      </c>
      <c r="EF137" s="57">
        <f t="shared" ref="EF137:EF167" si="132">AJ137/DZ137</f>
        <v>0.62068965517241381</v>
      </c>
      <c r="EG137" s="57">
        <f t="shared" ref="EG137:EG167" si="133">BI137/DZ137</f>
        <v>0.25862068965517243</v>
      </c>
      <c r="EH137" s="41">
        <f t="shared" ref="EH137:EH167" si="134">CJ137/DZ137</f>
        <v>0.12068965517241381</v>
      </c>
      <c r="EJ137" s="57">
        <f t="shared" ref="EJ137:EJ167" si="135">AL137/EB137</f>
        <v>0.5714285714285714</v>
      </c>
      <c r="EK137" s="57">
        <f t="shared" ref="EK137:EK167" si="136">BK137/EB137</f>
        <v>0.23809523809523811</v>
      </c>
      <c r="EL137" s="41">
        <f t="shared" ref="EL137:EL167" si="137">CL137/EB137</f>
        <v>0.19047619047619047</v>
      </c>
      <c r="EN137" s="57">
        <f t="shared" ref="EN137:EN167" si="138">AN137/ED137</f>
        <v>0.57142857142857151</v>
      </c>
      <c r="EO137" s="57">
        <f t="shared" ref="EO137:EO167" si="139">BM137/ED137</f>
        <v>0.23809523809523811</v>
      </c>
      <c r="EP137" s="41">
        <f t="shared" ref="EP137:EP167" si="140">CN137/ED137</f>
        <v>0.19047619047619049</v>
      </c>
    </row>
    <row r="138" spans="20:146" x14ac:dyDescent="0.15">
      <c r="T138" s="2">
        <v>131</v>
      </c>
      <c r="U138" s="2">
        <f>$N$8*SUM(C$11:C$12)/(365/12)*MAX(节奏总纲!D134-$E$2,0)</f>
        <v>183456.64606889692</v>
      </c>
      <c r="V138" s="2">
        <f>$N$8*SUM(D$11:D$12)/(365/12)*MAX(节奏总纲!E134-$E$2,0)</f>
        <v>155360.86916072181</v>
      </c>
      <c r="W138" s="2">
        <f>$N$8*SUM(E$11:E$12)/(365/12)*MAX(节奏总纲!F134-$E$2,0)</f>
        <v>123829.31677265152</v>
      </c>
      <c r="X138" s="2">
        <f>$N$8*SUM(F$11:F$12)/(365/12)*MAX(节奏总纲!G134-$E$2,0)</f>
        <v>88049.224812667831</v>
      </c>
      <c r="Y138" s="2">
        <f>$N$8*SUM(G$11:G$12)/(365/12)*MAX(节奏总纲!H134-$E$2,0)</f>
        <v>46616.728030921091</v>
      </c>
      <c r="Z138" s="2">
        <f>$O$8*SUM(C$11:C$12)/(365/12)*MAX(节奏总纲!D134-$E$2,0)</f>
        <v>1834566.4606889691</v>
      </c>
      <c r="AA138" s="2">
        <f>$O$8*SUM(D$11:D$12)/(365/12)*MAX(节奏总纲!E134-$E$2,0)</f>
        <v>1553608.6916072182</v>
      </c>
      <c r="AB138" s="2">
        <f>$O$8*SUM(E$11:E$12)/(365/12)*MAX(节奏总纲!F134-$E$2,0)</f>
        <v>1238293.1677265151</v>
      </c>
      <c r="AC138" s="2">
        <f>$O$8*SUM(F$11:F$12)/(365/12)*MAX(节奏总纲!G134-$E$2,0)</f>
        <v>880492.24812667829</v>
      </c>
      <c r="AD138" s="2">
        <f>$O$8*SUM(G$11:G$12)/(365/12)*MAX(节奏总纲!H134-$E$2,0)</f>
        <v>466167.28030921094</v>
      </c>
      <c r="AE138" s="2">
        <f>$Q$8*SUM(C$11:C$12)/(365/12)*MAX(节奏总纲!D134-$E$2,0)</f>
        <v>2293208.0758612114</v>
      </c>
      <c r="AF138" s="2">
        <f>$Q$8*SUM(D$11:D$12)/(365/12)*MAX(节奏总纲!E134-$E$2,0)</f>
        <v>1942010.8645090226</v>
      </c>
      <c r="AG138" s="2">
        <f>$Q$8*SUM(E$11:E$12)/(365/12)*MAX(节奏总纲!F134-$E$2,0)</f>
        <v>1547866.4596581438</v>
      </c>
      <c r="AH138" s="2">
        <f>$Q$8*SUM(F$11:F$12)/(365/12)*MAX(节奏总纲!G134-$E$2,0)</f>
        <v>1100615.3101583477</v>
      </c>
      <c r="AI138" s="2">
        <f>$Q$8*SUM(G$11:G$12)/(365/12)*MAX(节奏总纲!H134-$E$2,0)</f>
        <v>582709.10038651363</v>
      </c>
      <c r="AJ138" s="2">
        <f>$P$8*SUM(C$11:C$12)/(365/12)*MAX(节奏总纲!D134-$E$2,0)</f>
        <v>49533294.438602164</v>
      </c>
      <c r="AK138" s="2">
        <f>$P$8*SUM(D$11:D$12)/(365/12)*MAX(节奏总纲!E134-$E$2,0)</f>
        <v>41947434.673394889</v>
      </c>
      <c r="AL138" s="2">
        <f>$P$8*SUM(E$11:E$12)/(365/12)*MAX(节奏总纲!F134-$E$2,0)</f>
        <v>33433915.528615911</v>
      </c>
      <c r="AM138" s="2">
        <f>$P$8*SUM(F$11:F$12)/(365/12)*MAX(节奏总纲!G134-$E$2,0)</f>
        <v>23773290.699420311</v>
      </c>
      <c r="AN138" s="2">
        <f>$P$8*SUM(G$11:G$12)/(365/12)*MAX(节奏总纲!H134-$E$2,0)</f>
        <v>12586516.568348695</v>
      </c>
      <c r="BC138" s="2">
        <v>131</v>
      </c>
      <c r="BD138" s="2">
        <f>$AZ$8/(365/12)*MAX(节奏总纲!D134-$E$2,0)</f>
        <v>859953.02844795433</v>
      </c>
      <c r="BE138" s="2">
        <f>$AZ$8/(365/12)*MAX(节奏总纲!E134-$E$2,0)</f>
        <v>728254.07419088355</v>
      </c>
      <c r="BF138" s="2">
        <f>$AZ$8/(365/12)*MAX(节奏总纲!F134-$E$2,0)</f>
        <v>580449.92237180402</v>
      </c>
      <c r="BG138" s="2">
        <f>$AZ$8/(365/12)*MAX(节奏总纲!G134-$E$2,0)</f>
        <v>412730.74130938045</v>
      </c>
      <c r="BH138" s="2">
        <f>$AZ$8/(365/12)*MAX(节奏总纲!H134-$E$2,0)</f>
        <v>218515.91264494261</v>
      </c>
      <c r="BI138" s="2">
        <f>$AY$8/(365/12)*MAX(节奏总纲!D134-$E$2,0)</f>
        <v>20638872.682750907</v>
      </c>
      <c r="BJ138" s="2">
        <f>$AY$8/(365/12)*MAX(节奏总纲!E134-$E$2,0)</f>
        <v>17478097.780581206</v>
      </c>
      <c r="BK138" s="2">
        <f>$AY$8/(365/12)*MAX(节奏总纲!F134-$E$2,0)</f>
        <v>13930798.136923296</v>
      </c>
      <c r="BL138" s="2">
        <f>$AY$8/(365/12)*MAX(节奏总纲!G134-$E$2,0)</f>
        <v>9905537.7914251313</v>
      </c>
      <c r="BM138" s="2">
        <f>$AY$8/(365/12)*MAX(节奏总纲!H134-$E$2,0)</f>
        <v>5244381.9034786234</v>
      </c>
      <c r="CD138" s="2">
        <v>131</v>
      </c>
      <c r="CE138" s="2">
        <f>INDEX($BY$8:$BY$15,MATCH(CE$7,$CB$8:$CB$15,0))*SUM(C$11:C$12)/(365/12)*MAX(节奏总纲!D134-$E$2,0)</f>
        <v>229320.80758612114</v>
      </c>
      <c r="CF138" s="2">
        <f>INDEX($BY$8:$BY$15,MATCH(CF$7,$CB$8:$CB$15,0))*SUM(D$11:D$12)/(365/12)*MAX(节奏总纲!E134-$E$2,0)</f>
        <v>233041.30374108272</v>
      </c>
      <c r="CG138" s="2">
        <f>INDEX($BY$8:$BY$15,MATCH(CG$7,$CB$8:$CB$15,0))*SUM(E$11:E$12)/(365/12)*MAX(节奏总纲!F134-$E$2,0)</f>
        <v>309573.29193162877</v>
      </c>
      <c r="CH138" s="2">
        <f>INDEX($BY$8:$BY$15,MATCH(CH$7,$CB$8:$CB$15,0))*SUM(F$11:F$12)/(365/12)*MAX(节奏总纲!G134-$E$2,0)</f>
        <v>550307.65507917386</v>
      </c>
      <c r="CI138" s="2">
        <f>INDEX($BY$8:$BY$15,MATCH(CI$7,$CB$8:$CB$15,0))*SUM(G$11:G$12)/(365/12)*MAX(节奏总纲!H134-$E$2,0)</f>
        <v>466167.28030921094</v>
      </c>
      <c r="CJ138" s="2">
        <f>INDEX($BZ$8:$BZ$15,MATCH(CE$7,$CB$8:$CB$15,0))*SUM(C$11:C$12)/(365/12)*MAX(节奏总纲!D134-$E$2,0)</f>
        <v>9631473.9186170883</v>
      </c>
      <c r="CK138" s="2">
        <f>INDEX($BZ$8:$BZ$15,MATCH(CF$7,$CB$8:$CB$15,0))*SUM(D$11:D$12)/(365/12)*MAX(节奏总纲!E134-$E$2,0)</f>
        <v>9321652.1496433094</v>
      </c>
      <c r="CL138" s="2">
        <f>INDEX($BZ$8:$BZ$15,MATCH(CG$7,$CB$8:$CB$15,0))*SUM(E$11:E$12)/(365/12)*MAX(节奏总纲!F134-$E$2,0)</f>
        <v>11144638.509538636</v>
      </c>
      <c r="CM138" s="2">
        <f>INDEX($BZ$8:$BZ$15,MATCH(CH$7,$CB$8:$CB$15,0))*SUM(F$11:F$12)/(365/12)*MAX(节奏总纲!G134-$E$2,0)</f>
        <v>7924430.2331401045</v>
      </c>
      <c r="CN138" s="2">
        <f>INDEX($BZ$8:$BZ$15,MATCH(CI$7,$CB$8:$CB$15,0))*SUM(G$11:G$12)/(365/12)*MAX(节奏总纲!H134-$E$2,0)</f>
        <v>4195505.5227828985</v>
      </c>
      <c r="CS138" s="2">
        <v>131</v>
      </c>
      <c r="CT138" s="2">
        <f t="shared" si="109"/>
        <v>3382481.9118952872</v>
      </c>
      <c r="CU138" s="2">
        <f t="shared" si="110"/>
        <v>2903306.2424409888</v>
      </c>
      <c r="CV138" s="2">
        <f t="shared" si="111"/>
        <v>2437889.6739615765</v>
      </c>
      <c r="CW138" s="2">
        <f t="shared" si="112"/>
        <v>2063653.706546902</v>
      </c>
      <c r="CX138" s="2">
        <f t="shared" si="113"/>
        <v>1267392.2933406672</v>
      </c>
      <c r="CZ138" s="41">
        <f t="shared" si="114"/>
        <v>0.67796610169491522</v>
      </c>
      <c r="DA138" s="41">
        <f t="shared" si="115"/>
        <v>0.25423728813559321</v>
      </c>
      <c r="DB138" s="41">
        <f t="shared" si="116"/>
        <v>6.7796610169491511E-2</v>
      </c>
      <c r="DD138" s="41">
        <f t="shared" si="117"/>
        <v>0.63492063492063489</v>
      </c>
      <c r="DE138" s="41">
        <f t="shared" si="118"/>
        <v>0.23809523809523814</v>
      </c>
      <c r="DF138" s="41">
        <f t="shared" si="119"/>
        <v>0.12698412698412698</v>
      </c>
      <c r="DH138" s="41">
        <f t="shared" si="120"/>
        <v>0.45977011494252873</v>
      </c>
      <c r="DI138" s="41">
        <f t="shared" si="121"/>
        <v>0.17241379310344829</v>
      </c>
      <c r="DJ138" s="41">
        <f t="shared" si="122"/>
        <v>0.36781609195402304</v>
      </c>
      <c r="DL138" s="2">
        <f>CT138/节奏总纲!D134</f>
        <v>385.29378770631877</v>
      </c>
      <c r="DM138" s="2">
        <f>CU138/节奏总纲!E134</f>
        <v>390.0360382436981</v>
      </c>
      <c r="DN138" s="2">
        <f>CV138/节奏总纲!F134</f>
        <v>410.06586815065401</v>
      </c>
      <c r="DO138" s="2">
        <f>CW138/节奏总纲!G134</f>
        <v>486.17975148418594</v>
      </c>
      <c r="DP138" s="2">
        <f>CX138/节奏总纲!H134</f>
        <v>556.97100696937366</v>
      </c>
      <c r="DR138" s="2">
        <f t="shared" si="123"/>
        <v>1.0123081417056068</v>
      </c>
      <c r="DS138" s="2">
        <f t="shared" si="124"/>
        <v>1.0642940043020293</v>
      </c>
      <c r="DT138" s="2">
        <f t="shared" si="125"/>
        <v>1.2618416569300235</v>
      </c>
      <c r="DU138" s="2">
        <f t="shared" si="126"/>
        <v>1.4455748437706757</v>
      </c>
      <c r="DY138" s="2">
        <v>131</v>
      </c>
      <c r="DZ138" s="2">
        <f t="shared" si="127"/>
        <v>79803641.03997016</v>
      </c>
      <c r="EA138" s="2">
        <f t="shared" si="128"/>
        <v>68747184.603619397</v>
      </c>
      <c r="EB138" s="2">
        <f t="shared" si="129"/>
        <v>58509352.175077841</v>
      </c>
      <c r="EC138" s="2">
        <f t="shared" si="130"/>
        <v>41603258.723985545</v>
      </c>
      <c r="ED138" s="2">
        <f t="shared" si="131"/>
        <v>22026403.994610216</v>
      </c>
      <c r="EF138" s="57">
        <f t="shared" si="132"/>
        <v>0.6206896551724137</v>
      </c>
      <c r="EG138" s="57">
        <f t="shared" si="133"/>
        <v>0.25862068965517243</v>
      </c>
      <c r="EH138" s="41">
        <f t="shared" si="134"/>
        <v>0.1206896551724138</v>
      </c>
      <c r="EJ138" s="57">
        <f t="shared" si="135"/>
        <v>0.57142857142857151</v>
      </c>
      <c r="EK138" s="57">
        <f t="shared" si="136"/>
        <v>0.23809523809523811</v>
      </c>
      <c r="EL138" s="41">
        <f t="shared" si="137"/>
        <v>0.19047619047619047</v>
      </c>
      <c r="EN138" s="57">
        <f t="shared" si="138"/>
        <v>0.5714285714285714</v>
      </c>
      <c r="EO138" s="57">
        <f t="shared" si="139"/>
        <v>0.23809523809523811</v>
      </c>
      <c r="EP138" s="41">
        <f t="shared" si="140"/>
        <v>0.19047619047619049</v>
      </c>
    </row>
    <row r="139" spans="20:146" x14ac:dyDescent="0.15">
      <c r="T139" s="2">
        <v>132</v>
      </c>
      <c r="U139" s="2">
        <f>$N$8*SUM(C$11:C$12)/(365/12)*MAX(节奏总纲!D135-$E$2,0)</f>
        <v>196716.08651332112</v>
      </c>
      <c r="V139" s="2">
        <f>$N$8*SUM(D$11:D$12)/(365/12)*MAX(节奏总纲!E135-$E$2,0)</f>
        <v>166722.33584490913</v>
      </c>
      <c r="W139" s="2">
        <f>$N$8*SUM(E$11:E$12)/(365/12)*MAX(节奏总纲!F135-$E$2,0)</f>
        <v>133105.57767001569</v>
      </c>
      <c r="X139" s="2">
        <f>$N$8*SUM(F$11:F$12)/(365/12)*MAX(节奏总纲!G135-$E$2,0)</f>
        <v>94361.174991413543</v>
      </c>
      <c r="Y139" s="2">
        <f>$N$8*SUM(G$11:G$12)/(365/12)*MAX(节奏总纲!H135-$E$2,0)</f>
        <v>49895.192152302458</v>
      </c>
      <c r="Z139" s="2">
        <f>$O$8*SUM(C$11:C$12)/(365/12)*MAX(节奏总纲!D135-$E$2,0)</f>
        <v>1967160.865133211</v>
      </c>
      <c r="AA139" s="2">
        <f>$O$8*SUM(D$11:D$12)/(365/12)*MAX(节奏总纲!E135-$E$2,0)</f>
        <v>1667223.3584490914</v>
      </c>
      <c r="AB139" s="2">
        <f>$O$8*SUM(E$11:E$12)/(365/12)*MAX(节奏总纲!F135-$E$2,0)</f>
        <v>1331055.7767001567</v>
      </c>
      <c r="AC139" s="2">
        <f>$O$8*SUM(F$11:F$12)/(365/12)*MAX(节奏总纲!G135-$E$2,0)</f>
        <v>943611.74991413555</v>
      </c>
      <c r="AD139" s="2">
        <f>$O$8*SUM(G$11:G$12)/(365/12)*MAX(节奏总纲!H135-$E$2,0)</f>
        <v>498951.92152302456</v>
      </c>
      <c r="AE139" s="2">
        <f>$Q$8*SUM(C$11:C$12)/(365/12)*MAX(节奏总纲!D135-$E$2,0)</f>
        <v>2458951.0814165138</v>
      </c>
      <c r="AF139" s="2">
        <f>$Q$8*SUM(D$11:D$12)/(365/12)*MAX(节奏总纲!E135-$E$2,0)</f>
        <v>2084029.198061364</v>
      </c>
      <c r="AG139" s="2">
        <f>$Q$8*SUM(E$11:E$12)/(365/12)*MAX(节奏总纲!F135-$E$2,0)</f>
        <v>1663819.7208751959</v>
      </c>
      <c r="AH139" s="2">
        <f>$Q$8*SUM(F$11:F$12)/(365/12)*MAX(节奏总纲!G135-$E$2,0)</f>
        <v>1179514.6873926693</v>
      </c>
      <c r="AI139" s="2">
        <f>$Q$8*SUM(G$11:G$12)/(365/12)*MAX(节奏总纲!H135-$E$2,0)</f>
        <v>623689.90190378064</v>
      </c>
      <c r="AJ139" s="2">
        <f>$P$8*SUM(C$11:C$12)/(365/12)*MAX(节奏总纲!D135-$E$2,0)</f>
        <v>53113343.358596697</v>
      </c>
      <c r="AK139" s="2">
        <f>$P$8*SUM(D$11:D$12)/(365/12)*MAX(节奏总纲!E135-$E$2,0)</f>
        <v>45015030.678125463</v>
      </c>
      <c r="AL139" s="2">
        <f>$P$8*SUM(E$11:E$12)/(365/12)*MAX(节奏总纲!F135-$E$2,0)</f>
        <v>35938505.970904231</v>
      </c>
      <c r="AM139" s="2">
        <f>$P$8*SUM(F$11:F$12)/(365/12)*MAX(节奏总纲!G135-$E$2,0)</f>
        <v>25477517.247681659</v>
      </c>
      <c r="AN139" s="2">
        <f>$P$8*SUM(G$11:G$12)/(365/12)*MAX(节奏总纲!H135-$E$2,0)</f>
        <v>13471701.881121662</v>
      </c>
      <c r="BC139" s="2">
        <v>132</v>
      </c>
      <c r="BD139" s="2">
        <f>$AZ$8/(365/12)*MAX(节奏总纲!D135-$E$2,0)</f>
        <v>922106.65553119266</v>
      </c>
      <c r="BE139" s="2">
        <f>$AZ$8/(365/12)*MAX(节奏总纲!E135-$E$2,0)</f>
        <v>781510.94927301165</v>
      </c>
      <c r="BF139" s="2">
        <f>$AZ$8/(365/12)*MAX(节奏总纲!F135-$E$2,0)</f>
        <v>623932.39532819856</v>
      </c>
      <c r="BG139" s="2">
        <f>$AZ$8/(365/12)*MAX(节奏总纲!G135-$E$2,0)</f>
        <v>442318.00777225103</v>
      </c>
      <c r="BH139" s="2">
        <f>$AZ$8/(365/12)*MAX(节奏总纲!H135-$E$2,0)</f>
        <v>233883.71321391777</v>
      </c>
      <c r="BI139" s="2">
        <f>$AY$8/(365/12)*MAX(节奏总纲!D135-$E$2,0)</f>
        <v>22130559.732748628</v>
      </c>
      <c r="BJ139" s="2">
        <f>$AY$8/(365/12)*MAX(节奏总纲!E135-$E$2,0)</f>
        <v>18756262.78255228</v>
      </c>
      <c r="BK139" s="2">
        <f>$AY$8/(365/12)*MAX(节奏总纲!F135-$E$2,0)</f>
        <v>14974377.487876765</v>
      </c>
      <c r="BL139" s="2">
        <f>$AY$8/(365/12)*MAX(节奏总纲!G135-$E$2,0)</f>
        <v>10615632.186534025</v>
      </c>
      <c r="BM139" s="2">
        <f>$AY$8/(365/12)*MAX(节奏总纲!H135-$E$2,0)</f>
        <v>5613209.1171340263</v>
      </c>
      <c r="CD139" s="2">
        <v>132</v>
      </c>
      <c r="CE139" s="2">
        <f>INDEX($BY$8:$BY$15,MATCH(CE$7,$CB$8:$CB$15,0))*SUM(C$11:C$12)/(365/12)*MAX(节奏总纲!D135-$E$2,0)</f>
        <v>245895.10814165138</v>
      </c>
      <c r="CF139" s="2">
        <f>INDEX($BY$8:$BY$15,MATCH(CF$7,$CB$8:$CB$15,0))*SUM(D$11:D$12)/(365/12)*MAX(节奏总纲!E135-$E$2,0)</f>
        <v>250083.5037673637</v>
      </c>
      <c r="CG139" s="2">
        <f>INDEX($BY$8:$BY$15,MATCH(CG$7,$CB$8:$CB$15,0))*SUM(E$11:E$12)/(365/12)*MAX(节奏总纲!F135-$E$2,0)</f>
        <v>332763.94417503919</v>
      </c>
      <c r="CH139" s="2">
        <f>INDEX($BY$8:$BY$15,MATCH(CH$7,$CB$8:$CB$15,0))*SUM(F$11:F$12)/(365/12)*MAX(节奏总纲!G135-$E$2,0)</f>
        <v>589757.34369633463</v>
      </c>
      <c r="CI139" s="2">
        <f>INDEX($BY$8:$BY$15,MATCH(CI$7,$CB$8:$CB$15,0))*SUM(G$11:G$12)/(365/12)*MAX(节奏总纲!H135-$E$2,0)</f>
        <v>498951.92152302456</v>
      </c>
      <c r="CJ139" s="2">
        <f>INDEX($BZ$8:$BZ$15,MATCH(CE$7,$CB$8:$CB$15,0))*SUM(C$11:C$12)/(365/12)*MAX(节奏总纲!D135-$E$2,0)</f>
        <v>10327594.541949358</v>
      </c>
      <c r="CK139" s="2">
        <f>INDEX($BZ$8:$BZ$15,MATCH(CF$7,$CB$8:$CB$15,0))*SUM(D$11:D$12)/(365/12)*MAX(节奏总纲!E135-$E$2,0)</f>
        <v>10003340.150694549</v>
      </c>
      <c r="CL139" s="2">
        <f>INDEX($BZ$8:$BZ$15,MATCH(CG$7,$CB$8:$CB$15,0))*SUM(E$11:E$12)/(365/12)*MAX(节奏总纲!F135-$E$2,0)</f>
        <v>11979501.990301412</v>
      </c>
      <c r="CM139" s="2">
        <f>INDEX($BZ$8:$BZ$15,MATCH(CH$7,$CB$8:$CB$15,0))*SUM(F$11:F$12)/(365/12)*MAX(节奏总纲!G135-$E$2,0)</f>
        <v>8492505.7492272202</v>
      </c>
      <c r="CN139" s="2">
        <f>INDEX($BZ$8:$BZ$15,MATCH(CI$7,$CB$8:$CB$15,0))*SUM(G$11:G$12)/(365/12)*MAX(节奏总纲!H135-$E$2,0)</f>
        <v>4490567.2937072208</v>
      </c>
      <c r="CS139" s="2">
        <v>132</v>
      </c>
      <c r="CT139" s="2">
        <f t="shared" si="109"/>
        <v>3626952.8450893578</v>
      </c>
      <c r="CU139" s="2">
        <f t="shared" si="110"/>
        <v>3115623.6511017391</v>
      </c>
      <c r="CV139" s="2">
        <f t="shared" si="111"/>
        <v>2620516.0603784341</v>
      </c>
      <c r="CW139" s="2">
        <f t="shared" si="112"/>
        <v>2211590.0388612552</v>
      </c>
      <c r="CX139" s="2">
        <f t="shared" si="113"/>
        <v>1356525.536640723</v>
      </c>
      <c r="CZ139" s="41">
        <f t="shared" si="114"/>
        <v>0.67796610169491522</v>
      </c>
      <c r="DA139" s="41">
        <f t="shared" si="115"/>
        <v>0.25423728813559321</v>
      </c>
      <c r="DB139" s="41">
        <f t="shared" si="116"/>
        <v>6.7796610169491525E-2</v>
      </c>
      <c r="DD139" s="41">
        <f t="shared" si="117"/>
        <v>0.63492063492063477</v>
      </c>
      <c r="DE139" s="41">
        <f t="shared" si="118"/>
        <v>0.23809523809523808</v>
      </c>
      <c r="DF139" s="41">
        <f t="shared" si="119"/>
        <v>0.12698412698412695</v>
      </c>
      <c r="DH139" s="41">
        <f t="shared" si="120"/>
        <v>0.45977011494252867</v>
      </c>
      <c r="DI139" s="41">
        <f t="shared" si="121"/>
        <v>0.17241379310344829</v>
      </c>
      <c r="DJ139" s="41">
        <f t="shared" si="122"/>
        <v>0.36781609195402298</v>
      </c>
      <c r="DL139" s="2">
        <f>CT139/节奏总纲!D135</f>
        <v>385.47136409352646</v>
      </c>
      <c r="DM139" s="2">
        <f>CU139/节奏总纲!E135</f>
        <v>390.25039990233392</v>
      </c>
      <c r="DN139" s="2">
        <f>CV139/节奏总纲!F135</f>
        <v>410.35448834380912</v>
      </c>
      <c r="DO139" s="2">
        <f>CW139/节奏总纲!G135</f>
        <v>486.63989067441253</v>
      </c>
      <c r="DP139" s="2">
        <f>CX139/节奏总纲!H135</f>
        <v>557.93765904700001</v>
      </c>
      <c r="DR139" s="2">
        <f t="shared" si="123"/>
        <v>1.0123979009959556</v>
      </c>
      <c r="DS139" s="2">
        <f t="shared" si="124"/>
        <v>1.0645524585433155</v>
      </c>
      <c r="DT139" s="2">
        <f t="shared" si="125"/>
        <v>1.2624540653461866</v>
      </c>
      <c r="DU139" s="2">
        <f t="shared" si="126"/>
        <v>1.4474166203215766</v>
      </c>
      <c r="DY139" s="2">
        <v>132</v>
      </c>
      <c r="DZ139" s="2">
        <f t="shared" si="127"/>
        <v>85571497.633294687</v>
      </c>
      <c r="EA139" s="2">
        <f t="shared" si="128"/>
        <v>73774633.611372292</v>
      </c>
      <c r="EB139" s="2">
        <f t="shared" si="129"/>
        <v>62892385.449082404</v>
      </c>
      <c r="EC139" s="2">
        <f t="shared" si="130"/>
        <v>44585655.183442898</v>
      </c>
      <c r="ED139" s="2">
        <f t="shared" si="131"/>
        <v>23575478.29196291</v>
      </c>
      <c r="EF139" s="57">
        <f t="shared" si="132"/>
        <v>0.6206896551724137</v>
      </c>
      <c r="EG139" s="57">
        <f t="shared" si="133"/>
        <v>0.25862068965517243</v>
      </c>
      <c r="EH139" s="41">
        <f t="shared" si="134"/>
        <v>0.12068965517241378</v>
      </c>
      <c r="EJ139" s="57">
        <f t="shared" si="135"/>
        <v>0.5714285714285714</v>
      </c>
      <c r="EK139" s="57">
        <f t="shared" si="136"/>
        <v>0.23809523809523814</v>
      </c>
      <c r="EL139" s="41">
        <f t="shared" si="137"/>
        <v>0.19047619047619049</v>
      </c>
      <c r="EN139" s="57">
        <f t="shared" si="138"/>
        <v>0.5714285714285714</v>
      </c>
      <c r="EO139" s="57">
        <f t="shared" si="139"/>
        <v>0.23809523809523808</v>
      </c>
      <c r="EP139" s="41">
        <f t="shared" si="140"/>
        <v>0.19047619047619047</v>
      </c>
    </row>
    <row r="140" spans="20:146" x14ac:dyDescent="0.15">
      <c r="T140" s="2">
        <v>133</v>
      </c>
      <c r="U140" s="2">
        <f>$N$8*SUM(C$11:C$12)/(365/12)*MAX(节奏总纲!D136-$E$2,0)</f>
        <v>210927.20290973576</v>
      </c>
      <c r="V140" s="2">
        <f>$N$8*SUM(D$11:D$12)/(365/12)*MAX(节奏总纲!E136-$E$2,0)</f>
        <v>178907.78190846485</v>
      </c>
      <c r="W140" s="2">
        <f>$N$8*SUM(E$11:E$12)/(365/12)*MAX(节奏总纲!F136-$E$2,0)</f>
        <v>142389.93993153496</v>
      </c>
      <c r="X140" s="2">
        <f>$N$8*SUM(F$11:F$12)/(365/12)*MAX(节奏总纲!G136-$E$2,0)</f>
        <v>100737.10797295655</v>
      </c>
      <c r="Y140" s="2">
        <f>$N$8*SUM(G$11:G$12)/(365/12)*MAX(节奏总纲!H136-$E$2,0)</f>
        <v>53355.154960472835</v>
      </c>
      <c r="Z140" s="2">
        <f>$O$8*SUM(C$11:C$12)/(365/12)*MAX(节奏总纲!D136-$E$2,0)</f>
        <v>2109272.0290973573</v>
      </c>
      <c r="AA140" s="2">
        <f>$O$8*SUM(D$11:D$12)/(365/12)*MAX(节奏总纲!E136-$E$2,0)</f>
        <v>1789077.8190846483</v>
      </c>
      <c r="AB140" s="2">
        <f>$O$8*SUM(E$11:E$12)/(365/12)*MAX(节奏总纲!F136-$E$2,0)</f>
        <v>1423899.3993153495</v>
      </c>
      <c r="AC140" s="2">
        <f>$O$8*SUM(F$11:F$12)/(365/12)*MAX(节奏总纲!G136-$E$2,0)</f>
        <v>1007371.0797295655</v>
      </c>
      <c r="AD140" s="2">
        <f>$O$8*SUM(G$11:G$12)/(365/12)*MAX(节奏总纲!H136-$E$2,0)</f>
        <v>533551.54960472835</v>
      </c>
      <c r="AE140" s="2">
        <f>$Q$8*SUM(C$11:C$12)/(365/12)*MAX(节奏总纲!D136-$E$2,0)</f>
        <v>2636590.0363716967</v>
      </c>
      <c r="AF140" s="2">
        <f>$Q$8*SUM(D$11:D$12)/(365/12)*MAX(节奏总纲!E136-$E$2,0)</f>
        <v>2236347.2738558105</v>
      </c>
      <c r="AG140" s="2">
        <f>$Q$8*SUM(E$11:E$12)/(365/12)*MAX(节奏总纲!F136-$E$2,0)</f>
        <v>1779874.2491441867</v>
      </c>
      <c r="AH140" s="2">
        <f>$Q$8*SUM(F$11:F$12)/(365/12)*MAX(节奏总纲!G136-$E$2,0)</f>
        <v>1259213.8496619568</v>
      </c>
      <c r="AI140" s="2">
        <f>$Q$8*SUM(G$11:G$12)/(365/12)*MAX(节奏总纲!H136-$E$2,0)</f>
        <v>666939.43700591044</v>
      </c>
      <c r="AJ140" s="2">
        <f>$P$8*SUM(C$11:C$12)/(365/12)*MAX(节奏总纲!D136-$E$2,0)</f>
        <v>56950344.785628647</v>
      </c>
      <c r="AK140" s="2">
        <f>$P$8*SUM(D$11:D$12)/(365/12)*MAX(节奏总纲!E136-$E$2,0)</f>
        <v>48305101.115285508</v>
      </c>
      <c r="AL140" s="2">
        <f>$P$8*SUM(E$11:E$12)/(365/12)*MAX(节奏总纲!F136-$E$2,0)</f>
        <v>38445283.781514436</v>
      </c>
      <c r="AM140" s="2">
        <f>$P$8*SUM(F$11:F$12)/(365/12)*MAX(节奏总纲!G136-$E$2,0)</f>
        <v>27199019.152698267</v>
      </c>
      <c r="AN140" s="2">
        <f>$P$8*SUM(G$11:G$12)/(365/12)*MAX(节奏总纲!H136-$E$2,0)</f>
        <v>14405891.839327667</v>
      </c>
      <c r="BC140" s="2">
        <v>133</v>
      </c>
      <c r="BD140" s="2">
        <f>$AZ$8/(365/12)*MAX(节奏总纲!D136-$E$2,0)</f>
        <v>988721.26363938628</v>
      </c>
      <c r="BE140" s="2">
        <f>$AZ$8/(365/12)*MAX(节奏总纲!E136-$E$2,0)</f>
        <v>838630.22769592889</v>
      </c>
      <c r="BF140" s="2">
        <f>$AZ$8/(365/12)*MAX(节奏总纲!F136-$E$2,0)</f>
        <v>667452.84342907008</v>
      </c>
      <c r="BG140" s="2">
        <f>$AZ$8/(365/12)*MAX(节奏总纲!G136-$E$2,0)</f>
        <v>472205.19362323382</v>
      </c>
      <c r="BH140" s="2">
        <f>$AZ$8/(365/12)*MAX(节奏总纲!H136-$E$2,0)</f>
        <v>250102.28887721643</v>
      </c>
      <c r="BI140" s="2">
        <f>$AY$8/(365/12)*MAX(节奏总纲!D136-$E$2,0)</f>
        <v>23729310.327345274</v>
      </c>
      <c r="BJ140" s="2">
        <f>$AY$8/(365/12)*MAX(节奏总纲!E136-$E$2,0)</f>
        <v>20127125.464702297</v>
      </c>
      <c r="BK140" s="2">
        <f>$AY$8/(365/12)*MAX(节奏总纲!F136-$E$2,0)</f>
        <v>16018868.242297683</v>
      </c>
      <c r="BL140" s="2">
        <f>$AY$8/(365/12)*MAX(节奏总纲!G136-$E$2,0)</f>
        <v>11332924.646957614</v>
      </c>
      <c r="BM140" s="2">
        <f>$AY$8/(365/12)*MAX(节奏总纲!H136-$E$2,0)</f>
        <v>6002454.9330531945</v>
      </c>
      <c r="CD140" s="2">
        <v>133</v>
      </c>
      <c r="CE140" s="2">
        <f>INDEX($BY$8:$BY$15,MATCH(CE$7,$CB$8:$CB$15,0))*SUM(C$11:C$12)/(365/12)*MAX(节奏总纲!D136-$E$2,0)</f>
        <v>263659.00363716966</v>
      </c>
      <c r="CF140" s="2">
        <f>INDEX($BY$8:$BY$15,MATCH(CF$7,$CB$8:$CB$15,0))*SUM(D$11:D$12)/(365/12)*MAX(节奏总纲!E136-$E$2,0)</f>
        <v>268361.67286269728</v>
      </c>
      <c r="CG140" s="2">
        <f>INDEX($BY$8:$BY$15,MATCH(CG$7,$CB$8:$CB$15,0))*SUM(E$11:E$12)/(365/12)*MAX(节奏总纲!F136-$E$2,0)</f>
        <v>355974.84982883738</v>
      </c>
      <c r="CH140" s="2">
        <f>INDEX($BY$8:$BY$15,MATCH(CH$7,$CB$8:$CB$15,0))*SUM(F$11:F$12)/(365/12)*MAX(节奏总纲!G136-$E$2,0)</f>
        <v>629606.92483097839</v>
      </c>
      <c r="CI140" s="2">
        <f>INDEX($BY$8:$BY$15,MATCH(CI$7,$CB$8:$CB$15,0))*SUM(G$11:G$12)/(365/12)*MAX(节奏总纲!H136-$E$2,0)</f>
        <v>533551.54960472835</v>
      </c>
      <c r="CJ140" s="2">
        <f>INDEX($BZ$8:$BZ$15,MATCH(CE$7,$CB$8:$CB$15,0))*SUM(C$11:C$12)/(365/12)*MAX(节奏总纲!D136-$E$2,0)</f>
        <v>11073678.152761128</v>
      </c>
      <c r="CK140" s="2">
        <f>INDEX($BZ$8:$BZ$15,MATCH(CF$7,$CB$8:$CB$15,0))*SUM(D$11:D$12)/(365/12)*MAX(节奏总纲!E136-$E$2,0)</f>
        <v>10734466.914507892</v>
      </c>
      <c r="CL140" s="2">
        <f>INDEX($BZ$8:$BZ$15,MATCH(CG$7,$CB$8:$CB$15,0))*SUM(E$11:E$12)/(365/12)*MAX(节奏总纲!F136-$E$2,0)</f>
        <v>12815094.593838146</v>
      </c>
      <c r="CM140" s="2">
        <f>INDEX($BZ$8:$BZ$15,MATCH(CH$7,$CB$8:$CB$15,0))*SUM(F$11:F$12)/(365/12)*MAX(节奏总纲!G136-$E$2,0)</f>
        <v>9066339.7175660897</v>
      </c>
      <c r="CN140" s="2">
        <f>INDEX($BZ$8:$BZ$15,MATCH(CI$7,$CB$8:$CB$15,0))*SUM(G$11:G$12)/(365/12)*MAX(节奏总纲!H136-$E$2,0)</f>
        <v>4801963.9464425556</v>
      </c>
      <c r="CS140" s="2">
        <v>133</v>
      </c>
      <c r="CT140" s="2">
        <f t="shared" si="109"/>
        <v>3888970.3036482525</v>
      </c>
      <c r="CU140" s="2">
        <f t="shared" si="110"/>
        <v>3343339.1744144368</v>
      </c>
      <c r="CV140" s="2">
        <f t="shared" si="111"/>
        <v>2803301.9424020941</v>
      </c>
      <c r="CW140" s="2">
        <f t="shared" si="112"/>
        <v>2361025.9681161689</v>
      </c>
      <c r="CX140" s="2">
        <f t="shared" si="113"/>
        <v>1450593.2754878551</v>
      </c>
      <c r="CZ140" s="41">
        <f t="shared" si="114"/>
        <v>0.67796610169491534</v>
      </c>
      <c r="DA140" s="41">
        <f t="shared" si="115"/>
        <v>0.25423728813559321</v>
      </c>
      <c r="DB140" s="41">
        <f t="shared" si="116"/>
        <v>6.7796610169491525E-2</v>
      </c>
      <c r="DD140" s="41">
        <f t="shared" si="117"/>
        <v>0.63492063492063489</v>
      </c>
      <c r="DE140" s="41">
        <f t="shared" si="118"/>
        <v>0.23809523809523811</v>
      </c>
      <c r="DF140" s="41">
        <f t="shared" si="119"/>
        <v>0.126984126984127</v>
      </c>
      <c r="DH140" s="41">
        <f t="shared" si="120"/>
        <v>0.45977011494252878</v>
      </c>
      <c r="DI140" s="41">
        <f t="shared" si="121"/>
        <v>0.17241379310344832</v>
      </c>
      <c r="DJ140" s="41">
        <f t="shared" si="122"/>
        <v>0.36781609195402304</v>
      </c>
      <c r="DL140" s="2">
        <f>CT140/节奏总纲!D136</f>
        <v>385.63704627825837</v>
      </c>
      <c r="DM140" s="2">
        <f>CU140/节奏总纲!E136</f>
        <v>390.45026066144339</v>
      </c>
      <c r="DN140" s="2">
        <f>CV140/节奏总纲!F136</f>
        <v>410.60603683321006</v>
      </c>
      <c r="DO140" s="2">
        <f>CW140/节奏总纲!G136</f>
        <v>487.04687656977717</v>
      </c>
      <c r="DP140" s="2">
        <f>CX140/节奏总纲!H136</f>
        <v>558.83196317555655</v>
      </c>
      <c r="DR140" s="2">
        <f t="shared" si="123"/>
        <v>1.0124812033222348</v>
      </c>
      <c r="DS140" s="2">
        <f t="shared" si="124"/>
        <v>1.06474738564649</v>
      </c>
      <c r="DT140" s="2">
        <f t="shared" si="125"/>
        <v>1.2629670340809167</v>
      </c>
      <c r="DU140" s="2">
        <f t="shared" si="126"/>
        <v>1.4491137938348602</v>
      </c>
      <c r="DY140" s="2">
        <v>133</v>
      </c>
      <c r="DZ140" s="2">
        <f t="shared" si="127"/>
        <v>91753333.26573506</v>
      </c>
      <c r="EA140" s="2">
        <f t="shared" si="128"/>
        <v>79166693.494495705</v>
      </c>
      <c r="EB140" s="2">
        <f t="shared" si="129"/>
        <v>67279246.617650256</v>
      </c>
      <c r="EC140" s="2">
        <f t="shared" si="130"/>
        <v>47598283.517221972</v>
      </c>
      <c r="ED140" s="2">
        <f t="shared" si="131"/>
        <v>25210310.718823418</v>
      </c>
      <c r="EF140" s="57">
        <f t="shared" si="132"/>
        <v>0.6206896551724137</v>
      </c>
      <c r="EG140" s="57">
        <f t="shared" si="133"/>
        <v>0.25862068965517243</v>
      </c>
      <c r="EH140" s="41">
        <f t="shared" si="134"/>
        <v>0.1206896551724138</v>
      </c>
      <c r="EJ140" s="57">
        <f t="shared" si="135"/>
        <v>0.57142857142857151</v>
      </c>
      <c r="EK140" s="57">
        <f t="shared" si="136"/>
        <v>0.23809523809523814</v>
      </c>
      <c r="EL140" s="41">
        <f t="shared" si="137"/>
        <v>0.19047619047619049</v>
      </c>
      <c r="EN140" s="57">
        <f t="shared" si="138"/>
        <v>0.5714285714285714</v>
      </c>
      <c r="EO140" s="57">
        <f t="shared" si="139"/>
        <v>0.23809523809523808</v>
      </c>
      <c r="EP140" s="41">
        <f t="shared" si="140"/>
        <v>0.19047619047619047</v>
      </c>
    </row>
    <row r="141" spans="20:146" x14ac:dyDescent="0.15">
      <c r="T141" s="2">
        <v>134</v>
      </c>
      <c r="U141" s="2">
        <f>$N$8*SUM(C$11:C$12)/(365/12)*MAX(节奏总纲!D137-$E$2,0)</f>
        <v>226158.300336427</v>
      </c>
      <c r="V141" s="2">
        <f>$N$8*SUM(D$11:D$12)/(365/12)*MAX(节奏总纲!E137-$E$2,0)</f>
        <v>191294.69689485274</v>
      </c>
      <c r="W141" s="2">
        <f>$N$8*SUM(E$11:E$12)/(365/12)*MAX(节奏总纲!F137-$E$2,0)</f>
        <v>151996.38851452639</v>
      </c>
      <c r="X141" s="2">
        <f>$N$8*SUM(F$11:F$12)/(365/12)*MAX(节奏总纲!G137-$E$2,0)</f>
        <v>107626.59705039632</v>
      </c>
      <c r="Y141" s="2">
        <f>$N$8*SUM(G$11:G$12)/(365/12)*MAX(节奏总纲!H137-$E$2,0)</f>
        <v>57139.186978449245</v>
      </c>
      <c r="Z141" s="2">
        <f>$O$8*SUM(C$11:C$12)/(365/12)*MAX(节奏总纲!D137-$E$2,0)</f>
        <v>2261583.0033642701</v>
      </c>
      <c r="AA141" s="2">
        <f>$O$8*SUM(D$11:D$12)/(365/12)*MAX(节奏总纲!E137-$E$2,0)</f>
        <v>1912946.9689485275</v>
      </c>
      <c r="AB141" s="2">
        <f>$O$8*SUM(E$11:E$12)/(365/12)*MAX(节奏总纲!F137-$E$2,0)</f>
        <v>1519963.8851452637</v>
      </c>
      <c r="AC141" s="2">
        <f>$O$8*SUM(F$11:F$12)/(365/12)*MAX(节奏总纲!G137-$E$2,0)</f>
        <v>1076265.9705039631</v>
      </c>
      <c r="AD141" s="2">
        <f>$O$8*SUM(G$11:G$12)/(365/12)*MAX(节奏总纲!H137-$E$2,0)</f>
        <v>571391.86978449242</v>
      </c>
      <c r="AE141" s="2">
        <f>$Q$8*SUM(C$11:C$12)/(365/12)*MAX(节奏总纲!D137-$E$2,0)</f>
        <v>2826978.7542053373</v>
      </c>
      <c r="AF141" s="2">
        <f>$Q$8*SUM(D$11:D$12)/(365/12)*MAX(节奏总纲!E137-$E$2,0)</f>
        <v>2391183.7111856593</v>
      </c>
      <c r="AG141" s="2">
        <f>$Q$8*SUM(E$11:E$12)/(365/12)*MAX(节奏总纲!F137-$E$2,0)</f>
        <v>1899954.8564315797</v>
      </c>
      <c r="AH141" s="2">
        <f>$Q$8*SUM(F$11:F$12)/(365/12)*MAX(节奏总纲!G137-$E$2,0)</f>
        <v>1345332.4631299539</v>
      </c>
      <c r="AI141" s="2">
        <f>$Q$8*SUM(G$11:G$12)/(365/12)*MAX(节奏总纲!H137-$E$2,0)</f>
        <v>714239.83723061555</v>
      </c>
      <c r="AJ141" s="2">
        <f>$P$8*SUM(C$11:C$12)/(365/12)*MAX(节奏总纲!D137-$E$2,0)</f>
        <v>61062741.090835288</v>
      </c>
      <c r="AK141" s="2">
        <f>$P$8*SUM(D$11:D$12)/(365/12)*MAX(节奏总纲!E137-$E$2,0)</f>
        <v>51649568.161610238</v>
      </c>
      <c r="AL141" s="2">
        <f>$P$8*SUM(E$11:E$12)/(365/12)*MAX(节奏总纲!F137-$E$2,0)</f>
        <v>41039024.898922123</v>
      </c>
      <c r="AM141" s="2">
        <f>$P$8*SUM(F$11:F$12)/(365/12)*MAX(节奏总纲!G137-$E$2,0)</f>
        <v>29059181.203607004</v>
      </c>
      <c r="AN141" s="2">
        <f>$P$8*SUM(G$11:G$12)/(365/12)*MAX(节奏总纲!H137-$E$2,0)</f>
        <v>15427580.484181296</v>
      </c>
      <c r="BC141" s="2">
        <v>134</v>
      </c>
      <c r="BD141" s="2">
        <f>$AZ$8/(365/12)*MAX(节奏总纲!D137-$E$2,0)</f>
        <v>1060117.0328270015</v>
      </c>
      <c r="BE141" s="2">
        <f>$AZ$8/(365/12)*MAX(节奏总纲!E137-$E$2,0)</f>
        <v>896693.89169462223</v>
      </c>
      <c r="BF141" s="2">
        <f>$AZ$8/(365/12)*MAX(节奏总纲!F137-$E$2,0)</f>
        <v>712483.07116184244</v>
      </c>
      <c r="BG141" s="2">
        <f>$AZ$8/(365/12)*MAX(节奏总纲!G137-$E$2,0)</f>
        <v>504499.67367373273</v>
      </c>
      <c r="BH141" s="2">
        <f>$AZ$8/(365/12)*MAX(节奏总纲!H137-$E$2,0)</f>
        <v>267839.93896148086</v>
      </c>
      <c r="BI141" s="2">
        <f>$AY$8/(365/12)*MAX(节奏总纲!D137-$E$2,0)</f>
        <v>25442808.787848037</v>
      </c>
      <c r="BJ141" s="2">
        <f>$AY$8/(365/12)*MAX(节奏总纲!E137-$E$2,0)</f>
        <v>21520653.400670934</v>
      </c>
      <c r="BK141" s="2">
        <f>$AY$8/(365/12)*MAX(节奏总纲!F137-$E$2,0)</f>
        <v>17099593.707884219</v>
      </c>
      <c r="BL141" s="2">
        <f>$AY$8/(365/12)*MAX(节奏总纲!G137-$E$2,0)</f>
        <v>12107992.168169586</v>
      </c>
      <c r="BM141" s="2">
        <f>$AY$8/(365/12)*MAX(节奏总纲!H137-$E$2,0)</f>
        <v>6428158.5350755407</v>
      </c>
      <c r="CD141" s="2">
        <v>134</v>
      </c>
      <c r="CE141" s="2">
        <f>INDEX($BY$8:$BY$15,MATCH(CE$7,$CB$8:$CB$15,0))*SUM(C$11:C$12)/(365/12)*MAX(节奏总纲!D137-$E$2,0)</f>
        <v>282697.87542053376</v>
      </c>
      <c r="CF141" s="2">
        <f>INDEX($BY$8:$BY$15,MATCH(CF$7,$CB$8:$CB$15,0))*SUM(D$11:D$12)/(365/12)*MAX(节奏总纲!E137-$E$2,0)</f>
        <v>286942.04534227913</v>
      </c>
      <c r="CG141" s="2">
        <f>INDEX($BY$8:$BY$15,MATCH(CG$7,$CB$8:$CB$15,0))*SUM(E$11:E$12)/(365/12)*MAX(节奏总纲!F137-$E$2,0)</f>
        <v>379990.97128631594</v>
      </c>
      <c r="CH141" s="2">
        <f>INDEX($BY$8:$BY$15,MATCH(CH$7,$CB$8:$CB$15,0))*SUM(F$11:F$12)/(365/12)*MAX(节奏总纲!G137-$E$2,0)</f>
        <v>672666.23156497697</v>
      </c>
      <c r="CI141" s="2">
        <f>INDEX($BY$8:$BY$15,MATCH(CI$7,$CB$8:$CB$15,0))*SUM(G$11:G$12)/(365/12)*MAX(节奏总纲!H137-$E$2,0)</f>
        <v>571391.86978449242</v>
      </c>
      <c r="CJ141" s="2">
        <f>INDEX($BZ$8:$BZ$15,MATCH(CE$7,$CB$8:$CB$15,0))*SUM(C$11:C$12)/(365/12)*MAX(节奏总纲!D137-$E$2,0)</f>
        <v>11873310.767662417</v>
      </c>
      <c r="CK141" s="2">
        <f>INDEX($BZ$8:$BZ$15,MATCH(CF$7,$CB$8:$CB$15,0))*SUM(D$11:D$12)/(365/12)*MAX(节奏总纲!E137-$E$2,0)</f>
        <v>11477681.813691165</v>
      </c>
      <c r="CL141" s="2">
        <f>INDEX($BZ$8:$BZ$15,MATCH(CG$7,$CB$8:$CB$15,0))*SUM(E$11:E$12)/(365/12)*MAX(节奏总纲!F137-$E$2,0)</f>
        <v>13679674.966307374</v>
      </c>
      <c r="CM141" s="2">
        <f>INDEX($BZ$8:$BZ$15,MATCH(CH$7,$CB$8:$CB$15,0))*SUM(F$11:F$12)/(365/12)*MAX(节奏总纲!G137-$E$2,0)</f>
        <v>9686393.734535668</v>
      </c>
      <c r="CN141" s="2">
        <f>INDEX($BZ$8:$BZ$15,MATCH(CI$7,$CB$8:$CB$15,0))*SUM(G$11:G$12)/(365/12)*MAX(节奏总纲!H137-$E$2,0)</f>
        <v>5142526.8280604314</v>
      </c>
      <c r="CS141" s="2">
        <v>134</v>
      </c>
      <c r="CT141" s="2">
        <f t="shared" si="109"/>
        <v>4169793.6624528724</v>
      </c>
      <c r="CU141" s="2">
        <f t="shared" si="110"/>
        <v>3574819.6482225605</v>
      </c>
      <c r="CV141" s="2">
        <f t="shared" si="111"/>
        <v>2992428.8988797381</v>
      </c>
      <c r="CW141" s="2">
        <f t="shared" si="112"/>
        <v>2522498.3683686638</v>
      </c>
      <c r="CX141" s="2">
        <f t="shared" si="113"/>
        <v>1553471.6459765888</v>
      </c>
      <c r="CZ141" s="41">
        <f t="shared" si="114"/>
        <v>0.67796610169491522</v>
      </c>
      <c r="DA141" s="41">
        <f t="shared" si="115"/>
        <v>0.25423728813559326</v>
      </c>
      <c r="DB141" s="41">
        <f t="shared" si="116"/>
        <v>6.7796610169491539E-2</v>
      </c>
      <c r="DD141" s="41">
        <f t="shared" si="117"/>
        <v>0.63492063492063489</v>
      </c>
      <c r="DE141" s="41">
        <f t="shared" si="118"/>
        <v>0.23809523809523811</v>
      </c>
      <c r="DF141" s="41">
        <f t="shared" si="119"/>
        <v>0.12698412698412698</v>
      </c>
      <c r="DH141" s="41">
        <f t="shared" si="120"/>
        <v>0.45977011494252873</v>
      </c>
      <c r="DI141" s="41">
        <f t="shared" si="121"/>
        <v>0.17241379310344829</v>
      </c>
      <c r="DJ141" s="41">
        <f t="shared" si="122"/>
        <v>0.36781609195402298</v>
      </c>
      <c r="DL141" s="2">
        <f>CT141/节奏总纲!D137</f>
        <v>385.79163109596936</v>
      </c>
      <c r="DM141" s="2">
        <f>CU141/节奏总纲!E137</f>
        <v>390.62749977557877</v>
      </c>
      <c r="DN141" s="2">
        <f>CV141/节奏总纲!F137</f>
        <v>410.83423014817782</v>
      </c>
      <c r="DO141" s="2">
        <f>CW141/节奏总纲!G137</f>
        <v>487.43306890127599</v>
      </c>
      <c r="DP141" s="2">
        <f>CX141/节奏总纲!H137</f>
        <v>559.68871319609912</v>
      </c>
      <c r="DR141" s="2">
        <f t="shared" si="123"/>
        <v>1.0125349237511232</v>
      </c>
      <c r="DS141" s="2">
        <f t="shared" si="124"/>
        <v>1.0649122402709117</v>
      </c>
      <c r="DT141" s="2">
        <f t="shared" si="125"/>
        <v>1.2634620080185781</v>
      </c>
      <c r="DU141" s="2">
        <f t="shared" si="126"/>
        <v>1.4507538994718918</v>
      </c>
      <c r="DY141" s="2">
        <v>134</v>
      </c>
      <c r="DZ141" s="2">
        <f t="shared" si="127"/>
        <v>98378860.646345749</v>
      </c>
      <c r="EA141" s="2">
        <f t="shared" si="128"/>
        <v>84647903.375972345</v>
      </c>
      <c r="EB141" s="2">
        <f t="shared" si="129"/>
        <v>71818293.57311371</v>
      </c>
      <c r="EC141" s="2">
        <f t="shared" si="130"/>
        <v>50853567.10631226</v>
      </c>
      <c r="ED141" s="2">
        <f t="shared" si="131"/>
        <v>26998265.847317271</v>
      </c>
      <c r="EF141" s="57">
        <f t="shared" si="132"/>
        <v>0.6206896551724137</v>
      </c>
      <c r="EG141" s="57">
        <f t="shared" si="133"/>
        <v>0.25862068965517238</v>
      </c>
      <c r="EH141" s="41">
        <f t="shared" si="134"/>
        <v>0.12068965517241378</v>
      </c>
      <c r="EJ141" s="57">
        <f t="shared" si="135"/>
        <v>0.57142857142857151</v>
      </c>
      <c r="EK141" s="57">
        <f t="shared" si="136"/>
        <v>0.23809523809523811</v>
      </c>
      <c r="EL141" s="41">
        <f t="shared" si="137"/>
        <v>0.19047619047619049</v>
      </c>
      <c r="EN141" s="57">
        <f t="shared" si="138"/>
        <v>0.5714285714285714</v>
      </c>
      <c r="EO141" s="57">
        <f t="shared" si="139"/>
        <v>0.23809523809523808</v>
      </c>
      <c r="EP141" s="41">
        <f t="shared" si="140"/>
        <v>0.19047619047619044</v>
      </c>
    </row>
    <row r="142" spans="20:146" x14ac:dyDescent="0.15">
      <c r="T142" s="2">
        <v>135</v>
      </c>
      <c r="U142" s="2">
        <f>$N$8*SUM(C$11:C$12)/(365/12)*MAX(节奏总纲!D138-$E$2,0)</f>
        <v>242482.58636365985</v>
      </c>
      <c r="V142" s="2">
        <f>$N$8*SUM(D$11:D$12)/(365/12)*MAX(节奏总纲!E138-$E$2,0)</f>
        <v>204872.7248219937</v>
      </c>
      <c r="W142" s="2">
        <f>$N$8*SUM(E$11:E$12)/(365/12)*MAX(节奏总纲!F138-$E$2,0)</f>
        <v>162777.95432137322</v>
      </c>
      <c r="X142" s="2">
        <f>$N$8*SUM(F$11:F$12)/(365/12)*MAX(节奏总纲!G138-$E$2,0)</f>
        <v>115491.41421065883</v>
      </c>
      <c r="Y142" s="2">
        <f>$N$8*SUM(G$11:G$12)/(365/12)*MAX(节奏总纲!H138-$E$2,0)</f>
        <v>61428.761651089473</v>
      </c>
      <c r="Z142" s="2">
        <f>$O$8*SUM(C$11:C$12)/(365/12)*MAX(节奏总纲!D138-$E$2,0)</f>
        <v>2424825.8636365985</v>
      </c>
      <c r="AA142" s="2">
        <f>$O$8*SUM(D$11:D$12)/(365/12)*MAX(节奏总纲!E138-$E$2,0)</f>
        <v>2048727.2482199371</v>
      </c>
      <c r="AB142" s="2">
        <f>$O$8*SUM(E$11:E$12)/(365/12)*MAX(节奏总纲!F138-$E$2,0)</f>
        <v>1627779.5432137323</v>
      </c>
      <c r="AC142" s="2">
        <f>$O$8*SUM(F$11:F$12)/(365/12)*MAX(节奏总纲!G138-$E$2,0)</f>
        <v>1154914.1421065882</v>
      </c>
      <c r="AD142" s="2">
        <f>$O$8*SUM(G$11:G$12)/(365/12)*MAX(节奏总纲!H138-$E$2,0)</f>
        <v>614287.61651089473</v>
      </c>
      <c r="AE142" s="2">
        <f>$Q$8*SUM(C$11:C$12)/(365/12)*MAX(节奏总纲!D138-$E$2,0)</f>
        <v>3031032.329545748</v>
      </c>
      <c r="AF142" s="2">
        <f>$Q$8*SUM(D$11:D$12)/(365/12)*MAX(节奏总纲!E138-$E$2,0)</f>
        <v>2560909.0602749214</v>
      </c>
      <c r="AG142" s="2">
        <f>$Q$8*SUM(E$11:E$12)/(365/12)*MAX(节奏总纲!F138-$E$2,0)</f>
        <v>2034724.4290171652</v>
      </c>
      <c r="AH142" s="2">
        <f>$Q$8*SUM(F$11:F$12)/(365/12)*MAX(节奏总纲!G138-$E$2,0)</f>
        <v>1443642.6776332352</v>
      </c>
      <c r="AI142" s="2">
        <f>$Q$8*SUM(G$11:G$12)/(365/12)*MAX(节奏总纲!H138-$E$2,0)</f>
        <v>767859.52063861839</v>
      </c>
      <c r="AJ142" s="2">
        <f>$P$8*SUM(C$11:C$12)/(365/12)*MAX(节奏总纲!D138-$E$2,0)</f>
        <v>65470298.318188161</v>
      </c>
      <c r="AK142" s="2">
        <f>$P$8*SUM(D$11:D$12)/(365/12)*MAX(节奏总纲!E138-$E$2,0)</f>
        <v>55315635.701938301</v>
      </c>
      <c r="AL142" s="2">
        <f>$P$8*SUM(E$11:E$12)/(365/12)*MAX(节奏总纲!F138-$E$2,0)</f>
        <v>43950047.666770771</v>
      </c>
      <c r="AM142" s="2">
        <f>$P$8*SUM(F$11:F$12)/(365/12)*MAX(节奏总纲!G138-$E$2,0)</f>
        <v>31182681.836877882</v>
      </c>
      <c r="AN142" s="2">
        <f>$P$8*SUM(G$11:G$12)/(365/12)*MAX(节奏总纲!H138-$E$2,0)</f>
        <v>16585765.645794157</v>
      </c>
      <c r="BC142" s="2">
        <v>135</v>
      </c>
      <c r="BD142" s="2">
        <f>$AZ$8/(365/12)*MAX(节奏总纲!D138-$E$2,0)</f>
        <v>1136637.1235796555</v>
      </c>
      <c r="BE142" s="2">
        <f>$AZ$8/(365/12)*MAX(节奏总纲!E138-$E$2,0)</f>
        <v>960340.89760309551</v>
      </c>
      <c r="BF142" s="2">
        <f>$AZ$8/(365/12)*MAX(节奏总纲!F138-$E$2,0)</f>
        <v>763021.66088143701</v>
      </c>
      <c r="BG142" s="2">
        <f>$AZ$8/(365/12)*MAX(节奏总纲!G138-$E$2,0)</f>
        <v>541366.00411246321</v>
      </c>
      <c r="BH142" s="2">
        <f>$AZ$8/(365/12)*MAX(节奏总纲!H138-$E$2,0)</f>
        <v>287947.32023948192</v>
      </c>
      <c r="BI142" s="2">
        <f>$AY$8/(365/12)*MAX(节奏总纲!D138-$E$2,0)</f>
        <v>27279290.965911735</v>
      </c>
      <c r="BJ142" s="2">
        <f>$AY$8/(365/12)*MAX(节奏总纲!E138-$E$2,0)</f>
        <v>23048181.542474296</v>
      </c>
      <c r="BK142" s="2">
        <f>$AY$8/(365/12)*MAX(节奏总纲!F138-$E$2,0)</f>
        <v>18312519.861154489</v>
      </c>
      <c r="BL142" s="2">
        <f>$AY$8/(365/12)*MAX(节奏总纲!G138-$E$2,0)</f>
        <v>12992784.098699119</v>
      </c>
      <c r="BM142" s="2">
        <f>$AY$8/(365/12)*MAX(节奏总纲!H138-$E$2,0)</f>
        <v>6910735.6857475666</v>
      </c>
      <c r="CD142" s="2">
        <v>135</v>
      </c>
      <c r="CE142" s="2">
        <f>INDEX($BY$8:$BY$15,MATCH(CE$7,$CB$8:$CB$15,0))*SUM(C$11:C$12)/(365/12)*MAX(节奏总纲!D138-$E$2,0)</f>
        <v>303103.23295457481</v>
      </c>
      <c r="CF142" s="2">
        <f>INDEX($BY$8:$BY$15,MATCH(CF$7,$CB$8:$CB$15,0))*SUM(D$11:D$12)/(365/12)*MAX(节奏总纲!E138-$E$2,0)</f>
        <v>307309.0872329906</v>
      </c>
      <c r="CG142" s="2">
        <f>INDEX($BY$8:$BY$15,MATCH(CG$7,$CB$8:$CB$15,0))*SUM(E$11:E$12)/(365/12)*MAX(节奏总纲!F138-$E$2,0)</f>
        <v>406944.88580343308</v>
      </c>
      <c r="CH142" s="2">
        <f>INDEX($BY$8:$BY$15,MATCH(CH$7,$CB$8:$CB$15,0))*SUM(F$11:F$12)/(365/12)*MAX(节奏总纲!G138-$E$2,0)</f>
        <v>721821.33881661762</v>
      </c>
      <c r="CI142" s="2">
        <f>INDEX($BY$8:$BY$15,MATCH(CI$7,$CB$8:$CB$15,0))*SUM(G$11:G$12)/(365/12)*MAX(节奏总纲!H138-$E$2,0)</f>
        <v>614287.61651089473</v>
      </c>
      <c r="CJ142" s="2">
        <f>INDEX($BZ$8:$BZ$15,MATCH(CE$7,$CB$8:$CB$15,0))*SUM(C$11:C$12)/(365/12)*MAX(节奏总纲!D138-$E$2,0)</f>
        <v>12730335.784092143</v>
      </c>
      <c r="CK142" s="2">
        <f>INDEX($BZ$8:$BZ$15,MATCH(CF$7,$CB$8:$CB$15,0))*SUM(D$11:D$12)/(365/12)*MAX(节奏总纲!E138-$E$2,0)</f>
        <v>12292363.489319624</v>
      </c>
      <c r="CL142" s="2">
        <f>INDEX($BZ$8:$BZ$15,MATCH(CG$7,$CB$8:$CB$15,0))*SUM(E$11:E$12)/(365/12)*MAX(节奏总纲!F138-$E$2,0)</f>
        <v>14650015.888923589</v>
      </c>
      <c r="CM142" s="2">
        <f>INDEX($BZ$8:$BZ$15,MATCH(CH$7,$CB$8:$CB$15,0))*SUM(F$11:F$12)/(365/12)*MAX(节奏总纲!G138-$E$2,0)</f>
        <v>10394227.278959295</v>
      </c>
      <c r="CN142" s="2">
        <f>INDEX($BZ$8:$BZ$15,MATCH(CI$7,$CB$8:$CB$15,0))*SUM(G$11:G$12)/(365/12)*MAX(节奏总纲!H138-$E$2,0)</f>
        <v>5528588.5485980529</v>
      </c>
      <c r="CS142" s="2">
        <v>135</v>
      </c>
      <c r="CT142" s="2">
        <f t="shared" si="109"/>
        <v>4470772.686079978</v>
      </c>
      <c r="CU142" s="2">
        <f t="shared" si="110"/>
        <v>3828559.0451110075</v>
      </c>
      <c r="CV142" s="2">
        <f t="shared" si="111"/>
        <v>3204690.9757020352</v>
      </c>
      <c r="CW142" s="2">
        <f t="shared" si="112"/>
        <v>2706830.0205623163</v>
      </c>
      <c r="CX142" s="2">
        <f t="shared" si="113"/>
        <v>1670094.4573889952</v>
      </c>
      <c r="CZ142" s="41">
        <f t="shared" si="114"/>
        <v>0.67796610169491534</v>
      </c>
      <c r="DA142" s="41">
        <f t="shared" si="115"/>
        <v>0.25423728813559326</v>
      </c>
      <c r="DB142" s="41">
        <f t="shared" si="116"/>
        <v>6.7796610169491525E-2</v>
      </c>
      <c r="DD142" s="41">
        <f t="shared" si="117"/>
        <v>0.63492063492063489</v>
      </c>
      <c r="DE142" s="41">
        <f t="shared" si="118"/>
        <v>0.23809523809523811</v>
      </c>
      <c r="DF142" s="41">
        <f t="shared" si="119"/>
        <v>0.126984126984127</v>
      </c>
      <c r="DH142" s="41">
        <f t="shared" si="120"/>
        <v>0.45977011494252867</v>
      </c>
      <c r="DI142" s="41">
        <f t="shared" si="121"/>
        <v>0.17241379310344826</v>
      </c>
      <c r="DJ142" s="41">
        <f t="shared" si="122"/>
        <v>0.36781609195402293</v>
      </c>
      <c r="DL142" s="2">
        <f>CT142/节奏总纲!D138</f>
        <v>385.93586197947468</v>
      </c>
      <c r="DM142" s="2">
        <f>CU142/节奏总纲!E138</f>
        <v>390.7973100828101</v>
      </c>
      <c r="DN142" s="2">
        <f>CV142/节奏总纲!F138</f>
        <v>411.05850672739604</v>
      </c>
      <c r="DO142" s="2">
        <f>CW142/节奏总纲!G138</f>
        <v>487.81822102370808</v>
      </c>
      <c r="DP142" s="2">
        <f>CX142/节奏总纲!H138</f>
        <v>560.53484799749469</v>
      </c>
      <c r="DR142" s="2">
        <f t="shared" si="123"/>
        <v>1.0125965181841379</v>
      </c>
      <c r="DS142" s="2">
        <f t="shared" si="124"/>
        <v>1.0650953881794418</v>
      </c>
      <c r="DT142" s="2">
        <f t="shared" si="125"/>
        <v>1.2639877997387343</v>
      </c>
      <c r="DU142" s="2">
        <f t="shared" si="126"/>
        <v>1.452404151100386</v>
      </c>
      <c r="DY142" s="2">
        <v>135</v>
      </c>
      <c r="DZ142" s="2">
        <f t="shared" si="127"/>
        <v>105479925.06819203</v>
      </c>
      <c r="EA142" s="2">
        <f t="shared" si="128"/>
        <v>90656180.733732224</v>
      </c>
      <c r="EB142" s="2">
        <f t="shared" si="129"/>
        <v>76912583.416848853</v>
      </c>
      <c r="EC142" s="2">
        <f t="shared" si="130"/>
        <v>54569693.214536302</v>
      </c>
      <c r="ED142" s="2">
        <f t="shared" si="131"/>
        <v>29025089.880139776</v>
      </c>
      <c r="EF142" s="57">
        <f t="shared" si="132"/>
        <v>0.62068965517241381</v>
      </c>
      <c r="EG142" s="57">
        <f t="shared" si="133"/>
        <v>0.25862068965517243</v>
      </c>
      <c r="EH142" s="41">
        <f t="shared" si="134"/>
        <v>0.1206896551724138</v>
      </c>
      <c r="EJ142" s="57">
        <f t="shared" si="135"/>
        <v>0.5714285714285714</v>
      </c>
      <c r="EK142" s="57">
        <f t="shared" si="136"/>
        <v>0.23809523809523811</v>
      </c>
      <c r="EL142" s="41">
        <f t="shared" si="137"/>
        <v>0.19047619047619044</v>
      </c>
      <c r="EN142" s="57">
        <f t="shared" si="138"/>
        <v>0.5714285714285714</v>
      </c>
      <c r="EO142" s="57">
        <f t="shared" si="139"/>
        <v>0.23809523809523814</v>
      </c>
      <c r="EP142" s="41">
        <f t="shared" si="140"/>
        <v>0.19047619047619049</v>
      </c>
    </row>
    <row r="143" spans="20:146" x14ac:dyDescent="0.15">
      <c r="T143" s="2">
        <v>136</v>
      </c>
      <c r="U143" s="2">
        <f>$N$8*SUM(C$11:C$12)/(365/12)*MAX(节奏总纲!D139-$E$2,0)</f>
        <v>259978.52292249963</v>
      </c>
      <c r="V143" s="2">
        <f>$N$8*SUM(D$11:D$12)/(365/12)*MAX(节奏总纲!E139-$E$2,0)</f>
        <v>219825.78296301008</v>
      </c>
      <c r="W143" s="2">
        <f>$N$8*SUM(E$11:E$12)/(365/12)*MAX(节奏总纲!F139-$E$2,0)</f>
        <v>175153.57389942702</v>
      </c>
      <c r="X143" s="2">
        <f>$N$8*SUM(F$11:F$12)/(365/12)*MAX(节奏总纲!G139-$E$2,0)</f>
        <v>124289.95340422455</v>
      </c>
      <c r="Y143" s="2">
        <f>$N$8*SUM(G$11:G$12)/(365/12)*MAX(节奏总纲!H139-$E$2,0)</f>
        <v>66163.833423831398</v>
      </c>
      <c r="Z143" s="2">
        <f>$O$8*SUM(C$11:C$12)/(365/12)*MAX(节奏总纲!D139-$E$2,0)</f>
        <v>2599785.2292249962</v>
      </c>
      <c r="AA143" s="2">
        <f>$O$8*SUM(D$11:D$12)/(365/12)*MAX(节奏总纲!E139-$E$2,0)</f>
        <v>2198257.8296301011</v>
      </c>
      <c r="AB143" s="2">
        <f>$O$8*SUM(E$11:E$12)/(365/12)*MAX(节奏总纲!F139-$E$2,0)</f>
        <v>1751535.7389942703</v>
      </c>
      <c r="AC143" s="2">
        <f>$O$8*SUM(F$11:F$12)/(365/12)*MAX(节奏总纲!G139-$E$2,0)</f>
        <v>1242899.5340422455</v>
      </c>
      <c r="AD143" s="2">
        <f>$O$8*SUM(G$11:G$12)/(365/12)*MAX(节奏总纲!H139-$E$2,0)</f>
        <v>661638.33423831407</v>
      </c>
      <c r="AE143" s="2">
        <f>$Q$8*SUM(C$11:C$12)/(365/12)*MAX(节奏总纲!D139-$E$2,0)</f>
        <v>3249731.5365312453</v>
      </c>
      <c r="AF143" s="2">
        <f>$Q$8*SUM(D$11:D$12)/(365/12)*MAX(节奏总纲!E139-$E$2,0)</f>
        <v>2747822.2870376259</v>
      </c>
      <c r="AG143" s="2">
        <f>$Q$8*SUM(E$11:E$12)/(365/12)*MAX(节奏总纲!F139-$E$2,0)</f>
        <v>2189419.6737428377</v>
      </c>
      <c r="AH143" s="2">
        <f>$Q$8*SUM(F$11:F$12)/(365/12)*MAX(节奏总纲!G139-$E$2,0)</f>
        <v>1553624.4175528069</v>
      </c>
      <c r="AI143" s="2">
        <f>$Q$8*SUM(G$11:G$12)/(365/12)*MAX(节奏总纲!H139-$E$2,0)</f>
        <v>827047.91779789247</v>
      </c>
      <c r="AJ143" s="2">
        <f>$P$8*SUM(C$11:C$12)/(365/12)*MAX(节奏总纲!D139-$E$2,0)</f>
        <v>70194201.189074904</v>
      </c>
      <c r="AK143" s="2">
        <f>$P$8*SUM(D$11:D$12)/(365/12)*MAX(节奏总纲!E139-$E$2,0)</f>
        <v>59352961.400012724</v>
      </c>
      <c r="AL143" s="2">
        <f>$P$8*SUM(E$11:E$12)/(365/12)*MAX(节奏总纲!F139-$E$2,0)</f>
        <v>47291464.952845298</v>
      </c>
      <c r="AM143" s="2">
        <f>$P$8*SUM(F$11:F$12)/(365/12)*MAX(节奏总纲!G139-$E$2,0)</f>
        <v>33558287.419140629</v>
      </c>
      <c r="AN143" s="2">
        <f>$P$8*SUM(G$11:G$12)/(365/12)*MAX(节奏总纲!H139-$E$2,0)</f>
        <v>17864235.024434477</v>
      </c>
      <c r="BC143" s="2">
        <v>136</v>
      </c>
      <c r="BD143" s="2">
        <f>$AZ$8/(365/12)*MAX(节奏总纲!D139-$E$2,0)</f>
        <v>1218649.326199217</v>
      </c>
      <c r="BE143" s="2">
        <f>$AZ$8/(365/12)*MAX(节奏总纲!E139-$E$2,0)</f>
        <v>1030433.3576391098</v>
      </c>
      <c r="BF143" s="2">
        <f>$AZ$8/(365/12)*MAX(节奏总纲!F139-$E$2,0)</f>
        <v>821032.37765356421</v>
      </c>
      <c r="BG143" s="2">
        <f>$AZ$8/(365/12)*MAX(节奏总纲!G139-$E$2,0)</f>
        <v>582609.15658230265</v>
      </c>
      <c r="BH143" s="2">
        <f>$AZ$8/(365/12)*MAX(节奏总纲!H139-$E$2,0)</f>
        <v>310142.96917420969</v>
      </c>
      <c r="BI143" s="2">
        <f>$AY$8/(365/12)*MAX(节奏总纲!D139-$E$2,0)</f>
        <v>29247583.82878121</v>
      </c>
      <c r="BJ143" s="2">
        <f>$AY$8/(365/12)*MAX(节奏总纲!E139-$E$2,0)</f>
        <v>24730400.583338637</v>
      </c>
      <c r="BK143" s="2">
        <f>$AY$8/(365/12)*MAX(节奏总纲!F139-$E$2,0)</f>
        <v>19704777.06368554</v>
      </c>
      <c r="BL143" s="2">
        <f>$AY$8/(365/12)*MAX(节奏总纲!G139-$E$2,0)</f>
        <v>13982619.757975264</v>
      </c>
      <c r="BM143" s="2">
        <f>$AY$8/(365/12)*MAX(节奏总纲!H139-$E$2,0)</f>
        <v>7443431.2601810331</v>
      </c>
      <c r="CD143" s="2">
        <v>136</v>
      </c>
      <c r="CE143" s="2">
        <f>INDEX($BY$8:$BY$15,MATCH(CE$7,$CB$8:$CB$15,0))*SUM(C$11:C$12)/(365/12)*MAX(节奏总纲!D139-$E$2,0)</f>
        <v>324973.15365312452</v>
      </c>
      <c r="CF143" s="2">
        <f>INDEX($BY$8:$BY$15,MATCH(CF$7,$CB$8:$CB$15,0))*SUM(D$11:D$12)/(365/12)*MAX(节奏总纲!E139-$E$2,0)</f>
        <v>329738.67444451514</v>
      </c>
      <c r="CG143" s="2">
        <f>INDEX($BY$8:$BY$15,MATCH(CG$7,$CB$8:$CB$15,0))*SUM(E$11:E$12)/(365/12)*MAX(节奏总纲!F139-$E$2,0)</f>
        <v>437883.93474856758</v>
      </c>
      <c r="CH143" s="2">
        <f>INDEX($BY$8:$BY$15,MATCH(CH$7,$CB$8:$CB$15,0))*SUM(F$11:F$12)/(365/12)*MAX(节奏总纲!G139-$E$2,0)</f>
        <v>776812.20877640345</v>
      </c>
      <c r="CI143" s="2">
        <f>INDEX($BY$8:$BY$15,MATCH(CI$7,$CB$8:$CB$15,0))*SUM(G$11:G$12)/(365/12)*MAX(节奏总纲!H139-$E$2,0)</f>
        <v>661638.33423831407</v>
      </c>
      <c r="CJ143" s="2">
        <f>INDEX($BZ$8:$BZ$15,MATCH(CE$7,$CB$8:$CB$15,0))*SUM(C$11:C$12)/(365/12)*MAX(节奏总纲!D139-$E$2,0)</f>
        <v>13648872.45343123</v>
      </c>
      <c r="CK143" s="2">
        <f>INDEX($BZ$8:$BZ$15,MATCH(CF$7,$CB$8:$CB$15,0))*SUM(D$11:D$12)/(365/12)*MAX(节奏总纲!E139-$E$2,0)</f>
        <v>13189546.977780607</v>
      </c>
      <c r="CL143" s="2">
        <f>INDEX($BZ$8:$BZ$15,MATCH(CG$7,$CB$8:$CB$15,0))*SUM(E$11:E$12)/(365/12)*MAX(节奏总纲!F139-$E$2,0)</f>
        <v>15763821.650948431</v>
      </c>
      <c r="CM143" s="2">
        <f>INDEX($BZ$8:$BZ$15,MATCH(CH$7,$CB$8:$CB$15,0))*SUM(F$11:F$12)/(365/12)*MAX(节奏总纲!G139-$E$2,0)</f>
        <v>11186095.806380209</v>
      </c>
      <c r="CN143" s="2">
        <f>INDEX($BZ$8:$BZ$15,MATCH(CI$7,$CB$8:$CB$15,0))*SUM(G$11:G$12)/(365/12)*MAX(节奏总纲!H139-$E$2,0)</f>
        <v>5954745.0081448266</v>
      </c>
      <c r="CS143" s="2">
        <v>136</v>
      </c>
      <c r="CT143" s="2">
        <f t="shared" si="109"/>
        <v>4793354.0163835865</v>
      </c>
      <c r="CU143" s="2">
        <f t="shared" si="110"/>
        <v>4107994.3191212509</v>
      </c>
      <c r="CV143" s="2">
        <f t="shared" si="111"/>
        <v>3448335.9861449697</v>
      </c>
      <c r="CW143" s="2">
        <f t="shared" si="112"/>
        <v>2913045.782911513</v>
      </c>
      <c r="CX143" s="2">
        <f t="shared" si="113"/>
        <v>1798829.2212104162</v>
      </c>
      <c r="CZ143" s="41">
        <f t="shared" si="114"/>
        <v>0.67796610169491534</v>
      </c>
      <c r="DA143" s="41">
        <f t="shared" si="115"/>
        <v>0.25423728813559326</v>
      </c>
      <c r="DB143" s="41">
        <f t="shared" si="116"/>
        <v>6.7796610169491525E-2</v>
      </c>
      <c r="DD143" s="41">
        <f t="shared" si="117"/>
        <v>0.63492063492063489</v>
      </c>
      <c r="DE143" s="41">
        <f t="shared" si="118"/>
        <v>0.23809523809523808</v>
      </c>
      <c r="DF143" s="41">
        <f t="shared" si="119"/>
        <v>0.12698412698412698</v>
      </c>
      <c r="DH143" s="41">
        <f t="shared" si="120"/>
        <v>0.45977011494252873</v>
      </c>
      <c r="DI143" s="41">
        <f t="shared" si="121"/>
        <v>0.17241379310344829</v>
      </c>
      <c r="DJ143" s="41">
        <f t="shared" si="122"/>
        <v>0.36781609195402304</v>
      </c>
      <c r="DL143" s="2">
        <f>CT143/节奏总纲!D139</f>
        <v>386.07043254046778</v>
      </c>
      <c r="DM143" s="2">
        <f>CU143/节奏总纲!E139</f>
        <v>390.96018394336477</v>
      </c>
      <c r="DN143" s="2">
        <f>CV143/节奏总纲!F139</f>
        <v>411.28215036233127</v>
      </c>
      <c r="DO143" s="2">
        <f>CW143/节奏总纲!G139</f>
        <v>488.19191268975339</v>
      </c>
      <c r="DP143" s="2">
        <f>CX143/节奏总纲!H139</f>
        <v>561.34384647836055</v>
      </c>
      <c r="DR143" s="2">
        <f t="shared" si="123"/>
        <v>1.0126654387146947</v>
      </c>
      <c r="DS143" s="2">
        <f t="shared" si="124"/>
        <v>1.0653034153793188</v>
      </c>
      <c r="DT143" s="2">
        <f t="shared" si="125"/>
        <v>1.2645151545983291</v>
      </c>
      <c r="DU143" s="2">
        <f t="shared" si="126"/>
        <v>1.4539933627771939</v>
      </c>
      <c r="DY143" s="2">
        <v>136</v>
      </c>
      <c r="DZ143" s="2">
        <f t="shared" si="127"/>
        <v>113090657.47128735</v>
      </c>
      <c r="EA143" s="2">
        <f t="shared" si="128"/>
        <v>97272908.961131975</v>
      </c>
      <c r="EB143" s="2">
        <f t="shared" si="129"/>
        <v>82760063.667479277</v>
      </c>
      <c r="EC143" s="2">
        <f t="shared" si="130"/>
        <v>58727002.9834961</v>
      </c>
      <c r="ED143" s="2">
        <f t="shared" si="131"/>
        <v>31262411.292760335</v>
      </c>
      <c r="EF143" s="57">
        <f t="shared" si="132"/>
        <v>0.6206896551724137</v>
      </c>
      <c r="EG143" s="57">
        <f t="shared" si="133"/>
        <v>0.25862068965517238</v>
      </c>
      <c r="EH143" s="41">
        <f t="shared" si="134"/>
        <v>0.12068965517241377</v>
      </c>
      <c r="EJ143" s="57">
        <f t="shared" si="135"/>
        <v>0.5714285714285714</v>
      </c>
      <c r="EK143" s="57">
        <f t="shared" si="136"/>
        <v>0.23809523809523808</v>
      </c>
      <c r="EL143" s="41">
        <f t="shared" si="137"/>
        <v>0.19047619047619044</v>
      </c>
      <c r="EN143" s="57">
        <f t="shared" si="138"/>
        <v>0.5714285714285714</v>
      </c>
      <c r="EO143" s="57">
        <f t="shared" si="139"/>
        <v>0.23809523809523814</v>
      </c>
      <c r="EP143" s="41">
        <f t="shared" si="140"/>
        <v>0.19047619047619049</v>
      </c>
    </row>
    <row r="144" spans="20:146" x14ac:dyDescent="0.15">
      <c r="T144" s="2">
        <v>137</v>
      </c>
      <c r="U144" s="2">
        <f>$N$8*SUM(C$11:C$12)/(365/12)*MAX(节奏总纲!D140-$E$2,0)</f>
        <v>278730.20342848264</v>
      </c>
      <c r="V144" s="2">
        <f>$N$8*SUM(D$11:D$12)/(365/12)*MAX(节奏总纲!E140-$E$2,0)</f>
        <v>235975.32284440543</v>
      </c>
      <c r="W144" s="2">
        <f>$N$8*SUM(E$11:E$12)/(365/12)*MAX(节奏总纲!F140-$E$2,0)</f>
        <v>188012.5786135447</v>
      </c>
      <c r="X144" s="2">
        <f>$N$8*SUM(F$11:F$12)/(365/12)*MAX(节奏总纲!G140-$E$2,0)</f>
        <v>133554.00445766372</v>
      </c>
      <c r="Y144" s="2">
        <f>$N$8*SUM(G$11:G$12)/(365/12)*MAX(节奏总纲!H140-$E$2,0)</f>
        <v>71087.639963180205</v>
      </c>
      <c r="Z144" s="2">
        <f>$O$8*SUM(C$11:C$12)/(365/12)*MAX(节奏总纲!D140-$E$2,0)</f>
        <v>2787302.0342848264</v>
      </c>
      <c r="AA144" s="2">
        <f>$O$8*SUM(D$11:D$12)/(365/12)*MAX(节奏总纲!E140-$E$2,0)</f>
        <v>2359753.2284440543</v>
      </c>
      <c r="AB144" s="2">
        <f>$O$8*SUM(E$11:E$12)/(365/12)*MAX(节奏总纲!F140-$E$2,0)</f>
        <v>1880125.786135447</v>
      </c>
      <c r="AC144" s="2">
        <f>$O$8*SUM(F$11:F$12)/(365/12)*MAX(节奏总纲!G140-$E$2,0)</f>
        <v>1335540.0445766372</v>
      </c>
      <c r="AD144" s="2">
        <f>$O$8*SUM(G$11:G$12)/(365/12)*MAX(节奏总纲!H140-$E$2,0)</f>
        <v>710876.39963180199</v>
      </c>
      <c r="AE144" s="2">
        <f>$Q$8*SUM(C$11:C$12)/(365/12)*MAX(节奏总纲!D140-$E$2,0)</f>
        <v>3484127.542856033</v>
      </c>
      <c r="AF144" s="2">
        <f>$Q$8*SUM(D$11:D$12)/(365/12)*MAX(节奏总纲!E140-$E$2,0)</f>
        <v>2949691.5355550675</v>
      </c>
      <c r="AG144" s="2">
        <f>$Q$8*SUM(E$11:E$12)/(365/12)*MAX(节奏总纲!F140-$E$2,0)</f>
        <v>2350157.2326693083</v>
      </c>
      <c r="AH144" s="2">
        <f>$Q$8*SUM(F$11:F$12)/(365/12)*MAX(节奏总纲!G140-$E$2,0)</f>
        <v>1669425.0557207963</v>
      </c>
      <c r="AI144" s="2">
        <f>$Q$8*SUM(G$11:G$12)/(365/12)*MAX(节奏总纲!H140-$E$2,0)</f>
        <v>888595.49953975249</v>
      </c>
      <c r="AJ144" s="2">
        <f>$P$8*SUM(C$11:C$12)/(365/12)*MAX(节奏总纲!D140-$E$2,0)</f>
        <v>75257154.925690323</v>
      </c>
      <c r="AK144" s="2">
        <f>$P$8*SUM(D$11:D$12)/(365/12)*MAX(节奏总纲!E140-$E$2,0)</f>
        <v>63713337.167989463</v>
      </c>
      <c r="AL144" s="2">
        <f>$P$8*SUM(E$11:E$12)/(365/12)*MAX(节奏总纲!F140-$E$2,0)</f>
        <v>50763396.225657068</v>
      </c>
      <c r="AM144" s="2">
        <f>$P$8*SUM(F$11:F$12)/(365/12)*MAX(节奏总纲!G140-$E$2,0)</f>
        <v>36059581.203569204</v>
      </c>
      <c r="AN144" s="2">
        <f>$P$8*SUM(G$11:G$12)/(365/12)*MAX(节奏总纲!H140-$E$2,0)</f>
        <v>19193662.790058654</v>
      </c>
      <c r="BC144" s="2">
        <v>137</v>
      </c>
      <c r="BD144" s="2">
        <f>$AZ$8/(365/12)*MAX(节奏总纲!D140-$E$2,0)</f>
        <v>1306547.8285710125</v>
      </c>
      <c r="BE144" s="2">
        <f>$AZ$8/(365/12)*MAX(节奏总纲!E140-$E$2,0)</f>
        <v>1106134.3258331504</v>
      </c>
      <c r="BF144" s="2">
        <f>$AZ$8/(365/12)*MAX(节奏总纲!F140-$E$2,0)</f>
        <v>881308.96225099079</v>
      </c>
      <c r="BG144" s="2">
        <f>$AZ$8/(365/12)*MAX(节奏总纲!G140-$E$2,0)</f>
        <v>626034.39589529869</v>
      </c>
      <c r="BH144" s="2">
        <f>$AZ$8/(365/12)*MAX(节奏总纲!H140-$E$2,0)</f>
        <v>333223.31232740718</v>
      </c>
      <c r="BI144" s="2">
        <f>$AY$8/(365/12)*MAX(节奏总纲!D140-$E$2,0)</f>
        <v>31357147.885704301</v>
      </c>
      <c r="BJ144" s="2">
        <f>$AY$8/(365/12)*MAX(节奏总纲!E140-$E$2,0)</f>
        <v>26547223.819995612</v>
      </c>
      <c r="BK144" s="2">
        <f>$AY$8/(365/12)*MAX(节奏总纲!F140-$E$2,0)</f>
        <v>21151415.094023779</v>
      </c>
      <c r="BL144" s="2">
        <f>$AY$8/(365/12)*MAX(节奏总纲!G140-$E$2,0)</f>
        <v>15024825.501487169</v>
      </c>
      <c r="BM144" s="2">
        <f>$AY$8/(365/12)*MAX(节奏总纲!H140-$E$2,0)</f>
        <v>7997359.4958577733</v>
      </c>
      <c r="CD144" s="2">
        <v>137</v>
      </c>
      <c r="CE144" s="2">
        <f>INDEX($BY$8:$BY$15,MATCH(CE$7,$CB$8:$CB$15,0))*SUM(C$11:C$12)/(365/12)*MAX(节奏总纲!D140-$E$2,0)</f>
        <v>348412.7542856033</v>
      </c>
      <c r="CF144" s="2">
        <f>INDEX($BY$8:$BY$15,MATCH(CF$7,$CB$8:$CB$15,0))*SUM(D$11:D$12)/(365/12)*MAX(节奏总纲!E140-$E$2,0)</f>
        <v>353962.98426660814</v>
      </c>
      <c r="CG144" s="2">
        <f>INDEX($BY$8:$BY$15,MATCH(CG$7,$CB$8:$CB$15,0))*SUM(E$11:E$12)/(365/12)*MAX(节奏总纲!F140-$E$2,0)</f>
        <v>470031.44653386174</v>
      </c>
      <c r="CH144" s="2">
        <f>INDEX($BY$8:$BY$15,MATCH(CH$7,$CB$8:$CB$15,0))*SUM(F$11:F$12)/(365/12)*MAX(节奏总纲!G140-$E$2,0)</f>
        <v>834712.52786039817</v>
      </c>
      <c r="CI144" s="2">
        <f>INDEX($BY$8:$BY$15,MATCH(CI$7,$CB$8:$CB$15,0))*SUM(G$11:G$12)/(365/12)*MAX(节奏总纲!H140-$E$2,0)</f>
        <v>710876.39963180199</v>
      </c>
      <c r="CJ144" s="2">
        <f>INDEX($BZ$8:$BZ$15,MATCH(CE$7,$CB$8:$CB$15,0))*SUM(C$11:C$12)/(365/12)*MAX(节奏总纲!D140-$E$2,0)</f>
        <v>14633335.679995339</v>
      </c>
      <c r="CK144" s="2">
        <f>INDEX($BZ$8:$BZ$15,MATCH(CF$7,$CB$8:$CB$15,0))*SUM(D$11:D$12)/(365/12)*MAX(节奏总纲!E140-$E$2,0)</f>
        <v>14158519.370664326</v>
      </c>
      <c r="CL144" s="2">
        <f>INDEX($BZ$8:$BZ$15,MATCH(CG$7,$CB$8:$CB$15,0))*SUM(E$11:E$12)/(365/12)*MAX(节奏总纲!F140-$E$2,0)</f>
        <v>16921132.07521902</v>
      </c>
      <c r="CM144" s="2">
        <f>INDEX($BZ$8:$BZ$15,MATCH(CH$7,$CB$8:$CB$15,0))*SUM(F$11:F$12)/(365/12)*MAX(节奏总纲!G140-$E$2,0)</f>
        <v>12019860.401189735</v>
      </c>
      <c r="CN144" s="2">
        <f>INDEX($BZ$8:$BZ$15,MATCH(CI$7,$CB$8:$CB$15,0))*SUM(G$11:G$12)/(365/12)*MAX(节奏总纲!H140-$E$2,0)</f>
        <v>6397887.5966862179</v>
      </c>
      <c r="CS144" s="2">
        <v>137</v>
      </c>
      <c r="CT144" s="2">
        <f t="shared" si="109"/>
        <v>5139088.125712648</v>
      </c>
      <c r="CU144" s="2">
        <f t="shared" si="110"/>
        <v>4409788.8456548257</v>
      </c>
      <c r="CV144" s="2">
        <f t="shared" si="111"/>
        <v>3701497.6414541607</v>
      </c>
      <c r="CW144" s="2">
        <f t="shared" si="112"/>
        <v>3130171.9794764929</v>
      </c>
      <c r="CX144" s="2">
        <f t="shared" si="113"/>
        <v>1932695.2114989618</v>
      </c>
      <c r="CZ144" s="41">
        <f t="shared" si="114"/>
        <v>0.67796610169491534</v>
      </c>
      <c r="DA144" s="41">
        <f t="shared" si="115"/>
        <v>0.25423728813559326</v>
      </c>
      <c r="DB144" s="41">
        <f t="shared" si="116"/>
        <v>6.7796610169491539E-2</v>
      </c>
      <c r="DD144" s="41">
        <f t="shared" si="117"/>
        <v>0.63492063492063489</v>
      </c>
      <c r="DE144" s="41">
        <f t="shared" si="118"/>
        <v>0.23809523809523814</v>
      </c>
      <c r="DF144" s="41">
        <f t="shared" si="119"/>
        <v>0.126984126984127</v>
      </c>
      <c r="DH144" s="41">
        <f t="shared" si="120"/>
        <v>0.45977011494252873</v>
      </c>
      <c r="DI144" s="41">
        <f t="shared" si="121"/>
        <v>0.17241379310344826</v>
      </c>
      <c r="DJ144" s="41">
        <f t="shared" si="122"/>
        <v>0.36781609195402298</v>
      </c>
      <c r="DL144" s="2">
        <f>CT144/节奏总纲!D140</f>
        <v>386.19598991050822</v>
      </c>
      <c r="DM144" s="2">
        <f>CU144/节奏总纲!E140</f>
        <v>391.113028435709</v>
      </c>
      <c r="DN144" s="2">
        <f>CV144/节奏总纲!F140</f>
        <v>411.48354804220861</v>
      </c>
      <c r="DO144" s="2">
        <f>CW144/节奏总纲!G140</f>
        <v>488.53265977457204</v>
      </c>
      <c r="DP144" s="2">
        <f>CX144/节奏总纲!H140</f>
        <v>562.0727830222728</v>
      </c>
      <c r="DR144" s="2">
        <f t="shared" si="123"/>
        <v>1.0127319771661538</v>
      </c>
      <c r="DS144" s="2">
        <f t="shared" si="124"/>
        <v>1.0654785621610421</v>
      </c>
      <c r="DT144" s="2">
        <f t="shared" si="125"/>
        <v>1.2649863606501401</v>
      </c>
      <c r="DU144" s="2">
        <f t="shared" si="126"/>
        <v>1.4554081287910832</v>
      </c>
      <c r="DY144" s="2">
        <v>137</v>
      </c>
      <c r="DZ144" s="2">
        <f t="shared" si="127"/>
        <v>121247638.49138997</v>
      </c>
      <c r="EA144" s="2">
        <f t="shared" si="128"/>
        <v>104419080.3586494</v>
      </c>
      <c r="EB144" s="2">
        <f t="shared" si="129"/>
        <v>88835943.39489986</v>
      </c>
      <c r="EC144" s="2">
        <f t="shared" si="130"/>
        <v>63104267.106246106</v>
      </c>
      <c r="ED144" s="2">
        <f t="shared" si="131"/>
        <v>33588909.882602647</v>
      </c>
      <c r="EF144" s="57">
        <f t="shared" si="132"/>
        <v>0.6206896551724137</v>
      </c>
      <c r="EG144" s="57">
        <f t="shared" si="133"/>
        <v>0.25862068965517238</v>
      </c>
      <c r="EH144" s="41">
        <f t="shared" si="134"/>
        <v>0.12068965517241377</v>
      </c>
      <c r="EJ144" s="57">
        <f t="shared" si="135"/>
        <v>0.57142857142857151</v>
      </c>
      <c r="EK144" s="57">
        <f t="shared" si="136"/>
        <v>0.23809523809523814</v>
      </c>
      <c r="EL144" s="41">
        <f t="shared" si="137"/>
        <v>0.19047619047619047</v>
      </c>
      <c r="EN144" s="57">
        <f t="shared" si="138"/>
        <v>0.5714285714285714</v>
      </c>
      <c r="EO144" s="57">
        <f t="shared" si="139"/>
        <v>0.23809523809523811</v>
      </c>
      <c r="EP144" s="41">
        <f t="shared" si="140"/>
        <v>0.19047619047619047</v>
      </c>
    </row>
    <row r="145" spans="20:146" x14ac:dyDescent="0.15">
      <c r="T145" s="2">
        <v>138</v>
      </c>
      <c r="U145" s="2">
        <f>$N$8*SUM(C$11:C$12)/(365/12)*MAX(节奏总纲!D141-$E$2,0)</f>
        <v>298827.7569727549</v>
      </c>
      <c r="V145" s="2">
        <f>$N$8*SUM(D$11:D$12)/(365/12)*MAX(节奏总纲!E141-$E$2,0)</f>
        <v>253003.9799624673</v>
      </c>
      <c r="W145" s="2">
        <f>$N$8*SUM(E$11:E$12)/(365/12)*MAX(节奏总纲!F141-$E$2,0)</f>
        <v>201748.56992083581</v>
      </c>
      <c r="X145" s="2">
        <f>$N$8*SUM(F$11:F$12)/(365/12)*MAX(节奏总纲!G141-$E$2,0)</f>
        <v>143321.00355604864</v>
      </c>
      <c r="Y145" s="2">
        <f>$N$8*SUM(G$11:G$12)/(365/12)*MAX(节奏总纲!H141-$E$2,0)</f>
        <v>75980.757576293967</v>
      </c>
      <c r="Z145" s="2">
        <f>$O$8*SUM(C$11:C$12)/(365/12)*MAX(节奏总纲!D141-$E$2,0)</f>
        <v>2988277.5697275489</v>
      </c>
      <c r="AA145" s="2">
        <f>$O$8*SUM(D$11:D$12)/(365/12)*MAX(节奏总纲!E141-$E$2,0)</f>
        <v>2530039.7996246731</v>
      </c>
      <c r="AB145" s="2">
        <f>$O$8*SUM(E$11:E$12)/(365/12)*MAX(节奏总纲!F141-$E$2,0)</f>
        <v>2017485.6992083581</v>
      </c>
      <c r="AC145" s="2">
        <f>$O$8*SUM(F$11:F$12)/(365/12)*MAX(节奏总纲!G141-$E$2,0)</f>
        <v>1433210.0355604864</v>
      </c>
      <c r="AD145" s="2">
        <f>$O$8*SUM(G$11:G$12)/(365/12)*MAX(节奏总纲!H141-$E$2,0)</f>
        <v>759807.57576293964</v>
      </c>
      <c r="AE145" s="2">
        <f>$Q$8*SUM(C$11:C$12)/(365/12)*MAX(节奏总纲!D141-$E$2,0)</f>
        <v>3735346.9621594362</v>
      </c>
      <c r="AF145" s="2">
        <f>$Q$8*SUM(D$11:D$12)/(365/12)*MAX(节奏总纲!E141-$E$2,0)</f>
        <v>3162549.7495308411</v>
      </c>
      <c r="AG145" s="2">
        <f>$Q$8*SUM(E$11:E$12)/(365/12)*MAX(节奏总纲!F141-$E$2,0)</f>
        <v>2521857.1240104474</v>
      </c>
      <c r="AH145" s="2">
        <f>$Q$8*SUM(F$11:F$12)/(365/12)*MAX(节奏总纲!G141-$E$2,0)</f>
        <v>1791512.5444506078</v>
      </c>
      <c r="AI145" s="2">
        <f>$Q$8*SUM(G$11:G$12)/(365/12)*MAX(节奏总纲!H141-$E$2,0)</f>
        <v>949759.46970367443</v>
      </c>
      <c r="AJ145" s="2">
        <f>$P$8*SUM(C$11:C$12)/(365/12)*MAX(节奏总纲!D141-$E$2,0)</f>
        <v>80683494.382643819</v>
      </c>
      <c r="AK145" s="2">
        <f>$P$8*SUM(D$11:D$12)/(365/12)*MAX(节奏总纲!E141-$E$2,0)</f>
        <v>68311074.589866176</v>
      </c>
      <c r="AL145" s="2">
        <f>$P$8*SUM(E$11:E$12)/(365/12)*MAX(节奏总纲!F141-$E$2,0)</f>
        <v>54472113.878625669</v>
      </c>
      <c r="AM145" s="2">
        <f>$P$8*SUM(F$11:F$12)/(365/12)*MAX(节奏总纲!G141-$E$2,0)</f>
        <v>38696670.960133135</v>
      </c>
      <c r="AN145" s="2">
        <f>$P$8*SUM(G$11:G$12)/(365/12)*MAX(节奏总纲!H141-$E$2,0)</f>
        <v>20514804.545599367</v>
      </c>
      <c r="BC145" s="2">
        <v>138</v>
      </c>
      <c r="BD145" s="2">
        <f>$AZ$8/(365/12)*MAX(节奏总纲!D141-$E$2,0)</f>
        <v>1400755.1108097886</v>
      </c>
      <c r="BE145" s="2">
        <f>$AZ$8/(365/12)*MAX(节奏总纲!E141-$E$2,0)</f>
        <v>1185956.1560740655</v>
      </c>
      <c r="BF145" s="2">
        <f>$AZ$8/(365/12)*MAX(节奏总纲!F141-$E$2,0)</f>
        <v>945696.4215039179</v>
      </c>
      <c r="BG145" s="2">
        <f>$AZ$8/(365/12)*MAX(节奏总纲!G141-$E$2,0)</f>
        <v>671817.20416897803</v>
      </c>
      <c r="BH145" s="2">
        <f>$AZ$8/(365/12)*MAX(节奏总纲!H141-$E$2,0)</f>
        <v>356159.80113887793</v>
      </c>
      <c r="BI145" s="2">
        <f>$AY$8/(365/12)*MAX(节奏总纲!D141-$E$2,0)</f>
        <v>33618122.659434929</v>
      </c>
      <c r="BJ145" s="2">
        <f>$AY$8/(365/12)*MAX(节奏总纲!E141-$E$2,0)</f>
        <v>28462947.745777573</v>
      </c>
      <c r="BK145" s="2">
        <f>$AY$8/(365/12)*MAX(节奏总纲!F141-$E$2,0)</f>
        <v>22696714.11609403</v>
      </c>
      <c r="BL145" s="2">
        <f>$AY$8/(365/12)*MAX(节奏总纲!G141-$E$2,0)</f>
        <v>16123612.900055474</v>
      </c>
      <c r="BM145" s="2">
        <f>$AY$8/(365/12)*MAX(节奏总纲!H141-$E$2,0)</f>
        <v>8547835.2273330707</v>
      </c>
      <c r="CD145" s="2">
        <v>138</v>
      </c>
      <c r="CE145" s="2">
        <f>INDEX($BY$8:$BY$15,MATCH(CE$7,$CB$8:$CB$15,0))*SUM(C$11:C$12)/(365/12)*MAX(节奏总纲!D141-$E$2,0)</f>
        <v>373534.69621594361</v>
      </c>
      <c r="CF145" s="2">
        <f>INDEX($BY$8:$BY$15,MATCH(CF$7,$CB$8:$CB$15,0))*SUM(D$11:D$12)/(365/12)*MAX(节奏总纲!E141-$E$2,0)</f>
        <v>379505.96994370094</v>
      </c>
      <c r="CG145" s="2">
        <f>INDEX($BY$8:$BY$15,MATCH(CG$7,$CB$8:$CB$15,0))*SUM(E$11:E$12)/(365/12)*MAX(节奏总纲!F141-$E$2,0)</f>
        <v>504371.42480208952</v>
      </c>
      <c r="CH145" s="2">
        <f>INDEX($BY$8:$BY$15,MATCH(CH$7,$CB$8:$CB$15,0))*SUM(F$11:F$12)/(365/12)*MAX(节奏总纲!G141-$E$2,0)</f>
        <v>895756.27222530392</v>
      </c>
      <c r="CI145" s="2">
        <f>INDEX($BY$8:$BY$15,MATCH(CI$7,$CB$8:$CB$15,0))*SUM(G$11:G$12)/(365/12)*MAX(节奏总纲!H141-$E$2,0)</f>
        <v>759807.57576293964</v>
      </c>
      <c r="CJ145" s="2">
        <f>INDEX($BZ$8:$BZ$15,MATCH(CE$7,$CB$8:$CB$15,0))*SUM(C$11:C$12)/(365/12)*MAX(节奏总纲!D141-$E$2,0)</f>
        <v>15688457.241069632</v>
      </c>
      <c r="CK145" s="2">
        <f>INDEX($BZ$8:$BZ$15,MATCH(CF$7,$CB$8:$CB$15,0))*SUM(D$11:D$12)/(365/12)*MAX(节奏总纲!E141-$E$2,0)</f>
        <v>15180238.79774804</v>
      </c>
      <c r="CL145" s="2">
        <f>INDEX($BZ$8:$BZ$15,MATCH(CG$7,$CB$8:$CB$15,0))*SUM(E$11:E$12)/(365/12)*MAX(节奏总纲!F141-$E$2,0)</f>
        <v>18157371.292875223</v>
      </c>
      <c r="CM145" s="2">
        <f>INDEX($BZ$8:$BZ$15,MATCH(CH$7,$CB$8:$CB$15,0))*SUM(F$11:F$12)/(365/12)*MAX(节奏总纲!G141-$E$2,0)</f>
        <v>12898890.320044378</v>
      </c>
      <c r="CN145" s="2">
        <f>INDEX($BZ$8:$BZ$15,MATCH(CI$7,$CB$8:$CB$15,0))*SUM(G$11:G$12)/(365/12)*MAX(节奏总纲!H141-$E$2,0)</f>
        <v>6838268.1818664568</v>
      </c>
      <c r="CS145" s="2">
        <v>138</v>
      </c>
      <c r="CT145" s="2">
        <f t="shared" si="109"/>
        <v>5509636.7691851677</v>
      </c>
      <c r="CU145" s="2">
        <f t="shared" si="110"/>
        <v>4728011.8755486077</v>
      </c>
      <c r="CV145" s="2">
        <f t="shared" si="111"/>
        <v>3971924.9703164548</v>
      </c>
      <c r="CW145" s="2">
        <f t="shared" si="112"/>
        <v>3359086.0208448898</v>
      </c>
      <c r="CX145" s="2">
        <f t="shared" si="113"/>
        <v>2065726.8466054921</v>
      </c>
      <c r="CZ145" s="41">
        <f t="shared" si="114"/>
        <v>0.67796610169491534</v>
      </c>
      <c r="DA145" s="41">
        <f t="shared" si="115"/>
        <v>0.25423728813559326</v>
      </c>
      <c r="DB145" s="41">
        <f t="shared" si="116"/>
        <v>6.7796610169491525E-2</v>
      </c>
      <c r="DD145" s="41">
        <f t="shared" si="117"/>
        <v>0.63492063492063489</v>
      </c>
      <c r="DE145" s="41">
        <f t="shared" si="118"/>
        <v>0.23809523809523811</v>
      </c>
      <c r="DF145" s="41">
        <f t="shared" si="119"/>
        <v>0.12698412698412698</v>
      </c>
      <c r="DH145" s="41">
        <f t="shared" si="120"/>
        <v>0.45977011494252867</v>
      </c>
      <c r="DI145" s="41">
        <f t="shared" si="121"/>
        <v>0.17241379310344826</v>
      </c>
      <c r="DJ145" s="41">
        <f t="shared" si="122"/>
        <v>0.36781609195402298</v>
      </c>
      <c r="DL145" s="2">
        <f>CT145/节奏总纲!D141</f>
        <v>386.31313785767549</v>
      </c>
      <c r="DM145" s="2">
        <f>CU145/节奏总纲!E141</f>
        <v>391.25316344563288</v>
      </c>
      <c r="DN145" s="2">
        <f>CV145/节奏总纲!F141</f>
        <v>411.67049807106827</v>
      </c>
      <c r="DO145" s="2">
        <f>CW145/节奏总纲!G141</f>
        <v>488.84461969474495</v>
      </c>
      <c r="DP145" s="2">
        <f>CX145/节奏总纲!H141</f>
        <v>562.70511236031734</v>
      </c>
      <c r="DR145" s="2">
        <f t="shared" si="123"/>
        <v>1.0127876199482955</v>
      </c>
      <c r="DS145" s="2">
        <f t="shared" si="124"/>
        <v>1.0656393938710282</v>
      </c>
      <c r="DT145" s="2">
        <f t="shared" si="125"/>
        <v>1.2654102897086659</v>
      </c>
      <c r="DU145" s="2">
        <f t="shared" si="126"/>
        <v>1.4566036130193112</v>
      </c>
      <c r="DY145" s="2">
        <v>138</v>
      </c>
      <c r="DZ145" s="2">
        <f t="shared" si="127"/>
        <v>129990074.28314838</v>
      </c>
      <c r="EA145" s="2">
        <f t="shared" si="128"/>
        <v>111954261.1333918</v>
      </c>
      <c r="EB145" s="2">
        <f t="shared" si="129"/>
        <v>95326199.287594914</v>
      </c>
      <c r="EC145" s="2">
        <f t="shared" si="130"/>
        <v>67719174.180232987</v>
      </c>
      <c r="ED145" s="2">
        <f t="shared" si="131"/>
        <v>35900907.9547989</v>
      </c>
      <c r="EF145" s="57">
        <f t="shared" si="132"/>
        <v>0.62068965517241381</v>
      </c>
      <c r="EG145" s="57">
        <f t="shared" si="133"/>
        <v>0.25862068965517243</v>
      </c>
      <c r="EH145" s="41">
        <f t="shared" si="134"/>
        <v>0.1206896551724138</v>
      </c>
      <c r="EJ145" s="57">
        <f t="shared" si="135"/>
        <v>0.57142857142857151</v>
      </c>
      <c r="EK145" s="57">
        <f t="shared" si="136"/>
        <v>0.23809523809523814</v>
      </c>
      <c r="EL145" s="41">
        <f t="shared" si="137"/>
        <v>0.19047619047619049</v>
      </c>
      <c r="EN145" s="57">
        <f t="shared" si="138"/>
        <v>0.57142857142857129</v>
      </c>
      <c r="EO145" s="57">
        <f t="shared" si="139"/>
        <v>0.23809523809523808</v>
      </c>
      <c r="EP145" s="41">
        <f t="shared" si="140"/>
        <v>0.19047619047619047</v>
      </c>
    </row>
    <row r="146" spans="20:146" x14ac:dyDescent="0.15">
      <c r="T146" s="2">
        <v>139</v>
      </c>
      <c r="U146" s="2">
        <f>$N$8*SUM(C$11:C$12)/(365/12)*MAX(节奏总纲!D142-$E$2,0)</f>
        <v>320367.78152340814</v>
      </c>
      <c r="V146" s="2">
        <f>$N$8*SUM(D$11:D$12)/(365/12)*MAX(节奏总纲!E142-$E$2,0)</f>
        <v>271383.49486314645</v>
      </c>
      <c r="W146" s="2">
        <f>$N$8*SUM(E$11:E$12)/(365/12)*MAX(节奏总纲!F142-$E$2,0)</f>
        <v>216352.55955408039</v>
      </c>
      <c r="X146" s="2">
        <f>$N$8*SUM(F$11:F$12)/(365/12)*MAX(节奏总纲!G142-$E$2,0)</f>
        <v>153087.88991472739</v>
      </c>
      <c r="Y146" s="2">
        <f>$N$8*SUM(G$11:G$12)/(365/12)*MAX(节奏总纲!H142-$E$2,0)</f>
        <v>81235.692673082958</v>
      </c>
      <c r="Z146" s="2">
        <f>$O$8*SUM(C$11:C$12)/(365/12)*MAX(节奏总纲!D142-$E$2,0)</f>
        <v>3203677.8152340809</v>
      </c>
      <c r="AA146" s="2">
        <f>$O$8*SUM(D$11:D$12)/(365/12)*MAX(节奏总纲!E142-$E$2,0)</f>
        <v>2713834.9486314645</v>
      </c>
      <c r="AB146" s="2">
        <f>$O$8*SUM(E$11:E$12)/(365/12)*MAX(节奏总纲!F142-$E$2,0)</f>
        <v>2163525.5955408039</v>
      </c>
      <c r="AC146" s="2">
        <f>$O$8*SUM(F$11:F$12)/(365/12)*MAX(节奏总纲!G142-$E$2,0)</f>
        <v>1530878.899147274</v>
      </c>
      <c r="AD146" s="2">
        <f>$O$8*SUM(G$11:G$12)/(365/12)*MAX(节奏总纲!H142-$E$2,0)</f>
        <v>812356.92673082952</v>
      </c>
      <c r="AE146" s="2">
        <f>$Q$8*SUM(C$11:C$12)/(365/12)*MAX(节奏总纲!D142-$E$2,0)</f>
        <v>4004597.2690426013</v>
      </c>
      <c r="AF146" s="2">
        <f>$Q$8*SUM(D$11:D$12)/(365/12)*MAX(节奏总纲!E142-$E$2,0)</f>
        <v>3392293.6857893309</v>
      </c>
      <c r="AG146" s="2">
        <f>$Q$8*SUM(E$11:E$12)/(365/12)*MAX(节奏总纲!F142-$E$2,0)</f>
        <v>2704406.9944260051</v>
      </c>
      <c r="AH146" s="2">
        <f>$Q$8*SUM(F$11:F$12)/(365/12)*MAX(节奏总纲!G142-$E$2,0)</f>
        <v>1913598.6239340922</v>
      </c>
      <c r="AI146" s="2">
        <f>$Q$8*SUM(G$11:G$12)/(365/12)*MAX(节奏总纲!H142-$E$2,0)</f>
        <v>1015446.1584135368</v>
      </c>
      <c r="AJ146" s="2">
        <f>$P$8*SUM(C$11:C$12)/(365/12)*MAX(节奏总纲!D142-$E$2,0)</f>
        <v>86499301.011320189</v>
      </c>
      <c r="AK146" s="2">
        <f>$P$8*SUM(D$11:D$12)/(365/12)*MAX(节奏总纲!E142-$E$2,0)</f>
        <v>73273543.613049537</v>
      </c>
      <c r="AL146" s="2">
        <f>$P$8*SUM(E$11:E$12)/(365/12)*MAX(节奏总纲!F142-$E$2,0)</f>
        <v>58415191.079601705</v>
      </c>
      <c r="AM146" s="2">
        <f>$P$8*SUM(F$11:F$12)/(365/12)*MAX(节奏总纲!G142-$E$2,0)</f>
        <v>41333730.276976392</v>
      </c>
      <c r="AN146" s="2">
        <f>$P$8*SUM(G$11:G$12)/(365/12)*MAX(节奏总纲!H142-$E$2,0)</f>
        <v>21933637.021732397</v>
      </c>
      <c r="BC146" s="2">
        <v>139</v>
      </c>
      <c r="BD146" s="2">
        <f>$AZ$8/(365/12)*MAX(节奏总纲!D142-$E$2,0)</f>
        <v>1501723.9758909754</v>
      </c>
      <c r="BE146" s="2">
        <f>$AZ$8/(365/12)*MAX(节奏总纲!E142-$E$2,0)</f>
        <v>1272110.1321709992</v>
      </c>
      <c r="BF146" s="2">
        <f>$AZ$8/(365/12)*MAX(节奏总纲!F142-$E$2,0)</f>
        <v>1014152.622909752</v>
      </c>
      <c r="BG146" s="2">
        <f>$AZ$8/(365/12)*MAX(节奏总纲!G142-$E$2,0)</f>
        <v>717599.48397528462</v>
      </c>
      <c r="BH146" s="2">
        <f>$AZ$8/(365/12)*MAX(节奏总纲!H142-$E$2,0)</f>
        <v>380792.30940507638</v>
      </c>
      <c r="BI146" s="2">
        <f>$AY$8/(365/12)*MAX(节奏总纲!D142-$E$2,0)</f>
        <v>36041375.421383418</v>
      </c>
      <c r="BJ146" s="2">
        <f>$AY$8/(365/12)*MAX(节奏总纲!E142-$E$2,0)</f>
        <v>30530643.172103979</v>
      </c>
      <c r="BK146" s="2">
        <f>$AY$8/(365/12)*MAX(节奏总纲!F142-$E$2,0)</f>
        <v>24339662.949834049</v>
      </c>
      <c r="BL146" s="2">
        <f>$AY$8/(365/12)*MAX(节奏总纲!G142-$E$2,0)</f>
        <v>17222387.615406834</v>
      </c>
      <c r="BM146" s="2">
        <f>$AY$8/(365/12)*MAX(节奏总纲!H142-$E$2,0)</f>
        <v>9139015.4257218335</v>
      </c>
      <c r="CD146" s="2">
        <v>139</v>
      </c>
      <c r="CE146" s="2">
        <f>INDEX($BY$8:$BY$15,MATCH(CE$7,$CB$8:$CB$15,0))*SUM(C$11:C$12)/(365/12)*MAX(节奏总纲!D142-$E$2,0)</f>
        <v>400459.72690426011</v>
      </c>
      <c r="CF146" s="2">
        <f>INDEX($BY$8:$BY$15,MATCH(CF$7,$CB$8:$CB$15,0))*SUM(D$11:D$12)/(365/12)*MAX(节奏总纲!E142-$E$2,0)</f>
        <v>407075.24229471968</v>
      </c>
      <c r="CG146" s="2">
        <f>INDEX($BY$8:$BY$15,MATCH(CG$7,$CB$8:$CB$15,0))*SUM(E$11:E$12)/(365/12)*MAX(节奏总纲!F142-$E$2,0)</f>
        <v>540881.39888520096</v>
      </c>
      <c r="CH146" s="2">
        <f>INDEX($BY$8:$BY$15,MATCH(CH$7,$CB$8:$CB$15,0))*SUM(F$11:F$12)/(365/12)*MAX(节奏总纲!G142-$E$2,0)</f>
        <v>956799.31196704612</v>
      </c>
      <c r="CI146" s="2">
        <f>INDEX($BY$8:$BY$15,MATCH(CI$7,$CB$8:$CB$15,0))*SUM(G$11:G$12)/(365/12)*MAX(节奏总纲!H142-$E$2,0)</f>
        <v>812356.92673082952</v>
      </c>
      <c r="CJ146" s="2">
        <f>INDEX($BZ$8:$BZ$15,MATCH(CE$7,$CB$8:$CB$15,0))*SUM(C$11:C$12)/(365/12)*MAX(节奏总纲!D142-$E$2,0)</f>
        <v>16819308.529978927</v>
      </c>
      <c r="CK146" s="2">
        <f>INDEX($BZ$8:$BZ$15,MATCH(CF$7,$CB$8:$CB$15,0))*SUM(D$11:D$12)/(365/12)*MAX(节奏总纲!E142-$E$2,0)</f>
        <v>16283009.691788789</v>
      </c>
      <c r="CL146" s="2">
        <f>INDEX($BZ$8:$BZ$15,MATCH(CG$7,$CB$8:$CB$15,0))*SUM(E$11:E$12)/(365/12)*MAX(节奏总纲!F142-$E$2,0)</f>
        <v>19471730.359867238</v>
      </c>
      <c r="CM146" s="2">
        <f>INDEX($BZ$8:$BZ$15,MATCH(CH$7,$CB$8:$CB$15,0))*SUM(F$11:F$12)/(365/12)*MAX(节奏总纲!G142-$E$2,0)</f>
        <v>13777910.092325464</v>
      </c>
      <c r="CN146" s="2">
        <f>INDEX($BZ$8:$BZ$15,MATCH(CI$7,$CB$8:$CB$15,0))*SUM(G$11:G$12)/(365/12)*MAX(节奏总纲!H142-$E$2,0)</f>
        <v>7311212.3405774655</v>
      </c>
      <c r="CS146" s="2">
        <v>139</v>
      </c>
      <c r="CT146" s="2">
        <f t="shared" si="109"/>
        <v>5906780.9718378372</v>
      </c>
      <c r="CU146" s="2">
        <f t="shared" si="110"/>
        <v>5071479.0602550497</v>
      </c>
      <c r="CV146" s="2">
        <f t="shared" si="111"/>
        <v>4259441.016220958</v>
      </c>
      <c r="CW146" s="2">
        <f t="shared" si="112"/>
        <v>3587997.4198764227</v>
      </c>
      <c r="CX146" s="2">
        <f t="shared" si="113"/>
        <v>2208595.3945494425</v>
      </c>
      <c r="CZ146" s="41">
        <f t="shared" si="114"/>
        <v>0.67796610169491522</v>
      </c>
      <c r="DA146" s="41">
        <f t="shared" si="115"/>
        <v>0.25423728813559321</v>
      </c>
      <c r="DB146" s="41">
        <f t="shared" si="116"/>
        <v>6.7796610169491525E-2</v>
      </c>
      <c r="DD146" s="41">
        <f t="shared" si="117"/>
        <v>0.63492063492063489</v>
      </c>
      <c r="DE146" s="41">
        <f t="shared" si="118"/>
        <v>0.23809523809523811</v>
      </c>
      <c r="DF146" s="41">
        <f t="shared" si="119"/>
        <v>0.12698412698412698</v>
      </c>
      <c r="DH146" s="41">
        <f t="shared" si="120"/>
        <v>0.45977011494252878</v>
      </c>
      <c r="DI146" s="41">
        <f t="shared" si="121"/>
        <v>0.17241379310344832</v>
      </c>
      <c r="DJ146" s="41">
        <f t="shared" si="122"/>
        <v>0.36781609195402304</v>
      </c>
      <c r="DL146" s="2">
        <f>CT146/节奏总纲!D142</f>
        <v>386.42243969398925</v>
      </c>
      <c r="DM146" s="2">
        <f>CU146/节奏总纲!E142</f>
        <v>391.38477229488825</v>
      </c>
      <c r="DN146" s="2">
        <f>CV146/节奏总纲!F142</f>
        <v>411.84337678526907</v>
      </c>
      <c r="DO146" s="2">
        <f>CW146/节奏总纲!G142</f>
        <v>489.11709622800885</v>
      </c>
      <c r="DP146" s="2">
        <f>CX146/节奏总纲!H142</f>
        <v>563.30066472008775</v>
      </c>
      <c r="DR146" s="2">
        <f t="shared" si="123"/>
        <v>1.0128417299078922</v>
      </c>
      <c r="DS146" s="2">
        <f t="shared" si="124"/>
        <v>1.0657853542651685</v>
      </c>
      <c r="DT146" s="2">
        <f t="shared" si="125"/>
        <v>1.2657574871049007</v>
      </c>
      <c r="DU146" s="2">
        <f t="shared" si="126"/>
        <v>1.4577327992809364</v>
      </c>
      <c r="DY146" s="2">
        <v>139</v>
      </c>
      <c r="DZ146" s="2">
        <f t="shared" si="127"/>
        <v>139359984.96268255</v>
      </c>
      <c r="EA146" s="2">
        <f t="shared" si="128"/>
        <v>120087196.4769423</v>
      </c>
      <c r="EB146" s="2">
        <f t="shared" si="129"/>
        <v>102226584.389303</v>
      </c>
      <c r="EC146" s="2">
        <f t="shared" si="130"/>
        <v>72334027.984708697</v>
      </c>
      <c r="ED146" s="2">
        <f t="shared" si="131"/>
        <v>38383864.788031697</v>
      </c>
      <c r="EF146" s="57">
        <f t="shared" si="132"/>
        <v>0.6206896551724137</v>
      </c>
      <c r="EG146" s="57">
        <f t="shared" si="133"/>
        <v>0.25862068965517243</v>
      </c>
      <c r="EH146" s="41">
        <f t="shared" si="134"/>
        <v>0.12068965517241378</v>
      </c>
      <c r="EJ146" s="57">
        <f t="shared" si="135"/>
        <v>0.5714285714285714</v>
      </c>
      <c r="EK146" s="57">
        <f t="shared" si="136"/>
        <v>0.23809523809523811</v>
      </c>
      <c r="EL146" s="41">
        <f t="shared" si="137"/>
        <v>0.19047619047619047</v>
      </c>
      <c r="EN146" s="57">
        <f t="shared" si="138"/>
        <v>0.5714285714285714</v>
      </c>
      <c r="EO146" s="57">
        <f t="shared" si="139"/>
        <v>0.23809523809523811</v>
      </c>
      <c r="EP146" s="41">
        <f t="shared" si="140"/>
        <v>0.19047619047619047</v>
      </c>
    </row>
    <row r="147" spans="20:146" x14ac:dyDescent="0.15">
      <c r="T147" s="2">
        <v>140</v>
      </c>
      <c r="U147" s="2">
        <f>$N$8*SUM(C$11:C$12)/(365/12)*MAX(节奏总纲!D143-$E$2,0)</f>
        <v>343453.80821917806</v>
      </c>
      <c r="V147" s="2">
        <f>$N$8*SUM(D$11:D$12)/(365/12)*MAX(节奏总纲!E143-$E$2,0)</f>
        <v>290815.63318356167</v>
      </c>
      <c r="W147" s="2">
        <f>$N$8*SUM(E$11:E$12)/(365/12)*MAX(节奏总纲!F143-$E$2,0)</f>
        <v>230972.88802191781</v>
      </c>
      <c r="X147" s="2">
        <f>$N$8*SUM(F$11:F$12)/(365/12)*MAX(节奏总纲!G143-$E$2,0)</f>
        <v>163442.96995068493</v>
      </c>
      <c r="Y147" s="2">
        <f>$N$8*SUM(G$11:G$12)/(365/12)*MAX(节奏总纲!H143-$E$2,0)</f>
        <v>86950.428756164387</v>
      </c>
      <c r="Z147" s="2">
        <f>$O$8*SUM(C$11:C$12)/(365/12)*MAX(节奏总纲!D143-$E$2,0)</f>
        <v>3434538.0821917807</v>
      </c>
      <c r="AA147" s="2">
        <f>$O$8*SUM(D$11:D$12)/(365/12)*MAX(节奏总纲!E143-$E$2,0)</f>
        <v>2908156.3318356164</v>
      </c>
      <c r="AB147" s="2">
        <f>$O$8*SUM(E$11:E$12)/(365/12)*MAX(节奏总纲!F143-$E$2,0)</f>
        <v>2309728.8802191778</v>
      </c>
      <c r="AC147" s="2">
        <f>$O$8*SUM(F$11:F$12)/(365/12)*MAX(节奏总纲!G143-$E$2,0)</f>
        <v>1634429.6995068493</v>
      </c>
      <c r="AD147" s="2">
        <f>$O$8*SUM(G$11:G$12)/(365/12)*MAX(节奏总纲!H143-$E$2,0)</f>
        <v>869504.28756164387</v>
      </c>
      <c r="AE147" s="2">
        <f>$Q$8*SUM(C$11:C$12)/(365/12)*MAX(节奏总纲!D143-$E$2,0)</f>
        <v>4293172.6027397253</v>
      </c>
      <c r="AF147" s="2">
        <f>$Q$8*SUM(D$11:D$12)/(365/12)*MAX(节奏总纲!E143-$E$2,0)</f>
        <v>3635195.4147945205</v>
      </c>
      <c r="AG147" s="2">
        <f>$Q$8*SUM(E$11:E$12)/(365/12)*MAX(节奏总纲!F143-$E$2,0)</f>
        <v>2887161.1002739724</v>
      </c>
      <c r="AH147" s="2">
        <f>$Q$8*SUM(F$11:F$12)/(365/12)*MAX(节奏总纲!G143-$E$2,0)</f>
        <v>2043037.1243835615</v>
      </c>
      <c r="AI147" s="2">
        <f>$Q$8*SUM(G$11:G$12)/(365/12)*MAX(节奏总纲!H143-$E$2,0)</f>
        <v>1086880.3594520546</v>
      </c>
      <c r="AJ147" s="2">
        <f>$P$8*SUM(C$11:C$12)/(365/12)*MAX(节奏总纲!D143-$E$2,0)</f>
        <v>92732528.219178081</v>
      </c>
      <c r="AK147" s="2">
        <f>$P$8*SUM(D$11:D$12)/(365/12)*MAX(节奏总纲!E143-$E$2,0)</f>
        <v>78520220.959561646</v>
      </c>
      <c r="AL147" s="2">
        <f>$P$8*SUM(E$11:E$12)/(365/12)*MAX(节奏总纲!F143-$E$2,0)</f>
        <v>62362679.7659178</v>
      </c>
      <c r="AM147" s="2">
        <f>$P$8*SUM(F$11:F$12)/(365/12)*MAX(节奏总纲!G143-$E$2,0)</f>
        <v>44129601.886684932</v>
      </c>
      <c r="AN147" s="2">
        <f>$P$8*SUM(G$11:G$12)/(365/12)*MAX(节奏总纲!H143-$E$2,0)</f>
        <v>23476615.764164381</v>
      </c>
      <c r="BC147" s="2">
        <v>140</v>
      </c>
      <c r="BD147" s="2">
        <f>$AZ$8/(365/12)*MAX(节奏总纲!D143-$E$2,0)</f>
        <v>1609939.7260273972</v>
      </c>
      <c r="BE147" s="2">
        <f>$AZ$8/(365/12)*MAX(节奏总纲!E143-$E$2,0)</f>
        <v>1363198.2805479453</v>
      </c>
      <c r="BF147" s="2">
        <f>$AZ$8/(365/12)*MAX(节奏总纲!F143-$E$2,0)</f>
        <v>1082685.4126027396</v>
      </c>
      <c r="BG147" s="2">
        <f>$AZ$8/(365/12)*MAX(节奏总纲!G143-$E$2,0)</f>
        <v>766138.92164383561</v>
      </c>
      <c r="BH147" s="2">
        <f>$AZ$8/(365/12)*MAX(节奏总纲!H143-$E$2,0)</f>
        <v>407580.13479452056</v>
      </c>
      <c r="BI147" s="2">
        <f>$AY$8/(365/12)*MAX(节奏总纲!D143-$E$2,0)</f>
        <v>38638553.424657531</v>
      </c>
      <c r="BJ147" s="2">
        <f>$AY$8/(365/12)*MAX(节奏总纲!E143-$E$2,0)</f>
        <v>32716758.733150687</v>
      </c>
      <c r="BK147" s="2">
        <f>$AY$8/(365/12)*MAX(节奏总纲!F143-$E$2,0)</f>
        <v>25984449.902465753</v>
      </c>
      <c r="BL147" s="2">
        <f>$AY$8/(365/12)*MAX(节奏总纲!G143-$E$2,0)</f>
        <v>18387334.119452056</v>
      </c>
      <c r="BM147" s="2">
        <f>$AY$8/(365/12)*MAX(节奏总纲!H143-$E$2,0)</f>
        <v>9781923.2350684945</v>
      </c>
      <c r="CD147" s="2">
        <v>140</v>
      </c>
      <c r="CE147" s="2">
        <f>INDEX($BY$8:$BY$15,MATCH(CE$7,$CB$8:$CB$15,0))*SUM(C$11:C$12)/(365/12)*MAX(节奏总纲!D143-$E$2,0)</f>
        <v>429317.26027397258</v>
      </c>
      <c r="CF147" s="2">
        <f>INDEX($BY$8:$BY$15,MATCH(CF$7,$CB$8:$CB$15,0))*SUM(D$11:D$12)/(365/12)*MAX(节奏总纲!E143-$E$2,0)</f>
        <v>436223.44977534248</v>
      </c>
      <c r="CG147" s="2">
        <f>INDEX($BY$8:$BY$15,MATCH(CG$7,$CB$8:$CB$15,0))*SUM(E$11:E$12)/(365/12)*MAX(节奏总纲!F143-$E$2,0)</f>
        <v>577432.22005479445</v>
      </c>
      <c r="CH147" s="2">
        <f>INDEX($BY$8:$BY$15,MATCH(CH$7,$CB$8:$CB$15,0))*SUM(F$11:F$12)/(365/12)*MAX(节奏总纲!G143-$E$2,0)</f>
        <v>1021518.5621917808</v>
      </c>
      <c r="CI147" s="2">
        <f>INDEX($BY$8:$BY$15,MATCH(CI$7,$CB$8:$CB$15,0))*SUM(G$11:G$12)/(365/12)*MAX(节奏总纲!H143-$E$2,0)</f>
        <v>869504.28756164387</v>
      </c>
      <c r="CJ147" s="2">
        <f>INDEX($BZ$8:$BZ$15,MATCH(CE$7,$CB$8:$CB$15,0))*SUM(C$11:C$12)/(365/12)*MAX(节奏总纲!D143-$E$2,0)</f>
        <v>18031324.93150685</v>
      </c>
      <c r="CK147" s="2">
        <f>INDEX($BZ$8:$BZ$15,MATCH(CF$7,$CB$8:$CB$15,0))*SUM(D$11:D$12)/(365/12)*MAX(节奏总纲!E143-$E$2,0)</f>
        <v>17448937.991013702</v>
      </c>
      <c r="CL147" s="2">
        <f>INDEX($BZ$8:$BZ$15,MATCH(CG$7,$CB$8:$CB$15,0))*SUM(E$11:E$12)/(365/12)*MAX(节奏总纲!F143-$E$2,0)</f>
        <v>20787559.921972603</v>
      </c>
      <c r="CM147" s="2">
        <f>INDEX($BZ$8:$BZ$15,MATCH(CH$7,$CB$8:$CB$15,0))*SUM(F$11:F$12)/(365/12)*MAX(节奏总纲!G143-$E$2,0)</f>
        <v>14709867.295561643</v>
      </c>
      <c r="CN147" s="2">
        <f>INDEX($BZ$8:$BZ$15,MATCH(CI$7,$CB$8:$CB$15,0))*SUM(G$11:G$12)/(365/12)*MAX(节奏总纲!H143-$E$2,0)</f>
        <v>7825538.5880547939</v>
      </c>
      <c r="CS147" s="2">
        <v>140</v>
      </c>
      <c r="CT147" s="2">
        <f t="shared" si="109"/>
        <v>6332429.5890410952</v>
      </c>
      <c r="CU147" s="2">
        <f t="shared" si="110"/>
        <v>5434617.1451178091</v>
      </c>
      <c r="CV147" s="2">
        <f t="shared" si="111"/>
        <v>4547278.7329315059</v>
      </c>
      <c r="CW147" s="2">
        <f t="shared" si="112"/>
        <v>3830694.6082191779</v>
      </c>
      <c r="CX147" s="2">
        <f t="shared" si="113"/>
        <v>2363964.7818082189</v>
      </c>
      <c r="CZ147" s="41">
        <f t="shared" si="114"/>
        <v>0.67796610169491522</v>
      </c>
      <c r="DA147" s="41">
        <f t="shared" si="115"/>
        <v>0.25423728813559326</v>
      </c>
      <c r="DB147" s="41">
        <f t="shared" si="116"/>
        <v>6.7796610169491525E-2</v>
      </c>
      <c r="DD147" s="41">
        <f t="shared" si="117"/>
        <v>0.634920634920635</v>
      </c>
      <c r="DE147" s="41">
        <f t="shared" si="118"/>
        <v>0.23809523809523814</v>
      </c>
      <c r="DF147" s="41">
        <f t="shared" si="119"/>
        <v>0.126984126984127</v>
      </c>
      <c r="DH147" s="41">
        <f t="shared" si="120"/>
        <v>0.45977011494252873</v>
      </c>
      <c r="DI147" s="41">
        <f t="shared" si="121"/>
        <v>0.17241379310344832</v>
      </c>
      <c r="DJ147" s="41">
        <f t="shared" si="122"/>
        <v>0.36781609195402304</v>
      </c>
      <c r="DL147" s="2">
        <f>CT147/节奏总纲!D143</f>
        <v>386.52442098767597</v>
      </c>
      <c r="DM147" s="2">
        <f>CU147/节奏总纲!E143</f>
        <v>391.5059050790573</v>
      </c>
      <c r="DN147" s="2">
        <f>CV147/节奏总纲!F143</f>
        <v>411.99466965135707</v>
      </c>
      <c r="DO147" s="2">
        <f>CW147/节奏总纲!G143</f>
        <v>489.37068915697506</v>
      </c>
      <c r="DP147" s="2">
        <f>CX147/节奏总纲!H143</f>
        <v>563.86778749419909</v>
      </c>
      <c r="DR147" s="2">
        <f t="shared" si="123"/>
        <v>1.0128878896672358</v>
      </c>
      <c r="DS147" s="2">
        <f t="shared" si="124"/>
        <v>1.0658955742009719</v>
      </c>
      <c r="DT147" s="2">
        <f t="shared" si="125"/>
        <v>1.266079612528747</v>
      </c>
      <c r="DU147" s="2">
        <f t="shared" si="126"/>
        <v>1.458815425047044</v>
      </c>
      <c r="DY147" s="2">
        <v>140</v>
      </c>
      <c r="DZ147" s="2">
        <f t="shared" si="127"/>
        <v>149402406.57534245</v>
      </c>
      <c r="EA147" s="2">
        <f t="shared" si="128"/>
        <v>128685917.68372604</v>
      </c>
      <c r="EB147" s="2">
        <f t="shared" si="129"/>
        <v>109134689.59035616</v>
      </c>
      <c r="EC147" s="2">
        <f t="shared" si="130"/>
        <v>77226803.301698625</v>
      </c>
      <c r="ED147" s="2">
        <f t="shared" si="131"/>
        <v>41084077.587287664</v>
      </c>
      <c r="EF147" s="57">
        <f t="shared" si="132"/>
        <v>0.62068965517241381</v>
      </c>
      <c r="EG147" s="57">
        <f t="shared" si="133"/>
        <v>0.25862068965517243</v>
      </c>
      <c r="EH147" s="41">
        <f t="shared" si="134"/>
        <v>0.12068965517241381</v>
      </c>
      <c r="EJ147" s="57">
        <f t="shared" si="135"/>
        <v>0.5714285714285714</v>
      </c>
      <c r="EK147" s="57">
        <f t="shared" si="136"/>
        <v>0.23809523809523811</v>
      </c>
      <c r="EL147" s="41">
        <f t="shared" si="137"/>
        <v>0.19047619047619049</v>
      </c>
      <c r="EN147" s="57">
        <f t="shared" si="138"/>
        <v>0.57142857142857151</v>
      </c>
      <c r="EO147" s="57">
        <f t="shared" si="139"/>
        <v>0.23809523809523817</v>
      </c>
      <c r="EP147" s="41">
        <f t="shared" si="140"/>
        <v>0.19047619047619049</v>
      </c>
    </row>
    <row r="148" spans="20:146" x14ac:dyDescent="0.15">
      <c r="T148" s="2">
        <v>141</v>
      </c>
      <c r="U148" s="2">
        <f>$N$8*SUM(C$11:C$12)/(365/12)*MAX(节奏总纲!D144-$E$2,0)</f>
        <v>368196.79898710828</v>
      </c>
      <c r="V148" s="2">
        <f>$N$8*SUM(D$11:D$12)/(365/12)*MAX(节奏总纲!E144-$E$2,0)</f>
        <v>310967.55887879973</v>
      </c>
      <c r="W148" s="2">
        <f>$N$8*SUM(E$11:E$12)/(365/12)*MAX(节奏总纲!F144-$E$2,0)</f>
        <v>246792.48459336918</v>
      </c>
      <c r="X148" s="2">
        <f>$N$8*SUM(F$11:F$12)/(365/12)*MAX(节奏总纲!G144-$E$2,0)</f>
        <v>175080.4413072317</v>
      </c>
      <c r="Y148" s="2">
        <f>$N$8*SUM(G$11:G$12)/(365/12)*MAX(节奏总纲!H144-$E$2,0)</f>
        <v>93208.268240729609</v>
      </c>
      <c r="Z148" s="2">
        <f>$O$8*SUM(C$11:C$12)/(365/12)*MAX(节奏总纲!D144-$E$2,0)</f>
        <v>3681967.9898710828</v>
      </c>
      <c r="AA148" s="2">
        <f>$O$8*SUM(D$11:D$12)/(365/12)*MAX(节奏总纲!E144-$E$2,0)</f>
        <v>3109675.5887879976</v>
      </c>
      <c r="AB148" s="2">
        <f>$O$8*SUM(E$11:E$12)/(365/12)*MAX(节奏总纲!F144-$E$2,0)</f>
        <v>2467924.8459336916</v>
      </c>
      <c r="AC148" s="2">
        <f>$O$8*SUM(F$11:F$12)/(365/12)*MAX(节奏总纲!G144-$E$2,0)</f>
        <v>1750804.4130723171</v>
      </c>
      <c r="AD148" s="2">
        <f>$O$8*SUM(G$11:G$12)/(365/12)*MAX(节奏总纲!H144-$E$2,0)</f>
        <v>932082.68240729615</v>
      </c>
      <c r="AE148" s="2">
        <f>$Q$8*SUM(C$11:C$12)/(365/12)*MAX(节奏总纲!D144-$E$2,0)</f>
        <v>4602459.9873388531</v>
      </c>
      <c r="AF148" s="2">
        <f>$Q$8*SUM(D$11:D$12)/(365/12)*MAX(节奏总纲!E144-$E$2,0)</f>
        <v>3887094.4859849964</v>
      </c>
      <c r="AG148" s="2">
        <f>$Q$8*SUM(E$11:E$12)/(365/12)*MAX(节奏总纲!F144-$E$2,0)</f>
        <v>3084906.0574171147</v>
      </c>
      <c r="AH148" s="2">
        <f>$Q$8*SUM(F$11:F$12)/(365/12)*MAX(节奏总纲!G144-$E$2,0)</f>
        <v>2188505.5163403964</v>
      </c>
      <c r="AI148" s="2">
        <f>$Q$8*SUM(G$11:G$12)/(365/12)*MAX(节奏总纲!H144-$E$2,0)</f>
        <v>1165103.3530091201</v>
      </c>
      <c r="AJ148" s="2">
        <f>$P$8*SUM(C$11:C$12)/(365/12)*MAX(节奏总纲!D144-$E$2,0)</f>
        <v>99413135.726519242</v>
      </c>
      <c r="AK148" s="2">
        <f>$P$8*SUM(D$11:D$12)/(365/12)*MAX(节奏总纲!E144-$E$2,0)</f>
        <v>83961240.897275925</v>
      </c>
      <c r="AL148" s="2">
        <f>$P$8*SUM(E$11:E$12)/(365/12)*MAX(节奏总纲!F144-$E$2,0)</f>
        <v>66633970.840209678</v>
      </c>
      <c r="AM148" s="2">
        <f>$P$8*SUM(F$11:F$12)/(365/12)*MAX(节奏总纲!G144-$E$2,0)</f>
        <v>47271719.152952559</v>
      </c>
      <c r="AN148" s="2">
        <f>$P$8*SUM(G$11:G$12)/(365/12)*MAX(节奏总纲!H144-$E$2,0)</f>
        <v>25166232.424996994</v>
      </c>
      <c r="BC148" s="2">
        <v>141</v>
      </c>
      <c r="BD148" s="2">
        <f>$AZ$8/(365/12)*MAX(节奏总纲!D144-$E$2,0)</f>
        <v>1725922.4952520702</v>
      </c>
      <c r="BE148" s="2">
        <f>$AZ$8/(365/12)*MAX(节奏总纲!E144-$E$2,0)</f>
        <v>1457660.4322443737</v>
      </c>
      <c r="BF148" s="2">
        <f>$AZ$8/(365/12)*MAX(节奏总纲!F144-$E$2,0)</f>
        <v>1156839.771531418</v>
      </c>
      <c r="BG148" s="2">
        <f>$AZ$8/(365/12)*MAX(节奏总纲!G144-$E$2,0)</f>
        <v>820689.56862764864</v>
      </c>
      <c r="BH148" s="2">
        <f>$AZ$8/(365/12)*MAX(节奏总纲!H144-$E$2,0)</f>
        <v>436913.75737842004</v>
      </c>
      <c r="BI148" s="2">
        <f>$AY$8/(365/12)*MAX(节奏总纲!D144-$E$2,0)</f>
        <v>41422139.886049688</v>
      </c>
      <c r="BJ148" s="2">
        <f>$AY$8/(365/12)*MAX(节奏总纲!E144-$E$2,0)</f>
        <v>34983850.373864971</v>
      </c>
      <c r="BK148" s="2">
        <f>$AY$8/(365/12)*MAX(节奏总纲!F144-$E$2,0)</f>
        <v>27764154.516754035</v>
      </c>
      <c r="BL148" s="2">
        <f>$AY$8/(365/12)*MAX(节奏总纲!G144-$E$2,0)</f>
        <v>19696549.647063568</v>
      </c>
      <c r="BM148" s="2">
        <f>$AY$8/(365/12)*MAX(节奏总纲!H144-$E$2,0)</f>
        <v>10485930.177082082</v>
      </c>
      <c r="CD148" s="2">
        <v>141</v>
      </c>
      <c r="CE148" s="2">
        <f>INDEX($BY$8:$BY$15,MATCH(CE$7,$CB$8:$CB$15,0))*SUM(C$11:C$12)/(365/12)*MAX(节奏总纲!D144-$E$2,0)</f>
        <v>460245.99873388535</v>
      </c>
      <c r="CF148" s="2">
        <f>INDEX($BY$8:$BY$15,MATCH(CF$7,$CB$8:$CB$15,0))*SUM(D$11:D$12)/(365/12)*MAX(节奏总纲!E144-$E$2,0)</f>
        <v>466451.33831819962</v>
      </c>
      <c r="CG148" s="2">
        <f>INDEX($BY$8:$BY$15,MATCH(CG$7,$CB$8:$CB$15,0))*SUM(E$11:E$12)/(365/12)*MAX(节奏总纲!F144-$E$2,0)</f>
        <v>616981.2114834229</v>
      </c>
      <c r="CH148" s="2">
        <f>INDEX($BY$8:$BY$15,MATCH(CH$7,$CB$8:$CB$15,0))*SUM(F$11:F$12)/(365/12)*MAX(节奏总纲!G144-$E$2,0)</f>
        <v>1094252.7581701982</v>
      </c>
      <c r="CI148" s="2">
        <f>INDEX($BY$8:$BY$15,MATCH(CI$7,$CB$8:$CB$15,0))*SUM(G$11:G$12)/(365/12)*MAX(节奏总纲!H144-$E$2,0)</f>
        <v>932082.68240729615</v>
      </c>
      <c r="CJ148" s="2">
        <f>INDEX($BZ$8:$BZ$15,MATCH(CE$7,$CB$8:$CB$15,0))*SUM(C$11:C$12)/(365/12)*MAX(节奏总纲!D144-$E$2,0)</f>
        <v>19330331.946823187</v>
      </c>
      <c r="CK148" s="2">
        <f>INDEX($BZ$8:$BZ$15,MATCH(CF$7,$CB$8:$CB$15,0))*SUM(D$11:D$12)/(365/12)*MAX(节奏总纲!E144-$E$2,0)</f>
        <v>18658053.532727987</v>
      </c>
      <c r="CL148" s="2">
        <f>INDEX($BZ$8:$BZ$15,MATCH(CG$7,$CB$8:$CB$15,0))*SUM(E$11:E$12)/(365/12)*MAX(节奏总纲!F144-$E$2,0)</f>
        <v>22211323.613403227</v>
      </c>
      <c r="CM148" s="2">
        <f>INDEX($BZ$8:$BZ$15,MATCH(CH$7,$CB$8:$CB$15,0))*SUM(F$11:F$12)/(365/12)*MAX(节奏总纲!G144-$E$2,0)</f>
        <v>15757239.717650853</v>
      </c>
      <c r="CN148" s="2">
        <f>INDEX($BZ$8:$BZ$15,MATCH(CI$7,$CB$8:$CB$15,0))*SUM(G$11:G$12)/(365/12)*MAX(节奏总纲!H144-$E$2,0)</f>
        <v>8388744.1416656654</v>
      </c>
      <c r="CS148" s="2">
        <v>141</v>
      </c>
      <c r="CT148" s="2">
        <f t="shared" si="109"/>
        <v>6788628.4813248087</v>
      </c>
      <c r="CU148" s="2">
        <f t="shared" si="110"/>
        <v>5811206.2565475702</v>
      </c>
      <c r="CV148" s="2">
        <f t="shared" si="111"/>
        <v>4858727.0404319558</v>
      </c>
      <c r="CW148" s="2">
        <f t="shared" si="112"/>
        <v>4103447.8431382431</v>
      </c>
      <c r="CX148" s="2">
        <f t="shared" si="113"/>
        <v>2534099.7927948362</v>
      </c>
      <c r="CZ148" s="41">
        <f t="shared" si="114"/>
        <v>0.67796610169491522</v>
      </c>
      <c r="DA148" s="41">
        <f t="shared" si="115"/>
        <v>0.25423728813559326</v>
      </c>
      <c r="DB148" s="41">
        <f t="shared" si="116"/>
        <v>6.7796610169491525E-2</v>
      </c>
      <c r="DD148" s="41">
        <f t="shared" si="117"/>
        <v>0.63492063492063489</v>
      </c>
      <c r="DE148" s="41">
        <f t="shared" si="118"/>
        <v>0.23809523809523808</v>
      </c>
      <c r="DF148" s="41">
        <f t="shared" si="119"/>
        <v>0.12698412698412698</v>
      </c>
      <c r="DH148" s="41">
        <f t="shared" si="120"/>
        <v>0.45977011494252873</v>
      </c>
      <c r="DI148" s="41">
        <f t="shared" si="121"/>
        <v>0.17241379310344829</v>
      </c>
      <c r="DJ148" s="41">
        <f t="shared" si="122"/>
        <v>0.36781609195402304</v>
      </c>
      <c r="DL148" s="2">
        <f>CT148/节奏总纲!D144</f>
        <v>386.61957209340858</v>
      </c>
      <c r="DM148" s="2">
        <f>CU148/节奏总纲!E144</f>
        <v>391.61559887458031</v>
      </c>
      <c r="DN148" s="2">
        <f>CV148/节奏总纲!F144</f>
        <v>412.13828395738284</v>
      </c>
      <c r="DO148" s="2">
        <f>CW148/节奏总纲!G144</f>
        <v>489.62014400201087</v>
      </c>
      <c r="DP148" s="2">
        <f>CX148/节奏总纲!H144</f>
        <v>564.41010333809913</v>
      </c>
      <c r="DR148" s="2">
        <f t="shared" si="123"/>
        <v>1.0129223328092782</v>
      </c>
      <c r="DS148" s="2">
        <f t="shared" si="124"/>
        <v>1.0660047077435824</v>
      </c>
      <c r="DT148" s="2">
        <f t="shared" si="125"/>
        <v>1.2664132375681101</v>
      </c>
      <c r="DU148" s="2">
        <f t="shared" si="126"/>
        <v>1.4598591071890581</v>
      </c>
      <c r="DY148" s="2">
        <v>141</v>
      </c>
      <c r="DZ148" s="2">
        <f t="shared" si="127"/>
        <v>160165607.55939209</v>
      </c>
      <c r="EA148" s="2">
        <f t="shared" si="128"/>
        <v>137603144.80386889</v>
      </c>
      <c r="EB148" s="2">
        <f t="shared" si="129"/>
        <v>116609448.97036694</v>
      </c>
      <c r="EC148" s="2">
        <f t="shared" si="130"/>
        <v>82725508.517666981</v>
      </c>
      <c r="ED148" s="2">
        <f t="shared" si="131"/>
        <v>44040906.743744746</v>
      </c>
      <c r="EF148" s="57">
        <f t="shared" si="132"/>
        <v>0.62068965517241381</v>
      </c>
      <c r="EG148" s="57">
        <f t="shared" si="133"/>
        <v>0.25862068965517249</v>
      </c>
      <c r="EH148" s="41">
        <f t="shared" si="134"/>
        <v>0.12068965517241381</v>
      </c>
      <c r="EJ148" s="57">
        <f t="shared" si="135"/>
        <v>0.5714285714285714</v>
      </c>
      <c r="EK148" s="57">
        <f t="shared" si="136"/>
        <v>0.23809523809523811</v>
      </c>
      <c r="EL148" s="41">
        <f t="shared" si="137"/>
        <v>0.19047619047619049</v>
      </c>
      <c r="EN148" s="57">
        <f t="shared" si="138"/>
        <v>0.5714285714285714</v>
      </c>
      <c r="EO148" s="57">
        <f t="shared" si="139"/>
        <v>0.23809523809523808</v>
      </c>
      <c r="EP148" s="41">
        <f t="shared" si="140"/>
        <v>0.19047619047619047</v>
      </c>
    </row>
    <row r="149" spans="20:146" x14ac:dyDescent="0.15">
      <c r="T149" s="2">
        <v>142</v>
      </c>
      <c r="U149" s="2">
        <f>$N$8*SUM(C$11:C$12)/(365/12)*MAX(节奏总纲!D145-$E$2,0)</f>
        <v>394715.67987595737</v>
      </c>
      <c r="V149" s="2">
        <f>$N$8*SUM(D$11:D$12)/(365/12)*MAX(节奏总纲!E145-$E$2,0)</f>
        <v>333378.66511796607</v>
      </c>
      <c r="W149" s="2">
        <f>$N$8*SUM(E$11:E$12)/(365/12)*MAX(节奏总纲!F145-$E$2,0)</f>
        <v>265270.4240697124</v>
      </c>
      <c r="X149" s="2">
        <f>$N$8*SUM(F$11:F$12)/(365/12)*MAX(节奏总纲!G145-$E$2,0)</f>
        <v>188173.47911567171</v>
      </c>
      <c r="Y149" s="2">
        <f>$N$8*SUM(G$11:G$12)/(365/12)*MAX(节奏总纲!H145-$E$2,0)</f>
        <v>100226.73297138594</v>
      </c>
      <c r="Z149" s="2">
        <f>$O$8*SUM(C$11:C$12)/(365/12)*MAX(节奏总纲!D145-$E$2,0)</f>
        <v>3947156.7987595736</v>
      </c>
      <c r="AA149" s="2">
        <f>$O$8*SUM(D$11:D$12)/(365/12)*MAX(节奏总纲!E145-$E$2,0)</f>
        <v>3333786.651179661</v>
      </c>
      <c r="AB149" s="2">
        <f>$O$8*SUM(E$11:E$12)/(365/12)*MAX(节奏总纲!F145-$E$2,0)</f>
        <v>2652704.240697124</v>
      </c>
      <c r="AC149" s="2">
        <f>$O$8*SUM(F$11:F$12)/(365/12)*MAX(节奏总纲!G145-$E$2,0)</f>
        <v>1881734.7911567171</v>
      </c>
      <c r="AD149" s="2">
        <f>$O$8*SUM(G$11:G$12)/(365/12)*MAX(节奏总纲!H145-$E$2,0)</f>
        <v>1002267.3297138594</v>
      </c>
      <c r="AE149" s="2">
        <f>$Q$8*SUM(C$11:C$12)/(365/12)*MAX(节奏总纲!D145-$E$2,0)</f>
        <v>4933945.9984494671</v>
      </c>
      <c r="AF149" s="2">
        <f>$Q$8*SUM(D$11:D$12)/(365/12)*MAX(节奏总纲!E145-$E$2,0)</f>
        <v>4167233.3139745756</v>
      </c>
      <c r="AG149" s="2">
        <f>$Q$8*SUM(E$11:E$12)/(365/12)*MAX(节奏总纲!F145-$E$2,0)</f>
        <v>3315880.3008714048</v>
      </c>
      <c r="AH149" s="2">
        <f>$Q$8*SUM(F$11:F$12)/(365/12)*MAX(节奏总纲!G145-$E$2,0)</f>
        <v>2352168.4889458963</v>
      </c>
      <c r="AI149" s="2">
        <f>$Q$8*SUM(G$11:G$12)/(365/12)*MAX(节奏总纲!H145-$E$2,0)</f>
        <v>1252834.1621423243</v>
      </c>
      <c r="AJ149" s="2">
        <f>$P$8*SUM(C$11:C$12)/(365/12)*MAX(节奏总纲!D145-$E$2,0)</f>
        <v>106573233.56650849</v>
      </c>
      <c r="AK149" s="2">
        <f>$P$8*SUM(D$11:D$12)/(365/12)*MAX(节奏总纲!E145-$E$2,0)</f>
        <v>90012239.581850842</v>
      </c>
      <c r="AL149" s="2">
        <f>$P$8*SUM(E$11:E$12)/(365/12)*MAX(节奏总纲!F145-$E$2,0)</f>
        <v>71623014.498822346</v>
      </c>
      <c r="AM149" s="2">
        <f>$P$8*SUM(F$11:F$12)/(365/12)*MAX(节奏总纲!G145-$E$2,0)</f>
        <v>50806839.361231357</v>
      </c>
      <c r="AN149" s="2">
        <f>$P$8*SUM(G$11:G$12)/(365/12)*MAX(节奏总纲!H145-$E$2,0)</f>
        <v>27061217.902274203</v>
      </c>
      <c r="BC149" s="2">
        <v>142</v>
      </c>
      <c r="BD149" s="2">
        <f>$AZ$8/(365/12)*MAX(节奏总纲!D145-$E$2,0)</f>
        <v>1850229.7494185502</v>
      </c>
      <c r="BE149" s="2">
        <f>$AZ$8/(365/12)*MAX(节奏总纲!E145-$E$2,0)</f>
        <v>1562712.492740466</v>
      </c>
      <c r="BF149" s="2">
        <f>$AZ$8/(365/12)*MAX(节奏总纲!F145-$E$2,0)</f>
        <v>1243455.1128267769</v>
      </c>
      <c r="BG149" s="2">
        <f>$AZ$8/(365/12)*MAX(节奏总纲!G145-$E$2,0)</f>
        <v>882063.18335471116</v>
      </c>
      <c r="BH149" s="2">
        <f>$AZ$8/(365/12)*MAX(节奏总纲!H145-$E$2,0)</f>
        <v>469812.8108033716</v>
      </c>
      <c r="BI149" s="2">
        <f>$AY$8/(365/12)*MAX(节奏总纲!D145-$E$2,0)</f>
        <v>44405513.986045204</v>
      </c>
      <c r="BJ149" s="2">
        <f>$AY$8/(365/12)*MAX(节奏总纲!E145-$E$2,0)</f>
        <v>37505099.82577119</v>
      </c>
      <c r="BK149" s="2">
        <f>$AY$8/(365/12)*MAX(节奏总纲!F145-$E$2,0)</f>
        <v>29842922.707842648</v>
      </c>
      <c r="BL149" s="2">
        <f>$AY$8/(365/12)*MAX(节奏总纲!G145-$E$2,0)</f>
        <v>21169516.400513068</v>
      </c>
      <c r="BM149" s="2">
        <f>$AY$8/(365/12)*MAX(节奏总纲!H145-$E$2,0)</f>
        <v>11275507.459280919</v>
      </c>
      <c r="CD149" s="2">
        <v>142</v>
      </c>
      <c r="CE149" s="2">
        <f>INDEX($BY$8:$BY$15,MATCH(CE$7,$CB$8:$CB$15,0))*SUM(C$11:C$12)/(365/12)*MAX(节奏总纲!D145-$E$2,0)</f>
        <v>493394.5998449467</v>
      </c>
      <c r="CF149" s="2">
        <f>INDEX($BY$8:$BY$15,MATCH(CF$7,$CB$8:$CB$15,0))*SUM(D$11:D$12)/(365/12)*MAX(节奏总纲!E145-$E$2,0)</f>
        <v>500067.99767694913</v>
      </c>
      <c r="CG149" s="2">
        <f>INDEX($BY$8:$BY$15,MATCH(CG$7,$CB$8:$CB$15,0))*SUM(E$11:E$12)/(365/12)*MAX(节奏总纲!F145-$E$2,0)</f>
        <v>663176.06017428101</v>
      </c>
      <c r="CH149" s="2">
        <f>INDEX($BY$8:$BY$15,MATCH(CH$7,$CB$8:$CB$15,0))*SUM(F$11:F$12)/(365/12)*MAX(节奏总纲!G145-$E$2,0)</f>
        <v>1176084.2444729481</v>
      </c>
      <c r="CI149" s="2">
        <f>INDEX($BY$8:$BY$15,MATCH(CI$7,$CB$8:$CB$15,0))*SUM(G$11:G$12)/(365/12)*MAX(节奏总纲!H145-$E$2,0)</f>
        <v>1002267.3297138594</v>
      </c>
      <c r="CJ149" s="2">
        <f>INDEX($BZ$8:$BZ$15,MATCH(CE$7,$CB$8:$CB$15,0))*SUM(C$11:C$12)/(365/12)*MAX(节奏总纲!D145-$E$2,0)</f>
        <v>20722573.193487763</v>
      </c>
      <c r="CK149" s="2">
        <f>INDEX($BZ$8:$BZ$15,MATCH(CF$7,$CB$8:$CB$15,0))*SUM(D$11:D$12)/(365/12)*MAX(节奏总纲!E145-$E$2,0)</f>
        <v>20002719.907077968</v>
      </c>
      <c r="CL149" s="2">
        <f>INDEX($BZ$8:$BZ$15,MATCH(CG$7,$CB$8:$CB$15,0))*SUM(E$11:E$12)/(365/12)*MAX(节奏总纲!F145-$E$2,0)</f>
        <v>23874338.166274115</v>
      </c>
      <c r="CM149" s="2">
        <f>INDEX($BZ$8:$BZ$15,MATCH(CH$7,$CB$8:$CB$15,0))*SUM(F$11:F$12)/(365/12)*MAX(节奏总纲!G145-$E$2,0)</f>
        <v>16935613.120410454</v>
      </c>
      <c r="CN149" s="2">
        <f>INDEX($BZ$8:$BZ$15,MATCH(CI$7,$CB$8:$CB$15,0))*SUM(G$11:G$12)/(365/12)*MAX(节奏总纲!H145-$E$2,0)</f>
        <v>9020405.9674247336</v>
      </c>
      <c r="CS149" s="2">
        <v>142</v>
      </c>
      <c r="CT149" s="2">
        <f t="shared" si="109"/>
        <v>7277570.3477129638</v>
      </c>
      <c r="CU149" s="2">
        <f t="shared" si="110"/>
        <v>6230013.8043919904</v>
      </c>
      <c r="CV149" s="2">
        <f t="shared" si="111"/>
        <v>5222511.4738724623</v>
      </c>
      <c r="CW149" s="2">
        <f t="shared" si="112"/>
        <v>4410315.9167735558</v>
      </c>
      <c r="CX149" s="2">
        <f t="shared" si="113"/>
        <v>2724914.3026595553</v>
      </c>
      <c r="CZ149" s="41">
        <f t="shared" si="114"/>
        <v>0.67796610169491522</v>
      </c>
      <c r="DA149" s="41">
        <f t="shared" si="115"/>
        <v>0.25423728813559321</v>
      </c>
      <c r="DB149" s="41">
        <f t="shared" si="116"/>
        <v>6.7796610169491525E-2</v>
      </c>
      <c r="DD149" s="41">
        <f t="shared" si="117"/>
        <v>0.634920634920635</v>
      </c>
      <c r="DE149" s="41">
        <f t="shared" si="118"/>
        <v>0.23809523809523814</v>
      </c>
      <c r="DF149" s="41">
        <f t="shared" si="119"/>
        <v>0.126984126984127</v>
      </c>
      <c r="DH149" s="41">
        <f t="shared" si="120"/>
        <v>0.45977011494252873</v>
      </c>
      <c r="DI149" s="41">
        <f t="shared" si="121"/>
        <v>0.17241379310344826</v>
      </c>
      <c r="DJ149" s="41">
        <f t="shared" si="122"/>
        <v>0.36781609195402298</v>
      </c>
      <c r="DL149" s="2">
        <f>CT149/节奏总纲!D145</f>
        <v>386.70835051276026</v>
      </c>
      <c r="DM149" s="2">
        <f>CU149/节奏总纲!E145</f>
        <v>391.72207407814113</v>
      </c>
      <c r="DN149" s="2">
        <f>CV149/节奏总纲!F145</f>
        <v>412.28444558358171</v>
      </c>
      <c r="DO149" s="2">
        <f>CW149/节奏总纲!G145</f>
        <v>489.86416055286179</v>
      </c>
      <c r="DP149" s="2">
        <f>CX149/节奏总纲!H145</f>
        <v>564.93877038951871</v>
      </c>
      <c r="DR149" s="2">
        <f t="shared" si="123"/>
        <v>1.0129651287817625</v>
      </c>
      <c r="DS149" s="2">
        <f t="shared" si="124"/>
        <v>1.0661379435869656</v>
      </c>
      <c r="DT149" s="2">
        <f t="shared" si="125"/>
        <v>1.2667535105029952</v>
      </c>
      <c r="DU149" s="2">
        <f t="shared" si="126"/>
        <v>1.4608910555989594</v>
      </c>
      <c r="DY149" s="2">
        <v>142</v>
      </c>
      <c r="DZ149" s="2">
        <f t="shared" si="127"/>
        <v>171701320.74604145</v>
      </c>
      <c r="EA149" s="2">
        <f t="shared" si="128"/>
        <v>147520059.31470001</v>
      </c>
      <c r="EB149" s="2">
        <f t="shared" si="129"/>
        <v>125340275.37293911</v>
      </c>
      <c r="EC149" s="2">
        <f t="shared" si="130"/>
        <v>88911968.882154882</v>
      </c>
      <c r="ED149" s="2">
        <f t="shared" si="131"/>
        <v>47357131.328979857</v>
      </c>
      <c r="EF149" s="57">
        <f t="shared" si="132"/>
        <v>0.62068965517241381</v>
      </c>
      <c r="EG149" s="57">
        <f t="shared" si="133"/>
        <v>0.25862068965517243</v>
      </c>
      <c r="EH149" s="41">
        <f t="shared" si="134"/>
        <v>0.12068965517241381</v>
      </c>
      <c r="EJ149" s="57">
        <f t="shared" si="135"/>
        <v>0.5714285714285714</v>
      </c>
      <c r="EK149" s="57">
        <f t="shared" si="136"/>
        <v>0.23809523809523811</v>
      </c>
      <c r="EL149" s="41">
        <f t="shared" si="137"/>
        <v>0.19047619047619047</v>
      </c>
      <c r="EN149" s="57">
        <f t="shared" si="138"/>
        <v>0.5714285714285714</v>
      </c>
      <c r="EO149" s="57">
        <f t="shared" si="139"/>
        <v>0.23809523809523811</v>
      </c>
      <c r="EP149" s="41">
        <f t="shared" si="140"/>
        <v>0.19047619047619047</v>
      </c>
    </row>
    <row r="150" spans="20:146" x14ac:dyDescent="0.15">
      <c r="T150" s="2">
        <v>143</v>
      </c>
      <c r="U150" s="2">
        <f>$N$8*SUM(C$11:C$12)/(365/12)*MAX(节奏总纲!D146-$E$2,0)</f>
        <v>423137.91266878665</v>
      </c>
      <c r="V150" s="2">
        <f>$N$8*SUM(D$11:D$12)/(365/12)*MAX(节奏总纲!E146-$E$2,0)</f>
        <v>357822.69442960829</v>
      </c>
      <c r="W150" s="2">
        <f>$N$8*SUM(E$11:E$12)/(365/12)*MAX(节奏总纲!F146-$E$2,0)</f>
        <v>284783.38930314576</v>
      </c>
      <c r="X150" s="2">
        <f>$N$8*SUM(F$11:F$12)/(365/12)*MAX(节奏总纲!G146-$E$2,0)</f>
        <v>202195.07566218343</v>
      </c>
      <c r="Y150" s="2">
        <f>$N$8*SUM(G$11:G$12)/(365/12)*MAX(节奏总纲!H146-$E$2,0)</f>
        <v>107850.87153892587</v>
      </c>
      <c r="Z150" s="2">
        <f>$O$8*SUM(C$11:C$12)/(365/12)*MAX(节奏总纲!D146-$E$2,0)</f>
        <v>4231379.1266878666</v>
      </c>
      <c r="AA150" s="2">
        <f>$O$8*SUM(D$11:D$12)/(365/12)*MAX(节奏总纲!E146-$E$2,0)</f>
        <v>3578226.9442960829</v>
      </c>
      <c r="AB150" s="2">
        <f>$O$8*SUM(E$11:E$12)/(365/12)*MAX(节奏总纲!F146-$E$2,0)</f>
        <v>2847833.8930314574</v>
      </c>
      <c r="AC150" s="2">
        <f>$O$8*SUM(F$11:F$12)/(365/12)*MAX(节奏总纲!G146-$E$2,0)</f>
        <v>2021950.7566218341</v>
      </c>
      <c r="AD150" s="2">
        <f>$O$8*SUM(G$11:G$12)/(365/12)*MAX(节奏总纲!H146-$E$2,0)</f>
        <v>1078508.7153892587</v>
      </c>
      <c r="AE150" s="2">
        <f>$Q$8*SUM(C$11:C$12)/(365/12)*MAX(节奏总纲!D146-$E$2,0)</f>
        <v>5289223.9083598331</v>
      </c>
      <c r="AF150" s="2">
        <f>$Q$8*SUM(D$11:D$12)/(365/12)*MAX(节奏总纲!E146-$E$2,0)</f>
        <v>4472783.6803701036</v>
      </c>
      <c r="AG150" s="2">
        <f>$Q$8*SUM(E$11:E$12)/(365/12)*MAX(节奏总纲!F146-$E$2,0)</f>
        <v>3559792.3662893218</v>
      </c>
      <c r="AH150" s="2">
        <f>$Q$8*SUM(F$11:F$12)/(365/12)*MAX(节奏总纲!G146-$E$2,0)</f>
        <v>2527438.4457772928</v>
      </c>
      <c r="AI150" s="2">
        <f>$Q$8*SUM(G$11:G$12)/(365/12)*MAX(节奏总纲!H146-$E$2,0)</f>
        <v>1348135.8942365733</v>
      </c>
      <c r="AJ150" s="2">
        <f>$P$8*SUM(C$11:C$12)/(365/12)*MAX(节奏总纲!D146-$E$2,0)</f>
        <v>114247236.42057239</v>
      </c>
      <c r="AK150" s="2">
        <f>$P$8*SUM(D$11:D$12)/(365/12)*MAX(节奏总纲!E146-$E$2,0)</f>
        <v>96612127.495994225</v>
      </c>
      <c r="AL150" s="2">
        <f>$P$8*SUM(E$11:E$12)/(365/12)*MAX(节奏总纲!F146-$E$2,0)</f>
        <v>76891515.111849353</v>
      </c>
      <c r="AM150" s="2">
        <f>$P$8*SUM(F$11:F$12)/(365/12)*MAX(节奏总纲!G146-$E$2,0)</f>
        <v>54592670.428789526</v>
      </c>
      <c r="AN150" s="2">
        <f>$P$8*SUM(G$11:G$12)/(365/12)*MAX(节奏总纲!H146-$E$2,0)</f>
        <v>29119735.315509986</v>
      </c>
      <c r="BC150" s="2">
        <v>143</v>
      </c>
      <c r="BD150" s="2">
        <f>$AZ$8/(365/12)*MAX(节奏总纲!D146-$E$2,0)</f>
        <v>1983458.9656349374</v>
      </c>
      <c r="BE150" s="2">
        <f>$AZ$8/(365/12)*MAX(节奏总纲!E146-$E$2,0)</f>
        <v>1677293.8801387888</v>
      </c>
      <c r="BF150" s="2">
        <f>$AZ$8/(365/12)*MAX(节奏总纲!F146-$E$2,0)</f>
        <v>1334922.1373584957</v>
      </c>
      <c r="BG150" s="2">
        <f>$AZ$8/(365/12)*MAX(节奏总纲!G146-$E$2,0)</f>
        <v>947789.41716648487</v>
      </c>
      <c r="BH150" s="2">
        <f>$AZ$8/(365/12)*MAX(节奏总纲!H146-$E$2,0)</f>
        <v>505550.96033871506</v>
      </c>
      <c r="BI150" s="2">
        <f>$AY$8/(365/12)*MAX(节奏总纲!D146-$E$2,0)</f>
        <v>47603015.175238498</v>
      </c>
      <c r="BJ150" s="2">
        <f>$AY$8/(365/12)*MAX(节奏总纲!E146-$E$2,0)</f>
        <v>40255053.123330936</v>
      </c>
      <c r="BK150" s="2">
        <f>$AY$8/(365/12)*MAX(节奏总纲!F146-$E$2,0)</f>
        <v>32038131.296603899</v>
      </c>
      <c r="BL150" s="2">
        <f>$AY$8/(365/12)*MAX(节奏总纲!G146-$E$2,0)</f>
        <v>22746946.011995636</v>
      </c>
      <c r="BM150" s="2">
        <f>$AY$8/(365/12)*MAX(节奏总纲!H146-$E$2,0)</f>
        <v>12133223.048129162</v>
      </c>
      <c r="CD150" s="2">
        <v>143</v>
      </c>
      <c r="CE150" s="2">
        <f>INDEX($BY$8:$BY$15,MATCH(CE$7,$CB$8:$CB$15,0))*SUM(C$11:C$12)/(365/12)*MAX(节奏总纲!D146-$E$2,0)</f>
        <v>528922.39083598333</v>
      </c>
      <c r="CF150" s="2">
        <f>INDEX($BY$8:$BY$15,MATCH(CF$7,$CB$8:$CB$15,0))*SUM(D$11:D$12)/(365/12)*MAX(节奏总纲!E146-$E$2,0)</f>
        <v>536734.04164441244</v>
      </c>
      <c r="CG150" s="2">
        <f>INDEX($BY$8:$BY$15,MATCH(CG$7,$CB$8:$CB$15,0))*SUM(E$11:E$12)/(365/12)*MAX(节奏总纲!F146-$E$2,0)</f>
        <v>711958.47325786436</v>
      </c>
      <c r="CH150" s="2">
        <f>INDEX($BY$8:$BY$15,MATCH(CH$7,$CB$8:$CB$15,0))*SUM(F$11:F$12)/(365/12)*MAX(节奏总纲!G146-$E$2,0)</f>
        <v>1263719.2228886464</v>
      </c>
      <c r="CI150" s="2">
        <f>INDEX($BY$8:$BY$15,MATCH(CI$7,$CB$8:$CB$15,0))*SUM(G$11:G$12)/(365/12)*MAX(节奏总纲!H146-$E$2,0)</f>
        <v>1078508.7153892587</v>
      </c>
      <c r="CJ150" s="2">
        <f>INDEX($BZ$8:$BZ$15,MATCH(CE$7,$CB$8:$CB$15,0))*SUM(C$11:C$12)/(365/12)*MAX(节奏总纲!D146-$E$2,0)</f>
        <v>22214740.4151113</v>
      </c>
      <c r="CK150" s="2">
        <f>INDEX($BZ$8:$BZ$15,MATCH(CF$7,$CB$8:$CB$15,0))*SUM(D$11:D$12)/(365/12)*MAX(节奏总纲!E146-$E$2,0)</f>
        <v>21469361.665776499</v>
      </c>
      <c r="CL150" s="2">
        <f>INDEX($BZ$8:$BZ$15,MATCH(CG$7,$CB$8:$CB$15,0))*SUM(E$11:E$12)/(365/12)*MAX(节奏总纲!F146-$E$2,0)</f>
        <v>25630505.037283119</v>
      </c>
      <c r="CM150" s="2">
        <f>INDEX($BZ$8:$BZ$15,MATCH(CH$7,$CB$8:$CB$15,0))*SUM(F$11:F$12)/(365/12)*MAX(节奏总纲!G146-$E$2,0)</f>
        <v>18197556.809596509</v>
      </c>
      <c r="CN150" s="2">
        <f>INDEX($BZ$8:$BZ$15,MATCH(CI$7,$CB$8:$CB$15,0))*SUM(G$11:G$12)/(365/12)*MAX(节奏总纲!H146-$E$2,0)</f>
        <v>9706578.4385033287</v>
      </c>
      <c r="CS150" s="2">
        <v>143</v>
      </c>
      <c r="CT150" s="2">
        <f t="shared" si="109"/>
        <v>7801605.2648307541</v>
      </c>
      <c r="CU150" s="2">
        <f t="shared" si="110"/>
        <v>6686811.602153304</v>
      </c>
      <c r="CV150" s="2">
        <f t="shared" si="111"/>
        <v>5606672.9769056812</v>
      </c>
      <c r="CW150" s="2">
        <f t="shared" si="112"/>
        <v>4738947.0858324245</v>
      </c>
      <c r="CX150" s="2">
        <f t="shared" si="113"/>
        <v>2932195.5699645467</v>
      </c>
      <c r="CZ150" s="41">
        <f t="shared" si="114"/>
        <v>0.67796610169491522</v>
      </c>
      <c r="DA150" s="41">
        <f t="shared" si="115"/>
        <v>0.25423728813559321</v>
      </c>
      <c r="DB150" s="41">
        <f t="shared" si="116"/>
        <v>6.7796610169491525E-2</v>
      </c>
      <c r="DD150" s="41">
        <f t="shared" si="117"/>
        <v>0.634920634920635</v>
      </c>
      <c r="DE150" s="41">
        <f t="shared" si="118"/>
        <v>0.23809523809523814</v>
      </c>
      <c r="DF150" s="41">
        <f t="shared" si="119"/>
        <v>0.126984126984127</v>
      </c>
      <c r="DH150" s="41">
        <f t="shared" si="120"/>
        <v>0.45977011494252873</v>
      </c>
      <c r="DI150" s="41">
        <f t="shared" si="121"/>
        <v>0.17241379310344832</v>
      </c>
      <c r="DJ150" s="41">
        <f t="shared" si="122"/>
        <v>0.36781609195402304</v>
      </c>
      <c r="DL150" s="2">
        <f>CT150/节奏总纲!D146</f>
        <v>386.79118309628666</v>
      </c>
      <c r="DM150" s="2">
        <f>CU150/节奏总纲!E146</f>
        <v>391.82305403627282</v>
      </c>
      <c r="DN150" s="2">
        <f>CV150/节奏总纲!F146</f>
        <v>412.41829464691114</v>
      </c>
      <c r="DO150" s="2">
        <f>CW150/节奏总纲!G146</f>
        <v>490.09065655078359</v>
      </c>
      <c r="DP150" s="2">
        <f>CX150/节奏总纲!H146</f>
        <v>565.43599240995377</v>
      </c>
      <c r="DR150" s="2">
        <f t="shared" si="123"/>
        <v>1.0130092700141347</v>
      </c>
      <c r="DS150" s="2">
        <f t="shared" si="124"/>
        <v>1.0662556766301596</v>
      </c>
      <c r="DT150" s="2">
        <f t="shared" si="125"/>
        <v>1.26706780808078</v>
      </c>
      <c r="DU150" s="2">
        <f t="shared" si="126"/>
        <v>1.4618637061052031</v>
      </c>
      <c r="DY150" s="2">
        <v>143</v>
      </c>
      <c r="DZ150" s="2">
        <f t="shared" si="127"/>
        <v>184064992.01092219</v>
      </c>
      <c r="EA150" s="2">
        <f t="shared" si="128"/>
        <v>158336542.28510165</v>
      </c>
      <c r="EB150" s="2">
        <f t="shared" si="129"/>
        <v>134560151.44573638</v>
      </c>
      <c r="EC150" s="2">
        <f t="shared" si="130"/>
        <v>95537173.250381678</v>
      </c>
      <c r="ED150" s="2">
        <f t="shared" si="131"/>
        <v>50959536.802142471</v>
      </c>
      <c r="EF150" s="57">
        <f t="shared" si="132"/>
        <v>0.6206896551724137</v>
      </c>
      <c r="EG150" s="57">
        <f t="shared" si="133"/>
        <v>0.25862068965517243</v>
      </c>
      <c r="EH150" s="41">
        <f t="shared" si="134"/>
        <v>0.1206896551724138</v>
      </c>
      <c r="EJ150" s="57">
        <f t="shared" si="135"/>
        <v>0.5714285714285714</v>
      </c>
      <c r="EK150" s="57">
        <f t="shared" si="136"/>
        <v>0.23809523809523808</v>
      </c>
      <c r="EL150" s="41">
        <f t="shared" si="137"/>
        <v>0.19047619047619047</v>
      </c>
      <c r="EN150" s="57">
        <f t="shared" si="138"/>
        <v>0.57142857142857151</v>
      </c>
      <c r="EO150" s="57">
        <f t="shared" si="139"/>
        <v>0.23809523809523814</v>
      </c>
      <c r="EP150" s="41">
        <f t="shared" si="140"/>
        <v>0.19047619047619049</v>
      </c>
    </row>
    <row r="151" spans="20:146" x14ac:dyDescent="0.15">
      <c r="T151" s="2">
        <v>144</v>
      </c>
      <c r="U151" s="2">
        <f>$N$8*SUM(C$11:C$12)/(365/12)*MAX(节奏总纲!D147-$E$2,0)</f>
        <v>453600.10752216907</v>
      </c>
      <c r="V151" s="2">
        <f>$N$8*SUM(D$11:D$12)/(365/12)*MAX(节奏总纲!E147-$E$2,0)</f>
        <v>383596.75749505521</v>
      </c>
      <c r="W151" s="2">
        <f>$N$8*SUM(E$11:E$12)/(365/12)*MAX(节奏总纲!F147-$E$2,0)</f>
        <v>305633.31243561843</v>
      </c>
      <c r="X151" s="2">
        <f>$N$8*SUM(F$11:F$12)/(365/12)*MAX(节奏总纲!G147-$E$2,0)</f>
        <v>217162.54193351546</v>
      </c>
      <c r="Y151" s="2">
        <f>$N$8*SUM(G$11:G$12)/(365/12)*MAX(节奏总纲!H147-$E$2,0)</f>
        <v>115455.27054909269</v>
      </c>
      <c r="Z151" s="2">
        <f>$O$8*SUM(C$11:C$12)/(365/12)*MAX(节奏总纲!D147-$E$2,0)</f>
        <v>4536001.0752216903</v>
      </c>
      <c r="AA151" s="2">
        <f>$O$8*SUM(D$11:D$12)/(365/12)*MAX(节奏总纲!E147-$E$2,0)</f>
        <v>3835967.5749505516</v>
      </c>
      <c r="AB151" s="2">
        <f>$O$8*SUM(E$11:E$12)/(365/12)*MAX(节奏总纲!F147-$E$2,0)</f>
        <v>3056333.1243561842</v>
      </c>
      <c r="AC151" s="2">
        <f>$O$8*SUM(F$11:F$12)/(365/12)*MAX(节奏总纲!G147-$E$2,0)</f>
        <v>2171625.4193351544</v>
      </c>
      <c r="AD151" s="2">
        <f>$O$8*SUM(G$11:G$12)/(365/12)*MAX(节奏总纲!H147-$E$2,0)</f>
        <v>1154552.7054909267</v>
      </c>
      <c r="AE151" s="2">
        <f>$Q$8*SUM(C$11:C$12)/(365/12)*MAX(节奏总纲!D147-$E$2,0)</f>
        <v>5670001.3440271132</v>
      </c>
      <c r="AF151" s="2">
        <f>$Q$8*SUM(D$11:D$12)/(365/12)*MAX(节奏总纲!E147-$E$2,0)</f>
        <v>4794959.46868819</v>
      </c>
      <c r="AG151" s="2">
        <f>$Q$8*SUM(E$11:E$12)/(365/12)*MAX(节奏总纲!F147-$E$2,0)</f>
        <v>3820416.4054452302</v>
      </c>
      <c r="AH151" s="2">
        <f>$Q$8*SUM(F$11:F$12)/(365/12)*MAX(节奏总纲!G147-$E$2,0)</f>
        <v>2714531.7741689431</v>
      </c>
      <c r="AI151" s="2">
        <f>$Q$8*SUM(G$11:G$12)/(365/12)*MAX(节奏总纲!H147-$E$2,0)</f>
        <v>1443190.8818636585</v>
      </c>
      <c r="AJ151" s="2">
        <f>$P$8*SUM(C$11:C$12)/(365/12)*MAX(节奏总纲!D147-$E$2,0)</f>
        <v>122472029.03098564</v>
      </c>
      <c r="AK151" s="2">
        <f>$P$8*SUM(D$11:D$12)/(365/12)*MAX(节奏总纲!E147-$E$2,0)</f>
        <v>103571124.52366489</v>
      </c>
      <c r="AL151" s="2">
        <f>$P$8*SUM(E$11:E$12)/(365/12)*MAX(节奏总纲!F147-$E$2,0)</f>
        <v>82520994.357616976</v>
      </c>
      <c r="AM151" s="2">
        <f>$P$8*SUM(F$11:F$12)/(365/12)*MAX(节奏总纲!G147-$E$2,0)</f>
        <v>58633886.322049171</v>
      </c>
      <c r="AN151" s="2">
        <f>$P$8*SUM(G$11:G$12)/(365/12)*MAX(节奏总纲!H147-$E$2,0)</f>
        <v>31172923.048255023</v>
      </c>
      <c r="BC151" s="2">
        <v>144</v>
      </c>
      <c r="BD151" s="2">
        <f>$AZ$8/(365/12)*MAX(节奏总纲!D147-$E$2,0)</f>
        <v>2126250.5040101674</v>
      </c>
      <c r="BE151" s="2">
        <f>$AZ$8/(365/12)*MAX(节奏总纲!E147-$E$2,0)</f>
        <v>1798109.8007580712</v>
      </c>
      <c r="BF151" s="2">
        <f>$AZ$8/(365/12)*MAX(节奏总纲!F147-$E$2,0)</f>
        <v>1432656.1520419614</v>
      </c>
      <c r="BG151" s="2">
        <f>$AZ$8/(365/12)*MAX(节奏总纲!G147-$E$2,0)</f>
        <v>1017949.4153133538</v>
      </c>
      <c r="BH151" s="2">
        <f>$AZ$8/(365/12)*MAX(节奏总纲!H147-$E$2,0)</f>
        <v>541196.58069887199</v>
      </c>
      <c r="BI151" s="2">
        <f>$AY$8/(365/12)*MAX(节奏总纲!D147-$E$2,0)</f>
        <v>51030012.096244022</v>
      </c>
      <c r="BJ151" s="2">
        <f>$AY$8/(365/12)*MAX(节奏总纲!E147-$E$2,0)</f>
        <v>43154635.21819371</v>
      </c>
      <c r="BK151" s="2">
        <f>$AY$8/(365/12)*MAX(节奏总纲!F147-$E$2,0)</f>
        <v>34383747.649007075</v>
      </c>
      <c r="BL151" s="2">
        <f>$AY$8/(365/12)*MAX(节奏总纲!G147-$E$2,0)</f>
        <v>24430785.96752049</v>
      </c>
      <c r="BM151" s="2">
        <f>$AY$8/(365/12)*MAX(节奏总纲!H147-$E$2,0)</f>
        <v>12988717.936772928</v>
      </c>
      <c r="CD151" s="2">
        <v>144</v>
      </c>
      <c r="CE151" s="2">
        <f>INDEX($BY$8:$BY$15,MATCH(CE$7,$CB$8:$CB$15,0))*SUM(C$11:C$12)/(365/12)*MAX(节奏总纲!D147-$E$2,0)</f>
        <v>567000.13440271129</v>
      </c>
      <c r="CF151" s="2">
        <f>INDEX($BY$8:$BY$15,MATCH(CF$7,$CB$8:$CB$15,0))*SUM(D$11:D$12)/(365/12)*MAX(节奏总纲!E147-$E$2,0)</f>
        <v>575395.13624258281</v>
      </c>
      <c r="CG151" s="2">
        <f>INDEX($BY$8:$BY$15,MATCH(CG$7,$CB$8:$CB$15,0))*SUM(E$11:E$12)/(365/12)*MAX(节奏总纲!F147-$E$2,0)</f>
        <v>764083.28108904604</v>
      </c>
      <c r="CH151" s="2">
        <f>INDEX($BY$8:$BY$15,MATCH(CH$7,$CB$8:$CB$15,0))*SUM(F$11:F$12)/(365/12)*MAX(节奏总纲!G147-$E$2,0)</f>
        <v>1357265.8870844715</v>
      </c>
      <c r="CI151" s="2">
        <f>INDEX($BY$8:$BY$15,MATCH(CI$7,$CB$8:$CB$15,0))*SUM(G$11:G$12)/(365/12)*MAX(节奏总纲!H147-$E$2,0)</f>
        <v>1154552.7054909267</v>
      </c>
      <c r="CJ151" s="2">
        <f>INDEX($BZ$8:$BZ$15,MATCH(CE$7,$CB$8:$CB$15,0))*SUM(C$11:C$12)/(365/12)*MAX(节奏总纲!D147-$E$2,0)</f>
        <v>23814005.644913875</v>
      </c>
      <c r="CK151" s="2">
        <f>INDEX($BZ$8:$BZ$15,MATCH(CF$7,$CB$8:$CB$15,0))*SUM(D$11:D$12)/(365/12)*MAX(节奏总纲!E147-$E$2,0)</f>
        <v>23015805.449703313</v>
      </c>
      <c r="CL151" s="2">
        <f>INDEX($BZ$8:$BZ$15,MATCH(CG$7,$CB$8:$CB$15,0))*SUM(E$11:E$12)/(365/12)*MAX(节奏总纲!F147-$E$2,0)</f>
        <v>27506998.119205657</v>
      </c>
      <c r="CM151" s="2">
        <f>INDEX($BZ$8:$BZ$15,MATCH(CH$7,$CB$8:$CB$15,0))*SUM(F$11:F$12)/(365/12)*MAX(节奏总纲!G147-$E$2,0)</f>
        <v>19544628.774016391</v>
      </c>
      <c r="CN151" s="2">
        <f>INDEX($BZ$8:$BZ$15,MATCH(CI$7,$CB$8:$CB$15,0))*SUM(G$11:G$12)/(365/12)*MAX(节奏总纲!H147-$E$2,0)</f>
        <v>10390974.349418342</v>
      </c>
      <c r="CS151" s="2">
        <v>144</v>
      </c>
      <c r="CT151" s="2">
        <f t="shared" si="109"/>
        <v>8363251.9824399911</v>
      </c>
      <c r="CU151" s="2">
        <f t="shared" si="110"/>
        <v>7168464.4056888437</v>
      </c>
      <c r="CV151" s="2">
        <f t="shared" si="111"/>
        <v>6017155.8385762377</v>
      </c>
      <c r="CW151" s="2">
        <f t="shared" si="112"/>
        <v>5089747.0765667688</v>
      </c>
      <c r="CX151" s="2">
        <f t="shared" si="113"/>
        <v>3138940.1680534575</v>
      </c>
      <c r="CZ151" s="41">
        <f t="shared" si="114"/>
        <v>0.67796610169491534</v>
      </c>
      <c r="DA151" s="41">
        <f t="shared" si="115"/>
        <v>0.25423728813559326</v>
      </c>
      <c r="DB151" s="41">
        <f t="shared" si="116"/>
        <v>6.7796610169491525E-2</v>
      </c>
      <c r="DD151" s="41">
        <f t="shared" si="117"/>
        <v>0.63492063492063489</v>
      </c>
      <c r="DE151" s="41">
        <f t="shared" si="118"/>
        <v>0.23809523809523811</v>
      </c>
      <c r="DF151" s="41">
        <f t="shared" si="119"/>
        <v>0.12698412698412698</v>
      </c>
      <c r="DH151" s="41">
        <f t="shared" si="120"/>
        <v>0.45977011494252873</v>
      </c>
      <c r="DI151" s="41">
        <f t="shared" si="121"/>
        <v>0.17241379310344829</v>
      </c>
      <c r="DJ151" s="41">
        <f t="shared" si="122"/>
        <v>0.36781609195402293</v>
      </c>
      <c r="DL151" s="2">
        <f>CT151/节奏总纲!D147</f>
        <v>386.8684680978817</v>
      </c>
      <c r="DM151" s="2">
        <f>CU151/节奏总纲!E147</f>
        <v>391.91563521322604</v>
      </c>
      <c r="DN151" s="2">
        <f>CV151/节奏总纲!F147</f>
        <v>412.54250460571819</v>
      </c>
      <c r="DO151" s="2">
        <f>CW151/节奏总纲!G147</f>
        <v>490.30034349122514</v>
      </c>
      <c r="DP151" s="2">
        <f>CX151/节奏总纲!H147</f>
        <v>565.86722089169757</v>
      </c>
      <c r="DR151" s="2">
        <f t="shared" si="123"/>
        <v>1.0130462095816695</v>
      </c>
      <c r="DS151" s="2">
        <f t="shared" si="124"/>
        <v>1.0663637350287765</v>
      </c>
      <c r="DT151" s="2">
        <f t="shared" si="125"/>
        <v>1.2673566959382538</v>
      </c>
      <c r="DU151" s="2">
        <f t="shared" si="126"/>
        <v>1.4626863328352915</v>
      </c>
      <c r="DY151" s="2">
        <v>144</v>
      </c>
      <c r="DZ151" s="2">
        <f t="shared" si="127"/>
        <v>197316046.77214354</v>
      </c>
      <c r="EA151" s="2">
        <f t="shared" si="128"/>
        <v>169741565.19156191</v>
      </c>
      <c r="EB151" s="2">
        <f t="shared" si="129"/>
        <v>144411740.1258297</v>
      </c>
      <c r="EC151" s="2">
        <f t="shared" si="130"/>
        <v>102609301.06358606</v>
      </c>
      <c r="ED151" s="2">
        <f t="shared" si="131"/>
        <v>54552615.334446296</v>
      </c>
      <c r="EF151" s="57">
        <f t="shared" si="132"/>
        <v>0.6206896551724137</v>
      </c>
      <c r="EG151" s="57">
        <f t="shared" si="133"/>
        <v>0.25862068965517243</v>
      </c>
      <c r="EH151" s="41">
        <f t="shared" si="134"/>
        <v>0.12068965517241378</v>
      </c>
      <c r="EJ151" s="57">
        <f t="shared" si="135"/>
        <v>0.57142857142857151</v>
      </c>
      <c r="EK151" s="57">
        <f t="shared" si="136"/>
        <v>0.23809523809523811</v>
      </c>
      <c r="EL151" s="41">
        <f t="shared" si="137"/>
        <v>0.19047619047619049</v>
      </c>
      <c r="EN151" s="57">
        <f t="shared" si="138"/>
        <v>0.5714285714285714</v>
      </c>
      <c r="EO151" s="57">
        <f t="shared" si="139"/>
        <v>0.23809523809523808</v>
      </c>
      <c r="EP151" s="41">
        <f t="shared" si="140"/>
        <v>0.19047619047619047</v>
      </c>
    </row>
    <row r="152" spans="20:146" x14ac:dyDescent="0.15">
      <c r="T152" s="2">
        <v>145</v>
      </c>
      <c r="U152" s="2">
        <f>$N$8*SUM(C$11:C$12)/(365/12)*MAX(节奏总纲!D148-$E$2,0)</f>
        <v>486248.67957663484</v>
      </c>
      <c r="V152" s="2">
        <f>$N$8*SUM(D$11:D$12)/(365/12)*MAX(节奏总纲!E148-$E$2,0)</f>
        <v>411805.7276847348</v>
      </c>
      <c r="W152" s="2">
        <f>$N$8*SUM(E$11:E$12)/(365/12)*MAX(节奏总纲!F148-$E$2,0)</f>
        <v>328051.31291703053</v>
      </c>
      <c r="X152" s="2">
        <f>$N$8*SUM(F$11:F$12)/(365/12)*MAX(节奏总纲!G148-$E$2,0)</f>
        <v>232401.62620327284</v>
      </c>
      <c r="Y152" s="2">
        <f>$N$8*SUM(G$11:G$12)/(365/12)*MAX(节奏总纲!H148-$E$2,0)</f>
        <v>123442.88522200458</v>
      </c>
      <c r="Z152" s="2">
        <f>$O$8*SUM(C$11:C$12)/(365/12)*MAX(节奏总纲!D148-$E$2,0)</f>
        <v>4862486.795766349</v>
      </c>
      <c r="AA152" s="2">
        <f>$O$8*SUM(D$11:D$12)/(365/12)*MAX(节奏总纲!E148-$E$2,0)</f>
        <v>4118057.2768473481</v>
      </c>
      <c r="AB152" s="2">
        <f>$O$8*SUM(E$11:E$12)/(365/12)*MAX(节奏总纲!F148-$E$2,0)</f>
        <v>3280513.1291703056</v>
      </c>
      <c r="AC152" s="2">
        <f>$O$8*SUM(F$11:F$12)/(365/12)*MAX(节奏总纲!G148-$E$2,0)</f>
        <v>2324016.2620327286</v>
      </c>
      <c r="AD152" s="2">
        <f>$O$8*SUM(G$11:G$12)/(365/12)*MAX(节奏总纲!H148-$E$2,0)</f>
        <v>1234428.8522200459</v>
      </c>
      <c r="AE152" s="2">
        <f>$Q$8*SUM(C$11:C$12)/(365/12)*MAX(节奏总纲!D148-$E$2,0)</f>
        <v>6078108.4947079355</v>
      </c>
      <c r="AF152" s="2">
        <f>$Q$8*SUM(D$11:D$12)/(365/12)*MAX(节奏总纲!E148-$E$2,0)</f>
        <v>5147571.5960591845</v>
      </c>
      <c r="AG152" s="2">
        <f>$Q$8*SUM(E$11:E$12)/(365/12)*MAX(节奏总纲!F148-$E$2,0)</f>
        <v>4100641.4114628816</v>
      </c>
      <c r="AH152" s="2">
        <f>$Q$8*SUM(F$11:F$12)/(365/12)*MAX(节奏总纲!G148-$E$2,0)</f>
        <v>2905020.3275409103</v>
      </c>
      <c r="AI152" s="2">
        <f>$Q$8*SUM(G$11:G$12)/(365/12)*MAX(节奏总纲!H148-$E$2,0)</f>
        <v>1543036.0652750572</v>
      </c>
      <c r="AJ152" s="2">
        <f>$P$8*SUM(C$11:C$12)/(365/12)*MAX(节奏总纲!D148-$E$2,0)</f>
        <v>131287143.4856914</v>
      </c>
      <c r="AK152" s="2">
        <f>$P$8*SUM(D$11:D$12)/(365/12)*MAX(节奏总纲!E148-$E$2,0)</f>
        <v>111187546.47487839</v>
      </c>
      <c r="AL152" s="2">
        <f>$P$8*SUM(E$11:E$12)/(365/12)*MAX(节奏总纲!F148-$E$2,0)</f>
        <v>88573854.48759824</v>
      </c>
      <c r="AM152" s="2">
        <f>$P$8*SUM(F$11:F$12)/(365/12)*MAX(节奏总纲!G148-$E$2,0)</f>
        <v>62748439.07488367</v>
      </c>
      <c r="AN152" s="2">
        <f>$P$8*SUM(G$11:G$12)/(365/12)*MAX(节奏总纲!H148-$E$2,0)</f>
        <v>33329579.009941239</v>
      </c>
      <c r="BC152" s="2">
        <v>145</v>
      </c>
      <c r="BD152" s="2">
        <f>$AZ$8/(365/12)*MAX(节奏总纲!D148-$E$2,0)</f>
        <v>2279290.6855154759</v>
      </c>
      <c r="BE152" s="2">
        <f>$AZ$8/(365/12)*MAX(节奏总纲!E148-$E$2,0)</f>
        <v>1930339.3485221944</v>
      </c>
      <c r="BF152" s="2">
        <f>$AZ$8/(365/12)*MAX(节奏总纲!F148-$E$2,0)</f>
        <v>1537740.5292985807</v>
      </c>
      <c r="BG152" s="2">
        <f>$AZ$8/(365/12)*MAX(节奏总纲!G148-$E$2,0)</f>
        <v>1089382.6228278414</v>
      </c>
      <c r="BH152" s="2">
        <f>$AZ$8/(365/12)*MAX(节奏总纲!H148-$E$2,0)</f>
        <v>578638.52447814646</v>
      </c>
      <c r="BI152" s="2">
        <f>$AY$8/(365/12)*MAX(节奏总纲!D148-$E$2,0)</f>
        <v>54702976.452371426</v>
      </c>
      <c r="BJ152" s="2">
        <f>$AY$8/(365/12)*MAX(节奏总纲!E148-$E$2,0)</f>
        <v>46328144.364532664</v>
      </c>
      <c r="BK152" s="2">
        <f>$AY$8/(365/12)*MAX(节奏总纲!F148-$E$2,0)</f>
        <v>36905772.703165941</v>
      </c>
      <c r="BL152" s="2">
        <f>$AY$8/(365/12)*MAX(节奏总纲!G148-$E$2,0)</f>
        <v>26145182.947868198</v>
      </c>
      <c r="BM152" s="2">
        <f>$AY$8/(365/12)*MAX(节奏总纲!H148-$E$2,0)</f>
        <v>13887324.587475516</v>
      </c>
      <c r="CD152" s="2">
        <v>145</v>
      </c>
      <c r="CE152" s="2">
        <f>INDEX($BY$8:$BY$15,MATCH(CE$7,$CB$8:$CB$15,0))*SUM(C$11:C$12)/(365/12)*MAX(节奏总纲!D148-$E$2,0)</f>
        <v>607810.84947079362</v>
      </c>
      <c r="CF152" s="2">
        <f>INDEX($BY$8:$BY$15,MATCH(CF$7,$CB$8:$CB$15,0))*SUM(D$11:D$12)/(365/12)*MAX(节奏总纲!E148-$E$2,0)</f>
        <v>617708.59152710217</v>
      </c>
      <c r="CG152" s="2">
        <f>INDEX($BY$8:$BY$15,MATCH(CG$7,$CB$8:$CB$15,0))*SUM(E$11:E$12)/(365/12)*MAX(节奏总纲!F148-$E$2,0)</f>
        <v>820128.28229257639</v>
      </c>
      <c r="CH152" s="2">
        <f>INDEX($BY$8:$BY$15,MATCH(CH$7,$CB$8:$CB$15,0))*SUM(F$11:F$12)/(365/12)*MAX(节奏总纲!G148-$E$2,0)</f>
        <v>1452510.1637704552</v>
      </c>
      <c r="CI152" s="2">
        <f>INDEX($BY$8:$BY$15,MATCH(CI$7,$CB$8:$CB$15,0))*SUM(G$11:G$12)/(365/12)*MAX(节奏总纲!H148-$E$2,0)</f>
        <v>1234428.8522200459</v>
      </c>
      <c r="CJ152" s="2">
        <f>INDEX($BZ$8:$BZ$15,MATCH(CE$7,$CB$8:$CB$15,0))*SUM(C$11:C$12)/(365/12)*MAX(节奏总纲!D148-$E$2,0)</f>
        <v>25528055.67777333</v>
      </c>
      <c r="CK152" s="2">
        <f>INDEX($BZ$8:$BZ$15,MATCH(CF$7,$CB$8:$CB$15,0))*SUM(D$11:D$12)/(365/12)*MAX(节奏总纲!E148-$E$2,0)</f>
        <v>24708343.661084089</v>
      </c>
      <c r="CL152" s="2">
        <f>INDEX($BZ$8:$BZ$15,MATCH(CG$7,$CB$8:$CB$15,0))*SUM(E$11:E$12)/(365/12)*MAX(节奏总纲!F148-$E$2,0)</f>
        <v>29524618.162532751</v>
      </c>
      <c r="CM152" s="2">
        <f>INDEX($BZ$8:$BZ$15,MATCH(CH$7,$CB$8:$CB$15,0))*SUM(F$11:F$12)/(365/12)*MAX(节奏总纲!G148-$E$2,0)</f>
        <v>20916146.358294554</v>
      </c>
      <c r="CN152" s="2">
        <f>INDEX($BZ$8:$BZ$15,MATCH(CI$7,$CB$8:$CB$15,0))*SUM(G$11:G$12)/(365/12)*MAX(节奏总纲!H148-$E$2,0)</f>
        <v>11109859.669980412</v>
      </c>
      <c r="CS152" s="2">
        <v>145</v>
      </c>
      <c r="CT152" s="2">
        <f t="shared" si="109"/>
        <v>8965210.0296942052</v>
      </c>
      <c r="CU152" s="2">
        <f t="shared" si="110"/>
        <v>7695619.5361084817</v>
      </c>
      <c r="CV152" s="2">
        <f t="shared" si="111"/>
        <v>6458510.2230540384</v>
      </c>
      <c r="CW152" s="2">
        <f t="shared" si="112"/>
        <v>5446913.1141392067</v>
      </c>
      <c r="CX152" s="2">
        <f t="shared" si="113"/>
        <v>3356103.4419732494</v>
      </c>
      <c r="CZ152" s="41">
        <f t="shared" si="114"/>
        <v>0.67796610169491522</v>
      </c>
      <c r="DA152" s="41">
        <f t="shared" si="115"/>
        <v>0.25423728813559321</v>
      </c>
      <c r="DB152" s="41">
        <f t="shared" si="116"/>
        <v>6.7796610169491525E-2</v>
      </c>
      <c r="DD152" s="41">
        <f t="shared" si="117"/>
        <v>0.63492063492063489</v>
      </c>
      <c r="DE152" s="41">
        <f t="shared" si="118"/>
        <v>0.23809523809523811</v>
      </c>
      <c r="DF152" s="41">
        <f t="shared" si="119"/>
        <v>0.126984126984127</v>
      </c>
      <c r="DH152" s="41">
        <f t="shared" si="120"/>
        <v>0.45977011494252873</v>
      </c>
      <c r="DI152" s="41">
        <f t="shared" si="121"/>
        <v>0.17241379310344829</v>
      </c>
      <c r="DJ152" s="41">
        <f t="shared" si="122"/>
        <v>0.36781609195402304</v>
      </c>
      <c r="DL152" s="2">
        <f>CT152/节奏总纲!D148</f>
        <v>386.94057709133278</v>
      </c>
      <c r="DM152" s="2">
        <f>CU152/节奏总纲!E148</f>
        <v>392.00372037267539</v>
      </c>
      <c r="DN152" s="2">
        <f>CV152/节奏总纲!F148</f>
        <v>412.65850904000268</v>
      </c>
      <c r="DO152" s="2">
        <f>CW152/节奏总纲!G148</f>
        <v>490.48623680945934</v>
      </c>
      <c r="DP152" s="2">
        <f>CX152/节奏总纲!H148</f>
        <v>566.26354673915262</v>
      </c>
      <c r="DR152" s="2">
        <f t="shared" si="123"/>
        <v>1.0130850667547009</v>
      </c>
      <c r="DS152" s="2">
        <f t="shared" si="124"/>
        <v>1.0664648100284388</v>
      </c>
      <c r="DT152" s="2">
        <f t="shared" si="125"/>
        <v>1.2676009337053473</v>
      </c>
      <c r="DU152" s="2">
        <f t="shared" si="126"/>
        <v>1.4634380064138188</v>
      </c>
      <c r="DY152" s="2">
        <v>145</v>
      </c>
      <c r="DZ152" s="2">
        <f t="shared" si="127"/>
        <v>211518175.61583614</v>
      </c>
      <c r="EA152" s="2">
        <f t="shared" si="128"/>
        <v>182224034.50049514</v>
      </c>
      <c r="EB152" s="2">
        <f t="shared" si="129"/>
        <v>155004245.35329694</v>
      </c>
      <c r="EC152" s="2">
        <f t="shared" si="130"/>
        <v>109809768.38104641</v>
      </c>
      <c r="ED152" s="2">
        <f t="shared" si="131"/>
        <v>58326763.267397173</v>
      </c>
      <c r="EF152" s="57">
        <f t="shared" si="132"/>
        <v>0.62068965517241381</v>
      </c>
      <c r="EG152" s="57">
        <f t="shared" si="133"/>
        <v>0.25862068965517243</v>
      </c>
      <c r="EH152" s="41">
        <f t="shared" si="134"/>
        <v>0.12068965517241381</v>
      </c>
      <c r="EJ152" s="57">
        <f t="shared" si="135"/>
        <v>0.5714285714285714</v>
      </c>
      <c r="EK152" s="57">
        <f t="shared" si="136"/>
        <v>0.23809523809523811</v>
      </c>
      <c r="EL152" s="41">
        <f t="shared" si="137"/>
        <v>0.19047619047619049</v>
      </c>
      <c r="EN152" s="57">
        <f t="shared" si="138"/>
        <v>0.5714285714285714</v>
      </c>
      <c r="EO152" s="57">
        <f t="shared" si="139"/>
        <v>0.23809523809523808</v>
      </c>
      <c r="EP152" s="41">
        <f t="shared" si="140"/>
        <v>0.19047619047619044</v>
      </c>
    </row>
    <row r="153" spans="20:146" x14ac:dyDescent="0.15">
      <c r="T153" s="2">
        <v>146</v>
      </c>
      <c r="U153" s="2">
        <f>$N$8*SUM(C$11:C$12)/(365/12)*MAX(节奏总纲!D149-$E$2,0)</f>
        <v>521240.55269431439</v>
      </c>
      <c r="V153" s="2">
        <f>$N$8*SUM(D$11:D$12)/(365/12)*MAX(节奏总纲!E149-$E$2,0)</f>
        <v>441349.84117365512</v>
      </c>
      <c r="W153" s="2">
        <f>$N$8*SUM(E$11:E$12)/(365/12)*MAX(节奏总纲!F149-$E$2,0)</f>
        <v>350538.81656743807</v>
      </c>
      <c r="X153" s="2">
        <f>$N$8*SUM(F$11:F$12)/(365/12)*MAX(节奏总纲!G149-$E$2,0)</f>
        <v>248023.72434799167</v>
      </c>
      <c r="Y153" s="2">
        <f>$N$8*SUM(G$11:G$12)/(365/12)*MAX(节奏总纲!H149-$E$2,0)</f>
        <v>131819.05304521447</v>
      </c>
      <c r="Z153" s="2">
        <f>$O$8*SUM(C$11:C$12)/(365/12)*MAX(节奏总纲!D149-$E$2,0)</f>
        <v>5212405.5269431444</v>
      </c>
      <c r="AA153" s="2">
        <f>$O$8*SUM(D$11:D$12)/(365/12)*MAX(节奏总纲!E149-$E$2,0)</f>
        <v>4413498.4117365507</v>
      </c>
      <c r="AB153" s="2">
        <f>$O$8*SUM(E$11:E$12)/(365/12)*MAX(节奏总纲!F149-$E$2,0)</f>
        <v>3505388.165674381</v>
      </c>
      <c r="AC153" s="2">
        <f>$O$8*SUM(F$11:F$12)/(365/12)*MAX(节奏总纲!G149-$E$2,0)</f>
        <v>2480237.2434799168</v>
      </c>
      <c r="AD153" s="2">
        <f>$O$8*SUM(G$11:G$12)/(365/12)*MAX(节奏总纲!H149-$E$2,0)</f>
        <v>1318190.5304521448</v>
      </c>
      <c r="AE153" s="2">
        <f>$Q$8*SUM(C$11:C$12)/(365/12)*MAX(节奏总纲!D149-$E$2,0)</f>
        <v>6515506.9086789293</v>
      </c>
      <c r="AF153" s="2">
        <f>$Q$8*SUM(D$11:D$12)/(365/12)*MAX(节奏总纲!E149-$E$2,0)</f>
        <v>5516873.0146706887</v>
      </c>
      <c r="AG153" s="2">
        <f>$Q$8*SUM(E$11:E$12)/(365/12)*MAX(节奏总纲!F149-$E$2,0)</f>
        <v>4381735.2070929762</v>
      </c>
      <c r="AH153" s="2">
        <f>$Q$8*SUM(F$11:F$12)/(365/12)*MAX(节奏总纲!G149-$E$2,0)</f>
        <v>3100296.5543498956</v>
      </c>
      <c r="AI153" s="2">
        <f>$Q$8*SUM(G$11:G$12)/(365/12)*MAX(节奏总纲!H149-$E$2,0)</f>
        <v>1647738.1630651809</v>
      </c>
      <c r="AJ153" s="2">
        <f>$P$8*SUM(C$11:C$12)/(365/12)*MAX(节奏总纲!D149-$E$2,0)</f>
        <v>140734949.22746488</v>
      </c>
      <c r="AK153" s="2">
        <f>$P$8*SUM(D$11:D$12)/(365/12)*MAX(节奏总纲!E149-$E$2,0)</f>
        <v>119164457.11688688</v>
      </c>
      <c r="AL153" s="2">
        <f>$P$8*SUM(E$11:E$12)/(365/12)*MAX(节奏总纲!F149-$E$2,0)</f>
        <v>94645480.473208278</v>
      </c>
      <c r="AM153" s="2">
        <f>$P$8*SUM(F$11:F$12)/(365/12)*MAX(节奏总纲!G149-$E$2,0)</f>
        <v>66966405.573957749</v>
      </c>
      <c r="AN153" s="2">
        <f>$P$8*SUM(G$11:G$12)/(365/12)*MAX(节奏总纲!H149-$E$2,0)</f>
        <v>35591144.322207905</v>
      </c>
      <c r="BC153" s="2">
        <v>146</v>
      </c>
      <c r="BD153" s="2">
        <f>$AZ$8/(365/12)*MAX(节奏总纲!D149-$E$2,0)</f>
        <v>2443315.0907545988</v>
      </c>
      <c r="BE153" s="2">
        <f>$AZ$8/(365/12)*MAX(节奏总纲!E149-$E$2,0)</f>
        <v>2068827.3805015085</v>
      </c>
      <c r="BF153" s="2">
        <f>$AZ$8/(365/12)*MAX(节奏总纲!F149-$E$2,0)</f>
        <v>1643150.7026598661</v>
      </c>
      <c r="BG153" s="2">
        <f>$AZ$8/(365/12)*MAX(节奏总纲!G149-$E$2,0)</f>
        <v>1162611.2078812108</v>
      </c>
      <c r="BH153" s="2">
        <f>$AZ$8/(365/12)*MAX(节奏总纲!H149-$E$2,0)</f>
        <v>617901.81114944292</v>
      </c>
      <c r="BI153" s="2">
        <f>$AY$8/(365/12)*MAX(节奏总纲!D149-$E$2,0)</f>
        <v>58639562.178110376</v>
      </c>
      <c r="BJ153" s="2">
        <f>$AY$8/(365/12)*MAX(节奏总纲!E149-$E$2,0)</f>
        <v>49651857.132036202</v>
      </c>
      <c r="BK153" s="2">
        <f>$AY$8/(365/12)*MAX(节奏总纲!F149-$E$2,0)</f>
        <v>39435616.863836788</v>
      </c>
      <c r="BL153" s="2">
        <f>$AY$8/(365/12)*MAX(节奏总纲!G149-$E$2,0)</f>
        <v>27902668.989149064</v>
      </c>
      <c r="BM153" s="2">
        <f>$AY$8/(365/12)*MAX(节奏总纲!H149-$E$2,0)</f>
        <v>14829643.467586629</v>
      </c>
      <c r="CD153" s="2">
        <v>146</v>
      </c>
      <c r="CE153" s="2">
        <f>INDEX($BY$8:$BY$15,MATCH(CE$7,$CB$8:$CB$15,0))*SUM(C$11:C$12)/(365/12)*MAX(节奏总纲!D149-$E$2,0)</f>
        <v>651550.69086789305</v>
      </c>
      <c r="CF153" s="2">
        <f>INDEX($BY$8:$BY$15,MATCH(CF$7,$CB$8:$CB$15,0))*SUM(D$11:D$12)/(365/12)*MAX(节奏总纲!E149-$E$2,0)</f>
        <v>662024.76176048268</v>
      </c>
      <c r="CG153" s="2">
        <f>INDEX($BY$8:$BY$15,MATCH(CG$7,$CB$8:$CB$15,0))*SUM(E$11:E$12)/(365/12)*MAX(节奏总纲!F149-$E$2,0)</f>
        <v>876347.04141859524</v>
      </c>
      <c r="CH153" s="2">
        <f>INDEX($BY$8:$BY$15,MATCH(CH$7,$CB$8:$CB$15,0))*SUM(F$11:F$12)/(365/12)*MAX(节奏总纲!G149-$E$2,0)</f>
        <v>1550148.2771749478</v>
      </c>
      <c r="CI153" s="2">
        <f>INDEX($BY$8:$BY$15,MATCH(CI$7,$CB$8:$CB$15,0))*SUM(G$11:G$12)/(365/12)*MAX(节奏总纲!H149-$E$2,0)</f>
        <v>1318190.5304521448</v>
      </c>
      <c r="CJ153" s="2">
        <f>INDEX($BZ$8:$BZ$15,MATCH(CE$7,$CB$8:$CB$15,0))*SUM(C$11:C$12)/(365/12)*MAX(节奏总纲!D149-$E$2,0)</f>
        <v>27365129.016451508</v>
      </c>
      <c r="CK153" s="2">
        <f>INDEX($BZ$8:$BZ$15,MATCH(CF$7,$CB$8:$CB$15,0))*SUM(D$11:D$12)/(365/12)*MAX(节奏总纲!E149-$E$2,0)</f>
        <v>26480990.47041931</v>
      </c>
      <c r="CL153" s="2">
        <f>INDEX($BZ$8:$BZ$15,MATCH(CG$7,$CB$8:$CB$15,0))*SUM(E$11:E$12)/(365/12)*MAX(节奏总纲!F149-$E$2,0)</f>
        <v>31548493.491069429</v>
      </c>
      <c r="CM153" s="2">
        <f>INDEX($BZ$8:$BZ$15,MATCH(CH$7,$CB$8:$CB$15,0))*SUM(F$11:F$12)/(365/12)*MAX(节奏总纲!G149-$E$2,0)</f>
        <v>22322135.19131925</v>
      </c>
      <c r="CN153" s="2">
        <f>INDEX($BZ$8:$BZ$15,MATCH(CI$7,$CB$8:$CB$15,0))*SUM(G$11:G$12)/(365/12)*MAX(节奏总纲!H149-$E$2,0)</f>
        <v>11863714.774069302</v>
      </c>
      <c r="CS153" s="2">
        <v>146</v>
      </c>
      <c r="CT153" s="2">
        <f t="shared" si="109"/>
        <v>9610372.690301422</v>
      </c>
      <c r="CU153" s="2">
        <f t="shared" si="110"/>
        <v>8247725.1569326799</v>
      </c>
      <c r="CV153" s="2">
        <f t="shared" si="111"/>
        <v>6901232.9511714373</v>
      </c>
      <c r="CW153" s="2">
        <f t="shared" si="112"/>
        <v>5813056.0394060537</v>
      </c>
      <c r="CX153" s="2">
        <f t="shared" si="113"/>
        <v>3583830.5046667685</v>
      </c>
      <c r="CZ153" s="41">
        <f t="shared" si="114"/>
        <v>0.67796610169491511</v>
      </c>
      <c r="DA153" s="41">
        <f t="shared" si="115"/>
        <v>0.25423728813559321</v>
      </c>
      <c r="DB153" s="41">
        <f t="shared" si="116"/>
        <v>6.7796610169491525E-2</v>
      </c>
      <c r="DD153" s="41">
        <f t="shared" si="117"/>
        <v>0.634920634920635</v>
      </c>
      <c r="DE153" s="41">
        <f t="shared" si="118"/>
        <v>0.23809523809523811</v>
      </c>
      <c r="DF153" s="41">
        <f t="shared" si="119"/>
        <v>0.12698412698412698</v>
      </c>
      <c r="DH153" s="41">
        <f t="shared" si="120"/>
        <v>0.45977011494252873</v>
      </c>
      <c r="DI153" s="41">
        <f t="shared" si="121"/>
        <v>0.17241379310344829</v>
      </c>
      <c r="DJ153" s="41">
        <f t="shared" si="122"/>
        <v>0.36781609195402298</v>
      </c>
      <c r="DL153" s="2">
        <f>CT153/节奏总纲!D149</f>
        <v>387.00785675833248</v>
      </c>
      <c r="DM153" s="2">
        <f>CU153/节奏总纲!E149</f>
        <v>392.0839370907193</v>
      </c>
      <c r="DN153" s="2">
        <f>CV153/节奏总纲!F149</f>
        <v>412.7600198887925</v>
      </c>
      <c r="DO153" s="2">
        <f>CW153/节奏总纲!G149</f>
        <v>490.65321064000807</v>
      </c>
      <c r="DP153" s="2">
        <f>CX153/节奏总纲!H149</f>
        <v>566.62804861560141</v>
      </c>
      <c r="DR153" s="2">
        <f t="shared" si="123"/>
        <v>1.0131162203654087</v>
      </c>
      <c r="DS153" s="2">
        <f t="shared" si="124"/>
        <v>1.0665417062748186</v>
      </c>
      <c r="DT153" s="2">
        <f t="shared" si="125"/>
        <v>1.2678120148511534</v>
      </c>
      <c r="DU153" s="2">
        <f t="shared" si="126"/>
        <v>1.4641254401443147</v>
      </c>
      <c r="DY153" s="2">
        <v>146</v>
      </c>
      <c r="DZ153" s="2">
        <f t="shared" si="127"/>
        <v>226739640.42202678</v>
      </c>
      <c r="EA153" s="2">
        <f t="shared" si="128"/>
        <v>195297304.71934241</v>
      </c>
      <c r="EB153" s="2">
        <f t="shared" si="129"/>
        <v>165629590.82811451</v>
      </c>
      <c r="EC153" s="2">
        <f t="shared" si="130"/>
        <v>117191209.75442606</v>
      </c>
      <c r="ED153" s="2">
        <f t="shared" si="131"/>
        <v>62284502.563863836</v>
      </c>
      <c r="EF153" s="57">
        <f t="shared" si="132"/>
        <v>0.6206896551724137</v>
      </c>
      <c r="EG153" s="57">
        <f t="shared" si="133"/>
        <v>0.25862068965517243</v>
      </c>
      <c r="EH153" s="41">
        <f t="shared" si="134"/>
        <v>0.12068965517241378</v>
      </c>
      <c r="EJ153" s="57">
        <f t="shared" si="135"/>
        <v>0.5714285714285714</v>
      </c>
      <c r="EK153" s="57">
        <f t="shared" si="136"/>
        <v>0.23809523809523808</v>
      </c>
      <c r="EL153" s="41">
        <f t="shared" si="137"/>
        <v>0.19047619047619047</v>
      </c>
      <c r="EN153" s="57">
        <f t="shared" si="138"/>
        <v>0.5714285714285714</v>
      </c>
      <c r="EO153" s="57">
        <f t="shared" si="139"/>
        <v>0.23809523809523811</v>
      </c>
      <c r="EP153" s="41">
        <f t="shared" si="140"/>
        <v>0.19047619047619047</v>
      </c>
    </row>
    <row r="154" spans="20:146" x14ac:dyDescent="0.15">
      <c r="T154" s="2">
        <v>147</v>
      </c>
      <c r="U154" s="2">
        <f>$N$8*SUM(C$11:C$12)/(365/12)*MAX(节奏总纲!D150-$E$2,0)</f>
        <v>558743.91370628041</v>
      </c>
      <c r="V154" s="2">
        <f>$N$8*SUM(D$11:D$12)/(365/12)*MAX(节奏总纲!E150-$E$2,0)</f>
        <v>471550.92042440432</v>
      </c>
      <c r="W154" s="2">
        <f>$N$8*SUM(E$11:E$12)/(365/12)*MAX(节奏总纲!F150-$E$2,0)</f>
        <v>374053.80976046965</v>
      </c>
      <c r="X154" s="2">
        <f>$N$8*SUM(F$11:F$12)/(365/12)*MAX(节奏总纲!G150-$E$2,0)</f>
        <v>264516.56193815137</v>
      </c>
      <c r="Y154" s="2">
        <f>$N$8*SUM(G$11:G$12)/(365/12)*MAX(节奏总纲!H150-$E$2,0)</f>
        <v>140867.15335344849</v>
      </c>
      <c r="Z154" s="2">
        <f>$O$8*SUM(C$11:C$12)/(365/12)*MAX(节奏总纲!D150-$E$2,0)</f>
        <v>5587439.1370628038</v>
      </c>
      <c r="AA154" s="2">
        <f>$O$8*SUM(D$11:D$12)/(365/12)*MAX(节奏总纲!E150-$E$2,0)</f>
        <v>4715509.2042440427</v>
      </c>
      <c r="AB154" s="2">
        <f>$O$8*SUM(E$11:E$12)/(365/12)*MAX(节奏总纲!F150-$E$2,0)</f>
        <v>3740538.0976046966</v>
      </c>
      <c r="AC154" s="2">
        <f>$O$8*SUM(F$11:F$12)/(365/12)*MAX(节奏总纲!G150-$E$2,0)</f>
        <v>2645165.6193815139</v>
      </c>
      <c r="AD154" s="2">
        <f>$O$8*SUM(G$11:G$12)/(365/12)*MAX(节奏总纲!H150-$E$2,0)</f>
        <v>1408671.5335344849</v>
      </c>
      <c r="AE154" s="2">
        <f>$Q$8*SUM(C$11:C$12)/(365/12)*MAX(节奏总纲!D150-$E$2,0)</f>
        <v>6984298.9213285046</v>
      </c>
      <c r="AF154" s="2">
        <f>$Q$8*SUM(D$11:D$12)/(365/12)*MAX(节奏总纲!E150-$E$2,0)</f>
        <v>5894386.5053050537</v>
      </c>
      <c r="AG154" s="2">
        <f>$Q$8*SUM(E$11:E$12)/(365/12)*MAX(节奏总纲!F150-$E$2,0)</f>
        <v>4675672.6220058706</v>
      </c>
      <c r="AH154" s="2">
        <f>$Q$8*SUM(F$11:F$12)/(365/12)*MAX(节奏总纲!G150-$E$2,0)</f>
        <v>3306457.0242268918</v>
      </c>
      <c r="AI154" s="2">
        <f>$Q$8*SUM(G$11:G$12)/(365/12)*MAX(节奏总纲!H150-$E$2,0)</f>
        <v>1760839.4169181061</v>
      </c>
      <c r="AJ154" s="2">
        <f>$P$8*SUM(C$11:C$12)/(365/12)*MAX(节奏总纲!D150-$E$2,0)</f>
        <v>150860856.70069569</v>
      </c>
      <c r="AK154" s="2">
        <f>$P$8*SUM(D$11:D$12)/(365/12)*MAX(节奏总纲!E150-$E$2,0)</f>
        <v>127318748.51458916</v>
      </c>
      <c r="AL154" s="2">
        <f>$P$8*SUM(E$11:E$12)/(365/12)*MAX(节奏总纲!F150-$E$2,0)</f>
        <v>100994528.6353268</v>
      </c>
      <c r="AM154" s="2">
        <f>$P$8*SUM(F$11:F$12)/(365/12)*MAX(节奏总纲!G150-$E$2,0)</f>
        <v>71419471.723300874</v>
      </c>
      <c r="AN154" s="2">
        <f>$P$8*SUM(G$11:G$12)/(365/12)*MAX(节奏总纲!H150-$E$2,0)</f>
        <v>38034131.405431092</v>
      </c>
      <c r="BC154" s="2">
        <v>147</v>
      </c>
      <c r="BD154" s="2">
        <f>$AZ$8/(365/12)*MAX(节奏总纲!D150-$E$2,0)</f>
        <v>2619112.0954981893</v>
      </c>
      <c r="BE154" s="2">
        <f>$AZ$8/(365/12)*MAX(节奏总纲!E150-$E$2,0)</f>
        <v>2210394.9394893954</v>
      </c>
      <c r="BF154" s="2">
        <f>$AZ$8/(365/12)*MAX(节奏总纲!F150-$E$2,0)</f>
        <v>1753377.2332522017</v>
      </c>
      <c r="BG154" s="2">
        <f>$AZ$8/(365/12)*MAX(节奏总纲!G150-$E$2,0)</f>
        <v>1239921.3840850845</v>
      </c>
      <c r="BH154" s="2">
        <f>$AZ$8/(365/12)*MAX(节奏总纲!H150-$E$2,0)</f>
        <v>660314.78134428978</v>
      </c>
      <c r="BI154" s="2">
        <f>$AY$8/(365/12)*MAX(节奏总纲!D150-$E$2,0)</f>
        <v>62858690.291956551</v>
      </c>
      <c r="BJ154" s="2">
        <f>$AY$8/(365/12)*MAX(节奏总纲!E150-$E$2,0)</f>
        <v>53049478.547745489</v>
      </c>
      <c r="BK154" s="2">
        <f>$AY$8/(365/12)*MAX(节奏总纲!F150-$E$2,0)</f>
        <v>42081053.598052837</v>
      </c>
      <c r="BL154" s="2">
        <f>$AY$8/(365/12)*MAX(节奏总纲!G150-$E$2,0)</f>
        <v>29758113.218042031</v>
      </c>
      <c r="BM154" s="2">
        <f>$AY$8/(365/12)*MAX(节奏总纲!H150-$E$2,0)</f>
        <v>15847554.752262956</v>
      </c>
      <c r="CD154" s="2">
        <v>147</v>
      </c>
      <c r="CE154" s="2">
        <f>INDEX($BY$8:$BY$15,MATCH(CE$7,$CB$8:$CB$15,0))*SUM(C$11:C$12)/(365/12)*MAX(节奏总纲!D150-$E$2,0)</f>
        <v>698429.89213285048</v>
      </c>
      <c r="CF154" s="2">
        <f>INDEX($BY$8:$BY$15,MATCH(CF$7,$CB$8:$CB$15,0))*SUM(D$11:D$12)/(365/12)*MAX(节奏总纲!E150-$E$2,0)</f>
        <v>707326.38063660648</v>
      </c>
      <c r="CG154" s="2">
        <f>INDEX($BY$8:$BY$15,MATCH(CG$7,$CB$8:$CB$15,0))*SUM(E$11:E$12)/(365/12)*MAX(节奏总纲!F150-$E$2,0)</f>
        <v>935134.52440117416</v>
      </c>
      <c r="CH154" s="2">
        <f>INDEX($BY$8:$BY$15,MATCH(CH$7,$CB$8:$CB$15,0))*SUM(F$11:F$12)/(365/12)*MAX(节奏总纲!G150-$E$2,0)</f>
        <v>1653228.5121134459</v>
      </c>
      <c r="CI154" s="2">
        <f>INDEX($BY$8:$BY$15,MATCH(CI$7,$CB$8:$CB$15,0))*SUM(G$11:G$12)/(365/12)*MAX(节奏总纲!H150-$E$2,0)</f>
        <v>1408671.5335344849</v>
      </c>
      <c r="CJ154" s="2">
        <f>INDEX($BZ$8:$BZ$15,MATCH(CE$7,$CB$8:$CB$15,0))*SUM(C$11:C$12)/(365/12)*MAX(节奏总纲!D150-$E$2,0)</f>
        <v>29334055.469579723</v>
      </c>
      <c r="CK154" s="2">
        <f>INDEX($BZ$8:$BZ$15,MATCH(CF$7,$CB$8:$CB$15,0))*SUM(D$11:D$12)/(365/12)*MAX(节奏总纲!E150-$E$2,0)</f>
        <v>28293055.225464262</v>
      </c>
      <c r="CL154" s="2">
        <f>INDEX($BZ$8:$BZ$15,MATCH(CG$7,$CB$8:$CB$15,0))*SUM(E$11:E$12)/(365/12)*MAX(节奏总纲!F150-$E$2,0)</f>
        <v>33664842.878442273</v>
      </c>
      <c r="CM154" s="2">
        <f>INDEX($BZ$8:$BZ$15,MATCH(CH$7,$CB$8:$CB$15,0))*SUM(F$11:F$12)/(365/12)*MAX(节奏总纲!G150-$E$2,0)</f>
        <v>23806490.574433621</v>
      </c>
      <c r="CN154" s="2">
        <f>INDEX($BZ$8:$BZ$15,MATCH(CI$7,$CB$8:$CB$15,0))*SUM(G$11:G$12)/(365/12)*MAX(节奏总纲!H150-$E$2,0)</f>
        <v>12678043.801810363</v>
      </c>
      <c r="CS154" s="2">
        <v>147</v>
      </c>
      <c r="CT154" s="2">
        <f t="shared" si="109"/>
        <v>10301840.908959543</v>
      </c>
      <c r="CU154" s="2">
        <f t="shared" si="110"/>
        <v>8812107.8254310563</v>
      </c>
      <c r="CV154" s="2">
        <f t="shared" si="111"/>
        <v>7364184.3796592457</v>
      </c>
      <c r="CW154" s="2">
        <f t="shared" si="112"/>
        <v>6199606.9204254225</v>
      </c>
      <c r="CX154" s="2">
        <f t="shared" si="113"/>
        <v>3829825.7317968807</v>
      </c>
      <c r="CZ154" s="41">
        <f t="shared" si="114"/>
        <v>0.67796610169491534</v>
      </c>
      <c r="DA154" s="41">
        <f t="shared" si="115"/>
        <v>0.25423728813559326</v>
      </c>
      <c r="DB154" s="41">
        <f t="shared" si="116"/>
        <v>6.7796610169491539E-2</v>
      </c>
      <c r="DD154" s="41">
        <f t="shared" si="117"/>
        <v>0.634920634920635</v>
      </c>
      <c r="DE154" s="41">
        <f t="shared" si="118"/>
        <v>0.23809523809523814</v>
      </c>
      <c r="DF154" s="41">
        <f t="shared" si="119"/>
        <v>0.126984126984127</v>
      </c>
      <c r="DH154" s="41">
        <f t="shared" si="120"/>
        <v>0.45977011494252873</v>
      </c>
      <c r="DI154" s="41">
        <f t="shared" si="121"/>
        <v>0.17241379310344829</v>
      </c>
      <c r="DJ154" s="41">
        <f t="shared" si="122"/>
        <v>0.36781609195402298</v>
      </c>
      <c r="DL154" s="2">
        <f>CT154/节奏总纲!D150</f>
        <v>387.07063055658125</v>
      </c>
      <c r="DM154" s="2">
        <f>CU154/节奏总纲!E150</f>
        <v>392.15557590368013</v>
      </c>
      <c r="DN154" s="2">
        <f>CV154/节奏总纲!F150</f>
        <v>412.85315824610547</v>
      </c>
      <c r="DO154" s="2">
        <f>CW154/节奏总纲!G150</f>
        <v>490.80819065567391</v>
      </c>
      <c r="DP154" s="2">
        <f>CX154/节奏总纲!H150</f>
        <v>566.97352017602498</v>
      </c>
      <c r="DR154" s="2">
        <f t="shared" si="123"/>
        <v>1.013136996056216</v>
      </c>
      <c r="DS154" s="2">
        <f t="shared" si="124"/>
        <v>1.0666093618429553</v>
      </c>
      <c r="DT154" s="2">
        <f t="shared" si="125"/>
        <v>1.2680067974930702</v>
      </c>
      <c r="DU154" s="2">
        <f t="shared" si="126"/>
        <v>1.4647805217377396</v>
      </c>
      <c r="DY154" s="2">
        <v>147</v>
      </c>
      <c r="DZ154" s="2">
        <f t="shared" si="127"/>
        <v>243053602.46223196</v>
      </c>
      <c r="EA154" s="2">
        <f t="shared" si="128"/>
        <v>208661282.28779891</v>
      </c>
      <c r="EB154" s="2">
        <f t="shared" si="129"/>
        <v>176740425.11182189</v>
      </c>
      <c r="EC154" s="2">
        <f t="shared" si="130"/>
        <v>124984075.51577653</v>
      </c>
      <c r="ED154" s="2">
        <f t="shared" si="131"/>
        <v>66559729.959504411</v>
      </c>
      <c r="EF154" s="57">
        <f t="shared" si="132"/>
        <v>0.62068965517241381</v>
      </c>
      <c r="EG154" s="57">
        <f t="shared" si="133"/>
        <v>0.25862068965517243</v>
      </c>
      <c r="EH154" s="41">
        <f t="shared" si="134"/>
        <v>0.1206896551724138</v>
      </c>
      <c r="EJ154" s="57">
        <f t="shared" si="135"/>
        <v>0.57142857142857151</v>
      </c>
      <c r="EK154" s="57">
        <f t="shared" si="136"/>
        <v>0.23809523809523814</v>
      </c>
      <c r="EL154" s="41">
        <f t="shared" si="137"/>
        <v>0.19047619047619052</v>
      </c>
      <c r="EN154" s="57">
        <f t="shared" si="138"/>
        <v>0.5714285714285714</v>
      </c>
      <c r="EO154" s="57">
        <f t="shared" si="139"/>
        <v>0.23809523809523811</v>
      </c>
      <c r="EP154" s="41">
        <f t="shared" si="140"/>
        <v>0.19047619047619047</v>
      </c>
    </row>
    <row r="155" spans="20:146" x14ac:dyDescent="0.15">
      <c r="T155" s="2">
        <v>148</v>
      </c>
      <c r="U155" s="2">
        <f>$N$8*SUM(C$11:C$12)/(365/12)*MAX(节奏总纲!D151-$E$2,0)</f>
        <v>598939.02079482481</v>
      </c>
      <c r="V155" s="2">
        <f>$N$8*SUM(D$11:D$12)/(365/12)*MAX(节奏总纲!E151-$E$2,0)</f>
        <v>505487.64933926245</v>
      </c>
      <c r="W155" s="2">
        <f>$N$8*SUM(E$11:E$12)/(365/12)*MAX(节奏总纲!F151-$E$2,0)</f>
        <v>401232.65112583147</v>
      </c>
      <c r="X155" s="2">
        <f>$N$8*SUM(F$11:F$12)/(365/12)*MAX(节奏总纲!G151-$E$2,0)</f>
        <v>284193.36124892283</v>
      </c>
      <c r="Y155" s="2">
        <f>$N$8*SUM(G$11:G$12)/(365/12)*MAX(节奏总纲!H151-$E$2,0)</f>
        <v>151128.6916811759</v>
      </c>
      <c r="Z155" s="2">
        <f>$O$8*SUM(C$11:C$12)/(365/12)*MAX(节奏总纲!D151-$E$2,0)</f>
        <v>5989390.2079482488</v>
      </c>
      <c r="AA155" s="2">
        <f>$O$8*SUM(D$11:D$12)/(365/12)*MAX(节奏总纲!E151-$E$2,0)</f>
        <v>5054876.4933926249</v>
      </c>
      <c r="AB155" s="2">
        <f>$O$8*SUM(E$11:E$12)/(365/12)*MAX(节奏总纲!F151-$E$2,0)</f>
        <v>4012326.5112583148</v>
      </c>
      <c r="AC155" s="2">
        <f>$O$8*SUM(F$11:F$12)/(365/12)*MAX(节奏总纲!G151-$E$2,0)</f>
        <v>2841933.6124892286</v>
      </c>
      <c r="AD155" s="2">
        <f>$O$8*SUM(G$11:G$12)/(365/12)*MAX(节奏总纲!H151-$E$2,0)</f>
        <v>1511286.9168117589</v>
      </c>
      <c r="AE155" s="2">
        <f>$Q$8*SUM(C$11:C$12)/(365/12)*MAX(节奏总纲!D151-$E$2,0)</f>
        <v>7486737.7599353101</v>
      </c>
      <c r="AF155" s="2">
        <f>$Q$8*SUM(D$11:D$12)/(365/12)*MAX(节奏总纲!E151-$E$2,0)</f>
        <v>6318595.6167407809</v>
      </c>
      <c r="AG155" s="2">
        <f>$Q$8*SUM(E$11:E$12)/(365/12)*MAX(节奏总纲!F151-$E$2,0)</f>
        <v>5015408.1390728932</v>
      </c>
      <c r="AH155" s="2">
        <f>$Q$8*SUM(F$11:F$12)/(365/12)*MAX(节奏总纲!G151-$E$2,0)</f>
        <v>3552417.0156115354</v>
      </c>
      <c r="AI155" s="2">
        <f>$Q$8*SUM(G$11:G$12)/(365/12)*MAX(节奏总纲!H151-$E$2,0)</f>
        <v>1889108.6460146985</v>
      </c>
      <c r="AJ155" s="2">
        <f>$P$8*SUM(C$11:C$12)/(365/12)*MAX(节奏总纲!D151-$E$2,0)</f>
        <v>161713535.61460271</v>
      </c>
      <c r="AK155" s="2">
        <f>$P$8*SUM(D$11:D$12)/(365/12)*MAX(节奏总纲!E151-$E$2,0)</f>
        <v>136481665.32160085</v>
      </c>
      <c r="AL155" s="2">
        <f>$P$8*SUM(E$11:E$12)/(365/12)*MAX(节奏总纲!F151-$E$2,0)</f>
        <v>108332815.80397449</v>
      </c>
      <c r="AM155" s="2">
        <f>$P$8*SUM(F$11:F$12)/(365/12)*MAX(节奏总纲!G151-$E$2,0)</f>
        <v>76732207.537209168</v>
      </c>
      <c r="AN155" s="2">
        <f>$P$8*SUM(G$11:G$12)/(365/12)*MAX(节奏总纲!H151-$E$2,0)</f>
        <v>40804746.753917493</v>
      </c>
      <c r="BC155" s="2">
        <v>148</v>
      </c>
      <c r="BD155" s="2">
        <f>$AZ$8/(365/12)*MAX(节奏总纲!D151-$E$2,0)</f>
        <v>2807526.6599757415</v>
      </c>
      <c r="BE155" s="2">
        <f>$AZ$8/(365/12)*MAX(节奏总纲!E151-$E$2,0)</f>
        <v>2369473.3562777927</v>
      </c>
      <c r="BF155" s="2">
        <f>$AZ$8/(365/12)*MAX(节奏总纲!F151-$E$2,0)</f>
        <v>1880778.0521523352</v>
      </c>
      <c r="BG155" s="2">
        <f>$AZ$8/(365/12)*MAX(节奏总纲!G151-$E$2,0)</f>
        <v>1332156.3808543258</v>
      </c>
      <c r="BH155" s="2">
        <f>$AZ$8/(365/12)*MAX(节奏总纲!H151-$E$2,0)</f>
        <v>708415.74225551204</v>
      </c>
      <c r="BI155" s="2">
        <f>$AY$8/(365/12)*MAX(节奏总纲!D151-$E$2,0)</f>
        <v>67380639.8394178</v>
      </c>
      <c r="BJ155" s="2">
        <f>$AY$8/(365/12)*MAX(节奏总纲!E151-$E$2,0)</f>
        <v>56867360.550667033</v>
      </c>
      <c r="BK155" s="2">
        <f>$AY$8/(365/12)*MAX(节奏总纲!F151-$E$2,0)</f>
        <v>45138673.251656048</v>
      </c>
      <c r="BL155" s="2">
        <f>$AY$8/(365/12)*MAX(节奏总纲!G151-$E$2,0)</f>
        <v>31971753.14050382</v>
      </c>
      <c r="BM155" s="2">
        <f>$AY$8/(365/12)*MAX(节奏总纲!H151-$E$2,0)</f>
        <v>17001977.814132288</v>
      </c>
      <c r="CD155" s="2">
        <v>148</v>
      </c>
      <c r="CE155" s="2">
        <f>INDEX($BY$8:$BY$15,MATCH(CE$7,$CB$8:$CB$15,0))*SUM(C$11:C$12)/(365/12)*MAX(节奏总纲!D151-$E$2,0)</f>
        <v>748673.7759935311</v>
      </c>
      <c r="CF155" s="2">
        <f>INDEX($BY$8:$BY$15,MATCH(CF$7,$CB$8:$CB$15,0))*SUM(D$11:D$12)/(365/12)*MAX(节奏总纲!E151-$E$2,0)</f>
        <v>758231.47400889371</v>
      </c>
      <c r="CG155" s="2">
        <f>INDEX($BY$8:$BY$15,MATCH(CG$7,$CB$8:$CB$15,0))*SUM(E$11:E$12)/(365/12)*MAX(节奏总纲!F151-$E$2,0)</f>
        <v>1003081.6278145787</v>
      </c>
      <c r="CH155" s="2">
        <f>INDEX($BY$8:$BY$15,MATCH(CH$7,$CB$8:$CB$15,0))*SUM(F$11:F$12)/(365/12)*MAX(节奏总纲!G151-$E$2,0)</f>
        <v>1776208.5078057677</v>
      </c>
      <c r="CI155" s="2">
        <f>INDEX($BY$8:$BY$15,MATCH(CI$7,$CB$8:$CB$15,0))*SUM(G$11:G$12)/(365/12)*MAX(节奏总纲!H151-$E$2,0)</f>
        <v>1511286.9168117589</v>
      </c>
      <c r="CJ155" s="2">
        <f>INDEX($BZ$8:$BZ$15,MATCH(CE$7,$CB$8:$CB$15,0))*SUM(C$11:C$12)/(365/12)*MAX(节奏总纲!D151-$E$2,0)</f>
        <v>31444298.591728307</v>
      </c>
      <c r="CK155" s="2">
        <f>INDEX($BZ$8:$BZ$15,MATCH(CF$7,$CB$8:$CB$15,0))*SUM(D$11:D$12)/(365/12)*MAX(节奏总纲!E151-$E$2,0)</f>
        <v>30329258.960355751</v>
      </c>
      <c r="CL155" s="2">
        <f>INDEX($BZ$8:$BZ$15,MATCH(CG$7,$CB$8:$CB$15,0))*SUM(E$11:E$12)/(365/12)*MAX(节奏总纲!F151-$E$2,0)</f>
        <v>36110938.601324834</v>
      </c>
      <c r="CM155" s="2">
        <f>INDEX($BZ$8:$BZ$15,MATCH(CH$7,$CB$8:$CB$15,0))*SUM(F$11:F$12)/(365/12)*MAX(节奏总纲!G151-$E$2,0)</f>
        <v>25577402.512403056</v>
      </c>
      <c r="CN155" s="2">
        <f>INDEX($BZ$8:$BZ$15,MATCH(CI$7,$CB$8:$CB$15,0))*SUM(G$11:G$12)/(365/12)*MAX(节奏总纲!H151-$E$2,0)</f>
        <v>13601582.25130583</v>
      </c>
      <c r="CS155" s="2">
        <v>148</v>
      </c>
      <c r="CT155" s="2">
        <f t="shared" si="109"/>
        <v>11042938.195904583</v>
      </c>
      <c r="CU155" s="2">
        <f t="shared" si="110"/>
        <v>9446300.4470274672</v>
      </c>
      <c r="CV155" s="2">
        <f t="shared" si="111"/>
        <v>7899267.8190398077</v>
      </c>
      <c r="CW155" s="2">
        <f t="shared" si="112"/>
        <v>6660781.9042716287</v>
      </c>
      <c r="CX155" s="2">
        <f t="shared" si="113"/>
        <v>4108811.3050819691</v>
      </c>
      <c r="CZ155" s="41">
        <f t="shared" si="114"/>
        <v>0.67796610169491522</v>
      </c>
      <c r="DA155" s="41">
        <f t="shared" si="115"/>
        <v>0.25423728813559321</v>
      </c>
      <c r="DB155" s="41">
        <f t="shared" si="116"/>
        <v>6.7796610169491525E-2</v>
      </c>
      <c r="DD155" s="41">
        <f t="shared" si="117"/>
        <v>0.63492063492063489</v>
      </c>
      <c r="DE155" s="41">
        <f t="shared" si="118"/>
        <v>0.23809523809523811</v>
      </c>
      <c r="DF155" s="41">
        <f t="shared" si="119"/>
        <v>0.12698412698412698</v>
      </c>
      <c r="DH155" s="41">
        <f t="shared" si="120"/>
        <v>0.45977011494252878</v>
      </c>
      <c r="DI155" s="41">
        <f t="shared" si="121"/>
        <v>0.17241379310344832</v>
      </c>
      <c r="DJ155" s="41">
        <f t="shared" si="122"/>
        <v>0.36781609195402304</v>
      </c>
      <c r="DL155" s="2">
        <f>CT155/节奏总纲!D151</f>
        <v>387.12920027603315</v>
      </c>
      <c r="DM155" s="2">
        <f>CU155/节奏总纲!E151</f>
        <v>392.22588726828911</v>
      </c>
      <c r="DN155" s="2">
        <f>CV155/节奏总纲!F151</f>
        <v>412.94724997698512</v>
      </c>
      <c r="DO155" s="2">
        <f>CW155/节奏总纲!G151</f>
        <v>490.96966148720759</v>
      </c>
      <c r="DP155" s="2">
        <f>CX155/节奏总纲!H151</f>
        <v>567.31567711162268</v>
      </c>
      <c r="DR155" s="2">
        <f t="shared" si="123"/>
        <v>1.0131653385707455</v>
      </c>
      <c r="DS155" s="2">
        <f t="shared" si="124"/>
        <v>1.0666910418602964</v>
      </c>
      <c r="DT155" s="2">
        <f t="shared" si="125"/>
        <v>1.2682320556990625</v>
      </c>
      <c r="DU155" s="2">
        <f t="shared" si="126"/>
        <v>1.4654427429062751</v>
      </c>
      <c r="DY155" s="2">
        <v>148</v>
      </c>
      <c r="DZ155" s="2">
        <f t="shared" si="127"/>
        <v>260538474.0457488</v>
      </c>
      <c r="EA155" s="2">
        <f t="shared" si="128"/>
        <v>223678284.83262366</v>
      </c>
      <c r="EB155" s="2">
        <f t="shared" si="129"/>
        <v>189582427.65695536</v>
      </c>
      <c r="EC155" s="2">
        <f t="shared" si="130"/>
        <v>134281363.19011605</v>
      </c>
      <c r="ED155" s="2">
        <f t="shared" si="131"/>
        <v>71408306.819355607</v>
      </c>
      <c r="EF155" s="57">
        <f t="shared" si="132"/>
        <v>0.62068965517241381</v>
      </c>
      <c r="EG155" s="57">
        <f t="shared" si="133"/>
        <v>0.25862068965517243</v>
      </c>
      <c r="EH155" s="41">
        <f t="shared" si="134"/>
        <v>0.12068965517241381</v>
      </c>
      <c r="EJ155" s="57">
        <f t="shared" si="135"/>
        <v>0.5714285714285714</v>
      </c>
      <c r="EK155" s="57">
        <f t="shared" si="136"/>
        <v>0.23809523809523814</v>
      </c>
      <c r="EL155" s="41">
        <f t="shared" si="137"/>
        <v>0.19047619047619049</v>
      </c>
      <c r="EN155" s="57">
        <f t="shared" si="138"/>
        <v>0.57142857142857151</v>
      </c>
      <c r="EO155" s="57">
        <f t="shared" si="139"/>
        <v>0.23809523809523811</v>
      </c>
      <c r="EP155" s="41">
        <f t="shared" si="140"/>
        <v>0.19047619047619047</v>
      </c>
    </row>
    <row r="156" spans="20:146" x14ac:dyDescent="0.15">
      <c r="T156" s="2">
        <v>149</v>
      </c>
      <c r="U156" s="2">
        <f>$N$8*SUM(C$11:C$12)/(365/12)*MAX(节奏总纲!D152-$E$2,0)</f>
        <v>642019.0698961314</v>
      </c>
      <c r="V156" s="2">
        <f>$N$8*SUM(D$11:D$12)/(365/12)*MAX(节奏总纲!E152-$E$2,0)</f>
        <v>541988.79110262543</v>
      </c>
      <c r="W156" s="2">
        <f>$N$8*SUM(E$11:E$12)/(365/12)*MAX(节奏总纲!F152-$E$2,0)</f>
        <v>430508.10097455734</v>
      </c>
      <c r="X156" s="2">
        <f>$N$8*SUM(F$11:F$12)/(365/12)*MAX(节奏总纲!G152-$E$2,0)</f>
        <v>304875.21706219902</v>
      </c>
      <c r="Y156" s="2">
        <f>$N$8*SUM(G$11:G$12)/(365/12)*MAX(节奏总纲!H152-$E$2,0)</f>
        <v>162195.37245512751</v>
      </c>
      <c r="Z156" s="2">
        <f>$O$8*SUM(C$11:C$12)/(365/12)*MAX(节奏总纲!D152-$E$2,0)</f>
        <v>6420190.6989613138</v>
      </c>
      <c r="AA156" s="2">
        <f>$O$8*SUM(D$11:D$12)/(365/12)*MAX(节奏总纲!E152-$E$2,0)</f>
        <v>5419887.9110262543</v>
      </c>
      <c r="AB156" s="2">
        <f>$O$8*SUM(E$11:E$12)/(365/12)*MAX(节奏总纲!F152-$E$2,0)</f>
        <v>4305081.0097455736</v>
      </c>
      <c r="AC156" s="2">
        <f>$O$8*SUM(F$11:F$12)/(365/12)*MAX(节奏总纲!G152-$E$2,0)</f>
        <v>3048752.1706219902</v>
      </c>
      <c r="AD156" s="2">
        <f>$O$8*SUM(G$11:G$12)/(365/12)*MAX(节奏总纲!H152-$E$2,0)</f>
        <v>1621953.7245512751</v>
      </c>
      <c r="AE156" s="2">
        <f>$Q$8*SUM(C$11:C$12)/(365/12)*MAX(节奏总纲!D152-$E$2,0)</f>
        <v>8025238.3737016413</v>
      </c>
      <c r="AF156" s="2">
        <f>$Q$8*SUM(D$11:D$12)/(365/12)*MAX(节奏总纲!E152-$E$2,0)</f>
        <v>6774859.8887828179</v>
      </c>
      <c r="AG156" s="2">
        <f>$Q$8*SUM(E$11:E$12)/(365/12)*MAX(节奏总纲!F152-$E$2,0)</f>
        <v>5381351.2621819666</v>
      </c>
      <c r="AH156" s="2">
        <f>$Q$8*SUM(F$11:F$12)/(365/12)*MAX(节奏总纲!G152-$E$2,0)</f>
        <v>3810940.2132774875</v>
      </c>
      <c r="AI156" s="2">
        <f>$Q$8*SUM(G$11:G$12)/(365/12)*MAX(节奏总纲!H152-$E$2,0)</f>
        <v>2027442.155689094</v>
      </c>
      <c r="AJ156" s="2">
        <f>$P$8*SUM(C$11:C$12)/(365/12)*MAX(节奏总纲!D152-$E$2,0)</f>
        <v>173345148.87195545</v>
      </c>
      <c r="AK156" s="2">
        <f>$P$8*SUM(D$11:D$12)/(365/12)*MAX(节奏总纲!E152-$E$2,0)</f>
        <v>146336973.59770885</v>
      </c>
      <c r="AL156" s="2">
        <f>$P$8*SUM(E$11:E$12)/(365/12)*MAX(节奏总纲!F152-$E$2,0)</f>
        <v>116237187.26313047</v>
      </c>
      <c r="AM156" s="2">
        <f>$P$8*SUM(F$11:F$12)/(365/12)*MAX(节奏总纲!G152-$E$2,0)</f>
        <v>82316308.606793731</v>
      </c>
      <c r="AN156" s="2">
        <f>$P$8*SUM(G$11:G$12)/(365/12)*MAX(节奏总纲!H152-$E$2,0)</f>
        <v>43792750.562884428</v>
      </c>
      <c r="BC156" s="2">
        <v>149</v>
      </c>
      <c r="BD156" s="2">
        <f>$AZ$8/(365/12)*MAX(节奏总纲!D152-$E$2,0)</f>
        <v>3009464.3901381157</v>
      </c>
      <c r="BE156" s="2">
        <f>$AZ$8/(365/12)*MAX(节奏总纲!E152-$E$2,0)</f>
        <v>2540572.4582935567</v>
      </c>
      <c r="BF156" s="2">
        <f>$AZ$8/(365/12)*MAX(节奏总纲!F152-$E$2,0)</f>
        <v>2018006.7233182376</v>
      </c>
      <c r="BG156" s="2">
        <f>$AZ$8/(365/12)*MAX(节奏总纲!G152-$E$2,0)</f>
        <v>1429102.5799790581</v>
      </c>
      <c r="BH156" s="2">
        <f>$AZ$8/(365/12)*MAX(节奏总纲!H152-$E$2,0)</f>
        <v>760290.80838341021</v>
      </c>
      <c r="BI156" s="2">
        <f>$AY$8/(365/12)*MAX(节奏总纲!D152-$E$2,0)</f>
        <v>72227145.363314778</v>
      </c>
      <c r="BJ156" s="2">
        <f>$AY$8/(365/12)*MAX(节奏总纲!E152-$E$2,0)</f>
        <v>60973738.999045365</v>
      </c>
      <c r="BK156" s="2">
        <f>$AY$8/(365/12)*MAX(节奏总纲!F152-$E$2,0)</f>
        <v>48432161.3596377</v>
      </c>
      <c r="BL156" s="2">
        <f>$AY$8/(365/12)*MAX(节奏总纲!G152-$E$2,0)</f>
        <v>34298461.919497393</v>
      </c>
      <c r="BM156" s="2">
        <f>$AY$8/(365/12)*MAX(节奏总纲!H152-$E$2,0)</f>
        <v>18246979.401201848</v>
      </c>
      <c r="CD156" s="2">
        <v>149</v>
      </c>
      <c r="CE156" s="2">
        <f>INDEX($BY$8:$BY$15,MATCH(CE$7,$CB$8:$CB$15,0))*SUM(C$11:C$12)/(365/12)*MAX(节奏总纲!D152-$E$2,0)</f>
        <v>802523.83737016423</v>
      </c>
      <c r="CF156" s="2">
        <f>INDEX($BY$8:$BY$15,MATCH(CF$7,$CB$8:$CB$15,0))*SUM(D$11:D$12)/(365/12)*MAX(节奏总纲!E152-$E$2,0)</f>
        <v>812983.18665393814</v>
      </c>
      <c r="CG156" s="2">
        <f>INDEX($BY$8:$BY$15,MATCH(CG$7,$CB$8:$CB$15,0))*SUM(E$11:E$12)/(365/12)*MAX(节奏总纲!F152-$E$2,0)</f>
        <v>1076270.2524363934</v>
      </c>
      <c r="CH156" s="2">
        <f>INDEX($BY$8:$BY$15,MATCH(CH$7,$CB$8:$CB$15,0))*SUM(F$11:F$12)/(365/12)*MAX(节奏总纲!G152-$E$2,0)</f>
        <v>1905470.1066387438</v>
      </c>
      <c r="CI156" s="2">
        <f>INDEX($BY$8:$BY$15,MATCH(CI$7,$CB$8:$CB$15,0))*SUM(G$11:G$12)/(365/12)*MAX(节奏总纲!H152-$E$2,0)</f>
        <v>1621953.7245512751</v>
      </c>
      <c r="CJ156" s="2">
        <f>INDEX($BZ$8:$BZ$15,MATCH(CE$7,$CB$8:$CB$15,0))*SUM(C$11:C$12)/(365/12)*MAX(节奏总纲!D152-$E$2,0)</f>
        <v>33706001.169546895</v>
      </c>
      <c r="CK156" s="2">
        <f>INDEX($BZ$8:$BZ$15,MATCH(CF$7,$CB$8:$CB$15,0))*SUM(D$11:D$12)/(365/12)*MAX(节奏总纲!E152-$E$2,0)</f>
        <v>32519327.46615753</v>
      </c>
      <c r="CL156" s="2">
        <f>INDEX($BZ$8:$BZ$15,MATCH(CG$7,$CB$8:$CB$15,0))*SUM(E$11:E$12)/(365/12)*MAX(节奏总纲!F152-$E$2,0)</f>
        <v>38745729.087710157</v>
      </c>
      <c r="CM156" s="2">
        <f>INDEX($BZ$8:$BZ$15,MATCH(CH$7,$CB$8:$CB$15,0))*SUM(F$11:F$12)/(365/12)*MAX(节奏总纲!G152-$E$2,0)</f>
        <v>27438769.535597913</v>
      </c>
      <c r="CN156" s="2">
        <f>INDEX($BZ$8:$BZ$15,MATCH(CI$7,$CB$8:$CB$15,0))*SUM(G$11:G$12)/(365/12)*MAX(节奏总纲!H152-$E$2,0)</f>
        <v>14597583.520961476</v>
      </c>
      <c r="CS156" s="2">
        <v>149</v>
      </c>
      <c r="CT156" s="2">
        <f t="shared" si="109"/>
        <v>11837226.601209922</v>
      </c>
      <c r="CU156" s="2">
        <f t="shared" si="110"/>
        <v>10128415.533730313</v>
      </c>
      <c r="CV156" s="2">
        <f t="shared" si="111"/>
        <v>8475628.2379365973</v>
      </c>
      <c r="CW156" s="2">
        <f t="shared" si="112"/>
        <v>7145512.899895289</v>
      </c>
      <c r="CX156" s="2">
        <f t="shared" si="113"/>
        <v>4409686.6886237795</v>
      </c>
      <c r="CZ156" s="41">
        <f t="shared" si="114"/>
        <v>0.67796610169491522</v>
      </c>
      <c r="DA156" s="41">
        <f t="shared" si="115"/>
        <v>0.25423728813559321</v>
      </c>
      <c r="DB156" s="41">
        <f t="shared" si="116"/>
        <v>6.7796610169491525E-2</v>
      </c>
      <c r="DD156" s="41">
        <f t="shared" si="117"/>
        <v>0.63492063492063489</v>
      </c>
      <c r="DE156" s="41">
        <f t="shared" si="118"/>
        <v>0.23809523809523811</v>
      </c>
      <c r="DF156" s="41">
        <f t="shared" si="119"/>
        <v>0.126984126984127</v>
      </c>
      <c r="DH156" s="41">
        <f t="shared" si="120"/>
        <v>0.45977011494252873</v>
      </c>
      <c r="DI156" s="41">
        <f t="shared" si="121"/>
        <v>0.17241379310344826</v>
      </c>
      <c r="DJ156" s="41">
        <f t="shared" si="122"/>
        <v>0.36781609195402298</v>
      </c>
      <c r="DL156" s="2">
        <f>CT156/节奏总纲!D152</f>
        <v>387.18384749079382</v>
      </c>
      <c r="DM156" s="2">
        <f>CU156/节奏总纲!E152</f>
        <v>392.29170622907139</v>
      </c>
      <c r="DN156" s="2">
        <f>CV156/节奏总纲!F152</f>
        <v>413.03534846610296</v>
      </c>
      <c r="DO156" s="2">
        <f>CW156/节奏总纲!G152</f>
        <v>491.11700568863188</v>
      </c>
      <c r="DP156" s="2">
        <f>CX156/节奏总纲!H152</f>
        <v>567.63653232474462</v>
      </c>
      <c r="DR156" s="2">
        <f t="shared" si="123"/>
        <v>1.0131923342654396</v>
      </c>
      <c r="DS156" s="2">
        <f t="shared" si="124"/>
        <v>1.066768025429893</v>
      </c>
      <c r="DT156" s="2">
        <f t="shared" si="125"/>
        <v>1.2684336107288394</v>
      </c>
      <c r="DU156" s="2">
        <f t="shared" si="126"/>
        <v>1.4660645995523909</v>
      </c>
      <c r="DY156" s="2">
        <v>149</v>
      </c>
      <c r="DZ156" s="2">
        <f t="shared" si="127"/>
        <v>279278295.4048171</v>
      </c>
      <c r="EA156" s="2">
        <f t="shared" si="128"/>
        <v>239830040.06291175</v>
      </c>
      <c r="EB156" s="2">
        <f t="shared" si="129"/>
        <v>203415077.71047831</v>
      </c>
      <c r="EC156" s="2">
        <f t="shared" si="130"/>
        <v>144053540.06188905</v>
      </c>
      <c r="ED156" s="2">
        <f t="shared" si="131"/>
        <v>76637313.485047758</v>
      </c>
      <c r="EF156" s="57">
        <f t="shared" si="132"/>
        <v>0.62068965517241381</v>
      </c>
      <c r="EG156" s="57">
        <f t="shared" si="133"/>
        <v>0.25862068965517243</v>
      </c>
      <c r="EH156" s="41">
        <f t="shared" si="134"/>
        <v>0.1206896551724138</v>
      </c>
      <c r="EJ156" s="57">
        <f t="shared" si="135"/>
        <v>0.57142857142857151</v>
      </c>
      <c r="EK156" s="57">
        <f t="shared" si="136"/>
        <v>0.23809523809523814</v>
      </c>
      <c r="EL156" s="41">
        <f t="shared" si="137"/>
        <v>0.19047619047619049</v>
      </c>
      <c r="EN156" s="57">
        <f t="shared" si="138"/>
        <v>0.5714285714285714</v>
      </c>
      <c r="EO156" s="57">
        <f t="shared" si="139"/>
        <v>0.23809523809523811</v>
      </c>
      <c r="EP156" s="41">
        <f t="shared" si="140"/>
        <v>0.19047619047619047</v>
      </c>
    </row>
    <row r="157" spans="20:146" x14ac:dyDescent="0.15">
      <c r="T157" s="2">
        <v>150</v>
      </c>
      <c r="U157" s="2">
        <f>$N$8*SUM(C$11:C$12)/(365/12)*MAX(节奏总纲!D153-$E$2,0)</f>
        <v>688191.12328767125</v>
      </c>
      <c r="V157" s="2">
        <f>$N$8*SUM(D$11:D$12)/(365/12)*MAX(节奏总纲!E153-$E$2,0)</f>
        <v>580981.09019178082</v>
      </c>
      <c r="W157" s="2">
        <f>$N$8*SUM(E$11:E$12)/(365/12)*MAX(节奏总纲!F153-$E$2,0)</f>
        <v>461567.72856986296</v>
      </c>
      <c r="X157" s="2">
        <f>$N$8*SUM(F$11:F$12)/(365/12)*MAX(节奏总纲!G153-$E$2,0)</f>
        <v>327055.33334794524</v>
      </c>
      <c r="Y157" s="2">
        <f>$N$8*SUM(G$11:G$12)/(365/12)*MAX(节奏总纲!H153-$E$2,0)</f>
        <v>174548.1994520548</v>
      </c>
      <c r="Z157" s="2">
        <f>$O$8*SUM(C$11:C$12)/(365/12)*MAX(节奏总纲!D153-$E$2,0)</f>
        <v>6881911.2328767115</v>
      </c>
      <c r="AA157" s="2">
        <f>$O$8*SUM(D$11:D$12)/(365/12)*MAX(节奏总纲!E153-$E$2,0)</f>
        <v>5809810.9019178087</v>
      </c>
      <c r="AB157" s="2">
        <f>$O$8*SUM(E$11:E$12)/(365/12)*MAX(节奏总纲!F153-$E$2,0)</f>
        <v>4615677.2856986299</v>
      </c>
      <c r="AC157" s="2">
        <f>$O$8*SUM(F$11:F$12)/(365/12)*MAX(节奏总纲!G153-$E$2,0)</f>
        <v>3270553.3334794519</v>
      </c>
      <c r="AD157" s="2">
        <f>$O$8*SUM(G$11:G$12)/(365/12)*MAX(节奏总纲!H153-$E$2,0)</f>
        <v>1745481.994520548</v>
      </c>
      <c r="AE157" s="2">
        <f>$Q$8*SUM(C$11:C$12)/(365/12)*MAX(节奏总纲!D153-$E$2,0)</f>
        <v>8602389.0410958901</v>
      </c>
      <c r="AF157" s="2">
        <f>$Q$8*SUM(D$11:D$12)/(365/12)*MAX(节奏总纲!E153-$E$2,0)</f>
        <v>7262263.6273972597</v>
      </c>
      <c r="AG157" s="2">
        <f>$Q$8*SUM(E$11:E$12)/(365/12)*MAX(节奏总纲!F153-$E$2,0)</f>
        <v>5769596.6071232865</v>
      </c>
      <c r="AH157" s="2">
        <f>$Q$8*SUM(F$11:F$12)/(365/12)*MAX(节奏总纲!G153-$E$2,0)</f>
        <v>4088191.6668493152</v>
      </c>
      <c r="AI157" s="2">
        <f>$Q$8*SUM(G$11:G$12)/(365/12)*MAX(节奏总纲!H153-$E$2,0)</f>
        <v>2181852.493150685</v>
      </c>
      <c r="AJ157" s="2">
        <f>$P$8*SUM(C$11:C$12)/(365/12)*MAX(节奏总纲!D153-$E$2,0)</f>
        <v>185811603.28767121</v>
      </c>
      <c r="AK157" s="2">
        <f>$P$8*SUM(D$11:D$12)/(365/12)*MAX(节奏总纲!E153-$E$2,0)</f>
        <v>156864894.35178083</v>
      </c>
      <c r="AL157" s="2">
        <f>$P$8*SUM(E$11:E$12)/(365/12)*MAX(节奏总纲!F153-$E$2,0)</f>
        <v>124623286.713863</v>
      </c>
      <c r="AM157" s="2">
        <f>$P$8*SUM(F$11:F$12)/(365/12)*MAX(节奏总纲!G153-$E$2,0)</f>
        <v>88304940.003945202</v>
      </c>
      <c r="AN157" s="2">
        <f>$P$8*SUM(G$11:G$12)/(365/12)*MAX(节奏总纲!H153-$E$2,0)</f>
        <v>47128013.852054797</v>
      </c>
      <c r="BC157" s="2">
        <v>150</v>
      </c>
      <c r="BD157" s="2">
        <f>$AZ$8/(365/12)*MAX(节奏总纲!D153-$E$2,0)</f>
        <v>3225895.8904109588</v>
      </c>
      <c r="BE157" s="2">
        <f>$AZ$8/(365/12)*MAX(节奏总纲!E153-$E$2,0)</f>
        <v>2723348.8602739726</v>
      </c>
      <c r="BF157" s="2">
        <f>$AZ$8/(365/12)*MAX(节奏总纲!F153-$E$2,0)</f>
        <v>2163598.7276712325</v>
      </c>
      <c r="BG157" s="2">
        <f>$AZ$8/(365/12)*MAX(节奏总纲!G153-$E$2,0)</f>
        <v>1533071.8750684932</v>
      </c>
      <c r="BH157" s="2">
        <f>$AZ$8/(365/12)*MAX(节奏总纲!H153-$E$2,0)</f>
        <v>818194.68493150687</v>
      </c>
      <c r="BI157" s="2">
        <f>$AY$8/(365/12)*MAX(节奏总纲!D153-$E$2,0)</f>
        <v>77421501.369863018</v>
      </c>
      <c r="BJ157" s="2">
        <f>$AY$8/(365/12)*MAX(节奏总纲!E153-$E$2,0)</f>
        <v>65360372.646575347</v>
      </c>
      <c r="BK157" s="2">
        <f>$AY$8/(365/12)*MAX(节奏总纲!F153-$E$2,0)</f>
        <v>51926369.464109585</v>
      </c>
      <c r="BL157" s="2">
        <f>$AY$8/(365/12)*MAX(节奏总纲!G153-$E$2,0)</f>
        <v>36793725.001643836</v>
      </c>
      <c r="BM157" s="2">
        <f>$AY$8/(365/12)*MAX(节奏总纲!H153-$E$2,0)</f>
        <v>19636672.438356169</v>
      </c>
      <c r="CD157" s="2">
        <v>150</v>
      </c>
      <c r="CE157" s="2">
        <f>INDEX($BY$8:$BY$15,MATCH(CE$7,$CB$8:$CB$15,0))*SUM(C$11:C$12)/(365/12)*MAX(节奏总纲!D153-$E$2,0)</f>
        <v>860238.90410958894</v>
      </c>
      <c r="CF157" s="2">
        <f>INDEX($BY$8:$BY$15,MATCH(CF$7,$CB$8:$CB$15,0))*SUM(D$11:D$12)/(365/12)*MAX(节奏总纲!E153-$E$2,0)</f>
        <v>871471.63528767123</v>
      </c>
      <c r="CG157" s="2">
        <f>INDEX($BY$8:$BY$15,MATCH(CG$7,$CB$8:$CB$15,0))*SUM(E$11:E$12)/(365/12)*MAX(节奏总纲!F153-$E$2,0)</f>
        <v>1153919.3214246575</v>
      </c>
      <c r="CH157" s="2">
        <f>INDEX($BY$8:$BY$15,MATCH(CH$7,$CB$8:$CB$15,0))*SUM(F$11:F$12)/(365/12)*MAX(节奏总纲!G153-$E$2,0)</f>
        <v>2044095.8334246576</v>
      </c>
      <c r="CI157" s="2">
        <f>INDEX($BY$8:$BY$15,MATCH(CI$7,$CB$8:$CB$15,0))*SUM(G$11:G$12)/(365/12)*MAX(节奏总纲!H153-$E$2,0)</f>
        <v>1745481.994520548</v>
      </c>
      <c r="CJ157" s="2">
        <f>INDEX($BZ$8:$BZ$15,MATCH(CE$7,$CB$8:$CB$15,0))*SUM(C$11:C$12)/(365/12)*MAX(节奏总纲!D153-$E$2,0)</f>
        <v>36130033.97260274</v>
      </c>
      <c r="CK157" s="2">
        <f>INDEX($BZ$8:$BZ$15,MATCH(CF$7,$CB$8:$CB$15,0))*SUM(D$11:D$12)/(365/12)*MAX(节奏总纲!E153-$E$2,0)</f>
        <v>34858865.411506854</v>
      </c>
      <c r="CL157" s="2">
        <f>INDEX($BZ$8:$BZ$15,MATCH(CG$7,$CB$8:$CB$15,0))*SUM(E$11:E$12)/(365/12)*MAX(节奏总纲!F153-$E$2,0)</f>
        <v>41541095.571287662</v>
      </c>
      <c r="CM157" s="2">
        <f>INDEX($BZ$8:$BZ$15,MATCH(CH$7,$CB$8:$CB$15,0))*SUM(F$11:F$12)/(365/12)*MAX(节奏总纲!G153-$E$2,0)</f>
        <v>29434980.001315068</v>
      </c>
      <c r="CN157" s="2">
        <f>INDEX($BZ$8:$BZ$15,MATCH(CI$7,$CB$8:$CB$15,0))*SUM(G$11:G$12)/(365/12)*MAX(节奏总纲!H153-$E$2,0)</f>
        <v>15709337.950684931</v>
      </c>
      <c r="CS157" s="2">
        <v>150</v>
      </c>
      <c r="CT157" s="2">
        <f t="shared" si="109"/>
        <v>12688523.83561644</v>
      </c>
      <c r="CU157" s="2">
        <f t="shared" si="110"/>
        <v>10857084.122958902</v>
      </c>
      <c r="CV157" s="2">
        <f t="shared" si="111"/>
        <v>9087114.6562191769</v>
      </c>
      <c r="CW157" s="2">
        <f t="shared" si="112"/>
        <v>7665359.3753424659</v>
      </c>
      <c r="CX157" s="2">
        <f t="shared" si="113"/>
        <v>4745529.1726027401</v>
      </c>
      <c r="CZ157" s="41">
        <f t="shared" si="114"/>
        <v>0.67796610169491511</v>
      </c>
      <c r="DA157" s="41">
        <f t="shared" si="115"/>
        <v>0.25423728813559321</v>
      </c>
      <c r="DB157" s="41">
        <f t="shared" si="116"/>
        <v>6.7796610169491511E-2</v>
      </c>
      <c r="DD157" s="41">
        <f t="shared" si="117"/>
        <v>0.63492063492063489</v>
      </c>
      <c r="DE157" s="41">
        <f t="shared" si="118"/>
        <v>0.23809523809523808</v>
      </c>
      <c r="DF157" s="41">
        <f t="shared" si="119"/>
        <v>0.126984126984127</v>
      </c>
      <c r="DH157" s="41">
        <f t="shared" si="120"/>
        <v>0.45977011494252873</v>
      </c>
      <c r="DI157" s="41">
        <f t="shared" si="121"/>
        <v>0.17241379310344826</v>
      </c>
      <c r="DJ157" s="41">
        <f t="shared" si="122"/>
        <v>0.36781609195402298</v>
      </c>
      <c r="DL157" s="2">
        <f>CT157/节奏总纲!D153</f>
        <v>387.23483491367654</v>
      </c>
      <c r="DM157" s="2">
        <f>CU157/节奏总纲!E153</f>
        <v>392.35290075573698</v>
      </c>
      <c r="DN157" s="2">
        <f>CV157/节奏总纲!F153</f>
        <v>413.11663152882159</v>
      </c>
      <c r="DO157" s="2">
        <f>CW157/节奏总纲!G153</f>
        <v>491.25439465206415</v>
      </c>
      <c r="DP157" s="2">
        <f>CX157/节奏总纲!H153</f>
        <v>567.94696871646204</v>
      </c>
      <c r="DR157" s="2">
        <f t="shared" si="123"/>
        <v>1.0132169561738973</v>
      </c>
      <c r="DS157" s="2">
        <f t="shared" si="124"/>
        <v>1.066837469880298</v>
      </c>
      <c r="DT157" s="2">
        <f t="shared" si="125"/>
        <v>1.2686213903291421</v>
      </c>
      <c r="DU157" s="2">
        <f t="shared" si="126"/>
        <v>1.4666732367790991</v>
      </c>
      <c r="DY157" s="2">
        <v>150</v>
      </c>
      <c r="DZ157" s="2">
        <f t="shared" si="127"/>
        <v>299363138.63013697</v>
      </c>
      <c r="EA157" s="2">
        <f t="shared" si="128"/>
        <v>257084132.40986302</v>
      </c>
      <c r="EB157" s="2">
        <f t="shared" si="129"/>
        <v>218090751.74926025</v>
      </c>
      <c r="EC157" s="2">
        <f t="shared" si="130"/>
        <v>154533645.0069041</v>
      </c>
      <c r="ED157" s="2">
        <f t="shared" si="131"/>
        <v>82474024.241095901</v>
      </c>
      <c r="EF157" s="57">
        <f t="shared" si="132"/>
        <v>0.6206896551724137</v>
      </c>
      <c r="EG157" s="57">
        <f t="shared" si="133"/>
        <v>0.25862068965517243</v>
      </c>
      <c r="EH157" s="41">
        <f t="shared" si="134"/>
        <v>0.1206896551724138</v>
      </c>
      <c r="EJ157" s="57">
        <f t="shared" si="135"/>
        <v>0.5714285714285714</v>
      </c>
      <c r="EK157" s="57">
        <f t="shared" si="136"/>
        <v>0.23809523809523811</v>
      </c>
      <c r="EL157" s="41">
        <f t="shared" si="137"/>
        <v>0.19047619047619047</v>
      </c>
      <c r="EN157" s="57">
        <f t="shared" si="138"/>
        <v>0.5714285714285714</v>
      </c>
      <c r="EO157" s="57">
        <f t="shared" si="139"/>
        <v>0.23809523809523811</v>
      </c>
      <c r="EP157" s="41">
        <f t="shared" si="140"/>
        <v>0.19047619047619044</v>
      </c>
    </row>
    <row r="158" spans="20:146" x14ac:dyDescent="0.15">
      <c r="T158" s="2">
        <v>151</v>
      </c>
      <c r="U158" s="2">
        <f>$N$8*SUM(C$11:C$12)/(365/12)*MAX(节奏总纲!D154-$E$2,0)</f>
        <v>737677.10482353182</v>
      </c>
      <c r="V158" s="2">
        <f>$N$8*SUM(D$11:D$12)/(365/12)*MAX(节奏总纲!E154-$E$2,0)</f>
        <v>623067.57742704591</v>
      </c>
      <c r="W158" s="2">
        <f>$N$8*SUM(E$11:E$12)/(365/12)*MAX(节奏总纲!F154-$E$2,0)</f>
        <v>495157.13776017464</v>
      </c>
      <c r="X158" s="2">
        <f>$N$8*SUM(F$11:F$12)/(365/12)*MAX(节奏总纲!G154-$E$2,0)</f>
        <v>352320.11876764899</v>
      </c>
      <c r="Y158" s="2">
        <f>$N$8*SUM(G$11:G$12)/(365/12)*MAX(节奏总纲!H154-$E$2,0)</f>
        <v>190122.88302600707</v>
      </c>
      <c r="Z158" s="2">
        <f>$O$8*SUM(C$11:C$12)/(365/12)*MAX(节奏总纲!D154-$E$2,0)</f>
        <v>7376771.0482353186</v>
      </c>
      <c r="AA158" s="2">
        <f>$O$8*SUM(D$11:D$12)/(365/12)*MAX(节奏总纲!E154-$E$2,0)</f>
        <v>6230675.7742704591</v>
      </c>
      <c r="AB158" s="2">
        <f>$O$8*SUM(E$11:E$12)/(365/12)*MAX(节奏总纲!F154-$E$2,0)</f>
        <v>4951571.3776017465</v>
      </c>
      <c r="AC158" s="2">
        <f>$O$8*SUM(F$11:F$12)/(365/12)*MAX(节奏总纲!G154-$E$2,0)</f>
        <v>3523201.1876764903</v>
      </c>
      <c r="AD158" s="2">
        <f>$O$8*SUM(G$11:G$12)/(365/12)*MAX(节奏总纲!H154-$E$2,0)</f>
        <v>1901228.8302600707</v>
      </c>
      <c r="AE158" s="2">
        <f>$Q$8*SUM(C$11:C$12)/(365/12)*MAX(节奏总纲!D154-$E$2,0)</f>
        <v>9220963.8102941476</v>
      </c>
      <c r="AF158" s="2">
        <f>$Q$8*SUM(D$11:D$12)/(365/12)*MAX(节奏总纲!E154-$E$2,0)</f>
        <v>7788344.7178380731</v>
      </c>
      <c r="AG158" s="2">
        <f>$Q$8*SUM(E$11:E$12)/(365/12)*MAX(节奏总纲!F154-$E$2,0)</f>
        <v>6189464.2220021831</v>
      </c>
      <c r="AH158" s="2">
        <f>$Q$8*SUM(F$11:F$12)/(365/12)*MAX(节奏总纲!G154-$E$2,0)</f>
        <v>4404001.4845956126</v>
      </c>
      <c r="AI158" s="2">
        <f>$Q$8*SUM(G$11:G$12)/(365/12)*MAX(节奏总纲!H154-$E$2,0)</f>
        <v>2376536.037825088</v>
      </c>
      <c r="AJ158" s="2">
        <f>$P$8*SUM(C$11:C$12)/(365/12)*MAX(节奏总纲!D154-$E$2,0)</f>
        <v>199172818.30235359</v>
      </c>
      <c r="AK158" s="2">
        <f>$P$8*SUM(D$11:D$12)/(365/12)*MAX(节奏总纲!E154-$E$2,0)</f>
        <v>168228245.90530238</v>
      </c>
      <c r="AL158" s="2">
        <f>$P$8*SUM(E$11:E$12)/(365/12)*MAX(节奏总纲!F154-$E$2,0)</f>
        <v>133692427.19524716</v>
      </c>
      <c r="AM158" s="2">
        <f>$P$8*SUM(F$11:F$12)/(365/12)*MAX(节奏总纲!G154-$E$2,0)</f>
        <v>95126432.067265227</v>
      </c>
      <c r="AN158" s="2">
        <f>$P$8*SUM(G$11:G$12)/(365/12)*MAX(节奏总纲!H154-$E$2,0)</f>
        <v>51333178.417021908</v>
      </c>
      <c r="BC158" s="2">
        <v>151</v>
      </c>
      <c r="BD158" s="2">
        <f>$AZ$8/(365/12)*MAX(节奏总纲!D154-$E$2,0)</f>
        <v>3457861.4288603053</v>
      </c>
      <c r="BE158" s="2">
        <f>$AZ$8/(365/12)*MAX(节奏总纲!E154-$E$2,0)</f>
        <v>2920629.2691892777</v>
      </c>
      <c r="BF158" s="2">
        <f>$AZ$8/(365/12)*MAX(节奏总纲!F154-$E$2,0)</f>
        <v>2321049.0832508188</v>
      </c>
      <c r="BG158" s="2">
        <f>$AZ$8/(365/12)*MAX(节奏总纲!G154-$E$2,0)</f>
        <v>1651500.5567233548</v>
      </c>
      <c r="BH158" s="2">
        <f>$AZ$8/(365/12)*MAX(节奏总纲!H154-$E$2,0)</f>
        <v>891201.01418440812</v>
      </c>
      <c r="BI158" s="2">
        <f>$AY$8/(365/12)*MAX(节奏总纲!D154-$E$2,0)</f>
        <v>82988674.292647332</v>
      </c>
      <c r="BJ158" s="2">
        <f>$AY$8/(365/12)*MAX(节奏总纲!E154-$E$2,0)</f>
        <v>70095102.460542664</v>
      </c>
      <c r="BK158" s="2">
        <f>$AY$8/(365/12)*MAX(节奏总纲!F154-$E$2,0)</f>
        <v>55705177.998019651</v>
      </c>
      <c r="BL158" s="2">
        <f>$AY$8/(365/12)*MAX(节奏总纲!G154-$E$2,0)</f>
        <v>39636013.36136052</v>
      </c>
      <c r="BM158" s="2">
        <f>$AY$8/(365/12)*MAX(节奏总纲!H154-$E$2,0)</f>
        <v>21388824.340425797</v>
      </c>
      <c r="CD158" s="2">
        <v>151</v>
      </c>
      <c r="CE158" s="2">
        <f>INDEX($BY$8:$BY$15,MATCH(CE$7,$CB$8:$CB$15,0))*SUM(C$11:C$12)/(365/12)*MAX(节奏总纲!D154-$E$2,0)</f>
        <v>922096.38102941483</v>
      </c>
      <c r="CF158" s="2">
        <f>INDEX($BY$8:$BY$15,MATCH(CF$7,$CB$8:$CB$15,0))*SUM(D$11:D$12)/(365/12)*MAX(节奏总纲!E154-$E$2,0)</f>
        <v>934601.36614056886</v>
      </c>
      <c r="CG158" s="2">
        <f>INDEX($BY$8:$BY$15,MATCH(CG$7,$CB$8:$CB$15,0))*SUM(E$11:E$12)/(365/12)*MAX(节奏总纲!F154-$E$2,0)</f>
        <v>1237892.8444004366</v>
      </c>
      <c r="CH158" s="2">
        <f>INDEX($BY$8:$BY$15,MATCH(CH$7,$CB$8:$CB$15,0))*SUM(F$11:F$12)/(365/12)*MAX(节奏总纲!G154-$E$2,0)</f>
        <v>2202000.7422978063</v>
      </c>
      <c r="CI158" s="2">
        <f>INDEX($BY$8:$BY$15,MATCH(CI$7,$CB$8:$CB$15,0))*SUM(G$11:G$12)/(365/12)*MAX(节奏总纲!H154-$E$2,0)</f>
        <v>1901228.8302600707</v>
      </c>
      <c r="CJ158" s="2">
        <f>INDEX($BZ$8:$BZ$15,MATCH(CE$7,$CB$8:$CB$15,0))*SUM(C$11:C$12)/(365/12)*MAX(节奏总纲!D154-$E$2,0)</f>
        <v>38728048.003235422</v>
      </c>
      <c r="CK158" s="2">
        <f>INDEX($BZ$8:$BZ$15,MATCH(CF$7,$CB$8:$CB$15,0))*SUM(D$11:D$12)/(365/12)*MAX(节奏总纲!E154-$E$2,0)</f>
        <v>37384054.645622753</v>
      </c>
      <c r="CL158" s="2">
        <f>INDEX($BZ$8:$BZ$15,MATCH(CG$7,$CB$8:$CB$15,0))*SUM(E$11:E$12)/(365/12)*MAX(节奏总纲!F154-$E$2,0)</f>
        <v>44564142.398415715</v>
      </c>
      <c r="CM158" s="2">
        <f>INDEX($BZ$8:$BZ$15,MATCH(CH$7,$CB$8:$CB$15,0))*SUM(F$11:F$12)/(365/12)*MAX(节奏总纲!G154-$E$2,0)</f>
        <v>31708810.689088412</v>
      </c>
      <c r="CN158" s="2">
        <f>INDEX($BZ$8:$BZ$15,MATCH(CI$7,$CB$8:$CB$15,0))*SUM(G$11:G$12)/(365/12)*MAX(节奏总纲!H154-$E$2,0)</f>
        <v>17111059.472340636</v>
      </c>
      <c r="CS158" s="2">
        <v>151</v>
      </c>
      <c r="CT158" s="2">
        <f t="shared" si="109"/>
        <v>13600921.620183866</v>
      </c>
      <c r="CU158" s="2">
        <f t="shared" si="110"/>
        <v>11643575.353167919</v>
      </c>
      <c r="CV158" s="2">
        <f t="shared" si="111"/>
        <v>9748406.1496534385</v>
      </c>
      <c r="CW158" s="2">
        <f t="shared" si="112"/>
        <v>8257502.7836167738</v>
      </c>
      <c r="CX158" s="2">
        <f t="shared" si="113"/>
        <v>5168965.8822695669</v>
      </c>
      <c r="CZ158" s="41">
        <f t="shared" si="114"/>
        <v>0.67796610169491534</v>
      </c>
      <c r="DA158" s="41">
        <f t="shared" si="115"/>
        <v>0.25423728813559326</v>
      </c>
      <c r="DB158" s="41">
        <f t="shared" si="116"/>
        <v>6.7796610169491539E-2</v>
      </c>
      <c r="DD158" s="41">
        <f t="shared" si="117"/>
        <v>0.63492063492063489</v>
      </c>
      <c r="DE158" s="41">
        <f t="shared" si="118"/>
        <v>0.23809523809523811</v>
      </c>
      <c r="DF158" s="41">
        <f t="shared" si="119"/>
        <v>0.12698412698412698</v>
      </c>
      <c r="DH158" s="41">
        <f t="shared" si="120"/>
        <v>0.45977011494252867</v>
      </c>
      <c r="DI158" s="41">
        <f t="shared" si="121"/>
        <v>0.17241379310344829</v>
      </c>
      <c r="DJ158" s="41">
        <f t="shared" si="122"/>
        <v>0.36781609195402304</v>
      </c>
      <c r="DL158" s="2">
        <f>CT158/节奏总纲!D154</f>
        <v>387.28240765994872</v>
      </c>
      <c r="DM158" s="2">
        <f>CU158/节奏总纲!E154</f>
        <v>392.41037363055955</v>
      </c>
      <c r="DN158" s="2">
        <f>CV158/节奏总纲!F154</f>
        <v>413.19308730302936</v>
      </c>
      <c r="DO158" s="2">
        <f>CW158/节奏总纲!G154</f>
        <v>491.38989161684958</v>
      </c>
      <c r="DP158" s="2">
        <f>CX158/节奏总纲!H154</f>
        <v>568.28125808335233</v>
      </c>
      <c r="DR158" s="2">
        <f t="shared" si="123"/>
        <v>1.0132408957112078</v>
      </c>
      <c r="DS158" s="2">
        <f t="shared" si="124"/>
        <v>1.0669038384667122</v>
      </c>
      <c r="DT158" s="2">
        <f t="shared" si="125"/>
        <v>1.2688154222804562</v>
      </c>
      <c r="DU158" s="2">
        <f t="shared" si="126"/>
        <v>1.4673562414493371</v>
      </c>
      <c r="DY158" s="2">
        <v>151</v>
      </c>
      <c r="DZ158" s="2">
        <f t="shared" si="127"/>
        <v>320889540.59823632</v>
      </c>
      <c r="EA158" s="2">
        <f t="shared" si="128"/>
        <v>275707403.01146775</v>
      </c>
      <c r="EB158" s="2">
        <f t="shared" si="129"/>
        <v>233961747.59168252</v>
      </c>
      <c r="EC158" s="2">
        <f t="shared" si="130"/>
        <v>166471256.11771417</v>
      </c>
      <c r="ED158" s="2">
        <f t="shared" si="131"/>
        <v>89833062.229788333</v>
      </c>
      <c r="EF158" s="57">
        <f t="shared" si="132"/>
        <v>0.62068965517241381</v>
      </c>
      <c r="EG158" s="57">
        <f t="shared" si="133"/>
        <v>0.25862068965517243</v>
      </c>
      <c r="EH158" s="41">
        <f t="shared" si="134"/>
        <v>0.1206896551724138</v>
      </c>
      <c r="EJ158" s="57">
        <f t="shared" si="135"/>
        <v>0.5714285714285714</v>
      </c>
      <c r="EK158" s="57">
        <f t="shared" si="136"/>
        <v>0.23809523809523811</v>
      </c>
      <c r="EL158" s="41">
        <f t="shared" si="137"/>
        <v>0.19047619047619047</v>
      </c>
      <c r="EN158" s="57">
        <f t="shared" si="138"/>
        <v>0.57142857142857151</v>
      </c>
      <c r="EO158" s="57">
        <f t="shared" si="139"/>
        <v>0.23809523809523814</v>
      </c>
      <c r="EP158" s="41">
        <f t="shared" si="140"/>
        <v>0.19047619047619049</v>
      </c>
    </row>
    <row r="159" spans="20:146" x14ac:dyDescent="0.15">
      <c r="T159" s="2">
        <v>152</v>
      </c>
      <c r="U159" s="2">
        <f>$N$8*SUM(C$11:C$12)/(365/12)*MAX(节奏总纲!D155-$E$2,0)</f>
        <v>790714.86660122976</v>
      </c>
      <c r="V159" s="2">
        <f>$N$8*SUM(D$11:D$12)/(365/12)*MAX(节奏总纲!E155-$E$2,0)</f>
        <v>667720.786886552</v>
      </c>
      <c r="W159" s="2">
        <f>$N$8*SUM(E$11:E$12)/(365/12)*MAX(节奏总纲!F155-$E$2,0)</f>
        <v>533718.22225214436</v>
      </c>
      <c r="X159" s="2">
        <f>$N$8*SUM(F$11:F$12)/(365/12)*MAX(节奏总纲!G155-$E$2,0)</f>
        <v>382846.54043858277</v>
      </c>
      <c r="Y159" s="2">
        <f>$N$8*SUM(G$11:G$12)/(365/12)*MAX(节奏总纲!H155-$E$2,0)</f>
        <v>295729.03387957078</v>
      </c>
      <c r="Z159" s="2">
        <f>$O$8*SUM(C$11:C$12)/(365/12)*MAX(节奏总纲!D155-$E$2,0)</f>
        <v>7907148.6660122983</v>
      </c>
      <c r="AA159" s="2">
        <f>$O$8*SUM(D$11:D$12)/(365/12)*MAX(节奏总纲!E155-$E$2,0)</f>
        <v>6677207.8688655198</v>
      </c>
      <c r="AB159" s="2">
        <f>$O$8*SUM(E$11:E$12)/(365/12)*MAX(节奏总纲!F155-$E$2,0)</f>
        <v>5337182.2225214439</v>
      </c>
      <c r="AC159" s="2">
        <f>$O$8*SUM(F$11:F$12)/(365/12)*MAX(节奏总纲!G155-$E$2,0)</f>
        <v>3828465.4043858275</v>
      </c>
      <c r="AD159" s="2">
        <f>$O$8*SUM(G$11:G$12)/(365/12)*MAX(节奏总纲!H155-$E$2,0)</f>
        <v>2957290.3387957076</v>
      </c>
      <c r="AE159" s="2">
        <f>$Q$8*SUM(C$11:C$12)/(365/12)*MAX(节奏总纲!D155-$E$2,0)</f>
        <v>9883935.832515372</v>
      </c>
      <c r="AF159" s="2">
        <f>$Q$8*SUM(D$11:D$12)/(365/12)*MAX(节奏总纲!E155-$E$2,0)</f>
        <v>8346509.8360818997</v>
      </c>
      <c r="AG159" s="2">
        <f>$Q$8*SUM(E$11:E$12)/(365/12)*MAX(节奏总纲!F155-$E$2,0)</f>
        <v>6671477.7781518046</v>
      </c>
      <c r="AH159" s="2">
        <f>$Q$8*SUM(F$11:F$12)/(365/12)*MAX(节奏总纲!G155-$E$2,0)</f>
        <v>4785581.7554822844</v>
      </c>
      <c r="AI159" s="2">
        <f>$Q$8*SUM(G$11:G$12)/(365/12)*MAX(节奏总纲!H155-$E$2,0)</f>
        <v>3696612.9234946342</v>
      </c>
      <c r="AJ159" s="2">
        <f>$P$8*SUM(C$11:C$12)/(365/12)*MAX(节奏总纲!D155-$E$2,0)</f>
        <v>213493013.98233205</v>
      </c>
      <c r="AK159" s="2">
        <f>$P$8*SUM(D$11:D$12)/(365/12)*MAX(节奏总纲!E155-$E$2,0)</f>
        <v>180284612.45936903</v>
      </c>
      <c r="AL159" s="2">
        <f>$P$8*SUM(E$11:E$12)/(365/12)*MAX(节奏总纲!F155-$E$2,0)</f>
        <v>144103920.00807899</v>
      </c>
      <c r="AM159" s="2">
        <f>$P$8*SUM(F$11:F$12)/(365/12)*MAX(节奏总纲!G155-$E$2,0)</f>
        <v>103368565.91841735</v>
      </c>
      <c r="AN159" s="2">
        <f>$P$8*SUM(G$11:G$12)/(365/12)*MAX(节奏总纲!H155-$E$2,0)</f>
        <v>79846839.147484109</v>
      </c>
      <c r="BC159" s="2">
        <v>152</v>
      </c>
      <c r="BD159" s="2">
        <f>$AZ$8/(365/12)*MAX(节奏总纲!D155-$E$2,0)</f>
        <v>3706475.9371932647</v>
      </c>
      <c r="BE159" s="2">
        <f>$AZ$8/(365/12)*MAX(节奏总纲!E155-$E$2,0)</f>
        <v>3129941.1885307124</v>
      </c>
      <c r="BF159" s="2">
        <f>$AZ$8/(365/12)*MAX(节奏总纲!F155-$E$2,0)</f>
        <v>2501804.166806927</v>
      </c>
      <c r="BG159" s="2">
        <f>$AZ$8/(365/12)*MAX(节奏总纲!G155-$E$2,0)</f>
        <v>1794593.1583058569</v>
      </c>
      <c r="BH159" s="2">
        <f>$AZ$8/(365/12)*MAX(节奏总纲!H155-$E$2,0)</f>
        <v>1386229.8463104879</v>
      </c>
      <c r="BI159" s="2">
        <f>$AY$8/(365/12)*MAX(节奏总纲!D155-$E$2,0)</f>
        <v>88955422.492638364</v>
      </c>
      <c r="BJ159" s="2">
        <f>$AY$8/(365/12)*MAX(节奏总纲!E155-$E$2,0)</f>
        <v>75118588.524737105</v>
      </c>
      <c r="BK159" s="2">
        <f>$AY$8/(365/12)*MAX(节奏总纲!F155-$E$2,0)</f>
        <v>60043300.003366247</v>
      </c>
      <c r="BL159" s="2">
        <f>$AY$8/(365/12)*MAX(节奏总纲!G155-$E$2,0)</f>
        <v>43070235.799340561</v>
      </c>
      <c r="BM159" s="2">
        <f>$AY$8/(365/12)*MAX(节奏总纲!H155-$E$2,0)</f>
        <v>33269516.311451714</v>
      </c>
      <c r="CD159" s="2">
        <v>152</v>
      </c>
      <c r="CE159" s="2">
        <f>INDEX($BY$8:$BY$15,MATCH(CE$7,$CB$8:$CB$15,0))*SUM(C$11:C$12)/(365/12)*MAX(节奏总纲!D155-$E$2,0)</f>
        <v>988393.58325153729</v>
      </c>
      <c r="CF159" s="2">
        <f>INDEX($BY$8:$BY$15,MATCH(CF$7,$CB$8:$CB$15,0))*SUM(D$11:D$12)/(365/12)*MAX(节奏总纲!E155-$E$2,0)</f>
        <v>1001581.1803298279</v>
      </c>
      <c r="CG159" s="2">
        <f>INDEX($BY$8:$BY$15,MATCH(CG$7,$CB$8:$CB$15,0))*SUM(E$11:E$12)/(365/12)*MAX(节奏总纲!F155-$E$2,0)</f>
        <v>1334295.555630361</v>
      </c>
      <c r="CH159" s="2">
        <f>INDEX($BY$8:$BY$15,MATCH(CH$7,$CB$8:$CB$15,0))*SUM(F$11:F$12)/(365/12)*MAX(节奏总纲!G155-$E$2,0)</f>
        <v>2392790.8777411422</v>
      </c>
      <c r="CI159" s="2">
        <f>INDEX($BY$8:$BY$15,MATCH(CI$7,$CB$8:$CB$15,0))*SUM(G$11:G$12)/(365/12)*MAX(节奏总纲!H155-$E$2,0)</f>
        <v>2957290.3387957076</v>
      </c>
      <c r="CJ159" s="2">
        <f>INDEX($BZ$8:$BZ$15,MATCH(CE$7,$CB$8:$CB$15,0))*SUM(C$11:C$12)/(365/12)*MAX(节奏总纲!D155-$E$2,0)</f>
        <v>41512530.496564567</v>
      </c>
      <c r="CK159" s="2">
        <f>INDEX($BZ$8:$BZ$15,MATCH(CF$7,$CB$8:$CB$15,0))*SUM(D$11:D$12)/(365/12)*MAX(节奏总纲!E155-$E$2,0)</f>
        <v>40063247.213193126</v>
      </c>
      <c r="CL159" s="2">
        <f>INDEX($BZ$8:$BZ$15,MATCH(CG$7,$CB$8:$CB$15,0))*SUM(E$11:E$12)/(365/12)*MAX(节奏总纲!F155-$E$2,0)</f>
        <v>48034640.002692997</v>
      </c>
      <c r="CM159" s="2">
        <f>INDEX($BZ$8:$BZ$15,MATCH(CH$7,$CB$8:$CB$15,0))*SUM(F$11:F$12)/(365/12)*MAX(节奏总纲!G155-$E$2,0)</f>
        <v>34456188.639472447</v>
      </c>
      <c r="CN159" s="2">
        <f>INDEX($BZ$8:$BZ$15,MATCH(CI$7,$CB$8:$CB$15,0))*SUM(G$11:G$12)/(365/12)*MAX(节奏总纲!H155-$E$2,0)</f>
        <v>26615613.049161367</v>
      </c>
      <c r="CS159" s="2">
        <v>152</v>
      </c>
      <c r="CT159" s="2">
        <f t="shared" si="109"/>
        <v>14578805.352960175</v>
      </c>
      <c r="CU159" s="2">
        <f t="shared" si="110"/>
        <v>12478032.204942441</v>
      </c>
      <c r="CV159" s="2">
        <f t="shared" si="111"/>
        <v>10507577.500589093</v>
      </c>
      <c r="CW159" s="2">
        <f t="shared" si="112"/>
        <v>8972965.7915292829</v>
      </c>
      <c r="CX159" s="2">
        <f t="shared" si="113"/>
        <v>8040133.1086008297</v>
      </c>
      <c r="CZ159" s="41">
        <f t="shared" si="114"/>
        <v>0.67796610169491522</v>
      </c>
      <c r="DA159" s="41">
        <f t="shared" si="115"/>
        <v>0.25423728813559321</v>
      </c>
      <c r="DB159" s="41">
        <f t="shared" si="116"/>
        <v>6.7796610169491525E-2</v>
      </c>
      <c r="DD159" s="41">
        <f t="shared" si="117"/>
        <v>0.63492063492063489</v>
      </c>
      <c r="DE159" s="41">
        <f t="shared" si="118"/>
        <v>0.23809523809523808</v>
      </c>
      <c r="DF159" s="41">
        <f t="shared" si="119"/>
        <v>0.12698412698412698</v>
      </c>
      <c r="DH159" s="41">
        <f t="shared" si="120"/>
        <v>0.45977011494252873</v>
      </c>
      <c r="DI159" s="41">
        <f t="shared" si="121"/>
        <v>0.17241379310344829</v>
      </c>
      <c r="DJ159" s="41">
        <f t="shared" si="122"/>
        <v>0.36781609195402298</v>
      </c>
      <c r="DL159" s="2">
        <f>CT159/节奏总纲!D155</f>
        <v>387.32679442636424</v>
      </c>
      <c r="DM159" s="2">
        <f>CU159/节奏总纲!E155</f>
        <v>392.46344525327896</v>
      </c>
      <c r="DN159" s="2">
        <f>CV159/节奏总纲!F155</f>
        <v>413.26902208387435</v>
      </c>
      <c r="DO159" s="2">
        <f>CW159/节奏总纲!G155</f>
        <v>491.52982772439219</v>
      </c>
      <c r="DP159" s="2">
        <f>CX159/节奏总纲!H155</f>
        <v>569.6230764812874</v>
      </c>
      <c r="DR159" s="2">
        <f t="shared" si="123"/>
        <v>1.0132618008896652</v>
      </c>
      <c r="DS159" s="2">
        <f t="shared" si="124"/>
        <v>1.0669776220773233</v>
      </c>
      <c r="DT159" s="2">
        <f t="shared" si="125"/>
        <v>1.2690313058572513</v>
      </c>
      <c r="DU159" s="2">
        <f t="shared" si="126"/>
        <v>1.470652391412544</v>
      </c>
      <c r="DY159" s="2">
        <v>152</v>
      </c>
      <c r="DZ159" s="2">
        <f t="shared" si="127"/>
        <v>343960966.97153497</v>
      </c>
      <c r="EA159" s="2">
        <f t="shared" si="128"/>
        <v>295466448.19729924</v>
      </c>
      <c r="EB159" s="2">
        <f t="shared" si="129"/>
        <v>252181860.01413822</v>
      </c>
      <c r="EC159" s="2">
        <f t="shared" si="130"/>
        <v>180894990.35723037</v>
      </c>
      <c r="ED159" s="2">
        <f t="shared" si="131"/>
        <v>139731968.5080972</v>
      </c>
      <c r="EF159" s="57">
        <f t="shared" si="132"/>
        <v>0.62068965517241381</v>
      </c>
      <c r="EG159" s="57">
        <f t="shared" si="133"/>
        <v>0.25862068965517243</v>
      </c>
      <c r="EH159" s="41">
        <f t="shared" si="134"/>
        <v>0.1206896551724138</v>
      </c>
      <c r="EJ159" s="57">
        <f t="shared" si="135"/>
        <v>0.57142857142857151</v>
      </c>
      <c r="EK159" s="57">
        <f t="shared" si="136"/>
        <v>0.23809523809523811</v>
      </c>
      <c r="EL159" s="41">
        <f t="shared" si="137"/>
        <v>0.19047619047619049</v>
      </c>
      <c r="EN159" s="57">
        <f t="shared" si="138"/>
        <v>0.5714285714285714</v>
      </c>
      <c r="EO159" s="57">
        <f t="shared" si="139"/>
        <v>0.23809523809523808</v>
      </c>
      <c r="EP159" s="41">
        <f t="shared" si="140"/>
        <v>0.19047619047619044</v>
      </c>
    </row>
    <row r="160" spans="20:146" x14ac:dyDescent="0.15">
      <c r="T160" s="2">
        <v>153</v>
      </c>
      <c r="U160" s="2">
        <f>$N$8*SUM(C$11:C$12)/(365/12)*MAX(节奏总纲!D156-$E$2,0)</f>
        <v>847559.33218688832</v>
      </c>
      <c r="V160" s="2">
        <f>$N$8*SUM(D$11:D$12)/(365/12)*MAX(节奏总纲!E156-$E$2,0)</f>
        <v>721084.88429378159</v>
      </c>
      <c r="W160" s="2">
        <f>$N$8*SUM(E$11:E$12)/(365/12)*MAX(节奏总纲!F156-$E$2,0)</f>
        <v>578482.8222398092</v>
      </c>
      <c r="X160" s="2">
        <f>$N$8*SUM(F$11:F$12)/(365/12)*MAX(节奏总纲!G156-$E$2,0)</f>
        <v>508030.61301076307</v>
      </c>
      <c r="Y160" s="2">
        <f>$N$8*SUM(G$11:G$12)/(365/12)*MAX(节奏总纲!H156-$E$2,0)</f>
        <v>508030.61301076307</v>
      </c>
      <c r="Z160" s="2">
        <f>$O$8*SUM(C$11:C$12)/(365/12)*MAX(节奏总纲!D156-$E$2,0)</f>
        <v>8475593.3218688834</v>
      </c>
      <c r="AA160" s="2">
        <f>$O$8*SUM(D$11:D$12)/(365/12)*MAX(节奏总纲!E156-$E$2,0)</f>
        <v>7210848.8429378159</v>
      </c>
      <c r="AB160" s="2">
        <f>$O$8*SUM(E$11:E$12)/(365/12)*MAX(节奏总纲!F156-$E$2,0)</f>
        <v>5784828.222398092</v>
      </c>
      <c r="AC160" s="2">
        <f>$O$8*SUM(F$11:F$12)/(365/12)*MAX(节奏总纲!G156-$E$2,0)</f>
        <v>5080306.130107631</v>
      </c>
      <c r="AD160" s="2">
        <f>$O$8*SUM(G$11:G$12)/(365/12)*MAX(节奏总纲!H156-$E$2,0)</f>
        <v>5080306.130107631</v>
      </c>
      <c r="AE160" s="2">
        <f>$Q$8*SUM(C$11:C$12)/(365/12)*MAX(节奏总纲!D156-$E$2,0)</f>
        <v>10594491.652336104</v>
      </c>
      <c r="AF160" s="2">
        <f>$Q$8*SUM(D$11:D$12)/(365/12)*MAX(节奏总纲!E156-$E$2,0)</f>
        <v>9013561.053672269</v>
      </c>
      <c r="AG160" s="2">
        <f>$Q$8*SUM(E$11:E$12)/(365/12)*MAX(节奏总纲!F156-$E$2,0)</f>
        <v>7231035.2779976139</v>
      </c>
      <c r="AH160" s="2">
        <f>$Q$8*SUM(F$11:F$12)/(365/12)*MAX(节奏总纲!G156-$E$2,0)</f>
        <v>6350382.6626345385</v>
      </c>
      <c r="AI160" s="2">
        <f>$Q$8*SUM(G$11:G$12)/(365/12)*MAX(节奏总纲!H156-$E$2,0)</f>
        <v>6350382.6626345385</v>
      </c>
      <c r="AJ160" s="2">
        <f>$P$8*SUM(C$11:C$12)/(365/12)*MAX(节奏总纲!D156-$E$2,0)</f>
        <v>228841019.69045985</v>
      </c>
      <c r="AK160" s="2">
        <f>$P$8*SUM(D$11:D$12)/(365/12)*MAX(节奏总纲!E156-$E$2,0)</f>
        <v>194692918.75932103</v>
      </c>
      <c r="AL160" s="2">
        <f>$P$8*SUM(E$11:E$12)/(365/12)*MAX(节奏总纲!F156-$E$2,0)</f>
        <v>156190362.00474846</v>
      </c>
      <c r="AM160" s="2">
        <f>$P$8*SUM(F$11:F$12)/(365/12)*MAX(节奏总纲!G156-$E$2,0)</f>
        <v>137168265.51290604</v>
      </c>
      <c r="AN160" s="2">
        <f>$P$8*SUM(G$11:G$12)/(365/12)*MAX(节奏总纲!H156-$E$2,0)</f>
        <v>137168265.51290604</v>
      </c>
      <c r="BC160" s="2">
        <v>153</v>
      </c>
      <c r="BD160" s="2">
        <f>$AZ$8/(365/12)*MAX(节奏总纲!D156-$E$2,0)</f>
        <v>3972934.3696260392</v>
      </c>
      <c r="BE160" s="2">
        <f>$AZ$8/(365/12)*MAX(节奏总纲!E156-$E$2,0)</f>
        <v>3380085.3951271013</v>
      </c>
      <c r="BF160" s="2">
        <f>$AZ$8/(365/12)*MAX(节奏总纲!F156-$E$2,0)</f>
        <v>2711638.2292491053</v>
      </c>
      <c r="BG160" s="2">
        <f>$AZ$8/(365/12)*MAX(节奏总纲!G156-$E$2,0)</f>
        <v>2381393.4984879522</v>
      </c>
      <c r="BH160" s="2">
        <f>$AZ$8/(365/12)*MAX(节奏总纲!H156-$E$2,0)</f>
        <v>2381393.4984879522</v>
      </c>
      <c r="BI160" s="2">
        <f>$AY$8/(365/12)*MAX(节奏总纲!D156-$E$2,0)</f>
        <v>95350424.871024951</v>
      </c>
      <c r="BJ160" s="2">
        <f>$AY$8/(365/12)*MAX(节奏总纲!E156-$E$2,0)</f>
        <v>81122049.483050436</v>
      </c>
      <c r="BK160" s="2">
        <f>$AY$8/(365/12)*MAX(节奏总纲!F156-$E$2,0)</f>
        <v>65079317.501978539</v>
      </c>
      <c r="BL160" s="2">
        <f>$AY$8/(365/12)*MAX(节奏总纲!G156-$E$2,0)</f>
        <v>57153443.963710852</v>
      </c>
      <c r="BM160" s="2">
        <f>$AY$8/(365/12)*MAX(节奏总纲!H156-$E$2,0)</f>
        <v>57153443.963710852</v>
      </c>
      <c r="CD160" s="2">
        <v>153</v>
      </c>
      <c r="CE160" s="2">
        <f>INDEX($BY$8:$BY$15,MATCH(CE$7,$CB$8:$CB$15,0))*SUM(C$11:C$12)/(365/12)*MAX(节奏总纲!D156-$E$2,0)</f>
        <v>1059449.1652336104</v>
      </c>
      <c r="CF160" s="2">
        <f>INDEX($BY$8:$BY$15,MATCH(CF$7,$CB$8:$CB$15,0))*SUM(D$11:D$12)/(365/12)*MAX(节奏总纲!E156-$E$2,0)</f>
        <v>1081627.3264406724</v>
      </c>
      <c r="CG160" s="2">
        <f>INDEX($BY$8:$BY$15,MATCH(CG$7,$CB$8:$CB$15,0))*SUM(E$11:E$12)/(365/12)*MAX(节奏总纲!F156-$E$2,0)</f>
        <v>1446207.055599523</v>
      </c>
      <c r="CH160" s="2">
        <f>INDEX($BY$8:$BY$15,MATCH(CH$7,$CB$8:$CB$15,0))*SUM(F$11:F$12)/(365/12)*MAX(节奏总纲!G156-$E$2,0)</f>
        <v>3175191.3313172692</v>
      </c>
      <c r="CI160" s="2">
        <f>INDEX($BY$8:$BY$15,MATCH(CI$7,$CB$8:$CB$15,0))*SUM(G$11:G$12)/(365/12)*MAX(节奏总纲!H156-$E$2,0)</f>
        <v>5080306.130107631</v>
      </c>
      <c r="CJ160" s="2">
        <f>INDEX($BZ$8:$BZ$15,MATCH(CE$7,$CB$8:$CB$15,0))*SUM(C$11:C$12)/(365/12)*MAX(节奏总纲!D156-$E$2,0)</f>
        <v>44496864.939811639</v>
      </c>
      <c r="CK160" s="2">
        <f>INDEX($BZ$8:$BZ$15,MATCH(CF$7,$CB$8:$CB$15,0))*SUM(D$11:D$12)/(365/12)*MAX(节奏总纲!E156-$E$2,0)</f>
        <v>43265093.057626903</v>
      </c>
      <c r="CL160" s="2">
        <f>INDEX($BZ$8:$BZ$15,MATCH(CG$7,$CB$8:$CB$15,0))*SUM(E$11:E$12)/(365/12)*MAX(节奏总纲!F156-$E$2,0)</f>
        <v>52063454.001582824</v>
      </c>
      <c r="CM160" s="2">
        <f>INDEX($BZ$8:$BZ$15,MATCH(CH$7,$CB$8:$CB$15,0))*SUM(F$11:F$12)/(365/12)*MAX(节奏总纲!G156-$E$2,0)</f>
        <v>45722755.170968674</v>
      </c>
      <c r="CN160" s="2">
        <f>INDEX($BZ$8:$BZ$15,MATCH(CI$7,$CB$8:$CB$15,0))*SUM(G$11:G$12)/(365/12)*MAX(节奏总纲!H156-$E$2,0)</f>
        <v>45722755.170968674</v>
      </c>
      <c r="CS160" s="2">
        <v>153</v>
      </c>
      <c r="CT160" s="2">
        <f t="shared" si="109"/>
        <v>15626875.187195754</v>
      </c>
      <c r="CU160" s="2">
        <f t="shared" si="110"/>
        <v>13475273.775240041</v>
      </c>
      <c r="CV160" s="2">
        <f t="shared" si="111"/>
        <v>11388880.562846243</v>
      </c>
      <c r="CW160" s="2">
        <f t="shared" si="112"/>
        <v>11906967.492439758</v>
      </c>
      <c r="CX160" s="2">
        <f t="shared" si="113"/>
        <v>13812082.29123012</v>
      </c>
      <c r="CZ160" s="41">
        <f t="shared" si="114"/>
        <v>0.67796610169491522</v>
      </c>
      <c r="DA160" s="41">
        <f t="shared" si="115"/>
        <v>0.25423728813559321</v>
      </c>
      <c r="DB160" s="41">
        <f t="shared" si="116"/>
        <v>6.7796610169491525E-2</v>
      </c>
      <c r="DD160" s="41">
        <f t="shared" si="117"/>
        <v>0.63492063492063489</v>
      </c>
      <c r="DE160" s="41">
        <f t="shared" si="118"/>
        <v>0.23809523809523808</v>
      </c>
      <c r="DF160" s="41">
        <f t="shared" si="119"/>
        <v>0.12698412698412698</v>
      </c>
      <c r="DH160" s="41">
        <f t="shared" si="120"/>
        <v>0.45977011494252878</v>
      </c>
      <c r="DI160" s="41">
        <f t="shared" si="121"/>
        <v>0.17241379310344832</v>
      </c>
      <c r="DJ160" s="41">
        <f t="shared" si="122"/>
        <v>0.36781609195402304</v>
      </c>
      <c r="DL160" s="2">
        <f>CT160/节奏总纲!D156</f>
        <v>387.36820859116341</v>
      </c>
      <c r="DM160" s="2">
        <f>CU160/节奏总纲!E156</f>
        <v>392.51826373535732</v>
      </c>
      <c r="DN160" s="2">
        <f>CV160/节奏总纲!F156</f>
        <v>413.34450312959177</v>
      </c>
      <c r="DO160" s="2">
        <f>CW160/节奏总纲!G156</f>
        <v>491.92823389699697</v>
      </c>
      <c r="DP160" s="2">
        <f>CX160/节奏总纲!H156</f>
        <v>570.63675132051651</v>
      </c>
      <c r="DR160" s="2">
        <f t="shared" si="123"/>
        <v>1.0132949866044103</v>
      </c>
      <c r="DS160" s="2">
        <f t="shared" si="124"/>
        <v>1.0670584058327932</v>
      </c>
      <c r="DT160" s="2">
        <f t="shared" si="125"/>
        <v>1.2699241264173757</v>
      </c>
      <c r="DU160" s="2">
        <f t="shared" si="126"/>
        <v>1.473111986644156</v>
      </c>
      <c r="DY160" s="2">
        <v>153</v>
      </c>
      <c r="DZ160" s="2">
        <f t="shared" si="127"/>
        <v>368688309.50129646</v>
      </c>
      <c r="EA160" s="2">
        <f t="shared" si="128"/>
        <v>319080061.29999834</v>
      </c>
      <c r="EB160" s="2">
        <f t="shared" si="129"/>
        <v>273333133.50830984</v>
      </c>
      <c r="EC160" s="2">
        <f t="shared" si="130"/>
        <v>240044464.64758557</v>
      </c>
      <c r="ED160" s="2">
        <f t="shared" si="131"/>
        <v>240044464.64758557</v>
      </c>
      <c r="EF160" s="57">
        <f t="shared" si="132"/>
        <v>0.6206896551724137</v>
      </c>
      <c r="EG160" s="57">
        <f t="shared" si="133"/>
        <v>0.25862068965517243</v>
      </c>
      <c r="EH160" s="41">
        <f t="shared" si="134"/>
        <v>0.12068965517241378</v>
      </c>
      <c r="EJ160" s="57">
        <f t="shared" si="135"/>
        <v>0.5714285714285714</v>
      </c>
      <c r="EK160" s="57">
        <f t="shared" si="136"/>
        <v>0.23809523809523811</v>
      </c>
      <c r="EL160" s="41">
        <f t="shared" si="137"/>
        <v>0.19047619047619047</v>
      </c>
      <c r="EN160" s="57">
        <f t="shared" si="138"/>
        <v>0.5714285714285714</v>
      </c>
      <c r="EO160" s="57">
        <f t="shared" si="139"/>
        <v>0.23809523809523811</v>
      </c>
      <c r="EP160" s="41">
        <f t="shared" si="140"/>
        <v>0.19047619047619044</v>
      </c>
    </row>
    <row r="161" spans="20:146" x14ac:dyDescent="0.15">
      <c r="T161" s="2">
        <v>154</v>
      </c>
      <c r="U161" s="2">
        <f>$N$8*SUM(C$11:C$12)/(365/12)*MAX(节奏总纲!D157-$E$2,0)</f>
        <v>908483.72189365327</v>
      </c>
      <c r="V161" s="2">
        <f>$N$8*SUM(D$11:D$12)/(365/12)*MAX(节奏总纲!E157-$E$2,0)</f>
        <v>776570.52468482708</v>
      </c>
      <c r="W161" s="2">
        <f>$N$8*SUM(E$11:E$12)/(365/12)*MAX(节奏总纲!F157-$E$2,0)</f>
        <v>712888.29154953163</v>
      </c>
      <c r="X161" s="2">
        <f>$N$8*SUM(F$11:F$12)/(365/12)*MAX(节奏总纲!G157-$E$2,0)</f>
        <v>717437.02248776704</v>
      </c>
      <c r="Y161" s="2">
        <f>$N$8*SUM(G$11:G$12)/(365/12)*MAX(节奏总纲!H157-$E$2,0)</f>
        <v>717437.02248776704</v>
      </c>
      <c r="Z161" s="2">
        <f>$O$8*SUM(C$11:C$12)/(365/12)*MAX(节奏总纲!D157-$E$2,0)</f>
        <v>9084837.2189365327</v>
      </c>
      <c r="AA161" s="2">
        <f>$O$8*SUM(D$11:D$12)/(365/12)*MAX(节奏总纲!E157-$E$2,0)</f>
        <v>7765705.2468482703</v>
      </c>
      <c r="AB161" s="2">
        <f>$O$8*SUM(E$11:E$12)/(365/12)*MAX(节奏总纲!F157-$E$2,0)</f>
        <v>7128882.9154953156</v>
      </c>
      <c r="AC161" s="2">
        <f>$O$8*SUM(F$11:F$12)/(365/12)*MAX(节奏总纲!G157-$E$2,0)</f>
        <v>7174370.2248776704</v>
      </c>
      <c r="AD161" s="2">
        <f>$O$8*SUM(G$11:G$12)/(365/12)*MAX(节奏总纲!H157-$E$2,0)</f>
        <v>7174370.2248776704</v>
      </c>
      <c r="AE161" s="2">
        <f>$Q$8*SUM(C$11:C$12)/(365/12)*MAX(节奏总纲!D157-$E$2,0)</f>
        <v>11356046.523670666</v>
      </c>
      <c r="AF161" s="2">
        <f>$Q$8*SUM(D$11:D$12)/(365/12)*MAX(节奏总纲!E157-$E$2,0)</f>
        <v>9707131.5585603379</v>
      </c>
      <c r="AG161" s="2">
        <f>$Q$8*SUM(E$11:E$12)/(365/12)*MAX(节奏总纲!F157-$E$2,0)</f>
        <v>8911103.644369144</v>
      </c>
      <c r="AH161" s="2">
        <f>$Q$8*SUM(F$11:F$12)/(365/12)*MAX(节奏总纲!G157-$E$2,0)</f>
        <v>8967962.7810970861</v>
      </c>
      <c r="AI161" s="2">
        <f>$Q$8*SUM(G$11:G$12)/(365/12)*MAX(节奏总纲!H157-$E$2,0)</f>
        <v>8967962.7810970861</v>
      </c>
      <c r="AJ161" s="2">
        <f>$P$8*SUM(C$11:C$12)/(365/12)*MAX(节奏总纲!D157-$E$2,0)</f>
        <v>245290604.91128638</v>
      </c>
      <c r="AK161" s="2">
        <f>$P$8*SUM(D$11:D$12)/(365/12)*MAX(节奏总纲!E157-$E$2,0)</f>
        <v>209674041.66490331</v>
      </c>
      <c r="AL161" s="2">
        <f>$P$8*SUM(E$11:E$12)/(365/12)*MAX(节奏总纲!F157-$E$2,0)</f>
        <v>192479838.71837351</v>
      </c>
      <c r="AM161" s="2">
        <f>$P$8*SUM(F$11:F$12)/(365/12)*MAX(节奏总纲!G157-$E$2,0)</f>
        <v>193707996.07169709</v>
      </c>
      <c r="AN161" s="2">
        <f>$P$8*SUM(G$11:G$12)/(365/12)*MAX(节奏总纲!H157-$E$2,0)</f>
        <v>193707996.07169709</v>
      </c>
      <c r="BC161" s="2">
        <v>154</v>
      </c>
      <c r="BD161" s="2">
        <f>$AZ$8/(365/12)*MAX(节奏总纲!D157-$E$2,0)</f>
        <v>4258517.4463764997</v>
      </c>
      <c r="BE161" s="2">
        <f>$AZ$8/(365/12)*MAX(节奏总纲!E157-$E$2,0)</f>
        <v>3640174.3344601272</v>
      </c>
      <c r="BF161" s="2">
        <f>$AZ$8/(365/12)*MAX(节奏总纲!F157-$E$2,0)</f>
        <v>3341663.8666384295</v>
      </c>
      <c r="BG161" s="2">
        <f>$AZ$8/(365/12)*MAX(节奏总纲!G157-$E$2,0)</f>
        <v>3362986.042911408</v>
      </c>
      <c r="BH161" s="2">
        <f>$AZ$8/(365/12)*MAX(节奏总纲!H157-$E$2,0)</f>
        <v>3362986.042911408</v>
      </c>
      <c r="BI161" s="2">
        <f>$AY$8/(365/12)*MAX(节奏总纲!D157-$E$2,0)</f>
        <v>102204418.713036</v>
      </c>
      <c r="BJ161" s="2">
        <f>$AY$8/(365/12)*MAX(节奏总纲!E157-$E$2,0)</f>
        <v>87364184.027043045</v>
      </c>
      <c r="BK161" s="2">
        <f>$AY$8/(365/12)*MAX(节奏总纲!F157-$E$2,0)</f>
        <v>80199932.799322307</v>
      </c>
      <c r="BL161" s="2">
        <f>$AY$8/(365/12)*MAX(节奏总纲!G157-$E$2,0)</f>
        <v>80711665.029873788</v>
      </c>
      <c r="BM161" s="2">
        <f>$AY$8/(365/12)*MAX(节奏总纲!H157-$E$2,0)</f>
        <v>80711665.029873788</v>
      </c>
      <c r="CD161" s="2">
        <v>154</v>
      </c>
      <c r="CE161" s="2">
        <f>INDEX($BY$8:$BY$15,MATCH(CE$7,$CB$8:$CB$15,0))*SUM(C$11:C$12)/(365/12)*MAX(节奏总纲!D157-$E$2,0)</f>
        <v>1135604.6523670666</v>
      </c>
      <c r="CF161" s="2">
        <f>INDEX($BY$8:$BY$15,MATCH(CF$7,$CB$8:$CB$15,0))*SUM(D$11:D$12)/(365/12)*MAX(节奏总纲!E157-$E$2,0)</f>
        <v>1164855.7870272405</v>
      </c>
      <c r="CG161" s="2">
        <f>INDEX($BY$8:$BY$15,MATCH(CG$7,$CB$8:$CB$15,0))*SUM(E$11:E$12)/(365/12)*MAX(节奏总纲!F157-$E$2,0)</f>
        <v>1782220.7288738289</v>
      </c>
      <c r="CH161" s="2">
        <f>INDEX($BY$8:$BY$15,MATCH(CH$7,$CB$8:$CB$15,0))*SUM(F$11:F$12)/(365/12)*MAX(节奏总纲!G157-$E$2,0)</f>
        <v>4483981.3905485431</v>
      </c>
      <c r="CI161" s="2">
        <f>INDEX($BY$8:$BY$15,MATCH(CI$7,$CB$8:$CB$15,0))*SUM(G$11:G$12)/(365/12)*MAX(节奏总纲!H157-$E$2,0)</f>
        <v>7174370.2248776704</v>
      </c>
      <c r="CJ161" s="2">
        <f>INDEX($BZ$8:$BZ$15,MATCH(CE$7,$CB$8:$CB$15,0))*SUM(C$11:C$12)/(365/12)*MAX(节奏总纲!D157-$E$2,0)</f>
        <v>47695395.399416804</v>
      </c>
      <c r="CK161" s="2">
        <f>INDEX($BZ$8:$BZ$15,MATCH(CF$7,$CB$8:$CB$15,0))*SUM(D$11:D$12)/(365/12)*MAX(节奏总纲!E157-$E$2,0)</f>
        <v>46594231.481089629</v>
      </c>
      <c r="CL161" s="2">
        <f>INDEX($BZ$8:$BZ$15,MATCH(CG$7,$CB$8:$CB$15,0))*SUM(E$11:E$12)/(365/12)*MAX(节奏总纲!F157-$E$2,0)</f>
        <v>64159946.239457838</v>
      </c>
      <c r="CM161" s="2">
        <f>INDEX($BZ$8:$BZ$15,MATCH(CH$7,$CB$8:$CB$15,0))*SUM(F$11:F$12)/(365/12)*MAX(节奏总纲!G157-$E$2,0)</f>
        <v>64569332.023899026</v>
      </c>
      <c r="CN161" s="2">
        <f>INDEX($BZ$8:$BZ$15,MATCH(CI$7,$CB$8:$CB$15,0))*SUM(G$11:G$12)/(365/12)*MAX(节奏总纲!H157-$E$2,0)</f>
        <v>64569332.023899026</v>
      </c>
      <c r="CS161" s="2">
        <v>154</v>
      </c>
      <c r="CT161" s="2">
        <f t="shared" si="109"/>
        <v>16750168.622414231</v>
      </c>
      <c r="CU161" s="2">
        <f t="shared" si="110"/>
        <v>14512161.680047706</v>
      </c>
      <c r="CV161" s="2">
        <f t="shared" si="111"/>
        <v>14034988.239881402</v>
      </c>
      <c r="CW161" s="2">
        <f t="shared" si="112"/>
        <v>16814930.214557037</v>
      </c>
      <c r="CX161" s="2">
        <f t="shared" si="113"/>
        <v>19505319.048886165</v>
      </c>
      <c r="CZ161" s="41">
        <f t="shared" si="114"/>
        <v>0.67796610169491534</v>
      </c>
      <c r="DA161" s="41">
        <f t="shared" si="115"/>
        <v>0.25423728813559321</v>
      </c>
      <c r="DB161" s="41">
        <f t="shared" si="116"/>
        <v>6.7796610169491525E-2</v>
      </c>
      <c r="DD161" s="41">
        <f t="shared" si="117"/>
        <v>0.63492063492063489</v>
      </c>
      <c r="DE161" s="41">
        <f t="shared" si="118"/>
        <v>0.23809523809523814</v>
      </c>
      <c r="DF161" s="41">
        <f t="shared" si="119"/>
        <v>0.12698412698412698</v>
      </c>
      <c r="DH161" s="41">
        <f t="shared" si="120"/>
        <v>0.45977011494252867</v>
      </c>
      <c r="DI161" s="41">
        <f t="shared" si="121"/>
        <v>0.17241379310344829</v>
      </c>
      <c r="DJ161" s="41">
        <f t="shared" si="122"/>
        <v>0.36781609195402304</v>
      </c>
      <c r="DL161" s="2">
        <f>CT161/节奏总纲!D157</f>
        <v>387.40684924034554</v>
      </c>
      <c r="DM161" s="2">
        <f>CU161/节奏总纲!E157</f>
        <v>392.56728531787763</v>
      </c>
      <c r="DN161" s="2">
        <f>CV161/节奏总纲!F157</f>
        <v>413.51427602121544</v>
      </c>
      <c r="DO161" s="2">
        <f>CW161/节奏总纲!G157</f>
        <v>492.28441765124535</v>
      </c>
      <c r="DP161" s="2">
        <f>CX161/节奏总纲!H157</f>
        <v>571.04992447544475</v>
      </c>
      <c r="DR161" s="2">
        <f t="shared" si="123"/>
        <v>1.0133204564856069</v>
      </c>
      <c r="DS161" s="2">
        <f t="shared" si="124"/>
        <v>1.0673902044635069</v>
      </c>
      <c r="DT161" s="2">
        <f t="shared" si="125"/>
        <v>1.270716866819859</v>
      </c>
      <c r="DU161" s="2">
        <f t="shared" si="126"/>
        <v>1.4740315655110368</v>
      </c>
      <c r="DY161" s="2">
        <v>154</v>
      </c>
      <c r="DZ161" s="2">
        <f t="shared" si="127"/>
        <v>395190419.02373922</v>
      </c>
      <c r="EA161" s="2">
        <f t="shared" si="128"/>
        <v>343632457.17303604</v>
      </c>
      <c r="EB161" s="2">
        <f t="shared" si="129"/>
        <v>336839717.75715363</v>
      </c>
      <c r="EC161" s="2">
        <f t="shared" si="130"/>
        <v>338988993.12546986</v>
      </c>
      <c r="ED161" s="2">
        <f t="shared" si="131"/>
        <v>338988993.12546986</v>
      </c>
      <c r="EF161" s="57">
        <f t="shared" si="132"/>
        <v>0.6206896551724137</v>
      </c>
      <c r="EG161" s="57">
        <f t="shared" si="133"/>
        <v>0.25862068965517243</v>
      </c>
      <c r="EH161" s="41">
        <f t="shared" si="134"/>
        <v>0.1206896551724138</v>
      </c>
      <c r="EJ161" s="57">
        <f t="shared" si="135"/>
        <v>0.5714285714285714</v>
      </c>
      <c r="EK161" s="57">
        <f t="shared" si="136"/>
        <v>0.23809523809523814</v>
      </c>
      <c r="EL161" s="41">
        <f t="shared" si="137"/>
        <v>0.19047619047619049</v>
      </c>
      <c r="EN161" s="57">
        <f t="shared" si="138"/>
        <v>0.57142857142857151</v>
      </c>
      <c r="EO161" s="57">
        <f t="shared" si="139"/>
        <v>0.23809523809523814</v>
      </c>
      <c r="EP161" s="41">
        <f t="shared" si="140"/>
        <v>0.19047619047619049</v>
      </c>
    </row>
    <row r="162" spans="20:146" x14ac:dyDescent="0.15">
      <c r="T162" s="2">
        <v>155</v>
      </c>
      <c r="U162" s="2">
        <f>$N$8*SUM(C$11:C$12)/(365/12)*MAX(节奏总纲!D158-$E$2,0)</f>
        <v>973780.86600258492</v>
      </c>
      <c r="V162" s="2">
        <f>$N$8*SUM(D$11:D$12)/(365/12)*MAX(节奏总纲!E158-$E$2,0)</f>
        <v>926198.75141289167</v>
      </c>
      <c r="W162" s="2">
        <f>$N$8*SUM(E$11:E$12)/(365/12)*MAX(节奏总纲!F158-$E$2,0)</f>
        <v>933024.05473518372</v>
      </c>
      <c r="X162" s="2">
        <f>$N$8*SUM(F$11:F$12)/(365/12)*MAX(节奏总纲!G158-$E$2,0)</f>
        <v>933024.05473518372</v>
      </c>
      <c r="Y162" s="2">
        <f>$N$8*SUM(G$11:G$12)/(365/12)*MAX(节奏总纲!H158-$E$2,0)</f>
        <v>935949.18473045179</v>
      </c>
      <c r="Z162" s="2">
        <f>$O$8*SUM(C$11:C$12)/(365/12)*MAX(节奏总纲!D158-$E$2,0)</f>
        <v>9737808.6600258499</v>
      </c>
      <c r="AA162" s="2">
        <f>$O$8*SUM(D$11:D$12)/(365/12)*MAX(节奏总纲!E158-$E$2,0)</f>
        <v>9261987.5141289178</v>
      </c>
      <c r="AB162" s="2">
        <f>$O$8*SUM(E$11:E$12)/(365/12)*MAX(节奏总纲!F158-$E$2,0)</f>
        <v>9330240.5473518372</v>
      </c>
      <c r="AC162" s="2">
        <f>$O$8*SUM(F$11:F$12)/(365/12)*MAX(节奏总纲!G158-$E$2,0)</f>
        <v>9330240.5473518372</v>
      </c>
      <c r="AD162" s="2">
        <f>$O$8*SUM(G$11:G$12)/(365/12)*MAX(节奏总纲!H158-$E$2,0)</f>
        <v>9359491.8473045174</v>
      </c>
      <c r="AE162" s="2">
        <f>$Q$8*SUM(C$11:C$12)/(365/12)*MAX(节奏总纲!D158-$E$2,0)</f>
        <v>12172260.825032311</v>
      </c>
      <c r="AF162" s="2">
        <f>$Q$8*SUM(D$11:D$12)/(365/12)*MAX(节奏总纲!E158-$E$2,0)</f>
        <v>11577484.392661145</v>
      </c>
      <c r="AG162" s="2">
        <f>$Q$8*SUM(E$11:E$12)/(365/12)*MAX(节奏总纲!F158-$E$2,0)</f>
        <v>11662800.684189796</v>
      </c>
      <c r="AH162" s="2">
        <f>$Q$8*SUM(F$11:F$12)/(365/12)*MAX(节奏总纲!G158-$E$2,0)</f>
        <v>11662800.684189796</v>
      </c>
      <c r="AI162" s="2">
        <f>$Q$8*SUM(G$11:G$12)/(365/12)*MAX(节奏总纲!H158-$E$2,0)</f>
        <v>11699364.809130646</v>
      </c>
      <c r="AJ162" s="2">
        <f>$P$8*SUM(C$11:C$12)/(365/12)*MAX(节奏总纲!D158-$E$2,0)</f>
        <v>262920833.82069793</v>
      </c>
      <c r="AK162" s="2">
        <f>$P$8*SUM(D$11:D$12)/(365/12)*MAX(节奏总纲!E158-$E$2,0)</f>
        <v>250073662.88148075</v>
      </c>
      <c r="AL162" s="2">
        <f>$P$8*SUM(E$11:E$12)/(365/12)*MAX(节奏总纲!F158-$E$2,0)</f>
        <v>251916494.7784996</v>
      </c>
      <c r="AM162" s="2">
        <f>$P$8*SUM(F$11:F$12)/(365/12)*MAX(节奏总纲!G158-$E$2,0)</f>
        <v>251916494.7784996</v>
      </c>
      <c r="AN162" s="2">
        <f>$P$8*SUM(G$11:G$12)/(365/12)*MAX(节奏总纲!H158-$E$2,0)</f>
        <v>252706279.87722197</v>
      </c>
      <c r="BC162" s="2">
        <v>155</v>
      </c>
      <c r="BD162" s="2">
        <f>$AZ$8/(365/12)*MAX(节奏总纲!D158-$E$2,0)</f>
        <v>4564597.8093871167</v>
      </c>
      <c r="BE162" s="2">
        <f>$AZ$8/(365/12)*MAX(节奏总纲!E158-$E$2,0)</f>
        <v>4341556.6472479301</v>
      </c>
      <c r="BF162" s="2">
        <f>$AZ$8/(365/12)*MAX(节奏总纲!F158-$E$2,0)</f>
        <v>4373550.2565711737</v>
      </c>
      <c r="BG162" s="2">
        <f>$AZ$8/(365/12)*MAX(节奏总纲!G158-$E$2,0)</f>
        <v>4373550.2565711737</v>
      </c>
      <c r="BH162" s="2">
        <f>$AZ$8/(365/12)*MAX(节奏总纲!H158-$E$2,0)</f>
        <v>4387261.8034239933</v>
      </c>
      <c r="BI162" s="2">
        <f>$AY$8/(365/12)*MAX(节奏总纲!D158-$E$2,0)</f>
        <v>109550347.42529081</v>
      </c>
      <c r="BJ162" s="2">
        <f>$AY$8/(365/12)*MAX(节奏总纲!E158-$E$2,0)</f>
        <v>104197359.53395033</v>
      </c>
      <c r="BK162" s="2">
        <f>$AY$8/(365/12)*MAX(节奏总纲!F158-$E$2,0)</f>
        <v>104965206.15770818</v>
      </c>
      <c r="BL162" s="2">
        <f>$AY$8/(365/12)*MAX(节奏总纲!G158-$E$2,0)</f>
        <v>104965206.15770818</v>
      </c>
      <c r="BM162" s="2">
        <f>$AY$8/(365/12)*MAX(节奏总纲!H158-$E$2,0)</f>
        <v>105294283.28217584</v>
      </c>
      <c r="CD162" s="2">
        <v>155</v>
      </c>
      <c r="CE162" s="2">
        <f>INDEX($BY$8:$BY$15,MATCH(CE$7,$CB$8:$CB$15,0))*SUM(C$11:C$12)/(365/12)*MAX(节奏总纲!D158-$E$2,0)</f>
        <v>1217226.0825032312</v>
      </c>
      <c r="CF162" s="2">
        <f>INDEX($BY$8:$BY$15,MATCH(CF$7,$CB$8:$CB$15,0))*SUM(D$11:D$12)/(365/12)*MAX(节奏总纲!E158-$E$2,0)</f>
        <v>1389298.1271193377</v>
      </c>
      <c r="CG162" s="2">
        <f>INDEX($BY$8:$BY$15,MATCH(CG$7,$CB$8:$CB$15,0))*SUM(E$11:E$12)/(365/12)*MAX(节奏总纲!F158-$E$2,0)</f>
        <v>2332560.1368379593</v>
      </c>
      <c r="CH162" s="2">
        <f>INDEX($BY$8:$BY$15,MATCH(CH$7,$CB$8:$CB$15,0))*SUM(F$11:F$12)/(365/12)*MAX(节奏总纲!G158-$E$2,0)</f>
        <v>5831400.3420948982</v>
      </c>
      <c r="CI162" s="2">
        <f>INDEX($BY$8:$BY$15,MATCH(CI$7,$CB$8:$CB$15,0))*SUM(G$11:G$12)/(365/12)*MAX(节奏总纲!H158-$E$2,0)</f>
        <v>9359491.8473045174</v>
      </c>
      <c r="CJ162" s="2">
        <f>INDEX($BZ$8:$BZ$15,MATCH(CE$7,$CB$8:$CB$15,0))*SUM(C$11:C$12)/(365/12)*MAX(节奏总纲!D158-$E$2,0)</f>
        <v>51123495.465135708</v>
      </c>
      <c r="CK162" s="2">
        <f>INDEX($BZ$8:$BZ$15,MATCH(CF$7,$CB$8:$CB$15,0))*SUM(D$11:D$12)/(365/12)*MAX(节奏总纲!E158-$E$2,0)</f>
        <v>55571925.084773511</v>
      </c>
      <c r="CL162" s="2">
        <f>INDEX($BZ$8:$BZ$15,MATCH(CG$7,$CB$8:$CB$15,0))*SUM(E$11:E$12)/(365/12)*MAX(节奏总纲!F158-$E$2,0)</f>
        <v>83972164.926166534</v>
      </c>
      <c r="CM162" s="2">
        <f>INDEX($BZ$8:$BZ$15,MATCH(CH$7,$CB$8:$CB$15,0))*SUM(F$11:F$12)/(365/12)*MAX(节奏总纲!G158-$E$2,0)</f>
        <v>83972164.926166534</v>
      </c>
      <c r="CN162" s="2">
        <f>INDEX($BZ$8:$BZ$15,MATCH(CI$7,$CB$8:$CB$15,0))*SUM(G$11:G$12)/(365/12)*MAX(节奏总纲!H158-$E$2,0)</f>
        <v>84235426.625740662</v>
      </c>
      <c r="CS162" s="2">
        <v>155</v>
      </c>
      <c r="CT162" s="2">
        <f t="shared" si="109"/>
        <v>17954084.716922656</v>
      </c>
      <c r="CU162" s="2">
        <f t="shared" si="110"/>
        <v>17308339.167028412</v>
      </c>
      <c r="CV162" s="2">
        <f t="shared" si="111"/>
        <v>18368911.077598929</v>
      </c>
      <c r="CW162" s="2">
        <f t="shared" si="112"/>
        <v>21867751.282855868</v>
      </c>
      <c r="CX162" s="2">
        <f t="shared" si="113"/>
        <v>25446118.459859155</v>
      </c>
      <c r="CZ162" s="41">
        <f t="shared" si="114"/>
        <v>0.67796610169491534</v>
      </c>
      <c r="DA162" s="41">
        <f t="shared" si="115"/>
        <v>0.25423728813559326</v>
      </c>
      <c r="DB162" s="41">
        <f t="shared" si="116"/>
        <v>6.7796610169491539E-2</v>
      </c>
      <c r="DD162" s="41">
        <f t="shared" si="117"/>
        <v>0.63492063492063489</v>
      </c>
      <c r="DE162" s="41">
        <f t="shared" si="118"/>
        <v>0.23809523809523808</v>
      </c>
      <c r="DF162" s="41">
        <f t="shared" si="119"/>
        <v>0.12698412698412698</v>
      </c>
      <c r="DH162" s="41">
        <f t="shared" si="120"/>
        <v>0.45977011494252873</v>
      </c>
      <c r="DI162" s="41">
        <f t="shared" si="121"/>
        <v>0.17241379310344832</v>
      </c>
      <c r="DJ162" s="41">
        <f t="shared" si="122"/>
        <v>0.36781609195402304</v>
      </c>
      <c r="DL162" s="2">
        <f>CT162/节奏总纲!D158</f>
        <v>387.4429021251579</v>
      </c>
      <c r="DM162" s="2">
        <f>CU162/节奏总纲!E158</f>
        <v>392.67024580273426</v>
      </c>
      <c r="DN162" s="2">
        <f>CV162/节奏总纲!F158</f>
        <v>413.68681973925976</v>
      </c>
      <c r="DO162" s="2">
        <f>CW162/节奏总纲!G158</f>
        <v>492.48430921340446</v>
      </c>
      <c r="DP162" s="2">
        <f>CX162/节奏总纲!H158</f>
        <v>571.28421128378193</v>
      </c>
      <c r="DR162" s="2">
        <f t="shared" si="123"/>
        <v>1.0134919071917536</v>
      </c>
      <c r="DS162" s="2">
        <f t="shared" si="124"/>
        <v>1.0677362198924065</v>
      </c>
      <c r="DT162" s="2">
        <f t="shared" si="125"/>
        <v>1.2711145474909602</v>
      </c>
      <c r="DU162" s="2">
        <f t="shared" si="126"/>
        <v>1.4744991020618483</v>
      </c>
      <c r="DY162" s="2">
        <v>155</v>
      </c>
      <c r="DZ162" s="2">
        <f t="shared" si="127"/>
        <v>423594676.71112442</v>
      </c>
      <c r="EA162" s="2">
        <f t="shared" si="128"/>
        <v>409842947.50020456</v>
      </c>
      <c r="EB162" s="2">
        <f t="shared" si="129"/>
        <v>440853865.86237431</v>
      </c>
      <c r="EC162" s="2">
        <f t="shared" si="130"/>
        <v>440853865.86237431</v>
      </c>
      <c r="ED162" s="2">
        <f t="shared" si="131"/>
        <v>442235989.78513849</v>
      </c>
      <c r="EF162" s="57">
        <f t="shared" si="132"/>
        <v>0.62068965517241381</v>
      </c>
      <c r="EG162" s="57">
        <f t="shared" si="133"/>
        <v>0.25862068965517243</v>
      </c>
      <c r="EH162" s="41">
        <f t="shared" si="134"/>
        <v>0.1206896551724138</v>
      </c>
      <c r="EJ162" s="57">
        <f t="shared" si="135"/>
        <v>0.5714285714285714</v>
      </c>
      <c r="EK162" s="57">
        <f t="shared" si="136"/>
        <v>0.23809523809523814</v>
      </c>
      <c r="EL162" s="41">
        <f t="shared" si="137"/>
        <v>0.19047619047619047</v>
      </c>
      <c r="EN162" s="57">
        <f t="shared" si="138"/>
        <v>0.5714285714285714</v>
      </c>
      <c r="EO162" s="57">
        <f t="shared" si="139"/>
        <v>0.23809523809523811</v>
      </c>
      <c r="EP162" s="41">
        <f t="shared" si="140"/>
        <v>0.19047619047619047</v>
      </c>
    </row>
    <row r="163" spans="20:146" x14ac:dyDescent="0.15">
      <c r="T163" s="2">
        <v>156</v>
      </c>
      <c r="U163" s="2">
        <f>$N$8*SUM(C$11:C$12)/(365/12)*MAX(节奏总纲!D159-$E$2,0)</f>
        <v>1043764.612237944</v>
      </c>
      <c r="V163" s="2">
        <f>$N$8*SUM(D$11:D$12)/(365/12)*MAX(节奏总纲!E159-$E$2,0)</f>
        <v>1043764.612237944</v>
      </c>
      <c r="W163" s="2">
        <f>$N$8*SUM(E$11:E$12)/(365/12)*MAX(节奏总纲!F159-$E$2,0)</f>
        <v>1054214.8830178576</v>
      </c>
      <c r="X163" s="2">
        <f>$N$8*SUM(F$11:F$12)/(365/12)*MAX(节奏总纲!G159-$E$2,0)</f>
        <v>1054214.8830178576</v>
      </c>
      <c r="Y163" s="2">
        <f>$N$8*SUM(G$11:G$12)/(365/12)*MAX(节奏总纲!H159-$E$2,0)</f>
        <v>1057349.9642518316</v>
      </c>
      <c r="Z163" s="2">
        <f>$O$8*SUM(C$11:C$12)/(365/12)*MAX(节奏总纲!D159-$E$2,0)</f>
        <v>10437646.122379441</v>
      </c>
      <c r="AA163" s="2">
        <f>$O$8*SUM(D$11:D$12)/(365/12)*MAX(节奏总纲!E159-$E$2,0)</f>
        <v>10437646.122379441</v>
      </c>
      <c r="AB163" s="2">
        <f>$O$8*SUM(E$11:E$12)/(365/12)*MAX(节奏总纲!F159-$E$2,0)</f>
        <v>10542148.830178576</v>
      </c>
      <c r="AC163" s="2">
        <f>$O$8*SUM(F$11:F$12)/(365/12)*MAX(节奏总纲!G159-$E$2,0)</f>
        <v>10542148.830178576</v>
      </c>
      <c r="AD163" s="2">
        <f>$O$8*SUM(G$11:G$12)/(365/12)*MAX(节奏总纲!H159-$E$2,0)</f>
        <v>10573499.642518317</v>
      </c>
      <c r="AE163" s="2">
        <f>$Q$8*SUM(C$11:C$12)/(365/12)*MAX(节奏总纲!D159-$E$2,0)</f>
        <v>13047057.6529743</v>
      </c>
      <c r="AF163" s="2">
        <f>$Q$8*SUM(D$11:D$12)/(365/12)*MAX(节奏总纲!E159-$E$2,0)</f>
        <v>13047057.6529743</v>
      </c>
      <c r="AG163" s="2">
        <f>$Q$8*SUM(E$11:E$12)/(365/12)*MAX(节奏总纲!F159-$E$2,0)</f>
        <v>13177686.037723219</v>
      </c>
      <c r="AH163" s="2">
        <f>$Q$8*SUM(F$11:F$12)/(365/12)*MAX(节奏总纲!G159-$E$2,0)</f>
        <v>13177686.037723219</v>
      </c>
      <c r="AI163" s="2">
        <f>$Q$8*SUM(G$11:G$12)/(365/12)*MAX(节奏总纲!H159-$E$2,0)</f>
        <v>13216874.553147895</v>
      </c>
      <c r="AJ163" s="2">
        <f>$P$8*SUM(C$11:C$12)/(365/12)*MAX(节奏总纲!D159-$E$2,0)</f>
        <v>281816445.30424488</v>
      </c>
      <c r="AK163" s="2">
        <f>$P$8*SUM(D$11:D$12)/(365/12)*MAX(节奏总纲!E159-$E$2,0)</f>
        <v>281816445.30424488</v>
      </c>
      <c r="AL163" s="2">
        <f>$P$8*SUM(E$11:E$12)/(365/12)*MAX(节奏总纲!F159-$E$2,0)</f>
        <v>284638018.41482157</v>
      </c>
      <c r="AM163" s="2">
        <f>$P$8*SUM(F$11:F$12)/(365/12)*MAX(节奏总纲!G159-$E$2,0)</f>
        <v>284638018.41482157</v>
      </c>
      <c r="AN163" s="2">
        <f>$P$8*SUM(G$11:G$12)/(365/12)*MAX(节奏总纲!H159-$E$2,0)</f>
        <v>285484490.34799457</v>
      </c>
      <c r="BC163" s="2">
        <v>156</v>
      </c>
      <c r="BD163" s="2">
        <f>$AZ$8/(365/12)*MAX(节奏总纲!D159-$E$2,0)</f>
        <v>4892646.6198653625</v>
      </c>
      <c r="BE163" s="2">
        <f>$AZ$8/(365/12)*MAX(节奏总纲!E159-$E$2,0)</f>
        <v>4892646.6198653625</v>
      </c>
      <c r="BF163" s="2">
        <f>$AZ$8/(365/12)*MAX(节奏总纲!F159-$E$2,0)</f>
        <v>4941632.2641462078</v>
      </c>
      <c r="BG163" s="2">
        <f>$AZ$8/(365/12)*MAX(节奏总纲!G159-$E$2,0)</f>
        <v>4941632.2641462078</v>
      </c>
      <c r="BH163" s="2">
        <f>$AZ$8/(365/12)*MAX(节奏总纲!H159-$E$2,0)</f>
        <v>4956327.9574304614</v>
      </c>
      <c r="BI163" s="2">
        <f>$AY$8/(365/12)*MAX(节奏总纲!D159-$E$2,0)</f>
        <v>117423518.87676871</v>
      </c>
      <c r="BJ163" s="2">
        <f>$AY$8/(365/12)*MAX(节奏总纲!E159-$E$2,0)</f>
        <v>117423518.87676871</v>
      </c>
      <c r="BK163" s="2">
        <f>$AY$8/(365/12)*MAX(节奏总纲!F159-$E$2,0)</f>
        <v>118599174.339509</v>
      </c>
      <c r="BL163" s="2">
        <f>$AY$8/(365/12)*MAX(节奏总纲!G159-$E$2,0)</f>
        <v>118599174.339509</v>
      </c>
      <c r="BM163" s="2">
        <f>$AY$8/(365/12)*MAX(节奏总纲!H159-$E$2,0)</f>
        <v>118951870.97833107</v>
      </c>
      <c r="CD163" s="2">
        <v>156</v>
      </c>
      <c r="CE163" s="2">
        <f>INDEX($BY$8:$BY$15,MATCH(CE$7,$CB$8:$CB$15,0))*SUM(C$11:C$12)/(365/12)*MAX(节奏总纲!D159-$E$2,0)</f>
        <v>1304705.7652974301</v>
      </c>
      <c r="CF163" s="2">
        <f>INDEX($BY$8:$BY$15,MATCH(CF$7,$CB$8:$CB$15,0))*SUM(D$11:D$12)/(365/12)*MAX(节奏总纲!E159-$E$2,0)</f>
        <v>1565646.9183569159</v>
      </c>
      <c r="CG163" s="2">
        <f>INDEX($BY$8:$BY$15,MATCH(CG$7,$CB$8:$CB$15,0))*SUM(E$11:E$12)/(365/12)*MAX(节奏总纲!F159-$E$2,0)</f>
        <v>2635537.2075446439</v>
      </c>
      <c r="CH163" s="2">
        <f>INDEX($BY$8:$BY$15,MATCH(CH$7,$CB$8:$CB$15,0))*SUM(F$11:F$12)/(365/12)*MAX(节奏总纲!G159-$E$2,0)</f>
        <v>6588843.0188616095</v>
      </c>
      <c r="CI163" s="2">
        <f>INDEX($BY$8:$BY$15,MATCH(CI$7,$CB$8:$CB$15,0))*SUM(G$11:G$12)/(365/12)*MAX(节奏总纲!H159-$E$2,0)</f>
        <v>10573499.642518317</v>
      </c>
      <c r="CJ163" s="2">
        <f>INDEX($BZ$8:$BZ$15,MATCH(CE$7,$CB$8:$CB$15,0))*SUM(C$11:C$12)/(365/12)*MAX(节奏总纲!D159-$E$2,0)</f>
        <v>54797642.142492063</v>
      </c>
      <c r="CK163" s="2">
        <f>INDEX($BZ$8:$BZ$15,MATCH(CF$7,$CB$8:$CB$15,0))*SUM(D$11:D$12)/(365/12)*MAX(节奏总纲!E159-$E$2,0)</f>
        <v>62625876.734276645</v>
      </c>
      <c r="CL163" s="2">
        <f>INDEX($BZ$8:$BZ$15,MATCH(CG$7,$CB$8:$CB$15,0))*SUM(E$11:E$12)/(365/12)*MAX(节奏总纲!F159-$E$2,0)</f>
        <v>94879339.471607178</v>
      </c>
      <c r="CM163" s="2">
        <f>INDEX($BZ$8:$BZ$15,MATCH(CH$7,$CB$8:$CB$15,0))*SUM(F$11:F$12)/(365/12)*MAX(节奏总纲!G159-$E$2,0)</f>
        <v>94879339.471607178</v>
      </c>
      <c r="CN163" s="2">
        <f>INDEX($BZ$8:$BZ$15,MATCH(CI$7,$CB$8:$CB$15,0))*SUM(G$11:G$12)/(365/12)*MAX(节奏总纲!H159-$E$2,0)</f>
        <v>95161496.78266485</v>
      </c>
      <c r="CS163" s="2">
        <v>156</v>
      </c>
      <c r="CT163" s="2">
        <f t="shared" si="109"/>
        <v>19244410.038137093</v>
      </c>
      <c r="CU163" s="2">
        <f t="shared" si="110"/>
        <v>19505351.191196576</v>
      </c>
      <c r="CV163" s="2">
        <f t="shared" si="111"/>
        <v>20754855.509414069</v>
      </c>
      <c r="CW163" s="2">
        <f t="shared" si="112"/>
        <v>24708161.320731036</v>
      </c>
      <c r="CX163" s="2">
        <f t="shared" si="113"/>
        <v>28746702.153096676</v>
      </c>
      <c r="CZ163" s="41">
        <f t="shared" si="114"/>
        <v>0.67796610169491522</v>
      </c>
      <c r="DA163" s="41">
        <f t="shared" si="115"/>
        <v>0.25423728813559321</v>
      </c>
      <c r="DB163" s="41">
        <f t="shared" si="116"/>
        <v>6.7796610169491525E-2</v>
      </c>
      <c r="DD163" s="41">
        <f t="shared" si="117"/>
        <v>0.63492063492063489</v>
      </c>
      <c r="DE163" s="41">
        <f t="shared" si="118"/>
        <v>0.23809523809523814</v>
      </c>
      <c r="DF163" s="41">
        <f t="shared" si="119"/>
        <v>0.126984126984127</v>
      </c>
      <c r="DH163" s="41">
        <f t="shared" si="120"/>
        <v>0.45977011494252867</v>
      </c>
      <c r="DI163" s="41">
        <f t="shared" si="121"/>
        <v>0.17241379310344829</v>
      </c>
      <c r="DJ163" s="41">
        <f t="shared" si="122"/>
        <v>0.36781609195402298</v>
      </c>
      <c r="DL163" s="2">
        <f>CT163/节奏总纲!D159</f>
        <v>387.47654055541534</v>
      </c>
      <c r="DM163" s="2">
        <f>CU163/节奏总纲!E159</f>
        <v>392.73045974938702</v>
      </c>
      <c r="DN163" s="2">
        <f>CV163/节奏总纲!F159</f>
        <v>413.75109136504813</v>
      </c>
      <c r="DO163" s="2">
        <f>CW163/节奏总纲!G159</f>
        <v>492.56082305362878</v>
      </c>
      <c r="DP163" s="2">
        <f>CX163/节奏总纲!H159</f>
        <v>571.37258111865071</v>
      </c>
      <c r="DR163" s="2">
        <f t="shared" si="123"/>
        <v>1.0135593220338981</v>
      </c>
      <c r="DS163" s="2">
        <f t="shared" si="124"/>
        <v>1.0678093976269387</v>
      </c>
      <c r="DT163" s="2">
        <f t="shared" si="125"/>
        <v>1.2712016638415937</v>
      </c>
      <c r="DU163" s="2">
        <f t="shared" si="126"/>
        <v>1.4745991597314143</v>
      </c>
      <c r="DY163" s="2">
        <v>156</v>
      </c>
      <c r="DZ163" s="2">
        <f t="shared" si="127"/>
        <v>454037606.32350564</v>
      </c>
      <c r="EA163" s="2">
        <f t="shared" si="128"/>
        <v>461865840.91529024</v>
      </c>
      <c r="EB163" s="2">
        <f t="shared" si="129"/>
        <v>498116532.22593772</v>
      </c>
      <c r="EC163" s="2">
        <f t="shared" si="130"/>
        <v>498116532.22593772</v>
      </c>
      <c r="ED163" s="2">
        <f t="shared" si="131"/>
        <v>499597858.10899049</v>
      </c>
      <c r="EF163" s="57">
        <f t="shared" si="132"/>
        <v>0.62068965517241381</v>
      </c>
      <c r="EG163" s="57">
        <f t="shared" si="133"/>
        <v>0.25862068965517243</v>
      </c>
      <c r="EH163" s="41">
        <f t="shared" si="134"/>
        <v>0.1206896551724138</v>
      </c>
      <c r="EJ163" s="57">
        <f t="shared" si="135"/>
        <v>0.5714285714285714</v>
      </c>
      <c r="EK163" s="57">
        <f t="shared" si="136"/>
        <v>0.23809523809523811</v>
      </c>
      <c r="EL163" s="41">
        <f t="shared" si="137"/>
        <v>0.19047619047619047</v>
      </c>
      <c r="EN163" s="57">
        <f t="shared" si="138"/>
        <v>0.5714285714285714</v>
      </c>
      <c r="EO163" s="57">
        <f t="shared" si="139"/>
        <v>0.23809523809523811</v>
      </c>
      <c r="EP163" s="41">
        <f t="shared" si="140"/>
        <v>0.19047619047619047</v>
      </c>
    </row>
    <row r="164" spans="20:146" x14ac:dyDescent="0.15">
      <c r="T164" s="2">
        <v>157</v>
      </c>
      <c r="U164" s="2">
        <f>$N$8*SUM(C$11:C$12)/(365/12)*MAX(节奏总纲!D160-$E$2,0)</f>
        <v>1118771.3342618761</v>
      </c>
      <c r="V164" s="2">
        <f>$N$8*SUM(D$11:D$12)/(365/12)*MAX(节奏总纲!E160-$E$2,0)</f>
        <v>1118771.3342618761</v>
      </c>
      <c r="W164" s="2">
        <f>$N$8*SUM(E$11:E$12)/(365/12)*MAX(节奏总纲!F160-$E$2,0)</f>
        <v>1129971.672262029</v>
      </c>
      <c r="X164" s="2">
        <f>$N$8*SUM(F$11:F$12)/(365/12)*MAX(节奏总纲!G160-$E$2,0)</f>
        <v>1129971.672262029</v>
      </c>
      <c r="Y164" s="2">
        <f>$N$8*SUM(G$11:G$12)/(365/12)*MAX(节奏总纲!H160-$E$2,0)</f>
        <v>1129971.672262029</v>
      </c>
      <c r="Z164" s="2">
        <f>$O$8*SUM(C$11:C$12)/(365/12)*MAX(节奏总纲!D160-$E$2,0)</f>
        <v>11187713.34261876</v>
      </c>
      <c r="AA164" s="2">
        <f>$O$8*SUM(D$11:D$12)/(365/12)*MAX(节奏总纲!E160-$E$2,0)</f>
        <v>11187713.34261876</v>
      </c>
      <c r="AB164" s="2">
        <f>$O$8*SUM(E$11:E$12)/(365/12)*MAX(节奏总纲!F160-$E$2,0)</f>
        <v>11299716.72262029</v>
      </c>
      <c r="AC164" s="2">
        <f>$O$8*SUM(F$11:F$12)/(365/12)*MAX(节奏总纲!G160-$E$2,0)</f>
        <v>11299716.72262029</v>
      </c>
      <c r="AD164" s="2">
        <f>$O$8*SUM(G$11:G$12)/(365/12)*MAX(节奏总纲!H160-$E$2,0)</f>
        <v>11299716.72262029</v>
      </c>
      <c r="AE164" s="2">
        <f>$Q$8*SUM(C$11:C$12)/(365/12)*MAX(节奏总纲!D160-$E$2,0)</f>
        <v>13984641.678273449</v>
      </c>
      <c r="AF164" s="2">
        <f>$Q$8*SUM(D$11:D$12)/(365/12)*MAX(节奏总纲!E160-$E$2,0)</f>
        <v>13984641.678273449</v>
      </c>
      <c r="AG164" s="2">
        <f>$Q$8*SUM(E$11:E$12)/(365/12)*MAX(节奏总纲!F160-$E$2,0)</f>
        <v>14124645.903275361</v>
      </c>
      <c r="AH164" s="2">
        <f>$Q$8*SUM(F$11:F$12)/(365/12)*MAX(节奏总纲!G160-$E$2,0)</f>
        <v>14124645.903275361</v>
      </c>
      <c r="AI164" s="2">
        <f>$Q$8*SUM(G$11:G$12)/(365/12)*MAX(节奏总纲!H160-$E$2,0)</f>
        <v>14124645.903275361</v>
      </c>
      <c r="AJ164" s="2">
        <f>$P$8*SUM(C$11:C$12)/(365/12)*MAX(节奏总纲!D160-$E$2,0)</f>
        <v>302068260.25070649</v>
      </c>
      <c r="AK164" s="2">
        <f>$P$8*SUM(D$11:D$12)/(365/12)*MAX(节奏总纲!E160-$E$2,0)</f>
        <v>302068260.25070649</v>
      </c>
      <c r="AL164" s="2">
        <f>$P$8*SUM(E$11:E$12)/(365/12)*MAX(节奏总纲!F160-$E$2,0)</f>
        <v>305092351.51074785</v>
      </c>
      <c r="AM164" s="2">
        <f>$P$8*SUM(F$11:F$12)/(365/12)*MAX(节奏总纲!G160-$E$2,0)</f>
        <v>305092351.51074785</v>
      </c>
      <c r="AN164" s="2">
        <f>$P$8*SUM(G$11:G$12)/(365/12)*MAX(节奏总纲!H160-$E$2,0)</f>
        <v>305092351.51074785</v>
      </c>
      <c r="BC164" s="2">
        <v>157</v>
      </c>
      <c r="BD164" s="2">
        <f>$AZ$8/(365/12)*MAX(节奏总纲!D160-$E$2,0)</f>
        <v>5244240.6293525435</v>
      </c>
      <c r="BE164" s="2">
        <f>$AZ$8/(365/12)*MAX(节奏总纲!E160-$E$2,0)</f>
        <v>5244240.6293525435</v>
      </c>
      <c r="BF164" s="2">
        <f>$AZ$8/(365/12)*MAX(节奏总纲!F160-$E$2,0)</f>
        <v>5296742.2137282612</v>
      </c>
      <c r="BG164" s="2">
        <f>$AZ$8/(365/12)*MAX(节奏总纲!G160-$E$2,0)</f>
        <v>5296742.2137282612</v>
      </c>
      <c r="BH164" s="2">
        <f>$AZ$8/(365/12)*MAX(节奏总纲!H160-$E$2,0)</f>
        <v>5296742.2137282612</v>
      </c>
      <c r="BI164" s="2">
        <f>$AY$8/(365/12)*MAX(节奏总纲!D160-$E$2,0)</f>
        <v>125861775.10446106</v>
      </c>
      <c r="BJ164" s="2">
        <f>$AY$8/(365/12)*MAX(节奏总纲!E160-$E$2,0)</f>
        <v>125861775.10446106</v>
      </c>
      <c r="BK164" s="2">
        <f>$AY$8/(365/12)*MAX(节奏总纲!F160-$E$2,0)</f>
        <v>127121813.12947828</v>
      </c>
      <c r="BL164" s="2">
        <f>$AY$8/(365/12)*MAX(节奏总纲!G160-$E$2,0)</f>
        <v>127121813.12947828</v>
      </c>
      <c r="BM164" s="2">
        <f>$AY$8/(365/12)*MAX(节奏总纲!H160-$E$2,0)</f>
        <v>127121813.12947828</v>
      </c>
      <c r="CD164" s="2">
        <v>157</v>
      </c>
      <c r="CE164" s="2">
        <f>INDEX($BY$8:$BY$15,MATCH(CE$7,$CB$8:$CB$15,0))*SUM(C$11:C$12)/(365/12)*MAX(节奏总纲!D160-$E$2,0)</f>
        <v>1398464.167827345</v>
      </c>
      <c r="CF164" s="2">
        <f>INDEX($BY$8:$BY$15,MATCH(CF$7,$CB$8:$CB$15,0))*SUM(D$11:D$12)/(365/12)*MAX(节奏总纲!E160-$E$2,0)</f>
        <v>1678157.0013928141</v>
      </c>
      <c r="CG164" s="2">
        <f>INDEX($BY$8:$BY$15,MATCH(CG$7,$CB$8:$CB$15,0))*SUM(E$11:E$12)/(365/12)*MAX(节奏总纲!F160-$E$2,0)</f>
        <v>2824929.1806550724</v>
      </c>
      <c r="CH164" s="2">
        <f>INDEX($BY$8:$BY$15,MATCH(CH$7,$CB$8:$CB$15,0))*SUM(F$11:F$12)/(365/12)*MAX(节奏总纲!G160-$E$2,0)</f>
        <v>7062322.9516376806</v>
      </c>
      <c r="CI164" s="2">
        <f>INDEX($BY$8:$BY$15,MATCH(CI$7,$CB$8:$CB$15,0))*SUM(G$11:G$12)/(365/12)*MAX(节奏总纲!H160-$E$2,0)</f>
        <v>11299716.72262029</v>
      </c>
      <c r="CJ164" s="2">
        <f>INDEX($BZ$8:$BZ$15,MATCH(CE$7,$CB$8:$CB$15,0))*SUM(C$11:C$12)/(365/12)*MAX(节奏总纲!D160-$E$2,0)</f>
        <v>58735495.048748493</v>
      </c>
      <c r="CK164" s="2">
        <f>INDEX($BZ$8:$BZ$15,MATCH(CF$7,$CB$8:$CB$15,0))*SUM(D$11:D$12)/(365/12)*MAX(节奏总纲!E160-$E$2,0)</f>
        <v>67126280.055712566</v>
      </c>
      <c r="CL164" s="2">
        <f>INDEX($BZ$8:$BZ$15,MATCH(CG$7,$CB$8:$CB$15,0))*SUM(E$11:E$12)/(365/12)*MAX(节奏总纲!F160-$E$2,0)</f>
        <v>101697450.50358261</v>
      </c>
      <c r="CM164" s="2">
        <f>INDEX($BZ$8:$BZ$15,MATCH(CH$7,$CB$8:$CB$15,0))*SUM(F$11:F$12)/(365/12)*MAX(节奏总纲!G160-$E$2,0)</f>
        <v>101697450.50358261</v>
      </c>
      <c r="CN164" s="2">
        <f>INDEX($BZ$8:$BZ$15,MATCH(CI$7,$CB$8:$CB$15,0))*SUM(G$11:G$12)/(365/12)*MAX(节奏总纲!H160-$E$2,0)</f>
        <v>101697450.50358261</v>
      </c>
      <c r="CS164" s="2">
        <v>157</v>
      </c>
      <c r="CT164" s="2">
        <f t="shared" si="109"/>
        <v>20627346.47545334</v>
      </c>
      <c r="CU164" s="2">
        <f t="shared" si="110"/>
        <v>20907039.309018809</v>
      </c>
      <c r="CV164" s="2">
        <f t="shared" si="111"/>
        <v>22246317.297658697</v>
      </c>
      <c r="CW164" s="2">
        <f t="shared" si="112"/>
        <v>26483711.068641305</v>
      </c>
      <c r="CX164" s="2">
        <f t="shared" si="113"/>
        <v>30721104.839623913</v>
      </c>
      <c r="CZ164" s="41">
        <f t="shared" si="114"/>
        <v>0.67796610169491511</v>
      </c>
      <c r="DA164" s="41">
        <f t="shared" si="115"/>
        <v>0.25423728813559321</v>
      </c>
      <c r="DB164" s="41">
        <f t="shared" si="116"/>
        <v>6.7796610169491525E-2</v>
      </c>
      <c r="DD164" s="41">
        <f t="shared" si="117"/>
        <v>0.63492063492063489</v>
      </c>
      <c r="DE164" s="41">
        <f t="shared" si="118"/>
        <v>0.23809523809523811</v>
      </c>
      <c r="DF164" s="41">
        <f t="shared" si="119"/>
        <v>0.12698412698412698</v>
      </c>
      <c r="DH164" s="41">
        <f t="shared" si="120"/>
        <v>0.45977011494252867</v>
      </c>
      <c r="DI164" s="41">
        <f t="shared" si="121"/>
        <v>0.17241379310344829</v>
      </c>
      <c r="DJ164" s="41">
        <f t="shared" si="122"/>
        <v>0.36781609195402298</v>
      </c>
      <c r="DL164" s="2">
        <f>CT164/节奏总纲!D160</f>
        <v>387.50792623295393</v>
      </c>
      <c r="DM164" s="2">
        <f>CU164/节奏总纲!E160</f>
        <v>392.76227099543468</v>
      </c>
      <c r="DN164" s="2">
        <f>CV164/节奏总纲!F160</f>
        <v>413.78427306810124</v>
      </c>
      <c r="DO164" s="2">
        <f>CW164/节奏总纲!G160</f>
        <v>492.60032508107287</v>
      </c>
      <c r="DP164" s="2">
        <f>CX164/节奏总纲!H160</f>
        <v>571.41637709404449</v>
      </c>
      <c r="DR164" s="2">
        <f t="shared" si="123"/>
        <v>1.0135593220338983</v>
      </c>
      <c r="DS164" s="2">
        <f t="shared" si="124"/>
        <v>1.067808540306737</v>
      </c>
      <c r="DT164" s="2">
        <f t="shared" si="125"/>
        <v>1.2712006432223057</v>
      </c>
      <c r="DU164" s="2">
        <f t="shared" si="126"/>
        <v>1.4745927461378747</v>
      </c>
      <c r="DY164" s="2">
        <v>157</v>
      </c>
      <c r="DZ164" s="2">
        <f t="shared" si="127"/>
        <v>486665530.40391606</v>
      </c>
      <c r="EA164" s="2">
        <f t="shared" si="128"/>
        <v>495056315.41088015</v>
      </c>
      <c r="EB164" s="2">
        <f t="shared" si="129"/>
        <v>533911615.14380872</v>
      </c>
      <c r="EC164" s="2">
        <f t="shared" si="130"/>
        <v>533911615.14380872</v>
      </c>
      <c r="ED164" s="2">
        <f t="shared" si="131"/>
        <v>533911615.14380872</v>
      </c>
      <c r="EF164" s="57">
        <f t="shared" si="132"/>
        <v>0.6206896551724137</v>
      </c>
      <c r="EG164" s="57">
        <f t="shared" si="133"/>
        <v>0.25862068965517243</v>
      </c>
      <c r="EH164" s="41">
        <f t="shared" si="134"/>
        <v>0.1206896551724138</v>
      </c>
      <c r="EJ164" s="57">
        <f t="shared" si="135"/>
        <v>0.5714285714285714</v>
      </c>
      <c r="EK164" s="57">
        <f t="shared" si="136"/>
        <v>0.23809523809523811</v>
      </c>
      <c r="EL164" s="41">
        <f t="shared" si="137"/>
        <v>0.19047619047619047</v>
      </c>
      <c r="EN164" s="57">
        <f t="shared" si="138"/>
        <v>0.5714285714285714</v>
      </c>
      <c r="EO164" s="57">
        <f t="shared" si="139"/>
        <v>0.23809523809523811</v>
      </c>
      <c r="EP164" s="41">
        <f t="shared" si="140"/>
        <v>0.19047619047619047</v>
      </c>
    </row>
    <row r="165" spans="20:146" x14ac:dyDescent="0.15">
      <c r="T165" s="2">
        <v>158</v>
      </c>
      <c r="U165" s="2">
        <f>$N$8*SUM(C$11:C$12)/(365/12)*MAX(节奏总纲!D161-$E$2,0)</f>
        <v>1199161.5484389649</v>
      </c>
      <c r="V165" s="2">
        <f>$N$8*SUM(D$11:D$12)/(365/12)*MAX(节奏总纲!E161-$E$2,0)</f>
        <v>1199161.5484389649</v>
      </c>
      <c r="W165" s="2">
        <f>$N$8*SUM(E$11:E$12)/(365/12)*MAX(节奏总纲!F161-$E$2,0)</f>
        <v>1211165.7885808889</v>
      </c>
      <c r="X165" s="2">
        <f>$N$8*SUM(F$11:F$12)/(365/12)*MAX(节奏总纲!G161-$E$2,0)</f>
        <v>1211165.7885808889</v>
      </c>
      <c r="Y165" s="2">
        <f>$N$8*SUM(G$11:G$12)/(365/12)*MAX(节奏总纲!H161-$E$2,0)</f>
        <v>1211165.7885808889</v>
      </c>
      <c r="Z165" s="2">
        <f>$O$8*SUM(C$11:C$12)/(365/12)*MAX(节奏总纲!D161-$E$2,0)</f>
        <v>11991615.48438965</v>
      </c>
      <c r="AA165" s="2">
        <f>$O$8*SUM(D$11:D$12)/(365/12)*MAX(节奏总纲!E161-$E$2,0)</f>
        <v>11991615.48438965</v>
      </c>
      <c r="AB165" s="2">
        <f>$O$8*SUM(E$11:E$12)/(365/12)*MAX(节奏总纲!F161-$E$2,0)</f>
        <v>12111657.885808889</v>
      </c>
      <c r="AC165" s="2">
        <f>$O$8*SUM(F$11:F$12)/(365/12)*MAX(节奏总纲!G161-$E$2,0)</f>
        <v>12111657.885808889</v>
      </c>
      <c r="AD165" s="2">
        <f>$O$8*SUM(G$11:G$12)/(365/12)*MAX(节奏总纲!H161-$E$2,0)</f>
        <v>12111657.885808889</v>
      </c>
      <c r="AE165" s="2">
        <f>$Q$8*SUM(C$11:C$12)/(365/12)*MAX(节奏总纲!D161-$E$2,0)</f>
        <v>14989519.355487062</v>
      </c>
      <c r="AF165" s="2">
        <f>$Q$8*SUM(D$11:D$12)/(365/12)*MAX(节奏总纲!E161-$E$2,0)</f>
        <v>14989519.355487062</v>
      </c>
      <c r="AG165" s="2">
        <f>$Q$8*SUM(E$11:E$12)/(365/12)*MAX(节奏总纲!F161-$E$2,0)</f>
        <v>15139572.357261108</v>
      </c>
      <c r="AH165" s="2">
        <f>$Q$8*SUM(F$11:F$12)/(365/12)*MAX(节奏总纲!G161-$E$2,0)</f>
        <v>15139572.357261108</v>
      </c>
      <c r="AI165" s="2">
        <f>$Q$8*SUM(G$11:G$12)/(365/12)*MAX(节奏总纲!H161-$E$2,0)</f>
        <v>15139572.357261108</v>
      </c>
      <c r="AJ165" s="2">
        <f>$P$8*SUM(C$11:C$12)/(365/12)*MAX(节奏总纲!D161-$E$2,0)</f>
        <v>323773618.07852054</v>
      </c>
      <c r="AK165" s="2">
        <f>$P$8*SUM(D$11:D$12)/(365/12)*MAX(节奏总纲!E161-$E$2,0)</f>
        <v>323773618.07852054</v>
      </c>
      <c r="AL165" s="2">
        <f>$P$8*SUM(E$11:E$12)/(365/12)*MAX(节奏总纲!F161-$E$2,0)</f>
        <v>327014762.91683996</v>
      </c>
      <c r="AM165" s="2">
        <f>$P$8*SUM(F$11:F$12)/(365/12)*MAX(节奏总纲!G161-$E$2,0)</f>
        <v>327014762.91683996</v>
      </c>
      <c r="AN165" s="2">
        <f>$P$8*SUM(G$11:G$12)/(365/12)*MAX(节奏总纲!H161-$E$2,0)</f>
        <v>327014762.91683996</v>
      </c>
      <c r="BC165" s="2">
        <v>158</v>
      </c>
      <c r="BD165" s="2">
        <f>$AZ$8/(365/12)*MAX(节奏总纲!D161-$E$2,0)</f>
        <v>5621069.7583076479</v>
      </c>
      <c r="BE165" s="2">
        <f>$AZ$8/(365/12)*MAX(节奏总纲!E161-$E$2,0)</f>
        <v>5621069.7583076479</v>
      </c>
      <c r="BF165" s="2">
        <f>$AZ$8/(365/12)*MAX(节奏总纲!F161-$E$2,0)</f>
        <v>5677339.6339729168</v>
      </c>
      <c r="BG165" s="2">
        <f>$AZ$8/(365/12)*MAX(节奏总纲!G161-$E$2,0)</f>
        <v>5677339.6339729168</v>
      </c>
      <c r="BH165" s="2">
        <f>$AZ$8/(365/12)*MAX(节奏总纲!H161-$E$2,0)</f>
        <v>5677339.6339729168</v>
      </c>
      <c r="BI165" s="2">
        <f>$AY$8/(365/12)*MAX(节奏总纲!D161-$E$2,0)</f>
        <v>134905674.19938356</v>
      </c>
      <c r="BJ165" s="2">
        <f>$AY$8/(365/12)*MAX(节奏总纲!E161-$E$2,0)</f>
        <v>134905674.19938356</v>
      </c>
      <c r="BK165" s="2">
        <f>$AY$8/(365/12)*MAX(节奏总纲!F161-$E$2,0)</f>
        <v>136256151.21535</v>
      </c>
      <c r="BL165" s="2">
        <f>$AY$8/(365/12)*MAX(节奏总纲!G161-$E$2,0)</f>
        <v>136256151.21535</v>
      </c>
      <c r="BM165" s="2">
        <f>$AY$8/(365/12)*MAX(节奏总纲!H161-$E$2,0)</f>
        <v>136256151.21535</v>
      </c>
      <c r="CD165" s="2">
        <v>158</v>
      </c>
      <c r="CE165" s="2">
        <f>INDEX($BY$8:$BY$15,MATCH(CE$7,$CB$8:$CB$15,0))*SUM(C$11:C$12)/(365/12)*MAX(节奏总纲!D161-$E$2,0)</f>
        <v>1498951.9355487062</v>
      </c>
      <c r="CF165" s="2">
        <f>INDEX($BY$8:$BY$15,MATCH(CF$7,$CB$8:$CB$15,0))*SUM(D$11:D$12)/(365/12)*MAX(节奏总纲!E161-$E$2,0)</f>
        <v>1798742.3226584473</v>
      </c>
      <c r="CG165" s="2">
        <f>INDEX($BY$8:$BY$15,MATCH(CG$7,$CB$8:$CB$15,0))*SUM(E$11:E$12)/(365/12)*MAX(节奏总纲!F161-$E$2,0)</f>
        <v>3027914.4714522222</v>
      </c>
      <c r="CH165" s="2">
        <f>INDEX($BY$8:$BY$15,MATCH(CH$7,$CB$8:$CB$15,0))*SUM(F$11:F$12)/(365/12)*MAX(节奏总纲!G161-$E$2,0)</f>
        <v>7569786.1786305541</v>
      </c>
      <c r="CI165" s="2">
        <f>INDEX($BY$8:$BY$15,MATCH(CI$7,$CB$8:$CB$15,0))*SUM(G$11:G$12)/(365/12)*MAX(节奏总纲!H161-$E$2,0)</f>
        <v>12111657.885808889</v>
      </c>
      <c r="CJ165" s="2">
        <f>INDEX($BZ$8:$BZ$15,MATCH(CE$7,$CB$8:$CB$15,0))*SUM(C$11:C$12)/(365/12)*MAX(节奏总纲!D161-$E$2,0)</f>
        <v>62955981.293045662</v>
      </c>
      <c r="CK165" s="2">
        <f>INDEX($BZ$8:$BZ$15,MATCH(CF$7,$CB$8:$CB$15,0))*SUM(D$11:D$12)/(365/12)*MAX(节奏总纲!E161-$E$2,0)</f>
        <v>71949692.906337902</v>
      </c>
      <c r="CL165" s="2">
        <f>INDEX($BZ$8:$BZ$15,MATCH(CG$7,$CB$8:$CB$15,0))*SUM(E$11:E$12)/(365/12)*MAX(节奏总纲!F161-$E$2,0)</f>
        <v>109004920.97227998</v>
      </c>
      <c r="CM165" s="2">
        <f>INDEX($BZ$8:$BZ$15,MATCH(CH$7,$CB$8:$CB$15,0))*SUM(F$11:F$12)/(365/12)*MAX(节奏总纲!G161-$E$2,0)</f>
        <v>109004920.97227998</v>
      </c>
      <c r="CN165" s="2">
        <f>INDEX($BZ$8:$BZ$15,MATCH(CI$7,$CB$8:$CB$15,0))*SUM(G$11:G$12)/(365/12)*MAX(节奏总纲!H161-$E$2,0)</f>
        <v>109004920.97227998</v>
      </c>
      <c r="CS165" s="2">
        <v>158</v>
      </c>
      <c r="CT165" s="2">
        <f t="shared" si="109"/>
        <v>22109541.049343418</v>
      </c>
      <c r="CU165" s="2">
        <f t="shared" si="110"/>
        <v>22409331.436453156</v>
      </c>
      <c r="CV165" s="2">
        <f t="shared" si="111"/>
        <v>23844826.462686248</v>
      </c>
      <c r="CW165" s="2">
        <f t="shared" si="112"/>
        <v>28386698.16986458</v>
      </c>
      <c r="CX165" s="2">
        <f t="shared" si="113"/>
        <v>32928569.877042916</v>
      </c>
      <c r="CZ165" s="41">
        <f t="shared" si="114"/>
        <v>0.67796610169491522</v>
      </c>
      <c r="DA165" s="41">
        <f t="shared" si="115"/>
        <v>0.25423728813559321</v>
      </c>
      <c r="DB165" s="41">
        <f t="shared" si="116"/>
        <v>6.7796610169491525E-2</v>
      </c>
      <c r="DD165" s="41">
        <f t="shared" si="117"/>
        <v>0.63492063492063489</v>
      </c>
      <c r="DE165" s="41">
        <f t="shared" si="118"/>
        <v>0.23809523809523811</v>
      </c>
      <c r="DF165" s="41">
        <f t="shared" si="119"/>
        <v>0.126984126984127</v>
      </c>
      <c r="DH165" s="41">
        <f t="shared" si="120"/>
        <v>0.45977011494252867</v>
      </c>
      <c r="DI165" s="41">
        <f t="shared" si="121"/>
        <v>0.17241379310344829</v>
      </c>
      <c r="DJ165" s="41">
        <f t="shared" si="122"/>
        <v>0.36781609195402298</v>
      </c>
      <c r="DL165" s="2">
        <f>CT165/节奏总纲!D161</f>
        <v>387.5372100292339</v>
      </c>
      <c r="DM165" s="2">
        <f>CU165/节奏总纲!E161</f>
        <v>392.79195186013874</v>
      </c>
      <c r="DN165" s="2">
        <f>CV165/节奏总纲!F161</f>
        <v>413.81523261107213</v>
      </c>
      <c r="DO165" s="2">
        <f>CW165/节奏总纲!G161</f>
        <v>492.6371816798478</v>
      </c>
      <c r="DP165" s="2">
        <f>CX165/节奏总纲!H161</f>
        <v>571.45913074862347</v>
      </c>
      <c r="DR165" s="2">
        <f t="shared" si="123"/>
        <v>1.0135593220338983</v>
      </c>
      <c r="DS165" s="2">
        <f t="shared" si="124"/>
        <v>1.0678077405260153</v>
      </c>
      <c r="DT165" s="2">
        <f t="shared" si="125"/>
        <v>1.2711996911023993</v>
      </c>
      <c r="DU165" s="2">
        <f t="shared" si="126"/>
        <v>1.4745916416787832</v>
      </c>
      <c r="DY165" s="2">
        <v>158</v>
      </c>
      <c r="DZ165" s="2">
        <f t="shared" si="127"/>
        <v>521635273.57094973</v>
      </c>
      <c r="EA165" s="2">
        <f t="shared" si="128"/>
        <v>530628985.18424201</v>
      </c>
      <c r="EB165" s="2">
        <f t="shared" si="129"/>
        <v>572275835.10447001</v>
      </c>
      <c r="EC165" s="2">
        <f t="shared" si="130"/>
        <v>572275835.10447001</v>
      </c>
      <c r="ED165" s="2">
        <f t="shared" si="131"/>
        <v>572275835.10447001</v>
      </c>
      <c r="EF165" s="57">
        <f t="shared" si="132"/>
        <v>0.62068965517241381</v>
      </c>
      <c r="EG165" s="57">
        <f t="shared" si="133"/>
        <v>0.25862068965517243</v>
      </c>
      <c r="EH165" s="41">
        <f t="shared" si="134"/>
        <v>0.1206896551724138</v>
      </c>
      <c r="EJ165" s="57">
        <f t="shared" si="135"/>
        <v>0.57142857142857129</v>
      </c>
      <c r="EK165" s="57">
        <f t="shared" si="136"/>
        <v>0.23809523809523808</v>
      </c>
      <c r="EL165" s="41">
        <f t="shared" si="137"/>
        <v>0.19047619047619044</v>
      </c>
      <c r="EN165" s="57">
        <f t="shared" si="138"/>
        <v>0.57142857142857129</v>
      </c>
      <c r="EO165" s="57">
        <f t="shared" si="139"/>
        <v>0.23809523809523808</v>
      </c>
      <c r="EP165" s="41">
        <f t="shared" si="140"/>
        <v>0.19047619047619044</v>
      </c>
    </row>
    <row r="166" spans="20:146" x14ac:dyDescent="0.15">
      <c r="T166" s="2">
        <v>159</v>
      </c>
      <c r="U166" s="2">
        <f>$N$8*SUM(C$11:C$12)/(365/12)*MAX(节奏总纲!D162-$E$2,0)</f>
        <v>1285321.6466415778</v>
      </c>
      <c r="V166" s="2">
        <f>$N$8*SUM(D$11:D$12)/(365/12)*MAX(节奏总纲!E162-$E$2,0)</f>
        <v>1285321.6466415778</v>
      </c>
      <c r="W166" s="2">
        <f>$N$8*SUM(E$11:E$12)/(365/12)*MAX(节奏总纲!F162-$E$2,0)</f>
        <v>1298187.4877655278</v>
      </c>
      <c r="X166" s="2">
        <f>$N$8*SUM(F$11:F$12)/(365/12)*MAX(节奏总纲!G162-$E$2,0)</f>
        <v>1298187.4877655278</v>
      </c>
      <c r="Y166" s="2">
        <f>$N$8*SUM(G$11:G$12)/(365/12)*MAX(节奏总纲!H162-$E$2,0)</f>
        <v>1298187.4877655278</v>
      </c>
      <c r="Z166" s="2">
        <f>$O$8*SUM(C$11:C$12)/(365/12)*MAX(节奏总纲!D162-$E$2,0)</f>
        <v>12853216.466415778</v>
      </c>
      <c r="AA166" s="2">
        <f>$O$8*SUM(D$11:D$12)/(365/12)*MAX(节奏总纲!E162-$E$2,0)</f>
        <v>12853216.466415778</v>
      </c>
      <c r="AB166" s="2">
        <f>$O$8*SUM(E$11:E$12)/(365/12)*MAX(节奏总纲!F162-$E$2,0)</f>
        <v>12981874.877655277</v>
      </c>
      <c r="AC166" s="2">
        <f>$O$8*SUM(F$11:F$12)/(365/12)*MAX(节奏总纲!G162-$E$2,0)</f>
        <v>12981874.877655277</v>
      </c>
      <c r="AD166" s="2">
        <f>$O$8*SUM(G$11:G$12)/(365/12)*MAX(节奏总纲!H162-$E$2,0)</f>
        <v>12981874.877655277</v>
      </c>
      <c r="AE166" s="2">
        <f>$Q$8*SUM(C$11:C$12)/(365/12)*MAX(节奏总纲!D162-$E$2,0)</f>
        <v>16066520.583019722</v>
      </c>
      <c r="AF166" s="2">
        <f>$Q$8*SUM(D$11:D$12)/(365/12)*MAX(节奏总纲!E162-$E$2,0)</f>
        <v>16066520.583019722</v>
      </c>
      <c r="AG166" s="2">
        <f>$Q$8*SUM(E$11:E$12)/(365/12)*MAX(节奏总纲!F162-$E$2,0)</f>
        <v>16227343.597069096</v>
      </c>
      <c r="AH166" s="2">
        <f>$Q$8*SUM(F$11:F$12)/(365/12)*MAX(节奏总纲!G162-$E$2,0)</f>
        <v>16227343.597069096</v>
      </c>
      <c r="AI166" s="2">
        <f>$Q$8*SUM(G$11:G$12)/(365/12)*MAX(节奏总纲!H162-$E$2,0)</f>
        <v>16227343.597069096</v>
      </c>
      <c r="AJ166" s="2">
        <f>$P$8*SUM(C$11:C$12)/(365/12)*MAX(节奏总纲!D162-$E$2,0)</f>
        <v>347036844.59322602</v>
      </c>
      <c r="AK166" s="2">
        <f>$P$8*SUM(D$11:D$12)/(365/12)*MAX(节奏总纲!E162-$E$2,0)</f>
        <v>347036844.59322602</v>
      </c>
      <c r="AL166" s="2">
        <f>$P$8*SUM(E$11:E$12)/(365/12)*MAX(节奏总纲!F162-$E$2,0)</f>
        <v>350510621.69669247</v>
      </c>
      <c r="AM166" s="2">
        <f>$P$8*SUM(F$11:F$12)/(365/12)*MAX(节奏总纲!G162-$E$2,0)</f>
        <v>350510621.69669247</v>
      </c>
      <c r="AN166" s="2">
        <f>$P$8*SUM(G$11:G$12)/(365/12)*MAX(节奏总纲!H162-$E$2,0)</f>
        <v>350510621.69669247</v>
      </c>
      <c r="BC166" s="2">
        <v>159</v>
      </c>
      <c r="BD166" s="2">
        <f>$AZ$8/(365/12)*MAX(节奏总纲!D162-$E$2,0)</f>
        <v>6024945.2186323963</v>
      </c>
      <c r="BE166" s="2">
        <f>$AZ$8/(365/12)*MAX(节奏总纲!E162-$E$2,0)</f>
        <v>6024945.2186323963</v>
      </c>
      <c r="BF166" s="2">
        <f>$AZ$8/(365/12)*MAX(节奏总纲!F162-$E$2,0)</f>
        <v>6085253.8489009114</v>
      </c>
      <c r="BG166" s="2">
        <f>$AZ$8/(365/12)*MAX(节奏总纲!G162-$E$2,0)</f>
        <v>6085253.8489009114</v>
      </c>
      <c r="BH166" s="2">
        <f>$AZ$8/(365/12)*MAX(节奏总纲!H162-$E$2,0)</f>
        <v>6085253.8489009114</v>
      </c>
      <c r="BI166" s="2">
        <f>$AY$8/(365/12)*MAX(节奏总纲!D162-$E$2,0)</f>
        <v>144598685.24717751</v>
      </c>
      <c r="BJ166" s="2">
        <f>$AY$8/(365/12)*MAX(节奏总纲!E162-$E$2,0)</f>
        <v>144598685.24717751</v>
      </c>
      <c r="BK166" s="2">
        <f>$AY$8/(365/12)*MAX(节奏总纲!F162-$E$2,0)</f>
        <v>146046092.37362188</v>
      </c>
      <c r="BL166" s="2">
        <f>$AY$8/(365/12)*MAX(节奏总纲!G162-$E$2,0)</f>
        <v>146046092.37362188</v>
      </c>
      <c r="BM166" s="2">
        <f>$AY$8/(365/12)*MAX(节奏总纲!H162-$E$2,0)</f>
        <v>146046092.37362188</v>
      </c>
      <c r="CD166" s="2">
        <v>159</v>
      </c>
      <c r="CE166" s="2">
        <f>INDEX($BY$8:$BY$15,MATCH(CE$7,$CB$8:$CB$15,0))*SUM(C$11:C$12)/(365/12)*MAX(节奏总纲!D162-$E$2,0)</f>
        <v>1606652.0583019722</v>
      </c>
      <c r="CF166" s="2">
        <f>INDEX($BY$8:$BY$15,MATCH(CF$7,$CB$8:$CB$15,0))*SUM(D$11:D$12)/(365/12)*MAX(节奏总纲!E162-$E$2,0)</f>
        <v>1927982.4699623666</v>
      </c>
      <c r="CG166" s="2">
        <f>INDEX($BY$8:$BY$15,MATCH(CG$7,$CB$8:$CB$15,0))*SUM(E$11:E$12)/(365/12)*MAX(节奏总纲!F162-$E$2,0)</f>
        <v>3245468.7194138193</v>
      </c>
      <c r="CH166" s="2">
        <f>INDEX($BY$8:$BY$15,MATCH(CH$7,$CB$8:$CB$15,0))*SUM(F$11:F$12)/(365/12)*MAX(节奏总纲!G162-$E$2,0)</f>
        <v>8113671.7985345479</v>
      </c>
      <c r="CI166" s="2">
        <f>INDEX($BY$8:$BY$15,MATCH(CI$7,$CB$8:$CB$15,0))*SUM(G$11:G$12)/(365/12)*MAX(节奏总纲!H162-$E$2,0)</f>
        <v>12981874.877655277</v>
      </c>
      <c r="CJ166" s="2">
        <f>INDEX($BZ$8:$BZ$15,MATCH(CE$7,$CB$8:$CB$15,0))*SUM(C$11:C$12)/(365/12)*MAX(节奏总纲!D162-$E$2,0)</f>
        <v>67479386.44868283</v>
      </c>
      <c r="CK166" s="2">
        <f>INDEX($BZ$8:$BZ$15,MATCH(CF$7,$CB$8:$CB$15,0))*SUM(D$11:D$12)/(365/12)*MAX(节奏总纲!E162-$E$2,0)</f>
        <v>77119298.798494682</v>
      </c>
      <c r="CL166" s="2">
        <f>INDEX($BZ$8:$BZ$15,MATCH(CG$7,$CB$8:$CB$15,0))*SUM(E$11:E$12)/(365/12)*MAX(节奏总纲!F162-$E$2,0)</f>
        <v>116836873.8988975</v>
      </c>
      <c r="CM166" s="2">
        <f>INDEX($BZ$8:$BZ$15,MATCH(CH$7,$CB$8:$CB$15,0))*SUM(F$11:F$12)/(365/12)*MAX(节奏总纲!G162-$E$2,0)</f>
        <v>116836873.8988975</v>
      </c>
      <c r="CN166" s="2">
        <f>INDEX($BZ$8:$BZ$15,MATCH(CI$7,$CB$8:$CB$15,0))*SUM(G$11:G$12)/(365/12)*MAX(节奏总纲!H162-$E$2,0)</f>
        <v>116836873.8988975</v>
      </c>
      <c r="CS166" s="2">
        <v>159</v>
      </c>
      <c r="CT166" s="2">
        <f t="shared" si="109"/>
        <v>23698117.859954089</v>
      </c>
      <c r="CU166" s="2">
        <f t="shared" si="110"/>
        <v>24019448.271614484</v>
      </c>
      <c r="CV166" s="2">
        <f t="shared" si="111"/>
        <v>25558066.165383827</v>
      </c>
      <c r="CW166" s="2">
        <f t="shared" si="112"/>
        <v>30426269.244504556</v>
      </c>
      <c r="CX166" s="2">
        <f t="shared" si="113"/>
        <v>35294472.323625281</v>
      </c>
      <c r="CZ166" s="41">
        <f t="shared" si="114"/>
        <v>0.67796610169491534</v>
      </c>
      <c r="DA166" s="41">
        <f t="shared" si="115"/>
        <v>0.25423728813559326</v>
      </c>
      <c r="DB166" s="41">
        <f t="shared" si="116"/>
        <v>6.7796610169491525E-2</v>
      </c>
      <c r="DD166" s="41">
        <f t="shared" si="117"/>
        <v>0.63492063492063489</v>
      </c>
      <c r="DE166" s="41">
        <f t="shared" si="118"/>
        <v>0.23809523809523811</v>
      </c>
      <c r="DF166" s="41">
        <f t="shared" si="119"/>
        <v>0.12698412698412698</v>
      </c>
      <c r="DH166" s="41">
        <f t="shared" si="120"/>
        <v>0.45977011494252878</v>
      </c>
      <c r="DI166" s="41">
        <f t="shared" si="121"/>
        <v>0.17241379310344829</v>
      </c>
      <c r="DJ166" s="41">
        <f t="shared" si="122"/>
        <v>0.36781609195402304</v>
      </c>
      <c r="DL166" s="2">
        <f>CT166/节奏总纲!D162</f>
        <v>387.56453271083575</v>
      </c>
      <c r="DM166" s="2">
        <f>CU166/节奏总纲!E162</f>
        <v>392.81964501877928</v>
      </c>
      <c r="DN166" s="2">
        <f>CV166/节奏总纲!F162</f>
        <v>413.84411881581991</v>
      </c>
      <c r="DO166" s="2">
        <f>CW166/节奏总纲!G162</f>
        <v>492.67157001883322</v>
      </c>
      <c r="DP166" s="2">
        <f>CX166/节奏总纲!H162</f>
        <v>571.49902122184642</v>
      </c>
      <c r="DR166" s="2">
        <f t="shared" si="123"/>
        <v>1.0135593220338983</v>
      </c>
      <c r="DS166" s="2">
        <f t="shared" si="124"/>
        <v>1.0678069944150217</v>
      </c>
      <c r="DT166" s="2">
        <f t="shared" si="125"/>
        <v>1.2711988028750258</v>
      </c>
      <c r="DU166" s="2">
        <f t="shared" si="126"/>
        <v>1.4745906113350298</v>
      </c>
      <c r="DY166" s="2">
        <v>159</v>
      </c>
      <c r="DZ166" s="2">
        <f t="shared" si="127"/>
        <v>559114916.28908634</v>
      </c>
      <c r="EA166" s="2">
        <f t="shared" si="128"/>
        <v>568754828.63889825</v>
      </c>
      <c r="EB166" s="2">
        <f t="shared" si="129"/>
        <v>613393587.96921182</v>
      </c>
      <c r="EC166" s="2">
        <f t="shared" si="130"/>
        <v>613393587.96921182</v>
      </c>
      <c r="ED166" s="2">
        <f t="shared" si="131"/>
        <v>613393587.96921182</v>
      </c>
      <c r="EF166" s="57">
        <f t="shared" si="132"/>
        <v>0.62068965517241381</v>
      </c>
      <c r="EG166" s="57">
        <f t="shared" si="133"/>
        <v>0.25862068965517243</v>
      </c>
      <c r="EH166" s="41">
        <f t="shared" si="134"/>
        <v>0.12068965517241378</v>
      </c>
      <c r="EJ166" s="57">
        <f t="shared" si="135"/>
        <v>0.5714285714285714</v>
      </c>
      <c r="EK166" s="57">
        <f t="shared" si="136"/>
        <v>0.23809523809523814</v>
      </c>
      <c r="EL166" s="41">
        <f t="shared" si="137"/>
        <v>0.19047619047619049</v>
      </c>
      <c r="EN166" s="57">
        <f t="shared" si="138"/>
        <v>0.5714285714285714</v>
      </c>
      <c r="EO166" s="57">
        <f t="shared" si="139"/>
        <v>0.23809523809523814</v>
      </c>
      <c r="EP166" s="41">
        <f t="shared" si="140"/>
        <v>0.19047619047619049</v>
      </c>
    </row>
    <row r="167" spans="20:146" x14ac:dyDescent="0.15">
      <c r="T167" s="2">
        <v>160</v>
      </c>
      <c r="U167" s="2">
        <f>$N$8*SUM(C$11:C$12)/(365/12)*MAX(节奏总纲!D163-$E$2,0)</f>
        <v>1377665.7534246575</v>
      </c>
      <c r="V167" s="2">
        <f>$N$8*SUM(D$11:D$12)/(365/12)*MAX(节奏总纲!E163-$E$2,0)</f>
        <v>1377665.7534246575</v>
      </c>
      <c r="W167" s="2">
        <f>$N$8*SUM(E$11:E$12)/(365/12)*MAX(节奏总纲!F163-$E$2,0)</f>
        <v>1391455.0356164384</v>
      </c>
      <c r="X167" s="2">
        <f>$N$8*SUM(F$11:F$12)/(365/12)*MAX(节奏总纲!G163-$E$2,0)</f>
        <v>1391455.0356164384</v>
      </c>
      <c r="Y167" s="2">
        <f>$N$8*SUM(G$11:G$12)/(365/12)*MAX(节奏总纲!H163-$E$2,0)</f>
        <v>1391455.0356164384</v>
      </c>
      <c r="Z167" s="2">
        <f>$O$8*SUM(C$11:C$12)/(365/12)*MAX(节奏总纲!D163-$E$2,0)</f>
        <v>13776657.534246575</v>
      </c>
      <c r="AA167" s="2">
        <f>$O$8*SUM(D$11:D$12)/(365/12)*MAX(节奏总纲!E163-$E$2,0)</f>
        <v>13776657.534246575</v>
      </c>
      <c r="AB167" s="2">
        <f>$O$8*SUM(E$11:E$12)/(365/12)*MAX(节奏总纲!F163-$E$2,0)</f>
        <v>13914550.356164385</v>
      </c>
      <c r="AC167" s="2">
        <f>$O$8*SUM(F$11:F$12)/(365/12)*MAX(节奏总纲!G163-$E$2,0)</f>
        <v>13914550.356164385</v>
      </c>
      <c r="AD167" s="2">
        <f>$O$8*SUM(G$11:G$12)/(365/12)*MAX(节奏总纲!H163-$E$2,0)</f>
        <v>13914550.356164385</v>
      </c>
      <c r="AE167" s="2">
        <f>$Q$8*SUM(C$11:C$12)/(365/12)*MAX(节奏总纲!D163-$E$2,0)</f>
        <v>17220821.917808216</v>
      </c>
      <c r="AF167" s="2">
        <f>$Q$8*SUM(D$11:D$12)/(365/12)*MAX(节奏总纲!E163-$E$2,0)</f>
        <v>17220821.917808216</v>
      </c>
      <c r="AG167" s="2">
        <f>$Q$8*SUM(E$11:E$12)/(365/12)*MAX(节奏总纲!F163-$E$2,0)</f>
        <v>17393187.94520548</v>
      </c>
      <c r="AH167" s="2">
        <f>$Q$8*SUM(F$11:F$12)/(365/12)*MAX(节奏总纲!G163-$E$2,0)</f>
        <v>17393187.94520548</v>
      </c>
      <c r="AI167" s="2">
        <f>$Q$8*SUM(G$11:G$12)/(365/12)*MAX(节奏总纲!H163-$E$2,0)</f>
        <v>17393187.94520548</v>
      </c>
      <c r="AJ167" s="2">
        <f>$P$8*SUM(C$11:C$12)/(365/12)*MAX(节奏总纲!D163-$E$2,0)</f>
        <v>371969753.42465752</v>
      </c>
      <c r="AK167" s="2">
        <f>$P$8*SUM(D$11:D$12)/(365/12)*MAX(节奏总纲!E163-$E$2,0)</f>
        <v>371969753.42465752</v>
      </c>
      <c r="AL167" s="2">
        <f>$P$8*SUM(E$11:E$12)/(365/12)*MAX(节奏总纲!F163-$E$2,0)</f>
        <v>375692859.61643833</v>
      </c>
      <c r="AM167" s="2">
        <f>$P$8*SUM(F$11:F$12)/(365/12)*MAX(节奏总纲!G163-$E$2,0)</f>
        <v>375692859.61643833</v>
      </c>
      <c r="AN167" s="2">
        <f>$P$8*SUM(G$11:G$12)/(365/12)*MAX(节奏总纲!H163-$E$2,0)</f>
        <v>375692859.61643833</v>
      </c>
      <c r="BC167" s="2">
        <v>160</v>
      </c>
      <c r="BD167" s="2">
        <f>$AZ$8/(365/12)*MAX(节奏总纲!D163-$E$2,0)</f>
        <v>6457808.2191780815</v>
      </c>
      <c r="BE167" s="2">
        <f>$AZ$8/(365/12)*MAX(节奏总纲!E163-$E$2,0)</f>
        <v>6457808.2191780815</v>
      </c>
      <c r="BF167" s="2">
        <f>$AZ$8/(365/12)*MAX(节奏总纲!F163-$E$2,0)</f>
        <v>6522445.4794520549</v>
      </c>
      <c r="BG167" s="2">
        <f>$AZ$8/(365/12)*MAX(节奏总纲!G163-$E$2,0)</f>
        <v>6522445.4794520549</v>
      </c>
      <c r="BH167" s="2">
        <f>$AZ$8/(365/12)*MAX(节奏总纲!H163-$E$2,0)</f>
        <v>6522445.4794520549</v>
      </c>
      <c r="BI167" s="2">
        <f>$AY$8/(365/12)*MAX(节奏总纲!D163-$E$2,0)</f>
        <v>154987397.26027396</v>
      </c>
      <c r="BJ167" s="2">
        <f>$AY$8/(365/12)*MAX(节奏总纲!E163-$E$2,0)</f>
        <v>154987397.26027396</v>
      </c>
      <c r="BK167" s="2">
        <f>$AY$8/(365/12)*MAX(节奏总纲!F163-$E$2,0)</f>
        <v>156538691.50684932</v>
      </c>
      <c r="BL167" s="2">
        <f>$AY$8/(365/12)*MAX(节奏总纲!G163-$E$2,0)</f>
        <v>156538691.50684932</v>
      </c>
      <c r="BM167" s="2">
        <f>$AY$8/(365/12)*MAX(节奏总纲!H163-$E$2,0)</f>
        <v>156538691.50684932</v>
      </c>
      <c r="CD167" s="2">
        <v>160</v>
      </c>
      <c r="CE167" s="2">
        <f>INDEX($BY$8:$BY$15,MATCH(CE$7,$CB$8:$CB$15,0))*SUM(C$11:C$12)/(365/12)*MAX(节奏总纲!D163-$E$2,0)</f>
        <v>1722082.1917808219</v>
      </c>
      <c r="CF167" s="2">
        <f>INDEX($BY$8:$BY$15,MATCH(CF$7,$CB$8:$CB$15,0))*SUM(D$11:D$12)/(365/12)*MAX(节奏总纲!E163-$E$2,0)</f>
        <v>2066498.6301369863</v>
      </c>
      <c r="CG167" s="2">
        <f>INDEX($BY$8:$BY$15,MATCH(CG$7,$CB$8:$CB$15,0))*SUM(E$11:E$12)/(365/12)*MAX(节奏总纲!F163-$E$2,0)</f>
        <v>3478637.5890410962</v>
      </c>
      <c r="CH167" s="2">
        <f>INDEX($BY$8:$BY$15,MATCH(CH$7,$CB$8:$CB$15,0))*SUM(F$11:F$12)/(365/12)*MAX(节奏总纲!G163-$E$2,0)</f>
        <v>8696593.9726027399</v>
      </c>
      <c r="CI167" s="2">
        <f>INDEX($BY$8:$BY$15,MATCH(CI$7,$CB$8:$CB$15,0))*SUM(G$11:G$12)/(365/12)*MAX(节奏总纲!H163-$E$2,0)</f>
        <v>13914550.356164385</v>
      </c>
      <c r="CJ167" s="2">
        <f>INDEX($BZ$8:$BZ$15,MATCH(CE$7,$CB$8:$CB$15,0))*SUM(C$11:C$12)/(365/12)*MAX(节奏总纲!D163-$E$2,0)</f>
        <v>72327452.05479452</v>
      </c>
      <c r="CK167" s="2">
        <f>INDEX($BZ$8:$BZ$15,MATCH(CF$7,$CB$8:$CB$15,0))*SUM(D$11:D$12)/(365/12)*MAX(节奏总纲!E163-$E$2,0)</f>
        <v>82659945.205479458</v>
      </c>
      <c r="CL167" s="2">
        <f>INDEX($BZ$8:$BZ$15,MATCH(CG$7,$CB$8:$CB$15,0))*SUM(E$11:E$12)/(365/12)*MAX(节奏总纲!F163-$E$2,0)</f>
        <v>125230953.20547946</v>
      </c>
      <c r="CM167" s="2">
        <f>INDEX($BZ$8:$BZ$15,MATCH(CH$7,$CB$8:$CB$15,0))*SUM(F$11:F$12)/(365/12)*MAX(节奏总纲!G163-$E$2,0)</f>
        <v>125230953.20547946</v>
      </c>
      <c r="CN167" s="2">
        <f>INDEX($BZ$8:$BZ$15,MATCH(CI$7,$CB$8:$CB$15,0))*SUM(G$11:G$12)/(365/12)*MAX(节奏总纲!H163-$E$2,0)</f>
        <v>125230953.20547946</v>
      </c>
      <c r="CS167" s="2">
        <v>160</v>
      </c>
      <c r="CT167" s="2">
        <f t="shared" si="109"/>
        <v>25400712.328767117</v>
      </c>
      <c r="CU167" s="2">
        <f t="shared" si="110"/>
        <v>25745128.767123282</v>
      </c>
      <c r="CV167" s="2">
        <f t="shared" si="111"/>
        <v>27394271.01369863</v>
      </c>
      <c r="CW167" s="2">
        <f t="shared" si="112"/>
        <v>32612227.397260275</v>
      </c>
      <c r="CX167" s="2">
        <f t="shared" si="113"/>
        <v>37830183.780821919</v>
      </c>
      <c r="CZ167" s="41">
        <f t="shared" si="114"/>
        <v>0.67796610169491534</v>
      </c>
      <c r="DA167" s="41">
        <f t="shared" si="115"/>
        <v>0.25423728813559326</v>
      </c>
      <c r="DB167" s="41">
        <f t="shared" si="116"/>
        <v>6.7796610169491539E-2</v>
      </c>
      <c r="DD167" s="41">
        <f t="shared" si="117"/>
        <v>0.63492063492063489</v>
      </c>
      <c r="DE167" s="41">
        <f t="shared" si="118"/>
        <v>0.23809523809523811</v>
      </c>
      <c r="DF167" s="41">
        <f t="shared" si="119"/>
        <v>0.126984126984127</v>
      </c>
      <c r="DH167" s="41">
        <f t="shared" si="120"/>
        <v>0.45977011494252873</v>
      </c>
      <c r="DI167" s="41">
        <f t="shared" si="121"/>
        <v>0.17241379310344826</v>
      </c>
      <c r="DJ167" s="41">
        <f t="shared" si="122"/>
        <v>0.36781609195402298</v>
      </c>
      <c r="DL167" s="2">
        <f>CT167/节奏总纲!D163</f>
        <v>387.59002561634418</v>
      </c>
      <c r="DM167" s="2">
        <f>CU167/节奏总纲!E163</f>
        <v>392.8454835908031</v>
      </c>
      <c r="DN167" s="2">
        <f>CV167/节奏总纲!F163</f>
        <v>413.87107053669649</v>
      </c>
      <c r="DO167" s="2">
        <f>CW167/节奏总纲!G163</f>
        <v>492.70365540082918</v>
      </c>
      <c r="DP167" s="2">
        <f>CX167/节奏总纲!H163</f>
        <v>571.53624026496186</v>
      </c>
      <c r="DR167" s="2">
        <f t="shared" si="123"/>
        <v>1.0135593220338983</v>
      </c>
      <c r="DS167" s="2">
        <f t="shared" si="124"/>
        <v>1.0678062983652903</v>
      </c>
      <c r="DT167" s="2">
        <f t="shared" si="125"/>
        <v>1.2711979742443931</v>
      </c>
      <c r="DU167" s="2">
        <f t="shared" si="126"/>
        <v>1.4745896501234961</v>
      </c>
      <c r="DY167" s="2">
        <v>160</v>
      </c>
      <c r="DZ167" s="2">
        <f t="shared" si="127"/>
        <v>599284602.73972607</v>
      </c>
      <c r="EA167" s="2">
        <f t="shared" si="128"/>
        <v>609617095.89041102</v>
      </c>
      <c r="EB167" s="2">
        <f t="shared" si="129"/>
        <v>657462504.32876718</v>
      </c>
      <c r="EC167" s="2">
        <f t="shared" si="130"/>
        <v>657462504.32876718</v>
      </c>
      <c r="ED167" s="2">
        <f t="shared" si="131"/>
        <v>657462504.32876718</v>
      </c>
      <c r="EF167" s="57">
        <f t="shared" si="132"/>
        <v>0.6206896551724137</v>
      </c>
      <c r="EG167" s="57">
        <f t="shared" si="133"/>
        <v>0.25862068965517238</v>
      </c>
      <c r="EH167" s="41">
        <f t="shared" si="134"/>
        <v>0.12068965517241378</v>
      </c>
      <c r="EJ167" s="57">
        <f t="shared" si="135"/>
        <v>0.57142857142857129</v>
      </c>
      <c r="EK167" s="57">
        <f t="shared" si="136"/>
        <v>0.23809523809523808</v>
      </c>
      <c r="EL167" s="41">
        <f t="shared" si="137"/>
        <v>0.19047619047619047</v>
      </c>
      <c r="EN167" s="57">
        <f t="shared" si="138"/>
        <v>0.57142857142857129</v>
      </c>
      <c r="EO167" s="57">
        <f t="shared" si="139"/>
        <v>0.23809523809523808</v>
      </c>
      <c r="EP167" s="41">
        <f t="shared" si="140"/>
        <v>0.19047619047619047</v>
      </c>
    </row>
  </sheetData>
  <mergeCells count="13">
    <mergeCell ref="DZ6:ED6"/>
    <mergeCell ref="CE6:CI6"/>
    <mergeCell ref="U6:Y6"/>
    <mergeCell ref="Z6:AD6"/>
    <mergeCell ref="CT6:CX6"/>
    <mergeCell ref="CJ6:CN6"/>
    <mergeCell ref="M6:Q6"/>
    <mergeCell ref="AE6:AI6"/>
    <mergeCell ref="AW6:AY6"/>
    <mergeCell ref="BD6:BH6"/>
    <mergeCell ref="BV6:BZ6"/>
    <mergeCell ref="AJ6:AN6"/>
    <mergeCell ref="BI6:BM6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1A9E4-355C-4DBB-8474-20D740427839}">
  <sheetPr codeName="Sheet9"/>
  <dimension ref="A1:BO165"/>
  <sheetViews>
    <sheetView workbookViewId="0">
      <selection activeCell="N32" sqref="N32"/>
    </sheetView>
  </sheetViews>
  <sheetFormatPr defaultColWidth="6.625" defaultRowHeight="11.25" x14ac:dyDescent="0.2"/>
  <cols>
    <col min="1" max="2" width="6.625" style="2"/>
    <col min="3" max="3" width="13.875" style="2" bestFit="1" customWidth="1"/>
    <col min="4" max="6" width="6.625" style="2"/>
    <col min="7" max="7" width="9" style="2" bestFit="1" customWidth="1"/>
    <col min="8" max="8" width="14.75" style="2" bestFit="1" customWidth="1"/>
    <col min="9" max="34" width="6.625" style="2"/>
    <col min="35" max="35" width="6.625" style="3"/>
    <col min="36" max="16384" width="6.625" style="2"/>
  </cols>
  <sheetData>
    <row r="1" spans="1:67" x14ac:dyDescent="0.2">
      <c r="A1" s="6" t="s">
        <v>575</v>
      </c>
      <c r="C1" s="54">
        <f>'奖励（新）'!$E$2</f>
        <v>60</v>
      </c>
      <c r="AJ1" s="6" t="s">
        <v>558</v>
      </c>
    </row>
    <row r="3" spans="1:67" x14ac:dyDescent="0.2">
      <c r="J3" s="66" t="s">
        <v>574</v>
      </c>
      <c r="K3" s="66"/>
      <c r="L3" s="66"/>
      <c r="M3" s="66"/>
      <c r="N3" s="66"/>
    </row>
    <row r="4" spans="1:67" x14ac:dyDescent="0.2">
      <c r="C4" s="2" t="s">
        <v>534</v>
      </c>
      <c r="D4" s="2" t="s">
        <v>536</v>
      </c>
      <c r="E4" s="2" t="s">
        <v>539</v>
      </c>
      <c r="F4" s="2" t="s">
        <v>538</v>
      </c>
      <c r="G4" s="2" t="s">
        <v>540</v>
      </c>
      <c r="H4" s="2" t="s">
        <v>570</v>
      </c>
      <c r="I4" s="2" t="s">
        <v>541</v>
      </c>
      <c r="J4" s="2" t="s">
        <v>198</v>
      </c>
      <c r="K4" s="2" t="s">
        <v>199</v>
      </c>
      <c r="L4" s="2" t="s">
        <v>200</v>
      </c>
      <c r="M4" s="2" t="s">
        <v>201</v>
      </c>
      <c r="N4" s="2" t="s">
        <v>202</v>
      </c>
      <c r="R4" s="66" t="s">
        <v>532</v>
      </c>
      <c r="S4" s="66"/>
      <c r="T4" s="66"/>
      <c r="U4" s="66"/>
      <c r="V4" s="66"/>
      <c r="W4" s="66" t="s">
        <v>531</v>
      </c>
      <c r="X4" s="66"/>
      <c r="Y4" s="66"/>
      <c r="Z4" s="66"/>
      <c r="AA4" s="66"/>
      <c r="AB4" s="66" t="s">
        <v>594</v>
      </c>
      <c r="AC4" s="66"/>
      <c r="AD4" s="66"/>
      <c r="AE4" s="66"/>
      <c r="AF4" s="66"/>
      <c r="AK4" s="2" t="s">
        <v>559</v>
      </c>
      <c r="AV4" s="2" t="s">
        <v>569</v>
      </c>
      <c r="BF4" s="66" t="s">
        <v>572</v>
      </c>
      <c r="BG4" s="66"/>
      <c r="BH4" s="66"/>
      <c r="BI4" s="66"/>
      <c r="BJ4" s="66"/>
      <c r="BK4" s="66" t="s">
        <v>571</v>
      </c>
      <c r="BL4" s="66"/>
      <c r="BM4" s="66"/>
      <c r="BN4" s="66"/>
      <c r="BO4" s="66"/>
    </row>
    <row r="5" spans="1:67" x14ac:dyDescent="0.2">
      <c r="C5" s="2" t="s">
        <v>535</v>
      </c>
      <c r="D5" s="2" t="s">
        <v>537</v>
      </c>
      <c r="E5" s="2">
        <v>5</v>
      </c>
      <c r="F5" s="2">
        <v>10</v>
      </c>
      <c r="G5" s="2">
        <f>E5*F5*'[1]功能-付费相关'!$I$26</f>
        <v>5000</v>
      </c>
      <c r="H5" s="2">
        <v>100</v>
      </c>
      <c r="I5" s="55">
        <f>H5*'奖励（新）'!$D$17/($E5*INDEX('奖励（新）'!$D$15:$D$16,MATCH($C5,'奖励（新）'!$B$15:$B$16,0)))</f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f>H5*F5</f>
        <v>1000</v>
      </c>
      <c r="Q5" s="2" t="s">
        <v>258</v>
      </c>
      <c r="R5" s="2" t="s">
        <v>198</v>
      </c>
      <c r="S5" s="2" t="s">
        <v>199</v>
      </c>
      <c r="T5" s="2" t="s">
        <v>200</v>
      </c>
      <c r="U5" s="2" t="s">
        <v>201</v>
      </c>
      <c r="V5" s="2" t="s">
        <v>202</v>
      </c>
      <c r="W5" s="2" t="s">
        <v>198</v>
      </c>
      <c r="X5" s="2" t="s">
        <v>199</v>
      </c>
      <c r="Y5" s="2" t="s">
        <v>200</v>
      </c>
      <c r="Z5" s="2" t="s">
        <v>201</v>
      </c>
      <c r="AA5" s="2" t="s">
        <v>202</v>
      </c>
      <c r="AB5" s="2" t="s">
        <v>198</v>
      </c>
      <c r="AC5" s="2" t="s">
        <v>199</v>
      </c>
      <c r="AD5" s="2" t="s">
        <v>200</v>
      </c>
      <c r="AE5" s="2" t="s">
        <v>201</v>
      </c>
      <c r="AF5" s="2" t="s">
        <v>202</v>
      </c>
      <c r="AK5" s="2" t="s">
        <v>258</v>
      </c>
      <c r="AL5" s="2" t="s">
        <v>198</v>
      </c>
      <c r="AM5" s="2" t="s">
        <v>199</v>
      </c>
      <c r="AN5" s="2" t="s">
        <v>200</v>
      </c>
      <c r="AO5" s="2" t="s">
        <v>201</v>
      </c>
      <c r="AP5" s="2" t="s">
        <v>202</v>
      </c>
      <c r="AV5" s="2" t="s">
        <v>258</v>
      </c>
      <c r="AW5" s="2" t="s">
        <v>198</v>
      </c>
      <c r="AX5" s="2" t="s">
        <v>199</v>
      </c>
      <c r="AY5" s="2" t="s">
        <v>200</v>
      </c>
      <c r="AZ5" s="2" t="s">
        <v>201</v>
      </c>
      <c r="BA5" s="2" t="s">
        <v>202</v>
      </c>
      <c r="BE5" s="2" t="s">
        <v>258</v>
      </c>
      <c r="BF5" s="2" t="s">
        <v>198</v>
      </c>
      <c r="BG5" s="2" t="s">
        <v>199</v>
      </c>
      <c r="BH5" s="2" t="s">
        <v>200</v>
      </c>
      <c r="BI5" s="2" t="s">
        <v>201</v>
      </c>
      <c r="BJ5" s="2" t="s">
        <v>202</v>
      </c>
      <c r="BK5" s="2" t="s">
        <v>198</v>
      </c>
      <c r="BL5" s="2" t="s">
        <v>199</v>
      </c>
      <c r="BM5" s="2" t="s">
        <v>200</v>
      </c>
      <c r="BN5" s="2" t="s">
        <v>201</v>
      </c>
      <c r="BO5" s="2" t="s">
        <v>202</v>
      </c>
    </row>
    <row r="6" spans="1:67" x14ac:dyDescent="0.2">
      <c r="C6" s="2" t="s">
        <v>520</v>
      </c>
      <c r="D6" s="2" t="s">
        <v>537</v>
      </c>
      <c r="E6" s="2">
        <v>50</v>
      </c>
      <c r="F6" s="2">
        <v>10</v>
      </c>
      <c r="G6" s="2">
        <f>E6*F6*'[1]功能-付费相关'!$I$27</f>
        <v>500</v>
      </c>
      <c r="H6" s="2">
        <v>10</v>
      </c>
      <c r="I6" s="55">
        <f>H6*'奖励（新）'!$D$17/($E6*INDEX('奖励（新）'!$D$15:$D$16,MATCH($C6,'奖励（新）'!$B$15:$B$16,0)))</f>
        <v>1</v>
      </c>
      <c r="J6" s="2">
        <v>1</v>
      </c>
      <c r="K6" s="2">
        <v>1</v>
      </c>
      <c r="L6" s="2">
        <v>1</v>
      </c>
      <c r="M6" s="2">
        <v>1</v>
      </c>
      <c r="N6" s="2">
        <v>1</v>
      </c>
      <c r="O6" s="2">
        <f t="shared" ref="O6:O12" si="0">H6*F6</f>
        <v>100</v>
      </c>
      <c r="Q6" s="2">
        <v>1</v>
      </c>
      <c r="R6" s="2">
        <f>$E$5*$F$5/7*MAX(节奏总纲!D4-$C$1,0)</f>
        <v>0</v>
      </c>
      <c r="S6" s="2">
        <f>$E$5*$F$5/7*MAX(节奏总纲!E4-$C$1,0)</f>
        <v>0</v>
      </c>
      <c r="T6" s="2">
        <f>$E$5*$F$5/7*MAX(节奏总纲!F4-$C$1,0)</f>
        <v>0</v>
      </c>
      <c r="U6" s="2">
        <f>$E$5*$F$5/7*MAX(节奏总纲!G4-$C$1,0)</f>
        <v>0</v>
      </c>
      <c r="V6" s="2">
        <f>$E$5*$F$5/7*MAX(节奏总纲!H4-$C$1,0)</f>
        <v>0</v>
      </c>
      <c r="W6" s="2">
        <f>$E$6*$F$6/7*MAX(节奏总纲!D4-$C$1,0)</f>
        <v>0</v>
      </c>
      <c r="X6" s="2">
        <f>$E$6*$F$6/7*MAX(节奏总纲!E4-$C$1,0)</f>
        <v>0</v>
      </c>
      <c r="Y6" s="2">
        <f>$E$6*$F$6/7*MAX(节奏总纲!F4-$C$1,0)</f>
        <v>0</v>
      </c>
      <c r="Z6" s="2">
        <f>$E$6*$F$6/7*MAX(节奏总纲!G4-$C$1,0)</f>
        <v>0</v>
      </c>
      <c r="AA6" s="2">
        <f>$E$6*$F$6/7*MAX(节奏总纲!H4-$C$1,0)</f>
        <v>0</v>
      </c>
      <c r="AB6" s="2">
        <f>($E$9*$F$9*3600+$E$10*$F$10*1200)/7*MAX(节奏总纲!D4-$C$1,0)</f>
        <v>0</v>
      </c>
      <c r="AC6" s="2">
        <f>($E$9*$F$9*3600+$E$10*$F$10*1200)/7*MAX(节奏总纲!E4-$C$1,0)</f>
        <v>0</v>
      </c>
      <c r="AD6" s="2">
        <f>($E$9*$F$9*3600+$E$10*$F$10*1200)/7*MAX(节奏总纲!F4-$C$1,0)</f>
        <v>0</v>
      </c>
      <c r="AE6" s="2">
        <f>($E$9*$F$9*3600+$E$10*$F$10*1200)/7*MAX(节奏总纲!G4-$C$1,0)</f>
        <v>0</v>
      </c>
      <c r="AF6" s="2">
        <f>($E$9*$F$9*3600+$E$10*$F$10*1200)/7*MAX(节奏总纲!H4-$C$1,0)</f>
        <v>0</v>
      </c>
      <c r="AK6" s="2">
        <v>1</v>
      </c>
      <c r="AL6" s="2">
        <f>'奖励（新）'!CT8</f>
        <v>0</v>
      </c>
      <c r="AM6" s="2">
        <f>'奖励（新）'!CU8</f>
        <v>0</v>
      </c>
      <c r="AN6" s="2">
        <f>'奖励（新）'!CV8</f>
        <v>0</v>
      </c>
      <c r="AO6" s="2">
        <f>'奖励（新）'!CW8</f>
        <v>0</v>
      </c>
      <c r="AP6" s="2">
        <f>'奖励（新）'!CX8</f>
        <v>0</v>
      </c>
      <c r="AV6" s="2">
        <v>1</v>
      </c>
      <c r="AW6" s="2">
        <f>SUMPRODUCT($F$5:$F$12,$H$5:$H$12,J$5:J$12)/7*MAX(节奏总纲!D4-'奖励（新）'!$E$2,0)</f>
        <v>0</v>
      </c>
      <c r="AX6" s="2">
        <f>SUMPRODUCT($F$5:$F$12,$H$5:$H$12,K$5:K$12)/7*MAX(节奏总纲!E4-'奖励（新）'!$E$2,0)</f>
        <v>0</v>
      </c>
      <c r="AY6" s="2">
        <f>SUMPRODUCT($F$5:$F$12,$H$5:$H$12,L$5:L$12)/7*MAX(节奏总纲!F4-'奖励（新）'!$E$2,0)</f>
        <v>0</v>
      </c>
      <c r="AZ6" s="2">
        <f>SUMPRODUCT($F$5:$F$12,$H$5:$H$12,M$5:M$12)/7*MAX(节奏总纲!G4-'奖励（新）'!$E$2,0)</f>
        <v>0</v>
      </c>
      <c r="BA6" s="2">
        <f>SUMPRODUCT($F$5:$F$12,$H$5:$H$12,N$5:N$12)/7*MAX(节奏总纲!H4-'奖励（新）'!$E$2,0)</f>
        <v>0</v>
      </c>
      <c r="BE6" s="2">
        <v>1</v>
      </c>
      <c r="BF6" s="41" t="e">
        <f>AL6/AW6</f>
        <v>#DIV/0!</v>
      </c>
      <c r="BG6" s="41" t="e">
        <f t="shared" ref="BG6:BJ6" si="1">AM6/AX6</f>
        <v>#DIV/0!</v>
      </c>
      <c r="BH6" s="41" t="e">
        <f t="shared" si="1"/>
        <v>#DIV/0!</v>
      </c>
      <c r="BI6" s="41" t="e">
        <f t="shared" si="1"/>
        <v>#DIV/0!</v>
      </c>
      <c r="BJ6" s="41" t="e">
        <f t="shared" si="1"/>
        <v>#DIV/0!</v>
      </c>
      <c r="BK6" s="2">
        <f>(AW6-AL6)*'奖励（新）'!$D$17</f>
        <v>0</v>
      </c>
      <c r="BL6" s="2">
        <f>(AX6-AM6)*'奖励（新）'!$D$17</f>
        <v>0</v>
      </c>
      <c r="BM6" s="2">
        <f>(AY6-AN6)*'奖励（新）'!$D$17</f>
        <v>0</v>
      </c>
      <c r="BN6" s="2">
        <f>(AZ6-AO6)*'奖励（新）'!$D$17</f>
        <v>0</v>
      </c>
      <c r="BO6" s="2">
        <f>(BA6-AP6)*'奖励（新）'!$D$17</f>
        <v>0</v>
      </c>
    </row>
    <row r="7" spans="1:67" x14ac:dyDescent="0.2">
      <c r="C7" s="2" t="s">
        <v>552</v>
      </c>
      <c r="D7" s="2" t="s">
        <v>573</v>
      </c>
      <c r="E7" s="2">
        <v>1</v>
      </c>
      <c r="F7" s="2">
        <v>10</v>
      </c>
      <c r="G7" s="2">
        <f>E7*F7*INDEX(道具投放节奏!$J:$J,MATCH(C7,道具投放节奏!$D:$D,0))</f>
        <v>7500</v>
      </c>
      <c r="H7" s="2">
        <v>180</v>
      </c>
      <c r="I7" s="43">
        <f>H7*'奖励（新）'!$D$17/($E7*INDEX(道具投放节奏!$J:$J,MATCH(C7,道具投放节奏!$D:$D,0)))</f>
        <v>1.2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f t="shared" si="0"/>
        <v>1800</v>
      </c>
      <c r="Q7" s="2">
        <v>2</v>
      </c>
      <c r="R7" s="2">
        <f>$E$5*$F$5/7*MAX(节奏总纲!D5-$C$1,0)</f>
        <v>0</v>
      </c>
      <c r="S7" s="2">
        <f>$E$5*$F$5/7*MAX(节奏总纲!E5-$C$1,0)</f>
        <v>0</v>
      </c>
      <c r="T7" s="2">
        <f>$E$5*$F$5/7*MAX(节奏总纲!F5-$C$1,0)</f>
        <v>0</v>
      </c>
      <c r="U7" s="2">
        <f>$E$5*$F$5/7*MAX(节奏总纲!G5-$C$1,0)</f>
        <v>0</v>
      </c>
      <c r="V7" s="2">
        <f>$E$5*$F$5/7*MAX(节奏总纲!H5-$C$1,0)</f>
        <v>0</v>
      </c>
      <c r="W7" s="2">
        <f>$E$6*$F$6/7*MAX(节奏总纲!D5-$C$1,0)</f>
        <v>0</v>
      </c>
      <c r="X7" s="2">
        <f>$E$6*$F$6/7*MAX(节奏总纲!E5-$C$1,0)</f>
        <v>0</v>
      </c>
      <c r="Y7" s="2">
        <f>$E$6*$F$6/7*MAX(节奏总纲!F5-$C$1,0)</f>
        <v>0</v>
      </c>
      <c r="Z7" s="2">
        <f>$E$6*$F$6/7*MAX(节奏总纲!G5-$C$1,0)</f>
        <v>0</v>
      </c>
      <c r="AA7" s="2">
        <f>$E$6*$F$6/7*MAX(节奏总纲!H5-$C$1,0)</f>
        <v>0</v>
      </c>
      <c r="AB7" s="2">
        <f>($E$9*$F$9*3600+$E$10*$F$10*1200)/7*MAX(节奏总纲!D5-$C$1,0)</f>
        <v>0</v>
      </c>
      <c r="AC7" s="2">
        <f>($E$9*$F$9*3600+$E$10*$F$10*1200)/7*MAX(节奏总纲!E5-$C$1,0)</f>
        <v>0</v>
      </c>
      <c r="AD7" s="2">
        <f>($E$9*$F$9*3600+$E$10*$F$10*1200)/7*MAX(节奏总纲!F5-$C$1,0)</f>
        <v>0</v>
      </c>
      <c r="AE7" s="2">
        <f>($E$9*$F$9*3600+$E$10*$F$10*1200)/7*MAX(节奏总纲!G5-$C$1,0)</f>
        <v>0</v>
      </c>
      <c r="AF7" s="2">
        <f>($E$9*$F$9*3600+$E$10*$F$10*1200)/7*MAX(节奏总纲!H5-$C$1,0)</f>
        <v>0</v>
      </c>
      <c r="AK7" s="2">
        <v>2</v>
      </c>
      <c r="AL7" s="2">
        <f>'奖励（新）'!CT9</f>
        <v>0</v>
      </c>
      <c r="AM7" s="2">
        <f>'奖励（新）'!CU9</f>
        <v>0</v>
      </c>
      <c r="AN7" s="2">
        <f>'奖励（新）'!CV9</f>
        <v>0</v>
      </c>
      <c r="AO7" s="2">
        <f>'奖励（新）'!CW9</f>
        <v>0</v>
      </c>
      <c r="AP7" s="2">
        <f>'奖励（新）'!CX9</f>
        <v>0</v>
      </c>
      <c r="AV7" s="2">
        <v>2</v>
      </c>
      <c r="AW7" s="2">
        <f>SUMPRODUCT($F$5:$F$12,$H$5:$H$12,J$5:J$12)/7*MAX(节奏总纲!D5-'奖励（新）'!$E$2,0)</f>
        <v>0</v>
      </c>
      <c r="AX7" s="2">
        <f>SUMPRODUCT($F$5:$F$12,$H$5:$H$12,K$5:K$12)/7*MAX(节奏总纲!E5-'奖励（新）'!$E$2,0)</f>
        <v>0</v>
      </c>
      <c r="AY7" s="2">
        <f>SUMPRODUCT($F$5:$F$12,$H$5:$H$12,L$5:L$12)/7*MAX(节奏总纲!F5-'奖励（新）'!$E$2,0)</f>
        <v>0</v>
      </c>
      <c r="AZ7" s="2">
        <f>SUMPRODUCT($F$5:$F$12,$H$5:$H$12,M$5:M$12)/7*MAX(节奏总纲!G5-'奖励（新）'!$E$2,0)</f>
        <v>0</v>
      </c>
      <c r="BA7" s="2">
        <f>SUMPRODUCT($F$5:$F$12,$H$5:$H$12,N$5:N$12)/7*MAX(节奏总纲!H5-'奖励（新）'!$E$2,0)</f>
        <v>0</v>
      </c>
      <c r="BE7" s="2">
        <v>2</v>
      </c>
      <c r="BF7" s="41" t="e">
        <f t="shared" ref="BF7:BF70" si="2">AL7/AW7</f>
        <v>#DIV/0!</v>
      </c>
      <c r="BG7" s="41" t="e">
        <f t="shared" ref="BG7:BG70" si="3">AM7/AX7</f>
        <v>#DIV/0!</v>
      </c>
      <c r="BH7" s="41" t="e">
        <f t="shared" ref="BH7:BH70" si="4">AN7/AY7</f>
        <v>#DIV/0!</v>
      </c>
      <c r="BI7" s="41" t="e">
        <f t="shared" ref="BI7:BI70" si="5">AO7/AZ7</f>
        <v>#DIV/0!</v>
      </c>
      <c r="BJ7" s="41" t="e">
        <f t="shared" ref="BJ7:BJ70" si="6">AP7/BA7</f>
        <v>#DIV/0!</v>
      </c>
      <c r="BK7" s="2">
        <f>(AW7-AL7)*'奖励（新）'!$D$17</f>
        <v>0</v>
      </c>
      <c r="BL7" s="2">
        <f>(AX7-AM7)*'奖励（新）'!$D$17</f>
        <v>0</v>
      </c>
      <c r="BM7" s="2">
        <f>(AY7-AN7)*'奖励（新）'!$D$17</f>
        <v>0</v>
      </c>
      <c r="BN7" s="2">
        <f>(AZ7-AO7)*'奖励（新）'!$D$17</f>
        <v>0</v>
      </c>
      <c r="BO7" s="2">
        <f>(BA7-AP7)*'奖励（新）'!$D$17</f>
        <v>0</v>
      </c>
    </row>
    <row r="8" spans="1:67" x14ac:dyDescent="0.2">
      <c r="C8" s="2" t="s">
        <v>554</v>
      </c>
      <c r="D8" s="2" t="s">
        <v>573</v>
      </c>
      <c r="E8" s="2">
        <v>1</v>
      </c>
      <c r="F8" s="2">
        <v>10</v>
      </c>
      <c r="G8" s="2">
        <f>E8*F8*INDEX(道具投放节奏!$J:$J,MATCH(C8,道具投放节奏!$D:$D,0))</f>
        <v>1000</v>
      </c>
      <c r="H8" s="2">
        <v>30</v>
      </c>
      <c r="I8" s="43">
        <f>H8*'奖励（新）'!$D$17/($E8*INDEX(道具投放节奏!$J:$J,MATCH(C8,道具投放节奏!$D:$D,0)))</f>
        <v>1.5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f t="shared" si="0"/>
        <v>300</v>
      </c>
      <c r="Q8" s="2">
        <v>3</v>
      </c>
      <c r="R8" s="2">
        <f>$E$5*$F$5/7*MAX(节奏总纲!D6-$C$1,0)</f>
        <v>0</v>
      </c>
      <c r="S8" s="2">
        <f>$E$5*$F$5/7*MAX(节奏总纲!E6-$C$1,0)</f>
        <v>0</v>
      </c>
      <c r="T8" s="2">
        <f>$E$5*$F$5/7*MAX(节奏总纲!F6-$C$1,0)</f>
        <v>0</v>
      </c>
      <c r="U8" s="2">
        <f>$E$5*$F$5/7*MAX(节奏总纲!G6-$C$1,0)</f>
        <v>0</v>
      </c>
      <c r="V8" s="2">
        <f>$E$5*$F$5/7*MAX(节奏总纲!H6-$C$1,0)</f>
        <v>0</v>
      </c>
      <c r="W8" s="2">
        <f>$E$6*$F$6/7*MAX(节奏总纲!D6-$C$1,0)</f>
        <v>0</v>
      </c>
      <c r="X8" s="2">
        <f>$E$6*$F$6/7*MAX(节奏总纲!E6-$C$1,0)</f>
        <v>0</v>
      </c>
      <c r="Y8" s="2">
        <f>$E$6*$F$6/7*MAX(节奏总纲!F6-$C$1,0)</f>
        <v>0</v>
      </c>
      <c r="Z8" s="2">
        <f>$E$6*$F$6/7*MAX(节奏总纲!G6-$C$1,0)</f>
        <v>0</v>
      </c>
      <c r="AA8" s="2">
        <f>$E$6*$F$6/7*MAX(节奏总纲!H6-$C$1,0)</f>
        <v>0</v>
      </c>
      <c r="AB8" s="2">
        <f>($E$9*$F$9*3600+$E$10*$F$10*1200)/7*MAX(节奏总纲!D6-$C$1,0)</f>
        <v>0</v>
      </c>
      <c r="AC8" s="2">
        <f>($E$9*$F$9*3600+$E$10*$F$10*1200)/7*MAX(节奏总纲!E6-$C$1,0)</f>
        <v>0</v>
      </c>
      <c r="AD8" s="2">
        <f>($E$9*$F$9*3600+$E$10*$F$10*1200)/7*MAX(节奏总纲!F6-$C$1,0)</f>
        <v>0</v>
      </c>
      <c r="AE8" s="2">
        <f>($E$9*$F$9*3600+$E$10*$F$10*1200)/7*MAX(节奏总纲!G6-$C$1,0)</f>
        <v>0</v>
      </c>
      <c r="AF8" s="2">
        <f>($E$9*$F$9*3600+$E$10*$F$10*1200)/7*MAX(节奏总纲!H6-$C$1,0)</f>
        <v>0</v>
      </c>
      <c r="AK8" s="2">
        <v>3</v>
      </c>
      <c r="AL8" s="2">
        <f>'奖励（新）'!CT10</f>
        <v>0</v>
      </c>
      <c r="AM8" s="2">
        <f>'奖励（新）'!CU10</f>
        <v>0</v>
      </c>
      <c r="AN8" s="2">
        <f>'奖励（新）'!CV10</f>
        <v>0</v>
      </c>
      <c r="AO8" s="2">
        <f>'奖励（新）'!CW10</f>
        <v>0</v>
      </c>
      <c r="AP8" s="2">
        <f>'奖励（新）'!CX10</f>
        <v>0</v>
      </c>
      <c r="AV8" s="2">
        <v>3</v>
      </c>
      <c r="AW8" s="2">
        <f>SUMPRODUCT($F$5:$F$12,$H$5:$H$12,J$5:J$12)/7*MAX(节奏总纲!D6-'奖励（新）'!$E$2,0)</f>
        <v>0</v>
      </c>
      <c r="AX8" s="2">
        <f>SUMPRODUCT($F$5:$F$12,$H$5:$H$12,K$5:K$12)/7*MAX(节奏总纲!E6-'奖励（新）'!$E$2,0)</f>
        <v>0</v>
      </c>
      <c r="AY8" s="2">
        <f>SUMPRODUCT($F$5:$F$12,$H$5:$H$12,L$5:L$12)/7*MAX(节奏总纲!F6-'奖励（新）'!$E$2,0)</f>
        <v>0</v>
      </c>
      <c r="AZ8" s="2">
        <f>SUMPRODUCT($F$5:$F$12,$H$5:$H$12,M$5:M$12)/7*MAX(节奏总纲!G6-'奖励（新）'!$E$2,0)</f>
        <v>0</v>
      </c>
      <c r="BA8" s="2">
        <f>SUMPRODUCT($F$5:$F$12,$H$5:$H$12,N$5:N$12)/7*MAX(节奏总纲!H6-'奖励（新）'!$E$2,0)</f>
        <v>0</v>
      </c>
      <c r="BE8" s="2">
        <v>3</v>
      </c>
      <c r="BF8" s="41" t="e">
        <f t="shared" si="2"/>
        <v>#DIV/0!</v>
      </c>
      <c r="BG8" s="41" t="e">
        <f t="shared" si="3"/>
        <v>#DIV/0!</v>
      </c>
      <c r="BH8" s="41" t="e">
        <f t="shared" si="4"/>
        <v>#DIV/0!</v>
      </c>
      <c r="BI8" s="41" t="e">
        <f t="shared" si="5"/>
        <v>#DIV/0!</v>
      </c>
      <c r="BJ8" s="41" t="e">
        <f t="shared" si="6"/>
        <v>#DIV/0!</v>
      </c>
      <c r="BK8" s="2">
        <f>(AW8-AL8)*'奖励（新）'!$D$17</f>
        <v>0</v>
      </c>
      <c r="BL8" s="2">
        <f>(AX8-AM8)*'奖励（新）'!$D$17</f>
        <v>0</v>
      </c>
      <c r="BM8" s="2">
        <f>(AY8-AN8)*'奖励（新）'!$D$17</f>
        <v>0</v>
      </c>
      <c r="BN8" s="2">
        <f>(AZ8-AO8)*'奖励（新）'!$D$17</f>
        <v>0</v>
      </c>
      <c r="BO8" s="2">
        <f>(BA8-AP8)*'奖励（新）'!$D$17</f>
        <v>0</v>
      </c>
    </row>
    <row r="9" spans="1:67" x14ac:dyDescent="0.2">
      <c r="C9" s="2" t="s">
        <v>579</v>
      </c>
      <c r="D9" s="2" t="s">
        <v>537</v>
      </c>
      <c r="E9" s="2">
        <v>1</v>
      </c>
      <c r="F9" s="2">
        <v>5</v>
      </c>
      <c r="G9" s="2">
        <f>E9*F9*INDEX(道具投放节奏!$J:$J,MATCH(C9,道具投放节奏!$D:$D,0))</f>
        <v>250</v>
      </c>
      <c r="H9" s="2">
        <v>10</v>
      </c>
      <c r="I9" s="43">
        <f>H9*'奖励（新）'!$D$17/($E9*INDEX(道具投放节奏!$J:$J,MATCH(C9,道具投放节奏!$D:$D,0)))</f>
        <v>1</v>
      </c>
      <c r="J9" s="2">
        <v>1</v>
      </c>
      <c r="K9" s="2">
        <v>1</v>
      </c>
      <c r="L9" s="2">
        <v>1</v>
      </c>
      <c r="M9" s="2">
        <v>1</v>
      </c>
      <c r="N9" s="2">
        <v>1</v>
      </c>
      <c r="O9" s="2">
        <f t="shared" si="0"/>
        <v>50</v>
      </c>
      <c r="Q9" s="2">
        <v>4</v>
      </c>
      <c r="R9" s="2">
        <f>$E$5*$F$5/7*MAX(节奏总纲!D7-$C$1,0)</f>
        <v>0</v>
      </c>
      <c r="S9" s="2">
        <f>$E$5*$F$5/7*MAX(节奏总纲!E7-$C$1,0)</f>
        <v>0</v>
      </c>
      <c r="T9" s="2">
        <f>$E$5*$F$5/7*MAX(节奏总纲!F7-$C$1,0)</f>
        <v>0</v>
      </c>
      <c r="U9" s="2">
        <f>$E$5*$F$5/7*MAX(节奏总纲!G7-$C$1,0)</f>
        <v>0</v>
      </c>
      <c r="V9" s="2">
        <f>$E$5*$F$5/7*MAX(节奏总纲!H7-$C$1,0)</f>
        <v>0</v>
      </c>
      <c r="W9" s="2">
        <f>$E$6*$F$6/7*MAX(节奏总纲!D7-$C$1,0)</f>
        <v>0</v>
      </c>
      <c r="X9" s="2">
        <f>$E$6*$F$6/7*MAX(节奏总纲!E7-$C$1,0)</f>
        <v>0</v>
      </c>
      <c r="Y9" s="2">
        <f>$E$6*$F$6/7*MAX(节奏总纲!F7-$C$1,0)</f>
        <v>0</v>
      </c>
      <c r="Z9" s="2">
        <f>$E$6*$F$6/7*MAX(节奏总纲!G7-$C$1,0)</f>
        <v>0</v>
      </c>
      <c r="AA9" s="2">
        <f>$E$6*$F$6/7*MAX(节奏总纲!H7-$C$1,0)</f>
        <v>0</v>
      </c>
      <c r="AB9" s="2">
        <f>($E$9*$F$9*3600+$E$10*$F$10*1200)/7*MAX(节奏总纲!D7-$C$1,0)</f>
        <v>0</v>
      </c>
      <c r="AC9" s="2">
        <f>($E$9*$F$9*3600+$E$10*$F$10*1200)/7*MAX(节奏总纲!E7-$C$1,0)</f>
        <v>0</v>
      </c>
      <c r="AD9" s="2">
        <f>($E$9*$F$9*3600+$E$10*$F$10*1200)/7*MAX(节奏总纲!F7-$C$1,0)</f>
        <v>0</v>
      </c>
      <c r="AE9" s="2">
        <f>($E$9*$F$9*3600+$E$10*$F$10*1200)/7*MAX(节奏总纲!G7-$C$1,0)</f>
        <v>0</v>
      </c>
      <c r="AF9" s="2">
        <f>($E$9*$F$9*3600+$E$10*$F$10*1200)/7*MAX(节奏总纲!H7-$C$1,0)</f>
        <v>0</v>
      </c>
      <c r="AK9" s="2">
        <v>4</v>
      </c>
      <c r="AL9" s="2">
        <f>'奖励（新）'!CT11</f>
        <v>0</v>
      </c>
      <c r="AM9" s="2">
        <f>'奖励（新）'!CU11</f>
        <v>0</v>
      </c>
      <c r="AN9" s="2">
        <f>'奖励（新）'!CV11</f>
        <v>0</v>
      </c>
      <c r="AO9" s="2">
        <f>'奖励（新）'!CW11</f>
        <v>0</v>
      </c>
      <c r="AP9" s="2">
        <f>'奖励（新）'!CX11</f>
        <v>0</v>
      </c>
      <c r="AV9" s="2">
        <v>4</v>
      </c>
      <c r="AW9" s="2">
        <f>SUMPRODUCT($F$5:$F$12,$H$5:$H$12,J$5:J$12)/7*MAX(节奏总纲!D7-'奖励（新）'!$E$2,0)</f>
        <v>0</v>
      </c>
      <c r="AX9" s="2">
        <f>SUMPRODUCT($F$5:$F$12,$H$5:$H$12,K$5:K$12)/7*MAX(节奏总纲!E7-'奖励（新）'!$E$2,0)</f>
        <v>0</v>
      </c>
      <c r="AY9" s="2">
        <f>SUMPRODUCT($F$5:$F$12,$H$5:$H$12,L$5:L$12)/7*MAX(节奏总纲!F7-'奖励（新）'!$E$2,0)</f>
        <v>0</v>
      </c>
      <c r="AZ9" s="2">
        <f>SUMPRODUCT($F$5:$F$12,$H$5:$H$12,M$5:M$12)/7*MAX(节奏总纲!G7-'奖励（新）'!$E$2,0)</f>
        <v>0</v>
      </c>
      <c r="BA9" s="2">
        <f>SUMPRODUCT($F$5:$F$12,$H$5:$H$12,N$5:N$12)/7*MAX(节奏总纲!H7-'奖励（新）'!$E$2,0)</f>
        <v>0</v>
      </c>
      <c r="BE9" s="2">
        <v>4</v>
      </c>
      <c r="BF9" s="41" t="e">
        <f t="shared" si="2"/>
        <v>#DIV/0!</v>
      </c>
      <c r="BG9" s="41" t="e">
        <f t="shared" si="3"/>
        <v>#DIV/0!</v>
      </c>
      <c r="BH9" s="41" t="e">
        <f t="shared" si="4"/>
        <v>#DIV/0!</v>
      </c>
      <c r="BI9" s="41" t="e">
        <f t="shared" si="5"/>
        <v>#DIV/0!</v>
      </c>
      <c r="BJ9" s="41" t="e">
        <f t="shared" si="6"/>
        <v>#DIV/0!</v>
      </c>
      <c r="BK9" s="2">
        <f>(AW9-AL9)*'奖励（新）'!$D$17</f>
        <v>0</v>
      </c>
      <c r="BL9" s="2">
        <f>(AX9-AM9)*'奖励（新）'!$D$17</f>
        <v>0</v>
      </c>
      <c r="BM9" s="2">
        <f>(AY9-AN9)*'奖励（新）'!$D$17</f>
        <v>0</v>
      </c>
      <c r="BN9" s="2">
        <f>(AZ9-AO9)*'奖励（新）'!$D$17</f>
        <v>0</v>
      </c>
      <c r="BO9" s="2">
        <f>(BA9-AP9)*'奖励（新）'!$D$17</f>
        <v>0</v>
      </c>
    </row>
    <row r="10" spans="1:67" x14ac:dyDescent="0.2">
      <c r="C10" s="2" t="s">
        <v>580</v>
      </c>
      <c r="D10" s="2" t="s">
        <v>537</v>
      </c>
      <c r="E10" s="2">
        <v>1</v>
      </c>
      <c r="F10" s="2">
        <v>20</v>
      </c>
      <c r="G10" s="2">
        <f>E10*F10*INDEX(道具投放节奏!$J:$J,MATCH(C10,道具投放节奏!$D:$D,0))</f>
        <v>400</v>
      </c>
      <c r="H10" s="2">
        <v>5</v>
      </c>
      <c r="I10" s="43">
        <f>H10*'奖励（新）'!$D$17/($E10*INDEX(道具投放节奏!$J:$J,MATCH(C10,道具投放节奏!$D:$D,0)))</f>
        <v>1.25</v>
      </c>
      <c r="J10" s="2">
        <v>1</v>
      </c>
      <c r="K10" s="2">
        <v>1</v>
      </c>
      <c r="L10" s="2">
        <v>1</v>
      </c>
      <c r="M10" s="2">
        <v>1</v>
      </c>
      <c r="N10" s="2">
        <v>1</v>
      </c>
      <c r="O10" s="2">
        <f t="shared" si="0"/>
        <v>100</v>
      </c>
      <c r="Q10" s="2">
        <v>5</v>
      </c>
      <c r="R10" s="2">
        <f>$E$5*$F$5/7*MAX(节奏总纲!D8-$C$1,0)</f>
        <v>0</v>
      </c>
      <c r="S10" s="2">
        <f>$E$5*$F$5/7*MAX(节奏总纲!E8-$C$1,0)</f>
        <v>0</v>
      </c>
      <c r="T10" s="2">
        <f>$E$5*$F$5/7*MAX(节奏总纲!F8-$C$1,0)</f>
        <v>0</v>
      </c>
      <c r="U10" s="2">
        <f>$E$5*$F$5/7*MAX(节奏总纲!G8-$C$1,0)</f>
        <v>0</v>
      </c>
      <c r="V10" s="2">
        <f>$E$5*$F$5/7*MAX(节奏总纲!H8-$C$1,0)</f>
        <v>0</v>
      </c>
      <c r="W10" s="2">
        <f>$E$6*$F$6/7*MAX(节奏总纲!D8-$C$1,0)</f>
        <v>0</v>
      </c>
      <c r="X10" s="2">
        <f>$E$6*$F$6/7*MAX(节奏总纲!E8-$C$1,0)</f>
        <v>0</v>
      </c>
      <c r="Y10" s="2">
        <f>$E$6*$F$6/7*MAX(节奏总纲!F8-$C$1,0)</f>
        <v>0</v>
      </c>
      <c r="Z10" s="2">
        <f>$E$6*$F$6/7*MAX(节奏总纲!G8-$C$1,0)</f>
        <v>0</v>
      </c>
      <c r="AA10" s="2">
        <f>$E$6*$F$6/7*MAX(节奏总纲!H8-$C$1,0)</f>
        <v>0</v>
      </c>
      <c r="AB10" s="2">
        <f>($E$9*$F$9*3600+$E$10*$F$10*1200)/7*MAX(节奏总纲!D8-$C$1,0)</f>
        <v>0</v>
      </c>
      <c r="AC10" s="2">
        <f>($E$9*$F$9*3600+$E$10*$F$10*1200)/7*MAX(节奏总纲!E8-$C$1,0)</f>
        <v>0</v>
      </c>
      <c r="AD10" s="2">
        <f>($E$9*$F$9*3600+$E$10*$F$10*1200)/7*MAX(节奏总纲!F8-$C$1,0)</f>
        <v>0</v>
      </c>
      <c r="AE10" s="2">
        <f>($E$9*$F$9*3600+$E$10*$F$10*1200)/7*MAX(节奏总纲!G8-$C$1,0)</f>
        <v>0</v>
      </c>
      <c r="AF10" s="2">
        <f>($E$9*$F$9*3600+$E$10*$F$10*1200)/7*MAX(节奏总纲!H8-$C$1,0)</f>
        <v>0</v>
      </c>
      <c r="AK10" s="2">
        <v>5</v>
      </c>
      <c r="AL10" s="2">
        <f>'奖励（新）'!CT12</f>
        <v>0</v>
      </c>
      <c r="AM10" s="2">
        <f>'奖励（新）'!CU12</f>
        <v>0</v>
      </c>
      <c r="AN10" s="2">
        <f>'奖励（新）'!CV12</f>
        <v>0</v>
      </c>
      <c r="AO10" s="2">
        <f>'奖励（新）'!CW12</f>
        <v>0</v>
      </c>
      <c r="AP10" s="2">
        <f>'奖励（新）'!CX12</f>
        <v>0</v>
      </c>
      <c r="AV10" s="2">
        <v>5</v>
      </c>
      <c r="AW10" s="2">
        <f>SUMPRODUCT($F$5:$F$12,$H$5:$H$12,J$5:J$12)/7*MAX(节奏总纲!D8-'奖励（新）'!$E$2,0)</f>
        <v>0</v>
      </c>
      <c r="AX10" s="2">
        <f>SUMPRODUCT($F$5:$F$12,$H$5:$H$12,K$5:K$12)/7*MAX(节奏总纲!E8-'奖励（新）'!$E$2,0)</f>
        <v>0</v>
      </c>
      <c r="AY10" s="2">
        <f>SUMPRODUCT($F$5:$F$12,$H$5:$H$12,L$5:L$12)/7*MAX(节奏总纲!F8-'奖励（新）'!$E$2,0)</f>
        <v>0</v>
      </c>
      <c r="AZ10" s="2">
        <f>SUMPRODUCT($F$5:$F$12,$H$5:$H$12,M$5:M$12)/7*MAX(节奏总纲!G8-'奖励（新）'!$E$2,0)</f>
        <v>0</v>
      </c>
      <c r="BA10" s="2">
        <f>SUMPRODUCT($F$5:$F$12,$H$5:$H$12,N$5:N$12)/7*MAX(节奏总纲!H8-'奖励（新）'!$E$2,0)</f>
        <v>0</v>
      </c>
      <c r="BE10" s="2">
        <v>5</v>
      </c>
      <c r="BF10" s="41" t="e">
        <f t="shared" si="2"/>
        <v>#DIV/0!</v>
      </c>
      <c r="BG10" s="41" t="e">
        <f t="shared" si="3"/>
        <v>#DIV/0!</v>
      </c>
      <c r="BH10" s="41" t="e">
        <f t="shared" si="4"/>
        <v>#DIV/0!</v>
      </c>
      <c r="BI10" s="41" t="e">
        <f t="shared" si="5"/>
        <v>#DIV/0!</v>
      </c>
      <c r="BJ10" s="41" t="e">
        <f t="shared" si="6"/>
        <v>#DIV/0!</v>
      </c>
      <c r="BK10" s="2">
        <f>(AW10-AL10)*'奖励（新）'!$D$17</f>
        <v>0</v>
      </c>
      <c r="BL10" s="2">
        <f>(AX10-AM10)*'奖励（新）'!$D$17</f>
        <v>0</v>
      </c>
      <c r="BM10" s="2">
        <f>(AY10-AN10)*'奖励（新）'!$D$17</f>
        <v>0</v>
      </c>
      <c r="BN10" s="2">
        <f>(AZ10-AO10)*'奖励（新）'!$D$17</f>
        <v>0</v>
      </c>
      <c r="BO10" s="2">
        <f>(BA10-AP10)*'奖励（新）'!$D$17</f>
        <v>0</v>
      </c>
    </row>
    <row r="11" spans="1:67" x14ac:dyDescent="0.2">
      <c r="C11" s="2" t="s">
        <v>630</v>
      </c>
      <c r="D11" s="2" t="s">
        <v>537</v>
      </c>
      <c r="E11" s="2">
        <v>1</v>
      </c>
      <c r="F11" s="2">
        <v>5</v>
      </c>
      <c r="G11" s="2">
        <f>E11*F11*INDEX(道具投放节奏!$J:$J,MATCH(C11,道具投放节奏!$D:$D,0))</f>
        <v>4320</v>
      </c>
      <c r="H11" s="2">
        <v>200</v>
      </c>
      <c r="I11" s="43">
        <f>H11*'奖励（新）'!$D$17/($E11*INDEX(道具投放节奏!$J:$J,MATCH(C11,道具投放节奏!$D:$D,0)))</f>
        <v>1.1574074074074074</v>
      </c>
      <c r="J11" s="2">
        <v>1</v>
      </c>
      <c r="K11" s="2">
        <v>1</v>
      </c>
      <c r="L11" s="2">
        <v>1</v>
      </c>
      <c r="M11" s="2">
        <v>1</v>
      </c>
      <c r="N11" s="2">
        <v>1</v>
      </c>
      <c r="O11" s="2">
        <f t="shared" si="0"/>
        <v>1000</v>
      </c>
      <c r="Q11" s="2">
        <v>6</v>
      </c>
      <c r="R11" s="2">
        <f>$E$5*$F$5/7*MAX(节奏总纲!D9-$C$1,0)</f>
        <v>0</v>
      </c>
      <c r="S11" s="2">
        <f>$E$5*$F$5/7*MAX(节奏总纲!E9-$C$1,0)</f>
        <v>0</v>
      </c>
      <c r="T11" s="2">
        <f>$E$5*$F$5/7*MAX(节奏总纲!F9-$C$1,0)</f>
        <v>0</v>
      </c>
      <c r="U11" s="2">
        <f>$E$5*$F$5/7*MAX(节奏总纲!G9-$C$1,0)</f>
        <v>0</v>
      </c>
      <c r="V11" s="2">
        <f>$E$5*$F$5/7*MAX(节奏总纲!H9-$C$1,0)</f>
        <v>0</v>
      </c>
      <c r="W11" s="2">
        <f>$E$6*$F$6/7*MAX(节奏总纲!D9-$C$1,0)</f>
        <v>0</v>
      </c>
      <c r="X11" s="2">
        <f>$E$6*$F$6/7*MAX(节奏总纲!E9-$C$1,0)</f>
        <v>0</v>
      </c>
      <c r="Y11" s="2">
        <f>$E$6*$F$6/7*MAX(节奏总纲!F9-$C$1,0)</f>
        <v>0</v>
      </c>
      <c r="Z11" s="2">
        <f>$E$6*$F$6/7*MAX(节奏总纲!G9-$C$1,0)</f>
        <v>0</v>
      </c>
      <c r="AA11" s="2">
        <f>$E$6*$F$6/7*MAX(节奏总纲!H9-$C$1,0)</f>
        <v>0</v>
      </c>
      <c r="AB11" s="2">
        <f>($E$9*$F$9*3600+$E$10*$F$10*1200)/7*MAX(节奏总纲!D9-$C$1,0)</f>
        <v>0</v>
      </c>
      <c r="AC11" s="2">
        <f>($E$9*$F$9*3600+$E$10*$F$10*1200)/7*MAX(节奏总纲!E9-$C$1,0)</f>
        <v>0</v>
      </c>
      <c r="AD11" s="2">
        <f>($E$9*$F$9*3600+$E$10*$F$10*1200)/7*MAX(节奏总纲!F9-$C$1,0)</f>
        <v>0</v>
      </c>
      <c r="AE11" s="2">
        <f>($E$9*$F$9*3600+$E$10*$F$10*1200)/7*MAX(节奏总纲!G9-$C$1,0)</f>
        <v>0</v>
      </c>
      <c r="AF11" s="2">
        <f>($E$9*$F$9*3600+$E$10*$F$10*1200)/7*MAX(节奏总纲!H9-$C$1,0)</f>
        <v>0</v>
      </c>
      <c r="AK11" s="2">
        <v>6</v>
      </c>
      <c r="AL11" s="2">
        <f>'奖励（新）'!CT13</f>
        <v>0</v>
      </c>
      <c r="AM11" s="2">
        <f>'奖励（新）'!CU13</f>
        <v>0</v>
      </c>
      <c r="AN11" s="2">
        <f>'奖励（新）'!CV13</f>
        <v>0</v>
      </c>
      <c r="AO11" s="2">
        <f>'奖励（新）'!CW13</f>
        <v>0</v>
      </c>
      <c r="AP11" s="2">
        <f>'奖励（新）'!CX13</f>
        <v>0</v>
      </c>
      <c r="AV11" s="2">
        <v>6</v>
      </c>
      <c r="AW11" s="2">
        <f>SUMPRODUCT($F$5:$F$12,$H$5:$H$12,J$5:J$12)/7*MAX(节奏总纲!D9-'奖励（新）'!$E$2,0)</f>
        <v>0</v>
      </c>
      <c r="AX11" s="2">
        <f>SUMPRODUCT($F$5:$F$12,$H$5:$H$12,K$5:K$12)/7*MAX(节奏总纲!E9-'奖励（新）'!$E$2,0)</f>
        <v>0</v>
      </c>
      <c r="AY11" s="2">
        <f>SUMPRODUCT($F$5:$F$12,$H$5:$H$12,L$5:L$12)/7*MAX(节奏总纲!F9-'奖励（新）'!$E$2,0)</f>
        <v>0</v>
      </c>
      <c r="AZ11" s="2">
        <f>SUMPRODUCT($F$5:$F$12,$H$5:$H$12,M$5:M$12)/7*MAX(节奏总纲!G9-'奖励（新）'!$E$2,0)</f>
        <v>0</v>
      </c>
      <c r="BA11" s="2">
        <f>SUMPRODUCT($F$5:$F$12,$H$5:$H$12,N$5:N$12)/7*MAX(节奏总纲!H9-'奖励（新）'!$E$2,0)</f>
        <v>0</v>
      </c>
      <c r="BE11" s="2">
        <v>6</v>
      </c>
      <c r="BF11" s="41" t="e">
        <f t="shared" si="2"/>
        <v>#DIV/0!</v>
      </c>
      <c r="BG11" s="41" t="e">
        <f t="shared" si="3"/>
        <v>#DIV/0!</v>
      </c>
      <c r="BH11" s="41" t="e">
        <f t="shared" si="4"/>
        <v>#DIV/0!</v>
      </c>
      <c r="BI11" s="41" t="e">
        <f t="shared" si="5"/>
        <v>#DIV/0!</v>
      </c>
      <c r="BJ11" s="41" t="e">
        <f t="shared" si="6"/>
        <v>#DIV/0!</v>
      </c>
      <c r="BK11" s="2">
        <f>(AW11-AL11)*'奖励（新）'!$D$17</f>
        <v>0</v>
      </c>
      <c r="BL11" s="2">
        <f>(AX11-AM11)*'奖励（新）'!$D$17</f>
        <v>0</v>
      </c>
      <c r="BM11" s="2">
        <f>(AY11-AN11)*'奖励（新）'!$D$17</f>
        <v>0</v>
      </c>
      <c r="BN11" s="2">
        <f>(AZ11-AO11)*'奖励（新）'!$D$17</f>
        <v>0</v>
      </c>
      <c r="BO11" s="2">
        <f>(BA11-AP11)*'奖励（新）'!$D$17</f>
        <v>0</v>
      </c>
    </row>
    <row r="12" spans="1:67" x14ac:dyDescent="0.2">
      <c r="C12" s="2" t="s">
        <v>578</v>
      </c>
      <c r="D12" s="2" t="s">
        <v>573</v>
      </c>
      <c r="E12" s="2">
        <v>1</v>
      </c>
      <c r="F12" s="2">
        <v>10</v>
      </c>
      <c r="G12" s="2">
        <f>E12*F12*INDEX(道具投放节奏!$J:$J,MATCH(C12,道具投放节奏!$D:$D,0))</f>
        <v>48950</v>
      </c>
      <c r="H12" s="2">
        <v>500</v>
      </c>
      <c r="I12" s="43">
        <f>H12*'奖励（新）'!$D$17/($E12*INDEX(道具投放节奏!$J:$J,MATCH(C12,道具投放节奏!$D:$D,0)))</f>
        <v>0.51072522982635338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f t="shared" si="0"/>
        <v>5000</v>
      </c>
      <c r="Q12" s="2">
        <v>7</v>
      </c>
      <c r="R12" s="2">
        <f>$E$5*$F$5/7*MAX(节奏总纲!D10-$C$1,0)</f>
        <v>0</v>
      </c>
      <c r="S12" s="2">
        <f>$E$5*$F$5/7*MAX(节奏总纲!E10-$C$1,0)</f>
        <v>0</v>
      </c>
      <c r="T12" s="2">
        <f>$E$5*$F$5/7*MAX(节奏总纲!F10-$C$1,0)</f>
        <v>0</v>
      </c>
      <c r="U12" s="2">
        <f>$E$5*$F$5/7*MAX(节奏总纲!G10-$C$1,0)</f>
        <v>0</v>
      </c>
      <c r="V12" s="2">
        <f>$E$5*$F$5/7*MAX(节奏总纲!H10-$C$1,0)</f>
        <v>0</v>
      </c>
      <c r="W12" s="2">
        <f>$E$6*$F$6/7*MAX(节奏总纲!D10-$C$1,0)</f>
        <v>0</v>
      </c>
      <c r="X12" s="2">
        <f>$E$6*$F$6/7*MAX(节奏总纲!E10-$C$1,0)</f>
        <v>0</v>
      </c>
      <c r="Y12" s="2">
        <f>$E$6*$F$6/7*MAX(节奏总纲!F10-$C$1,0)</f>
        <v>0</v>
      </c>
      <c r="Z12" s="2">
        <f>$E$6*$F$6/7*MAX(节奏总纲!G10-$C$1,0)</f>
        <v>0</v>
      </c>
      <c r="AA12" s="2">
        <f>$E$6*$F$6/7*MAX(节奏总纲!H10-$C$1,0)</f>
        <v>0</v>
      </c>
      <c r="AB12" s="2">
        <f>($E$9*$F$9*3600+$E$10*$F$10*1200)/7*MAX(节奏总纲!D10-$C$1,0)</f>
        <v>0</v>
      </c>
      <c r="AC12" s="2">
        <f>($E$9*$F$9*3600+$E$10*$F$10*1200)/7*MAX(节奏总纲!E10-$C$1,0)</f>
        <v>0</v>
      </c>
      <c r="AD12" s="2">
        <f>($E$9*$F$9*3600+$E$10*$F$10*1200)/7*MAX(节奏总纲!F10-$C$1,0)</f>
        <v>0</v>
      </c>
      <c r="AE12" s="2">
        <f>($E$9*$F$9*3600+$E$10*$F$10*1200)/7*MAX(节奏总纲!G10-$C$1,0)</f>
        <v>0</v>
      </c>
      <c r="AF12" s="2">
        <f>($E$9*$F$9*3600+$E$10*$F$10*1200)/7*MAX(节奏总纲!H10-$C$1,0)</f>
        <v>0</v>
      </c>
      <c r="AK12" s="2">
        <v>7</v>
      </c>
      <c r="AL12" s="2">
        <f>'奖励（新）'!CT14</f>
        <v>0</v>
      </c>
      <c r="AM12" s="2">
        <f>'奖励（新）'!CU14</f>
        <v>0</v>
      </c>
      <c r="AN12" s="2">
        <f>'奖励（新）'!CV14</f>
        <v>0</v>
      </c>
      <c r="AO12" s="2">
        <f>'奖励（新）'!CW14</f>
        <v>0</v>
      </c>
      <c r="AP12" s="2">
        <f>'奖励（新）'!CX14</f>
        <v>0</v>
      </c>
      <c r="AV12" s="2">
        <v>7</v>
      </c>
      <c r="AW12" s="2">
        <f>SUMPRODUCT($F$5:$F$12,$H$5:$H$12,J$5:J$12)/7*MAX(节奏总纲!D10-'奖励（新）'!$E$2,0)</f>
        <v>0</v>
      </c>
      <c r="AX12" s="2">
        <f>SUMPRODUCT($F$5:$F$12,$H$5:$H$12,K$5:K$12)/7*MAX(节奏总纲!E10-'奖励（新）'!$E$2,0)</f>
        <v>0</v>
      </c>
      <c r="AY12" s="2">
        <f>SUMPRODUCT($F$5:$F$12,$H$5:$H$12,L$5:L$12)/7*MAX(节奏总纲!F10-'奖励（新）'!$E$2,0)</f>
        <v>0</v>
      </c>
      <c r="AZ12" s="2">
        <f>SUMPRODUCT($F$5:$F$12,$H$5:$H$12,M$5:M$12)/7*MAX(节奏总纲!G10-'奖励（新）'!$E$2,0)</f>
        <v>0</v>
      </c>
      <c r="BA12" s="2">
        <f>SUMPRODUCT($F$5:$F$12,$H$5:$H$12,N$5:N$12)/7*MAX(节奏总纲!H10-'奖励（新）'!$E$2,0)</f>
        <v>0</v>
      </c>
      <c r="BE12" s="2">
        <v>7</v>
      </c>
      <c r="BF12" s="41" t="e">
        <f t="shared" si="2"/>
        <v>#DIV/0!</v>
      </c>
      <c r="BG12" s="41" t="e">
        <f t="shared" si="3"/>
        <v>#DIV/0!</v>
      </c>
      <c r="BH12" s="41" t="e">
        <f t="shared" si="4"/>
        <v>#DIV/0!</v>
      </c>
      <c r="BI12" s="41" t="e">
        <f t="shared" si="5"/>
        <v>#DIV/0!</v>
      </c>
      <c r="BJ12" s="41" t="e">
        <f t="shared" si="6"/>
        <v>#DIV/0!</v>
      </c>
      <c r="BK12" s="2">
        <f>(AW12-AL12)*'奖励（新）'!$D$17</f>
        <v>0</v>
      </c>
      <c r="BL12" s="2">
        <f>(AX12-AM12)*'奖励（新）'!$D$17</f>
        <v>0</v>
      </c>
      <c r="BM12" s="2">
        <f>(AY12-AN12)*'奖励（新）'!$D$17</f>
        <v>0</v>
      </c>
      <c r="BN12" s="2">
        <f>(AZ12-AO12)*'奖励（新）'!$D$17</f>
        <v>0</v>
      </c>
      <c r="BO12" s="2">
        <f>(BA12-AP12)*'奖励（新）'!$D$17</f>
        <v>0</v>
      </c>
    </row>
    <row r="13" spans="1:67" x14ac:dyDescent="0.2">
      <c r="Q13" s="2">
        <v>8</v>
      </c>
      <c r="R13" s="2">
        <f>$E$5*$F$5/7*MAX(节奏总纲!D11-$C$1,0)</f>
        <v>0</v>
      </c>
      <c r="S13" s="2">
        <f>$E$5*$F$5/7*MAX(节奏总纲!E11-$C$1,0)</f>
        <v>0</v>
      </c>
      <c r="T13" s="2">
        <f>$E$5*$F$5/7*MAX(节奏总纲!F11-$C$1,0)</f>
        <v>0</v>
      </c>
      <c r="U13" s="2">
        <f>$E$5*$F$5/7*MAX(节奏总纲!G11-$C$1,0)</f>
        <v>0</v>
      </c>
      <c r="V13" s="2">
        <f>$E$5*$F$5/7*MAX(节奏总纲!H11-$C$1,0)</f>
        <v>0</v>
      </c>
      <c r="W13" s="2">
        <f>$E$6*$F$6/7*MAX(节奏总纲!D11-$C$1,0)</f>
        <v>0</v>
      </c>
      <c r="X13" s="2">
        <f>$E$6*$F$6/7*MAX(节奏总纲!E11-$C$1,0)</f>
        <v>0</v>
      </c>
      <c r="Y13" s="2">
        <f>$E$6*$F$6/7*MAX(节奏总纲!F11-$C$1,0)</f>
        <v>0</v>
      </c>
      <c r="Z13" s="2">
        <f>$E$6*$F$6/7*MAX(节奏总纲!G11-$C$1,0)</f>
        <v>0</v>
      </c>
      <c r="AA13" s="2">
        <f>$E$6*$F$6/7*MAX(节奏总纲!H11-$C$1,0)</f>
        <v>0</v>
      </c>
      <c r="AB13" s="2">
        <f>($E$9*$F$9*3600+$E$10*$F$10*1200)/7*MAX(节奏总纲!D11-$C$1,0)</f>
        <v>0</v>
      </c>
      <c r="AC13" s="2">
        <f>($E$9*$F$9*3600+$E$10*$F$10*1200)/7*MAX(节奏总纲!E11-$C$1,0)</f>
        <v>0</v>
      </c>
      <c r="AD13" s="2">
        <f>($E$9*$F$9*3600+$E$10*$F$10*1200)/7*MAX(节奏总纲!F11-$C$1,0)</f>
        <v>0</v>
      </c>
      <c r="AE13" s="2">
        <f>($E$9*$F$9*3600+$E$10*$F$10*1200)/7*MAX(节奏总纲!G11-$C$1,0)</f>
        <v>0</v>
      </c>
      <c r="AF13" s="2">
        <f>($E$9*$F$9*3600+$E$10*$F$10*1200)/7*MAX(节奏总纲!H11-$C$1,0)</f>
        <v>0</v>
      </c>
      <c r="AK13" s="2">
        <v>8</v>
      </c>
      <c r="AL13" s="2">
        <f>'奖励（新）'!CT15</f>
        <v>0</v>
      </c>
      <c r="AM13" s="2">
        <f>'奖励（新）'!CU15</f>
        <v>0</v>
      </c>
      <c r="AN13" s="2">
        <f>'奖励（新）'!CV15</f>
        <v>0</v>
      </c>
      <c r="AO13" s="2">
        <f>'奖励（新）'!CW15</f>
        <v>0</v>
      </c>
      <c r="AP13" s="2">
        <f>'奖励（新）'!CX15</f>
        <v>0</v>
      </c>
      <c r="AV13" s="2">
        <v>8</v>
      </c>
      <c r="AW13" s="2">
        <f>SUMPRODUCT($F$5:$F$12,$H$5:$H$12,J$5:J$12)/7*MAX(节奏总纲!D11-'奖励（新）'!$E$2,0)</f>
        <v>0</v>
      </c>
      <c r="AX13" s="2">
        <f>SUMPRODUCT($F$5:$F$12,$H$5:$H$12,K$5:K$12)/7*MAX(节奏总纲!E11-'奖励（新）'!$E$2,0)</f>
        <v>0</v>
      </c>
      <c r="AY13" s="2">
        <f>SUMPRODUCT($F$5:$F$12,$H$5:$H$12,L$5:L$12)/7*MAX(节奏总纲!F11-'奖励（新）'!$E$2,0)</f>
        <v>0</v>
      </c>
      <c r="AZ13" s="2">
        <f>SUMPRODUCT($F$5:$F$12,$H$5:$H$12,M$5:M$12)/7*MAX(节奏总纲!G11-'奖励（新）'!$E$2,0)</f>
        <v>0</v>
      </c>
      <c r="BA13" s="2">
        <f>SUMPRODUCT($F$5:$F$12,$H$5:$H$12,N$5:N$12)/7*MAX(节奏总纲!H11-'奖励（新）'!$E$2,0)</f>
        <v>0</v>
      </c>
      <c r="BE13" s="2">
        <v>8</v>
      </c>
      <c r="BF13" s="41" t="e">
        <f t="shared" si="2"/>
        <v>#DIV/0!</v>
      </c>
      <c r="BG13" s="41" t="e">
        <f t="shared" si="3"/>
        <v>#DIV/0!</v>
      </c>
      <c r="BH13" s="41" t="e">
        <f t="shared" si="4"/>
        <v>#DIV/0!</v>
      </c>
      <c r="BI13" s="41" t="e">
        <f t="shared" si="5"/>
        <v>#DIV/0!</v>
      </c>
      <c r="BJ13" s="41" t="e">
        <f t="shared" si="6"/>
        <v>#DIV/0!</v>
      </c>
      <c r="BK13" s="2">
        <f>(AW13-AL13)*'奖励（新）'!$D$17</f>
        <v>0</v>
      </c>
      <c r="BL13" s="2">
        <f>(AX13-AM13)*'奖励（新）'!$D$17</f>
        <v>0</v>
      </c>
      <c r="BM13" s="2">
        <f>(AY13-AN13)*'奖励（新）'!$D$17</f>
        <v>0</v>
      </c>
      <c r="BN13" s="2">
        <f>(AZ13-AO13)*'奖励（新）'!$D$17</f>
        <v>0</v>
      </c>
      <c r="BO13" s="2">
        <f>(BA13-AP13)*'奖励（新）'!$D$17</f>
        <v>0</v>
      </c>
    </row>
    <row r="14" spans="1:67" x14ac:dyDescent="0.2">
      <c r="Q14" s="2">
        <v>9</v>
      </c>
      <c r="R14" s="2">
        <f>$E$5*$F$5/7*MAX(节奏总纲!D12-$C$1,0)</f>
        <v>0</v>
      </c>
      <c r="S14" s="2">
        <f>$E$5*$F$5/7*MAX(节奏总纲!E12-$C$1,0)</f>
        <v>0</v>
      </c>
      <c r="T14" s="2">
        <f>$E$5*$F$5/7*MAX(节奏总纲!F12-$C$1,0)</f>
        <v>0</v>
      </c>
      <c r="U14" s="2">
        <f>$E$5*$F$5/7*MAX(节奏总纲!G12-$C$1,0)</f>
        <v>0</v>
      </c>
      <c r="V14" s="2">
        <f>$E$5*$F$5/7*MAX(节奏总纲!H12-$C$1,0)</f>
        <v>0</v>
      </c>
      <c r="W14" s="2">
        <f>$E$6*$F$6/7*MAX(节奏总纲!D12-$C$1,0)</f>
        <v>0</v>
      </c>
      <c r="X14" s="2">
        <f>$E$6*$F$6/7*MAX(节奏总纲!E12-$C$1,0)</f>
        <v>0</v>
      </c>
      <c r="Y14" s="2">
        <f>$E$6*$F$6/7*MAX(节奏总纲!F12-$C$1,0)</f>
        <v>0</v>
      </c>
      <c r="Z14" s="2">
        <f>$E$6*$F$6/7*MAX(节奏总纲!G12-$C$1,0)</f>
        <v>0</v>
      </c>
      <c r="AA14" s="2">
        <f>$E$6*$F$6/7*MAX(节奏总纲!H12-$C$1,0)</f>
        <v>0</v>
      </c>
      <c r="AB14" s="2">
        <f>($E$9*$F$9*3600+$E$10*$F$10*1200)/7*MAX(节奏总纲!D12-$C$1,0)</f>
        <v>0</v>
      </c>
      <c r="AC14" s="2">
        <f>($E$9*$F$9*3600+$E$10*$F$10*1200)/7*MAX(节奏总纲!E12-$C$1,0)</f>
        <v>0</v>
      </c>
      <c r="AD14" s="2">
        <f>($E$9*$F$9*3600+$E$10*$F$10*1200)/7*MAX(节奏总纲!F12-$C$1,0)</f>
        <v>0</v>
      </c>
      <c r="AE14" s="2">
        <f>($E$9*$F$9*3600+$E$10*$F$10*1200)/7*MAX(节奏总纲!G12-$C$1,0)</f>
        <v>0</v>
      </c>
      <c r="AF14" s="2">
        <f>($E$9*$F$9*3600+$E$10*$F$10*1200)/7*MAX(节奏总纲!H12-$C$1,0)</f>
        <v>0</v>
      </c>
      <c r="AK14" s="2">
        <v>9</v>
      </c>
      <c r="AL14" s="2">
        <f>'奖励（新）'!CT16</f>
        <v>0</v>
      </c>
      <c r="AM14" s="2">
        <f>'奖励（新）'!CU16</f>
        <v>0</v>
      </c>
      <c r="AN14" s="2">
        <f>'奖励（新）'!CV16</f>
        <v>0</v>
      </c>
      <c r="AO14" s="2">
        <f>'奖励（新）'!CW16</f>
        <v>0</v>
      </c>
      <c r="AP14" s="2">
        <f>'奖励（新）'!CX16</f>
        <v>0</v>
      </c>
      <c r="AV14" s="2">
        <v>9</v>
      </c>
      <c r="AW14" s="2">
        <f>SUMPRODUCT($F$5:$F$12,$H$5:$H$12,J$5:J$12)/7*MAX(节奏总纲!D12-'奖励（新）'!$E$2,0)</f>
        <v>0</v>
      </c>
      <c r="AX14" s="2">
        <f>SUMPRODUCT($F$5:$F$12,$H$5:$H$12,K$5:K$12)/7*MAX(节奏总纲!E12-'奖励（新）'!$E$2,0)</f>
        <v>0</v>
      </c>
      <c r="AY14" s="2">
        <f>SUMPRODUCT($F$5:$F$12,$H$5:$H$12,L$5:L$12)/7*MAX(节奏总纲!F12-'奖励（新）'!$E$2,0)</f>
        <v>0</v>
      </c>
      <c r="AZ14" s="2">
        <f>SUMPRODUCT($F$5:$F$12,$H$5:$H$12,M$5:M$12)/7*MAX(节奏总纲!G12-'奖励（新）'!$E$2,0)</f>
        <v>0</v>
      </c>
      <c r="BA14" s="2">
        <f>SUMPRODUCT($F$5:$F$12,$H$5:$H$12,N$5:N$12)/7*MAX(节奏总纲!H12-'奖励（新）'!$E$2,0)</f>
        <v>0</v>
      </c>
      <c r="BE14" s="2">
        <v>9</v>
      </c>
      <c r="BF14" s="41" t="e">
        <f t="shared" si="2"/>
        <v>#DIV/0!</v>
      </c>
      <c r="BG14" s="41" t="e">
        <f t="shared" si="3"/>
        <v>#DIV/0!</v>
      </c>
      <c r="BH14" s="41" t="e">
        <f t="shared" si="4"/>
        <v>#DIV/0!</v>
      </c>
      <c r="BI14" s="41" t="e">
        <f t="shared" si="5"/>
        <v>#DIV/0!</v>
      </c>
      <c r="BJ14" s="41" t="e">
        <f t="shared" si="6"/>
        <v>#DIV/0!</v>
      </c>
      <c r="BK14" s="2">
        <f>(AW14-AL14)*'奖励（新）'!$D$17</f>
        <v>0</v>
      </c>
      <c r="BL14" s="2">
        <f>(AX14-AM14)*'奖励（新）'!$D$17</f>
        <v>0</v>
      </c>
      <c r="BM14" s="2">
        <f>(AY14-AN14)*'奖励（新）'!$D$17</f>
        <v>0</v>
      </c>
      <c r="BN14" s="2">
        <f>(AZ14-AO14)*'奖励（新）'!$D$17</f>
        <v>0</v>
      </c>
      <c r="BO14" s="2">
        <f>(BA14-AP14)*'奖励（新）'!$D$17</f>
        <v>0</v>
      </c>
    </row>
    <row r="15" spans="1:67" x14ac:dyDescent="0.2">
      <c r="Q15" s="2">
        <v>10</v>
      </c>
      <c r="R15" s="2">
        <f>$E$5*$F$5/7*MAX(节奏总纲!D13-$C$1,0)</f>
        <v>0</v>
      </c>
      <c r="S15" s="2">
        <f>$E$5*$F$5/7*MAX(节奏总纲!E13-$C$1,0)</f>
        <v>0</v>
      </c>
      <c r="T15" s="2">
        <f>$E$5*$F$5/7*MAX(节奏总纲!F13-$C$1,0)</f>
        <v>0</v>
      </c>
      <c r="U15" s="2">
        <f>$E$5*$F$5/7*MAX(节奏总纲!G13-$C$1,0)</f>
        <v>0</v>
      </c>
      <c r="V15" s="2">
        <f>$E$5*$F$5/7*MAX(节奏总纲!H13-$C$1,0)</f>
        <v>0</v>
      </c>
      <c r="W15" s="2">
        <f>$E$6*$F$6/7*MAX(节奏总纲!D13-$C$1,0)</f>
        <v>0</v>
      </c>
      <c r="X15" s="2">
        <f>$E$6*$F$6/7*MAX(节奏总纲!E13-$C$1,0)</f>
        <v>0</v>
      </c>
      <c r="Y15" s="2">
        <f>$E$6*$F$6/7*MAX(节奏总纲!F13-$C$1,0)</f>
        <v>0</v>
      </c>
      <c r="Z15" s="2">
        <f>$E$6*$F$6/7*MAX(节奏总纲!G13-$C$1,0)</f>
        <v>0</v>
      </c>
      <c r="AA15" s="2">
        <f>$E$6*$F$6/7*MAX(节奏总纲!H13-$C$1,0)</f>
        <v>0</v>
      </c>
      <c r="AB15" s="2">
        <f>($E$9*$F$9*3600+$E$10*$F$10*1200)/7*MAX(节奏总纲!D13-$C$1,0)</f>
        <v>0</v>
      </c>
      <c r="AC15" s="2">
        <f>($E$9*$F$9*3600+$E$10*$F$10*1200)/7*MAX(节奏总纲!E13-$C$1,0)</f>
        <v>0</v>
      </c>
      <c r="AD15" s="2">
        <f>($E$9*$F$9*3600+$E$10*$F$10*1200)/7*MAX(节奏总纲!F13-$C$1,0)</f>
        <v>0</v>
      </c>
      <c r="AE15" s="2">
        <f>($E$9*$F$9*3600+$E$10*$F$10*1200)/7*MAX(节奏总纲!G13-$C$1,0)</f>
        <v>0</v>
      </c>
      <c r="AF15" s="2">
        <f>($E$9*$F$9*3600+$E$10*$F$10*1200)/7*MAX(节奏总纲!H13-$C$1,0)</f>
        <v>0</v>
      </c>
      <c r="AK15" s="2">
        <v>10</v>
      </c>
      <c r="AL15" s="2">
        <f>'奖励（新）'!CT17</f>
        <v>0</v>
      </c>
      <c r="AM15" s="2">
        <f>'奖励（新）'!CU17</f>
        <v>0</v>
      </c>
      <c r="AN15" s="2">
        <f>'奖励（新）'!CV17</f>
        <v>0</v>
      </c>
      <c r="AO15" s="2">
        <f>'奖励（新）'!CW17</f>
        <v>0</v>
      </c>
      <c r="AP15" s="2">
        <f>'奖励（新）'!CX17</f>
        <v>0</v>
      </c>
      <c r="AV15" s="2">
        <v>10</v>
      </c>
      <c r="AW15" s="2">
        <f>SUMPRODUCT($F$5:$F$12,$H$5:$H$12,J$5:J$12)/7*MAX(节奏总纲!D13-'奖励（新）'!$E$2,0)</f>
        <v>0</v>
      </c>
      <c r="AX15" s="2">
        <f>SUMPRODUCT($F$5:$F$12,$H$5:$H$12,K$5:K$12)/7*MAX(节奏总纲!E13-'奖励（新）'!$E$2,0)</f>
        <v>0</v>
      </c>
      <c r="AY15" s="2">
        <f>SUMPRODUCT($F$5:$F$12,$H$5:$H$12,L$5:L$12)/7*MAX(节奏总纲!F13-'奖励（新）'!$E$2,0)</f>
        <v>0</v>
      </c>
      <c r="AZ15" s="2">
        <f>SUMPRODUCT($F$5:$F$12,$H$5:$H$12,M$5:M$12)/7*MAX(节奏总纲!G13-'奖励（新）'!$E$2,0)</f>
        <v>0</v>
      </c>
      <c r="BA15" s="2">
        <f>SUMPRODUCT($F$5:$F$12,$H$5:$H$12,N$5:N$12)/7*MAX(节奏总纲!H13-'奖励（新）'!$E$2,0)</f>
        <v>0</v>
      </c>
      <c r="BE15" s="2">
        <v>10</v>
      </c>
      <c r="BF15" s="41" t="e">
        <f t="shared" si="2"/>
        <v>#DIV/0!</v>
      </c>
      <c r="BG15" s="41" t="e">
        <f t="shared" si="3"/>
        <v>#DIV/0!</v>
      </c>
      <c r="BH15" s="41" t="e">
        <f t="shared" si="4"/>
        <v>#DIV/0!</v>
      </c>
      <c r="BI15" s="41" t="e">
        <f t="shared" si="5"/>
        <v>#DIV/0!</v>
      </c>
      <c r="BJ15" s="41" t="e">
        <f t="shared" si="6"/>
        <v>#DIV/0!</v>
      </c>
      <c r="BK15" s="2">
        <f>(AW15-AL15)*'奖励（新）'!$D$17</f>
        <v>0</v>
      </c>
      <c r="BL15" s="2">
        <f>(AX15-AM15)*'奖励（新）'!$D$17</f>
        <v>0</v>
      </c>
      <c r="BM15" s="2">
        <f>(AY15-AN15)*'奖励（新）'!$D$17</f>
        <v>0</v>
      </c>
      <c r="BN15" s="2">
        <f>(AZ15-AO15)*'奖励（新）'!$D$17</f>
        <v>0</v>
      </c>
      <c r="BO15" s="2">
        <f>(BA15-AP15)*'奖励（新）'!$D$17</f>
        <v>0</v>
      </c>
    </row>
    <row r="16" spans="1:67" x14ac:dyDescent="0.2">
      <c r="Q16" s="2">
        <v>11</v>
      </c>
      <c r="R16" s="2">
        <f>$E$5*$F$5/7*MAX(节奏总纲!D14-$C$1,0)</f>
        <v>0</v>
      </c>
      <c r="S16" s="2">
        <f>$E$5*$F$5/7*MAX(节奏总纲!E14-$C$1,0)</f>
        <v>0</v>
      </c>
      <c r="T16" s="2">
        <f>$E$5*$F$5/7*MAX(节奏总纲!F14-$C$1,0)</f>
        <v>0</v>
      </c>
      <c r="U16" s="2">
        <f>$E$5*$F$5/7*MAX(节奏总纲!G14-$C$1,0)</f>
        <v>0</v>
      </c>
      <c r="V16" s="2">
        <f>$E$5*$F$5/7*MAX(节奏总纲!H14-$C$1,0)</f>
        <v>0</v>
      </c>
      <c r="W16" s="2">
        <f>$E$6*$F$6/7*MAX(节奏总纲!D14-$C$1,0)</f>
        <v>0</v>
      </c>
      <c r="X16" s="2">
        <f>$E$6*$F$6/7*MAX(节奏总纲!E14-$C$1,0)</f>
        <v>0</v>
      </c>
      <c r="Y16" s="2">
        <f>$E$6*$F$6/7*MAX(节奏总纲!F14-$C$1,0)</f>
        <v>0</v>
      </c>
      <c r="Z16" s="2">
        <f>$E$6*$F$6/7*MAX(节奏总纲!G14-$C$1,0)</f>
        <v>0</v>
      </c>
      <c r="AA16" s="2">
        <f>$E$6*$F$6/7*MAX(节奏总纲!H14-$C$1,0)</f>
        <v>0</v>
      </c>
      <c r="AB16" s="2">
        <f>($E$9*$F$9*3600+$E$10*$F$10*1200)/7*MAX(节奏总纲!D14-$C$1,0)</f>
        <v>0</v>
      </c>
      <c r="AC16" s="2">
        <f>($E$9*$F$9*3600+$E$10*$F$10*1200)/7*MAX(节奏总纲!E14-$C$1,0)</f>
        <v>0</v>
      </c>
      <c r="AD16" s="2">
        <f>($E$9*$F$9*3600+$E$10*$F$10*1200)/7*MAX(节奏总纲!F14-$C$1,0)</f>
        <v>0</v>
      </c>
      <c r="AE16" s="2">
        <f>($E$9*$F$9*3600+$E$10*$F$10*1200)/7*MAX(节奏总纲!G14-$C$1,0)</f>
        <v>0</v>
      </c>
      <c r="AF16" s="2">
        <f>($E$9*$F$9*3600+$E$10*$F$10*1200)/7*MAX(节奏总纲!H14-$C$1,0)</f>
        <v>0</v>
      </c>
      <c r="AK16" s="2">
        <v>11</v>
      </c>
      <c r="AL16" s="2">
        <f>'奖励（新）'!CT18</f>
        <v>0</v>
      </c>
      <c r="AM16" s="2">
        <f>'奖励（新）'!CU18</f>
        <v>0</v>
      </c>
      <c r="AN16" s="2">
        <f>'奖励（新）'!CV18</f>
        <v>0</v>
      </c>
      <c r="AO16" s="2">
        <f>'奖励（新）'!CW18</f>
        <v>0</v>
      </c>
      <c r="AP16" s="2">
        <f>'奖励（新）'!CX18</f>
        <v>0</v>
      </c>
      <c r="AV16" s="2">
        <v>11</v>
      </c>
      <c r="AW16" s="2">
        <f>SUMPRODUCT($F$5:$F$12,$H$5:$H$12,J$5:J$12)/7*MAX(节奏总纲!D14-'奖励（新）'!$E$2,0)</f>
        <v>0</v>
      </c>
      <c r="AX16" s="2">
        <f>SUMPRODUCT($F$5:$F$12,$H$5:$H$12,K$5:K$12)/7*MAX(节奏总纲!E14-'奖励（新）'!$E$2,0)</f>
        <v>0</v>
      </c>
      <c r="AY16" s="2">
        <f>SUMPRODUCT($F$5:$F$12,$H$5:$H$12,L$5:L$12)/7*MAX(节奏总纲!F14-'奖励（新）'!$E$2,0)</f>
        <v>0</v>
      </c>
      <c r="AZ16" s="2">
        <f>SUMPRODUCT($F$5:$F$12,$H$5:$H$12,M$5:M$12)/7*MAX(节奏总纲!G14-'奖励（新）'!$E$2,0)</f>
        <v>0</v>
      </c>
      <c r="BA16" s="2">
        <f>SUMPRODUCT($F$5:$F$12,$H$5:$H$12,N$5:N$12)/7*MAX(节奏总纲!H14-'奖励（新）'!$E$2,0)</f>
        <v>0</v>
      </c>
      <c r="BE16" s="2">
        <v>11</v>
      </c>
      <c r="BF16" s="41" t="e">
        <f t="shared" si="2"/>
        <v>#DIV/0!</v>
      </c>
      <c r="BG16" s="41" t="e">
        <f t="shared" si="3"/>
        <v>#DIV/0!</v>
      </c>
      <c r="BH16" s="41" t="e">
        <f t="shared" si="4"/>
        <v>#DIV/0!</v>
      </c>
      <c r="BI16" s="41" t="e">
        <f t="shared" si="5"/>
        <v>#DIV/0!</v>
      </c>
      <c r="BJ16" s="41" t="e">
        <f t="shared" si="6"/>
        <v>#DIV/0!</v>
      </c>
      <c r="BK16" s="2">
        <f>(AW16-AL16)*'奖励（新）'!$D$17</f>
        <v>0</v>
      </c>
      <c r="BL16" s="2">
        <f>(AX16-AM16)*'奖励（新）'!$D$17</f>
        <v>0</v>
      </c>
      <c r="BM16" s="2">
        <f>(AY16-AN16)*'奖励（新）'!$D$17</f>
        <v>0</v>
      </c>
      <c r="BN16" s="2">
        <f>(AZ16-AO16)*'奖励（新）'!$D$17</f>
        <v>0</v>
      </c>
      <c r="BO16" s="2">
        <f>(BA16-AP16)*'奖励（新）'!$D$17</f>
        <v>0</v>
      </c>
    </row>
    <row r="17" spans="6:67" x14ac:dyDescent="0.2">
      <c r="Q17" s="2">
        <v>12</v>
      </c>
      <c r="R17" s="2">
        <f>$E$5*$F$5/7*MAX(节奏总纲!D15-$C$1,0)</f>
        <v>0</v>
      </c>
      <c r="S17" s="2">
        <f>$E$5*$F$5/7*MAX(节奏总纲!E15-$C$1,0)</f>
        <v>0</v>
      </c>
      <c r="T17" s="2">
        <f>$E$5*$F$5/7*MAX(节奏总纲!F15-$C$1,0)</f>
        <v>0</v>
      </c>
      <c r="U17" s="2">
        <f>$E$5*$F$5/7*MAX(节奏总纲!G15-$C$1,0)</f>
        <v>0</v>
      </c>
      <c r="V17" s="2">
        <f>$E$5*$F$5/7*MAX(节奏总纲!H15-$C$1,0)</f>
        <v>0</v>
      </c>
      <c r="W17" s="2">
        <f>$E$6*$F$6/7*MAX(节奏总纲!D15-$C$1,0)</f>
        <v>0</v>
      </c>
      <c r="X17" s="2">
        <f>$E$6*$F$6/7*MAX(节奏总纲!E15-$C$1,0)</f>
        <v>0</v>
      </c>
      <c r="Y17" s="2">
        <f>$E$6*$F$6/7*MAX(节奏总纲!F15-$C$1,0)</f>
        <v>0</v>
      </c>
      <c r="Z17" s="2">
        <f>$E$6*$F$6/7*MAX(节奏总纲!G15-$C$1,0)</f>
        <v>0</v>
      </c>
      <c r="AA17" s="2">
        <f>$E$6*$F$6/7*MAX(节奏总纲!H15-$C$1,0)</f>
        <v>0</v>
      </c>
      <c r="AB17" s="2">
        <f>($E$9*$F$9*3600+$E$10*$F$10*1200)/7*MAX(节奏总纲!D15-$C$1,0)</f>
        <v>0</v>
      </c>
      <c r="AC17" s="2">
        <f>($E$9*$F$9*3600+$E$10*$F$10*1200)/7*MAX(节奏总纲!E15-$C$1,0)</f>
        <v>0</v>
      </c>
      <c r="AD17" s="2">
        <f>($E$9*$F$9*3600+$E$10*$F$10*1200)/7*MAX(节奏总纲!F15-$C$1,0)</f>
        <v>0</v>
      </c>
      <c r="AE17" s="2">
        <f>($E$9*$F$9*3600+$E$10*$F$10*1200)/7*MAX(节奏总纲!G15-$C$1,0)</f>
        <v>0</v>
      </c>
      <c r="AF17" s="2">
        <f>($E$9*$F$9*3600+$E$10*$F$10*1200)/7*MAX(节奏总纲!H15-$C$1,0)</f>
        <v>0</v>
      </c>
      <c r="AK17" s="2">
        <v>12</v>
      </c>
      <c r="AL17" s="2">
        <f>'奖励（新）'!CT19</f>
        <v>0</v>
      </c>
      <c r="AM17" s="2">
        <f>'奖励（新）'!CU19</f>
        <v>0</v>
      </c>
      <c r="AN17" s="2">
        <f>'奖励（新）'!CV19</f>
        <v>0</v>
      </c>
      <c r="AO17" s="2">
        <f>'奖励（新）'!CW19</f>
        <v>0</v>
      </c>
      <c r="AP17" s="2">
        <f>'奖励（新）'!CX19</f>
        <v>0</v>
      </c>
      <c r="AV17" s="2">
        <v>12</v>
      </c>
      <c r="AW17" s="2">
        <f>SUMPRODUCT($F$5:$F$12,$H$5:$H$12,J$5:J$12)/7*MAX(节奏总纲!D15-'奖励（新）'!$E$2,0)</f>
        <v>0</v>
      </c>
      <c r="AX17" s="2">
        <f>SUMPRODUCT($F$5:$F$12,$H$5:$H$12,K$5:K$12)/7*MAX(节奏总纲!E15-'奖励（新）'!$E$2,0)</f>
        <v>0</v>
      </c>
      <c r="AY17" s="2">
        <f>SUMPRODUCT($F$5:$F$12,$H$5:$H$12,L$5:L$12)/7*MAX(节奏总纲!F15-'奖励（新）'!$E$2,0)</f>
        <v>0</v>
      </c>
      <c r="AZ17" s="2">
        <f>SUMPRODUCT($F$5:$F$12,$H$5:$H$12,M$5:M$12)/7*MAX(节奏总纲!G15-'奖励（新）'!$E$2,0)</f>
        <v>0</v>
      </c>
      <c r="BA17" s="2">
        <f>SUMPRODUCT($F$5:$F$12,$H$5:$H$12,N$5:N$12)/7*MAX(节奏总纲!H15-'奖励（新）'!$E$2,0)</f>
        <v>0</v>
      </c>
      <c r="BE17" s="2">
        <v>12</v>
      </c>
      <c r="BF17" s="41" t="e">
        <f t="shared" si="2"/>
        <v>#DIV/0!</v>
      </c>
      <c r="BG17" s="41" t="e">
        <f t="shared" si="3"/>
        <v>#DIV/0!</v>
      </c>
      <c r="BH17" s="41" t="e">
        <f t="shared" si="4"/>
        <v>#DIV/0!</v>
      </c>
      <c r="BI17" s="41" t="e">
        <f t="shared" si="5"/>
        <v>#DIV/0!</v>
      </c>
      <c r="BJ17" s="41" t="e">
        <f t="shared" si="6"/>
        <v>#DIV/0!</v>
      </c>
      <c r="BK17" s="2">
        <f>(AW17-AL17)*'奖励（新）'!$D$17</f>
        <v>0</v>
      </c>
      <c r="BL17" s="2">
        <f>(AX17-AM17)*'奖励（新）'!$D$17</f>
        <v>0</v>
      </c>
      <c r="BM17" s="2">
        <f>(AY17-AN17)*'奖励（新）'!$D$17</f>
        <v>0</v>
      </c>
      <c r="BN17" s="2">
        <f>(AZ17-AO17)*'奖励（新）'!$D$17</f>
        <v>0</v>
      </c>
      <c r="BO17" s="2">
        <f>(BA17-AP17)*'奖励（新）'!$D$17</f>
        <v>0</v>
      </c>
    </row>
    <row r="18" spans="6:67" x14ac:dyDescent="0.2">
      <c r="Q18" s="2">
        <v>13</v>
      </c>
      <c r="R18" s="2">
        <f>$E$5*$F$5/7*MAX(节奏总纲!D16-$C$1,0)</f>
        <v>0</v>
      </c>
      <c r="S18" s="2">
        <f>$E$5*$F$5/7*MAX(节奏总纲!E16-$C$1,0)</f>
        <v>0</v>
      </c>
      <c r="T18" s="2">
        <f>$E$5*$F$5/7*MAX(节奏总纲!F16-$C$1,0)</f>
        <v>0</v>
      </c>
      <c r="U18" s="2">
        <f>$E$5*$F$5/7*MAX(节奏总纲!G16-$C$1,0)</f>
        <v>0</v>
      </c>
      <c r="V18" s="2">
        <f>$E$5*$F$5/7*MAX(节奏总纲!H16-$C$1,0)</f>
        <v>0</v>
      </c>
      <c r="W18" s="2">
        <f>$E$6*$F$6/7*MAX(节奏总纲!D16-$C$1,0)</f>
        <v>0</v>
      </c>
      <c r="X18" s="2">
        <f>$E$6*$F$6/7*MAX(节奏总纲!E16-$C$1,0)</f>
        <v>0</v>
      </c>
      <c r="Y18" s="2">
        <f>$E$6*$F$6/7*MAX(节奏总纲!F16-$C$1,0)</f>
        <v>0</v>
      </c>
      <c r="Z18" s="2">
        <f>$E$6*$F$6/7*MAX(节奏总纲!G16-$C$1,0)</f>
        <v>0</v>
      </c>
      <c r="AA18" s="2">
        <f>$E$6*$F$6/7*MAX(节奏总纲!H16-$C$1,0)</f>
        <v>0</v>
      </c>
      <c r="AB18" s="2">
        <f>($E$9*$F$9*3600+$E$10*$F$10*1200)/7*MAX(节奏总纲!D16-$C$1,0)</f>
        <v>0</v>
      </c>
      <c r="AC18" s="2">
        <f>($E$9*$F$9*3600+$E$10*$F$10*1200)/7*MAX(节奏总纲!E16-$C$1,0)</f>
        <v>0</v>
      </c>
      <c r="AD18" s="2">
        <f>($E$9*$F$9*3600+$E$10*$F$10*1200)/7*MAX(节奏总纲!F16-$C$1,0)</f>
        <v>0</v>
      </c>
      <c r="AE18" s="2">
        <f>($E$9*$F$9*3600+$E$10*$F$10*1200)/7*MAX(节奏总纲!G16-$C$1,0)</f>
        <v>0</v>
      </c>
      <c r="AF18" s="2">
        <f>($E$9*$F$9*3600+$E$10*$F$10*1200)/7*MAX(节奏总纲!H16-$C$1,0)</f>
        <v>0</v>
      </c>
      <c r="AK18" s="2">
        <v>13</v>
      </c>
      <c r="AL18" s="2">
        <f>'奖励（新）'!CT20</f>
        <v>0</v>
      </c>
      <c r="AM18" s="2">
        <f>'奖励（新）'!CU20</f>
        <v>0</v>
      </c>
      <c r="AN18" s="2">
        <f>'奖励（新）'!CV20</f>
        <v>0</v>
      </c>
      <c r="AO18" s="2">
        <f>'奖励（新）'!CW20</f>
        <v>0</v>
      </c>
      <c r="AP18" s="2">
        <f>'奖励（新）'!CX20</f>
        <v>0</v>
      </c>
      <c r="AV18" s="2">
        <v>13</v>
      </c>
      <c r="AW18" s="2">
        <f>SUMPRODUCT($F$5:$F$12,$H$5:$H$12,J$5:J$12)/7*MAX(节奏总纲!D16-'奖励（新）'!$E$2,0)</f>
        <v>0</v>
      </c>
      <c r="AX18" s="2">
        <f>SUMPRODUCT($F$5:$F$12,$H$5:$H$12,K$5:K$12)/7*MAX(节奏总纲!E16-'奖励（新）'!$E$2,0)</f>
        <v>0</v>
      </c>
      <c r="AY18" s="2">
        <f>SUMPRODUCT($F$5:$F$12,$H$5:$H$12,L$5:L$12)/7*MAX(节奏总纲!F16-'奖励（新）'!$E$2,0)</f>
        <v>0</v>
      </c>
      <c r="AZ18" s="2">
        <f>SUMPRODUCT($F$5:$F$12,$H$5:$H$12,M$5:M$12)/7*MAX(节奏总纲!G16-'奖励（新）'!$E$2,0)</f>
        <v>0</v>
      </c>
      <c r="BA18" s="2">
        <f>SUMPRODUCT($F$5:$F$12,$H$5:$H$12,N$5:N$12)/7*MAX(节奏总纲!H16-'奖励（新）'!$E$2,0)</f>
        <v>0</v>
      </c>
      <c r="BE18" s="2">
        <v>13</v>
      </c>
      <c r="BF18" s="41" t="e">
        <f t="shared" si="2"/>
        <v>#DIV/0!</v>
      </c>
      <c r="BG18" s="41" t="e">
        <f t="shared" si="3"/>
        <v>#DIV/0!</v>
      </c>
      <c r="BH18" s="41" t="e">
        <f t="shared" si="4"/>
        <v>#DIV/0!</v>
      </c>
      <c r="BI18" s="41" t="e">
        <f t="shared" si="5"/>
        <v>#DIV/0!</v>
      </c>
      <c r="BJ18" s="41" t="e">
        <f t="shared" si="6"/>
        <v>#DIV/0!</v>
      </c>
      <c r="BK18" s="2">
        <f>(AW18-AL18)*'奖励（新）'!$D$17</f>
        <v>0</v>
      </c>
      <c r="BL18" s="2">
        <f>(AX18-AM18)*'奖励（新）'!$D$17</f>
        <v>0</v>
      </c>
      <c r="BM18" s="2">
        <f>(AY18-AN18)*'奖励（新）'!$D$17</f>
        <v>0</v>
      </c>
      <c r="BN18" s="2">
        <f>(AZ18-AO18)*'奖励（新）'!$D$17</f>
        <v>0</v>
      </c>
      <c r="BO18" s="2">
        <f>(BA18-AP18)*'奖励（新）'!$D$17</f>
        <v>0</v>
      </c>
    </row>
    <row r="19" spans="6:67" x14ac:dyDescent="0.2">
      <c r="Q19" s="2">
        <v>14</v>
      </c>
      <c r="R19" s="2">
        <f>$E$5*$F$5/7*MAX(节奏总纲!D17-$C$1,0)</f>
        <v>0</v>
      </c>
      <c r="S19" s="2">
        <f>$E$5*$F$5/7*MAX(节奏总纲!E17-$C$1,0)</f>
        <v>0</v>
      </c>
      <c r="T19" s="2">
        <f>$E$5*$F$5/7*MAX(节奏总纲!F17-$C$1,0)</f>
        <v>0</v>
      </c>
      <c r="U19" s="2">
        <f>$E$5*$F$5/7*MAX(节奏总纲!G17-$C$1,0)</f>
        <v>0</v>
      </c>
      <c r="V19" s="2">
        <f>$E$5*$F$5/7*MAX(节奏总纲!H17-$C$1,0)</f>
        <v>0</v>
      </c>
      <c r="W19" s="2">
        <f>$E$6*$F$6/7*MAX(节奏总纲!D17-$C$1,0)</f>
        <v>0</v>
      </c>
      <c r="X19" s="2">
        <f>$E$6*$F$6/7*MAX(节奏总纲!E17-$C$1,0)</f>
        <v>0</v>
      </c>
      <c r="Y19" s="2">
        <f>$E$6*$F$6/7*MAX(节奏总纲!F17-$C$1,0)</f>
        <v>0</v>
      </c>
      <c r="Z19" s="2">
        <f>$E$6*$F$6/7*MAX(节奏总纲!G17-$C$1,0)</f>
        <v>0</v>
      </c>
      <c r="AA19" s="2">
        <f>$E$6*$F$6/7*MAX(节奏总纲!H17-$C$1,0)</f>
        <v>0</v>
      </c>
      <c r="AB19" s="2">
        <f>($E$9*$F$9*3600+$E$10*$F$10*1200)/7*MAX(节奏总纲!D17-$C$1,0)</f>
        <v>0</v>
      </c>
      <c r="AC19" s="2">
        <f>($E$9*$F$9*3600+$E$10*$F$10*1200)/7*MAX(节奏总纲!E17-$C$1,0)</f>
        <v>0</v>
      </c>
      <c r="AD19" s="2">
        <f>($E$9*$F$9*3600+$E$10*$F$10*1200)/7*MAX(节奏总纲!F17-$C$1,0)</f>
        <v>0</v>
      </c>
      <c r="AE19" s="2">
        <f>($E$9*$F$9*3600+$E$10*$F$10*1200)/7*MAX(节奏总纲!G17-$C$1,0)</f>
        <v>0</v>
      </c>
      <c r="AF19" s="2">
        <f>($E$9*$F$9*3600+$E$10*$F$10*1200)/7*MAX(节奏总纲!H17-$C$1,0)</f>
        <v>0</v>
      </c>
      <c r="AK19" s="2">
        <v>14</v>
      </c>
      <c r="AL19" s="2">
        <f>'奖励（新）'!CT21</f>
        <v>0</v>
      </c>
      <c r="AM19" s="2">
        <f>'奖励（新）'!CU21</f>
        <v>0</v>
      </c>
      <c r="AN19" s="2">
        <f>'奖励（新）'!CV21</f>
        <v>0</v>
      </c>
      <c r="AO19" s="2">
        <f>'奖励（新）'!CW21</f>
        <v>0</v>
      </c>
      <c r="AP19" s="2">
        <f>'奖励（新）'!CX21</f>
        <v>0</v>
      </c>
      <c r="AV19" s="2">
        <v>14</v>
      </c>
      <c r="AW19" s="2">
        <f>SUMPRODUCT($F$5:$F$12,$H$5:$H$12,J$5:J$12)/7*MAX(节奏总纲!D17-'奖励（新）'!$E$2,0)</f>
        <v>0</v>
      </c>
      <c r="AX19" s="2">
        <f>SUMPRODUCT($F$5:$F$12,$H$5:$H$12,K$5:K$12)/7*MAX(节奏总纲!E17-'奖励（新）'!$E$2,0)</f>
        <v>0</v>
      </c>
      <c r="AY19" s="2">
        <f>SUMPRODUCT($F$5:$F$12,$H$5:$H$12,L$5:L$12)/7*MAX(节奏总纲!F17-'奖励（新）'!$E$2,0)</f>
        <v>0</v>
      </c>
      <c r="AZ19" s="2">
        <f>SUMPRODUCT($F$5:$F$12,$H$5:$H$12,M$5:M$12)/7*MAX(节奏总纲!G17-'奖励（新）'!$E$2,0)</f>
        <v>0</v>
      </c>
      <c r="BA19" s="2">
        <f>SUMPRODUCT($F$5:$F$12,$H$5:$H$12,N$5:N$12)/7*MAX(节奏总纲!H17-'奖励（新）'!$E$2,0)</f>
        <v>0</v>
      </c>
      <c r="BE19" s="2">
        <v>14</v>
      </c>
      <c r="BF19" s="41" t="e">
        <f t="shared" si="2"/>
        <v>#DIV/0!</v>
      </c>
      <c r="BG19" s="41" t="e">
        <f t="shared" si="3"/>
        <v>#DIV/0!</v>
      </c>
      <c r="BH19" s="41" t="e">
        <f t="shared" si="4"/>
        <v>#DIV/0!</v>
      </c>
      <c r="BI19" s="41" t="e">
        <f t="shared" si="5"/>
        <v>#DIV/0!</v>
      </c>
      <c r="BJ19" s="41" t="e">
        <f t="shared" si="6"/>
        <v>#DIV/0!</v>
      </c>
      <c r="BK19" s="2">
        <f>(AW19-AL19)*'奖励（新）'!$D$17</f>
        <v>0</v>
      </c>
      <c r="BL19" s="2">
        <f>(AX19-AM19)*'奖励（新）'!$D$17</f>
        <v>0</v>
      </c>
      <c r="BM19" s="2">
        <f>(AY19-AN19)*'奖励（新）'!$D$17</f>
        <v>0</v>
      </c>
      <c r="BN19" s="2">
        <f>(AZ19-AO19)*'奖励（新）'!$D$17</f>
        <v>0</v>
      </c>
      <c r="BO19" s="2">
        <f>(BA19-AP19)*'奖励（新）'!$D$17</f>
        <v>0</v>
      </c>
    </row>
    <row r="20" spans="6:67" x14ac:dyDescent="0.2">
      <c r="F20" s="2">
        <v>60</v>
      </c>
      <c r="G20" s="2">
        <f t="shared" ref="G20:G30" si="7">INDEX(BF$6:BF$165,$F20)</f>
        <v>0.67052257737189236</v>
      </c>
      <c r="H20" s="2" t="e">
        <f t="shared" ref="H20:H30" si="8">INDEX(BG$6:BG$165,$F20)</f>
        <v>#DIV/0!</v>
      </c>
      <c r="I20" s="2" t="e">
        <f t="shared" ref="I20:I30" si="9">INDEX(BH$6:BH$165,$F20)</f>
        <v>#DIV/0!</v>
      </c>
      <c r="J20" s="2" t="e">
        <f t="shared" ref="J20:J30" si="10">INDEX(BI$6:BI$165,$F20)</f>
        <v>#DIV/0!</v>
      </c>
      <c r="K20" s="2" t="e">
        <f t="shared" ref="K20:K30" si="11">INDEX(BJ$6:BJ$165,$F20)</f>
        <v>#DIV/0!</v>
      </c>
      <c r="Q20" s="2">
        <v>15</v>
      </c>
      <c r="R20" s="2">
        <f>$E$5*$F$5/7*MAX(节奏总纲!D18-$C$1,0)</f>
        <v>0</v>
      </c>
      <c r="S20" s="2">
        <f>$E$5*$F$5/7*MAX(节奏总纲!E18-$C$1,0)</f>
        <v>0</v>
      </c>
      <c r="T20" s="2">
        <f>$E$5*$F$5/7*MAX(节奏总纲!F18-$C$1,0)</f>
        <v>0</v>
      </c>
      <c r="U20" s="2">
        <f>$E$5*$F$5/7*MAX(节奏总纲!G18-$C$1,0)</f>
        <v>0</v>
      </c>
      <c r="V20" s="2">
        <f>$E$5*$F$5/7*MAX(节奏总纲!H18-$C$1,0)</f>
        <v>0</v>
      </c>
      <c r="W20" s="2">
        <f>$E$6*$F$6/7*MAX(节奏总纲!D18-$C$1,0)</f>
        <v>0</v>
      </c>
      <c r="X20" s="2">
        <f>$E$6*$F$6/7*MAX(节奏总纲!E18-$C$1,0)</f>
        <v>0</v>
      </c>
      <c r="Y20" s="2">
        <f>$E$6*$F$6/7*MAX(节奏总纲!F18-$C$1,0)</f>
        <v>0</v>
      </c>
      <c r="Z20" s="2">
        <f>$E$6*$F$6/7*MAX(节奏总纲!G18-$C$1,0)</f>
        <v>0</v>
      </c>
      <c r="AA20" s="2">
        <f>$E$6*$F$6/7*MAX(节奏总纲!H18-$C$1,0)</f>
        <v>0</v>
      </c>
      <c r="AB20" s="2">
        <f>($E$9*$F$9*3600+$E$10*$F$10*1200)/7*MAX(节奏总纲!D18-$C$1,0)</f>
        <v>0</v>
      </c>
      <c r="AC20" s="2">
        <f>($E$9*$F$9*3600+$E$10*$F$10*1200)/7*MAX(节奏总纲!E18-$C$1,0)</f>
        <v>0</v>
      </c>
      <c r="AD20" s="2">
        <f>($E$9*$F$9*3600+$E$10*$F$10*1200)/7*MAX(节奏总纲!F18-$C$1,0)</f>
        <v>0</v>
      </c>
      <c r="AE20" s="2">
        <f>($E$9*$F$9*3600+$E$10*$F$10*1200)/7*MAX(节奏总纲!G18-$C$1,0)</f>
        <v>0</v>
      </c>
      <c r="AF20" s="2">
        <f>($E$9*$F$9*3600+$E$10*$F$10*1200)/7*MAX(节奏总纲!H18-$C$1,0)</f>
        <v>0</v>
      </c>
      <c r="AK20" s="2">
        <v>15</v>
      </c>
      <c r="AL20" s="2">
        <f>'奖励（新）'!CT22</f>
        <v>0</v>
      </c>
      <c r="AM20" s="2">
        <f>'奖励（新）'!CU22</f>
        <v>0</v>
      </c>
      <c r="AN20" s="2">
        <f>'奖励（新）'!CV22</f>
        <v>0</v>
      </c>
      <c r="AO20" s="2">
        <f>'奖励（新）'!CW22</f>
        <v>0</v>
      </c>
      <c r="AP20" s="2">
        <f>'奖励（新）'!CX22</f>
        <v>0</v>
      </c>
      <c r="AV20" s="2">
        <v>15</v>
      </c>
      <c r="AW20" s="2">
        <f>SUMPRODUCT($F$5:$F$12,$H$5:$H$12,J$5:J$12)/7*MAX(节奏总纲!D18-'奖励（新）'!$E$2,0)</f>
        <v>0</v>
      </c>
      <c r="AX20" s="2">
        <f>SUMPRODUCT($F$5:$F$12,$H$5:$H$12,K$5:K$12)/7*MAX(节奏总纲!E18-'奖励（新）'!$E$2,0)</f>
        <v>0</v>
      </c>
      <c r="AY20" s="2">
        <f>SUMPRODUCT($F$5:$F$12,$H$5:$H$12,L$5:L$12)/7*MAX(节奏总纲!F18-'奖励（新）'!$E$2,0)</f>
        <v>0</v>
      </c>
      <c r="AZ20" s="2">
        <f>SUMPRODUCT($F$5:$F$12,$H$5:$H$12,M$5:M$12)/7*MAX(节奏总纲!G18-'奖励（新）'!$E$2,0)</f>
        <v>0</v>
      </c>
      <c r="BA20" s="2">
        <f>SUMPRODUCT($F$5:$F$12,$H$5:$H$12,N$5:N$12)/7*MAX(节奏总纲!H18-'奖励（新）'!$E$2,0)</f>
        <v>0</v>
      </c>
      <c r="BE20" s="2">
        <v>15</v>
      </c>
      <c r="BF20" s="41" t="e">
        <f t="shared" si="2"/>
        <v>#DIV/0!</v>
      </c>
      <c r="BG20" s="41" t="e">
        <f t="shared" si="3"/>
        <v>#DIV/0!</v>
      </c>
      <c r="BH20" s="41" t="e">
        <f t="shared" si="4"/>
        <v>#DIV/0!</v>
      </c>
      <c r="BI20" s="41" t="e">
        <f t="shared" si="5"/>
        <v>#DIV/0!</v>
      </c>
      <c r="BJ20" s="41" t="e">
        <f t="shared" si="6"/>
        <v>#DIV/0!</v>
      </c>
      <c r="BK20" s="2">
        <f>(AW20-AL20)*'奖励（新）'!$D$17</f>
        <v>0</v>
      </c>
      <c r="BL20" s="2">
        <f>(AX20-AM20)*'奖励（新）'!$D$17</f>
        <v>0</v>
      </c>
      <c r="BM20" s="2">
        <f>(AY20-AN20)*'奖励（新）'!$D$17</f>
        <v>0</v>
      </c>
      <c r="BN20" s="2">
        <f>(AZ20-AO20)*'奖励（新）'!$D$17</f>
        <v>0</v>
      </c>
      <c r="BO20" s="2">
        <f>(BA20-AP20)*'奖励（新）'!$D$17</f>
        <v>0</v>
      </c>
    </row>
    <row r="21" spans="6:67" x14ac:dyDescent="0.2">
      <c r="F21" s="2">
        <v>70</v>
      </c>
      <c r="G21" s="2">
        <f t="shared" si="7"/>
        <v>0.67052257737189247</v>
      </c>
      <c r="H21" s="2">
        <f t="shared" si="8"/>
        <v>0.67961440892947744</v>
      </c>
      <c r="I21" s="2">
        <f t="shared" si="9"/>
        <v>0.71598173515981733</v>
      </c>
      <c r="J21" s="2">
        <f t="shared" si="10"/>
        <v>0.85235920852359215</v>
      </c>
      <c r="K21" s="2" t="e">
        <f t="shared" si="11"/>
        <v>#DIV/0!</v>
      </c>
      <c r="Q21" s="2">
        <v>16</v>
      </c>
      <c r="R21" s="2">
        <f>$E$5*$F$5/7*MAX(节奏总纲!D19-$C$1,0)</f>
        <v>0</v>
      </c>
      <c r="S21" s="2">
        <f>$E$5*$F$5/7*MAX(节奏总纲!E19-$C$1,0)</f>
        <v>0</v>
      </c>
      <c r="T21" s="2">
        <f>$E$5*$F$5/7*MAX(节奏总纲!F19-$C$1,0)</f>
        <v>0</v>
      </c>
      <c r="U21" s="2">
        <f>$E$5*$F$5/7*MAX(节奏总纲!G19-$C$1,0)</f>
        <v>0</v>
      </c>
      <c r="V21" s="2">
        <f>$E$5*$F$5/7*MAX(节奏总纲!H19-$C$1,0)</f>
        <v>0</v>
      </c>
      <c r="W21" s="2">
        <f>$E$6*$F$6/7*MAX(节奏总纲!D19-$C$1,0)</f>
        <v>0</v>
      </c>
      <c r="X21" s="2">
        <f>$E$6*$F$6/7*MAX(节奏总纲!E19-$C$1,0)</f>
        <v>0</v>
      </c>
      <c r="Y21" s="2">
        <f>$E$6*$F$6/7*MAX(节奏总纲!F19-$C$1,0)</f>
        <v>0</v>
      </c>
      <c r="Z21" s="2">
        <f>$E$6*$F$6/7*MAX(节奏总纲!G19-$C$1,0)</f>
        <v>0</v>
      </c>
      <c r="AA21" s="2">
        <f>$E$6*$F$6/7*MAX(节奏总纲!H19-$C$1,0)</f>
        <v>0</v>
      </c>
      <c r="AB21" s="2">
        <f>($E$9*$F$9*3600+$E$10*$F$10*1200)/7*MAX(节奏总纲!D19-$C$1,0)</f>
        <v>0</v>
      </c>
      <c r="AC21" s="2">
        <f>($E$9*$F$9*3600+$E$10*$F$10*1200)/7*MAX(节奏总纲!E19-$C$1,0)</f>
        <v>0</v>
      </c>
      <c r="AD21" s="2">
        <f>($E$9*$F$9*3600+$E$10*$F$10*1200)/7*MAX(节奏总纲!F19-$C$1,0)</f>
        <v>0</v>
      </c>
      <c r="AE21" s="2">
        <f>($E$9*$F$9*3600+$E$10*$F$10*1200)/7*MAX(节奏总纲!G19-$C$1,0)</f>
        <v>0</v>
      </c>
      <c r="AF21" s="2">
        <f>($E$9*$F$9*3600+$E$10*$F$10*1200)/7*MAX(节奏总纲!H19-$C$1,0)</f>
        <v>0</v>
      </c>
      <c r="AK21" s="2">
        <v>16</v>
      </c>
      <c r="AL21" s="2">
        <f>'奖励（新）'!CT23</f>
        <v>0</v>
      </c>
      <c r="AM21" s="2">
        <f>'奖励（新）'!CU23</f>
        <v>0</v>
      </c>
      <c r="AN21" s="2">
        <f>'奖励（新）'!CV23</f>
        <v>0</v>
      </c>
      <c r="AO21" s="2">
        <f>'奖励（新）'!CW23</f>
        <v>0</v>
      </c>
      <c r="AP21" s="2">
        <f>'奖励（新）'!CX23</f>
        <v>0</v>
      </c>
      <c r="AV21" s="2">
        <v>16</v>
      </c>
      <c r="AW21" s="2">
        <f>SUMPRODUCT($F$5:$F$12,$H$5:$H$12,J$5:J$12)/7*MAX(节奏总纲!D19-'奖励（新）'!$E$2,0)</f>
        <v>0</v>
      </c>
      <c r="AX21" s="2">
        <f>SUMPRODUCT($F$5:$F$12,$H$5:$H$12,K$5:K$12)/7*MAX(节奏总纲!E19-'奖励（新）'!$E$2,0)</f>
        <v>0</v>
      </c>
      <c r="AY21" s="2">
        <f>SUMPRODUCT($F$5:$F$12,$H$5:$H$12,L$5:L$12)/7*MAX(节奏总纲!F19-'奖励（新）'!$E$2,0)</f>
        <v>0</v>
      </c>
      <c r="AZ21" s="2">
        <f>SUMPRODUCT($F$5:$F$12,$H$5:$H$12,M$5:M$12)/7*MAX(节奏总纲!G19-'奖励（新）'!$E$2,0)</f>
        <v>0</v>
      </c>
      <c r="BA21" s="2">
        <f>SUMPRODUCT($F$5:$F$12,$H$5:$H$12,N$5:N$12)/7*MAX(节奏总纲!H19-'奖励（新）'!$E$2,0)</f>
        <v>0</v>
      </c>
      <c r="BE21" s="2">
        <v>16</v>
      </c>
      <c r="BF21" s="41" t="e">
        <f t="shared" si="2"/>
        <v>#DIV/0!</v>
      </c>
      <c r="BG21" s="41" t="e">
        <f t="shared" si="3"/>
        <v>#DIV/0!</v>
      </c>
      <c r="BH21" s="41" t="e">
        <f t="shared" si="4"/>
        <v>#DIV/0!</v>
      </c>
      <c r="BI21" s="41" t="e">
        <f t="shared" si="5"/>
        <v>#DIV/0!</v>
      </c>
      <c r="BJ21" s="41" t="e">
        <f t="shared" si="6"/>
        <v>#DIV/0!</v>
      </c>
      <c r="BK21" s="2">
        <f>(AW21-AL21)*'奖励（新）'!$D$17</f>
        <v>0</v>
      </c>
      <c r="BL21" s="2">
        <f>(AX21-AM21)*'奖励（新）'!$D$17</f>
        <v>0</v>
      </c>
      <c r="BM21" s="2">
        <f>(AY21-AN21)*'奖励（新）'!$D$17</f>
        <v>0</v>
      </c>
      <c r="BN21" s="2">
        <f>(AZ21-AO21)*'奖励（新）'!$D$17</f>
        <v>0</v>
      </c>
      <c r="BO21" s="2">
        <f>(BA21-AP21)*'奖励（新）'!$D$17</f>
        <v>0</v>
      </c>
    </row>
    <row r="22" spans="6:67" x14ac:dyDescent="0.2">
      <c r="F22" s="2">
        <v>80</v>
      </c>
      <c r="G22" s="2">
        <f t="shared" si="7"/>
        <v>0.67052257737189247</v>
      </c>
      <c r="H22" s="2">
        <f t="shared" si="8"/>
        <v>0.67961440892947744</v>
      </c>
      <c r="I22" s="2">
        <f t="shared" si="9"/>
        <v>0.71598173515981745</v>
      </c>
      <c r="J22" s="2">
        <f t="shared" si="10"/>
        <v>0.85235920852359204</v>
      </c>
      <c r="K22" s="2">
        <f t="shared" si="11"/>
        <v>0.98873668188736674</v>
      </c>
      <c r="Q22" s="2">
        <v>17</v>
      </c>
      <c r="R22" s="2">
        <f>$E$5*$F$5/7*MAX(节奏总纲!D20-$C$1,0)</f>
        <v>0</v>
      </c>
      <c r="S22" s="2">
        <f>$E$5*$F$5/7*MAX(节奏总纲!E20-$C$1,0)</f>
        <v>0</v>
      </c>
      <c r="T22" s="2">
        <f>$E$5*$F$5/7*MAX(节奏总纲!F20-$C$1,0)</f>
        <v>0</v>
      </c>
      <c r="U22" s="2">
        <f>$E$5*$F$5/7*MAX(节奏总纲!G20-$C$1,0)</f>
        <v>0</v>
      </c>
      <c r="V22" s="2">
        <f>$E$5*$F$5/7*MAX(节奏总纲!H20-$C$1,0)</f>
        <v>0</v>
      </c>
      <c r="W22" s="2">
        <f>$E$6*$F$6/7*MAX(节奏总纲!D20-$C$1,0)</f>
        <v>0</v>
      </c>
      <c r="X22" s="2">
        <f>$E$6*$F$6/7*MAX(节奏总纲!E20-$C$1,0)</f>
        <v>0</v>
      </c>
      <c r="Y22" s="2">
        <f>$E$6*$F$6/7*MAX(节奏总纲!F20-$C$1,0)</f>
        <v>0</v>
      </c>
      <c r="Z22" s="2">
        <f>$E$6*$F$6/7*MAX(节奏总纲!G20-$C$1,0)</f>
        <v>0</v>
      </c>
      <c r="AA22" s="2">
        <f>$E$6*$F$6/7*MAX(节奏总纲!H20-$C$1,0)</f>
        <v>0</v>
      </c>
      <c r="AB22" s="2">
        <f>($E$9*$F$9*3600+$E$10*$F$10*1200)/7*MAX(节奏总纲!D20-$C$1,0)</f>
        <v>0</v>
      </c>
      <c r="AC22" s="2">
        <f>($E$9*$F$9*3600+$E$10*$F$10*1200)/7*MAX(节奏总纲!E20-$C$1,0)</f>
        <v>0</v>
      </c>
      <c r="AD22" s="2">
        <f>($E$9*$F$9*3600+$E$10*$F$10*1200)/7*MAX(节奏总纲!F20-$C$1,0)</f>
        <v>0</v>
      </c>
      <c r="AE22" s="2">
        <f>($E$9*$F$9*3600+$E$10*$F$10*1200)/7*MAX(节奏总纲!G20-$C$1,0)</f>
        <v>0</v>
      </c>
      <c r="AF22" s="2">
        <f>($E$9*$F$9*3600+$E$10*$F$10*1200)/7*MAX(节奏总纲!H20-$C$1,0)</f>
        <v>0</v>
      </c>
      <c r="AK22" s="2">
        <v>17</v>
      </c>
      <c r="AL22" s="2">
        <f>'奖励（新）'!CT24</f>
        <v>0</v>
      </c>
      <c r="AM22" s="2">
        <f>'奖励（新）'!CU24</f>
        <v>0</v>
      </c>
      <c r="AN22" s="2">
        <f>'奖励（新）'!CV24</f>
        <v>0</v>
      </c>
      <c r="AO22" s="2">
        <f>'奖励（新）'!CW24</f>
        <v>0</v>
      </c>
      <c r="AP22" s="2">
        <f>'奖励（新）'!CX24</f>
        <v>0</v>
      </c>
      <c r="AV22" s="2">
        <v>17</v>
      </c>
      <c r="AW22" s="2">
        <f>SUMPRODUCT($F$5:$F$12,$H$5:$H$12,J$5:J$12)/7*MAX(节奏总纲!D20-'奖励（新）'!$E$2,0)</f>
        <v>0</v>
      </c>
      <c r="AX22" s="2">
        <f>SUMPRODUCT($F$5:$F$12,$H$5:$H$12,K$5:K$12)/7*MAX(节奏总纲!E20-'奖励（新）'!$E$2,0)</f>
        <v>0</v>
      </c>
      <c r="AY22" s="2">
        <f>SUMPRODUCT($F$5:$F$12,$H$5:$H$12,L$5:L$12)/7*MAX(节奏总纲!F20-'奖励（新）'!$E$2,0)</f>
        <v>0</v>
      </c>
      <c r="AZ22" s="2">
        <f>SUMPRODUCT($F$5:$F$12,$H$5:$H$12,M$5:M$12)/7*MAX(节奏总纲!G20-'奖励（新）'!$E$2,0)</f>
        <v>0</v>
      </c>
      <c r="BA22" s="2">
        <f>SUMPRODUCT($F$5:$F$12,$H$5:$H$12,N$5:N$12)/7*MAX(节奏总纲!H20-'奖励（新）'!$E$2,0)</f>
        <v>0</v>
      </c>
      <c r="BE22" s="2">
        <v>17</v>
      </c>
      <c r="BF22" s="41" t="e">
        <f t="shared" si="2"/>
        <v>#DIV/0!</v>
      </c>
      <c r="BG22" s="41" t="e">
        <f t="shared" si="3"/>
        <v>#DIV/0!</v>
      </c>
      <c r="BH22" s="41" t="e">
        <f t="shared" si="4"/>
        <v>#DIV/0!</v>
      </c>
      <c r="BI22" s="41" t="e">
        <f t="shared" si="5"/>
        <v>#DIV/0!</v>
      </c>
      <c r="BJ22" s="41" t="e">
        <f t="shared" si="6"/>
        <v>#DIV/0!</v>
      </c>
      <c r="BK22" s="2">
        <f>(AW22-AL22)*'奖励（新）'!$D$17</f>
        <v>0</v>
      </c>
      <c r="BL22" s="2">
        <f>(AX22-AM22)*'奖励（新）'!$D$17</f>
        <v>0</v>
      </c>
      <c r="BM22" s="2">
        <f>(AY22-AN22)*'奖励（新）'!$D$17</f>
        <v>0</v>
      </c>
      <c r="BN22" s="2">
        <f>(AZ22-AO22)*'奖励（新）'!$D$17</f>
        <v>0</v>
      </c>
      <c r="BO22" s="2">
        <f>(BA22-AP22)*'奖励（新）'!$D$17</f>
        <v>0</v>
      </c>
    </row>
    <row r="23" spans="6:67" x14ac:dyDescent="0.2">
      <c r="F23" s="2">
        <v>90</v>
      </c>
      <c r="G23" s="2">
        <f t="shared" si="7"/>
        <v>0.67052257737189236</v>
      </c>
      <c r="H23" s="2">
        <f t="shared" si="8"/>
        <v>0.67961440892947733</v>
      </c>
      <c r="I23" s="2">
        <f t="shared" si="9"/>
        <v>0.71598173515981733</v>
      </c>
      <c r="J23" s="2">
        <f t="shared" si="10"/>
        <v>0.85235920852359193</v>
      </c>
      <c r="K23" s="2">
        <f t="shared" si="11"/>
        <v>0.98873668188736663</v>
      </c>
      <c r="Q23" s="2">
        <v>18</v>
      </c>
      <c r="R23" s="2">
        <f>$E$5*$F$5/7*MAX(节奏总纲!D21-$C$1,0)</f>
        <v>0</v>
      </c>
      <c r="S23" s="2">
        <f>$E$5*$F$5/7*MAX(节奏总纲!E21-$C$1,0)</f>
        <v>0</v>
      </c>
      <c r="T23" s="2">
        <f>$E$5*$F$5/7*MAX(节奏总纲!F21-$C$1,0)</f>
        <v>0</v>
      </c>
      <c r="U23" s="2">
        <f>$E$5*$F$5/7*MAX(节奏总纲!G21-$C$1,0)</f>
        <v>0</v>
      </c>
      <c r="V23" s="2">
        <f>$E$5*$F$5/7*MAX(节奏总纲!H21-$C$1,0)</f>
        <v>0</v>
      </c>
      <c r="W23" s="2">
        <f>$E$6*$F$6/7*MAX(节奏总纲!D21-$C$1,0)</f>
        <v>0</v>
      </c>
      <c r="X23" s="2">
        <f>$E$6*$F$6/7*MAX(节奏总纲!E21-$C$1,0)</f>
        <v>0</v>
      </c>
      <c r="Y23" s="2">
        <f>$E$6*$F$6/7*MAX(节奏总纲!F21-$C$1,0)</f>
        <v>0</v>
      </c>
      <c r="Z23" s="2">
        <f>$E$6*$F$6/7*MAX(节奏总纲!G21-$C$1,0)</f>
        <v>0</v>
      </c>
      <c r="AA23" s="2">
        <f>$E$6*$F$6/7*MAX(节奏总纲!H21-$C$1,0)</f>
        <v>0</v>
      </c>
      <c r="AB23" s="2">
        <f>($E$9*$F$9*3600+$E$10*$F$10*1200)/7*MAX(节奏总纲!D21-$C$1,0)</f>
        <v>0</v>
      </c>
      <c r="AC23" s="2">
        <f>($E$9*$F$9*3600+$E$10*$F$10*1200)/7*MAX(节奏总纲!E21-$C$1,0)</f>
        <v>0</v>
      </c>
      <c r="AD23" s="2">
        <f>($E$9*$F$9*3600+$E$10*$F$10*1200)/7*MAX(节奏总纲!F21-$C$1,0)</f>
        <v>0</v>
      </c>
      <c r="AE23" s="2">
        <f>($E$9*$F$9*3600+$E$10*$F$10*1200)/7*MAX(节奏总纲!G21-$C$1,0)</f>
        <v>0</v>
      </c>
      <c r="AF23" s="2">
        <f>($E$9*$F$9*3600+$E$10*$F$10*1200)/7*MAX(节奏总纲!H21-$C$1,0)</f>
        <v>0</v>
      </c>
      <c r="AK23" s="2">
        <v>18</v>
      </c>
      <c r="AL23" s="2">
        <f>'奖励（新）'!CT25</f>
        <v>0</v>
      </c>
      <c r="AM23" s="2">
        <f>'奖励（新）'!CU25</f>
        <v>0</v>
      </c>
      <c r="AN23" s="2">
        <f>'奖励（新）'!CV25</f>
        <v>0</v>
      </c>
      <c r="AO23" s="2">
        <f>'奖励（新）'!CW25</f>
        <v>0</v>
      </c>
      <c r="AP23" s="2">
        <f>'奖励（新）'!CX25</f>
        <v>0</v>
      </c>
      <c r="AV23" s="2">
        <v>18</v>
      </c>
      <c r="AW23" s="2">
        <f>SUMPRODUCT($F$5:$F$12,$H$5:$H$12,J$5:J$12)/7*MAX(节奏总纲!D21-'奖励（新）'!$E$2,0)</f>
        <v>0</v>
      </c>
      <c r="AX23" s="2">
        <f>SUMPRODUCT($F$5:$F$12,$H$5:$H$12,K$5:K$12)/7*MAX(节奏总纲!E21-'奖励（新）'!$E$2,0)</f>
        <v>0</v>
      </c>
      <c r="AY23" s="2">
        <f>SUMPRODUCT($F$5:$F$12,$H$5:$H$12,L$5:L$12)/7*MAX(节奏总纲!F21-'奖励（新）'!$E$2,0)</f>
        <v>0</v>
      </c>
      <c r="AZ23" s="2">
        <f>SUMPRODUCT($F$5:$F$12,$H$5:$H$12,M$5:M$12)/7*MAX(节奏总纲!G21-'奖励（新）'!$E$2,0)</f>
        <v>0</v>
      </c>
      <c r="BA23" s="2">
        <f>SUMPRODUCT($F$5:$F$12,$H$5:$H$12,N$5:N$12)/7*MAX(节奏总纲!H21-'奖励（新）'!$E$2,0)</f>
        <v>0</v>
      </c>
      <c r="BE23" s="2">
        <v>18</v>
      </c>
      <c r="BF23" s="41" t="e">
        <f t="shared" si="2"/>
        <v>#DIV/0!</v>
      </c>
      <c r="BG23" s="41" t="e">
        <f t="shared" si="3"/>
        <v>#DIV/0!</v>
      </c>
      <c r="BH23" s="41" t="e">
        <f t="shared" si="4"/>
        <v>#DIV/0!</v>
      </c>
      <c r="BI23" s="41" t="e">
        <f t="shared" si="5"/>
        <v>#DIV/0!</v>
      </c>
      <c r="BJ23" s="41" t="e">
        <f t="shared" si="6"/>
        <v>#DIV/0!</v>
      </c>
      <c r="BK23" s="2">
        <f>(AW23-AL23)*'奖励（新）'!$D$17</f>
        <v>0</v>
      </c>
      <c r="BL23" s="2">
        <f>(AX23-AM23)*'奖励（新）'!$D$17</f>
        <v>0</v>
      </c>
      <c r="BM23" s="2">
        <f>(AY23-AN23)*'奖励（新）'!$D$17</f>
        <v>0</v>
      </c>
      <c r="BN23" s="2">
        <f>(AZ23-AO23)*'奖励（新）'!$D$17</f>
        <v>0</v>
      </c>
      <c r="BO23" s="2">
        <f>(BA23-AP23)*'奖励（新）'!$D$17</f>
        <v>0</v>
      </c>
    </row>
    <row r="24" spans="6:67" x14ac:dyDescent="0.2">
      <c r="F24" s="2">
        <v>100</v>
      </c>
      <c r="G24" s="2">
        <f t="shared" si="7"/>
        <v>0.67052257737189236</v>
      </c>
      <c r="H24" s="2">
        <f t="shared" si="8"/>
        <v>0.67961440892947733</v>
      </c>
      <c r="I24" s="2">
        <f t="shared" si="9"/>
        <v>0.71598173515981733</v>
      </c>
      <c r="J24" s="2">
        <f t="shared" si="10"/>
        <v>0.85235920852359204</v>
      </c>
      <c r="K24" s="2">
        <f t="shared" si="11"/>
        <v>0.98873668188736674</v>
      </c>
      <c r="Q24" s="2">
        <v>19</v>
      </c>
      <c r="R24" s="2">
        <f>$E$5*$F$5/7*MAX(节奏总纲!D22-$C$1,0)</f>
        <v>0</v>
      </c>
      <c r="S24" s="2">
        <f>$E$5*$F$5/7*MAX(节奏总纲!E22-$C$1,0)</f>
        <v>0</v>
      </c>
      <c r="T24" s="2">
        <f>$E$5*$F$5/7*MAX(节奏总纲!F22-$C$1,0)</f>
        <v>0</v>
      </c>
      <c r="U24" s="2">
        <f>$E$5*$F$5/7*MAX(节奏总纲!G22-$C$1,0)</f>
        <v>0</v>
      </c>
      <c r="V24" s="2">
        <f>$E$5*$F$5/7*MAX(节奏总纲!H22-$C$1,0)</f>
        <v>0</v>
      </c>
      <c r="W24" s="2">
        <f>$E$6*$F$6/7*MAX(节奏总纲!D22-$C$1,0)</f>
        <v>0</v>
      </c>
      <c r="X24" s="2">
        <f>$E$6*$F$6/7*MAX(节奏总纲!E22-$C$1,0)</f>
        <v>0</v>
      </c>
      <c r="Y24" s="2">
        <f>$E$6*$F$6/7*MAX(节奏总纲!F22-$C$1,0)</f>
        <v>0</v>
      </c>
      <c r="Z24" s="2">
        <f>$E$6*$F$6/7*MAX(节奏总纲!G22-$C$1,0)</f>
        <v>0</v>
      </c>
      <c r="AA24" s="2">
        <f>$E$6*$F$6/7*MAX(节奏总纲!H22-$C$1,0)</f>
        <v>0</v>
      </c>
      <c r="AB24" s="2">
        <f>($E$9*$F$9*3600+$E$10*$F$10*1200)/7*MAX(节奏总纲!D22-$C$1,0)</f>
        <v>0</v>
      </c>
      <c r="AC24" s="2">
        <f>($E$9*$F$9*3600+$E$10*$F$10*1200)/7*MAX(节奏总纲!E22-$C$1,0)</f>
        <v>0</v>
      </c>
      <c r="AD24" s="2">
        <f>($E$9*$F$9*3600+$E$10*$F$10*1200)/7*MAX(节奏总纲!F22-$C$1,0)</f>
        <v>0</v>
      </c>
      <c r="AE24" s="2">
        <f>($E$9*$F$9*3600+$E$10*$F$10*1200)/7*MAX(节奏总纲!G22-$C$1,0)</f>
        <v>0</v>
      </c>
      <c r="AF24" s="2">
        <f>($E$9*$F$9*3600+$E$10*$F$10*1200)/7*MAX(节奏总纲!H22-$C$1,0)</f>
        <v>0</v>
      </c>
      <c r="AK24" s="2">
        <v>19</v>
      </c>
      <c r="AL24" s="2">
        <f>'奖励（新）'!CT26</f>
        <v>0</v>
      </c>
      <c r="AM24" s="2">
        <f>'奖励（新）'!CU26</f>
        <v>0</v>
      </c>
      <c r="AN24" s="2">
        <f>'奖励（新）'!CV26</f>
        <v>0</v>
      </c>
      <c r="AO24" s="2">
        <f>'奖励（新）'!CW26</f>
        <v>0</v>
      </c>
      <c r="AP24" s="2">
        <f>'奖励（新）'!CX26</f>
        <v>0</v>
      </c>
      <c r="AV24" s="2">
        <v>19</v>
      </c>
      <c r="AW24" s="2">
        <f>SUMPRODUCT($F$5:$F$12,$H$5:$H$12,J$5:J$12)/7*MAX(节奏总纲!D22-'奖励（新）'!$E$2,0)</f>
        <v>0</v>
      </c>
      <c r="AX24" s="2">
        <f>SUMPRODUCT($F$5:$F$12,$H$5:$H$12,K$5:K$12)/7*MAX(节奏总纲!E22-'奖励（新）'!$E$2,0)</f>
        <v>0</v>
      </c>
      <c r="AY24" s="2">
        <f>SUMPRODUCT($F$5:$F$12,$H$5:$H$12,L$5:L$12)/7*MAX(节奏总纲!F22-'奖励（新）'!$E$2,0)</f>
        <v>0</v>
      </c>
      <c r="AZ24" s="2">
        <f>SUMPRODUCT($F$5:$F$12,$H$5:$H$12,M$5:M$12)/7*MAX(节奏总纲!G22-'奖励（新）'!$E$2,0)</f>
        <v>0</v>
      </c>
      <c r="BA24" s="2">
        <f>SUMPRODUCT($F$5:$F$12,$H$5:$H$12,N$5:N$12)/7*MAX(节奏总纲!H22-'奖励（新）'!$E$2,0)</f>
        <v>0</v>
      </c>
      <c r="BE24" s="2">
        <v>19</v>
      </c>
      <c r="BF24" s="41" t="e">
        <f t="shared" si="2"/>
        <v>#DIV/0!</v>
      </c>
      <c r="BG24" s="41" t="e">
        <f t="shared" si="3"/>
        <v>#DIV/0!</v>
      </c>
      <c r="BH24" s="41" t="e">
        <f t="shared" si="4"/>
        <v>#DIV/0!</v>
      </c>
      <c r="BI24" s="41" t="e">
        <f t="shared" si="5"/>
        <v>#DIV/0!</v>
      </c>
      <c r="BJ24" s="41" t="e">
        <f t="shared" si="6"/>
        <v>#DIV/0!</v>
      </c>
      <c r="BK24" s="2">
        <f>(AW24-AL24)*'奖励（新）'!$D$17</f>
        <v>0</v>
      </c>
      <c r="BL24" s="2">
        <f>(AX24-AM24)*'奖励（新）'!$D$17</f>
        <v>0</v>
      </c>
      <c r="BM24" s="2">
        <f>(AY24-AN24)*'奖励（新）'!$D$17</f>
        <v>0</v>
      </c>
      <c r="BN24" s="2">
        <f>(AZ24-AO24)*'奖励（新）'!$D$17</f>
        <v>0</v>
      </c>
      <c r="BO24" s="2">
        <f>(BA24-AP24)*'奖励（新）'!$D$17</f>
        <v>0</v>
      </c>
    </row>
    <row r="25" spans="6:67" x14ac:dyDescent="0.2">
      <c r="F25" s="2">
        <v>110</v>
      </c>
      <c r="G25" s="2">
        <f t="shared" si="7"/>
        <v>0.67052257737189236</v>
      </c>
      <c r="H25" s="2">
        <f t="shared" si="8"/>
        <v>0.67961440892947744</v>
      </c>
      <c r="I25" s="2">
        <f t="shared" si="9"/>
        <v>0.71598173515981733</v>
      </c>
      <c r="J25" s="2">
        <f t="shared" si="10"/>
        <v>0.85235920852359204</v>
      </c>
      <c r="K25" s="2">
        <f t="shared" si="11"/>
        <v>0.98873668188736696</v>
      </c>
      <c r="Q25" s="2">
        <v>20</v>
      </c>
      <c r="R25" s="2">
        <f>$E$5*$F$5/7*MAX(节奏总纲!D23-$C$1,0)</f>
        <v>0</v>
      </c>
      <c r="S25" s="2">
        <f>$E$5*$F$5/7*MAX(节奏总纲!E23-$C$1,0)</f>
        <v>0</v>
      </c>
      <c r="T25" s="2">
        <f>$E$5*$F$5/7*MAX(节奏总纲!F23-$C$1,0)</f>
        <v>0</v>
      </c>
      <c r="U25" s="2">
        <f>$E$5*$F$5/7*MAX(节奏总纲!G23-$C$1,0)</f>
        <v>0</v>
      </c>
      <c r="V25" s="2">
        <f>$E$5*$F$5/7*MAX(节奏总纲!H23-$C$1,0)</f>
        <v>0</v>
      </c>
      <c r="W25" s="2">
        <f>$E$6*$F$6/7*MAX(节奏总纲!D23-$C$1,0)</f>
        <v>0</v>
      </c>
      <c r="X25" s="2">
        <f>$E$6*$F$6/7*MAX(节奏总纲!E23-$C$1,0)</f>
        <v>0</v>
      </c>
      <c r="Y25" s="2">
        <f>$E$6*$F$6/7*MAX(节奏总纲!F23-$C$1,0)</f>
        <v>0</v>
      </c>
      <c r="Z25" s="2">
        <f>$E$6*$F$6/7*MAX(节奏总纲!G23-$C$1,0)</f>
        <v>0</v>
      </c>
      <c r="AA25" s="2">
        <f>$E$6*$F$6/7*MAX(节奏总纲!H23-$C$1,0)</f>
        <v>0</v>
      </c>
      <c r="AB25" s="2">
        <f>($E$9*$F$9*3600+$E$10*$F$10*1200)/7*MAX(节奏总纲!D23-$C$1,0)</f>
        <v>0</v>
      </c>
      <c r="AC25" s="2">
        <f>($E$9*$F$9*3600+$E$10*$F$10*1200)/7*MAX(节奏总纲!E23-$C$1,0)</f>
        <v>0</v>
      </c>
      <c r="AD25" s="2">
        <f>($E$9*$F$9*3600+$E$10*$F$10*1200)/7*MAX(节奏总纲!F23-$C$1,0)</f>
        <v>0</v>
      </c>
      <c r="AE25" s="2">
        <f>($E$9*$F$9*3600+$E$10*$F$10*1200)/7*MAX(节奏总纲!G23-$C$1,0)</f>
        <v>0</v>
      </c>
      <c r="AF25" s="2">
        <f>($E$9*$F$9*3600+$E$10*$F$10*1200)/7*MAX(节奏总纲!H23-$C$1,0)</f>
        <v>0</v>
      </c>
      <c r="AK25" s="2">
        <v>20</v>
      </c>
      <c r="AL25" s="2">
        <f>'奖励（新）'!CT27</f>
        <v>0</v>
      </c>
      <c r="AM25" s="2">
        <f>'奖励（新）'!CU27</f>
        <v>0</v>
      </c>
      <c r="AN25" s="2">
        <f>'奖励（新）'!CV27</f>
        <v>0</v>
      </c>
      <c r="AO25" s="2">
        <f>'奖励（新）'!CW27</f>
        <v>0</v>
      </c>
      <c r="AP25" s="2">
        <f>'奖励（新）'!CX27</f>
        <v>0</v>
      </c>
      <c r="AV25" s="2">
        <v>20</v>
      </c>
      <c r="AW25" s="2">
        <f>SUMPRODUCT($F$5:$F$12,$H$5:$H$12,J$5:J$12)/7*MAX(节奏总纲!D23-'奖励（新）'!$E$2,0)</f>
        <v>0</v>
      </c>
      <c r="AX25" s="2">
        <f>SUMPRODUCT($F$5:$F$12,$H$5:$H$12,K$5:K$12)/7*MAX(节奏总纲!E23-'奖励（新）'!$E$2,0)</f>
        <v>0</v>
      </c>
      <c r="AY25" s="2">
        <f>SUMPRODUCT($F$5:$F$12,$H$5:$H$12,L$5:L$12)/7*MAX(节奏总纲!F23-'奖励（新）'!$E$2,0)</f>
        <v>0</v>
      </c>
      <c r="AZ25" s="2">
        <f>SUMPRODUCT($F$5:$F$12,$H$5:$H$12,M$5:M$12)/7*MAX(节奏总纲!G23-'奖励（新）'!$E$2,0)</f>
        <v>0</v>
      </c>
      <c r="BA25" s="2">
        <f>SUMPRODUCT($F$5:$F$12,$H$5:$H$12,N$5:N$12)/7*MAX(节奏总纲!H23-'奖励（新）'!$E$2,0)</f>
        <v>0</v>
      </c>
      <c r="BE25" s="2">
        <v>20</v>
      </c>
      <c r="BF25" s="41" t="e">
        <f t="shared" si="2"/>
        <v>#DIV/0!</v>
      </c>
      <c r="BG25" s="41" t="e">
        <f t="shared" si="3"/>
        <v>#DIV/0!</v>
      </c>
      <c r="BH25" s="41" t="e">
        <f t="shared" si="4"/>
        <v>#DIV/0!</v>
      </c>
      <c r="BI25" s="41" t="e">
        <f t="shared" si="5"/>
        <v>#DIV/0!</v>
      </c>
      <c r="BJ25" s="41" t="e">
        <f t="shared" si="6"/>
        <v>#DIV/0!</v>
      </c>
      <c r="BK25" s="2">
        <f>(AW25-AL25)*'奖励（新）'!$D$17</f>
        <v>0</v>
      </c>
      <c r="BL25" s="2">
        <f>(AX25-AM25)*'奖励（新）'!$D$17</f>
        <v>0</v>
      </c>
      <c r="BM25" s="2">
        <f>(AY25-AN25)*'奖励（新）'!$D$17</f>
        <v>0</v>
      </c>
      <c r="BN25" s="2">
        <f>(AZ25-AO25)*'奖励（新）'!$D$17</f>
        <v>0</v>
      </c>
      <c r="BO25" s="2">
        <f>(BA25-AP25)*'奖励（新）'!$D$17</f>
        <v>0</v>
      </c>
    </row>
    <row r="26" spans="6:67" x14ac:dyDescent="0.2">
      <c r="F26" s="2">
        <v>120</v>
      </c>
      <c r="G26" s="2">
        <f t="shared" si="7"/>
        <v>0.67052257737189236</v>
      </c>
      <c r="H26" s="2">
        <f t="shared" si="8"/>
        <v>0.67961440892947733</v>
      </c>
      <c r="I26" s="2">
        <f t="shared" si="9"/>
        <v>0.71598173515981745</v>
      </c>
      <c r="J26" s="2">
        <f t="shared" si="10"/>
        <v>0.85235920852359193</v>
      </c>
      <c r="K26" s="2">
        <f t="shared" si="11"/>
        <v>0.98873668188736685</v>
      </c>
      <c r="Q26" s="2">
        <v>21</v>
      </c>
      <c r="R26" s="2">
        <f>$E$5*$F$5/7*MAX(节奏总纲!D24-$C$1,0)</f>
        <v>0</v>
      </c>
      <c r="S26" s="2">
        <f>$E$5*$F$5/7*MAX(节奏总纲!E24-$C$1,0)</f>
        <v>0</v>
      </c>
      <c r="T26" s="2">
        <f>$E$5*$F$5/7*MAX(节奏总纲!F24-$C$1,0)</f>
        <v>0</v>
      </c>
      <c r="U26" s="2">
        <f>$E$5*$F$5/7*MAX(节奏总纲!G24-$C$1,0)</f>
        <v>0</v>
      </c>
      <c r="V26" s="2">
        <f>$E$5*$F$5/7*MAX(节奏总纲!H24-$C$1,0)</f>
        <v>0</v>
      </c>
      <c r="W26" s="2">
        <f>$E$6*$F$6/7*MAX(节奏总纲!D24-$C$1,0)</f>
        <v>0</v>
      </c>
      <c r="X26" s="2">
        <f>$E$6*$F$6/7*MAX(节奏总纲!E24-$C$1,0)</f>
        <v>0</v>
      </c>
      <c r="Y26" s="2">
        <f>$E$6*$F$6/7*MAX(节奏总纲!F24-$C$1,0)</f>
        <v>0</v>
      </c>
      <c r="Z26" s="2">
        <f>$E$6*$F$6/7*MAX(节奏总纲!G24-$C$1,0)</f>
        <v>0</v>
      </c>
      <c r="AA26" s="2">
        <f>$E$6*$F$6/7*MAX(节奏总纲!H24-$C$1,0)</f>
        <v>0</v>
      </c>
      <c r="AB26" s="2">
        <f>($E$9*$F$9*3600+$E$10*$F$10*1200)/7*MAX(节奏总纲!D24-$C$1,0)</f>
        <v>0</v>
      </c>
      <c r="AC26" s="2">
        <f>($E$9*$F$9*3600+$E$10*$F$10*1200)/7*MAX(节奏总纲!E24-$C$1,0)</f>
        <v>0</v>
      </c>
      <c r="AD26" s="2">
        <f>($E$9*$F$9*3600+$E$10*$F$10*1200)/7*MAX(节奏总纲!F24-$C$1,0)</f>
        <v>0</v>
      </c>
      <c r="AE26" s="2">
        <f>($E$9*$F$9*3600+$E$10*$F$10*1200)/7*MAX(节奏总纲!G24-$C$1,0)</f>
        <v>0</v>
      </c>
      <c r="AF26" s="2">
        <f>($E$9*$F$9*3600+$E$10*$F$10*1200)/7*MAX(节奏总纲!H24-$C$1,0)</f>
        <v>0</v>
      </c>
      <c r="AK26" s="2">
        <v>21</v>
      </c>
      <c r="AL26" s="2">
        <f>'奖励（新）'!CT28</f>
        <v>0</v>
      </c>
      <c r="AM26" s="2">
        <f>'奖励（新）'!CU28</f>
        <v>0</v>
      </c>
      <c r="AN26" s="2">
        <f>'奖励（新）'!CV28</f>
        <v>0</v>
      </c>
      <c r="AO26" s="2">
        <f>'奖励（新）'!CW28</f>
        <v>0</v>
      </c>
      <c r="AP26" s="2">
        <f>'奖励（新）'!CX28</f>
        <v>0</v>
      </c>
      <c r="AV26" s="2">
        <v>21</v>
      </c>
      <c r="AW26" s="2">
        <f>SUMPRODUCT($F$5:$F$12,$H$5:$H$12,J$5:J$12)/7*MAX(节奏总纲!D24-'奖励（新）'!$E$2,0)</f>
        <v>0</v>
      </c>
      <c r="AX26" s="2">
        <f>SUMPRODUCT($F$5:$F$12,$H$5:$H$12,K$5:K$12)/7*MAX(节奏总纲!E24-'奖励（新）'!$E$2,0)</f>
        <v>0</v>
      </c>
      <c r="AY26" s="2">
        <f>SUMPRODUCT($F$5:$F$12,$H$5:$H$12,L$5:L$12)/7*MAX(节奏总纲!F24-'奖励（新）'!$E$2,0)</f>
        <v>0</v>
      </c>
      <c r="AZ26" s="2">
        <f>SUMPRODUCT($F$5:$F$12,$H$5:$H$12,M$5:M$12)/7*MAX(节奏总纲!G24-'奖励（新）'!$E$2,0)</f>
        <v>0</v>
      </c>
      <c r="BA26" s="2">
        <f>SUMPRODUCT($F$5:$F$12,$H$5:$H$12,N$5:N$12)/7*MAX(节奏总纲!H24-'奖励（新）'!$E$2,0)</f>
        <v>0</v>
      </c>
      <c r="BE26" s="2">
        <v>21</v>
      </c>
      <c r="BF26" s="41" t="e">
        <f t="shared" si="2"/>
        <v>#DIV/0!</v>
      </c>
      <c r="BG26" s="41" t="e">
        <f t="shared" si="3"/>
        <v>#DIV/0!</v>
      </c>
      <c r="BH26" s="41" t="e">
        <f t="shared" si="4"/>
        <v>#DIV/0!</v>
      </c>
      <c r="BI26" s="41" t="e">
        <f t="shared" si="5"/>
        <v>#DIV/0!</v>
      </c>
      <c r="BJ26" s="41" t="e">
        <f t="shared" si="6"/>
        <v>#DIV/0!</v>
      </c>
      <c r="BK26" s="2">
        <f>(AW26-AL26)*'奖励（新）'!$D$17</f>
        <v>0</v>
      </c>
      <c r="BL26" s="2">
        <f>(AX26-AM26)*'奖励（新）'!$D$17</f>
        <v>0</v>
      </c>
      <c r="BM26" s="2">
        <f>(AY26-AN26)*'奖励（新）'!$D$17</f>
        <v>0</v>
      </c>
      <c r="BN26" s="2">
        <f>(AZ26-AO26)*'奖励（新）'!$D$17</f>
        <v>0</v>
      </c>
      <c r="BO26" s="2">
        <f>(BA26-AP26)*'奖励（新）'!$D$17</f>
        <v>0</v>
      </c>
    </row>
    <row r="27" spans="6:67" x14ac:dyDescent="0.2">
      <c r="F27" s="2">
        <v>130</v>
      </c>
      <c r="G27" s="2">
        <f t="shared" si="7"/>
        <v>0.67052257737189247</v>
      </c>
      <c r="H27" s="2">
        <f t="shared" si="8"/>
        <v>0.67961440892947744</v>
      </c>
      <c r="I27" s="2">
        <f t="shared" si="9"/>
        <v>0.71598173515981733</v>
      </c>
      <c r="J27" s="2">
        <f t="shared" si="10"/>
        <v>0.85235920852359204</v>
      </c>
      <c r="K27" s="2">
        <f t="shared" si="11"/>
        <v>0.98873668188736674</v>
      </c>
      <c r="Q27" s="2">
        <v>22</v>
      </c>
      <c r="R27" s="2">
        <f>$E$5*$F$5/7*MAX(节奏总纲!D25-$C$1,0)</f>
        <v>0</v>
      </c>
      <c r="S27" s="2">
        <f>$E$5*$F$5/7*MAX(节奏总纲!E25-$C$1,0)</f>
        <v>0</v>
      </c>
      <c r="T27" s="2">
        <f>$E$5*$F$5/7*MAX(节奏总纲!F25-$C$1,0)</f>
        <v>0</v>
      </c>
      <c r="U27" s="2">
        <f>$E$5*$F$5/7*MAX(节奏总纲!G25-$C$1,0)</f>
        <v>0</v>
      </c>
      <c r="V27" s="2">
        <f>$E$5*$F$5/7*MAX(节奏总纲!H25-$C$1,0)</f>
        <v>0</v>
      </c>
      <c r="W27" s="2">
        <f>$E$6*$F$6/7*MAX(节奏总纲!D25-$C$1,0)</f>
        <v>0</v>
      </c>
      <c r="X27" s="2">
        <f>$E$6*$F$6/7*MAX(节奏总纲!E25-$C$1,0)</f>
        <v>0</v>
      </c>
      <c r="Y27" s="2">
        <f>$E$6*$F$6/7*MAX(节奏总纲!F25-$C$1,0)</f>
        <v>0</v>
      </c>
      <c r="Z27" s="2">
        <f>$E$6*$F$6/7*MAX(节奏总纲!G25-$C$1,0)</f>
        <v>0</v>
      </c>
      <c r="AA27" s="2">
        <f>$E$6*$F$6/7*MAX(节奏总纲!H25-$C$1,0)</f>
        <v>0</v>
      </c>
      <c r="AB27" s="2">
        <f>($E$9*$F$9*3600+$E$10*$F$10*1200)/7*MAX(节奏总纲!D25-$C$1,0)</f>
        <v>0</v>
      </c>
      <c r="AC27" s="2">
        <f>($E$9*$F$9*3600+$E$10*$F$10*1200)/7*MAX(节奏总纲!E25-$C$1,0)</f>
        <v>0</v>
      </c>
      <c r="AD27" s="2">
        <f>($E$9*$F$9*3600+$E$10*$F$10*1200)/7*MAX(节奏总纲!F25-$C$1,0)</f>
        <v>0</v>
      </c>
      <c r="AE27" s="2">
        <f>($E$9*$F$9*3600+$E$10*$F$10*1200)/7*MAX(节奏总纲!G25-$C$1,0)</f>
        <v>0</v>
      </c>
      <c r="AF27" s="2">
        <f>($E$9*$F$9*3600+$E$10*$F$10*1200)/7*MAX(节奏总纲!H25-$C$1,0)</f>
        <v>0</v>
      </c>
      <c r="AK27" s="2">
        <v>22</v>
      </c>
      <c r="AL27" s="2">
        <f>'奖励（新）'!CT29</f>
        <v>0</v>
      </c>
      <c r="AM27" s="2">
        <f>'奖励（新）'!CU29</f>
        <v>0</v>
      </c>
      <c r="AN27" s="2">
        <f>'奖励（新）'!CV29</f>
        <v>0</v>
      </c>
      <c r="AO27" s="2">
        <f>'奖励（新）'!CW29</f>
        <v>0</v>
      </c>
      <c r="AP27" s="2">
        <f>'奖励（新）'!CX29</f>
        <v>0</v>
      </c>
      <c r="AV27" s="2">
        <v>22</v>
      </c>
      <c r="AW27" s="2">
        <f>SUMPRODUCT($F$5:$F$12,$H$5:$H$12,J$5:J$12)/7*MAX(节奏总纲!D25-'奖励（新）'!$E$2,0)</f>
        <v>0</v>
      </c>
      <c r="AX27" s="2">
        <f>SUMPRODUCT($F$5:$F$12,$H$5:$H$12,K$5:K$12)/7*MAX(节奏总纲!E25-'奖励（新）'!$E$2,0)</f>
        <v>0</v>
      </c>
      <c r="AY27" s="2">
        <f>SUMPRODUCT($F$5:$F$12,$H$5:$H$12,L$5:L$12)/7*MAX(节奏总纲!F25-'奖励（新）'!$E$2,0)</f>
        <v>0</v>
      </c>
      <c r="AZ27" s="2">
        <f>SUMPRODUCT($F$5:$F$12,$H$5:$H$12,M$5:M$12)/7*MAX(节奏总纲!G25-'奖励（新）'!$E$2,0)</f>
        <v>0</v>
      </c>
      <c r="BA27" s="2">
        <f>SUMPRODUCT($F$5:$F$12,$H$5:$H$12,N$5:N$12)/7*MAX(节奏总纲!H25-'奖励（新）'!$E$2,0)</f>
        <v>0</v>
      </c>
      <c r="BE27" s="2">
        <v>22</v>
      </c>
      <c r="BF27" s="41" t="e">
        <f t="shared" si="2"/>
        <v>#DIV/0!</v>
      </c>
      <c r="BG27" s="41" t="e">
        <f t="shared" si="3"/>
        <v>#DIV/0!</v>
      </c>
      <c r="BH27" s="41" t="e">
        <f t="shared" si="4"/>
        <v>#DIV/0!</v>
      </c>
      <c r="BI27" s="41" t="e">
        <f t="shared" si="5"/>
        <v>#DIV/0!</v>
      </c>
      <c r="BJ27" s="41" t="e">
        <f t="shared" si="6"/>
        <v>#DIV/0!</v>
      </c>
      <c r="BK27" s="2">
        <f>(AW27-AL27)*'奖励（新）'!$D$17</f>
        <v>0</v>
      </c>
      <c r="BL27" s="2">
        <f>(AX27-AM27)*'奖励（新）'!$D$17</f>
        <v>0</v>
      </c>
      <c r="BM27" s="2">
        <f>(AY27-AN27)*'奖励（新）'!$D$17</f>
        <v>0</v>
      </c>
      <c r="BN27" s="2">
        <f>(AZ27-AO27)*'奖励（新）'!$D$17</f>
        <v>0</v>
      </c>
      <c r="BO27" s="2">
        <f>(BA27-AP27)*'奖励（新）'!$D$17</f>
        <v>0</v>
      </c>
    </row>
    <row r="28" spans="6:67" x14ac:dyDescent="0.2">
      <c r="F28" s="2">
        <v>140</v>
      </c>
      <c r="G28" s="2">
        <f t="shared" si="7"/>
        <v>0.67052257737189236</v>
      </c>
      <c r="H28" s="2">
        <f t="shared" si="8"/>
        <v>0.67961440892947755</v>
      </c>
      <c r="I28" s="2">
        <f t="shared" si="9"/>
        <v>0.71598173515981722</v>
      </c>
      <c r="J28" s="2">
        <f t="shared" si="10"/>
        <v>0.85235920852359193</v>
      </c>
      <c r="K28" s="2">
        <f t="shared" si="11"/>
        <v>0.98873668188736674</v>
      </c>
      <c r="Q28" s="2">
        <v>23</v>
      </c>
      <c r="R28" s="2">
        <f>$E$5*$F$5/7*MAX(节奏总纲!D26-$C$1,0)</f>
        <v>0</v>
      </c>
      <c r="S28" s="2">
        <f>$E$5*$F$5/7*MAX(节奏总纲!E26-$C$1,0)</f>
        <v>0</v>
      </c>
      <c r="T28" s="2">
        <f>$E$5*$F$5/7*MAX(节奏总纲!F26-$C$1,0)</f>
        <v>0</v>
      </c>
      <c r="U28" s="2">
        <f>$E$5*$F$5/7*MAX(节奏总纲!G26-$C$1,0)</f>
        <v>0</v>
      </c>
      <c r="V28" s="2">
        <f>$E$5*$F$5/7*MAX(节奏总纲!H26-$C$1,0)</f>
        <v>0</v>
      </c>
      <c r="W28" s="2">
        <f>$E$6*$F$6/7*MAX(节奏总纲!D26-$C$1,0)</f>
        <v>0</v>
      </c>
      <c r="X28" s="2">
        <f>$E$6*$F$6/7*MAX(节奏总纲!E26-$C$1,0)</f>
        <v>0</v>
      </c>
      <c r="Y28" s="2">
        <f>$E$6*$F$6/7*MAX(节奏总纲!F26-$C$1,0)</f>
        <v>0</v>
      </c>
      <c r="Z28" s="2">
        <f>$E$6*$F$6/7*MAX(节奏总纲!G26-$C$1,0)</f>
        <v>0</v>
      </c>
      <c r="AA28" s="2">
        <f>$E$6*$F$6/7*MAX(节奏总纲!H26-$C$1,0)</f>
        <v>0</v>
      </c>
      <c r="AB28" s="2">
        <f>($E$9*$F$9*3600+$E$10*$F$10*1200)/7*MAX(节奏总纲!D26-$C$1,0)</f>
        <v>0</v>
      </c>
      <c r="AC28" s="2">
        <f>($E$9*$F$9*3600+$E$10*$F$10*1200)/7*MAX(节奏总纲!E26-$C$1,0)</f>
        <v>0</v>
      </c>
      <c r="AD28" s="2">
        <f>($E$9*$F$9*3600+$E$10*$F$10*1200)/7*MAX(节奏总纲!F26-$C$1,0)</f>
        <v>0</v>
      </c>
      <c r="AE28" s="2">
        <f>($E$9*$F$9*3600+$E$10*$F$10*1200)/7*MAX(节奏总纲!G26-$C$1,0)</f>
        <v>0</v>
      </c>
      <c r="AF28" s="2">
        <f>($E$9*$F$9*3600+$E$10*$F$10*1200)/7*MAX(节奏总纲!H26-$C$1,0)</f>
        <v>0</v>
      </c>
      <c r="AK28" s="2">
        <v>23</v>
      </c>
      <c r="AL28" s="2">
        <f>'奖励（新）'!CT30</f>
        <v>0</v>
      </c>
      <c r="AM28" s="2">
        <f>'奖励（新）'!CU30</f>
        <v>0</v>
      </c>
      <c r="AN28" s="2">
        <f>'奖励（新）'!CV30</f>
        <v>0</v>
      </c>
      <c r="AO28" s="2">
        <f>'奖励（新）'!CW30</f>
        <v>0</v>
      </c>
      <c r="AP28" s="2">
        <f>'奖励（新）'!CX30</f>
        <v>0</v>
      </c>
      <c r="AV28" s="2">
        <v>23</v>
      </c>
      <c r="AW28" s="2">
        <f>SUMPRODUCT($F$5:$F$12,$H$5:$H$12,J$5:J$12)/7*MAX(节奏总纲!D26-'奖励（新）'!$E$2,0)</f>
        <v>0</v>
      </c>
      <c r="AX28" s="2">
        <f>SUMPRODUCT($F$5:$F$12,$H$5:$H$12,K$5:K$12)/7*MAX(节奏总纲!E26-'奖励（新）'!$E$2,0)</f>
        <v>0</v>
      </c>
      <c r="AY28" s="2">
        <f>SUMPRODUCT($F$5:$F$12,$H$5:$H$12,L$5:L$12)/7*MAX(节奏总纲!F26-'奖励（新）'!$E$2,0)</f>
        <v>0</v>
      </c>
      <c r="AZ28" s="2">
        <f>SUMPRODUCT($F$5:$F$12,$H$5:$H$12,M$5:M$12)/7*MAX(节奏总纲!G26-'奖励（新）'!$E$2,0)</f>
        <v>0</v>
      </c>
      <c r="BA28" s="2">
        <f>SUMPRODUCT($F$5:$F$12,$H$5:$H$12,N$5:N$12)/7*MAX(节奏总纲!H26-'奖励（新）'!$E$2,0)</f>
        <v>0</v>
      </c>
      <c r="BE28" s="2">
        <v>23</v>
      </c>
      <c r="BF28" s="41" t="e">
        <f t="shared" si="2"/>
        <v>#DIV/0!</v>
      </c>
      <c r="BG28" s="41" t="e">
        <f t="shared" si="3"/>
        <v>#DIV/0!</v>
      </c>
      <c r="BH28" s="41" t="e">
        <f t="shared" si="4"/>
        <v>#DIV/0!</v>
      </c>
      <c r="BI28" s="41" t="e">
        <f t="shared" si="5"/>
        <v>#DIV/0!</v>
      </c>
      <c r="BJ28" s="41" t="e">
        <f t="shared" si="6"/>
        <v>#DIV/0!</v>
      </c>
      <c r="BK28" s="2">
        <f>(AW28-AL28)*'奖励（新）'!$D$17</f>
        <v>0</v>
      </c>
      <c r="BL28" s="2">
        <f>(AX28-AM28)*'奖励（新）'!$D$17</f>
        <v>0</v>
      </c>
      <c r="BM28" s="2">
        <f>(AY28-AN28)*'奖励（新）'!$D$17</f>
        <v>0</v>
      </c>
      <c r="BN28" s="2">
        <f>(AZ28-AO28)*'奖励（新）'!$D$17</f>
        <v>0</v>
      </c>
      <c r="BO28" s="2">
        <f>(BA28-AP28)*'奖励（新）'!$D$17</f>
        <v>0</v>
      </c>
    </row>
    <row r="29" spans="6:67" x14ac:dyDescent="0.2">
      <c r="F29" s="2">
        <v>150</v>
      </c>
      <c r="G29" s="2">
        <f t="shared" si="7"/>
        <v>0.67052257737189258</v>
      </c>
      <c r="H29" s="2">
        <f t="shared" si="8"/>
        <v>0.67961440892947733</v>
      </c>
      <c r="I29" s="2">
        <f t="shared" si="9"/>
        <v>0.71598173515981733</v>
      </c>
      <c r="J29" s="2">
        <f t="shared" si="10"/>
        <v>0.85235920852359204</v>
      </c>
      <c r="K29" s="2">
        <f t="shared" si="11"/>
        <v>0.98873668188736685</v>
      </c>
      <c r="Q29" s="2">
        <v>24</v>
      </c>
      <c r="R29" s="2">
        <f>$E$5*$F$5/7*MAX(节奏总纲!D27-$C$1,0)</f>
        <v>0</v>
      </c>
      <c r="S29" s="2">
        <f>$E$5*$F$5/7*MAX(节奏总纲!E27-$C$1,0)</f>
        <v>0</v>
      </c>
      <c r="T29" s="2">
        <f>$E$5*$F$5/7*MAX(节奏总纲!F27-$C$1,0)</f>
        <v>0</v>
      </c>
      <c r="U29" s="2">
        <f>$E$5*$F$5/7*MAX(节奏总纲!G27-$C$1,0)</f>
        <v>0</v>
      </c>
      <c r="V29" s="2">
        <f>$E$5*$F$5/7*MAX(节奏总纲!H27-$C$1,0)</f>
        <v>0</v>
      </c>
      <c r="W29" s="2">
        <f>$E$6*$F$6/7*MAX(节奏总纲!D27-$C$1,0)</f>
        <v>0</v>
      </c>
      <c r="X29" s="2">
        <f>$E$6*$F$6/7*MAX(节奏总纲!E27-$C$1,0)</f>
        <v>0</v>
      </c>
      <c r="Y29" s="2">
        <f>$E$6*$F$6/7*MAX(节奏总纲!F27-$C$1,0)</f>
        <v>0</v>
      </c>
      <c r="Z29" s="2">
        <f>$E$6*$F$6/7*MAX(节奏总纲!G27-$C$1,0)</f>
        <v>0</v>
      </c>
      <c r="AA29" s="2">
        <f>$E$6*$F$6/7*MAX(节奏总纲!H27-$C$1,0)</f>
        <v>0</v>
      </c>
      <c r="AB29" s="2">
        <f>($E$9*$F$9*3600+$E$10*$F$10*1200)/7*MAX(节奏总纲!D27-$C$1,0)</f>
        <v>0</v>
      </c>
      <c r="AC29" s="2">
        <f>($E$9*$F$9*3600+$E$10*$F$10*1200)/7*MAX(节奏总纲!E27-$C$1,0)</f>
        <v>0</v>
      </c>
      <c r="AD29" s="2">
        <f>($E$9*$F$9*3600+$E$10*$F$10*1200)/7*MAX(节奏总纲!F27-$C$1,0)</f>
        <v>0</v>
      </c>
      <c r="AE29" s="2">
        <f>($E$9*$F$9*3600+$E$10*$F$10*1200)/7*MAX(节奏总纲!G27-$C$1,0)</f>
        <v>0</v>
      </c>
      <c r="AF29" s="2">
        <f>($E$9*$F$9*3600+$E$10*$F$10*1200)/7*MAX(节奏总纲!H27-$C$1,0)</f>
        <v>0</v>
      </c>
      <c r="AK29" s="2">
        <v>24</v>
      </c>
      <c r="AL29" s="2">
        <f>'奖励（新）'!CT31</f>
        <v>0</v>
      </c>
      <c r="AM29" s="2">
        <f>'奖励（新）'!CU31</f>
        <v>0</v>
      </c>
      <c r="AN29" s="2">
        <f>'奖励（新）'!CV31</f>
        <v>0</v>
      </c>
      <c r="AO29" s="2">
        <f>'奖励（新）'!CW31</f>
        <v>0</v>
      </c>
      <c r="AP29" s="2">
        <f>'奖励（新）'!CX31</f>
        <v>0</v>
      </c>
      <c r="AV29" s="2">
        <v>24</v>
      </c>
      <c r="AW29" s="2">
        <f>SUMPRODUCT($F$5:$F$12,$H$5:$H$12,J$5:J$12)/7*MAX(节奏总纲!D27-'奖励（新）'!$E$2,0)</f>
        <v>0</v>
      </c>
      <c r="AX29" s="2">
        <f>SUMPRODUCT($F$5:$F$12,$H$5:$H$12,K$5:K$12)/7*MAX(节奏总纲!E27-'奖励（新）'!$E$2,0)</f>
        <v>0</v>
      </c>
      <c r="AY29" s="2">
        <f>SUMPRODUCT($F$5:$F$12,$H$5:$H$12,L$5:L$12)/7*MAX(节奏总纲!F27-'奖励（新）'!$E$2,0)</f>
        <v>0</v>
      </c>
      <c r="AZ29" s="2">
        <f>SUMPRODUCT($F$5:$F$12,$H$5:$H$12,M$5:M$12)/7*MAX(节奏总纲!G27-'奖励（新）'!$E$2,0)</f>
        <v>0</v>
      </c>
      <c r="BA29" s="2">
        <f>SUMPRODUCT($F$5:$F$12,$H$5:$H$12,N$5:N$12)/7*MAX(节奏总纲!H27-'奖励（新）'!$E$2,0)</f>
        <v>0</v>
      </c>
      <c r="BE29" s="2">
        <v>24</v>
      </c>
      <c r="BF29" s="41" t="e">
        <f t="shared" si="2"/>
        <v>#DIV/0!</v>
      </c>
      <c r="BG29" s="41" t="e">
        <f t="shared" si="3"/>
        <v>#DIV/0!</v>
      </c>
      <c r="BH29" s="41" t="e">
        <f t="shared" si="4"/>
        <v>#DIV/0!</v>
      </c>
      <c r="BI29" s="41" t="e">
        <f t="shared" si="5"/>
        <v>#DIV/0!</v>
      </c>
      <c r="BJ29" s="41" t="e">
        <f t="shared" si="6"/>
        <v>#DIV/0!</v>
      </c>
      <c r="BK29" s="2">
        <f>(AW29-AL29)*'奖励（新）'!$D$17</f>
        <v>0</v>
      </c>
      <c r="BL29" s="2">
        <f>(AX29-AM29)*'奖励（新）'!$D$17</f>
        <v>0</v>
      </c>
      <c r="BM29" s="2">
        <f>(AY29-AN29)*'奖励（新）'!$D$17</f>
        <v>0</v>
      </c>
      <c r="BN29" s="2">
        <f>(AZ29-AO29)*'奖励（新）'!$D$17</f>
        <v>0</v>
      </c>
      <c r="BO29" s="2">
        <f>(BA29-AP29)*'奖励（新）'!$D$17</f>
        <v>0</v>
      </c>
    </row>
    <row r="30" spans="6:67" x14ac:dyDescent="0.2">
      <c r="F30" s="2">
        <v>160</v>
      </c>
      <c r="G30" s="2">
        <f t="shared" si="7"/>
        <v>0.67052257737189236</v>
      </c>
      <c r="H30" s="2">
        <f t="shared" si="8"/>
        <v>0.67961440892947733</v>
      </c>
      <c r="I30" s="2">
        <f t="shared" si="9"/>
        <v>0.71598173515981733</v>
      </c>
      <c r="J30" s="2">
        <f t="shared" si="10"/>
        <v>0.85235920852359204</v>
      </c>
      <c r="K30" s="2">
        <f t="shared" si="11"/>
        <v>0.98873668188736674</v>
      </c>
      <c r="Q30" s="2">
        <v>25</v>
      </c>
      <c r="R30" s="2">
        <f>$E$5*$F$5/7*MAX(节奏总纲!D28-$C$1,0)</f>
        <v>0</v>
      </c>
      <c r="S30" s="2">
        <f>$E$5*$F$5/7*MAX(节奏总纲!E28-$C$1,0)</f>
        <v>0</v>
      </c>
      <c r="T30" s="2">
        <f>$E$5*$F$5/7*MAX(节奏总纲!F28-$C$1,0)</f>
        <v>0</v>
      </c>
      <c r="U30" s="2">
        <f>$E$5*$F$5/7*MAX(节奏总纲!G28-$C$1,0)</f>
        <v>0</v>
      </c>
      <c r="V30" s="2">
        <f>$E$5*$F$5/7*MAX(节奏总纲!H28-$C$1,0)</f>
        <v>0</v>
      </c>
      <c r="W30" s="2">
        <f>$E$6*$F$6/7*MAX(节奏总纲!D28-$C$1,0)</f>
        <v>0</v>
      </c>
      <c r="X30" s="2">
        <f>$E$6*$F$6/7*MAX(节奏总纲!E28-$C$1,0)</f>
        <v>0</v>
      </c>
      <c r="Y30" s="2">
        <f>$E$6*$F$6/7*MAX(节奏总纲!F28-$C$1,0)</f>
        <v>0</v>
      </c>
      <c r="Z30" s="2">
        <f>$E$6*$F$6/7*MAX(节奏总纲!G28-$C$1,0)</f>
        <v>0</v>
      </c>
      <c r="AA30" s="2">
        <f>$E$6*$F$6/7*MAX(节奏总纲!H28-$C$1,0)</f>
        <v>0</v>
      </c>
      <c r="AB30" s="2">
        <f>($E$9*$F$9*3600+$E$10*$F$10*1200)/7*MAX(节奏总纲!D28-$C$1,0)</f>
        <v>0</v>
      </c>
      <c r="AC30" s="2">
        <f>($E$9*$F$9*3600+$E$10*$F$10*1200)/7*MAX(节奏总纲!E28-$C$1,0)</f>
        <v>0</v>
      </c>
      <c r="AD30" s="2">
        <f>($E$9*$F$9*3600+$E$10*$F$10*1200)/7*MAX(节奏总纲!F28-$C$1,0)</f>
        <v>0</v>
      </c>
      <c r="AE30" s="2">
        <f>($E$9*$F$9*3600+$E$10*$F$10*1200)/7*MAX(节奏总纲!G28-$C$1,0)</f>
        <v>0</v>
      </c>
      <c r="AF30" s="2">
        <f>($E$9*$F$9*3600+$E$10*$F$10*1200)/7*MAX(节奏总纲!H28-$C$1,0)</f>
        <v>0</v>
      </c>
      <c r="AK30" s="2">
        <v>25</v>
      </c>
      <c r="AL30" s="2">
        <f>'奖励（新）'!CT32</f>
        <v>0</v>
      </c>
      <c r="AM30" s="2">
        <f>'奖励（新）'!CU32</f>
        <v>0</v>
      </c>
      <c r="AN30" s="2">
        <f>'奖励（新）'!CV32</f>
        <v>0</v>
      </c>
      <c r="AO30" s="2">
        <f>'奖励（新）'!CW32</f>
        <v>0</v>
      </c>
      <c r="AP30" s="2">
        <f>'奖励（新）'!CX32</f>
        <v>0</v>
      </c>
      <c r="AV30" s="2">
        <v>25</v>
      </c>
      <c r="AW30" s="2">
        <f>SUMPRODUCT($F$5:$F$12,$H$5:$H$12,J$5:J$12)/7*MAX(节奏总纲!D28-'奖励（新）'!$E$2,0)</f>
        <v>0</v>
      </c>
      <c r="AX30" s="2">
        <f>SUMPRODUCT($F$5:$F$12,$H$5:$H$12,K$5:K$12)/7*MAX(节奏总纲!E28-'奖励（新）'!$E$2,0)</f>
        <v>0</v>
      </c>
      <c r="AY30" s="2">
        <f>SUMPRODUCT($F$5:$F$12,$H$5:$H$12,L$5:L$12)/7*MAX(节奏总纲!F28-'奖励（新）'!$E$2,0)</f>
        <v>0</v>
      </c>
      <c r="AZ30" s="2">
        <f>SUMPRODUCT($F$5:$F$12,$H$5:$H$12,M$5:M$12)/7*MAX(节奏总纲!G28-'奖励（新）'!$E$2,0)</f>
        <v>0</v>
      </c>
      <c r="BA30" s="2">
        <f>SUMPRODUCT($F$5:$F$12,$H$5:$H$12,N$5:N$12)/7*MAX(节奏总纲!H28-'奖励（新）'!$E$2,0)</f>
        <v>0</v>
      </c>
      <c r="BE30" s="2">
        <v>25</v>
      </c>
      <c r="BF30" s="41" t="e">
        <f t="shared" si="2"/>
        <v>#DIV/0!</v>
      </c>
      <c r="BG30" s="41" t="e">
        <f t="shared" si="3"/>
        <v>#DIV/0!</v>
      </c>
      <c r="BH30" s="41" t="e">
        <f t="shared" si="4"/>
        <v>#DIV/0!</v>
      </c>
      <c r="BI30" s="41" t="e">
        <f t="shared" si="5"/>
        <v>#DIV/0!</v>
      </c>
      <c r="BJ30" s="41" t="e">
        <f t="shared" si="6"/>
        <v>#DIV/0!</v>
      </c>
      <c r="BK30" s="2">
        <f>(AW30-AL30)*'奖励（新）'!$D$17</f>
        <v>0</v>
      </c>
      <c r="BL30" s="2">
        <f>(AX30-AM30)*'奖励（新）'!$D$17</f>
        <v>0</v>
      </c>
      <c r="BM30" s="2">
        <f>(AY30-AN30)*'奖励（新）'!$D$17</f>
        <v>0</v>
      </c>
      <c r="BN30" s="2">
        <f>(AZ30-AO30)*'奖励（新）'!$D$17</f>
        <v>0</v>
      </c>
      <c r="BO30" s="2">
        <f>(BA30-AP30)*'奖励（新）'!$D$17</f>
        <v>0</v>
      </c>
    </row>
    <row r="31" spans="6:67" x14ac:dyDescent="0.2">
      <c r="Q31" s="2">
        <v>26</v>
      </c>
      <c r="R31" s="2">
        <f>$E$5*$F$5/7*MAX(节奏总纲!D29-$C$1,0)</f>
        <v>0</v>
      </c>
      <c r="S31" s="2">
        <f>$E$5*$F$5/7*MAX(节奏总纲!E29-$C$1,0)</f>
        <v>0</v>
      </c>
      <c r="T31" s="2">
        <f>$E$5*$F$5/7*MAX(节奏总纲!F29-$C$1,0)</f>
        <v>0</v>
      </c>
      <c r="U31" s="2">
        <f>$E$5*$F$5/7*MAX(节奏总纲!G29-$C$1,0)</f>
        <v>0</v>
      </c>
      <c r="V31" s="2">
        <f>$E$5*$F$5/7*MAX(节奏总纲!H29-$C$1,0)</f>
        <v>0</v>
      </c>
      <c r="W31" s="2">
        <f>$E$6*$F$6/7*MAX(节奏总纲!D29-$C$1,0)</f>
        <v>0</v>
      </c>
      <c r="X31" s="2">
        <f>$E$6*$F$6/7*MAX(节奏总纲!E29-$C$1,0)</f>
        <v>0</v>
      </c>
      <c r="Y31" s="2">
        <f>$E$6*$F$6/7*MAX(节奏总纲!F29-$C$1,0)</f>
        <v>0</v>
      </c>
      <c r="Z31" s="2">
        <f>$E$6*$F$6/7*MAX(节奏总纲!G29-$C$1,0)</f>
        <v>0</v>
      </c>
      <c r="AA31" s="2">
        <f>$E$6*$F$6/7*MAX(节奏总纲!H29-$C$1,0)</f>
        <v>0</v>
      </c>
      <c r="AB31" s="2">
        <f>($E$9*$F$9*3600+$E$10*$F$10*1200)/7*MAX(节奏总纲!D29-$C$1,0)</f>
        <v>0</v>
      </c>
      <c r="AC31" s="2">
        <f>($E$9*$F$9*3600+$E$10*$F$10*1200)/7*MAX(节奏总纲!E29-$C$1,0)</f>
        <v>0</v>
      </c>
      <c r="AD31" s="2">
        <f>($E$9*$F$9*3600+$E$10*$F$10*1200)/7*MAX(节奏总纲!F29-$C$1,0)</f>
        <v>0</v>
      </c>
      <c r="AE31" s="2">
        <f>($E$9*$F$9*3600+$E$10*$F$10*1200)/7*MAX(节奏总纲!G29-$C$1,0)</f>
        <v>0</v>
      </c>
      <c r="AF31" s="2">
        <f>($E$9*$F$9*3600+$E$10*$F$10*1200)/7*MAX(节奏总纲!H29-$C$1,0)</f>
        <v>0</v>
      </c>
      <c r="AK31" s="2">
        <v>26</v>
      </c>
      <c r="AL31" s="2">
        <f>'奖励（新）'!CT33</f>
        <v>0</v>
      </c>
      <c r="AM31" s="2">
        <f>'奖励（新）'!CU33</f>
        <v>0</v>
      </c>
      <c r="AN31" s="2">
        <f>'奖励（新）'!CV33</f>
        <v>0</v>
      </c>
      <c r="AO31" s="2">
        <f>'奖励（新）'!CW33</f>
        <v>0</v>
      </c>
      <c r="AP31" s="2">
        <f>'奖励（新）'!CX33</f>
        <v>0</v>
      </c>
      <c r="AV31" s="2">
        <v>26</v>
      </c>
      <c r="AW31" s="2">
        <f>SUMPRODUCT($F$5:$F$12,$H$5:$H$12,J$5:J$12)/7*MAX(节奏总纲!D29-'奖励（新）'!$E$2,0)</f>
        <v>0</v>
      </c>
      <c r="AX31" s="2">
        <f>SUMPRODUCT($F$5:$F$12,$H$5:$H$12,K$5:K$12)/7*MAX(节奏总纲!E29-'奖励（新）'!$E$2,0)</f>
        <v>0</v>
      </c>
      <c r="AY31" s="2">
        <f>SUMPRODUCT($F$5:$F$12,$H$5:$H$12,L$5:L$12)/7*MAX(节奏总纲!F29-'奖励（新）'!$E$2,0)</f>
        <v>0</v>
      </c>
      <c r="AZ31" s="2">
        <f>SUMPRODUCT($F$5:$F$12,$H$5:$H$12,M$5:M$12)/7*MAX(节奏总纲!G29-'奖励（新）'!$E$2,0)</f>
        <v>0</v>
      </c>
      <c r="BA31" s="2">
        <f>SUMPRODUCT($F$5:$F$12,$H$5:$H$12,N$5:N$12)/7*MAX(节奏总纲!H29-'奖励（新）'!$E$2,0)</f>
        <v>0</v>
      </c>
      <c r="BE31" s="2">
        <v>26</v>
      </c>
      <c r="BF31" s="41" t="e">
        <f t="shared" si="2"/>
        <v>#DIV/0!</v>
      </c>
      <c r="BG31" s="41" t="e">
        <f t="shared" si="3"/>
        <v>#DIV/0!</v>
      </c>
      <c r="BH31" s="41" t="e">
        <f t="shared" si="4"/>
        <v>#DIV/0!</v>
      </c>
      <c r="BI31" s="41" t="e">
        <f t="shared" si="5"/>
        <v>#DIV/0!</v>
      </c>
      <c r="BJ31" s="41" t="e">
        <f t="shared" si="6"/>
        <v>#DIV/0!</v>
      </c>
      <c r="BK31" s="2">
        <f>(AW31-AL31)*'奖励（新）'!$D$17</f>
        <v>0</v>
      </c>
      <c r="BL31" s="2">
        <f>(AX31-AM31)*'奖励（新）'!$D$17</f>
        <v>0</v>
      </c>
      <c r="BM31" s="2">
        <f>(AY31-AN31)*'奖励（新）'!$D$17</f>
        <v>0</v>
      </c>
      <c r="BN31" s="2">
        <f>(AZ31-AO31)*'奖励（新）'!$D$17</f>
        <v>0</v>
      </c>
      <c r="BO31" s="2">
        <f>(BA31-AP31)*'奖励（新）'!$D$17</f>
        <v>0</v>
      </c>
    </row>
    <row r="32" spans="6:67" x14ac:dyDescent="0.2">
      <c r="Q32" s="2">
        <v>27</v>
      </c>
      <c r="R32" s="2">
        <f>$E$5*$F$5/7*MAX(节奏总纲!D30-$C$1,0)</f>
        <v>0</v>
      </c>
      <c r="S32" s="2">
        <f>$E$5*$F$5/7*MAX(节奏总纲!E30-$C$1,0)</f>
        <v>0</v>
      </c>
      <c r="T32" s="2">
        <f>$E$5*$F$5/7*MAX(节奏总纲!F30-$C$1,0)</f>
        <v>0</v>
      </c>
      <c r="U32" s="2">
        <f>$E$5*$F$5/7*MAX(节奏总纲!G30-$C$1,0)</f>
        <v>0</v>
      </c>
      <c r="V32" s="2">
        <f>$E$5*$F$5/7*MAX(节奏总纲!H30-$C$1,0)</f>
        <v>0</v>
      </c>
      <c r="W32" s="2">
        <f>$E$6*$F$6/7*MAX(节奏总纲!D30-$C$1,0)</f>
        <v>0</v>
      </c>
      <c r="X32" s="2">
        <f>$E$6*$F$6/7*MAX(节奏总纲!E30-$C$1,0)</f>
        <v>0</v>
      </c>
      <c r="Y32" s="2">
        <f>$E$6*$F$6/7*MAX(节奏总纲!F30-$C$1,0)</f>
        <v>0</v>
      </c>
      <c r="Z32" s="2">
        <f>$E$6*$F$6/7*MAX(节奏总纲!G30-$C$1,0)</f>
        <v>0</v>
      </c>
      <c r="AA32" s="2">
        <f>$E$6*$F$6/7*MAX(节奏总纲!H30-$C$1,0)</f>
        <v>0</v>
      </c>
      <c r="AB32" s="2">
        <f>($E$9*$F$9*3600+$E$10*$F$10*1200)/7*MAX(节奏总纲!D30-$C$1,0)</f>
        <v>0</v>
      </c>
      <c r="AC32" s="2">
        <f>($E$9*$F$9*3600+$E$10*$F$10*1200)/7*MAX(节奏总纲!E30-$C$1,0)</f>
        <v>0</v>
      </c>
      <c r="AD32" s="2">
        <f>($E$9*$F$9*3600+$E$10*$F$10*1200)/7*MAX(节奏总纲!F30-$C$1,0)</f>
        <v>0</v>
      </c>
      <c r="AE32" s="2">
        <f>($E$9*$F$9*3600+$E$10*$F$10*1200)/7*MAX(节奏总纲!G30-$C$1,0)</f>
        <v>0</v>
      </c>
      <c r="AF32" s="2">
        <f>($E$9*$F$9*3600+$E$10*$F$10*1200)/7*MAX(节奏总纲!H30-$C$1,0)</f>
        <v>0</v>
      </c>
      <c r="AK32" s="2">
        <v>27</v>
      </c>
      <c r="AL32" s="2">
        <f>'奖励（新）'!CT34</f>
        <v>0</v>
      </c>
      <c r="AM32" s="2">
        <f>'奖励（新）'!CU34</f>
        <v>0</v>
      </c>
      <c r="AN32" s="2">
        <f>'奖励（新）'!CV34</f>
        <v>0</v>
      </c>
      <c r="AO32" s="2">
        <f>'奖励（新）'!CW34</f>
        <v>0</v>
      </c>
      <c r="AP32" s="2">
        <f>'奖励（新）'!CX34</f>
        <v>0</v>
      </c>
      <c r="AV32" s="2">
        <v>27</v>
      </c>
      <c r="AW32" s="2">
        <f>SUMPRODUCT($F$5:$F$12,$H$5:$H$12,J$5:J$12)/7*MAX(节奏总纲!D30-'奖励（新）'!$E$2,0)</f>
        <v>0</v>
      </c>
      <c r="AX32" s="2">
        <f>SUMPRODUCT($F$5:$F$12,$H$5:$H$12,K$5:K$12)/7*MAX(节奏总纲!E30-'奖励（新）'!$E$2,0)</f>
        <v>0</v>
      </c>
      <c r="AY32" s="2">
        <f>SUMPRODUCT($F$5:$F$12,$H$5:$H$12,L$5:L$12)/7*MAX(节奏总纲!F30-'奖励（新）'!$E$2,0)</f>
        <v>0</v>
      </c>
      <c r="AZ32" s="2">
        <f>SUMPRODUCT($F$5:$F$12,$H$5:$H$12,M$5:M$12)/7*MAX(节奏总纲!G30-'奖励（新）'!$E$2,0)</f>
        <v>0</v>
      </c>
      <c r="BA32" s="2">
        <f>SUMPRODUCT($F$5:$F$12,$H$5:$H$12,N$5:N$12)/7*MAX(节奏总纲!H30-'奖励（新）'!$E$2,0)</f>
        <v>0</v>
      </c>
      <c r="BE32" s="2">
        <v>27</v>
      </c>
      <c r="BF32" s="41" t="e">
        <f t="shared" si="2"/>
        <v>#DIV/0!</v>
      </c>
      <c r="BG32" s="41" t="e">
        <f t="shared" si="3"/>
        <v>#DIV/0!</v>
      </c>
      <c r="BH32" s="41" t="e">
        <f t="shared" si="4"/>
        <v>#DIV/0!</v>
      </c>
      <c r="BI32" s="41" t="e">
        <f t="shared" si="5"/>
        <v>#DIV/0!</v>
      </c>
      <c r="BJ32" s="41" t="e">
        <f t="shared" si="6"/>
        <v>#DIV/0!</v>
      </c>
      <c r="BK32" s="2">
        <f>(AW32-AL32)*'奖励（新）'!$D$17</f>
        <v>0</v>
      </c>
      <c r="BL32" s="2">
        <f>(AX32-AM32)*'奖励（新）'!$D$17</f>
        <v>0</v>
      </c>
      <c r="BM32" s="2">
        <f>(AY32-AN32)*'奖励（新）'!$D$17</f>
        <v>0</v>
      </c>
      <c r="BN32" s="2">
        <f>(AZ32-AO32)*'奖励（新）'!$D$17</f>
        <v>0</v>
      </c>
      <c r="BO32" s="2">
        <f>(BA32-AP32)*'奖励（新）'!$D$17</f>
        <v>0</v>
      </c>
    </row>
    <row r="33" spans="17:67" x14ac:dyDescent="0.2">
      <c r="Q33" s="2">
        <v>28</v>
      </c>
      <c r="R33" s="2">
        <f>$E$5*$F$5/7*MAX(节奏总纲!D31-$C$1,0)</f>
        <v>0</v>
      </c>
      <c r="S33" s="2">
        <f>$E$5*$F$5/7*MAX(节奏总纲!E31-$C$1,0)</f>
        <v>0</v>
      </c>
      <c r="T33" s="2">
        <f>$E$5*$F$5/7*MAX(节奏总纲!F31-$C$1,0)</f>
        <v>0</v>
      </c>
      <c r="U33" s="2">
        <f>$E$5*$F$5/7*MAX(节奏总纲!G31-$C$1,0)</f>
        <v>0</v>
      </c>
      <c r="V33" s="2">
        <f>$E$5*$F$5/7*MAX(节奏总纲!H31-$C$1,0)</f>
        <v>0</v>
      </c>
      <c r="W33" s="2">
        <f>$E$6*$F$6/7*MAX(节奏总纲!D31-$C$1,0)</f>
        <v>0</v>
      </c>
      <c r="X33" s="2">
        <f>$E$6*$F$6/7*MAX(节奏总纲!E31-$C$1,0)</f>
        <v>0</v>
      </c>
      <c r="Y33" s="2">
        <f>$E$6*$F$6/7*MAX(节奏总纲!F31-$C$1,0)</f>
        <v>0</v>
      </c>
      <c r="Z33" s="2">
        <f>$E$6*$F$6/7*MAX(节奏总纲!G31-$C$1,0)</f>
        <v>0</v>
      </c>
      <c r="AA33" s="2">
        <f>$E$6*$F$6/7*MAX(节奏总纲!H31-$C$1,0)</f>
        <v>0</v>
      </c>
      <c r="AB33" s="2">
        <f>($E$9*$F$9*3600+$E$10*$F$10*1200)/7*MAX(节奏总纲!D31-$C$1,0)</f>
        <v>0</v>
      </c>
      <c r="AC33" s="2">
        <f>($E$9*$F$9*3600+$E$10*$F$10*1200)/7*MAX(节奏总纲!E31-$C$1,0)</f>
        <v>0</v>
      </c>
      <c r="AD33" s="2">
        <f>($E$9*$F$9*3600+$E$10*$F$10*1200)/7*MAX(节奏总纲!F31-$C$1,0)</f>
        <v>0</v>
      </c>
      <c r="AE33" s="2">
        <f>($E$9*$F$9*3600+$E$10*$F$10*1200)/7*MAX(节奏总纲!G31-$C$1,0)</f>
        <v>0</v>
      </c>
      <c r="AF33" s="2">
        <f>($E$9*$F$9*3600+$E$10*$F$10*1200)/7*MAX(节奏总纲!H31-$C$1,0)</f>
        <v>0</v>
      </c>
      <c r="AK33" s="2">
        <v>28</v>
      </c>
      <c r="AL33" s="2">
        <f>'奖励（新）'!CT35</f>
        <v>0</v>
      </c>
      <c r="AM33" s="2">
        <f>'奖励（新）'!CU35</f>
        <v>0</v>
      </c>
      <c r="AN33" s="2">
        <f>'奖励（新）'!CV35</f>
        <v>0</v>
      </c>
      <c r="AO33" s="2">
        <f>'奖励（新）'!CW35</f>
        <v>0</v>
      </c>
      <c r="AP33" s="2">
        <f>'奖励（新）'!CX35</f>
        <v>0</v>
      </c>
      <c r="AV33" s="2">
        <v>28</v>
      </c>
      <c r="AW33" s="2">
        <f>SUMPRODUCT($F$5:$F$12,$H$5:$H$12,J$5:J$12)/7*MAX(节奏总纲!D31-'奖励（新）'!$E$2,0)</f>
        <v>0</v>
      </c>
      <c r="AX33" s="2">
        <f>SUMPRODUCT($F$5:$F$12,$H$5:$H$12,K$5:K$12)/7*MAX(节奏总纲!E31-'奖励（新）'!$E$2,0)</f>
        <v>0</v>
      </c>
      <c r="AY33" s="2">
        <f>SUMPRODUCT($F$5:$F$12,$H$5:$H$12,L$5:L$12)/7*MAX(节奏总纲!F31-'奖励（新）'!$E$2,0)</f>
        <v>0</v>
      </c>
      <c r="AZ33" s="2">
        <f>SUMPRODUCT($F$5:$F$12,$H$5:$H$12,M$5:M$12)/7*MAX(节奏总纲!G31-'奖励（新）'!$E$2,0)</f>
        <v>0</v>
      </c>
      <c r="BA33" s="2">
        <f>SUMPRODUCT($F$5:$F$12,$H$5:$H$12,N$5:N$12)/7*MAX(节奏总纲!H31-'奖励（新）'!$E$2,0)</f>
        <v>0</v>
      </c>
      <c r="BE33" s="2">
        <v>28</v>
      </c>
      <c r="BF33" s="41" t="e">
        <f t="shared" si="2"/>
        <v>#DIV/0!</v>
      </c>
      <c r="BG33" s="41" t="e">
        <f t="shared" si="3"/>
        <v>#DIV/0!</v>
      </c>
      <c r="BH33" s="41" t="e">
        <f t="shared" si="4"/>
        <v>#DIV/0!</v>
      </c>
      <c r="BI33" s="41" t="e">
        <f t="shared" si="5"/>
        <v>#DIV/0!</v>
      </c>
      <c r="BJ33" s="41" t="e">
        <f t="shared" si="6"/>
        <v>#DIV/0!</v>
      </c>
      <c r="BK33" s="2">
        <f>(AW33-AL33)*'奖励（新）'!$D$17</f>
        <v>0</v>
      </c>
      <c r="BL33" s="2">
        <f>(AX33-AM33)*'奖励（新）'!$D$17</f>
        <v>0</v>
      </c>
      <c r="BM33" s="2">
        <f>(AY33-AN33)*'奖励（新）'!$D$17</f>
        <v>0</v>
      </c>
      <c r="BN33" s="2">
        <f>(AZ33-AO33)*'奖励（新）'!$D$17</f>
        <v>0</v>
      </c>
      <c r="BO33" s="2">
        <f>(BA33-AP33)*'奖励（新）'!$D$17</f>
        <v>0</v>
      </c>
    </row>
    <row r="34" spans="17:67" x14ac:dyDescent="0.2">
      <c r="Q34" s="2">
        <v>29</v>
      </c>
      <c r="R34" s="2">
        <f>$E$5*$F$5/7*MAX(节奏总纲!D32-$C$1,0)</f>
        <v>0</v>
      </c>
      <c r="S34" s="2">
        <f>$E$5*$F$5/7*MAX(节奏总纲!E32-$C$1,0)</f>
        <v>0</v>
      </c>
      <c r="T34" s="2">
        <f>$E$5*$F$5/7*MAX(节奏总纲!F32-$C$1,0)</f>
        <v>0</v>
      </c>
      <c r="U34" s="2">
        <f>$E$5*$F$5/7*MAX(节奏总纲!G32-$C$1,0)</f>
        <v>0</v>
      </c>
      <c r="V34" s="2">
        <f>$E$5*$F$5/7*MAX(节奏总纲!H32-$C$1,0)</f>
        <v>0</v>
      </c>
      <c r="W34" s="2">
        <f>$E$6*$F$6/7*MAX(节奏总纲!D32-$C$1,0)</f>
        <v>0</v>
      </c>
      <c r="X34" s="2">
        <f>$E$6*$F$6/7*MAX(节奏总纲!E32-$C$1,0)</f>
        <v>0</v>
      </c>
      <c r="Y34" s="2">
        <f>$E$6*$F$6/7*MAX(节奏总纲!F32-$C$1,0)</f>
        <v>0</v>
      </c>
      <c r="Z34" s="2">
        <f>$E$6*$F$6/7*MAX(节奏总纲!G32-$C$1,0)</f>
        <v>0</v>
      </c>
      <c r="AA34" s="2">
        <f>$E$6*$F$6/7*MAX(节奏总纲!H32-$C$1,0)</f>
        <v>0</v>
      </c>
      <c r="AB34" s="2">
        <f>($E$9*$F$9*3600+$E$10*$F$10*1200)/7*MAX(节奏总纲!D32-$C$1,0)</f>
        <v>0</v>
      </c>
      <c r="AC34" s="2">
        <f>($E$9*$F$9*3600+$E$10*$F$10*1200)/7*MAX(节奏总纲!E32-$C$1,0)</f>
        <v>0</v>
      </c>
      <c r="AD34" s="2">
        <f>($E$9*$F$9*3600+$E$10*$F$10*1200)/7*MAX(节奏总纲!F32-$C$1,0)</f>
        <v>0</v>
      </c>
      <c r="AE34" s="2">
        <f>($E$9*$F$9*3600+$E$10*$F$10*1200)/7*MAX(节奏总纲!G32-$C$1,0)</f>
        <v>0</v>
      </c>
      <c r="AF34" s="2">
        <f>($E$9*$F$9*3600+$E$10*$F$10*1200)/7*MAX(节奏总纲!H32-$C$1,0)</f>
        <v>0</v>
      </c>
      <c r="AK34" s="2">
        <v>29</v>
      </c>
      <c r="AL34" s="2">
        <f>'奖励（新）'!CT36</f>
        <v>0</v>
      </c>
      <c r="AM34" s="2">
        <f>'奖励（新）'!CU36</f>
        <v>0</v>
      </c>
      <c r="AN34" s="2">
        <f>'奖励（新）'!CV36</f>
        <v>0</v>
      </c>
      <c r="AO34" s="2">
        <f>'奖励（新）'!CW36</f>
        <v>0</v>
      </c>
      <c r="AP34" s="2">
        <f>'奖励（新）'!CX36</f>
        <v>0</v>
      </c>
      <c r="AV34" s="2">
        <v>29</v>
      </c>
      <c r="AW34" s="2">
        <f>SUMPRODUCT($F$5:$F$12,$H$5:$H$12,J$5:J$12)/7*MAX(节奏总纲!D32-'奖励（新）'!$E$2,0)</f>
        <v>0</v>
      </c>
      <c r="AX34" s="2">
        <f>SUMPRODUCT($F$5:$F$12,$H$5:$H$12,K$5:K$12)/7*MAX(节奏总纲!E32-'奖励（新）'!$E$2,0)</f>
        <v>0</v>
      </c>
      <c r="AY34" s="2">
        <f>SUMPRODUCT($F$5:$F$12,$H$5:$H$12,L$5:L$12)/7*MAX(节奏总纲!F32-'奖励（新）'!$E$2,0)</f>
        <v>0</v>
      </c>
      <c r="AZ34" s="2">
        <f>SUMPRODUCT($F$5:$F$12,$H$5:$H$12,M$5:M$12)/7*MAX(节奏总纲!G32-'奖励（新）'!$E$2,0)</f>
        <v>0</v>
      </c>
      <c r="BA34" s="2">
        <f>SUMPRODUCT($F$5:$F$12,$H$5:$H$12,N$5:N$12)/7*MAX(节奏总纲!H32-'奖励（新）'!$E$2,0)</f>
        <v>0</v>
      </c>
      <c r="BE34" s="2">
        <v>29</v>
      </c>
      <c r="BF34" s="41" t="e">
        <f t="shared" si="2"/>
        <v>#DIV/0!</v>
      </c>
      <c r="BG34" s="41" t="e">
        <f t="shared" si="3"/>
        <v>#DIV/0!</v>
      </c>
      <c r="BH34" s="41" t="e">
        <f t="shared" si="4"/>
        <v>#DIV/0!</v>
      </c>
      <c r="BI34" s="41" t="e">
        <f t="shared" si="5"/>
        <v>#DIV/0!</v>
      </c>
      <c r="BJ34" s="41" t="e">
        <f t="shared" si="6"/>
        <v>#DIV/0!</v>
      </c>
      <c r="BK34" s="2">
        <f>(AW34-AL34)*'奖励（新）'!$D$17</f>
        <v>0</v>
      </c>
      <c r="BL34" s="2">
        <f>(AX34-AM34)*'奖励（新）'!$D$17</f>
        <v>0</v>
      </c>
      <c r="BM34" s="2">
        <f>(AY34-AN34)*'奖励（新）'!$D$17</f>
        <v>0</v>
      </c>
      <c r="BN34" s="2">
        <f>(AZ34-AO34)*'奖励（新）'!$D$17</f>
        <v>0</v>
      </c>
      <c r="BO34" s="2">
        <f>(BA34-AP34)*'奖励（新）'!$D$17</f>
        <v>0</v>
      </c>
    </row>
    <row r="35" spans="17:67" x14ac:dyDescent="0.2">
      <c r="Q35" s="2">
        <v>30</v>
      </c>
      <c r="R35" s="2">
        <f>$E$5*$F$5/7*MAX(节奏总纲!D33-$C$1,0)</f>
        <v>0</v>
      </c>
      <c r="S35" s="2">
        <f>$E$5*$F$5/7*MAX(节奏总纲!E33-$C$1,0)</f>
        <v>0</v>
      </c>
      <c r="T35" s="2">
        <f>$E$5*$F$5/7*MAX(节奏总纲!F33-$C$1,0)</f>
        <v>0</v>
      </c>
      <c r="U35" s="2">
        <f>$E$5*$F$5/7*MAX(节奏总纲!G33-$C$1,0)</f>
        <v>0</v>
      </c>
      <c r="V35" s="2">
        <f>$E$5*$F$5/7*MAX(节奏总纲!H33-$C$1,0)</f>
        <v>0</v>
      </c>
      <c r="W35" s="2">
        <f>$E$6*$F$6/7*MAX(节奏总纲!D33-$C$1,0)</f>
        <v>0</v>
      </c>
      <c r="X35" s="2">
        <f>$E$6*$F$6/7*MAX(节奏总纲!E33-$C$1,0)</f>
        <v>0</v>
      </c>
      <c r="Y35" s="2">
        <f>$E$6*$F$6/7*MAX(节奏总纲!F33-$C$1,0)</f>
        <v>0</v>
      </c>
      <c r="Z35" s="2">
        <f>$E$6*$F$6/7*MAX(节奏总纲!G33-$C$1,0)</f>
        <v>0</v>
      </c>
      <c r="AA35" s="2">
        <f>$E$6*$F$6/7*MAX(节奏总纲!H33-$C$1,0)</f>
        <v>0</v>
      </c>
      <c r="AB35" s="2">
        <f>($E$9*$F$9*3600+$E$10*$F$10*1200)/7*MAX(节奏总纲!D33-$C$1,0)</f>
        <v>0</v>
      </c>
      <c r="AC35" s="2">
        <f>($E$9*$F$9*3600+$E$10*$F$10*1200)/7*MAX(节奏总纲!E33-$C$1,0)</f>
        <v>0</v>
      </c>
      <c r="AD35" s="2">
        <f>($E$9*$F$9*3600+$E$10*$F$10*1200)/7*MAX(节奏总纲!F33-$C$1,0)</f>
        <v>0</v>
      </c>
      <c r="AE35" s="2">
        <f>($E$9*$F$9*3600+$E$10*$F$10*1200)/7*MAX(节奏总纲!G33-$C$1,0)</f>
        <v>0</v>
      </c>
      <c r="AF35" s="2">
        <f>($E$9*$F$9*3600+$E$10*$F$10*1200)/7*MAX(节奏总纲!H33-$C$1,0)</f>
        <v>0</v>
      </c>
      <c r="AK35" s="2">
        <v>30</v>
      </c>
      <c r="AL35" s="2">
        <f>'奖励（新）'!CT37</f>
        <v>0</v>
      </c>
      <c r="AM35" s="2">
        <f>'奖励（新）'!CU37</f>
        <v>0</v>
      </c>
      <c r="AN35" s="2">
        <f>'奖励（新）'!CV37</f>
        <v>0</v>
      </c>
      <c r="AO35" s="2">
        <f>'奖励（新）'!CW37</f>
        <v>0</v>
      </c>
      <c r="AP35" s="2">
        <f>'奖励（新）'!CX37</f>
        <v>0</v>
      </c>
      <c r="AV35" s="2">
        <v>30</v>
      </c>
      <c r="AW35" s="2">
        <f>SUMPRODUCT($F$5:$F$12,$H$5:$H$12,J$5:J$12)/7*MAX(节奏总纲!D33-'奖励（新）'!$E$2,0)</f>
        <v>0</v>
      </c>
      <c r="AX35" s="2">
        <f>SUMPRODUCT($F$5:$F$12,$H$5:$H$12,K$5:K$12)/7*MAX(节奏总纲!E33-'奖励（新）'!$E$2,0)</f>
        <v>0</v>
      </c>
      <c r="AY35" s="2">
        <f>SUMPRODUCT($F$5:$F$12,$H$5:$H$12,L$5:L$12)/7*MAX(节奏总纲!F33-'奖励（新）'!$E$2,0)</f>
        <v>0</v>
      </c>
      <c r="AZ35" s="2">
        <f>SUMPRODUCT($F$5:$F$12,$H$5:$H$12,M$5:M$12)/7*MAX(节奏总纲!G33-'奖励（新）'!$E$2,0)</f>
        <v>0</v>
      </c>
      <c r="BA35" s="2">
        <f>SUMPRODUCT($F$5:$F$12,$H$5:$H$12,N$5:N$12)/7*MAX(节奏总纲!H33-'奖励（新）'!$E$2,0)</f>
        <v>0</v>
      </c>
      <c r="BE35" s="2">
        <v>30</v>
      </c>
      <c r="BF35" s="41" t="e">
        <f t="shared" si="2"/>
        <v>#DIV/0!</v>
      </c>
      <c r="BG35" s="41" t="e">
        <f t="shared" si="3"/>
        <v>#DIV/0!</v>
      </c>
      <c r="BH35" s="41" t="e">
        <f t="shared" si="4"/>
        <v>#DIV/0!</v>
      </c>
      <c r="BI35" s="41" t="e">
        <f t="shared" si="5"/>
        <v>#DIV/0!</v>
      </c>
      <c r="BJ35" s="41" t="e">
        <f t="shared" si="6"/>
        <v>#DIV/0!</v>
      </c>
      <c r="BK35" s="2">
        <f>(AW35-AL35)*'奖励（新）'!$D$17</f>
        <v>0</v>
      </c>
      <c r="BL35" s="2">
        <f>(AX35-AM35)*'奖励（新）'!$D$17</f>
        <v>0</v>
      </c>
      <c r="BM35" s="2">
        <f>(AY35-AN35)*'奖励（新）'!$D$17</f>
        <v>0</v>
      </c>
      <c r="BN35" s="2">
        <f>(AZ35-AO35)*'奖励（新）'!$D$17</f>
        <v>0</v>
      </c>
      <c r="BO35" s="2">
        <f>(BA35-AP35)*'奖励（新）'!$D$17</f>
        <v>0</v>
      </c>
    </row>
    <row r="36" spans="17:67" x14ac:dyDescent="0.2">
      <c r="Q36" s="2">
        <v>31</v>
      </c>
      <c r="R36" s="2">
        <f>$E$5*$F$5/7*MAX(节奏总纲!D34-$C$1,0)</f>
        <v>0</v>
      </c>
      <c r="S36" s="2">
        <f>$E$5*$F$5/7*MAX(节奏总纲!E34-$C$1,0)</f>
        <v>0</v>
      </c>
      <c r="T36" s="2">
        <f>$E$5*$F$5/7*MAX(节奏总纲!F34-$C$1,0)</f>
        <v>0</v>
      </c>
      <c r="U36" s="2">
        <f>$E$5*$F$5/7*MAX(节奏总纲!G34-$C$1,0)</f>
        <v>0</v>
      </c>
      <c r="V36" s="2">
        <f>$E$5*$F$5/7*MAX(节奏总纲!H34-$C$1,0)</f>
        <v>0</v>
      </c>
      <c r="W36" s="2">
        <f>$E$6*$F$6/7*MAX(节奏总纲!D34-$C$1,0)</f>
        <v>0</v>
      </c>
      <c r="X36" s="2">
        <f>$E$6*$F$6/7*MAX(节奏总纲!E34-$C$1,0)</f>
        <v>0</v>
      </c>
      <c r="Y36" s="2">
        <f>$E$6*$F$6/7*MAX(节奏总纲!F34-$C$1,0)</f>
        <v>0</v>
      </c>
      <c r="Z36" s="2">
        <f>$E$6*$F$6/7*MAX(节奏总纲!G34-$C$1,0)</f>
        <v>0</v>
      </c>
      <c r="AA36" s="2">
        <f>$E$6*$F$6/7*MAX(节奏总纲!H34-$C$1,0)</f>
        <v>0</v>
      </c>
      <c r="AB36" s="2">
        <f>($E$9*$F$9*3600+$E$10*$F$10*1200)/7*MAX(节奏总纲!D34-$C$1,0)</f>
        <v>0</v>
      </c>
      <c r="AC36" s="2">
        <f>($E$9*$F$9*3600+$E$10*$F$10*1200)/7*MAX(节奏总纲!E34-$C$1,0)</f>
        <v>0</v>
      </c>
      <c r="AD36" s="2">
        <f>($E$9*$F$9*3600+$E$10*$F$10*1200)/7*MAX(节奏总纲!F34-$C$1,0)</f>
        <v>0</v>
      </c>
      <c r="AE36" s="2">
        <f>($E$9*$F$9*3600+$E$10*$F$10*1200)/7*MAX(节奏总纲!G34-$C$1,0)</f>
        <v>0</v>
      </c>
      <c r="AF36" s="2">
        <f>($E$9*$F$9*3600+$E$10*$F$10*1200)/7*MAX(节奏总纲!H34-$C$1,0)</f>
        <v>0</v>
      </c>
      <c r="AK36" s="2">
        <v>31</v>
      </c>
      <c r="AL36" s="2">
        <f>'奖励（新）'!CT38</f>
        <v>0</v>
      </c>
      <c r="AM36" s="2">
        <f>'奖励（新）'!CU38</f>
        <v>0</v>
      </c>
      <c r="AN36" s="2">
        <f>'奖励（新）'!CV38</f>
        <v>0</v>
      </c>
      <c r="AO36" s="2">
        <f>'奖励（新）'!CW38</f>
        <v>0</v>
      </c>
      <c r="AP36" s="2">
        <f>'奖励（新）'!CX38</f>
        <v>0</v>
      </c>
      <c r="AV36" s="2">
        <v>31</v>
      </c>
      <c r="AW36" s="2">
        <f>SUMPRODUCT($F$5:$F$12,$H$5:$H$12,J$5:J$12)/7*MAX(节奏总纲!D34-'奖励（新）'!$E$2,0)</f>
        <v>0</v>
      </c>
      <c r="AX36" s="2">
        <f>SUMPRODUCT($F$5:$F$12,$H$5:$H$12,K$5:K$12)/7*MAX(节奏总纲!E34-'奖励（新）'!$E$2,0)</f>
        <v>0</v>
      </c>
      <c r="AY36" s="2">
        <f>SUMPRODUCT($F$5:$F$12,$H$5:$H$12,L$5:L$12)/7*MAX(节奏总纲!F34-'奖励（新）'!$E$2,0)</f>
        <v>0</v>
      </c>
      <c r="AZ36" s="2">
        <f>SUMPRODUCT($F$5:$F$12,$H$5:$H$12,M$5:M$12)/7*MAX(节奏总纲!G34-'奖励（新）'!$E$2,0)</f>
        <v>0</v>
      </c>
      <c r="BA36" s="2">
        <f>SUMPRODUCT($F$5:$F$12,$H$5:$H$12,N$5:N$12)/7*MAX(节奏总纲!H34-'奖励（新）'!$E$2,0)</f>
        <v>0</v>
      </c>
      <c r="BE36" s="2">
        <v>31</v>
      </c>
      <c r="BF36" s="41" t="e">
        <f t="shared" si="2"/>
        <v>#DIV/0!</v>
      </c>
      <c r="BG36" s="41" t="e">
        <f t="shared" si="3"/>
        <v>#DIV/0!</v>
      </c>
      <c r="BH36" s="41" t="e">
        <f t="shared" si="4"/>
        <v>#DIV/0!</v>
      </c>
      <c r="BI36" s="41" t="e">
        <f t="shared" si="5"/>
        <v>#DIV/0!</v>
      </c>
      <c r="BJ36" s="41" t="e">
        <f t="shared" si="6"/>
        <v>#DIV/0!</v>
      </c>
      <c r="BK36" s="2">
        <f>(AW36-AL36)*'奖励（新）'!$D$17</f>
        <v>0</v>
      </c>
      <c r="BL36" s="2">
        <f>(AX36-AM36)*'奖励（新）'!$D$17</f>
        <v>0</v>
      </c>
      <c r="BM36" s="2">
        <f>(AY36-AN36)*'奖励（新）'!$D$17</f>
        <v>0</v>
      </c>
      <c r="BN36" s="2">
        <f>(AZ36-AO36)*'奖励（新）'!$D$17</f>
        <v>0</v>
      </c>
      <c r="BO36" s="2">
        <f>(BA36-AP36)*'奖励（新）'!$D$17</f>
        <v>0</v>
      </c>
    </row>
    <row r="37" spans="17:67" x14ac:dyDescent="0.2">
      <c r="Q37" s="2">
        <v>32</v>
      </c>
      <c r="R37" s="2">
        <f>$E$5*$F$5/7*MAX(节奏总纲!D35-$C$1,0)</f>
        <v>0</v>
      </c>
      <c r="S37" s="2">
        <f>$E$5*$F$5/7*MAX(节奏总纲!E35-$C$1,0)</f>
        <v>0</v>
      </c>
      <c r="T37" s="2">
        <f>$E$5*$F$5/7*MAX(节奏总纲!F35-$C$1,0)</f>
        <v>0</v>
      </c>
      <c r="U37" s="2">
        <f>$E$5*$F$5/7*MAX(节奏总纲!G35-$C$1,0)</f>
        <v>0</v>
      </c>
      <c r="V37" s="2">
        <f>$E$5*$F$5/7*MAX(节奏总纲!H35-$C$1,0)</f>
        <v>0</v>
      </c>
      <c r="W37" s="2">
        <f>$E$6*$F$6/7*MAX(节奏总纲!D35-$C$1,0)</f>
        <v>0</v>
      </c>
      <c r="X37" s="2">
        <f>$E$6*$F$6/7*MAX(节奏总纲!E35-$C$1,0)</f>
        <v>0</v>
      </c>
      <c r="Y37" s="2">
        <f>$E$6*$F$6/7*MAX(节奏总纲!F35-$C$1,0)</f>
        <v>0</v>
      </c>
      <c r="Z37" s="2">
        <f>$E$6*$F$6/7*MAX(节奏总纲!G35-$C$1,0)</f>
        <v>0</v>
      </c>
      <c r="AA37" s="2">
        <f>$E$6*$F$6/7*MAX(节奏总纲!H35-$C$1,0)</f>
        <v>0</v>
      </c>
      <c r="AB37" s="2">
        <f>($E$9*$F$9*3600+$E$10*$F$10*1200)/7*MAX(节奏总纲!D35-$C$1,0)</f>
        <v>0</v>
      </c>
      <c r="AC37" s="2">
        <f>($E$9*$F$9*3600+$E$10*$F$10*1200)/7*MAX(节奏总纲!E35-$C$1,0)</f>
        <v>0</v>
      </c>
      <c r="AD37" s="2">
        <f>($E$9*$F$9*3600+$E$10*$F$10*1200)/7*MAX(节奏总纲!F35-$C$1,0)</f>
        <v>0</v>
      </c>
      <c r="AE37" s="2">
        <f>($E$9*$F$9*3600+$E$10*$F$10*1200)/7*MAX(节奏总纲!G35-$C$1,0)</f>
        <v>0</v>
      </c>
      <c r="AF37" s="2">
        <f>($E$9*$F$9*3600+$E$10*$F$10*1200)/7*MAX(节奏总纲!H35-$C$1,0)</f>
        <v>0</v>
      </c>
      <c r="AK37" s="2">
        <v>32</v>
      </c>
      <c r="AL37" s="2">
        <f>'奖励（新）'!CT39</f>
        <v>0</v>
      </c>
      <c r="AM37" s="2">
        <f>'奖励（新）'!CU39</f>
        <v>0</v>
      </c>
      <c r="AN37" s="2">
        <f>'奖励（新）'!CV39</f>
        <v>0</v>
      </c>
      <c r="AO37" s="2">
        <f>'奖励（新）'!CW39</f>
        <v>0</v>
      </c>
      <c r="AP37" s="2">
        <f>'奖励（新）'!CX39</f>
        <v>0</v>
      </c>
      <c r="AV37" s="2">
        <v>32</v>
      </c>
      <c r="AW37" s="2">
        <f>SUMPRODUCT($F$5:$F$12,$H$5:$H$12,J$5:J$12)/7*MAX(节奏总纲!D35-'奖励（新）'!$E$2,0)</f>
        <v>0</v>
      </c>
      <c r="AX37" s="2">
        <f>SUMPRODUCT($F$5:$F$12,$H$5:$H$12,K$5:K$12)/7*MAX(节奏总纲!E35-'奖励（新）'!$E$2,0)</f>
        <v>0</v>
      </c>
      <c r="AY37" s="2">
        <f>SUMPRODUCT($F$5:$F$12,$H$5:$H$12,L$5:L$12)/7*MAX(节奏总纲!F35-'奖励（新）'!$E$2,0)</f>
        <v>0</v>
      </c>
      <c r="AZ37" s="2">
        <f>SUMPRODUCT($F$5:$F$12,$H$5:$H$12,M$5:M$12)/7*MAX(节奏总纲!G35-'奖励（新）'!$E$2,0)</f>
        <v>0</v>
      </c>
      <c r="BA37" s="2">
        <f>SUMPRODUCT($F$5:$F$12,$H$5:$H$12,N$5:N$12)/7*MAX(节奏总纲!H35-'奖励（新）'!$E$2,0)</f>
        <v>0</v>
      </c>
      <c r="BE37" s="2">
        <v>32</v>
      </c>
      <c r="BF37" s="41" t="e">
        <f t="shared" si="2"/>
        <v>#DIV/0!</v>
      </c>
      <c r="BG37" s="41" t="e">
        <f t="shared" si="3"/>
        <v>#DIV/0!</v>
      </c>
      <c r="BH37" s="41" t="e">
        <f t="shared" si="4"/>
        <v>#DIV/0!</v>
      </c>
      <c r="BI37" s="41" t="e">
        <f t="shared" si="5"/>
        <v>#DIV/0!</v>
      </c>
      <c r="BJ37" s="41" t="e">
        <f t="shared" si="6"/>
        <v>#DIV/0!</v>
      </c>
      <c r="BK37" s="2">
        <f>(AW37-AL37)*'奖励（新）'!$D$17</f>
        <v>0</v>
      </c>
      <c r="BL37" s="2">
        <f>(AX37-AM37)*'奖励（新）'!$D$17</f>
        <v>0</v>
      </c>
      <c r="BM37" s="2">
        <f>(AY37-AN37)*'奖励（新）'!$D$17</f>
        <v>0</v>
      </c>
      <c r="BN37" s="2">
        <f>(AZ37-AO37)*'奖励（新）'!$D$17</f>
        <v>0</v>
      </c>
      <c r="BO37" s="2">
        <f>(BA37-AP37)*'奖励（新）'!$D$17</f>
        <v>0</v>
      </c>
    </row>
    <row r="38" spans="17:67" x14ac:dyDescent="0.2">
      <c r="Q38" s="2">
        <v>33</v>
      </c>
      <c r="R38" s="2">
        <f>$E$5*$F$5/7*MAX(节奏总纲!D36-$C$1,0)</f>
        <v>0</v>
      </c>
      <c r="S38" s="2">
        <f>$E$5*$F$5/7*MAX(节奏总纲!E36-$C$1,0)</f>
        <v>0</v>
      </c>
      <c r="T38" s="2">
        <f>$E$5*$F$5/7*MAX(节奏总纲!F36-$C$1,0)</f>
        <v>0</v>
      </c>
      <c r="U38" s="2">
        <f>$E$5*$F$5/7*MAX(节奏总纲!G36-$C$1,0)</f>
        <v>0</v>
      </c>
      <c r="V38" s="2">
        <f>$E$5*$F$5/7*MAX(节奏总纲!H36-$C$1,0)</f>
        <v>0</v>
      </c>
      <c r="W38" s="2">
        <f>$E$6*$F$6/7*MAX(节奏总纲!D36-$C$1,0)</f>
        <v>0</v>
      </c>
      <c r="X38" s="2">
        <f>$E$6*$F$6/7*MAX(节奏总纲!E36-$C$1,0)</f>
        <v>0</v>
      </c>
      <c r="Y38" s="2">
        <f>$E$6*$F$6/7*MAX(节奏总纲!F36-$C$1,0)</f>
        <v>0</v>
      </c>
      <c r="Z38" s="2">
        <f>$E$6*$F$6/7*MAX(节奏总纲!G36-$C$1,0)</f>
        <v>0</v>
      </c>
      <c r="AA38" s="2">
        <f>$E$6*$F$6/7*MAX(节奏总纲!H36-$C$1,0)</f>
        <v>0</v>
      </c>
      <c r="AB38" s="2">
        <f>($E$9*$F$9*3600+$E$10*$F$10*1200)/7*MAX(节奏总纲!D36-$C$1,0)</f>
        <v>0</v>
      </c>
      <c r="AC38" s="2">
        <f>($E$9*$F$9*3600+$E$10*$F$10*1200)/7*MAX(节奏总纲!E36-$C$1,0)</f>
        <v>0</v>
      </c>
      <c r="AD38" s="2">
        <f>($E$9*$F$9*3600+$E$10*$F$10*1200)/7*MAX(节奏总纲!F36-$C$1,0)</f>
        <v>0</v>
      </c>
      <c r="AE38" s="2">
        <f>($E$9*$F$9*3600+$E$10*$F$10*1200)/7*MAX(节奏总纲!G36-$C$1,0)</f>
        <v>0</v>
      </c>
      <c r="AF38" s="2">
        <f>($E$9*$F$9*3600+$E$10*$F$10*1200)/7*MAX(节奏总纲!H36-$C$1,0)</f>
        <v>0</v>
      </c>
      <c r="AK38" s="2">
        <v>33</v>
      </c>
      <c r="AL38" s="2">
        <f>'奖励（新）'!CT40</f>
        <v>0</v>
      </c>
      <c r="AM38" s="2">
        <f>'奖励（新）'!CU40</f>
        <v>0</v>
      </c>
      <c r="AN38" s="2">
        <f>'奖励（新）'!CV40</f>
        <v>0</v>
      </c>
      <c r="AO38" s="2">
        <f>'奖励（新）'!CW40</f>
        <v>0</v>
      </c>
      <c r="AP38" s="2">
        <f>'奖励（新）'!CX40</f>
        <v>0</v>
      </c>
      <c r="AV38" s="2">
        <v>33</v>
      </c>
      <c r="AW38" s="2">
        <f>SUMPRODUCT($F$5:$F$12,$H$5:$H$12,J$5:J$12)/7*MAX(节奏总纲!D36-'奖励（新）'!$E$2,0)</f>
        <v>0</v>
      </c>
      <c r="AX38" s="2">
        <f>SUMPRODUCT($F$5:$F$12,$H$5:$H$12,K$5:K$12)/7*MAX(节奏总纲!E36-'奖励（新）'!$E$2,0)</f>
        <v>0</v>
      </c>
      <c r="AY38" s="2">
        <f>SUMPRODUCT($F$5:$F$12,$H$5:$H$12,L$5:L$12)/7*MAX(节奏总纲!F36-'奖励（新）'!$E$2,0)</f>
        <v>0</v>
      </c>
      <c r="AZ38" s="2">
        <f>SUMPRODUCT($F$5:$F$12,$H$5:$H$12,M$5:M$12)/7*MAX(节奏总纲!G36-'奖励（新）'!$E$2,0)</f>
        <v>0</v>
      </c>
      <c r="BA38" s="2">
        <f>SUMPRODUCT($F$5:$F$12,$H$5:$H$12,N$5:N$12)/7*MAX(节奏总纲!H36-'奖励（新）'!$E$2,0)</f>
        <v>0</v>
      </c>
      <c r="BE38" s="2">
        <v>33</v>
      </c>
      <c r="BF38" s="41" t="e">
        <f t="shared" si="2"/>
        <v>#DIV/0!</v>
      </c>
      <c r="BG38" s="41" t="e">
        <f t="shared" si="3"/>
        <v>#DIV/0!</v>
      </c>
      <c r="BH38" s="41" t="e">
        <f t="shared" si="4"/>
        <v>#DIV/0!</v>
      </c>
      <c r="BI38" s="41" t="e">
        <f t="shared" si="5"/>
        <v>#DIV/0!</v>
      </c>
      <c r="BJ38" s="41" t="e">
        <f t="shared" si="6"/>
        <v>#DIV/0!</v>
      </c>
      <c r="BK38" s="2">
        <f>(AW38-AL38)*'奖励（新）'!$D$17</f>
        <v>0</v>
      </c>
      <c r="BL38" s="2">
        <f>(AX38-AM38)*'奖励（新）'!$D$17</f>
        <v>0</v>
      </c>
      <c r="BM38" s="2">
        <f>(AY38-AN38)*'奖励（新）'!$D$17</f>
        <v>0</v>
      </c>
      <c r="BN38" s="2">
        <f>(AZ38-AO38)*'奖励（新）'!$D$17</f>
        <v>0</v>
      </c>
      <c r="BO38" s="2">
        <f>(BA38-AP38)*'奖励（新）'!$D$17</f>
        <v>0</v>
      </c>
    </row>
    <row r="39" spans="17:67" x14ac:dyDescent="0.2">
      <c r="Q39" s="2">
        <v>34</v>
      </c>
      <c r="R39" s="2">
        <f>$E$5*$F$5/7*MAX(节奏总纲!D37-$C$1,0)</f>
        <v>0</v>
      </c>
      <c r="S39" s="2">
        <f>$E$5*$F$5/7*MAX(节奏总纲!E37-$C$1,0)</f>
        <v>0</v>
      </c>
      <c r="T39" s="2">
        <f>$E$5*$F$5/7*MAX(节奏总纲!F37-$C$1,0)</f>
        <v>0</v>
      </c>
      <c r="U39" s="2">
        <f>$E$5*$F$5/7*MAX(节奏总纲!G37-$C$1,0)</f>
        <v>0</v>
      </c>
      <c r="V39" s="2">
        <f>$E$5*$F$5/7*MAX(节奏总纲!H37-$C$1,0)</f>
        <v>0</v>
      </c>
      <c r="W39" s="2">
        <f>$E$6*$F$6/7*MAX(节奏总纲!D37-$C$1,0)</f>
        <v>0</v>
      </c>
      <c r="X39" s="2">
        <f>$E$6*$F$6/7*MAX(节奏总纲!E37-$C$1,0)</f>
        <v>0</v>
      </c>
      <c r="Y39" s="2">
        <f>$E$6*$F$6/7*MAX(节奏总纲!F37-$C$1,0)</f>
        <v>0</v>
      </c>
      <c r="Z39" s="2">
        <f>$E$6*$F$6/7*MAX(节奏总纲!G37-$C$1,0)</f>
        <v>0</v>
      </c>
      <c r="AA39" s="2">
        <f>$E$6*$F$6/7*MAX(节奏总纲!H37-$C$1,0)</f>
        <v>0</v>
      </c>
      <c r="AB39" s="2">
        <f>($E$9*$F$9*3600+$E$10*$F$10*1200)/7*MAX(节奏总纲!D37-$C$1,0)</f>
        <v>0</v>
      </c>
      <c r="AC39" s="2">
        <f>($E$9*$F$9*3600+$E$10*$F$10*1200)/7*MAX(节奏总纲!E37-$C$1,0)</f>
        <v>0</v>
      </c>
      <c r="AD39" s="2">
        <f>($E$9*$F$9*3600+$E$10*$F$10*1200)/7*MAX(节奏总纲!F37-$C$1,0)</f>
        <v>0</v>
      </c>
      <c r="AE39" s="2">
        <f>($E$9*$F$9*3600+$E$10*$F$10*1200)/7*MAX(节奏总纲!G37-$C$1,0)</f>
        <v>0</v>
      </c>
      <c r="AF39" s="2">
        <f>($E$9*$F$9*3600+$E$10*$F$10*1200)/7*MAX(节奏总纲!H37-$C$1,0)</f>
        <v>0</v>
      </c>
      <c r="AK39" s="2">
        <v>34</v>
      </c>
      <c r="AL39" s="2">
        <f>'奖励（新）'!CT41</f>
        <v>0</v>
      </c>
      <c r="AM39" s="2">
        <f>'奖励（新）'!CU41</f>
        <v>0</v>
      </c>
      <c r="AN39" s="2">
        <f>'奖励（新）'!CV41</f>
        <v>0</v>
      </c>
      <c r="AO39" s="2">
        <f>'奖励（新）'!CW41</f>
        <v>0</v>
      </c>
      <c r="AP39" s="2">
        <f>'奖励（新）'!CX41</f>
        <v>0</v>
      </c>
      <c r="AV39" s="2">
        <v>34</v>
      </c>
      <c r="AW39" s="2">
        <f>SUMPRODUCT($F$5:$F$12,$H$5:$H$12,J$5:J$12)/7*MAX(节奏总纲!D37-'奖励（新）'!$E$2,0)</f>
        <v>0</v>
      </c>
      <c r="AX39" s="2">
        <f>SUMPRODUCT($F$5:$F$12,$H$5:$H$12,K$5:K$12)/7*MAX(节奏总纲!E37-'奖励（新）'!$E$2,0)</f>
        <v>0</v>
      </c>
      <c r="AY39" s="2">
        <f>SUMPRODUCT($F$5:$F$12,$H$5:$H$12,L$5:L$12)/7*MAX(节奏总纲!F37-'奖励（新）'!$E$2,0)</f>
        <v>0</v>
      </c>
      <c r="AZ39" s="2">
        <f>SUMPRODUCT($F$5:$F$12,$H$5:$H$12,M$5:M$12)/7*MAX(节奏总纲!G37-'奖励（新）'!$E$2,0)</f>
        <v>0</v>
      </c>
      <c r="BA39" s="2">
        <f>SUMPRODUCT($F$5:$F$12,$H$5:$H$12,N$5:N$12)/7*MAX(节奏总纲!H37-'奖励（新）'!$E$2,0)</f>
        <v>0</v>
      </c>
      <c r="BE39" s="2">
        <v>34</v>
      </c>
      <c r="BF39" s="41" t="e">
        <f t="shared" si="2"/>
        <v>#DIV/0!</v>
      </c>
      <c r="BG39" s="41" t="e">
        <f t="shared" si="3"/>
        <v>#DIV/0!</v>
      </c>
      <c r="BH39" s="41" t="e">
        <f t="shared" si="4"/>
        <v>#DIV/0!</v>
      </c>
      <c r="BI39" s="41" t="e">
        <f t="shared" si="5"/>
        <v>#DIV/0!</v>
      </c>
      <c r="BJ39" s="41" t="e">
        <f t="shared" si="6"/>
        <v>#DIV/0!</v>
      </c>
      <c r="BK39" s="2">
        <f>(AW39-AL39)*'奖励（新）'!$D$17</f>
        <v>0</v>
      </c>
      <c r="BL39" s="2">
        <f>(AX39-AM39)*'奖励（新）'!$D$17</f>
        <v>0</v>
      </c>
      <c r="BM39" s="2">
        <f>(AY39-AN39)*'奖励（新）'!$D$17</f>
        <v>0</v>
      </c>
      <c r="BN39" s="2">
        <f>(AZ39-AO39)*'奖励（新）'!$D$17</f>
        <v>0</v>
      </c>
      <c r="BO39" s="2">
        <f>(BA39-AP39)*'奖励（新）'!$D$17</f>
        <v>0</v>
      </c>
    </row>
    <row r="40" spans="17:67" x14ac:dyDescent="0.2">
      <c r="Q40" s="2">
        <v>35</v>
      </c>
      <c r="R40" s="2">
        <f>$E$5*$F$5/7*MAX(节奏总纲!D38-$C$1,0)</f>
        <v>0</v>
      </c>
      <c r="S40" s="2">
        <f>$E$5*$F$5/7*MAX(节奏总纲!E38-$C$1,0)</f>
        <v>0</v>
      </c>
      <c r="T40" s="2">
        <f>$E$5*$F$5/7*MAX(节奏总纲!F38-$C$1,0)</f>
        <v>0</v>
      </c>
      <c r="U40" s="2">
        <f>$E$5*$F$5/7*MAX(节奏总纲!G38-$C$1,0)</f>
        <v>0</v>
      </c>
      <c r="V40" s="2">
        <f>$E$5*$F$5/7*MAX(节奏总纲!H38-$C$1,0)</f>
        <v>0</v>
      </c>
      <c r="W40" s="2">
        <f>$E$6*$F$6/7*MAX(节奏总纲!D38-$C$1,0)</f>
        <v>0</v>
      </c>
      <c r="X40" s="2">
        <f>$E$6*$F$6/7*MAX(节奏总纲!E38-$C$1,0)</f>
        <v>0</v>
      </c>
      <c r="Y40" s="2">
        <f>$E$6*$F$6/7*MAX(节奏总纲!F38-$C$1,0)</f>
        <v>0</v>
      </c>
      <c r="Z40" s="2">
        <f>$E$6*$F$6/7*MAX(节奏总纲!G38-$C$1,0)</f>
        <v>0</v>
      </c>
      <c r="AA40" s="2">
        <f>$E$6*$F$6/7*MAX(节奏总纲!H38-$C$1,0)</f>
        <v>0</v>
      </c>
      <c r="AB40" s="2">
        <f>($E$9*$F$9*3600+$E$10*$F$10*1200)/7*MAX(节奏总纲!D38-$C$1,0)</f>
        <v>0</v>
      </c>
      <c r="AC40" s="2">
        <f>($E$9*$F$9*3600+$E$10*$F$10*1200)/7*MAX(节奏总纲!E38-$C$1,0)</f>
        <v>0</v>
      </c>
      <c r="AD40" s="2">
        <f>($E$9*$F$9*3600+$E$10*$F$10*1200)/7*MAX(节奏总纲!F38-$C$1,0)</f>
        <v>0</v>
      </c>
      <c r="AE40" s="2">
        <f>($E$9*$F$9*3600+$E$10*$F$10*1200)/7*MAX(节奏总纲!G38-$C$1,0)</f>
        <v>0</v>
      </c>
      <c r="AF40" s="2">
        <f>($E$9*$F$9*3600+$E$10*$F$10*1200)/7*MAX(节奏总纲!H38-$C$1,0)</f>
        <v>0</v>
      </c>
      <c r="AK40" s="2">
        <v>35</v>
      </c>
      <c r="AL40" s="2">
        <f>'奖励（新）'!CT42</f>
        <v>0</v>
      </c>
      <c r="AM40" s="2">
        <f>'奖励（新）'!CU42</f>
        <v>0</v>
      </c>
      <c r="AN40" s="2">
        <f>'奖励（新）'!CV42</f>
        <v>0</v>
      </c>
      <c r="AO40" s="2">
        <f>'奖励（新）'!CW42</f>
        <v>0</v>
      </c>
      <c r="AP40" s="2">
        <f>'奖励（新）'!CX42</f>
        <v>0</v>
      </c>
      <c r="AV40" s="2">
        <v>35</v>
      </c>
      <c r="AW40" s="2">
        <f>SUMPRODUCT($F$5:$F$12,$H$5:$H$12,J$5:J$12)/7*MAX(节奏总纲!D38-'奖励（新）'!$E$2,0)</f>
        <v>0</v>
      </c>
      <c r="AX40" s="2">
        <f>SUMPRODUCT($F$5:$F$12,$H$5:$H$12,K$5:K$12)/7*MAX(节奏总纲!E38-'奖励（新）'!$E$2,0)</f>
        <v>0</v>
      </c>
      <c r="AY40" s="2">
        <f>SUMPRODUCT($F$5:$F$12,$H$5:$H$12,L$5:L$12)/7*MAX(节奏总纲!F38-'奖励（新）'!$E$2,0)</f>
        <v>0</v>
      </c>
      <c r="AZ40" s="2">
        <f>SUMPRODUCT($F$5:$F$12,$H$5:$H$12,M$5:M$12)/7*MAX(节奏总纲!G38-'奖励（新）'!$E$2,0)</f>
        <v>0</v>
      </c>
      <c r="BA40" s="2">
        <f>SUMPRODUCT($F$5:$F$12,$H$5:$H$12,N$5:N$12)/7*MAX(节奏总纲!H38-'奖励（新）'!$E$2,0)</f>
        <v>0</v>
      </c>
      <c r="BE40" s="2">
        <v>35</v>
      </c>
      <c r="BF40" s="41" t="e">
        <f t="shared" si="2"/>
        <v>#DIV/0!</v>
      </c>
      <c r="BG40" s="41" t="e">
        <f t="shared" si="3"/>
        <v>#DIV/0!</v>
      </c>
      <c r="BH40" s="41" t="e">
        <f t="shared" si="4"/>
        <v>#DIV/0!</v>
      </c>
      <c r="BI40" s="41" t="e">
        <f t="shared" si="5"/>
        <v>#DIV/0!</v>
      </c>
      <c r="BJ40" s="41" t="e">
        <f t="shared" si="6"/>
        <v>#DIV/0!</v>
      </c>
      <c r="BK40" s="2">
        <f>(AW40-AL40)*'奖励（新）'!$D$17</f>
        <v>0</v>
      </c>
      <c r="BL40" s="2">
        <f>(AX40-AM40)*'奖励（新）'!$D$17</f>
        <v>0</v>
      </c>
      <c r="BM40" s="2">
        <f>(AY40-AN40)*'奖励（新）'!$D$17</f>
        <v>0</v>
      </c>
      <c r="BN40" s="2">
        <f>(AZ40-AO40)*'奖励（新）'!$D$17</f>
        <v>0</v>
      </c>
      <c r="BO40" s="2">
        <f>(BA40-AP40)*'奖励（新）'!$D$17</f>
        <v>0</v>
      </c>
    </row>
    <row r="41" spans="17:67" x14ac:dyDescent="0.2">
      <c r="Q41" s="2">
        <v>36</v>
      </c>
      <c r="R41" s="2">
        <f>$E$5*$F$5/7*MAX(节奏总纲!D39-$C$1,0)</f>
        <v>0</v>
      </c>
      <c r="S41" s="2">
        <f>$E$5*$F$5/7*MAX(节奏总纲!E39-$C$1,0)</f>
        <v>0</v>
      </c>
      <c r="T41" s="2">
        <f>$E$5*$F$5/7*MAX(节奏总纲!F39-$C$1,0)</f>
        <v>0</v>
      </c>
      <c r="U41" s="2">
        <f>$E$5*$F$5/7*MAX(节奏总纲!G39-$C$1,0)</f>
        <v>0</v>
      </c>
      <c r="V41" s="2">
        <f>$E$5*$F$5/7*MAX(节奏总纲!H39-$C$1,0)</f>
        <v>0</v>
      </c>
      <c r="W41" s="2">
        <f>$E$6*$F$6/7*MAX(节奏总纲!D39-$C$1,0)</f>
        <v>0</v>
      </c>
      <c r="X41" s="2">
        <f>$E$6*$F$6/7*MAX(节奏总纲!E39-$C$1,0)</f>
        <v>0</v>
      </c>
      <c r="Y41" s="2">
        <f>$E$6*$F$6/7*MAX(节奏总纲!F39-$C$1,0)</f>
        <v>0</v>
      </c>
      <c r="Z41" s="2">
        <f>$E$6*$F$6/7*MAX(节奏总纲!G39-$C$1,0)</f>
        <v>0</v>
      </c>
      <c r="AA41" s="2">
        <f>$E$6*$F$6/7*MAX(节奏总纲!H39-$C$1,0)</f>
        <v>0</v>
      </c>
      <c r="AB41" s="2">
        <f>($E$9*$F$9*3600+$E$10*$F$10*1200)/7*MAX(节奏总纲!D39-$C$1,0)</f>
        <v>0</v>
      </c>
      <c r="AC41" s="2">
        <f>($E$9*$F$9*3600+$E$10*$F$10*1200)/7*MAX(节奏总纲!E39-$C$1,0)</f>
        <v>0</v>
      </c>
      <c r="AD41" s="2">
        <f>($E$9*$F$9*3600+$E$10*$F$10*1200)/7*MAX(节奏总纲!F39-$C$1,0)</f>
        <v>0</v>
      </c>
      <c r="AE41" s="2">
        <f>($E$9*$F$9*3600+$E$10*$F$10*1200)/7*MAX(节奏总纲!G39-$C$1,0)</f>
        <v>0</v>
      </c>
      <c r="AF41" s="2">
        <f>($E$9*$F$9*3600+$E$10*$F$10*1200)/7*MAX(节奏总纲!H39-$C$1,0)</f>
        <v>0</v>
      </c>
      <c r="AK41" s="2">
        <v>36</v>
      </c>
      <c r="AL41" s="2">
        <f>'奖励（新）'!CT43</f>
        <v>0</v>
      </c>
      <c r="AM41" s="2">
        <f>'奖励（新）'!CU43</f>
        <v>0</v>
      </c>
      <c r="AN41" s="2">
        <f>'奖励（新）'!CV43</f>
        <v>0</v>
      </c>
      <c r="AO41" s="2">
        <f>'奖励（新）'!CW43</f>
        <v>0</v>
      </c>
      <c r="AP41" s="2">
        <f>'奖励（新）'!CX43</f>
        <v>0</v>
      </c>
      <c r="AV41" s="2">
        <v>36</v>
      </c>
      <c r="AW41" s="2">
        <f>SUMPRODUCT($F$5:$F$12,$H$5:$H$12,J$5:J$12)/7*MAX(节奏总纲!D39-'奖励（新）'!$E$2,0)</f>
        <v>0</v>
      </c>
      <c r="AX41" s="2">
        <f>SUMPRODUCT($F$5:$F$12,$H$5:$H$12,K$5:K$12)/7*MAX(节奏总纲!E39-'奖励（新）'!$E$2,0)</f>
        <v>0</v>
      </c>
      <c r="AY41" s="2">
        <f>SUMPRODUCT($F$5:$F$12,$H$5:$H$12,L$5:L$12)/7*MAX(节奏总纲!F39-'奖励（新）'!$E$2,0)</f>
        <v>0</v>
      </c>
      <c r="AZ41" s="2">
        <f>SUMPRODUCT($F$5:$F$12,$H$5:$H$12,M$5:M$12)/7*MAX(节奏总纲!G39-'奖励（新）'!$E$2,0)</f>
        <v>0</v>
      </c>
      <c r="BA41" s="2">
        <f>SUMPRODUCT($F$5:$F$12,$H$5:$H$12,N$5:N$12)/7*MAX(节奏总纲!H39-'奖励（新）'!$E$2,0)</f>
        <v>0</v>
      </c>
      <c r="BE41" s="2">
        <v>36</v>
      </c>
      <c r="BF41" s="41" t="e">
        <f t="shared" si="2"/>
        <v>#DIV/0!</v>
      </c>
      <c r="BG41" s="41" t="e">
        <f t="shared" si="3"/>
        <v>#DIV/0!</v>
      </c>
      <c r="BH41" s="41" t="e">
        <f t="shared" si="4"/>
        <v>#DIV/0!</v>
      </c>
      <c r="BI41" s="41" t="e">
        <f t="shared" si="5"/>
        <v>#DIV/0!</v>
      </c>
      <c r="BJ41" s="41" t="e">
        <f t="shared" si="6"/>
        <v>#DIV/0!</v>
      </c>
      <c r="BK41" s="2">
        <f>(AW41-AL41)*'奖励（新）'!$D$17</f>
        <v>0</v>
      </c>
      <c r="BL41" s="2">
        <f>(AX41-AM41)*'奖励（新）'!$D$17</f>
        <v>0</v>
      </c>
      <c r="BM41" s="2">
        <f>(AY41-AN41)*'奖励（新）'!$D$17</f>
        <v>0</v>
      </c>
      <c r="BN41" s="2">
        <f>(AZ41-AO41)*'奖励（新）'!$D$17</f>
        <v>0</v>
      </c>
      <c r="BO41" s="2">
        <f>(BA41-AP41)*'奖励（新）'!$D$17</f>
        <v>0</v>
      </c>
    </row>
    <row r="42" spans="17:67" x14ac:dyDescent="0.2">
      <c r="Q42" s="2">
        <v>37</v>
      </c>
      <c r="R42" s="2">
        <f>$E$5*$F$5/7*MAX(节奏总纲!D40-$C$1,0)</f>
        <v>0</v>
      </c>
      <c r="S42" s="2">
        <f>$E$5*$F$5/7*MAX(节奏总纲!E40-$C$1,0)</f>
        <v>0</v>
      </c>
      <c r="T42" s="2">
        <f>$E$5*$F$5/7*MAX(节奏总纲!F40-$C$1,0)</f>
        <v>0</v>
      </c>
      <c r="U42" s="2">
        <f>$E$5*$F$5/7*MAX(节奏总纲!G40-$C$1,0)</f>
        <v>0</v>
      </c>
      <c r="V42" s="2">
        <f>$E$5*$F$5/7*MAX(节奏总纲!H40-$C$1,0)</f>
        <v>0</v>
      </c>
      <c r="W42" s="2">
        <f>$E$6*$F$6/7*MAX(节奏总纲!D40-$C$1,0)</f>
        <v>0</v>
      </c>
      <c r="X42" s="2">
        <f>$E$6*$F$6/7*MAX(节奏总纲!E40-$C$1,0)</f>
        <v>0</v>
      </c>
      <c r="Y42" s="2">
        <f>$E$6*$F$6/7*MAX(节奏总纲!F40-$C$1,0)</f>
        <v>0</v>
      </c>
      <c r="Z42" s="2">
        <f>$E$6*$F$6/7*MAX(节奏总纲!G40-$C$1,0)</f>
        <v>0</v>
      </c>
      <c r="AA42" s="2">
        <f>$E$6*$F$6/7*MAX(节奏总纲!H40-$C$1,0)</f>
        <v>0</v>
      </c>
      <c r="AB42" s="2">
        <f>($E$9*$F$9*3600+$E$10*$F$10*1200)/7*MAX(节奏总纲!D40-$C$1,0)</f>
        <v>0</v>
      </c>
      <c r="AC42" s="2">
        <f>($E$9*$F$9*3600+$E$10*$F$10*1200)/7*MAX(节奏总纲!E40-$C$1,0)</f>
        <v>0</v>
      </c>
      <c r="AD42" s="2">
        <f>($E$9*$F$9*3600+$E$10*$F$10*1200)/7*MAX(节奏总纲!F40-$C$1,0)</f>
        <v>0</v>
      </c>
      <c r="AE42" s="2">
        <f>($E$9*$F$9*3600+$E$10*$F$10*1200)/7*MAX(节奏总纲!G40-$C$1,0)</f>
        <v>0</v>
      </c>
      <c r="AF42" s="2">
        <f>($E$9*$F$9*3600+$E$10*$F$10*1200)/7*MAX(节奏总纲!H40-$C$1,0)</f>
        <v>0</v>
      </c>
      <c r="AK42" s="2">
        <v>37</v>
      </c>
      <c r="AL42" s="2">
        <f>'奖励（新）'!CT44</f>
        <v>0</v>
      </c>
      <c r="AM42" s="2">
        <f>'奖励（新）'!CU44</f>
        <v>0</v>
      </c>
      <c r="AN42" s="2">
        <f>'奖励（新）'!CV44</f>
        <v>0</v>
      </c>
      <c r="AO42" s="2">
        <f>'奖励（新）'!CW44</f>
        <v>0</v>
      </c>
      <c r="AP42" s="2">
        <f>'奖励（新）'!CX44</f>
        <v>0</v>
      </c>
      <c r="AV42" s="2">
        <v>37</v>
      </c>
      <c r="AW42" s="2">
        <f>SUMPRODUCT($F$5:$F$12,$H$5:$H$12,J$5:J$12)/7*MAX(节奏总纲!D40-'奖励（新）'!$E$2,0)</f>
        <v>0</v>
      </c>
      <c r="AX42" s="2">
        <f>SUMPRODUCT($F$5:$F$12,$H$5:$H$12,K$5:K$12)/7*MAX(节奏总纲!E40-'奖励（新）'!$E$2,0)</f>
        <v>0</v>
      </c>
      <c r="AY42" s="2">
        <f>SUMPRODUCT($F$5:$F$12,$H$5:$H$12,L$5:L$12)/7*MAX(节奏总纲!F40-'奖励（新）'!$E$2,0)</f>
        <v>0</v>
      </c>
      <c r="AZ42" s="2">
        <f>SUMPRODUCT($F$5:$F$12,$H$5:$H$12,M$5:M$12)/7*MAX(节奏总纲!G40-'奖励（新）'!$E$2,0)</f>
        <v>0</v>
      </c>
      <c r="BA42" s="2">
        <f>SUMPRODUCT($F$5:$F$12,$H$5:$H$12,N$5:N$12)/7*MAX(节奏总纲!H40-'奖励（新）'!$E$2,0)</f>
        <v>0</v>
      </c>
      <c r="BE42" s="2">
        <v>37</v>
      </c>
      <c r="BF42" s="41" t="e">
        <f t="shared" si="2"/>
        <v>#DIV/0!</v>
      </c>
      <c r="BG42" s="41" t="e">
        <f t="shared" si="3"/>
        <v>#DIV/0!</v>
      </c>
      <c r="BH42" s="41" t="e">
        <f t="shared" si="4"/>
        <v>#DIV/0!</v>
      </c>
      <c r="BI42" s="41" t="e">
        <f t="shared" si="5"/>
        <v>#DIV/0!</v>
      </c>
      <c r="BJ42" s="41" t="e">
        <f t="shared" si="6"/>
        <v>#DIV/0!</v>
      </c>
      <c r="BK42" s="2">
        <f>(AW42-AL42)*'奖励（新）'!$D$17</f>
        <v>0</v>
      </c>
      <c r="BL42" s="2">
        <f>(AX42-AM42)*'奖励（新）'!$D$17</f>
        <v>0</v>
      </c>
      <c r="BM42" s="2">
        <f>(AY42-AN42)*'奖励（新）'!$D$17</f>
        <v>0</v>
      </c>
      <c r="BN42" s="2">
        <f>(AZ42-AO42)*'奖励（新）'!$D$17</f>
        <v>0</v>
      </c>
      <c r="BO42" s="2">
        <f>(BA42-AP42)*'奖励（新）'!$D$17</f>
        <v>0</v>
      </c>
    </row>
    <row r="43" spans="17:67" x14ac:dyDescent="0.2">
      <c r="Q43" s="2">
        <v>38</v>
      </c>
      <c r="R43" s="2">
        <f>$E$5*$F$5/7*MAX(节奏总纲!D41-$C$1,0)</f>
        <v>0</v>
      </c>
      <c r="S43" s="2">
        <f>$E$5*$F$5/7*MAX(节奏总纲!E41-$C$1,0)</f>
        <v>0</v>
      </c>
      <c r="T43" s="2">
        <f>$E$5*$F$5/7*MAX(节奏总纲!F41-$C$1,0)</f>
        <v>0</v>
      </c>
      <c r="U43" s="2">
        <f>$E$5*$F$5/7*MAX(节奏总纲!G41-$C$1,0)</f>
        <v>0</v>
      </c>
      <c r="V43" s="2">
        <f>$E$5*$F$5/7*MAX(节奏总纲!H41-$C$1,0)</f>
        <v>0</v>
      </c>
      <c r="W43" s="2">
        <f>$E$6*$F$6/7*MAX(节奏总纲!D41-$C$1,0)</f>
        <v>0</v>
      </c>
      <c r="X43" s="2">
        <f>$E$6*$F$6/7*MAX(节奏总纲!E41-$C$1,0)</f>
        <v>0</v>
      </c>
      <c r="Y43" s="2">
        <f>$E$6*$F$6/7*MAX(节奏总纲!F41-$C$1,0)</f>
        <v>0</v>
      </c>
      <c r="Z43" s="2">
        <f>$E$6*$F$6/7*MAX(节奏总纲!G41-$C$1,0)</f>
        <v>0</v>
      </c>
      <c r="AA43" s="2">
        <f>$E$6*$F$6/7*MAX(节奏总纲!H41-$C$1,0)</f>
        <v>0</v>
      </c>
      <c r="AB43" s="2">
        <f>($E$9*$F$9*3600+$E$10*$F$10*1200)/7*MAX(节奏总纲!D41-$C$1,0)</f>
        <v>0</v>
      </c>
      <c r="AC43" s="2">
        <f>($E$9*$F$9*3600+$E$10*$F$10*1200)/7*MAX(节奏总纲!E41-$C$1,0)</f>
        <v>0</v>
      </c>
      <c r="AD43" s="2">
        <f>($E$9*$F$9*3600+$E$10*$F$10*1200)/7*MAX(节奏总纲!F41-$C$1,0)</f>
        <v>0</v>
      </c>
      <c r="AE43" s="2">
        <f>($E$9*$F$9*3600+$E$10*$F$10*1200)/7*MAX(节奏总纲!G41-$C$1,0)</f>
        <v>0</v>
      </c>
      <c r="AF43" s="2">
        <f>($E$9*$F$9*3600+$E$10*$F$10*1200)/7*MAX(节奏总纲!H41-$C$1,0)</f>
        <v>0</v>
      </c>
      <c r="AK43" s="2">
        <v>38</v>
      </c>
      <c r="AL43" s="2">
        <f>'奖励（新）'!CT45</f>
        <v>0</v>
      </c>
      <c r="AM43" s="2">
        <f>'奖励（新）'!CU45</f>
        <v>0</v>
      </c>
      <c r="AN43" s="2">
        <f>'奖励（新）'!CV45</f>
        <v>0</v>
      </c>
      <c r="AO43" s="2">
        <f>'奖励（新）'!CW45</f>
        <v>0</v>
      </c>
      <c r="AP43" s="2">
        <f>'奖励（新）'!CX45</f>
        <v>0</v>
      </c>
      <c r="AV43" s="2">
        <v>38</v>
      </c>
      <c r="AW43" s="2">
        <f>SUMPRODUCT($F$5:$F$12,$H$5:$H$12,J$5:J$12)/7*MAX(节奏总纲!D41-'奖励（新）'!$E$2,0)</f>
        <v>0</v>
      </c>
      <c r="AX43" s="2">
        <f>SUMPRODUCT($F$5:$F$12,$H$5:$H$12,K$5:K$12)/7*MAX(节奏总纲!E41-'奖励（新）'!$E$2,0)</f>
        <v>0</v>
      </c>
      <c r="AY43" s="2">
        <f>SUMPRODUCT($F$5:$F$12,$H$5:$H$12,L$5:L$12)/7*MAX(节奏总纲!F41-'奖励（新）'!$E$2,0)</f>
        <v>0</v>
      </c>
      <c r="AZ43" s="2">
        <f>SUMPRODUCT($F$5:$F$12,$H$5:$H$12,M$5:M$12)/7*MAX(节奏总纲!G41-'奖励（新）'!$E$2,0)</f>
        <v>0</v>
      </c>
      <c r="BA43" s="2">
        <f>SUMPRODUCT($F$5:$F$12,$H$5:$H$12,N$5:N$12)/7*MAX(节奏总纲!H41-'奖励（新）'!$E$2,0)</f>
        <v>0</v>
      </c>
      <c r="BE43" s="2">
        <v>38</v>
      </c>
      <c r="BF43" s="41" t="e">
        <f t="shared" si="2"/>
        <v>#DIV/0!</v>
      </c>
      <c r="BG43" s="41" t="e">
        <f t="shared" si="3"/>
        <v>#DIV/0!</v>
      </c>
      <c r="BH43" s="41" t="e">
        <f t="shared" si="4"/>
        <v>#DIV/0!</v>
      </c>
      <c r="BI43" s="41" t="e">
        <f t="shared" si="5"/>
        <v>#DIV/0!</v>
      </c>
      <c r="BJ43" s="41" t="e">
        <f t="shared" si="6"/>
        <v>#DIV/0!</v>
      </c>
      <c r="BK43" s="2">
        <f>(AW43-AL43)*'奖励（新）'!$D$17</f>
        <v>0</v>
      </c>
      <c r="BL43" s="2">
        <f>(AX43-AM43)*'奖励（新）'!$D$17</f>
        <v>0</v>
      </c>
      <c r="BM43" s="2">
        <f>(AY43-AN43)*'奖励（新）'!$D$17</f>
        <v>0</v>
      </c>
      <c r="BN43" s="2">
        <f>(AZ43-AO43)*'奖励（新）'!$D$17</f>
        <v>0</v>
      </c>
      <c r="BO43" s="2">
        <f>(BA43-AP43)*'奖励（新）'!$D$17</f>
        <v>0</v>
      </c>
    </row>
    <row r="44" spans="17:67" x14ac:dyDescent="0.2">
      <c r="Q44" s="2">
        <v>39</v>
      </c>
      <c r="R44" s="2">
        <f>$E$5*$F$5/7*MAX(节奏总纲!D42-$C$1,0)</f>
        <v>0</v>
      </c>
      <c r="S44" s="2">
        <f>$E$5*$F$5/7*MAX(节奏总纲!E42-$C$1,0)</f>
        <v>0</v>
      </c>
      <c r="T44" s="2">
        <f>$E$5*$F$5/7*MAX(节奏总纲!F42-$C$1,0)</f>
        <v>0</v>
      </c>
      <c r="U44" s="2">
        <f>$E$5*$F$5/7*MAX(节奏总纲!G42-$C$1,0)</f>
        <v>0</v>
      </c>
      <c r="V44" s="2">
        <f>$E$5*$F$5/7*MAX(节奏总纲!H42-$C$1,0)</f>
        <v>0</v>
      </c>
      <c r="W44" s="2">
        <f>$E$6*$F$6/7*MAX(节奏总纲!D42-$C$1,0)</f>
        <v>0</v>
      </c>
      <c r="X44" s="2">
        <f>$E$6*$F$6/7*MAX(节奏总纲!E42-$C$1,0)</f>
        <v>0</v>
      </c>
      <c r="Y44" s="2">
        <f>$E$6*$F$6/7*MAX(节奏总纲!F42-$C$1,0)</f>
        <v>0</v>
      </c>
      <c r="Z44" s="2">
        <f>$E$6*$F$6/7*MAX(节奏总纲!G42-$C$1,0)</f>
        <v>0</v>
      </c>
      <c r="AA44" s="2">
        <f>$E$6*$F$6/7*MAX(节奏总纲!H42-$C$1,0)</f>
        <v>0</v>
      </c>
      <c r="AB44" s="2">
        <f>($E$9*$F$9*3600+$E$10*$F$10*1200)/7*MAX(节奏总纲!D42-$C$1,0)</f>
        <v>0</v>
      </c>
      <c r="AC44" s="2">
        <f>($E$9*$F$9*3600+$E$10*$F$10*1200)/7*MAX(节奏总纲!E42-$C$1,0)</f>
        <v>0</v>
      </c>
      <c r="AD44" s="2">
        <f>($E$9*$F$9*3600+$E$10*$F$10*1200)/7*MAX(节奏总纲!F42-$C$1,0)</f>
        <v>0</v>
      </c>
      <c r="AE44" s="2">
        <f>($E$9*$F$9*3600+$E$10*$F$10*1200)/7*MAX(节奏总纲!G42-$C$1,0)</f>
        <v>0</v>
      </c>
      <c r="AF44" s="2">
        <f>($E$9*$F$9*3600+$E$10*$F$10*1200)/7*MAX(节奏总纲!H42-$C$1,0)</f>
        <v>0</v>
      </c>
      <c r="AK44" s="2">
        <v>39</v>
      </c>
      <c r="AL44" s="2">
        <f>'奖励（新）'!CT46</f>
        <v>0</v>
      </c>
      <c r="AM44" s="2">
        <f>'奖励（新）'!CU46</f>
        <v>0</v>
      </c>
      <c r="AN44" s="2">
        <f>'奖励（新）'!CV46</f>
        <v>0</v>
      </c>
      <c r="AO44" s="2">
        <f>'奖励（新）'!CW46</f>
        <v>0</v>
      </c>
      <c r="AP44" s="2">
        <f>'奖励（新）'!CX46</f>
        <v>0</v>
      </c>
      <c r="AV44" s="2">
        <v>39</v>
      </c>
      <c r="AW44" s="2">
        <f>SUMPRODUCT($F$5:$F$12,$H$5:$H$12,J$5:J$12)/7*MAX(节奏总纲!D42-'奖励（新）'!$E$2,0)</f>
        <v>0</v>
      </c>
      <c r="AX44" s="2">
        <f>SUMPRODUCT($F$5:$F$12,$H$5:$H$12,K$5:K$12)/7*MAX(节奏总纲!E42-'奖励（新）'!$E$2,0)</f>
        <v>0</v>
      </c>
      <c r="AY44" s="2">
        <f>SUMPRODUCT($F$5:$F$12,$H$5:$H$12,L$5:L$12)/7*MAX(节奏总纲!F42-'奖励（新）'!$E$2,0)</f>
        <v>0</v>
      </c>
      <c r="AZ44" s="2">
        <f>SUMPRODUCT($F$5:$F$12,$H$5:$H$12,M$5:M$12)/7*MAX(节奏总纲!G42-'奖励（新）'!$E$2,0)</f>
        <v>0</v>
      </c>
      <c r="BA44" s="2">
        <f>SUMPRODUCT($F$5:$F$12,$H$5:$H$12,N$5:N$12)/7*MAX(节奏总纲!H42-'奖励（新）'!$E$2,0)</f>
        <v>0</v>
      </c>
      <c r="BE44" s="2">
        <v>39</v>
      </c>
      <c r="BF44" s="41" t="e">
        <f t="shared" si="2"/>
        <v>#DIV/0!</v>
      </c>
      <c r="BG44" s="41" t="e">
        <f t="shared" si="3"/>
        <v>#DIV/0!</v>
      </c>
      <c r="BH44" s="41" t="e">
        <f t="shared" si="4"/>
        <v>#DIV/0!</v>
      </c>
      <c r="BI44" s="41" t="e">
        <f t="shared" si="5"/>
        <v>#DIV/0!</v>
      </c>
      <c r="BJ44" s="41" t="e">
        <f t="shared" si="6"/>
        <v>#DIV/0!</v>
      </c>
      <c r="BK44" s="2">
        <f>(AW44-AL44)*'奖励（新）'!$D$17</f>
        <v>0</v>
      </c>
      <c r="BL44" s="2">
        <f>(AX44-AM44)*'奖励（新）'!$D$17</f>
        <v>0</v>
      </c>
      <c r="BM44" s="2">
        <f>(AY44-AN44)*'奖励（新）'!$D$17</f>
        <v>0</v>
      </c>
      <c r="BN44" s="2">
        <f>(AZ44-AO44)*'奖励（新）'!$D$17</f>
        <v>0</v>
      </c>
      <c r="BO44" s="2">
        <f>(BA44-AP44)*'奖励（新）'!$D$17</f>
        <v>0</v>
      </c>
    </row>
    <row r="45" spans="17:67" x14ac:dyDescent="0.2">
      <c r="Q45" s="2">
        <v>40</v>
      </c>
      <c r="R45" s="2">
        <f>$E$5*$F$5/7*MAX(节奏总纲!D43-$C$1,0)</f>
        <v>0</v>
      </c>
      <c r="S45" s="2">
        <f>$E$5*$F$5/7*MAX(节奏总纲!E43-$C$1,0)</f>
        <v>0</v>
      </c>
      <c r="T45" s="2">
        <f>$E$5*$F$5/7*MAX(节奏总纲!F43-$C$1,0)</f>
        <v>0</v>
      </c>
      <c r="U45" s="2">
        <f>$E$5*$F$5/7*MAX(节奏总纲!G43-$C$1,0)</f>
        <v>0</v>
      </c>
      <c r="V45" s="2">
        <f>$E$5*$F$5/7*MAX(节奏总纲!H43-$C$1,0)</f>
        <v>0</v>
      </c>
      <c r="W45" s="2">
        <f>$E$6*$F$6/7*MAX(节奏总纲!D43-$C$1,0)</f>
        <v>0</v>
      </c>
      <c r="X45" s="2">
        <f>$E$6*$F$6/7*MAX(节奏总纲!E43-$C$1,0)</f>
        <v>0</v>
      </c>
      <c r="Y45" s="2">
        <f>$E$6*$F$6/7*MAX(节奏总纲!F43-$C$1,0)</f>
        <v>0</v>
      </c>
      <c r="Z45" s="2">
        <f>$E$6*$F$6/7*MAX(节奏总纲!G43-$C$1,0)</f>
        <v>0</v>
      </c>
      <c r="AA45" s="2">
        <f>$E$6*$F$6/7*MAX(节奏总纲!H43-$C$1,0)</f>
        <v>0</v>
      </c>
      <c r="AB45" s="2">
        <f>($E$9*$F$9*3600+$E$10*$F$10*1200)/7*MAX(节奏总纲!D43-$C$1,0)</f>
        <v>0</v>
      </c>
      <c r="AC45" s="2">
        <f>($E$9*$F$9*3600+$E$10*$F$10*1200)/7*MAX(节奏总纲!E43-$C$1,0)</f>
        <v>0</v>
      </c>
      <c r="AD45" s="2">
        <f>($E$9*$F$9*3600+$E$10*$F$10*1200)/7*MAX(节奏总纲!F43-$C$1,0)</f>
        <v>0</v>
      </c>
      <c r="AE45" s="2">
        <f>($E$9*$F$9*3600+$E$10*$F$10*1200)/7*MAX(节奏总纲!G43-$C$1,0)</f>
        <v>0</v>
      </c>
      <c r="AF45" s="2">
        <f>($E$9*$F$9*3600+$E$10*$F$10*1200)/7*MAX(节奏总纲!H43-$C$1,0)</f>
        <v>0</v>
      </c>
      <c r="AK45" s="2">
        <v>40</v>
      </c>
      <c r="AL45" s="2">
        <f>'奖励（新）'!CT47</f>
        <v>0</v>
      </c>
      <c r="AM45" s="2">
        <f>'奖励（新）'!CU47</f>
        <v>0</v>
      </c>
      <c r="AN45" s="2">
        <f>'奖励（新）'!CV47</f>
        <v>0</v>
      </c>
      <c r="AO45" s="2">
        <f>'奖励（新）'!CW47</f>
        <v>0</v>
      </c>
      <c r="AP45" s="2">
        <f>'奖励（新）'!CX47</f>
        <v>0</v>
      </c>
      <c r="AV45" s="2">
        <v>40</v>
      </c>
      <c r="AW45" s="2">
        <f>SUMPRODUCT($F$5:$F$12,$H$5:$H$12,J$5:J$12)/7*MAX(节奏总纲!D43-'奖励（新）'!$E$2,0)</f>
        <v>0</v>
      </c>
      <c r="AX45" s="2">
        <f>SUMPRODUCT($F$5:$F$12,$H$5:$H$12,K$5:K$12)/7*MAX(节奏总纲!E43-'奖励（新）'!$E$2,0)</f>
        <v>0</v>
      </c>
      <c r="AY45" s="2">
        <f>SUMPRODUCT($F$5:$F$12,$H$5:$H$12,L$5:L$12)/7*MAX(节奏总纲!F43-'奖励（新）'!$E$2,0)</f>
        <v>0</v>
      </c>
      <c r="AZ45" s="2">
        <f>SUMPRODUCT($F$5:$F$12,$H$5:$H$12,M$5:M$12)/7*MAX(节奏总纲!G43-'奖励（新）'!$E$2,0)</f>
        <v>0</v>
      </c>
      <c r="BA45" s="2">
        <f>SUMPRODUCT($F$5:$F$12,$H$5:$H$12,N$5:N$12)/7*MAX(节奏总纲!H43-'奖励（新）'!$E$2,0)</f>
        <v>0</v>
      </c>
      <c r="BE45" s="2">
        <v>40</v>
      </c>
      <c r="BF45" s="41" t="e">
        <f t="shared" si="2"/>
        <v>#DIV/0!</v>
      </c>
      <c r="BG45" s="41" t="e">
        <f t="shared" si="3"/>
        <v>#DIV/0!</v>
      </c>
      <c r="BH45" s="41" t="e">
        <f t="shared" si="4"/>
        <v>#DIV/0!</v>
      </c>
      <c r="BI45" s="41" t="e">
        <f t="shared" si="5"/>
        <v>#DIV/0!</v>
      </c>
      <c r="BJ45" s="41" t="e">
        <f t="shared" si="6"/>
        <v>#DIV/0!</v>
      </c>
      <c r="BK45" s="2">
        <f>(AW45-AL45)*'奖励（新）'!$D$17</f>
        <v>0</v>
      </c>
      <c r="BL45" s="2">
        <f>(AX45-AM45)*'奖励（新）'!$D$17</f>
        <v>0</v>
      </c>
      <c r="BM45" s="2">
        <f>(AY45-AN45)*'奖励（新）'!$D$17</f>
        <v>0</v>
      </c>
      <c r="BN45" s="2">
        <f>(AZ45-AO45)*'奖励（新）'!$D$17</f>
        <v>0</v>
      </c>
      <c r="BO45" s="2">
        <f>(BA45-AP45)*'奖励（新）'!$D$17</f>
        <v>0</v>
      </c>
    </row>
    <row r="46" spans="17:67" x14ac:dyDescent="0.2">
      <c r="Q46" s="2">
        <v>41</v>
      </c>
      <c r="R46" s="2">
        <f>$E$5*$F$5/7*MAX(节奏总纲!D44-$C$1,0)</f>
        <v>0</v>
      </c>
      <c r="S46" s="2">
        <f>$E$5*$F$5/7*MAX(节奏总纲!E44-$C$1,0)</f>
        <v>0</v>
      </c>
      <c r="T46" s="2">
        <f>$E$5*$F$5/7*MAX(节奏总纲!F44-$C$1,0)</f>
        <v>0</v>
      </c>
      <c r="U46" s="2">
        <f>$E$5*$F$5/7*MAX(节奏总纲!G44-$C$1,0)</f>
        <v>0</v>
      </c>
      <c r="V46" s="2">
        <f>$E$5*$F$5/7*MAX(节奏总纲!H44-$C$1,0)</f>
        <v>0</v>
      </c>
      <c r="W46" s="2">
        <f>$E$6*$F$6/7*MAX(节奏总纲!D44-$C$1,0)</f>
        <v>0</v>
      </c>
      <c r="X46" s="2">
        <f>$E$6*$F$6/7*MAX(节奏总纲!E44-$C$1,0)</f>
        <v>0</v>
      </c>
      <c r="Y46" s="2">
        <f>$E$6*$F$6/7*MAX(节奏总纲!F44-$C$1,0)</f>
        <v>0</v>
      </c>
      <c r="Z46" s="2">
        <f>$E$6*$F$6/7*MAX(节奏总纲!G44-$C$1,0)</f>
        <v>0</v>
      </c>
      <c r="AA46" s="2">
        <f>$E$6*$F$6/7*MAX(节奏总纲!H44-$C$1,0)</f>
        <v>0</v>
      </c>
      <c r="AB46" s="2">
        <f>($E$9*$F$9*3600+$E$10*$F$10*1200)/7*MAX(节奏总纲!D44-$C$1,0)</f>
        <v>0</v>
      </c>
      <c r="AC46" s="2">
        <f>($E$9*$F$9*3600+$E$10*$F$10*1200)/7*MAX(节奏总纲!E44-$C$1,0)</f>
        <v>0</v>
      </c>
      <c r="AD46" s="2">
        <f>($E$9*$F$9*3600+$E$10*$F$10*1200)/7*MAX(节奏总纲!F44-$C$1,0)</f>
        <v>0</v>
      </c>
      <c r="AE46" s="2">
        <f>($E$9*$F$9*3600+$E$10*$F$10*1200)/7*MAX(节奏总纲!G44-$C$1,0)</f>
        <v>0</v>
      </c>
      <c r="AF46" s="2">
        <f>($E$9*$F$9*3600+$E$10*$F$10*1200)/7*MAX(节奏总纲!H44-$C$1,0)</f>
        <v>0</v>
      </c>
      <c r="AK46" s="2">
        <v>41</v>
      </c>
      <c r="AL46" s="2">
        <f>'奖励（新）'!CT48</f>
        <v>0</v>
      </c>
      <c r="AM46" s="2">
        <f>'奖励（新）'!CU48</f>
        <v>0</v>
      </c>
      <c r="AN46" s="2">
        <f>'奖励（新）'!CV48</f>
        <v>0</v>
      </c>
      <c r="AO46" s="2">
        <f>'奖励（新）'!CW48</f>
        <v>0</v>
      </c>
      <c r="AP46" s="2">
        <f>'奖励（新）'!CX48</f>
        <v>0</v>
      </c>
      <c r="AV46" s="2">
        <v>41</v>
      </c>
      <c r="AW46" s="2">
        <f>SUMPRODUCT($F$5:$F$12,$H$5:$H$12,J$5:J$12)/7*MAX(节奏总纲!D44-'奖励（新）'!$E$2,0)</f>
        <v>0</v>
      </c>
      <c r="AX46" s="2">
        <f>SUMPRODUCT($F$5:$F$12,$H$5:$H$12,K$5:K$12)/7*MAX(节奏总纲!E44-'奖励（新）'!$E$2,0)</f>
        <v>0</v>
      </c>
      <c r="AY46" s="2">
        <f>SUMPRODUCT($F$5:$F$12,$H$5:$H$12,L$5:L$12)/7*MAX(节奏总纲!F44-'奖励（新）'!$E$2,0)</f>
        <v>0</v>
      </c>
      <c r="AZ46" s="2">
        <f>SUMPRODUCT($F$5:$F$12,$H$5:$H$12,M$5:M$12)/7*MAX(节奏总纲!G44-'奖励（新）'!$E$2,0)</f>
        <v>0</v>
      </c>
      <c r="BA46" s="2">
        <f>SUMPRODUCT($F$5:$F$12,$H$5:$H$12,N$5:N$12)/7*MAX(节奏总纲!H44-'奖励（新）'!$E$2,0)</f>
        <v>0</v>
      </c>
      <c r="BE46" s="2">
        <v>41</v>
      </c>
      <c r="BF46" s="41" t="e">
        <f t="shared" si="2"/>
        <v>#DIV/0!</v>
      </c>
      <c r="BG46" s="41" t="e">
        <f t="shared" si="3"/>
        <v>#DIV/0!</v>
      </c>
      <c r="BH46" s="41" t="e">
        <f t="shared" si="4"/>
        <v>#DIV/0!</v>
      </c>
      <c r="BI46" s="41" t="e">
        <f t="shared" si="5"/>
        <v>#DIV/0!</v>
      </c>
      <c r="BJ46" s="41" t="e">
        <f t="shared" si="6"/>
        <v>#DIV/0!</v>
      </c>
      <c r="BK46" s="2">
        <f>(AW46-AL46)*'奖励（新）'!$D$17</f>
        <v>0</v>
      </c>
      <c r="BL46" s="2">
        <f>(AX46-AM46)*'奖励（新）'!$D$17</f>
        <v>0</v>
      </c>
      <c r="BM46" s="2">
        <f>(AY46-AN46)*'奖励（新）'!$D$17</f>
        <v>0</v>
      </c>
      <c r="BN46" s="2">
        <f>(AZ46-AO46)*'奖励（新）'!$D$17</f>
        <v>0</v>
      </c>
      <c r="BO46" s="2">
        <f>(BA46-AP46)*'奖励（新）'!$D$17</f>
        <v>0</v>
      </c>
    </row>
    <row r="47" spans="17:67" x14ac:dyDescent="0.2">
      <c r="Q47" s="2">
        <v>42</v>
      </c>
      <c r="R47" s="2">
        <f>$E$5*$F$5/7*MAX(节奏总纲!D45-$C$1,0)</f>
        <v>0</v>
      </c>
      <c r="S47" s="2">
        <f>$E$5*$F$5/7*MAX(节奏总纲!E45-$C$1,0)</f>
        <v>0</v>
      </c>
      <c r="T47" s="2">
        <f>$E$5*$F$5/7*MAX(节奏总纲!F45-$C$1,0)</f>
        <v>0</v>
      </c>
      <c r="U47" s="2">
        <f>$E$5*$F$5/7*MAX(节奏总纲!G45-$C$1,0)</f>
        <v>0</v>
      </c>
      <c r="V47" s="2">
        <f>$E$5*$F$5/7*MAX(节奏总纲!H45-$C$1,0)</f>
        <v>0</v>
      </c>
      <c r="W47" s="2">
        <f>$E$6*$F$6/7*MAX(节奏总纲!D45-$C$1,0)</f>
        <v>0</v>
      </c>
      <c r="X47" s="2">
        <f>$E$6*$F$6/7*MAX(节奏总纲!E45-$C$1,0)</f>
        <v>0</v>
      </c>
      <c r="Y47" s="2">
        <f>$E$6*$F$6/7*MAX(节奏总纲!F45-$C$1,0)</f>
        <v>0</v>
      </c>
      <c r="Z47" s="2">
        <f>$E$6*$F$6/7*MAX(节奏总纲!G45-$C$1,0)</f>
        <v>0</v>
      </c>
      <c r="AA47" s="2">
        <f>$E$6*$F$6/7*MAX(节奏总纲!H45-$C$1,0)</f>
        <v>0</v>
      </c>
      <c r="AB47" s="2">
        <f>($E$9*$F$9*3600+$E$10*$F$10*1200)/7*MAX(节奏总纲!D45-$C$1,0)</f>
        <v>0</v>
      </c>
      <c r="AC47" s="2">
        <f>($E$9*$F$9*3600+$E$10*$F$10*1200)/7*MAX(节奏总纲!E45-$C$1,0)</f>
        <v>0</v>
      </c>
      <c r="AD47" s="2">
        <f>($E$9*$F$9*3600+$E$10*$F$10*1200)/7*MAX(节奏总纲!F45-$C$1,0)</f>
        <v>0</v>
      </c>
      <c r="AE47" s="2">
        <f>($E$9*$F$9*3600+$E$10*$F$10*1200)/7*MAX(节奏总纲!G45-$C$1,0)</f>
        <v>0</v>
      </c>
      <c r="AF47" s="2">
        <f>($E$9*$F$9*3600+$E$10*$F$10*1200)/7*MAX(节奏总纲!H45-$C$1,0)</f>
        <v>0</v>
      </c>
      <c r="AK47" s="2">
        <v>42</v>
      </c>
      <c r="AL47" s="2">
        <f>'奖励（新）'!CT49</f>
        <v>0</v>
      </c>
      <c r="AM47" s="2">
        <f>'奖励（新）'!CU49</f>
        <v>0</v>
      </c>
      <c r="AN47" s="2">
        <f>'奖励（新）'!CV49</f>
        <v>0</v>
      </c>
      <c r="AO47" s="2">
        <f>'奖励（新）'!CW49</f>
        <v>0</v>
      </c>
      <c r="AP47" s="2">
        <f>'奖励（新）'!CX49</f>
        <v>0</v>
      </c>
      <c r="AV47" s="2">
        <v>42</v>
      </c>
      <c r="AW47" s="2">
        <f>SUMPRODUCT($F$5:$F$12,$H$5:$H$12,J$5:J$12)/7*MAX(节奏总纲!D45-'奖励（新）'!$E$2,0)</f>
        <v>0</v>
      </c>
      <c r="AX47" s="2">
        <f>SUMPRODUCT($F$5:$F$12,$H$5:$H$12,K$5:K$12)/7*MAX(节奏总纲!E45-'奖励（新）'!$E$2,0)</f>
        <v>0</v>
      </c>
      <c r="AY47" s="2">
        <f>SUMPRODUCT($F$5:$F$12,$H$5:$H$12,L$5:L$12)/7*MAX(节奏总纲!F45-'奖励（新）'!$E$2,0)</f>
        <v>0</v>
      </c>
      <c r="AZ47" s="2">
        <f>SUMPRODUCT($F$5:$F$12,$H$5:$H$12,M$5:M$12)/7*MAX(节奏总纲!G45-'奖励（新）'!$E$2,0)</f>
        <v>0</v>
      </c>
      <c r="BA47" s="2">
        <f>SUMPRODUCT($F$5:$F$12,$H$5:$H$12,N$5:N$12)/7*MAX(节奏总纲!H45-'奖励（新）'!$E$2,0)</f>
        <v>0</v>
      </c>
      <c r="BE47" s="2">
        <v>42</v>
      </c>
      <c r="BF47" s="41" t="e">
        <f t="shared" si="2"/>
        <v>#DIV/0!</v>
      </c>
      <c r="BG47" s="41" t="e">
        <f t="shared" si="3"/>
        <v>#DIV/0!</v>
      </c>
      <c r="BH47" s="41" t="e">
        <f t="shared" si="4"/>
        <v>#DIV/0!</v>
      </c>
      <c r="BI47" s="41" t="e">
        <f t="shared" si="5"/>
        <v>#DIV/0!</v>
      </c>
      <c r="BJ47" s="41" t="e">
        <f t="shared" si="6"/>
        <v>#DIV/0!</v>
      </c>
      <c r="BK47" s="2">
        <f>(AW47-AL47)*'奖励（新）'!$D$17</f>
        <v>0</v>
      </c>
      <c r="BL47" s="2">
        <f>(AX47-AM47)*'奖励（新）'!$D$17</f>
        <v>0</v>
      </c>
      <c r="BM47" s="2">
        <f>(AY47-AN47)*'奖励（新）'!$D$17</f>
        <v>0</v>
      </c>
      <c r="BN47" s="2">
        <f>(AZ47-AO47)*'奖励（新）'!$D$17</f>
        <v>0</v>
      </c>
      <c r="BO47" s="2">
        <f>(BA47-AP47)*'奖励（新）'!$D$17</f>
        <v>0</v>
      </c>
    </row>
    <row r="48" spans="17:67" x14ac:dyDescent="0.2">
      <c r="Q48" s="2">
        <v>43</v>
      </c>
      <c r="R48" s="2">
        <f>$E$5*$F$5/7*MAX(节奏总纲!D46-$C$1,0)</f>
        <v>0</v>
      </c>
      <c r="S48" s="2">
        <f>$E$5*$F$5/7*MAX(节奏总纲!E46-$C$1,0)</f>
        <v>0</v>
      </c>
      <c r="T48" s="2">
        <f>$E$5*$F$5/7*MAX(节奏总纲!F46-$C$1,0)</f>
        <v>0</v>
      </c>
      <c r="U48" s="2">
        <f>$E$5*$F$5/7*MAX(节奏总纲!G46-$C$1,0)</f>
        <v>0</v>
      </c>
      <c r="V48" s="2">
        <f>$E$5*$F$5/7*MAX(节奏总纲!H46-$C$1,0)</f>
        <v>0</v>
      </c>
      <c r="W48" s="2">
        <f>$E$6*$F$6/7*MAX(节奏总纲!D46-$C$1,0)</f>
        <v>0</v>
      </c>
      <c r="X48" s="2">
        <f>$E$6*$F$6/7*MAX(节奏总纲!E46-$C$1,0)</f>
        <v>0</v>
      </c>
      <c r="Y48" s="2">
        <f>$E$6*$F$6/7*MAX(节奏总纲!F46-$C$1,0)</f>
        <v>0</v>
      </c>
      <c r="Z48" s="2">
        <f>$E$6*$F$6/7*MAX(节奏总纲!G46-$C$1,0)</f>
        <v>0</v>
      </c>
      <c r="AA48" s="2">
        <f>$E$6*$F$6/7*MAX(节奏总纲!H46-$C$1,0)</f>
        <v>0</v>
      </c>
      <c r="AB48" s="2">
        <f>($E$9*$F$9*3600+$E$10*$F$10*1200)/7*MAX(节奏总纲!D46-$C$1,0)</f>
        <v>0</v>
      </c>
      <c r="AC48" s="2">
        <f>($E$9*$F$9*3600+$E$10*$F$10*1200)/7*MAX(节奏总纲!E46-$C$1,0)</f>
        <v>0</v>
      </c>
      <c r="AD48" s="2">
        <f>($E$9*$F$9*3600+$E$10*$F$10*1200)/7*MAX(节奏总纲!F46-$C$1,0)</f>
        <v>0</v>
      </c>
      <c r="AE48" s="2">
        <f>($E$9*$F$9*3600+$E$10*$F$10*1200)/7*MAX(节奏总纲!G46-$C$1,0)</f>
        <v>0</v>
      </c>
      <c r="AF48" s="2">
        <f>($E$9*$F$9*3600+$E$10*$F$10*1200)/7*MAX(节奏总纲!H46-$C$1,0)</f>
        <v>0</v>
      </c>
      <c r="AK48" s="2">
        <v>43</v>
      </c>
      <c r="AL48" s="2">
        <f>'奖励（新）'!CT50</f>
        <v>0</v>
      </c>
      <c r="AM48" s="2">
        <f>'奖励（新）'!CU50</f>
        <v>0</v>
      </c>
      <c r="AN48" s="2">
        <f>'奖励（新）'!CV50</f>
        <v>0</v>
      </c>
      <c r="AO48" s="2">
        <f>'奖励（新）'!CW50</f>
        <v>0</v>
      </c>
      <c r="AP48" s="2">
        <f>'奖励（新）'!CX50</f>
        <v>0</v>
      </c>
      <c r="AV48" s="2">
        <v>43</v>
      </c>
      <c r="AW48" s="2">
        <f>SUMPRODUCT($F$5:$F$12,$H$5:$H$12,J$5:J$12)/7*MAX(节奏总纲!D46-'奖励（新）'!$E$2,0)</f>
        <v>0</v>
      </c>
      <c r="AX48" s="2">
        <f>SUMPRODUCT($F$5:$F$12,$H$5:$H$12,K$5:K$12)/7*MAX(节奏总纲!E46-'奖励（新）'!$E$2,0)</f>
        <v>0</v>
      </c>
      <c r="AY48" s="2">
        <f>SUMPRODUCT($F$5:$F$12,$H$5:$H$12,L$5:L$12)/7*MAX(节奏总纲!F46-'奖励（新）'!$E$2,0)</f>
        <v>0</v>
      </c>
      <c r="AZ48" s="2">
        <f>SUMPRODUCT($F$5:$F$12,$H$5:$H$12,M$5:M$12)/7*MAX(节奏总纲!G46-'奖励（新）'!$E$2,0)</f>
        <v>0</v>
      </c>
      <c r="BA48" s="2">
        <f>SUMPRODUCT($F$5:$F$12,$H$5:$H$12,N$5:N$12)/7*MAX(节奏总纲!H46-'奖励（新）'!$E$2,0)</f>
        <v>0</v>
      </c>
      <c r="BE48" s="2">
        <v>43</v>
      </c>
      <c r="BF48" s="41" t="e">
        <f t="shared" si="2"/>
        <v>#DIV/0!</v>
      </c>
      <c r="BG48" s="41" t="e">
        <f t="shared" si="3"/>
        <v>#DIV/0!</v>
      </c>
      <c r="BH48" s="41" t="e">
        <f t="shared" si="4"/>
        <v>#DIV/0!</v>
      </c>
      <c r="BI48" s="41" t="e">
        <f t="shared" si="5"/>
        <v>#DIV/0!</v>
      </c>
      <c r="BJ48" s="41" t="e">
        <f t="shared" si="6"/>
        <v>#DIV/0!</v>
      </c>
      <c r="BK48" s="2">
        <f>(AW48-AL48)*'奖励（新）'!$D$17</f>
        <v>0</v>
      </c>
      <c r="BL48" s="2">
        <f>(AX48-AM48)*'奖励（新）'!$D$17</f>
        <v>0</v>
      </c>
      <c r="BM48" s="2">
        <f>(AY48-AN48)*'奖励（新）'!$D$17</f>
        <v>0</v>
      </c>
      <c r="BN48" s="2">
        <f>(AZ48-AO48)*'奖励（新）'!$D$17</f>
        <v>0</v>
      </c>
      <c r="BO48" s="2">
        <f>(BA48-AP48)*'奖励（新）'!$D$17</f>
        <v>0</v>
      </c>
    </row>
    <row r="49" spans="17:67" x14ac:dyDescent="0.2">
      <c r="Q49" s="2">
        <v>44</v>
      </c>
      <c r="R49" s="2">
        <f>$E$5*$F$5/7*MAX(节奏总纲!D47-$C$1,0)</f>
        <v>0</v>
      </c>
      <c r="S49" s="2">
        <f>$E$5*$F$5/7*MAX(节奏总纲!E47-$C$1,0)</f>
        <v>0</v>
      </c>
      <c r="T49" s="2">
        <f>$E$5*$F$5/7*MAX(节奏总纲!F47-$C$1,0)</f>
        <v>0</v>
      </c>
      <c r="U49" s="2">
        <f>$E$5*$F$5/7*MAX(节奏总纲!G47-$C$1,0)</f>
        <v>0</v>
      </c>
      <c r="V49" s="2">
        <f>$E$5*$F$5/7*MAX(节奏总纲!H47-$C$1,0)</f>
        <v>0</v>
      </c>
      <c r="W49" s="2">
        <f>$E$6*$F$6/7*MAX(节奏总纲!D47-$C$1,0)</f>
        <v>0</v>
      </c>
      <c r="X49" s="2">
        <f>$E$6*$F$6/7*MAX(节奏总纲!E47-$C$1,0)</f>
        <v>0</v>
      </c>
      <c r="Y49" s="2">
        <f>$E$6*$F$6/7*MAX(节奏总纲!F47-$C$1,0)</f>
        <v>0</v>
      </c>
      <c r="Z49" s="2">
        <f>$E$6*$F$6/7*MAX(节奏总纲!G47-$C$1,0)</f>
        <v>0</v>
      </c>
      <c r="AA49" s="2">
        <f>$E$6*$F$6/7*MAX(节奏总纲!H47-$C$1,0)</f>
        <v>0</v>
      </c>
      <c r="AB49" s="2">
        <f>($E$9*$F$9*3600+$E$10*$F$10*1200)/7*MAX(节奏总纲!D47-$C$1,0)</f>
        <v>0</v>
      </c>
      <c r="AC49" s="2">
        <f>($E$9*$F$9*3600+$E$10*$F$10*1200)/7*MAX(节奏总纲!E47-$C$1,0)</f>
        <v>0</v>
      </c>
      <c r="AD49" s="2">
        <f>($E$9*$F$9*3600+$E$10*$F$10*1200)/7*MAX(节奏总纲!F47-$C$1,0)</f>
        <v>0</v>
      </c>
      <c r="AE49" s="2">
        <f>($E$9*$F$9*3600+$E$10*$F$10*1200)/7*MAX(节奏总纲!G47-$C$1,0)</f>
        <v>0</v>
      </c>
      <c r="AF49" s="2">
        <f>($E$9*$F$9*3600+$E$10*$F$10*1200)/7*MAX(节奏总纲!H47-$C$1,0)</f>
        <v>0</v>
      </c>
      <c r="AK49" s="2">
        <v>44</v>
      </c>
      <c r="AL49" s="2">
        <f>'奖励（新）'!CT51</f>
        <v>0</v>
      </c>
      <c r="AM49" s="2">
        <f>'奖励（新）'!CU51</f>
        <v>0</v>
      </c>
      <c r="AN49" s="2">
        <f>'奖励（新）'!CV51</f>
        <v>0</v>
      </c>
      <c r="AO49" s="2">
        <f>'奖励（新）'!CW51</f>
        <v>0</v>
      </c>
      <c r="AP49" s="2">
        <f>'奖励（新）'!CX51</f>
        <v>0</v>
      </c>
      <c r="AV49" s="2">
        <v>44</v>
      </c>
      <c r="AW49" s="2">
        <f>SUMPRODUCT($F$5:$F$12,$H$5:$H$12,J$5:J$12)/7*MAX(节奏总纲!D47-'奖励（新）'!$E$2,0)</f>
        <v>0</v>
      </c>
      <c r="AX49" s="2">
        <f>SUMPRODUCT($F$5:$F$12,$H$5:$H$12,K$5:K$12)/7*MAX(节奏总纲!E47-'奖励（新）'!$E$2,0)</f>
        <v>0</v>
      </c>
      <c r="AY49" s="2">
        <f>SUMPRODUCT($F$5:$F$12,$H$5:$H$12,L$5:L$12)/7*MAX(节奏总纲!F47-'奖励（新）'!$E$2,0)</f>
        <v>0</v>
      </c>
      <c r="AZ49" s="2">
        <f>SUMPRODUCT($F$5:$F$12,$H$5:$H$12,M$5:M$12)/7*MAX(节奏总纲!G47-'奖励（新）'!$E$2,0)</f>
        <v>0</v>
      </c>
      <c r="BA49" s="2">
        <f>SUMPRODUCT($F$5:$F$12,$H$5:$H$12,N$5:N$12)/7*MAX(节奏总纲!H47-'奖励（新）'!$E$2,0)</f>
        <v>0</v>
      </c>
      <c r="BE49" s="2">
        <v>44</v>
      </c>
      <c r="BF49" s="41" t="e">
        <f t="shared" si="2"/>
        <v>#DIV/0!</v>
      </c>
      <c r="BG49" s="41" t="e">
        <f t="shared" si="3"/>
        <v>#DIV/0!</v>
      </c>
      <c r="BH49" s="41" t="e">
        <f t="shared" si="4"/>
        <v>#DIV/0!</v>
      </c>
      <c r="BI49" s="41" t="e">
        <f t="shared" si="5"/>
        <v>#DIV/0!</v>
      </c>
      <c r="BJ49" s="41" t="e">
        <f t="shared" si="6"/>
        <v>#DIV/0!</v>
      </c>
      <c r="BK49" s="2">
        <f>(AW49-AL49)*'奖励（新）'!$D$17</f>
        <v>0</v>
      </c>
      <c r="BL49" s="2">
        <f>(AX49-AM49)*'奖励（新）'!$D$17</f>
        <v>0</v>
      </c>
      <c r="BM49" s="2">
        <f>(AY49-AN49)*'奖励（新）'!$D$17</f>
        <v>0</v>
      </c>
      <c r="BN49" s="2">
        <f>(AZ49-AO49)*'奖励（新）'!$D$17</f>
        <v>0</v>
      </c>
      <c r="BO49" s="2">
        <f>(BA49-AP49)*'奖励（新）'!$D$17</f>
        <v>0</v>
      </c>
    </row>
    <row r="50" spans="17:67" x14ac:dyDescent="0.2">
      <c r="Q50" s="2">
        <v>45</v>
      </c>
      <c r="R50" s="2">
        <f>$E$5*$F$5/7*MAX(节奏总纲!D48-$C$1,0)</f>
        <v>0</v>
      </c>
      <c r="S50" s="2">
        <f>$E$5*$F$5/7*MAX(节奏总纲!E48-$C$1,0)</f>
        <v>0</v>
      </c>
      <c r="T50" s="2">
        <f>$E$5*$F$5/7*MAX(节奏总纲!F48-$C$1,0)</f>
        <v>0</v>
      </c>
      <c r="U50" s="2">
        <f>$E$5*$F$5/7*MAX(节奏总纲!G48-$C$1,0)</f>
        <v>0</v>
      </c>
      <c r="V50" s="2">
        <f>$E$5*$F$5/7*MAX(节奏总纲!H48-$C$1,0)</f>
        <v>0</v>
      </c>
      <c r="W50" s="2">
        <f>$E$6*$F$6/7*MAX(节奏总纲!D48-$C$1,0)</f>
        <v>0</v>
      </c>
      <c r="X50" s="2">
        <f>$E$6*$F$6/7*MAX(节奏总纲!E48-$C$1,0)</f>
        <v>0</v>
      </c>
      <c r="Y50" s="2">
        <f>$E$6*$F$6/7*MAX(节奏总纲!F48-$C$1,0)</f>
        <v>0</v>
      </c>
      <c r="Z50" s="2">
        <f>$E$6*$F$6/7*MAX(节奏总纲!G48-$C$1,0)</f>
        <v>0</v>
      </c>
      <c r="AA50" s="2">
        <f>$E$6*$F$6/7*MAX(节奏总纲!H48-$C$1,0)</f>
        <v>0</v>
      </c>
      <c r="AB50" s="2">
        <f>($E$9*$F$9*3600+$E$10*$F$10*1200)/7*MAX(节奏总纲!D48-$C$1,0)</f>
        <v>0</v>
      </c>
      <c r="AC50" s="2">
        <f>($E$9*$F$9*3600+$E$10*$F$10*1200)/7*MAX(节奏总纲!E48-$C$1,0)</f>
        <v>0</v>
      </c>
      <c r="AD50" s="2">
        <f>($E$9*$F$9*3600+$E$10*$F$10*1200)/7*MAX(节奏总纲!F48-$C$1,0)</f>
        <v>0</v>
      </c>
      <c r="AE50" s="2">
        <f>($E$9*$F$9*3600+$E$10*$F$10*1200)/7*MAX(节奏总纲!G48-$C$1,0)</f>
        <v>0</v>
      </c>
      <c r="AF50" s="2">
        <f>($E$9*$F$9*3600+$E$10*$F$10*1200)/7*MAX(节奏总纲!H48-$C$1,0)</f>
        <v>0</v>
      </c>
      <c r="AK50" s="2">
        <v>45</v>
      </c>
      <c r="AL50" s="2">
        <f>'奖励（新）'!CT52</f>
        <v>0</v>
      </c>
      <c r="AM50" s="2">
        <f>'奖励（新）'!CU52</f>
        <v>0</v>
      </c>
      <c r="AN50" s="2">
        <f>'奖励（新）'!CV52</f>
        <v>0</v>
      </c>
      <c r="AO50" s="2">
        <f>'奖励（新）'!CW52</f>
        <v>0</v>
      </c>
      <c r="AP50" s="2">
        <f>'奖励（新）'!CX52</f>
        <v>0</v>
      </c>
      <c r="AV50" s="2">
        <v>45</v>
      </c>
      <c r="AW50" s="2">
        <f>SUMPRODUCT($F$5:$F$12,$H$5:$H$12,J$5:J$12)/7*MAX(节奏总纲!D48-'奖励（新）'!$E$2,0)</f>
        <v>0</v>
      </c>
      <c r="AX50" s="2">
        <f>SUMPRODUCT($F$5:$F$12,$H$5:$H$12,K$5:K$12)/7*MAX(节奏总纲!E48-'奖励（新）'!$E$2,0)</f>
        <v>0</v>
      </c>
      <c r="AY50" s="2">
        <f>SUMPRODUCT($F$5:$F$12,$H$5:$H$12,L$5:L$12)/7*MAX(节奏总纲!F48-'奖励（新）'!$E$2,0)</f>
        <v>0</v>
      </c>
      <c r="AZ50" s="2">
        <f>SUMPRODUCT($F$5:$F$12,$H$5:$H$12,M$5:M$12)/7*MAX(节奏总纲!G48-'奖励（新）'!$E$2,0)</f>
        <v>0</v>
      </c>
      <c r="BA50" s="2">
        <f>SUMPRODUCT($F$5:$F$12,$H$5:$H$12,N$5:N$12)/7*MAX(节奏总纲!H48-'奖励（新）'!$E$2,0)</f>
        <v>0</v>
      </c>
      <c r="BE50" s="2">
        <v>45</v>
      </c>
      <c r="BF50" s="41" t="e">
        <f t="shared" si="2"/>
        <v>#DIV/0!</v>
      </c>
      <c r="BG50" s="41" t="e">
        <f t="shared" si="3"/>
        <v>#DIV/0!</v>
      </c>
      <c r="BH50" s="41" t="e">
        <f t="shared" si="4"/>
        <v>#DIV/0!</v>
      </c>
      <c r="BI50" s="41" t="e">
        <f t="shared" si="5"/>
        <v>#DIV/0!</v>
      </c>
      <c r="BJ50" s="41" t="e">
        <f t="shared" si="6"/>
        <v>#DIV/0!</v>
      </c>
      <c r="BK50" s="2">
        <f>(AW50-AL50)*'奖励（新）'!$D$17</f>
        <v>0</v>
      </c>
      <c r="BL50" s="2">
        <f>(AX50-AM50)*'奖励（新）'!$D$17</f>
        <v>0</v>
      </c>
      <c r="BM50" s="2">
        <f>(AY50-AN50)*'奖励（新）'!$D$17</f>
        <v>0</v>
      </c>
      <c r="BN50" s="2">
        <f>(AZ50-AO50)*'奖励（新）'!$D$17</f>
        <v>0</v>
      </c>
      <c r="BO50" s="2">
        <f>(BA50-AP50)*'奖励（新）'!$D$17</f>
        <v>0</v>
      </c>
    </row>
    <row r="51" spans="17:67" x14ac:dyDescent="0.2">
      <c r="Q51" s="2">
        <v>46</v>
      </c>
      <c r="R51" s="2">
        <f>$E$5*$F$5/7*MAX(节奏总纲!D49-$C$1,0)</f>
        <v>0</v>
      </c>
      <c r="S51" s="2">
        <f>$E$5*$F$5/7*MAX(节奏总纲!E49-$C$1,0)</f>
        <v>0</v>
      </c>
      <c r="T51" s="2">
        <f>$E$5*$F$5/7*MAX(节奏总纲!F49-$C$1,0)</f>
        <v>0</v>
      </c>
      <c r="U51" s="2">
        <f>$E$5*$F$5/7*MAX(节奏总纲!G49-$C$1,0)</f>
        <v>0</v>
      </c>
      <c r="V51" s="2">
        <f>$E$5*$F$5/7*MAX(节奏总纲!H49-$C$1,0)</f>
        <v>0</v>
      </c>
      <c r="W51" s="2">
        <f>$E$6*$F$6/7*MAX(节奏总纲!D49-$C$1,0)</f>
        <v>0</v>
      </c>
      <c r="X51" s="2">
        <f>$E$6*$F$6/7*MAX(节奏总纲!E49-$C$1,0)</f>
        <v>0</v>
      </c>
      <c r="Y51" s="2">
        <f>$E$6*$F$6/7*MAX(节奏总纲!F49-$C$1,0)</f>
        <v>0</v>
      </c>
      <c r="Z51" s="2">
        <f>$E$6*$F$6/7*MAX(节奏总纲!G49-$C$1,0)</f>
        <v>0</v>
      </c>
      <c r="AA51" s="2">
        <f>$E$6*$F$6/7*MAX(节奏总纲!H49-$C$1,0)</f>
        <v>0</v>
      </c>
      <c r="AB51" s="2">
        <f>($E$9*$F$9*3600+$E$10*$F$10*1200)/7*MAX(节奏总纲!D49-$C$1,0)</f>
        <v>0</v>
      </c>
      <c r="AC51" s="2">
        <f>($E$9*$F$9*3600+$E$10*$F$10*1200)/7*MAX(节奏总纲!E49-$C$1,0)</f>
        <v>0</v>
      </c>
      <c r="AD51" s="2">
        <f>($E$9*$F$9*3600+$E$10*$F$10*1200)/7*MAX(节奏总纲!F49-$C$1,0)</f>
        <v>0</v>
      </c>
      <c r="AE51" s="2">
        <f>($E$9*$F$9*3600+$E$10*$F$10*1200)/7*MAX(节奏总纲!G49-$C$1,0)</f>
        <v>0</v>
      </c>
      <c r="AF51" s="2">
        <f>($E$9*$F$9*3600+$E$10*$F$10*1200)/7*MAX(节奏总纲!H49-$C$1,0)</f>
        <v>0</v>
      </c>
      <c r="AK51" s="2">
        <v>46</v>
      </c>
      <c r="AL51" s="2">
        <f>'奖励（新）'!CT53</f>
        <v>0</v>
      </c>
      <c r="AM51" s="2">
        <f>'奖励（新）'!CU53</f>
        <v>0</v>
      </c>
      <c r="AN51" s="2">
        <f>'奖励（新）'!CV53</f>
        <v>0</v>
      </c>
      <c r="AO51" s="2">
        <f>'奖励（新）'!CW53</f>
        <v>0</v>
      </c>
      <c r="AP51" s="2">
        <f>'奖励（新）'!CX53</f>
        <v>0</v>
      </c>
      <c r="AV51" s="2">
        <v>46</v>
      </c>
      <c r="AW51" s="2">
        <f>SUMPRODUCT($F$5:$F$12,$H$5:$H$12,J$5:J$12)/7*MAX(节奏总纲!D49-'奖励（新）'!$E$2,0)</f>
        <v>0</v>
      </c>
      <c r="AX51" s="2">
        <f>SUMPRODUCT($F$5:$F$12,$H$5:$H$12,K$5:K$12)/7*MAX(节奏总纲!E49-'奖励（新）'!$E$2,0)</f>
        <v>0</v>
      </c>
      <c r="AY51" s="2">
        <f>SUMPRODUCT($F$5:$F$12,$H$5:$H$12,L$5:L$12)/7*MAX(节奏总纲!F49-'奖励（新）'!$E$2,0)</f>
        <v>0</v>
      </c>
      <c r="AZ51" s="2">
        <f>SUMPRODUCT($F$5:$F$12,$H$5:$H$12,M$5:M$12)/7*MAX(节奏总纲!G49-'奖励（新）'!$E$2,0)</f>
        <v>0</v>
      </c>
      <c r="BA51" s="2">
        <f>SUMPRODUCT($F$5:$F$12,$H$5:$H$12,N$5:N$12)/7*MAX(节奏总纲!H49-'奖励（新）'!$E$2,0)</f>
        <v>0</v>
      </c>
      <c r="BE51" s="2">
        <v>46</v>
      </c>
      <c r="BF51" s="41" t="e">
        <f t="shared" si="2"/>
        <v>#DIV/0!</v>
      </c>
      <c r="BG51" s="41" t="e">
        <f t="shared" si="3"/>
        <v>#DIV/0!</v>
      </c>
      <c r="BH51" s="41" t="e">
        <f t="shared" si="4"/>
        <v>#DIV/0!</v>
      </c>
      <c r="BI51" s="41" t="e">
        <f t="shared" si="5"/>
        <v>#DIV/0!</v>
      </c>
      <c r="BJ51" s="41" t="e">
        <f t="shared" si="6"/>
        <v>#DIV/0!</v>
      </c>
      <c r="BK51" s="2">
        <f>(AW51-AL51)*'奖励（新）'!$D$17</f>
        <v>0</v>
      </c>
      <c r="BL51" s="2">
        <f>(AX51-AM51)*'奖励（新）'!$D$17</f>
        <v>0</v>
      </c>
      <c r="BM51" s="2">
        <f>(AY51-AN51)*'奖励（新）'!$D$17</f>
        <v>0</v>
      </c>
      <c r="BN51" s="2">
        <f>(AZ51-AO51)*'奖励（新）'!$D$17</f>
        <v>0</v>
      </c>
      <c r="BO51" s="2">
        <f>(BA51-AP51)*'奖励（新）'!$D$17</f>
        <v>0</v>
      </c>
    </row>
    <row r="52" spans="17:67" x14ac:dyDescent="0.2">
      <c r="Q52" s="2">
        <v>47</v>
      </c>
      <c r="R52" s="2">
        <f>$E$5*$F$5/7*MAX(节奏总纲!D50-$C$1,0)</f>
        <v>0</v>
      </c>
      <c r="S52" s="2">
        <f>$E$5*$F$5/7*MAX(节奏总纲!E50-$C$1,0)</f>
        <v>0</v>
      </c>
      <c r="T52" s="2">
        <f>$E$5*$F$5/7*MAX(节奏总纲!F50-$C$1,0)</f>
        <v>0</v>
      </c>
      <c r="U52" s="2">
        <f>$E$5*$F$5/7*MAX(节奏总纲!G50-$C$1,0)</f>
        <v>0</v>
      </c>
      <c r="V52" s="2">
        <f>$E$5*$F$5/7*MAX(节奏总纲!H50-$C$1,0)</f>
        <v>0</v>
      </c>
      <c r="W52" s="2">
        <f>$E$6*$F$6/7*MAX(节奏总纲!D50-$C$1,0)</f>
        <v>0</v>
      </c>
      <c r="X52" s="2">
        <f>$E$6*$F$6/7*MAX(节奏总纲!E50-$C$1,0)</f>
        <v>0</v>
      </c>
      <c r="Y52" s="2">
        <f>$E$6*$F$6/7*MAX(节奏总纲!F50-$C$1,0)</f>
        <v>0</v>
      </c>
      <c r="Z52" s="2">
        <f>$E$6*$F$6/7*MAX(节奏总纲!G50-$C$1,0)</f>
        <v>0</v>
      </c>
      <c r="AA52" s="2">
        <f>$E$6*$F$6/7*MAX(节奏总纲!H50-$C$1,0)</f>
        <v>0</v>
      </c>
      <c r="AB52" s="2">
        <f>($E$9*$F$9*3600+$E$10*$F$10*1200)/7*MAX(节奏总纲!D50-$C$1,0)</f>
        <v>0</v>
      </c>
      <c r="AC52" s="2">
        <f>($E$9*$F$9*3600+$E$10*$F$10*1200)/7*MAX(节奏总纲!E50-$C$1,0)</f>
        <v>0</v>
      </c>
      <c r="AD52" s="2">
        <f>($E$9*$F$9*3600+$E$10*$F$10*1200)/7*MAX(节奏总纲!F50-$C$1,0)</f>
        <v>0</v>
      </c>
      <c r="AE52" s="2">
        <f>($E$9*$F$9*3600+$E$10*$F$10*1200)/7*MAX(节奏总纲!G50-$C$1,0)</f>
        <v>0</v>
      </c>
      <c r="AF52" s="2">
        <f>($E$9*$F$9*3600+$E$10*$F$10*1200)/7*MAX(节奏总纲!H50-$C$1,0)</f>
        <v>0</v>
      </c>
      <c r="AK52" s="2">
        <v>47</v>
      </c>
      <c r="AL52" s="2">
        <f>'奖励（新）'!CT54</f>
        <v>0</v>
      </c>
      <c r="AM52" s="2">
        <f>'奖励（新）'!CU54</f>
        <v>0</v>
      </c>
      <c r="AN52" s="2">
        <f>'奖励（新）'!CV54</f>
        <v>0</v>
      </c>
      <c r="AO52" s="2">
        <f>'奖励（新）'!CW54</f>
        <v>0</v>
      </c>
      <c r="AP52" s="2">
        <f>'奖励（新）'!CX54</f>
        <v>0</v>
      </c>
      <c r="AV52" s="2">
        <v>47</v>
      </c>
      <c r="AW52" s="2">
        <f>SUMPRODUCT($F$5:$F$12,$H$5:$H$12,J$5:J$12)/7*MAX(节奏总纲!D50-'奖励（新）'!$E$2,0)</f>
        <v>0</v>
      </c>
      <c r="AX52" s="2">
        <f>SUMPRODUCT($F$5:$F$12,$H$5:$H$12,K$5:K$12)/7*MAX(节奏总纲!E50-'奖励（新）'!$E$2,0)</f>
        <v>0</v>
      </c>
      <c r="AY52" s="2">
        <f>SUMPRODUCT($F$5:$F$12,$H$5:$H$12,L$5:L$12)/7*MAX(节奏总纲!F50-'奖励（新）'!$E$2,0)</f>
        <v>0</v>
      </c>
      <c r="AZ52" s="2">
        <f>SUMPRODUCT($F$5:$F$12,$H$5:$H$12,M$5:M$12)/7*MAX(节奏总纲!G50-'奖励（新）'!$E$2,0)</f>
        <v>0</v>
      </c>
      <c r="BA52" s="2">
        <f>SUMPRODUCT($F$5:$F$12,$H$5:$H$12,N$5:N$12)/7*MAX(节奏总纲!H50-'奖励（新）'!$E$2,0)</f>
        <v>0</v>
      </c>
      <c r="BE52" s="2">
        <v>47</v>
      </c>
      <c r="BF52" s="41" t="e">
        <f t="shared" si="2"/>
        <v>#DIV/0!</v>
      </c>
      <c r="BG52" s="41" t="e">
        <f t="shared" si="3"/>
        <v>#DIV/0!</v>
      </c>
      <c r="BH52" s="41" t="e">
        <f t="shared" si="4"/>
        <v>#DIV/0!</v>
      </c>
      <c r="BI52" s="41" t="e">
        <f t="shared" si="5"/>
        <v>#DIV/0!</v>
      </c>
      <c r="BJ52" s="41" t="e">
        <f t="shared" si="6"/>
        <v>#DIV/0!</v>
      </c>
      <c r="BK52" s="2">
        <f>(AW52-AL52)*'奖励（新）'!$D$17</f>
        <v>0</v>
      </c>
      <c r="BL52" s="2">
        <f>(AX52-AM52)*'奖励（新）'!$D$17</f>
        <v>0</v>
      </c>
      <c r="BM52" s="2">
        <f>(AY52-AN52)*'奖励（新）'!$D$17</f>
        <v>0</v>
      </c>
      <c r="BN52" s="2">
        <f>(AZ52-AO52)*'奖励（新）'!$D$17</f>
        <v>0</v>
      </c>
      <c r="BO52" s="2">
        <f>(BA52-AP52)*'奖励（新）'!$D$17</f>
        <v>0</v>
      </c>
    </row>
    <row r="53" spans="17:67" x14ac:dyDescent="0.2">
      <c r="Q53" s="2">
        <v>48</v>
      </c>
      <c r="R53" s="2">
        <f>$E$5*$F$5/7*MAX(节奏总纲!D51-$C$1,0)</f>
        <v>0</v>
      </c>
      <c r="S53" s="2">
        <f>$E$5*$F$5/7*MAX(节奏总纲!E51-$C$1,0)</f>
        <v>0</v>
      </c>
      <c r="T53" s="2">
        <f>$E$5*$F$5/7*MAX(节奏总纲!F51-$C$1,0)</f>
        <v>0</v>
      </c>
      <c r="U53" s="2">
        <f>$E$5*$F$5/7*MAX(节奏总纲!G51-$C$1,0)</f>
        <v>0</v>
      </c>
      <c r="V53" s="2">
        <f>$E$5*$F$5/7*MAX(节奏总纲!H51-$C$1,0)</f>
        <v>0</v>
      </c>
      <c r="W53" s="2">
        <f>$E$6*$F$6/7*MAX(节奏总纲!D51-$C$1,0)</f>
        <v>0</v>
      </c>
      <c r="X53" s="2">
        <f>$E$6*$F$6/7*MAX(节奏总纲!E51-$C$1,0)</f>
        <v>0</v>
      </c>
      <c r="Y53" s="2">
        <f>$E$6*$F$6/7*MAX(节奏总纲!F51-$C$1,0)</f>
        <v>0</v>
      </c>
      <c r="Z53" s="2">
        <f>$E$6*$F$6/7*MAX(节奏总纲!G51-$C$1,0)</f>
        <v>0</v>
      </c>
      <c r="AA53" s="2">
        <f>$E$6*$F$6/7*MAX(节奏总纲!H51-$C$1,0)</f>
        <v>0</v>
      </c>
      <c r="AB53" s="2">
        <f>($E$9*$F$9*3600+$E$10*$F$10*1200)/7*MAX(节奏总纲!D51-$C$1,0)</f>
        <v>0</v>
      </c>
      <c r="AC53" s="2">
        <f>($E$9*$F$9*3600+$E$10*$F$10*1200)/7*MAX(节奏总纲!E51-$C$1,0)</f>
        <v>0</v>
      </c>
      <c r="AD53" s="2">
        <f>($E$9*$F$9*3600+$E$10*$F$10*1200)/7*MAX(节奏总纲!F51-$C$1,0)</f>
        <v>0</v>
      </c>
      <c r="AE53" s="2">
        <f>($E$9*$F$9*3600+$E$10*$F$10*1200)/7*MAX(节奏总纲!G51-$C$1,0)</f>
        <v>0</v>
      </c>
      <c r="AF53" s="2">
        <f>($E$9*$F$9*3600+$E$10*$F$10*1200)/7*MAX(节奏总纲!H51-$C$1,0)</f>
        <v>0</v>
      </c>
      <c r="AK53" s="2">
        <v>48</v>
      </c>
      <c r="AL53" s="2">
        <f>'奖励（新）'!CT55</f>
        <v>0</v>
      </c>
      <c r="AM53" s="2">
        <f>'奖励（新）'!CU55</f>
        <v>0</v>
      </c>
      <c r="AN53" s="2">
        <f>'奖励（新）'!CV55</f>
        <v>0</v>
      </c>
      <c r="AO53" s="2">
        <f>'奖励（新）'!CW55</f>
        <v>0</v>
      </c>
      <c r="AP53" s="2">
        <f>'奖励（新）'!CX55</f>
        <v>0</v>
      </c>
      <c r="AV53" s="2">
        <v>48</v>
      </c>
      <c r="AW53" s="2">
        <f>SUMPRODUCT($F$5:$F$12,$H$5:$H$12,J$5:J$12)/7*MAX(节奏总纲!D51-'奖励（新）'!$E$2,0)</f>
        <v>0</v>
      </c>
      <c r="AX53" s="2">
        <f>SUMPRODUCT($F$5:$F$12,$H$5:$H$12,K$5:K$12)/7*MAX(节奏总纲!E51-'奖励（新）'!$E$2,0)</f>
        <v>0</v>
      </c>
      <c r="AY53" s="2">
        <f>SUMPRODUCT($F$5:$F$12,$H$5:$H$12,L$5:L$12)/7*MAX(节奏总纲!F51-'奖励（新）'!$E$2,0)</f>
        <v>0</v>
      </c>
      <c r="AZ53" s="2">
        <f>SUMPRODUCT($F$5:$F$12,$H$5:$H$12,M$5:M$12)/7*MAX(节奏总纲!G51-'奖励（新）'!$E$2,0)</f>
        <v>0</v>
      </c>
      <c r="BA53" s="2">
        <f>SUMPRODUCT($F$5:$F$12,$H$5:$H$12,N$5:N$12)/7*MAX(节奏总纲!H51-'奖励（新）'!$E$2,0)</f>
        <v>0</v>
      </c>
      <c r="BE53" s="2">
        <v>48</v>
      </c>
      <c r="BF53" s="41" t="e">
        <f t="shared" si="2"/>
        <v>#DIV/0!</v>
      </c>
      <c r="BG53" s="41" t="e">
        <f t="shared" si="3"/>
        <v>#DIV/0!</v>
      </c>
      <c r="BH53" s="41" t="e">
        <f t="shared" si="4"/>
        <v>#DIV/0!</v>
      </c>
      <c r="BI53" s="41" t="e">
        <f t="shared" si="5"/>
        <v>#DIV/0!</v>
      </c>
      <c r="BJ53" s="41" t="e">
        <f t="shared" si="6"/>
        <v>#DIV/0!</v>
      </c>
      <c r="BK53" s="2">
        <f>(AW53-AL53)*'奖励（新）'!$D$17</f>
        <v>0</v>
      </c>
      <c r="BL53" s="2">
        <f>(AX53-AM53)*'奖励（新）'!$D$17</f>
        <v>0</v>
      </c>
      <c r="BM53" s="2">
        <f>(AY53-AN53)*'奖励（新）'!$D$17</f>
        <v>0</v>
      </c>
      <c r="BN53" s="2">
        <f>(AZ53-AO53)*'奖励（新）'!$D$17</f>
        <v>0</v>
      </c>
      <c r="BO53" s="2">
        <f>(BA53-AP53)*'奖励（新）'!$D$17</f>
        <v>0</v>
      </c>
    </row>
    <row r="54" spans="17:67" x14ac:dyDescent="0.2">
      <c r="Q54" s="2">
        <v>49</v>
      </c>
      <c r="R54" s="2">
        <f>$E$5*$F$5/7*MAX(节奏总纲!D52-$C$1,0)</f>
        <v>0</v>
      </c>
      <c r="S54" s="2">
        <f>$E$5*$F$5/7*MAX(节奏总纲!E52-$C$1,0)</f>
        <v>0</v>
      </c>
      <c r="T54" s="2">
        <f>$E$5*$F$5/7*MAX(节奏总纲!F52-$C$1,0)</f>
        <v>0</v>
      </c>
      <c r="U54" s="2">
        <f>$E$5*$F$5/7*MAX(节奏总纲!G52-$C$1,0)</f>
        <v>0</v>
      </c>
      <c r="V54" s="2">
        <f>$E$5*$F$5/7*MAX(节奏总纲!H52-$C$1,0)</f>
        <v>0</v>
      </c>
      <c r="W54" s="2">
        <f>$E$6*$F$6/7*MAX(节奏总纲!D52-$C$1,0)</f>
        <v>0</v>
      </c>
      <c r="X54" s="2">
        <f>$E$6*$F$6/7*MAX(节奏总纲!E52-$C$1,0)</f>
        <v>0</v>
      </c>
      <c r="Y54" s="2">
        <f>$E$6*$F$6/7*MAX(节奏总纲!F52-$C$1,0)</f>
        <v>0</v>
      </c>
      <c r="Z54" s="2">
        <f>$E$6*$F$6/7*MAX(节奏总纲!G52-$C$1,0)</f>
        <v>0</v>
      </c>
      <c r="AA54" s="2">
        <f>$E$6*$F$6/7*MAX(节奏总纲!H52-$C$1,0)</f>
        <v>0</v>
      </c>
      <c r="AB54" s="2">
        <f>($E$9*$F$9*3600+$E$10*$F$10*1200)/7*MAX(节奏总纲!D52-$C$1,0)</f>
        <v>0</v>
      </c>
      <c r="AC54" s="2">
        <f>($E$9*$F$9*3600+$E$10*$F$10*1200)/7*MAX(节奏总纲!E52-$C$1,0)</f>
        <v>0</v>
      </c>
      <c r="AD54" s="2">
        <f>($E$9*$F$9*3600+$E$10*$F$10*1200)/7*MAX(节奏总纲!F52-$C$1,0)</f>
        <v>0</v>
      </c>
      <c r="AE54" s="2">
        <f>($E$9*$F$9*3600+$E$10*$F$10*1200)/7*MAX(节奏总纲!G52-$C$1,0)</f>
        <v>0</v>
      </c>
      <c r="AF54" s="2">
        <f>($E$9*$F$9*3600+$E$10*$F$10*1200)/7*MAX(节奏总纲!H52-$C$1,0)</f>
        <v>0</v>
      </c>
      <c r="AK54" s="2">
        <v>49</v>
      </c>
      <c r="AL54" s="2">
        <f>'奖励（新）'!CT56</f>
        <v>0</v>
      </c>
      <c r="AM54" s="2">
        <f>'奖励（新）'!CU56</f>
        <v>0</v>
      </c>
      <c r="AN54" s="2">
        <f>'奖励（新）'!CV56</f>
        <v>0</v>
      </c>
      <c r="AO54" s="2">
        <f>'奖励（新）'!CW56</f>
        <v>0</v>
      </c>
      <c r="AP54" s="2">
        <f>'奖励（新）'!CX56</f>
        <v>0</v>
      </c>
      <c r="AV54" s="2">
        <v>49</v>
      </c>
      <c r="AW54" s="2">
        <f>SUMPRODUCT($F$5:$F$12,$H$5:$H$12,J$5:J$12)/7*MAX(节奏总纲!D52-'奖励（新）'!$E$2,0)</f>
        <v>0</v>
      </c>
      <c r="AX54" s="2">
        <f>SUMPRODUCT($F$5:$F$12,$H$5:$H$12,K$5:K$12)/7*MAX(节奏总纲!E52-'奖励（新）'!$E$2,0)</f>
        <v>0</v>
      </c>
      <c r="AY54" s="2">
        <f>SUMPRODUCT($F$5:$F$12,$H$5:$H$12,L$5:L$12)/7*MAX(节奏总纲!F52-'奖励（新）'!$E$2,0)</f>
        <v>0</v>
      </c>
      <c r="AZ54" s="2">
        <f>SUMPRODUCT($F$5:$F$12,$H$5:$H$12,M$5:M$12)/7*MAX(节奏总纲!G52-'奖励（新）'!$E$2,0)</f>
        <v>0</v>
      </c>
      <c r="BA54" s="2">
        <f>SUMPRODUCT($F$5:$F$12,$H$5:$H$12,N$5:N$12)/7*MAX(节奏总纲!H52-'奖励（新）'!$E$2,0)</f>
        <v>0</v>
      </c>
      <c r="BE54" s="2">
        <v>49</v>
      </c>
      <c r="BF54" s="41" t="e">
        <f t="shared" si="2"/>
        <v>#DIV/0!</v>
      </c>
      <c r="BG54" s="41" t="e">
        <f t="shared" si="3"/>
        <v>#DIV/0!</v>
      </c>
      <c r="BH54" s="41" t="e">
        <f t="shared" si="4"/>
        <v>#DIV/0!</v>
      </c>
      <c r="BI54" s="41" t="e">
        <f t="shared" si="5"/>
        <v>#DIV/0!</v>
      </c>
      <c r="BJ54" s="41" t="e">
        <f t="shared" si="6"/>
        <v>#DIV/0!</v>
      </c>
      <c r="BK54" s="2">
        <f>(AW54-AL54)*'奖励（新）'!$D$17</f>
        <v>0</v>
      </c>
      <c r="BL54" s="2">
        <f>(AX54-AM54)*'奖励（新）'!$D$17</f>
        <v>0</v>
      </c>
      <c r="BM54" s="2">
        <f>(AY54-AN54)*'奖励（新）'!$D$17</f>
        <v>0</v>
      </c>
      <c r="BN54" s="2">
        <f>(AZ54-AO54)*'奖励（新）'!$D$17</f>
        <v>0</v>
      </c>
      <c r="BO54" s="2">
        <f>(BA54-AP54)*'奖励（新）'!$D$17</f>
        <v>0</v>
      </c>
    </row>
    <row r="55" spans="17:67" x14ac:dyDescent="0.2">
      <c r="Q55" s="2">
        <v>50</v>
      </c>
      <c r="R55" s="2">
        <f>$E$5*$F$5/7*MAX(节奏总纲!D53-$C$1,0)</f>
        <v>0</v>
      </c>
      <c r="S55" s="2">
        <f>$E$5*$F$5/7*MAX(节奏总纲!E53-$C$1,0)</f>
        <v>0</v>
      </c>
      <c r="T55" s="2">
        <f>$E$5*$F$5/7*MAX(节奏总纲!F53-$C$1,0)</f>
        <v>0</v>
      </c>
      <c r="U55" s="2">
        <f>$E$5*$F$5/7*MAX(节奏总纲!G53-$C$1,0)</f>
        <v>0</v>
      </c>
      <c r="V55" s="2">
        <f>$E$5*$F$5/7*MAX(节奏总纲!H53-$C$1,0)</f>
        <v>0</v>
      </c>
      <c r="W55" s="2">
        <f>$E$6*$F$6/7*MAX(节奏总纲!D53-$C$1,0)</f>
        <v>0</v>
      </c>
      <c r="X55" s="2">
        <f>$E$6*$F$6/7*MAX(节奏总纲!E53-$C$1,0)</f>
        <v>0</v>
      </c>
      <c r="Y55" s="2">
        <f>$E$6*$F$6/7*MAX(节奏总纲!F53-$C$1,0)</f>
        <v>0</v>
      </c>
      <c r="Z55" s="2">
        <f>$E$6*$F$6/7*MAX(节奏总纲!G53-$C$1,0)</f>
        <v>0</v>
      </c>
      <c r="AA55" s="2">
        <f>$E$6*$F$6/7*MAX(节奏总纲!H53-$C$1,0)</f>
        <v>0</v>
      </c>
      <c r="AB55" s="2">
        <f>($E$9*$F$9*3600+$E$10*$F$10*1200)/7*MAX(节奏总纲!D53-$C$1,0)</f>
        <v>0</v>
      </c>
      <c r="AC55" s="2">
        <f>($E$9*$F$9*3600+$E$10*$F$10*1200)/7*MAX(节奏总纲!E53-$C$1,0)</f>
        <v>0</v>
      </c>
      <c r="AD55" s="2">
        <f>($E$9*$F$9*3600+$E$10*$F$10*1200)/7*MAX(节奏总纲!F53-$C$1,0)</f>
        <v>0</v>
      </c>
      <c r="AE55" s="2">
        <f>($E$9*$F$9*3600+$E$10*$F$10*1200)/7*MAX(节奏总纲!G53-$C$1,0)</f>
        <v>0</v>
      </c>
      <c r="AF55" s="2">
        <f>($E$9*$F$9*3600+$E$10*$F$10*1200)/7*MAX(节奏总纲!H53-$C$1,0)</f>
        <v>0</v>
      </c>
      <c r="AK55" s="2">
        <v>50</v>
      </c>
      <c r="AL55" s="2">
        <f>'奖励（新）'!CT57</f>
        <v>0</v>
      </c>
      <c r="AM55" s="2">
        <f>'奖励（新）'!CU57</f>
        <v>0</v>
      </c>
      <c r="AN55" s="2">
        <f>'奖励（新）'!CV57</f>
        <v>0</v>
      </c>
      <c r="AO55" s="2">
        <f>'奖励（新）'!CW57</f>
        <v>0</v>
      </c>
      <c r="AP55" s="2">
        <f>'奖励（新）'!CX57</f>
        <v>0</v>
      </c>
      <c r="AV55" s="2">
        <v>50</v>
      </c>
      <c r="AW55" s="2">
        <f>SUMPRODUCT($F$5:$F$12,$H$5:$H$12,J$5:J$12)/7*MAX(节奏总纲!D53-'奖励（新）'!$E$2,0)</f>
        <v>0</v>
      </c>
      <c r="AX55" s="2">
        <f>SUMPRODUCT($F$5:$F$12,$H$5:$H$12,K$5:K$12)/7*MAX(节奏总纲!E53-'奖励（新）'!$E$2,0)</f>
        <v>0</v>
      </c>
      <c r="AY55" s="2">
        <f>SUMPRODUCT($F$5:$F$12,$H$5:$H$12,L$5:L$12)/7*MAX(节奏总纲!F53-'奖励（新）'!$E$2,0)</f>
        <v>0</v>
      </c>
      <c r="AZ55" s="2">
        <f>SUMPRODUCT($F$5:$F$12,$H$5:$H$12,M$5:M$12)/7*MAX(节奏总纲!G53-'奖励（新）'!$E$2,0)</f>
        <v>0</v>
      </c>
      <c r="BA55" s="2">
        <f>SUMPRODUCT($F$5:$F$12,$H$5:$H$12,N$5:N$12)/7*MAX(节奏总纲!H53-'奖励（新）'!$E$2,0)</f>
        <v>0</v>
      </c>
      <c r="BE55" s="2">
        <v>50</v>
      </c>
      <c r="BF55" s="41" t="e">
        <f t="shared" si="2"/>
        <v>#DIV/0!</v>
      </c>
      <c r="BG55" s="41" t="e">
        <f t="shared" si="3"/>
        <v>#DIV/0!</v>
      </c>
      <c r="BH55" s="41" t="e">
        <f t="shared" si="4"/>
        <v>#DIV/0!</v>
      </c>
      <c r="BI55" s="41" t="e">
        <f t="shared" si="5"/>
        <v>#DIV/0!</v>
      </c>
      <c r="BJ55" s="41" t="e">
        <f t="shared" si="6"/>
        <v>#DIV/0!</v>
      </c>
      <c r="BK55" s="2">
        <f>(AW55-AL55)*'奖励（新）'!$D$17</f>
        <v>0</v>
      </c>
      <c r="BL55" s="2">
        <f>(AX55-AM55)*'奖励（新）'!$D$17</f>
        <v>0</v>
      </c>
      <c r="BM55" s="2">
        <f>(AY55-AN55)*'奖励（新）'!$D$17</f>
        <v>0</v>
      </c>
      <c r="BN55" s="2">
        <f>(AZ55-AO55)*'奖励（新）'!$D$17</f>
        <v>0</v>
      </c>
      <c r="BO55" s="2">
        <f>(BA55-AP55)*'奖励（新）'!$D$17</f>
        <v>0</v>
      </c>
    </row>
    <row r="56" spans="17:67" x14ac:dyDescent="0.2">
      <c r="Q56" s="2">
        <v>51</v>
      </c>
      <c r="R56" s="2">
        <f>$E$5*$F$5/7*MAX(节奏总纲!D54-$C$1,0)</f>
        <v>0</v>
      </c>
      <c r="S56" s="2">
        <f>$E$5*$F$5/7*MAX(节奏总纲!E54-$C$1,0)</f>
        <v>0</v>
      </c>
      <c r="T56" s="2">
        <f>$E$5*$F$5/7*MAX(节奏总纲!F54-$C$1,0)</f>
        <v>0</v>
      </c>
      <c r="U56" s="2">
        <f>$E$5*$F$5/7*MAX(节奏总纲!G54-$C$1,0)</f>
        <v>0</v>
      </c>
      <c r="V56" s="2">
        <f>$E$5*$F$5/7*MAX(节奏总纲!H54-$C$1,0)</f>
        <v>0</v>
      </c>
      <c r="W56" s="2">
        <f>$E$6*$F$6/7*MAX(节奏总纲!D54-$C$1,0)</f>
        <v>0</v>
      </c>
      <c r="X56" s="2">
        <f>$E$6*$F$6/7*MAX(节奏总纲!E54-$C$1,0)</f>
        <v>0</v>
      </c>
      <c r="Y56" s="2">
        <f>$E$6*$F$6/7*MAX(节奏总纲!F54-$C$1,0)</f>
        <v>0</v>
      </c>
      <c r="Z56" s="2">
        <f>$E$6*$F$6/7*MAX(节奏总纲!G54-$C$1,0)</f>
        <v>0</v>
      </c>
      <c r="AA56" s="2">
        <f>$E$6*$F$6/7*MAX(节奏总纲!H54-$C$1,0)</f>
        <v>0</v>
      </c>
      <c r="AB56" s="2">
        <f>($E$9*$F$9*3600+$E$10*$F$10*1200)/7*MAX(节奏总纲!D54-$C$1,0)</f>
        <v>0</v>
      </c>
      <c r="AC56" s="2">
        <f>($E$9*$F$9*3600+$E$10*$F$10*1200)/7*MAX(节奏总纲!E54-$C$1,0)</f>
        <v>0</v>
      </c>
      <c r="AD56" s="2">
        <f>($E$9*$F$9*3600+$E$10*$F$10*1200)/7*MAX(节奏总纲!F54-$C$1,0)</f>
        <v>0</v>
      </c>
      <c r="AE56" s="2">
        <f>($E$9*$F$9*3600+$E$10*$F$10*1200)/7*MAX(节奏总纲!G54-$C$1,0)</f>
        <v>0</v>
      </c>
      <c r="AF56" s="2">
        <f>($E$9*$F$9*3600+$E$10*$F$10*1200)/7*MAX(节奏总纲!H54-$C$1,0)</f>
        <v>0</v>
      </c>
      <c r="AK56" s="2">
        <v>51</v>
      </c>
      <c r="AL56" s="2">
        <f>'奖励（新）'!CT58</f>
        <v>0</v>
      </c>
      <c r="AM56" s="2">
        <f>'奖励（新）'!CU58</f>
        <v>0</v>
      </c>
      <c r="AN56" s="2">
        <f>'奖励（新）'!CV58</f>
        <v>0</v>
      </c>
      <c r="AO56" s="2">
        <f>'奖励（新）'!CW58</f>
        <v>0</v>
      </c>
      <c r="AP56" s="2">
        <f>'奖励（新）'!CX58</f>
        <v>0</v>
      </c>
      <c r="AV56" s="2">
        <v>51</v>
      </c>
      <c r="AW56" s="2">
        <f>SUMPRODUCT($F$5:$F$12,$H$5:$H$12,J$5:J$12)/7*MAX(节奏总纲!D54-'奖励（新）'!$E$2,0)</f>
        <v>0</v>
      </c>
      <c r="AX56" s="2">
        <f>SUMPRODUCT($F$5:$F$12,$H$5:$H$12,K$5:K$12)/7*MAX(节奏总纲!E54-'奖励（新）'!$E$2,0)</f>
        <v>0</v>
      </c>
      <c r="AY56" s="2">
        <f>SUMPRODUCT($F$5:$F$12,$H$5:$H$12,L$5:L$12)/7*MAX(节奏总纲!F54-'奖励（新）'!$E$2,0)</f>
        <v>0</v>
      </c>
      <c r="AZ56" s="2">
        <f>SUMPRODUCT($F$5:$F$12,$H$5:$H$12,M$5:M$12)/7*MAX(节奏总纲!G54-'奖励（新）'!$E$2,0)</f>
        <v>0</v>
      </c>
      <c r="BA56" s="2">
        <f>SUMPRODUCT($F$5:$F$12,$H$5:$H$12,N$5:N$12)/7*MAX(节奏总纲!H54-'奖励（新）'!$E$2,0)</f>
        <v>0</v>
      </c>
      <c r="BE56" s="2">
        <v>51</v>
      </c>
      <c r="BF56" s="41" t="e">
        <f t="shared" si="2"/>
        <v>#DIV/0!</v>
      </c>
      <c r="BG56" s="41" t="e">
        <f t="shared" si="3"/>
        <v>#DIV/0!</v>
      </c>
      <c r="BH56" s="41" t="e">
        <f t="shared" si="4"/>
        <v>#DIV/0!</v>
      </c>
      <c r="BI56" s="41" t="e">
        <f t="shared" si="5"/>
        <v>#DIV/0!</v>
      </c>
      <c r="BJ56" s="41" t="e">
        <f t="shared" si="6"/>
        <v>#DIV/0!</v>
      </c>
      <c r="BK56" s="2">
        <f>(AW56-AL56)*'奖励（新）'!$D$17</f>
        <v>0</v>
      </c>
      <c r="BL56" s="2">
        <f>(AX56-AM56)*'奖励（新）'!$D$17</f>
        <v>0</v>
      </c>
      <c r="BM56" s="2">
        <f>(AY56-AN56)*'奖励（新）'!$D$17</f>
        <v>0</v>
      </c>
      <c r="BN56" s="2">
        <f>(AZ56-AO56)*'奖励（新）'!$D$17</f>
        <v>0</v>
      </c>
      <c r="BO56" s="2">
        <f>(BA56-AP56)*'奖励（新）'!$D$17</f>
        <v>0</v>
      </c>
    </row>
    <row r="57" spans="17:67" x14ac:dyDescent="0.2">
      <c r="Q57" s="2">
        <v>52</v>
      </c>
      <c r="R57" s="2">
        <f>$E$5*$F$5/7*MAX(节奏总纲!D55-$C$1,0)</f>
        <v>0</v>
      </c>
      <c r="S57" s="2">
        <f>$E$5*$F$5/7*MAX(节奏总纲!E55-$C$1,0)</f>
        <v>0</v>
      </c>
      <c r="T57" s="2">
        <f>$E$5*$F$5/7*MAX(节奏总纲!F55-$C$1,0)</f>
        <v>0</v>
      </c>
      <c r="U57" s="2">
        <f>$E$5*$F$5/7*MAX(节奏总纲!G55-$C$1,0)</f>
        <v>0</v>
      </c>
      <c r="V57" s="2">
        <f>$E$5*$F$5/7*MAX(节奏总纲!H55-$C$1,0)</f>
        <v>0</v>
      </c>
      <c r="W57" s="2">
        <f>$E$6*$F$6/7*MAX(节奏总纲!D55-$C$1,0)</f>
        <v>0</v>
      </c>
      <c r="X57" s="2">
        <f>$E$6*$F$6/7*MAX(节奏总纲!E55-$C$1,0)</f>
        <v>0</v>
      </c>
      <c r="Y57" s="2">
        <f>$E$6*$F$6/7*MAX(节奏总纲!F55-$C$1,0)</f>
        <v>0</v>
      </c>
      <c r="Z57" s="2">
        <f>$E$6*$F$6/7*MAX(节奏总纲!G55-$C$1,0)</f>
        <v>0</v>
      </c>
      <c r="AA57" s="2">
        <f>$E$6*$F$6/7*MAX(节奏总纲!H55-$C$1,0)</f>
        <v>0</v>
      </c>
      <c r="AB57" s="2">
        <f>($E$9*$F$9*3600+$E$10*$F$10*1200)/7*MAX(节奏总纲!D55-$C$1,0)</f>
        <v>0</v>
      </c>
      <c r="AC57" s="2">
        <f>($E$9*$F$9*3600+$E$10*$F$10*1200)/7*MAX(节奏总纲!E55-$C$1,0)</f>
        <v>0</v>
      </c>
      <c r="AD57" s="2">
        <f>($E$9*$F$9*3600+$E$10*$F$10*1200)/7*MAX(节奏总纲!F55-$C$1,0)</f>
        <v>0</v>
      </c>
      <c r="AE57" s="2">
        <f>($E$9*$F$9*3600+$E$10*$F$10*1200)/7*MAX(节奏总纲!G55-$C$1,0)</f>
        <v>0</v>
      </c>
      <c r="AF57" s="2">
        <f>($E$9*$F$9*3600+$E$10*$F$10*1200)/7*MAX(节奏总纲!H55-$C$1,0)</f>
        <v>0</v>
      </c>
      <c r="AK57" s="2">
        <v>52</v>
      </c>
      <c r="AL57" s="2">
        <f>'奖励（新）'!CT59</f>
        <v>0</v>
      </c>
      <c r="AM57" s="2">
        <f>'奖励（新）'!CU59</f>
        <v>0</v>
      </c>
      <c r="AN57" s="2">
        <f>'奖励（新）'!CV59</f>
        <v>0</v>
      </c>
      <c r="AO57" s="2">
        <f>'奖励（新）'!CW59</f>
        <v>0</v>
      </c>
      <c r="AP57" s="2">
        <f>'奖励（新）'!CX59</f>
        <v>0</v>
      </c>
      <c r="AV57" s="2">
        <v>52</v>
      </c>
      <c r="AW57" s="2">
        <f>SUMPRODUCT($F$5:$F$12,$H$5:$H$12,J$5:J$12)/7*MAX(节奏总纲!D55-'奖励（新）'!$E$2,0)</f>
        <v>0</v>
      </c>
      <c r="AX57" s="2">
        <f>SUMPRODUCT($F$5:$F$12,$H$5:$H$12,K$5:K$12)/7*MAX(节奏总纲!E55-'奖励（新）'!$E$2,0)</f>
        <v>0</v>
      </c>
      <c r="AY57" s="2">
        <f>SUMPRODUCT($F$5:$F$12,$H$5:$H$12,L$5:L$12)/7*MAX(节奏总纲!F55-'奖励（新）'!$E$2,0)</f>
        <v>0</v>
      </c>
      <c r="AZ57" s="2">
        <f>SUMPRODUCT($F$5:$F$12,$H$5:$H$12,M$5:M$12)/7*MAX(节奏总纲!G55-'奖励（新）'!$E$2,0)</f>
        <v>0</v>
      </c>
      <c r="BA57" s="2">
        <f>SUMPRODUCT($F$5:$F$12,$H$5:$H$12,N$5:N$12)/7*MAX(节奏总纲!H55-'奖励（新）'!$E$2,0)</f>
        <v>0</v>
      </c>
      <c r="BE57" s="2">
        <v>52</v>
      </c>
      <c r="BF57" s="41" t="e">
        <f t="shared" si="2"/>
        <v>#DIV/0!</v>
      </c>
      <c r="BG57" s="41" t="e">
        <f t="shared" si="3"/>
        <v>#DIV/0!</v>
      </c>
      <c r="BH57" s="41" t="e">
        <f t="shared" si="4"/>
        <v>#DIV/0!</v>
      </c>
      <c r="BI57" s="41" t="e">
        <f t="shared" si="5"/>
        <v>#DIV/0!</v>
      </c>
      <c r="BJ57" s="41" t="e">
        <f t="shared" si="6"/>
        <v>#DIV/0!</v>
      </c>
      <c r="BK57" s="2">
        <f>(AW57-AL57)*'奖励（新）'!$D$17</f>
        <v>0</v>
      </c>
      <c r="BL57" s="2">
        <f>(AX57-AM57)*'奖励（新）'!$D$17</f>
        <v>0</v>
      </c>
      <c r="BM57" s="2">
        <f>(AY57-AN57)*'奖励（新）'!$D$17</f>
        <v>0</v>
      </c>
      <c r="BN57" s="2">
        <f>(AZ57-AO57)*'奖励（新）'!$D$17</f>
        <v>0</v>
      </c>
      <c r="BO57" s="2">
        <f>(BA57-AP57)*'奖励（新）'!$D$17</f>
        <v>0</v>
      </c>
    </row>
    <row r="58" spans="17:67" x14ac:dyDescent="0.2">
      <c r="Q58" s="2">
        <v>53</v>
      </c>
      <c r="R58" s="2">
        <f>$E$5*$F$5/7*MAX(节奏总纲!D56-$C$1,0)</f>
        <v>0</v>
      </c>
      <c r="S58" s="2">
        <f>$E$5*$F$5/7*MAX(节奏总纲!E56-$C$1,0)</f>
        <v>0</v>
      </c>
      <c r="T58" s="2">
        <f>$E$5*$F$5/7*MAX(节奏总纲!F56-$C$1,0)</f>
        <v>0</v>
      </c>
      <c r="U58" s="2">
        <f>$E$5*$F$5/7*MAX(节奏总纲!G56-$C$1,0)</f>
        <v>0</v>
      </c>
      <c r="V58" s="2">
        <f>$E$5*$F$5/7*MAX(节奏总纲!H56-$C$1,0)</f>
        <v>0</v>
      </c>
      <c r="W58" s="2">
        <f>$E$6*$F$6/7*MAX(节奏总纲!D56-$C$1,0)</f>
        <v>0</v>
      </c>
      <c r="X58" s="2">
        <f>$E$6*$F$6/7*MAX(节奏总纲!E56-$C$1,0)</f>
        <v>0</v>
      </c>
      <c r="Y58" s="2">
        <f>$E$6*$F$6/7*MAX(节奏总纲!F56-$C$1,0)</f>
        <v>0</v>
      </c>
      <c r="Z58" s="2">
        <f>$E$6*$F$6/7*MAX(节奏总纲!G56-$C$1,0)</f>
        <v>0</v>
      </c>
      <c r="AA58" s="2">
        <f>$E$6*$F$6/7*MAX(节奏总纲!H56-$C$1,0)</f>
        <v>0</v>
      </c>
      <c r="AB58" s="2">
        <f>($E$9*$F$9*3600+$E$10*$F$10*1200)/7*MAX(节奏总纲!D56-$C$1,0)</f>
        <v>0</v>
      </c>
      <c r="AC58" s="2">
        <f>($E$9*$F$9*3600+$E$10*$F$10*1200)/7*MAX(节奏总纲!E56-$C$1,0)</f>
        <v>0</v>
      </c>
      <c r="AD58" s="2">
        <f>($E$9*$F$9*3600+$E$10*$F$10*1200)/7*MAX(节奏总纲!F56-$C$1,0)</f>
        <v>0</v>
      </c>
      <c r="AE58" s="2">
        <f>($E$9*$F$9*3600+$E$10*$F$10*1200)/7*MAX(节奏总纲!G56-$C$1,0)</f>
        <v>0</v>
      </c>
      <c r="AF58" s="2">
        <f>($E$9*$F$9*3600+$E$10*$F$10*1200)/7*MAX(节奏总纲!H56-$C$1,0)</f>
        <v>0</v>
      </c>
      <c r="AK58" s="2">
        <v>53</v>
      </c>
      <c r="AL58" s="2">
        <f>'奖励（新）'!CT60</f>
        <v>0</v>
      </c>
      <c r="AM58" s="2">
        <f>'奖励（新）'!CU60</f>
        <v>0</v>
      </c>
      <c r="AN58" s="2">
        <f>'奖励（新）'!CV60</f>
        <v>0</v>
      </c>
      <c r="AO58" s="2">
        <f>'奖励（新）'!CW60</f>
        <v>0</v>
      </c>
      <c r="AP58" s="2">
        <f>'奖励（新）'!CX60</f>
        <v>0</v>
      </c>
      <c r="AV58" s="2">
        <v>53</v>
      </c>
      <c r="AW58" s="2">
        <f>SUMPRODUCT($F$5:$F$12,$H$5:$H$12,J$5:J$12)/7*MAX(节奏总纲!D56-'奖励（新）'!$E$2,0)</f>
        <v>0</v>
      </c>
      <c r="AX58" s="2">
        <f>SUMPRODUCT($F$5:$F$12,$H$5:$H$12,K$5:K$12)/7*MAX(节奏总纲!E56-'奖励（新）'!$E$2,0)</f>
        <v>0</v>
      </c>
      <c r="AY58" s="2">
        <f>SUMPRODUCT($F$5:$F$12,$H$5:$H$12,L$5:L$12)/7*MAX(节奏总纲!F56-'奖励（新）'!$E$2,0)</f>
        <v>0</v>
      </c>
      <c r="AZ58" s="2">
        <f>SUMPRODUCT($F$5:$F$12,$H$5:$H$12,M$5:M$12)/7*MAX(节奏总纲!G56-'奖励（新）'!$E$2,0)</f>
        <v>0</v>
      </c>
      <c r="BA58" s="2">
        <f>SUMPRODUCT($F$5:$F$12,$H$5:$H$12,N$5:N$12)/7*MAX(节奏总纲!H56-'奖励（新）'!$E$2,0)</f>
        <v>0</v>
      </c>
      <c r="BE58" s="2">
        <v>53</v>
      </c>
      <c r="BF58" s="41" t="e">
        <f t="shared" si="2"/>
        <v>#DIV/0!</v>
      </c>
      <c r="BG58" s="41" t="e">
        <f t="shared" si="3"/>
        <v>#DIV/0!</v>
      </c>
      <c r="BH58" s="41" t="e">
        <f t="shared" si="4"/>
        <v>#DIV/0!</v>
      </c>
      <c r="BI58" s="41" t="e">
        <f t="shared" si="5"/>
        <v>#DIV/0!</v>
      </c>
      <c r="BJ58" s="41" t="e">
        <f t="shared" si="6"/>
        <v>#DIV/0!</v>
      </c>
      <c r="BK58" s="2">
        <f>(AW58-AL58)*'奖励（新）'!$D$17</f>
        <v>0</v>
      </c>
      <c r="BL58" s="2">
        <f>(AX58-AM58)*'奖励（新）'!$D$17</f>
        <v>0</v>
      </c>
      <c r="BM58" s="2">
        <f>(AY58-AN58)*'奖励（新）'!$D$17</f>
        <v>0</v>
      </c>
      <c r="BN58" s="2">
        <f>(AZ58-AO58)*'奖励（新）'!$D$17</f>
        <v>0</v>
      </c>
      <c r="BO58" s="2">
        <f>(BA58-AP58)*'奖励（新）'!$D$17</f>
        <v>0</v>
      </c>
    </row>
    <row r="59" spans="17:67" x14ac:dyDescent="0.2">
      <c r="Q59" s="2">
        <v>54</v>
      </c>
      <c r="R59" s="2">
        <f>$E$5*$F$5/7*MAX(节奏总纲!D57-$C$1,0)</f>
        <v>0</v>
      </c>
      <c r="S59" s="2">
        <f>$E$5*$F$5/7*MAX(节奏总纲!E57-$C$1,0)</f>
        <v>0</v>
      </c>
      <c r="T59" s="2">
        <f>$E$5*$F$5/7*MAX(节奏总纲!F57-$C$1,0)</f>
        <v>0</v>
      </c>
      <c r="U59" s="2">
        <f>$E$5*$F$5/7*MAX(节奏总纲!G57-$C$1,0)</f>
        <v>0</v>
      </c>
      <c r="V59" s="2">
        <f>$E$5*$F$5/7*MAX(节奏总纲!H57-$C$1,0)</f>
        <v>0</v>
      </c>
      <c r="W59" s="2">
        <f>$E$6*$F$6/7*MAX(节奏总纲!D57-$C$1,0)</f>
        <v>0</v>
      </c>
      <c r="X59" s="2">
        <f>$E$6*$F$6/7*MAX(节奏总纲!E57-$C$1,0)</f>
        <v>0</v>
      </c>
      <c r="Y59" s="2">
        <f>$E$6*$F$6/7*MAX(节奏总纲!F57-$C$1,0)</f>
        <v>0</v>
      </c>
      <c r="Z59" s="2">
        <f>$E$6*$F$6/7*MAX(节奏总纲!G57-$C$1,0)</f>
        <v>0</v>
      </c>
      <c r="AA59" s="2">
        <f>$E$6*$F$6/7*MAX(节奏总纲!H57-$C$1,0)</f>
        <v>0</v>
      </c>
      <c r="AB59" s="2">
        <f>($E$9*$F$9*3600+$E$10*$F$10*1200)/7*MAX(节奏总纲!D57-$C$1,0)</f>
        <v>0</v>
      </c>
      <c r="AC59" s="2">
        <f>($E$9*$F$9*3600+$E$10*$F$10*1200)/7*MAX(节奏总纲!E57-$C$1,0)</f>
        <v>0</v>
      </c>
      <c r="AD59" s="2">
        <f>($E$9*$F$9*3600+$E$10*$F$10*1200)/7*MAX(节奏总纲!F57-$C$1,0)</f>
        <v>0</v>
      </c>
      <c r="AE59" s="2">
        <f>($E$9*$F$9*3600+$E$10*$F$10*1200)/7*MAX(节奏总纲!G57-$C$1,0)</f>
        <v>0</v>
      </c>
      <c r="AF59" s="2">
        <f>($E$9*$F$9*3600+$E$10*$F$10*1200)/7*MAX(节奏总纲!H57-$C$1,0)</f>
        <v>0</v>
      </c>
      <c r="AK59" s="2">
        <v>54</v>
      </c>
      <c r="AL59" s="2">
        <f>'奖励（新）'!CT61</f>
        <v>0</v>
      </c>
      <c r="AM59" s="2">
        <f>'奖励（新）'!CU61</f>
        <v>0</v>
      </c>
      <c r="AN59" s="2">
        <f>'奖励（新）'!CV61</f>
        <v>0</v>
      </c>
      <c r="AO59" s="2">
        <f>'奖励（新）'!CW61</f>
        <v>0</v>
      </c>
      <c r="AP59" s="2">
        <f>'奖励（新）'!CX61</f>
        <v>0</v>
      </c>
      <c r="AV59" s="2">
        <v>54</v>
      </c>
      <c r="AW59" s="2">
        <f>SUMPRODUCT($F$5:$F$12,$H$5:$H$12,J$5:J$12)/7*MAX(节奏总纲!D57-'奖励（新）'!$E$2,0)</f>
        <v>0</v>
      </c>
      <c r="AX59" s="2">
        <f>SUMPRODUCT($F$5:$F$12,$H$5:$H$12,K$5:K$12)/7*MAX(节奏总纲!E57-'奖励（新）'!$E$2,0)</f>
        <v>0</v>
      </c>
      <c r="AY59" s="2">
        <f>SUMPRODUCT($F$5:$F$12,$H$5:$H$12,L$5:L$12)/7*MAX(节奏总纲!F57-'奖励（新）'!$E$2,0)</f>
        <v>0</v>
      </c>
      <c r="AZ59" s="2">
        <f>SUMPRODUCT($F$5:$F$12,$H$5:$H$12,M$5:M$12)/7*MAX(节奏总纲!G57-'奖励（新）'!$E$2,0)</f>
        <v>0</v>
      </c>
      <c r="BA59" s="2">
        <f>SUMPRODUCT($F$5:$F$12,$H$5:$H$12,N$5:N$12)/7*MAX(节奏总纲!H57-'奖励（新）'!$E$2,0)</f>
        <v>0</v>
      </c>
      <c r="BE59" s="2">
        <v>54</v>
      </c>
      <c r="BF59" s="41" t="e">
        <f t="shared" si="2"/>
        <v>#DIV/0!</v>
      </c>
      <c r="BG59" s="41" t="e">
        <f t="shared" si="3"/>
        <v>#DIV/0!</v>
      </c>
      <c r="BH59" s="41" t="e">
        <f t="shared" si="4"/>
        <v>#DIV/0!</v>
      </c>
      <c r="BI59" s="41" t="e">
        <f t="shared" si="5"/>
        <v>#DIV/0!</v>
      </c>
      <c r="BJ59" s="41" t="e">
        <f t="shared" si="6"/>
        <v>#DIV/0!</v>
      </c>
      <c r="BK59" s="2">
        <f>(AW59-AL59)*'奖励（新）'!$D$17</f>
        <v>0</v>
      </c>
      <c r="BL59" s="2">
        <f>(AX59-AM59)*'奖励（新）'!$D$17</f>
        <v>0</v>
      </c>
      <c r="BM59" s="2">
        <f>(AY59-AN59)*'奖励（新）'!$D$17</f>
        <v>0</v>
      </c>
      <c r="BN59" s="2">
        <f>(AZ59-AO59)*'奖励（新）'!$D$17</f>
        <v>0</v>
      </c>
      <c r="BO59" s="2">
        <f>(BA59-AP59)*'奖励（新）'!$D$17</f>
        <v>0</v>
      </c>
    </row>
    <row r="60" spans="17:67" x14ac:dyDescent="0.2">
      <c r="Q60" s="2">
        <v>55</v>
      </c>
      <c r="R60" s="2">
        <f>$E$5*$F$5/7*MAX(节奏总纲!D58-$C$1,0)</f>
        <v>0</v>
      </c>
      <c r="S60" s="2">
        <f>$E$5*$F$5/7*MAX(节奏总纲!E58-$C$1,0)</f>
        <v>0</v>
      </c>
      <c r="T60" s="2">
        <f>$E$5*$F$5/7*MAX(节奏总纲!F58-$C$1,0)</f>
        <v>0</v>
      </c>
      <c r="U60" s="2">
        <f>$E$5*$F$5/7*MAX(节奏总纲!G58-$C$1,0)</f>
        <v>0</v>
      </c>
      <c r="V60" s="2">
        <f>$E$5*$F$5/7*MAX(节奏总纲!H58-$C$1,0)</f>
        <v>0</v>
      </c>
      <c r="W60" s="2">
        <f>$E$6*$F$6/7*MAX(节奏总纲!D58-$C$1,0)</f>
        <v>0</v>
      </c>
      <c r="X60" s="2">
        <f>$E$6*$F$6/7*MAX(节奏总纲!E58-$C$1,0)</f>
        <v>0</v>
      </c>
      <c r="Y60" s="2">
        <f>$E$6*$F$6/7*MAX(节奏总纲!F58-$C$1,0)</f>
        <v>0</v>
      </c>
      <c r="Z60" s="2">
        <f>$E$6*$F$6/7*MAX(节奏总纲!G58-$C$1,0)</f>
        <v>0</v>
      </c>
      <c r="AA60" s="2">
        <f>$E$6*$F$6/7*MAX(节奏总纲!H58-$C$1,0)</f>
        <v>0</v>
      </c>
      <c r="AB60" s="2">
        <f>($E$9*$F$9*3600+$E$10*$F$10*1200)/7*MAX(节奏总纲!D58-$C$1,0)</f>
        <v>0</v>
      </c>
      <c r="AC60" s="2">
        <f>($E$9*$F$9*3600+$E$10*$F$10*1200)/7*MAX(节奏总纲!E58-$C$1,0)</f>
        <v>0</v>
      </c>
      <c r="AD60" s="2">
        <f>($E$9*$F$9*3600+$E$10*$F$10*1200)/7*MAX(节奏总纲!F58-$C$1,0)</f>
        <v>0</v>
      </c>
      <c r="AE60" s="2">
        <f>($E$9*$F$9*3600+$E$10*$F$10*1200)/7*MAX(节奏总纲!G58-$C$1,0)</f>
        <v>0</v>
      </c>
      <c r="AF60" s="2">
        <f>($E$9*$F$9*3600+$E$10*$F$10*1200)/7*MAX(节奏总纲!H58-$C$1,0)</f>
        <v>0</v>
      </c>
      <c r="AK60" s="2">
        <v>55</v>
      </c>
      <c r="AL60" s="2">
        <f>'奖励（新）'!CT62</f>
        <v>0</v>
      </c>
      <c r="AM60" s="2">
        <f>'奖励（新）'!CU62</f>
        <v>0</v>
      </c>
      <c r="AN60" s="2">
        <f>'奖励（新）'!CV62</f>
        <v>0</v>
      </c>
      <c r="AO60" s="2">
        <f>'奖励（新）'!CW62</f>
        <v>0</v>
      </c>
      <c r="AP60" s="2">
        <f>'奖励（新）'!CX62</f>
        <v>0</v>
      </c>
      <c r="AV60" s="2">
        <v>55</v>
      </c>
      <c r="AW60" s="2">
        <f>SUMPRODUCT($F$5:$F$12,$H$5:$H$12,J$5:J$12)/7*MAX(节奏总纲!D58-'奖励（新）'!$E$2,0)</f>
        <v>0</v>
      </c>
      <c r="AX60" s="2">
        <f>SUMPRODUCT($F$5:$F$12,$H$5:$H$12,K$5:K$12)/7*MAX(节奏总纲!E58-'奖励（新）'!$E$2,0)</f>
        <v>0</v>
      </c>
      <c r="AY60" s="2">
        <f>SUMPRODUCT($F$5:$F$12,$H$5:$H$12,L$5:L$12)/7*MAX(节奏总纲!F58-'奖励（新）'!$E$2,0)</f>
        <v>0</v>
      </c>
      <c r="AZ60" s="2">
        <f>SUMPRODUCT($F$5:$F$12,$H$5:$H$12,M$5:M$12)/7*MAX(节奏总纲!G58-'奖励（新）'!$E$2,0)</f>
        <v>0</v>
      </c>
      <c r="BA60" s="2">
        <f>SUMPRODUCT($F$5:$F$12,$H$5:$H$12,N$5:N$12)/7*MAX(节奏总纲!H58-'奖励（新）'!$E$2,0)</f>
        <v>0</v>
      </c>
      <c r="BE60" s="2">
        <v>55</v>
      </c>
      <c r="BF60" s="41" t="e">
        <f t="shared" si="2"/>
        <v>#DIV/0!</v>
      </c>
      <c r="BG60" s="41" t="e">
        <f t="shared" si="3"/>
        <v>#DIV/0!</v>
      </c>
      <c r="BH60" s="41" t="e">
        <f t="shared" si="4"/>
        <v>#DIV/0!</v>
      </c>
      <c r="BI60" s="41" t="e">
        <f t="shared" si="5"/>
        <v>#DIV/0!</v>
      </c>
      <c r="BJ60" s="41" t="e">
        <f t="shared" si="6"/>
        <v>#DIV/0!</v>
      </c>
      <c r="BK60" s="2">
        <f>(AW60-AL60)*'奖励（新）'!$D$17</f>
        <v>0</v>
      </c>
      <c r="BL60" s="2">
        <f>(AX60-AM60)*'奖励（新）'!$D$17</f>
        <v>0</v>
      </c>
      <c r="BM60" s="2">
        <f>(AY60-AN60)*'奖励（新）'!$D$17</f>
        <v>0</v>
      </c>
      <c r="BN60" s="2">
        <f>(AZ60-AO60)*'奖励（新）'!$D$17</f>
        <v>0</v>
      </c>
      <c r="BO60" s="2">
        <f>(BA60-AP60)*'奖励（新）'!$D$17</f>
        <v>0</v>
      </c>
    </row>
    <row r="61" spans="17:67" x14ac:dyDescent="0.2">
      <c r="Q61" s="2">
        <v>56</v>
      </c>
      <c r="R61" s="2">
        <f>$E$5*$F$5/7*MAX(节奏总纲!D59-$C$1,0)</f>
        <v>0</v>
      </c>
      <c r="S61" s="2">
        <f>$E$5*$F$5/7*MAX(节奏总纲!E59-$C$1,0)</f>
        <v>0</v>
      </c>
      <c r="T61" s="2">
        <f>$E$5*$F$5/7*MAX(节奏总纲!F59-$C$1,0)</f>
        <v>0</v>
      </c>
      <c r="U61" s="2">
        <f>$E$5*$F$5/7*MAX(节奏总纲!G59-$C$1,0)</f>
        <v>0</v>
      </c>
      <c r="V61" s="2">
        <f>$E$5*$F$5/7*MAX(节奏总纲!H59-$C$1,0)</f>
        <v>0</v>
      </c>
      <c r="W61" s="2">
        <f>$E$6*$F$6/7*MAX(节奏总纲!D59-$C$1,0)</f>
        <v>0</v>
      </c>
      <c r="X61" s="2">
        <f>$E$6*$F$6/7*MAX(节奏总纲!E59-$C$1,0)</f>
        <v>0</v>
      </c>
      <c r="Y61" s="2">
        <f>$E$6*$F$6/7*MAX(节奏总纲!F59-$C$1,0)</f>
        <v>0</v>
      </c>
      <c r="Z61" s="2">
        <f>$E$6*$F$6/7*MAX(节奏总纲!G59-$C$1,0)</f>
        <v>0</v>
      </c>
      <c r="AA61" s="2">
        <f>$E$6*$F$6/7*MAX(节奏总纲!H59-$C$1,0)</f>
        <v>0</v>
      </c>
      <c r="AB61" s="2">
        <f>($E$9*$F$9*3600+$E$10*$F$10*1200)/7*MAX(节奏总纲!D59-$C$1,0)</f>
        <v>0</v>
      </c>
      <c r="AC61" s="2">
        <f>($E$9*$F$9*3600+$E$10*$F$10*1200)/7*MAX(节奏总纲!E59-$C$1,0)</f>
        <v>0</v>
      </c>
      <c r="AD61" s="2">
        <f>($E$9*$F$9*3600+$E$10*$F$10*1200)/7*MAX(节奏总纲!F59-$C$1,0)</f>
        <v>0</v>
      </c>
      <c r="AE61" s="2">
        <f>($E$9*$F$9*3600+$E$10*$F$10*1200)/7*MAX(节奏总纲!G59-$C$1,0)</f>
        <v>0</v>
      </c>
      <c r="AF61" s="2">
        <f>($E$9*$F$9*3600+$E$10*$F$10*1200)/7*MAX(节奏总纲!H59-$C$1,0)</f>
        <v>0</v>
      </c>
      <c r="AK61" s="2">
        <v>56</v>
      </c>
      <c r="AL61" s="2">
        <f>'奖励（新）'!CT63</f>
        <v>0</v>
      </c>
      <c r="AM61" s="2">
        <f>'奖励（新）'!CU63</f>
        <v>0</v>
      </c>
      <c r="AN61" s="2">
        <f>'奖励（新）'!CV63</f>
        <v>0</v>
      </c>
      <c r="AO61" s="2">
        <f>'奖励（新）'!CW63</f>
        <v>0</v>
      </c>
      <c r="AP61" s="2">
        <f>'奖励（新）'!CX63</f>
        <v>0</v>
      </c>
      <c r="AV61" s="2">
        <v>56</v>
      </c>
      <c r="AW61" s="2">
        <f>SUMPRODUCT($F$5:$F$12,$H$5:$H$12,J$5:J$12)/7*MAX(节奏总纲!D59-'奖励（新）'!$E$2,0)</f>
        <v>0</v>
      </c>
      <c r="AX61" s="2">
        <f>SUMPRODUCT($F$5:$F$12,$H$5:$H$12,K$5:K$12)/7*MAX(节奏总纲!E59-'奖励（新）'!$E$2,0)</f>
        <v>0</v>
      </c>
      <c r="AY61" s="2">
        <f>SUMPRODUCT($F$5:$F$12,$H$5:$H$12,L$5:L$12)/7*MAX(节奏总纲!F59-'奖励（新）'!$E$2,0)</f>
        <v>0</v>
      </c>
      <c r="AZ61" s="2">
        <f>SUMPRODUCT($F$5:$F$12,$H$5:$H$12,M$5:M$12)/7*MAX(节奏总纲!G59-'奖励（新）'!$E$2,0)</f>
        <v>0</v>
      </c>
      <c r="BA61" s="2">
        <f>SUMPRODUCT($F$5:$F$12,$H$5:$H$12,N$5:N$12)/7*MAX(节奏总纲!H59-'奖励（新）'!$E$2,0)</f>
        <v>0</v>
      </c>
      <c r="BE61" s="2">
        <v>56</v>
      </c>
      <c r="BF61" s="41" t="e">
        <f t="shared" si="2"/>
        <v>#DIV/0!</v>
      </c>
      <c r="BG61" s="41" t="e">
        <f t="shared" si="3"/>
        <v>#DIV/0!</v>
      </c>
      <c r="BH61" s="41" t="e">
        <f t="shared" si="4"/>
        <v>#DIV/0!</v>
      </c>
      <c r="BI61" s="41" t="e">
        <f t="shared" si="5"/>
        <v>#DIV/0!</v>
      </c>
      <c r="BJ61" s="41" t="e">
        <f t="shared" si="6"/>
        <v>#DIV/0!</v>
      </c>
      <c r="BK61" s="2">
        <f>(AW61-AL61)*'奖励（新）'!$D$17</f>
        <v>0</v>
      </c>
      <c r="BL61" s="2">
        <f>(AX61-AM61)*'奖励（新）'!$D$17</f>
        <v>0</v>
      </c>
      <c r="BM61" s="2">
        <f>(AY61-AN61)*'奖励（新）'!$D$17</f>
        <v>0</v>
      </c>
      <c r="BN61" s="2">
        <f>(AZ61-AO61)*'奖励（新）'!$D$17</f>
        <v>0</v>
      </c>
      <c r="BO61" s="2">
        <f>(BA61-AP61)*'奖励（新）'!$D$17</f>
        <v>0</v>
      </c>
    </row>
    <row r="62" spans="17:67" x14ac:dyDescent="0.2">
      <c r="Q62" s="2">
        <v>57</v>
      </c>
      <c r="R62" s="2">
        <f>$E$5*$F$5/7*MAX(节奏总纲!D60-$C$1,0)</f>
        <v>0</v>
      </c>
      <c r="S62" s="2">
        <f>$E$5*$F$5/7*MAX(节奏总纲!E60-$C$1,0)</f>
        <v>0</v>
      </c>
      <c r="T62" s="2">
        <f>$E$5*$F$5/7*MAX(节奏总纲!F60-$C$1,0)</f>
        <v>0</v>
      </c>
      <c r="U62" s="2">
        <f>$E$5*$F$5/7*MAX(节奏总纲!G60-$C$1,0)</f>
        <v>0</v>
      </c>
      <c r="V62" s="2">
        <f>$E$5*$F$5/7*MAX(节奏总纲!H60-$C$1,0)</f>
        <v>0</v>
      </c>
      <c r="W62" s="2">
        <f>$E$6*$F$6/7*MAX(节奏总纲!D60-$C$1,0)</f>
        <v>0</v>
      </c>
      <c r="X62" s="2">
        <f>$E$6*$F$6/7*MAX(节奏总纲!E60-$C$1,0)</f>
        <v>0</v>
      </c>
      <c r="Y62" s="2">
        <f>$E$6*$F$6/7*MAX(节奏总纲!F60-$C$1,0)</f>
        <v>0</v>
      </c>
      <c r="Z62" s="2">
        <f>$E$6*$F$6/7*MAX(节奏总纲!G60-$C$1,0)</f>
        <v>0</v>
      </c>
      <c r="AA62" s="2">
        <f>$E$6*$F$6/7*MAX(节奏总纲!H60-$C$1,0)</f>
        <v>0</v>
      </c>
      <c r="AB62" s="2">
        <f>($E$9*$F$9*3600+$E$10*$F$10*1200)/7*MAX(节奏总纲!D60-$C$1,0)</f>
        <v>0</v>
      </c>
      <c r="AC62" s="2">
        <f>($E$9*$F$9*3600+$E$10*$F$10*1200)/7*MAX(节奏总纲!E60-$C$1,0)</f>
        <v>0</v>
      </c>
      <c r="AD62" s="2">
        <f>($E$9*$F$9*3600+$E$10*$F$10*1200)/7*MAX(节奏总纲!F60-$C$1,0)</f>
        <v>0</v>
      </c>
      <c r="AE62" s="2">
        <f>($E$9*$F$9*3600+$E$10*$F$10*1200)/7*MAX(节奏总纲!G60-$C$1,0)</f>
        <v>0</v>
      </c>
      <c r="AF62" s="2">
        <f>($E$9*$F$9*3600+$E$10*$F$10*1200)/7*MAX(节奏总纲!H60-$C$1,0)</f>
        <v>0</v>
      </c>
      <c r="AK62" s="2">
        <v>57</v>
      </c>
      <c r="AL62" s="2">
        <f>'奖励（新）'!CT64</f>
        <v>0</v>
      </c>
      <c r="AM62" s="2">
        <f>'奖励（新）'!CU64</f>
        <v>0</v>
      </c>
      <c r="AN62" s="2">
        <f>'奖励（新）'!CV64</f>
        <v>0</v>
      </c>
      <c r="AO62" s="2">
        <f>'奖励（新）'!CW64</f>
        <v>0</v>
      </c>
      <c r="AP62" s="2">
        <f>'奖励（新）'!CX64</f>
        <v>0</v>
      </c>
      <c r="AV62" s="2">
        <v>57</v>
      </c>
      <c r="AW62" s="2">
        <f>SUMPRODUCT($F$5:$F$12,$H$5:$H$12,J$5:J$12)/7*MAX(节奏总纲!D60-'奖励（新）'!$E$2,0)</f>
        <v>0</v>
      </c>
      <c r="AX62" s="2">
        <f>SUMPRODUCT($F$5:$F$12,$H$5:$H$12,K$5:K$12)/7*MAX(节奏总纲!E60-'奖励（新）'!$E$2,0)</f>
        <v>0</v>
      </c>
      <c r="AY62" s="2">
        <f>SUMPRODUCT($F$5:$F$12,$H$5:$H$12,L$5:L$12)/7*MAX(节奏总纲!F60-'奖励（新）'!$E$2,0)</f>
        <v>0</v>
      </c>
      <c r="AZ62" s="2">
        <f>SUMPRODUCT($F$5:$F$12,$H$5:$H$12,M$5:M$12)/7*MAX(节奏总纲!G60-'奖励（新）'!$E$2,0)</f>
        <v>0</v>
      </c>
      <c r="BA62" s="2">
        <f>SUMPRODUCT($F$5:$F$12,$H$5:$H$12,N$5:N$12)/7*MAX(节奏总纲!H60-'奖励（新）'!$E$2,0)</f>
        <v>0</v>
      </c>
      <c r="BE62" s="2">
        <v>57</v>
      </c>
      <c r="BF62" s="41" t="e">
        <f t="shared" si="2"/>
        <v>#DIV/0!</v>
      </c>
      <c r="BG62" s="41" t="e">
        <f t="shared" si="3"/>
        <v>#DIV/0!</v>
      </c>
      <c r="BH62" s="41" t="e">
        <f t="shared" si="4"/>
        <v>#DIV/0!</v>
      </c>
      <c r="BI62" s="41" t="e">
        <f t="shared" si="5"/>
        <v>#DIV/0!</v>
      </c>
      <c r="BJ62" s="41" t="e">
        <f t="shared" si="6"/>
        <v>#DIV/0!</v>
      </c>
      <c r="BK62" s="2">
        <f>(AW62-AL62)*'奖励（新）'!$D$17</f>
        <v>0</v>
      </c>
      <c r="BL62" s="2">
        <f>(AX62-AM62)*'奖励（新）'!$D$17</f>
        <v>0</v>
      </c>
      <c r="BM62" s="2">
        <f>(AY62-AN62)*'奖励（新）'!$D$17</f>
        <v>0</v>
      </c>
      <c r="BN62" s="2">
        <f>(AZ62-AO62)*'奖励（新）'!$D$17</f>
        <v>0</v>
      </c>
      <c r="BO62" s="2">
        <f>(BA62-AP62)*'奖励（新）'!$D$17</f>
        <v>0</v>
      </c>
    </row>
    <row r="63" spans="17:67" x14ac:dyDescent="0.2">
      <c r="Q63" s="2">
        <v>58</v>
      </c>
      <c r="R63" s="2">
        <f>$E$5*$F$5/7*MAX(节奏总纲!D61-$C$1,0)</f>
        <v>0</v>
      </c>
      <c r="S63" s="2">
        <f>$E$5*$F$5/7*MAX(节奏总纲!E61-$C$1,0)</f>
        <v>0</v>
      </c>
      <c r="T63" s="2">
        <f>$E$5*$F$5/7*MAX(节奏总纲!F61-$C$1,0)</f>
        <v>0</v>
      </c>
      <c r="U63" s="2">
        <f>$E$5*$F$5/7*MAX(节奏总纲!G61-$C$1,0)</f>
        <v>0</v>
      </c>
      <c r="V63" s="2">
        <f>$E$5*$F$5/7*MAX(节奏总纲!H61-$C$1,0)</f>
        <v>0</v>
      </c>
      <c r="W63" s="2">
        <f>$E$6*$F$6/7*MAX(节奏总纲!D61-$C$1,0)</f>
        <v>0</v>
      </c>
      <c r="X63" s="2">
        <f>$E$6*$F$6/7*MAX(节奏总纲!E61-$C$1,0)</f>
        <v>0</v>
      </c>
      <c r="Y63" s="2">
        <f>$E$6*$F$6/7*MAX(节奏总纲!F61-$C$1,0)</f>
        <v>0</v>
      </c>
      <c r="Z63" s="2">
        <f>$E$6*$F$6/7*MAX(节奏总纲!G61-$C$1,0)</f>
        <v>0</v>
      </c>
      <c r="AA63" s="2">
        <f>$E$6*$F$6/7*MAX(节奏总纲!H61-$C$1,0)</f>
        <v>0</v>
      </c>
      <c r="AB63" s="2">
        <f>($E$9*$F$9*3600+$E$10*$F$10*1200)/7*MAX(节奏总纲!D61-$C$1,0)</f>
        <v>0</v>
      </c>
      <c r="AC63" s="2">
        <f>($E$9*$F$9*3600+$E$10*$F$10*1200)/7*MAX(节奏总纲!E61-$C$1,0)</f>
        <v>0</v>
      </c>
      <c r="AD63" s="2">
        <f>($E$9*$F$9*3600+$E$10*$F$10*1200)/7*MAX(节奏总纲!F61-$C$1,0)</f>
        <v>0</v>
      </c>
      <c r="AE63" s="2">
        <f>($E$9*$F$9*3600+$E$10*$F$10*1200)/7*MAX(节奏总纲!G61-$C$1,0)</f>
        <v>0</v>
      </c>
      <c r="AF63" s="2">
        <f>($E$9*$F$9*3600+$E$10*$F$10*1200)/7*MAX(节奏总纲!H61-$C$1,0)</f>
        <v>0</v>
      </c>
      <c r="AK63" s="2">
        <v>58</v>
      </c>
      <c r="AL63" s="2">
        <f>'奖励（新）'!CT65</f>
        <v>0</v>
      </c>
      <c r="AM63" s="2">
        <f>'奖励（新）'!CU65</f>
        <v>0</v>
      </c>
      <c r="AN63" s="2">
        <f>'奖励（新）'!CV65</f>
        <v>0</v>
      </c>
      <c r="AO63" s="2">
        <f>'奖励（新）'!CW65</f>
        <v>0</v>
      </c>
      <c r="AP63" s="2">
        <f>'奖励（新）'!CX65</f>
        <v>0</v>
      </c>
      <c r="AV63" s="2">
        <v>58</v>
      </c>
      <c r="AW63" s="2">
        <f>SUMPRODUCT($F$5:$F$12,$H$5:$H$12,J$5:J$12)/7*MAX(节奏总纲!D61-'奖励（新）'!$E$2,0)</f>
        <v>0</v>
      </c>
      <c r="AX63" s="2">
        <f>SUMPRODUCT($F$5:$F$12,$H$5:$H$12,K$5:K$12)/7*MAX(节奏总纲!E61-'奖励（新）'!$E$2,0)</f>
        <v>0</v>
      </c>
      <c r="AY63" s="2">
        <f>SUMPRODUCT($F$5:$F$12,$H$5:$H$12,L$5:L$12)/7*MAX(节奏总纲!F61-'奖励（新）'!$E$2,0)</f>
        <v>0</v>
      </c>
      <c r="AZ63" s="2">
        <f>SUMPRODUCT($F$5:$F$12,$H$5:$H$12,M$5:M$12)/7*MAX(节奏总纲!G61-'奖励（新）'!$E$2,0)</f>
        <v>0</v>
      </c>
      <c r="BA63" s="2">
        <f>SUMPRODUCT($F$5:$F$12,$H$5:$H$12,N$5:N$12)/7*MAX(节奏总纲!H61-'奖励（新）'!$E$2,0)</f>
        <v>0</v>
      </c>
      <c r="BE63" s="2">
        <v>58</v>
      </c>
      <c r="BF63" s="41" t="e">
        <f t="shared" si="2"/>
        <v>#DIV/0!</v>
      </c>
      <c r="BG63" s="41" t="e">
        <f t="shared" si="3"/>
        <v>#DIV/0!</v>
      </c>
      <c r="BH63" s="41" t="e">
        <f t="shared" si="4"/>
        <v>#DIV/0!</v>
      </c>
      <c r="BI63" s="41" t="e">
        <f t="shared" si="5"/>
        <v>#DIV/0!</v>
      </c>
      <c r="BJ63" s="41" t="e">
        <f t="shared" si="6"/>
        <v>#DIV/0!</v>
      </c>
      <c r="BK63" s="2">
        <f>(AW63-AL63)*'奖励（新）'!$D$17</f>
        <v>0</v>
      </c>
      <c r="BL63" s="2">
        <f>(AX63-AM63)*'奖励（新）'!$D$17</f>
        <v>0</v>
      </c>
      <c r="BM63" s="2">
        <f>(AY63-AN63)*'奖励（新）'!$D$17</f>
        <v>0</v>
      </c>
      <c r="BN63" s="2">
        <f>(AZ63-AO63)*'奖励（新）'!$D$17</f>
        <v>0</v>
      </c>
      <c r="BO63" s="2">
        <f>(BA63-AP63)*'奖励（新）'!$D$17</f>
        <v>0</v>
      </c>
    </row>
    <row r="64" spans="17:67" x14ac:dyDescent="0.2">
      <c r="Q64" s="2">
        <v>59</v>
      </c>
      <c r="R64" s="2">
        <f>$E$5*$F$5/7*MAX(节奏总纲!D62-$C$1,0)</f>
        <v>0</v>
      </c>
      <c r="S64" s="2">
        <f>$E$5*$F$5/7*MAX(节奏总纲!E62-$C$1,0)</f>
        <v>0</v>
      </c>
      <c r="T64" s="2">
        <f>$E$5*$F$5/7*MAX(节奏总纲!F62-$C$1,0)</f>
        <v>0</v>
      </c>
      <c r="U64" s="2">
        <f>$E$5*$F$5/7*MAX(节奏总纲!G62-$C$1,0)</f>
        <v>0</v>
      </c>
      <c r="V64" s="2">
        <f>$E$5*$F$5/7*MAX(节奏总纲!H62-$C$1,0)</f>
        <v>0</v>
      </c>
      <c r="W64" s="2">
        <f>$E$6*$F$6/7*MAX(节奏总纲!D62-$C$1,0)</f>
        <v>0</v>
      </c>
      <c r="X64" s="2">
        <f>$E$6*$F$6/7*MAX(节奏总纲!E62-$C$1,0)</f>
        <v>0</v>
      </c>
      <c r="Y64" s="2">
        <f>$E$6*$F$6/7*MAX(节奏总纲!F62-$C$1,0)</f>
        <v>0</v>
      </c>
      <c r="Z64" s="2">
        <f>$E$6*$F$6/7*MAX(节奏总纲!G62-$C$1,0)</f>
        <v>0</v>
      </c>
      <c r="AA64" s="2">
        <f>$E$6*$F$6/7*MAX(节奏总纲!H62-$C$1,0)</f>
        <v>0</v>
      </c>
      <c r="AB64" s="2">
        <f>($E$9*$F$9*3600+$E$10*$F$10*1200)/7*MAX(节奏总纲!D62-$C$1,0)</f>
        <v>0</v>
      </c>
      <c r="AC64" s="2">
        <f>($E$9*$F$9*3600+$E$10*$F$10*1200)/7*MAX(节奏总纲!E62-$C$1,0)</f>
        <v>0</v>
      </c>
      <c r="AD64" s="2">
        <f>($E$9*$F$9*3600+$E$10*$F$10*1200)/7*MAX(节奏总纲!F62-$C$1,0)</f>
        <v>0</v>
      </c>
      <c r="AE64" s="2">
        <f>($E$9*$F$9*3600+$E$10*$F$10*1200)/7*MAX(节奏总纲!G62-$C$1,0)</f>
        <v>0</v>
      </c>
      <c r="AF64" s="2">
        <f>($E$9*$F$9*3600+$E$10*$F$10*1200)/7*MAX(节奏总纲!H62-$C$1,0)</f>
        <v>0</v>
      </c>
      <c r="AK64" s="2">
        <v>59</v>
      </c>
      <c r="AL64" s="2">
        <f>'奖励（新）'!CT66</f>
        <v>0</v>
      </c>
      <c r="AM64" s="2">
        <f>'奖励（新）'!CU66</f>
        <v>0</v>
      </c>
      <c r="AN64" s="2">
        <f>'奖励（新）'!CV66</f>
        <v>0</v>
      </c>
      <c r="AO64" s="2">
        <f>'奖励（新）'!CW66</f>
        <v>0</v>
      </c>
      <c r="AP64" s="2">
        <f>'奖励（新）'!CX66</f>
        <v>0</v>
      </c>
      <c r="AV64" s="2">
        <v>59</v>
      </c>
      <c r="AW64" s="2">
        <f>SUMPRODUCT($F$5:$F$12,$H$5:$H$12,J$5:J$12)/7*MAX(节奏总纲!D62-'奖励（新）'!$E$2,0)</f>
        <v>0</v>
      </c>
      <c r="AX64" s="2">
        <f>SUMPRODUCT($F$5:$F$12,$H$5:$H$12,K$5:K$12)/7*MAX(节奏总纲!E62-'奖励（新）'!$E$2,0)</f>
        <v>0</v>
      </c>
      <c r="AY64" s="2">
        <f>SUMPRODUCT($F$5:$F$12,$H$5:$H$12,L$5:L$12)/7*MAX(节奏总纲!F62-'奖励（新）'!$E$2,0)</f>
        <v>0</v>
      </c>
      <c r="AZ64" s="2">
        <f>SUMPRODUCT($F$5:$F$12,$H$5:$H$12,M$5:M$12)/7*MAX(节奏总纲!G62-'奖励（新）'!$E$2,0)</f>
        <v>0</v>
      </c>
      <c r="BA64" s="2">
        <f>SUMPRODUCT($F$5:$F$12,$H$5:$H$12,N$5:N$12)/7*MAX(节奏总纲!H62-'奖励（新）'!$E$2,0)</f>
        <v>0</v>
      </c>
      <c r="BE64" s="2">
        <v>59</v>
      </c>
      <c r="BF64" s="41" t="e">
        <f t="shared" si="2"/>
        <v>#DIV/0!</v>
      </c>
      <c r="BG64" s="41" t="e">
        <f t="shared" si="3"/>
        <v>#DIV/0!</v>
      </c>
      <c r="BH64" s="41" t="e">
        <f t="shared" si="4"/>
        <v>#DIV/0!</v>
      </c>
      <c r="BI64" s="41" t="e">
        <f t="shared" si="5"/>
        <v>#DIV/0!</v>
      </c>
      <c r="BJ64" s="41" t="e">
        <f t="shared" si="6"/>
        <v>#DIV/0!</v>
      </c>
      <c r="BK64" s="2">
        <f>(AW64-AL64)*'奖励（新）'!$D$17</f>
        <v>0</v>
      </c>
      <c r="BL64" s="2">
        <f>(AX64-AM64)*'奖励（新）'!$D$17</f>
        <v>0</v>
      </c>
      <c r="BM64" s="2">
        <f>(AY64-AN64)*'奖励（新）'!$D$17</f>
        <v>0</v>
      </c>
      <c r="BN64" s="2">
        <f>(AZ64-AO64)*'奖励（新）'!$D$17</f>
        <v>0</v>
      </c>
      <c r="BO64" s="2">
        <f>(BA64-AP64)*'奖励（新）'!$D$17</f>
        <v>0</v>
      </c>
    </row>
    <row r="65" spans="17:67" x14ac:dyDescent="0.2">
      <c r="Q65" s="2">
        <v>60</v>
      </c>
      <c r="R65" s="2">
        <f>$E$5*$F$5/7*MAX(节奏总纲!D63-$C$1,0)</f>
        <v>21.428571428571431</v>
      </c>
      <c r="S65" s="2">
        <f>$E$5*$F$5/7*MAX(节奏总纲!E63-$C$1,0)</f>
        <v>0</v>
      </c>
      <c r="T65" s="2">
        <f>$E$5*$F$5/7*MAX(节奏总纲!F63-$C$1,0)</f>
        <v>0</v>
      </c>
      <c r="U65" s="2">
        <f>$E$5*$F$5/7*MAX(节奏总纲!G63-$C$1,0)</f>
        <v>0</v>
      </c>
      <c r="V65" s="2">
        <f>$E$5*$F$5/7*MAX(节奏总纲!H63-$C$1,0)</f>
        <v>0</v>
      </c>
      <c r="W65" s="2">
        <f>$E$6*$F$6/7*MAX(节奏总纲!D63-$C$1,0)</f>
        <v>214.28571428571428</v>
      </c>
      <c r="X65" s="2">
        <f>$E$6*$F$6/7*MAX(节奏总纲!E63-$C$1,0)</f>
        <v>0</v>
      </c>
      <c r="Y65" s="2">
        <f>$E$6*$F$6/7*MAX(节奏总纲!F63-$C$1,0)</f>
        <v>0</v>
      </c>
      <c r="Z65" s="2">
        <f>$E$6*$F$6/7*MAX(节奏总纲!G63-$C$1,0)</f>
        <v>0</v>
      </c>
      <c r="AA65" s="2">
        <f>$E$6*$F$6/7*MAX(节奏总纲!H63-$C$1,0)</f>
        <v>0</v>
      </c>
      <c r="AB65" s="2">
        <f>($E$9*$F$9*3600+$E$10*$F$10*1200)/7*MAX(节奏总纲!D63-$C$1,0)</f>
        <v>18000</v>
      </c>
      <c r="AC65" s="2">
        <f>($E$9*$F$9*3600+$E$10*$F$10*1200)/7*MAX(节奏总纲!E63-$C$1,0)</f>
        <v>0</v>
      </c>
      <c r="AD65" s="2">
        <f>($E$9*$F$9*3600+$E$10*$F$10*1200)/7*MAX(节奏总纲!F63-$C$1,0)</f>
        <v>0</v>
      </c>
      <c r="AE65" s="2">
        <f>($E$9*$F$9*3600+$E$10*$F$10*1200)/7*MAX(节奏总纲!G63-$C$1,0)</f>
        <v>0</v>
      </c>
      <c r="AF65" s="2">
        <f>($E$9*$F$9*3600+$E$10*$F$10*1200)/7*MAX(节奏总纲!H63-$C$1,0)</f>
        <v>0</v>
      </c>
      <c r="AK65" s="2">
        <v>60</v>
      </c>
      <c r="AL65" s="2">
        <f>'奖励（新）'!CT67</f>
        <v>1163.8356164383561</v>
      </c>
      <c r="AM65" s="2">
        <f>'奖励（新）'!CU67</f>
        <v>0</v>
      </c>
      <c r="AN65" s="2">
        <f>'奖励（新）'!CV67</f>
        <v>0</v>
      </c>
      <c r="AO65" s="2">
        <f>'奖励（新）'!CW67</f>
        <v>0</v>
      </c>
      <c r="AP65" s="2">
        <f>'奖励（新）'!CX67</f>
        <v>0</v>
      </c>
      <c r="AV65" s="2">
        <v>60</v>
      </c>
      <c r="AW65" s="2">
        <f>SUMPRODUCT($F$5:$F$12,$H$5:$H$12,J$5:J$12)/7*MAX(节奏总纲!D63-'奖励（新）'!$E$2,0)</f>
        <v>1735.7142857142858</v>
      </c>
      <c r="AX65" s="2">
        <f>SUMPRODUCT($F$5:$F$12,$H$5:$H$12,K$5:K$12)/7*MAX(节奏总纲!E63-'奖励（新）'!$E$2,0)</f>
        <v>0</v>
      </c>
      <c r="AY65" s="2">
        <f>SUMPRODUCT($F$5:$F$12,$H$5:$H$12,L$5:L$12)/7*MAX(节奏总纲!F63-'奖励（新）'!$E$2,0)</f>
        <v>0</v>
      </c>
      <c r="AZ65" s="2">
        <f>SUMPRODUCT($F$5:$F$12,$H$5:$H$12,M$5:M$12)/7*MAX(节奏总纲!G63-'奖励（新）'!$E$2,0)</f>
        <v>0</v>
      </c>
      <c r="BA65" s="2">
        <f>SUMPRODUCT($F$5:$F$12,$H$5:$H$12,N$5:N$12)/7*MAX(节奏总纲!H63-'奖励（新）'!$E$2,0)</f>
        <v>0</v>
      </c>
      <c r="BE65" s="2">
        <v>60</v>
      </c>
      <c r="BF65" s="41">
        <f t="shared" si="2"/>
        <v>0.67052257737189236</v>
      </c>
      <c r="BG65" s="41" t="e">
        <f t="shared" si="3"/>
        <v>#DIV/0!</v>
      </c>
      <c r="BH65" s="41" t="e">
        <f t="shared" si="4"/>
        <v>#DIV/0!</v>
      </c>
      <c r="BI65" s="41" t="e">
        <f t="shared" si="5"/>
        <v>#DIV/0!</v>
      </c>
      <c r="BJ65" s="41" t="e">
        <f t="shared" si="6"/>
        <v>#DIV/0!</v>
      </c>
      <c r="BK65" s="2">
        <f>(AW65-AL65)*'奖励（新）'!$D$17</f>
        <v>2859.3933463796484</v>
      </c>
      <c r="BL65" s="2">
        <f>(AX65-AM65)*'奖励（新）'!$D$17</f>
        <v>0</v>
      </c>
      <c r="BM65" s="2">
        <f>(AY65-AN65)*'奖励（新）'!$D$17</f>
        <v>0</v>
      </c>
      <c r="BN65" s="2">
        <f>(AZ65-AO65)*'奖励（新）'!$D$17</f>
        <v>0</v>
      </c>
      <c r="BO65" s="2">
        <f>(BA65-AP65)*'奖励（新）'!$D$17</f>
        <v>0</v>
      </c>
    </row>
    <row r="66" spans="17:67" x14ac:dyDescent="0.2">
      <c r="Q66" s="2">
        <v>61</v>
      </c>
      <c r="R66" s="2">
        <f>$E$5*$F$5/7*MAX(节奏总纲!D64-$C$1,0)</f>
        <v>54.239297159448085</v>
      </c>
      <c r="S66" s="2">
        <f>$E$5*$F$5/7*MAX(节奏总纲!E64-$C$1,0)</f>
        <v>0</v>
      </c>
      <c r="T66" s="2">
        <f>$E$5*$F$5/7*MAX(节奏总纲!F64-$C$1,0)</f>
        <v>0</v>
      </c>
      <c r="U66" s="2">
        <f>$E$5*$F$5/7*MAX(节奏总纲!G64-$C$1,0)</f>
        <v>0</v>
      </c>
      <c r="V66" s="2">
        <f>$E$5*$F$5/7*MAX(节奏总纲!H64-$C$1,0)</f>
        <v>0</v>
      </c>
      <c r="W66" s="2">
        <f>$E$6*$F$6/7*MAX(节奏总纲!D64-$C$1,0)</f>
        <v>542.39297159448085</v>
      </c>
      <c r="X66" s="2">
        <f>$E$6*$F$6/7*MAX(节奏总纲!E64-$C$1,0)</f>
        <v>0</v>
      </c>
      <c r="Y66" s="2">
        <f>$E$6*$F$6/7*MAX(节奏总纲!F64-$C$1,0)</f>
        <v>0</v>
      </c>
      <c r="Z66" s="2">
        <f>$E$6*$F$6/7*MAX(节奏总纲!G64-$C$1,0)</f>
        <v>0</v>
      </c>
      <c r="AA66" s="2">
        <f>$E$6*$F$6/7*MAX(节奏总纲!H64-$C$1,0)</f>
        <v>0</v>
      </c>
      <c r="AB66" s="2">
        <f>($E$9*$F$9*3600+$E$10*$F$10*1200)/7*MAX(节奏总纲!D64-$C$1,0)</f>
        <v>45561.009613936389</v>
      </c>
      <c r="AC66" s="2">
        <f>($E$9*$F$9*3600+$E$10*$F$10*1200)/7*MAX(节奏总纲!E64-$C$1,0)</f>
        <v>0</v>
      </c>
      <c r="AD66" s="2">
        <f>($E$9*$F$9*3600+$E$10*$F$10*1200)/7*MAX(节奏总纲!F64-$C$1,0)</f>
        <v>0</v>
      </c>
      <c r="AE66" s="2">
        <f>($E$9*$F$9*3600+$E$10*$F$10*1200)/7*MAX(节奏总纲!G64-$C$1,0)</f>
        <v>0</v>
      </c>
      <c r="AF66" s="2">
        <f>($E$9*$F$9*3600+$E$10*$F$10*1200)/7*MAX(节奏总纲!H64-$C$1,0)</f>
        <v>0</v>
      </c>
      <c r="AK66" s="2">
        <v>61</v>
      </c>
      <c r="AL66" s="2">
        <f>'奖励（新）'!CT68</f>
        <v>2945.8625394216406</v>
      </c>
      <c r="AM66" s="2">
        <f>'奖励（新）'!CU68</f>
        <v>0</v>
      </c>
      <c r="AN66" s="2">
        <f>'奖励（新）'!CV68</f>
        <v>0</v>
      </c>
      <c r="AO66" s="2">
        <f>'奖励（新）'!CW68</f>
        <v>0</v>
      </c>
      <c r="AP66" s="2">
        <f>'奖励（新）'!CX68</f>
        <v>0</v>
      </c>
      <c r="AV66" s="2">
        <v>61</v>
      </c>
      <c r="AW66" s="2">
        <f>SUMPRODUCT($F$5:$F$12,$H$5:$H$12,J$5:J$12)/7*MAX(节奏总纲!D64-'奖励（新）'!$E$2,0)</f>
        <v>4393.383069915295</v>
      </c>
      <c r="AX66" s="2">
        <f>SUMPRODUCT($F$5:$F$12,$H$5:$H$12,K$5:K$12)/7*MAX(节奏总纲!E64-'奖励（新）'!$E$2,0)</f>
        <v>0</v>
      </c>
      <c r="AY66" s="2">
        <f>SUMPRODUCT($F$5:$F$12,$H$5:$H$12,L$5:L$12)/7*MAX(节奏总纲!F64-'奖励（新）'!$E$2,0)</f>
        <v>0</v>
      </c>
      <c r="AZ66" s="2">
        <f>SUMPRODUCT($F$5:$F$12,$H$5:$H$12,M$5:M$12)/7*MAX(节奏总纲!G64-'奖励（新）'!$E$2,0)</f>
        <v>0</v>
      </c>
      <c r="BA66" s="2">
        <f>SUMPRODUCT($F$5:$F$12,$H$5:$H$12,N$5:N$12)/7*MAX(节奏总纲!H64-'奖励（新）'!$E$2,0)</f>
        <v>0</v>
      </c>
      <c r="BE66" s="2">
        <v>61</v>
      </c>
      <c r="BF66" s="41">
        <f t="shared" si="2"/>
        <v>0.67052257737189236</v>
      </c>
      <c r="BG66" s="41" t="e">
        <f t="shared" si="3"/>
        <v>#DIV/0!</v>
      </c>
      <c r="BH66" s="41" t="e">
        <f t="shared" si="4"/>
        <v>#DIV/0!</v>
      </c>
      <c r="BI66" s="41" t="e">
        <f t="shared" si="5"/>
        <v>#DIV/0!</v>
      </c>
      <c r="BJ66" s="41" t="e">
        <f t="shared" si="6"/>
        <v>#DIV/0!</v>
      </c>
      <c r="BK66" s="2">
        <f>(AW66-AL66)*'奖励（新）'!$D$17</f>
        <v>7237.602652468272</v>
      </c>
      <c r="BL66" s="2">
        <f>(AX66-AM66)*'奖励（新）'!$D$17</f>
        <v>0</v>
      </c>
      <c r="BM66" s="2">
        <f>(AY66-AN66)*'奖励（新）'!$D$17</f>
        <v>0</v>
      </c>
      <c r="BN66" s="2">
        <f>(AZ66-AO66)*'奖励（新）'!$D$17</f>
        <v>0</v>
      </c>
      <c r="BO66" s="2">
        <f>(BA66-AP66)*'奖励（新）'!$D$17</f>
        <v>0</v>
      </c>
    </row>
    <row r="67" spans="17:67" x14ac:dyDescent="0.2">
      <c r="Q67" s="2">
        <v>62</v>
      </c>
      <c r="R67" s="2">
        <f>$E$5*$F$5/7*MAX(节奏总纲!D65-$C$1,0)</f>
        <v>89.404962284358703</v>
      </c>
      <c r="S67" s="2">
        <f>$E$5*$F$5/7*MAX(节奏总纲!E65-$C$1,0)</f>
        <v>20.306911744196707</v>
      </c>
      <c r="T67" s="2">
        <f>$E$5*$F$5/7*MAX(节奏总纲!F65-$C$1,0)</f>
        <v>0</v>
      </c>
      <c r="U67" s="2">
        <f>$E$5*$F$5/7*MAX(节奏总纲!G65-$C$1,0)</f>
        <v>0</v>
      </c>
      <c r="V67" s="2">
        <f>$E$5*$F$5/7*MAX(节奏总纲!H65-$C$1,0)</f>
        <v>0</v>
      </c>
      <c r="W67" s="2">
        <f>$E$6*$F$6/7*MAX(节奏总纲!D65-$C$1,0)</f>
        <v>894.04962284358703</v>
      </c>
      <c r="X67" s="2">
        <f>$E$6*$F$6/7*MAX(节奏总纲!E65-$C$1,0)</f>
        <v>203.06911744196705</v>
      </c>
      <c r="Y67" s="2">
        <f>$E$6*$F$6/7*MAX(节奏总纲!F65-$C$1,0)</f>
        <v>0</v>
      </c>
      <c r="Z67" s="2">
        <f>$E$6*$F$6/7*MAX(节奏总纲!G65-$C$1,0)</f>
        <v>0</v>
      </c>
      <c r="AA67" s="2">
        <f>$E$6*$F$6/7*MAX(节奏总纲!H65-$C$1,0)</f>
        <v>0</v>
      </c>
      <c r="AB67" s="2">
        <f>($E$9*$F$9*3600+$E$10*$F$10*1200)/7*MAX(节奏总纲!D65-$C$1,0)</f>
        <v>75100.16831886131</v>
      </c>
      <c r="AC67" s="2">
        <f>($E$9*$F$9*3600+$E$10*$F$10*1200)/7*MAX(节奏总纲!E65-$C$1,0)</f>
        <v>17057.805865125232</v>
      </c>
      <c r="AD67" s="2">
        <f>($E$9*$F$9*3600+$E$10*$F$10*1200)/7*MAX(节奏总纲!F65-$C$1,0)</f>
        <v>0</v>
      </c>
      <c r="AE67" s="2">
        <f>($E$9*$F$9*3600+$E$10*$F$10*1200)/7*MAX(节奏总纲!G65-$C$1,0)</f>
        <v>0</v>
      </c>
      <c r="AF67" s="2">
        <f>($E$9*$F$9*3600+$E$10*$F$10*1200)/7*MAX(节奏总纲!H65-$C$1,0)</f>
        <v>0</v>
      </c>
      <c r="AK67" s="2">
        <v>62</v>
      </c>
      <c r="AL67" s="2">
        <f>'奖励（新）'!CT69</f>
        <v>4855.7917050003471</v>
      </c>
      <c r="AM67" s="2">
        <f>'奖励（新）'!CU69</f>
        <v>1117.8704555994398</v>
      </c>
      <c r="AN67" s="2">
        <f>'奖励（新）'!CV69</f>
        <v>0</v>
      </c>
      <c r="AO67" s="2">
        <f>'奖励（新）'!CW69</f>
        <v>0</v>
      </c>
      <c r="AP67" s="2">
        <f>'奖励（新）'!CX69</f>
        <v>0</v>
      </c>
      <c r="AV67" s="2">
        <v>62</v>
      </c>
      <c r="AW67" s="2">
        <f>SUMPRODUCT($F$5:$F$12,$H$5:$H$12,J$5:J$12)/7*MAX(节奏总纲!D65-'奖励（新）'!$E$2,0)</f>
        <v>7241.8019450330548</v>
      </c>
      <c r="AX67" s="2">
        <f>SUMPRODUCT($F$5:$F$12,$H$5:$H$12,K$5:K$12)/7*MAX(节奏总纲!E65-'奖励（新）'!$E$2,0)</f>
        <v>1644.8598512799331</v>
      </c>
      <c r="AY67" s="2">
        <f>SUMPRODUCT($F$5:$F$12,$H$5:$H$12,L$5:L$12)/7*MAX(节奏总纲!F65-'奖励（新）'!$E$2,0)</f>
        <v>0</v>
      </c>
      <c r="AZ67" s="2">
        <f>SUMPRODUCT($F$5:$F$12,$H$5:$H$12,M$5:M$12)/7*MAX(节奏总纲!G65-'奖励（新）'!$E$2,0)</f>
        <v>0</v>
      </c>
      <c r="BA67" s="2">
        <f>SUMPRODUCT($F$5:$F$12,$H$5:$H$12,N$5:N$12)/7*MAX(节奏总纲!H65-'奖励（新）'!$E$2,0)</f>
        <v>0</v>
      </c>
      <c r="BE67" s="2">
        <v>62</v>
      </c>
      <c r="BF67" s="41">
        <f t="shared" si="2"/>
        <v>0.67052257737189236</v>
      </c>
      <c r="BG67" s="41">
        <f t="shared" si="3"/>
        <v>0.67961440892947733</v>
      </c>
      <c r="BH67" s="41" t="e">
        <f t="shared" si="4"/>
        <v>#DIV/0!</v>
      </c>
      <c r="BI67" s="41" t="e">
        <f t="shared" si="5"/>
        <v>#DIV/0!</v>
      </c>
      <c r="BJ67" s="41" t="e">
        <f t="shared" si="6"/>
        <v>#DIV/0!</v>
      </c>
      <c r="BK67" s="2">
        <f>(AW67-AL67)*'奖励（新）'!$D$17</f>
        <v>11930.05120016354</v>
      </c>
      <c r="BL67" s="2">
        <f>(AX67-AM67)*'奖励（新）'!$D$17</f>
        <v>2634.9469784024668</v>
      </c>
      <c r="BM67" s="2">
        <f>(AY67-AN67)*'奖励（新）'!$D$17</f>
        <v>0</v>
      </c>
      <c r="BN67" s="2">
        <f>(AZ67-AO67)*'奖励（新）'!$D$17</f>
        <v>0</v>
      </c>
      <c r="BO67" s="2">
        <f>(BA67-AP67)*'奖励（新）'!$D$17</f>
        <v>0</v>
      </c>
    </row>
    <row r="68" spans="17:67" x14ac:dyDescent="0.2">
      <c r="Q68" s="2">
        <v>63</v>
      </c>
      <c r="R68" s="2">
        <f>$E$5*$F$5/7*MAX(节奏总纲!D66-$C$1,0)</f>
        <v>127.09458895767582</v>
      </c>
      <c r="S68" s="2">
        <f>$E$5*$F$5/7*MAX(节奏总纲!E66-$C$1,0)</f>
        <v>53.357708431563623</v>
      </c>
      <c r="T68" s="2">
        <f>$E$5*$F$5/7*MAX(节奏总纲!F66-$C$1,0)</f>
        <v>0</v>
      </c>
      <c r="U68" s="2">
        <f>$E$5*$F$5/7*MAX(节奏总纲!G66-$C$1,0)</f>
        <v>0</v>
      </c>
      <c r="V68" s="2">
        <f>$E$5*$F$5/7*MAX(节奏总纲!H66-$C$1,0)</f>
        <v>0</v>
      </c>
      <c r="W68" s="2">
        <f>$E$6*$F$6/7*MAX(节奏总纲!D66-$C$1,0)</f>
        <v>1270.9458895767582</v>
      </c>
      <c r="X68" s="2">
        <f>$E$6*$F$6/7*MAX(节奏总纲!E66-$C$1,0)</f>
        <v>533.57708431563617</v>
      </c>
      <c r="Y68" s="2">
        <f>$E$6*$F$6/7*MAX(节奏总纲!F66-$C$1,0)</f>
        <v>0</v>
      </c>
      <c r="Z68" s="2">
        <f>$E$6*$F$6/7*MAX(节奏总纲!G66-$C$1,0)</f>
        <v>0</v>
      </c>
      <c r="AA68" s="2">
        <f>$E$6*$F$6/7*MAX(节奏总纲!H66-$C$1,0)</f>
        <v>0</v>
      </c>
      <c r="AB68" s="2">
        <f>($E$9*$F$9*3600+$E$10*$F$10*1200)/7*MAX(节奏总纲!D66-$C$1,0)</f>
        <v>106759.4547244477</v>
      </c>
      <c r="AC68" s="2">
        <f>($E$9*$F$9*3600+$E$10*$F$10*1200)/7*MAX(节奏总纲!E66-$C$1,0)</f>
        <v>44820.47508251344</v>
      </c>
      <c r="AD68" s="2">
        <f>($E$9*$F$9*3600+$E$10*$F$10*1200)/7*MAX(节奏总纲!F66-$C$1,0)</f>
        <v>0</v>
      </c>
      <c r="AE68" s="2">
        <f>($E$9*$F$9*3600+$E$10*$F$10*1200)/7*MAX(节奏总纲!G66-$C$1,0)</f>
        <v>0</v>
      </c>
      <c r="AF68" s="2">
        <f>($E$9*$F$9*3600+$E$10*$F$10*1200)/7*MAX(节奏总纲!H66-$C$1,0)</f>
        <v>0</v>
      </c>
      <c r="AK68" s="2">
        <v>63</v>
      </c>
      <c r="AL68" s="2">
        <f>'奖励（新）'!CT70</f>
        <v>6902.8030999916855</v>
      </c>
      <c r="AM68" s="2">
        <f>'奖励（新）'!CU70</f>
        <v>2937.2760656814285</v>
      </c>
      <c r="AN68" s="2">
        <f>'奖励（新）'!CV70</f>
        <v>0</v>
      </c>
      <c r="AO68" s="2">
        <f>'奖励（新）'!CW70</f>
        <v>0</v>
      </c>
      <c r="AP68" s="2">
        <f>'奖励（新）'!CX70</f>
        <v>0</v>
      </c>
      <c r="AV68" s="2">
        <v>63</v>
      </c>
      <c r="AW68" s="2">
        <f>SUMPRODUCT($F$5:$F$12,$H$5:$H$12,J$5:J$12)/7*MAX(节奏总纲!D66-'奖励（新）'!$E$2,0)</f>
        <v>10294.661705571742</v>
      </c>
      <c r="AX68" s="2">
        <f>SUMPRODUCT($F$5:$F$12,$H$5:$H$12,K$5:K$12)/7*MAX(节奏总纲!E66-'奖励（新）'!$E$2,0)</f>
        <v>4321.9743829566532</v>
      </c>
      <c r="AY68" s="2">
        <f>SUMPRODUCT($F$5:$F$12,$H$5:$H$12,L$5:L$12)/7*MAX(节奏总纲!F66-'奖励（新）'!$E$2,0)</f>
        <v>0</v>
      </c>
      <c r="AZ68" s="2">
        <f>SUMPRODUCT($F$5:$F$12,$H$5:$H$12,M$5:M$12)/7*MAX(节奏总纲!G66-'奖励（新）'!$E$2,0)</f>
        <v>0</v>
      </c>
      <c r="BA68" s="2">
        <f>SUMPRODUCT($F$5:$F$12,$H$5:$H$12,N$5:N$12)/7*MAX(节奏总纲!H66-'奖励（新）'!$E$2,0)</f>
        <v>0</v>
      </c>
      <c r="BE68" s="2">
        <v>63</v>
      </c>
      <c r="BF68" s="41">
        <f t="shared" si="2"/>
        <v>0.67052257737189236</v>
      </c>
      <c r="BG68" s="41">
        <f t="shared" si="3"/>
        <v>0.67961440892947733</v>
      </c>
      <c r="BH68" s="41" t="e">
        <f t="shared" si="4"/>
        <v>#DIV/0!</v>
      </c>
      <c r="BI68" s="41" t="e">
        <f t="shared" si="5"/>
        <v>#DIV/0!</v>
      </c>
      <c r="BJ68" s="41" t="e">
        <f t="shared" si="6"/>
        <v>#DIV/0!</v>
      </c>
      <c r="BK68" s="2">
        <f>(AW68-AL68)*'奖励（新）'!$D$17</f>
        <v>16959.293027900279</v>
      </c>
      <c r="BL68" s="2">
        <f>(AX68-AM68)*'奖励（新）'!$D$17</f>
        <v>6923.4915863761235</v>
      </c>
      <c r="BM68" s="2">
        <f>(AY68-AN68)*'奖励（新）'!$D$17</f>
        <v>0</v>
      </c>
      <c r="BN68" s="2">
        <f>(AZ68-AO68)*'奖励（新）'!$D$17</f>
        <v>0</v>
      </c>
      <c r="BO68" s="2">
        <f>(BA68-AP68)*'奖励（新）'!$D$17</f>
        <v>0</v>
      </c>
    </row>
    <row r="69" spans="17:67" x14ac:dyDescent="0.2">
      <c r="Q69" s="2">
        <v>64</v>
      </c>
      <c r="R69" s="2">
        <f>$E$5*$F$5/7*MAX(节奏总纲!D67-$C$1,0)</f>
        <v>167.48933063903715</v>
      </c>
      <c r="S69" s="2">
        <f>$E$5*$F$5/7*MAX(节奏总纲!E67-$C$1,0)</f>
        <v>88.570886119571469</v>
      </c>
      <c r="T69" s="2">
        <f>$E$5*$F$5/7*MAX(节奏总纲!F67-$C$1,0)</f>
        <v>0</v>
      </c>
      <c r="U69" s="2">
        <f>$E$5*$F$5/7*MAX(节奏总纲!G67-$C$1,0)</f>
        <v>0</v>
      </c>
      <c r="V69" s="2">
        <f>$E$5*$F$5/7*MAX(节奏总纲!H67-$C$1,0)</f>
        <v>0</v>
      </c>
      <c r="W69" s="2">
        <f>$E$6*$F$6/7*MAX(节奏总纲!D67-$C$1,0)</f>
        <v>1674.8933063903714</v>
      </c>
      <c r="X69" s="2">
        <f>$E$6*$F$6/7*MAX(节奏总纲!E67-$C$1,0)</f>
        <v>885.70886119571469</v>
      </c>
      <c r="Y69" s="2">
        <f>$E$6*$F$6/7*MAX(节奏总纲!F67-$C$1,0)</f>
        <v>0</v>
      </c>
      <c r="Z69" s="2">
        <f>$E$6*$F$6/7*MAX(节奏总纲!G67-$C$1,0)</f>
        <v>0</v>
      </c>
      <c r="AA69" s="2">
        <f>$E$6*$F$6/7*MAX(节奏总纲!H67-$C$1,0)</f>
        <v>0</v>
      </c>
      <c r="AB69" s="2">
        <f>($E$9*$F$9*3600+$E$10*$F$10*1200)/7*MAX(节奏总纲!D67-$C$1,0)</f>
        <v>140691.03773679122</v>
      </c>
      <c r="AC69" s="2">
        <f>($E$9*$F$9*3600+$E$10*$F$10*1200)/7*MAX(节奏总纲!E67-$C$1,0)</f>
        <v>74399.544340440028</v>
      </c>
      <c r="AD69" s="2">
        <f>($E$9*$F$9*3600+$E$10*$F$10*1200)/7*MAX(节奏总纲!F67-$C$1,0)</f>
        <v>0</v>
      </c>
      <c r="AE69" s="2">
        <f>($E$9*$F$9*3600+$E$10*$F$10*1200)/7*MAX(节奏总纲!G67-$C$1,0)</f>
        <v>0</v>
      </c>
      <c r="AF69" s="2">
        <f>($E$9*$F$9*3600+$E$10*$F$10*1200)/7*MAX(节奏总纲!H67-$C$1,0)</f>
        <v>0</v>
      </c>
      <c r="AK69" s="2">
        <v>64</v>
      </c>
      <c r="AL69" s="2">
        <f>'奖励（新）'!CT71</f>
        <v>9096.7355906527991</v>
      </c>
      <c r="AM69" s="2">
        <f>'奖励（新）'!CU71</f>
        <v>4875.7180838995218</v>
      </c>
      <c r="AN69" s="2">
        <f>'奖励（新）'!CV71</f>
        <v>0</v>
      </c>
      <c r="AO69" s="2">
        <f>'奖励（新）'!CW71</f>
        <v>0</v>
      </c>
      <c r="AP69" s="2">
        <f>'奖励（新）'!CX71</f>
        <v>0</v>
      </c>
      <c r="AV69" s="2">
        <v>64</v>
      </c>
      <c r="AW69" s="2">
        <f>SUMPRODUCT($F$5:$F$12,$H$5:$H$12,J$5:J$12)/7*MAX(节奏总纲!D67-'奖励（新）'!$E$2,0)</f>
        <v>13566.635781762008</v>
      </c>
      <c r="AX69" s="2">
        <f>SUMPRODUCT($F$5:$F$12,$H$5:$H$12,K$5:K$12)/7*MAX(节奏总纲!E67-'奖励（新）'!$E$2,0)</f>
        <v>7174.2417756852883</v>
      </c>
      <c r="AY69" s="2">
        <f>SUMPRODUCT($F$5:$F$12,$H$5:$H$12,L$5:L$12)/7*MAX(节奏总纲!F67-'奖励（新）'!$E$2,0)</f>
        <v>0</v>
      </c>
      <c r="AZ69" s="2">
        <f>SUMPRODUCT($F$5:$F$12,$H$5:$H$12,M$5:M$12)/7*MAX(节奏总纲!G67-'奖励（新）'!$E$2,0)</f>
        <v>0</v>
      </c>
      <c r="BA69" s="2">
        <f>SUMPRODUCT($F$5:$F$12,$H$5:$H$12,N$5:N$12)/7*MAX(节奏总纲!H67-'奖励（新）'!$E$2,0)</f>
        <v>0</v>
      </c>
      <c r="BE69" s="2">
        <v>64</v>
      </c>
      <c r="BF69" s="41">
        <f t="shared" si="2"/>
        <v>0.67052257737189236</v>
      </c>
      <c r="BG69" s="41">
        <f t="shared" si="3"/>
        <v>0.67961440892947744</v>
      </c>
      <c r="BH69" s="41" t="e">
        <f t="shared" si="4"/>
        <v>#DIV/0!</v>
      </c>
      <c r="BI69" s="41" t="e">
        <f t="shared" si="5"/>
        <v>#DIV/0!</v>
      </c>
      <c r="BJ69" s="41" t="e">
        <f t="shared" si="6"/>
        <v>#DIV/0!</v>
      </c>
      <c r="BK69" s="2">
        <f>(AW69-AL69)*'奖励（新）'!$D$17</f>
        <v>22349.500955546046</v>
      </c>
      <c r="BL69" s="2">
        <f>(AX69-AM69)*'奖励（新）'!$D$17</f>
        <v>11492.618458928831</v>
      </c>
      <c r="BM69" s="2">
        <f>(AY69-AN69)*'奖励（新）'!$D$17</f>
        <v>0</v>
      </c>
      <c r="BN69" s="2">
        <f>(AZ69-AO69)*'奖励（新）'!$D$17</f>
        <v>0</v>
      </c>
      <c r="BO69" s="2">
        <f>(BA69-AP69)*'奖励（新）'!$D$17</f>
        <v>0</v>
      </c>
    </row>
    <row r="70" spans="17:67" x14ac:dyDescent="0.2">
      <c r="Q70" s="2">
        <v>65</v>
      </c>
      <c r="R70" s="2">
        <f>$E$5*$F$5/7*MAX(节奏总纲!D68-$C$1,0)</f>
        <v>210.78334279912903</v>
      </c>
      <c r="S70" s="2">
        <f>$E$5*$F$5/7*MAX(节奏总纲!E68-$C$1,0)</f>
        <v>126.06883559253015</v>
      </c>
      <c r="T70" s="2">
        <f>$E$5*$F$5/7*MAX(节奏总纲!F68-$C$1,0)</f>
        <v>27.160652461504853</v>
      </c>
      <c r="U70" s="2">
        <f>$E$5*$F$5/7*MAX(节奏总纲!G68-$C$1,0)</f>
        <v>0</v>
      </c>
      <c r="V70" s="2">
        <f>$E$5*$F$5/7*MAX(节奏总纲!H68-$C$1,0)</f>
        <v>0</v>
      </c>
      <c r="W70" s="2">
        <f>$E$6*$F$6/7*MAX(节奏总纲!D68-$C$1,0)</f>
        <v>2107.8334279912901</v>
      </c>
      <c r="X70" s="2">
        <f>$E$6*$F$6/7*MAX(节奏总纲!E68-$C$1,0)</f>
        <v>1260.6883559253015</v>
      </c>
      <c r="Y70" s="2">
        <f>$E$6*$F$6/7*MAX(节奏总纲!F68-$C$1,0)</f>
        <v>271.60652461504856</v>
      </c>
      <c r="Z70" s="2">
        <f>$E$6*$F$6/7*MAX(节奏总纲!G68-$C$1,0)</f>
        <v>0</v>
      </c>
      <c r="AA70" s="2">
        <f>$E$6*$F$6/7*MAX(节奏总纲!H68-$C$1,0)</f>
        <v>0</v>
      </c>
      <c r="AB70" s="2">
        <f>($E$9*$F$9*3600+$E$10*$F$10*1200)/7*MAX(节奏总纲!D68-$C$1,0)</f>
        <v>177058.00795126837</v>
      </c>
      <c r="AC70" s="2">
        <f>($E$9*$F$9*3600+$E$10*$F$10*1200)/7*MAX(节奏总纲!E68-$C$1,0)</f>
        <v>105897.82189772533</v>
      </c>
      <c r="AD70" s="2">
        <f>($E$9*$F$9*3600+$E$10*$F$10*1200)/7*MAX(节奏总纲!F68-$C$1,0)</f>
        <v>22814.948067664078</v>
      </c>
      <c r="AE70" s="2">
        <f>($E$9*$F$9*3600+$E$10*$F$10*1200)/7*MAX(节奏总纲!G68-$C$1,0)</f>
        <v>0</v>
      </c>
      <c r="AF70" s="2">
        <f>($E$9*$F$9*3600+$E$10*$F$10*1200)/7*MAX(节奏总纲!H68-$C$1,0)</f>
        <v>0</v>
      </c>
      <c r="AK70" s="2">
        <v>65</v>
      </c>
      <c r="AL70" s="2">
        <f>'奖励（新）'!CT72</f>
        <v>11448.134212739542</v>
      </c>
      <c r="AM70" s="2">
        <f>'奖励（新）'!CU72</f>
        <v>6939.9339720372309</v>
      </c>
      <c r="AN70" s="2">
        <f>'奖励（新）'!CV72</f>
        <v>1575.1690172743415</v>
      </c>
      <c r="AO70" s="2">
        <f>'奖励（新）'!CW72</f>
        <v>0</v>
      </c>
      <c r="AP70" s="2">
        <f>'奖励（新）'!CX72</f>
        <v>0</v>
      </c>
      <c r="AV70" s="2">
        <v>65</v>
      </c>
      <c r="AW70" s="2">
        <f>SUMPRODUCT($F$5:$F$12,$H$5:$H$12,J$5:J$12)/7*MAX(节奏总纲!D68-'奖励（新）'!$E$2,0)</f>
        <v>17073.450766729449</v>
      </c>
      <c r="AX70" s="2">
        <f>SUMPRODUCT($F$5:$F$12,$H$5:$H$12,K$5:K$12)/7*MAX(节奏总纲!E68-'奖励（新）'!$E$2,0)</f>
        <v>10211.575682994942</v>
      </c>
      <c r="AY70" s="2">
        <f>SUMPRODUCT($F$5:$F$12,$H$5:$H$12,L$5:L$12)/7*MAX(节奏总纲!F68-'奖励（新）'!$E$2,0)</f>
        <v>2200.0128493818929</v>
      </c>
      <c r="AZ70" s="2">
        <f>SUMPRODUCT($F$5:$F$12,$H$5:$H$12,M$5:M$12)/7*MAX(节奏总纲!G68-'奖励（新）'!$E$2,0)</f>
        <v>0</v>
      </c>
      <c r="BA70" s="2">
        <f>SUMPRODUCT($F$5:$F$12,$H$5:$H$12,N$5:N$12)/7*MAX(节奏总纲!H68-'奖励（新）'!$E$2,0)</f>
        <v>0</v>
      </c>
      <c r="BE70" s="2">
        <v>65</v>
      </c>
      <c r="BF70" s="41">
        <f t="shared" si="2"/>
        <v>0.67052257737189236</v>
      </c>
      <c r="BG70" s="41">
        <f t="shared" si="3"/>
        <v>0.67961440892947722</v>
      </c>
      <c r="BH70" s="41">
        <f t="shared" si="4"/>
        <v>0.71598173515981733</v>
      </c>
      <c r="BI70" s="41" t="e">
        <f t="shared" si="5"/>
        <v>#DIV/0!</v>
      </c>
      <c r="BJ70" s="41" t="e">
        <f t="shared" si="6"/>
        <v>#DIV/0!</v>
      </c>
      <c r="BK70" s="2">
        <f>(AW70-AL70)*'奖励（新）'!$D$17</f>
        <v>28126.582769949535</v>
      </c>
      <c r="BL70" s="2">
        <f>(AX70-AM70)*'奖励（新）'!$D$17</f>
        <v>16358.208554788558</v>
      </c>
      <c r="BM70" s="2">
        <f>(AY70-AN70)*'奖励（新）'!$D$17</f>
        <v>3124.219160537757</v>
      </c>
      <c r="BN70" s="2">
        <f>(AZ70-AO70)*'奖励（新）'!$D$17</f>
        <v>0</v>
      </c>
      <c r="BO70" s="2">
        <f>(BA70-AP70)*'奖励（新）'!$D$17</f>
        <v>0</v>
      </c>
    </row>
    <row r="71" spans="17:67" x14ac:dyDescent="0.2">
      <c r="Q71" s="2">
        <v>66</v>
      </c>
      <c r="R71" s="2">
        <f>$E$5*$F$5/7*MAX(节奏总纲!D69-$C$1,0)</f>
        <v>257.18471611903891</v>
      </c>
      <c r="S71" s="2">
        <f>$E$5*$F$5/7*MAX(节奏总纲!E69-$C$1,0)</f>
        <v>166.80205624883524</v>
      </c>
      <c r="T71" s="2">
        <f>$E$5*$F$5/7*MAX(节奏总纲!F69-$C$1,0)</f>
        <v>60.647005050750892</v>
      </c>
      <c r="U71" s="2">
        <f>$E$5*$F$5/7*MAX(节奏总纲!G69-$C$1,0)</f>
        <v>0</v>
      </c>
      <c r="V71" s="2">
        <f>$E$5*$F$5/7*MAX(节奏总纲!H69-$C$1,0)</f>
        <v>0</v>
      </c>
      <c r="W71" s="2">
        <f>$E$6*$F$6/7*MAX(节奏总纲!D69-$C$1,0)</f>
        <v>2571.8471611903888</v>
      </c>
      <c r="X71" s="2">
        <f>$E$6*$F$6/7*MAX(节奏总纲!E69-$C$1,0)</f>
        <v>1668.0205624883524</v>
      </c>
      <c r="Y71" s="2">
        <f>$E$6*$F$6/7*MAX(节奏总纲!F69-$C$1,0)</f>
        <v>606.47005050750886</v>
      </c>
      <c r="Z71" s="2">
        <f>$E$6*$F$6/7*MAX(节奏总纲!G69-$C$1,0)</f>
        <v>0</v>
      </c>
      <c r="AA71" s="2">
        <f>$E$6*$F$6/7*MAX(节奏总纲!H69-$C$1,0)</f>
        <v>0</v>
      </c>
      <c r="AB71" s="2">
        <f>($E$9*$F$9*3600+$E$10*$F$10*1200)/7*MAX(节奏总纲!D69-$C$1,0)</f>
        <v>216035.16153999267</v>
      </c>
      <c r="AC71" s="2">
        <f>($E$9*$F$9*3600+$E$10*$F$10*1200)/7*MAX(节奏总纲!E69-$C$1,0)</f>
        <v>140113.72724902158</v>
      </c>
      <c r="AD71" s="2">
        <f>($E$9*$F$9*3600+$E$10*$F$10*1200)/7*MAX(节奏总纲!F69-$C$1,0)</f>
        <v>50943.484242630744</v>
      </c>
      <c r="AE71" s="2">
        <f>($E$9*$F$9*3600+$E$10*$F$10*1200)/7*MAX(节奏总纲!G69-$C$1,0)</f>
        <v>0</v>
      </c>
      <c r="AF71" s="2">
        <f>($E$9*$F$9*3600+$E$10*$F$10*1200)/7*MAX(节奏总纲!H69-$C$1,0)</f>
        <v>0</v>
      </c>
      <c r="AK71" s="2">
        <v>66</v>
      </c>
      <c r="AL71" s="2">
        <f>'奖励（新）'!CT73</f>
        <v>13968.300855736508</v>
      </c>
      <c r="AM71" s="2">
        <f>'奖励（新）'!CU73</f>
        <v>9182.2475501276622</v>
      </c>
      <c r="AN71" s="2">
        <f>'奖励（新）'!CV73</f>
        <v>3517.1939805871089</v>
      </c>
      <c r="AO71" s="2">
        <f>'奖励（新）'!CW73</f>
        <v>0</v>
      </c>
      <c r="AP71" s="2">
        <f>'奖励（新）'!CX73</f>
        <v>0</v>
      </c>
      <c r="AV71" s="2">
        <v>66</v>
      </c>
      <c r="AW71" s="2">
        <f>SUMPRODUCT($F$5:$F$12,$H$5:$H$12,J$5:J$12)/7*MAX(节奏总纲!D69-'奖励（新）'!$E$2,0)</f>
        <v>20831.962005642148</v>
      </c>
      <c r="AX71" s="2">
        <f>SUMPRODUCT($F$5:$F$12,$H$5:$H$12,K$5:K$12)/7*MAX(节奏总纲!E69-'奖励（新）'!$E$2,0)</f>
        <v>13510.966556155654</v>
      </c>
      <c r="AY71" s="2">
        <f>SUMPRODUCT($F$5:$F$12,$H$5:$H$12,L$5:L$12)/7*MAX(节奏总纲!F69-'奖励（新）'!$E$2,0)</f>
        <v>4912.4074091108214</v>
      </c>
      <c r="AZ71" s="2">
        <f>SUMPRODUCT($F$5:$F$12,$H$5:$H$12,M$5:M$12)/7*MAX(节奏总纲!G69-'奖励（新）'!$E$2,0)</f>
        <v>0</v>
      </c>
      <c r="BA71" s="2">
        <f>SUMPRODUCT($F$5:$F$12,$H$5:$H$12,N$5:N$12)/7*MAX(节奏总纲!H69-'奖励（新）'!$E$2,0)</f>
        <v>0</v>
      </c>
      <c r="BE71" s="2">
        <v>66</v>
      </c>
      <c r="BF71" s="41">
        <f t="shared" ref="BF71:BF134" si="12">AL71/AW71</f>
        <v>0.67052257737189236</v>
      </c>
      <c r="BG71" s="41">
        <f t="shared" ref="BG71:BG134" si="13">AM71/AX71</f>
        <v>0.67961440892947744</v>
      </c>
      <c r="BH71" s="41">
        <f t="shared" ref="BH71:BH134" si="14">AN71/AY71</f>
        <v>0.71598173515981745</v>
      </c>
      <c r="BI71" s="41" t="e">
        <f t="shared" ref="BI71:BI134" si="15">AO71/AZ71</f>
        <v>#DIV/0!</v>
      </c>
      <c r="BJ71" s="41" t="e">
        <f t="shared" ref="BJ71:BJ134" si="16">AP71/BA71</f>
        <v>#DIV/0!</v>
      </c>
      <c r="BK71" s="2">
        <f>(AW71-AL71)*'奖励（新）'!$D$17</f>
        <v>34318.305749528197</v>
      </c>
      <c r="BL71" s="2">
        <f>(AX71-AM71)*'奖励（新）'!$D$17</f>
        <v>21643.595030139957</v>
      </c>
      <c r="BM71" s="2">
        <f>(AY71-AN71)*'奖励（新）'!$D$17</f>
        <v>6976.0671426185627</v>
      </c>
      <c r="BN71" s="2">
        <f>(AZ71-AO71)*'奖励（新）'!$D$17</f>
        <v>0</v>
      </c>
      <c r="BO71" s="2">
        <f>(BA71-AP71)*'奖励（新）'!$D$17</f>
        <v>0</v>
      </c>
    </row>
    <row r="72" spans="17:67" x14ac:dyDescent="0.2">
      <c r="Q72" s="2">
        <v>67</v>
      </c>
      <c r="R72" s="2">
        <f>$E$5*$F$5/7*MAX(节奏总纲!D70-$C$1,0)</f>
        <v>306.91647666855795</v>
      </c>
      <c r="S72" s="2">
        <f>$E$5*$F$5/7*MAX(节奏总纲!E70-$C$1,0)</f>
        <v>210.49401229159568</v>
      </c>
      <c r="T72" s="2">
        <f>$E$5*$F$5/7*MAX(节奏总纲!F70-$C$1,0)</f>
        <v>94.948862378393841</v>
      </c>
      <c r="U72" s="2">
        <f>$E$5*$F$5/7*MAX(节奏总纲!G70-$C$1,0)</f>
        <v>0</v>
      </c>
      <c r="V72" s="2">
        <f>$E$5*$F$5/7*MAX(节奏总纲!H70-$C$1,0)</f>
        <v>0</v>
      </c>
      <c r="W72" s="2">
        <f>$E$6*$F$6/7*MAX(节奏总纲!D70-$C$1,0)</f>
        <v>3069.1647666855797</v>
      </c>
      <c r="X72" s="2">
        <f>$E$6*$F$6/7*MAX(节奏总纲!E70-$C$1,0)</f>
        <v>2104.9401229159566</v>
      </c>
      <c r="Y72" s="2">
        <f>$E$6*$F$6/7*MAX(节奏总纲!F70-$C$1,0)</f>
        <v>949.48862378393835</v>
      </c>
      <c r="Z72" s="2">
        <f>$E$6*$F$6/7*MAX(节奏总纲!G70-$C$1,0)</f>
        <v>0</v>
      </c>
      <c r="AA72" s="2">
        <f>$E$6*$F$6/7*MAX(节奏总纲!H70-$C$1,0)</f>
        <v>0</v>
      </c>
      <c r="AB72" s="2">
        <f>($E$9*$F$9*3600+$E$10*$F$10*1200)/7*MAX(节奏总纲!D70-$C$1,0)</f>
        <v>257809.84040158868</v>
      </c>
      <c r="AC72" s="2">
        <f>($E$9*$F$9*3600+$E$10*$F$10*1200)/7*MAX(节奏总纲!E70-$C$1,0)</f>
        <v>176814.97032494037</v>
      </c>
      <c r="AD72" s="2">
        <f>($E$9*$F$9*3600+$E$10*$F$10*1200)/7*MAX(节奏总纲!F70-$C$1,0)</f>
        <v>79757.044397850826</v>
      </c>
      <c r="AE72" s="2">
        <f>($E$9*$F$9*3600+$E$10*$F$10*1200)/7*MAX(节奏总纲!G70-$C$1,0)</f>
        <v>0</v>
      </c>
      <c r="AF72" s="2">
        <f>($E$9*$F$9*3600+$E$10*$F$10*1200)/7*MAX(节奏总纲!H70-$C$1,0)</f>
        <v>0</v>
      </c>
      <c r="AK72" s="2">
        <v>67</v>
      </c>
      <c r="AL72" s="2">
        <f>'奖励（新）'!CT74</f>
        <v>16669.34858486984</v>
      </c>
      <c r="AM72" s="2">
        <f>'奖励（新）'!CU74</f>
        <v>11587.4358634865</v>
      </c>
      <c r="AN72" s="2">
        <f>'奖励（新）'!CV74</f>
        <v>5506.5137502077823</v>
      </c>
      <c r="AO72" s="2">
        <f>'奖励（新）'!CW74</f>
        <v>0</v>
      </c>
      <c r="AP72" s="2">
        <f>'奖励（新）'!CX74</f>
        <v>0</v>
      </c>
      <c r="AV72" s="2">
        <v>67</v>
      </c>
      <c r="AW72" s="2">
        <f>SUMPRODUCT($F$5:$F$12,$H$5:$H$12,J$5:J$12)/7*MAX(节奏总纲!D70-'奖励（新）'!$E$2,0)</f>
        <v>24860.234610153191</v>
      </c>
      <c r="AX72" s="2">
        <f>SUMPRODUCT($F$5:$F$12,$H$5:$H$12,K$5:K$12)/7*MAX(节奏总纲!E70-'奖励（新）'!$E$2,0)</f>
        <v>17050.014995619247</v>
      </c>
      <c r="AY72" s="2">
        <f>SUMPRODUCT($F$5:$F$12,$H$5:$H$12,L$5:L$12)/7*MAX(节奏总纲!F70-'奖励（新）'!$E$2,0)</f>
        <v>7690.8578526499005</v>
      </c>
      <c r="AZ72" s="2">
        <f>SUMPRODUCT($F$5:$F$12,$H$5:$H$12,M$5:M$12)/7*MAX(节奏总纲!G70-'奖励（新）'!$E$2,0)</f>
        <v>0</v>
      </c>
      <c r="BA72" s="2">
        <f>SUMPRODUCT($F$5:$F$12,$H$5:$H$12,N$5:N$12)/7*MAX(节奏总纲!H70-'奖励（新）'!$E$2,0)</f>
        <v>0</v>
      </c>
      <c r="BE72" s="2">
        <v>67</v>
      </c>
      <c r="BF72" s="41">
        <f t="shared" si="12"/>
        <v>0.67052257737189236</v>
      </c>
      <c r="BG72" s="41">
        <f t="shared" si="13"/>
        <v>0.67961440892947733</v>
      </c>
      <c r="BH72" s="41">
        <f t="shared" si="14"/>
        <v>0.71598173515981733</v>
      </c>
      <c r="BI72" s="41" t="e">
        <f t="shared" si="15"/>
        <v>#DIV/0!</v>
      </c>
      <c r="BJ72" s="41" t="e">
        <f t="shared" si="16"/>
        <v>#DIV/0!</v>
      </c>
      <c r="BK72" s="2">
        <f>(AW72-AL72)*'奖励（新）'!$D$17</f>
        <v>40954.430126416759</v>
      </c>
      <c r="BL72" s="2">
        <f>(AX72-AM72)*'奖励（新）'!$D$17</f>
        <v>27312.895660663737</v>
      </c>
      <c r="BM72" s="2">
        <f>(AY72-AN72)*'奖励（新）'!$D$17</f>
        <v>10921.720512210592</v>
      </c>
      <c r="BN72" s="2">
        <f>(AZ72-AO72)*'奖励（新）'!$D$17</f>
        <v>0</v>
      </c>
      <c r="BO72" s="2">
        <f>(BA72-AP72)*'奖励（新）'!$D$17</f>
        <v>0</v>
      </c>
    </row>
    <row r="73" spans="17:67" x14ac:dyDescent="0.2">
      <c r="Q73" s="2">
        <v>68</v>
      </c>
      <c r="R73" s="2">
        <f>$E$5*$F$5/7*MAX(节奏总纲!D71-$C$1,0)</f>
        <v>360.21765787074185</v>
      </c>
      <c r="S73" s="2">
        <f>$E$5*$F$5/7*MAX(节奏总纲!E71-$C$1,0)</f>
        <v>255.93974064308694</v>
      </c>
      <c r="T73" s="2">
        <f>$E$5*$F$5/7*MAX(节奏总纲!F71-$C$1,0)</f>
        <v>130.36451808149343</v>
      </c>
      <c r="U73" s="2">
        <f>$E$5*$F$5/7*MAX(节奏总纲!G71-$C$1,0)</f>
        <v>0</v>
      </c>
      <c r="V73" s="2">
        <f>$E$5*$F$5/7*MAX(节奏总纲!H71-$C$1,0)</f>
        <v>0</v>
      </c>
      <c r="W73" s="2">
        <f>$E$6*$F$6/7*MAX(节奏总纲!D71-$C$1,0)</f>
        <v>3602.1765787074187</v>
      </c>
      <c r="X73" s="2">
        <f>$E$6*$F$6/7*MAX(节奏总纲!E71-$C$1,0)</f>
        <v>2559.3974064308695</v>
      </c>
      <c r="Y73" s="2">
        <f>$E$6*$F$6/7*MAX(节奏总纲!F71-$C$1,0)</f>
        <v>1303.6451808149343</v>
      </c>
      <c r="Z73" s="2">
        <f>$E$6*$F$6/7*MAX(节奏总纲!G71-$C$1,0)</f>
        <v>0</v>
      </c>
      <c r="AA73" s="2">
        <f>$E$6*$F$6/7*MAX(节奏总纲!H71-$C$1,0)</f>
        <v>0</v>
      </c>
      <c r="AB73" s="2">
        <f>($E$9*$F$9*3600+$E$10*$F$10*1200)/7*MAX(节奏总纲!D71-$C$1,0)</f>
        <v>302582.83261142316</v>
      </c>
      <c r="AC73" s="2">
        <f>($E$9*$F$9*3600+$E$10*$F$10*1200)/7*MAX(节奏总纲!E71-$C$1,0)</f>
        <v>214989.38214019302</v>
      </c>
      <c r="AD73" s="2">
        <f>($E$9*$F$9*3600+$E$10*$F$10*1200)/7*MAX(节奏总纲!F71-$C$1,0)</f>
        <v>109506.19518845448</v>
      </c>
      <c r="AE73" s="2">
        <f>($E$9*$F$9*3600+$E$10*$F$10*1200)/7*MAX(节奏总纲!G71-$C$1,0)</f>
        <v>0</v>
      </c>
      <c r="AF73" s="2">
        <f>($E$9*$F$9*3600+$E$10*$F$10*1200)/7*MAX(节奏总纲!H71-$C$1,0)</f>
        <v>0</v>
      </c>
      <c r="AK73" s="2">
        <v>68</v>
      </c>
      <c r="AL73" s="2">
        <f>'奖励（新）'!CT75</f>
        <v>19564.259861998864</v>
      </c>
      <c r="AM73" s="2">
        <f>'奖励（新）'!CU75</f>
        <v>14089.167180255934</v>
      </c>
      <c r="AN73" s="2">
        <f>'奖励（新）'!CV75</f>
        <v>7560.427722600145</v>
      </c>
      <c r="AO73" s="2">
        <f>'奖励（新）'!CW75</f>
        <v>0</v>
      </c>
      <c r="AP73" s="2">
        <f>'奖励（新）'!CX75</f>
        <v>0</v>
      </c>
      <c r="AV73" s="2">
        <v>68</v>
      </c>
      <c r="AW73" s="2">
        <f>SUMPRODUCT($F$5:$F$12,$H$5:$H$12,J$5:J$12)/7*MAX(节奏总纲!D71-'奖励（新）'!$E$2,0)</f>
        <v>29177.63028753009</v>
      </c>
      <c r="AX73" s="2">
        <f>SUMPRODUCT($F$5:$F$12,$H$5:$H$12,K$5:K$12)/7*MAX(节奏总纲!E71-'奖励（新）'!$E$2,0)</f>
        <v>20731.11899209004</v>
      </c>
      <c r="AY73" s="2">
        <f>SUMPRODUCT($F$5:$F$12,$H$5:$H$12,L$5:L$12)/7*MAX(节奏总纲!F71-'奖励（新）'!$E$2,0)</f>
        <v>10559.525964600967</v>
      </c>
      <c r="AZ73" s="2">
        <f>SUMPRODUCT($F$5:$F$12,$H$5:$H$12,M$5:M$12)/7*MAX(节奏总纲!G71-'奖励（新）'!$E$2,0)</f>
        <v>0</v>
      </c>
      <c r="BA73" s="2">
        <f>SUMPRODUCT($F$5:$F$12,$H$5:$H$12,N$5:N$12)/7*MAX(节奏总纲!H71-'奖励（新）'!$E$2,0)</f>
        <v>0</v>
      </c>
      <c r="BE73" s="2">
        <v>68</v>
      </c>
      <c r="BF73" s="41">
        <f t="shared" si="12"/>
        <v>0.67052257737189236</v>
      </c>
      <c r="BG73" s="41">
        <f t="shared" si="13"/>
        <v>0.67961440892947733</v>
      </c>
      <c r="BH73" s="41">
        <f t="shared" si="14"/>
        <v>0.71598173515981745</v>
      </c>
      <c r="BI73" s="41" t="e">
        <f t="shared" si="15"/>
        <v>#DIV/0!</v>
      </c>
      <c r="BJ73" s="41" t="e">
        <f t="shared" si="16"/>
        <v>#DIV/0!</v>
      </c>
      <c r="BK73" s="2">
        <f>(AW73-AL73)*'奖励（新）'!$D$17</f>
        <v>48066.85212765613</v>
      </c>
      <c r="BL73" s="2">
        <f>(AX73-AM73)*'奖励（新）'!$D$17</f>
        <v>33209.75905917053</v>
      </c>
      <c r="BM73" s="2">
        <f>(AY73-AN73)*'奖励（新）'!$D$17</f>
        <v>14995.491210004111</v>
      </c>
      <c r="BN73" s="2">
        <f>(AZ73-AO73)*'奖励（新）'!$D$17</f>
        <v>0</v>
      </c>
      <c r="BO73" s="2">
        <f>(BA73-AP73)*'奖励（新）'!$D$17</f>
        <v>0</v>
      </c>
    </row>
    <row r="74" spans="17:67" x14ac:dyDescent="0.2">
      <c r="Q74" s="2">
        <v>69</v>
      </c>
      <c r="R74" s="2">
        <f>$E$5*$F$5/7*MAX(节奏总纲!D72-$C$1,0)</f>
        <v>417.34444940508087</v>
      </c>
      <c r="S74" s="2">
        <f>$E$5*$F$5/7*MAX(节奏总纲!E72-$C$1,0)</f>
        <v>303.65335540503804</v>
      </c>
      <c r="T74" s="2">
        <f>$E$5*$F$5/7*MAX(节奏总纲!F72-$C$1,0)</f>
        <v>170.67537938713073</v>
      </c>
      <c r="U74" s="2">
        <f>$E$5*$F$5/7*MAX(节奏总纲!G72-$C$1,0)</f>
        <v>10.966461625165687</v>
      </c>
      <c r="V74" s="2">
        <f>$E$5*$F$5/7*MAX(节奏总纲!H72-$C$1,0)</f>
        <v>0</v>
      </c>
      <c r="W74" s="2">
        <f>$E$6*$F$6/7*MAX(节奏总纲!D72-$C$1,0)</f>
        <v>4173.4444940508083</v>
      </c>
      <c r="X74" s="2">
        <f>$E$6*$F$6/7*MAX(节奏总纲!E72-$C$1,0)</f>
        <v>3036.5335540503802</v>
      </c>
      <c r="Y74" s="2">
        <f>$E$6*$F$6/7*MAX(节奏总纲!F72-$C$1,0)</f>
        <v>1706.7537938713074</v>
      </c>
      <c r="Z74" s="2">
        <f>$E$6*$F$6/7*MAX(节奏总纲!G72-$C$1,0)</f>
        <v>109.66461625165687</v>
      </c>
      <c r="AA74" s="2">
        <f>$E$6*$F$6/7*MAX(节奏总纲!H72-$C$1,0)</f>
        <v>0</v>
      </c>
      <c r="AB74" s="2">
        <f>($E$9*$F$9*3600+$E$10*$F$10*1200)/7*MAX(节奏总纲!D72-$C$1,0)</f>
        <v>350569.33750026789</v>
      </c>
      <c r="AC74" s="2">
        <f>($E$9*$F$9*3600+$E$10*$F$10*1200)/7*MAX(节奏总纲!E72-$C$1,0)</f>
        <v>255068.81854023194</v>
      </c>
      <c r="AD74" s="2">
        <f>($E$9*$F$9*3600+$E$10*$F$10*1200)/7*MAX(节奏总纲!F72-$C$1,0)</f>
        <v>143367.31868518982</v>
      </c>
      <c r="AE74" s="2">
        <f>($E$9*$F$9*3600+$E$10*$F$10*1200)/7*MAX(节奏总纲!G72-$C$1,0)</f>
        <v>9211.8277651391763</v>
      </c>
      <c r="AF74" s="2">
        <f>($E$9*$F$9*3600+$E$10*$F$10*1200)/7*MAX(节奏总纲!H72-$C$1,0)</f>
        <v>0</v>
      </c>
      <c r="AK74" s="2">
        <v>69</v>
      </c>
      <c r="AL74" s="2">
        <f>'奖励（新）'!CT76</f>
        <v>22666.948945222801</v>
      </c>
      <c r="AM74" s="2">
        <f>'奖励（新）'!CU76</f>
        <v>16715.742847896843</v>
      </c>
      <c r="AN74" s="2">
        <f>'奖励（新）'!CV76</f>
        <v>9898.2367968952967</v>
      </c>
      <c r="AO74" s="2">
        <f>'奖励（新）'!CW76</f>
        <v>757.13652864157598</v>
      </c>
      <c r="AP74" s="2">
        <f>'奖励（新）'!CX76</f>
        <v>0</v>
      </c>
      <c r="AV74" s="2">
        <v>69</v>
      </c>
      <c r="AW74" s="2">
        <f>SUMPRODUCT($F$5:$F$12,$H$5:$H$12,J$5:J$12)/7*MAX(节奏总纲!D72-'奖励（新）'!$E$2,0)</f>
        <v>33804.900401811552</v>
      </c>
      <c r="AX74" s="2">
        <f>SUMPRODUCT($F$5:$F$12,$H$5:$H$12,K$5:K$12)/7*MAX(节奏总纲!E72-'奖励（新）'!$E$2,0)</f>
        <v>24595.921787808078</v>
      </c>
      <c r="AY74" s="2">
        <f>SUMPRODUCT($F$5:$F$12,$H$5:$H$12,L$5:L$12)/7*MAX(节奏总纲!F72-'奖励（新）'!$E$2,0)</f>
        <v>13824.705730357589</v>
      </c>
      <c r="AZ74" s="2">
        <f>SUMPRODUCT($F$5:$F$12,$H$5:$H$12,M$5:M$12)/7*MAX(节奏总纲!G72-'奖励（新）'!$E$2,0)</f>
        <v>888.28339163842054</v>
      </c>
      <c r="BA74" s="2">
        <f>SUMPRODUCT($F$5:$F$12,$H$5:$H$12,N$5:N$12)/7*MAX(节奏总纲!H72-'奖励（新）'!$E$2,0)</f>
        <v>0</v>
      </c>
      <c r="BE74" s="2">
        <v>69</v>
      </c>
      <c r="BF74" s="41">
        <f t="shared" si="12"/>
        <v>0.67052257737189236</v>
      </c>
      <c r="BG74" s="41">
        <f t="shared" si="13"/>
        <v>0.67961440892947744</v>
      </c>
      <c r="BH74" s="41">
        <f t="shared" si="14"/>
        <v>0.71598173515981733</v>
      </c>
      <c r="BI74" s="41">
        <f t="shared" si="15"/>
        <v>0.85235920852359193</v>
      </c>
      <c r="BJ74" s="41" t="e">
        <f t="shared" si="16"/>
        <v>#DIV/0!</v>
      </c>
      <c r="BK74" s="2">
        <f>(AW74-AL74)*'奖励（新）'!$D$17</f>
        <v>55689.757282943756</v>
      </c>
      <c r="BL74" s="2">
        <f>(AX74-AM74)*'奖励（新）'!$D$17</f>
        <v>39400.894699556171</v>
      </c>
      <c r="BM74" s="2">
        <f>(AY74-AN74)*'奖励（新）'!$D$17</f>
        <v>19632.344667311463</v>
      </c>
      <c r="BN74" s="2">
        <f>(AZ74-AO74)*'奖励（新）'!$D$17</f>
        <v>655.73431498422281</v>
      </c>
      <c r="BO74" s="2">
        <f>(BA74-AP74)*'奖励（新）'!$D$17</f>
        <v>0</v>
      </c>
    </row>
    <row r="75" spans="17:67" x14ac:dyDescent="0.2">
      <c r="Q75" s="2">
        <v>70</v>
      </c>
      <c r="R75" s="2">
        <f>$E$5*$F$5/7*MAX(节奏总纲!D73-$C$1,0)</f>
        <v>478.57142857142861</v>
      </c>
      <c r="S75" s="2">
        <f>$E$5*$F$5/7*MAX(节奏总纲!E73-$C$1,0)</f>
        <v>356.92357142857145</v>
      </c>
      <c r="T75" s="2">
        <f>$E$5*$F$5/7*MAX(节奏总纲!F73-$C$1,0)</f>
        <v>215.04642857142855</v>
      </c>
      <c r="U75" s="2">
        <f>$E$5*$F$5/7*MAX(节奏总纲!G73-$C$1,0)</f>
        <v>42.326428571428615</v>
      </c>
      <c r="V75" s="2">
        <f>$E$5*$F$5/7*MAX(节奏总纲!H73-$C$1,0)</f>
        <v>0</v>
      </c>
      <c r="W75" s="2">
        <f>$E$6*$F$6/7*MAX(节奏总纲!D73-$C$1,0)</f>
        <v>4785.7142857142862</v>
      </c>
      <c r="X75" s="2">
        <f>$E$6*$F$6/7*MAX(节奏总纲!E73-$C$1,0)</f>
        <v>3569.2357142857145</v>
      </c>
      <c r="Y75" s="2">
        <f>$E$6*$F$6/7*MAX(节奏总纲!F73-$C$1,0)</f>
        <v>2150.4642857142858</v>
      </c>
      <c r="Z75" s="2">
        <f>$E$6*$F$6/7*MAX(节奏总纲!G73-$C$1,0)</f>
        <v>423.26428571428619</v>
      </c>
      <c r="AA75" s="2">
        <f>$E$6*$F$6/7*MAX(节奏总纲!H73-$C$1,0)</f>
        <v>0</v>
      </c>
      <c r="AB75" s="2">
        <f>($E$9*$F$9*3600+$E$10*$F$10*1200)/7*MAX(节奏总纲!D73-$C$1,0)</f>
        <v>402000</v>
      </c>
      <c r="AC75" s="2">
        <f>($E$9*$F$9*3600+$E$10*$F$10*1200)/7*MAX(节奏总纲!E73-$C$1,0)</f>
        <v>299815.80000000005</v>
      </c>
      <c r="AD75" s="2">
        <f>($E$9*$F$9*3600+$E$10*$F$10*1200)/7*MAX(节奏总纲!F73-$C$1,0)</f>
        <v>180638.99999999997</v>
      </c>
      <c r="AE75" s="2">
        <f>($E$9*$F$9*3600+$E$10*$F$10*1200)/7*MAX(节奏总纲!G73-$C$1,0)</f>
        <v>35554.200000000041</v>
      </c>
      <c r="AF75" s="2">
        <f>($E$9*$F$9*3600+$E$10*$F$10*1200)/7*MAX(节奏总纲!H73-$C$1,0)</f>
        <v>0</v>
      </c>
      <c r="AK75" s="2">
        <v>70</v>
      </c>
      <c r="AL75" s="2">
        <f>'奖励（新）'!CT77</f>
        <v>25992.328767123287</v>
      </c>
      <c r="AM75" s="2">
        <f>'奖励（新）'!CU77</f>
        <v>19648.202564383562</v>
      </c>
      <c r="AN75" s="2">
        <f>'奖励（新）'!CV77</f>
        <v>12471.514520547944</v>
      </c>
      <c r="AO75" s="2">
        <f>'奖励（新）'!CW77</f>
        <v>2922.2630136986331</v>
      </c>
      <c r="AP75" s="2">
        <f>'奖励（新）'!CX77</f>
        <v>0</v>
      </c>
      <c r="AV75" s="2">
        <v>70</v>
      </c>
      <c r="AW75" s="2">
        <f>SUMPRODUCT($F$5:$F$12,$H$5:$H$12,J$5:J$12)/7*MAX(节奏总纲!D73-'奖励（新）'!$E$2,0)</f>
        <v>38764.28571428571</v>
      </c>
      <c r="AX75" s="2">
        <f>SUMPRODUCT($F$5:$F$12,$H$5:$H$12,K$5:K$12)/7*MAX(节奏总纲!E73-'奖励（新）'!$E$2,0)</f>
        <v>28910.809285714287</v>
      </c>
      <c r="AY75" s="2">
        <f>SUMPRODUCT($F$5:$F$12,$H$5:$H$12,L$5:L$12)/7*MAX(节奏总纲!F73-'奖励（新）'!$E$2,0)</f>
        <v>17418.760714285712</v>
      </c>
      <c r="AZ75" s="2">
        <f>SUMPRODUCT($F$5:$F$12,$H$5:$H$12,M$5:M$12)/7*MAX(节奏总纲!G73-'奖励（新）'!$E$2,0)</f>
        <v>3428.4407142857176</v>
      </c>
      <c r="BA75" s="2">
        <f>SUMPRODUCT($F$5:$F$12,$H$5:$H$12,N$5:N$12)/7*MAX(节奏总纲!H73-'奖励（新）'!$E$2,0)</f>
        <v>0</v>
      </c>
      <c r="BE75" s="2">
        <v>70</v>
      </c>
      <c r="BF75" s="41">
        <f t="shared" si="12"/>
        <v>0.67052257737189247</v>
      </c>
      <c r="BG75" s="41">
        <f t="shared" si="13"/>
        <v>0.67961440892947744</v>
      </c>
      <c r="BH75" s="41">
        <f t="shared" si="14"/>
        <v>0.71598173515981733</v>
      </c>
      <c r="BI75" s="41">
        <f t="shared" si="15"/>
        <v>0.85235920852359215</v>
      </c>
      <c r="BJ75" s="41" t="e">
        <f t="shared" si="16"/>
        <v>#DIV/0!</v>
      </c>
      <c r="BK75" s="2">
        <f>(AW75-AL75)*'奖励（新）'!$D$17</f>
        <v>63859.784735812122</v>
      </c>
      <c r="BL75" s="2">
        <f>(AX75-AM75)*'奖励（新）'!$D$17</f>
        <v>46313.033606653626</v>
      </c>
      <c r="BM75" s="2">
        <f>(AY75-AN75)*'奖励（新）'!$D$17</f>
        <v>24736.23096868884</v>
      </c>
      <c r="BN75" s="2">
        <f>(AZ75-AO75)*'奖励（新）'!$D$17</f>
        <v>2530.8885029354224</v>
      </c>
      <c r="BO75" s="2">
        <f>(BA75-AP75)*'奖励（新）'!$D$17</f>
        <v>0</v>
      </c>
    </row>
    <row r="76" spans="17:67" x14ac:dyDescent="0.2">
      <c r="Q76" s="2">
        <v>71</v>
      </c>
      <c r="R76" s="2">
        <f>$E$5*$F$5/7*MAX(节奏总纲!D74-$C$1,0)</f>
        <v>544.19288003318206</v>
      </c>
      <c r="S76" s="2">
        <f>$E$5*$F$5/7*MAX(节奏总纲!E74-$C$1,0)</f>
        <v>414.52339769618754</v>
      </c>
      <c r="T76" s="2">
        <f>$E$5*$F$5/7*MAX(节奏总纲!F74-$C$1,0)</f>
        <v>261.31301909096135</v>
      </c>
      <c r="U76" s="2">
        <f>$E$5*$F$5/7*MAX(节奏总纲!G74-$C$1,0)</f>
        <v>75.806865440062012</v>
      </c>
      <c r="V76" s="2">
        <f>$E$5*$F$5/7*MAX(节奏总纲!H74-$C$1,0)</f>
        <v>0</v>
      </c>
      <c r="W76" s="2">
        <f>$E$6*$F$6/7*MAX(节奏总纲!D74-$C$1,0)</f>
        <v>5441.9288003318206</v>
      </c>
      <c r="X76" s="2">
        <f>$E$6*$F$6/7*MAX(节奏总纲!E74-$C$1,0)</f>
        <v>4145.2339769618748</v>
      </c>
      <c r="Y76" s="2">
        <f>$E$6*$F$6/7*MAX(节奏总纲!F74-$C$1,0)</f>
        <v>2613.1301909096132</v>
      </c>
      <c r="Z76" s="2">
        <f>$E$6*$F$6/7*MAX(节奏总纲!G74-$C$1,0)</f>
        <v>758.06865440062006</v>
      </c>
      <c r="AA76" s="2">
        <f>$E$6*$F$6/7*MAX(节奏总纲!H74-$C$1,0)</f>
        <v>0</v>
      </c>
      <c r="AB76" s="2">
        <f>($E$9*$F$9*3600+$E$10*$F$10*1200)/7*MAX(节奏总纲!D74-$C$1,0)</f>
        <v>457122.01922787295</v>
      </c>
      <c r="AC76" s="2">
        <f>($E$9*$F$9*3600+$E$10*$F$10*1200)/7*MAX(节奏总纲!E74-$C$1,0)</f>
        <v>348199.65406479751</v>
      </c>
      <c r="AD76" s="2">
        <f>($E$9*$F$9*3600+$E$10*$F$10*1200)/7*MAX(节奏总纲!F74-$C$1,0)</f>
        <v>219502.93603640751</v>
      </c>
      <c r="AE76" s="2">
        <f>($E$9*$F$9*3600+$E$10*$F$10*1200)/7*MAX(节奏总纲!G74-$C$1,0)</f>
        <v>63677.766969652082</v>
      </c>
      <c r="AF76" s="2">
        <f>($E$9*$F$9*3600+$E$10*$F$10*1200)/7*MAX(节奏总纲!H74-$C$1,0)</f>
        <v>0</v>
      </c>
      <c r="AK76" s="2">
        <v>71</v>
      </c>
      <c r="AL76" s="2">
        <f>'奖励（新）'!CT78</f>
        <v>29556.382613089863</v>
      </c>
      <c r="AM76" s="2">
        <f>'奖励（新）'!CU78</f>
        <v>22819.001986931387</v>
      </c>
      <c r="AN76" s="2">
        <f>'奖励（新）'!CV78</f>
        <v>15154.723255116354</v>
      </c>
      <c r="AO76" s="2">
        <f>'奖励（新）'!CW78</f>
        <v>5233.7890659988007</v>
      </c>
      <c r="AP76" s="2">
        <f>'奖励（新）'!CX78</f>
        <v>0</v>
      </c>
      <c r="AV76" s="2">
        <v>71</v>
      </c>
      <c r="AW76" s="2">
        <f>SUMPRODUCT($F$5:$F$12,$H$5:$H$12,J$5:J$12)/7*MAX(节奏总纲!D74-'奖励（新）'!$E$2,0)</f>
        <v>44079.623282687746</v>
      </c>
      <c r="AX76" s="2">
        <f>SUMPRODUCT($F$5:$F$12,$H$5:$H$12,K$5:K$12)/7*MAX(节奏总纲!E74-'奖励（新）'!$E$2,0)</f>
        <v>33576.395213391188</v>
      </c>
      <c r="AY76" s="2">
        <f>SUMPRODUCT($F$5:$F$12,$H$5:$H$12,L$5:L$12)/7*MAX(节奏总纲!F74-'奖励（新）'!$E$2,0)</f>
        <v>21166.354546367867</v>
      </c>
      <c r="AZ76" s="2">
        <f>SUMPRODUCT($F$5:$F$12,$H$5:$H$12,M$5:M$12)/7*MAX(节奏总纲!G74-'奖励（新）'!$E$2,0)</f>
        <v>6140.3561006450218</v>
      </c>
      <c r="BA76" s="2">
        <f>SUMPRODUCT($F$5:$F$12,$H$5:$H$12,N$5:N$12)/7*MAX(节奏总纲!H74-'奖励（新）'!$E$2,0)</f>
        <v>0</v>
      </c>
      <c r="BE76" s="2">
        <v>71</v>
      </c>
      <c r="BF76" s="41">
        <f t="shared" si="12"/>
        <v>0.67052257737189236</v>
      </c>
      <c r="BG76" s="41">
        <f t="shared" si="13"/>
        <v>0.67961440892947744</v>
      </c>
      <c r="BH76" s="41">
        <f t="shared" si="14"/>
        <v>0.71598173515981733</v>
      </c>
      <c r="BI76" s="41">
        <f t="shared" si="15"/>
        <v>0.85235920852359204</v>
      </c>
      <c r="BJ76" s="41" t="e">
        <f t="shared" si="16"/>
        <v>#DIV/0!</v>
      </c>
      <c r="BK76" s="2">
        <f>(AW76-AL76)*'奖励（新）'!$D$17</f>
        <v>72616.203347989416</v>
      </c>
      <c r="BL76" s="2">
        <f>(AX76-AM76)*'奖励（新）'!$D$17</f>
        <v>53786.966132299</v>
      </c>
      <c r="BM76" s="2">
        <f>(AY76-AN76)*'奖励（新）'!$D$17</f>
        <v>30058.156456257566</v>
      </c>
      <c r="BN76" s="2">
        <f>(AZ76-AO76)*'奖励（新）'!$D$17</f>
        <v>4532.8351732311057</v>
      </c>
      <c r="BO76" s="2">
        <f>(BA76-AP76)*'奖励（新）'!$D$17</f>
        <v>0</v>
      </c>
    </row>
    <row r="77" spans="17:67" x14ac:dyDescent="0.2">
      <c r="Q77" s="2">
        <v>72</v>
      </c>
      <c r="R77" s="2">
        <f>$E$5*$F$5/7*MAX(节奏总纲!D75-$C$1,0)</f>
        <v>614.52421028300319</v>
      </c>
      <c r="S77" s="2">
        <f>$E$5*$F$5/7*MAX(节奏总纲!E75-$C$1,0)</f>
        <v>475.58387118759288</v>
      </c>
      <c r="T77" s="2">
        <f>$E$5*$F$5/7*MAX(节奏总纲!F75-$C$1,0)</f>
        <v>309.41873591808189</v>
      </c>
      <c r="U77" s="2">
        <f>$E$5*$F$5/7*MAX(节奏总纲!G75-$C$1,0)</f>
        <v>111.33487409962524</v>
      </c>
      <c r="V77" s="2">
        <f>$E$5*$F$5/7*MAX(节奏总纲!H75-$C$1,0)</f>
        <v>0</v>
      </c>
      <c r="W77" s="2">
        <f>$E$6*$F$6/7*MAX(节奏总纲!D75-$C$1,0)</f>
        <v>6145.2421028300314</v>
      </c>
      <c r="X77" s="2">
        <f>$E$6*$F$6/7*MAX(节奏总纲!E75-$C$1,0)</f>
        <v>4755.8387118759283</v>
      </c>
      <c r="Y77" s="2">
        <f>$E$6*$F$6/7*MAX(节奏总纲!F75-$C$1,0)</f>
        <v>3094.1873591808189</v>
      </c>
      <c r="Z77" s="2">
        <f>$E$6*$F$6/7*MAX(节奏总纲!G75-$C$1,0)</f>
        <v>1113.3487409962522</v>
      </c>
      <c r="AA77" s="2">
        <f>$E$6*$F$6/7*MAX(节奏总纲!H75-$C$1,0)</f>
        <v>0</v>
      </c>
      <c r="AB77" s="2">
        <f>($E$9*$F$9*3600+$E$10*$F$10*1200)/7*MAX(节奏总纲!D75-$C$1,0)</f>
        <v>516200.33663772262</v>
      </c>
      <c r="AC77" s="2">
        <f>($E$9*$F$9*3600+$E$10*$F$10*1200)/7*MAX(节奏总纲!E75-$C$1,0)</f>
        <v>399490.45179757796</v>
      </c>
      <c r="AD77" s="2">
        <f>($E$9*$F$9*3600+$E$10*$F$10*1200)/7*MAX(节奏总纲!F75-$C$1,0)</f>
        <v>259911.73817118877</v>
      </c>
      <c r="AE77" s="2">
        <f>($E$9*$F$9*3600+$E$10*$F$10*1200)/7*MAX(节奏总纲!G75-$C$1,0)</f>
        <v>93521.294243685188</v>
      </c>
      <c r="AF77" s="2">
        <f>($E$9*$F$9*3600+$E$10*$F$10*1200)/7*MAX(节奏总纲!H75-$C$1,0)</f>
        <v>0</v>
      </c>
      <c r="AK77" s="2">
        <v>72</v>
      </c>
      <c r="AL77" s="2">
        <f>'奖励（新）'!CT79</f>
        <v>33376.240944247271</v>
      </c>
      <c r="AM77" s="2">
        <f>'奖励（新）'!CU79</f>
        <v>26180.305772597439</v>
      </c>
      <c r="AN77" s="2">
        <f>'奖励（新）'!CV79</f>
        <v>17944.591238120429</v>
      </c>
      <c r="AO77" s="2">
        <f>'奖励（新）'!CW79</f>
        <v>7686.6817186590561</v>
      </c>
      <c r="AP77" s="2">
        <f>'奖励（新）'!CX79</f>
        <v>0</v>
      </c>
      <c r="AV77" s="2">
        <v>72</v>
      </c>
      <c r="AW77" s="2">
        <f>SUMPRODUCT($F$5:$F$12,$H$5:$H$12,J$5:J$12)/7*MAX(节奏总纲!D75-'奖励（新）'!$E$2,0)</f>
        <v>49776.461032923253</v>
      </c>
      <c r="AX77" s="2">
        <f>SUMPRODUCT($F$5:$F$12,$H$5:$H$12,K$5:K$12)/7*MAX(节奏总纲!E75-'奖励（新）'!$E$2,0)</f>
        <v>38522.293566195018</v>
      </c>
      <c r="AY77" s="2">
        <f>SUMPRODUCT($F$5:$F$12,$H$5:$H$12,L$5:L$12)/7*MAX(节奏总纲!F75-'奖励（新）'!$E$2,0)</f>
        <v>25062.917609364631</v>
      </c>
      <c r="AZ77" s="2">
        <f>SUMPRODUCT($F$5:$F$12,$H$5:$H$12,M$5:M$12)/7*MAX(节奏总纲!G75-'奖励（新）'!$E$2,0)</f>
        <v>9018.1248020696439</v>
      </c>
      <c r="BA77" s="2">
        <f>SUMPRODUCT($F$5:$F$12,$H$5:$H$12,N$5:N$12)/7*MAX(节奏总纲!H75-'奖励（新）'!$E$2,0)</f>
        <v>0</v>
      </c>
      <c r="BE77" s="2">
        <v>72</v>
      </c>
      <c r="BF77" s="41">
        <f t="shared" si="12"/>
        <v>0.67052257737189247</v>
      </c>
      <c r="BG77" s="41">
        <f t="shared" si="13"/>
        <v>0.67961440892947744</v>
      </c>
      <c r="BH77" s="41">
        <f t="shared" si="14"/>
        <v>0.71598173515981733</v>
      </c>
      <c r="BI77" s="41">
        <f t="shared" si="15"/>
        <v>0.85235920852359193</v>
      </c>
      <c r="BJ77" s="41" t="e">
        <f t="shared" si="16"/>
        <v>#DIV/0!</v>
      </c>
      <c r="BK77" s="2">
        <f>(AW77-AL77)*'奖励（新）'!$D$17</f>
        <v>82001.10044337991</v>
      </c>
      <c r="BL77" s="2">
        <f>(AX77-AM77)*'奖励（新）'!$D$17</f>
        <v>61709.938967987895</v>
      </c>
      <c r="BM77" s="2">
        <f>(AY77-AN77)*'奖励（新）'!$D$17</f>
        <v>35591.631856221007</v>
      </c>
      <c r="BN77" s="2">
        <f>(AZ77-AO77)*'奖励（新）'!$D$17</f>
        <v>6657.2154170529393</v>
      </c>
      <c r="BO77" s="2">
        <f>(BA77-AP77)*'奖励（新）'!$D$17</f>
        <v>0</v>
      </c>
    </row>
    <row r="78" spans="17:67" x14ac:dyDescent="0.2">
      <c r="Q78" s="2">
        <v>73</v>
      </c>
      <c r="R78" s="2">
        <f>$E$5*$F$5/7*MAX(节奏总纲!D76-$C$1,0)</f>
        <v>689.9034636296376</v>
      </c>
      <c r="S78" s="2">
        <f>$E$5*$F$5/7*MAX(节奏总纲!E76-$C$1,0)</f>
        <v>538.68565820405342</v>
      </c>
      <c r="T78" s="2">
        <f>$E$5*$F$5/7*MAX(节奏总纲!F76-$C$1,0)</f>
        <v>361.29554030096443</v>
      </c>
      <c r="U78" s="2">
        <f>$E$5*$F$5/7*MAX(节奏总纲!G76-$C$1,0)</f>
        <v>149.68009069652268</v>
      </c>
      <c r="V78" s="2">
        <f>$E$5*$F$5/7*MAX(节奏总纲!H76-$C$1,0)</f>
        <v>0</v>
      </c>
      <c r="W78" s="2">
        <f>$E$6*$F$6/7*MAX(节奏总纲!D76-$C$1,0)</f>
        <v>6899.0346362963755</v>
      </c>
      <c r="X78" s="2">
        <f>$E$6*$F$6/7*MAX(节奏总纲!E76-$C$1,0)</f>
        <v>5386.8565820405347</v>
      </c>
      <c r="Y78" s="2">
        <f>$E$6*$F$6/7*MAX(节奏总纲!F76-$C$1,0)</f>
        <v>3612.9554030096442</v>
      </c>
      <c r="Z78" s="2">
        <f>$E$6*$F$6/7*MAX(节奏总纲!G76-$C$1,0)</f>
        <v>1496.8009069652269</v>
      </c>
      <c r="AA78" s="2">
        <f>$E$6*$F$6/7*MAX(节奏总纲!H76-$C$1,0)</f>
        <v>0</v>
      </c>
      <c r="AB78" s="2">
        <f>($E$9*$F$9*3600+$E$10*$F$10*1200)/7*MAX(节奏总纲!D76-$C$1,0)</f>
        <v>579518.9094488956</v>
      </c>
      <c r="AC78" s="2">
        <f>($E$9*$F$9*3600+$E$10*$F$10*1200)/7*MAX(节奏总纲!E76-$C$1,0)</f>
        <v>452495.95289140492</v>
      </c>
      <c r="AD78" s="2">
        <f>($E$9*$F$9*3600+$E$10*$F$10*1200)/7*MAX(节奏总纲!F76-$C$1,0)</f>
        <v>303488.25385281007</v>
      </c>
      <c r="AE78" s="2">
        <f>($E$9*$F$9*3600+$E$10*$F$10*1200)/7*MAX(节奏总纲!G76-$C$1,0)</f>
        <v>125731.27618507906</v>
      </c>
      <c r="AF78" s="2">
        <f>($E$9*$F$9*3600+$E$10*$F$10*1200)/7*MAX(节奏总纲!H76-$C$1,0)</f>
        <v>0</v>
      </c>
      <c r="AK78" s="2">
        <v>73</v>
      </c>
      <c r="AL78" s="2">
        <f>'奖励（新）'!CT80</f>
        <v>37470.263734229957</v>
      </c>
      <c r="AM78" s="2">
        <f>'奖励（新）'!CU80</f>
        <v>29653.981351129874</v>
      </c>
      <c r="AN78" s="2">
        <f>'奖励（新）'!CV80</f>
        <v>20953.161635865243</v>
      </c>
      <c r="AO78" s="2">
        <f>'奖励（新）'!CW80</f>
        <v>10334.07749466403</v>
      </c>
      <c r="AP78" s="2">
        <f>'奖励（新）'!CX80</f>
        <v>0</v>
      </c>
      <c r="AV78" s="2">
        <v>73</v>
      </c>
      <c r="AW78" s="2">
        <f>SUMPRODUCT($F$5:$F$12,$H$5:$H$12,J$5:J$12)/7*MAX(节奏总纲!D76-'奖励（新）'!$E$2,0)</f>
        <v>55882.180554000639</v>
      </c>
      <c r="AX78" s="2">
        <f>SUMPRODUCT($F$5:$F$12,$H$5:$H$12,K$5:K$12)/7*MAX(节奏总纲!E76-'奖励（新）'!$E$2,0)</f>
        <v>43633.538314528327</v>
      </c>
      <c r="AY78" s="2">
        <f>SUMPRODUCT($F$5:$F$12,$H$5:$H$12,L$5:L$12)/7*MAX(节奏总纲!F76-'奖励（新）'!$E$2,0)</f>
        <v>29264.938764378116</v>
      </c>
      <c r="AZ78" s="2">
        <f>SUMPRODUCT($F$5:$F$12,$H$5:$H$12,M$5:M$12)/7*MAX(节奏总纲!G76-'奖励（新）'!$E$2,0)</f>
        <v>12124.087346418337</v>
      </c>
      <c r="BA78" s="2">
        <f>SUMPRODUCT($F$5:$F$12,$H$5:$H$12,N$5:N$12)/7*MAX(节奏总纲!H76-'奖励（新）'!$E$2,0)</f>
        <v>0</v>
      </c>
      <c r="BE78" s="2">
        <v>73</v>
      </c>
      <c r="BF78" s="41">
        <f t="shared" si="12"/>
        <v>0.67052257737189247</v>
      </c>
      <c r="BG78" s="41">
        <f t="shared" si="13"/>
        <v>0.67961440892947744</v>
      </c>
      <c r="BH78" s="41">
        <f t="shared" si="14"/>
        <v>0.71598173515981733</v>
      </c>
      <c r="BI78" s="41">
        <f t="shared" si="15"/>
        <v>0.85235920852359204</v>
      </c>
      <c r="BJ78" s="41" t="e">
        <f t="shared" si="16"/>
        <v>#DIV/0!</v>
      </c>
      <c r="BK78" s="2">
        <f>(AW78-AL78)*'奖励（新）'!$D$17</f>
        <v>92059.584098853404</v>
      </c>
      <c r="BL78" s="2">
        <f>(AX78-AM78)*'奖励（新）'!$D$17</f>
        <v>69897.784816992265</v>
      </c>
      <c r="BM78" s="2">
        <f>(AY78-AN78)*'奖励（新）'!$D$17</f>
        <v>41558.885642564361</v>
      </c>
      <c r="BN78" s="2">
        <f>(AZ78-AO78)*'奖励（新）'!$D$17</f>
        <v>8950.0492587715325</v>
      </c>
      <c r="BO78" s="2">
        <f>(BA78-AP78)*'奖励（新）'!$D$17</f>
        <v>0</v>
      </c>
    </row>
    <row r="79" spans="17:67" x14ac:dyDescent="0.2">
      <c r="Q79" s="2">
        <v>74</v>
      </c>
      <c r="R79" s="2">
        <f>$E$5*$F$5/7*MAX(节奏总纲!D77-$C$1,0)</f>
        <v>770.69294699236025</v>
      </c>
      <c r="S79" s="2">
        <f>$E$5*$F$5/7*MAX(节奏总纲!E77-$C$1,0)</f>
        <v>608.31255054102337</v>
      </c>
      <c r="T79" s="2">
        <f>$E$5*$F$5/7*MAX(节奏总纲!F77-$C$1,0)</f>
        <v>419.30848495217009</v>
      </c>
      <c r="U79" s="2">
        <f>$E$5*$F$5/7*MAX(节奏总纲!G77-$C$1,0)</f>
        <v>191.92795934527567</v>
      </c>
      <c r="V79" s="2">
        <f>$E$5*$F$5/7*MAX(节奏总纲!H77-$C$1,0)</f>
        <v>0</v>
      </c>
      <c r="W79" s="2">
        <f>$E$6*$F$6/7*MAX(节奏总纲!D77-$C$1,0)</f>
        <v>7706.9294699236025</v>
      </c>
      <c r="X79" s="2">
        <f>$E$6*$F$6/7*MAX(节奏总纲!E77-$C$1,0)</f>
        <v>6083.125505410233</v>
      </c>
      <c r="Y79" s="2">
        <f>$E$6*$F$6/7*MAX(节奏总纲!F77-$C$1,0)</f>
        <v>4193.0848495217006</v>
      </c>
      <c r="Z79" s="2">
        <f>$E$6*$F$6/7*MAX(节奏总纲!G77-$C$1,0)</f>
        <v>1919.2795934527567</v>
      </c>
      <c r="AA79" s="2">
        <f>$E$6*$F$6/7*MAX(节奏总纲!H77-$C$1,0)</f>
        <v>0</v>
      </c>
      <c r="AB79" s="2">
        <f>($E$9*$F$9*3600+$E$10*$F$10*1200)/7*MAX(节奏总纲!D77-$C$1,0)</f>
        <v>647382.0754735826</v>
      </c>
      <c r="AC79" s="2">
        <f>($E$9*$F$9*3600+$E$10*$F$10*1200)/7*MAX(节奏总纲!E77-$C$1,0)</f>
        <v>510982.54245445959</v>
      </c>
      <c r="AD79" s="2">
        <f>($E$9*$F$9*3600+$E$10*$F$10*1200)/7*MAX(节奏总纲!F77-$C$1,0)</f>
        <v>352219.12735982286</v>
      </c>
      <c r="AE79" s="2">
        <f>($E$9*$F$9*3600+$E$10*$F$10*1200)/7*MAX(节奏总纲!G77-$C$1,0)</f>
        <v>161219.48585003155</v>
      </c>
      <c r="AF79" s="2">
        <f>($E$9*$F$9*3600+$E$10*$F$10*1200)/7*MAX(节奏总纲!H77-$C$1,0)</f>
        <v>0</v>
      </c>
      <c r="AK79" s="2">
        <v>74</v>
      </c>
      <c r="AL79" s="2">
        <f>'奖励（新）'!CT81</f>
        <v>41858.128715552186</v>
      </c>
      <c r="AM79" s="2">
        <f>'奖励（新）'!CU81</f>
        <v>33486.85593290595</v>
      </c>
      <c r="AN79" s="2">
        <f>'奖励（新）'!CV81</f>
        <v>24317.594546486398</v>
      </c>
      <c r="AO79" s="2">
        <f>'奖励（新）'!CW81</f>
        <v>13250.916645208072</v>
      </c>
      <c r="AP79" s="2">
        <f>'奖励（新）'!CX81</f>
        <v>0</v>
      </c>
      <c r="AV79" s="2">
        <v>74</v>
      </c>
      <c r="AW79" s="2">
        <f>SUMPRODUCT($F$5:$F$12,$H$5:$H$12,J$5:J$12)/7*MAX(节奏总纲!D77-'奖励（新）'!$E$2,0)</f>
        <v>62426.128706381176</v>
      </c>
      <c r="AX79" s="2">
        <f>SUMPRODUCT($F$5:$F$12,$H$5:$H$12,K$5:K$12)/7*MAX(节奏总纲!E77-'奖励（新）'!$E$2,0)</f>
        <v>49273.316593822885</v>
      </c>
      <c r="AY79" s="2">
        <f>SUMPRODUCT($F$5:$F$12,$H$5:$H$12,L$5:L$12)/7*MAX(节奏总纲!F77-'奖励（新）'!$E$2,0)</f>
        <v>33963.987281125774</v>
      </c>
      <c r="AZ79" s="2">
        <f>SUMPRODUCT($F$5:$F$12,$H$5:$H$12,M$5:M$12)/7*MAX(节奏总纲!G77-'奖励（新）'!$E$2,0)</f>
        <v>15546.164706967329</v>
      </c>
      <c r="BA79" s="2">
        <f>SUMPRODUCT($F$5:$F$12,$H$5:$H$12,N$5:N$12)/7*MAX(节奏总纲!H77-'奖励（新）'!$E$2,0)</f>
        <v>0</v>
      </c>
      <c r="BE79" s="2">
        <v>74</v>
      </c>
      <c r="BF79" s="41">
        <f t="shared" si="12"/>
        <v>0.67052257737189236</v>
      </c>
      <c r="BG79" s="41">
        <f t="shared" si="13"/>
        <v>0.67961440892947733</v>
      </c>
      <c r="BH79" s="41">
        <f t="shared" si="14"/>
        <v>0.71598173515981733</v>
      </c>
      <c r="BI79" s="41">
        <f t="shared" si="15"/>
        <v>0.85235920852359193</v>
      </c>
      <c r="BJ79" s="41" t="e">
        <f t="shared" si="16"/>
        <v>#DIV/0!</v>
      </c>
      <c r="BK79" s="2">
        <f>(AW79-AL79)*'奖励（新）'!$D$17</f>
        <v>102839.99995414495</v>
      </c>
      <c r="BL79" s="2">
        <f>(AX79-AM79)*'奖励（新）'!$D$17</f>
        <v>78932.303304584668</v>
      </c>
      <c r="BM79" s="2">
        <f>(AY79-AN79)*'奖励（新）'!$D$17</f>
        <v>48231.963673196879</v>
      </c>
      <c r="BN79" s="2">
        <f>(AZ79-AO79)*'奖励（新）'!$D$17</f>
        <v>11476.240308796287</v>
      </c>
      <c r="BO79" s="2">
        <f>(BA79-AP79)*'奖励（新）'!$D$17</f>
        <v>0</v>
      </c>
    </row>
    <row r="80" spans="17:67" x14ac:dyDescent="0.2">
      <c r="Q80" s="2">
        <v>75</v>
      </c>
      <c r="R80" s="2">
        <f>$E$5*$F$5/7*MAX(节奏总纲!D78-$C$1,0)</f>
        <v>857.28097131254378</v>
      </c>
      <c r="S80" s="2">
        <f>$E$5*$F$5/7*MAX(节奏总纲!E78-$C$1,0)</f>
        <v>683.94806780818419</v>
      </c>
      <c r="T80" s="2">
        <f>$E$5*$F$5/7*MAX(节奏总纲!F78-$C$1,0)</f>
        <v>481.29772958647027</v>
      </c>
      <c r="U80" s="2">
        <f>$E$5*$F$5/7*MAX(节奏总纲!G78-$C$1,0)</f>
        <v>237.24294408849241</v>
      </c>
      <c r="V80" s="2">
        <f>$E$5*$F$5/7*MAX(节奏总纲!H78-$C$1,0)</f>
        <v>0</v>
      </c>
      <c r="W80" s="2">
        <f>$E$6*$F$6/7*MAX(节奏总纲!D78-$C$1,0)</f>
        <v>8572.8097131254381</v>
      </c>
      <c r="X80" s="2">
        <f>$E$6*$F$6/7*MAX(节奏总纲!E78-$C$1,0)</f>
        <v>6839.4806780818417</v>
      </c>
      <c r="Y80" s="2">
        <f>$E$6*$F$6/7*MAX(节奏总纲!F78-$C$1,0)</f>
        <v>4812.9772958647027</v>
      </c>
      <c r="Z80" s="2">
        <f>$E$6*$F$6/7*MAX(节奏总纲!G78-$C$1,0)</f>
        <v>2372.4294408849237</v>
      </c>
      <c r="AA80" s="2">
        <f>$E$6*$F$6/7*MAX(节奏总纲!H78-$C$1,0)</f>
        <v>0</v>
      </c>
      <c r="AB80" s="2">
        <f>($E$9*$F$9*3600+$E$10*$F$10*1200)/7*MAX(节奏总纲!D78-$C$1,0)</f>
        <v>720116.01590253669</v>
      </c>
      <c r="AC80" s="2">
        <f>($E$9*$F$9*3600+$E$10*$F$10*1200)/7*MAX(节奏总纲!E78-$C$1,0)</f>
        <v>574516.37695887464</v>
      </c>
      <c r="AD80" s="2">
        <f>($E$9*$F$9*3600+$E$10*$F$10*1200)/7*MAX(节奏总纲!F78-$C$1,0)</f>
        <v>404290.09285263496</v>
      </c>
      <c r="AE80" s="2">
        <f>($E$9*$F$9*3600+$E$10*$F$10*1200)/7*MAX(节奏总纲!G78-$C$1,0)</f>
        <v>199284.07303433359</v>
      </c>
      <c r="AF80" s="2">
        <f>($E$9*$F$9*3600+$E$10*$F$10*1200)/7*MAX(节奏总纲!H78-$C$1,0)</f>
        <v>0</v>
      </c>
      <c r="AK80" s="2">
        <v>75</v>
      </c>
      <c r="AL80" s="2">
        <f>'奖励（新）'!CT82</f>
        <v>46560.925959725653</v>
      </c>
      <c r="AM80" s="2">
        <f>'奖励（新）'!CU82</f>
        <v>37650.497909195285</v>
      </c>
      <c r="AN80" s="2">
        <f>'奖励（新）'!CV82</f>
        <v>27912.63106818192</v>
      </c>
      <c r="AO80" s="2">
        <f>'奖励（新）'!CW82</f>
        <v>16379.512852137006</v>
      </c>
      <c r="AP80" s="2">
        <f>'奖励（新）'!CX82</f>
        <v>0</v>
      </c>
      <c r="AV80" s="2">
        <v>75</v>
      </c>
      <c r="AW80" s="2">
        <f>SUMPRODUCT($F$5:$F$12,$H$5:$H$12,J$5:J$12)/7*MAX(节奏总纲!D78-'奖励（新）'!$E$2,0)</f>
        <v>69439.758676316036</v>
      </c>
      <c r="AX80" s="2">
        <f>SUMPRODUCT($F$5:$F$12,$H$5:$H$12,K$5:K$12)/7*MAX(节奏总纲!E78-'奖励（新）'!$E$2,0)</f>
        <v>55399.793492462915</v>
      </c>
      <c r="AY80" s="2">
        <f>SUMPRODUCT($F$5:$F$12,$H$5:$H$12,L$5:L$12)/7*MAX(节奏总纲!F78-'奖励（新）'!$E$2,0)</f>
        <v>38985.116096504084</v>
      </c>
      <c r="AZ80" s="2">
        <f>SUMPRODUCT($F$5:$F$12,$H$5:$H$12,M$5:M$12)/7*MAX(节奏总纲!G78-'奖励（新）'!$E$2,0)</f>
        <v>19216.678471167881</v>
      </c>
      <c r="BA80" s="2">
        <f>SUMPRODUCT($F$5:$F$12,$H$5:$H$12,N$5:N$12)/7*MAX(节奏总纲!H78-'奖励（新）'!$E$2,0)</f>
        <v>0</v>
      </c>
      <c r="BE80" s="2">
        <v>75</v>
      </c>
      <c r="BF80" s="41">
        <f t="shared" si="12"/>
        <v>0.67052257737189236</v>
      </c>
      <c r="BG80" s="41">
        <f t="shared" si="13"/>
        <v>0.67961440892947722</v>
      </c>
      <c r="BH80" s="41">
        <f t="shared" si="14"/>
        <v>0.71598173515981733</v>
      </c>
      <c r="BI80" s="41">
        <f t="shared" si="15"/>
        <v>0.85235920852359204</v>
      </c>
      <c r="BJ80" s="41" t="e">
        <f t="shared" si="16"/>
        <v>#DIV/0!</v>
      </c>
      <c r="BK80" s="2">
        <f>(AW80-AL80)*'奖励（新）'!$D$17</f>
        <v>114394.16358295191</v>
      </c>
      <c r="BL80" s="2">
        <f>(AX80-AM80)*'奖励（新）'!$D$17</f>
        <v>88746.477916338161</v>
      </c>
      <c r="BM80" s="2">
        <f>(AY80-AN80)*'奖励（新）'!$D$17</f>
        <v>55362.425141610816</v>
      </c>
      <c r="BN80" s="2">
        <f>(AZ80-AO80)*'奖励（新）'!$D$17</f>
        <v>14185.828095154375</v>
      </c>
      <c r="BO80" s="2">
        <f>(BA80-AP80)*'奖励（新）'!$D$17</f>
        <v>0</v>
      </c>
    </row>
    <row r="81" spans="17:67" x14ac:dyDescent="0.2">
      <c r="Q81" s="2">
        <v>76</v>
      </c>
      <c r="R81" s="2">
        <f>$E$5*$F$5/7*MAX(节奏总纲!D79-$C$1,0)</f>
        <v>950.08371795236371</v>
      </c>
      <c r="S81" s="2">
        <f>$E$5*$F$5/7*MAX(节奏总纲!E79-$C$1,0)</f>
        <v>764.10313868630408</v>
      </c>
      <c r="T81" s="2">
        <f>$E$5*$F$5/7*MAX(节奏总纲!F79-$C$1,0)</f>
        <v>546.5513565648497</v>
      </c>
      <c r="U81" s="2">
        <f>$E$5*$F$5/7*MAX(节奏总纲!G79-$C$1,0)</f>
        <v>285.98553387185291</v>
      </c>
      <c r="V81" s="2">
        <f>$E$5*$F$5/7*MAX(节奏总纲!H79-$C$1,0)</f>
        <v>0</v>
      </c>
      <c r="W81" s="2">
        <f>$E$6*$F$6/7*MAX(节奏总纲!D79-$C$1,0)</f>
        <v>9500.8371795236362</v>
      </c>
      <c r="X81" s="2">
        <f>$E$6*$F$6/7*MAX(节奏总纲!E79-$C$1,0)</f>
        <v>7641.0313868630401</v>
      </c>
      <c r="Y81" s="2">
        <f>$E$6*$F$6/7*MAX(节奏总纲!F79-$C$1,0)</f>
        <v>5465.5135656484972</v>
      </c>
      <c r="Z81" s="2">
        <f>$E$6*$F$6/7*MAX(节奏总纲!G79-$C$1,0)</f>
        <v>2859.8553387185289</v>
      </c>
      <c r="AA81" s="2">
        <f>$E$6*$F$6/7*MAX(节奏总纲!H79-$C$1,0)</f>
        <v>0</v>
      </c>
      <c r="AB81" s="2">
        <f>($E$9*$F$9*3600+$E$10*$F$10*1200)/7*MAX(节奏总纲!D79-$C$1,0)</f>
        <v>798070.32307998545</v>
      </c>
      <c r="AC81" s="2">
        <f>($E$9*$F$9*3600+$E$10*$F$10*1200)/7*MAX(节奏总纲!E79-$C$1,0)</f>
        <v>641846.63649649534</v>
      </c>
      <c r="AD81" s="2">
        <f>($E$9*$F$9*3600+$E$10*$F$10*1200)/7*MAX(节奏总纲!F79-$C$1,0)</f>
        <v>459103.13951447373</v>
      </c>
      <c r="AE81" s="2">
        <f>($E$9*$F$9*3600+$E$10*$F$10*1200)/7*MAX(节奏总纲!G79-$C$1,0)</f>
        <v>240227.84845235644</v>
      </c>
      <c r="AF81" s="2">
        <f>($E$9*$F$9*3600+$E$10*$F$10*1200)/7*MAX(节奏总纲!H79-$C$1,0)</f>
        <v>0</v>
      </c>
      <c r="AK81" s="2">
        <v>76</v>
      </c>
      <c r="AL81" s="2">
        <f>'奖励（新）'!CT83</f>
        <v>51601.259245719608</v>
      </c>
      <c r="AM81" s="2">
        <f>'奖励（新）'!CU83</f>
        <v>42062.935739715533</v>
      </c>
      <c r="AN81" s="2">
        <f>'奖励（新）'!CV83</f>
        <v>31696.983878807499</v>
      </c>
      <c r="AO81" s="2">
        <f>'奖励（新）'!CW83</f>
        <v>19744.754667316964</v>
      </c>
      <c r="AP81" s="2">
        <f>'奖励（新）'!CX83</f>
        <v>0</v>
      </c>
      <c r="AV81" s="2">
        <v>76</v>
      </c>
      <c r="AW81" s="2">
        <f>SUMPRODUCT($F$5:$F$12,$H$5:$H$12,J$5:J$12)/7*MAX(节奏总纲!D79-'奖励（新）'!$E$2,0)</f>
        <v>76956.781154141456</v>
      </c>
      <c r="AX81" s="2">
        <f>SUMPRODUCT($F$5:$F$12,$H$5:$H$12,K$5:K$12)/7*MAX(节奏总纲!E79-'奖励（新）'!$E$2,0)</f>
        <v>61892.354233590624</v>
      </c>
      <c r="AY81" s="2">
        <f>SUMPRODUCT($F$5:$F$12,$H$5:$H$12,L$5:L$12)/7*MAX(节奏总纲!F79-'奖励（新）'!$E$2,0)</f>
        <v>44270.659881752828</v>
      </c>
      <c r="AZ81" s="2">
        <f>SUMPRODUCT($F$5:$F$12,$H$5:$H$12,M$5:M$12)/7*MAX(节奏总纲!G79-'奖励（新）'!$E$2,0)</f>
        <v>23164.828243620083</v>
      </c>
      <c r="BA81" s="2">
        <f>SUMPRODUCT($F$5:$F$12,$H$5:$H$12,N$5:N$12)/7*MAX(节奏总纲!H79-'奖励（新）'!$E$2,0)</f>
        <v>0</v>
      </c>
      <c r="BE81" s="2">
        <v>76</v>
      </c>
      <c r="BF81" s="41">
        <f t="shared" si="12"/>
        <v>0.67052257737189247</v>
      </c>
      <c r="BG81" s="41">
        <f t="shared" si="13"/>
        <v>0.67961440892947744</v>
      </c>
      <c r="BH81" s="41">
        <f t="shared" si="14"/>
        <v>0.71598173515981722</v>
      </c>
      <c r="BI81" s="41">
        <f t="shared" si="15"/>
        <v>0.85235920852359204</v>
      </c>
      <c r="BJ81" s="41" t="e">
        <f t="shared" si="16"/>
        <v>#DIV/0!</v>
      </c>
      <c r="BK81" s="2">
        <f>(AW81-AL81)*'奖励（新）'!$D$17</f>
        <v>126777.60954210925</v>
      </c>
      <c r="BL81" s="2">
        <f>(AX81-AM81)*'奖励（新）'!$D$17</f>
        <v>99147.092469375464</v>
      </c>
      <c r="BM81" s="2">
        <f>(AY81-AN81)*'奖励（新）'!$D$17</f>
        <v>62868.380014726645</v>
      </c>
      <c r="BN81" s="2">
        <f>(AZ81-AO81)*'奖励（新）'!$D$17</f>
        <v>17100.367881515594</v>
      </c>
      <c r="BO81" s="2">
        <f>(BA81-AP81)*'奖励（新）'!$D$17</f>
        <v>0</v>
      </c>
    </row>
    <row r="82" spans="17:67" x14ac:dyDescent="0.2">
      <c r="Q82" s="2">
        <v>77</v>
      </c>
      <c r="R82" s="2">
        <f>$E$5*$F$5/7*MAX(节奏总纲!D80-$C$1,0)</f>
        <v>1049.5472390514019</v>
      </c>
      <c r="S82" s="2">
        <f>$E$5*$F$5/7*MAX(节奏总纲!E80-$C$1,0)</f>
        <v>850.88809012289346</v>
      </c>
      <c r="T82" s="2">
        <f>$E$5*$F$5/7*MAX(节奏总纲!F80-$C$1,0)</f>
        <v>618.08439997229755</v>
      </c>
      <c r="U82" s="2">
        <f>$E$5*$F$5/7*MAX(节奏总纲!G80-$C$1,0)</f>
        <v>338.71997179158274</v>
      </c>
      <c r="V82" s="2">
        <f>$E$5*$F$5/7*MAX(节奏总纲!H80-$C$1,0)</f>
        <v>0</v>
      </c>
      <c r="W82" s="2">
        <f>$E$6*$F$6/7*MAX(节奏总纲!D80-$C$1,0)</f>
        <v>10495.472390514018</v>
      </c>
      <c r="X82" s="2">
        <f>$E$6*$F$6/7*MAX(节奏总纲!E80-$C$1,0)</f>
        <v>8508.8809012289348</v>
      </c>
      <c r="Y82" s="2">
        <f>$E$6*$F$6/7*MAX(节奏总纲!F80-$C$1,0)</f>
        <v>6180.8439997229752</v>
      </c>
      <c r="Z82" s="2">
        <f>$E$6*$F$6/7*MAX(节奏总纲!G80-$C$1,0)</f>
        <v>3387.199717915827</v>
      </c>
      <c r="AA82" s="2">
        <f>$E$6*$F$6/7*MAX(节奏总纲!H80-$C$1,0)</f>
        <v>0</v>
      </c>
      <c r="AB82" s="2">
        <f>($E$9*$F$9*3600+$E$10*$F$10*1200)/7*MAX(节奏总纲!D80-$C$1,0)</f>
        <v>881619.68080317753</v>
      </c>
      <c r="AC82" s="2">
        <f>($E$9*$F$9*3600+$E$10*$F$10*1200)/7*MAX(节奏总纲!E80-$C$1,0)</f>
        <v>714745.9957032305</v>
      </c>
      <c r="AD82" s="2">
        <f>($E$9*$F$9*3600+$E$10*$F$10*1200)/7*MAX(节奏总纲!F80-$C$1,0)</f>
        <v>519190.89597672992</v>
      </c>
      <c r="AE82" s="2">
        <f>($E$9*$F$9*3600+$E$10*$F$10*1200)/7*MAX(节奏总纲!G80-$C$1,0)</f>
        <v>284524.77630492946</v>
      </c>
      <c r="AF82" s="2">
        <f>($E$9*$F$9*3600+$E$10*$F$10*1200)/7*MAX(节奏总纲!H80-$C$1,0)</f>
        <v>0</v>
      </c>
      <c r="AK82" s="2">
        <v>77</v>
      </c>
      <c r="AL82" s="2">
        <f>'奖励（新）'!CT84</f>
        <v>57003.354703986261</v>
      </c>
      <c r="AM82" s="2">
        <f>'奖励（新）'!CU84</f>
        <v>46840.340321154174</v>
      </c>
      <c r="AN82" s="2">
        <f>'奖励（新）'!CV84</f>
        <v>35845.508434557785</v>
      </c>
      <c r="AO82" s="2">
        <f>'奖励（新）'!CW84</f>
        <v>23385.598052459954</v>
      </c>
      <c r="AP82" s="2">
        <f>'奖励（新）'!CX84</f>
        <v>0</v>
      </c>
      <c r="AV82" s="2">
        <v>77</v>
      </c>
      <c r="AW82" s="2">
        <f>SUMPRODUCT($F$5:$F$12,$H$5:$H$12,J$5:J$12)/7*MAX(节奏总纲!D80-'奖励（新）'!$E$2,0)</f>
        <v>85013.326363163549</v>
      </c>
      <c r="AX82" s="2">
        <f>SUMPRODUCT($F$5:$F$12,$H$5:$H$12,K$5:K$12)/7*MAX(节奏总纲!E80-'奖励（新）'!$E$2,0)</f>
        <v>68921.935299954363</v>
      </c>
      <c r="AY82" s="2">
        <f>SUMPRODUCT($F$5:$F$12,$H$5:$H$12,L$5:L$12)/7*MAX(节奏总纲!F80-'奖励（新）'!$E$2,0)</f>
        <v>50064.836397756095</v>
      </c>
      <c r="AZ82" s="2">
        <f>SUMPRODUCT($F$5:$F$12,$H$5:$H$12,M$5:M$12)/7*MAX(节奏总纲!G80-'奖励（新）'!$E$2,0)</f>
        <v>27436.317715118199</v>
      </c>
      <c r="BA82" s="2">
        <f>SUMPRODUCT($F$5:$F$12,$H$5:$H$12,N$5:N$12)/7*MAX(节奏总纲!H80-'奖励（新）'!$E$2,0)</f>
        <v>0</v>
      </c>
      <c r="BE82" s="2">
        <v>77</v>
      </c>
      <c r="BF82" s="41">
        <f t="shared" si="12"/>
        <v>0.67052257737189225</v>
      </c>
      <c r="BG82" s="41">
        <f t="shared" si="13"/>
        <v>0.67961440892947744</v>
      </c>
      <c r="BH82" s="41">
        <f t="shared" si="14"/>
        <v>0.71598173515981733</v>
      </c>
      <c r="BI82" s="41">
        <f t="shared" si="15"/>
        <v>0.85235920852359204</v>
      </c>
      <c r="BJ82" s="41" t="e">
        <f t="shared" si="16"/>
        <v>#DIV/0!</v>
      </c>
      <c r="BK82" s="2">
        <f>(AW82-AL82)*'奖励（新）'!$D$17</f>
        <v>140049.85829588643</v>
      </c>
      <c r="BL82" s="2">
        <f>(AX82-AM82)*'奖励（新）'!$D$17</f>
        <v>110407.97489400094</v>
      </c>
      <c r="BM82" s="2">
        <f>(AY82-AN82)*'奖励（新）'!$D$17</f>
        <v>71096.639815991541</v>
      </c>
      <c r="BN82" s="2">
        <f>(AZ82-AO82)*'奖励（新）'!$D$17</f>
        <v>20253.598313291222</v>
      </c>
      <c r="BO82" s="2">
        <f>(BA82-AP82)*'奖励（新）'!$D$17</f>
        <v>0</v>
      </c>
    </row>
    <row r="83" spans="17:67" x14ac:dyDescent="0.2">
      <c r="Q83" s="2">
        <v>78</v>
      </c>
      <c r="R83" s="2">
        <f>$E$5*$F$5/7*MAX(节奏总纲!D81-$C$1,0)</f>
        <v>1156.1496014557697</v>
      </c>
      <c r="S83" s="2">
        <f>$E$5*$F$5/7*MAX(节奏总纲!E81-$C$1,0)</f>
        <v>943.16309502011438</v>
      </c>
      <c r="T83" s="2">
        <f>$E$5*$F$5/7*MAX(节奏总纲!F81-$C$1,0)</f>
        <v>694.52036540884671</v>
      </c>
      <c r="U83" s="2">
        <f>$E$5*$F$5/7*MAX(节奏总纲!G81-$C$1,0)</f>
        <v>394.05725811568999</v>
      </c>
      <c r="V83" s="2">
        <f>$E$5*$F$5/7*MAX(节奏总纲!H81-$C$1,0)</f>
        <v>26.085034943374552</v>
      </c>
      <c r="W83" s="2">
        <f>$E$6*$F$6/7*MAX(节奏总纲!D81-$C$1,0)</f>
        <v>11561.496014557697</v>
      </c>
      <c r="X83" s="2">
        <f>$E$6*$F$6/7*MAX(节奏总纲!E81-$C$1,0)</f>
        <v>9431.6309502011445</v>
      </c>
      <c r="Y83" s="2">
        <f>$E$6*$F$6/7*MAX(节奏总纲!F81-$C$1,0)</f>
        <v>6945.2036540884674</v>
      </c>
      <c r="Z83" s="2">
        <f>$E$6*$F$6/7*MAX(节奏总纲!G81-$C$1,0)</f>
        <v>3940.5725811569</v>
      </c>
      <c r="AA83" s="2">
        <f>$E$6*$F$6/7*MAX(节奏总纲!H81-$C$1,0)</f>
        <v>260.85034943374552</v>
      </c>
      <c r="AB83" s="2">
        <f>($E$9*$F$9*3600+$E$10*$F$10*1200)/7*MAX(节奏总纲!D81-$C$1,0)</f>
        <v>971165.66522284644</v>
      </c>
      <c r="AC83" s="2">
        <f>($E$9*$F$9*3600+$E$10*$F$10*1200)/7*MAX(节奏总纲!E81-$C$1,0)</f>
        <v>792256.99981689604</v>
      </c>
      <c r="AD83" s="2">
        <f>($E$9*$F$9*3600+$E$10*$F$10*1200)/7*MAX(节奏总纲!F81-$C$1,0)</f>
        <v>583397.10694343131</v>
      </c>
      <c r="AE83" s="2">
        <f>($E$9*$F$9*3600+$E$10*$F$10*1200)/7*MAX(节奏总纲!G81-$C$1,0)</f>
        <v>331008.09681717958</v>
      </c>
      <c r="AF83" s="2">
        <f>($E$9*$F$9*3600+$E$10*$F$10*1200)/7*MAX(节奏总纲!H81-$C$1,0)</f>
        <v>21911.429352434625</v>
      </c>
      <c r="AK83" s="2">
        <v>78</v>
      </c>
      <c r="AL83" s="2">
        <f>'奖励（新）'!CT85</f>
        <v>62793.177258244315</v>
      </c>
      <c r="AM83" s="2">
        <f>'奖励（新）'!CU85</f>
        <v>51919.965577041505</v>
      </c>
      <c r="AN83" s="2">
        <f>'奖励（新）'!CV85</f>
        <v>40278.375602669774</v>
      </c>
      <c r="AO83" s="2">
        <f>'奖励（新）'!CW85</f>
        <v>27206.144943877774</v>
      </c>
      <c r="AP83" s="2">
        <f>'奖励（新）'!CX85</f>
        <v>2089.0897026430816</v>
      </c>
      <c r="AV83" s="2">
        <v>78</v>
      </c>
      <c r="AW83" s="2">
        <f>SUMPRODUCT($F$5:$F$12,$H$5:$H$12,J$5:J$12)/7*MAX(节奏总纲!D81-'奖励（新）'!$E$2,0)</f>
        <v>93648.117717917339</v>
      </c>
      <c r="AX83" s="2">
        <f>SUMPRODUCT($F$5:$F$12,$H$5:$H$12,K$5:K$12)/7*MAX(节奏总纲!E81-'奖励（新）'!$E$2,0)</f>
        <v>76396.210696629263</v>
      </c>
      <c r="AY83" s="2">
        <f>SUMPRODUCT($F$5:$F$12,$H$5:$H$12,L$5:L$12)/7*MAX(节奏总纲!F81-'奖励（新）'!$E$2,0)</f>
        <v>56256.149598116586</v>
      </c>
      <c r="AZ83" s="2">
        <f>SUMPRODUCT($F$5:$F$12,$H$5:$H$12,M$5:M$12)/7*MAX(节奏总纲!G81-'奖励（新）'!$E$2,0)</f>
        <v>31918.637907370889</v>
      </c>
      <c r="BA83" s="2">
        <f>SUMPRODUCT($F$5:$F$12,$H$5:$H$12,N$5:N$12)/7*MAX(节奏总纲!H81-'奖励（新）'!$E$2,0)</f>
        <v>2112.8878304133386</v>
      </c>
      <c r="BE83" s="2">
        <v>78</v>
      </c>
      <c r="BF83" s="41">
        <f t="shared" si="12"/>
        <v>0.67052257737189236</v>
      </c>
      <c r="BG83" s="41">
        <f t="shared" si="13"/>
        <v>0.67961440892947722</v>
      </c>
      <c r="BH83" s="41">
        <f t="shared" si="14"/>
        <v>0.71598173515981733</v>
      </c>
      <c r="BI83" s="41">
        <f t="shared" si="15"/>
        <v>0.85235920852359215</v>
      </c>
      <c r="BJ83" s="41">
        <f t="shared" si="16"/>
        <v>0.98873668188736674</v>
      </c>
      <c r="BK83" s="2">
        <f>(AW83-AL83)*'奖励（新）'!$D$17</f>
        <v>154274.70229836513</v>
      </c>
      <c r="BL83" s="2">
        <f>(AX83-AM83)*'奖励（新）'!$D$17</f>
        <v>122381.22559793878</v>
      </c>
      <c r="BM83" s="2">
        <f>(AY83-AN83)*'奖励（新）'!$D$17</f>
        <v>79888.869977234062</v>
      </c>
      <c r="BN83" s="2">
        <f>(AZ83-AO83)*'奖励（新）'!$D$17</f>
        <v>23562.46481746557</v>
      </c>
      <c r="BO83" s="2">
        <f>(BA83-AP83)*'奖励（新）'!$D$17</f>
        <v>118.99063885128498</v>
      </c>
    </row>
    <row r="84" spans="17:67" x14ac:dyDescent="0.2">
      <c r="Q84" s="2">
        <v>79</v>
      </c>
      <c r="R84" s="2">
        <f>$E$5*$F$5/7*MAX(节奏总纲!D82-$C$1,0)</f>
        <v>1270.4031845244474</v>
      </c>
      <c r="S84" s="2">
        <f>$E$5*$F$5/7*MAX(节奏总纲!E82-$C$1,0)</f>
        <v>1043.4201762148382</v>
      </c>
      <c r="T84" s="2">
        <f>$E$5*$F$5/7*MAX(节奏总纲!F82-$C$1,0)</f>
        <v>776.68116195878599</v>
      </c>
      <c r="U84" s="2">
        <f>$E$5*$F$5/7*MAX(节奏总纲!G82-$C$1,0)</f>
        <v>450.81783116699677</v>
      </c>
      <c r="V84" s="2">
        <f>$E$5*$F$5/7*MAX(节奏总纲!H82-$C$1,0)</f>
        <v>58.014900619230254</v>
      </c>
      <c r="W84" s="2">
        <f>$E$6*$F$6/7*MAX(节奏总纲!D82-$C$1,0)</f>
        <v>12704.031845244475</v>
      </c>
      <c r="X84" s="2">
        <f>$E$6*$F$6/7*MAX(节奏总纲!E82-$C$1,0)</f>
        <v>10434.201762148383</v>
      </c>
      <c r="Y84" s="2">
        <f>$E$6*$F$6/7*MAX(节奏总纲!F82-$C$1,0)</f>
        <v>7766.8116195878592</v>
      </c>
      <c r="Z84" s="2">
        <f>$E$6*$F$6/7*MAX(节奏总纲!G82-$C$1,0)</f>
        <v>4508.1783116699671</v>
      </c>
      <c r="AA84" s="2">
        <f>$E$6*$F$6/7*MAX(节奏总纲!H82-$C$1,0)</f>
        <v>580.14900619230252</v>
      </c>
      <c r="AB84" s="2">
        <f>($E$9*$F$9*3600+$E$10*$F$10*1200)/7*MAX(节奏总纲!D82-$C$1,0)</f>
        <v>1067138.6750005358</v>
      </c>
      <c r="AC84" s="2">
        <f>($E$9*$F$9*3600+$E$10*$F$10*1200)/7*MAX(节奏总纲!E82-$C$1,0)</f>
        <v>876472.94802046416</v>
      </c>
      <c r="AD84" s="2">
        <f>($E$9*$F$9*3600+$E$10*$F$10*1200)/7*MAX(节奏总纲!F82-$C$1,0)</f>
        <v>652412.17604538018</v>
      </c>
      <c r="AE84" s="2">
        <f>($E$9*$F$9*3600+$E$10*$F$10*1200)/7*MAX(节奏总纲!G82-$C$1,0)</f>
        <v>378686.97818027728</v>
      </c>
      <c r="AF84" s="2">
        <f>($E$9*$F$9*3600+$E$10*$F$10*1200)/7*MAX(节奏总纲!H82-$C$1,0)</f>
        <v>48732.516520153411</v>
      </c>
      <c r="AK84" s="2">
        <v>79</v>
      </c>
      <c r="AL84" s="2">
        <f>'奖励（新）'!CT86</f>
        <v>68998.555424692182</v>
      </c>
      <c r="AM84" s="2">
        <f>'奖励（新）'!CU86</f>
        <v>57438.994292190415</v>
      </c>
      <c r="AN84" s="2">
        <f>'奖励（新）'!CV86</f>
        <v>45043.251606420767</v>
      </c>
      <c r="AO84" s="2">
        <f>'奖励（新）'!CW86</f>
        <v>31124.957110707714</v>
      </c>
      <c r="AP84" s="2">
        <f>'奖励（新）'!CX86</f>
        <v>4646.2782874009272</v>
      </c>
      <c r="AV84" s="2">
        <v>79</v>
      </c>
      <c r="AW84" s="2">
        <f>SUMPRODUCT($F$5:$F$12,$H$5:$H$12,J$5:J$12)/7*MAX(节奏总纲!D82-'奖励（新）'!$E$2,0)</f>
        <v>102902.65794648023</v>
      </c>
      <c r="AX84" s="2">
        <f>SUMPRODUCT($F$5:$F$12,$H$5:$H$12,K$5:K$12)/7*MAX(节奏总纲!E82-'奖励（新）'!$E$2,0)</f>
        <v>84517.034273401892</v>
      </c>
      <c r="AY84" s="2">
        <f>SUMPRODUCT($F$5:$F$12,$H$5:$H$12,L$5:L$12)/7*MAX(节奏总纲!F82-'奖励（新）'!$E$2,0)</f>
        <v>62911.174118661656</v>
      </c>
      <c r="AZ84" s="2">
        <f>SUMPRODUCT($F$5:$F$12,$H$5:$H$12,M$5:M$12)/7*MAX(节奏总纲!G82-'奖励（新）'!$E$2,0)</f>
        <v>36516.244324526735</v>
      </c>
      <c r="BA84" s="2">
        <f>SUMPRODUCT($F$5:$F$12,$H$5:$H$12,N$5:N$12)/7*MAX(节奏总纲!H82-'奖励（新）'!$E$2,0)</f>
        <v>4699.2069501576498</v>
      </c>
      <c r="BE84" s="2">
        <v>79</v>
      </c>
      <c r="BF84" s="41">
        <f t="shared" si="12"/>
        <v>0.67052257737189247</v>
      </c>
      <c r="BG84" s="41">
        <f t="shared" si="13"/>
        <v>0.67961440892947744</v>
      </c>
      <c r="BH84" s="41">
        <f t="shared" si="14"/>
        <v>0.71598173515981733</v>
      </c>
      <c r="BI84" s="41">
        <f t="shared" si="15"/>
        <v>0.85235920852359193</v>
      </c>
      <c r="BJ84" s="41">
        <f t="shared" si="16"/>
        <v>0.98873668188736674</v>
      </c>
      <c r="BK84" s="2">
        <f>(AW84-AL84)*'奖励（新）'!$D$17</f>
        <v>169520.51260894025</v>
      </c>
      <c r="BL84" s="2">
        <f>(AX84-AM84)*'奖励（新）'!$D$17</f>
        <v>135390.19990605739</v>
      </c>
      <c r="BM84" s="2">
        <f>(AY84-AN84)*'奖励（新）'!$D$17</f>
        <v>89339.612561204442</v>
      </c>
      <c r="BN84" s="2">
        <f>(AZ84-AO84)*'奖励（新）'!$D$17</f>
        <v>26956.436069095107</v>
      </c>
      <c r="BO84" s="2">
        <f>(BA84-AP84)*'奖励（新）'!$D$17</f>
        <v>264.64331378361294</v>
      </c>
    </row>
    <row r="85" spans="17:67" x14ac:dyDescent="0.2">
      <c r="Q85" s="2">
        <v>80</v>
      </c>
      <c r="R85" s="2">
        <f>$E$5*$F$5/7*MAX(节奏总纲!D83-$C$1,0)</f>
        <v>1392.8571428571429</v>
      </c>
      <c r="S85" s="2">
        <f>$E$5*$F$5/7*MAX(节奏总纲!E83-$C$1,0)</f>
        <v>1150.6071428571429</v>
      </c>
      <c r="T85" s="2">
        <f>$E$5*$F$5/7*MAX(节奏总纲!F83-$C$1,0)</f>
        <v>859.54285714285732</v>
      </c>
      <c r="U85" s="2">
        <f>$E$5*$F$5/7*MAX(节奏总纲!G83-$C$1,0)</f>
        <v>511.28571428571439</v>
      </c>
      <c r="V85" s="2">
        <f>$E$5*$F$5/7*MAX(节奏总纲!H83-$C$1,0)</f>
        <v>91.26428571428572</v>
      </c>
      <c r="W85" s="2">
        <f>$E$6*$F$6/7*MAX(节奏总纲!D83-$C$1,0)</f>
        <v>13928.571428571429</v>
      </c>
      <c r="X85" s="2">
        <f>$E$6*$F$6/7*MAX(节奏总纲!E83-$C$1,0)</f>
        <v>11506.071428571429</v>
      </c>
      <c r="Y85" s="2">
        <f>$E$6*$F$6/7*MAX(节奏总纲!F83-$C$1,0)</f>
        <v>8595.4285714285725</v>
      </c>
      <c r="Z85" s="2">
        <f>$E$6*$F$6/7*MAX(节奏总纲!G83-$C$1,0)</f>
        <v>5112.857142857144</v>
      </c>
      <c r="AA85" s="2">
        <f>$E$6*$F$6/7*MAX(节奏总纲!H83-$C$1,0)</f>
        <v>912.64285714285722</v>
      </c>
      <c r="AB85" s="2">
        <f>($E$9*$F$9*3600+$E$10*$F$10*1200)/7*MAX(节奏总纲!D83-$C$1,0)</f>
        <v>1170000</v>
      </c>
      <c r="AC85" s="2">
        <f>($E$9*$F$9*3600+$E$10*$F$10*1200)/7*MAX(节奏总纲!E83-$C$1,0)</f>
        <v>966510</v>
      </c>
      <c r="AD85" s="2">
        <f>($E$9*$F$9*3600+$E$10*$F$10*1200)/7*MAX(节奏总纲!F83-$C$1,0)</f>
        <v>722016.00000000012</v>
      </c>
      <c r="AE85" s="2">
        <f>($E$9*$F$9*3600+$E$10*$F$10*1200)/7*MAX(节奏总纲!G83-$C$1,0)</f>
        <v>429480.00000000006</v>
      </c>
      <c r="AF85" s="2">
        <f>($E$9*$F$9*3600+$E$10*$F$10*1200)/7*MAX(节奏总纲!H83-$C$1,0)</f>
        <v>76662</v>
      </c>
      <c r="AK85" s="2">
        <v>80</v>
      </c>
      <c r="AL85" s="2">
        <f>'奖励（新）'!CT87</f>
        <v>75649.315068493146</v>
      </c>
      <c r="AM85" s="2">
        <f>'奖励（新）'!CU87</f>
        <v>63339.504657534249</v>
      </c>
      <c r="AN85" s="2">
        <f>'奖励（新）'!CV87</f>
        <v>49848.775890410965</v>
      </c>
      <c r="AO85" s="2">
        <f>'奖励（新）'!CW87</f>
        <v>35299.726027397264</v>
      </c>
      <c r="AP85" s="2">
        <f>'奖励（新）'!CX87</f>
        <v>7309.1441095890414</v>
      </c>
      <c r="AV85" s="2">
        <v>80</v>
      </c>
      <c r="AW85" s="2">
        <f>SUMPRODUCT($F$5:$F$12,$H$5:$H$12,J$5:J$12)/7*MAX(节奏总纲!D83-'奖励（新）'!$E$2,0)</f>
        <v>112821.42857142857</v>
      </c>
      <c r="AX85" s="2">
        <f>SUMPRODUCT($F$5:$F$12,$H$5:$H$12,K$5:K$12)/7*MAX(节奏总纲!E83-'奖励（新）'!$E$2,0)</f>
        <v>93199.17857142858</v>
      </c>
      <c r="AY85" s="2">
        <f>SUMPRODUCT($F$5:$F$12,$H$5:$H$12,L$5:L$12)/7*MAX(节奏总纲!F83-'奖励（新）'!$E$2,0)</f>
        <v>69622.971428571429</v>
      </c>
      <c r="AZ85" s="2">
        <f>SUMPRODUCT($F$5:$F$12,$H$5:$H$12,M$5:M$12)/7*MAX(节奏总纲!G83-'奖励（新）'!$E$2,0)</f>
        <v>41414.142857142862</v>
      </c>
      <c r="BA85" s="2">
        <f>SUMPRODUCT($F$5:$F$12,$H$5:$H$12,N$5:N$12)/7*MAX(节奏总纲!H83-'奖励（新）'!$E$2,0)</f>
        <v>7392.4071428571433</v>
      </c>
      <c r="BE85" s="2">
        <v>80</v>
      </c>
      <c r="BF85" s="41">
        <f t="shared" si="12"/>
        <v>0.67052257737189247</v>
      </c>
      <c r="BG85" s="41">
        <f t="shared" si="13"/>
        <v>0.67961440892947744</v>
      </c>
      <c r="BH85" s="41">
        <f t="shared" si="14"/>
        <v>0.71598173515981745</v>
      </c>
      <c r="BI85" s="41">
        <f t="shared" si="15"/>
        <v>0.85235920852359204</v>
      </c>
      <c r="BJ85" s="41">
        <f t="shared" si="16"/>
        <v>0.98873668188736674</v>
      </c>
      <c r="BK85" s="2">
        <f>(AW85-AL85)*'奖励（新）'!$D$17</f>
        <v>185860.5675146771</v>
      </c>
      <c r="BL85" s="2">
        <f>(AX85-AM85)*'奖励（新）'!$D$17</f>
        <v>149298.36956947166</v>
      </c>
      <c r="BM85" s="2">
        <f>(AY85-AN85)*'奖励（新）'!$D$17</f>
        <v>98870.97769080232</v>
      </c>
      <c r="BN85" s="2">
        <f>(AZ85-AO85)*'奖励（新）'!$D$17</f>
        <v>30572.08414872799</v>
      </c>
      <c r="BO85" s="2">
        <f>(BA85-AP85)*'奖励（新）'!$D$17</f>
        <v>416.31516634050968</v>
      </c>
    </row>
    <row r="86" spans="17:67" x14ac:dyDescent="0.2">
      <c r="Q86" s="2">
        <v>81</v>
      </c>
      <c r="R86" s="2">
        <f>$E$5*$F$5/7*MAX(节奏总纲!D84-$C$1,0)</f>
        <v>1524.1000457806499</v>
      </c>
      <c r="S86" s="2">
        <f>$E$5*$F$5/7*MAX(节奏总纲!E84-$C$1,0)</f>
        <v>1259.7083281533787</v>
      </c>
      <c r="T86" s="2">
        <f>$E$5*$F$5/7*MAX(节奏总纲!F84-$C$1,0)</f>
        <v>947.6714265519164</v>
      </c>
      <c r="U86" s="2">
        <f>$E$5*$F$5/7*MAX(节奏总纲!G84-$C$1,0)</f>
        <v>576.85911357245675</v>
      </c>
      <c r="V86" s="2">
        <f>$E$5*$F$5/7*MAX(节奏总纲!H84-$C$1,0)</f>
        <v>127.54940732404339</v>
      </c>
      <c r="W86" s="2">
        <f>$E$6*$F$6/7*MAX(节奏总纲!D84-$C$1,0)</f>
        <v>15241.0004578065</v>
      </c>
      <c r="X86" s="2">
        <f>$E$6*$F$6/7*MAX(节奏总纲!E84-$C$1,0)</f>
        <v>12597.083281533787</v>
      </c>
      <c r="Y86" s="2">
        <f>$E$6*$F$6/7*MAX(节奏总纲!F84-$C$1,0)</f>
        <v>9476.7142655191637</v>
      </c>
      <c r="Z86" s="2">
        <f>$E$6*$F$6/7*MAX(节奏总纲!G84-$C$1,0)</f>
        <v>5768.5911357245668</v>
      </c>
      <c r="AA86" s="2">
        <f>$E$6*$F$6/7*MAX(节奏总纲!H84-$C$1,0)</f>
        <v>1275.4940732404339</v>
      </c>
      <c r="AB86" s="2">
        <f>($E$9*$F$9*3600+$E$10*$F$10*1200)/7*MAX(节奏总纲!D84-$C$1,0)</f>
        <v>1280244.0384557459</v>
      </c>
      <c r="AC86" s="2">
        <f>($E$9*$F$9*3600+$E$10*$F$10*1200)/7*MAX(节奏总纲!E84-$C$1,0)</f>
        <v>1058154.9956488381</v>
      </c>
      <c r="AD86" s="2">
        <f>($E$9*$F$9*3600+$E$10*$F$10*1200)/7*MAX(节奏总纲!F84-$C$1,0)</f>
        <v>796043.99830360978</v>
      </c>
      <c r="AE86" s="2">
        <f>($E$9*$F$9*3600+$E$10*$F$10*1200)/7*MAX(节奏总纲!G84-$C$1,0)</f>
        <v>484561.65540086362</v>
      </c>
      <c r="AF86" s="2">
        <f>($E$9*$F$9*3600+$E$10*$F$10*1200)/7*MAX(节奏总纲!H84-$C$1,0)</f>
        <v>107141.50215219644</v>
      </c>
      <c r="AK86" s="2">
        <v>81</v>
      </c>
      <c r="AL86" s="2">
        <f>'奖励（新）'!CT88</f>
        <v>82777.4227604263</v>
      </c>
      <c r="AM86" s="2">
        <f>'奖励（新）'!CU88</f>
        <v>69345.390399781376</v>
      </c>
      <c r="AN86" s="2">
        <f>'奖励（新）'!CV88</f>
        <v>54959.750019865656</v>
      </c>
      <c r="AO86" s="2">
        <f>'奖励（新）'!CW88</f>
        <v>39826.985375413446</v>
      </c>
      <c r="AP86" s="2">
        <f>'奖励（新）'!CX88</f>
        <v>10215.134999716262</v>
      </c>
      <c r="AV86" s="2">
        <v>81</v>
      </c>
      <c r="AW86" s="2">
        <f>SUMPRODUCT($F$5:$F$12,$H$5:$H$12,J$5:J$12)/7*MAX(节奏总纲!D84-'奖励（新）'!$E$2,0)</f>
        <v>123452.10370823264</v>
      </c>
      <c r="AX86" s="2">
        <f>SUMPRODUCT($F$5:$F$12,$H$5:$H$12,K$5:K$12)/7*MAX(节奏总纲!E84-'奖励（新）'!$E$2,0)</f>
        <v>102036.37458042367</v>
      </c>
      <c r="AY86" s="2">
        <f>SUMPRODUCT($F$5:$F$12,$H$5:$H$12,L$5:L$12)/7*MAX(节奏总纲!F84-'奖励（新）'!$E$2,0)</f>
        <v>76761.385550705221</v>
      </c>
      <c r="AZ86" s="2">
        <f>SUMPRODUCT($F$5:$F$12,$H$5:$H$12,M$5:M$12)/7*MAX(节奏总纲!G84-'奖励（新）'!$E$2,0)</f>
        <v>46725.588199368991</v>
      </c>
      <c r="BA86" s="2">
        <f>SUMPRODUCT($F$5:$F$12,$H$5:$H$12,N$5:N$12)/7*MAX(节奏总纲!H84-'奖励（新）'!$E$2,0)</f>
        <v>10331.501993247513</v>
      </c>
      <c r="BE86" s="2">
        <v>81</v>
      </c>
      <c r="BF86" s="41">
        <f t="shared" si="12"/>
        <v>0.67052257737189236</v>
      </c>
      <c r="BG86" s="41">
        <f t="shared" si="13"/>
        <v>0.67961440892947733</v>
      </c>
      <c r="BH86" s="41">
        <f t="shared" si="14"/>
        <v>0.71598173515981733</v>
      </c>
      <c r="BI86" s="41">
        <f t="shared" si="15"/>
        <v>0.85235920852359204</v>
      </c>
      <c r="BJ86" s="41">
        <f t="shared" si="16"/>
        <v>0.98873668188736674</v>
      </c>
      <c r="BK86" s="2">
        <f>(AW86-AL86)*'奖励（新）'!$D$17</f>
        <v>203373.40473903168</v>
      </c>
      <c r="BL86" s="2">
        <f>(AX86-AM86)*'奖励（新）'!$D$17</f>
        <v>163454.92090321146</v>
      </c>
      <c r="BM86" s="2">
        <f>(AY86-AN86)*'奖励（新）'!$D$17</f>
        <v>109008.17765419782</v>
      </c>
      <c r="BN86" s="2">
        <f>(AZ86-AO86)*'奖励（新）'!$D$17</f>
        <v>34493.014119777727</v>
      </c>
      <c r="BO86" s="2">
        <f>(BA86-AP86)*'奖励（新）'!$D$17</f>
        <v>581.83496765625932</v>
      </c>
    </row>
    <row r="87" spans="17:67" x14ac:dyDescent="0.2">
      <c r="Q87" s="2">
        <v>82</v>
      </c>
      <c r="R87" s="2">
        <f>$E$5*$F$5/7*MAX(节奏总纲!D85-$C$1,0)</f>
        <v>1664.7627062802903</v>
      </c>
      <c r="S87" s="2">
        <f>$E$5*$F$5/7*MAX(节奏总纲!E85-$C$1,0)</f>
        <v>1379.6505971134864</v>
      </c>
      <c r="T87" s="2">
        <f>$E$5*$F$5/7*MAX(节奏总纲!F85-$C$1,0)</f>
        <v>1045.5544691911518</v>
      </c>
      <c r="U87" s="2">
        <f>$E$5*$F$5/7*MAX(节奏总纲!G85-$C$1,0)</f>
        <v>648.65831722326584</v>
      </c>
      <c r="V87" s="2">
        <f>$E$5*$F$5/7*MAX(节奏总纲!H85-$C$1,0)</f>
        <v>165.93546572645954</v>
      </c>
      <c r="W87" s="2">
        <f>$E$6*$F$6/7*MAX(节奏总纲!D85-$C$1,0)</f>
        <v>16647.627062802905</v>
      </c>
      <c r="X87" s="2">
        <f>$E$6*$F$6/7*MAX(节奏总纲!E85-$C$1,0)</f>
        <v>13796.505971134864</v>
      </c>
      <c r="Y87" s="2">
        <f>$E$6*$F$6/7*MAX(节奏总纲!F85-$C$1,0)</f>
        <v>10455.544691911518</v>
      </c>
      <c r="Z87" s="2">
        <f>$E$6*$F$6/7*MAX(节奏总纲!G85-$C$1,0)</f>
        <v>6486.5831722326584</v>
      </c>
      <c r="AA87" s="2">
        <f>$E$6*$F$6/7*MAX(节奏总纲!H85-$C$1,0)</f>
        <v>1659.3546572645955</v>
      </c>
      <c r="AB87" s="2">
        <f>($E$9*$F$9*3600+$E$10*$F$10*1200)/7*MAX(节奏总纲!D85-$C$1,0)</f>
        <v>1398400.673275444</v>
      </c>
      <c r="AC87" s="2">
        <f>($E$9*$F$9*3600+$E$10*$F$10*1200)/7*MAX(节奏总纲!E85-$C$1,0)</f>
        <v>1158906.5015753284</v>
      </c>
      <c r="AD87" s="2">
        <f>($E$9*$F$9*3600+$E$10*$F$10*1200)/7*MAX(节奏总纲!F85-$C$1,0)</f>
        <v>878265.75412056758</v>
      </c>
      <c r="AE87" s="2">
        <f>($E$9*$F$9*3600+$E$10*$F$10*1200)/7*MAX(节奏总纲!G85-$C$1,0)</f>
        <v>544872.98646754329</v>
      </c>
      <c r="AF87" s="2">
        <f>($E$9*$F$9*3600+$E$10*$F$10*1200)/7*MAX(节奏总纲!H85-$C$1,0)</f>
        <v>139385.79121022602</v>
      </c>
      <c r="AK87" s="2">
        <v>82</v>
      </c>
      <c r="AL87" s="2">
        <f>'奖励（新）'!CT89</f>
        <v>90417.13942274102</v>
      </c>
      <c r="AM87" s="2">
        <f>'奖励（新）'!CU89</f>
        <v>75948.064432005078</v>
      </c>
      <c r="AN87" s="2">
        <f>'奖励（新）'!CV89</f>
        <v>60636.430147502193</v>
      </c>
      <c r="AO87" s="2">
        <f>'奖励（新）'!CW89</f>
        <v>44784.081079524105</v>
      </c>
      <c r="AP87" s="2">
        <f>'奖励（新）'!CX89</f>
        <v>13289.385024974974</v>
      </c>
      <c r="AV87" s="2">
        <v>82</v>
      </c>
      <c r="AW87" s="2">
        <f>SUMPRODUCT($F$5:$F$12,$H$5:$H$12,J$5:J$12)/7*MAX(节奏总纲!D85-'奖励（新）'!$E$2,0)</f>
        <v>134845.77920870352</v>
      </c>
      <c r="AX87" s="2">
        <f>SUMPRODUCT($F$5:$F$12,$H$5:$H$12,K$5:K$12)/7*MAX(节奏总纲!E85-'奖励（新）'!$E$2,0)</f>
        <v>111751.69836619239</v>
      </c>
      <c r="AY87" s="2">
        <f>SUMPRODUCT($F$5:$F$12,$H$5:$H$12,L$5:L$12)/7*MAX(节奏总纲!F85-'奖励（新）'!$E$2,0)</f>
        <v>84689.912004483296</v>
      </c>
      <c r="AZ87" s="2">
        <f>SUMPRODUCT($F$5:$F$12,$H$5:$H$12,M$5:M$12)/7*MAX(节奏总纲!G85-'奖励（新）'!$E$2,0)</f>
        <v>52541.323695084531</v>
      </c>
      <c r="BA87" s="2">
        <f>SUMPRODUCT($F$5:$F$12,$H$5:$H$12,N$5:N$12)/7*MAX(节奏总纲!H85-'奖励（新）'!$E$2,0)</f>
        <v>13440.772723843224</v>
      </c>
      <c r="BE87" s="2">
        <v>82</v>
      </c>
      <c r="BF87" s="41">
        <f t="shared" si="12"/>
        <v>0.67052257737189236</v>
      </c>
      <c r="BG87" s="41">
        <f t="shared" si="13"/>
        <v>0.67961440892947733</v>
      </c>
      <c r="BH87" s="41">
        <f t="shared" si="14"/>
        <v>0.71598173515981733</v>
      </c>
      <c r="BI87" s="41">
        <f t="shared" si="15"/>
        <v>0.85235920852359204</v>
      </c>
      <c r="BJ87" s="41">
        <f t="shared" si="16"/>
        <v>0.98873668188736685</v>
      </c>
      <c r="BK87" s="2">
        <f>(AW87-AL87)*'奖励（新）'!$D$17</f>
        <v>222143.1989298125</v>
      </c>
      <c r="BL87" s="2">
        <f>(AX87-AM87)*'奖励（新）'!$D$17</f>
        <v>179018.16967093654</v>
      </c>
      <c r="BM87" s="2">
        <f>(AY87-AN87)*'奖励（新）'!$D$17</f>
        <v>120267.40928490552</v>
      </c>
      <c r="BN87" s="2">
        <f>(AZ87-AO87)*'奖励（新）'!$D$17</f>
        <v>38786.213077802131</v>
      </c>
      <c r="BO87" s="2">
        <f>(BA87-AP87)*'奖励（新）'!$D$17</f>
        <v>756.93849434124786</v>
      </c>
    </row>
    <row r="88" spans="17:67" x14ac:dyDescent="0.2">
      <c r="Q88" s="2">
        <v>83</v>
      </c>
      <c r="R88" s="2">
        <f>$E$5*$F$5/7*MAX(节奏总纲!D86-$C$1,0)</f>
        <v>1815.521212973563</v>
      </c>
      <c r="S88" s="2">
        <f>$E$5*$F$5/7*MAX(节奏总纲!E86-$C$1,0)</f>
        <v>1510.9978415159073</v>
      </c>
      <c r="T88" s="2">
        <f>$E$5*$F$5/7*MAX(节奏总纲!F86-$C$1,0)</f>
        <v>1153.9627022460995</v>
      </c>
      <c r="U88" s="2">
        <f>$E$5*$F$5/7*MAX(节奏总纲!G86-$C$1,0)</f>
        <v>725.56541697516047</v>
      </c>
      <c r="V88" s="2">
        <f>$E$5*$F$5/7*MAX(节奏总纲!H86-$C$1,0)</f>
        <v>208.52647236319453</v>
      </c>
      <c r="W88" s="2">
        <f>$E$6*$F$6/7*MAX(节奏总纲!D86-$C$1,0)</f>
        <v>18155.212129735628</v>
      </c>
      <c r="X88" s="2">
        <f>$E$6*$F$6/7*MAX(节奏总纲!E86-$C$1,0)</f>
        <v>15109.978415159074</v>
      </c>
      <c r="Y88" s="2">
        <f>$E$6*$F$6/7*MAX(节奏总纲!F86-$C$1,0)</f>
        <v>11539.627022460994</v>
      </c>
      <c r="Z88" s="2">
        <f>$E$6*$F$6/7*MAX(节奏总纲!G86-$C$1,0)</f>
        <v>7255.6541697516041</v>
      </c>
      <c r="AA88" s="2">
        <f>$E$6*$F$6/7*MAX(节奏总纲!H86-$C$1,0)</f>
        <v>2085.2647236319453</v>
      </c>
      <c r="AB88" s="2">
        <f>($E$9*$F$9*3600+$E$10*$F$10*1200)/7*MAX(节奏总纲!D86-$C$1,0)</f>
        <v>1525037.8188977928</v>
      </c>
      <c r="AC88" s="2">
        <f>($E$9*$F$9*3600+$E$10*$F$10*1200)/7*MAX(节奏总纲!E86-$C$1,0)</f>
        <v>1269238.1868733622</v>
      </c>
      <c r="AD88" s="2">
        <f>($E$9*$F$9*3600+$E$10*$F$10*1200)/7*MAX(节奏总纲!F86-$C$1,0)</f>
        <v>969328.66988672351</v>
      </c>
      <c r="AE88" s="2">
        <f>($E$9*$F$9*3600+$E$10*$F$10*1200)/7*MAX(节奏总纲!G86-$C$1,0)</f>
        <v>609474.95025913476</v>
      </c>
      <c r="AF88" s="2">
        <f>($E$9*$F$9*3600+$E$10*$F$10*1200)/7*MAX(节奏总纲!H86-$C$1,0)</f>
        <v>175162.2367850834</v>
      </c>
      <c r="AK88" s="2">
        <v>83</v>
      </c>
      <c r="AL88" s="2">
        <f>'奖励（新）'!CT90</f>
        <v>98605.185002706596</v>
      </c>
      <c r="AM88" s="2">
        <f>'奖励（新）'!CU90</f>
        <v>83178.5683013995</v>
      </c>
      <c r="AN88" s="2">
        <f>'奖励（新）'!CV90</f>
        <v>66923.513646973792</v>
      </c>
      <c r="AO88" s="2">
        <f>'奖励（新）'!CW90</f>
        <v>50093.831528148046</v>
      </c>
      <c r="AP88" s="2">
        <f>'奖励（新）'!CX90</f>
        <v>16700.399561975075</v>
      </c>
      <c r="AV88" s="2">
        <v>83</v>
      </c>
      <c r="AW88" s="2">
        <f>SUMPRODUCT($F$5:$F$12,$H$5:$H$12,J$5:J$12)/7*MAX(节奏总纲!D86-'奖励（新）'!$E$2,0)</f>
        <v>147057.2182508586</v>
      </c>
      <c r="AX88" s="2">
        <f>SUMPRODUCT($F$5:$F$12,$H$5:$H$12,K$5:K$12)/7*MAX(节奏总纲!E86-'奖励（新）'!$E$2,0)</f>
        <v>122390.82516278849</v>
      </c>
      <c r="AY88" s="2">
        <f>SUMPRODUCT($F$5:$F$12,$H$5:$H$12,L$5:L$12)/7*MAX(节奏总纲!F86-'奖励（新）'!$E$2,0)</f>
        <v>93470.978881934061</v>
      </c>
      <c r="AZ88" s="2">
        <f>SUMPRODUCT($F$5:$F$12,$H$5:$H$12,M$5:M$12)/7*MAX(节奏总纲!G86-'奖励（新）'!$E$2,0)</f>
        <v>58770.79877498799</v>
      </c>
      <c r="BA88" s="2">
        <f>SUMPRODUCT($F$5:$F$12,$H$5:$H$12,N$5:N$12)/7*MAX(节奏总纲!H86-'奖励（新）'!$E$2,0)</f>
        <v>16890.644261418754</v>
      </c>
      <c r="BE88" s="2">
        <v>83</v>
      </c>
      <c r="BF88" s="41">
        <f t="shared" si="12"/>
        <v>0.67052257737189236</v>
      </c>
      <c r="BG88" s="41">
        <f t="shared" si="13"/>
        <v>0.67961440892947733</v>
      </c>
      <c r="BH88" s="41">
        <f t="shared" si="14"/>
        <v>0.71598173515981733</v>
      </c>
      <c r="BI88" s="41">
        <f t="shared" si="15"/>
        <v>0.85235920852359193</v>
      </c>
      <c r="BJ88" s="41">
        <f t="shared" si="16"/>
        <v>0.98873668188736696</v>
      </c>
      <c r="BK88" s="2">
        <f>(AW88-AL88)*'奖励（新）'!$D$17</f>
        <v>242260.16624076001</v>
      </c>
      <c r="BL88" s="2">
        <f>(AX88-AM88)*'奖励（新）'!$D$17</f>
        <v>196061.28430694493</v>
      </c>
      <c r="BM88" s="2">
        <f>(AY88-AN88)*'奖励（新）'!$D$17</f>
        <v>132737.32617480133</v>
      </c>
      <c r="BN88" s="2">
        <f>(AZ88-AO88)*'奖励（新）'!$D$17</f>
        <v>43384.83623419972</v>
      </c>
      <c r="BO88" s="2">
        <f>(BA88-AP88)*'奖励（新）'!$D$17</f>
        <v>951.22349721839782</v>
      </c>
    </row>
    <row r="89" spans="17:67" x14ac:dyDescent="0.2">
      <c r="Q89" s="2">
        <v>84</v>
      </c>
      <c r="R89" s="2">
        <f>$E$5*$F$5/7*MAX(节奏总纲!D87-$C$1,0)</f>
        <v>1977.1001796990063</v>
      </c>
      <c r="S89" s="2">
        <f>$E$5*$F$5/7*MAX(节奏总纲!E87-$C$1,0)</f>
        <v>1651.8533782608436</v>
      </c>
      <c r="T89" s="2">
        <f>$E$5*$F$5/7*MAX(节奏总纲!F87-$C$1,0)</f>
        <v>1266.2242194550929</v>
      </c>
      <c r="U89" s="2">
        <f>$E$5*$F$5/7*MAX(节奏总纲!G87-$C$1,0)</f>
        <v>806.98150943626661</v>
      </c>
      <c r="V89" s="2">
        <f>$E$5*$F$5/7*MAX(节奏总纲!H87-$C$1,0)</f>
        <v>254.63930817737486</v>
      </c>
      <c r="W89" s="2">
        <f>$E$6*$F$6/7*MAX(节奏总纲!D87-$C$1,0)</f>
        <v>19771.001796990062</v>
      </c>
      <c r="X89" s="2">
        <f>$E$6*$F$6/7*MAX(节奏总纲!E87-$C$1,0)</f>
        <v>16518.533782608436</v>
      </c>
      <c r="Y89" s="2">
        <f>$E$6*$F$6/7*MAX(节奏总纲!F87-$C$1,0)</f>
        <v>12662.242194550929</v>
      </c>
      <c r="Z89" s="2">
        <f>$E$6*$F$6/7*MAX(节奏总纲!G87-$C$1,0)</f>
        <v>8069.8150943626651</v>
      </c>
      <c r="AA89" s="2">
        <f>$E$6*$F$6/7*MAX(节奏总纲!H87-$C$1,0)</f>
        <v>2546.3930817737487</v>
      </c>
      <c r="AB89" s="2">
        <f>($E$9*$F$9*3600+$E$10*$F$10*1200)/7*MAX(节奏总纲!D87-$C$1,0)</f>
        <v>1660764.1509471652</v>
      </c>
      <c r="AC89" s="2">
        <f>($E$9*$F$9*3600+$E$10*$F$10*1200)/7*MAX(节奏总纲!E87-$C$1,0)</f>
        <v>1387556.8377391086</v>
      </c>
      <c r="AD89" s="2">
        <f>($E$9*$F$9*3600+$E$10*$F$10*1200)/7*MAX(节奏总纲!F87-$C$1,0)</f>
        <v>1063628.3443422779</v>
      </c>
      <c r="AE89" s="2">
        <f>($E$9*$F$9*3600+$E$10*$F$10*1200)/7*MAX(节奏总纲!G87-$C$1,0)</f>
        <v>677864.46792646393</v>
      </c>
      <c r="AF89" s="2">
        <f>($E$9*$F$9*3600+$E$10*$F$10*1200)/7*MAX(节奏总纲!H87-$C$1,0)</f>
        <v>213897.01886899487</v>
      </c>
      <c r="AK89" s="2">
        <v>84</v>
      </c>
      <c r="AL89" s="2">
        <f>'奖励（新）'!CT91</f>
        <v>107380.91496535095</v>
      </c>
      <c r="AM89" s="2">
        <f>'奖励（新）'!CU91</f>
        <v>90932.491941697197</v>
      </c>
      <c r="AN89" s="2">
        <f>'奖励（新）'!CV91</f>
        <v>73434.066513494254</v>
      </c>
      <c r="AO89" s="2">
        <f>'奖励（新）'!CW91</f>
        <v>55714.887774777846</v>
      </c>
      <c r="AP89" s="2">
        <f>'奖励（新）'!CX91</f>
        <v>20393.469196276772</v>
      </c>
      <c r="AV89" s="2">
        <v>84</v>
      </c>
      <c r="AW89" s="2">
        <f>SUMPRODUCT($F$5:$F$12,$H$5:$H$12,J$5:J$12)/7*MAX(节奏总纲!D87-'奖励（新）'!$E$2,0)</f>
        <v>160145.11455561948</v>
      </c>
      <c r="AX89" s="2">
        <f>SUMPRODUCT($F$5:$F$12,$H$5:$H$12,K$5:K$12)/7*MAX(节奏总纲!E87-'奖励（新）'!$E$2,0)</f>
        <v>133800.12363912832</v>
      </c>
      <c r="AY89" s="2">
        <f>SUMPRODUCT($F$5:$F$12,$H$5:$H$12,L$5:L$12)/7*MAX(节奏总纲!F87-'奖励（新）'!$E$2,0)</f>
        <v>102564.16177586251</v>
      </c>
      <c r="AZ89" s="2">
        <f>SUMPRODUCT($F$5:$F$12,$H$5:$H$12,M$5:M$12)/7*MAX(节奏总纲!G87-'奖励（新）'!$E$2,0)</f>
        <v>65365.502264337585</v>
      </c>
      <c r="BA89" s="2">
        <f>SUMPRODUCT($F$5:$F$12,$H$5:$H$12,N$5:N$12)/7*MAX(节奏总纲!H87-'奖励（新）'!$E$2,0)</f>
        <v>20625.783962367361</v>
      </c>
      <c r="BE89" s="2">
        <v>84</v>
      </c>
      <c r="BF89" s="41">
        <f t="shared" si="12"/>
        <v>0.67052257737189247</v>
      </c>
      <c r="BG89" s="41">
        <f t="shared" si="13"/>
        <v>0.67961440892947744</v>
      </c>
      <c r="BH89" s="41">
        <f t="shared" si="14"/>
        <v>0.71598173515981733</v>
      </c>
      <c r="BI89" s="41">
        <f t="shared" si="15"/>
        <v>0.85235920852359204</v>
      </c>
      <c r="BJ89" s="41">
        <f t="shared" si="16"/>
        <v>0.98873668188736696</v>
      </c>
      <c r="BK89" s="2">
        <f>(AW89-AL89)*'奖励（新）'!$D$17</f>
        <v>263820.99795134267</v>
      </c>
      <c r="BL89" s="2">
        <f>(AX89-AM89)*'奖励（新）'!$D$17</f>
        <v>214338.1584871556</v>
      </c>
      <c r="BM89" s="2">
        <f>(AY89-AN89)*'奖励（新）'!$D$17</f>
        <v>145650.47631184128</v>
      </c>
      <c r="BN89" s="2">
        <f>(AZ89-AO89)*'奖励（新）'!$D$17</f>
        <v>48253.072447798695</v>
      </c>
      <c r="BO89" s="2">
        <f>(BA89-AP89)*'奖励（新）'!$D$17</f>
        <v>1161.5738304529441</v>
      </c>
    </row>
    <row r="90" spans="17:67" x14ac:dyDescent="0.2">
      <c r="Q90" s="2">
        <v>85</v>
      </c>
      <c r="R90" s="2">
        <f>$E$5*$F$5/7*MAX(节奏总纲!D88-$C$1,0)</f>
        <v>2150.2762283393736</v>
      </c>
      <c r="S90" s="2">
        <f>$E$5*$F$5/7*MAX(节奏总纲!E88-$C$1,0)</f>
        <v>1798.0056384053578</v>
      </c>
      <c r="T90" s="2">
        <f>$E$5*$F$5/7*MAX(节奏总纲!F88-$C$1,0)</f>
        <v>1385.1321285339388</v>
      </c>
      <c r="U90" s="2">
        <f>$E$5*$F$5/7*MAX(节奏总纲!G88-$C$1,0)</f>
        <v>896.95626708072382</v>
      </c>
      <c r="V90" s="2">
        <f>$E$5*$F$5/7*MAX(节奏总纲!H88-$C$1,0)</f>
        <v>303.82130599123923</v>
      </c>
      <c r="W90" s="2">
        <f>$E$6*$F$6/7*MAX(节奏总纲!D88-$C$1,0)</f>
        <v>21502.762283393735</v>
      </c>
      <c r="X90" s="2">
        <f>$E$6*$F$6/7*MAX(节奏总纲!E88-$C$1,0)</f>
        <v>17980.056384053576</v>
      </c>
      <c r="Y90" s="2">
        <f>$E$6*$F$6/7*MAX(节奏总纲!F88-$C$1,0)</f>
        <v>13851.321285339387</v>
      </c>
      <c r="Z90" s="2">
        <f>$E$6*$F$6/7*MAX(节奏总纲!G88-$C$1,0)</f>
        <v>8969.5626708072377</v>
      </c>
      <c r="AA90" s="2">
        <f>$E$6*$F$6/7*MAX(节奏总纲!H88-$C$1,0)</f>
        <v>3038.2130599123921</v>
      </c>
      <c r="AB90" s="2">
        <f>($E$9*$F$9*3600+$E$10*$F$10*1200)/7*MAX(节奏总纲!D88-$C$1,0)</f>
        <v>1806232.0318050738</v>
      </c>
      <c r="AC90" s="2">
        <f>($E$9*$F$9*3600+$E$10*$F$10*1200)/7*MAX(节奏总纲!E88-$C$1,0)</f>
        <v>1510324.7362605005</v>
      </c>
      <c r="AD90" s="2">
        <f>($E$9*$F$9*3600+$E$10*$F$10*1200)/7*MAX(节奏总纲!F88-$C$1,0)</f>
        <v>1163510.9879685086</v>
      </c>
      <c r="AE90" s="2">
        <f>($E$9*$F$9*3600+$E$10*$F$10*1200)/7*MAX(节奏总纲!G88-$C$1,0)</f>
        <v>753443.26434780797</v>
      </c>
      <c r="AF90" s="2">
        <f>($E$9*$F$9*3600+$E$10*$F$10*1200)/7*MAX(节奏总纲!H88-$C$1,0)</f>
        <v>255209.89703264093</v>
      </c>
      <c r="AK90" s="2">
        <v>85</v>
      </c>
      <c r="AL90" s="2">
        <f>'奖励（新）'!CT92</f>
        <v>116786.50945369792</v>
      </c>
      <c r="AM90" s="2">
        <f>'奖励（新）'!CU92</f>
        <v>98977.993674934711</v>
      </c>
      <c r="AN90" s="2">
        <f>'奖励（新）'!CV92</f>
        <v>80330.073689880577</v>
      </c>
      <c r="AO90" s="2">
        <f>'奖励（新）'!CW92</f>
        <v>61926.843645025299</v>
      </c>
      <c r="AP90" s="2">
        <f>'奖励（新）'!CX92</f>
        <v>24332.340867769599</v>
      </c>
      <c r="AV90" s="2">
        <v>85</v>
      </c>
      <c r="AW90" s="2">
        <f>SUMPRODUCT($F$5:$F$12,$H$5:$H$12,J$5:J$12)/7*MAX(节奏总纲!D88-'奖励（新）'!$E$2,0)</f>
        <v>174172.37449548926</v>
      </c>
      <c r="AX90" s="2">
        <f>SUMPRODUCT($F$5:$F$12,$H$5:$H$12,K$5:K$12)/7*MAX(节奏总纲!E88-'奖励（新）'!$E$2,0)</f>
        <v>145638.45671083397</v>
      </c>
      <c r="AY90" s="2">
        <f>SUMPRODUCT($F$5:$F$12,$H$5:$H$12,L$5:L$12)/7*MAX(节奏总纲!F88-'奖励（新）'!$E$2,0)</f>
        <v>112195.70241124903</v>
      </c>
      <c r="AZ90" s="2">
        <f>SUMPRODUCT($F$5:$F$12,$H$5:$H$12,M$5:M$12)/7*MAX(节奏总纲!G88-'奖励（新）'!$E$2,0)</f>
        <v>72653.457633538623</v>
      </c>
      <c r="BA90" s="2">
        <f>SUMPRODUCT($F$5:$F$12,$H$5:$H$12,N$5:N$12)/7*MAX(节奏总纲!H88-'奖励（新）'!$E$2,0)</f>
        <v>24609.525785290374</v>
      </c>
      <c r="BE90" s="2">
        <v>85</v>
      </c>
      <c r="BF90" s="41">
        <f t="shared" si="12"/>
        <v>0.67052257737189236</v>
      </c>
      <c r="BG90" s="41">
        <f t="shared" si="13"/>
        <v>0.67961440892947744</v>
      </c>
      <c r="BH90" s="41">
        <f t="shared" si="14"/>
        <v>0.71598173515981722</v>
      </c>
      <c r="BI90" s="41">
        <f t="shared" si="15"/>
        <v>0.85235920852359193</v>
      </c>
      <c r="BJ90" s="41">
        <f t="shared" si="16"/>
        <v>0.98873668188736674</v>
      </c>
      <c r="BK90" s="2">
        <f>(AW90-AL90)*'奖励（新）'!$D$17</f>
        <v>286929.32520895672</v>
      </c>
      <c r="BL90" s="2">
        <f>(AX90-AM90)*'奖励（新）'!$D$17</f>
        <v>233302.31517949631</v>
      </c>
      <c r="BM90" s="2">
        <f>(AY90-AN90)*'奖励（新）'!$D$17</f>
        <v>159328.14360684226</v>
      </c>
      <c r="BN90" s="2">
        <f>(AZ90-AO90)*'奖励（新）'!$D$17</f>
        <v>53633.069942566617</v>
      </c>
      <c r="BO90" s="2">
        <f>(BA90-AP90)*'奖励（新）'!$D$17</f>
        <v>1385.9245876038767</v>
      </c>
    </row>
    <row r="91" spans="17:67" x14ac:dyDescent="0.2">
      <c r="Q91" s="2">
        <v>86</v>
      </c>
      <c r="R91" s="2">
        <f>$E$5*$F$5/7*MAX(节奏总纲!D89-$C$1,0)</f>
        <v>2335.8817216190137</v>
      </c>
      <c r="S91" s="2">
        <f>$E$5*$F$5/7*MAX(节奏总纲!E89-$C$1,0)</f>
        <v>1957.151640042923</v>
      </c>
      <c r="T91" s="2">
        <f>$E$5*$F$5/7*MAX(节奏总纲!F89-$C$1,0)</f>
        <v>1515.9449172725285</v>
      </c>
      <c r="U91" s="2">
        <f>$E$5*$F$5/7*MAX(节奏总纲!G89-$C$1,0)</f>
        <v>995.67483440668718</v>
      </c>
      <c r="V91" s="2">
        <f>$E$5*$F$5/7*MAX(节奏总纲!H89-$C$1,0)</f>
        <v>349.62213320718081</v>
      </c>
      <c r="W91" s="2">
        <f>$E$6*$F$6/7*MAX(节奏总纲!D89-$C$1,0)</f>
        <v>23358.817216190135</v>
      </c>
      <c r="X91" s="2">
        <f>$E$6*$F$6/7*MAX(节奏总纲!E89-$C$1,0)</f>
        <v>19571.516400429227</v>
      </c>
      <c r="Y91" s="2">
        <f>$E$6*$F$6/7*MAX(节奏总纲!F89-$C$1,0)</f>
        <v>15159.449172725284</v>
      </c>
      <c r="Z91" s="2">
        <f>$E$6*$F$6/7*MAX(节奏总纲!G89-$C$1,0)</f>
        <v>9956.7483440668711</v>
      </c>
      <c r="AA91" s="2">
        <f>$E$6*$F$6/7*MAX(节奏总纲!H89-$C$1,0)</f>
        <v>3496.2213320718083</v>
      </c>
      <c r="AB91" s="2">
        <f>($E$9*$F$9*3600+$E$10*$F$10*1200)/7*MAX(节奏总纲!D89-$C$1,0)</f>
        <v>1962140.6461599714</v>
      </c>
      <c r="AC91" s="2">
        <f>($E$9*$F$9*3600+$E$10*$F$10*1200)/7*MAX(节奏总纲!E89-$C$1,0)</f>
        <v>1644007.3776360552</v>
      </c>
      <c r="AD91" s="2">
        <f>($E$9*$F$9*3600+$E$10*$F$10*1200)/7*MAX(节奏总纲!F89-$C$1,0)</f>
        <v>1273393.730508924</v>
      </c>
      <c r="AE91" s="2">
        <f>($E$9*$F$9*3600+$E$10*$F$10*1200)/7*MAX(节奏总纲!G89-$C$1,0)</f>
        <v>836366.8609016171</v>
      </c>
      <c r="AF91" s="2">
        <f>($E$9*$F$9*3600+$E$10*$F$10*1200)/7*MAX(节奏总纲!H89-$C$1,0)</f>
        <v>293682.59189403185</v>
      </c>
      <c r="AK91" s="2">
        <v>86</v>
      </c>
      <c r="AL91" s="2">
        <f>'奖励（新）'!CT93</f>
        <v>126867.17602568581</v>
      </c>
      <c r="AM91" s="2">
        <f>'奖励（新）'!CU93</f>
        <v>107738.78485768338</v>
      </c>
      <c r="AN91" s="2">
        <f>'奖励（新）'!CV93</f>
        <v>87916.498654314739</v>
      </c>
      <c r="AO91" s="2">
        <f>'奖励（新）'!CW93</f>
        <v>68742.481717941118</v>
      </c>
      <c r="AP91" s="2">
        <f>'奖励（新）'!CX93</f>
        <v>28000.422460033722</v>
      </c>
      <c r="AV91" s="2">
        <v>86</v>
      </c>
      <c r="AW91" s="2">
        <f>SUMPRODUCT($F$5:$F$12,$H$5:$H$12,J$5:J$12)/7*MAX(节奏总纲!D89-'奖励（新）'!$E$2,0)</f>
        <v>189206.41945114007</v>
      </c>
      <c r="AX91" s="2">
        <f>SUMPRODUCT($F$5:$F$12,$H$5:$H$12,K$5:K$12)/7*MAX(节奏总纲!E89-'奖励（新）'!$E$2,0)</f>
        <v>158529.28284347674</v>
      </c>
      <c r="AY91" s="2">
        <f>SUMPRODUCT($F$5:$F$12,$H$5:$H$12,L$5:L$12)/7*MAX(节奏总纲!F89-'奖励（新）'!$E$2,0)</f>
        <v>122791.5382990748</v>
      </c>
      <c r="AZ91" s="2">
        <f>SUMPRODUCT($F$5:$F$12,$H$5:$H$12,M$5:M$12)/7*MAX(节奏总纲!G89-'奖励（新）'!$E$2,0)</f>
        <v>80649.661586941656</v>
      </c>
      <c r="BA91" s="2">
        <f>SUMPRODUCT($F$5:$F$12,$H$5:$H$12,N$5:N$12)/7*MAX(节奏总纲!H89-'奖励（新）'!$E$2,0)</f>
        <v>28319.392789781643</v>
      </c>
      <c r="BE91" s="2">
        <v>86</v>
      </c>
      <c r="BF91" s="41">
        <f t="shared" si="12"/>
        <v>0.67052257737189247</v>
      </c>
      <c r="BG91" s="41">
        <f t="shared" si="13"/>
        <v>0.67961440892947733</v>
      </c>
      <c r="BH91" s="41">
        <f t="shared" si="14"/>
        <v>0.71598173515981733</v>
      </c>
      <c r="BI91" s="41">
        <f t="shared" si="15"/>
        <v>0.85235920852359182</v>
      </c>
      <c r="BJ91" s="41">
        <f t="shared" si="16"/>
        <v>0.98873668188736685</v>
      </c>
      <c r="BK91" s="2">
        <f>(AW91-AL91)*'奖励（新）'!$D$17</f>
        <v>311696.21712727129</v>
      </c>
      <c r="BL91" s="2">
        <f>(AX91-AM91)*'奖励（新）'!$D$17</f>
        <v>253952.48992896682</v>
      </c>
      <c r="BM91" s="2">
        <f>(AY91-AN91)*'奖励（新）'!$D$17</f>
        <v>174375.19822380034</v>
      </c>
      <c r="BN91" s="2">
        <f>(AZ91-AO91)*'奖励（新）'!$D$17</f>
        <v>59535.89934500269</v>
      </c>
      <c r="BO91" s="2">
        <f>(BA91-AP91)*'奖励（新）'!$D$17</f>
        <v>1594.8516487396046</v>
      </c>
    </row>
    <row r="92" spans="17:67" x14ac:dyDescent="0.2">
      <c r="Q92" s="2">
        <v>87</v>
      </c>
      <c r="R92" s="2">
        <f>$E$5*$F$5/7*MAX(节奏总纲!D90-$C$1,0)</f>
        <v>2534.8087638170869</v>
      </c>
      <c r="S92" s="2">
        <f>$E$5*$F$5/7*MAX(节奏总纲!E90-$C$1,0)</f>
        <v>2130.6037055752936</v>
      </c>
      <c r="T92" s="2">
        <f>$E$5*$F$5/7*MAX(节奏总纲!F90-$C$1,0)</f>
        <v>1660.0189310239973</v>
      </c>
      <c r="U92" s="2">
        <f>$E$5*$F$5/7*MAX(节奏总纲!G90-$C$1,0)</f>
        <v>1089.8645820084466</v>
      </c>
      <c r="V92" s="2">
        <f>$E$5*$F$5/7*MAX(节奏总纲!H90-$C$1,0)</f>
        <v>398.21164510496732</v>
      </c>
      <c r="W92" s="2">
        <f>$E$6*$F$6/7*MAX(节奏总纲!D90-$C$1,0)</f>
        <v>25348.087638170869</v>
      </c>
      <c r="X92" s="2">
        <f>$E$6*$F$6/7*MAX(节奏总纲!E90-$C$1,0)</f>
        <v>21306.037055752935</v>
      </c>
      <c r="Y92" s="2">
        <f>$E$6*$F$6/7*MAX(节奏总纲!F90-$C$1,0)</f>
        <v>16600.18931023997</v>
      </c>
      <c r="Z92" s="2">
        <f>$E$6*$F$6/7*MAX(节奏总纲!G90-$C$1,0)</f>
        <v>10898.645820084466</v>
      </c>
      <c r="AA92" s="2">
        <f>$E$6*$F$6/7*MAX(节奏总纲!H90-$C$1,0)</f>
        <v>3982.1164510496733</v>
      </c>
      <c r="AB92" s="2">
        <f>($E$9*$F$9*3600+$E$10*$F$10*1200)/7*MAX(节奏总纲!D90-$C$1,0)</f>
        <v>2129239.361606353</v>
      </c>
      <c r="AC92" s="2">
        <f>($E$9*$F$9*3600+$E$10*$F$10*1200)/7*MAX(节奏总纲!E90-$C$1,0)</f>
        <v>1789707.1126832464</v>
      </c>
      <c r="AD92" s="2">
        <f>($E$9*$F$9*3600+$E$10*$F$10*1200)/7*MAX(节奏总纲!F90-$C$1,0)</f>
        <v>1394415.9020601576</v>
      </c>
      <c r="AE92" s="2">
        <f>($E$9*$F$9*3600+$E$10*$F$10*1200)/7*MAX(节奏总纲!G90-$C$1,0)</f>
        <v>915486.24888709513</v>
      </c>
      <c r="AF92" s="2">
        <f>($E$9*$F$9*3600+$E$10*$F$10*1200)/7*MAX(节奏总纲!H90-$C$1,0)</f>
        <v>334497.78188817255</v>
      </c>
      <c r="AK92" s="2">
        <v>87</v>
      </c>
      <c r="AL92" s="2">
        <f>'奖励（新）'!CT94</f>
        <v>137671.366942219</v>
      </c>
      <c r="AM92" s="2">
        <f>'奖励（新）'!CU94</f>
        <v>117287.10722022808</v>
      </c>
      <c r="AN92" s="2">
        <f>'奖励（新）'!CV94</f>
        <v>96272.002005249233</v>
      </c>
      <c r="AO92" s="2">
        <f>'奖励（新）'!CW94</f>
        <v>75245.445114007816</v>
      </c>
      <c r="AP92" s="2">
        <f>'奖励（新）'!CX94</f>
        <v>31891.843314269601</v>
      </c>
      <c r="AV92" s="2">
        <v>87</v>
      </c>
      <c r="AW92" s="2">
        <f>SUMPRODUCT($F$5:$F$12,$H$5:$H$12,J$5:J$12)/7*MAX(节奏总纲!D90-'奖励（新）'!$E$2,0)</f>
        <v>205319.50986918402</v>
      </c>
      <c r="AX92" s="2">
        <f>SUMPRODUCT($F$5:$F$12,$H$5:$H$12,K$5:K$12)/7*MAX(节奏总纲!E90-'奖励（新）'!$E$2,0)</f>
        <v>172578.90015159876</v>
      </c>
      <c r="AY92" s="2">
        <f>SUMPRODUCT($F$5:$F$12,$H$5:$H$12,L$5:L$12)/7*MAX(节奏总纲!F90-'奖励（新）'!$E$2,0)</f>
        <v>134461.53341294377</v>
      </c>
      <c r="AZ92" s="2">
        <f>SUMPRODUCT($F$5:$F$12,$H$5:$H$12,M$5:M$12)/7*MAX(节奏总纲!G90-'奖励（新）'!$E$2,0)</f>
        <v>88279.031142684165</v>
      </c>
      <c r="BA92" s="2">
        <f>SUMPRODUCT($F$5:$F$12,$H$5:$H$12,N$5:N$12)/7*MAX(节奏总纲!H90-'奖励（新）'!$E$2,0)</f>
        <v>32255.143253502352</v>
      </c>
      <c r="BE92" s="2">
        <v>87</v>
      </c>
      <c r="BF92" s="41">
        <f t="shared" si="12"/>
        <v>0.67052257737189258</v>
      </c>
      <c r="BG92" s="41">
        <f t="shared" si="13"/>
        <v>0.67961440892947733</v>
      </c>
      <c r="BH92" s="41">
        <f t="shared" si="14"/>
        <v>0.71598173515981733</v>
      </c>
      <c r="BI92" s="41">
        <f t="shared" si="15"/>
        <v>0.85235920852359215</v>
      </c>
      <c r="BJ92" s="41">
        <f t="shared" si="16"/>
        <v>0.98873668188736685</v>
      </c>
      <c r="BK92" s="2">
        <f>(AW92-AL92)*'奖励（新）'!$D$17</f>
        <v>338240.71463482513</v>
      </c>
      <c r="BL92" s="2">
        <f>(AX92-AM92)*'奖励（新）'!$D$17</f>
        <v>276458.96465685341</v>
      </c>
      <c r="BM92" s="2">
        <f>(AY92-AN92)*'奖励（新）'!$D$17</f>
        <v>190947.65703847268</v>
      </c>
      <c r="BN92" s="2">
        <f>(AZ92-AO92)*'奖励（新）'!$D$17</f>
        <v>65167.930143381745</v>
      </c>
      <c r="BO92" s="2">
        <f>(BA92-AP92)*'奖励（新）'!$D$17</f>
        <v>1816.4996961637553</v>
      </c>
    </row>
    <row r="93" spans="17:67" x14ac:dyDescent="0.2">
      <c r="Q93" s="2">
        <v>88</v>
      </c>
      <c r="R93" s="2">
        <f>$E$5*$F$5/7*MAX(节奏总纲!D91-$C$1,0)</f>
        <v>2748.0134886258252</v>
      </c>
      <c r="S93" s="2">
        <f>$E$5*$F$5/7*MAX(节奏总纲!E91-$C$1,0)</f>
        <v>2319.8098417876349</v>
      </c>
      <c r="T93" s="2">
        <f>$E$5*$F$5/7*MAX(节奏总纲!F91-$C$1,0)</f>
        <v>1806.4737191685592</v>
      </c>
      <c r="U93" s="2">
        <f>$E$5*$F$5/7*MAX(节奏总纲!G91-$C$1,0)</f>
        <v>1185.7690263482157</v>
      </c>
      <c r="V93" s="2">
        <f>$E$5*$F$5/7*MAX(节奏总纲!H91-$C$1,0)</f>
        <v>451.34259349221071</v>
      </c>
      <c r="W93" s="2">
        <f>$E$6*$F$6/7*MAX(节奏总纲!D91-$C$1,0)</f>
        <v>27480.134886258249</v>
      </c>
      <c r="X93" s="2">
        <f>$E$6*$F$6/7*MAX(节奏总纲!E91-$C$1,0)</f>
        <v>23198.09841787635</v>
      </c>
      <c r="Y93" s="2">
        <f>$E$6*$F$6/7*MAX(节奏总纲!F91-$C$1,0)</f>
        <v>18064.737191685592</v>
      </c>
      <c r="Z93" s="2">
        <f>$E$6*$F$6/7*MAX(节奏总纲!G91-$C$1,0)</f>
        <v>11857.690263482158</v>
      </c>
      <c r="AA93" s="2">
        <f>$E$6*$F$6/7*MAX(节奏总纲!H91-$C$1,0)</f>
        <v>4513.4259349221074</v>
      </c>
      <c r="AB93" s="2">
        <f>($E$9*$F$9*3600+$E$10*$F$10*1200)/7*MAX(节奏总纲!D91-$C$1,0)</f>
        <v>2308331.3304456929</v>
      </c>
      <c r="AC93" s="2">
        <f>($E$9*$F$9*3600+$E$10*$F$10*1200)/7*MAX(节奏总纲!E91-$C$1,0)</f>
        <v>1948640.2671016133</v>
      </c>
      <c r="AD93" s="2">
        <f>($E$9*$F$9*3600+$E$10*$F$10*1200)/7*MAX(节奏总纲!F91-$C$1,0)</f>
        <v>1517437.9241015897</v>
      </c>
      <c r="AE93" s="2">
        <f>($E$9*$F$9*3600+$E$10*$F$10*1200)/7*MAX(节奏总纲!G91-$C$1,0)</f>
        <v>996045.9821325012</v>
      </c>
      <c r="AF93" s="2">
        <f>($E$9*$F$9*3600+$E$10*$F$10*1200)/7*MAX(节奏总纲!H91-$C$1,0)</f>
        <v>379127.77853345696</v>
      </c>
      <c r="AK93" s="2">
        <v>88</v>
      </c>
      <c r="AL93" s="2">
        <f>'奖励（新）'!CT95</f>
        <v>149251.01205073518</v>
      </c>
      <c r="AM93" s="2">
        <f>'奖励（新）'!CU95</f>
        <v>127702.67175087833</v>
      </c>
      <c r="AN93" s="2">
        <f>'奖励（新）'!CV95</f>
        <v>104765.57722564398</v>
      </c>
      <c r="AO93" s="2">
        <f>'奖励（新）'!CW95</f>
        <v>81866.793051986388</v>
      </c>
      <c r="AP93" s="2">
        <f>'奖励（新）'!CX95</f>
        <v>36146.977240998087</v>
      </c>
      <c r="AV93" s="2">
        <v>88</v>
      </c>
      <c r="AW93" s="2">
        <f>SUMPRODUCT($F$5:$F$12,$H$5:$H$12,J$5:J$12)/7*MAX(节奏总纲!D91-'奖励（新）'!$E$2,0)</f>
        <v>222589.09257869181</v>
      </c>
      <c r="AX93" s="2">
        <f>SUMPRODUCT($F$5:$F$12,$H$5:$H$12,K$5:K$12)/7*MAX(节奏总纲!E91-'奖励（新）'!$E$2,0)</f>
        <v>187904.59718479842</v>
      </c>
      <c r="AY93" s="2">
        <f>SUMPRODUCT($F$5:$F$12,$H$5:$H$12,L$5:L$12)/7*MAX(节奏总纲!F91-'奖励（新）'!$E$2,0)</f>
        <v>146324.37125265328</v>
      </c>
      <c r="AZ93" s="2">
        <f>SUMPRODUCT($F$5:$F$12,$H$5:$H$12,M$5:M$12)/7*MAX(节奏总纲!G91-'奖励（新）'!$E$2,0)</f>
        <v>96047.291134205472</v>
      </c>
      <c r="BA93" s="2">
        <f>SUMPRODUCT($F$5:$F$12,$H$5:$H$12,N$5:N$12)/7*MAX(节奏总纲!H91-'奖励（新）'!$E$2,0)</f>
        <v>36558.750072869065</v>
      </c>
      <c r="BE93" s="2">
        <v>88</v>
      </c>
      <c r="BF93" s="41">
        <f t="shared" si="12"/>
        <v>0.67052257737189236</v>
      </c>
      <c r="BG93" s="41">
        <f t="shared" si="13"/>
        <v>0.67961440892947744</v>
      </c>
      <c r="BH93" s="41">
        <f t="shared" si="14"/>
        <v>0.71598173515981733</v>
      </c>
      <c r="BI93" s="41">
        <f t="shared" si="15"/>
        <v>0.85235920852359193</v>
      </c>
      <c r="BJ93" s="41">
        <f t="shared" si="16"/>
        <v>0.98873668188736674</v>
      </c>
      <c r="BK93" s="2">
        <f>(AW93-AL93)*'奖励（新）'!$D$17</f>
        <v>366690.4026397831</v>
      </c>
      <c r="BL93" s="2">
        <f>(AX93-AM93)*'奖励（新）'!$D$17</f>
        <v>301009.62716960046</v>
      </c>
      <c r="BM93" s="2">
        <f>(AY93-AN93)*'奖励（新）'!$D$17</f>
        <v>207793.97013504646</v>
      </c>
      <c r="BN93" s="2">
        <f>(AZ93-AO93)*'奖励（新）'!$D$17</f>
        <v>70902.490411095423</v>
      </c>
      <c r="BO93" s="2">
        <f>(BA93-AP93)*'奖励（新）'!$D$17</f>
        <v>2058.8641593548891</v>
      </c>
    </row>
    <row r="94" spans="17:67" x14ac:dyDescent="0.2">
      <c r="Q94" s="2">
        <v>89</v>
      </c>
      <c r="R94" s="2">
        <f>$E$5*$F$5/7*MAX(节奏总纲!D92-$C$1,0)</f>
        <v>2976.520654763181</v>
      </c>
      <c r="S94" s="2">
        <f>$E$5*$F$5/7*MAX(节奏总纲!E92-$C$1,0)</f>
        <v>2512.7471130130075</v>
      </c>
      <c r="T94" s="2">
        <f>$E$5*$F$5/7*MAX(节奏总纲!F92-$C$1,0)</f>
        <v>1947.1613179711285</v>
      </c>
      <c r="U94" s="2">
        <f>$E$5*$F$5/7*MAX(节奏总纲!G92-$C$1,0)</f>
        <v>1287.9354906375481</v>
      </c>
      <c r="V94" s="2">
        <f>$E$5*$F$5/7*MAX(节奏总纲!H92-$C$1,0)</f>
        <v>504.42380226225453</v>
      </c>
      <c r="W94" s="2">
        <f>$E$6*$F$6/7*MAX(节奏总纲!D92-$C$1,0)</f>
        <v>29765.206547631809</v>
      </c>
      <c r="X94" s="2">
        <f>$E$6*$F$6/7*MAX(节奏总纲!E92-$C$1,0)</f>
        <v>25127.471130130074</v>
      </c>
      <c r="Y94" s="2">
        <f>$E$6*$F$6/7*MAX(节奏总纲!F92-$C$1,0)</f>
        <v>19471.613179711283</v>
      </c>
      <c r="Z94" s="2">
        <f>$E$6*$F$6/7*MAX(节奏总纲!G92-$C$1,0)</f>
        <v>12879.35490637548</v>
      </c>
      <c r="AA94" s="2">
        <f>$E$6*$F$6/7*MAX(节奏总纲!H92-$C$1,0)</f>
        <v>5044.238022622545</v>
      </c>
      <c r="AB94" s="2">
        <f>($E$9*$F$9*3600+$E$10*$F$10*1200)/7*MAX(节奏总纲!D92-$C$1,0)</f>
        <v>2500277.350001072</v>
      </c>
      <c r="AC94" s="2">
        <f>($E$9*$F$9*3600+$E$10*$F$10*1200)/7*MAX(节奏总纲!E92-$C$1,0)</f>
        <v>2110707.5749309263</v>
      </c>
      <c r="AD94" s="2">
        <f>($E$9*$F$9*3600+$E$10*$F$10*1200)/7*MAX(节奏总纲!F92-$C$1,0)</f>
        <v>1635615.5070957479</v>
      </c>
      <c r="AE94" s="2">
        <f>($E$9*$F$9*3600+$E$10*$F$10*1200)/7*MAX(节奏总纲!G92-$C$1,0)</f>
        <v>1081865.8121355404</v>
      </c>
      <c r="AF94" s="2">
        <f>($E$9*$F$9*3600+$E$10*$F$10*1200)/7*MAX(节奏总纲!H92-$C$1,0)</f>
        <v>423715.99390029378</v>
      </c>
      <c r="AK94" s="2">
        <v>89</v>
      </c>
      <c r="AL94" s="2">
        <f>'奖励（新）'!CT96</f>
        <v>161661.76838363093</v>
      </c>
      <c r="AM94" s="2">
        <f>'奖励（新）'!CU96</f>
        <v>138323.63066396644</v>
      </c>
      <c r="AN94" s="2">
        <f>'奖励（新）'!CV96</f>
        <v>112924.68706524067</v>
      </c>
      <c r="AO94" s="2">
        <f>'奖励（新）'!CW96</f>
        <v>88920.477709770435</v>
      </c>
      <c r="AP94" s="2">
        <f>'奖励（新）'!CX96</f>
        <v>40398.12763761705</v>
      </c>
      <c r="AV94" s="2">
        <v>89</v>
      </c>
      <c r="AW94" s="2">
        <f>SUMPRODUCT($F$5:$F$12,$H$5:$H$12,J$5:J$12)/7*MAX(节奏总纲!D92-'奖励（新）'!$E$2,0)</f>
        <v>241098.17303581766</v>
      </c>
      <c r="AX94" s="2">
        <f>SUMPRODUCT($F$5:$F$12,$H$5:$H$12,K$5:K$12)/7*MAX(节奏总纲!E92-'奖励（新）'!$E$2,0)</f>
        <v>203532.51615405359</v>
      </c>
      <c r="AY94" s="2">
        <f>SUMPRODUCT($F$5:$F$12,$H$5:$H$12,L$5:L$12)/7*MAX(节奏总纲!F92-'奖励（新）'!$E$2,0)</f>
        <v>157720.06675566139</v>
      </c>
      <c r="AZ94" s="2">
        <f>SUMPRODUCT($F$5:$F$12,$H$5:$H$12,M$5:M$12)/7*MAX(节奏总纲!G92-'奖励（新）'!$E$2,0)</f>
        <v>104322.77474164139</v>
      </c>
      <c r="BA94" s="2">
        <f>SUMPRODUCT($F$5:$F$12,$H$5:$H$12,N$5:N$12)/7*MAX(节奏总纲!H92-'奖励（新）'!$E$2,0)</f>
        <v>40858.327983242612</v>
      </c>
      <c r="BE94" s="2">
        <v>89</v>
      </c>
      <c r="BF94" s="41">
        <f t="shared" si="12"/>
        <v>0.67052257737189236</v>
      </c>
      <c r="BG94" s="41">
        <f t="shared" si="13"/>
        <v>0.67961440892947733</v>
      </c>
      <c r="BH94" s="41">
        <f t="shared" si="14"/>
        <v>0.71598173515981733</v>
      </c>
      <c r="BI94" s="41">
        <f t="shared" si="15"/>
        <v>0.85235920852359204</v>
      </c>
      <c r="BJ94" s="41">
        <f t="shared" si="16"/>
        <v>0.98873668188736685</v>
      </c>
      <c r="BK94" s="2">
        <f>(AW94-AL94)*'奖励（新）'!$D$17</f>
        <v>397182.02326093364</v>
      </c>
      <c r="BL94" s="2">
        <f>(AX94-AM94)*'奖励（新）'!$D$17</f>
        <v>326044.42745043576</v>
      </c>
      <c r="BM94" s="2">
        <f>(AY94-AN94)*'奖励（新）'!$D$17</f>
        <v>223976.89845210363</v>
      </c>
      <c r="BN94" s="2">
        <f>(AZ94-AO94)*'奖励（新）'!$D$17</f>
        <v>77011.485159354779</v>
      </c>
      <c r="BO94" s="2">
        <f>(BA94-AP94)*'奖励（新）'!$D$17</f>
        <v>2301.0017281278124</v>
      </c>
    </row>
    <row r="95" spans="17:67" x14ac:dyDescent="0.2">
      <c r="Q95" s="2">
        <v>90</v>
      </c>
      <c r="R95" s="2">
        <f>$E$5*$F$5/7*MAX(节奏总纲!D93-$C$1,0)</f>
        <v>3221.4285714285716</v>
      </c>
      <c r="S95" s="2">
        <f>$E$5*$F$5/7*MAX(节奏总纲!E93-$C$1,0)</f>
        <v>2700.9385714285718</v>
      </c>
      <c r="T95" s="2">
        <f>$E$5*$F$5/7*MAX(节奏总纲!F93-$C$1,0)</f>
        <v>2100.8785714285714</v>
      </c>
      <c r="U95" s="2">
        <f>$E$5*$F$5/7*MAX(节奏总纲!G93-$C$1,0)</f>
        <v>1392.0485714285717</v>
      </c>
      <c r="V95" s="2">
        <f>$E$5*$F$5/7*MAX(节奏总纲!H93-$C$1,0)</f>
        <v>560.57857142857165</v>
      </c>
      <c r="W95" s="2">
        <f>$E$6*$F$6/7*MAX(节奏总纲!D93-$C$1,0)</f>
        <v>32214.285714285714</v>
      </c>
      <c r="X95" s="2">
        <f>$E$6*$F$6/7*MAX(节奏总纲!E93-$C$1,0)</f>
        <v>27009.38571428572</v>
      </c>
      <c r="Y95" s="2">
        <f>$E$6*$F$6/7*MAX(节奏总纲!F93-$C$1,0)</f>
        <v>21008.785714285714</v>
      </c>
      <c r="Z95" s="2">
        <f>$E$6*$F$6/7*MAX(节奏总纲!G93-$C$1,0)</f>
        <v>13920.485714285716</v>
      </c>
      <c r="AA95" s="2">
        <f>$E$6*$F$6/7*MAX(节奏总纲!H93-$C$1,0)</f>
        <v>5605.7857142857165</v>
      </c>
      <c r="AB95" s="2">
        <f>($E$9*$F$9*3600+$E$10*$F$10*1200)/7*MAX(节奏总纲!D93-$C$1,0)</f>
        <v>2706000</v>
      </c>
      <c r="AC95" s="2">
        <f>($E$9*$F$9*3600+$E$10*$F$10*1200)/7*MAX(节奏总纲!E93-$C$1,0)</f>
        <v>2268788.4000000004</v>
      </c>
      <c r="AD95" s="2">
        <f>($E$9*$F$9*3600+$E$10*$F$10*1200)/7*MAX(节奏总纲!F93-$C$1,0)</f>
        <v>1764738</v>
      </c>
      <c r="AE95" s="2">
        <f>($E$9*$F$9*3600+$E$10*$F$10*1200)/7*MAX(节奏总纲!G93-$C$1,0)</f>
        <v>1169320.8</v>
      </c>
      <c r="AF95" s="2">
        <f>($E$9*$F$9*3600+$E$10*$F$10*1200)/7*MAX(节奏总纲!H93-$C$1,0)</f>
        <v>470886.00000000012</v>
      </c>
      <c r="AK95" s="2">
        <v>90</v>
      </c>
      <c r="AL95" s="2">
        <f>'奖励（新）'!CT97</f>
        <v>174963.28767123286</v>
      </c>
      <c r="AM95" s="2">
        <f>'奖励（新）'!CU97</f>
        <v>148683.33843287671</v>
      </c>
      <c r="AN95" s="2">
        <f>'奖励（新）'!CV97</f>
        <v>121839.44547945204</v>
      </c>
      <c r="AO95" s="2">
        <f>'奖励（新）'!CW97</f>
        <v>96108.558904109581</v>
      </c>
      <c r="AP95" s="2">
        <f>'奖励（新）'!CX97</f>
        <v>44895.432328767129</v>
      </c>
      <c r="AV95" s="2">
        <v>90</v>
      </c>
      <c r="AW95" s="2">
        <f>SUMPRODUCT($F$5:$F$12,$H$5:$H$12,J$5:J$12)/7*MAX(节奏总纲!D93-'奖励（新）'!$E$2,0)</f>
        <v>260935.71428571429</v>
      </c>
      <c r="AX95" s="2">
        <f>SUMPRODUCT($F$5:$F$12,$H$5:$H$12,K$5:K$12)/7*MAX(节奏总纲!E93-'奖励（新）'!$E$2,0)</f>
        <v>218776.02428571432</v>
      </c>
      <c r="AY95" s="2">
        <f>SUMPRODUCT($F$5:$F$12,$H$5:$H$12,L$5:L$12)/7*MAX(节奏总纲!F93-'奖励（新）'!$E$2,0)</f>
        <v>170171.16428571427</v>
      </c>
      <c r="AZ95" s="2">
        <f>SUMPRODUCT($F$5:$F$12,$H$5:$H$12,M$5:M$12)/7*MAX(节奏总纲!G93-'奖励（新）'!$E$2,0)</f>
        <v>112755.93428571429</v>
      </c>
      <c r="BA95" s="2">
        <f>SUMPRODUCT($F$5:$F$12,$H$5:$H$12,N$5:N$12)/7*MAX(节奏总纲!H93-'奖励（新）'!$E$2,0)</f>
        <v>45406.864285714299</v>
      </c>
      <c r="BE95" s="2">
        <v>90</v>
      </c>
      <c r="BF95" s="41">
        <f t="shared" si="12"/>
        <v>0.67052257737189236</v>
      </c>
      <c r="BG95" s="41">
        <f t="shared" si="13"/>
        <v>0.67961440892947733</v>
      </c>
      <c r="BH95" s="41">
        <f t="shared" si="14"/>
        <v>0.71598173515981733</v>
      </c>
      <c r="BI95" s="41">
        <f t="shared" si="15"/>
        <v>0.85235920852359193</v>
      </c>
      <c r="BJ95" s="41">
        <f t="shared" si="16"/>
        <v>0.98873668188736663</v>
      </c>
      <c r="BK95" s="2">
        <f>(AW95-AL95)*'奖励（新）'!$D$17</f>
        <v>429862.13307240716</v>
      </c>
      <c r="BL95" s="2">
        <f>(AX95-AM95)*'奖励（新）'!$D$17</f>
        <v>350463.42926418805</v>
      </c>
      <c r="BM95" s="2">
        <f>(AY95-AN95)*'奖励（新）'!$D$17</f>
        <v>241658.59403131116</v>
      </c>
      <c r="BN95" s="2">
        <f>(AZ95-AO95)*'奖励（新）'!$D$17</f>
        <v>83236.876908023551</v>
      </c>
      <c r="BO95" s="2">
        <f>(BA95-AP95)*'奖励（新）'!$D$17</f>
        <v>2557.1597847358498</v>
      </c>
    </row>
    <row r="96" spans="17:67" x14ac:dyDescent="0.2">
      <c r="Q96" s="2">
        <v>91</v>
      </c>
      <c r="R96" s="2">
        <f>$E$5*$F$5/7*MAX(节奏总纲!D94-$C$1,0)</f>
        <v>3483.9143772755865</v>
      </c>
      <c r="S96" s="2">
        <f>$E$5*$F$5/7*MAX(节奏总纲!E94-$C$1,0)</f>
        <v>2925.9939013618023</v>
      </c>
      <c r="T96" s="2">
        <f>$E$5*$F$5/7*MAX(节奏总纲!F94-$C$1,0)</f>
        <v>2274.565014688274</v>
      </c>
      <c r="U96" s="2">
        <f>$E$5*$F$5/7*MAX(节奏总纲!G94-$C$1,0)</f>
        <v>1518.6727569986306</v>
      </c>
      <c r="V96" s="2">
        <f>$E$5*$F$5/7*MAX(节奏总纲!H94-$C$1,0)</f>
        <v>627.79973900726566</v>
      </c>
      <c r="W96" s="2">
        <f>$E$6*$F$6/7*MAX(节奏总纲!D94-$C$1,0)</f>
        <v>34839.143772755866</v>
      </c>
      <c r="X96" s="2">
        <f>$E$6*$F$6/7*MAX(节奏总纲!E94-$C$1,0)</f>
        <v>29259.939013618023</v>
      </c>
      <c r="Y96" s="2">
        <f>$E$6*$F$6/7*MAX(节奏总纲!F94-$C$1,0)</f>
        <v>22745.650146882741</v>
      </c>
      <c r="Z96" s="2">
        <f>$E$6*$F$6/7*MAX(节奏总纲!G94-$C$1,0)</f>
        <v>15186.727569986306</v>
      </c>
      <c r="AA96" s="2">
        <f>$E$6*$F$6/7*MAX(节奏总纲!H94-$C$1,0)</f>
        <v>6277.9973900726563</v>
      </c>
      <c r="AB96" s="2">
        <f>($E$9*$F$9*3600+$E$10*$F$10*1200)/7*MAX(节奏总纲!D94-$C$1,0)</f>
        <v>2926488.0769114923</v>
      </c>
      <c r="AC96" s="2">
        <f>($E$9*$F$9*3600+$E$10*$F$10*1200)/7*MAX(节奏总纲!E94-$C$1,0)</f>
        <v>2457834.8771439139</v>
      </c>
      <c r="AD96" s="2">
        <f>($E$9*$F$9*3600+$E$10*$F$10*1200)/7*MAX(节奏总纲!F94-$C$1,0)</f>
        <v>1910634.6123381502</v>
      </c>
      <c r="AE96" s="2">
        <f>($E$9*$F$9*3600+$E$10*$F$10*1200)/7*MAX(节奏总纲!G94-$C$1,0)</f>
        <v>1275685.1158788495</v>
      </c>
      <c r="AF96" s="2">
        <f>($E$9*$F$9*3600+$E$10*$F$10*1200)/7*MAX(节奏总纲!H94-$C$1,0)</f>
        <v>527351.78076610307</v>
      </c>
      <c r="AK96" s="2">
        <v>91</v>
      </c>
      <c r="AL96" s="2">
        <f>'奖励（新）'!CT98</f>
        <v>189219.50305509922</v>
      </c>
      <c r="AM96" s="2">
        <f>'奖励（新）'!CU98</f>
        <v>161072.35688022579</v>
      </c>
      <c r="AN96" s="2">
        <f>'奖励（新）'!CV98</f>
        <v>131912.30748197637</v>
      </c>
      <c r="AO96" s="2">
        <f>'奖励（新）'!CW98</f>
        <v>104850.83144209723</v>
      </c>
      <c r="AP96" s="2">
        <f>'奖励（新）'!CX98</f>
        <v>50279.019097699689</v>
      </c>
      <c r="AV96" s="2">
        <v>91</v>
      </c>
      <c r="AW96" s="2">
        <f>SUMPRODUCT($F$5:$F$12,$H$5:$H$12,J$5:J$12)/7*MAX(节奏总纲!D94-'奖励（新）'!$E$2,0)</f>
        <v>282197.06455932249</v>
      </c>
      <c r="AX96" s="2">
        <f>SUMPRODUCT($F$5:$F$12,$H$5:$H$12,K$5:K$12)/7*MAX(节奏总纲!E94-'奖励（新）'!$E$2,0)</f>
        <v>237005.50601030595</v>
      </c>
      <c r="AY96" s="2">
        <f>SUMPRODUCT($F$5:$F$12,$H$5:$H$12,L$5:L$12)/7*MAX(节奏总纲!F94-'奖励（新）'!$E$2,0)</f>
        <v>184239.7661897502</v>
      </c>
      <c r="AZ96" s="2">
        <f>SUMPRODUCT($F$5:$F$12,$H$5:$H$12,M$5:M$12)/7*MAX(节奏总纲!G94-'奖励（新）'!$E$2,0)</f>
        <v>123012.49331688907</v>
      </c>
      <c r="BA96" s="2">
        <f>SUMPRODUCT($F$5:$F$12,$H$5:$H$12,N$5:N$12)/7*MAX(节奏总纲!H94-'奖励（新）'!$E$2,0)</f>
        <v>50851.778859588514</v>
      </c>
      <c r="BE96" s="2">
        <v>91</v>
      </c>
      <c r="BF96" s="41">
        <f t="shared" si="12"/>
        <v>0.67052257737189236</v>
      </c>
      <c r="BG96" s="41">
        <f t="shared" si="13"/>
        <v>0.67961440892947744</v>
      </c>
      <c r="BH96" s="41">
        <f t="shared" si="14"/>
        <v>0.71598173515981722</v>
      </c>
      <c r="BI96" s="41">
        <f t="shared" si="15"/>
        <v>0.85235920852359215</v>
      </c>
      <c r="BJ96" s="41">
        <f t="shared" si="16"/>
        <v>0.98873668188736674</v>
      </c>
      <c r="BK96" s="2">
        <f>(AW96-AL96)*'奖励（新）'!$D$17</f>
        <v>464887.80752111634</v>
      </c>
      <c r="BL96" s="2">
        <f>(AX96-AM96)*'奖励（新）'!$D$17</f>
        <v>379665.74565040076</v>
      </c>
      <c r="BM96" s="2">
        <f>(AY96-AN96)*'奖励（新）'!$D$17</f>
        <v>261637.29353886913</v>
      </c>
      <c r="BN96" s="2">
        <f>(AZ96-AO96)*'奖励（新）'!$D$17</f>
        <v>90808.3093739592</v>
      </c>
      <c r="BO96" s="2">
        <f>(BA96-AP96)*'奖励（新）'!$D$17</f>
        <v>2863.7988094441243</v>
      </c>
    </row>
    <row r="97" spans="17:67" x14ac:dyDescent="0.2">
      <c r="Q97" s="2">
        <v>92</v>
      </c>
      <c r="R97" s="2">
        <f>$E$5*$F$5/7*MAX(节奏总纲!D95-$C$1,0)</f>
        <v>3765.2396982748674</v>
      </c>
      <c r="S97" s="2">
        <f>$E$5*$F$5/7*MAX(节奏总纲!E95-$C$1,0)</f>
        <v>3159.2339904455775</v>
      </c>
      <c r="T97" s="2">
        <f>$E$5*$F$5/7*MAX(节奏总纲!F95-$C$1,0)</f>
        <v>2465.1582489525154</v>
      </c>
      <c r="U97" s="2">
        <f>$E$5*$F$5/7*MAX(节奏总纲!G95-$C$1,0)</f>
        <v>1654.075177020442</v>
      </c>
      <c r="V97" s="2">
        <f>$E$5*$F$5/7*MAX(节奏总纲!H95-$C$1,0)</f>
        <v>697.46685898680198</v>
      </c>
      <c r="W97" s="2">
        <f>$E$6*$F$6/7*MAX(节奏总纲!D95-$C$1,0)</f>
        <v>37652.396982748673</v>
      </c>
      <c r="X97" s="2">
        <f>$E$6*$F$6/7*MAX(节奏总纲!E95-$C$1,0)</f>
        <v>31592.339904455774</v>
      </c>
      <c r="Y97" s="2">
        <f>$E$6*$F$6/7*MAX(节奏总纲!F95-$C$1,0)</f>
        <v>24651.582489525154</v>
      </c>
      <c r="Z97" s="2">
        <f>$E$6*$F$6/7*MAX(节奏总纲!G95-$C$1,0)</f>
        <v>16540.751770204421</v>
      </c>
      <c r="AA97" s="2">
        <f>$E$6*$F$6/7*MAX(节奏总纲!H95-$C$1,0)</f>
        <v>6974.6685898680189</v>
      </c>
      <c r="AB97" s="2">
        <f>($E$9*$F$9*3600+$E$10*$F$10*1200)/7*MAX(节奏总纲!D95-$C$1,0)</f>
        <v>3162801.3465508884</v>
      </c>
      <c r="AC97" s="2">
        <f>($E$9*$F$9*3600+$E$10*$F$10*1200)/7*MAX(节奏总纲!E95-$C$1,0)</f>
        <v>2653756.5519742849</v>
      </c>
      <c r="AD97" s="2">
        <f>($E$9*$F$9*3600+$E$10*$F$10*1200)/7*MAX(节奏总纲!F95-$C$1,0)</f>
        <v>2070732.9291201127</v>
      </c>
      <c r="AE97" s="2">
        <f>($E$9*$F$9*3600+$E$10*$F$10*1200)/7*MAX(节奏总纲!G95-$C$1,0)</f>
        <v>1389423.1486971711</v>
      </c>
      <c r="AF97" s="2">
        <f>($E$9*$F$9*3600+$E$10*$F$10*1200)/7*MAX(节奏总纲!H95-$C$1,0)</f>
        <v>585872.16154891357</v>
      </c>
      <c r="AK97" s="2">
        <v>92</v>
      </c>
      <c r="AL97" s="2">
        <f>'奖励（新）'!CT99</f>
        <v>204498.93637972866</v>
      </c>
      <c r="AM97" s="2">
        <f>'奖励（新）'!CU99</f>
        <v>173911.93622801339</v>
      </c>
      <c r="AN97" s="2">
        <f>'奖励（新）'!CV99</f>
        <v>142965.67072281326</v>
      </c>
      <c r="AO97" s="2">
        <f>'奖励（新）'!CW99</f>
        <v>114199.16290661678</v>
      </c>
      <c r="AP97" s="2">
        <f>'奖励（新）'!CX99</f>
        <v>55858.496498362168</v>
      </c>
      <c r="AV97" s="2">
        <v>92</v>
      </c>
      <c r="AW97" s="2">
        <f>SUMPRODUCT($F$5:$F$12,$H$5:$H$12,J$5:J$12)/7*MAX(节奏总纲!D95-'奖励（新）'!$E$2,0)</f>
        <v>304984.41556026426</v>
      </c>
      <c r="AX97" s="2">
        <f>SUMPRODUCT($F$5:$F$12,$H$5:$H$12,K$5:K$12)/7*MAX(节奏总纲!E95-'奖励（新）'!$E$2,0)</f>
        <v>255897.95322609175</v>
      </c>
      <c r="AY97" s="2">
        <f>SUMPRODUCT($F$5:$F$12,$H$5:$H$12,L$5:L$12)/7*MAX(节奏总纲!F95-'奖励（新）'!$E$2,0)</f>
        <v>199677.81816515373</v>
      </c>
      <c r="AZ97" s="2">
        <f>SUMPRODUCT($F$5:$F$12,$H$5:$H$12,M$5:M$12)/7*MAX(节奏总纲!G95-'奖励（新）'!$E$2,0)</f>
        <v>133980.08933865579</v>
      </c>
      <c r="BA97" s="2">
        <f>SUMPRODUCT($F$5:$F$12,$H$5:$H$12,N$5:N$12)/7*MAX(节奏总纲!H95-'奖励（新）'!$E$2,0)</f>
        <v>56494.815577930953</v>
      </c>
      <c r="BE97" s="2">
        <v>92</v>
      </c>
      <c r="BF97" s="41">
        <f t="shared" si="12"/>
        <v>0.67052257737189236</v>
      </c>
      <c r="BG97" s="41">
        <f t="shared" si="13"/>
        <v>0.67961440892947733</v>
      </c>
      <c r="BH97" s="41">
        <f t="shared" si="14"/>
        <v>0.71598173515981733</v>
      </c>
      <c r="BI97" s="41">
        <f t="shared" si="15"/>
        <v>0.85235920852359193</v>
      </c>
      <c r="BJ97" s="41">
        <f t="shared" si="16"/>
        <v>0.98873668188736674</v>
      </c>
      <c r="BK97" s="2">
        <f>(AW97-AL97)*'奖励（新）'!$D$17</f>
        <v>502427.39590267796</v>
      </c>
      <c r="BL97" s="2">
        <f>(AX97-AM97)*'奖励（新）'!$D$17</f>
        <v>409930.08499039174</v>
      </c>
      <c r="BM97" s="2">
        <f>(AY97-AN97)*'奖励（新）'!$D$17</f>
        <v>283560.73721170239</v>
      </c>
      <c r="BN97" s="2">
        <f>(AZ97-AO97)*'奖励（新）'!$D$17</f>
        <v>98904.632160195033</v>
      </c>
      <c r="BO97" s="2">
        <f>(BA97-AP97)*'奖励（新）'!$D$17</f>
        <v>3181.5953978439211</v>
      </c>
    </row>
    <row r="98" spans="17:67" x14ac:dyDescent="0.2">
      <c r="Q98" s="2">
        <v>93</v>
      </c>
      <c r="R98" s="2">
        <f>$E$5*$F$5/7*MAX(节奏总纲!D96-$C$1,0)</f>
        <v>4066.7567116614077</v>
      </c>
      <c r="S98" s="2">
        <f>$E$5*$F$5/7*MAX(节奏总纲!E96-$C$1,0)</f>
        <v>3416.7322625837401</v>
      </c>
      <c r="T98" s="2">
        <f>$E$5*$F$5/7*MAX(节奏总纲!F96-$C$1,0)</f>
        <v>2669.1591928630191</v>
      </c>
      <c r="U98" s="2">
        <f>$E$5*$F$5/7*MAX(节奏总纲!G96-$C$1,0)</f>
        <v>1796.6160008438255</v>
      </c>
      <c r="V98" s="2">
        <f>$E$5*$F$5/7*MAX(节奏总纲!H96-$C$1,0)</f>
        <v>773.92884894085512</v>
      </c>
      <c r="W98" s="2">
        <f>$E$6*$F$6/7*MAX(节奏总纲!D96-$C$1,0)</f>
        <v>40667.567116614075</v>
      </c>
      <c r="X98" s="2">
        <f>$E$6*$F$6/7*MAX(节奏总纲!E96-$C$1,0)</f>
        <v>34167.322625837398</v>
      </c>
      <c r="Y98" s="2">
        <f>$E$6*$F$6/7*MAX(节奏总纲!F96-$C$1,0)</f>
        <v>26691.591928630191</v>
      </c>
      <c r="Z98" s="2">
        <f>$E$6*$F$6/7*MAX(节奏总纲!G96-$C$1,0)</f>
        <v>17966.160008438255</v>
      </c>
      <c r="AA98" s="2">
        <f>$E$6*$F$6/7*MAX(节奏总纲!H96-$C$1,0)</f>
        <v>7739.288489408551</v>
      </c>
      <c r="AB98" s="2">
        <f>($E$9*$F$9*3600+$E$10*$F$10*1200)/7*MAX(节奏总纲!D96-$C$1,0)</f>
        <v>3416075.6377955824</v>
      </c>
      <c r="AC98" s="2">
        <f>($E$9*$F$9*3600+$E$10*$F$10*1200)/7*MAX(节奏总纲!E96-$C$1,0)</f>
        <v>2870055.1005703416</v>
      </c>
      <c r="AD98" s="2">
        <f>($E$9*$F$9*3600+$E$10*$F$10*1200)/7*MAX(节奏总纲!F96-$C$1,0)</f>
        <v>2242093.7220049361</v>
      </c>
      <c r="AE98" s="2">
        <f>($E$9*$F$9*3600+$E$10*$F$10*1200)/7*MAX(节奏总纲!G96-$C$1,0)</f>
        <v>1509157.4407088133</v>
      </c>
      <c r="AF98" s="2">
        <f>($E$9*$F$9*3600+$E$10*$F$10*1200)/7*MAX(节奏总纲!H96-$C$1,0)</f>
        <v>650100.23311031831</v>
      </c>
      <c r="AK98" s="2">
        <v>93</v>
      </c>
      <c r="AL98" s="2">
        <f>'奖励（新）'!CT100</f>
        <v>220875.02753965952</v>
      </c>
      <c r="AM98" s="2">
        <f>'奖励（新）'!CU100</f>
        <v>188086.89864559605</v>
      </c>
      <c r="AN98" s="2">
        <f>'奖励（新）'!CV100</f>
        <v>154796.60765623121</v>
      </c>
      <c r="AO98" s="2">
        <f>'奖励（新）'!CW100</f>
        <v>124040.3375925052</v>
      </c>
      <c r="AP98" s="2">
        <f>'奖励（新）'!CX100</f>
        <v>61982.159211613907</v>
      </c>
      <c r="AV98" s="2">
        <v>93</v>
      </c>
      <c r="AW98" s="2">
        <f>SUMPRODUCT($F$5:$F$12,$H$5:$H$12,J$5:J$12)/7*MAX(节奏总纲!D96-'奖励（新）'!$E$2,0)</f>
        <v>329407.29364457401</v>
      </c>
      <c r="AX98" s="2">
        <f>SUMPRODUCT($F$5:$F$12,$H$5:$H$12,K$5:K$12)/7*MAX(节奏总纲!E96-'奖励（新）'!$E$2,0)</f>
        <v>276755.31326928292</v>
      </c>
      <c r="AY98" s="2">
        <f>SUMPRODUCT($F$5:$F$12,$H$5:$H$12,L$5:L$12)/7*MAX(节奏总纲!F96-'奖励（新）'!$E$2,0)</f>
        <v>216201.89462190453</v>
      </c>
      <c r="AZ98" s="2">
        <f>SUMPRODUCT($F$5:$F$12,$H$5:$H$12,M$5:M$12)/7*MAX(节奏总纲!G96-'奖励（新）'!$E$2,0)</f>
        <v>145525.89606834986</v>
      </c>
      <c r="BA98" s="2">
        <f>SUMPRODUCT($F$5:$F$12,$H$5:$H$12,N$5:N$12)/7*MAX(节奏总纲!H96-'奖励（新）'!$E$2,0)</f>
        <v>62688.236764209265</v>
      </c>
      <c r="BE98" s="2">
        <v>93</v>
      </c>
      <c r="BF98" s="41">
        <f t="shared" si="12"/>
        <v>0.67052257737189236</v>
      </c>
      <c r="BG98" s="41">
        <f t="shared" si="13"/>
        <v>0.67961440892947733</v>
      </c>
      <c r="BH98" s="41">
        <f t="shared" si="14"/>
        <v>0.71598173515981745</v>
      </c>
      <c r="BI98" s="41">
        <f t="shared" si="15"/>
        <v>0.85235920852359204</v>
      </c>
      <c r="BJ98" s="41">
        <f t="shared" si="16"/>
        <v>0.98873668188736674</v>
      </c>
      <c r="BK98" s="2">
        <f>(AW98-AL98)*'奖励（新）'!$D$17</f>
        <v>542661.3305245724</v>
      </c>
      <c r="BL98" s="2">
        <f>(AX98-AM98)*'奖励（新）'!$D$17</f>
        <v>443342.07311843435</v>
      </c>
      <c r="BM98" s="2">
        <f>(AY98-AN98)*'奖励（新）'!$D$17</f>
        <v>307026.43482836662</v>
      </c>
      <c r="BN98" s="2">
        <f>(AZ98-AO98)*'奖励（新）'!$D$17</f>
        <v>107427.79237922332</v>
      </c>
      <c r="BO98" s="2">
        <f>(BA98-AP98)*'奖励（新）'!$D$17</f>
        <v>3530.3877629767885</v>
      </c>
    </row>
    <row r="99" spans="17:67" x14ac:dyDescent="0.2">
      <c r="Q99" s="2">
        <v>94</v>
      </c>
      <c r="R99" s="2">
        <f>$E$5*$F$5/7*MAX(节奏总纲!D97-$C$1,0)</f>
        <v>4389.9146451122988</v>
      </c>
      <c r="S99" s="2">
        <f>$E$5*$F$5/7*MAX(节奏总纲!E97-$C$1,0)</f>
        <v>3687.86122417658</v>
      </c>
      <c r="T99" s="2">
        <f>$E$5*$F$5/7*MAX(节奏总纲!F97-$C$1,0)</f>
        <v>2886.0651415156076</v>
      </c>
      <c r="U99" s="2">
        <f>$E$5*$F$5/7*MAX(节奏总纲!G97-$C$1,0)</f>
        <v>1947.905902969386</v>
      </c>
      <c r="V99" s="2">
        <f>$E$5*$F$5/7*MAX(节奏总纲!H97-$C$1,0)</f>
        <v>854.59141285054795</v>
      </c>
      <c r="W99" s="2">
        <f>$E$6*$F$6/7*MAX(节奏总纲!D97-$C$1,0)</f>
        <v>43899.146451122986</v>
      </c>
      <c r="X99" s="2">
        <f>$E$6*$F$6/7*MAX(节奏总纲!E97-$C$1,0)</f>
        <v>36878.612241765797</v>
      </c>
      <c r="Y99" s="2">
        <f>$E$6*$F$6/7*MAX(节奏总纲!F97-$C$1,0)</f>
        <v>28860.651415156077</v>
      </c>
      <c r="Z99" s="2">
        <f>$E$6*$F$6/7*MAX(节奏总纲!G97-$C$1,0)</f>
        <v>19479.059029693861</v>
      </c>
      <c r="AA99" s="2">
        <f>$E$6*$F$6/7*MAX(节奏总纲!H97-$C$1,0)</f>
        <v>8545.9141285054793</v>
      </c>
      <c r="AB99" s="2">
        <f>($E$9*$F$9*3600+$E$10*$F$10*1200)/7*MAX(节奏总纲!D97-$C$1,0)</f>
        <v>3687528.3018943309</v>
      </c>
      <c r="AC99" s="2">
        <f>($E$9*$F$9*3600+$E$10*$F$10*1200)/7*MAX(节奏总纲!E97-$C$1,0)</f>
        <v>3097803.4283083268</v>
      </c>
      <c r="AD99" s="2">
        <f>($E$9*$F$9*3600+$E$10*$F$10*1200)/7*MAX(节奏总纲!F97-$C$1,0)</f>
        <v>2424294.7188731101</v>
      </c>
      <c r="AE99" s="2">
        <f>($E$9*$F$9*3600+$E$10*$F$10*1200)/7*MAX(节奏总纲!G97-$C$1,0)</f>
        <v>1636240.9584942842</v>
      </c>
      <c r="AF99" s="2">
        <f>($E$9*$F$9*3600+$E$10*$F$10*1200)/7*MAX(节奏总纲!H97-$C$1,0)</f>
        <v>717856.78679446026</v>
      </c>
      <c r="AK99" s="2">
        <v>94</v>
      </c>
      <c r="AL99" s="2">
        <f>'奖励（新）'!CT101</f>
        <v>238426.48746494853</v>
      </c>
      <c r="AM99" s="2">
        <f>'奖励（新）'!CU101</f>
        <v>203012.2137126991</v>
      </c>
      <c r="AN99" s="2">
        <f>'奖励（新）'!CV101</f>
        <v>167375.96415233528</v>
      </c>
      <c r="AO99" s="2">
        <f>'奖励（新）'!CW101</f>
        <v>134485.55823240691</v>
      </c>
      <c r="AP99" s="2">
        <f>'奖励（新）'!CX101</f>
        <v>68442.23611081428</v>
      </c>
      <c r="AV99" s="2">
        <v>94</v>
      </c>
      <c r="AW99" s="2">
        <f>SUMPRODUCT($F$5:$F$12,$H$5:$H$12,J$5:J$12)/7*MAX(节奏总纲!D97-'奖励（新）'!$E$2,0)</f>
        <v>355583.08625409618</v>
      </c>
      <c r="AX99" s="2">
        <f>SUMPRODUCT($F$5:$F$12,$H$5:$H$12,K$5:K$12)/7*MAX(节奏总纲!E97-'奖励（新）'!$E$2,0)</f>
        <v>298716.75915830291</v>
      </c>
      <c r="AY99" s="2">
        <f>SUMPRODUCT($F$5:$F$12,$H$5:$H$12,L$5:L$12)/7*MAX(节奏总纲!F97-'奖励（新）'!$E$2,0)</f>
        <v>233771.27646276419</v>
      </c>
      <c r="AZ99" s="2">
        <f>SUMPRODUCT($F$5:$F$12,$H$5:$H$12,M$5:M$12)/7*MAX(节奏总纲!G97-'奖励（新）'!$E$2,0)</f>
        <v>157780.37814052025</v>
      </c>
      <c r="BA99" s="2">
        <f>SUMPRODUCT($F$5:$F$12,$H$5:$H$12,N$5:N$12)/7*MAX(节奏总纲!H97-'奖励（新）'!$E$2,0)</f>
        <v>69221.904440894374</v>
      </c>
      <c r="BE99" s="2">
        <v>94</v>
      </c>
      <c r="BF99" s="41">
        <f t="shared" si="12"/>
        <v>0.67052257737189247</v>
      </c>
      <c r="BG99" s="41">
        <f t="shared" si="13"/>
        <v>0.67961440892947744</v>
      </c>
      <c r="BH99" s="41">
        <f t="shared" si="14"/>
        <v>0.71598173515981733</v>
      </c>
      <c r="BI99" s="41">
        <f t="shared" si="15"/>
        <v>0.85235920852359215</v>
      </c>
      <c r="BJ99" s="41">
        <f t="shared" si="16"/>
        <v>0.98873668188736674</v>
      </c>
      <c r="BK99" s="2">
        <f>(AW99-AL99)*'奖励（新）'!$D$17</f>
        <v>585782.9939457383</v>
      </c>
      <c r="BL99" s="2">
        <f>(AX99-AM99)*'奖励（新）'!$D$17</f>
        <v>478522.72722801904</v>
      </c>
      <c r="BM99" s="2">
        <f>(AY99-AN99)*'奖励（新）'!$D$17</f>
        <v>331976.56155214459</v>
      </c>
      <c r="BN99" s="2">
        <f>(AZ99-AO99)*'奖励（新）'!$D$17</f>
        <v>116474.09954056668</v>
      </c>
      <c r="BO99" s="2">
        <f>(BA99-AP99)*'奖励（新）'!$D$17</f>
        <v>3898.3416504004708</v>
      </c>
    </row>
    <row r="100" spans="17:67" x14ac:dyDescent="0.2">
      <c r="Q100" s="2">
        <v>95</v>
      </c>
      <c r="R100" s="2">
        <f>$E$5*$F$5/7*MAX(节奏总纲!D98-$C$1,0)</f>
        <v>4736.2667423930334</v>
      </c>
      <c r="S100" s="2">
        <f>$E$5*$F$5/7*MAX(节奏总纲!E98-$C$1,0)</f>
        <v>3986.84872378609</v>
      </c>
      <c r="T100" s="2">
        <f>$E$5*$F$5/7*MAX(节奏总纲!F98-$C$1,0)</f>
        <v>3113.9910728930959</v>
      </c>
      <c r="U100" s="2">
        <f>$E$5*$F$5/7*MAX(节奏总纲!G98-$C$1,0)</f>
        <v>2109.946532457604</v>
      </c>
      <c r="V100" s="2">
        <f>$E$5*$F$5/7*MAX(节奏总纲!H98-$C$1,0)</f>
        <v>948.89091162479338</v>
      </c>
      <c r="W100" s="2">
        <f>$E$6*$F$6/7*MAX(节奏总纲!D98-$C$1,0)</f>
        <v>47362.667423930332</v>
      </c>
      <c r="X100" s="2">
        <f>$E$6*$F$6/7*MAX(节奏总纲!E98-$C$1,0)</f>
        <v>39868.4872378609</v>
      </c>
      <c r="Y100" s="2">
        <f>$E$6*$F$6/7*MAX(节奏总纲!F98-$C$1,0)</f>
        <v>31139.910728930954</v>
      </c>
      <c r="Z100" s="2">
        <f>$E$6*$F$6/7*MAX(节奏总纲!G98-$C$1,0)</f>
        <v>21099.465324576042</v>
      </c>
      <c r="AA100" s="2">
        <f>$E$6*$F$6/7*MAX(节奏总纲!H98-$C$1,0)</f>
        <v>9488.9091162479326</v>
      </c>
      <c r="AB100" s="2">
        <f>($E$9*$F$9*3600+$E$10*$F$10*1200)/7*MAX(节奏总纲!D98-$C$1,0)</f>
        <v>3978464.0636101477</v>
      </c>
      <c r="AC100" s="2">
        <f>($E$9*$F$9*3600+$E$10*$F$10*1200)/7*MAX(节奏总纲!E98-$C$1,0)</f>
        <v>3348952.9279803154</v>
      </c>
      <c r="AD100" s="2">
        <f>($E$9*$F$9*3600+$E$10*$F$10*1200)/7*MAX(节奏总纲!F98-$C$1,0)</f>
        <v>2615752.5012302003</v>
      </c>
      <c r="AE100" s="2">
        <f>($E$9*$F$9*3600+$E$10*$F$10*1200)/7*MAX(节奏总纲!G98-$C$1,0)</f>
        <v>1772355.0872643874</v>
      </c>
      <c r="AF100" s="2">
        <f>($E$9*$F$9*3600+$E$10*$F$10*1200)/7*MAX(节奏总纲!H98-$C$1,0)</f>
        <v>797068.3657648263</v>
      </c>
      <c r="AK100" s="2">
        <v>95</v>
      </c>
      <c r="AL100" s="2">
        <f>'奖励（新）'!CT102</f>
        <v>257237.6764416424</v>
      </c>
      <c r="AM100" s="2">
        <f>'奖励（新）'!CU102</f>
        <v>219471.10695147709</v>
      </c>
      <c r="AN100" s="2">
        <f>'奖励（新）'!CV102</f>
        <v>180594.41926301655</v>
      </c>
      <c r="AO100" s="2">
        <f>'奖励（新）'!CW102</f>
        <v>145673.02087104553</v>
      </c>
      <c r="AP100" s="2">
        <f>'奖励（新）'!CX102</f>
        <v>75994.463366071112</v>
      </c>
      <c r="AV100" s="2">
        <v>95</v>
      </c>
      <c r="AW100" s="2">
        <f>SUMPRODUCT($F$5:$F$12,$H$5:$H$12,J$5:J$12)/7*MAX(节奏总纲!D98-'奖励（新）'!$E$2,0)</f>
        <v>383637.60613383562</v>
      </c>
      <c r="AX100" s="2">
        <f>SUMPRODUCT($F$5:$F$12,$H$5:$H$12,K$5:K$12)/7*MAX(节奏总纲!E98-'奖励（新）'!$E$2,0)</f>
        <v>322934.74662667327</v>
      </c>
      <c r="AY100" s="2">
        <f>SUMPRODUCT($F$5:$F$12,$H$5:$H$12,L$5:L$12)/7*MAX(节奏总纲!F98-'奖励（新）'!$E$2,0)</f>
        <v>252233.27690434072</v>
      </c>
      <c r="AZ100" s="2">
        <f>SUMPRODUCT($F$5:$F$12,$H$5:$H$12,M$5:M$12)/7*MAX(节奏总纲!G98-'奖励（新）'!$E$2,0)</f>
        <v>170905.66912906594</v>
      </c>
      <c r="BA100" s="2">
        <f>SUMPRODUCT($F$5:$F$12,$H$5:$H$12,N$5:N$12)/7*MAX(节奏总纲!H98-'奖励（新）'!$E$2,0)</f>
        <v>76860.163841608257</v>
      </c>
      <c r="BE100" s="2">
        <v>95</v>
      </c>
      <c r="BF100" s="41">
        <f t="shared" si="12"/>
        <v>0.67052257737189247</v>
      </c>
      <c r="BG100" s="41">
        <f t="shared" si="13"/>
        <v>0.67961440892947744</v>
      </c>
      <c r="BH100" s="41">
        <f t="shared" si="14"/>
        <v>0.71598173515981733</v>
      </c>
      <c r="BI100" s="41">
        <f t="shared" si="15"/>
        <v>0.85235920852359204</v>
      </c>
      <c r="BJ100" s="41">
        <f t="shared" si="16"/>
        <v>0.98873668188736674</v>
      </c>
      <c r="BK100" s="2">
        <f>(AW100-AL100)*'奖励（新）'!$D$17</f>
        <v>631999.64846096607</v>
      </c>
      <c r="BL100" s="2">
        <f>(AX100-AM100)*'奖励（新）'!$D$17</f>
        <v>517318.19837598084</v>
      </c>
      <c r="BM100" s="2">
        <f>(AY100-AN100)*'奖励（新）'!$D$17</f>
        <v>358194.28820662084</v>
      </c>
      <c r="BN100" s="2">
        <f>(AZ100-AO100)*'奖励（新）'!$D$17</f>
        <v>126163.24129010201</v>
      </c>
      <c r="BO100" s="2">
        <f>(BA100-AP100)*'奖励（新）'!$D$17</f>
        <v>4328.502377685727</v>
      </c>
    </row>
    <row r="101" spans="17:67" x14ac:dyDescent="0.2">
      <c r="Q101" s="2">
        <v>96</v>
      </c>
      <c r="R101" s="2">
        <f>$E$5*$F$5/7*MAX(节奏总纲!D99-$C$1,0)</f>
        <v>5107.4777289523126</v>
      </c>
      <c r="S101" s="2">
        <f>$E$5*$F$5/7*MAX(节奏总纲!E99-$C$1,0)</f>
        <v>4293.1248978805706</v>
      </c>
      <c r="T101" s="2">
        <f>$E$5*$F$5/7*MAX(节奏总纲!F99-$C$1,0)</f>
        <v>3356.9789853433058</v>
      </c>
      <c r="U101" s="2">
        <f>$E$5*$F$5/7*MAX(节奏总纲!G99-$C$1,0)</f>
        <v>2290.7359176042332</v>
      </c>
      <c r="V101" s="2">
        <f>$E$5*$F$5/7*MAX(节奏总纲!H99-$C$1,0)</f>
        <v>1049.000091571658</v>
      </c>
      <c r="W101" s="2">
        <f>$E$6*$F$6/7*MAX(节奏总纲!D99-$C$1,0)</f>
        <v>51074.777289523125</v>
      </c>
      <c r="X101" s="2">
        <f>$E$6*$F$6/7*MAX(节奏总纲!E99-$C$1,0)</f>
        <v>42931.248978805699</v>
      </c>
      <c r="Y101" s="2">
        <f>$E$6*$F$6/7*MAX(节奏总纲!F99-$C$1,0)</f>
        <v>33569.78985343306</v>
      </c>
      <c r="Z101" s="2">
        <f>$E$6*$F$6/7*MAX(节奏总纲!G99-$C$1,0)</f>
        <v>22907.359176042333</v>
      </c>
      <c r="AA101" s="2">
        <f>$E$6*$F$6/7*MAX(节奏总纲!H99-$C$1,0)</f>
        <v>10490.00091571658</v>
      </c>
      <c r="AB101" s="2">
        <f>($E$9*$F$9*3600+$E$10*$F$10*1200)/7*MAX(节奏总纲!D99-$C$1,0)</f>
        <v>4290281.2923199423</v>
      </c>
      <c r="AC101" s="2">
        <f>($E$9*$F$9*3600+$E$10*$F$10*1200)/7*MAX(节奏总纲!E99-$C$1,0)</f>
        <v>3606224.9142196788</v>
      </c>
      <c r="AD101" s="2">
        <f>($E$9*$F$9*3600+$E$10*$F$10*1200)/7*MAX(节奏总纲!F99-$C$1,0)</f>
        <v>2819862.3476883769</v>
      </c>
      <c r="AE101" s="2">
        <f>($E$9*$F$9*3600+$E$10*$F$10*1200)/7*MAX(节奏总纲!G99-$C$1,0)</f>
        <v>1924218.1707875559</v>
      </c>
      <c r="AF101" s="2">
        <f>($E$9*$F$9*3600+$E$10*$F$10*1200)/7*MAX(节奏总纲!H99-$C$1,0)</f>
        <v>881160.07692019281</v>
      </c>
      <c r="AK101" s="2">
        <v>96</v>
      </c>
      <c r="AL101" s="2">
        <f>'奖励（新）'!CT103</f>
        <v>277399.00958561816</v>
      </c>
      <c r="AM101" s="2">
        <f>'奖励（新）'!CU103</f>
        <v>236331.23273461565</v>
      </c>
      <c r="AN101" s="2">
        <f>'奖励（新）'!CV103</f>
        <v>194686.38674451257</v>
      </c>
      <c r="AO101" s="2">
        <f>'奖励（新）'!CW103</f>
        <v>158154.91814692237</v>
      </c>
      <c r="AP101" s="2">
        <f>'奖励（新）'!CX103</f>
        <v>84011.974457048505</v>
      </c>
      <c r="AV101" s="2">
        <v>96</v>
      </c>
      <c r="AW101" s="2">
        <f>SUMPRODUCT($F$5:$F$12,$H$5:$H$12,J$5:J$12)/7*MAX(节奏总纲!D99-'奖励（新）'!$E$2,0)</f>
        <v>413705.6960451373</v>
      </c>
      <c r="AX101" s="2">
        <f>SUMPRODUCT($F$5:$F$12,$H$5:$H$12,K$5:K$12)/7*MAX(节奏总纲!E99-'奖励（新）'!$E$2,0)</f>
        <v>347743.11672832613</v>
      </c>
      <c r="AY101" s="2">
        <f>SUMPRODUCT($F$5:$F$12,$H$5:$H$12,L$5:L$12)/7*MAX(节奏总纲!F99-'奖励（新）'!$E$2,0)</f>
        <v>271915.29781280772</v>
      </c>
      <c r="AZ101" s="2">
        <f>SUMPRODUCT($F$5:$F$12,$H$5:$H$12,M$5:M$12)/7*MAX(节奏总纲!G99-'奖励（新）'!$E$2,0)</f>
        <v>185549.60932594287</v>
      </c>
      <c r="BA101" s="2">
        <f>SUMPRODUCT($F$5:$F$12,$H$5:$H$12,N$5:N$12)/7*MAX(节奏总纲!H99-'奖励（新）'!$E$2,0)</f>
        <v>84969.007417304296</v>
      </c>
      <c r="BE101" s="2">
        <v>96</v>
      </c>
      <c r="BF101" s="41">
        <f t="shared" si="12"/>
        <v>0.67052257737189236</v>
      </c>
      <c r="BG101" s="41">
        <f t="shared" si="13"/>
        <v>0.67961440892947744</v>
      </c>
      <c r="BH101" s="41">
        <f t="shared" si="14"/>
        <v>0.71598173515981733</v>
      </c>
      <c r="BI101" s="41">
        <f t="shared" si="15"/>
        <v>0.85235920852359193</v>
      </c>
      <c r="BJ101" s="41">
        <f t="shared" si="16"/>
        <v>0.98873668188736674</v>
      </c>
      <c r="BK101" s="2">
        <f>(AW101-AL101)*'奖励（新）'!$D$17</f>
        <v>681533.43229759578</v>
      </c>
      <c r="BL101" s="2">
        <f>(AX101-AM101)*'奖励（新）'!$D$17</f>
        <v>557059.41996855242</v>
      </c>
      <c r="BM101" s="2">
        <f>(AY101-AN101)*'奖励（新）'!$D$17</f>
        <v>386144.55534147576</v>
      </c>
      <c r="BN101" s="2">
        <f>(AZ101-AO101)*'奖励（新）'!$D$17</f>
        <v>136973.45589510252</v>
      </c>
      <c r="BO101" s="2">
        <f>(BA101-AP101)*'奖励（新）'!$D$17</f>
        <v>4785.1648012789519</v>
      </c>
    </row>
    <row r="102" spans="17:67" x14ac:dyDescent="0.2">
      <c r="Q102" s="2">
        <v>97</v>
      </c>
      <c r="R102" s="2">
        <f>$E$5*$F$5/7*MAX(节奏总纲!D100-$C$1,0)</f>
        <v>5505.3318133484609</v>
      </c>
      <c r="S102" s="2">
        <f>$E$5*$F$5/7*MAX(节奏总纲!E100-$C$1,0)</f>
        <v>4626.520743220125</v>
      </c>
      <c r="T102" s="2">
        <f>$E$5*$F$5/7*MAX(节奏总纲!F100-$C$1,0)</f>
        <v>3637.9324631162717</v>
      </c>
      <c r="U102" s="2">
        <f>$E$5*$F$5/7*MAX(节奏总纲!G100-$C$1,0)</f>
        <v>2498.6230406676527</v>
      </c>
      <c r="V102" s="2">
        <f>$E$5*$F$5/7*MAX(节奏总纲!H100-$C$1,0)</f>
        <v>1166.4617628566375</v>
      </c>
      <c r="W102" s="2">
        <f>$E$6*$F$6/7*MAX(节奏总纲!D100-$C$1,0)</f>
        <v>55053.318133484601</v>
      </c>
      <c r="X102" s="2">
        <f>$E$6*$F$6/7*MAX(节奏总纲!E100-$C$1,0)</f>
        <v>46265.207432201249</v>
      </c>
      <c r="Y102" s="2">
        <f>$E$6*$F$6/7*MAX(节奏总纲!F100-$C$1,0)</f>
        <v>36379.324631162715</v>
      </c>
      <c r="Z102" s="2">
        <f>$E$6*$F$6/7*MAX(节奏总纲!G100-$C$1,0)</f>
        <v>24986.230406676528</v>
      </c>
      <c r="AA102" s="2">
        <f>$E$6*$F$6/7*MAX(节奏总纲!H100-$C$1,0)</f>
        <v>11664.617628566373</v>
      </c>
      <c r="AB102" s="2">
        <f>($E$9*$F$9*3600+$E$10*$F$10*1200)/7*MAX(节奏总纲!D100-$C$1,0)</f>
        <v>4624478.7232127069</v>
      </c>
      <c r="AC102" s="2">
        <f>($E$9*$F$9*3600+$E$10*$F$10*1200)/7*MAX(节奏总纲!E100-$C$1,0)</f>
        <v>3886277.4243049044</v>
      </c>
      <c r="AD102" s="2">
        <f>($E$9*$F$9*3600+$E$10*$F$10*1200)/7*MAX(节奏总纲!F100-$C$1,0)</f>
        <v>3055863.2690176684</v>
      </c>
      <c r="AE102" s="2">
        <f>($E$9*$F$9*3600+$E$10*$F$10*1200)/7*MAX(节奏总纲!G100-$C$1,0)</f>
        <v>2098843.3541608281</v>
      </c>
      <c r="AF102" s="2">
        <f>($E$9*$F$9*3600+$E$10*$F$10*1200)/7*MAX(节奏总纲!H100-$C$1,0)</f>
        <v>979827.88079957536</v>
      </c>
      <c r="AK102" s="2">
        <v>97</v>
      </c>
      <c r="AL102" s="2">
        <f>'奖励（新）'!CT104</f>
        <v>299007.39141868462</v>
      </c>
      <c r="AM102" s="2">
        <f>'奖励（新）'!CU104</f>
        <v>254684.26298458443</v>
      </c>
      <c r="AN102" s="2">
        <f>'奖励（新）'!CV104</f>
        <v>210980.14898423353</v>
      </c>
      <c r="AO102" s="2">
        <f>'奖励（新）'!CW104</f>
        <v>172507.67294472558</v>
      </c>
      <c r="AP102" s="2">
        <f>'奖励（新）'!CX104</f>
        <v>93419.206169384153</v>
      </c>
      <c r="AV102" s="2">
        <v>97</v>
      </c>
      <c r="AW102" s="2">
        <f>SUMPRODUCT($F$5:$F$12,$H$5:$H$12,J$5:J$12)/7*MAX(节奏总纲!D100-'奖励（新）'!$E$2,0)</f>
        <v>445931.87688122527</v>
      </c>
      <c r="AX102" s="2">
        <f>SUMPRODUCT($F$5:$F$12,$H$5:$H$12,K$5:K$12)/7*MAX(节奏总纲!E100-'奖励（新）'!$E$2,0)</f>
        <v>374748.1802008301</v>
      </c>
      <c r="AY102" s="2">
        <f>SUMPRODUCT($F$5:$F$12,$H$5:$H$12,L$5:L$12)/7*MAX(节奏总纲!F100-'奖励（新）'!$E$2,0)</f>
        <v>294672.52951241803</v>
      </c>
      <c r="AZ102" s="2">
        <f>SUMPRODUCT($F$5:$F$12,$H$5:$H$12,M$5:M$12)/7*MAX(节奏总纲!G100-'奖励（新）'!$E$2,0)</f>
        <v>202388.46629407984</v>
      </c>
      <c r="BA102" s="2">
        <f>SUMPRODUCT($F$5:$F$12,$H$5:$H$12,N$5:N$12)/7*MAX(节奏总纲!H100-'奖励（新）'!$E$2,0)</f>
        <v>94483.40279138762</v>
      </c>
      <c r="BE102" s="2">
        <v>97</v>
      </c>
      <c r="BF102" s="41">
        <f t="shared" si="12"/>
        <v>0.67052257737189258</v>
      </c>
      <c r="BG102" s="41">
        <f t="shared" si="13"/>
        <v>0.67961440892947744</v>
      </c>
      <c r="BH102" s="41">
        <f t="shared" si="14"/>
        <v>0.71598173515981733</v>
      </c>
      <c r="BI102" s="41">
        <f t="shared" si="15"/>
        <v>0.85235920852359204</v>
      </c>
      <c r="BJ102" s="41">
        <f t="shared" si="16"/>
        <v>0.98873668188736663</v>
      </c>
      <c r="BK102" s="2">
        <f>(AW102-AL102)*'奖励（新）'!$D$17</f>
        <v>734622.42731270322</v>
      </c>
      <c r="BL102" s="2">
        <f>(AX102-AM102)*'奖励（新）'!$D$17</f>
        <v>600319.58608122834</v>
      </c>
      <c r="BM102" s="2">
        <f>(AY102-AN102)*'奖励（新）'!$D$17</f>
        <v>418461.90264092246</v>
      </c>
      <c r="BN102" s="2">
        <f>(AZ102-AO102)*'奖励（新）'!$D$17</f>
        <v>149403.96674677133</v>
      </c>
      <c r="BO102" s="2">
        <f>(BA102-AP102)*'奖励（新）'!$D$17</f>
        <v>5320.9831100173324</v>
      </c>
    </row>
    <row r="103" spans="17:67" x14ac:dyDescent="0.2">
      <c r="Q103" s="2">
        <v>98</v>
      </c>
      <c r="R103" s="2">
        <f>$E$5*$F$5/7*MAX(节奏总纲!D101-$C$1,0)</f>
        <v>5931.7412629659366</v>
      </c>
      <c r="S103" s="2">
        <f>$E$5*$F$5/7*MAX(节奏总纲!E101-$C$1,0)</f>
        <v>5002.4995787323278</v>
      </c>
      <c r="T103" s="2">
        <f>$E$5*$F$5/7*MAX(节奏总纲!F101-$C$1,0)</f>
        <v>3949.8678282828942</v>
      </c>
      <c r="U103" s="2">
        <f>$E$5*$F$5/7*MAX(节奏总纲!G101-$C$1,0)</f>
        <v>2728.0517602385657</v>
      </c>
      <c r="V103" s="2">
        <f>$E$5*$F$5/7*MAX(节奏总纲!H101-$C$1,0)</f>
        <v>1291.2571232202747</v>
      </c>
      <c r="W103" s="2">
        <f>$E$6*$F$6/7*MAX(节奏总纲!D101-$C$1,0)</f>
        <v>59317.412629659368</v>
      </c>
      <c r="X103" s="2">
        <f>$E$6*$F$6/7*MAX(节奏总纲!E101-$C$1,0)</f>
        <v>50024.995787323278</v>
      </c>
      <c r="Y103" s="2">
        <f>$E$6*$F$6/7*MAX(节奏总纲!F101-$C$1,0)</f>
        <v>39498.678282828936</v>
      </c>
      <c r="Z103" s="2">
        <f>$E$6*$F$6/7*MAX(节奏总纲!G101-$C$1,0)</f>
        <v>27280.517602385658</v>
      </c>
      <c r="AA103" s="2">
        <f>$E$6*$F$6/7*MAX(节奏总纲!H101-$C$1,0)</f>
        <v>12912.571232202747</v>
      </c>
      <c r="AB103" s="2">
        <f>($E$9*$F$9*3600+$E$10*$F$10*1200)/7*MAX(节奏总纲!D101-$C$1,0)</f>
        <v>4982662.6608913867</v>
      </c>
      <c r="AC103" s="2">
        <f>($E$9*$F$9*3600+$E$10*$F$10*1200)/7*MAX(节奏总纲!E101-$C$1,0)</f>
        <v>4202099.6461351551</v>
      </c>
      <c r="AD103" s="2">
        <f>($E$9*$F$9*3600+$E$10*$F$10*1200)/7*MAX(节奏总纲!F101-$C$1,0)</f>
        <v>3317888.9757576305</v>
      </c>
      <c r="AE103" s="2">
        <f>($E$9*$F$9*3600+$E$10*$F$10*1200)/7*MAX(节奏总纲!G101-$C$1,0)</f>
        <v>2291563.4786003954</v>
      </c>
      <c r="AF103" s="2">
        <f>($E$9*$F$9*3600+$E$10*$F$10*1200)/7*MAX(节奏总纲!H101-$C$1,0)</f>
        <v>1084655.9835050309</v>
      </c>
      <c r="AK103" s="2">
        <v>98</v>
      </c>
      <c r="AL103" s="2">
        <f>'奖励（新）'!CT105</f>
        <v>322166.68163571699</v>
      </c>
      <c r="AM103" s="2">
        <f>'奖励（新）'!CU105</f>
        <v>275381.43434398057</v>
      </c>
      <c r="AN103" s="2">
        <f>'奖励（新）'!CV105</f>
        <v>229070.69092901997</v>
      </c>
      <c r="AO103" s="2">
        <f>'奖励（新）'!CW105</f>
        <v>188347.68317263521</v>
      </c>
      <c r="AP103" s="2">
        <f>'奖励（新）'!CX105</f>
        <v>103413.77596157553</v>
      </c>
      <c r="AV103" s="2">
        <v>98</v>
      </c>
      <c r="AW103" s="2">
        <f>SUMPRODUCT($F$5:$F$12,$H$5:$H$12,J$5:J$12)/7*MAX(节奏总纲!D101-'奖励（新）'!$E$2,0)</f>
        <v>480471.04230024084</v>
      </c>
      <c r="AX103" s="2">
        <f>SUMPRODUCT($F$5:$F$12,$H$5:$H$12,K$5:K$12)/7*MAX(节奏总纲!E101-'奖励（新）'!$E$2,0)</f>
        <v>405202.46587731852</v>
      </c>
      <c r="AY103" s="2">
        <f>SUMPRODUCT($F$5:$F$12,$H$5:$H$12,L$5:L$12)/7*MAX(节奏总纲!F101-'奖励（新）'!$E$2,0)</f>
        <v>319939.29409091437</v>
      </c>
      <c r="AZ103" s="2">
        <f>SUMPRODUCT($F$5:$F$12,$H$5:$H$12,M$5:M$12)/7*MAX(节奏总纲!G101-'奖励（新）'!$E$2,0)</f>
        <v>220972.19257932383</v>
      </c>
      <c r="BA103" s="2">
        <f>SUMPRODUCT($F$5:$F$12,$H$5:$H$12,N$5:N$12)/7*MAX(节奏总纲!H101-'奖励（新）'!$E$2,0)</f>
        <v>104591.82698084225</v>
      </c>
      <c r="BE103" s="2">
        <v>98</v>
      </c>
      <c r="BF103" s="41">
        <f t="shared" si="12"/>
        <v>0.67052257737189236</v>
      </c>
      <c r="BG103" s="41">
        <f t="shared" si="13"/>
        <v>0.67961440892947744</v>
      </c>
      <c r="BH103" s="41">
        <f t="shared" si="14"/>
        <v>0.71598173515981733</v>
      </c>
      <c r="BI103" s="41">
        <f t="shared" si="15"/>
        <v>0.85235920852359204</v>
      </c>
      <c r="BJ103" s="41">
        <f t="shared" si="16"/>
        <v>0.98873668188736685</v>
      </c>
      <c r="BK103" s="2">
        <f>(AW103-AL103)*'奖励（新）'!$D$17</f>
        <v>791521.80332261929</v>
      </c>
      <c r="BL103" s="2">
        <f>(AX103-AM103)*'奖励（新）'!$D$17</f>
        <v>649105.15766668972</v>
      </c>
      <c r="BM103" s="2">
        <f>(AY103-AN103)*'奖励（新）'!$D$17</f>
        <v>454343.01580947195</v>
      </c>
      <c r="BN103" s="2">
        <f>(AZ103-AO103)*'奖励（新）'!$D$17</f>
        <v>163122.54703344312</v>
      </c>
      <c r="BO103" s="2">
        <f>(BA103-AP103)*'奖励（新）'!$D$17</f>
        <v>5890.2550963335671</v>
      </c>
    </row>
    <row r="104" spans="17:67" x14ac:dyDescent="0.2">
      <c r="Q104" s="2">
        <v>99</v>
      </c>
      <c r="R104" s="2">
        <f>$E$5*$F$5/7*MAX(节奏总纲!D102-$C$1,0)</f>
        <v>6388.7555952406492</v>
      </c>
      <c r="S104" s="2">
        <f>$E$5*$F$5/7*MAX(节奏总纲!E102-$C$1,0)</f>
        <v>5403.6518402998036</v>
      </c>
      <c r="T104" s="2">
        <f>$E$5*$F$5/7*MAX(节奏总纲!F102-$C$1,0)</f>
        <v>4276.0659505612866</v>
      </c>
      <c r="U104" s="2">
        <f>$E$5*$F$5/7*MAX(节奏总纲!G102-$C$1,0)</f>
        <v>2967.139161989367</v>
      </c>
      <c r="V104" s="2">
        <f>$E$5*$F$5/7*MAX(节奏总纲!H102-$C$1,0)</f>
        <v>1411.4251351554508</v>
      </c>
      <c r="W104" s="2">
        <f>$E$6*$F$6/7*MAX(节奏总纲!D102-$C$1,0)</f>
        <v>63887.555952406488</v>
      </c>
      <c r="X104" s="2">
        <f>$E$6*$F$6/7*MAX(节奏总纲!E102-$C$1,0)</f>
        <v>54036.518402998037</v>
      </c>
      <c r="Y104" s="2">
        <f>$E$6*$F$6/7*MAX(节奏总纲!F102-$C$1,0)</f>
        <v>42760.659505612864</v>
      </c>
      <c r="Z104" s="2">
        <f>$E$6*$F$6/7*MAX(节奏总纲!G102-$C$1,0)</f>
        <v>29671.391619893671</v>
      </c>
      <c r="AA104" s="2">
        <f>$E$6*$F$6/7*MAX(节奏总纲!H102-$C$1,0)</f>
        <v>14114.251351554507</v>
      </c>
      <c r="AB104" s="2">
        <f>($E$9*$F$9*3600+$E$10*$F$10*1200)/7*MAX(节奏总纲!D102-$C$1,0)</f>
        <v>5366554.700002145</v>
      </c>
      <c r="AC104" s="2">
        <f>($E$9*$F$9*3600+$E$10*$F$10*1200)/7*MAX(节奏总纲!E102-$C$1,0)</f>
        <v>4539067.545851835</v>
      </c>
      <c r="AD104" s="2">
        <f>($E$9*$F$9*3600+$E$10*$F$10*1200)/7*MAX(节奏总纲!F102-$C$1,0)</f>
        <v>3591895.3984714807</v>
      </c>
      <c r="AE104" s="2">
        <f>($E$9*$F$9*3600+$E$10*$F$10*1200)/7*MAX(节奏总纲!G102-$C$1,0)</f>
        <v>2492396.8960710685</v>
      </c>
      <c r="AF104" s="2">
        <f>($E$9*$F$9*3600+$E$10*$F$10*1200)/7*MAX(节奏总纲!H102-$C$1,0)</f>
        <v>1185597.1135305786</v>
      </c>
      <c r="AK104" s="2">
        <v>99</v>
      </c>
      <c r="AL104" s="2">
        <f>'奖励（新）'!CT106</f>
        <v>346988.19430150848</v>
      </c>
      <c r="AM104" s="2">
        <f>'奖励（新）'!CU106</f>
        <v>297464.37177198875</v>
      </c>
      <c r="AN104" s="2">
        <f>'奖励（新）'!CV106</f>
        <v>247988.39463419534</v>
      </c>
      <c r="AO104" s="2">
        <f>'奖励（新）'!CW106</f>
        <v>204854.53940310149</v>
      </c>
      <c r="AP104" s="2">
        <f>'奖励（新）'!CX106</f>
        <v>113037.7521941483</v>
      </c>
      <c r="AV104" s="2">
        <v>99</v>
      </c>
      <c r="AW104" s="2">
        <f>SUMPRODUCT($F$5:$F$12,$H$5:$H$12,J$5:J$12)/7*MAX(节奏总纲!D102-'奖励（新）'!$E$2,0)</f>
        <v>517489.20321449253</v>
      </c>
      <c r="AX104" s="2">
        <f>SUMPRODUCT($F$5:$F$12,$H$5:$H$12,K$5:K$12)/7*MAX(节奏总纲!E102-'奖励（新）'!$E$2,0)</f>
        <v>437695.79906428407</v>
      </c>
      <c r="AY104" s="2">
        <f>SUMPRODUCT($F$5:$F$12,$H$5:$H$12,L$5:L$12)/7*MAX(节奏总纲!F102-'奖励（新）'!$E$2,0)</f>
        <v>346361.34199546417</v>
      </c>
      <c r="AZ104" s="2">
        <f>SUMPRODUCT($F$5:$F$12,$H$5:$H$12,M$5:M$12)/7*MAX(节奏总纲!G102-'奖励（新）'!$E$2,0)</f>
        <v>240338.27212113873</v>
      </c>
      <c r="BA104" s="2">
        <f>SUMPRODUCT($F$5:$F$12,$H$5:$H$12,N$5:N$12)/7*MAX(节奏总纲!H102-'奖励（新）'!$E$2,0)</f>
        <v>114325.4359475915</v>
      </c>
      <c r="BE104" s="2">
        <v>99</v>
      </c>
      <c r="BF104" s="41">
        <f t="shared" si="12"/>
        <v>0.67052257737189236</v>
      </c>
      <c r="BG104" s="41">
        <f t="shared" si="13"/>
        <v>0.67961440892947744</v>
      </c>
      <c r="BH104" s="41">
        <f t="shared" si="14"/>
        <v>0.71598173515981733</v>
      </c>
      <c r="BI104" s="41">
        <f t="shared" si="15"/>
        <v>0.85235920852359204</v>
      </c>
      <c r="BJ104" s="41">
        <f t="shared" si="16"/>
        <v>0.98873668188736674</v>
      </c>
      <c r="BK104" s="2">
        <f>(AW104-AL104)*'奖励（新）'!$D$17</f>
        <v>852505.04456492024</v>
      </c>
      <c r="BL104" s="2">
        <f>(AX104-AM104)*'奖励（新）'!$D$17</f>
        <v>701157.13646147656</v>
      </c>
      <c r="BM104" s="2">
        <f>(AY104-AN104)*'奖励（新）'!$D$17</f>
        <v>491864.73680634412</v>
      </c>
      <c r="BN104" s="2">
        <f>(AZ104-AO104)*'奖励（新）'!$D$17</f>
        <v>177418.66359018619</v>
      </c>
      <c r="BO104" s="2">
        <f>(BA104-AP104)*'奖励（新）'!$D$17</f>
        <v>6438.4187672159896</v>
      </c>
    </row>
    <row r="105" spans="17:67" x14ac:dyDescent="0.2">
      <c r="Q105" s="2">
        <v>100</v>
      </c>
      <c r="R105" s="2">
        <f>$E$5*$F$5/7*MAX(节奏总纲!D103-$C$1,0)</f>
        <v>6878.5714285714294</v>
      </c>
      <c r="S105" s="2">
        <f>$E$5*$F$5/7*MAX(节奏总纲!E103-$C$1,0)</f>
        <v>5824.1507142857154</v>
      </c>
      <c r="T105" s="2">
        <f>$E$5*$F$5/7*MAX(节奏总纲!F103-$C$1,0)</f>
        <v>4619.2028571428573</v>
      </c>
      <c r="U105" s="2">
        <f>$E$5*$F$5/7*MAX(节奏总纲!G103-$C$1,0)</f>
        <v>3201.6171428571433</v>
      </c>
      <c r="V105" s="2">
        <f>$E$5*$F$5/7*MAX(节奏总纲!H103-$C$1,0)</f>
        <v>1534.1271428571431</v>
      </c>
      <c r="W105" s="2">
        <f>$E$6*$F$6/7*MAX(节奏总纲!D103-$C$1,0)</f>
        <v>68785.71428571429</v>
      </c>
      <c r="X105" s="2">
        <f>$E$6*$F$6/7*MAX(节奏总纲!E103-$C$1,0)</f>
        <v>58241.507142857146</v>
      </c>
      <c r="Y105" s="2">
        <f>$E$6*$F$6/7*MAX(节奏总纲!F103-$C$1,0)</f>
        <v>46192.028571428571</v>
      </c>
      <c r="Z105" s="2">
        <f>$E$6*$F$6/7*MAX(节奏总纲!G103-$C$1,0)</f>
        <v>32016.17142857143</v>
      </c>
      <c r="AA105" s="2">
        <f>$E$6*$F$6/7*MAX(节奏总纲!H103-$C$1,0)</f>
        <v>15341.27142857143</v>
      </c>
      <c r="AB105" s="2">
        <f>($E$9*$F$9*3600+$E$10*$F$10*1200)/7*MAX(节奏总纲!D103-$C$1,0)</f>
        <v>5778000</v>
      </c>
      <c r="AC105" s="2">
        <f>($E$9*$F$9*3600+$E$10*$F$10*1200)/7*MAX(节奏总纲!E103-$C$1,0)</f>
        <v>4892286.6000000006</v>
      </c>
      <c r="AD105" s="2">
        <f>($E$9*$F$9*3600+$E$10*$F$10*1200)/7*MAX(节奏总纲!F103-$C$1,0)</f>
        <v>3880130.4</v>
      </c>
      <c r="AE105" s="2">
        <f>($E$9*$F$9*3600+$E$10*$F$10*1200)/7*MAX(节奏总纲!G103-$C$1,0)</f>
        <v>2689358.4</v>
      </c>
      <c r="AF105" s="2">
        <f>($E$9*$F$9*3600+$E$10*$F$10*1200)/7*MAX(节奏总纲!H103-$C$1,0)</f>
        <v>1288666.8</v>
      </c>
      <c r="AK105" s="2">
        <v>100</v>
      </c>
      <c r="AL105" s="2">
        <f>'奖励（新）'!CT107</f>
        <v>373591.23287671228</v>
      </c>
      <c r="AM105" s="2">
        <f>'奖励（新）'!CU107</f>
        <v>320612.31636164384</v>
      </c>
      <c r="AN105" s="2">
        <f>'奖励（新）'!CV107</f>
        <v>267888.45501369861</v>
      </c>
      <c r="AO105" s="2">
        <f>'奖励（新）'!CW107</f>
        <v>221043.15616438354</v>
      </c>
      <c r="AP105" s="2">
        <f>'奖励（新）'!CX107</f>
        <v>122864.67024657533</v>
      </c>
      <c r="AV105" s="2">
        <v>100</v>
      </c>
      <c r="AW105" s="2">
        <f>SUMPRODUCT($F$5:$F$12,$H$5:$H$12,J$5:J$12)/7*MAX(节奏总纲!D103-'奖励（新）'!$E$2,0)</f>
        <v>557164.28571428568</v>
      </c>
      <c r="AX105" s="2">
        <f>SUMPRODUCT($F$5:$F$12,$H$5:$H$12,K$5:K$12)/7*MAX(节奏总纲!E103-'奖励（新）'!$E$2,0)</f>
        <v>471756.2078571429</v>
      </c>
      <c r="AY105" s="2">
        <f>SUMPRODUCT($F$5:$F$12,$H$5:$H$12,L$5:L$12)/7*MAX(节奏总纲!F103-'奖励（新）'!$E$2,0)</f>
        <v>374155.43142857141</v>
      </c>
      <c r="AZ105" s="2">
        <f>SUMPRODUCT($F$5:$F$12,$H$5:$H$12,M$5:M$12)/7*MAX(节奏总纲!G103-'奖励（新）'!$E$2,0)</f>
        <v>259330.98857142858</v>
      </c>
      <c r="BA105" s="2">
        <f>SUMPRODUCT($F$5:$F$12,$H$5:$H$12,N$5:N$12)/7*MAX(节奏总纲!H103-'奖励（新）'!$E$2,0)</f>
        <v>124264.29857142858</v>
      </c>
      <c r="BE105" s="2">
        <v>100</v>
      </c>
      <c r="BF105" s="41">
        <f t="shared" si="12"/>
        <v>0.67052257737189236</v>
      </c>
      <c r="BG105" s="41">
        <f t="shared" si="13"/>
        <v>0.67961440892947733</v>
      </c>
      <c r="BH105" s="41">
        <f t="shared" si="14"/>
        <v>0.71598173515981733</v>
      </c>
      <c r="BI105" s="41">
        <f t="shared" si="15"/>
        <v>0.85235920852359204</v>
      </c>
      <c r="BJ105" s="41">
        <f t="shared" si="16"/>
        <v>0.98873668188736674</v>
      </c>
      <c r="BK105" s="2">
        <f>(AW105-AL105)*'奖励（新）'!$D$17</f>
        <v>917865.26418786705</v>
      </c>
      <c r="BL105" s="2">
        <f>(AX105-AM105)*'奖励（新）'!$D$17</f>
        <v>755719.45747749531</v>
      </c>
      <c r="BM105" s="2">
        <f>(AY105-AN105)*'奖励（新）'!$D$17</f>
        <v>531334.882074364</v>
      </c>
      <c r="BN105" s="2">
        <f>(AZ105-AO105)*'奖励（新）'!$D$17</f>
        <v>191439.16203522516</v>
      </c>
      <c r="BO105" s="2">
        <f>(BA105-AP105)*'奖励（新）'!$D$17</f>
        <v>6998.141624266209</v>
      </c>
    </row>
    <row r="106" spans="17:67" x14ac:dyDescent="0.2">
      <c r="Q106" s="2">
        <v>101</v>
      </c>
      <c r="R106" s="2">
        <f>$E$5*$F$5/7*MAX(节奏总纲!D104-$C$1,0)</f>
        <v>7403.543040265452</v>
      </c>
      <c r="S106" s="2">
        <f>$E$5*$F$5/7*MAX(节奏总纲!E104-$C$1,0)</f>
        <v>6279.6346139873604</v>
      </c>
      <c r="T106" s="2">
        <f>$E$5*$F$5/7*MAX(节奏总纲!F104-$C$1,0)</f>
        <v>4973.2379205853686</v>
      </c>
      <c r="U106" s="2">
        <f>$E$5*$F$5/7*MAX(节奏总纲!G104-$C$1,0)</f>
        <v>3442.8427533746417</v>
      </c>
      <c r="V106" s="2">
        <f>$E$5*$F$5/7*MAX(节奏总纲!H104-$C$1,0)</f>
        <v>1667.3024032893206</v>
      </c>
      <c r="W106" s="2">
        <f>$E$6*$F$6/7*MAX(节奏总纲!D104-$C$1,0)</f>
        <v>74035.430402654514</v>
      </c>
      <c r="X106" s="2">
        <f>$E$6*$F$6/7*MAX(节奏总纲!E104-$C$1,0)</f>
        <v>62796.346139873596</v>
      </c>
      <c r="Y106" s="2">
        <f>$E$6*$F$6/7*MAX(节奏总纲!F104-$C$1,0)</f>
        <v>49732.379205853678</v>
      </c>
      <c r="Z106" s="2">
        <f>$E$6*$F$6/7*MAX(节奏总纲!G104-$C$1,0)</f>
        <v>34428.427533746421</v>
      </c>
      <c r="AA106" s="2">
        <f>$E$6*$F$6/7*MAX(节奏总纲!H104-$C$1,0)</f>
        <v>16673.024032893205</v>
      </c>
      <c r="AB106" s="2">
        <f>($E$9*$F$9*3600+$E$10*$F$10*1200)/7*MAX(节奏总纲!D104-$C$1,0)</f>
        <v>6218976.1538229799</v>
      </c>
      <c r="AC106" s="2">
        <f>($E$9*$F$9*3600+$E$10*$F$10*1200)/7*MAX(节奏总纲!E104-$C$1,0)</f>
        <v>5274893.0757493824</v>
      </c>
      <c r="AD106" s="2">
        <f>($E$9*$F$9*3600+$E$10*$F$10*1200)/7*MAX(节奏总纲!F104-$C$1,0)</f>
        <v>4177519.853291709</v>
      </c>
      <c r="AE106" s="2">
        <f>($E$9*$F$9*3600+$E$10*$F$10*1200)/7*MAX(节奏总纲!G104-$C$1,0)</f>
        <v>2891987.9128346993</v>
      </c>
      <c r="AF106" s="2">
        <f>($E$9*$F$9*3600+$E$10*$F$10*1200)/7*MAX(节奏总纲!H104-$C$1,0)</f>
        <v>1400534.0187630292</v>
      </c>
      <c r="AK106" s="2">
        <v>101</v>
      </c>
      <c r="AL106" s="2">
        <f>'奖励（新）'!CT108</f>
        <v>402103.66364444466</v>
      </c>
      <c r="AM106" s="2">
        <f>'奖励（新）'!CU108</f>
        <v>345686.14348472655</v>
      </c>
      <c r="AN106" s="2">
        <f>'奖励（新）'!CV108</f>
        <v>288420.54877520836</v>
      </c>
      <c r="AO106" s="2">
        <f>'奖励（新）'!CW108</f>
        <v>237697.63667134513</v>
      </c>
      <c r="AP106" s="2">
        <f>'奖励（新）'!CX108</f>
        <v>133530.36672042031</v>
      </c>
      <c r="AV106" s="2">
        <v>101</v>
      </c>
      <c r="AW106" s="2">
        <f>SUMPRODUCT($F$5:$F$12,$H$5:$H$12,J$5:J$12)/7*MAX(节奏总纲!D104-'奖励（新）'!$E$2,0)</f>
        <v>599686.98626150156</v>
      </c>
      <c r="AX106" s="2">
        <f>SUMPRODUCT($F$5:$F$12,$H$5:$H$12,K$5:K$12)/7*MAX(节奏总纲!E104-'奖励（新）'!$E$2,0)</f>
        <v>508650.40373297612</v>
      </c>
      <c r="AY106" s="2">
        <f>SUMPRODUCT($F$5:$F$12,$H$5:$H$12,L$5:L$12)/7*MAX(节奏总纲!F104-'奖励（新）'!$E$2,0)</f>
        <v>402832.27156741481</v>
      </c>
      <c r="AZ106" s="2">
        <f>SUMPRODUCT($F$5:$F$12,$H$5:$H$12,M$5:M$12)/7*MAX(节奏总纲!G104-'奖励（新）'!$E$2,0)</f>
        <v>278870.26302334596</v>
      </c>
      <c r="BA106" s="2">
        <f>SUMPRODUCT($F$5:$F$12,$H$5:$H$12,N$5:N$12)/7*MAX(节奏总纲!H104-'奖励（新）'!$E$2,0)</f>
        <v>135051.49466643497</v>
      </c>
      <c r="BE106" s="2">
        <v>101</v>
      </c>
      <c r="BF106" s="41">
        <f t="shared" si="12"/>
        <v>0.67052257737189247</v>
      </c>
      <c r="BG106" s="41">
        <f t="shared" si="13"/>
        <v>0.67961440892947733</v>
      </c>
      <c r="BH106" s="41">
        <f t="shared" si="14"/>
        <v>0.71598173515981722</v>
      </c>
      <c r="BI106" s="41">
        <f t="shared" si="15"/>
        <v>0.85235920852359215</v>
      </c>
      <c r="BJ106" s="41">
        <f t="shared" si="16"/>
        <v>0.98873668188736663</v>
      </c>
      <c r="BK106" s="2">
        <f>(AW106-AL106)*'奖励（新）'!$D$17</f>
        <v>987916.61308528448</v>
      </c>
      <c r="BL106" s="2">
        <f>(AX106-AM106)*'奖励（新）'!$D$17</f>
        <v>814821.30124124791</v>
      </c>
      <c r="BM106" s="2">
        <f>(AY106-AN106)*'奖励（新）'!$D$17</f>
        <v>572058.61396103224</v>
      </c>
      <c r="BN106" s="2">
        <f>(AZ106-AO106)*'奖励（新）'!$D$17</f>
        <v>205863.13176000418</v>
      </c>
      <c r="BO106" s="2">
        <f>(BA106-AP106)*'奖励（新）'!$D$17</f>
        <v>7605.6397300733079</v>
      </c>
    </row>
    <row r="107" spans="17:67" x14ac:dyDescent="0.2">
      <c r="Q107" s="2">
        <v>102</v>
      </c>
      <c r="R107" s="2">
        <f>$E$5*$F$5/7*MAX(节奏总纲!D105-$C$1,0)</f>
        <v>7966.19368226402</v>
      </c>
      <c r="S107" s="2">
        <f>$E$5*$F$5/7*MAX(节奏总纲!E105-$C$1,0)</f>
        <v>6744.7553586374625</v>
      </c>
      <c r="T107" s="2">
        <f>$E$5*$F$5/7*MAX(节奏总纲!F105-$C$1,0)</f>
        <v>5330.2374374616902</v>
      </c>
      <c r="U107" s="2">
        <f>$E$5*$F$5/7*MAX(节奏总纲!G105-$C$1,0)</f>
        <v>3699.9740529374453</v>
      </c>
      <c r="V107" s="2">
        <f>$E$5*$F$5/7*MAX(节奏总纲!H105-$C$1,0)</f>
        <v>1811.1519029994688</v>
      </c>
      <c r="W107" s="2">
        <f>$E$6*$F$6/7*MAX(节奏总纲!D105-$C$1,0)</f>
        <v>79661.9368226402</v>
      </c>
      <c r="X107" s="2">
        <f>$E$6*$F$6/7*MAX(节奏总纲!E105-$C$1,0)</f>
        <v>67447.553586374634</v>
      </c>
      <c r="Y107" s="2">
        <f>$E$6*$F$6/7*MAX(节奏总纲!F105-$C$1,0)</f>
        <v>53302.374374616898</v>
      </c>
      <c r="Z107" s="2">
        <f>$E$6*$F$6/7*MAX(节奏总纲!G105-$C$1,0)</f>
        <v>36999.740529374452</v>
      </c>
      <c r="AA107" s="2">
        <f>$E$6*$F$6/7*MAX(节奏总纲!H105-$C$1,0)</f>
        <v>18111.519029994688</v>
      </c>
      <c r="AB107" s="2">
        <f>($E$9*$F$9*3600+$E$10*$F$10*1200)/7*MAX(节奏总纲!D105-$C$1,0)</f>
        <v>6691602.6931017768</v>
      </c>
      <c r="AC107" s="2">
        <f>($E$9*$F$9*3600+$E$10*$F$10*1200)/7*MAX(节奏总纲!E105-$C$1,0)</f>
        <v>5665594.5012554685</v>
      </c>
      <c r="AD107" s="2">
        <f>($E$9*$F$9*3600+$E$10*$F$10*1200)/7*MAX(节奏总纲!F105-$C$1,0)</f>
        <v>4477399.4474678198</v>
      </c>
      <c r="AE107" s="2">
        <f>($E$9*$F$9*3600+$E$10*$F$10*1200)/7*MAX(节奏总纲!G105-$C$1,0)</f>
        <v>3107978.204467454</v>
      </c>
      <c r="AF107" s="2">
        <f>($E$9*$F$9*3600+$E$10*$F$10*1200)/7*MAX(节奏总纲!H105-$C$1,0)</f>
        <v>1521367.5985195539</v>
      </c>
      <c r="AK107" s="2">
        <v>102</v>
      </c>
      <c r="AL107" s="2">
        <f>'奖励（新）'!CT109</f>
        <v>432662.53029370389</v>
      </c>
      <c r="AM107" s="2">
        <f>'奖励（新）'!CU109</f>
        <v>371290.46704118024</v>
      </c>
      <c r="AN107" s="2">
        <f>'奖励（新）'!CV109</f>
        <v>309124.5645922987</v>
      </c>
      <c r="AO107" s="2">
        <f>'奖励（新）'!CW109</f>
        <v>255450.26338088658</v>
      </c>
      <c r="AP107" s="2">
        <f>'奖励（新）'!CX109</f>
        <v>145050.93816022045</v>
      </c>
      <c r="AV107" s="2">
        <v>102</v>
      </c>
      <c r="AW107" s="2">
        <f>SUMPRODUCT($F$5:$F$12,$H$5:$H$12,J$5:J$12)/7*MAX(节奏总纲!D105-'奖励（新）'!$E$2,0)</f>
        <v>645261.68826338556</v>
      </c>
      <c r="AX107" s="2">
        <f>SUMPRODUCT($F$5:$F$12,$H$5:$H$12,K$5:K$12)/7*MAX(节奏总纲!E105-'奖励（新）'!$E$2,0)</f>
        <v>546325.1840496345</v>
      </c>
      <c r="AY107" s="2">
        <f>SUMPRODUCT($F$5:$F$12,$H$5:$H$12,L$5:L$12)/7*MAX(节奏总纲!F105-'奖励（新）'!$E$2,0)</f>
        <v>431749.23243439686</v>
      </c>
      <c r="AZ107" s="2">
        <f>SUMPRODUCT($F$5:$F$12,$H$5:$H$12,M$5:M$12)/7*MAX(节奏总纲!G105-'奖励（新）'!$E$2,0)</f>
        <v>299697.89828793303</v>
      </c>
      <c r="BA107" s="2">
        <f>SUMPRODUCT($F$5:$F$12,$H$5:$H$12,N$5:N$12)/7*MAX(节奏总纲!H105-'奖励（新）'!$E$2,0)</f>
        <v>146703.30414295697</v>
      </c>
      <c r="BE107" s="2">
        <v>102</v>
      </c>
      <c r="BF107" s="41">
        <f t="shared" si="12"/>
        <v>0.67052257737189247</v>
      </c>
      <c r="BG107" s="41">
        <f t="shared" si="13"/>
        <v>0.67961440892947733</v>
      </c>
      <c r="BH107" s="41">
        <f t="shared" si="14"/>
        <v>0.71598173515981722</v>
      </c>
      <c r="BI107" s="41">
        <f t="shared" si="15"/>
        <v>0.85235920852359204</v>
      </c>
      <c r="BJ107" s="41">
        <f t="shared" si="16"/>
        <v>0.98873668188736674</v>
      </c>
      <c r="BK107" s="2">
        <f>(AW107-AL107)*'奖励（新）'!$D$17</f>
        <v>1062995.7898484082</v>
      </c>
      <c r="BL107" s="2">
        <f>(AX107-AM107)*'奖励（新）'!$D$17</f>
        <v>875173.5850422713</v>
      </c>
      <c r="BM107" s="2">
        <f>(AY107-AN107)*'奖励（新）'!$D$17</f>
        <v>613123.33921049081</v>
      </c>
      <c r="BN107" s="2">
        <f>(AZ107-AO107)*'奖励（新）'!$D$17</f>
        <v>221238.17453523225</v>
      </c>
      <c r="BO107" s="2">
        <f>(BA107-AP107)*'奖励（新）'!$D$17</f>
        <v>8261.8299136825954</v>
      </c>
    </row>
    <row r="108" spans="17:67" x14ac:dyDescent="0.2">
      <c r="Q108" s="2">
        <v>103</v>
      </c>
      <c r="R108" s="2">
        <f>$E$5*$F$5/7*MAX(节奏总纲!D106-$C$1,0)</f>
        <v>8569.2277090371026</v>
      </c>
      <c r="S108" s="2">
        <f>$E$5*$F$5/7*MAX(节奏总纲!E106-$C$1,0)</f>
        <v>7238.4532165848004</v>
      </c>
      <c r="T108" s="2">
        <f>$E$5*$F$5/7*MAX(节奏总纲!F106-$C$1,0)</f>
        <v>5725.0234016390459</v>
      </c>
      <c r="U108" s="2">
        <f>$E$5*$F$5/7*MAX(节奏总纲!G106-$C$1,0)</f>
        <v>3992.9470676494038</v>
      </c>
      <c r="V108" s="2">
        <f>$E$5*$F$5/7*MAX(节奏总纲!H106-$C$1,0)</f>
        <v>1970.2418215150058</v>
      </c>
      <c r="W108" s="2">
        <f>$E$6*$F$6/7*MAX(节奏总纲!D106-$C$1,0)</f>
        <v>85692.277090371019</v>
      </c>
      <c r="X108" s="2">
        <f>$E$6*$F$6/7*MAX(节奏总纲!E106-$C$1,0)</f>
        <v>72384.53216584801</v>
      </c>
      <c r="Y108" s="2">
        <f>$E$6*$F$6/7*MAX(节奏总纲!F106-$C$1,0)</f>
        <v>57250.234016390452</v>
      </c>
      <c r="Z108" s="2">
        <f>$E$6*$F$6/7*MAX(节奏总纲!G106-$C$1,0)</f>
        <v>39929.470676494035</v>
      </c>
      <c r="AA108" s="2">
        <f>$E$6*$F$6/7*MAX(节奏总纲!H106-$C$1,0)</f>
        <v>19702.418215150057</v>
      </c>
      <c r="AB108" s="2">
        <f>($E$9*$F$9*3600+$E$10*$F$10*1200)/7*MAX(节奏总纲!D106-$C$1,0)</f>
        <v>7198151.2755911658</v>
      </c>
      <c r="AC108" s="2">
        <f>($E$9*$F$9*3600+$E$10*$F$10*1200)/7*MAX(节奏总纲!E106-$C$1,0)</f>
        <v>6080300.7019312326</v>
      </c>
      <c r="AD108" s="2">
        <f>($E$9*$F$9*3600+$E$10*$F$10*1200)/7*MAX(节奏总纲!F106-$C$1,0)</f>
        <v>4809019.6573767979</v>
      </c>
      <c r="AE108" s="2">
        <f>($E$9*$F$9*3600+$E$10*$F$10*1200)/7*MAX(节奏总纲!G106-$C$1,0)</f>
        <v>3354075.536825499</v>
      </c>
      <c r="AF108" s="2">
        <f>($E$9*$F$9*3600+$E$10*$F$10*1200)/7*MAX(节奏总纲!H106-$C$1,0)</f>
        <v>1655003.1300726049</v>
      </c>
      <c r="AK108" s="2">
        <v>103</v>
      </c>
      <c r="AL108" s="2">
        <f>'奖励（新）'!CT110</f>
        <v>465414.71261356573</v>
      </c>
      <c r="AM108" s="2">
        <f>'奖励（新）'!CU110</f>
        <v>398467.92545258917</v>
      </c>
      <c r="AN108" s="2">
        <f>'奖励（新）'!CV110</f>
        <v>332019.98730382271</v>
      </c>
      <c r="AO108" s="2">
        <f>'奖励（新）'!CW110</f>
        <v>275677.44138291769</v>
      </c>
      <c r="AP108" s="2">
        <f>'奖励（新）'!CX110</f>
        <v>157792.07925075793</v>
      </c>
      <c r="AV108" s="2">
        <v>103</v>
      </c>
      <c r="AW108" s="2">
        <f>SUMPRODUCT($F$5:$F$12,$H$5:$H$12,J$5:J$12)/7*MAX(节奏总纲!D106-'奖励（新）'!$E$2,0)</f>
        <v>694107.44443200529</v>
      </c>
      <c r="AX108" s="2">
        <f>SUMPRODUCT($F$5:$F$12,$H$5:$H$12,K$5:K$12)/7*MAX(节奏总纲!E106-'奖励（新）'!$E$2,0)</f>
        <v>586314.71054336883</v>
      </c>
      <c r="AY108" s="2">
        <f>SUMPRODUCT($F$5:$F$12,$H$5:$H$12,L$5:L$12)/7*MAX(节奏总纲!F106-'奖励（新）'!$E$2,0)</f>
        <v>463726.89553276263</v>
      </c>
      <c r="AZ108" s="2">
        <f>SUMPRODUCT($F$5:$F$12,$H$5:$H$12,M$5:M$12)/7*MAX(节奏总纲!G106-'奖励（新）'!$E$2,0)</f>
        <v>323428.71247960167</v>
      </c>
      <c r="BA108" s="2">
        <f>SUMPRODUCT($F$5:$F$12,$H$5:$H$12,N$5:N$12)/7*MAX(节奏总纲!H106-'奖励（新）'!$E$2,0)</f>
        <v>159589.58754271545</v>
      </c>
      <c r="BE108" s="2">
        <v>103</v>
      </c>
      <c r="BF108" s="41">
        <f t="shared" si="12"/>
        <v>0.67052257737189236</v>
      </c>
      <c r="BG108" s="41">
        <f t="shared" si="13"/>
        <v>0.67961440892947733</v>
      </c>
      <c r="BH108" s="41">
        <f t="shared" si="14"/>
        <v>0.71598173515981722</v>
      </c>
      <c r="BI108" s="41">
        <f t="shared" si="15"/>
        <v>0.85235920852359204</v>
      </c>
      <c r="BJ108" s="41">
        <f t="shared" si="16"/>
        <v>0.98873668188736685</v>
      </c>
      <c r="BK108" s="2">
        <f>(AW108-AL108)*'奖励（新）'!$D$17</f>
        <v>1143463.6590921977</v>
      </c>
      <c r="BL108" s="2">
        <f>(AX108-AM108)*'奖励（新）'!$D$17</f>
        <v>939233.92545389826</v>
      </c>
      <c r="BM108" s="2">
        <f>(AY108-AN108)*'奖励（新）'!$D$17</f>
        <v>658534.54114469956</v>
      </c>
      <c r="BN108" s="2">
        <f>(AZ108-AO108)*'奖励（新）'!$D$17</f>
        <v>238756.3554834199</v>
      </c>
      <c r="BO108" s="2">
        <f>(BA108-AP108)*'奖励（新）'!$D$17</f>
        <v>8987.5414597876079</v>
      </c>
    </row>
    <row r="109" spans="17:67" x14ac:dyDescent="0.2">
      <c r="Q109" s="2">
        <v>104</v>
      </c>
      <c r="R109" s="2">
        <f>$E$5*$F$5/7*MAX(节奏总纲!D107-$C$1,0)</f>
        <v>9215.5435759388838</v>
      </c>
      <c r="S109" s="2">
        <f>$E$5*$F$5/7*MAX(节奏总纲!E107-$C$1,0)</f>
        <v>7791.1077897727109</v>
      </c>
      <c r="T109" s="2">
        <f>$E$5*$F$5/7*MAX(节奏总纲!F107-$C$1,0)</f>
        <v>6181.5049955199393</v>
      </c>
      <c r="U109" s="2">
        <f>$E$5*$F$5/7*MAX(节奏总纲!G107-$C$1,0)</f>
        <v>4322.1196226503516</v>
      </c>
      <c r="V109" s="2">
        <f>$E$5*$F$5/7*MAX(节奏总纲!H107-$C$1,0)</f>
        <v>2146.4072776328248</v>
      </c>
      <c r="W109" s="2">
        <f>$E$6*$F$6/7*MAX(节奏总纲!D107-$C$1,0)</f>
        <v>92155.435759388842</v>
      </c>
      <c r="X109" s="2">
        <f>$E$6*$F$6/7*MAX(节奏总纲!E107-$C$1,0)</f>
        <v>77911.077897727097</v>
      </c>
      <c r="Y109" s="2">
        <f>$E$6*$F$6/7*MAX(节奏总纲!F107-$C$1,0)</f>
        <v>61815.049955199393</v>
      </c>
      <c r="Z109" s="2">
        <f>$E$6*$F$6/7*MAX(节奏总纲!G107-$C$1,0)</f>
        <v>43221.196226503511</v>
      </c>
      <c r="AA109" s="2">
        <f>$E$6*$F$6/7*MAX(节奏总纲!H107-$C$1,0)</f>
        <v>21464.072776328248</v>
      </c>
      <c r="AB109" s="2">
        <f>($E$9*$F$9*3600+$E$10*$F$10*1200)/7*MAX(节奏总纲!D107-$C$1,0)</f>
        <v>7741056.6037886618</v>
      </c>
      <c r="AC109" s="2">
        <f>($E$9*$F$9*3600+$E$10*$F$10*1200)/7*MAX(节奏总纲!E107-$C$1,0)</f>
        <v>6544530.5434090765</v>
      </c>
      <c r="AD109" s="2">
        <f>($E$9*$F$9*3600+$E$10*$F$10*1200)/7*MAX(节奏总纲!F107-$C$1,0)</f>
        <v>5192464.1962367482</v>
      </c>
      <c r="AE109" s="2">
        <f>($E$9*$F$9*3600+$E$10*$F$10*1200)/7*MAX(节奏总纲!G107-$C$1,0)</f>
        <v>3630580.483026295</v>
      </c>
      <c r="AF109" s="2">
        <f>($E$9*$F$9*3600+$E$10*$F$10*1200)/7*MAX(节奏总纲!H107-$C$1,0)</f>
        <v>1802982.1132115729</v>
      </c>
      <c r="AK109" s="2">
        <v>104</v>
      </c>
      <c r="AL109" s="2">
        <f>'奖励（新）'!CT111</f>
        <v>500517.63246414356</v>
      </c>
      <c r="AM109" s="2">
        <f>'奖励（新）'!CU111</f>
        <v>428890.87835163041</v>
      </c>
      <c r="AN109" s="2">
        <f>'奖励（新）'!CV111</f>
        <v>358493.41847990698</v>
      </c>
      <c r="AO109" s="2">
        <f>'奖励（新）'!CW111</f>
        <v>298403.87531722971</v>
      </c>
      <c r="AP109" s="2">
        <f>'奖励（新）'!CX111</f>
        <v>171900.7603829116</v>
      </c>
      <c r="AV109" s="2">
        <v>104</v>
      </c>
      <c r="AW109" s="2">
        <f>SUMPRODUCT($F$5:$F$12,$H$5:$H$12,J$5:J$12)/7*MAX(节奏总纲!D107-'奖励（新）'!$E$2,0)</f>
        <v>746459.02965104952</v>
      </c>
      <c r="AX109" s="2">
        <f>SUMPRODUCT($F$5:$F$12,$H$5:$H$12,K$5:K$12)/7*MAX(节奏总纲!E107-'奖励（新）'!$E$2,0)</f>
        <v>631079.73097158945</v>
      </c>
      <c r="AY109" s="2">
        <f>SUMPRODUCT($F$5:$F$12,$H$5:$H$12,L$5:L$12)/7*MAX(节奏总纲!F107-'奖励（新）'!$E$2,0)</f>
        <v>500701.90463711502</v>
      </c>
      <c r="AZ109" s="2">
        <f>SUMPRODUCT($F$5:$F$12,$H$5:$H$12,M$5:M$12)/7*MAX(节奏总纲!G107-'奖励（新）'!$E$2,0)</f>
        <v>350091.68943467847</v>
      </c>
      <c r="BA109" s="2">
        <f>SUMPRODUCT($F$5:$F$12,$H$5:$H$12,N$5:N$12)/7*MAX(节奏总纲!H107-'奖励（新）'!$E$2,0)</f>
        <v>173858.98948825881</v>
      </c>
      <c r="BE109" s="2">
        <v>104</v>
      </c>
      <c r="BF109" s="41">
        <f t="shared" si="12"/>
        <v>0.67052257737189236</v>
      </c>
      <c r="BG109" s="41">
        <f t="shared" si="13"/>
        <v>0.67961440892947744</v>
      </c>
      <c r="BH109" s="41">
        <f t="shared" si="14"/>
        <v>0.71598173515981733</v>
      </c>
      <c r="BI109" s="41">
        <f t="shared" si="15"/>
        <v>0.85235920852359204</v>
      </c>
      <c r="BJ109" s="41">
        <f t="shared" si="16"/>
        <v>0.98873668188736674</v>
      </c>
      <c r="BK109" s="2">
        <f>(AW109-AL109)*'奖励（新）'!$D$17</f>
        <v>1229706.9859345299</v>
      </c>
      <c r="BL109" s="2">
        <f>(AX109-AM109)*'奖励（新）'!$D$17</f>
        <v>1010944.2630997952</v>
      </c>
      <c r="BM109" s="2">
        <f>(AY109-AN109)*'奖励（新）'!$D$17</f>
        <v>711042.43078604015</v>
      </c>
      <c r="BN109" s="2">
        <f>(AZ109-AO109)*'奖励（新）'!$D$17</f>
        <v>258439.07058724377</v>
      </c>
      <c r="BO109" s="2">
        <f>(BA109-AP109)*'奖励（新）'!$D$17</f>
        <v>9791.1455267360725</v>
      </c>
    </row>
    <row r="110" spans="17:67" x14ac:dyDescent="0.2">
      <c r="Q110" s="2">
        <v>105</v>
      </c>
      <c r="R110" s="2">
        <f>$E$5*$F$5/7*MAX(节奏总纲!D108-$C$1,0)</f>
        <v>9908.247770500353</v>
      </c>
      <c r="S110" s="2">
        <f>$E$5*$F$5/7*MAX(节奏总纲!E108-$C$1,0)</f>
        <v>8391.8363939965238</v>
      </c>
      <c r="T110" s="2">
        <f>$E$5*$F$5/7*MAX(节奏总纲!F108-$C$1,0)</f>
        <v>6665.5875877515355</v>
      </c>
      <c r="U110" s="2">
        <f>$E$5*$F$5/7*MAX(节奏总纲!G108-$C$1,0)</f>
        <v>4668.5141184908671</v>
      </c>
      <c r="V110" s="2">
        <f>$E$5*$F$5/7*MAX(节奏总纲!H108-$C$1,0)</f>
        <v>2331.3592975807373</v>
      </c>
      <c r="W110" s="2">
        <f>$E$6*$F$6/7*MAX(节奏总纲!D108-$C$1,0)</f>
        <v>99082.477705003534</v>
      </c>
      <c r="X110" s="2">
        <f>$E$6*$F$6/7*MAX(节奏总纲!E108-$C$1,0)</f>
        <v>83918.363939965231</v>
      </c>
      <c r="Y110" s="2">
        <f>$E$6*$F$6/7*MAX(节奏总纲!F108-$C$1,0)</f>
        <v>66655.875877515355</v>
      </c>
      <c r="Z110" s="2">
        <f>$E$6*$F$6/7*MAX(节奏总纲!G108-$C$1,0)</f>
        <v>46685.141184908665</v>
      </c>
      <c r="AA110" s="2">
        <f>$E$6*$F$6/7*MAX(节奏总纲!H108-$C$1,0)</f>
        <v>23313.592975807373</v>
      </c>
      <c r="AB110" s="2">
        <f>($E$9*$F$9*3600+$E$10*$F$10*1200)/7*MAX(节奏总纲!D108-$C$1,0)</f>
        <v>8322928.1272202963</v>
      </c>
      <c r="AC110" s="2">
        <f>($E$9*$F$9*3600+$E$10*$F$10*1200)/7*MAX(节奏总纲!E108-$C$1,0)</f>
        <v>7049142.5709570786</v>
      </c>
      <c r="AD110" s="2">
        <f>($E$9*$F$9*3600+$E$10*$F$10*1200)/7*MAX(节奏总纲!F108-$C$1,0)</f>
        <v>5599093.57371129</v>
      </c>
      <c r="AE110" s="2">
        <f>($E$9*$F$9*3600+$E$10*$F$10*1200)/7*MAX(节奏总纲!G108-$C$1,0)</f>
        <v>3921551.8595323279</v>
      </c>
      <c r="AF110" s="2">
        <f>($E$9*$F$9*3600+$E$10*$F$10*1200)/7*MAX(节奏总纲!H108-$C$1,0)</f>
        <v>1958341.8099678194</v>
      </c>
      <c r="AK110" s="2">
        <v>105</v>
      </c>
      <c r="AL110" s="2">
        <f>'奖励（新）'!CT112</f>
        <v>538140.01041753148</v>
      </c>
      <c r="AM110" s="2">
        <f>'奖励（新）'!CU112</f>
        <v>461960.24738984468</v>
      </c>
      <c r="AN110" s="2">
        <f>'奖励（新）'!CV112</f>
        <v>386567.55632198486</v>
      </c>
      <c r="AO110" s="2">
        <f>'奖励（新）'!CW112</f>
        <v>322319.33092046529</v>
      </c>
      <c r="AP110" s="2">
        <f>'奖励（新）'!CX112</f>
        <v>186713.13695035648</v>
      </c>
      <c r="AV110" s="2">
        <v>105</v>
      </c>
      <c r="AW110" s="2">
        <f>SUMPRODUCT($F$5:$F$12,$H$5:$H$12,J$5:J$12)/7*MAX(节奏总纲!D108-'奖励（新）'!$E$2,0)</f>
        <v>802568.06941052852</v>
      </c>
      <c r="AX110" s="2">
        <f>SUMPRODUCT($F$5:$F$12,$H$5:$H$12,K$5:K$12)/7*MAX(节奏总纲!E108-'奖励（新）'!$E$2,0)</f>
        <v>679738.74791371834</v>
      </c>
      <c r="AY110" s="2">
        <f>SUMPRODUCT($F$5:$F$12,$H$5:$H$12,L$5:L$12)/7*MAX(节奏总纲!F108-'奖励（新）'!$E$2,0)</f>
        <v>539912.5946078744</v>
      </c>
      <c r="AZ110" s="2">
        <f>SUMPRODUCT($F$5:$F$12,$H$5:$H$12,M$5:M$12)/7*MAX(节奏总纲!G108-'奖励（新）'!$E$2,0)</f>
        <v>378149.64359776018</v>
      </c>
      <c r="BA110" s="2">
        <f>SUMPRODUCT($F$5:$F$12,$H$5:$H$12,N$5:N$12)/7*MAX(节奏总纲!H108-'奖励（新）'!$E$2,0)</f>
        <v>188840.10310403971</v>
      </c>
      <c r="BE110" s="2">
        <v>105</v>
      </c>
      <c r="BF110" s="41">
        <f t="shared" si="12"/>
        <v>0.67052257737189247</v>
      </c>
      <c r="BG110" s="41">
        <f t="shared" si="13"/>
        <v>0.67961440892947733</v>
      </c>
      <c r="BH110" s="41">
        <f t="shared" si="14"/>
        <v>0.71598173515981711</v>
      </c>
      <c r="BI110" s="41">
        <f t="shared" si="15"/>
        <v>0.85235920852359204</v>
      </c>
      <c r="BJ110" s="41">
        <f t="shared" si="16"/>
        <v>0.98873668188736696</v>
      </c>
      <c r="BK110" s="2">
        <f>(AW110-AL110)*'奖励（新）'!$D$17</f>
        <v>1322140.2949649852</v>
      </c>
      <c r="BL110" s="2">
        <f>(AX110-AM110)*'奖励（新）'!$D$17</f>
        <v>1088892.5026193683</v>
      </c>
      <c r="BM110" s="2">
        <f>(AY110-AN110)*'奖励（新）'!$D$17</f>
        <v>766725.19142944773</v>
      </c>
      <c r="BN110" s="2">
        <f>(AZ110-AO110)*'奖励（新）'!$D$17</f>
        <v>279151.56338647444</v>
      </c>
      <c r="BO110" s="2">
        <f>(BA110-AP110)*'奖励（新）'!$D$17</f>
        <v>10634.830768416141</v>
      </c>
    </row>
    <row r="111" spans="17:67" x14ac:dyDescent="0.2">
      <c r="Q111" s="2">
        <v>106</v>
      </c>
      <c r="R111" s="2">
        <f>$E$5*$F$5/7*MAX(节奏总纲!D109-$C$1,0)</f>
        <v>10650.669743618904</v>
      </c>
      <c r="S111" s="2">
        <f>$E$5*$F$5/7*MAX(节奏总纲!E109-$C$1,0)</f>
        <v>9031.9926083618957</v>
      </c>
      <c r="T111" s="2">
        <f>$E$5*$F$5/7*MAX(节奏总纲!F109-$C$1,0)</f>
        <v>7176.2197120200153</v>
      </c>
      <c r="U111" s="2">
        <f>$E$5*$F$5/7*MAX(节奏总纲!G109-$C$1,0)</f>
        <v>5031.2786210839677</v>
      </c>
      <c r="V111" s="2">
        <f>$E$5*$F$5/7*MAX(节奏总纲!H109-$C$1,0)</f>
        <v>2518.5067232311999</v>
      </c>
      <c r="W111" s="2">
        <f>$E$6*$F$6/7*MAX(节奏总纲!D109-$C$1,0)</f>
        <v>106506.69743618903</v>
      </c>
      <c r="X111" s="2">
        <f>$E$6*$F$6/7*MAX(节奏总纲!E109-$C$1,0)</f>
        <v>90319.92608361895</v>
      </c>
      <c r="Y111" s="2">
        <f>$E$6*$F$6/7*MAX(节奏总纲!F109-$C$1,0)</f>
        <v>71762.197120200159</v>
      </c>
      <c r="Z111" s="2">
        <f>$E$6*$F$6/7*MAX(节奏总纲!G109-$C$1,0)</f>
        <v>50312.786210839673</v>
      </c>
      <c r="AA111" s="2">
        <f>$E$6*$F$6/7*MAX(节奏总纲!H109-$C$1,0)</f>
        <v>25185.067232311998</v>
      </c>
      <c r="AB111" s="2">
        <f>($E$9*$F$9*3600+$E$10*$F$10*1200)/7*MAX(节奏总纲!D109-$C$1,0)</f>
        <v>8946562.5846398789</v>
      </c>
      <c r="AC111" s="2">
        <f>($E$9*$F$9*3600+$E$10*$F$10*1200)/7*MAX(节奏总纲!E109-$C$1,0)</f>
        <v>7586873.791023992</v>
      </c>
      <c r="AD111" s="2">
        <f>($E$9*$F$9*3600+$E$10*$F$10*1200)/7*MAX(节奏总纲!F109-$C$1,0)</f>
        <v>6028024.558096813</v>
      </c>
      <c r="AE111" s="2">
        <f>($E$9*$F$9*3600+$E$10*$F$10*1200)/7*MAX(节奏总纲!G109-$C$1,0)</f>
        <v>4226274.0417105323</v>
      </c>
      <c r="AF111" s="2">
        <f>($E$9*$F$9*3600+$E$10*$F$10*1200)/7*MAX(节奏总纲!H109-$C$1,0)</f>
        <v>2115545.6475142078</v>
      </c>
      <c r="AK111" s="2">
        <v>106</v>
      </c>
      <c r="AL111" s="2">
        <f>'奖励（新）'!CT113</f>
        <v>578462.67670548253</v>
      </c>
      <c r="AM111" s="2">
        <f>'奖励（新）'!CU113</f>
        <v>497200.05775696959</v>
      </c>
      <c r="AN111" s="2">
        <f>'奖励（新）'!CV113</f>
        <v>416181.42154531414</v>
      </c>
      <c r="AO111" s="2">
        <f>'奖励（新）'!CW113</f>
        <v>347364.9897296328</v>
      </c>
      <c r="AP111" s="2">
        <f>'奖励（新）'!CX113</f>
        <v>201701.33844792994</v>
      </c>
      <c r="AV111" s="2">
        <v>106</v>
      </c>
      <c r="AW111" s="2">
        <f>SUMPRODUCT($F$5:$F$12,$H$5:$H$12,J$5:J$12)/7*MAX(节奏总纲!D109-'奖励（新）'!$E$2,0)</f>
        <v>862704.24923313106</v>
      </c>
      <c r="AX111" s="2">
        <f>SUMPRODUCT($F$5:$F$12,$H$5:$H$12,K$5:K$12)/7*MAX(节奏总纲!E109-'奖励（新）'!$E$2,0)</f>
        <v>731591.40127731347</v>
      </c>
      <c r="AY111" s="2">
        <f>SUMPRODUCT($F$5:$F$12,$H$5:$H$12,L$5:L$12)/7*MAX(节奏总纲!F109-'奖励（新）'!$E$2,0)</f>
        <v>581273.79667362117</v>
      </c>
      <c r="AZ111" s="2">
        <f>SUMPRODUCT($F$5:$F$12,$H$5:$H$12,M$5:M$12)/7*MAX(节奏总纲!G109-'奖励（新）'!$E$2,0)</f>
        <v>407533.56830780132</v>
      </c>
      <c r="BA111" s="2">
        <f>SUMPRODUCT($F$5:$F$12,$H$5:$H$12,N$5:N$12)/7*MAX(节奏总纲!H109-'奖励（新）'!$E$2,0)</f>
        <v>203999.04458172715</v>
      </c>
      <c r="BE111" s="2">
        <v>106</v>
      </c>
      <c r="BF111" s="41">
        <f t="shared" si="12"/>
        <v>0.67052257737189247</v>
      </c>
      <c r="BG111" s="41">
        <f t="shared" si="13"/>
        <v>0.67961440892947755</v>
      </c>
      <c r="BH111" s="41">
        <f t="shared" si="14"/>
        <v>0.71598173515981733</v>
      </c>
      <c r="BI111" s="41">
        <f t="shared" si="15"/>
        <v>0.85235920852359215</v>
      </c>
      <c r="BJ111" s="41">
        <f t="shared" si="16"/>
        <v>0.98873668188736696</v>
      </c>
      <c r="BK111" s="2">
        <f>(AW111-AL111)*'奖励（新）'!$D$17</f>
        <v>1421207.8626382425</v>
      </c>
      <c r="BL111" s="2">
        <f>(AX111-AM111)*'奖励（新）'!$D$17</f>
        <v>1171956.7176017193</v>
      </c>
      <c r="BM111" s="2">
        <f>(AY111-AN111)*'奖励（新）'!$D$17</f>
        <v>825461.87564153515</v>
      </c>
      <c r="BN111" s="2">
        <f>(AZ111-AO111)*'奖励（新）'!$D$17</f>
        <v>300842.89289084263</v>
      </c>
      <c r="BO111" s="2">
        <f>(BA111-AP111)*'奖励（新）'!$D$17</f>
        <v>11488.530668986059</v>
      </c>
    </row>
    <row r="112" spans="17:67" x14ac:dyDescent="0.2">
      <c r="Q112" s="2">
        <v>107</v>
      </c>
      <c r="R112" s="2">
        <f>$E$5*$F$5/7*MAX(节奏总纲!D110-$C$1,0)</f>
        <v>11446.377912411206</v>
      </c>
      <c r="S112" s="2">
        <f>$E$5*$F$5/7*MAX(节奏总纲!E110-$C$1,0)</f>
        <v>9706.6978339572524</v>
      </c>
      <c r="T112" s="2">
        <f>$E$5*$F$5/7*MAX(节奏总纲!F110-$C$1,0)</f>
        <v>7725.9562838813463</v>
      </c>
      <c r="U112" s="2">
        <f>$E$5*$F$5/7*MAX(节奏总纲!G110-$C$1,0)</f>
        <v>5400.8412029169476</v>
      </c>
      <c r="V112" s="2">
        <f>$E$5*$F$5/7*MAX(节奏总纲!H110-$C$1,0)</f>
        <v>2715.9151569207734</v>
      </c>
      <c r="W112" s="2">
        <f>$E$6*$F$6/7*MAX(节奏总纲!D110-$C$1,0)</f>
        <v>114463.77912411207</v>
      </c>
      <c r="X112" s="2">
        <f>$E$6*$F$6/7*MAX(节奏总纲!E110-$C$1,0)</f>
        <v>97066.97833957251</v>
      </c>
      <c r="Y112" s="2">
        <f>$E$6*$F$6/7*MAX(节奏总纲!F110-$C$1,0)</f>
        <v>77259.562838813465</v>
      </c>
      <c r="Z112" s="2">
        <f>$E$6*$F$6/7*MAX(节奏总纲!G110-$C$1,0)</f>
        <v>54008.412029169478</v>
      </c>
      <c r="AA112" s="2">
        <f>$E$6*$F$6/7*MAX(节奏总纲!H110-$C$1,0)</f>
        <v>27159.15156920773</v>
      </c>
      <c r="AB112" s="2">
        <f>($E$9*$F$9*3600+$E$10*$F$10*1200)/7*MAX(节奏总纲!D110-$C$1,0)</f>
        <v>9614957.4464254137</v>
      </c>
      <c r="AC112" s="2">
        <f>($E$9*$F$9*3600+$E$10*$F$10*1200)/7*MAX(节奏总纲!E110-$C$1,0)</f>
        <v>8153626.1805240912</v>
      </c>
      <c r="AD112" s="2">
        <f>($E$9*$F$9*3600+$E$10*$F$10*1200)/7*MAX(节奏总纲!F110-$C$1,0)</f>
        <v>6489803.2784603303</v>
      </c>
      <c r="AE112" s="2">
        <f>($E$9*$F$9*3600+$E$10*$F$10*1200)/7*MAX(节奏总纲!G110-$C$1,0)</f>
        <v>4536706.6104502361</v>
      </c>
      <c r="AF112" s="2">
        <f>($E$9*$F$9*3600+$E$10*$F$10*1200)/7*MAX(节奏总纲!H110-$C$1,0)</f>
        <v>2281368.7318134494</v>
      </c>
      <c r="AK112" s="2">
        <v>107</v>
      </c>
      <c r="AL112" s="2">
        <f>'奖励（新）'!CT114</f>
        <v>621679.4403716157</v>
      </c>
      <c r="AM112" s="2">
        <f>'奖励（新）'!CU114</f>
        <v>534341.74859763356</v>
      </c>
      <c r="AN112" s="2">
        <f>'奖励（新）'!CV114</f>
        <v>448063.130458083</v>
      </c>
      <c r="AO112" s="2">
        <f>'奖励（新）'!CW114</f>
        <v>372879.99537947139</v>
      </c>
      <c r="AP112" s="2">
        <f>'奖励（新）'!CX114</f>
        <v>217511.32018385764</v>
      </c>
      <c r="AV112" s="2">
        <v>107</v>
      </c>
      <c r="AW112" s="2">
        <f>SUMPRODUCT($F$5:$F$12,$H$5:$H$12,J$5:J$12)/7*MAX(节奏总纲!D110-'奖励（新）'!$E$2,0)</f>
        <v>927156.61090530769</v>
      </c>
      <c r="AX112" s="2">
        <f>SUMPRODUCT($F$5:$F$12,$H$5:$H$12,K$5:K$12)/7*MAX(节奏总纲!E110-'奖励（新）'!$E$2,0)</f>
        <v>786242.52455053735</v>
      </c>
      <c r="AY112" s="2">
        <f>SUMPRODUCT($F$5:$F$12,$H$5:$H$12,L$5:L$12)/7*MAX(节奏总纲!F110-'奖励（新）'!$E$2,0)</f>
        <v>625802.45899438905</v>
      </c>
      <c r="AZ112" s="2">
        <f>SUMPRODUCT($F$5:$F$12,$H$5:$H$12,M$5:M$12)/7*MAX(节奏总纲!G110-'奖励（新）'!$E$2,0)</f>
        <v>437468.13743627269</v>
      </c>
      <c r="BA112" s="2">
        <f>SUMPRODUCT($F$5:$F$12,$H$5:$H$12,N$5:N$12)/7*MAX(节奏总纲!H110-'奖励（新）'!$E$2,0)</f>
        <v>219989.1277105826</v>
      </c>
      <c r="BE112" s="2">
        <v>107</v>
      </c>
      <c r="BF112" s="41">
        <f t="shared" si="12"/>
        <v>0.67052257737189236</v>
      </c>
      <c r="BG112" s="41">
        <f t="shared" si="13"/>
        <v>0.67961440892947744</v>
      </c>
      <c r="BH112" s="41">
        <f t="shared" si="14"/>
        <v>0.71598173515981722</v>
      </c>
      <c r="BI112" s="41">
        <f t="shared" si="15"/>
        <v>0.85235920852359204</v>
      </c>
      <c r="BJ112" s="41">
        <f t="shared" si="16"/>
        <v>0.98873668188736685</v>
      </c>
      <c r="BK112" s="2">
        <f>(AW112-AL112)*'奖励（新）'!$D$17</f>
        <v>1527385.85266846</v>
      </c>
      <c r="BL112" s="2">
        <f>(AX112-AM112)*'奖励（新）'!$D$17</f>
        <v>1259503.8797645189</v>
      </c>
      <c r="BM112" s="2">
        <f>(AY112-AN112)*'奖励（新）'!$D$17</f>
        <v>888696.64268153021</v>
      </c>
      <c r="BN112" s="2">
        <f>(AZ112-AO112)*'奖励（新）'!$D$17</f>
        <v>322940.71028400649</v>
      </c>
      <c r="BO112" s="2">
        <f>(BA112-AP112)*'奖励（新）'!$D$17</f>
        <v>12389.03763362483</v>
      </c>
    </row>
    <row r="113" spans="17:67" x14ac:dyDescent="0.2">
      <c r="Q113" s="2">
        <v>108</v>
      </c>
      <c r="R113" s="2">
        <f>$E$5*$F$5/7*MAX(节奏总纲!D111-$C$1,0)</f>
        <v>12299.196811646161</v>
      </c>
      <c r="S113" s="2">
        <f>$E$5*$F$5/7*MAX(节奏总纲!E111-$C$1,0)</f>
        <v>10434.578764454285</v>
      </c>
      <c r="T113" s="2">
        <f>$E$5*$F$5/7*MAX(节奏总纲!F111-$C$1,0)</f>
        <v>8272.1309404413169</v>
      </c>
      <c r="U113" s="2">
        <f>$E$5*$F$5/7*MAX(节奏总纲!G111-$C$1,0)</f>
        <v>5797.8527945430169</v>
      </c>
      <c r="V113" s="2">
        <f>$E$5*$F$5/7*MAX(节奏总纲!H111-$C$1,0)</f>
        <v>2936.6504941421026</v>
      </c>
      <c r="W113" s="2">
        <f>$E$6*$F$6/7*MAX(节奏总纲!D111-$C$1,0)</f>
        <v>122991.9681164616</v>
      </c>
      <c r="X113" s="2">
        <f>$E$6*$F$6/7*MAX(节奏总纲!E111-$C$1,0)</f>
        <v>104345.78764454284</v>
      </c>
      <c r="Y113" s="2">
        <f>$E$6*$F$6/7*MAX(节奏总纲!F111-$C$1,0)</f>
        <v>82721.309404413158</v>
      </c>
      <c r="Z113" s="2">
        <f>$E$6*$F$6/7*MAX(节奏总纲!G111-$C$1,0)</f>
        <v>57978.527945430164</v>
      </c>
      <c r="AA113" s="2">
        <f>$E$6*$F$6/7*MAX(节奏总纲!H111-$C$1,0)</f>
        <v>29366.504941421023</v>
      </c>
      <c r="AB113" s="2">
        <f>($E$9*$F$9*3600+$E$10*$F$10*1200)/7*MAX(节奏总纲!D111-$C$1,0)</f>
        <v>10331325.321782775</v>
      </c>
      <c r="AC113" s="2">
        <f>($E$9*$F$9*3600+$E$10*$F$10*1200)/7*MAX(节奏总纲!E111-$C$1,0)</f>
        <v>8765046.1621415988</v>
      </c>
      <c r="AD113" s="2">
        <f>($E$9*$F$9*3600+$E$10*$F$10*1200)/7*MAX(节奏总纲!F111-$C$1,0)</f>
        <v>6948589.9899707055</v>
      </c>
      <c r="AE113" s="2">
        <f>($E$9*$F$9*3600+$E$10*$F$10*1200)/7*MAX(节奏总纲!G111-$C$1,0)</f>
        <v>4870196.3474161336</v>
      </c>
      <c r="AF113" s="2">
        <f>($E$9*$F$9*3600+$E$10*$F$10*1200)/7*MAX(节奏总纲!H111-$C$1,0)</f>
        <v>2466786.415079366</v>
      </c>
      <c r="AK113" s="2">
        <v>108</v>
      </c>
      <c r="AL113" s="2">
        <f>'奖励（新）'!CT115</f>
        <v>667998.02080568066</v>
      </c>
      <c r="AM113" s="2">
        <f>'奖励（新）'!CU115</f>
        <v>574410.69643404661</v>
      </c>
      <c r="AN113" s="2">
        <f>'奖励（新）'!CV115</f>
        <v>479738.26780071709</v>
      </c>
      <c r="AO113" s="2">
        <f>'奖励（新）'!CW115</f>
        <v>400290.11074653151</v>
      </c>
      <c r="AP113" s="2">
        <f>'奖励（新）'!CX115</f>
        <v>235189.49930071761</v>
      </c>
      <c r="AV113" s="2">
        <v>108</v>
      </c>
      <c r="AW113" s="2">
        <f>SUMPRODUCT($F$5:$F$12,$H$5:$H$12,J$5:J$12)/7*MAX(节奏总纲!D111-'奖励（新）'!$E$2,0)</f>
        <v>996234.94174333895</v>
      </c>
      <c r="AX113" s="2">
        <f>SUMPRODUCT($F$5:$F$12,$H$5:$H$12,K$5:K$12)/7*MAX(节奏总纲!E111-'奖励（新）'!$E$2,0)</f>
        <v>845200.87992079696</v>
      </c>
      <c r="AY113" s="2">
        <f>SUMPRODUCT($F$5:$F$12,$H$5:$H$12,L$5:L$12)/7*MAX(节奏总纲!F111-'奖励（新）'!$E$2,0)</f>
        <v>670042.60617574654</v>
      </c>
      <c r="AZ113" s="2">
        <f>SUMPRODUCT($F$5:$F$12,$H$5:$H$12,M$5:M$12)/7*MAX(节奏总纲!G111-'奖励（新）'!$E$2,0)</f>
        <v>469626.07635798433</v>
      </c>
      <c r="BA113" s="2">
        <f>SUMPRODUCT($F$5:$F$12,$H$5:$H$12,N$5:N$12)/7*MAX(节奏总纲!H111-'奖励（新）'!$E$2,0)</f>
        <v>237868.6900255103</v>
      </c>
      <c r="BE113" s="2">
        <v>108</v>
      </c>
      <c r="BF113" s="41">
        <f t="shared" si="12"/>
        <v>0.67052257737189236</v>
      </c>
      <c r="BG113" s="41">
        <f t="shared" si="13"/>
        <v>0.67961440892947733</v>
      </c>
      <c r="BH113" s="41">
        <f t="shared" si="14"/>
        <v>0.71598173515981722</v>
      </c>
      <c r="BI113" s="41">
        <f t="shared" si="15"/>
        <v>0.85235920852359204</v>
      </c>
      <c r="BJ113" s="41">
        <f t="shared" si="16"/>
        <v>0.98873668188736674</v>
      </c>
      <c r="BK113" s="2">
        <f>(AW113-AL113)*'奖励（新）'!$D$17</f>
        <v>1641184.6046882914</v>
      </c>
      <c r="BL113" s="2">
        <f>(AX113-AM113)*'奖励（新）'!$D$17</f>
        <v>1353950.9174337517</v>
      </c>
      <c r="BM113" s="2">
        <f>(AY113-AN113)*'奖励（新）'!$D$17</f>
        <v>951521.69187514717</v>
      </c>
      <c r="BN113" s="2">
        <f>(AZ113-AO113)*'奖励（新）'!$D$17</f>
        <v>346679.82805726409</v>
      </c>
      <c r="BO113" s="2">
        <f>(BA113-AP113)*'奖励（新）'!$D$17</f>
        <v>13395.953623963433</v>
      </c>
    </row>
    <row r="114" spans="17:67" x14ac:dyDescent="0.2">
      <c r="Q114" s="2">
        <v>109</v>
      </c>
      <c r="R114" s="2">
        <f>$E$5*$F$5/7*MAX(节奏总纲!D112-$C$1,0)</f>
        <v>13213.225476195585</v>
      </c>
      <c r="S114" s="2">
        <f>$E$5*$F$5/7*MAX(节奏总纲!E112-$C$1,0)</f>
        <v>11176.505198313871</v>
      </c>
      <c r="T114" s="2">
        <f>$E$5*$F$5/7*MAX(节奏总纲!F112-$C$1,0)</f>
        <v>8868.3131620272907</v>
      </c>
      <c r="U114" s="2">
        <f>$E$5*$F$5/7*MAX(节奏总纲!G112-$C$1,0)</f>
        <v>6227.2612812643974</v>
      </c>
      <c r="V114" s="2">
        <f>$E$5*$F$5/7*MAX(节奏总纲!H112-$C$1,0)</f>
        <v>3175.591313668016</v>
      </c>
      <c r="W114" s="2">
        <f>$E$6*$F$6/7*MAX(节奏总纲!D112-$C$1,0)</f>
        <v>132132.25476195585</v>
      </c>
      <c r="X114" s="2">
        <f>$E$6*$F$6/7*MAX(节奏总纲!E112-$C$1,0)</f>
        <v>111765.05198313871</v>
      </c>
      <c r="Y114" s="2">
        <f>$E$6*$F$6/7*MAX(节奏总纲!F112-$C$1,0)</f>
        <v>88683.131620272907</v>
      </c>
      <c r="Z114" s="2">
        <f>$E$6*$F$6/7*MAX(节奏总纲!G112-$C$1,0)</f>
        <v>62272.612812643973</v>
      </c>
      <c r="AA114" s="2">
        <f>$E$6*$F$6/7*MAX(节奏总纲!H112-$C$1,0)</f>
        <v>31755.913136680159</v>
      </c>
      <c r="AB114" s="2">
        <f>($E$9*$F$9*3600+$E$10*$F$10*1200)/7*MAX(节奏总纲!D112-$C$1,0)</f>
        <v>11099109.40000429</v>
      </c>
      <c r="AC114" s="2">
        <f>($E$9*$F$9*3600+$E$10*$F$10*1200)/7*MAX(节奏总纲!E112-$C$1,0)</f>
        <v>9388264.3665836509</v>
      </c>
      <c r="AD114" s="2">
        <f>($E$9*$F$9*3600+$E$10*$F$10*1200)/7*MAX(节奏总纲!F112-$C$1,0)</f>
        <v>7449383.056102924</v>
      </c>
      <c r="AE114" s="2">
        <f>($E$9*$F$9*3600+$E$10*$F$10*1200)/7*MAX(节奏总纲!G112-$C$1,0)</f>
        <v>5230899.4762620935</v>
      </c>
      <c r="AF114" s="2">
        <f>($E$9*$F$9*3600+$E$10*$F$10*1200)/7*MAX(节奏总纲!H112-$C$1,0)</f>
        <v>2667496.7034811336</v>
      </c>
      <c r="AK114" s="2">
        <v>109</v>
      </c>
      <c r="AL114" s="2">
        <f>'奖励（新）'!CT116</f>
        <v>717641.04613726377</v>
      </c>
      <c r="AM114" s="2">
        <f>'奖励（新）'!CU116</f>
        <v>615252.83191419416</v>
      </c>
      <c r="AN114" s="2">
        <f>'奖励（新）'!CV116</f>
        <v>514313.56990080455</v>
      </c>
      <c r="AO114" s="2">
        <f>'奖励（新）'!CW116</f>
        <v>429936.94325441867</v>
      </c>
      <c r="AP114" s="2">
        <f>'奖励（新）'!CX116</f>
        <v>254325.71309902309</v>
      </c>
      <c r="AV114" s="2">
        <v>109</v>
      </c>
      <c r="AW114" s="2">
        <f>SUMPRODUCT($F$5:$F$12,$H$5:$H$12,J$5:J$12)/7*MAX(节奏总纲!D112-'奖励（新）'!$E$2,0)</f>
        <v>1070271.2635718423</v>
      </c>
      <c r="AX114" s="2">
        <f>SUMPRODUCT($F$5:$F$12,$H$5:$H$12,K$5:K$12)/7*MAX(节奏总纲!E112-'奖励（新）'!$E$2,0)</f>
        <v>905296.92106342339</v>
      </c>
      <c r="AY114" s="2">
        <f>SUMPRODUCT($F$5:$F$12,$H$5:$H$12,L$5:L$12)/7*MAX(节奏总纲!F112-'奖励（新）'!$E$2,0)</f>
        <v>718333.36612421053</v>
      </c>
      <c r="AZ114" s="2">
        <f>SUMPRODUCT($F$5:$F$12,$H$5:$H$12,M$5:M$12)/7*MAX(节奏总纲!G112-'奖励（新）'!$E$2,0)</f>
        <v>504408.16378241614</v>
      </c>
      <c r="BA114" s="2">
        <f>SUMPRODUCT($F$5:$F$12,$H$5:$H$12,N$5:N$12)/7*MAX(节奏总纲!H112-'奖励（新）'!$E$2,0)</f>
        <v>257222.89640710928</v>
      </c>
      <c r="BE114" s="2">
        <v>109</v>
      </c>
      <c r="BF114" s="41">
        <f t="shared" si="12"/>
        <v>0.67052257737189247</v>
      </c>
      <c r="BG114" s="41">
        <f t="shared" si="13"/>
        <v>0.67961440892947733</v>
      </c>
      <c r="BH114" s="41">
        <f t="shared" si="14"/>
        <v>0.71598173515981722</v>
      </c>
      <c r="BI114" s="41">
        <f t="shared" si="15"/>
        <v>0.85235920852359215</v>
      </c>
      <c r="BJ114" s="41">
        <f t="shared" si="16"/>
        <v>0.98873668188736674</v>
      </c>
      <c r="BK114" s="2">
        <f>(AW114-AL114)*'奖励（新）'!$D$17</f>
        <v>1763151.0871728929</v>
      </c>
      <c r="BL114" s="2">
        <f>(AX114-AM114)*'奖励（新）'!$D$17</f>
        <v>1450220.4457461461</v>
      </c>
      <c r="BM114" s="2">
        <f>(AY114-AN114)*'奖励（新）'!$D$17</f>
        <v>1020098.9811170299</v>
      </c>
      <c r="BN114" s="2">
        <f>(AZ114-AO114)*'奖励（新）'!$D$17</f>
        <v>372356.10263998737</v>
      </c>
      <c r="BO114" s="2">
        <f>(BA114-AP114)*'奖励（新）'!$D$17</f>
        <v>14485.916540430917</v>
      </c>
    </row>
    <row r="115" spans="17:67" x14ac:dyDescent="0.2">
      <c r="Q115" s="2">
        <v>110</v>
      </c>
      <c r="R115" s="2">
        <f>$E$5*$F$5/7*MAX(节奏总纲!D113-$C$1,0)</f>
        <v>14192.857142857143</v>
      </c>
      <c r="S115" s="2">
        <f>$E$5*$F$5/7*MAX(节奏总纲!E113-$C$1,0)</f>
        <v>12009.877857142857</v>
      </c>
      <c r="T115" s="2">
        <f>$E$5*$F$5/7*MAX(节奏总纲!F113-$C$1,0)</f>
        <v>9552.0157142857133</v>
      </c>
      <c r="U115" s="2">
        <f>$E$5*$F$5/7*MAX(节奏总纲!G113-$C$1,0)</f>
        <v>6724.2314285714292</v>
      </c>
      <c r="V115" s="2">
        <f>$E$5*$F$5/7*MAX(节奏总纲!H113-$C$1,0)</f>
        <v>3443.1828571428568</v>
      </c>
      <c r="W115" s="2">
        <f>$E$6*$F$6/7*MAX(节奏总纲!D113-$C$1,0)</f>
        <v>141928.57142857142</v>
      </c>
      <c r="X115" s="2">
        <f>$E$6*$F$6/7*MAX(节奏总纲!E113-$C$1,0)</f>
        <v>120098.77857142859</v>
      </c>
      <c r="Y115" s="2">
        <f>$E$6*$F$6/7*MAX(节奏总纲!F113-$C$1,0)</f>
        <v>95520.157142857133</v>
      </c>
      <c r="Z115" s="2">
        <f>$E$6*$F$6/7*MAX(节奏总纲!G113-$C$1,0)</f>
        <v>67242.314285714296</v>
      </c>
      <c r="AA115" s="2">
        <f>$E$6*$F$6/7*MAX(节奏总纲!H113-$C$1,0)</f>
        <v>34431.828571428567</v>
      </c>
      <c r="AB115" s="2">
        <f>($E$9*$F$9*3600+$E$10*$F$10*1200)/7*MAX(节奏总纲!D113-$C$1,0)</f>
        <v>11922000</v>
      </c>
      <c r="AC115" s="2">
        <f>($E$9*$F$9*3600+$E$10*$F$10*1200)/7*MAX(节奏总纲!E113-$C$1,0)</f>
        <v>10088297.4</v>
      </c>
      <c r="AD115" s="2">
        <f>($E$9*$F$9*3600+$E$10*$F$10*1200)/7*MAX(节奏总纲!F113-$C$1,0)</f>
        <v>8023693.1999999993</v>
      </c>
      <c r="AE115" s="2">
        <f>($E$9*$F$9*3600+$E$10*$F$10*1200)/7*MAX(节奏总纲!G113-$C$1,0)</f>
        <v>5648354.4000000004</v>
      </c>
      <c r="AF115" s="2">
        <f>($E$9*$F$9*3600+$E$10*$F$10*1200)/7*MAX(节奏总纲!H113-$C$1,0)</f>
        <v>2892273.5999999996</v>
      </c>
      <c r="AK115" s="2">
        <v>110</v>
      </c>
      <c r="AL115" s="2">
        <f>'奖励（新）'!CT117</f>
        <v>770847.12328767125</v>
      </c>
      <c r="AM115" s="2">
        <f>'奖励（新）'!CU117</f>
        <v>661128.96933698631</v>
      </c>
      <c r="AN115" s="2">
        <f>'奖励（新）'!CV117</f>
        <v>553964.57161643822</v>
      </c>
      <c r="AO115" s="2">
        <f>'奖励（新）'!CW117</f>
        <v>464248.30684931506</v>
      </c>
      <c r="AP115" s="2">
        <f>'奖励（新）'!CX117</f>
        <v>275756.49665753421</v>
      </c>
      <c r="AV115" s="2">
        <v>110</v>
      </c>
      <c r="AW115" s="2">
        <f>SUMPRODUCT($F$5:$F$12,$H$5:$H$12,J$5:J$12)/7*MAX(节奏总纲!D113-'奖励（新）'!$E$2,0)</f>
        <v>1149621.4285714286</v>
      </c>
      <c r="AX115" s="2">
        <f>SUMPRODUCT($F$5:$F$12,$H$5:$H$12,K$5:K$12)/7*MAX(节奏总纲!E113-'奖励（新）'!$E$2,0)</f>
        <v>972800.10642857139</v>
      </c>
      <c r="AY115" s="2">
        <f>SUMPRODUCT($F$5:$F$12,$H$5:$H$12,L$5:L$12)/7*MAX(节奏总纲!F113-'奖励（新）'!$E$2,0)</f>
        <v>773713.27285714273</v>
      </c>
      <c r="AZ115" s="2">
        <f>SUMPRODUCT($F$5:$F$12,$H$5:$H$12,M$5:M$12)/7*MAX(节奏总纲!G113-'奖励（新）'!$E$2,0)</f>
        <v>544662.74571428576</v>
      </c>
      <c r="BA115" s="2">
        <f>SUMPRODUCT($F$5:$F$12,$H$5:$H$12,N$5:N$12)/7*MAX(节奏总纲!H113-'奖励（新）'!$E$2,0)</f>
        <v>278897.81142857135</v>
      </c>
      <c r="BE115" s="2">
        <v>110</v>
      </c>
      <c r="BF115" s="41">
        <f t="shared" si="12"/>
        <v>0.67052257737189236</v>
      </c>
      <c r="BG115" s="41">
        <f t="shared" si="13"/>
        <v>0.67961440892947744</v>
      </c>
      <c r="BH115" s="41">
        <f t="shared" si="14"/>
        <v>0.71598173515981733</v>
      </c>
      <c r="BI115" s="41">
        <f t="shared" si="15"/>
        <v>0.85235920852359204</v>
      </c>
      <c r="BJ115" s="41">
        <f t="shared" si="16"/>
        <v>0.98873668188736696</v>
      </c>
      <c r="BK115" s="2">
        <f>(AW115-AL115)*'奖励（新）'!$D$17</f>
        <v>1893871.526418787</v>
      </c>
      <c r="BL115" s="2">
        <f>(AX115-AM115)*'奖励（新）'!$D$17</f>
        <v>1558355.6854579253</v>
      </c>
      <c r="BM115" s="2">
        <f>(AY115-AN115)*'奖励（新）'!$D$17</f>
        <v>1098743.5062035224</v>
      </c>
      <c r="BN115" s="2">
        <f>(AZ115-AO115)*'奖励（新）'!$D$17</f>
        <v>402072.19432485348</v>
      </c>
      <c r="BO115" s="2">
        <f>(BA115-AP115)*'奖励（新）'!$D$17</f>
        <v>15706.573855185707</v>
      </c>
    </row>
    <row r="116" spans="17:67" x14ac:dyDescent="0.2">
      <c r="Q116" s="2">
        <v>111</v>
      </c>
      <c r="R116" s="2">
        <f>$E$5*$F$5/7*MAX(节奏总纲!D114-$C$1,0)</f>
        <v>15242.80036624519</v>
      </c>
      <c r="S116" s="2">
        <f>$E$5*$F$5/7*MAX(节奏总纲!E114-$C$1,0)</f>
        <v>12921.870203432849</v>
      </c>
      <c r="T116" s="2">
        <f>$E$5*$F$5/7*MAX(节奏总纲!F114-$C$1,0)</f>
        <v>10289.079741903655</v>
      </c>
      <c r="U116" s="2">
        <f>$E$5*$F$5/7*MAX(节奏总纲!G114-$C$1,0)</f>
        <v>7261.3707111450876</v>
      </c>
      <c r="V116" s="2">
        <f>$E$5*$F$5/7*MAX(节奏总纲!H114-$C$1,0)</f>
        <v>3736.8791944908289</v>
      </c>
      <c r="W116" s="2">
        <f>$E$6*$F$6/7*MAX(节奏总纲!D114-$C$1,0)</f>
        <v>152428.0036624519</v>
      </c>
      <c r="X116" s="2">
        <f>$E$6*$F$6/7*MAX(节奏总纲!E114-$C$1,0)</f>
        <v>129218.70203432848</v>
      </c>
      <c r="Y116" s="2">
        <f>$E$6*$F$6/7*MAX(节奏总纲!F114-$C$1,0)</f>
        <v>102890.79741903655</v>
      </c>
      <c r="Z116" s="2">
        <f>$E$6*$F$6/7*MAX(节奏总纲!G114-$C$1,0)</f>
        <v>72613.707111450873</v>
      </c>
      <c r="AA116" s="2">
        <f>$E$6*$F$6/7*MAX(节奏总纲!H114-$C$1,0)</f>
        <v>37368.791944908284</v>
      </c>
      <c r="AB116" s="2">
        <f>($E$9*$F$9*3600+$E$10*$F$10*1200)/7*MAX(节奏总纲!D114-$C$1,0)</f>
        <v>12803952.30764596</v>
      </c>
      <c r="AC116" s="2">
        <f>($E$9*$F$9*3600+$E$10*$F$10*1200)/7*MAX(节奏总纲!E114-$C$1,0)</f>
        <v>10854370.970883593</v>
      </c>
      <c r="AD116" s="2">
        <f>($E$9*$F$9*3600+$E$10*$F$10*1200)/7*MAX(节奏总纲!F114-$C$1,0)</f>
        <v>8642826.9831990693</v>
      </c>
      <c r="AE116" s="2">
        <f>($E$9*$F$9*3600+$E$10*$F$10*1200)/7*MAX(节奏总纲!G114-$C$1,0)</f>
        <v>6099551.3973618727</v>
      </c>
      <c r="AF116" s="2">
        <f>($E$9*$F$9*3600+$E$10*$F$10*1200)/7*MAX(节奏总纲!H114-$C$1,0)</f>
        <v>3138978.5233722958</v>
      </c>
      <c r="AK116" s="2">
        <v>111</v>
      </c>
      <c r="AL116" s="2">
        <f>'奖励（新）'!CT118</f>
        <v>827871.98482313601</v>
      </c>
      <c r="AM116" s="2">
        <f>'奖励（新）'!CU118</f>
        <v>711333.02362612472</v>
      </c>
      <c r="AN116" s="2">
        <f>'奖励（新）'!CV118</f>
        <v>596710.24651127821</v>
      </c>
      <c r="AO116" s="2">
        <f>'奖励（新）'!CW118</f>
        <v>501332.99156398955</v>
      </c>
      <c r="AP116" s="2">
        <f>'奖励（新）'!CX118</f>
        <v>299277.95236535859</v>
      </c>
      <c r="AV116" s="2">
        <v>111</v>
      </c>
      <c r="AW116" s="2">
        <f>SUMPRODUCT($F$5:$F$12,$H$5:$H$12,J$5:J$12)/7*MAX(节奏总纲!D114-'奖励（新）'!$E$2,0)</f>
        <v>1234666.8296658604</v>
      </c>
      <c r="AX116" s="2">
        <f>SUMPRODUCT($F$5:$F$12,$H$5:$H$12,K$5:K$12)/7*MAX(节奏总纲!E114-'奖励（新）'!$E$2,0)</f>
        <v>1046671.4864780606</v>
      </c>
      <c r="AY116" s="2">
        <f>SUMPRODUCT($F$5:$F$12,$H$5:$H$12,L$5:L$12)/7*MAX(节奏总纲!F114-'奖励（新）'!$E$2,0)</f>
        <v>833415.45909419598</v>
      </c>
      <c r="AZ116" s="2">
        <f>SUMPRODUCT($F$5:$F$12,$H$5:$H$12,M$5:M$12)/7*MAX(节奏总纲!G114-'奖励（新）'!$E$2,0)</f>
        <v>588171.02760275209</v>
      </c>
      <c r="BA116" s="2">
        <f>SUMPRODUCT($F$5:$F$12,$H$5:$H$12,N$5:N$12)/7*MAX(节奏总纲!H114-'奖励（新）'!$E$2,0)</f>
        <v>302687.21475375711</v>
      </c>
      <c r="BE116" s="2">
        <v>111</v>
      </c>
      <c r="BF116" s="41">
        <f t="shared" si="12"/>
        <v>0.67052257737189247</v>
      </c>
      <c r="BG116" s="41">
        <f t="shared" si="13"/>
        <v>0.67961440892947744</v>
      </c>
      <c r="BH116" s="41">
        <f t="shared" si="14"/>
        <v>0.71598173515981733</v>
      </c>
      <c r="BI116" s="41">
        <f t="shared" si="15"/>
        <v>0.85235920852359204</v>
      </c>
      <c r="BJ116" s="41">
        <f t="shared" si="16"/>
        <v>0.98873668188736674</v>
      </c>
      <c r="BK116" s="2">
        <f>(AW116-AL116)*'奖励（新）'!$D$17</f>
        <v>2033974.224213622</v>
      </c>
      <c r="BL116" s="2">
        <f>(AX116-AM116)*'奖励（新）'!$D$17</f>
        <v>1676692.3142596795</v>
      </c>
      <c r="BM116" s="2">
        <f>(AY116-AN116)*'奖励（新）'!$D$17</f>
        <v>1183526.062914589</v>
      </c>
      <c r="BN116" s="2">
        <f>(AZ116-AO116)*'奖励（新）'!$D$17</f>
        <v>434190.1801938127</v>
      </c>
      <c r="BO116" s="2">
        <f>(BA116-AP116)*'奖励（新）'!$D$17</f>
        <v>17046.311941992608</v>
      </c>
    </row>
    <row r="117" spans="17:67" x14ac:dyDescent="0.2">
      <c r="Q117" s="2">
        <v>112</v>
      </c>
      <c r="R117" s="2">
        <f>$E$5*$F$5/7*MAX(节奏总纲!D115-$C$1,0)</f>
        <v>16368.101650242326</v>
      </c>
      <c r="S117" s="2">
        <f>$E$5*$F$5/7*MAX(节奏总纲!E115-$C$1,0)</f>
        <v>13890.592371117298</v>
      </c>
      <c r="T117" s="2">
        <f>$E$5*$F$5/7*MAX(节奏总纲!F115-$C$1,0)</f>
        <v>11067.071626568706</v>
      </c>
      <c r="U117" s="2">
        <f>$E$5*$F$5/7*MAX(节奏总纲!G115-$C$1,0)</f>
        <v>7823.6340550497698</v>
      </c>
      <c r="V117" s="2">
        <f>$E$5*$F$5/7*MAX(节奏总纲!H115-$C$1,0)</f>
        <v>4022.5469373142168</v>
      </c>
      <c r="W117" s="2">
        <f>$E$6*$F$6/7*MAX(节奏总纲!D115-$C$1,0)</f>
        <v>163681.01650242327</v>
      </c>
      <c r="X117" s="2">
        <f>$E$6*$F$6/7*MAX(节奏总纲!E115-$C$1,0)</f>
        <v>138905.92371117297</v>
      </c>
      <c r="Y117" s="2">
        <f>$E$6*$F$6/7*MAX(节奏总纲!F115-$C$1,0)</f>
        <v>110670.71626568705</v>
      </c>
      <c r="Z117" s="2">
        <f>$E$6*$F$6/7*MAX(节奏总纲!G115-$C$1,0)</f>
        <v>78236.340550497698</v>
      </c>
      <c r="AA117" s="2">
        <f>$E$6*$F$6/7*MAX(节奏总纲!H115-$C$1,0)</f>
        <v>40225.469373142165</v>
      </c>
      <c r="AB117" s="2">
        <f>($E$9*$F$9*3600+$E$10*$F$10*1200)/7*MAX(节奏总纲!D115-$C$1,0)</f>
        <v>13749205.386203554</v>
      </c>
      <c r="AC117" s="2">
        <f>($E$9*$F$9*3600+$E$10*$F$10*1200)/7*MAX(节奏总纲!E115-$C$1,0)</f>
        <v>11668097.59173853</v>
      </c>
      <c r="AD117" s="2">
        <f>($E$9*$F$9*3600+$E$10*$F$10*1200)/7*MAX(节奏总纲!F115-$C$1,0)</f>
        <v>9296340.1663177125</v>
      </c>
      <c r="AE117" s="2">
        <f>($E$9*$F$9*3600+$E$10*$F$10*1200)/7*MAX(节奏总纲!G115-$C$1,0)</f>
        <v>6571852.6062418064</v>
      </c>
      <c r="AF117" s="2">
        <f>($E$9*$F$9*3600+$E$10*$F$10*1200)/7*MAX(节奏总纲!H115-$C$1,0)</f>
        <v>3378939.4273439422</v>
      </c>
      <c r="AK117" s="2">
        <v>112</v>
      </c>
      <c r="AL117" s="2">
        <f>'奖励（新）'!CT119</f>
        <v>888989.71812165435</v>
      </c>
      <c r="AM117" s="2">
        <f>'奖励（新）'!CU119</f>
        <v>764659.98464215244</v>
      </c>
      <c r="AN117" s="2">
        <f>'奖励（新）'!CV119</f>
        <v>641829.5128526201</v>
      </c>
      <c r="AO117" s="2">
        <f>'奖励（新）'!CW119</f>
        <v>540152.2690061758</v>
      </c>
      <c r="AP117" s="2">
        <f>'奖励（新）'!CX119</f>
        <v>322156.41663443611</v>
      </c>
      <c r="AV117" s="2">
        <v>112</v>
      </c>
      <c r="AW117" s="2">
        <f>SUMPRODUCT($F$5:$F$12,$H$5:$H$12,J$5:J$12)/7*MAX(节奏总纲!D115-'奖励（新）'!$E$2,0)</f>
        <v>1325816.2336696284</v>
      </c>
      <c r="AX117" s="2">
        <f>SUMPRODUCT($F$5:$F$12,$H$5:$H$12,K$5:K$12)/7*MAX(节奏总纲!E115-'奖励（新）'!$E$2,0)</f>
        <v>1125137.9820605011</v>
      </c>
      <c r="AY117" s="2">
        <f>SUMPRODUCT($F$5:$F$12,$H$5:$H$12,L$5:L$12)/7*MAX(节奏总纲!F115-'奖励（新）'!$E$2,0)</f>
        <v>896432.80175206508</v>
      </c>
      <c r="AZ117" s="2">
        <f>SUMPRODUCT($F$5:$F$12,$H$5:$H$12,M$5:M$12)/7*MAX(节奏总纲!G115-'奖励（新）'!$E$2,0)</f>
        <v>633714.35845903133</v>
      </c>
      <c r="BA117" s="2">
        <f>SUMPRODUCT($F$5:$F$12,$H$5:$H$12,N$5:N$12)/7*MAX(节奏总纲!H115-'奖励（新）'!$E$2,0)</f>
        <v>325826.30192245153</v>
      </c>
      <c r="BE117" s="2">
        <v>112</v>
      </c>
      <c r="BF117" s="41">
        <f t="shared" si="12"/>
        <v>0.67052257737189236</v>
      </c>
      <c r="BG117" s="41">
        <f t="shared" si="13"/>
        <v>0.67961440892947744</v>
      </c>
      <c r="BH117" s="41">
        <f t="shared" si="14"/>
        <v>0.71598173515981733</v>
      </c>
      <c r="BI117" s="41">
        <f t="shared" si="15"/>
        <v>0.85235920852359204</v>
      </c>
      <c r="BJ117" s="41">
        <f t="shared" si="16"/>
        <v>0.98873668188736685</v>
      </c>
      <c r="BK117" s="2">
        <f>(AW117-AL117)*'奖励（新）'!$D$17</f>
        <v>2184132.5777398702</v>
      </c>
      <c r="BL117" s="2">
        <f>(AX117-AM117)*'奖励（新）'!$D$17</f>
        <v>1802389.9870917434</v>
      </c>
      <c r="BM117" s="2">
        <f>(AY117-AN117)*'奖励（新）'!$D$17</f>
        <v>1273016.4444972249</v>
      </c>
      <c r="BN117" s="2">
        <f>(AZ117-AO117)*'奖励（新）'!$D$17</f>
        <v>467810.44726427761</v>
      </c>
      <c r="BO117" s="2">
        <f>(BA117-AP117)*'奖励（新）'!$D$17</f>
        <v>18349.426440077077</v>
      </c>
    </row>
    <row r="118" spans="17:67" x14ac:dyDescent="0.2">
      <c r="Q118" s="2">
        <v>113</v>
      </c>
      <c r="R118" s="2">
        <f>$E$5*$F$5/7*MAX(节奏总纲!D116-$C$1,0)</f>
        <v>17574.169703788491</v>
      </c>
      <c r="S118" s="2">
        <f>$E$5*$F$5/7*MAX(节奏总纲!E116-$C$1,0)</f>
        <v>14925.966483218346</v>
      </c>
      <c r="T118" s="2">
        <f>$E$5*$F$5/7*MAX(节奏总纲!F116-$C$1,0)</f>
        <v>11905.106521208352</v>
      </c>
      <c r="U118" s="2">
        <f>$E$5*$F$5/7*MAX(节奏总纲!G116-$C$1,0)</f>
        <v>8398.1725486246396</v>
      </c>
      <c r="V118" s="2">
        <f>$E$5*$F$5/7*MAX(节奏总纲!H116-$C$1,0)</f>
        <v>4325.952504484826</v>
      </c>
      <c r="W118" s="2">
        <f>$E$6*$F$6/7*MAX(节奏总纲!D116-$C$1,0)</f>
        <v>175741.69703788491</v>
      </c>
      <c r="X118" s="2">
        <f>$E$6*$F$6/7*MAX(节奏总纲!E116-$C$1,0)</f>
        <v>149259.66483218345</v>
      </c>
      <c r="Y118" s="2">
        <f>$E$6*$F$6/7*MAX(节奏总纲!F116-$C$1,0)</f>
        <v>119051.06521208353</v>
      </c>
      <c r="Z118" s="2">
        <f>$E$6*$F$6/7*MAX(节奏总纲!G116-$C$1,0)</f>
        <v>83981.725486246403</v>
      </c>
      <c r="AA118" s="2">
        <f>$E$6*$F$6/7*MAX(节奏总纲!H116-$C$1,0)</f>
        <v>43259.525044848262</v>
      </c>
      <c r="AB118" s="2">
        <f>($E$9*$F$9*3600+$E$10*$F$10*1200)/7*MAX(节奏总纲!D116-$C$1,0)</f>
        <v>14762302.551182332</v>
      </c>
      <c r="AC118" s="2">
        <f>($E$9*$F$9*3600+$E$10*$F$10*1200)/7*MAX(节奏总纲!E116-$C$1,0)</f>
        <v>12537811.84590341</v>
      </c>
      <c r="AD118" s="2">
        <f>($E$9*$F$9*3600+$E$10*$F$10*1200)/7*MAX(节奏总纲!F116-$C$1,0)</f>
        <v>10000289.477815015</v>
      </c>
      <c r="AE118" s="2">
        <f>($E$9*$F$9*3600+$E$10*$F$10*1200)/7*MAX(节奏总纲!G116-$C$1,0)</f>
        <v>7054464.9408446979</v>
      </c>
      <c r="AF118" s="2">
        <f>($E$9*$F$9*3600+$E$10*$F$10*1200)/7*MAX(节奏总纲!H116-$C$1,0)</f>
        <v>3633800.1037672539</v>
      </c>
      <c r="AK118" s="2">
        <v>113</v>
      </c>
      <c r="AL118" s="2">
        <f>'奖励（新）'!CT120</f>
        <v>954494.08276137814</v>
      </c>
      <c r="AM118" s="2">
        <f>'奖励（新）'!CU120</f>
        <v>821656.05302468373</v>
      </c>
      <c r="AN118" s="2">
        <f>'奖励（新）'!CV120</f>
        <v>690430.94476969424</v>
      </c>
      <c r="AO118" s="2">
        <f>'奖励（新）'!CW120</f>
        <v>579819.03623381071</v>
      </c>
      <c r="AP118" s="2">
        <f>'奖励（新）'!CX120</f>
        <v>346455.46194822033</v>
      </c>
      <c r="AV118" s="2">
        <v>113</v>
      </c>
      <c r="AW118" s="2">
        <f>SUMPRODUCT($F$5:$F$12,$H$5:$H$12,J$5:J$12)/7*MAX(节奏总纲!D116-'奖励（新）'!$E$2,0)</f>
        <v>1423507.7460068676</v>
      </c>
      <c r="AX118" s="2">
        <f>SUMPRODUCT($F$5:$F$12,$H$5:$H$12,K$5:K$12)/7*MAX(节奏总纲!E116-'奖励（新）'!$E$2,0)</f>
        <v>1209003.285140686</v>
      </c>
      <c r="AY118" s="2">
        <f>SUMPRODUCT($F$5:$F$12,$H$5:$H$12,L$5:L$12)/7*MAX(节奏总纲!F116-'奖励（新）'!$E$2,0)</f>
        <v>964313.62821787654</v>
      </c>
      <c r="AZ118" s="2">
        <f>SUMPRODUCT($F$5:$F$12,$H$5:$H$12,M$5:M$12)/7*MAX(节奏总纲!G116-'奖励（新）'!$E$2,0)</f>
        <v>680251.9764385958</v>
      </c>
      <c r="BA118" s="2">
        <f>SUMPRODUCT($F$5:$F$12,$H$5:$H$12,N$5:N$12)/7*MAX(节奏总纲!H116-'奖励（新）'!$E$2,0)</f>
        <v>350402.15286327089</v>
      </c>
      <c r="BE118" s="2">
        <v>113</v>
      </c>
      <c r="BF118" s="41">
        <f t="shared" si="12"/>
        <v>0.67052257737189247</v>
      </c>
      <c r="BG118" s="41">
        <f t="shared" si="13"/>
        <v>0.67961440892947744</v>
      </c>
      <c r="BH118" s="41">
        <f t="shared" si="14"/>
        <v>0.71598173515981733</v>
      </c>
      <c r="BI118" s="41">
        <f t="shared" si="15"/>
        <v>0.85235920852359204</v>
      </c>
      <c r="BJ118" s="41">
        <f t="shared" si="16"/>
        <v>0.98873668188736674</v>
      </c>
      <c r="BK118" s="2">
        <f>(AW118-AL118)*'奖励（新）'!$D$17</f>
        <v>2345068.3162274472</v>
      </c>
      <c r="BL118" s="2">
        <f>(AX118-AM118)*'奖励（新）'!$D$17</f>
        <v>1936736.1605800111</v>
      </c>
      <c r="BM118" s="2">
        <f>(AY118-AN118)*'奖励（新）'!$D$17</f>
        <v>1369413.4172409116</v>
      </c>
      <c r="BN118" s="2">
        <f>(AZ118-AO118)*'奖励（新）'!$D$17</f>
        <v>502164.70102392545</v>
      </c>
      <c r="BO118" s="2">
        <f>(BA118-AP118)*'奖励（新）'!$D$17</f>
        <v>19733.454575252836</v>
      </c>
    </row>
    <row r="119" spans="17:67" x14ac:dyDescent="0.2">
      <c r="Q119" s="2">
        <v>114</v>
      </c>
      <c r="R119" s="2">
        <f>$E$5*$F$5/7*MAX(节奏总纲!D117-$C$1,0)</f>
        <v>18866.801437592057</v>
      </c>
      <c r="S119" s="2">
        <f>$E$5*$F$5/7*MAX(节奏总纲!E117-$C$1,0)</f>
        <v>16032.31116355264</v>
      </c>
      <c r="T119" s="2">
        <f>$E$5*$F$5/7*MAX(节奏总纲!F117-$C$1,0)</f>
        <v>12759.815925451312</v>
      </c>
      <c r="U119" s="2">
        <f>$E$5*$F$5/7*MAX(节奏总纲!G117-$C$1,0)</f>
        <v>8995.2886792628178</v>
      </c>
      <c r="V119" s="2">
        <f>$E$5*$F$5/7*MAX(节奏总纲!H117-$C$1,0)</f>
        <v>4649.9707098028002</v>
      </c>
      <c r="W119" s="2">
        <f>$E$6*$F$6/7*MAX(节奏总纲!D117-$C$1,0)</f>
        <v>188668.01437592055</v>
      </c>
      <c r="X119" s="2">
        <f>$E$6*$F$6/7*MAX(节奏总纲!E117-$C$1,0)</f>
        <v>160323.11163552641</v>
      </c>
      <c r="Y119" s="2">
        <f>$E$6*$F$6/7*MAX(节奏总纲!F117-$C$1,0)</f>
        <v>127598.15925451313</v>
      </c>
      <c r="Z119" s="2">
        <f>$E$6*$F$6/7*MAX(节奏总纲!G117-$C$1,0)</f>
        <v>89952.886792628182</v>
      </c>
      <c r="AA119" s="2">
        <f>$E$6*$F$6/7*MAX(节奏总纲!H117-$C$1,0)</f>
        <v>46499.707098028004</v>
      </c>
      <c r="AB119" s="2">
        <f>($E$9*$F$9*3600+$E$10*$F$10*1200)/7*MAX(节奏总纲!D117-$C$1,0)</f>
        <v>15848113.207577327</v>
      </c>
      <c r="AC119" s="2">
        <f>($E$9*$F$9*3600+$E$10*$F$10*1200)/7*MAX(节奏总纲!E117-$C$1,0)</f>
        <v>13467141.377384217</v>
      </c>
      <c r="AD119" s="2">
        <f>($E$9*$F$9*3600+$E$10*$F$10*1200)/7*MAX(节奏总纲!F117-$C$1,0)</f>
        <v>10718245.377379103</v>
      </c>
      <c r="AE119" s="2">
        <f>($E$9*$F$9*3600+$E$10*$F$10*1200)/7*MAX(节奏总纲!G117-$C$1,0)</f>
        <v>7556042.4905807665</v>
      </c>
      <c r="AF119" s="2">
        <f>($E$9*$F$9*3600+$E$10*$F$10*1200)/7*MAX(节奏总纲!H117-$C$1,0)</f>
        <v>3905975.3962343521</v>
      </c>
      <c r="AK119" s="2">
        <v>114</v>
      </c>
      <c r="AL119" s="2">
        <f>'奖励（新）'!CT121</f>
        <v>1024699.9224625338</v>
      </c>
      <c r="AM119" s="2">
        <f>'奖励（新）'!CU121</f>
        <v>882558.96369049442</v>
      </c>
      <c r="AN119" s="2">
        <f>'奖励（新）'!CV121</f>
        <v>739999.40687658451</v>
      </c>
      <c r="AO119" s="2">
        <f>'奖励（新）'!CW121</f>
        <v>621044.58826691227</v>
      </c>
      <c r="AP119" s="2">
        <f>'奖励（新）'!CX121</f>
        <v>372405.32544919301</v>
      </c>
      <c r="AV119" s="2">
        <v>114</v>
      </c>
      <c r="AW119" s="2">
        <f>SUMPRODUCT($F$5:$F$12,$H$5:$H$12,J$5:J$12)/7*MAX(节奏总纲!D117-'奖励（新）'!$E$2,0)</f>
        <v>1528210.9164449566</v>
      </c>
      <c r="AX119" s="2">
        <f>SUMPRODUCT($F$5:$F$12,$H$5:$H$12,K$5:K$12)/7*MAX(节奏总纲!E117-'奖励（新）'!$E$2,0)</f>
        <v>1298617.2042477638</v>
      </c>
      <c r="AY119" s="2">
        <f>SUMPRODUCT($F$5:$F$12,$H$5:$H$12,L$5:L$12)/7*MAX(节奏总纲!F117-'奖励（新）'!$E$2,0)</f>
        <v>1033545.0899615563</v>
      </c>
      <c r="AZ119" s="2">
        <f>SUMPRODUCT($F$5:$F$12,$H$5:$H$12,M$5:M$12)/7*MAX(节奏总纲!G117-'奖励（新）'!$E$2,0)</f>
        <v>728618.38302028819</v>
      </c>
      <c r="BA119" s="2">
        <f>SUMPRODUCT($F$5:$F$12,$H$5:$H$12,N$5:N$12)/7*MAX(节奏总纲!H117-'奖励（新）'!$E$2,0)</f>
        <v>376647.62749402679</v>
      </c>
      <c r="BE119" s="2">
        <v>114</v>
      </c>
      <c r="BF119" s="41">
        <f t="shared" si="12"/>
        <v>0.67052257737189225</v>
      </c>
      <c r="BG119" s="41">
        <f t="shared" si="13"/>
        <v>0.67961440892947733</v>
      </c>
      <c r="BH119" s="41">
        <f t="shared" si="14"/>
        <v>0.71598173515981733</v>
      </c>
      <c r="BI119" s="41">
        <f t="shared" si="15"/>
        <v>0.85235920852359204</v>
      </c>
      <c r="BJ119" s="41">
        <f t="shared" si="16"/>
        <v>0.98873668188736685</v>
      </c>
      <c r="BK119" s="2">
        <f>(AW119-AL119)*'奖励（新）'!$D$17</f>
        <v>2517554.9699121136</v>
      </c>
      <c r="BL119" s="2">
        <f>(AX119-AM119)*'奖励（新）'!$D$17</f>
        <v>2080291.2027863471</v>
      </c>
      <c r="BM119" s="2">
        <f>(AY119-AN119)*'奖励（新）'!$D$17</f>
        <v>1467728.4154248587</v>
      </c>
      <c r="BN119" s="2">
        <f>(AZ119-AO119)*'奖励（新）'!$D$17</f>
        <v>537868.97376687964</v>
      </c>
      <c r="BO119" s="2">
        <f>(BA119-AP119)*'奖励（新）'!$D$17</f>
        <v>21211.510224168887</v>
      </c>
    </row>
    <row r="120" spans="17:67" x14ac:dyDescent="0.2">
      <c r="Q120" s="2">
        <v>115</v>
      </c>
      <c r="R120" s="2">
        <f>$E$5*$F$5/7*MAX(节奏总纲!D118-$C$1,0)</f>
        <v>20252.209826714992</v>
      </c>
      <c r="S120" s="2">
        <f>$E$5*$F$5/7*MAX(节奏总纲!E118-$C$1,0)</f>
        <v>17164.56918530073</v>
      </c>
      <c r="T120" s="2">
        <f>$E$5*$F$5/7*MAX(节奏总纲!F118-$C$1,0)</f>
        <v>13642.632137525454</v>
      </c>
      <c r="U120" s="2">
        <f>$E$5*$F$5/7*MAX(节奏总纲!G118-$C$1,0)</f>
        <v>9622.2882614977734</v>
      </c>
      <c r="V120" s="2">
        <f>$E$5*$F$5/7*MAX(节奏总纲!H118-$C$1,0)</f>
        <v>4991.8613384391429</v>
      </c>
      <c r="W120" s="2">
        <f>$E$6*$F$6/7*MAX(节奏总纲!D118-$C$1,0)</f>
        <v>202522.09826714994</v>
      </c>
      <c r="X120" s="2">
        <f>$E$6*$F$6/7*MAX(节奏总纲!E118-$C$1,0)</f>
        <v>171645.6918530073</v>
      </c>
      <c r="Y120" s="2">
        <f>$E$6*$F$6/7*MAX(节奏总纲!F118-$C$1,0)</f>
        <v>136426.32137525451</v>
      </c>
      <c r="Z120" s="2">
        <f>$E$6*$F$6/7*MAX(节奏总纲!G118-$C$1,0)</f>
        <v>96222.882614977731</v>
      </c>
      <c r="AA120" s="2">
        <f>$E$6*$F$6/7*MAX(节奏总纲!H118-$C$1,0)</f>
        <v>49918.613384391429</v>
      </c>
      <c r="AB120" s="2">
        <f>($E$9*$F$9*3600+$E$10*$F$10*1200)/7*MAX(节奏总纲!D118-$C$1,0)</f>
        <v>17011856.254440594</v>
      </c>
      <c r="AC120" s="2">
        <f>($E$9*$F$9*3600+$E$10*$F$10*1200)/7*MAX(节奏总纲!E118-$C$1,0)</f>
        <v>14418238.115652613</v>
      </c>
      <c r="AD120" s="2">
        <f>($E$9*$F$9*3600+$E$10*$F$10*1200)/7*MAX(节奏总纲!F118-$C$1,0)</f>
        <v>11459810.99552138</v>
      </c>
      <c r="AE120" s="2">
        <f>($E$9*$F$9*3600+$E$10*$F$10*1200)/7*MAX(节奏总纲!G118-$C$1,0)</f>
        <v>8082722.1396581288</v>
      </c>
      <c r="AF120" s="2">
        <f>($E$9*$F$9*3600+$E$10*$F$10*1200)/7*MAX(节奏总纲!H118-$C$1,0)</f>
        <v>4193163.5242888797</v>
      </c>
      <c r="AK120" s="2">
        <v>115</v>
      </c>
      <c r="AL120" s="2">
        <f>'奖励（新）'!CT122</f>
        <v>1099944.6783693095</v>
      </c>
      <c r="AM120" s="2">
        <f>'奖励（新）'!CU122</f>
        <v>944888.3718531793</v>
      </c>
      <c r="AN120" s="2">
        <f>'奖励（新）'!CV122</f>
        <v>791197.90982777742</v>
      </c>
      <c r="AO120" s="2">
        <f>'奖励（新）'!CW122</f>
        <v>664333.3265472434</v>
      </c>
      <c r="AP120" s="2">
        <f>'奖励（新）'!CX122</f>
        <v>399786.54971302196</v>
      </c>
      <c r="AV120" s="2">
        <v>115</v>
      </c>
      <c r="AW120" s="2">
        <f>SUMPRODUCT($F$5:$F$12,$H$5:$H$12,J$5:J$12)/7*MAX(节奏总纲!D118-'奖励（新）'!$E$2,0)</f>
        <v>1640428.9959639143</v>
      </c>
      <c r="AX120" s="2">
        <f>SUMPRODUCT($F$5:$F$12,$H$5:$H$12,K$5:K$12)/7*MAX(节奏总纲!E118-'奖励（新）'!$E$2,0)</f>
        <v>1390330.1040093591</v>
      </c>
      <c r="AY120" s="2">
        <f>SUMPRODUCT($F$5:$F$12,$H$5:$H$12,L$5:L$12)/7*MAX(节奏总纲!F118-'奖励（新）'!$E$2,0)</f>
        <v>1105053.2031395617</v>
      </c>
      <c r="AZ120" s="2">
        <f>SUMPRODUCT($F$5:$F$12,$H$5:$H$12,M$5:M$12)/7*MAX(节奏总纲!G118-'奖励（新）'!$E$2,0)</f>
        <v>779405.34918131947</v>
      </c>
      <c r="BA120" s="2">
        <f>SUMPRODUCT($F$5:$F$12,$H$5:$H$12,N$5:N$12)/7*MAX(节奏总纲!H118-'奖励（新）'!$E$2,0)</f>
        <v>404340.76841357053</v>
      </c>
      <c r="BE120" s="2">
        <v>115</v>
      </c>
      <c r="BF120" s="41">
        <f t="shared" si="12"/>
        <v>0.67052257737189236</v>
      </c>
      <c r="BG120" s="41">
        <f t="shared" si="13"/>
        <v>0.67961440892947733</v>
      </c>
      <c r="BH120" s="41">
        <f t="shared" si="14"/>
        <v>0.71598173515981722</v>
      </c>
      <c r="BI120" s="41">
        <f t="shared" si="15"/>
        <v>0.85235920852359215</v>
      </c>
      <c r="BJ120" s="41">
        <f t="shared" si="16"/>
        <v>0.98873668188736685</v>
      </c>
      <c r="BK120" s="2">
        <f>(AW120-AL120)*'奖励（新）'!$D$17</f>
        <v>2702421.5879730238</v>
      </c>
      <c r="BL120" s="2">
        <f>(AX120-AM120)*'奖励（新）'!$D$17</f>
        <v>2227208.6607808992</v>
      </c>
      <c r="BM120" s="2">
        <f>(AY120-AN120)*'奖励（新）'!$D$17</f>
        <v>1569276.4665589214</v>
      </c>
      <c r="BN120" s="2">
        <f>(AZ120-AO120)*'奖励（新）'!$D$17</f>
        <v>575360.11317038035</v>
      </c>
      <c r="BO120" s="2">
        <f>(BA120-AP120)*'奖励（新）'!$D$17</f>
        <v>22771.093502742879</v>
      </c>
    </row>
    <row r="121" spans="17:67" x14ac:dyDescent="0.2">
      <c r="Q121" s="2">
        <v>116</v>
      </c>
      <c r="R121" s="2">
        <f>$E$5*$F$5/7*MAX(节奏总纲!D119-$C$1,0)</f>
        <v>21737.053772952091</v>
      </c>
      <c r="S121" s="2">
        <f>$E$5*$F$5/7*MAX(节奏总纲!E119-$C$1,0)</f>
        <v>18405.560305163108</v>
      </c>
      <c r="T121" s="2">
        <f>$E$5*$F$5/7*MAX(节奏总纲!F119-$C$1,0)</f>
        <v>14635.187458383956</v>
      </c>
      <c r="U121" s="2">
        <f>$E$5*$F$5/7*MAX(节奏总纲!G119-$C$1,0)</f>
        <v>10350.57210692946</v>
      </c>
      <c r="V121" s="2">
        <f>$E$5*$F$5/7*MAX(节奏总纲!H119-$C$1,0)</f>
        <v>5381.0389367478865</v>
      </c>
      <c r="W121" s="2">
        <f>$E$6*$F$6/7*MAX(节奏总纲!D119-$C$1,0)</f>
        <v>217370.53772952093</v>
      </c>
      <c r="X121" s="2">
        <f>$E$6*$F$6/7*MAX(节奏总纲!E119-$C$1,0)</f>
        <v>184055.60305163107</v>
      </c>
      <c r="Y121" s="2">
        <f>$E$6*$F$6/7*MAX(节奏总纲!F119-$C$1,0)</f>
        <v>146351.87458383956</v>
      </c>
      <c r="Z121" s="2">
        <f>$E$6*$F$6/7*MAX(节奏总纲!G119-$C$1,0)</f>
        <v>103505.7210692946</v>
      </c>
      <c r="AA121" s="2">
        <f>$E$6*$F$6/7*MAX(节奏总纲!H119-$C$1,0)</f>
        <v>53810.389367478863</v>
      </c>
      <c r="AB121" s="2">
        <f>($E$9*$F$9*3600+$E$10*$F$10*1200)/7*MAX(节奏总纲!D119-$C$1,0)</f>
        <v>18259125.169279758</v>
      </c>
      <c r="AC121" s="2">
        <f>($E$9*$F$9*3600+$E$10*$F$10*1200)/7*MAX(节奏总纲!E119-$C$1,0)</f>
        <v>15460670.65633701</v>
      </c>
      <c r="AD121" s="2">
        <f>($E$9*$F$9*3600+$E$10*$F$10*1200)/7*MAX(节奏总纲!F119-$C$1,0)</f>
        <v>12293557.465042522</v>
      </c>
      <c r="AE121" s="2">
        <f>($E$9*$F$9*3600+$E$10*$F$10*1200)/7*MAX(节奏总纲!G119-$C$1,0)</f>
        <v>8694480.5698207449</v>
      </c>
      <c r="AF121" s="2">
        <f>($E$9*$F$9*3600+$E$10*$F$10*1200)/7*MAX(节奏总纲!H119-$C$1,0)</f>
        <v>4520072.7068682238</v>
      </c>
      <c r="AK121" s="2">
        <v>116</v>
      </c>
      <c r="AL121" s="2">
        <f>'奖励（新）'!CT123</f>
        <v>1180590.0109452114</v>
      </c>
      <c r="AM121" s="2">
        <f>'奖励（新）'!CU123</f>
        <v>1013203.4030125514</v>
      </c>
      <c r="AN121" s="2">
        <f>'奖励（新）'!CV123</f>
        <v>848760.67977827811</v>
      </c>
      <c r="AO121" s="2">
        <f>'奖励（新）'!CW123</f>
        <v>714614.84135512973</v>
      </c>
      <c r="AP121" s="2">
        <f>'奖励（新）'!CX123</f>
        <v>430954.87725757307</v>
      </c>
      <c r="AV121" s="2">
        <v>116</v>
      </c>
      <c r="AW121" s="2">
        <f>SUMPRODUCT($F$5:$F$12,$H$5:$H$12,J$5:J$12)/7*MAX(节奏总纲!D119-'奖励（新）'!$E$2,0)</f>
        <v>1760701.3556091194</v>
      </c>
      <c r="AX121" s="2">
        <f>SUMPRODUCT($F$5:$F$12,$H$5:$H$12,K$5:K$12)/7*MAX(节奏总纲!E119-'奖励（新）'!$E$2,0)</f>
        <v>1490850.3847182116</v>
      </c>
      <c r="AY121" s="2">
        <f>SUMPRODUCT($F$5:$F$12,$H$5:$H$12,L$5:L$12)/7*MAX(节奏总纲!F119-'奖励（新）'!$E$2,0)</f>
        <v>1185450.1841291003</v>
      </c>
      <c r="AZ121" s="2">
        <f>SUMPRODUCT($F$5:$F$12,$H$5:$H$12,M$5:M$12)/7*MAX(节奏总纲!G119-'奖励（新）'!$E$2,0)</f>
        <v>838396.34066128614</v>
      </c>
      <c r="BA121" s="2">
        <f>SUMPRODUCT($F$5:$F$12,$H$5:$H$12,N$5:N$12)/7*MAX(节奏总纲!H119-'奖励（新）'!$E$2,0)</f>
        <v>435864.15387657878</v>
      </c>
      <c r="BE121" s="2">
        <v>116</v>
      </c>
      <c r="BF121" s="41">
        <f t="shared" si="12"/>
        <v>0.67052257737189225</v>
      </c>
      <c r="BG121" s="41">
        <f t="shared" si="13"/>
        <v>0.67961440892947744</v>
      </c>
      <c r="BH121" s="41">
        <f t="shared" si="14"/>
        <v>0.71598173515981722</v>
      </c>
      <c r="BI121" s="41">
        <f t="shared" si="15"/>
        <v>0.85235920852359204</v>
      </c>
      <c r="BJ121" s="41">
        <f t="shared" si="16"/>
        <v>0.98873668188736652</v>
      </c>
      <c r="BK121" s="2">
        <f>(AW121-AL121)*'奖励（新）'!$D$17</f>
        <v>2900556.7233195398</v>
      </c>
      <c r="BL121" s="2">
        <f>(AX121-AM121)*'奖励（新）'!$D$17</f>
        <v>2388234.9085283009</v>
      </c>
      <c r="BM121" s="2">
        <f>(AY121-AN121)*'奖励（新）'!$D$17</f>
        <v>1683447.5217541109</v>
      </c>
      <c r="BN121" s="2">
        <f>(AZ121-AO121)*'奖励（新）'!$D$17</f>
        <v>618907.49653078208</v>
      </c>
      <c r="BO121" s="2">
        <f>(BA121-AP121)*'奖励（新）'!$D$17</f>
        <v>24546.383095028577</v>
      </c>
    </row>
    <row r="122" spans="17:67" x14ac:dyDescent="0.2">
      <c r="Q122" s="2">
        <v>117</v>
      </c>
      <c r="R122" s="2">
        <f>$E$5*$F$5/7*MAX(节奏总纲!D120-$C$1,0)</f>
        <v>23328.47011053668</v>
      </c>
      <c r="S122" s="2">
        <f>$E$5*$F$5/7*MAX(节奏总纲!E120-$C$1,0)</f>
        <v>19762.538175516554</v>
      </c>
      <c r="T122" s="2">
        <f>$E$5*$F$5/7*MAX(节奏总纲!F120-$C$1,0)</f>
        <v>15733.343930483818</v>
      </c>
      <c r="U122" s="2">
        <f>$E$5*$F$5/7*MAX(节奏总纲!G120-$C$1,0)</f>
        <v>11129.229280204665</v>
      </c>
      <c r="V122" s="2">
        <f>$E$5*$F$5/7*MAX(节奏总纲!H120-$C$1,0)</f>
        <v>5807.6519754444507</v>
      </c>
      <c r="W122" s="2">
        <f>$E$6*$F$6/7*MAX(节奏总纲!D120-$C$1,0)</f>
        <v>233284.70110536678</v>
      </c>
      <c r="X122" s="2">
        <f>$E$6*$F$6/7*MAX(节奏总纲!E120-$C$1,0)</f>
        <v>197625.38175516552</v>
      </c>
      <c r="Y122" s="2">
        <f>$E$6*$F$6/7*MAX(节奏总纲!F120-$C$1,0)</f>
        <v>157333.43930483816</v>
      </c>
      <c r="Z122" s="2">
        <f>$E$6*$F$6/7*MAX(节奏总纲!G120-$C$1,0)</f>
        <v>111292.29280204665</v>
      </c>
      <c r="AA122" s="2">
        <f>$E$6*$F$6/7*MAX(节奏总纲!H120-$C$1,0)</f>
        <v>58076.519754444504</v>
      </c>
      <c r="AB122" s="2">
        <f>($E$9*$F$9*3600+$E$10*$F$10*1200)/7*MAX(节奏总纲!D120-$C$1,0)</f>
        <v>19595914.892850809</v>
      </c>
      <c r="AC122" s="2">
        <f>($E$9*$F$9*3600+$E$10*$F$10*1200)/7*MAX(节奏总纲!E120-$C$1,0)</f>
        <v>16600532.067433905</v>
      </c>
      <c r="AD122" s="2">
        <f>($E$9*$F$9*3600+$E$10*$F$10*1200)/7*MAX(节奏总纲!F120-$C$1,0)</f>
        <v>13216008.901606405</v>
      </c>
      <c r="AE122" s="2">
        <f>($E$9*$F$9*3600+$E$10*$F$10*1200)/7*MAX(节奏总纲!G120-$C$1,0)</f>
        <v>9348552.5953719188</v>
      </c>
      <c r="AF122" s="2">
        <f>($E$9*$F$9*3600+$E$10*$F$10*1200)/7*MAX(节奏总纲!H120-$C$1,0)</f>
        <v>4878427.6593733383</v>
      </c>
      <c r="AK122" s="2">
        <v>117</v>
      </c>
      <c r="AL122" s="2">
        <f>'奖励（新）'!CT124</f>
        <v>1267023.5382774768</v>
      </c>
      <c r="AM122" s="2">
        <f>'奖励（新）'!CU124</f>
        <v>1087903.3617890931</v>
      </c>
      <c r="AN122" s="2">
        <f>'奖励（新）'!CV124</f>
        <v>912447.73786433262</v>
      </c>
      <c r="AO122" s="2">
        <f>'奖励（新）'!CW124</f>
        <v>768374.18592097948</v>
      </c>
      <c r="AP122" s="2">
        <f>'奖励（新）'!CX124</f>
        <v>465121.32204436208</v>
      </c>
      <c r="AV122" s="2">
        <v>117</v>
      </c>
      <c r="AW122" s="2">
        <f>SUMPRODUCT($F$5:$F$12,$H$5:$H$12,J$5:J$12)/7*MAX(节奏总纲!D120-'奖励（新）'!$E$2,0)</f>
        <v>1889606.078953471</v>
      </c>
      <c r="AX122" s="2">
        <f>SUMPRODUCT($F$5:$F$12,$H$5:$H$12,K$5:K$12)/7*MAX(节奏总纲!E120-'奖励（新）'!$E$2,0)</f>
        <v>1600765.5922168407</v>
      </c>
      <c r="AY122" s="2">
        <f>SUMPRODUCT($F$5:$F$12,$H$5:$H$12,L$5:L$12)/7*MAX(节奏总纲!F120-'奖励（新）'!$E$2,0)</f>
        <v>1274400.8583691891</v>
      </c>
      <c r="AZ122" s="2">
        <f>SUMPRODUCT($F$5:$F$12,$H$5:$H$12,M$5:M$12)/7*MAX(节奏总纲!G120-'奖励（新）'!$E$2,0)</f>
        <v>901467.57169657783</v>
      </c>
      <c r="BA122" s="2">
        <f>SUMPRODUCT($F$5:$F$12,$H$5:$H$12,N$5:N$12)/7*MAX(节奏总纲!H120-'奖励（新）'!$E$2,0)</f>
        <v>470419.81001100043</v>
      </c>
      <c r="BE122" s="2">
        <v>117</v>
      </c>
      <c r="BF122" s="41">
        <f t="shared" si="12"/>
        <v>0.67052257737189225</v>
      </c>
      <c r="BG122" s="41">
        <f t="shared" si="13"/>
        <v>0.67961440892947744</v>
      </c>
      <c r="BH122" s="41">
        <f t="shared" si="14"/>
        <v>0.71598173515981733</v>
      </c>
      <c r="BI122" s="41">
        <f t="shared" si="15"/>
        <v>0.85235920852359193</v>
      </c>
      <c r="BJ122" s="41">
        <f t="shared" si="16"/>
        <v>0.98873668188736685</v>
      </c>
      <c r="BK122" s="2">
        <f>(AW122-AL122)*'奖励（新）'!$D$17</f>
        <v>3112912.703379971</v>
      </c>
      <c r="BL122" s="2">
        <f>(AX122-AM122)*'奖励（新）'!$D$17</f>
        <v>2564311.152138738</v>
      </c>
      <c r="BM122" s="2">
        <f>(AY122-AN122)*'奖励（新）'!$D$17</f>
        <v>1809765.6025242824</v>
      </c>
      <c r="BN122" s="2">
        <f>(AZ122-AO122)*'奖励（新）'!$D$17</f>
        <v>665466.92887799174</v>
      </c>
      <c r="BO122" s="2">
        <f>(BA122-AP122)*'奖励（新）'!$D$17</f>
        <v>26492.439833191747</v>
      </c>
    </row>
    <row r="123" spans="17:67" x14ac:dyDescent="0.2">
      <c r="Q123" s="2">
        <v>118</v>
      </c>
      <c r="R123" s="2">
        <f>$E$5*$F$5/7*MAX(节奏总纲!D121-$C$1,0)</f>
        <v>25034.107909006631</v>
      </c>
      <c r="S123" s="2">
        <f>$E$5*$F$5/7*MAX(节奏总纲!E121-$C$1,0)</f>
        <v>21217.252276303676</v>
      </c>
      <c r="T123" s="2">
        <f>$E$5*$F$5/7*MAX(节奏总纲!F121-$C$1,0)</f>
        <v>16901.328128584199</v>
      </c>
      <c r="U123" s="2">
        <f>$E$5*$F$5/7*MAX(节奏总纲!G121-$C$1,0)</f>
        <v>11981.938480564118</v>
      </c>
      <c r="V123" s="2">
        <f>$E$5*$F$5/7*MAX(节奏总纲!H121-$C$1,0)</f>
        <v>6257.92816547657</v>
      </c>
      <c r="W123" s="2">
        <f>$E$6*$F$6/7*MAX(节奏总纲!D121-$C$1,0)</f>
        <v>250341.07909006628</v>
      </c>
      <c r="X123" s="2">
        <f>$E$6*$F$6/7*MAX(节奏总纲!E121-$C$1,0)</f>
        <v>212172.52276303677</v>
      </c>
      <c r="Y123" s="2">
        <f>$E$6*$F$6/7*MAX(节奏总纲!F121-$C$1,0)</f>
        <v>169013.28128584198</v>
      </c>
      <c r="Z123" s="2">
        <f>$E$6*$F$6/7*MAX(节奏总纲!G121-$C$1,0)</f>
        <v>119819.38480564118</v>
      </c>
      <c r="AA123" s="2">
        <f>$E$6*$F$6/7*MAX(节奏总纲!H121-$C$1,0)</f>
        <v>62579.281654765698</v>
      </c>
      <c r="AB123" s="2">
        <f>($E$9*$F$9*3600+$E$10*$F$10*1200)/7*MAX(节奏总纲!D121-$C$1,0)</f>
        <v>21028650.643565569</v>
      </c>
      <c r="AC123" s="2">
        <f>($E$9*$F$9*3600+$E$10*$F$10*1200)/7*MAX(节奏总纲!E121-$C$1,0)</f>
        <v>17822491.912095089</v>
      </c>
      <c r="AD123" s="2">
        <f>($E$9*$F$9*3600+$E$10*$F$10*1200)/7*MAX(节奏总纲!F121-$C$1,0)</f>
        <v>14197115.628010726</v>
      </c>
      <c r="AE123" s="2">
        <f>($E$9*$F$9*3600+$E$10*$F$10*1200)/7*MAX(节奏总纲!G121-$C$1,0)</f>
        <v>10064828.323673859</v>
      </c>
      <c r="AF123" s="2">
        <f>($E$9*$F$9*3600+$E$10*$F$10*1200)/7*MAX(节奏总纲!H121-$C$1,0)</f>
        <v>5256659.6590003185</v>
      </c>
      <c r="AK123" s="2">
        <v>118</v>
      </c>
      <c r="AL123" s="2">
        <f>'奖励（新）'!CT125</f>
        <v>1359660.6991456093</v>
      </c>
      <c r="AM123" s="2">
        <f>'奖励（新）'!CU125</f>
        <v>1167983.5795542861</v>
      </c>
      <c r="AN123" s="2">
        <f>'奖励（新）'!CV125</f>
        <v>980184.42144074047</v>
      </c>
      <c r="AO123" s="2">
        <f>'奖励（新）'!CW125</f>
        <v>827246.16358963214</v>
      </c>
      <c r="AP123" s="2">
        <f>'奖励（新）'!CX125</f>
        <v>501182.89351564675</v>
      </c>
      <c r="AV123" s="2">
        <v>118</v>
      </c>
      <c r="AW123" s="2">
        <f>SUMPRODUCT($F$5:$F$12,$H$5:$H$12,J$5:J$12)/7*MAX(节奏总纲!D121-'奖励（新）'!$E$2,0)</f>
        <v>2027762.7406295368</v>
      </c>
      <c r="AX123" s="2">
        <f>SUMPRODUCT($F$5:$F$12,$H$5:$H$12,K$5:K$12)/7*MAX(节奏总纲!E121-'奖励（新）'!$E$2,0)</f>
        <v>1718597.4343805977</v>
      </c>
      <c r="AY123" s="2">
        <f>SUMPRODUCT($F$5:$F$12,$H$5:$H$12,L$5:L$12)/7*MAX(节奏总纲!F121-'奖励（新）'!$E$2,0)</f>
        <v>1369007.57841532</v>
      </c>
      <c r="AZ123" s="2">
        <f>SUMPRODUCT($F$5:$F$12,$H$5:$H$12,M$5:M$12)/7*MAX(节奏总纲!G121-'奖励（新）'!$E$2,0)</f>
        <v>970537.01692569349</v>
      </c>
      <c r="BA123" s="2">
        <f>SUMPRODUCT($F$5:$F$12,$H$5:$H$12,N$5:N$12)/7*MAX(节奏总纲!H121-'奖励（新）'!$E$2,0)</f>
        <v>506892.18140360212</v>
      </c>
      <c r="BE123" s="2">
        <v>118</v>
      </c>
      <c r="BF123" s="41">
        <f t="shared" si="12"/>
        <v>0.67052257737189247</v>
      </c>
      <c r="BG123" s="41">
        <f t="shared" si="13"/>
        <v>0.67961440892947733</v>
      </c>
      <c r="BH123" s="41">
        <f t="shared" si="14"/>
        <v>0.71598173515981733</v>
      </c>
      <c r="BI123" s="41">
        <f t="shared" si="15"/>
        <v>0.85235920852359204</v>
      </c>
      <c r="BJ123" s="41">
        <f t="shared" si="16"/>
        <v>0.98873668188736674</v>
      </c>
      <c r="BK123" s="2">
        <f>(AW123-AL123)*'奖励（新）'!$D$17</f>
        <v>3340510.2074196376</v>
      </c>
      <c r="BL123" s="2">
        <f>(AX123-AM123)*'奖励（新）'!$D$17</f>
        <v>2753069.2741315579</v>
      </c>
      <c r="BM123" s="2">
        <f>(AY123-AN123)*'奖励（新）'!$D$17</f>
        <v>1944115.7848728979</v>
      </c>
      <c r="BN123" s="2">
        <f>(AZ123-AO123)*'奖励（新）'!$D$17</f>
        <v>716454.26668030676</v>
      </c>
      <c r="BO123" s="2">
        <f>(BA123-AP123)*'奖励（新）'!$D$17</f>
        <v>28546.439439776877</v>
      </c>
    </row>
    <row r="124" spans="17:67" x14ac:dyDescent="0.2">
      <c r="Q124" s="2">
        <v>119</v>
      </c>
      <c r="R124" s="2">
        <f>$E$5*$F$5/7*MAX(节奏总纲!D122-$C$1,0)</f>
        <v>26862.165238105456</v>
      </c>
      <c r="S124" s="2">
        <f>$E$5*$F$5/7*MAX(节奏总纲!E122-$C$1,0)</f>
        <v>22787.658253770598</v>
      </c>
      <c r="T124" s="2">
        <f>$E$5*$F$5/7*MAX(节奏总纲!F122-$C$1,0)</f>
        <v>18175.523757102201</v>
      </c>
      <c r="U124" s="2">
        <f>$E$5*$F$5/7*MAX(节奏总纲!G122-$C$1,0)</f>
        <v>12881.120843766888</v>
      </c>
      <c r="V124" s="2">
        <f>$E$5*$F$5/7*MAX(节奏总纲!H122-$C$1,0)</f>
        <v>6716.1434307645786</v>
      </c>
      <c r="W124" s="2">
        <f>$E$6*$F$6/7*MAX(节奏总纲!D122-$C$1,0)</f>
        <v>268621.65238105453</v>
      </c>
      <c r="X124" s="2">
        <f>$E$6*$F$6/7*MAX(节奏总纲!E122-$C$1,0)</f>
        <v>227876.58253770598</v>
      </c>
      <c r="Y124" s="2">
        <f>$E$6*$F$6/7*MAX(节奏总纲!F122-$C$1,0)</f>
        <v>181755.23757102201</v>
      </c>
      <c r="Z124" s="2">
        <f>$E$6*$F$6/7*MAX(节奏总纲!G122-$C$1,0)</f>
        <v>128811.20843766887</v>
      </c>
      <c r="AA124" s="2">
        <f>$E$6*$F$6/7*MAX(节奏总纲!H122-$C$1,0)</f>
        <v>67161.434307645788</v>
      </c>
      <c r="AB124" s="2">
        <f>($E$9*$F$9*3600+$E$10*$F$10*1200)/7*MAX(节奏总纲!D122-$C$1,0)</f>
        <v>22564218.80000858</v>
      </c>
      <c r="AC124" s="2">
        <f>($E$9*$F$9*3600+$E$10*$F$10*1200)/7*MAX(节奏总纲!E122-$C$1,0)</f>
        <v>19141632.933167301</v>
      </c>
      <c r="AD124" s="2">
        <f>($E$9*$F$9*3600+$E$10*$F$10*1200)/7*MAX(节奏总纲!F122-$C$1,0)</f>
        <v>15267439.955965849</v>
      </c>
      <c r="AE124" s="2">
        <f>($E$9*$F$9*3600+$E$10*$F$10*1200)/7*MAX(节奏总纲!G122-$C$1,0)</f>
        <v>10820141.508764185</v>
      </c>
      <c r="AF124" s="2">
        <f>($E$9*$F$9*3600+$E$10*$F$10*1200)/7*MAX(节奏总纲!H122-$C$1,0)</f>
        <v>5641560.4818422459</v>
      </c>
      <c r="AK124" s="2">
        <v>119</v>
      </c>
      <c r="AL124" s="2">
        <f>'奖励（新）'!CT126</f>
        <v>1458946.7498087739</v>
      </c>
      <c r="AM124" s="2">
        <f>'奖励（新）'!CU126</f>
        <v>1254432.4924968816</v>
      </c>
      <c r="AN124" s="2">
        <f>'奖励（新）'!CV126</f>
        <v>1054080.7860009298</v>
      </c>
      <c r="AO124" s="2">
        <f>'奖励（新）'!CW126</f>
        <v>889326.69935048092</v>
      </c>
      <c r="AP124" s="2">
        <f>'奖励（新）'!CX126</f>
        <v>537880.28703591821</v>
      </c>
      <c r="AV124" s="2">
        <v>119</v>
      </c>
      <c r="AW124" s="2">
        <f>SUMPRODUCT($F$5:$F$12,$H$5:$H$12,J$5:J$12)/7*MAX(节奏总纲!D122-'奖励（新）'!$E$2,0)</f>
        <v>2175835.384286542</v>
      </c>
      <c r="AX124" s="2">
        <f>SUMPRODUCT($F$5:$F$12,$H$5:$H$12,K$5:K$12)/7*MAX(节奏总纲!E122-'奖励（新）'!$E$2,0)</f>
        <v>1845800.3185554184</v>
      </c>
      <c r="AY124" s="2">
        <f>SUMPRODUCT($F$5:$F$12,$H$5:$H$12,L$5:L$12)/7*MAX(节奏总纲!F122-'奖励（新）'!$E$2,0)</f>
        <v>1472217.4243252783</v>
      </c>
      <c r="AZ124" s="2">
        <f>SUMPRODUCT($F$5:$F$12,$H$5:$H$12,M$5:M$12)/7*MAX(节奏总纲!G122-'奖励（新）'!$E$2,0)</f>
        <v>1043370.7883451178</v>
      </c>
      <c r="BA124" s="2">
        <f>SUMPRODUCT($F$5:$F$12,$H$5:$H$12,N$5:N$12)/7*MAX(节奏总纲!H122-'奖励（新）'!$E$2,0)</f>
        <v>544007.61789193086</v>
      </c>
      <c r="BE124" s="2">
        <v>119</v>
      </c>
      <c r="BF124" s="41">
        <f t="shared" si="12"/>
        <v>0.67052257737189236</v>
      </c>
      <c r="BG124" s="41">
        <f t="shared" si="13"/>
        <v>0.67961440892947733</v>
      </c>
      <c r="BH124" s="41">
        <f t="shared" si="14"/>
        <v>0.71598173515981733</v>
      </c>
      <c r="BI124" s="41">
        <f t="shared" si="15"/>
        <v>0.85235920852359204</v>
      </c>
      <c r="BJ124" s="41">
        <f t="shared" si="16"/>
        <v>0.98873668188736674</v>
      </c>
      <c r="BK124" s="2">
        <f>(AW124-AL124)*'奖励（新）'!$D$17</f>
        <v>3584443.1723888405</v>
      </c>
      <c r="BL124" s="2">
        <f>(AX124-AM124)*'奖励（新）'!$D$17</f>
        <v>2956839.1302926838</v>
      </c>
      <c r="BM124" s="2">
        <f>(AY124-AN124)*'奖励（新）'!$D$17</f>
        <v>2090683.1916217424</v>
      </c>
      <c r="BN124" s="2">
        <f>(AZ124-AO124)*'奖励（新）'!$D$17</f>
        <v>770220.44497318449</v>
      </c>
      <c r="BO124" s="2">
        <f>(BA124-AP124)*'奖励（新）'!$D$17</f>
        <v>30636.654280063231</v>
      </c>
    </row>
    <row r="125" spans="17:67" x14ac:dyDescent="0.2">
      <c r="Q125" s="2">
        <v>120</v>
      </c>
      <c r="R125" s="2">
        <f>$E$5*$F$5/7*MAX(节奏总纲!D123-$C$1,0)</f>
        <v>28821.428571428572</v>
      </c>
      <c r="S125" s="2">
        <f>$E$5*$F$5/7*MAX(节奏总纲!E123-$C$1,0)</f>
        <v>24471.953571428574</v>
      </c>
      <c r="T125" s="2">
        <f>$E$5*$F$5/7*MAX(节奏总纲!F123-$C$1,0)</f>
        <v>19514.078571428574</v>
      </c>
      <c r="U125" s="2">
        <f>$E$5*$F$5/7*MAX(节奏总纲!G123-$C$1,0)</f>
        <v>13775.228571428572</v>
      </c>
      <c r="V125" s="2">
        <f>$E$5*$F$5/7*MAX(节奏总纲!H123-$C$1,0)</f>
        <v>7199.8285714285712</v>
      </c>
      <c r="W125" s="2">
        <f>$E$6*$F$6/7*MAX(节奏总纲!D123-$C$1,0)</f>
        <v>288214.28571428574</v>
      </c>
      <c r="X125" s="2">
        <f>$E$6*$F$6/7*MAX(节奏总纲!E123-$C$1,0)</f>
        <v>244719.53571428571</v>
      </c>
      <c r="Y125" s="2">
        <f>$E$6*$F$6/7*MAX(节奏总纲!F123-$C$1,0)</f>
        <v>195140.78571428571</v>
      </c>
      <c r="Z125" s="2">
        <f>$E$6*$F$6/7*MAX(节奏总纲!G123-$C$1,0)</f>
        <v>137752.28571428571</v>
      </c>
      <c r="AA125" s="2">
        <f>$E$6*$F$6/7*MAX(节奏总纲!H123-$C$1,0)</f>
        <v>71998.28571428571</v>
      </c>
      <c r="AB125" s="2">
        <f>($E$9*$F$9*3600+$E$10*$F$10*1200)/7*MAX(节奏总纲!D123-$C$1,0)</f>
        <v>24210000</v>
      </c>
      <c r="AC125" s="2">
        <f>($E$9*$F$9*3600+$E$10*$F$10*1200)/7*MAX(节奏总纲!E123-$C$1,0)</f>
        <v>20556441</v>
      </c>
      <c r="AD125" s="2">
        <f>($E$9*$F$9*3600+$E$10*$F$10*1200)/7*MAX(节奏总纲!F123-$C$1,0)</f>
        <v>16391826</v>
      </c>
      <c r="AE125" s="2">
        <f>($E$9*$F$9*3600+$E$10*$F$10*1200)/7*MAX(节奏总纲!G123-$C$1,0)</f>
        <v>11571192</v>
      </c>
      <c r="AF125" s="2">
        <f>($E$9*$F$9*3600+$E$10*$F$10*1200)/7*MAX(节奏总纲!H123-$C$1,0)</f>
        <v>6047855.9999999991</v>
      </c>
      <c r="AK125" s="2">
        <v>120</v>
      </c>
      <c r="AL125" s="2">
        <f>'奖励（新）'!CT127</f>
        <v>1565358.9041095888</v>
      </c>
      <c r="AM125" s="2">
        <f>'奖励（新）'!CU127</f>
        <v>1347150.8732054792</v>
      </c>
      <c r="AN125" s="2">
        <f>'奖励（新）'!CV127</f>
        <v>1131709.6306849315</v>
      </c>
      <c r="AO125" s="2">
        <f>'奖励（新）'!CW127</f>
        <v>951056.87671232852</v>
      </c>
      <c r="AP125" s="2">
        <f>'奖励（新）'!CX127</f>
        <v>576617.50356164377</v>
      </c>
      <c r="AV125" s="2">
        <v>120</v>
      </c>
      <c r="AW125" s="2">
        <f>SUMPRODUCT($F$5:$F$12,$H$5:$H$12,J$5:J$12)/7*MAX(节奏总纲!D123-'奖励（新）'!$E$2,0)</f>
        <v>2334535.7142857141</v>
      </c>
      <c r="AX125" s="2">
        <f>SUMPRODUCT($F$5:$F$12,$H$5:$H$12,K$5:K$12)/7*MAX(节奏总纲!E123-'奖励（新）'!$E$2,0)</f>
        <v>1982228.2392857142</v>
      </c>
      <c r="AY125" s="2">
        <f>SUMPRODUCT($F$5:$F$12,$H$5:$H$12,L$5:L$12)/7*MAX(节奏总纲!F123-'奖励（新）'!$E$2,0)</f>
        <v>1580640.3642857142</v>
      </c>
      <c r="AZ125" s="2">
        <f>SUMPRODUCT($F$5:$F$12,$H$5:$H$12,M$5:M$12)/7*MAX(节奏总纲!G123-'奖励（新）'!$E$2,0)</f>
        <v>1115793.5142857141</v>
      </c>
      <c r="BA125" s="2">
        <f>SUMPRODUCT($F$5:$F$12,$H$5:$H$12,N$5:N$12)/7*MAX(节奏总纲!H123-'奖励（新）'!$E$2,0)</f>
        <v>583186.11428571423</v>
      </c>
      <c r="BE125" s="2">
        <v>120</v>
      </c>
      <c r="BF125" s="41">
        <f t="shared" si="12"/>
        <v>0.67052257737189236</v>
      </c>
      <c r="BG125" s="41">
        <f t="shared" si="13"/>
        <v>0.67961440892947733</v>
      </c>
      <c r="BH125" s="41">
        <f t="shared" si="14"/>
        <v>0.71598173515981745</v>
      </c>
      <c r="BI125" s="41">
        <f t="shared" si="15"/>
        <v>0.85235920852359193</v>
      </c>
      <c r="BJ125" s="41">
        <f t="shared" si="16"/>
        <v>0.98873668188736685</v>
      </c>
      <c r="BK125" s="2">
        <f>(AW125-AL125)*'奖励（新）'!$D$17</f>
        <v>3845884.0508806263</v>
      </c>
      <c r="BL125" s="2">
        <f>(AX125-AM125)*'奖励（新）'!$D$17</f>
        <v>3175386.8304011747</v>
      </c>
      <c r="BM125" s="2">
        <f>(AY125-AN125)*'奖励（新）'!$D$17</f>
        <v>2244653.6680039135</v>
      </c>
      <c r="BN125" s="2">
        <f>(AZ125-AO125)*'奖励（新）'!$D$17</f>
        <v>823683.18786692806</v>
      </c>
      <c r="BO125" s="2">
        <f>(BA125-AP125)*'奖励（新）'!$D$17</f>
        <v>32843.053620352293</v>
      </c>
    </row>
    <row r="126" spans="17:67" x14ac:dyDescent="0.2">
      <c r="Q126" s="2">
        <v>121</v>
      </c>
      <c r="R126" s="2">
        <f>$E$5*$F$5/7*MAX(节奏总纲!D124-$C$1,0)</f>
        <v>30921.315018204699</v>
      </c>
      <c r="S126" s="2">
        <f>$E$5*$F$5/7*MAX(节奏总纲!E124-$C$1,0)</f>
        <v>26225.102028477635</v>
      </c>
      <c r="T126" s="2">
        <f>$E$5*$F$5/7*MAX(节奏总纲!F124-$C$1,0)</f>
        <v>20848.596502855526</v>
      </c>
      <c r="U126" s="2">
        <f>$E$5*$F$5/7*MAX(节奏总纲!G124-$C$1,0)</f>
        <v>14729.098668444827</v>
      </c>
      <c r="V126" s="2">
        <f>$E$5*$F$5/7*MAX(节奏总纲!H124-$C$1,0)</f>
        <v>7738.073990813753</v>
      </c>
      <c r="W126" s="2">
        <f>$E$6*$F$6/7*MAX(节奏总纲!D124-$C$1,0)</f>
        <v>309213.15018204699</v>
      </c>
      <c r="X126" s="2">
        <f>$E$6*$F$6/7*MAX(节奏总纲!E124-$C$1,0)</f>
        <v>262251.02028477634</v>
      </c>
      <c r="Y126" s="2">
        <f>$E$6*$F$6/7*MAX(节奏总纲!F124-$C$1,0)</f>
        <v>208485.96502855525</v>
      </c>
      <c r="Z126" s="2">
        <f>$E$6*$F$6/7*MAX(节奏总纲!G124-$C$1,0)</f>
        <v>147290.98668444826</v>
      </c>
      <c r="AA126" s="2">
        <f>$E$6*$F$6/7*MAX(节奏总纲!H124-$C$1,0)</f>
        <v>77380.739908137519</v>
      </c>
      <c r="AB126" s="2">
        <f>($E$9*$F$9*3600+$E$10*$F$10*1200)/7*MAX(节奏总纲!D124-$C$1,0)</f>
        <v>25973904.615291946</v>
      </c>
      <c r="AC126" s="2">
        <f>($E$9*$F$9*3600+$E$10*$F$10*1200)/7*MAX(节奏总纲!E124-$C$1,0)</f>
        <v>22029085.70392121</v>
      </c>
      <c r="AD126" s="2">
        <f>($E$9*$F$9*3600+$E$10*$F$10*1200)/7*MAX(节奏总纲!F124-$C$1,0)</f>
        <v>17512821.062398642</v>
      </c>
      <c r="AE126" s="2">
        <f>($E$9*$F$9*3600+$E$10*$F$10*1200)/7*MAX(节奏总纲!G124-$C$1,0)</f>
        <v>12372442.881493654</v>
      </c>
      <c r="AF126" s="2">
        <f>($E$9*$F$9*3600+$E$10*$F$10*1200)/7*MAX(节奏总纲!H124-$C$1,0)</f>
        <v>6499982.1522835521</v>
      </c>
      <c r="AK126" s="2">
        <v>121</v>
      </c>
      <c r="AL126" s="2">
        <f>'奖励（新）'!CT128</f>
        <v>1679408.6271805202</v>
      </c>
      <c r="AM126" s="2">
        <f>'奖励（新）'!CU128</f>
        <v>1443659.5343501242</v>
      </c>
      <c r="AN126" s="2">
        <f>'奖励（新）'!CV128</f>
        <v>1209104.3582806732</v>
      </c>
      <c r="AO126" s="2">
        <f>'奖励（新）'!CW128</f>
        <v>1016913.1135474236</v>
      </c>
      <c r="AP126" s="2">
        <f>'奖励（新）'!CX128</f>
        <v>619724.32575196598</v>
      </c>
      <c r="AV126" s="2">
        <v>121</v>
      </c>
      <c r="AW126" s="2">
        <f>SUMPRODUCT($F$5:$F$12,$H$5:$H$12,J$5:J$12)/7*MAX(节奏总纲!D124-'奖励（新）'!$E$2,0)</f>
        <v>2504626.5164745804</v>
      </c>
      <c r="AX126" s="2">
        <f>SUMPRODUCT($F$5:$F$12,$H$5:$H$12,K$5:K$12)/7*MAX(节奏总纲!E124-'奖励（新）'!$E$2,0)</f>
        <v>2124233.2643066882</v>
      </c>
      <c r="AY126" s="2">
        <f>SUMPRODUCT($F$5:$F$12,$H$5:$H$12,L$5:L$12)/7*MAX(节奏总纲!F124-'奖励（新）'!$E$2,0)</f>
        <v>1688736.3167312974</v>
      </c>
      <c r="AZ126" s="2">
        <f>SUMPRODUCT($F$5:$F$12,$H$5:$H$12,M$5:M$12)/7*MAX(节奏总纲!G124-'奖励（新）'!$E$2,0)</f>
        <v>1193056.992144031</v>
      </c>
      <c r="BA126" s="2">
        <f>SUMPRODUCT($F$5:$F$12,$H$5:$H$12,N$5:N$12)/7*MAX(节奏总纲!H124-'奖励（新）'!$E$2,0)</f>
        <v>626783.99325591396</v>
      </c>
      <c r="BE126" s="2">
        <v>121</v>
      </c>
      <c r="BF126" s="41">
        <f t="shared" si="12"/>
        <v>0.67052257737189247</v>
      </c>
      <c r="BG126" s="41">
        <f t="shared" si="13"/>
        <v>0.67961440892947733</v>
      </c>
      <c r="BH126" s="41">
        <f t="shared" si="14"/>
        <v>0.71598173515981733</v>
      </c>
      <c r="BI126" s="41">
        <f t="shared" si="15"/>
        <v>0.85235920852359204</v>
      </c>
      <c r="BJ126" s="41">
        <f t="shared" si="16"/>
        <v>0.98873668188736663</v>
      </c>
      <c r="BK126" s="2">
        <f>(AW126-AL126)*'奖励（新）'!$D$17</f>
        <v>4126089.4464703007</v>
      </c>
      <c r="BL126" s="2">
        <f>(AX126-AM126)*'奖励（新）'!$D$17</f>
        <v>3402868.6497828201</v>
      </c>
      <c r="BM126" s="2">
        <f>(AY126-AN126)*'奖励（新）'!$D$17</f>
        <v>2398159.7922531213</v>
      </c>
      <c r="BN126" s="2">
        <f>(AZ126-AO126)*'奖励（新）'!$D$17</f>
        <v>880719.39298303681</v>
      </c>
      <c r="BO126" s="2">
        <f>(BA126-AP126)*'奖励（新）'!$D$17</f>
        <v>35298.337519739871</v>
      </c>
    </row>
    <row r="127" spans="17:67" x14ac:dyDescent="0.2">
      <c r="Q127" s="2">
        <v>122</v>
      </c>
      <c r="R127" s="2">
        <f>$E$5*$F$5/7*MAX(节奏总纲!D125-$C$1,0)</f>
        <v>33171.917586198942</v>
      </c>
      <c r="S127" s="2">
        <f>$E$5*$F$5/7*MAX(节奏总纲!E125-$C$1,0)</f>
        <v>28068.003304855327</v>
      </c>
      <c r="T127" s="2">
        <f>$E$5*$F$5/7*MAX(节奏总纲!F125-$C$1,0)</f>
        <v>22312.239536625159</v>
      </c>
      <c r="U127" s="2">
        <f>$E$5*$F$5/7*MAX(节奏总纲!G125-$C$1,0)</f>
        <v>15793.744667759709</v>
      </c>
      <c r="V127" s="2">
        <f>$E$5*$F$5/7*MAX(节奏总纲!H125-$C$1,0)</f>
        <v>8314.275813071823</v>
      </c>
      <c r="W127" s="2">
        <f>$E$6*$F$6/7*MAX(节奏总纲!D125-$C$1,0)</f>
        <v>331719.17586198944</v>
      </c>
      <c r="X127" s="2">
        <f>$E$6*$F$6/7*MAX(节奏总纲!E125-$C$1,0)</f>
        <v>280680.03304855328</v>
      </c>
      <c r="Y127" s="2">
        <f>$E$6*$F$6/7*MAX(节奏总纲!F125-$C$1,0)</f>
        <v>223122.39536625159</v>
      </c>
      <c r="Z127" s="2">
        <f>$E$6*$F$6/7*MAX(节奏总纲!G125-$C$1,0)</f>
        <v>157937.44667759709</v>
      </c>
      <c r="AA127" s="2">
        <f>$E$6*$F$6/7*MAX(节奏总纲!H125-$C$1,0)</f>
        <v>83142.758130718226</v>
      </c>
      <c r="AB127" s="2">
        <f>($E$9*$F$9*3600+$E$10*$F$10*1200)/7*MAX(节奏总纲!D125-$C$1,0)</f>
        <v>27864410.772407115</v>
      </c>
      <c r="AC127" s="2">
        <f>($E$9*$F$9*3600+$E$10*$F$10*1200)/7*MAX(节奏总纲!E125-$C$1,0)</f>
        <v>23577122.776078474</v>
      </c>
      <c r="AD127" s="2">
        <f>($E$9*$F$9*3600+$E$10*$F$10*1200)/7*MAX(节奏总纲!F125-$C$1,0)</f>
        <v>18742281.210765131</v>
      </c>
      <c r="AE127" s="2">
        <f>($E$9*$F$9*3600+$E$10*$F$10*1200)/7*MAX(节奏总纲!G125-$C$1,0)</f>
        <v>13266745.520918155</v>
      </c>
      <c r="AF127" s="2">
        <f>($E$9*$F$9*3600+$E$10*$F$10*1200)/7*MAX(节奏总纲!H125-$C$1,0)</f>
        <v>6983991.6829803307</v>
      </c>
      <c r="AK127" s="2">
        <v>122</v>
      </c>
      <c r="AL127" s="2">
        <f>'奖励（新）'!CT129</f>
        <v>1801644.0937775557</v>
      </c>
      <c r="AM127" s="2">
        <f>'奖励（新）'!CU129</f>
        <v>1545108.9775446495</v>
      </c>
      <c r="AN127" s="2">
        <f>'奖励（新）'!CV129</f>
        <v>1293987.634277483</v>
      </c>
      <c r="AO127" s="2">
        <f>'奖励（新）'!CW129</f>
        <v>1090417.4400754645</v>
      </c>
      <c r="AP127" s="2">
        <f>'奖励（新）'!CX129</f>
        <v>665870.9878567548</v>
      </c>
      <c r="AV127" s="2">
        <v>122</v>
      </c>
      <c r="AW127" s="2">
        <f>SUMPRODUCT($F$5:$F$12,$H$5:$H$12,J$5:J$12)/7*MAX(节奏总纲!D125-'奖励（新）'!$E$2,0)</f>
        <v>2686925.3244821145</v>
      </c>
      <c r="AX127" s="2">
        <f>SUMPRODUCT($F$5:$F$12,$H$5:$H$12,K$5:K$12)/7*MAX(节奏总纲!E125-'奖励（新）'!$E$2,0)</f>
        <v>2273508.2676932812</v>
      </c>
      <c r="AY127" s="2">
        <f>SUMPRODUCT($F$5:$F$12,$H$5:$H$12,L$5:L$12)/7*MAX(节奏总纲!F125-'奖励（新）'!$E$2,0)</f>
        <v>1807291.4024666375</v>
      </c>
      <c r="AZ127" s="2">
        <f>SUMPRODUCT($F$5:$F$12,$H$5:$H$12,M$5:M$12)/7*MAX(节奏总纲!G125-'奖励（新）'!$E$2,0)</f>
        <v>1279293.3180885364</v>
      </c>
      <c r="BA127" s="2">
        <f>SUMPRODUCT($F$5:$F$12,$H$5:$H$12,N$5:N$12)/7*MAX(节奏总纲!H125-'奖励（新）'!$E$2,0)</f>
        <v>673456.34085881757</v>
      </c>
      <c r="BE127" s="2">
        <v>122</v>
      </c>
      <c r="BF127" s="41">
        <f t="shared" si="12"/>
        <v>0.67052257737189236</v>
      </c>
      <c r="BG127" s="41">
        <f t="shared" si="13"/>
        <v>0.67961440892947744</v>
      </c>
      <c r="BH127" s="41">
        <f t="shared" si="14"/>
        <v>0.71598173515981733</v>
      </c>
      <c r="BI127" s="41">
        <f t="shared" si="15"/>
        <v>0.85235920852359193</v>
      </c>
      <c r="BJ127" s="41">
        <f t="shared" si="16"/>
        <v>0.98873668188736685</v>
      </c>
      <c r="BK127" s="2">
        <f>(AW127-AL127)*'奖励（新）'!$D$17</f>
        <v>4426406.1535227941</v>
      </c>
      <c r="BL127" s="2">
        <f>(AX127-AM127)*'奖励（新）'!$D$17</f>
        <v>3641996.4507431583</v>
      </c>
      <c r="BM127" s="2">
        <f>(AY127-AN127)*'奖励（新）'!$D$17</f>
        <v>2566518.8409457728</v>
      </c>
      <c r="BN127" s="2">
        <f>(AZ127-AO127)*'奖励（新）'!$D$17</f>
        <v>944379.39006535918</v>
      </c>
      <c r="BO127" s="2">
        <f>(BA127-AP127)*'奖励（新）'!$D$17</f>
        <v>37926.765010313829</v>
      </c>
    </row>
    <row r="128" spans="17:67" x14ac:dyDescent="0.2">
      <c r="Q128" s="2">
        <v>123</v>
      </c>
      <c r="R128" s="2">
        <f>$E$5*$F$5/7*MAX(节奏总纲!D126-$C$1,0)</f>
        <v>35584.053693291273</v>
      </c>
      <c r="S128" s="2">
        <f>$E$5*$F$5/7*MAX(节奏总纲!E126-$C$1,0)</f>
        <v>30113.735937280329</v>
      </c>
      <c r="T128" s="2">
        <f>$E$5*$F$5/7*MAX(节奏总纲!F126-$C$1,0)</f>
        <v>23998.792191588043</v>
      </c>
      <c r="U128" s="2">
        <f>$E$5*$F$5/7*MAX(节奏总纲!G126-$C$1,0)</f>
        <v>17019.545442971048</v>
      </c>
      <c r="V128" s="2">
        <f>$E$5*$F$5/7*MAX(节奏总纲!H126-$C$1,0)</f>
        <v>8974.3249907469235</v>
      </c>
      <c r="W128" s="2">
        <f>$E$6*$F$6/7*MAX(节奏总纲!D126-$C$1,0)</f>
        <v>355840.53693291271</v>
      </c>
      <c r="X128" s="2">
        <f>$E$6*$F$6/7*MAX(节奏总纲!E126-$C$1,0)</f>
        <v>301137.3593728033</v>
      </c>
      <c r="Y128" s="2">
        <f>$E$6*$F$6/7*MAX(节奏总纲!F126-$C$1,0)</f>
        <v>239987.9219158804</v>
      </c>
      <c r="Z128" s="2">
        <f>$E$6*$F$6/7*MAX(节奏总纲!G126-$C$1,0)</f>
        <v>170195.45442971049</v>
      </c>
      <c r="AA128" s="2">
        <f>$E$6*$F$6/7*MAX(节奏总纲!H126-$C$1,0)</f>
        <v>89743.249907469231</v>
      </c>
      <c r="AB128" s="2">
        <f>($E$9*$F$9*3600+$E$10*$F$10*1200)/7*MAX(节奏总纲!D126-$C$1,0)</f>
        <v>29890605.10236467</v>
      </c>
      <c r="AC128" s="2">
        <f>($E$9*$F$9*3600+$E$10*$F$10*1200)/7*MAX(节奏总纲!E126-$C$1,0)</f>
        <v>25295538.187315475</v>
      </c>
      <c r="AD128" s="2">
        <f>($E$9*$F$9*3600+$E$10*$F$10*1200)/7*MAX(节奏总纲!F126-$C$1,0)</f>
        <v>20158985.440933954</v>
      </c>
      <c r="AE128" s="2">
        <f>($E$9*$F$9*3600+$E$10*$F$10*1200)/7*MAX(节奏总纲!G126-$C$1,0)</f>
        <v>14296418.172095681</v>
      </c>
      <c r="AF128" s="2">
        <f>($E$9*$F$9*3600+$E$10*$F$10*1200)/7*MAX(节奏总纲!H126-$C$1,0)</f>
        <v>7538432.9922274156</v>
      </c>
      <c r="AK128" s="2">
        <v>123</v>
      </c>
      <c r="AL128" s="2">
        <f>'奖励（新）'!CT130</f>
        <v>1932652.8230570031</v>
      </c>
      <c r="AM128" s="2">
        <f>'奖励（新）'!CU130</f>
        <v>1657724.0368235235</v>
      </c>
      <c r="AN128" s="2">
        <f>'奖励（新）'!CV130</f>
        <v>1391798.4468809194</v>
      </c>
      <c r="AO128" s="2">
        <f>'奖励（新）'!CW130</f>
        <v>1175048.0689393708</v>
      </c>
      <c r="AP128" s="2">
        <f>'奖励（新）'!CX130</f>
        <v>718732.78939592885</v>
      </c>
      <c r="AV128" s="2">
        <v>123</v>
      </c>
      <c r="AW128" s="2">
        <f>SUMPRODUCT($F$5:$F$12,$H$5:$H$12,J$5:J$12)/7*MAX(节奏总纲!D126-'奖励（新）'!$E$2,0)</f>
        <v>2882308.349156593</v>
      </c>
      <c r="AX128" s="2">
        <f>SUMPRODUCT($F$5:$F$12,$H$5:$H$12,K$5:K$12)/7*MAX(节奏总纲!E126-'奖励（新）'!$E$2,0)</f>
        <v>2439212.6109197065</v>
      </c>
      <c r="AY128" s="2">
        <f>SUMPRODUCT($F$5:$F$12,$H$5:$H$12,L$5:L$12)/7*MAX(节奏总纲!F126-'奖励（新）'!$E$2,0)</f>
        <v>1943902.1675186313</v>
      </c>
      <c r="AZ128" s="2">
        <f>SUMPRODUCT($F$5:$F$12,$H$5:$H$12,M$5:M$12)/7*MAX(节奏总纲!G126-'奖励（新）'!$E$2,0)</f>
        <v>1378583.1808806548</v>
      </c>
      <c r="BA128" s="2">
        <f>SUMPRODUCT($F$5:$F$12,$H$5:$H$12,N$5:N$12)/7*MAX(节奏总纲!H126-'奖励（新）'!$E$2,0)</f>
        <v>726920.32425050077</v>
      </c>
      <c r="BE128" s="2">
        <v>123</v>
      </c>
      <c r="BF128" s="41">
        <f t="shared" si="12"/>
        <v>0.67052257737189236</v>
      </c>
      <c r="BG128" s="41">
        <f t="shared" si="13"/>
        <v>0.67961440892947733</v>
      </c>
      <c r="BH128" s="41">
        <f t="shared" si="14"/>
        <v>0.71598173515981722</v>
      </c>
      <c r="BI128" s="41">
        <f t="shared" si="15"/>
        <v>0.85235920852359204</v>
      </c>
      <c r="BJ128" s="41">
        <f t="shared" si="16"/>
        <v>0.98873668188736674</v>
      </c>
      <c r="BK128" s="2">
        <f>(AW128-AL128)*'奖励（新）'!$D$17</f>
        <v>4748277.6304979492</v>
      </c>
      <c r="BL128" s="2">
        <f>(AX128-AM128)*'奖励（新）'!$D$17</f>
        <v>3907442.8704809155</v>
      </c>
      <c r="BM128" s="2">
        <f>(AY128-AN128)*'奖励（新）'!$D$17</f>
        <v>2760518.6031885594</v>
      </c>
      <c r="BN128" s="2">
        <f>(AZ128-AO128)*'奖励（新）'!$D$17</f>
        <v>1017675.5597064202</v>
      </c>
      <c r="BO128" s="2">
        <f>(BA128-AP128)*'奖励（新）'!$D$17</f>
        <v>40937.674272859585</v>
      </c>
    </row>
    <row r="129" spans="17:67" x14ac:dyDescent="0.2">
      <c r="Q129" s="2">
        <v>124</v>
      </c>
      <c r="R129" s="2">
        <f>$E$5*$F$5/7*MAX(节奏总纲!D127-$C$1,0)</f>
        <v>38169.317160898368</v>
      </c>
      <c r="S129" s="2">
        <f>$E$5*$F$5/7*MAX(节奏总纲!E127-$C$1,0)</f>
        <v>32368.054505901055</v>
      </c>
      <c r="T129" s="2">
        <f>$E$5*$F$5/7*MAX(节奏总纲!F127-$C$1,0)</f>
        <v>25794.834079114353</v>
      </c>
      <c r="U129" s="2">
        <f>$E$5*$F$5/7*MAX(节奏总纲!G127-$C$1,0)</f>
        <v>18314.563270475104</v>
      </c>
      <c r="V129" s="2">
        <f>$E$5*$F$5/7*MAX(节奏总纲!H127-$C$1,0)</f>
        <v>9684.0753818696576</v>
      </c>
      <c r="W129" s="2">
        <f>$E$6*$F$6/7*MAX(节奏总纲!D127-$C$1,0)</f>
        <v>381693.17160898366</v>
      </c>
      <c r="X129" s="2">
        <f>$E$6*$F$6/7*MAX(节奏总纲!E127-$C$1,0)</f>
        <v>323680.5450590105</v>
      </c>
      <c r="Y129" s="2">
        <f>$E$6*$F$6/7*MAX(节奏总纲!F127-$C$1,0)</f>
        <v>257948.34079114351</v>
      </c>
      <c r="Z129" s="2">
        <f>$E$6*$F$6/7*MAX(节奏总纲!G127-$C$1,0)</f>
        <v>183145.63270475101</v>
      </c>
      <c r="AA129" s="2">
        <f>$E$6*$F$6/7*MAX(节奏总纲!H127-$C$1,0)</f>
        <v>96840.753818696583</v>
      </c>
      <c r="AB129" s="2">
        <f>($E$9*$F$9*3600+$E$10*$F$10*1200)/7*MAX(节奏总纲!D127-$C$1,0)</f>
        <v>32062226.415154625</v>
      </c>
      <c r="AC129" s="2">
        <f>($E$9*$F$9*3600+$E$10*$F$10*1200)/7*MAX(节奏总纲!E127-$C$1,0)</f>
        <v>27189165.784956884</v>
      </c>
      <c r="AD129" s="2">
        <f>($E$9*$F$9*3600+$E$10*$F$10*1200)/7*MAX(节奏总纲!F127-$C$1,0)</f>
        <v>21667660.626456056</v>
      </c>
      <c r="AE129" s="2">
        <f>($E$9*$F$9*3600+$E$10*$F$10*1200)/7*MAX(节奏总纲!G127-$C$1,0)</f>
        <v>15384233.147199085</v>
      </c>
      <c r="AF129" s="2">
        <f>($E$9*$F$9*3600+$E$10*$F$10*1200)/7*MAX(节奏总纲!H127-$C$1,0)</f>
        <v>8134623.3207705123</v>
      </c>
      <c r="AK129" s="2">
        <v>124</v>
      </c>
      <c r="AL129" s="2">
        <f>'奖励（新）'!CT131</f>
        <v>2073064.5024593126</v>
      </c>
      <c r="AM129" s="2">
        <f>'奖励（新）'!CU131</f>
        <v>1781821.494729229</v>
      </c>
      <c r="AN129" s="2">
        <f>'奖励（新）'!CV131</f>
        <v>1495959.0350320344</v>
      </c>
      <c r="AO129" s="2">
        <f>'奖励（新）'!CW131</f>
        <v>1264457.51894787</v>
      </c>
      <c r="AP129" s="2">
        <f>'奖励（新）'!CX131</f>
        <v>775575.04537757207</v>
      </c>
      <c r="AV129" s="2">
        <v>124</v>
      </c>
      <c r="AW129" s="2">
        <f>SUMPRODUCT($F$5:$F$12,$H$5:$H$12,J$5:J$12)/7*MAX(节奏总纲!D127-'奖励（新）'!$E$2,0)</f>
        <v>3091714.6900327676</v>
      </c>
      <c r="AX129" s="2">
        <f>SUMPRODUCT($F$5:$F$12,$H$5:$H$12,K$5:K$12)/7*MAX(节奏总纲!E127-'奖励（新）'!$E$2,0)</f>
        <v>2621812.414977985</v>
      </c>
      <c r="AY129" s="2">
        <f>SUMPRODUCT($F$5:$F$12,$H$5:$H$12,L$5:L$12)/7*MAX(节奏总纲!F127-'奖励（新）'!$E$2,0)</f>
        <v>2089381.5604082623</v>
      </c>
      <c r="AZ129" s="2">
        <f>SUMPRODUCT($F$5:$F$12,$H$5:$H$12,M$5:M$12)/7*MAX(节奏总纲!G127-'奖励（新）'!$E$2,0)</f>
        <v>1483479.6249084831</v>
      </c>
      <c r="BA129" s="2">
        <f>SUMPRODUCT($F$5:$F$12,$H$5:$H$12,N$5:N$12)/7*MAX(节奏总纲!H127-'奖励（新）'!$E$2,0)</f>
        <v>784410.10593144223</v>
      </c>
      <c r="BE129" s="2">
        <v>124</v>
      </c>
      <c r="BF129" s="41">
        <f t="shared" si="12"/>
        <v>0.67052257737189236</v>
      </c>
      <c r="BG129" s="41">
        <f t="shared" si="13"/>
        <v>0.67961440892947744</v>
      </c>
      <c r="BH129" s="41">
        <f t="shared" si="14"/>
        <v>0.71598173515981733</v>
      </c>
      <c r="BI129" s="41">
        <f t="shared" si="15"/>
        <v>0.85235920852359215</v>
      </c>
      <c r="BJ129" s="41">
        <f t="shared" si="16"/>
        <v>0.98873668188736674</v>
      </c>
      <c r="BK129" s="2">
        <f>(AW129-AL129)*'奖励（新）'!$D$17</f>
        <v>5093250.9378672754</v>
      </c>
      <c r="BL129" s="2">
        <f>(AX129-AM129)*'奖励（新）'!$D$17</f>
        <v>4199954.60124378</v>
      </c>
      <c r="BM129" s="2">
        <f>(AY129-AN129)*'奖励（新）'!$D$17</f>
        <v>2967112.6268811394</v>
      </c>
      <c r="BN129" s="2">
        <f>(AZ129-AO129)*'奖励（新）'!$D$17</f>
        <v>1095110.5298030656</v>
      </c>
      <c r="BO129" s="2">
        <f>(BA129-AP129)*'奖励（新）'!$D$17</f>
        <v>44175.302769350819</v>
      </c>
    </row>
    <row r="130" spans="17:67" x14ac:dyDescent="0.2">
      <c r="Q130" s="2">
        <v>125</v>
      </c>
      <c r="R130" s="2">
        <f>$E$5*$F$5/7*MAX(节奏总纲!D128-$C$1,0)</f>
        <v>40940.133939144282</v>
      </c>
      <c r="S130" s="2">
        <f>$E$5*$F$5/7*MAX(节奏总纲!E128-$C$1,0)</f>
        <v>34705.870040229522</v>
      </c>
      <c r="T130" s="2">
        <f>$E$5*$F$5/7*MAX(节奏总纲!F128-$C$1,0)</f>
        <v>27714.558833085568</v>
      </c>
      <c r="U130" s="2">
        <f>$E$5*$F$5/7*MAX(节奏总纲!G128-$C$1,0)</f>
        <v>19689.029991748721</v>
      </c>
      <c r="V130" s="2">
        <f>$E$5*$F$5/7*MAX(节奏总纲!H128-$C$1,0)</f>
        <v>10356.250060792056</v>
      </c>
      <c r="W130" s="2">
        <f>$E$6*$F$6/7*MAX(节奏总纲!D128-$C$1,0)</f>
        <v>409401.33939144277</v>
      </c>
      <c r="X130" s="2">
        <f>$E$6*$F$6/7*MAX(节奏总纲!E128-$C$1,0)</f>
        <v>347058.70040229522</v>
      </c>
      <c r="Y130" s="2">
        <f>$E$6*$F$6/7*MAX(节奏总纲!F128-$C$1,0)</f>
        <v>277145.58833085565</v>
      </c>
      <c r="Z130" s="2">
        <f>$E$6*$F$6/7*MAX(节奏总纲!G128-$C$1,0)</f>
        <v>196890.29991748719</v>
      </c>
      <c r="AA130" s="2">
        <f>$E$6*$F$6/7*MAX(节奏总纲!H128-$C$1,0)</f>
        <v>103562.50060792055</v>
      </c>
      <c r="AB130" s="2">
        <f>($E$9*$F$9*3600+$E$10*$F$10*1200)/7*MAX(节奏总纲!D128-$C$1,0)</f>
        <v>34389712.508881189</v>
      </c>
      <c r="AC130" s="2">
        <f>($E$9*$F$9*3600+$E$10*$F$10*1200)/7*MAX(节奏总纲!E128-$C$1,0)</f>
        <v>29152930.833792798</v>
      </c>
      <c r="AD130" s="2">
        <f>($E$9*$F$9*3600+$E$10*$F$10*1200)/7*MAX(节奏总纲!F128-$C$1,0)</f>
        <v>23280229.419791874</v>
      </c>
      <c r="AE130" s="2">
        <f>($E$9*$F$9*3600+$E$10*$F$10*1200)/7*MAX(节奏总纲!G128-$C$1,0)</f>
        <v>16538785.193068923</v>
      </c>
      <c r="AF130" s="2">
        <f>($E$9*$F$9*3600+$E$10*$F$10*1200)/7*MAX(节奏总纲!H128-$C$1,0)</f>
        <v>8699250.0510653257</v>
      </c>
      <c r="AK130" s="2">
        <v>125</v>
      </c>
      <c r="AL130" s="2">
        <f>'奖励（新）'!CT132</f>
        <v>2223554.0142728658</v>
      </c>
      <c r="AM130" s="2">
        <f>'奖励（新）'!CU132</f>
        <v>1910515.357655681</v>
      </c>
      <c r="AN130" s="2">
        <f>'奖励（新）'!CV132</f>
        <v>1607292.5517226171</v>
      </c>
      <c r="AO130" s="2">
        <f>'奖励（新）'!CW132</f>
        <v>1359352.2076495006</v>
      </c>
      <c r="AP130" s="2">
        <f>'奖励（新）'!CX132</f>
        <v>829407.95007417351</v>
      </c>
      <c r="AV130" s="2">
        <v>125</v>
      </c>
      <c r="AW130" s="2">
        <f>SUMPRODUCT($F$5:$F$12,$H$5:$H$12,J$5:J$12)/7*MAX(节奏总纲!D128-'奖励（新）'!$E$2,0)</f>
        <v>3316150.8490706864</v>
      </c>
      <c r="AX130" s="2">
        <f>SUMPRODUCT($F$5:$F$12,$H$5:$H$12,K$5:K$12)/7*MAX(节奏总纲!E128-'奖励（新）'!$E$2,0)</f>
        <v>2811175.4732585913</v>
      </c>
      <c r="AY130" s="2">
        <f>SUMPRODUCT($F$5:$F$12,$H$5:$H$12,L$5:L$12)/7*MAX(节奏总纲!F128-'奖励（新）'!$E$2,0)</f>
        <v>2244879.2654799307</v>
      </c>
      <c r="AZ130" s="2">
        <f>SUMPRODUCT($F$5:$F$12,$H$5:$H$12,M$5:M$12)/7*MAX(节奏总纲!G128-'奖励（新）'!$E$2,0)</f>
        <v>1594811.4293316463</v>
      </c>
      <c r="BA130" s="2">
        <f>SUMPRODUCT($F$5:$F$12,$H$5:$H$12,N$5:N$12)/7*MAX(节奏总纲!H128-'奖励（新）'!$E$2,0)</f>
        <v>838856.25492415647</v>
      </c>
      <c r="BE130" s="2">
        <v>125</v>
      </c>
      <c r="BF130" s="41">
        <f t="shared" si="12"/>
        <v>0.67052257737189236</v>
      </c>
      <c r="BG130" s="41">
        <f t="shared" si="13"/>
        <v>0.67961440892947722</v>
      </c>
      <c r="BH130" s="41">
        <f t="shared" si="14"/>
        <v>0.71598173515981745</v>
      </c>
      <c r="BI130" s="41">
        <f t="shared" si="15"/>
        <v>0.85235920852359204</v>
      </c>
      <c r="BJ130" s="41">
        <f t="shared" si="16"/>
        <v>0.98873668188736674</v>
      </c>
      <c r="BK130" s="2">
        <f>(AW130-AL130)*'奖励（新）'!$D$17</f>
        <v>5462984.1739891022</v>
      </c>
      <c r="BL130" s="2">
        <f>(AX130-AM130)*'奖励（新）'!$D$17</f>
        <v>4503300.5780145517</v>
      </c>
      <c r="BM130" s="2">
        <f>(AY130-AN130)*'奖励（新）'!$D$17</f>
        <v>3187933.568786568</v>
      </c>
      <c r="BN130" s="2">
        <f>(AZ130-AO130)*'奖励（新）'!$D$17</f>
        <v>1177296.1084107286</v>
      </c>
      <c r="BO130" s="2">
        <f>(BA130-AP130)*'奖励（新）'!$D$17</f>
        <v>47241.524249914801</v>
      </c>
    </row>
    <row r="131" spans="17:67" x14ac:dyDescent="0.2">
      <c r="Q131" s="2">
        <v>126</v>
      </c>
      <c r="R131" s="2">
        <f>$E$5*$F$5/7*MAX(节奏总纲!D129-$C$1,0)</f>
        <v>43909.821831618479</v>
      </c>
      <c r="S131" s="2">
        <f>$E$5*$F$5/7*MAX(节奏总纲!E129-$C$1,0)</f>
        <v>37281.232039220093</v>
      </c>
      <c r="T131" s="2">
        <f>$E$5*$F$5/7*MAX(节奏总纲!F129-$C$1,0)</f>
        <v>29757.006702965857</v>
      </c>
      <c r="U131" s="2">
        <f>$E$5*$F$5/7*MAX(节奏总纲!G129-$C$1,0)</f>
        <v>21048.946266664563</v>
      </c>
      <c r="V131" s="2">
        <f>$E$5*$F$5/7*MAX(节奏总纲!H129-$C$1,0)</f>
        <v>11072.807783121832</v>
      </c>
      <c r="W131" s="2">
        <f>$E$6*$F$6/7*MAX(节奏总纲!D129-$C$1,0)</f>
        <v>439098.21831618476</v>
      </c>
      <c r="X131" s="2">
        <f>$E$6*$F$6/7*MAX(节奏总纲!E129-$C$1,0)</f>
        <v>372812.3203922009</v>
      </c>
      <c r="Y131" s="2">
        <f>$E$6*$F$6/7*MAX(节奏总纲!F129-$C$1,0)</f>
        <v>297570.06702965853</v>
      </c>
      <c r="Z131" s="2">
        <f>$E$6*$F$6/7*MAX(节奏总纲!G129-$C$1,0)</f>
        <v>210489.46266664562</v>
      </c>
      <c r="AA131" s="2">
        <f>$E$6*$F$6/7*MAX(节奏总纲!H129-$C$1,0)</f>
        <v>110728.07783121832</v>
      </c>
      <c r="AB131" s="2">
        <f>($E$9*$F$9*3600+$E$10*$F$10*1200)/7*MAX(节奏总纲!D129-$C$1,0)</f>
        <v>36884250.338559516</v>
      </c>
      <c r="AC131" s="2">
        <f>($E$9*$F$9*3600+$E$10*$F$10*1200)/7*MAX(节奏总纲!E129-$C$1,0)</f>
        <v>31316234.912944876</v>
      </c>
      <c r="AD131" s="2">
        <f>($E$9*$F$9*3600+$E$10*$F$10*1200)/7*MAX(节奏总纲!F129-$C$1,0)</f>
        <v>24995885.630491316</v>
      </c>
      <c r="AE131" s="2">
        <f>($E$9*$F$9*3600+$E$10*$F$10*1200)/7*MAX(节奏总纲!G129-$C$1,0)</f>
        <v>17681114.863998231</v>
      </c>
      <c r="AF131" s="2">
        <f>($E$9*$F$9*3600+$E$10*$F$10*1200)/7*MAX(节奏总纲!H129-$C$1,0)</f>
        <v>9301158.5378223397</v>
      </c>
      <c r="AK131" s="2">
        <v>126</v>
      </c>
      <c r="AL131" s="2">
        <f>'奖励（新）'!CT133</f>
        <v>2384844.6794246701</v>
      </c>
      <c r="AM131" s="2">
        <f>'奖励（新）'!CU133</f>
        <v>2052285.8605962778</v>
      </c>
      <c r="AN131" s="2">
        <f>'奖励（新）'!CV133</f>
        <v>1725743.3366804961</v>
      </c>
      <c r="AO131" s="2">
        <f>'奖励（新）'!CW133</f>
        <v>1453242.3175888956</v>
      </c>
      <c r="AP131" s="2">
        <f>'奖励（新）'!CX133</f>
        <v>886795.38935949968</v>
      </c>
      <c r="AV131" s="2">
        <v>126</v>
      </c>
      <c r="AW131" s="2">
        <f>SUMPRODUCT($F$5:$F$12,$H$5:$H$12,J$5:J$12)/7*MAX(节奏总纲!D129-'奖励（新）'!$E$2,0)</f>
        <v>3556695.5683610965</v>
      </c>
      <c r="AX131" s="2">
        <f>SUMPRODUCT($F$5:$F$12,$H$5:$H$12,K$5:K$12)/7*MAX(节奏总纲!E129-'奖励（新）'!$E$2,0)</f>
        <v>3019779.7951768269</v>
      </c>
      <c r="AY131" s="2">
        <f>SUMPRODUCT($F$5:$F$12,$H$5:$H$12,L$5:L$12)/7*MAX(节奏总纲!F129-'奖励（新）'!$E$2,0)</f>
        <v>2410317.5429402343</v>
      </c>
      <c r="AZ131" s="2">
        <f>SUMPRODUCT($F$5:$F$12,$H$5:$H$12,M$5:M$12)/7*MAX(节奏总纲!G129-'奖励（新）'!$E$2,0)</f>
        <v>1704964.6475998294</v>
      </c>
      <c r="BA131" s="2">
        <f>SUMPRODUCT($F$5:$F$12,$H$5:$H$12,N$5:N$12)/7*MAX(节奏总纲!H129-'奖励（新）'!$E$2,0)</f>
        <v>896897.43043286842</v>
      </c>
      <c r="BE131" s="2">
        <v>126</v>
      </c>
      <c r="BF131" s="41">
        <f t="shared" si="12"/>
        <v>0.67052257737189236</v>
      </c>
      <c r="BG131" s="41">
        <f t="shared" si="13"/>
        <v>0.67961440892947744</v>
      </c>
      <c r="BH131" s="41">
        <f t="shared" si="14"/>
        <v>0.71598173515981722</v>
      </c>
      <c r="BI131" s="41">
        <f t="shared" si="15"/>
        <v>0.85235920852359204</v>
      </c>
      <c r="BJ131" s="41">
        <f t="shared" si="16"/>
        <v>0.98873668188736674</v>
      </c>
      <c r="BK131" s="2">
        <f>(AW131-AL131)*'奖励（新）'!$D$17</f>
        <v>5859254.4446821325</v>
      </c>
      <c r="BL131" s="2">
        <f>(AX131-AM131)*'奖励（新）'!$D$17</f>
        <v>4837469.6729027461</v>
      </c>
      <c r="BM131" s="2">
        <f>(AY131-AN131)*'奖励（新）'!$D$17</f>
        <v>3422871.0312986909</v>
      </c>
      <c r="BN131" s="2">
        <f>(AZ131-AO131)*'奖励（新）'!$D$17</f>
        <v>1258611.650054669</v>
      </c>
      <c r="BO131" s="2">
        <f>(BA131-AP131)*'奖励（新）'!$D$17</f>
        <v>50510.205366843729</v>
      </c>
    </row>
    <row r="132" spans="17:67" x14ac:dyDescent="0.2">
      <c r="Q132" s="2">
        <v>127</v>
      </c>
      <c r="R132" s="2">
        <f>$E$5*$F$5/7*MAX(节奏总纲!D130-$C$1,0)</f>
        <v>47092.65450678765</v>
      </c>
      <c r="S132" s="2">
        <f>$E$5*$F$5/7*MAX(节奏总纲!E130-$C$1,0)</f>
        <v>39988.23122945147</v>
      </c>
      <c r="T132" s="2">
        <f>$E$5*$F$5/7*MAX(节奏总纲!F130-$C$1,0)</f>
        <v>31776.563387821418</v>
      </c>
      <c r="U132" s="2">
        <f>$E$5*$F$5/7*MAX(节奏总纲!G130-$C$1,0)</f>
        <v>22452.898859303968</v>
      </c>
      <c r="V132" s="2">
        <f>$E$5*$F$5/7*MAX(节奏总纲!H130-$C$1,0)</f>
        <v>11855.665475718894</v>
      </c>
      <c r="W132" s="2">
        <f>$E$6*$F$6/7*MAX(节奏总纲!D130-$C$1,0)</f>
        <v>470926.54506787652</v>
      </c>
      <c r="X132" s="2">
        <f>$E$6*$F$6/7*MAX(节奏总纲!E130-$C$1,0)</f>
        <v>399882.31229451473</v>
      </c>
      <c r="Y132" s="2">
        <f>$E$6*$F$6/7*MAX(节奏总纲!F130-$C$1,0)</f>
        <v>317765.63387821417</v>
      </c>
      <c r="Z132" s="2">
        <f>$E$6*$F$6/7*MAX(节奏总纲!G130-$C$1,0)</f>
        <v>224528.98859303968</v>
      </c>
      <c r="AA132" s="2">
        <f>$E$6*$F$6/7*MAX(节奏总纲!H130-$C$1,0)</f>
        <v>118556.65475718894</v>
      </c>
      <c r="AB132" s="2">
        <f>($E$9*$F$9*3600+$E$10*$F$10*1200)/7*MAX(节奏总纲!D130-$C$1,0)</f>
        <v>39557829.785701625</v>
      </c>
      <c r="AC132" s="2">
        <f>($E$9*$F$9*3600+$E$10*$F$10*1200)/7*MAX(节奏总纲!E130-$C$1,0)</f>
        <v>33590114.232739232</v>
      </c>
      <c r="AD132" s="2">
        <f>($E$9*$F$9*3600+$E$10*$F$10*1200)/7*MAX(节奏总纲!F130-$C$1,0)</f>
        <v>26692313.245769989</v>
      </c>
      <c r="AE132" s="2">
        <f>($E$9*$F$9*3600+$E$10*$F$10*1200)/7*MAX(节奏总纲!G130-$C$1,0)</f>
        <v>18860435.041815333</v>
      </c>
      <c r="AF132" s="2">
        <f>($E$9*$F$9*3600+$E$10*$F$10*1200)/7*MAX(节奏总纲!H130-$C$1,0)</f>
        <v>9958758.9996038694</v>
      </c>
      <c r="AK132" s="2">
        <v>127</v>
      </c>
      <c r="AL132" s="2">
        <f>'奖励（新）'!CT134</f>
        <v>2557711.7340892004</v>
      </c>
      <c r="AM132" s="2">
        <f>'奖励（新）'!CU134</f>
        <v>2201302.8286222531</v>
      </c>
      <c r="AN132" s="2">
        <f>'奖励（新）'!CV134</f>
        <v>1842866.5583380922</v>
      </c>
      <c r="AO132" s="2">
        <f>'奖励（新）'!CW134</f>
        <v>1550172.7431629039</v>
      </c>
      <c r="AP132" s="2">
        <f>'奖励（新）'!CX134</f>
        <v>949492.63886634144</v>
      </c>
      <c r="AV132" s="2">
        <v>127</v>
      </c>
      <c r="AW132" s="2">
        <f>SUMPRODUCT($F$5:$F$12,$H$5:$H$12,J$5:J$12)/7*MAX(节奏总纲!D130-'奖励（新）'!$E$2,0)</f>
        <v>3814505.0150497993</v>
      </c>
      <c r="AX132" s="2">
        <f>SUMPRODUCT($F$5:$F$12,$H$5:$H$12,K$5:K$12)/7*MAX(节奏总纲!E130-'奖励（新）'!$E$2,0)</f>
        <v>3239046.7295855689</v>
      </c>
      <c r="AY132" s="2">
        <f>SUMPRODUCT($F$5:$F$12,$H$5:$H$12,L$5:L$12)/7*MAX(节奏总纲!F130-'奖励（新）'!$E$2,0)</f>
        <v>2573901.6344135348</v>
      </c>
      <c r="AZ132" s="2">
        <f>SUMPRODUCT($F$5:$F$12,$H$5:$H$12,M$5:M$12)/7*MAX(节奏总纲!G130-'奖励（新）'!$E$2,0)</f>
        <v>1818684.8076036214</v>
      </c>
      <c r="BA132" s="2">
        <f>SUMPRODUCT($F$5:$F$12,$H$5:$H$12,N$5:N$12)/7*MAX(节奏总纲!H130-'奖励（新）'!$E$2,0)</f>
        <v>960308.9035332303</v>
      </c>
      <c r="BE132" s="2">
        <v>127</v>
      </c>
      <c r="BF132" s="41">
        <f t="shared" si="12"/>
        <v>0.67052257737189236</v>
      </c>
      <c r="BG132" s="41">
        <f t="shared" si="13"/>
        <v>0.67961440892947733</v>
      </c>
      <c r="BH132" s="41">
        <f t="shared" si="14"/>
        <v>0.71598173515981722</v>
      </c>
      <c r="BI132" s="41">
        <f t="shared" si="15"/>
        <v>0.85235920852359204</v>
      </c>
      <c r="BJ132" s="41">
        <f t="shared" si="16"/>
        <v>0.98873668188736674</v>
      </c>
      <c r="BK132" s="2">
        <f>(AW132-AL132)*'奖励（新）'!$D$17</f>
        <v>6283966.4048029948</v>
      </c>
      <c r="BL132" s="2">
        <f>(AX132-AM132)*'奖励（新）'!$D$17</f>
        <v>5188719.5048165787</v>
      </c>
      <c r="BM132" s="2">
        <f>(AY132-AN132)*'奖励（新）'!$D$17</f>
        <v>3655175.380377213</v>
      </c>
      <c r="BN132" s="2">
        <f>(AZ132-AO132)*'奖励（新）'!$D$17</f>
        <v>1342560.3222035873</v>
      </c>
      <c r="BO132" s="2">
        <f>(BA132-AP132)*'奖励（新）'!$D$17</f>
        <v>54081.323334444314</v>
      </c>
    </row>
    <row r="133" spans="17:67" x14ac:dyDescent="0.2">
      <c r="Q133" s="2">
        <v>128</v>
      </c>
      <c r="R133" s="2">
        <f>$E$5*$F$5/7*MAX(节奏总纲!D131-$C$1,0)</f>
        <v>50503.930103727464</v>
      </c>
      <c r="S133" s="2">
        <f>$E$5*$F$5/7*MAX(节奏总纲!E131-$C$1,0)</f>
        <v>42685.791118519584</v>
      </c>
      <c r="T133" s="2">
        <f>$E$5*$F$5/7*MAX(节奏总纲!F131-$C$1,0)</f>
        <v>33899.934604198024</v>
      </c>
      <c r="U133" s="2">
        <f>$E$5*$F$5/7*MAX(节奏总纲!G131-$C$1,0)</f>
        <v>23993.563056165891</v>
      </c>
      <c r="V133" s="2">
        <f>$E$5*$F$5/7*MAX(节奏总纲!H131-$C$1,0)</f>
        <v>12706.920716608456</v>
      </c>
      <c r="W133" s="2">
        <f>$E$6*$F$6/7*MAX(节奏总纲!D131-$C$1,0)</f>
        <v>505039.30103727459</v>
      </c>
      <c r="X133" s="2">
        <f>$E$6*$F$6/7*MAX(节奏总纲!E131-$C$1,0)</f>
        <v>426857.91118519579</v>
      </c>
      <c r="Y133" s="2">
        <f>$E$6*$F$6/7*MAX(节奏总纲!F131-$C$1,0)</f>
        <v>338999.34604198026</v>
      </c>
      <c r="Z133" s="2">
        <f>$E$6*$F$6/7*MAX(节奏总纲!G131-$C$1,0)</f>
        <v>239935.63056165888</v>
      </c>
      <c r="AA133" s="2">
        <f>$E$6*$F$6/7*MAX(节奏总纲!H131-$C$1,0)</f>
        <v>127069.20716608455</v>
      </c>
      <c r="AB133" s="2">
        <f>($E$9*$F$9*3600+$E$10*$F$10*1200)/7*MAX(节奏总纲!D131-$C$1,0)</f>
        <v>42423301.287131064</v>
      </c>
      <c r="AC133" s="2">
        <f>($E$9*$F$9*3600+$E$10*$F$10*1200)/7*MAX(节奏总纲!E131-$C$1,0)</f>
        <v>35856064.539556444</v>
      </c>
      <c r="AD133" s="2">
        <f>($E$9*$F$9*3600+$E$10*$F$10*1200)/7*MAX(节奏总纲!F131-$C$1,0)</f>
        <v>28475945.06752634</v>
      </c>
      <c r="AE133" s="2">
        <f>($E$9*$F$9*3600+$E$10*$F$10*1200)/7*MAX(节奏总纲!G131-$C$1,0)</f>
        <v>20154592.967179347</v>
      </c>
      <c r="AF133" s="2">
        <f>($E$9*$F$9*3600+$E$10*$F$10*1200)/7*MAX(节奏总纲!H131-$C$1,0)</f>
        <v>10673813.401951103</v>
      </c>
      <c r="AK133" s="2">
        <v>128</v>
      </c>
      <c r="AL133" s="2">
        <f>'奖励（新）'!CT135</f>
        <v>2742986.0558254602</v>
      </c>
      <c r="AM133" s="2">
        <f>'奖励（新）'!CU135</f>
        <v>2349800.1747566853</v>
      </c>
      <c r="AN133" s="2">
        <f>'奖励（新）'!CV135</f>
        <v>1966010.4539771609</v>
      </c>
      <c r="AO133" s="2">
        <f>'奖励（新）'!CW135</f>
        <v>1656541.8877133708</v>
      </c>
      <c r="AP133" s="2">
        <f>'奖励（新）'!CX135</f>
        <v>1017667.6887339681</v>
      </c>
      <c r="AV133" s="2">
        <v>128</v>
      </c>
      <c r="AW133" s="2">
        <f>SUMPRODUCT($F$5:$F$12,$H$5:$H$12,J$5:J$12)/7*MAX(节奏总纲!D131-'奖励（新）'!$E$2,0)</f>
        <v>4090818.3384019239</v>
      </c>
      <c r="AX133" s="2">
        <f>SUMPRODUCT($F$5:$F$12,$H$5:$H$12,K$5:K$12)/7*MAX(节奏总纲!E131-'奖励（新）'!$E$2,0)</f>
        <v>3457549.0806000857</v>
      </c>
      <c r="AY133" s="2">
        <f>SUMPRODUCT($F$5:$F$12,$H$5:$H$12,L$5:L$12)/7*MAX(节奏总纲!F131-'奖励（新）'!$E$2,0)</f>
        <v>2745894.7029400398</v>
      </c>
      <c r="AZ133" s="2">
        <f>SUMPRODUCT($F$5:$F$12,$H$5:$H$12,M$5:M$12)/7*MAX(节奏总纲!G131-'奖励（新）'!$E$2,0)</f>
        <v>1943478.6075494369</v>
      </c>
      <c r="BA133" s="2">
        <f>SUMPRODUCT($F$5:$F$12,$H$5:$H$12,N$5:N$12)/7*MAX(节奏总纲!H131-'奖励（新）'!$E$2,0)</f>
        <v>1029260.5780452848</v>
      </c>
      <c r="BE133" s="2">
        <v>128</v>
      </c>
      <c r="BF133" s="41">
        <f t="shared" si="12"/>
        <v>0.67052257737189236</v>
      </c>
      <c r="BG133" s="41">
        <f t="shared" si="13"/>
        <v>0.67961440892947744</v>
      </c>
      <c r="BH133" s="41">
        <f t="shared" si="14"/>
        <v>0.71598173515981733</v>
      </c>
      <c r="BI133" s="41">
        <f t="shared" si="15"/>
        <v>0.85235920852359204</v>
      </c>
      <c r="BJ133" s="41">
        <f t="shared" si="16"/>
        <v>0.98873668188736685</v>
      </c>
      <c r="BK133" s="2">
        <f>(AW133-AL133)*'奖励（新）'!$D$17</f>
        <v>6739161.4128823187</v>
      </c>
      <c r="BL133" s="2">
        <f>(AX133-AM133)*'奖励（新）'!$D$17</f>
        <v>5538744.529217002</v>
      </c>
      <c r="BM133" s="2">
        <f>(AY133-AN133)*'奖励（新）'!$D$17</f>
        <v>3899421.244814395</v>
      </c>
      <c r="BN133" s="2">
        <f>(AZ133-AO133)*'奖励（新）'!$D$17</f>
        <v>1434683.5991803301</v>
      </c>
      <c r="BO133" s="2">
        <f>(BA133-AP133)*'奖励（新）'!$D$17</f>
        <v>57964.446556583862</v>
      </c>
    </row>
    <row r="134" spans="17:67" x14ac:dyDescent="0.2">
      <c r="Q134" s="2">
        <v>129</v>
      </c>
      <c r="R134" s="2">
        <f>$E$5*$F$5/7*MAX(节奏总纲!D132-$C$1,0)</f>
        <v>54160.044761925201</v>
      </c>
      <c r="S134" s="2">
        <f>$E$5*$F$5/7*MAX(节奏总纲!E132-$C$1,0)</f>
        <v>45780.692176683973</v>
      </c>
      <c r="T134" s="2">
        <f>$E$5*$F$5/7*MAX(节奏总纲!F132-$C$1,0)</f>
        <v>36424.203361632848</v>
      </c>
      <c r="U134" s="2">
        <f>$E$5*$F$5/7*MAX(节奏总纲!G132-$C$1,0)</f>
        <v>25834.011820676504</v>
      </c>
      <c r="V134" s="2">
        <f>$E$5*$F$5/7*MAX(节奏总纲!H132-$C$1,0)</f>
        <v>13682.585856671951</v>
      </c>
      <c r="W134" s="2">
        <f>$E$6*$F$6/7*MAX(节奏总纲!D132-$C$1,0)</f>
        <v>541600.44761925202</v>
      </c>
      <c r="X134" s="2">
        <f>$E$6*$F$6/7*MAX(节奏总纲!E132-$C$1,0)</f>
        <v>457806.92176683969</v>
      </c>
      <c r="Y134" s="2">
        <f>$E$6*$F$6/7*MAX(节奏总纲!F132-$C$1,0)</f>
        <v>364242.0336163285</v>
      </c>
      <c r="Z134" s="2">
        <f>$E$6*$F$6/7*MAX(节奏总纲!G132-$C$1,0)</f>
        <v>258340.11820676504</v>
      </c>
      <c r="AA134" s="2">
        <f>$E$6*$F$6/7*MAX(节奏总纲!H132-$C$1,0)</f>
        <v>136825.85856671951</v>
      </c>
      <c r="AB134" s="2">
        <f>($E$9*$F$9*3600+$E$10*$F$10*1200)/7*MAX(节奏总纲!D132-$C$1,0)</f>
        <v>45494437.600017168</v>
      </c>
      <c r="AC134" s="2">
        <f>($E$9*$F$9*3600+$E$10*$F$10*1200)/7*MAX(节奏总纲!E132-$C$1,0)</f>
        <v>38455781.428414531</v>
      </c>
      <c r="AD134" s="2">
        <f>($E$9*$F$9*3600+$E$10*$F$10*1200)/7*MAX(节奏总纲!F132-$C$1,0)</f>
        <v>30596330.823771592</v>
      </c>
      <c r="AE134" s="2">
        <f>($E$9*$F$9*3600+$E$10*$F$10*1200)/7*MAX(节奏总纲!G132-$C$1,0)</f>
        <v>21700569.929368261</v>
      </c>
      <c r="AF134" s="2">
        <f>($E$9*$F$9*3600+$E$10*$F$10*1200)/7*MAX(节奏总纲!H132-$C$1,0)</f>
        <v>11493372.119604439</v>
      </c>
      <c r="AK134" s="2">
        <v>129</v>
      </c>
      <c r="AL134" s="2">
        <f>'奖励（新）'!CT136</f>
        <v>2941558.1571517945</v>
      </c>
      <c r="AM134" s="2">
        <f>'奖励（新）'!CU136</f>
        <v>2520170.6623771936</v>
      </c>
      <c r="AN134" s="2">
        <f>'奖励（新）'!CV136</f>
        <v>2112404.2102987505</v>
      </c>
      <c r="AO134" s="2">
        <f>'奖励（新）'!CW136</f>
        <v>1783608.4873453362</v>
      </c>
      <c r="AP134" s="2">
        <f>'奖励（新）'!CX136</f>
        <v>1095806.4377047517</v>
      </c>
      <c r="AV134" s="2">
        <v>129</v>
      </c>
      <c r="AW134" s="2">
        <f>SUMPRODUCT($F$5:$F$12,$H$5:$H$12,J$5:J$12)/7*MAX(节奏总纲!D132-'奖励（新）'!$E$2,0)</f>
        <v>4386963.6257159412</v>
      </c>
      <c r="AX134" s="2">
        <f>SUMPRODUCT($F$5:$F$12,$H$5:$H$12,K$5:K$12)/7*MAX(节奏总纲!E132-'奖励（新）'!$E$2,0)</f>
        <v>3708236.0663114013</v>
      </c>
      <c r="AY134" s="2">
        <f>SUMPRODUCT($F$5:$F$12,$H$5:$H$12,L$5:L$12)/7*MAX(节奏总纲!F132-'奖励（新）'!$E$2,0)</f>
        <v>2950360.4722922607</v>
      </c>
      <c r="AZ134" s="2">
        <f>SUMPRODUCT($F$5:$F$12,$H$5:$H$12,M$5:M$12)/7*MAX(节奏总纲!G132-'奖励（新）'!$E$2,0)</f>
        <v>2092554.9574747966</v>
      </c>
      <c r="BA134" s="2">
        <f>SUMPRODUCT($F$5:$F$12,$H$5:$H$12,N$5:N$12)/7*MAX(节奏总纲!H132-'奖励（新）'!$E$2,0)</f>
        <v>1108289.454390428</v>
      </c>
      <c r="BE134" s="2">
        <v>129</v>
      </c>
      <c r="BF134" s="41">
        <f t="shared" si="12"/>
        <v>0.67052257737189236</v>
      </c>
      <c r="BG134" s="41">
        <f t="shared" si="13"/>
        <v>0.67961440892947744</v>
      </c>
      <c r="BH134" s="41">
        <f t="shared" si="14"/>
        <v>0.71598173515981722</v>
      </c>
      <c r="BI134" s="41">
        <f t="shared" si="15"/>
        <v>0.85235920852359193</v>
      </c>
      <c r="BJ134" s="41">
        <f t="shared" si="16"/>
        <v>0.98873668188736663</v>
      </c>
      <c r="BK134" s="2">
        <f>(AW134-AL134)*'奖励（新）'!$D$17</f>
        <v>7227027.3428207338</v>
      </c>
      <c r="BL134" s="2">
        <f>(AX134-AM134)*'奖励（新）'!$D$17</f>
        <v>5940327.0196710387</v>
      </c>
      <c r="BM134" s="2">
        <f>(AY134-AN134)*'奖励（新）'!$D$17</f>
        <v>4189781.3099675509</v>
      </c>
      <c r="BN134" s="2">
        <f>(AZ134-AO134)*'奖励（新）'!$D$17</f>
        <v>1544732.3506473016</v>
      </c>
      <c r="BO134" s="2">
        <f>(BA134-AP134)*'奖励（新）'!$D$17</f>
        <v>62415.083428381477</v>
      </c>
    </row>
    <row r="135" spans="17:67" x14ac:dyDescent="0.2">
      <c r="Q135" s="2">
        <v>130</v>
      </c>
      <c r="R135" s="2">
        <f>$E$5*$F$5/7*MAX(节奏总纲!D133-$C$1,0)</f>
        <v>58078.571428571435</v>
      </c>
      <c r="S135" s="2">
        <f>$E$5*$F$5/7*MAX(节奏总纲!E133-$C$1,0)</f>
        <v>49156.232142857145</v>
      </c>
      <c r="T135" s="2">
        <f>$E$5*$F$5/7*MAX(节奏总纲!F133-$C$1,0)</f>
        <v>39157.361428571428</v>
      </c>
      <c r="U135" s="2">
        <f>$E$5*$F$5/7*MAX(节奏总纲!G133-$C$1,0)</f>
        <v>27795.274285714288</v>
      </c>
      <c r="V135" s="2">
        <f>$E$5*$F$5/7*MAX(节奏总纲!H133-$C$1,0)</f>
        <v>14748.181428571432</v>
      </c>
      <c r="W135" s="2">
        <f>$E$6*$F$6/7*MAX(节奏总纲!D133-$C$1,0)</f>
        <v>580785.71428571432</v>
      </c>
      <c r="X135" s="2">
        <f>$E$6*$F$6/7*MAX(节奏总纲!E133-$C$1,0)</f>
        <v>491562.32142857148</v>
      </c>
      <c r="Y135" s="2">
        <f>$E$6*$F$6/7*MAX(节奏总纲!F133-$C$1,0)</f>
        <v>391573.61428571428</v>
      </c>
      <c r="Z135" s="2">
        <f>$E$6*$F$6/7*MAX(节奏总纲!G133-$C$1,0)</f>
        <v>277952.74285714288</v>
      </c>
      <c r="AA135" s="2">
        <f>$E$6*$F$6/7*MAX(节奏总纲!H133-$C$1,0)</f>
        <v>147481.8142857143</v>
      </c>
      <c r="AB135" s="2">
        <f>($E$9*$F$9*3600+$E$10*$F$10*1200)/7*MAX(节奏总纲!D133-$C$1,0)</f>
        <v>48786000</v>
      </c>
      <c r="AC135" s="2">
        <f>($E$9*$F$9*3600+$E$10*$F$10*1200)/7*MAX(节奏总纲!E133-$C$1,0)</f>
        <v>41291235</v>
      </c>
      <c r="AD135" s="2">
        <f>($E$9*$F$9*3600+$E$10*$F$10*1200)/7*MAX(节奏总纲!F133-$C$1,0)</f>
        <v>32892183.600000001</v>
      </c>
      <c r="AE135" s="2">
        <f>($E$9*$F$9*3600+$E$10*$F$10*1200)/7*MAX(节奏总纲!G133-$C$1,0)</f>
        <v>23348030.400000002</v>
      </c>
      <c r="AF135" s="2">
        <f>($E$9*$F$9*3600+$E$10*$F$10*1200)/7*MAX(节奏总纲!H133-$C$1,0)</f>
        <v>12388472.400000002</v>
      </c>
      <c r="AK135" s="2">
        <v>130</v>
      </c>
      <c r="AL135" s="2">
        <f>'奖励（新）'!CT137</f>
        <v>3154382.4657534244</v>
      </c>
      <c r="AM135" s="2">
        <f>'奖励（新）'!CU137</f>
        <v>2705989.9758904111</v>
      </c>
      <c r="AN135" s="2">
        <f>'奖励（新）'!CV137</f>
        <v>2270912.4019726026</v>
      </c>
      <c r="AO135" s="2">
        <f>'奖励（新）'!CW137</f>
        <v>1919016.1972602739</v>
      </c>
      <c r="AP135" s="2">
        <f>'奖励（新）'!CX137</f>
        <v>1181147.5055342466</v>
      </c>
      <c r="AV135" s="2">
        <v>130</v>
      </c>
      <c r="AW135" s="2">
        <f>SUMPRODUCT($F$5:$F$12,$H$5:$H$12,J$5:J$12)/7*MAX(节奏总纲!D133-'奖励（新）'!$E$2,0)</f>
        <v>4704364.2857142854</v>
      </c>
      <c r="AX135" s="2">
        <f>SUMPRODUCT($F$5:$F$12,$H$5:$H$12,K$5:K$12)/7*MAX(节奏总纲!E133-'奖励（新）'!$E$2,0)</f>
        <v>3981654.8035714286</v>
      </c>
      <c r="AY135" s="2">
        <f>SUMPRODUCT($F$5:$F$12,$H$5:$H$12,L$5:L$12)/7*MAX(节奏总纲!F133-'奖励（新）'!$E$2,0)</f>
        <v>3171746.2757142857</v>
      </c>
      <c r="AZ135" s="2">
        <f>SUMPRODUCT($F$5:$F$12,$H$5:$H$12,M$5:M$12)/7*MAX(节奏总纲!G133-'奖励（新）'!$E$2,0)</f>
        <v>2251417.2171428571</v>
      </c>
      <c r="BA135" s="2">
        <f>SUMPRODUCT($F$5:$F$12,$H$5:$H$12,N$5:N$12)/7*MAX(节奏总纲!H133-'奖励（新）'!$E$2,0)</f>
        <v>1194602.6957142858</v>
      </c>
      <c r="BE135" s="2">
        <v>130</v>
      </c>
      <c r="BF135" s="41">
        <f t="shared" ref="BF135:BF165" si="17">AL135/AW135</f>
        <v>0.67052257737189247</v>
      </c>
      <c r="BG135" s="41">
        <f t="shared" ref="BG135:BG165" si="18">AM135/AX135</f>
        <v>0.67961440892947744</v>
      </c>
      <c r="BH135" s="41">
        <f t="shared" ref="BH135:BH165" si="19">AN135/AY135</f>
        <v>0.71598173515981733</v>
      </c>
      <c r="BI135" s="41">
        <f t="shared" ref="BI135:BI165" si="20">AO135/AZ135</f>
        <v>0.85235920852359204</v>
      </c>
      <c r="BJ135" s="41">
        <f t="shared" ref="BJ135:BJ165" si="21">AP135/BA135</f>
        <v>0.98873668188736674</v>
      </c>
      <c r="BK135" s="2">
        <f>(AW135-AL135)*'奖励（新）'!$D$17</f>
        <v>7749909.0998043045</v>
      </c>
      <c r="BL135" s="2">
        <f>(AX135-AM135)*'奖励（新）'!$D$17</f>
        <v>6378324.1384050883</v>
      </c>
      <c r="BM135" s="2">
        <f>(AY135-AN135)*'奖励（新）'!$D$17</f>
        <v>4504169.368708415</v>
      </c>
      <c r="BN135" s="2">
        <f>(AZ135-AO135)*'奖励（新）'!$D$17</f>
        <v>1662005.0994129165</v>
      </c>
      <c r="BO135" s="2">
        <f>(BA135-AP135)*'奖励（新）'!$D$17</f>
        <v>67275.950900196331</v>
      </c>
    </row>
    <row r="136" spans="17:67" x14ac:dyDescent="0.2">
      <c r="Q136" s="2">
        <v>131</v>
      </c>
      <c r="R136" s="2">
        <f>$E$5*$F$5/7*MAX(节奏总纲!D134-$C$1,0)</f>
        <v>62278.344322123681</v>
      </c>
      <c r="S136" s="2">
        <f>$E$5*$F$5/7*MAX(节奏总纲!E134-$C$1,0)</f>
        <v>52740.622436442958</v>
      </c>
      <c r="T136" s="2">
        <f>$E$5*$F$5/7*MAX(节奏总纲!F134-$C$1,0)</f>
        <v>42036.551917799305</v>
      </c>
      <c r="U136" s="2">
        <f>$E$5*$F$5/7*MAX(节奏总纲!G134-$C$1,0)</f>
        <v>29890.222336889656</v>
      </c>
      <c r="V136" s="2">
        <f>$E$5*$F$5/7*MAX(节奏总纲!H134-$C$1,0)</f>
        <v>15825.061134008743</v>
      </c>
      <c r="W136" s="2">
        <f>$E$6*$F$6/7*MAX(节奏总纲!D134-$C$1,0)</f>
        <v>622783.44322123681</v>
      </c>
      <c r="X136" s="2">
        <f>$E$6*$F$6/7*MAX(节奏总纲!E134-$C$1,0)</f>
        <v>527406.2243644296</v>
      </c>
      <c r="Y136" s="2">
        <f>$E$6*$F$6/7*MAX(节奏总纲!F134-$C$1,0)</f>
        <v>420365.519177993</v>
      </c>
      <c r="Z136" s="2">
        <f>$E$6*$F$6/7*MAX(节奏总纲!G134-$C$1,0)</f>
        <v>298902.22336889658</v>
      </c>
      <c r="AA136" s="2">
        <f>$E$6*$F$6/7*MAX(节奏总纲!H134-$C$1,0)</f>
        <v>158250.61134008743</v>
      </c>
      <c r="AB136" s="2">
        <f>($E$9*$F$9*3600+$E$10*$F$10*1200)/7*MAX(节奏总纲!D134-$C$1,0)</f>
        <v>52313809.230583891</v>
      </c>
      <c r="AC136" s="2">
        <f>($E$9*$F$9*3600+$E$10*$F$10*1200)/7*MAX(节奏总纲!E134-$C$1,0)</f>
        <v>44302122.846612081</v>
      </c>
      <c r="AD136" s="2">
        <f>($E$9*$F$9*3600+$E$10*$F$10*1200)/7*MAX(节奏总纲!F134-$C$1,0)</f>
        <v>35310703.610951409</v>
      </c>
      <c r="AE136" s="2">
        <f>($E$9*$F$9*3600+$E$10*$F$10*1200)/7*MAX(节奏总纲!G134-$C$1,0)</f>
        <v>25107786.762987312</v>
      </c>
      <c r="AF136" s="2">
        <f>($E$9*$F$9*3600+$E$10*$F$10*1200)/7*MAX(节奏总纲!H134-$C$1,0)</f>
        <v>13293051.352567343</v>
      </c>
      <c r="AK136" s="2">
        <v>131</v>
      </c>
      <c r="AL136" s="2">
        <f>'奖励（新）'!CT138</f>
        <v>3382481.9118952872</v>
      </c>
      <c r="AM136" s="2">
        <f>'奖励（新）'!CU138</f>
        <v>2903306.2424409888</v>
      </c>
      <c r="AN136" s="2">
        <f>'奖励（新）'!CV138</f>
        <v>2437889.6739615765</v>
      </c>
      <c r="AO136" s="2">
        <f>'奖励（新）'!CW138</f>
        <v>2063653.706546902</v>
      </c>
      <c r="AP136" s="2">
        <f>'奖励（新）'!CX138</f>
        <v>1267392.2933406672</v>
      </c>
      <c r="AV136" s="2">
        <v>131</v>
      </c>
      <c r="AW136" s="2">
        <f>SUMPRODUCT($F$5:$F$12,$H$5:$H$12,J$5:J$12)/7*MAX(节奏总纲!D134-'奖励（新）'!$E$2,0)</f>
        <v>5044545.8900920181</v>
      </c>
      <c r="AX136" s="2">
        <f>SUMPRODUCT($F$5:$F$12,$H$5:$H$12,K$5:K$12)/7*MAX(节奏总纲!E134-'奖励（新）'!$E$2,0)</f>
        <v>4271990.4173518792</v>
      </c>
      <c r="AY136" s="2">
        <f>SUMPRODUCT($F$5:$F$12,$H$5:$H$12,L$5:L$12)/7*MAX(节奏总纲!F134-'奖励（新）'!$E$2,0)</f>
        <v>3404960.7053417433</v>
      </c>
      <c r="AZ136" s="2">
        <f>SUMPRODUCT($F$5:$F$12,$H$5:$H$12,M$5:M$12)/7*MAX(节奏总纲!G134-'奖励（新）'!$E$2,0)</f>
        <v>2421108.0092880619</v>
      </c>
      <c r="BA136" s="2">
        <f>SUMPRODUCT($F$5:$F$12,$H$5:$H$12,N$5:N$12)/7*MAX(节奏总纲!H134-'奖励（新）'!$E$2,0)</f>
        <v>1281829.9518547081</v>
      </c>
      <c r="BE136" s="2">
        <v>131</v>
      </c>
      <c r="BF136" s="41">
        <f t="shared" si="17"/>
        <v>0.67052257737189247</v>
      </c>
      <c r="BG136" s="41">
        <f t="shared" si="18"/>
        <v>0.67961440892947733</v>
      </c>
      <c r="BH136" s="41">
        <f t="shared" si="19"/>
        <v>0.71598173515981722</v>
      </c>
      <c r="BI136" s="41">
        <f t="shared" si="20"/>
        <v>0.85235920852359204</v>
      </c>
      <c r="BJ136" s="41">
        <f t="shared" si="21"/>
        <v>0.98873668188736674</v>
      </c>
      <c r="BK136" s="2">
        <f>(AW136-AL136)*'奖励（新）'!$D$17</f>
        <v>8310319.8909836542</v>
      </c>
      <c r="BL136" s="2">
        <f>(AX136-AM136)*'奖励（新）'!$D$17</f>
        <v>6843420.8745544516</v>
      </c>
      <c r="BM136" s="2">
        <f>(AY136-AN136)*'奖励（新）'!$D$17</f>
        <v>4835355.1569008343</v>
      </c>
      <c r="BN136" s="2">
        <f>(AZ136-AO136)*'奖励（新）'!$D$17</f>
        <v>1787271.5137057996</v>
      </c>
      <c r="BO136" s="2">
        <f>(BA136-AP136)*'奖励（新）'!$D$17</f>
        <v>72188.29257020494</v>
      </c>
    </row>
    <row r="137" spans="17:67" x14ac:dyDescent="0.2">
      <c r="Q137" s="2">
        <v>132</v>
      </c>
      <c r="R137" s="2">
        <f>$E$5*$F$5/7*MAX(节奏总纲!D135-$C$1,0)</f>
        <v>66779.549458112175</v>
      </c>
      <c r="S137" s="2">
        <f>$E$5*$F$5/7*MAX(节奏总纲!E135-$C$1,0)</f>
        <v>56597.519143779617</v>
      </c>
      <c r="T137" s="2">
        <f>$E$5*$F$5/7*MAX(节奏总纲!F135-$C$1,0)</f>
        <v>45185.580217220733</v>
      </c>
      <c r="U137" s="2">
        <f>$E$5*$F$5/7*MAX(节奏总纲!G135-$C$1,0)</f>
        <v>32032.950959696755</v>
      </c>
      <c r="V137" s="2">
        <f>$E$5*$F$5/7*MAX(节奏总纲!H135-$C$1,0)</f>
        <v>16938.007008547618</v>
      </c>
      <c r="W137" s="2">
        <f>$E$6*$F$6/7*MAX(节奏总纲!D135-$C$1,0)</f>
        <v>667795.49458112172</v>
      </c>
      <c r="X137" s="2">
        <f>$E$6*$F$6/7*MAX(节奏总纲!E135-$C$1,0)</f>
        <v>565975.19143779611</v>
      </c>
      <c r="Y137" s="2">
        <f>$E$6*$F$6/7*MAX(节奏总纲!F135-$C$1,0)</f>
        <v>451855.80217220727</v>
      </c>
      <c r="Z137" s="2">
        <f>$E$6*$F$6/7*MAX(节奏总纲!G135-$C$1,0)</f>
        <v>320329.50959696755</v>
      </c>
      <c r="AA137" s="2">
        <f>$E$6*$F$6/7*MAX(节奏总纲!H135-$C$1,0)</f>
        <v>169380.07008547615</v>
      </c>
      <c r="AB137" s="2">
        <f>($E$9*$F$9*3600+$E$10*$F$10*1200)/7*MAX(节奏总纲!D135-$C$1,0)</f>
        <v>56094821.544814229</v>
      </c>
      <c r="AC137" s="2">
        <f>($E$9*$F$9*3600+$E$10*$F$10*1200)/7*MAX(节奏总纲!E135-$C$1,0)</f>
        <v>47541916.080774873</v>
      </c>
      <c r="AD137" s="2">
        <f>($E$9*$F$9*3600+$E$10*$F$10*1200)/7*MAX(节奏总纲!F135-$C$1,0)</f>
        <v>37955887.382465415</v>
      </c>
      <c r="AE137" s="2">
        <f>($E$9*$F$9*3600+$E$10*$F$10*1200)/7*MAX(节奏总纲!G135-$C$1,0)</f>
        <v>26907678.806145273</v>
      </c>
      <c r="AF137" s="2">
        <f>($E$9*$F$9*3600+$E$10*$F$10*1200)/7*MAX(节奏总纲!H135-$C$1,0)</f>
        <v>14227925.887179997</v>
      </c>
      <c r="AK137" s="2">
        <v>132</v>
      </c>
      <c r="AL137" s="2">
        <f>'奖励（新）'!CT139</f>
        <v>3626952.8450893578</v>
      </c>
      <c r="AM137" s="2">
        <f>'奖励（新）'!CU139</f>
        <v>3115623.6511017391</v>
      </c>
      <c r="AN137" s="2">
        <f>'奖励（新）'!CV139</f>
        <v>2620516.0603784341</v>
      </c>
      <c r="AO137" s="2">
        <f>'奖励（新）'!CW139</f>
        <v>2211590.0388612552</v>
      </c>
      <c r="AP137" s="2">
        <f>'奖励（新）'!CX139</f>
        <v>1356525.536640723</v>
      </c>
      <c r="AV137" s="2">
        <v>132</v>
      </c>
      <c r="AW137" s="2">
        <f>SUMPRODUCT($F$5:$F$12,$H$5:$H$12,J$5:J$12)/7*MAX(节奏总纲!D135-'奖励（新）'!$E$2,0)</f>
        <v>5409143.5061070863</v>
      </c>
      <c r="AX137" s="2">
        <f>SUMPRODUCT($F$5:$F$12,$H$5:$H$12,K$5:K$12)/7*MAX(节奏总纲!E135-'奖励（新）'!$E$2,0)</f>
        <v>4584399.0506461486</v>
      </c>
      <c r="AY137" s="2">
        <f>SUMPRODUCT($F$5:$F$12,$H$5:$H$12,L$5:L$12)/7*MAX(节奏总纲!F135-'奖励（新）'!$E$2,0)</f>
        <v>3660031.997594879</v>
      </c>
      <c r="AZ137" s="2">
        <f>SUMPRODUCT($F$5:$F$12,$H$5:$H$12,M$5:M$12)/7*MAX(节奏总纲!G135-'奖励（新）'!$E$2,0)</f>
        <v>2594669.0277354368</v>
      </c>
      <c r="BA137" s="2">
        <f>SUMPRODUCT($F$5:$F$12,$H$5:$H$12,N$5:N$12)/7*MAX(节奏总纲!H135-'奖励（新）'!$E$2,0)</f>
        <v>1371978.5676923569</v>
      </c>
      <c r="BE137" s="2">
        <v>132</v>
      </c>
      <c r="BF137" s="41">
        <f t="shared" si="17"/>
        <v>0.67052257737189236</v>
      </c>
      <c r="BG137" s="41">
        <f t="shared" si="18"/>
        <v>0.67961440892947733</v>
      </c>
      <c r="BH137" s="41">
        <f t="shared" si="19"/>
        <v>0.71598173515981745</v>
      </c>
      <c r="BI137" s="41">
        <f t="shared" si="20"/>
        <v>0.85235920852359215</v>
      </c>
      <c r="BJ137" s="41">
        <f t="shared" si="21"/>
        <v>0.98873668188736685</v>
      </c>
      <c r="BK137" s="2">
        <f>(AW137-AL137)*'奖励（新）'!$D$17</f>
        <v>8910953.305088643</v>
      </c>
      <c r="BL137" s="2">
        <f>(AX137-AM137)*'奖励（新）'!$D$17</f>
        <v>7343876.9977220474</v>
      </c>
      <c r="BM137" s="2">
        <f>(AY137-AN137)*'奖励（新）'!$D$17</f>
        <v>5197579.6860822244</v>
      </c>
      <c r="BN137" s="2">
        <f>(AZ137-AO137)*'奖励（新）'!$D$17</f>
        <v>1915394.9443709082</v>
      </c>
      <c r="BO137" s="2">
        <f>(BA137-AP137)*'奖励（新）'!$D$17</f>
        <v>77265.155258169398</v>
      </c>
    </row>
    <row r="138" spans="17:67" x14ac:dyDescent="0.2">
      <c r="Q138" s="2">
        <v>133</v>
      </c>
      <c r="R138" s="2">
        <f>$E$5*$F$5/7*MAX(节奏总纲!D136-$C$1,0)</f>
        <v>71603.821672296835</v>
      </c>
      <c r="S138" s="2">
        <f>$E$5*$F$5/7*MAX(节奏总纲!E136-$C$1,0)</f>
        <v>60734.13355337581</v>
      </c>
      <c r="T138" s="2">
        <f>$E$5*$F$5/7*MAX(节奏总纲!F136-$C$1,0)</f>
        <v>48337.358700716388</v>
      </c>
      <c r="U138" s="2">
        <f>$E$5*$F$5/7*MAX(节奏总纲!G136-$C$1,0)</f>
        <v>34197.399935015943</v>
      </c>
      <c r="V138" s="2">
        <f>$E$5*$F$5/7*MAX(节奏总纲!H136-$C$1,0)</f>
        <v>18112.566555592064</v>
      </c>
      <c r="W138" s="2">
        <f>$E$6*$F$6/7*MAX(节奏总纲!D136-$C$1,0)</f>
        <v>716038.21672296827</v>
      </c>
      <c r="X138" s="2">
        <f>$E$6*$F$6/7*MAX(节奏总纲!E136-$C$1,0)</f>
        <v>607341.33553375816</v>
      </c>
      <c r="Y138" s="2">
        <f>$E$6*$F$6/7*MAX(节奏总纲!F136-$C$1,0)</f>
        <v>483373.58700716391</v>
      </c>
      <c r="Z138" s="2">
        <f>$E$6*$F$6/7*MAX(节奏总纲!G136-$C$1,0)</f>
        <v>341973.99935015943</v>
      </c>
      <c r="AA138" s="2">
        <f>$E$6*$F$6/7*MAX(节奏总纲!H136-$C$1,0)</f>
        <v>181125.66555592066</v>
      </c>
      <c r="AB138" s="2">
        <f>($E$9*$F$9*3600+$E$10*$F$10*1200)/7*MAX(节奏总纲!D136-$C$1,0)</f>
        <v>60147210.204729341</v>
      </c>
      <c r="AC138" s="2">
        <f>($E$9*$F$9*3600+$E$10*$F$10*1200)/7*MAX(节奏总纲!E136-$C$1,0)</f>
        <v>51016672.18483568</v>
      </c>
      <c r="AD138" s="2">
        <f>($E$9*$F$9*3600+$E$10*$F$10*1200)/7*MAX(节奏总纲!F136-$C$1,0)</f>
        <v>40603381.308601767</v>
      </c>
      <c r="AE138" s="2">
        <f>($E$9*$F$9*3600+$E$10*$F$10*1200)/7*MAX(节奏总纲!G136-$C$1,0)</f>
        <v>28725815.945413392</v>
      </c>
      <c r="AF138" s="2">
        <f>($E$9*$F$9*3600+$E$10*$F$10*1200)/7*MAX(节奏总纲!H136-$C$1,0)</f>
        <v>15214555.906697333</v>
      </c>
      <c r="AK138" s="2">
        <v>133</v>
      </c>
      <c r="AL138" s="2">
        <f>'奖励（新）'!CT140</f>
        <v>3888970.3036482525</v>
      </c>
      <c r="AM138" s="2">
        <f>'奖励（新）'!CU140</f>
        <v>3343339.1744144368</v>
      </c>
      <c r="AN138" s="2">
        <f>'奖励（新）'!CV140</f>
        <v>2803301.9424020941</v>
      </c>
      <c r="AO138" s="2">
        <f>'奖励（新）'!CW140</f>
        <v>2361025.9681161689</v>
      </c>
      <c r="AP138" s="2">
        <f>'奖励（新）'!CX140</f>
        <v>1450593.2754878551</v>
      </c>
      <c r="AV138" s="2">
        <v>133</v>
      </c>
      <c r="AW138" s="2">
        <f>SUMPRODUCT($F$5:$F$12,$H$5:$H$12,J$5:J$12)/7*MAX(节奏总纲!D136-'奖励（新）'!$E$2,0)</f>
        <v>5799909.5554560432</v>
      </c>
      <c r="AX138" s="2">
        <f>SUMPRODUCT($F$5:$F$12,$H$5:$H$12,K$5:K$12)/7*MAX(节奏总纲!E136-'奖励（新）'!$E$2,0)</f>
        <v>4919464.8178234408</v>
      </c>
      <c r="AY138" s="2">
        <f>SUMPRODUCT($F$5:$F$12,$H$5:$H$12,L$5:L$12)/7*MAX(节奏总纲!F136-'奖励（新）'!$E$2,0)</f>
        <v>3915326.0547580272</v>
      </c>
      <c r="AZ138" s="2">
        <f>SUMPRODUCT($F$5:$F$12,$H$5:$H$12,M$5:M$12)/7*MAX(节奏总纲!G136-'奖励（新）'!$E$2,0)</f>
        <v>2769989.3947362914</v>
      </c>
      <c r="BA138" s="2">
        <f>SUMPRODUCT($F$5:$F$12,$H$5:$H$12,N$5:N$12)/7*MAX(节奏总纲!H136-'奖励（新）'!$E$2,0)</f>
        <v>1467117.8910029572</v>
      </c>
      <c r="BE138" s="2">
        <v>133</v>
      </c>
      <c r="BF138" s="41">
        <f t="shared" si="17"/>
        <v>0.67052257737189236</v>
      </c>
      <c r="BG138" s="41">
        <f t="shared" si="18"/>
        <v>0.67961440892947733</v>
      </c>
      <c r="BH138" s="41">
        <f t="shared" si="19"/>
        <v>0.71598173515981733</v>
      </c>
      <c r="BI138" s="41">
        <f t="shared" si="20"/>
        <v>0.85235920852359193</v>
      </c>
      <c r="BJ138" s="41">
        <f t="shared" si="21"/>
        <v>0.98873668188736652</v>
      </c>
      <c r="BK138" s="2">
        <f>(AW138-AL138)*'奖励（新）'!$D$17</f>
        <v>9554696.2590389531</v>
      </c>
      <c r="BL138" s="2">
        <f>(AX138-AM138)*'奖励（新）'!$D$17</f>
        <v>7880628.2170450203</v>
      </c>
      <c r="BM138" s="2">
        <f>(AY138-AN138)*'奖励（新）'!$D$17</f>
        <v>5560120.5617796648</v>
      </c>
      <c r="BN138" s="2">
        <f>(AZ138-AO138)*'奖励（新）'!$D$17</f>
        <v>2044817.1331006126</v>
      </c>
      <c r="BO138" s="2">
        <f>(BA138-AP138)*'奖励（新）'!$D$17</f>
        <v>82623.077575510833</v>
      </c>
    </row>
    <row r="139" spans="17:67" x14ac:dyDescent="0.2">
      <c r="Q139" s="2">
        <v>134</v>
      </c>
      <c r="R139" s="2">
        <f>$E$5*$F$5/7*MAX(节奏总纲!D137-$C$1,0)</f>
        <v>76774.348607511027</v>
      </c>
      <c r="S139" s="2">
        <f>$E$5*$F$5/7*MAX(节奏总纲!E137-$C$1,0)</f>
        <v>64939.14096597959</v>
      </c>
      <c r="T139" s="2">
        <f>$E$5*$F$5/7*MAX(节奏总纲!F137-$C$1,0)</f>
        <v>51598.47638374455</v>
      </c>
      <c r="U139" s="2">
        <f>$E$5*$F$5/7*MAX(节奏总纲!G137-$C$1,0)</f>
        <v>36536.186684704859</v>
      </c>
      <c r="V139" s="2">
        <f>$E$5*$F$5/7*MAX(节奏总纲!H137-$C$1,0)</f>
        <v>19397.138436694546</v>
      </c>
      <c r="W139" s="2">
        <f>$E$6*$F$6/7*MAX(节奏总纲!D137-$C$1,0)</f>
        <v>767743.48607511027</v>
      </c>
      <c r="X139" s="2">
        <f>$E$6*$F$6/7*MAX(节奏总纲!E137-$C$1,0)</f>
        <v>649391.40965979593</v>
      </c>
      <c r="Y139" s="2">
        <f>$E$6*$F$6/7*MAX(节奏总纲!F137-$C$1,0)</f>
        <v>515984.76383744547</v>
      </c>
      <c r="Z139" s="2">
        <f>$E$6*$F$6/7*MAX(节奏总纲!G137-$C$1,0)</f>
        <v>365361.86684704851</v>
      </c>
      <c r="AA139" s="2">
        <f>$E$6*$F$6/7*MAX(节奏总纲!H137-$C$1,0)</f>
        <v>193971.38436694545</v>
      </c>
      <c r="AB139" s="2">
        <f>($E$9*$F$9*3600+$E$10*$F$10*1200)/7*MAX(节奏总纲!D137-$C$1,0)</f>
        <v>64490452.830309264</v>
      </c>
      <c r="AC139" s="2">
        <f>($E$9*$F$9*3600+$E$10*$F$10*1200)/7*MAX(节奏总纲!E137-$C$1,0)</f>
        <v>54548878.411422856</v>
      </c>
      <c r="AD139" s="2">
        <f>($E$9*$F$9*3600+$E$10*$F$10*1200)/7*MAX(节奏总纲!F137-$C$1,0)</f>
        <v>43342720.162345417</v>
      </c>
      <c r="AE139" s="2">
        <f>($E$9*$F$9*3600+$E$10*$F$10*1200)/7*MAX(节奏总纲!G137-$C$1,0)</f>
        <v>30690396.815152075</v>
      </c>
      <c r="AF139" s="2">
        <f>($E$9*$F$9*3600+$E$10*$F$10*1200)/7*MAX(节奏总纲!H137-$C$1,0)</f>
        <v>16293596.286823418</v>
      </c>
      <c r="AK139" s="2">
        <v>134</v>
      </c>
      <c r="AL139" s="2">
        <f>'奖励（新）'!CT141</f>
        <v>4169793.6624528724</v>
      </c>
      <c r="AM139" s="2">
        <f>'奖励（新）'!CU141</f>
        <v>3574819.6482225605</v>
      </c>
      <c r="AN139" s="2">
        <f>'奖励（新）'!CV141</f>
        <v>2992428.8988797381</v>
      </c>
      <c r="AO139" s="2">
        <f>'奖励（新）'!CW141</f>
        <v>2522498.3683686638</v>
      </c>
      <c r="AP139" s="2">
        <f>'奖励（新）'!CX141</f>
        <v>1553471.6459765888</v>
      </c>
      <c r="AV139" s="2">
        <v>134</v>
      </c>
      <c r="AW139" s="2">
        <f>SUMPRODUCT($F$5:$F$12,$H$5:$H$12,J$5:J$12)/7*MAX(节奏总纲!D137-'奖励（新）'!$E$2,0)</f>
        <v>6218722.2372083934</v>
      </c>
      <c r="AX139" s="2">
        <f>SUMPRODUCT($F$5:$F$12,$H$5:$H$12,K$5:K$12)/7*MAX(节奏总纲!E137-'奖励（新）'!$E$2,0)</f>
        <v>5260070.418244347</v>
      </c>
      <c r="AY139" s="2">
        <f>SUMPRODUCT($F$5:$F$12,$H$5:$H$12,L$5:L$12)/7*MAX(节奏总纲!F137-'奖励（新）'!$E$2,0)</f>
        <v>4179476.587083308</v>
      </c>
      <c r="AZ139" s="2">
        <f>SUMPRODUCT($F$5:$F$12,$H$5:$H$12,M$5:M$12)/7*MAX(节奏总纲!G137-'奖励（新）'!$E$2,0)</f>
        <v>2959431.121461093</v>
      </c>
      <c r="BA139" s="2">
        <f>SUMPRODUCT($F$5:$F$12,$H$5:$H$12,N$5:N$12)/7*MAX(节奏总纲!H137-'奖励（新）'!$E$2,0)</f>
        <v>1571168.2133722582</v>
      </c>
      <c r="BE139" s="2">
        <v>134</v>
      </c>
      <c r="BF139" s="41">
        <f t="shared" si="17"/>
        <v>0.67052257737189236</v>
      </c>
      <c r="BG139" s="41">
        <f t="shared" si="18"/>
        <v>0.67961440892947733</v>
      </c>
      <c r="BH139" s="41">
        <f t="shared" si="19"/>
        <v>0.71598173515981733</v>
      </c>
      <c r="BI139" s="41">
        <f t="shared" si="20"/>
        <v>0.85235920852359215</v>
      </c>
      <c r="BJ139" s="41">
        <f t="shared" si="21"/>
        <v>0.98873668188736674</v>
      </c>
      <c r="BK139" s="2">
        <f>(AW139-AL139)*'奖励（新）'!$D$17</f>
        <v>10244642.873777606</v>
      </c>
      <c r="BL139" s="2">
        <f>(AX139-AM139)*'奖励（新）'!$D$17</f>
        <v>8426253.8501089327</v>
      </c>
      <c r="BM139" s="2">
        <f>(AY139-AN139)*'奖励（新）'!$D$17</f>
        <v>5935238.4410178494</v>
      </c>
      <c r="BN139" s="2">
        <f>(AZ139-AO139)*'奖励（新）'!$D$17</f>
        <v>2184663.7654621457</v>
      </c>
      <c r="BO139" s="2">
        <f>(BA139-AP139)*'奖励（新）'!$D$17</f>
        <v>88482.836978347041</v>
      </c>
    </row>
    <row r="140" spans="17:67" x14ac:dyDescent="0.2">
      <c r="Q140" s="2">
        <v>135</v>
      </c>
      <c r="R140" s="2">
        <f>$E$5*$F$5/7*MAX(节奏总纲!D138-$C$1,0)</f>
        <v>82315.982164002839</v>
      </c>
      <c r="S140" s="2">
        <f>$E$5*$F$5/7*MAX(节奏总纲!E138-$C$1,0)</f>
        <v>69548.497544668629</v>
      </c>
      <c r="T140" s="2">
        <f>$E$5*$F$5/7*MAX(节奏总纲!F138-$C$1,0)</f>
        <v>55258.513139231058</v>
      </c>
      <c r="U140" s="2">
        <f>$E$5*$F$5/7*MAX(节奏总纲!G138-$C$1,0)</f>
        <v>39206.069742271648</v>
      </c>
      <c r="V140" s="2">
        <f>$E$5*$F$5/7*MAX(节奏总纲!H138-$C$1,0)</f>
        <v>20853.327755438673</v>
      </c>
      <c r="W140" s="2">
        <f>$E$6*$F$6/7*MAX(节奏总纲!D138-$C$1,0)</f>
        <v>823159.82164002839</v>
      </c>
      <c r="X140" s="2">
        <f>$E$6*$F$6/7*MAX(节奏总纲!E138-$C$1,0)</f>
        <v>695484.97544668627</v>
      </c>
      <c r="Y140" s="2">
        <f>$E$6*$F$6/7*MAX(节奏总纲!F138-$C$1,0)</f>
        <v>552585.13139231061</v>
      </c>
      <c r="Z140" s="2">
        <f>$E$6*$F$6/7*MAX(节奏总纲!G138-$C$1,0)</f>
        <v>392060.69742271648</v>
      </c>
      <c r="AA140" s="2">
        <f>$E$6*$F$6/7*MAX(节奏总纲!H138-$C$1,0)</f>
        <v>208533.27755438673</v>
      </c>
      <c r="AB140" s="2">
        <f>($E$9*$F$9*3600+$E$10*$F$10*1200)/7*MAX(节奏总纲!D138-$C$1,0)</f>
        <v>69145425.017762378</v>
      </c>
      <c r="AC140" s="2">
        <f>($E$9*$F$9*3600+$E$10*$F$10*1200)/7*MAX(节奏总纲!E138-$C$1,0)</f>
        <v>58420737.937521651</v>
      </c>
      <c r="AD140" s="2">
        <f>($E$9*$F$9*3600+$E$10*$F$10*1200)/7*MAX(节奏总纲!F138-$C$1,0)</f>
        <v>46417151.03695409</v>
      </c>
      <c r="AE140" s="2">
        <f>($E$9*$F$9*3600+$E$10*$F$10*1200)/7*MAX(节奏总纲!G138-$C$1,0)</f>
        <v>32933098.583508182</v>
      </c>
      <c r="AF140" s="2">
        <f>($E$9*$F$9*3600+$E$10*$F$10*1200)/7*MAX(节奏总纲!H138-$C$1,0)</f>
        <v>17516795.314568482</v>
      </c>
      <c r="AK140" s="2">
        <v>135</v>
      </c>
      <c r="AL140" s="2">
        <f>'奖励（新）'!CT142</f>
        <v>4470772.686079978</v>
      </c>
      <c r="AM140" s="2">
        <f>'奖励（新）'!CU142</f>
        <v>3828559.0451110075</v>
      </c>
      <c r="AN140" s="2">
        <f>'奖励（新）'!CV142</f>
        <v>3204690.9757020352</v>
      </c>
      <c r="AO140" s="2">
        <f>'奖励（新）'!CW142</f>
        <v>2706830.0205623163</v>
      </c>
      <c r="AP140" s="2">
        <f>'奖励（新）'!CX142</f>
        <v>1670094.4573889952</v>
      </c>
      <c r="AV140" s="2">
        <v>135</v>
      </c>
      <c r="AW140" s="2">
        <f>SUMPRODUCT($F$5:$F$12,$H$5:$H$12,J$5:J$12)/7*MAX(节奏总纲!D138-'奖励（新）'!$E$2,0)</f>
        <v>6667594.55528423</v>
      </c>
      <c r="AX140" s="2">
        <f>SUMPRODUCT($F$5:$F$12,$H$5:$H$12,K$5:K$12)/7*MAX(节奏总纲!E138-'奖励（新）'!$E$2,0)</f>
        <v>5633428.3011181587</v>
      </c>
      <c r="AY140" s="2">
        <f>SUMPRODUCT($F$5:$F$12,$H$5:$H$12,L$5:L$12)/7*MAX(节奏总纲!F138-'奖励（新）'!$E$2,0)</f>
        <v>4475939.564277715</v>
      </c>
      <c r="AZ140" s="2">
        <f>SUMPRODUCT($F$5:$F$12,$H$5:$H$12,M$5:M$12)/7*MAX(节奏总纲!G138-'奖励（新）'!$E$2,0)</f>
        <v>3175691.6491240035</v>
      </c>
      <c r="BA140" s="2">
        <f>SUMPRODUCT($F$5:$F$12,$H$5:$H$12,N$5:N$12)/7*MAX(节奏总纲!H138-'奖励（新）'!$E$2,0)</f>
        <v>1689119.5481905323</v>
      </c>
      <c r="BE140" s="2">
        <v>135</v>
      </c>
      <c r="BF140" s="41">
        <f t="shared" si="17"/>
        <v>0.67052257737189236</v>
      </c>
      <c r="BG140" s="41">
        <f t="shared" si="18"/>
        <v>0.67961440892947744</v>
      </c>
      <c r="BH140" s="41">
        <f t="shared" si="19"/>
        <v>0.71598173515981733</v>
      </c>
      <c r="BI140" s="41">
        <f t="shared" si="20"/>
        <v>0.85235920852359204</v>
      </c>
      <c r="BJ140" s="41">
        <f t="shared" si="21"/>
        <v>0.98873668188736696</v>
      </c>
      <c r="BK140" s="2">
        <f>(AW140-AL140)*'奖励（新）'!$D$17</f>
        <v>10984109.346021261</v>
      </c>
      <c r="BL140" s="2">
        <f>(AX140-AM140)*'奖励（新）'!$D$17</f>
        <v>9024346.2800357565</v>
      </c>
      <c r="BM140" s="2">
        <f>(AY140-AN140)*'奖励（新）'!$D$17</f>
        <v>6356242.942878399</v>
      </c>
      <c r="BN140" s="2">
        <f>(AZ140-AO140)*'奖励（新）'!$D$17</f>
        <v>2344308.142808436</v>
      </c>
      <c r="BO140" s="2">
        <f>(BA140-AP140)*'奖励（新）'!$D$17</f>
        <v>95125.454007685184</v>
      </c>
    </row>
    <row r="141" spans="17:67" x14ac:dyDescent="0.2">
      <c r="Q141" s="2">
        <v>136</v>
      </c>
      <c r="R141" s="2">
        <f>$E$5*$F$5/7*MAX(节奏总纲!D139-$C$1,0)</f>
        <v>88255.357948951234</v>
      </c>
      <c r="S141" s="2">
        <f>$E$5*$F$5/7*MAX(节奏总纲!E139-$C$1,0)</f>
        <v>74624.638003626009</v>
      </c>
      <c r="T141" s="2">
        <f>$E$5*$F$5/7*MAX(节奏总纲!F139-$C$1,0)</f>
        <v>59459.686080069638</v>
      </c>
      <c r="U141" s="2">
        <f>$E$5*$F$5/7*MAX(节奏总纲!G139-$C$1,0)</f>
        <v>42192.925030265964</v>
      </c>
      <c r="V141" s="2">
        <f>$E$5*$F$5/7*MAX(节奏总纲!H139-$C$1,0)</f>
        <v>22460.750743767174</v>
      </c>
      <c r="W141" s="2">
        <f>$E$6*$F$6/7*MAX(节奏总纲!D139-$C$1,0)</f>
        <v>882553.57948951237</v>
      </c>
      <c r="X141" s="2">
        <f>$E$6*$F$6/7*MAX(节奏总纲!E139-$C$1,0)</f>
        <v>746246.38003626012</v>
      </c>
      <c r="Y141" s="2">
        <f>$E$6*$F$6/7*MAX(节奏总纲!F139-$C$1,0)</f>
        <v>594596.8608006963</v>
      </c>
      <c r="Z141" s="2">
        <f>$E$6*$F$6/7*MAX(节奏总纲!G139-$C$1,0)</f>
        <v>421929.25030265964</v>
      </c>
      <c r="AA141" s="2">
        <f>$E$6*$F$6/7*MAX(节奏总纲!H139-$C$1,0)</f>
        <v>224607.50743767174</v>
      </c>
      <c r="AB141" s="2">
        <f>($E$9*$F$9*3600+$E$10*$F$10*1200)/7*MAX(节奏总纲!D139-$C$1,0)</f>
        <v>74134500.677119032</v>
      </c>
      <c r="AC141" s="2">
        <f>($E$9*$F$9*3600+$E$10*$F$10*1200)/7*MAX(节奏总纲!E139-$C$1,0)</f>
        <v>62684695.923045851</v>
      </c>
      <c r="AD141" s="2">
        <f>($E$9*$F$9*3600+$E$10*$F$10*1200)/7*MAX(节奏总纲!F139-$C$1,0)</f>
        <v>49946136.307258487</v>
      </c>
      <c r="AE141" s="2">
        <f>($E$9*$F$9*3600+$E$10*$F$10*1200)/7*MAX(节奏总纲!G139-$C$1,0)</f>
        <v>35442057.025423408</v>
      </c>
      <c r="AF141" s="2">
        <f>($E$9*$F$9*3600+$E$10*$F$10*1200)/7*MAX(节奏总纲!H139-$C$1,0)</f>
        <v>18867030.624764424</v>
      </c>
      <c r="AK141" s="2">
        <v>136</v>
      </c>
      <c r="AL141" s="2">
        <f>'奖励（新）'!CT143</f>
        <v>4793354.0163835865</v>
      </c>
      <c r="AM141" s="2">
        <f>'奖励（新）'!CU143</f>
        <v>4107994.3191212509</v>
      </c>
      <c r="AN141" s="2">
        <f>'奖励（新）'!CV143</f>
        <v>3448335.9861449697</v>
      </c>
      <c r="AO141" s="2">
        <f>'奖励（新）'!CW143</f>
        <v>2913045.782911513</v>
      </c>
      <c r="AP141" s="2">
        <f>'奖励（新）'!CX143</f>
        <v>1798829.2212104162</v>
      </c>
      <c r="AV141" s="2">
        <v>136</v>
      </c>
      <c r="AW141" s="2">
        <f>SUMPRODUCT($F$5:$F$12,$H$5:$H$12,J$5:J$12)/7*MAX(节奏总纲!D139-'奖励（新）'!$E$2,0)</f>
        <v>7148683.9938650504</v>
      </c>
      <c r="AX141" s="2">
        <f>SUMPRODUCT($F$5:$F$12,$H$5:$H$12,K$5:K$12)/7*MAX(节奏总纲!E139-'奖励（新）'!$E$2,0)</f>
        <v>6044595.6782937068</v>
      </c>
      <c r="AY141" s="2">
        <f>SUMPRODUCT($F$5:$F$12,$H$5:$H$12,L$5:L$12)/7*MAX(节奏总纲!F139-'奖励（新）'!$E$2,0)</f>
        <v>4816234.5724856397</v>
      </c>
      <c r="AZ141" s="2">
        <f>SUMPRODUCT($F$5:$F$12,$H$5:$H$12,M$5:M$12)/7*MAX(节奏总纲!G139-'奖励（新）'!$E$2,0)</f>
        <v>3417626.927451543</v>
      </c>
      <c r="BA141" s="2">
        <f>SUMPRODUCT($F$5:$F$12,$H$5:$H$12,N$5:N$12)/7*MAX(节奏总纲!H139-'奖励（新）'!$E$2,0)</f>
        <v>1819320.8102451409</v>
      </c>
      <c r="BE141" s="2">
        <v>136</v>
      </c>
      <c r="BF141" s="41">
        <f t="shared" si="17"/>
        <v>0.67052257737189236</v>
      </c>
      <c r="BG141" s="41">
        <f t="shared" si="18"/>
        <v>0.67961440892947733</v>
      </c>
      <c r="BH141" s="41">
        <f t="shared" si="19"/>
        <v>0.71598173515981745</v>
      </c>
      <c r="BI141" s="41">
        <f t="shared" si="20"/>
        <v>0.85235920852359204</v>
      </c>
      <c r="BJ141" s="41">
        <f t="shared" si="21"/>
        <v>0.98873668188736674</v>
      </c>
      <c r="BK141" s="2">
        <f>(AW141-AL141)*'奖励（新）'!$D$17</f>
        <v>11776649.88740732</v>
      </c>
      <c r="BL141" s="2">
        <f>(AX141-AM141)*'奖励（新）'!$D$17</f>
        <v>9683006.7958622798</v>
      </c>
      <c r="BM141" s="2">
        <f>(AY141-AN141)*'奖励（新）'!$D$17</f>
        <v>6839492.9317033496</v>
      </c>
      <c r="BN141" s="2">
        <f>(AZ141-AO141)*'奖励（新）'!$D$17</f>
        <v>2522905.7227001502</v>
      </c>
      <c r="BO141" s="2">
        <f>(BA141-AP141)*'奖励（新）'!$D$17</f>
        <v>102457.94517362374</v>
      </c>
    </row>
    <row r="142" spans="17:67" x14ac:dyDescent="0.2">
      <c r="Q142" s="2">
        <v>137</v>
      </c>
      <c r="R142" s="2">
        <f>$E$5*$F$5/7*MAX(节奏总纲!D140-$C$1,0)</f>
        <v>94621.023299289605</v>
      </c>
      <c r="S142" s="2">
        <f>$E$5*$F$5/7*MAX(节奏总纲!E140-$C$1,0)</f>
        <v>80106.950184345231</v>
      </c>
      <c r="T142" s="2">
        <f>$E$5*$F$5/7*MAX(节奏总纲!F140-$C$1,0)</f>
        <v>63824.954607462627</v>
      </c>
      <c r="U142" s="2">
        <f>$E$5*$F$5/7*MAX(节奏总纲!G140-$C$1,0)</f>
        <v>45337.80843289366</v>
      </c>
      <c r="V142" s="2">
        <f>$E$5*$F$5/7*MAX(节奏总纲!H140-$C$1,0)</f>
        <v>24132.243849107865</v>
      </c>
      <c r="W142" s="2">
        <f>$E$6*$F$6/7*MAX(节奏总纲!D140-$C$1,0)</f>
        <v>946210.232992896</v>
      </c>
      <c r="X142" s="2">
        <f>$E$6*$F$6/7*MAX(节奏总纲!E140-$C$1,0)</f>
        <v>801069.50184345222</v>
      </c>
      <c r="Y142" s="2">
        <f>$E$6*$F$6/7*MAX(节奏总纲!F140-$C$1,0)</f>
        <v>638249.54607462627</v>
      </c>
      <c r="Z142" s="2">
        <f>$E$6*$F$6/7*MAX(节奏总纲!G140-$C$1,0)</f>
        <v>453378.08432893659</v>
      </c>
      <c r="AA142" s="2">
        <f>$E$6*$F$6/7*MAX(节奏总纲!H140-$C$1,0)</f>
        <v>241322.43849107865</v>
      </c>
      <c r="AB142" s="2">
        <f>($E$9*$F$9*3600+$E$10*$F$10*1200)/7*MAX(节奏总纲!D140-$C$1,0)</f>
        <v>79481659.571403265</v>
      </c>
      <c r="AC142" s="2">
        <f>($E$9*$F$9*3600+$E$10*$F$10*1200)/7*MAX(节奏总纲!E140-$C$1,0)</f>
        <v>67289838.154849991</v>
      </c>
      <c r="AD142" s="2">
        <f>($E$9*$F$9*3600+$E$10*$F$10*1200)/7*MAX(节奏总纲!F140-$C$1,0)</f>
        <v>53612961.870268606</v>
      </c>
      <c r="AE142" s="2">
        <f>($E$9*$F$9*3600+$E$10*$F$10*1200)/7*MAX(节奏总纲!G140-$C$1,0)</f>
        <v>38083759.083630674</v>
      </c>
      <c r="AF142" s="2">
        <f>($E$9*$F$9*3600+$E$10*$F$10*1200)/7*MAX(节奏总纲!H140-$C$1,0)</f>
        <v>20271084.833250605</v>
      </c>
      <c r="AK142" s="2">
        <v>137</v>
      </c>
      <c r="AL142" s="2">
        <f>'奖励（新）'!CT144</f>
        <v>5139088.125712648</v>
      </c>
      <c r="AM142" s="2">
        <f>'奖励（新）'!CU144</f>
        <v>4409788.8456548257</v>
      </c>
      <c r="AN142" s="2">
        <f>'奖励（新）'!CV144</f>
        <v>3701497.6414541607</v>
      </c>
      <c r="AO142" s="2">
        <f>'奖励（新）'!CW144</f>
        <v>3130171.9794764929</v>
      </c>
      <c r="AP142" s="2">
        <f>'奖励（新）'!CX144</f>
        <v>1932695.2114989618</v>
      </c>
      <c r="AV142" s="2">
        <v>137</v>
      </c>
      <c r="AW142" s="2">
        <f>SUMPRODUCT($F$5:$F$12,$H$5:$H$12,J$5:J$12)/7*MAX(节奏总纲!D140-'奖励（新）'!$E$2,0)</f>
        <v>7664302.8872424569</v>
      </c>
      <c r="AX142" s="2">
        <f>SUMPRODUCT($F$5:$F$12,$H$5:$H$12,K$5:K$12)/7*MAX(节奏总纲!E140-'奖励（新）'!$E$2,0)</f>
        <v>6488662.964931963</v>
      </c>
      <c r="AY142" s="2">
        <f>SUMPRODUCT($F$5:$F$12,$H$5:$H$12,L$5:L$12)/7*MAX(节奏总纲!F140-'奖励（新）'!$E$2,0)</f>
        <v>5169821.3232044727</v>
      </c>
      <c r="AZ142" s="2">
        <f>SUMPRODUCT($F$5:$F$12,$H$5:$H$12,M$5:M$12)/7*MAX(节奏总纲!G140-'奖励（新）'!$E$2,0)</f>
        <v>3672362.4830643861</v>
      </c>
      <c r="BA142" s="2">
        <f>SUMPRODUCT($F$5:$F$12,$H$5:$H$12,N$5:N$12)/7*MAX(节奏总纲!H140-'奖励（新）'!$E$2,0)</f>
        <v>1954711.7517777369</v>
      </c>
      <c r="BE142" s="2">
        <v>137</v>
      </c>
      <c r="BF142" s="41">
        <f t="shared" si="17"/>
        <v>0.67052257737189236</v>
      </c>
      <c r="BG142" s="41">
        <f t="shared" si="18"/>
        <v>0.67961440892947733</v>
      </c>
      <c r="BH142" s="41">
        <f t="shared" si="19"/>
        <v>0.71598173515981722</v>
      </c>
      <c r="BI142" s="41">
        <f t="shared" si="20"/>
        <v>0.85235920852359193</v>
      </c>
      <c r="BJ142" s="41">
        <f t="shared" si="21"/>
        <v>0.98873668188736685</v>
      </c>
      <c r="BK142" s="2">
        <f>(AW142-AL142)*'奖励（新）'!$D$17</f>
        <v>12626073.807649044</v>
      </c>
      <c r="BL142" s="2">
        <f>(AX142-AM142)*'奖励（新）'!$D$17</f>
        <v>10394370.596385688</v>
      </c>
      <c r="BM142" s="2">
        <f>(AY142-AN142)*'奖励（新）'!$D$17</f>
        <v>7341618.4087515604</v>
      </c>
      <c r="BN142" s="2">
        <f>(AZ142-AO142)*'奖励（新）'!$D$17</f>
        <v>2710952.5179394661</v>
      </c>
      <c r="BO142" s="2">
        <f>(BA142-AP142)*'奖励（新）'!$D$17</f>
        <v>110082.70139387576</v>
      </c>
    </row>
    <row r="143" spans="17:67" x14ac:dyDescent="0.2">
      <c r="Q143" s="2">
        <v>138</v>
      </c>
      <c r="R143" s="2">
        <f>$E$5*$F$5/7*MAX(节奏总纲!D141-$C$1,0)</f>
        <v>101443.57449316922</v>
      </c>
      <c r="S143" s="2">
        <f>$E$5*$F$5/7*MAX(节奏总纲!E141-$C$1,0)</f>
        <v>85887.697810919432</v>
      </c>
      <c r="T143" s="2">
        <f>$E$5*$F$5/7*MAX(节奏总纲!F141-$C$1,0)</f>
        <v>68487.935287486122</v>
      </c>
      <c r="U143" s="2">
        <f>$E$5*$F$5/7*MAX(节奏总纲!G141-$C$1,0)</f>
        <v>48653.428476523215</v>
      </c>
      <c r="V143" s="2">
        <f>$E$5*$F$5/7*MAX(节奏总纲!H141-$C$1,0)</f>
        <v>25793.318931684615</v>
      </c>
      <c r="W143" s="2">
        <f>$E$6*$F$6/7*MAX(节奏总纲!D141-$C$1,0)</f>
        <v>1014435.7449316921</v>
      </c>
      <c r="X143" s="2">
        <f>$E$6*$F$6/7*MAX(节奏总纲!E141-$C$1,0)</f>
        <v>858876.97810919432</v>
      </c>
      <c r="Y143" s="2">
        <f>$E$6*$F$6/7*MAX(节奏总纲!F141-$C$1,0)</f>
        <v>684879.35287486122</v>
      </c>
      <c r="Z143" s="2">
        <f>$E$6*$F$6/7*MAX(节奏总纲!G141-$C$1,0)</f>
        <v>486534.28476523212</v>
      </c>
      <c r="AA143" s="2">
        <f>$E$6*$F$6/7*MAX(节奏总纲!H141-$C$1,0)</f>
        <v>257933.18931684614</v>
      </c>
      <c r="AB143" s="2">
        <f>($E$9*$F$9*3600+$E$10*$F$10*1200)/7*MAX(节奏总纲!D141-$C$1,0)</f>
        <v>85212602.574262142</v>
      </c>
      <c r="AC143" s="2">
        <f>($E$9*$F$9*3600+$E$10*$F$10*1200)/7*MAX(节奏总纲!E141-$C$1,0)</f>
        <v>72145666.161172315</v>
      </c>
      <c r="AD143" s="2">
        <f>($E$9*$F$9*3600+$E$10*$F$10*1200)/7*MAX(节奏总纲!F141-$C$1,0)</f>
        <v>57529865.641488343</v>
      </c>
      <c r="AE143" s="2">
        <f>($E$9*$F$9*3600+$E$10*$F$10*1200)/7*MAX(节奏总纲!G141-$C$1,0)</f>
        <v>40868879.920279495</v>
      </c>
      <c r="AF143" s="2">
        <f>($E$9*$F$9*3600+$E$10*$F$10*1200)/7*MAX(节奏总纲!H141-$C$1,0)</f>
        <v>21666387.902615078</v>
      </c>
      <c r="AK143" s="2">
        <v>138</v>
      </c>
      <c r="AL143" s="2">
        <f>'奖励（新）'!CT145</f>
        <v>5509636.7691851677</v>
      </c>
      <c r="AM143" s="2">
        <f>'奖励（新）'!CU145</f>
        <v>4728011.8755486077</v>
      </c>
      <c r="AN143" s="2">
        <f>'奖励（新）'!CV145</f>
        <v>3971924.9703164548</v>
      </c>
      <c r="AO143" s="2">
        <f>'奖励（新）'!CW145</f>
        <v>3359086.0208448898</v>
      </c>
      <c r="AP143" s="2">
        <f>'奖励（新）'!CX145</f>
        <v>2065726.8466054921</v>
      </c>
      <c r="AV143" s="2">
        <v>138</v>
      </c>
      <c r="AW143" s="2">
        <f>SUMPRODUCT($F$5:$F$12,$H$5:$H$12,J$5:J$12)/7*MAX(节奏总纲!D141-'奖励（新）'!$E$2,0)</f>
        <v>8216929.533946706</v>
      </c>
      <c r="AX143" s="2">
        <f>SUMPRODUCT($F$5:$F$12,$H$5:$H$12,K$5:K$12)/7*MAX(节奏总纲!E141-'奖励（新）'!$E$2,0)</f>
        <v>6956903.5226844735</v>
      </c>
      <c r="AY143" s="2">
        <f>SUMPRODUCT($F$5:$F$12,$H$5:$H$12,L$5:L$12)/7*MAX(节奏总纲!F141-'奖励（新）'!$E$2,0)</f>
        <v>5547522.7582863756</v>
      </c>
      <c r="AZ143" s="2">
        <f>SUMPRODUCT($F$5:$F$12,$H$5:$H$12,M$5:M$12)/7*MAX(节奏总纲!G141-'奖励（新）'!$E$2,0)</f>
        <v>3940927.7065983801</v>
      </c>
      <c r="BA143" s="2">
        <f>SUMPRODUCT($F$5:$F$12,$H$5:$H$12,N$5:N$12)/7*MAX(节奏总纲!H141-'奖励（新）'!$E$2,0)</f>
        <v>2089258.8334664537</v>
      </c>
      <c r="BE143" s="2">
        <v>138</v>
      </c>
      <c r="BF143" s="41">
        <f t="shared" si="17"/>
        <v>0.67052257737189236</v>
      </c>
      <c r="BG143" s="41">
        <f t="shared" si="18"/>
        <v>0.67961440892947744</v>
      </c>
      <c r="BH143" s="41">
        <f t="shared" si="19"/>
        <v>0.71598173515981722</v>
      </c>
      <c r="BI143" s="41">
        <f t="shared" si="20"/>
        <v>0.85235920852359204</v>
      </c>
      <c r="BJ143" s="41">
        <f t="shared" si="21"/>
        <v>0.98873668188736674</v>
      </c>
      <c r="BK143" s="2">
        <f>(AW143-AL143)*'奖励（新）'!$D$17</f>
        <v>13536463.82380769</v>
      </c>
      <c r="BL143" s="2">
        <f>(AX143-AM143)*'奖励（新）'!$D$17</f>
        <v>11144458.235679328</v>
      </c>
      <c r="BM143" s="2">
        <f>(AY143-AN143)*'奖励（新）'!$D$17</f>
        <v>7877988.9398496039</v>
      </c>
      <c r="BN143" s="2">
        <f>(AZ143-AO143)*'奖励（新）'!$D$17</f>
        <v>2909208.4287674516</v>
      </c>
      <c r="BO143" s="2">
        <f>(BA143-AP143)*'奖励（新）'!$D$17</f>
        <v>117659.93430480827</v>
      </c>
    </row>
    <row r="144" spans="17:67" x14ac:dyDescent="0.2">
      <c r="Q144" s="2">
        <v>139</v>
      </c>
      <c r="R144" s="2">
        <f>$E$5*$F$5/7*MAX(节奏总纲!D142-$C$1,0)</f>
        <v>108755.80380956471</v>
      </c>
      <c r="S144" s="2">
        <f>$E$5*$F$5/7*MAX(节奏总纲!E142-$C$1,0)</f>
        <v>92127.023460796569</v>
      </c>
      <c r="T144" s="2">
        <f>$E$5*$F$5/7*MAX(节奏总纲!F142-$C$1,0)</f>
        <v>73445.576857551481</v>
      </c>
      <c r="U144" s="2">
        <f>$E$5*$F$5/7*MAX(节奏总纲!G142-$C$1,0)</f>
        <v>51969.010248210107</v>
      </c>
      <c r="V144" s="2">
        <f>$E$5*$F$5/7*MAX(节奏总纲!H142-$C$1,0)</f>
        <v>27577.220820010491</v>
      </c>
      <c r="W144" s="2">
        <f>$E$6*$F$6/7*MAX(节奏总纲!D142-$C$1,0)</f>
        <v>1087558.038095647</v>
      </c>
      <c r="X144" s="2">
        <f>$E$6*$F$6/7*MAX(节奏总纲!E142-$C$1,0)</f>
        <v>921270.23460796569</v>
      </c>
      <c r="Y144" s="2">
        <f>$E$6*$F$6/7*MAX(节奏总纲!F142-$C$1,0)</f>
        <v>734455.76857551478</v>
      </c>
      <c r="Z144" s="2">
        <f>$E$6*$F$6/7*MAX(节奏总纲!G142-$C$1,0)</f>
        <v>519690.10248210101</v>
      </c>
      <c r="AA144" s="2">
        <f>$E$6*$F$6/7*MAX(节奏总纲!H142-$C$1,0)</f>
        <v>275772.20820010494</v>
      </c>
      <c r="AB144" s="2">
        <f>($E$9*$F$9*3600+$E$10*$F$10*1200)/7*MAX(节奏总纲!D142-$C$1,0)</f>
        <v>91354875.20003435</v>
      </c>
      <c r="AC144" s="2">
        <f>($E$9*$F$9*3600+$E$10*$F$10*1200)/7*MAX(节奏总纲!E142-$C$1,0)</f>
        <v>77386699.707069114</v>
      </c>
      <c r="AD144" s="2">
        <f>($E$9*$F$9*3600+$E$10*$F$10*1200)/7*MAX(节奏总纲!F142-$C$1,0)</f>
        <v>61694284.560343243</v>
      </c>
      <c r="AE144" s="2">
        <f>($E$9*$F$9*3600+$E$10*$F$10*1200)/7*MAX(节奏总纲!G142-$C$1,0)</f>
        <v>43653968.608496487</v>
      </c>
      <c r="AF144" s="2">
        <f>($E$9*$F$9*3600+$E$10*$F$10*1200)/7*MAX(节奏总纲!H142-$C$1,0)</f>
        <v>23164865.488808811</v>
      </c>
      <c r="AK144" s="2">
        <v>139</v>
      </c>
      <c r="AL144" s="2">
        <f>'奖励（新）'!CT146</f>
        <v>5906780.9718378372</v>
      </c>
      <c r="AM144" s="2">
        <f>'奖励（新）'!CU146</f>
        <v>5071479.0602550497</v>
      </c>
      <c r="AN144" s="2">
        <f>'奖励（新）'!CV146</f>
        <v>4259441.016220958</v>
      </c>
      <c r="AO144" s="2">
        <f>'奖励（新）'!CW146</f>
        <v>3587997.4198764227</v>
      </c>
      <c r="AP144" s="2">
        <f>'奖励（新）'!CX146</f>
        <v>2208595.3945494425</v>
      </c>
      <c r="AV144" s="2">
        <v>139</v>
      </c>
      <c r="AW144" s="2">
        <f>SUMPRODUCT($F$5:$F$12,$H$5:$H$12,J$5:J$12)/7*MAX(节奏总纲!D142-'奖励（新）'!$E$2,0)</f>
        <v>8809220.1085747406</v>
      </c>
      <c r="AX144" s="2">
        <f>SUMPRODUCT($F$5:$F$12,$H$5:$H$12,K$5:K$12)/7*MAX(节奏总纲!E142-'奖励（新）'!$E$2,0)</f>
        <v>7462288.9003245216</v>
      </c>
      <c r="AY144" s="2">
        <f>SUMPRODUCT($F$5:$F$12,$H$5:$H$12,L$5:L$12)/7*MAX(节奏总纲!F142-'奖励（新）'!$E$2,0)</f>
        <v>5949091.7254616693</v>
      </c>
      <c r="AZ144" s="2">
        <f>SUMPRODUCT($F$5:$F$12,$H$5:$H$12,M$5:M$12)/7*MAX(节奏总纲!G142-'奖励（新）'!$E$2,0)</f>
        <v>4209489.8301050179</v>
      </c>
      <c r="BA144" s="2">
        <f>SUMPRODUCT($F$5:$F$12,$H$5:$H$12,N$5:N$12)/7*MAX(节奏总纲!H142-'奖励（新）'!$E$2,0)</f>
        <v>2233754.8864208497</v>
      </c>
      <c r="BE144" s="2">
        <v>139</v>
      </c>
      <c r="BF144" s="41">
        <f t="shared" si="17"/>
        <v>0.67052257737189247</v>
      </c>
      <c r="BG144" s="41">
        <f t="shared" si="18"/>
        <v>0.67961440892947744</v>
      </c>
      <c r="BH144" s="41">
        <f t="shared" si="19"/>
        <v>0.71598173515981745</v>
      </c>
      <c r="BI144" s="41">
        <f t="shared" si="20"/>
        <v>0.85235920852359204</v>
      </c>
      <c r="BJ144" s="41">
        <f t="shared" si="21"/>
        <v>0.98873668188736663</v>
      </c>
      <c r="BK144" s="2">
        <f>(AW144-AL144)*'奖励（新）'!$D$17</f>
        <v>14512195.683684517</v>
      </c>
      <c r="BL144" s="2">
        <f>(AX144-AM144)*'奖励（新）'!$D$17</f>
        <v>11954049.20034736</v>
      </c>
      <c r="BM144" s="2">
        <f>(AY144-AN144)*'奖励（新）'!$D$17</f>
        <v>8448253.5462035574</v>
      </c>
      <c r="BN144" s="2">
        <f>(AZ144-AO144)*'奖励（新）'!$D$17</f>
        <v>3107462.0511429757</v>
      </c>
      <c r="BO144" s="2">
        <f>(BA144-AP144)*'奖励（新）'!$D$17</f>
        <v>125797.45935703628</v>
      </c>
    </row>
    <row r="145" spans="17:67" x14ac:dyDescent="0.2">
      <c r="Q145" s="2">
        <v>140</v>
      </c>
      <c r="R145" s="2">
        <f>$E$5*$F$5/7*MAX(节奏总纲!D143-$C$1,0)</f>
        <v>116592.85714285714</v>
      </c>
      <c r="S145" s="2">
        <f>$E$5*$F$5/7*MAX(节奏总纲!E143-$C$1,0)</f>
        <v>98723.685000000012</v>
      </c>
      <c r="T145" s="2">
        <f>$E$5*$F$5/7*MAX(节奏总纲!F143-$C$1,0)</f>
        <v>78408.764999999999</v>
      </c>
      <c r="U145" s="2">
        <f>$E$5*$F$5/7*MAX(节奏总纲!G143-$C$1,0)</f>
        <v>55484.267142857148</v>
      </c>
      <c r="V145" s="2">
        <f>$E$5*$F$5/7*MAX(节奏总纲!H143-$C$1,0)</f>
        <v>29517.212142857144</v>
      </c>
      <c r="W145" s="2">
        <f>$E$6*$F$6/7*MAX(节奏总纲!D143-$C$1,0)</f>
        <v>1165928.5714285714</v>
      </c>
      <c r="X145" s="2">
        <f>$E$6*$F$6/7*MAX(节奏总纲!E143-$C$1,0)</f>
        <v>987236.85000000009</v>
      </c>
      <c r="Y145" s="2">
        <f>$E$6*$F$6/7*MAX(节奏总纲!F143-$C$1,0)</f>
        <v>784087.65</v>
      </c>
      <c r="Z145" s="2">
        <f>$E$6*$F$6/7*MAX(节奏总纲!G143-$C$1,0)</f>
        <v>554842.67142857146</v>
      </c>
      <c r="AA145" s="2">
        <f>$E$6*$F$6/7*MAX(节奏总纲!H143-$C$1,0)</f>
        <v>295172.12142857147</v>
      </c>
      <c r="AB145" s="2">
        <f>($E$9*$F$9*3600+$E$10*$F$10*1200)/7*MAX(节奏总纲!D143-$C$1,0)</f>
        <v>97938000</v>
      </c>
      <c r="AC145" s="2">
        <f>($E$9*$F$9*3600+$E$10*$F$10*1200)/7*MAX(节奏总纲!E143-$C$1,0)</f>
        <v>82927895.400000006</v>
      </c>
      <c r="AD145" s="2">
        <f>($E$9*$F$9*3600+$E$10*$F$10*1200)/7*MAX(节奏总纲!F143-$C$1,0)</f>
        <v>65863362.600000001</v>
      </c>
      <c r="AE145" s="2">
        <f>($E$9*$F$9*3600+$E$10*$F$10*1200)/7*MAX(节奏总纲!G143-$C$1,0)</f>
        <v>46606784.400000006</v>
      </c>
      <c r="AF145" s="2">
        <f>($E$9*$F$9*3600+$E$10*$F$10*1200)/7*MAX(节奏总纲!H143-$C$1,0)</f>
        <v>24794458.199999999</v>
      </c>
      <c r="AK145" s="2">
        <v>140</v>
      </c>
      <c r="AL145" s="2">
        <f>'奖励（新）'!CT147</f>
        <v>6332429.5890410952</v>
      </c>
      <c r="AM145" s="2">
        <f>'奖励（新）'!CU147</f>
        <v>5434617.1451178091</v>
      </c>
      <c r="AN145" s="2">
        <f>'奖励（新）'!CV147</f>
        <v>4547278.7329315059</v>
      </c>
      <c r="AO145" s="2">
        <f>'奖励（新）'!CW147</f>
        <v>3830694.6082191779</v>
      </c>
      <c r="AP145" s="2">
        <f>'奖励（新）'!CX147</f>
        <v>2363964.7818082189</v>
      </c>
      <c r="AV145" s="2">
        <v>140</v>
      </c>
      <c r="AW145" s="2">
        <f>SUMPRODUCT($F$5:$F$12,$H$5:$H$12,J$5:J$12)/7*MAX(节奏总纲!D143-'奖励（新）'!$E$2,0)</f>
        <v>9444021.4285714291</v>
      </c>
      <c r="AX145" s="2">
        <f>SUMPRODUCT($F$5:$F$12,$H$5:$H$12,K$5:K$12)/7*MAX(节奏总纲!E143-'奖励（新）'!$E$2,0)</f>
        <v>7996618.4850000003</v>
      </c>
      <c r="AY145" s="2">
        <f>SUMPRODUCT($F$5:$F$12,$H$5:$H$12,L$5:L$12)/7*MAX(节奏总纲!F143-'奖励（新）'!$E$2,0)</f>
        <v>6351109.9649999999</v>
      </c>
      <c r="AZ145" s="2">
        <f>SUMPRODUCT($F$5:$F$12,$H$5:$H$12,M$5:M$12)/7*MAX(节奏总纲!G143-'奖励（新）'!$E$2,0)</f>
        <v>4494225.6385714291</v>
      </c>
      <c r="BA145" s="2">
        <f>SUMPRODUCT($F$5:$F$12,$H$5:$H$12,N$5:N$12)/7*MAX(节奏总纲!H143-'奖励（新）'!$E$2,0)</f>
        <v>2390894.1835714285</v>
      </c>
      <c r="BE145" s="2">
        <v>140</v>
      </c>
      <c r="BF145" s="41">
        <f t="shared" si="17"/>
        <v>0.67052257737189236</v>
      </c>
      <c r="BG145" s="41">
        <f t="shared" si="18"/>
        <v>0.67961440892947755</v>
      </c>
      <c r="BH145" s="41">
        <f t="shared" si="19"/>
        <v>0.71598173515981722</v>
      </c>
      <c r="BI145" s="41">
        <f t="shared" si="20"/>
        <v>0.85235920852359193</v>
      </c>
      <c r="BJ145" s="41">
        <f t="shared" si="21"/>
        <v>0.98873668188736674</v>
      </c>
      <c r="BK145" s="2">
        <f>(AW145-AL145)*'奖励（新）'!$D$17</f>
        <v>15557959.197651669</v>
      </c>
      <c r="BL145" s="2">
        <f>(AX145-AM145)*'奖励（新）'!$D$17</f>
        <v>12810006.699410956</v>
      </c>
      <c r="BM145" s="2">
        <f>(AY145-AN145)*'奖励（新）'!$D$17</f>
        <v>9019156.1603424698</v>
      </c>
      <c r="BN145" s="2">
        <f>(AZ145-AO145)*'奖励（新）'!$D$17</f>
        <v>3317655.1517612557</v>
      </c>
      <c r="BO145" s="2">
        <f>(BA145-AP145)*'奖励（新）'!$D$17</f>
        <v>134647.00881604804</v>
      </c>
    </row>
    <row r="146" spans="17:67" x14ac:dyDescent="0.2">
      <c r="Q146" s="2">
        <v>141</v>
      </c>
      <c r="R146" s="2">
        <f>$E$5*$F$5/7*MAX(节奏总纲!D144-$C$1,0)</f>
        <v>124992.40292996145</v>
      </c>
      <c r="S146" s="2">
        <f>$E$5*$F$5/7*MAX(节奏总纲!E144-$C$1,0)</f>
        <v>105564.6940018247</v>
      </c>
      <c r="T146" s="2">
        <f>$E$5*$F$5/7*MAX(节奏总纲!F144-$C$1,0)</f>
        <v>83779.07075574754</v>
      </c>
      <c r="U146" s="2">
        <f>$E$5*$F$5/7*MAX(节奏总纲!G144-$C$1,0)</f>
        <v>59434.859632756306</v>
      </c>
      <c r="V146" s="2">
        <f>$E$5*$F$5/7*MAX(节奏总纲!H144-$C$1,0)</f>
        <v>31641.571714905422</v>
      </c>
      <c r="W146" s="2">
        <f>$E$6*$F$6/7*MAX(节奏总纲!D144-$C$1,0)</f>
        <v>1249924.0292996145</v>
      </c>
      <c r="X146" s="2">
        <f>$E$6*$F$6/7*MAX(节奏总纲!E144-$C$1,0)</f>
        <v>1055646.9400182469</v>
      </c>
      <c r="Y146" s="2">
        <f>$E$6*$F$6/7*MAX(节奏总纲!F144-$C$1,0)</f>
        <v>837790.70755747543</v>
      </c>
      <c r="Z146" s="2">
        <f>$E$6*$F$6/7*MAX(节奏总纲!G144-$C$1,0)</f>
        <v>594348.59632756305</v>
      </c>
      <c r="AA146" s="2">
        <f>$E$6*$F$6/7*MAX(节奏总纲!H144-$C$1,0)</f>
        <v>316415.71714905422</v>
      </c>
      <c r="AB146" s="2">
        <f>($E$9*$F$9*3600+$E$10*$F$10*1200)/7*MAX(节奏总纲!D144-$C$1,0)</f>
        <v>104993618.4611676</v>
      </c>
      <c r="AC146" s="2">
        <f>($E$9*$F$9*3600+$E$10*$F$10*1200)/7*MAX(节奏总纲!E144-$C$1,0)</f>
        <v>88674342.961532742</v>
      </c>
      <c r="AD146" s="2">
        <f>($E$9*$F$9*3600+$E$10*$F$10*1200)/7*MAX(节奏总纲!F144-$C$1,0)</f>
        <v>70374419.434827939</v>
      </c>
      <c r="AE146" s="2">
        <f>($E$9*$F$9*3600+$E$10*$F$10*1200)/7*MAX(节奏总纲!G144-$C$1,0)</f>
        <v>49925282.091515295</v>
      </c>
      <c r="AF146" s="2">
        <f>($E$9*$F$9*3600+$E$10*$F$10*1200)/7*MAX(节奏总纲!H144-$C$1,0)</f>
        <v>26578920.240520556</v>
      </c>
      <c r="AK146" s="2">
        <v>141</v>
      </c>
      <c r="AL146" s="2">
        <f>'奖励（新）'!CT148</f>
        <v>6788628.4813248087</v>
      </c>
      <c r="AM146" s="2">
        <f>'奖励（新）'!CU148</f>
        <v>5811206.2565475702</v>
      </c>
      <c r="AN146" s="2">
        <f>'奖励（新）'!CV148</f>
        <v>4858727.0404319558</v>
      </c>
      <c r="AO146" s="2">
        <f>'奖励（新）'!CW148</f>
        <v>4103447.8431382431</v>
      </c>
      <c r="AP146" s="2">
        <f>'奖励（新）'!CX148</f>
        <v>2534099.7927948362</v>
      </c>
      <c r="AV146" s="2">
        <v>141</v>
      </c>
      <c r="AW146" s="2">
        <f>SUMPRODUCT($F$5:$F$12,$H$5:$H$12,J$5:J$12)/7*MAX(节奏总纲!D144-'奖励（新）'!$E$2,0)</f>
        <v>10124384.637326876</v>
      </c>
      <c r="AX146" s="2">
        <f>SUMPRODUCT($F$5:$F$12,$H$5:$H$12,K$5:K$12)/7*MAX(节奏总纲!E144-'奖励（新）'!$E$2,0)</f>
        <v>8550740.2141478006</v>
      </c>
      <c r="AY146" s="2">
        <f>SUMPRODUCT($F$5:$F$12,$H$5:$H$12,L$5:L$12)/7*MAX(节奏总纲!F144-'奖励（新）'!$E$2,0)</f>
        <v>6786104.7312155506</v>
      </c>
      <c r="AZ146" s="2">
        <f>SUMPRODUCT($F$5:$F$12,$H$5:$H$12,M$5:M$12)/7*MAX(节奏总纲!G144-'奖励（新）'!$E$2,0)</f>
        <v>4814223.63025326</v>
      </c>
      <c r="BA146" s="2">
        <f>SUMPRODUCT($F$5:$F$12,$H$5:$H$12,N$5:N$12)/7*MAX(节奏总纲!H144-'奖励（新）'!$E$2,0)</f>
        <v>2562967.3089073389</v>
      </c>
      <c r="BE146" s="2">
        <v>141</v>
      </c>
      <c r="BF146" s="41">
        <f t="shared" si="17"/>
        <v>0.67052257737189236</v>
      </c>
      <c r="BG146" s="41">
        <f t="shared" si="18"/>
        <v>0.67961440892947733</v>
      </c>
      <c r="BH146" s="41">
        <f t="shared" si="19"/>
        <v>0.71598173515981733</v>
      </c>
      <c r="BI146" s="41">
        <f t="shared" si="20"/>
        <v>0.85235920852359215</v>
      </c>
      <c r="BJ146" s="41">
        <f t="shared" si="21"/>
        <v>0.98873668188736685</v>
      </c>
      <c r="BK146" s="2">
        <f>(AW146-AL146)*'奖励（新）'!$D$17</f>
        <v>16678780.780010335</v>
      </c>
      <c r="BL146" s="2">
        <f>(AX146-AM146)*'奖励（新）'!$D$17</f>
        <v>13697669.788001152</v>
      </c>
      <c r="BM146" s="2">
        <f>(AY146-AN146)*'奖励（新）'!$D$17</f>
        <v>9636888.4539179727</v>
      </c>
      <c r="BN146" s="2">
        <f>(AZ146-AO146)*'奖励（新）'!$D$17</f>
        <v>3553878.9355750848</v>
      </c>
      <c r="BO146" s="2">
        <f>(BA146-AP146)*'奖励（新）'!$D$17</f>
        <v>144337.58056251332</v>
      </c>
    </row>
    <row r="147" spans="17:67" x14ac:dyDescent="0.2">
      <c r="Q147" s="2">
        <v>142</v>
      </c>
      <c r="R147" s="2">
        <f>$E$5*$F$5/7*MAX(节奏总纲!D145-$C$1,0)</f>
        <v>133994.81320193867</v>
      </c>
      <c r="S147" s="2">
        <f>$E$5*$F$5/7*MAX(节奏总纲!E145-$C$1,0)</f>
        <v>113172.63092267264</v>
      </c>
      <c r="T147" s="2">
        <f>$E$5*$F$5/7*MAX(节奏总纲!F145-$C$1,0)</f>
        <v>90051.808766224931</v>
      </c>
      <c r="U147" s="2">
        <f>$E$5*$F$5/7*MAX(节奏总纲!G145-$C$1,0)</f>
        <v>63879.575778664606</v>
      </c>
      <c r="V147" s="2">
        <f>$E$5*$F$5/7*MAX(节奏总纲!H145-$C$1,0)</f>
        <v>34024.142052228301</v>
      </c>
      <c r="W147" s="2">
        <f>$E$6*$F$6/7*MAX(节奏总纲!D145-$C$1,0)</f>
        <v>1339948.1320193866</v>
      </c>
      <c r="X147" s="2">
        <f>$E$6*$F$6/7*MAX(节奏总纲!E145-$C$1,0)</f>
        <v>1131726.3092267264</v>
      </c>
      <c r="Y147" s="2">
        <f>$E$6*$F$6/7*MAX(节奏总纲!F145-$C$1,0)</f>
        <v>900518.08766224922</v>
      </c>
      <c r="Z147" s="2">
        <f>$E$6*$F$6/7*MAX(节奏总纲!G145-$C$1,0)</f>
        <v>638795.75778664602</v>
      </c>
      <c r="AA147" s="2">
        <f>$E$6*$F$6/7*MAX(节奏总纲!H145-$C$1,0)</f>
        <v>340241.42052228301</v>
      </c>
      <c r="AB147" s="2">
        <f>($E$9*$F$9*3600+$E$10*$F$10*1200)/7*MAX(节奏总纲!D145-$C$1,0)</f>
        <v>112555643.08962847</v>
      </c>
      <c r="AC147" s="2">
        <f>($E$9*$F$9*3600+$E$10*$F$10*1200)/7*MAX(节奏总纲!E145-$C$1,0)</f>
        <v>95065009.975045025</v>
      </c>
      <c r="AD147" s="2">
        <f>($E$9*$F$9*3600+$E$10*$F$10*1200)/7*MAX(节奏总纲!F145-$C$1,0)</f>
        <v>75643519.363628939</v>
      </c>
      <c r="AE147" s="2">
        <f>($E$9*$F$9*3600+$E$10*$F$10*1200)/7*MAX(节奏总纲!G145-$C$1,0)</f>
        <v>53658843.654078268</v>
      </c>
      <c r="AF147" s="2">
        <f>($E$9*$F$9*3600+$E$10*$F$10*1200)/7*MAX(节奏总纲!H145-$C$1,0)</f>
        <v>28580279.323871773</v>
      </c>
      <c r="AK147" s="2">
        <v>142</v>
      </c>
      <c r="AL147" s="2">
        <f>'奖励（新）'!CT149</f>
        <v>7277570.3477129638</v>
      </c>
      <c r="AM147" s="2">
        <f>'奖励（新）'!CU149</f>
        <v>6230013.8043919904</v>
      </c>
      <c r="AN147" s="2">
        <f>'奖励（新）'!CV149</f>
        <v>5222511.4738724623</v>
      </c>
      <c r="AO147" s="2">
        <f>'奖励（新）'!CW149</f>
        <v>4410315.9167735558</v>
      </c>
      <c r="AP147" s="2">
        <f>'奖励（新）'!CX149</f>
        <v>2724914.3026595553</v>
      </c>
      <c r="AV147" s="2">
        <v>142</v>
      </c>
      <c r="AW147" s="2">
        <f>SUMPRODUCT($F$5:$F$12,$H$5:$H$12,J$5:J$12)/7*MAX(节奏总纲!D145-'奖励（新）'!$E$2,0)</f>
        <v>10853579.869357031</v>
      </c>
      <c r="AX147" s="2">
        <f>SUMPRODUCT($F$5:$F$12,$H$5:$H$12,K$5:K$12)/7*MAX(节奏总纲!E145-'奖励（新）'!$E$2,0)</f>
        <v>9166983.1047364846</v>
      </c>
      <c r="AY147" s="2">
        <f>SUMPRODUCT($F$5:$F$12,$H$5:$H$12,L$5:L$12)/7*MAX(节奏总纲!F145-'奖励（新）'!$E$2,0)</f>
        <v>7294196.5100642182</v>
      </c>
      <c r="AZ147" s="2">
        <f>SUMPRODUCT($F$5:$F$12,$H$5:$H$12,M$5:M$12)/7*MAX(节奏总纲!G145-'奖励（新）'!$E$2,0)</f>
        <v>5174245.6380718322</v>
      </c>
      <c r="BA147" s="2">
        <f>SUMPRODUCT($F$5:$F$12,$H$5:$H$12,N$5:N$12)/7*MAX(节奏总纲!H145-'奖励（新）'!$E$2,0)</f>
        <v>2755955.5062304921</v>
      </c>
      <c r="BE147" s="2">
        <v>142</v>
      </c>
      <c r="BF147" s="41">
        <f t="shared" si="17"/>
        <v>0.67052257737189247</v>
      </c>
      <c r="BG147" s="41">
        <f t="shared" si="18"/>
        <v>0.67961440892947722</v>
      </c>
      <c r="BH147" s="41">
        <f t="shared" si="19"/>
        <v>0.71598173515981722</v>
      </c>
      <c r="BI147" s="41">
        <f t="shared" si="20"/>
        <v>0.85235920852359215</v>
      </c>
      <c r="BJ147" s="41">
        <f t="shared" si="21"/>
        <v>0.98873668188736685</v>
      </c>
      <c r="BK147" s="2">
        <f>(AW147-AL147)*'奖励（新）'!$D$17</f>
        <v>17880047.608220335</v>
      </c>
      <c r="BL147" s="2">
        <f>(AX147-AM147)*'奖励（新）'!$D$17</f>
        <v>14684846.50172247</v>
      </c>
      <c r="BM147" s="2">
        <f>(AY147-AN147)*'奖励（新）'!$D$17</f>
        <v>10358425.18095878</v>
      </c>
      <c r="BN147" s="2">
        <f>(AZ147-AO147)*'奖励（新）'!$D$17</f>
        <v>3819648.6064913822</v>
      </c>
      <c r="BO147" s="2">
        <f>(BA147-AP147)*'奖励（新）'!$D$17</f>
        <v>155206.01785468403</v>
      </c>
    </row>
    <row r="148" spans="17:67" x14ac:dyDescent="0.2">
      <c r="Q148" s="2">
        <v>143</v>
      </c>
      <c r="R148" s="2">
        <f>$E$5*$F$5/7*MAX(节奏总纲!D146-$C$1,0)</f>
        <v>143643.35763030799</v>
      </c>
      <c r="S148" s="2">
        <f>$E$5*$F$5/7*MAX(节奏总纲!E146-$C$1,0)</f>
        <v>121470.68774814642</v>
      </c>
      <c r="T148" s="2">
        <f>$E$5*$F$5/7*MAX(节奏总纲!F146-$C$1,0)</f>
        <v>96675.908757113299</v>
      </c>
      <c r="U148" s="2">
        <f>$E$5*$F$5/7*MAX(节奏总纲!G146-$C$1,0)</f>
        <v>68639.511362255362</v>
      </c>
      <c r="V148" s="2">
        <f>$E$5*$F$5/7*MAX(节奏总纲!H146-$C$1,0)</f>
        <v>36612.321532466471</v>
      </c>
      <c r="W148" s="2">
        <f>$E$6*$F$6/7*MAX(节奏总纲!D146-$C$1,0)</f>
        <v>1436433.5763030797</v>
      </c>
      <c r="X148" s="2">
        <f>$E$6*$F$6/7*MAX(节奏总纲!E146-$C$1,0)</f>
        <v>1214706.8774814643</v>
      </c>
      <c r="Y148" s="2">
        <f>$E$6*$F$6/7*MAX(节奏总纲!F146-$C$1,0)</f>
        <v>966759.08757113293</v>
      </c>
      <c r="Z148" s="2">
        <f>$E$6*$F$6/7*MAX(节奏总纲!G146-$C$1,0)</f>
        <v>686395.11362255353</v>
      </c>
      <c r="AA148" s="2">
        <f>$E$6*$F$6/7*MAX(节奏总纲!H146-$C$1,0)</f>
        <v>366123.21532466466</v>
      </c>
      <c r="AB148" s="2">
        <f>($E$9*$F$9*3600+$E$10*$F$10*1200)/7*MAX(节奏总纲!D146-$C$1,0)</f>
        <v>120660420.4094587</v>
      </c>
      <c r="AC148" s="2">
        <f>($E$9*$F$9*3600+$E$10*$F$10*1200)/7*MAX(节奏总纲!E146-$C$1,0)</f>
        <v>102035377.70844299</v>
      </c>
      <c r="AD148" s="2">
        <f>($E$9*$F$9*3600+$E$10*$F$10*1200)/7*MAX(节奏总纲!F146-$C$1,0)</f>
        <v>81207763.355975166</v>
      </c>
      <c r="AE148" s="2">
        <f>($E$9*$F$9*3600+$E$10*$F$10*1200)/7*MAX(节奏总纲!G146-$C$1,0)</f>
        <v>57657189.544294491</v>
      </c>
      <c r="AF148" s="2">
        <f>($E$9*$F$9*3600+$E$10*$F$10*1200)/7*MAX(节奏总纲!H146-$C$1,0)</f>
        <v>30754350.087271832</v>
      </c>
      <c r="AK148" s="2">
        <v>143</v>
      </c>
      <c r="AL148" s="2">
        <f>'奖励（新）'!CT150</f>
        <v>7801605.2648307541</v>
      </c>
      <c r="AM148" s="2">
        <f>'奖励（新）'!CU150</f>
        <v>6686811.602153304</v>
      </c>
      <c r="AN148" s="2">
        <f>'奖励（新）'!CV150</f>
        <v>5606672.9769056812</v>
      </c>
      <c r="AO148" s="2">
        <f>'奖励（新）'!CW150</f>
        <v>4738947.0858324245</v>
      </c>
      <c r="AP148" s="2">
        <f>'奖励（新）'!CX150</f>
        <v>2932195.5699645467</v>
      </c>
      <c r="AV148" s="2">
        <v>143</v>
      </c>
      <c r="AW148" s="2">
        <f>SUMPRODUCT($F$5:$F$12,$H$5:$H$12,J$5:J$12)/7*MAX(节奏总纲!D146-'奖励（新）'!$E$2,0)</f>
        <v>11635111.968054945</v>
      </c>
      <c r="AX148" s="2">
        <f>SUMPRODUCT($F$5:$F$12,$H$5:$H$12,K$5:K$12)/7*MAX(节奏总纲!E146-'奖励（新）'!$E$2,0)</f>
        <v>9839125.7075998597</v>
      </c>
      <c r="AY148" s="2">
        <f>SUMPRODUCT($F$5:$F$12,$H$5:$H$12,L$5:L$12)/7*MAX(节奏总纲!F146-'奖励（新）'!$E$2,0)</f>
        <v>7830748.6093261763</v>
      </c>
      <c r="AZ148" s="2">
        <f>SUMPRODUCT($F$5:$F$12,$H$5:$H$12,M$5:M$12)/7*MAX(节奏总纲!G146-'奖励（新）'!$E$2,0)</f>
        <v>5559800.4203426829</v>
      </c>
      <c r="BA148" s="2">
        <f>SUMPRODUCT($F$5:$F$12,$H$5:$H$12,N$5:N$12)/7*MAX(节奏总纲!H146-'奖励（新）'!$E$2,0)</f>
        <v>2965598.0441297838</v>
      </c>
      <c r="BE148" s="2">
        <v>143</v>
      </c>
      <c r="BF148" s="41">
        <f t="shared" si="17"/>
        <v>0.67052257737189247</v>
      </c>
      <c r="BG148" s="41">
        <f t="shared" si="18"/>
        <v>0.67961440892947733</v>
      </c>
      <c r="BH148" s="41">
        <f t="shared" si="19"/>
        <v>0.71598173515981722</v>
      </c>
      <c r="BI148" s="41">
        <f t="shared" si="20"/>
        <v>0.85235920852359226</v>
      </c>
      <c r="BJ148" s="41">
        <f t="shared" si="21"/>
        <v>0.98873668188736663</v>
      </c>
      <c r="BK148" s="2">
        <f>(AW148-AL148)*'奖励（新）'!$D$17</f>
        <v>19167533.516120952</v>
      </c>
      <c r="BL148" s="2">
        <f>(AX148-AM148)*'奖励（新）'!$D$17</f>
        <v>15761570.527232777</v>
      </c>
      <c r="BM148" s="2">
        <f>(AY148-AN148)*'奖励（新）'!$D$17</f>
        <v>11120378.162102476</v>
      </c>
      <c r="BN148" s="2">
        <f>(AZ148-AO148)*'奖励（新）'!$D$17</f>
        <v>4104266.672551292</v>
      </c>
      <c r="BO148" s="2">
        <f>(BA148-AP148)*'奖励（新）'!$D$17</f>
        <v>167012.37082618522</v>
      </c>
    </row>
    <row r="149" spans="17:67" x14ac:dyDescent="0.2">
      <c r="Q149" s="2">
        <v>144</v>
      </c>
      <c r="R149" s="2">
        <f>$E$5*$F$5/7*MAX(节奏总纲!D147-$C$1,0)</f>
        <v>153984.41150073634</v>
      </c>
      <c r="S149" s="2">
        <f>$E$5*$F$5/7*MAX(节奏总纲!E147-$C$1,0)</f>
        <v>130220.25342791589</v>
      </c>
      <c r="T149" s="2">
        <f>$E$5*$F$5/7*MAX(节奏总纲!F147-$C$1,0)</f>
        <v>103753.86815383253</v>
      </c>
      <c r="U149" s="2">
        <f>$E$5*$F$5/7*MAX(节奏总纲!G147-$C$1,0)</f>
        <v>73720.542974082171</v>
      </c>
      <c r="V149" s="2">
        <f>$E$5*$F$5/7*MAX(节奏总纲!H147-$C$1,0)</f>
        <v>39193.799991088948</v>
      </c>
      <c r="W149" s="2">
        <f>$E$6*$F$6/7*MAX(节奏总纲!D147-$C$1,0)</f>
        <v>1539844.1150073635</v>
      </c>
      <c r="X149" s="2">
        <f>$E$6*$F$6/7*MAX(节奏总纲!E147-$C$1,0)</f>
        <v>1302202.5342791588</v>
      </c>
      <c r="Y149" s="2">
        <f>$E$6*$F$6/7*MAX(节奏总纲!F147-$C$1,0)</f>
        <v>1037538.6815383253</v>
      </c>
      <c r="Z149" s="2">
        <f>$E$6*$F$6/7*MAX(节奏总纲!G147-$C$1,0)</f>
        <v>737205.42974082171</v>
      </c>
      <c r="AA149" s="2">
        <f>$E$6*$F$6/7*MAX(节奏总纲!H147-$C$1,0)</f>
        <v>391937.99991088943</v>
      </c>
      <c r="AB149" s="2">
        <f>($E$9*$F$9*3600+$E$10*$F$10*1200)/7*MAX(节奏总纲!D147-$C$1,0)</f>
        <v>129346905.66061853</v>
      </c>
      <c r="AC149" s="2">
        <f>($E$9*$F$9*3600+$E$10*$F$10*1200)/7*MAX(节奏总纲!E147-$C$1,0)</f>
        <v>109385012.87944934</v>
      </c>
      <c r="AD149" s="2">
        <f>($E$9*$F$9*3600+$E$10*$F$10*1200)/7*MAX(节奏总纲!F147-$C$1,0)</f>
        <v>87153249.249219313</v>
      </c>
      <c r="AE149" s="2">
        <f>($E$9*$F$9*3600+$E$10*$F$10*1200)/7*MAX(节奏总纲!G147-$C$1,0)</f>
        <v>61925256.098229021</v>
      </c>
      <c r="AF149" s="2">
        <f>($E$9*$F$9*3600+$E$10*$F$10*1200)/7*MAX(节奏总纲!H147-$C$1,0)</f>
        <v>32922791.992514711</v>
      </c>
      <c r="AK149" s="2">
        <v>144</v>
      </c>
      <c r="AL149" s="2">
        <f>'奖励（新）'!CT151</f>
        <v>8363251.9824399911</v>
      </c>
      <c r="AM149" s="2">
        <f>'奖励（新）'!CU151</f>
        <v>7168464.4056888437</v>
      </c>
      <c r="AN149" s="2">
        <f>'奖励（新）'!CV151</f>
        <v>6017155.8385762377</v>
      </c>
      <c r="AO149" s="2">
        <f>'奖励（新）'!CW151</f>
        <v>5089747.0765667688</v>
      </c>
      <c r="AP149" s="2">
        <f>'奖励（新）'!CX151</f>
        <v>3138940.1680534575</v>
      </c>
      <c r="AV149" s="2">
        <v>144</v>
      </c>
      <c r="AW149" s="2">
        <f>SUMPRODUCT($F$5:$F$12,$H$5:$H$12,J$5:J$12)/7*MAX(节奏总纲!D147-'奖励（新）'!$E$2,0)</f>
        <v>12472737.331559643</v>
      </c>
      <c r="AX149" s="2">
        <f>SUMPRODUCT($F$5:$F$12,$H$5:$H$12,K$5:K$12)/7*MAX(节奏总纲!E147-'奖励（新）'!$E$2,0)</f>
        <v>10547840.527661186</v>
      </c>
      <c r="AY149" s="2">
        <f>SUMPRODUCT($F$5:$F$12,$H$5:$H$12,L$5:L$12)/7*MAX(节奏总纲!F147-'奖励（新）'!$E$2,0)</f>
        <v>8404063.320460435</v>
      </c>
      <c r="AZ149" s="2">
        <f>SUMPRODUCT($F$5:$F$12,$H$5:$H$12,M$5:M$12)/7*MAX(节奏总纲!G147-'奖励（新）'!$E$2,0)</f>
        <v>5971363.9809006555</v>
      </c>
      <c r="BA149" s="2">
        <f>SUMPRODUCT($F$5:$F$12,$H$5:$H$12,N$5:N$12)/7*MAX(节奏总纲!H147-'奖励（新）'!$E$2,0)</f>
        <v>3174697.7992782043</v>
      </c>
      <c r="BE149" s="2">
        <v>144</v>
      </c>
      <c r="BF149" s="41">
        <f t="shared" si="17"/>
        <v>0.67052257737189236</v>
      </c>
      <c r="BG149" s="41">
        <f t="shared" si="18"/>
        <v>0.67961440892947744</v>
      </c>
      <c r="BH149" s="41">
        <f t="shared" si="19"/>
        <v>0.71598173515981722</v>
      </c>
      <c r="BI149" s="41">
        <f t="shared" si="20"/>
        <v>0.85235920852359204</v>
      </c>
      <c r="BJ149" s="41">
        <f t="shared" si="21"/>
        <v>0.98873668188736685</v>
      </c>
      <c r="BK149" s="2">
        <f>(AW149-AL149)*'奖励（新）'!$D$17</f>
        <v>20547426.74559826</v>
      </c>
      <c r="BL149" s="2">
        <f>(AX149-AM149)*'奖励（新）'!$D$17</f>
        <v>16896880.609861709</v>
      </c>
      <c r="BM149" s="2">
        <f>(AY149-AN149)*'奖励（新）'!$D$17</f>
        <v>11934537.409420986</v>
      </c>
      <c r="BN149" s="2">
        <f>(AZ149-AO149)*'奖励（新）'!$D$17</f>
        <v>4408084.5216694335</v>
      </c>
      <c r="BO149" s="2">
        <f>(BA149-AP149)*'奖励（新）'!$D$17</f>
        <v>178788.15612373408</v>
      </c>
    </row>
    <row r="150" spans="17:67" x14ac:dyDescent="0.2">
      <c r="Q150" s="2">
        <v>145</v>
      </c>
      <c r="R150" s="2">
        <f>$E$5*$F$5/7*MAX(节奏总纲!D148-$C$1,0)</f>
        <v>165067.67861372</v>
      </c>
      <c r="S150" s="2">
        <f>$E$5*$F$5/7*MAX(节奏总纲!E148-$C$1,0)</f>
        <v>139796.40123226211</v>
      </c>
      <c r="T150" s="2">
        <f>$E$5*$F$5/7*MAX(节奏总纲!F148-$C$1,0)</f>
        <v>111364.14547499643</v>
      </c>
      <c r="U150" s="2">
        <f>$E$5*$F$5/7*MAX(节奏总纲!G148-$C$1,0)</f>
        <v>78893.781216698844</v>
      </c>
      <c r="V150" s="2">
        <f>$E$5*$F$5/7*MAX(节奏总纲!H148-$C$1,0)</f>
        <v>41905.369332246722</v>
      </c>
      <c r="W150" s="2">
        <f>$E$6*$F$6/7*MAX(节奏总纲!D148-$C$1,0)</f>
        <v>1650676.7861372</v>
      </c>
      <c r="X150" s="2">
        <f>$E$6*$F$6/7*MAX(节奏总纲!E148-$C$1,0)</f>
        <v>1397964.012322621</v>
      </c>
      <c r="Y150" s="2">
        <f>$E$6*$F$6/7*MAX(节奏总纲!F148-$C$1,0)</f>
        <v>1113641.4547499644</v>
      </c>
      <c r="Z150" s="2">
        <f>$E$6*$F$6/7*MAX(节奏总纲!G148-$C$1,0)</f>
        <v>788937.81216698838</v>
      </c>
      <c r="AA150" s="2">
        <f>$E$6*$F$6/7*MAX(节奏总纲!H148-$C$1,0)</f>
        <v>419053.69332246721</v>
      </c>
      <c r="AB150" s="2">
        <f>($E$9*$F$9*3600+$E$10*$F$10*1200)/7*MAX(节奏总纲!D148-$C$1,0)</f>
        <v>138656850.03552479</v>
      </c>
      <c r="AC150" s="2">
        <f>($E$9*$F$9*3600+$E$10*$F$10*1200)/7*MAX(节奏总纲!E148-$C$1,0)</f>
        <v>117428977.03510016</v>
      </c>
      <c r="AD150" s="2">
        <f>($E$9*$F$9*3600+$E$10*$F$10*1200)/7*MAX(节奏总纲!F148-$C$1,0)</f>
        <v>93545882.198996991</v>
      </c>
      <c r="AE150" s="2">
        <f>($E$9*$F$9*3600+$E$10*$F$10*1200)/7*MAX(节奏总纲!G148-$C$1,0)</f>
        <v>66270776.222027026</v>
      </c>
      <c r="AF150" s="2">
        <f>($E$9*$F$9*3600+$E$10*$F$10*1200)/7*MAX(节奏总纲!H148-$C$1,0)</f>
        <v>35200510.239087246</v>
      </c>
      <c r="AK150" s="2">
        <v>145</v>
      </c>
      <c r="AL150" s="2">
        <f>'奖励（新）'!CT152</f>
        <v>8965210.0296942052</v>
      </c>
      <c r="AM150" s="2">
        <f>'奖励（新）'!CU152</f>
        <v>7695619.5361084817</v>
      </c>
      <c r="AN150" s="2">
        <f>'奖励（新）'!CV152</f>
        <v>6458510.2230540384</v>
      </c>
      <c r="AO150" s="2">
        <f>'奖励（新）'!CW152</f>
        <v>5446913.1141392067</v>
      </c>
      <c r="AP150" s="2">
        <f>'奖励（新）'!CX152</f>
        <v>3356103.4419732494</v>
      </c>
      <c r="AV150" s="2">
        <v>145</v>
      </c>
      <c r="AW150" s="2">
        <f>SUMPRODUCT($F$5:$F$12,$H$5:$H$12,J$5:J$12)/7*MAX(节奏总纲!D148-'奖励（新）'!$E$2,0)</f>
        <v>13370481.967711318</v>
      </c>
      <c r="AX150" s="2">
        <f>SUMPRODUCT($F$5:$F$12,$H$5:$H$12,K$5:K$12)/7*MAX(节奏总纲!E148-'奖励（新）'!$E$2,0)</f>
        <v>11323508.499813231</v>
      </c>
      <c r="AY150" s="2">
        <f>SUMPRODUCT($F$5:$F$12,$H$5:$H$12,L$5:L$12)/7*MAX(节奏总纲!F148-'奖励（新）'!$E$2,0)</f>
        <v>9020495.7834747098</v>
      </c>
      <c r="AZ150" s="2">
        <f>SUMPRODUCT($F$5:$F$12,$H$5:$H$12,M$5:M$12)/7*MAX(节奏总纲!G148-'奖励（新）'!$E$2,0)</f>
        <v>6390396.2785526058</v>
      </c>
      <c r="BA150" s="2">
        <f>SUMPRODUCT($F$5:$F$12,$H$5:$H$12,N$5:N$12)/7*MAX(节奏总纲!H148-'奖励（新）'!$E$2,0)</f>
        <v>3394334.9159119846</v>
      </c>
      <c r="BE150" s="2">
        <v>145</v>
      </c>
      <c r="BF150" s="41">
        <f t="shared" si="17"/>
        <v>0.67052257737189247</v>
      </c>
      <c r="BG150" s="41">
        <f t="shared" si="18"/>
        <v>0.67961440892947733</v>
      </c>
      <c r="BH150" s="41">
        <f t="shared" si="19"/>
        <v>0.71598173515981733</v>
      </c>
      <c r="BI150" s="41">
        <f t="shared" si="20"/>
        <v>0.85235920852359204</v>
      </c>
      <c r="BJ150" s="41">
        <f t="shared" si="21"/>
        <v>0.98873668188736663</v>
      </c>
      <c r="BK150" s="2">
        <f>(AW150-AL150)*'奖励（新）'!$D$17</f>
        <v>22026359.690085568</v>
      </c>
      <c r="BL150" s="2">
        <f>(AX150-AM150)*'奖励（新）'!$D$17</f>
        <v>18139444.818523746</v>
      </c>
      <c r="BM150" s="2">
        <f>(AY150-AN150)*'奖励（新）'!$D$17</f>
        <v>12809927.802103357</v>
      </c>
      <c r="BN150" s="2">
        <f>(AZ150-AO150)*'奖励（新）'!$D$17</f>
        <v>4717415.8220669953</v>
      </c>
      <c r="BO150" s="2">
        <f>(BA150-AP150)*'奖励（新）'!$D$17</f>
        <v>191157.36969367601</v>
      </c>
    </row>
    <row r="151" spans="17:67" x14ac:dyDescent="0.2">
      <c r="Q151" s="2">
        <v>146</v>
      </c>
      <c r="R151" s="2">
        <f>$E$5*$F$5/7*MAX(节奏总纲!D149-$C$1,0)</f>
        <v>176946.43018361679</v>
      </c>
      <c r="S151" s="2">
        <f>$E$5*$F$5/7*MAX(节奏总纲!E149-$C$1,0)</f>
        <v>149825.79243711321</v>
      </c>
      <c r="T151" s="2">
        <f>$E$5*$F$5/7*MAX(节奏总纲!F149-$C$1,0)</f>
        <v>118998.01715691491</v>
      </c>
      <c r="U151" s="2">
        <f>$E$5*$F$5/7*MAX(节奏总纲!G149-$C$1,0)</f>
        <v>84197.041840603575</v>
      </c>
      <c r="V151" s="2">
        <f>$E$5*$F$5/7*MAX(节奏总纲!H149-$C$1,0)</f>
        <v>44748.841482052914</v>
      </c>
      <c r="W151" s="2">
        <f>$E$6*$F$6/7*MAX(节奏总纲!D149-$C$1,0)</f>
        <v>1769464.3018361679</v>
      </c>
      <c r="X151" s="2">
        <f>$E$6*$F$6/7*MAX(节奏总纲!E149-$C$1,0)</f>
        <v>1498257.9243711322</v>
      </c>
      <c r="Y151" s="2">
        <f>$E$6*$F$6/7*MAX(节奏总纲!F149-$C$1,0)</f>
        <v>1189980.171569149</v>
      </c>
      <c r="Z151" s="2">
        <f>$E$6*$F$6/7*MAX(节奏总纲!G149-$C$1,0)</f>
        <v>841970.41840603575</v>
      </c>
      <c r="AA151" s="2">
        <f>$E$6*$F$6/7*MAX(节奏总纲!H149-$C$1,0)</f>
        <v>447488.41482052911</v>
      </c>
      <c r="AB151" s="2">
        <f>($E$9*$F$9*3600+$E$10*$F$10*1200)/7*MAX(节奏总纲!D149-$C$1,0)</f>
        <v>148635001.35423809</v>
      </c>
      <c r="AC151" s="2">
        <f>($E$9*$F$9*3600+$E$10*$F$10*1200)/7*MAX(节奏总纲!E149-$C$1,0)</f>
        <v>125853665.6471751</v>
      </c>
      <c r="AD151" s="2">
        <f>($E$9*$F$9*3600+$E$10*$F$10*1200)/7*MAX(节奏总纲!F149-$C$1,0)</f>
        <v>99958334.411808521</v>
      </c>
      <c r="AE151" s="2">
        <f>($E$9*$F$9*3600+$E$10*$F$10*1200)/7*MAX(节奏总纲!G149-$C$1,0)</f>
        <v>70725515.146107003</v>
      </c>
      <c r="AF151" s="2">
        <f>($E$9*$F$9*3600+$E$10*$F$10*1200)/7*MAX(节奏总纲!H149-$C$1,0)</f>
        <v>37589026.844924442</v>
      </c>
      <c r="AK151" s="2">
        <v>146</v>
      </c>
      <c r="AL151" s="2">
        <f>'奖励（新）'!CT153</f>
        <v>9610372.690301422</v>
      </c>
      <c r="AM151" s="2">
        <f>'奖励（新）'!CU153</f>
        <v>8247725.1569326799</v>
      </c>
      <c r="AN151" s="2">
        <f>'奖励（新）'!CV153</f>
        <v>6901232.9511714373</v>
      </c>
      <c r="AO151" s="2">
        <f>'奖励（新）'!CW153</f>
        <v>5813056.0394060537</v>
      </c>
      <c r="AP151" s="2">
        <f>'奖励（新）'!CX153</f>
        <v>3583830.5046667685</v>
      </c>
      <c r="AV151" s="2">
        <v>146</v>
      </c>
      <c r="AW151" s="2">
        <f>SUMPRODUCT($F$5:$F$12,$H$5:$H$12,J$5:J$12)/7*MAX(节奏总纲!D149-'奖励（新）'!$E$2,0)</f>
        <v>14332660.844872959</v>
      </c>
      <c r="AX151" s="2">
        <f>SUMPRODUCT($F$5:$F$12,$H$5:$H$12,K$5:K$12)/7*MAX(节奏总纲!E149-'奖励（新）'!$E$2,0)</f>
        <v>12135889.187406169</v>
      </c>
      <c r="AY151" s="2">
        <f>SUMPRODUCT($F$5:$F$12,$H$5:$H$12,L$5:L$12)/7*MAX(节奏总纲!F149-'奖励（新）'!$E$2,0)</f>
        <v>9638839.3897101078</v>
      </c>
      <c r="AZ151" s="2">
        <f>SUMPRODUCT($F$5:$F$12,$H$5:$H$12,M$5:M$12)/7*MAX(节奏总纲!G149-'奖励（新）'!$E$2,0)</f>
        <v>6819960.3890888896</v>
      </c>
      <c r="BA151" s="2">
        <f>SUMPRODUCT($F$5:$F$12,$H$5:$H$12,N$5:N$12)/7*MAX(节奏总纲!H149-'奖励（新）'!$E$2,0)</f>
        <v>3624656.1600462855</v>
      </c>
      <c r="BE151" s="2">
        <v>146</v>
      </c>
      <c r="BF151" s="41">
        <f t="shared" si="17"/>
        <v>0.67052257737189247</v>
      </c>
      <c r="BG151" s="41">
        <f t="shared" si="18"/>
        <v>0.67961440892947744</v>
      </c>
      <c r="BH151" s="41">
        <f t="shared" si="19"/>
        <v>0.71598173515981733</v>
      </c>
      <c r="BI151" s="41">
        <f t="shared" si="20"/>
        <v>0.85235920852359193</v>
      </c>
      <c r="BJ151" s="41">
        <f t="shared" si="21"/>
        <v>0.98873668188736674</v>
      </c>
      <c r="BK151" s="2">
        <f>(AW151-AL151)*'奖励（新）'!$D$17</f>
        <v>23611440.772857685</v>
      </c>
      <c r="BL151" s="2">
        <f>(AX151-AM151)*'奖励（新）'!$D$17</f>
        <v>19440820.152367447</v>
      </c>
      <c r="BM151" s="2">
        <f>(AY151-AN151)*'奖励（新）'!$D$17</f>
        <v>13688032.192693353</v>
      </c>
      <c r="BN151" s="2">
        <f>(AZ151-AO151)*'奖励（新）'!$D$17</f>
        <v>5034521.7484141793</v>
      </c>
      <c r="BO151" s="2">
        <f>(BA151-AP151)*'奖励（新）'!$D$17</f>
        <v>204128.27689758502</v>
      </c>
    </row>
    <row r="152" spans="17:67" x14ac:dyDescent="0.2">
      <c r="Q152" s="2">
        <v>147</v>
      </c>
      <c r="R152" s="2">
        <f>$E$5*$F$5/7*MAX(节奏总纲!D150-$C$1,0)</f>
        <v>189677.7608842935</v>
      </c>
      <c r="S152" s="2">
        <f>$E$5*$F$5/7*MAX(节奏总纲!E150-$C$1,0)</f>
        <v>160078.20494318043</v>
      </c>
      <c r="T152" s="2">
        <f>$E$5*$F$5/7*MAX(节奏总纲!F150-$C$1,0)</f>
        <v>126980.69248751065</v>
      </c>
      <c r="U152" s="2">
        <f>$E$5*$F$5/7*MAX(节奏总纲!G150-$C$1,0)</f>
        <v>89795.893887114275</v>
      </c>
      <c r="V152" s="2">
        <f>$E$5*$F$5/7*MAX(节奏总纲!H150-$C$1,0)</f>
        <v>47820.415712433693</v>
      </c>
      <c r="W152" s="2">
        <f>$E$6*$F$6/7*MAX(节奏总纲!D150-$C$1,0)</f>
        <v>1896777.6088429349</v>
      </c>
      <c r="X152" s="2">
        <f>$E$6*$F$6/7*MAX(节奏总纲!E150-$C$1,0)</f>
        <v>1600782.0494318041</v>
      </c>
      <c r="Y152" s="2">
        <f>$E$6*$F$6/7*MAX(节奏总纲!F150-$C$1,0)</f>
        <v>1269806.9248751064</v>
      </c>
      <c r="Z152" s="2">
        <f>$E$6*$F$6/7*MAX(节奏总纲!G150-$C$1,0)</f>
        <v>897958.93887114269</v>
      </c>
      <c r="AA152" s="2">
        <f>$E$6*$F$6/7*MAX(节奏总纲!H150-$C$1,0)</f>
        <v>478204.15712433693</v>
      </c>
      <c r="AB152" s="2">
        <f>($E$9*$F$9*3600+$E$10*$F$10*1200)/7*MAX(节奏总纲!D150-$C$1,0)</f>
        <v>159329319.14280653</v>
      </c>
      <c r="AC152" s="2">
        <f>($E$9*$F$9*3600+$E$10*$F$10*1200)/7*MAX(节奏总纲!E150-$C$1,0)</f>
        <v>134465692.15227154</v>
      </c>
      <c r="AD152" s="2">
        <f>($E$9*$F$9*3600+$E$10*$F$10*1200)/7*MAX(节奏总纲!F150-$C$1,0)</f>
        <v>106663781.68950893</v>
      </c>
      <c r="AE152" s="2">
        <f>($E$9*$F$9*3600+$E$10*$F$10*1200)/7*MAX(节奏总纲!G150-$C$1,0)</f>
        <v>75428550.865175977</v>
      </c>
      <c r="AF152" s="2">
        <f>($E$9*$F$9*3600+$E$10*$F$10*1200)/7*MAX(节奏总纲!H150-$C$1,0)</f>
        <v>40169149.198444299</v>
      </c>
      <c r="AK152" s="2">
        <v>147</v>
      </c>
      <c r="AL152" s="2">
        <f>'奖励（新）'!CT154</f>
        <v>10301840.908959543</v>
      </c>
      <c r="AM152" s="2">
        <f>'奖励（新）'!CU154</f>
        <v>8812107.8254310563</v>
      </c>
      <c r="AN152" s="2">
        <f>'奖励（新）'!CV154</f>
        <v>7364184.3796592457</v>
      </c>
      <c r="AO152" s="2">
        <f>'奖励（新）'!CW154</f>
        <v>6199606.9204254225</v>
      </c>
      <c r="AP152" s="2">
        <f>'奖励（新）'!CX154</f>
        <v>3829825.7317968807</v>
      </c>
      <c r="AV152" s="2">
        <v>147</v>
      </c>
      <c r="AW152" s="2">
        <f>SUMPRODUCT($F$5:$F$12,$H$5:$H$12,J$5:J$12)/7*MAX(节奏总纲!D150-'奖励（新）'!$E$2,0)</f>
        <v>15363898.631627772</v>
      </c>
      <c r="AX152" s="2">
        <f>SUMPRODUCT($F$5:$F$12,$H$5:$H$12,K$5:K$12)/7*MAX(节奏总纲!E150-'奖励（新）'!$E$2,0)</f>
        <v>12966334.600397613</v>
      </c>
      <c r="AY152" s="2">
        <f>SUMPRODUCT($F$5:$F$12,$H$5:$H$12,L$5:L$12)/7*MAX(节奏总纲!F150-'奖励（新）'!$E$2,0)</f>
        <v>10285436.091488361</v>
      </c>
      <c r="AZ152" s="2">
        <f>SUMPRODUCT($F$5:$F$12,$H$5:$H$12,M$5:M$12)/7*MAX(节奏总纲!G150-'奖励（新）'!$E$2,0)</f>
        <v>7273467.4048562553</v>
      </c>
      <c r="BA152" s="2">
        <f>SUMPRODUCT($F$5:$F$12,$H$5:$H$12,N$5:N$12)/7*MAX(节奏总纲!H150-'奖励（新）'!$E$2,0)</f>
        <v>3873453.6727071288</v>
      </c>
      <c r="BE152" s="2">
        <v>147</v>
      </c>
      <c r="BF152" s="41">
        <f t="shared" si="17"/>
        <v>0.67052257737189236</v>
      </c>
      <c r="BG152" s="41">
        <f t="shared" si="18"/>
        <v>0.67961440892947744</v>
      </c>
      <c r="BH152" s="41">
        <f t="shared" si="19"/>
        <v>0.71598173515981722</v>
      </c>
      <c r="BI152" s="41">
        <f t="shared" si="20"/>
        <v>0.85235920852359204</v>
      </c>
      <c r="BJ152" s="41">
        <f t="shared" si="21"/>
        <v>0.98873668188736674</v>
      </c>
      <c r="BK152" s="2">
        <f>(AW152-AL152)*'奖励（新）'!$D$17</f>
        <v>25310288.613341145</v>
      </c>
      <c r="BL152" s="2">
        <f>(AX152-AM152)*'奖励（新）'!$D$17</f>
        <v>20771133.874832783</v>
      </c>
      <c r="BM152" s="2">
        <f>(AY152-AN152)*'奖励（新）'!$D$17</f>
        <v>14606258.559145577</v>
      </c>
      <c r="BN152" s="2">
        <f>(AZ152-AO152)*'奖励（新）'!$D$17</f>
        <v>5369302.4221541639</v>
      </c>
      <c r="BO152" s="2">
        <f>(BA152-AP152)*'奖励（新）'!$D$17</f>
        <v>218139.70455124043</v>
      </c>
    </row>
    <row r="153" spans="17:67" x14ac:dyDescent="0.2">
      <c r="Q153" s="2">
        <v>148</v>
      </c>
      <c r="R153" s="2">
        <f>$E$5*$F$5/7*MAX(节奏总纲!D151-$C$1,0)</f>
        <v>203322.86327205272</v>
      </c>
      <c r="S153" s="2">
        <f>$E$5*$F$5/7*MAX(节奏总纲!E151-$C$1,0)</f>
        <v>171598.76488916558</v>
      </c>
      <c r="T153" s="2">
        <f>$E$5*$F$5/7*MAX(节奏总纲!F151-$C$1,0)</f>
        <v>136207.14068166714</v>
      </c>
      <c r="U153" s="2">
        <f>$E$5*$F$5/7*MAX(节奏总纲!G151-$C$1,0)</f>
        <v>96475.610915045429</v>
      </c>
      <c r="V153" s="2">
        <f>$E$5*$F$5/7*MAX(节奏总纲!H151-$C$1,0)</f>
        <v>51303.917841917049</v>
      </c>
      <c r="W153" s="2">
        <f>$E$6*$F$6/7*MAX(节奏总纲!D151-$C$1,0)</f>
        <v>2033228.6327205272</v>
      </c>
      <c r="X153" s="2">
        <f>$E$6*$F$6/7*MAX(节奏总纲!E151-$C$1,0)</f>
        <v>1715987.6488916557</v>
      </c>
      <c r="Y153" s="2">
        <f>$E$6*$F$6/7*MAX(节奏总纲!F151-$C$1,0)</f>
        <v>1362071.4068166714</v>
      </c>
      <c r="Z153" s="2">
        <f>$E$6*$F$6/7*MAX(节奏总纲!G151-$C$1,0)</f>
        <v>964756.10915045429</v>
      </c>
      <c r="AA153" s="2">
        <f>$E$6*$F$6/7*MAX(节奏总纲!H151-$C$1,0)</f>
        <v>513039.17841917044</v>
      </c>
      <c r="AB153" s="2">
        <f>($E$9*$F$9*3600+$E$10*$F$10*1200)/7*MAX(节奏总纲!D151-$C$1,0)</f>
        <v>170791205.14852428</v>
      </c>
      <c r="AC153" s="2">
        <f>($E$9*$F$9*3600+$E$10*$F$10*1200)/7*MAX(节奏总纲!E151-$C$1,0)</f>
        <v>144142962.50689906</v>
      </c>
      <c r="AD153" s="2">
        <f>($E$9*$F$9*3600+$E$10*$F$10*1200)/7*MAX(节奏总纲!F151-$C$1,0)</f>
        <v>114413998.17260039</v>
      </c>
      <c r="AE153" s="2">
        <f>($E$9*$F$9*3600+$E$10*$F$10*1200)/7*MAX(节奏总纲!G151-$C$1,0)</f>
        <v>81039513.168638155</v>
      </c>
      <c r="AF153" s="2">
        <f>($E$9*$F$9*3600+$E$10*$F$10*1200)/7*MAX(节奏总纲!H151-$C$1,0)</f>
        <v>43095290.987210318</v>
      </c>
      <c r="AK153" s="2">
        <v>148</v>
      </c>
      <c r="AL153" s="2">
        <f>'奖励（新）'!CT155</f>
        <v>11042938.195904583</v>
      </c>
      <c r="AM153" s="2">
        <f>'奖励（新）'!CU155</f>
        <v>9446300.4470274672</v>
      </c>
      <c r="AN153" s="2">
        <f>'奖励（新）'!CV155</f>
        <v>7899267.8190398077</v>
      </c>
      <c r="AO153" s="2">
        <f>'奖励（新）'!CW155</f>
        <v>6660781.9042716287</v>
      </c>
      <c r="AP153" s="2">
        <f>'奖励（新）'!CX155</f>
        <v>4108811.3050819691</v>
      </c>
      <c r="AV153" s="2">
        <v>148</v>
      </c>
      <c r="AW153" s="2">
        <f>SUMPRODUCT($F$5:$F$12,$H$5:$H$12,J$5:J$12)/7*MAX(节奏总纲!D151-'奖励（新）'!$E$2,0)</f>
        <v>16469151.92503627</v>
      </c>
      <c r="AX153" s="2">
        <f>SUMPRODUCT($F$5:$F$12,$H$5:$H$12,K$5:K$12)/7*MAX(节奏总纲!E151-'奖励（新）'!$E$2,0)</f>
        <v>13899499.95602241</v>
      </c>
      <c r="AY153" s="2">
        <f>SUMPRODUCT($F$5:$F$12,$H$5:$H$12,L$5:L$12)/7*MAX(节奏总纲!F151-'奖励（新）'!$E$2,0)</f>
        <v>11032778.395215038</v>
      </c>
      <c r="AZ153" s="2">
        <f>SUMPRODUCT($F$5:$F$12,$H$5:$H$12,M$5:M$12)/7*MAX(节奏总纲!G151-'奖励（新）'!$E$2,0)</f>
        <v>7814524.4841186795</v>
      </c>
      <c r="BA153" s="2">
        <f>SUMPRODUCT($F$5:$F$12,$H$5:$H$12,N$5:N$12)/7*MAX(节奏总纲!H151-'奖励（新）'!$E$2,0)</f>
        <v>4155617.3451952804</v>
      </c>
      <c r="BE153" s="2">
        <v>148</v>
      </c>
      <c r="BF153" s="41">
        <f t="shared" si="17"/>
        <v>0.67052257737189236</v>
      </c>
      <c r="BG153" s="41">
        <f t="shared" si="18"/>
        <v>0.67961440892947744</v>
      </c>
      <c r="BH153" s="41">
        <f t="shared" si="19"/>
        <v>0.71598173515981733</v>
      </c>
      <c r="BI153" s="41">
        <f t="shared" si="20"/>
        <v>0.85235920852359204</v>
      </c>
      <c r="BJ153" s="41">
        <f t="shared" si="21"/>
        <v>0.98873668188736663</v>
      </c>
      <c r="BK153" s="2">
        <f>(AW153-AL153)*'奖励（新）'!$D$17</f>
        <v>27131068.645658437</v>
      </c>
      <c r="BL153" s="2">
        <f>(AX153-AM153)*'奖励（新）'!$D$17</f>
        <v>22265997.544974715</v>
      </c>
      <c r="BM153" s="2">
        <f>(AY153-AN153)*'奖励（新）'!$D$17</f>
        <v>15667552.880876154</v>
      </c>
      <c r="BN153" s="2">
        <f>(AZ153-AO153)*'奖励（新）'!$D$17</f>
        <v>5768712.8992352542</v>
      </c>
      <c r="BO153" s="2">
        <f>(BA153-AP153)*'奖励（新）'!$D$17</f>
        <v>234030.2005665563</v>
      </c>
    </row>
    <row r="154" spans="17:67" x14ac:dyDescent="0.2">
      <c r="Q154" s="2">
        <v>149</v>
      </c>
      <c r="R154" s="2">
        <f>$E$5*$F$5/7*MAX(节奏总纲!D152-$C$1,0)</f>
        <v>217947.32190484373</v>
      </c>
      <c r="S154" s="2">
        <f>$E$5*$F$5/7*MAX(节奏总纲!E152-$C$1,0)</f>
        <v>183989.87049149768</v>
      </c>
      <c r="T154" s="2">
        <f>$E$5*$F$5/7*MAX(节奏总纲!F152-$C$1,0)</f>
        <v>146145.32817681681</v>
      </c>
      <c r="U154" s="2">
        <f>$E$5*$F$5/7*MAX(节奏总纲!G152-$C$1,0)</f>
        <v>103496.51620880084</v>
      </c>
      <c r="V154" s="2">
        <f>$E$5*$F$5/7*MAX(节奏总纲!H152-$C$1,0)</f>
        <v>55060.743067449359</v>
      </c>
      <c r="W154" s="2">
        <f>$E$6*$F$6/7*MAX(节奏总纲!D152-$C$1,0)</f>
        <v>2179473.2190484372</v>
      </c>
      <c r="X154" s="2">
        <f>$E$6*$F$6/7*MAX(节奏总纲!E152-$C$1,0)</f>
        <v>1839898.7049149766</v>
      </c>
      <c r="Y154" s="2">
        <f>$E$6*$F$6/7*MAX(节奏总纲!F152-$C$1,0)</f>
        <v>1461453.2817681681</v>
      </c>
      <c r="Z154" s="2">
        <f>$E$6*$F$6/7*MAX(节奏总纲!G152-$C$1,0)</f>
        <v>1034965.1620880084</v>
      </c>
      <c r="AA154" s="2">
        <f>$E$6*$F$6/7*MAX(节奏总纲!H152-$C$1,0)</f>
        <v>550607.43067449355</v>
      </c>
      <c r="AB154" s="2">
        <f>($E$9*$F$9*3600+$E$10*$F$10*1200)/7*MAX(节奏总纲!D152-$C$1,0)</f>
        <v>183075750.40006873</v>
      </c>
      <c r="AC154" s="2">
        <f>($E$9*$F$9*3600+$E$10*$F$10*1200)/7*MAX(节奏总纲!E152-$C$1,0)</f>
        <v>154551491.21285805</v>
      </c>
      <c r="AD154" s="2">
        <f>($E$9*$F$9*3600+$E$10*$F$10*1200)/7*MAX(节奏总纲!F152-$C$1,0)</f>
        <v>122762075.66852613</v>
      </c>
      <c r="AE154" s="2">
        <f>($E$9*$F$9*3600+$E$10*$F$10*1200)/7*MAX(节奏总纲!G152-$C$1,0)</f>
        <v>86937073.6153927</v>
      </c>
      <c r="AF154" s="2">
        <f>($E$9*$F$9*3600+$E$10*$F$10*1200)/7*MAX(节奏总纲!H152-$C$1,0)</f>
        <v>46251024.176657461</v>
      </c>
      <c r="AK154" s="2">
        <v>149</v>
      </c>
      <c r="AL154" s="2">
        <f>'奖励（新）'!CT156</f>
        <v>11837226.601209922</v>
      </c>
      <c r="AM154" s="2">
        <f>'奖励（新）'!CU156</f>
        <v>10128415.533730313</v>
      </c>
      <c r="AN154" s="2">
        <f>'奖励（新）'!CV156</f>
        <v>8475628.2379365973</v>
      </c>
      <c r="AO154" s="2">
        <f>'奖励（新）'!CW156</f>
        <v>7145512.899895289</v>
      </c>
      <c r="AP154" s="2">
        <f>'奖励（新）'!CX156</f>
        <v>4409686.6886237795</v>
      </c>
      <c r="AV154" s="2">
        <v>149</v>
      </c>
      <c r="AW154" s="2">
        <f>SUMPRODUCT($F$5:$F$12,$H$5:$H$12,J$5:J$12)/7*MAX(节奏总纲!D152-'奖励（新）'!$E$2,0)</f>
        <v>17653733.074292339</v>
      </c>
      <c r="AX154" s="2">
        <f>SUMPRODUCT($F$5:$F$12,$H$5:$H$12,K$5:K$12)/7*MAX(节奏总纲!E152-'奖励（新）'!$E$2,0)</f>
        <v>14903179.50981131</v>
      </c>
      <c r="AY154" s="2">
        <f>SUMPRODUCT($F$5:$F$12,$H$5:$H$12,L$5:L$12)/7*MAX(节奏总纲!F152-'奖励（新）'!$E$2,0)</f>
        <v>11837771.582322162</v>
      </c>
      <c r="AZ154" s="2">
        <f>SUMPRODUCT($F$5:$F$12,$H$5:$H$12,M$5:M$12)/7*MAX(节奏总纲!G152-'奖励（新）'!$E$2,0)</f>
        <v>8383217.8129128674</v>
      </c>
      <c r="BA154" s="2">
        <f>SUMPRODUCT($F$5:$F$12,$H$5:$H$12,N$5:N$12)/7*MAX(节奏总纲!H152-'奖励（新）'!$E$2,0)</f>
        <v>4459920.1884633983</v>
      </c>
      <c r="BE154" s="2">
        <v>149</v>
      </c>
      <c r="BF154" s="41">
        <f t="shared" si="17"/>
        <v>0.67052257737189247</v>
      </c>
      <c r="BG154" s="41">
        <f t="shared" si="18"/>
        <v>0.67961440892947744</v>
      </c>
      <c r="BH154" s="41">
        <f t="shared" si="19"/>
        <v>0.71598173515981733</v>
      </c>
      <c r="BI154" s="41">
        <f t="shared" si="20"/>
        <v>0.85235920852359193</v>
      </c>
      <c r="BJ154" s="41">
        <f t="shared" si="21"/>
        <v>0.98873668188736663</v>
      </c>
      <c r="BK154" s="2">
        <f>(AW154-AL154)*'奖励（新）'!$D$17</f>
        <v>29082532.365412086</v>
      </c>
      <c r="BL154" s="2">
        <f>(AX154-AM154)*'奖励（新）'!$D$17</f>
        <v>23873819.880404986</v>
      </c>
      <c r="BM154" s="2">
        <f>(AY154-AN154)*'奖励（新）'!$D$17</f>
        <v>16810716.721927822</v>
      </c>
      <c r="BN154" s="2">
        <f>(AZ154-AO154)*'奖励（新）'!$D$17</f>
        <v>6188524.5650878921</v>
      </c>
      <c r="BO154" s="2">
        <f>(BA154-AP154)*'奖励（新）'!$D$17</f>
        <v>251167.49919809401</v>
      </c>
    </row>
    <row r="155" spans="17:67" x14ac:dyDescent="0.2">
      <c r="Q155" s="2">
        <v>150</v>
      </c>
      <c r="R155" s="2">
        <f>$E$5*$F$5/7*MAX(节奏总纲!D153-$C$1,0)</f>
        <v>233621.42857142858</v>
      </c>
      <c r="S155" s="2">
        <f>$E$5*$F$5/7*MAX(节奏总纲!E153-$C$1,0)</f>
        <v>197226.65357142859</v>
      </c>
      <c r="T155" s="2">
        <f>$E$5*$F$5/7*MAX(节奏总纲!F153-$C$1,0)</f>
        <v>156689.19357142856</v>
      </c>
      <c r="U155" s="2">
        <f>$E$5*$F$5/7*MAX(节奏总纲!G153-$C$1,0)</f>
        <v>111026.03857142858</v>
      </c>
      <c r="V155" s="2">
        <f>$E$5*$F$5/7*MAX(节奏总纲!H153-$C$1,0)</f>
        <v>59254.17857142858</v>
      </c>
      <c r="W155" s="2">
        <f>$E$6*$F$6/7*MAX(节奏总纲!D153-$C$1,0)</f>
        <v>2336214.2857142859</v>
      </c>
      <c r="X155" s="2">
        <f>$E$6*$F$6/7*MAX(节奏总纲!E153-$C$1,0)</f>
        <v>1972266.5357142859</v>
      </c>
      <c r="Y155" s="2">
        <f>$E$6*$F$6/7*MAX(节奏总纲!F153-$C$1,0)</f>
        <v>1566891.9357142856</v>
      </c>
      <c r="Z155" s="2">
        <f>$E$6*$F$6/7*MAX(节奏总纲!G153-$C$1,0)</f>
        <v>1110260.3857142858</v>
      </c>
      <c r="AA155" s="2">
        <f>$E$6*$F$6/7*MAX(节奏总纲!H153-$C$1,0)</f>
        <v>592541.7857142858</v>
      </c>
      <c r="AB155" s="2">
        <f>($E$9*$F$9*3600+$E$10*$F$10*1200)/7*MAX(节奏总纲!D153-$C$1,0)</f>
        <v>196242000</v>
      </c>
      <c r="AC155" s="2">
        <f>($E$9*$F$9*3600+$E$10*$F$10*1200)/7*MAX(节奏总纲!E153-$C$1,0)</f>
        <v>165670389</v>
      </c>
      <c r="AD155" s="2">
        <f>($E$9*$F$9*3600+$E$10*$F$10*1200)/7*MAX(节奏总纲!F153-$C$1,0)</f>
        <v>131618922.59999999</v>
      </c>
      <c r="AE155" s="2">
        <f>($E$9*$F$9*3600+$E$10*$F$10*1200)/7*MAX(节奏总纲!G153-$C$1,0)</f>
        <v>93261872.400000006</v>
      </c>
      <c r="AF155" s="2">
        <f>($E$9*$F$9*3600+$E$10*$F$10*1200)/7*MAX(节奏总纲!H153-$C$1,0)</f>
        <v>49773510.000000007</v>
      </c>
      <c r="AK155" s="2">
        <v>150</v>
      </c>
      <c r="AL155" s="2">
        <f>'奖励（新）'!CT157</f>
        <v>12688523.83561644</v>
      </c>
      <c r="AM155" s="2">
        <f>'奖励（新）'!CU157</f>
        <v>10857084.122958902</v>
      </c>
      <c r="AN155" s="2">
        <f>'奖励（新）'!CV157</f>
        <v>9087114.6562191769</v>
      </c>
      <c r="AO155" s="2">
        <f>'奖励（新）'!CW157</f>
        <v>7665359.3753424659</v>
      </c>
      <c r="AP155" s="2">
        <f>'奖励（新）'!CX157</f>
        <v>4745529.1726027401</v>
      </c>
      <c r="AV155" s="2">
        <v>150</v>
      </c>
      <c r="AW155" s="2">
        <f>SUMPRODUCT($F$5:$F$12,$H$5:$H$12,J$5:J$12)/7*MAX(节奏总纲!D153-'奖励（新）'!$E$2,0)</f>
        <v>18923335.714285713</v>
      </c>
      <c r="AX155" s="2">
        <f>SUMPRODUCT($F$5:$F$12,$H$5:$H$12,K$5:K$12)/7*MAX(节奏总纲!E153-'奖励（新）'!$E$2,0)</f>
        <v>15975358.939285714</v>
      </c>
      <c r="AY155" s="2">
        <f>SUMPRODUCT($F$5:$F$12,$H$5:$H$12,L$5:L$12)/7*MAX(节奏总纲!F153-'奖励（新）'!$E$2,0)</f>
        <v>12691824.679285713</v>
      </c>
      <c r="AZ155" s="2">
        <f>SUMPRODUCT($F$5:$F$12,$H$5:$H$12,M$5:M$12)/7*MAX(节奏总纲!G153-'奖励（新）'!$E$2,0)</f>
        <v>8993109.1242857147</v>
      </c>
      <c r="BA155" s="2">
        <f>SUMPRODUCT($F$5:$F$12,$H$5:$H$12,N$5:N$12)/7*MAX(节奏总纲!H153-'奖励（新）'!$E$2,0)</f>
        <v>4799588.4642857146</v>
      </c>
      <c r="BE155" s="2">
        <v>150</v>
      </c>
      <c r="BF155" s="41">
        <f t="shared" si="17"/>
        <v>0.67052257737189258</v>
      </c>
      <c r="BG155" s="41">
        <f t="shared" si="18"/>
        <v>0.67961440892947733</v>
      </c>
      <c r="BH155" s="41">
        <f t="shared" si="19"/>
        <v>0.71598173515981733</v>
      </c>
      <c r="BI155" s="41">
        <f t="shared" si="20"/>
        <v>0.85235920852359204</v>
      </c>
      <c r="BJ155" s="41">
        <f t="shared" si="21"/>
        <v>0.98873668188736685</v>
      </c>
      <c r="BK155" s="2">
        <f>(AW155-AL155)*'奖励（新）'!$D$17</f>
        <v>31174059.393346366</v>
      </c>
      <c r="BL155" s="2">
        <f>(AX155-AM155)*'奖励（新）'!$D$17</f>
        <v>25591374.08163406</v>
      </c>
      <c r="BM155" s="2">
        <f>(AY155-AN155)*'奖励（新）'!$D$17</f>
        <v>18023550.115332678</v>
      </c>
      <c r="BN155" s="2">
        <f>(AZ155-AO155)*'奖励（新）'!$D$17</f>
        <v>6638748.7447162438</v>
      </c>
      <c r="BO155" s="2">
        <f>(BA155-AP155)*'奖励（新）'!$D$17</f>
        <v>270296.45841487218</v>
      </c>
    </row>
    <row r="156" spans="17:67" x14ac:dyDescent="0.2">
      <c r="Q156" s="2">
        <v>151</v>
      </c>
      <c r="R156" s="2">
        <f>$E$5*$F$5/7*MAX(节奏总纲!D154-$C$1,0)</f>
        <v>250420.52014563722</v>
      </c>
      <c r="S156" s="2">
        <f>$E$5*$F$5/7*MAX(节奏总纲!E154-$C$1,0)</f>
        <v>211513.82604247748</v>
      </c>
      <c r="T156" s="2">
        <f>$E$5*$F$5/7*MAX(节奏总纲!F154-$C$1,0)</f>
        <v>168091.84829098193</v>
      </c>
      <c r="U156" s="2">
        <f>$E$5*$F$5/7*MAX(节奏总纲!G154-$C$1,0)</f>
        <v>119602.71888968741</v>
      </c>
      <c r="V156" s="2">
        <f>$E$5*$F$5/7*MAX(节奏总纲!H154-$C$1,0)</f>
        <v>64541.343289148608</v>
      </c>
      <c r="W156" s="2">
        <f>$E$6*$F$6/7*MAX(节奏总纲!D154-$C$1,0)</f>
        <v>2504205.2014563722</v>
      </c>
      <c r="X156" s="2">
        <f>$E$6*$F$6/7*MAX(节奏总纲!E154-$C$1,0)</f>
        <v>2115138.2604247746</v>
      </c>
      <c r="Y156" s="2">
        <f>$E$6*$F$6/7*MAX(节奏总纲!F154-$C$1,0)</f>
        <v>1680918.4829098191</v>
      </c>
      <c r="Z156" s="2">
        <f>$E$6*$F$6/7*MAX(节奏总纲!G154-$C$1,0)</f>
        <v>1196027.1888968742</v>
      </c>
      <c r="AA156" s="2">
        <f>$E$6*$F$6/7*MAX(节奏总纲!H154-$C$1,0)</f>
        <v>645413.4328914861</v>
      </c>
      <c r="AB156" s="2">
        <f>($E$9*$F$9*3600+$E$10*$F$10*1200)/7*MAX(节奏总纲!D154-$C$1,0)</f>
        <v>210353236.92233527</v>
      </c>
      <c r="AC156" s="2">
        <f>($E$9*$F$9*3600+$E$10*$F$10*1200)/7*MAX(节奏总纲!E154-$C$1,0)</f>
        <v>177671613.87568107</v>
      </c>
      <c r="AD156" s="2">
        <f>($E$9*$F$9*3600+$E$10*$F$10*1200)/7*MAX(节奏总纲!F154-$C$1,0)</f>
        <v>141197152.56442481</v>
      </c>
      <c r="AE156" s="2">
        <f>($E$9*$F$9*3600+$E$10*$F$10*1200)/7*MAX(节奏总纲!G154-$C$1,0)</f>
        <v>100466283.86733742</v>
      </c>
      <c r="AF156" s="2">
        <f>($E$9*$F$9*3600+$E$10*$F$10*1200)/7*MAX(节奏总纲!H154-$C$1,0)</f>
        <v>54214728.362884834</v>
      </c>
      <c r="AK156" s="2">
        <v>151</v>
      </c>
      <c r="AL156" s="2">
        <f>'奖励（新）'!CT158</f>
        <v>13600921.620183866</v>
      </c>
      <c r="AM156" s="2">
        <f>'奖励（新）'!CU158</f>
        <v>11643575.353167919</v>
      </c>
      <c r="AN156" s="2">
        <f>'奖励（新）'!CV158</f>
        <v>9748406.1496534385</v>
      </c>
      <c r="AO156" s="2">
        <f>'奖励（新）'!CW158</f>
        <v>8257502.7836167738</v>
      </c>
      <c r="AP156" s="2">
        <f>'奖励（新）'!CX158</f>
        <v>5168965.8822695669</v>
      </c>
      <c r="AV156" s="2">
        <v>151</v>
      </c>
      <c r="AW156" s="2">
        <f>SUMPRODUCT($F$5:$F$12,$H$5:$H$12,J$5:J$12)/7*MAX(节奏总纲!D154-'奖励（新）'!$E$2,0)</f>
        <v>20284062.131796613</v>
      </c>
      <c r="AX156" s="2">
        <f>SUMPRODUCT($F$5:$F$12,$H$5:$H$12,K$5:K$12)/7*MAX(节奏总纲!E154-'奖励（新）'!$E$2,0)</f>
        <v>17132619.909440674</v>
      </c>
      <c r="AY156" s="2">
        <f>SUMPRODUCT($F$5:$F$12,$H$5:$H$12,L$5:L$12)/7*MAX(节奏总纲!F154-'奖励（新）'!$E$2,0)</f>
        <v>13615439.711569535</v>
      </c>
      <c r="AZ156" s="2">
        <f>SUMPRODUCT($F$5:$F$12,$H$5:$H$12,M$5:M$12)/7*MAX(节奏总纲!G154-'奖励（新）'!$E$2,0)</f>
        <v>9687820.2300646789</v>
      </c>
      <c r="BA156" s="2">
        <f>SUMPRODUCT($F$5:$F$12,$H$5:$H$12,N$5:N$12)/7*MAX(节奏总纲!H154-'奖励（新）'!$E$2,0)</f>
        <v>5227848.8064210368</v>
      </c>
      <c r="BE156" s="2">
        <v>151</v>
      </c>
      <c r="BF156" s="41">
        <f t="shared" si="17"/>
        <v>0.67052257737189236</v>
      </c>
      <c r="BG156" s="41">
        <f t="shared" si="18"/>
        <v>0.67961440892947733</v>
      </c>
      <c r="BH156" s="41">
        <f t="shared" si="19"/>
        <v>0.71598173515981733</v>
      </c>
      <c r="BI156" s="41">
        <f t="shared" si="20"/>
        <v>0.85235920852359215</v>
      </c>
      <c r="BJ156" s="41">
        <f t="shared" si="21"/>
        <v>0.98873668188736674</v>
      </c>
      <c r="BK156" s="2">
        <f>(AW156-AL156)*'奖励（新）'!$D$17</f>
        <v>33415702.558063734</v>
      </c>
      <c r="BL156" s="2">
        <f>(AX156-AM156)*'奖励（新）'!$D$17</f>
        <v>27445222.78136377</v>
      </c>
      <c r="BM156" s="2">
        <f>(AY156-AN156)*'奖励（新）'!$D$17</f>
        <v>19335167.809580483</v>
      </c>
      <c r="BN156" s="2">
        <f>(AZ156-AO156)*'奖励（新）'!$D$17</f>
        <v>7151587.2322395258</v>
      </c>
      <c r="BO156" s="2">
        <f>(BA156-AP156)*'奖励（新）'!$D$17</f>
        <v>294414.62075734977</v>
      </c>
    </row>
    <row r="157" spans="17:67" x14ac:dyDescent="0.2">
      <c r="Q157" s="2">
        <v>152</v>
      </c>
      <c r="R157" s="2">
        <f>$E$5*$F$5/7*MAX(节奏总纲!D155-$C$1,0)</f>
        <v>268425.3406895916</v>
      </c>
      <c r="S157" s="2">
        <f>$E$5*$F$5/7*MAX(节奏总纲!E155-$C$1,0)</f>
        <v>226672.3281376409</v>
      </c>
      <c r="T157" s="2">
        <f>$E$5*$F$5/7*MAX(节奏总纲!F155-$C$1,0)</f>
        <v>181182.24620724769</v>
      </c>
      <c r="U157" s="2">
        <f>$E$5*$F$5/7*MAX(节奏总纲!G155-$C$1,0)</f>
        <v>129965.57594873765</v>
      </c>
      <c r="V157" s="2">
        <f>$E$5*$F$5/7*MAX(节奏总纲!H155-$C$1,0)</f>
        <v>100391.64561573972</v>
      </c>
      <c r="W157" s="2">
        <f>$E$6*$F$6/7*MAX(节奏总纲!D155-$C$1,0)</f>
        <v>2684253.406895916</v>
      </c>
      <c r="X157" s="2">
        <f>$E$6*$F$6/7*MAX(节奏总纲!E155-$C$1,0)</f>
        <v>2266723.2813764089</v>
      </c>
      <c r="Y157" s="2">
        <f>$E$6*$F$6/7*MAX(节奏总纲!F155-$C$1,0)</f>
        <v>1811822.462072477</v>
      </c>
      <c r="Z157" s="2">
        <f>$E$6*$F$6/7*MAX(节奏总纲!G155-$C$1,0)</f>
        <v>1299655.7594873765</v>
      </c>
      <c r="AA157" s="2">
        <f>$E$6*$F$6/7*MAX(节奏总纲!H155-$C$1,0)</f>
        <v>1003916.4561573971</v>
      </c>
      <c r="AB157" s="2">
        <f>($E$9*$F$9*3600+$E$10*$F$10*1200)/7*MAX(节奏总纲!D155-$C$1,0)</f>
        <v>225477286.17925695</v>
      </c>
      <c r="AC157" s="2">
        <f>($E$9*$F$9*3600+$E$10*$F$10*1200)/7*MAX(节奏总纲!E155-$C$1,0)</f>
        <v>190404755.63561836</v>
      </c>
      <c r="AD157" s="2">
        <f>($E$9*$F$9*3600+$E$10*$F$10*1200)/7*MAX(节奏总纲!F155-$C$1,0)</f>
        <v>152193086.81408808</v>
      </c>
      <c r="AE157" s="2">
        <f>($E$9*$F$9*3600+$E$10*$F$10*1200)/7*MAX(节奏总纲!G155-$C$1,0)</f>
        <v>109171083.79693963</v>
      </c>
      <c r="AF157" s="2">
        <f>($E$9*$F$9*3600+$E$10*$F$10*1200)/7*MAX(节奏总纲!H155-$C$1,0)</f>
        <v>84328982.317221358</v>
      </c>
      <c r="AK157" s="2">
        <v>152</v>
      </c>
      <c r="AL157" s="2">
        <f>'奖励（新）'!CT159</f>
        <v>14578805.352960175</v>
      </c>
      <c r="AM157" s="2">
        <f>'奖励（新）'!CU159</f>
        <v>12478032.204942441</v>
      </c>
      <c r="AN157" s="2">
        <f>'奖励（新）'!CV159</f>
        <v>10507577.500589093</v>
      </c>
      <c r="AO157" s="2">
        <f>'奖励（新）'!CW159</f>
        <v>8972965.7915292829</v>
      </c>
      <c r="AP157" s="2">
        <f>'奖励（新）'!CX159</f>
        <v>8040133.1086008297</v>
      </c>
      <c r="AV157" s="2">
        <v>152</v>
      </c>
      <c r="AW157" s="2">
        <f>SUMPRODUCT($F$5:$F$12,$H$5:$H$12,J$5:J$12)/7*MAX(节奏总纲!D155-'奖励（新）'!$E$2,0)</f>
        <v>21742452.59585692</v>
      </c>
      <c r="AX157" s="2">
        <f>SUMPRODUCT($F$5:$F$12,$H$5:$H$12,K$5:K$12)/7*MAX(节奏总纲!E155-'奖励（新）'!$E$2,0)</f>
        <v>18360458.579148911</v>
      </c>
      <c r="AY157" s="2">
        <f>SUMPRODUCT($F$5:$F$12,$H$5:$H$12,L$5:L$12)/7*MAX(节奏总纲!F155-'奖励（新）'!$E$2,0)</f>
        <v>14675761.942787062</v>
      </c>
      <c r="AZ157" s="2">
        <f>SUMPRODUCT($F$5:$F$12,$H$5:$H$12,M$5:M$12)/7*MAX(节奏总纲!G155-'奖励（新）'!$E$2,0)</f>
        <v>10527211.65184775</v>
      </c>
      <c r="BA157" s="2">
        <f>SUMPRODUCT($F$5:$F$12,$H$5:$H$12,N$5:N$12)/7*MAX(节奏总纲!H155-'奖励（新）'!$E$2,0)</f>
        <v>8131723.2948749159</v>
      </c>
      <c r="BE157" s="2">
        <v>152</v>
      </c>
      <c r="BF157" s="41">
        <f t="shared" si="17"/>
        <v>0.67052257737189247</v>
      </c>
      <c r="BG157" s="41">
        <f t="shared" si="18"/>
        <v>0.67961440892947744</v>
      </c>
      <c r="BH157" s="41">
        <f t="shared" si="19"/>
        <v>0.71598173515981733</v>
      </c>
      <c r="BI157" s="41">
        <f t="shared" si="20"/>
        <v>0.85235920852359193</v>
      </c>
      <c r="BJ157" s="41">
        <f t="shared" si="21"/>
        <v>0.98873668188736674</v>
      </c>
      <c r="BK157" s="2">
        <f>(AW157-AL157)*'奖励（新）'!$D$17</f>
        <v>35818236.214483723</v>
      </c>
      <c r="BL157" s="2">
        <f>(AX157-AM157)*'奖励（新）'!$D$17</f>
        <v>29412131.87103235</v>
      </c>
      <c r="BM157" s="2">
        <f>(AY157-AN157)*'奖励（新）'!$D$17</f>
        <v>20840922.210989848</v>
      </c>
      <c r="BN157" s="2">
        <f>(AZ157-AO157)*'奖励（新）'!$D$17</f>
        <v>7771229.3015923351</v>
      </c>
      <c r="BO157" s="2">
        <f>(BA157-AP157)*'奖励（新）'!$D$17</f>
        <v>457950.93137043063</v>
      </c>
    </row>
    <row r="158" spans="17:67" x14ac:dyDescent="0.2">
      <c r="Q158" s="2">
        <v>153</v>
      </c>
      <c r="R158" s="2">
        <f>$E$5*$F$5/7*MAX(节奏总纲!D156-$C$1,0)</f>
        <v>287722.42954633024</v>
      </c>
      <c r="S158" s="2">
        <f>$E$5*$F$5/7*MAX(节奏总纲!E156-$C$1,0)</f>
        <v>244787.93040106987</v>
      </c>
      <c r="T158" s="2">
        <f>$E$5*$F$5/7*MAX(节奏总纲!F156-$C$1,0)</f>
        <v>196378.56223728642</v>
      </c>
      <c r="U158" s="2">
        <f>$E$5*$F$5/7*MAX(节奏总纲!G156-$C$1,0)</f>
        <v>172462.02915636956</v>
      </c>
      <c r="V158" s="2">
        <f>$E$5*$F$5/7*MAX(节奏总纲!H156-$C$1,0)</f>
        <v>172462.02915636956</v>
      </c>
      <c r="W158" s="2">
        <f>$E$6*$F$6/7*MAX(节奏总纲!D156-$C$1,0)</f>
        <v>2877224.2954633022</v>
      </c>
      <c r="X158" s="2">
        <f>$E$6*$F$6/7*MAX(节奏总纲!E156-$C$1,0)</f>
        <v>2447879.3040106986</v>
      </c>
      <c r="Y158" s="2">
        <f>$E$6*$F$6/7*MAX(节奏总纲!F156-$C$1,0)</f>
        <v>1963785.6223728643</v>
      </c>
      <c r="Z158" s="2">
        <f>$E$6*$F$6/7*MAX(节奏总纲!G156-$C$1,0)</f>
        <v>1724620.2915636955</v>
      </c>
      <c r="AA158" s="2">
        <f>$E$6*$F$6/7*MAX(节奏总纲!H156-$C$1,0)</f>
        <v>1724620.2915636955</v>
      </c>
      <c r="AB158" s="2">
        <f>($E$9*$F$9*3600+$E$10*$F$10*1200)/7*MAX(节奏总纲!D156-$C$1,0)</f>
        <v>241686840.81891739</v>
      </c>
      <c r="AC158" s="2">
        <f>($E$9*$F$9*3600+$E$10*$F$10*1200)/7*MAX(节奏总纲!E156-$C$1,0)</f>
        <v>205621861.53689867</v>
      </c>
      <c r="AD158" s="2">
        <f>($E$9*$F$9*3600+$E$10*$F$10*1200)/7*MAX(节奏总纲!F156-$C$1,0)</f>
        <v>164957992.2793206</v>
      </c>
      <c r="AE158" s="2">
        <f>($E$9*$F$9*3600+$E$10*$F$10*1200)/7*MAX(节奏总纲!G156-$C$1,0)</f>
        <v>144868104.49135041</v>
      </c>
      <c r="AF158" s="2">
        <f>($E$9*$F$9*3600+$E$10*$F$10*1200)/7*MAX(节奏总纲!H156-$C$1,0)</f>
        <v>144868104.49135041</v>
      </c>
      <c r="AK158" s="2">
        <v>153</v>
      </c>
      <c r="AL158" s="2">
        <f>'奖励（新）'!CT160</f>
        <v>15626875.187195754</v>
      </c>
      <c r="AM158" s="2">
        <f>'奖励（新）'!CU160</f>
        <v>13475273.775240041</v>
      </c>
      <c r="AN158" s="2">
        <f>'奖励（新）'!CV160</f>
        <v>11388880.562846243</v>
      </c>
      <c r="AO158" s="2">
        <f>'奖励（新）'!CW160</f>
        <v>11906967.492439758</v>
      </c>
      <c r="AP158" s="2">
        <f>'奖励（新）'!CX160</f>
        <v>13812082.29123012</v>
      </c>
      <c r="AV158" s="2">
        <v>153</v>
      </c>
      <c r="AW158" s="2">
        <f>SUMPRODUCT($F$5:$F$12,$H$5:$H$12,J$5:J$12)/7*MAX(节奏总纲!D156-'奖励（新）'!$E$2,0)</f>
        <v>23305516.793252748</v>
      </c>
      <c r="AX158" s="2">
        <f>SUMPRODUCT($F$5:$F$12,$H$5:$H$12,K$5:K$12)/7*MAX(节奏总纲!E156-'奖励（新）'!$E$2,0)</f>
        <v>19827822.362486657</v>
      </c>
      <c r="AY158" s="2">
        <f>SUMPRODUCT($F$5:$F$12,$H$5:$H$12,L$5:L$12)/7*MAX(节奏总纲!F156-'奖励（新）'!$E$2,0)</f>
        <v>15906663.541220199</v>
      </c>
      <c r="AZ158" s="2">
        <f>SUMPRODUCT($F$5:$F$12,$H$5:$H$12,M$5:M$12)/7*MAX(节奏总纲!G156-'奖励（新）'!$E$2,0)</f>
        <v>13969424.361665932</v>
      </c>
      <c r="BA158" s="2">
        <f>SUMPRODUCT($F$5:$F$12,$H$5:$H$12,N$5:N$12)/7*MAX(节奏总纲!H156-'奖励（新）'!$E$2,0)</f>
        <v>13969424.361665932</v>
      </c>
      <c r="BE158" s="2">
        <v>153</v>
      </c>
      <c r="BF158" s="41">
        <f t="shared" si="17"/>
        <v>0.67052257737189247</v>
      </c>
      <c r="BG158" s="41">
        <f t="shared" si="18"/>
        <v>0.67961440892947733</v>
      </c>
      <c r="BH158" s="41">
        <f t="shared" si="19"/>
        <v>0.71598173515981733</v>
      </c>
      <c r="BI158" s="41">
        <f t="shared" si="20"/>
        <v>0.85235920852359193</v>
      </c>
      <c r="BJ158" s="41">
        <f t="shared" si="21"/>
        <v>0.98873668188736674</v>
      </c>
      <c r="BK158" s="2">
        <f>(AW158-AL158)*'奖励（新）'!$D$17</f>
        <v>38393208.030284971</v>
      </c>
      <c r="BL158" s="2">
        <f>(AX158-AM158)*'奖励（新）'!$D$17</f>
        <v>31762742.936233077</v>
      </c>
      <c r="BM158" s="2">
        <f>(AY158-AN158)*'奖励（新）'!$D$17</f>
        <v>22588914.89186978</v>
      </c>
      <c r="BN158" s="2">
        <f>(AZ158-AO158)*'奖励（新）'!$D$17</f>
        <v>10312284.346130872</v>
      </c>
      <c r="BO158" s="2">
        <f>(BA158-AP158)*'奖励（新）'!$D$17</f>
        <v>786710.35217906348</v>
      </c>
    </row>
    <row r="159" spans="17:67" x14ac:dyDescent="0.2">
      <c r="Q159" s="2">
        <v>154</v>
      </c>
      <c r="R159" s="2">
        <f>$E$5*$F$5/7*MAX(节奏总纲!D157-$C$1,0)</f>
        <v>308404.53728718701</v>
      </c>
      <c r="S159" s="2">
        <f>$E$5*$F$5/7*MAX(节奏总纲!E157-$C$1,0)</f>
        <v>263623.7365234021</v>
      </c>
      <c r="T159" s="2">
        <f>$E$5*$F$5/7*MAX(节奏总纲!F157-$C$1,0)</f>
        <v>242005.41891329898</v>
      </c>
      <c r="U159" s="2">
        <f>$E$5*$F$5/7*MAX(节奏总纲!G157-$C$1,0)</f>
        <v>243549.58445687778</v>
      </c>
      <c r="V159" s="2">
        <f>$E$5*$F$5/7*MAX(节奏总纲!H157-$C$1,0)</f>
        <v>243549.58445687778</v>
      </c>
      <c r="W159" s="2">
        <f>$E$6*$F$6/7*MAX(节奏总纲!D157-$C$1,0)</f>
        <v>3084045.3728718702</v>
      </c>
      <c r="X159" s="2">
        <f>$E$6*$F$6/7*MAX(节奏总纲!E157-$C$1,0)</f>
        <v>2636237.3652340206</v>
      </c>
      <c r="Y159" s="2">
        <f>$E$6*$F$6/7*MAX(节奏总纲!F157-$C$1,0)</f>
        <v>2420054.1891329898</v>
      </c>
      <c r="Z159" s="2">
        <f>$E$6*$F$6/7*MAX(节奏总纲!G157-$C$1,0)</f>
        <v>2435495.8445687778</v>
      </c>
      <c r="AA159" s="2">
        <f>$E$6*$F$6/7*MAX(节奏总纲!H157-$C$1,0)</f>
        <v>2435495.8445687778</v>
      </c>
      <c r="AB159" s="2">
        <f>($E$9*$F$9*3600+$E$10*$F$10*1200)/7*MAX(节奏总纲!D157-$C$1,0)</f>
        <v>259059811.32123709</v>
      </c>
      <c r="AC159" s="2">
        <f>($E$9*$F$9*3600+$E$10*$F$10*1200)/7*MAX(节奏总纲!E157-$C$1,0)</f>
        <v>221443938.67965773</v>
      </c>
      <c r="AD159" s="2">
        <f>($E$9*$F$9*3600+$E$10*$F$10*1200)/7*MAX(节奏总纲!F157-$C$1,0)</f>
        <v>203284551.88717112</v>
      </c>
      <c r="AE159" s="2">
        <f>($E$9*$F$9*3600+$E$10*$F$10*1200)/7*MAX(节奏总纲!G157-$C$1,0)</f>
        <v>204581650.94377732</v>
      </c>
      <c r="AF159" s="2">
        <f>($E$9*$F$9*3600+$E$10*$F$10*1200)/7*MAX(节奏总纲!H157-$C$1,0)</f>
        <v>204581650.94377732</v>
      </c>
      <c r="AK159" s="2">
        <v>154</v>
      </c>
      <c r="AL159" s="2">
        <f>'奖励（新）'!CT161</f>
        <v>16750168.622414231</v>
      </c>
      <c r="AM159" s="2">
        <f>'奖励（新）'!CU161</f>
        <v>14512161.680047706</v>
      </c>
      <c r="AN159" s="2">
        <f>'奖励（新）'!CV161</f>
        <v>14034988.239881402</v>
      </c>
      <c r="AO159" s="2">
        <f>'奖励（新）'!CW161</f>
        <v>16814930.214557037</v>
      </c>
      <c r="AP159" s="2">
        <f>'奖励（新）'!CX161</f>
        <v>19505319.048886165</v>
      </c>
      <c r="AV159" s="2">
        <v>154</v>
      </c>
      <c r="AW159" s="2">
        <f>SUMPRODUCT($F$5:$F$12,$H$5:$H$12,J$5:J$12)/7*MAX(节奏总纲!D157-'奖励（新）'!$E$2,0)</f>
        <v>24980767.520262148</v>
      </c>
      <c r="AX159" s="2">
        <f>SUMPRODUCT($F$5:$F$12,$H$5:$H$12,K$5:K$12)/7*MAX(节奏总纲!E157-'奖励（新）'!$E$2,0)</f>
        <v>21353522.658395566</v>
      </c>
      <c r="AY159" s="2">
        <f>SUMPRODUCT($F$5:$F$12,$H$5:$H$12,L$5:L$12)/7*MAX(节奏总纲!F157-'奖励（新）'!$E$2,0)</f>
        <v>19602438.931977216</v>
      </c>
      <c r="AZ159" s="2">
        <f>SUMPRODUCT($F$5:$F$12,$H$5:$H$12,M$5:M$12)/7*MAX(节奏总纲!G157-'奖励（新）'!$E$2,0)</f>
        <v>19727516.341007099</v>
      </c>
      <c r="BA159" s="2">
        <f>SUMPRODUCT($F$5:$F$12,$H$5:$H$12,N$5:N$12)/7*MAX(节奏总纲!H157-'奖励（新）'!$E$2,0)</f>
        <v>19727516.341007099</v>
      </c>
      <c r="BE159" s="2">
        <v>154</v>
      </c>
      <c r="BF159" s="41">
        <f t="shared" si="17"/>
        <v>0.67052257737189236</v>
      </c>
      <c r="BG159" s="41">
        <f t="shared" si="18"/>
        <v>0.67961440892947744</v>
      </c>
      <c r="BH159" s="41">
        <f t="shared" si="19"/>
        <v>0.71598173515981722</v>
      </c>
      <c r="BI159" s="41">
        <f t="shared" si="20"/>
        <v>0.85235920852359193</v>
      </c>
      <c r="BJ159" s="41">
        <f t="shared" si="21"/>
        <v>0.98873668188736674</v>
      </c>
      <c r="BK159" s="2">
        <f>(AW159-AL159)*'奖励（新）'!$D$17</f>
        <v>41152994.489239588</v>
      </c>
      <c r="BL159" s="2">
        <f>(AX159-AM159)*'奖励（新）'!$D$17</f>
        <v>34206804.891739301</v>
      </c>
      <c r="BM159" s="2">
        <f>(AY159-AN159)*'奖励（新）'!$D$17</f>
        <v>27837253.460479073</v>
      </c>
      <c r="BN159" s="2">
        <f>(AZ159-AO159)*'奖励（新）'!$D$17</f>
        <v>14562930.632250309</v>
      </c>
      <c r="BO159" s="2">
        <f>(BA159-AP159)*'奖励（新）'!$D$17</f>
        <v>1110986.4606046677</v>
      </c>
    </row>
    <row r="160" spans="17:67" x14ac:dyDescent="0.2">
      <c r="Q160" s="2">
        <v>155</v>
      </c>
      <c r="R160" s="2">
        <f>$E$5*$F$5/7*MAX(节奏总纲!D158-$C$1,0)</f>
        <v>330571.07151315431</v>
      </c>
      <c r="S160" s="2">
        <f>$E$5*$F$5/7*MAX(节奏总纲!E158-$C$1,0)</f>
        <v>314418.28893759812</v>
      </c>
      <c r="T160" s="2">
        <f>$E$5*$F$5/7*MAX(节奏总纲!F158-$C$1,0)</f>
        <v>316735.2864381902</v>
      </c>
      <c r="U160" s="2">
        <f>$E$5*$F$5/7*MAX(节奏总纲!G158-$C$1,0)</f>
        <v>316735.2864381902</v>
      </c>
      <c r="V160" s="2">
        <f>$E$5*$F$5/7*MAX(节奏总纲!H158-$C$1,0)</f>
        <v>317728.2853670154</v>
      </c>
      <c r="W160" s="2">
        <f>$E$6*$F$6/7*MAX(节奏总纲!D158-$C$1,0)</f>
        <v>3305710.7151315431</v>
      </c>
      <c r="X160" s="2">
        <f>$E$6*$F$6/7*MAX(节奏总纲!E158-$C$1,0)</f>
        <v>3144182.8893759814</v>
      </c>
      <c r="Y160" s="2">
        <f>$E$6*$F$6/7*MAX(节奏总纲!F158-$C$1,0)</f>
        <v>3167352.8643819019</v>
      </c>
      <c r="Z160" s="2">
        <f>$E$6*$F$6/7*MAX(节奏总纲!G158-$C$1,0)</f>
        <v>3167352.8643819019</v>
      </c>
      <c r="AA160" s="2">
        <f>$E$6*$F$6/7*MAX(节奏总纲!H158-$C$1,0)</f>
        <v>3177282.8536701538</v>
      </c>
      <c r="AB160" s="2">
        <f>($E$9*$F$9*3600+$E$10*$F$10*1200)/7*MAX(节奏总纲!D158-$C$1,0)</f>
        <v>277679700.07104963</v>
      </c>
      <c r="AC160" s="2">
        <f>($E$9*$F$9*3600+$E$10*$F$10*1200)/7*MAX(节奏总纲!E158-$C$1,0)</f>
        <v>264111362.70758241</v>
      </c>
      <c r="AD160" s="2">
        <f>($E$9*$F$9*3600+$E$10*$F$10*1200)/7*MAX(节奏总纲!F158-$C$1,0)</f>
        <v>266057640.60807976</v>
      </c>
      <c r="AE160" s="2">
        <f>($E$9*$F$9*3600+$E$10*$F$10*1200)/7*MAX(节奏总纲!G158-$C$1,0)</f>
        <v>266057640.60807976</v>
      </c>
      <c r="AF160" s="2">
        <f>($E$9*$F$9*3600+$E$10*$F$10*1200)/7*MAX(节奏总纲!H158-$C$1,0)</f>
        <v>266891759.7082929</v>
      </c>
      <c r="AK160" s="2">
        <v>155</v>
      </c>
      <c r="AL160" s="2">
        <f>'奖励（新）'!CT162</f>
        <v>17954084.716922656</v>
      </c>
      <c r="AM160" s="2">
        <f>'奖励（新）'!CU162</f>
        <v>17308339.167028412</v>
      </c>
      <c r="AN160" s="2">
        <f>'奖励（新）'!CV162</f>
        <v>18368911.077598929</v>
      </c>
      <c r="AO160" s="2">
        <f>'奖励（新）'!CW162</f>
        <v>21867751.282855868</v>
      </c>
      <c r="AP160" s="2">
        <f>'奖励（新）'!CX162</f>
        <v>25446118.459859155</v>
      </c>
      <c r="AV160" s="2">
        <v>155</v>
      </c>
      <c r="AW160" s="2">
        <f>SUMPRODUCT($F$5:$F$12,$H$5:$H$12,J$5:J$12)/7*MAX(节奏总纲!D158-'奖励（新）'!$E$2,0)</f>
        <v>26776256.792565499</v>
      </c>
      <c r="AX160" s="2">
        <f>SUMPRODUCT($F$5:$F$12,$H$5:$H$12,K$5:K$12)/7*MAX(节奏总纲!E158-'奖励（新）'!$E$2,0)</f>
        <v>25467881.403945446</v>
      </c>
      <c r="AY160" s="2">
        <f>SUMPRODUCT($F$5:$F$12,$H$5:$H$12,L$5:L$12)/7*MAX(节奏总纲!F158-'奖励（新）'!$E$2,0)</f>
        <v>25655558.201493405</v>
      </c>
      <c r="AZ160" s="2">
        <f>SUMPRODUCT($F$5:$F$12,$H$5:$H$12,M$5:M$12)/7*MAX(节奏总纲!G158-'奖励（新）'!$E$2,0)</f>
        <v>25655558.201493405</v>
      </c>
      <c r="BA160" s="2">
        <f>SUMPRODUCT($F$5:$F$12,$H$5:$H$12,N$5:N$12)/7*MAX(节奏总纲!H158-'奖励（新）'!$E$2,0)</f>
        <v>25735991.114728246</v>
      </c>
      <c r="BE160" s="2">
        <v>155</v>
      </c>
      <c r="BF160" s="41">
        <f t="shared" si="17"/>
        <v>0.67052257737189225</v>
      </c>
      <c r="BG160" s="41">
        <f t="shared" si="18"/>
        <v>0.67961440892947733</v>
      </c>
      <c r="BH160" s="41">
        <f t="shared" si="19"/>
        <v>0.71598173515981733</v>
      </c>
      <c r="BI160" s="41">
        <f t="shared" si="20"/>
        <v>0.85235920852359204</v>
      </c>
      <c r="BJ160" s="41">
        <f t="shared" si="21"/>
        <v>0.98873668188736663</v>
      </c>
      <c r="BK160" s="2">
        <f>(AW160-AL160)*'奖励（新）'!$D$17</f>
        <v>44110860.37821421</v>
      </c>
      <c r="BL160" s="2">
        <f>(AX160-AM160)*'奖励（新）'!$D$17</f>
        <v>40797711.184585169</v>
      </c>
      <c r="BM160" s="2">
        <f>(AY160-AN160)*'奖励（新）'!$D$17</f>
        <v>36433235.619472377</v>
      </c>
      <c r="BN160" s="2">
        <f>(AZ160-AO160)*'奖励（新）'!$D$17</f>
        <v>18939034.593187682</v>
      </c>
      <c r="BO160" s="2">
        <f>(BA160-AP160)*'奖励（新）'!$D$17</f>
        <v>1449363.2743454538</v>
      </c>
    </row>
    <row r="161" spans="17:67" x14ac:dyDescent="0.2">
      <c r="Q161" s="2">
        <v>156</v>
      </c>
      <c r="R161" s="2">
        <f>$E$5*$F$5/7*MAX(节奏总纲!D159-$C$1,0)</f>
        <v>354328.57465294795</v>
      </c>
      <c r="S161" s="2">
        <f>$E$5*$F$5/7*MAX(节奏总纲!E159-$C$1,0)</f>
        <v>354328.57465294795</v>
      </c>
      <c r="T161" s="2">
        <f>$E$5*$F$5/7*MAX(节奏总纲!F159-$C$1,0)</f>
        <v>357876.1461137631</v>
      </c>
      <c r="U161" s="2">
        <f>$E$5*$F$5/7*MAX(节奏总纲!G159-$C$1,0)</f>
        <v>357876.1461137631</v>
      </c>
      <c r="V161" s="2">
        <f>$E$5*$F$5/7*MAX(节奏总纲!H159-$C$1,0)</f>
        <v>358940.41755200765</v>
      </c>
      <c r="W161" s="2">
        <f>$E$6*$F$6/7*MAX(节奏总纲!D159-$C$1,0)</f>
        <v>3543285.746529479</v>
      </c>
      <c r="X161" s="2">
        <f>$E$6*$F$6/7*MAX(节奏总纲!E159-$C$1,0)</f>
        <v>3543285.746529479</v>
      </c>
      <c r="Y161" s="2">
        <f>$E$6*$F$6/7*MAX(节奏总纲!F159-$C$1,0)</f>
        <v>3578761.461137631</v>
      </c>
      <c r="Z161" s="2">
        <f>$E$6*$F$6/7*MAX(节奏总纲!G159-$C$1,0)</f>
        <v>3578761.461137631</v>
      </c>
      <c r="AA161" s="2">
        <f>$E$6*$F$6/7*MAX(节奏总纲!H159-$C$1,0)</f>
        <v>3589404.1755200764</v>
      </c>
      <c r="AB161" s="2">
        <f>($E$9*$F$9*3600+$E$10*$F$10*1200)/7*MAX(节奏总纲!D159-$C$1,0)</f>
        <v>297636002.70847625</v>
      </c>
      <c r="AC161" s="2">
        <f>($E$9*$F$9*3600+$E$10*$F$10*1200)/7*MAX(节奏总纲!E159-$C$1,0)</f>
        <v>297636002.70847625</v>
      </c>
      <c r="AD161" s="2">
        <f>($E$9*$F$9*3600+$E$10*$F$10*1200)/7*MAX(节奏总纲!F159-$C$1,0)</f>
        <v>300615962.73556101</v>
      </c>
      <c r="AE161" s="2">
        <f>($E$9*$F$9*3600+$E$10*$F$10*1200)/7*MAX(节奏总纲!G159-$C$1,0)</f>
        <v>300615962.73556101</v>
      </c>
      <c r="AF161" s="2">
        <f>($E$9*$F$9*3600+$E$10*$F$10*1200)/7*MAX(节奏总纲!H159-$C$1,0)</f>
        <v>301509950.74368644</v>
      </c>
      <c r="AK161" s="2">
        <v>156</v>
      </c>
      <c r="AL161" s="2">
        <f>'奖励（新）'!CT163</f>
        <v>19244410.038137093</v>
      </c>
      <c r="AM161" s="2">
        <f>'奖励（新）'!CU163</f>
        <v>19505351.191196576</v>
      </c>
      <c r="AN161" s="2">
        <f>'奖励（新）'!CV163</f>
        <v>20754855.509414069</v>
      </c>
      <c r="AO161" s="2">
        <f>'奖励（新）'!CW163</f>
        <v>24708161.320731036</v>
      </c>
      <c r="AP161" s="2">
        <f>'奖励（新）'!CX163</f>
        <v>28746702.153096676</v>
      </c>
      <c r="AV161" s="2">
        <v>156</v>
      </c>
      <c r="AW161" s="2">
        <f>SUMPRODUCT($F$5:$F$12,$H$5:$H$12,J$5:J$12)/7*MAX(节奏总纲!D159-'奖励（新）'!$E$2,0)</f>
        <v>28700614.54688878</v>
      </c>
      <c r="AX161" s="2">
        <f>SUMPRODUCT($F$5:$F$12,$H$5:$H$12,K$5:K$12)/7*MAX(节奏总纲!E159-'奖励（新）'!$E$2,0)</f>
        <v>28700614.54688878</v>
      </c>
      <c r="AY161" s="2">
        <f>SUMPRODUCT($F$5:$F$12,$H$5:$H$12,L$5:L$12)/7*MAX(节奏总纲!F159-'奖励（新）'!$E$2,0)</f>
        <v>28987967.835214809</v>
      </c>
      <c r="AZ161" s="2">
        <f>SUMPRODUCT($F$5:$F$12,$H$5:$H$12,M$5:M$12)/7*MAX(节奏总纲!G159-'奖励（新）'!$E$2,0)</f>
        <v>28987967.835214809</v>
      </c>
      <c r="BA161" s="2">
        <f>SUMPRODUCT($F$5:$F$12,$H$5:$H$12,N$5:N$12)/7*MAX(节奏总纲!H159-'奖励（新）'!$E$2,0)</f>
        <v>29074173.821712617</v>
      </c>
      <c r="BE161" s="2">
        <v>156</v>
      </c>
      <c r="BF161" s="41">
        <f t="shared" si="17"/>
        <v>0.67052257737189247</v>
      </c>
      <c r="BG161" s="41">
        <f t="shared" si="18"/>
        <v>0.67961440892947733</v>
      </c>
      <c r="BH161" s="41">
        <f t="shared" si="19"/>
        <v>0.71598173515981722</v>
      </c>
      <c r="BI161" s="41">
        <f t="shared" si="20"/>
        <v>0.85235920852359204</v>
      </c>
      <c r="BJ161" s="41">
        <f t="shared" si="21"/>
        <v>0.98873668188736685</v>
      </c>
      <c r="BK161" s="2">
        <f>(AW161-AL161)*'奖励（新）'!$D$17</f>
        <v>47281022.543758437</v>
      </c>
      <c r="BL161" s="2">
        <f>(AX161-AM161)*'奖励（新）'!$D$17</f>
        <v>45976316.778461024</v>
      </c>
      <c r="BM161" s="2">
        <f>(AY161-AN161)*'奖励（新）'!$D$17</f>
        <v>41165561.629003696</v>
      </c>
      <c r="BN161" s="2">
        <f>(AZ161-AO161)*'奖励（新）'!$D$17</f>
        <v>21399032.572418861</v>
      </c>
      <c r="BO161" s="2">
        <f>(BA161-AP161)*'奖励（新）'!$D$17</f>
        <v>1637358.3430797048</v>
      </c>
    </row>
    <row r="162" spans="17:67" x14ac:dyDescent="0.2">
      <c r="Q162" s="2">
        <v>157</v>
      </c>
      <c r="R162" s="2">
        <f>$E$5*$F$5/7*MAX(节奏总纲!D160-$C$1,0)</f>
        <v>379791.23605430132</v>
      </c>
      <c r="S162" s="2">
        <f>$E$5*$F$5/7*MAX(节奏总纲!E160-$C$1,0)</f>
        <v>379791.23605430132</v>
      </c>
      <c r="T162" s="2">
        <f>$E$5*$F$5/7*MAX(节奏总纲!F160-$C$1,0)</f>
        <v>383593.43412913004</v>
      </c>
      <c r="U162" s="2">
        <f>$E$5*$F$5/7*MAX(节奏总纲!G160-$C$1,0)</f>
        <v>383593.43412913004</v>
      </c>
      <c r="V162" s="2">
        <f>$E$5*$F$5/7*MAX(节奏总纲!H160-$C$1,0)</f>
        <v>383593.43412913004</v>
      </c>
      <c r="W162" s="2">
        <f>$E$6*$F$6/7*MAX(节奏总纲!D160-$C$1,0)</f>
        <v>3797912.3605430131</v>
      </c>
      <c r="X162" s="2">
        <f>$E$6*$F$6/7*MAX(节奏总纲!E160-$C$1,0)</f>
        <v>3797912.3605430131</v>
      </c>
      <c r="Y162" s="2">
        <f>$E$6*$F$6/7*MAX(节奏总纲!F160-$C$1,0)</f>
        <v>3835934.3412913005</v>
      </c>
      <c r="Z162" s="2">
        <f>$E$6*$F$6/7*MAX(节奏总纲!G160-$C$1,0)</f>
        <v>3835934.3412913005</v>
      </c>
      <c r="AA162" s="2">
        <f>$E$6*$F$6/7*MAX(节奏总纲!H160-$C$1,0)</f>
        <v>3835934.3412913005</v>
      </c>
      <c r="AB162" s="2">
        <f>($E$9*$F$9*3600+$E$10*$F$10*1200)/7*MAX(节奏总纲!D160-$C$1,0)</f>
        <v>319024638.28561312</v>
      </c>
      <c r="AC162" s="2">
        <f>($E$9*$F$9*3600+$E$10*$F$10*1200)/7*MAX(节奏总纲!E160-$C$1,0)</f>
        <v>319024638.28561312</v>
      </c>
      <c r="AD162" s="2">
        <f>($E$9*$F$9*3600+$E$10*$F$10*1200)/7*MAX(节奏总纲!F160-$C$1,0)</f>
        <v>322218484.66846925</v>
      </c>
      <c r="AE162" s="2">
        <f>($E$9*$F$9*3600+$E$10*$F$10*1200)/7*MAX(节奏总纲!G160-$C$1,0)</f>
        <v>322218484.66846925</v>
      </c>
      <c r="AF162" s="2">
        <f>($E$9*$F$9*3600+$E$10*$F$10*1200)/7*MAX(节奏总纲!H160-$C$1,0)</f>
        <v>322218484.66846925</v>
      </c>
      <c r="AK162" s="2">
        <v>157</v>
      </c>
      <c r="AL162" s="2">
        <f>'奖励（新）'!CT164</f>
        <v>20627346.47545334</v>
      </c>
      <c r="AM162" s="2">
        <f>'奖励（新）'!CU164</f>
        <v>20907039.309018809</v>
      </c>
      <c r="AN162" s="2">
        <f>'奖励（新）'!CV164</f>
        <v>22246317.297658697</v>
      </c>
      <c r="AO162" s="2">
        <f>'奖励（新）'!CW164</f>
        <v>26483711.068641305</v>
      </c>
      <c r="AP162" s="2">
        <f>'奖励（新）'!CX164</f>
        <v>30721104.839623913</v>
      </c>
      <c r="AV162" s="2">
        <v>157</v>
      </c>
      <c r="AW162" s="2">
        <f>SUMPRODUCT($F$5:$F$12,$H$5:$H$12,J$5:J$12)/7*MAX(节奏总纲!D160-'奖励（新）'!$E$2,0)</f>
        <v>30763090.120398406</v>
      </c>
      <c r="AX162" s="2">
        <f>SUMPRODUCT($F$5:$F$12,$H$5:$H$12,K$5:K$12)/7*MAX(节奏总纲!E160-'奖励（新）'!$E$2,0)</f>
        <v>30763090.120398406</v>
      </c>
      <c r="AY162" s="2">
        <f>SUMPRODUCT($F$5:$F$12,$H$5:$H$12,L$5:L$12)/7*MAX(节奏总纲!F160-'奖励（新）'!$E$2,0)</f>
        <v>31071068.164459534</v>
      </c>
      <c r="AZ162" s="2">
        <f>SUMPRODUCT($F$5:$F$12,$H$5:$H$12,M$5:M$12)/7*MAX(节奏总纲!G160-'奖励（新）'!$E$2,0)</f>
        <v>31071068.164459534</v>
      </c>
      <c r="BA162" s="2">
        <f>SUMPRODUCT($F$5:$F$12,$H$5:$H$12,N$5:N$12)/7*MAX(节奏总纲!H160-'奖励（新）'!$E$2,0)</f>
        <v>31071068.164459534</v>
      </c>
      <c r="BE162" s="2">
        <v>157</v>
      </c>
      <c r="BF162" s="41">
        <f t="shared" si="17"/>
        <v>0.67052257737189247</v>
      </c>
      <c r="BG162" s="41">
        <f t="shared" si="18"/>
        <v>0.67961440892947744</v>
      </c>
      <c r="BH162" s="41">
        <f t="shared" si="19"/>
        <v>0.71598173515981733</v>
      </c>
      <c r="BI162" s="41">
        <f t="shared" si="20"/>
        <v>0.85235920852359204</v>
      </c>
      <c r="BJ162" s="41">
        <f t="shared" si="21"/>
        <v>0.98873668188736674</v>
      </c>
      <c r="BK162" s="2">
        <f>(AW162-AL162)*'奖励（新）'!$D$17</f>
        <v>50678718.224725336</v>
      </c>
      <c r="BL162" s="2">
        <f>(AX162-AM162)*'奖励（新）'!$D$17</f>
        <v>49280254.056897983</v>
      </c>
      <c r="BM162" s="2">
        <f>(AY162-AN162)*'奖励（新）'!$D$17</f>
        <v>44123754.334004186</v>
      </c>
      <c r="BN162" s="2">
        <f>(AZ162-AO162)*'奖励（新）'!$D$17</f>
        <v>22936785.479091145</v>
      </c>
      <c r="BO162" s="2">
        <f>(BA162-AP162)*'奖励（新）'!$D$17</f>
        <v>1749816.6241781041</v>
      </c>
    </row>
    <row r="163" spans="17:67" x14ac:dyDescent="0.2">
      <c r="Q163" s="2">
        <v>158</v>
      </c>
      <c r="R163" s="2">
        <f>$E$5*$F$5/7*MAX(节奏总纲!D161-$C$1,0)</f>
        <v>407081.44082981983</v>
      </c>
      <c r="S163" s="2">
        <f>$E$5*$F$5/7*MAX(节奏总纲!E161-$C$1,0)</f>
        <v>407081.44082981983</v>
      </c>
      <c r="T163" s="2">
        <f>$E$5*$F$5/7*MAX(节奏总纲!F161-$C$1,0)</f>
        <v>411156.54095240368</v>
      </c>
      <c r="U163" s="2">
        <f>$E$5*$F$5/7*MAX(节奏总纲!G161-$C$1,0)</f>
        <v>411156.54095240368</v>
      </c>
      <c r="V163" s="2">
        <f>$E$5*$F$5/7*MAX(节奏总纲!H161-$C$1,0)</f>
        <v>411156.54095240368</v>
      </c>
      <c r="W163" s="2">
        <f>$E$6*$F$6/7*MAX(节奏总纲!D161-$C$1,0)</f>
        <v>4070814.4082981977</v>
      </c>
      <c r="X163" s="2">
        <f>$E$6*$F$6/7*MAX(节奏总纲!E161-$C$1,0)</f>
        <v>4070814.4082981977</v>
      </c>
      <c r="Y163" s="2">
        <f>$E$6*$F$6/7*MAX(节奏总纲!F161-$C$1,0)</f>
        <v>4111565.409524037</v>
      </c>
      <c r="Z163" s="2">
        <f>$E$6*$F$6/7*MAX(节奏总纲!G161-$C$1,0)</f>
        <v>4111565.409524037</v>
      </c>
      <c r="AA163" s="2">
        <f>$E$6*$F$6/7*MAX(节奏总纲!H161-$C$1,0)</f>
        <v>4111565.409524037</v>
      </c>
      <c r="AB163" s="2">
        <f>($E$9*$F$9*3600+$E$10*$F$10*1200)/7*MAX(节奏总纲!D161-$C$1,0)</f>
        <v>341948410.29704863</v>
      </c>
      <c r="AC163" s="2">
        <f>($E$9*$F$9*3600+$E$10*$F$10*1200)/7*MAX(节奏总纲!E161-$C$1,0)</f>
        <v>341948410.29704863</v>
      </c>
      <c r="AD163" s="2">
        <f>($E$9*$F$9*3600+$E$10*$F$10*1200)/7*MAX(节奏总纲!F161-$C$1,0)</f>
        <v>345371494.40001911</v>
      </c>
      <c r="AE163" s="2">
        <f>($E$9*$F$9*3600+$E$10*$F$10*1200)/7*MAX(节奏总纲!G161-$C$1,0)</f>
        <v>345371494.40001911</v>
      </c>
      <c r="AF163" s="2">
        <f>($E$9*$F$9*3600+$E$10*$F$10*1200)/7*MAX(节奏总纲!H161-$C$1,0)</f>
        <v>345371494.40001911</v>
      </c>
      <c r="AK163" s="2">
        <v>158</v>
      </c>
      <c r="AL163" s="2">
        <f>'奖励（新）'!CT165</f>
        <v>22109541.049343418</v>
      </c>
      <c r="AM163" s="2">
        <f>'奖励（新）'!CU165</f>
        <v>22409331.436453156</v>
      </c>
      <c r="AN163" s="2">
        <f>'奖励（新）'!CV165</f>
        <v>23844826.462686248</v>
      </c>
      <c r="AO163" s="2">
        <f>'奖励（新）'!CW165</f>
        <v>28386698.16986458</v>
      </c>
      <c r="AP163" s="2">
        <f>'奖励（新）'!CX165</f>
        <v>32928569.877042916</v>
      </c>
      <c r="AV163" s="2">
        <v>158</v>
      </c>
      <c r="AW163" s="2">
        <f>SUMPRODUCT($F$5:$F$12,$H$5:$H$12,J$5:J$12)/7*MAX(节奏总纲!D161-'奖励（新）'!$E$2,0)</f>
        <v>32973596.707215402</v>
      </c>
      <c r="AX163" s="2">
        <f>SUMPRODUCT($F$5:$F$12,$H$5:$H$12,K$5:K$12)/7*MAX(节奏总纲!E161-'奖励（新）'!$E$2,0)</f>
        <v>32973596.707215402</v>
      </c>
      <c r="AY163" s="2">
        <f>SUMPRODUCT($F$5:$F$12,$H$5:$H$12,L$5:L$12)/7*MAX(节奏总纲!F161-'奖励（新）'!$E$2,0)</f>
        <v>33303679.817144696</v>
      </c>
      <c r="AZ163" s="2">
        <f>SUMPRODUCT($F$5:$F$12,$H$5:$H$12,M$5:M$12)/7*MAX(节奏总纲!G161-'奖励（新）'!$E$2,0)</f>
        <v>33303679.817144696</v>
      </c>
      <c r="BA163" s="2">
        <f>SUMPRODUCT($F$5:$F$12,$H$5:$H$12,N$5:N$12)/7*MAX(节奏总纲!H161-'奖励（新）'!$E$2,0)</f>
        <v>33303679.817144696</v>
      </c>
      <c r="BE163" s="2">
        <v>158</v>
      </c>
      <c r="BF163" s="41">
        <f t="shared" si="17"/>
        <v>0.67052257737189247</v>
      </c>
      <c r="BG163" s="41">
        <f t="shared" si="18"/>
        <v>0.67961440892947733</v>
      </c>
      <c r="BH163" s="41">
        <f t="shared" si="19"/>
        <v>0.71598173515981733</v>
      </c>
      <c r="BI163" s="41">
        <f t="shared" si="20"/>
        <v>0.85235920852359204</v>
      </c>
      <c r="BJ163" s="41">
        <f t="shared" si="21"/>
        <v>0.98873668188736685</v>
      </c>
      <c r="BK163" s="2">
        <f>(AW163-AL163)*'奖励（新）'!$D$17</f>
        <v>54320278.28935992</v>
      </c>
      <c r="BL163" s="2">
        <f>(AX163-AM163)*'奖励（新）'!$D$17</f>
        <v>52821326.353811234</v>
      </c>
      <c r="BM163" s="2">
        <f>(AY163-AN163)*'奖励（新）'!$D$17</f>
        <v>47294266.772292241</v>
      </c>
      <c r="BN163" s="2">
        <f>(AZ163-AO163)*'奖励（新）'!$D$17</f>
        <v>24584908.236400578</v>
      </c>
      <c r="BO163" s="2">
        <f>(BA163-AP163)*'奖励（新）'!$D$17</f>
        <v>1875549.7005089</v>
      </c>
    </row>
    <row r="164" spans="17:67" x14ac:dyDescent="0.2">
      <c r="Q164" s="2">
        <v>159</v>
      </c>
      <c r="R164" s="2">
        <f>$E$5*$F$5/7*MAX(节奏总纲!D162-$C$1,0)</f>
        <v>436330.35809540172</v>
      </c>
      <c r="S164" s="2">
        <f>$E$5*$F$5/7*MAX(节奏总纲!E162-$C$1,0)</f>
        <v>436330.35809540172</v>
      </c>
      <c r="T164" s="2">
        <f>$E$5*$F$5/7*MAX(节奏总纲!F162-$C$1,0)</f>
        <v>440697.94739064144</v>
      </c>
      <c r="U164" s="2">
        <f>$E$5*$F$5/7*MAX(节奏总纲!G162-$C$1,0)</f>
        <v>440697.94739064144</v>
      </c>
      <c r="V164" s="2">
        <f>$E$5*$F$5/7*MAX(节奏总纲!H162-$C$1,0)</f>
        <v>440697.94739064144</v>
      </c>
      <c r="W164" s="2">
        <f>$E$6*$F$6/7*MAX(节奏总纲!D162-$C$1,0)</f>
        <v>4363303.5809540171</v>
      </c>
      <c r="X164" s="2">
        <f>$E$6*$F$6/7*MAX(节奏总纲!E162-$C$1,0)</f>
        <v>4363303.5809540171</v>
      </c>
      <c r="Y164" s="2">
        <f>$E$6*$F$6/7*MAX(节奏总纲!F162-$C$1,0)</f>
        <v>4406979.4739064146</v>
      </c>
      <c r="Z164" s="2">
        <f>$E$6*$F$6/7*MAX(节奏总纲!G162-$C$1,0)</f>
        <v>4406979.4739064146</v>
      </c>
      <c r="AA164" s="2">
        <f>$E$6*$F$6/7*MAX(节奏总纲!H162-$C$1,0)</f>
        <v>4406979.4739064146</v>
      </c>
      <c r="AB164" s="2">
        <f>($E$9*$F$9*3600+$E$10*$F$10*1200)/7*MAX(节奏总纲!D162-$C$1,0)</f>
        <v>366517500.80013746</v>
      </c>
      <c r="AC164" s="2">
        <f>($E$9*$F$9*3600+$E$10*$F$10*1200)/7*MAX(节奏总纲!E162-$C$1,0)</f>
        <v>366517500.80013746</v>
      </c>
      <c r="AD164" s="2">
        <f>($E$9*$F$9*3600+$E$10*$F$10*1200)/7*MAX(节奏总纲!F162-$C$1,0)</f>
        <v>370186275.80813879</v>
      </c>
      <c r="AE164" s="2">
        <f>($E$9*$F$9*3600+$E$10*$F$10*1200)/7*MAX(节奏总纲!G162-$C$1,0)</f>
        <v>370186275.80813879</v>
      </c>
      <c r="AF164" s="2">
        <f>($E$9*$F$9*3600+$E$10*$F$10*1200)/7*MAX(节奏总纲!H162-$C$1,0)</f>
        <v>370186275.80813879</v>
      </c>
      <c r="AK164" s="2">
        <v>159</v>
      </c>
      <c r="AL164" s="2">
        <f>'奖励（新）'!CT166</f>
        <v>23698117.859954089</v>
      </c>
      <c r="AM164" s="2">
        <f>'奖励（新）'!CU166</f>
        <v>24019448.271614484</v>
      </c>
      <c r="AN164" s="2">
        <f>'奖励（新）'!CV166</f>
        <v>25558066.165383827</v>
      </c>
      <c r="AO164" s="2">
        <f>'奖励（新）'!CW166</f>
        <v>30426269.244504556</v>
      </c>
      <c r="AP164" s="2">
        <f>'奖励（新）'!CX166</f>
        <v>35294472.323625281</v>
      </c>
      <c r="AV164" s="2">
        <v>159</v>
      </c>
      <c r="AW164" s="2">
        <f>SUMPRODUCT($F$5:$F$12,$H$5:$H$12,J$5:J$12)/7*MAX(节奏总纲!D162-'奖励（新）'!$E$2,0)</f>
        <v>35342759.005727537</v>
      </c>
      <c r="AX164" s="2">
        <f>SUMPRODUCT($F$5:$F$12,$H$5:$H$12,K$5:K$12)/7*MAX(节奏总纲!E162-'奖励（新）'!$E$2,0)</f>
        <v>35342759.005727537</v>
      </c>
      <c r="AY164" s="2">
        <f>SUMPRODUCT($F$5:$F$12,$H$5:$H$12,L$5:L$12)/7*MAX(节奏总纲!F162-'奖励（新）'!$E$2,0)</f>
        <v>35696533.738641955</v>
      </c>
      <c r="AZ164" s="2">
        <f>SUMPRODUCT($F$5:$F$12,$H$5:$H$12,M$5:M$12)/7*MAX(节奏总纲!G162-'奖励（新）'!$E$2,0)</f>
        <v>35696533.738641955</v>
      </c>
      <c r="BA164" s="2">
        <f>SUMPRODUCT($F$5:$F$12,$H$5:$H$12,N$5:N$12)/7*MAX(节奏总纲!H162-'奖励（新）'!$E$2,0)</f>
        <v>35696533.738641955</v>
      </c>
      <c r="BE164" s="2">
        <v>159</v>
      </c>
      <c r="BF164" s="41">
        <f t="shared" si="17"/>
        <v>0.67052257737189236</v>
      </c>
      <c r="BG164" s="41">
        <f t="shared" si="18"/>
        <v>0.67961440892947744</v>
      </c>
      <c r="BH164" s="41">
        <f t="shared" si="19"/>
        <v>0.71598173515981733</v>
      </c>
      <c r="BI164" s="41">
        <f t="shared" si="20"/>
        <v>0.85235920852359204</v>
      </c>
      <c r="BJ164" s="41">
        <f t="shared" si="21"/>
        <v>0.98873668188736663</v>
      </c>
      <c r="BK164" s="2">
        <f>(AW164-AL164)*'奖励（新）'!$D$17</f>
        <v>58223205.72886724</v>
      </c>
      <c r="BL164" s="2">
        <f>(AX164-AM164)*'奖励（新）'!$D$17</f>
        <v>56616553.670565262</v>
      </c>
      <c r="BM164" s="2">
        <f>(AY164-AN164)*'奖励（新）'!$D$17</f>
        <v>50692337.866290644</v>
      </c>
      <c r="BN164" s="2">
        <f>(AZ164-AO164)*'奖励（新）'!$D$17</f>
        <v>26351322.470686994</v>
      </c>
      <c r="BO164" s="2">
        <f>(BA164-AP164)*'奖励（新）'!$D$17</f>
        <v>2010307.0750833675</v>
      </c>
    </row>
    <row r="165" spans="17:67" x14ac:dyDescent="0.2">
      <c r="Q165" s="2">
        <v>160</v>
      </c>
      <c r="R165" s="2">
        <f>$E$5*$F$5/7*MAX(节奏总纲!D163-$C$1,0)</f>
        <v>467678.57142857148</v>
      </c>
      <c r="S165" s="2">
        <f>$E$5*$F$5/7*MAX(节奏总纲!E163-$C$1,0)</f>
        <v>467678.57142857148</v>
      </c>
      <c r="T165" s="2">
        <f>$E$5*$F$5/7*MAX(节奏总纲!F163-$C$1,0)</f>
        <v>472359.6428571429</v>
      </c>
      <c r="U165" s="2">
        <f>$E$5*$F$5/7*MAX(节奏总纲!G163-$C$1,0)</f>
        <v>472359.6428571429</v>
      </c>
      <c r="V165" s="2">
        <f>$E$5*$F$5/7*MAX(节奏总纲!H163-$C$1,0)</f>
        <v>472359.6428571429</v>
      </c>
      <c r="W165" s="2">
        <f>$E$6*$F$6/7*MAX(节奏总纲!D163-$C$1,0)</f>
        <v>4676785.7142857146</v>
      </c>
      <c r="X165" s="2">
        <f>$E$6*$F$6/7*MAX(节奏总纲!E163-$C$1,0)</f>
        <v>4676785.7142857146</v>
      </c>
      <c r="Y165" s="2">
        <f>$E$6*$F$6/7*MAX(节奏总纲!F163-$C$1,0)</f>
        <v>4723596.4285714291</v>
      </c>
      <c r="Z165" s="2">
        <f>$E$6*$F$6/7*MAX(节奏总纲!G163-$C$1,0)</f>
        <v>4723596.4285714291</v>
      </c>
      <c r="AA165" s="2">
        <f>$E$6*$F$6/7*MAX(节奏总纲!H163-$C$1,0)</f>
        <v>4723596.4285714291</v>
      </c>
      <c r="AB165" s="2">
        <f>($E$9*$F$9*3600+$E$10*$F$10*1200)/7*MAX(节奏总纲!D163-$C$1,0)</f>
        <v>392850000</v>
      </c>
      <c r="AC165" s="2">
        <f>($E$9*$F$9*3600+$E$10*$F$10*1200)/7*MAX(节奏总纲!E163-$C$1,0)</f>
        <v>392850000</v>
      </c>
      <c r="AD165" s="2">
        <f>($E$9*$F$9*3600+$E$10*$F$10*1200)/7*MAX(节奏总纲!F163-$C$1,0)</f>
        <v>396782100.00000006</v>
      </c>
      <c r="AE165" s="2">
        <f>($E$9*$F$9*3600+$E$10*$F$10*1200)/7*MAX(节奏总纲!G163-$C$1,0)</f>
        <v>396782100.00000006</v>
      </c>
      <c r="AF165" s="2">
        <f>($E$9*$F$9*3600+$E$10*$F$10*1200)/7*MAX(节奏总纲!H163-$C$1,0)</f>
        <v>396782100.00000006</v>
      </c>
      <c r="AK165" s="2">
        <v>160</v>
      </c>
      <c r="AL165" s="2">
        <f>'奖励（新）'!CT167</f>
        <v>25400712.328767117</v>
      </c>
      <c r="AM165" s="2">
        <f>'奖励（新）'!CU167</f>
        <v>25745128.767123282</v>
      </c>
      <c r="AN165" s="2">
        <f>'奖励（新）'!CV167</f>
        <v>27394271.01369863</v>
      </c>
      <c r="AO165" s="2">
        <f>'奖励（新）'!CW167</f>
        <v>32612227.397260275</v>
      </c>
      <c r="AP165" s="2">
        <f>'奖励（新）'!CX167</f>
        <v>37830183.780821919</v>
      </c>
      <c r="AV165" s="2">
        <v>160</v>
      </c>
      <c r="AW165" s="2">
        <f>SUMPRODUCT($F$5:$F$12,$H$5:$H$12,J$5:J$12)/7*MAX(节奏总纲!D163-'奖励（新）'!$E$2,0)</f>
        <v>37881964.285714284</v>
      </c>
      <c r="AX165" s="2">
        <f>SUMPRODUCT($F$5:$F$12,$H$5:$H$12,K$5:K$12)/7*MAX(节奏总纲!E163-'奖励（新）'!$E$2,0)</f>
        <v>37881964.285714284</v>
      </c>
      <c r="AY165" s="2">
        <f>SUMPRODUCT($F$5:$F$12,$H$5:$H$12,L$5:L$12)/7*MAX(节奏总纲!F163-'奖励（新）'!$E$2,0)</f>
        <v>38261131.071428575</v>
      </c>
      <c r="AZ165" s="2">
        <f>SUMPRODUCT($F$5:$F$12,$H$5:$H$12,M$5:M$12)/7*MAX(节奏总纲!G163-'奖励（新）'!$E$2,0)</f>
        <v>38261131.071428575</v>
      </c>
      <c r="BA165" s="2">
        <f>SUMPRODUCT($F$5:$F$12,$H$5:$H$12,N$5:N$12)/7*MAX(节奏总纲!H163-'奖励（新）'!$E$2,0)</f>
        <v>38261131.071428575</v>
      </c>
      <c r="BE165" s="2">
        <v>160</v>
      </c>
      <c r="BF165" s="41">
        <f t="shared" si="17"/>
        <v>0.67052257737189236</v>
      </c>
      <c r="BG165" s="41">
        <f t="shared" si="18"/>
        <v>0.67961440892947733</v>
      </c>
      <c r="BH165" s="41">
        <f t="shared" si="19"/>
        <v>0.71598173515981733</v>
      </c>
      <c r="BI165" s="41">
        <f t="shared" si="20"/>
        <v>0.85235920852359204</v>
      </c>
      <c r="BJ165" s="41">
        <f t="shared" si="21"/>
        <v>0.98873668188736674</v>
      </c>
      <c r="BK165" s="2">
        <f>(AW165-AL165)*'奖励（新）'!$D$17</f>
        <v>62406259.784735829</v>
      </c>
      <c r="BL165" s="2">
        <f>(AX165-AM165)*'奖励（新）'!$D$17</f>
        <v>60684177.592955008</v>
      </c>
      <c r="BM165" s="2">
        <f>(AY165-AN165)*'奖励（新）'!$D$17</f>
        <v>54334300.288649723</v>
      </c>
      <c r="BN165" s="2">
        <f>(AZ165-AO165)*'奖励（新）'!$D$17</f>
        <v>28244518.370841499</v>
      </c>
      <c r="BO165" s="2">
        <f>(BA165-AP165)*'奖励（新）'!$D$17</f>
        <v>2154736.4530332759</v>
      </c>
    </row>
  </sheetData>
  <mergeCells count="6">
    <mergeCell ref="W4:AA4"/>
    <mergeCell ref="R4:V4"/>
    <mergeCell ref="BF4:BJ4"/>
    <mergeCell ref="BK4:BO4"/>
    <mergeCell ref="J3:N3"/>
    <mergeCell ref="AB4:AF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D21B0-2F1C-497E-B471-F22B97722D49}">
  <dimension ref="B1:K167"/>
  <sheetViews>
    <sheetView workbookViewId="0">
      <selection activeCell="M102" sqref="M102"/>
    </sheetView>
  </sheetViews>
  <sheetFormatPr defaultColWidth="6.625" defaultRowHeight="11.25" x14ac:dyDescent="0.15"/>
  <cols>
    <col min="1" max="1" width="6.625" style="9"/>
    <col min="2" max="11" width="6.625" style="2"/>
    <col min="12" max="16384" width="6.625" style="9"/>
  </cols>
  <sheetData>
    <row r="1" spans="2:11" x14ac:dyDescent="0.15">
      <c r="B1" s="6" t="s">
        <v>581</v>
      </c>
    </row>
    <row r="6" spans="2:11" x14ac:dyDescent="0.15">
      <c r="D6" s="66" t="s">
        <v>583</v>
      </c>
      <c r="E6" s="66"/>
      <c r="F6" s="66"/>
      <c r="G6" s="66"/>
      <c r="H6" s="66"/>
      <c r="J6" s="2" t="s">
        <v>582</v>
      </c>
    </row>
    <row r="7" spans="2:11" x14ac:dyDescent="0.15">
      <c r="C7" s="2" t="s">
        <v>128</v>
      </c>
      <c r="D7" s="2" t="s">
        <v>198</v>
      </c>
      <c r="E7" s="2" t="s">
        <v>199</v>
      </c>
      <c r="F7" s="2" t="s">
        <v>200</v>
      </c>
      <c r="G7" s="2" t="s">
        <v>201</v>
      </c>
      <c r="H7" s="2" t="s">
        <v>202</v>
      </c>
      <c r="J7" s="2" t="s">
        <v>595</v>
      </c>
      <c r="K7" s="2" t="s">
        <v>596</v>
      </c>
    </row>
    <row r="8" spans="2:11" x14ac:dyDescent="0.15">
      <c r="C8" s="2">
        <v>1</v>
      </c>
      <c r="D8" s="2">
        <f>'奖励（新）'!DZ8+商店!AB6</f>
        <v>0</v>
      </c>
      <c r="E8" s="2">
        <f>'奖励（新）'!EA8+商店!AC6</f>
        <v>0</v>
      </c>
      <c r="F8" s="2">
        <f>'奖励（新）'!EB8+商店!AD6</f>
        <v>0</v>
      </c>
      <c r="G8" s="2">
        <f>'奖励（新）'!EC8+商店!AE6</f>
        <v>0</v>
      </c>
      <c r="H8" s="2">
        <f>'奖励（新）'!ED8+商店!AF6</f>
        <v>0</v>
      </c>
      <c r="J8" s="56" t="e">
        <f>'奖励（新）'!DZ8/D8</f>
        <v>#DIV/0!</v>
      </c>
      <c r="K8" s="56" t="e">
        <f>商店!AB6/D8</f>
        <v>#DIV/0!</v>
      </c>
    </row>
    <row r="9" spans="2:11" x14ac:dyDescent="0.15">
      <c r="C9" s="2">
        <v>2</v>
      </c>
      <c r="D9" s="2">
        <f>'奖励（新）'!DZ9+商店!AB7</f>
        <v>0</v>
      </c>
      <c r="E9" s="2">
        <f>'奖励（新）'!EA9+商店!AC7</f>
        <v>0</v>
      </c>
      <c r="F9" s="2">
        <f>'奖励（新）'!EB9+商店!AD7</f>
        <v>0</v>
      </c>
      <c r="G9" s="2">
        <f>'奖励（新）'!EC9+商店!AE7</f>
        <v>0</v>
      </c>
      <c r="H9" s="2">
        <f>'奖励（新）'!ED9+商店!AF7</f>
        <v>0</v>
      </c>
      <c r="J9" s="56" t="e">
        <f>'奖励（新）'!DZ9/D9</f>
        <v>#DIV/0!</v>
      </c>
      <c r="K9" s="56" t="e">
        <f>商店!AB7/D9</f>
        <v>#DIV/0!</v>
      </c>
    </row>
    <row r="10" spans="2:11" x14ac:dyDescent="0.15">
      <c r="C10" s="2">
        <v>3</v>
      </c>
      <c r="D10" s="2">
        <f>'奖励（新）'!DZ10+商店!AB8</f>
        <v>0</v>
      </c>
      <c r="E10" s="2">
        <f>'奖励（新）'!EA10+商店!AC8</f>
        <v>0</v>
      </c>
      <c r="F10" s="2">
        <f>'奖励（新）'!EB10+商店!AD8</f>
        <v>0</v>
      </c>
      <c r="G10" s="2">
        <f>'奖励（新）'!EC10+商店!AE8</f>
        <v>0</v>
      </c>
      <c r="H10" s="2">
        <f>'奖励（新）'!ED10+商店!AF8</f>
        <v>0</v>
      </c>
      <c r="J10" s="56" t="e">
        <f>'奖励（新）'!DZ10/D10</f>
        <v>#DIV/0!</v>
      </c>
      <c r="K10" s="56" t="e">
        <f>商店!AB8/D10</f>
        <v>#DIV/0!</v>
      </c>
    </row>
    <row r="11" spans="2:11" x14ac:dyDescent="0.15">
      <c r="C11" s="2">
        <v>4</v>
      </c>
      <c r="D11" s="2">
        <f>'奖励（新）'!DZ11+商店!AB9</f>
        <v>0</v>
      </c>
      <c r="E11" s="2">
        <f>'奖励（新）'!EA11+商店!AC9</f>
        <v>0</v>
      </c>
      <c r="F11" s="2">
        <f>'奖励（新）'!EB11+商店!AD9</f>
        <v>0</v>
      </c>
      <c r="G11" s="2">
        <f>'奖励（新）'!EC11+商店!AE9</f>
        <v>0</v>
      </c>
      <c r="H11" s="2">
        <f>'奖励（新）'!ED11+商店!AF9</f>
        <v>0</v>
      </c>
      <c r="J11" s="56" t="e">
        <f>'奖励（新）'!DZ11/D11</f>
        <v>#DIV/0!</v>
      </c>
      <c r="K11" s="56" t="e">
        <f>商店!AB9/D11</f>
        <v>#DIV/0!</v>
      </c>
    </row>
    <row r="12" spans="2:11" x14ac:dyDescent="0.15">
      <c r="C12" s="2">
        <v>5</v>
      </c>
      <c r="D12" s="2">
        <f>'奖励（新）'!DZ12+商店!AB10</f>
        <v>0</v>
      </c>
      <c r="E12" s="2">
        <f>'奖励（新）'!EA12+商店!AC10</f>
        <v>0</v>
      </c>
      <c r="F12" s="2">
        <f>'奖励（新）'!EB12+商店!AD10</f>
        <v>0</v>
      </c>
      <c r="G12" s="2">
        <f>'奖励（新）'!EC12+商店!AE10</f>
        <v>0</v>
      </c>
      <c r="H12" s="2">
        <f>'奖励（新）'!ED12+商店!AF10</f>
        <v>0</v>
      </c>
      <c r="J12" s="56" t="e">
        <f>'奖励（新）'!DZ12/D12</f>
        <v>#DIV/0!</v>
      </c>
      <c r="K12" s="56" t="e">
        <f>商店!AB10/D12</f>
        <v>#DIV/0!</v>
      </c>
    </row>
    <row r="13" spans="2:11" x14ac:dyDescent="0.15">
      <c r="C13" s="2">
        <v>6</v>
      </c>
      <c r="D13" s="2">
        <f>'奖励（新）'!DZ13+商店!AB11</f>
        <v>0</v>
      </c>
      <c r="E13" s="2">
        <f>'奖励（新）'!EA13+商店!AC11</f>
        <v>0</v>
      </c>
      <c r="F13" s="2">
        <f>'奖励（新）'!EB13+商店!AD11</f>
        <v>0</v>
      </c>
      <c r="G13" s="2">
        <f>'奖励（新）'!EC13+商店!AE11</f>
        <v>0</v>
      </c>
      <c r="H13" s="2">
        <f>'奖励（新）'!ED13+商店!AF11</f>
        <v>0</v>
      </c>
      <c r="J13" s="56" t="e">
        <f>'奖励（新）'!DZ13/D13</f>
        <v>#DIV/0!</v>
      </c>
      <c r="K13" s="56" t="e">
        <f>商店!AB11/D13</f>
        <v>#DIV/0!</v>
      </c>
    </row>
    <row r="14" spans="2:11" x14ac:dyDescent="0.15">
      <c r="C14" s="2">
        <v>7</v>
      </c>
      <c r="D14" s="2">
        <f>'奖励（新）'!DZ14+商店!AB12</f>
        <v>0</v>
      </c>
      <c r="E14" s="2">
        <f>'奖励（新）'!EA14+商店!AC12</f>
        <v>0</v>
      </c>
      <c r="F14" s="2">
        <f>'奖励（新）'!EB14+商店!AD12</f>
        <v>0</v>
      </c>
      <c r="G14" s="2">
        <f>'奖励（新）'!EC14+商店!AE12</f>
        <v>0</v>
      </c>
      <c r="H14" s="2">
        <f>'奖励（新）'!ED14+商店!AF12</f>
        <v>0</v>
      </c>
      <c r="J14" s="56" t="e">
        <f>'奖励（新）'!DZ14/D14</f>
        <v>#DIV/0!</v>
      </c>
      <c r="K14" s="56" t="e">
        <f>商店!AB12/D14</f>
        <v>#DIV/0!</v>
      </c>
    </row>
    <row r="15" spans="2:11" x14ac:dyDescent="0.15">
      <c r="C15" s="2">
        <v>8</v>
      </c>
      <c r="D15" s="2">
        <f>'奖励（新）'!DZ15+商店!AB13</f>
        <v>0</v>
      </c>
      <c r="E15" s="2">
        <f>'奖励（新）'!EA15+商店!AC13</f>
        <v>0</v>
      </c>
      <c r="F15" s="2">
        <f>'奖励（新）'!EB15+商店!AD13</f>
        <v>0</v>
      </c>
      <c r="G15" s="2">
        <f>'奖励（新）'!EC15+商店!AE13</f>
        <v>0</v>
      </c>
      <c r="H15" s="2">
        <f>'奖励（新）'!ED15+商店!AF13</f>
        <v>0</v>
      </c>
      <c r="J15" s="56" t="e">
        <f>'奖励（新）'!DZ15/D15</f>
        <v>#DIV/0!</v>
      </c>
      <c r="K15" s="56" t="e">
        <f>商店!AB13/D15</f>
        <v>#DIV/0!</v>
      </c>
    </row>
    <row r="16" spans="2:11" x14ac:dyDescent="0.15">
      <c r="C16" s="2">
        <v>9</v>
      </c>
      <c r="D16" s="2">
        <f>'奖励（新）'!DZ16+商店!AB14</f>
        <v>0</v>
      </c>
      <c r="E16" s="2">
        <f>'奖励（新）'!EA16+商店!AC14</f>
        <v>0</v>
      </c>
      <c r="F16" s="2">
        <f>'奖励（新）'!EB16+商店!AD14</f>
        <v>0</v>
      </c>
      <c r="G16" s="2">
        <f>'奖励（新）'!EC16+商店!AE14</f>
        <v>0</v>
      </c>
      <c r="H16" s="2">
        <f>'奖励（新）'!ED16+商店!AF14</f>
        <v>0</v>
      </c>
      <c r="J16" s="56" t="e">
        <f>'奖励（新）'!DZ16/D16</f>
        <v>#DIV/0!</v>
      </c>
      <c r="K16" s="56" t="e">
        <f>商店!AB14/D16</f>
        <v>#DIV/0!</v>
      </c>
    </row>
    <row r="17" spans="3:11" x14ac:dyDescent="0.15">
      <c r="C17" s="2">
        <v>10</v>
      </c>
      <c r="D17" s="2">
        <f>'奖励（新）'!DZ17+商店!AB15</f>
        <v>0</v>
      </c>
      <c r="E17" s="2">
        <f>'奖励（新）'!EA17+商店!AC15</f>
        <v>0</v>
      </c>
      <c r="F17" s="2">
        <f>'奖励（新）'!EB17+商店!AD15</f>
        <v>0</v>
      </c>
      <c r="G17" s="2">
        <f>'奖励（新）'!EC17+商店!AE15</f>
        <v>0</v>
      </c>
      <c r="H17" s="2">
        <f>'奖励（新）'!ED17+商店!AF15</f>
        <v>0</v>
      </c>
      <c r="J17" s="56" t="e">
        <f>'奖励（新）'!DZ17/D17</f>
        <v>#DIV/0!</v>
      </c>
      <c r="K17" s="56" t="e">
        <f>商店!AB15/D17</f>
        <v>#DIV/0!</v>
      </c>
    </row>
    <row r="18" spans="3:11" x14ac:dyDescent="0.15">
      <c r="C18" s="2">
        <v>11</v>
      </c>
      <c r="D18" s="2">
        <f>'奖励（新）'!DZ18+商店!AB16</f>
        <v>0</v>
      </c>
      <c r="E18" s="2">
        <f>'奖励（新）'!EA18+商店!AC16</f>
        <v>0</v>
      </c>
      <c r="F18" s="2">
        <f>'奖励（新）'!EB18+商店!AD16</f>
        <v>0</v>
      </c>
      <c r="G18" s="2">
        <f>'奖励（新）'!EC18+商店!AE16</f>
        <v>0</v>
      </c>
      <c r="H18" s="2">
        <f>'奖励（新）'!ED18+商店!AF16</f>
        <v>0</v>
      </c>
      <c r="J18" s="56" t="e">
        <f>'奖励（新）'!DZ18/D18</f>
        <v>#DIV/0!</v>
      </c>
      <c r="K18" s="56" t="e">
        <f>商店!AB16/D18</f>
        <v>#DIV/0!</v>
      </c>
    </row>
    <row r="19" spans="3:11" x14ac:dyDescent="0.15">
      <c r="C19" s="2">
        <v>12</v>
      </c>
      <c r="D19" s="2">
        <f>'奖励（新）'!DZ19+商店!AB17</f>
        <v>0</v>
      </c>
      <c r="E19" s="2">
        <f>'奖励（新）'!EA19+商店!AC17</f>
        <v>0</v>
      </c>
      <c r="F19" s="2">
        <f>'奖励（新）'!EB19+商店!AD17</f>
        <v>0</v>
      </c>
      <c r="G19" s="2">
        <f>'奖励（新）'!EC19+商店!AE17</f>
        <v>0</v>
      </c>
      <c r="H19" s="2">
        <f>'奖励（新）'!ED19+商店!AF17</f>
        <v>0</v>
      </c>
      <c r="J19" s="56" t="e">
        <f>'奖励（新）'!DZ19/D19</f>
        <v>#DIV/0!</v>
      </c>
      <c r="K19" s="56" t="e">
        <f>商店!AB17/D19</f>
        <v>#DIV/0!</v>
      </c>
    </row>
    <row r="20" spans="3:11" x14ac:dyDescent="0.15">
      <c r="C20" s="2">
        <v>13</v>
      </c>
      <c r="D20" s="2">
        <f>'奖励（新）'!DZ20+商店!AB18</f>
        <v>0</v>
      </c>
      <c r="E20" s="2">
        <f>'奖励（新）'!EA20+商店!AC18</f>
        <v>0</v>
      </c>
      <c r="F20" s="2">
        <f>'奖励（新）'!EB20+商店!AD18</f>
        <v>0</v>
      </c>
      <c r="G20" s="2">
        <f>'奖励（新）'!EC20+商店!AE18</f>
        <v>0</v>
      </c>
      <c r="H20" s="2">
        <f>'奖励（新）'!ED20+商店!AF18</f>
        <v>0</v>
      </c>
      <c r="J20" s="56" t="e">
        <f>'奖励（新）'!DZ20/D20</f>
        <v>#DIV/0!</v>
      </c>
      <c r="K20" s="56" t="e">
        <f>商店!AB18/D20</f>
        <v>#DIV/0!</v>
      </c>
    </row>
    <row r="21" spans="3:11" x14ac:dyDescent="0.15">
      <c r="C21" s="2">
        <v>14</v>
      </c>
      <c r="D21" s="2">
        <f>'奖励（新）'!DZ21+商店!AB19</f>
        <v>0</v>
      </c>
      <c r="E21" s="2">
        <f>'奖励（新）'!EA21+商店!AC19</f>
        <v>0</v>
      </c>
      <c r="F21" s="2">
        <f>'奖励（新）'!EB21+商店!AD19</f>
        <v>0</v>
      </c>
      <c r="G21" s="2">
        <f>'奖励（新）'!EC21+商店!AE19</f>
        <v>0</v>
      </c>
      <c r="H21" s="2">
        <f>'奖励（新）'!ED21+商店!AF19</f>
        <v>0</v>
      </c>
      <c r="J21" s="56" t="e">
        <f>'奖励（新）'!DZ21/D21</f>
        <v>#DIV/0!</v>
      </c>
      <c r="K21" s="56" t="e">
        <f>商店!AB19/D21</f>
        <v>#DIV/0!</v>
      </c>
    </row>
    <row r="22" spans="3:11" x14ac:dyDescent="0.15">
      <c r="C22" s="2">
        <v>15</v>
      </c>
      <c r="D22" s="2">
        <f>'奖励（新）'!DZ22+商店!AB20</f>
        <v>0</v>
      </c>
      <c r="E22" s="2">
        <f>'奖励（新）'!EA22+商店!AC20</f>
        <v>0</v>
      </c>
      <c r="F22" s="2">
        <f>'奖励（新）'!EB22+商店!AD20</f>
        <v>0</v>
      </c>
      <c r="G22" s="2">
        <f>'奖励（新）'!EC22+商店!AE20</f>
        <v>0</v>
      </c>
      <c r="H22" s="2">
        <f>'奖励（新）'!ED22+商店!AF20</f>
        <v>0</v>
      </c>
      <c r="J22" s="56" t="e">
        <f>'奖励（新）'!DZ22/D22</f>
        <v>#DIV/0!</v>
      </c>
      <c r="K22" s="56" t="e">
        <f>商店!AB20/D22</f>
        <v>#DIV/0!</v>
      </c>
    </row>
    <row r="23" spans="3:11" x14ac:dyDescent="0.15">
      <c r="C23" s="2">
        <v>16</v>
      </c>
      <c r="D23" s="2">
        <f>'奖励（新）'!DZ23+商店!AB21</f>
        <v>0</v>
      </c>
      <c r="E23" s="2">
        <f>'奖励（新）'!EA23+商店!AC21</f>
        <v>0</v>
      </c>
      <c r="F23" s="2">
        <f>'奖励（新）'!EB23+商店!AD21</f>
        <v>0</v>
      </c>
      <c r="G23" s="2">
        <f>'奖励（新）'!EC23+商店!AE21</f>
        <v>0</v>
      </c>
      <c r="H23" s="2">
        <f>'奖励（新）'!ED23+商店!AF21</f>
        <v>0</v>
      </c>
      <c r="J23" s="56" t="e">
        <f>'奖励（新）'!DZ23/D23</f>
        <v>#DIV/0!</v>
      </c>
      <c r="K23" s="56" t="e">
        <f>商店!AB21/D23</f>
        <v>#DIV/0!</v>
      </c>
    </row>
    <row r="24" spans="3:11" x14ac:dyDescent="0.15">
      <c r="C24" s="2">
        <v>17</v>
      </c>
      <c r="D24" s="2">
        <f>'奖励（新）'!DZ24+商店!AB22</f>
        <v>0</v>
      </c>
      <c r="E24" s="2">
        <f>'奖励（新）'!EA24+商店!AC22</f>
        <v>0</v>
      </c>
      <c r="F24" s="2">
        <f>'奖励（新）'!EB24+商店!AD22</f>
        <v>0</v>
      </c>
      <c r="G24" s="2">
        <f>'奖励（新）'!EC24+商店!AE22</f>
        <v>0</v>
      </c>
      <c r="H24" s="2">
        <f>'奖励（新）'!ED24+商店!AF22</f>
        <v>0</v>
      </c>
      <c r="J24" s="56" t="e">
        <f>'奖励（新）'!DZ24/D24</f>
        <v>#DIV/0!</v>
      </c>
      <c r="K24" s="56" t="e">
        <f>商店!AB22/D24</f>
        <v>#DIV/0!</v>
      </c>
    </row>
    <row r="25" spans="3:11" x14ac:dyDescent="0.15">
      <c r="C25" s="2">
        <v>18</v>
      </c>
      <c r="D25" s="2">
        <f>'奖励（新）'!DZ25+商店!AB23</f>
        <v>0</v>
      </c>
      <c r="E25" s="2">
        <f>'奖励（新）'!EA25+商店!AC23</f>
        <v>0</v>
      </c>
      <c r="F25" s="2">
        <f>'奖励（新）'!EB25+商店!AD23</f>
        <v>0</v>
      </c>
      <c r="G25" s="2">
        <f>'奖励（新）'!EC25+商店!AE23</f>
        <v>0</v>
      </c>
      <c r="H25" s="2">
        <f>'奖励（新）'!ED25+商店!AF23</f>
        <v>0</v>
      </c>
      <c r="J25" s="56" t="e">
        <f>'奖励（新）'!DZ25/D25</f>
        <v>#DIV/0!</v>
      </c>
      <c r="K25" s="56" t="e">
        <f>商店!AB23/D25</f>
        <v>#DIV/0!</v>
      </c>
    </row>
    <row r="26" spans="3:11" x14ac:dyDescent="0.15">
      <c r="C26" s="2">
        <v>19</v>
      </c>
      <c r="D26" s="2">
        <f>'奖励（新）'!DZ26+商店!AB24</f>
        <v>0</v>
      </c>
      <c r="E26" s="2">
        <f>'奖励（新）'!EA26+商店!AC24</f>
        <v>0</v>
      </c>
      <c r="F26" s="2">
        <f>'奖励（新）'!EB26+商店!AD24</f>
        <v>0</v>
      </c>
      <c r="G26" s="2">
        <f>'奖励（新）'!EC26+商店!AE24</f>
        <v>0</v>
      </c>
      <c r="H26" s="2">
        <f>'奖励（新）'!ED26+商店!AF24</f>
        <v>0</v>
      </c>
      <c r="J26" s="56" t="e">
        <f>'奖励（新）'!DZ26/D26</f>
        <v>#DIV/0!</v>
      </c>
      <c r="K26" s="56" t="e">
        <f>商店!AB24/D26</f>
        <v>#DIV/0!</v>
      </c>
    </row>
    <row r="27" spans="3:11" x14ac:dyDescent="0.15">
      <c r="C27" s="2">
        <v>20</v>
      </c>
      <c r="D27" s="2">
        <f>'奖励（新）'!DZ27+商店!AB25</f>
        <v>0</v>
      </c>
      <c r="E27" s="2">
        <f>'奖励（新）'!EA27+商店!AC25</f>
        <v>0</v>
      </c>
      <c r="F27" s="2">
        <f>'奖励（新）'!EB27+商店!AD25</f>
        <v>0</v>
      </c>
      <c r="G27" s="2">
        <f>'奖励（新）'!EC27+商店!AE25</f>
        <v>0</v>
      </c>
      <c r="H27" s="2">
        <f>'奖励（新）'!ED27+商店!AF25</f>
        <v>0</v>
      </c>
      <c r="J27" s="56" t="e">
        <f>'奖励（新）'!DZ27/D27</f>
        <v>#DIV/0!</v>
      </c>
      <c r="K27" s="56" t="e">
        <f>商店!AB25/D27</f>
        <v>#DIV/0!</v>
      </c>
    </row>
    <row r="28" spans="3:11" x14ac:dyDescent="0.15">
      <c r="C28" s="2">
        <v>21</v>
      </c>
      <c r="D28" s="2">
        <f>'奖励（新）'!DZ28+商店!AB26</f>
        <v>0</v>
      </c>
      <c r="E28" s="2">
        <f>'奖励（新）'!EA28+商店!AC26</f>
        <v>0</v>
      </c>
      <c r="F28" s="2">
        <f>'奖励（新）'!EB28+商店!AD26</f>
        <v>0</v>
      </c>
      <c r="G28" s="2">
        <f>'奖励（新）'!EC28+商店!AE26</f>
        <v>0</v>
      </c>
      <c r="H28" s="2">
        <f>'奖励（新）'!ED28+商店!AF26</f>
        <v>0</v>
      </c>
      <c r="J28" s="56" t="e">
        <f>'奖励（新）'!DZ28/D28</f>
        <v>#DIV/0!</v>
      </c>
      <c r="K28" s="56" t="e">
        <f>商店!AB26/D28</f>
        <v>#DIV/0!</v>
      </c>
    </row>
    <row r="29" spans="3:11" x14ac:dyDescent="0.15">
      <c r="C29" s="2">
        <v>22</v>
      </c>
      <c r="D29" s="2">
        <f>'奖励（新）'!DZ29+商店!AB27</f>
        <v>0</v>
      </c>
      <c r="E29" s="2">
        <f>'奖励（新）'!EA29+商店!AC27</f>
        <v>0</v>
      </c>
      <c r="F29" s="2">
        <f>'奖励（新）'!EB29+商店!AD27</f>
        <v>0</v>
      </c>
      <c r="G29" s="2">
        <f>'奖励（新）'!EC29+商店!AE27</f>
        <v>0</v>
      </c>
      <c r="H29" s="2">
        <f>'奖励（新）'!ED29+商店!AF27</f>
        <v>0</v>
      </c>
      <c r="J29" s="56" t="e">
        <f>'奖励（新）'!DZ29/D29</f>
        <v>#DIV/0!</v>
      </c>
      <c r="K29" s="56" t="e">
        <f>商店!AB27/D29</f>
        <v>#DIV/0!</v>
      </c>
    </row>
    <row r="30" spans="3:11" x14ac:dyDescent="0.15">
      <c r="C30" s="2">
        <v>23</v>
      </c>
      <c r="D30" s="2">
        <f>'奖励（新）'!DZ30+商店!AB28</f>
        <v>0</v>
      </c>
      <c r="E30" s="2">
        <f>'奖励（新）'!EA30+商店!AC28</f>
        <v>0</v>
      </c>
      <c r="F30" s="2">
        <f>'奖励（新）'!EB30+商店!AD28</f>
        <v>0</v>
      </c>
      <c r="G30" s="2">
        <f>'奖励（新）'!EC30+商店!AE28</f>
        <v>0</v>
      </c>
      <c r="H30" s="2">
        <f>'奖励（新）'!ED30+商店!AF28</f>
        <v>0</v>
      </c>
      <c r="J30" s="56" t="e">
        <f>'奖励（新）'!DZ30/D30</f>
        <v>#DIV/0!</v>
      </c>
      <c r="K30" s="56" t="e">
        <f>商店!AB28/D30</f>
        <v>#DIV/0!</v>
      </c>
    </row>
    <row r="31" spans="3:11" x14ac:dyDescent="0.15">
      <c r="C31" s="2">
        <v>24</v>
      </c>
      <c r="D31" s="2">
        <f>'奖励（新）'!DZ31+商店!AB29</f>
        <v>0</v>
      </c>
      <c r="E31" s="2">
        <f>'奖励（新）'!EA31+商店!AC29</f>
        <v>0</v>
      </c>
      <c r="F31" s="2">
        <f>'奖励（新）'!EB31+商店!AD29</f>
        <v>0</v>
      </c>
      <c r="G31" s="2">
        <f>'奖励（新）'!EC31+商店!AE29</f>
        <v>0</v>
      </c>
      <c r="H31" s="2">
        <f>'奖励（新）'!ED31+商店!AF29</f>
        <v>0</v>
      </c>
      <c r="J31" s="56" t="e">
        <f>'奖励（新）'!DZ31/D31</f>
        <v>#DIV/0!</v>
      </c>
      <c r="K31" s="56" t="e">
        <f>商店!AB29/D31</f>
        <v>#DIV/0!</v>
      </c>
    </row>
    <row r="32" spans="3:11" x14ac:dyDescent="0.15">
      <c r="C32" s="2">
        <v>25</v>
      </c>
      <c r="D32" s="2">
        <f>'奖励（新）'!DZ32+商店!AB30</f>
        <v>0</v>
      </c>
      <c r="E32" s="2">
        <f>'奖励（新）'!EA32+商店!AC30</f>
        <v>0</v>
      </c>
      <c r="F32" s="2">
        <f>'奖励（新）'!EB32+商店!AD30</f>
        <v>0</v>
      </c>
      <c r="G32" s="2">
        <f>'奖励（新）'!EC32+商店!AE30</f>
        <v>0</v>
      </c>
      <c r="H32" s="2">
        <f>'奖励（新）'!ED32+商店!AF30</f>
        <v>0</v>
      </c>
      <c r="J32" s="56" t="e">
        <f>'奖励（新）'!DZ32/D32</f>
        <v>#DIV/0!</v>
      </c>
      <c r="K32" s="56" t="e">
        <f>商店!AB30/D32</f>
        <v>#DIV/0!</v>
      </c>
    </row>
    <row r="33" spans="3:11" x14ac:dyDescent="0.15">
      <c r="C33" s="2">
        <v>26</v>
      </c>
      <c r="D33" s="2">
        <f>'奖励（新）'!DZ33+商店!AB31</f>
        <v>0</v>
      </c>
      <c r="E33" s="2">
        <f>'奖励（新）'!EA33+商店!AC31</f>
        <v>0</v>
      </c>
      <c r="F33" s="2">
        <f>'奖励（新）'!EB33+商店!AD31</f>
        <v>0</v>
      </c>
      <c r="G33" s="2">
        <f>'奖励（新）'!EC33+商店!AE31</f>
        <v>0</v>
      </c>
      <c r="H33" s="2">
        <f>'奖励（新）'!ED33+商店!AF31</f>
        <v>0</v>
      </c>
      <c r="J33" s="56" t="e">
        <f>'奖励（新）'!DZ33/D33</f>
        <v>#DIV/0!</v>
      </c>
      <c r="K33" s="56" t="e">
        <f>商店!AB31/D33</f>
        <v>#DIV/0!</v>
      </c>
    </row>
    <row r="34" spans="3:11" x14ac:dyDescent="0.15">
      <c r="C34" s="2">
        <v>27</v>
      </c>
      <c r="D34" s="2">
        <f>'奖励（新）'!DZ34+商店!AB32</f>
        <v>0</v>
      </c>
      <c r="E34" s="2">
        <f>'奖励（新）'!EA34+商店!AC32</f>
        <v>0</v>
      </c>
      <c r="F34" s="2">
        <f>'奖励（新）'!EB34+商店!AD32</f>
        <v>0</v>
      </c>
      <c r="G34" s="2">
        <f>'奖励（新）'!EC34+商店!AE32</f>
        <v>0</v>
      </c>
      <c r="H34" s="2">
        <f>'奖励（新）'!ED34+商店!AF32</f>
        <v>0</v>
      </c>
      <c r="J34" s="56" t="e">
        <f>'奖励（新）'!DZ34/D34</f>
        <v>#DIV/0!</v>
      </c>
      <c r="K34" s="56" t="e">
        <f>商店!AB32/D34</f>
        <v>#DIV/0!</v>
      </c>
    </row>
    <row r="35" spans="3:11" x14ac:dyDescent="0.15">
      <c r="C35" s="2">
        <v>28</v>
      </c>
      <c r="D35" s="2">
        <f>'奖励（新）'!DZ35+商店!AB33</f>
        <v>0</v>
      </c>
      <c r="E35" s="2">
        <f>'奖励（新）'!EA35+商店!AC33</f>
        <v>0</v>
      </c>
      <c r="F35" s="2">
        <f>'奖励（新）'!EB35+商店!AD33</f>
        <v>0</v>
      </c>
      <c r="G35" s="2">
        <f>'奖励（新）'!EC35+商店!AE33</f>
        <v>0</v>
      </c>
      <c r="H35" s="2">
        <f>'奖励（新）'!ED35+商店!AF33</f>
        <v>0</v>
      </c>
      <c r="J35" s="56" t="e">
        <f>'奖励（新）'!DZ35/D35</f>
        <v>#DIV/0!</v>
      </c>
      <c r="K35" s="56" t="e">
        <f>商店!AB33/D35</f>
        <v>#DIV/0!</v>
      </c>
    </row>
    <row r="36" spans="3:11" x14ac:dyDescent="0.15">
      <c r="C36" s="2">
        <v>29</v>
      </c>
      <c r="D36" s="2">
        <f>'奖励（新）'!DZ36+商店!AB34</f>
        <v>0</v>
      </c>
      <c r="E36" s="2">
        <f>'奖励（新）'!EA36+商店!AC34</f>
        <v>0</v>
      </c>
      <c r="F36" s="2">
        <f>'奖励（新）'!EB36+商店!AD34</f>
        <v>0</v>
      </c>
      <c r="G36" s="2">
        <f>'奖励（新）'!EC36+商店!AE34</f>
        <v>0</v>
      </c>
      <c r="H36" s="2">
        <f>'奖励（新）'!ED36+商店!AF34</f>
        <v>0</v>
      </c>
      <c r="J36" s="56" t="e">
        <f>'奖励（新）'!DZ36/D36</f>
        <v>#DIV/0!</v>
      </c>
      <c r="K36" s="56" t="e">
        <f>商店!AB34/D36</f>
        <v>#DIV/0!</v>
      </c>
    </row>
    <row r="37" spans="3:11" x14ac:dyDescent="0.15">
      <c r="C37" s="2">
        <v>30</v>
      </c>
      <c r="D37" s="2">
        <f>'奖励（新）'!DZ37+商店!AB35</f>
        <v>0</v>
      </c>
      <c r="E37" s="2">
        <f>'奖励（新）'!EA37+商店!AC35</f>
        <v>0</v>
      </c>
      <c r="F37" s="2">
        <f>'奖励（新）'!EB37+商店!AD35</f>
        <v>0</v>
      </c>
      <c r="G37" s="2">
        <f>'奖励（新）'!EC37+商店!AE35</f>
        <v>0</v>
      </c>
      <c r="H37" s="2">
        <f>'奖励（新）'!ED37+商店!AF35</f>
        <v>0</v>
      </c>
      <c r="J37" s="56" t="e">
        <f>'奖励（新）'!DZ37/D37</f>
        <v>#DIV/0!</v>
      </c>
      <c r="K37" s="56" t="e">
        <f>商店!AB35/D37</f>
        <v>#DIV/0!</v>
      </c>
    </row>
    <row r="38" spans="3:11" x14ac:dyDescent="0.15">
      <c r="C38" s="2">
        <v>31</v>
      </c>
      <c r="D38" s="2">
        <f>'奖励（新）'!DZ38+商店!AB36</f>
        <v>0</v>
      </c>
      <c r="E38" s="2">
        <f>'奖励（新）'!EA38+商店!AC36</f>
        <v>0</v>
      </c>
      <c r="F38" s="2">
        <f>'奖励（新）'!EB38+商店!AD36</f>
        <v>0</v>
      </c>
      <c r="G38" s="2">
        <f>'奖励（新）'!EC38+商店!AE36</f>
        <v>0</v>
      </c>
      <c r="H38" s="2">
        <f>'奖励（新）'!ED38+商店!AF36</f>
        <v>0</v>
      </c>
      <c r="J38" s="56" t="e">
        <f>'奖励（新）'!DZ38/D38</f>
        <v>#DIV/0!</v>
      </c>
      <c r="K38" s="56" t="e">
        <f>商店!AB36/D38</f>
        <v>#DIV/0!</v>
      </c>
    </row>
    <row r="39" spans="3:11" x14ac:dyDescent="0.15">
      <c r="C39" s="2">
        <v>32</v>
      </c>
      <c r="D39" s="2">
        <f>'奖励（新）'!DZ39+商店!AB37</f>
        <v>0</v>
      </c>
      <c r="E39" s="2">
        <f>'奖励（新）'!EA39+商店!AC37</f>
        <v>0</v>
      </c>
      <c r="F39" s="2">
        <f>'奖励（新）'!EB39+商店!AD37</f>
        <v>0</v>
      </c>
      <c r="G39" s="2">
        <f>'奖励（新）'!EC39+商店!AE37</f>
        <v>0</v>
      </c>
      <c r="H39" s="2">
        <f>'奖励（新）'!ED39+商店!AF37</f>
        <v>0</v>
      </c>
      <c r="J39" s="56" t="e">
        <f>'奖励（新）'!DZ39/D39</f>
        <v>#DIV/0!</v>
      </c>
      <c r="K39" s="56" t="e">
        <f>商店!AB37/D39</f>
        <v>#DIV/0!</v>
      </c>
    </row>
    <row r="40" spans="3:11" x14ac:dyDescent="0.15">
      <c r="C40" s="2">
        <v>33</v>
      </c>
      <c r="D40" s="2">
        <f>'奖励（新）'!DZ40+商店!AB38</f>
        <v>0</v>
      </c>
      <c r="E40" s="2">
        <f>'奖励（新）'!EA40+商店!AC38</f>
        <v>0</v>
      </c>
      <c r="F40" s="2">
        <f>'奖励（新）'!EB40+商店!AD38</f>
        <v>0</v>
      </c>
      <c r="G40" s="2">
        <f>'奖励（新）'!EC40+商店!AE38</f>
        <v>0</v>
      </c>
      <c r="H40" s="2">
        <f>'奖励（新）'!ED40+商店!AF38</f>
        <v>0</v>
      </c>
      <c r="J40" s="56" t="e">
        <f>'奖励（新）'!DZ40/D40</f>
        <v>#DIV/0!</v>
      </c>
      <c r="K40" s="56" t="e">
        <f>商店!AB38/D40</f>
        <v>#DIV/0!</v>
      </c>
    </row>
    <row r="41" spans="3:11" x14ac:dyDescent="0.15">
      <c r="C41" s="2">
        <v>34</v>
      </c>
      <c r="D41" s="2">
        <f>'奖励（新）'!DZ41+商店!AB39</f>
        <v>0</v>
      </c>
      <c r="E41" s="2">
        <f>'奖励（新）'!EA41+商店!AC39</f>
        <v>0</v>
      </c>
      <c r="F41" s="2">
        <f>'奖励（新）'!EB41+商店!AD39</f>
        <v>0</v>
      </c>
      <c r="G41" s="2">
        <f>'奖励（新）'!EC41+商店!AE39</f>
        <v>0</v>
      </c>
      <c r="H41" s="2">
        <f>'奖励（新）'!ED41+商店!AF39</f>
        <v>0</v>
      </c>
      <c r="J41" s="56" t="e">
        <f>'奖励（新）'!DZ41/D41</f>
        <v>#DIV/0!</v>
      </c>
      <c r="K41" s="56" t="e">
        <f>商店!AB39/D41</f>
        <v>#DIV/0!</v>
      </c>
    </row>
    <row r="42" spans="3:11" x14ac:dyDescent="0.15">
      <c r="C42" s="2">
        <v>35</v>
      </c>
      <c r="D42" s="2">
        <f>'奖励（新）'!DZ42+商店!AB40</f>
        <v>0</v>
      </c>
      <c r="E42" s="2">
        <f>'奖励（新）'!EA42+商店!AC40</f>
        <v>0</v>
      </c>
      <c r="F42" s="2">
        <f>'奖励（新）'!EB42+商店!AD40</f>
        <v>0</v>
      </c>
      <c r="G42" s="2">
        <f>'奖励（新）'!EC42+商店!AE40</f>
        <v>0</v>
      </c>
      <c r="H42" s="2">
        <f>'奖励（新）'!ED42+商店!AF40</f>
        <v>0</v>
      </c>
      <c r="J42" s="56" t="e">
        <f>'奖励（新）'!DZ42/D42</f>
        <v>#DIV/0!</v>
      </c>
      <c r="K42" s="56" t="e">
        <f>商店!AB40/D42</f>
        <v>#DIV/0!</v>
      </c>
    </row>
    <row r="43" spans="3:11" x14ac:dyDescent="0.15">
      <c r="C43" s="2">
        <v>36</v>
      </c>
      <c r="D43" s="2">
        <f>'奖励（新）'!DZ43+商店!AB41</f>
        <v>0</v>
      </c>
      <c r="E43" s="2">
        <f>'奖励（新）'!EA43+商店!AC41</f>
        <v>0</v>
      </c>
      <c r="F43" s="2">
        <f>'奖励（新）'!EB43+商店!AD41</f>
        <v>0</v>
      </c>
      <c r="G43" s="2">
        <f>'奖励（新）'!EC43+商店!AE41</f>
        <v>0</v>
      </c>
      <c r="H43" s="2">
        <f>'奖励（新）'!ED43+商店!AF41</f>
        <v>0</v>
      </c>
      <c r="J43" s="56" t="e">
        <f>'奖励（新）'!DZ43/D43</f>
        <v>#DIV/0!</v>
      </c>
      <c r="K43" s="56" t="e">
        <f>商店!AB41/D43</f>
        <v>#DIV/0!</v>
      </c>
    </row>
    <row r="44" spans="3:11" x14ac:dyDescent="0.15">
      <c r="C44" s="2">
        <v>37</v>
      </c>
      <c r="D44" s="2">
        <f>'奖励（新）'!DZ44+商店!AB42</f>
        <v>0</v>
      </c>
      <c r="E44" s="2">
        <f>'奖励（新）'!EA44+商店!AC42</f>
        <v>0</v>
      </c>
      <c r="F44" s="2">
        <f>'奖励（新）'!EB44+商店!AD42</f>
        <v>0</v>
      </c>
      <c r="G44" s="2">
        <f>'奖励（新）'!EC44+商店!AE42</f>
        <v>0</v>
      </c>
      <c r="H44" s="2">
        <f>'奖励（新）'!ED44+商店!AF42</f>
        <v>0</v>
      </c>
      <c r="J44" s="56" t="e">
        <f>'奖励（新）'!DZ44/D44</f>
        <v>#DIV/0!</v>
      </c>
      <c r="K44" s="56" t="e">
        <f>商店!AB42/D44</f>
        <v>#DIV/0!</v>
      </c>
    </row>
    <row r="45" spans="3:11" x14ac:dyDescent="0.15">
      <c r="C45" s="2">
        <v>38</v>
      </c>
      <c r="D45" s="2">
        <f>'奖励（新）'!DZ45+商店!AB43</f>
        <v>0</v>
      </c>
      <c r="E45" s="2">
        <f>'奖励（新）'!EA45+商店!AC43</f>
        <v>0</v>
      </c>
      <c r="F45" s="2">
        <f>'奖励（新）'!EB45+商店!AD43</f>
        <v>0</v>
      </c>
      <c r="G45" s="2">
        <f>'奖励（新）'!EC45+商店!AE43</f>
        <v>0</v>
      </c>
      <c r="H45" s="2">
        <f>'奖励（新）'!ED45+商店!AF43</f>
        <v>0</v>
      </c>
      <c r="J45" s="56" t="e">
        <f>'奖励（新）'!DZ45/D45</f>
        <v>#DIV/0!</v>
      </c>
      <c r="K45" s="56" t="e">
        <f>商店!AB43/D45</f>
        <v>#DIV/0!</v>
      </c>
    </row>
    <row r="46" spans="3:11" x14ac:dyDescent="0.15">
      <c r="C46" s="2">
        <v>39</v>
      </c>
      <c r="D46" s="2">
        <f>'奖励（新）'!DZ46+商店!AB44</f>
        <v>0</v>
      </c>
      <c r="E46" s="2">
        <f>'奖励（新）'!EA46+商店!AC44</f>
        <v>0</v>
      </c>
      <c r="F46" s="2">
        <f>'奖励（新）'!EB46+商店!AD44</f>
        <v>0</v>
      </c>
      <c r="G46" s="2">
        <f>'奖励（新）'!EC46+商店!AE44</f>
        <v>0</v>
      </c>
      <c r="H46" s="2">
        <f>'奖励（新）'!ED46+商店!AF44</f>
        <v>0</v>
      </c>
      <c r="J46" s="56" t="e">
        <f>'奖励（新）'!DZ46/D46</f>
        <v>#DIV/0!</v>
      </c>
      <c r="K46" s="56" t="e">
        <f>商店!AB44/D46</f>
        <v>#DIV/0!</v>
      </c>
    </row>
    <row r="47" spans="3:11" x14ac:dyDescent="0.15">
      <c r="C47" s="2">
        <v>40</v>
      </c>
      <c r="D47" s="2">
        <f>'奖励（新）'!DZ47+商店!AB45</f>
        <v>0</v>
      </c>
      <c r="E47" s="2">
        <f>'奖励（新）'!EA47+商店!AC45</f>
        <v>0</v>
      </c>
      <c r="F47" s="2">
        <f>'奖励（新）'!EB47+商店!AD45</f>
        <v>0</v>
      </c>
      <c r="G47" s="2">
        <f>'奖励（新）'!EC47+商店!AE45</f>
        <v>0</v>
      </c>
      <c r="H47" s="2">
        <f>'奖励（新）'!ED47+商店!AF45</f>
        <v>0</v>
      </c>
      <c r="J47" s="56" t="e">
        <f>'奖励（新）'!DZ47/D47</f>
        <v>#DIV/0!</v>
      </c>
      <c r="K47" s="56" t="e">
        <f>商店!AB45/D47</f>
        <v>#DIV/0!</v>
      </c>
    </row>
    <row r="48" spans="3:11" x14ac:dyDescent="0.15">
      <c r="C48" s="2">
        <v>41</v>
      </c>
      <c r="D48" s="2">
        <f>'奖励（新）'!DZ48+商店!AB46</f>
        <v>0</v>
      </c>
      <c r="E48" s="2">
        <f>'奖励（新）'!EA48+商店!AC46</f>
        <v>0</v>
      </c>
      <c r="F48" s="2">
        <f>'奖励（新）'!EB48+商店!AD46</f>
        <v>0</v>
      </c>
      <c r="G48" s="2">
        <f>'奖励（新）'!EC48+商店!AE46</f>
        <v>0</v>
      </c>
      <c r="H48" s="2">
        <f>'奖励（新）'!ED48+商店!AF46</f>
        <v>0</v>
      </c>
      <c r="J48" s="56" t="e">
        <f>'奖励（新）'!DZ48/D48</f>
        <v>#DIV/0!</v>
      </c>
      <c r="K48" s="56" t="e">
        <f>商店!AB46/D48</f>
        <v>#DIV/0!</v>
      </c>
    </row>
    <row r="49" spans="3:11" x14ac:dyDescent="0.15">
      <c r="C49" s="2">
        <v>42</v>
      </c>
      <c r="D49" s="2">
        <f>'奖励（新）'!DZ49+商店!AB47</f>
        <v>0</v>
      </c>
      <c r="E49" s="2">
        <f>'奖励（新）'!EA49+商店!AC47</f>
        <v>0</v>
      </c>
      <c r="F49" s="2">
        <f>'奖励（新）'!EB49+商店!AD47</f>
        <v>0</v>
      </c>
      <c r="G49" s="2">
        <f>'奖励（新）'!EC49+商店!AE47</f>
        <v>0</v>
      </c>
      <c r="H49" s="2">
        <f>'奖励（新）'!ED49+商店!AF47</f>
        <v>0</v>
      </c>
      <c r="J49" s="56" t="e">
        <f>'奖励（新）'!DZ49/D49</f>
        <v>#DIV/0!</v>
      </c>
      <c r="K49" s="56" t="e">
        <f>商店!AB47/D49</f>
        <v>#DIV/0!</v>
      </c>
    </row>
    <row r="50" spans="3:11" x14ac:dyDescent="0.15">
      <c r="C50" s="2">
        <v>43</v>
      </c>
      <c r="D50" s="2">
        <f>'奖励（新）'!DZ50+商店!AB48</f>
        <v>0</v>
      </c>
      <c r="E50" s="2">
        <f>'奖励（新）'!EA50+商店!AC48</f>
        <v>0</v>
      </c>
      <c r="F50" s="2">
        <f>'奖励（新）'!EB50+商店!AD48</f>
        <v>0</v>
      </c>
      <c r="G50" s="2">
        <f>'奖励（新）'!EC50+商店!AE48</f>
        <v>0</v>
      </c>
      <c r="H50" s="2">
        <f>'奖励（新）'!ED50+商店!AF48</f>
        <v>0</v>
      </c>
      <c r="J50" s="56" t="e">
        <f>'奖励（新）'!DZ50/D50</f>
        <v>#DIV/0!</v>
      </c>
      <c r="K50" s="56" t="e">
        <f>商店!AB48/D50</f>
        <v>#DIV/0!</v>
      </c>
    </row>
    <row r="51" spans="3:11" x14ac:dyDescent="0.15">
      <c r="C51" s="2">
        <v>44</v>
      </c>
      <c r="D51" s="2">
        <f>'奖励（新）'!DZ51+商店!AB49</f>
        <v>0</v>
      </c>
      <c r="E51" s="2">
        <f>'奖励（新）'!EA51+商店!AC49</f>
        <v>0</v>
      </c>
      <c r="F51" s="2">
        <f>'奖励（新）'!EB51+商店!AD49</f>
        <v>0</v>
      </c>
      <c r="G51" s="2">
        <f>'奖励（新）'!EC51+商店!AE49</f>
        <v>0</v>
      </c>
      <c r="H51" s="2">
        <f>'奖励（新）'!ED51+商店!AF49</f>
        <v>0</v>
      </c>
      <c r="J51" s="56" t="e">
        <f>'奖励（新）'!DZ51/D51</f>
        <v>#DIV/0!</v>
      </c>
      <c r="K51" s="56" t="e">
        <f>商店!AB49/D51</f>
        <v>#DIV/0!</v>
      </c>
    </row>
    <row r="52" spans="3:11" x14ac:dyDescent="0.15">
      <c r="C52" s="2">
        <v>45</v>
      </c>
      <c r="D52" s="2">
        <f>'奖励（新）'!DZ52+商店!AB50</f>
        <v>0</v>
      </c>
      <c r="E52" s="2">
        <f>'奖励（新）'!EA52+商店!AC50</f>
        <v>0</v>
      </c>
      <c r="F52" s="2">
        <f>'奖励（新）'!EB52+商店!AD50</f>
        <v>0</v>
      </c>
      <c r="G52" s="2">
        <f>'奖励（新）'!EC52+商店!AE50</f>
        <v>0</v>
      </c>
      <c r="H52" s="2">
        <f>'奖励（新）'!ED52+商店!AF50</f>
        <v>0</v>
      </c>
      <c r="J52" s="56" t="e">
        <f>'奖励（新）'!DZ52/D52</f>
        <v>#DIV/0!</v>
      </c>
      <c r="K52" s="56" t="e">
        <f>商店!AB50/D52</f>
        <v>#DIV/0!</v>
      </c>
    </row>
    <row r="53" spans="3:11" x14ac:dyDescent="0.15">
      <c r="C53" s="2">
        <v>46</v>
      </c>
      <c r="D53" s="2">
        <f>'奖励（新）'!DZ53+商店!AB51</f>
        <v>0</v>
      </c>
      <c r="E53" s="2">
        <f>'奖励（新）'!EA53+商店!AC51</f>
        <v>0</v>
      </c>
      <c r="F53" s="2">
        <f>'奖励（新）'!EB53+商店!AD51</f>
        <v>0</v>
      </c>
      <c r="G53" s="2">
        <f>'奖励（新）'!EC53+商店!AE51</f>
        <v>0</v>
      </c>
      <c r="H53" s="2">
        <f>'奖励（新）'!ED53+商店!AF51</f>
        <v>0</v>
      </c>
      <c r="J53" s="56" t="e">
        <f>'奖励（新）'!DZ53/D53</f>
        <v>#DIV/0!</v>
      </c>
      <c r="K53" s="56" t="e">
        <f>商店!AB51/D53</f>
        <v>#DIV/0!</v>
      </c>
    </row>
    <row r="54" spans="3:11" x14ac:dyDescent="0.15">
      <c r="C54" s="2">
        <v>47</v>
      </c>
      <c r="D54" s="2">
        <f>'奖励（新）'!DZ54+商店!AB52</f>
        <v>0</v>
      </c>
      <c r="E54" s="2">
        <f>'奖励（新）'!EA54+商店!AC52</f>
        <v>0</v>
      </c>
      <c r="F54" s="2">
        <f>'奖励（新）'!EB54+商店!AD52</f>
        <v>0</v>
      </c>
      <c r="G54" s="2">
        <f>'奖励（新）'!EC54+商店!AE52</f>
        <v>0</v>
      </c>
      <c r="H54" s="2">
        <f>'奖励（新）'!ED54+商店!AF52</f>
        <v>0</v>
      </c>
      <c r="J54" s="56" t="e">
        <f>'奖励（新）'!DZ54/D54</f>
        <v>#DIV/0!</v>
      </c>
      <c r="K54" s="56" t="e">
        <f>商店!AB52/D54</f>
        <v>#DIV/0!</v>
      </c>
    </row>
    <row r="55" spans="3:11" x14ac:dyDescent="0.15">
      <c r="C55" s="2">
        <v>48</v>
      </c>
      <c r="D55" s="2">
        <f>'奖励（新）'!DZ55+商店!AB53</f>
        <v>0</v>
      </c>
      <c r="E55" s="2">
        <f>'奖励（新）'!EA55+商店!AC53</f>
        <v>0</v>
      </c>
      <c r="F55" s="2">
        <f>'奖励（新）'!EB55+商店!AD53</f>
        <v>0</v>
      </c>
      <c r="G55" s="2">
        <f>'奖励（新）'!EC55+商店!AE53</f>
        <v>0</v>
      </c>
      <c r="H55" s="2">
        <f>'奖励（新）'!ED55+商店!AF53</f>
        <v>0</v>
      </c>
      <c r="J55" s="56" t="e">
        <f>'奖励（新）'!DZ55/D55</f>
        <v>#DIV/0!</v>
      </c>
      <c r="K55" s="56" t="e">
        <f>商店!AB53/D55</f>
        <v>#DIV/0!</v>
      </c>
    </row>
    <row r="56" spans="3:11" x14ac:dyDescent="0.15">
      <c r="C56" s="2">
        <v>49</v>
      </c>
      <c r="D56" s="2">
        <f>'奖励（新）'!DZ56+商店!AB54</f>
        <v>0</v>
      </c>
      <c r="E56" s="2">
        <f>'奖励（新）'!EA56+商店!AC54</f>
        <v>0</v>
      </c>
      <c r="F56" s="2">
        <f>'奖励（新）'!EB56+商店!AD54</f>
        <v>0</v>
      </c>
      <c r="G56" s="2">
        <f>'奖励（新）'!EC56+商店!AE54</f>
        <v>0</v>
      </c>
      <c r="H56" s="2">
        <f>'奖励（新）'!ED56+商店!AF54</f>
        <v>0</v>
      </c>
      <c r="J56" s="56" t="e">
        <f>'奖励（新）'!DZ56/D56</f>
        <v>#DIV/0!</v>
      </c>
      <c r="K56" s="56" t="e">
        <f>商店!AB54/D56</f>
        <v>#DIV/0!</v>
      </c>
    </row>
    <row r="57" spans="3:11" x14ac:dyDescent="0.15">
      <c r="C57" s="2">
        <v>50</v>
      </c>
      <c r="D57" s="2">
        <f>'奖励（新）'!DZ57+商店!AB55</f>
        <v>0</v>
      </c>
      <c r="E57" s="2">
        <f>'奖励（新）'!EA57+商店!AC55</f>
        <v>0</v>
      </c>
      <c r="F57" s="2">
        <f>'奖励（新）'!EB57+商店!AD55</f>
        <v>0</v>
      </c>
      <c r="G57" s="2">
        <f>'奖励（新）'!EC57+商店!AE55</f>
        <v>0</v>
      </c>
      <c r="H57" s="2">
        <f>'奖励（新）'!ED57+商店!AF55</f>
        <v>0</v>
      </c>
      <c r="J57" s="56" t="e">
        <f>'奖励（新）'!DZ57/D57</f>
        <v>#DIV/0!</v>
      </c>
      <c r="K57" s="56" t="e">
        <f>商店!AB55/D57</f>
        <v>#DIV/0!</v>
      </c>
    </row>
    <row r="58" spans="3:11" x14ac:dyDescent="0.15">
      <c r="C58" s="2">
        <v>51</v>
      </c>
      <c r="D58" s="2">
        <f>'奖励（新）'!DZ58+商店!AB56</f>
        <v>0</v>
      </c>
      <c r="E58" s="2">
        <f>'奖励（新）'!EA58+商店!AC56</f>
        <v>0</v>
      </c>
      <c r="F58" s="2">
        <f>'奖励（新）'!EB58+商店!AD56</f>
        <v>0</v>
      </c>
      <c r="G58" s="2">
        <f>'奖励（新）'!EC58+商店!AE56</f>
        <v>0</v>
      </c>
      <c r="H58" s="2">
        <f>'奖励（新）'!ED58+商店!AF56</f>
        <v>0</v>
      </c>
      <c r="J58" s="56" t="e">
        <f>'奖励（新）'!DZ58/D58</f>
        <v>#DIV/0!</v>
      </c>
      <c r="K58" s="56" t="e">
        <f>商店!AB56/D58</f>
        <v>#DIV/0!</v>
      </c>
    </row>
    <row r="59" spans="3:11" x14ac:dyDescent="0.15">
      <c r="C59" s="2">
        <v>52</v>
      </c>
      <c r="D59" s="2">
        <f>'奖励（新）'!DZ59+商店!AB57</f>
        <v>0</v>
      </c>
      <c r="E59" s="2">
        <f>'奖励（新）'!EA59+商店!AC57</f>
        <v>0</v>
      </c>
      <c r="F59" s="2">
        <f>'奖励（新）'!EB59+商店!AD57</f>
        <v>0</v>
      </c>
      <c r="G59" s="2">
        <f>'奖励（新）'!EC59+商店!AE57</f>
        <v>0</v>
      </c>
      <c r="H59" s="2">
        <f>'奖励（新）'!ED59+商店!AF57</f>
        <v>0</v>
      </c>
      <c r="J59" s="56" t="e">
        <f>'奖励（新）'!DZ59/D59</f>
        <v>#DIV/0!</v>
      </c>
      <c r="K59" s="56" t="e">
        <f>商店!AB57/D59</f>
        <v>#DIV/0!</v>
      </c>
    </row>
    <row r="60" spans="3:11" x14ac:dyDescent="0.15">
      <c r="C60" s="2">
        <v>53</v>
      </c>
      <c r="D60" s="2">
        <f>'奖励（新）'!DZ60+商店!AB58</f>
        <v>0</v>
      </c>
      <c r="E60" s="2">
        <f>'奖励（新）'!EA60+商店!AC58</f>
        <v>0</v>
      </c>
      <c r="F60" s="2">
        <f>'奖励（新）'!EB60+商店!AD58</f>
        <v>0</v>
      </c>
      <c r="G60" s="2">
        <f>'奖励（新）'!EC60+商店!AE58</f>
        <v>0</v>
      </c>
      <c r="H60" s="2">
        <f>'奖励（新）'!ED60+商店!AF58</f>
        <v>0</v>
      </c>
      <c r="J60" s="56" t="e">
        <f>'奖励（新）'!DZ60/D60</f>
        <v>#DIV/0!</v>
      </c>
      <c r="K60" s="56" t="e">
        <f>商店!AB58/D60</f>
        <v>#DIV/0!</v>
      </c>
    </row>
    <row r="61" spans="3:11" x14ac:dyDescent="0.15">
      <c r="C61" s="2">
        <v>54</v>
      </c>
      <c r="D61" s="2">
        <f>'奖励（新）'!DZ61+商店!AB59</f>
        <v>0</v>
      </c>
      <c r="E61" s="2">
        <f>'奖励（新）'!EA61+商店!AC59</f>
        <v>0</v>
      </c>
      <c r="F61" s="2">
        <f>'奖励（新）'!EB61+商店!AD59</f>
        <v>0</v>
      </c>
      <c r="G61" s="2">
        <f>'奖励（新）'!EC61+商店!AE59</f>
        <v>0</v>
      </c>
      <c r="H61" s="2">
        <f>'奖励（新）'!ED61+商店!AF59</f>
        <v>0</v>
      </c>
      <c r="J61" s="56" t="e">
        <f>'奖励（新）'!DZ61/D61</f>
        <v>#DIV/0!</v>
      </c>
      <c r="K61" s="56" t="e">
        <f>商店!AB59/D61</f>
        <v>#DIV/0!</v>
      </c>
    </row>
    <row r="62" spans="3:11" x14ac:dyDescent="0.15">
      <c r="C62" s="2">
        <v>55</v>
      </c>
      <c r="D62" s="2">
        <f>'奖励（新）'!DZ62+商店!AB60</f>
        <v>0</v>
      </c>
      <c r="E62" s="2">
        <f>'奖励（新）'!EA62+商店!AC60</f>
        <v>0</v>
      </c>
      <c r="F62" s="2">
        <f>'奖励（新）'!EB62+商店!AD60</f>
        <v>0</v>
      </c>
      <c r="G62" s="2">
        <f>'奖励（新）'!EC62+商店!AE60</f>
        <v>0</v>
      </c>
      <c r="H62" s="2">
        <f>'奖励（新）'!ED62+商店!AF60</f>
        <v>0</v>
      </c>
      <c r="J62" s="56" t="e">
        <f>'奖励（新）'!DZ62/D62</f>
        <v>#DIV/0!</v>
      </c>
      <c r="K62" s="56" t="e">
        <f>商店!AB60/D62</f>
        <v>#DIV/0!</v>
      </c>
    </row>
    <row r="63" spans="3:11" x14ac:dyDescent="0.15">
      <c r="C63" s="2">
        <v>56</v>
      </c>
      <c r="D63" s="2">
        <f>'奖励（新）'!DZ63+商店!AB61</f>
        <v>0</v>
      </c>
      <c r="E63" s="2">
        <f>'奖励（新）'!EA63+商店!AC61</f>
        <v>0</v>
      </c>
      <c r="F63" s="2">
        <f>'奖励（新）'!EB63+商店!AD61</f>
        <v>0</v>
      </c>
      <c r="G63" s="2">
        <f>'奖励（新）'!EC63+商店!AE61</f>
        <v>0</v>
      </c>
      <c r="H63" s="2">
        <f>'奖励（新）'!ED63+商店!AF61</f>
        <v>0</v>
      </c>
      <c r="J63" s="56" t="e">
        <f>'奖励（新）'!DZ63/D63</f>
        <v>#DIV/0!</v>
      </c>
      <c r="K63" s="56" t="e">
        <f>商店!AB61/D63</f>
        <v>#DIV/0!</v>
      </c>
    </row>
    <row r="64" spans="3:11" x14ac:dyDescent="0.15">
      <c r="C64" s="2">
        <v>57</v>
      </c>
      <c r="D64" s="2">
        <f>'奖励（新）'!DZ64+商店!AB62</f>
        <v>0</v>
      </c>
      <c r="E64" s="2">
        <f>'奖励（新）'!EA64+商店!AC62</f>
        <v>0</v>
      </c>
      <c r="F64" s="2">
        <f>'奖励（新）'!EB64+商店!AD62</f>
        <v>0</v>
      </c>
      <c r="G64" s="2">
        <f>'奖励（新）'!EC64+商店!AE62</f>
        <v>0</v>
      </c>
      <c r="H64" s="2">
        <f>'奖励（新）'!ED64+商店!AF62</f>
        <v>0</v>
      </c>
      <c r="J64" s="56" t="e">
        <f>'奖励（新）'!DZ64/D64</f>
        <v>#DIV/0!</v>
      </c>
      <c r="K64" s="56" t="e">
        <f>商店!AB62/D64</f>
        <v>#DIV/0!</v>
      </c>
    </row>
    <row r="65" spans="3:11" x14ac:dyDescent="0.15">
      <c r="C65" s="2">
        <v>58</v>
      </c>
      <c r="D65" s="2">
        <f>'奖励（新）'!DZ65+商店!AB63</f>
        <v>0</v>
      </c>
      <c r="E65" s="2">
        <f>'奖励（新）'!EA65+商店!AC63</f>
        <v>0</v>
      </c>
      <c r="F65" s="2">
        <f>'奖励（新）'!EB65+商店!AD63</f>
        <v>0</v>
      </c>
      <c r="G65" s="2">
        <f>'奖励（新）'!EC65+商店!AE63</f>
        <v>0</v>
      </c>
      <c r="H65" s="2">
        <f>'奖励（新）'!ED65+商店!AF63</f>
        <v>0</v>
      </c>
      <c r="J65" s="56" t="e">
        <f>'奖励（新）'!DZ65/D65</f>
        <v>#DIV/0!</v>
      </c>
      <c r="K65" s="56" t="e">
        <f>商店!AB63/D65</f>
        <v>#DIV/0!</v>
      </c>
    </row>
    <row r="66" spans="3:11" x14ac:dyDescent="0.15">
      <c r="C66" s="2">
        <v>59</v>
      </c>
      <c r="D66" s="2">
        <f>'奖励（新）'!DZ66+商店!AB64</f>
        <v>0</v>
      </c>
      <c r="E66" s="2">
        <f>'奖励（新）'!EA66+商店!AC64</f>
        <v>0</v>
      </c>
      <c r="F66" s="2">
        <f>'奖励（新）'!EB66+商店!AD64</f>
        <v>0</v>
      </c>
      <c r="G66" s="2">
        <f>'奖励（新）'!EC66+商店!AE64</f>
        <v>0</v>
      </c>
      <c r="H66" s="2">
        <f>'奖励（新）'!ED66+商店!AF64</f>
        <v>0</v>
      </c>
      <c r="J66" s="56" t="e">
        <f>'奖励（新）'!DZ66/D66</f>
        <v>#DIV/0!</v>
      </c>
      <c r="K66" s="56" t="e">
        <f>商店!AB64/D66</f>
        <v>#DIV/0!</v>
      </c>
    </row>
    <row r="67" spans="3:11" x14ac:dyDescent="0.15">
      <c r="C67" s="2">
        <v>60</v>
      </c>
      <c r="D67" s="2">
        <f>'奖励（新）'!DZ67+商店!AB65</f>
        <v>45458.630136986299</v>
      </c>
      <c r="E67" s="2">
        <f>'奖励（新）'!EA67+商店!AC65</f>
        <v>0</v>
      </c>
      <c r="F67" s="2">
        <f>'奖励（新）'!EB67+商店!AD65</f>
        <v>0</v>
      </c>
      <c r="G67" s="2">
        <f>'奖励（新）'!EC67+商店!AE65</f>
        <v>0</v>
      </c>
      <c r="H67" s="2">
        <f>'奖励（新）'!ED67+商店!AF65</f>
        <v>0</v>
      </c>
      <c r="J67" s="56">
        <f>'奖励（新）'!DZ67/D67</f>
        <v>0.60403558255586898</v>
      </c>
      <c r="K67" s="56">
        <f>商店!AB65/D67</f>
        <v>0.39596441744413108</v>
      </c>
    </row>
    <row r="68" spans="3:11" x14ac:dyDescent="0.15">
      <c r="C68" s="2">
        <v>61</v>
      </c>
      <c r="D68" s="2">
        <f>'奖励（新）'!DZ68+商店!AB66</f>
        <v>115063.39359486729</v>
      </c>
      <c r="E68" s="2">
        <f>'奖励（新）'!EA68+商店!AC66</f>
        <v>0</v>
      </c>
      <c r="F68" s="2">
        <f>'奖励（新）'!EB68+商店!AD66</f>
        <v>0</v>
      </c>
      <c r="G68" s="2">
        <f>'奖励（新）'!EC68+商店!AE66</f>
        <v>0</v>
      </c>
      <c r="H68" s="2">
        <f>'奖励（新）'!ED68+商店!AF66</f>
        <v>0</v>
      </c>
      <c r="J68" s="56">
        <f>'奖励（新）'!DZ68/D68</f>
        <v>0.60403558255586898</v>
      </c>
      <c r="K68" s="56">
        <f>商店!AB66/D68</f>
        <v>0.39596441744413108</v>
      </c>
    </row>
    <row r="69" spans="3:11" x14ac:dyDescent="0.15">
      <c r="C69" s="2">
        <v>62</v>
      </c>
      <c r="D69" s="2">
        <f>'奖励（新）'!DZ69+商店!AB67</f>
        <v>189663.93193514069</v>
      </c>
      <c r="E69" s="2">
        <f>'奖励（新）'!EA69+商店!AC67</f>
        <v>43527.781870623672</v>
      </c>
      <c r="F69" s="2">
        <f>'奖励（新）'!EB69+商店!AD67</f>
        <v>0</v>
      </c>
      <c r="G69" s="2">
        <f>'奖励（新）'!EC69+商店!AE67</f>
        <v>0</v>
      </c>
      <c r="H69" s="2">
        <f>'奖励（新）'!ED69+商店!AF67</f>
        <v>0</v>
      </c>
      <c r="J69" s="56">
        <f>'奖励（新）'!DZ69/D69</f>
        <v>0.60403558255586898</v>
      </c>
      <c r="K69" s="56">
        <f>商店!AB67/D69</f>
        <v>0.39596441744413108</v>
      </c>
    </row>
    <row r="70" spans="3:11" x14ac:dyDescent="0.15">
      <c r="C70" s="2">
        <v>63</v>
      </c>
      <c r="D70" s="2">
        <f>'奖励（新）'!DZ70+商店!AB68</f>
        <v>269618.80921916681</v>
      </c>
      <c r="E70" s="2">
        <f>'奖励（新）'!EA70+商店!AC68</f>
        <v>114372.0287448028</v>
      </c>
      <c r="F70" s="2">
        <f>'奖励（新）'!EB70+商店!AD68</f>
        <v>0</v>
      </c>
      <c r="G70" s="2">
        <f>'奖励（新）'!EC70+商店!AE68</f>
        <v>0</v>
      </c>
      <c r="H70" s="2">
        <f>'奖励（新）'!ED70+商店!AF68</f>
        <v>0</v>
      </c>
      <c r="J70" s="56">
        <f>'奖励（新）'!DZ70/D70</f>
        <v>0.60403558255586887</v>
      </c>
      <c r="K70" s="56">
        <f>商店!AB68/D70</f>
        <v>0.39596441744413108</v>
      </c>
    </row>
    <row r="71" spans="3:11" x14ac:dyDescent="0.15">
      <c r="C71" s="2">
        <v>64</v>
      </c>
      <c r="D71" s="2">
        <f>'奖励（新）'!DZ71+商店!AB69</f>
        <v>355312.32489253185</v>
      </c>
      <c r="E71" s="2">
        <f>'奖励（新）'!EA71+商店!AC69</f>
        <v>189851.33040735847</v>
      </c>
      <c r="F71" s="2">
        <f>'奖励（新）'!EB71+商店!AD69</f>
        <v>0</v>
      </c>
      <c r="G71" s="2">
        <f>'奖励（新）'!EC71+商店!AE69</f>
        <v>0</v>
      </c>
      <c r="H71" s="2">
        <f>'奖励（新）'!ED71+商店!AF69</f>
        <v>0</v>
      </c>
      <c r="J71" s="56">
        <f>'奖励（新）'!DZ71/D71</f>
        <v>0.60403558255586887</v>
      </c>
      <c r="K71" s="56">
        <f>商店!AB69/D71</f>
        <v>0.39596441744413108</v>
      </c>
    </row>
    <row r="72" spans="3:11" x14ac:dyDescent="0.15">
      <c r="C72" s="2">
        <v>65</v>
      </c>
      <c r="D72" s="2">
        <f>'奖励（新）'!DZ72+商店!AB70</f>
        <v>447156.36090268265</v>
      </c>
      <c r="E72" s="2">
        <f>'奖励（新）'!EA72+商店!AC70</f>
        <v>270228.03100148321</v>
      </c>
      <c r="F72" s="2">
        <f>'奖励（新）'!EB72+商店!AD70</f>
        <v>60619.004482248274</v>
      </c>
      <c r="G72" s="2">
        <f>'奖励（新）'!EC72+商店!AE70</f>
        <v>0</v>
      </c>
      <c r="H72" s="2">
        <f>'奖励（新）'!ED72+商店!AF70</f>
        <v>0</v>
      </c>
      <c r="J72" s="56">
        <f>'奖励（新）'!DZ72/D72</f>
        <v>0.60403558255586898</v>
      </c>
      <c r="K72" s="56">
        <f>商店!AB70/D72</f>
        <v>0.39596441744413108</v>
      </c>
    </row>
    <row r="73" spans="3:11" x14ac:dyDescent="0.15">
      <c r="C73" s="2">
        <v>66</v>
      </c>
      <c r="D73" s="2">
        <f>'奖励（新）'!DZ73+商店!AB71</f>
        <v>545592.36139058962</v>
      </c>
      <c r="E73" s="2">
        <f>'奖励（新）'!EA73+商店!AC71</f>
        <v>357539.52208147594</v>
      </c>
      <c r="F73" s="2">
        <f>'奖励（新）'!EB73+商店!AD71</f>
        <v>135356.13977672136</v>
      </c>
      <c r="G73" s="2">
        <f>'奖励（新）'!EC73+商店!AE71</f>
        <v>0</v>
      </c>
      <c r="H73" s="2">
        <f>'奖励（新）'!ED73+商店!AF71</f>
        <v>0</v>
      </c>
      <c r="J73" s="56">
        <f>'奖励（新）'!DZ73/D73</f>
        <v>0.60403558255586887</v>
      </c>
      <c r="K73" s="56">
        <f>商店!AB71/D73</f>
        <v>0.39596441744413108</v>
      </c>
    </row>
    <row r="74" spans="3:11" x14ac:dyDescent="0.15">
      <c r="C74" s="2">
        <v>67</v>
      </c>
      <c r="D74" s="2">
        <f>'奖励（新）'!DZ74+商店!AB72</f>
        <v>651093.45447173819</v>
      </c>
      <c r="E74" s="2">
        <f>'奖励（新）'!EA74+商店!AC72</f>
        <v>451193.05030314915</v>
      </c>
      <c r="F74" s="2">
        <f>'奖励（新）'!EB74+商店!AD72</f>
        <v>211913.37440283759</v>
      </c>
      <c r="G74" s="2">
        <f>'奖励（新）'!EC74+商店!AE72</f>
        <v>0</v>
      </c>
      <c r="H74" s="2">
        <f>'奖励（新）'!ED74+商店!AF72</f>
        <v>0</v>
      </c>
      <c r="J74" s="56">
        <f>'奖励（新）'!DZ74/D74</f>
        <v>0.60403558255586887</v>
      </c>
      <c r="K74" s="56">
        <f>商店!AB72/D74</f>
        <v>0.39596441744413108</v>
      </c>
    </row>
    <row r="75" spans="3:11" x14ac:dyDescent="0.15">
      <c r="C75" s="2">
        <v>68</v>
      </c>
      <c r="D75" s="2">
        <f>'奖励（新）'!DZ75+商店!AB73</f>
        <v>764166.72630468453</v>
      </c>
      <c r="E75" s="2">
        <f>'奖励（新）'!EA75+商店!AC73</f>
        <v>548605.78226130351</v>
      </c>
      <c r="F75" s="2">
        <f>'奖励（新）'!EB75+商店!AD73</f>
        <v>290956.46053085796</v>
      </c>
      <c r="G75" s="2">
        <f>'奖励（新）'!EC75+商店!AE73</f>
        <v>0</v>
      </c>
      <c r="H75" s="2">
        <f>'奖励（新）'!ED75+商店!AF73</f>
        <v>0</v>
      </c>
      <c r="J75" s="56">
        <f>'奖励（新）'!DZ75/D75</f>
        <v>0.60403558255586898</v>
      </c>
      <c r="K75" s="56">
        <f>商店!AB73/D75</f>
        <v>0.39596441744413108</v>
      </c>
    </row>
    <row r="76" spans="3:11" x14ac:dyDescent="0.15">
      <c r="C76" s="2">
        <v>69</v>
      </c>
      <c r="D76" s="2">
        <f>'奖励（新）'!DZ76+商店!AB74</f>
        <v>885355.65837738884</v>
      </c>
      <c r="E76" s="2">
        <f>'奖励（新）'!EA76+商店!AC74</f>
        <v>650879.7194201973</v>
      </c>
      <c r="F76" s="2">
        <f>'奖励（新）'!EB76+商店!AD74</f>
        <v>380925.00181067688</v>
      </c>
      <c r="G76" s="2">
        <f>'奖励（新）'!EC76+商店!AE74</f>
        <v>24475.700182553352</v>
      </c>
      <c r="H76" s="2">
        <f>'奖励（新）'!ED76+商店!AF74</f>
        <v>0</v>
      </c>
      <c r="J76" s="56">
        <f>'奖励（新）'!DZ76/D76</f>
        <v>0.60403558255586898</v>
      </c>
      <c r="K76" s="56">
        <f>商店!AB74/D76</f>
        <v>0.39596441744413108</v>
      </c>
    </row>
    <row r="77" spans="3:11" x14ac:dyDescent="0.15">
      <c r="C77" s="2">
        <v>70</v>
      </c>
      <c r="D77" s="2">
        <f>'奖励（新）'!DZ77+商店!AB75</f>
        <v>1015242.7397260275</v>
      </c>
      <c r="E77" s="2">
        <f>'奖励（新）'!EA77+商店!AC75</f>
        <v>765064.20854794525</v>
      </c>
      <c r="F77" s="2">
        <f>'奖励（新）'!EB77+商店!AD75</f>
        <v>479955.34849315067</v>
      </c>
      <c r="G77" s="2">
        <f>'奖励（新）'!EC77+商店!AE75</f>
        <v>94467.022356164482</v>
      </c>
      <c r="H77" s="2">
        <f>'奖励（新）'!ED77+商店!AF75</f>
        <v>0</v>
      </c>
      <c r="J77" s="56">
        <f>'奖励（新）'!DZ77/D77</f>
        <v>0.60403558255586898</v>
      </c>
      <c r="K77" s="56">
        <f>商店!AB75/D77</f>
        <v>0.39596441744413102</v>
      </c>
    </row>
    <row r="78" spans="3:11" x14ac:dyDescent="0.15">
      <c r="C78" s="2">
        <v>71</v>
      </c>
      <c r="D78" s="2">
        <f>'奖励（新）'!DZ78+商店!AB76</f>
        <v>1154452.2666417898</v>
      </c>
      <c r="E78" s="2">
        <f>'奖励（新）'!EA78+商店!AC76</f>
        <v>888529.19944096543</v>
      </c>
      <c r="F78" s="2">
        <f>'奖励（新）'!EB78+商店!AD76</f>
        <v>583216.29415919993</v>
      </c>
      <c r="G78" s="2">
        <f>'奖励（新）'!EC78+商店!AE76</f>
        <v>169190.9545401879</v>
      </c>
      <c r="H78" s="2">
        <f>'奖励（新）'!ED78+商店!AF76</f>
        <v>0</v>
      </c>
      <c r="J78" s="56">
        <f>'奖励（新）'!DZ78/D78</f>
        <v>0.60403558255586898</v>
      </c>
      <c r="K78" s="56">
        <f>商店!AB76/D78</f>
        <v>0.39596441744413108</v>
      </c>
    </row>
    <row r="79" spans="3:11" x14ac:dyDescent="0.15">
      <c r="C79" s="2">
        <v>72</v>
      </c>
      <c r="D79" s="2">
        <f>'奖励（新）'!DZ79+商店!AB77</f>
        <v>1303653.3433223362</v>
      </c>
      <c r="E79" s="2">
        <f>'奖励（新）'!EA79+商店!AC77</f>
        <v>1019412.0734363401</v>
      </c>
      <c r="F79" s="2">
        <f>'奖励（新）'!EB79+商店!AD77</f>
        <v>690581.92788607907</v>
      </c>
      <c r="G79" s="2">
        <f>'奖励（新）'!EC79+商店!AE77</f>
        <v>248484.7976918518</v>
      </c>
      <c r="H79" s="2">
        <f>'奖励（新）'!ED79+商店!AF77</f>
        <v>0</v>
      </c>
      <c r="J79" s="56">
        <f>'奖励（新）'!DZ79/D79</f>
        <v>0.60403558255586887</v>
      </c>
      <c r="K79" s="56">
        <f>商店!AB77/D79</f>
        <v>0.39596441744413102</v>
      </c>
    </row>
    <row r="80" spans="3:11" x14ac:dyDescent="0.15">
      <c r="C80" s="2">
        <v>73</v>
      </c>
      <c r="D80" s="2">
        <f>'奖励（新）'!DZ80+商店!AB78</f>
        <v>1463563.0978903887</v>
      </c>
      <c r="E80" s="2">
        <f>'奖励（新）'!EA80+商店!AC78</f>
        <v>1154670.494583711</v>
      </c>
      <c r="F80" s="2">
        <f>'奖励（新）'!EB80+商店!AD78</f>
        <v>806364.13311357587</v>
      </c>
      <c r="G80" s="2">
        <f>'奖励（新）'!EC80+商店!AE78</f>
        <v>334066.2784775059</v>
      </c>
      <c r="H80" s="2">
        <f>'奖励（新）'!ED80+商店!AF78</f>
        <v>0</v>
      </c>
      <c r="J80" s="56">
        <f>'奖励（新）'!DZ80/D80</f>
        <v>0.60403558255586898</v>
      </c>
      <c r="K80" s="56">
        <f>商店!AB78/D80</f>
        <v>0.39596441744413113</v>
      </c>
    </row>
    <row r="81" spans="3:11" x14ac:dyDescent="0.15">
      <c r="C81" s="2">
        <v>74</v>
      </c>
      <c r="D81" s="2">
        <f>'奖励（新）'!DZ81+商店!AB79</f>
        <v>1634950.1292371189</v>
      </c>
      <c r="E81" s="2">
        <f>'奖励（新）'!EA81+商店!AC79</f>
        <v>1303915.4521700921</v>
      </c>
      <c r="F81" s="2">
        <f>'奖励（新）'!EB81+商店!AD79</f>
        <v>935841.39647549635</v>
      </c>
      <c r="G81" s="2">
        <f>'奖励（新）'!EC81+商店!AE79</f>
        <v>428357.96541742625</v>
      </c>
      <c r="H81" s="2">
        <f>'奖励（新）'!ED81+商店!AF79</f>
        <v>0</v>
      </c>
      <c r="J81" s="56">
        <f>'奖励（新）'!DZ81/D81</f>
        <v>0.60403558255586887</v>
      </c>
      <c r="K81" s="56">
        <f>商店!AB79/D81</f>
        <v>0.39596441744413108</v>
      </c>
    </row>
    <row r="82" spans="3:11" x14ac:dyDescent="0.15">
      <c r="C82" s="2">
        <v>75</v>
      </c>
      <c r="D82" s="2">
        <f>'奖励（新）'!DZ82+商店!AB80</f>
        <v>1818638.20125742</v>
      </c>
      <c r="E82" s="2">
        <f>'奖励（新）'!EA82+商店!AC80</f>
        <v>1466039.8726013585</v>
      </c>
      <c r="F82" s="2">
        <f>'奖励（新）'!EB82+商店!AD80</f>
        <v>1074193.2384890011</v>
      </c>
      <c r="G82" s="2">
        <f>'奖励（新）'!EC82+商店!AE80</f>
        <v>529495.05213341559</v>
      </c>
      <c r="H82" s="2">
        <f>'奖励（新）'!ED82+商店!AF80</f>
        <v>0</v>
      </c>
      <c r="J82" s="56">
        <f>'奖励（新）'!DZ82/D82</f>
        <v>0.60403558255586898</v>
      </c>
      <c r="K82" s="56">
        <f>商店!AB80/D82</f>
        <v>0.39596441744413108</v>
      </c>
    </row>
    <row r="83" spans="3:11" x14ac:dyDescent="0.15">
      <c r="C83" s="2">
        <v>76</v>
      </c>
      <c r="D83" s="2">
        <f>'奖励（新）'!DZ83+商店!AB81</f>
        <v>2015510.2022332344</v>
      </c>
      <c r="E83" s="2">
        <f>'奖励（新）'!EA83+商店!AC81</f>
        <v>1637851.9376242077</v>
      </c>
      <c r="F83" s="2">
        <f>'奖励（新）'!EB83+商店!AD81</f>
        <v>1219830.7526058536</v>
      </c>
      <c r="G83" s="2">
        <f>'奖励（新）'!EC83+商店!AE81</f>
        <v>638282.10254546651</v>
      </c>
      <c r="H83" s="2">
        <f>'奖励（新）'!ED83+商店!AF81</f>
        <v>0</v>
      </c>
      <c r="J83" s="56">
        <f>'奖励（新）'!DZ83/D83</f>
        <v>0.60403558255586898</v>
      </c>
      <c r="K83" s="56">
        <f>商店!AB81/D83</f>
        <v>0.39596441744413108</v>
      </c>
    </row>
    <row r="84" spans="3:11" x14ac:dyDescent="0.15">
      <c r="C84" s="2">
        <v>77</v>
      </c>
      <c r="D84" s="2">
        <f>'奖励（新）'!DZ84+商店!AB82</f>
        <v>2226512.3883955316</v>
      </c>
      <c r="E84" s="2">
        <f>'奖励（新）'!EA84+商店!AC82</f>
        <v>1823875.1243780516</v>
      </c>
      <c r="F84" s="2">
        <f>'奖励（新）'!EB84+商店!AD82</f>
        <v>1379483.0984061169</v>
      </c>
      <c r="G84" s="2">
        <f>'奖励（新）'!EC84+商店!AE82</f>
        <v>755978.43304252217</v>
      </c>
      <c r="H84" s="2">
        <f>'奖励（新）'!ED84+商店!AF82</f>
        <v>0</v>
      </c>
      <c r="J84" s="56">
        <f>'奖励（新）'!DZ84/D84</f>
        <v>0.60403558255586898</v>
      </c>
      <c r="K84" s="56">
        <f>商店!AB82/D84</f>
        <v>0.39596441744413108</v>
      </c>
    </row>
    <row r="85" spans="3:11" x14ac:dyDescent="0.15">
      <c r="C85" s="2">
        <v>78</v>
      </c>
      <c r="D85" s="2">
        <f>'奖励（新）'!DZ85+商店!AB83</f>
        <v>2452658.9320614245</v>
      </c>
      <c r="E85" s="2">
        <f>'奖励（新）'!EA85+商店!AC83</f>
        <v>2021666.2181628961</v>
      </c>
      <c r="F85" s="2">
        <f>'奖励（新）'!EB85+商店!AD83</f>
        <v>1550078.1214075058</v>
      </c>
      <c r="G85" s="2">
        <f>'奖励（新）'!EC85+商店!AE83</f>
        <v>879483.97888575541</v>
      </c>
      <c r="H85" s="2">
        <f>'奖励（新）'!ED85+商店!AF83</f>
        <v>58218.367632852314</v>
      </c>
      <c r="J85" s="56">
        <f>'奖励（新）'!DZ85/D85</f>
        <v>0.60403558255586887</v>
      </c>
      <c r="K85" s="56">
        <f>商店!AB83/D85</f>
        <v>0.39596441744413102</v>
      </c>
    </row>
    <row r="86" spans="3:11" x14ac:dyDescent="0.15">
      <c r="C86" s="2">
        <v>79</v>
      </c>
      <c r="D86" s="2">
        <f>'奖励（新）'!DZ86+商店!AB84</f>
        <v>2695036.7962068329</v>
      </c>
      <c r="E86" s="2">
        <f>'奖励（新）'!EA86+商店!AC84</f>
        <v>2236566.8596883845</v>
      </c>
      <c r="F86" s="2">
        <f>'奖励（新）'!EB86+商店!AD84</f>
        <v>1733450.2145994785</v>
      </c>
      <c r="G86" s="2">
        <f>'奖励（新）'!EC86+商店!AE84</f>
        <v>1006166.1135321449</v>
      </c>
      <c r="H86" s="2">
        <f>'奖励（新）'!ED86+商店!AF84</f>
        <v>129481.62882532815</v>
      </c>
      <c r="J86" s="56">
        <f>'奖励（新）'!DZ86/D86</f>
        <v>0.60403558255586898</v>
      </c>
      <c r="K86" s="56">
        <f>商店!AB84/D86</f>
        <v>0.39596441744413102</v>
      </c>
    </row>
    <row r="87" spans="3:11" x14ac:dyDescent="0.15">
      <c r="C87" s="2">
        <v>80</v>
      </c>
      <c r="D87" s="2">
        <f>'奖励（新）'!DZ87+商店!AB85</f>
        <v>2954810.9589041094</v>
      </c>
      <c r="E87" s="2">
        <f>'奖励（新）'!EA87+商店!AC85</f>
        <v>2466321.6821917808</v>
      </c>
      <c r="F87" s="2">
        <f>'奖励（新）'!EB87+商店!AD85</f>
        <v>1918386.6213698629</v>
      </c>
      <c r="G87" s="2">
        <f>'奖励（新）'!EC87+商店!AE85</f>
        <v>1141122.4767123288</v>
      </c>
      <c r="H87" s="2">
        <f>'奖励（新）'!ED87+商店!AF85</f>
        <v>203689.88383561643</v>
      </c>
      <c r="J87" s="56">
        <f>'奖励（新）'!DZ87/D87</f>
        <v>0.60403558255586898</v>
      </c>
      <c r="K87" s="56">
        <f>商店!AB85/D87</f>
        <v>0.39596441744413108</v>
      </c>
    </row>
    <row r="88" spans="3:11" x14ac:dyDescent="0.15">
      <c r="C88" s="2">
        <v>81</v>
      </c>
      <c r="D88" s="2">
        <f>'奖励（新）'!DZ88+商店!AB86</f>
        <v>3233230.0127356341</v>
      </c>
      <c r="E88" s="2">
        <f>'奖励（新）'!EA88+商店!AC86</f>
        <v>2700179.6245132266</v>
      </c>
      <c r="F88" s="2">
        <f>'奖励（新）'!EB88+商店!AD86</f>
        <v>2115077.9987803856</v>
      </c>
      <c r="G88" s="2">
        <f>'奖励（新）'!EC88+商店!AE86</f>
        <v>1287473.6805691987</v>
      </c>
      <c r="H88" s="2">
        <f>'奖励（新）'!ED88+商店!AF86</f>
        <v>284673.50352657563</v>
      </c>
      <c r="J88" s="56">
        <f>'奖励（新）'!DZ88/D88</f>
        <v>0.60403558255586898</v>
      </c>
      <c r="K88" s="56">
        <f>商店!AB86/D88</f>
        <v>0.39596441744413108</v>
      </c>
    </row>
    <row r="89" spans="3:11" x14ac:dyDescent="0.15">
      <c r="C89" s="2">
        <v>82</v>
      </c>
      <c r="D89" s="2">
        <f>'奖励（新）'!DZ89+商店!AB87</f>
        <v>3531632.1660967236</v>
      </c>
      <c r="E89" s="2">
        <f>'奖励（新）'!EA89+商店!AC87</f>
        <v>2957275.3851157832</v>
      </c>
      <c r="F89" s="2">
        <f>'奖励（新）'!EB89+商店!AD87</f>
        <v>2333540.0776606202</v>
      </c>
      <c r="G89" s="2">
        <f>'奖励（新）'!EC89+商店!AE87</f>
        <v>1447720.0610307492</v>
      </c>
      <c r="H89" s="2">
        <f>'奖励（新）'!ED89+商店!AF87</f>
        <v>370346.13785117038</v>
      </c>
      <c r="J89" s="56">
        <f>'奖励（新）'!DZ89/D89</f>
        <v>0.60403558255586898</v>
      </c>
      <c r="K89" s="56">
        <f>商店!AB87/D89</f>
        <v>0.39596441744413108</v>
      </c>
    </row>
    <row r="90" spans="3:11" x14ac:dyDescent="0.15">
      <c r="C90" s="2">
        <v>83</v>
      </c>
      <c r="D90" s="2">
        <f>'奖励（新）'!DZ90+商店!AB88</f>
        <v>3851451.675232836</v>
      </c>
      <c r="E90" s="2">
        <f>'奖励（新）'!EA90+商店!AC88</f>
        <v>3238817.6637091767</v>
      </c>
      <c r="F90" s="2">
        <f>'奖励（新）'!EB90+商店!AD88</f>
        <v>2575492.9974140944</v>
      </c>
      <c r="G90" s="2">
        <f>'奖励（新）'!EC90+商店!AE88</f>
        <v>1619366.5938665997</v>
      </c>
      <c r="H90" s="2">
        <f>'奖励（新）'!ED90+商店!AF88</f>
        <v>465403.66365527082</v>
      </c>
      <c r="J90" s="56">
        <f>'奖励（新）'!DZ90/D90</f>
        <v>0.60403558255586898</v>
      </c>
      <c r="K90" s="56">
        <f>商店!AB88/D90</f>
        <v>0.39596441744413113</v>
      </c>
    </row>
    <row r="91" spans="3:11" x14ac:dyDescent="0.15">
      <c r="C91" s="2">
        <v>84</v>
      </c>
      <c r="D91" s="2">
        <f>'奖励（新）'!DZ91+商店!AB89</f>
        <v>4194225.7379262922</v>
      </c>
      <c r="E91" s="2">
        <f>'奖励（新）'!EA91+商店!AC89</f>
        <v>3540740.9278635774</v>
      </c>
      <c r="F91" s="2">
        <f>'奖励（新）'!EB91+商店!AD89</f>
        <v>2826045.9406661401</v>
      </c>
      <c r="G91" s="2">
        <f>'奖励（新）'!EC91+商店!AE89</f>
        <v>1801076.6054659854</v>
      </c>
      <c r="H91" s="2">
        <f>'奖励（新）'!ED91+商店!AF89</f>
        <v>568321.44903877052</v>
      </c>
      <c r="J91" s="56">
        <f>'奖励（新）'!DZ91/D91</f>
        <v>0.60403558255586887</v>
      </c>
      <c r="K91" s="56">
        <f>商店!AB89/D91</f>
        <v>0.39596441744413113</v>
      </c>
    </row>
    <row r="92" spans="3:11" x14ac:dyDescent="0.15">
      <c r="C92" s="2">
        <v>85</v>
      </c>
      <c r="D92" s="2">
        <f>'奖励（新）'!DZ92+商店!AB90</f>
        <v>4561601.8819668964</v>
      </c>
      <c r="E92" s="2">
        <f>'奖励（新）'!EA92+商店!AC90</f>
        <v>3854017.6968576163</v>
      </c>
      <c r="F92" s="2">
        <f>'奖励（新）'!EB92+商店!AD90</f>
        <v>3091432.7565256422</v>
      </c>
      <c r="G92" s="2">
        <f>'奖励（新）'!EC92+商店!AE90</f>
        <v>2001888.4322315182</v>
      </c>
      <c r="H92" s="2">
        <f>'奖励（新）'!ED92+商店!AF90</f>
        <v>678089.20038974006</v>
      </c>
      <c r="J92" s="56">
        <f>'奖励（新）'!DZ92/D92</f>
        <v>0.60403558255586887</v>
      </c>
      <c r="K92" s="56">
        <f>商店!AB90/D92</f>
        <v>0.39596441744413102</v>
      </c>
    </row>
    <row r="93" spans="3:11" x14ac:dyDescent="0.15">
      <c r="C93" s="2">
        <v>86</v>
      </c>
      <c r="D93" s="2">
        <f>'奖励（新）'!DZ93+商店!AB91</f>
        <v>4955345.8839185247</v>
      </c>
      <c r="E93" s="2">
        <f>'奖励（新）'!EA93+商店!AC91</f>
        <v>4195146.4973430736</v>
      </c>
      <c r="F93" s="2">
        <f>'奖励（新）'!EB93+商店!AD91</f>
        <v>3383389.6982124778</v>
      </c>
      <c r="G93" s="2">
        <f>'奖励（新）'!EC93+商店!AE91</f>
        <v>2222215.29233531</v>
      </c>
      <c r="H93" s="2">
        <f>'奖励（新）'!ED93+商店!AF91</f>
        <v>780310.62361323857</v>
      </c>
      <c r="J93" s="56">
        <f>'奖励（新）'!DZ93/D93</f>
        <v>0.60403558255586898</v>
      </c>
      <c r="K93" s="56">
        <f>商店!AB91/D93</f>
        <v>0.39596441744413108</v>
      </c>
    </row>
    <row r="94" spans="3:11" x14ac:dyDescent="0.15">
      <c r="C94" s="2">
        <v>87</v>
      </c>
      <c r="D94" s="2">
        <f>'奖励（新）'!DZ94+商店!AB92</f>
        <v>5377350.2562431125</v>
      </c>
      <c r="E94" s="2">
        <f>'奖励（新）'!EA94+商店!AC92</f>
        <v>4566940.2869950011</v>
      </c>
      <c r="F94" s="2">
        <f>'奖励（新）'!EB94+商店!AD92</f>
        <v>3704943.950186139</v>
      </c>
      <c r="G94" s="2">
        <f>'奖励（新）'!EC94+商店!AE92</f>
        <v>2432434.4223854928</v>
      </c>
      <c r="H94" s="2">
        <f>'奖励（新）'!ED94+商店!AF92</f>
        <v>888756.02431547875</v>
      </c>
      <c r="J94" s="56">
        <f>'奖励（新）'!DZ94/D94</f>
        <v>0.60403558255586898</v>
      </c>
      <c r="K94" s="56">
        <f>商店!AB92/D94</f>
        <v>0.39596441744413108</v>
      </c>
    </row>
    <row r="95" spans="3:11" x14ac:dyDescent="0.15">
      <c r="C95" s="2">
        <v>88</v>
      </c>
      <c r="D95" s="2">
        <f>'奖励（新）'!DZ95+商店!AB93</f>
        <v>5829643.3435749039</v>
      </c>
      <c r="E95" s="2">
        <f>'奖励（新）'!EA95+商店!AC93</f>
        <v>4972502.8624066915</v>
      </c>
      <c r="F95" s="2">
        <f>'奖励（新）'!EB95+商店!AD93</f>
        <v>4031811.7775170454</v>
      </c>
      <c r="G95" s="2">
        <f>'奖励（新）'!EC95+商店!AE93</f>
        <v>2646480.5300605469</v>
      </c>
      <c r="H95" s="2">
        <f>'奖励（新）'!ED95+商店!AF93</f>
        <v>1007337.3140321824</v>
      </c>
      <c r="J95" s="56">
        <f>'奖励（新）'!DZ95/D95</f>
        <v>0.60403558255586887</v>
      </c>
      <c r="K95" s="56">
        <f>商店!AB93/D95</f>
        <v>0.39596441744413102</v>
      </c>
    </row>
    <row r="96" spans="3:11" x14ac:dyDescent="0.15">
      <c r="C96" s="2">
        <v>89</v>
      </c>
      <c r="D96" s="2">
        <f>'奖励（新）'!DZ96+商店!AB94</f>
        <v>6314399.0718657207</v>
      </c>
      <c r="E96" s="2">
        <f>'奖励（新）'!EA96+商店!AC94</f>
        <v>5386063.1103853825</v>
      </c>
      <c r="F96" s="2">
        <f>'奖励（新）'!EB96+商店!AD94</f>
        <v>4345807.9966615234</v>
      </c>
      <c r="G96" s="2">
        <f>'奖励（新）'!EC96+商店!AE94</f>
        <v>2874502.6427645124</v>
      </c>
      <c r="H96" s="2">
        <f>'奖励（新）'!ED96+商店!AF94</f>
        <v>1125807.5914643968</v>
      </c>
      <c r="J96" s="56">
        <f>'奖励（新）'!DZ96/D96</f>
        <v>0.60403558255586898</v>
      </c>
      <c r="K96" s="56">
        <f>商店!AB94/D96</f>
        <v>0.39596441744413108</v>
      </c>
    </row>
    <row r="97" spans="3:11" x14ac:dyDescent="0.15">
      <c r="C97" s="2">
        <v>90</v>
      </c>
      <c r="D97" s="2">
        <f>'奖励（新）'!DZ97+商店!AB95</f>
        <v>6833947.3972602729</v>
      </c>
      <c r="E97" s="2">
        <f>'奖励（新）'!EA97+商店!AC95</f>
        <v>5789450.7281095898</v>
      </c>
      <c r="F97" s="2">
        <f>'奖励（新）'!EB97+商店!AD95</f>
        <v>4688884.6915068496</v>
      </c>
      <c r="G97" s="2">
        <f>'奖励（新）'!EC97+商店!AE95</f>
        <v>3106869.3475068496</v>
      </c>
      <c r="H97" s="2">
        <f>'奖励（新）'!ED97+商店!AF95</f>
        <v>1251137.6515068496</v>
      </c>
      <c r="J97" s="56">
        <f>'奖励（新）'!DZ97/D97</f>
        <v>0.60403558255586898</v>
      </c>
      <c r="K97" s="56">
        <f>商店!AB95/D97</f>
        <v>0.39596441744413113</v>
      </c>
    </row>
    <row r="98" spans="3:11" x14ac:dyDescent="0.15">
      <c r="C98" s="2">
        <v>91</v>
      </c>
      <c r="D98" s="2">
        <f>'奖励（新）'!DZ98+商店!AB96</f>
        <v>7390785.504923325</v>
      </c>
      <c r="E98" s="2">
        <f>'奖励（新）'!EA98+商店!AC96</f>
        <v>6271855.9029365517</v>
      </c>
      <c r="F98" s="2">
        <f>'奖励（新）'!EB98+商店!AD96</f>
        <v>5076529.9919055831</v>
      </c>
      <c r="G98" s="2">
        <f>'奖励（新）'!EC98+商店!AE96</f>
        <v>3389477.8777515292</v>
      </c>
      <c r="H98" s="2">
        <f>'奖励（新）'!ED98+商店!AF96</f>
        <v>1401166.4574985392</v>
      </c>
      <c r="J98" s="56">
        <f>'奖励（新）'!DZ98/D98</f>
        <v>0.60403558255586898</v>
      </c>
      <c r="K98" s="56">
        <f>商店!AB96/D98</f>
        <v>0.39596441744413102</v>
      </c>
    </row>
    <row r="99" spans="3:11" x14ac:dyDescent="0.15">
      <c r="C99" s="2">
        <v>92</v>
      </c>
      <c r="D99" s="2">
        <f>'奖励（新）'!DZ99+商店!AB97</f>
        <v>7987589.8116455041</v>
      </c>
      <c r="E99" s="2">
        <f>'奖励（新）'!EA99+商店!AC97</f>
        <v>6771805.0753667094</v>
      </c>
      <c r="F99" s="2">
        <f>'奖励（新）'!EB99+商店!AD97</f>
        <v>5501909.0264676306</v>
      </c>
      <c r="G99" s="2">
        <f>'奖励（新）'!EC99+商店!AE97</f>
        <v>3691678.2728945659</v>
      </c>
      <c r="H99" s="2">
        <f>'奖励（新）'!ED99+商店!AF97</f>
        <v>1556654.3075894145</v>
      </c>
      <c r="J99" s="56">
        <f>'奖励（新）'!DZ99/D99</f>
        <v>0.60403558255586898</v>
      </c>
      <c r="K99" s="56">
        <f>商店!AB97/D99</f>
        <v>0.39596441744413102</v>
      </c>
    </row>
    <row r="100" spans="3:11" x14ac:dyDescent="0.15">
      <c r="C100" s="2">
        <v>93</v>
      </c>
      <c r="D100" s="2">
        <f>'奖励（新）'!DZ100+商店!AB98</f>
        <v>8627228.8299177215</v>
      </c>
      <c r="E100" s="2">
        <f>'奖励（新）'!EA100+商店!AC98</f>
        <v>7323751.5634827837</v>
      </c>
      <c r="F100" s="2">
        <f>'奖励（新）'!EB100+商店!AD98</f>
        <v>5957212.3057544846</v>
      </c>
      <c r="G100" s="2">
        <f>'奖励（新）'!EC100+商店!AE98</f>
        <v>4009810.6465737182</v>
      </c>
      <c r="H100" s="2">
        <f>'奖励（新）'!ED100+商店!AF98</f>
        <v>1727307.4138914705</v>
      </c>
      <c r="J100" s="56">
        <f>'奖励（新）'!DZ100/D100</f>
        <v>0.60403558255586887</v>
      </c>
      <c r="K100" s="56">
        <f>商店!AB98/D100</f>
        <v>0.39596441744413097</v>
      </c>
    </row>
    <row r="101" spans="3:11" x14ac:dyDescent="0.15">
      <c r="C101" s="2">
        <v>94</v>
      </c>
      <c r="D101" s="2">
        <f>'奖励（新）'!DZ101+商店!AB99</f>
        <v>9312776.9553046413</v>
      </c>
      <c r="E101" s="2">
        <f>'奖励（新）'!EA101+商店!AC99</f>
        <v>7904915.3784284256</v>
      </c>
      <c r="F101" s="2">
        <f>'奖励（新）'!EB101+商店!AD99</f>
        <v>6441317.8585291561</v>
      </c>
      <c r="G101" s="2">
        <f>'奖励（新）'!EC101+商店!AE99</f>
        <v>4347469.8124596067</v>
      </c>
      <c r="H101" s="2">
        <f>'奖励（新）'!ED101+商店!AF99</f>
        <v>1907335.6488582669</v>
      </c>
      <c r="J101" s="56">
        <f>'奖励（新）'!DZ101/D101</f>
        <v>0.60403558255586887</v>
      </c>
      <c r="K101" s="56">
        <f>商店!AB99/D101</f>
        <v>0.39596441744413108</v>
      </c>
    </row>
    <row r="102" spans="3:11" x14ac:dyDescent="0.15">
      <c r="C102" s="2">
        <v>95</v>
      </c>
      <c r="D102" s="2">
        <f>'奖励（新）'!DZ102+商店!AB100</f>
        <v>10047529.243385848</v>
      </c>
      <c r="E102" s="2">
        <f>'奖励（新）'!EA102+商店!AC100</f>
        <v>8545793.8551256582</v>
      </c>
      <c r="F102" s="2">
        <f>'奖励（新）'!EB102+商店!AD100</f>
        <v>6950018.563542597</v>
      </c>
      <c r="G102" s="2">
        <f>'奖励（新）'!EC102+商店!AE100</f>
        <v>4709123.1880246652</v>
      </c>
      <c r="H102" s="2">
        <f>'奖励（新）'!ED102+商店!AF100</f>
        <v>2117799.729092407</v>
      </c>
      <c r="J102" s="56">
        <f>'奖励（新）'!DZ102/D102</f>
        <v>0.60403558255586887</v>
      </c>
      <c r="K102" s="56">
        <f>商店!AB100/D102</f>
        <v>0.39596441744413102</v>
      </c>
    </row>
    <row r="103" spans="3:11" x14ac:dyDescent="0.15">
      <c r="C103" s="2">
        <v>96</v>
      </c>
      <c r="D103" s="2">
        <f>'奖励（新）'!DZ103+商店!AB101</f>
        <v>10835017.247289104</v>
      </c>
      <c r="E103" s="2">
        <f>'奖励（新）'!EA103+商店!AC101</f>
        <v>9202295.5756279696</v>
      </c>
      <c r="F103" s="2">
        <f>'奖励（新）'!EB103+商店!AD101</f>
        <v>7492335.6295566782</v>
      </c>
      <c r="G103" s="2">
        <f>'奖励（新）'!EC103+商店!AE101</f>
        <v>5112621.320629511</v>
      </c>
      <c r="H103" s="2">
        <f>'奖励（新）'!ED103+商店!AF101</f>
        <v>2341230.2536909669</v>
      </c>
      <c r="J103" s="56">
        <f>'奖励（新）'!DZ103/D103</f>
        <v>0.60403558255586898</v>
      </c>
      <c r="K103" s="56">
        <f>商店!AB101/D103</f>
        <v>0.39596441744413102</v>
      </c>
    </row>
    <row r="104" spans="3:11" x14ac:dyDescent="0.15">
      <c r="C104" s="2">
        <v>97</v>
      </c>
      <c r="D104" s="2">
        <f>'奖励（新）'!DZ104+商店!AB102</f>
        <v>11679025.991938282</v>
      </c>
      <c r="E104" s="2">
        <f>'奖励（新）'!EA104+商店!AC102</f>
        <v>9916928.1999933906</v>
      </c>
      <c r="F104" s="2">
        <f>'奖励（新）'!EB104+商店!AD102</f>
        <v>8119386.8446392734</v>
      </c>
      <c r="G104" s="2">
        <f>'奖励（新）'!EC104+商店!AE102</f>
        <v>5576598.0407264959</v>
      </c>
      <c r="H104" s="2">
        <f>'奖励（新）'!ED104+商店!AF102</f>
        <v>2603389.2569847349</v>
      </c>
      <c r="J104" s="56">
        <f>'奖励（新）'!DZ104/D104</f>
        <v>0.60403558255586898</v>
      </c>
      <c r="K104" s="56">
        <f>商店!AB102/D104</f>
        <v>0.39596441744413108</v>
      </c>
    </row>
    <row r="105" spans="3:11" x14ac:dyDescent="0.15">
      <c r="C105" s="2">
        <v>98</v>
      </c>
      <c r="D105" s="2">
        <f>'奖励（新）'!DZ105+商店!AB103</f>
        <v>12583612.166601863</v>
      </c>
      <c r="E105" s="2">
        <f>'奖励（新）'!EA105+商店!AC103</f>
        <v>10722837.288795296</v>
      </c>
      <c r="F105" s="2">
        <f>'奖励（新）'!EB105+商店!AD103</f>
        <v>8815585.55805411</v>
      </c>
      <c r="G105" s="2">
        <f>'奖励（新）'!EC105+商店!AE103</f>
        <v>6088652.7713607214</v>
      </c>
      <c r="H105" s="2">
        <f>'奖励（新）'!ED105+商店!AF103</f>
        <v>2881916.0898717232</v>
      </c>
      <c r="J105" s="56">
        <f>'奖励（新）'!DZ105/D105</f>
        <v>0.60403558255586898</v>
      </c>
      <c r="K105" s="56">
        <f>商店!AB103/D105</f>
        <v>0.39596441744413108</v>
      </c>
    </row>
    <row r="106" spans="3:11" x14ac:dyDescent="0.15">
      <c r="C106" s="2">
        <v>99</v>
      </c>
      <c r="D106" s="2">
        <f>'奖励（新）'!DZ106+商店!AB104</f>
        <v>13553123.623183498</v>
      </c>
      <c r="E106" s="2">
        <f>'奖励（新）'!EA106+商店!AC104</f>
        <v>11582705.512894243</v>
      </c>
      <c r="F106" s="2">
        <f>'奖励（新）'!EB106+商店!AD104</f>
        <v>9543616.8696921691</v>
      </c>
      <c r="G106" s="2">
        <f>'奖励（新）'!EC106+商店!AE104</f>
        <v>6622264.4104375951</v>
      </c>
      <c r="H106" s="2">
        <f>'奖励（新）'!ED106+商店!AF104</f>
        <v>3150115.2895943974</v>
      </c>
      <c r="J106" s="56">
        <f>'奖励（新）'!DZ106/D106</f>
        <v>0.60403558255586887</v>
      </c>
      <c r="K106" s="56">
        <f>商店!AB104/D106</f>
        <v>0.39596441744413108</v>
      </c>
    </row>
    <row r="107" spans="3:11" x14ac:dyDescent="0.15">
      <c r="C107" s="2">
        <v>100</v>
      </c>
      <c r="D107" s="2">
        <f>'奖励（新）'!DZ107+商店!AB105</f>
        <v>14592220.273972603</v>
      </c>
      <c r="E107" s="2">
        <f>'奖励（新）'!EA107+商店!AC105</f>
        <v>12484043.121205479</v>
      </c>
      <c r="F107" s="2">
        <f>'奖励（新）'!EB107+商店!AD105</f>
        <v>10309453.320328766</v>
      </c>
      <c r="G107" s="2">
        <f>'奖励（新）'!EC107+商店!AE105</f>
        <v>7145588.4282739721</v>
      </c>
      <c r="H107" s="2">
        <f>'奖励（新）'!ED107+商店!AF105</f>
        <v>3423970.0346301366</v>
      </c>
      <c r="J107" s="56">
        <f>'奖励（新）'!DZ107/D107</f>
        <v>0.60403558255586898</v>
      </c>
      <c r="K107" s="56">
        <f>商店!AB105/D107</f>
        <v>0.39596441744413108</v>
      </c>
    </row>
    <row r="108" spans="3:11" x14ac:dyDescent="0.15">
      <c r="C108" s="2">
        <v>101</v>
      </c>
      <c r="D108" s="2">
        <f>'奖励（新）'!DZ108+商店!AB106</f>
        <v>15705896.48929869</v>
      </c>
      <c r="E108" s="2">
        <f>'奖励（新）'!EA108+商店!AC106</f>
        <v>13460370.988364313</v>
      </c>
      <c r="F108" s="2">
        <f>'奖励（新）'!EB108+商店!AD106</f>
        <v>11099613.023896709</v>
      </c>
      <c r="G108" s="2">
        <f>'奖励（新）'!EC108+商店!AE106</f>
        <v>7683972.2681290172</v>
      </c>
      <c r="H108" s="2">
        <f>'奖励（新）'!ED108+商店!AF106</f>
        <v>3721199.7024558512</v>
      </c>
      <c r="J108" s="56">
        <f>'奖励（新）'!DZ108/D108</f>
        <v>0.60403558255586898</v>
      </c>
      <c r="K108" s="56">
        <f>商店!AB106/D108</f>
        <v>0.39596441744413113</v>
      </c>
    </row>
    <row r="109" spans="3:11" x14ac:dyDescent="0.15">
      <c r="C109" s="2">
        <v>102</v>
      </c>
      <c r="D109" s="2">
        <f>'奖励（新）'!DZ109+商店!AB107</f>
        <v>16899505.102743059</v>
      </c>
      <c r="E109" s="2">
        <f>'奖励（新）'!EA109+商店!AC107</f>
        <v>14457355.393066693</v>
      </c>
      <c r="F109" s="2">
        <f>'奖励（新）'!EB109+商店!AD107</f>
        <v>11896388.997682989</v>
      </c>
      <c r="G109" s="2">
        <f>'奖励（新）'!EC109+商店!AE107</f>
        <v>8257855.5142261283</v>
      </c>
      <c r="H109" s="2">
        <f>'奖励（新）'!ED109+商店!AF107</f>
        <v>4042252.8686144198</v>
      </c>
      <c r="J109" s="56">
        <f>'奖励（新）'!DZ109/D109</f>
        <v>0.60403558255586898</v>
      </c>
      <c r="K109" s="56">
        <f>商店!AB107/D109</f>
        <v>0.39596441744413113</v>
      </c>
    </row>
    <row r="110" spans="3:11" x14ac:dyDescent="0.15">
      <c r="C110" s="2">
        <v>103</v>
      </c>
      <c r="D110" s="2">
        <f>'奖励（新）'!DZ110+商店!AB108</f>
        <v>18178783.139287498</v>
      </c>
      <c r="E110" s="2">
        <f>'奖励（新）'!EA110+商店!AC108</f>
        <v>15515594.722681506</v>
      </c>
      <c r="F110" s="2">
        <f>'奖励（新）'!EB110+商店!AD108</f>
        <v>12777499.352668542</v>
      </c>
      <c r="G110" s="2">
        <f>'奖励（新）'!EC110+商店!AE108</f>
        <v>8911732.7551051211</v>
      </c>
      <c r="H110" s="2">
        <f>'奖励（新）'!ED110+商店!AF108</f>
        <v>4397320.6453271564</v>
      </c>
      <c r="J110" s="56">
        <f>'奖励（新）'!DZ110/D110</f>
        <v>0.60403558255586887</v>
      </c>
      <c r="K110" s="56">
        <f>商店!AB108/D110</f>
        <v>0.39596441744413102</v>
      </c>
    </row>
    <row r="111" spans="3:11" x14ac:dyDescent="0.15">
      <c r="C111" s="2">
        <v>104</v>
      </c>
      <c r="D111" s="2">
        <f>'奖励（新）'!DZ111+商店!AB109</f>
        <v>19549879.390061338</v>
      </c>
      <c r="E111" s="2">
        <f>'奖励（新）'!EA111+商店!AC109</f>
        <v>16700207.529126611</v>
      </c>
      <c r="F111" s="2">
        <f>'奖励（新）'!EB111+商店!AD109</f>
        <v>13796306.239754517</v>
      </c>
      <c r="G111" s="2">
        <f>'奖励（新）'!EC111+商店!AE109</f>
        <v>9646402.6094216462</v>
      </c>
      <c r="H111" s="2">
        <f>'奖励（新）'!ED111+商店!AF109</f>
        <v>4790498.7764180368</v>
      </c>
      <c r="J111" s="56">
        <f>'奖励（新）'!DZ111/D111</f>
        <v>0.60403558255586898</v>
      </c>
      <c r="K111" s="56">
        <f>商店!AB109/D111</f>
        <v>0.39596441744413108</v>
      </c>
    </row>
    <row r="112" spans="3:11" x14ac:dyDescent="0.15">
      <c r="C112" s="2">
        <v>105</v>
      </c>
      <c r="D112" s="2">
        <f>'奖励（新）'!DZ112+商店!AB110</f>
        <v>21019383.96622375</v>
      </c>
      <c r="E112" s="2">
        <f>'奖励（新）'!EA112+商店!AC110</f>
        <v>17987866.823532667</v>
      </c>
      <c r="F112" s="2">
        <f>'奖励（新）'!EB112+商店!AD110</f>
        <v>14876714.925438929</v>
      </c>
      <c r="G112" s="2">
        <f>'奖励（新）'!EC112+商店!AE110</f>
        <v>10419509.570888909</v>
      </c>
      <c r="H112" s="2">
        <f>'奖励（新）'!ED112+商店!AF110</f>
        <v>5203287.3624843592</v>
      </c>
      <c r="J112" s="56">
        <f>'奖励（新）'!DZ112/D112</f>
        <v>0.60403558255586898</v>
      </c>
      <c r="K112" s="56">
        <f>商店!AB110/D112</f>
        <v>0.39596441744413108</v>
      </c>
    </row>
    <row r="113" spans="3:11" x14ac:dyDescent="0.15">
      <c r="C113" s="2">
        <v>106</v>
      </c>
      <c r="D113" s="2">
        <f>'奖励（新）'!DZ113+商店!AB111</f>
        <v>22594359.974030249</v>
      </c>
      <c r="E113" s="2">
        <f>'奖励（新）'!EA113+商店!AC111</f>
        <v>19360039.038245879</v>
      </c>
      <c r="F113" s="2">
        <f>'奖励（新）'!EB113+商店!AD111</f>
        <v>16016378.675184352</v>
      </c>
      <c r="G113" s="2">
        <f>'奖励（新）'!EC113+商店!AE111</f>
        <v>11229152.234659929</v>
      </c>
      <c r="H113" s="2">
        <f>'奖励（新）'!ED113+商店!AF111</f>
        <v>5620975.805367887</v>
      </c>
      <c r="J113" s="56">
        <f>'奖励（新）'!DZ113/D113</f>
        <v>0.60403558255586887</v>
      </c>
      <c r="K113" s="56">
        <f>商店!AB111/D113</f>
        <v>0.39596441744413102</v>
      </c>
    </row>
    <row r="114" spans="3:11" x14ac:dyDescent="0.15">
      <c r="C114" s="2">
        <v>107</v>
      </c>
      <c r="D114" s="2">
        <f>'奖励（新）'!DZ114+商店!AB112</f>
        <v>24282377.463328619</v>
      </c>
      <c r="E114" s="2">
        <f>'奖励（新）'!EA114+商店!AC112</f>
        <v>20806266.916548323</v>
      </c>
      <c r="F114" s="2">
        <f>'奖励（新）'!EB114+商店!AD112</f>
        <v>17243318.409454323</v>
      </c>
      <c r="G114" s="2">
        <f>'奖励（新）'!EC114+商店!AE112</f>
        <v>12053967.317300379</v>
      </c>
      <c r="H114" s="2">
        <f>'奖励（新）'!ED114+商店!AF112</f>
        <v>6061565.4688018719</v>
      </c>
      <c r="J114" s="56">
        <f>'奖励（新）'!DZ114/D114</f>
        <v>0.60403558255586898</v>
      </c>
      <c r="K114" s="56">
        <f>商店!AB112/D114</f>
        <v>0.39596441744413108</v>
      </c>
    </row>
    <row r="115" spans="3:11" x14ac:dyDescent="0.15">
      <c r="C115" s="2">
        <v>108</v>
      </c>
      <c r="D115" s="2">
        <f>'奖励（新）'!DZ115+商店!AB113</f>
        <v>26091549.812655788</v>
      </c>
      <c r="E115" s="2">
        <f>'奖励（新）'!EA115+商店!AC113</f>
        <v>22366476.699777216</v>
      </c>
      <c r="F115" s="2">
        <f>'奖励（新）'!EB115+商店!AD113</f>
        <v>18462308.417187918</v>
      </c>
      <c r="G115" s="2">
        <f>'奖励（新）'!EC115+商店!AE113</f>
        <v>12940044.980066208</v>
      </c>
      <c r="H115" s="2">
        <f>'奖励（新）'!ED115+商店!AF113</f>
        <v>6554217.7132711485</v>
      </c>
      <c r="J115" s="56">
        <f>'奖励（新）'!DZ115/D115</f>
        <v>0.60403558255586898</v>
      </c>
      <c r="K115" s="56">
        <f>商店!AB113/D115</f>
        <v>0.39596441744413102</v>
      </c>
    </row>
    <row r="116" spans="3:11" x14ac:dyDescent="0.15">
      <c r="C116" s="2">
        <v>109</v>
      </c>
      <c r="D116" s="2">
        <f>'奖励（新）'!DZ116+商店!AB114</f>
        <v>28030572.725819055</v>
      </c>
      <c r="E116" s="2">
        <f>'奖励（新）'!EA116+商店!AC114</f>
        <v>23956792.961742498</v>
      </c>
      <c r="F116" s="2">
        <f>'奖励（新）'!EB116+商店!AD114</f>
        <v>19792908.733722236</v>
      </c>
      <c r="G116" s="2">
        <f>'奖励（新）'!EC116+商店!AE114</f>
        <v>13898428.252271172</v>
      </c>
      <c r="H116" s="2">
        <f>'奖励（新）'!ED116+商店!AF114</f>
        <v>7087502.2000986394</v>
      </c>
      <c r="J116" s="56">
        <f>'奖励（新）'!DZ116/D116</f>
        <v>0.60403558255586898</v>
      </c>
      <c r="K116" s="56">
        <f>商店!AB114/D116</f>
        <v>0.39596441744413102</v>
      </c>
    </row>
    <row r="117" spans="3:11" x14ac:dyDescent="0.15">
      <c r="C117" s="2">
        <v>110</v>
      </c>
      <c r="D117" s="2">
        <f>'奖励（新）'!DZ117+商店!AB115</f>
        <v>30108766.02739726</v>
      </c>
      <c r="E117" s="2">
        <f>'奖励（新）'!EA117+商店!AC115</f>
        <v>25743123.831123289</v>
      </c>
      <c r="F117" s="2">
        <f>'奖励（新）'!EB117+商店!AD115</f>
        <v>21318842.918794516</v>
      </c>
      <c r="G117" s="2">
        <f>'奖励（新）'!EC117+商店!AE115</f>
        <v>15007600.266082192</v>
      </c>
      <c r="H117" s="2">
        <f>'奖励（新）'!ED117+商店!AF115</f>
        <v>7684731.3350136969</v>
      </c>
      <c r="J117" s="56">
        <f>'奖励（新）'!DZ117/D117</f>
        <v>0.60403558255586898</v>
      </c>
      <c r="K117" s="56">
        <f>商店!AB115/D117</f>
        <v>0.39596441744413108</v>
      </c>
    </row>
    <row r="118" spans="3:11" x14ac:dyDescent="0.15">
      <c r="C118" s="2">
        <v>111</v>
      </c>
      <c r="D118" s="2">
        <f>'奖励（新）'!DZ118+商店!AB116</f>
        <v>32336118.458049439</v>
      </c>
      <c r="E118" s="2">
        <f>'奖励（新）'!EA118+商店!AC116</f>
        <v>27697975.677482132</v>
      </c>
      <c r="F118" s="2">
        <f>'奖励（新）'!EB118+商店!AD116</f>
        <v>22963872.899469748</v>
      </c>
      <c r="G118" s="2">
        <f>'奖励（新）'!EC118+商店!AE116</f>
        <v>16206424.507291902</v>
      </c>
      <c r="H118" s="2">
        <f>'奖励（新）'!ED118+商店!AF116</f>
        <v>8340222.9368943907</v>
      </c>
      <c r="J118" s="56">
        <f>'奖励（新）'!DZ118/D118</f>
        <v>0.60403558255586887</v>
      </c>
      <c r="K118" s="56">
        <f>商店!AB116/D118</f>
        <v>0.39596441744413108</v>
      </c>
    </row>
    <row r="119" spans="3:11" x14ac:dyDescent="0.15">
      <c r="C119" s="2">
        <v>112</v>
      </c>
      <c r="D119" s="2">
        <f>'奖励（新）'!DZ119+商店!AB117</f>
        <v>34723335.684938177</v>
      </c>
      <c r="E119" s="2">
        <f>'奖励（新）'!EA119+商店!AC117</f>
        <v>29774427.662863743</v>
      </c>
      <c r="F119" s="2">
        <f>'奖励（新）'!EB119+商店!AD117</f>
        <v>24700248.474780597</v>
      </c>
      <c r="G119" s="2">
        <f>'奖励（新）'!EC119+商店!AE117</f>
        <v>17461322.349406309</v>
      </c>
      <c r="H119" s="2">
        <f>'奖励（新）'!ED119+商店!AF117</f>
        <v>8977795.7716113832</v>
      </c>
      <c r="J119" s="56">
        <f>'奖励（新）'!DZ119/D119</f>
        <v>0.60403558255586898</v>
      </c>
      <c r="K119" s="56">
        <f>商店!AB117/D119</f>
        <v>0.39596441744413108</v>
      </c>
    </row>
    <row r="120" spans="3:11" x14ac:dyDescent="0.15">
      <c r="C120" s="2">
        <v>113</v>
      </c>
      <c r="D120" s="2">
        <f>'奖励（新）'!DZ120+商店!AB118</f>
        <v>37281891.758027047</v>
      </c>
      <c r="E120" s="2">
        <f>'奖励（新）'!EA120+商店!AC118</f>
        <v>31993747.817190237</v>
      </c>
      <c r="F120" s="2">
        <f>'奖励（新）'!EB120+商店!AD118</f>
        <v>26570632.152287677</v>
      </c>
      <c r="G120" s="2">
        <f>'奖励（新）'!EC120+商店!AE118</f>
        <v>18743616.711318322</v>
      </c>
      <c r="H120" s="2">
        <f>'奖励（新）'!ED120+商店!AF118</f>
        <v>9654957.0976259802</v>
      </c>
      <c r="J120" s="56">
        <f>'奖励（新）'!DZ120/D120</f>
        <v>0.60403558255586898</v>
      </c>
      <c r="K120" s="56">
        <f>商店!AB118/D120</f>
        <v>0.39596441744413108</v>
      </c>
    </row>
    <row r="121" spans="3:11" x14ac:dyDescent="0.15">
      <c r="C121" s="2">
        <v>114</v>
      </c>
      <c r="D121" s="2">
        <f>'奖励（新）'!DZ121+商店!AB119</f>
        <v>40024084.259574741</v>
      </c>
      <c r="E121" s="2">
        <f>'奖励（新）'!EA121+商店!AC119</f>
        <v>34365193.092864819</v>
      </c>
      <c r="F121" s="2">
        <f>'奖励（新）'!EB121+商店!AD119</f>
        <v>28478231.142417133</v>
      </c>
      <c r="G121" s="2">
        <f>'奖励（新）'!EC121+商店!AE119</f>
        <v>20076301.390041716</v>
      </c>
      <c r="H121" s="2">
        <f>'奖励（新）'!ED121+商店!AF119</f>
        <v>10378123.121282397</v>
      </c>
      <c r="J121" s="56">
        <f>'奖励（新）'!DZ121/D121</f>
        <v>0.60403558255586887</v>
      </c>
      <c r="K121" s="56">
        <f>商店!AB119/D121</f>
        <v>0.39596441744413102</v>
      </c>
    </row>
    <row r="122" spans="3:11" x14ac:dyDescent="0.15">
      <c r="C122" s="2">
        <v>115</v>
      </c>
      <c r="D122" s="2">
        <f>'奖励（新）'!DZ122+商店!AB120</f>
        <v>42963093.411899559</v>
      </c>
      <c r="E122" s="2">
        <f>'奖励（新）'!EA122+商店!AC120</f>
        <v>36792183.509366691</v>
      </c>
      <c r="F122" s="2">
        <f>'奖励（新）'!EB122+商店!AD120</f>
        <v>30448560.831388041</v>
      </c>
      <c r="G122" s="2">
        <f>'奖励（新）'!EC122+商店!AE120</f>
        <v>21475682.002850555</v>
      </c>
      <c r="H122" s="2">
        <f>'奖励（新）'!ED122+商店!AF120</f>
        <v>11141178.043439331</v>
      </c>
      <c r="J122" s="56">
        <f>'奖励（新）'!DZ122/D122</f>
        <v>0.60403558255586898</v>
      </c>
      <c r="K122" s="56">
        <f>商店!AB120/D122</f>
        <v>0.39596441744413108</v>
      </c>
    </row>
    <row r="123" spans="3:11" x14ac:dyDescent="0.15">
      <c r="C123" s="2">
        <v>116</v>
      </c>
      <c r="D123" s="2">
        <f>'奖励（新）'!DZ123+商店!AB121</f>
        <v>46113045.427512541</v>
      </c>
      <c r="E123" s="2">
        <f>'奖励（新）'!EA123+商店!AC121</f>
        <v>39452242.87482819</v>
      </c>
      <c r="F123" s="2">
        <f>'奖励（新）'!EB123+商店!AD121</f>
        <v>32663813.7797212</v>
      </c>
      <c r="G123" s="2">
        <f>'奖励（新）'!EC123+商店!AE121</f>
        <v>23101115.771540161</v>
      </c>
      <c r="H123" s="2">
        <f>'奖励（新）'!ED123+商店!AF121</f>
        <v>12009771.263344668</v>
      </c>
      <c r="J123" s="56">
        <f>'奖励（新）'!DZ123/D123</f>
        <v>0.60403558255586898</v>
      </c>
      <c r="K123" s="56">
        <f>商店!AB121/D123</f>
        <v>0.39596441744413113</v>
      </c>
    </row>
    <row r="124" spans="3:11" x14ac:dyDescent="0.15">
      <c r="C124" s="2">
        <v>117</v>
      </c>
      <c r="D124" s="2">
        <f>'奖励（新）'!DZ124+商店!AB122</f>
        <v>49489080.406109244</v>
      </c>
      <c r="E124" s="2">
        <f>'奖励（新）'!EA124+商店!AC122</f>
        <v>42360919.363309413</v>
      </c>
      <c r="F124" s="2">
        <f>'奖励（新）'!EB124+商店!AD122</f>
        <v>35114754.610350385</v>
      </c>
      <c r="G124" s="2">
        <f>'奖励（新）'!EC124+商店!AE122</f>
        <v>24838976.183538865</v>
      </c>
      <c r="H124" s="2">
        <f>'奖励（新）'!ED124+商店!AF122</f>
        <v>12961915.463178802</v>
      </c>
      <c r="J124" s="56">
        <f>'奖励（新）'!DZ124/D124</f>
        <v>0.60403558255586898</v>
      </c>
      <c r="K124" s="56">
        <f>商店!AB122/D124</f>
        <v>0.39596441744413108</v>
      </c>
    </row>
    <row r="125" spans="3:11" x14ac:dyDescent="0.15">
      <c r="C125" s="2">
        <v>118</v>
      </c>
      <c r="D125" s="2">
        <f>'奖励（新）'!DZ125+商店!AB123</f>
        <v>53107425.104763672</v>
      </c>
      <c r="E125" s="2">
        <f>'奖励（新）'!EA125+商店!AC123</f>
        <v>45479093.060069494</v>
      </c>
      <c r="F125" s="2">
        <f>'奖励（新）'!EB125+商店!AD123</f>
        <v>37721541.742588498</v>
      </c>
      <c r="G125" s="2">
        <f>'奖励（新）'!EC125+商店!AE123</f>
        <v>26742110.981640846</v>
      </c>
      <c r="H125" s="2">
        <f>'奖励（新）'!ED125+商店!AF123</f>
        <v>13966872.70492742</v>
      </c>
      <c r="J125" s="56">
        <f>'奖励（新）'!DZ125/D125</f>
        <v>0.60403558255586898</v>
      </c>
      <c r="K125" s="56">
        <f>商店!AB123/D125</f>
        <v>0.39596441744413108</v>
      </c>
    </row>
    <row r="126" spans="3:11" x14ac:dyDescent="0.15">
      <c r="C126" s="2">
        <v>119</v>
      </c>
      <c r="D126" s="2">
        <f>'奖励（新）'!DZ126+商店!AB124</f>
        <v>56985470.931090161</v>
      </c>
      <c r="E126" s="2">
        <f>'奖励（新）'!EA126+商店!AC124</f>
        <v>48845251.819046639</v>
      </c>
      <c r="F126" s="2">
        <f>'奖励（新）'!EB126+商店!AD124</f>
        <v>40565378.819988161</v>
      </c>
      <c r="G126" s="2">
        <f>'奖励（新）'!EC126+商店!AE124</f>
        <v>28748967.767669883</v>
      </c>
      <c r="H126" s="2">
        <f>'奖励（新）'!ED126+商店!AF124</f>
        <v>14989548.918604409</v>
      </c>
      <c r="J126" s="56">
        <f>'奖励（新）'!DZ126/D126</f>
        <v>0.60403558255586898</v>
      </c>
      <c r="K126" s="56">
        <f>商店!AB124/D126</f>
        <v>0.39596441744413108</v>
      </c>
    </row>
    <row r="127" spans="3:11" x14ac:dyDescent="0.15">
      <c r="C127" s="2">
        <v>120</v>
      </c>
      <c r="D127" s="2">
        <f>'奖励（新）'!DZ127+商店!AB125</f>
        <v>61141857.534246571</v>
      </c>
      <c r="E127" s="2">
        <f>'奖励（新）'!EA127+商店!AC125</f>
        <v>52455531.910684928</v>
      </c>
      <c r="F127" s="2">
        <f>'奖励（新）'!EB127+商店!AD125</f>
        <v>43552857.136438355</v>
      </c>
      <c r="G127" s="2">
        <f>'奖励（新）'!EC127+商店!AE125</f>
        <v>30744498.634520546</v>
      </c>
      <c r="H127" s="2">
        <f>'奖励（新）'!ED127+商店!AF125</f>
        <v>16069070.544657532</v>
      </c>
      <c r="J127" s="56">
        <f>'奖励（新）'!DZ127/D127</f>
        <v>0.60403558255586898</v>
      </c>
      <c r="K127" s="56">
        <f>商店!AB125/D127</f>
        <v>0.39596441744413108</v>
      </c>
    </row>
    <row r="128" spans="3:11" x14ac:dyDescent="0.15">
      <c r="C128" s="2">
        <v>121</v>
      </c>
      <c r="D128" s="2">
        <f>'奖励（新）'!DZ128+商店!AB126</f>
        <v>65596562.395550996</v>
      </c>
      <c r="E128" s="2">
        <f>'奖励（新）'!EA128+商店!AC126</f>
        <v>56213398.423649907</v>
      </c>
      <c r="F128" s="2">
        <f>'奖励（新）'!EB128+商店!AD126</f>
        <v>46531325.661134794</v>
      </c>
      <c r="G128" s="2">
        <f>'奖励（新）'!EC128+商店!AE126</f>
        <v>32873411.250609715</v>
      </c>
      <c r="H128" s="2">
        <f>'奖励（新）'!ED128+商店!AF126</f>
        <v>17270363.537765995</v>
      </c>
      <c r="J128" s="56">
        <f>'奖励（新）'!DZ128/D128</f>
        <v>0.60403558255586887</v>
      </c>
      <c r="K128" s="56">
        <f>商店!AB126/D128</f>
        <v>0.39596441744413108</v>
      </c>
    </row>
    <row r="129" spans="3:11" x14ac:dyDescent="0.15">
      <c r="C129" s="2">
        <v>122</v>
      </c>
      <c r="D129" s="2">
        <f>'奖励（新）'!DZ129+商店!AB127</f>
        <v>70370996.849328429</v>
      </c>
      <c r="E129" s="2">
        <f>'奖励（新）'!EA129+商店!AC127</f>
        <v>60163649.735998601</v>
      </c>
      <c r="F129" s="2">
        <f>'奖励（新）'!EB129+商店!AD127</f>
        <v>49797984.433424726</v>
      </c>
      <c r="G129" s="2">
        <f>'奖励（新）'!EC129+商店!AE127</f>
        <v>35249561.11283952</v>
      </c>
      <c r="H129" s="2">
        <f>'奖励（新）'!ED129+商店!AF127</f>
        <v>18556370.230559796</v>
      </c>
      <c r="J129" s="56">
        <f>'奖励（新）'!DZ129/D129</f>
        <v>0.60403558255586898</v>
      </c>
      <c r="K129" s="56">
        <f>商店!AB127/D129</f>
        <v>0.39596441744413108</v>
      </c>
    </row>
    <row r="130" spans="3:11" x14ac:dyDescent="0.15">
      <c r="C130" s="2">
        <v>123</v>
      </c>
      <c r="D130" s="2">
        <f>'奖励（新）'!DZ130+商店!AB128</f>
        <v>75488108.995506167</v>
      </c>
      <c r="E130" s="2">
        <f>'奖励（新）'!EA130+商店!AC128</f>
        <v>64548669.226481184</v>
      </c>
      <c r="F130" s="2">
        <f>'奖励（新）'!EB130+商店!AD128</f>
        <v>53562148.166076019</v>
      </c>
      <c r="G130" s="2">
        <f>'奖励（新）'!EC130+商店!AE128</f>
        <v>37985387.241913393</v>
      </c>
      <c r="H130" s="2">
        <f>'奖励（新）'!ED130+商店!AF128</f>
        <v>20029513.194142871</v>
      </c>
      <c r="J130" s="56">
        <f>'奖励（新）'!DZ130/D130</f>
        <v>0.60403558255586898</v>
      </c>
      <c r="K130" s="56">
        <f>商店!AB128/D130</f>
        <v>0.39596441744413108</v>
      </c>
    </row>
    <row r="131" spans="3:11" x14ac:dyDescent="0.15">
      <c r="C131" s="2">
        <v>124</v>
      </c>
      <c r="D131" s="2">
        <f>'奖励（新）'!DZ131+商店!AB129</f>
        <v>80972493.998601466</v>
      </c>
      <c r="E131" s="2">
        <f>'奖励（新）'!EA131+商店!AC129</f>
        <v>69380791.813996822</v>
      </c>
      <c r="F131" s="2">
        <f>'奖励（新）'!EB131+商店!AD129</f>
        <v>57570677.467224881</v>
      </c>
      <c r="G131" s="2">
        <f>'奖励（新）'!EC131+商店!AE129</f>
        <v>40875696.729188144</v>
      </c>
      <c r="H131" s="2">
        <f>'奖励（新）'!ED131+商店!AF129</f>
        <v>21613582.730091076</v>
      </c>
      <c r="J131" s="56">
        <f>'奖励（新）'!DZ131/D131</f>
        <v>0.60403558255586898</v>
      </c>
      <c r="K131" s="56">
        <f>商店!AB129/D131</f>
        <v>0.39596441744413102</v>
      </c>
    </row>
    <row r="132" spans="3:11" x14ac:dyDescent="0.15">
      <c r="C132" s="2">
        <v>125</v>
      </c>
      <c r="D132" s="2">
        <f>'奖励（新）'!DZ132+商店!AB130</f>
        <v>86850512.303251177</v>
      </c>
      <c r="E132" s="2">
        <f>'奖励（新）'!EA132+商店!AC130</f>
        <v>74391889.804368794</v>
      </c>
      <c r="F132" s="2">
        <f>'奖励（新）'!EB132+商店!AD130</f>
        <v>61855250.661134675</v>
      </c>
      <c r="G132" s="2">
        <f>'奖励（新）'!EC132+商店!AE130</f>
        <v>43943325.699282855</v>
      </c>
      <c r="H132" s="2">
        <f>'奖励（新）'!ED132+商店!AF130</f>
        <v>23113788.217871651</v>
      </c>
      <c r="J132" s="56">
        <f>'奖励（新）'!DZ132/D132</f>
        <v>0.60403558255586898</v>
      </c>
      <c r="K132" s="56">
        <f>商店!AB130/D132</f>
        <v>0.39596441744413108</v>
      </c>
    </row>
    <row r="133" spans="3:11" x14ac:dyDescent="0.15">
      <c r="C133" s="2">
        <v>126</v>
      </c>
      <c r="D133" s="2">
        <f>'奖励（新）'!DZ133+商店!AB131</f>
        <v>93150416.334477156</v>
      </c>
      <c r="E133" s="2">
        <f>'奖励（新）'!EA133+商店!AC131</f>
        <v>79912167.66552563</v>
      </c>
      <c r="F133" s="2">
        <f>'奖励（新）'!EB133+商店!AD131</f>
        <v>66413725.71082323</v>
      </c>
      <c r="G133" s="2">
        <f>'奖励（新）'!EC133+商店!AE131</f>
        <v>46978479.986590371</v>
      </c>
      <c r="H133" s="2">
        <f>'奖励（新）'!ED133+商店!AF131</f>
        <v>24713050.821863301</v>
      </c>
      <c r="J133" s="56">
        <f>'奖励（新）'!DZ133/D133</f>
        <v>0.60403558255586898</v>
      </c>
      <c r="K133" s="56">
        <f>商店!AB131/D133</f>
        <v>0.39596441744413102</v>
      </c>
    </row>
    <row r="134" spans="3:11" x14ac:dyDescent="0.15">
      <c r="C134" s="2">
        <v>127</v>
      </c>
      <c r="D134" s="2">
        <f>'奖励（新）'!DZ134+商店!AB132</f>
        <v>99902486.291670561</v>
      </c>
      <c r="E134" s="2">
        <f>'奖励（新）'!EA134+商店!AC132</f>
        <v>85714609.305132389</v>
      </c>
      <c r="F134" s="2">
        <f>'奖励（新）'!EB134+商店!AD132</f>
        <v>70921110.645884201</v>
      </c>
      <c r="G134" s="2">
        <f>'奖励（新）'!EC134+商店!AE132</f>
        <v>50111917.543979481</v>
      </c>
      <c r="H134" s="2">
        <f>'奖励（新）'!ED134+商店!AF132</f>
        <v>26460286.240591325</v>
      </c>
      <c r="J134" s="56">
        <f>'奖励（新）'!DZ134/D134</f>
        <v>0.60403558255586898</v>
      </c>
      <c r="K134" s="56">
        <f>商店!AB132/D134</f>
        <v>0.39596441744413108</v>
      </c>
    </row>
    <row r="135" spans="3:11" x14ac:dyDescent="0.15">
      <c r="C135" s="2">
        <v>128</v>
      </c>
      <c r="D135" s="2">
        <f>'奖励（新）'!DZ135+商店!AB133</f>
        <v>107139175.68897921</v>
      </c>
      <c r="E135" s="2">
        <f>'奖励（新）'!EA135+商店!AC133</f>
        <v>91496817.841487318</v>
      </c>
      <c r="F135" s="2">
        <f>'奖励（新）'!EB135+商店!AD133</f>
        <v>75660195.962978199</v>
      </c>
      <c r="G135" s="2">
        <f>'奖励（新）'!EC135+商店!AE133</f>
        <v>53550477.423480906</v>
      </c>
      <c r="H135" s="2">
        <f>'奖励（新）'!ED135+商店!AF133</f>
        <v>28360175.992362134</v>
      </c>
      <c r="J135" s="56">
        <f>'奖励（新）'!DZ135/D135</f>
        <v>0.60403558255586898</v>
      </c>
      <c r="K135" s="56">
        <f>商店!AB133/D135</f>
        <v>0.39596441744413108</v>
      </c>
    </row>
    <row r="136" spans="3:11" x14ac:dyDescent="0.15">
      <c r="C136" s="2">
        <v>129</v>
      </c>
      <c r="D136" s="2">
        <f>'奖励（新）'!DZ136+商店!AB134</f>
        <v>114895267.3416324</v>
      </c>
      <c r="E136" s="2">
        <f>'奖励（新）'!EA136+商店!AC134</f>
        <v>98130725.540891215</v>
      </c>
      <c r="F136" s="2">
        <f>'奖励（新）'!EB136+商店!AD134</f>
        <v>81294031.870941624</v>
      </c>
      <c r="G136" s="2">
        <f>'奖励（新）'!EC136+商店!AE134</f>
        <v>57658117.034250244</v>
      </c>
      <c r="H136" s="2">
        <f>'奖励（新）'!ED136+商店!AF134</f>
        <v>30537732.278335296</v>
      </c>
      <c r="J136" s="56">
        <f>'奖励（新）'!DZ136/D136</f>
        <v>0.60403558255586898</v>
      </c>
      <c r="K136" s="56">
        <f>商店!AB134/D136</f>
        <v>0.39596441744413108</v>
      </c>
    </row>
    <row r="137" spans="3:11" x14ac:dyDescent="0.15">
      <c r="C137" s="2">
        <v>130</v>
      </c>
      <c r="D137" s="2">
        <f>'奖励（新）'!DZ137+商店!AB135</f>
        <v>123208040.5479452</v>
      </c>
      <c r="E137" s="2">
        <f>'奖励（新）'!EA137+商店!AC135</f>
        <v>105366181.58630137</v>
      </c>
      <c r="F137" s="2">
        <f>'奖励（新）'!EB137+商店!AD135</f>
        <v>87394081.247342467</v>
      </c>
      <c r="G137" s="2">
        <f>'奖励（新）'!EC137+商店!AE135</f>
        <v>62035396.936767116</v>
      </c>
      <c r="H137" s="2">
        <f>'奖励（新）'!ED137+商店!AF135</f>
        <v>32916001.461698633</v>
      </c>
      <c r="J137" s="56">
        <f>'奖励（新）'!DZ137/D137</f>
        <v>0.60403558255586898</v>
      </c>
      <c r="K137" s="56">
        <f>商店!AB135/D137</f>
        <v>0.39596441744413108</v>
      </c>
    </row>
    <row r="138" spans="3:11" x14ac:dyDescent="0.15">
      <c r="C138" s="2">
        <v>131</v>
      </c>
      <c r="D138" s="2">
        <f>'奖励（新）'!DZ138+商店!AB136</f>
        <v>132117450.27055405</v>
      </c>
      <c r="E138" s="2">
        <f>'奖励（新）'!EA138+商店!AC136</f>
        <v>113049307.45023148</v>
      </c>
      <c r="F138" s="2">
        <f>'奖励（新）'!EB138+商店!AD136</f>
        <v>93820055.786029249</v>
      </c>
      <c r="G138" s="2">
        <f>'奖励（新）'!EC138+商店!AE136</f>
        <v>66711045.486972854</v>
      </c>
      <c r="H138" s="2">
        <f>'奖励（新）'!ED138+商店!AF136</f>
        <v>35319455.347177558</v>
      </c>
      <c r="J138" s="56">
        <f>'奖励（新）'!DZ138/D138</f>
        <v>0.60403558255586898</v>
      </c>
      <c r="K138" s="56">
        <f>商店!AB136/D138</f>
        <v>0.39596441744413108</v>
      </c>
    </row>
    <row r="139" spans="3:11" x14ac:dyDescent="0.15">
      <c r="C139" s="2">
        <v>132</v>
      </c>
      <c r="D139" s="2">
        <f>'奖励（新）'!DZ139+商店!AB137</f>
        <v>141666319.17810893</v>
      </c>
      <c r="E139" s="2">
        <f>'奖励（新）'!EA139+商店!AC137</f>
        <v>121316549.69214717</v>
      </c>
      <c r="F139" s="2">
        <f>'奖励（新）'!EB139+商店!AD137</f>
        <v>100848272.83154783</v>
      </c>
      <c r="G139" s="2">
        <f>'奖励（新）'!EC139+商店!AE137</f>
        <v>71493333.989588171</v>
      </c>
      <c r="H139" s="2">
        <f>'奖励（新）'!ED139+商店!AF137</f>
        <v>37803404.179142907</v>
      </c>
      <c r="J139" s="56">
        <f>'奖励（新）'!DZ139/D139</f>
        <v>0.60403558255586887</v>
      </c>
      <c r="K139" s="56">
        <f>商店!AB137/D139</f>
        <v>0.39596441744413102</v>
      </c>
    </row>
    <row r="140" spans="3:11" x14ac:dyDescent="0.15">
      <c r="C140" s="2">
        <v>133</v>
      </c>
      <c r="D140" s="2">
        <f>'奖励（新）'!DZ140+商店!AB138</f>
        <v>151900543.47046441</v>
      </c>
      <c r="E140" s="2">
        <f>'奖励（新）'!EA140+商店!AC138</f>
        <v>130183365.67933139</v>
      </c>
      <c r="F140" s="2">
        <f>'奖励（新）'!EB140+商店!AD138</f>
        <v>107882627.92625202</v>
      </c>
      <c r="G140" s="2">
        <f>'奖励（新）'!EC140+商店!AE138</f>
        <v>76324099.462635368</v>
      </c>
      <c r="H140" s="2">
        <f>'奖励（新）'!ED140+商店!AF138</f>
        <v>40424866.625520751</v>
      </c>
      <c r="J140" s="56">
        <f>'奖励（新）'!DZ140/D140</f>
        <v>0.60403558255586887</v>
      </c>
      <c r="K140" s="56">
        <f>商店!AB138/D140</f>
        <v>0.39596441744413102</v>
      </c>
    </row>
    <row r="141" spans="3:11" x14ac:dyDescent="0.15">
      <c r="C141" s="2">
        <v>134</v>
      </c>
      <c r="D141" s="2">
        <f>'奖励（新）'!DZ141+商店!AB139</f>
        <v>162869313.47665501</v>
      </c>
      <c r="E141" s="2">
        <f>'奖励（新）'!EA141+商店!AC139</f>
        <v>139196781.78739521</v>
      </c>
      <c r="F141" s="2">
        <f>'奖励（新）'!EB141+商店!AD139</f>
        <v>115161013.73545912</v>
      </c>
      <c r="G141" s="2">
        <f>'奖励（新）'!EC141+商店!AE139</f>
        <v>81543963.921464339</v>
      </c>
      <c r="H141" s="2">
        <f>'奖励（新）'!ED141+商店!AF139</f>
        <v>43291862.134140685</v>
      </c>
      <c r="J141" s="56">
        <f>'奖励（新）'!DZ141/D141</f>
        <v>0.60403558255586898</v>
      </c>
      <c r="K141" s="56">
        <f>商店!AB139/D141</f>
        <v>0.39596441744413108</v>
      </c>
    </row>
    <row r="142" spans="3:11" x14ac:dyDescent="0.15">
      <c r="C142" s="2">
        <v>135</v>
      </c>
      <c r="D142" s="2">
        <f>'奖励（新）'!DZ142+商店!AB140</f>
        <v>174625350.08595443</v>
      </c>
      <c r="E142" s="2">
        <f>'奖励（新）'!EA142+商店!AC140</f>
        <v>149076918.67125386</v>
      </c>
      <c r="F142" s="2">
        <f>'奖励（新）'!EB142+商店!AD140</f>
        <v>123329734.45380294</v>
      </c>
      <c r="G142" s="2">
        <f>'奖励（新）'!EC142+商店!AE140</f>
        <v>87502791.798044488</v>
      </c>
      <c r="H142" s="2">
        <f>'奖励（新）'!ED142+商店!AF140</f>
        <v>46541885.194708258</v>
      </c>
      <c r="J142" s="56">
        <f>'奖励（新）'!DZ142/D142</f>
        <v>0.60403558255586887</v>
      </c>
      <c r="K142" s="56">
        <f>商店!AB140/D142</f>
        <v>0.39596441744413102</v>
      </c>
    </row>
    <row r="143" spans="3:11" x14ac:dyDescent="0.15">
      <c r="C143" s="2">
        <v>136</v>
      </c>
      <c r="D143" s="2">
        <f>'奖励（新）'!DZ143+商店!AB141</f>
        <v>187225158.14840639</v>
      </c>
      <c r="E143" s="2">
        <f>'奖励（新）'!EA143+商店!AC141</f>
        <v>159957604.88417783</v>
      </c>
      <c r="F143" s="2">
        <f>'奖励（新）'!EB143+商店!AD141</f>
        <v>132706199.97473776</v>
      </c>
      <c r="G143" s="2">
        <f>'奖励（新）'!EC143+商店!AE141</f>
        <v>94169060.008919507</v>
      </c>
      <c r="H143" s="2">
        <f>'奖励（新）'!ED143+商店!AF141</f>
        <v>50129441.917524755</v>
      </c>
      <c r="J143" s="56">
        <f>'奖励（新）'!DZ143/D143</f>
        <v>0.60403558255586898</v>
      </c>
      <c r="K143" s="56">
        <f>商店!AB141/D143</f>
        <v>0.39596441744413102</v>
      </c>
    </row>
    <row r="144" spans="3:11" x14ac:dyDescent="0.15">
      <c r="C144" s="2">
        <v>137</v>
      </c>
      <c r="D144" s="2">
        <f>'奖励（新）'!DZ144+商店!AB142</f>
        <v>200729298.06279325</v>
      </c>
      <c r="E144" s="2">
        <f>'奖励（新）'!EA144+商店!AC142</f>
        <v>171708918.51349938</v>
      </c>
      <c r="F144" s="2">
        <f>'奖励（新）'!EB144+商店!AD142</f>
        <v>142448905.26516846</v>
      </c>
      <c r="G144" s="2">
        <f>'奖励（新）'!EC144+商店!AE142</f>
        <v>101188026.18987678</v>
      </c>
      <c r="H144" s="2">
        <f>'奖励（新）'!ED144+商店!AF142</f>
        <v>53859994.715853252</v>
      </c>
      <c r="J144" s="56">
        <f>'奖励（新）'!DZ144/D144</f>
        <v>0.60403558255586898</v>
      </c>
      <c r="K144" s="56">
        <f>商店!AB142/D144</f>
        <v>0.39596441744413102</v>
      </c>
    </row>
    <row r="145" spans="3:11" x14ac:dyDescent="0.15">
      <c r="C145" s="2">
        <v>138</v>
      </c>
      <c r="D145" s="2">
        <f>'奖励（新）'!DZ145+商店!AB143</f>
        <v>215202676.85741052</v>
      </c>
      <c r="E145" s="2">
        <f>'奖励（新）'!EA145+商店!AC143</f>
        <v>184099927.29456413</v>
      </c>
      <c r="F145" s="2">
        <f>'奖励（新）'!EB145+商店!AD143</f>
        <v>152856064.92908326</v>
      </c>
      <c r="G145" s="2">
        <f>'奖励（新）'!EC145+商店!AE143</f>
        <v>108588054.10051247</v>
      </c>
      <c r="H145" s="2">
        <f>'奖励（新）'!ED145+商店!AF143</f>
        <v>57567295.857413977</v>
      </c>
      <c r="J145" s="56">
        <f>'奖励（新）'!DZ145/D145</f>
        <v>0.60403558255586898</v>
      </c>
      <c r="K145" s="56">
        <f>商店!AB143/D145</f>
        <v>0.39596441744413108</v>
      </c>
    </row>
    <row r="146" spans="3:11" x14ac:dyDescent="0.15">
      <c r="C146" s="2">
        <v>139</v>
      </c>
      <c r="D146" s="2">
        <f>'奖励（新）'!DZ146+商店!AB144</f>
        <v>230714860.1627169</v>
      </c>
      <c r="E146" s="2">
        <f>'奖励（新）'!EA146+商店!AC144</f>
        <v>197473896.1840114</v>
      </c>
      <c r="F146" s="2">
        <f>'奖励（新）'!EB146+商店!AD144</f>
        <v>163920868.94964623</v>
      </c>
      <c r="G146" s="2">
        <f>'奖励（新）'!EC146+商店!AE144</f>
        <v>115987996.59320518</v>
      </c>
      <c r="H146" s="2">
        <f>'奖励（新）'!ED146+商店!AF144</f>
        <v>61548730.276840508</v>
      </c>
      <c r="J146" s="56">
        <f>'奖励（新）'!DZ146/D146</f>
        <v>0.60403558255586898</v>
      </c>
      <c r="K146" s="56">
        <f>商店!AB144/D146</f>
        <v>0.39596441744413102</v>
      </c>
    </row>
    <row r="147" spans="3:11" x14ac:dyDescent="0.15">
      <c r="C147" s="2">
        <v>140</v>
      </c>
      <c r="D147" s="2">
        <f>'奖励（新）'!DZ147+商店!AB145</f>
        <v>247340406.57534245</v>
      </c>
      <c r="E147" s="2">
        <f>'奖励（新）'!EA147+商店!AC145</f>
        <v>211613813.08372605</v>
      </c>
      <c r="F147" s="2">
        <f>'奖励（新）'!EB147+商店!AD145</f>
        <v>174998052.19035617</v>
      </c>
      <c r="G147" s="2">
        <f>'奖励（新）'!EC147+商店!AE145</f>
        <v>123833587.70169863</v>
      </c>
      <c r="H147" s="2">
        <f>'奖励（新）'!ED147+商店!AF145</f>
        <v>65878535.787287667</v>
      </c>
      <c r="J147" s="56">
        <f>'奖励（新）'!DZ147/D147</f>
        <v>0.60403558255586887</v>
      </c>
      <c r="K147" s="56">
        <f>商店!AB145/D147</f>
        <v>0.39596441744413108</v>
      </c>
    </row>
    <row r="148" spans="3:11" x14ac:dyDescent="0.15">
      <c r="C148" s="2">
        <v>141</v>
      </c>
      <c r="D148" s="2">
        <f>'奖励（新）'!DZ148+商店!AB146</f>
        <v>265159226.0205597</v>
      </c>
      <c r="E148" s="2">
        <f>'奖励（新）'!EA148+商店!AC146</f>
        <v>226277487.76540163</v>
      </c>
      <c r="F148" s="2">
        <f>'奖励（新）'!EB148+商店!AD146</f>
        <v>186983868.40519488</v>
      </c>
      <c r="G148" s="2">
        <f>'奖励（新）'!EC148+商店!AE146</f>
        <v>132650790.60918227</v>
      </c>
      <c r="H148" s="2">
        <f>'奖励（新）'!ED148+商店!AF146</f>
        <v>70619826.984265298</v>
      </c>
      <c r="J148" s="56">
        <f>'奖励（新）'!DZ148/D148</f>
        <v>0.60403558255586898</v>
      </c>
      <c r="K148" s="56">
        <f>商店!AB146/D148</f>
        <v>0.39596441744413108</v>
      </c>
    </row>
    <row r="149" spans="3:11" x14ac:dyDescent="0.15">
      <c r="C149" s="2">
        <v>142</v>
      </c>
      <c r="D149" s="2">
        <f>'奖励（新）'!DZ149+商店!AB147</f>
        <v>284256963.83566993</v>
      </c>
      <c r="E149" s="2">
        <f>'奖励（新）'!EA149+商店!AC147</f>
        <v>242585069.28974503</v>
      </c>
      <c r="F149" s="2">
        <f>'奖励（新）'!EB149+商店!AD147</f>
        <v>200983794.73656803</v>
      </c>
      <c r="G149" s="2">
        <f>'奖励（新）'!EC149+商店!AE147</f>
        <v>142570812.53623316</v>
      </c>
      <c r="H149" s="2">
        <f>'奖励（新）'!ED149+商店!AF147</f>
        <v>75937410.652851626</v>
      </c>
      <c r="J149" s="56">
        <f>'奖励（新）'!DZ149/D149</f>
        <v>0.60403558255586887</v>
      </c>
      <c r="K149" s="56">
        <f>商店!AB147/D149</f>
        <v>0.39596441744413102</v>
      </c>
    </row>
    <row r="150" spans="3:11" x14ac:dyDescent="0.15">
      <c r="C150" s="2">
        <v>143</v>
      </c>
      <c r="D150" s="2">
        <f>'奖励（新）'!DZ150+商店!AB148</f>
        <v>304725412.42038089</v>
      </c>
      <c r="E150" s="2">
        <f>'奖励（新）'!EA150+商店!AC148</f>
        <v>260371919.99354464</v>
      </c>
      <c r="F150" s="2">
        <f>'奖励（新）'!EB150+商店!AD148</f>
        <v>215767914.80171156</v>
      </c>
      <c r="G150" s="2">
        <f>'奖励（新）'!EC150+商店!AE148</f>
        <v>153194362.79467618</v>
      </c>
      <c r="H150" s="2">
        <f>'奖励（新）'!ED150+商店!AF148</f>
        <v>81713886.88941431</v>
      </c>
      <c r="J150" s="56">
        <f>'奖励（新）'!DZ150/D150</f>
        <v>0.60403558255586898</v>
      </c>
      <c r="K150" s="56">
        <f>商店!AB148/D150</f>
        <v>0.39596441744413108</v>
      </c>
    </row>
    <row r="151" spans="3:11" x14ac:dyDescent="0.15">
      <c r="C151" s="2">
        <v>144</v>
      </c>
      <c r="D151" s="2">
        <f>'奖励（新）'!DZ151+商店!AB149</f>
        <v>326662952.43276209</v>
      </c>
      <c r="E151" s="2">
        <f>'奖励（新）'!EA151+商店!AC149</f>
        <v>279126578.07101125</v>
      </c>
      <c r="F151" s="2">
        <f>'奖励（新）'!EB151+商店!AD149</f>
        <v>231564989.375049</v>
      </c>
      <c r="G151" s="2">
        <f>'奖励（新）'!EC151+商店!AE149</f>
        <v>164534557.16181508</v>
      </c>
      <c r="H151" s="2">
        <f>'奖励（新）'!ED151+商店!AF149</f>
        <v>87475407.326961011</v>
      </c>
      <c r="J151" s="56">
        <f>'奖励（新）'!DZ151/D151</f>
        <v>0.60403558255586887</v>
      </c>
      <c r="K151" s="56">
        <f>商店!AB149/D151</f>
        <v>0.39596441744413102</v>
      </c>
    </row>
    <row r="152" spans="3:11" x14ac:dyDescent="0.15">
      <c r="C152" s="2">
        <v>145</v>
      </c>
      <c r="D152" s="2">
        <f>'奖励（新）'!DZ152+商店!AB150</f>
        <v>350175025.65136093</v>
      </c>
      <c r="E152" s="2">
        <f>'奖励（新）'!EA152+商店!AC150</f>
        <v>299653011.5355953</v>
      </c>
      <c r="F152" s="2">
        <f>'奖励（新）'!EB152+商店!AD150</f>
        <v>248550127.55229393</v>
      </c>
      <c r="G152" s="2">
        <f>'奖励（新）'!EC152+商店!AE150</f>
        <v>176080544.60307345</v>
      </c>
      <c r="H152" s="2">
        <f>'奖励（新）'!ED152+商店!AF150</f>
        <v>93527273.506484419</v>
      </c>
      <c r="J152" s="56">
        <f>'奖励（新）'!DZ152/D152</f>
        <v>0.60403558255586898</v>
      </c>
      <c r="K152" s="56">
        <f>商店!AB150/D152</f>
        <v>0.39596441744413108</v>
      </c>
    </row>
    <row r="153" spans="3:11" x14ac:dyDescent="0.15">
      <c r="C153" s="2">
        <v>146</v>
      </c>
      <c r="D153" s="2">
        <f>'奖励（新）'!DZ153+商店!AB151</f>
        <v>375374641.77626491</v>
      </c>
      <c r="E153" s="2">
        <f>'奖励（新）'!EA153+商店!AC151</f>
        <v>321150970.36651754</v>
      </c>
      <c r="F153" s="2">
        <f>'奖励（新）'!EB153+商店!AD151</f>
        <v>265587925.23992303</v>
      </c>
      <c r="G153" s="2">
        <f>'奖励（新）'!EC153+商店!AE151</f>
        <v>187916724.90053308</v>
      </c>
      <c r="H153" s="2">
        <f>'奖励（新）'!ED153+商店!AF151</f>
        <v>99873529.408788279</v>
      </c>
      <c r="J153" s="56">
        <f>'奖励（新）'!DZ153/D153</f>
        <v>0.60403558255586887</v>
      </c>
      <c r="K153" s="56">
        <f>商店!AB151/D153</f>
        <v>0.39596441744413102</v>
      </c>
    </row>
    <row r="154" spans="3:11" x14ac:dyDescent="0.15">
      <c r="C154" s="2">
        <v>147</v>
      </c>
      <c r="D154" s="2">
        <f>'奖励（新）'!DZ154+商店!AB152</f>
        <v>402382921.60503852</v>
      </c>
      <c r="E154" s="2">
        <f>'奖励（新）'!EA154+商店!AC152</f>
        <v>343126974.44007045</v>
      </c>
      <c r="F154" s="2">
        <f>'奖励（新）'!EB154+商店!AD152</f>
        <v>283404206.8013308</v>
      </c>
      <c r="G154" s="2">
        <f>'奖励（新）'!EC154+商店!AE152</f>
        <v>200412626.38095251</v>
      </c>
      <c r="H154" s="2">
        <f>'奖励（新）'!ED154+商店!AF152</f>
        <v>106728879.1579487</v>
      </c>
      <c r="J154" s="56">
        <f>'奖励（新）'!DZ154/D154</f>
        <v>0.60403558255586887</v>
      </c>
      <c r="K154" s="56">
        <f>商店!AB152/D154</f>
        <v>0.39596441744413102</v>
      </c>
    </row>
    <row r="155" spans="3:11" x14ac:dyDescent="0.15">
      <c r="C155" s="2">
        <v>148</v>
      </c>
      <c r="D155" s="2">
        <f>'奖励（新）'!DZ155+商店!AB153</f>
        <v>431329679.19427311</v>
      </c>
      <c r="E155" s="2">
        <f>'奖励（新）'!EA155+商店!AC153</f>
        <v>367821247.33952272</v>
      </c>
      <c r="F155" s="2">
        <f>'奖励（新）'!EB155+商店!AD153</f>
        <v>303996425.82955575</v>
      </c>
      <c r="G155" s="2">
        <f>'奖励（新）'!EC155+商店!AE153</f>
        <v>215320876.35875422</v>
      </c>
      <c r="H155" s="2">
        <f>'奖励（新）'!ED155+商店!AF153</f>
        <v>114503597.80656593</v>
      </c>
      <c r="J155" s="56">
        <f>'奖励（新）'!DZ155/D155</f>
        <v>0.60403558255586887</v>
      </c>
      <c r="K155" s="56">
        <f>商店!AB153/D155</f>
        <v>0.39596441744413102</v>
      </c>
    </row>
    <row r="156" spans="3:11" x14ac:dyDescent="0.15">
      <c r="C156" s="2">
        <v>149</v>
      </c>
      <c r="D156" s="2">
        <f>'奖励（新）'!DZ156+商店!AB154</f>
        <v>462354045.80488586</v>
      </c>
      <c r="E156" s="2">
        <f>'奖励（新）'!EA156+商店!AC154</f>
        <v>394381531.27576983</v>
      </c>
      <c r="F156" s="2">
        <f>'奖励（新）'!EB156+商店!AD154</f>
        <v>326177153.37900442</v>
      </c>
      <c r="G156" s="2">
        <f>'奖励（新）'!EC156+商店!AE154</f>
        <v>230990613.67728174</v>
      </c>
      <c r="H156" s="2">
        <f>'奖励（新）'!ED156+商店!AF154</f>
        <v>122888337.66170523</v>
      </c>
      <c r="J156" s="56">
        <f>'奖励（新）'!DZ156/D156</f>
        <v>0.60403558255586887</v>
      </c>
      <c r="K156" s="56">
        <f>商店!AB154/D156</f>
        <v>0.39596441744413108</v>
      </c>
    </row>
    <row r="157" spans="3:11" x14ac:dyDescent="0.15">
      <c r="C157" s="2">
        <v>150</v>
      </c>
      <c r="D157" s="2">
        <f>'奖励（新）'!DZ157+商店!AB155</f>
        <v>495605138.63013697</v>
      </c>
      <c r="E157" s="2">
        <f>'奖励（新）'!EA157+商店!AC155</f>
        <v>422754521.409863</v>
      </c>
      <c r="F157" s="2">
        <f>'奖励（新）'!EB157+商店!AD155</f>
        <v>349709674.34926021</v>
      </c>
      <c r="G157" s="2">
        <f>'奖励（新）'!EC157+商店!AE155</f>
        <v>247795517.4069041</v>
      </c>
      <c r="H157" s="2">
        <f>'奖励（新）'!ED157+商店!AF155</f>
        <v>132247534.2410959</v>
      </c>
      <c r="J157" s="56">
        <f>'奖励（新）'!DZ157/D157</f>
        <v>0.60403558255586898</v>
      </c>
      <c r="K157" s="56">
        <f>商店!AB155/D157</f>
        <v>0.39596441744413108</v>
      </c>
    </row>
    <row r="158" spans="3:11" x14ac:dyDescent="0.15">
      <c r="C158" s="2">
        <v>151</v>
      </c>
      <c r="D158" s="2">
        <f>'奖励（新）'!DZ158+商店!AB156</f>
        <v>531242777.52057159</v>
      </c>
      <c r="E158" s="2">
        <f>'奖励（新）'!EA158+商店!AC156</f>
        <v>453379016.88714886</v>
      </c>
      <c r="F158" s="2">
        <f>'奖励（新）'!EB158+商店!AD156</f>
        <v>375158900.15610731</v>
      </c>
      <c r="G158" s="2">
        <f>'奖励（新）'!EC158+商店!AE156</f>
        <v>266937539.98505157</v>
      </c>
      <c r="H158" s="2">
        <f>'奖励（新）'!ED158+商店!AF156</f>
        <v>144047790.59267318</v>
      </c>
      <c r="J158" s="56">
        <f>'奖励（新）'!DZ158/D158</f>
        <v>0.60403558255586887</v>
      </c>
      <c r="K158" s="56">
        <f>商店!AB156/D158</f>
        <v>0.39596441744413108</v>
      </c>
    </row>
    <row r="159" spans="3:11" x14ac:dyDescent="0.15">
      <c r="C159" s="2">
        <v>152</v>
      </c>
      <c r="D159" s="2">
        <f>'奖励（新）'!DZ159+商店!AB157</f>
        <v>569438253.15079188</v>
      </c>
      <c r="E159" s="2">
        <f>'奖励（新）'!EA159+商店!AC157</f>
        <v>485871203.83291757</v>
      </c>
      <c r="F159" s="2">
        <f>'奖励（新）'!EB159+商店!AD157</f>
        <v>404374946.82822633</v>
      </c>
      <c r="G159" s="2">
        <f>'奖励（新）'!EC159+商店!AE157</f>
        <v>290066074.15416998</v>
      </c>
      <c r="H159" s="2">
        <f>'奖励（新）'!ED159+商店!AF157</f>
        <v>224060950.82531857</v>
      </c>
      <c r="J159" s="56">
        <f>'奖励（新）'!DZ159/D159</f>
        <v>0.60403558255586898</v>
      </c>
      <c r="K159" s="56">
        <f>商店!AB157/D159</f>
        <v>0.39596441744413108</v>
      </c>
    </row>
    <row r="160" spans="3:11" x14ac:dyDescent="0.15">
      <c r="C160" s="2">
        <v>153</v>
      </c>
      <c r="D160" s="2">
        <f>'奖励（新）'!DZ160+商店!AB158</f>
        <v>610375150.32021379</v>
      </c>
      <c r="E160" s="2">
        <f>'奖励（新）'!EA160+商店!AC158</f>
        <v>524701922.83689702</v>
      </c>
      <c r="F160" s="2">
        <f>'奖励（新）'!EB160+商店!AD158</f>
        <v>438291125.78763044</v>
      </c>
      <c r="G160" s="2">
        <f>'奖励（新）'!EC160+商店!AE158</f>
        <v>384912569.13893598</v>
      </c>
      <c r="H160" s="2">
        <f>'奖励（新）'!ED160+商店!AF158</f>
        <v>384912569.13893598</v>
      </c>
      <c r="J160" s="56">
        <f>'奖励（新）'!DZ160/D160</f>
        <v>0.60403558255586898</v>
      </c>
      <c r="K160" s="56">
        <f>商店!AB158/D160</f>
        <v>0.39596441744413108</v>
      </c>
    </row>
    <row r="161" spans="3:11" x14ac:dyDescent="0.15">
      <c r="C161" s="2">
        <v>154</v>
      </c>
      <c r="D161" s="2">
        <f>'奖励（新）'!DZ161+商店!AB159</f>
        <v>654250230.34497631</v>
      </c>
      <c r="E161" s="2">
        <f>'奖励（新）'!EA161+商店!AC159</f>
        <v>565076395.8526938</v>
      </c>
      <c r="F161" s="2">
        <f>'奖励（新）'!EB161+商店!AD159</f>
        <v>540124269.64432478</v>
      </c>
      <c r="G161" s="2">
        <f>'奖励（新）'!EC161+商店!AE159</f>
        <v>543570644.06924725</v>
      </c>
      <c r="H161" s="2">
        <f>'奖励（新）'!ED161+商店!AF159</f>
        <v>543570644.06924725</v>
      </c>
      <c r="J161" s="56">
        <f>'奖励（新）'!DZ161/D161</f>
        <v>0.60403558255586898</v>
      </c>
      <c r="K161" s="56">
        <f>商店!AB159/D161</f>
        <v>0.39596441744413102</v>
      </c>
    </row>
    <row r="162" spans="3:11" x14ac:dyDescent="0.15">
      <c r="C162" s="2">
        <v>155</v>
      </c>
      <c r="D162" s="2">
        <f>'奖励（新）'!DZ162+商店!AB160</f>
        <v>701274376.78217411</v>
      </c>
      <c r="E162" s="2">
        <f>'奖励（新）'!EA162+商店!AC160</f>
        <v>673954310.20778704</v>
      </c>
      <c r="F162" s="2">
        <f>'奖励（新）'!EB162+商店!AD160</f>
        <v>706911506.4704541</v>
      </c>
      <c r="G162" s="2">
        <f>'奖励（新）'!EC162+商店!AE160</f>
        <v>706911506.4704541</v>
      </c>
      <c r="H162" s="2">
        <f>'奖励（新）'!ED162+商店!AF160</f>
        <v>709127749.49343133</v>
      </c>
      <c r="J162" s="56">
        <f>'奖励（新）'!DZ162/D162</f>
        <v>0.60403558255586887</v>
      </c>
      <c r="K162" s="56">
        <f>商店!AB160/D162</f>
        <v>0.39596441744413102</v>
      </c>
    </row>
    <row r="163" spans="3:11" x14ac:dyDescent="0.15">
      <c r="C163" s="2">
        <v>156</v>
      </c>
      <c r="D163" s="2">
        <f>'奖励（新）'!DZ163+商店!AB161</f>
        <v>751673609.03198195</v>
      </c>
      <c r="E163" s="2">
        <f>'奖励（新）'!EA163+商店!AC161</f>
        <v>759501843.62376642</v>
      </c>
      <c r="F163" s="2">
        <f>'奖励（新）'!EB163+商店!AD161</f>
        <v>798732494.96149874</v>
      </c>
      <c r="G163" s="2">
        <f>'奖励（新）'!EC163+商店!AE161</f>
        <v>798732494.96149874</v>
      </c>
      <c r="H163" s="2">
        <f>'奖励（新）'!ED163+商店!AF161</f>
        <v>801107808.85267687</v>
      </c>
      <c r="J163" s="56">
        <f>'奖励（新）'!DZ163/D163</f>
        <v>0.60403558255586887</v>
      </c>
      <c r="K163" s="56">
        <f>商店!AB161/D163</f>
        <v>0.39596441744413102</v>
      </c>
    </row>
    <row r="164" spans="3:11" x14ac:dyDescent="0.15">
      <c r="C164" s="2">
        <v>157</v>
      </c>
      <c r="D164" s="2">
        <f>'奖励（新）'!DZ164+商店!AB162</f>
        <v>805690168.68952918</v>
      </c>
      <c r="E164" s="2">
        <f>'奖励（新）'!EA164+商店!AC162</f>
        <v>814080953.69649327</v>
      </c>
      <c r="F164" s="2">
        <f>'奖励（新）'!EB164+商店!AD162</f>
        <v>856130099.81227803</v>
      </c>
      <c r="G164" s="2">
        <f>'奖励（新）'!EC164+商店!AE162</f>
        <v>856130099.81227803</v>
      </c>
      <c r="H164" s="2">
        <f>'奖励（新）'!ED164+商店!AF162</f>
        <v>856130099.81227803</v>
      </c>
      <c r="J164" s="56">
        <f>'奖励（新）'!DZ164/D164</f>
        <v>0.60403558255586887</v>
      </c>
      <c r="K164" s="56">
        <f>商店!AB162/D164</f>
        <v>0.39596441744413108</v>
      </c>
    </row>
    <row r="165" spans="3:11" x14ac:dyDescent="0.15">
      <c r="C165" s="2">
        <v>158</v>
      </c>
      <c r="D165" s="2">
        <f>'奖励（新）'!DZ165+商店!AB163</f>
        <v>863583683.86799836</v>
      </c>
      <c r="E165" s="2">
        <f>'奖励（新）'!EA165+商店!AC163</f>
        <v>872577395.48129058</v>
      </c>
      <c r="F165" s="2">
        <f>'奖励（新）'!EB165+商店!AD163</f>
        <v>917647329.50448918</v>
      </c>
      <c r="G165" s="2">
        <f>'奖励（新）'!EC165+商店!AE163</f>
        <v>917647329.50448918</v>
      </c>
      <c r="H165" s="2">
        <f>'奖励（新）'!ED165+商店!AF163</f>
        <v>917647329.50448918</v>
      </c>
      <c r="J165" s="56">
        <f>'奖励（新）'!DZ165/D165</f>
        <v>0.60403558255586898</v>
      </c>
      <c r="K165" s="56">
        <f>商店!AB163/D165</f>
        <v>0.39596441744413108</v>
      </c>
    </row>
    <row r="166" spans="3:11" x14ac:dyDescent="0.15">
      <c r="C166" s="2">
        <v>159</v>
      </c>
      <c r="D166" s="2">
        <f>'奖励（新）'!DZ166+商店!AB164</f>
        <v>925632417.08922386</v>
      </c>
      <c r="E166" s="2">
        <f>'奖励（新）'!EA166+商店!AC164</f>
        <v>935272329.43903565</v>
      </c>
      <c r="F166" s="2">
        <f>'奖励（新）'!EB166+商店!AD164</f>
        <v>983579863.77735066</v>
      </c>
      <c r="G166" s="2">
        <f>'奖励（新）'!EC166+商店!AE164</f>
        <v>983579863.77735066</v>
      </c>
      <c r="H166" s="2">
        <f>'奖励（新）'!ED166+商店!AF164</f>
        <v>983579863.77735066</v>
      </c>
      <c r="J166" s="56">
        <f>'奖励（新）'!DZ166/D166</f>
        <v>0.60403558255586887</v>
      </c>
      <c r="K166" s="56">
        <f>商店!AB164/D166</f>
        <v>0.39596441744413102</v>
      </c>
    </row>
    <row r="167" spans="3:11" x14ac:dyDescent="0.15">
      <c r="C167" s="2">
        <v>160</v>
      </c>
      <c r="D167" s="2">
        <f>'奖励（新）'!DZ167+商店!AB165</f>
        <v>992134602.73972607</v>
      </c>
      <c r="E167" s="2">
        <f>'奖励（新）'!EA167+商店!AC165</f>
        <v>1002467095.890411</v>
      </c>
      <c r="F167" s="2">
        <f>'奖励（新）'!EB167+商店!AD165</f>
        <v>1054244604.3287673</v>
      </c>
      <c r="G167" s="2">
        <f>'奖励（新）'!EC167+商店!AE165</f>
        <v>1054244604.3287673</v>
      </c>
      <c r="H167" s="2">
        <f>'奖励（新）'!ED167+商店!AF165</f>
        <v>1054244604.3287673</v>
      </c>
      <c r="J167" s="56">
        <f>'奖励（新）'!DZ167/D167</f>
        <v>0.60403558255586898</v>
      </c>
      <c r="K167" s="56">
        <f>商店!AB165/D167</f>
        <v>0.39596441744413102</v>
      </c>
    </row>
  </sheetData>
  <mergeCells count="1">
    <mergeCell ref="D6:H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EC219-F623-4A44-AF61-73DED7BB898F}">
  <sheetPr codeName="Sheet10">
    <tabColor theme="0" tint="-0.499984740745262"/>
  </sheetPr>
  <dimension ref="A1:CM367"/>
  <sheetViews>
    <sheetView workbookViewId="0">
      <selection activeCell="K32" sqref="K32"/>
    </sheetView>
  </sheetViews>
  <sheetFormatPr defaultRowHeight="11.25" x14ac:dyDescent="0.2"/>
  <cols>
    <col min="1" max="1" width="13.875" style="6" customWidth="1"/>
    <col min="2" max="5" width="9" style="2"/>
    <col min="6" max="6" width="12.125" style="2" customWidth="1"/>
    <col min="7" max="7" width="9" style="2"/>
    <col min="8" max="8" width="12" style="2" customWidth="1"/>
    <col min="9" max="11" width="9" style="2"/>
    <col min="12" max="12" width="2.75" style="3" customWidth="1"/>
    <col min="13" max="14" width="9" style="2"/>
    <col min="15" max="15" width="10.25" style="2" customWidth="1"/>
    <col min="16" max="16" width="13.875" style="2" bestFit="1" customWidth="1"/>
    <col min="17" max="29" width="9" style="2"/>
    <col min="30" max="30" width="2.75" style="3" customWidth="1"/>
    <col min="31" max="32" width="9" style="2"/>
    <col min="33" max="35" width="10.5" style="2" bestFit="1" customWidth="1"/>
    <col min="36" max="36" width="13.875" style="2" bestFit="1" customWidth="1"/>
    <col min="37" max="37" width="13.875" style="2" customWidth="1"/>
    <col min="38" max="40" width="9" style="2"/>
    <col min="41" max="41" width="10.5" style="2" bestFit="1" customWidth="1"/>
    <col min="42" max="49" width="9" style="2"/>
    <col min="50" max="50" width="2.75" style="3" customWidth="1"/>
    <col min="51" max="52" width="9" style="2"/>
    <col min="53" max="54" width="10.5" style="2" bestFit="1" customWidth="1"/>
    <col min="55" max="55" width="17.25" style="2" bestFit="1" customWidth="1"/>
    <col min="56" max="56" width="17.25" style="2" customWidth="1"/>
    <col min="57" max="57" width="13" style="2" bestFit="1" customWidth="1"/>
    <col min="58" max="58" width="13" style="2" customWidth="1"/>
    <col min="59" max="59" width="13.5" style="2" customWidth="1"/>
    <col min="60" max="70" width="9" style="2"/>
    <col min="71" max="71" width="2.75" style="3" customWidth="1"/>
    <col min="72" max="16384" width="9" style="2"/>
  </cols>
  <sheetData>
    <row r="1" spans="1:91" x14ac:dyDescent="0.2">
      <c r="A1" s="6" t="s">
        <v>118</v>
      </c>
      <c r="M1" s="24" t="s">
        <v>186</v>
      </c>
      <c r="AE1" s="24" t="s">
        <v>297</v>
      </c>
      <c r="AY1" s="24" t="s">
        <v>281</v>
      </c>
      <c r="BT1" s="2" t="s">
        <v>257</v>
      </c>
    </row>
    <row r="2" spans="1:91" x14ac:dyDescent="0.2">
      <c r="A2" s="6" t="s">
        <v>302</v>
      </c>
      <c r="C2" s="2">
        <v>30</v>
      </c>
      <c r="D2" s="2" t="s">
        <v>179</v>
      </c>
      <c r="E2" s="26" t="s">
        <v>262</v>
      </c>
    </row>
    <row r="3" spans="1:91" x14ac:dyDescent="0.2">
      <c r="A3" s="6" t="s">
        <v>303</v>
      </c>
      <c r="C3" s="2">
        <v>28</v>
      </c>
      <c r="D3" s="2" t="s">
        <v>179</v>
      </c>
    </row>
    <row r="4" spans="1:91" x14ac:dyDescent="0.2">
      <c r="A4" s="6" t="s">
        <v>304</v>
      </c>
      <c r="C4" s="2">
        <v>8</v>
      </c>
      <c r="D4" s="2" t="s">
        <v>180</v>
      </c>
    </row>
    <row r="5" spans="1:91" x14ac:dyDescent="0.2">
      <c r="O5" s="25" t="s">
        <v>295</v>
      </c>
      <c r="AI5" s="26"/>
      <c r="BC5" s="5"/>
      <c r="BD5" s="5"/>
      <c r="BW5" s="1"/>
      <c r="BX5" s="1"/>
      <c r="BY5" s="1"/>
      <c r="BZ5" s="1"/>
      <c r="CA5" s="1"/>
    </row>
    <row r="6" spans="1:91" x14ac:dyDescent="0.2">
      <c r="P6" s="66" t="s">
        <v>196</v>
      </c>
      <c r="Q6" s="66"/>
      <c r="R6" s="66"/>
      <c r="W6" s="66" t="s">
        <v>197</v>
      </c>
      <c r="X6" s="66"/>
      <c r="Y6" s="66"/>
      <c r="Z6" s="66"/>
      <c r="AA6" s="66"/>
      <c r="AI6" s="66" t="s">
        <v>298</v>
      </c>
      <c r="AJ6" s="66"/>
      <c r="AK6" s="66"/>
      <c r="AL6" s="66"/>
      <c r="AR6" s="66" t="s">
        <v>197</v>
      </c>
      <c r="AS6" s="66"/>
      <c r="AT6" s="66"/>
      <c r="AU6" s="66"/>
      <c r="AV6" s="66"/>
      <c r="BC6" s="66" t="s">
        <v>533</v>
      </c>
      <c r="BD6" s="66"/>
      <c r="BE6" s="66"/>
      <c r="BF6" s="66"/>
      <c r="BG6" s="66"/>
      <c r="BL6" s="66" t="s">
        <v>197</v>
      </c>
      <c r="BM6" s="66"/>
      <c r="BN6" s="66"/>
      <c r="BO6" s="66"/>
      <c r="BP6" s="66"/>
      <c r="BW6" s="66" t="s">
        <v>197</v>
      </c>
      <c r="BX6" s="66"/>
      <c r="BY6" s="66"/>
      <c r="BZ6" s="66"/>
      <c r="CA6" s="66"/>
      <c r="CI6" s="66" t="s">
        <v>197</v>
      </c>
      <c r="CJ6" s="66"/>
      <c r="CK6" s="66"/>
      <c r="CL6" s="66"/>
      <c r="CM6" s="66"/>
    </row>
    <row r="7" spans="1:91" x14ac:dyDescent="0.2">
      <c r="O7" s="2" t="s">
        <v>187</v>
      </c>
      <c r="P7" s="2" t="s">
        <v>294</v>
      </c>
      <c r="R7" s="2" t="s">
        <v>188</v>
      </c>
      <c r="S7" s="2" t="s">
        <v>189</v>
      </c>
      <c r="T7" s="2" t="s">
        <v>203</v>
      </c>
      <c r="V7" s="2" t="s">
        <v>22</v>
      </c>
      <c r="W7" s="2" t="s">
        <v>198</v>
      </c>
      <c r="X7" s="2" t="s">
        <v>199</v>
      </c>
      <c r="Y7" s="2" t="s">
        <v>200</v>
      </c>
      <c r="Z7" s="2" t="s">
        <v>201</v>
      </c>
      <c r="AA7" s="2" t="s">
        <v>202</v>
      </c>
      <c r="AG7" s="2" t="s">
        <v>204</v>
      </c>
      <c r="AH7" s="2" t="s">
        <v>205</v>
      </c>
      <c r="AI7" s="2" t="s">
        <v>299</v>
      </c>
      <c r="AJ7" s="2" t="s">
        <v>294</v>
      </c>
      <c r="AK7" s="2" t="s">
        <v>301</v>
      </c>
      <c r="AL7" s="2" t="s">
        <v>300</v>
      </c>
      <c r="AM7" s="2" t="s">
        <v>360</v>
      </c>
      <c r="AN7" s="2" t="s">
        <v>189</v>
      </c>
      <c r="AO7" s="2" t="s">
        <v>203</v>
      </c>
      <c r="AQ7" s="2" t="s">
        <v>22</v>
      </c>
      <c r="AR7" s="2" t="s">
        <v>198</v>
      </c>
      <c r="AS7" s="2" t="s">
        <v>199</v>
      </c>
      <c r="AT7" s="2" t="s">
        <v>200</v>
      </c>
      <c r="AU7" s="2" t="s">
        <v>201</v>
      </c>
      <c r="AV7" s="2" t="s">
        <v>202</v>
      </c>
      <c r="BA7" s="2" t="s">
        <v>204</v>
      </c>
      <c r="BB7" s="2" t="s">
        <v>205</v>
      </c>
      <c r="BC7" s="2" t="s">
        <v>305</v>
      </c>
      <c r="BD7" s="2" t="s">
        <v>307</v>
      </c>
      <c r="BE7" s="2" t="s">
        <v>306</v>
      </c>
      <c r="BF7" s="2" t="s">
        <v>317</v>
      </c>
      <c r="BH7" s="2" t="s">
        <v>189</v>
      </c>
      <c r="BI7" s="2" t="s">
        <v>203</v>
      </c>
      <c r="BK7" s="2" t="s">
        <v>22</v>
      </c>
      <c r="BL7" s="2" t="s">
        <v>198</v>
      </c>
      <c r="BM7" s="2" t="s">
        <v>199</v>
      </c>
      <c r="BN7" s="2" t="s">
        <v>200</v>
      </c>
      <c r="BO7" s="2" t="s">
        <v>201</v>
      </c>
      <c r="BP7" s="2" t="s">
        <v>202</v>
      </c>
      <c r="BV7" s="2" t="s">
        <v>22</v>
      </c>
      <c r="BW7" s="2" t="s">
        <v>198</v>
      </c>
      <c r="BX7" s="2" t="s">
        <v>199</v>
      </c>
      <c r="BY7" s="2" t="s">
        <v>200</v>
      </c>
      <c r="BZ7" s="2" t="s">
        <v>201</v>
      </c>
      <c r="CA7" s="2" t="s">
        <v>202</v>
      </c>
      <c r="CH7" s="2" t="s">
        <v>258</v>
      </c>
      <c r="CI7" s="2" t="s">
        <v>198</v>
      </c>
      <c r="CJ7" s="2" t="s">
        <v>199</v>
      </c>
      <c r="CK7" s="2" t="s">
        <v>200</v>
      </c>
      <c r="CL7" s="2" t="s">
        <v>201</v>
      </c>
      <c r="CM7" s="2" t="s">
        <v>202</v>
      </c>
    </row>
    <row r="8" spans="1:91" x14ac:dyDescent="0.2">
      <c r="O8" s="2">
        <v>1</v>
      </c>
      <c r="P8" s="2">
        <v>30</v>
      </c>
      <c r="R8" s="2">
        <v>2500</v>
      </c>
      <c r="S8" s="2">
        <f>IF(P8="",0,IFERROR(INDEX(道具投放节奏!$K:$K,MATCH(P$7,道具投放节奏!$D:$D,0)),INDEX(其他调用!$CD$3:$CD$6,MATCH(P$7,其他调用!$CB$3:$CB$6,0)))*P8)+
IF(Q8="",0,IFERROR(INDEX(道具投放节奏!$K:$K,MATCH(Q$7,道具投放节奏!$D:$D,0)),INDEX(其他调用!$CD$3:$CD$6,MATCH(Q$7,其他调用!$CB$3:$CB$6,0)))*Q8)+
IF(R8="",0,IFERROR(INDEX(道具投放节奏!$K:$K,MATCH(R$7,道具投放节奏!$D:$D,0)),INDEX(其他调用!$CD$3:$CD$6,MATCH(R$7,其他调用!$CB$3:$CB$6,0)))*R8)</f>
        <v>1930</v>
      </c>
      <c r="T8" s="2" t="s">
        <v>30</v>
      </c>
      <c r="V8" s="2">
        <v>1</v>
      </c>
      <c r="W8" s="2">
        <f>MAX($V8-$C$2,0)*INDEX($S$8:$S$10,MATCH(W$7,$T$8:$T$10,0))*$C$4/$C$3</f>
        <v>0</v>
      </c>
      <c r="X8" s="2">
        <f t="shared" ref="X8:X23" si="0">MAX($V8-$C$2,0)*INDEX($S$8:$S$10,MATCH(X$7,$T$8:$T$10,0))*$C$4/$C$3</f>
        <v>0</v>
      </c>
      <c r="Y8" s="2">
        <f>X8</f>
        <v>0</v>
      </c>
      <c r="Z8" s="2">
        <f>Y8</f>
        <v>0</v>
      </c>
      <c r="AA8" s="2">
        <f>Z8</f>
        <v>0</v>
      </c>
      <c r="AG8" s="2">
        <v>1</v>
      </c>
      <c r="AH8" s="2">
        <v>1</v>
      </c>
      <c r="AI8" s="2">
        <v>60</v>
      </c>
      <c r="AK8" s="2">
        <v>10</v>
      </c>
      <c r="AM8" s="2">
        <v>100</v>
      </c>
      <c r="AN8" s="2">
        <f>IF(AI8="",0,IFERROR(INDEX(道具投放节奏!$K:$K,MATCH(AI$7,道具投放节奏!$D:$D,0)),INDEX(其他调用!$CD$3:$CD$6,MATCH(AI$7,其他调用!$CB$3:$CB$6,0)))*AI8/30)+
IF(AJ8="",0,IFERROR(INDEX(道具投放节奏!$K:$K,MATCH(AJ$7,道具投放节奏!$D:$D,0)),INDEX(其他调用!$CD$3:$CD$6,MATCH(AJ$7,其他调用!$CB$3:$CB$6,0)))*AJ8)+
IF(AK8="",0,IFERROR(INDEX(道具投放节奏!$K:$K,MATCH(AK$7,道具投放节奏!$D:$D,0)),INDEX(其他调用!$CD$3:$CD$6,MATCH(AK$7,其他调用!$CB$3:$CB$6,0)))*AK8)+
IF(AL8="",0,IFERROR(INDEX(道具投放节奏!$K:$K,MATCH(AL$7,道具投放节奏!$D:$D,0)),INDEX(其他调用!$CD$3:$CD$6,MATCH(AL$7,其他调用!$CB$3:$CB$6,0)))*AL8)+
IF(AM8="",0,IFERROR(INDEX(道具投放节奏!$K:$K,MATCH(AM$7,道具投放节奏!$D:$D,0)),INDEX(其他调用!$CD$3:$CD$6,MATCH(AM$7,其他调用!$CB$3:$CB$6,0)))*AM8)</f>
        <v>42200</v>
      </c>
      <c r="AO8" s="2" t="s">
        <v>31</v>
      </c>
      <c r="AQ8" s="2">
        <v>1</v>
      </c>
      <c r="AR8" s="2">
        <f t="shared" ref="AR8:AV17" si="1">MAX($AQ8-$C$2,0)*INDEX($AN$8:$AN$44,MATCH(AR$7,$AO$8:$AO$44,0))/$C$3</f>
        <v>0</v>
      </c>
      <c r="AS8" s="2">
        <f t="shared" si="1"/>
        <v>0</v>
      </c>
      <c r="AT8" s="2">
        <f t="shared" si="1"/>
        <v>0</v>
      </c>
      <c r="AU8" s="2">
        <f t="shared" si="1"/>
        <v>0</v>
      </c>
      <c r="AV8" s="2">
        <f t="shared" si="1"/>
        <v>0</v>
      </c>
      <c r="BA8" s="2">
        <v>1</v>
      </c>
      <c r="BB8" s="2">
        <v>1</v>
      </c>
      <c r="BC8" s="2">
        <v>5</v>
      </c>
      <c r="BD8" s="2">
        <v>1000</v>
      </c>
      <c r="BE8" s="2">
        <v>12</v>
      </c>
      <c r="BH8" s="2">
        <f>IF(BC8="",0,IFERROR(INDEX(道具投放节奏!$K:$K,MATCH(BC$7,道具投放节奏!$D:$D,0)),INDEX(其他调用!$CD$3:$CD$6,MATCH(BC$7,其他调用!$CB$3:$CB$6,0)))*BC8)+
IF(BD8="",0,IFERROR(INDEX(道具投放节奏!$K:$K,MATCH(BD$7,道具投放节奏!$D:$D,0)),INDEX(其他调用!$CD$3:$CD$6,MATCH(BD$7,其他调用!$CB$3:$CB$6,0)))*BD8)+
IF(BE8="",0,IFERROR(INDEX(道具投放节奏!$K:$K,MATCH(BE$7,道具投放节奏!$D:$D,0)),INDEX(其他调用!$CD$3:$CD$6,MATCH(BE$7,其他调用!$CB$3:$CB$6,0)))*BE8)+
IF(BF8="",0,IFERROR(INDEX(道具投放节奏!$K:$K,MATCH(BF$7,道具投放节奏!$D:$D,0)),INDEX(其他调用!$CD$3:$CD$6,MATCH(BF$7,其他调用!$CB$3:$CB$6,0)))*BF8)+
IF(BG8="",0,IFERROR(INDEX(道具投放节奏!$K:$K,MATCH(BG$7,道具投放节奏!$D:$D,0)),INDEX(其他调用!$CD$3:$CD$6,MATCH(BG$7,其他调用!$CB$3:$CB$6,0)))*BG8)</f>
        <v>3460</v>
      </c>
      <c r="BI8" s="2" t="s">
        <v>31</v>
      </c>
      <c r="BK8" s="2">
        <v>1</v>
      </c>
      <c r="BL8" s="2">
        <f t="shared" ref="BL8:BP17" si="2">IFERROR(MAX($BK8-$C$2,0)*INDEX($BH$8:$BH$16,MATCH(BL$7,$BI$8:$BI$16,0))*$C$4/$C$3,BM8)</f>
        <v>0</v>
      </c>
      <c r="BM8" s="2">
        <f t="shared" si="2"/>
        <v>0</v>
      </c>
      <c r="BN8" s="2">
        <f t="shared" si="2"/>
        <v>0</v>
      </c>
      <c r="BO8" s="2">
        <f t="shared" si="2"/>
        <v>0</v>
      </c>
      <c r="BP8" s="2">
        <f t="shared" si="2"/>
        <v>0</v>
      </c>
      <c r="BV8" s="2">
        <v>1</v>
      </c>
      <c r="BW8" s="2">
        <f t="shared" ref="BW8:BW71" si="3">W8+AR8+BL8</f>
        <v>0</v>
      </c>
      <c r="BX8" s="2">
        <f t="shared" ref="BX8:BX71" si="4">X8+AS8+BM8</f>
        <v>0</v>
      </c>
      <c r="BY8" s="2">
        <f t="shared" ref="BY8:BY71" si="5">Y8+AT8+BN8</f>
        <v>0</v>
      </c>
      <c r="BZ8" s="2">
        <f t="shared" ref="BZ8:BZ71" si="6">Z8+AU8+BO8</f>
        <v>0</v>
      </c>
      <c r="CA8" s="2">
        <f t="shared" ref="CA8:CA71" si="7">AA8+AV8+BP8</f>
        <v>0</v>
      </c>
      <c r="CC8" s="41" t="e">
        <f>W8/BW8</f>
        <v>#DIV/0!</v>
      </c>
      <c r="CD8" s="41" t="e">
        <f>AR8/BW8</f>
        <v>#DIV/0!</v>
      </c>
      <c r="CE8" s="41" t="e">
        <f>BL8/BW8</f>
        <v>#DIV/0!</v>
      </c>
      <c r="CH8" s="2">
        <v>1</v>
      </c>
      <c r="CI8" s="2">
        <f>求节点(节奏总纲!R$4:R$363,BW$8:BW$367,$CH8)</f>
        <v>0</v>
      </c>
      <c r="CJ8" s="2">
        <f>求节点(节奏总纲!S$4:S$363,BX$8:BX$367,$CH8)</f>
        <v>0</v>
      </c>
      <c r="CK8" s="2">
        <f>求节点(节奏总纲!T$4:T$363,BY$8:BY$367,$CH8)</f>
        <v>0</v>
      </c>
      <c r="CL8" s="2">
        <f>求节点(节奏总纲!U$4:U$363,BZ$8:BZ$367,$CH8)</f>
        <v>0</v>
      </c>
      <c r="CM8" s="2">
        <f>求节点(节奏总纲!V$4:V$363,CA$8:CA$367,$CH8)</f>
        <v>0</v>
      </c>
    </row>
    <row r="9" spans="1:91" x14ac:dyDescent="0.2">
      <c r="A9" s="6" t="s">
        <v>284</v>
      </c>
      <c r="C9" s="4"/>
      <c r="D9" s="2">
        <v>15000</v>
      </c>
      <c r="E9" s="2" t="s">
        <v>285</v>
      </c>
      <c r="F9" s="2" t="s">
        <v>286</v>
      </c>
      <c r="G9" s="2">
        <f>S9*8+AN14+BH15</f>
        <v>12290</v>
      </c>
      <c r="O9" s="2">
        <v>2</v>
      </c>
      <c r="P9" s="2">
        <v>15</v>
      </c>
      <c r="R9" s="2">
        <v>1500</v>
      </c>
      <c r="S9" s="2">
        <f>IF(P9="",0,IFERROR(INDEX(道具投放节奏!$K:$K,MATCH(P$7,道具投放节奏!$D:$D,0)),INDEX(其他调用!$CD$3:$CD$6,MATCH(P$7,其他调用!$CB$3:$CB$6,0)))*P9)+
IF(Q9="",0,IFERROR(INDEX(道具投放节奏!$K:$K,MATCH(Q$7,道具投放节奏!$D:$D,0)),INDEX(其他调用!$CD$3:$CD$6,MATCH(Q$7,其他调用!$CB$3:$CB$6,0)))*Q9)+
IF(R9="",0,IFERROR(INDEX(道具投放节奏!$K:$K,MATCH(R$7,道具投放节奏!$D:$D,0)),INDEX(其他调用!$CD$3:$CD$6,MATCH(R$7,其他调用!$CB$3:$CB$6,0)))*R9)</f>
        <v>990</v>
      </c>
      <c r="T9" s="2" t="s">
        <v>23</v>
      </c>
      <c r="V9" s="2">
        <v>2</v>
      </c>
      <c r="W9" s="2">
        <f t="shared" ref="W9:X72" si="8">MAX($V9-$C$2,0)*INDEX($S$8:$S$10,MATCH(W$7,$T$8:$T$10,0))*$C$4/$C$3</f>
        <v>0</v>
      </c>
      <c r="X9" s="2">
        <f t="shared" si="0"/>
        <v>0</v>
      </c>
      <c r="Y9" s="2">
        <f t="shared" ref="Y9:Y72" si="9">X9</f>
        <v>0</v>
      </c>
      <c r="Z9" s="2">
        <f t="shared" ref="Z9:AA9" si="10">Y9</f>
        <v>0</v>
      </c>
      <c r="AA9" s="2">
        <f t="shared" si="10"/>
        <v>0</v>
      </c>
      <c r="AG9" s="2">
        <v>2</v>
      </c>
      <c r="AH9" s="2">
        <v>2</v>
      </c>
      <c r="AI9" s="2">
        <v>45</v>
      </c>
      <c r="AK9" s="2">
        <v>8</v>
      </c>
      <c r="AM9" s="2">
        <v>80</v>
      </c>
      <c r="AN9" s="2">
        <f>IF(AI9="",0,IFERROR(INDEX(道具投放节奏!$K:$K,MATCH(AI$7,道具投放节奏!$D:$D,0)),INDEX(其他调用!$CD$3:$CD$6,MATCH(AI$7,其他调用!$CB$3:$CB$6,0)))*AI9/30)+
IF(AJ9="",0,IFERROR(INDEX(道具投放节奏!$K:$K,MATCH(AJ$7,道具投放节奏!$D:$D,0)),INDEX(其他调用!$CD$3:$CD$6,MATCH(AJ$7,其他调用!$CB$3:$CB$6,0)))*AJ9)+
IF(AK9="",0,IFERROR(INDEX(道具投放节奏!$K:$K,MATCH(AK$7,道具投放节奏!$D:$D,0)),INDEX(其他调用!$CD$3:$CD$6,MATCH(AK$7,其他调用!$CB$3:$CB$6,0)))*AK9)+
IF(AL9="",0,IFERROR(INDEX(道具投放节奏!$K:$K,MATCH(AL$7,道具投放节奏!$D:$D,0)),INDEX(其他调用!$CD$3:$CD$6,MATCH(AL$7,其他调用!$CB$3:$CB$6,0)))*AL9)+
IF(AM9="",0,IFERROR(INDEX(道具投放节奏!$K:$K,MATCH(AM$7,道具投放节奏!$D:$D,0)),INDEX(其他调用!$CD$3:$CD$6,MATCH(AM$7,其他调用!$CB$3:$CB$6,0)))*AM9)</f>
        <v>32350</v>
      </c>
      <c r="AO9" s="2" t="s">
        <v>31</v>
      </c>
      <c r="AQ9" s="2">
        <v>2</v>
      </c>
      <c r="AR9" s="2">
        <f t="shared" si="1"/>
        <v>0</v>
      </c>
      <c r="AS9" s="2">
        <f t="shared" si="1"/>
        <v>0</v>
      </c>
      <c r="AT9" s="2">
        <f t="shared" si="1"/>
        <v>0</v>
      </c>
      <c r="AU9" s="2">
        <f t="shared" si="1"/>
        <v>0</v>
      </c>
      <c r="AV9" s="2">
        <f t="shared" si="1"/>
        <v>0</v>
      </c>
      <c r="BA9" s="2">
        <v>2</v>
      </c>
      <c r="BB9" s="2">
        <v>2</v>
      </c>
      <c r="BC9" s="2">
        <v>2</v>
      </c>
      <c r="BD9" s="2">
        <v>600</v>
      </c>
      <c r="BE9" s="2">
        <v>8</v>
      </c>
      <c r="BH9" s="2">
        <f>IF(BC9="",0,IFERROR(INDEX(道具投放节奏!$K:$K,MATCH(BC$7,道具投放节奏!$D:$D,0)),INDEX(其他调用!$CD$3:$CD$6,MATCH(BC$7,其他调用!$CB$3:$CB$6,0)))*BC9)+
IF(BD9="",0,IFERROR(INDEX(道具投放节奏!$K:$K,MATCH(BD$7,道具投放节奏!$D:$D,0)),INDEX(其他调用!$CD$3:$CD$6,MATCH(BD$7,其他调用!$CB$3:$CB$6,0)))*BD9)+
IF(BE9="",0,IFERROR(INDEX(道具投放节奏!$K:$K,MATCH(BE$7,道具投放节奏!$D:$D,0)),INDEX(其他调用!$CD$3:$CD$6,MATCH(BE$7,其他调用!$CB$3:$CB$6,0)))*BE9)+
IF(BF9="",0,IFERROR(INDEX(道具投放节奏!$K:$K,MATCH(BF$7,道具投放节奏!$D:$D,0)),INDEX(其他调用!$CD$3:$CD$6,MATCH(BF$7,其他调用!$CB$3:$CB$6,0)))*BF9)+
IF(BG9="",0,IFERROR(INDEX(道具投放节奏!$K:$K,MATCH(BG$7,道具投放节奏!$D:$D,0)),INDEX(其他调用!$CD$3:$CD$6,MATCH(BG$7,其他调用!$CB$3:$CB$6,0)))*BG9)</f>
        <v>1840</v>
      </c>
      <c r="BI9" s="2" t="s">
        <v>31</v>
      </c>
      <c r="BK9" s="2">
        <v>2</v>
      </c>
      <c r="BL9" s="2">
        <f t="shared" si="2"/>
        <v>0</v>
      </c>
      <c r="BM9" s="2">
        <f t="shared" si="2"/>
        <v>0</v>
      </c>
      <c r="BN9" s="2">
        <f t="shared" si="2"/>
        <v>0</v>
      </c>
      <c r="BO9" s="2">
        <f t="shared" si="2"/>
        <v>0</v>
      </c>
      <c r="BP9" s="2">
        <f t="shared" si="2"/>
        <v>0</v>
      </c>
      <c r="BV9" s="2">
        <v>2</v>
      </c>
      <c r="BW9" s="2">
        <f t="shared" si="3"/>
        <v>0</v>
      </c>
      <c r="BX9" s="2">
        <f t="shared" si="4"/>
        <v>0</v>
      </c>
      <c r="BY9" s="2">
        <f t="shared" si="5"/>
        <v>0</v>
      </c>
      <c r="BZ9" s="2">
        <f t="shared" si="6"/>
        <v>0</v>
      </c>
      <c r="CA9" s="2">
        <f t="shared" si="7"/>
        <v>0</v>
      </c>
      <c r="CC9" s="41" t="e">
        <f t="shared" ref="CC9:CC72" si="11">W9/BW9</f>
        <v>#DIV/0!</v>
      </c>
      <c r="CD9" s="41" t="e">
        <f t="shared" ref="CD9:CD72" si="12">AR9/BW9</f>
        <v>#DIV/0!</v>
      </c>
      <c r="CE9" s="41" t="e">
        <f t="shared" ref="CE9:CE72" si="13">BL9/BW9</f>
        <v>#DIV/0!</v>
      </c>
      <c r="CH9" s="2">
        <v>2</v>
      </c>
      <c r="CI9" s="2">
        <f>求节点(节奏总纲!R$4:R$363,BW$8:BW$367,$CH9)</f>
        <v>0</v>
      </c>
      <c r="CJ9" s="2">
        <f>求节点(节奏总纲!S$4:S$363,BX$8:BX$367,$CH9)</f>
        <v>0</v>
      </c>
      <c r="CK9" s="2">
        <f>求节点(节奏总纲!T$4:T$363,BY$8:BY$367,$CH9)</f>
        <v>0</v>
      </c>
      <c r="CL9" s="2">
        <f>求节点(节奏总纲!U$4:U$363,BZ$8:BZ$367,$CH9)</f>
        <v>0</v>
      </c>
      <c r="CM9" s="2">
        <f>求节点(节奏总纲!V$4:V$363,CA$8:CA$367,$CH9)</f>
        <v>0</v>
      </c>
    </row>
    <row r="10" spans="1:91" x14ac:dyDescent="0.2">
      <c r="A10" s="6" t="s">
        <v>287</v>
      </c>
      <c r="C10" s="4"/>
      <c r="D10" s="2">
        <v>40000</v>
      </c>
      <c r="E10" s="2" t="s">
        <v>285</v>
      </c>
      <c r="F10" s="2" t="s">
        <v>286</v>
      </c>
      <c r="G10" s="2">
        <f>S8*8+AN8+BH8*8</f>
        <v>85320</v>
      </c>
      <c r="V10" s="2">
        <v>3</v>
      </c>
      <c r="W10" s="2">
        <f t="shared" si="8"/>
        <v>0</v>
      </c>
      <c r="X10" s="2">
        <f t="shared" si="0"/>
        <v>0</v>
      </c>
      <c r="Y10" s="2">
        <f t="shared" si="9"/>
        <v>0</v>
      </c>
      <c r="Z10" s="2">
        <f t="shared" ref="Z10:AA10" si="14">Y10</f>
        <v>0</v>
      </c>
      <c r="AA10" s="2">
        <f t="shared" si="14"/>
        <v>0</v>
      </c>
      <c r="AG10" s="2">
        <v>3</v>
      </c>
      <c r="AH10" s="2">
        <v>3</v>
      </c>
      <c r="AI10" s="2">
        <v>30</v>
      </c>
      <c r="AK10" s="2">
        <v>6</v>
      </c>
      <c r="AM10" s="2">
        <v>60</v>
      </c>
      <c r="AN10" s="2">
        <f>IF(AI10="",0,IFERROR(INDEX(道具投放节奏!$K:$K,MATCH(AI$7,道具投放节奏!$D:$D,0)),INDEX(其他调用!$CD$3:$CD$6,MATCH(AI$7,其他调用!$CB$3:$CB$6,0)))*AI10/30)+
IF(AJ10="",0,IFERROR(INDEX(道具投放节奏!$K:$K,MATCH(AJ$7,道具投放节奏!$D:$D,0)),INDEX(其他调用!$CD$3:$CD$6,MATCH(AJ$7,其他调用!$CB$3:$CB$6,0)))*AJ10)+
IF(AK10="",0,IFERROR(INDEX(道具投放节奏!$K:$K,MATCH(AK$7,道具投放节奏!$D:$D,0)),INDEX(其他调用!$CD$3:$CD$6,MATCH(AK$7,其他调用!$CB$3:$CB$6,0)))*AK10)+
IF(AL10="",0,IFERROR(INDEX(道具投放节奏!$K:$K,MATCH(AL$7,道具投放节奏!$D:$D,0)),INDEX(其他调用!$CD$3:$CD$6,MATCH(AL$7,其他调用!$CB$3:$CB$6,0)))*AL10)+
IF(AM10="",0,IFERROR(INDEX(道具投放节奏!$K:$K,MATCH(AM$7,道具投放节奏!$D:$D,0)),INDEX(其他调用!$CD$3:$CD$6,MATCH(AM$7,其他调用!$CB$3:$CB$6,0)))*AM10)</f>
        <v>22500</v>
      </c>
      <c r="AO10" s="2" t="s">
        <v>36</v>
      </c>
      <c r="AQ10" s="2">
        <v>3</v>
      </c>
      <c r="AR10" s="2">
        <f t="shared" si="1"/>
        <v>0</v>
      </c>
      <c r="AS10" s="2">
        <f t="shared" si="1"/>
        <v>0</v>
      </c>
      <c r="AT10" s="2">
        <f t="shared" si="1"/>
        <v>0</v>
      </c>
      <c r="AU10" s="2">
        <f t="shared" si="1"/>
        <v>0</v>
      </c>
      <c r="AV10" s="2">
        <f t="shared" si="1"/>
        <v>0</v>
      </c>
      <c r="BA10" s="2">
        <v>3</v>
      </c>
      <c r="BB10" s="2">
        <v>3</v>
      </c>
      <c r="BC10" s="2">
        <v>1</v>
      </c>
      <c r="BD10" s="2">
        <v>400</v>
      </c>
      <c r="BE10" s="2">
        <v>5</v>
      </c>
      <c r="BH10" s="2">
        <f>IF(BC10="",0,IFERROR(INDEX(道具投放节奏!$K:$K,MATCH(BC$7,道具投放节奏!$D:$D,0)),INDEX(其他调用!$CD$3:$CD$6,MATCH(BC$7,其他调用!$CB$3:$CB$6,0)))*BC10)+
IF(BD10="",0,IFERROR(INDEX(道具投放节奏!$K:$K,MATCH(BD$7,道具投放节奏!$D:$D,0)),INDEX(其他调用!$CD$3:$CD$6,MATCH(BD$7,其他调用!$CB$3:$CB$6,0)))*BD10)+
IF(BE10="",0,IFERROR(INDEX(道具投放节奏!$K:$K,MATCH(BE$7,道具投放节奏!$D:$D,0)),INDEX(其他调用!$CD$3:$CD$6,MATCH(BE$7,其他调用!$CB$3:$CB$6,0)))*BE10)+
IF(BF10="",0,IFERROR(INDEX(道具投放节奏!$K:$K,MATCH(BF$7,道具投放节奏!$D:$D,0)),INDEX(其他调用!$CD$3:$CD$6,MATCH(BF$7,其他调用!$CB$3:$CB$6,0)))*BF10)+
IF(BG10="",0,IFERROR(INDEX(道具投放节奏!$K:$K,MATCH(BG$7,道具投放节奏!$D:$D,0)),INDEX(其他调用!$CD$3:$CD$6,MATCH(BG$7,其他调用!$CB$3:$CB$6,0)))*BG10)</f>
        <v>1100</v>
      </c>
      <c r="BI10" s="2" t="s">
        <v>31</v>
      </c>
      <c r="BK10" s="2">
        <v>3</v>
      </c>
      <c r="BL10" s="2">
        <f t="shared" si="2"/>
        <v>0</v>
      </c>
      <c r="BM10" s="2">
        <f t="shared" si="2"/>
        <v>0</v>
      </c>
      <c r="BN10" s="2">
        <f t="shared" si="2"/>
        <v>0</v>
      </c>
      <c r="BO10" s="2">
        <f t="shared" si="2"/>
        <v>0</v>
      </c>
      <c r="BP10" s="2">
        <f t="shared" si="2"/>
        <v>0</v>
      </c>
      <c r="BV10" s="2">
        <v>3</v>
      </c>
      <c r="BW10" s="2">
        <f t="shared" si="3"/>
        <v>0</v>
      </c>
      <c r="BX10" s="2">
        <f t="shared" si="4"/>
        <v>0</v>
      </c>
      <c r="BY10" s="2">
        <f t="shared" si="5"/>
        <v>0</v>
      </c>
      <c r="BZ10" s="2">
        <f t="shared" si="6"/>
        <v>0</v>
      </c>
      <c r="CA10" s="2">
        <f t="shared" si="7"/>
        <v>0</v>
      </c>
      <c r="CC10" s="41" t="e">
        <f t="shared" si="11"/>
        <v>#DIV/0!</v>
      </c>
      <c r="CD10" s="41" t="e">
        <f t="shared" si="12"/>
        <v>#DIV/0!</v>
      </c>
      <c r="CE10" s="41" t="e">
        <f t="shared" si="13"/>
        <v>#DIV/0!</v>
      </c>
      <c r="CH10" s="2">
        <v>3</v>
      </c>
      <c r="CI10" s="2">
        <f>求节点(节奏总纲!R$4:R$363,BW$8:BW$367,$CH10)</f>
        <v>0</v>
      </c>
      <c r="CJ10" s="2">
        <f>求节点(节奏总纲!S$4:S$363,BX$8:BX$367,$CH10)</f>
        <v>0</v>
      </c>
      <c r="CK10" s="2">
        <f>求节点(节奏总纲!T$4:T$363,BY$8:BY$367,$CH10)</f>
        <v>0</v>
      </c>
      <c r="CL10" s="2">
        <f>求节点(节奏总纲!U$4:U$363,BZ$8:BZ$367,$CH10)</f>
        <v>0</v>
      </c>
      <c r="CM10" s="2">
        <f>求节点(节奏总纲!V$4:V$363,CA$8:CA$367,$CH10)</f>
        <v>0</v>
      </c>
    </row>
    <row r="11" spans="1:91" x14ac:dyDescent="0.2">
      <c r="V11" s="2">
        <v>4</v>
      </c>
      <c r="W11" s="2">
        <f t="shared" si="8"/>
        <v>0</v>
      </c>
      <c r="X11" s="2">
        <f t="shared" si="0"/>
        <v>0</v>
      </c>
      <c r="Y11" s="2">
        <f t="shared" si="9"/>
        <v>0</v>
      </c>
      <c r="Z11" s="2">
        <f t="shared" ref="Z11:AA11" si="15">Y11</f>
        <v>0</v>
      </c>
      <c r="AA11" s="2">
        <f t="shared" si="15"/>
        <v>0</v>
      </c>
      <c r="AG11" s="2">
        <v>4</v>
      </c>
      <c r="AH11" s="2">
        <v>5</v>
      </c>
      <c r="AI11" s="2">
        <v>20</v>
      </c>
      <c r="AK11" s="2">
        <v>4</v>
      </c>
      <c r="AM11" s="2">
        <v>40</v>
      </c>
      <c r="AN11" s="2">
        <f>IF(AI11="",0,IFERROR(INDEX(道具投放节奏!$K:$K,MATCH(AI$7,道具投放节奏!$D:$D,0)),INDEX(其他调用!$CD$3:$CD$6,MATCH(AI$7,其他调用!$CB$3:$CB$6,0)))*AI11/30)+
IF(AJ11="",0,IFERROR(INDEX(道具投放节奏!$K:$K,MATCH(AJ$7,道具投放节奏!$D:$D,0)),INDEX(其他调用!$CD$3:$CD$6,MATCH(AJ$7,其他调用!$CB$3:$CB$6,0)))*AJ11)+
IF(AK11="",0,IFERROR(INDEX(道具投放节奏!$K:$K,MATCH(AK$7,道具投放节奏!$D:$D,0)),INDEX(其他调用!$CD$3:$CD$6,MATCH(AK$7,其他调用!$CB$3:$CB$6,0)))*AK11)+
IF(AL11="",0,IFERROR(INDEX(道具投放节奏!$K:$K,MATCH(AL$7,道具投放节奏!$D:$D,0)),INDEX(其他调用!$CD$3:$CD$6,MATCH(AL$7,其他调用!$CB$3:$CB$6,0)))*AL11)+
IF(AM11="",0,IFERROR(INDEX(道具投放节奏!$K:$K,MATCH(AM$7,道具投放节奏!$D:$D,0)),INDEX(其他调用!$CD$3:$CD$6,MATCH(AM$7,其他调用!$CB$3:$CB$6,0)))*AM11)</f>
        <v>15000</v>
      </c>
      <c r="AO11" s="2" t="s">
        <v>35</v>
      </c>
      <c r="AQ11" s="2">
        <v>4</v>
      </c>
      <c r="AR11" s="2">
        <f t="shared" si="1"/>
        <v>0</v>
      </c>
      <c r="AS11" s="2">
        <f t="shared" si="1"/>
        <v>0</v>
      </c>
      <c r="AT11" s="2">
        <f t="shared" si="1"/>
        <v>0</v>
      </c>
      <c r="AU11" s="2">
        <f t="shared" si="1"/>
        <v>0</v>
      </c>
      <c r="AV11" s="2">
        <f t="shared" si="1"/>
        <v>0</v>
      </c>
      <c r="BA11" s="2">
        <v>4</v>
      </c>
      <c r="BB11" s="2">
        <v>5</v>
      </c>
      <c r="BD11" s="2">
        <v>300</v>
      </c>
      <c r="BE11" s="2">
        <v>3</v>
      </c>
      <c r="BH11" s="2">
        <f>IF(BC11="",0,IFERROR(INDEX(道具投放节奏!$K:$K,MATCH(BC$7,道具投放节奏!$D:$D,0)),INDEX(其他调用!$CD$3:$CD$6,MATCH(BC$7,其他调用!$CB$3:$CB$6,0)))*BC11)+
IF(BD11="",0,IFERROR(INDEX(道具投放节奏!$K:$K,MATCH(BD$7,道具投放节奏!$D:$D,0)),INDEX(其他调用!$CD$3:$CD$6,MATCH(BD$7,其他调用!$CB$3:$CB$6,0)))*BD11)+
IF(BE11="",0,IFERROR(INDEX(道具投放节奏!$K:$K,MATCH(BE$7,道具投放节奏!$D:$D,0)),INDEX(其他调用!$CD$3:$CD$6,MATCH(BE$7,其他调用!$CB$3:$CB$6,0)))*BE11)+
IF(BF11="",0,IFERROR(INDEX(道具投放节奏!$K:$K,MATCH(BF$7,道具投放节奏!$D:$D,0)),INDEX(其他调用!$CD$3:$CD$6,MATCH(BF$7,其他调用!$CB$3:$CB$6,0)))*BF11)+
IF(BG11="",0,IFERROR(INDEX(道具投放节奏!$K:$K,MATCH(BG$7,道具投放节奏!$D:$D,0)),INDEX(其他调用!$CD$3:$CD$6,MATCH(BG$7,其他调用!$CB$3:$CB$6,0)))*BG11)</f>
        <v>540</v>
      </c>
      <c r="BI11" s="2" t="s">
        <v>31</v>
      </c>
      <c r="BK11" s="2">
        <v>4</v>
      </c>
      <c r="BL11" s="2">
        <f t="shared" si="2"/>
        <v>0</v>
      </c>
      <c r="BM11" s="2">
        <f t="shared" si="2"/>
        <v>0</v>
      </c>
      <c r="BN11" s="2">
        <f t="shared" si="2"/>
        <v>0</v>
      </c>
      <c r="BO11" s="2">
        <f t="shared" si="2"/>
        <v>0</v>
      </c>
      <c r="BP11" s="2">
        <f t="shared" si="2"/>
        <v>0</v>
      </c>
      <c r="BV11" s="2">
        <v>4</v>
      </c>
      <c r="BW11" s="2">
        <f t="shared" si="3"/>
        <v>0</v>
      </c>
      <c r="BX11" s="2">
        <f t="shared" si="4"/>
        <v>0</v>
      </c>
      <c r="BY11" s="2">
        <f t="shared" si="5"/>
        <v>0</v>
      </c>
      <c r="BZ11" s="2">
        <f t="shared" si="6"/>
        <v>0</v>
      </c>
      <c r="CA11" s="2">
        <f t="shared" si="7"/>
        <v>0</v>
      </c>
      <c r="CC11" s="41" t="e">
        <f t="shared" si="11"/>
        <v>#DIV/0!</v>
      </c>
      <c r="CD11" s="41" t="e">
        <f t="shared" si="12"/>
        <v>#DIV/0!</v>
      </c>
      <c r="CE11" s="41" t="e">
        <f t="shared" si="13"/>
        <v>#DIV/0!</v>
      </c>
      <c r="CH11" s="2">
        <v>4</v>
      </c>
      <c r="CI11" s="2">
        <f>求节点(节奏总纲!R$4:R$363,BW$8:BW$367,$CH11)</f>
        <v>0</v>
      </c>
      <c r="CJ11" s="2">
        <f>求节点(节奏总纲!S$4:S$363,BX$8:BX$367,$CH11)</f>
        <v>0</v>
      </c>
      <c r="CK11" s="2">
        <f>求节点(节奏总纲!T$4:T$363,BY$8:BY$367,$CH11)</f>
        <v>0</v>
      </c>
      <c r="CL11" s="2">
        <f>求节点(节奏总纲!U$4:U$363,BZ$8:BZ$367,$CH11)</f>
        <v>0</v>
      </c>
      <c r="CM11" s="2">
        <f>求节点(节奏总纲!V$4:V$363,CA$8:CA$367,$CH11)</f>
        <v>0</v>
      </c>
    </row>
    <row r="12" spans="1:91" x14ac:dyDescent="0.2">
      <c r="C12" s="4"/>
      <c r="G12" s="21"/>
      <c r="H12" s="21"/>
      <c r="V12" s="2">
        <v>5</v>
      </c>
      <c r="W12" s="2">
        <f t="shared" si="8"/>
        <v>0</v>
      </c>
      <c r="X12" s="2">
        <f t="shared" si="0"/>
        <v>0</v>
      </c>
      <c r="Y12" s="2">
        <f t="shared" si="9"/>
        <v>0</v>
      </c>
      <c r="Z12" s="2">
        <f t="shared" ref="Z12:AA12" si="16">Y12</f>
        <v>0</v>
      </c>
      <c r="AA12" s="2">
        <f t="shared" si="16"/>
        <v>0</v>
      </c>
      <c r="AG12" s="2">
        <v>6</v>
      </c>
      <c r="AH12" s="2">
        <v>10</v>
      </c>
      <c r="AI12" s="2">
        <v>10</v>
      </c>
      <c r="AJ12" s="2">
        <v>30</v>
      </c>
      <c r="AK12" s="2">
        <v>2</v>
      </c>
      <c r="AM12" s="2">
        <v>30</v>
      </c>
      <c r="AN12" s="2">
        <f>IF(AI12="",0,IFERROR(INDEX(道具投放节奏!$K:$K,MATCH(AI$7,道具投放节奏!$D:$D,0)),INDEX(其他调用!$CD$3:$CD$6,MATCH(AI$7,其他调用!$CB$3:$CB$6,0)))*AI12/30)+
IF(AJ12="",0,IFERROR(INDEX(道具投放节奏!$K:$K,MATCH(AJ$7,道具投放节奏!$D:$D,0)),INDEX(其他调用!$CD$3:$CD$6,MATCH(AJ$7,其他调用!$CB$3:$CB$6,0)))*AJ12)+
IF(AK12="",0,IFERROR(INDEX(道具投放节奏!$K:$K,MATCH(AK$7,道具投放节奏!$D:$D,0)),INDEX(其他调用!$CD$3:$CD$6,MATCH(AK$7,其他调用!$CB$3:$CB$6,0)))*AK12)+
IF(AL12="",0,IFERROR(INDEX(道具投放节奏!$K:$K,MATCH(AL$7,道具投放节奏!$D:$D,0)),INDEX(其他调用!$CD$3:$CD$6,MATCH(AL$7,其他调用!$CB$3:$CB$6,0)))*AL12)+
IF(AM12="",0,IFERROR(INDEX(道具投放节奏!$K:$K,MATCH(AM$7,道具投放节奏!$D:$D,0)),INDEX(其他调用!$CD$3:$CD$6,MATCH(AM$7,其他调用!$CB$3:$CB$6,0)))*AM12)</f>
        <v>10180</v>
      </c>
      <c r="AO12" s="2" t="s">
        <v>30</v>
      </c>
      <c r="AQ12" s="2">
        <v>5</v>
      </c>
      <c r="AR12" s="2">
        <f t="shared" si="1"/>
        <v>0</v>
      </c>
      <c r="AS12" s="2">
        <f t="shared" si="1"/>
        <v>0</v>
      </c>
      <c r="AT12" s="2">
        <f t="shared" si="1"/>
        <v>0</v>
      </c>
      <c r="AU12" s="2">
        <f t="shared" si="1"/>
        <v>0</v>
      </c>
      <c r="AV12" s="2">
        <f t="shared" si="1"/>
        <v>0</v>
      </c>
      <c r="BA12" s="2">
        <v>6</v>
      </c>
      <c r="BB12" s="2">
        <v>10</v>
      </c>
      <c r="BD12" s="2">
        <v>200</v>
      </c>
      <c r="BF12" s="2">
        <v>6</v>
      </c>
      <c r="BH12" s="2">
        <f>IF(BC12="",0,IFERROR(INDEX(道具投放节奏!$K:$K,MATCH(BC$7,道具投放节奏!$D:$D,0)),INDEX(其他调用!$CD$3:$CD$6,MATCH(BC$7,其他调用!$CB$3:$CB$6,0)))*BC12)+
IF(BD12="",0,IFERROR(INDEX(道具投放节奏!$K:$K,MATCH(BD$7,道具投放节奏!$D:$D,0)),INDEX(其他调用!$CD$3:$CD$6,MATCH(BD$7,其他调用!$CB$3:$CB$6,0)))*BD12)+
IF(BE12="",0,IFERROR(INDEX(道具投放节奏!$K:$K,MATCH(BE$7,道具投放节奏!$D:$D,0)),INDEX(其他调用!$CD$3:$CD$6,MATCH(BE$7,其他调用!$CB$3:$CB$6,0)))*BE12)+
IF(BF12="",0,IFERROR(INDEX(道具投放节奏!$K:$K,MATCH(BF$7,道具投放节奏!$D:$D,0)),INDEX(其他调用!$CD$3:$CD$6,MATCH(BF$7,其他调用!$CB$3:$CB$6,0)))*BF12)+
IF(BG12="",0,IFERROR(INDEX(道具投放节奏!$K:$K,MATCH(BG$7,道具投放节奏!$D:$D,0)),INDEX(其他调用!$CD$3:$CD$6,MATCH(BG$7,其他调用!$CB$3:$CB$6,0)))*BG12)</f>
        <v>380</v>
      </c>
      <c r="BI12" s="2" t="s">
        <v>36</v>
      </c>
      <c r="BK12" s="2">
        <v>5</v>
      </c>
      <c r="BL12" s="2">
        <f t="shared" si="2"/>
        <v>0</v>
      </c>
      <c r="BM12" s="2">
        <f t="shared" si="2"/>
        <v>0</v>
      </c>
      <c r="BN12" s="2">
        <f t="shared" si="2"/>
        <v>0</v>
      </c>
      <c r="BO12" s="2">
        <f t="shared" si="2"/>
        <v>0</v>
      </c>
      <c r="BP12" s="2">
        <f t="shared" si="2"/>
        <v>0</v>
      </c>
      <c r="BV12" s="2">
        <v>5</v>
      </c>
      <c r="BW12" s="2">
        <f t="shared" si="3"/>
        <v>0</v>
      </c>
      <c r="BX12" s="2">
        <f t="shared" si="4"/>
        <v>0</v>
      </c>
      <c r="BY12" s="2">
        <f t="shared" si="5"/>
        <v>0</v>
      </c>
      <c r="BZ12" s="2">
        <f t="shared" si="6"/>
        <v>0</v>
      </c>
      <c r="CA12" s="2">
        <f t="shared" si="7"/>
        <v>0</v>
      </c>
      <c r="CC12" s="41" t="e">
        <f t="shared" si="11"/>
        <v>#DIV/0!</v>
      </c>
      <c r="CD12" s="41" t="e">
        <f t="shared" si="12"/>
        <v>#DIV/0!</v>
      </c>
      <c r="CE12" s="41" t="e">
        <f t="shared" si="13"/>
        <v>#DIV/0!</v>
      </c>
      <c r="CH12" s="2">
        <v>5</v>
      </c>
      <c r="CI12" s="2">
        <f>求节点(节奏总纲!R$4:R$363,BW$8:BW$367,$CH12)</f>
        <v>0</v>
      </c>
      <c r="CJ12" s="2">
        <f>求节点(节奏总纲!S$4:S$363,BX$8:BX$367,$CH12)</f>
        <v>0</v>
      </c>
      <c r="CK12" s="2">
        <f>求节点(节奏总纲!T$4:T$363,BY$8:BY$367,$CH12)</f>
        <v>0</v>
      </c>
      <c r="CL12" s="2">
        <f>求节点(节奏总纲!U$4:U$363,BZ$8:BZ$367,$CH12)</f>
        <v>0</v>
      </c>
      <c r="CM12" s="2">
        <f>求节点(节奏总纲!V$4:V$363,CA$8:CA$367,$CH12)</f>
        <v>0</v>
      </c>
    </row>
    <row r="13" spans="1:91" x14ac:dyDescent="0.2">
      <c r="C13" s="4"/>
      <c r="G13" s="41"/>
      <c r="H13" s="21"/>
      <c r="I13" s="41"/>
      <c r="V13" s="2">
        <v>6</v>
      </c>
      <c r="W13" s="2">
        <f t="shared" si="8"/>
        <v>0</v>
      </c>
      <c r="X13" s="2">
        <f t="shared" si="0"/>
        <v>0</v>
      </c>
      <c r="Y13" s="2">
        <f t="shared" si="9"/>
        <v>0</v>
      </c>
      <c r="Z13" s="2">
        <f t="shared" ref="Z13:AA13" si="17">Y13</f>
        <v>0</v>
      </c>
      <c r="AA13" s="2">
        <f t="shared" si="17"/>
        <v>0</v>
      </c>
      <c r="AG13" s="2">
        <v>11</v>
      </c>
      <c r="AH13" s="2">
        <v>20</v>
      </c>
      <c r="AJ13" s="2">
        <v>30</v>
      </c>
      <c r="AL13" s="2">
        <v>5</v>
      </c>
      <c r="AM13" s="2">
        <v>30</v>
      </c>
      <c r="AN13" s="2">
        <f>IF(AI13="",0,IFERROR(INDEX(道具投放节奏!$K:$K,MATCH(AI$7,道具投放节奏!$D:$D,0)),INDEX(其他调用!$CD$3:$CD$6,MATCH(AI$7,其他调用!$CB$3:$CB$6,0)))*AI13/30)+
IF(AJ13="",0,IFERROR(INDEX(道具投放节奏!$K:$K,MATCH(AJ$7,道具投放节奏!$D:$D,0)),INDEX(其他调用!$CD$3:$CD$6,MATCH(AJ$7,其他调用!$CB$3:$CB$6,0)))*AJ13)+
IF(AK13="",0,IFERROR(INDEX(道具投放节奏!$K:$K,MATCH(AK$7,道具投放节奏!$D:$D,0)),INDEX(其他调用!$CD$3:$CD$6,MATCH(AK$7,其他调用!$CB$3:$CB$6,0)))*AK13)+
IF(AL13="",0,IFERROR(INDEX(道具投放节奏!$K:$K,MATCH(AL$7,道具投放节奏!$D:$D,0)),INDEX(其他调用!$CD$3:$CD$6,MATCH(AL$7,其他调用!$CB$3:$CB$6,0)))*AL13)+
IF(AM13="",0,IFERROR(INDEX(道具投放节奏!$K:$K,MATCH(AM$7,道具投放节奏!$D:$D,0)),INDEX(其他调用!$CD$3:$CD$6,MATCH(AM$7,其他调用!$CB$3:$CB$6,0)))*AM13)</f>
        <v>5430</v>
      </c>
      <c r="AO13" s="2" t="s">
        <v>30</v>
      </c>
      <c r="AQ13" s="2">
        <v>6</v>
      </c>
      <c r="AR13" s="2">
        <f t="shared" si="1"/>
        <v>0</v>
      </c>
      <c r="AS13" s="2">
        <f t="shared" si="1"/>
        <v>0</v>
      </c>
      <c r="AT13" s="2">
        <f t="shared" si="1"/>
        <v>0</v>
      </c>
      <c r="AU13" s="2">
        <f t="shared" si="1"/>
        <v>0</v>
      </c>
      <c r="AV13" s="2">
        <f t="shared" si="1"/>
        <v>0</v>
      </c>
      <c r="BA13" s="2">
        <v>11</v>
      </c>
      <c r="BB13" s="2">
        <v>20</v>
      </c>
      <c r="BD13" s="2">
        <v>100</v>
      </c>
      <c r="BF13" s="2">
        <v>4</v>
      </c>
      <c r="BH13" s="2">
        <f>IF(BC13="",0,IFERROR(INDEX(道具投放节奏!$K:$K,MATCH(BC$7,道具投放节奏!$D:$D,0)),INDEX(其他调用!$CD$3:$CD$6,MATCH(BC$7,其他调用!$CB$3:$CB$6,0)))*BC13)+
IF(BD13="",0,IFERROR(INDEX(道具投放节奏!$K:$K,MATCH(BD$7,道具投放节奏!$D:$D,0)),INDEX(其他调用!$CD$3:$CD$6,MATCH(BD$7,其他调用!$CB$3:$CB$6,0)))*BD13)+
IF(BE13="",0,IFERROR(INDEX(道具投放节奏!$K:$K,MATCH(BE$7,道具投放节奏!$D:$D,0)),INDEX(其他调用!$CD$3:$CD$6,MATCH(BE$7,其他调用!$CB$3:$CB$6,0)))*BE13)+
IF(BF13="",0,IFERROR(INDEX(道具投放节奏!$K:$K,MATCH(BF$7,道具投放节奏!$D:$D,0)),INDEX(其他调用!$CD$3:$CD$6,MATCH(BF$7,其他调用!$CB$3:$CB$6,0)))*BF13)+
IF(BG13="",0,IFERROR(INDEX(道具投放节奏!$K:$K,MATCH(BG$7,道具投放节奏!$D:$D,0)),INDEX(其他调用!$CD$3:$CD$6,MATCH(BG$7,其他调用!$CB$3:$CB$6,0)))*BG13)</f>
        <v>220</v>
      </c>
      <c r="BI13" s="2" t="s">
        <v>35</v>
      </c>
      <c r="BK13" s="2">
        <v>6</v>
      </c>
      <c r="BL13" s="2">
        <f t="shared" si="2"/>
        <v>0</v>
      </c>
      <c r="BM13" s="2">
        <f t="shared" si="2"/>
        <v>0</v>
      </c>
      <c r="BN13" s="2">
        <f t="shared" si="2"/>
        <v>0</v>
      </c>
      <c r="BO13" s="2">
        <f t="shared" si="2"/>
        <v>0</v>
      </c>
      <c r="BP13" s="2">
        <f t="shared" si="2"/>
        <v>0</v>
      </c>
      <c r="BV13" s="2">
        <v>6</v>
      </c>
      <c r="BW13" s="2">
        <f t="shared" si="3"/>
        <v>0</v>
      </c>
      <c r="BX13" s="2">
        <f t="shared" si="4"/>
        <v>0</v>
      </c>
      <c r="BY13" s="2">
        <f t="shared" si="5"/>
        <v>0</v>
      </c>
      <c r="BZ13" s="2">
        <f t="shared" si="6"/>
        <v>0</v>
      </c>
      <c r="CA13" s="2">
        <f t="shared" si="7"/>
        <v>0</v>
      </c>
      <c r="CC13" s="41" t="e">
        <f t="shared" si="11"/>
        <v>#DIV/0!</v>
      </c>
      <c r="CD13" s="41" t="e">
        <f t="shared" si="12"/>
        <v>#DIV/0!</v>
      </c>
      <c r="CE13" s="41" t="e">
        <f t="shared" si="13"/>
        <v>#DIV/0!</v>
      </c>
      <c r="CH13" s="2">
        <v>6</v>
      </c>
      <c r="CI13" s="2">
        <f>求节点(节奏总纲!R$4:R$363,BW$8:BW$367,$CH13)</f>
        <v>0</v>
      </c>
      <c r="CJ13" s="2">
        <f>求节点(节奏总纲!S$4:S$363,BX$8:BX$367,$CH13)</f>
        <v>0</v>
      </c>
      <c r="CK13" s="2">
        <f>求节点(节奏总纲!T$4:T$363,BY$8:BY$367,$CH13)</f>
        <v>0</v>
      </c>
      <c r="CL13" s="2">
        <f>求节点(节奏总纲!U$4:U$363,BZ$8:BZ$367,$CH13)</f>
        <v>0</v>
      </c>
      <c r="CM13" s="2">
        <f>求节点(节奏总纲!V$4:V$363,CA$8:CA$367,$CH13)</f>
        <v>0</v>
      </c>
    </row>
    <row r="14" spans="1:91" x14ac:dyDescent="0.2">
      <c r="C14" s="4"/>
      <c r="G14" s="41"/>
      <c r="I14" s="41"/>
      <c r="V14" s="2">
        <v>7</v>
      </c>
      <c r="W14" s="2">
        <f t="shared" si="8"/>
        <v>0</v>
      </c>
      <c r="X14" s="2">
        <f t="shared" si="0"/>
        <v>0</v>
      </c>
      <c r="Y14" s="2">
        <f t="shared" si="9"/>
        <v>0</v>
      </c>
      <c r="Z14" s="2">
        <f t="shared" ref="Z14:AA14" si="18">Y14</f>
        <v>0</v>
      </c>
      <c r="AA14" s="2">
        <f t="shared" si="18"/>
        <v>0</v>
      </c>
      <c r="AG14" s="2">
        <v>21</v>
      </c>
      <c r="AH14" s="2">
        <v>50</v>
      </c>
      <c r="AJ14" s="2">
        <v>15</v>
      </c>
      <c r="AL14" s="2">
        <v>3</v>
      </c>
      <c r="AM14" s="2">
        <v>30</v>
      </c>
      <c r="AN14" s="2">
        <f>IF(AI14="",0,IFERROR(INDEX(道具投放节奏!$K:$K,MATCH(AI$7,道具投放节奏!$D:$D,0)),INDEX(其他调用!$CD$3:$CD$6,MATCH(AI$7,其他调用!$CB$3:$CB$6,0)))*AI14/30)+
IF(AJ14="",0,IFERROR(INDEX(道具投放节奏!$K:$K,MATCH(AJ$7,道具投放节奏!$D:$D,0)),INDEX(其他调用!$CD$3:$CD$6,MATCH(AJ$7,其他调用!$CB$3:$CB$6,0)))*AJ14)+
IF(AK14="",0,IFERROR(INDEX(道具投放节奏!$K:$K,MATCH(AK$7,道具投放节奏!$D:$D,0)),INDEX(其他调用!$CD$3:$CD$6,MATCH(AK$7,其他调用!$CB$3:$CB$6,0)))*AK14)+
IF(AL14="",0,IFERROR(INDEX(道具投放节奏!$K:$K,MATCH(AL$7,道具投放节奏!$D:$D,0)),INDEX(其他调用!$CD$3:$CD$6,MATCH(AL$7,其他调用!$CB$3:$CB$6,0)))*AL14)+
IF(AM14="",0,IFERROR(INDEX(道具投放节奏!$K:$K,MATCH(AM$7,道具投放节奏!$D:$D,0)),INDEX(其他调用!$CD$3:$CD$6,MATCH(AM$7,其他调用!$CB$3:$CB$6,0)))*AM14)</f>
        <v>4290</v>
      </c>
      <c r="AO14" s="2" t="s">
        <v>23</v>
      </c>
      <c r="AQ14" s="2">
        <v>7</v>
      </c>
      <c r="AR14" s="2">
        <f t="shared" si="1"/>
        <v>0</v>
      </c>
      <c r="AS14" s="2">
        <f t="shared" si="1"/>
        <v>0</v>
      </c>
      <c r="AT14" s="2">
        <f t="shared" si="1"/>
        <v>0</v>
      </c>
      <c r="AU14" s="2">
        <f t="shared" si="1"/>
        <v>0</v>
      </c>
      <c r="AV14" s="2">
        <f t="shared" si="1"/>
        <v>0</v>
      </c>
      <c r="BA14" s="2">
        <v>21</v>
      </c>
      <c r="BB14" s="2">
        <v>50</v>
      </c>
      <c r="BD14" s="2">
        <v>80</v>
      </c>
      <c r="BF14" s="2">
        <v>2</v>
      </c>
      <c r="BH14" s="2">
        <f>IF(BC14="",0,IFERROR(INDEX(道具投放节奏!$K:$K,MATCH(BC$7,道具投放节奏!$D:$D,0)),INDEX(其他调用!$CD$3:$CD$6,MATCH(BC$7,其他调用!$CB$3:$CB$6,0)))*BC14)+
IF(BD14="",0,IFERROR(INDEX(道具投放节奏!$K:$K,MATCH(BD$7,道具投放节奏!$D:$D,0)),INDEX(其他调用!$CD$3:$CD$6,MATCH(BD$7,其他调用!$CB$3:$CB$6,0)))*BD14)+
IF(BE14="",0,IFERROR(INDEX(道具投放节奏!$K:$K,MATCH(BE$7,道具投放节奏!$D:$D,0)),INDEX(其他调用!$CD$3:$CD$6,MATCH(BE$7,其他调用!$CB$3:$CB$6,0)))*BE14)+
IF(BF14="",0,IFERROR(INDEX(道具投放节奏!$K:$K,MATCH(BF$7,道具投放节奏!$D:$D,0)),INDEX(其他调用!$CD$3:$CD$6,MATCH(BF$7,其他调用!$CB$3:$CB$6,0)))*BF14)+
IF(BG14="",0,IFERROR(INDEX(道具投放节奏!$K:$K,MATCH(BG$7,道具投放节奏!$D:$D,0)),INDEX(其他调用!$CD$3:$CD$6,MATCH(BG$7,其他调用!$CB$3:$CB$6,0)))*BG14)</f>
        <v>140</v>
      </c>
      <c r="BI14" s="2" t="s">
        <v>30</v>
      </c>
      <c r="BK14" s="2">
        <v>7</v>
      </c>
      <c r="BL14" s="2">
        <f t="shared" si="2"/>
        <v>0</v>
      </c>
      <c r="BM14" s="2">
        <f t="shared" si="2"/>
        <v>0</v>
      </c>
      <c r="BN14" s="2">
        <f t="shared" si="2"/>
        <v>0</v>
      </c>
      <c r="BO14" s="2">
        <f t="shared" si="2"/>
        <v>0</v>
      </c>
      <c r="BP14" s="2">
        <f t="shared" si="2"/>
        <v>0</v>
      </c>
      <c r="BV14" s="2">
        <v>7</v>
      </c>
      <c r="BW14" s="2">
        <f t="shared" si="3"/>
        <v>0</v>
      </c>
      <c r="BX14" s="2">
        <f t="shared" si="4"/>
        <v>0</v>
      </c>
      <c r="BY14" s="2">
        <f t="shared" si="5"/>
        <v>0</v>
      </c>
      <c r="BZ14" s="2">
        <f t="shared" si="6"/>
        <v>0</v>
      </c>
      <c r="CA14" s="2">
        <f t="shared" si="7"/>
        <v>0</v>
      </c>
      <c r="CC14" s="41" t="e">
        <f t="shared" si="11"/>
        <v>#DIV/0!</v>
      </c>
      <c r="CD14" s="41" t="e">
        <f t="shared" si="12"/>
        <v>#DIV/0!</v>
      </c>
      <c r="CE14" s="41" t="e">
        <f t="shared" si="13"/>
        <v>#DIV/0!</v>
      </c>
      <c r="CH14" s="2">
        <v>7</v>
      </c>
      <c r="CI14" s="2">
        <f>求节点(节奏总纲!R$4:R$363,BW$8:BW$367,$CH14)</f>
        <v>0</v>
      </c>
      <c r="CJ14" s="2">
        <f>求节点(节奏总纲!S$4:S$363,BX$8:BX$367,$CH14)</f>
        <v>0</v>
      </c>
      <c r="CK14" s="2">
        <f>求节点(节奏总纲!T$4:T$363,BY$8:BY$367,$CH14)</f>
        <v>0</v>
      </c>
      <c r="CL14" s="2">
        <f>求节点(节奏总纲!U$4:U$363,BZ$8:BZ$367,$CH14)</f>
        <v>0</v>
      </c>
      <c r="CM14" s="2">
        <f>求节点(节奏总纲!V$4:V$363,CA$8:CA$367,$CH14)</f>
        <v>0</v>
      </c>
    </row>
    <row r="15" spans="1:91" x14ac:dyDescent="0.2">
      <c r="C15" s="4"/>
      <c r="G15" s="41"/>
      <c r="I15" s="41"/>
      <c r="V15" s="2">
        <v>8</v>
      </c>
      <c r="W15" s="2">
        <f t="shared" si="8"/>
        <v>0</v>
      </c>
      <c r="X15" s="2">
        <f t="shared" si="0"/>
        <v>0</v>
      </c>
      <c r="Y15" s="2">
        <f t="shared" si="9"/>
        <v>0</v>
      </c>
      <c r="Z15" s="2">
        <f t="shared" ref="Z15:AA15" si="19">Y15</f>
        <v>0</v>
      </c>
      <c r="AA15" s="2">
        <f t="shared" si="19"/>
        <v>0</v>
      </c>
      <c r="AQ15" s="2">
        <v>8</v>
      </c>
      <c r="AR15" s="2">
        <f t="shared" si="1"/>
        <v>0</v>
      </c>
      <c r="AS15" s="2">
        <f t="shared" si="1"/>
        <v>0</v>
      </c>
      <c r="AT15" s="2">
        <f t="shared" si="1"/>
        <v>0</v>
      </c>
      <c r="AU15" s="2">
        <f t="shared" si="1"/>
        <v>0</v>
      </c>
      <c r="AV15" s="2">
        <f t="shared" si="1"/>
        <v>0</v>
      </c>
      <c r="BA15" s="2">
        <v>51</v>
      </c>
      <c r="BB15" s="2">
        <v>100</v>
      </c>
      <c r="BD15" s="2">
        <v>50</v>
      </c>
      <c r="BF15" s="2">
        <v>1</v>
      </c>
      <c r="BH15" s="2">
        <f>IF(BC15="",0,IFERROR(INDEX(道具投放节奏!$K:$K,MATCH(BC$7,道具投放节奏!$D:$D,0)),INDEX(其他调用!$CD$3:$CD$6,MATCH(BC$7,其他调用!$CB$3:$CB$6,0)))*BC15)+
IF(BD15="",0,IFERROR(INDEX(道具投放节奏!$K:$K,MATCH(BD$7,道具投放节奏!$D:$D,0)),INDEX(其他调用!$CD$3:$CD$6,MATCH(BD$7,其他调用!$CB$3:$CB$6,0)))*BD15)+
IF(BE15="",0,IFERROR(INDEX(道具投放节奏!$K:$K,MATCH(BE$7,道具投放节奏!$D:$D,0)),INDEX(其他调用!$CD$3:$CD$6,MATCH(BE$7,其他调用!$CB$3:$CB$6,0)))*BE15)+
IF(BF15="",0,IFERROR(INDEX(道具投放节奏!$K:$K,MATCH(BF$7,道具投放节奏!$D:$D,0)),INDEX(其他调用!$CD$3:$CD$6,MATCH(BF$7,其他调用!$CB$3:$CB$6,0)))*BF15)+
IF(BG15="",0,IFERROR(INDEX(道具投放节奏!$K:$K,MATCH(BG$7,道具投放节奏!$D:$D,0)),INDEX(其他调用!$CD$3:$CD$6,MATCH(BG$7,其他调用!$CB$3:$CB$6,0)))*BG15)</f>
        <v>80</v>
      </c>
      <c r="BI15" s="2" t="s">
        <v>23</v>
      </c>
      <c r="BK15" s="2">
        <v>8</v>
      </c>
      <c r="BL15" s="2">
        <f t="shared" si="2"/>
        <v>0</v>
      </c>
      <c r="BM15" s="2">
        <f t="shared" si="2"/>
        <v>0</v>
      </c>
      <c r="BN15" s="2">
        <f t="shared" si="2"/>
        <v>0</v>
      </c>
      <c r="BO15" s="2">
        <f t="shared" si="2"/>
        <v>0</v>
      </c>
      <c r="BP15" s="2">
        <f t="shared" si="2"/>
        <v>0</v>
      </c>
      <c r="BV15" s="2">
        <v>8</v>
      </c>
      <c r="BW15" s="2">
        <f t="shared" si="3"/>
        <v>0</v>
      </c>
      <c r="BX15" s="2">
        <f t="shared" si="4"/>
        <v>0</v>
      </c>
      <c r="BY15" s="2">
        <f t="shared" si="5"/>
        <v>0</v>
      </c>
      <c r="BZ15" s="2">
        <f t="shared" si="6"/>
        <v>0</v>
      </c>
      <c r="CA15" s="2">
        <f t="shared" si="7"/>
        <v>0</v>
      </c>
      <c r="CC15" s="41" t="e">
        <f t="shared" si="11"/>
        <v>#DIV/0!</v>
      </c>
      <c r="CD15" s="41" t="e">
        <f t="shared" si="12"/>
        <v>#DIV/0!</v>
      </c>
      <c r="CE15" s="41" t="e">
        <f t="shared" si="13"/>
        <v>#DIV/0!</v>
      </c>
      <c r="CH15" s="2">
        <v>8</v>
      </c>
      <c r="CI15" s="2">
        <f>求节点(节奏总纲!R$4:R$363,BW$8:BW$367,$CH15)</f>
        <v>0</v>
      </c>
      <c r="CJ15" s="2">
        <f>求节点(节奏总纲!S$4:S$363,BX$8:BX$367,$CH15)</f>
        <v>0</v>
      </c>
      <c r="CK15" s="2">
        <f>求节点(节奏总纲!T$4:T$363,BY$8:BY$367,$CH15)</f>
        <v>0</v>
      </c>
      <c r="CL15" s="2">
        <f>求节点(节奏总纲!U$4:U$363,BZ$8:BZ$367,$CH15)</f>
        <v>0</v>
      </c>
      <c r="CM15" s="2">
        <f>求节点(节奏总纲!V$4:V$363,CA$8:CA$367,$CH15)</f>
        <v>0</v>
      </c>
    </row>
    <row r="16" spans="1:91" x14ac:dyDescent="0.2">
      <c r="G16" s="4"/>
      <c r="V16" s="2">
        <v>9</v>
      </c>
      <c r="W16" s="2">
        <f t="shared" si="8"/>
        <v>0</v>
      </c>
      <c r="X16" s="2">
        <f t="shared" si="0"/>
        <v>0</v>
      </c>
      <c r="Y16" s="2">
        <f t="shared" si="9"/>
        <v>0</v>
      </c>
      <c r="Z16" s="2">
        <f t="shared" ref="Z16:AA16" si="20">Y16</f>
        <v>0</v>
      </c>
      <c r="AA16" s="2">
        <f t="shared" si="20"/>
        <v>0</v>
      </c>
      <c r="AQ16" s="2">
        <v>9</v>
      </c>
      <c r="AR16" s="2">
        <f t="shared" si="1"/>
        <v>0</v>
      </c>
      <c r="AS16" s="2">
        <f t="shared" si="1"/>
        <v>0</v>
      </c>
      <c r="AT16" s="2">
        <f t="shared" si="1"/>
        <v>0</v>
      </c>
      <c r="AU16" s="2">
        <f t="shared" si="1"/>
        <v>0</v>
      </c>
      <c r="AV16" s="2">
        <f t="shared" si="1"/>
        <v>0</v>
      </c>
      <c r="BK16" s="2">
        <v>9</v>
      </c>
      <c r="BL16" s="2">
        <f t="shared" si="2"/>
        <v>0</v>
      </c>
      <c r="BM16" s="2">
        <f t="shared" si="2"/>
        <v>0</v>
      </c>
      <c r="BN16" s="2">
        <f t="shared" si="2"/>
        <v>0</v>
      </c>
      <c r="BO16" s="2">
        <f t="shared" si="2"/>
        <v>0</v>
      </c>
      <c r="BP16" s="2">
        <f t="shared" si="2"/>
        <v>0</v>
      </c>
      <c r="BV16" s="2">
        <v>9</v>
      </c>
      <c r="BW16" s="2">
        <f t="shared" si="3"/>
        <v>0</v>
      </c>
      <c r="BX16" s="2">
        <f t="shared" si="4"/>
        <v>0</v>
      </c>
      <c r="BY16" s="2">
        <f t="shared" si="5"/>
        <v>0</v>
      </c>
      <c r="BZ16" s="2">
        <f t="shared" si="6"/>
        <v>0</v>
      </c>
      <c r="CA16" s="2">
        <f t="shared" si="7"/>
        <v>0</v>
      </c>
      <c r="CC16" s="41" t="e">
        <f t="shared" si="11"/>
        <v>#DIV/0!</v>
      </c>
      <c r="CD16" s="41" t="e">
        <f t="shared" si="12"/>
        <v>#DIV/0!</v>
      </c>
      <c r="CE16" s="41" t="e">
        <f t="shared" si="13"/>
        <v>#DIV/0!</v>
      </c>
      <c r="CH16" s="2">
        <v>9</v>
      </c>
      <c r="CI16" s="2">
        <f>求节点(节奏总纲!R$4:R$363,BW$8:BW$367,$CH16)</f>
        <v>0</v>
      </c>
      <c r="CJ16" s="2">
        <f>求节点(节奏总纲!S$4:S$363,BX$8:BX$367,$CH16)</f>
        <v>0</v>
      </c>
      <c r="CK16" s="2">
        <f>求节点(节奏总纲!T$4:T$363,BY$8:BY$367,$CH16)</f>
        <v>0</v>
      </c>
      <c r="CL16" s="2">
        <f>求节点(节奏总纲!U$4:U$363,BZ$8:BZ$367,$CH16)</f>
        <v>0</v>
      </c>
      <c r="CM16" s="2">
        <f>求节点(节奏总纲!V$4:V$363,CA$8:CA$367,$CH16)</f>
        <v>0</v>
      </c>
    </row>
    <row r="17" spans="3:91" x14ac:dyDescent="0.2">
      <c r="V17" s="2">
        <v>10</v>
      </c>
      <c r="W17" s="2">
        <f t="shared" si="8"/>
        <v>0</v>
      </c>
      <c r="X17" s="2">
        <f t="shared" si="0"/>
        <v>0</v>
      </c>
      <c r="Y17" s="2">
        <f t="shared" si="9"/>
        <v>0</v>
      </c>
      <c r="Z17" s="2">
        <f t="shared" ref="Z17:AA17" si="21">Y17</f>
        <v>0</v>
      </c>
      <c r="AA17" s="2">
        <f t="shared" si="21"/>
        <v>0</v>
      </c>
      <c r="AQ17" s="2">
        <v>10</v>
      </c>
      <c r="AR17" s="2">
        <f t="shared" si="1"/>
        <v>0</v>
      </c>
      <c r="AS17" s="2">
        <f t="shared" si="1"/>
        <v>0</v>
      </c>
      <c r="AT17" s="2">
        <f t="shared" si="1"/>
        <v>0</v>
      </c>
      <c r="AU17" s="2">
        <f t="shared" si="1"/>
        <v>0</v>
      </c>
      <c r="AV17" s="2">
        <f t="shared" si="1"/>
        <v>0</v>
      </c>
      <c r="BK17" s="2">
        <v>10</v>
      </c>
      <c r="BL17" s="2">
        <f t="shared" si="2"/>
        <v>0</v>
      </c>
      <c r="BM17" s="2">
        <f t="shared" si="2"/>
        <v>0</v>
      </c>
      <c r="BN17" s="2">
        <f t="shared" si="2"/>
        <v>0</v>
      </c>
      <c r="BO17" s="2">
        <f t="shared" si="2"/>
        <v>0</v>
      </c>
      <c r="BP17" s="2">
        <f t="shared" si="2"/>
        <v>0</v>
      </c>
      <c r="BV17" s="2">
        <v>10</v>
      </c>
      <c r="BW17" s="2">
        <f t="shared" si="3"/>
        <v>0</v>
      </c>
      <c r="BX17" s="2">
        <f t="shared" si="4"/>
        <v>0</v>
      </c>
      <c r="BY17" s="2">
        <f t="shared" si="5"/>
        <v>0</v>
      </c>
      <c r="BZ17" s="2">
        <f t="shared" si="6"/>
        <v>0</v>
      </c>
      <c r="CA17" s="2">
        <f t="shared" si="7"/>
        <v>0</v>
      </c>
      <c r="CC17" s="41" t="e">
        <f t="shared" si="11"/>
        <v>#DIV/0!</v>
      </c>
      <c r="CD17" s="41" t="e">
        <f t="shared" si="12"/>
        <v>#DIV/0!</v>
      </c>
      <c r="CE17" s="41" t="e">
        <f t="shared" si="13"/>
        <v>#DIV/0!</v>
      </c>
      <c r="CH17" s="2">
        <v>10</v>
      </c>
      <c r="CI17" s="2">
        <f>求节点(节奏总纲!R$4:R$363,BW$8:BW$367,$CH17)</f>
        <v>0</v>
      </c>
      <c r="CJ17" s="2">
        <f>求节点(节奏总纲!S$4:S$363,BX$8:BX$367,$CH17)</f>
        <v>0</v>
      </c>
      <c r="CK17" s="2">
        <f>求节点(节奏总纲!T$4:T$363,BY$8:BY$367,$CH17)</f>
        <v>0</v>
      </c>
      <c r="CL17" s="2">
        <f>求节点(节奏总纲!U$4:U$363,BZ$8:BZ$367,$CH17)</f>
        <v>0</v>
      </c>
      <c r="CM17" s="2">
        <f>求节点(节奏总纲!V$4:V$363,CA$8:CA$367,$CH17)</f>
        <v>0</v>
      </c>
    </row>
    <row r="18" spans="3:91" x14ac:dyDescent="0.2">
      <c r="V18" s="2">
        <v>11</v>
      </c>
      <c r="W18" s="2">
        <f t="shared" si="8"/>
        <v>0</v>
      </c>
      <c r="X18" s="2">
        <f t="shared" si="0"/>
        <v>0</v>
      </c>
      <c r="Y18" s="2">
        <f t="shared" si="9"/>
        <v>0</v>
      </c>
      <c r="Z18" s="2">
        <f t="shared" ref="Z18:AA18" si="22">Y18</f>
        <v>0</v>
      </c>
      <c r="AA18" s="2">
        <f t="shared" si="22"/>
        <v>0</v>
      </c>
      <c r="AQ18" s="2">
        <v>11</v>
      </c>
      <c r="AR18" s="2">
        <f t="shared" ref="AR18:AV27" si="23">MAX($AQ18-$C$2,0)*INDEX($AN$8:$AN$44,MATCH(AR$7,$AO$8:$AO$44,0))/$C$3</f>
        <v>0</v>
      </c>
      <c r="AS18" s="2">
        <f t="shared" si="23"/>
        <v>0</v>
      </c>
      <c r="AT18" s="2">
        <f t="shared" si="23"/>
        <v>0</v>
      </c>
      <c r="AU18" s="2">
        <f t="shared" si="23"/>
        <v>0</v>
      </c>
      <c r="AV18" s="2">
        <f t="shared" si="23"/>
        <v>0</v>
      </c>
      <c r="BK18" s="2">
        <v>11</v>
      </c>
      <c r="BL18" s="2">
        <f t="shared" ref="BL18:BP27" si="24">IFERROR(MAX($BK18-$C$2,0)*INDEX($BH$8:$BH$16,MATCH(BL$7,$BI$8:$BI$16,0))*$C$4/$C$3,BM18)</f>
        <v>0</v>
      </c>
      <c r="BM18" s="2">
        <f t="shared" si="24"/>
        <v>0</v>
      </c>
      <c r="BN18" s="2">
        <f t="shared" si="24"/>
        <v>0</v>
      </c>
      <c r="BO18" s="2">
        <f t="shared" si="24"/>
        <v>0</v>
      </c>
      <c r="BP18" s="2">
        <f t="shared" si="24"/>
        <v>0</v>
      </c>
      <c r="BV18" s="2">
        <v>11</v>
      </c>
      <c r="BW18" s="2">
        <f t="shared" si="3"/>
        <v>0</v>
      </c>
      <c r="BX18" s="2">
        <f t="shared" si="4"/>
        <v>0</v>
      </c>
      <c r="BY18" s="2">
        <f t="shared" si="5"/>
        <v>0</v>
      </c>
      <c r="BZ18" s="2">
        <f t="shared" si="6"/>
        <v>0</v>
      </c>
      <c r="CA18" s="2">
        <f t="shared" si="7"/>
        <v>0</v>
      </c>
      <c r="CC18" s="41" t="e">
        <f t="shared" si="11"/>
        <v>#DIV/0!</v>
      </c>
      <c r="CD18" s="41" t="e">
        <f t="shared" si="12"/>
        <v>#DIV/0!</v>
      </c>
      <c r="CE18" s="41" t="e">
        <f t="shared" si="13"/>
        <v>#DIV/0!</v>
      </c>
      <c r="CH18" s="2">
        <v>11</v>
      </c>
      <c r="CI18" s="2">
        <f>求节点(节奏总纲!R$4:R$363,BW$8:BW$367,$CH18)</f>
        <v>0</v>
      </c>
      <c r="CJ18" s="2">
        <f>求节点(节奏总纲!S$4:S$363,BX$8:BX$367,$CH18)</f>
        <v>0</v>
      </c>
      <c r="CK18" s="2">
        <f>求节点(节奏总纲!T$4:T$363,BY$8:BY$367,$CH18)</f>
        <v>0</v>
      </c>
      <c r="CL18" s="2">
        <f>求节点(节奏总纲!U$4:U$363,BZ$8:BZ$367,$CH18)</f>
        <v>0</v>
      </c>
      <c r="CM18" s="2">
        <f>求节点(节奏总纲!V$4:V$363,CA$8:CA$367,$CH18)</f>
        <v>0</v>
      </c>
    </row>
    <row r="19" spans="3:91" x14ac:dyDescent="0.2">
      <c r="V19" s="2">
        <v>12</v>
      </c>
      <c r="W19" s="2">
        <f t="shared" si="8"/>
        <v>0</v>
      </c>
      <c r="X19" s="2">
        <f t="shared" si="0"/>
        <v>0</v>
      </c>
      <c r="Y19" s="2">
        <f t="shared" si="9"/>
        <v>0</v>
      </c>
      <c r="Z19" s="2">
        <f t="shared" ref="Z19:AA19" si="25">Y19</f>
        <v>0</v>
      </c>
      <c r="AA19" s="2">
        <f t="shared" si="25"/>
        <v>0</v>
      </c>
      <c r="AQ19" s="2">
        <v>12</v>
      </c>
      <c r="AR19" s="2">
        <f t="shared" si="23"/>
        <v>0</v>
      </c>
      <c r="AS19" s="2">
        <f t="shared" si="23"/>
        <v>0</v>
      </c>
      <c r="AT19" s="2">
        <f t="shared" si="23"/>
        <v>0</v>
      </c>
      <c r="AU19" s="2">
        <f t="shared" si="23"/>
        <v>0</v>
      </c>
      <c r="AV19" s="2">
        <f t="shared" si="23"/>
        <v>0</v>
      </c>
      <c r="BK19" s="2">
        <v>12</v>
      </c>
      <c r="BL19" s="2">
        <f t="shared" si="24"/>
        <v>0</v>
      </c>
      <c r="BM19" s="2">
        <f t="shared" si="24"/>
        <v>0</v>
      </c>
      <c r="BN19" s="2">
        <f t="shared" si="24"/>
        <v>0</v>
      </c>
      <c r="BO19" s="2">
        <f t="shared" si="24"/>
        <v>0</v>
      </c>
      <c r="BP19" s="2">
        <f t="shared" si="24"/>
        <v>0</v>
      </c>
      <c r="BV19" s="2">
        <v>12</v>
      </c>
      <c r="BW19" s="2">
        <f t="shared" si="3"/>
        <v>0</v>
      </c>
      <c r="BX19" s="2">
        <f t="shared" si="4"/>
        <v>0</v>
      </c>
      <c r="BY19" s="2">
        <f t="shared" si="5"/>
        <v>0</v>
      </c>
      <c r="BZ19" s="2">
        <f t="shared" si="6"/>
        <v>0</v>
      </c>
      <c r="CA19" s="2">
        <f t="shared" si="7"/>
        <v>0</v>
      </c>
      <c r="CC19" s="41" t="e">
        <f t="shared" si="11"/>
        <v>#DIV/0!</v>
      </c>
      <c r="CD19" s="41" t="e">
        <f t="shared" si="12"/>
        <v>#DIV/0!</v>
      </c>
      <c r="CE19" s="41" t="e">
        <f t="shared" si="13"/>
        <v>#DIV/0!</v>
      </c>
      <c r="CH19" s="2">
        <v>12</v>
      </c>
      <c r="CI19" s="2">
        <f>求节点(节奏总纲!R$4:R$363,BW$8:BW$367,$CH19)</f>
        <v>0</v>
      </c>
      <c r="CJ19" s="2">
        <f>求节点(节奏总纲!S$4:S$363,BX$8:BX$367,$CH19)</f>
        <v>0</v>
      </c>
      <c r="CK19" s="2">
        <f>求节点(节奏总纲!T$4:T$363,BY$8:BY$367,$CH19)</f>
        <v>0</v>
      </c>
      <c r="CL19" s="2">
        <f>求节点(节奏总纲!U$4:U$363,BZ$8:BZ$367,$CH19)</f>
        <v>0</v>
      </c>
      <c r="CM19" s="2">
        <f>求节点(节奏总纲!V$4:V$363,CA$8:CA$367,$CH19)</f>
        <v>0</v>
      </c>
    </row>
    <row r="20" spans="3:91" x14ac:dyDescent="0.2">
      <c r="V20" s="2">
        <v>13</v>
      </c>
      <c r="W20" s="2">
        <f t="shared" si="8"/>
        <v>0</v>
      </c>
      <c r="X20" s="2">
        <f t="shared" si="0"/>
        <v>0</v>
      </c>
      <c r="Y20" s="2">
        <f t="shared" si="9"/>
        <v>0</v>
      </c>
      <c r="Z20" s="2">
        <f t="shared" ref="Z20:AA20" si="26">Y20</f>
        <v>0</v>
      </c>
      <c r="AA20" s="2">
        <f t="shared" si="26"/>
        <v>0</v>
      </c>
      <c r="AI20" s="1"/>
      <c r="AJ20" s="1"/>
      <c r="AK20" s="1"/>
      <c r="AL20" s="1"/>
      <c r="AM20" s="1"/>
      <c r="AQ20" s="2">
        <v>13</v>
      </c>
      <c r="AR20" s="2">
        <f t="shared" si="23"/>
        <v>0</v>
      </c>
      <c r="AS20" s="2">
        <f t="shared" si="23"/>
        <v>0</v>
      </c>
      <c r="AT20" s="2">
        <f t="shared" si="23"/>
        <v>0</v>
      </c>
      <c r="AU20" s="2">
        <f t="shared" si="23"/>
        <v>0</v>
      </c>
      <c r="AV20" s="2">
        <f t="shared" si="23"/>
        <v>0</v>
      </c>
      <c r="BK20" s="2">
        <v>13</v>
      </c>
      <c r="BL20" s="2">
        <f t="shared" si="24"/>
        <v>0</v>
      </c>
      <c r="BM20" s="2">
        <f t="shared" si="24"/>
        <v>0</v>
      </c>
      <c r="BN20" s="2">
        <f t="shared" si="24"/>
        <v>0</v>
      </c>
      <c r="BO20" s="2">
        <f t="shared" si="24"/>
        <v>0</v>
      </c>
      <c r="BP20" s="2">
        <f t="shared" si="24"/>
        <v>0</v>
      </c>
      <c r="BV20" s="2">
        <v>13</v>
      </c>
      <c r="BW20" s="2">
        <f t="shared" si="3"/>
        <v>0</v>
      </c>
      <c r="BX20" s="2">
        <f t="shared" si="4"/>
        <v>0</v>
      </c>
      <c r="BY20" s="2">
        <f t="shared" si="5"/>
        <v>0</v>
      </c>
      <c r="BZ20" s="2">
        <f t="shared" si="6"/>
        <v>0</v>
      </c>
      <c r="CA20" s="2">
        <f t="shared" si="7"/>
        <v>0</v>
      </c>
      <c r="CC20" s="41" t="e">
        <f t="shared" si="11"/>
        <v>#DIV/0!</v>
      </c>
      <c r="CD20" s="41" t="e">
        <f t="shared" si="12"/>
        <v>#DIV/0!</v>
      </c>
      <c r="CE20" s="41" t="e">
        <f t="shared" si="13"/>
        <v>#DIV/0!</v>
      </c>
      <c r="CH20" s="2">
        <v>13</v>
      </c>
      <c r="CI20" s="2">
        <f>求节点(节奏总纲!R$4:R$363,BW$8:BW$367,$CH20)</f>
        <v>0</v>
      </c>
      <c r="CJ20" s="2">
        <f>求节点(节奏总纲!S$4:S$363,BX$8:BX$367,$CH20)</f>
        <v>0</v>
      </c>
      <c r="CK20" s="2">
        <f>求节点(节奏总纲!T$4:T$363,BY$8:BY$367,$CH20)</f>
        <v>0</v>
      </c>
      <c r="CL20" s="2">
        <f>求节点(节奏总纲!U$4:U$363,BZ$8:BZ$367,$CH20)</f>
        <v>0</v>
      </c>
      <c r="CM20" s="2">
        <f>求节点(节奏总纲!V$4:V$363,CA$8:CA$367,$CH20)</f>
        <v>0</v>
      </c>
    </row>
    <row r="21" spans="3:91" x14ac:dyDescent="0.2">
      <c r="C21" s="6"/>
      <c r="V21" s="2">
        <v>14</v>
      </c>
      <c r="W21" s="2">
        <f t="shared" si="8"/>
        <v>0</v>
      </c>
      <c r="X21" s="2">
        <f t="shared" si="0"/>
        <v>0</v>
      </c>
      <c r="Y21" s="2">
        <f t="shared" si="9"/>
        <v>0</v>
      </c>
      <c r="Z21" s="2">
        <f t="shared" ref="Z21:AA21" si="27">Y21</f>
        <v>0</v>
      </c>
      <c r="AA21" s="2">
        <f t="shared" si="27"/>
        <v>0</v>
      </c>
      <c r="AQ21" s="2">
        <v>14</v>
      </c>
      <c r="AR21" s="2">
        <f t="shared" si="23"/>
        <v>0</v>
      </c>
      <c r="AS21" s="2">
        <f t="shared" si="23"/>
        <v>0</v>
      </c>
      <c r="AT21" s="2">
        <f t="shared" si="23"/>
        <v>0</v>
      </c>
      <c r="AU21" s="2">
        <f t="shared" si="23"/>
        <v>0</v>
      </c>
      <c r="AV21" s="2">
        <f t="shared" si="23"/>
        <v>0</v>
      </c>
      <c r="BK21" s="2">
        <v>14</v>
      </c>
      <c r="BL21" s="2">
        <f t="shared" si="24"/>
        <v>0</v>
      </c>
      <c r="BM21" s="2">
        <f t="shared" si="24"/>
        <v>0</v>
      </c>
      <c r="BN21" s="2">
        <f t="shared" si="24"/>
        <v>0</v>
      </c>
      <c r="BO21" s="2">
        <f t="shared" si="24"/>
        <v>0</v>
      </c>
      <c r="BP21" s="2">
        <f t="shared" si="24"/>
        <v>0</v>
      </c>
      <c r="BV21" s="2">
        <v>14</v>
      </c>
      <c r="BW21" s="2">
        <f t="shared" si="3"/>
        <v>0</v>
      </c>
      <c r="BX21" s="2">
        <f t="shared" si="4"/>
        <v>0</v>
      </c>
      <c r="BY21" s="2">
        <f t="shared" si="5"/>
        <v>0</v>
      </c>
      <c r="BZ21" s="2">
        <f t="shared" si="6"/>
        <v>0</v>
      </c>
      <c r="CA21" s="2">
        <f t="shared" si="7"/>
        <v>0</v>
      </c>
      <c r="CC21" s="41" t="e">
        <f t="shared" si="11"/>
        <v>#DIV/0!</v>
      </c>
      <c r="CD21" s="41" t="e">
        <f t="shared" si="12"/>
        <v>#DIV/0!</v>
      </c>
      <c r="CE21" s="41" t="e">
        <f t="shared" si="13"/>
        <v>#DIV/0!</v>
      </c>
      <c r="CH21" s="2">
        <v>14</v>
      </c>
      <c r="CI21" s="2">
        <f>求节点(节奏总纲!R$4:R$363,BW$8:BW$367,$CH21)</f>
        <v>0</v>
      </c>
      <c r="CJ21" s="2">
        <f>求节点(节奏总纲!S$4:S$363,BX$8:BX$367,$CH21)</f>
        <v>0</v>
      </c>
      <c r="CK21" s="2">
        <f>求节点(节奏总纲!T$4:T$363,BY$8:BY$367,$CH21)</f>
        <v>0</v>
      </c>
      <c r="CL21" s="2">
        <f>求节点(节奏总纲!U$4:U$363,BZ$8:BZ$367,$CH21)</f>
        <v>0</v>
      </c>
      <c r="CM21" s="2">
        <f>求节点(节奏总纲!V$4:V$363,CA$8:CA$367,$CH21)</f>
        <v>0</v>
      </c>
    </row>
    <row r="22" spans="3:91" x14ac:dyDescent="0.2">
      <c r="V22" s="2">
        <v>15</v>
      </c>
      <c r="W22" s="2">
        <f t="shared" si="8"/>
        <v>0</v>
      </c>
      <c r="X22" s="2">
        <f t="shared" si="0"/>
        <v>0</v>
      </c>
      <c r="Y22" s="2">
        <f t="shared" si="9"/>
        <v>0</v>
      </c>
      <c r="Z22" s="2">
        <f t="shared" ref="Z22:AA22" si="28">Y22</f>
        <v>0</v>
      </c>
      <c r="AA22" s="2">
        <f t="shared" si="28"/>
        <v>0</v>
      </c>
      <c r="AQ22" s="2">
        <v>15</v>
      </c>
      <c r="AR22" s="2">
        <f t="shared" si="23"/>
        <v>0</v>
      </c>
      <c r="AS22" s="2">
        <f t="shared" si="23"/>
        <v>0</v>
      </c>
      <c r="AT22" s="2">
        <f t="shared" si="23"/>
        <v>0</v>
      </c>
      <c r="AU22" s="2">
        <f t="shared" si="23"/>
        <v>0</v>
      </c>
      <c r="AV22" s="2">
        <f t="shared" si="23"/>
        <v>0</v>
      </c>
      <c r="BK22" s="2">
        <v>15</v>
      </c>
      <c r="BL22" s="2">
        <f t="shared" si="24"/>
        <v>0</v>
      </c>
      <c r="BM22" s="2">
        <f t="shared" si="24"/>
        <v>0</v>
      </c>
      <c r="BN22" s="2">
        <f t="shared" si="24"/>
        <v>0</v>
      </c>
      <c r="BO22" s="2">
        <f t="shared" si="24"/>
        <v>0</v>
      </c>
      <c r="BP22" s="2">
        <f t="shared" si="24"/>
        <v>0</v>
      </c>
      <c r="BV22" s="2">
        <v>15</v>
      </c>
      <c r="BW22" s="2">
        <f t="shared" si="3"/>
        <v>0</v>
      </c>
      <c r="BX22" s="2">
        <f t="shared" si="4"/>
        <v>0</v>
      </c>
      <c r="BY22" s="2">
        <f t="shared" si="5"/>
        <v>0</v>
      </c>
      <c r="BZ22" s="2">
        <f t="shared" si="6"/>
        <v>0</v>
      </c>
      <c r="CA22" s="2">
        <f t="shared" si="7"/>
        <v>0</v>
      </c>
      <c r="CC22" s="41" t="e">
        <f t="shared" si="11"/>
        <v>#DIV/0!</v>
      </c>
      <c r="CD22" s="41" t="e">
        <f t="shared" si="12"/>
        <v>#DIV/0!</v>
      </c>
      <c r="CE22" s="41" t="e">
        <f t="shared" si="13"/>
        <v>#DIV/0!</v>
      </c>
      <c r="CH22" s="2">
        <v>15</v>
      </c>
      <c r="CI22" s="2">
        <f>求节点(节奏总纲!R$4:R$363,BW$8:BW$367,$CH22)</f>
        <v>0</v>
      </c>
      <c r="CJ22" s="2">
        <f>求节点(节奏总纲!S$4:S$363,BX$8:BX$367,$CH22)</f>
        <v>0</v>
      </c>
      <c r="CK22" s="2">
        <f>求节点(节奏总纲!T$4:T$363,BY$8:BY$367,$CH22)</f>
        <v>0</v>
      </c>
      <c r="CL22" s="2">
        <f>求节点(节奏总纲!U$4:U$363,BZ$8:BZ$367,$CH22)</f>
        <v>0</v>
      </c>
      <c r="CM22" s="2">
        <f>求节点(节奏总纲!V$4:V$363,CA$8:CA$367,$CH22)</f>
        <v>0</v>
      </c>
    </row>
    <row r="23" spans="3:91" x14ac:dyDescent="0.2">
      <c r="V23" s="2">
        <v>16</v>
      </c>
      <c r="W23" s="2">
        <f t="shared" si="8"/>
        <v>0</v>
      </c>
      <c r="X23" s="2">
        <f t="shared" si="0"/>
        <v>0</v>
      </c>
      <c r="Y23" s="2">
        <f t="shared" si="9"/>
        <v>0</v>
      </c>
      <c r="Z23" s="2">
        <f t="shared" ref="Z23:AA23" si="29">Y23</f>
        <v>0</v>
      </c>
      <c r="AA23" s="2">
        <f t="shared" si="29"/>
        <v>0</v>
      </c>
      <c r="AQ23" s="2">
        <v>16</v>
      </c>
      <c r="AR23" s="2">
        <f t="shared" si="23"/>
        <v>0</v>
      </c>
      <c r="AS23" s="2">
        <f t="shared" si="23"/>
        <v>0</v>
      </c>
      <c r="AT23" s="2">
        <f t="shared" si="23"/>
        <v>0</v>
      </c>
      <c r="AU23" s="2">
        <f t="shared" si="23"/>
        <v>0</v>
      </c>
      <c r="AV23" s="2">
        <f t="shared" si="23"/>
        <v>0</v>
      </c>
      <c r="BK23" s="2">
        <v>16</v>
      </c>
      <c r="BL23" s="2">
        <f t="shared" si="24"/>
        <v>0</v>
      </c>
      <c r="BM23" s="2">
        <f t="shared" si="24"/>
        <v>0</v>
      </c>
      <c r="BN23" s="2">
        <f t="shared" si="24"/>
        <v>0</v>
      </c>
      <c r="BO23" s="2">
        <f t="shared" si="24"/>
        <v>0</v>
      </c>
      <c r="BP23" s="2">
        <f t="shared" si="24"/>
        <v>0</v>
      </c>
      <c r="BV23" s="2">
        <v>16</v>
      </c>
      <c r="BW23" s="2">
        <f t="shared" si="3"/>
        <v>0</v>
      </c>
      <c r="BX23" s="2">
        <f t="shared" si="4"/>
        <v>0</v>
      </c>
      <c r="BY23" s="2">
        <f t="shared" si="5"/>
        <v>0</v>
      </c>
      <c r="BZ23" s="2">
        <f t="shared" si="6"/>
        <v>0</v>
      </c>
      <c r="CA23" s="2">
        <f t="shared" si="7"/>
        <v>0</v>
      </c>
      <c r="CC23" s="41" t="e">
        <f t="shared" si="11"/>
        <v>#DIV/0!</v>
      </c>
      <c r="CD23" s="41" t="e">
        <f t="shared" si="12"/>
        <v>#DIV/0!</v>
      </c>
      <c r="CE23" s="41" t="e">
        <f t="shared" si="13"/>
        <v>#DIV/0!</v>
      </c>
      <c r="CH23" s="2">
        <v>16</v>
      </c>
      <c r="CI23" s="2">
        <f>求节点(节奏总纲!R$4:R$363,BW$8:BW$367,$CH23)</f>
        <v>0</v>
      </c>
      <c r="CJ23" s="2">
        <f>求节点(节奏总纲!S$4:S$363,BX$8:BX$367,$CH23)</f>
        <v>0</v>
      </c>
      <c r="CK23" s="2">
        <f>求节点(节奏总纲!T$4:T$363,BY$8:BY$367,$CH23)</f>
        <v>0</v>
      </c>
      <c r="CL23" s="2">
        <f>求节点(节奏总纲!U$4:U$363,BZ$8:BZ$367,$CH23)</f>
        <v>0</v>
      </c>
      <c r="CM23" s="2">
        <f>求节点(节奏总纲!V$4:V$363,CA$8:CA$367,$CH23)</f>
        <v>0</v>
      </c>
    </row>
    <row r="24" spans="3:91" x14ac:dyDescent="0.2">
      <c r="V24" s="2">
        <v>17</v>
      </c>
      <c r="W24" s="2">
        <f t="shared" si="8"/>
        <v>0</v>
      </c>
      <c r="X24" s="2">
        <f t="shared" si="8"/>
        <v>0</v>
      </c>
      <c r="Y24" s="2">
        <f t="shared" si="9"/>
        <v>0</v>
      </c>
      <c r="Z24" s="2">
        <f t="shared" ref="Z24:AA24" si="30">Y24</f>
        <v>0</v>
      </c>
      <c r="AA24" s="2">
        <f t="shared" si="30"/>
        <v>0</v>
      </c>
      <c r="AQ24" s="2">
        <v>17</v>
      </c>
      <c r="AR24" s="2">
        <f t="shared" si="23"/>
        <v>0</v>
      </c>
      <c r="AS24" s="2">
        <f t="shared" si="23"/>
        <v>0</v>
      </c>
      <c r="AT24" s="2">
        <f t="shared" si="23"/>
        <v>0</v>
      </c>
      <c r="AU24" s="2">
        <f t="shared" si="23"/>
        <v>0</v>
      </c>
      <c r="AV24" s="2">
        <f t="shared" si="23"/>
        <v>0</v>
      </c>
      <c r="BK24" s="2">
        <v>17</v>
      </c>
      <c r="BL24" s="2">
        <f t="shared" si="24"/>
        <v>0</v>
      </c>
      <c r="BM24" s="2">
        <f t="shared" si="24"/>
        <v>0</v>
      </c>
      <c r="BN24" s="2">
        <f t="shared" si="24"/>
        <v>0</v>
      </c>
      <c r="BO24" s="2">
        <f t="shared" si="24"/>
        <v>0</v>
      </c>
      <c r="BP24" s="2">
        <f t="shared" si="24"/>
        <v>0</v>
      </c>
      <c r="BV24" s="2">
        <v>17</v>
      </c>
      <c r="BW24" s="2">
        <f t="shared" si="3"/>
        <v>0</v>
      </c>
      <c r="BX24" s="2">
        <f t="shared" si="4"/>
        <v>0</v>
      </c>
      <c r="BY24" s="2">
        <f t="shared" si="5"/>
        <v>0</v>
      </c>
      <c r="BZ24" s="2">
        <f t="shared" si="6"/>
        <v>0</v>
      </c>
      <c r="CA24" s="2">
        <f t="shared" si="7"/>
        <v>0</v>
      </c>
      <c r="CC24" s="41" t="e">
        <f t="shared" si="11"/>
        <v>#DIV/0!</v>
      </c>
      <c r="CD24" s="41" t="e">
        <f t="shared" si="12"/>
        <v>#DIV/0!</v>
      </c>
      <c r="CE24" s="41" t="e">
        <f t="shared" si="13"/>
        <v>#DIV/0!</v>
      </c>
      <c r="CH24" s="2">
        <v>17</v>
      </c>
      <c r="CI24" s="2">
        <f>求节点(节奏总纲!R$4:R$363,BW$8:BW$367,$CH24)</f>
        <v>0</v>
      </c>
      <c r="CJ24" s="2">
        <f>求节点(节奏总纲!S$4:S$363,BX$8:BX$367,$CH24)</f>
        <v>0</v>
      </c>
      <c r="CK24" s="2">
        <f>求节点(节奏总纲!T$4:T$363,BY$8:BY$367,$CH24)</f>
        <v>0</v>
      </c>
      <c r="CL24" s="2">
        <f>求节点(节奏总纲!U$4:U$363,BZ$8:BZ$367,$CH24)</f>
        <v>0</v>
      </c>
      <c r="CM24" s="2">
        <f>求节点(节奏总纲!V$4:V$363,CA$8:CA$367,$CH24)</f>
        <v>0</v>
      </c>
    </row>
    <row r="25" spans="3:91" x14ac:dyDescent="0.2">
      <c r="V25" s="2">
        <v>18</v>
      </c>
      <c r="W25" s="2">
        <f t="shared" si="8"/>
        <v>0</v>
      </c>
      <c r="X25" s="2">
        <f t="shared" si="8"/>
        <v>0</v>
      </c>
      <c r="Y25" s="2">
        <f t="shared" si="9"/>
        <v>0</v>
      </c>
      <c r="Z25" s="2">
        <f t="shared" ref="Z25:AA25" si="31">Y25</f>
        <v>0</v>
      </c>
      <c r="AA25" s="2">
        <f t="shared" si="31"/>
        <v>0</v>
      </c>
      <c r="AQ25" s="2">
        <v>18</v>
      </c>
      <c r="AR25" s="2">
        <f t="shared" si="23"/>
        <v>0</v>
      </c>
      <c r="AS25" s="2">
        <f t="shared" si="23"/>
        <v>0</v>
      </c>
      <c r="AT25" s="2">
        <f t="shared" si="23"/>
        <v>0</v>
      </c>
      <c r="AU25" s="2">
        <f t="shared" si="23"/>
        <v>0</v>
      </c>
      <c r="AV25" s="2">
        <f t="shared" si="23"/>
        <v>0</v>
      </c>
      <c r="BK25" s="2">
        <v>18</v>
      </c>
      <c r="BL25" s="2">
        <f t="shared" si="24"/>
        <v>0</v>
      </c>
      <c r="BM25" s="2">
        <f t="shared" si="24"/>
        <v>0</v>
      </c>
      <c r="BN25" s="2">
        <f t="shared" si="24"/>
        <v>0</v>
      </c>
      <c r="BO25" s="2">
        <f t="shared" si="24"/>
        <v>0</v>
      </c>
      <c r="BP25" s="2">
        <f t="shared" si="24"/>
        <v>0</v>
      </c>
      <c r="BV25" s="2">
        <v>18</v>
      </c>
      <c r="BW25" s="2">
        <f t="shared" si="3"/>
        <v>0</v>
      </c>
      <c r="BX25" s="2">
        <f t="shared" si="4"/>
        <v>0</v>
      </c>
      <c r="BY25" s="2">
        <f t="shared" si="5"/>
        <v>0</v>
      </c>
      <c r="BZ25" s="2">
        <f t="shared" si="6"/>
        <v>0</v>
      </c>
      <c r="CA25" s="2">
        <f t="shared" si="7"/>
        <v>0</v>
      </c>
      <c r="CC25" s="41" t="e">
        <f t="shared" si="11"/>
        <v>#DIV/0!</v>
      </c>
      <c r="CD25" s="41" t="e">
        <f t="shared" si="12"/>
        <v>#DIV/0!</v>
      </c>
      <c r="CE25" s="41" t="e">
        <f t="shared" si="13"/>
        <v>#DIV/0!</v>
      </c>
      <c r="CH25" s="2">
        <v>18</v>
      </c>
      <c r="CI25" s="2">
        <f>求节点(节奏总纲!R$4:R$363,BW$8:BW$367,$CH25)</f>
        <v>0</v>
      </c>
      <c r="CJ25" s="2">
        <f>求节点(节奏总纲!S$4:S$363,BX$8:BX$367,$CH25)</f>
        <v>0</v>
      </c>
      <c r="CK25" s="2">
        <f>求节点(节奏总纲!T$4:T$363,BY$8:BY$367,$CH25)</f>
        <v>0</v>
      </c>
      <c r="CL25" s="2">
        <f>求节点(节奏总纲!U$4:U$363,BZ$8:BZ$367,$CH25)</f>
        <v>0</v>
      </c>
      <c r="CM25" s="2">
        <f>求节点(节奏总纲!V$4:V$363,CA$8:CA$367,$CH25)</f>
        <v>0</v>
      </c>
    </row>
    <row r="26" spans="3:91" x14ac:dyDescent="0.2">
      <c r="V26" s="2">
        <v>19</v>
      </c>
      <c r="W26" s="2">
        <f t="shared" si="8"/>
        <v>0</v>
      </c>
      <c r="X26" s="2">
        <f t="shared" si="8"/>
        <v>0</v>
      </c>
      <c r="Y26" s="2">
        <f t="shared" si="9"/>
        <v>0</v>
      </c>
      <c r="Z26" s="2">
        <f t="shared" ref="Z26:AA26" si="32">Y26</f>
        <v>0</v>
      </c>
      <c r="AA26" s="2">
        <f t="shared" si="32"/>
        <v>0</v>
      </c>
      <c r="AQ26" s="2">
        <v>19</v>
      </c>
      <c r="AR26" s="2">
        <f t="shared" si="23"/>
        <v>0</v>
      </c>
      <c r="AS26" s="2">
        <f t="shared" si="23"/>
        <v>0</v>
      </c>
      <c r="AT26" s="2">
        <f t="shared" si="23"/>
        <v>0</v>
      </c>
      <c r="AU26" s="2">
        <f t="shared" si="23"/>
        <v>0</v>
      </c>
      <c r="AV26" s="2">
        <f t="shared" si="23"/>
        <v>0</v>
      </c>
      <c r="BK26" s="2">
        <v>19</v>
      </c>
      <c r="BL26" s="2">
        <f t="shared" si="24"/>
        <v>0</v>
      </c>
      <c r="BM26" s="2">
        <f t="shared" si="24"/>
        <v>0</v>
      </c>
      <c r="BN26" s="2">
        <f t="shared" si="24"/>
        <v>0</v>
      </c>
      <c r="BO26" s="2">
        <f t="shared" si="24"/>
        <v>0</v>
      </c>
      <c r="BP26" s="2">
        <f t="shared" si="24"/>
        <v>0</v>
      </c>
      <c r="BV26" s="2">
        <v>19</v>
      </c>
      <c r="BW26" s="2">
        <f t="shared" si="3"/>
        <v>0</v>
      </c>
      <c r="BX26" s="2">
        <f t="shared" si="4"/>
        <v>0</v>
      </c>
      <c r="BY26" s="2">
        <f t="shared" si="5"/>
        <v>0</v>
      </c>
      <c r="BZ26" s="2">
        <f t="shared" si="6"/>
        <v>0</v>
      </c>
      <c r="CA26" s="2">
        <f t="shared" si="7"/>
        <v>0</v>
      </c>
      <c r="CC26" s="41" t="e">
        <f t="shared" si="11"/>
        <v>#DIV/0!</v>
      </c>
      <c r="CD26" s="41" t="e">
        <f t="shared" si="12"/>
        <v>#DIV/0!</v>
      </c>
      <c r="CE26" s="41" t="e">
        <f t="shared" si="13"/>
        <v>#DIV/0!</v>
      </c>
      <c r="CH26" s="2">
        <v>19</v>
      </c>
      <c r="CI26" s="2">
        <f>求节点(节奏总纲!R$4:R$363,BW$8:BW$367,$CH26)</f>
        <v>0</v>
      </c>
      <c r="CJ26" s="2">
        <f>求节点(节奏总纲!S$4:S$363,BX$8:BX$367,$CH26)</f>
        <v>0</v>
      </c>
      <c r="CK26" s="2">
        <f>求节点(节奏总纲!T$4:T$363,BY$8:BY$367,$CH26)</f>
        <v>0</v>
      </c>
      <c r="CL26" s="2">
        <f>求节点(节奏总纲!U$4:U$363,BZ$8:BZ$367,$CH26)</f>
        <v>0</v>
      </c>
      <c r="CM26" s="2">
        <f>求节点(节奏总纲!V$4:V$363,CA$8:CA$367,$CH26)</f>
        <v>0</v>
      </c>
    </row>
    <row r="27" spans="3:91" x14ac:dyDescent="0.2">
      <c r="V27" s="2">
        <v>20</v>
      </c>
      <c r="W27" s="2">
        <f t="shared" si="8"/>
        <v>0</v>
      </c>
      <c r="X27" s="2">
        <f t="shared" si="8"/>
        <v>0</v>
      </c>
      <c r="Y27" s="2">
        <f t="shared" si="9"/>
        <v>0</v>
      </c>
      <c r="Z27" s="2">
        <f t="shared" ref="Z27:AA27" si="33">Y27</f>
        <v>0</v>
      </c>
      <c r="AA27" s="2">
        <f t="shared" si="33"/>
        <v>0</v>
      </c>
      <c r="AQ27" s="2">
        <v>20</v>
      </c>
      <c r="AR27" s="2">
        <f t="shared" si="23"/>
        <v>0</v>
      </c>
      <c r="AS27" s="2">
        <f t="shared" si="23"/>
        <v>0</v>
      </c>
      <c r="AT27" s="2">
        <f t="shared" si="23"/>
        <v>0</v>
      </c>
      <c r="AU27" s="2">
        <f t="shared" si="23"/>
        <v>0</v>
      </c>
      <c r="AV27" s="2">
        <f t="shared" si="23"/>
        <v>0</v>
      </c>
      <c r="BK27" s="2">
        <v>20</v>
      </c>
      <c r="BL27" s="2">
        <f t="shared" si="24"/>
        <v>0</v>
      </c>
      <c r="BM27" s="2">
        <f t="shared" si="24"/>
        <v>0</v>
      </c>
      <c r="BN27" s="2">
        <f t="shared" si="24"/>
        <v>0</v>
      </c>
      <c r="BO27" s="2">
        <f t="shared" si="24"/>
        <v>0</v>
      </c>
      <c r="BP27" s="2">
        <f t="shared" si="24"/>
        <v>0</v>
      </c>
      <c r="BV27" s="2">
        <v>20</v>
      </c>
      <c r="BW27" s="2">
        <f t="shared" si="3"/>
        <v>0</v>
      </c>
      <c r="BX27" s="2">
        <f t="shared" si="4"/>
        <v>0</v>
      </c>
      <c r="BY27" s="2">
        <f t="shared" si="5"/>
        <v>0</v>
      </c>
      <c r="BZ27" s="2">
        <f t="shared" si="6"/>
        <v>0</v>
      </c>
      <c r="CA27" s="2">
        <f t="shared" si="7"/>
        <v>0</v>
      </c>
      <c r="CC27" s="41" t="e">
        <f t="shared" si="11"/>
        <v>#DIV/0!</v>
      </c>
      <c r="CD27" s="41" t="e">
        <f t="shared" si="12"/>
        <v>#DIV/0!</v>
      </c>
      <c r="CE27" s="41" t="e">
        <f t="shared" si="13"/>
        <v>#DIV/0!</v>
      </c>
      <c r="CH27" s="2">
        <v>20</v>
      </c>
      <c r="CI27" s="2">
        <f>求节点(节奏总纲!R$4:R$363,BW$8:BW$367,$CH27)</f>
        <v>0</v>
      </c>
      <c r="CJ27" s="2">
        <f>求节点(节奏总纲!S$4:S$363,BX$8:BX$367,$CH27)</f>
        <v>0</v>
      </c>
      <c r="CK27" s="2">
        <f>求节点(节奏总纲!T$4:T$363,BY$8:BY$367,$CH27)</f>
        <v>0</v>
      </c>
      <c r="CL27" s="2">
        <f>求节点(节奏总纲!U$4:U$363,BZ$8:BZ$367,$CH27)</f>
        <v>0</v>
      </c>
      <c r="CM27" s="2">
        <f>求节点(节奏总纲!V$4:V$363,CA$8:CA$367,$CH27)</f>
        <v>0</v>
      </c>
    </row>
    <row r="28" spans="3:91" x14ac:dyDescent="0.2">
      <c r="V28" s="2">
        <v>21</v>
      </c>
      <c r="W28" s="2">
        <f t="shared" si="8"/>
        <v>0</v>
      </c>
      <c r="X28" s="2">
        <f t="shared" si="8"/>
        <v>0</v>
      </c>
      <c r="Y28" s="2">
        <f t="shared" si="9"/>
        <v>0</v>
      </c>
      <c r="Z28" s="2">
        <f t="shared" ref="Z28:AA28" si="34">Y28</f>
        <v>0</v>
      </c>
      <c r="AA28" s="2">
        <f t="shared" si="34"/>
        <v>0</v>
      </c>
      <c r="AQ28" s="2">
        <v>21</v>
      </c>
      <c r="AR28" s="2">
        <f t="shared" ref="AR28:AV37" si="35">MAX($AQ28-$C$2,0)*INDEX($AN$8:$AN$44,MATCH(AR$7,$AO$8:$AO$44,0))/$C$3</f>
        <v>0</v>
      </c>
      <c r="AS28" s="2">
        <f t="shared" si="35"/>
        <v>0</v>
      </c>
      <c r="AT28" s="2">
        <f t="shared" si="35"/>
        <v>0</v>
      </c>
      <c r="AU28" s="2">
        <f t="shared" si="35"/>
        <v>0</v>
      </c>
      <c r="AV28" s="2">
        <f t="shared" si="35"/>
        <v>0</v>
      </c>
      <c r="BK28" s="2">
        <v>21</v>
      </c>
      <c r="BL28" s="2">
        <f t="shared" ref="BL28:BP37" si="36">IFERROR(MAX($BK28-$C$2,0)*INDEX($BH$8:$BH$16,MATCH(BL$7,$BI$8:$BI$16,0))*$C$4/$C$3,BM28)</f>
        <v>0</v>
      </c>
      <c r="BM28" s="2">
        <f t="shared" si="36"/>
        <v>0</v>
      </c>
      <c r="BN28" s="2">
        <f t="shared" si="36"/>
        <v>0</v>
      </c>
      <c r="BO28" s="2">
        <f t="shared" si="36"/>
        <v>0</v>
      </c>
      <c r="BP28" s="2">
        <f t="shared" si="36"/>
        <v>0</v>
      </c>
      <c r="BV28" s="2">
        <v>21</v>
      </c>
      <c r="BW28" s="2">
        <f t="shared" si="3"/>
        <v>0</v>
      </c>
      <c r="BX28" s="2">
        <f t="shared" si="4"/>
        <v>0</v>
      </c>
      <c r="BY28" s="2">
        <f t="shared" si="5"/>
        <v>0</v>
      </c>
      <c r="BZ28" s="2">
        <f t="shared" si="6"/>
        <v>0</v>
      </c>
      <c r="CA28" s="2">
        <f t="shared" si="7"/>
        <v>0</v>
      </c>
      <c r="CC28" s="41" t="e">
        <f t="shared" si="11"/>
        <v>#DIV/0!</v>
      </c>
      <c r="CD28" s="41" t="e">
        <f t="shared" si="12"/>
        <v>#DIV/0!</v>
      </c>
      <c r="CE28" s="41" t="e">
        <f t="shared" si="13"/>
        <v>#DIV/0!</v>
      </c>
      <c r="CH28" s="2">
        <v>21</v>
      </c>
      <c r="CI28" s="2">
        <f>求节点(节奏总纲!R$4:R$363,BW$8:BW$367,$CH28)</f>
        <v>0</v>
      </c>
      <c r="CJ28" s="2">
        <f>求节点(节奏总纲!S$4:S$363,BX$8:BX$367,$CH28)</f>
        <v>0</v>
      </c>
      <c r="CK28" s="2">
        <f>求节点(节奏总纲!T$4:T$363,BY$8:BY$367,$CH28)</f>
        <v>0</v>
      </c>
      <c r="CL28" s="2">
        <f>求节点(节奏总纲!U$4:U$363,BZ$8:BZ$367,$CH28)</f>
        <v>0</v>
      </c>
      <c r="CM28" s="2">
        <f>求节点(节奏总纲!V$4:V$363,CA$8:CA$367,$CH28)</f>
        <v>0</v>
      </c>
    </row>
    <row r="29" spans="3:91" x14ac:dyDescent="0.2">
      <c r="V29" s="2">
        <v>22</v>
      </c>
      <c r="W29" s="2">
        <f t="shared" si="8"/>
        <v>0</v>
      </c>
      <c r="X29" s="2">
        <f t="shared" si="8"/>
        <v>0</v>
      </c>
      <c r="Y29" s="2">
        <f t="shared" si="9"/>
        <v>0</v>
      </c>
      <c r="Z29" s="2">
        <f t="shared" ref="Z29:AA29" si="37">Y29</f>
        <v>0</v>
      </c>
      <c r="AA29" s="2">
        <f t="shared" si="37"/>
        <v>0</v>
      </c>
      <c r="AQ29" s="2">
        <v>22</v>
      </c>
      <c r="AR29" s="2">
        <f t="shared" si="35"/>
        <v>0</v>
      </c>
      <c r="AS29" s="2">
        <f t="shared" si="35"/>
        <v>0</v>
      </c>
      <c r="AT29" s="2">
        <f t="shared" si="35"/>
        <v>0</v>
      </c>
      <c r="AU29" s="2">
        <f t="shared" si="35"/>
        <v>0</v>
      </c>
      <c r="AV29" s="2">
        <f t="shared" si="35"/>
        <v>0</v>
      </c>
      <c r="BK29" s="2">
        <v>22</v>
      </c>
      <c r="BL29" s="2">
        <f t="shared" si="36"/>
        <v>0</v>
      </c>
      <c r="BM29" s="2">
        <f t="shared" si="36"/>
        <v>0</v>
      </c>
      <c r="BN29" s="2">
        <f t="shared" si="36"/>
        <v>0</v>
      </c>
      <c r="BO29" s="2">
        <f t="shared" si="36"/>
        <v>0</v>
      </c>
      <c r="BP29" s="2">
        <f t="shared" si="36"/>
        <v>0</v>
      </c>
      <c r="BV29" s="2">
        <v>22</v>
      </c>
      <c r="BW29" s="2">
        <f t="shared" si="3"/>
        <v>0</v>
      </c>
      <c r="BX29" s="2">
        <f t="shared" si="4"/>
        <v>0</v>
      </c>
      <c r="BY29" s="2">
        <f t="shared" si="5"/>
        <v>0</v>
      </c>
      <c r="BZ29" s="2">
        <f t="shared" si="6"/>
        <v>0</v>
      </c>
      <c r="CA29" s="2">
        <f t="shared" si="7"/>
        <v>0</v>
      </c>
      <c r="CC29" s="41" t="e">
        <f t="shared" si="11"/>
        <v>#DIV/0!</v>
      </c>
      <c r="CD29" s="41" t="e">
        <f t="shared" si="12"/>
        <v>#DIV/0!</v>
      </c>
      <c r="CE29" s="41" t="e">
        <f t="shared" si="13"/>
        <v>#DIV/0!</v>
      </c>
      <c r="CH29" s="2">
        <v>22</v>
      </c>
      <c r="CI29" s="2">
        <f>求节点(节奏总纲!R$4:R$363,BW$8:BW$367,$CH29)</f>
        <v>0</v>
      </c>
      <c r="CJ29" s="2">
        <f>求节点(节奏总纲!S$4:S$363,BX$8:BX$367,$CH29)</f>
        <v>0</v>
      </c>
      <c r="CK29" s="2">
        <f>求节点(节奏总纲!T$4:T$363,BY$8:BY$367,$CH29)</f>
        <v>0</v>
      </c>
      <c r="CL29" s="2">
        <f>求节点(节奏总纲!U$4:U$363,BZ$8:BZ$367,$CH29)</f>
        <v>0</v>
      </c>
      <c r="CM29" s="2">
        <f>求节点(节奏总纲!V$4:V$363,CA$8:CA$367,$CH29)</f>
        <v>0</v>
      </c>
    </row>
    <row r="30" spans="3:91" x14ac:dyDescent="0.2">
      <c r="V30" s="2">
        <v>23</v>
      </c>
      <c r="W30" s="2">
        <f t="shared" si="8"/>
        <v>0</v>
      </c>
      <c r="X30" s="2">
        <f t="shared" si="8"/>
        <v>0</v>
      </c>
      <c r="Y30" s="2">
        <f t="shared" si="9"/>
        <v>0</v>
      </c>
      <c r="Z30" s="2">
        <f t="shared" ref="Z30:AA30" si="38">Y30</f>
        <v>0</v>
      </c>
      <c r="AA30" s="2">
        <f t="shared" si="38"/>
        <v>0</v>
      </c>
      <c r="AQ30" s="2">
        <v>23</v>
      </c>
      <c r="AR30" s="2">
        <f t="shared" si="35"/>
        <v>0</v>
      </c>
      <c r="AS30" s="2">
        <f t="shared" si="35"/>
        <v>0</v>
      </c>
      <c r="AT30" s="2">
        <f t="shared" si="35"/>
        <v>0</v>
      </c>
      <c r="AU30" s="2">
        <f t="shared" si="35"/>
        <v>0</v>
      </c>
      <c r="AV30" s="2">
        <f t="shared" si="35"/>
        <v>0</v>
      </c>
      <c r="BK30" s="2">
        <v>23</v>
      </c>
      <c r="BL30" s="2">
        <f t="shared" si="36"/>
        <v>0</v>
      </c>
      <c r="BM30" s="2">
        <f t="shared" si="36"/>
        <v>0</v>
      </c>
      <c r="BN30" s="2">
        <f t="shared" si="36"/>
        <v>0</v>
      </c>
      <c r="BO30" s="2">
        <f t="shared" si="36"/>
        <v>0</v>
      </c>
      <c r="BP30" s="2">
        <f t="shared" si="36"/>
        <v>0</v>
      </c>
      <c r="BV30" s="2">
        <v>23</v>
      </c>
      <c r="BW30" s="2">
        <f t="shared" si="3"/>
        <v>0</v>
      </c>
      <c r="BX30" s="2">
        <f t="shared" si="4"/>
        <v>0</v>
      </c>
      <c r="BY30" s="2">
        <f t="shared" si="5"/>
        <v>0</v>
      </c>
      <c r="BZ30" s="2">
        <f t="shared" si="6"/>
        <v>0</v>
      </c>
      <c r="CA30" s="2">
        <f t="shared" si="7"/>
        <v>0</v>
      </c>
      <c r="CC30" s="41" t="e">
        <f t="shared" si="11"/>
        <v>#DIV/0!</v>
      </c>
      <c r="CD30" s="41" t="e">
        <f t="shared" si="12"/>
        <v>#DIV/0!</v>
      </c>
      <c r="CE30" s="41" t="e">
        <f t="shared" si="13"/>
        <v>#DIV/0!</v>
      </c>
      <c r="CH30" s="2">
        <v>23</v>
      </c>
      <c r="CI30" s="2">
        <f>求节点(节奏总纲!R$4:R$363,BW$8:BW$367,$CH30)</f>
        <v>0</v>
      </c>
      <c r="CJ30" s="2">
        <f>求节点(节奏总纲!S$4:S$363,BX$8:BX$367,$CH30)</f>
        <v>0</v>
      </c>
      <c r="CK30" s="2">
        <f>求节点(节奏总纲!T$4:T$363,BY$8:BY$367,$CH30)</f>
        <v>0</v>
      </c>
      <c r="CL30" s="2">
        <f>求节点(节奏总纲!U$4:U$363,BZ$8:BZ$367,$CH30)</f>
        <v>0</v>
      </c>
      <c r="CM30" s="2">
        <f>求节点(节奏总纲!V$4:V$363,CA$8:CA$367,$CH30)</f>
        <v>0</v>
      </c>
    </row>
    <row r="31" spans="3:91" x14ac:dyDescent="0.2">
      <c r="V31" s="2">
        <v>24</v>
      </c>
      <c r="W31" s="2">
        <f t="shared" si="8"/>
        <v>0</v>
      </c>
      <c r="X31" s="2">
        <f t="shared" si="8"/>
        <v>0</v>
      </c>
      <c r="Y31" s="2">
        <f t="shared" si="9"/>
        <v>0</v>
      </c>
      <c r="Z31" s="2">
        <f t="shared" ref="Z31:AA31" si="39">Y31</f>
        <v>0</v>
      </c>
      <c r="AA31" s="2">
        <f t="shared" si="39"/>
        <v>0</v>
      </c>
      <c r="AQ31" s="2">
        <v>24</v>
      </c>
      <c r="AR31" s="2">
        <f t="shared" si="35"/>
        <v>0</v>
      </c>
      <c r="AS31" s="2">
        <f t="shared" si="35"/>
        <v>0</v>
      </c>
      <c r="AT31" s="2">
        <f t="shared" si="35"/>
        <v>0</v>
      </c>
      <c r="AU31" s="2">
        <f t="shared" si="35"/>
        <v>0</v>
      </c>
      <c r="AV31" s="2">
        <f t="shared" si="35"/>
        <v>0</v>
      </c>
      <c r="BK31" s="2">
        <v>24</v>
      </c>
      <c r="BL31" s="2">
        <f t="shared" si="36"/>
        <v>0</v>
      </c>
      <c r="BM31" s="2">
        <f t="shared" si="36"/>
        <v>0</v>
      </c>
      <c r="BN31" s="2">
        <f t="shared" si="36"/>
        <v>0</v>
      </c>
      <c r="BO31" s="2">
        <f t="shared" si="36"/>
        <v>0</v>
      </c>
      <c r="BP31" s="2">
        <f t="shared" si="36"/>
        <v>0</v>
      </c>
      <c r="BV31" s="2">
        <v>24</v>
      </c>
      <c r="BW31" s="2">
        <f t="shared" si="3"/>
        <v>0</v>
      </c>
      <c r="BX31" s="2">
        <f t="shared" si="4"/>
        <v>0</v>
      </c>
      <c r="BY31" s="2">
        <f t="shared" si="5"/>
        <v>0</v>
      </c>
      <c r="BZ31" s="2">
        <f t="shared" si="6"/>
        <v>0</v>
      </c>
      <c r="CA31" s="2">
        <f t="shared" si="7"/>
        <v>0</v>
      </c>
      <c r="CC31" s="41" t="e">
        <f t="shared" si="11"/>
        <v>#DIV/0!</v>
      </c>
      <c r="CD31" s="41" t="e">
        <f t="shared" si="12"/>
        <v>#DIV/0!</v>
      </c>
      <c r="CE31" s="41" t="e">
        <f t="shared" si="13"/>
        <v>#DIV/0!</v>
      </c>
      <c r="CH31" s="2">
        <v>24</v>
      </c>
      <c r="CI31" s="2">
        <f>求节点(节奏总纲!R$4:R$363,BW$8:BW$367,$CH31)</f>
        <v>0</v>
      </c>
      <c r="CJ31" s="2">
        <f>求节点(节奏总纲!S$4:S$363,BX$8:BX$367,$CH31)</f>
        <v>0</v>
      </c>
      <c r="CK31" s="2">
        <f>求节点(节奏总纲!T$4:T$363,BY$8:BY$367,$CH31)</f>
        <v>0</v>
      </c>
      <c r="CL31" s="2">
        <f>求节点(节奏总纲!U$4:U$363,BZ$8:BZ$367,$CH31)</f>
        <v>0</v>
      </c>
      <c r="CM31" s="2">
        <f>求节点(节奏总纲!V$4:V$363,CA$8:CA$367,$CH31)</f>
        <v>0</v>
      </c>
    </row>
    <row r="32" spans="3:91" x14ac:dyDescent="0.2">
      <c r="V32" s="2">
        <v>25</v>
      </c>
      <c r="W32" s="2">
        <f t="shared" si="8"/>
        <v>0</v>
      </c>
      <c r="X32" s="2">
        <f t="shared" si="8"/>
        <v>0</v>
      </c>
      <c r="Y32" s="2">
        <f t="shared" si="9"/>
        <v>0</v>
      </c>
      <c r="Z32" s="2">
        <f t="shared" ref="Z32:AA32" si="40">Y32</f>
        <v>0</v>
      </c>
      <c r="AA32" s="2">
        <f t="shared" si="40"/>
        <v>0</v>
      </c>
      <c r="AQ32" s="2">
        <v>25</v>
      </c>
      <c r="AR32" s="2">
        <f t="shared" si="35"/>
        <v>0</v>
      </c>
      <c r="AS32" s="2">
        <f t="shared" si="35"/>
        <v>0</v>
      </c>
      <c r="AT32" s="2">
        <f t="shared" si="35"/>
        <v>0</v>
      </c>
      <c r="AU32" s="2">
        <f t="shared" si="35"/>
        <v>0</v>
      </c>
      <c r="AV32" s="2">
        <f t="shared" si="35"/>
        <v>0</v>
      </c>
      <c r="BK32" s="2">
        <v>25</v>
      </c>
      <c r="BL32" s="2">
        <f t="shared" si="36"/>
        <v>0</v>
      </c>
      <c r="BM32" s="2">
        <f t="shared" si="36"/>
        <v>0</v>
      </c>
      <c r="BN32" s="2">
        <f t="shared" si="36"/>
        <v>0</v>
      </c>
      <c r="BO32" s="2">
        <f t="shared" si="36"/>
        <v>0</v>
      </c>
      <c r="BP32" s="2">
        <f t="shared" si="36"/>
        <v>0</v>
      </c>
      <c r="BV32" s="2">
        <v>25</v>
      </c>
      <c r="BW32" s="2">
        <f t="shared" si="3"/>
        <v>0</v>
      </c>
      <c r="BX32" s="2">
        <f t="shared" si="4"/>
        <v>0</v>
      </c>
      <c r="BY32" s="2">
        <f t="shared" si="5"/>
        <v>0</v>
      </c>
      <c r="BZ32" s="2">
        <f t="shared" si="6"/>
        <v>0</v>
      </c>
      <c r="CA32" s="2">
        <f t="shared" si="7"/>
        <v>0</v>
      </c>
      <c r="CC32" s="41" t="e">
        <f t="shared" si="11"/>
        <v>#DIV/0!</v>
      </c>
      <c r="CD32" s="41" t="e">
        <f t="shared" si="12"/>
        <v>#DIV/0!</v>
      </c>
      <c r="CE32" s="41" t="e">
        <f t="shared" si="13"/>
        <v>#DIV/0!</v>
      </c>
      <c r="CH32" s="2">
        <v>25</v>
      </c>
      <c r="CI32" s="2">
        <f>求节点(节奏总纲!R$4:R$363,BW$8:BW$367,$CH32)</f>
        <v>0</v>
      </c>
      <c r="CJ32" s="2">
        <f>求节点(节奏总纲!S$4:S$363,BX$8:BX$367,$CH32)</f>
        <v>0</v>
      </c>
      <c r="CK32" s="2">
        <f>求节点(节奏总纲!T$4:T$363,BY$8:BY$367,$CH32)</f>
        <v>0</v>
      </c>
      <c r="CL32" s="2">
        <f>求节点(节奏总纲!U$4:U$363,BZ$8:BZ$367,$CH32)</f>
        <v>0</v>
      </c>
      <c r="CM32" s="2">
        <f>求节点(节奏总纲!V$4:V$363,CA$8:CA$367,$CH32)</f>
        <v>0</v>
      </c>
    </row>
    <row r="33" spans="22:91" x14ac:dyDescent="0.2">
      <c r="V33" s="2">
        <v>26</v>
      </c>
      <c r="W33" s="2">
        <f t="shared" si="8"/>
        <v>0</v>
      </c>
      <c r="X33" s="2">
        <f t="shared" si="8"/>
        <v>0</v>
      </c>
      <c r="Y33" s="2">
        <f t="shared" si="9"/>
        <v>0</v>
      </c>
      <c r="Z33" s="2">
        <f t="shared" ref="Z33:AA33" si="41">Y33</f>
        <v>0</v>
      </c>
      <c r="AA33" s="2">
        <f t="shared" si="41"/>
        <v>0</v>
      </c>
      <c r="AQ33" s="2">
        <v>26</v>
      </c>
      <c r="AR33" s="2">
        <f t="shared" si="35"/>
        <v>0</v>
      </c>
      <c r="AS33" s="2">
        <f t="shared" si="35"/>
        <v>0</v>
      </c>
      <c r="AT33" s="2">
        <f t="shared" si="35"/>
        <v>0</v>
      </c>
      <c r="AU33" s="2">
        <f t="shared" si="35"/>
        <v>0</v>
      </c>
      <c r="AV33" s="2">
        <f t="shared" si="35"/>
        <v>0</v>
      </c>
      <c r="BK33" s="2">
        <v>26</v>
      </c>
      <c r="BL33" s="2">
        <f t="shared" si="36"/>
        <v>0</v>
      </c>
      <c r="BM33" s="2">
        <f t="shared" si="36"/>
        <v>0</v>
      </c>
      <c r="BN33" s="2">
        <f t="shared" si="36"/>
        <v>0</v>
      </c>
      <c r="BO33" s="2">
        <f t="shared" si="36"/>
        <v>0</v>
      </c>
      <c r="BP33" s="2">
        <f t="shared" si="36"/>
        <v>0</v>
      </c>
      <c r="BV33" s="2">
        <v>26</v>
      </c>
      <c r="BW33" s="2">
        <f t="shared" si="3"/>
        <v>0</v>
      </c>
      <c r="BX33" s="2">
        <f t="shared" si="4"/>
        <v>0</v>
      </c>
      <c r="BY33" s="2">
        <f t="shared" si="5"/>
        <v>0</v>
      </c>
      <c r="BZ33" s="2">
        <f t="shared" si="6"/>
        <v>0</v>
      </c>
      <c r="CA33" s="2">
        <f t="shared" si="7"/>
        <v>0</v>
      </c>
      <c r="CC33" s="41" t="e">
        <f t="shared" si="11"/>
        <v>#DIV/0!</v>
      </c>
      <c r="CD33" s="41" t="e">
        <f t="shared" si="12"/>
        <v>#DIV/0!</v>
      </c>
      <c r="CE33" s="41" t="e">
        <f t="shared" si="13"/>
        <v>#DIV/0!</v>
      </c>
      <c r="CH33" s="2">
        <v>26</v>
      </c>
      <c r="CI33" s="2">
        <f>求节点(节奏总纲!R$4:R$363,BW$8:BW$367,$CH33)</f>
        <v>0</v>
      </c>
      <c r="CJ33" s="2">
        <f>求节点(节奏总纲!S$4:S$363,BX$8:BX$367,$CH33)</f>
        <v>0</v>
      </c>
      <c r="CK33" s="2">
        <f>求节点(节奏总纲!T$4:T$363,BY$8:BY$367,$CH33)</f>
        <v>0</v>
      </c>
      <c r="CL33" s="2">
        <f>求节点(节奏总纲!U$4:U$363,BZ$8:BZ$367,$CH33)</f>
        <v>0</v>
      </c>
      <c r="CM33" s="2">
        <f>求节点(节奏总纲!V$4:V$363,CA$8:CA$367,$CH33)</f>
        <v>0</v>
      </c>
    </row>
    <row r="34" spans="22:91" x14ac:dyDescent="0.2">
      <c r="V34" s="2">
        <v>27</v>
      </c>
      <c r="W34" s="2">
        <f t="shared" si="8"/>
        <v>0</v>
      </c>
      <c r="X34" s="2">
        <f t="shared" si="8"/>
        <v>0</v>
      </c>
      <c r="Y34" s="2">
        <f t="shared" si="9"/>
        <v>0</v>
      </c>
      <c r="Z34" s="2">
        <f t="shared" ref="Z34:AA34" si="42">Y34</f>
        <v>0</v>
      </c>
      <c r="AA34" s="2">
        <f t="shared" si="42"/>
        <v>0</v>
      </c>
      <c r="AI34" s="1"/>
      <c r="AJ34" s="1"/>
      <c r="AK34" s="1"/>
      <c r="AL34" s="1"/>
      <c r="AM34" s="1"/>
      <c r="AQ34" s="2">
        <v>27</v>
      </c>
      <c r="AR34" s="2">
        <f t="shared" si="35"/>
        <v>0</v>
      </c>
      <c r="AS34" s="2">
        <f t="shared" si="35"/>
        <v>0</v>
      </c>
      <c r="AT34" s="2">
        <f t="shared" si="35"/>
        <v>0</v>
      </c>
      <c r="AU34" s="2">
        <f t="shared" si="35"/>
        <v>0</v>
      </c>
      <c r="AV34" s="2">
        <f t="shared" si="35"/>
        <v>0</v>
      </c>
      <c r="BK34" s="2">
        <v>27</v>
      </c>
      <c r="BL34" s="2">
        <f t="shared" si="36"/>
        <v>0</v>
      </c>
      <c r="BM34" s="2">
        <f t="shared" si="36"/>
        <v>0</v>
      </c>
      <c r="BN34" s="2">
        <f t="shared" si="36"/>
        <v>0</v>
      </c>
      <c r="BO34" s="2">
        <f t="shared" si="36"/>
        <v>0</v>
      </c>
      <c r="BP34" s="2">
        <f t="shared" si="36"/>
        <v>0</v>
      </c>
      <c r="BV34" s="2">
        <v>27</v>
      </c>
      <c r="BW34" s="2">
        <f t="shared" si="3"/>
        <v>0</v>
      </c>
      <c r="BX34" s="2">
        <f t="shared" si="4"/>
        <v>0</v>
      </c>
      <c r="BY34" s="2">
        <f t="shared" si="5"/>
        <v>0</v>
      </c>
      <c r="BZ34" s="2">
        <f t="shared" si="6"/>
        <v>0</v>
      </c>
      <c r="CA34" s="2">
        <f t="shared" si="7"/>
        <v>0</v>
      </c>
      <c r="CC34" s="41" t="e">
        <f t="shared" si="11"/>
        <v>#DIV/0!</v>
      </c>
      <c r="CD34" s="41" t="e">
        <f t="shared" si="12"/>
        <v>#DIV/0!</v>
      </c>
      <c r="CE34" s="41" t="e">
        <f t="shared" si="13"/>
        <v>#DIV/0!</v>
      </c>
      <c r="CH34" s="2">
        <v>27</v>
      </c>
      <c r="CI34" s="2">
        <f>求节点(节奏总纲!R$4:R$363,BW$8:BW$367,$CH34)</f>
        <v>0</v>
      </c>
      <c r="CJ34" s="2">
        <f>求节点(节奏总纲!S$4:S$363,BX$8:BX$367,$CH34)</f>
        <v>0</v>
      </c>
      <c r="CK34" s="2">
        <f>求节点(节奏总纲!T$4:T$363,BY$8:BY$367,$CH34)</f>
        <v>0</v>
      </c>
      <c r="CL34" s="2">
        <f>求节点(节奏总纲!U$4:U$363,BZ$8:BZ$367,$CH34)</f>
        <v>0</v>
      </c>
      <c r="CM34" s="2">
        <f>求节点(节奏总纲!V$4:V$363,CA$8:CA$367,$CH34)</f>
        <v>0</v>
      </c>
    </row>
    <row r="35" spans="22:91" x14ac:dyDescent="0.2">
      <c r="V35" s="2">
        <v>28</v>
      </c>
      <c r="W35" s="2">
        <f t="shared" si="8"/>
        <v>0</v>
      </c>
      <c r="X35" s="2">
        <f t="shared" si="8"/>
        <v>0</v>
      </c>
      <c r="Y35" s="2">
        <f t="shared" si="9"/>
        <v>0</v>
      </c>
      <c r="Z35" s="2">
        <f t="shared" ref="Z35:AA35" si="43">Y35</f>
        <v>0</v>
      </c>
      <c r="AA35" s="2">
        <f t="shared" si="43"/>
        <v>0</v>
      </c>
      <c r="AQ35" s="2">
        <v>28</v>
      </c>
      <c r="AR35" s="2">
        <f t="shared" si="35"/>
        <v>0</v>
      </c>
      <c r="AS35" s="2">
        <f t="shared" si="35"/>
        <v>0</v>
      </c>
      <c r="AT35" s="2">
        <f t="shared" si="35"/>
        <v>0</v>
      </c>
      <c r="AU35" s="2">
        <f t="shared" si="35"/>
        <v>0</v>
      </c>
      <c r="AV35" s="2">
        <f t="shared" si="35"/>
        <v>0</v>
      </c>
      <c r="BK35" s="2">
        <v>28</v>
      </c>
      <c r="BL35" s="2">
        <f t="shared" si="36"/>
        <v>0</v>
      </c>
      <c r="BM35" s="2">
        <f t="shared" si="36"/>
        <v>0</v>
      </c>
      <c r="BN35" s="2">
        <f t="shared" si="36"/>
        <v>0</v>
      </c>
      <c r="BO35" s="2">
        <f t="shared" si="36"/>
        <v>0</v>
      </c>
      <c r="BP35" s="2">
        <f t="shared" si="36"/>
        <v>0</v>
      </c>
      <c r="BV35" s="2">
        <v>28</v>
      </c>
      <c r="BW35" s="2">
        <f t="shared" si="3"/>
        <v>0</v>
      </c>
      <c r="BX35" s="2">
        <f t="shared" si="4"/>
        <v>0</v>
      </c>
      <c r="BY35" s="2">
        <f t="shared" si="5"/>
        <v>0</v>
      </c>
      <c r="BZ35" s="2">
        <f t="shared" si="6"/>
        <v>0</v>
      </c>
      <c r="CA35" s="2">
        <f t="shared" si="7"/>
        <v>0</v>
      </c>
      <c r="CC35" s="41" t="e">
        <f t="shared" si="11"/>
        <v>#DIV/0!</v>
      </c>
      <c r="CD35" s="41" t="e">
        <f t="shared" si="12"/>
        <v>#DIV/0!</v>
      </c>
      <c r="CE35" s="41" t="e">
        <f t="shared" si="13"/>
        <v>#DIV/0!</v>
      </c>
      <c r="CH35" s="2">
        <v>28</v>
      </c>
      <c r="CI35" s="2">
        <f>求节点(节奏总纲!R$4:R$363,BW$8:BW$367,$CH35)</f>
        <v>0</v>
      </c>
      <c r="CJ35" s="2">
        <f>求节点(节奏总纲!S$4:S$363,BX$8:BX$367,$CH35)</f>
        <v>0</v>
      </c>
      <c r="CK35" s="2">
        <f>求节点(节奏总纲!T$4:T$363,BY$8:BY$367,$CH35)</f>
        <v>0</v>
      </c>
      <c r="CL35" s="2">
        <f>求节点(节奏总纲!U$4:U$363,BZ$8:BZ$367,$CH35)</f>
        <v>0</v>
      </c>
      <c r="CM35" s="2">
        <f>求节点(节奏总纲!V$4:V$363,CA$8:CA$367,$CH35)</f>
        <v>0</v>
      </c>
    </row>
    <row r="36" spans="22:91" x14ac:dyDescent="0.2">
      <c r="V36" s="2">
        <v>29</v>
      </c>
      <c r="W36" s="2">
        <f t="shared" si="8"/>
        <v>0</v>
      </c>
      <c r="X36" s="2">
        <f t="shared" si="8"/>
        <v>0</v>
      </c>
      <c r="Y36" s="2">
        <f t="shared" si="9"/>
        <v>0</v>
      </c>
      <c r="Z36" s="2">
        <f t="shared" ref="Z36:AA36" si="44">Y36</f>
        <v>0</v>
      </c>
      <c r="AA36" s="2">
        <f t="shared" si="44"/>
        <v>0</v>
      </c>
      <c r="AQ36" s="2">
        <v>29</v>
      </c>
      <c r="AR36" s="2">
        <f t="shared" si="35"/>
        <v>0</v>
      </c>
      <c r="AS36" s="2">
        <f t="shared" si="35"/>
        <v>0</v>
      </c>
      <c r="AT36" s="2">
        <f t="shared" si="35"/>
        <v>0</v>
      </c>
      <c r="AU36" s="2">
        <f t="shared" si="35"/>
        <v>0</v>
      </c>
      <c r="AV36" s="2">
        <f t="shared" si="35"/>
        <v>0</v>
      </c>
      <c r="BK36" s="2">
        <v>29</v>
      </c>
      <c r="BL36" s="2">
        <f t="shared" si="36"/>
        <v>0</v>
      </c>
      <c r="BM36" s="2">
        <f t="shared" si="36"/>
        <v>0</v>
      </c>
      <c r="BN36" s="2">
        <f t="shared" si="36"/>
        <v>0</v>
      </c>
      <c r="BO36" s="2">
        <f t="shared" si="36"/>
        <v>0</v>
      </c>
      <c r="BP36" s="2">
        <f t="shared" si="36"/>
        <v>0</v>
      </c>
      <c r="BV36" s="2">
        <v>29</v>
      </c>
      <c r="BW36" s="2">
        <f t="shared" si="3"/>
        <v>0</v>
      </c>
      <c r="BX36" s="2">
        <f t="shared" si="4"/>
        <v>0</v>
      </c>
      <c r="BY36" s="2">
        <f t="shared" si="5"/>
        <v>0</v>
      </c>
      <c r="BZ36" s="2">
        <f t="shared" si="6"/>
        <v>0</v>
      </c>
      <c r="CA36" s="2">
        <f t="shared" si="7"/>
        <v>0</v>
      </c>
      <c r="CC36" s="41" t="e">
        <f t="shared" si="11"/>
        <v>#DIV/0!</v>
      </c>
      <c r="CD36" s="41" t="e">
        <f t="shared" si="12"/>
        <v>#DIV/0!</v>
      </c>
      <c r="CE36" s="41" t="e">
        <f t="shared" si="13"/>
        <v>#DIV/0!</v>
      </c>
      <c r="CH36" s="2">
        <v>29</v>
      </c>
      <c r="CI36" s="2">
        <f>求节点(节奏总纲!R$4:R$363,BW$8:BW$367,$CH36)</f>
        <v>0</v>
      </c>
      <c r="CJ36" s="2">
        <f>求节点(节奏总纲!S$4:S$363,BX$8:BX$367,$CH36)</f>
        <v>0</v>
      </c>
      <c r="CK36" s="2">
        <f>求节点(节奏总纲!T$4:T$363,BY$8:BY$367,$CH36)</f>
        <v>0</v>
      </c>
      <c r="CL36" s="2">
        <f>求节点(节奏总纲!U$4:U$363,BZ$8:BZ$367,$CH36)</f>
        <v>0</v>
      </c>
      <c r="CM36" s="2">
        <f>求节点(节奏总纲!V$4:V$363,CA$8:CA$367,$CH36)</f>
        <v>0</v>
      </c>
    </row>
    <row r="37" spans="22:91" x14ac:dyDescent="0.2">
      <c r="V37" s="2">
        <v>30</v>
      </c>
      <c r="W37" s="2">
        <f t="shared" si="8"/>
        <v>0</v>
      </c>
      <c r="X37" s="2">
        <f t="shared" si="8"/>
        <v>0</v>
      </c>
      <c r="Y37" s="2">
        <f t="shared" si="9"/>
        <v>0</v>
      </c>
      <c r="Z37" s="2">
        <f t="shared" ref="Z37:AA37" si="45">Y37</f>
        <v>0</v>
      </c>
      <c r="AA37" s="2">
        <f t="shared" si="45"/>
        <v>0</v>
      </c>
      <c r="AQ37" s="2">
        <v>30</v>
      </c>
      <c r="AR37" s="2">
        <f t="shared" si="35"/>
        <v>0</v>
      </c>
      <c r="AS37" s="2">
        <f t="shared" si="35"/>
        <v>0</v>
      </c>
      <c r="AT37" s="2">
        <f t="shared" si="35"/>
        <v>0</v>
      </c>
      <c r="AU37" s="2">
        <f t="shared" si="35"/>
        <v>0</v>
      </c>
      <c r="AV37" s="2">
        <f t="shared" si="35"/>
        <v>0</v>
      </c>
      <c r="BK37" s="2">
        <v>30</v>
      </c>
      <c r="BL37" s="2">
        <f t="shared" si="36"/>
        <v>0</v>
      </c>
      <c r="BM37" s="2">
        <f t="shared" si="36"/>
        <v>0</v>
      </c>
      <c r="BN37" s="2">
        <f t="shared" si="36"/>
        <v>0</v>
      </c>
      <c r="BO37" s="2">
        <f t="shared" si="36"/>
        <v>0</v>
      </c>
      <c r="BP37" s="2">
        <f t="shared" si="36"/>
        <v>0</v>
      </c>
      <c r="BV37" s="2">
        <v>30</v>
      </c>
      <c r="BW37" s="2">
        <f t="shared" si="3"/>
        <v>0</v>
      </c>
      <c r="BX37" s="2">
        <f t="shared" si="4"/>
        <v>0</v>
      </c>
      <c r="BY37" s="2">
        <f t="shared" si="5"/>
        <v>0</v>
      </c>
      <c r="BZ37" s="2">
        <f t="shared" si="6"/>
        <v>0</v>
      </c>
      <c r="CA37" s="2">
        <f t="shared" si="7"/>
        <v>0</v>
      </c>
      <c r="CC37" s="41" t="e">
        <f t="shared" si="11"/>
        <v>#DIV/0!</v>
      </c>
      <c r="CD37" s="41" t="e">
        <f t="shared" si="12"/>
        <v>#DIV/0!</v>
      </c>
      <c r="CE37" s="41" t="e">
        <f t="shared" si="13"/>
        <v>#DIV/0!</v>
      </c>
      <c r="CH37" s="2">
        <v>30</v>
      </c>
      <c r="CI37" s="2">
        <f>求节点(节奏总纲!R$4:R$363,BW$8:BW$367,$CH37)</f>
        <v>0</v>
      </c>
      <c r="CJ37" s="2">
        <f>求节点(节奏总纲!S$4:S$363,BX$8:BX$367,$CH37)</f>
        <v>0</v>
      </c>
      <c r="CK37" s="2">
        <f>求节点(节奏总纲!T$4:T$363,BY$8:BY$367,$CH37)</f>
        <v>0</v>
      </c>
      <c r="CL37" s="2">
        <f>求节点(节奏总纲!U$4:U$363,BZ$8:BZ$367,$CH37)</f>
        <v>0</v>
      </c>
      <c r="CM37" s="2">
        <f>求节点(节奏总纲!V$4:V$363,CA$8:CA$367,$CH37)</f>
        <v>0</v>
      </c>
    </row>
    <row r="38" spans="22:91" x14ac:dyDescent="0.2">
      <c r="V38" s="2">
        <v>31</v>
      </c>
      <c r="W38" s="2">
        <f t="shared" si="8"/>
        <v>282.85714285714283</v>
      </c>
      <c r="X38" s="2">
        <f t="shared" si="8"/>
        <v>551.42857142857144</v>
      </c>
      <c r="Y38" s="2">
        <f t="shared" si="9"/>
        <v>551.42857142857144</v>
      </c>
      <c r="Z38" s="2">
        <f t="shared" ref="Z38:AA38" si="46">Y38</f>
        <v>551.42857142857144</v>
      </c>
      <c r="AA38" s="2">
        <f t="shared" si="46"/>
        <v>551.42857142857144</v>
      </c>
      <c r="AQ38" s="2">
        <v>31</v>
      </c>
      <c r="AR38" s="2">
        <f t="shared" ref="AR38:AV47" si="47">MAX($AQ38-$C$2,0)*INDEX($AN$8:$AN$44,MATCH(AR$7,$AO$8:$AO$44,0))/$C$3</f>
        <v>153.21428571428572</v>
      </c>
      <c r="AS38" s="2">
        <f t="shared" si="47"/>
        <v>363.57142857142856</v>
      </c>
      <c r="AT38" s="2">
        <f t="shared" si="47"/>
        <v>535.71428571428567</v>
      </c>
      <c r="AU38" s="2">
        <f t="shared" si="47"/>
        <v>803.57142857142856</v>
      </c>
      <c r="AV38" s="2">
        <f t="shared" si="47"/>
        <v>1507.1428571428571</v>
      </c>
      <c r="BK38" s="2">
        <v>31</v>
      </c>
      <c r="BL38" s="2">
        <f t="shared" ref="BL38:BP47" si="48">IFERROR(MAX($BK38-$C$2,0)*INDEX($BH$8:$BH$16,MATCH(BL$7,$BI$8:$BI$16,0))*$C$4/$C$3,BM38)</f>
        <v>22.857142857142858</v>
      </c>
      <c r="BM38" s="2">
        <f t="shared" si="48"/>
        <v>40</v>
      </c>
      <c r="BN38" s="2">
        <f t="shared" si="48"/>
        <v>62.857142857142854</v>
      </c>
      <c r="BO38" s="2">
        <f t="shared" si="48"/>
        <v>108.57142857142857</v>
      </c>
      <c r="BP38" s="2">
        <f t="shared" si="48"/>
        <v>988.57142857142856</v>
      </c>
      <c r="BV38" s="2">
        <v>31</v>
      </c>
      <c r="BW38" s="2">
        <f t="shared" si="3"/>
        <v>458.92857142857139</v>
      </c>
      <c r="BX38" s="2">
        <f t="shared" si="4"/>
        <v>955</v>
      </c>
      <c r="BY38" s="2">
        <f t="shared" si="5"/>
        <v>1150</v>
      </c>
      <c r="BZ38" s="2">
        <f t="shared" si="6"/>
        <v>1463.5714285714287</v>
      </c>
      <c r="CA38" s="2">
        <f t="shared" si="7"/>
        <v>3047.1428571428569</v>
      </c>
      <c r="CC38" s="41">
        <f t="shared" si="11"/>
        <v>0.6163424124513619</v>
      </c>
      <c r="CD38" s="41">
        <f t="shared" si="12"/>
        <v>0.33385214007782105</v>
      </c>
      <c r="CE38" s="41">
        <f t="shared" si="13"/>
        <v>4.9805447470817124E-2</v>
      </c>
      <c r="CH38" s="2">
        <v>31</v>
      </c>
      <c r="CI38" s="2">
        <f>求节点(节奏总纲!R$4:R$363,BW$8:BW$367,$CH38)</f>
        <v>0</v>
      </c>
      <c r="CJ38" s="2">
        <f>求节点(节奏总纲!S$4:S$363,BX$8:BX$367,$CH38)</f>
        <v>0</v>
      </c>
      <c r="CK38" s="2">
        <f>求节点(节奏总纲!T$4:T$363,BY$8:BY$367,$CH38)</f>
        <v>0</v>
      </c>
      <c r="CL38" s="2">
        <f>求节点(节奏总纲!U$4:U$363,BZ$8:BZ$367,$CH38)</f>
        <v>0</v>
      </c>
      <c r="CM38" s="2">
        <f>求节点(节奏总纲!V$4:V$363,CA$8:CA$367,$CH38)</f>
        <v>0</v>
      </c>
    </row>
    <row r="39" spans="22:91" x14ac:dyDescent="0.2">
      <c r="V39" s="2">
        <v>32</v>
      </c>
      <c r="W39" s="2">
        <f t="shared" si="8"/>
        <v>565.71428571428567</v>
      </c>
      <c r="X39" s="2">
        <f t="shared" si="8"/>
        <v>1102.8571428571429</v>
      </c>
      <c r="Y39" s="2">
        <f t="shared" si="9"/>
        <v>1102.8571428571429</v>
      </c>
      <c r="Z39" s="2">
        <f t="shared" ref="Z39:AA39" si="49">Y39</f>
        <v>1102.8571428571429</v>
      </c>
      <c r="AA39" s="2">
        <f t="shared" si="49"/>
        <v>1102.8571428571429</v>
      </c>
      <c r="AQ39" s="2">
        <v>32</v>
      </c>
      <c r="AR39" s="2">
        <f t="shared" si="47"/>
        <v>306.42857142857144</v>
      </c>
      <c r="AS39" s="2">
        <f t="shared" si="47"/>
        <v>727.14285714285711</v>
      </c>
      <c r="AT39" s="2">
        <f t="shared" si="47"/>
        <v>1071.4285714285713</v>
      </c>
      <c r="AU39" s="2">
        <f t="shared" si="47"/>
        <v>1607.1428571428571</v>
      </c>
      <c r="AV39" s="2">
        <f t="shared" si="47"/>
        <v>3014.2857142857142</v>
      </c>
      <c r="BK39" s="2">
        <v>32</v>
      </c>
      <c r="BL39" s="2">
        <f t="shared" si="48"/>
        <v>45.714285714285715</v>
      </c>
      <c r="BM39" s="2">
        <f t="shared" si="48"/>
        <v>80</v>
      </c>
      <c r="BN39" s="2">
        <f t="shared" si="48"/>
        <v>125.71428571428571</v>
      </c>
      <c r="BO39" s="2">
        <f t="shared" si="48"/>
        <v>217.14285714285714</v>
      </c>
      <c r="BP39" s="2">
        <f t="shared" si="48"/>
        <v>1977.1428571428571</v>
      </c>
      <c r="BV39" s="2">
        <v>32</v>
      </c>
      <c r="BW39" s="2">
        <f t="shared" si="3"/>
        <v>917.85714285714278</v>
      </c>
      <c r="BX39" s="2">
        <f t="shared" si="4"/>
        <v>1910</v>
      </c>
      <c r="BY39" s="2">
        <f t="shared" si="5"/>
        <v>2300</v>
      </c>
      <c r="BZ39" s="2">
        <f t="shared" si="6"/>
        <v>2927.1428571428573</v>
      </c>
      <c r="CA39" s="2">
        <f t="shared" si="7"/>
        <v>6094.2857142857138</v>
      </c>
      <c r="CC39" s="41">
        <f t="shared" si="11"/>
        <v>0.6163424124513619</v>
      </c>
      <c r="CD39" s="41">
        <f t="shared" si="12"/>
        <v>0.33385214007782105</v>
      </c>
      <c r="CE39" s="41">
        <f t="shared" si="13"/>
        <v>4.9805447470817124E-2</v>
      </c>
      <c r="CH39" s="2">
        <v>32</v>
      </c>
      <c r="CI39" s="2">
        <f>求节点(节奏总纲!R$4:R$363,BW$8:BW$367,$CH39)</f>
        <v>0</v>
      </c>
      <c r="CJ39" s="2">
        <f>求节点(节奏总纲!S$4:S$363,BX$8:BX$367,$CH39)</f>
        <v>0</v>
      </c>
      <c r="CK39" s="2">
        <f>求节点(节奏总纲!T$4:T$363,BY$8:BY$367,$CH39)</f>
        <v>0</v>
      </c>
      <c r="CL39" s="2">
        <f>求节点(节奏总纲!U$4:U$363,BZ$8:BZ$367,$CH39)</f>
        <v>0</v>
      </c>
      <c r="CM39" s="2">
        <f>求节点(节奏总纲!V$4:V$363,CA$8:CA$367,$CH39)</f>
        <v>0</v>
      </c>
    </row>
    <row r="40" spans="22:91" x14ac:dyDescent="0.2">
      <c r="V40" s="2">
        <v>33</v>
      </c>
      <c r="W40" s="2">
        <f t="shared" si="8"/>
        <v>848.57142857142856</v>
      </c>
      <c r="X40" s="2">
        <f t="shared" si="8"/>
        <v>1654.2857142857142</v>
      </c>
      <c r="Y40" s="2">
        <f t="shared" si="9"/>
        <v>1654.2857142857142</v>
      </c>
      <c r="Z40" s="2">
        <f t="shared" ref="Z40:AA40" si="50">Y40</f>
        <v>1654.2857142857142</v>
      </c>
      <c r="AA40" s="2">
        <f t="shared" si="50"/>
        <v>1654.2857142857142</v>
      </c>
      <c r="AQ40" s="2">
        <v>33</v>
      </c>
      <c r="AR40" s="2">
        <f t="shared" si="47"/>
        <v>459.64285714285717</v>
      </c>
      <c r="AS40" s="2">
        <f t="shared" si="47"/>
        <v>1090.7142857142858</v>
      </c>
      <c r="AT40" s="2">
        <f t="shared" si="47"/>
        <v>1607.1428571428571</v>
      </c>
      <c r="AU40" s="2">
        <f t="shared" si="47"/>
        <v>2410.7142857142858</v>
      </c>
      <c r="AV40" s="2">
        <f t="shared" si="47"/>
        <v>4521.4285714285716</v>
      </c>
      <c r="BK40" s="2">
        <v>33</v>
      </c>
      <c r="BL40" s="2">
        <f t="shared" si="48"/>
        <v>68.571428571428569</v>
      </c>
      <c r="BM40" s="2">
        <f t="shared" si="48"/>
        <v>120</v>
      </c>
      <c r="BN40" s="2">
        <f t="shared" si="48"/>
        <v>188.57142857142858</v>
      </c>
      <c r="BO40" s="2">
        <f t="shared" si="48"/>
        <v>325.71428571428572</v>
      </c>
      <c r="BP40" s="2">
        <f t="shared" si="48"/>
        <v>2965.7142857142858</v>
      </c>
      <c r="BV40" s="2">
        <v>33</v>
      </c>
      <c r="BW40" s="2">
        <f t="shared" si="3"/>
        <v>1376.7857142857144</v>
      </c>
      <c r="BX40" s="2">
        <f t="shared" si="4"/>
        <v>2865</v>
      </c>
      <c r="BY40" s="2">
        <f t="shared" si="5"/>
        <v>3450</v>
      </c>
      <c r="BZ40" s="2">
        <f t="shared" si="6"/>
        <v>4390.7142857142853</v>
      </c>
      <c r="CA40" s="2">
        <f t="shared" si="7"/>
        <v>9141.4285714285725</v>
      </c>
      <c r="CC40" s="41">
        <f t="shared" si="11"/>
        <v>0.61634241245136179</v>
      </c>
      <c r="CD40" s="41">
        <f t="shared" si="12"/>
        <v>0.33385214007782099</v>
      </c>
      <c r="CE40" s="41">
        <f t="shared" si="13"/>
        <v>4.980544747081711E-2</v>
      </c>
      <c r="CH40" s="2">
        <v>33</v>
      </c>
      <c r="CI40" s="2">
        <f>求节点(节奏总纲!R$4:R$363,BW$8:BW$367,$CH40)</f>
        <v>0</v>
      </c>
      <c r="CJ40" s="2">
        <f>求节点(节奏总纲!S$4:S$363,BX$8:BX$367,$CH40)</f>
        <v>0</v>
      </c>
      <c r="CK40" s="2">
        <f>求节点(节奏总纲!T$4:T$363,BY$8:BY$367,$CH40)</f>
        <v>0</v>
      </c>
      <c r="CL40" s="2">
        <f>求节点(节奏总纲!U$4:U$363,BZ$8:BZ$367,$CH40)</f>
        <v>0</v>
      </c>
      <c r="CM40" s="2">
        <f>求节点(节奏总纲!V$4:V$363,CA$8:CA$367,$CH40)</f>
        <v>0</v>
      </c>
    </row>
    <row r="41" spans="22:91" x14ac:dyDescent="0.2">
      <c r="V41" s="2">
        <v>34</v>
      </c>
      <c r="W41" s="2">
        <f t="shared" si="8"/>
        <v>1131.4285714285713</v>
      </c>
      <c r="X41" s="2">
        <f t="shared" si="8"/>
        <v>2205.7142857142858</v>
      </c>
      <c r="Y41" s="2">
        <f t="shared" si="9"/>
        <v>2205.7142857142858</v>
      </c>
      <c r="Z41" s="2">
        <f t="shared" ref="Z41:AA41" si="51">Y41</f>
        <v>2205.7142857142858</v>
      </c>
      <c r="AA41" s="2">
        <f t="shared" si="51"/>
        <v>2205.7142857142858</v>
      </c>
      <c r="AQ41" s="2">
        <v>34</v>
      </c>
      <c r="AR41" s="2">
        <f t="shared" si="47"/>
        <v>612.85714285714289</v>
      </c>
      <c r="AS41" s="2">
        <f t="shared" si="47"/>
        <v>1454.2857142857142</v>
      </c>
      <c r="AT41" s="2">
        <f t="shared" si="47"/>
        <v>2142.8571428571427</v>
      </c>
      <c r="AU41" s="2">
        <f t="shared" si="47"/>
        <v>3214.2857142857142</v>
      </c>
      <c r="AV41" s="2">
        <f t="shared" si="47"/>
        <v>6028.5714285714284</v>
      </c>
      <c r="BK41" s="2">
        <v>34</v>
      </c>
      <c r="BL41" s="2">
        <f t="shared" si="48"/>
        <v>91.428571428571431</v>
      </c>
      <c r="BM41" s="2">
        <f t="shared" si="48"/>
        <v>160</v>
      </c>
      <c r="BN41" s="2">
        <f t="shared" si="48"/>
        <v>251.42857142857142</v>
      </c>
      <c r="BO41" s="2">
        <f t="shared" si="48"/>
        <v>434.28571428571428</v>
      </c>
      <c r="BP41" s="2">
        <f t="shared" si="48"/>
        <v>3954.2857142857142</v>
      </c>
      <c r="BV41" s="2">
        <v>34</v>
      </c>
      <c r="BW41" s="2">
        <f t="shared" si="3"/>
        <v>1835.7142857142856</v>
      </c>
      <c r="BX41" s="2">
        <f t="shared" si="4"/>
        <v>3820</v>
      </c>
      <c r="BY41" s="2">
        <f t="shared" si="5"/>
        <v>4600</v>
      </c>
      <c r="BZ41" s="2">
        <f t="shared" si="6"/>
        <v>5854.2857142857147</v>
      </c>
      <c r="CA41" s="2">
        <f t="shared" si="7"/>
        <v>12188.571428571428</v>
      </c>
      <c r="CC41" s="41">
        <f t="shared" si="11"/>
        <v>0.6163424124513619</v>
      </c>
      <c r="CD41" s="41">
        <f t="shared" si="12"/>
        <v>0.33385214007782105</v>
      </c>
      <c r="CE41" s="41">
        <f t="shared" si="13"/>
        <v>4.9805447470817124E-2</v>
      </c>
      <c r="CH41" s="2">
        <v>34</v>
      </c>
      <c r="CI41" s="2">
        <f>求节点(节奏总纲!R$4:R$363,BW$8:BW$367,$CH41)</f>
        <v>0</v>
      </c>
      <c r="CJ41" s="2">
        <f>求节点(节奏总纲!S$4:S$363,BX$8:BX$367,$CH41)</f>
        <v>0</v>
      </c>
      <c r="CK41" s="2">
        <f>求节点(节奏总纲!T$4:T$363,BY$8:BY$367,$CH41)</f>
        <v>0</v>
      </c>
      <c r="CL41" s="2">
        <f>求节点(节奏总纲!U$4:U$363,BZ$8:BZ$367,$CH41)</f>
        <v>0</v>
      </c>
      <c r="CM41" s="2">
        <f>求节点(节奏总纲!V$4:V$363,CA$8:CA$367,$CH41)</f>
        <v>0</v>
      </c>
    </row>
    <row r="42" spans="22:91" x14ac:dyDescent="0.2">
      <c r="V42" s="2">
        <v>35</v>
      </c>
      <c r="W42" s="2">
        <f t="shared" si="8"/>
        <v>1414.2857142857142</v>
      </c>
      <c r="X42" s="2">
        <f t="shared" si="8"/>
        <v>2757.1428571428573</v>
      </c>
      <c r="Y42" s="2">
        <f t="shared" si="9"/>
        <v>2757.1428571428573</v>
      </c>
      <c r="Z42" s="2">
        <f t="shared" ref="Z42:AA42" si="52">Y42</f>
        <v>2757.1428571428573</v>
      </c>
      <c r="AA42" s="2">
        <f t="shared" si="52"/>
        <v>2757.1428571428573</v>
      </c>
      <c r="AQ42" s="2">
        <v>35</v>
      </c>
      <c r="AR42" s="2">
        <f t="shared" si="47"/>
        <v>766.07142857142856</v>
      </c>
      <c r="AS42" s="2">
        <f t="shared" si="47"/>
        <v>1817.8571428571429</v>
      </c>
      <c r="AT42" s="2">
        <f t="shared" si="47"/>
        <v>2678.5714285714284</v>
      </c>
      <c r="AU42" s="2">
        <f t="shared" si="47"/>
        <v>4017.8571428571427</v>
      </c>
      <c r="AV42" s="2">
        <f t="shared" si="47"/>
        <v>7535.7142857142853</v>
      </c>
      <c r="BK42" s="2">
        <v>35</v>
      </c>
      <c r="BL42" s="2">
        <f t="shared" si="48"/>
        <v>114.28571428571429</v>
      </c>
      <c r="BM42" s="2">
        <f t="shared" si="48"/>
        <v>200</v>
      </c>
      <c r="BN42" s="2">
        <f t="shared" si="48"/>
        <v>314.28571428571428</v>
      </c>
      <c r="BO42" s="2">
        <f t="shared" si="48"/>
        <v>542.85714285714289</v>
      </c>
      <c r="BP42" s="2">
        <f t="shared" si="48"/>
        <v>4942.8571428571431</v>
      </c>
      <c r="BV42" s="2">
        <v>35</v>
      </c>
      <c r="BW42" s="2">
        <f t="shared" si="3"/>
        <v>2294.6428571428569</v>
      </c>
      <c r="BX42" s="2">
        <f t="shared" si="4"/>
        <v>4775</v>
      </c>
      <c r="BY42" s="2">
        <f t="shared" si="5"/>
        <v>5750.0000000000009</v>
      </c>
      <c r="BZ42" s="2">
        <f t="shared" si="6"/>
        <v>7317.8571428571431</v>
      </c>
      <c r="CA42" s="2">
        <f t="shared" si="7"/>
        <v>15235.714285714286</v>
      </c>
      <c r="CC42" s="41">
        <f t="shared" si="11"/>
        <v>0.6163424124513619</v>
      </c>
      <c r="CD42" s="41">
        <f t="shared" si="12"/>
        <v>0.33385214007782105</v>
      </c>
      <c r="CE42" s="41">
        <f t="shared" si="13"/>
        <v>4.9805447470817131E-2</v>
      </c>
      <c r="CH42" s="2">
        <v>35</v>
      </c>
      <c r="CI42" s="2">
        <f>求节点(节奏总纲!R$4:R$363,BW$8:BW$367,$CH42)</f>
        <v>0</v>
      </c>
      <c r="CJ42" s="2">
        <f>求节点(节奏总纲!S$4:S$363,BX$8:BX$367,$CH42)</f>
        <v>0</v>
      </c>
      <c r="CK42" s="2">
        <f>求节点(节奏总纲!T$4:T$363,BY$8:BY$367,$CH42)</f>
        <v>0</v>
      </c>
      <c r="CL42" s="2">
        <f>求节点(节奏总纲!U$4:U$363,BZ$8:BZ$367,$CH42)</f>
        <v>0</v>
      </c>
      <c r="CM42" s="2">
        <f>求节点(节奏总纲!V$4:V$363,CA$8:CA$367,$CH42)</f>
        <v>0</v>
      </c>
    </row>
    <row r="43" spans="22:91" x14ac:dyDescent="0.2">
      <c r="V43" s="2">
        <v>36</v>
      </c>
      <c r="W43" s="2">
        <f t="shared" si="8"/>
        <v>1697.1428571428571</v>
      </c>
      <c r="X43" s="2">
        <f t="shared" si="8"/>
        <v>3308.5714285714284</v>
      </c>
      <c r="Y43" s="2">
        <f t="shared" si="9"/>
        <v>3308.5714285714284</v>
      </c>
      <c r="Z43" s="2">
        <f t="shared" ref="Z43:AA43" si="53">Y43</f>
        <v>3308.5714285714284</v>
      </c>
      <c r="AA43" s="2">
        <f t="shared" si="53"/>
        <v>3308.5714285714284</v>
      </c>
      <c r="AQ43" s="2">
        <v>36</v>
      </c>
      <c r="AR43" s="2">
        <f t="shared" si="47"/>
        <v>919.28571428571433</v>
      </c>
      <c r="AS43" s="2">
        <f t="shared" si="47"/>
        <v>2181.4285714285716</v>
      </c>
      <c r="AT43" s="2">
        <f t="shared" si="47"/>
        <v>3214.2857142857142</v>
      </c>
      <c r="AU43" s="2">
        <f t="shared" si="47"/>
        <v>4821.4285714285716</v>
      </c>
      <c r="AV43" s="2">
        <f t="shared" si="47"/>
        <v>9042.8571428571431</v>
      </c>
      <c r="BK43" s="2">
        <v>36</v>
      </c>
      <c r="BL43" s="2">
        <f t="shared" si="48"/>
        <v>137.14285714285714</v>
      </c>
      <c r="BM43" s="2">
        <f t="shared" si="48"/>
        <v>240</v>
      </c>
      <c r="BN43" s="2">
        <f t="shared" si="48"/>
        <v>377.14285714285717</v>
      </c>
      <c r="BO43" s="2">
        <f t="shared" si="48"/>
        <v>651.42857142857144</v>
      </c>
      <c r="BP43" s="2">
        <f t="shared" si="48"/>
        <v>5931.4285714285716</v>
      </c>
      <c r="BV43" s="2">
        <v>36</v>
      </c>
      <c r="BW43" s="2">
        <f t="shared" si="3"/>
        <v>2753.5714285714289</v>
      </c>
      <c r="BX43" s="2">
        <f t="shared" si="4"/>
        <v>5730</v>
      </c>
      <c r="BY43" s="2">
        <f t="shared" si="5"/>
        <v>6900</v>
      </c>
      <c r="BZ43" s="2">
        <f t="shared" si="6"/>
        <v>8781.4285714285706</v>
      </c>
      <c r="CA43" s="2">
        <f t="shared" si="7"/>
        <v>18282.857142857145</v>
      </c>
      <c r="CC43" s="41">
        <f t="shared" si="11"/>
        <v>0.61634241245136179</v>
      </c>
      <c r="CD43" s="41">
        <f t="shared" si="12"/>
        <v>0.33385214007782099</v>
      </c>
      <c r="CE43" s="41">
        <f t="shared" si="13"/>
        <v>4.980544747081711E-2</v>
      </c>
      <c r="CH43" s="2">
        <v>36</v>
      </c>
      <c r="CI43" s="2">
        <f>求节点(节奏总纲!R$4:R$363,BW$8:BW$367,$CH43)</f>
        <v>0</v>
      </c>
      <c r="CJ43" s="2">
        <f>求节点(节奏总纲!S$4:S$363,BX$8:BX$367,$CH43)</f>
        <v>0</v>
      </c>
      <c r="CK43" s="2">
        <f>求节点(节奏总纲!T$4:T$363,BY$8:BY$367,$CH43)</f>
        <v>0</v>
      </c>
      <c r="CL43" s="2">
        <f>求节点(节奏总纲!U$4:U$363,BZ$8:BZ$367,$CH43)</f>
        <v>0</v>
      </c>
      <c r="CM43" s="2">
        <f>求节点(节奏总纲!V$4:V$363,CA$8:CA$367,$CH43)</f>
        <v>0</v>
      </c>
    </row>
    <row r="44" spans="22:91" x14ac:dyDescent="0.2">
      <c r="V44" s="2">
        <v>37</v>
      </c>
      <c r="W44" s="2">
        <f t="shared" si="8"/>
        <v>1980</v>
      </c>
      <c r="X44" s="2">
        <f t="shared" si="8"/>
        <v>3860</v>
      </c>
      <c r="Y44" s="2">
        <f t="shared" si="9"/>
        <v>3860</v>
      </c>
      <c r="Z44" s="2">
        <f t="shared" ref="Z44:AA44" si="54">Y44</f>
        <v>3860</v>
      </c>
      <c r="AA44" s="2">
        <f t="shared" si="54"/>
        <v>3860</v>
      </c>
      <c r="AQ44" s="2">
        <v>37</v>
      </c>
      <c r="AR44" s="2">
        <f t="shared" si="47"/>
        <v>1072.5</v>
      </c>
      <c r="AS44" s="2">
        <f t="shared" si="47"/>
        <v>2545</v>
      </c>
      <c r="AT44" s="2">
        <f t="shared" si="47"/>
        <v>3750</v>
      </c>
      <c r="AU44" s="2">
        <f t="shared" si="47"/>
        <v>5625</v>
      </c>
      <c r="AV44" s="2">
        <f t="shared" si="47"/>
        <v>10550</v>
      </c>
      <c r="BK44" s="2">
        <v>37</v>
      </c>
      <c r="BL44" s="2">
        <f t="shared" si="48"/>
        <v>160</v>
      </c>
      <c r="BM44" s="2">
        <f t="shared" si="48"/>
        <v>280</v>
      </c>
      <c r="BN44" s="2">
        <f t="shared" si="48"/>
        <v>440</v>
      </c>
      <c r="BO44" s="2">
        <f t="shared" si="48"/>
        <v>760</v>
      </c>
      <c r="BP44" s="2">
        <f t="shared" si="48"/>
        <v>6920</v>
      </c>
      <c r="BV44" s="2">
        <v>37</v>
      </c>
      <c r="BW44" s="2">
        <f t="shared" si="3"/>
        <v>3212.5</v>
      </c>
      <c r="BX44" s="2">
        <f t="shared" si="4"/>
        <v>6685</v>
      </c>
      <c r="BY44" s="2">
        <f t="shared" si="5"/>
        <v>8050</v>
      </c>
      <c r="BZ44" s="2">
        <f t="shared" si="6"/>
        <v>10245</v>
      </c>
      <c r="CA44" s="2">
        <f t="shared" si="7"/>
        <v>21330</v>
      </c>
      <c r="CC44" s="41">
        <f t="shared" si="11"/>
        <v>0.6163424124513619</v>
      </c>
      <c r="CD44" s="41">
        <f t="shared" si="12"/>
        <v>0.33385214007782099</v>
      </c>
      <c r="CE44" s="41">
        <f t="shared" si="13"/>
        <v>4.9805447470817124E-2</v>
      </c>
      <c r="CH44" s="2">
        <v>37</v>
      </c>
      <c r="CI44" s="2">
        <f>求节点(节奏总纲!R$4:R$363,BW$8:BW$367,$CH44)</f>
        <v>0</v>
      </c>
      <c r="CJ44" s="2">
        <f>求节点(节奏总纲!S$4:S$363,BX$8:BX$367,$CH44)</f>
        <v>0</v>
      </c>
      <c r="CK44" s="2">
        <f>求节点(节奏总纲!T$4:T$363,BY$8:BY$367,$CH44)</f>
        <v>0</v>
      </c>
      <c r="CL44" s="2">
        <f>求节点(节奏总纲!U$4:U$363,BZ$8:BZ$367,$CH44)</f>
        <v>0</v>
      </c>
      <c r="CM44" s="2">
        <f>求节点(节奏总纲!V$4:V$363,CA$8:CA$367,$CH44)</f>
        <v>0</v>
      </c>
    </row>
    <row r="45" spans="22:91" x14ac:dyDescent="0.2">
      <c r="V45" s="2">
        <v>38</v>
      </c>
      <c r="W45" s="2">
        <f t="shared" si="8"/>
        <v>2262.8571428571427</v>
      </c>
      <c r="X45" s="2">
        <f t="shared" si="8"/>
        <v>4411.4285714285716</v>
      </c>
      <c r="Y45" s="2">
        <f t="shared" si="9"/>
        <v>4411.4285714285716</v>
      </c>
      <c r="Z45" s="2">
        <f t="shared" ref="Z45:AA45" si="55">Y45</f>
        <v>4411.4285714285716</v>
      </c>
      <c r="AA45" s="2">
        <f t="shared" si="55"/>
        <v>4411.4285714285716</v>
      </c>
      <c r="AQ45" s="2">
        <v>38</v>
      </c>
      <c r="AR45" s="2">
        <f t="shared" si="47"/>
        <v>1225.7142857142858</v>
      </c>
      <c r="AS45" s="2">
        <f t="shared" si="47"/>
        <v>2908.5714285714284</v>
      </c>
      <c r="AT45" s="2">
        <f t="shared" si="47"/>
        <v>4285.7142857142853</v>
      </c>
      <c r="AU45" s="2">
        <f t="shared" si="47"/>
        <v>6428.5714285714284</v>
      </c>
      <c r="AV45" s="2">
        <f t="shared" si="47"/>
        <v>12057.142857142857</v>
      </c>
      <c r="BK45" s="2">
        <v>38</v>
      </c>
      <c r="BL45" s="2">
        <f t="shared" si="48"/>
        <v>182.85714285714286</v>
      </c>
      <c r="BM45" s="2">
        <f t="shared" si="48"/>
        <v>320</v>
      </c>
      <c r="BN45" s="2">
        <f t="shared" si="48"/>
        <v>502.85714285714283</v>
      </c>
      <c r="BO45" s="2">
        <f t="shared" si="48"/>
        <v>868.57142857142856</v>
      </c>
      <c r="BP45" s="2">
        <f t="shared" si="48"/>
        <v>7908.5714285714284</v>
      </c>
      <c r="BV45" s="2">
        <v>38</v>
      </c>
      <c r="BW45" s="2">
        <f t="shared" si="3"/>
        <v>3671.4285714285711</v>
      </c>
      <c r="BX45" s="2">
        <f t="shared" si="4"/>
        <v>7640</v>
      </c>
      <c r="BY45" s="2">
        <f t="shared" si="5"/>
        <v>9200</v>
      </c>
      <c r="BZ45" s="2">
        <f t="shared" si="6"/>
        <v>11708.571428571429</v>
      </c>
      <c r="CA45" s="2">
        <f t="shared" si="7"/>
        <v>24377.142857142855</v>
      </c>
      <c r="CC45" s="41">
        <f t="shared" si="11"/>
        <v>0.6163424124513619</v>
      </c>
      <c r="CD45" s="41">
        <f t="shared" si="12"/>
        <v>0.33385214007782105</v>
      </c>
      <c r="CE45" s="41">
        <f t="shared" si="13"/>
        <v>4.9805447470817124E-2</v>
      </c>
      <c r="CH45" s="2">
        <v>38</v>
      </c>
      <c r="CI45" s="2">
        <f>求节点(节奏总纲!R$4:R$363,BW$8:BW$367,$CH45)</f>
        <v>0</v>
      </c>
      <c r="CJ45" s="2">
        <f>求节点(节奏总纲!S$4:S$363,BX$8:BX$367,$CH45)</f>
        <v>0</v>
      </c>
      <c r="CK45" s="2">
        <f>求节点(节奏总纲!T$4:T$363,BY$8:BY$367,$CH45)</f>
        <v>0</v>
      </c>
      <c r="CL45" s="2">
        <f>求节点(节奏总纲!U$4:U$363,BZ$8:BZ$367,$CH45)</f>
        <v>0</v>
      </c>
      <c r="CM45" s="2">
        <f>求节点(节奏总纲!V$4:V$363,CA$8:CA$367,$CH45)</f>
        <v>0</v>
      </c>
    </row>
    <row r="46" spans="22:91" x14ac:dyDescent="0.2">
      <c r="V46" s="2">
        <v>39</v>
      </c>
      <c r="W46" s="2">
        <f t="shared" si="8"/>
        <v>2545.7142857142858</v>
      </c>
      <c r="X46" s="2">
        <f t="shared" si="8"/>
        <v>4962.8571428571431</v>
      </c>
      <c r="Y46" s="2">
        <f t="shared" si="9"/>
        <v>4962.8571428571431</v>
      </c>
      <c r="Z46" s="2">
        <f t="shared" ref="Z46:AA46" si="56">Y46</f>
        <v>4962.8571428571431</v>
      </c>
      <c r="AA46" s="2">
        <f t="shared" si="56"/>
        <v>4962.8571428571431</v>
      </c>
      <c r="AQ46" s="2">
        <v>39</v>
      </c>
      <c r="AR46" s="2">
        <f t="shared" si="47"/>
        <v>1378.9285714285713</v>
      </c>
      <c r="AS46" s="2">
        <f t="shared" si="47"/>
        <v>3272.1428571428573</v>
      </c>
      <c r="AT46" s="2">
        <f t="shared" si="47"/>
        <v>4821.4285714285716</v>
      </c>
      <c r="AU46" s="2">
        <f t="shared" si="47"/>
        <v>7232.1428571428569</v>
      </c>
      <c r="AV46" s="2">
        <f t="shared" si="47"/>
        <v>13564.285714285714</v>
      </c>
      <c r="BK46" s="2">
        <v>39</v>
      </c>
      <c r="BL46" s="2">
        <f t="shared" si="48"/>
        <v>205.71428571428572</v>
      </c>
      <c r="BM46" s="2">
        <f t="shared" si="48"/>
        <v>360</v>
      </c>
      <c r="BN46" s="2">
        <f t="shared" si="48"/>
        <v>565.71428571428567</v>
      </c>
      <c r="BO46" s="2">
        <f t="shared" si="48"/>
        <v>977.14285714285711</v>
      </c>
      <c r="BP46" s="2">
        <f t="shared" si="48"/>
        <v>8897.1428571428569</v>
      </c>
      <c r="BV46" s="2">
        <v>39</v>
      </c>
      <c r="BW46" s="2">
        <f t="shared" si="3"/>
        <v>4130.3571428571422</v>
      </c>
      <c r="BX46" s="2">
        <f t="shared" si="4"/>
        <v>8595</v>
      </c>
      <c r="BY46" s="2">
        <f t="shared" si="5"/>
        <v>10350</v>
      </c>
      <c r="BZ46" s="2">
        <f t="shared" si="6"/>
        <v>13172.142857142857</v>
      </c>
      <c r="CA46" s="2">
        <f t="shared" si="7"/>
        <v>27424.28571428571</v>
      </c>
      <c r="CC46" s="41">
        <f t="shared" si="11"/>
        <v>0.61634241245136201</v>
      </c>
      <c r="CD46" s="41">
        <f t="shared" si="12"/>
        <v>0.33385214007782105</v>
      </c>
      <c r="CE46" s="41">
        <f t="shared" si="13"/>
        <v>4.9805447470817131E-2</v>
      </c>
      <c r="CH46" s="2">
        <v>39</v>
      </c>
      <c r="CI46" s="2">
        <f>求节点(节奏总纲!R$4:R$363,BW$8:BW$367,$CH46)</f>
        <v>0</v>
      </c>
      <c r="CJ46" s="2">
        <f>求节点(节奏总纲!S$4:S$363,BX$8:BX$367,$CH46)</f>
        <v>0</v>
      </c>
      <c r="CK46" s="2">
        <f>求节点(节奏总纲!T$4:T$363,BY$8:BY$367,$CH46)</f>
        <v>0</v>
      </c>
      <c r="CL46" s="2">
        <f>求节点(节奏总纲!U$4:U$363,BZ$8:BZ$367,$CH46)</f>
        <v>0</v>
      </c>
      <c r="CM46" s="2">
        <f>求节点(节奏总纲!V$4:V$363,CA$8:CA$367,$CH46)</f>
        <v>0</v>
      </c>
    </row>
    <row r="47" spans="22:91" x14ac:dyDescent="0.2">
      <c r="V47" s="2">
        <v>40</v>
      </c>
      <c r="W47" s="2">
        <f t="shared" si="8"/>
        <v>2828.5714285714284</v>
      </c>
      <c r="X47" s="2">
        <f t="shared" si="8"/>
        <v>5514.2857142857147</v>
      </c>
      <c r="Y47" s="2">
        <f t="shared" si="9"/>
        <v>5514.2857142857147</v>
      </c>
      <c r="Z47" s="2">
        <f t="shared" ref="Z47:AA47" si="57">Y47</f>
        <v>5514.2857142857147</v>
      </c>
      <c r="AA47" s="2">
        <f t="shared" si="57"/>
        <v>5514.2857142857147</v>
      </c>
      <c r="AQ47" s="2">
        <v>40</v>
      </c>
      <c r="AR47" s="2">
        <f t="shared" si="47"/>
        <v>1532.1428571428571</v>
      </c>
      <c r="AS47" s="2">
        <f t="shared" si="47"/>
        <v>3635.7142857142858</v>
      </c>
      <c r="AT47" s="2">
        <f t="shared" si="47"/>
        <v>5357.1428571428569</v>
      </c>
      <c r="AU47" s="2">
        <f t="shared" si="47"/>
        <v>8035.7142857142853</v>
      </c>
      <c r="AV47" s="2">
        <f t="shared" si="47"/>
        <v>15071.428571428571</v>
      </c>
      <c r="BK47" s="2">
        <v>40</v>
      </c>
      <c r="BL47" s="2">
        <f t="shared" si="48"/>
        <v>228.57142857142858</v>
      </c>
      <c r="BM47" s="2">
        <f t="shared" si="48"/>
        <v>400</v>
      </c>
      <c r="BN47" s="2">
        <f t="shared" si="48"/>
        <v>628.57142857142856</v>
      </c>
      <c r="BO47" s="2">
        <f t="shared" si="48"/>
        <v>1085.7142857142858</v>
      </c>
      <c r="BP47" s="2">
        <f t="shared" si="48"/>
        <v>9885.7142857142862</v>
      </c>
      <c r="BV47" s="2">
        <v>40</v>
      </c>
      <c r="BW47" s="2">
        <f t="shared" si="3"/>
        <v>4589.2857142857138</v>
      </c>
      <c r="BX47" s="2">
        <f t="shared" si="4"/>
        <v>9550</v>
      </c>
      <c r="BY47" s="2">
        <f t="shared" si="5"/>
        <v>11500.000000000002</v>
      </c>
      <c r="BZ47" s="2">
        <f t="shared" si="6"/>
        <v>14635.714285714286</v>
      </c>
      <c r="CA47" s="2">
        <f t="shared" si="7"/>
        <v>30471.428571428572</v>
      </c>
      <c r="CC47" s="41">
        <f t="shared" si="11"/>
        <v>0.6163424124513619</v>
      </c>
      <c r="CD47" s="41">
        <f t="shared" si="12"/>
        <v>0.33385214007782105</v>
      </c>
      <c r="CE47" s="41">
        <f t="shared" si="13"/>
        <v>4.9805447470817131E-2</v>
      </c>
      <c r="CH47" s="2">
        <v>40</v>
      </c>
      <c r="CI47" s="2">
        <f>求节点(节奏总纲!R$4:R$363,BW$8:BW$367,$CH47)</f>
        <v>0</v>
      </c>
      <c r="CJ47" s="2">
        <f>求节点(节奏总纲!S$4:S$363,BX$8:BX$367,$CH47)</f>
        <v>0</v>
      </c>
      <c r="CK47" s="2">
        <f>求节点(节奏总纲!T$4:T$363,BY$8:BY$367,$CH47)</f>
        <v>0</v>
      </c>
      <c r="CL47" s="2">
        <f>求节点(节奏总纲!U$4:U$363,BZ$8:BZ$367,$CH47)</f>
        <v>0</v>
      </c>
      <c r="CM47" s="2">
        <f>求节点(节奏总纲!V$4:V$363,CA$8:CA$367,$CH47)</f>
        <v>0</v>
      </c>
    </row>
    <row r="48" spans="22:91" x14ac:dyDescent="0.2">
      <c r="V48" s="2">
        <v>41</v>
      </c>
      <c r="W48" s="2">
        <f t="shared" si="8"/>
        <v>3111.4285714285716</v>
      </c>
      <c r="X48" s="2">
        <f t="shared" si="8"/>
        <v>6065.7142857142853</v>
      </c>
      <c r="Y48" s="2">
        <f t="shared" si="9"/>
        <v>6065.7142857142853</v>
      </c>
      <c r="Z48" s="2">
        <f t="shared" ref="Z48:AA48" si="58">Y48</f>
        <v>6065.7142857142853</v>
      </c>
      <c r="AA48" s="2">
        <f t="shared" si="58"/>
        <v>6065.7142857142853</v>
      </c>
      <c r="AQ48" s="2">
        <v>41</v>
      </c>
      <c r="AR48" s="2">
        <f t="shared" ref="AR48:AV57" si="59">MAX($AQ48-$C$2,0)*INDEX($AN$8:$AN$44,MATCH(AR$7,$AO$8:$AO$44,0))/$C$3</f>
        <v>1685.3571428571429</v>
      </c>
      <c r="AS48" s="2">
        <f t="shared" si="59"/>
        <v>3999.2857142857142</v>
      </c>
      <c r="AT48" s="2">
        <f t="shared" si="59"/>
        <v>5892.8571428571431</v>
      </c>
      <c r="AU48" s="2">
        <f t="shared" si="59"/>
        <v>8839.2857142857138</v>
      </c>
      <c r="AV48" s="2">
        <f t="shared" si="59"/>
        <v>16578.571428571428</v>
      </c>
      <c r="BK48" s="2">
        <v>41</v>
      </c>
      <c r="BL48" s="2">
        <f t="shared" ref="BL48:BP57" si="60">IFERROR(MAX($BK48-$C$2,0)*INDEX($BH$8:$BH$16,MATCH(BL$7,$BI$8:$BI$16,0))*$C$4/$C$3,BM48)</f>
        <v>251.42857142857142</v>
      </c>
      <c r="BM48" s="2">
        <f t="shared" si="60"/>
        <v>440</v>
      </c>
      <c r="BN48" s="2">
        <f t="shared" si="60"/>
        <v>691.42857142857144</v>
      </c>
      <c r="BO48" s="2">
        <f t="shared" si="60"/>
        <v>1194.2857142857142</v>
      </c>
      <c r="BP48" s="2">
        <f t="shared" si="60"/>
        <v>10874.285714285714</v>
      </c>
      <c r="BV48" s="2">
        <v>41</v>
      </c>
      <c r="BW48" s="2">
        <f t="shared" si="3"/>
        <v>5048.2142857142862</v>
      </c>
      <c r="BX48" s="2">
        <f t="shared" si="4"/>
        <v>10505</v>
      </c>
      <c r="BY48" s="2">
        <f t="shared" si="5"/>
        <v>12649.999999999998</v>
      </c>
      <c r="BZ48" s="2">
        <f t="shared" si="6"/>
        <v>16099.285714285714</v>
      </c>
      <c r="CA48" s="2">
        <f t="shared" si="7"/>
        <v>33518.571428571428</v>
      </c>
      <c r="CC48" s="41">
        <f t="shared" si="11"/>
        <v>0.61634241245136179</v>
      </c>
      <c r="CD48" s="41">
        <f t="shared" si="12"/>
        <v>0.33385214007782099</v>
      </c>
      <c r="CE48" s="41">
        <f t="shared" si="13"/>
        <v>4.980544747081711E-2</v>
      </c>
      <c r="CH48" s="2">
        <v>41</v>
      </c>
      <c r="CI48" s="2">
        <f>求节点(节奏总纲!R$4:R$363,BW$8:BW$367,$CH48)</f>
        <v>0</v>
      </c>
      <c r="CJ48" s="2">
        <f>求节点(节奏总纲!S$4:S$363,BX$8:BX$367,$CH48)</f>
        <v>0</v>
      </c>
      <c r="CK48" s="2">
        <f>求节点(节奏总纲!T$4:T$363,BY$8:BY$367,$CH48)</f>
        <v>0</v>
      </c>
      <c r="CL48" s="2">
        <f>求节点(节奏总纲!U$4:U$363,BZ$8:BZ$367,$CH48)</f>
        <v>0</v>
      </c>
      <c r="CM48" s="2">
        <f>求节点(节奏总纲!V$4:V$363,CA$8:CA$367,$CH48)</f>
        <v>0</v>
      </c>
    </row>
    <row r="49" spans="22:91" x14ac:dyDescent="0.2">
      <c r="V49" s="2">
        <v>42</v>
      </c>
      <c r="W49" s="2">
        <f t="shared" si="8"/>
        <v>3394.2857142857142</v>
      </c>
      <c r="X49" s="2">
        <f t="shared" si="8"/>
        <v>6617.1428571428569</v>
      </c>
      <c r="Y49" s="2">
        <f t="shared" si="9"/>
        <v>6617.1428571428569</v>
      </c>
      <c r="Z49" s="2">
        <f t="shared" ref="Z49:AA49" si="61">Y49</f>
        <v>6617.1428571428569</v>
      </c>
      <c r="AA49" s="2">
        <f t="shared" si="61"/>
        <v>6617.1428571428569</v>
      </c>
      <c r="AQ49" s="2">
        <v>42</v>
      </c>
      <c r="AR49" s="2">
        <f t="shared" si="59"/>
        <v>1838.5714285714287</v>
      </c>
      <c r="AS49" s="2">
        <f t="shared" si="59"/>
        <v>4362.8571428571431</v>
      </c>
      <c r="AT49" s="2">
        <f t="shared" si="59"/>
        <v>6428.5714285714284</v>
      </c>
      <c r="AU49" s="2">
        <f t="shared" si="59"/>
        <v>9642.8571428571431</v>
      </c>
      <c r="AV49" s="2">
        <f t="shared" si="59"/>
        <v>18085.714285714286</v>
      </c>
      <c r="BK49" s="2">
        <v>42</v>
      </c>
      <c r="BL49" s="2">
        <f t="shared" si="60"/>
        <v>274.28571428571428</v>
      </c>
      <c r="BM49" s="2">
        <f t="shared" si="60"/>
        <v>480</v>
      </c>
      <c r="BN49" s="2">
        <f t="shared" si="60"/>
        <v>754.28571428571433</v>
      </c>
      <c r="BO49" s="2">
        <f t="shared" si="60"/>
        <v>1302.8571428571429</v>
      </c>
      <c r="BP49" s="2">
        <f t="shared" si="60"/>
        <v>11862.857142857143</v>
      </c>
      <c r="BV49" s="2">
        <v>42</v>
      </c>
      <c r="BW49" s="2">
        <f t="shared" si="3"/>
        <v>5507.1428571428578</v>
      </c>
      <c r="BX49" s="2">
        <f t="shared" si="4"/>
        <v>11460</v>
      </c>
      <c r="BY49" s="2">
        <f t="shared" si="5"/>
        <v>13800</v>
      </c>
      <c r="BZ49" s="2">
        <f t="shared" si="6"/>
        <v>17562.857142857141</v>
      </c>
      <c r="CA49" s="2">
        <f t="shared" si="7"/>
        <v>36565.71428571429</v>
      </c>
      <c r="CC49" s="41">
        <f t="shared" si="11"/>
        <v>0.61634241245136179</v>
      </c>
      <c r="CD49" s="41">
        <f t="shared" si="12"/>
        <v>0.33385214007782099</v>
      </c>
      <c r="CE49" s="41">
        <f t="shared" si="13"/>
        <v>4.980544747081711E-2</v>
      </c>
      <c r="CH49" s="2">
        <v>42</v>
      </c>
      <c r="CI49" s="2">
        <f>求节点(节奏总纲!R$4:R$363,BW$8:BW$367,$CH49)</f>
        <v>0</v>
      </c>
      <c r="CJ49" s="2">
        <f>求节点(节奏总纲!S$4:S$363,BX$8:BX$367,$CH49)</f>
        <v>0</v>
      </c>
      <c r="CK49" s="2">
        <f>求节点(节奏总纲!T$4:T$363,BY$8:BY$367,$CH49)</f>
        <v>0</v>
      </c>
      <c r="CL49" s="2">
        <f>求节点(节奏总纲!U$4:U$363,BZ$8:BZ$367,$CH49)</f>
        <v>0</v>
      </c>
      <c r="CM49" s="2">
        <f>求节点(节奏总纲!V$4:V$363,CA$8:CA$367,$CH49)</f>
        <v>0</v>
      </c>
    </row>
    <row r="50" spans="22:91" x14ac:dyDescent="0.2">
      <c r="V50" s="2">
        <v>43</v>
      </c>
      <c r="W50" s="2">
        <f t="shared" si="8"/>
        <v>3677.1428571428573</v>
      </c>
      <c r="X50" s="2">
        <f t="shared" si="8"/>
        <v>7168.5714285714284</v>
      </c>
      <c r="Y50" s="2">
        <f t="shared" si="9"/>
        <v>7168.5714285714284</v>
      </c>
      <c r="Z50" s="2">
        <f t="shared" ref="Z50:AA50" si="62">Y50</f>
        <v>7168.5714285714284</v>
      </c>
      <c r="AA50" s="2">
        <f t="shared" si="62"/>
        <v>7168.5714285714284</v>
      </c>
      <c r="AQ50" s="2">
        <v>43</v>
      </c>
      <c r="AR50" s="2">
        <f t="shared" si="59"/>
        <v>1991.7857142857142</v>
      </c>
      <c r="AS50" s="2">
        <f t="shared" si="59"/>
        <v>4726.4285714285716</v>
      </c>
      <c r="AT50" s="2">
        <f t="shared" si="59"/>
        <v>6964.2857142857147</v>
      </c>
      <c r="AU50" s="2">
        <f t="shared" si="59"/>
        <v>10446.428571428571</v>
      </c>
      <c r="AV50" s="2">
        <f t="shared" si="59"/>
        <v>19592.857142857141</v>
      </c>
      <c r="BK50" s="2">
        <v>43</v>
      </c>
      <c r="BL50" s="2">
        <f t="shared" si="60"/>
        <v>297.14285714285717</v>
      </c>
      <c r="BM50" s="2">
        <f t="shared" si="60"/>
        <v>520</v>
      </c>
      <c r="BN50" s="2">
        <f t="shared" si="60"/>
        <v>817.14285714285711</v>
      </c>
      <c r="BO50" s="2">
        <f t="shared" si="60"/>
        <v>1411.4285714285713</v>
      </c>
      <c r="BP50" s="2">
        <f t="shared" si="60"/>
        <v>12851.428571428571</v>
      </c>
      <c r="BV50" s="2">
        <v>43</v>
      </c>
      <c r="BW50" s="2">
        <f t="shared" si="3"/>
        <v>5966.0714285714284</v>
      </c>
      <c r="BX50" s="2">
        <f t="shared" si="4"/>
        <v>12415</v>
      </c>
      <c r="BY50" s="2">
        <f t="shared" si="5"/>
        <v>14950</v>
      </c>
      <c r="BZ50" s="2">
        <f t="shared" si="6"/>
        <v>19026.428571428572</v>
      </c>
      <c r="CA50" s="2">
        <f t="shared" si="7"/>
        <v>39612.857142857138</v>
      </c>
      <c r="CC50" s="41">
        <f t="shared" si="11"/>
        <v>0.6163424124513619</v>
      </c>
      <c r="CD50" s="41">
        <f t="shared" si="12"/>
        <v>0.33385214007782099</v>
      </c>
      <c r="CE50" s="41">
        <f t="shared" si="13"/>
        <v>4.9805447470817124E-2</v>
      </c>
      <c r="CH50" s="2">
        <v>43</v>
      </c>
      <c r="CI50" s="2">
        <f>求节点(节奏总纲!R$4:R$363,BW$8:BW$367,$CH50)</f>
        <v>0</v>
      </c>
      <c r="CJ50" s="2">
        <f>求节点(节奏总纲!S$4:S$363,BX$8:BX$367,$CH50)</f>
        <v>0</v>
      </c>
      <c r="CK50" s="2">
        <f>求节点(节奏总纲!T$4:T$363,BY$8:BY$367,$CH50)</f>
        <v>0</v>
      </c>
      <c r="CL50" s="2">
        <f>求节点(节奏总纲!U$4:U$363,BZ$8:BZ$367,$CH50)</f>
        <v>0</v>
      </c>
      <c r="CM50" s="2">
        <f>求节点(节奏总纲!V$4:V$363,CA$8:CA$367,$CH50)</f>
        <v>0</v>
      </c>
    </row>
    <row r="51" spans="22:91" x14ac:dyDescent="0.2">
      <c r="V51" s="2">
        <v>44</v>
      </c>
      <c r="W51" s="2">
        <f t="shared" si="8"/>
        <v>3960</v>
      </c>
      <c r="X51" s="2">
        <f t="shared" si="8"/>
        <v>7720</v>
      </c>
      <c r="Y51" s="2">
        <f t="shared" si="9"/>
        <v>7720</v>
      </c>
      <c r="Z51" s="2">
        <f t="shared" ref="Z51:AA51" si="63">Y51</f>
        <v>7720</v>
      </c>
      <c r="AA51" s="2">
        <f t="shared" si="63"/>
        <v>7720</v>
      </c>
      <c r="AQ51" s="2">
        <v>44</v>
      </c>
      <c r="AR51" s="2">
        <f t="shared" si="59"/>
        <v>2145</v>
      </c>
      <c r="AS51" s="2">
        <f t="shared" si="59"/>
        <v>5090</v>
      </c>
      <c r="AT51" s="2">
        <f t="shared" si="59"/>
        <v>7500</v>
      </c>
      <c r="AU51" s="2">
        <f t="shared" si="59"/>
        <v>11250</v>
      </c>
      <c r="AV51" s="2">
        <f t="shared" si="59"/>
        <v>21100</v>
      </c>
      <c r="BK51" s="2">
        <v>44</v>
      </c>
      <c r="BL51" s="2">
        <f t="shared" si="60"/>
        <v>320</v>
      </c>
      <c r="BM51" s="2">
        <f t="shared" si="60"/>
        <v>560</v>
      </c>
      <c r="BN51" s="2">
        <f t="shared" si="60"/>
        <v>880</v>
      </c>
      <c r="BO51" s="2">
        <f t="shared" si="60"/>
        <v>1520</v>
      </c>
      <c r="BP51" s="2">
        <f t="shared" si="60"/>
        <v>13840</v>
      </c>
      <c r="BV51" s="2">
        <v>44</v>
      </c>
      <c r="BW51" s="2">
        <f t="shared" si="3"/>
        <v>6425</v>
      </c>
      <c r="BX51" s="2">
        <f t="shared" si="4"/>
        <v>13370</v>
      </c>
      <c r="BY51" s="2">
        <f t="shared" si="5"/>
        <v>16100</v>
      </c>
      <c r="BZ51" s="2">
        <f t="shared" si="6"/>
        <v>20490</v>
      </c>
      <c r="CA51" s="2">
        <f t="shared" si="7"/>
        <v>42660</v>
      </c>
      <c r="CC51" s="41">
        <f t="shared" si="11"/>
        <v>0.6163424124513619</v>
      </c>
      <c r="CD51" s="41">
        <f t="shared" si="12"/>
        <v>0.33385214007782099</v>
      </c>
      <c r="CE51" s="41">
        <f t="shared" si="13"/>
        <v>4.9805447470817124E-2</v>
      </c>
      <c r="CH51" s="2">
        <v>44</v>
      </c>
      <c r="CI51" s="2">
        <f>求节点(节奏总纲!R$4:R$363,BW$8:BW$367,$CH51)</f>
        <v>0</v>
      </c>
      <c r="CJ51" s="2">
        <f>求节点(节奏总纲!S$4:S$363,BX$8:BX$367,$CH51)</f>
        <v>0</v>
      </c>
      <c r="CK51" s="2">
        <f>求节点(节奏总纲!T$4:T$363,BY$8:BY$367,$CH51)</f>
        <v>0</v>
      </c>
      <c r="CL51" s="2">
        <f>求节点(节奏总纲!U$4:U$363,BZ$8:BZ$367,$CH51)</f>
        <v>0</v>
      </c>
      <c r="CM51" s="2">
        <f>求节点(节奏总纲!V$4:V$363,CA$8:CA$367,$CH51)</f>
        <v>0</v>
      </c>
    </row>
    <row r="52" spans="22:91" x14ac:dyDescent="0.2">
      <c r="V52" s="2">
        <v>45</v>
      </c>
      <c r="W52" s="2">
        <f t="shared" si="8"/>
        <v>4242.8571428571431</v>
      </c>
      <c r="X52" s="2">
        <f t="shared" si="8"/>
        <v>8271.4285714285706</v>
      </c>
      <c r="Y52" s="2">
        <f t="shared" si="9"/>
        <v>8271.4285714285706</v>
      </c>
      <c r="Z52" s="2">
        <f t="shared" ref="Z52:AA52" si="64">Y52</f>
        <v>8271.4285714285706</v>
      </c>
      <c r="AA52" s="2">
        <f t="shared" si="64"/>
        <v>8271.4285714285706</v>
      </c>
      <c r="AQ52" s="2">
        <v>45</v>
      </c>
      <c r="AR52" s="2">
        <f t="shared" si="59"/>
        <v>2298.2142857142858</v>
      </c>
      <c r="AS52" s="2">
        <f t="shared" si="59"/>
        <v>5453.5714285714284</v>
      </c>
      <c r="AT52" s="2">
        <f t="shared" si="59"/>
        <v>8035.7142857142853</v>
      </c>
      <c r="AU52" s="2">
        <f t="shared" si="59"/>
        <v>12053.571428571429</v>
      </c>
      <c r="AV52" s="2">
        <f t="shared" si="59"/>
        <v>22607.142857142859</v>
      </c>
      <c r="BK52" s="2">
        <v>45</v>
      </c>
      <c r="BL52" s="2">
        <f t="shared" si="60"/>
        <v>342.85714285714283</v>
      </c>
      <c r="BM52" s="2">
        <f t="shared" si="60"/>
        <v>600</v>
      </c>
      <c r="BN52" s="2">
        <f t="shared" si="60"/>
        <v>942.85714285714289</v>
      </c>
      <c r="BO52" s="2">
        <f t="shared" si="60"/>
        <v>1628.5714285714287</v>
      </c>
      <c r="BP52" s="2">
        <f t="shared" si="60"/>
        <v>14828.571428571429</v>
      </c>
      <c r="BV52" s="2">
        <v>45</v>
      </c>
      <c r="BW52" s="2">
        <f t="shared" si="3"/>
        <v>6883.9285714285725</v>
      </c>
      <c r="BX52" s="2">
        <f t="shared" si="4"/>
        <v>14325</v>
      </c>
      <c r="BY52" s="2">
        <f t="shared" si="5"/>
        <v>17249.999999999996</v>
      </c>
      <c r="BZ52" s="2">
        <f t="shared" si="6"/>
        <v>21953.571428571428</v>
      </c>
      <c r="CA52" s="2">
        <f t="shared" si="7"/>
        <v>45707.142857142855</v>
      </c>
      <c r="CC52" s="41">
        <f t="shared" si="11"/>
        <v>0.61634241245136179</v>
      </c>
      <c r="CD52" s="41">
        <f t="shared" si="12"/>
        <v>0.33385214007782099</v>
      </c>
      <c r="CE52" s="41">
        <f t="shared" si="13"/>
        <v>4.980544747081711E-2</v>
      </c>
      <c r="CH52" s="2">
        <v>45</v>
      </c>
      <c r="CI52" s="2">
        <f>求节点(节奏总纲!R$4:R$363,BW$8:BW$367,$CH52)</f>
        <v>0</v>
      </c>
      <c r="CJ52" s="2">
        <f>求节点(节奏总纲!S$4:S$363,BX$8:BX$367,$CH52)</f>
        <v>0</v>
      </c>
      <c r="CK52" s="2">
        <f>求节点(节奏总纲!T$4:T$363,BY$8:BY$367,$CH52)</f>
        <v>0</v>
      </c>
      <c r="CL52" s="2">
        <f>求节点(节奏总纲!U$4:U$363,BZ$8:BZ$367,$CH52)</f>
        <v>0</v>
      </c>
      <c r="CM52" s="2">
        <f>求节点(节奏总纲!V$4:V$363,CA$8:CA$367,$CH52)</f>
        <v>0</v>
      </c>
    </row>
    <row r="53" spans="22:91" x14ac:dyDescent="0.2">
      <c r="V53" s="2">
        <v>46</v>
      </c>
      <c r="W53" s="2">
        <f t="shared" si="8"/>
        <v>4525.7142857142853</v>
      </c>
      <c r="X53" s="2">
        <f t="shared" si="8"/>
        <v>8822.8571428571431</v>
      </c>
      <c r="Y53" s="2">
        <f t="shared" si="9"/>
        <v>8822.8571428571431</v>
      </c>
      <c r="Z53" s="2">
        <f t="shared" ref="Z53:AA53" si="65">Y53</f>
        <v>8822.8571428571431</v>
      </c>
      <c r="AA53" s="2">
        <f t="shared" si="65"/>
        <v>8822.8571428571431</v>
      </c>
      <c r="AQ53" s="2">
        <v>46</v>
      </c>
      <c r="AR53" s="2">
        <f t="shared" si="59"/>
        <v>2451.4285714285716</v>
      </c>
      <c r="AS53" s="2">
        <f t="shared" si="59"/>
        <v>5817.1428571428569</v>
      </c>
      <c r="AT53" s="2">
        <f t="shared" si="59"/>
        <v>8571.4285714285706</v>
      </c>
      <c r="AU53" s="2">
        <f t="shared" si="59"/>
        <v>12857.142857142857</v>
      </c>
      <c r="AV53" s="2">
        <f t="shared" si="59"/>
        <v>24114.285714285714</v>
      </c>
      <c r="BK53" s="2">
        <v>46</v>
      </c>
      <c r="BL53" s="2">
        <f t="shared" si="60"/>
        <v>365.71428571428572</v>
      </c>
      <c r="BM53" s="2">
        <f t="shared" si="60"/>
        <v>640</v>
      </c>
      <c r="BN53" s="2">
        <f t="shared" si="60"/>
        <v>1005.7142857142857</v>
      </c>
      <c r="BO53" s="2">
        <f t="shared" si="60"/>
        <v>1737.1428571428571</v>
      </c>
      <c r="BP53" s="2">
        <f t="shared" si="60"/>
        <v>15817.142857142857</v>
      </c>
      <c r="BV53" s="2">
        <v>46</v>
      </c>
      <c r="BW53" s="2">
        <f t="shared" si="3"/>
        <v>7342.8571428571422</v>
      </c>
      <c r="BX53" s="2">
        <f t="shared" si="4"/>
        <v>15280</v>
      </c>
      <c r="BY53" s="2">
        <f t="shared" si="5"/>
        <v>18400</v>
      </c>
      <c r="BZ53" s="2">
        <f t="shared" si="6"/>
        <v>23417.142857142859</v>
      </c>
      <c r="CA53" s="2">
        <f t="shared" si="7"/>
        <v>48754.28571428571</v>
      </c>
      <c r="CC53" s="41">
        <f t="shared" si="11"/>
        <v>0.6163424124513619</v>
      </c>
      <c r="CD53" s="41">
        <f t="shared" si="12"/>
        <v>0.33385214007782105</v>
      </c>
      <c r="CE53" s="41">
        <f t="shared" si="13"/>
        <v>4.9805447470817124E-2</v>
      </c>
      <c r="CH53" s="2">
        <v>46</v>
      </c>
      <c r="CI53" s="2">
        <f>求节点(节奏总纲!R$4:R$363,BW$8:BW$367,$CH53)</f>
        <v>0</v>
      </c>
      <c r="CJ53" s="2">
        <f>求节点(节奏总纲!S$4:S$363,BX$8:BX$367,$CH53)</f>
        <v>0</v>
      </c>
      <c r="CK53" s="2">
        <f>求节点(节奏总纲!T$4:T$363,BY$8:BY$367,$CH53)</f>
        <v>0</v>
      </c>
      <c r="CL53" s="2">
        <f>求节点(节奏总纲!U$4:U$363,BZ$8:BZ$367,$CH53)</f>
        <v>0</v>
      </c>
      <c r="CM53" s="2">
        <f>求节点(节奏总纲!V$4:V$363,CA$8:CA$367,$CH53)</f>
        <v>0</v>
      </c>
    </row>
    <row r="54" spans="22:91" x14ac:dyDescent="0.2">
      <c r="V54" s="2">
        <v>47</v>
      </c>
      <c r="W54" s="2">
        <f t="shared" si="8"/>
        <v>4808.5714285714284</v>
      </c>
      <c r="X54" s="2">
        <f t="shared" si="8"/>
        <v>9374.2857142857138</v>
      </c>
      <c r="Y54" s="2">
        <f t="shared" si="9"/>
        <v>9374.2857142857138</v>
      </c>
      <c r="Z54" s="2">
        <f t="shared" ref="Z54:AA54" si="66">Y54</f>
        <v>9374.2857142857138</v>
      </c>
      <c r="AA54" s="2">
        <f t="shared" si="66"/>
        <v>9374.2857142857138</v>
      </c>
      <c r="AQ54" s="2">
        <v>47</v>
      </c>
      <c r="AR54" s="2">
        <f t="shared" si="59"/>
        <v>2604.6428571428573</v>
      </c>
      <c r="AS54" s="2">
        <f t="shared" si="59"/>
        <v>6180.7142857142853</v>
      </c>
      <c r="AT54" s="2">
        <f t="shared" si="59"/>
        <v>9107.1428571428569</v>
      </c>
      <c r="AU54" s="2">
        <f t="shared" si="59"/>
        <v>13660.714285714286</v>
      </c>
      <c r="AV54" s="2">
        <f t="shared" si="59"/>
        <v>25621.428571428572</v>
      </c>
      <c r="BK54" s="2">
        <v>47</v>
      </c>
      <c r="BL54" s="2">
        <f t="shared" si="60"/>
        <v>388.57142857142856</v>
      </c>
      <c r="BM54" s="2">
        <f t="shared" si="60"/>
        <v>680</v>
      </c>
      <c r="BN54" s="2">
        <f t="shared" si="60"/>
        <v>1068.5714285714287</v>
      </c>
      <c r="BO54" s="2">
        <f t="shared" si="60"/>
        <v>1845.7142857142858</v>
      </c>
      <c r="BP54" s="2">
        <f t="shared" si="60"/>
        <v>16805.714285714286</v>
      </c>
      <c r="BV54" s="2">
        <v>47</v>
      </c>
      <c r="BW54" s="2">
        <f t="shared" si="3"/>
        <v>7801.7857142857147</v>
      </c>
      <c r="BX54" s="2">
        <f t="shared" si="4"/>
        <v>16235</v>
      </c>
      <c r="BY54" s="2">
        <f t="shared" si="5"/>
        <v>19550</v>
      </c>
      <c r="BZ54" s="2">
        <f t="shared" si="6"/>
        <v>24880.714285714286</v>
      </c>
      <c r="CA54" s="2">
        <f t="shared" si="7"/>
        <v>51801.42857142858</v>
      </c>
      <c r="CC54" s="41">
        <f t="shared" si="11"/>
        <v>0.61634241245136179</v>
      </c>
      <c r="CD54" s="41">
        <f t="shared" si="12"/>
        <v>0.33385214007782105</v>
      </c>
      <c r="CE54" s="41">
        <f t="shared" si="13"/>
        <v>4.9805447470817117E-2</v>
      </c>
      <c r="CH54" s="2">
        <v>47</v>
      </c>
      <c r="CI54" s="2">
        <f>求节点(节奏总纲!R$4:R$363,BW$8:BW$367,$CH54)</f>
        <v>0</v>
      </c>
      <c r="CJ54" s="2">
        <f>求节点(节奏总纲!S$4:S$363,BX$8:BX$367,$CH54)</f>
        <v>0</v>
      </c>
      <c r="CK54" s="2">
        <f>求节点(节奏总纲!T$4:T$363,BY$8:BY$367,$CH54)</f>
        <v>0</v>
      </c>
      <c r="CL54" s="2">
        <f>求节点(节奏总纲!U$4:U$363,BZ$8:BZ$367,$CH54)</f>
        <v>0</v>
      </c>
      <c r="CM54" s="2">
        <f>求节点(节奏总纲!V$4:V$363,CA$8:CA$367,$CH54)</f>
        <v>0</v>
      </c>
    </row>
    <row r="55" spans="22:91" x14ac:dyDescent="0.2">
      <c r="V55" s="2">
        <v>48</v>
      </c>
      <c r="W55" s="2">
        <f t="shared" si="8"/>
        <v>5091.4285714285716</v>
      </c>
      <c r="X55" s="2">
        <f t="shared" si="8"/>
        <v>9925.7142857142862</v>
      </c>
      <c r="Y55" s="2">
        <f t="shared" si="9"/>
        <v>9925.7142857142862</v>
      </c>
      <c r="Z55" s="2">
        <f t="shared" ref="Z55:AA55" si="67">Y55</f>
        <v>9925.7142857142862</v>
      </c>
      <c r="AA55" s="2">
        <f t="shared" si="67"/>
        <v>9925.7142857142862</v>
      </c>
      <c r="AQ55" s="2">
        <v>48</v>
      </c>
      <c r="AR55" s="2">
        <f t="shared" si="59"/>
        <v>2757.8571428571427</v>
      </c>
      <c r="AS55" s="2">
        <f t="shared" si="59"/>
        <v>6544.2857142857147</v>
      </c>
      <c r="AT55" s="2">
        <f t="shared" si="59"/>
        <v>9642.8571428571431</v>
      </c>
      <c r="AU55" s="2">
        <f t="shared" si="59"/>
        <v>14464.285714285714</v>
      </c>
      <c r="AV55" s="2">
        <f t="shared" si="59"/>
        <v>27128.571428571428</v>
      </c>
      <c r="BK55" s="2">
        <v>48</v>
      </c>
      <c r="BL55" s="2">
        <f t="shared" si="60"/>
        <v>411.42857142857144</v>
      </c>
      <c r="BM55" s="2">
        <f t="shared" si="60"/>
        <v>720</v>
      </c>
      <c r="BN55" s="2">
        <f t="shared" si="60"/>
        <v>1131.4285714285713</v>
      </c>
      <c r="BO55" s="2">
        <f t="shared" si="60"/>
        <v>1954.2857142857142</v>
      </c>
      <c r="BP55" s="2">
        <f t="shared" si="60"/>
        <v>17794.285714285714</v>
      </c>
      <c r="BV55" s="2">
        <v>48</v>
      </c>
      <c r="BW55" s="2">
        <f t="shared" si="3"/>
        <v>8260.7142857142844</v>
      </c>
      <c r="BX55" s="2">
        <f t="shared" si="4"/>
        <v>17190</v>
      </c>
      <c r="BY55" s="2">
        <f t="shared" si="5"/>
        <v>20700</v>
      </c>
      <c r="BZ55" s="2">
        <f t="shared" si="6"/>
        <v>26344.285714285714</v>
      </c>
      <c r="CA55" s="2">
        <f t="shared" si="7"/>
        <v>54848.57142857142</v>
      </c>
      <c r="CC55" s="41">
        <f t="shared" si="11"/>
        <v>0.61634241245136201</v>
      </c>
      <c r="CD55" s="41">
        <f t="shared" si="12"/>
        <v>0.33385214007782105</v>
      </c>
      <c r="CE55" s="41">
        <f t="shared" si="13"/>
        <v>4.9805447470817131E-2</v>
      </c>
      <c r="CH55" s="2">
        <v>48</v>
      </c>
      <c r="CI55" s="2">
        <f>求节点(节奏总纲!R$4:R$363,BW$8:BW$367,$CH55)</f>
        <v>0</v>
      </c>
      <c r="CJ55" s="2">
        <f>求节点(节奏总纲!S$4:S$363,BX$8:BX$367,$CH55)</f>
        <v>0</v>
      </c>
      <c r="CK55" s="2">
        <f>求节点(节奏总纲!T$4:T$363,BY$8:BY$367,$CH55)</f>
        <v>0</v>
      </c>
      <c r="CL55" s="2">
        <f>求节点(节奏总纲!U$4:U$363,BZ$8:BZ$367,$CH55)</f>
        <v>0</v>
      </c>
      <c r="CM55" s="2">
        <f>求节点(节奏总纲!V$4:V$363,CA$8:CA$367,$CH55)</f>
        <v>0</v>
      </c>
    </row>
    <row r="56" spans="22:91" x14ac:dyDescent="0.2">
      <c r="V56" s="2">
        <v>49</v>
      </c>
      <c r="W56" s="2">
        <f t="shared" si="8"/>
        <v>5374.2857142857147</v>
      </c>
      <c r="X56" s="2">
        <f t="shared" si="8"/>
        <v>10477.142857142857</v>
      </c>
      <c r="Y56" s="2">
        <f t="shared" si="9"/>
        <v>10477.142857142857</v>
      </c>
      <c r="Z56" s="2">
        <f t="shared" ref="Z56:AA56" si="68">Y56</f>
        <v>10477.142857142857</v>
      </c>
      <c r="AA56" s="2">
        <f t="shared" si="68"/>
        <v>10477.142857142857</v>
      </c>
      <c r="AQ56" s="2">
        <v>49</v>
      </c>
      <c r="AR56" s="2">
        <f t="shared" si="59"/>
        <v>2911.0714285714284</v>
      </c>
      <c r="AS56" s="2">
        <f t="shared" si="59"/>
        <v>6907.8571428571431</v>
      </c>
      <c r="AT56" s="2">
        <f t="shared" si="59"/>
        <v>10178.571428571429</v>
      </c>
      <c r="AU56" s="2">
        <f t="shared" si="59"/>
        <v>15267.857142857143</v>
      </c>
      <c r="AV56" s="2">
        <f t="shared" si="59"/>
        <v>28635.714285714286</v>
      </c>
      <c r="BK56" s="2">
        <v>49</v>
      </c>
      <c r="BL56" s="2">
        <f t="shared" si="60"/>
        <v>434.28571428571428</v>
      </c>
      <c r="BM56" s="2">
        <f t="shared" si="60"/>
        <v>760</v>
      </c>
      <c r="BN56" s="2">
        <f t="shared" si="60"/>
        <v>1194.2857142857142</v>
      </c>
      <c r="BO56" s="2">
        <f t="shared" si="60"/>
        <v>2062.8571428571427</v>
      </c>
      <c r="BP56" s="2">
        <f t="shared" si="60"/>
        <v>18782.857142857141</v>
      </c>
      <c r="BV56" s="2">
        <v>49</v>
      </c>
      <c r="BW56" s="2">
        <f t="shared" si="3"/>
        <v>8719.6428571428569</v>
      </c>
      <c r="BX56" s="2">
        <f t="shared" si="4"/>
        <v>18145</v>
      </c>
      <c r="BY56" s="2">
        <f t="shared" si="5"/>
        <v>21850</v>
      </c>
      <c r="BZ56" s="2">
        <f t="shared" si="6"/>
        <v>27807.857142857141</v>
      </c>
      <c r="CA56" s="2">
        <f t="shared" si="7"/>
        <v>57895.71428571429</v>
      </c>
      <c r="CC56" s="41">
        <f t="shared" si="11"/>
        <v>0.6163424124513619</v>
      </c>
      <c r="CD56" s="41">
        <f t="shared" si="12"/>
        <v>0.33385214007782099</v>
      </c>
      <c r="CE56" s="41">
        <f t="shared" si="13"/>
        <v>4.9805447470817124E-2</v>
      </c>
      <c r="CH56" s="2">
        <v>49</v>
      </c>
      <c r="CI56" s="2">
        <f>求节点(节奏总纲!R$4:R$363,BW$8:BW$367,$CH56)</f>
        <v>0</v>
      </c>
      <c r="CJ56" s="2">
        <f>求节点(节奏总纲!S$4:S$363,BX$8:BX$367,$CH56)</f>
        <v>0</v>
      </c>
      <c r="CK56" s="2">
        <f>求节点(节奏总纲!T$4:T$363,BY$8:BY$367,$CH56)</f>
        <v>0</v>
      </c>
      <c r="CL56" s="2">
        <f>求节点(节奏总纲!U$4:U$363,BZ$8:BZ$367,$CH56)</f>
        <v>0</v>
      </c>
      <c r="CM56" s="2">
        <f>求节点(节奏总纲!V$4:V$363,CA$8:CA$367,$CH56)</f>
        <v>0</v>
      </c>
    </row>
    <row r="57" spans="22:91" x14ac:dyDescent="0.2">
      <c r="V57" s="2">
        <v>50</v>
      </c>
      <c r="W57" s="2">
        <f t="shared" si="8"/>
        <v>5657.1428571428569</v>
      </c>
      <c r="X57" s="2">
        <f t="shared" si="8"/>
        <v>11028.571428571429</v>
      </c>
      <c r="Y57" s="2">
        <f t="shared" si="9"/>
        <v>11028.571428571429</v>
      </c>
      <c r="Z57" s="2">
        <f t="shared" ref="Z57:AA57" si="69">Y57</f>
        <v>11028.571428571429</v>
      </c>
      <c r="AA57" s="2">
        <f t="shared" si="69"/>
        <v>11028.571428571429</v>
      </c>
      <c r="AQ57" s="2">
        <v>50</v>
      </c>
      <c r="AR57" s="2">
        <f t="shared" si="59"/>
        <v>3064.2857142857142</v>
      </c>
      <c r="AS57" s="2">
        <f t="shared" si="59"/>
        <v>7271.4285714285716</v>
      </c>
      <c r="AT57" s="2">
        <f t="shared" si="59"/>
        <v>10714.285714285714</v>
      </c>
      <c r="AU57" s="2">
        <f t="shared" si="59"/>
        <v>16071.428571428571</v>
      </c>
      <c r="AV57" s="2">
        <f t="shared" si="59"/>
        <v>30142.857142857141</v>
      </c>
      <c r="BK57" s="2">
        <v>50</v>
      </c>
      <c r="BL57" s="2">
        <f t="shared" si="60"/>
        <v>457.14285714285717</v>
      </c>
      <c r="BM57" s="2">
        <f t="shared" si="60"/>
        <v>800</v>
      </c>
      <c r="BN57" s="2">
        <f t="shared" si="60"/>
        <v>1257.1428571428571</v>
      </c>
      <c r="BO57" s="2">
        <f t="shared" si="60"/>
        <v>2171.4285714285716</v>
      </c>
      <c r="BP57" s="2">
        <f t="shared" si="60"/>
        <v>19771.428571428572</v>
      </c>
      <c r="BV57" s="2">
        <v>50</v>
      </c>
      <c r="BW57" s="2">
        <f t="shared" si="3"/>
        <v>9178.5714285714275</v>
      </c>
      <c r="BX57" s="2">
        <f t="shared" si="4"/>
        <v>19100</v>
      </c>
      <c r="BY57" s="2">
        <f t="shared" si="5"/>
        <v>23000.000000000004</v>
      </c>
      <c r="BZ57" s="2">
        <f t="shared" si="6"/>
        <v>29271.428571428572</v>
      </c>
      <c r="CA57" s="2">
        <f t="shared" si="7"/>
        <v>60942.857142857145</v>
      </c>
      <c r="CC57" s="41">
        <f t="shared" si="11"/>
        <v>0.6163424124513619</v>
      </c>
      <c r="CD57" s="41">
        <f t="shared" si="12"/>
        <v>0.33385214007782105</v>
      </c>
      <c r="CE57" s="41">
        <f t="shared" si="13"/>
        <v>4.9805447470817131E-2</v>
      </c>
      <c r="CH57" s="2">
        <v>50</v>
      </c>
      <c r="CI57" s="2">
        <f>求节点(节奏总纲!R$4:R$363,BW$8:BW$367,$CH57)</f>
        <v>458.92857142857139</v>
      </c>
      <c r="CJ57" s="2">
        <f>求节点(节奏总纲!S$4:S$363,BX$8:BX$367,$CH57)</f>
        <v>0</v>
      </c>
      <c r="CK57" s="2">
        <f>求节点(节奏总纲!T$4:T$363,BY$8:BY$367,$CH57)</f>
        <v>0</v>
      </c>
      <c r="CL57" s="2">
        <f>求节点(节奏总纲!U$4:U$363,BZ$8:BZ$367,$CH57)</f>
        <v>0</v>
      </c>
      <c r="CM57" s="2">
        <f>求节点(节奏总纲!V$4:V$363,CA$8:CA$367,$CH57)</f>
        <v>0</v>
      </c>
    </row>
    <row r="58" spans="22:91" x14ac:dyDescent="0.2">
      <c r="V58" s="2">
        <v>51</v>
      </c>
      <c r="W58" s="2">
        <f t="shared" si="8"/>
        <v>5940</v>
      </c>
      <c r="X58" s="2">
        <f t="shared" si="8"/>
        <v>11580</v>
      </c>
      <c r="Y58" s="2">
        <f t="shared" si="9"/>
        <v>11580</v>
      </c>
      <c r="Z58" s="2">
        <f t="shared" ref="Z58:AA58" si="70">Y58</f>
        <v>11580</v>
      </c>
      <c r="AA58" s="2">
        <f t="shared" si="70"/>
        <v>11580</v>
      </c>
      <c r="AQ58" s="2">
        <v>51</v>
      </c>
      <c r="AR58" s="2">
        <f t="shared" ref="AR58:AV67" si="71">MAX($AQ58-$C$2,0)*INDEX($AN$8:$AN$44,MATCH(AR$7,$AO$8:$AO$44,0))/$C$3</f>
        <v>3217.5</v>
      </c>
      <c r="AS58" s="2">
        <f t="shared" si="71"/>
        <v>7635</v>
      </c>
      <c r="AT58" s="2">
        <f t="shared" si="71"/>
        <v>11250</v>
      </c>
      <c r="AU58" s="2">
        <f t="shared" si="71"/>
        <v>16875</v>
      </c>
      <c r="AV58" s="2">
        <f t="shared" si="71"/>
        <v>31650</v>
      </c>
      <c r="BK58" s="2">
        <v>51</v>
      </c>
      <c r="BL58" s="2">
        <f t="shared" ref="BL58:BP67" si="72">IFERROR(MAX($BK58-$C$2,0)*INDEX($BH$8:$BH$16,MATCH(BL$7,$BI$8:$BI$16,0))*$C$4/$C$3,BM58)</f>
        <v>480</v>
      </c>
      <c r="BM58" s="2">
        <f t="shared" si="72"/>
        <v>840</v>
      </c>
      <c r="BN58" s="2">
        <f t="shared" si="72"/>
        <v>1320</v>
      </c>
      <c r="BO58" s="2">
        <f t="shared" si="72"/>
        <v>2280</v>
      </c>
      <c r="BP58" s="2">
        <f t="shared" si="72"/>
        <v>20760</v>
      </c>
      <c r="BV58" s="2">
        <v>51</v>
      </c>
      <c r="BW58" s="2">
        <f t="shared" si="3"/>
        <v>9637.5</v>
      </c>
      <c r="BX58" s="2">
        <f t="shared" si="4"/>
        <v>20055</v>
      </c>
      <c r="BY58" s="2">
        <f t="shared" si="5"/>
        <v>24150</v>
      </c>
      <c r="BZ58" s="2">
        <f t="shared" si="6"/>
        <v>30735</v>
      </c>
      <c r="CA58" s="2">
        <f t="shared" si="7"/>
        <v>63990</v>
      </c>
      <c r="CC58" s="41">
        <f t="shared" si="11"/>
        <v>0.6163424124513619</v>
      </c>
      <c r="CD58" s="41">
        <f t="shared" si="12"/>
        <v>0.33385214007782099</v>
      </c>
      <c r="CE58" s="41">
        <f t="shared" si="13"/>
        <v>4.9805447470817124E-2</v>
      </c>
      <c r="CH58" s="2">
        <v>51</v>
      </c>
      <c r="CI58" s="2">
        <f>求节点(节奏总纲!R$4:R$363,BW$8:BW$367,$CH58)</f>
        <v>1519.7037901493541</v>
      </c>
      <c r="CJ58" s="2">
        <f>求节点(节奏总纲!S$4:S$363,BX$8:BX$367,$CH58)</f>
        <v>0</v>
      </c>
      <c r="CK58" s="2">
        <f>求节点(节奏总纲!T$4:T$363,BY$8:BY$367,$CH58)</f>
        <v>0</v>
      </c>
      <c r="CL58" s="2">
        <f>求节点(节奏总纲!U$4:U$363,BZ$8:BZ$367,$CH58)</f>
        <v>0</v>
      </c>
      <c r="CM58" s="2">
        <f>求节点(节奏总纲!V$4:V$363,CA$8:CA$367,$CH58)</f>
        <v>0</v>
      </c>
    </row>
    <row r="59" spans="22:91" x14ac:dyDescent="0.2">
      <c r="V59" s="2">
        <v>52</v>
      </c>
      <c r="W59" s="2">
        <f t="shared" si="8"/>
        <v>6222.8571428571431</v>
      </c>
      <c r="X59" s="2">
        <f t="shared" si="8"/>
        <v>12131.428571428571</v>
      </c>
      <c r="Y59" s="2">
        <f t="shared" si="9"/>
        <v>12131.428571428571</v>
      </c>
      <c r="Z59" s="2">
        <f t="shared" ref="Z59:AA59" si="73">Y59</f>
        <v>12131.428571428571</v>
      </c>
      <c r="AA59" s="2">
        <f t="shared" si="73"/>
        <v>12131.428571428571</v>
      </c>
      <c r="AQ59" s="2">
        <v>52</v>
      </c>
      <c r="AR59" s="2">
        <f t="shared" si="71"/>
        <v>3370.7142857142858</v>
      </c>
      <c r="AS59" s="2">
        <f t="shared" si="71"/>
        <v>7998.5714285714284</v>
      </c>
      <c r="AT59" s="2">
        <f t="shared" si="71"/>
        <v>11785.714285714286</v>
      </c>
      <c r="AU59" s="2">
        <f t="shared" si="71"/>
        <v>17678.571428571428</v>
      </c>
      <c r="AV59" s="2">
        <f t="shared" si="71"/>
        <v>33157.142857142855</v>
      </c>
      <c r="BK59" s="2">
        <v>52</v>
      </c>
      <c r="BL59" s="2">
        <f t="shared" si="72"/>
        <v>502.85714285714283</v>
      </c>
      <c r="BM59" s="2">
        <f t="shared" si="72"/>
        <v>880</v>
      </c>
      <c r="BN59" s="2">
        <f t="shared" si="72"/>
        <v>1382.8571428571429</v>
      </c>
      <c r="BO59" s="2">
        <f t="shared" si="72"/>
        <v>2388.5714285714284</v>
      </c>
      <c r="BP59" s="2">
        <f t="shared" si="72"/>
        <v>21748.571428571428</v>
      </c>
      <c r="BV59" s="2">
        <v>52</v>
      </c>
      <c r="BW59" s="2">
        <f t="shared" si="3"/>
        <v>10096.428571428572</v>
      </c>
      <c r="BX59" s="2">
        <f t="shared" si="4"/>
        <v>21010</v>
      </c>
      <c r="BY59" s="2">
        <f t="shared" si="5"/>
        <v>25299.999999999996</v>
      </c>
      <c r="BZ59" s="2">
        <f t="shared" si="6"/>
        <v>32198.571428571428</v>
      </c>
      <c r="CA59" s="2">
        <f t="shared" si="7"/>
        <v>67037.142857142855</v>
      </c>
      <c r="CC59" s="41">
        <f t="shared" si="11"/>
        <v>0.61634241245136179</v>
      </c>
      <c r="CD59" s="41">
        <f t="shared" si="12"/>
        <v>0.33385214007782099</v>
      </c>
      <c r="CE59" s="41">
        <f t="shared" si="13"/>
        <v>4.980544747081711E-2</v>
      </c>
      <c r="CH59" s="2">
        <v>52</v>
      </c>
      <c r="CI59" s="2">
        <f>求节点(节奏总纲!R$4:R$363,BW$8:BW$367,$CH59)</f>
        <v>2648.3948086179998</v>
      </c>
      <c r="CJ59" s="2">
        <f>求节点(节奏总纲!S$4:S$363,BX$8:BX$367,$CH59)</f>
        <v>1038.8741095655912</v>
      </c>
      <c r="CK59" s="2">
        <f>求节点(节奏总纲!T$4:T$363,BY$8:BY$367,$CH59)</f>
        <v>0</v>
      </c>
      <c r="CL59" s="2">
        <f>求节点(节奏总纲!U$4:U$363,BZ$8:BZ$367,$CH59)</f>
        <v>0</v>
      </c>
      <c r="CM59" s="2">
        <f>求节点(节奏总纲!V$4:V$363,CA$8:CA$367,$CH59)</f>
        <v>0</v>
      </c>
    </row>
    <row r="60" spans="22:91" x14ac:dyDescent="0.2">
      <c r="V60" s="2">
        <v>53</v>
      </c>
      <c r="W60" s="2">
        <f t="shared" si="8"/>
        <v>6505.7142857142853</v>
      </c>
      <c r="X60" s="2">
        <f t="shared" si="8"/>
        <v>12682.857142857143</v>
      </c>
      <c r="Y60" s="2">
        <f t="shared" si="9"/>
        <v>12682.857142857143</v>
      </c>
      <c r="Z60" s="2">
        <f t="shared" ref="Z60:AA60" si="74">Y60</f>
        <v>12682.857142857143</v>
      </c>
      <c r="AA60" s="2">
        <f t="shared" si="74"/>
        <v>12682.857142857143</v>
      </c>
      <c r="AQ60" s="2">
        <v>53</v>
      </c>
      <c r="AR60" s="2">
        <f t="shared" si="71"/>
        <v>3523.9285714285716</v>
      </c>
      <c r="AS60" s="2">
        <f t="shared" si="71"/>
        <v>8362.1428571428569</v>
      </c>
      <c r="AT60" s="2">
        <f t="shared" si="71"/>
        <v>12321.428571428571</v>
      </c>
      <c r="AU60" s="2">
        <f t="shared" si="71"/>
        <v>18482.142857142859</v>
      </c>
      <c r="AV60" s="2">
        <f t="shared" si="71"/>
        <v>34664.285714285717</v>
      </c>
      <c r="BK60" s="2">
        <v>53</v>
      </c>
      <c r="BL60" s="2">
        <f t="shared" si="72"/>
        <v>525.71428571428567</v>
      </c>
      <c r="BM60" s="2">
        <f t="shared" si="72"/>
        <v>920</v>
      </c>
      <c r="BN60" s="2">
        <f t="shared" si="72"/>
        <v>1445.7142857142858</v>
      </c>
      <c r="BO60" s="2">
        <f t="shared" si="72"/>
        <v>2497.1428571428573</v>
      </c>
      <c r="BP60" s="2">
        <f t="shared" si="72"/>
        <v>22737.142857142859</v>
      </c>
      <c r="BV60" s="2">
        <v>53</v>
      </c>
      <c r="BW60" s="2">
        <f t="shared" si="3"/>
        <v>10555.357142857143</v>
      </c>
      <c r="BX60" s="2">
        <f t="shared" si="4"/>
        <v>21965</v>
      </c>
      <c r="BY60" s="2">
        <f t="shared" si="5"/>
        <v>26450</v>
      </c>
      <c r="BZ60" s="2">
        <f t="shared" si="6"/>
        <v>33662.142857142855</v>
      </c>
      <c r="CA60" s="2">
        <f t="shared" si="7"/>
        <v>70084.285714285725</v>
      </c>
      <c r="CC60" s="41">
        <f t="shared" si="11"/>
        <v>0.61634241245136179</v>
      </c>
      <c r="CD60" s="41">
        <f t="shared" si="12"/>
        <v>0.33385214007782099</v>
      </c>
      <c r="CE60" s="41">
        <f t="shared" si="13"/>
        <v>4.9805447470817117E-2</v>
      </c>
      <c r="CH60" s="2">
        <v>53</v>
      </c>
      <c r="CI60" s="2">
        <f>求节点(节奏总纲!R$4:R$363,BW$8:BW$367,$CH60)</f>
        <v>3861.1138993269233</v>
      </c>
      <c r="CJ60" s="2">
        <f>求节点(节奏总纲!S$4:S$363,BX$8:BX$367,$CH60)</f>
        <v>3290.4956728064371</v>
      </c>
      <c r="CK60" s="2">
        <f>求节点(节奏总纲!T$4:T$363,BY$8:BY$367,$CH60)</f>
        <v>0</v>
      </c>
      <c r="CL60" s="2">
        <f>求节点(节奏总纲!U$4:U$363,BZ$8:BZ$367,$CH60)</f>
        <v>0</v>
      </c>
      <c r="CM60" s="2">
        <f>求节点(节奏总纲!V$4:V$363,CA$8:CA$367,$CH60)</f>
        <v>0</v>
      </c>
    </row>
    <row r="61" spans="22:91" x14ac:dyDescent="0.2">
      <c r="V61" s="2">
        <v>54</v>
      </c>
      <c r="W61" s="2">
        <f t="shared" si="8"/>
        <v>6788.5714285714284</v>
      </c>
      <c r="X61" s="2">
        <f t="shared" si="8"/>
        <v>13234.285714285714</v>
      </c>
      <c r="Y61" s="2">
        <f t="shared" si="9"/>
        <v>13234.285714285714</v>
      </c>
      <c r="Z61" s="2">
        <f t="shared" ref="Z61:AA61" si="75">Y61</f>
        <v>13234.285714285714</v>
      </c>
      <c r="AA61" s="2">
        <f t="shared" si="75"/>
        <v>13234.285714285714</v>
      </c>
      <c r="AQ61" s="2">
        <v>54</v>
      </c>
      <c r="AR61" s="2">
        <f t="shared" si="71"/>
        <v>3677.1428571428573</v>
      </c>
      <c r="AS61" s="2">
        <f t="shared" si="71"/>
        <v>8725.7142857142862</v>
      </c>
      <c r="AT61" s="2">
        <f t="shared" si="71"/>
        <v>12857.142857142857</v>
      </c>
      <c r="AU61" s="2">
        <f t="shared" si="71"/>
        <v>19285.714285714286</v>
      </c>
      <c r="AV61" s="2">
        <f t="shared" si="71"/>
        <v>36171.428571428572</v>
      </c>
      <c r="BK61" s="2">
        <v>54</v>
      </c>
      <c r="BL61" s="2">
        <f t="shared" si="72"/>
        <v>548.57142857142856</v>
      </c>
      <c r="BM61" s="2">
        <f t="shared" si="72"/>
        <v>960</v>
      </c>
      <c r="BN61" s="2">
        <f t="shared" si="72"/>
        <v>1508.5714285714287</v>
      </c>
      <c r="BO61" s="2">
        <f t="shared" si="72"/>
        <v>2605.7142857142858</v>
      </c>
      <c r="BP61" s="2">
        <f t="shared" si="72"/>
        <v>23725.714285714286</v>
      </c>
      <c r="BV61" s="2">
        <v>54</v>
      </c>
      <c r="BW61" s="2">
        <f t="shared" si="3"/>
        <v>11014.285714285716</v>
      </c>
      <c r="BX61" s="2">
        <f t="shared" si="4"/>
        <v>22920</v>
      </c>
      <c r="BY61" s="2">
        <f t="shared" si="5"/>
        <v>27600</v>
      </c>
      <c r="BZ61" s="2">
        <f t="shared" si="6"/>
        <v>35125.714285714283</v>
      </c>
      <c r="CA61" s="2">
        <f t="shared" si="7"/>
        <v>73131.42857142858</v>
      </c>
      <c r="CC61" s="41">
        <f t="shared" si="11"/>
        <v>0.61634241245136179</v>
      </c>
      <c r="CD61" s="41">
        <f t="shared" si="12"/>
        <v>0.33385214007782099</v>
      </c>
      <c r="CE61" s="41">
        <f t="shared" si="13"/>
        <v>4.980544747081711E-2</v>
      </c>
      <c r="CH61" s="2">
        <v>54</v>
      </c>
      <c r="CI61" s="2">
        <f>求节点(节奏总纲!R$4:R$363,BW$8:BW$367,$CH61)</f>
        <v>5156.7698631994481</v>
      </c>
      <c r="CJ61" s="2">
        <f>求节点(节奏总纲!S$4:S$363,BX$8:BX$367,$CH61)</f>
        <v>5681.1166468536549</v>
      </c>
      <c r="CK61" s="2">
        <f>求节点(节奏总纲!T$4:T$363,BY$8:BY$367,$CH61)</f>
        <v>0</v>
      </c>
      <c r="CL61" s="2">
        <f>求节点(节奏总纲!U$4:U$363,BZ$8:BZ$367,$CH61)</f>
        <v>0</v>
      </c>
      <c r="CM61" s="2">
        <f>求节点(节奏总纲!V$4:V$363,CA$8:CA$367,$CH61)</f>
        <v>0</v>
      </c>
    </row>
    <row r="62" spans="22:91" x14ac:dyDescent="0.2">
      <c r="V62" s="2">
        <v>55</v>
      </c>
      <c r="W62" s="2">
        <f t="shared" si="8"/>
        <v>7071.4285714285716</v>
      </c>
      <c r="X62" s="2">
        <f t="shared" si="8"/>
        <v>13785.714285714286</v>
      </c>
      <c r="Y62" s="2">
        <f t="shared" si="9"/>
        <v>13785.714285714286</v>
      </c>
      <c r="Z62" s="2">
        <f t="shared" ref="Z62:AA62" si="76">Y62</f>
        <v>13785.714285714286</v>
      </c>
      <c r="AA62" s="2">
        <f t="shared" si="76"/>
        <v>13785.714285714286</v>
      </c>
      <c r="AQ62" s="2">
        <v>55</v>
      </c>
      <c r="AR62" s="2">
        <f t="shared" si="71"/>
        <v>3830.3571428571427</v>
      </c>
      <c r="AS62" s="2">
        <f t="shared" si="71"/>
        <v>9089.2857142857138</v>
      </c>
      <c r="AT62" s="2">
        <f t="shared" si="71"/>
        <v>13392.857142857143</v>
      </c>
      <c r="AU62" s="2">
        <f t="shared" si="71"/>
        <v>20089.285714285714</v>
      </c>
      <c r="AV62" s="2">
        <f t="shared" si="71"/>
        <v>37678.571428571428</v>
      </c>
      <c r="BK62" s="2">
        <v>55</v>
      </c>
      <c r="BL62" s="2">
        <f t="shared" si="72"/>
        <v>571.42857142857144</v>
      </c>
      <c r="BM62" s="2">
        <f t="shared" si="72"/>
        <v>1000</v>
      </c>
      <c r="BN62" s="2">
        <f t="shared" si="72"/>
        <v>1571.4285714285713</v>
      </c>
      <c r="BO62" s="2">
        <f t="shared" si="72"/>
        <v>2714.2857142857142</v>
      </c>
      <c r="BP62" s="2">
        <f t="shared" si="72"/>
        <v>24714.285714285714</v>
      </c>
      <c r="BV62" s="2">
        <v>55</v>
      </c>
      <c r="BW62" s="2">
        <f t="shared" si="3"/>
        <v>11473.214285714284</v>
      </c>
      <c r="BX62" s="2">
        <f t="shared" si="4"/>
        <v>23875</v>
      </c>
      <c r="BY62" s="2">
        <f t="shared" si="5"/>
        <v>28750</v>
      </c>
      <c r="BZ62" s="2">
        <f t="shared" si="6"/>
        <v>36589.285714285717</v>
      </c>
      <c r="CA62" s="2">
        <f t="shared" si="7"/>
        <v>76178.57142857142</v>
      </c>
      <c r="CC62" s="41">
        <f t="shared" si="11"/>
        <v>0.6163424124513619</v>
      </c>
      <c r="CD62" s="41">
        <f t="shared" si="12"/>
        <v>0.33385214007782105</v>
      </c>
      <c r="CE62" s="41">
        <f t="shared" si="13"/>
        <v>4.9805447470817131E-2</v>
      </c>
      <c r="CH62" s="2">
        <v>55</v>
      </c>
      <c r="CI62" s="2">
        <f>求节点(节奏总纲!R$4:R$363,BW$8:BW$367,$CH62)</f>
        <v>6548.093138656297</v>
      </c>
      <c r="CJ62" s="2">
        <f>求节点(节奏总纲!S$4:S$363,BX$8:BX$367,$CH62)</f>
        <v>8162.739651314514</v>
      </c>
      <c r="CK62" s="2">
        <f>求节点(节奏总纲!T$4:T$363,BY$8:BY$367,$CH62)</f>
        <v>1907.5835046895063</v>
      </c>
      <c r="CL62" s="2">
        <f>求节点(节奏总纲!U$4:U$363,BZ$8:BZ$367,$CH62)</f>
        <v>0</v>
      </c>
      <c r="CM62" s="2">
        <f>求节点(节奏总纲!V$4:V$363,CA$8:CA$367,$CH62)</f>
        <v>0</v>
      </c>
    </row>
    <row r="63" spans="22:91" x14ac:dyDescent="0.2">
      <c r="V63" s="2">
        <v>56</v>
      </c>
      <c r="W63" s="2">
        <f t="shared" si="8"/>
        <v>7354.2857142857147</v>
      </c>
      <c r="X63" s="2">
        <f t="shared" si="8"/>
        <v>14337.142857142857</v>
      </c>
      <c r="Y63" s="2">
        <f t="shared" si="9"/>
        <v>14337.142857142857</v>
      </c>
      <c r="Z63" s="2">
        <f t="shared" ref="Z63:AA63" si="77">Y63</f>
        <v>14337.142857142857</v>
      </c>
      <c r="AA63" s="2">
        <f t="shared" si="77"/>
        <v>14337.142857142857</v>
      </c>
      <c r="AQ63" s="2">
        <v>56</v>
      </c>
      <c r="AR63" s="2">
        <f t="shared" si="71"/>
        <v>3983.5714285714284</v>
      </c>
      <c r="AS63" s="2">
        <f t="shared" si="71"/>
        <v>9452.8571428571431</v>
      </c>
      <c r="AT63" s="2">
        <f t="shared" si="71"/>
        <v>13928.571428571429</v>
      </c>
      <c r="AU63" s="2">
        <f t="shared" si="71"/>
        <v>20892.857142857141</v>
      </c>
      <c r="AV63" s="2">
        <f t="shared" si="71"/>
        <v>39185.714285714283</v>
      </c>
      <c r="BK63" s="2">
        <v>56</v>
      </c>
      <c r="BL63" s="2">
        <f t="shared" si="72"/>
        <v>594.28571428571433</v>
      </c>
      <c r="BM63" s="2">
        <f t="shared" si="72"/>
        <v>1040</v>
      </c>
      <c r="BN63" s="2">
        <f t="shared" si="72"/>
        <v>1634.2857142857142</v>
      </c>
      <c r="BO63" s="2">
        <f t="shared" si="72"/>
        <v>2822.8571428571427</v>
      </c>
      <c r="BP63" s="2">
        <f t="shared" si="72"/>
        <v>25702.857142857141</v>
      </c>
      <c r="BV63" s="2">
        <v>56</v>
      </c>
      <c r="BW63" s="2">
        <f t="shared" si="3"/>
        <v>11932.142857142857</v>
      </c>
      <c r="BX63" s="2">
        <f t="shared" si="4"/>
        <v>24830</v>
      </c>
      <c r="BY63" s="2">
        <f t="shared" si="5"/>
        <v>29900</v>
      </c>
      <c r="BZ63" s="2">
        <f t="shared" si="6"/>
        <v>38052.857142857145</v>
      </c>
      <c r="CA63" s="2">
        <f t="shared" si="7"/>
        <v>79225.714285714275</v>
      </c>
      <c r="CC63" s="41">
        <f t="shared" si="11"/>
        <v>0.6163424124513619</v>
      </c>
      <c r="CD63" s="41">
        <f t="shared" si="12"/>
        <v>0.33385214007782099</v>
      </c>
      <c r="CE63" s="41">
        <f t="shared" si="13"/>
        <v>4.9805447470817124E-2</v>
      </c>
      <c r="CH63" s="2">
        <v>56</v>
      </c>
      <c r="CI63" s="2">
        <f>求节点(节奏总纲!R$4:R$363,BW$8:BW$367,$CH63)</f>
        <v>8040.5422767047139</v>
      </c>
      <c r="CJ63" s="2">
        <f>求节点(节奏总纲!S$4:S$363,BX$8:BX$367,$CH63)</f>
        <v>10787.642894594901</v>
      </c>
      <c r="CK63" s="2">
        <f>求节点(节奏总纲!T$4:T$363,BY$8:BY$367,$CH63)</f>
        <v>4480.4408113718546</v>
      </c>
      <c r="CL63" s="2">
        <f>求节点(节奏总纲!U$4:U$363,BZ$8:BZ$367,$CH63)</f>
        <v>0</v>
      </c>
      <c r="CM63" s="2">
        <f>求节点(节奏总纲!V$4:V$363,CA$8:CA$367,$CH63)</f>
        <v>0</v>
      </c>
    </row>
    <row r="64" spans="22:91" x14ac:dyDescent="0.2">
      <c r="V64" s="2">
        <v>57</v>
      </c>
      <c r="W64" s="2">
        <f t="shared" si="8"/>
        <v>7637.1428571428569</v>
      </c>
      <c r="X64" s="2">
        <f t="shared" si="8"/>
        <v>14888.571428571429</v>
      </c>
      <c r="Y64" s="2">
        <f t="shared" si="9"/>
        <v>14888.571428571429</v>
      </c>
      <c r="Z64" s="2">
        <f t="shared" ref="Z64:AA64" si="78">Y64</f>
        <v>14888.571428571429</v>
      </c>
      <c r="AA64" s="2">
        <f t="shared" si="78"/>
        <v>14888.571428571429</v>
      </c>
      <c r="AQ64" s="2">
        <v>57</v>
      </c>
      <c r="AR64" s="2">
        <f t="shared" si="71"/>
        <v>4136.7857142857147</v>
      </c>
      <c r="AS64" s="2">
        <f t="shared" si="71"/>
        <v>9816.4285714285706</v>
      </c>
      <c r="AT64" s="2">
        <f t="shared" si="71"/>
        <v>14464.285714285714</v>
      </c>
      <c r="AU64" s="2">
        <f t="shared" si="71"/>
        <v>21696.428571428572</v>
      </c>
      <c r="AV64" s="2">
        <f t="shared" si="71"/>
        <v>40692.857142857145</v>
      </c>
      <c r="BK64" s="2">
        <v>57</v>
      </c>
      <c r="BL64" s="2">
        <f t="shared" si="72"/>
        <v>617.14285714285711</v>
      </c>
      <c r="BM64" s="2">
        <f t="shared" si="72"/>
        <v>1080</v>
      </c>
      <c r="BN64" s="2">
        <f t="shared" si="72"/>
        <v>1697.1428571428571</v>
      </c>
      <c r="BO64" s="2">
        <f t="shared" si="72"/>
        <v>2931.4285714285716</v>
      </c>
      <c r="BP64" s="2">
        <f t="shared" si="72"/>
        <v>26691.428571428572</v>
      </c>
      <c r="BV64" s="2">
        <v>57</v>
      </c>
      <c r="BW64" s="2">
        <f t="shared" si="3"/>
        <v>12391.071428571429</v>
      </c>
      <c r="BX64" s="2">
        <f t="shared" si="4"/>
        <v>25785</v>
      </c>
      <c r="BY64" s="2">
        <f t="shared" si="5"/>
        <v>31050.000000000004</v>
      </c>
      <c r="BZ64" s="2">
        <f t="shared" si="6"/>
        <v>39516.428571428572</v>
      </c>
      <c r="CA64" s="2">
        <f t="shared" si="7"/>
        <v>82272.857142857145</v>
      </c>
      <c r="CC64" s="41">
        <f t="shared" si="11"/>
        <v>0.61634241245136179</v>
      </c>
      <c r="CD64" s="41">
        <f t="shared" si="12"/>
        <v>0.33385214007782105</v>
      </c>
      <c r="CE64" s="41">
        <f t="shared" si="13"/>
        <v>4.9805447470817117E-2</v>
      </c>
      <c r="CH64" s="2">
        <v>57</v>
      </c>
      <c r="CI64" s="2">
        <f>求节点(节奏总纲!R$4:R$363,BW$8:BW$367,$CH64)</f>
        <v>9630.7073346189591</v>
      </c>
      <c r="CJ64" s="2">
        <f>求节点(节奏总纲!S$4:S$363,BX$8:BX$367,$CH64)</f>
        <v>13673.993654064834</v>
      </c>
      <c r="CK64" s="2">
        <f>求节点(节奏总纲!T$4:T$363,BY$8:BY$367,$CH64)</f>
        <v>7280.4496363657536</v>
      </c>
      <c r="CL64" s="2">
        <f>求节点(节奏总纲!U$4:U$363,BZ$8:BZ$367,$CH64)</f>
        <v>0</v>
      </c>
      <c r="CM64" s="2">
        <f>求节点(节奏总纲!V$4:V$363,CA$8:CA$367,$CH64)</f>
        <v>0</v>
      </c>
    </row>
    <row r="65" spans="22:91" x14ac:dyDescent="0.2">
      <c r="V65" s="2">
        <v>58</v>
      </c>
      <c r="W65" s="2">
        <f t="shared" si="8"/>
        <v>7920</v>
      </c>
      <c r="X65" s="2">
        <f t="shared" si="8"/>
        <v>15440</v>
      </c>
      <c r="Y65" s="2">
        <f t="shared" si="9"/>
        <v>15440</v>
      </c>
      <c r="Z65" s="2">
        <f t="shared" ref="Z65:AA65" si="79">Y65</f>
        <v>15440</v>
      </c>
      <c r="AA65" s="2">
        <f t="shared" si="79"/>
        <v>15440</v>
      </c>
      <c r="AQ65" s="2">
        <v>58</v>
      </c>
      <c r="AR65" s="2">
        <f t="shared" si="71"/>
        <v>4290</v>
      </c>
      <c r="AS65" s="2">
        <f t="shared" si="71"/>
        <v>10180</v>
      </c>
      <c r="AT65" s="2">
        <f t="shared" si="71"/>
        <v>15000</v>
      </c>
      <c r="AU65" s="2">
        <f t="shared" si="71"/>
        <v>22500</v>
      </c>
      <c r="AV65" s="2">
        <f t="shared" si="71"/>
        <v>42200</v>
      </c>
      <c r="BK65" s="2">
        <v>58</v>
      </c>
      <c r="BL65" s="2">
        <f t="shared" si="72"/>
        <v>640</v>
      </c>
      <c r="BM65" s="2">
        <f t="shared" si="72"/>
        <v>1120</v>
      </c>
      <c r="BN65" s="2">
        <f t="shared" si="72"/>
        <v>1760</v>
      </c>
      <c r="BO65" s="2">
        <f t="shared" si="72"/>
        <v>3040</v>
      </c>
      <c r="BP65" s="2">
        <f t="shared" si="72"/>
        <v>27680</v>
      </c>
      <c r="BV65" s="2">
        <v>58</v>
      </c>
      <c r="BW65" s="2">
        <f t="shared" si="3"/>
        <v>12850</v>
      </c>
      <c r="BX65" s="2">
        <f t="shared" si="4"/>
        <v>26740</v>
      </c>
      <c r="BY65" s="2">
        <f t="shared" si="5"/>
        <v>32200</v>
      </c>
      <c r="BZ65" s="2">
        <f t="shared" si="6"/>
        <v>40980</v>
      </c>
      <c r="CA65" s="2">
        <f t="shared" si="7"/>
        <v>85320</v>
      </c>
      <c r="CC65" s="41">
        <f t="shared" si="11"/>
        <v>0.6163424124513619</v>
      </c>
      <c r="CD65" s="41">
        <f t="shared" si="12"/>
        <v>0.33385214007782099</v>
      </c>
      <c r="CE65" s="41">
        <f t="shared" si="13"/>
        <v>4.9805447470817124E-2</v>
      </c>
      <c r="CH65" s="2">
        <v>58</v>
      </c>
      <c r="CI65" s="2">
        <f>求节点(节奏总纲!R$4:R$363,BW$8:BW$367,$CH65)</f>
        <v>11348.90917238672</v>
      </c>
      <c r="CJ65" s="2">
        <f>求节点(节奏总纲!S$4:S$363,BX$8:BX$367,$CH65)</f>
        <v>16698.055502421321</v>
      </c>
      <c r="CK65" s="2">
        <f>求节点(节奏总纲!T$4:T$363,BY$8:BY$367,$CH65)</f>
        <v>10257.5577894833</v>
      </c>
      <c r="CL65" s="2">
        <f>求节点(节奏总纲!U$4:U$363,BZ$8:BZ$367,$CH65)</f>
        <v>0</v>
      </c>
      <c r="CM65" s="2">
        <f>求节点(节奏总纲!V$4:V$363,CA$8:CA$367,$CH65)</f>
        <v>0</v>
      </c>
    </row>
    <row r="66" spans="22:91" x14ac:dyDescent="0.2">
      <c r="V66" s="2">
        <v>59</v>
      </c>
      <c r="W66" s="2">
        <f t="shared" si="8"/>
        <v>8202.8571428571431</v>
      </c>
      <c r="X66" s="2">
        <f t="shared" si="8"/>
        <v>15991.428571428571</v>
      </c>
      <c r="Y66" s="2">
        <f t="shared" si="9"/>
        <v>15991.428571428571</v>
      </c>
      <c r="Z66" s="2">
        <f t="shared" ref="Z66:AA66" si="80">Y66</f>
        <v>15991.428571428571</v>
      </c>
      <c r="AA66" s="2">
        <f t="shared" si="80"/>
        <v>15991.428571428571</v>
      </c>
      <c r="AQ66" s="2">
        <v>59</v>
      </c>
      <c r="AR66" s="2">
        <f t="shared" si="71"/>
        <v>4443.2142857142853</v>
      </c>
      <c r="AS66" s="2">
        <f t="shared" si="71"/>
        <v>10543.571428571429</v>
      </c>
      <c r="AT66" s="2">
        <f t="shared" si="71"/>
        <v>15535.714285714286</v>
      </c>
      <c r="AU66" s="2">
        <f t="shared" si="71"/>
        <v>23303.571428571428</v>
      </c>
      <c r="AV66" s="2">
        <f t="shared" si="71"/>
        <v>43707.142857142855</v>
      </c>
      <c r="BK66" s="2">
        <v>59</v>
      </c>
      <c r="BL66" s="2">
        <f t="shared" si="72"/>
        <v>662.85714285714289</v>
      </c>
      <c r="BM66" s="2">
        <f t="shared" si="72"/>
        <v>1160</v>
      </c>
      <c r="BN66" s="2">
        <f t="shared" si="72"/>
        <v>1822.8571428571429</v>
      </c>
      <c r="BO66" s="2">
        <f t="shared" si="72"/>
        <v>3148.5714285714284</v>
      </c>
      <c r="BP66" s="2">
        <f t="shared" si="72"/>
        <v>28668.571428571428</v>
      </c>
      <c r="BV66" s="2">
        <v>59</v>
      </c>
      <c r="BW66" s="2">
        <f t="shared" si="3"/>
        <v>13308.928571428571</v>
      </c>
      <c r="BX66" s="2">
        <f t="shared" si="4"/>
        <v>27695</v>
      </c>
      <c r="BY66" s="2">
        <f t="shared" si="5"/>
        <v>33350</v>
      </c>
      <c r="BZ66" s="2">
        <f t="shared" si="6"/>
        <v>42443.571428571428</v>
      </c>
      <c r="CA66" s="2">
        <f t="shared" si="7"/>
        <v>88367.142857142855</v>
      </c>
      <c r="CC66" s="41">
        <f t="shared" si="11"/>
        <v>0.6163424124513619</v>
      </c>
      <c r="CD66" s="41">
        <f t="shared" si="12"/>
        <v>0.33385214007782099</v>
      </c>
      <c r="CE66" s="41">
        <f t="shared" si="13"/>
        <v>4.9805447470817124E-2</v>
      </c>
      <c r="CH66" s="2">
        <v>59</v>
      </c>
      <c r="CI66" s="2">
        <f>求节点(节奏总纲!R$4:R$363,BW$8:BW$367,$CH66)</f>
        <v>13184.122969211381</v>
      </c>
      <c r="CJ66" s="2">
        <f>求节点(节奏总纲!S$4:S$363,BX$8:BX$367,$CH66)</f>
        <v>20000.530566389079</v>
      </c>
      <c r="CK66" s="2">
        <f>求节点(节奏总纲!T$4:T$363,BY$8:BY$367,$CH66)</f>
        <v>13500.851498191123</v>
      </c>
      <c r="CL66" s="2">
        <f>求节点(节奏总纲!U$4:U$363,BZ$8:BZ$367,$CH66)</f>
        <v>916.68908833121168</v>
      </c>
      <c r="CM66" s="2">
        <f>求节点(节奏总纲!V$4:V$363,CA$8:CA$367,$CH66)</f>
        <v>0</v>
      </c>
    </row>
    <row r="67" spans="22:91" x14ac:dyDescent="0.2">
      <c r="V67" s="2">
        <v>60</v>
      </c>
      <c r="W67" s="2">
        <f t="shared" si="8"/>
        <v>8485.7142857142862</v>
      </c>
      <c r="X67" s="2">
        <f t="shared" si="8"/>
        <v>16542.857142857141</v>
      </c>
      <c r="Y67" s="2">
        <f t="shared" si="9"/>
        <v>16542.857142857141</v>
      </c>
      <c r="Z67" s="2">
        <f t="shared" ref="Z67:AA67" si="81">Y67</f>
        <v>16542.857142857141</v>
      </c>
      <c r="AA67" s="2">
        <f t="shared" si="81"/>
        <v>16542.857142857141</v>
      </c>
      <c r="AQ67" s="2">
        <v>60</v>
      </c>
      <c r="AR67" s="2">
        <f t="shared" si="71"/>
        <v>4596.4285714285716</v>
      </c>
      <c r="AS67" s="2">
        <f t="shared" si="71"/>
        <v>10907.142857142857</v>
      </c>
      <c r="AT67" s="2">
        <f t="shared" si="71"/>
        <v>16071.428571428571</v>
      </c>
      <c r="AU67" s="2">
        <f t="shared" si="71"/>
        <v>24107.142857142859</v>
      </c>
      <c r="AV67" s="2">
        <f t="shared" si="71"/>
        <v>45214.285714285717</v>
      </c>
      <c r="BK67" s="2">
        <v>60</v>
      </c>
      <c r="BL67" s="2">
        <f t="shared" si="72"/>
        <v>685.71428571428567</v>
      </c>
      <c r="BM67" s="2">
        <f t="shared" si="72"/>
        <v>1200</v>
      </c>
      <c r="BN67" s="2">
        <f t="shared" si="72"/>
        <v>1885.7142857142858</v>
      </c>
      <c r="BO67" s="2">
        <f t="shared" si="72"/>
        <v>3257.1428571428573</v>
      </c>
      <c r="BP67" s="2">
        <f t="shared" si="72"/>
        <v>29657.142857142859</v>
      </c>
      <c r="BV67" s="2">
        <v>60</v>
      </c>
      <c r="BW67" s="2">
        <f t="shared" si="3"/>
        <v>13767.857142857145</v>
      </c>
      <c r="BX67" s="2">
        <f t="shared" si="4"/>
        <v>28650</v>
      </c>
      <c r="BY67" s="2">
        <f t="shared" si="5"/>
        <v>34499.999999999993</v>
      </c>
      <c r="BZ67" s="2">
        <f t="shared" si="6"/>
        <v>43907.142857142855</v>
      </c>
      <c r="CA67" s="2">
        <f t="shared" si="7"/>
        <v>91414.28571428571</v>
      </c>
      <c r="CC67" s="41">
        <f t="shared" si="11"/>
        <v>0.61634241245136179</v>
      </c>
      <c r="CD67" s="41">
        <f t="shared" si="12"/>
        <v>0.33385214007782099</v>
      </c>
      <c r="CE67" s="41">
        <f t="shared" si="13"/>
        <v>4.980544747081711E-2</v>
      </c>
      <c r="CH67" s="2">
        <v>60</v>
      </c>
      <c r="CI67" s="2">
        <f>求节点(节奏总纲!R$4:R$363,BW$8:BW$367,$CH67)</f>
        <v>15144.642857142855</v>
      </c>
      <c r="CJ67" s="2">
        <f>求节点(节奏总纲!S$4:S$363,BX$8:BX$367,$CH67)</f>
        <v>23504.414759249143</v>
      </c>
      <c r="CK67" s="2">
        <f>求节点(节奏总纲!T$4:T$363,BY$8:BY$367,$CH67)</f>
        <v>16944.868638348911</v>
      </c>
      <c r="CL67" s="2">
        <f>求节点(节奏总纲!U$4:U$363,BZ$8:BZ$367,$CH67)</f>
        <v>4133.7020138970784</v>
      </c>
      <c r="CM67" s="2">
        <f>求节点(节奏总纲!V$4:V$363,CA$8:CA$367,$CH67)</f>
        <v>0</v>
      </c>
    </row>
    <row r="68" spans="22:91" x14ac:dyDescent="0.2">
      <c r="V68" s="2">
        <v>61</v>
      </c>
      <c r="W68" s="2">
        <f t="shared" si="8"/>
        <v>8768.5714285714294</v>
      </c>
      <c r="X68" s="2">
        <f t="shared" si="8"/>
        <v>17094.285714285714</v>
      </c>
      <c r="Y68" s="2">
        <f t="shared" si="9"/>
        <v>17094.285714285714</v>
      </c>
      <c r="Z68" s="2">
        <f t="shared" ref="Z68:AA68" si="82">Y68</f>
        <v>17094.285714285714</v>
      </c>
      <c r="AA68" s="2">
        <f t="shared" si="82"/>
        <v>17094.285714285714</v>
      </c>
      <c r="AQ68" s="2">
        <v>61</v>
      </c>
      <c r="AR68" s="2">
        <f t="shared" ref="AR68:AV77" si="83">MAX($AQ68-$C$2,0)*INDEX($AN$8:$AN$44,MATCH(AR$7,$AO$8:$AO$44,0))/$C$3</f>
        <v>4749.6428571428569</v>
      </c>
      <c r="AS68" s="2">
        <f t="shared" si="83"/>
        <v>11270.714285714286</v>
      </c>
      <c r="AT68" s="2">
        <f t="shared" si="83"/>
        <v>16607.142857142859</v>
      </c>
      <c r="AU68" s="2">
        <f t="shared" si="83"/>
        <v>24910.714285714286</v>
      </c>
      <c r="AV68" s="2">
        <f t="shared" si="83"/>
        <v>46721.428571428572</v>
      </c>
      <c r="BK68" s="2">
        <v>61</v>
      </c>
      <c r="BL68" s="2">
        <f t="shared" ref="BL68:BP77" si="84">IFERROR(MAX($BK68-$C$2,0)*INDEX($BH$8:$BH$16,MATCH(BL$7,$BI$8:$BI$16,0))*$C$4/$C$3,BM68)</f>
        <v>708.57142857142856</v>
      </c>
      <c r="BM68" s="2">
        <f t="shared" si="84"/>
        <v>1240</v>
      </c>
      <c r="BN68" s="2">
        <f t="shared" si="84"/>
        <v>1948.5714285714287</v>
      </c>
      <c r="BO68" s="2">
        <f t="shared" si="84"/>
        <v>3365.7142857142858</v>
      </c>
      <c r="BP68" s="2">
        <f t="shared" si="84"/>
        <v>30645.714285714286</v>
      </c>
      <c r="BV68" s="2">
        <v>61</v>
      </c>
      <c r="BW68" s="2">
        <f t="shared" si="3"/>
        <v>14226.785714285716</v>
      </c>
      <c r="BX68" s="2">
        <f t="shared" si="4"/>
        <v>29605</v>
      </c>
      <c r="BY68" s="2">
        <f t="shared" si="5"/>
        <v>35650</v>
      </c>
      <c r="BZ68" s="2">
        <f t="shared" si="6"/>
        <v>45370.714285714283</v>
      </c>
      <c r="CA68" s="2">
        <f t="shared" si="7"/>
        <v>94461.42857142858</v>
      </c>
      <c r="CC68" s="41">
        <f t="shared" si="11"/>
        <v>0.6163424124513619</v>
      </c>
      <c r="CD68" s="41">
        <f t="shared" si="12"/>
        <v>0.33385214007782094</v>
      </c>
      <c r="CE68" s="41">
        <f t="shared" si="13"/>
        <v>4.9805447470817117E-2</v>
      </c>
      <c r="CH68" s="2">
        <v>61</v>
      </c>
      <c r="CI68" s="2">
        <f>求节点(节奏总纲!R$4:R$363,BW$8:BW$367,$CH68)</f>
        <v>17260.35405618486</v>
      </c>
      <c r="CJ68" s="2">
        <f>求节点(节奏总纲!S$4:S$363,BX$8:BX$367,$CH68)</f>
        <v>27323.176926197732</v>
      </c>
      <c r="CK68" s="2">
        <f>求节点(节奏总纲!T$4:T$363,BY$8:BY$367,$CH68)</f>
        <v>20676.456014337215</v>
      </c>
      <c r="CL68" s="2">
        <f>求节点(节奏总纲!U$4:U$363,BZ$8:BZ$367,$CH68)</f>
        <v>7674.830208671231</v>
      </c>
      <c r="CM68" s="2">
        <f>求节点(节奏总纲!V$4:V$363,CA$8:CA$367,$CH68)</f>
        <v>0</v>
      </c>
    </row>
    <row r="69" spans="22:91" x14ac:dyDescent="0.2">
      <c r="V69" s="2">
        <v>62</v>
      </c>
      <c r="W69" s="2">
        <f t="shared" si="8"/>
        <v>9051.4285714285706</v>
      </c>
      <c r="X69" s="2">
        <f t="shared" si="8"/>
        <v>17645.714285714286</v>
      </c>
      <c r="Y69" s="2">
        <f t="shared" si="9"/>
        <v>17645.714285714286</v>
      </c>
      <c r="Z69" s="2">
        <f t="shared" ref="Z69:AA69" si="85">Y69</f>
        <v>17645.714285714286</v>
      </c>
      <c r="AA69" s="2">
        <f t="shared" si="85"/>
        <v>17645.714285714286</v>
      </c>
      <c r="AQ69" s="2">
        <v>62</v>
      </c>
      <c r="AR69" s="2">
        <f t="shared" si="83"/>
        <v>4902.8571428571431</v>
      </c>
      <c r="AS69" s="2">
        <f t="shared" si="83"/>
        <v>11634.285714285714</v>
      </c>
      <c r="AT69" s="2">
        <f t="shared" si="83"/>
        <v>17142.857142857141</v>
      </c>
      <c r="AU69" s="2">
        <f t="shared" si="83"/>
        <v>25714.285714285714</v>
      </c>
      <c r="AV69" s="2">
        <f t="shared" si="83"/>
        <v>48228.571428571428</v>
      </c>
      <c r="BK69" s="2">
        <v>62</v>
      </c>
      <c r="BL69" s="2">
        <f t="shared" si="84"/>
        <v>731.42857142857144</v>
      </c>
      <c r="BM69" s="2">
        <f t="shared" si="84"/>
        <v>1280</v>
      </c>
      <c r="BN69" s="2">
        <f t="shared" si="84"/>
        <v>2011.4285714285713</v>
      </c>
      <c r="BO69" s="2">
        <f t="shared" si="84"/>
        <v>3474.2857142857142</v>
      </c>
      <c r="BP69" s="2">
        <f t="shared" si="84"/>
        <v>31634.285714285714</v>
      </c>
      <c r="BV69" s="2">
        <v>62</v>
      </c>
      <c r="BW69" s="2">
        <f t="shared" si="3"/>
        <v>14685.714285714284</v>
      </c>
      <c r="BX69" s="2">
        <f t="shared" si="4"/>
        <v>30560</v>
      </c>
      <c r="BY69" s="2">
        <f t="shared" si="5"/>
        <v>36800</v>
      </c>
      <c r="BZ69" s="2">
        <f t="shared" si="6"/>
        <v>46834.285714285717</v>
      </c>
      <c r="CA69" s="2">
        <f t="shared" si="7"/>
        <v>97508.57142857142</v>
      </c>
      <c r="CC69" s="41">
        <f t="shared" si="11"/>
        <v>0.6163424124513619</v>
      </c>
      <c r="CD69" s="41">
        <f t="shared" si="12"/>
        <v>0.33385214007782105</v>
      </c>
      <c r="CE69" s="41">
        <f t="shared" si="13"/>
        <v>4.9805447470817124E-2</v>
      </c>
      <c r="CH69" s="2">
        <v>62</v>
      </c>
      <c r="CI69" s="2">
        <f>求节点(节奏总纲!R$4:R$363,BW$8:BW$367,$CH69)</f>
        <v>19520.057376293367</v>
      </c>
      <c r="CJ69" s="2">
        <f>求节点(节奏总纲!S$4:S$363,BX$8:BX$367,$CH69)</f>
        <v>31375.578292189828</v>
      </c>
      <c r="CK69" s="2">
        <f>求节点(节奏总纲!T$4:T$363,BY$8:BY$367,$CH69)</f>
        <v>24753.823713132653</v>
      </c>
      <c r="CL69" s="2">
        <f>求节点(节奏总纲!U$4:U$363,BZ$8:BZ$367,$CH69)</f>
        <v>11498.46441032548</v>
      </c>
      <c r="CM69" s="2">
        <f>求节点(节奏总纲!V$4:V$363,CA$8:CA$367,$CH69)</f>
        <v>0</v>
      </c>
    </row>
    <row r="70" spans="22:91" x14ac:dyDescent="0.2">
      <c r="V70" s="2">
        <v>63</v>
      </c>
      <c r="W70" s="2">
        <f t="shared" si="8"/>
        <v>9334.2857142857138</v>
      </c>
      <c r="X70" s="2">
        <f t="shared" si="8"/>
        <v>18197.142857142859</v>
      </c>
      <c r="Y70" s="2">
        <f t="shared" si="9"/>
        <v>18197.142857142859</v>
      </c>
      <c r="Z70" s="2">
        <f t="shared" ref="Z70:AA70" si="86">Y70</f>
        <v>18197.142857142859</v>
      </c>
      <c r="AA70" s="2">
        <f t="shared" si="86"/>
        <v>18197.142857142859</v>
      </c>
      <c r="AQ70" s="2">
        <v>63</v>
      </c>
      <c r="AR70" s="2">
        <f t="shared" si="83"/>
        <v>5056.0714285714284</v>
      </c>
      <c r="AS70" s="2">
        <f t="shared" si="83"/>
        <v>11997.857142857143</v>
      </c>
      <c r="AT70" s="2">
        <f t="shared" si="83"/>
        <v>17678.571428571428</v>
      </c>
      <c r="AU70" s="2">
        <f t="shared" si="83"/>
        <v>26517.857142857141</v>
      </c>
      <c r="AV70" s="2">
        <f t="shared" si="83"/>
        <v>49735.714285714283</v>
      </c>
      <c r="BK70" s="2">
        <v>63</v>
      </c>
      <c r="BL70" s="2">
        <f t="shared" si="84"/>
        <v>754.28571428571433</v>
      </c>
      <c r="BM70" s="2">
        <f t="shared" si="84"/>
        <v>1320</v>
      </c>
      <c r="BN70" s="2">
        <f t="shared" si="84"/>
        <v>2074.2857142857142</v>
      </c>
      <c r="BO70" s="2">
        <f t="shared" si="84"/>
        <v>3582.8571428571427</v>
      </c>
      <c r="BP70" s="2">
        <f t="shared" si="84"/>
        <v>32622.857142857141</v>
      </c>
      <c r="BV70" s="2">
        <v>63</v>
      </c>
      <c r="BW70" s="2">
        <f t="shared" si="3"/>
        <v>15144.642857142855</v>
      </c>
      <c r="BX70" s="2">
        <f t="shared" si="4"/>
        <v>31515</v>
      </c>
      <c r="BY70" s="2">
        <f t="shared" si="5"/>
        <v>37950.000000000007</v>
      </c>
      <c r="BZ70" s="2">
        <f t="shared" si="6"/>
        <v>48297.857142857145</v>
      </c>
      <c r="CA70" s="2">
        <f t="shared" si="7"/>
        <v>100555.71428571429</v>
      </c>
      <c r="CC70" s="41">
        <f t="shared" si="11"/>
        <v>0.6163424124513619</v>
      </c>
      <c r="CD70" s="41">
        <f t="shared" si="12"/>
        <v>0.33385214007782105</v>
      </c>
      <c r="CE70" s="41">
        <f t="shared" si="13"/>
        <v>4.9805447470817131E-2</v>
      </c>
      <c r="CH70" s="2">
        <v>63</v>
      </c>
      <c r="CI70" s="2">
        <f>求节点(节奏总纲!R$4:R$363,BW$8:BW$367,$CH70)</f>
        <v>21938.795750100631</v>
      </c>
      <c r="CJ70" s="2">
        <f>求节点(节奏总纲!S$4:S$363,BX$8:BX$367,$CH70)</f>
        <v>35799.025724791878</v>
      </c>
      <c r="CK70" s="2">
        <f>求节点(节奏总纲!T$4:T$363,BY$8:BY$367,$CH70)</f>
        <v>29090.725461250837</v>
      </c>
      <c r="CL70" s="2">
        <f>求节点(节奏总纲!U$4:U$363,BZ$8:BZ$367,$CH70)</f>
        <v>15650.594804349761</v>
      </c>
      <c r="CM70" s="2">
        <f>求节点(节奏总纲!V$4:V$363,CA$8:CA$367,$CH70)</f>
        <v>0</v>
      </c>
    </row>
    <row r="71" spans="22:91" x14ac:dyDescent="0.2">
      <c r="V71" s="2">
        <v>64</v>
      </c>
      <c r="W71" s="2">
        <f t="shared" si="8"/>
        <v>9617.1428571428569</v>
      </c>
      <c r="X71" s="2">
        <f t="shared" si="8"/>
        <v>18748.571428571428</v>
      </c>
      <c r="Y71" s="2">
        <f t="shared" si="9"/>
        <v>18748.571428571428</v>
      </c>
      <c r="Z71" s="2">
        <f t="shared" ref="Z71:AA71" si="87">Y71</f>
        <v>18748.571428571428</v>
      </c>
      <c r="AA71" s="2">
        <f t="shared" si="87"/>
        <v>18748.571428571428</v>
      </c>
      <c r="AQ71" s="2">
        <v>64</v>
      </c>
      <c r="AR71" s="2">
        <f t="shared" si="83"/>
        <v>5209.2857142857147</v>
      </c>
      <c r="AS71" s="2">
        <f t="shared" si="83"/>
        <v>12361.428571428571</v>
      </c>
      <c r="AT71" s="2">
        <f t="shared" si="83"/>
        <v>18214.285714285714</v>
      </c>
      <c r="AU71" s="2">
        <f t="shared" si="83"/>
        <v>27321.428571428572</v>
      </c>
      <c r="AV71" s="2">
        <f t="shared" si="83"/>
        <v>51242.857142857145</v>
      </c>
      <c r="BK71" s="2">
        <v>64</v>
      </c>
      <c r="BL71" s="2">
        <f t="shared" si="84"/>
        <v>777.14285714285711</v>
      </c>
      <c r="BM71" s="2">
        <f t="shared" si="84"/>
        <v>1360</v>
      </c>
      <c r="BN71" s="2">
        <f t="shared" si="84"/>
        <v>2137.1428571428573</v>
      </c>
      <c r="BO71" s="2">
        <f t="shared" si="84"/>
        <v>3691.4285714285716</v>
      </c>
      <c r="BP71" s="2">
        <f t="shared" si="84"/>
        <v>33611.428571428572</v>
      </c>
      <c r="BV71" s="2">
        <v>64</v>
      </c>
      <c r="BW71" s="2">
        <f t="shared" si="3"/>
        <v>15603.571428571429</v>
      </c>
      <c r="BX71" s="2">
        <f t="shared" si="4"/>
        <v>32470</v>
      </c>
      <c r="BY71" s="2">
        <f t="shared" si="5"/>
        <v>39100</v>
      </c>
      <c r="BZ71" s="2">
        <f t="shared" si="6"/>
        <v>49761.428571428572</v>
      </c>
      <c r="CA71" s="2">
        <f t="shared" si="7"/>
        <v>103602.85714285716</v>
      </c>
      <c r="CC71" s="41">
        <f t="shared" si="11"/>
        <v>0.61634241245136179</v>
      </c>
      <c r="CD71" s="41">
        <f t="shared" si="12"/>
        <v>0.33385214007782105</v>
      </c>
      <c r="CE71" s="41">
        <f t="shared" si="13"/>
        <v>4.9805447470817117E-2</v>
      </c>
      <c r="CH71" s="2">
        <v>64</v>
      </c>
      <c r="CI71" s="2">
        <f>求节点(节奏总纲!R$4:R$363,BW$8:BW$367,$CH71)</f>
        <v>24536.939927003077</v>
      </c>
      <c r="CJ71" s="2">
        <f>求节点(节奏总纲!S$4:S$363,BX$8:BX$367,$CH71)</f>
        <v>40506.421835804314</v>
      </c>
      <c r="CK71" s="2">
        <f>求节点(节奏总纲!T$4:T$363,BY$8:BY$367,$CH71)</f>
        <v>33792.31894124423</v>
      </c>
      <c r="CL71" s="2">
        <f>求节点(节奏总纲!U$4:U$363,BZ$8:BZ$367,$CH71)</f>
        <v>20094.221656078826</v>
      </c>
      <c r="CM71" s="2">
        <f>求节点(节奏总纲!V$4:V$363,CA$8:CA$367,$CH71)</f>
        <v>0</v>
      </c>
    </row>
    <row r="72" spans="22:91" x14ac:dyDescent="0.2">
      <c r="V72" s="2">
        <v>65</v>
      </c>
      <c r="W72" s="2">
        <f t="shared" si="8"/>
        <v>9900</v>
      </c>
      <c r="X72" s="2">
        <f t="shared" si="8"/>
        <v>19300</v>
      </c>
      <c r="Y72" s="2">
        <f t="shared" si="9"/>
        <v>19300</v>
      </c>
      <c r="Z72" s="2">
        <f t="shared" ref="Z72:AA72" si="88">Y72</f>
        <v>19300</v>
      </c>
      <c r="AA72" s="2">
        <f t="shared" si="88"/>
        <v>19300</v>
      </c>
      <c r="AQ72" s="2">
        <v>65</v>
      </c>
      <c r="AR72" s="2">
        <f t="shared" si="83"/>
        <v>5362.5</v>
      </c>
      <c r="AS72" s="2">
        <f t="shared" si="83"/>
        <v>12725</v>
      </c>
      <c r="AT72" s="2">
        <f t="shared" si="83"/>
        <v>18750</v>
      </c>
      <c r="AU72" s="2">
        <f t="shared" si="83"/>
        <v>28125</v>
      </c>
      <c r="AV72" s="2">
        <f t="shared" si="83"/>
        <v>52750</v>
      </c>
      <c r="BK72" s="2">
        <v>65</v>
      </c>
      <c r="BL72" s="2">
        <f t="shared" si="84"/>
        <v>800</v>
      </c>
      <c r="BM72" s="2">
        <f t="shared" si="84"/>
        <v>1400</v>
      </c>
      <c r="BN72" s="2">
        <f t="shared" si="84"/>
        <v>2200</v>
      </c>
      <c r="BO72" s="2">
        <f t="shared" si="84"/>
        <v>3800</v>
      </c>
      <c r="BP72" s="2">
        <f t="shared" si="84"/>
        <v>34600</v>
      </c>
      <c r="BV72" s="2">
        <v>65</v>
      </c>
      <c r="BW72" s="2">
        <f t="shared" ref="BW72:BW135" si="89">W72+AR72+BL72</f>
        <v>16062.5</v>
      </c>
      <c r="BX72" s="2">
        <f t="shared" ref="BX72:BX135" si="90">X72+AS72+BM72</f>
        <v>33425</v>
      </c>
      <c r="BY72" s="2">
        <f t="shared" ref="BY72:BY135" si="91">Y72+AT72+BN72</f>
        <v>40250</v>
      </c>
      <c r="BZ72" s="2">
        <f t="shared" ref="BZ72:BZ135" si="92">Z72+AU72+BO72</f>
        <v>51225</v>
      </c>
      <c r="CA72" s="2">
        <f t="shared" ref="CA72:CA135" si="93">AA72+AV72+BP72</f>
        <v>106650</v>
      </c>
      <c r="CC72" s="41">
        <f t="shared" si="11"/>
        <v>0.6163424124513619</v>
      </c>
      <c r="CD72" s="41">
        <f t="shared" si="12"/>
        <v>0.33385214007782099</v>
      </c>
      <c r="CE72" s="41">
        <f t="shared" si="13"/>
        <v>4.9805447470817124E-2</v>
      </c>
      <c r="CH72" s="2">
        <v>65</v>
      </c>
      <c r="CI72" s="2">
        <f>求节点(节奏总纲!R$4:R$363,BW$8:BW$367,$CH72)</f>
        <v>27318.628069664221</v>
      </c>
      <c r="CJ72" s="2">
        <f>求节点(节奏总纲!S$4:S$363,BX$8:BX$367,$CH72)</f>
        <v>45523.162017850322</v>
      </c>
      <c r="CK72" s="2">
        <f>求节点(节奏总纲!T$4:T$363,BY$8:BY$367,$CH72)</f>
        <v>38882.72292925162</v>
      </c>
      <c r="CL72" s="2">
        <f>求节点(节奏总纲!U$4:U$363,BZ$8:BZ$367,$CH72)</f>
        <v>24778.791905949231</v>
      </c>
      <c r="CM72" s="2">
        <f>求节点(节奏总纲!V$4:V$363,CA$8:CA$367,$CH72)</f>
        <v>0</v>
      </c>
    </row>
    <row r="73" spans="22:91" x14ac:dyDescent="0.2">
      <c r="V73" s="2">
        <v>66</v>
      </c>
      <c r="W73" s="2">
        <f t="shared" ref="W73:X136" si="94">MAX($V73-$C$2,0)*INDEX($S$8:$S$10,MATCH(W$7,$T$8:$T$10,0))*$C$4/$C$3</f>
        <v>10182.857142857143</v>
      </c>
      <c r="X73" s="2">
        <f t="shared" si="94"/>
        <v>19851.428571428572</v>
      </c>
      <c r="Y73" s="2">
        <f t="shared" ref="Y73:Y136" si="95">X73</f>
        <v>19851.428571428572</v>
      </c>
      <c r="Z73" s="2">
        <f t="shared" ref="Z73:AA73" si="96">Y73</f>
        <v>19851.428571428572</v>
      </c>
      <c r="AA73" s="2">
        <f t="shared" si="96"/>
        <v>19851.428571428572</v>
      </c>
      <c r="AQ73" s="2">
        <v>66</v>
      </c>
      <c r="AR73" s="2">
        <f t="shared" si="83"/>
        <v>5515.7142857142853</v>
      </c>
      <c r="AS73" s="2">
        <f t="shared" si="83"/>
        <v>13088.571428571429</v>
      </c>
      <c r="AT73" s="2">
        <f t="shared" si="83"/>
        <v>19285.714285714286</v>
      </c>
      <c r="AU73" s="2">
        <f t="shared" si="83"/>
        <v>28928.571428571428</v>
      </c>
      <c r="AV73" s="2">
        <f t="shared" si="83"/>
        <v>54257.142857142855</v>
      </c>
      <c r="BK73" s="2">
        <v>66</v>
      </c>
      <c r="BL73" s="2">
        <f t="shared" si="84"/>
        <v>822.85714285714289</v>
      </c>
      <c r="BM73" s="2">
        <f t="shared" si="84"/>
        <v>1440</v>
      </c>
      <c r="BN73" s="2">
        <f t="shared" si="84"/>
        <v>2262.8571428571427</v>
      </c>
      <c r="BO73" s="2">
        <f t="shared" si="84"/>
        <v>3908.5714285714284</v>
      </c>
      <c r="BP73" s="2">
        <f t="shared" si="84"/>
        <v>35588.571428571428</v>
      </c>
      <c r="BV73" s="2">
        <v>66</v>
      </c>
      <c r="BW73" s="2">
        <f t="shared" si="89"/>
        <v>16521.428571428569</v>
      </c>
      <c r="BX73" s="2">
        <f t="shared" si="90"/>
        <v>34380</v>
      </c>
      <c r="BY73" s="2">
        <f t="shared" si="91"/>
        <v>41400</v>
      </c>
      <c r="BZ73" s="2">
        <f t="shared" si="92"/>
        <v>52688.571428571428</v>
      </c>
      <c r="CA73" s="2">
        <f t="shared" si="93"/>
        <v>109697.14285714284</v>
      </c>
      <c r="CC73" s="41">
        <f t="shared" ref="CC73:CC136" si="97">W73/BW73</f>
        <v>0.61634241245136201</v>
      </c>
      <c r="CD73" s="41">
        <f t="shared" ref="CD73:CD136" si="98">AR73/BW73</f>
        <v>0.33385214007782105</v>
      </c>
      <c r="CE73" s="41">
        <f t="shared" ref="CE73:CE136" si="99">BL73/BW73</f>
        <v>4.9805447470817131E-2</v>
      </c>
      <c r="CH73" s="2">
        <v>66</v>
      </c>
      <c r="CI73" s="2">
        <f>求节点(节奏总纲!R$4:R$363,BW$8:BW$367,$CH73)</f>
        <v>30292.166971982042</v>
      </c>
      <c r="CJ73" s="2">
        <f>求节点(节奏总纲!S$4:S$363,BX$8:BX$367,$CH73)</f>
        <v>50966.868514508744</v>
      </c>
      <c r="CK73" s="2">
        <f>求节点(节奏总纲!T$4:T$363,BY$8:BY$367,$CH73)</f>
        <v>44271.084282394026</v>
      </c>
      <c r="CL73" s="2">
        <f>求节点(节奏总纲!U$4:U$363,BZ$8:BZ$367,$CH73)</f>
        <v>29524.108708895092</v>
      </c>
      <c r="CM73" s="2">
        <f>求节点(节奏总纲!V$4:V$363,CA$8:CA$367,$CH73)</f>
        <v>0</v>
      </c>
    </row>
    <row r="74" spans="22:91" x14ac:dyDescent="0.2">
      <c r="V74" s="2">
        <v>67</v>
      </c>
      <c r="W74" s="2">
        <f t="shared" si="94"/>
        <v>10465.714285714286</v>
      </c>
      <c r="X74" s="2">
        <f t="shared" si="94"/>
        <v>20402.857142857141</v>
      </c>
      <c r="Y74" s="2">
        <f t="shared" si="95"/>
        <v>20402.857142857141</v>
      </c>
      <c r="Z74" s="2">
        <f t="shared" ref="Z74:AA74" si="100">Y74</f>
        <v>20402.857142857141</v>
      </c>
      <c r="AA74" s="2">
        <f t="shared" si="100"/>
        <v>20402.857142857141</v>
      </c>
      <c r="AQ74" s="2">
        <v>67</v>
      </c>
      <c r="AR74" s="2">
        <f t="shared" si="83"/>
        <v>5668.9285714285716</v>
      </c>
      <c r="AS74" s="2">
        <f t="shared" si="83"/>
        <v>13452.142857142857</v>
      </c>
      <c r="AT74" s="2">
        <f t="shared" si="83"/>
        <v>19821.428571428572</v>
      </c>
      <c r="AU74" s="2">
        <f t="shared" si="83"/>
        <v>29732.142857142859</v>
      </c>
      <c r="AV74" s="2">
        <f t="shared" si="83"/>
        <v>55764.285714285717</v>
      </c>
      <c r="BK74" s="2">
        <v>67</v>
      </c>
      <c r="BL74" s="2">
        <f t="shared" si="84"/>
        <v>845.71428571428567</v>
      </c>
      <c r="BM74" s="2">
        <f t="shared" si="84"/>
        <v>1480</v>
      </c>
      <c r="BN74" s="2">
        <f t="shared" si="84"/>
        <v>2325.7142857142858</v>
      </c>
      <c r="BO74" s="2">
        <f t="shared" si="84"/>
        <v>4017.1428571428573</v>
      </c>
      <c r="BP74" s="2">
        <f t="shared" si="84"/>
        <v>36577.142857142855</v>
      </c>
      <c r="BV74" s="2">
        <v>67</v>
      </c>
      <c r="BW74" s="2">
        <f t="shared" si="89"/>
        <v>16980.357142857145</v>
      </c>
      <c r="BX74" s="2">
        <f t="shared" si="90"/>
        <v>35335</v>
      </c>
      <c r="BY74" s="2">
        <f t="shared" si="91"/>
        <v>42549.999999999993</v>
      </c>
      <c r="BZ74" s="2">
        <f t="shared" si="92"/>
        <v>54152.142857142855</v>
      </c>
      <c r="CA74" s="2">
        <f t="shared" si="93"/>
        <v>112744.28571428571</v>
      </c>
      <c r="CC74" s="41">
        <f t="shared" si="97"/>
        <v>0.61634241245136179</v>
      </c>
      <c r="CD74" s="41">
        <f t="shared" si="98"/>
        <v>0.33385214007782099</v>
      </c>
      <c r="CE74" s="41">
        <f t="shared" si="99"/>
        <v>4.980544747081711E-2</v>
      </c>
      <c r="CH74" s="2">
        <v>67</v>
      </c>
      <c r="CI74" s="2">
        <f>求节点(节奏总纲!R$4:R$363,BW$8:BW$367,$CH74)</f>
        <v>33488.185936085327</v>
      </c>
      <c r="CJ74" s="2">
        <f>求节点(节奏总纲!S$4:S$363,BX$8:BX$367,$CH74)</f>
        <v>56802.419826723293</v>
      </c>
      <c r="CK74" s="2">
        <f>求节点(节奏总纲!T$4:T$363,BY$8:BY$367,$CH74)</f>
        <v>49794.426784319752</v>
      </c>
      <c r="CL74" s="2">
        <f>求节点(节奏总纲!U$4:U$363,BZ$8:BZ$367,$CH74)</f>
        <v>34608.48088728969</v>
      </c>
      <c r="CM74" s="2">
        <f>求节点(节奏总纲!V$4:V$363,CA$8:CA$367,$CH74)</f>
        <v>0</v>
      </c>
    </row>
    <row r="75" spans="22:91" x14ac:dyDescent="0.2">
      <c r="V75" s="2">
        <v>68</v>
      </c>
      <c r="W75" s="2">
        <f t="shared" si="94"/>
        <v>10748.571428571429</v>
      </c>
      <c r="X75" s="2">
        <f t="shared" si="94"/>
        <v>20954.285714285714</v>
      </c>
      <c r="Y75" s="2">
        <f t="shared" si="95"/>
        <v>20954.285714285714</v>
      </c>
      <c r="Z75" s="2">
        <f t="shared" ref="Z75:AA75" si="101">Y75</f>
        <v>20954.285714285714</v>
      </c>
      <c r="AA75" s="2">
        <f t="shared" si="101"/>
        <v>20954.285714285714</v>
      </c>
      <c r="AQ75" s="2">
        <v>68</v>
      </c>
      <c r="AR75" s="2">
        <f t="shared" si="83"/>
        <v>5822.1428571428569</v>
      </c>
      <c r="AS75" s="2">
        <f t="shared" si="83"/>
        <v>13815.714285714286</v>
      </c>
      <c r="AT75" s="2">
        <f t="shared" si="83"/>
        <v>20357.142857142859</v>
      </c>
      <c r="AU75" s="2">
        <f t="shared" si="83"/>
        <v>30535.714285714286</v>
      </c>
      <c r="AV75" s="2">
        <f t="shared" si="83"/>
        <v>57271.428571428572</v>
      </c>
      <c r="BK75" s="2">
        <v>68</v>
      </c>
      <c r="BL75" s="2">
        <f t="shared" si="84"/>
        <v>868.57142857142856</v>
      </c>
      <c r="BM75" s="2">
        <f t="shared" si="84"/>
        <v>1520</v>
      </c>
      <c r="BN75" s="2">
        <f t="shared" si="84"/>
        <v>2388.5714285714284</v>
      </c>
      <c r="BO75" s="2">
        <f t="shared" si="84"/>
        <v>4125.7142857142853</v>
      </c>
      <c r="BP75" s="2">
        <f t="shared" si="84"/>
        <v>37565.714285714283</v>
      </c>
      <c r="BV75" s="2">
        <v>68</v>
      </c>
      <c r="BW75" s="2">
        <f t="shared" si="89"/>
        <v>17439.285714285714</v>
      </c>
      <c r="BX75" s="2">
        <f t="shared" si="90"/>
        <v>36290</v>
      </c>
      <c r="BY75" s="2">
        <f t="shared" si="91"/>
        <v>43700</v>
      </c>
      <c r="BZ75" s="2">
        <f t="shared" si="92"/>
        <v>55615.714285714283</v>
      </c>
      <c r="CA75" s="2">
        <f t="shared" si="93"/>
        <v>115791.42857142858</v>
      </c>
      <c r="CC75" s="41">
        <f t="shared" si="97"/>
        <v>0.6163424124513619</v>
      </c>
      <c r="CD75" s="41">
        <f t="shared" si="98"/>
        <v>0.33385214007782099</v>
      </c>
      <c r="CE75" s="41">
        <f t="shared" si="99"/>
        <v>4.9805447470817124E-2</v>
      </c>
      <c r="CH75" s="2">
        <v>68</v>
      </c>
      <c r="CI75" s="2">
        <f>求节点(节奏总纲!R$4:R$363,BW$8:BW$367,$CH75)</f>
        <v>36919.675126897841</v>
      </c>
      <c r="CJ75" s="2">
        <f>求节点(节奏总纲!S$4:S$363,BX$8:BX$367,$CH75)</f>
        <v>62875.552534461436</v>
      </c>
      <c r="CK75" s="2">
        <f>求节点(节奏总纲!T$4:T$363,BY$8:BY$367,$CH75)</f>
        <v>55517.57110944626</v>
      </c>
      <c r="CL75" s="2">
        <f>求节点(节奏总纲!U$4:U$363,BZ$8:BZ$367,$CH75)</f>
        <v>40150.92397948444</v>
      </c>
      <c r="CM75" s="2">
        <f>求节点(节奏总纲!V$4:V$363,CA$8:CA$367,$CH75)</f>
        <v>5688.9871940633711</v>
      </c>
    </row>
    <row r="76" spans="22:91" x14ac:dyDescent="0.2">
      <c r="V76" s="2">
        <v>69</v>
      </c>
      <c r="W76" s="2">
        <f t="shared" si="94"/>
        <v>11031.428571428571</v>
      </c>
      <c r="X76" s="2">
        <f t="shared" si="94"/>
        <v>21505.714285714286</v>
      </c>
      <c r="Y76" s="2">
        <f t="shared" si="95"/>
        <v>21505.714285714286</v>
      </c>
      <c r="Z76" s="2">
        <f t="shared" ref="Z76:AA76" si="102">Y76</f>
        <v>21505.714285714286</v>
      </c>
      <c r="AA76" s="2">
        <f t="shared" si="102"/>
        <v>21505.714285714286</v>
      </c>
      <c r="AQ76" s="2">
        <v>69</v>
      </c>
      <c r="AR76" s="2">
        <f t="shared" si="83"/>
        <v>5975.3571428571431</v>
      </c>
      <c r="AS76" s="2">
        <f t="shared" si="83"/>
        <v>14179.285714285714</v>
      </c>
      <c r="AT76" s="2">
        <f t="shared" si="83"/>
        <v>20892.857142857141</v>
      </c>
      <c r="AU76" s="2">
        <f t="shared" si="83"/>
        <v>31339.285714285714</v>
      </c>
      <c r="AV76" s="2">
        <f t="shared" si="83"/>
        <v>58778.571428571428</v>
      </c>
      <c r="BK76" s="2">
        <v>69</v>
      </c>
      <c r="BL76" s="2">
        <f t="shared" si="84"/>
        <v>891.42857142857144</v>
      </c>
      <c r="BM76" s="2">
        <f t="shared" si="84"/>
        <v>1560</v>
      </c>
      <c r="BN76" s="2">
        <f t="shared" si="84"/>
        <v>2451.4285714285716</v>
      </c>
      <c r="BO76" s="2">
        <f t="shared" si="84"/>
        <v>4234.2857142857147</v>
      </c>
      <c r="BP76" s="2">
        <f t="shared" si="84"/>
        <v>38554.285714285717</v>
      </c>
      <c r="BV76" s="2">
        <v>69</v>
      </c>
      <c r="BW76" s="2">
        <f t="shared" si="89"/>
        <v>17898.214285714286</v>
      </c>
      <c r="BX76" s="2">
        <f t="shared" si="90"/>
        <v>37245</v>
      </c>
      <c r="BY76" s="2">
        <f t="shared" si="91"/>
        <v>44850</v>
      </c>
      <c r="BZ76" s="2">
        <f t="shared" si="92"/>
        <v>57079.285714285717</v>
      </c>
      <c r="CA76" s="2">
        <f t="shared" si="93"/>
        <v>118838.57142857142</v>
      </c>
      <c r="CC76" s="41">
        <f t="shared" si="97"/>
        <v>0.61634241245136179</v>
      </c>
      <c r="CD76" s="41">
        <f t="shared" si="98"/>
        <v>0.33385214007782099</v>
      </c>
      <c r="CE76" s="41">
        <f t="shared" si="99"/>
        <v>4.9805447470817117E-2</v>
      </c>
      <c r="CH76" s="2">
        <v>69</v>
      </c>
      <c r="CI76" s="2">
        <f>求节点(节奏总纲!R$4:R$363,BW$8:BW$367,$CH76)</f>
        <v>40590.062553328717</v>
      </c>
      <c r="CJ76" s="2">
        <f>求节点(节奏总纲!S$4:S$363,BX$8:BX$367,$CH76)</f>
        <v>69274.68096299436</v>
      </c>
      <c r="CK76" s="2">
        <f>求节点(节奏总纲!T$4:T$363,BY$8:BY$367,$CH76)</f>
        <v>61988.75901826036</v>
      </c>
      <c r="CL76" s="2">
        <f>求节点(节奏总纲!U$4:U$363,BZ$8:BZ$367,$CH76)</f>
        <v>46177.03386411586</v>
      </c>
      <c r="CM76" s="2">
        <f>求节点(节奏总纲!V$4:V$363,CA$8:CA$367,$CH76)</f>
        <v>12389.805082958321</v>
      </c>
    </row>
    <row r="77" spans="22:91" x14ac:dyDescent="0.2">
      <c r="V77" s="2">
        <v>70</v>
      </c>
      <c r="W77" s="2">
        <f t="shared" si="94"/>
        <v>11314.285714285714</v>
      </c>
      <c r="X77" s="2">
        <f t="shared" si="94"/>
        <v>22057.142857142859</v>
      </c>
      <c r="Y77" s="2">
        <f t="shared" si="95"/>
        <v>22057.142857142859</v>
      </c>
      <c r="Z77" s="2">
        <f t="shared" ref="Z77:AA77" si="103">Y77</f>
        <v>22057.142857142859</v>
      </c>
      <c r="AA77" s="2">
        <f t="shared" si="103"/>
        <v>22057.142857142859</v>
      </c>
      <c r="AQ77" s="2">
        <v>70</v>
      </c>
      <c r="AR77" s="2">
        <f t="shared" si="83"/>
        <v>6128.5714285714284</v>
      </c>
      <c r="AS77" s="2">
        <f t="shared" si="83"/>
        <v>14542.857142857143</v>
      </c>
      <c r="AT77" s="2">
        <f t="shared" si="83"/>
        <v>21428.571428571428</v>
      </c>
      <c r="AU77" s="2">
        <f t="shared" si="83"/>
        <v>32142.857142857141</v>
      </c>
      <c r="AV77" s="2">
        <f t="shared" si="83"/>
        <v>60285.714285714283</v>
      </c>
      <c r="BK77" s="2">
        <v>70</v>
      </c>
      <c r="BL77" s="2">
        <f t="shared" si="84"/>
        <v>914.28571428571433</v>
      </c>
      <c r="BM77" s="2">
        <f t="shared" si="84"/>
        <v>1600</v>
      </c>
      <c r="BN77" s="2">
        <f t="shared" si="84"/>
        <v>2514.2857142857142</v>
      </c>
      <c r="BO77" s="2">
        <f t="shared" si="84"/>
        <v>4342.8571428571431</v>
      </c>
      <c r="BP77" s="2">
        <f t="shared" si="84"/>
        <v>39542.857142857145</v>
      </c>
      <c r="BV77" s="2">
        <v>70</v>
      </c>
      <c r="BW77" s="2">
        <f t="shared" si="89"/>
        <v>18357.142857142855</v>
      </c>
      <c r="BX77" s="2">
        <f t="shared" si="90"/>
        <v>38200</v>
      </c>
      <c r="BY77" s="2">
        <f t="shared" si="91"/>
        <v>46000.000000000007</v>
      </c>
      <c r="BZ77" s="2">
        <f t="shared" si="92"/>
        <v>58542.857142857145</v>
      </c>
      <c r="CA77" s="2">
        <f t="shared" si="93"/>
        <v>121885.71428571429</v>
      </c>
      <c r="CC77" s="41">
        <f t="shared" si="97"/>
        <v>0.6163424124513619</v>
      </c>
      <c r="CD77" s="41">
        <f t="shared" si="98"/>
        <v>0.33385214007782105</v>
      </c>
      <c r="CE77" s="41">
        <f t="shared" si="99"/>
        <v>4.9805447470817131E-2</v>
      </c>
      <c r="CH77" s="2">
        <v>70</v>
      </c>
      <c r="CI77" s="2">
        <f>求节点(节奏总纲!R$4:R$363,BW$8:BW$367,$CH77)</f>
        <v>44516.071428571428</v>
      </c>
      <c r="CJ77" s="2">
        <f>求节点(节奏总纲!S$4:S$363,BX$8:BX$367,$CH77)</f>
        <v>76372.822570350836</v>
      </c>
      <c r="CK77" s="2">
        <f>求节点(节奏总纲!T$4:T$363,BY$8:BY$367,$CH77)</f>
        <v>69127.128761646847</v>
      </c>
      <c r="CL77" s="2">
        <f>求节点(节奏总纲!U$4:U$363,BZ$8:BZ$367,$CH77)</f>
        <v>52586.233711172215</v>
      </c>
      <c r="CM77" s="2">
        <f>求节点(节奏总纲!V$4:V$363,CA$8:CA$367,$CH77)</f>
        <v>19862.017655947635</v>
      </c>
    </row>
    <row r="78" spans="22:91" x14ac:dyDescent="0.2">
      <c r="V78" s="2">
        <v>71</v>
      </c>
      <c r="W78" s="2">
        <f t="shared" si="94"/>
        <v>11597.142857142857</v>
      </c>
      <c r="X78" s="2">
        <f t="shared" si="94"/>
        <v>22608.571428571428</v>
      </c>
      <c r="Y78" s="2">
        <f t="shared" si="95"/>
        <v>22608.571428571428</v>
      </c>
      <c r="Z78" s="2">
        <f t="shared" ref="Z78:AA78" si="104">Y78</f>
        <v>22608.571428571428</v>
      </c>
      <c r="AA78" s="2">
        <f t="shared" si="104"/>
        <v>22608.571428571428</v>
      </c>
      <c r="AQ78" s="2">
        <v>71</v>
      </c>
      <c r="AR78" s="2">
        <f t="shared" ref="AR78:AV87" si="105">MAX($AQ78-$C$2,0)*INDEX($AN$8:$AN$44,MATCH(AR$7,$AO$8:$AO$44,0))/$C$3</f>
        <v>6281.7857142857147</v>
      </c>
      <c r="AS78" s="2">
        <f t="shared" si="105"/>
        <v>14906.428571428571</v>
      </c>
      <c r="AT78" s="2">
        <f t="shared" si="105"/>
        <v>21964.285714285714</v>
      </c>
      <c r="AU78" s="2">
        <f t="shared" si="105"/>
        <v>32946.428571428572</v>
      </c>
      <c r="AV78" s="2">
        <f t="shared" si="105"/>
        <v>61792.857142857145</v>
      </c>
      <c r="BK78" s="2">
        <v>71</v>
      </c>
      <c r="BL78" s="2">
        <f t="shared" ref="BL78:BP87" si="106">IFERROR(MAX($BK78-$C$2,0)*INDEX($BH$8:$BH$16,MATCH(BL$7,$BI$8:$BI$16,0))*$C$4/$C$3,BM78)</f>
        <v>937.14285714285711</v>
      </c>
      <c r="BM78" s="2">
        <f t="shared" si="106"/>
        <v>1640</v>
      </c>
      <c r="BN78" s="2">
        <f t="shared" si="106"/>
        <v>2577.1428571428573</v>
      </c>
      <c r="BO78" s="2">
        <f t="shared" si="106"/>
        <v>4451.4285714285716</v>
      </c>
      <c r="BP78" s="2">
        <f t="shared" si="106"/>
        <v>40531.428571428572</v>
      </c>
      <c r="BV78" s="2">
        <v>71</v>
      </c>
      <c r="BW78" s="2">
        <f t="shared" si="89"/>
        <v>18816.071428571431</v>
      </c>
      <c r="BX78" s="2">
        <f t="shared" si="90"/>
        <v>39155</v>
      </c>
      <c r="BY78" s="2">
        <f t="shared" si="91"/>
        <v>47150</v>
      </c>
      <c r="BZ78" s="2">
        <f t="shared" si="92"/>
        <v>60006.428571428572</v>
      </c>
      <c r="CA78" s="2">
        <f t="shared" si="93"/>
        <v>124932.85714285716</v>
      </c>
      <c r="CC78" s="41">
        <f t="shared" si="97"/>
        <v>0.61634241245136179</v>
      </c>
      <c r="CD78" s="41">
        <f t="shared" si="98"/>
        <v>0.33385214007782099</v>
      </c>
      <c r="CE78" s="41">
        <f t="shared" si="99"/>
        <v>4.980544747081711E-2</v>
      </c>
      <c r="CH78" s="2">
        <v>71</v>
      </c>
      <c r="CI78" s="2">
        <f>求节点(节奏总纲!R$4:R$363,BW$8:BW$367,$CH78)</f>
        <v>48737.191160029637</v>
      </c>
      <c r="CJ78" s="2">
        <f>求节点(节奏总纲!S$4:S$363,BX$8:BX$367,$CH78)</f>
        <v>84073.620323154071</v>
      </c>
      <c r="CK78" s="2">
        <f>求节点(节奏总纲!T$4:T$363,BY$8:BY$367,$CH78)</f>
        <v>76582.251268785738</v>
      </c>
      <c r="CL78" s="2">
        <f>求节点(节奏总纲!U$4:U$363,BZ$8:BZ$367,$CH78)</f>
        <v>59460.43717894685</v>
      </c>
      <c r="CM78" s="2">
        <f>求节点(节奏总纲!V$4:V$363,CA$8:CA$367,$CH78)</f>
        <v>27828.128573422782</v>
      </c>
    </row>
    <row r="79" spans="22:91" x14ac:dyDescent="0.2">
      <c r="V79" s="2">
        <v>72</v>
      </c>
      <c r="W79" s="2">
        <f t="shared" si="94"/>
        <v>11880</v>
      </c>
      <c r="X79" s="2">
        <f t="shared" si="94"/>
        <v>23160</v>
      </c>
      <c r="Y79" s="2">
        <f t="shared" si="95"/>
        <v>23160</v>
      </c>
      <c r="Z79" s="2">
        <f t="shared" ref="Z79:AA79" si="107">Y79</f>
        <v>23160</v>
      </c>
      <c r="AA79" s="2">
        <f t="shared" si="107"/>
        <v>23160</v>
      </c>
      <c r="AQ79" s="2">
        <v>72</v>
      </c>
      <c r="AR79" s="2">
        <f t="shared" si="105"/>
        <v>6435</v>
      </c>
      <c r="AS79" s="2">
        <f t="shared" si="105"/>
        <v>15270</v>
      </c>
      <c r="AT79" s="2">
        <f t="shared" si="105"/>
        <v>22500</v>
      </c>
      <c r="AU79" s="2">
        <f t="shared" si="105"/>
        <v>33750</v>
      </c>
      <c r="AV79" s="2">
        <f t="shared" si="105"/>
        <v>63300</v>
      </c>
      <c r="BK79" s="2">
        <v>72</v>
      </c>
      <c r="BL79" s="2">
        <f t="shared" si="106"/>
        <v>960</v>
      </c>
      <c r="BM79" s="2">
        <f t="shared" si="106"/>
        <v>1680</v>
      </c>
      <c r="BN79" s="2">
        <f t="shared" si="106"/>
        <v>2640</v>
      </c>
      <c r="BO79" s="2">
        <f t="shared" si="106"/>
        <v>4560</v>
      </c>
      <c r="BP79" s="2">
        <f t="shared" si="106"/>
        <v>41520</v>
      </c>
      <c r="BV79" s="2">
        <v>72</v>
      </c>
      <c r="BW79" s="2">
        <f t="shared" si="89"/>
        <v>19275</v>
      </c>
      <c r="BX79" s="2">
        <f t="shared" si="90"/>
        <v>40110</v>
      </c>
      <c r="BY79" s="2">
        <f t="shared" si="91"/>
        <v>48300</v>
      </c>
      <c r="BZ79" s="2">
        <f t="shared" si="92"/>
        <v>61470</v>
      </c>
      <c r="CA79" s="2">
        <f t="shared" si="93"/>
        <v>127980</v>
      </c>
      <c r="CC79" s="41">
        <f t="shared" si="97"/>
        <v>0.6163424124513619</v>
      </c>
      <c r="CD79" s="41">
        <f t="shared" si="98"/>
        <v>0.33385214007782099</v>
      </c>
      <c r="CE79" s="41">
        <f t="shared" si="99"/>
        <v>4.9805447470817124E-2</v>
      </c>
      <c r="CH79" s="2">
        <v>72</v>
      </c>
      <c r="CI79" s="2">
        <f>求节点(节奏总纲!R$4:R$363,BW$8:BW$367,$CH79)</f>
        <v>53252.098201051798</v>
      </c>
      <c r="CJ79" s="2">
        <f>求节点(节奏总纲!S$4:S$363,BX$8:BX$367,$CH79)</f>
        <v>92243.183708640019</v>
      </c>
      <c r="CK79" s="2">
        <f>求节点(节奏总纲!T$4:T$363,BY$8:BY$367,$CH79)</f>
        <v>84335.511413769811</v>
      </c>
      <c r="CL79" s="2">
        <f>求节点(节奏总纲!U$4:U$363,BZ$8:BZ$367,$CH79)</f>
        <v>66746.544927747498</v>
      </c>
      <c r="CM79" s="2">
        <f>求节点(节奏总纲!V$4:V$363,CA$8:CA$367,$CH79)</f>
        <v>36271.803315151243</v>
      </c>
    </row>
    <row r="80" spans="22:91" x14ac:dyDescent="0.2">
      <c r="V80" s="2">
        <v>73</v>
      </c>
      <c r="W80" s="2">
        <f t="shared" si="94"/>
        <v>12162.857142857143</v>
      </c>
      <c r="X80" s="2">
        <f t="shared" si="94"/>
        <v>23711.428571428572</v>
      </c>
      <c r="Y80" s="2">
        <f t="shared" si="95"/>
        <v>23711.428571428572</v>
      </c>
      <c r="Z80" s="2">
        <f t="shared" ref="Z80:AA80" si="108">Y80</f>
        <v>23711.428571428572</v>
      </c>
      <c r="AA80" s="2">
        <f t="shared" si="108"/>
        <v>23711.428571428572</v>
      </c>
      <c r="AQ80" s="2">
        <v>73</v>
      </c>
      <c r="AR80" s="2">
        <f t="shared" si="105"/>
        <v>6588.2142857142853</v>
      </c>
      <c r="AS80" s="2">
        <f t="shared" si="105"/>
        <v>15633.571428571429</v>
      </c>
      <c r="AT80" s="2">
        <f t="shared" si="105"/>
        <v>23035.714285714286</v>
      </c>
      <c r="AU80" s="2">
        <f t="shared" si="105"/>
        <v>34553.571428571428</v>
      </c>
      <c r="AV80" s="2">
        <f t="shared" si="105"/>
        <v>64807.142857142855</v>
      </c>
      <c r="BK80" s="2">
        <v>73</v>
      </c>
      <c r="BL80" s="2">
        <f t="shared" si="106"/>
        <v>982.85714285714289</v>
      </c>
      <c r="BM80" s="2">
        <f t="shared" si="106"/>
        <v>1720</v>
      </c>
      <c r="BN80" s="2">
        <f t="shared" si="106"/>
        <v>2702.8571428571427</v>
      </c>
      <c r="BO80" s="2">
        <f t="shared" si="106"/>
        <v>4668.5714285714284</v>
      </c>
      <c r="BP80" s="2">
        <f t="shared" si="106"/>
        <v>42508.571428571428</v>
      </c>
      <c r="BV80" s="2">
        <v>73</v>
      </c>
      <c r="BW80" s="2">
        <f t="shared" si="89"/>
        <v>19733.928571428569</v>
      </c>
      <c r="BX80" s="2">
        <f t="shared" si="90"/>
        <v>41065</v>
      </c>
      <c r="BY80" s="2">
        <f t="shared" si="91"/>
        <v>49450</v>
      </c>
      <c r="BZ80" s="2">
        <f t="shared" si="92"/>
        <v>62933.571428571428</v>
      </c>
      <c r="CA80" s="2">
        <f t="shared" si="93"/>
        <v>131027.14285714284</v>
      </c>
      <c r="CC80" s="41">
        <f t="shared" si="97"/>
        <v>0.61634241245136201</v>
      </c>
      <c r="CD80" s="41">
        <f t="shared" si="98"/>
        <v>0.33385214007782105</v>
      </c>
      <c r="CE80" s="41">
        <f t="shared" si="99"/>
        <v>4.9805447470817131E-2</v>
      </c>
      <c r="CH80" s="2">
        <v>73</v>
      </c>
      <c r="CI80" s="2">
        <f>求节点(节奏总纲!R$4:R$363,BW$8:BW$367,$CH80)</f>
        <v>58101.820353943971</v>
      </c>
      <c r="CJ80" s="2">
        <f>求节点(节奏总纲!S$4:S$363,BX$8:BX$367,$CH80)</f>
        <v>100695.27431378985</v>
      </c>
      <c r="CK80" s="2">
        <f>求节点(节奏总纲!T$4:T$363,BY$8:BY$367,$CH80)</f>
        <v>92699.557484533361</v>
      </c>
      <c r="CL80" s="2">
        <f>求节点(节奏总纲!U$4:U$363,BZ$8:BZ$367,$CH80)</f>
        <v>74582.401411982515</v>
      </c>
      <c r="CM80" s="2">
        <f>求节点(节奏总纲!V$4:V$363,CA$8:CA$367,$CH80)</f>
        <v>45365.727779154215</v>
      </c>
    </row>
    <row r="81" spans="22:91" x14ac:dyDescent="0.2">
      <c r="V81" s="2">
        <v>74</v>
      </c>
      <c r="W81" s="2">
        <f t="shared" si="94"/>
        <v>12445.714285714286</v>
      </c>
      <c r="X81" s="2">
        <f t="shared" si="94"/>
        <v>24262.857142857141</v>
      </c>
      <c r="Y81" s="2">
        <f t="shared" si="95"/>
        <v>24262.857142857141</v>
      </c>
      <c r="Z81" s="2">
        <f t="shared" ref="Z81:AA81" si="109">Y81</f>
        <v>24262.857142857141</v>
      </c>
      <c r="AA81" s="2">
        <f t="shared" si="109"/>
        <v>24262.857142857141</v>
      </c>
      <c r="AQ81" s="2">
        <v>74</v>
      </c>
      <c r="AR81" s="2">
        <f t="shared" si="105"/>
        <v>6741.4285714285716</v>
      </c>
      <c r="AS81" s="2">
        <f t="shared" si="105"/>
        <v>15997.142857142857</v>
      </c>
      <c r="AT81" s="2">
        <f t="shared" si="105"/>
        <v>23571.428571428572</v>
      </c>
      <c r="AU81" s="2">
        <f t="shared" si="105"/>
        <v>35357.142857142855</v>
      </c>
      <c r="AV81" s="2">
        <f t="shared" si="105"/>
        <v>66314.28571428571</v>
      </c>
      <c r="BK81" s="2">
        <v>74</v>
      </c>
      <c r="BL81" s="2">
        <f t="shared" si="106"/>
        <v>1005.7142857142857</v>
      </c>
      <c r="BM81" s="2">
        <f t="shared" si="106"/>
        <v>1760</v>
      </c>
      <c r="BN81" s="2">
        <f t="shared" si="106"/>
        <v>2765.7142857142858</v>
      </c>
      <c r="BO81" s="2">
        <f t="shared" si="106"/>
        <v>4777.1428571428569</v>
      </c>
      <c r="BP81" s="2">
        <f t="shared" si="106"/>
        <v>43497.142857142855</v>
      </c>
      <c r="BV81" s="2">
        <v>74</v>
      </c>
      <c r="BW81" s="2">
        <f t="shared" si="89"/>
        <v>20192.857142857145</v>
      </c>
      <c r="BX81" s="2">
        <f t="shared" si="90"/>
        <v>42020</v>
      </c>
      <c r="BY81" s="2">
        <f t="shared" si="91"/>
        <v>50599.999999999993</v>
      </c>
      <c r="BZ81" s="2">
        <f t="shared" si="92"/>
        <v>64397.142857142855</v>
      </c>
      <c r="CA81" s="2">
        <f t="shared" si="93"/>
        <v>134074.28571428571</v>
      </c>
      <c r="CC81" s="41">
        <f t="shared" si="97"/>
        <v>0.61634241245136179</v>
      </c>
      <c r="CD81" s="41">
        <f t="shared" si="98"/>
        <v>0.33385214007782099</v>
      </c>
      <c r="CE81" s="41">
        <f t="shared" si="99"/>
        <v>4.980544747081711E-2</v>
      </c>
      <c r="CH81" s="2">
        <v>74</v>
      </c>
      <c r="CI81" s="2">
        <f>求节点(节奏总纲!R$4:R$363,BW$8:BW$367,$CH81)</f>
        <v>63287.73785649037</v>
      </c>
      <c r="CJ81" s="2">
        <f>求节点(节奏总纲!S$4:S$363,BX$8:BX$367,$CH81)</f>
        <v>109992.51658280203</v>
      </c>
      <c r="CK81" s="2">
        <f>求节点(节奏总纲!T$4:T$363,BY$8:BY$367,$CH81)</f>
        <v>102024.36109817137</v>
      </c>
      <c r="CL81" s="2">
        <f>求节点(节奏总纲!U$4:U$363,BZ$8:BZ$367,$CH81)</f>
        <v>83244.491375291211</v>
      </c>
      <c r="CM81" s="2">
        <f>求节点(节奏总纲!V$4:V$363,CA$8:CA$367,$CH81)</f>
        <v>55403.284200188864</v>
      </c>
    </row>
    <row r="82" spans="22:91" x14ac:dyDescent="0.2">
      <c r="V82" s="2">
        <v>75</v>
      </c>
      <c r="W82" s="2">
        <f t="shared" si="94"/>
        <v>12728.571428571429</v>
      </c>
      <c r="X82" s="2">
        <f t="shared" si="94"/>
        <v>24814.285714285714</v>
      </c>
      <c r="Y82" s="2">
        <f t="shared" si="95"/>
        <v>24814.285714285714</v>
      </c>
      <c r="Z82" s="2">
        <f t="shared" ref="Z82:AA82" si="110">Y82</f>
        <v>24814.285714285714</v>
      </c>
      <c r="AA82" s="2">
        <f t="shared" si="110"/>
        <v>24814.285714285714</v>
      </c>
      <c r="AQ82" s="2">
        <v>75</v>
      </c>
      <c r="AR82" s="2">
        <f t="shared" si="105"/>
        <v>6894.6428571428569</v>
      </c>
      <c r="AS82" s="2">
        <f t="shared" si="105"/>
        <v>16360.714285714286</v>
      </c>
      <c r="AT82" s="2">
        <f t="shared" si="105"/>
        <v>24107.142857142859</v>
      </c>
      <c r="AU82" s="2">
        <f t="shared" si="105"/>
        <v>36160.714285714283</v>
      </c>
      <c r="AV82" s="2">
        <f t="shared" si="105"/>
        <v>67821.428571428565</v>
      </c>
      <c r="BK82" s="2">
        <v>75</v>
      </c>
      <c r="BL82" s="2">
        <f t="shared" si="106"/>
        <v>1028.5714285714287</v>
      </c>
      <c r="BM82" s="2">
        <f t="shared" si="106"/>
        <v>1800</v>
      </c>
      <c r="BN82" s="2">
        <f t="shared" si="106"/>
        <v>2828.5714285714284</v>
      </c>
      <c r="BO82" s="2">
        <f t="shared" si="106"/>
        <v>4885.7142857142853</v>
      </c>
      <c r="BP82" s="2">
        <f t="shared" si="106"/>
        <v>44485.714285714283</v>
      </c>
      <c r="BV82" s="2">
        <v>75</v>
      </c>
      <c r="BW82" s="2">
        <f t="shared" si="89"/>
        <v>20651.785714285714</v>
      </c>
      <c r="BX82" s="2">
        <f t="shared" si="90"/>
        <v>42975</v>
      </c>
      <c r="BY82" s="2">
        <f t="shared" si="91"/>
        <v>51750</v>
      </c>
      <c r="BZ82" s="2">
        <f t="shared" si="92"/>
        <v>65860.71428571429</v>
      </c>
      <c r="CA82" s="2">
        <f t="shared" si="93"/>
        <v>137121.42857142855</v>
      </c>
      <c r="CC82" s="41">
        <f t="shared" si="97"/>
        <v>0.6163424124513619</v>
      </c>
      <c r="CD82" s="41">
        <f t="shared" si="98"/>
        <v>0.33385214007782099</v>
      </c>
      <c r="CE82" s="41">
        <f t="shared" si="99"/>
        <v>4.9805447470817124E-2</v>
      </c>
      <c r="CH82" s="2">
        <v>75</v>
      </c>
      <c r="CI82" s="2">
        <f>求节点(节奏总纲!R$4:R$363,BW$8:BW$367,$CH82)</f>
        <v>68848.783274766669</v>
      </c>
      <c r="CJ82" s="2">
        <f>求节点(节奏总纲!S$4:S$363,BX$8:BX$367,$CH82)</f>
        <v>120104.02095177327</v>
      </c>
      <c r="CK82" s="2">
        <f>求节点(节奏总纲!T$4:T$363,BY$8:BY$367,$CH82)</f>
        <v>112002.94496190218</v>
      </c>
      <c r="CL82" s="2">
        <f>求节点(节奏总纲!U$4:U$363,BZ$8:BZ$367,$CH82)</f>
        <v>92536.547067114356</v>
      </c>
      <c r="CM82" s="2">
        <f>求节点(节奏总纲!V$4:V$363,CA$8:CA$367,$CH82)</f>
        <v>66339.774125883938</v>
      </c>
    </row>
    <row r="83" spans="22:91" x14ac:dyDescent="0.2">
      <c r="V83" s="2">
        <v>76</v>
      </c>
      <c r="W83" s="2">
        <f t="shared" si="94"/>
        <v>13011.428571428571</v>
      </c>
      <c r="X83" s="2">
        <f t="shared" si="94"/>
        <v>25365.714285714286</v>
      </c>
      <c r="Y83" s="2">
        <f t="shared" si="95"/>
        <v>25365.714285714286</v>
      </c>
      <c r="Z83" s="2">
        <f t="shared" ref="Z83:AA83" si="111">Y83</f>
        <v>25365.714285714286</v>
      </c>
      <c r="AA83" s="2">
        <f t="shared" si="111"/>
        <v>25365.714285714286</v>
      </c>
      <c r="AQ83" s="2">
        <v>76</v>
      </c>
      <c r="AR83" s="2">
        <f t="shared" si="105"/>
        <v>7047.8571428571431</v>
      </c>
      <c r="AS83" s="2">
        <f t="shared" si="105"/>
        <v>16724.285714285714</v>
      </c>
      <c r="AT83" s="2">
        <f t="shared" si="105"/>
        <v>24642.857142857141</v>
      </c>
      <c r="AU83" s="2">
        <f t="shared" si="105"/>
        <v>36964.285714285717</v>
      </c>
      <c r="AV83" s="2">
        <f t="shared" si="105"/>
        <v>69328.571428571435</v>
      </c>
      <c r="BK83" s="2">
        <v>76</v>
      </c>
      <c r="BL83" s="2">
        <f t="shared" si="106"/>
        <v>1051.4285714285713</v>
      </c>
      <c r="BM83" s="2">
        <f t="shared" si="106"/>
        <v>1840</v>
      </c>
      <c r="BN83" s="2">
        <f t="shared" si="106"/>
        <v>2891.4285714285716</v>
      </c>
      <c r="BO83" s="2">
        <f t="shared" si="106"/>
        <v>4994.2857142857147</v>
      </c>
      <c r="BP83" s="2">
        <f t="shared" si="106"/>
        <v>45474.285714285717</v>
      </c>
      <c r="BV83" s="2">
        <v>76</v>
      </c>
      <c r="BW83" s="2">
        <f t="shared" si="89"/>
        <v>21110.714285714286</v>
      </c>
      <c r="BX83" s="2">
        <f t="shared" si="90"/>
        <v>43930</v>
      </c>
      <c r="BY83" s="2">
        <f t="shared" si="91"/>
        <v>52900</v>
      </c>
      <c r="BZ83" s="2">
        <f t="shared" si="92"/>
        <v>67324.28571428571</v>
      </c>
      <c r="CA83" s="2">
        <f t="shared" si="93"/>
        <v>140168.57142857145</v>
      </c>
      <c r="CC83" s="41">
        <f t="shared" si="97"/>
        <v>0.61634241245136179</v>
      </c>
      <c r="CD83" s="41">
        <f t="shared" si="98"/>
        <v>0.33385214007782099</v>
      </c>
      <c r="CE83" s="41">
        <f t="shared" si="99"/>
        <v>4.9805447470817117E-2</v>
      </c>
      <c r="CH83" s="2">
        <v>76</v>
      </c>
      <c r="CI83" s="2">
        <f>求节点(节奏总纲!R$4:R$363,BW$8:BW$367,$CH83)</f>
        <v>74811.117236510181</v>
      </c>
      <c r="CJ83" s="2">
        <f>求节点(节奏总纲!S$4:S$363,BX$8:BX$367,$CH83)</f>
        <v>130812.4103454685</v>
      </c>
      <c r="CK83" s="2">
        <f>求节点(节奏总纲!T$4:T$363,BY$8:BY$367,$CH83)</f>
        <v>122521.09197966001</v>
      </c>
      <c r="CL83" s="2">
        <f>求节点(节奏总纲!U$4:U$363,BZ$8:BZ$367,$CH83)</f>
        <v>102509.94402723771</v>
      </c>
      <c r="CM83" s="2">
        <f>求节点(节奏总纲!V$4:V$363,CA$8:CA$367,$CH83)</f>
        <v>78197.007225135865</v>
      </c>
    </row>
    <row r="84" spans="22:91" x14ac:dyDescent="0.2">
      <c r="V84" s="2">
        <v>77</v>
      </c>
      <c r="W84" s="2">
        <f t="shared" si="94"/>
        <v>13294.285714285714</v>
      </c>
      <c r="X84" s="2">
        <f t="shared" si="94"/>
        <v>25917.142857142859</v>
      </c>
      <c r="Y84" s="2">
        <f t="shared" si="95"/>
        <v>25917.142857142859</v>
      </c>
      <c r="Z84" s="2">
        <f t="shared" ref="Z84:AA84" si="112">Y84</f>
        <v>25917.142857142859</v>
      </c>
      <c r="AA84" s="2">
        <f t="shared" si="112"/>
        <v>25917.142857142859</v>
      </c>
      <c r="AQ84" s="2">
        <v>77</v>
      </c>
      <c r="AR84" s="2">
        <f t="shared" si="105"/>
        <v>7201.0714285714284</v>
      </c>
      <c r="AS84" s="2">
        <f t="shared" si="105"/>
        <v>17087.857142857141</v>
      </c>
      <c r="AT84" s="2">
        <f t="shared" si="105"/>
        <v>25178.571428571428</v>
      </c>
      <c r="AU84" s="2">
        <f t="shared" si="105"/>
        <v>37767.857142857145</v>
      </c>
      <c r="AV84" s="2">
        <f t="shared" si="105"/>
        <v>70835.71428571429</v>
      </c>
      <c r="BK84" s="2">
        <v>77</v>
      </c>
      <c r="BL84" s="2">
        <f t="shared" si="106"/>
        <v>1074.2857142857142</v>
      </c>
      <c r="BM84" s="2">
        <f t="shared" si="106"/>
        <v>1880</v>
      </c>
      <c r="BN84" s="2">
        <f t="shared" si="106"/>
        <v>2954.2857142857142</v>
      </c>
      <c r="BO84" s="2">
        <f t="shared" si="106"/>
        <v>5102.8571428571431</v>
      </c>
      <c r="BP84" s="2">
        <f t="shared" si="106"/>
        <v>46462.857142857145</v>
      </c>
      <c r="BV84" s="2">
        <v>77</v>
      </c>
      <c r="BW84" s="2">
        <f t="shared" si="89"/>
        <v>21569.642857142855</v>
      </c>
      <c r="BX84" s="2">
        <f t="shared" si="90"/>
        <v>44885</v>
      </c>
      <c r="BY84" s="2">
        <f t="shared" si="91"/>
        <v>54050.000000000007</v>
      </c>
      <c r="BZ84" s="2">
        <f t="shared" si="92"/>
        <v>68787.857142857145</v>
      </c>
      <c r="CA84" s="2">
        <f t="shared" si="93"/>
        <v>143215.71428571429</v>
      </c>
      <c r="CC84" s="41">
        <f t="shared" si="97"/>
        <v>0.6163424124513619</v>
      </c>
      <c r="CD84" s="41">
        <f t="shared" si="98"/>
        <v>0.33385214007782105</v>
      </c>
      <c r="CE84" s="41">
        <f t="shared" si="99"/>
        <v>4.9805447470817124E-2</v>
      </c>
      <c r="CH84" s="2">
        <v>77</v>
      </c>
      <c r="CI84" s="2">
        <f>求节点(节奏总纲!R$4:R$363,BW$8:BW$367,$CH84)</f>
        <v>81203.099611939164</v>
      </c>
      <c r="CJ84" s="2">
        <f>求节点(节奏总纲!S$4:S$363,BX$8:BX$367,$CH84)</f>
        <v>142420.26380257899</v>
      </c>
      <c r="CK84" s="2">
        <f>求节点(节奏总纲!T$4:T$363,BY$8:BY$367,$CH84)</f>
        <v>134030.52383150681</v>
      </c>
      <c r="CL84" s="2">
        <f>求节点(节奏总纲!U$4:U$363,BZ$8:BZ$367,$CH84)</f>
        <v>113328.11328429675</v>
      </c>
      <c r="CM84" s="2">
        <f>求节点(节奏总纲!V$4:V$363,CA$8:CA$367,$CH84)</f>
        <v>90045.810609968001</v>
      </c>
    </row>
    <row r="85" spans="22:91" x14ac:dyDescent="0.2">
      <c r="V85" s="2">
        <v>78</v>
      </c>
      <c r="W85" s="2">
        <f t="shared" si="94"/>
        <v>13577.142857142857</v>
      </c>
      <c r="X85" s="2">
        <f t="shared" si="94"/>
        <v>26468.571428571428</v>
      </c>
      <c r="Y85" s="2">
        <f t="shared" si="95"/>
        <v>26468.571428571428</v>
      </c>
      <c r="Z85" s="2">
        <f t="shared" ref="Z85:AA85" si="113">Y85</f>
        <v>26468.571428571428</v>
      </c>
      <c r="AA85" s="2">
        <f t="shared" si="113"/>
        <v>26468.571428571428</v>
      </c>
      <c r="AQ85" s="2">
        <v>78</v>
      </c>
      <c r="AR85" s="2">
        <f t="shared" si="105"/>
        <v>7354.2857142857147</v>
      </c>
      <c r="AS85" s="2">
        <f t="shared" si="105"/>
        <v>17451.428571428572</v>
      </c>
      <c r="AT85" s="2">
        <f t="shared" si="105"/>
        <v>25714.285714285714</v>
      </c>
      <c r="AU85" s="2">
        <f t="shared" si="105"/>
        <v>38571.428571428572</v>
      </c>
      <c r="AV85" s="2">
        <f t="shared" si="105"/>
        <v>72342.857142857145</v>
      </c>
      <c r="BK85" s="2">
        <v>78</v>
      </c>
      <c r="BL85" s="2">
        <f t="shared" si="106"/>
        <v>1097.1428571428571</v>
      </c>
      <c r="BM85" s="2">
        <f t="shared" si="106"/>
        <v>1920</v>
      </c>
      <c r="BN85" s="2">
        <f t="shared" si="106"/>
        <v>3017.1428571428573</v>
      </c>
      <c r="BO85" s="2">
        <f t="shared" si="106"/>
        <v>5211.4285714285716</v>
      </c>
      <c r="BP85" s="2">
        <f t="shared" si="106"/>
        <v>47451.428571428572</v>
      </c>
      <c r="BV85" s="2">
        <v>78</v>
      </c>
      <c r="BW85" s="2">
        <f t="shared" si="89"/>
        <v>22028.571428571431</v>
      </c>
      <c r="BX85" s="2">
        <f t="shared" si="90"/>
        <v>45840</v>
      </c>
      <c r="BY85" s="2">
        <f t="shared" si="91"/>
        <v>55200</v>
      </c>
      <c r="BZ85" s="2">
        <f t="shared" si="92"/>
        <v>70251.428571428565</v>
      </c>
      <c r="CA85" s="2">
        <f t="shared" si="93"/>
        <v>146262.85714285716</v>
      </c>
      <c r="CC85" s="41">
        <f t="shared" si="97"/>
        <v>0.61634241245136179</v>
      </c>
      <c r="CD85" s="41">
        <f t="shared" si="98"/>
        <v>0.33385214007782099</v>
      </c>
      <c r="CE85" s="41">
        <f t="shared" si="99"/>
        <v>4.980544747081711E-2</v>
      </c>
      <c r="CH85" s="2">
        <v>78</v>
      </c>
      <c r="CI85" s="2">
        <f>求节点(节奏总纲!R$4:R$363,BW$8:BW$367,$CH85)</f>
        <v>88054.182962518258</v>
      </c>
      <c r="CJ85" s="2">
        <f>求节点(节奏总纲!S$4:S$363,BX$8:BX$367,$CH85)</f>
        <v>154754.28021638645</v>
      </c>
      <c r="CK85" s="2">
        <f>求节点(节奏总纲!T$4:T$363,BY$8:BY$367,$CH85)</f>
        <v>146332.90092873145</v>
      </c>
      <c r="CL85" s="2">
        <f>求节点(节奏总纲!U$4:U$363,BZ$8:BZ$367,$CH85)</f>
        <v>124654.71444605498</v>
      </c>
      <c r="CM85" s="2">
        <f>求节点(节奏总纲!V$4:V$363,CA$8:CA$367,$CH85)</f>
        <v>102598.46278005301</v>
      </c>
    </row>
    <row r="86" spans="22:91" x14ac:dyDescent="0.2">
      <c r="V86" s="2">
        <v>79</v>
      </c>
      <c r="W86" s="2">
        <f t="shared" si="94"/>
        <v>13860</v>
      </c>
      <c r="X86" s="2">
        <f t="shared" si="94"/>
        <v>27020</v>
      </c>
      <c r="Y86" s="2">
        <f t="shared" si="95"/>
        <v>27020</v>
      </c>
      <c r="Z86" s="2">
        <f t="shared" ref="Z86:AA86" si="114">Y86</f>
        <v>27020</v>
      </c>
      <c r="AA86" s="2">
        <f t="shared" si="114"/>
        <v>27020</v>
      </c>
      <c r="AQ86" s="2">
        <v>79</v>
      </c>
      <c r="AR86" s="2">
        <f t="shared" si="105"/>
        <v>7507.5</v>
      </c>
      <c r="AS86" s="2">
        <f t="shared" si="105"/>
        <v>17815</v>
      </c>
      <c r="AT86" s="2">
        <f t="shared" si="105"/>
        <v>26250</v>
      </c>
      <c r="AU86" s="2">
        <f t="shared" si="105"/>
        <v>39375</v>
      </c>
      <c r="AV86" s="2">
        <f t="shared" si="105"/>
        <v>73850</v>
      </c>
      <c r="BK86" s="2">
        <v>79</v>
      </c>
      <c r="BL86" s="2">
        <f t="shared" si="106"/>
        <v>1120</v>
      </c>
      <c r="BM86" s="2">
        <f t="shared" si="106"/>
        <v>1960</v>
      </c>
      <c r="BN86" s="2">
        <f t="shared" si="106"/>
        <v>3080</v>
      </c>
      <c r="BO86" s="2">
        <f t="shared" si="106"/>
        <v>5320</v>
      </c>
      <c r="BP86" s="2">
        <f t="shared" si="106"/>
        <v>48440</v>
      </c>
      <c r="BV86" s="2">
        <v>79</v>
      </c>
      <c r="BW86" s="2">
        <f t="shared" si="89"/>
        <v>22487.5</v>
      </c>
      <c r="BX86" s="2">
        <f t="shared" si="90"/>
        <v>46795</v>
      </c>
      <c r="BY86" s="2">
        <f t="shared" si="91"/>
        <v>56350</v>
      </c>
      <c r="BZ86" s="2">
        <f t="shared" si="92"/>
        <v>71715</v>
      </c>
      <c r="CA86" s="2">
        <f t="shared" si="93"/>
        <v>149310</v>
      </c>
      <c r="CC86" s="41">
        <f t="shared" si="97"/>
        <v>0.6163424124513619</v>
      </c>
      <c r="CD86" s="41">
        <f t="shared" si="98"/>
        <v>0.33385214007782099</v>
      </c>
      <c r="CE86" s="41">
        <f t="shared" si="99"/>
        <v>4.9805447470817124E-2</v>
      </c>
      <c r="CH86" s="2">
        <v>79</v>
      </c>
      <c r="CI86" s="2">
        <f>求节点(节奏总纲!R$4:R$363,BW$8:BW$367,$CH86)</f>
        <v>95395.07694530148</v>
      </c>
      <c r="CJ86" s="2">
        <f>求节点(节奏总纲!S$4:S$363,BX$8:BX$367,$CH86)</f>
        <v>168160.04471215684</v>
      </c>
      <c r="CK86" s="2">
        <f>求节点(节奏总纲!T$4:T$363,BY$8:BY$367,$CH86)</f>
        <v>159547.56432801863</v>
      </c>
      <c r="CL86" s="2">
        <f>求节点(节奏总纲!U$4:U$363,BZ$8:BZ$367,$CH86)</f>
        <v>136289.3364039865</v>
      </c>
      <c r="CM86" s="2">
        <f>求节点(节奏总纲!V$4:V$363,CA$8:CA$367,$CH86)</f>
        <v>116176.87132818665</v>
      </c>
    </row>
    <row r="87" spans="22:91" x14ac:dyDescent="0.2">
      <c r="V87" s="2">
        <v>80</v>
      </c>
      <c r="W87" s="2">
        <f t="shared" si="94"/>
        <v>14142.857142857143</v>
      </c>
      <c r="X87" s="2">
        <f t="shared" si="94"/>
        <v>27571.428571428572</v>
      </c>
      <c r="Y87" s="2">
        <f t="shared" si="95"/>
        <v>27571.428571428572</v>
      </c>
      <c r="Z87" s="2">
        <f t="shared" ref="Z87:AA87" si="115">Y87</f>
        <v>27571.428571428572</v>
      </c>
      <c r="AA87" s="2">
        <f t="shared" si="115"/>
        <v>27571.428571428572</v>
      </c>
      <c r="AQ87" s="2">
        <v>80</v>
      </c>
      <c r="AR87" s="2">
        <f t="shared" si="105"/>
        <v>7660.7142857142853</v>
      </c>
      <c r="AS87" s="2">
        <f t="shared" si="105"/>
        <v>18178.571428571428</v>
      </c>
      <c r="AT87" s="2">
        <f t="shared" si="105"/>
        <v>26785.714285714286</v>
      </c>
      <c r="AU87" s="2">
        <f t="shared" si="105"/>
        <v>40178.571428571428</v>
      </c>
      <c r="AV87" s="2">
        <f t="shared" si="105"/>
        <v>75357.142857142855</v>
      </c>
      <c r="BK87" s="2">
        <v>80</v>
      </c>
      <c r="BL87" s="2">
        <f t="shared" si="106"/>
        <v>1142.8571428571429</v>
      </c>
      <c r="BM87" s="2">
        <f t="shared" si="106"/>
        <v>2000</v>
      </c>
      <c r="BN87" s="2">
        <f t="shared" si="106"/>
        <v>3142.8571428571427</v>
      </c>
      <c r="BO87" s="2">
        <f t="shared" si="106"/>
        <v>5428.5714285714284</v>
      </c>
      <c r="BP87" s="2">
        <f t="shared" si="106"/>
        <v>49428.571428571428</v>
      </c>
      <c r="BV87" s="2">
        <v>80</v>
      </c>
      <c r="BW87" s="2">
        <f t="shared" si="89"/>
        <v>22946.428571428569</v>
      </c>
      <c r="BX87" s="2">
        <f t="shared" si="90"/>
        <v>47750</v>
      </c>
      <c r="BY87" s="2">
        <f t="shared" si="91"/>
        <v>57500</v>
      </c>
      <c r="BZ87" s="2">
        <f t="shared" si="92"/>
        <v>73178.571428571435</v>
      </c>
      <c r="CA87" s="2">
        <f t="shared" si="93"/>
        <v>152357.14285714284</v>
      </c>
      <c r="CC87" s="41">
        <f t="shared" si="97"/>
        <v>0.6163424124513619</v>
      </c>
      <c r="CD87" s="41">
        <f t="shared" si="98"/>
        <v>0.33385214007782105</v>
      </c>
      <c r="CE87" s="41">
        <f t="shared" si="99"/>
        <v>4.9805447470817131E-2</v>
      </c>
      <c r="CH87" s="2">
        <v>80</v>
      </c>
      <c r="CI87" s="2">
        <f>求节点(节奏总纲!R$4:R$363,BW$8:BW$367,$CH87)</f>
        <v>103258.92857142857</v>
      </c>
      <c r="CJ87" s="2">
        <f>求节点(节奏总纲!S$4:S$363,BX$8:BX$367,$CH87)</f>
        <v>182487.49944583085</v>
      </c>
      <c r="CK87" s="2">
        <f>求节点(节奏总纲!T$4:T$363,BY$8:BY$367,$CH87)</f>
        <v>172902.36712772364</v>
      </c>
      <c r="CL87" s="2">
        <f>求节点(节奏总纲!U$4:U$363,BZ$8:BZ$367,$CH87)</f>
        <v>148698.28310648634</v>
      </c>
      <c r="CM87" s="2">
        <f>求节点(节奏总纲!V$4:V$363,CA$8:CA$367,$CH87)</f>
        <v>130392.64252049697</v>
      </c>
    </row>
    <row r="88" spans="22:91" x14ac:dyDescent="0.2">
      <c r="V88" s="2">
        <v>81</v>
      </c>
      <c r="W88" s="2">
        <f t="shared" si="94"/>
        <v>14425.714285714286</v>
      </c>
      <c r="X88" s="2">
        <f t="shared" si="94"/>
        <v>28122.857142857141</v>
      </c>
      <c r="Y88" s="2">
        <f t="shared" si="95"/>
        <v>28122.857142857141</v>
      </c>
      <c r="Z88" s="2">
        <f t="shared" ref="Z88:AA88" si="116">Y88</f>
        <v>28122.857142857141</v>
      </c>
      <c r="AA88" s="2">
        <f t="shared" si="116"/>
        <v>28122.857142857141</v>
      </c>
      <c r="AQ88" s="2">
        <v>81</v>
      </c>
      <c r="AR88" s="2">
        <f t="shared" ref="AR88:AV97" si="117">MAX($AQ88-$C$2,0)*INDEX($AN$8:$AN$44,MATCH(AR$7,$AO$8:$AO$44,0))/$C$3</f>
        <v>7813.9285714285716</v>
      </c>
      <c r="AS88" s="2">
        <f t="shared" si="117"/>
        <v>18542.142857142859</v>
      </c>
      <c r="AT88" s="2">
        <f t="shared" si="117"/>
        <v>27321.428571428572</v>
      </c>
      <c r="AU88" s="2">
        <f t="shared" si="117"/>
        <v>40982.142857142855</v>
      </c>
      <c r="AV88" s="2">
        <f t="shared" si="117"/>
        <v>76864.28571428571</v>
      </c>
      <c r="BK88" s="2">
        <v>81</v>
      </c>
      <c r="BL88" s="2">
        <f t="shared" ref="BL88:BP97" si="118">IFERROR(MAX($BK88-$C$2,0)*INDEX($BH$8:$BH$16,MATCH(BL$7,$BI$8:$BI$16,0))*$C$4/$C$3,BM88)</f>
        <v>1165.7142857142858</v>
      </c>
      <c r="BM88" s="2">
        <f t="shared" si="118"/>
        <v>2040</v>
      </c>
      <c r="BN88" s="2">
        <f t="shared" si="118"/>
        <v>3205.7142857142858</v>
      </c>
      <c r="BO88" s="2">
        <f t="shared" si="118"/>
        <v>5537.1428571428569</v>
      </c>
      <c r="BP88" s="2">
        <f t="shared" si="118"/>
        <v>50417.142857142855</v>
      </c>
      <c r="BV88" s="2">
        <v>81</v>
      </c>
      <c r="BW88" s="2">
        <f t="shared" si="89"/>
        <v>23405.357142857145</v>
      </c>
      <c r="BX88" s="2">
        <f t="shared" si="90"/>
        <v>48705</v>
      </c>
      <c r="BY88" s="2">
        <f t="shared" si="91"/>
        <v>58649.999999999993</v>
      </c>
      <c r="BZ88" s="2">
        <f t="shared" si="92"/>
        <v>74642.142857142855</v>
      </c>
      <c r="CA88" s="2">
        <f t="shared" si="93"/>
        <v>155404.28571428571</v>
      </c>
      <c r="CC88" s="41">
        <f t="shared" si="97"/>
        <v>0.61634241245136179</v>
      </c>
      <c r="CD88" s="41">
        <f t="shared" si="98"/>
        <v>0.33385214007782099</v>
      </c>
      <c r="CE88" s="41">
        <f t="shared" si="99"/>
        <v>4.9805447470817117E-2</v>
      </c>
      <c r="CH88" s="2">
        <v>81</v>
      </c>
      <c r="CI88" s="2">
        <f>求节点(节奏总纲!R$4:R$363,BW$8:BW$367,$CH88)</f>
        <v>111698.79531998368</v>
      </c>
      <c r="CJ88" s="2">
        <f>求节点(节奏总纲!S$4:S$363,BX$8:BX$367,$CH88)</f>
        <v>197094.09256360339</v>
      </c>
      <c r="CK88" s="2">
        <f>求节点(节奏总纲!T$4:T$363,BY$8:BY$367,$CH88)</f>
        <v>187101.12614326156</v>
      </c>
      <c r="CL88" s="2">
        <f>求节点(节奏总纲!U$4:U$363,BZ$8:BZ$367,$CH88)</f>
        <v>162129.19607283748</v>
      </c>
      <c r="CM88" s="2">
        <f>求节点(节奏总纲!V$4:V$363,CA$8:CA$367,$CH88)</f>
        <v>145847.4726627777</v>
      </c>
    </row>
    <row r="89" spans="22:91" x14ac:dyDescent="0.2">
      <c r="V89" s="2">
        <v>82</v>
      </c>
      <c r="W89" s="2">
        <f t="shared" si="94"/>
        <v>14708.571428571429</v>
      </c>
      <c r="X89" s="2">
        <f t="shared" si="94"/>
        <v>28674.285714285714</v>
      </c>
      <c r="Y89" s="2">
        <f t="shared" si="95"/>
        <v>28674.285714285714</v>
      </c>
      <c r="Z89" s="2">
        <f t="shared" ref="Z89:AA89" si="119">Y89</f>
        <v>28674.285714285714</v>
      </c>
      <c r="AA89" s="2">
        <f t="shared" si="119"/>
        <v>28674.285714285714</v>
      </c>
      <c r="AQ89" s="2">
        <v>82</v>
      </c>
      <c r="AR89" s="2">
        <f t="shared" si="117"/>
        <v>7967.1428571428569</v>
      </c>
      <c r="AS89" s="2">
        <f t="shared" si="117"/>
        <v>18905.714285714286</v>
      </c>
      <c r="AT89" s="2">
        <f t="shared" si="117"/>
        <v>27857.142857142859</v>
      </c>
      <c r="AU89" s="2">
        <f t="shared" si="117"/>
        <v>41785.714285714283</v>
      </c>
      <c r="AV89" s="2">
        <f t="shared" si="117"/>
        <v>78371.428571428565</v>
      </c>
      <c r="BK89" s="2">
        <v>82</v>
      </c>
      <c r="BL89" s="2">
        <f t="shared" si="118"/>
        <v>1188.5714285714287</v>
      </c>
      <c r="BM89" s="2">
        <f t="shared" si="118"/>
        <v>2080</v>
      </c>
      <c r="BN89" s="2">
        <f t="shared" si="118"/>
        <v>3268.5714285714284</v>
      </c>
      <c r="BO89" s="2">
        <f t="shared" si="118"/>
        <v>5645.7142857142853</v>
      </c>
      <c r="BP89" s="2">
        <f t="shared" si="118"/>
        <v>51405.714285714283</v>
      </c>
      <c r="BV89" s="2">
        <v>82</v>
      </c>
      <c r="BW89" s="2">
        <f t="shared" si="89"/>
        <v>23864.285714285714</v>
      </c>
      <c r="BX89" s="2">
        <f t="shared" si="90"/>
        <v>49660</v>
      </c>
      <c r="BY89" s="2">
        <f t="shared" si="91"/>
        <v>59800</v>
      </c>
      <c r="BZ89" s="2">
        <f t="shared" si="92"/>
        <v>76105.71428571429</v>
      </c>
      <c r="CA89" s="2">
        <f t="shared" si="93"/>
        <v>158451.42857142855</v>
      </c>
      <c r="CC89" s="41">
        <f t="shared" si="97"/>
        <v>0.6163424124513619</v>
      </c>
      <c r="CD89" s="41">
        <f t="shared" si="98"/>
        <v>0.33385214007782099</v>
      </c>
      <c r="CE89" s="41">
        <f t="shared" si="99"/>
        <v>4.9805447470817124E-2</v>
      </c>
      <c r="CH89" s="2">
        <v>82</v>
      </c>
      <c r="CI89" s="2">
        <f>求节点(节奏总纲!R$4:R$363,BW$8:BW$367,$CH89)</f>
        <v>120730.90396366165</v>
      </c>
      <c r="CJ89" s="2">
        <f>求节点(节奏总纲!S$4:S$363,BX$8:BX$367,$CH89)</f>
        <v>213120.76671319309</v>
      </c>
      <c r="CK89" s="2">
        <f>求节点(节奏总纲!T$4:T$363,BY$8:BY$367,$CH89)</f>
        <v>202862.19802909865</v>
      </c>
      <c r="CL89" s="2">
        <f>求节点(节奏总纲!U$4:U$363,BZ$8:BZ$367,$CH89)</f>
        <v>176832.24837373203</v>
      </c>
      <c r="CM89" s="2">
        <f>求节点(节奏总纲!V$4:V$363,CA$8:CA$367,$CH89)</f>
        <v>162260.18113476198</v>
      </c>
    </row>
    <row r="90" spans="22:91" x14ac:dyDescent="0.2">
      <c r="V90" s="2">
        <v>83</v>
      </c>
      <c r="W90" s="2">
        <f t="shared" si="94"/>
        <v>14991.428571428571</v>
      </c>
      <c r="X90" s="2">
        <f t="shared" si="94"/>
        <v>29225.714285714286</v>
      </c>
      <c r="Y90" s="2">
        <f t="shared" si="95"/>
        <v>29225.714285714286</v>
      </c>
      <c r="Z90" s="2">
        <f t="shared" ref="Z90:AA90" si="120">Y90</f>
        <v>29225.714285714286</v>
      </c>
      <c r="AA90" s="2">
        <f t="shared" si="120"/>
        <v>29225.714285714286</v>
      </c>
      <c r="AQ90" s="2">
        <v>83</v>
      </c>
      <c r="AR90" s="2">
        <f t="shared" si="117"/>
        <v>8120.3571428571431</v>
      </c>
      <c r="AS90" s="2">
        <f t="shared" si="117"/>
        <v>19269.285714285714</v>
      </c>
      <c r="AT90" s="2">
        <f t="shared" si="117"/>
        <v>28392.857142857141</v>
      </c>
      <c r="AU90" s="2">
        <f t="shared" si="117"/>
        <v>42589.285714285717</v>
      </c>
      <c r="AV90" s="2">
        <f t="shared" si="117"/>
        <v>79878.571428571435</v>
      </c>
      <c r="BK90" s="2">
        <v>83</v>
      </c>
      <c r="BL90" s="2">
        <f t="shared" si="118"/>
        <v>1211.4285714285713</v>
      </c>
      <c r="BM90" s="2">
        <f t="shared" si="118"/>
        <v>2120</v>
      </c>
      <c r="BN90" s="2">
        <f t="shared" si="118"/>
        <v>3331.4285714285716</v>
      </c>
      <c r="BO90" s="2">
        <f t="shared" si="118"/>
        <v>5754.2857142857147</v>
      </c>
      <c r="BP90" s="2">
        <f t="shared" si="118"/>
        <v>52394.285714285717</v>
      </c>
      <c r="BV90" s="2">
        <v>83</v>
      </c>
      <c r="BW90" s="2">
        <f t="shared" si="89"/>
        <v>24323.214285714286</v>
      </c>
      <c r="BX90" s="2">
        <f t="shared" si="90"/>
        <v>50615</v>
      </c>
      <c r="BY90" s="2">
        <f t="shared" si="91"/>
        <v>60950</v>
      </c>
      <c r="BZ90" s="2">
        <f t="shared" si="92"/>
        <v>77569.28571428571</v>
      </c>
      <c r="CA90" s="2">
        <f t="shared" si="93"/>
        <v>161498.57142857145</v>
      </c>
      <c r="CC90" s="41">
        <f t="shared" si="97"/>
        <v>0.61634241245136179</v>
      </c>
      <c r="CD90" s="41">
        <f t="shared" si="98"/>
        <v>0.33385214007782099</v>
      </c>
      <c r="CE90" s="41">
        <f t="shared" si="99"/>
        <v>4.9805447470817117E-2</v>
      </c>
      <c r="CH90" s="2">
        <v>83</v>
      </c>
      <c r="CI90" s="2">
        <f>求节点(节奏总纲!R$4:R$363,BW$8:BW$367,$CH90)</f>
        <v>130419.74924660765</v>
      </c>
      <c r="CJ90" s="2">
        <f>求节点(节奏总纲!S$4:S$363,BX$8:BX$367,$CH90)</f>
        <v>230686.93994116419</v>
      </c>
      <c r="CK90" s="2">
        <f>求节点(节奏总纲!T$4:T$363,BY$8:BY$367,$CH90)</f>
        <v>220297.89612455087</v>
      </c>
      <c r="CL90" s="2">
        <f>求节点(节奏总纲!U$4:U$363,BZ$8:BZ$367,$CH90)</f>
        <v>192595.72424800418</v>
      </c>
      <c r="CM90" s="2">
        <f>求节点(节奏总纲!V$4:V$363,CA$8:CA$367,$CH90)</f>
        <v>180410.41161155497</v>
      </c>
    </row>
    <row r="91" spans="22:91" x14ac:dyDescent="0.2">
      <c r="V91" s="2">
        <v>84</v>
      </c>
      <c r="W91" s="2">
        <f t="shared" si="94"/>
        <v>15274.285714285714</v>
      </c>
      <c r="X91" s="2">
        <f t="shared" si="94"/>
        <v>29777.142857142859</v>
      </c>
      <c r="Y91" s="2">
        <f t="shared" si="95"/>
        <v>29777.142857142859</v>
      </c>
      <c r="Z91" s="2">
        <f t="shared" ref="Z91:AA91" si="121">Y91</f>
        <v>29777.142857142859</v>
      </c>
      <c r="AA91" s="2">
        <f t="shared" si="121"/>
        <v>29777.142857142859</v>
      </c>
      <c r="AQ91" s="2">
        <v>84</v>
      </c>
      <c r="AR91" s="2">
        <f t="shared" si="117"/>
        <v>8273.5714285714294</v>
      </c>
      <c r="AS91" s="2">
        <f t="shared" si="117"/>
        <v>19632.857142857141</v>
      </c>
      <c r="AT91" s="2">
        <f t="shared" si="117"/>
        <v>28928.571428571428</v>
      </c>
      <c r="AU91" s="2">
        <f t="shared" si="117"/>
        <v>43392.857142857145</v>
      </c>
      <c r="AV91" s="2">
        <f t="shared" si="117"/>
        <v>81385.71428571429</v>
      </c>
      <c r="BK91" s="2">
        <v>84</v>
      </c>
      <c r="BL91" s="2">
        <f t="shared" si="118"/>
        <v>1234.2857142857142</v>
      </c>
      <c r="BM91" s="2">
        <f t="shared" si="118"/>
        <v>2160</v>
      </c>
      <c r="BN91" s="2">
        <f t="shared" si="118"/>
        <v>3394.2857142857142</v>
      </c>
      <c r="BO91" s="2">
        <f t="shared" si="118"/>
        <v>5862.8571428571431</v>
      </c>
      <c r="BP91" s="2">
        <f t="shared" si="118"/>
        <v>53382.857142857145</v>
      </c>
      <c r="BV91" s="2">
        <v>84</v>
      </c>
      <c r="BW91" s="2">
        <f t="shared" si="89"/>
        <v>24782.142857142859</v>
      </c>
      <c r="BX91" s="2">
        <f t="shared" si="90"/>
        <v>51570</v>
      </c>
      <c r="BY91" s="2">
        <f t="shared" si="91"/>
        <v>62100.000000000007</v>
      </c>
      <c r="BZ91" s="2">
        <f t="shared" si="92"/>
        <v>79032.857142857145</v>
      </c>
      <c r="CA91" s="2">
        <f t="shared" si="93"/>
        <v>164545.71428571429</v>
      </c>
      <c r="CC91" s="41">
        <f t="shared" si="97"/>
        <v>0.61634241245136179</v>
      </c>
      <c r="CD91" s="41">
        <f t="shared" si="98"/>
        <v>0.33385214007782105</v>
      </c>
      <c r="CE91" s="41">
        <f t="shared" si="99"/>
        <v>4.9805447470817117E-2</v>
      </c>
      <c r="CH91" s="2">
        <v>84</v>
      </c>
      <c r="CI91" s="2">
        <f>求节点(节奏总纲!R$4:R$363,BW$8:BW$367,$CH91)</f>
        <v>140801.64035933409</v>
      </c>
      <c r="CJ91" s="2">
        <f>求节点(节奏总纲!S$4:S$363,BX$8:BX$367,$CH91)</f>
        <v>249509.63032463408</v>
      </c>
      <c r="CK91" s="2">
        <f>求节点(节奏总纲!T$4:T$363,BY$8:BY$367,$CH91)</f>
        <v>238375.34945754398</v>
      </c>
      <c r="CL91" s="2">
        <f>求节点(节奏总纲!U$4:U$363,BZ$8:BZ$367,$CH91)</f>
        <v>209260.73450183825</v>
      </c>
      <c r="CM91" s="2">
        <f>求节点(节奏总纲!V$4:V$363,CA$8:CA$367,$CH91)</f>
        <v>200087.67101108003</v>
      </c>
    </row>
    <row r="92" spans="22:91" x14ac:dyDescent="0.2">
      <c r="V92" s="2">
        <v>85</v>
      </c>
      <c r="W92" s="2">
        <f t="shared" si="94"/>
        <v>15557.142857142857</v>
      </c>
      <c r="X92" s="2">
        <f t="shared" si="94"/>
        <v>30328.571428571428</v>
      </c>
      <c r="Y92" s="2">
        <f t="shared" si="95"/>
        <v>30328.571428571428</v>
      </c>
      <c r="Z92" s="2">
        <f t="shared" ref="Z92:AA92" si="122">Y92</f>
        <v>30328.571428571428</v>
      </c>
      <c r="AA92" s="2">
        <f t="shared" si="122"/>
        <v>30328.571428571428</v>
      </c>
      <c r="AQ92" s="2">
        <v>85</v>
      </c>
      <c r="AR92" s="2">
        <f t="shared" si="117"/>
        <v>8426.7857142857138</v>
      </c>
      <c r="AS92" s="2">
        <f t="shared" si="117"/>
        <v>19996.428571428572</v>
      </c>
      <c r="AT92" s="2">
        <f t="shared" si="117"/>
        <v>29464.285714285714</v>
      </c>
      <c r="AU92" s="2">
        <f t="shared" si="117"/>
        <v>44196.428571428572</v>
      </c>
      <c r="AV92" s="2">
        <f t="shared" si="117"/>
        <v>82892.857142857145</v>
      </c>
      <c r="BK92" s="2">
        <v>85</v>
      </c>
      <c r="BL92" s="2">
        <f t="shared" si="118"/>
        <v>1257.1428571428571</v>
      </c>
      <c r="BM92" s="2">
        <f t="shared" si="118"/>
        <v>2200</v>
      </c>
      <c r="BN92" s="2">
        <f t="shared" si="118"/>
        <v>3457.1428571428573</v>
      </c>
      <c r="BO92" s="2">
        <f t="shared" si="118"/>
        <v>5971.4285714285716</v>
      </c>
      <c r="BP92" s="2">
        <f t="shared" si="118"/>
        <v>54371.428571428572</v>
      </c>
      <c r="BV92" s="2">
        <v>85</v>
      </c>
      <c r="BW92" s="2">
        <f t="shared" si="89"/>
        <v>25241.071428571431</v>
      </c>
      <c r="BX92" s="2">
        <f t="shared" si="90"/>
        <v>52525</v>
      </c>
      <c r="BY92" s="2">
        <f t="shared" si="91"/>
        <v>63250</v>
      </c>
      <c r="BZ92" s="2">
        <f t="shared" si="92"/>
        <v>80496.428571428565</v>
      </c>
      <c r="CA92" s="2">
        <f t="shared" si="93"/>
        <v>167592.85714285716</v>
      </c>
      <c r="CC92" s="41">
        <f t="shared" si="97"/>
        <v>0.61634241245136179</v>
      </c>
      <c r="CD92" s="41">
        <f t="shared" si="98"/>
        <v>0.33385214007782094</v>
      </c>
      <c r="CE92" s="41">
        <f t="shared" si="99"/>
        <v>4.9805447470817117E-2</v>
      </c>
      <c r="CH92" s="2">
        <v>85</v>
      </c>
      <c r="CI92" s="2">
        <f>求节点(节奏总纲!R$4:R$363,BW$8:BW$367,$CH92)</f>
        <v>151446.42857142855</v>
      </c>
      <c r="CJ92" s="2">
        <f>求节点(节奏总纲!S$4:S$363,BX$8:BX$367,$CH92)</f>
        <v>269059.41206786584</v>
      </c>
      <c r="CK92" s="2">
        <f>求节点(节奏总纲!T$4:T$363,BY$8:BY$367,$CH92)</f>
        <v>257514.16588166292</v>
      </c>
      <c r="CL92" s="2">
        <f>求节点(节奏总纲!U$4:U$363,BZ$8:BZ$367,$CH92)</f>
        <v>227726.42613821646</v>
      </c>
      <c r="CM92" s="2">
        <f>求节点(节奏总纲!V$4:V$363,CA$8:CA$367,$CH92)</f>
        <v>220970.34994317821</v>
      </c>
    </row>
    <row r="93" spans="22:91" x14ac:dyDescent="0.2">
      <c r="V93" s="2">
        <v>86</v>
      </c>
      <c r="W93" s="2">
        <f t="shared" si="94"/>
        <v>15840</v>
      </c>
      <c r="X93" s="2">
        <f t="shared" si="94"/>
        <v>30880</v>
      </c>
      <c r="Y93" s="2">
        <f t="shared" si="95"/>
        <v>30880</v>
      </c>
      <c r="Z93" s="2">
        <f t="shared" ref="Z93:AA93" si="123">Y93</f>
        <v>30880</v>
      </c>
      <c r="AA93" s="2">
        <f t="shared" si="123"/>
        <v>30880</v>
      </c>
      <c r="AQ93" s="2">
        <v>86</v>
      </c>
      <c r="AR93" s="2">
        <f t="shared" si="117"/>
        <v>8580</v>
      </c>
      <c r="AS93" s="2">
        <f t="shared" si="117"/>
        <v>20360</v>
      </c>
      <c r="AT93" s="2">
        <f t="shared" si="117"/>
        <v>30000</v>
      </c>
      <c r="AU93" s="2">
        <f t="shared" si="117"/>
        <v>45000</v>
      </c>
      <c r="AV93" s="2">
        <f t="shared" si="117"/>
        <v>84400</v>
      </c>
      <c r="BK93" s="2">
        <v>86</v>
      </c>
      <c r="BL93" s="2">
        <f t="shared" si="118"/>
        <v>1280</v>
      </c>
      <c r="BM93" s="2">
        <f t="shared" si="118"/>
        <v>2240</v>
      </c>
      <c r="BN93" s="2">
        <f t="shared" si="118"/>
        <v>3520</v>
      </c>
      <c r="BO93" s="2">
        <f t="shared" si="118"/>
        <v>6080</v>
      </c>
      <c r="BP93" s="2">
        <f t="shared" si="118"/>
        <v>55360</v>
      </c>
      <c r="BV93" s="2">
        <v>86</v>
      </c>
      <c r="BW93" s="2">
        <f t="shared" si="89"/>
        <v>25700</v>
      </c>
      <c r="BX93" s="2">
        <f t="shared" si="90"/>
        <v>53480</v>
      </c>
      <c r="BY93" s="2">
        <f t="shared" si="91"/>
        <v>64400</v>
      </c>
      <c r="BZ93" s="2">
        <f t="shared" si="92"/>
        <v>81960</v>
      </c>
      <c r="CA93" s="2">
        <f t="shared" si="93"/>
        <v>170640</v>
      </c>
      <c r="CC93" s="41">
        <f t="shared" si="97"/>
        <v>0.6163424124513619</v>
      </c>
      <c r="CD93" s="41">
        <f t="shared" si="98"/>
        <v>0.33385214007782099</v>
      </c>
      <c r="CE93" s="41">
        <f t="shared" si="99"/>
        <v>4.9805447470817124E-2</v>
      </c>
      <c r="CH93" s="2">
        <v>86</v>
      </c>
      <c r="CI93" s="2">
        <f>求节点(节奏总纲!R$4:R$363,BW$8:BW$367,$CH93)</f>
        <v>151446.42857142855</v>
      </c>
      <c r="CJ93" s="2">
        <f>求节点(节奏总纲!S$4:S$363,BX$8:BX$367,$CH93)</f>
        <v>290321.27969092911</v>
      </c>
      <c r="CK93" s="2">
        <f>求节点(节奏总纲!T$4:T$363,BY$8:BY$367,$CH93)</f>
        <v>278587.44348757633</v>
      </c>
      <c r="CL93" s="2">
        <f>求节点(节奏总纲!U$4:U$363,BZ$8:BZ$367,$CH93)</f>
        <v>247904.58275599618</v>
      </c>
      <c r="CM93" s="2">
        <f>求节点(节奏总纲!V$4:V$363,CA$8:CA$367,$CH93)</f>
        <v>240571.87659468368</v>
      </c>
    </row>
    <row r="94" spans="22:91" x14ac:dyDescent="0.2">
      <c r="V94" s="2">
        <v>87</v>
      </c>
      <c r="W94" s="2">
        <f t="shared" si="94"/>
        <v>16122.857142857143</v>
      </c>
      <c r="X94" s="2">
        <f t="shared" si="94"/>
        <v>31431.428571428572</v>
      </c>
      <c r="Y94" s="2">
        <f t="shared" si="95"/>
        <v>31431.428571428572</v>
      </c>
      <c r="Z94" s="2">
        <f t="shared" ref="Z94:AA94" si="124">Y94</f>
        <v>31431.428571428572</v>
      </c>
      <c r="AA94" s="2">
        <f t="shared" si="124"/>
        <v>31431.428571428572</v>
      </c>
      <c r="AQ94" s="2">
        <v>87</v>
      </c>
      <c r="AR94" s="2">
        <f t="shared" si="117"/>
        <v>8733.2142857142862</v>
      </c>
      <c r="AS94" s="2">
        <f t="shared" si="117"/>
        <v>20723.571428571428</v>
      </c>
      <c r="AT94" s="2">
        <f t="shared" si="117"/>
        <v>30535.714285714286</v>
      </c>
      <c r="AU94" s="2">
        <f t="shared" si="117"/>
        <v>45803.571428571428</v>
      </c>
      <c r="AV94" s="2">
        <f t="shared" si="117"/>
        <v>85907.142857142855</v>
      </c>
      <c r="BK94" s="2">
        <v>87</v>
      </c>
      <c r="BL94" s="2">
        <f t="shared" si="118"/>
        <v>1302.8571428571429</v>
      </c>
      <c r="BM94" s="2">
        <f t="shared" si="118"/>
        <v>2280</v>
      </c>
      <c r="BN94" s="2">
        <f t="shared" si="118"/>
        <v>3582.8571428571427</v>
      </c>
      <c r="BO94" s="2">
        <f t="shared" si="118"/>
        <v>6188.5714285714284</v>
      </c>
      <c r="BP94" s="2">
        <f t="shared" si="118"/>
        <v>56348.571428571428</v>
      </c>
      <c r="BV94" s="2">
        <v>87</v>
      </c>
      <c r="BW94" s="2">
        <f t="shared" si="89"/>
        <v>26158.928571428569</v>
      </c>
      <c r="BX94" s="2">
        <f t="shared" si="90"/>
        <v>54435</v>
      </c>
      <c r="BY94" s="2">
        <f t="shared" si="91"/>
        <v>65550</v>
      </c>
      <c r="BZ94" s="2">
        <f t="shared" si="92"/>
        <v>83423.571428571435</v>
      </c>
      <c r="CA94" s="2">
        <f t="shared" si="93"/>
        <v>173687.14285714284</v>
      </c>
      <c r="CC94" s="41">
        <f t="shared" si="97"/>
        <v>0.6163424124513619</v>
      </c>
      <c r="CD94" s="41">
        <f t="shared" si="98"/>
        <v>0.33385214007782105</v>
      </c>
      <c r="CE94" s="41">
        <f t="shared" si="99"/>
        <v>4.9805447470817124E-2</v>
      </c>
      <c r="CH94" s="2">
        <v>87</v>
      </c>
      <c r="CI94" s="2">
        <f>求节点(节奏总纲!R$4:R$363,BW$8:BW$367,$CH94)</f>
        <v>151446.42857142855</v>
      </c>
      <c r="CJ94" s="2">
        <f>求节点(节奏总纲!S$4:S$363,BX$8:BX$367,$CH94)</f>
        <v>313528.92799408332</v>
      </c>
      <c r="CK94" s="2">
        <f>求节点(节奏总纲!T$4:T$363,BY$8:BY$367,$CH94)</f>
        <v>301767.58843002009</v>
      </c>
      <c r="CL94" s="2">
        <f>求节点(节奏总纲!U$4:U$363,BZ$8:BZ$367,$CH94)</f>
        <v>267226.8138046033</v>
      </c>
      <c r="CM94" s="2">
        <f>求节点(节奏总纲!V$4:V$363,CA$8:CA$367,$CH94)</f>
        <v>261341.32661823111</v>
      </c>
    </row>
    <row r="95" spans="22:91" x14ac:dyDescent="0.2">
      <c r="V95" s="2">
        <v>88</v>
      </c>
      <c r="W95" s="2">
        <f t="shared" si="94"/>
        <v>16405.714285714286</v>
      </c>
      <c r="X95" s="2">
        <f t="shared" si="94"/>
        <v>31982.857142857141</v>
      </c>
      <c r="Y95" s="2">
        <f t="shared" si="95"/>
        <v>31982.857142857141</v>
      </c>
      <c r="Z95" s="2">
        <f t="shared" ref="Z95:AA95" si="125">Y95</f>
        <v>31982.857142857141</v>
      </c>
      <c r="AA95" s="2">
        <f t="shared" si="125"/>
        <v>31982.857142857141</v>
      </c>
      <c r="AQ95" s="2">
        <v>88</v>
      </c>
      <c r="AR95" s="2">
        <f t="shared" si="117"/>
        <v>8886.4285714285706</v>
      </c>
      <c r="AS95" s="2">
        <f t="shared" si="117"/>
        <v>21087.142857142859</v>
      </c>
      <c r="AT95" s="2">
        <f t="shared" si="117"/>
        <v>31071.428571428572</v>
      </c>
      <c r="AU95" s="2">
        <f t="shared" si="117"/>
        <v>46607.142857142855</v>
      </c>
      <c r="AV95" s="2">
        <f t="shared" si="117"/>
        <v>87414.28571428571</v>
      </c>
      <c r="BK95" s="2">
        <v>88</v>
      </c>
      <c r="BL95" s="2">
        <f t="shared" si="118"/>
        <v>1325.7142857142858</v>
      </c>
      <c r="BM95" s="2">
        <f t="shared" si="118"/>
        <v>2320</v>
      </c>
      <c r="BN95" s="2">
        <f t="shared" si="118"/>
        <v>3645.7142857142858</v>
      </c>
      <c r="BO95" s="2">
        <f t="shared" si="118"/>
        <v>6297.1428571428569</v>
      </c>
      <c r="BP95" s="2">
        <f t="shared" si="118"/>
        <v>57337.142857142855</v>
      </c>
      <c r="BV95" s="2">
        <v>88</v>
      </c>
      <c r="BW95" s="2">
        <f t="shared" si="89"/>
        <v>26617.857142857141</v>
      </c>
      <c r="BX95" s="2">
        <f t="shared" si="90"/>
        <v>55390</v>
      </c>
      <c r="BY95" s="2">
        <f t="shared" si="91"/>
        <v>66700</v>
      </c>
      <c r="BZ95" s="2">
        <f t="shared" si="92"/>
        <v>84887.142857142855</v>
      </c>
      <c r="CA95" s="2">
        <f t="shared" si="93"/>
        <v>176734.28571428571</v>
      </c>
      <c r="CC95" s="41">
        <f t="shared" si="97"/>
        <v>0.6163424124513619</v>
      </c>
      <c r="CD95" s="41">
        <f t="shared" si="98"/>
        <v>0.33385214007782099</v>
      </c>
      <c r="CE95" s="41">
        <f t="shared" si="99"/>
        <v>4.9805447470817124E-2</v>
      </c>
      <c r="CH95" s="2">
        <v>88</v>
      </c>
      <c r="CI95" s="2">
        <f>求节点(节奏总纲!R$4:R$363,BW$8:BW$367,$CH95)</f>
        <v>151446.42857142855</v>
      </c>
      <c r="CJ95" s="2">
        <f>求节点(节奏总纲!S$4:S$363,BX$8:BX$367,$CH95)</f>
        <v>315150</v>
      </c>
      <c r="CK95" s="2">
        <f>求节点(节奏总纲!T$4:T$363,BY$8:BY$367,$CH95)</f>
        <v>325338.28159311815</v>
      </c>
      <c r="CL95" s="2">
        <f>求节点(节奏总纲!U$4:U$363,BZ$8:BZ$367,$CH95)</f>
        <v>286871.94274464808</v>
      </c>
      <c r="CM95" s="2">
        <f>求节点(节奏总纲!V$4:V$363,CA$8:CA$367,$CH95)</f>
        <v>283956.60061380791</v>
      </c>
    </row>
    <row r="96" spans="22:91" x14ac:dyDescent="0.2">
      <c r="V96" s="2">
        <v>89</v>
      </c>
      <c r="W96" s="2">
        <f t="shared" si="94"/>
        <v>16688.571428571428</v>
      </c>
      <c r="X96" s="2">
        <f t="shared" si="94"/>
        <v>32534.285714285714</v>
      </c>
      <c r="Y96" s="2">
        <f t="shared" si="95"/>
        <v>32534.285714285714</v>
      </c>
      <c r="Z96" s="2">
        <f t="shared" ref="Z96:AA96" si="126">Y96</f>
        <v>32534.285714285714</v>
      </c>
      <c r="AA96" s="2">
        <f t="shared" si="126"/>
        <v>32534.285714285714</v>
      </c>
      <c r="AQ96" s="2">
        <v>89</v>
      </c>
      <c r="AR96" s="2">
        <f t="shared" si="117"/>
        <v>9039.6428571428569</v>
      </c>
      <c r="AS96" s="2">
        <f t="shared" si="117"/>
        <v>21450.714285714286</v>
      </c>
      <c r="AT96" s="2">
        <f t="shared" si="117"/>
        <v>31607.142857142859</v>
      </c>
      <c r="AU96" s="2">
        <f t="shared" si="117"/>
        <v>47410.714285714283</v>
      </c>
      <c r="AV96" s="2">
        <f t="shared" si="117"/>
        <v>88921.428571428565</v>
      </c>
      <c r="BK96" s="2">
        <v>89</v>
      </c>
      <c r="BL96" s="2">
        <f t="shared" si="118"/>
        <v>1348.5714285714287</v>
      </c>
      <c r="BM96" s="2">
        <f t="shared" si="118"/>
        <v>2360</v>
      </c>
      <c r="BN96" s="2">
        <f t="shared" si="118"/>
        <v>3708.5714285714284</v>
      </c>
      <c r="BO96" s="2">
        <f t="shared" si="118"/>
        <v>6405.7142857142853</v>
      </c>
      <c r="BP96" s="2">
        <f t="shared" si="118"/>
        <v>58325.714285714283</v>
      </c>
      <c r="BV96" s="2">
        <v>89</v>
      </c>
      <c r="BW96" s="2">
        <f t="shared" si="89"/>
        <v>27076.78571428571</v>
      </c>
      <c r="BX96" s="2">
        <f t="shared" si="90"/>
        <v>56345</v>
      </c>
      <c r="BY96" s="2">
        <f t="shared" si="91"/>
        <v>67850</v>
      </c>
      <c r="BZ96" s="2">
        <f t="shared" si="92"/>
        <v>86350.71428571429</v>
      </c>
      <c r="CA96" s="2">
        <f t="shared" si="93"/>
        <v>179781.42857142855</v>
      </c>
      <c r="CC96" s="41">
        <f t="shared" si="97"/>
        <v>0.6163424124513619</v>
      </c>
      <c r="CD96" s="41">
        <f t="shared" si="98"/>
        <v>0.33385214007782105</v>
      </c>
      <c r="CE96" s="41">
        <f t="shared" si="99"/>
        <v>4.9805447470817131E-2</v>
      </c>
      <c r="CH96" s="2">
        <v>89</v>
      </c>
      <c r="CI96" s="2">
        <f>求节点(节奏总纲!R$4:R$363,BW$8:BW$367,$CH96)</f>
        <v>151446.42857142855</v>
      </c>
      <c r="CJ96" s="2">
        <f>求节点(节奏总纲!S$4:S$363,BX$8:BX$367,$CH96)</f>
        <v>315150</v>
      </c>
      <c r="CK96" s="2">
        <f>求节点(节奏总纲!T$4:T$363,BY$8:BY$367,$CH96)</f>
        <v>348017.12973882636</v>
      </c>
      <c r="CL96" s="2">
        <f>求节点(节奏总纲!U$4:U$363,BZ$8:BZ$367,$CH96)</f>
        <v>307811.06474559382</v>
      </c>
      <c r="CM96" s="2">
        <f>求节点(节奏总纲!V$4:V$363,CA$8:CA$367,$CH96)</f>
        <v>306641.63682332059</v>
      </c>
    </row>
    <row r="97" spans="22:91" x14ac:dyDescent="0.2">
      <c r="V97" s="2">
        <v>90</v>
      </c>
      <c r="W97" s="2">
        <f t="shared" si="94"/>
        <v>16971.428571428572</v>
      </c>
      <c r="X97" s="2">
        <f t="shared" si="94"/>
        <v>33085.714285714283</v>
      </c>
      <c r="Y97" s="2">
        <f t="shared" si="95"/>
        <v>33085.714285714283</v>
      </c>
      <c r="Z97" s="2">
        <f t="shared" ref="Z97:AA97" si="127">Y97</f>
        <v>33085.714285714283</v>
      </c>
      <c r="AA97" s="2">
        <f t="shared" si="127"/>
        <v>33085.714285714283</v>
      </c>
      <c r="AQ97" s="2">
        <v>90</v>
      </c>
      <c r="AR97" s="2">
        <f t="shared" si="117"/>
        <v>9192.8571428571431</v>
      </c>
      <c r="AS97" s="2">
        <f t="shared" si="117"/>
        <v>21814.285714285714</v>
      </c>
      <c r="AT97" s="2">
        <f t="shared" si="117"/>
        <v>32142.857142857141</v>
      </c>
      <c r="AU97" s="2">
        <f t="shared" si="117"/>
        <v>48214.285714285717</v>
      </c>
      <c r="AV97" s="2">
        <f t="shared" si="117"/>
        <v>90428.571428571435</v>
      </c>
      <c r="BK97" s="2">
        <v>90</v>
      </c>
      <c r="BL97" s="2">
        <f t="shared" si="118"/>
        <v>1371.4285714285713</v>
      </c>
      <c r="BM97" s="2">
        <f t="shared" si="118"/>
        <v>2400</v>
      </c>
      <c r="BN97" s="2">
        <f t="shared" si="118"/>
        <v>3771.4285714285716</v>
      </c>
      <c r="BO97" s="2">
        <f t="shared" si="118"/>
        <v>6514.2857142857147</v>
      </c>
      <c r="BP97" s="2">
        <f t="shared" si="118"/>
        <v>59314.285714285717</v>
      </c>
      <c r="BV97" s="2">
        <v>90</v>
      </c>
      <c r="BW97" s="2">
        <f t="shared" si="89"/>
        <v>27535.71428571429</v>
      </c>
      <c r="BX97" s="2">
        <f t="shared" si="90"/>
        <v>57300</v>
      </c>
      <c r="BY97" s="2">
        <f t="shared" si="91"/>
        <v>68999.999999999985</v>
      </c>
      <c r="BZ97" s="2">
        <f t="shared" si="92"/>
        <v>87814.28571428571</v>
      </c>
      <c r="CA97" s="2">
        <f t="shared" si="93"/>
        <v>182828.57142857142</v>
      </c>
      <c r="CC97" s="41">
        <f t="shared" si="97"/>
        <v>0.61634241245136179</v>
      </c>
      <c r="CD97" s="41">
        <f t="shared" si="98"/>
        <v>0.33385214007782099</v>
      </c>
      <c r="CE97" s="41">
        <f t="shared" si="99"/>
        <v>4.980544747081711E-2</v>
      </c>
      <c r="CH97" s="2">
        <v>90</v>
      </c>
      <c r="CI97" s="2">
        <f>求节点(节奏总纲!R$4:R$363,BW$8:BW$367,$CH97)</f>
        <v>151446.42857142855</v>
      </c>
      <c r="CJ97" s="2">
        <f>求节点(节奏总纲!S$4:S$363,BX$8:BX$367,$CH97)</f>
        <v>315150</v>
      </c>
      <c r="CK97" s="2">
        <f>求节点(节奏总纲!T$4:T$363,BY$8:BY$367,$CH97)</f>
        <v>372757.31191971269</v>
      </c>
      <c r="CL97" s="2">
        <f>求节点(节奏总纲!U$4:U$363,BZ$8:BZ$367,$CH97)</f>
        <v>329164.55116310192</v>
      </c>
      <c r="CM97" s="2">
        <f>求节点(节奏总纲!V$4:V$363,CA$8:CA$367,$CH97)</f>
        <v>330694.03279871802</v>
      </c>
    </row>
    <row r="98" spans="22:91" x14ac:dyDescent="0.2">
      <c r="V98" s="2">
        <v>91</v>
      </c>
      <c r="W98" s="2">
        <f t="shared" si="94"/>
        <v>17254.285714285714</v>
      </c>
      <c r="X98" s="2">
        <f t="shared" si="94"/>
        <v>33637.142857142855</v>
      </c>
      <c r="Y98" s="2">
        <f t="shared" si="95"/>
        <v>33637.142857142855</v>
      </c>
      <c r="Z98" s="2">
        <f t="shared" ref="Z98:AA98" si="128">Y98</f>
        <v>33637.142857142855</v>
      </c>
      <c r="AA98" s="2">
        <f t="shared" si="128"/>
        <v>33637.142857142855</v>
      </c>
      <c r="AQ98" s="2">
        <v>91</v>
      </c>
      <c r="AR98" s="2">
        <f t="shared" ref="AR98:AV107" si="129">MAX($AQ98-$C$2,0)*INDEX($AN$8:$AN$44,MATCH(AR$7,$AO$8:$AO$44,0))/$C$3</f>
        <v>9346.0714285714294</v>
      </c>
      <c r="AS98" s="2">
        <f t="shared" si="129"/>
        <v>22177.857142857141</v>
      </c>
      <c r="AT98" s="2">
        <f t="shared" si="129"/>
        <v>32678.571428571428</v>
      </c>
      <c r="AU98" s="2">
        <f t="shared" si="129"/>
        <v>49017.857142857145</v>
      </c>
      <c r="AV98" s="2">
        <f t="shared" si="129"/>
        <v>91935.71428571429</v>
      </c>
      <c r="BK98" s="2">
        <v>91</v>
      </c>
      <c r="BL98" s="2">
        <f t="shared" ref="BL98:BP107" si="130">IFERROR(MAX($BK98-$C$2,0)*INDEX($BH$8:$BH$16,MATCH(BL$7,$BI$8:$BI$16,0))*$C$4/$C$3,BM98)</f>
        <v>1394.2857142857142</v>
      </c>
      <c r="BM98" s="2">
        <f t="shared" si="130"/>
        <v>2440</v>
      </c>
      <c r="BN98" s="2">
        <f t="shared" si="130"/>
        <v>3834.2857142857142</v>
      </c>
      <c r="BO98" s="2">
        <f t="shared" si="130"/>
        <v>6622.8571428571431</v>
      </c>
      <c r="BP98" s="2">
        <f t="shared" si="130"/>
        <v>60302.857142857145</v>
      </c>
      <c r="BV98" s="2">
        <v>91</v>
      </c>
      <c r="BW98" s="2">
        <f t="shared" si="89"/>
        <v>27994.642857142859</v>
      </c>
      <c r="BX98" s="2">
        <f t="shared" si="90"/>
        <v>58255</v>
      </c>
      <c r="BY98" s="2">
        <f t="shared" si="91"/>
        <v>70150</v>
      </c>
      <c r="BZ98" s="2">
        <f t="shared" si="92"/>
        <v>89277.857142857145</v>
      </c>
      <c r="CA98" s="2">
        <f t="shared" si="93"/>
        <v>185875.71428571429</v>
      </c>
      <c r="CC98" s="41">
        <f t="shared" si="97"/>
        <v>0.61634241245136179</v>
      </c>
      <c r="CD98" s="41">
        <f t="shared" si="98"/>
        <v>0.33385214007782105</v>
      </c>
      <c r="CE98" s="41">
        <f t="shared" si="99"/>
        <v>4.9805447470817117E-2</v>
      </c>
      <c r="CH98" s="2">
        <v>91</v>
      </c>
      <c r="CI98" s="2">
        <f>求节点(节奏总纲!R$4:R$363,BW$8:BW$367,$CH98)</f>
        <v>151446.42857142855</v>
      </c>
      <c r="CJ98" s="2">
        <f>求节点(节奏总纲!S$4:S$363,BX$8:BX$367,$CH98)</f>
        <v>315150</v>
      </c>
      <c r="CK98" s="2">
        <f>求节点(节奏总纲!T$4:T$363,BY$8:BY$367,$CH98)</f>
        <v>379500</v>
      </c>
      <c r="CL98" s="2">
        <f>求节点(节奏总纲!U$4:U$363,BZ$8:BZ$367,$CH98)</f>
        <v>355106.25152376277</v>
      </c>
      <c r="CM98" s="2">
        <f>求节点(节奏总纲!V$4:V$363,CA$8:CA$367,$CH98)</f>
        <v>359244.0029635111</v>
      </c>
    </row>
    <row r="99" spans="22:91" x14ac:dyDescent="0.2">
      <c r="V99" s="2">
        <v>92</v>
      </c>
      <c r="W99" s="2">
        <f t="shared" si="94"/>
        <v>17537.142857142859</v>
      </c>
      <c r="X99" s="2">
        <f t="shared" si="94"/>
        <v>34188.571428571428</v>
      </c>
      <c r="Y99" s="2">
        <f t="shared" si="95"/>
        <v>34188.571428571428</v>
      </c>
      <c r="Z99" s="2">
        <f t="shared" ref="Z99:AA99" si="131">Y99</f>
        <v>34188.571428571428</v>
      </c>
      <c r="AA99" s="2">
        <f t="shared" si="131"/>
        <v>34188.571428571428</v>
      </c>
      <c r="AQ99" s="2">
        <v>92</v>
      </c>
      <c r="AR99" s="2">
        <f t="shared" si="129"/>
        <v>9499.2857142857138</v>
      </c>
      <c r="AS99" s="2">
        <f t="shared" si="129"/>
        <v>22541.428571428572</v>
      </c>
      <c r="AT99" s="2">
        <f t="shared" si="129"/>
        <v>33214.285714285717</v>
      </c>
      <c r="AU99" s="2">
        <f t="shared" si="129"/>
        <v>49821.428571428572</v>
      </c>
      <c r="AV99" s="2">
        <f t="shared" si="129"/>
        <v>93442.857142857145</v>
      </c>
      <c r="BK99" s="2">
        <v>92</v>
      </c>
      <c r="BL99" s="2">
        <f t="shared" si="130"/>
        <v>1417.1428571428571</v>
      </c>
      <c r="BM99" s="2">
        <f t="shared" si="130"/>
        <v>2480</v>
      </c>
      <c r="BN99" s="2">
        <f t="shared" si="130"/>
        <v>3897.1428571428573</v>
      </c>
      <c r="BO99" s="2">
        <f t="shared" si="130"/>
        <v>6731.4285714285716</v>
      </c>
      <c r="BP99" s="2">
        <f t="shared" si="130"/>
        <v>61291.428571428572</v>
      </c>
      <c r="BV99" s="2">
        <v>92</v>
      </c>
      <c r="BW99" s="2">
        <f t="shared" si="89"/>
        <v>28453.571428571431</v>
      </c>
      <c r="BX99" s="2">
        <f t="shared" si="90"/>
        <v>59210</v>
      </c>
      <c r="BY99" s="2">
        <f t="shared" si="91"/>
        <v>71300</v>
      </c>
      <c r="BZ99" s="2">
        <f t="shared" si="92"/>
        <v>90741.428571428565</v>
      </c>
      <c r="CA99" s="2">
        <f t="shared" si="93"/>
        <v>188922.85714285716</v>
      </c>
      <c r="CC99" s="41">
        <f t="shared" si="97"/>
        <v>0.6163424124513619</v>
      </c>
      <c r="CD99" s="41">
        <f t="shared" si="98"/>
        <v>0.33385214007782094</v>
      </c>
      <c r="CE99" s="41">
        <f t="shared" si="99"/>
        <v>4.9805447470817117E-2</v>
      </c>
      <c r="CH99" s="2">
        <v>92</v>
      </c>
      <c r="CI99" s="2">
        <f>求节点(节奏总纲!R$4:R$363,BW$8:BW$367,$CH99)</f>
        <v>151446.42857142855</v>
      </c>
      <c r="CJ99" s="2">
        <f>求节点(节奏总纲!S$4:S$363,BX$8:BX$367,$CH99)</f>
        <v>315150</v>
      </c>
      <c r="CK99" s="2">
        <f>求节点(节奏总纲!T$4:T$363,BY$8:BY$367,$CH99)</f>
        <v>379500</v>
      </c>
      <c r="CL99" s="2">
        <f>求节点(节奏总纲!U$4:U$363,BZ$8:BZ$367,$CH99)</f>
        <v>382845.50064483937</v>
      </c>
      <c r="CM99" s="2">
        <f>求节点(节奏总纲!V$4:V$363,CA$8:CA$367,$CH99)</f>
        <v>389017.63969771529</v>
      </c>
    </row>
    <row r="100" spans="22:91" x14ac:dyDescent="0.2">
      <c r="V100" s="2">
        <v>93</v>
      </c>
      <c r="W100" s="2">
        <f t="shared" si="94"/>
        <v>17820</v>
      </c>
      <c r="X100" s="2">
        <f t="shared" si="94"/>
        <v>34740</v>
      </c>
      <c r="Y100" s="2">
        <f t="shared" si="95"/>
        <v>34740</v>
      </c>
      <c r="Z100" s="2">
        <f t="shared" ref="Z100:AA100" si="132">Y100</f>
        <v>34740</v>
      </c>
      <c r="AA100" s="2">
        <f t="shared" si="132"/>
        <v>34740</v>
      </c>
      <c r="AQ100" s="2">
        <v>93</v>
      </c>
      <c r="AR100" s="2">
        <f t="shared" si="129"/>
        <v>9652.5</v>
      </c>
      <c r="AS100" s="2">
        <f t="shared" si="129"/>
        <v>22905</v>
      </c>
      <c r="AT100" s="2">
        <f t="shared" si="129"/>
        <v>33750</v>
      </c>
      <c r="AU100" s="2">
        <f t="shared" si="129"/>
        <v>50625</v>
      </c>
      <c r="AV100" s="2">
        <f t="shared" si="129"/>
        <v>94950</v>
      </c>
      <c r="BK100" s="2">
        <v>93</v>
      </c>
      <c r="BL100" s="2">
        <f t="shared" si="130"/>
        <v>1440</v>
      </c>
      <c r="BM100" s="2">
        <f t="shared" si="130"/>
        <v>2520</v>
      </c>
      <c r="BN100" s="2">
        <f t="shared" si="130"/>
        <v>3960</v>
      </c>
      <c r="BO100" s="2">
        <f t="shared" si="130"/>
        <v>6840</v>
      </c>
      <c r="BP100" s="2">
        <f t="shared" si="130"/>
        <v>62280</v>
      </c>
      <c r="BV100" s="2">
        <v>93</v>
      </c>
      <c r="BW100" s="2">
        <f t="shared" si="89"/>
        <v>28912.5</v>
      </c>
      <c r="BX100" s="2">
        <f t="shared" si="90"/>
        <v>60165</v>
      </c>
      <c r="BY100" s="2">
        <f t="shared" si="91"/>
        <v>72450</v>
      </c>
      <c r="BZ100" s="2">
        <f t="shared" si="92"/>
        <v>92205</v>
      </c>
      <c r="CA100" s="2">
        <f t="shared" si="93"/>
        <v>191970</v>
      </c>
      <c r="CC100" s="41">
        <f t="shared" si="97"/>
        <v>0.6163424124513619</v>
      </c>
      <c r="CD100" s="41">
        <f t="shared" si="98"/>
        <v>0.33385214007782099</v>
      </c>
      <c r="CE100" s="41">
        <f t="shared" si="99"/>
        <v>4.9805447470817124E-2</v>
      </c>
      <c r="CH100" s="2">
        <v>93</v>
      </c>
      <c r="CI100" s="2">
        <f>求节点(节奏总纲!R$4:R$363,BW$8:BW$367,$CH100)</f>
        <v>151446.42857142855</v>
      </c>
      <c r="CJ100" s="2">
        <f>求节点(节奏总纲!S$4:S$363,BX$8:BX$367,$CH100)</f>
        <v>315150</v>
      </c>
      <c r="CK100" s="2">
        <f>求节点(节奏总纲!T$4:T$363,BY$8:BY$367,$CH100)</f>
        <v>379500</v>
      </c>
      <c r="CL100" s="2">
        <f>求节点(节奏总纲!U$4:U$363,BZ$8:BZ$367,$CH100)</f>
        <v>412055.45710320666</v>
      </c>
      <c r="CM100" s="2">
        <f>求节点(节奏总纲!V$4:V$363,CA$8:CA$367,$CH100)</f>
        <v>421609.69959258306</v>
      </c>
    </row>
    <row r="101" spans="22:91" x14ac:dyDescent="0.2">
      <c r="V101" s="2">
        <v>94</v>
      </c>
      <c r="W101" s="2">
        <f t="shared" si="94"/>
        <v>18102.857142857141</v>
      </c>
      <c r="X101" s="2">
        <f t="shared" si="94"/>
        <v>35291.428571428572</v>
      </c>
      <c r="Y101" s="2">
        <f t="shared" si="95"/>
        <v>35291.428571428572</v>
      </c>
      <c r="Z101" s="2">
        <f t="shared" ref="Z101:AA101" si="133">Y101</f>
        <v>35291.428571428572</v>
      </c>
      <c r="AA101" s="2">
        <f t="shared" si="133"/>
        <v>35291.428571428572</v>
      </c>
      <c r="AQ101" s="2">
        <v>94</v>
      </c>
      <c r="AR101" s="2">
        <f t="shared" si="129"/>
        <v>9805.7142857142862</v>
      </c>
      <c r="AS101" s="2">
        <f t="shared" si="129"/>
        <v>23268.571428571428</v>
      </c>
      <c r="AT101" s="2">
        <f t="shared" si="129"/>
        <v>34285.714285714283</v>
      </c>
      <c r="AU101" s="2">
        <f t="shared" si="129"/>
        <v>51428.571428571428</v>
      </c>
      <c r="AV101" s="2">
        <f t="shared" si="129"/>
        <v>96457.142857142855</v>
      </c>
      <c r="BK101" s="2">
        <v>94</v>
      </c>
      <c r="BL101" s="2">
        <f t="shared" si="130"/>
        <v>1462.8571428571429</v>
      </c>
      <c r="BM101" s="2">
        <f t="shared" si="130"/>
        <v>2560</v>
      </c>
      <c r="BN101" s="2">
        <f t="shared" si="130"/>
        <v>4022.8571428571427</v>
      </c>
      <c r="BO101" s="2">
        <f t="shared" si="130"/>
        <v>6948.5714285714284</v>
      </c>
      <c r="BP101" s="2">
        <f t="shared" si="130"/>
        <v>63268.571428571428</v>
      </c>
      <c r="BV101" s="2">
        <v>94</v>
      </c>
      <c r="BW101" s="2">
        <f t="shared" si="89"/>
        <v>29371.428571428569</v>
      </c>
      <c r="BX101" s="2">
        <f t="shared" si="90"/>
        <v>61120</v>
      </c>
      <c r="BY101" s="2">
        <f t="shared" si="91"/>
        <v>73600</v>
      </c>
      <c r="BZ101" s="2">
        <f t="shared" si="92"/>
        <v>93668.571428571435</v>
      </c>
      <c r="CA101" s="2">
        <f t="shared" si="93"/>
        <v>195017.14285714284</v>
      </c>
      <c r="CC101" s="41">
        <f t="shared" si="97"/>
        <v>0.6163424124513619</v>
      </c>
      <c r="CD101" s="41">
        <f t="shared" si="98"/>
        <v>0.33385214007782105</v>
      </c>
      <c r="CE101" s="41">
        <f t="shared" si="99"/>
        <v>4.9805447470817124E-2</v>
      </c>
      <c r="CH101" s="2">
        <v>94</v>
      </c>
      <c r="CI101" s="2">
        <f>求节点(节奏总纲!R$4:R$363,BW$8:BW$367,$CH101)</f>
        <v>151446.42857142855</v>
      </c>
      <c r="CJ101" s="2">
        <f>求节点(节奏总纲!S$4:S$363,BX$8:BX$367,$CH101)</f>
        <v>315150</v>
      </c>
      <c r="CK101" s="2">
        <f>求节点(节奏总纲!T$4:T$363,BY$8:BY$367,$CH101)</f>
        <v>379500</v>
      </c>
      <c r="CL101" s="2">
        <f>求节点(节奏总纲!U$4:U$363,BZ$8:BZ$367,$CH101)</f>
        <v>443053.58326091041</v>
      </c>
      <c r="CM101" s="2">
        <f>求节点(节奏总纲!V$4:V$363,CA$8:CA$367,$CH101)</f>
        <v>456089.67222223326</v>
      </c>
    </row>
    <row r="102" spans="22:91" x14ac:dyDescent="0.2">
      <c r="V102" s="2">
        <v>95</v>
      </c>
      <c r="W102" s="2">
        <f t="shared" si="94"/>
        <v>18385.714285714286</v>
      </c>
      <c r="X102" s="2">
        <f t="shared" si="94"/>
        <v>35842.857142857145</v>
      </c>
      <c r="Y102" s="2">
        <f t="shared" si="95"/>
        <v>35842.857142857145</v>
      </c>
      <c r="Z102" s="2">
        <f t="shared" ref="Z102:AA102" si="134">Y102</f>
        <v>35842.857142857145</v>
      </c>
      <c r="AA102" s="2">
        <f t="shared" si="134"/>
        <v>35842.857142857145</v>
      </c>
      <c r="AQ102" s="2">
        <v>95</v>
      </c>
      <c r="AR102" s="2">
        <f t="shared" si="129"/>
        <v>9958.9285714285706</v>
      </c>
      <c r="AS102" s="2">
        <f t="shared" si="129"/>
        <v>23632.142857142859</v>
      </c>
      <c r="AT102" s="2">
        <f t="shared" si="129"/>
        <v>34821.428571428572</v>
      </c>
      <c r="AU102" s="2">
        <f t="shared" si="129"/>
        <v>52232.142857142855</v>
      </c>
      <c r="AV102" s="2">
        <f t="shared" si="129"/>
        <v>97964.28571428571</v>
      </c>
      <c r="BK102" s="2">
        <v>95</v>
      </c>
      <c r="BL102" s="2">
        <f t="shared" si="130"/>
        <v>1485.7142857142858</v>
      </c>
      <c r="BM102" s="2">
        <f t="shared" si="130"/>
        <v>2600</v>
      </c>
      <c r="BN102" s="2">
        <f t="shared" si="130"/>
        <v>4085.7142857142858</v>
      </c>
      <c r="BO102" s="2">
        <f t="shared" si="130"/>
        <v>7057.1428571428569</v>
      </c>
      <c r="BP102" s="2">
        <f t="shared" si="130"/>
        <v>64257.142857142855</v>
      </c>
      <c r="BV102" s="2">
        <v>95</v>
      </c>
      <c r="BW102" s="2">
        <f t="shared" si="89"/>
        <v>29830.357142857141</v>
      </c>
      <c r="BX102" s="2">
        <f t="shared" si="90"/>
        <v>62075</v>
      </c>
      <c r="BY102" s="2">
        <f t="shared" si="91"/>
        <v>74750</v>
      </c>
      <c r="BZ102" s="2">
        <f t="shared" si="92"/>
        <v>95132.142857142855</v>
      </c>
      <c r="CA102" s="2">
        <f t="shared" si="93"/>
        <v>198064.28571428568</v>
      </c>
      <c r="CC102" s="41">
        <f t="shared" si="97"/>
        <v>0.6163424124513619</v>
      </c>
      <c r="CD102" s="41">
        <f t="shared" si="98"/>
        <v>0.33385214007782099</v>
      </c>
      <c r="CE102" s="41">
        <f t="shared" si="99"/>
        <v>4.9805447470817124E-2</v>
      </c>
      <c r="CH102" s="2">
        <v>95</v>
      </c>
      <c r="CI102" s="2">
        <f>求节点(节奏总纲!R$4:R$363,BW$8:BW$367,$CH102)</f>
        <v>151446.42857142855</v>
      </c>
      <c r="CJ102" s="2">
        <f>求节点(节奏总纲!S$4:S$363,BX$8:BX$367,$CH102)</f>
        <v>315150</v>
      </c>
      <c r="CK102" s="2">
        <f>求节点(节奏总纲!T$4:T$363,BY$8:BY$367,$CH102)</f>
        <v>379500</v>
      </c>
      <c r="CL102" s="2">
        <f>求节点(节奏总纲!U$4:U$363,BZ$8:BZ$367,$CH102)</f>
        <v>476273.81206006493</v>
      </c>
      <c r="CM102" s="2">
        <f>求节点(节奏总纲!V$4:V$363,CA$8:CA$367,$CH102)</f>
        <v>496234.55386216351</v>
      </c>
    </row>
    <row r="103" spans="22:91" x14ac:dyDescent="0.2">
      <c r="V103" s="2">
        <v>96</v>
      </c>
      <c r="W103" s="2">
        <f t="shared" si="94"/>
        <v>18668.571428571428</v>
      </c>
      <c r="X103" s="2">
        <f t="shared" si="94"/>
        <v>36394.285714285717</v>
      </c>
      <c r="Y103" s="2">
        <f t="shared" si="95"/>
        <v>36394.285714285717</v>
      </c>
      <c r="Z103" s="2">
        <f t="shared" ref="Z103:AA103" si="135">Y103</f>
        <v>36394.285714285717</v>
      </c>
      <c r="AA103" s="2">
        <f t="shared" si="135"/>
        <v>36394.285714285717</v>
      </c>
      <c r="AQ103" s="2">
        <v>96</v>
      </c>
      <c r="AR103" s="2">
        <f t="shared" si="129"/>
        <v>10112.142857142857</v>
      </c>
      <c r="AS103" s="2">
        <f t="shared" si="129"/>
        <v>23995.714285714286</v>
      </c>
      <c r="AT103" s="2">
        <f t="shared" si="129"/>
        <v>35357.142857142855</v>
      </c>
      <c r="AU103" s="2">
        <f t="shared" si="129"/>
        <v>53035.714285714283</v>
      </c>
      <c r="AV103" s="2">
        <f t="shared" si="129"/>
        <v>99471.428571428565</v>
      </c>
      <c r="BK103" s="2">
        <v>96</v>
      </c>
      <c r="BL103" s="2">
        <f t="shared" si="130"/>
        <v>1508.5714285714287</v>
      </c>
      <c r="BM103" s="2">
        <f t="shared" si="130"/>
        <v>2640</v>
      </c>
      <c r="BN103" s="2">
        <f t="shared" si="130"/>
        <v>4148.5714285714284</v>
      </c>
      <c r="BO103" s="2">
        <f t="shared" si="130"/>
        <v>7165.7142857142853</v>
      </c>
      <c r="BP103" s="2">
        <f t="shared" si="130"/>
        <v>65245.714285714283</v>
      </c>
      <c r="BV103" s="2">
        <v>96</v>
      </c>
      <c r="BW103" s="2">
        <f t="shared" si="89"/>
        <v>30289.28571428571</v>
      </c>
      <c r="BX103" s="2">
        <f t="shared" si="90"/>
        <v>63030</v>
      </c>
      <c r="BY103" s="2">
        <f t="shared" si="91"/>
        <v>75900.000000000015</v>
      </c>
      <c r="BZ103" s="2">
        <f t="shared" si="92"/>
        <v>96595.71428571429</v>
      </c>
      <c r="CA103" s="2">
        <f t="shared" si="93"/>
        <v>201111.42857142858</v>
      </c>
      <c r="CC103" s="41">
        <f t="shared" si="97"/>
        <v>0.6163424124513619</v>
      </c>
      <c r="CD103" s="41">
        <f t="shared" si="98"/>
        <v>0.33385214007782105</v>
      </c>
      <c r="CE103" s="41">
        <f t="shared" si="99"/>
        <v>4.9805447470817131E-2</v>
      </c>
      <c r="CH103" s="2">
        <v>96</v>
      </c>
      <c r="CI103" s="2">
        <f>求节点(节奏总纲!R$4:R$363,BW$8:BW$367,$CH103)</f>
        <v>151446.42857142855</v>
      </c>
      <c r="CJ103" s="2">
        <f>求节点(节奏总纲!S$4:S$363,BX$8:BX$367,$CH103)</f>
        <v>315150</v>
      </c>
      <c r="CK103" s="2">
        <f>求节点(节奏总纲!T$4:T$363,BY$8:BY$367,$CH103)</f>
        <v>379500</v>
      </c>
      <c r="CL103" s="2">
        <f>求节点(节奏总纲!U$4:U$363,BZ$8:BZ$367,$CH103)</f>
        <v>482978.57142857142</v>
      </c>
      <c r="CM103" s="2">
        <f>求节点(节奏总纲!V$4:V$363,CA$8:CA$367,$CH103)</f>
        <v>538973.06324442499</v>
      </c>
    </row>
    <row r="104" spans="22:91" x14ac:dyDescent="0.2">
      <c r="V104" s="2">
        <v>97</v>
      </c>
      <c r="W104" s="2">
        <f t="shared" si="94"/>
        <v>18951.428571428572</v>
      </c>
      <c r="X104" s="2">
        <f t="shared" si="94"/>
        <v>36945.714285714283</v>
      </c>
      <c r="Y104" s="2">
        <f t="shared" si="95"/>
        <v>36945.714285714283</v>
      </c>
      <c r="Z104" s="2">
        <f t="shared" ref="Z104:AA104" si="136">Y104</f>
        <v>36945.714285714283</v>
      </c>
      <c r="AA104" s="2">
        <f t="shared" si="136"/>
        <v>36945.714285714283</v>
      </c>
      <c r="AQ104" s="2">
        <v>97</v>
      </c>
      <c r="AR104" s="2">
        <f t="shared" si="129"/>
        <v>10265.357142857143</v>
      </c>
      <c r="AS104" s="2">
        <f t="shared" si="129"/>
        <v>24359.285714285714</v>
      </c>
      <c r="AT104" s="2">
        <f t="shared" si="129"/>
        <v>35892.857142857145</v>
      </c>
      <c r="AU104" s="2">
        <f t="shared" si="129"/>
        <v>53839.285714285717</v>
      </c>
      <c r="AV104" s="2">
        <f t="shared" si="129"/>
        <v>100978.57142857143</v>
      </c>
      <c r="BK104" s="2">
        <v>97</v>
      </c>
      <c r="BL104" s="2">
        <f t="shared" si="130"/>
        <v>1531.4285714285713</v>
      </c>
      <c r="BM104" s="2">
        <f t="shared" si="130"/>
        <v>2680</v>
      </c>
      <c r="BN104" s="2">
        <f t="shared" si="130"/>
        <v>4211.4285714285716</v>
      </c>
      <c r="BO104" s="2">
        <f t="shared" si="130"/>
        <v>7274.2857142857147</v>
      </c>
      <c r="BP104" s="2">
        <f t="shared" si="130"/>
        <v>66234.28571428571</v>
      </c>
      <c r="BV104" s="2">
        <v>97</v>
      </c>
      <c r="BW104" s="2">
        <f t="shared" si="89"/>
        <v>30748.21428571429</v>
      </c>
      <c r="BX104" s="2">
        <f t="shared" si="90"/>
        <v>63985</v>
      </c>
      <c r="BY104" s="2">
        <f t="shared" si="91"/>
        <v>77049.999999999985</v>
      </c>
      <c r="BZ104" s="2">
        <f t="shared" si="92"/>
        <v>98059.28571428571</v>
      </c>
      <c r="CA104" s="2">
        <f t="shared" si="93"/>
        <v>204158.57142857142</v>
      </c>
      <c r="CC104" s="41">
        <f t="shared" si="97"/>
        <v>0.61634241245136179</v>
      </c>
      <c r="CD104" s="41">
        <f t="shared" si="98"/>
        <v>0.33385214007782099</v>
      </c>
      <c r="CE104" s="41">
        <f t="shared" si="99"/>
        <v>4.980544747081711E-2</v>
      </c>
      <c r="CH104" s="2">
        <v>97</v>
      </c>
      <c r="CI104" s="2">
        <f>求节点(节奏总纲!R$4:R$363,BW$8:BW$367,$CH104)</f>
        <v>151446.42857142855</v>
      </c>
      <c r="CJ104" s="2">
        <f>求节点(节奏总纲!S$4:S$363,BX$8:BX$367,$CH104)</f>
        <v>315150</v>
      </c>
      <c r="CK104" s="2">
        <f>求节点(节奏总纲!T$4:T$363,BY$8:BY$367,$CH104)</f>
        <v>379500</v>
      </c>
      <c r="CL104" s="2">
        <f>求节点(节奏总纲!U$4:U$363,BZ$8:BZ$367,$CH104)</f>
        <v>482978.57142857142</v>
      </c>
      <c r="CM104" s="2">
        <f>求节点(节奏总纲!V$4:V$363,CA$8:CA$367,$CH104)</f>
        <v>589066.42300070112</v>
      </c>
    </row>
    <row r="105" spans="22:91" x14ac:dyDescent="0.2">
      <c r="V105" s="2">
        <v>98</v>
      </c>
      <c r="W105" s="2">
        <f t="shared" si="94"/>
        <v>19234.285714285714</v>
      </c>
      <c r="X105" s="2">
        <f t="shared" si="94"/>
        <v>37497.142857142855</v>
      </c>
      <c r="Y105" s="2">
        <f t="shared" si="95"/>
        <v>37497.142857142855</v>
      </c>
      <c r="Z105" s="2">
        <f t="shared" ref="Z105:AA105" si="137">Y105</f>
        <v>37497.142857142855</v>
      </c>
      <c r="AA105" s="2">
        <f t="shared" si="137"/>
        <v>37497.142857142855</v>
      </c>
      <c r="AQ105" s="2">
        <v>98</v>
      </c>
      <c r="AR105" s="2">
        <f t="shared" si="129"/>
        <v>10418.571428571429</v>
      </c>
      <c r="AS105" s="2">
        <f t="shared" si="129"/>
        <v>24722.857142857141</v>
      </c>
      <c r="AT105" s="2">
        <f t="shared" si="129"/>
        <v>36428.571428571428</v>
      </c>
      <c r="AU105" s="2">
        <f t="shared" si="129"/>
        <v>54642.857142857145</v>
      </c>
      <c r="AV105" s="2">
        <f t="shared" si="129"/>
        <v>102485.71428571429</v>
      </c>
      <c r="BK105" s="2">
        <v>98</v>
      </c>
      <c r="BL105" s="2">
        <f t="shared" si="130"/>
        <v>1554.2857142857142</v>
      </c>
      <c r="BM105" s="2">
        <f t="shared" si="130"/>
        <v>2720</v>
      </c>
      <c r="BN105" s="2">
        <f t="shared" si="130"/>
        <v>4274.2857142857147</v>
      </c>
      <c r="BO105" s="2">
        <f t="shared" si="130"/>
        <v>7382.8571428571431</v>
      </c>
      <c r="BP105" s="2">
        <f t="shared" si="130"/>
        <v>67222.857142857145</v>
      </c>
      <c r="BV105" s="2">
        <v>98</v>
      </c>
      <c r="BW105" s="2">
        <f t="shared" si="89"/>
        <v>31207.142857142859</v>
      </c>
      <c r="BX105" s="2">
        <f t="shared" si="90"/>
        <v>64940</v>
      </c>
      <c r="BY105" s="2">
        <f t="shared" si="91"/>
        <v>78200</v>
      </c>
      <c r="BZ105" s="2">
        <f t="shared" si="92"/>
        <v>99522.857142857145</v>
      </c>
      <c r="CA105" s="2">
        <f t="shared" si="93"/>
        <v>207205.71428571432</v>
      </c>
      <c r="CC105" s="41">
        <f t="shared" si="97"/>
        <v>0.61634241245136179</v>
      </c>
      <c r="CD105" s="41">
        <f t="shared" si="98"/>
        <v>0.33385214007782105</v>
      </c>
      <c r="CE105" s="41">
        <f t="shared" si="99"/>
        <v>4.9805447470817117E-2</v>
      </c>
      <c r="CH105" s="2">
        <v>98</v>
      </c>
      <c r="CI105" s="2">
        <f>求节点(节奏总纲!R$4:R$363,BW$8:BW$367,$CH105)</f>
        <v>151446.42857142855</v>
      </c>
      <c r="CJ105" s="2">
        <f>求节点(节奏总纲!S$4:S$363,BX$8:BX$367,$CH105)</f>
        <v>315150</v>
      </c>
      <c r="CK105" s="2">
        <f>求节点(节奏总纲!T$4:T$363,BY$8:BY$367,$CH105)</f>
        <v>379500</v>
      </c>
      <c r="CL105" s="2">
        <f>求节点(节奏总纲!U$4:U$363,BZ$8:BZ$367,$CH105)</f>
        <v>482978.57142857142</v>
      </c>
      <c r="CM105" s="2">
        <f>求节点(节奏总纲!V$4:V$363,CA$8:CA$367,$CH105)</f>
        <v>642244.35268881684</v>
      </c>
    </row>
    <row r="106" spans="22:91" x14ac:dyDescent="0.2">
      <c r="V106" s="2">
        <v>99</v>
      </c>
      <c r="W106" s="2">
        <f t="shared" si="94"/>
        <v>19517.142857142859</v>
      </c>
      <c r="X106" s="2">
        <f t="shared" si="94"/>
        <v>38048.571428571428</v>
      </c>
      <c r="Y106" s="2">
        <f t="shared" si="95"/>
        <v>38048.571428571428</v>
      </c>
      <c r="Z106" s="2">
        <f t="shared" ref="Z106:AA106" si="138">Y106</f>
        <v>38048.571428571428</v>
      </c>
      <c r="AA106" s="2">
        <f t="shared" si="138"/>
        <v>38048.571428571428</v>
      </c>
      <c r="AQ106" s="2">
        <v>99</v>
      </c>
      <c r="AR106" s="2">
        <f t="shared" si="129"/>
        <v>10571.785714285714</v>
      </c>
      <c r="AS106" s="2">
        <f t="shared" si="129"/>
        <v>25086.428571428572</v>
      </c>
      <c r="AT106" s="2">
        <f t="shared" si="129"/>
        <v>36964.285714285717</v>
      </c>
      <c r="AU106" s="2">
        <f t="shared" si="129"/>
        <v>55446.428571428572</v>
      </c>
      <c r="AV106" s="2">
        <f t="shared" si="129"/>
        <v>103992.85714285714</v>
      </c>
      <c r="BK106" s="2">
        <v>99</v>
      </c>
      <c r="BL106" s="2">
        <f t="shared" si="130"/>
        <v>1577.1428571428571</v>
      </c>
      <c r="BM106" s="2">
        <f t="shared" si="130"/>
        <v>2760</v>
      </c>
      <c r="BN106" s="2">
        <f t="shared" si="130"/>
        <v>4337.1428571428569</v>
      </c>
      <c r="BO106" s="2">
        <f t="shared" si="130"/>
        <v>7491.4285714285716</v>
      </c>
      <c r="BP106" s="2">
        <f t="shared" si="130"/>
        <v>68211.428571428565</v>
      </c>
      <c r="BV106" s="2">
        <v>99</v>
      </c>
      <c r="BW106" s="2">
        <f t="shared" si="89"/>
        <v>31666.071428571431</v>
      </c>
      <c r="BX106" s="2">
        <f t="shared" si="90"/>
        <v>65895</v>
      </c>
      <c r="BY106" s="2">
        <f t="shared" si="91"/>
        <v>79350</v>
      </c>
      <c r="BZ106" s="2">
        <f t="shared" si="92"/>
        <v>100986.42857142857</v>
      </c>
      <c r="CA106" s="2">
        <f t="shared" si="93"/>
        <v>210252.85714285716</v>
      </c>
      <c r="CC106" s="41">
        <f t="shared" si="97"/>
        <v>0.6163424124513619</v>
      </c>
      <c r="CD106" s="41">
        <f t="shared" si="98"/>
        <v>0.33385214007782099</v>
      </c>
      <c r="CE106" s="41">
        <f t="shared" si="99"/>
        <v>4.9805447470817117E-2</v>
      </c>
      <c r="CH106" s="2">
        <v>99</v>
      </c>
      <c r="CI106" s="2">
        <f>求节点(节奏总纲!R$4:R$363,BW$8:BW$367,$CH106)</f>
        <v>151446.42857142855</v>
      </c>
      <c r="CJ106" s="2">
        <f>求节点(节奏总纲!S$4:S$363,BX$8:BX$367,$CH106)</f>
        <v>315150</v>
      </c>
      <c r="CK106" s="2">
        <f>求节点(节奏总纲!T$4:T$363,BY$8:BY$367,$CH106)</f>
        <v>379500</v>
      </c>
      <c r="CL106" s="2">
        <f>求节点(节奏总纲!U$4:U$363,BZ$8:BZ$367,$CH106)</f>
        <v>482978.57142857142</v>
      </c>
      <c r="CM106" s="2">
        <f>求节点(节奏总纲!V$4:V$363,CA$8:CA$367,$CH106)</f>
        <v>693543.48324090615</v>
      </c>
    </row>
    <row r="107" spans="22:91" x14ac:dyDescent="0.2">
      <c r="V107" s="2">
        <v>100</v>
      </c>
      <c r="W107" s="2">
        <f t="shared" si="94"/>
        <v>19800</v>
      </c>
      <c r="X107" s="2">
        <f t="shared" si="94"/>
        <v>38600</v>
      </c>
      <c r="Y107" s="2">
        <f t="shared" si="95"/>
        <v>38600</v>
      </c>
      <c r="Z107" s="2">
        <f t="shared" ref="Z107:AA107" si="139">Y107</f>
        <v>38600</v>
      </c>
      <c r="AA107" s="2">
        <f t="shared" si="139"/>
        <v>38600</v>
      </c>
      <c r="AQ107" s="2">
        <v>100</v>
      </c>
      <c r="AR107" s="2">
        <f t="shared" si="129"/>
        <v>10725</v>
      </c>
      <c r="AS107" s="2">
        <f t="shared" si="129"/>
        <v>25450</v>
      </c>
      <c r="AT107" s="2">
        <f t="shared" si="129"/>
        <v>37500</v>
      </c>
      <c r="AU107" s="2">
        <f t="shared" si="129"/>
        <v>56250</v>
      </c>
      <c r="AV107" s="2">
        <f t="shared" si="129"/>
        <v>105500</v>
      </c>
      <c r="BK107" s="2">
        <v>100</v>
      </c>
      <c r="BL107" s="2">
        <f t="shared" si="130"/>
        <v>1600</v>
      </c>
      <c r="BM107" s="2">
        <f t="shared" si="130"/>
        <v>2800</v>
      </c>
      <c r="BN107" s="2">
        <f t="shared" si="130"/>
        <v>4400</v>
      </c>
      <c r="BO107" s="2">
        <f t="shared" si="130"/>
        <v>7600</v>
      </c>
      <c r="BP107" s="2">
        <f t="shared" si="130"/>
        <v>69200</v>
      </c>
      <c r="BV107" s="2">
        <v>100</v>
      </c>
      <c r="BW107" s="2">
        <f t="shared" si="89"/>
        <v>32125</v>
      </c>
      <c r="BX107" s="2">
        <f t="shared" si="90"/>
        <v>66850</v>
      </c>
      <c r="BY107" s="2">
        <f t="shared" si="91"/>
        <v>80500</v>
      </c>
      <c r="BZ107" s="2">
        <f t="shared" si="92"/>
        <v>102450</v>
      </c>
      <c r="CA107" s="2">
        <f t="shared" si="93"/>
        <v>213300</v>
      </c>
      <c r="CC107" s="41">
        <f t="shared" si="97"/>
        <v>0.6163424124513619</v>
      </c>
      <c r="CD107" s="41">
        <f t="shared" si="98"/>
        <v>0.33385214007782099</v>
      </c>
      <c r="CE107" s="41">
        <f t="shared" si="99"/>
        <v>4.9805447470817124E-2</v>
      </c>
      <c r="CH107" s="2">
        <v>100</v>
      </c>
      <c r="CI107" s="2">
        <f>求节点(节奏总纲!R$4:R$363,BW$8:BW$367,$CH107)</f>
        <v>151446.42857142855</v>
      </c>
      <c r="CJ107" s="2">
        <f>求节点(节奏总纲!S$4:S$363,BX$8:BX$367,$CH107)</f>
        <v>315150</v>
      </c>
      <c r="CK107" s="2">
        <f>求节点(节奏总纲!T$4:T$363,BY$8:BY$367,$CH107)</f>
        <v>379500</v>
      </c>
      <c r="CL107" s="2">
        <f>求节点(节奏总纲!U$4:U$363,BZ$8:BZ$367,$CH107)</f>
        <v>482978.57142857142</v>
      </c>
      <c r="CM107" s="2">
        <f>求节点(节奏总纲!V$4:V$363,CA$8:CA$367,$CH107)</f>
        <v>745915.07693226088</v>
      </c>
    </row>
    <row r="108" spans="22:91" x14ac:dyDescent="0.2">
      <c r="V108" s="2">
        <v>101</v>
      </c>
      <c r="W108" s="2">
        <f t="shared" si="94"/>
        <v>20082.857142857141</v>
      </c>
      <c r="X108" s="2">
        <f t="shared" si="94"/>
        <v>39151.428571428572</v>
      </c>
      <c r="Y108" s="2">
        <f t="shared" si="95"/>
        <v>39151.428571428572</v>
      </c>
      <c r="Z108" s="2">
        <f t="shared" ref="Z108:AA108" si="140">Y108</f>
        <v>39151.428571428572</v>
      </c>
      <c r="AA108" s="2">
        <f t="shared" si="140"/>
        <v>39151.428571428572</v>
      </c>
      <c r="AQ108" s="2">
        <v>101</v>
      </c>
      <c r="AR108" s="2">
        <f t="shared" ref="AR108:AV117" si="141">MAX($AQ108-$C$2,0)*INDEX($AN$8:$AN$44,MATCH(AR$7,$AO$8:$AO$44,0))/$C$3</f>
        <v>10878.214285714286</v>
      </c>
      <c r="AS108" s="2">
        <f t="shared" si="141"/>
        <v>25813.571428571428</v>
      </c>
      <c r="AT108" s="2">
        <f t="shared" si="141"/>
        <v>38035.714285714283</v>
      </c>
      <c r="AU108" s="2">
        <f t="shared" si="141"/>
        <v>57053.571428571428</v>
      </c>
      <c r="AV108" s="2">
        <f t="shared" si="141"/>
        <v>107007.14285714286</v>
      </c>
      <c r="BK108" s="2">
        <v>101</v>
      </c>
      <c r="BL108" s="2">
        <f t="shared" ref="BL108:BP117" si="142">IFERROR(MAX($BK108-$C$2,0)*INDEX($BH$8:$BH$16,MATCH(BL$7,$BI$8:$BI$16,0))*$C$4/$C$3,BM108)</f>
        <v>1622.8571428571429</v>
      </c>
      <c r="BM108" s="2">
        <f t="shared" si="142"/>
        <v>2840</v>
      </c>
      <c r="BN108" s="2">
        <f t="shared" si="142"/>
        <v>4462.8571428571431</v>
      </c>
      <c r="BO108" s="2">
        <f t="shared" si="142"/>
        <v>7708.5714285714284</v>
      </c>
      <c r="BP108" s="2">
        <f t="shared" si="142"/>
        <v>70188.571428571435</v>
      </c>
      <c r="BV108" s="2">
        <v>101</v>
      </c>
      <c r="BW108" s="2">
        <f t="shared" si="89"/>
        <v>32583.928571428569</v>
      </c>
      <c r="BX108" s="2">
        <f t="shared" si="90"/>
        <v>67805</v>
      </c>
      <c r="BY108" s="2">
        <f t="shared" si="91"/>
        <v>81650</v>
      </c>
      <c r="BZ108" s="2">
        <f t="shared" si="92"/>
        <v>103913.57142857143</v>
      </c>
      <c r="CA108" s="2">
        <f t="shared" si="93"/>
        <v>216347.14285714284</v>
      </c>
      <c r="CC108" s="41">
        <f t="shared" si="97"/>
        <v>0.6163424124513619</v>
      </c>
      <c r="CD108" s="41">
        <f t="shared" si="98"/>
        <v>0.33385214007782105</v>
      </c>
      <c r="CE108" s="41">
        <f t="shared" si="99"/>
        <v>4.9805447470817124E-2</v>
      </c>
      <c r="CH108" s="2">
        <v>101</v>
      </c>
      <c r="CI108" s="2">
        <f>求节点(节奏总纲!R$4:R$363,BW$8:BW$367,$CH108)</f>
        <v>151446.42857142855</v>
      </c>
      <c r="CJ108" s="2">
        <f>求节点(节奏总纲!S$4:S$363,BX$8:BX$367,$CH108)</f>
        <v>315150</v>
      </c>
      <c r="CK108" s="2">
        <f>求节点(节奏总纲!T$4:T$363,BY$8:BY$367,$CH108)</f>
        <v>379500</v>
      </c>
      <c r="CL108" s="2">
        <f>求节点(节奏总纲!U$4:U$363,BZ$8:BZ$367,$CH108)</f>
        <v>482978.57142857142</v>
      </c>
      <c r="CM108" s="2">
        <f>求节点(节奏总纲!V$4:V$363,CA$8:CA$367,$CH108)</f>
        <v>802743.12535540503</v>
      </c>
    </row>
    <row r="109" spans="22:91" x14ac:dyDescent="0.2">
      <c r="V109" s="2">
        <v>102</v>
      </c>
      <c r="W109" s="2">
        <f t="shared" si="94"/>
        <v>20365.714285714286</v>
      </c>
      <c r="X109" s="2">
        <f t="shared" si="94"/>
        <v>39702.857142857145</v>
      </c>
      <c r="Y109" s="2">
        <f t="shared" si="95"/>
        <v>39702.857142857145</v>
      </c>
      <c r="Z109" s="2">
        <f t="shared" ref="Z109:AA109" si="143">Y109</f>
        <v>39702.857142857145</v>
      </c>
      <c r="AA109" s="2">
        <f t="shared" si="143"/>
        <v>39702.857142857145</v>
      </c>
      <c r="AQ109" s="2">
        <v>102</v>
      </c>
      <c r="AR109" s="2">
        <f t="shared" si="141"/>
        <v>11031.428571428571</v>
      </c>
      <c r="AS109" s="2">
        <f t="shared" si="141"/>
        <v>26177.142857142859</v>
      </c>
      <c r="AT109" s="2">
        <f t="shared" si="141"/>
        <v>38571.428571428572</v>
      </c>
      <c r="AU109" s="2">
        <f t="shared" si="141"/>
        <v>57857.142857142855</v>
      </c>
      <c r="AV109" s="2">
        <f t="shared" si="141"/>
        <v>108514.28571428571</v>
      </c>
      <c r="BK109" s="2">
        <v>102</v>
      </c>
      <c r="BL109" s="2">
        <f t="shared" si="142"/>
        <v>1645.7142857142858</v>
      </c>
      <c r="BM109" s="2">
        <f t="shared" si="142"/>
        <v>2880</v>
      </c>
      <c r="BN109" s="2">
        <f t="shared" si="142"/>
        <v>4525.7142857142853</v>
      </c>
      <c r="BO109" s="2">
        <f t="shared" si="142"/>
        <v>7817.1428571428569</v>
      </c>
      <c r="BP109" s="2">
        <f t="shared" si="142"/>
        <v>71177.142857142855</v>
      </c>
      <c r="BV109" s="2">
        <v>102</v>
      </c>
      <c r="BW109" s="2">
        <f t="shared" si="89"/>
        <v>33042.857142857138</v>
      </c>
      <c r="BX109" s="2">
        <f t="shared" si="90"/>
        <v>68760</v>
      </c>
      <c r="BY109" s="2">
        <f t="shared" si="91"/>
        <v>82800</v>
      </c>
      <c r="BZ109" s="2">
        <f t="shared" si="92"/>
        <v>105377.14285714286</v>
      </c>
      <c r="CA109" s="2">
        <f t="shared" si="93"/>
        <v>219394.28571428568</v>
      </c>
      <c r="CC109" s="41">
        <f t="shared" si="97"/>
        <v>0.61634241245136201</v>
      </c>
      <c r="CD109" s="41">
        <f t="shared" si="98"/>
        <v>0.33385214007782105</v>
      </c>
      <c r="CE109" s="41">
        <f t="shared" si="99"/>
        <v>4.9805447470817131E-2</v>
      </c>
      <c r="CH109" s="2">
        <v>102</v>
      </c>
      <c r="CI109" s="2">
        <f>求节点(节奏总纲!R$4:R$363,BW$8:BW$367,$CH109)</f>
        <v>151446.42857142855</v>
      </c>
      <c r="CJ109" s="2">
        <f>求节点(节奏总纲!S$4:S$363,BX$8:BX$367,$CH109)</f>
        <v>315150</v>
      </c>
      <c r="CK109" s="2">
        <f>求节点(节奏总纲!T$4:T$363,BY$8:BY$367,$CH109)</f>
        <v>379500</v>
      </c>
      <c r="CL109" s="2">
        <f>求节点(节奏总纲!U$4:U$363,BZ$8:BZ$367,$CH109)</f>
        <v>482978.57142857142</v>
      </c>
      <c r="CM109" s="2">
        <f>求节点(节奏总纲!V$4:V$363,CA$8:CA$367,$CH109)</f>
        <v>864126.7227083589</v>
      </c>
    </row>
    <row r="110" spans="22:91" x14ac:dyDescent="0.2">
      <c r="V110" s="2">
        <v>103</v>
      </c>
      <c r="W110" s="2">
        <f t="shared" si="94"/>
        <v>20648.571428571428</v>
      </c>
      <c r="X110" s="2">
        <f t="shared" si="94"/>
        <v>40254.285714285717</v>
      </c>
      <c r="Y110" s="2">
        <f t="shared" si="95"/>
        <v>40254.285714285717</v>
      </c>
      <c r="Z110" s="2">
        <f t="shared" ref="Z110:AA110" si="144">Y110</f>
        <v>40254.285714285717</v>
      </c>
      <c r="AA110" s="2">
        <f t="shared" si="144"/>
        <v>40254.285714285717</v>
      </c>
      <c r="AQ110" s="2">
        <v>103</v>
      </c>
      <c r="AR110" s="2">
        <f t="shared" si="141"/>
        <v>11184.642857142857</v>
      </c>
      <c r="AS110" s="2">
        <f t="shared" si="141"/>
        <v>26540.714285714286</v>
      </c>
      <c r="AT110" s="2">
        <f t="shared" si="141"/>
        <v>39107.142857142855</v>
      </c>
      <c r="AU110" s="2">
        <f t="shared" si="141"/>
        <v>58660.714285714283</v>
      </c>
      <c r="AV110" s="2">
        <f t="shared" si="141"/>
        <v>110021.42857142857</v>
      </c>
      <c r="BK110" s="2">
        <v>103</v>
      </c>
      <c r="BL110" s="2">
        <f t="shared" si="142"/>
        <v>1668.5714285714287</v>
      </c>
      <c r="BM110" s="2">
        <f t="shared" si="142"/>
        <v>2920</v>
      </c>
      <c r="BN110" s="2">
        <f t="shared" si="142"/>
        <v>4588.5714285714284</v>
      </c>
      <c r="BO110" s="2">
        <f t="shared" si="142"/>
        <v>7925.7142857142853</v>
      </c>
      <c r="BP110" s="2">
        <f t="shared" si="142"/>
        <v>72165.71428571429</v>
      </c>
      <c r="BV110" s="2">
        <v>103</v>
      </c>
      <c r="BW110" s="2">
        <f t="shared" si="89"/>
        <v>33501.78571428571</v>
      </c>
      <c r="BX110" s="2">
        <f t="shared" si="90"/>
        <v>69715</v>
      </c>
      <c r="BY110" s="2">
        <f t="shared" si="91"/>
        <v>83950.000000000015</v>
      </c>
      <c r="BZ110" s="2">
        <f t="shared" si="92"/>
        <v>106840.71428571429</v>
      </c>
      <c r="CA110" s="2">
        <f t="shared" si="93"/>
        <v>222441.42857142858</v>
      </c>
      <c r="CC110" s="41">
        <f t="shared" si="97"/>
        <v>0.6163424124513619</v>
      </c>
      <c r="CD110" s="41">
        <f t="shared" si="98"/>
        <v>0.33385214007782105</v>
      </c>
      <c r="CE110" s="41">
        <f t="shared" si="99"/>
        <v>4.9805447470817131E-2</v>
      </c>
      <c r="CH110" s="2">
        <v>103</v>
      </c>
      <c r="CI110" s="2">
        <f>求节点(节奏总纲!R$4:R$363,BW$8:BW$367,$CH110)</f>
        <v>151446.42857142855</v>
      </c>
      <c r="CJ110" s="2">
        <f>求节点(节奏总纲!S$4:S$363,BX$8:BX$367,$CH110)</f>
        <v>315150</v>
      </c>
      <c r="CK110" s="2">
        <f>求节点(节奏总纲!T$4:T$363,BY$8:BY$367,$CH110)</f>
        <v>379500</v>
      </c>
      <c r="CL110" s="2">
        <f>求节点(节奏总纲!U$4:U$363,BZ$8:BZ$367,$CH110)</f>
        <v>482978.57142857142</v>
      </c>
      <c r="CM110" s="2">
        <f>求节点(节奏总纲!V$4:V$363,CA$8:CA$367,$CH110)</f>
        <v>931961.03545467171</v>
      </c>
    </row>
    <row r="111" spans="22:91" x14ac:dyDescent="0.2">
      <c r="V111" s="2">
        <v>104</v>
      </c>
      <c r="W111" s="2">
        <f t="shared" si="94"/>
        <v>20931.428571428572</v>
      </c>
      <c r="X111" s="2">
        <f t="shared" si="94"/>
        <v>40805.714285714283</v>
      </c>
      <c r="Y111" s="2">
        <f t="shared" si="95"/>
        <v>40805.714285714283</v>
      </c>
      <c r="Z111" s="2">
        <f t="shared" ref="Z111:AA111" si="145">Y111</f>
        <v>40805.714285714283</v>
      </c>
      <c r="AA111" s="2">
        <f t="shared" si="145"/>
        <v>40805.714285714283</v>
      </c>
      <c r="AQ111" s="2">
        <v>104</v>
      </c>
      <c r="AR111" s="2">
        <f t="shared" si="141"/>
        <v>11337.857142857143</v>
      </c>
      <c r="AS111" s="2">
        <f t="shared" si="141"/>
        <v>26904.285714285714</v>
      </c>
      <c r="AT111" s="2">
        <f t="shared" si="141"/>
        <v>39642.857142857145</v>
      </c>
      <c r="AU111" s="2">
        <f t="shared" si="141"/>
        <v>59464.285714285717</v>
      </c>
      <c r="AV111" s="2">
        <f t="shared" si="141"/>
        <v>111528.57142857143</v>
      </c>
      <c r="BK111" s="2">
        <v>104</v>
      </c>
      <c r="BL111" s="2">
        <f t="shared" si="142"/>
        <v>1691.4285714285713</v>
      </c>
      <c r="BM111" s="2">
        <f t="shared" si="142"/>
        <v>2960</v>
      </c>
      <c r="BN111" s="2">
        <f t="shared" si="142"/>
        <v>4651.4285714285716</v>
      </c>
      <c r="BO111" s="2">
        <f t="shared" si="142"/>
        <v>8034.2857142857147</v>
      </c>
      <c r="BP111" s="2">
        <f t="shared" si="142"/>
        <v>73154.28571428571</v>
      </c>
      <c r="BV111" s="2">
        <v>104</v>
      </c>
      <c r="BW111" s="2">
        <f t="shared" si="89"/>
        <v>33960.71428571429</v>
      </c>
      <c r="BX111" s="2">
        <f t="shared" si="90"/>
        <v>70670</v>
      </c>
      <c r="BY111" s="2">
        <f t="shared" si="91"/>
        <v>85099.999999999985</v>
      </c>
      <c r="BZ111" s="2">
        <f t="shared" si="92"/>
        <v>108304.28571428571</v>
      </c>
      <c r="CA111" s="2">
        <f t="shared" si="93"/>
        <v>225488.57142857142</v>
      </c>
      <c r="CC111" s="41">
        <f t="shared" si="97"/>
        <v>0.61634241245136179</v>
      </c>
      <c r="CD111" s="41">
        <f t="shared" si="98"/>
        <v>0.33385214007782099</v>
      </c>
      <c r="CE111" s="41">
        <f t="shared" si="99"/>
        <v>4.980544747081711E-2</v>
      </c>
      <c r="CH111" s="2">
        <v>104</v>
      </c>
      <c r="CI111" s="2">
        <f>求节点(节奏总纲!R$4:R$363,BW$8:BW$367,$CH111)</f>
        <v>151446.42857142855</v>
      </c>
      <c r="CJ111" s="2">
        <f>求节点(节奏总纲!S$4:S$363,BX$8:BX$367,$CH111)</f>
        <v>315150</v>
      </c>
      <c r="CK111" s="2">
        <f>求节点(节奏总纲!T$4:T$363,BY$8:BY$367,$CH111)</f>
        <v>379500</v>
      </c>
      <c r="CL111" s="2">
        <f>求节点(节奏总纲!U$4:U$363,BZ$8:BZ$367,$CH111)</f>
        <v>482978.57142857142</v>
      </c>
      <c r="CM111" s="2">
        <f>求节点(节奏总纲!V$4:V$363,CA$8:CA$367,$CH111)</f>
        <v>1005557.1428571427</v>
      </c>
    </row>
    <row r="112" spans="22:91" x14ac:dyDescent="0.2">
      <c r="V112" s="2">
        <v>105</v>
      </c>
      <c r="W112" s="2">
        <f t="shared" si="94"/>
        <v>21214.285714285714</v>
      </c>
      <c r="X112" s="2">
        <f t="shared" si="94"/>
        <v>41357.142857142855</v>
      </c>
      <c r="Y112" s="2">
        <f t="shared" si="95"/>
        <v>41357.142857142855</v>
      </c>
      <c r="Z112" s="2">
        <f t="shared" ref="Z112:AA112" si="146">Y112</f>
        <v>41357.142857142855</v>
      </c>
      <c r="AA112" s="2">
        <f t="shared" si="146"/>
        <v>41357.142857142855</v>
      </c>
      <c r="AQ112" s="2">
        <v>105</v>
      </c>
      <c r="AR112" s="2">
        <f t="shared" si="141"/>
        <v>11491.071428571429</v>
      </c>
      <c r="AS112" s="2">
        <f t="shared" si="141"/>
        <v>27267.857142857141</v>
      </c>
      <c r="AT112" s="2">
        <f t="shared" si="141"/>
        <v>40178.571428571428</v>
      </c>
      <c r="AU112" s="2">
        <f t="shared" si="141"/>
        <v>60267.857142857145</v>
      </c>
      <c r="AV112" s="2">
        <f t="shared" si="141"/>
        <v>113035.71428571429</v>
      </c>
      <c r="BK112" s="2">
        <v>105</v>
      </c>
      <c r="BL112" s="2">
        <f t="shared" si="142"/>
        <v>1714.2857142857142</v>
      </c>
      <c r="BM112" s="2">
        <f t="shared" si="142"/>
        <v>3000</v>
      </c>
      <c r="BN112" s="2">
        <f t="shared" si="142"/>
        <v>4714.2857142857147</v>
      </c>
      <c r="BO112" s="2">
        <f t="shared" si="142"/>
        <v>8142.8571428571431</v>
      </c>
      <c r="BP112" s="2">
        <f t="shared" si="142"/>
        <v>74142.857142857145</v>
      </c>
      <c r="BV112" s="2">
        <v>105</v>
      </c>
      <c r="BW112" s="2">
        <f t="shared" si="89"/>
        <v>34419.642857142862</v>
      </c>
      <c r="BX112" s="2">
        <f t="shared" si="90"/>
        <v>71625</v>
      </c>
      <c r="BY112" s="2">
        <f t="shared" si="91"/>
        <v>86250</v>
      </c>
      <c r="BZ112" s="2">
        <f t="shared" si="92"/>
        <v>109767.85714285714</v>
      </c>
      <c r="CA112" s="2">
        <f t="shared" si="93"/>
        <v>228535.71428571432</v>
      </c>
      <c r="CC112" s="41">
        <f t="shared" si="97"/>
        <v>0.61634241245136179</v>
      </c>
      <c r="CD112" s="41">
        <f t="shared" si="98"/>
        <v>0.33385214007782099</v>
      </c>
      <c r="CE112" s="41">
        <f t="shared" si="99"/>
        <v>4.980544747081711E-2</v>
      </c>
      <c r="CH112" s="2">
        <v>105</v>
      </c>
      <c r="CI112" s="2">
        <f>求节点(节奏总纲!R$4:R$363,BW$8:BW$367,$CH112)</f>
        <v>151446.42857142855</v>
      </c>
      <c r="CJ112" s="2">
        <f>求节点(节奏总纲!S$4:S$363,BX$8:BX$367,$CH112)</f>
        <v>315150</v>
      </c>
      <c r="CK112" s="2">
        <f>求节点(节奏总纲!T$4:T$363,BY$8:BY$367,$CH112)</f>
        <v>379500</v>
      </c>
      <c r="CL112" s="2">
        <f>求节点(节奏总纲!U$4:U$363,BZ$8:BZ$367,$CH112)</f>
        <v>482978.57142857142</v>
      </c>
      <c r="CM112" s="2">
        <f>求节点(节奏总纲!V$4:V$363,CA$8:CA$367,$CH112)</f>
        <v>1005557.1428571427</v>
      </c>
    </row>
    <row r="113" spans="22:91" x14ac:dyDescent="0.2">
      <c r="V113" s="2">
        <v>106</v>
      </c>
      <c r="W113" s="2">
        <f t="shared" si="94"/>
        <v>21497.142857142859</v>
      </c>
      <c r="X113" s="2">
        <f t="shared" si="94"/>
        <v>41908.571428571428</v>
      </c>
      <c r="Y113" s="2">
        <f t="shared" si="95"/>
        <v>41908.571428571428</v>
      </c>
      <c r="Z113" s="2">
        <f t="shared" ref="Z113:AA113" si="147">Y113</f>
        <v>41908.571428571428</v>
      </c>
      <c r="AA113" s="2">
        <f t="shared" si="147"/>
        <v>41908.571428571428</v>
      </c>
      <c r="AQ113" s="2">
        <v>106</v>
      </c>
      <c r="AR113" s="2">
        <f t="shared" si="141"/>
        <v>11644.285714285714</v>
      </c>
      <c r="AS113" s="2">
        <f t="shared" si="141"/>
        <v>27631.428571428572</v>
      </c>
      <c r="AT113" s="2">
        <f t="shared" si="141"/>
        <v>40714.285714285717</v>
      </c>
      <c r="AU113" s="2">
        <f t="shared" si="141"/>
        <v>61071.428571428572</v>
      </c>
      <c r="AV113" s="2">
        <f t="shared" si="141"/>
        <v>114542.85714285714</v>
      </c>
      <c r="BK113" s="2">
        <v>106</v>
      </c>
      <c r="BL113" s="2">
        <f t="shared" si="142"/>
        <v>1737.1428571428571</v>
      </c>
      <c r="BM113" s="2">
        <f t="shared" si="142"/>
        <v>3040</v>
      </c>
      <c r="BN113" s="2">
        <f t="shared" si="142"/>
        <v>4777.1428571428569</v>
      </c>
      <c r="BO113" s="2">
        <f t="shared" si="142"/>
        <v>8251.4285714285706</v>
      </c>
      <c r="BP113" s="2">
        <f t="shared" si="142"/>
        <v>75131.428571428565</v>
      </c>
      <c r="BV113" s="2">
        <v>106</v>
      </c>
      <c r="BW113" s="2">
        <f t="shared" si="89"/>
        <v>34878.571428571428</v>
      </c>
      <c r="BX113" s="2">
        <f t="shared" si="90"/>
        <v>72580</v>
      </c>
      <c r="BY113" s="2">
        <f t="shared" si="91"/>
        <v>87400</v>
      </c>
      <c r="BZ113" s="2">
        <f t="shared" si="92"/>
        <v>111231.42857142857</v>
      </c>
      <c r="CA113" s="2">
        <f t="shared" si="93"/>
        <v>231582.85714285716</v>
      </c>
      <c r="CC113" s="41">
        <f t="shared" si="97"/>
        <v>0.6163424124513619</v>
      </c>
      <c r="CD113" s="41">
        <f t="shared" si="98"/>
        <v>0.33385214007782099</v>
      </c>
      <c r="CE113" s="41">
        <f t="shared" si="99"/>
        <v>4.9805447470817124E-2</v>
      </c>
      <c r="CH113" s="2">
        <v>106</v>
      </c>
      <c r="CI113" s="2">
        <f>求节点(节奏总纲!R$4:R$363,BW$8:BW$367,$CH113)</f>
        <v>151446.42857142855</v>
      </c>
      <c r="CJ113" s="2">
        <f>求节点(节奏总纲!S$4:S$363,BX$8:BX$367,$CH113)</f>
        <v>315150</v>
      </c>
      <c r="CK113" s="2">
        <f>求节点(节奏总纲!T$4:T$363,BY$8:BY$367,$CH113)</f>
        <v>379500</v>
      </c>
      <c r="CL113" s="2">
        <f>求节点(节奏总纲!U$4:U$363,BZ$8:BZ$367,$CH113)</f>
        <v>482978.57142857142</v>
      </c>
      <c r="CM113" s="2">
        <f>求节点(节奏总纲!V$4:V$363,CA$8:CA$367,$CH113)</f>
        <v>1005557.1428571427</v>
      </c>
    </row>
    <row r="114" spans="22:91" x14ac:dyDescent="0.2">
      <c r="V114" s="2">
        <v>107</v>
      </c>
      <c r="W114" s="2">
        <f t="shared" si="94"/>
        <v>21780</v>
      </c>
      <c r="X114" s="2">
        <f t="shared" si="94"/>
        <v>42460</v>
      </c>
      <c r="Y114" s="2">
        <f t="shared" si="95"/>
        <v>42460</v>
      </c>
      <c r="Z114" s="2">
        <f t="shared" ref="Z114:AA114" si="148">Y114</f>
        <v>42460</v>
      </c>
      <c r="AA114" s="2">
        <f t="shared" si="148"/>
        <v>42460</v>
      </c>
      <c r="AQ114" s="2">
        <v>107</v>
      </c>
      <c r="AR114" s="2">
        <f t="shared" si="141"/>
        <v>11797.5</v>
      </c>
      <c r="AS114" s="2">
        <f t="shared" si="141"/>
        <v>27995</v>
      </c>
      <c r="AT114" s="2">
        <f t="shared" si="141"/>
        <v>41250</v>
      </c>
      <c r="AU114" s="2">
        <f t="shared" si="141"/>
        <v>61875</v>
      </c>
      <c r="AV114" s="2">
        <f t="shared" si="141"/>
        <v>116050</v>
      </c>
      <c r="BK114" s="2">
        <v>107</v>
      </c>
      <c r="BL114" s="2">
        <f t="shared" si="142"/>
        <v>1760</v>
      </c>
      <c r="BM114" s="2">
        <f t="shared" si="142"/>
        <v>3080</v>
      </c>
      <c r="BN114" s="2">
        <f t="shared" si="142"/>
        <v>4840</v>
      </c>
      <c r="BO114" s="2">
        <f t="shared" si="142"/>
        <v>8360</v>
      </c>
      <c r="BP114" s="2">
        <f t="shared" si="142"/>
        <v>76120</v>
      </c>
      <c r="BV114" s="2">
        <v>107</v>
      </c>
      <c r="BW114" s="2">
        <f t="shared" si="89"/>
        <v>35337.5</v>
      </c>
      <c r="BX114" s="2">
        <f t="shared" si="90"/>
        <v>73535</v>
      </c>
      <c r="BY114" s="2">
        <f t="shared" si="91"/>
        <v>88550</v>
      </c>
      <c r="BZ114" s="2">
        <f t="shared" si="92"/>
        <v>112695</v>
      </c>
      <c r="CA114" s="2">
        <f t="shared" si="93"/>
        <v>234630</v>
      </c>
      <c r="CC114" s="41">
        <f t="shared" si="97"/>
        <v>0.6163424124513619</v>
      </c>
      <c r="CD114" s="41">
        <f t="shared" si="98"/>
        <v>0.33385214007782099</v>
      </c>
      <c r="CE114" s="41">
        <f t="shared" si="99"/>
        <v>4.9805447470817124E-2</v>
      </c>
      <c r="CH114" s="2">
        <v>107</v>
      </c>
      <c r="CI114" s="2">
        <f>求节点(节奏总纲!R$4:R$363,BW$8:BW$367,$CH114)</f>
        <v>151446.42857142855</v>
      </c>
      <c r="CJ114" s="2">
        <f>求节点(节奏总纲!S$4:S$363,BX$8:BX$367,$CH114)</f>
        <v>315150</v>
      </c>
      <c r="CK114" s="2">
        <f>求节点(节奏总纲!T$4:T$363,BY$8:BY$367,$CH114)</f>
        <v>379500</v>
      </c>
      <c r="CL114" s="2">
        <f>求节点(节奏总纲!U$4:U$363,BZ$8:BZ$367,$CH114)</f>
        <v>482978.57142857142</v>
      </c>
      <c r="CM114" s="2">
        <f>求节点(节奏总纲!V$4:V$363,CA$8:CA$367,$CH114)</f>
        <v>1005557.1428571427</v>
      </c>
    </row>
    <row r="115" spans="22:91" x14ac:dyDescent="0.2">
      <c r="V115" s="2">
        <v>108</v>
      </c>
      <c r="W115" s="2">
        <f t="shared" si="94"/>
        <v>22062.857142857141</v>
      </c>
      <c r="X115" s="2">
        <f t="shared" si="94"/>
        <v>43011.428571428572</v>
      </c>
      <c r="Y115" s="2">
        <f t="shared" si="95"/>
        <v>43011.428571428572</v>
      </c>
      <c r="Z115" s="2">
        <f t="shared" ref="Z115:AA115" si="149">Y115</f>
        <v>43011.428571428572</v>
      </c>
      <c r="AA115" s="2">
        <f t="shared" si="149"/>
        <v>43011.428571428572</v>
      </c>
      <c r="AQ115" s="2">
        <v>108</v>
      </c>
      <c r="AR115" s="2">
        <f t="shared" si="141"/>
        <v>11950.714285714286</v>
      </c>
      <c r="AS115" s="2">
        <f t="shared" si="141"/>
        <v>28358.571428571428</v>
      </c>
      <c r="AT115" s="2">
        <f t="shared" si="141"/>
        <v>41785.714285714283</v>
      </c>
      <c r="AU115" s="2">
        <f t="shared" si="141"/>
        <v>62678.571428571428</v>
      </c>
      <c r="AV115" s="2">
        <f t="shared" si="141"/>
        <v>117557.14285714286</v>
      </c>
      <c r="BK115" s="2">
        <v>108</v>
      </c>
      <c r="BL115" s="2">
        <f t="shared" si="142"/>
        <v>1782.8571428571429</v>
      </c>
      <c r="BM115" s="2">
        <f t="shared" si="142"/>
        <v>3120</v>
      </c>
      <c r="BN115" s="2">
        <f t="shared" si="142"/>
        <v>4902.8571428571431</v>
      </c>
      <c r="BO115" s="2">
        <f t="shared" si="142"/>
        <v>8468.5714285714294</v>
      </c>
      <c r="BP115" s="2">
        <f t="shared" si="142"/>
        <v>77108.571428571435</v>
      </c>
      <c r="BV115" s="2">
        <v>108</v>
      </c>
      <c r="BW115" s="2">
        <f t="shared" si="89"/>
        <v>35796.428571428572</v>
      </c>
      <c r="BX115" s="2">
        <f t="shared" si="90"/>
        <v>74490</v>
      </c>
      <c r="BY115" s="2">
        <f t="shared" si="91"/>
        <v>89700</v>
      </c>
      <c r="BZ115" s="2">
        <f t="shared" si="92"/>
        <v>114158.57142857143</v>
      </c>
      <c r="CA115" s="2">
        <f t="shared" si="93"/>
        <v>237677.14285714284</v>
      </c>
      <c r="CC115" s="41">
        <f t="shared" si="97"/>
        <v>0.61634241245136179</v>
      </c>
      <c r="CD115" s="41">
        <f t="shared" si="98"/>
        <v>0.33385214007782099</v>
      </c>
      <c r="CE115" s="41">
        <f t="shared" si="99"/>
        <v>4.9805447470817117E-2</v>
      </c>
      <c r="CH115" s="2">
        <v>108</v>
      </c>
      <c r="CI115" s="2">
        <f>求节点(节奏总纲!R$4:R$363,BW$8:BW$367,$CH115)</f>
        <v>151446.42857142855</v>
      </c>
      <c r="CJ115" s="2">
        <f>求节点(节奏总纲!S$4:S$363,BX$8:BX$367,$CH115)</f>
        <v>315150</v>
      </c>
      <c r="CK115" s="2">
        <f>求节点(节奏总纲!T$4:T$363,BY$8:BY$367,$CH115)</f>
        <v>379500</v>
      </c>
      <c r="CL115" s="2">
        <f>求节点(节奏总纲!U$4:U$363,BZ$8:BZ$367,$CH115)</f>
        <v>482978.57142857142</v>
      </c>
      <c r="CM115" s="2">
        <f>求节点(节奏总纲!V$4:V$363,CA$8:CA$367,$CH115)</f>
        <v>1005557.1428571427</v>
      </c>
    </row>
    <row r="116" spans="22:91" x14ac:dyDescent="0.2">
      <c r="V116" s="2">
        <v>109</v>
      </c>
      <c r="W116" s="2">
        <f t="shared" si="94"/>
        <v>22345.714285714286</v>
      </c>
      <c r="X116" s="2">
        <f t="shared" si="94"/>
        <v>43562.857142857145</v>
      </c>
      <c r="Y116" s="2">
        <f t="shared" si="95"/>
        <v>43562.857142857145</v>
      </c>
      <c r="Z116" s="2">
        <f t="shared" ref="Z116:AA116" si="150">Y116</f>
        <v>43562.857142857145</v>
      </c>
      <c r="AA116" s="2">
        <f t="shared" si="150"/>
        <v>43562.857142857145</v>
      </c>
      <c r="AQ116" s="2">
        <v>109</v>
      </c>
      <c r="AR116" s="2">
        <f t="shared" si="141"/>
        <v>12103.928571428571</v>
      </c>
      <c r="AS116" s="2">
        <f t="shared" si="141"/>
        <v>28722.142857142859</v>
      </c>
      <c r="AT116" s="2">
        <f t="shared" si="141"/>
        <v>42321.428571428572</v>
      </c>
      <c r="AU116" s="2">
        <f t="shared" si="141"/>
        <v>63482.142857142855</v>
      </c>
      <c r="AV116" s="2">
        <f t="shared" si="141"/>
        <v>119064.28571428571</v>
      </c>
      <c r="BK116" s="2">
        <v>109</v>
      </c>
      <c r="BL116" s="2">
        <f t="shared" si="142"/>
        <v>1805.7142857142858</v>
      </c>
      <c r="BM116" s="2">
        <f t="shared" si="142"/>
        <v>3160</v>
      </c>
      <c r="BN116" s="2">
        <f t="shared" si="142"/>
        <v>4965.7142857142853</v>
      </c>
      <c r="BO116" s="2">
        <f t="shared" si="142"/>
        <v>8577.1428571428569</v>
      </c>
      <c r="BP116" s="2">
        <f t="shared" si="142"/>
        <v>78097.142857142855</v>
      </c>
      <c r="BV116" s="2">
        <v>109</v>
      </c>
      <c r="BW116" s="2">
        <f t="shared" si="89"/>
        <v>36255.357142857138</v>
      </c>
      <c r="BX116" s="2">
        <f t="shared" si="90"/>
        <v>75445</v>
      </c>
      <c r="BY116" s="2">
        <f t="shared" si="91"/>
        <v>90850</v>
      </c>
      <c r="BZ116" s="2">
        <f t="shared" si="92"/>
        <v>115622.14285714286</v>
      </c>
      <c r="CA116" s="2">
        <f t="shared" si="93"/>
        <v>240724.28571428568</v>
      </c>
      <c r="CC116" s="41">
        <f t="shared" si="97"/>
        <v>0.61634241245136201</v>
      </c>
      <c r="CD116" s="41">
        <f t="shared" si="98"/>
        <v>0.33385214007782105</v>
      </c>
      <c r="CE116" s="41">
        <f t="shared" si="99"/>
        <v>4.9805447470817131E-2</v>
      </c>
      <c r="CH116" s="2">
        <v>109</v>
      </c>
      <c r="CI116" s="2">
        <f>求节点(节奏总纲!R$4:R$363,BW$8:BW$367,$CH116)</f>
        <v>151446.42857142855</v>
      </c>
      <c r="CJ116" s="2">
        <f>求节点(节奏总纲!S$4:S$363,BX$8:BX$367,$CH116)</f>
        <v>315150</v>
      </c>
      <c r="CK116" s="2">
        <f>求节点(节奏总纲!T$4:T$363,BY$8:BY$367,$CH116)</f>
        <v>379500</v>
      </c>
      <c r="CL116" s="2">
        <f>求节点(节奏总纲!U$4:U$363,BZ$8:BZ$367,$CH116)</f>
        <v>482978.57142857142</v>
      </c>
      <c r="CM116" s="2">
        <f>求节点(节奏总纲!V$4:V$363,CA$8:CA$367,$CH116)</f>
        <v>1005557.1428571427</v>
      </c>
    </row>
    <row r="117" spans="22:91" x14ac:dyDescent="0.2">
      <c r="V117" s="2">
        <v>110</v>
      </c>
      <c r="W117" s="2">
        <f t="shared" si="94"/>
        <v>22628.571428571428</v>
      </c>
      <c r="X117" s="2">
        <f t="shared" si="94"/>
        <v>44114.285714285717</v>
      </c>
      <c r="Y117" s="2">
        <f t="shared" si="95"/>
        <v>44114.285714285717</v>
      </c>
      <c r="Z117" s="2">
        <f t="shared" ref="Z117:AA117" si="151">Y117</f>
        <v>44114.285714285717</v>
      </c>
      <c r="AA117" s="2">
        <f t="shared" si="151"/>
        <v>44114.285714285717</v>
      </c>
      <c r="AQ117" s="2">
        <v>110</v>
      </c>
      <c r="AR117" s="2">
        <f t="shared" si="141"/>
        <v>12257.142857142857</v>
      </c>
      <c r="AS117" s="2">
        <f t="shared" si="141"/>
        <v>29085.714285714286</v>
      </c>
      <c r="AT117" s="2">
        <f t="shared" si="141"/>
        <v>42857.142857142855</v>
      </c>
      <c r="AU117" s="2">
        <f t="shared" si="141"/>
        <v>64285.714285714283</v>
      </c>
      <c r="AV117" s="2">
        <f t="shared" si="141"/>
        <v>120571.42857142857</v>
      </c>
      <c r="BK117" s="2">
        <v>110</v>
      </c>
      <c r="BL117" s="2">
        <f t="shared" si="142"/>
        <v>1828.5714285714287</v>
      </c>
      <c r="BM117" s="2">
        <f t="shared" si="142"/>
        <v>3200</v>
      </c>
      <c r="BN117" s="2">
        <f t="shared" si="142"/>
        <v>5028.5714285714284</v>
      </c>
      <c r="BO117" s="2">
        <f t="shared" si="142"/>
        <v>8685.7142857142862</v>
      </c>
      <c r="BP117" s="2">
        <f t="shared" si="142"/>
        <v>79085.71428571429</v>
      </c>
      <c r="BV117" s="2">
        <v>110</v>
      </c>
      <c r="BW117" s="2">
        <f t="shared" si="89"/>
        <v>36714.28571428571</v>
      </c>
      <c r="BX117" s="2">
        <f t="shared" si="90"/>
        <v>76400</v>
      </c>
      <c r="BY117" s="2">
        <f t="shared" si="91"/>
        <v>92000.000000000015</v>
      </c>
      <c r="BZ117" s="2">
        <f t="shared" si="92"/>
        <v>117085.71428571429</v>
      </c>
      <c r="CA117" s="2">
        <f t="shared" si="93"/>
        <v>243771.42857142858</v>
      </c>
      <c r="CC117" s="41">
        <f t="shared" si="97"/>
        <v>0.6163424124513619</v>
      </c>
      <c r="CD117" s="41">
        <f t="shared" si="98"/>
        <v>0.33385214007782105</v>
      </c>
      <c r="CE117" s="41">
        <f t="shared" si="99"/>
        <v>4.9805447470817131E-2</v>
      </c>
      <c r="CH117" s="2">
        <v>110</v>
      </c>
      <c r="CI117" s="2">
        <f>求节点(节奏总纲!R$4:R$363,BW$8:BW$367,$CH117)</f>
        <v>151446.42857142855</v>
      </c>
      <c r="CJ117" s="2">
        <f>求节点(节奏总纲!S$4:S$363,BX$8:BX$367,$CH117)</f>
        <v>315150</v>
      </c>
      <c r="CK117" s="2">
        <f>求节点(节奏总纲!T$4:T$363,BY$8:BY$367,$CH117)</f>
        <v>379500</v>
      </c>
      <c r="CL117" s="2">
        <f>求节点(节奏总纲!U$4:U$363,BZ$8:BZ$367,$CH117)</f>
        <v>482978.57142857142</v>
      </c>
      <c r="CM117" s="2">
        <f>求节点(节奏总纲!V$4:V$363,CA$8:CA$367,$CH117)</f>
        <v>1005557.1428571427</v>
      </c>
    </row>
    <row r="118" spans="22:91" x14ac:dyDescent="0.2">
      <c r="V118" s="2">
        <v>111</v>
      </c>
      <c r="W118" s="2">
        <f t="shared" si="94"/>
        <v>22911.428571428572</v>
      </c>
      <c r="X118" s="2">
        <f t="shared" si="94"/>
        <v>44665.714285714283</v>
      </c>
      <c r="Y118" s="2">
        <f t="shared" si="95"/>
        <v>44665.714285714283</v>
      </c>
      <c r="Z118" s="2">
        <f t="shared" ref="Z118:AA118" si="152">Y118</f>
        <v>44665.714285714283</v>
      </c>
      <c r="AA118" s="2">
        <f t="shared" si="152"/>
        <v>44665.714285714283</v>
      </c>
      <c r="AQ118" s="2">
        <v>111</v>
      </c>
      <c r="AR118" s="2">
        <f t="shared" ref="AR118:AV127" si="153">MAX($AQ118-$C$2,0)*INDEX($AN$8:$AN$44,MATCH(AR$7,$AO$8:$AO$44,0))/$C$3</f>
        <v>12410.357142857143</v>
      </c>
      <c r="AS118" s="2">
        <f t="shared" si="153"/>
        <v>29449.285714285714</v>
      </c>
      <c r="AT118" s="2">
        <f t="shared" si="153"/>
        <v>43392.857142857145</v>
      </c>
      <c r="AU118" s="2">
        <f t="shared" si="153"/>
        <v>65089.285714285717</v>
      </c>
      <c r="AV118" s="2">
        <f t="shared" si="153"/>
        <v>122078.57142857143</v>
      </c>
      <c r="BK118" s="2">
        <v>111</v>
      </c>
      <c r="BL118" s="2">
        <f t="shared" ref="BL118:BP127" si="154">IFERROR(MAX($BK118-$C$2,0)*INDEX($BH$8:$BH$16,MATCH(BL$7,$BI$8:$BI$16,0))*$C$4/$C$3,BM118)</f>
        <v>1851.4285714285713</v>
      </c>
      <c r="BM118" s="2">
        <f t="shared" si="154"/>
        <v>3240</v>
      </c>
      <c r="BN118" s="2">
        <f t="shared" si="154"/>
        <v>5091.4285714285716</v>
      </c>
      <c r="BO118" s="2">
        <f t="shared" si="154"/>
        <v>8794.2857142857138</v>
      </c>
      <c r="BP118" s="2">
        <f t="shared" si="154"/>
        <v>80074.28571428571</v>
      </c>
      <c r="BV118" s="2">
        <v>111</v>
      </c>
      <c r="BW118" s="2">
        <f t="shared" si="89"/>
        <v>37173.21428571429</v>
      </c>
      <c r="BX118" s="2">
        <f t="shared" si="90"/>
        <v>77355</v>
      </c>
      <c r="BY118" s="2">
        <f t="shared" si="91"/>
        <v>93149.999999999985</v>
      </c>
      <c r="BZ118" s="2">
        <f t="shared" si="92"/>
        <v>118549.28571428571</v>
      </c>
      <c r="CA118" s="2">
        <f t="shared" si="93"/>
        <v>246818.57142857142</v>
      </c>
      <c r="CC118" s="41">
        <f t="shared" si="97"/>
        <v>0.61634241245136179</v>
      </c>
      <c r="CD118" s="41">
        <f t="shared" si="98"/>
        <v>0.33385214007782099</v>
      </c>
      <c r="CE118" s="41">
        <f t="shared" si="99"/>
        <v>4.980544747081711E-2</v>
      </c>
      <c r="CH118" s="2">
        <v>111</v>
      </c>
      <c r="CI118" s="2">
        <f>求节点(节奏总纲!R$4:R$363,BW$8:BW$367,$CH118)</f>
        <v>151446.42857142855</v>
      </c>
      <c r="CJ118" s="2">
        <f>求节点(节奏总纲!S$4:S$363,BX$8:BX$367,$CH118)</f>
        <v>315150</v>
      </c>
      <c r="CK118" s="2">
        <f>求节点(节奏总纲!T$4:T$363,BY$8:BY$367,$CH118)</f>
        <v>379500</v>
      </c>
      <c r="CL118" s="2">
        <f>求节点(节奏总纲!U$4:U$363,BZ$8:BZ$367,$CH118)</f>
        <v>482978.57142857142</v>
      </c>
      <c r="CM118" s="2">
        <f>求节点(节奏总纲!V$4:V$363,CA$8:CA$367,$CH118)</f>
        <v>1005557.1428571427</v>
      </c>
    </row>
    <row r="119" spans="22:91" x14ac:dyDescent="0.2">
      <c r="V119" s="2">
        <v>112</v>
      </c>
      <c r="W119" s="2">
        <f t="shared" si="94"/>
        <v>23194.285714285714</v>
      </c>
      <c r="X119" s="2">
        <f t="shared" si="94"/>
        <v>45217.142857142855</v>
      </c>
      <c r="Y119" s="2">
        <f t="shared" si="95"/>
        <v>45217.142857142855</v>
      </c>
      <c r="Z119" s="2">
        <f t="shared" ref="Z119:AA119" si="155">Y119</f>
        <v>45217.142857142855</v>
      </c>
      <c r="AA119" s="2">
        <f t="shared" si="155"/>
        <v>45217.142857142855</v>
      </c>
      <c r="AQ119" s="2">
        <v>112</v>
      </c>
      <c r="AR119" s="2">
        <f t="shared" si="153"/>
        <v>12563.571428571429</v>
      </c>
      <c r="AS119" s="2">
        <f t="shared" si="153"/>
        <v>29812.857142857141</v>
      </c>
      <c r="AT119" s="2">
        <f t="shared" si="153"/>
        <v>43928.571428571428</v>
      </c>
      <c r="AU119" s="2">
        <f t="shared" si="153"/>
        <v>65892.857142857145</v>
      </c>
      <c r="AV119" s="2">
        <f t="shared" si="153"/>
        <v>123585.71428571429</v>
      </c>
      <c r="BK119" s="2">
        <v>112</v>
      </c>
      <c r="BL119" s="2">
        <f t="shared" si="154"/>
        <v>1874.2857142857142</v>
      </c>
      <c r="BM119" s="2">
        <f t="shared" si="154"/>
        <v>3280</v>
      </c>
      <c r="BN119" s="2">
        <f t="shared" si="154"/>
        <v>5154.2857142857147</v>
      </c>
      <c r="BO119" s="2">
        <f t="shared" si="154"/>
        <v>8902.8571428571431</v>
      </c>
      <c r="BP119" s="2">
        <f t="shared" si="154"/>
        <v>81062.857142857145</v>
      </c>
      <c r="BV119" s="2">
        <v>112</v>
      </c>
      <c r="BW119" s="2">
        <f t="shared" si="89"/>
        <v>37632.142857142862</v>
      </c>
      <c r="BX119" s="2">
        <f t="shared" si="90"/>
        <v>78310</v>
      </c>
      <c r="BY119" s="2">
        <f t="shared" si="91"/>
        <v>94300</v>
      </c>
      <c r="BZ119" s="2">
        <f t="shared" si="92"/>
        <v>120012.85714285714</v>
      </c>
      <c r="CA119" s="2">
        <f t="shared" si="93"/>
        <v>249865.71428571432</v>
      </c>
      <c r="CC119" s="41">
        <f t="shared" si="97"/>
        <v>0.61634241245136179</v>
      </c>
      <c r="CD119" s="41">
        <f t="shared" si="98"/>
        <v>0.33385214007782099</v>
      </c>
      <c r="CE119" s="41">
        <f t="shared" si="99"/>
        <v>4.980544747081711E-2</v>
      </c>
      <c r="CH119" s="2">
        <v>112</v>
      </c>
      <c r="CI119" s="2">
        <f>求节点(节奏总纲!R$4:R$363,BW$8:BW$367,$CH119)</f>
        <v>151446.42857142855</v>
      </c>
      <c r="CJ119" s="2">
        <f>求节点(节奏总纲!S$4:S$363,BX$8:BX$367,$CH119)</f>
        <v>315150</v>
      </c>
      <c r="CK119" s="2">
        <f>求节点(节奏总纲!T$4:T$363,BY$8:BY$367,$CH119)</f>
        <v>379500</v>
      </c>
      <c r="CL119" s="2">
        <f>求节点(节奏总纲!U$4:U$363,BZ$8:BZ$367,$CH119)</f>
        <v>482978.57142857142</v>
      </c>
      <c r="CM119" s="2">
        <f>求节点(节奏总纲!V$4:V$363,CA$8:CA$367,$CH119)</f>
        <v>1005557.1428571427</v>
      </c>
    </row>
    <row r="120" spans="22:91" x14ac:dyDescent="0.2">
      <c r="V120" s="2">
        <v>113</v>
      </c>
      <c r="W120" s="2">
        <f t="shared" si="94"/>
        <v>23477.142857142859</v>
      </c>
      <c r="X120" s="2">
        <f t="shared" si="94"/>
        <v>45768.571428571428</v>
      </c>
      <c r="Y120" s="2">
        <f t="shared" si="95"/>
        <v>45768.571428571428</v>
      </c>
      <c r="Z120" s="2">
        <f t="shared" ref="Z120:AA120" si="156">Y120</f>
        <v>45768.571428571428</v>
      </c>
      <c r="AA120" s="2">
        <f t="shared" si="156"/>
        <v>45768.571428571428</v>
      </c>
      <c r="AQ120" s="2">
        <v>113</v>
      </c>
      <c r="AR120" s="2">
        <f t="shared" si="153"/>
        <v>12716.785714285714</v>
      </c>
      <c r="AS120" s="2">
        <f t="shared" si="153"/>
        <v>30176.428571428572</v>
      </c>
      <c r="AT120" s="2">
        <f t="shared" si="153"/>
        <v>44464.285714285717</v>
      </c>
      <c r="AU120" s="2">
        <f t="shared" si="153"/>
        <v>66696.428571428565</v>
      </c>
      <c r="AV120" s="2">
        <f t="shared" si="153"/>
        <v>125092.85714285714</v>
      </c>
      <c r="BK120" s="2">
        <v>113</v>
      </c>
      <c r="BL120" s="2">
        <f t="shared" si="154"/>
        <v>1897.1428571428571</v>
      </c>
      <c r="BM120" s="2">
        <f t="shared" si="154"/>
        <v>3320</v>
      </c>
      <c r="BN120" s="2">
        <f t="shared" si="154"/>
        <v>5217.1428571428569</v>
      </c>
      <c r="BO120" s="2">
        <f t="shared" si="154"/>
        <v>9011.4285714285706</v>
      </c>
      <c r="BP120" s="2">
        <f t="shared" si="154"/>
        <v>82051.428571428565</v>
      </c>
      <c r="BV120" s="2">
        <v>113</v>
      </c>
      <c r="BW120" s="2">
        <f t="shared" si="89"/>
        <v>38091.071428571428</v>
      </c>
      <c r="BX120" s="2">
        <f t="shared" si="90"/>
        <v>79265</v>
      </c>
      <c r="BY120" s="2">
        <f t="shared" si="91"/>
        <v>95450</v>
      </c>
      <c r="BZ120" s="2">
        <f t="shared" si="92"/>
        <v>121476.42857142857</v>
      </c>
      <c r="CA120" s="2">
        <f t="shared" si="93"/>
        <v>252912.85714285716</v>
      </c>
      <c r="CC120" s="41">
        <f t="shared" si="97"/>
        <v>0.6163424124513619</v>
      </c>
      <c r="CD120" s="41">
        <f t="shared" si="98"/>
        <v>0.33385214007782099</v>
      </c>
      <c r="CE120" s="41">
        <f t="shared" si="99"/>
        <v>4.9805447470817124E-2</v>
      </c>
      <c r="CH120" s="2">
        <v>113</v>
      </c>
      <c r="CI120" s="2">
        <f>求节点(节奏总纲!R$4:R$363,BW$8:BW$367,$CH120)</f>
        <v>151446.42857142855</v>
      </c>
      <c r="CJ120" s="2">
        <f>求节点(节奏总纲!S$4:S$363,BX$8:BX$367,$CH120)</f>
        <v>315150</v>
      </c>
      <c r="CK120" s="2">
        <f>求节点(节奏总纲!T$4:T$363,BY$8:BY$367,$CH120)</f>
        <v>379500</v>
      </c>
      <c r="CL120" s="2">
        <f>求节点(节奏总纲!U$4:U$363,BZ$8:BZ$367,$CH120)</f>
        <v>482978.57142857142</v>
      </c>
      <c r="CM120" s="2">
        <f>求节点(节奏总纲!V$4:V$363,CA$8:CA$367,$CH120)</f>
        <v>1005557.1428571427</v>
      </c>
    </row>
    <row r="121" spans="22:91" x14ac:dyDescent="0.2">
      <c r="V121" s="2">
        <v>114</v>
      </c>
      <c r="W121" s="2">
        <f t="shared" si="94"/>
        <v>23760</v>
      </c>
      <c r="X121" s="2">
        <f t="shared" si="94"/>
        <v>46320</v>
      </c>
      <c r="Y121" s="2">
        <f t="shared" si="95"/>
        <v>46320</v>
      </c>
      <c r="Z121" s="2">
        <f t="shared" ref="Z121:AA121" si="157">Y121</f>
        <v>46320</v>
      </c>
      <c r="AA121" s="2">
        <f t="shared" si="157"/>
        <v>46320</v>
      </c>
      <c r="AQ121" s="2">
        <v>114</v>
      </c>
      <c r="AR121" s="2">
        <f t="shared" si="153"/>
        <v>12870</v>
      </c>
      <c r="AS121" s="2">
        <f t="shared" si="153"/>
        <v>30540</v>
      </c>
      <c r="AT121" s="2">
        <f t="shared" si="153"/>
        <v>45000</v>
      </c>
      <c r="AU121" s="2">
        <f t="shared" si="153"/>
        <v>67500</v>
      </c>
      <c r="AV121" s="2">
        <f t="shared" si="153"/>
        <v>126600</v>
      </c>
      <c r="BK121" s="2">
        <v>114</v>
      </c>
      <c r="BL121" s="2">
        <f t="shared" si="154"/>
        <v>1920</v>
      </c>
      <c r="BM121" s="2">
        <f t="shared" si="154"/>
        <v>3360</v>
      </c>
      <c r="BN121" s="2">
        <f t="shared" si="154"/>
        <v>5280</v>
      </c>
      <c r="BO121" s="2">
        <f t="shared" si="154"/>
        <v>9120</v>
      </c>
      <c r="BP121" s="2">
        <f t="shared" si="154"/>
        <v>83040</v>
      </c>
      <c r="BV121" s="2">
        <v>114</v>
      </c>
      <c r="BW121" s="2">
        <f t="shared" si="89"/>
        <v>38550</v>
      </c>
      <c r="BX121" s="2">
        <f t="shared" si="90"/>
        <v>80220</v>
      </c>
      <c r="BY121" s="2">
        <f t="shared" si="91"/>
        <v>96600</v>
      </c>
      <c r="BZ121" s="2">
        <f t="shared" si="92"/>
        <v>122940</v>
      </c>
      <c r="CA121" s="2">
        <f t="shared" si="93"/>
        <v>255960</v>
      </c>
      <c r="CC121" s="41">
        <f t="shared" si="97"/>
        <v>0.6163424124513619</v>
      </c>
      <c r="CD121" s="41">
        <f t="shared" si="98"/>
        <v>0.33385214007782099</v>
      </c>
      <c r="CE121" s="41">
        <f t="shared" si="99"/>
        <v>4.9805447470817124E-2</v>
      </c>
      <c r="CH121" s="2">
        <v>114</v>
      </c>
      <c r="CI121" s="2">
        <f>求节点(节奏总纲!R$4:R$363,BW$8:BW$367,$CH121)</f>
        <v>151446.42857142855</v>
      </c>
      <c r="CJ121" s="2">
        <f>求节点(节奏总纲!S$4:S$363,BX$8:BX$367,$CH121)</f>
        <v>315150</v>
      </c>
      <c r="CK121" s="2">
        <f>求节点(节奏总纲!T$4:T$363,BY$8:BY$367,$CH121)</f>
        <v>379500</v>
      </c>
      <c r="CL121" s="2">
        <f>求节点(节奏总纲!U$4:U$363,BZ$8:BZ$367,$CH121)</f>
        <v>482978.57142857142</v>
      </c>
      <c r="CM121" s="2">
        <f>求节点(节奏总纲!V$4:V$363,CA$8:CA$367,$CH121)</f>
        <v>1005557.1428571427</v>
      </c>
    </row>
    <row r="122" spans="22:91" x14ac:dyDescent="0.2">
      <c r="V122" s="2">
        <v>115</v>
      </c>
      <c r="W122" s="2">
        <f t="shared" si="94"/>
        <v>24042.857142857141</v>
      </c>
      <c r="X122" s="2">
        <f t="shared" si="94"/>
        <v>46871.428571428572</v>
      </c>
      <c r="Y122" s="2">
        <f t="shared" si="95"/>
        <v>46871.428571428572</v>
      </c>
      <c r="Z122" s="2">
        <f t="shared" ref="Z122:AA122" si="158">Y122</f>
        <v>46871.428571428572</v>
      </c>
      <c r="AA122" s="2">
        <f t="shared" si="158"/>
        <v>46871.428571428572</v>
      </c>
      <c r="AQ122" s="2">
        <v>115</v>
      </c>
      <c r="AR122" s="2">
        <f t="shared" si="153"/>
        <v>13023.214285714286</v>
      </c>
      <c r="AS122" s="2">
        <f t="shared" si="153"/>
        <v>30903.571428571428</v>
      </c>
      <c r="AT122" s="2">
        <f t="shared" si="153"/>
        <v>45535.714285714283</v>
      </c>
      <c r="AU122" s="2">
        <f t="shared" si="153"/>
        <v>68303.571428571435</v>
      </c>
      <c r="AV122" s="2">
        <f t="shared" si="153"/>
        <v>128107.14285714286</v>
      </c>
      <c r="BK122" s="2">
        <v>115</v>
      </c>
      <c r="BL122" s="2">
        <f t="shared" si="154"/>
        <v>1942.8571428571429</v>
      </c>
      <c r="BM122" s="2">
        <f t="shared" si="154"/>
        <v>3400</v>
      </c>
      <c r="BN122" s="2">
        <f t="shared" si="154"/>
        <v>5342.8571428571431</v>
      </c>
      <c r="BO122" s="2">
        <f t="shared" si="154"/>
        <v>9228.5714285714294</v>
      </c>
      <c r="BP122" s="2">
        <f t="shared" si="154"/>
        <v>84028.571428571435</v>
      </c>
      <c r="BV122" s="2">
        <v>115</v>
      </c>
      <c r="BW122" s="2">
        <f t="shared" si="89"/>
        <v>39008.928571428572</v>
      </c>
      <c r="BX122" s="2">
        <f t="shared" si="90"/>
        <v>81175</v>
      </c>
      <c r="BY122" s="2">
        <f t="shared" si="91"/>
        <v>97750</v>
      </c>
      <c r="BZ122" s="2">
        <f t="shared" si="92"/>
        <v>124403.57142857143</v>
      </c>
      <c r="CA122" s="2">
        <f t="shared" si="93"/>
        <v>259007.14285714284</v>
      </c>
      <c r="CC122" s="41">
        <f t="shared" si="97"/>
        <v>0.61634241245136179</v>
      </c>
      <c r="CD122" s="41">
        <f t="shared" si="98"/>
        <v>0.33385214007782099</v>
      </c>
      <c r="CE122" s="41">
        <f t="shared" si="99"/>
        <v>4.9805447470817117E-2</v>
      </c>
      <c r="CH122" s="2">
        <v>115</v>
      </c>
      <c r="CI122" s="2">
        <f>求节点(节奏总纲!R$4:R$363,BW$8:BW$367,$CH122)</f>
        <v>151446.42857142855</v>
      </c>
      <c r="CJ122" s="2">
        <f>求节点(节奏总纲!S$4:S$363,BX$8:BX$367,$CH122)</f>
        <v>315150</v>
      </c>
      <c r="CK122" s="2">
        <f>求节点(节奏总纲!T$4:T$363,BY$8:BY$367,$CH122)</f>
        <v>379500</v>
      </c>
      <c r="CL122" s="2">
        <f>求节点(节奏总纲!U$4:U$363,BZ$8:BZ$367,$CH122)</f>
        <v>482978.57142857142</v>
      </c>
      <c r="CM122" s="2">
        <f>求节点(节奏总纲!V$4:V$363,CA$8:CA$367,$CH122)</f>
        <v>1005557.1428571427</v>
      </c>
    </row>
    <row r="123" spans="22:91" x14ac:dyDescent="0.2">
      <c r="V123" s="2">
        <v>116</v>
      </c>
      <c r="W123" s="2">
        <f t="shared" si="94"/>
        <v>24325.714285714286</v>
      </c>
      <c r="X123" s="2">
        <f t="shared" si="94"/>
        <v>47422.857142857145</v>
      </c>
      <c r="Y123" s="2">
        <f t="shared" si="95"/>
        <v>47422.857142857145</v>
      </c>
      <c r="Z123" s="2">
        <f t="shared" ref="Z123:AA123" si="159">Y123</f>
        <v>47422.857142857145</v>
      </c>
      <c r="AA123" s="2">
        <f t="shared" si="159"/>
        <v>47422.857142857145</v>
      </c>
      <c r="AQ123" s="2">
        <v>116</v>
      </c>
      <c r="AR123" s="2">
        <f t="shared" si="153"/>
        <v>13176.428571428571</v>
      </c>
      <c r="AS123" s="2">
        <f t="shared" si="153"/>
        <v>31267.142857142859</v>
      </c>
      <c r="AT123" s="2">
        <f t="shared" si="153"/>
        <v>46071.428571428572</v>
      </c>
      <c r="AU123" s="2">
        <f t="shared" si="153"/>
        <v>69107.142857142855</v>
      </c>
      <c r="AV123" s="2">
        <f t="shared" si="153"/>
        <v>129614.28571428571</v>
      </c>
      <c r="BK123" s="2">
        <v>116</v>
      </c>
      <c r="BL123" s="2">
        <f t="shared" si="154"/>
        <v>1965.7142857142858</v>
      </c>
      <c r="BM123" s="2">
        <f t="shared" si="154"/>
        <v>3440</v>
      </c>
      <c r="BN123" s="2">
        <f t="shared" si="154"/>
        <v>5405.7142857142853</v>
      </c>
      <c r="BO123" s="2">
        <f t="shared" si="154"/>
        <v>9337.1428571428569</v>
      </c>
      <c r="BP123" s="2">
        <f t="shared" si="154"/>
        <v>85017.142857142855</v>
      </c>
      <c r="BV123" s="2">
        <v>116</v>
      </c>
      <c r="BW123" s="2">
        <f t="shared" si="89"/>
        <v>39467.857142857138</v>
      </c>
      <c r="BX123" s="2">
        <f t="shared" si="90"/>
        <v>82130</v>
      </c>
      <c r="BY123" s="2">
        <f t="shared" si="91"/>
        <v>98900</v>
      </c>
      <c r="BZ123" s="2">
        <f t="shared" si="92"/>
        <v>125867.14285714286</v>
      </c>
      <c r="CA123" s="2">
        <f t="shared" si="93"/>
        <v>262054.28571428568</v>
      </c>
      <c r="CC123" s="41">
        <f t="shared" si="97"/>
        <v>0.61634241245136201</v>
      </c>
      <c r="CD123" s="41">
        <f t="shared" si="98"/>
        <v>0.33385214007782105</v>
      </c>
      <c r="CE123" s="41">
        <f t="shared" si="99"/>
        <v>4.9805447470817131E-2</v>
      </c>
      <c r="CH123" s="2">
        <v>116</v>
      </c>
      <c r="CI123" s="2">
        <f>求节点(节奏总纲!R$4:R$363,BW$8:BW$367,$CH123)</f>
        <v>151446.42857142855</v>
      </c>
      <c r="CJ123" s="2">
        <f>求节点(节奏总纲!S$4:S$363,BX$8:BX$367,$CH123)</f>
        <v>315150</v>
      </c>
      <c r="CK123" s="2">
        <f>求节点(节奏总纲!T$4:T$363,BY$8:BY$367,$CH123)</f>
        <v>379500</v>
      </c>
      <c r="CL123" s="2">
        <f>求节点(节奏总纲!U$4:U$363,BZ$8:BZ$367,$CH123)</f>
        <v>482978.57142857142</v>
      </c>
      <c r="CM123" s="2">
        <f>求节点(节奏总纲!V$4:V$363,CA$8:CA$367,$CH123)</f>
        <v>1005557.1428571427</v>
      </c>
    </row>
    <row r="124" spans="22:91" x14ac:dyDescent="0.2">
      <c r="V124" s="2">
        <v>117</v>
      </c>
      <c r="W124" s="2">
        <f t="shared" si="94"/>
        <v>24608.571428571428</v>
      </c>
      <c r="X124" s="2">
        <f t="shared" si="94"/>
        <v>47974.285714285717</v>
      </c>
      <c r="Y124" s="2">
        <f t="shared" si="95"/>
        <v>47974.285714285717</v>
      </c>
      <c r="Z124" s="2">
        <f t="shared" ref="Z124:AA124" si="160">Y124</f>
        <v>47974.285714285717</v>
      </c>
      <c r="AA124" s="2">
        <f t="shared" si="160"/>
        <v>47974.285714285717</v>
      </c>
      <c r="AQ124" s="2">
        <v>117</v>
      </c>
      <c r="AR124" s="2">
        <f t="shared" si="153"/>
        <v>13329.642857142857</v>
      </c>
      <c r="AS124" s="2">
        <f t="shared" si="153"/>
        <v>31630.714285714286</v>
      </c>
      <c r="AT124" s="2">
        <f t="shared" si="153"/>
        <v>46607.142857142855</v>
      </c>
      <c r="AU124" s="2">
        <f t="shared" si="153"/>
        <v>69910.71428571429</v>
      </c>
      <c r="AV124" s="2">
        <f t="shared" si="153"/>
        <v>131121.42857142858</v>
      </c>
      <c r="BK124" s="2">
        <v>117</v>
      </c>
      <c r="BL124" s="2">
        <f t="shared" si="154"/>
        <v>1988.5714285714287</v>
      </c>
      <c r="BM124" s="2">
        <f t="shared" si="154"/>
        <v>3480</v>
      </c>
      <c r="BN124" s="2">
        <f t="shared" si="154"/>
        <v>5468.5714285714284</v>
      </c>
      <c r="BO124" s="2">
        <f t="shared" si="154"/>
        <v>9445.7142857142862</v>
      </c>
      <c r="BP124" s="2">
        <f t="shared" si="154"/>
        <v>86005.71428571429</v>
      </c>
      <c r="BV124" s="2">
        <v>117</v>
      </c>
      <c r="BW124" s="2">
        <f t="shared" si="89"/>
        <v>39926.78571428571</v>
      </c>
      <c r="BX124" s="2">
        <f t="shared" si="90"/>
        <v>83085</v>
      </c>
      <c r="BY124" s="2">
        <f t="shared" si="91"/>
        <v>100050.00000000001</v>
      </c>
      <c r="BZ124" s="2">
        <f t="shared" si="92"/>
        <v>127330.71428571429</v>
      </c>
      <c r="CA124" s="2">
        <f t="shared" si="93"/>
        <v>265101.42857142858</v>
      </c>
      <c r="CC124" s="41">
        <f t="shared" si="97"/>
        <v>0.6163424124513619</v>
      </c>
      <c r="CD124" s="41">
        <f t="shared" si="98"/>
        <v>0.33385214007782105</v>
      </c>
      <c r="CE124" s="41">
        <f t="shared" si="99"/>
        <v>4.9805447470817131E-2</v>
      </c>
      <c r="CH124" s="2">
        <v>117</v>
      </c>
      <c r="CI124" s="2">
        <f>求节点(节奏总纲!R$4:R$363,BW$8:BW$367,$CH124)</f>
        <v>151446.42857142855</v>
      </c>
      <c r="CJ124" s="2">
        <f>求节点(节奏总纲!S$4:S$363,BX$8:BX$367,$CH124)</f>
        <v>315150</v>
      </c>
      <c r="CK124" s="2">
        <f>求节点(节奏总纲!T$4:T$363,BY$8:BY$367,$CH124)</f>
        <v>379500</v>
      </c>
      <c r="CL124" s="2">
        <f>求节点(节奏总纲!U$4:U$363,BZ$8:BZ$367,$CH124)</f>
        <v>482978.57142857142</v>
      </c>
      <c r="CM124" s="2">
        <f>求节点(节奏总纲!V$4:V$363,CA$8:CA$367,$CH124)</f>
        <v>1005557.1428571427</v>
      </c>
    </row>
    <row r="125" spans="22:91" x14ac:dyDescent="0.2">
      <c r="V125" s="2">
        <v>118</v>
      </c>
      <c r="W125" s="2">
        <f t="shared" si="94"/>
        <v>24891.428571428572</v>
      </c>
      <c r="X125" s="2">
        <f t="shared" si="94"/>
        <v>48525.714285714283</v>
      </c>
      <c r="Y125" s="2">
        <f t="shared" si="95"/>
        <v>48525.714285714283</v>
      </c>
      <c r="Z125" s="2">
        <f t="shared" ref="Z125:AA125" si="161">Y125</f>
        <v>48525.714285714283</v>
      </c>
      <c r="AA125" s="2">
        <f t="shared" si="161"/>
        <v>48525.714285714283</v>
      </c>
      <c r="AQ125" s="2">
        <v>118</v>
      </c>
      <c r="AR125" s="2">
        <f t="shared" si="153"/>
        <v>13482.857142857143</v>
      </c>
      <c r="AS125" s="2">
        <f t="shared" si="153"/>
        <v>31994.285714285714</v>
      </c>
      <c r="AT125" s="2">
        <f t="shared" si="153"/>
        <v>47142.857142857145</v>
      </c>
      <c r="AU125" s="2">
        <f t="shared" si="153"/>
        <v>70714.28571428571</v>
      </c>
      <c r="AV125" s="2">
        <f t="shared" si="153"/>
        <v>132628.57142857142</v>
      </c>
      <c r="BK125" s="2">
        <v>118</v>
      </c>
      <c r="BL125" s="2">
        <f t="shared" si="154"/>
        <v>2011.4285714285713</v>
      </c>
      <c r="BM125" s="2">
        <f t="shared" si="154"/>
        <v>3520</v>
      </c>
      <c r="BN125" s="2">
        <f t="shared" si="154"/>
        <v>5531.4285714285716</v>
      </c>
      <c r="BO125" s="2">
        <f t="shared" si="154"/>
        <v>9554.2857142857138</v>
      </c>
      <c r="BP125" s="2">
        <f t="shared" si="154"/>
        <v>86994.28571428571</v>
      </c>
      <c r="BV125" s="2">
        <v>118</v>
      </c>
      <c r="BW125" s="2">
        <f t="shared" si="89"/>
        <v>40385.71428571429</v>
      </c>
      <c r="BX125" s="2">
        <f t="shared" si="90"/>
        <v>84040</v>
      </c>
      <c r="BY125" s="2">
        <f t="shared" si="91"/>
        <v>101199.99999999999</v>
      </c>
      <c r="BZ125" s="2">
        <f t="shared" si="92"/>
        <v>128794.28571428571</v>
      </c>
      <c r="CA125" s="2">
        <f t="shared" si="93"/>
        <v>268148.57142857142</v>
      </c>
      <c r="CC125" s="41">
        <f t="shared" si="97"/>
        <v>0.61634241245136179</v>
      </c>
      <c r="CD125" s="41">
        <f t="shared" si="98"/>
        <v>0.33385214007782099</v>
      </c>
      <c r="CE125" s="41">
        <f t="shared" si="99"/>
        <v>4.980544747081711E-2</v>
      </c>
      <c r="CH125" s="2">
        <v>118</v>
      </c>
      <c r="CI125" s="2">
        <f>求节点(节奏总纲!R$4:R$363,BW$8:BW$367,$CH125)</f>
        <v>151446.42857142855</v>
      </c>
      <c r="CJ125" s="2">
        <f>求节点(节奏总纲!S$4:S$363,BX$8:BX$367,$CH125)</f>
        <v>315150</v>
      </c>
      <c r="CK125" s="2">
        <f>求节点(节奏总纲!T$4:T$363,BY$8:BY$367,$CH125)</f>
        <v>379500</v>
      </c>
      <c r="CL125" s="2">
        <f>求节点(节奏总纲!U$4:U$363,BZ$8:BZ$367,$CH125)</f>
        <v>482978.57142857142</v>
      </c>
      <c r="CM125" s="2">
        <f>求节点(节奏总纲!V$4:V$363,CA$8:CA$367,$CH125)</f>
        <v>1005557.1428571427</v>
      </c>
    </row>
    <row r="126" spans="22:91" x14ac:dyDescent="0.2">
      <c r="V126" s="2">
        <v>119</v>
      </c>
      <c r="W126" s="2">
        <f t="shared" si="94"/>
        <v>25174.285714285714</v>
      </c>
      <c r="X126" s="2">
        <f t="shared" si="94"/>
        <v>49077.142857142855</v>
      </c>
      <c r="Y126" s="2">
        <f t="shared" si="95"/>
        <v>49077.142857142855</v>
      </c>
      <c r="Z126" s="2">
        <f t="shared" ref="Z126:AA126" si="162">Y126</f>
        <v>49077.142857142855</v>
      </c>
      <c r="AA126" s="2">
        <f t="shared" si="162"/>
        <v>49077.142857142855</v>
      </c>
      <c r="AQ126" s="2">
        <v>119</v>
      </c>
      <c r="AR126" s="2">
        <f t="shared" si="153"/>
        <v>13636.071428571429</v>
      </c>
      <c r="AS126" s="2">
        <f t="shared" si="153"/>
        <v>32357.857142857141</v>
      </c>
      <c r="AT126" s="2">
        <f t="shared" si="153"/>
        <v>47678.571428571428</v>
      </c>
      <c r="AU126" s="2">
        <f t="shared" si="153"/>
        <v>71517.857142857145</v>
      </c>
      <c r="AV126" s="2">
        <f t="shared" si="153"/>
        <v>134135.71428571429</v>
      </c>
      <c r="BK126" s="2">
        <v>119</v>
      </c>
      <c r="BL126" s="2">
        <f t="shared" si="154"/>
        <v>2034.2857142857142</v>
      </c>
      <c r="BM126" s="2">
        <f t="shared" si="154"/>
        <v>3560</v>
      </c>
      <c r="BN126" s="2">
        <f t="shared" si="154"/>
        <v>5594.2857142857147</v>
      </c>
      <c r="BO126" s="2">
        <f t="shared" si="154"/>
        <v>9662.8571428571431</v>
      </c>
      <c r="BP126" s="2">
        <f t="shared" si="154"/>
        <v>87982.857142857145</v>
      </c>
      <c r="BV126" s="2">
        <v>119</v>
      </c>
      <c r="BW126" s="2">
        <f t="shared" si="89"/>
        <v>40844.642857142862</v>
      </c>
      <c r="BX126" s="2">
        <f t="shared" si="90"/>
        <v>84995</v>
      </c>
      <c r="BY126" s="2">
        <f t="shared" si="91"/>
        <v>102350</v>
      </c>
      <c r="BZ126" s="2">
        <f t="shared" si="92"/>
        <v>130257.85714285714</v>
      </c>
      <c r="CA126" s="2">
        <f t="shared" si="93"/>
        <v>271195.71428571432</v>
      </c>
      <c r="CC126" s="41">
        <f t="shared" si="97"/>
        <v>0.61634241245136179</v>
      </c>
      <c r="CD126" s="41">
        <f t="shared" si="98"/>
        <v>0.33385214007782099</v>
      </c>
      <c r="CE126" s="41">
        <f t="shared" si="99"/>
        <v>4.980544747081711E-2</v>
      </c>
      <c r="CH126" s="2">
        <v>119</v>
      </c>
      <c r="CI126" s="2">
        <f>求节点(节奏总纲!R$4:R$363,BW$8:BW$367,$CH126)</f>
        <v>151446.42857142855</v>
      </c>
      <c r="CJ126" s="2">
        <f>求节点(节奏总纲!S$4:S$363,BX$8:BX$367,$CH126)</f>
        <v>315150</v>
      </c>
      <c r="CK126" s="2">
        <f>求节点(节奏总纲!T$4:T$363,BY$8:BY$367,$CH126)</f>
        <v>379500</v>
      </c>
      <c r="CL126" s="2">
        <f>求节点(节奏总纲!U$4:U$363,BZ$8:BZ$367,$CH126)</f>
        <v>482978.57142857142</v>
      </c>
      <c r="CM126" s="2">
        <f>求节点(节奏总纲!V$4:V$363,CA$8:CA$367,$CH126)</f>
        <v>1005557.1428571427</v>
      </c>
    </row>
    <row r="127" spans="22:91" x14ac:dyDescent="0.2">
      <c r="V127" s="2">
        <v>120</v>
      </c>
      <c r="W127" s="2">
        <f t="shared" si="94"/>
        <v>25457.142857142859</v>
      </c>
      <c r="X127" s="2">
        <f t="shared" si="94"/>
        <v>49628.571428571428</v>
      </c>
      <c r="Y127" s="2">
        <f t="shared" si="95"/>
        <v>49628.571428571428</v>
      </c>
      <c r="Z127" s="2">
        <f t="shared" ref="Z127:AA127" si="163">Y127</f>
        <v>49628.571428571428</v>
      </c>
      <c r="AA127" s="2">
        <f t="shared" si="163"/>
        <v>49628.571428571428</v>
      </c>
      <c r="AQ127" s="2">
        <v>120</v>
      </c>
      <c r="AR127" s="2">
        <f t="shared" si="153"/>
        <v>13789.285714285714</v>
      </c>
      <c r="AS127" s="2">
        <f t="shared" si="153"/>
        <v>32721.428571428572</v>
      </c>
      <c r="AT127" s="2">
        <f t="shared" si="153"/>
        <v>48214.285714285717</v>
      </c>
      <c r="AU127" s="2">
        <f t="shared" si="153"/>
        <v>72321.428571428565</v>
      </c>
      <c r="AV127" s="2">
        <f t="shared" si="153"/>
        <v>135642.85714285713</v>
      </c>
      <c r="BK127" s="2">
        <v>120</v>
      </c>
      <c r="BL127" s="2">
        <f t="shared" si="154"/>
        <v>2057.1428571428573</v>
      </c>
      <c r="BM127" s="2">
        <f t="shared" si="154"/>
        <v>3600</v>
      </c>
      <c r="BN127" s="2">
        <f t="shared" si="154"/>
        <v>5657.1428571428569</v>
      </c>
      <c r="BO127" s="2">
        <f t="shared" si="154"/>
        <v>9771.4285714285706</v>
      </c>
      <c r="BP127" s="2">
        <f t="shared" si="154"/>
        <v>88971.428571428565</v>
      </c>
      <c r="BV127" s="2">
        <v>120</v>
      </c>
      <c r="BW127" s="2">
        <f t="shared" si="89"/>
        <v>41303.571428571428</v>
      </c>
      <c r="BX127" s="2">
        <f t="shared" si="90"/>
        <v>85950</v>
      </c>
      <c r="BY127" s="2">
        <f t="shared" si="91"/>
        <v>103500</v>
      </c>
      <c r="BZ127" s="2">
        <f t="shared" si="92"/>
        <v>131721.42857142858</v>
      </c>
      <c r="CA127" s="2">
        <f t="shared" si="93"/>
        <v>274242.8571428571</v>
      </c>
      <c r="CC127" s="41">
        <f t="shared" si="97"/>
        <v>0.6163424124513619</v>
      </c>
      <c r="CD127" s="41">
        <f t="shared" si="98"/>
        <v>0.33385214007782099</v>
      </c>
      <c r="CE127" s="41">
        <f t="shared" si="99"/>
        <v>4.9805447470817124E-2</v>
      </c>
      <c r="CH127" s="2">
        <v>120</v>
      </c>
      <c r="CI127" s="2">
        <f>求节点(节奏总纲!R$4:R$363,BW$8:BW$367,$CH127)</f>
        <v>151446.42857142855</v>
      </c>
      <c r="CJ127" s="2">
        <f>求节点(节奏总纲!S$4:S$363,BX$8:BX$367,$CH127)</f>
        <v>315150</v>
      </c>
      <c r="CK127" s="2">
        <f>求节点(节奏总纲!T$4:T$363,BY$8:BY$367,$CH127)</f>
        <v>379500</v>
      </c>
      <c r="CL127" s="2">
        <f>求节点(节奏总纲!U$4:U$363,BZ$8:BZ$367,$CH127)</f>
        <v>482978.57142857142</v>
      </c>
      <c r="CM127" s="2">
        <f>求节点(节奏总纲!V$4:V$363,CA$8:CA$367,$CH127)</f>
        <v>1005557.1428571427</v>
      </c>
    </row>
    <row r="128" spans="22:91" x14ac:dyDescent="0.2">
      <c r="V128" s="2">
        <v>121</v>
      </c>
      <c r="W128" s="2">
        <f t="shared" si="94"/>
        <v>25740</v>
      </c>
      <c r="X128" s="2">
        <f t="shared" si="94"/>
        <v>50180</v>
      </c>
      <c r="Y128" s="2">
        <f t="shared" si="95"/>
        <v>50180</v>
      </c>
      <c r="Z128" s="2">
        <f t="shared" ref="Z128:AA128" si="164">Y128</f>
        <v>50180</v>
      </c>
      <c r="AA128" s="2">
        <f t="shared" si="164"/>
        <v>50180</v>
      </c>
      <c r="AQ128" s="2">
        <v>121</v>
      </c>
      <c r="AR128" s="2">
        <f t="shared" ref="AR128:AV137" si="165">MAX($AQ128-$C$2,0)*INDEX($AN$8:$AN$44,MATCH(AR$7,$AO$8:$AO$44,0))/$C$3</f>
        <v>13942.5</v>
      </c>
      <c r="AS128" s="2">
        <f t="shared" si="165"/>
        <v>33085</v>
      </c>
      <c r="AT128" s="2">
        <f t="shared" si="165"/>
        <v>48750</v>
      </c>
      <c r="AU128" s="2">
        <f t="shared" si="165"/>
        <v>73125</v>
      </c>
      <c r="AV128" s="2">
        <f t="shared" si="165"/>
        <v>137150</v>
      </c>
      <c r="BK128" s="2">
        <v>121</v>
      </c>
      <c r="BL128" s="2">
        <f t="shared" ref="BL128:BP137" si="166">IFERROR(MAX($BK128-$C$2,0)*INDEX($BH$8:$BH$16,MATCH(BL$7,$BI$8:$BI$16,0))*$C$4/$C$3,BM128)</f>
        <v>2080</v>
      </c>
      <c r="BM128" s="2">
        <f t="shared" si="166"/>
        <v>3640</v>
      </c>
      <c r="BN128" s="2">
        <f t="shared" si="166"/>
        <v>5720</v>
      </c>
      <c r="BO128" s="2">
        <f t="shared" si="166"/>
        <v>9880</v>
      </c>
      <c r="BP128" s="2">
        <f t="shared" si="166"/>
        <v>89960</v>
      </c>
      <c r="BV128" s="2">
        <v>121</v>
      </c>
      <c r="BW128" s="2">
        <f t="shared" si="89"/>
        <v>41762.5</v>
      </c>
      <c r="BX128" s="2">
        <f t="shared" si="90"/>
        <v>86905</v>
      </c>
      <c r="BY128" s="2">
        <f t="shared" si="91"/>
        <v>104650</v>
      </c>
      <c r="BZ128" s="2">
        <f t="shared" si="92"/>
        <v>133185</v>
      </c>
      <c r="CA128" s="2">
        <f t="shared" si="93"/>
        <v>277290</v>
      </c>
      <c r="CC128" s="41">
        <f t="shared" si="97"/>
        <v>0.6163424124513619</v>
      </c>
      <c r="CD128" s="41">
        <f t="shared" si="98"/>
        <v>0.33385214007782099</v>
      </c>
      <c r="CE128" s="41">
        <f t="shared" si="99"/>
        <v>4.9805447470817124E-2</v>
      </c>
      <c r="CH128" s="2">
        <v>121</v>
      </c>
      <c r="CI128" s="2">
        <f>求节点(节奏总纲!R$4:R$363,BW$8:BW$367,$CH128)</f>
        <v>151446.42857142855</v>
      </c>
      <c r="CJ128" s="2">
        <f>求节点(节奏总纲!S$4:S$363,BX$8:BX$367,$CH128)</f>
        <v>315150</v>
      </c>
      <c r="CK128" s="2">
        <f>求节点(节奏总纲!T$4:T$363,BY$8:BY$367,$CH128)</f>
        <v>379500</v>
      </c>
      <c r="CL128" s="2">
        <f>求节点(节奏总纲!U$4:U$363,BZ$8:BZ$367,$CH128)</f>
        <v>482978.57142857142</v>
      </c>
      <c r="CM128" s="2">
        <f>求节点(节奏总纲!V$4:V$363,CA$8:CA$367,$CH128)</f>
        <v>1005557.1428571427</v>
      </c>
    </row>
    <row r="129" spans="22:91" x14ac:dyDescent="0.2">
      <c r="V129" s="2">
        <v>122</v>
      </c>
      <c r="W129" s="2">
        <f t="shared" si="94"/>
        <v>26022.857142857141</v>
      </c>
      <c r="X129" s="2">
        <f t="shared" si="94"/>
        <v>50731.428571428572</v>
      </c>
      <c r="Y129" s="2">
        <f t="shared" si="95"/>
        <v>50731.428571428572</v>
      </c>
      <c r="Z129" s="2">
        <f t="shared" ref="Z129:AA129" si="167">Y129</f>
        <v>50731.428571428572</v>
      </c>
      <c r="AA129" s="2">
        <f t="shared" si="167"/>
        <v>50731.428571428572</v>
      </c>
      <c r="AQ129" s="2">
        <v>122</v>
      </c>
      <c r="AR129" s="2">
        <f t="shared" si="165"/>
        <v>14095.714285714286</v>
      </c>
      <c r="AS129" s="2">
        <f t="shared" si="165"/>
        <v>33448.571428571428</v>
      </c>
      <c r="AT129" s="2">
        <f t="shared" si="165"/>
        <v>49285.714285714283</v>
      </c>
      <c r="AU129" s="2">
        <f t="shared" si="165"/>
        <v>73928.571428571435</v>
      </c>
      <c r="AV129" s="2">
        <f t="shared" si="165"/>
        <v>138657.14285714287</v>
      </c>
      <c r="BK129" s="2">
        <v>122</v>
      </c>
      <c r="BL129" s="2">
        <f t="shared" si="166"/>
        <v>2102.8571428571427</v>
      </c>
      <c r="BM129" s="2">
        <f t="shared" si="166"/>
        <v>3680</v>
      </c>
      <c r="BN129" s="2">
        <f t="shared" si="166"/>
        <v>5782.8571428571431</v>
      </c>
      <c r="BO129" s="2">
        <f t="shared" si="166"/>
        <v>9988.5714285714294</v>
      </c>
      <c r="BP129" s="2">
        <f t="shared" si="166"/>
        <v>90948.571428571435</v>
      </c>
      <c r="BV129" s="2">
        <v>122</v>
      </c>
      <c r="BW129" s="2">
        <f t="shared" si="89"/>
        <v>42221.428571428572</v>
      </c>
      <c r="BX129" s="2">
        <f t="shared" si="90"/>
        <v>87860</v>
      </c>
      <c r="BY129" s="2">
        <f t="shared" si="91"/>
        <v>105800</v>
      </c>
      <c r="BZ129" s="2">
        <f t="shared" si="92"/>
        <v>134648.57142857142</v>
      </c>
      <c r="CA129" s="2">
        <f t="shared" si="93"/>
        <v>280337.1428571429</v>
      </c>
      <c r="CC129" s="41">
        <f t="shared" si="97"/>
        <v>0.61634241245136179</v>
      </c>
      <c r="CD129" s="41">
        <f t="shared" si="98"/>
        <v>0.33385214007782099</v>
      </c>
      <c r="CE129" s="41">
        <f t="shared" si="99"/>
        <v>4.9805447470817117E-2</v>
      </c>
      <c r="CH129" s="2">
        <v>122</v>
      </c>
      <c r="CI129" s="2">
        <f>求节点(节奏总纲!R$4:R$363,BW$8:BW$367,$CH129)</f>
        <v>151446.42857142855</v>
      </c>
      <c r="CJ129" s="2">
        <f>求节点(节奏总纲!S$4:S$363,BX$8:BX$367,$CH129)</f>
        <v>315150</v>
      </c>
      <c r="CK129" s="2">
        <f>求节点(节奏总纲!T$4:T$363,BY$8:BY$367,$CH129)</f>
        <v>379500</v>
      </c>
      <c r="CL129" s="2">
        <f>求节点(节奏总纲!U$4:U$363,BZ$8:BZ$367,$CH129)</f>
        <v>482978.57142857142</v>
      </c>
      <c r="CM129" s="2">
        <f>求节点(节奏总纲!V$4:V$363,CA$8:CA$367,$CH129)</f>
        <v>1005557.1428571427</v>
      </c>
    </row>
    <row r="130" spans="22:91" x14ac:dyDescent="0.2">
      <c r="V130" s="2">
        <v>123</v>
      </c>
      <c r="W130" s="2">
        <f t="shared" si="94"/>
        <v>26305.714285714286</v>
      </c>
      <c r="X130" s="2">
        <f t="shared" si="94"/>
        <v>51282.857142857145</v>
      </c>
      <c r="Y130" s="2">
        <f t="shared" si="95"/>
        <v>51282.857142857145</v>
      </c>
      <c r="Z130" s="2">
        <f t="shared" ref="Z130:AA130" si="168">Y130</f>
        <v>51282.857142857145</v>
      </c>
      <c r="AA130" s="2">
        <f t="shared" si="168"/>
        <v>51282.857142857145</v>
      </c>
      <c r="AQ130" s="2">
        <v>123</v>
      </c>
      <c r="AR130" s="2">
        <f t="shared" si="165"/>
        <v>14248.928571428571</v>
      </c>
      <c r="AS130" s="2">
        <f t="shared" si="165"/>
        <v>33812.142857142855</v>
      </c>
      <c r="AT130" s="2">
        <f t="shared" si="165"/>
        <v>49821.428571428572</v>
      </c>
      <c r="AU130" s="2">
        <f t="shared" si="165"/>
        <v>74732.142857142855</v>
      </c>
      <c r="AV130" s="2">
        <f t="shared" si="165"/>
        <v>140164.28571428571</v>
      </c>
      <c r="BK130" s="2">
        <v>123</v>
      </c>
      <c r="BL130" s="2">
        <f t="shared" si="166"/>
        <v>2125.7142857142858</v>
      </c>
      <c r="BM130" s="2">
        <f t="shared" si="166"/>
        <v>3720</v>
      </c>
      <c r="BN130" s="2">
        <f t="shared" si="166"/>
        <v>5845.7142857142853</v>
      </c>
      <c r="BO130" s="2">
        <f t="shared" si="166"/>
        <v>10097.142857142857</v>
      </c>
      <c r="BP130" s="2">
        <f t="shared" si="166"/>
        <v>91937.142857142855</v>
      </c>
      <c r="BV130" s="2">
        <v>123</v>
      </c>
      <c r="BW130" s="2">
        <f t="shared" si="89"/>
        <v>42680.357142857138</v>
      </c>
      <c r="BX130" s="2">
        <f t="shared" si="90"/>
        <v>88815</v>
      </c>
      <c r="BY130" s="2">
        <f t="shared" si="91"/>
        <v>106950</v>
      </c>
      <c r="BZ130" s="2">
        <f t="shared" si="92"/>
        <v>136112.14285714287</v>
      </c>
      <c r="CA130" s="2">
        <f t="shared" si="93"/>
        <v>283384.28571428568</v>
      </c>
      <c r="CC130" s="41">
        <f t="shared" si="97"/>
        <v>0.61634241245136201</v>
      </c>
      <c r="CD130" s="41">
        <f t="shared" si="98"/>
        <v>0.33385214007782105</v>
      </c>
      <c r="CE130" s="41">
        <f t="shared" si="99"/>
        <v>4.9805447470817131E-2</v>
      </c>
      <c r="CH130" s="2">
        <v>123</v>
      </c>
      <c r="CI130" s="2">
        <f>求节点(节奏总纲!R$4:R$363,BW$8:BW$367,$CH130)</f>
        <v>151446.42857142855</v>
      </c>
      <c r="CJ130" s="2">
        <f>求节点(节奏总纲!S$4:S$363,BX$8:BX$367,$CH130)</f>
        <v>315150</v>
      </c>
      <c r="CK130" s="2">
        <f>求节点(节奏总纲!T$4:T$363,BY$8:BY$367,$CH130)</f>
        <v>379500</v>
      </c>
      <c r="CL130" s="2">
        <f>求节点(节奏总纲!U$4:U$363,BZ$8:BZ$367,$CH130)</f>
        <v>482978.57142857142</v>
      </c>
      <c r="CM130" s="2">
        <f>求节点(节奏总纲!V$4:V$363,CA$8:CA$367,$CH130)</f>
        <v>1005557.1428571427</v>
      </c>
    </row>
    <row r="131" spans="22:91" x14ac:dyDescent="0.2">
      <c r="V131" s="2">
        <v>124</v>
      </c>
      <c r="W131" s="2">
        <f t="shared" si="94"/>
        <v>26588.571428571428</v>
      </c>
      <c r="X131" s="2">
        <f t="shared" si="94"/>
        <v>51834.285714285717</v>
      </c>
      <c r="Y131" s="2">
        <f t="shared" si="95"/>
        <v>51834.285714285717</v>
      </c>
      <c r="Z131" s="2">
        <f t="shared" ref="Z131:AA131" si="169">Y131</f>
        <v>51834.285714285717</v>
      </c>
      <c r="AA131" s="2">
        <f t="shared" si="169"/>
        <v>51834.285714285717</v>
      </c>
      <c r="AQ131" s="2">
        <v>124</v>
      </c>
      <c r="AR131" s="2">
        <f t="shared" si="165"/>
        <v>14402.142857142857</v>
      </c>
      <c r="AS131" s="2">
        <f t="shared" si="165"/>
        <v>34175.714285714283</v>
      </c>
      <c r="AT131" s="2">
        <f t="shared" si="165"/>
        <v>50357.142857142855</v>
      </c>
      <c r="AU131" s="2">
        <f t="shared" si="165"/>
        <v>75535.71428571429</v>
      </c>
      <c r="AV131" s="2">
        <f t="shared" si="165"/>
        <v>141671.42857142858</v>
      </c>
      <c r="BK131" s="2">
        <v>124</v>
      </c>
      <c r="BL131" s="2">
        <f t="shared" si="166"/>
        <v>2148.5714285714284</v>
      </c>
      <c r="BM131" s="2">
        <f t="shared" si="166"/>
        <v>3760</v>
      </c>
      <c r="BN131" s="2">
        <f t="shared" si="166"/>
        <v>5908.5714285714284</v>
      </c>
      <c r="BO131" s="2">
        <f t="shared" si="166"/>
        <v>10205.714285714286</v>
      </c>
      <c r="BP131" s="2">
        <f t="shared" si="166"/>
        <v>92925.71428571429</v>
      </c>
      <c r="BV131" s="2">
        <v>124</v>
      </c>
      <c r="BW131" s="2">
        <f t="shared" si="89"/>
        <v>43139.28571428571</v>
      </c>
      <c r="BX131" s="2">
        <f t="shared" si="90"/>
        <v>89770</v>
      </c>
      <c r="BY131" s="2">
        <f t="shared" si="91"/>
        <v>108100.00000000001</v>
      </c>
      <c r="BZ131" s="2">
        <f t="shared" si="92"/>
        <v>137575.71428571429</v>
      </c>
      <c r="CA131" s="2">
        <f t="shared" si="93"/>
        <v>286431.42857142858</v>
      </c>
      <c r="CC131" s="41">
        <f t="shared" si="97"/>
        <v>0.6163424124513619</v>
      </c>
      <c r="CD131" s="41">
        <f t="shared" si="98"/>
        <v>0.33385214007782105</v>
      </c>
      <c r="CE131" s="41">
        <f t="shared" si="99"/>
        <v>4.9805447470817124E-2</v>
      </c>
      <c r="CH131" s="2">
        <v>124</v>
      </c>
      <c r="CI131" s="2">
        <f>求节点(节奏总纲!R$4:R$363,BW$8:BW$367,$CH131)</f>
        <v>151446.42857142855</v>
      </c>
      <c r="CJ131" s="2">
        <f>求节点(节奏总纲!S$4:S$363,BX$8:BX$367,$CH131)</f>
        <v>315150</v>
      </c>
      <c r="CK131" s="2">
        <f>求节点(节奏总纲!T$4:T$363,BY$8:BY$367,$CH131)</f>
        <v>379500</v>
      </c>
      <c r="CL131" s="2">
        <f>求节点(节奏总纲!U$4:U$363,BZ$8:BZ$367,$CH131)</f>
        <v>482978.57142857142</v>
      </c>
      <c r="CM131" s="2">
        <f>求节点(节奏总纲!V$4:V$363,CA$8:CA$367,$CH131)</f>
        <v>1005557.1428571427</v>
      </c>
    </row>
    <row r="132" spans="22:91" x14ac:dyDescent="0.2">
      <c r="V132" s="2">
        <v>125</v>
      </c>
      <c r="W132" s="2">
        <f t="shared" si="94"/>
        <v>26871.428571428572</v>
      </c>
      <c r="X132" s="2">
        <f t="shared" si="94"/>
        <v>52385.714285714283</v>
      </c>
      <c r="Y132" s="2">
        <f t="shared" si="95"/>
        <v>52385.714285714283</v>
      </c>
      <c r="Z132" s="2">
        <f t="shared" ref="Z132:AA132" si="170">Y132</f>
        <v>52385.714285714283</v>
      </c>
      <c r="AA132" s="2">
        <f t="shared" si="170"/>
        <v>52385.714285714283</v>
      </c>
      <c r="AQ132" s="2">
        <v>125</v>
      </c>
      <c r="AR132" s="2">
        <f t="shared" si="165"/>
        <v>14555.357142857143</v>
      </c>
      <c r="AS132" s="2">
        <f t="shared" si="165"/>
        <v>34539.285714285717</v>
      </c>
      <c r="AT132" s="2">
        <f t="shared" si="165"/>
        <v>50892.857142857145</v>
      </c>
      <c r="AU132" s="2">
        <f t="shared" si="165"/>
        <v>76339.28571428571</v>
      </c>
      <c r="AV132" s="2">
        <f t="shared" si="165"/>
        <v>143178.57142857142</v>
      </c>
      <c r="BK132" s="2">
        <v>125</v>
      </c>
      <c r="BL132" s="2">
        <f t="shared" si="166"/>
        <v>2171.4285714285716</v>
      </c>
      <c r="BM132" s="2">
        <f t="shared" si="166"/>
        <v>3800</v>
      </c>
      <c r="BN132" s="2">
        <f t="shared" si="166"/>
        <v>5971.4285714285716</v>
      </c>
      <c r="BO132" s="2">
        <f t="shared" si="166"/>
        <v>10314.285714285714</v>
      </c>
      <c r="BP132" s="2">
        <f t="shared" si="166"/>
        <v>93914.28571428571</v>
      </c>
      <c r="BV132" s="2">
        <v>125</v>
      </c>
      <c r="BW132" s="2">
        <f t="shared" si="89"/>
        <v>43598.21428571429</v>
      </c>
      <c r="BX132" s="2">
        <f t="shared" si="90"/>
        <v>90725</v>
      </c>
      <c r="BY132" s="2">
        <f t="shared" si="91"/>
        <v>109249.99999999999</v>
      </c>
      <c r="BZ132" s="2">
        <f t="shared" si="92"/>
        <v>139039.28571428571</v>
      </c>
      <c r="CA132" s="2">
        <f t="shared" si="93"/>
        <v>289478.57142857142</v>
      </c>
      <c r="CC132" s="41">
        <f t="shared" si="97"/>
        <v>0.61634241245136179</v>
      </c>
      <c r="CD132" s="41">
        <f t="shared" si="98"/>
        <v>0.33385214007782099</v>
      </c>
      <c r="CE132" s="41">
        <f t="shared" si="99"/>
        <v>4.9805447470817117E-2</v>
      </c>
      <c r="CH132" s="2">
        <v>125</v>
      </c>
      <c r="CI132" s="2">
        <f>求节点(节奏总纲!R$4:R$363,BW$8:BW$367,$CH132)</f>
        <v>151446.42857142855</v>
      </c>
      <c r="CJ132" s="2">
        <f>求节点(节奏总纲!S$4:S$363,BX$8:BX$367,$CH132)</f>
        <v>315150</v>
      </c>
      <c r="CK132" s="2">
        <f>求节点(节奏总纲!T$4:T$363,BY$8:BY$367,$CH132)</f>
        <v>379500</v>
      </c>
      <c r="CL132" s="2">
        <f>求节点(节奏总纲!U$4:U$363,BZ$8:BZ$367,$CH132)</f>
        <v>482978.57142857142</v>
      </c>
      <c r="CM132" s="2">
        <f>求节点(节奏总纲!V$4:V$363,CA$8:CA$367,$CH132)</f>
        <v>1005557.1428571427</v>
      </c>
    </row>
    <row r="133" spans="22:91" x14ac:dyDescent="0.2">
      <c r="V133" s="2">
        <v>126</v>
      </c>
      <c r="W133" s="2">
        <f t="shared" si="94"/>
        <v>27154.285714285714</v>
      </c>
      <c r="X133" s="2">
        <f t="shared" si="94"/>
        <v>52937.142857142855</v>
      </c>
      <c r="Y133" s="2">
        <f t="shared" si="95"/>
        <v>52937.142857142855</v>
      </c>
      <c r="Z133" s="2">
        <f t="shared" ref="Z133:AA133" si="171">Y133</f>
        <v>52937.142857142855</v>
      </c>
      <c r="AA133" s="2">
        <f t="shared" si="171"/>
        <v>52937.142857142855</v>
      </c>
      <c r="AQ133" s="2">
        <v>126</v>
      </c>
      <c r="AR133" s="2">
        <f t="shared" si="165"/>
        <v>14708.571428571429</v>
      </c>
      <c r="AS133" s="2">
        <f t="shared" si="165"/>
        <v>34902.857142857145</v>
      </c>
      <c r="AT133" s="2">
        <f t="shared" si="165"/>
        <v>51428.571428571428</v>
      </c>
      <c r="AU133" s="2">
        <f t="shared" si="165"/>
        <v>77142.857142857145</v>
      </c>
      <c r="AV133" s="2">
        <f t="shared" si="165"/>
        <v>144685.71428571429</v>
      </c>
      <c r="BK133" s="2">
        <v>126</v>
      </c>
      <c r="BL133" s="2">
        <f t="shared" si="166"/>
        <v>2194.2857142857142</v>
      </c>
      <c r="BM133" s="2">
        <f t="shared" si="166"/>
        <v>3840</v>
      </c>
      <c r="BN133" s="2">
        <f t="shared" si="166"/>
        <v>6034.2857142857147</v>
      </c>
      <c r="BO133" s="2">
        <f t="shared" si="166"/>
        <v>10422.857142857143</v>
      </c>
      <c r="BP133" s="2">
        <f t="shared" si="166"/>
        <v>94902.857142857145</v>
      </c>
      <c r="BV133" s="2">
        <v>126</v>
      </c>
      <c r="BW133" s="2">
        <f t="shared" si="89"/>
        <v>44057.142857142862</v>
      </c>
      <c r="BX133" s="2">
        <f t="shared" si="90"/>
        <v>91680</v>
      </c>
      <c r="BY133" s="2">
        <f t="shared" si="91"/>
        <v>110400</v>
      </c>
      <c r="BZ133" s="2">
        <f t="shared" si="92"/>
        <v>140502.85714285713</v>
      </c>
      <c r="CA133" s="2">
        <f t="shared" si="93"/>
        <v>292525.71428571432</v>
      </c>
      <c r="CC133" s="41">
        <f t="shared" si="97"/>
        <v>0.61634241245136179</v>
      </c>
      <c r="CD133" s="41">
        <f t="shared" si="98"/>
        <v>0.33385214007782099</v>
      </c>
      <c r="CE133" s="41">
        <f t="shared" si="99"/>
        <v>4.980544747081711E-2</v>
      </c>
      <c r="CH133" s="2">
        <v>126</v>
      </c>
      <c r="CI133" s="2">
        <f>求节点(节奏总纲!R$4:R$363,BW$8:BW$367,$CH133)</f>
        <v>151446.42857142855</v>
      </c>
      <c r="CJ133" s="2">
        <f>求节点(节奏总纲!S$4:S$363,BX$8:BX$367,$CH133)</f>
        <v>315150</v>
      </c>
      <c r="CK133" s="2">
        <f>求节点(节奏总纲!T$4:T$363,BY$8:BY$367,$CH133)</f>
        <v>379500</v>
      </c>
      <c r="CL133" s="2">
        <f>求节点(节奏总纲!U$4:U$363,BZ$8:BZ$367,$CH133)</f>
        <v>482978.57142857142</v>
      </c>
      <c r="CM133" s="2">
        <f>求节点(节奏总纲!V$4:V$363,CA$8:CA$367,$CH133)</f>
        <v>1005557.1428571427</v>
      </c>
    </row>
    <row r="134" spans="22:91" x14ac:dyDescent="0.2">
      <c r="V134" s="2">
        <v>127</v>
      </c>
      <c r="W134" s="2">
        <f t="shared" si="94"/>
        <v>27437.142857142859</v>
      </c>
      <c r="X134" s="2">
        <f t="shared" si="94"/>
        <v>53488.571428571428</v>
      </c>
      <c r="Y134" s="2">
        <f t="shared" si="95"/>
        <v>53488.571428571428</v>
      </c>
      <c r="Z134" s="2">
        <f t="shared" ref="Z134:AA134" si="172">Y134</f>
        <v>53488.571428571428</v>
      </c>
      <c r="AA134" s="2">
        <f t="shared" si="172"/>
        <v>53488.571428571428</v>
      </c>
      <c r="AQ134" s="2">
        <v>127</v>
      </c>
      <c r="AR134" s="2">
        <f t="shared" si="165"/>
        <v>14861.785714285714</v>
      </c>
      <c r="AS134" s="2">
        <f t="shared" si="165"/>
        <v>35266.428571428572</v>
      </c>
      <c r="AT134" s="2">
        <f t="shared" si="165"/>
        <v>51964.285714285717</v>
      </c>
      <c r="AU134" s="2">
        <f t="shared" si="165"/>
        <v>77946.428571428565</v>
      </c>
      <c r="AV134" s="2">
        <f t="shared" si="165"/>
        <v>146192.85714285713</v>
      </c>
      <c r="BK134" s="2">
        <v>127</v>
      </c>
      <c r="BL134" s="2">
        <f t="shared" si="166"/>
        <v>2217.1428571428573</v>
      </c>
      <c r="BM134" s="2">
        <f t="shared" si="166"/>
        <v>3880</v>
      </c>
      <c r="BN134" s="2">
        <f t="shared" si="166"/>
        <v>6097.1428571428569</v>
      </c>
      <c r="BO134" s="2">
        <f t="shared" si="166"/>
        <v>10531.428571428571</v>
      </c>
      <c r="BP134" s="2">
        <f t="shared" si="166"/>
        <v>95891.428571428565</v>
      </c>
      <c r="BV134" s="2">
        <v>127</v>
      </c>
      <c r="BW134" s="2">
        <f t="shared" si="89"/>
        <v>44516.071428571428</v>
      </c>
      <c r="BX134" s="2">
        <f t="shared" si="90"/>
        <v>92635</v>
      </c>
      <c r="BY134" s="2">
        <f t="shared" si="91"/>
        <v>111550</v>
      </c>
      <c r="BZ134" s="2">
        <f t="shared" si="92"/>
        <v>141966.42857142858</v>
      </c>
      <c r="CA134" s="2">
        <f t="shared" si="93"/>
        <v>295572.8571428571</v>
      </c>
      <c r="CC134" s="41">
        <f t="shared" si="97"/>
        <v>0.6163424124513619</v>
      </c>
      <c r="CD134" s="41">
        <f t="shared" si="98"/>
        <v>0.33385214007782099</v>
      </c>
      <c r="CE134" s="41">
        <f t="shared" si="99"/>
        <v>4.9805447470817124E-2</v>
      </c>
      <c r="CH134" s="2">
        <v>127</v>
      </c>
      <c r="CI134" s="2">
        <f>求节点(节奏总纲!R$4:R$363,BW$8:BW$367,$CH134)</f>
        <v>151446.42857142855</v>
      </c>
      <c r="CJ134" s="2">
        <f>求节点(节奏总纲!S$4:S$363,BX$8:BX$367,$CH134)</f>
        <v>315150</v>
      </c>
      <c r="CK134" s="2">
        <f>求节点(节奏总纲!T$4:T$363,BY$8:BY$367,$CH134)</f>
        <v>379500</v>
      </c>
      <c r="CL134" s="2">
        <f>求节点(节奏总纲!U$4:U$363,BZ$8:BZ$367,$CH134)</f>
        <v>482978.57142857142</v>
      </c>
      <c r="CM134" s="2">
        <f>求节点(节奏总纲!V$4:V$363,CA$8:CA$367,$CH134)</f>
        <v>1005557.1428571427</v>
      </c>
    </row>
    <row r="135" spans="22:91" x14ac:dyDescent="0.2">
      <c r="V135" s="2">
        <v>128</v>
      </c>
      <c r="W135" s="2">
        <f t="shared" si="94"/>
        <v>27720</v>
      </c>
      <c r="X135" s="2">
        <f t="shared" si="94"/>
        <v>54040</v>
      </c>
      <c r="Y135" s="2">
        <f t="shared" si="95"/>
        <v>54040</v>
      </c>
      <c r="Z135" s="2">
        <f t="shared" ref="Z135:AA135" si="173">Y135</f>
        <v>54040</v>
      </c>
      <c r="AA135" s="2">
        <f t="shared" si="173"/>
        <v>54040</v>
      </c>
      <c r="AQ135" s="2">
        <v>128</v>
      </c>
      <c r="AR135" s="2">
        <f t="shared" si="165"/>
        <v>15015</v>
      </c>
      <c r="AS135" s="2">
        <f t="shared" si="165"/>
        <v>35630</v>
      </c>
      <c r="AT135" s="2">
        <f t="shared" si="165"/>
        <v>52500</v>
      </c>
      <c r="AU135" s="2">
        <f t="shared" si="165"/>
        <v>78750</v>
      </c>
      <c r="AV135" s="2">
        <f t="shared" si="165"/>
        <v>147700</v>
      </c>
      <c r="BK135" s="2">
        <v>128</v>
      </c>
      <c r="BL135" s="2">
        <f t="shared" si="166"/>
        <v>2240</v>
      </c>
      <c r="BM135" s="2">
        <f t="shared" si="166"/>
        <v>3920</v>
      </c>
      <c r="BN135" s="2">
        <f t="shared" si="166"/>
        <v>6160</v>
      </c>
      <c r="BO135" s="2">
        <f t="shared" si="166"/>
        <v>10640</v>
      </c>
      <c r="BP135" s="2">
        <f t="shared" si="166"/>
        <v>96880</v>
      </c>
      <c r="BV135" s="2">
        <v>128</v>
      </c>
      <c r="BW135" s="2">
        <f t="shared" si="89"/>
        <v>44975</v>
      </c>
      <c r="BX135" s="2">
        <f t="shared" si="90"/>
        <v>93590</v>
      </c>
      <c r="BY135" s="2">
        <f t="shared" si="91"/>
        <v>112700</v>
      </c>
      <c r="BZ135" s="2">
        <f t="shared" si="92"/>
        <v>143430</v>
      </c>
      <c r="CA135" s="2">
        <f t="shared" si="93"/>
        <v>298620</v>
      </c>
      <c r="CC135" s="41">
        <f t="shared" si="97"/>
        <v>0.6163424124513619</v>
      </c>
      <c r="CD135" s="41">
        <f t="shared" si="98"/>
        <v>0.33385214007782099</v>
      </c>
      <c r="CE135" s="41">
        <f t="shared" si="99"/>
        <v>4.9805447470817124E-2</v>
      </c>
      <c r="CH135" s="2">
        <v>128</v>
      </c>
      <c r="CI135" s="2">
        <f>求节点(节奏总纲!R$4:R$363,BW$8:BW$367,$CH135)</f>
        <v>151446.42857142855</v>
      </c>
      <c r="CJ135" s="2">
        <f>求节点(节奏总纲!S$4:S$363,BX$8:BX$367,$CH135)</f>
        <v>315150</v>
      </c>
      <c r="CK135" s="2">
        <f>求节点(节奏总纲!T$4:T$363,BY$8:BY$367,$CH135)</f>
        <v>379500</v>
      </c>
      <c r="CL135" s="2">
        <f>求节点(节奏总纲!U$4:U$363,BZ$8:BZ$367,$CH135)</f>
        <v>482978.57142857142</v>
      </c>
      <c r="CM135" s="2">
        <f>求节点(节奏总纲!V$4:V$363,CA$8:CA$367,$CH135)</f>
        <v>1005557.1428571427</v>
      </c>
    </row>
    <row r="136" spans="22:91" x14ac:dyDescent="0.2">
      <c r="V136" s="2">
        <v>129</v>
      </c>
      <c r="W136" s="2">
        <f t="shared" si="94"/>
        <v>28002.857142857141</v>
      </c>
      <c r="X136" s="2">
        <f t="shared" si="94"/>
        <v>54591.428571428572</v>
      </c>
      <c r="Y136" s="2">
        <f t="shared" si="95"/>
        <v>54591.428571428572</v>
      </c>
      <c r="Z136" s="2">
        <f t="shared" ref="Z136:AA136" si="174">Y136</f>
        <v>54591.428571428572</v>
      </c>
      <c r="AA136" s="2">
        <f t="shared" si="174"/>
        <v>54591.428571428572</v>
      </c>
      <c r="AQ136" s="2">
        <v>129</v>
      </c>
      <c r="AR136" s="2">
        <f t="shared" si="165"/>
        <v>15168.214285714286</v>
      </c>
      <c r="AS136" s="2">
        <f t="shared" si="165"/>
        <v>35993.571428571428</v>
      </c>
      <c r="AT136" s="2">
        <f t="shared" si="165"/>
        <v>53035.714285714283</v>
      </c>
      <c r="AU136" s="2">
        <f t="shared" si="165"/>
        <v>79553.571428571435</v>
      </c>
      <c r="AV136" s="2">
        <f t="shared" si="165"/>
        <v>149207.14285714287</v>
      </c>
      <c r="BK136" s="2">
        <v>129</v>
      </c>
      <c r="BL136" s="2">
        <f t="shared" si="166"/>
        <v>2262.8571428571427</v>
      </c>
      <c r="BM136" s="2">
        <f t="shared" si="166"/>
        <v>3960</v>
      </c>
      <c r="BN136" s="2">
        <f t="shared" si="166"/>
        <v>6222.8571428571431</v>
      </c>
      <c r="BO136" s="2">
        <f t="shared" si="166"/>
        <v>10748.571428571429</v>
      </c>
      <c r="BP136" s="2">
        <f t="shared" si="166"/>
        <v>97868.571428571435</v>
      </c>
      <c r="BV136" s="2">
        <v>129</v>
      </c>
      <c r="BW136" s="2">
        <f t="shared" ref="BW136:BW199" si="175">W136+AR136+BL136</f>
        <v>45433.928571428572</v>
      </c>
      <c r="BX136" s="2">
        <f t="shared" ref="BX136:BX199" si="176">X136+AS136+BM136</f>
        <v>94545</v>
      </c>
      <c r="BY136" s="2">
        <f t="shared" ref="BY136:BY199" si="177">Y136+AT136+BN136</f>
        <v>113850</v>
      </c>
      <c r="BZ136" s="2">
        <f t="shared" ref="BZ136:BZ199" si="178">Z136+AU136+BO136</f>
        <v>144893.57142857142</v>
      </c>
      <c r="CA136" s="2">
        <f t="shared" ref="CA136:CA199" si="179">AA136+AV136+BP136</f>
        <v>301667.1428571429</v>
      </c>
      <c r="CC136" s="41">
        <f t="shared" si="97"/>
        <v>0.61634241245136179</v>
      </c>
      <c r="CD136" s="41">
        <f t="shared" si="98"/>
        <v>0.33385214007782099</v>
      </c>
      <c r="CE136" s="41">
        <f t="shared" si="99"/>
        <v>4.9805447470817117E-2</v>
      </c>
      <c r="CH136" s="2">
        <v>129</v>
      </c>
      <c r="CI136" s="2">
        <f>求节点(节奏总纲!R$4:R$363,BW$8:BW$367,$CH136)</f>
        <v>151446.42857142855</v>
      </c>
      <c r="CJ136" s="2">
        <f>求节点(节奏总纲!S$4:S$363,BX$8:BX$367,$CH136)</f>
        <v>315150</v>
      </c>
      <c r="CK136" s="2">
        <f>求节点(节奏总纲!T$4:T$363,BY$8:BY$367,$CH136)</f>
        <v>379500</v>
      </c>
      <c r="CL136" s="2">
        <f>求节点(节奏总纲!U$4:U$363,BZ$8:BZ$367,$CH136)</f>
        <v>482978.57142857142</v>
      </c>
      <c r="CM136" s="2">
        <f>求节点(节奏总纲!V$4:V$363,CA$8:CA$367,$CH136)</f>
        <v>1005557.1428571427</v>
      </c>
    </row>
    <row r="137" spans="22:91" x14ac:dyDescent="0.2">
      <c r="V137" s="2">
        <v>130</v>
      </c>
      <c r="W137" s="2">
        <f t="shared" ref="W137:X200" si="180">MAX($V137-$C$2,0)*INDEX($S$8:$S$10,MATCH(W$7,$T$8:$T$10,0))*$C$4/$C$3</f>
        <v>28285.714285714286</v>
      </c>
      <c r="X137" s="2">
        <f t="shared" si="180"/>
        <v>55142.857142857145</v>
      </c>
      <c r="Y137" s="2">
        <f t="shared" ref="Y137:Y200" si="181">X137</f>
        <v>55142.857142857145</v>
      </c>
      <c r="Z137" s="2">
        <f t="shared" ref="Z137:AA137" si="182">Y137</f>
        <v>55142.857142857145</v>
      </c>
      <c r="AA137" s="2">
        <f t="shared" si="182"/>
        <v>55142.857142857145</v>
      </c>
      <c r="AQ137" s="2">
        <v>130</v>
      </c>
      <c r="AR137" s="2">
        <f t="shared" si="165"/>
        <v>15321.428571428571</v>
      </c>
      <c r="AS137" s="2">
        <f t="shared" si="165"/>
        <v>36357.142857142855</v>
      </c>
      <c r="AT137" s="2">
        <f t="shared" si="165"/>
        <v>53571.428571428572</v>
      </c>
      <c r="AU137" s="2">
        <f t="shared" si="165"/>
        <v>80357.142857142855</v>
      </c>
      <c r="AV137" s="2">
        <f t="shared" si="165"/>
        <v>150714.28571428571</v>
      </c>
      <c r="BK137" s="2">
        <v>130</v>
      </c>
      <c r="BL137" s="2">
        <f t="shared" si="166"/>
        <v>2285.7142857142858</v>
      </c>
      <c r="BM137" s="2">
        <f t="shared" si="166"/>
        <v>4000</v>
      </c>
      <c r="BN137" s="2">
        <f t="shared" si="166"/>
        <v>6285.7142857142853</v>
      </c>
      <c r="BO137" s="2">
        <f t="shared" si="166"/>
        <v>10857.142857142857</v>
      </c>
      <c r="BP137" s="2">
        <f t="shared" si="166"/>
        <v>98857.142857142855</v>
      </c>
      <c r="BV137" s="2">
        <v>130</v>
      </c>
      <c r="BW137" s="2">
        <f t="shared" si="175"/>
        <v>45892.857142857138</v>
      </c>
      <c r="BX137" s="2">
        <f t="shared" si="176"/>
        <v>95500</v>
      </c>
      <c r="BY137" s="2">
        <f t="shared" si="177"/>
        <v>115000</v>
      </c>
      <c r="BZ137" s="2">
        <f t="shared" si="178"/>
        <v>146357.14285714287</v>
      </c>
      <c r="CA137" s="2">
        <f t="shared" si="179"/>
        <v>304714.28571428568</v>
      </c>
      <c r="CC137" s="41">
        <f t="shared" ref="CC137:CC200" si="183">W137/BW137</f>
        <v>0.6163424124513619</v>
      </c>
      <c r="CD137" s="41">
        <f t="shared" ref="CD137:CD200" si="184">AR137/BW137</f>
        <v>0.33385214007782105</v>
      </c>
      <c r="CE137" s="41">
        <f t="shared" ref="CE137:CE200" si="185">BL137/BW137</f>
        <v>4.9805447470817131E-2</v>
      </c>
      <c r="CH137" s="2">
        <v>130</v>
      </c>
      <c r="CI137" s="2">
        <f>求节点(节奏总纲!R$4:R$363,BW$8:BW$367,$CH137)</f>
        <v>151446.42857142855</v>
      </c>
      <c r="CJ137" s="2">
        <f>求节点(节奏总纲!S$4:S$363,BX$8:BX$367,$CH137)</f>
        <v>315150</v>
      </c>
      <c r="CK137" s="2">
        <f>求节点(节奏总纲!T$4:T$363,BY$8:BY$367,$CH137)</f>
        <v>379500</v>
      </c>
      <c r="CL137" s="2">
        <f>求节点(节奏总纲!U$4:U$363,BZ$8:BZ$367,$CH137)</f>
        <v>482978.57142857142</v>
      </c>
      <c r="CM137" s="2">
        <f>求节点(节奏总纲!V$4:V$363,CA$8:CA$367,$CH137)</f>
        <v>1005557.1428571427</v>
      </c>
    </row>
    <row r="138" spans="22:91" x14ac:dyDescent="0.2">
      <c r="V138" s="2">
        <v>131</v>
      </c>
      <c r="W138" s="2">
        <f t="shared" si="180"/>
        <v>28568.571428571428</v>
      </c>
      <c r="X138" s="2">
        <f t="shared" si="180"/>
        <v>55694.285714285717</v>
      </c>
      <c r="Y138" s="2">
        <f t="shared" si="181"/>
        <v>55694.285714285717</v>
      </c>
      <c r="Z138" s="2">
        <f t="shared" ref="Z138:AA138" si="186">Y138</f>
        <v>55694.285714285717</v>
      </c>
      <c r="AA138" s="2">
        <f t="shared" si="186"/>
        <v>55694.285714285717</v>
      </c>
      <c r="AQ138" s="2">
        <v>131</v>
      </c>
      <c r="AR138" s="2">
        <f t="shared" ref="AR138:AV147" si="187">MAX($AQ138-$C$2,0)*INDEX($AN$8:$AN$44,MATCH(AR$7,$AO$8:$AO$44,0))/$C$3</f>
        <v>15474.642857142857</v>
      </c>
      <c r="AS138" s="2">
        <f t="shared" si="187"/>
        <v>36720.714285714283</v>
      </c>
      <c r="AT138" s="2">
        <f t="shared" si="187"/>
        <v>54107.142857142855</v>
      </c>
      <c r="AU138" s="2">
        <f t="shared" si="187"/>
        <v>81160.71428571429</v>
      </c>
      <c r="AV138" s="2">
        <f t="shared" si="187"/>
        <v>152221.42857142858</v>
      </c>
      <c r="BK138" s="2">
        <v>131</v>
      </c>
      <c r="BL138" s="2">
        <f t="shared" ref="BL138:BP147" si="188">IFERROR(MAX($BK138-$C$2,0)*INDEX($BH$8:$BH$16,MATCH(BL$7,$BI$8:$BI$16,0))*$C$4/$C$3,BM138)</f>
        <v>2308.5714285714284</v>
      </c>
      <c r="BM138" s="2">
        <f t="shared" si="188"/>
        <v>4040</v>
      </c>
      <c r="BN138" s="2">
        <f t="shared" si="188"/>
        <v>6348.5714285714284</v>
      </c>
      <c r="BO138" s="2">
        <f t="shared" si="188"/>
        <v>10965.714285714286</v>
      </c>
      <c r="BP138" s="2">
        <f t="shared" si="188"/>
        <v>99845.71428571429</v>
      </c>
      <c r="BV138" s="2">
        <v>131</v>
      </c>
      <c r="BW138" s="2">
        <f t="shared" si="175"/>
        <v>46351.78571428571</v>
      </c>
      <c r="BX138" s="2">
        <f t="shared" si="176"/>
        <v>96455</v>
      </c>
      <c r="BY138" s="2">
        <f t="shared" si="177"/>
        <v>116150.00000000001</v>
      </c>
      <c r="BZ138" s="2">
        <f t="shared" si="178"/>
        <v>147820.71428571429</v>
      </c>
      <c r="CA138" s="2">
        <f t="shared" si="179"/>
        <v>307761.42857142858</v>
      </c>
      <c r="CC138" s="41">
        <f t="shared" si="183"/>
        <v>0.6163424124513619</v>
      </c>
      <c r="CD138" s="41">
        <f t="shared" si="184"/>
        <v>0.33385214007782105</v>
      </c>
      <c r="CE138" s="41">
        <f t="shared" si="185"/>
        <v>4.9805447470817124E-2</v>
      </c>
      <c r="CH138" s="2">
        <v>131</v>
      </c>
      <c r="CI138" s="2">
        <f>求节点(节奏总纲!R$4:R$363,BW$8:BW$367,$CH138)</f>
        <v>151446.42857142855</v>
      </c>
      <c r="CJ138" s="2">
        <f>求节点(节奏总纲!S$4:S$363,BX$8:BX$367,$CH138)</f>
        <v>315150</v>
      </c>
      <c r="CK138" s="2">
        <f>求节点(节奏总纲!T$4:T$363,BY$8:BY$367,$CH138)</f>
        <v>379500</v>
      </c>
      <c r="CL138" s="2">
        <f>求节点(节奏总纲!U$4:U$363,BZ$8:BZ$367,$CH138)</f>
        <v>482978.57142857142</v>
      </c>
      <c r="CM138" s="2">
        <f>求节点(节奏总纲!V$4:V$363,CA$8:CA$367,$CH138)</f>
        <v>1005557.1428571427</v>
      </c>
    </row>
    <row r="139" spans="22:91" x14ac:dyDescent="0.2">
      <c r="V139" s="2">
        <v>132</v>
      </c>
      <c r="W139" s="2">
        <f t="shared" si="180"/>
        <v>28851.428571428572</v>
      </c>
      <c r="X139" s="2">
        <f t="shared" si="180"/>
        <v>56245.714285714283</v>
      </c>
      <c r="Y139" s="2">
        <f t="shared" si="181"/>
        <v>56245.714285714283</v>
      </c>
      <c r="Z139" s="2">
        <f t="shared" ref="Z139:AA139" si="189">Y139</f>
        <v>56245.714285714283</v>
      </c>
      <c r="AA139" s="2">
        <f t="shared" si="189"/>
        <v>56245.714285714283</v>
      </c>
      <c r="AQ139" s="2">
        <v>132</v>
      </c>
      <c r="AR139" s="2">
        <f t="shared" si="187"/>
        <v>15627.857142857143</v>
      </c>
      <c r="AS139" s="2">
        <f t="shared" si="187"/>
        <v>37084.285714285717</v>
      </c>
      <c r="AT139" s="2">
        <f t="shared" si="187"/>
        <v>54642.857142857145</v>
      </c>
      <c r="AU139" s="2">
        <f t="shared" si="187"/>
        <v>81964.28571428571</v>
      </c>
      <c r="AV139" s="2">
        <f t="shared" si="187"/>
        <v>153728.57142857142</v>
      </c>
      <c r="BK139" s="2">
        <v>132</v>
      </c>
      <c r="BL139" s="2">
        <f t="shared" si="188"/>
        <v>2331.4285714285716</v>
      </c>
      <c r="BM139" s="2">
        <f t="shared" si="188"/>
        <v>4080</v>
      </c>
      <c r="BN139" s="2">
        <f t="shared" si="188"/>
        <v>6411.4285714285716</v>
      </c>
      <c r="BO139" s="2">
        <f t="shared" si="188"/>
        <v>11074.285714285714</v>
      </c>
      <c r="BP139" s="2">
        <f t="shared" si="188"/>
        <v>100834.28571428571</v>
      </c>
      <c r="BV139" s="2">
        <v>132</v>
      </c>
      <c r="BW139" s="2">
        <f t="shared" si="175"/>
        <v>46810.71428571429</v>
      </c>
      <c r="BX139" s="2">
        <f t="shared" si="176"/>
        <v>97410</v>
      </c>
      <c r="BY139" s="2">
        <f t="shared" si="177"/>
        <v>117299.99999999999</v>
      </c>
      <c r="BZ139" s="2">
        <f t="shared" si="178"/>
        <v>149284.28571428571</v>
      </c>
      <c r="CA139" s="2">
        <f t="shared" si="179"/>
        <v>310808.57142857142</v>
      </c>
      <c r="CC139" s="41">
        <f t="shared" si="183"/>
        <v>0.61634241245136179</v>
      </c>
      <c r="CD139" s="41">
        <f t="shared" si="184"/>
        <v>0.33385214007782099</v>
      </c>
      <c r="CE139" s="41">
        <f t="shared" si="185"/>
        <v>4.9805447470817117E-2</v>
      </c>
      <c r="CH139" s="2">
        <v>132</v>
      </c>
      <c r="CI139" s="2">
        <f>求节点(节奏总纲!R$4:R$363,BW$8:BW$367,$CH139)</f>
        <v>151446.42857142855</v>
      </c>
      <c r="CJ139" s="2">
        <f>求节点(节奏总纲!S$4:S$363,BX$8:BX$367,$CH139)</f>
        <v>315150</v>
      </c>
      <c r="CK139" s="2">
        <f>求节点(节奏总纲!T$4:T$363,BY$8:BY$367,$CH139)</f>
        <v>379500</v>
      </c>
      <c r="CL139" s="2">
        <f>求节点(节奏总纲!U$4:U$363,BZ$8:BZ$367,$CH139)</f>
        <v>482978.57142857142</v>
      </c>
      <c r="CM139" s="2">
        <f>求节点(节奏总纲!V$4:V$363,CA$8:CA$367,$CH139)</f>
        <v>1005557.1428571427</v>
      </c>
    </row>
    <row r="140" spans="22:91" x14ac:dyDescent="0.2">
      <c r="V140" s="2">
        <v>133</v>
      </c>
      <c r="W140" s="2">
        <f t="shared" si="180"/>
        <v>29134.285714285714</v>
      </c>
      <c r="X140" s="2">
        <f t="shared" si="180"/>
        <v>56797.142857142855</v>
      </c>
      <c r="Y140" s="2">
        <f t="shared" si="181"/>
        <v>56797.142857142855</v>
      </c>
      <c r="Z140" s="2">
        <f t="shared" ref="Z140:AA140" si="190">Y140</f>
        <v>56797.142857142855</v>
      </c>
      <c r="AA140" s="2">
        <f t="shared" si="190"/>
        <v>56797.142857142855</v>
      </c>
      <c r="AQ140" s="2">
        <v>133</v>
      </c>
      <c r="AR140" s="2">
        <f t="shared" si="187"/>
        <v>15781.071428571429</v>
      </c>
      <c r="AS140" s="2">
        <f t="shared" si="187"/>
        <v>37447.857142857145</v>
      </c>
      <c r="AT140" s="2">
        <f t="shared" si="187"/>
        <v>55178.571428571428</v>
      </c>
      <c r="AU140" s="2">
        <f t="shared" si="187"/>
        <v>82767.857142857145</v>
      </c>
      <c r="AV140" s="2">
        <f t="shared" si="187"/>
        <v>155235.71428571429</v>
      </c>
      <c r="BK140" s="2">
        <v>133</v>
      </c>
      <c r="BL140" s="2">
        <f t="shared" si="188"/>
        <v>2354.2857142857142</v>
      </c>
      <c r="BM140" s="2">
        <f t="shared" si="188"/>
        <v>4120</v>
      </c>
      <c r="BN140" s="2">
        <f t="shared" si="188"/>
        <v>6474.2857142857147</v>
      </c>
      <c r="BO140" s="2">
        <f t="shared" si="188"/>
        <v>11182.857142857143</v>
      </c>
      <c r="BP140" s="2">
        <f t="shared" si="188"/>
        <v>101822.85714285714</v>
      </c>
      <c r="BV140" s="2">
        <v>133</v>
      </c>
      <c r="BW140" s="2">
        <f t="shared" si="175"/>
        <v>47269.642857142862</v>
      </c>
      <c r="BX140" s="2">
        <f t="shared" si="176"/>
        <v>98365</v>
      </c>
      <c r="BY140" s="2">
        <f t="shared" si="177"/>
        <v>118450</v>
      </c>
      <c r="BZ140" s="2">
        <f t="shared" si="178"/>
        <v>150747.85714285713</v>
      </c>
      <c r="CA140" s="2">
        <f t="shared" si="179"/>
        <v>313855.71428571432</v>
      </c>
      <c r="CC140" s="41">
        <f t="shared" si="183"/>
        <v>0.61634241245136179</v>
      </c>
      <c r="CD140" s="41">
        <f t="shared" si="184"/>
        <v>0.33385214007782099</v>
      </c>
      <c r="CE140" s="41">
        <f t="shared" si="185"/>
        <v>4.9805447470817117E-2</v>
      </c>
      <c r="CH140" s="2">
        <v>133</v>
      </c>
      <c r="CI140" s="2">
        <f>求节点(节奏总纲!R$4:R$363,BW$8:BW$367,$CH140)</f>
        <v>151446.42857142855</v>
      </c>
      <c r="CJ140" s="2">
        <f>求节点(节奏总纲!S$4:S$363,BX$8:BX$367,$CH140)</f>
        <v>315150</v>
      </c>
      <c r="CK140" s="2">
        <f>求节点(节奏总纲!T$4:T$363,BY$8:BY$367,$CH140)</f>
        <v>379500</v>
      </c>
      <c r="CL140" s="2">
        <f>求节点(节奏总纲!U$4:U$363,BZ$8:BZ$367,$CH140)</f>
        <v>482978.57142857142</v>
      </c>
      <c r="CM140" s="2">
        <f>求节点(节奏总纲!V$4:V$363,CA$8:CA$367,$CH140)</f>
        <v>1005557.1428571427</v>
      </c>
    </row>
    <row r="141" spans="22:91" x14ac:dyDescent="0.2">
      <c r="V141" s="2">
        <v>134</v>
      </c>
      <c r="W141" s="2">
        <f t="shared" si="180"/>
        <v>29417.142857142859</v>
      </c>
      <c r="X141" s="2">
        <f t="shared" si="180"/>
        <v>57348.571428571428</v>
      </c>
      <c r="Y141" s="2">
        <f t="shared" si="181"/>
        <v>57348.571428571428</v>
      </c>
      <c r="Z141" s="2">
        <f t="shared" ref="Z141:AA141" si="191">Y141</f>
        <v>57348.571428571428</v>
      </c>
      <c r="AA141" s="2">
        <f t="shared" si="191"/>
        <v>57348.571428571428</v>
      </c>
      <c r="AQ141" s="2">
        <v>134</v>
      </c>
      <c r="AR141" s="2">
        <f t="shared" si="187"/>
        <v>15934.285714285714</v>
      </c>
      <c r="AS141" s="2">
        <f t="shared" si="187"/>
        <v>37811.428571428572</v>
      </c>
      <c r="AT141" s="2">
        <f t="shared" si="187"/>
        <v>55714.285714285717</v>
      </c>
      <c r="AU141" s="2">
        <f t="shared" si="187"/>
        <v>83571.428571428565</v>
      </c>
      <c r="AV141" s="2">
        <f t="shared" si="187"/>
        <v>156742.85714285713</v>
      </c>
      <c r="BK141" s="2">
        <v>134</v>
      </c>
      <c r="BL141" s="2">
        <f t="shared" si="188"/>
        <v>2377.1428571428573</v>
      </c>
      <c r="BM141" s="2">
        <f t="shared" si="188"/>
        <v>4160</v>
      </c>
      <c r="BN141" s="2">
        <f t="shared" si="188"/>
        <v>6537.1428571428569</v>
      </c>
      <c r="BO141" s="2">
        <f t="shared" si="188"/>
        <v>11291.428571428571</v>
      </c>
      <c r="BP141" s="2">
        <f t="shared" si="188"/>
        <v>102811.42857142857</v>
      </c>
      <c r="BV141" s="2">
        <v>134</v>
      </c>
      <c r="BW141" s="2">
        <f t="shared" si="175"/>
        <v>47728.571428571428</v>
      </c>
      <c r="BX141" s="2">
        <f t="shared" si="176"/>
        <v>99320</v>
      </c>
      <c r="BY141" s="2">
        <f t="shared" si="177"/>
        <v>119600</v>
      </c>
      <c r="BZ141" s="2">
        <f t="shared" si="178"/>
        <v>152211.42857142858</v>
      </c>
      <c r="CA141" s="2">
        <f t="shared" si="179"/>
        <v>316902.8571428571</v>
      </c>
      <c r="CC141" s="41">
        <f t="shared" si="183"/>
        <v>0.6163424124513619</v>
      </c>
      <c r="CD141" s="41">
        <f t="shared" si="184"/>
        <v>0.33385214007782099</v>
      </c>
      <c r="CE141" s="41">
        <f t="shared" si="185"/>
        <v>4.9805447470817124E-2</v>
      </c>
      <c r="CH141" s="2">
        <v>134</v>
      </c>
      <c r="CI141" s="2">
        <f>求节点(节奏总纲!R$4:R$363,BW$8:BW$367,$CH141)</f>
        <v>151446.42857142855</v>
      </c>
      <c r="CJ141" s="2">
        <f>求节点(节奏总纲!S$4:S$363,BX$8:BX$367,$CH141)</f>
        <v>315150</v>
      </c>
      <c r="CK141" s="2">
        <f>求节点(节奏总纲!T$4:T$363,BY$8:BY$367,$CH141)</f>
        <v>379500</v>
      </c>
      <c r="CL141" s="2">
        <f>求节点(节奏总纲!U$4:U$363,BZ$8:BZ$367,$CH141)</f>
        <v>482978.57142857142</v>
      </c>
      <c r="CM141" s="2">
        <f>求节点(节奏总纲!V$4:V$363,CA$8:CA$367,$CH141)</f>
        <v>1005557.1428571427</v>
      </c>
    </row>
    <row r="142" spans="22:91" x14ac:dyDescent="0.2">
      <c r="V142" s="2">
        <v>135</v>
      </c>
      <c r="W142" s="2">
        <f t="shared" si="180"/>
        <v>29700</v>
      </c>
      <c r="X142" s="2">
        <f t="shared" si="180"/>
        <v>57900</v>
      </c>
      <c r="Y142" s="2">
        <f t="shared" si="181"/>
        <v>57900</v>
      </c>
      <c r="Z142" s="2">
        <f t="shared" ref="Z142:AA142" si="192">Y142</f>
        <v>57900</v>
      </c>
      <c r="AA142" s="2">
        <f t="shared" si="192"/>
        <v>57900</v>
      </c>
      <c r="AQ142" s="2">
        <v>135</v>
      </c>
      <c r="AR142" s="2">
        <f t="shared" si="187"/>
        <v>16087.5</v>
      </c>
      <c r="AS142" s="2">
        <f t="shared" si="187"/>
        <v>38175</v>
      </c>
      <c r="AT142" s="2">
        <f t="shared" si="187"/>
        <v>56250</v>
      </c>
      <c r="AU142" s="2">
        <f t="shared" si="187"/>
        <v>84375</v>
      </c>
      <c r="AV142" s="2">
        <f t="shared" si="187"/>
        <v>158250</v>
      </c>
      <c r="BK142" s="2">
        <v>135</v>
      </c>
      <c r="BL142" s="2">
        <f t="shared" si="188"/>
        <v>2400</v>
      </c>
      <c r="BM142" s="2">
        <f t="shared" si="188"/>
        <v>4200</v>
      </c>
      <c r="BN142" s="2">
        <f t="shared" si="188"/>
        <v>6600</v>
      </c>
      <c r="BO142" s="2">
        <f t="shared" si="188"/>
        <v>11400</v>
      </c>
      <c r="BP142" s="2">
        <f t="shared" si="188"/>
        <v>103800</v>
      </c>
      <c r="BV142" s="2">
        <v>135</v>
      </c>
      <c r="BW142" s="2">
        <f t="shared" si="175"/>
        <v>48187.5</v>
      </c>
      <c r="BX142" s="2">
        <f t="shared" si="176"/>
        <v>100275</v>
      </c>
      <c r="BY142" s="2">
        <f t="shared" si="177"/>
        <v>120750</v>
      </c>
      <c r="BZ142" s="2">
        <f t="shared" si="178"/>
        <v>153675</v>
      </c>
      <c r="CA142" s="2">
        <f t="shared" si="179"/>
        <v>319950</v>
      </c>
      <c r="CC142" s="41">
        <f t="shared" si="183"/>
        <v>0.6163424124513619</v>
      </c>
      <c r="CD142" s="41">
        <f t="shared" si="184"/>
        <v>0.33385214007782099</v>
      </c>
      <c r="CE142" s="41">
        <f t="shared" si="185"/>
        <v>4.9805447470817124E-2</v>
      </c>
      <c r="CH142" s="2">
        <v>135</v>
      </c>
      <c r="CI142" s="2">
        <f>求节点(节奏总纲!R$4:R$363,BW$8:BW$367,$CH142)</f>
        <v>151446.42857142855</v>
      </c>
      <c r="CJ142" s="2">
        <f>求节点(节奏总纲!S$4:S$363,BX$8:BX$367,$CH142)</f>
        <v>315150</v>
      </c>
      <c r="CK142" s="2">
        <f>求节点(节奏总纲!T$4:T$363,BY$8:BY$367,$CH142)</f>
        <v>379500</v>
      </c>
      <c r="CL142" s="2">
        <f>求节点(节奏总纲!U$4:U$363,BZ$8:BZ$367,$CH142)</f>
        <v>482978.57142857142</v>
      </c>
      <c r="CM142" s="2">
        <f>求节点(节奏总纲!V$4:V$363,CA$8:CA$367,$CH142)</f>
        <v>1005557.1428571427</v>
      </c>
    </row>
    <row r="143" spans="22:91" x14ac:dyDescent="0.2">
      <c r="V143" s="2">
        <v>136</v>
      </c>
      <c r="W143" s="2">
        <f t="shared" si="180"/>
        <v>29982.857142857141</v>
      </c>
      <c r="X143" s="2">
        <f t="shared" si="180"/>
        <v>58451.428571428572</v>
      </c>
      <c r="Y143" s="2">
        <f t="shared" si="181"/>
        <v>58451.428571428572</v>
      </c>
      <c r="Z143" s="2">
        <f t="shared" ref="Z143:AA143" si="193">Y143</f>
        <v>58451.428571428572</v>
      </c>
      <c r="AA143" s="2">
        <f t="shared" si="193"/>
        <v>58451.428571428572</v>
      </c>
      <c r="AQ143" s="2">
        <v>136</v>
      </c>
      <c r="AR143" s="2">
        <f t="shared" si="187"/>
        <v>16240.714285714286</v>
      </c>
      <c r="AS143" s="2">
        <f t="shared" si="187"/>
        <v>38538.571428571428</v>
      </c>
      <c r="AT143" s="2">
        <f t="shared" si="187"/>
        <v>56785.714285714283</v>
      </c>
      <c r="AU143" s="2">
        <f t="shared" si="187"/>
        <v>85178.571428571435</v>
      </c>
      <c r="AV143" s="2">
        <f t="shared" si="187"/>
        <v>159757.14285714287</v>
      </c>
      <c r="BK143" s="2">
        <v>136</v>
      </c>
      <c r="BL143" s="2">
        <f t="shared" si="188"/>
        <v>2422.8571428571427</v>
      </c>
      <c r="BM143" s="2">
        <f t="shared" si="188"/>
        <v>4240</v>
      </c>
      <c r="BN143" s="2">
        <f t="shared" si="188"/>
        <v>6662.8571428571431</v>
      </c>
      <c r="BO143" s="2">
        <f t="shared" si="188"/>
        <v>11508.571428571429</v>
      </c>
      <c r="BP143" s="2">
        <f t="shared" si="188"/>
        <v>104788.57142857143</v>
      </c>
      <c r="BV143" s="2">
        <v>136</v>
      </c>
      <c r="BW143" s="2">
        <f t="shared" si="175"/>
        <v>48646.428571428572</v>
      </c>
      <c r="BX143" s="2">
        <f t="shared" si="176"/>
        <v>101230</v>
      </c>
      <c r="BY143" s="2">
        <f t="shared" si="177"/>
        <v>121900</v>
      </c>
      <c r="BZ143" s="2">
        <f t="shared" si="178"/>
        <v>155138.57142857142</v>
      </c>
      <c r="CA143" s="2">
        <f t="shared" si="179"/>
        <v>322997.1428571429</v>
      </c>
      <c r="CC143" s="41">
        <f t="shared" si="183"/>
        <v>0.61634241245136179</v>
      </c>
      <c r="CD143" s="41">
        <f t="shared" si="184"/>
        <v>0.33385214007782099</v>
      </c>
      <c r="CE143" s="41">
        <f t="shared" si="185"/>
        <v>4.9805447470817117E-2</v>
      </c>
      <c r="CH143" s="2">
        <v>136</v>
      </c>
      <c r="CI143" s="2">
        <f>求节点(节奏总纲!R$4:R$363,BW$8:BW$367,$CH143)</f>
        <v>151446.42857142855</v>
      </c>
      <c r="CJ143" s="2">
        <f>求节点(节奏总纲!S$4:S$363,BX$8:BX$367,$CH143)</f>
        <v>315150</v>
      </c>
      <c r="CK143" s="2">
        <f>求节点(节奏总纲!T$4:T$363,BY$8:BY$367,$CH143)</f>
        <v>379500</v>
      </c>
      <c r="CL143" s="2">
        <f>求节点(节奏总纲!U$4:U$363,BZ$8:BZ$367,$CH143)</f>
        <v>482978.57142857142</v>
      </c>
      <c r="CM143" s="2">
        <f>求节点(节奏总纲!V$4:V$363,CA$8:CA$367,$CH143)</f>
        <v>1005557.1428571427</v>
      </c>
    </row>
    <row r="144" spans="22:91" x14ac:dyDescent="0.2">
      <c r="V144" s="2">
        <v>137</v>
      </c>
      <c r="W144" s="2">
        <f t="shared" si="180"/>
        <v>30265.714285714286</v>
      </c>
      <c r="X144" s="2">
        <f t="shared" si="180"/>
        <v>59002.857142857145</v>
      </c>
      <c r="Y144" s="2">
        <f t="shared" si="181"/>
        <v>59002.857142857145</v>
      </c>
      <c r="Z144" s="2">
        <f t="shared" ref="Z144:AA144" si="194">Y144</f>
        <v>59002.857142857145</v>
      </c>
      <c r="AA144" s="2">
        <f t="shared" si="194"/>
        <v>59002.857142857145</v>
      </c>
      <c r="AQ144" s="2">
        <v>137</v>
      </c>
      <c r="AR144" s="2">
        <f t="shared" si="187"/>
        <v>16393.928571428572</v>
      </c>
      <c r="AS144" s="2">
        <f t="shared" si="187"/>
        <v>38902.142857142855</v>
      </c>
      <c r="AT144" s="2">
        <f t="shared" si="187"/>
        <v>57321.428571428572</v>
      </c>
      <c r="AU144" s="2">
        <f t="shared" si="187"/>
        <v>85982.142857142855</v>
      </c>
      <c r="AV144" s="2">
        <f t="shared" si="187"/>
        <v>161264.28571428571</v>
      </c>
      <c r="BK144" s="2">
        <v>137</v>
      </c>
      <c r="BL144" s="2">
        <f t="shared" si="188"/>
        <v>2445.7142857142858</v>
      </c>
      <c r="BM144" s="2">
        <f t="shared" si="188"/>
        <v>4280</v>
      </c>
      <c r="BN144" s="2">
        <f t="shared" si="188"/>
        <v>6725.7142857142853</v>
      </c>
      <c r="BO144" s="2">
        <f t="shared" si="188"/>
        <v>11617.142857142857</v>
      </c>
      <c r="BP144" s="2">
        <f t="shared" si="188"/>
        <v>105777.14285714286</v>
      </c>
      <c r="BV144" s="2">
        <v>137</v>
      </c>
      <c r="BW144" s="2">
        <f t="shared" si="175"/>
        <v>49105.357142857138</v>
      </c>
      <c r="BX144" s="2">
        <f t="shared" si="176"/>
        <v>102185</v>
      </c>
      <c r="BY144" s="2">
        <f t="shared" si="177"/>
        <v>123050</v>
      </c>
      <c r="BZ144" s="2">
        <f t="shared" si="178"/>
        <v>156602.14285714287</v>
      </c>
      <c r="CA144" s="2">
        <f t="shared" si="179"/>
        <v>326044.28571428568</v>
      </c>
      <c r="CC144" s="41">
        <f t="shared" si="183"/>
        <v>0.6163424124513619</v>
      </c>
      <c r="CD144" s="41">
        <f t="shared" si="184"/>
        <v>0.33385214007782105</v>
      </c>
      <c r="CE144" s="41">
        <f t="shared" si="185"/>
        <v>4.9805447470817124E-2</v>
      </c>
      <c r="CH144" s="2">
        <v>137</v>
      </c>
      <c r="CI144" s="2">
        <f>求节点(节奏总纲!R$4:R$363,BW$8:BW$367,$CH144)</f>
        <v>151446.42857142855</v>
      </c>
      <c r="CJ144" s="2">
        <f>求节点(节奏总纲!S$4:S$363,BX$8:BX$367,$CH144)</f>
        <v>315150</v>
      </c>
      <c r="CK144" s="2">
        <f>求节点(节奏总纲!T$4:T$363,BY$8:BY$367,$CH144)</f>
        <v>379500</v>
      </c>
      <c r="CL144" s="2">
        <f>求节点(节奏总纲!U$4:U$363,BZ$8:BZ$367,$CH144)</f>
        <v>482978.57142857142</v>
      </c>
      <c r="CM144" s="2">
        <f>求节点(节奏总纲!V$4:V$363,CA$8:CA$367,$CH144)</f>
        <v>1005557.1428571427</v>
      </c>
    </row>
    <row r="145" spans="22:91" x14ac:dyDescent="0.2">
      <c r="V145" s="2">
        <v>138</v>
      </c>
      <c r="W145" s="2">
        <f t="shared" si="180"/>
        <v>30548.571428571428</v>
      </c>
      <c r="X145" s="2">
        <f t="shared" si="180"/>
        <v>59554.285714285717</v>
      </c>
      <c r="Y145" s="2">
        <f t="shared" si="181"/>
        <v>59554.285714285717</v>
      </c>
      <c r="Z145" s="2">
        <f t="shared" ref="Z145:AA145" si="195">Y145</f>
        <v>59554.285714285717</v>
      </c>
      <c r="AA145" s="2">
        <f t="shared" si="195"/>
        <v>59554.285714285717</v>
      </c>
      <c r="AQ145" s="2">
        <v>138</v>
      </c>
      <c r="AR145" s="2">
        <f t="shared" si="187"/>
        <v>16547.142857142859</v>
      </c>
      <c r="AS145" s="2">
        <f t="shared" si="187"/>
        <v>39265.714285714283</v>
      </c>
      <c r="AT145" s="2">
        <f t="shared" si="187"/>
        <v>57857.142857142855</v>
      </c>
      <c r="AU145" s="2">
        <f t="shared" si="187"/>
        <v>86785.71428571429</v>
      </c>
      <c r="AV145" s="2">
        <f t="shared" si="187"/>
        <v>162771.42857142858</v>
      </c>
      <c r="BK145" s="2">
        <v>138</v>
      </c>
      <c r="BL145" s="2">
        <f t="shared" si="188"/>
        <v>2468.5714285714284</v>
      </c>
      <c r="BM145" s="2">
        <f t="shared" si="188"/>
        <v>4320</v>
      </c>
      <c r="BN145" s="2">
        <f t="shared" si="188"/>
        <v>6788.5714285714284</v>
      </c>
      <c r="BO145" s="2">
        <f t="shared" si="188"/>
        <v>11725.714285714286</v>
      </c>
      <c r="BP145" s="2">
        <f t="shared" si="188"/>
        <v>106765.71428571429</v>
      </c>
      <c r="BV145" s="2">
        <v>138</v>
      </c>
      <c r="BW145" s="2">
        <f t="shared" si="175"/>
        <v>49564.285714285717</v>
      </c>
      <c r="BX145" s="2">
        <f t="shared" si="176"/>
        <v>103140</v>
      </c>
      <c r="BY145" s="2">
        <f t="shared" si="177"/>
        <v>124200.00000000001</v>
      </c>
      <c r="BZ145" s="2">
        <f t="shared" si="178"/>
        <v>158065.71428571429</v>
      </c>
      <c r="CA145" s="2">
        <f t="shared" si="179"/>
        <v>329091.42857142858</v>
      </c>
      <c r="CC145" s="41">
        <f t="shared" si="183"/>
        <v>0.61634241245136179</v>
      </c>
      <c r="CD145" s="41">
        <f t="shared" si="184"/>
        <v>0.33385214007782105</v>
      </c>
      <c r="CE145" s="41">
        <f t="shared" si="185"/>
        <v>4.9805447470817117E-2</v>
      </c>
      <c r="CH145" s="2">
        <v>138</v>
      </c>
      <c r="CI145" s="2">
        <f>求节点(节奏总纲!R$4:R$363,BW$8:BW$367,$CH145)</f>
        <v>151446.42857142855</v>
      </c>
      <c r="CJ145" s="2">
        <f>求节点(节奏总纲!S$4:S$363,BX$8:BX$367,$CH145)</f>
        <v>315150</v>
      </c>
      <c r="CK145" s="2">
        <f>求节点(节奏总纲!T$4:T$363,BY$8:BY$367,$CH145)</f>
        <v>379500</v>
      </c>
      <c r="CL145" s="2">
        <f>求节点(节奏总纲!U$4:U$363,BZ$8:BZ$367,$CH145)</f>
        <v>482978.57142857142</v>
      </c>
      <c r="CM145" s="2">
        <f>求节点(节奏总纲!V$4:V$363,CA$8:CA$367,$CH145)</f>
        <v>1005557.1428571427</v>
      </c>
    </row>
    <row r="146" spans="22:91" x14ac:dyDescent="0.2">
      <c r="V146" s="2">
        <v>139</v>
      </c>
      <c r="W146" s="2">
        <f t="shared" si="180"/>
        <v>30831.428571428572</v>
      </c>
      <c r="X146" s="2">
        <f t="shared" si="180"/>
        <v>60105.714285714283</v>
      </c>
      <c r="Y146" s="2">
        <f t="shared" si="181"/>
        <v>60105.714285714283</v>
      </c>
      <c r="Z146" s="2">
        <f t="shared" ref="Z146:AA146" si="196">Y146</f>
        <v>60105.714285714283</v>
      </c>
      <c r="AA146" s="2">
        <f t="shared" si="196"/>
        <v>60105.714285714283</v>
      </c>
      <c r="AQ146" s="2">
        <v>139</v>
      </c>
      <c r="AR146" s="2">
        <f t="shared" si="187"/>
        <v>16700.357142857141</v>
      </c>
      <c r="AS146" s="2">
        <f t="shared" si="187"/>
        <v>39629.285714285717</v>
      </c>
      <c r="AT146" s="2">
        <f t="shared" si="187"/>
        <v>58392.857142857145</v>
      </c>
      <c r="AU146" s="2">
        <f t="shared" si="187"/>
        <v>87589.28571428571</v>
      </c>
      <c r="AV146" s="2">
        <f t="shared" si="187"/>
        <v>164278.57142857142</v>
      </c>
      <c r="BK146" s="2">
        <v>139</v>
      </c>
      <c r="BL146" s="2">
        <f t="shared" si="188"/>
        <v>2491.4285714285716</v>
      </c>
      <c r="BM146" s="2">
        <f t="shared" si="188"/>
        <v>4360</v>
      </c>
      <c r="BN146" s="2">
        <f t="shared" si="188"/>
        <v>6851.4285714285716</v>
      </c>
      <c r="BO146" s="2">
        <f t="shared" si="188"/>
        <v>11834.285714285714</v>
      </c>
      <c r="BP146" s="2">
        <f t="shared" si="188"/>
        <v>107754.28571428571</v>
      </c>
      <c r="BV146" s="2">
        <v>139</v>
      </c>
      <c r="BW146" s="2">
        <f t="shared" si="175"/>
        <v>50023.214285714283</v>
      </c>
      <c r="BX146" s="2">
        <f t="shared" si="176"/>
        <v>104095</v>
      </c>
      <c r="BY146" s="2">
        <f t="shared" si="177"/>
        <v>125349.99999999999</v>
      </c>
      <c r="BZ146" s="2">
        <f t="shared" si="178"/>
        <v>159529.28571428571</v>
      </c>
      <c r="CA146" s="2">
        <f t="shared" si="179"/>
        <v>332138.57142857142</v>
      </c>
      <c r="CC146" s="41">
        <f t="shared" si="183"/>
        <v>0.6163424124513619</v>
      </c>
      <c r="CD146" s="41">
        <f t="shared" si="184"/>
        <v>0.33385214007782099</v>
      </c>
      <c r="CE146" s="41">
        <f t="shared" si="185"/>
        <v>4.9805447470817124E-2</v>
      </c>
      <c r="CH146" s="2">
        <v>139</v>
      </c>
      <c r="CI146" s="2">
        <f>求节点(节奏总纲!R$4:R$363,BW$8:BW$367,$CH146)</f>
        <v>151446.42857142855</v>
      </c>
      <c r="CJ146" s="2">
        <f>求节点(节奏总纲!S$4:S$363,BX$8:BX$367,$CH146)</f>
        <v>315150</v>
      </c>
      <c r="CK146" s="2">
        <f>求节点(节奏总纲!T$4:T$363,BY$8:BY$367,$CH146)</f>
        <v>379500</v>
      </c>
      <c r="CL146" s="2">
        <f>求节点(节奏总纲!U$4:U$363,BZ$8:BZ$367,$CH146)</f>
        <v>482978.57142857142</v>
      </c>
      <c r="CM146" s="2">
        <f>求节点(节奏总纲!V$4:V$363,CA$8:CA$367,$CH146)</f>
        <v>1005557.1428571427</v>
      </c>
    </row>
    <row r="147" spans="22:91" x14ac:dyDescent="0.2">
      <c r="V147" s="2">
        <v>140</v>
      </c>
      <c r="W147" s="2">
        <f t="shared" si="180"/>
        <v>31114.285714285714</v>
      </c>
      <c r="X147" s="2">
        <f t="shared" si="180"/>
        <v>60657.142857142855</v>
      </c>
      <c r="Y147" s="2">
        <f t="shared" si="181"/>
        <v>60657.142857142855</v>
      </c>
      <c r="Z147" s="2">
        <f t="shared" ref="Z147:AA147" si="197">Y147</f>
        <v>60657.142857142855</v>
      </c>
      <c r="AA147" s="2">
        <f t="shared" si="197"/>
        <v>60657.142857142855</v>
      </c>
      <c r="AQ147" s="2">
        <v>140</v>
      </c>
      <c r="AR147" s="2">
        <f t="shared" si="187"/>
        <v>16853.571428571428</v>
      </c>
      <c r="AS147" s="2">
        <f t="shared" si="187"/>
        <v>39992.857142857145</v>
      </c>
      <c r="AT147" s="2">
        <f t="shared" si="187"/>
        <v>58928.571428571428</v>
      </c>
      <c r="AU147" s="2">
        <f t="shared" si="187"/>
        <v>88392.857142857145</v>
      </c>
      <c r="AV147" s="2">
        <f t="shared" si="187"/>
        <v>165785.71428571429</v>
      </c>
      <c r="BK147" s="2">
        <v>140</v>
      </c>
      <c r="BL147" s="2">
        <f t="shared" si="188"/>
        <v>2514.2857142857142</v>
      </c>
      <c r="BM147" s="2">
        <f t="shared" si="188"/>
        <v>4400</v>
      </c>
      <c r="BN147" s="2">
        <f t="shared" si="188"/>
        <v>6914.2857142857147</v>
      </c>
      <c r="BO147" s="2">
        <f t="shared" si="188"/>
        <v>11942.857142857143</v>
      </c>
      <c r="BP147" s="2">
        <f t="shared" si="188"/>
        <v>108742.85714285714</v>
      </c>
      <c r="BV147" s="2">
        <v>140</v>
      </c>
      <c r="BW147" s="2">
        <f t="shared" si="175"/>
        <v>50482.142857142862</v>
      </c>
      <c r="BX147" s="2">
        <f t="shared" si="176"/>
        <v>105050</v>
      </c>
      <c r="BY147" s="2">
        <f t="shared" si="177"/>
        <v>126500</v>
      </c>
      <c r="BZ147" s="2">
        <f t="shared" si="178"/>
        <v>160992.85714285713</v>
      </c>
      <c r="CA147" s="2">
        <f t="shared" si="179"/>
        <v>335185.71428571432</v>
      </c>
      <c r="CC147" s="41">
        <f t="shared" si="183"/>
        <v>0.61634241245136179</v>
      </c>
      <c r="CD147" s="41">
        <f t="shared" si="184"/>
        <v>0.33385214007782094</v>
      </c>
      <c r="CE147" s="41">
        <f t="shared" si="185"/>
        <v>4.9805447470817117E-2</v>
      </c>
      <c r="CH147" s="2">
        <v>140</v>
      </c>
      <c r="CI147" s="2">
        <f>求节点(节奏总纲!R$4:R$363,BW$8:BW$367,$CH147)</f>
        <v>151446.42857142855</v>
      </c>
      <c r="CJ147" s="2">
        <f>求节点(节奏总纲!S$4:S$363,BX$8:BX$367,$CH147)</f>
        <v>315150</v>
      </c>
      <c r="CK147" s="2">
        <f>求节点(节奏总纲!T$4:T$363,BY$8:BY$367,$CH147)</f>
        <v>379500</v>
      </c>
      <c r="CL147" s="2">
        <f>求节点(节奏总纲!U$4:U$363,BZ$8:BZ$367,$CH147)</f>
        <v>482978.57142857142</v>
      </c>
      <c r="CM147" s="2">
        <f>求节点(节奏总纲!V$4:V$363,CA$8:CA$367,$CH147)</f>
        <v>1005557.1428571427</v>
      </c>
    </row>
    <row r="148" spans="22:91" x14ac:dyDescent="0.2">
      <c r="V148" s="2">
        <v>141</v>
      </c>
      <c r="W148" s="2">
        <f t="shared" si="180"/>
        <v>31397.142857142859</v>
      </c>
      <c r="X148" s="2">
        <f t="shared" si="180"/>
        <v>61208.571428571428</v>
      </c>
      <c r="Y148" s="2">
        <f t="shared" si="181"/>
        <v>61208.571428571428</v>
      </c>
      <c r="Z148" s="2">
        <f t="shared" ref="Z148:AA148" si="198">Y148</f>
        <v>61208.571428571428</v>
      </c>
      <c r="AA148" s="2">
        <f t="shared" si="198"/>
        <v>61208.571428571428</v>
      </c>
      <c r="AQ148" s="2">
        <v>141</v>
      </c>
      <c r="AR148" s="2">
        <f t="shared" ref="AR148:AV157" si="199">MAX($AQ148-$C$2,0)*INDEX($AN$8:$AN$44,MATCH(AR$7,$AO$8:$AO$44,0))/$C$3</f>
        <v>17006.785714285714</v>
      </c>
      <c r="AS148" s="2">
        <f t="shared" si="199"/>
        <v>40356.428571428572</v>
      </c>
      <c r="AT148" s="2">
        <f t="shared" si="199"/>
        <v>59464.285714285717</v>
      </c>
      <c r="AU148" s="2">
        <f t="shared" si="199"/>
        <v>89196.428571428565</v>
      </c>
      <c r="AV148" s="2">
        <f t="shared" si="199"/>
        <v>167292.85714285713</v>
      </c>
      <c r="BK148" s="2">
        <v>141</v>
      </c>
      <c r="BL148" s="2">
        <f t="shared" ref="BL148:BP157" si="200">IFERROR(MAX($BK148-$C$2,0)*INDEX($BH$8:$BH$16,MATCH(BL$7,$BI$8:$BI$16,0))*$C$4/$C$3,BM148)</f>
        <v>2537.1428571428573</v>
      </c>
      <c r="BM148" s="2">
        <f t="shared" si="200"/>
        <v>4440</v>
      </c>
      <c r="BN148" s="2">
        <f t="shared" si="200"/>
        <v>6977.1428571428569</v>
      </c>
      <c r="BO148" s="2">
        <f t="shared" si="200"/>
        <v>12051.428571428571</v>
      </c>
      <c r="BP148" s="2">
        <f t="shared" si="200"/>
        <v>109731.42857142857</v>
      </c>
      <c r="BV148" s="2">
        <v>141</v>
      </c>
      <c r="BW148" s="2">
        <f t="shared" si="175"/>
        <v>50941.071428571428</v>
      </c>
      <c r="BX148" s="2">
        <f t="shared" si="176"/>
        <v>106005</v>
      </c>
      <c r="BY148" s="2">
        <f t="shared" si="177"/>
        <v>127650</v>
      </c>
      <c r="BZ148" s="2">
        <f t="shared" si="178"/>
        <v>162456.42857142858</v>
      </c>
      <c r="CA148" s="2">
        <f t="shared" si="179"/>
        <v>338232.8571428571</v>
      </c>
      <c r="CC148" s="41">
        <f t="shared" si="183"/>
        <v>0.6163424124513619</v>
      </c>
      <c r="CD148" s="41">
        <f t="shared" si="184"/>
        <v>0.33385214007782099</v>
      </c>
      <c r="CE148" s="41">
        <f t="shared" si="185"/>
        <v>4.9805447470817124E-2</v>
      </c>
      <c r="CH148" s="2">
        <v>141</v>
      </c>
      <c r="CI148" s="2">
        <f>求节点(节奏总纲!R$4:R$363,BW$8:BW$367,$CH148)</f>
        <v>151446.42857142855</v>
      </c>
      <c r="CJ148" s="2">
        <f>求节点(节奏总纲!S$4:S$363,BX$8:BX$367,$CH148)</f>
        <v>315150</v>
      </c>
      <c r="CK148" s="2">
        <f>求节点(节奏总纲!T$4:T$363,BY$8:BY$367,$CH148)</f>
        <v>379500</v>
      </c>
      <c r="CL148" s="2">
        <f>求节点(节奏总纲!U$4:U$363,BZ$8:BZ$367,$CH148)</f>
        <v>482978.57142857142</v>
      </c>
      <c r="CM148" s="2">
        <f>求节点(节奏总纲!V$4:V$363,CA$8:CA$367,$CH148)</f>
        <v>1005557.1428571427</v>
      </c>
    </row>
    <row r="149" spans="22:91" x14ac:dyDescent="0.2">
      <c r="V149" s="2">
        <v>142</v>
      </c>
      <c r="W149" s="2">
        <f t="shared" si="180"/>
        <v>31680</v>
      </c>
      <c r="X149" s="2">
        <f t="shared" si="180"/>
        <v>61760</v>
      </c>
      <c r="Y149" s="2">
        <f t="shared" si="181"/>
        <v>61760</v>
      </c>
      <c r="Z149" s="2">
        <f t="shared" ref="Z149:AA149" si="201">Y149</f>
        <v>61760</v>
      </c>
      <c r="AA149" s="2">
        <f t="shared" si="201"/>
        <v>61760</v>
      </c>
      <c r="AQ149" s="2">
        <v>142</v>
      </c>
      <c r="AR149" s="2">
        <f t="shared" si="199"/>
        <v>17160</v>
      </c>
      <c r="AS149" s="2">
        <f t="shared" si="199"/>
        <v>40720</v>
      </c>
      <c r="AT149" s="2">
        <f t="shared" si="199"/>
        <v>60000</v>
      </c>
      <c r="AU149" s="2">
        <f t="shared" si="199"/>
        <v>90000</v>
      </c>
      <c r="AV149" s="2">
        <f t="shared" si="199"/>
        <v>168800</v>
      </c>
      <c r="BK149" s="2">
        <v>142</v>
      </c>
      <c r="BL149" s="2">
        <f t="shared" si="200"/>
        <v>2560</v>
      </c>
      <c r="BM149" s="2">
        <f t="shared" si="200"/>
        <v>4480</v>
      </c>
      <c r="BN149" s="2">
        <f t="shared" si="200"/>
        <v>7040</v>
      </c>
      <c r="BO149" s="2">
        <f t="shared" si="200"/>
        <v>12160</v>
      </c>
      <c r="BP149" s="2">
        <f t="shared" si="200"/>
        <v>110720</v>
      </c>
      <c r="BV149" s="2">
        <v>142</v>
      </c>
      <c r="BW149" s="2">
        <f t="shared" si="175"/>
        <v>51400</v>
      </c>
      <c r="BX149" s="2">
        <f t="shared" si="176"/>
        <v>106960</v>
      </c>
      <c r="BY149" s="2">
        <f t="shared" si="177"/>
        <v>128800</v>
      </c>
      <c r="BZ149" s="2">
        <f t="shared" si="178"/>
        <v>163920</v>
      </c>
      <c r="CA149" s="2">
        <f t="shared" si="179"/>
        <v>341280</v>
      </c>
      <c r="CC149" s="41">
        <f t="shared" si="183"/>
        <v>0.6163424124513619</v>
      </c>
      <c r="CD149" s="41">
        <f t="shared" si="184"/>
        <v>0.33385214007782099</v>
      </c>
      <c r="CE149" s="41">
        <f t="shared" si="185"/>
        <v>4.9805447470817124E-2</v>
      </c>
      <c r="CH149" s="2">
        <v>142</v>
      </c>
      <c r="CI149" s="2">
        <f>求节点(节奏总纲!R$4:R$363,BW$8:BW$367,$CH149)</f>
        <v>151446.42857142855</v>
      </c>
      <c r="CJ149" s="2">
        <f>求节点(节奏总纲!S$4:S$363,BX$8:BX$367,$CH149)</f>
        <v>315150</v>
      </c>
      <c r="CK149" s="2">
        <f>求节点(节奏总纲!T$4:T$363,BY$8:BY$367,$CH149)</f>
        <v>379500</v>
      </c>
      <c r="CL149" s="2">
        <f>求节点(节奏总纲!U$4:U$363,BZ$8:BZ$367,$CH149)</f>
        <v>482978.57142857142</v>
      </c>
      <c r="CM149" s="2">
        <f>求节点(节奏总纲!V$4:V$363,CA$8:CA$367,$CH149)</f>
        <v>1005557.1428571427</v>
      </c>
    </row>
    <row r="150" spans="22:91" x14ac:dyDescent="0.2">
      <c r="V150" s="2">
        <v>143</v>
      </c>
      <c r="W150" s="2">
        <f t="shared" si="180"/>
        <v>31962.857142857141</v>
      </c>
      <c r="X150" s="2">
        <f t="shared" si="180"/>
        <v>62311.428571428572</v>
      </c>
      <c r="Y150" s="2">
        <f t="shared" si="181"/>
        <v>62311.428571428572</v>
      </c>
      <c r="Z150" s="2">
        <f t="shared" ref="Z150:AA150" si="202">Y150</f>
        <v>62311.428571428572</v>
      </c>
      <c r="AA150" s="2">
        <f t="shared" si="202"/>
        <v>62311.428571428572</v>
      </c>
      <c r="AQ150" s="2">
        <v>143</v>
      </c>
      <c r="AR150" s="2">
        <f t="shared" si="199"/>
        <v>17313.214285714286</v>
      </c>
      <c r="AS150" s="2">
        <f t="shared" si="199"/>
        <v>41083.571428571428</v>
      </c>
      <c r="AT150" s="2">
        <f t="shared" si="199"/>
        <v>60535.714285714283</v>
      </c>
      <c r="AU150" s="2">
        <f t="shared" si="199"/>
        <v>90803.571428571435</v>
      </c>
      <c r="AV150" s="2">
        <f t="shared" si="199"/>
        <v>170307.14285714287</v>
      </c>
      <c r="BK150" s="2">
        <v>143</v>
      </c>
      <c r="BL150" s="2">
        <f t="shared" si="200"/>
        <v>2582.8571428571427</v>
      </c>
      <c r="BM150" s="2">
        <f t="shared" si="200"/>
        <v>4520</v>
      </c>
      <c r="BN150" s="2">
        <f t="shared" si="200"/>
        <v>7102.8571428571431</v>
      </c>
      <c r="BO150" s="2">
        <f t="shared" si="200"/>
        <v>12268.571428571429</v>
      </c>
      <c r="BP150" s="2">
        <f t="shared" si="200"/>
        <v>111708.57142857143</v>
      </c>
      <c r="BV150" s="2">
        <v>143</v>
      </c>
      <c r="BW150" s="2">
        <f t="shared" si="175"/>
        <v>51858.928571428572</v>
      </c>
      <c r="BX150" s="2">
        <f t="shared" si="176"/>
        <v>107915</v>
      </c>
      <c r="BY150" s="2">
        <f t="shared" si="177"/>
        <v>129950</v>
      </c>
      <c r="BZ150" s="2">
        <f t="shared" si="178"/>
        <v>165383.57142857142</v>
      </c>
      <c r="CA150" s="2">
        <f t="shared" si="179"/>
        <v>344327.1428571429</v>
      </c>
      <c r="CC150" s="41">
        <f t="shared" si="183"/>
        <v>0.61634241245136179</v>
      </c>
      <c r="CD150" s="41">
        <f t="shared" si="184"/>
        <v>0.33385214007782099</v>
      </c>
      <c r="CE150" s="41">
        <f t="shared" si="185"/>
        <v>4.9805447470817117E-2</v>
      </c>
      <c r="CH150" s="2">
        <v>143</v>
      </c>
      <c r="CI150" s="2">
        <f>求节点(节奏总纲!R$4:R$363,BW$8:BW$367,$CH150)</f>
        <v>151446.42857142855</v>
      </c>
      <c r="CJ150" s="2">
        <f>求节点(节奏总纲!S$4:S$363,BX$8:BX$367,$CH150)</f>
        <v>315150</v>
      </c>
      <c r="CK150" s="2">
        <f>求节点(节奏总纲!T$4:T$363,BY$8:BY$367,$CH150)</f>
        <v>379500</v>
      </c>
      <c r="CL150" s="2">
        <f>求节点(节奏总纲!U$4:U$363,BZ$8:BZ$367,$CH150)</f>
        <v>482978.57142857142</v>
      </c>
      <c r="CM150" s="2">
        <f>求节点(节奏总纲!V$4:V$363,CA$8:CA$367,$CH150)</f>
        <v>1005557.1428571427</v>
      </c>
    </row>
    <row r="151" spans="22:91" x14ac:dyDescent="0.2">
      <c r="V151" s="2">
        <v>144</v>
      </c>
      <c r="W151" s="2">
        <f t="shared" si="180"/>
        <v>32245.714285714286</v>
      </c>
      <c r="X151" s="2">
        <f t="shared" si="180"/>
        <v>62862.857142857145</v>
      </c>
      <c r="Y151" s="2">
        <f t="shared" si="181"/>
        <v>62862.857142857145</v>
      </c>
      <c r="Z151" s="2">
        <f t="shared" ref="Z151:AA151" si="203">Y151</f>
        <v>62862.857142857145</v>
      </c>
      <c r="AA151" s="2">
        <f t="shared" si="203"/>
        <v>62862.857142857145</v>
      </c>
      <c r="AQ151" s="2">
        <v>144</v>
      </c>
      <c r="AR151" s="2">
        <f t="shared" si="199"/>
        <v>17466.428571428572</v>
      </c>
      <c r="AS151" s="2">
        <f t="shared" si="199"/>
        <v>41447.142857142855</v>
      </c>
      <c r="AT151" s="2">
        <f t="shared" si="199"/>
        <v>61071.428571428572</v>
      </c>
      <c r="AU151" s="2">
        <f t="shared" si="199"/>
        <v>91607.142857142855</v>
      </c>
      <c r="AV151" s="2">
        <f t="shared" si="199"/>
        <v>171814.28571428571</v>
      </c>
      <c r="BK151" s="2">
        <v>144</v>
      </c>
      <c r="BL151" s="2">
        <f t="shared" si="200"/>
        <v>2605.7142857142858</v>
      </c>
      <c r="BM151" s="2">
        <f t="shared" si="200"/>
        <v>4560</v>
      </c>
      <c r="BN151" s="2">
        <f t="shared" si="200"/>
        <v>7165.7142857142853</v>
      </c>
      <c r="BO151" s="2">
        <f t="shared" si="200"/>
        <v>12377.142857142857</v>
      </c>
      <c r="BP151" s="2">
        <f t="shared" si="200"/>
        <v>112697.14285714286</v>
      </c>
      <c r="BV151" s="2">
        <v>144</v>
      </c>
      <c r="BW151" s="2">
        <f t="shared" si="175"/>
        <v>52317.857142857138</v>
      </c>
      <c r="BX151" s="2">
        <f t="shared" si="176"/>
        <v>108870</v>
      </c>
      <c r="BY151" s="2">
        <f t="shared" si="177"/>
        <v>131100</v>
      </c>
      <c r="BZ151" s="2">
        <f t="shared" si="178"/>
        <v>166847.14285714287</v>
      </c>
      <c r="CA151" s="2">
        <f t="shared" si="179"/>
        <v>347374.28571428568</v>
      </c>
      <c r="CC151" s="41">
        <f t="shared" si="183"/>
        <v>0.6163424124513619</v>
      </c>
      <c r="CD151" s="41">
        <f t="shared" si="184"/>
        <v>0.33385214007782105</v>
      </c>
      <c r="CE151" s="41">
        <f t="shared" si="185"/>
        <v>4.9805447470817124E-2</v>
      </c>
      <c r="CH151" s="2">
        <v>144</v>
      </c>
      <c r="CI151" s="2">
        <f>求节点(节奏总纲!R$4:R$363,BW$8:BW$367,$CH151)</f>
        <v>151446.42857142855</v>
      </c>
      <c r="CJ151" s="2">
        <f>求节点(节奏总纲!S$4:S$363,BX$8:BX$367,$CH151)</f>
        <v>315150</v>
      </c>
      <c r="CK151" s="2">
        <f>求节点(节奏总纲!T$4:T$363,BY$8:BY$367,$CH151)</f>
        <v>379500</v>
      </c>
      <c r="CL151" s="2">
        <f>求节点(节奏总纲!U$4:U$363,BZ$8:BZ$367,$CH151)</f>
        <v>482978.57142857142</v>
      </c>
      <c r="CM151" s="2">
        <f>求节点(节奏总纲!V$4:V$363,CA$8:CA$367,$CH151)</f>
        <v>1005557.1428571427</v>
      </c>
    </row>
    <row r="152" spans="22:91" x14ac:dyDescent="0.2">
      <c r="V152" s="2">
        <v>145</v>
      </c>
      <c r="W152" s="2">
        <f t="shared" si="180"/>
        <v>32528.571428571428</v>
      </c>
      <c r="X152" s="2">
        <f t="shared" si="180"/>
        <v>63414.285714285717</v>
      </c>
      <c r="Y152" s="2">
        <f t="shared" si="181"/>
        <v>63414.285714285717</v>
      </c>
      <c r="Z152" s="2">
        <f t="shared" ref="Z152:AA152" si="204">Y152</f>
        <v>63414.285714285717</v>
      </c>
      <c r="AA152" s="2">
        <f t="shared" si="204"/>
        <v>63414.285714285717</v>
      </c>
      <c r="AQ152" s="2">
        <v>145</v>
      </c>
      <c r="AR152" s="2">
        <f t="shared" si="199"/>
        <v>17619.642857142859</v>
      </c>
      <c r="AS152" s="2">
        <f t="shared" si="199"/>
        <v>41810.714285714283</v>
      </c>
      <c r="AT152" s="2">
        <f t="shared" si="199"/>
        <v>61607.142857142855</v>
      </c>
      <c r="AU152" s="2">
        <f t="shared" si="199"/>
        <v>92410.71428571429</v>
      </c>
      <c r="AV152" s="2">
        <f t="shared" si="199"/>
        <v>173321.42857142858</v>
      </c>
      <c r="BK152" s="2">
        <v>145</v>
      </c>
      <c r="BL152" s="2">
        <f t="shared" si="200"/>
        <v>2628.5714285714284</v>
      </c>
      <c r="BM152" s="2">
        <f t="shared" si="200"/>
        <v>4600</v>
      </c>
      <c r="BN152" s="2">
        <f t="shared" si="200"/>
        <v>7228.5714285714284</v>
      </c>
      <c r="BO152" s="2">
        <f t="shared" si="200"/>
        <v>12485.714285714286</v>
      </c>
      <c r="BP152" s="2">
        <f t="shared" si="200"/>
        <v>113685.71428571429</v>
      </c>
      <c r="BV152" s="2">
        <v>145</v>
      </c>
      <c r="BW152" s="2">
        <f t="shared" si="175"/>
        <v>52776.785714285717</v>
      </c>
      <c r="BX152" s="2">
        <f t="shared" si="176"/>
        <v>109825</v>
      </c>
      <c r="BY152" s="2">
        <f t="shared" si="177"/>
        <v>132250</v>
      </c>
      <c r="BZ152" s="2">
        <f t="shared" si="178"/>
        <v>168310.71428571429</v>
      </c>
      <c r="CA152" s="2">
        <f t="shared" si="179"/>
        <v>350421.42857142858</v>
      </c>
      <c r="CC152" s="41">
        <f t="shared" si="183"/>
        <v>0.61634241245136179</v>
      </c>
      <c r="CD152" s="41">
        <f t="shared" si="184"/>
        <v>0.33385214007782105</v>
      </c>
      <c r="CE152" s="41">
        <f t="shared" si="185"/>
        <v>4.9805447470817117E-2</v>
      </c>
      <c r="CH152" s="2">
        <v>145</v>
      </c>
      <c r="CI152" s="2">
        <f>求节点(节奏总纲!R$4:R$363,BW$8:BW$367,$CH152)</f>
        <v>151446.42857142855</v>
      </c>
      <c r="CJ152" s="2">
        <f>求节点(节奏总纲!S$4:S$363,BX$8:BX$367,$CH152)</f>
        <v>315150</v>
      </c>
      <c r="CK152" s="2">
        <f>求节点(节奏总纲!T$4:T$363,BY$8:BY$367,$CH152)</f>
        <v>379500</v>
      </c>
      <c r="CL152" s="2">
        <f>求节点(节奏总纲!U$4:U$363,BZ$8:BZ$367,$CH152)</f>
        <v>482978.57142857142</v>
      </c>
      <c r="CM152" s="2">
        <f>求节点(节奏总纲!V$4:V$363,CA$8:CA$367,$CH152)</f>
        <v>1005557.1428571427</v>
      </c>
    </row>
    <row r="153" spans="22:91" x14ac:dyDescent="0.2">
      <c r="V153" s="2">
        <v>146</v>
      </c>
      <c r="W153" s="2">
        <f t="shared" si="180"/>
        <v>32811.428571428572</v>
      </c>
      <c r="X153" s="2">
        <f t="shared" si="180"/>
        <v>63965.714285714283</v>
      </c>
      <c r="Y153" s="2">
        <f t="shared" si="181"/>
        <v>63965.714285714283</v>
      </c>
      <c r="Z153" s="2">
        <f t="shared" ref="Z153:AA153" si="205">Y153</f>
        <v>63965.714285714283</v>
      </c>
      <c r="AA153" s="2">
        <f t="shared" si="205"/>
        <v>63965.714285714283</v>
      </c>
      <c r="AQ153" s="2">
        <v>146</v>
      </c>
      <c r="AR153" s="2">
        <f t="shared" si="199"/>
        <v>17772.857142857141</v>
      </c>
      <c r="AS153" s="2">
        <f t="shared" si="199"/>
        <v>42174.285714285717</v>
      </c>
      <c r="AT153" s="2">
        <f t="shared" si="199"/>
        <v>62142.857142857145</v>
      </c>
      <c r="AU153" s="2">
        <f t="shared" si="199"/>
        <v>93214.28571428571</v>
      </c>
      <c r="AV153" s="2">
        <f t="shared" si="199"/>
        <v>174828.57142857142</v>
      </c>
      <c r="BK153" s="2">
        <v>146</v>
      </c>
      <c r="BL153" s="2">
        <f t="shared" si="200"/>
        <v>2651.4285714285716</v>
      </c>
      <c r="BM153" s="2">
        <f t="shared" si="200"/>
        <v>4640</v>
      </c>
      <c r="BN153" s="2">
        <f t="shared" si="200"/>
        <v>7291.4285714285716</v>
      </c>
      <c r="BO153" s="2">
        <f t="shared" si="200"/>
        <v>12594.285714285714</v>
      </c>
      <c r="BP153" s="2">
        <f t="shared" si="200"/>
        <v>114674.28571428571</v>
      </c>
      <c r="BV153" s="2">
        <v>146</v>
      </c>
      <c r="BW153" s="2">
        <f t="shared" si="175"/>
        <v>53235.714285714283</v>
      </c>
      <c r="BX153" s="2">
        <f t="shared" si="176"/>
        <v>110780</v>
      </c>
      <c r="BY153" s="2">
        <f t="shared" si="177"/>
        <v>133400</v>
      </c>
      <c r="BZ153" s="2">
        <f t="shared" si="178"/>
        <v>169774.28571428571</v>
      </c>
      <c r="CA153" s="2">
        <f t="shared" si="179"/>
        <v>353468.57142857142</v>
      </c>
      <c r="CC153" s="41">
        <f t="shared" si="183"/>
        <v>0.6163424124513619</v>
      </c>
      <c r="CD153" s="41">
        <f t="shared" si="184"/>
        <v>0.33385214007782099</v>
      </c>
      <c r="CE153" s="41">
        <f t="shared" si="185"/>
        <v>4.9805447470817124E-2</v>
      </c>
      <c r="CH153" s="2">
        <v>146</v>
      </c>
      <c r="CI153" s="2">
        <f>求节点(节奏总纲!R$4:R$363,BW$8:BW$367,$CH153)</f>
        <v>151446.42857142855</v>
      </c>
      <c r="CJ153" s="2">
        <f>求节点(节奏总纲!S$4:S$363,BX$8:BX$367,$CH153)</f>
        <v>315150</v>
      </c>
      <c r="CK153" s="2">
        <f>求节点(节奏总纲!T$4:T$363,BY$8:BY$367,$CH153)</f>
        <v>379500</v>
      </c>
      <c r="CL153" s="2">
        <f>求节点(节奏总纲!U$4:U$363,BZ$8:BZ$367,$CH153)</f>
        <v>482978.57142857142</v>
      </c>
      <c r="CM153" s="2">
        <f>求节点(节奏总纲!V$4:V$363,CA$8:CA$367,$CH153)</f>
        <v>1005557.1428571427</v>
      </c>
    </row>
    <row r="154" spans="22:91" x14ac:dyDescent="0.2">
      <c r="V154" s="2">
        <v>147</v>
      </c>
      <c r="W154" s="2">
        <f t="shared" si="180"/>
        <v>33094.285714285717</v>
      </c>
      <c r="X154" s="2">
        <f t="shared" si="180"/>
        <v>64517.142857142855</v>
      </c>
      <c r="Y154" s="2">
        <f t="shared" si="181"/>
        <v>64517.142857142855</v>
      </c>
      <c r="Z154" s="2">
        <f t="shared" ref="Z154:AA154" si="206">Y154</f>
        <v>64517.142857142855</v>
      </c>
      <c r="AA154" s="2">
        <f t="shared" si="206"/>
        <v>64517.142857142855</v>
      </c>
      <c r="AQ154" s="2">
        <v>147</v>
      </c>
      <c r="AR154" s="2">
        <f t="shared" si="199"/>
        <v>17926.071428571428</v>
      </c>
      <c r="AS154" s="2">
        <f t="shared" si="199"/>
        <v>42537.857142857145</v>
      </c>
      <c r="AT154" s="2">
        <f t="shared" si="199"/>
        <v>62678.571428571428</v>
      </c>
      <c r="AU154" s="2">
        <f t="shared" si="199"/>
        <v>94017.857142857145</v>
      </c>
      <c r="AV154" s="2">
        <f t="shared" si="199"/>
        <v>176335.71428571429</v>
      </c>
      <c r="BK154" s="2">
        <v>147</v>
      </c>
      <c r="BL154" s="2">
        <f t="shared" si="200"/>
        <v>2674.2857142857142</v>
      </c>
      <c r="BM154" s="2">
        <f t="shared" si="200"/>
        <v>4680</v>
      </c>
      <c r="BN154" s="2">
        <f t="shared" si="200"/>
        <v>7354.2857142857147</v>
      </c>
      <c r="BO154" s="2">
        <f t="shared" si="200"/>
        <v>12702.857142857143</v>
      </c>
      <c r="BP154" s="2">
        <f t="shared" si="200"/>
        <v>115662.85714285714</v>
      </c>
      <c r="BV154" s="2">
        <v>147</v>
      </c>
      <c r="BW154" s="2">
        <f t="shared" si="175"/>
        <v>53694.642857142862</v>
      </c>
      <c r="BX154" s="2">
        <f t="shared" si="176"/>
        <v>111735</v>
      </c>
      <c r="BY154" s="2">
        <f t="shared" si="177"/>
        <v>134550</v>
      </c>
      <c r="BZ154" s="2">
        <f t="shared" si="178"/>
        <v>171237.85714285713</v>
      </c>
      <c r="CA154" s="2">
        <f t="shared" si="179"/>
        <v>356515.71428571432</v>
      </c>
      <c r="CC154" s="41">
        <f t="shared" si="183"/>
        <v>0.6163424124513619</v>
      </c>
      <c r="CD154" s="41">
        <f t="shared" si="184"/>
        <v>0.33385214007782094</v>
      </c>
      <c r="CE154" s="41">
        <f t="shared" si="185"/>
        <v>4.9805447470817117E-2</v>
      </c>
      <c r="CH154" s="2">
        <v>147</v>
      </c>
      <c r="CI154" s="2">
        <f>求节点(节奏总纲!R$4:R$363,BW$8:BW$367,$CH154)</f>
        <v>151446.42857142855</v>
      </c>
      <c r="CJ154" s="2">
        <f>求节点(节奏总纲!S$4:S$363,BX$8:BX$367,$CH154)</f>
        <v>315150</v>
      </c>
      <c r="CK154" s="2">
        <f>求节点(节奏总纲!T$4:T$363,BY$8:BY$367,$CH154)</f>
        <v>379500</v>
      </c>
      <c r="CL154" s="2">
        <f>求节点(节奏总纲!U$4:U$363,BZ$8:BZ$367,$CH154)</f>
        <v>482978.57142857142</v>
      </c>
      <c r="CM154" s="2">
        <f>求节点(节奏总纲!V$4:V$363,CA$8:CA$367,$CH154)</f>
        <v>1005557.1428571427</v>
      </c>
    </row>
    <row r="155" spans="22:91" x14ac:dyDescent="0.2">
      <c r="V155" s="2">
        <v>148</v>
      </c>
      <c r="W155" s="2">
        <f t="shared" si="180"/>
        <v>33377.142857142855</v>
      </c>
      <c r="X155" s="2">
        <f t="shared" si="180"/>
        <v>65068.571428571428</v>
      </c>
      <c r="Y155" s="2">
        <f t="shared" si="181"/>
        <v>65068.571428571428</v>
      </c>
      <c r="Z155" s="2">
        <f t="shared" ref="Z155:AA155" si="207">Y155</f>
        <v>65068.571428571428</v>
      </c>
      <c r="AA155" s="2">
        <f t="shared" si="207"/>
        <v>65068.571428571428</v>
      </c>
      <c r="AQ155" s="2">
        <v>148</v>
      </c>
      <c r="AR155" s="2">
        <f t="shared" si="199"/>
        <v>18079.285714285714</v>
      </c>
      <c r="AS155" s="2">
        <f t="shared" si="199"/>
        <v>42901.428571428572</v>
      </c>
      <c r="AT155" s="2">
        <f t="shared" si="199"/>
        <v>63214.285714285717</v>
      </c>
      <c r="AU155" s="2">
        <f t="shared" si="199"/>
        <v>94821.428571428565</v>
      </c>
      <c r="AV155" s="2">
        <f t="shared" si="199"/>
        <v>177842.85714285713</v>
      </c>
      <c r="BK155" s="2">
        <v>148</v>
      </c>
      <c r="BL155" s="2">
        <f t="shared" si="200"/>
        <v>2697.1428571428573</v>
      </c>
      <c r="BM155" s="2">
        <f t="shared" si="200"/>
        <v>4720</v>
      </c>
      <c r="BN155" s="2">
        <f t="shared" si="200"/>
        <v>7417.1428571428569</v>
      </c>
      <c r="BO155" s="2">
        <f t="shared" si="200"/>
        <v>12811.428571428571</v>
      </c>
      <c r="BP155" s="2">
        <f t="shared" si="200"/>
        <v>116651.42857142857</v>
      </c>
      <c r="BV155" s="2">
        <v>148</v>
      </c>
      <c r="BW155" s="2">
        <f t="shared" si="175"/>
        <v>54153.57142857142</v>
      </c>
      <c r="BX155" s="2">
        <f t="shared" si="176"/>
        <v>112690</v>
      </c>
      <c r="BY155" s="2">
        <f t="shared" si="177"/>
        <v>135700</v>
      </c>
      <c r="BZ155" s="2">
        <f t="shared" si="178"/>
        <v>172701.42857142858</v>
      </c>
      <c r="CA155" s="2">
        <f t="shared" si="179"/>
        <v>359562.8571428571</v>
      </c>
      <c r="CC155" s="41">
        <f t="shared" si="183"/>
        <v>0.6163424124513619</v>
      </c>
      <c r="CD155" s="41">
        <f t="shared" si="184"/>
        <v>0.33385214007782105</v>
      </c>
      <c r="CE155" s="41">
        <f t="shared" si="185"/>
        <v>4.9805447470817131E-2</v>
      </c>
      <c r="CH155" s="2">
        <v>148</v>
      </c>
      <c r="CI155" s="2">
        <f>求节点(节奏总纲!R$4:R$363,BW$8:BW$367,$CH155)</f>
        <v>151446.42857142855</v>
      </c>
      <c r="CJ155" s="2">
        <f>求节点(节奏总纲!S$4:S$363,BX$8:BX$367,$CH155)</f>
        <v>315150</v>
      </c>
      <c r="CK155" s="2">
        <f>求节点(节奏总纲!T$4:T$363,BY$8:BY$367,$CH155)</f>
        <v>379500</v>
      </c>
      <c r="CL155" s="2">
        <f>求节点(节奏总纲!U$4:U$363,BZ$8:BZ$367,$CH155)</f>
        <v>482978.57142857142</v>
      </c>
      <c r="CM155" s="2">
        <f>求节点(节奏总纲!V$4:V$363,CA$8:CA$367,$CH155)</f>
        <v>1005557.1428571427</v>
      </c>
    </row>
    <row r="156" spans="22:91" x14ac:dyDescent="0.2">
      <c r="V156" s="2">
        <v>149</v>
      </c>
      <c r="W156" s="2">
        <f t="shared" si="180"/>
        <v>33660</v>
      </c>
      <c r="X156" s="2">
        <f t="shared" si="180"/>
        <v>65620</v>
      </c>
      <c r="Y156" s="2">
        <f t="shared" si="181"/>
        <v>65620</v>
      </c>
      <c r="Z156" s="2">
        <f t="shared" ref="Z156:AA156" si="208">Y156</f>
        <v>65620</v>
      </c>
      <c r="AA156" s="2">
        <f t="shared" si="208"/>
        <v>65620</v>
      </c>
      <c r="AQ156" s="2">
        <v>149</v>
      </c>
      <c r="AR156" s="2">
        <f t="shared" si="199"/>
        <v>18232.5</v>
      </c>
      <c r="AS156" s="2">
        <f t="shared" si="199"/>
        <v>43265</v>
      </c>
      <c r="AT156" s="2">
        <f t="shared" si="199"/>
        <v>63750</v>
      </c>
      <c r="AU156" s="2">
        <f t="shared" si="199"/>
        <v>95625</v>
      </c>
      <c r="AV156" s="2">
        <f t="shared" si="199"/>
        <v>179350</v>
      </c>
      <c r="BK156" s="2">
        <v>149</v>
      </c>
      <c r="BL156" s="2">
        <f t="shared" si="200"/>
        <v>2720</v>
      </c>
      <c r="BM156" s="2">
        <f t="shared" si="200"/>
        <v>4760</v>
      </c>
      <c r="BN156" s="2">
        <f t="shared" si="200"/>
        <v>7480</v>
      </c>
      <c r="BO156" s="2">
        <f t="shared" si="200"/>
        <v>12920</v>
      </c>
      <c r="BP156" s="2">
        <f t="shared" si="200"/>
        <v>117640</v>
      </c>
      <c r="BV156" s="2">
        <v>149</v>
      </c>
      <c r="BW156" s="2">
        <f t="shared" si="175"/>
        <v>54612.5</v>
      </c>
      <c r="BX156" s="2">
        <f t="shared" si="176"/>
        <v>113645</v>
      </c>
      <c r="BY156" s="2">
        <f t="shared" si="177"/>
        <v>136850</v>
      </c>
      <c r="BZ156" s="2">
        <f t="shared" si="178"/>
        <v>174165</v>
      </c>
      <c r="CA156" s="2">
        <f t="shared" si="179"/>
        <v>362610</v>
      </c>
      <c r="CC156" s="41">
        <f t="shared" si="183"/>
        <v>0.6163424124513619</v>
      </c>
      <c r="CD156" s="41">
        <f t="shared" si="184"/>
        <v>0.33385214007782099</v>
      </c>
      <c r="CE156" s="41">
        <f t="shared" si="185"/>
        <v>4.9805447470817124E-2</v>
      </c>
      <c r="CH156" s="2">
        <v>149</v>
      </c>
      <c r="CI156" s="2">
        <f>求节点(节奏总纲!R$4:R$363,BW$8:BW$367,$CH156)</f>
        <v>151446.42857142855</v>
      </c>
      <c r="CJ156" s="2">
        <f>求节点(节奏总纲!S$4:S$363,BX$8:BX$367,$CH156)</f>
        <v>315150</v>
      </c>
      <c r="CK156" s="2">
        <f>求节点(节奏总纲!T$4:T$363,BY$8:BY$367,$CH156)</f>
        <v>379500</v>
      </c>
      <c r="CL156" s="2">
        <f>求节点(节奏总纲!U$4:U$363,BZ$8:BZ$367,$CH156)</f>
        <v>482978.57142857142</v>
      </c>
      <c r="CM156" s="2">
        <f>求节点(节奏总纲!V$4:V$363,CA$8:CA$367,$CH156)</f>
        <v>1005557.1428571427</v>
      </c>
    </row>
    <row r="157" spans="22:91" x14ac:dyDescent="0.2">
      <c r="V157" s="2">
        <v>150</v>
      </c>
      <c r="W157" s="2">
        <f t="shared" si="180"/>
        <v>33942.857142857145</v>
      </c>
      <c r="X157" s="2">
        <f t="shared" si="180"/>
        <v>66171.428571428565</v>
      </c>
      <c r="Y157" s="2">
        <f t="shared" si="181"/>
        <v>66171.428571428565</v>
      </c>
      <c r="Z157" s="2">
        <f t="shared" ref="Z157:AA157" si="209">Y157</f>
        <v>66171.428571428565</v>
      </c>
      <c r="AA157" s="2">
        <f t="shared" si="209"/>
        <v>66171.428571428565</v>
      </c>
      <c r="AQ157" s="2">
        <v>150</v>
      </c>
      <c r="AR157" s="2">
        <f t="shared" si="199"/>
        <v>18385.714285714286</v>
      </c>
      <c r="AS157" s="2">
        <f t="shared" si="199"/>
        <v>43628.571428571428</v>
      </c>
      <c r="AT157" s="2">
        <f t="shared" si="199"/>
        <v>64285.714285714283</v>
      </c>
      <c r="AU157" s="2">
        <f t="shared" si="199"/>
        <v>96428.571428571435</v>
      </c>
      <c r="AV157" s="2">
        <f t="shared" si="199"/>
        <v>180857.14285714287</v>
      </c>
      <c r="BK157" s="2">
        <v>150</v>
      </c>
      <c r="BL157" s="2">
        <f t="shared" si="200"/>
        <v>2742.8571428571427</v>
      </c>
      <c r="BM157" s="2">
        <f t="shared" si="200"/>
        <v>4800</v>
      </c>
      <c r="BN157" s="2">
        <f t="shared" si="200"/>
        <v>7542.8571428571431</v>
      </c>
      <c r="BO157" s="2">
        <f t="shared" si="200"/>
        <v>13028.571428571429</v>
      </c>
      <c r="BP157" s="2">
        <f t="shared" si="200"/>
        <v>118628.57142857143</v>
      </c>
      <c r="BV157" s="2">
        <v>150</v>
      </c>
      <c r="BW157" s="2">
        <f t="shared" si="175"/>
        <v>55071.42857142858</v>
      </c>
      <c r="BX157" s="2">
        <f t="shared" si="176"/>
        <v>114600</v>
      </c>
      <c r="BY157" s="2">
        <f t="shared" si="177"/>
        <v>137999.99999999997</v>
      </c>
      <c r="BZ157" s="2">
        <f t="shared" si="178"/>
        <v>175628.57142857142</v>
      </c>
      <c r="CA157" s="2">
        <f t="shared" si="179"/>
        <v>365657.14285714284</v>
      </c>
      <c r="CC157" s="41">
        <f t="shared" si="183"/>
        <v>0.61634241245136179</v>
      </c>
      <c r="CD157" s="41">
        <f t="shared" si="184"/>
        <v>0.33385214007782099</v>
      </c>
      <c r="CE157" s="41">
        <f t="shared" si="185"/>
        <v>4.980544747081711E-2</v>
      </c>
      <c r="CH157" s="2">
        <v>150</v>
      </c>
      <c r="CI157" s="2">
        <f>求节点(节奏总纲!R$4:R$363,BW$8:BW$367,$CH157)</f>
        <v>151446.42857142855</v>
      </c>
      <c r="CJ157" s="2">
        <f>求节点(节奏总纲!S$4:S$363,BX$8:BX$367,$CH157)</f>
        <v>315150</v>
      </c>
      <c r="CK157" s="2">
        <f>求节点(节奏总纲!T$4:T$363,BY$8:BY$367,$CH157)</f>
        <v>379500</v>
      </c>
      <c r="CL157" s="2">
        <f>求节点(节奏总纲!U$4:U$363,BZ$8:BZ$367,$CH157)</f>
        <v>482978.57142857142</v>
      </c>
      <c r="CM157" s="2">
        <f>求节点(节奏总纲!V$4:V$363,CA$8:CA$367,$CH157)</f>
        <v>1005557.1428571427</v>
      </c>
    </row>
    <row r="158" spans="22:91" x14ac:dyDescent="0.2">
      <c r="V158" s="2">
        <v>151</v>
      </c>
      <c r="W158" s="2">
        <f t="shared" si="180"/>
        <v>34225.714285714283</v>
      </c>
      <c r="X158" s="2">
        <f t="shared" si="180"/>
        <v>66722.857142857145</v>
      </c>
      <c r="Y158" s="2">
        <f t="shared" si="181"/>
        <v>66722.857142857145</v>
      </c>
      <c r="Z158" s="2">
        <f t="shared" ref="Z158:AA158" si="210">Y158</f>
        <v>66722.857142857145</v>
      </c>
      <c r="AA158" s="2">
        <f t="shared" si="210"/>
        <v>66722.857142857145</v>
      </c>
      <c r="AQ158" s="2">
        <v>151</v>
      </c>
      <c r="AR158" s="2">
        <f t="shared" ref="AR158:AV167" si="211">MAX($AQ158-$C$2,0)*INDEX($AN$8:$AN$44,MATCH(AR$7,$AO$8:$AO$44,0))/$C$3</f>
        <v>18538.928571428572</v>
      </c>
      <c r="AS158" s="2">
        <f t="shared" si="211"/>
        <v>43992.142857142855</v>
      </c>
      <c r="AT158" s="2">
        <f t="shared" si="211"/>
        <v>64821.428571428572</v>
      </c>
      <c r="AU158" s="2">
        <f t="shared" si="211"/>
        <v>97232.142857142855</v>
      </c>
      <c r="AV158" s="2">
        <f t="shared" si="211"/>
        <v>182364.28571428571</v>
      </c>
      <c r="BK158" s="2">
        <v>151</v>
      </c>
      <c r="BL158" s="2">
        <f t="shared" ref="BL158:BP167" si="212">IFERROR(MAX($BK158-$C$2,0)*INDEX($BH$8:$BH$16,MATCH(BL$7,$BI$8:$BI$16,0))*$C$4/$C$3,BM158)</f>
        <v>2765.7142857142858</v>
      </c>
      <c r="BM158" s="2">
        <f t="shared" si="212"/>
        <v>4840</v>
      </c>
      <c r="BN158" s="2">
        <f t="shared" si="212"/>
        <v>7605.7142857142853</v>
      </c>
      <c r="BO158" s="2">
        <f t="shared" si="212"/>
        <v>13137.142857142857</v>
      </c>
      <c r="BP158" s="2">
        <f t="shared" si="212"/>
        <v>119617.14285714286</v>
      </c>
      <c r="BV158" s="2">
        <v>151</v>
      </c>
      <c r="BW158" s="2">
        <f t="shared" si="175"/>
        <v>55530.357142857138</v>
      </c>
      <c r="BX158" s="2">
        <f t="shared" si="176"/>
        <v>115555</v>
      </c>
      <c r="BY158" s="2">
        <f t="shared" si="177"/>
        <v>139150</v>
      </c>
      <c r="BZ158" s="2">
        <f t="shared" si="178"/>
        <v>177092.14285714287</v>
      </c>
      <c r="CA158" s="2">
        <f t="shared" si="179"/>
        <v>368704.28571428568</v>
      </c>
      <c r="CC158" s="41">
        <f t="shared" si="183"/>
        <v>0.6163424124513619</v>
      </c>
      <c r="CD158" s="41">
        <f t="shared" si="184"/>
        <v>0.33385214007782105</v>
      </c>
      <c r="CE158" s="41">
        <f t="shared" si="185"/>
        <v>4.9805447470817124E-2</v>
      </c>
      <c r="CH158" s="2">
        <v>151</v>
      </c>
      <c r="CI158" s="2">
        <f>求节点(节奏总纲!R$4:R$363,BW$8:BW$367,$CH158)</f>
        <v>151446.42857142855</v>
      </c>
      <c r="CJ158" s="2">
        <f>求节点(节奏总纲!S$4:S$363,BX$8:BX$367,$CH158)</f>
        <v>315150</v>
      </c>
      <c r="CK158" s="2">
        <f>求节点(节奏总纲!T$4:T$363,BY$8:BY$367,$CH158)</f>
        <v>379500</v>
      </c>
      <c r="CL158" s="2">
        <f>求节点(节奏总纲!U$4:U$363,BZ$8:BZ$367,$CH158)</f>
        <v>482978.57142857142</v>
      </c>
      <c r="CM158" s="2">
        <f>求节点(节奏总纲!V$4:V$363,CA$8:CA$367,$CH158)</f>
        <v>1005557.1428571427</v>
      </c>
    </row>
    <row r="159" spans="22:91" x14ac:dyDescent="0.2">
      <c r="V159" s="2">
        <v>152</v>
      </c>
      <c r="W159" s="2">
        <f t="shared" si="180"/>
        <v>34508.571428571428</v>
      </c>
      <c r="X159" s="2">
        <f t="shared" si="180"/>
        <v>67274.28571428571</v>
      </c>
      <c r="Y159" s="2">
        <f t="shared" si="181"/>
        <v>67274.28571428571</v>
      </c>
      <c r="Z159" s="2">
        <f t="shared" ref="Z159:AA159" si="213">Y159</f>
        <v>67274.28571428571</v>
      </c>
      <c r="AA159" s="2">
        <f t="shared" si="213"/>
        <v>67274.28571428571</v>
      </c>
      <c r="AQ159" s="2">
        <v>152</v>
      </c>
      <c r="AR159" s="2">
        <f t="shared" si="211"/>
        <v>18692.142857142859</v>
      </c>
      <c r="AS159" s="2">
        <f t="shared" si="211"/>
        <v>44355.714285714283</v>
      </c>
      <c r="AT159" s="2">
        <f t="shared" si="211"/>
        <v>65357.142857142855</v>
      </c>
      <c r="AU159" s="2">
        <f t="shared" si="211"/>
        <v>98035.71428571429</v>
      </c>
      <c r="AV159" s="2">
        <f t="shared" si="211"/>
        <v>183871.42857142858</v>
      </c>
      <c r="BK159" s="2">
        <v>152</v>
      </c>
      <c r="BL159" s="2">
        <f t="shared" si="212"/>
        <v>2788.5714285714284</v>
      </c>
      <c r="BM159" s="2">
        <f t="shared" si="212"/>
        <v>4880</v>
      </c>
      <c r="BN159" s="2">
        <f t="shared" si="212"/>
        <v>7668.5714285714284</v>
      </c>
      <c r="BO159" s="2">
        <f t="shared" si="212"/>
        <v>13245.714285714286</v>
      </c>
      <c r="BP159" s="2">
        <f t="shared" si="212"/>
        <v>120605.71428571429</v>
      </c>
      <c r="BV159" s="2">
        <v>152</v>
      </c>
      <c r="BW159" s="2">
        <f t="shared" si="175"/>
        <v>55989.285714285717</v>
      </c>
      <c r="BX159" s="2">
        <f t="shared" si="176"/>
        <v>116510</v>
      </c>
      <c r="BY159" s="2">
        <f t="shared" si="177"/>
        <v>140300</v>
      </c>
      <c r="BZ159" s="2">
        <f t="shared" si="178"/>
        <v>178555.71428571429</v>
      </c>
      <c r="CA159" s="2">
        <f t="shared" si="179"/>
        <v>371751.42857142858</v>
      </c>
      <c r="CC159" s="41">
        <f t="shared" si="183"/>
        <v>0.61634241245136179</v>
      </c>
      <c r="CD159" s="41">
        <f t="shared" si="184"/>
        <v>0.33385214007782105</v>
      </c>
      <c r="CE159" s="41">
        <f t="shared" si="185"/>
        <v>4.9805447470817117E-2</v>
      </c>
      <c r="CH159" s="2">
        <v>152</v>
      </c>
      <c r="CI159" s="2">
        <f>求节点(节奏总纲!R$4:R$363,BW$8:BW$367,$CH159)</f>
        <v>151446.42857142855</v>
      </c>
      <c r="CJ159" s="2">
        <f>求节点(节奏总纲!S$4:S$363,BX$8:BX$367,$CH159)</f>
        <v>315150</v>
      </c>
      <c r="CK159" s="2">
        <f>求节点(节奏总纲!T$4:T$363,BY$8:BY$367,$CH159)</f>
        <v>379500</v>
      </c>
      <c r="CL159" s="2">
        <f>求节点(节奏总纲!U$4:U$363,BZ$8:BZ$367,$CH159)</f>
        <v>482978.57142857142</v>
      </c>
      <c r="CM159" s="2">
        <f>求节点(节奏总纲!V$4:V$363,CA$8:CA$367,$CH159)</f>
        <v>1005557.1428571427</v>
      </c>
    </row>
    <row r="160" spans="22:91" x14ac:dyDescent="0.2">
      <c r="V160" s="2">
        <v>153</v>
      </c>
      <c r="W160" s="2">
        <f t="shared" si="180"/>
        <v>34791.428571428572</v>
      </c>
      <c r="X160" s="2">
        <f t="shared" si="180"/>
        <v>67825.71428571429</v>
      </c>
      <c r="Y160" s="2">
        <f t="shared" si="181"/>
        <v>67825.71428571429</v>
      </c>
      <c r="Z160" s="2">
        <f t="shared" ref="Z160:AA160" si="214">Y160</f>
        <v>67825.71428571429</v>
      </c>
      <c r="AA160" s="2">
        <f t="shared" si="214"/>
        <v>67825.71428571429</v>
      </c>
      <c r="AQ160" s="2">
        <v>153</v>
      </c>
      <c r="AR160" s="2">
        <f t="shared" si="211"/>
        <v>18845.357142857141</v>
      </c>
      <c r="AS160" s="2">
        <f t="shared" si="211"/>
        <v>44719.285714285717</v>
      </c>
      <c r="AT160" s="2">
        <f t="shared" si="211"/>
        <v>65892.857142857145</v>
      </c>
      <c r="AU160" s="2">
        <f t="shared" si="211"/>
        <v>98839.28571428571</v>
      </c>
      <c r="AV160" s="2">
        <f t="shared" si="211"/>
        <v>185378.57142857142</v>
      </c>
      <c r="BK160" s="2">
        <v>153</v>
      </c>
      <c r="BL160" s="2">
        <f t="shared" si="212"/>
        <v>2811.4285714285716</v>
      </c>
      <c r="BM160" s="2">
        <f t="shared" si="212"/>
        <v>4920</v>
      </c>
      <c r="BN160" s="2">
        <f t="shared" si="212"/>
        <v>7731.4285714285716</v>
      </c>
      <c r="BO160" s="2">
        <f t="shared" si="212"/>
        <v>13354.285714285714</v>
      </c>
      <c r="BP160" s="2">
        <f t="shared" si="212"/>
        <v>121594.28571428571</v>
      </c>
      <c r="BV160" s="2">
        <v>153</v>
      </c>
      <c r="BW160" s="2">
        <f t="shared" si="175"/>
        <v>56448.214285714283</v>
      </c>
      <c r="BX160" s="2">
        <f t="shared" si="176"/>
        <v>117465</v>
      </c>
      <c r="BY160" s="2">
        <f t="shared" si="177"/>
        <v>141450</v>
      </c>
      <c r="BZ160" s="2">
        <f t="shared" si="178"/>
        <v>180019.28571428571</v>
      </c>
      <c r="CA160" s="2">
        <f t="shared" si="179"/>
        <v>374798.57142857142</v>
      </c>
      <c r="CC160" s="41">
        <f t="shared" si="183"/>
        <v>0.6163424124513619</v>
      </c>
      <c r="CD160" s="41">
        <f t="shared" si="184"/>
        <v>0.33385214007782099</v>
      </c>
      <c r="CE160" s="41">
        <f t="shared" si="185"/>
        <v>4.9805447470817124E-2</v>
      </c>
      <c r="CH160" s="2">
        <v>153</v>
      </c>
      <c r="CI160" s="2">
        <f>求节点(节奏总纲!R$4:R$363,BW$8:BW$367,$CH160)</f>
        <v>151446.42857142855</v>
      </c>
      <c r="CJ160" s="2">
        <f>求节点(节奏总纲!S$4:S$363,BX$8:BX$367,$CH160)</f>
        <v>315150</v>
      </c>
      <c r="CK160" s="2">
        <f>求节点(节奏总纲!T$4:T$363,BY$8:BY$367,$CH160)</f>
        <v>379500</v>
      </c>
      <c r="CL160" s="2">
        <f>求节点(节奏总纲!U$4:U$363,BZ$8:BZ$367,$CH160)</f>
        <v>482978.57142857142</v>
      </c>
      <c r="CM160" s="2">
        <f>求节点(节奏总纲!V$4:V$363,CA$8:CA$367,$CH160)</f>
        <v>1005557.1428571427</v>
      </c>
    </row>
    <row r="161" spans="22:91" x14ac:dyDescent="0.2">
      <c r="V161" s="2">
        <v>154</v>
      </c>
      <c r="W161" s="2">
        <f t="shared" si="180"/>
        <v>35074.285714285717</v>
      </c>
      <c r="X161" s="2">
        <f t="shared" si="180"/>
        <v>68377.142857142855</v>
      </c>
      <c r="Y161" s="2">
        <f t="shared" si="181"/>
        <v>68377.142857142855</v>
      </c>
      <c r="Z161" s="2">
        <f t="shared" ref="Z161:AA161" si="215">Y161</f>
        <v>68377.142857142855</v>
      </c>
      <c r="AA161" s="2">
        <f t="shared" si="215"/>
        <v>68377.142857142855</v>
      </c>
      <c r="AQ161" s="2">
        <v>154</v>
      </c>
      <c r="AR161" s="2">
        <f t="shared" si="211"/>
        <v>18998.571428571428</v>
      </c>
      <c r="AS161" s="2">
        <f t="shared" si="211"/>
        <v>45082.857142857145</v>
      </c>
      <c r="AT161" s="2">
        <f t="shared" si="211"/>
        <v>66428.571428571435</v>
      </c>
      <c r="AU161" s="2">
        <f t="shared" si="211"/>
        <v>99642.857142857145</v>
      </c>
      <c r="AV161" s="2">
        <f t="shared" si="211"/>
        <v>186885.71428571429</v>
      </c>
      <c r="BK161" s="2">
        <v>154</v>
      </c>
      <c r="BL161" s="2">
        <f t="shared" si="212"/>
        <v>2834.2857142857142</v>
      </c>
      <c r="BM161" s="2">
        <f t="shared" si="212"/>
        <v>4960</v>
      </c>
      <c r="BN161" s="2">
        <f t="shared" si="212"/>
        <v>7794.2857142857147</v>
      </c>
      <c r="BO161" s="2">
        <f t="shared" si="212"/>
        <v>13462.857142857143</v>
      </c>
      <c r="BP161" s="2">
        <f t="shared" si="212"/>
        <v>122582.85714285714</v>
      </c>
      <c r="BV161" s="2">
        <v>154</v>
      </c>
      <c r="BW161" s="2">
        <f t="shared" si="175"/>
        <v>56907.142857142862</v>
      </c>
      <c r="BX161" s="2">
        <f t="shared" si="176"/>
        <v>118420</v>
      </c>
      <c r="BY161" s="2">
        <f t="shared" si="177"/>
        <v>142600</v>
      </c>
      <c r="BZ161" s="2">
        <f t="shared" si="178"/>
        <v>181482.85714285713</v>
      </c>
      <c r="CA161" s="2">
        <f t="shared" si="179"/>
        <v>377845.71428571432</v>
      </c>
      <c r="CC161" s="41">
        <f t="shared" si="183"/>
        <v>0.6163424124513619</v>
      </c>
      <c r="CD161" s="41">
        <f t="shared" si="184"/>
        <v>0.33385214007782094</v>
      </c>
      <c r="CE161" s="41">
        <f t="shared" si="185"/>
        <v>4.9805447470817117E-2</v>
      </c>
      <c r="CH161" s="2">
        <v>154</v>
      </c>
      <c r="CI161" s="2">
        <f>求节点(节奏总纲!R$4:R$363,BW$8:BW$367,$CH161)</f>
        <v>151446.42857142855</v>
      </c>
      <c r="CJ161" s="2">
        <f>求节点(节奏总纲!S$4:S$363,BX$8:BX$367,$CH161)</f>
        <v>315150</v>
      </c>
      <c r="CK161" s="2">
        <f>求节点(节奏总纲!T$4:T$363,BY$8:BY$367,$CH161)</f>
        <v>379500</v>
      </c>
      <c r="CL161" s="2">
        <f>求节点(节奏总纲!U$4:U$363,BZ$8:BZ$367,$CH161)</f>
        <v>482978.57142857142</v>
      </c>
      <c r="CM161" s="2">
        <f>求节点(节奏总纲!V$4:V$363,CA$8:CA$367,$CH161)</f>
        <v>1005557.1428571427</v>
      </c>
    </row>
    <row r="162" spans="22:91" x14ac:dyDescent="0.2">
      <c r="V162" s="2">
        <v>155</v>
      </c>
      <c r="W162" s="2">
        <f t="shared" si="180"/>
        <v>35357.142857142855</v>
      </c>
      <c r="X162" s="2">
        <f t="shared" si="180"/>
        <v>68928.571428571435</v>
      </c>
      <c r="Y162" s="2">
        <f t="shared" si="181"/>
        <v>68928.571428571435</v>
      </c>
      <c r="Z162" s="2">
        <f t="shared" ref="Z162:AA162" si="216">Y162</f>
        <v>68928.571428571435</v>
      </c>
      <c r="AA162" s="2">
        <f t="shared" si="216"/>
        <v>68928.571428571435</v>
      </c>
      <c r="AQ162" s="2">
        <v>155</v>
      </c>
      <c r="AR162" s="2">
        <f t="shared" si="211"/>
        <v>19151.785714285714</v>
      </c>
      <c r="AS162" s="2">
        <f t="shared" si="211"/>
        <v>45446.428571428572</v>
      </c>
      <c r="AT162" s="2">
        <f t="shared" si="211"/>
        <v>66964.28571428571</v>
      </c>
      <c r="AU162" s="2">
        <f t="shared" si="211"/>
        <v>100446.42857142857</v>
      </c>
      <c r="AV162" s="2">
        <f t="shared" si="211"/>
        <v>188392.85714285713</v>
      </c>
      <c r="BK162" s="2">
        <v>155</v>
      </c>
      <c r="BL162" s="2">
        <f t="shared" si="212"/>
        <v>2857.1428571428573</v>
      </c>
      <c r="BM162" s="2">
        <f t="shared" si="212"/>
        <v>5000</v>
      </c>
      <c r="BN162" s="2">
        <f t="shared" si="212"/>
        <v>7857.1428571428569</v>
      </c>
      <c r="BO162" s="2">
        <f t="shared" si="212"/>
        <v>13571.428571428571</v>
      </c>
      <c r="BP162" s="2">
        <f t="shared" si="212"/>
        <v>123571.42857142857</v>
      </c>
      <c r="BV162" s="2">
        <v>155</v>
      </c>
      <c r="BW162" s="2">
        <f t="shared" si="175"/>
        <v>57366.07142857142</v>
      </c>
      <c r="BX162" s="2">
        <f t="shared" si="176"/>
        <v>119375</v>
      </c>
      <c r="BY162" s="2">
        <f t="shared" si="177"/>
        <v>143750.00000000003</v>
      </c>
      <c r="BZ162" s="2">
        <f t="shared" si="178"/>
        <v>182946.42857142858</v>
      </c>
      <c r="CA162" s="2">
        <f t="shared" si="179"/>
        <v>380892.85714285716</v>
      </c>
      <c r="CC162" s="41">
        <f t="shared" si="183"/>
        <v>0.6163424124513619</v>
      </c>
      <c r="CD162" s="41">
        <f t="shared" si="184"/>
        <v>0.33385214007782105</v>
      </c>
      <c r="CE162" s="41">
        <f t="shared" si="185"/>
        <v>4.9805447470817131E-2</v>
      </c>
      <c r="CH162" s="2">
        <v>155</v>
      </c>
      <c r="CI162" s="2">
        <f>求节点(节奏总纲!R$4:R$363,BW$8:BW$367,$CH162)</f>
        <v>151446.42857142855</v>
      </c>
      <c r="CJ162" s="2">
        <f>求节点(节奏总纲!S$4:S$363,BX$8:BX$367,$CH162)</f>
        <v>315150</v>
      </c>
      <c r="CK162" s="2">
        <f>求节点(节奏总纲!T$4:T$363,BY$8:BY$367,$CH162)</f>
        <v>379500</v>
      </c>
      <c r="CL162" s="2">
        <f>求节点(节奏总纲!U$4:U$363,BZ$8:BZ$367,$CH162)</f>
        <v>482978.57142857142</v>
      </c>
      <c r="CM162" s="2">
        <f>求节点(节奏总纲!V$4:V$363,CA$8:CA$367,$CH162)</f>
        <v>1005557.1428571427</v>
      </c>
    </row>
    <row r="163" spans="22:91" x14ac:dyDescent="0.2">
      <c r="V163" s="2">
        <v>156</v>
      </c>
      <c r="W163" s="2">
        <f t="shared" si="180"/>
        <v>35640</v>
      </c>
      <c r="X163" s="2">
        <f t="shared" si="180"/>
        <v>69480</v>
      </c>
      <c r="Y163" s="2">
        <f t="shared" si="181"/>
        <v>69480</v>
      </c>
      <c r="Z163" s="2">
        <f t="shared" ref="Z163:AA163" si="217">Y163</f>
        <v>69480</v>
      </c>
      <c r="AA163" s="2">
        <f t="shared" si="217"/>
        <v>69480</v>
      </c>
      <c r="AQ163" s="2">
        <v>156</v>
      </c>
      <c r="AR163" s="2">
        <f t="shared" si="211"/>
        <v>19305</v>
      </c>
      <c r="AS163" s="2">
        <f t="shared" si="211"/>
        <v>45810</v>
      </c>
      <c r="AT163" s="2">
        <f t="shared" si="211"/>
        <v>67500</v>
      </c>
      <c r="AU163" s="2">
        <f t="shared" si="211"/>
        <v>101250</v>
      </c>
      <c r="AV163" s="2">
        <f t="shared" si="211"/>
        <v>189900</v>
      </c>
      <c r="BK163" s="2">
        <v>156</v>
      </c>
      <c r="BL163" s="2">
        <f t="shared" si="212"/>
        <v>2880</v>
      </c>
      <c r="BM163" s="2">
        <f t="shared" si="212"/>
        <v>5040</v>
      </c>
      <c r="BN163" s="2">
        <f t="shared" si="212"/>
        <v>7920</v>
      </c>
      <c r="BO163" s="2">
        <f t="shared" si="212"/>
        <v>13680</v>
      </c>
      <c r="BP163" s="2">
        <f t="shared" si="212"/>
        <v>124560</v>
      </c>
      <c r="BV163" s="2">
        <v>156</v>
      </c>
      <c r="BW163" s="2">
        <f t="shared" si="175"/>
        <v>57825</v>
      </c>
      <c r="BX163" s="2">
        <f t="shared" si="176"/>
        <v>120330</v>
      </c>
      <c r="BY163" s="2">
        <f t="shared" si="177"/>
        <v>144900</v>
      </c>
      <c r="BZ163" s="2">
        <f t="shared" si="178"/>
        <v>184410</v>
      </c>
      <c r="CA163" s="2">
        <f t="shared" si="179"/>
        <v>383940</v>
      </c>
      <c r="CC163" s="41">
        <f t="shared" si="183"/>
        <v>0.6163424124513619</v>
      </c>
      <c r="CD163" s="41">
        <f t="shared" si="184"/>
        <v>0.33385214007782099</v>
      </c>
      <c r="CE163" s="41">
        <f t="shared" si="185"/>
        <v>4.9805447470817124E-2</v>
      </c>
      <c r="CH163" s="2">
        <v>156</v>
      </c>
      <c r="CI163" s="2">
        <f>求节点(节奏总纲!R$4:R$363,BW$8:BW$367,$CH163)</f>
        <v>151446.42857142855</v>
      </c>
      <c r="CJ163" s="2">
        <f>求节点(节奏总纲!S$4:S$363,BX$8:BX$367,$CH163)</f>
        <v>315150</v>
      </c>
      <c r="CK163" s="2">
        <f>求节点(节奏总纲!T$4:T$363,BY$8:BY$367,$CH163)</f>
        <v>379500</v>
      </c>
      <c r="CL163" s="2">
        <f>求节点(节奏总纲!U$4:U$363,BZ$8:BZ$367,$CH163)</f>
        <v>482978.57142857142</v>
      </c>
      <c r="CM163" s="2">
        <f>求节点(节奏总纲!V$4:V$363,CA$8:CA$367,$CH163)</f>
        <v>1005557.1428571427</v>
      </c>
    </row>
    <row r="164" spans="22:91" x14ac:dyDescent="0.2">
      <c r="V164" s="2">
        <v>157</v>
      </c>
      <c r="W164" s="2">
        <f t="shared" si="180"/>
        <v>35922.857142857145</v>
      </c>
      <c r="X164" s="2">
        <f t="shared" si="180"/>
        <v>70031.428571428565</v>
      </c>
      <c r="Y164" s="2">
        <f t="shared" si="181"/>
        <v>70031.428571428565</v>
      </c>
      <c r="Z164" s="2">
        <f t="shared" ref="Z164:AA164" si="218">Y164</f>
        <v>70031.428571428565</v>
      </c>
      <c r="AA164" s="2">
        <f t="shared" si="218"/>
        <v>70031.428571428565</v>
      </c>
      <c r="AQ164" s="2">
        <v>157</v>
      </c>
      <c r="AR164" s="2">
        <f t="shared" si="211"/>
        <v>19458.214285714286</v>
      </c>
      <c r="AS164" s="2">
        <f t="shared" si="211"/>
        <v>46173.571428571428</v>
      </c>
      <c r="AT164" s="2">
        <f t="shared" si="211"/>
        <v>68035.71428571429</v>
      </c>
      <c r="AU164" s="2">
        <f t="shared" si="211"/>
        <v>102053.57142857143</v>
      </c>
      <c r="AV164" s="2">
        <f t="shared" si="211"/>
        <v>191407.14285714287</v>
      </c>
      <c r="BK164" s="2">
        <v>157</v>
      </c>
      <c r="BL164" s="2">
        <f t="shared" si="212"/>
        <v>2902.8571428571427</v>
      </c>
      <c r="BM164" s="2">
        <f t="shared" si="212"/>
        <v>5080</v>
      </c>
      <c r="BN164" s="2">
        <f t="shared" si="212"/>
        <v>7982.8571428571431</v>
      </c>
      <c r="BO164" s="2">
        <f t="shared" si="212"/>
        <v>13788.571428571429</v>
      </c>
      <c r="BP164" s="2">
        <f t="shared" si="212"/>
        <v>125548.57142857143</v>
      </c>
      <c r="BV164" s="2">
        <v>157</v>
      </c>
      <c r="BW164" s="2">
        <f t="shared" si="175"/>
        <v>58283.92857142858</v>
      </c>
      <c r="BX164" s="2">
        <f t="shared" si="176"/>
        <v>121285</v>
      </c>
      <c r="BY164" s="2">
        <f t="shared" si="177"/>
        <v>146049.99999999997</v>
      </c>
      <c r="BZ164" s="2">
        <f t="shared" si="178"/>
        <v>185873.57142857142</v>
      </c>
      <c r="CA164" s="2">
        <f t="shared" si="179"/>
        <v>386987.14285714284</v>
      </c>
      <c r="CC164" s="41">
        <f t="shared" si="183"/>
        <v>0.61634241245136179</v>
      </c>
      <c r="CD164" s="41">
        <f t="shared" si="184"/>
        <v>0.33385214007782099</v>
      </c>
      <c r="CE164" s="41">
        <f t="shared" si="185"/>
        <v>4.980544747081711E-2</v>
      </c>
      <c r="CH164" s="2">
        <v>157</v>
      </c>
      <c r="CI164" s="2">
        <f>求节点(节奏总纲!R$4:R$363,BW$8:BW$367,$CH164)</f>
        <v>151446.42857142855</v>
      </c>
      <c r="CJ164" s="2">
        <f>求节点(节奏总纲!S$4:S$363,BX$8:BX$367,$CH164)</f>
        <v>315150</v>
      </c>
      <c r="CK164" s="2">
        <f>求节点(节奏总纲!T$4:T$363,BY$8:BY$367,$CH164)</f>
        <v>379500</v>
      </c>
      <c r="CL164" s="2">
        <f>求节点(节奏总纲!U$4:U$363,BZ$8:BZ$367,$CH164)</f>
        <v>482978.57142857142</v>
      </c>
      <c r="CM164" s="2">
        <f>求节点(节奏总纲!V$4:V$363,CA$8:CA$367,$CH164)</f>
        <v>1005557.1428571427</v>
      </c>
    </row>
    <row r="165" spans="22:91" x14ac:dyDescent="0.2">
      <c r="V165" s="2">
        <v>158</v>
      </c>
      <c r="W165" s="2">
        <f t="shared" si="180"/>
        <v>36205.714285714283</v>
      </c>
      <c r="X165" s="2">
        <f t="shared" si="180"/>
        <v>70582.857142857145</v>
      </c>
      <c r="Y165" s="2">
        <f t="shared" si="181"/>
        <v>70582.857142857145</v>
      </c>
      <c r="Z165" s="2">
        <f t="shared" ref="Z165:AA165" si="219">Y165</f>
        <v>70582.857142857145</v>
      </c>
      <c r="AA165" s="2">
        <f t="shared" si="219"/>
        <v>70582.857142857145</v>
      </c>
      <c r="AQ165" s="2">
        <v>158</v>
      </c>
      <c r="AR165" s="2">
        <f t="shared" si="211"/>
        <v>19611.428571428572</v>
      </c>
      <c r="AS165" s="2">
        <f t="shared" si="211"/>
        <v>46537.142857142855</v>
      </c>
      <c r="AT165" s="2">
        <f t="shared" si="211"/>
        <v>68571.428571428565</v>
      </c>
      <c r="AU165" s="2">
        <f t="shared" si="211"/>
        <v>102857.14285714286</v>
      </c>
      <c r="AV165" s="2">
        <f t="shared" si="211"/>
        <v>192914.28571428571</v>
      </c>
      <c r="BK165" s="2">
        <v>158</v>
      </c>
      <c r="BL165" s="2">
        <f t="shared" si="212"/>
        <v>2925.7142857142858</v>
      </c>
      <c r="BM165" s="2">
        <f t="shared" si="212"/>
        <v>5120</v>
      </c>
      <c r="BN165" s="2">
        <f t="shared" si="212"/>
        <v>8045.7142857142853</v>
      </c>
      <c r="BO165" s="2">
        <f t="shared" si="212"/>
        <v>13897.142857142857</v>
      </c>
      <c r="BP165" s="2">
        <f t="shared" si="212"/>
        <v>126537.14285714286</v>
      </c>
      <c r="BV165" s="2">
        <v>158</v>
      </c>
      <c r="BW165" s="2">
        <f t="shared" si="175"/>
        <v>58742.857142857138</v>
      </c>
      <c r="BX165" s="2">
        <f t="shared" si="176"/>
        <v>122240</v>
      </c>
      <c r="BY165" s="2">
        <f t="shared" si="177"/>
        <v>147200</v>
      </c>
      <c r="BZ165" s="2">
        <f t="shared" si="178"/>
        <v>187337.14285714287</v>
      </c>
      <c r="CA165" s="2">
        <f t="shared" si="179"/>
        <v>390034.28571428568</v>
      </c>
      <c r="CC165" s="41">
        <f t="shared" si="183"/>
        <v>0.6163424124513619</v>
      </c>
      <c r="CD165" s="41">
        <f t="shared" si="184"/>
        <v>0.33385214007782105</v>
      </c>
      <c r="CE165" s="41">
        <f t="shared" si="185"/>
        <v>4.9805447470817124E-2</v>
      </c>
      <c r="CH165" s="2">
        <v>158</v>
      </c>
      <c r="CI165" s="2">
        <f>求节点(节奏总纲!R$4:R$363,BW$8:BW$367,$CH165)</f>
        <v>151446.42857142855</v>
      </c>
      <c r="CJ165" s="2">
        <f>求节点(节奏总纲!S$4:S$363,BX$8:BX$367,$CH165)</f>
        <v>315150</v>
      </c>
      <c r="CK165" s="2">
        <f>求节点(节奏总纲!T$4:T$363,BY$8:BY$367,$CH165)</f>
        <v>379500</v>
      </c>
      <c r="CL165" s="2">
        <f>求节点(节奏总纲!U$4:U$363,BZ$8:BZ$367,$CH165)</f>
        <v>482978.57142857142</v>
      </c>
      <c r="CM165" s="2">
        <f>求节点(节奏总纲!V$4:V$363,CA$8:CA$367,$CH165)</f>
        <v>1005557.1428571427</v>
      </c>
    </row>
    <row r="166" spans="22:91" x14ac:dyDescent="0.2">
      <c r="V166" s="2">
        <v>159</v>
      </c>
      <c r="W166" s="2">
        <f t="shared" si="180"/>
        <v>36488.571428571428</v>
      </c>
      <c r="X166" s="2">
        <f t="shared" si="180"/>
        <v>71134.28571428571</v>
      </c>
      <c r="Y166" s="2">
        <f t="shared" si="181"/>
        <v>71134.28571428571</v>
      </c>
      <c r="Z166" s="2">
        <f t="shared" ref="Z166:AA166" si="220">Y166</f>
        <v>71134.28571428571</v>
      </c>
      <c r="AA166" s="2">
        <f t="shared" si="220"/>
        <v>71134.28571428571</v>
      </c>
      <c r="AQ166" s="2">
        <v>159</v>
      </c>
      <c r="AR166" s="2">
        <f t="shared" si="211"/>
        <v>19764.642857142859</v>
      </c>
      <c r="AS166" s="2">
        <f t="shared" si="211"/>
        <v>46900.714285714283</v>
      </c>
      <c r="AT166" s="2">
        <f t="shared" si="211"/>
        <v>69107.142857142855</v>
      </c>
      <c r="AU166" s="2">
        <f t="shared" si="211"/>
        <v>103660.71428571429</v>
      </c>
      <c r="AV166" s="2">
        <f t="shared" si="211"/>
        <v>194421.42857142858</v>
      </c>
      <c r="BK166" s="2">
        <v>159</v>
      </c>
      <c r="BL166" s="2">
        <f t="shared" si="212"/>
        <v>2948.5714285714284</v>
      </c>
      <c r="BM166" s="2">
        <f t="shared" si="212"/>
        <v>5160</v>
      </c>
      <c r="BN166" s="2">
        <f t="shared" si="212"/>
        <v>8108.5714285714284</v>
      </c>
      <c r="BO166" s="2">
        <f t="shared" si="212"/>
        <v>14005.714285714286</v>
      </c>
      <c r="BP166" s="2">
        <f t="shared" si="212"/>
        <v>127525.71428571429</v>
      </c>
      <c r="BV166" s="2">
        <v>159</v>
      </c>
      <c r="BW166" s="2">
        <f t="shared" si="175"/>
        <v>59201.785714285717</v>
      </c>
      <c r="BX166" s="2">
        <f t="shared" si="176"/>
        <v>123195</v>
      </c>
      <c r="BY166" s="2">
        <f t="shared" si="177"/>
        <v>148350</v>
      </c>
      <c r="BZ166" s="2">
        <f t="shared" si="178"/>
        <v>188800.71428571429</v>
      </c>
      <c r="CA166" s="2">
        <f t="shared" si="179"/>
        <v>393081.42857142864</v>
      </c>
      <c r="CC166" s="41">
        <f t="shared" si="183"/>
        <v>0.61634241245136179</v>
      </c>
      <c r="CD166" s="41">
        <f t="shared" si="184"/>
        <v>0.33385214007782105</v>
      </c>
      <c r="CE166" s="41">
        <f t="shared" si="185"/>
        <v>4.9805447470817117E-2</v>
      </c>
      <c r="CH166" s="2">
        <v>159</v>
      </c>
      <c r="CI166" s="2">
        <f>求节点(节奏总纲!R$4:R$363,BW$8:BW$367,$CH166)</f>
        <v>151446.42857142855</v>
      </c>
      <c r="CJ166" s="2">
        <f>求节点(节奏总纲!S$4:S$363,BX$8:BX$367,$CH166)</f>
        <v>315150</v>
      </c>
      <c r="CK166" s="2">
        <f>求节点(节奏总纲!T$4:T$363,BY$8:BY$367,$CH166)</f>
        <v>379500</v>
      </c>
      <c r="CL166" s="2">
        <f>求节点(节奏总纲!U$4:U$363,BZ$8:BZ$367,$CH166)</f>
        <v>482978.57142857142</v>
      </c>
      <c r="CM166" s="2">
        <f>求节点(节奏总纲!V$4:V$363,CA$8:CA$367,$CH166)</f>
        <v>1005557.1428571427</v>
      </c>
    </row>
    <row r="167" spans="22:91" x14ac:dyDescent="0.2">
      <c r="V167" s="2">
        <v>160</v>
      </c>
      <c r="W167" s="2">
        <f t="shared" si="180"/>
        <v>36771.428571428572</v>
      </c>
      <c r="X167" s="2">
        <f t="shared" si="180"/>
        <v>71685.71428571429</v>
      </c>
      <c r="Y167" s="2">
        <f t="shared" si="181"/>
        <v>71685.71428571429</v>
      </c>
      <c r="Z167" s="2">
        <f t="shared" ref="Z167:AA167" si="221">Y167</f>
        <v>71685.71428571429</v>
      </c>
      <c r="AA167" s="2">
        <f t="shared" si="221"/>
        <v>71685.71428571429</v>
      </c>
      <c r="AQ167" s="2">
        <v>160</v>
      </c>
      <c r="AR167" s="2">
        <f t="shared" si="211"/>
        <v>19917.857142857141</v>
      </c>
      <c r="AS167" s="2">
        <f t="shared" si="211"/>
        <v>47264.285714285717</v>
      </c>
      <c r="AT167" s="2">
        <f t="shared" si="211"/>
        <v>69642.857142857145</v>
      </c>
      <c r="AU167" s="2">
        <f t="shared" si="211"/>
        <v>104464.28571428571</v>
      </c>
      <c r="AV167" s="2">
        <f t="shared" si="211"/>
        <v>195928.57142857142</v>
      </c>
      <c r="BK167" s="2">
        <v>160</v>
      </c>
      <c r="BL167" s="2">
        <f t="shared" si="212"/>
        <v>2971.4285714285716</v>
      </c>
      <c r="BM167" s="2">
        <f t="shared" si="212"/>
        <v>5200</v>
      </c>
      <c r="BN167" s="2">
        <f t="shared" si="212"/>
        <v>8171.4285714285716</v>
      </c>
      <c r="BO167" s="2">
        <f t="shared" si="212"/>
        <v>14114.285714285714</v>
      </c>
      <c r="BP167" s="2">
        <f t="shared" si="212"/>
        <v>128514.28571428571</v>
      </c>
      <c r="BV167" s="2">
        <v>160</v>
      </c>
      <c r="BW167" s="2">
        <f t="shared" si="175"/>
        <v>59660.714285714283</v>
      </c>
      <c r="BX167" s="2">
        <f t="shared" si="176"/>
        <v>124150</v>
      </c>
      <c r="BY167" s="2">
        <f t="shared" si="177"/>
        <v>149500</v>
      </c>
      <c r="BZ167" s="2">
        <f t="shared" si="178"/>
        <v>190264.28571428571</v>
      </c>
      <c r="CA167" s="2">
        <f t="shared" si="179"/>
        <v>396128.57142857136</v>
      </c>
      <c r="CC167" s="41">
        <f t="shared" si="183"/>
        <v>0.6163424124513619</v>
      </c>
      <c r="CD167" s="41">
        <f t="shared" si="184"/>
        <v>0.33385214007782099</v>
      </c>
      <c r="CE167" s="41">
        <f t="shared" si="185"/>
        <v>4.9805447470817124E-2</v>
      </c>
      <c r="CH167" s="2">
        <v>160</v>
      </c>
      <c r="CI167" s="2">
        <f>求节点(节奏总纲!R$4:R$363,BW$8:BW$367,$CH167)</f>
        <v>151446.42857142855</v>
      </c>
      <c r="CJ167" s="2">
        <f>求节点(节奏总纲!S$4:S$363,BX$8:BX$367,$CH167)</f>
        <v>315150</v>
      </c>
      <c r="CK167" s="2">
        <f>求节点(节奏总纲!T$4:T$363,BY$8:BY$367,$CH167)</f>
        <v>379500</v>
      </c>
      <c r="CL167" s="2">
        <f>求节点(节奏总纲!U$4:U$363,BZ$8:BZ$367,$CH167)</f>
        <v>482978.57142857142</v>
      </c>
      <c r="CM167" s="2">
        <f>求节点(节奏总纲!V$4:V$363,CA$8:CA$367,$CH167)</f>
        <v>1005557.1428571427</v>
      </c>
    </row>
    <row r="168" spans="22:91" x14ac:dyDescent="0.2">
      <c r="V168" s="2">
        <v>161</v>
      </c>
      <c r="W168" s="2">
        <f t="shared" si="180"/>
        <v>37054.285714285717</v>
      </c>
      <c r="X168" s="2">
        <f t="shared" si="180"/>
        <v>72237.142857142855</v>
      </c>
      <c r="Y168" s="2">
        <f t="shared" si="181"/>
        <v>72237.142857142855</v>
      </c>
      <c r="Z168" s="2">
        <f t="shared" ref="Z168:AA168" si="222">Y168</f>
        <v>72237.142857142855</v>
      </c>
      <c r="AA168" s="2">
        <f t="shared" si="222"/>
        <v>72237.142857142855</v>
      </c>
      <c r="AQ168" s="2">
        <v>161</v>
      </c>
      <c r="AR168" s="2">
        <f t="shared" ref="AR168:AV177" si="223">MAX($AQ168-$C$2,0)*INDEX($AN$8:$AN$44,MATCH(AR$7,$AO$8:$AO$44,0))/$C$3</f>
        <v>20071.071428571428</v>
      </c>
      <c r="AS168" s="2">
        <f t="shared" si="223"/>
        <v>47627.857142857145</v>
      </c>
      <c r="AT168" s="2">
        <f t="shared" si="223"/>
        <v>70178.571428571435</v>
      </c>
      <c r="AU168" s="2">
        <f t="shared" si="223"/>
        <v>105267.85714285714</v>
      </c>
      <c r="AV168" s="2">
        <f t="shared" si="223"/>
        <v>197435.71428571429</v>
      </c>
      <c r="BK168" s="2">
        <v>161</v>
      </c>
      <c r="BL168" s="2">
        <f t="shared" ref="BL168:BP177" si="224">IFERROR(MAX($BK168-$C$2,0)*INDEX($BH$8:$BH$16,MATCH(BL$7,$BI$8:$BI$16,0))*$C$4/$C$3,BM168)</f>
        <v>2994.2857142857142</v>
      </c>
      <c r="BM168" s="2">
        <f t="shared" si="224"/>
        <v>5240</v>
      </c>
      <c r="BN168" s="2">
        <f t="shared" si="224"/>
        <v>8234.2857142857138</v>
      </c>
      <c r="BO168" s="2">
        <f t="shared" si="224"/>
        <v>14222.857142857143</v>
      </c>
      <c r="BP168" s="2">
        <f t="shared" si="224"/>
        <v>129502.85714285714</v>
      </c>
      <c r="BV168" s="2">
        <v>161</v>
      </c>
      <c r="BW168" s="2">
        <f t="shared" si="175"/>
        <v>60119.642857142862</v>
      </c>
      <c r="BX168" s="2">
        <f t="shared" si="176"/>
        <v>125105</v>
      </c>
      <c r="BY168" s="2">
        <f t="shared" si="177"/>
        <v>150650</v>
      </c>
      <c r="BZ168" s="2">
        <f t="shared" si="178"/>
        <v>191727.85714285713</v>
      </c>
      <c r="CA168" s="2">
        <f t="shared" si="179"/>
        <v>399175.71428571432</v>
      </c>
      <c r="CC168" s="41">
        <f t="shared" si="183"/>
        <v>0.6163424124513619</v>
      </c>
      <c r="CD168" s="41">
        <f t="shared" si="184"/>
        <v>0.33385214007782099</v>
      </c>
      <c r="CE168" s="41">
        <f t="shared" si="185"/>
        <v>4.9805447470817117E-2</v>
      </c>
    </row>
    <row r="169" spans="22:91" x14ac:dyDescent="0.2">
      <c r="V169" s="2">
        <v>162</v>
      </c>
      <c r="W169" s="2">
        <f t="shared" si="180"/>
        <v>37337.142857142855</v>
      </c>
      <c r="X169" s="2">
        <f t="shared" si="180"/>
        <v>72788.571428571435</v>
      </c>
      <c r="Y169" s="2">
        <f t="shared" si="181"/>
        <v>72788.571428571435</v>
      </c>
      <c r="Z169" s="2">
        <f t="shared" ref="Z169:AA169" si="225">Y169</f>
        <v>72788.571428571435</v>
      </c>
      <c r="AA169" s="2">
        <f t="shared" si="225"/>
        <v>72788.571428571435</v>
      </c>
      <c r="AQ169" s="2">
        <v>162</v>
      </c>
      <c r="AR169" s="2">
        <f t="shared" si="223"/>
        <v>20224.285714285714</v>
      </c>
      <c r="AS169" s="2">
        <f t="shared" si="223"/>
        <v>47991.428571428572</v>
      </c>
      <c r="AT169" s="2">
        <f t="shared" si="223"/>
        <v>70714.28571428571</v>
      </c>
      <c r="AU169" s="2">
        <f t="shared" si="223"/>
        <v>106071.42857142857</v>
      </c>
      <c r="AV169" s="2">
        <f t="shared" si="223"/>
        <v>198942.85714285713</v>
      </c>
      <c r="BK169" s="2">
        <v>162</v>
      </c>
      <c r="BL169" s="2">
        <f t="shared" si="224"/>
        <v>3017.1428571428573</v>
      </c>
      <c r="BM169" s="2">
        <f t="shared" si="224"/>
        <v>5280</v>
      </c>
      <c r="BN169" s="2">
        <f t="shared" si="224"/>
        <v>8297.1428571428569</v>
      </c>
      <c r="BO169" s="2">
        <f t="shared" si="224"/>
        <v>14331.428571428571</v>
      </c>
      <c r="BP169" s="2">
        <f t="shared" si="224"/>
        <v>130491.42857142857</v>
      </c>
      <c r="BV169" s="2">
        <v>162</v>
      </c>
      <c r="BW169" s="2">
        <f t="shared" si="175"/>
        <v>60578.57142857142</v>
      </c>
      <c r="BX169" s="2">
        <f t="shared" si="176"/>
        <v>126060</v>
      </c>
      <c r="BY169" s="2">
        <f t="shared" si="177"/>
        <v>151800.00000000003</v>
      </c>
      <c r="BZ169" s="2">
        <f t="shared" si="178"/>
        <v>193191.42857142858</v>
      </c>
      <c r="CA169" s="2">
        <f t="shared" si="179"/>
        <v>402222.85714285716</v>
      </c>
      <c r="CC169" s="41">
        <f t="shared" si="183"/>
        <v>0.6163424124513619</v>
      </c>
      <c r="CD169" s="41">
        <f t="shared" si="184"/>
        <v>0.33385214007782105</v>
      </c>
      <c r="CE169" s="41">
        <f t="shared" si="185"/>
        <v>4.9805447470817131E-2</v>
      </c>
    </row>
    <row r="170" spans="22:91" x14ac:dyDescent="0.2">
      <c r="V170" s="2">
        <v>163</v>
      </c>
      <c r="W170" s="2">
        <f t="shared" si="180"/>
        <v>37620</v>
      </c>
      <c r="X170" s="2">
        <f t="shared" si="180"/>
        <v>73340</v>
      </c>
      <c r="Y170" s="2">
        <f t="shared" si="181"/>
        <v>73340</v>
      </c>
      <c r="Z170" s="2">
        <f t="shared" ref="Z170:AA170" si="226">Y170</f>
        <v>73340</v>
      </c>
      <c r="AA170" s="2">
        <f t="shared" si="226"/>
        <v>73340</v>
      </c>
      <c r="AQ170" s="2">
        <v>163</v>
      </c>
      <c r="AR170" s="2">
        <f t="shared" si="223"/>
        <v>20377.5</v>
      </c>
      <c r="AS170" s="2">
        <f t="shared" si="223"/>
        <v>48355</v>
      </c>
      <c r="AT170" s="2">
        <f t="shared" si="223"/>
        <v>71250</v>
      </c>
      <c r="AU170" s="2">
        <f t="shared" si="223"/>
        <v>106875</v>
      </c>
      <c r="AV170" s="2">
        <f t="shared" si="223"/>
        <v>200450</v>
      </c>
      <c r="BK170" s="2">
        <v>163</v>
      </c>
      <c r="BL170" s="2">
        <f t="shared" si="224"/>
        <v>3040</v>
      </c>
      <c r="BM170" s="2">
        <f t="shared" si="224"/>
        <v>5320</v>
      </c>
      <c r="BN170" s="2">
        <f t="shared" si="224"/>
        <v>8360</v>
      </c>
      <c r="BO170" s="2">
        <f t="shared" si="224"/>
        <v>14440</v>
      </c>
      <c r="BP170" s="2">
        <f t="shared" si="224"/>
        <v>131480</v>
      </c>
      <c r="BV170" s="2">
        <v>163</v>
      </c>
      <c r="BW170" s="2">
        <f t="shared" si="175"/>
        <v>61037.5</v>
      </c>
      <c r="BX170" s="2">
        <f t="shared" si="176"/>
        <v>127015</v>
      </c>
      <c r="BY170" s="2">
        <f t="shared" si="177"/>
        <v>152950</v>
      </c>
      <c r="BZ170" s="2">
        <f t="shared" si="178"/>
        <v>194655</v>
      </c>
      <c r="CA170" s="2">
        <f t="shared" si="179"/>
        <v>405270</v>
      </c>
      <c r="CC170" s="41">
        <f t="shared" si="183"/>
        <v>0.6163424124513619</v>
      </c>
      <c r="CD170" s="41">
        <f t="shared" si="184"/>
        <v>0.33385214007782099</v>
      </c>
      <c r="CE170" s="41">
        <f t="shared" si="185"/>
        <v>4.9805447470817124E-2</v>
      </c>
    </row>
    <row r="171" spans="22:91" x14ac:dyDescent="0.2">
      <c r="V171" s="2">
        <v>164</v>
      </c>
      <c r="W171" s="2">
        <f t="shared" si="180"/>
        <v>37902.857142857145</v>
      </c>
      <c r="X171" s="2">
        <f t="shared" si="180"/>
        <v>73891.428571428565</v>
      </c>
      <c r="Y171" s="2">
        <f t="shared" si="181"/>
        <v>73891.428571428565</v>
      </c>
      <c r="Z171" s="2">
        <f t="shared" ref="Z171:AA171" si="227">Y171</f>
        <v>73891.428571428565</v>
      </c>
      <c r="AA171" s="2">
        <f t="shared" si="227"/>
        <v>73891.428571428565</v>
      </c>
      <c r="AQ171" s="2">
        <v>164</v>
      </c>
      <c r="AR171" s="2">
        <f t="shared" si="223"/>
        <v>20530.714285714286</v>
      </c>
      <c r="AS171" s="2">
        <f t="shared" si="223"/>
        <v>48718.571428571428</v>
      </c>
      <c r="AT171" s="2">
        <f t="shared" si="223"/>
        <v>71785.71428571429</v>
      </c>
      <c r="AU171" s="2">
        <f t="shared" si="223"/>
        <v>107678.57142857143</v>
      </c>
      <c r="AV171" s="2">
        <f t="shared" si="223"/>
        <v>201957.14285714287</v>
      </c>
      <c r="BK171" s="2">
        <v>164</v>
      </c>
      <c r="BL171" s="2">
        <f t="shared" si="224"/>
        <v>3062.8571428571427</v>
      </c>
      <c r="BM171" s="2">
        <f t="shared" si="224"/>
        <v>5360</v>
      </c>
      <c r="BN171" s="2">
        <f t="shared" si="224"/>
        <v>8422.8571428571431</v>
      </c>
      <c r="BO171" s="2">
        <f t="shared" si="224"/>
        <v>14548.571428571429</v>
      </c>
      <c r="BP171" s="2">
        <f t="shared" si="224"/>
        <v>132468.57142857142</v>
      </c>
      <c r="BV171" s="2">
        <v>164</v>
      </c>
      <c r="BW171" s="2">
        <f t="shared" si="175"/>
        <v>61496.42857142858</v>
      </c>
      <c r="BX171" s="2">
        <f t="shared" si="176"/>
        <v>127970</v>
      </c>
      <c r="BY171" s="2">
        <f t="shared" si="177"/>
        <v>154099.99999999997</v>
      </c>
      <c r="BZ171" s="2">
        <f t="shared" si="178"/>
        <v>196118.57142857142</v>
      </c>
      <c r="CA171" s="2">
        <f t="shared" si="179"/>
        <v>408317.14285714284</v>
      </c>
      <c r="CC171" s="41">
        <f t="shared" si="183"/>
        <v>0.61634241245136179</v>
      </c>
      <c r="CD171" s="41">
        <f t="shared" si="184"/>
        <v>0.33385214007782099</v>
      </c>
      <c r="CE171" s="41">
        <f t="shared" si="185"/>
        <v>4.980544747081711E-2</v>
      </c>
    </row>
    <row r="172" spans="22:91" x14ac:dyDescent="0.2">
      <c r="V172" s="2">
        <v>165</v>
      </c>
      <c r="W172" s="2">
        <f t="shared" si="180"/>
        <v>38185.714285714283</v>
      </c>
      <c r="X172" s="2">
        <f t="shared" si="180"/>
        <v>74442.857142857145</v>
      </c>
      <c r="Y172" s="2">
        <f t="shared" si="181"/>
        <v>74442.857142857145</v>
      </c>
      <c r="Z172" s="2">
        <f t="shared" ref="Z172:AA172" si="228">Y172</f>
        <v>74442.857142857145</v>
      </c>
      <c r="AA172" s="2">
        <f t="shared" si="228"/>
        <v>74442.857142857145</v>
      </c>
      <c r="AQ172" s="2">
        <v>165</v>
      </c>
      <c r="AR172" s="2">
        <f t="shared" si="223"/>
        <v>20683.928571428572</v>
      </c>
      <c r="AS172" s="2">
        <f t="shared" si="223"/>
        <v>49082.142857142855</v>
      </c>
      <c r="AT172" s="2">
        <f t="shared" si="223"/>
        <v>72321.428571428565</v>
      </c>
      <c r="AU172" s="2">
        <f t="shared" si="223"/>
        <v>108482.14285714286</v>
      </c>
      <c r="AV172" s="2">
        <f t="shared" si="223"/>
        <v>203464.28571428571</v>
      </c>
      <c r="BK172" s="2">
        <v>165</v>
      </c>
      <c r="BL172" s="2">
        <f t="shared" si="224"/>
        <v>3085.7142857142858</v>
      </c>
      <c r="BM172" s="2">
        <f t="shared" si="224"/>
        <v>5400</v>
      </c>
      <c r="BN172" s="2">
        <f t="shared" si="224"/>
        <v>8485.7142857142862</v>
      </c>
      <c r="BO172" s="2">
        <f t="shared" si="224"/>
        <v>14657.142857142857</v>
      </c>
      <c r="BP172" s="2">
        <f t="shared" si="224"/>
        <v>133457.14285714287</v>
      </c>
      <c r="BV172" s="2">
        <v>165</v>
      </c>
      <c r="BW172" s="2">
        <f t="shared" si="175"/>
        <v>61955.357142857138</v>
      </c>
      <c r="BX172" s="2">
        <f t="shared" si="176"/>
        <v>128925</v>
      </c>
      <c r="BY172" s="2">
        <f t="shared" si="177"/>
        <v>155250</v>
      </c>
      <c r="BZ172" s="2">
        <f t="shared" si="178"/>
        <v>197582.14285714287</v>
      </c>
      <c r="CA172" s="2">
        <f t="shared" si="179"/>
        <v>411364.28571428568</v>
      </c>
      <c r="CC172" s="41">
        <f t="shared" si="183"/>
        <v>0.6163424124513619</v>
      </c>
      <c r="CD172" s="41">
        <f t="shared" si="184"/>
        <v>0.33385214007782105</v>
      </c>
      <c r="CE172" s="41">
        <f t="shared" si="185"/>
        <v>4.9805447470817124E-2</v>
      </c>
    </row>
    <row r="173" spans="22:91" x14ac:dyDescent="0.2">
      <c r="V173" s="2">
        <v>166</v>
      </c>
      <c r="W173" s="2">
        <f t="shared" si="180"/>
        <v>38468.571428571428</v>
      </c>
      <c r="X173" s="2">
        <f t="shared" si="180"/>
        <v>74994.28571428571</v>
      </c>
      <c r="Y173" s="2">
        <f t="shared" si="181"/>
        <v>74994.28571428571</v>
      </c>
      <c r="Z173" s="2">
        <f t="shared" ref="Z173:AA173" si="229">Y173</f>
        <v>74994.28571428571</v>
      </c>
      <c r="AA173" s="2">
        <f t="shared" si="229"/>
        <v>74994.28571428571</v>
      </c>
      <c r="AQ173" s="2">
        <v>166</v>
      </c>
      <c r="AR173" s="2">
        <f t="shared" si="223"/>
        <v>20837.142857142859</v>
      </c>
      <c r="AS173" s="2">
        <f t="shared" si="223"/>
        <v>49445.714285714283</v>
      </c>
      <c r="AT173" s="2">
        <f t="shared" si="223"/>
        <v>72857.142857142855</v>
      </c>
      <c r="AU173" s="2">
        <f t="shared" si="223"/>
        <v>109285.71428571429</v>
      </c>
      <c r="AV173" s="2">
        <f t="shared" si="223"/>
        <v>204971.42857142858</v>
      </c>
      <c r="BK173" s="2">
        <v>166</v>
      </c>
      <c r="BL173" s="2">
        <f t="shared" si="224"/>
        <v>3108.5714285714284</v>
      </c>
      <c r="BM173" s="2">
        <f t="shared" si="224"/>
        <v>5440</v>
      </c>
      <c r="BN173" s="2">
        <f t="shared" si="224"/>
        <v>8548.5714285714294</v>
      </c>
      <c r="BO173" s="2">
        <f t="shared" si="224"/>
        <v>14765.714285714286</v>
      </c>
      <c r="BP173" s="2">
        <f t="shared" si="224"/>
        <v>134445.71428571429</v>
      </c>
      <c r="BV173" s="2">
        <v>166</v>
      </c>
      <c r="BW173" s="2">
        <f t="shared" si="175"/>
        <v>62414.285714285717</v>
      </c>
      <c r="BX173" s="2">
        <f t="shared" si="176"/>
        <v>129880</v>
      </c>
      <c r="BY173" s="2">
        <f t="shared" si="177"/>
        <v>156400</v>
      </c>
      <c r="BZ173" s="2">
        <f t="shared" si="178"/>
        <v>199045.71428571429</v>
      </c>
      <c r="CA173" s="2">
        <f t="shared" si="179"/>
        <v>414411.42857142864</v>
      </c>
      <c r="CC173" s="41">
        <f t="shared" si="183"/>
        <v>0.61634241245136179</v>
      </c>
      <c r="CD173" s="41">
        <f t="shared" si="184"/>
        <v>0.33385214007782105</v>
      </c>
      <c r="CE173" s="41">
        <f t="shared" si="185"/>
        <v>4.9805447470817117E-2</v>
      </c>
    </row>
    <row r="174" spans="22:91" x14ac:dyDescent="0.2">
      <c r="V174" s="2">
        <v>167</v>
      </c>
      <c r="W174" s="2">
        <f t="shared" si="180"/>
        <v>38751.428571428572</v>
      </c>
      <c r="X174" s="2">
        <f t="shared" si="180"/>
        <v>75545.71428571429</v>
      </c>
      <c r="Y174" s="2">
        <f t="shared" si="181"/>
        <v>75545.71428571429</v>
      </c>
      <c r="Z174" s="2">
        <f t="shared" ref="Z174:AA174" si="230">Y174</f>
        <v>75545.71428571429</v>
      </c>
      <c r="AA174" s="2">
        <f t="shared" si="230"/>
        <v>75545.71428571429</v>
      </c>
      <c r="AQ174" s="2">
        <v>167</v>
      </c>
      <c r="AR174" s="2">
        <f t="shared" si="223"/>
        <v>20990.357142857141</v>
      </c>
      <c r="AS174" s="2">
        <f t="shared" si="223"/>
        <v>49809.285714285717</v>
      </c>
      <c r="AT174" s="2">
        <f t="shared" si="223"/>
        <v>73392.857142857145</v>
      </c>
      <c r="AU174" s="2">
        <f t="shared" si="223"/>
        <v>110089.28571428571</v>
      </c>
      <c r="AV174" s="2">
        <f t="shared" si="223"/>
        <v>206478.57142857142</v>
      </c>
      <c r="BK174" s="2">
        <v>167</v>
      </c>
      <c r="BL174" s="2">
        <f t="shared" si="224"/>
        <v>3131.4285714285716</v>
      </c>
      <c r="BM174" s="2">
        <f t="shared" si="224"/>
        <v>5480</v>
      </c>
      <c r="BN174" s="2">
        <f t="shared" si="224"/>
        <v>8611.4285714285706</v>
      </c>
      <c r="BO174" s="2">
        <f t="shared" si="224"/>
        <v>14874.285714285714</v>
      </c>
      <c r="BP174" s="2">
        <f t="shared" si="224"/>
        <v>135434.28571428571</v>
      </c>
      <c r="BV174" s="2">
        <v>167</v>
      </c>
      <c r="BW174" s="2">
        <f t="shared" si="175"/>
        <v>62873.214285714283</v>
      </c>
      <c r="BX174" s="2">
        <f t="shared" si="176"/>
        <v>130835</v>
      </c>
      <c r="BY174" s="2">
        <f t="shared" si="177"/>
        <v>157550</v>
      </c>
      <c r="BZ174" s="2">
        <f t="shared" si="178"/>
        <v>200509.28571428571</v>
      </c>
      <c r="CA174" s="2">
        <f t="shared" si="179"/>
        <v>417458.57142857136</v>
      </c>
      <c r="CC174" s="41">
        <f t="shared" si="183"/>
        <v>0.6163424124513619</v>
      </c>
      <c r="CD174" s="41">
        <f t="shared" si="184"/>
        <v>0.33385214007782099</v>
      </c>
      <c r="CE174" s="41">
        <f t="shared" si="185"/>
        <v>4.9805447470817124E-2</v>
      </c>
    </row>
    <row r="175" spans="22:91" x14ac:dyDescent="0.2">
      <c r="V175" s="2">
        <v>168</v>
      </c>
      <c r="W175" s="2">
        <f t="shared" si="180"/>
        <v>39034.285714285717</v>
      </c>
      <c r="X175" s="2">
        <f t="shared" si="180"/>
        <v>76097.142857142855</v>
      </c>
      <c r="Y175" s="2">
        <f t="shared" si="181"/>
        <v>76097.142857142855</v>
      </c>
      <c r="Z175" s="2">
        <f t="shared" ref="Z175:AA175" si="231">Y175</f>
        <v>76097.142857142855</v>
      </c>
      <c r="AA175" s="2">
        <f t="shared" si="231"/>
        <v>76097.142857142855</v>
      </c>
      <c r="AQ175" s="2">
        <v>168</v>
      </c>
      <c r="AR175" s="2">
        <f t="shared" si="223"/>
        <v>21143.571428571428</v>
      </c>
      <c r="AS175" s="2">
        <f t="shared" si="223"/>
        <v>50172.857142857145</v>
      </c>
      <c r="AT175" s="2">
        <f t="shared" si="223"/>
        <v>73928.571428571435</v>
      </c>
      <c r="AU175" s="2">
        <f t="shared" si="223"/>
        <v>110892.85714285714</v>
      </c>
      <c r="AV175" s="2">
        <f t="shared" si="223"/>
        <v>207985.71428571429</v>
      </c>
      <c r="BK175" s="2">
        <v>168</v>
      </c>
      <c r="BL175" s="2">
        <f t="shared" si="224"/>
        <v>3154.2857142857142</v>
      </c>
      <c r="BM175" s="2">
        <f t="shared" si="224"/>
        <v>5520</v>
      </c>
      <c r="BN175" s="2">
        <f t="shared" si="224"/>
        <v>8674.2857142857138</v>
      </c>
      <c r="BO175" s="2">
        <f t="shared" si="224"/>
        <v>14982.857142857143</v>
      </c>
      <c r="BP175" s="2">
        <f t="shared" si="224"/>
        <v>136422.85714285713</v>
      </c>
      <c r="BV175" s="2">
        <v>168</v>
      </c>
      <c r="BW175" s="2">
        <f t="shared" si="175"/>
        <v>63332.142857142862</v>
      </c>
      <c r="BX175" s="2">
        <f t="shared" si="176"/>
        <v>131790</v>
      </c>
      <c r="BY175" s="2">
        <f t="shared" si="177"/>
        <v>158700</v>
      </c>
      <c r="BZ175" s="2">
        <f t="shared" si="178"/>
        <v>201972.85714285713</v>
      </c>
      <c r="CA175" s="2">
        <f t="shared" si="179"/>
        <v>420505.71428571432</v>
      </c>
      <c r="CC175" s="41">
        <f t="shared" si="183"/>
        <v>0.6163424124513619</v>
      </c>
      <c r="CD175" s="41">
        <f t="shared" si="184"/>
        <v>0.33385214007782099</v>
      </c>
      <c r="CE175" s="41">
        <f t="shared" si="185"/>
        <v>4.9805447470817117E-2</v>
      </c>
    </row>
    <row r="176" spans="22:91" x14ac:dyDescent="0.2">
      <c r="V176" s="2">
        <v>169</v>
      </c>
      <c r="W176" s="2">
        <f t="shared" si="180"/>
        <v>39317.142857142855</v>
      </c>
      <c r="X176" s="2">
        <f t="shared" si="180"/>
        <v>76648.571428571435</v>
      </c>
      <c r="Y176" s="2">
        <f t="shared" si="181"/>
        <v>76648.571428571435</v>
      </c>
      <c r="Z176" s="2">
        <f t="shared" ref="Z176:AA176" si="232">Y176</f>
        <v>76648.571428571435</v>
      </c>
      <c r="AA176" s="2">
        <f t="shared" si="232"/>
        <v>76648.571428571435</v>
      </c>
      <c r="AQ176" s="2">
        <v>169</v>
      </c>
      <c r="AR176" s="2">
        <f t="shared" si="223"/>
        <v>21296.785714285714</v>
      </c>
      <c r="AS176" s="2">
        <f t="shared" si="223"/>
        <v>50536.428571428572</v>
      </c>
      <c r="AT176" s="2">
        <f t="shared" si="223"/>
        <v>74464.28571428571</v>
      </c>
      <c r="AU176" s="2">
        <f t="shared" si="223"/>
        <v>111696.42857142857</v>
      </c>
      <c r="AV176" s="2">
        <f t="shared" si="223"/>
        <v>209492.85714285713</v>
      </c>
      <c r="BK176" s="2">
        <v>169</v>
      </c>
      <c r="BL176" s="2">
        <f t="shared" si="224"/>
        <v>3177.1428571428573</v>
      </c>
      <c r="BM176" s="2">
        <f t="shared" si="224"/>
        <v>5560</v>
      </c>
      <c r="BN176" s="2">
        <f t="shared" si="224"/>
        <v>8737.1428571428569</v>
      </c>
      <c r="BO176" s="2">
        <f t="shared" si="224"/>
        <v>15091.428571428571</v>
      </c>
      <c r="BP176" s="2">
        <f t="shared" si="224"/>
        <v>137411.42857142858</v>
      </c>
      <c r="BV176" s="2">
        <v>169</v>
      </c>
      <c r="BW176" s="2">
        <f t="shared" si="175"/>
        <v>63791.07142857142</v>
      </c>
      <c r="BX176" s="2">
        <f t="shared" si="176"/>
        <v>132745</v>
      </c>
      <c r="BY176" s="2">
        <f t="shared" si="177"/>
        <v>159850.00000000003</v>
      </c>
      <c r="BZ176" s="2">
        <f t="shared" si="178"/>
        <v>203436.42857142858</v>
      </c>
      <c r="CA176" s="2">
        <f t="shared" si="179"/>
        <v>423552.85714285716</v>
      </c>
      <c r="CC176" s="41">
        <f t="shared" si="183"/>
        <v>0.6163424124513619</v>
      </c>
      <c r="CD176" s="41">
        <f t="shared" si="184"/>
        <v>0.33385214007782105</v>
      </c>
      <c r="CE176" s="41">
        <f t="shared" si="185"/>
        <v>4.9805447470817131E-2</v>
      </c>
    </row>
    <row r="177" spans="22:83" x14ac:dyDescent="0.2">
      <c r="V177" s="2">
        <v>170</v>
      </c>
      <c r="W177" s="2">
        <f t="shared" si="180"/>
        <v>39600</v>
      </c>
      <c r="X177" s="2">
        <f t="shared" si="180"/>
        <v>77200</v>
      </c>
      <c r="Y177" s="2">
        <f t="shared" si="181"/>
        <v>77200</v>
      </c>
      <c r="Z177" s="2">
        <f t="shared" ref="Z177:AA177" si="233">Y177</f>
        <v>77200</v>
      </c>
      <c r="AA177" s="2">
        <f t="shared" si="233"/>
        <v>77200</v>
      </c>
      <c r="AQ177" s="2">
        <v>170</v>
      </c>
      <c r="AR177" s="2">
        <f t="shared" si="223"/>
        <v>21450</v>
      </c>
      <c r="AS177" s="2">
        <f t="shared" si="223"/>
        <v>50900</v>
      </c>
      <c r="AT177" s="2">
        <f t="shared" si="223"/>
        <v>75000</v>
      </c>
      <c r="AU177" s="2">
        <f t="shared" si="223"/>
        <v>112500</v>
      </c>
      <c r="AV177" s="2">
        <f t="shared" si="223"/>
        <v>211000</v>
      </c>
      <c r="BK177" s="2">
        <v>170</v>
      </c>
      <c r="BL177" s="2">
        <f t="shared" si="224"/>
        <v>3200</v>
      </c>
      <c r="BM177" s="2">
        <f t="shared" si="224"/>
        <v>5600</v>
      </c>
      <c r="BN177" s="2">
        <f t="shared" si="224"/>
        <v>8800</v>
      </c>
      <c r="BO177" s="2">
        <f t="shared" si="224"/>
        <v>15200</v>
      </c>
      <c r="BP177" s="2">
        <f t="shared" si="224"/>
        <v>138400</v>
      </c>
      <c r="BV177" s="2">
        <v>170</v>
      </c>
      <c r="BW177" s="2">
        <f t="shared" si="175"/>
        <v>64250</v>
      </c>
      <c r="BX177" s="2">
        <f t="shared" si="176"/>
        <v>133700</v>
      </c>
      <c r="BY177" s="2">
        <f t="shared" si="177"/>
        <v>161000</v>
      </c>
      <c r="BZ177" s="2">
        <f t="shared" si="178"/>
        <v>204900</v>
      </c>
      <c r="CA177" s="2">
        <f t="shared" si="179"/>
        <v>426600</v>
      </c>
      <c r="CC177" s="41">
        <f t="shared" si="183"/>
        <v>0.6163424124513619</v>
      </c>
      <c r="CD177" s="41">
        <f t="shared" si="184"/>
        <v>0.33385214007782099</v>
      </c>
      <c r="CE177" s="41">
        <f t="shared" si="185"/>
        <v>4.9805447470817124E-2</v>
      </c>
    </row>
    <row r="178" spans="22:83" x14ac:dyDescent="0.2">
      <c r="V178" s="2">
        <v>171</v>
      </c>
      <c r="W178" s="2">
        <f t="shared" si="180"/>
        <v>39882.857142857145</v>
      </c>
      <c r="X178" s="2">
        <f t="shared" si="180"/>
        <v>77751.428571428565</v>
      </c>
      <c r="Y178" s="2">
        <f t="shared" si="181"/>
        <v>77751.428571428565</v>
      </c>
      <c r="Z178" s="2">
        <f t="shared" ref="Z178:AA178" si="234">Y178</f>
        <v>77751.428571428565</v>
      </c>
      <c r="AA178" s="2">
        <f t="shared" si="234"/>
        <v>77751.428571428565</v>
      </c>
      <c r="AQ178" s="2">
        <v>171</v>
      </c>
      <c r="AR178" s="2">
        <f t="shared" ref="AR178:AV187" si="235">MAX($AQ178-$C$2,0)*INDEX($AN$8:$AN$44,MATCH(AR$7,$AO$8:$AO$44,0))/$C$3</f>
        <v>21603.214285714286</v>
      </c>
      <c r="AS178" s="2">
        <f t="shared" si="235"/>
        <v>51263.571428571428</v>
      </c>
      <c r="AT178" s="2">
        <f t="shared" si="235"/>
        <v>75535.71428571429</v>
      </c>
      <c r="AU178" s="2">
        <f t="shared" si="235"/>
        <v>113303.57142857143</v>
      </c>
      <c r="AV178" s="2">
        <f t="shared" si="235"/>
        <v>212507.14285714287</v>
      </c>
      <c r="BK178" s="2">
        <v>171</v>
      </c>
      <c r="BL178" s="2">
        <f t="shared" ref="BL178:BP187" si="236">IFERROR(MAX($BK178-$C$2,0)*INDEX($BH$8:$BH$16,MATCH(BL$7,$BI$8:$BI$16,0))*$C$4/$C$3,BM178)</f>
        <v>3222.8571428571427</v>
      </c>
      <c r="BM178" s="2">
        <f t="shared" si="236"/>
        <v>5640</v>
      </c>
      <c r="BN178" s="2">
        <f t="shared" si="236"/>
        <v>8862.8571428571431</v>
      </c>
      <c r="BO178" s="2">
        <f t="shared" si="236"/>
        <v>15308.571428571429</v>
      </c>
      <c r="BP178" s="2">
        <f t="shared" si="236"/>
        <v>139388.57142857142</v>
      </c>
      <c r="BV178" s="2">
        <v>171</v>
      </c>
      <c r="BW178" s="2">
        <f t="shared" si="175"/>
        <v>64708.92857142858</v>
      </c>
      <c r="BX178" s="2">
        <f t="shared" si="176"/>
        <v>134655</v>
      </c>
      <c r="BY178" s="2">
        <f t="shared" si="177"/>
        <v>162149.99999999997</v>
      </c>
      <c r="BZ178" s="2">
        <f t="shared" si="178"/>
        <v>206363.57142857142</v>
      </c>
      <c r="CA178" s="2">
        <f t="shared" si="179"/>
        <v>429647.14285714284</v>
      </c>
      <c r="CC178" s="41">
        <f t="shared" si="183"/>
        <v>0.61634241245136179</v>
      </c>
      <c r="CD178" s="41">
        <f t="shared" si="184"/>
        <v>0.33385214007782099</v>
      </c>
      <c r="CE178" s="41">
        <f t="shared" si="185"/>
        <v>4.980544747081711E-2</v>
      </c>
    </row>
    <row r="179" spans="22:83" x14ac:dyDescent="0.2">
      <c r="V179" s="2">
        <v>172</v>
      </c>
      <c r="W179" s="2">
        <f t="shared" si="180"/>
        <v>40165.714285714283</v>
      </c>
      <c r="X179" s="2">
        <f t="shared" si="180"/>
        <v>78302.857142857145</v>
      </c>
      <c r="Y179" s="2">
        <f t="shared" si="181"/>
        <v>78302.857142857145</v>
      </c>
      <c r="Z179" s="2">
        <f t="shared" ref="Z179:AA179" si="237">Y179</f>
        <v>78302.857142857145</v>
      </c>
      <c r="AA179" s="2">
        <f t="shared" si="237"/>
        <v>78302.857142857145</v>
      </c>
      <c r="AQ179" s="2">
        <v>172</v>
      </c>
      <c r="AR179" s="2">
        <f t="shared" si="235"/>
        <v>21756.428571428572</v>
      </c>
      <c r="AS179" s="2">
        <f t="shared" si="235"/>
        <v>51627.142857142855</v>
      </c>
      <c r="AT179" s="2">
        <f t="shared" si="235"/>
        <v>76071.428571428565</v>
      </c>
      <c r="AU179" s="2">
        <f t="shared" si="235"/>
        <v>114107.14285714286</v>
      </c>
      <c r="AV179" s="2">
        <f t="shared" si="235"/>
        <v>214014.28571428571</v>
      </c>
      <c r="BK179" s="2">
        <v>172</v>
      </c>
      <c r="BL179" s="2">
        <f t="shared" si="236"/>
        <v>3245.7142857142858</v>
      </c>
      <c r="BM179" s="2">
        <f t="shared" si="236"/>
        <v>5680</v>
      </c>
      <c r="BN179" s="2">
        <f t="shared" si="236"/>
        <v>8925.7142857142862</v>
      </c>
      <c r="BO179" s="2">
        <f t="shared" si="236"/>
        <v>15417.142857142857</v>
      </c>
      <c r="BP179" s="2">
        <f t="shared" si="236"/>
        <v>140377.14285714287</v>
      </c>
      <c r="BV179" s="2">
        <v>172</v>
      </c>
      <c r="BW179" s="2">
        <f t="shared" si="175"/>
        <v>65167.857142857138</v>
      </c>
      <c r="BX179" s="2">
        <f t="shared" si="176"/>
        <v>135610</v>
      </c>
      <c r="BY179" s="2">
        <f t="shared" si="177"/>
        <v>163300</v>
      </c>
      <c r="BZ179" s="2">
        <f t="shared" si="178"/>
        <v>207827.14285714287</v>
      </c>
      <c r="CA179" s="2">
        <f t="shared" si="179"/>
        <v>432694.28571428568</v>
      </c>
      <c r="CC179" s="41">
        <f t="shared" si="183"/>
        <v>0.6163424124513619</v>
      </c>
      <c r="CD179" s="41">
        <f t="shared" si="184"/>
        <v>0.33385214007782105</v>
      </c>
      <c r="CE179" s="41">
        <f t="shared" si="185"/>
        <v>4.9805447470817124E-2</v>
      </c>
    </row>
    <row r="180" spans="22:83" x14ac:dyDescent="0.2">
      <c r="V180" s="2">
        <v>173</v>
      </c>
      <c r="W180" s="2">
        <f t="shared" si="180"/>
        <v>40448.571428571428</v>
      </c>
      <c r="X180" s="2">
        <f t="shared" si="180"/>
        <v>78854.28571428571</v>
      </c>
      <c r="Y180" s="2">
        <f t="shared" si="181"/>
        <v>78854.28571428571</v>
      </c>
      <c r="Z180" s="2">
        <f t="shared" ref="Z180:AA180" si="238">Y180</f>
        <v>78854.28571428571</v>
      </c>
      <c r="AA180" s="2">
        <f t="shared" si="238"/>
        <v>78854.28571428571</v>
      </c>
      <c r="AQ180" s="2">
        <v>173</v>
      </c>
      <c r="AR180" s="2">
        <f t="shared" si="235"/>
        <v>21909.642857142859</v>
      </c>
      <c r="AS180" s="2">
        <f t="shared" si="235"/>
        <v>51990.714285714283</v>
      </c>
      <c r="AT180" s="2">
        <f t="shared" si="235"/>
        <v>76607.142857142855</v>
      </c>
      <c r="AU180" s="2">
        <f t="shared" si="235"/>
        <v>114910.71428571429</v>
      </c>
      <c r="AV180" s="2">
        <f t="shared" si="235"/>
        <v>215521.42857142858</v>
      </c>
      <c r="BK180" s="2">
        <v>173</v>
      </c>
      <c r="BL180" s="2">
        <f t="shared" si="236"/>
        <v>3268.5714285714284</v>
      </c>
      <c r="BM180" s="2">
        <f t="shared" si="236"/>
        <v>5720</v>
      </c>
      <c r="BN180" s="2">
        <f t="shared" si="236"/>
        <v>8988.5714285714294</v>
      </c>
      <c r="BO180" s="2">
        <f t="shared" si="236"/>
        <v>15525.714285714286</v>
      </c>
      <c r="BP180" s="2">
        <f t="shared" si="236"/>
        <v>141365.71428571429</v>
      </c>
      <c r="BV180" s="2">
        <v>173</v>
      </c>
      <c r="BW180" s="2">
        <f t="shared" si="175"/>
        <v>65626.785714285725</v>
      </c>
      <c r="BX180" s="2">
        <f t="shared" si="176"/>
        <v>136565</v>
      </c>
      <c r="BY180" s="2">
        <f t="shared" si="177"/>
        <v>164450</v>
      </c>
      <c r="BZ180" s="2">
        <f t="shared" si="178"/>
        <v>209290.71428571429</v>
      </c>
      <c r="CA180" s="2">
        <f t="shared" si="179"/>
        <v>435741.42857142864</v>
      </c>
      <c r="CC180" s="41">
        <f t="shared" si="183"/>
        <v>0.61634241245136179</v>
      </c>
      <c r="CD180" s="41">
        <f t="shared" si="184"/>
        <v>0.33385214007782099</v>
      </c>
      <c r="CE180" s="41">
        <f t="shared" si="185"/>
        <v>4.980544747081711E-2</v>
      </c>
    </row>
    <row r="181" spans="22:83" x14ac:dyDescent="0.2">
      <c r="V181" s="2">
        <v>174</v>
      </c>
      <c r="W181" s="2">
        <f t="shared" si="180"/>
        <v>40731.428571428572</v>
      </c>
      <c r="X181" s="2">
        <f t="shared" si="180"/>
        <v>79405.71428571429</v>
      </c>
      <c r="Y181" s="2">
        <f t="shared" si="181"/>
        <v>79405.71428571429</v>
      </c>
      <c r="Z181" s="2">
        <f t="shared" ref="Z181:AA181" si="239">Y181</f>
        <v>79405.71428571429</v>
      </c>
      <c r="AA181" s="2">
        <f t="shared" si="239"/>
        <v>79405.71428571429</v>
      </c>
      <c r="AQ181" s="2">
        <v>174</v>
      </c>
      <c r="AR181" s="2">
        <f t="shared" si="235"/>
        <v>22062.857142857141</v>
      </c>
      <c r="AS181" s="2">
        <f t="shared" si="235"/>
        <v>52354.285714285717</v>
      </c>
      <c r="AT181" s="2">
        <f t="shared" si="235"/>
        <v>77142.857142857145</v>
      </c>
      <c r="AU181" s="2">
        <f t="shared" si="235"/>
        <v>115714.28571428571</v>
      </c>
      <c r="AV181" s="2">
        <f t="shared" si="235"/>
        <v>217028.57142857142</v>
      </c>
      <c r="BK181" s="2">
        <v>174</v>
      </c>
      <c r="BL181" s="2">
        <f t="shared" si="236"/>
        <v>3291.4285714285716</v>
      </c>
      <c r="BM181" s="2">
        <f t="shared" si="236"/>
        <v>5760</v>
      </c>
      <c r="BN181" s="2">
        <f t="shared" si="236"/>
        <v>9051.4285714285706</v>
      </c>
      <c r="BO181" s="2">
        <f t="shared" si="236"/>
        <v>15634.285714285714</v>
      </c>
      <c r="BP181" s="2">
        <f t="shared" si="236"/>
        <v>142354.28571428571</v>
      </c>
      <c r="BV181" s="2">
        <v>174</v>
      </c>
      <c r="BW181" s="2">
        <f t="shared" si="175"/>
        <v>66085.714285714275</v>
      </c>
      <c r="BX181" s="2">
        <f t="shared" si="176"/>
        <v>137520</v>
      </c>
      <c r="BY181" s="2">
        <f t="shared" si="177"/>
        <v>165600</v>
      </c>
      <c r="BZ181" s="2">
        <f t="shared" si="178"/>
        <v>210754.28571428571</v>
      </c>
      <c r="CA181" s="2">
        <f t="shared" si="179"/>
        <v>438788.57142857136</v>
      </c>
      <c r="CC181" s="41">
        <f t="shared" si="183"/>
        <v>0.61634241245136201</v>
      </c>
      <c r="CD181" s="41">
        <f t="shared" si="184"/>
        <v>0.33385214007782105</v>
      </c>
      <c r="CE181" s="41">
        <f t="shared" si="185"/>
        <v>4.9805447470817131E-2</v>
      </c>
    </row>
    <row r="182" spans="22:83" x14ac:dyDescent="0.2">
      <c r="V182" s="2">
        <v>175</v>
      </c>
      <c r="W182" s="2">
        <f t="shared" si="180"/>
        <v>41014.285714285717</v>
      </c>
      <c r="X182" s="2">
        <f t="shared" si="180"/>
        <v>79957.142857142855</v>
      </c>
      <c r="Y182" s="2">
        <f t="shared" si="181"/>
        <v>79957.142857142855</v>
      </c>
      <c r="Z182" s="2">
        <f t="shared" ref="Z182:AA182" si="240">Y182</f>
        <v>79957.142857142855</v>
      </c>
      <c r="AA182" s="2">
        <f t="shared" si="240"/>
        <v>79957.142857142855</v>
      </c>
      <c r="AQ182" s="2">
        <v>175</v>
      </c>
      <c r="AR182" s="2">
        <f t="shared" si="235"/>
        <v>22216.071428571428</v>
      </c>
      <c r="AS182" s="2">
        <f t="shared" si="235"/>
        <v>52717.857142857145</v>
      </c>
      <c r="AT182" s="2">
        <f t="shared" si="235"/>
        <v>77678.571428571435</v>
      </c>
      <c r="AU182" s="2">
        <f t="shared" si="235"/>
        <v>116517.85714285714</v>
      </c>
      <c r="AV182" s="2">
        <f t="shared" si="235"/>
        <v>218535.71428571429</v>
      </c>
      <c r="BK182" s="2">
        <v>175</v>
      </c>
      <c r="BL182" s="2">
        <f t="shared" si="236"/>
        <v>3314.2857142857142</v>
      </c>
      <c r="BM182" s="2">
        <f t="shared" si="236"/>
        <v>5800</v>
      </c>
      <c r="BN182" s="2">
        <f t="shared" si="236"/>
        <v>9114.2857142857138</v>
      </c>
      <c r="BO182" s="2">
        <f t="shared" si="236"/>
        <v>15742.857142857143</v>
      </c>
      <c r="BP182" s="2">
        <f t="shared" si="236"/>
        <v>143342.85714285713</v>
      </c>
      <c r="BV182" s="2">
        <v>175</v>
      </c>
      <c r="BW182" s="2">
        <f t="shared" si="175"/>
        <v>66544.642857142855</v>
      </c>
      <c r="BX182" s="2">
        <f t="shared" si="176"/>
        <v>138475</v>
      </c>
      <c r="BY182" s="2">
        <f t="shared" si="177"/>
        <v>166750</v>
      </c>
      <c r="BZ182" s="2">
        <f t="shared" si="178"/>
        <v>212217.85714285713</v>
      </c>
      <c r="CA182" s="2">
        <f t="shared" si="179"/>
        <v>441835.71428571432</v>
      </c>
      <c r="CC182" s="41">
        <f t="shared" si="183"/>
        <v>0.6163424124513619</v>
      </c>
      <c r="CD182" s="41">
        <f t="shared" si="184"/>
        <v>0.33385214007782099</v>
      </c>
      <c r="CE182" s="41">
        <f t="shared" si="185"/>
        <v>4.9805447470817124E-2</v>
      </c>
    </row>
    <row r="183" spans="22:83" x14ac:dyDescent="0.2">
      <c r="V183" s="2">
        <v>176</v>
      </c>
      <c r="W183" s="2">
        <f t="shared" si="180"/>
        <v>41297.142857142855</v>
      </c>
      <c r="X183" s="2">
        <f t="shared" si="180"/>
        <v>80508.571428571435</v>
      </c>
      <c r="Y183" s="2">
        <f t="shared" si="181"/>
        <v>80508.571428571435</v>
      </c>
      <c r="Z183" s="2">
        <f t="shared" ref="Z183:AA183" si="241">Y183</f>
        <v>80508.571428571435</v>
      </c>
      <c r="AA183" s="2">
        <f t="shared" si="241"/>
        <v>80508.571428571435</v>
      </c>
      <c r="AQ183" s="2">
        <v>176</v>
      </c>
      <c r="AR183" s="2">
        <f t="shared" si="235"/>
        <v>22369.285714285714</v>
      </c>
      <c r="AS183" s="2">
        <f t="shared" si="235"/>
        <v>53081.428571428572</v>
      </c>
      <c r="AT183" s="2">
        <f t="shared" si="235"/>
        <v>78214.28571428571</v>
      </c>
      <c r="AU183" s="2">
        <f t="shared" si="235"/>
        <v>117321.42857142857</v>
      </c>
      <c r="AV183" s="2">
        <f t="shared" si="235"/>
        <v>220042.85714285713</v>
      </c>
      <c r="BK183" s="2">
        <v>176</v>
      </c>
      <c r="BL183" s="2">
        <f t="shared" si="236"/>
        <v>3337.1428571428573</v>
      </c>
      <c r="BM183" s="2">
        <f t="shared" si="236"/>
        <v>5840</v>
      </c>
      <c r="BN183" s="2">
        <f t="shared" si="236"/>
        <v>9177.1428571428569</v>
      </c>
      <c r="BO183" s="2">
        <f t="shared" si="236"/>
        <v>15851.428571428571</v>
      </c>
      <c r="BP183" s="2">
        <f t="shared" si="236"/>
        <v>144331.42857142858</v>
      </c>
      <c r="BV183" s="2">
        <v>176</v>
      </c>
      <c r="BW183" s="2">
        <f t="shared" si="175"/>
        <v>67003.57142857142</v>
      </c>
      <c r="BX183" s="2">
        <f t="shared" si="176"/>
        <v>139430</v>
      </c>
      <c r="BY183" s="2">
        <f t="shared" si="177"/>
        <v>167900.00000000003</v>
      </c>
      <c r="BZ183" s="2">
        <f t="shared" si="178"/>
        <v>213681.42857142858</v>
      </c>
      <c r="CA183" s="2">
        <f t="shared" si="179"/>
        <v>444882.85714285716</v>
      </c>
      <c r="CC183" s="41">
        <f t="shared" si="183"/>
        <v>0.6163424124513619</v>
      </c>
      <c r="CD183" s="41">
        <f t="shared" si="184"/>
        <v>0.33385214007782105</v>
      </c>
      <c r="CE183" s="41">
        <f t="shared" si="185"/>
        <v>4.9805447470817131E-2</v>
      </c>
    </row>
    <row r="184" spans="22:83" x14ac:dyDescent="0.2">
      <c r="V184" s="2">
        <v>177</v>
      </c>
      <c r="W184" s="2">
        <f t="shared" si="180"/>
        <v>41580</v>
      </c>
      <c r="X184" s="2">
        <f t="shared" si="180"/>
        <v>81060</v>
      </c>
      <c r="Y184" s="2">
        <f t="shared" si="181"/>
        <v>81060</v>
      </c>
      <c r="Z184" s="2">
        <f t="shared" ref="Z184:AA184" si="242">Y184</f>
        <v>81060</v>
      </c>
      <c r="AA184" s="2">
        <f t="shared" si="242"/>
        <v>81060</v>
      </c>
      <c r="AQ184" s="2">
        <v>177</v>
      </c>
      <c r="AR184" s="2">
        <f t="shared" si="235"/>
        <v>22522.5</v>
      </c>
      <c r="AS184" s="2">
        <f t="shared" si="235"/>
        <v>53445</v>
      </c>
      <c r="AT184" s="2">
        <f t="shared" si="235"/>
        <v>78750</v>
      </c>
      <c r="AU184" s="2">
        <f t="shared" si="235"/>
        <v>118125</v>
      </c>
      <c r="AV184" s="2">
        <f t="shared" si="235"/>
        <v>221550</v>
      </c>
      <c r="BK184" s="2">
        <v>177</v>
      </c>
      <c r="BL184" s="2">
        <f t="shared" si="236"/>
        <v>3360</v>
      </c>
      <c r="BM184" s="2">
        <f t="shared" si="236"/>
        <v>5880</v>
      </c>
      <c r="BN184" s="2">
        <f t="shared" si="236"/>
        <v>9240</v>
      </c>
      <c r="BO184" s="2">
        <f t="shared" si="236"/>
        <v>15960</v>
      </c>
      <c r="BP184" s="2">
        <f t="shared" si="236"/>
        <v>145320</v>
      </c>
      <c r="BV184" s="2">
        <v>177</v>
      </c>
      <c r="BW184" s="2">
        <f t="shared" si="175"/>
        <v>67462.5</v>
      </c>
      <c r="BX184" s="2">
        <f t="shared" si="176"/>
        <v>140385</v>
      </c>
      <c r="BY184" s="2">
        <f t="shared" si="177"/>
        <v>169050</v>
      </c>
      <c r="BZ184" s="2">
        <f t="shared" si="178"/>
        <v>215145</v>
      </c>
      <c r="CA184" s="2">
        <f t="shared" si="179"/>
        <v>447930</v>
      </c>
      <c r="CC184" s="41">
        <f t="shared" si="183"/>
        <v>0.6163424124513619</v>
      </c>
      <c r="CD184" s="41">
        <f t="shared" si="184"/>
        <v>0.33385214007782099</v>
      </c>
      <c r="CE184" s="41">
        <f t="shared" si="185"/>
        <v>4.9805447470817124E-2</v>
      </c>
    </row>
    <row r="185" spans="22:83" x14ac:dyDescent="0.2">
      <c r="V185" s="2">
        <v>178</v>
      </c>
      <c r="W185" s="2">
        <f t="shared" si="180"/>
        <v>41862.857142857145</v>
      </c>
      <c r="X185" s="2">
        <f t="shared" si="180"/>
        <v>81611.428571428565</v>
      </c>
      <c r="Y185" s="2">
        <f t="shared" si="181"/>
        <v>81611.428571428565</v>
      </c>
      <c r="Z185" s="2">
        <f t="shared" ref="Z185:AA185" si="243">Y185</f>
        <v>81611.428571428565</v>
      </c>
      <c r="AA185" s="2">
        <f t="shared" si="243"/>
        <v>81611.428571428565</v>
      </c>
      <c r="AQ185" s="2">
        <v>178</v>
      </c>
      <c r="AR185" s="2">
        <f t="shared" si="235"/>
        <v>22675.714285714286</v>
      </c>
      <c r="AS185" s="2">
        <f t="shared" si="235"/>
        <v>53808.571428571428</v>
      </c>
      <c r="AT185" s="2">
        <f t="shared" si="235"/>
        <v>79285.71428571429</v>
      </c>
      <c r="AU185" s="2">
        <f t="shared" si="235"/>
        <v>118928.57142857143</v>
      </c>
      <c r="AV185" s="2">
        <f t="shared" si="235"/>
        <v>223057.14285714287</v>
      </c>
      <c r="BK185" s="2">
        <v>178</v>
      </c>
      <c r="BL185" s="2">
        <f t="shared" si="236"/>
        <v>3382.8571428571427</v>
      </c>
      <c r="BM185" s="2">
        <f t="shared" si="236"/>
        <v>5920</v>
      </c>
      <c r="BN185" s="2">
        <f t="shared" si="236"/>
        <v>9302.8571428571431</v>
      </c>
      <c r="BO185" s="2">
        <f t="shared" si="236"/>
        <v>16068.571428571429</v>
      </c>
      <c r="BP185" s="2">
        <f t="shared" si="236"/>
        <v>146308.57142857142</v>
      </c>
      <c r="BV185" s="2">
        <v>178</v>
      </c>
      <c r="BW185" s="2">
        <f t="shared" si="175"/>
        <v>67921.42857142858</v>
      </c>
      <c r="BX185" s="2">
        <f t="shared" si="176"/>
        <v>141340</v>
      </c>
      <c r="BY185" s="2">
        <f t="shared" si="177"/>
        <v>170199.99999999997</v>
      </c>
      <c r="BZ185" s="2">
        <f t="shared" si="178"/>
        <v>216608.57142857142</v>
      </c>
      <c r="CA185" s="2">
        <f t="shared" si="179"/>
        <v>450977.14285714284</v>
      </c>
      <c r="CC185" s="41">
        <f t="shared" si="183"/>
        <v>0.61634241245136179</v>
      </c>
      <c r="CD185" s="41">
        <f t="shared" si="184"/>
        <v>0.33385214007782099</v>
      </c>
      <c r="CE185" s="41">
        <f t="shared" si="185"/>
        <v>4.980544747081711E-2</v>
      </c>
    </row>
    <row r="186" spans="22:83" x14ac:dyDescent="0.2">
      <c r="V186" s="2">
        <v>179</v>
      </c>
      <c r="W186" s="2">
        <f t="shared" si="180"/>
        <v>42145.714285714283</v>
      </c>
      <c r="X186" s="2">
        <f t="shared" si="180"/>
        <v>82162.857142857145</v>
      </c>
      <c r="Y186" s="2">
        <f t="shared" si="181"/>
        <v>82162.857142857145</v>
      </c>
      <c r="Z186" s="2">
        <f t="shared" ref="Z186:AA186" si="244">Y186</f>
        <v>82162.857142857145</v>
      </c>
      <c r="AA186" s="2">
        <f t="shared" si="244"/>
        <v>82162.857142857145</v>
      </c>
      <c r="AQ186" s="2">
        <v>179</v>
      </c>
      <c r="AR186" s="2">
        <f t="shared" si="235"/>
        <v>22828.928571428572</v>
      </c>
      <c r="AS186" s="2">
        <f t="shared" si="235"/>
        <v>54172.142857142855</v>
      </c>
      <c r="AT186" s="2">
        <f t="shared" si="235"/>
        <v>79821.428571428565</v>
      </c>
      <c r="AU186" s="2">
        <f t="shared" si="235"/>
        <v>119732.14285714286</v>
      </c>
      <c r="AV186" s="2">
        <f t="shared" si="235"/>
        <v>224564.28571428571</v>
      </c>
      <c r="BK186" s="2">
        <v>179</v>
      </c>
      <c r="BL186" s="2">
        <f t="shared" si="236"/>
        <v>3405.7142857142858</v>
      </c>
      <c r="BM186" s="2">
        <f t="shared" si="236"/>
        <v>5960</v>
      </c>
      <c r="BN186" s="2">
        <f t="shared" si="236"/>
        <v>9365.7142857142862</v>
      </c>
      <c r="BO186" s="2">
        <f t="shared" si="236"/>
        <v>16177.142857142857</v>
      </c>
      <c r="BP186" s="2">
        <f t="shared" si="236"/>
        <v>147297.14285714287</v>
      </c>
      <c r="BV186" s="2">
        <v>179</v>
      </c>
      <c r="BW186" s="2">
        <f t="shared" si="175"/>
        <v>68380.357142857145</v>
      </c>
      <c r="BX186" s="2">
        <f t="shared" si="176"/>
        <v>142295</v>
      </c>
      <c r="BY186" s="2">
        <f t="shared" si="177"/>
        <v>171350</v>
      </c>
      <c r="BZ186" s="2">
        <f t="shared" si="178"/>
        <v>218072.14285714287</v>
      </c>
      <c r="CA186" s="2">
        <f t="shared" si="179"/>
        <v>454024.28571428568</v>
      </c>
      <c r="CC186" s="41">
        <f t="shared" si="183"/>
        <v>0.61634241245136179</v>
      </c>
      <c r="CD186" s="41">
        <f t="shared" si="184"/>
        <v>0.33385214007782099</v>
      </c>
      <c r="CE186" s="41">
        <f t="shared" si="185"/>
        <v>4.9805447470817117E-2</v>
      </c>
    </row>
    <row r="187" spans="22:83" x14ac:dyDescent="0.2">
      <c r="V187" s="2">
        <v>180</v>
      </c>
      <c r="W187" s="2">
        <f t="shared" si="180"/>
        <v>42428.571428571428</v>
      </c>
      <c r="X187" s="2">
        <f t="shared" si="180"/>
        <v>82714.28571428571</v>
      </c>
      <c r="Y187" s="2">
        <f t="shared" si="181"/>
        <v>82714.28571428571</v>
      </c>
      <c r="Z187" s="2">
        <f t="shared" ref="Z187:AA187" si="245">Y187</f>
        <v>82714.28571428571</v>
      </c>
      <c r="AA187" s="2">
        <f t="shared" si="245"/>
        <v>82714.28571428571</v>
      </c>
      <c r="AQ187" s="2">
        <v>180</v>
      </c>
      <c r="AR187" s="2">
        <f t="shared" si="235"/>
        <v>22982.142857142859</v>
      </c>
      <c r="AS187" s="2">
        <f t="shared" si="235"/>
        <v>54535.714285714283</v>
      </c>
      <c r="AT187" s="2">
        <f t="shared" si="235"/>
        <v>80357.142857142855</v>
      </c>
      <c r="AU187" s="2">
        <f t="shared" si="235"/>
        <v>120535.71428571429</v>
      </c>
      <c r="AV187" s="2">
        <f t="shared" si="235"/>
        <v>226071.42857142858</v>
      </c>
      <c r="BK187" s="2">
        <v>180</v>
      </c>
      <c r="BL187" s="2">
        <f t="shared" si="236"/>
        <v>3428.5714285714284</v>
      </c>
      <c r="BM187" s="2">
        <f t="shared" si="236"/>
        <v>6000</v>
      </c>
      <c r="BN187" s="2">
        <f t="shared" si="236"/>
        <v>9428.5714285714294</v>
      </c>
      <c r="BO187" s="2">
        <f t="shared" si="236"/>
        <v>16285.714285714286</v>
      </c>
      <c r="BP187" s="2">
        <f t="shared" si="236"/>
        <v>148285.71428571429</v>
      </c>
      <c r="BV187" s="2">
        <v>180</v>
      </c>
      <c r="BW187" s="2">
        <f t="shared" si="175"/>
        <v>68839.285714285725</v>
      </c>
      <c r="BX187" s="2">
        <f t="shared" si="176"/>
        <v>143250</v>
      </c>
      <c r="BY187" s="2">
        <f t="shared" si="177"/>
        <v>172500</v>
      </c>
      <c r="BZ187" s="2">
        <f t="shared" si="178"/>
        <v>219535.71428571429</v>
      </c>
      <c r="CA187" s="2">
        <f t="shared" si="179"/>
        <v>457071.42857142864</v>
      </c>
      <c r="CC187" s="41">
        <f t="shared" si="183"/>
        <v>0.61634241245136179</v>
      </c>
      <c r="CD187" s="41">
        <f t="shared" si="184"/>
        <v>0.33385214007782099</v>
      </c>
      <c r="CE187" s="41">
        <f t="shared" si="185"/>
        <v>4.980544747081711E-2</v>
      </c>
    </row>
    <row r="188" spans="22:83" x14ac:dyDescent="0.2">
      <c r="V188" s="2">
        <v>181</v>
      </c>
      <c r="W188" s="2">
        <f t="shared" si="180"/>
        <v>42711.428571428572</v>
      </c>
      <c r="X188" s="2">
        <f t="shared" si="180"/>
        <v>83265.71428571429</v>
      </c>
      <c r="Y188" s="2">
        <f t="shared" si="181"/>
        <v>83265.71428571429</v>
      </c>
      <c r="Z188" s="2">
        <f t="shared" ref="Z188:AA188" si="246">Y188</f>
        <v>83265.71428571429</v>
      </c>
      <c r="AA188" s="2">
        <f t="shared" si="246"/>
        <v>83265.71428571429</v>
      </c>
      <c r="AQ188" s="2">
        <v>181</v>
      </c>
      <c r="AR188" s="2">
        <f t="shared" ref="AR188:AV197" si="247">MAX($AQ188-$C$2,0)*INDEX($AN$8:$AN$44,MATCH(AR$7,$AO$8:$AO$44,0))/$C$3</f>
        <v>23135.357142857141</v>
      </c>
      <c r="AS188" s="2">
        <f t="shared" si="247"/>
        <v>54899.285714285717</v>
      </c>
      <c r="AT188" s="2">
        <f t="shared" si="247"/>
        <v>80892.857142857145</v>
      </c>
      <c r="AU188" s="2">
        <f t="shared" si="247"/>
        <v>121339.28571428571</v>
      </c>
      <c r="AV188" s="2">
        <f t="shared" si="247"/>
        <v>227578.57142857142</v>
      </c>
      <c r="BK188" s="2">
        <v>181</v>
      </c>
      <c r="BL188" s="2">
        <f t="shared" ref="BL188:BP197" si="248">IFERROR(MAX($BK188-$C$2,0)*INDEX($BH$8:$BH$16,MATCH(BL$7,$BI$8:$BI$16,0))*$C$4/$C$3,BM188)</f>
        <v>3451.4285714285716</v>
      </c>
      <c r="BM188" s="2">
        <f t="shared" si="248"/>
        <v>6040</v>
      </c>
      <c r="BN188" s="2">
        <f t="shared" si="248"/>
        <v>9491.4285714285706</v>
      </c>
      <c r="BO188" s="2">
        <f t="shared" si="248"/>
        <v>16394.285714285714</v>
      </c>
      <c r="BP188" s="2">
        <f t="shared" si="248"/>
        <v>149274.28571428571</v>
      </c>
      <c r="BV188" s="2">
        <v>181</v>
      </c>
      <c r="BW188" s="2">
        <f t="shared" si="175"/>
        <v>69298.214285714275</v>
      </c>
      <c r="BX188" s="2">
        <f t="shared" si="176"/>
        <v>144205</v>
      </c>
      <c r="BY188" s="2">
        <f t="shared" si="177"/>
        <v>173650</v>
      </c>
      <c r="BZ188" s="2">
        <f t="shared" si="178"/>
        <v>220999.28571428571</v>
      </c>
      <c r="CA188" s="2">
        <f t="shared" si="179"/>
        <v>460118.57142857136</v>
      </c>
      <c r="CC188" s="41">
        <f t="shared" si="183"/>
        <v>0.61634241245136201</v>
      </c>
      <c r="CD188" s="41">
        <f t="shared" si="184"/>
        <v>0.33385214007782105</v>
      </c>
      <c r="CE188" s="41">
        <f t="shared" si="185"/>
        <v>4.9805447470817131E-2</v>
      </c>
    </row>
    <row r="189" spans="22:83" x14ac:dyDescent="0.2">
      <c r="V189" s="2">
        <v>182</v>
      </c>
      <c r="W189" s="2">
        <f t="shared" si="180"/>
        <v>42994.285714285717</v>
      </c>
      <c r="X189" s="2">
        <f t="shared" si="180"/>
        <v>83817.142857142855</v>
      </c>
      <c r="Y189" s="2">
        <f t="shared" si="181"/>
        <v>83817.142857142855</v>
      </c>
      <c r="Z189" s="2">
        <f t="shared" ref="Z189:AA189" si="249">Y189</f>
        <v>83817.142857142855</v>
      </c>
      <c r="AA189" s="2">
        <f t="shared" si="249"/>
        <v>83817.142857142855</v>
      </c>
      <c r="AQ189" s="2">
        <v>182</v>
      </c>
      <c r="AR189" s="2">
        <f t="shared" si="247"/>
        <v>23288.571428571428</v>
      </c>
      <c r="AS189" s="2">
        <f t="shared" si="247"/>
        <v>55262.857142857145</v>
      </c>
      <c r="AT189" s="2">
        <f t="shared" si="247"/>
        <v>81428.571428571435</v>
      </c>
      <c r="AU189" s="2">
        <f t="shared" si="247"/>
        <v>122142.85714285714</v>
      </c>
      <c r="AV189" s="2">
        <f t="shared" si="247"/>
        <v>229085.71428571429</v>
      </c>
      <c r="BK189" s="2">
        <v>182</v>
      </c>
      <c r="BL189" s="2">
        <f t="shared" si="248"/>
        <v>3474.2857142857142</v>
      </c>
      <c r="BM189" s="2">
        <f t="shared" si="248"/>
        <v>6080</v>
      </c>
      <c r="BN189" s="2">
        <f t="shared" si="248"/>
        <v>9554.2857142857138</v>
      </c>
      <c r="BO189" s="2">
        <f t="shared" si="248"/>
        <v>16502.857142857141</v>
      </c>
      <c r="BP189" s="2">
        <f t="shared" si="248"/>
        <v>150262.85714285713</v>
      </c>
      <c r="BV189" s="2">
        <v>182</v>
      </c>
      <c r="BW189" s="2">
        <f t="shared" si="175"/>
        <v>69757.142857142855</v>
      </c>
      <c r="BX189" s="2">
        <f t="shared" si="176"/>
        <v>145160</v>
      </c>
      <c r="BY189" s="2">
        <f t="shared" si="177"/>
        <v>174800</v>
      </c>
      <c r="BZ189" s="2">
        <f t="shared" si="178"/>
        <v>222462.85714285713</v>
      </c>
      <c r="CA189" s="2">
        <f t="shared" si="179"/>
        <v>463165.71428571432</v>
      </c>
      <c r="CC189" s="41">
        <f t="shared" si="183"/>
        <v>0.6163424124513619</v>
      </c>
      <c r="CD189" s="41">
        <f t="shared" si="184"/>
        <v>0.33385214007782099</v>
      </c>
      <c r="CE189" s="41">
        <f t="shared" si="185"/>
        <v>4.9805447470817124E-2</v>
      </c>
    </row>
    <row r="190" spans="22:83" x14ac:dyDescent="0.2">
      <c r="V190" s="2">
        <v>183</v>
      </c>
      <c r="W190" s="2">
        <f t="shared" si="180"/>
        <v>43277.142857142855</v>
      </c>
      <c r="X190" s="2">
        <f t="shared" si="180"/>
        <v>84368.571428571435</v>
      </c>
      <c r="Y190" s="2">
        <f t="shared" si="181"/>
        <v>84368.571428571435</v>
      </c>
      <c r="Z190" s="2">
        <f t="shared" ref="Z190:AA190" si="250">Y190</f>
        <v>84368.571428571435</v>
      </c>
      <c r="AA190" s="2">
        <f t="shared" si="250"/>
        <v>84368.571428571435</v>
      </c>
      <c r="AQ190" s="2">
        <v>183</v>
      </c>
      <c r="AR190" s="2">
        <f t="shared" si="247"/>
        <v>23441.785714285714</v>
      </c>
      <c r="AS190" s="2">
        <f t="shared" si="247"/>
        <v>55626.428571428572</v>
      </c>
      <c r="AT190" s="2">
        <f t="shared" si="247"/>
        <v>81964.28571428571</v>
      </c>
      <c r="AU190" s="2">
        <f t="shared" si="247"/>
        <v>122946.42857142857</v>
      </c>
      <c r="AV190" s="2">
        <f t="shared" si="247"/>
        <v>230592.85714285713</v>
      </c>
      <c r="BK190" s="2">
        <v>183</v>
      </c>
      <c r="BL190" s="2">
        <f t="shared" si="248"/>
        <v>3497.1428571428573</v>
      </c>
      <c r="BM190" s="2">
        <f t="shared" si="248"/>
        <v>6120</v>
      </c>
      <c r="BN190" s="2">
        <f t="shared" si="248"/>
        <v>9617.1428571428569</v>
      </c>
      <c r="BO190" s="2">
        <f t="shared" si="248"/>
        <v>16611.428571428572</v>
      </c>
      <c r="BP190" s="2">
        <f t="shared" si="248"/>
        <v>151251.42857142858</v>
      </c>
      <c r="BV190" s="2">
        <v>183</v>
      </c>
      <c r="BW190" s="2">
        <f t="shared" si="175"/>
        <v>70216.07142857142</v>
      </c>
      <c r="BX190" s="2">
        <f t="shared" si="176"/>
        <v>146115</v>
      </c>
      <c r="BY190" s="2">
        <f t="shared" si="177"/>
        <v>175950.00000000003</v>
      </c>
      <c r="BZ190" s="2">
        <f t="shared" si="178"/>
        <v>223926.42857142858</v>
      </c>
      <c r="CA190" s="2">
        <f t="shared" si="179"/>
        <v>466212.85714285716</v>
      </c>
      <c r="CC190" s="41">
        <f t="shared" si="183"/>
        <v>0.6163424124513619</v>
      </c>
      <c r="CD190" s="41">
        <f t="shared" si="184"/>
        <v>0.33385214007782105</v>
      </c>
      <c r="CE190" s="41">
        <f t="shared" si="185"/>
        <v>4.9805447470817131E-2</v>
      </c>
    </row>
    <row r="191" spans="22:83" x14ac:dyDescent="0.2">
      <c r="V191" s="2">
        <v>184</v>
      </c>
      <c r="W191" s="2">
        <f t="shared" si="180"/>
        <v>43560</v>
      </c>
      <c r="X191" s="2">
        <f t="shared" si="180"/>
        <v>84920</v>
      </c>
      <c r="Y191" s="2">
        <f t="shared" si="181"/>
        <v>84920</v>
      </c>
      <c r="Z191" s="2">
        <f t="shared" ref="Z191:AA191" si="251">Y191</f>
        <v>84920</v>
      </c>
      <c r="AA191" s="2">
        <f t="shared" si="251"/>
        <v>84920</v>
      </c>
      <c r="AQ191" s="2">
        <v>184</v>
      </c>
      <c r="AR191" s="2">
        <f t="shared" si="247"/>
        <v>23595</v>
      </c>
      <c r="AS191" s="2">
        <f t="shared" si="247"/>
        <v>55990</v>
      </c>
      <c r="AT191" s="2">
        <f t="shared" si="247"/>
        <v>82500</v>
      </c>
      <c r="AU191" s="2">
        <f t="shared" si="247"/>
        <v>123750</v>
      </c>
      <c r="AV191" s="2">
        <f t="shared" si="247"/>
        <v>232100</v>
      </c>
      <c r="BK191" s="2">
        <v>184</v>
      </c>
      <c r="BL191" s="2">
        <f t="shared" si="248"/>
        <v>3520</v>
      </c>
      <c r="BM191" s="2">
        <f t="shared" si="248"/>
        <v>6160</v>
      </c>
      <c r="BN191" s="2">
        <f t="shared" si="248"/>
        <v>9680</v>
      </c>
      <c r="BO191" s="2">
        <f t="shared" si="248"/>
        <v>16720</v>
      </c>
      <c r="BP191" s="2">
        <f t="shared" si="248"/>
        <v>152240</v>
      </c>
      <c r="BV191" s="2">
        <v>184</v>
      </c>
      <c r="BW191" s="2">
        <f t="shared" si="175"/>
        <v>70675</v>
      </c>
      <c r="BX191" s="2">
        <f t="shared" si="176"/>
        <v>147070</v>
      </c>
      <c r="BY191" s="2">
        <f t="shared" si="177"/>
        <v>177100</v>
      </c>
      <c r="BZ191" s="2">
        <f t="shared" si="178"/>
        <v>225390</v>
      </c>
      <c r="CA191" s="2">
        <f t="shared" si="179"/>
        <v>469260</v>
      </c>
      <c r="CC191" s="41">
        <f t="shared" si="183"/>
        <v>0.6163424124513619</v>
      </c>
      <c r="CD191" s="41">
        <f t="shared" si="184"/>
        <v>0.33385214007782099</v>
      </c>
      <c r="CE191" s="41">
        <f t="shared" si="185"/>
        <v>4.9805447470817124E-2</v>
      </c>
    </row>
    <row r="192" spans="22:83" x14ac:dyDescent="0.2">
      <c r="V192" s="2">
        <v>185</v>
      </c>
      <c r="W192" s="2">
        <f t="shared" si="180"/>
        <v>43842.857142857145</v>
      </c>
      <c r="X192" s="2">
        <f t="shared" si="180"/>
        <v>85471.428571428565</v>
      </c>
      <c r="Y192" s="2">
        <f t="shared" si="181"/>
        <v>85471.428571428565</v>
      </c>
      <c r="Z192" s="2">
        <f t="shared" ref="Z192:AA192" si="252">Y192</f>
        <v>85471.428571428565</v>
      </c>
      <c r="AA192" s="2">
        <f t="shared" si="252"/>
        <v>85471.428571428565</v>
      </c>
      <c r="AQ192" s="2">
        <v>185</v>
      </c>
      <c r="AR192" s="2">
        <f t="shared" si="247"/>
        <v>23748.214285714286</v>
      </c>
      <c r="AS192" s="2">
        <f t="shared" si="247"/>
        <v>56353.571428571428</v>
      </c>
      <c r="AT192" s="2">
        <f t="shared" si="247"/>
        <v>83035.71428571429</v>
      </c>
      <c r="AU192" s="2">
        <f t="shared" si="247"/>
        <v>124553.57142857143</v>
      </c>
      <c r="AV192" s="2">
        <f t="shared" si="247"/>
        <v>233607.14285714287</v>
      </c>
      <c r="BK192" s="2">
        <v>185</v>
      </c>
      <c r="BL192" s="2">
        <f t="shared" si="248"/>
        <v>3542.8571428571427</v>
      </c>
      <c r="BM192" s="2">
        <f t="shared" si="248"/>
        <v>6200</v>
      </c>
      <c r="BN192" s="2">
        <f t="shared" si="248"/>
        <v>9742.8571428571431</v>
      </c>
      <c r="BO192" s="2">
        <f t="shared" si="248"/>
        <v>16828.571428571428</v>
      </c>
      <c r="BP192" s="2">
        <f t="shared" si="248"/>
        <v>153228.57142857142</v>
      </c>
      <c r="BV192" s="2">
        <v>185</v>
      </c>
      <c r="BW192" s="2">
        <f t="shared" si="175"/>
        <v>71133.92857142858</v>
      </c>
      <c r="BX192" s="2">
        <f t="shared" si="176"/>
        <v>148025</v>
      </c>
      <c r="BY192" s="2">
        <f t="shared" si="177"/>
        <v>178249.99999999997</v>
      </c>
      <c r="BZ192" s="2">
        <f t="shared" si="178"/>
        <v>226853.57142857142</v>
      </c>
      <c r="CA192" s="2">
        <f t="shared" si="179"/>
        <v>472307.14285714284</v>
      </c>
      <c r="CC192" s="41">
        <f t="shared" si="183"/>
        <v>0.61634241245136179</v>
      </c>
      <c r="CD192" s="41">
        <f t="shared" si="184"/>
        <v>0.33385214007782099</v>
      </c>
      <c r="CE192" s="41">
        <f t="shared" si="185"/>
        <v>4.980544747081711E-2</v>
      </c>
    </row>
    <row r="193" spans="22:83" x14ac:dyDescent="0.2">
      <c r="V193" s="2">
        <v>186</v>
      </c>
      <c r="W193" s="2">
        <f t="shared" si="180"/>
        <v>44125.714285714283</v>
      </c>
      <c r="X193" s="2">
        <f t="shared" si="180"/>
        <v>86022.857142857145</v>
      </c>
      <c r="Y193" s="2">
        <f t="shared" si="181"/>
        <v>86022.857142857145</v>
      </c>
      <c r="Z193" s="2">
        <f t="shared" ref="Z193:AA193" si="253">Y193</f>
        <v>86022.857142857145</v>
      </c>
      <c r="AA193" s="2">
        <f t="shared" si="253"/>
        <v>86022.857142857145</v>
      </c>
      <c r="AQ193" s="2">
        <v>186</v>
      </c>
      <c r="AR193" s="2">
        <f t="shared" si="247"/>
        <v>23901.428571428572</v>
      </c>
      <c r="AS193" s="2">
        <f t="shared" si="247"/>
        <v>56717.142857142855</v>
      </c>
      <c r="AT193" s="2">
        <f t="shared" si="247"/>
        <v>83571.428571428565</v>
      </c>
      <c r="AU193" s="2">
        <f t="shared" si="247"/>
        <v>125357.14285714286</v>
      </c>
      <c r="AV193" s="2">
        <f t="shared" si="247"/>
        <v>235114.28571428571</v>
      </c>
      <c r="BK193" s="2">
        <v>186</v>
      </c>
      <c r="BL193" s="2">
        <f t="shared" si="248"/>
        <v>3565.7142857142858</v>
      </c>
      <c r="BM193" s="2">
        <f t="shared" si="248"/>
        <v>6240</v>
      </c>
      <c r="BN193" s="2">
        <f t="shared" si="248"/>
        <v>9805.7142857142862</v>
      </c>
      <c r="BO193" s="2">
        <f t="shared" si="248"/>
        <v>16937.142857142859</v>
      </c>
      <c r="BP193" s="2">
        <f t="shared" si="248"/>
        <v>154217.14285714287</v>
      </c>
      <c r="BV193" s="2">
        <v>186</v>
      </c>
      <c r="BW193" s="2">
        <f t="shared" si="175"/>
        <v>71592.857142857145</v>
      </c>
      <c r="BX193" s="2">
        <f t="shared" si="176"/>
        <v>148980</v>
      </c>
      <c r="BY193" s="2">
        <f t="shared" si="177"/>
        <v>179400</v>
      </c>
      <c r="BZ193" s="2">
        <f t="shared" si="178"/>
        <v>228317.14285714287</v>
      </c>
      <c r="CA193" s="2">
        <f t="shared" si="179"/>
        <v>475354.28571428568</v>
      </c>
      <c r="CC193" s="41">
        <f t="shared" si="183"/>
        <v>0.61634241245136179</v>
      </c>
      <c r="CD193" s="41">
        <f t="shared" si="184"/>
        <v>0.33385214007782099</v>
      </c>
      <c r="CE193" s="41">
        <f t="shared" si="185"/>
        <v>4.9805447470817117E-2</v>
      </c>
    </row>
    <row r="194" spans="22:83" x14ac:dyDescent="0.2">
      <c r="V194" s="2">
        <v>187</v>
      </c>
      <c r="W194" s="2">
        <f t="shared" si="180"/>
        <v>44408.571428571428</v>
      </c>
      <c r="X194" s="2">
        <f t="shared" si="180"/>
        <v>86574.28571428571</v>
      </c>
      <c r="Y194" s="2">
        <f t="shared" si="181"/>
        <v>86574.28571428571</v>
      </c>
      <c r="Z194" s="2">
        <f t="shared" ref="Z194:AA194" si="254">Y194</f>
        <v>86574.28571428571</v>
      </c>
      <c r="AA194" s="2">
        <f t="shared" si="254"/>
        <v>86574.28571428571</v>
      </c>
      <c r="AQ194" s="2">
        <v>187</v>
      </c>
      <c r="AR194" s="2">
        <f t="shared" si="247"/>
        <v>24054.642857142859</v>
      </c>
      <c r="AS194" s="2">
        <f t="shared" si="247"/>
        <v>57080.714285714283</v>
      </c>
      <c r="AT194" s="2">
        <f t="shared" si="247"/>
        <v>84107.142857142855</v>
      </c>
      <c r="AU194" s="2">
        <f t="shared" si="247"/>
        <v>126160.71428571429</v>
      </c>
      <c r="AV194" s="2">
        <f t="shared" si="247"/>
        <v>236621.42857142858</v>
      </c>
      <c r="BK194" s="2">
        <v>187</v>
      </c>
      <c r="BL194" s="2">
        <f t="shared" si="248"/>
        <v>3588.5714285714284</v>
      </c>
      <c r="BM194" s="2">
        <f t="shared" si="248"/>
        <v>6280</v>
      </c>
      <c r="BN194" s="2">
        <f t="shared" si="248"/>
        <v>9868.5714285714294</v>
      </c>
      <c r="BO194" s="2">
        <f t="shared" si="248"/>
        <v>17045.714285714286</v>
      </c>
      <c r="BP194" s="2">
        <f t="shared" si="248"/>
        <v>155205.71428571429</v>
      </c>
      <c r="BV194" s="2">
        <v>187</v>
      </c>
      <c r="BW194" s="2">
        <f t="shared" si="175"/>
        <v>72051.785714285725</v>
      </c>
      <c r="BX194" s="2">
        <f t="shared" si="176"/>
        <v>149935</v>
      </c>
      <c r="BY194" s="2">
        <f t="shared" si="177"/>
        <v>180550</v>
      </c>
      <c r="BZ194" s="2">
        <f t="shared" si="178"/>
        <v>229780.71428571429</v>
      </c>
      <c r="CA194" s="2">
        <f t="shared" si="179"/>
        <v>478401.42857142864</v>
      </c>
      <c r="CC194" s="41">
        <f t="shared" si="183"/>
        <v>0.61634241245136179</v>
      </c>
      <c r="CD194" s="41">
        <f t="shared" si="184"/>
        <v>0.33385214007782099</v>
      </c>
      <c r="CE194" s="41">
        <f t="shared" si="185"/>
        <v>4.980544747081711E-2</v>
      </c>
    </row>
    <row r="195" spans="22:83" x14ac:dyDescent="0.2">
      <c r="V195" s="2">
        <v>188</v>
      </c>
      <c r="W195" s="2">
        <f t="shared" si="180"/>
        <v>44691.428571428572</v>
      </c>
      <c r="X195" s="2">
        <f t="shared" si="180"/>
        <v>87125.71428571429</v>
      </c>
      <c r="Y195" s="2">
        <f t="shared" si="181"/>
        <v>87125.71428571429</v>
      </c>
      <c r="Z195" s="2">
        <f t="shared" ref="Z195:AA195" si="255">Y195</f>
        <v>87125.71428571429</v>
      </c>
      <c r="AA195" s="2">
        <f t="shared" si="255"/>
        <v>87125.71428571429</v>
      </c>
      <c r="AQ195" s="2">
        <v>188</v>
      </c>
      <c r="AR195" s="2">
        <f t="shared" si="247"/>
        <v>24207.857142857141</v>
      </c>
      <c r="AS195" s="2">
        <f t="shared" si="247"/>
        <v>57444.285714285717</v>
      </c>
      <c r="AT195" s="2">
        <f t="shared" si="247"/>
        <v>84642.857142857145</v>
      </c>
      <c r="AU195" s="2">
        <f t="shared" si="247"/>
        <v>126964.28571428571</v>
      </c>
      <c r="AV195" s="2">
        <f t="shared" si="247"/>
        <v>238128.57142857142</v>
      </c>
      <c r="BK195" s="2">
        <v>188</v>
      </c>
      <c r="BL195" s="2">
        <f t="shared" si="248"/>
        <v>3611.4285714285716</v>
      </c>
      <c r="BM195" s="2">
        <f t="shared" si="248"/>
        <v>6320</v>
      </c>
      <c r="BN195" s="2">
        <f t="shared" si="248"/>
        <v>9931.4285714285706</v>
      </c>
      <c r="BO195" s="2">
        <f t="shared" si="248"/>
        <v>17154.285714285714</v>
      </c>
      <c r="BP195" s="2">
        <f t="shared" si="248"/>
        <v>156194.28571428571</v>
      </c>
      <c r="BV195" s="2">
        <v>188</v>
      </c>
      <c r="BW195" s="2">
        <f t="shared" si="175"/>
        <v>72510.714285714275</v>
      </c>
      <c r="BX195" s="2">
        <f t="shared" si="176"/>
        <v>150890</v>
      </c>
      <c r="BY195" s="2">
        <f t="shared" si="177"/>
        <v>181700</v>
      </c>
      <c r="BZ195" s="2">
        <f t="shared" si="178"/>
        <v>231244.28571428571</v>
      </c>
      <c r="CA195" s="2">
        <f t="shared" si="179"/>
        <v>481448.57142857136</v>
      </c>
      <c r="CC195" s="41">
        <f t="shared" si="183"/>
        <v>0.61634241245136201</v>
      </c>
      <c r="CD195" s="41">
        <f t="shared" si="184"/>
        <v>0.33385214007782105</v>
      </c>
      <c r="CE195" s="41">
        <f t="shared" si="185"/>
        <v>4.9805447470817131E-2</v>
      </c>
    </row>
    <row r="196" spans="22:83" x14ac:dyDescent="0.2">
      <c r="V196" s="2">
        <v>189</v>
      </c>
      <c r="W196" s="2">
        <f t="shared" si="180"/>
        <v>44974.285714285717</v>
      </c>
      <c r="X196" s="2">
        <f t="shared" si="180"/>
        <v>87677.142857142855</v>
      </c>
      <c r="Y196" s="2">
        <f t="shared" si="181"/>
        <v>87677.142857142855</v>
      </c>
      <c r="Z196" s="2">
        <f t="shared" ref="Z196:AA196" si="256">Y196</f>
        <v>87677.142857142855</v>
      </c>
      <c r="AA196" s="2">
        <f t="shared" si="256"/>
        <v>87677.142857142855</v>
      </c>
      <c r="AQ196" s="2">
        <v>189</v>
      </c>
      <c r="AR196" s="2">
        <f t="shared" si="247"/>
        <v>24361.071428571428</v>
      </c>
      <c r="AS196" s="2">
        <f t="shared" si="247"/>
        <v>57807.857142857145</v>
      </c>
      <c r="AT196" s="2">
        <f t="shared" si="247"/>
        <v>85178.571428571435</v>
      </c>
      <c r="AU196" s="2">
        <f t="shared" si="247"/>
        <v>127767.85714285714</v>
      </c>
      <c r="AV196" s="2">
        <f t="shared" si="247"/>
        <v>239635.71428571429</v>
      </c>
      <c r="BK196" s="2">
        <v>189</v>
      </c>
      <c r="BL196" s="2">
        <f t="shared" si="248"/>
        <v>3634.2857142857142</v>
      </c>
      <c r="BM196" s="2">
        <f t="shared" si="248"/>
        <v>6360</v>
      </c>
      <c r="BN196" s="2">
        <f t="shared" si="248"/>
        <v>9994.2857142857138</v>
      </c>
      <c r="BO196" s="2">
        <f t="shared" si="248"/>
        <v>17262.857142857141</v>
      </c>
      <c r="BP196" s="2">
        <f t="shared" si="248"/>
        <v>157182.85714285713</v>
      </c>
      <c r="BV196" s="2">
        <v>189</v>
      </c>
      <c r="BW196" s="2">
        <f t="shared" si="175"/>
        <v>72969.642857142855</v>
      </c>
      <c r="BX196" s="2">
        <f t="shared" si="176"/>
        <v>151845</v>
      </c>
      <c r="BY196" s="2">
        <f t="shared" si="177"/>
        <v>182850</v>
      </c>
      <c r="BZ196" s="2">
        <f t="shared" si="178"/>
        <v>232707.85714285713</v>
      </c>
      <c r="CA196" s="2">
        <f t="shared" si="179"/>
        <v>484495.71428571432</v>
      </c>
      <c r="CC196" s="41">
        <f t="shared" si="183"/>
        <v>0.6163424124513619</v>
      </c>
      <c r="CD196" s="41">
        <f t="shared" si="184"/>
        <v>0.33385214007782099</v>
      </c>
      <c r="CE196" s="41">
        <f t="shared" si="185"/>
        <v>4.9805447470817124E-2</v>
      </c>
    </row>
    <row r="197" spans="22:83" x14ac:dyDescent="0.2">
      <c r="V197" s="2">
        <v>190</v>
      </c>
      <c r="W197" s="2">
        <f t="shared" si="180"/>
        <v>45257.142857142855</v>
      </c>
      <c r="X197" s="2">
        <f t="shared" si="180"/>
        <v>88228.571428571435</v>
      </c>
      <c r="Y197" s="2">
        <f t="shared" si="181"/>
        <v>88228.571428571435</v>
      </c>
      <c r="Z197" s="2">
        <f t="shared" ref="Z197:AA197" si="257">Y197</f>
        <v>88228.571428571435</v>
      </c>
      <c r="AA197" s="2">
        <f t="shared" si="257"/>
        <v>88228.571428571435</v>
      </c>
      <c r="AQ197" s="2">
        <v>190</v>
      </c>
      <c r="AR197" s="2">
        <f t="shared" si="247"/>
        <v>24514.285714285714</v>
      </c>
      <c r="AS197" s="2">
        <f t="shared" si="247"/>
        <v>58171.428571428572</v>
      </c>
      <c r="AT197" s="2">
        <f t="shared" si="247"/>
        <v>85714.28571428571</v>
      </c>
      <c r="AU197" s="2">
        <f t="shared" si="247"/>
        <v>128571.42857142857</v>
      </c>
      <c r="AV197" s="2">
        <f t="shared" si="247"/>
        <v>241142.85714285713</v>
      </c>
      <c r="BK197" s="2">
        <v>190</v>
      </c>
      <c r="BL197" s="2">
        <f t="shared" si="248"/>
        <v>3657.1428571428573</v>
      </c>
      <c r="BM197" s="2">
        <f t="shared" si="248"/>
        <v>6400</v>
      </c>
      <c r="BN197" s="2">
        <f t="shared" si="248"/>
        <v>10057.142857142857</v>
      </c>
      <c r="BO197" s="2">
        <f t="shared" si="248"/>
        <v>17371.428571428572</v>
      </c>
      <c r="BP197" s="2">
        <f t="shared" si="248"/>
        <v>158171.42857142858</v>
      </c>
      <c r="BV197" s="2">
        <v>190</v>
      </c>
      <c r="BW197" s="2">
        <f t="shared" si="175"/>
        <v>73428.57142857142</v>
      </c>
      <c r="BX197" s="2">
        <f t="shared" si="176"/>
        <v>152800</v>
      </c>
      <c r="BY197" s="2">
        <f t="shared" si="177"/>
        <v>184000.00000000003</v>
      </c>
      <c r="BZ197" s="2">
        <f t="shared" si="178"/>
        <v>234171.42857142858</v>
      </c>
      <c r="CA197" s="2">
        <f t="shared" si="179"/>
        <v>487542.85714285716</v>
      </c>
      <c r="CC197" s="41">
        <f t="shared" si="183"/>
        <v>0.6163424124513619</v>
      </c>
      <c r="CD197" s="41">
        <f t="shared" si="184"/>
        <v>0.33385214007782105</v>
      </c>
      <c r="CE197" s="41">
        <f t="shared" si="185"/>
        <v>4.9805447470817131E-2</v>
      </c>
    </row>
    <row r="198" spans="22:83" x14ac:dyDescent="0.2">
      <c r="V198" s="2">
        <v>191</v>
      </c>
      <c r="W198" s="2">
        <f t="shared" si="180"/>
        <v>45540</v>
      </c>
      <c r="X198" s="2">
        <f t="shared" si="180"/>
        <v>88780</v>
      </c>
      <c r="Y198" s="2">
        <f t="shared" si="181"/>
        <v>88780</v>
      </c>
      <c r="Z198" s="2">
        <f t="shared" ref="Z198:AA198" si="258">Y198</f>
        <v>88780</v>
      </c>
      <c r="AA198" s="2">
        <f t="shared" si="258"/>
        <v>88780</v>
      </c>
      <c r="AQ198" s="2">
        <v>191</v>
      </c>
      <c r="AR198" s="2">
        <f t="shared" ref="AR198:AV207" si="259">MAX($AQ198-$C$2,0)*INDEX($AN$8:$AN$44,MATCH(AR$7,$AO$8:$AO$44,0))/$C$3</f>
        <v>24667.5</v>
      </c>
      <c r="AS198" s="2">
        <f t="shared" si="259"/>
        <v>58535</v>
      </c>
      <c r="AT198" s="2">
        <f t="shared" si="259"/>
        <v>86250</v>
      </c>
      <c r="AU198" s="2">
        <f t="shared" si="259"/>
        <v>129375</v>
      </c>
      <c r="AV198" s="2">
        <f t="shared" si="259"/>
        <v>242650</v>
      </c>
      <c r="BK198" s="2">
        <v>191</v>
      </c>
      <c r="BL198" s="2">
        <f t="shared" ref="BL198:BP207" si="260">IFERROR(MAX($BK198-$C$2,0)*INDEX($BH$8:$BH$16,MATCH(BL$7,$BI$8:$BI$16,0))*$C$4/$C$3,BM198)</f>
        <v>3680</v>
      </c>
      <c r="BM198" s="2">
        <f t="shared" si="260"/>
        <v>6440</v>
      </c>
      <c r="BN198" s="2">
        <f t="shared" si="260"/>
        <v>10120</v>
      </c>
      <c r="BO198" s="2">
        <f t="shared" si="260"/>
        <v>17480</v>
      </c>
      <c r="BP198" s="2">
        <f t="shared" si="260"/>
        <v>159160</v>
      </c>
      <c r="BV198" s="2">
        <v>191</v>
      </c>
      <c r="BW198" s="2">
        <f t="shared" si="175"/>
        <v>73887.5</v>
      </c>
      <c r="BX198" s="2">
        <f t="shared" si="176"/>
        <v>153755</v>
      </c>
      <c r="BY198" s="2">
        <f t="shared" si="177"/>
        <v>185150</v>
      </c>
      <c r="BZ198" s="2">
        <f t="shared" si="178"/>
        <v>235635</v>
      </c>
      <c r="CA198" s="2">
        <f t="shared" si="179"/>
        <v>490590</v>
      </c>
      <c r="CC198" s="41">
        <f t="shared" si="183"/>
        <v>0.6163424124513619</v>
      </c>
      <c r="CD198" s="41">
        <f t="shared" si="184"/>
        <v>0.33385214007782099</v>
      </c>
      <c r="CE198" s="41">
        <f t="shared" si="185"/>
        <v>4.9805447470817124E-2</v>
      </c>
    </row>
    <row r="199" spans="22:83" x14ac:dyDescent="0.2">
      <c r="V199" s="2">
        <v>192</v>
      </c>
      <c r="W199" s="2">
        <f t="shared" si="180"/>
        <v>45822.857142857145</v>
      </c>
      <c r="X199" s="2">
        <f t="shared" si="180"/>
        <v>89331.428571428565</v>
      </c>
      <c r="Y199" s="2">
        <f t="shared" si="181"/>
        <v>89331.428571428565</v>
      </c>
      <c r="Z199" s="2">
        <f t="shared" ref="Z199:AA199" si="261">Y199</f>
        <v>89331.428571428565</v>
      </c>
      <c r="AA199" s="2">
        <f t="shared" si="261"/>
        <v>89331.428571428565</v>
      </c>
      <c r="AQ199" s="2">
        <v>192</v>
      </c>
      <c r="AR199" s="2">
        <f t="shared" si="259"/>
        <v>24820.714285714286</v>
      </c>
      <c r="AS199" s="2">
        <f t="shared" si="259"/>
        <v>58898.571428571428</v>
      </c>
      <c r="AT199" s="2">
        <f t="shared" si="259"/>
        <v>86785.71428571429</v>
      </c>
      <c r="AU199" s="2">
        <f t="shared" si="259"/>
        <v>130178.57142857143</v>
      </c>
      <c r="AV199" s="2">
        <f t="shared" si="259"/>
        <v>244157.14285714287</v>
      </c>
      <c r="BK199" s="2">
        <v>192</v>
      </c>
      <c r="BL199" s="2">
        <f t="shared" si="260"/>
        <v>3702.8571428571427</v>
      </c>
      <c r="BM199" s="2">
        <f t="shared" si="260"/>
        <v>6480</v>
      </c>
      <c r="BN199" s="2">
        <f t="shared" si="260"/>
        <v>10182.857142857143</v>
      </c>
      <c r="BO199" s="2">
        <f t="shared" si="260"/>
        <v>17588.571428571428</v>
      </c>
      <c r="BP199" s="2">
        <f t="shared" si="260"/>
        <v>160148.57142857142</v>
      </c>
      <c r="BV199" s="2">
        <v>192</v>
      </c>
      <c r="BW199" s="2">
        <f t="shared" si="175"/>
        <v>74346.42857142858</v>
      </c>
      <c r="BX199" s="2">
        <f t="shared" si="176"/>
        <v>154710</v>
      </c>
      <c r="BY199" s="2">
        <f t="shared" si="177"/>
        <v>186299.99999999997</v>
      </c>
      <c r="BZ199" s="2">
        <f t="shared" si="178"/>
        <v>237098.57142857142</v>
      </c>
      <c r="CA199" s="2">
        <f t="shared" si="179"/>
        <v>493637.14285714284</v>
      </c>
      <c r="CC199" s="41">
        <f t="shared" si="183"/>
        <v>0.61634241245136179</v>
      </c>
      <c r="CD199" s="41">
        <f t="shared" si="184"/>
        <v>0.33385214007782099</v>
      </c>
      <c r="CE199" s="41">
        <f t="shared" si="185"/>
        <v>4.980544747081711E-2</v>
      </c>
    </row>
    <row r="200" spans="22:83" x14ac:dyDescent="0.2">
      <c r="V200" s="2">
        <v>193</v>
      </c>
      <c r="W200" s="2">
        <f t="shared" si="180"/>
        <v>46105.714285714283</v>
      </c>
      <c r="X200" s="2">
        <f t="shared" si="180"/>
        <v>89882.857142857145</v>
      </c>
      <c r="Y200" s="2">
        <f t="shared" si="181"/>
        <v>89882.857142857145</v>
      </c>
      <c r="Z200" s="2">
        <f t="shared" ref="Z200:AA200" si="262">Y200</f>
        <v>89882.857142857145</v>
      </c>
      <c r="AA200" s="2">
        <f t="shared" si="262"/>
        <v>89882.857142857145</v>
      </c>
      <c r="AQ200" s="2">
        <v>193</v>
      </c>
      <c r="AR200" s="2">
        <f t="shared" si="259"/>
        <v>24973.928571428572</v>
      </c>
      <c r="AS200" s="2">
        <f t="shared" si="259"/>
        <v>59262.142857142855</v>
      </c>
      <c r="AT200" s="2">
        <f t="shared" si="259"/>
        <v>87321.428571428565</v>
      </c>
      <c r="AU200" s="2">
        <f t="shared" si="259"/>
        <v>130982.14285714286</v>
      </c>
      <c r="AV200" s="2">
        <f t="shared" si="259"/>
        <v>245664.28571428571</v>
      </c>
      <c r="BK200" s="2">
        <v>193</v>
      </c>
      <c r="BL200" s="2">
        <f t="shared" si="260"/>
        <v>3725.7142857142858</v>
      </c>
      <c r="BM200" s="2">
        <f t="shared" si="260"/>
        <v>6520</v>
      </c>
      <c r="BN200" s="2">
        <f t="shared" si="260"/>
        <v>10245.714285714286</v>
      </c>
      <c r="BO200" s="2">
        <f t="shared" si="260"/>
        <v>17697.142857142859</v>
      </c>
      <c r="BP200" s="2">
        <f t="shared" si="260"/>
        <v>161137.14285714287</v>
      </c>
      <c r="BV200" s="2">
        <v>193</v>
      </c>
      <c r="BW200" s="2">
        <f t="shared" ref="BW200:BW263" si="263">W200+AR200+BL200</f>
        <v>74805.357142857145</v>
      </c>
      <c r="BX200" s="2">
        <f t="shared" ref="BX200:BX263" si="264">X200+AS200+BM200</f>
        <v>155665</v>
      </c>
      <c r="BY200" s="2">
        <f t="shared" ref="BY200:BY263" si="265">Y200+AT200+BN200</f>
        <v>187450</v>
      </c>
      <c r="BZ200" s="2">
        <f t="shared" ref="BZ200:BZ263" si="266">Z200+AU200+BO200</f>
        <v>238562.14285714287</v>
      </c>
      <c r="CA200" s="2">
        <f t="shared" ref="CA200:CA263" si="267">AA200+AV200+BP200</f>
        <v>496684.28571428568</v>
      </c>
      <c r="CC200" s="41">
        <f t="shared" si="183"/>
        <v>0.61634241245136179</v>
      </c>
      <c r="CD200" s="41">
        <f t="shared" si="184"/>
        <v>0.33385214007782099</v>
      </c>
      <c r="CE200" s="41">
        <f t="shared" si="185"/>
        <v>4.9805447470817117E-2</v>
      </c>
    </row>
    <row r="201" spans="22:83" x14ac:dyDescent="0.2">
      <c r="V201" s="2">
        <v>194</v>
      </c>
      <c r="W201" s="2">
        <f t="shared" ref="W201:X232" si="268">MAX($V201-$C$2,0)*INDEX($S$8:$S$10,MATCH(W$7,$T$8:$T$10,0))*$C$4/$C$3</f>
        <v>46388.571428571428</v>
      </c>
      <c r="X201" s="2">
        <f t="shared" si="268"/>
        <v>90434.28571428571</v>
      </c>
      <c r="Y201" s="2">
        <f t="shared" ref="Y201:Y264" si="269">X201</f>
        <v>90434.28571428571</v>
      </c>
      <c r="Z201" s="2">
        <f t="shared" ref="Z201:AA201" si="270">Y201</f>
        <v>90434.28571428571</v>
      </c>
      <c r="AA201" s="2">
        <f t="shared" si="270"/>
        <v>90434.28571428571</v>
      </c>
      <c r="AQ201" s="2">
        <v>194</v>
      </c>
      <c r="AR201" s="2">
        <f t="shared" si="259"/>
        <v>25127.142857142859</v>
      </c>
      <c r="AS201" s="2">
        <f t="shared" si="259"/>
        <v>59625.714285714283</v>
      </c>
      <c r="AT201" s="2">
        <f t="shared" si="259"/>
        <v>87857.142857142855</v>
      </c>
      <c r="AU201" s="2">
        <f t="shared" si="259"/>
        <v>131785.71428571429</v>
      </c>
      <c r="AV201" s="2">
        <f t="shared" si="259"/>
        <v>247171.42857142858</v>
      </c>
      <c r="BK201" s="2">
        <v>194</v>
      </c>
      <c r="BL201" s="2">
        <f t="shared" si="260"/>
        <v>3748.5714285714284</v>
      </c>
      <c r="BM201" s="2">
        <f t="shared" si="260"/>
        <v>6560</v>
      </c>
      <c r="BN201" s="2">
        <f t="shared" si="260"/>
        <v>10308.571428571429</v>
      </c>
      <c r="BO201" s="2">
        <f t="shared" si="260"/>
        <v>17805.714285714286</v>
      </c>
      <c r="BP201" s="2">
        <f t="shared" si="260"/>
        <v>162125.71428571429</v>
      </c>
      <c r="BV201" s="2">
        <v>194</v>
      </c>
      <c r="BW201" s="2">
        <f t="shared" si="263"/>
        <v>75264.285714285725</v>
      </c>
      <c r="BX201" s="2">
        <f t="shared" si="264"/>
        <v>156620</v>
      </c>
      <c r="BY201" s="2">
        <f t="shared" si="265"/>
        <v>188600</v>
      </c>
      <c r="BZ201" s="2">
        <f t="shared" si="266"/>
        <v>240025.71428571429</v>
      </c>
      <c r="CA201" s="2">
        <f t="shared" si="267"/>
        <v>499731.42857142864</v>
      </c>
      <c r="CC201" s="41">
        <f t="shared" ref="CC201:CC264" si="271">W201/BW201</f>
        <v>0.61634241245136179</v>
      </c>
      <c r="CD201" s="41">
        <f t="shared" ref="CD201:CD264" si="272">AR201/BW201</f>
        <v>0.33385214007782099</v>
      </c>
      <c r="CE201" s="41">
        <f t="shared" ref="CE201:CE264" si="273">BL201/BW201</f>
        <v>4.980544747081711E-2</v>
      </c>
    </row>
    <row r="202" spans="22:83" x14ac:dyDescent="0.2">
      <c r="V202" s="2">
        <v>195</v>
      </c>
      <c r="W202" s="2">
        <f t="shared" si="268"/>
        <v>46671.428571428572</v>
      </c>
      <c r="X202" s="2">
        <f t="shared" si="268"/>
        <v>90985.71428571429</v>
      </c>
      <c r="Y202" s="2">
        <f t="shared" si="269"/>
        <v>90985.71428571429</v>
      </c>
      <c r="Z202" s="2">
        <f t="shared" ref="Z202:AA202" si="274">Y202</f>
        <v>90985.71428571429</v>
      </c>
      <c r="AA202" s="2">
        <f t="shared" si="274"/>
        <v>90985.71428571429</v>
      </c>
      <c r="AQ202" s="2">
        <v>195</v>
      </c>
      <c r="AR202" s="2">
        <f t="shared" si="259"/>
        <v>25280.357142857141</v>
      </c>
      <c r="AS202" s="2">
        <f t="shared" si="259"/>
        <v>59989.285714285717</v>
      </c>
      <c r="AT202" s="2">
        <f t="shared" si="259"/>
        <v>88392.857142857145</v>
      </c>
      <c r="AU202" s="2">
        <f t="shared" si="259"/>
        <v>132589.28571428571</v>
      </c>
      <c r="AV202" s="2">
        <f t="shared" si="259"/>
        <v>248678.57142857142</v>
      </c>
      <c r="BK202" s="2">
        <v>195</v>
      </c>
      <c r="BL202" s="2">
        <f t="shared" si="260"/>
        <v>3771.4285714285716</v>
      </c>
      <c r="BM202" s="2">
        <f t="shared" si="260"/>
        <v>6600</v>
      </c>
      <c r="BN202" s="2">
        <f t="shared" si="260"/>
        <v>10371.428571428571</v>
      </c>
      <c r="BO202" s="2">
        <f t="shared" si="260"/>
        <v>17914.285714285714</v>
      </c>
      <c r="BP202" s="2">
        <f t="shared" si="260"/>
        <v>163114.28571428571</v>
      </c>
      <c r="BV202" s="2">
        <v>195</v>
      </c>
      <c r="BW202" s="2">
        <f t="shared" si="263"/>
        <v>75723.214285714275</v>
      </c>
      <c r="BX202" s="2">
        <f t="shared" si="264"/>
        <v>157575</v>
      </c>
      <c r="BY202" s="2">
        <f t="shared" si="265"/>
        <v>189750</v>
      </c>
      <c r="BZ202" s="2">
        <f t="shared" si="266"/>
        <v>241489.28571428571</v>
      </c>
      <c r="CA202" s="2">
        <f t="shared" si="267"/>
        <v>502778.57142857136</v>
      </c>
      <c r="CC202" s="41">
        <f t="shared" si="271"/>
        <v>0.61634241245136201</v>
      </c>
      <c r="CD202" s="41">
        <f t="shared" si="272"/>
        <v>0.33385214007782105</v>
      </c>
      <c r="CE202" s="41">
        <f t="shared" si="273"/>
        <v>4.9805447470817131E-2</v>
      </c>
    </row>
    <row r="203" spans="22:83" x14ac:dyDescent="0.2">
      <c r="V203" s="2">
        <v>196</v>
      </c>
      <c r="W203" s="2">
        <f t="shared" si="268"/>
        <v>46954.285714285717</v>
      </c>
      <c r="X203" s="2">
        <f t="shared" si="268"/>
        <v>91537.142857142855</v>
      </c>
      <c r="Y203" s="2">
        <f t="shared" si="269"/>
        <v>91537.142857142855</v>
      </c>
      <c r="Z203" s="2">
        <f t="shared" ref="Z203:AA203" si="275">Y203</f>
        <v>91537.142857142855</v>
      </c>
      <c r="AA203" s="2">
        <f t="shared" si="275"/>
        <v>91537.142857142855</v>
      </c>
      <c r="AQ203" s="2">
        <v>196</v>
      </c>
      <c r="AR203" s="2">
        <f t="shared" si="259"/>
        <v>25433.571428571428</v>
      </c>
      <c r="AS203" s="2">
        <f t="shared" si="259"/>
        <v>60352.857142857145</v>
      </c>
      <c r="AT203" s="2">
        <f t="shared" si="259"/>
        <v>88928.571428571435</v>
      </c>
      <c r="AU203" s="2">
        <f t="shared" si="259"/>
        <v>133392.85714285713</v>
      </c>
      <c r="AV203" s="2">
        <f t="shared" si="259"/>
        <v>250185.71428571429</v>
      </c>
      <c r="BK203" s="2">
        <v>196</v>
      </c>
      <c r="BL203" s="2">
        <f t="shared" si="260"/>
        <v>3794.2857142857142</v>
      </c>
      <c r="BM203" s="2">
        <f t="shared" si="260"/>
        <v>6640</v>
      </c>
      <c r="BN203" s="2">
        <f t="shared" si="260"/>
        <v>10434.285714285714</v>
      </c>
      <c r="BO203" s="2">
        <f t="shared" si="260"/>
        <v>18022.857142857141</v>
      </c>
      <c r="BP203" s="2">
        <f t="shared" si="260"/>
        <v>164102.85714285713</v>
      </c>
      <c r="BV203" s="2">
        <v>196</v>
      </c>
      <c r="BW203" s="2">
        <f t="shared" si="263"/>
        <v>76182.142857142855</v>
      </c>
      <c r="BX203" s="2">
        <f t="shared" si="264"/>
        <v>158530</v>
      </c>
      <c r="BY203" s="2">
        <f t="shared" si="265"/>
        <v>190900</v>
      </c>
      <c r="BZ203" s="2">
        <f t="shared" si="266"/>
        <v>242952.85714285713</v>
      </c>
      <c r="CA203" s="2">
        <f t="shared" si="267"/>
        <v>505825.71428571432</v>
      </c>
      <c r="CC203" s="41">
        <f t="shared" si="271"/>
        <v>0.6163424124513619</v>
      </c>
      <c r="CD203" s="41">
        <f t="shared" si="272"/>
        <v>0.33385214007782099</v>
      </c>
      <c r="CE203" s="41">
        <f t="shared" si="273"/>
        <v>4.9805447470817124E-2</v>
      </c>
    </row>
    <row r="204" spans="22:83" x14ac:dyDescent="0.2">
      <c r="V204" s="2">
        <v>197</v>
      </c>
      <c r="W204" s="2">
        <f t="shared" si="268"/>
        <v>47237.142857142855</v>
      </c>
      <c r="X204" s="2">
        <f t="shared" si="268"/>
        <v>92088.571428571435</v>
      </c>
      <c r="Y204" s="2">
        <f t="shared" si="269"/>
        <v>92088.571428571435</v>
      </c>
      <c r="Z204" s="2">
        <f t="shared" ref="Z204:AA204" si="276">Y204</f>
        <v>92088.571428571435</v>
      </c>
      <c r="AA204" s="2">
        <f t="shared" si="276"/>
        <v>92088.571428571435</v>
      </c>
      <c r="AQ204" s="2">
        <v>197</v>
      </c>
      <c r="AR204" s="2">
        <f t="shared" si="259"/>
        <v>25586.785714285714</v>
      </c>
      <c r="AS204" s="2">
        <f t="shared" si="259"/>
        <v>60716.428571428572</v>
      </c>
      <c r="AT204" s="2">
        <f t="shared" si="259"/>
        <v>89464.28571428571</v>
      </c>
      <c r="AU204" s="2">
        <f t="shared" si="259"/>
        <v>134196.42857142858</v>
      </c>
      <c r="AV204" s="2">
        <f t="shared" si="259"/>
        <v>251692.85714285713</v>
      </c>
      <c r="BK204" s="2">
        <v>197</v>
      </c>
      <c r="BL204" s="2">
        <f t="shared" si="260"/>
        <v>3817.1428571428573</v>
      </c>
      <c r="BM204" s="2">
        <f t="shared" si="260"/>
        <v>6680</v>
      </c>
      <c r="BN204" s="2">
        <f t="shared" si="260"/>
        <v>10497.142857142857</v>
      </c>
      <c r="BO204" s="2">
        <f t="shared" si="260"/>
        <v>18131.428571428572</v>
      </c>
      <c r="BP204" s="2">
        <f t="shared" si="260"/>
        <v>165091.42857142858</v>
      </c>
      <c r="BV204" s="2">
        <v>197</v>
      </c>
      <c r="BW204" s="2">
        <f t="shared" si="263"/>
        <v>76641.07142857142</v>
      </c>
      <c r="BX204" s="2">
        <f t="shared" si="264"/>
        <v>159485</v>
      </c>
      <c r="BY204" s="2">
        <f t="shared" si="265"/>
        <v>192050.00000000003</v>
      </c>
      <c r="BZ204" s="2">
        <f t="shared" si="266"/>
        <v>244416.42857142858</v>
      </c>
      <c r="CA204" s="2">
        <f t="shared" si="267"/>
        <v>508872.85714285716</v>
      </c>
      <c r="CC204" s="41">
        <f t="shared" si="271"/>
        <v>0.6163424124513619</v>
      </c>
      <c r="CD204" s="41">
        <f t="shared" si="272"/>
        <v>0.33385214007782105</v>
      </c>
      <c r="CE204" s="41">
        <f t="shared" si="273"/>
        <v>4.9805447470817131E-2</v>
      </c>
    </row>
    <row r="205" spans="22:83" x14ac:dyDescent="0.2">
      <c r="V205" s="2">
        <v>198</v>
      </c>
      <c r="W205" s="2">
        <f t="shared" si="268"/>
        <v>47520</v>
      </c>
      <c r="X205" s="2">
        <f t="shared" si="268"/>
        <v>92640</v>
      </c>
      <c r="Y205" s="2">
        <f t="shared" si="269"/>
        <v>92640</v>
      </c>
      <c r="Z205" s="2">
        <f t="shared" ref="Z205:AA205" si="277">Y205</f>
        <v>92640</v>
      </c>
      <c r="AA205" s="2">
        <f t="shared" si="277"/>
        <v>92640</v>
      </c>
      <c r="AQ205" s="2">
        <v>198</v>
      </c>
      <c r="AR205" s="2">
        <f t="shared" si="259"/>
        <v>25740</v>
      </c>
      <c r="AS205" s="2">
        <f t="shared" si="259"/>
        <v>61080</v>
      </c>
      <c r="AT205" s="2">
        <f t="shared" si="259"/>
        <v>90000</v>
      </c>
      <c r="AU205" s="2">
        <f t="shared" si="259"/>
        <v>135000</v>
      </c>
      <c r="AV205" s="2">
        <f t="shared" si="259"/>
        <v>253200</v>
      </c>
      <c r="BK205" s="2">
        <v>198</v>
      </c>
      <c r="BL205" s="2">
        <f t="shared" si="260"/>
        <v>3840</v>
      </c>
      <c r="BM205" s="2">
        <f t="shared" si="260"/>
        <v>6720</v>
      </c>
      <c r="BN205" s="2">
        <f t="shared" si="260"/>
        <v>10560</v>
      </c>
      <c r="BO205" s="2">
        <f t="shared" si="260"/>
        <v>18240</v>
      </c>
      <c r="BP205" s="2">
        <f t="shared" si="260"/>
        <v>166080</v>
      </c>
      <c r="BV205" s="2">
        <v>198</v>
      </c>
      <c r="BW205" s="2">
        <f t="shared" si="263"/>
        <v>77100</v>
      </c>
      <c r="BX205" s="2">
        <f t="shared" si="264"/>
        <v>160440</v>
      </c>
      <c r="BY205" s="2">
        <f t="shared" si="265"/>
        <v>193200</v>
      </c>
      <c r="BZ205" s="2">
        <f t="shared" si="266"/>
        <v>245880</v>
      </c>
      <c r="CA205" s="2">
        <f t="shared" si="267"/>
        <v>511920</v>
      </c>
      <c r="CC205" s="41">
        <f t="shared" si="271"/>
        <v>0.6163424124513619</v>
      </c>
      <c r="CD205" s="41">
        <f t="shared" si="272"/>
        <v>0.33385214007782099</v>
      </c>
      <c r="CE205" s="41">
        <f t="shared" si="273"/>
        <v>4.9805447470817124E-2</v>
      </c>
    </row>
    <row r="206" spans="22:83" x14ac:dyDescent="0.2">
      <c r="V206" s="2">
        <v>199</v>
      </c>
      <c r="W206" s="2">
        <f t="shared" si="268"/>
        <v>47802.857142857145</v>
      </c>
      <c r="X206" s="2">
        <f t="shared" si="268"/>
        <v>93191.428571428565</v>
      </c>
      <c r="Y206" s="2">
        <f t="shared" si="269"/>
        <v>93191.428571428565</v>
      </c>
      <c r="Z206" s="2">
        <f t="shared" ref="Z206:AA206" si="278">Y206</f>
        <v>93191.428571428565</v>
      </c>
      <c r="AA206" s="2">
        <f t="shared" si="278"/>
        <v>93191.428571428565</v>
      </c>
      <c r="AQ206" s="2">
        <v>199</v>
      </c>
      <c r="AR206" s="2">
        <f t="shared" si="259"/>
        <v>25893.214285714286</v>
      </c>
      <c r="AS206" s="2">
        <f t="shared" si="259"/>
        <v>61443.571428571428</v>
      </c>
      <c r="AT206" s="2">
        <f t="shared" si="259"/>
        <v>90535.71428571429</v>
      </c>
      <c r="AU206" s="2">
        <f t="shared" si="259"/>
        <v>135803.57142857142</v>
      </c>
      <c r="AV206" s="2">
        <f t="shared" si="259"/>
        <v>254707.14285714287</v>
      </c>
      <c r="BK206" s="2">
        <v>199</v>
      </c>
      <c r="BL206" s="2">
        <f t="shared" si="260"/>
        <v>3862.8571428571427</v>
      </c>
      <c r="BM206" s="2">
        <f t="shared" si="260"/>
        <v>6760</v>
      </c>
      <c r="BN206" s="2">
        <f t="shared" si="260"/>
        <v>10622.857142857143</v>
      </c>
      <c r="BO206" s="2">
        <f t="shared" si="260"/>
        <v>18348.571428571428</v>
      </c>
      <c r="BP206" s="2">
        <f t="shared" si="260"/>
        <v>167068.57142857142</v>
      </c>
      <c r="BV206" s="2">
        <v>199</v>
      </c>
      <c r="BW206" s="2">
        <f t="shared" si="263"/>
        <v>77558.92857142858</v>
      </c>
      <c r="BX206" s="2">
        <f t="shared" si="264"/>
        <v>161395</v>
      </c>
      <c r="BY206" s="2">
        <f t="shared" si="265"/>
        <v>194349.99999999997</v>
      </c>
      <c r="BZ206" s="2">
        <f t="shared" si="266"/>
        <v>247343.57142857142</v>
      </c>
      <c r="CA206" s="2">
        <f t="shared" si="267"/>
        <v>514967.14285714284</v>
      </c>
      <c r="CC206" s="41">
        <f t="shared" si="271"/>
        <v>0.61634241245136179</v>
      </c>
      <c r="CD206" s="41">
        <f t="shared" si="272"/>
        <v>0.33385214007782099</v>
      </c>
      <c r="CE206" s="41">
        <f t="shared" si="273"/>
        <v>4.980544747081711E-2</v>
      </c>
    </row>
    <row r="207" spans="22:83" x14ac:dyDescent="0.2">
      <c r="V207" s="2">
        <v>200</v>
      </c>
      <c r="W207" s="2">
        <f t="shared" si="268"/>
        <v>48085.714285714283</v>
      </c>
      <c r="X207" s="2">
        <f t="shared" si="268"/>
        <v>93742.857142857145</v>
      </c>
      <c r="Y207" s="2">
        <f t="shared" si="269"/>
        <v>93742.857142857145</v>
      </c>
      <c r="Z207" s="2">
        <f t="shared" ref="Z207:AA207" si="279">Y207</f>
        <v>93742.857142857145</v>
      </c>
      <c r="AA207" s="2">
        <f t="shared" si="279"/>
        <v>93742.857142857145</v>
      </c>
      <c r="AQ207" s="2">
        <v>200</v>
      </c>
      <c r="AR207" s="2">
        <f t="shared" si="259"/>
        <v>26046.428571428572</v>
      </c>
      <c r="AS207" s="2">
        <f t="shared" si="259"/>
        <v>61807.142857142855</v>
      </c>
      <c r="AT207" s="2">
        <f t="shared" si="259"/>
        <v>91071.428571428565</v>
      </c>
      <c r="AU207" s="2">
        <f t="shared" si="259"/>
        <v>136607.14285714287</v>
      </c>
      <c r="AV207" s="2">
        <f t="shared" si="259"/>
        <v>256214.28571428571</v>
      </c>
      <c r="BK207" s="2">
        <v>200</v>
      </c>
      <c r="BL207" s="2">
        <f t="shared" si="260"/>
        <v>3885.7142857142858</v>
      </c>
      <c r="BM207" s="2">
        <f t="shared" si="260"/>
        <v>6800</v>
      </c>
      <c r="BN207" s="2">
        <f t="shared" si="260"/>
        <v>10685.714285714286</v>
      </c>
      <c r="BO207" s="2">
        <f t="shared" si="260"/>
        <v>18457.142857142859</v>
      </c>
      <c r="BP207" s="2">
        <f t="shared" si="260"/>
        <v>168057.14285714287</v>
      </c>
      <c r="BV207" s="2">
        <v>200</v>
      </c>
      <c r="BW207" s="2">
        <f t="shared" si="263"/>
        <v>78017.857142857145</v>
      </c>
      <c r="BX207" s="2">
        <f t="shared" si="264"/>
        <v>162350</v>
      </c>
      <c r="BY207" s="2">
        <f t="shared" si="265"/>
        <v>195500</v>
      </c>
      <c r="BZ207" s="2">
        <f t="shared" si="266"/>
        <v>248807.14285714287</v>
      </c>
      <c r="CA207" s="2">
        <f t="shared" si="267"/>
        <v>518014.28571428568</v>
      </c>
      <c r="CC207" s="41">
        <f t="shared" si="271"/>
        <v>0.61634241245136179</v>
      </c>
      <c r="CD207" s="41">
        <f t="shared" si="272"/>
        <v>0.33385214007782099</v>
      </c>
      <c r="CE207" s="41">
        <f t="shared" si="273"/>
        <v>4.9805447470817117E-2</v>
      </c>
    </row>
    <row r="208" spans="22:83" x14ac:dyDescent="0.2">
      <c r="V208" s="2">
        <v>201</v>
      </c>
      <c r="W208" s="2">
        <f t="shared" si="268"/>
        <v>48368.571428571428</v>
      </c>
      <c r="X208" s="2">
        <f t="shared" si="268"/>
        <v>94294.28571428571</v>
      </c>
      <c r="Y208" s="2">
        <f t="shared" si="269"/>
        <v>94294.28571428571</v>
      </c>
      <c r="Z208" s="2">
        <f t="shared" ref="Z208:AA208" si="280">Y208</f>
        <v>94294.28571428571</v>
      </c>
      <c r="AA208" s="2">
        <f t="shared" si="280"/>
        <v>94294.28571428571</v>
      </c>
      <c r="AQ208" s="2">
        <v>201</v>
      </c>
      <c r="AR208" s="2">
        <f t="shared" ref="AR208:AV217" si="281">MAX($AQ208-$C$2,0)*INDEX($AN$8:$AN$44,MATCH(AR$7,$AO$8:$AO$44,0))/$C$3</f>
        <v>26199.642857142859</v>
      </c>
      <c r="AS208" s="2">
        <f t="shared" si="281"/>
        <v>62170.714285714283</v>
      </c>
      <c r="AT208" s="2">
        <f t="shared" si="281"/>
        <v>91607.142857142855</v>
      </c>
      <c r="AU208" s="2">
        <f t="shared" si="281"/>
        <v>137410.71428571429</v>
      </c>
      <c r="AV208" s="2">
        <f t="shared" si="281"/>
        <v>257721.42857142858</v>
      </c>
      <c r="BK208" s="2">
        <v>201</v>
      </c>
      <c r="BL208" s="2">
        <f t="shared" ref="BL208:BP217" si="282">IFERROR(MAX($BK208-$C$2,0)*INDEX($BH$8:$BH$16,MATCH(BL$7,$BI$8:$BI$16,0))*$C$4/$C$3,BM208)</f>
        <v>3908.5714285714284</v>
      </c>
      <c r="BM208" s="2">
        <f t="shared" si="282"/>
        <v>6840</v>
      </c>
      <c r="BN208" s="2">
        <f t="shared" si="282"/>
        <v>10748.571428571429</v>
      </c>
      <c r="BO208" s="2">
        <f t="shared" si="282"/>
        <v>18565.714285714286</v>
      </c>
      <c r="BP208" s="2">
        <f t="shared" si="282"/>
        <v>169045.71428571429</v>
      </c>
      <c r="BV208" s="2">
        <v>201</v>
      </c>
      <c r="BW208" s="2">
        <f t="shared" si="263"/>
        <v>78476.785714285725</v>
      </c>
      <c r="BX208" s="2">
        <f t="shared" si="264"/>
        <v>163305</v>
      </c>
      <c r="BY208" s="2">
        <f t="shared" si="265"/>
        <v>196650</v>
      </c>
      <c r="BZ208" s="2">
        <f t="shared" si="266"/>
        <v>250270.71428571429</v>
      </c>
      <c r="CA208" s="2">
        <f t="shared" si="267"/>
        <v>521061.42857142864</v>
      </c>
      <c r="CC208" s="41">
        <f t="shared" si="271"/>
        <v>0.61634241245136179</v>
      </c>
      <c r="CD208" s="41">
        <f t="shared" si="272"/>
        <v>0.33385214007782099</v>
      </c>
      <c r="CE208" s="41">
        <f t="shared" si="273"/>
        <v>4.980544747081711E-2</v>
      </c>
    </row>
    <row r="209" spans="22:83" x14ac:dyDescent="0.2">
      <c r="V209" s="2">
        <v>202</v>
      </c>
      <c r="W209" s="2">
        <f t="shared" si="268"/>
        <v>48651.428571428572</v>
      </c>
      <c r="X209" s="2">
        <f t="shared" si="268"/>
        <v>94845.71428571429</v>
      </c>
      <c r="Y209" s="2">
        <f t="shared" si="269"/>
        <v>94845.71428571429</v>
      </c>
      <c r="Z209" s="2">
        <f t="shared" ref="Z209:AA209" si="283">Y209</f>
        <v>94845.71428571429</v>
      </c>
      <c r="AA209" s="2">
        <f t="shared" si="283"/>
        <v>94845.71428571429</v>
      </c>
      <c r="AQ209" s="2">
        <v>202</v>
      </c>
      <c r="AR209" s="2">
        <f t="shared" si="281"/>
        <v>26352.857142857141</v>
      </c>
      <c r="AS209" s="2">
        <f t="shared" si="281"/>
        <v>62534.285714285717</v>
      </c>
      <c r="AT209" s="2">
        <f t="shared" si="281"/>
        <v>92142.857142857145</v>
      </c>
      <c r="AU209" s="2">
        <f t="shared" si="281"/>
        <v>138214.28571428571</v>
      </c>
      <c r="AV209" s="2">
        <f t="shared" si="281"/>
        <v>259228.57142857142</v>
      </c>
      <c r="BK209" s="2">
        <v>202</v>
      </c>
      <c r="BL209" s="2">
        <f t="shared" si="282"/>
        <v>3931.4285714285716</v>
      </c>
      <c r="BM209" s="2">
        <f t="shared" si="282"/>
        <v>6880</v>
      </c>
      <c r="BN209" s="2">
        <f t="shared" si="282"/>
        <v>10811.428571428571</v>
      </c>
      <c r="BO209" s="2">
        <f t="shared" si="282"/>
        <v>18674.285714285714</v>
      </c>
      <c r="BP209" s="2">
        <f t="shared" si="282"/>
        <v>170034.28571428571</v>
      </c>
      <c r="BV209" s="2">
        <v>202</v>
      </c>
      <c r="BW209" s="2">
        <f t="shared" si="263"/>
        <v>78935.714285714275</v>
      </c>
      <c r="BX209" s="2">
        <f t="shared" si="264"/>
        <v>164260</v>
      </c>
      <c r="BY209" s="2">
        <f t="shared" si="265"/>
        <v>197800</v>
      </c>
      <c r="BZ209" s="2">
        <f t="shared" si="266"/>
        <v>251734.28571428571</v>
      </c>
      <c r="CA209" s="2">
        <f t="shared" si="267"/>
        <v>524108.57142857136</v>
      </c>
      <c r="CC209" s="41">
        <f t="shared" si="271"/>
        <v>0.61634241245136201</v>
      </c>
      <c r="CD209" s="41">
        <f t="shared" si="272"/>
        <v>0.33385214007782105</v>
      </c>
      <c r="CE209" s="41">
        <f t="shared" si="273"/>
        <v>4.9805447470817131E-2</v>
      </c>
    </row>
    <row r="210" spans="22:83" x14ac:dyDescent="0.2">
      <c r="V210" s="2">
        <v>203</v>
      </c>
      <c r="W210" s="2">
        <f t="shared" si="268"/>
        <v>48934.285714285717</v>
      </c>
      <c r="X210" s="2">
        <f t="shared" si="268"/>
        <v>95397.142857142855</v>
      </c>
      <c r="Y210" s="2">
        <f t="shared" si="269"/>
        <v>95397.142857142855</v>
      </c>
      <c r="Z210" s="2">
        <f t="shared" ref="Z210:AA210" si="284">Y210</f>
        <v>95397.142857142855</v>
      </c>
      <c r="AA210" s="2">
        <f t="shared" si="284"/>
        <v>95397.142857142855</v>
      </c>
      <c r="AQ210" s="2">
        <v>203</v>
      </c>
      <c r="AR210" s="2">
        <f t="shared" si="281"/>
        <v>26506.071428571428</v>
      </c>
      <c r="AS210" s="2">
        <f t="shared" si="281"/>
        <v>62897.857142857145</v>
      </c>
      <c r="AT210" s="2">
        <f t="shared" si="281"/>
        <v>92678.571428571435</v>
      </c>
      <c r="AU210" s="2">
        <f t="shared" si="281"/>
        <v>139017.85714285713</v>
      </c>
      <c r="AV210" s="2">
        <f t="shared" si="281"/>
        <v>260735.71428571429</v>
      </c>
      <c r="BK210" s="2">
        <v>203</v>
      </c>
      <c r="BL210" s="2">
        <f t="shared" si="282"/>
        <v>3954.2857142857142</v>
      </c>
      <c r="BM210" s="2">
        <f t="shared" si="282"/>
        <v>6920</v>
      </c>
      <c r="BN210" s="2">
        <f t="shared" si="282"/>
        <v>10874.285714285714</v>
      </c>
      <c r="BO210" s="2">
        <f t="shared" si="282"/>
        <v>18782.857142857141</v>
      </c>
      <c r="BP210" s="2">
        <f t="shared" si="282"/>
        <v>171022.85714285713</v>
      </c>
      <c r="BV210" s="2">
        <v>203</v>
      </c>
      <c r="BW210" s="2">
        <f t="shared" si="263"/>
        <v>79394.642857142855</v>
      </c>
      <c r="BX210" s="2">
        <f t="shared" si="264"/>
        <v>165215</v>
      </c>
      <c r="BY210" s="2">
        <f t="shared" si="265"/>
        <v>198950</v>
      </c>
      <c r="BZ210" s="2">
        <f t="shared" si="266"/>
        <v>253197.85714285713</v>
      </c>
      <c r="CA210" s="2">
        <f t="shared" si="267"/>
        <v>527155.71428571432</v>
      </c>
      <c r="CC210" s="41">
        <f t="shared" si="271"/>
        <v>0.6163424124513619</v>
      </c>
      <c r="CD210" s="41">
        <f t="shared" si="272"/>
        <v>0.33385214007782099</v>
      </c>
      <c r="CE210" s="41">
        <f t="shared" si="273"/>
        <v>4.9805447470817124E-2</v>
      </c>
    </row>
    <row r="211" spans="22:83" x14ac:dyDescent="0.2">
      <c r="V211" s="2">
        <v>204</v>
      </c>
      <c r="W211" s="2">
        <f t="shared" si="268"/>
        <v>49217.142857142855</v>
      </c>
      <c r="X211" s="2">
        <f t="shared" si="268"/>
        <v>95948.571428571435</v>
      </c>
      <c r="Y211" s="2">
        <f t="shared" si="269"/>
        <v>95948.571428571435</v>
      </c>
      <c r="Z211" s="2">
        <f t="shared" ref="Z211:AA211" si="285">Y211</f>
        <v>95948.571428571435</v>
      </c>
      <c r="AA211" s="2">
        <f t="shared" si="285"/>
        <v>95948.571428571435</v>
      </c>
      <c r="AQ211" s="2">
        <v>204</v>
      </c>
      <c r="AR211" s="2">
        <f t="shared" si="281"/>
        <v>26659.285714285714</v>
      </c>
      <c r="AS211" s="2">
        <f t="shared" si="281"/>
        <v>63261.428571428572</v>
      </c>
      <c r="AT211" s="2">
        <f t="shared" si="281"/>
        <v>93214.28571428571</v>
      </c>
      <c r="AU211" s="2">
        <f t="shared" si="281"/>
        <v>139821.42857142858</v>
      </c>
      <c r="AV211" s="2">
        <f t="shared" si="281"/>
        <v>262242.85714285716</v>
      </c>
      <c r="BK211" s="2">
        <v>204</v>
      </c>
      <c r="BL211" s="2">
        <f t="shared" si="282"/>
        <v>3977.1428571428573</v>
      </c>
      <c r="BM211" s="2">
        <f t="shared" si="282"/>
        <v>6960</v>
      </c>
      <c r="BN211" s="2">
        <f t="shared" si="282"/>
        <v>10937.142857142857</v>
      </c>
      <c r="BO211" s="2">
        <f t="shared" si="282"/>
        <v>18891.428571428572</v>
      </c>
      <c r="BP211" s="2">
        <f t="shared" si="282"/>
        <v>172011.42857142858</v>
      </c>
      <c r="BV211" s="2">
        <v>204</v>
      </c>
      <c r="BW211" s="2">
        <f t="shared" si="263"/>
        <v>79853.57142857142</v>
      </c>
      <c r="BX211" s="2">
        <f t="shared" si="264"/>
        <v>166170</v>
      </c>
      <c r="BY211" s="2">
        <f t="shared" si="265"/>
        <v>200100.00000000003</v>
      </c>
      <c r="BZ211" s="2">
        <f t="shared" si="266"/>
        <v>254661.42857142858</v>
      </c>
      <c r="CA211" s="2">
        <f t="shared" si="267"/>
        <v>530202.85714285716</v>
      </c>
      <c r="CC211" s="41">
        <f t="shared" si="271"/>
        <v>0.6163424124513619</v>
      </c>
      <c r="CD211" s="41">
        <f t="shared" si="272"/>
        <v>0.33385214007782105</v>
      </c>
      <c r="CE211" s="41">
        <f t="shared" si="273"/>
        <v>4.9805447470817131E-2</v>
      </c>
    </row>
    <row r="212" spans="22:83" x14ac:dyDescent="0.2">
      <c r="V212" s="2">
        <v>205</v>
      </c>
      <c r="W212" s="2">
        <f t="shared" si="268"/>
        <v>49500</v>
      </c>
      <c r="X212" s="2">
        <f t="shared" si="268"/>
        <v>96500</v>
      </c>
      <c r="Y212" s="2">
        <f t="shared" si="269"/>
        <v>96500</v>
      </c>
      <c r="Z212" s="2">
        <f t="shared" ref="Z212:AA212" si="286">Y212</f>
        <v>96500</v>
      </c>
      <c r="AA212" s="2">
        <f t="shared" si="286"/>
        <v>96500</v>
      </c>
      <c r="AQ212" s="2">
        <v>205</v>
      </c>
      <c r="AR212" s="2">
        <f t="shared" si="281"/>
        <v>26812.5</v>
      </c>
      <c r="AS212" s="2">
        <f t="shared" si="281"/>
        <v>63625</v>
      </c>
      <c r="AT212" s="2">
        <f t="shared" si="281"/>
        <v>93750</v>
      </c>
      <c r="AU212" s="2">
        <f t="shared" si="281"/>
        <v>140625</v>
      </c>
      <c r="AV212" s="2">
        <f t="shared" si="281"/>
        <v>263750</v>
      </c>
      <c r="BK212" s="2">
        <v>205</v>
      </c>
      <c r="BL212" s="2">
        <f t="shared" si="282"/>
        <v>4000</v>
      </c>
      <c r="BM212" s="2">
        <f t="shared" si="282"/>
        <v>7000</v>
      </c>
      <c r="BN212" s="2">
        <f t="shared" si="282"/>
        <v>11000</v>
      </c>
      <c r="BO212" s="2">
        <f t="shared" si="282"/>
        <v>19000</v>
      </c>
      <c r="BP212" s="2">
        <f t="shared" si="282"/>
        <v>173000</v>
      </c>
      <c r="BV212" s="2">
        <v>205</v>
      </c>
      <c r="BW212" s="2">
        <f t="shared" si="263"/>
        <v>80312.5</v>
      </c>
      <c r="BX212" s="2">
        <f t="shared" si="264"/>
        <v>167125</v>
      </c>
      <c r="BY212" s="2">
        <f t="shared" si="265"/>
        <v>201250</v>
      </c>
      <c r="BZ212" s="2">
        <f t="shared" si="266"/>
        <v>256125</v>
      </c>
      <c r="CA212" s="2">
        <f t="shared" si="267"/>
        <v>533250</v>
      </c>
      <c r="CC212" s="41">
        <f t="shared" si="271"/>
        <v>0.6163424124513619</v>
      </c>
      <c r="CD212" s="41">
        <f t="shared" si="272"/>
        <v>0.33385214007782099</v>
      </c>
      <c r="CE212" s="41">
        <f t="shared" si="273"/>
        <v>4.9805447470817124E-2</v>
      </c>
    </row>
    <row r="213" spans="22:83" x14ac:dyDescent="0.2">
      <c r="V213" s="2">
        <v>206</v>
      </c>
      <c r="W213" s="2">
        <f t="shared" si="268"/>
        <v>49782.857142857145</v>
      </c>
      <c r="X213" s="2">
        <f t="shared" si="268"/>
        <v>97051.428571428565</v>
      </c>
      <c r="Y213" s="2">
        <f t="shared" si="269"/>
        <v>97051.428571428565</v>
      </c>
      <c r="Z213" s="2">
        <f t="shared" ref="Z213:AA213" si="287">Y213</f>
        <v>97051.428571428565</v>
      </c>
      <c r="AA213" s="2">
        <f t="shared" si="287"/>
        <v>97051.428571428565</v>
      </c>
      <c r="AQ213" s="2">
        <v>206</v>
      </c>
      <c r="AR213" s="2">
        <f t="shared" si="281"/>
        <v>26965.714285714286</v>
      </c>
      <c r="AS213" s="2">
        <f t="shared" si="281"/>
        <v>63988.571428571428</v>
      </c>
      <c r="AT213" s="2">
        <f t="shared" si="281"/>
        <v>94285.71428571429</v>
      </c>
      <c r="AU213" s="2">
        <f t="shared" si="281"/>
        <v>141428.57142857142</v>
      </c>
      <c r="AV213" s="2">
        <f t="shared" si="281"/>
        <v>265257.14285714284</v>
      </c>
      <c r="BK213" s="2">
        <v>206</v>
      </c>
      <c r="BL213" s="2">
        <f t="shared" si="282"/>
        <v>4022.8571428571427</v>
      </c>
      <c r="BM213" s="2">
        <f t="shared" si="282"/>
        <v>7040</v>
      </c>
      <c r="BN213" s="2">
        <f t="shared" si="282"/>
        <v>11062.857142857143</v>
      </c>
      <c r="BO213" s="2">
        <f t="shared" si="282"/>
        <v>19108.571428571428</v>
      </c>
      <c r="BP213" s="2">
        <f t="shared" si="282"/>
        <v>173988.57142857142</v>
      </c>
      <c r="BV213" s="2">
        <v>206</v>
      </c>
      <c r="BW213" s="2">
        <f t="shared" si="263"/>
        <v>80771.42857142858</v>
      </c>
      <c r="BX213" s="2">
        <f t="shared" si="264"/>
        <v>168080</v>
      </c>
      <c r="BY213" s="2">
        <f t="shared" si="265"/>
        <v>202399.99999999997</v>
      </c>
      <c r="BZ213" s="2">
        <f t="shared" si="266"/>
        <v>257588.57142857142</v>
      </c>
      <c r="CA213" s="2">
        <f t="shared" si="267"/>
        <v>536297.14285714284</v>
      </c>
      <c r="CC213" s="41">
        <f t="shared" si="271"/>
        <v>0.61634241245136179</v>
      </c>
      <c r="CD213" s="41">
        <f t="shared" si="272"/>
        <v>0.33385214007782099</v>
      </c>
      <c r="CE213" s="41">
        <f t="shared" si="273"/>
        <v>4.980544747081711E-2</v>
      </c>
    </row>
    <row r="214" spans="22:83" x14ac:dyDescent="0.2">
      <c r="V214" s="2">
        <v>207</v>
      </c>
      <c r="W214" s="2">
        <f t="shared" si="268"/>
        <v>50065.714285714283</v>
      </c>
      <c r="X214" s="2">
        <f t="shared" si="268"/>
        <v>97602.857142857145</v>
      </c>
      <c r="Y214" s="2">
        <f t="shared" si="269"/>
        <v>97602.857142857145</v>
      </c>
      <c r="Z214" s="2">
        <f t="shared" ref="Z214:AA214" si="288">Y214</f>
        <v>97602.857142857145</v>
      </c>
      <c r="AA214" s="2">
        <f t="shared" si="288"/>
        <v>97602.857142857145</v>
      </c>
      <c r="AQ214" s="2">
        <v>207</v>
      </c>
      <c r="AR214" s="2">
        <f t="shared" si="281"/>
        <v>27118.928571428572</v>
      </c>
      <c r="AS214" s="2">
        <f t="shared" si="281"/>
        <v>64352.142857142855</v>
      </c>
      <c r="AT214" s="2">
        <f t="shared" si="281"/>
        <v>94821.428571428565</v>
      </c>
      <c r="AU214" s="2">
        <f t="shared" si="281"/>
        <v>142232.14285714287</v>
      </c>
      <c r="AV214" s="2">
        <f t="shared" si="281"/>
        <v>266764.28571428574</v>
      </c>
      <c r="BK214" s="2">
        <v>207</v>
      </c>
      <c r="BL214" s="2">
        <f t="shared" si="282"/>
        <v>4045.7142857142858</v>
      </c>
      <c r="BM214" s="2">
        <f t="shared" si="282"/>
        <v>7080</v>
      </c>
      <c r="BN214" s="2">
        <f t="shared" si="282"/>
        <v>11125.714285714286</v>
      </c>
      <c r="BO214" s="2">
        <f t="shared" si="282"/>
        <v>19217.142857142859</v>
      </c>
      <c r="BP214" s="2">
        <f t="shared" si="282"/>
        <v>174977.14285714287</v>
      </c>
      <c r="BV214" s="2">
        <v>207</v>
      </c>
      <c r="BW214" s="2">
        <f t="shared" si="263"/>
        <v>81230.357142857145</v>
      </c>
      <c r="BX214" s="2">
        <f t="shared" si="264"/>
        <v>169035</v>
      </c>
      <c r="BY214" s="2">
        <f t="shared" si="265"/>
        <v>203550</v>
      </c>
      <c r="BZ214" s="2">
        <f t="shared" si="266"/>
        <v>259052.14285714287</v>
      </c>
      <c r="CA214" s="2">
        <f t="shared" si="267"/>
        <v>539344.2857142858</v>
      </c>
      <c r="CC214" s="41">
        <f t="shared" si="271"/>
        <v>0.61634241245136179</v>
      </c>
      <c r="CD214" s="41">
        <f t="shared" si="272"/>
        <v>0.33385214007782099</v>
      </c>
      <c r="CE214" s="41">
        <f t="shared" si="273"/>
        <v>4.9805447470817117E-2</v>
      </c>
    </row>
    <row r="215" spans="22:83" x14ac:dyDescent="0.2">
      <c r="V215" s="2">
        <v>208</v>
      </c>
      <c r="W215" s="2">
        <f t="shared" si="268"/>
        <v>50348.571428571428</v>
      </c>
      <c r="X215" s="2">
        <f t="shared" si="268"/>
        <v>98154.28571428571</v>
      </c>
      <c r="Y215" s="2">
        <f t="shared" si="269"/>
        <v>98154.28571428571</v>
      </c>
      <c r="Z215" s="2">
        <f t="shared" ref="Z215:AA215" si="289">Y215</f>
        <v>98154.28571428571</v>
      </c>
      <c r="AA215" s="2">
        <f t="shared" si="289"/>
        <v>98154.28571428571</v>
      </c>
      <c r="AQ215" s="2">
        <v>208</v>
      </c>
      <c r="AR215" s="2">
        <f t="shared" si="281"/>
        <v>27272.142857142859</v>
      </c>
      <c r="AS215" s="2">
        <f t="shared" si="281"/>
        <v>64715.714285714283</v>
      </c>
      <c r="AT215" s="2">
        <f t="shared" si="281"/>
        <v>95357.142857142855</v>
      </c>
      <c r="AU215" s="2">
        <f t="shared" si="281"/>
        <v>143035.71428571429</v>
      </c>
      <c r="AV215" s="2">
        <f t="shared" si="281"/>
        <v>268271.42857142858</v>
      </c>
      <c r="BK215" s="2">
        <v>208</v>
      </c>
      <c r="BL215" s="2">
        <f t="shared" si="282"/>
        <v>4068.5714285714284</v>
      </c>
      <c r="BM215" s="2">
        <f t="shared" si="282"/>
        <v>7120</v>
      </c>
      <c r="BN215" s="2">
        <f t="shared" si="282"/>
        <v>11188.571428571429</v>
      </c>
      <c r="BO215" s="2">
        <f t="shared" si="282"/>
        <v>19325.714285714286</v>
      </c>
      <c r="BP215" s="2">
        <f t="shared" si="282"/>
        <v>175965.71428571429</v>
      </c>
      <c r="BV215" s="2">
        <v>208</v>
      </c>
      <c r="BW215" s="2">
        <f t="shared" si="263"/>
        <v>81689.285714285725</v>
      </c>
      <c r="BX215" s="2">
        <f t="shared" si="264"/>
        <v>169990</v>
      </c>
      <c r="BY215" s="2">
        <f t="shared" si="265"/>
        <v>204700</v>
      </c>
      <c r="BZ215" s="2">
        <f t="shared" si="266"/>
        <v>260515.71428571429</v>
      </c>
      <c r="CA215" s="2">
        <f t="shared" si="267"/>
        <v>542391.42857142864</v>
      </c>
      <c r="CC215" s="41">
        <f t="shared" si="271"/>
        <v>0.61634241245136179</v>
      </c>
      <c r="CD215" s="41">
        <f t="shared" si="272"/>
        <v>0.33385214007782099</v>
      </c>
      <c r="CE215" s="41">
        <f t="shared" si="273"/>
        <v>4.980544747081711E-2</v>
      </c>
    </row>
    <row r="216" spans="22:83" x14ac:dyDescent="0.2">
      <c r="V216" s="2">
        <v>209</v>
      </c>
      <c r="W216" s="2">
        <f t="shared" si="268"/>
        <v>50631.428571428572</v>
      </c>
      <c r="X216" s="2">
        <f t="shared" si="268"/>
        <v>98705.71428571429</v>
      </c>
      <c r="Y216" s="2">
        <f t="shared" si="269"/>
        <v>98705.71428571429</v>
      </c>
      <c r="Z216" s="2">
        <f t="shared" ref="Z216:AA216" si="290">Y216</f>
        <v>98705.71428571429</v>
      </c>
      <c r="AA216" s="2">
        <f t="shared" si="290"/>
        <v>98705.71428571429</v>
      </c>
      <c r="AQ216" s="2">
        <v>209</v>
      </c>
      <c r="AR216" s="2">
        <f t="shared" si="281"/>
        <v>27425.357142857141</v>
      </c>
      <c r="AS216" s="2">
        <f t="shared" si="281"/>
        <v>65079.285714285717</v>
      </c>
      <c r="AT216" s="2">
        <f t="shared" si="281"/>
        <v>95892.857142857145</v>
      </c>
      <c r="AU216" s="2">
        <f t="shared" si="281"/>
        <v>143839.28571428571</v>
      </c>
      <c r="AV216" s="2">
        <f t="shared" si="281"/>
        <v>269778.57142857142</v>
      </c>
      <c r="BK216" s="2">
        <v>209</v>
      </c>
      <c r="BL216" s="2">
        <f t="shared" si="282"/>
        <v>4091.4285714285716</v>
      </c>
      <c r="BM216" s="2">
        <f t="shared" si="282"/>
        <v>7160</v>
      </c>
      <c r="BN216" s="2">
        <f t="shared" si="282"/>
        <v>11251.428571428571</v>
      </c>
      <c r="BO216" s="2">
        <f t="shared" si="282"/>
        <v>19434.285714285714</v>
      </c>
      <c r="BP216" s="2">
        <f t="shared" si="282"/>
        <v>176954.28571428571</v>
      </c>
      <c r="BV216" s="2">
        <v>209</v>
      </c>
      <c r="BW216" s="2">
        <f t="shared" si="263"/>
        <v>82148.214285714275</v>
      </c>
      <c r="BX216" s="2">
        <f t="shared" si="264"/>
        <v>170945</v>
      </c>
      <c r="BY216" s="2">
        <f t="shared" si="265"/>
        <v>205850</v>
      </c>
      <c r="BZ216" s="2">
        <f t="shared" si="266"/>
        <v>261979.28571428571</v>
      </c>
      <c r="CA216" s="2">
        <f t="shared" si="267"/>
        <v>545438.57142857136</v>
      </c>
      <c r="CC216" s="41">
        <f t="shared" si="271"/>
        <v>0.61634241245136201</v>
      </c>
      <c r="CD216" s="41">
        <f t="shared" si="272"/>
        <v>0.33385214007782105</v>
      </c>
      <c r="CE216" s="41">
        <f t="shared" si="273"/>
        <v>4.9805447470817131E-2</v>
      </c>
    </row>
    <row r="217" spans="22:83" x14ac:dyDescent="0.2">
      <c r="V217" s="2">
        <v>210</v>
      </c>
      <c r="W217" s="2">
        <f t="shared" si="268"/>
        <v>50914.285714285717</v>
      </c>
      <c r="X217" s="2">
        <f t="shared" si="268"/>
        <v>99257.142857142855</v>
      </c>
      <c r="Y217" s="2">
        <f t="shared" si="269"/>
        <v>99257.142857142855</v>
      </c>
      <c r="Z217" s="2">
        <f t="shared" ref="Z217:AA217" si="291">Y217</f>
        <v>99257.142857142855</v>
      </c>
      <c r="AA217" s="2">
        <f t="shared" si="291"/>
        <v>99257.142857142855</v>
      </c>
      <c r="AQ217" s="2">
        <v>210</v>
      </c>
      <c r="AR217" s="2">
        <f t="shared" si="281"/>
        <v>27578.571428571428</v>
      </c>
      <c r="AS217" s="2">
        <f t="shared" si="281"/>
        <v>65442.857142857145</v>
      </c>
      <c r="AT217" s="2">
        <f t="shared" si="281"/>
        <v>96428.571428571435</v>
      </c>
      <c r="AU217" s="2">
        <f t="shared" si="281"/>
        <v>144642.85714285713</v>
      </c>
      <c r="AV217" s="2">
        <f t="shared" si="281"/>
        <v>271285.71428571426</v>
      </c>
      <c r="BK217" s="2">
        <v>210</v>
      </c>
      <c r="BL217" s="2">
        <f t="shared" si="282"/>
        <v>4114.2857142857147</v>
      </c>
      <c r="BM217" s="2">
        <f t="shared" si="282"/>
        <v>7200</v>
      </c>
      <c r="BN217" s="2">
        <f t="shared" si="282"/>
        <v>11314.285714285714</v>
      </c>
      <c r="BO217" s="2">
        <f t="shared" si="282"/>
        <v>19542.857142857141</v>
      </c>
      <c r="BP217" s="2">
        <f t="shared" si="282"/>
        <v>177942.85714285713</v>
      </c>
      <c r="BV217" s="2">
        <v>210</v>
      </c>
      <c r="BW217" s="2">
        <f t="shared" si="263"/>
        <v>82607.142857142855</v>
      </c>
      <c r="BX217" s="2">
        <f t="shared" si="264"/>
        <v>171900</v>
      </c>
      <c r="BY217" s="2">
        <f t="shared" si="265"/>
        <v>207000</v>
      </c>
      <c r="BZ217" s="2">
        <f t="shared" si="266"/>
        <v>263442.85714285716</v>
      </c>
      <c r="CA217" s="2">
        <f t="shared" si="267"/>
        <v>548485.7142857142</v>
      </c>
      <c r="CC217" s="41">
        <f t="shared" si="271"/>
        <v>0.6163424124513619</v>
      </c>
      <c r="CD217" s="41">
        <f t="shared" si="272"/>
        <v>0.33385214007782099</v>
      </c>
      <c r="CE217" s="41">
        <f t="shared" si="273"/>
        <v>4.9805447470817124E-2</v>
      </c>
    </row>
    <row r="218" spans="22:83" x14ac:dyDescent="0.2">
      <c r="V218" s="2">
        <v>211</v>
      </c>
      <c r="W218" s="2">
        <f t="shared" si="268"/>
        <v>51197.142857142855</v>
      </c>
      <c r="X218" s="2">
        <f t="shared" si="268"/>
        <v>99808.571428571435</v>
      </c>
      <c r="Y218" s="2">
        <f t="shared" si="269"/>
        <v>99808.571428571435</v>
      </c>
      <c r="Z218" s="2">
        <f t="shared" ref="Z218:AA218" si="292">Y218</f>
        <v>99808.571428571435</v>
      </c>
      <c r="AA218" s="2">
        <f t="shared" si="292"/>
        <v>99808.571428571435</v>
      </c>
      <c r="AQ218" s="2">
        <v>211</v>
      </c>
      <c r="AR218" s="2">
        <f t="shared" ref="AR218:AV227" si="293">MAX($AQ218-$C$2,0)*INDEX($AN$8:$AN$44,MATCH(AR$7,$AO$8:$AO$44,0))/$C$3</f>
        <v>27731.785714285714</v>
      </c>
      <c r="AS218" s="2">
        <f t="shared" si="293"/>
        <v>65806.428571428565</v>
      </c>
      <c r="AT218" s="2">
        <f t="shared" si="293"/>
        <v>96964.28571428571</v>
      </c>
      <c r="AU218" s="2">
        <f t="shared" si="293"/>
        <v>145446.42857142858</v>
      </c>
      <c r="AV218" s="2">
        <f t="shared" si="293"/>
        <v>272792.85714285716</v>
      </c>
      <c r="BK218" s="2">
        <v>211</v>
      </c>
      <c r="BL218" s="2">
        <f t="shared" ref="BL218:BP227" si="294">IFERROR(MAX($BK218-$C$2,0)*INDEX($BH$8:$BH$16,MATCH(BL$7,$BI$8:$BI$16,0))*$C$4/$C$3,BM218)</f>
        <v>4137.1428571428569</v>
      </c>
      <c r="BM218" s="2">
        <f t="shared" si="294"/>
        <v>7240</v>
      </c>
      <c r="BN218" s="2">
        <f t="shared" si="294"/>
        <v>11377.142857142857</v>
      </c>
      <c r="BO218" s="2">
        <f t="shared" si="294"/>
        <v>19651.428571428572</v>
      </c>
      <c r="BP218" s="2">
        <f t="shared" si="294"/>
        <v>178931.42857142858</v>
      </c>
      <c r="BV218" s="2">
        <v>211</v>
      </c>
      <c r="BW218" s="2">
        <f t="shared" si="263"/>
        <v>83066.07142857142</v>
      </c>
      <c r="BX218" s="2">
        <f t="shared" si="264"/>
        <v>172855</v>
      </c>
      <c r="BY218" s="2">
        <f t="shared" si="265"/>
        <v>208150.00000000003</v>
      </c>
      <c r="BZ218" s="2">
        <f t="shared" si="266"/>
        <v>264906.42857142858</v>
      </c>
      <c r="CA218" s="2">
        <f t="shared" si="267"/>
        <v>551532.85714285716</v>
      </c>
      <c r="CC218" s="41">
        <f t="shared" si="271"/>
        <v>0.6163424124513619</v>
      </c>
      <c r="CD218" s="41">
        <f t="shared" si="272"/>
        <v>0.33385214007782105</v>
      </c>
      <c r="CE218" s="41">
        <f t="shared" si="273"/>
        <v>4.9805447470817124E-2</v>
      </c>
    </row>
    <row r="219" spans="22:83" x14ac:dyDescent="0.2">
      <c r="V219" s="2">
        <v>212</v>
      </c>
      <c r="W219" s="2">
        <f t="shared" si="268"/>
        <v>51480</v>
      </c>
      <c r="X219" s="2">
        <f t="shared" si="268"/>
        <v>100360</v>
      </c>
      <c r="Y219" s="2">
        <f t="shared" si="269"/>
        <v>100360</v>
      </c>
      <c r="Z219" s="2">
        <f t="shared" ref="Z219:AA219" si="295">Y219</f>
        <v>100360</v>
      </c>
      <c r="AA219" s="2">
        <f t="shared" si="295"/>
        <v>100360</v>
      </c>
      <c r="AQ219" s="2">
        <v>212</v>
      </c>
      <c r="AR219" s="2">
        <f t="shared" si="293"/>
        <v>27885</v>
      </c>
      <c r="AS219" s="2">
        <f t="shared" si="293"/>
        <v>66170</v>
      </c>
      <c r="AT219" s="2">
        <f t="shared" si="293"/>
        <v>97500</v>
      </c>
      <c r="AU219" s="2">
        <f t="shared" si="293"/>
        <v>146250</v>
      </c>
      <c r="AV219" s="2">
        <f t="shared" si="293"/>
        <v>274300</v>
      </c>
      <c r="BK219" s="2">
        <v>212</v>
      </c>
      <c r="BL219" s="2">
        <f t="shared" si="294"/>
        <v>4160</v>
      </c>
      <c r="BM219" s="2">
        <f t="shared" si="294"/>
        <v>7280</v>
      </c>
      <c r="BN219" s="2">
        <f t="shared" si="294"/>
        <v>11440</v>
      </c>
      <c r="BO219" s="2">
        <f t="shared" si="294"/>
        <v>19760</v>
      </c>
      <c r="BP219" s="2">
        <f t="shared" si="294"/>
        <v>179920</v>
      </c>
      <c r="BV219" s="2">
        <v>212</v>
      </c>
      <c r="BW219" s="2">
        <f t="shared" si="263"/>
        <v>83525</v>
      </c>
      <c r="BX219" s="2">
        <f t="shared" si="264"/>
        <v>173810</v>
      </c>
      <c r="BY219" s="2">
        <f t="shared" si="265"/>
        <v>209300</v>
      </c>
      <c r="BZ219" s="2">
        <f t="shared" si="266"/>
        <v>266370</v>
      </c>
      <c r="CA219" s="2">
        <f t="shared" si="267"/>
        <v>554580</v>
      </c>
      <c r="CC219" s="41">
        <f t="shared" si="271"/>
        <v>0.6163424124513619</v>
      </c>
      <c r="CD219" s="41">
        <f t="shared" si="272"/>
        <v>0.33385214007782099</v>
      </c>
      <c r="CE219" s="41">
        <f t="shared" si="273"/>
        <v>4.9805447470817124E-2</v>
      </c>
    </row>
    <row r="220" spans="22:83" x14ac:dyDescent="0.2">
      <c r="V220" s="2">
        <v>213</v>
      </c>
      <c r="W220" s="2">
        <f t="shared" si="268"/>
        <v>51762.857142857145</v>
      </c>
      <c r="X220" s="2">
        <f t="shared" si="268"/>
        <v>100911.42857142857</v>
      </c>
      <c r="Y220" s="2">
        <f t="shared" si="269"/>
        <v>100911.42857142857</v>
      </c>
      <c r="Z220" s="2">
        <f t="shared" ref="Z220:AA220" si="296">Y220</f>
        <v>100911.42857142857</v>
      </c>
      <c r="AA220" s="2">
        <f t="shared" si="296"/>
        <v>100911.42857142857</v>
      </c>
      <c r="AQ220" s="2">
        <v>213</v>
      </c>
      <c r="AR220" s="2">
        <f t="shared" si="293"/>
        <v>28038.214285714286</v>
      </c>
      <c r="AS220" s="2">
        <f t="shared" si="293"/>
        <v>66533.571428571435</v>
      </c>
      <c r="AT220" s="2">
        <f t="shared" si="293"/>
        <v>98035.71428571429</v>
      </c>
      <c r="AU220" s="2">
        <f t="shared" si="293"/>
        <v>147053.57142857142</v>
      </c>
      <c r="AV220" s="2">
        <f t="shared" si="293"/>
        <v>275807.14285714284</v>
      </c>
      <c r="BK220" s="2">
        <v>213</v>
      </c>
      <c r="BL220" s="2">
        <f t="shared" si="294"/>
        <v>4182.8571428571431</v>
      </c>
      <c r="BM220" s="2">
        <f t="shared" si="294"/>
        <v>7320</v>
      </c>
      <c r="BN220" s="2">
        <f t="shared" si="294"/>
        <v>11502.857142857143</v>
      </c>
      <c r="BO220" s="2">
        <f t="shared" si="294"/>
        <v>19868.571428571428</v>
      </c>
      <c r="BP220" s="2">
        <f t="shared" si="294"/>
        <v>180908.57142857142</v>
      </c>
      <c r="BV220" s="2">
        <v>213</v>
      </c>
      <c r="BW220" s="2">
        <f t="shared" si="263"/>
        <v>83983.92857142858</v>
      </c>
      <c r="BX220" s="2">
        <f t="shared" si="264"/>
        <v>174765</v>
      </c>
      <c r="BY220" s="2">
        <f t="shared" si="265"/>
        <v>210449.99999999997</v>
      </c>
      <c r="BZ220" s="2">
        <f t="shared" si="266"/>
        <v>267833.57142857142</v>
      </c>
      <c r="CA220" s="2">
        <f t="shared" si="267"/>
        <v>557627.14285714284</v>
      </c>
      <c r="CC220" s="41">
        <f t="shared" si="271"/>
        <v>0.61634241245136179</v>
      </c>
      <c r="CD220" s="41">
        <f t="shared" si="272"/>
        <v>0.33385214007782099</v>
      </c>
      <c r="CE220" s="41">
        <f t="shared" si="273"/>
        <v>4.9805447470817117E-2</v>
      </c>
    </row>
    <row r="221" spans="22:83" x14ac:dyDescent="0.2">
      <c r="V221" s="2">
        <v>214</v>
      </c>
      <c r="W221" s="2">
        <f t="shared" si="268"/>
        <v>52045.714285714283</v>
      </c>
      <c r="X221" s="2">
        <f t="shared" si="268"/>
        <v>101462.85714285714</v>
      </c>
      <c r="Y221" s="2">
        <f t="shared" si="269"/>
        <v>101462.85714285714</v>
      </c>
      <c r="Z221" s="2">
        <f t="shared" ref="Z221:AA221" si="297">Y221</f>
        <v>101462.85714285714</v>
      </c>
      <c r="AA221" s="2">
        <f t="shared" si="297"/>
        <v>101462.85714285714</v>
      </c>
      <c r="AQ221" s="2">
        <v>214</v>
      </c>
      <c r="AR221" s="2">
        <f t="shared" si="293"/>
        <v>28191.428571428572</v>
      </c>
      <c r="AS221" s="2">
        <f t="shared" si="293"/>
        <v>66897.142857142855</v>
      </c>
      <c r="AT221" s="2">
        <f t="shared" si="293"/>
        <v>98571.428571428565</v>
      </c>
      <c r="AU221" s="2">
        <f t="shared" si="293"/>
        <v>147857.14285714287</v>
      </c>
      <c r="AV221" s="2">
        <f t="shared" si="293"/>
        <v>277314.28571428574</v>
      </c>
      <c r="BK221" s="2">
        <v>214</v>
      </c>
      <c r="BL221" s="2">
        <f t="shared" si="294"/>
        <v>4205.7142857142853</v>
      </c>
      <c r="BM221" s="2">
        <f t="shared" si="294"/>
        <v>7360</v>
      </c>
      <c r="BN221" s="2">
        <f t="shared" si="294"/>
        <v>11565.714285714286</v>
      </c>
      <c r="BO221" s="2">
        <f t="shared" si="294"/>
        <v>19977.142857142859</v>
      </c>
      <c r="BP221" s="2">
        <f t="shared" si="294"/>
        <v>181897.14285714287</v>
      </c>
      <c r="BV221" s="2">
        <v>214</v>
      </c>
      <c r="BW221" s="2">
        <f t="shared" si="263"/>
        <v>84442.857142857145</v>
      </c>
      <c r="BX221" s="2">
        <f t="shared" si="264"/>
        <v>175720</v>
      </c>
      <c r="BY221" s="2">
        <f t="shared" si="265"/>
        <v>211600</v>
      </c>
      <c r="BZ221" s="2">
        <f t="shared" si="266"/>
        <v>269297.14285714284</v>
      </c>
      <c r="CA221" s="2">
        <f t="shared" si="267"/>
        <v>560674.2857142858</v>
      </c>
      <c r="CC221" s="41">
        <f t="shared" si="271"/>
        <v>0.61634241245136179</v>
      </c>
      <c r="CD221" s="41">
        <f t="shared" si="272"/>
        <v>0.33385214007782099</v>
      </c>
      <c r="CE221" s="41">
        <f t="shared" si="273"/>
        <v>4.9805447470817117E-2</v>
      </c>
    </row>
    <row r="222" spans="22:83" x14ac:dyDescent="0.2">
      <c r="V222" s="2">
        <v>215</v>
      </c>
      <c r="W222" s="2">
        <f t="shared" si="268"/>
        <v>52328.571428571428</v>
      </c>
      <c r="X222" s="2">
        <f t="shared" si="268"/>
        <v>102014.28571428571</v>
      </c>
      <c r="Y222" s="2">
        <f t="shared" si="269"/>
        <v>102014.28571428571</v>
      </c>
      <c r="Z222" s="2">
        <f t="shared" ref="Z222:AA222" si="298">Y222</f>
        <v>102014.28571428571</v>
      </c>
      <c r="AA222" s="2">
        <f t="shared" si="298"/>
        <v>102014.28571428571</v>
      </c>
      <c r="AQ222" s="2">
        <v>215</v>
      </c>
      <c r="AR222" s="2">
        <f t="shared" si="293"/>
        <v>28344.642857142859</v>
      </c>
      <c r="AS222" s="2">
        <f t="shared" si="293"/>
        <v>67260.71428571429</v>
      </c>
      <c r="AT222" s="2">
        <f t="shared" si="293"/>
        <v>99107.142857142855</v>
      </c>
      <c r="AU222" s="2">
        <f t="shared" si="293"/>
        <v>148660.71428571429</v>
      </c>
      <c r="AV222" s="2">
        <f t="shared" si="293"/>
        <v>278821.42857142858</v>
      </c>
      <c r="BK222" s="2">
        <v>215</v>
      </c>
      <c r="BL222" s="2">
        <f t="shared" si="294"/>
        <v>4228.5714285714284</v>
      </c>
      <c r="BM222" s="2">
        <f t="shared" si="294"/>
        <v>7400</v>
      </c>
      <c r="BN222" s="2">
        <f t="shared" si="294"/>
        <v>11628.571428571429</v>
      </c>
      <c r="BO222" s="2">
        <f t="shared" si="294"/>
        <v>20085.714285714286</v>
      </c>
      <c r="BP222" s="2">
        <f t="shared" si="294"/>
        <v>182885.71428571429</v>
      </c>
      <c r="BV222" s="2">
        <v>215</v>
      </c>
      <c r="BW222" s="2">
        <f t="shared" si="263"/>
        <v>84901.785714285725</v>
      </c>
      <c r="BX222" s="2">
        <f t="shared" si="264"/>
        <v>176675</v>
      </c>
      <c r="BY222" s="2">
        <f t="shared" si="265"/>
        <v>212750</v>
      </c>
      <c r="BZ222" s="2">
        <f t="shared" si="266"/>
        <v>270760.71428571426</v>
      </c>
      <c r="CA222" s="2">
        <f t="shared" si="267"/>
        <v>563721.42857142864</v>
      </c>
      <c r="CC222" s="41">
        <f t="shared" si="271"/>
        <v>0.61634241245136179</v>
      </c>
      <c r="CD222" s="41">
        <f t="shared" si="272"/>
        <v>0.33385214007782099</v>
      </c>
      <c r="CE222" s="41">
        <f t="shared" si="273"/>
        <v>4.980544747081711E-2</v>
      </c>
    </row>
    <row r="223" spans="22:83" x14ac:dyDescent="0.2">
      <c r="V223" s="2">
        <v>216</v>
      </c>
      <c r="W223" s="2">
        <f t="shared" si="268"/>
        <v>52611.428571428572</v>
      </c>
      <c r="X223" s="2">
        <f t="shared" si="268"/>
        <v>102565.71428571429</v>
      </c>
      <c r="Y223" s="2">
        <f t="shared" si="269"/>
        <v>102565.71428571429</v>
      </c>
      <c r="Z223" s="2">
        <f t="shared" ref="Z223:AA223" si="299">Y223</f>
        <v>102565.71428571429</v>
      </c>
      <c r="AA223" s="2">
        <f t="shared" si="299"/>
        <v>102565.71428571429</v>
      </c>
      <c r="AQ223" s="2">
        <v>216</v>
      </c>
      <c r="AR223" s="2">
        <f t="shared" si="293"/>
        <v>28497.857142857141</v>
      </c>
      <c r="AS223" s="2">
        <f t="shared" si="293"/>
        <v>67624.28571428571</v>
      </c>
      <c r="AT223" s="2">
        <f t="shared" si="293"/>
        <v>99642.857142857145</v>
      </c>
      <c r="AU223" s="2">
        <f t="shared" si="293"/>
        <v>149464.28571428571</v>
      </c>
      <c r="AV223" s="2">
        <f t="shared" si="293"/>
        <v>280328.57142857142</v>
      </c>
      <c r="BK223" s="2">
        <v>216</v>
      </c>
      <c r="BL223" s="2">
        <f t="shared" si="294"/>
        <v>4251.4285714285716</v>
      </c>
      <c r="BM223" s="2">
        <f t="shared" si="294"/>
        <v>7440</v>
      </c>
      <c r="BN223" s="2">
        <f t="shared" si="294"/>
        <v>11691.428571428571</v>
      </c>
      <c r="BO223" s="2">
        <f t="shared" si="294"/>
        <v>20194.285714285714</v>
      </c>
      <c r="BP223" s="2">
        <f t="shared" si="294"/>
        <v>183874.28571428571</v>
      </c>
      <c r="BV223" s="2">
        <v>216</v>
      </c>
      <c r="BW223" s="2">
        <f t="shared" si="263"/>
        <v>85360.714285714275</v>
      </c>
      <c r="BX223" s="2">
        <f t="shared" si="264"/>
        <v>177630</v>
      </c>
      <c r="BY223" s="2">
        <f t="shared" si="265"/>
        <v>213900</v>
      </c>
      <c r="BZ223" s="2">
        <f t="shared" si="266"/>
        <v>272224.28571428574</v>
      </c>
      <c r="CA223" s="2">
        <f t="shared" si="267"/>
        <v>566768.57142857136</v>
      </c>
      <c r="CC223" s="41">
        <f t="shared" si="271"/>
        <v>0.61634241245136201</v>
      </c>
      <c r="CD223" s="41">
        <f t="shared" si="272"/>
        <v>0.33385214007782105</v>
      </c>
      <c r="CE223" s="41">
        <f t="shared" si="273"/>
        <v>4.9805447470817131E-2</v>
      </c>
    </row>
    <row r="224" spans="22:83" x14ac:dyDescent="0.2">
      <c r="V224" s="2">
        <v>217</v>
      </c>
      <c r="W224" s="2">
        <f t="shared" si="268"/>
        <v>52894.285714285717</v>
      </c>
      <c r="X224" s="2">
        <f t="shared" si="268"/>
        <v>103117.14285714286</v>
      </c>
      <c r="Y224" s="2">
        <f t="shared" si="269"/>
        <v>103117.14285714286</v>
      </c>
      <c r="Z224" s="2">
        <f t="shared" ref="Z224:AA224" si="300">Y224</f>
        <v>103117.14285714286</v>
      </c>
      <c r="AA224" s="2">
        <f t="shared" si="300"/>
        <v>103117.14285714286</v>
      </c>
      <c r="AQ224" s="2">
        <v>217</v>
      </c>
      <c r="AR224" s="2">
        <f t="shared" si="293"/>
        <v>28651.071428571428</v>
      </c>
      <c r="AS224" s="2">
        <f t="shared" si="293"/>
        <v>67987.857142857145</v>
      </c>
      <c r="AT224" s="2">
        <f t="shared" si="293"/>
        <v>100178.57142857143</v>
      </c>
      <c r="AU224" s="2">
        <f t="shared" si="293"/>
        <v>150267.85714285713</v>
      </c>
      <c r="AV224" s="2">
        <f t="shared" si="293"/>
        <v>281835.71428571426</v>
      </c>
      <c r="BK224" s="2">
        <v>217</v>
      </c>
      <c r="BL224" s="2">
        <f t="shared" si="294"/>
        <v>4274.2857142857147</v>
      </c>
      <c r="BM224" s="2">
        <f t="shared" si="294"/>
        <v>7480</v>
      </c>
      <c r="BN224" s="2">
        <f t="shared" si="294"/>
        <v>11754.285714285714</v>
      </c>
      <c r="BO224" s="2">
        <f t="shared" si="294"/>
        <v>20302.857142857141</v>
      </c>
      <c r="BP224" s="2">
        <f t="shared" si="294"/>
        <v>184862.85714285713</v>
      </c>
      <c r="BV224" s="2">
        <v>217</v>
      </c>
      <c r="BW224" s="2">
        <f t="shared" si="263"/>
        <v>85819.642857142855</v>
      </c>
      <c r="BX224" s="2">
        <f t="shared" si="264"/>
        <v>178585</v>
      </c>
      <c r="BY224" s="2">
        <f t="shared" si="265"/>
        <v>215050</v>
      </c>
      <c r="BZ224" s="2">
        <f t="shared" si="266"/>
        <v>273687.85714285716</v>
      </c>
      <c r="CA224" s="2">
        <f t="shared" si="267"/>
        <v>569815.7142857142</v>
      </c>
      <c r="CC224" s="41">
        <f t="shared" si="271"/>
        <v>0.6163424124513619</v>
      </c>
      <c r="CD224" s="41">
        <f t="shared" si="272"/>
        <v>0.33385214007782099</v>
      </c>
      <c r="CE224" s="41">
        <f t="shared" si="273"/>
        <v>4.9805447470817124E-2</v>
      </c>
    </row>
    <row r="225" spans="22:83" x14ac:dyDescent="0.2">
      <c r="V225" s="2">
        <v>218</v>
      </c>
      <c r="W225" s="2">
        <f t="shared" si="268"/>
        <v>53177.142857142855</v>
      </c>
      <c r="X225" s="2">
        <f t="shared" si="268"/>
        <v>103668.57142857143</v>
      </c>
      <c r="Y225" s="2">
        <f t="shared" si="269"/>
        <v>103668.57142857143</v>
      </c>
      <c r="Z225" s="2">
        <f t="shared" ref="Z225:AA225" si="301">Y225</f>
        <v>103668.57142857143</v>
      </c>
      <c r="AA225" s="2">
        <f t="shared" si="301"/>
        <v>103668.57142857143</v>
      </c>
      <c r="AQ225" s="2">
        <v>218</v>
      </c>
      <c r="AR225" s="2">
        <f t="shared" si="293"/>
        <v>28804.285714285714</v>
      </c>
      <c r="AS225" s="2">
        <f t="shared" si="293"/>
        <v>68351.428571428565</v>
      </c>
      <c r="AT225" s="2">
        <f t="shared" si="293"/>
        <v>100714.28571428571</v>
      </c>
      <c r="AU225" s="2">
        <f t="shared" si="293"/>
        <v>151071.42857142858</v>
      </c>
      <c r="AV225" s="2">
        <f t="shared" si="293"/>
        <v>283342.85714285716</v>
      </c>
      <c r="BK225" s="2">
        <v>218</v>
      </c>
      <c r="BL225" s="2">
        <f t="shared" si="294"/>
        <v>4297.1428571428569</v>
      </c>
      <c r="BM225" s="2">
        <f t="shared" si="294"/>
        <v>7520</v>
      </c>
      <c r="BN225" s="2">
        <f t="shared" si="294"/>
        <v>11817.142857142857</v>
      </c>
      <c r="BO225" s="2">
        <f t="shared" si="294"/>
        <v>20411.428571428572</v>
      </c>
      <c r="BP225" s="2">
        <f t="shared" si="294"/>
        <v>185851.42857142858</v>
      </c>
      <c r="BV225" s="2">
        <v>218</v>
      </c>
      <c r="BW225" s="2">
        <f t="shared" si="263"/>
        <v>86278.57142857142</v>
      </c>
      <c r="BX225" s="2">
        <f t="shared" si="264"/>
        <v>179540</v>
      </c>
      <c r="BY225" s="2">
        <f t="shared" si="265"/>
        <v>216200.00000000003</v>
      </c>
      <c r="BZ225" s="2">
        <f t="shared" si="266"/>
        <v>275151.42857142858</v>
      </c>
      <c r="CA225" s="2">
        <f t="shared" si="267"/>
        <v>572862.85714285716</v>
      </c>
      <c r="CC225" s="41">
        <f t="shared" si="271"/>
        <v>0.6163424124513619</v>
      </c>
      <c r="CD225" s="41">
        <f t="shared" si="272"/>
        <v>0.33385214007782105</v>
      </c>
      <c r="CE225" s="41">
        <f t="shared" si="273"/>
        <v>4.9805447470817124E-2</v>
      </c>
    </row>
    <row r="226" spans="22:83" x14ac:dyDescent="0.2">
      <c r="V226" s="2">
        <v>219</v>
      </c>
      <c r="W226" s="2">
        <f t="shared" si="268"/>
        <v>53460</v>
      </c>
      <c r="X226" s="2">
        <f t="shared" si="268"/>
        <v>104220</v>
      </c>
      <c r="Y226" s="2">
        <f t="shared" si="269"/>
        <v>104220</v>
      </c>
      <c r="Z226" s="2">
        <f t="shared" ref="Z226:AA226" si="302">Y226</f>
        <v>104220</v>
      </c>
      <c r="AA226" s="2">
        <f t="shared" si="302"/>
        <v>104220</v>
      </c>
      <c r="AQ226" s="2">
        <v>219</v>
      </c>
      <c r="AR226" s="2">
        <f t="shared" si="293"/>
        <v>28957.5</v>
      </c>
      <c r="AS226" s="2">
        <f t="shared" si="293"/>
        <v>68715</v>
      </c>
      <c r="AT226" s="2">
        <f t="shared" si="293"/>
        <v>101250</v>
      </c>
      <c r="AU226" s="2">
        <f t="shared" si="293"/>
        <v>151875</v>
      </c>
      <c r="AV226" s="2">
        <f t="shared" si="293"/>
        <v>284850</v>
      </c>
      <c r="BK226" s="2">
        <v>219</v>
      </c>
      <c r="BL226" s="2">
        <f t="shared" si="294"/>
        <v>4320</v>
      </c>
      <c r="BM226" s="2">
        <f t="shared" si="294"/>
        <v>7560</v>
      </c>
      <c r="BN226" s="2">
        <f t="shared" si="294"/>
        <v>11880</v>
      </c>
      <c r="BO226" s="2">
        <f t="shared" si="294"/>
        <v>20520</v>
      </c>
      <c r="BP226" s="2">
        <f t="shared" si="294"/>
        <v>186840</v>
      </c>
      <c r="BV226" s="2">
        <v>219</v>
      </c>
      <c r="BW226" s="2">
        <f t="shared" si="263"/>
        <v>86737.5</v>
      </c>
      <c r="BX226" s="2">
        <f t="shared" si="264"/>
        <v>180495</v>
      </c>
      <c r="BY226" s="2">
        <f t="shared" si="265"/>
        <v>217350</v>
      </c>
      <c r="BZ226" s="2">
        <f t="shared" si="266"/>
        <v>276615</v>
      </c>
      <c r="CA226" s="2">
        <f t="shared" si="267"/>
        <v>575910</v>
      </c>
      <c r="CC226" s="41">
        <f t="shared" si="271"/>
        <v>0.6163424124513619</v>
      </c>
      <c r="CD226" s="41">
        <f t="shared" si="272"/>
        <v>0.33385214007782099</v>
      </c>
      <c r="CE226" s="41">
        <f t="shared" si="273"/>
        <v>4.9805447470817124E-2</v>
      </c>
    </row>
    <row r="227" spans="22:83" x14ac:dyDescent="0.2">
      <c r="V227" s="2">
        <v>220</v>
      </c>
      <c r="W227" s="2">
        <f t="shared" si="268"/>
        <v>53742.857142857145</v>
      </c>
      <c r="X227" s="2">
        <f t="shared" si="268"/>
        <v>104771.42857142857</v>
      </c>
      <c r="Y227" s="2">
        <f t="shared" si="269"/>
        <v>104771.42857142857</v>
      </c>
      <c r="Z227" s="2">
        <f t="shared" ref="Z227:AA227" si="303">Y227</f>
        <v>104771.42857142857</v>
      </c>
      <c r="AA227" s="2">
        <f t="shared" si="303"/>
        <v>104771.42857142857</v>
      </c>
      <c r="AQ227" s="2">
        <v>220</v>
      </c>
      <c r="AR227" s="2">
        <f t="shared" si="293"/>
        <v>29110.714285714286</v>
      </c>
      <c r="AS227" s="2">
        <f t="shared" si="293"/>
        <v>69078.571428571435</v>
      </c>
      <c r="AT227" s="2">
        <f t="shared" si="293"/>
        <v>101785.71428571429</v>
      </c>
      <c r="AU227" s="2">
        <f t="shared" si="293"/>
        <v>152678.57142857142</v>
      </c>
      <c r="AV227" s="2">
        <f t="shared" si="293"/>
        <v>286357.14285714284</v>
      </c>
      <c r="BK227" s="2">
        <v>220</v>
      </c>
      <c r="BL227" s="2">
        <f t="shared" si="294"/>
        <v>4342.8571428571431</v>
      </c>
      <c r="BM227" s="2">
        <f t="shared" si="294"/>
        <v>7600</v>
      </c>
      <c r="BN227" s="2">
        <f t="shared" si="294"/>
        <v>11942.857142857143</v>
      </c>
      <c r="BO227" s="2">
        <f t="shared" si="294"/>
        <v>20628.571428571428</v>
      </c>
      <c r="BP227" s="2">
        <f t="shared" si="294"/>
        <v>187828.57142857142</v>
      </c>
      <c r="BV227" s="2">
        <v>220</v>
      </c>
      <c r="BW227" s="2">
        <f t="shared" si="263"/>
        <v>87196.42857142858</v>
      </c>
      <c r="BX227" s="2">
        <f t="shared" si="264"/>
        <v>181450</v>
      </c>
      <c r="BY227" s="2">
        <f t="shared" si="265"/>
        <v>218499.99999999997</v>
      </c>
      <c r="BZ227" s="2">
        <f t="shared" si="266"/>
        <v>278078.57142857142</v>
      </c>
      <c r="CA227" s="2">
        <f t="shared" si="267"/>
        <v>578957.14285714284</v>
      </c>
      <c r="CC227" s="41">
        <f t="shared" si="271"/>
        <v>0.61634241245136179</v>
      </c>
      <c r="CD227" s="41">
        <f t="shared" si="272"/>
        <v>0.33385214007782099</v>
      </c>
      <c r="CE227" s="41">
        <f t="shared" si="273"/>
        <v>4.9805447470817117E-2</v>
      </c>
    </row>
    <row r="228" spans="22:83" x14ac:dyDescent="0.2">
      <c r="V228" s="2">
        <v>221</v>
      </c>
      <c r="W228" s="2">
        <f t="shared" si="268"/>
        <v>54025.714285714283</v>
      </c>
      <c r="X228" s="2">
        <f t="shared" si="268"/>
        <v>105322.85714285714</v>
      </c>
      <c r="Y228" s="2">
        <f t="shared" si="269"/>
        <v>105322.85714285714</v>
      </c>
      <c r="Z228" s="2">
        <f t="shared" ref="Z228:AA228" si="304">Y228</f>
        <v>105322.85714285714</v>
      </c>
      <c r="AA228" s="2">
        <f t="shared" si="304"/>
        <v>105322.85714285714</v>
      </c>
      <c r="AQ228" s="2">
        <v>221</v>
      </c>
      <c r="AR228" s="2">
        <f t="shared" ref="AR228:AV237" si="305">MAX($AQ228-$C$2,0)*INDEX($AN$8:$AN$44,MATCH(AR$7,$AO$8:$AO$44,0))/$C$3</f>
        <v>29263.928571428572</v>
      </c>
      <c r="AS228" s="2">
        <f t="shared" si="305"/>
        <v>69442.142857142855</v>
      </c>
      <c r="AT228" s="2">
        <f t="shared" si="305"/>
        <v>102321.42857142857</v>
      </c>
      <c r="AU228" s="2">
        <f t="shared" si="305"/>
        <v>153482.14285714287</v>
      </c>
      <c r="AV228" s="2">
        <f t="shared" si="305"/>
        <v>287864.28571428574</v>
      </c>
      <c r="BK228" s="2">
        <v>221</v>
      </c>
      <c r="BL228" s="2">
        <f t="shared" ref="BL228:BP237" si="306">IFERROR(MAX($BK228-$C$2,0)*INDEX($BH$8:$BH$16,MATCH(BL$7,$BI$8:$BI$16,0))*$C$4/$C$3,BM228)</f>
        <v>4365.7142857142853</v>
      </c>
      <c r="BM228" s="2">
        <f t="shared" si="306"/>
        <v>7640</v>
      </c>
      <c r="BN228" s="2">
        <f t="shared" si="306"/>
        <v>12005.714285714286</v>
      </c>
      <c r="BO228" s="2">
        <f t="shared" si="306"/>
        <v>20737.142857142859</v>
      </c>
      <c r="BP228" s="2">
        <f t="shared" si="306"/>
        <v>188817.14285714287</v>
      </c>
      <c r="BV228" s="2">
        <v>221</v>
      </c>
      <c r="BW228" s="2">
        <f t="shared" si="263"/>
        <v>87655.357142857145</v>
      </c>
      <c r="BX228" s="2">
        <f t="shared" si="264"/>
        <v>182405</v>
      </c>
      <c r="BY228" s="2">
        <f t="shared" si="265"/>
        <v>219650</v>
      </c>
      <c r="BZ228" s="2">
        <f t="shared" si="266"/>
        <v>279542.14285714284</v>
      </c>
      <c r="CA228" s="2">
        <f t="shared" si="267"/>
        <v>582004.2857142858</v>
      </c>
      <c r="CC228" s="41">
        <f t="shared" si="271"/>
        <v>0.61634241245136179</v>
      </c>
      <c r="CD228" s="41">
        <f t="shared" si="272"/>
        <v>0.33385214007782099</v>
      </c>
      <c r="CE228" s="41">
        <f t="shared" si="273"/>
        <v>4.9805447470817117E-2</v>
      </c>
    </row>
    <row r="229" spans="22:83" x14ac:dyDescent="0.2">
      <c r="V229" s="2">
        <v>222</v>
      </c>
      <c r="W229" s="2">
        <f t="shared" si="268"/>
        <v>54308.571428571428</v>
      </c>
      <c r="X229" s="2">
        <f t="shared" si="268"/>
        <v>105874.28571428571</v>
      </c>
      <c r="Y229" s="2">
        <f t="shared" si="269"/>
        <v>105874.28571428571</v>
      </c>
      <c r="Z229" s="2">
        <f t="shared" ref="Z229:AA229" si="307">Y229</f>
        <v>105874.28571428571</v>
      </c>
      <c r="AA229" s="2">
        <f t="shared" si="307"/>
        <v>105874.28571428571</v>
      </c>
      <c r="AQ229" s="2">
        <v>222</v>
      </c>
      <c r="AR229" s="2">
        <f t="shared" si="305"/>
        <v>29417.142857142859</v>
      </c>
      <c r="AS229" s="2">
        <f t="shared" si="305"/>
        <v>69805.71428571429</v>
      </c>
      <c r="AT229" s="2">
        <f t="shared" si="305"/>
        <v>102857.14285714286</v>
      </c>
      <c r="AU229" s="2">
        <f t="shared" si="305"/>
        <v>154285.71428571429</v>
      </c>
      <c r="AV229" s="2">
        <f t="shared" si="305"/>
        <v>289371.42857142858</v>
      </c>
      <c r="BK229" s="2">
        <v>222</v>
      </c>
      <c r="BL229" s="2">
        <f t="shared" si="306"/>
        <v>4388.5714285714284</v>
      </c>
      <c r="BM229" s="2">
        <f t="shared" si="306"/>
        <v>7680</v>
      </c>
      <c r="BN229" s="2">
        <f t="shared" si="306"/>
        <v>12068.571428571429</v>
      </c>
      <c r="BO229" s="2">
        <f t="shared" si="306"/>
        <v>20845.714285714286</v>
      </c>
      <c r="BP229" s="2">
        <f t="shared" si="306"/>
        <v>189805.71428571429</v>
      </c>
      <c r="BV229" s="2">
        <v>222</v>
      </c>
      <c r="BW229" s="2">
        <f t="shared" si="263"/>
        <v>88114.285714285725</v>
      </c>
      <c r="BX229" s="2">
        <f t="shared" si="264"/>
        <v>183360</v>
      </c>
      <c r="BY229" s="2">
        <f t="shared" si="265"/>
        <v>220800</v>
      </c>
      <c r="BZ229" s="2">
        <f t="shared" si="266"/>
        <v>281005.71428571426</v>
      </c>
      <c r="CA229" s="2">
        <f t="shared" si="267"/>
        <v>585051.42857142864</v>
      </c>
      <c r="CC229" s="41">
        <f t="shared" si="271"/>
        <v>0.61634241245136179</v>
      </c>
      <c r="CD229" s="41">
        <f t="shared" si="272"/>
        <v>0.33385214007782099</v>
      </c>
      <c r="CE229" s="41">
        <f t="shared" si="273"/>
        <v>4.980544747081711E-2</v>
      </c>
    </row>
    <row r="230" spans="22:83" x14ac:dyDescent="0.2">
      <c r="V230" s="2">
        <v>223</v>
      </c>
      <c r="W230" s="2">
        <f t="shared" si="268"/>
        <v>54591.428571428572</v>
      </c>
      <c r="X230" s="2">
        <f t="shared" si="268"/>
        <v>106425.71428571429</v>
      </c>
      <c r="Y230" s="2">
        <f t="shared" si="269"/>
        <v>106425.71428571429</v>
      </c>
      <c r="Z230" s="2">
        <f t="shared" ref="Z230:AA230" si="308">Y230</f>
        <v>106425.71428571429</v>
      </c>
      <c r="AA230" s="2">
        <f t="shared" si="308"/>
        <v>106425.71428571429</v>
      </c>
      <c r="AQ230" s="2">
        <v>223</v>
      </c>
      <c r="AR230" s="2">
        <f t="shared" si="305"/>
        <v>29570.357142857141</v>
      </c>
      <c r="AS230" s="2">
        <f t="shared" si="305"/>
        <v>70169.28571428571</v>
      </c>
      <c r="AT230" s="2">
        <f t="shared" si="305"/>
        <v>103392.85714285714</v>
      </c>
      <c r="AU230" s="2">
        <f t="shared" si="305"/>
        <v>155089.28571428571</v>
      </c>
      <c r="AV230" s="2">
        <f t="shared" si="305"/>
        <v>290878.57142857142</v>
      </c>
      <c r="BK230" s="2">
        <v>223</v>
      </c>
      <c r="BL230" s="2">
        <f t="shared" si="306"/>
        <v>4411.4285714285716</v>
      </c>
      <c r="BM230" s="2">
        <f t="shared" si="306"/>
        <v>7720</v>
      </c>
      <c r="BN230" s="2">
        <f t="shared" si="306"/>
        <v>12131.428571428571</v>
      </c>
      <c r="BO230" s="2">
        <f t="shared" si="306"/>
        <v>20954.285714285714</v>
      </c>
      <c r="BP230" s="2">
        <f t="shared" si="306"/>
        <v>190794.28571428571</v>
      </c>
      <c r="BV230" s="2">
        <v>223</v>
      </c>
      <c r="BW230" s="2">
        <f t="shared" si="263"/>
        <v>88573.214285714275</v>
      </c>
      <c r="BX230" s="2">
        <f t="shared" si="264"/>
        <v>184315</v>
      </c>
      <c r="BY230" s="2">
        <f t="shared" si="265"/>
        <v>221950</v>
      </c>
      <c r="BZ230" s="2">
        <f t="shared" si="266"/>
        <v>282469.28571428574</v>
      </c>
      <c r="CA230" s="2">
        <f t="shared" si="267"/>
        <v>588098.57142857136</v>
      </c>
      <c r="CC230" s="41">
        <f t="shared" si="271"/>
        <v>0.6163424124513619</v>
      </c>
      <c r="CD230" s="41">
        <f t="shared" si="272"/>
        <v>0.33385214007782105</v>
      </c>
      <c r="CE230" s="41">
        <f t="shared" si="273"/>
        <v>4.9805447470817131E-2</v>
      </c>
    </row>
    <row r="231" spans="22:83" x14ac:dyDescent="0.2">
      <c r="V231" s="2">
        <v>224</v>
      </c>
      <c r="W231" s="2">
        <f t="shared" si="268"/>
        <v>54874.285714285717</v>
      </c>
      <c r="X231" s="2">
        <f t="shared" si="268"/>
        <v>106977.14285714286</v>
      </c>
      <c r="Y231" s="2">
        <f t="shared" si="269"/>
        <v>106977.14285714286</v>
      </c>
      <c r="Z231" s="2">
        <f t="shared" ref="Z231:AA231" si="309">Y231</f>
        <v>106977.14285714286</v>
      </c>
      <c r="AA231" s="2">
        <f t="shared" si="309"/>
        <v>106977.14285714286</v>
      </c>
      <c r="AQ231" s="2">
        <v>224</v>
      </c>
      <c r="AR231" s="2">
        <f t="shared" si="305"/>
        <v>29723.571428571428</v>
      </c>
      <c r="AS231" s="2">
        <f t="shared" si="305"/>
        <v>70532.857142857145</v>
      </c>
      <c r="AT231" s="2">
        <f t="shared" si="305"/>
        <v>103928.57142857143</v>
      </c>
      <c r="AU231" s="2">
        <f t="shared" si="305"/>
        <v>155892.85714285713</v>
      </c>
      <c r="AV231" s="2">
        <f t="shared" si="305"/>
        <v>292385.71428571426</v>
      </c>
      <c r="BK231" s="2">
        <v>224</v>
      </c>
      <c r="BL231" s="2">
        <f t="shared" si="306"/>
        <v>4434.2857142857147</v>
      </c>
      <c r="BM231" s="2">
        <f t="shared" si="306"/>
        <v>7760</v>
      </c>
      <c r="BN231" s="2">
        <f t="shared" si="306"/>
        <v>12194.285714285714</v>
      </c>
      <c r="BO231" s="2">
        <f t="shared" si="306"/>
        <v>21062.857142857141</v>
      </c>
      <c r="BP231" s="2">
        <f t="shared" si="306"/>
        <v>191782.85714285713</v>
      </c>
      <c r="BV231" s="2">
        <v>224</v>
      </c>
      <c r="BW231" s="2">
        <f t="shared" si="263"/>
        <v>89032.142857142855</v>
      </c>
      <c r="BX231" s="2">
        <f t="shared" si="264"/>
        <v>185270</v>
      </c>
      <c r="BY231" s="2">
        <f t="shared" si="265"/>
        <v>223100</v>
      </c>
      <c r="BZ231" s="2">
        <f t="shared" si="266"/>
        <v>283932.85714285716</v>
      </c>
      <c r="CA231" s="2">
        <f t="shared" si="267"/>
        <v>591145.7142857142</v>
      </c>
      <c r="CC231" s="41">
        <f t="shared" si="271"/>
        <v>0.6163424124513619</v>
      </c>
      <c r="CD231" s="41">
        <f t="shared" si="272"/>
        <v>0.33385214007782099</v>
      </c>
      <c r="CE231" s="41">
        <f t="shared" si="273"/>
        <v>4.9805447470817124E-2</v>
      </c>
    </row>
    <row r="232" spans="22:83" x14ac:dyDescent="0.2">
      <c r="V232" s="2">
        <v>225</v>
      </c>
      <c r="W232" s="2">
        <f t="shared" si="268"/>
        <v>55157.142857142855</v>
      </c>
      <c r="X232" s="2">
        <f t="shared" si="268"/>
        <v>107528.57142857143</v>
      </c>
      <c r="Y232" s="2">
        <f t="shared" si="269"/>
        <v>107528.57142857143</v>
      </c>
      <c r="Z232" s="2">
        <f t="shared" ref="Z232:AA232" si="310">Y232</f>
        <v>107528.57142857143</v>
      </c>
      <c r="AA232" s="2">
        <f t="shared" si="310"/>
        <v>107528.57142857143</v>
      </c>
      <c r="AQ232" s="2">
        <v>225</v>
      </c>
      <c r="AR232" s="2">
        <f t="shared" si="305"/>
        <v>29876.785714285714</v>
      </c>
      <c r="AS232" s="2">
        <f t="shared" si="305"/>
        <v>70896.428571428565</v>
      </c>
      <c r="AT232" s="2">
        <f t="shared" si="305"/>
        <v>104464.28571428571</v>
      </c>
      <c r="AU232" s="2">
        <f t="shared" si="305"/>
        <v>156696.42857142858</v>
      </c>
      <c r="AV232" s="2">
        <f t="shared" si="305"/>
        <v>293892.85714285716</v>
      </c>
      <c r="BK232" s="2">
        <v>225</v>
      </c>
      <c r="BL232" s="2">
        <f t="shared" si="306"/>
        <v>4457.1428571428569</v>
      </c>
      <c r="BM232" s="2">
        <f t="shared" si="306"/>
        <v>7800</v>
      </c>
      <c r="BN232" s="2">
        <f t="shared" si="306"/>
        <v>12257.142857142857</v>
      </c>
      <c r="BO232" s="2">
        <f t="shared" si="306"/>
        <v>21171.428571428572</v>
      </c>
      <c r="BP232" s="2">
        <f t="shared" si="306"/>
        <v>192771.42857142858</v>
      </c>
      <c r="BV232" s="2">
        <v>225</v>
      </c>
      <c r="BW232" s="2">
        <f t="shared" si="263"/>
        <v>89491.07142857142</v>
      </c>
      <c r="BX232" s="2">
        <f t="shared" si="264"/>
        <v>186225</v>
      </c>
      <c r="BY232" s="2">
        <f t="shared" si="265"/>
        <v>224250.00000000003</v>
      </c>
      <c r="BZ232" s="2">
        <f t="shared" si="266"/>
        <v>285396.42857142858</v>
      </c>
      <c r="CA232" s="2">
        <f t="shared" si="267"/>
        <v>594192.85714285716</v>
      </c>
      <c r="CC232" s="41">
        <f t="shared" si="271"/>
        <v>0.6163424124513619</v>
      </c>
      <c r="CD232" s="41">
        <f t="shared" si="272"/>
        <v>0.33385214007782105</v>
      </c>
      <c r="CE232" s="41">
        <f t="shared" si="273"/>
        <v>4.9805447470817124E-2</v>
      </c>
    </row>
    <row r="233" spans="22:83" x14ac:dyDescent="0.2">
      <c r="V233" s="2">
        <v>226</v>
      </c>
      <c r="W233" s="2">
        <f t="shared" ref="W233:X264" si="311">MAX($V233-$C$2,0)*INDEX($S$8:$S$10,MATCH(W$7,$T$8:$T$10,0))*$C$4/$C$3</f>
        <v>55440</v>
      </c>
      <c r="X233" s="2">
        <f t="shared" si="311"/>
        <v>108080</v>
      </c>
      <c r="Y233" s="2">
        <f t="shared" si="269"/>
        <v>108080</v>
      </c>
      <c r="Z233" s="2">
        <f t="shared" ref="Z233:AA233" si="312">Y233</f>
        <v>108080</v>
      </c>
      <c r="AA233" s="2">
        <f t="shared" si="312"/>
        <v>108080</v>
      </c>
      <c r="AQ233" s="2">
        <v>226</v>
      </c>
      <c r="AR233" s="2">
        <f t="shared" si="305"/>
        <v>30030</v>
      </c>
      <c r="AS233" s="2">
        <f t="shared" si="305"/>
        <v>71260</v>
      </c>
      <c r="AT233" s="2">
        <f t="shared" si="305"/>
        <v>105000</v>
      </c>
      <c r="AU233" s="2">
        <f t="shared" si="305"/>
        <v>157500</v>
      </c>
      <c r="AV233" s="2">
        <f t="shared" si="305"/>
        <v>295400</v>
      </c>
      <c r="BK233" s="2">
        <v>226</v>
      </c>
      <c r="BL233" s="2">
        <f t="shared" si="306"/>
        <v>4480</v>
      </c>
      <c r="BM233" s="2">
        <f t="shared" si="306"/>
        <v>7840</v>
      </c>
      <c r="BN233" s="2">
        <f t="shared" si="306"/>
        <v>12320</v>
      </c>
      <c r="BO233" s="2">
        <f t="shared" si="306"/>
        <v>21280</v>
      </c>
      <c r="BP233" s="2">
        <f t="shared" si="306"/>
        <v>193760</v>
      </c>
      <c r="BV233" s="2">
        <v>226</v>
      </c>
      <c r="BW233" s="2">
        <f t="shared" si="263"/>
        <v>89950</v>
      </c>
      <c r="BX233" s="2">
        <f t="shared" si="264"/>
        <v>187180</v>
      </c>
      <c r="BY233" s="2">
        <f t="shared" si="265"/>
        <v>225400</v>
      </c>
      <c r="BZ233" s="2">
        <f t="shared" si="266"/>
        <v>286860</v>
      </c>
      <c r="CA233" s="2">
        <f t="shared" si="267"/>
        <v>597240</v>
      </c>
      <c r="CC233" s="41">
        <f t="shared" si="271"/>
        <v>0.6163424124513619</v>
      </c>
      <c r="CD233" s="41">
        <f t="shared" si="272"/>
        <v>0.33385214007782099</v>
      </c>
      <c r="CE233" s="41">
        <f t="shared" si="273"/>
        <v>4.9805447470817124E-2</v>
      </c>
    </row>
    <row r="234" spans="22:83" x14ac:dyDescent="0.2">
      <c r="V234" s="2">
        <v>227</v>
      </c>
      <c r="W234" s="2">
        <f t="shared" si="311"/>
        <v>55722.857142857145</v>
      </c>
      <c r="X234" s="2">
        <f t="shared" si="311"/>
        <v>108631.42857142857</v>
      </c>
      <c r="Y234" s="2">
        <f t="shared" si="269"/>
        <v>108631.42857142857</v>
      </c>
      <c r="Z234" s="2">
        <f t="shared" ref="Z234:AA234" si="313">Y234</f>
        <v>108631.42857142857</v>
      </c>
      <c r="AA234" s="2">
        <f t="shared" si="313"/>
        <v>108631.42857142857</v>
      </c>
      <c r="AQ234" s="2">
        <v>227</v>
      </c>
      <c r="AR234" s="2">
        <f t="shared" si="305"/>
        <v>30183.214285714286</v>
      </c>
      <c r="AS234" s="2">
        <f t="shared" si="305"/>
        <v>71623.571428571435</v>
      </c>
      <c r="AT234" s="2">
        <f t="shared" si="305"/>
        <v>105535.71428571429</v>
      </c>
      <c r="AU234" s="2">
        <f t="shared" si="305"/>
        <v>158303.57142857142</v>
      </c>
      <c r="AV234" s="2">
        <f t="shared" si="305"/>
        <v>296907.14285714284</v>
      </c>
      <c r="BK234" s="2">
        <v>227</v>
      </c>
      <c r="BL234" s="2">
        <f t="shared" si="306"/>
        <v>4502.8571428571431</v>
      </c>
      <c r="BM234" s="2">
        <f t="shared" si="306"/>
        <v>7880</v>
      </c>
      <c r="BN234" s="2">
        <f t="shared" si="306"/>
        <v>12382.857142857143</v>
      </c>
      <c r="BO234" s="2">
        <f t="shared" si="306"/>
        <v>21388.571428571428</v>
      </c>
      <c r="BP234" s="2">
        <f t="shared" si="306"/>
        <v>194748.57142857142</v>
      </c>
      <c r="BV234" s="2">
        <v>227</v>
      </c>
      <c r="BW234" s="2">
        <f t="shared" si="263"/>
        <v>90408.92857142858</v>
      </c>
      <c r="BX234" s="2">
        <f t="shared" si="264"/>
        <v>188135</v>
      </c>
      <c r="BY234" s="2">
        <f t="shared" si="265"/>
        <v>226549.99999999997</v>
      </c>
      <c r="BZ234" s="2">
        <f t="shared" si="266"/>
        <v>288323.57142857142</v>
      </c>
      <c r="CA234" s="2">
        <f t="shared" si="267"/>
        <v>600287.14285714284</v>
      </c>
      <c r="CC234" s="41">
        <f t="shared" si="271"/>
        <v>0.61634241245136179</v>
      </c>
      <c r="CD234" s="41">
        <f t="shared" si="272"/>
        <v>0.33385214007782099</v>
      </c>
      <c r="CE234" s="41">
        <f t="shared" si="273"/>
        <v>4.9805447470817117E-2</v>
      </c>
    </row>
    <row r="235" spans="22:83" x14ac:dyDescent="0.2">
      <c r="V235" s="2">
        <v>228</v>
      </c>
      <c r="W235" s="2">
        <f t="shared" si="311"/>
        <v>56005.714285714283</v>
      </c>
      <c r="X235" s="2">
        <f t="shared" si="311"/>
        <v>109182.85714285714</v>
      </c>
      <c r="Y235" s="2">
        <f t="shared" si="269"/>
        <v>109182.85714285714</v>
      </c>
      <c r="Z235" s="2">
        <f t="shared" ref="Z235:AA235" si="314">Y235</f>
        <v>109182.85714285714</v>
      </c>
      <c r="AA235" s="2">
        <f t="shared" si="314"/>
        <v>109182.85714285714</v>
      </c>
      <c r="AQ235" s="2">
        <v>228</v>
      </c>
      <c r="AR235" s="2">
        <f t="shared" si="305"/>
        <v>30336.428571428572</v>
      </c>
      <c r="AS235" s="2">
        <f t="shared" si="305"/>
        <v>71987.142857142855</v>
      </c>
      <c r="AT235" s="2">
        <f t="shared" si="305"/>
        <v>106071.42857142857</v>
      </c>
      <c r="AU235" s="2">
        <f t="shared" si="305"/>
        <v>159107.14285714287</v>
      </c>
      <c r="AV235" s="2">
        <f t="shared" si="305"/>
        <v>298414.28571428574</v>
      </c>
      <c r="BK235" s="2">
        <v>228</v>
      </c>
      <c r="BL235" s="2">
        <f t="shared" si="306"/>
        <v>4525.7142857142853</v>
      </c>
      <c r="BM235" s="2">
        <f t="shared" si="306"/>
        <v>7920</v>
      </c>
      <c r="BN235" s="2">
        <f t="shared" si="306"/>
        <v>12445.714285714286</v>
      </c>
      <c r="BO235" s="2">
        <f t="shared" si="306"/>
        <v>21497.142857142859</v>
      </c>
      <c r="BP235" s="2">
        <f t="shared" si="306"/>
        <v>195737.14285714287</v>
      </c>
      <c r="BV235" s="2">
        <v>228</v>
      </c>
      <c r="BW235" s="2">
        <f t="shared" si="263"/>
        <v>90867.857142857145</v>
      </c>
      <c r="BX235" s="2">
        <f t="shared" si="264"/>
        <v>189090</v>
      </c>
      <c r="BY235" s="2">
        <f t="shared" si="265"/>
        <v>227700</v>
      </c>
      <c r="BZ235" s="2">
        <f t="shared" si="266"/>
        <v>289787.14285714284</v>
      </c>
      <c r="CA235" s="2">
        <f t="shared" si="267"/>
        <v>603334.2857142858</v>
      </c>
      <c r="CC235" s="41">
        <f t="shared" si="271"/>
        <v>0.61634241245136179</v>
      </c>
      <c r="CD235" s="41">
        <f t="shared" si="272"/>
        <v>0.33385214007782099</v>
      </c>
      <c r="CE235" s="41">
        <f t="shared" si="273"/>
        <v>4.9805447470817117E-2</v>
      </c>
    </row>
    <row r="236" spans="22:83" x14ac:dyDescent="0.2">
      <c r="V236" s="2">
        <v>229</v>
      </c>
      <c r="W236" s="2">
        <f t="shared" si="311"/>
        <v>56288.571428571428</v>
      </c>
      <c r="X236" s="2">
        <f t="shared" si="311"/>
        <v>109734.28571428571</v>
      </c>
      <c r="Y236" s="2">
        <f t="shared" si="269"/>
        <v>109734.28571428571</v>
      </c>
      <c r="Z236" s="2">
        <f t="shared" ref="Z236:AA236" si="315">Y236</f>
        <v>109734.28571428571</v>
      </c>
      <c r="AA236" s="2">
        <f t="shared" si="315"/>
        <v>109734.28571428571</v>
      </c>
      <c r="AQ236" s="2">
        <v>229</v>
      </c>
      <c r="AR236" s="2">
        <f t="shared" si="305"/>
        <v>30489.642857142859</v>
      </c>
      <c r="AS236" s="2">
        <f t="shared" si="305"/>
        <v>72350.71428571429</v>
      </c>
      <c r="AT236" s="2">
        <f t="shared" si="305"/>
        <v>106607.14285714286</v>
      </c>
      <c r="AU236" s="2">
        <f t="shared" si="305"/>
        <v>159910.71428571429</v>
      </c>
      <c r="AV236" s="2">
        <f t="shared" si="305"/>
        <v>299921.42857142858</v>
      </c>
      <c r="BK236" s="2">
        <v>229</v>
      </c>
      <c r="BL236" s="2">
        <f t="shared" si="306"/>
        <v>4548.5714285714284</v>
      </c>
      <c r="BM236" s="2">
        <f t="shared" si="306"/>
        <v>7960</v>
      </c>
      <c r="BN236" s="2">
        <f t="shared" si="306"/>
        <v>12508.571428571429</v>
      </c>
      <c r="BO236" s="2">
        <f t="shared" si="306"/>
        <v>21605.714285714286</v>
      </c>
      <c r="BP236" s="2">
        <f t="shared" si="306"/>
        <v>196725.71428571429</v>
      </c>
      <c r="BV236" s="2">
        <v>229</v>
      </c>
      <c r="BW236" s="2">
        <f t="shared" si="263"/>
        <v>91326.785714285725</v>
      </c>
      <c r="BX236" s="2">
        <f t="shared" si="264"/>
        <v>190045</v>
      </c>
      <c r="BY236" s="2">
        <f t="shared" si="265"/>
        <v>228850</v>
      </c>
      <c r="BZ236" s="2">
        <f t="shared" si="266"/>
        <v>291250.71428571426</v>
      </c>
      <c r="CA236" s="2">
        <f t="shared" si="267"/>
        <v>606381.42857142864</v>
      </c>
      <c r="CC236" s="41">
        <f t="shared" si="271"/>
        <v>0.61634241245136179</v>
      </c>
      <c r="CD236" s="41">
        <f t="shared" si="272"/>
        <v>0.33385214007782099</v>
      </c>
      <c r="CE236" s="41">
        <f t="shared" si="273"/>
        <v>4.980544747081711E-2</v>
      </c>
    </row>
    <row r="237" spans="22:83" x14ac:dyDescent="0.2">
      <c r="V237" s="2">
        <v>230</v>
      </c>
      <c r="W237" s="2">
        <f t="shared" si="311"/>
        <v>56571.428571428572</v>
      </c>
      <c r="X237" s="2">
        <f t="shared" si="311"/>
        <v>110285.71428571429</v>
      </c>
      <c r="Y237" s="2">
        <f t="shared" si="269"/>
        <v>110285.71428571429</v>
      </c>
      <c r="Z237" s="2">
        <f t="shared" ref="Z237:AA237" si="316">Y237</f>
        <v>110285.71428571429</v>
      </c>
      <c r="AA237" s="2">
        <f t="shared" si="316"/>
        <v>110285.71428571429</v>
      </c>
      <c r="AQ237" s="2">
        <v>230</v>
      </c>
      <c r="AR237" s="2">
        <f t="shared" si="305"/>
        <v>30642.857142857141</v>
      </c>
      <c r="AS237" s="2">
        <f t="shared" si="305"/>
        <v>72714.28571428571</v>
      </c>
      <c r="AT237" s="2">
        <f t="shared" si="305"/>
        <v>107142.85714285714</v>
      </c>
      <c r="AU237" s="2">
        <f t="shared" si="305"/>
        <v>160714.28571428571</v>
      </c>
      <c r="AV237" s="2">
        <f t="shared" si="305"/>
        <v>301428.57142857142</v>
      </c>
      <c r="BK237" s="2">
        <v>230</v>
      </c>
      <c r="BL237" s="2">
        <f t="shared" si="306"/>
        <v>4571.4285714285716</v>
      </c>
      <c r="BM237" s="2">
        <f t="shared" si="306"/>
        <v>8000</v>
      </c>
      <c r="BN237" s="2">
        <f t="shared" si="306"/>
        <v>12571.428571428571</v>
      </c>
      <c r="BO237" s="2">
        <f t="shared" si="306"/>
        <v>21714.285714285714</v>
      </c>
      <c r="BP237" s="2">
        <f t="shared" si="306"/>
        <v>197714.28571428571</v>
      </c>
      <c r="BV237" s="2">
        <v>230</v>
      </c>
      <c r="BW237" s="2">
        <f t="shared" si="263"/>
        <v>91785.714285714275</v>
      </c>
      <c r="BX237" s="2">
        <f t="shared" si="264"/>
        <v>191000</v>
      </c>
      <c r="BY237" s="2">
        <f t="shared" si="265"/>
        <v>230000</v>
      </c>
      <c r="BZ237" s="2">
        <f t="shared" si="266"/>
        <v>292714.28571428574</v>
      </c>
      <c r="CA237" s="2">
        <f t="shared" si="267"/>
        <v>609428.57142857136</v>
      </c>
      <c r="CC237" s="41">
        <f t="shared" si="271"/>
        <v>0.6163424124513619</v>
      </c>
      <c r="CD237" s="41">
        <f t="shared" si="272"/>
        <v>0.33385214007782105</v>
      </c>
      <c r="CE237" s="41">
        <f t="shared" si="273"/>
        <v>4.9805447470817131E-2</v>
      </c>
    </row>
    <row r="238" spans="22:83" x14ac:dyDescent="0.2">
      <c r="V238" s="2">
        <v>231</v>
      </c>
      <c r="W238" s="2">
        <f t="shared" si="311"/>
        <v>56854.285714285717</v>
      </c>
      <c r="X238" s="2">
        <f t="shared" si="311"/>
        <v>110837.14285714286</v>
      </c>
      <c r="Y238" s="2">
        <f t="shared" si="269"/>
        <v>110837.14285714286</v>
      </c>
      <c r="Z238" s="2">
        <f t="shared" ref="Z238:AA238" si="317">Y238</f>
        <v>110837.14285714286</v>
      </c>
      <c r="AA238" s="2">
        <f t="shared" si="317"/>
        <v>110837.14285714286</v>
      </c>
      <c r="AQ238" s="2">
        <v>231</v>
      </c>
      <c r="AR238" s="2">
        <f t="shared" ref="AR238:AV247" si="318">MAX($AQ238-$C$2,0)*INDEX($AN$8:$AN$44,MATCH(AR$7,$AO$8:$AO$44,0))/$C$3</f>
        <v>30796.071428571428</v>
      </c>
      <c r="AS238" s="2">
        <f t="shared" si="318"/>
        <v>73077.857142857145</v>
      </c>
      <c r="AT238" s="2">
        <f t="shared" si="318"/>
        <v>107678.57142857143</v>
      </c>
      <c r="AU238" s="2">
        <f t="shared" si="318"/>
        <v>161517.85714285713</v>
      </c>
      <c r="AV238" s="2">
        <f t="shared" si="318"/>
        <v>302935.71428571426</v>
      </c>
      <c r="BK238" s="2">
        <v>231</v>
      </c>
      <c r="BL238" s="2">
        <f t="shared" ref="BL238:BP247" si="319">IFERROR(MAX($BK238-$C$2,0)*INDEX($BH$8:$BH$16,MATCH(BL$7,$BI$8:$BI$16,0))*$C$4/$C$3,BM238)</f>
        <v>4594.2857142857147</v>
      </c>
      <c r="BM238" s="2">
        <f t="shared" si="319"/>
        <v>8040</v>
      </c>
      <c r="BN238" s="2">
        <f t="shared" si="319"/>
        <v>12634.285714285714</v>
      </c>
      <c r="BO238" s="2">
        <f t="shared" si="319"/>
        <v>21822.857142857141</v>
      </c>
      <c r="BP238" s="2">
        <f t="shared" si="319"/>
        <v>198702.85714285713</v>
      </c>
      <c r="BV238" s="2">
        <v>231</v>
      </c>
      <c r="BW238" s="2">
        <f t="shared" si="263"/>
        <v>92244.642857142855</v>
      </c>
      <c r="BX238" s="2">
        <f t="shared" si="264"/>
        <v>191955</v>
      </c>
      <c r="BY238" s="2">
        <f t="shared" si="265"/>
        <v>231150</v>
      </c>
      <c r="BZ238" s="2">
        <f t="shared" si="266"/>
        <v>294177.85714285716</v>
      </c>
      <c r="CA238" s="2">
        <f t="shared" si="267"/>
        <v>612475.7142857142</v>
      </c>
      <c r="CC238" s="41">
        <f t="shared" si="271"/>
        <v>0.6163424124513619</v>
      </c>
      <c r="CD238" s="41">
        <f t="shared" si="272"/>
        <v>0.33385214007782099</v>
      </c>
      <c r="CE238" s="41">
        <f t="shared" si="273"/>
        <v>4.9805447470817124E-2</v>
      </c>
    </row>
    <row r="239" spans="22:83" x14ac:dyDescent="0.2">
      <c r="V239" s="2">
        <v>232</v>
      </c>
      <c r="W239" s="2">
        <f t="shared" si="311"/>
        <v>57137.142857142855</v>
      </c>
      <c r="X239" s="2">
        <f t="shared" si="311"/>
        <v>111388.57142857143</v>
      </c>
      <c r="Y239" s="2">
        <f t="shared" si="269"/>
        <v>111388.57142857143</v>
      </c>
      <c r="Z239" s="2">
        <f t="shared" ref="Z239:AA239" si="320">Y239</f>
        <v>111388.57142857143</v>
      </c>
      <c r="AA239" s="2">
        <f t="shared" si="320"/>
        <v>111388.57142857143</v>
      </c>
      <c r="AQ239" s="2">
        <v>232</v>
      </c>
      <c r="AR239" s="2">
        <f t="shared" si="318"/>
        <v>30949.285714285714</v>
      </c>
      <c r="AS239" s="2">
        <f t="shared" si="318"/>
        <v>73441.428571428565</v>
      </c>
      <c r="AT239" s="2">
        <f t="shared" si="318"/>
        <v>108214.28571428571</v>
      </c>
      <c r="AU239" s="2">
        <f t="shared" si="318"/>
        <v>162321.42857142858</v>
      </c>
      <c r="AV239" s="2">
        <f t="shared" si="318"/>
        <v>304442.85714285716</v>
      </c>
      <c r="BK239" s="2">
        <v>232</v>
      </c>
      <c r="BL239" s="2">
        <f t="shared" si="319"/>
        <v>4617.1428571428569</v>
      </c>
      <c r="BM239" s="2">
        <f t="shared" si="319"/>
        <v>8080</v>
      </c>
      <c r="BN239" s="2">
        <f t="shared" si="319"/>
        <v>12697.142857142857</v>
      </c>
      <c r="BO239" s="2">
        <f t="shared" si="319"/>
        <v>21931.428571428572</v>
      </c>
      <c r="BP239" s="2">
        <f t="shared" si="319"/>
        <v>199691.42857142858</v>
      </c>
      <c r="BV239" s="2">
        <v>232</v>
      </c>
      <c r="BW239" s="2">
        <f t="shared" si="263"/>
        <v>92703.57142857142</v>
      </c>
      <c r="BX239" s="2">
        <f t="shared" si="264"/>
        <v>192910</v>
      </c>
      <c r="BY239" s="2">
        <f t="shared" si="265"/>
        <v>232300.00000000003</v>
      </c>
      <c r="BZ239" s="2">
        <f t="shared" si="266"/>
        <v>295641.42857142858</v>
      </c>
      <c r="CA239" s="2">
        <f t="shared" si="267"/>
        <v>615522.85714285716</v>
      </c>
      <c r="CC239" s="41">
        <f t="shared" si="271"/>
        <v>0.6163424124513619</v>
      </c>
      <c r="CD239" s="41">
        <f t="shared" si="272"/>
        <v>0.33385214007782105</v>
      </c>
      <c r="CE239" s="41">
        <f t="shared" si="273"/>
        <v>4.9805447470817124E-2</v>
      </c>
    </row>
    <row r="240" spans="22:83" x14ac:dyDescent="0.2">
      <c r="V240" s="2">
        <v>233</v>
      </c>
      <c r="W240" s="2">
        <f t="shared" si="311"/>
        <v>57420</v>
      </c>
      <c r="X240" s="2">
        <f t="shared" si="311"/>
        <v>111940</v>
      </c>
      <c r="Y240" s="2">
        <f t="shared" si="269"/>
        <v>111940</v>
      </c>
      <c r="Z240" s="2">
        <f t="shared" ref="Z240:AA240" si="321">Y240</f>
        <v>111940</v>
      </c>
      <c r="AA240" s="2">
        <f t="shared" si="321"/>
        <v>111940</v>
      </c>
      <c r="AQ240" s="2">
        <v>233</v>
      </c>
      <c r="AR240" s="2">
        <f t="shared" si="318"/>
        <v>31102.5</v>
      </c>
      <c r="AS240" s="2">
        <f t="shared" si="318"/>
        <v>73805</v>
      </c>
      <c r="AT240" s="2">
        <f t="shared" si="318"/>
        <v>108750</v>
      </c>
      <c r="AU240" s="2">
        <f t="shared" si="318"/>
        <v>163125</v>
      </c>
      <c r="AV240" s="2">
        <f t="shared" si="318"/>
        <v>305950</v>
      </c>
      <c r="BK240" s="2">
        <v>233</v>
      </c>
      <c r="BL240" s="2">
        <f t="shared" si="319"/>
        <v>4640</v>
      </c>
      <c r="BM240" s="2">
        <f t="shared" si="319"/>
        <v>8120</v>
      </c>
      <c r="BN240" s="2">
        <f t="shared" si="319"/>
        <v>12760</v>
      </c>
      <c r="BO240" s="2">
        <f t="shared" si="319"/>
        <v>22040</v>
      </c>
      <c r="BP240" s="2">
        <f t="shared" si="319"/>
        <v>200680</v>
      </c>
      <c r="BV240" s="2">
        <v>233</v>
      </c>
      <c r="BW240" s="2">
        <f t="shared" si="263"/>
        <v>93162.5</v>
      </c>
      <c r="BX240" s="2">
        <f t="shared" si="264"/>
        <v>193865</v>
      </c>
      <c r="BY240" s="2">
        <f t="shared" si="265"/>
        <v>233450</v>
      </c>
      <c r="BZ240" s="2">
        <f t="shared" si="266"/>
        <v>297105</v>
      </c>
      <c r="CA240" s="2">
        <f t="shared" si="267"/>
        <v>618570</v>
      </c>
      <c r="CC240" s="41">
        <f t="shared" si="271"/>
        <v>0.6163424124513619</v>
      </c>
      <c r="CD240" s="41">
        <f t="shared" si="272"/>
        <v>0.33385214007782099</v>
      </c>
      <c r="CE240" s="41">
        <f t="shared" si="273"/>
        <v>4.9805447470817124E-2</v>
      </c>
    </row>
    <row r="241" spans="22:83" x14ac:dyDescent="0.2">
      <c r="V241" s="2">
        <v>234</v>
      </c>
      <c r="W241" s="2">
        <f t="shared" si="311"/>
        <v>57702.857142857145</v>
      </c>
      <c r="X241" s="2">
        <f t="shared" si="311"/>
        <v>112491.42857142857</v>
      </c>
      <c r="Y241" s="2">
        <f t="shared" si="269"/>
        <v>112491.42857142857</v>
      </c>
      <c r="Z241" s="2">
        <f t="shared" ref="Z241:AA241" si="322">Y241</f>
        <v>112491.42857142857</v>
      </c>
      <c r="AA241" s="2">
        <f t="shared" si="322"/>
        <v>112491.42857142857</v>
      </c>
      <c r="AQ241" s="2">
        <v>234</v>
      </c>
      <c r="AR241" s="2">
        <f t="shared" si="318"/>
        <v>31255.714285714286</v>
      </c>
      <c r="AS241" s="2">
        <f t="shared" si="318"/>
        <v>74168.571428571435</v>
      </c>
      <c r="AT241" s="2">
        <f t="shared" si="318"/>
        <v>109285.71428571429</v>
      </c>
      <c r="AU241" s="2">
        <f t="shared" si="318"/>
        <v>163928.57142857142</v>
      </c>
      <c r="AV241" s="2">
        <f t="shared" si="318"/>
        <v>307457.14285714284</v>
      </c>
      <c r="BK241" s="2">
        <v>234</v>
      </c>
      <c r="BL241" s="2">
        <f t="shared" si="319"/>
        <v>4662.8571428571431</v>
      </c>
      <c r="BM241" s="2">
        <f t="shared" si="319"/>
        <v>8160</v>
      </c>
      <c r="BN241" s="2">
        <f t="shared" si="319"/>
        <v>12822.857142857143</v>
      </c>
      <c r="BO241" s="2">
        <f t="shared" si="319"/>
        <v>22148.571428571428</v>
      </c>
      <c r="BP241" s="2">
        <f t="shared" si="319"/>
        <v>201668.57142857142</v>
      </c>
      <c r="BV241" s="2">
        <v>234</v>
      </c>
      <c r="BW241" s="2">
        <f t="shared" si="263"/>
        <v>93621.42857142858</v>
      </c>
      <c r="BX241" s="2">
        <f t="shared" si="264"/>
        <v>194820</v>
      </c>
      <c r="BY241" s="2">
        <f t="shared" si="265"/>
        <v>234599.99999999997</v>
      </c>
      <c r="BZ241" s="2">
        <f t="shared" si="266"/>
        <v>298568.57142857142</v>
      </c>
      <c r="CA241" s="2">
        <f t="shared" si="267"/>
        <v>621617.14285714284</v>
      </c>
      <c r="CC241" s="41">
        <f t="shared" si="271"/>
        <v>0.61634241245136179</v>
      </c>
      <c r="CD241" s="41">
        <f t="shared" si="272"/>
        <v>0.33385214007782099</v>
      </c>
      <c r="CE241" s="41">
        <f t="shared" si="273"/>
        <v>4.9805447470817117E-2</v>
      </c>
    </row>
    <row r="242" spans="22:83" x14ac:dyDescent="0.2">
      <c r="V242" s="2">
        <v>235</v>
      </c>
      <c r="W242" s="2">
        <f t="shared" si="311"/>
        <v>57985.714285714283</v>
      </c>
      <c r="X242" s="2">
        <f t="shared" si="311"/>
        <v>113042.85714285714</v>
      </c>
      <c r="Y242" s="2">
        <f t="shared" si="269"/>
        <v>113042.85714285714</v>
      </c>
      <c r="Z242" s="2">
        <f t="shared" ref="Z242:AA242" si="323">Y242</f>
        <v>113042.85714285714</v>
      </c>
      <c r="AA242" s="2">
        <f t="shared" si="323"/>
        <v>113042.85714285714</v>
      </c>
      <c r="AQ242" s="2">
        <v>235</v>
      </c>
      <c r="AR242" s="2">
        <f t="shared" si="318"/>
        <v>31408.928571428572</v>
      </c>
      <c r="AS242" s="2">
        <f t="shared" si="318"/>
        <v>74532.142857142855</v>
      </c>
      <c r="AT242" s="2">
        <f t="shared" si="318"/>
        <v>109821.42857142857</v>
      </c>
      <c r="AU242" s="2">
        <f t="shared" si="318"/>
        <v>164732.14285714287</v>
      </c>
      <c r="AV242" s="2">
        <f t="shared" si="318"/>
        <v>308964.28571428574</v>
      </c>
      <c r="BK242" s="2">
        <v>235</v>
      </c>
      <c r="BL242" s="2">
        <f t="shared" si="319"/>
        <v>4685.7142857142853</v>
      </c>
      <c r="BM242" s="2">
        <f t="shared" si="319"/>
        <v>8200</v>
      </c>
      <c r="BN242" s="2">
        <f t="shared" si="319"/>
        <v>12885.714285714286</v>
      </c>
      <c r="BO242" s="2">
        <f t="shared" si="319"/>
        <v>22257.142857142859</v>
      </c>
      <c r="BP242" s="2">
        <f t="shared" si="319"/>
        <v>202657.14285714287</v>
      </c>
      <c r="BV242" s="2">
        <v>235</v>
      </c>
      <c r="BW242" s="2">
        <f t="shared" si="263"/>
        <v>94080.357142857145</v>
      </c>
      <c r="BX242" s="2">
        <f t="shared" si="264"/>
        <v>195775</v>
      </c>
      <c r="BY242" s="2">
        <f t="shared" si="265"/>
        <v>235750</v>
      </c>
      <c r="BZ242" s="2">
        <f t="shared" si="266"/>
        <v>300032.14285714284</v>
      </c>
      <c r="CA242" s="2">
        <f t="shared" si="267"/>
        <v>624664.2857142858</v>
      </c>
      <c r="CC242" s="41">
        <f t="shared" si="271"/>
        <v>0.61634241245136179</v>
      </c>
      <c r="CD242" s="41">
        <f t="shared" si="272"/>
        <v>0.33385214007782099</v>
      </c>
      <c r="CE242" s="41">
        <f t="shared" si="273"/>
        <v>4.9805447470817117E-2</v>
      </c>
    </row>
    <row r="243" spans="22:83" x14ac:dyDescent="0.2">
      <c r="V243" s="2">
        <v>236</v>
      </c>
      <c r="W243" s="2">
        <f t="shared" si="311"/>
        <v>58268.571428571428</v>
      </c>
      <c r="X243" s="2">
        <f t="shared" si="311"/>
        <v>113594.28571428571</v>
      </c>
      <c r="Y243" s="2">
        <f t="shared" si="269"/>
        <v>113594.28571428571</v>
      </c>
      <c r="Z243" s="2">
        <f t="shared" ref="Z243:AA243" si="324">Y243</f>
        <v>113594.28571428571</v>
      </c>
      <c r="AA243" s="2">
        <f t="shared" si="324"/>
        <v>113594.28571428571</v>
      </c>
      <c r="AQ243" s="2">
        <v>236</v>
      </c>
      <c r="AR243" s="2">
        <f t="shared" si="318"/>
        <v>31562.142857142859</v>
      </c>
      <c r="AS243" s="2">
        <f t="shared" si="318"/>
        <v>74895.71428571429</v>
      </c>
      <c r="AT243" s="2">
        <f t="shared" si="318"/>
        <v>110357.14285714286</v>
      </c>
      <c r="AU243" s="2">
        <f t="shared" si="318"/>
        <v>165535.71428571429</v>
      </c>
      <c r="AV243" s="2">
        <f t="shared" si="318"/>
        <v>310471.42857142858</v>
      </c>
      <c r="BK243" s="2">
        <v>236</v>
      </c>
      <c r="BL243" s="2">
        <f t="shared" si="319"/>
        <v>4708.5714285714284</v>
      </c>
      <c r="BM243" s="2">
        <f t="shared" si="319"/>
        <v>8240</v>
      </c>
      <c r="BN243" s="2">
        <f t="shared" si="319"/>
        <v>12948.571428571429</v>
      </c>
      <c r="BO243" s="2">
        <f t="shared" si="319"/>
        <v>22365.714285714286</v>
      </c>
      <c r="BP243" s="2">
        <f t="shared" si="319"/>
        <v>203645.71428571429</v>
      </c>
      <c r="BV243" s="2">
        <v>236</v>
      </c>
      <c r="BW243" s="2">
        <f t="shared" si="263"/>
        <v>94539.285714285725</v>
      </c>
      <c r="BX243" s="2">
        <f t="shared" si="264"/>
        <v>196730</v>
      </c>
      <c r="BY243" s="2">
        <f t="shared" si="265"/>
        <v>236900</v>
      </c>
      <c r="BZ243" s="2">
        <f t="shared" si="266"/>
        <v>301495.71428571426</v>
      </c>
      <c r="CA243" s="2">
        <f t="shared" si="267"/>
        <v>627711.42857142864</v>
      </c>
      <c r="CC243" s="41">
        <f t="shared" si="271"/>
        <v>0.61634241245136179</v>
      </c>
      <c r="CD243" s="41">
        <f t="shared" si="272"/>
        <v>0.33385214007782099</v>
      </c>
      <c r="CE243" s="41">
        <f t="shared" si="273"/>
        <v>4.9805447470817117E-2</v>
      </c>
    </row>
    <row r="244" spans="22:83" x14ac:dyDescent="0.2">
      <c r="V244" s="2">
        <v>237</v>
      </c>
      <c r="W244" s="2">
        <f t="shared" si="311"/>
        <v>58551.428571428572</v>
      </c>
      <c r="X244" s="2">
        <f t="shared" si="311"/>
        <v>114145.71428571429</v>
      </c>
      <c r="Y244" s="2">
        <f t="shared" si="269"/>
        <v>114145.71428571429</v>
      </c>
      <c r="Z244" s="2">
        <f t="shared" ref="Z244:AA244" si="325">Y244</f>
        <v>114145.71428571429</v>
      </c>
      <c r="AA244" s="2">
        <f t="shared" si="325"/>
        <v>114145.71428571429</v>
      </c>
      <c r="AQ244" s="2">
        <v>237</v>
      </c>
      <c r="AR244" s="2">
        <f t="shared" si="318"/>
        <v>31715.357142857141</v>
      </c>
      <c r="AS244" s="2">
        <f t="shared" si="318"/>
        <v>75259.28571428571</v>
      </c>
      <c r="AT244" s="2">
        <f t="shared" si="318"/>
        <v>110892.85714285714</v>
      </c>
      <c r="AU244" s="2">
        <f t="shared" si="318"/>
        <v>166339.28571428571</v>
      </c>
      <c r="AV244" s="2">
        <f t="shared" si="318"/>
        <v>311978.57142857142</v>
      </c>
      <c r="BK244" s="2">
        <v>237</v>
      </c>
      <c r="BL244" s="2">
        <f t="shared" si="319"/>
        <v>4731.4285714285716</v>
      </c>
      <c r="BM244" s="2">
        <f t="shared" si="319"/>
        <v>8280</v>
      </c>
      <c r="BN244" s="2">
        <f t="shared" si="319"/>
        <v>13011.428571428571</v>
      </c>
      <c r="BO244" s="2">
        <f t="shared" si="319"/>
        <v>22474.285714285714</v>
      </c>
      <c r="BP244" s="2">
        <f t="shared" si="319"/>
        <v>204634.28571428571</v>
      </c>
      <c r="BV244" s="2">
        <v>237</v>
      </c>
      <c r="BW244" s="2">
        <f t="shared" si="263"/>
        <v>94998.214285714275</v>
      </c>
      <c r="BX244" s="2">
        <f t="shared" si="264"/>
        <v>197685</v>
      </c>
      <c r="BY244" s="2">
        <f t="shared" si="265"/>
        <v>238050</v>
      </c>
      <c r="BZ244" s="2">
        <f t="shared" si="266"/>
        <v>302959.28571428574</v>
      </c>
      <c r="CA244" s="2">
        <f t="shared" si="267"/>
        <v>630758.57142857136</v>
      </c>
      <c r="CC244" s="41">
        <f t="shared" si="271"/>
        <v>0.6163424124513619</v>
      </c>
      <c r="CD244" s="41">
        <f t="shared" si="272"/>
        <v>0.33385214007782105</v>
      </c>
      <c r="CE244" s="41">
        <f t="shared" si="273"/>
        <v>4.9805447470817124E-2</v>
      </c>
    </row>
    <row r="245" spans="22:83" x14ac:dyDescent="0.2">
      <c r="V245" s="2">
        <v>238</v>
      </c>
      <c r="W245" s="2">
        <f t="shared" si="311"/>
        <v>58834.285714285717</v>
      </c>
      <c r="X245" s="2">
        <f t="shared" si="311"/>
        <v>114697.14285714286</v>
      </c>
      <c r="Y245" s="2">
        <f t="shared" si="269"/>
        <v>114697.14285714286</v>
      </c>
      <c r="Z245" s="2">
        <f t="shared" ref="Z245:AA245" si="326">Y245</f>
        <v>114697.14285714286</v>
      </c>
      <c r="AA245" s="2">
        <f t="shared" si="326"/>
        <v>114697.14285714286</v>
      </c>
      <c r="AQ245" s="2">
        <v>238</v>
      </c>
      <c r="AR245" s="2">
        <f t="shared" si="318"/>
        <v>31868.571428571428</v>
      </c>
      <c r="AS245" s="2">
        <f t="shared" si="318"/>
        <v>75622.857142857145</v>
      </c>
      <c r="AT245" s="2">
        <f t="shared" si="318"/>
        <v>111428.57142857143</v>
      </c>
      <c r="AU245" s="2">
        <f t="shared" si="318"/>
        <v>167142.85714285713</v>
      </c>
      <c r="AV245" s="2">
        <f t="shared" si="318"/>
        <v>313485.71428571426</v>
      </c>
      <c r="BK245" s="2">
        <v>238</v>
      </c>
      <c r="BL245" s="2">
        <f t="shared" si="319"/>
        <v>4754.2857142857147</v>
      </c>
      <c r="BM245" s="2">
        <f t="shared" si="319"/>
        <v>8320</v>
      </c>
      <c r="BN245" s="2">
        <f t="shared" si="319"/>
        <v>13074.285714285714</v>
      </c>
      <c r="BO245" s="2">
        <f t="shared" si="319"/>
        <v>22582.857142857141</v>
      </c>
      <c r="BP245" s="2">
        <f t="shared" si="319"/>
        <v>205622.85714285713</v>
      </c>
      <c r="BV245" s="2">
        <v>238</v>
      </c>
      <c r="BW245" s="2">
        <f t="shared" si="263"/>
        <v>95457.142857142855</v>
      </c>
      <c r="BX245" s="2">
        <f t="shared" si="264"/>
        <v>198640</v>
      </c>
      <c r="BY245" s="2">
        <f t="shared" si="265"/>
        <v>239200</v>
      </c>
      <c r="BZ245" s="2">
        <f t="shared" si="266"/>
        <v>304422.85714285716</v>
      </c>
      <c r="CA245" s="2">
        <f t="shared" si="267"/>
        <v>633805.7142857142</v>
      </c>
      <c r="CC245" s="41">
        <f t="shared" si="271"/>
        <v>0.6163424124513619</v>
      </c>
      <c r="CD245" s="41">
        <f t="shared" si="272"/>
        <v>0.33385214007782099</v>
      </c>
      <c r="CE245" s="41">
        <f t="shared" si="273"/>
        <v>4.9805447470817124E-2</v>
      </c>
    </row>
    <row r="246" spans="22:83" x14ac:dyDescent="0.2">
      <c r="V246" s="2">
        <v>239</v>
      </c>
      <c r="W246" s="2">
        <f t="shared" si="311"/>
        <v>59117.142857142855</v>
      </c>
      <c r="X246" s="2">
        <f t="shared" si="311"/>
        <v>115248.57142857143</v>
      </c>
      <c r="Y246" s="2">
        <f t="shared" si="269"/>
        <v>115248.57142857143</v>
      </c>
      <c r="Z246" s="2">
        <f t="shared" ref="Z246:AA246" si="327">Y246</f>
        <v>115248.57142857143</v>
      </c>
      <c r="AA246" s="2">
        <f t="shared" si="327"/>
        <v>115248.57142857143</v>
      </c>
      <c r="AQ246" s="2">
        <v>239</v>
      </c>
      <c r="AR246" s="2">
        <f t="shared" si="318"/>
        <v>32021.785714285714</v>
      </c>
      <c r="AS246" s="2">
        <f t="shared" si="318"/>
        <v>75986.428571428565</v>
      </c>
      <c r="AT246" s="2">
        <f t="shared" si="318"/>
        <v>111964.28571428571</v>
      </c>
      <c r="AU246" s="2">
        <f t="shared" si="318"/>
        <v>167946.42857142858</v>
      </c>
      <c r="AV246" s="2">
        <f t="shared" si="318"/>
        <v>314992.85714285716</v>
      </c>
      <c r="BK246" s="2">
        <v>239</v>
      </c>
      <c r="BL246" s="2">
        <f t="shared" si="319"/>
        <v>4777.1428571428569</v>
      </c>
      <c r="BM246" s="2">
        <f t="shared" si="319"/>
        <v>8360</v>
      </c>
      <c r="BN246" s="2">
        <f t="shared" si="319"/>
        <v>13137.142857142857</v>
      </c>
      <c r="BO246" s="2">
        <f t="shared" si="319"/>
        <v>22691.428571428572</v>
      </c>
      <c r="BP246" s="2">
        <f t="shared" si="319"/>
        <v>206611.42857142858</v>
      </c>
      <c r="BV246" s="2">
        <v>239</v>
      </c>
      <c r="BW246" s="2">
        <f t="shared" si="263"/>
        <v>95916.07142857142</v>
      </c>
      <c r="BX246" s="2">
        <f t="shared" si="264"/>
        <v>199595</v>
      </c>
      <c r="BY246" s="2">
        <f t="shared" si="265"/>
        <v>240350.00000000003</v>
      </c>
      <c r="BZ246" s="2">
        <f t="shared" si="266"/>
        <v>305886.42857142858</v>
      </c>
      <c r="CA246" s="2">
        <f t="shared" si="267"/>
        <v>636852.85714285716</v>
      </c>
      <c r="CC246" s="41">
        <f t="shared" si="271"/>
        <v>0.6163424124513619</v>
      </c>
      <c r="CD246" s="41">
        <f t="shared" si="272"/>
        <v>0.33385214007782105</v>
      </c>
      <c r="CE246" s="41">
        <f t="shared" si="273"/>
        <v>4.9805447470817124E-2</v>
      </c>
    </row>
    <row r="247" spans="22:83" x14ac:dyDescent="0.2">
      <c r="V247" s="2">
        <v>240</v>
      </c>
      <c r="W247" s="2">
        <f t="shared" si="311"/>
        <v>59400</v>
      </c>
      <c r="X247" s="2">
        <f t="shared" si="311"/>
        <v>115800</v>
      </c>
      <c r="Y247" s="2">
        <f t="shared" si="269"/>
        <v>115800</v>
      </c>
      <c r="Z247" s="2">
        <f t="shared" ref="Z247:AA247" si="328">Y247</f>
        <v>115800</v>
      </c>
      <c r="AA247" s="2">
        <f t="shared" si="328"/>
        <v>115800</v>
      </c>
      <c r="AQ247" s="2">
        <v>240</v>
      </c>
      <c r="AR247" s="2">
        <f t="shared" si="318"/>
        <v>32175</v>
      </c>
      <c r="AS247" s="2">
        <f t="shared" si="318"/>
        <v>76350</v>
      </c>
      <c r="AT247" s="2">
        <f t="shared" si="318"/>
        <v>112500</v>
      </c>
      <c r="AU247" s="2">
        <f t="shared" si="318"/>
        <v>168750</v>
      </c>
      <c r="AV247" s="2">
        <f t="shared" si="318"/>
        <v>316500</v>
      </c>
      <c r="BK247" s="2">
        <v>240</v>
      </c>
      <c r="BL247" s="2">
        <f t="shared" si="319"/>
        <v>4800</v>
      </c>
      <c r="BM247" s="2">
        <f t="shared" si="319"/>
        <v>8400</v>
      </c>
      <c r="BN247" s="2">
        <f t="shared" si="319"/>
        <v>13200</v>
      </c>
      <c r="BO247" s="2">
        <f t="shared" si="319"/>
        <v>22800</v>
      </c>
      <c r="BP247" s="2">
        <f t="shared" si="319"/>
        <v>207600</v>
      </c>
      <c r="BV247" s="2">
        <v>240</v>
      </c>
      <c r="BW247" s="2">
        <f t="shared" si="263"/>
        <v>96375</v>
      </c>
      <c r="BX247" s="2">
        <f t="shared" si="264"/>
        <v>200550</v>
      </c>
      <c r="BY247" s="2">
        <f t="shared" si="265"/>
        <v>241500</v>
      </c>
      <c r="BZ247" s="2">
        <f t="shared" si="266"/>
        <v>307350</v>
      </c>
      <c r="CA247" s="2">
        <f t="shared" si="267"/>
        <v>639900</v>
      </c>
      <c r="CC247" s="41">
        <f t="shared" si="271"/>
        <v>0.6163424124513619</v>
      </c>
      <c r="CD247" s="41">
        <f t="shared" si="272"/>
        <v>0.33385214007782099</v>
      </c>
      <c r="CE247" s="41">
        <f t="shared" si="273"/>
        <v>4.9805447470817124E-2</v>
      </c>
    </row>
    <row r="248" spans="22:83" x14ac:dyDescent="0.2">
      <c r="V248" s="2">
        <v>241</v>
      </c>
      <c r="W248" s="2">
        <f t="shared" si="311"/>
        <v>59682.857142857145</v>
      </c>
      <c r="X248" s="2">
        <f t="shared" si="311"/>
        <v>116351.42857142857</v>
      </c>
      <c r="Y248" s="2">
        <f t="shared" si="269"/>
        <v>116351.42857142857</v>
      </c>
      <c r="Z248" s="2">
        <f t="shared" ref="Z248:AA248" si="329">Y248</f>
        <v>116351.42857142857</v>
      </c>
      <c r="AA248" s="2">
        <f t="shared" si="329"/>
        <v>116351.42857142857</v>
      </c>
      <c r="AQ248" s="2">
        <v>241</v>
      </c>
      <c r="AR248" s="2">
        <f t="shared" ref="AR248:AV257" si="330">MAX($AQ248-$C$2,0)*INDEX($AN$8:$AN$44,MATCH(AR$7,$AO$8:$AO$44,0))/$C$3</f>
        <v>32328.214285714286</v>
      </c>
      <c r="AS248" s="2">
        <f t="shared" si="330"/>
        <v>76713.571428571435</v>
      </c>
      <c r="AT248" s="2">
        <f t="shared" si="330"/>
        <v>113035.71428571429</v>
      </c>
      <c r="AU248" s="2">
        <f t="shared" si="330"/>
        <v>169553.57142857142</v>
      </c>
      <c r="AV248" s="2">
        <f t="shared" si="330"/>
        <v>318007.14285714284</v>
      </c>
      <c r="BK248" s="2">
        <v>241</v>
      </c>
      <c r="BL248" s="2">
        <f t="shared" ref="BL248:BP257" si="331">IFERROR(MAX($BK248-$C$2,0)*INDEX($BH$8:$BH$16,MATCH(BL$7,$BI$8:$BI$16,0))*$C$4/$C$3,BM248)</f>
        <v>4822.8571428571431</v>
      </c>
      <c r="BM248" s="2">
        <f t="shared" si="331"/>
        <v>8440</v>
      </c>
      <c r="BN248" s="2">
        <f t="shared" si="331"/>
        <v>13262.857142857143</v>
      </c>
      <c r="BO248" s="2">
        <f t="shared" si="331"/>
        <v>22908.571428571428</v>
      </c>
      <c r="BP248" s="2">
        <f t="shared" si="331"/>
        <v>208588.57142857142</v>
      </c>
      <c r="BV248" s="2">
        <v>241</v>
      </c>
      <c r="BW248" s="2">
        <f t="shared" si="263"/>
        <v>96833.92857142858</v>
      </c>
      <c r="BX248" s="2">
        <f t="shared" si="264"/>
        <v>201505</v>
      </c>
      <c r="BY248" s="2">
        <f t="shared" si="265"/>
        <v>242649.99999999997</v>
      </c>
      <c r="BZ248" s="2">
        <f t="shared" si="266"/>
        <v>308813.57142857142</v>
      </c>
      <c r="CA248" s="2">
        <f t="shared" si="267"/>
        <v>642947.14285714284</v>
      </c>
      <c r="CC248" s="41">
        <f t="shared" si="271"/>
        <v>0.61634241245136179</v>
      </c>
      <c r="CD248" s="41">
        <f t="shared" si="272"/>
        <v>0.33385214007782099</v>
      </c>
      <c r="CE248" s="41">
        <f t="shared" si="273"/>
        <v>4.9805447470817117E-2</v>
      </c>
    </row>
    <row r="249" spans="22:83" x14ac:dyDescent="0.2">
      <c r="V249" s="2">
        <v>242</v>
      </c>
      <c r="W249" s="2">
        <f t="shared" si="311"/>
        <v>59965.714285714283</v>
      </c>
      <c r="X249" s="2">
        <f t="shared" si="311"/>
        <v>116902.85714285714</v>
      </c>
      <c r="Y249" s="2">
        <f t="shared" si="269"/>
        <v>116902.85714285714</v>
      </c>
      <c r="Z249" s="2">
        <f t="shared" ref="Z249:AA249" si="332">Y249</f>
        <v>116902.85714285714</v>
      </c>
      <c r="AA249" s="2">
        <f t="shared" si="332"/>
        <v>116902.85714285714</v>
      </c>
      <c r="AQ249" s="2">
        <v>242</v>
      </c>
      <c r="AR249" s="2">
        <f t="shared" si="330"/>
        <v>32481.428571428572</v>
      </c>
      <c r="AS249" s="2">
        <f t="shared" si="330"/>
        <v>77077.142857142855</v>
      </c>
      <c r="AT249" s="2">
        <f t="shared" si="330"/>
        <v>113571.42857142857</v>
      </c>
      <c r="AU249" s="2">
        <f t="shared" si="330"/>
        <v>170357.14285714287</v>
      </c>
      <c r="AV249" s="2">
        <f t="shared" si="330"/>
        <v>319514.28571428574</v>
      </c>
      <c r="BK249" s="2">
        <v>242</v>
      </c>
      <c r="BL249" s="2">
        <f t="shared" si="331"/>
        <v>4845.7142857142853</v>
      </c>
      <c r="BM249" s="2">
        <f t="shared" si="331"/>
        <v>8480</v>
      </c>
      <c r="BN249" s="2">
        <f t="shared" si="331"/>
        <v>13325.714285714286</v>
      </c>
      <c r="BO249" s="2">
        <f t="shared" si="331"/>
        <v>23017.142857142859</v>
      </c>
      <c r="BP249" s="2">
        <f t="shared" si="331"/>
        <v>209577.14285714287</v>
      </c>
      <c r="BV249" s="2">
        <v>242</v>
      </c>
      <c r="BW249" s="2">
        <f t="shared" si="263"/>
        <v>97292.857142857145</v>
      </c>
      <c r="BX249" s="2">
        <f t="shared" si="264"/>
        <v>202460</v>
      </c>
      <c r="BY249" s="2">
        <f t="shared" si="265"/>
        <v>243800</v>
      </c>
      <c r="BZ249" s="2">
        <f t="shared" si="266"/>
        <v>310277.14285714284</v>
      </c>
      <c r="CA249" s="2">
        <f t="shared" si="267"/>
        <v>645994.2857142858</v>
      </c>
      <c r="CC249" s="41">
        <f t="shared" si="271"/>
        <v>0.61634241245136179</v>
      </c>
      <c r="CD249" s="41">
        <f t="shared" si="272"/>
        <v>0.33385214007782099</v>
      </c>
      <c r="CE249" s="41">
        <f t="shared" si="273"/>
        <v>4.9805447470817117E-2</v>
      </c>
    </row>
    <row r="250" spans="22:83" x14ac:dyDescent="0.2">
      <c r="V250" s="2">
        <v>243</v>
      </c>
      <c r="W250" s="2">
        <f t="shared" si="311"/>
        <v>60248.571428571428</v>
      </c>
      <c r="X250" s="2">
        <f t="shared" si="311"/>
        <v>117454.28571428571</v>
      </c>
      <c r="Y250" s="2">
        <f t="shared" si="269"/>
        <v>117454.28571428571</v>
      </c>
      <c r="Z250" s="2">
        <f t="shared" ref="Z250:AA250" si="333">Y250</f>
        <v>117454.28571428571</v>
      </c>
      <c r="AA250" s="2">
        <f t="shared" si="333"/>
        <v>117454.28571428571</v>
      </c>
      <c r="AQ250" s="2">
        <v>243</v>
      </c>
      <c r="AR250" s="2">
        <f t="shared" si="330"/>
        <v>32634.642857142859</v>
      </c>
      <c r="AS250" s="2">
        <f t="shared" si="330"/>
        <v>77440.71428571429</v>
      </c>
      <c r="AT250" s="2">
        <f t="shared" si="330"/>
        <v>114107.14285714286</v>
      </c>
      <c r="AU250" s="2">
        <f t="shared" si="330"/>
        <v>171160.71428571429</v>
      </c>
      <c r="AV250" s="2">
        <f t="shared" si="330"/>
        <v>321021.42857142858</v>
      </c>
      <c r="BK250" s="2">
        <v>243</v>
      </c>
      <c r="BL250" s="2">
        <f t="shared" si="331"/>
        <v>4868.5714285714284</v>
      </c>
      <c r="BM250" s="2">
        <f t="shared" si="331"/>
        <v>8520</v>
      </c>
      <c r="BN250" s="2">
        <f t="shared" si="331"/>
        <v>13388.571428571429</v>
      </c>
      <c r="BO250" s="2">
        <f t="shared" si="331"/>
        <v>23125.714285714286</v>
      </c>
      <c r="BP250" s="2">
        <f t="shared" si="331"/>
        <v>210565.71428571429</v>
      </c>
      <c r="BV250" s="2">
        <v>243</v>
      </c>
      <c r="BW250" s="2">
        <f t="shared" si="263"/>
        <v>97751.785714285725</v>
      </c>
      <c r="BX250" s="2">
        <f t="shared" si="264"/>
        <v>203415</v>
      </c>
      <c r="BY250" s="2">
        <f t="shared" si="265"/>
        <v>244950</v>
      </c>
      <c r="BZ250" s="2">
        <f t="shared" si="266"/>
        <v>311740.71428571426</v>
      </c>
      <c r="CA250" s="2">
        <f t="shared" si="267"/>
        <v>649041.42857142864</v>
      </c>
      <c r="CC250" s="41">
        <f t="shared" si="271"/>
        <v>0.61634241245136179</v>
      </c>
      <c r="CD250" s="41">
        <f t="shared" si="272"/>
        <v>0.33385214007782099</v>
      </c>
      <c r="CE250" s="41">
        <f t="shared" si="273"/>
        <v>4.9805447470817117E-2</v>
      </c>
    </row>
    <row r="251" spans="22:83" x14ac:dyDescent="0.2">
      <c r="V251" s="2">
        <v>244</v>
      </c>
      <c r="W251" s="2">
        <f t="shared" si="311"/>
        <v>60531.428571428572</v>
      </c>
      <c r="X251" s="2">
        <f t="shared" si="311"/>
        <v>118005.71428571429</v>
      </c>
      <c r="Y251" s="2">
        <f t="shared" si="269"/>
        <v>118005.71428571429</v>
      </c>
      <c r="Z251" s="2">
        <f t="shared" ref="Z251:AA251" si="334">Y251</f>
        <v>118005.71428571429</v>
      </c>
      <c r="AA251" s="2">
        <f t="shared" si="334"/>
        <v>118005.71428571429</v>
      </c>
      <c r="AQ251" s="2">
        <v>244</v>
      </c>
      <c r="AR251" s="2">
        <f t="shared" si="330"/>
        <v>32787.857142857145</v>
      </c>
      <c r="AS251" s="2">
        <f t="shared" si="330"/>
        <v>77804.28571428571</v>
      </c>
      <c r="AT251" s="2">
        <f t="shared" si="330"/>
        <v>114642.85714285714</v>
      </c>
      <c r="AU251" s="2">
        <f t="shared" si="330"/>
        <v>171964.28571428571</v>
      </c>
      <c r="AV251" s="2">
        <f t="shared" si="330"/>
        <v>322528.57142857142</v>
      </c>
      <c r="BK251" s="2">
        <v>244</v>
      </c>
      <c r="BL251" s="2">
        <f t="shared" si="331"/>
        <v>4891.4285714285716</v>
      </c>
      <c r="BM251" s="2">
        <f t="shared" si="331"/>
        <v>8560</v>
      </c>
      <c r="BN251" s="2">
        <f t="shared" si="331"/>
        <v>13451.428571428571</v>
      </c>
      <c r="BO251" s="2">
        <f t="shared" si="331"/>
        <v>23234.285714285714</v>
      </c>
      <c r="BP251" s="2">
        <f t="shared" si="331"/>
        <v>211554.28571428571</v>
      </c>
      <c r="BV251" s="2">
        <v>244</v>
      </c>
      <c r="BW251" s="2">
        <f t="shared" si="263"/>
        <v>98210.714285714275</v>
      </c>
      <c r="BX251" s="2">
        <f t="shared" si="264"/>
        <v>204370</v>
      </c>
      <c r="BY251" s="2">
        <f t="shared" si="265"/>
        <v>246100</v>
      </c>
      <c r="BZ251" s="2">
        <f t="shared" si="266"/>
        <v>313204.28571428574</v>
      </c>
      <c r="CA251" s="2">
        <f t="shared" si="267"/>
        <v>652088.57142857136</v>
      </c>
      <c r="CC251" s="41">
        <f t="shared" si="271"/>
        <v>0.6163424124513619</v>
      </c>
      <c r="CD251" s="41">
        <f t="shared" si="272"/>
        <v>0.33385214007782105</v>
      </c>
      <c r="CE251" s="41">
        <f t="shared" si="273"/>
        <v>4.9805447470817124E-2</v>
      </c>
    </row>
    <row r="252" spans="22:83" x14ac:dyDescent="0.2">
      <c r="V252" s="2">
        <v>245</v>
      </c>
      <c r="W252" s="2">
        <f t="shared" si="311"/>
        <v>60814.285714285717</v>
      </c>
      <c r="X252" s="2">
        <f t="shared" si="311"/>
        <v>118557.14285714286</v>
      </c>
      <c r="Y252" s="2">
        <f t="shared" si="269"/>
        <v>118557.14285714286</v>
      </c>
      <c r="Z252" s="2">
        <f t="shared" ref="Z252:AA252" si="335">Y252</f>
        <v>118557.14285714286</v>
      </c>
      <c r="AA252" s="2">
        <f t="shared" si="335"/>
        <v>118557.14285714286</v>
      </c>
      <c r="AQ252" s="2">
        <v>245</v>
      </c>
      <c r="AR252" s="2">
        <f t="shared" si="330"/>
        <v>32941.071428571428</v>
      </c>
      <c r="AS252" s="2">
        <f t="shared" si="330"/>
        <v>78167.857142857145</v>
      </c>
      <c r="AT252" s="2">
        <f t="shared" si="330"/>
        <v>115178.57142857143</v>
      </c>
      <c r="AU252" s="2">
        <f t="shared" si="330"/>
        <v>172767.85714285713</v>
      </c>
      <c r="AV252" s="2">
        <f t="shared" si="330"/>
        <v>324035.71428571426</v>
      </c>
      <c r="BK252" s="2">
        <v>245</v>
      </c>
      <c r="BL252" s="2">
        <f t="shared" si="331"/>
        <v>4914.2857142857147</v>
      </c>
      <c r="BM252" s="2">
        <f t="shared" si="331"/>
        <v>8600</v>
      </c>
      <c r="BN252" s="2">
        <f t="shared" si="331"/>
        <v>13514.285714285714</v>
      </c>
      <c r="BO252" s="2">
        <f t="shared" si="331"/>
        <v>23342.857142857141</v>
      </c>
      <c r="BP252" s="2">
        <f t="shared" si="331"/>
        <v>212542.85714285713</v>
      </c>
      <c r="BV252" s="2">
        <v>245</v>
      </c>
      <c r="BW252" s="2">
        <f t="shared" si="263"/>
        <v>98669.642857142855</v>
      </c>
      <c r="BX252" s="2">
        <f t="shared" si="264"/>
        <v>205325</v>
      </c>
      <c r="BY252" s="2">
        <f t="shared" si="265"/>
        <v>247250</v>
      </c>
      <c r="BZ252" s="2">
        <f t="shared" si="266"/>
        <v>314667.85714285716</v>
      </c>
      <c r="CA252" s="2">
        <f t="shared" si="267"/>
        <v>655135.7142857142</v>
      </c>
      <c r="CC252" s="41">
        <f t="shared" si="271"/>
        <v>0.6163424124513619</v>
      </c>
      <c r="CD252" s="41">
        <f t="shared" si="272"/>
        <v>0.33385214007782099</v>
      </c>
      <c r="CE252" s="41">
        <f t="shared" si="273"/>
        <v>4.9805447470817124E-2</v>
      </c>
    </row>
    <row r="253" spans="22:83" x14ac:dyDescent="0.2">
      <c r="V253" s="2">
        <v>246</v>
      </c>
      <c r="W253" s="2">
        <f t="shared" si="311"/>
        <v>61097.142857142855</v>
      </c>
      <c r="X253" s="2">
        <f t="shared" si="311"/>
        <v>119108.57142857143</v>
      </c>
      <c r="Y253" s="2">
        <f t="shared" si="269"/>
        <v>119108.57142857143</v>
      </c>
      <c r="Z253" s="2">
        <f t="shared" ref="Z253:AA253" si="336">Y253</f>
        <v>119108.57142857143</v>
      </c>
      <c r="AA253" s="2">
        <f t="shared" si="336"/>
        <v>119108.57142857143</v>
      </c>
      <c r="AQ253" s="2">
        <v>246</v>
      </c>
      <c r="AR253" s="2">
        <f t="shared" si="330"/>
        <v>33094.285714285717</v>
      </c>
      <c r="AS253" s="2">
        <f t="shared" si="330"/>
        <v>78531.428571428565</v>
      </c>
      <c r="AT253" s="2">
        <f t="shared" si="330"/>
        <v>115714.28571428571</v>
      </c>
      <c r="AU253" s="2">
        <f t="shared" si="330"/>
        <v>173571.42857142858</v>
      </c>
      <c r="AV253" s="2">
        <f t="shared" si="330"/>
        <v>325542.85714285716</v>
      </c>
      <c r="BK253" s="2">
        <v>246</v>
      </c>
      <c r="BL253" s="2">
        <f t="shared" si="331"/>
        <v>4937.1428571428569</v>
      </c>
      <c r="BM253" s="2">
        <f t="shared" si="331"/>
        <v>8640</v>
      </c>
      <c r="BN253" s="2">
        <f t="shared" si="331"/>
        <v>13577.142857142857</v>
      </c>
      <c r="BO253" s="2">
        <f t="shared" si="331"/>
        <v>23451.428571428572</v>
      </c>
      <c r="BP253" s="2">
        <f t="shared" si="331"/>
        <v>213531.42857142858</v>
      </c>
      <c r="BV253" s="2">
        <v>246</v>
      </c>
      <c r="BW253" s="2">
        <f t="shared" si="263"/>
        <v>99128.571428571435</v>
      </c>
      <c r="BX253" s="2">
        <f t="shared" si="264"/>
        <v>206280</v>
      </c>
      <c r="BY253" s="2">
        <f t="shared" si="265"/>
        <v>248400.00000000003</v>
      </c>
      <c r="BZ253" s="2">
        <f t="shared" si="266"/>
        <v>316131.42857142858</v>
      </c>
      <c r="CA253" s="2">
        <f t="shared" si="267"/>
        <v>658182.85714285716</v>
      </c>
      <c r="CC253" s="41">
        <f t="shared" si="271"/>
        <v>0.61634241245136179</v>
      </c>
      <c r="CD253" s="41">
        <f t="shared" si="272"/>
        <v>0.33385214007782105</v>
      </c>
      <c r="CE253" s="41">
        <f t="shared" si="273"/>
        <v>4.9805447470817117E-2</v>
      </c>
    </row>
    <row r="254" spans="22:83" x14ac:dyDescent="0.2">
      <c r="V254" s="2">
        <v>247</v>
      </c>
      <c r="W254" s="2">
        <f t="shared" si="311"/>
        <v>61380</v>
      </c>
      <c r="X254" s="2">
        <f t="shared" si="311"/>
        <v>119660</v>
      </c>
      <c r="Y254" s="2">
        <f t="shared" si="269"/>
        <v>119660</v>
      </c>
      <c r="Z254" s="2">
        <f t="shared" ref="Z254:AA254" si="337">Y254</f>
        <v>119660</v>
      </c>
      <c r="AA254" s="2">
        <f t="shared" si="337"/>
        <v>119660</v>
      </c>
      <c r="AQ254" s="2">
        <v>247</v>
      </c>
      <c r="AR254" s="2">
        <f t="shared" si="330"/>
        <v>33247.5</v>
      </c>
      <c r="AS254" s="2">
        <f t="shared" si="330"/>
        <v>78895</v>
      </c>
      <c r="AT254" s="2">
        <f t="shared" si="330"/>
        <v>116250</v>
      </c>
      <c r="AU254" s="2">
        <f t="shared" si="330"/>
        <v>174375</v>
      </c>
      <c r="AV254" s="2">
        <f t="shared" si="330"/>
        <v>327050</v>
      </c>
      <c r="BK254" s="2">
        <v>247</v>
      </c>
      <c r="BL254" s="2">
        <f t="shared" si="331"/>
        <v>4960</v>
      </c>
      <c r="BM254" s="2">
        <f t="shared" si="331"/>
        <v>8680</v>
      </c>
      <c r="BN254" s="2">
        <f t="shared" si="331"/>
        <v>13640</v>
      </c>
      <c r="BO254" s="2">
        <f t="shared" si="331"/>
        <v>23560</v>
      </c>
      <c r="BP254" s="2">
        <f t="shared" si="331"/>
        <v>214520</v>
      </c>
      <c r="BV254" s="2">
        <v>247</v>
      </c>
      <c r="BW254" s="2">
        <f t="shared" si="263"/>
        <v>99587.5</v>
      </c>
      <c r="BX254" s="2">
        <f t="shared" si="264"/>
        <v>207235</v>
      </c>
      <c r="BY254" s="2">
        <f t="shared" si="265"/>
        <v>249550</v>
      </c>
      <c r="BZ254" s="2">
        <f t="shared" si="266"/>
        <v>317595</v>
      </c>
      <c r="CA254" s="2">
        <f t="shared" si="267"/>
        <v>661230</v>
      </c>
      <c r="CC254" s="41">
        <f t="shared" si="271"/>
        <v>0.6163424124513619</v>
      </c>
      <c r="CD254" s="41">
        <f t="shared" si="272"/>
        <v>0.33385214007782099</v>
      </c>
      <c r="CE254" s="41">
        <f t="shared" si="273"/>
        <v>4.9805447470817124E-2</v>
      </c>
    </row>
    <row r="255" spans="22:83" x14ac:dyDescent="0.2">
      <c r="V255" s="2">
        <v>248</v>
      </c>
      <c r="W255" s="2">
        <f t="shared" si="311"/>
        <v>61662.857142857145</v>
      </c>
      <c r="X255" s="2">
        <f t="shared" si="311"/>
        <v>120211.42857142857</v>
      </c>
      <c r="Y255" s="2">
        <f t="shared" si="269"/>
        <v>120211.42857142857</v>
      </c>
      <c r="Z255" s="2">
        <f t="shared" ref="Z255:AA255" si="338">Y255</f>
        <v>120211.42857142857</v>
      </c>
      <c r="AA255" s="2">
        <f t="shared" si="338"/>
        <v>120211.42857142857</v>
      </c>
      <c r="AQ255" s="2">
        <v>248</v>
      </c>
      <c r="AR255" s="2">
        <f t="shared" si="330"/>
        <v>33400.714285714283</v>
      </c>
      <c r="AS255" s="2">
        <f t="shared" si="330"/>
        <v>79258.571428571435</v>
      </c>
      <c r="AT255" s="2">
        <f t="shared" si="330"/>
        <v>116785.71428571429</v>
      </c>
      <c r="AU255" s="2">
        <f t="shared" si="330"/>
        <v>175178.57142857142</v>
      </c>
      <c r="AV255" s="2">
        <f t="shared" si="330"/>
        <v>328557.14285714284</v>
      </c>
      <c r="BK255" s="2">
        <v>248</v>
      </c>
      <c r="BL255" s="2">
        <f t="shared" si="331"/>
        <v>4982.8571428571431</v>
      </c>
      <c r="BM255" s="2">
        <f t="shared" si="331"/>
        <v>8720</v>
      </c>
      <c r="BN255" s="2">
        <f t="shared" si="331"/>
        <v>13702.857142857143</v>
      </c>
      <c r="BO255" s="2">
        <f t="shared" si="331"/>
        <v>23668.571428571428</v>
      </c>
      <c r="BP255" s="2">
        <f t="shared" si="331"/>
        <v>215508.57142857142</v>
      </c>
      <c r="BV255" s="2">
        <v>248</v>
      </c>
      <c r="BW255" s="2">
        <f t="shared" si="263"/>
        <v>100046.42857142857</v>
      </c>
      <c r="BX255" s="2">
        <f t="shared" si="264"/>
        <v>208190</v>
      </c>
      <c r="BY255" s="2">
        <f t="shared" si="265"/>
        <v>250699.99999999997</v>
      </c>
      <c r="BZ255" s="2">
        <f t="shared" si="266"/>
        <v>319058.57142857142</v>
      </c>
      <c r="CA255" s="2">
        <f t="shared" si="267"/>
        <v>664277.14285714284</v>
      </c>
      <c r="CC255" s="41">
        <f t="shared" si="271"/>
        <v>0.6163424124513619</v>
      </c>
      <c r="CD255" s="41">
        <f t="shared" si="272"/>
        <v>0.33385214007782099</v>
      </c>
      <c r="CE255" s="41">
        <f t="shared" si="273"/>
        <v>4.9805447470817124E-2</v>
      </c>
    </row>
    <row r="256" spans="22:83" x14ac:dyDescent="0.2">
      <c r="V256" s="2">
        <v>249</v>
      </c>
      <c r="W256" s="2">
        <f t="shared" si="311"/>
        <v>61945.714285714283</v>
      </c>
      <c r="X256" s="2">
        <f t="shared" si="311"/>
        <v>120762.85714285714</v>
      </c>
      <c r="Y256" s="2">
        <f t="shared" si="269"/>
        <v>120762.85714285714</v>
      </c>
      <c r="Z256" s="2">
        <f t="shared" ref="Z256:AA256" si="339">Y256</f>
        <v>120762.85714285714</v>
      </c>
      <c r="AA256" s="2">
        <f t="shared" si="339"/>
        <v>120762.85714285714</v>
      </c>
      <c r="AQ256" s="2">
        <v>249</v>
      </c>
      <c r="AR256" s="2">
        <f t="shared" si="330"/>
        <v>33553.928571428572</v>
      </c>
      <c r="AS256" s="2">
        <f t="shared" si="330"/>
        <v>79622.142857142855</v>
      </c>
      <c r="AT256" s="2">
        <f t="shared" si="330"/>
        <v>117321.42857142857</v>
      </c>
      <c r="AU256" s="2">
        <f t="shared" si="330"/>
        <v>175982.14285714287</v>
      </c>
      <c r="AV256" s="2">
        <f t="shared" si="330"/>
        <v>330064.28571428574</v>
      </c>
      <c r="BK256" s="2">
        <v>249</v>
      </c>
      <c r="BL256" s="2">
        <f t="shared" si="331"/>
        <v>5005.7142857142853</v>
      </c>
      <c r="BM256" s="2">
        <f t="shared" si="331"/>
        <v>8760</v>
      </c>
      <c r="BN256" s="2">
        <f t="shared" si="331"/>
        <v>13765.714285714286</v>
      </c>
      <c r="BO256" s="2">
        <f t="shared" si="331"/>
        <v>23777.142857142859</v>
      </c>
      <c r="BP256" s="2">
        <f t="shared" si="331"/>
        <v>216497.14285714287</v>
      </c>
      <c r="BV256" s="2">
        <v>249</v>
      </c>
      <c r="BW256" s="2">
        <f t="shared" si="263"/>
        <v>100505.35714285714</v>
      </c>
      <c r="BX256" s="2">
        <f t="shared" si="264"/>
        <v>209145</v>
      </c>
      <c r="BY256" s="2">
        <f t="shared" si="265"/>
        <v>251850</v>
      </c>
      <c r="BZ256" s="2">
        <f t="shared" si="266"/>
        <v>320522.14285714284</v>
      </c>
      <c r="CA256" s="2">
        <f t="shared" si="267"/>
        <v>667324.2857142858</v>
      </c>
      <c r="CC256" s="41">
        <f t="shared" si="271"/>
        <v>0.61634241245136179</v>
      </c>
      <c r="CD256" s="41">
        <f t="shared" si="272"/>
        <v>0.33385214007782099</v>
      </c>
      <c r="CE256" s="41">
        <f t="shared" si="273"/>
        <v>4.9805447470817117E-2</v>
      </c>
    </row>
    <row r="257" spans="22:83" x14ac:dyDescent="0.2">
      <c r="V257" s="2">
        <v>250</v>
      </c>
      <c r="W257" s="2">
        <f t="shared" si="311"/>
        <v>62228.571428571428</v>
      </c>
      <c r="X257" s="2">
        <f t="shared" si="311"/>
        <v>121314.28571428571</v>
      </c>
      <c r="Y257" s="2">
        <f t="shared" si="269"/>
        <v>121314.28571428571</v>
      </c>
      <c r="Z257" s="2">
        <f t="shared" ref="Z257:AA257" si="340">Y257</f>
        <v>121314.28571428571</v>
      </c>
      <c r="AA257" s="2">
        <f t="shared" si="340"/>
        <v>121314.28571428571</v>
      </c>
      <c r="AQ257" s="2">
        <v>250</v>
      </c>
      <c r="AR257" s="2">
        <f t="shared" si="330"/>
        <v>33707.142857142855</v>
      </c>
      <c r="AS257" s="2">
        <f t="shared" si="330"/>
        <v>79985.71428571429</v>
      </c>
      <c r="AT257" s="2">
        <f t="shared" si="330"/>
        <v>117857.14285714286</v>
      </c>
      <c r="AU257" s="2">
        <f t="shared" si="330"/>
        <v>176785.71428571429</v>
      </c>
      <c r="AV257" s="2">
        <f t="shared" si="330"/>
        <v>331571.42857142858</v>
      </c>
      <c r="BK257" s="2">
        <v>250</v>
      </c>
      <c r="BL257" s="2">
        <f t="shared" si="331"/>
        <v>5028.5714285714284</v>
      </c>
      <c r="BM257" s="2">
        <f t="shared" si="331"/>
        <v>8800</v>
      </c>
      <c r="BN257" s="2">
        <f t="shared" si="331"/>
        <v>13828.571428571429</v>
      </c>
      <c r="BO257" s="2">
        <f t="shared" si="331"/>
        <v>23885.714285714286</v>
      </c>
      <c r="BP257" s="2">
        <f t="shared" si="331"/>
        <v>217485.71428571429</v>
      </c>
      <c r="BV257" s="2">
        <v>250</v>
      </c>
      <c r="BW257" s="2">
        <f t="shared" si="263"/>
        <v>100964.28571428572</v>
      </c>
      <c r="BX257" s="2">
        <f t="shared" si="264"/>
        <v>210100</v>
      </c>
      <c r="BY257" s="2">
        <f t="shared" si="265"/>
        <v>253000</v>
      </c>
      <c r="BZ257" s="2">
        <f t="shared" si="266"/>
        <v>321985.71428571426</v>
      </c>
      <c r="CA257" s="2">
        <f t="shared" si="267"/>
        <v>670371.42857142864</v>
      </c>
      <c r="CC257" s="41">
        <f t="shared" si="271"/>
        <v>0.61634241245136179</v>
      </c>
      <c r="CD257" s="41">
        <f t="shared" si="272"/>
        <v>0.33385214007782094</v>
      </c>
      <c r="CE257" s="41">
        <f t="shared" si="273"/>
        <v>4.9805447470817117E-2</v>
      </c>
    </row>
    <row r="258" spans="22:83" x14ac:dyDescent="0.2">
      <c r="V258" s="2">
        <v>251</v>
      </c>
      <c r="W258" s="2">
        <f t="shared" si="311"/>
        <v>62511.428571428572</v>
      </c>
      <c r="X258" s="2">
        <f t="shared" si="311"/>
        <v>121865.71428571429</v>
      </c>
      <c r="Y258" s="2">
        <f t="shared" si="269"/>
        <v>121865.71428571429</v>
      </c>
      <c r="Z258" s="2">
        <f t="shared" ref="Z258:AA258" si="341">Y258</f>
        <v>121865.71428571429</v>
      </c>
      <c r="AA258" s="2">
        <f t="shared" si="341"/>
        <v>121865.71428571429</v>
      </c>
      <c r="AQ258" s="2">
        <v>251</v>
      </c>
      <c r="AR258" s="2">
        <f t="shared" ref="AR258:AV267" si="342">MAX($AQ258-$C$2,0)*INDEX($AN$8:$AN$44,MATCH(AR$7,$AO$8:$AO$44,0))/$C$3</f>
        <v>33860.357142857145</v>
      </c>
      <c r="AS258" s="2">
        <f t="shared" si="342"/>
        <v>80349.28571428571</v>
      </c>
      <c r="AT258" s="2">
        <f t="shared" si="342"/>
        <v>118392.85714285714</v>
      </c>
      <c r="AU258" s="2">
        <f t="shared" si="342"/>
        <v>177589.28571428571</v>
      </c>
      <c r="AV258" s="2">
        <f t="shared" si="342"/>
        <v>333078.57142857142</v>
      </c>
      <c r="BK258" s="2">
        <v>251</v>
      </c>
      <c r="BL258" s="2">
        <f t="shared" ref="BL258:BP267" si="343">IFERROR(MAX($BK258-$C$2,0)*INDEX($BH$8:$BH$16,MATCH(BL$7,$BI$8:$BI$16,0))*$C$4/$C$3,BM258)</f>
        <v>5051.4285714285716</v>
      </c>
      <c r="BM258" s="2">
        <f t="shared" si="343"/>
        <v>8840</v>
      </c>
      <c r="BN258" s="2">
        <f t="shared" si="343"/>
        <v>13891.428571428571</v>
      </c>
      <c r="BO258" s="2">
        <f t="shared" si="343"/>
        <v>23994.285714285714</v>
      </c>
      <c r="BP258" s="2">
        <f t="shared" si="343"/>
        <v>218474.28571428571</v>
      </c>
      <c r="BV258" s="2">
        <v>251</v>
      </c>
      <c r="BW258" s="2">
        <f t="shared" si="263"/>
        <v>101423.21428571428</v>
      </c>
      <c r="BX258" s="2">
        <f t="shared" si="264"/>
        <v>211055</v>
      </c>
      <c r="BY258" s="2">
        <f t="shared" si="265"/>
        <v>254150</v>
      </c>
      <c r="BZ258" s="2">
        <f t="shared" si="266"/>
        <v>323449.28571428574</v>
      </c>
      <c r="CA258" s="2">
        <f t="shared" si="267"/>
        <v>673418.57142857136</v>
      </c>
      <c r="CC258" s="41">
        <f t="shared" si="271"/>
        <v>0.6163424124513619</v>
      </c>
      <c r="CD258" s="41">
        <f t="shared" si="272"/>
        <v>0.33385214007782105</v>
      </c>
      <c r="CE258" s="41">
        <f t="shared" si="273"/>
        <v>4.9805447470817124E-2</v>
      </c>
    </row>
    <row r="259" spans="22:83" x14ac:dyDescent="0.2">
      <c r="V259" s="2">
        <v>252</v>
      </c>
      <c r="W259" s="2">
        <f t="shared" si="311"/>
        <v>62794.285714285717</v>
      </c>
      <c r="X259" s="2">
        <f t="shared" si="311"/>
        <v>122417.14285714286</v>
      </c>
      <c r="Y259" s="2">
        <f t="shared" si="269"/>
        <v>122417.14285714286</v>
      </c>
      <c r="Z259" s="2">
        <f t="shared" ref="Z259:AA259" si="344">Y259</f>
        <v>122417.14285714286</v>
      </c>
      <c r="AA259" s="2">
        <f t="shared" si="344"/>
        <v>122417.14285714286</v>
      </c>
      <c r="AQ259" s="2">
        <v>252</v>
      </c>
      <c r="AR259" s="2">
        <f t="shared" si="342"/>
        <v>34013.571428571428</v>
      </c>
      <c r="AS259" s="2">
        <f t="shared" si="342"/>
        <v>80712.857142857145</v>
      </c>
      <c r="AT259" s="2">
        <f t="shared" si="342"/>
        <v>118928.57142857143</v>
      </c>
      <c r="AU259" s="2">
        <f t="shared" si="342"/>
        <v>178392.85714285713</v>
      </c>
      <c r="AV259" s="2">
        <f t="shared" si="342"/>
        <v>334585.71428571426</v>
      </c>
      <c r="BK259" s="2">
        <v>252</v>
      </c>
      <c r="BL259" s="2">
        <f t="shared" si="343"/>
        <v>5074.2857142857147</v>
      </c>
      <c r="BM259" s="2">
        <f t="shared" si="343"/>
        <v>8880</v>
      </c>
      <c r="BN259" s="2">
        <f t="shared" si="343"/>
        <v>13954.285714285714</v>
      </c>
      <c r="BO259" s="2">
        <f t="shared" si="343"/>
        <v>24102.857142857141</v>
      </c>
      <c r="BP259" s="2">
        <f t="shared" si="343"/>
        <v>219462.85714285713</v>
      </c>
      <c r="BV259" s="2">
        <v>252</v>
      </c>
      <c r="BW259" s="2">
        <f t="shared" si="263"/>
        <v>101882.14285714286</v>
      </c>
      <c r="BX259" s="2">
        <f t="shared" si="264"/>
        <v>212010</v>
      </c>
      <c r="BY259" s="2">
        <f t="shared" si="265"/>
        <v>255300</v>
      </c>
      <c r="BZ259" s="2">
        <f t="shared" si="266"/>
        <v>324912.85714285716</v>
      </c>
      <c r="CA259" s="2">
        <f t="shared" si="267"/>
        <v>676465.7142857142</v>
      </c>
      <c r="CC259" s="41">
        <f t="shared" si="271"/>
        <v>0.6163424124513619</v>
      </c>
      <c r="CD259" s="41">
        <f t="shared" si="272"/>
        <v>0.33385214007782099</v>
      </c>
      <c r="CE259" s="41">
        <f t="shared" si="273"/>
        <v>4.9805447470817124E-2</v>
      </c>
    </row>
    <row r="260" spans="22:83" x14ac:dyDescent="0.2">
      <c r="V260" s="2">
        <v>253</v>
      </c>
      <c r="W260" s="2">
        <f t="shared" si="311"/>
        <v>63077.142857142855</v>
      </c>
      <c r="X260" s="2">
        <f t="shared" si="311"/>
        <v>122968.57142857143</v>
      </c>
      <c r="Y260" s="2">
        <f t="shared" si="269"/>
        <v>122968.57142857143</v>
      </c>
      <c r="Z260" s="2">
        <f t="shared" ref="Z260:AA260" si="345">Y260</f>
        <v>122968.57142857143</v>
      </c>
      <c r="AA260" s="2">
        <f t="shared" si="345"/>
        <v>122968.57142857143</v>
      </c>
      <c r="AQ260" s="2">
        <v>253</v>
      </c>
      <c r="AR260" s="2">
        <f t="shared" si="342"/>
        <v>34166.785714285717</v>
      </c>
      <c r="AS260" s="2">
        <f t="shared" si="342"/>
        <v>81076.428571428565</v>
      </c>
      <c r="AT260" s="2">
        <f t="shared" si="342"/>
        <v>119464.28571428571</v>
      </c>
      <c r="AU260" s="2">
        <f t="shared" si="342"/>
        <v>179196.42857142858</v>
      </c>
      <c r="AV260" s="2">
        <f t="shared" si="342"/>
        <v>336092.85714285716</v>
      </c>
      <c r="BK260" s="2">
        <v>253</v>
      </c>
      <c r="BL260" s="2">
        <f t="shared" si="343"/>
        <v>5097.1428571428569</v>
      </c>
      <c r="BM260" s="2">
        <f t="shared" si="343"/>
        <v>8920</v>
      </c>
      <c r="BN260" s="2">
        <f t="shared" si="343"/>
        <v>14017.142857142857</v>
      </c>
      <c r="BO260" s="2">
        <f t="shared" si="343"/>
        <v>24211.428571428572</v>
      </c>
      <c r="BP260" s="2">
        <f t="shared" si="343"/>
        <v>220451.42857142858</v>
      </c>
      <c r="BV260" s="2">
        <v>253</v>
      </c>
      <c r="BW260" s="2">
        <f t="shared" si="263"/>
        <v>102341.07142857143</v>
      </c>
      <c r="BX260" s="2">
        <f t="shared" si="264"/>
        <v>212965</v>
      </c>
      <c r="BY260" s="2">
        <f t="shared" si="265"/>
        <v>256450.00000000003</v>
      </c>
      <c r="BZ260" s="2">
        <f t="shared" si="266"/>
        <v>326376.42857142858</v>
      </c>
      <c r="CA260" s="2">
        <f t="shared" si="267"/>
        <v>679512.85714285716</v>
      </c>
      <c r="CC260" s="41">
        <f t="shared" si="271"/>
        <v>0.61634241245136179</v>
      </c>
      <c r="CD260" s="41">
        <f t="shared" si="272"/>
        <v>0.33385214007782105</v>
      </c>
      <c r="CE260" s="41">
        <f t="shared" si="273"/>
        <v>4.9805447470817117E-2</v>
      </c>
    </row>
    <row r="261" spans="22:83" x14ac:dyDescent="0.2">
      <c r="V261" s="2">
        <v>254</v>
      </c>
      <c r="W261" s="2">
        <f t="shared" si="311"/>
        <v>63360</v>
      </c>
      <c r="X261" s="2">
        <f t="shared" si="311"/>
        <v>123520</v>
      </c>
      <c r="Y261" s="2">
        <f t="shared" si="269"/>
        <v>123520</v>
      </c>
      <c r="Z261" s="2">
        <f t="shared" ref="Z261:AA261" si="346">Y261</f>
        <v>123520</v>
      </c>
      <c r="AA261" s="2">
        <f t="shared" si="346"/>
        <v>123520</v>
      </c>
      <c r="AQ261" s="2">
        <v>254</v>
      </c>
      <c r="AR261" s="2">
        <f t="shared" si="342"/>
        <v>34320</v>
      </c>
      <c r="AS261" s="2">
        <f t="shared" si="342"/>
        <v>81440</v>
      </c>
      <c r="AT261" s="2">
        <f t="shared" si="342"/>
        <v>120000</v>
      </c>
      <c r="AU261" s="2">
        <f t="shared" si="342"/>
        <v>180000</v>
      </c>
      <c r="AV261" s="2">
        <f t="shared" si="342"/>
        <v>337600</v>
      </c>
      <c r="BK261" s="2">
        <v>254</v>
      </c>
      <c r="BL261" s="2">
        <f t="shared" si="343"/>
        <v>5120</v>
      </c>
      <c r="BM261" s="2">
        <f t="shared" si="343"/>
        <v>8960</v>
      </c>
      <c r="BN261" s="2">
        <f t="shared" si="343"/>
        <v>14080</v>
      </c>
      <c r="BO261" s="2">
        <f t="shared" si="343"/>
        <v>24320</v>
      </c>
      <c r="BP261" s="2">
        <f t="shared" si="343"/>
        <v>221440</v>
      </c>
      <c r="BV261" s="2">
        <v>254</v>
      </c>
      <c r="BW261" s="2">
        <f t="shared" si="263"/>
        <v>102800</v>
      </c>
      <c r="BX261" s="2">
        <f t="shared" si="264"/>
        <v>213920</v>
      </c>
      <c r="BY261" s="2">
        <f t="shared" si="265"/>
        <v>257600</v>
      </c>
      <c r="BZ261" s="2">
        <f t="shared" si="266"/>
        <v>327840</v>
      </c>
      <c r="CA261" s="2">
        <f t="shared" si="267"/>
        <v>682560</v>
      </c>
      <c r="CC261" s="41">
        <f t="shared" si="271"/>
        <v>0.6163424124513619</v>
      </c>
      <c r="CD261" s="41">
        <f t="shared" si="272"/>
        <v>0.33385214007782099</v>
      </c>
      <c r="CE261" s="41">
        <f t="shared" si="273"/>
        <v>4.9805447470817124E-2</v>
      </c>
    </row>
    <row r="262" spans="22:83" x14ac:dyDescent="0.2">
      <c r="V262" s="2">
        <v>255</v>
      </c>
      <c r="W262" s="2">
        <f t="shared" si="311"/>
        <v>63642.857142857145</v>
      </c>
      <c r="X262" s="2">
        <f t="shared" si="311"/>
        <v>124071.42857142857</v>
      </c>
      <c r="Y262" s="2">
        <f t="shared" si="269"/>
        <v>124071.42857142857</v>
      </c>
      <c r="Z262" s="2">
        <f t="shared" ref="Z262:AA262" si="347">Y262</f>
        <v>124071.42857142857</v>
      </c>
      <c r="AA262" s="2">
        <f t="shared" si="347"/>
        <v>124071.42857142857</v>
      </c>
      <c r="AQ262" s="2">
        <v>255</v>
      </c>
      <c r="AR262" s="2">
        <f t="shared" si="342"/>
        <v>34473.214285714283</v>
      </c>
      <c r="AS262" s="2">
        <f t="shared" si="342"/>
        <v>81803.571428571435</v>
      </c>
      <c r="AT262" s="2">
        <f t="shared" si="342"/>
        <v>120535.71428571429</v>
      </c>
      <c r="AU262" s="2">
        <f t="shared" si="342"/>
        <v>180803.57142857142</v>
      </c>
      <c r="AV262" s="2">
        <f t="shared" si="342"/>
        <v>339107.14285714284</v>
      </c>
      <c r="BK262" s="2">
        <v>255</v>
      </c>
      <c r="BL262" s="2">
        <f t="shared" si="343"/>
        <v>5142.8571428571431</v>
      </c>
      <c r="BM262" s="2">
        <f t="shared" si="343"/>
        <v>9000</v>
      </c>
      <c r="BN262" s="2">
        <f t="shared" si="343"/>
        <v>14142.857142857143</v>
      </c>
      <c r="BO262" s="2">
        <f t="shared" si="343"/>
        <v>24428.571428571428</v>
      </c>
      <c r="BP262" s="2">
        <f t="shared" si="343"/>
        <v>222428.57142857142</v>
      </c>
      <c r="BV262" s="2">
        <v>255</v>
      </c>
      <c r="BW262" s="2">
        <f t="shared" si="263"/>
        <v>103258.92857142857</v>
      </c>
      <c r="BX262" s="2">
        <f t="shared" si="264"/>
        <v>214875</v>
      </c>
      <c r="BY262" s="2">
        <f t="shared" si="265"/>
        <v>258749.99999999997</v>
      </c>
      <c r="BZ262" s="2">
        <f t="shared" si="266"/>
        <v>329303.57142857142</v>
      </c>
      <c r="CA262" s="2">
        <f t="shared" si="267"/>
        <v>685607.14285714284</v>
      </c>
      <c r="CC262" s="41">
        <f t="shared" si="271"/>
        <v>0.6163424124513619</v>
      </c>
      <c r="CD262" s="41">
        <f t="shared" si="272"/>
        <v>0.33385214007782099</v>
      </c>
      <c r="CE262" s="41">
        <f t="shared" si="273"/>
        <v>4.9805447470817124E-2</v>
      </c>
    </row>
    <row r="263" spans="22:83" x14ac:dyDescent="0.2">
      <c r="V263" s="2">
        <v>256</v>
      </c>
      <c r="W263" s="2">
        <f t="shared" si="311"/>
        <v>63925.714285714283</v>
      </c>
      <c r="X263" s="2">
        <f t="shared" si="311"/>
        <v>124622.85714285714</v>
      </c>
      <c r="Y263" s="2">
        <f t="shared" si="269"/>
        <v>124622.85714285714</v>
      </c>
      <c r="Z263" s="2">
        <f t="shared" ref="Z263:AA263" si="348">Y263</f>
        <v>124622.85714285714</v>
      </c>
      <c r="AA263" s="2">
        <f t="shared" si="348"/>
        <v>124622.85714285714</v>
      </c>
      <c r="AQ263" s="2">
        <v>256</v>
      </c>
      <c r="AR263" s="2">
        <f t="shared" si="342"/>
        <v>34626.428571428572</v>
      </c>
      <c r="AS263" s="2">
        <f t="shared" si="342"/>
        <v>82167.142857142855</v>
      </c>
      <c r="AT263" s="2">
        <f t="shared" si="342"/>
        <v>121071.42857142857</v>
      </c>
      <c r="AU263" s="2">
        <f t="shared" si="342"/>
        <v>181607.14285714287</v>
      </c>
      <c r="AV263" s="2">
        <f t="shared" si="342"/>
        <v>340614.28571428574</v>
      </c>
      <c r="BK263" s="2">
        <v>256</v>
      </c>
      <c r="BL263" s="2">
        <f t="shared" si="343"/>
        <v>5165.7142857142853</v>
      </c>
      <c r="BM263" s="2">
        <f t="shared" si="343"/>
        <v>9040</v>
      </c>
      <c r="BN263" s="2">
        <f t="shared" si="343"/>
        <v>14205.714285714286</v>
      </c>
      <c r="BO263" s="2">
        <f t="shared" si="343"/>
        <v>24537.142857142859</v>
      </c>
      <c r="BP263" s="2">
        <f t="shared" si="343"/>
        <v>223417.14285714287</v>
      </c>
      <c r="BV263" s="2">
        <v>256</v>
      </c>
      <c r="BW263" s="2">
        <f t="shared" si="263"/>
        <v>103717.85714285714</v>
      </c>
      <c r="BX263" s="2">
        <f t="shared" si="264"/>
        <v>215830</v>
      </c>
      <c r="BY263" s="2">
        <f t="shared" si="265"/>
        <v>259900</v>
      </c>
      <c r="BZ263" s="2">
        <f t="shared" si="266"/>
        <v>330767.14285714284</v>
      </c>
      <c r="CA263" s="2">
        <f t="shared" si="267"/>
        <v>688654.2857142858</v>
      </c>
      <c r="CC263" s="41">
        <f t="shared" si="271"/>
        <v>0.61634241245136179</v>
      </c>
      <c r="CD263" s="41">
        <f t="shared" si="272"/>
        <v>0.33385214007782099</v>
      </c>
      <c r="CE263" s="41">
        <f t="shared" si="273"/>
        <v>4.9805447470817117E-2</v>
      </c>
    </row>
    <row r="264" spans="22:83" x14ac:dyDescent="0.2">
      <c r="V264" s="2">
        <v>257</v>
      </c>
      <c r="W264" s="2">
        <f t="shared" si="311"/>
        <v>64208.571428571428</v>
      </c>
      <c r="X264" s="2">
        <f t="shared" si="311"/>
        <v>125174.28571428571</v>
      </c>
      <c r="Y264" s="2">
        <f t="shared" si="269"/>
        <v>125174.28571428571</v>
      </c>
      <c r="Z264" s="2">
        <f t="shared" ref="Z264:AA264" si="349">Y264</f>
        <v>125174.28571428571</v>
      </c>
      <c r="AA264" s="2">
        <f t="shared" si="349"/>
        <v>125174.28571428571</v>
      </c>
      <c r="AQ264" s="2">
        <v>257</v>
      </c>
      <c r="AR264" s="2">
        <f t="shared" si="342"/>
        <v>34779.642857142855</v>
      </c>
      <c r="AS264" s="2">
        <f t="shared" si="342"/>
        <v>82530.71428571429</v>
      </c>
      <c r="AT264" s="2">
        <f t="shared" si="342"/>
        <v>121607.14285714286</v>
      </c>
      <c r="AU264" s="2">
        <f t="shared" si="342"/>
        <v>182410.71428571429</v>
      </c>
      <c r="AV264" s="2">
        <f t="shared" si="342"/>
        <v>342121.42857142858</v>
      </c>
      <c r="BK264" s="2">
        <v>257</v>
      </c>
      <c r="BL264" s="2">
        <f t="shared" si="343"/>
        <v>5188.5714285714284</v>
      </c>
      <c r="BM264" s="2">
        <f t="shared" si="343"/>
        <v>9080</v>
      </c>
      <c r="BN264" s="2">
        <f t="shared" si="343"/>
        <v>14268.571428571429</v>
      </c>
      <c r="BO264" s="2">
        <f t="shared" si="343"/>
        <v>24645.714285714286</v>
      </c>
      <c r="BP264" s="2">
        <f t="shared" si="343"/>
        <v>224405.71428571429</v>
      </c>
      <c r="BV264" s="2">
        <v>257</v>
      </c>
      <c r="BW264" s="2">
        <f t="shared" ref="BW264:BW327" si="350">W264+AR264+BL264</f>
        <v>104176.78571428572</v>
      </c>
      <c r="BX264" s="2">
        <f t="shared" ref="BX264:BX327" si="351">X264+AS264+BM264</f>
        <v>216785</v>
      </c>
      <c r="BY264" s="2">
        <f t="shared" ref="BY264:BY327" si="352">Y264+AT264+BN264</f>
        <v>261050</v>
      </c>
      <c r="BZ264" s="2">
        <f t="shared" ref="BZ264:BZ327" si="353">Z264+AU264+BO264</f>
        <v>332230.71428571426</v>
      </c>
      <c r="CA264" s="2">
        <f t="shared" ref="CA264:CA327" si="354">AA264+AV264+BP264</f>
        <v>691701.42857142864</v>
      </c>
      <c r="CC264" s="41">
        <f t="shared" si="271"/>
        <v>0.61634241245136179</v>
      </c>
      <c r="CD264" s="41">
        <f t="shared" si="272"/>
        <v>0.33385214007782094</v>
      </c>
      <c r="CE264" s="41">
        <f t="shared" si="273"/>
        <v>4.9805447470817117E-2</v>
      </c>
    </row>
    <row r="265" spans="22:83" x14ac:dyDescent="0.2">
      <c r="V265" s="2">
        <v>258</v>
      </c>
      <c r="W265" s="2">
        <f t="shared" ref="W265:X296" si="355">MAX($V265-$C$2,0)*INDEX($S$8:$S$10,MATCH(W$7,$T$8:$T$10,0))*$C$4/$C$3</f>
        <v>64491.428571428572</v>
      </c>
      <c r="X265" s="2">
        <f t="shared" si="355"/>
        <v>125725.71428571429</v>
      </c>
      <c r="Y265" s="2">
        <f t="shared" ref="Y265:Y328" si="356">X265</f>
        <v>125725.71428571429</v>
      </c>
      <c r="Z265" s="2">
        <f t="shared" ref="Z265:AA265" si="357">Y265</f>
        <v>125725.71428571429</v>
      </c>
      <c r="AA265" s="2">
        <f t="shared" si="357"/>
        <v>125725.71428571429</v>
      </c>
      <c r="AQ265" s="2">
        <v>258</v>
      </c>
      <c r="AR265" s="2">
        <f t="shared" si="342"/>
        <v>34932.857142857145</v>
      </c>
      <c r="AS265" s="2">
        <f t="shared" si="342"/>
        <v>82894.28571428571</v>
      </c>
      <c r="AT265" s="2">
        <f t="shared" si="342"/>
        <v>122142.85714285714</v>
      </c>
      <c r="AU265" s="2">
        <f t="shared" si="342"/>
        <v>183214.28571428571</v>
      </c>
      <c r="AV265" s="2">
        <f t="shared" si="342"/>
        <v>343628.57142857142</v>
      </c>
      <c r="BK265" s="2">
        <v>258</v>
      </c>
      <c r="BL265" s="2">
        <f t="shared" si="343"/>
        <v>5211.4285714285716</v>
      </c>
      <c r="BM265" s="2">
        <f t="shared" si="343"/>
        <v>9120</v>
      </c>
      <c r="BN265" s="2">
        <f t="shared" si="343"/>
        <v>14331.428571428571</v>
      </c>
      <c r="BO265" s="2">
        <f t="shared" si="343"/>
        <v>24754.285714285714</v>
      </c>
      <c r="BP265" s="2">
        <f t="shared" si="343"/>
        <v>225394.28571428571</v>
      </c>
      <c r="BV265" s="2">
        <v>258</v>
      </c>
      <c r="BW265" s="2">
        <f t="shared" si="350"/>
        <v>104635.71428571428</v>
      </c>
      <c r="BX265" s="2">
        <f t="shared" si="351"/>
        <v>217740</v>
      </c>
      <c r="BY265" s="2">
        <f t="shared" si="352"/>
        <v>262200</v>
      </c>
      <c r="BZ265" s="2">
        <f t="shared" si="353"/>
        <v>333694.28571428574</v>
      </c>
      <c r="CA265" s="2">
        <f t="shared" si="354"/>
        <v>694748.57142857136</v>
      </c>
      <c r="CC265" s="41">
        <f t="shared" ref="CC265:CC328" si="358">W265/BW265</f>
        <v>0.6163424124513619</v>
      </c>
      <c r="CD265" s="41">
        <f t="shared" ref="CD265:CD328" si="359">AR265/BW265</f>
        <v>0.33385214007782105</v>
      </c>
      <c r="CE265" s="41">
        <f t="shared" ref="CE265:CE328" si="360">BL265/BW265</f>
        <v>4.9805447470817124E-2</v>
      </c>
    </row>
    <row r="266" spans="22:83" x14ac:dyDescent="0.2">
      <c r="V266" s="2">
        <v>259</v>
      </c>
      <c r="W266" s="2">
        <f t="shared" si="355"/>
        <v>64774.285714285717</v>
      </c>
      <c r="X266" s="2">
        <f t="shared" si="355"/>
        <v>126277.14285714286</v>
      </c>
      <c r="Y266" s="2">
        <f t="shared" si="356"/>
        <v>126277.14285714286</v>
      </c>
      <c r="Z266" s="2">
        <f t="shared" ref="Z266:AA266" si="361">Y266</f>
        <v>126277.14285714286</v>
      </c>
      <c r="AA266" s="2">
        <f t="shared" si="361"/>
        <v>126277.14285714286</v>
      </c>
      <c r="AQ266" s="2">
        <v>259</v>
      </c>
      <c r="AR266" s="2">
        <f t="shared" si="342"/>
        <v>35086.071428571428</v>
      </c>
      <c r="AS266" s="2">
        <f t="shared" si="342"/>
        <v>83257.857142857145</v>
      </c>
      <c r="AT266" s="2">
        <f t="shared" si="342"/>
        <v>122678.57142857143</v>
      </c>
      <c r="AU266" s="2">
        <f t="shared" si="342"/>
        <v>184017.85714285713</v>
      </c>
      <c r="AV266" s="2">
        <f t="shared" si="342"/>
        <v>345135.71428571426</v>
      </c>
      <c r="BK266" s="2">
        <v>259</v>
      </c>
      <c r="BL266" s="2">
        <f t="shared" si="343"/>
        <v>5234.2857142857147</v>
      </c>
      <c r="BM266" s="2">
        <f t="shared" si="343"/>
        <v>9160</v>
      </c>
      <c r="BN266" s="2">
        <f t="shared" si="343"/>
        <v>14394.285714285714</v>
      </c>
      <c r="BO266" s="2">
        <f t="shared" si="343"/>
        <v>24862.857142857141</v>
      </c>
      <c r="BP266" s="2">
        <f t="shared" si="343"/>
        <v>226382.85714285713</v>
      </c>
      <c r="BV266" s="2">
        <v>259</v>
      </c>
      <c r="BW266" s="2">
        <f t="shared" si="350"/>
        <v>105094.64285714286</v>
      </c>
      <c r="BX266" s="2">
        <f t="shared" si="351"/>
        <v>218695</v>
      </c>
      <c r="BY266" s="2">
        <f t="shared" si="352"/>
        <v>263350</v>
      </c>
      <c r="BZ266" s="2">
        <f t="shared" si="353"/>
        <v>335157.85714285716</v>
      </c>
      <c r="CA266" s="2">
        <f t="shared" si="354"/>
        <v>697795.7142857142</v>
      </c>
      <c r="CC266" s="41">
        <f t="shared" si="358"/>
        <v>0.6163424124513619</v>
      </c>
      <c r="CD266" s="41">
        <f t="shared" si="359"/>
        <v>0.33385214007782099</v>
      </c>
      <c r="CE266" s="41">
        <f t="shared" si="360"/>
        <v>4.9805447470817124E-2</v>
      </c>
    </row>
    <row r="267" spans="22:83" x14ac:dyDescent="0.2">
      <c r="V267" s="2">
        <v>260</v>
      </c>
      <c r="W267" s="2">
        <f t="shared" si="355"/>
        <v>65057.142857142855</v>
      </c>
      <c r="X267" s="2">
        <f t="shared" si="355"/>
        <v>126828.57142857143</v>
      </c>
      <c r="Y267" s="2">
        <f t="shared" si="356"/>
        <v>126828.57142857143</v>
      </c>
      <c r="Z267" s="2">
        <f t="shared" ref="Z267:AA267" si="362">Y267</f>
        <v>126828.57142857143</v>
      </c>
      <c r="AA267" s="2">
        <f t="shared" si="362"/>
        <v>126828.57142857143</v>
      </c>
      <c r="AQ267" s="2">
        <v>260</v>
      </c>
      <c r="AR267" s="2">
        <f t="shared" si="342"/>
        <v>35239.285714285717</v>
      </c>
      <c r="AS267" s="2">
        <f t="shared" si="342"/>
        <v>83621.428571428565</v>
      </c>
      <c r="AT267" s="2">
        <f t="shared" si="342"/>
        <v>123214.28571428571</v>
      </c>
      <c r="AU267" s="2">
        <f t="shared" si="342"/>
        <v>184821.42857142858</v>
      </c>
      <c r="AV267" s="2">
        <f t="shared" si="342"/>
        <v>346642.85714285716</v>
      </c>
      <c r="BK267" s="2">
        <v>260</v>
      </c>
      <c r="BL267" s="2">
        <f t="shared" si="343"/>
        <v>5257.1428571428569</v>
      </c>
      <c r="BM267" s="2">
        <f t="shared" si="343"/>
        <v>9200</v>
      </c>
      <c r="BN267" s="2">
        <f t="shared" si="343"/>
        <v>14457.142857142857</v>
      </c>
      <c r="BO267" s="2">
        <f t="shared" si="343"/>
        <v>24971.428571428572</v>
      </c>
      <c r="BP267" s="2">
        <f t="shared" si="343"/>
        <v>227371.42857142858</v>
      </c>
      <c r="BV267" s="2">
        <v>260</v>
      </c>
      <c r="BW267" s="2">
        <f t="shared" si="350"/>
        <v>105553.57142857143</v>
      </c>
      <c r="BX267" s="2">
        <f t="shared" si="351"/>
        <v>219650</v>
      </c>
      <c r="BY267" s="2">
        <f t="shared" si="352"/>
        <v>264500</v>
      </c>
      <c r="BZ267" s="2">
        <f t="shared" si="353"/>
        <v>336621.42857142858</v>
      </c>
      <c r="CA267" s="2">
        <f t="shared" si="354"/>
        <v>700842.85714285716</v>
      </c>
      <c r="CC267" s="41">
        <f t="shared" si="358"/>
        <v>0.61634241245136179</v>
      </c>
      <c r="CD267" s="41">
        <f t="shared" si="359"/>
        <v>0.33385214007782105</v>
      </c>
      <c r="CE267" s="41">
        <f t="shared" si="360"/>
        <v>4.9805447470817117E-2</v>
      </c>
    </row>
    <row r="268" spans="22:83" x14ac:dyDescent="0.2">
      <c r="V268" s="2">
        <v>261</v>
      </c>
      <c r="W268" s="2">
        <f t="shared" si="355"/>
        <v>65340</v>
      </c>
      <c r="X268" s="2">
        <f t="shared" si="355"/>
        <v>127380</v>
      </c>
      <c r="Y268" s="2">
        <f t="shared" si="356"/>
        <v>127380</v>
      </c>
      <c r="Z268" s="2">
        <f t="shared" ref="Z268:AA268" si="363">Y268</f>
        <v>127380</v>
      </c>
      <c r="AA268" s="2">
        <f t="shared" si="363"/>
        <v>127380</v>
      </c>
      <c r="AQ268" s="2">
        <v>261</v>
      </c>
      <c r="AR268" s="2">
        <f t="shared" ref="AR268:AV277" si="364">MAX($AQ268-$C$2,0)*INDEX($AN$8:$AN$44,MATCH(AR$7,$AO$8:$AO$44,0))/$C$3</f>
        <v>35392.5</v>
      </c>
      <c r="AS268" s="2">
        <f t="shared" si="364"/>
        <v>83985</v>
      </c>
      <c r="AT268" s="2">
        <f t="shared" si="364"/>
        <v>123750</v>
      </c>
      <c r="AU268" s="2">
        <f t="shared" si="364"/>
        <v>185625</v>
      </c>
      <c r="AV268" s="2">
        <f t="shared" si="364"/>
        <v>348150</v>
      </c>
      <c r="BK268" s="2">
        <v>261</v>
      </c>
      <c r="BL268" s="2">
        <f t="shared" ref="BL268:BP277" si="365">IFERROR(MAX($BK268-$C$2,0)*INDEX($BH$8:$BH$16,MATCH(BL$7,$BI$8:$BI$16,0))*$C$4/$C$3,BM268)</f>
        <v>5280</v>
      </c>
      <c r="BM268" s="2">
        <f t="shared" si="365"/>
        <v>9240</v>
      </c>
      <c r="BN268" s="2">
        <f t="shared" si="365"/>
        <v>14520</v>
      </c>
      <c r="BO268" s="2">
        <f t="shared" si="365"/>
        <v>25080</v>
      </c>
      <c r="BP268" s="2">
        <f t="shared" si="365"/>
        <v>228360</v>
      </c>
      <c r="BV268" s="2">
        <v>261</v>
      </c>
      <c r="BW268" s="2">
        <f t="shared" si="350"/>
        <v>106012.5</v>
      </c>
      <c r="BX268" s="2">
        <f t="shared" si="351"/>
        <v>220605</v>
      </c>
      <c r="BY268" s="2">
        <f t="shared" si="352"/>
        <v>265650</v>
      </c>
      <c r="BZ268" s="2">
        <f t="shared" si="353"/>
        <v>338085</v>
      </c>
      <c r="CA268" s="2">
        <f t="shared" si="354"/>
        <v>703890</v>
      </c>
      <c r="CC268" s="41">
        <f t="shared" si="358"/>
        <v>0.6163424124513619</v>
      </c>
      <c r="CD268" s="41">
        <f t="shared" si="359"/>
        <v>0.33385214007782099</v>
      </c>
      <c r="CE268" s="41">
        <f t="shared" si="360"/>
        <v>4.9805447470817124E-2</v>
      </c>
    </row>
    <row r="269" spans="22:83" x14ac:dyDescent="0.2">
      <c r="V269" s="2">
        <v>262</v>
      </c>
      <c r="W269" s="2">
        <f t="shared" si="355"/>
        <v>65622.857142857145</v>
      </c>
      <c r="X269" s="2">
        <f t="shared" si="355"/>
        <v>127931.42857142857</v>
      </c>
      <c r="Y269" s="2">
        <f t="shared" si="356"/>
        <v>127931.42857142857</v>
      </c>
      <c r="Z269" s="2">
        <f t="shared" ref="Z269:AA269" si="366">Y269</f>
        <v>127931.42857142857</v>
      </c>
      <c r="AA269" s="2">
        <f t="shared" si="366"/>
        <v>127931.42857142857</v>
      </c>
      <c r="AQ269" s="2">
        <v>262</v>
      </c>
      <c r="AR269" s="2">
        <f t="shared" si="364"/>
        <v>35545.714285714283</v>
      </c>
      <c r="AS269" s="2">
        <f t="shared" si="364"/>
        <v>84348.571428571435</v>
      </c>
      <c r="AT269" s="2">
        <f t="shared" si="364"/>
        <v>124285.71428571429</v>
      </c>
      <c r="AU269" s="2">
        <f t="shared" si="364"/>
        <v>186428.57142857142</v>
      </c>
      <c r="AV269" s="2">
        <f t="shared" si="364"/>
        <v>349657.14285714284</v>
      </c>
      <c r="BK269" s="2">
        <v>262</v>
      </c>
      <c r="BL269" s="2">
        <f t="shared" si="365"/>
        <v>5302.8571428571431</v>
      </c>
      <c r="BM269" s="2">
        <f t="shared" si="365"/>
        <v>9280</v>
      </c>
      <c r="BN269" s="2">
        <f t="shared" si="365"/>
        <v>14582.857142857143</v>
      </c>
      <c r="BO269" s="2">
        <f t="shared" si="365"/>
        <v>25188.571428571428</v>
      </c>
      <c r="BP269" s="2">
        <f t="shared" si="365"/>
        <v>229348.57142857142</v>
      </c>
      <c r="BV269" s="2">
        <v>262</v>
      </c>
      <c r="BW269" s="2">
        <f t="shared" si="350"/>
        <v>106471.42857142857</v>
      </c>
      <c r="BX269" s="2">
        <f t="shared" si="351"/>
        <v>221560</v>
      </c>
      <c r="BY269" s="2">
        <f t="shared" si="352"/>
        <v>266800</v>
      </c>
      <c r="BZ269" s="2">
        <f t="shared" si="353"/>
        <v>339548.57142857142</v>
      </c>
      <c r="CA269" s="2">
        <f t="shared" si="354"/>
        <v>706937.14285714284</v>
      </c>
      <c r="CC269" s="41">
        <f t="shared" si="358"/>
        <v>0.6163424124513619</v>
      </c>
      <c r="CD269" s="41">
        <f t="shared" si="359"/>
        <v>0.33385214007782099</v>
      </c>
      <c r="CE269" s="41">
        <f t="shared" si="360"/>
        <v>4.9805447470817124E-2</v>
      </c>
    </row>
    <row r="270" spans="22:83" x14ac:dyDescent="0.2">
      <c r="V270" s="2">
        <v>263</v>
      </c>
      <c r="W270" s="2">
        <f t="shared" si="355"/>
        <v>65905.71428571429</v>
      </c>
      <c r="X270" s="2">
        <f t="shared" si="355"/>
        <v>128482.85714285714</v>
      </c>
      <c r="Y270" s="2">
        <f t="shared" si="356"/>
        <v>128482.85714285714</v>
      </c>
      <c r="Z270" s="2">
        <f t="shared" ref="Z270:AA270" si="367">Y270</f>
        <v>128482.85714285714</v>
      </c>
      <c r="AA270" s="2">
        <f t="shared" si="367"/>
        <v>128482.85714285714</v>
      </c>
      <c r="AQ270" s="2">
        <v>263</v>
      </c>
      <c r="AR270" s="2">
        <f t="shared" si="364"/>
        <v>35698.928571428572</v>
      </c>
      <c r="AS270" s="2">
        <f t="shared" si="364"/>
        <v>84712.142857142855</v>
      </c>
      <c r="AT270" s="2">
        <f t="shared" si="364"/>
        <v>124821.42857142857</v>
      </c>
      <c r="AU270" s="2">
        <f t="shared" si="364"/>
        <v>187232.14285714287</v>
      </c>
      <c r="AV270" s="2">
        <f t="shared" si="364"/>
        <v>351164.28571428574</v>
      </c>
      <c r="BK270" s="2">
        <v>263</v>
      </c>
      <c r="BL270" s="2">
        <f t="shared" si="365"/>
        <v>5325.7142857142853</v>
      </c>
      <c r="BM270" s="2">
        <f t="shared" si="365"/>
        <v>9320</v>
      </c>
      <c r="BN270" s="2">
        <f t="shared" si="365"/>
        <v>14645.714285714286</v>
      </c>
      <c r="BO270" s="2">
        <f t="shared" si="365"/>
        <v>25297.142857142859</v>
      </c>
      <c r="BP270" s="2">
        <f t="shared" si="365"/>
        <v>230337.14285714287</v>
      </c>
      <c r="BV270" s="2">
        <v>263</v>
      </c>
      <c r="BW270" s="2">
        <f t="shared" si="350"/>
        <v>106930.35714285716</v>
      </c>
      <c r="BX270" s="2">
        <f t="shared" si="351"/>
        <v>222515</v>
      </c>
      <c r="BY270" s="2">
        <f t="shared" si="352"/>
        <v>267950</v>
      </c>
      <c r="BZ270" s="2">
        <f t="shared" si="353"/>
        <v>341012.14285714284</v>
      </c>
      <c r="CA270" s="2">
        <f t="shared" si="354"/>
        <v>709984.2857142858</v>
      </c>
      <c r="CC270" s="41">
        <f t="shared" si="358"/>
        <v>0.61634241245136179</v>
      </c>
      <c r="CD270" s="41">
        <f t="shared" si="359"/>
        <v>0.33385214007782099</v>
      </c>
      <c r="CE270" s="41">
        <f t="shared" si="360"/>
        <v>4.980544747081711E-2</v>
      </c>
    </row>
    <row r="271" spans="22:83" x14ac:dyDescent="0.2">
      <c r="V271" s="2">
        <v>264</v>
      </c>
      <c r="W271" s="2">
        <f t="shared" si="355"/>
        <v>66188.571428571435</v>
      </c>
      <c r="X271" s="2">
        <f t="shared" si="355"/>
        <v>129034.28571428571</v>
      </c>
      <c r="Y271" s="2">
        <f t="shared" si="356"/>
        <v>129034.28571428571</v>
      </c>
      <c r="Z271" s="2">
        <f t="shared" ref="Z271:AA271" si="368">Y271</f>
        <v>129034.28571428571</v>
      </c>
      <c r="AA271" s="2">
        <f t="shared" si="368"/>
        <v>129034.28571428571</v>
      </c>
      <c r="AQ271" s="2">
        <v>264</v>
      </c>
      <c r="AR271" s="2">
        <f t="shared" si="364"/>
        <v>35852.142857142855</v>
      </c>
      <c r="AS271" s="2">
        <f t="shared" si="364"/>
        <v>85075.71428571429</v>
      </c>
      <c r="AT271" s="2">
        <f t="shared" si="364"/>
        <v>125357.14285714286</v>
      </c>
      <c r="AU271" s="2">
        <f t="shared" si="364"/>
        <v>188035.71428571429</v>
      </c>
      <c r="AV271" s="2">
        <f t="shared" si="364"/>
        <v>352671.42857142858</v>
      </c>
      <c r="BK271" s="2">
        <v>264</v>
      </c>
      <c r="BL271" s="2">
        <f t="shared" si="365"/>
        <v>5348.5714285714284</v>
      </c>
      <c r="BM271" s="2">
        <f t="shared" si="365"/>
        <v>9360</v>
      </c>
      <c r="BN271" s="2">
        <f t="shared" si="365"/>
        <v>14708.571428571429</v>
      </c>
      <c r="BO271" s="2">
        <f t="shared" si="365"/>
        <v>25405.714285714286</v>
      </c>
      <c r="BP271" s="2">
        <f t="shared" si="365"/>
        <v>231325.71428571429</v>
      </c>
      <c r="BV271" s="2">
        <v>264</v>
      </c>
      <c r="BW271" s="2">
        <f t="shared" si="350"/>
        <v>107389.28571428572</v>
      </c>
      <c r="BX271" s="2">
        <f t="shared" si="351"/>
        <v>223470</v>
      </c>
      <c r="BY271" s="2">
        <f t="shared" si="352"/>
        <v>269100</v>
      </c>
      <c r="BZ271" s="2">
        <f t="shared" si="353"/>
        <v>342475.71428571426</v>
      </c>
      <c r="CA271" s="2">
        <f t="shared" si="354"/>
        <v>713031.42857142864</v>
      </c>
      <c r="CC271" s="41">
        <f t="shared" si="358"/>
        <v>0.6163424124513619</v>
      </c>
      <c r="CD271" s="41">
        <f t="shared" si="359"/>
        <v>0.33385214007782094</v>
      </c>
      <c r="CE271" s="41">
        <f t="shared" si="360"/>
        <v>4.9805447470817117E-2</v>
      </c>
    </row>
    <row r="272" spans="22:83" x14ac:dyDescent="0.2">
      <c r="V272" s="2">
        <v>265</v>
      </c>
      <c r="W272" s="2">
        <f t="shared" si="355"/>
        <v>66471.428571428565</v>
      </c>
      <c r="X272" s="2">
        <f t="shared" si="355"/>
        <v>129585.71428571429</v>
      </c>
      <c r="Y272" s="2">
        <f t="shared" si="356"/>
        <v>129585.71428571429</v>
      </c>
      <c r="Z272" s="2">
        <f t="shared" ref="Z272:AA272" si="369">Y272</f>
        <v>129585.71428571429</v>
      </c>
      <c r="AA272" s="2">
        <f t="shared" si="369"/>
        <v>129585.71428571429</v>
      </c>
      <c r="AQ272" s="2">
        <v>265</v>
      </c>
      <c r="AR272" s="2">
        <f t="shared" si="364"/>
        <v>36005.357142857145</v>
      </c>
      <c r="AS272" s="2">
        <f t="shared" si="364"/>
        <v>85439.28571428571</v>
      </c>
      <c r="AT272" s="2">
        <f t="shared" si="364"/>
        <v>125892.85714285714</v>
      </c>
      <c r="AU272" s="2">
        <f t="shared" si="364"/>
        <v>188839.28571428571</v>
      </c>
      <c r="AV272" s="2">
        <f t="shared" si="364"/>
        <v>354178.57142857142</v>
      </c>
      <c r="BK272" s="2">
        <v>265</v>
      </c>
      <c r="BL272" s="2">
        <f t="shared" si="365"/>
        <v>5371.4285714285716</v>
      </c>
      <c r="BM272" s="2">
        <f t="shared" si="365"/>
        <v>9400</v>
      </c>
      <c r="BN272" s="2">
        <f t="shared" si="365"/>
        <v>14771.428571428571</v>
      </c>
      <c r="BO272" s="2">
        <f t="shared" si="365"/>
        <v>25514.285714285714</v>
      </c>
      <c r="BP272" s="2">
        <f t="shared" si="365"/>
        <v>232314.28571428571</v>
      </c>
      <c r="BV272" s="2">
        <v>265</v>
      </c>
      <c r="BW272" s="2">
        <f t="shared" si="350"/>
        <v>107848.21428571428</v>
      </c>
      <c r="BX272" s="2">
        <f t="shared" si="351"/>
        <v>224425</v>
      </c>
      <c r="BY272" s="2">
        <f t="shared" si="352"/>
        <v>270250</v>
      </c>
      <c r="BZ272" s="2">
        <f t="shared" si="353"/>
        <v>343939.28571428574</v>
      </c>
      <c r="CA272" s="2">
        <f t="shared" si="354"/>
        <v>716078.57142857136</v>
      </c>
      <c r="CC272" s="41">
        <f t="shared" si="358"/>
        <v>0.6163424124513619</v>
      </c>
      <c r="CD272" s="41">
        <f t="shared" si="359"/>
        <v>0.33385214007782105</v>
      </c>
      <c r="CE272" s="41">
        <f t="shared" si="360"/>
        <v>4.9805447470817124E-2</v>
      </c>
    </row>
    <row r="273" spans="22:83" x14ac:dyDescent="0.2">
      <c r="V273" s="2">
        <v>266</v>
      </c>
      <c r="W273" s="2">
        <f t="shared" si="355"/>
        <v>66754.28571428571</v>
      </c>
      <c r="X273" s="2">
        <f t="shared" si="355"/>
        <v>130137.14285714286</v>
      </c>
      <c r="Y273" s="2">
        <f t="shared" si="356"/>
        <v>130137.14285714286</v>
      </c>
      <c r="Z273" s="2">
        <f t="shared" ref="Z273:AA273" si="370">Y273</f>
        <v>130137.14285714286</v>
      </c>
      <c r="AA273" s="2">
        <f t="shared" si="370"/>
        <v>130137.14285714286</v>
      </c>
      <c r="AQ273" s="2">
        <v>266</v>
      </c>
      <c r="AR273" s="2">
        <f t="shared" si="364"/>
        <v>36158.571428571428</v>
      </c>
      <c r="AS273" s="2">
        <f t="shared" si="364"/>
        <v>85802.857142857145</v>
      </c>
      <c r="AT273" s="2">
        <f t="shared" si="364"/>
        <v>126428.57142857143</v>
      </c>
      <c r="AU273" s="2">
        <f t="shared" si="364"/>
        <v>189642.85714285713</v>
      </c>
      <c r="AV273" s="2">
        <f t="shared" si="364"/>
        <v>355685.71428571426</v>
      </c>
      <c r="BK273" s="2">
        <v>266</v>
      </c>
      <c r="BL273" s="2">
        <f t="shared" si="365"/>
        <v>5394.2857142857147</v>
      </c>
      <c r="BM273" s="2">
        <f t="shared" si="365"/>
        <v>9440</v>
      </c>
      <c r="BN273" s="2">
        <f t="shared" si="365"/>
        <v>14834.285714285714</v>
      </c>
      <c r="BO273" s="2">
        <f t="shared" si="365"/>
        <v>25622.857142857141</v>
      </c>
      <c r="BP273" s="2">
        <f t="shared" si="365"/>
        <v>233302.85714285713</v>
      </c>
      <c r="BV273" s="2">
        <v>266</v>
      </c>
      <c r="BW273" s="2">
        <f t="shared" si="350"/>
        <v>108307.14285714284</v>
      </c>
      <c r="BX273" s="2">
        <f t="shared" si="351"/>
        <v>225380</v>
      </c>
      <c r="BY273" s="2">
        <f t="shared" si="352"/>
        <v>271400</v>
      </c>
      <c r="BZ273" s="2">
        <f t="shared" si="353"/>
        <v>345402.85714285716</v>
      </c>
      <c r="CA273" s="2">
        <f t="shared" si="354"/>
        <v>719125.7142857142</v>
      </c>
      <c r="CC273" s="41">
        <f t="shared" si="358"/>
        <v>0.6163424124513619</v>
      </c>
      <c r="CD273" s="41">
        <f t="shared" si="359"/>
        <v>0.33385214007782105</v>
      </c>
      <c r="CE273" s="41">
        <f t="shared" si="360"/>
        <v>4.9805447470817131E-2</v>
      </c>
    </row>
    <row r="274" spans="22:83" x14ac:dyDescent="0.2">
      <c r="V274" s="2">
        <v>267</v>
      </c>
      <c r="W274" s="2">
        <f t="shared" si="355"/>
        <v>67037.142857142855</v>
      </c>
      <c r="X274" s="2">
        <f t="shared" si="355"/>
        <v>130688.57142857143</v>
      </c>
      <c r="Y274" s="2">
        <f t="shared" si="356"/>
        <v>130688.57142857143</v>
      </c>
      <c r="Z274" s="2">
        <f t="shared" ref="Z274:AA274" si="371">Y274</f>
        <v>130688.57142857143</v>
      </c>
      <c r="AA274" s="2">
        <f t="shared" si="371"/>
        <v>130688.57142857143</v>
      </c>
      <c r="AQ274" s="2">
        <v>267</v>
      </c>
      <c r="AR274" s="2">
        <f t="shared" si="364"/>
        <v>36311.785714285717</v>
      </c>
      <c r="AS274" s="2">
        <f t="shared" si="364"/>
        <v>86166.428571428565</v>
      </c>
      <c r="AT274" s="2">
        <f t="shared" si="364"/>
        <v>126964.28571428571</v>
      </c>
      <c r="AU274" s="2">
        <f t="shared" si="364"/>
        <v>190446.42857142858</v>
      </c>
      <c r="AV274" s="2">
        <f t="shared" si="364"/>
        <v>357192.85714285716</v>
      </c>
      <c r="BK274" s="2">
        <v>267</v>
      </c>
      <c r="BL274" s="2">
        <f t="shared" si="365"/>
        <v>5417.1428571428569</v>
      </c>
      <c r="BM274" s="2">
        <f t="shared" si="365"/>
        <v>9480</v>
      </c>
      <c r="BN274" s="2">
        <f t="shared" si="365"/>
        <v>14897.142857142857</v>
      </c>
      <c r="BO274" s="2">
        <f t="shared" si="365"/>
        <v>25731.428571428572</v>
      </c>
      <c r="BP274" s="2">
        <f t="shared" si="365"/>
        <v>234291.42857142858</v>
      </c>
      <c r="BV274" s="2">
        <v>267</v>
      </c>
      <c r="BW274" s="2">
        <f t="shared" si="350"/>
        <v>108766.07142857143</v>
      </c>
      <c r="BX274" s="2">
        <f t="shared" si="351"/>
        <v>226335</v>
      </c>
      <c r="BY274" s="2">
        <f t="shared" si="352"/>
        <v>272550</v>
      </c>
      <c r="BZ274" s="2">
        <f t="shared" si="353"/>
        <v>346866.42857142858</v>
      </c>
      <c r="CA274" s="2">
        <f t="shared" si="354"/>
        <v>722172.85714285716</v>
      </c>
      <c r="CC274" s="41">
        <f t="shared" si="358"/>
        <v>0.61634241245136179</v>
      </c>
      <c r="CD274" s="41">
        <f t="shared" si="359"/>
        <v>0.33385214007782105</v>
      </c>
      <c r="CE274" s="41">
        <f t="shared" si="360"/>
        <v>4.9805447470817117E-2</v>
      </c>
    </row>
    <row r="275" spans="22:83" x14ac:dyDescent="0.2">
      <c r="V275" s="2">
        <v>268</v>
      </c>
      <c r="W275" s="2">
        <f t="shared" si="355"/>
        <v>67320</v>
      </c>
      <c r="X275" s="2">
        <f t="shared" si="355"/>
        <v>131240</v>
      </c>
      <c r="Y275" s="2">
        <f t="shared" si="356"/>
        <v>131240</v>
      </c>
      <c r="Z275" s="2">
        <f t="shared" ref="Z275:AA275" si="372">Y275</f>
        <v>131240</v>
      </c>
      <c r="AA275" s="2">
        <f t="shared" si="372"/>
        <v>131240</v>
      </c>
      <c r="AQ275" s="2">
        <v>268</v>
      </c>
      <c r="AR275" s="2">
        <f t="shared" si="364"/>
        <v>36465</v>
      </c>
      <c r="AS275" s="2">
        <f t="shared" si="364"/>
        <v>86530</v>
      </c>
      <c r="AT275" s="2">
        <f t="shared" si="364"/>
        <v>127500</v>
      </c>
      <c r="AU275" s="2">
        <f t="shared" si="364"/>
        <v>191250</v>
      </c>
      <c r="AV275" s="2">
        <f t="shared" si="364"/>
        <v>358700</v>
      </c>
      <c r="BK275" s="2">
        <v>268</v>
      </c>
      <c r="BL275" s="2">
        <f t="shared" si="365"/>
        <v>5440</v>
      </c>
      <c r="BM275" s="2">
        <f t="shared" si="365"/>
        <v>9520</v>
      </c>
      <c r="BN275" s="2">
        <f t="shared" si="365"/>
        <v>14960</v>
      </c>
      <c r="BO275" s="2">
        <f t="shared" si="365"/>
        <v>25840</v>
      </c>
      <c r="BP275" s="2">
        <f t="shared" si="365"/>
        <v>235280</v>
      </c>
      <c r="BV275" s="2">
        <v>268</v>
      </c>
      <c r="BW275" s="2">
        <f t="shared" si="350"/>
        <v>109225</v>
      </c>
      <c r="BX275" s="2">
        <f t="shared" si="351"/>
        <v>227290</v>
      </c>
      <c r="BY275" s="2">
        <f t="shared" si="352"/>
        <v>273700</v>
      </c>
      <c r="BZ275" s="2">
        <f t="shared" si="353"/>
        <v>348330</v>
      </c>
      <c r="CA275" s="2">
        <f t="shared" si="354"/>
        <v>725220</v>
      </c>
      <c r="CC275" s="41">
        <f t="shared" si="358"/>
        <v>0.6163424124513619</v>
      </c>
      <c r="CD275" s="41">
        <f t="shared" si="359"/>
        <v>0.33385214007782099</v>
      </c>
      <c r="CE275" s="41">
        <f t="shared" si="360"/>
        <v>4.9805447470817124E-2</v>
      </c>
    </row>
    <row r="276" spans="22:83" x14ac:dyDescent="0.2">
      <c r="V276" s="2">
        <v>269</v>
      </c>
      <c r="W276" s="2">
        <f t="shared" si="355"/>
        <v>67602.857142857145</v>
      </c>
      <c r="X276" s="2">
        <f t="shared" si="355"/>
        <v>131791.42857142858</v>
      </c>
      <c r="Y276" s="2">
        <f t="shared" si="356"/>
        <v>131791.42857142858</v>
      </c>
      <c r="Z276" s="2">
        <f t="shared" ref="Z276:AA276" si="373">Y276</f>
        <v>131791.42857142858</v>
      </c>
      <c r="AA276" s="2">
        <f t="shared" si="373"/>
        <v>131791.42857142858</v>
      </c>
      <c r="AQ276" s="2">
        <v>269</v>
      </c>
      <c r="AR276" s="2">
        <f t="shared" si="364"/>
        <v>36618.214285714283</v>
      </c>
      <c r="AS276" s="2">
        <f t="shared" si="364"/>
        <v>86893.571428571435</v>
      </c>
      <c r="AT276" s="2">
        <f t="shared" si="364"/>
        <v>128035.71428571429</v>
      </c>
      <c r="AU276" s="2">
        <f t="shared" si="364"/>
        <v>192053.57142857142</v>
      </c>
      <c r="AV276" s="2">
        <f t="shared" si="364"/>
        <v>360207.14285714284</v>
      </c>
      <c r="BK276" s="2">
        <v>269</v>
      </c>
      <c r="BL276" s="2">
        <f t="shared" si="365"/>
        <v>5462.8571428571431</v>
      </c>
      <c r="BM276" s="2">
        <f t="shared" si="365"/>
        <v>9560</v>
      </c>
      <c r="BN276" s="2">
        <f t="shared" si="365"/>
        <v>15022.857142857143</v>
      </c>
      <c r="BO276" s="2">
        <f t="shared" si="365"/>
        <v>25948.571428571428</v>
      </c>
      <c r="BP276" s="2">
        <f t="shared" si="365"/>
        <v>236268.57142857142</v>
      </c>
      <c r="BV276" s="2">
        <v>269</v>
      </c>
      <c r="BW276" s="2">
        <f t="shared" si="350"/>
        <v>109683.92857142857</v>
      </c>
      <c r="BX276" s="2">
        <f t="shared" si="351"/>
        <v>228245</v>
      </c>
      <c r="BY276" s="2">
        <f t="shared" si="352"/>
        <v>274850</v>
      </c>
      <c r="BZ276" s="2">
        <f t="shared" si="353"/>
        <v>349793.57142857142</v>
      </c>
      <c r="CA276" s="2">
        <f t="shared" si="354"/>
        <v>728267.14285714284</v>
      </c>
      <c r="CC276" s="41">
        <f t="shared" si="358"/>
        <v>0.6163424124513619</v>
      </c>
      <c r="CD276" s="41">
        <f t="shared" si="359"/>
        <v>0.33385214007782099</v>
      </c>
      <c r="CE276" s="41">
        <f t="shared" si="360"/>
        <v>4.9805447470817124E-2</v>
      </c>
    </row>
    <row r="277" spans="22:83" x14ac:dyDescent="0.2">
      <c r="V277" s="2">
        <v>270</v>
      </c>
      <c r="W277" s="2">
        <f t="shared" si="355"/>
        <v>67885.71428571429</v>
      </c>
      <c r="X277" s="2">
        <f t="shared" si="355"/>
        <v>132342.85714285713</v>
      </c>
      <c r="Y277" s="2">
        <f t="shared" si="356"/>
        <v>132342.85714285713</v>
      </c>
      <c r="Z277" s="2">
        <f t="shared" ref="Z277:AA277" si="374">Y277</f>
        <v>132342.85714285713</v>
      </c>
      <c r="AA277" s="2">
        <f t="shared" si="374"/>
        <v>132342.85714285713</v>
      </c>
      <c r="AQ277" s="2">
        <v>270</v>
      </c>
      <c r="AR277" s="2">
        <f t="shared" si="364"/>
        <v>36771.428571428572</v>
      </c>
      <c r="AS277" s="2">
        <f t="shared" si="364"/>
        <v>87257.142857142855</v>
      </c>
      <c r="AT277" s="2">
        <f t="shared" si="364"/>
        <v>128571.42857142857</v>
      </c>
      <c r="AU277" s="2">
        <f t="shared" si="364"/>
        <v>192857.14285714287</v>
      </c>
      <c r="AV277" s="2">
        <f t="shared" si="364"/>
        <v>361714.28571428574</v>
      </c>
      <c r="BK277" s="2">
        <v>270</v>
      </c>
      <c r="BL277" s="2">
        <f t="shared" si="365"/>
        <v>5485.7142857142853</v>
      </c>
      <c r="BM277" s="2">
        <f t="shared" si="365"/>
        <v>9600</v>
      </c>
      <c r="BN277" s="2">
        <f t="shared" si="365"/>
        <v>15085.714285714286</v>
      </c>
      <c r="BO277" s="2">
        <f t="shared" si="365"/>
        <v>26057.142857142859</v>
      </c>
      <c r="BP277" s="2">
        <f t="shared" si="365"/>
        <v>237257.14285714287</v>
      </c>
      <c r="BV277" s="2">
        <v>270</v>
      </c>
      <c r="BW277" s="2">
        <f t="shared" si="350"/>
        <v>110142.85714285716</v>
      </c>
      <c r="BX277" s="2">
        <f t="shared" si="351"/>
        <v>229200</v>
      </c>
      <c r="BY277" s="2">
        <f t="shared" si="352"/>
        <v>275999.99999999994</v>
      </c>
      <c r="BZ277" s="2">
        <f t="shared" si="353"/>
        <v>351257.14285714284</v>
      </c>
      <c r="CA277" s="2">
        <f t="shared" si="354"/>
        <v>731314.28571428568</v>
      </c>
      <c r="CC277" s="41">
        <f t="shared" si="358"/>
        <v>0.61634241245136179</v>
      </c>
      <c r="CD277" s="41">
        <f t="shared" si="359"/>
        <v>0.33385214007782099</v>
      </c>
      <c r="CE277" s="41">
        <f t="shared" si="360"/>
        <v>4.980544747081711E-2</v>
      </c>
    </row>
    <row r="278" spans="22:83" x14ac:dyDescent="0.2">
      <c r="V278" s="2">
        <v>271</v>
      </c>
      <c r="W278" s="2">
        <f t="shared" si="355"/>
        <v>68168.571428571435</v>
      </c>
      <c r="X278" s="2">
        <f t="shared" si="355"/>
        <v>132894.28571428571</v>
      </c>
      <c r="Y278" s="2">
        <f t="shared" si="356"/>
        <v>132894.28571428571</v>
      </c>
      <c r="Z278" s="2">
        <f t="shared" ref="Z278:AA278" si="375">Y278</f>
        <v>132894.28571428571</v>
      </c>
      <c r="AA278" s="2">
        <f t="shared" si="375"/>
        <v>132894.28571428571</v>
      </c>
      <c r="AQ278" s="2">
        <v>271</v>
      </c>
      <c r="AR278" s="2">
        <f t="shared" ref="AR278:AV287" si="376">MAX($AQ278-$C$2,0)*INDEX($AN$8:$AN$44,MATCH(AR$7,$AO$8:$AO$44,0))/$C$3</f>
        <v>36924.642857142855</v>
      </c>
      <c r="AS278" s="2">
        <f t="shared" si="376"/>
        <v>87620.71428571429</v>
      </c>
      <c r="AT278" s="2">
        <f t="shared" si="376"/>
        <v>129107.14285714286</v>
      </c>
      <c r="AU278" s="2">
        <f t="shared" si="376"/>
        <v>193660.71428571429</v>
      </c>
      <c r="AV278" s="2">
        <f t="shared" si="376"/>
        <v>363221.42857142858</v>
      </c>
      <c r="BK278" s="2">
        <v>271</v>
      </c>
      <c r="BL278" s="2">
        <f t="shared" ref="BL278:BP287" si="377">IFERROR(MAX($BK278-$C$2,0)*INDEX($BH$8:$BH$16,MATCH(BL$7,$BI$8:$BI$16,0))*$C$4/$C$3,BM278)</f>
        <v>5508.5714285714284</v>
      </c>
      <c r="BM278" s="2">
        <f t="shared" si="377"/>
        <v>9640</v>
      </c>
      <c r="BN278" s="2">
        <f t="shared" si="377"/>
        <v>15148.571428571429</v>
      </c>
      <c r="BO278" s="2">
        <f t="shared" si="377"/>
        <v>26165.714285714286</v>
      </c>
      <c r="BP278" s="2">
        <f t="shared" si="377"/>
        <v>238245.71428571429</v>
      </c>
      <c r="BV278" s="2">
        <v>271</v>
      </c>
      <c r="BW278" s="2">
        <f t="shared" si="350"/>
        <v>110601.78571428572</v>
      </c>
      <c r="BX278" s="2">
        <f t="shared" si="351"/>
        <v>230155</v>
      </c>
      <c r="BY278" s="2">
        <f t="shared" si="352"/>
        <v>277150</v>
      </c>
      <c r="BZ278" s="2">
        <f t="shared" si="353"/>
        <v>352720.71428571426</v>
      </c>
      <c r="CA278" s="2">
        <f t="shared" si="354"/>
        <v>734361.42857142864</v>
      </c>
      <c r="CC278" s="41">
        <f t="shared" si="358"/>
        <v>0.6163424124513619</v>
      </c>
      <c r="CD278" s="41">
        <f t="shared" si="359"/>
        <v>0.33385214007782094</v>
      </c>
      <c r="CE278" s="41">
        <f t="shared" si="360"/>
        <v>4.9805447470817117E-2</v>
      </c>
    </row>
    <row r="279" spans="22:83" x14ac:dyDescent="0.2">
      <c r="V279" s="2">
        <v>272</v>
      </c>
      <c r="W279" s="2">
        <f t="shared" si="355"/>
        <v>68451.428571428565</v>
      </c>
      <c r="X279" s="2">
        <f t="shared" si="355"/>
        <v>133445.71428571429</v>
      </c>
      <c r="Y279" s="2">
        <f t="shared" si="356"/>
        <v>133445.71428571429</v>
      </c>
      <c r="Z279" s="2">
        <f t="shared" ref="Z279:AA279" si="378">Y279</f>
        <v>133445.71428571429</v>
      </c>
      <c r="AA279" s="2">
        <f t="shared" si="378"/>
        <v>133445.71428571429</v>
      </c>
      <c r="AQ279" s="2">
        <v>272</v>
      </c>
      <c r="AR279" s="2">
        <f t="shared" si="376"/>
        <v>37077.857142857145</v>
      </c>
      <c r="AS279" s="2">
        <f t="shared" si="376"/>
        <v>87984.28571428571</v>
      </c>
      <c r="AT279" s="2">
        <f t="shared" si="376"/>
        <v>129642.85714285714</v>
      </c>
      <c r="AU279" s="2">
        <f t="shared" si="376"/>
        <v>194464.28571428571</v>
      </c>
      <c r="AV279" s="2">
        <f t="shared" si="376"/>
        <v>364728.57142857142</v>
      </c>
      <c r="BK279" s="2">
        <v>272</v>
      </c>
      <c r="BL279" s="2">
        <f t="shared" si="377"/>
        <v>5531.4285714285716</v>
      </c>
      <c r="BM279" s="2">
        <f t="shared" si="377"/>
        <v>9680</v>
      </c>
      <c r="BN279" s="2">
        <f t="shared" si="377"/>
        <v>15211.428571428571</v>
      </c>
      <c r="BO279" s="2">
        <f t="shared" si="377"/>
        <v>26274.285714285714</v>
      </c>
      <c r="BP279" s="2">
        <f t="shared" si="377"/>
        <v>239234.28571428571</v>
      </c>
      <c r="BV279" s="2">
        <v>272</v>
      </c>
      <c r="BW279" s="2">
        <f t="shared" si="350"/>
        <v>111060.71428571428</v>
      </c>
      <c r="BX279" s="2">
        <f t="shared" si="351"/>
        <v>231110</v>
      </c>
      <c r="BY279" s="2">
        <f t="shared" si="352"/>
        <v>278300</v>
      </c>
      <c r="BZ279" s="2">
        <f t="shared" si="353"/>
        <v>354184.28571428574</v>
      </c>
      <c r="CA279" s="2">
        <f t="shared" si="354"/>
        <v>737408.57142857136</v>
      </c>
      <c r="CC279" s="41">
        <f t="shared" si="358"/>
        <v>0.6163424124513619</v>
      </c>
      <c r="CD279" s="41">
        <f t="shared" si="359"/>
        <v>0.33385214007782105</v>
      </c>
      <c r="CE279" s="41">
        <f t="shared" si="360"/>
        <v>4.9805447470817124E-2</v>
      </c>
    </row>
    <row r="280" spans="22:83" x14ac:dyDescent="0.2">
      <c r="V280" s="2">
        <v>273</v>
      </c>
      <c r="W280" s="2">
        <f t="shared" si="355"/>
        <v>68734.28571428571</v>
      </c>
      <c r="X280" s="2">
        <f t="shared" si="355"/>
        <v>133997.14285714287</v>
      </c>
      <c r="Y280" s="2">
        <f t="shared" si="356"/>
        <v>133997.14285714287</v>
      </c>
      <c r="Z280" s="2">
        <f t="shared" ref="Z280:AA280" si="379">Y280</f>
        <v>133997.14285714287</v>
      </c>
      <c r="AA280" s="2">
        <f t="shared" si="379"/>
        <v>133997.14285714287</v>
      </c>
      <c r="AQ280" s="2">
        <v>273</v>
      </c>
      <c r="AR280" s="2">
        <f t="shared" si="376"/>
        <v>37231.071428571428</v>
      </c>
      <c r="AS280" s="2">
        <f t="shared" si="376"/>
        <v>88347.857142857145</v>
      </c>
      <c r="AT280" s="2">
        <f t="shared" si="376"/>
        <v>130178.57142857143</v>
      </c>
      <c r="AU280" s="2">
        <f t="shared" si="376"/>
        <v>195267.85714285713</v>
      </c>
      <c r="AV280" s="2">
        <f t="shared" si="376"/>
        <v>366235.71428571426</v>
      </c>
      <c r="BK280" s="2">
        <v>273</v>
      </c>
      <c r="BL280" s="2">
        <f t="shared" si="377"/>
        <v>5554.2857142857147</v>
      </c>
      <c r="BM280" s="2">
        <f t="shared" si="377"/>
        <v>9720</v>
      </c>
      <c r="BN280" s="2">
        <f t="shared" si="377"/>
        <v>15274.285714285714</v>
      </c>
      <c r="BO280" s="2">
        <f t="shared" si="377"/>
        <v>26382.857142857141</v>
      </c>
      <c r="BP280" s="2">
        <f t="shared" si="377"/>
        <v>240222.85714285713</v>
      </c>
      <c r="BV280" s="2">
        <v>273</v>
      </c>
      <c r="BW280" s="2">
        <f t="shared" si="350"/>
        <v>111519.64285714284</v>
      </c>
      <c r="BX280" s="2">
        <f t="shared" si="351"/>
        <v>232065</v>
      </c>
      <c r="BY280" s="2">
        <f t="shared" si="352"/>
        <v>279450.00000000006</v>
      </c>
      <c r="BZ280" s="2">
        <f t="shared" si="353"/>
        <v>355647.85714285716</v>
      </c>
      <c r="CA280" s="2">
        <f t="shared" si="354"/>
        <v>740455.71428571432</v>
      </c>
      <c r="CC280" s="41">
        <f t="shared" si="358"/>
        <v>0.6163424124513619</v>
      </c>
      <c r="CD280" s="41">
        <f t="shared" si="359"/>
        <v>0.33385214007782105</v>
      </c>
      <c r="CE280" s="41">
        <f t="shared" si="360"/>
        <v>4.9805447470817131E-2</v>
      </c>
    </row>
    <row r="281" spans="22:83" x14ac:dyDescent="0.2">
      <c r="V281" s="2">
        <v>274</v>
      </c>
      <c r="W281" s="2">
        <f t="shared" si="355"/>
        <v>69017.142857142855</v>
      </c>
      <c r="X281" s="2">
        <f t="shared" si="355"/>
        <v>134548.57142857142</v>
      </c>
      <c r="Y281" s="2">
        <f t="shared" si="356"/>
        <v>134548.57142857142</v>
      </c>
      <c r="Z281" s="2">
        <f t="shared" ref="Z281:AA281" si="380">Y281</f>
        <v>134548.57142857142</v>
      </c>
      <c r="AA281" s="2">
        <f t="shared" si="380"/>
        <v>134548.57142857142</v>
      </c>
      <c r="AQ281" s="2">
        <v>274</v>
      </c>
      <c r="AR281" s="2">
        <f t="shared" si="376"/>
        <v>37384.285714285717</v>
      </c>
      <c r="AS281" s="2">
        <f t="shared" si="376"/>
        <v>88711.428571428565</v>
      </c>
      <c r="AT281" s="2">
        <f t="shared" si="376"/>
        <v>130714.28571428571</v>
      </c>
      <c r="AU281" s="2">
        <f t="shared" si="376"/>
        <v>196071.42857142858</v>
      </c>
      <c r="AV281" s="2">
        <f t="shared" si="376"/>
        <v>367742.85714285716</v>
      </c>
      <c r="BK281" s="2">
        <v>274</v>
      </c>
      <c r="BL281" s="2">
        <f t="shared" si="377"/>
        <v>5577.1428571428569</v>
      </c>
      <c r="BM281" s="2">
        <f t="shared" si="377"/>
        <v>9760</v>
      </c>
      <c r="BN281" s="2">
        <f t="shared" si="377"/>
        <v>15337.142857142857</v>
      </c>
      <c r="BO281" s="2">
        <f t="shared" si="377"/>
        <v>26491.428571428572</v>
      </c>
      <c r="BP281" s="2">
        <f t="shared" si="377"/>
        <v>241211.42857142858</v>
      </c>
      <c r="BV281" s="2">
        <v>274</v>
      </c>
      <c r="BW281" s="2">
        <f t="shared" si="350"/>
        <v>111978.57142857143</v>
      </c>
      <c r="BX281" s="2">
        <f t="shared" si="351"/>
        <v>233020</v>
      </c>
      <c r="BY281" s="2">
        <f t="shared" si="352"/>
        <v>280600</v>
      </c>
      <c r="BZ281" s="2">
        <f t="shared" si="353"/>
        <v>357111.42857142858</v>
      </c>
      <c r="CA281" s="2">
        <f t="shared" si="354"/>
        <v>743502.85714285716</v>
      </c>
      <c r="CC281" s="41">
        <f t="shared" si="358"/>
        <v>0.61634241245136179</v>
      </c>
      <c r="CD281" s="41">
        <f t="shared" si="359"/>
        <v>0.33385214007782105</v>
      </c>
      <c r="CE281" s="41">
        <f t="shared" si="360"/>
        <v>4.9805447470817117E-2</v>
      </c>
    </row>
    <row r="282" spans="22:83" x14ac:dyDescent="0.2">
      <c r="V282" s="2">
        <v>275</v>
      </c>
      <c r="W282" s="2">
        <f t="shared" si="355"/>
        <v>69300</v>
      </c>
      <c r="X282" s="2">
        <f t="shared" si="355"/>
        <v>135100</v>
      </c>
      <c r="Y282" s="2">
        <f t="shared" si="356"/>
        <v>135100</v>
      </c>
      <c r="Z282" s="2">
        <f t="shared" ref="Z282:AA282" si="381">Y282</f>
        <v>135100</v>
      </c>
      <c r="AA282" s="2">
        <f t="shared" si="381"/>
        <v>135100</v>
      </c>
      <c r="AQ282" s="2">
        <v>275</v>
      </c>
      <c r="AR282" s="2">
        <f t="shared" si="376"/>
        <v>37537.5</v>
      </c>
      <c r="AS282" s="2">
        <f t="shared" si="376"/>
        <v>89075</v>
      </c>
      <c r="AT282" s="2">
        <f t="shared" si="376"/>
        <v>131250</v>
      </c>
      <c r="AU282" s="2">
        <f t="shared" si="376"/>
        <v>196875</v>
      </c>
      <c r="AV282" s="2">
        <f t="shared" si="376"/>
        <v>369250</v>
      </c>
      <c r="BK282" s="2">
        <v>275</v>
      </c>
      <c r="BL282" s="2">
        <f t="shared" si="377"/>
        <v>5600</v>
      </c>
      <c r="BM282" s="2">
        <f t="shared" si="377"/>
        <v>9800</v>
      </c>
      <c r="BN282" s="2">
        <f t="shared" si="377"/>
        <v>15400</v>
      </c>
      <c r="BO282" s="2">
        <f t="shared" si="377"/>
        <v>26600</v>
      </c>
      <c r="BP282" s="2">
        <f t="shared" si="377"/>
        <v>242200</v>
      </c>
      <c r="BV282" s="2">
        <v>275</v>
      </c>
      <c r="BW282" s="2">
        <f t="shared" si="350"/>
        <v>112437.5</v>
      </c>
      <c r="BX282" s="2">
        <f t="shared" si="351"/>
        <v>233975</v>
      </c>
      <c r="BY282" s="2">
        <f t="shared" si="352"/>
        <v>281750</v>
      </c>
      <c r="BZ282" s="2">
        <f t="shared" si="353"/>
        <v>358575</v>
      </c>
      <c r="CA282" s="2">
        <f t="shared" si="354"/>
        <v>746550</v>
      </c>
      <c r="CC282" s="41">
        <f t="shared" si="358"/>
        <v>0.6163424124513619</v>
      </c>
      <c r="CD282" s="41">
        <f t="shared" si="359"/>
        <v>0.33385214007782099</v>
      </c>
      <c r="CE282" s="41">
        <f t="shared" si="360"/>
        <v>4.9805447470817124E-2</v>
      </c>
    </row>
    <row r="283" spans="22:83" x14ac:dyDescent="0.2">
      <c r="V283" s="2">
        <v>276</v>
      </c>
      <c r="W283" s="2">
        <f t="shared" si="355"/>
        <v>69582.857142857145</v>
      </c>
      <c r="X283" s="2">
        <f t="shared" si="355"/>
        <v>135651.42857142858</v>
      </c>
      <c r="Y283" s="2">
        <f t="shared" si="356"/>
        <v>135651.42857142858</v>
      </c>
      <c r="Z283" s="2">
        <f t="shared" ref="Z283:AA283" si="382">Y283</f>
        <v>135651.42857142858</v>
      </c>
      <c r="AA283" s="2">
        <f t="shared" si="382"/>
        <v>135651.42857142858</v>
      </c>
      <c r="AQ283" s="2">
        <v>276</v>
      </c>
      <c r="AR283" s="2">
        <f t="shared" si="376"/>
        <v>37690.714285714283</v>
      </c>
      <c r="AS283" s="2">
        <f t="shared" si="376"/>
        <v>89438.571428571435</v>
      </c>
      <c r="AT283" s="2">
        <f t="shared" si="376"/>
        <v>131785.71428571429</v>
      </c>
      <c r="AU283" s="2">
        <f t="shared" si="376"/>
        <v>197678.57142857142</v>
      </c>
      <c r="AV283" s="2">
        <f t="shared" si="376"/>
        <v>370757.14285714284</v>
      </c>
      <c r="BK283" s="2">
        <v>276</v>
      </c>
      <c r="BL283" s="2">
        <f t="shared" si="377"/>
        <v>5622.8571428571431</v>
      </c>
      <c r="BM283" s="2">
        <f t="shared" si="377"/>
        <v>9840</v>
      </c>
      <c r="BN283" s="2">
        <f t="shared" si="377"/>
        <v>15462.857142857143</v>
      </c>
      <c r="BO283" s="2">
        <f t="shared" si="377"/>
        <v>26708.571428571428</v>
      </c>
      <c r="BP283" s="2">
        <f t="shared" si="377"/>
        <v>243188.57142857142</v>
      </c>
      <c r="BV283" s="2">
        <v>276</v>
      </c>
      <c r="BW283" s="2">
        <f t="shared" si="350"/>
        <v>112896.42857142857</v>
      </c>
      <c r="BX283" s="2">
        <f t="shared" si="351"/>
        <v>234930</v>
      </c>
      <c r="BY283" s="2">
        <f t="shared" si="352"/>
        <v>282900</v>
      </c>
      <c r="BZ283" s="2">
        <f t="shared" si="353"/>
        <v>360038.57142857142</v>
      </c>
      <c r="CA283" s="2">
        <f t="shared" si="354"/>
        <v>749597.14285714284</v>
      </c>
      <c r="CC283" s="41">
        <f t="shared" si="358"/>
        <v>0.6163424124513619</v>
      </c>
      <c r="CD283" s="41">
        <f t="shared" si="359"/>
        <v>0.33385214007782099</v>
      </c>
      <c r="CE283" s="41">
        <f t="shared" si="360"/>
        <v>4.9805447470817124E-2</v>
      </c>
    </row>
    <row r="284" spans="22:83" x14ac:dyDescent="0.2">
      <c r="V284" s="2">
        <v>277</v>
      </c>
      <c r="W284" s="2">
        <f t="shared" si="355"/>
        <v>69865.71428571429</v>
      </c>
      <c r="X284" s="2">
        <f t="shared" si="355"/>
        <v>136202.85714285713</v>
      </c>
      <c r="Y284" s="2">
        <f t="shared" si="356"/>
        <v>136202.85714285713</v>
      </c>
      <c r="Z284" s="2">
        <f t="shared" ref="Z284:AA284" si="383">Y284</f>
        <v>136202.85714285713</v>
      </c>
      <c r="AA284" s="2">
        <f t="shared" si="383"/>
        <v>136202.85714285713</v>
      </c>
      <c r="AQ284" s="2">
        <v>277</v>
      </c>
      <c r="AR284" s="2">
        <f t="shared" si="376"/>
        <v>37843.928571428572</v>
      </c>
      <c r="AS284" s="2">
        <f t="shared" si="376"/>
        <v>89802.142857142855</v>
      </c>
      <c r="AT284" s="2">
        <f t="shared" si="376"/>
        <v>132321.42857142858</v>
      </c>
      <c r="AU284" s="2">
        <f t="shared" si="376"/>
        <v>198482.14285714287</v>
      </c>
      <c r="AV284" s="2">
        <f t="shared" si="376"/>
        <v>372264.28571428574</v>
      </c>
      <c r="BK284" s="2">
        <v>277</v>
      </c>
      <c r="BL284" s="2">
        <f t="shared" si="377"/>
        <v>5645.7142857142853</v>
      </c>
      <c r="BM284" s="2">
        <f t="shared" si="377"/>
        <v>9880</v>
      </c>
      <c r="BN284" s="2">
        <f t="shared" si="377"/>
        <v>15525.714285714286</v>
      </c>
      <c r="BO284" s="2">
        <f t="shared" si="377"/>
        <v>26817.142857142859</v>
      </c>
      <c r="BP284" s="2">
        <f t="shared" si="377"/>
        <v>244177.14285714287</v>
      </c>
      <c r="BV284" s="2">
        <v>277</v>
      </c>
      <c r="BW284" s="2">
        <f t="shared" si="350"/>
        <v>113355.35714285716</v>
      </c>
      <c r="BX284" s="2">
        <f t="shared" si="351"/>
        <v>235885</v>
      </c>
      <c r="BY284" s="2">
        <f t="shared" si="352"/>
        <v>284049.99999999994</v>
      </c>
      <c r="BZ284" s="2">
        <f t="shared" si="353"/>
        <v>361502.14285714284</v>
      </c>
      <c r="CA284" s="2">
        <f t="shared" si="354"/>
        <v>752644.28571428568</v>
      </c>
      <c r="CC284" s="41">
        <f t="shared" si="358"/>
        <v>0.61634241245136179</v>
      </c>
      <c r="CD284" s="41">
        <f t="shared" si="359"/>
        <v>0.33385214007782099</v>
      </c>
      <c r="CE284" s="41">
        <f t="shared" si="360"/>
        <v>4.980544747081711E-2</v>
      </c>
    </row>
    <row r="285" spans="22:83" x14ac:dyDescent="0.2">
      <c r="V285" s="2">
        <v>278</v>
      </c>
      <c r="W285" s="2">
        <f t="shared" si="355"/>
        <v>70148.571428571435</v>
      </c>
      <c r="X285" s="2">
        <f t="shared" si="355"/>
        <v>136754.28571428571</v>
      </c>
      <c r="Y285" s="2">
        <f t="shared" si="356"/>
        <v>136754.28571428571</v>
      </c>
      <c r="Z285" s="2">
        <f t="shared" ref="Z285:AA285" si="384">Y285</f>
        <v>136754.28571428571</v>
      </c>
      <c r="AA285" s="2">
        <f t="shared" si="384"/>
        <v>136754.28571428571</v>
      </c>
      <c r="AQ285" s="2">
        <v>278</v>
      </c>
      <c r="AR285" s="2">
        <f t="shared" si="376"/>
        <v>37997.142857142855</v>
      </c>
      <c r="AS285" s="2">
        <f t="shared" si="376"/>
        <v>90165.71428571429</v>
      </c>
      <c r="AT285" s="2">
        <f t="shared" si="376"/>
        <v>132857.14285714287</v>
      </c>
      <c r="AU285" s="2">
        <f t="shared" si="376"/>
        <v>199285.71428571429</v>
      </c>
      <c r="AV285" s="2">
        <f t="shared" si="376"/>
        <v>373771.42857142858</v>
      </c>
      <c r="BK285" s="2">
        <v>278</v>
      </c>
      <c r="BL285" s="2">
        <f t="shared" si="377"/>
        <v>5668.5714285714284</v>
      </c>
      <c r="BM285" s="2">
        <f t="shared" si="377"/>
        <v>9920</v>
      </c>
      <c r="BN285" s="2">
        <f t="shared" si="377"/>
        <v>15588.571428571429</v>
      </c>
      <c r="BO285" s="2">
        <f t="shared" si="377"/>
        <v>26925.714285714286</v>
      </c>
      <c r="BP285" s="2">
        <f t="shared" si="377"/>
        <v>245165.71428571429</v>
      </c>
      <c r="BV285" s="2">
        <v>278</v>
      </c>
      <c r="BW285" s="2">
        <f t="shared" si="350"/>
        <v>113814.28571428572</v>
      </c>
      <c r="BX285" s="2">
        <f t="shared" si="351"/>
        <v>236840</v>
      </c>
      <c r="BY285" s="2">
        <f t="shared" si="352"/>
        <v>285200</v>
      </c>
      <c r="BZ285" s="2">
        <f t="shared" si="353"/>
        <v>362965.71428571426</v>
      </c>
      <c r="CA285" s="2">
        <f t="shared" si="354"/>
        <v>755691.42857142864</v>
      </c>
      <c r="CC285" s="41">
        <f t="shared" si="358"/>
        <v>0.6163424124513619</v>
      </c>
      <c r="CD285" s="41">
        <f t="shared" si="359"/>
        <v>0.33385214007782094</v>
      </c>
      <c r="CE285" s="41">
        <f t="shared" si="360"/>
        <v>4.9805447470817117E-2</v>
      </c>
    </row>
    <row r="286" spans="22:83" x14ac:dyDescent="0.2">
      <c r="V286" s="2">
        <v>279</v>
      </c>
      <c r="W286" s="2">
        <f t="shared" si="355"/>
        <v>70431.428571428565</v>
      </c>
      <c r="X286" s="2">
        <f t="shared" si="355"/>
        <v>137305.71428571429</v>
      </c>
      <c r="Y286" s="2">
        <f t="shared" si="356"/>
        <v>137305.71428571429</v>
      </c>
      <c r="Z286" s="2">
        <f t="shared" ref="Z286:AA286" si="385">Y286</f>
        <v>137305.71428571429</v>
      </c>
      <c r="AA286" s="2">
        <f t="shared" si="385"/>
        <v>137305.71428571429</v>
      </c>
      <c r="AQ286" s="2">
        <v>279</v>
      </c>
      <c r="AR286" s="2">
        <f t="shared" si="376"/>
        <v>38150.357142857145</v>
      </c>
      <c r="AS286" s="2">
        <f t="shared" si="376"/>
        <v>90529.28571428571</v>
      </c>
      <c r="AT286" s="2">
        <f t="shared" si="376"/>
        <v>133392.85714285713</v>
      </c>
      <c r="AU286" s="2">
        <f t="shared" si="376"/>
        <v>200089.28571428571</v>
      </c>
      <c r="AV286" s="2">
        <f t="shared" si="376"/>
        <v>375278.57142857142</v>
      </c>
      <c r="BK286" s="2">
        <v>279</v>
      </c>
      <c r="BL286" s="2">
        <f t="shared" si="377"/>
        <v>5691.4285714285716</v>
      </c>
      <c r="BM286" s="2">
        <f t="shared" si="377"/>
        <v>9960</v>
      </c>
      <c r="BN286" s="2">
        <f t="shared" si="377"/>
        <v>15651.428571428571</v>
      </c>
      <c r="BO286" s="2">
        <f t="shared" si="377"/>
        <v>27034.285714285714</v>
      </c>
      <c r="BP286" s="2">
        <f t="shared" si="377"/>
        <v>246154.28571428571</v>
      </c>
      <c r="BV286" s="2">
        <v>279</v>
      </c>
      <c r="BW286" s="2">
        <f t="shared" si="350"/>
        <v>114273.21428571428</v>
      </c>
      <c r="BX286" s="2">
        <f t="shared" si="351"/>
        <v>237795</v>
      </c>
      <c r="BY286" s="2">
        <f t="shared" si="352"/>
        <v>286350</v>
      </c>
      <c r="BZ286" s="2">
        <f t="shared" si="353"/>
        <v>364429.28571428574</v>
      </c>
      <c r="CA286" s="2">
        <f t="shared" si="354"/>
        <v>758738.57142857136</v>
      </c>
      <c r="CC286" s="41">
        <f t="shared" si="358"/>
        <v>0.6163424124513619</v>
      </c>
      <c r="CD286" s="41">
        <f t="shared" si="359"/>
        <v>0.33385214007782105</v>
      </c>
      <c r="CE286" s="41">
        <f t="shared" si="360"/>
        <v>4.9805447470817124E-2</v>
      </c>
    </row>
    <row r="287" spans="22:83" x14ac:dyDescent="0.2">
      <c r="V287" s="2">
        <v>280</v>
      </c>
      <c r="W287" s="2">
        <f t="shared" si="355"/>
        <v>70714.28571428571</v>
      </c>
      <c r="X287" s="2">
        <f t="shared" si="355"/>
        <v>137857.14285714287</v>
      </c>
      <c r="Y287" s="2">
        <f t="shared" si="356"/>
        <v>137857.14285714287</v>
      </c>
      <c r="Z287" s="2">
        <f t="shared" ref="Z287:AA287" si="386">Y287</f>
        <v>137857.14285714287</v>
      </c>
      <c r="AA287" s="2">
        <f t="shared" si="386"/>
        <v>137857.14285714287</v>
      </c>
      <c r="AQ287" s="2">
        <v>280</v>
      </c>
      <c r="AR287" s="2">
        <f t="shared" si="376"/>
        <v>38303.571428571428</v>
      </c>
      <c r="AS287" s="2">
        <f t="shared" si="376"/>
        <v>90892.857142857145</v>
      </c>
      <c r="AT287" s="2">
        <f t="shared" si="376"/>
        <v>133928.57142857142</v>
      </c>
      <c r="AU287" s="2">
        <f t="shared" si="376"/>
        <v>200892.85714285713</v>
      </c>
      <c r="AV287" s="2">
        <f t="shared" si="376"/>
        <v>376785.71428571426</v>
      </c>
      <c r="BK287" s="2">
        <v>280</v>
      </c>
      <c r="BL287" s="2">
        <f t="shared" si="377"/>
        <v>5714.2857142857147</v>
      </c>
      <c r="BM287" s="2">
        <f t="shared" si="377"/>
        <v>10000</v>
      </c>
      <c r="BN287" s="2">
        <f t="shared" si="377"/>
        <v>15714.285714285714</v>
      </c>
      <c r="BO287" s="2">
        <f t="shared" si="377"/>
        <v>27142.857142857141</v>
      </c>
      <c r="BP287" s="2">
        <f t="shared" si="377"/>
        <v>247142.85714285713</v>
      </c>
      <c r="BV287" s="2">
        <v>280</v>
      </c>
      <c r="BW287" s="2">
        <f t="shared" si="350"/>
        <v>114732.14285714284</v>
      </c>
      <c r="BX287" s="2">
        <f t="shared" si="351"/>
        <v>238750</v>
      </c>
      <c r="BY287" s="2">
        <f t="shared" si="352"/>
        <v>287500.00000000006</v>
      </c>
      <c r="BZ287" s="2">
        <f t="shared" si="353"/>
        <v>365892.85714285716</v>
      </c>
      <c r="CA287" s="2">
        <f t="shared" si="354"/>
        <v>761785.71428571432</v>
      </c>
      <c r="CC287" s="41">
        <f t="shared" si="358"/>
        <v>0.6163424124513619</v>
      </c>
      <c r="CD287" s="41">
        <f t="shared" si="359"/>
        <v>0.33385214007782105</v>
      </c>
      <c r="CE287" s="41">
        <f t="shared" si="360"/>
        <v>4.9805447470817131E-2</v>
      </c>
    </row>
    <row r="288" spans="22:83" x14ac:dyDescent="0.2">
      <c r="V288" s="2">
        <v>281</v>
      </c>
      <c r="W288" s="2">
        <f t="shared" si="355"/>
        <v>70997.142857142855</v>
      </c>
      <c r="X288" s="2">
        <f t="shared" si="355"/>
        <v>138408.57142857142</v>
      </c>
      <c r="Y288" s="2">
        <f t="shared" si="356"/>
        <v>138408.57142857142</v>
      </c>
      <c r="Z288" s="2">
        <f t="shared" ref="Z288:AA288" si="387">Y288</f>
        <v>138408.57142857142</v>
      </c>
      <c r="AA288" s="2">
        <f t="shared" si="387"/>
        <v>138408.57142857142</v>
      </c>
      <c r="AQ288" s="2">
        <v>281</v>
      </c>
      <c r="AR288" s="2">
        <f t="shared" ref="AR288:AV297" si="388">MAX($AQ288-$C$2,0)*INDEX($AN$8:$AN$44,MATCH(AR$7,$AO$8:$AO$44,0))/$C$3</f>
        <v>38456.785714285717</v>
      </c>
      <c r="AS288" s="2">
        <f t="shared" si="388"/>
        <v>91256.428571428565</v>
      </c>
      <c r="AT288" s="2">
        <f t="shared" si="388"/>
        <v>134464.28571428571</v>
      </c>
      <c r="AU288" s="2">
        <f t="shared" si="388"/>
        <v>201696.42857142858</v>
      </c>
      <c r="AV288" s="2">
        <f t="shared" si="388"/>
        <v>378292.85714285716</v>
      </c>
      <c r="BK288" s="2">
        <v>281</v>
      </c>
      <c r="BL288" s="2">
        <f t="shared" ref="BL288:BP297" si="389">IFERROR(MAX($BK288-$C$2,0)*INDEX($BH$8:$BH$16,MATCH(BL$7,$BI$8:$BI$16,0))*$C$4/$C$3,BM288)</f>
        <v>5737.1428571428569</v>
      </c>
      <c r="BM288" s="2">
        <f t="shared" si="389"/>
        <v>10040</v>
      </c>
      <c r="BN288" s="2">
        <f t="shared" si="389"/>
        <v>15777.142857142857</v>
      </c>
      <c r="BO288" s="2">
        <f t="shared" si="389"/>
        <v>27251.428571428572</v>
      </c>
      <c r="BP288" s="2">
        <f t="shared" si="389"/>
        <v>248131.42857142858</v>
      </c>
      <c r="BV288" s="2">
        <v>281</v>
      </c>
      <c r="BW288" s="2">
        <f t="shared" si="350"/>
        <v>115191.07142857143</v>
      </c>
      <c r="BX288" s="2">
        <f t="shared" si="351"/>
        <v>239705</v>
      </c>
      <c r="BY288" s="2">
        <f t="shared" si="352"/>
        <v>288650</v>
      </c>
      <c r="BZ288" s="2">
        <f t="shared" si="353"/>
        <v>367356.42857142858</v>
      </c>
      <c r="CA288" s="2">
        <f t="shared" si="354"/>
        <v>764832.85714285716</v>
      </c>
      <c r="CC288" s="41">
        <f t="shared" si="358"/>
        <v>0.61634241245136179</v>
      </c>
      <c r="CD288" s="41">
        <f t="shared" si="359"/>
        <v>0.33385214007782105</v>
      </c>
      <c r="CE288" s="41">
        <f t="shared" si="360"/>
        <v>4.9805447470817117E-2</v>
      </c>
    </row>
    <row r="289" spans="22:83" x14ac:dyDescent="0.2">
      <c r="V289" s="2">
        <v>282</v>
      </c>
      <c r="W289" s="2">
        <f t="shared" si="355"/>
        <v>71280</v>
      </c>
      <c r="X289" s="2">
        <f t="shared" si="355"/>
        <v>138960</v>
      </c>
      <c r="Y289" s="2">
        <f t="shared" si="356"/>
        <v>138960</v>
      </c>
      <c r="Z289" s="2">
        <f t="shared" ref="Z289:AA289" si="390">Y289</f>
        <v>138960</v>
      </c>
      <c r="AA289" s="2">
        <f t="shared" si="390"/>
        <v>138960</v>
      </c>
      <c r="AQ289" s="2">
        <v>282</v>
      </c>
      <c r="AR289" s="2">
        <f t="shared" si="388"/>
        <v>38610</v>
      </c>
      <c r="AS289" s="2">
        <f t="shared" si="388"/>
        <v>91620</v>
      </c>
      <c r="AT289" s="2">
        <f t="shared" si="388"/>
        <v>135000</v>
      </c>
      <c r="AU289" s="2">
        <f t="shared" si="388"/>
        <v>202500</v>
      </c>
      <c r="AV289" s="2">
        <f t="shared" si="388"/>
        <v>379800</v>
      </c>
      <c r="BK289" s="2">
        <v>282</v>
      </c>
      <c r="BL289" s="2">
        <f t="shared" si="389"/>
        <v>5760</v>
      </c>
      <c r="BM289" s="2">
        <f t="shared" si="389"/>
        <v>10080</v>
      </c>
      <c r="BN289" s="2">
        <f t="shared" si="389"/>
        <v>15840</v>
      </c>
      <c r="BO289" s="2">
        <f t="shared" si="389"/>
        <v>27360</v>
      </c>
      <c r="BP289" s="2">
        <f t="shared" si="389"/>
        <v>249120</v>
      </c>
      <c r="BV289" s="2">
        <v>282</v>
      </c>
      <c r="BW289" s="2">
        <f t="shared" si="350"/>
        <v>115650</v>
      </c>
      <c r="BX289" s="2">
        <f t="shared" si="351"/>
        <v>240660</v>
      </c>
      <c r="BY289" s="2">
        <f t="shared" si="352"/>
        <v>289800</v>
      </c>
      <c r="BZ289" s="2">
        <f t="shared" si="353"/>
        <v>368820</v>
      </c>
      <c r="CA289" s="2">
        <f t="shared" si="354"/>
        <v>767880</v>
      </c>
      <c r="CC289" s="41">
        <f t="shared" si="358"/>
        <v>0.6163424124513619</v>
      </c>
      <c r="CD289" s="41">
        <f t="shared" si="359"/>
        <v>0.33385214007782099</v>
      </c>
      <c r="CE289" s="41">
        <f t="shared" si="360"/>
        <v>4.9805447470817124E-2</v>
      </c>
    </row>
    <row r="290" spans="22:83" x14ac:dyDescent="0.2">
      <c r="V290" s="2">
        <v>283</v>
      </c>
      <c r="W290" s="2">
        <f t="shared" si="355"/>
        <v>71562.857142857145</v>
      </c>
      <c r="X290" s="2">
        <f t="shared" si="355"/>
        <v>139511.42857142858</v>
      </c>
      <c r="Y290" s="2">
        <f t="shared" si="356"/>
        <v>139511.42857142858</v>
      </c>
      <c r="Z290" s="2">
        <f t="shared" ref="Z290:AA290" si="391">Y290</f>
        <v>139511.42857142858</v>
      </c>
      <c r="AA290" s="2">
        <f t="shared" si="391"/>
        <v>139511.42857142858</v>
      </c>
      <c r="AQ290" s="2">
        <v>283</v>
      </c>
      <c r="AR290" s="2">
        <f t="shared" si="388"/>
        <v>38763.214285714283</v>
      </c>
      <c r="AS290" s="2">
        <f t="shared" si="388"/>
        <v>91983.571428571435</v>
      </c>
      <c r="AT290" s="2">
        <f t="shared" si="388"/>
        <v>135535.71428571429</v>
      </c>
      <c r="AU290" s="2">
        <f t="shared" si="388"/>
        <v>203303.57142857142</v>
      </c>
      <c r="AV290" s="2">
        <f t="shared" si="388"/>
        <v>381307.14285714284</v>
      </c>
      <c r="BK290" s="2">
        <v>283</v>
      </c>
      <c r="BL290" s="2">
        <f t="shared" si="389"/>
        <v>5782.8571428571431</v>
      </c>
      <c r="BM290" s="2">
        <f t="shared" si="389"/>
        <v>10120</v>
      </c>
      <c r="BN290" s="2">
        <f t="shared" si="389"/>
        <v>15902.857142857143</v>
      </c>
      <c r="BO290" s="2">
        <f t="shared" si="389"/>
        <v>27468.571428571428</v>
      </c>
      <c r="BP290" s="2">
        <f t="shared" si="389"/>
        <v>250108.57142857142</v>
      </c>
      <c r="BV290" s="2">
        <v>283</v>
      </c>
      <c r="BW290" s="2">
        <f t="shared" si="350"/>
        <v>116108.92857142857</v>
      </c>
      <c r="BX290" s="2">
        <f t="shared" si="351"/>
        <v>241615</v>
      </c>
      <c r="BY290" s="2">
        <f t="shared" si="352"/>
        <v>290950</v>
      </c>
      <c r="BZ290" s="2">
        <f t="shared" si="353"/>
        <v>370283.57142857142</v>
      </c>
      <c r="CA290" s="2">
        <f t="shared" si="354"/>
        <v>770927.14285714284</v>
      </c>
      <c r="CC290" s="41">
        <f t="shared" si="358"/>
        <v>0.6163424124513619</v>
      </c>
      <c r="CD290" s="41">
        <f t="shared" si="359"/>
        <v>0.33385214007782099</v>
      </c>
      <c r="CE290" s="41">
        <f t="shared" si="360"/>
        <v>4.9805447470817124E-2</v>
      </c>
    </row>
    <row r="291" spans="22:83" x14ac:dyDescent="0.2">
      <c r="V291" s="2">
        <v>284</v>
      </c>
      <c r="W291" s="2">
        <f t="shared" si="355"/>
        <v>71845.71428571429</v>
      </c>
      <c r="X291" s="2">
        <f t="shared" si="355"/>
        <v>140062.85714285713</v>
      </c>
      <c r="Y291" s="2">
        <f t="shared" si="356"/>
        <v>140062.85714285713</v>
      </c>
      <c r="Z291" s="2">
        <f t="shared" ref="Z291:AA291" si="392">Y291</f>
        <v>140062.85714285713</v>
      </c>
      <c r="AA291" s="2">
        <f t="shared" si="392"/>
        <v>140062.85714285713</v>
      </c>
      <c r="AQ291" s="2">
        <v>284</v>
      </c>
      <c r="AR291" s="2">
        <f t="shared" si="388"/>
        <v>38916.428571428572</v>
      </c>
      <c r="AS291" s="2">
        <f t="shared" si="388"/>
        <v>92347.142857142855</v>
      </c>
      <c r="AT291" s="2">
        <f t="shared" si="388"/>
        <v>136071.42857142858</v>
      </c>
      <c r="AU291" s="2">
        <f t="shared" si="388"/>
        <v>204107.14285714287</v>
      </c>
      <c r="AV291" s="2">
        <f t="shared" si="388"/>
        <v>382814.28571428574</v>
      </c>
      <c r="BK291" s="2">
        <v>284</v>
      </c>
      <c r="BL291" s="2">
        <f t="shared" si="389"/>
        <v>5805.7142857142853</v>
      </c>
      <c r="BM291" s="2">
        <f t="shared" si="389"/>
        <v>10160</v>
      </c>
      <c r="BN291" s="2">
        <f t="shared" si="389"/>
        <v>15965.714285714286</v>
      </c>
      <c r="BO291" s="2">
        <f t="shared" si="389"/>
        <v>27577.142857142859</v>
      </c>
      <c r="BP291" s="2">
        <f t="shared" si="389"/>
        <v>251097.14285714287</v>
      </c>
      <c r="BV291" s="2">
        <v>284</v>
      </c>
      <c r="BW291" s="2">
        <f t="shared" si="350"/>
        <v>116567.85714285716</v>
      </c>
      <c r="BX291" s="2">
        <f t="shared" si="351"/>
        <v>242570</v>
      </c>
      <c r="BY291" s="2">
        <f t="shared" si="352"/>
        <v>292099.99999999994</v>
      </c>
      <c r="BZ291" s="2">
        <f t="shared" si="353"/>
        <v>371747.14285714284</v>
      </c>
      <c r="CA291" s="2">
        <f t="shared" si="354"/>
        <v>773974.28571428568</v>
      </c>
      <c r="CC291" s="41">
        <f t="shared" si="358"/>
        <v>0.61634241245136179</v>
      </c>
      <c r="CD291" s="41">
        <f t="shared" si="359"/>
        <v>0.33385214007782099</v>
      </c>
      <c r="CE291" s="41">
        <f t="shared" si="360"/>
        <v>4.980544747081711E-2</v>
      </c>
    </row>
    <row r="292" spans="22:83" x14ac:dyDescent="0.2">
      <c r="V292" s="2">
        <v>285</v>
      </c>
      <c r="W292" s="2">
        <f t="shared" si="355"/>
        <v>72128.571428571435</v>
      </c>
      <c r="X292" s="2">
        <f t="shared" si="355"/>
        <v>140614.28571428571</v>
      </c>
      <c r="Y292" s="2">
        <f t="shared" si="356"/>
        <v>140614.28571428571</v>
      </c>
      <c r="Z292" s="2">
        <f t="shared" ref="Z292:AA292" si="393">Y292</f>
        <v>140614.28571428571</v>
      </c>
      <c r="AA292" s="2">
        <f t="shared" si="393"/>
        <v>140614.28571428571</v>
      </c>
      <c r="AQ292" s="2">
        <v>285</v>
      </c>
      <c r="AR292" s="2">
        <f t="shared" si="388"/>
        <v>39069.642857142855</v>
      </c>
      <c r="AS292" s="2">
        <f t="shared" si="388"/>
        <v>92710.71428571429</v>
      </c>
      <c r="AT292" s="2">
        <f t="shared" si="388"/>
        <v>136607.14285714287</v>
      </c>
      <c r="AU292" s="2">
        <f t="shared" si="388"/>
        <v>204910.71428571429</v>
      </c>
      <c r="AV292" s="2">
        <f t="shared" si="388"/>
        <v>384321.42857142858</v>
      </c>
      <c r="BK292" s="2">
        <v>285</v>
      </c>
      <c r="BL292" s="2">
        <f t="shared" si="389"/>
        <v>5828.5714285714284</v>
      </c>
      <c r="BM292" s="2">
        <f t="shared" si="389"/>
        <v>10200</v>
      </c>
      <c r="BN292" s="2">
        <f t="shared" si="389"/>
        <v>16028.571428571429</v>
      </c>
      <c r="BO292" s="2">
        <f t="shared" si="389"/>
        <v>27685.714285714286</v>
      </c>
      <c r="BP292" s="2">
        <f t="shared" si="389"/>
        <v>252085.71428571429</v>
      </c>
      <c r="BV292" s="2">
        <v>285</v>
      </c>
      <c r="BW292" s="2">
        <f t="shared" si="350"/>
        <v>117026.78571428572</v>
      </c>
      <c r="BX292" s="2">
        <f t="shared" si="351"/>
        <v>243525</v>
      </c>
      <c r="BY292" s="2">
        <f t="shared" si="352"/>
        <v>293250</v>
      </c>
      <c r="BZ292" s="2">
        <f t="shared" si="353"/>
        <v>373210.71428571426</v>
      </c>
      <c r="CA292" s="2">
        <f t="shared" si="354"/>
        <v>777021.42857142864</v>
      </c>
      <c r="CC292" s="41">
        <f t="shared" si="358"/>
        <v>0.6163424124513619</v>
      </c>
      <c r="CD292" s="41">
        <f t="shared" si="359"/>
        <v>0.33385214007782099</v>
      </c>
      <c r="CE292" s="41">
        <f t="shared" si="360"/>
        <v>4.9805447470817117E-2</v>
      </c>
    </row>
    <row r="293" spans="22:83" x14ac:dyDescent="0.2">
      <c r="V293" s="2">
        <v>286</v>
      </c>
      <c r="W293" s="2">
        <f t="shared" si="355"/>
        <v>72411.428571428565</v>
      </c>
      <c r="X293" s="2">
        <f t="shared" si="355"/>
        <v>141165.71428571429</v>
      </c>
      <c r="Y293" s="2">
        <f t="shared" si="356"/>
        <v>141165.71428571429</v>
      </c>
      <c r="Z293" s="2">
        <f t="shared" ref="Z293:AA293" si="394">Y293</f>
        <v>141165.71428571429</v>
      </c>
      <c r="AA293" s="2">
        <f t="shared" si="394"/>
        <v>141165.71428571429</v>
      </c>
      <c r="AQ293" s="2">
        <v>286</v>
      </c>
      <c r="AR293" s="2">
        <f t="shared" si="388"/>
        <v>39222.857142857145</v>
      </c>
      <c r="AS293" s="2">
        <f t="shared" si="388"/>
        <v>93074.28571428571</v>
      </c>
      <c r="AT293" s="2">
        <f t="shared" si="388"/>
        <v>137142.85714285713</v>
      </c>
      <c r="AU293" s="2">
        <f t="shared" si="388"/>
        <v>205714.28571428571</v>
      </c>
      <c r="AV293" s="2">
        <f t="shared" si="388"/>
        <v>385828.57142857142</v>
      </c>
      <c r="BK293" s="2">
        <v>286</v>
      </c>
      <c r="BL293" s="2">
        <f t="shared" si="389"/>
        <v>5851.4285714285716</v>
      </c>
      <c r="BM293" s="2">
        <f t="shared" si="389"/>
        <v>10240</v>
      </c>
      <c r="BN293" s="2">
        <f t="shared" si="389"/>
        <v>16091.428571428571</v>
      </c>
      <c r="BO293" s="2">
        <f t="shared" si="389"/>
        <v>27794.285714285714</v>
      </c>
      <c r="BP293" s="2">
        <f t="shared" si="389"/>
        <v>253074.28571428571</v>
      </c>
      <c r="BV293" s="2">
        <v>286</v>
      </c>
      <c r="BW293" s="2">
        <f t="shared" si="350"/>
        <v>117485.71428571428</v>
      </c>
      <c r="BX293" s="2">
        <f t="shared" si="351"/>
        <v>244480</v>
      </c>
      <c r="BY293" s="2">
        <f t="shared" si="352"/>
        <v>294400</v>
      </c>
      <c r="BZ293" s="2">
        <f t="shared" si="353"/>
        <v>374674.28571428574</v>
      </c>
      <c r="CA293" s="2">
        <f t="shared" si="354"/>
        <v>780068.57142857136</v>
      </c>
      <c r="CC293" s="41">
        <f t="shared" si="358"/>
        <v>0.6163424124513619</v>
      </c>
      <c r="CD293" s="41">
        <f t="shared" si="359"/>
        <v>0.33385214007782105</v>
      </c>
      <c r="CE293" s="41">
        <f t="shared" si="360"/>
        <v>4.9805447470817124E-2</v>
      </c>
    </row>
    <row r="294" spans="22:83" x14ac:dyDescent="0.2">
      <c r="V294" s="2">
        <v>287</v>
      </c>
      <c r="W294" s="2">
        <f t="shared" si="355"/>
        <v>72694.28571428571</v>
      </c>
      <c r="X294" s="2">
        <f t="shared" si="355"/>
        <v>141717.14285714287</v>
      </c>
      <c r="Y294" s="2">
        <f t="shared" si="356"/>
        <v>141717.14285714287</v>
      </c>
      <c r="Z294" s="2">
        <f t="shared" ref="Z294:AA294" si="395">Y294</f>
        <v>141717.14285714287</v>
      </c>
      <c r="AA294" s="2">
        <f t="shared" si="395"/>
        <v>141717.14285714287</v>
      </c>
      <c r="AQ294" s="2">
        <v>287</v>
      </c>
      <c r="AR294" s="2">
        <f t="shared" si="388"/>
        <v>39376.071428571428</v>
      </c>
      <c r="AS294" s="2">
        <f t="shared" si="388"/>
        <v>93437.857142857145</v>
      </c>
      <c r="AT294" s="2">
        <f t="shared" si="388"/>
        <v>137678.57142857142</v>
      </c>
      <c r="AU294" s="2">
        <f t="shared" si="388"/>
        <v>206517.85714285713</v>
      </c>
      <c r="AV294" s="2">
        <f t="shared" si="388"/>
        <v>387335.71428571426</v>
      </c>
      <c r="BK294" s="2">
        <v>287</v>
      </c>
      <c r="BL294" s="2">
        <f t="shared" si="389"/>
        <v>5874.2857142857147</v>
      </c>
      <c r="BM294" s="2">
        <f t="shared" si="389"/>
        <v>10280</v>
      </c>
      <c r="BN294" s="2">
        <f t="shared" si="389"/>
        <v>16154.285714285714</v>
      </c>
      <c r="BO294" s="2">
        <f t="shared" si="389"/>
        <v>27902.857142857141</v>
      </c>
      <c r="BP294" s="2">
        <f t="shared" si="389"/>
        <v>254062.85714285713</v>
      </c>
      <c r="BV294" s="2">
        <v>287</v>
      </c>
      <c r="BW294" s="2">
        <f t="shared" si="350"/>
        <v>117944.64285714284</v>
      </c>
      <c r="BX294" s="2">
        <f t="shared" si="351"/>
        <v>245435</v>
      </c>
      <c r="BY294" s="2">
        <f t="shared" si="352"/>
        <v>295550.00000000006</v>
      </c>
      <c r="BZ294" s="2">
        <f t="shared" si="353"/>
        <v>376137.85714285716</v>
      </c>
      <c r="CA294" s="2">
        <f t="shared" si="354"/>
        <v>783115.71428571432</v>
      </c>
      <c r="CC294" s="41">
        <f t="shared" si="358"/>
        <v>0.6163424124513619</v>
      </c>
      <c r="CD294" s="41">
        <f t="shared" si="359"/>
        <v>0.33385214007782105</v>
      </c>
      <c r="CE294" s="41">
        <f t="shared" si="360"/>
        <v>4.9805447470817131E-2</v>
      </c>
    </row>
    <row r="295" spans="22:83" x14ac:dyDescent="0.2">
      <c r="V295" s="2">
        <v>288</v>
      </c>
      <c r="W295" s="2">
        <f t="shared" si="355"/>
        <v>72977.142857142855</v>
      </c>
      <c r="X295" s="2">
        <f t="shared" si="355"/>
        <v>142268.57142857142</v>
      </c>
      <c r="Y295" s="2">
        <f t="shared" si="356"/>
        <v>142268.57142857142</v>
      </c>
      <c r="Z295" s="2">
        <f t="shared" ref="Z295:AA295" si="396">Y295</f>
        <v>142268.57142857142</v>
      </c>
      <c r="AA295" s="2">
        <f t="shared" si="396"/>
        <v>142268.57142857142</v>
      </c>
      <c r="AQ295" s="2">
        <v>288</v>
      </c>
      <c r="AR295" s="2">
        <f t="shared" si="388"/>
        <v>39529.285714285717</v>
      </c>
      <c r="AS295" s="2">
        <f t="shared" si="388"/>
        <v>93801.428571428565</v>
      </c>
      <c r="AT295" s="2">
        <f t="shared" si="388"/>
        <v>138214.28571428571</v>
      </c>
      <c r="AU295" s="2">
        <f t="shared" si="388"/>
        <v>207321.42857142858</v>
      </c>
      <c r="AV295" s="2">
        <f t="shared" si="388"/>
        <v>388842.85714285716</v>
      </c>
      <c r="BK295" s="2">
        <v>288</v>
      </c>
      <c r="BL295" s="2">
        <f t="shared" si="389"/>
        <v>5897.1428571428569</v>
      </c>
      <c r="BM295" s="2">
        <f t="shared" si="389"/>
        <v>10320</v>
      </c>
      <c r="BN295" s="2">
        <f t="shared" si="389"/>
        <v>16217.142857142857</v>
      </c>
      <c r="BO295" s="2">
        <f t="shared" si="389"/>
        <v>28011.428571428572</v>
      </c>
      <c r="BP295" s="2">
        <f t="shared" si="389"/>
        <v>255051.42857142858</v>
      </c>
      <c r="BV295" s="2">
        <v>288</v>
      </c>
      <c r="BW295" s="2">
        <f t="shared" si="350"/>
        <v>118403.57142857143</v>
      </c>
      <c r="BX295" s="2">
        <f t="shared" si="351"/>
        <v>246390</v>
      </c>
      <c r="BY295" s="2">
        <f t="shared" si="352"/>
        <v>296700</v>
      </c>
      <c r="BZ295" s="2">
        <f t="shared" si="353"/>
        <v>377601.42857142858</v>
      </c>
      <c r="CA295" s="2">
        <f t="shared" si="354"/>
        <v>786162.85714285728</v>
      </c>
      <c r="CC295" s="41">
        <f t="shared" si="358"/>
        <v>0.61634241245136179</v>
      </c>
      <c r="CD295" s="41">
        <f t="shared" si="359"/>
        <v>0.33385214007782105</v>
      </c>
      <c r="CE295" s="41">
        <f t="shared" si="360"/>
        <v>4.9805447470817117E-2</v>
      </c>
    </row>
    <row r="296" spans="22:83" x14ac:dyDescent="0.2">
      <c r="V296" s="2">
        <v>289</v>
      </c>
      <c r="W296" s="2">
        <f t="shared" si="355"/>
        <v>73260</v>
      </c>
      <c r="X296" s="2">
        <f t="shared" si="355"/>
        <v>142820</v>
      </c>
      <c r="Y296" s="2">
        <f t="shared" si="356"/>
        <v>142820</v>
      </c>
      <c r="Z296" s="2">
        <f t="shared" ref="Z296:AA296" si="397">Y296</f>
        <v>142820</v>
      </c>
      <c r="AA296" s="2">
        <f t="shared" si="397"/>
        <v>142820</v>
      </c>
      <c r="AQ296" s="2">
        <v>289</v>
      </c>
      <c r="AR296" s="2">
        <f t="shared" si="388"/>
        <v>39682.5</v>
      </c>
      <c r="AS296" s="2">
        <f t="shared" si="388"/>
        <v>94165</v>
      </c>
      <c r="AT296" s="2">
        <f t="shared" si="388"/>
        <v>138750</v>
      </c>
      <c r="AU296" s="2">
        <f t="shared" si="388"/>
        <v>208125</v>
      </c>
      <c r="AV296" s="2">
        <f t="shared" si="388"/>
        <v>390350</v>
      </c>
      <c r="BK296" s="2">
        <v>289</v>
      </c>
      <c r="BL296" s="2">
        <f t="shared" si="389"/>
        <v>5920</v>
      </c>
      <c r="BM296" s="2">
        <f t="shared" si="389"/>
        <v>10360</v>
      </c>
      <c r="BN296" s="2">
        <f t="shared" si="389"/>
        <v>16280</v>
      </c>
      <c r="BO296" s="2">
        <f t="shared" si="389"/>
        <v>28120</v>
      </c>
      <c r="BP296" s="2">
        <f t="shared" si="389"/>
        <v>256040</v>
      </c>
      <c r="BV296" s="2">
        <v>289</v>
      </c>
      <c r="BW296" s="2">
        <f t="shared" si="350"/>
        <v>118862.5</v>
      </c>
      <c r="BX296" s="2">
        <f t="shared" si="351"/>
        <v>247345</v>
      </c>
      <c r="BY296" s="2">
        <f t="shared" si="352"/>
        <v>297850</v>
      </c>
      <c r="BZ296" s="2">
        <f t="shared" si="353"/>
        <v>379065</v>
      </c>
      <c r="CA296" s="2">
        <f t="shared" si="354"/>
        <v>789210</v>
      </c>
      <c r="CC296" s="41">
        <f t="shared" si="358"/>
        <v>0.6163424124513619</v>
      </c>
      <c r="CD296" s="41">
        <f t="shared" si="359"/>
        <v>0.33385214007782099</v>
      </c>
      <c r="CE296" s="41">
        <f t="shared" si="360"/>
        <v>4.9805447470817124E-2</v>
      </c>
    </row>
    <row r="297" spans="22:83" x14ac:dyDescent="0.2">
      <c r="V297" s="2">
        <v>290</v>
      </c>
      <c r="W297" s="2">
        <f t="shared" ref="W297:X328" si="398">MAX($V297-$C$2,0)*INDEX($S$8:$S$10,MATCH(W$7,$T$8:$T$10,0))*$C$4/$C$3</f>
        <v>73542.857142857145</v>
      </c>
      <c r="X297" s="2">
        <f t="shared" si="398"/>
        <v>143371.42857142858</v>
      </c>
      <c r="Y297" s="2">
        <f t="shared" si="356"/>
        <v>143371.42857142858</v>
      </c>
      <c r="Z297" s="2">
        <f t="shared" ref="Z297:AA297" si="399">Y297</f>
        <v>143371.42857142858</v>
      </c>
      <c r="AA297" s="2">
        <f t="shared" si="399"/>
        <v>143371.42857142858</v>
      </c>
      <c r="AQ297" s="2">
        <v>290</v>
      </c>
      <c r="AR297" s="2">
        <f t="shared" si="388"/>
        <v>39835.714285714283</v>
      </c>
      <c r="AS297" s="2">
        <f t="shared" si="388"/>
        <v>94528.571428571435</v>
      </c>
      <c r="AT297" s="2">
        <f t="shared" si="388"/>
        <v>139285.71428571429</v>
      </c>
      <c r="AU297" s="2">
        <f t="shared" si="388"/>
        <v>208928.57142857142</v>
      </c>
      <c r="AV297" s="2">
        <f t="shared" si="388"/>
        <v>391857.14285714284</v>
      </c>
      <c r="BK297" s="2">
        <v>290</v>
      </c>
      <c r="BL297" s="2">
        <f t="shared" si="389"/>
        <v>5942.8571428571431</v>
      </c>
      <c r="BM297" s="2">
        <f t="shared" si="389"/>
        <v>10400</v>
      </c>
      <c r="BN297" s="2">
        <f t="shared" si="389"/>
        <v>16342.857142857143</v>
      </c>
      <c r="BO297" s="2">
        <f t="shared" si="389"/>
        <v>28228.571428571428</v>
      </c>
      <c r="BP297" s="2">
        <f t="shared" si="389"/>
        <v>257028.57142857142</v>
      </c>
      <c r="BV297" s="2">
        <v>290</v>
      </c>
      <c r="BW297" s="2">
        <f t="shared" si="350"/>
        <v>119321.42857142857</v>
      </c>
      <c r="BX297" s="2">
        <f t="shared" si="351"/>
        <v>248300</v>
      </c>
      <c r="BY297" s="2">
        <f t="shared" si="352"/>
        <v>299000</v>
      </c>
      <c r="BZ297" s="2">
        <f t="shared" si="353"/>
        <v>380528.57142857142</v>
      </c>
      <c r="CA297" s="2">
        <f t="shared" si="354"/>
        <v>792257.14285714272</v>
      </c>
      <c r="CC297" s="41">
        <f t="shared" si="358"/>
        <v>0.6163424124513619</v>
      </c>
      <c r="CD297" s="41">
        <f t="shared" si="359"/>
        <v>0.33385214007782099</v>
      </c>
      <c r="CE297" s="41">
        <f t="shared" si="360"/>
        <v>4.9805447470817124E-2</v>
      </c>
    </row>
    <row r="298" spans="22:83" x14ac:dyDescent="0.2">
      <c r="V298" s="2">
        <v>291</v>
      </c>
      <c r="W298" s="2">
        <f t="shared" si="398"/>
        <v>73825.71428571429</v>
      </c>
      <c r="X298" s="2">
        <f t="shared" si="398"/>
        <v>143922.85714285713</v>
      </c>
      <c r="Y298" s="2">
        <f t="shared" si="356"/>
        <v>143922.85714285713</v>
      </c>
      <c r="Z298" s="2">
        <f t="shared" ref="Z298:AA298" si="400">Y298</f>
        <v>143922.85714285713</v>
      </c>
      <c r="AA298" s="2">
        <f t="shared" si="400"/>
        <v>143922.85714285713</v>
      </c>
      <c r="AQ298" s="2">
        <v>291</v>
      </c>
      <c r="AR298" s="2">
        <f t="shared" ref="AR298:AV307" si="401">MAX($AQ298-$C$2,0)*INDEX($AN$8:$AN$44,MATCH(AR$7,$AO$8:$AO$44,0))/$C$3</f>
        <v>39988.928571428572</v>
      </c>
      <c r="AS298" s="2">
        <f t="shared" si="401"/>
        <v>94892.142857142855</v>
      </c>
      <c r="AT298" s="2">
        <f t="shared" si="401"/>
        <v>139821.42857142858</v>
      </c>
      <c r="AU298" s="2">
        <f t="shared" si="401"/>
        <v>209732.14285714287</v>
      </c>
      <c r="AV298" s="2">
        <f t="shared" si="401"/>
        <v>393364.28571428574</v>
      </c>
      <c r="BK298" s="2">
        <v>291</v>
      </c>
      <c r="BL298" s="2">
        <f t="shared" ref="BL298:BP307" si="402">IFERROR(MAX($BK298-$C$2,0)*INDEX($BH$8:$BH$16,MATCH(BL$7,$BI$8:$BI$16,0))*$C$4/$C$3,BM298)</f>
        <v>5965.7142857142853</v>
      </c>
      <c r="BM298" s="2">
        <f t="shared" si="402"/>
        <v>10440</v>
      </c>
      <c r="BN298" s="2">
        <f t="shared" si="402"/>
        <v>16405.714285714286</v>
      </c>
      <c r="BO298" s="2">
        <f t="shared" si="402"/>
        <v>28337.142857142859</v>
      </c>
      <c r="BP298" s="2">
        <f t="shared" si="402"/>
        <v>258017.14285714287</v>
      </c>
      <c r="BV298" s="2">
        <v>291</v>
      </c>
      <c r="BW298" s="2">
        <f t="shared" si="350"/>
        <v>119780.35714285716</v>
      </c>
      <c r="BX298" s="2">
        <f t="shared" si="351"/>
        <v>249255</v>
      </c>
      <c r="BY298" s="2">
        <f t="shared" si="352"/>
        <v>300149.99999999994</v>
      </c>
      <c r="BZ298" s="2">
        <f t="shared" si="353"/>
        <v>381992.14285714284</v>
      </c>
      <c r="CA298" s="2">
        <f t="shared" si="354"/>
        <v>795304.28571428568</v>
      </c>
      <c r="CC298" s="41">
        <f t="shared" si="358"/>
        <v>0.61634241245136179</v>
      </c>
      <c r="CD298" s="41">
        <f t="shared" si="359"/>
        <v>0.33385214007782099</v>
      </c>
      <c r="CE298" s="41">
        <f t="shared" si="360"/>
        <v>4.980544747081711E-2</v>
      </c>
    </row>
    <row r="299" spans="22:83" x14ac:dyDescent="0.2">
      <c r="V299" s="2">
        <v>292</v>
      </c>
      <c r="W299" s="2">
        <f t="shared" si="398"/>
        <v>74108.571428571435</v>
      </c>
      <c r="X299" s="2">
        <f t="shared" si="398"/>
        <v>144474.28571428571</v>
      </c>
      <c r="Y299" s="2">
        <f t="shared" si="356"/>
        <v>144474.28571428571</v>
      </c>
      <c r="Z299" s="2">
        <f t="shared" ref="Z299:AA299" si="403">Y299</f>
        <v>144474.28571428571</v>
      </c>
      <c r="AA299" s="2">
        <f t="shared" si="403"/>
        <v>144474.28571428571</v>
      </c>
      <c r="AQ299" s="2">
        <v>292</v>
      </c>
      <c r="AR299" s="2">
        <f t="shared" si="401"/>
        <v>40142.142857142855</v>
      </c>
      <c r="AS299" s="2">
        <f t="shared" si="401"/>
        <v>95255.71428571429</v>
      </c>
      <c r="AT299" s="2">
        <f t="shared" si="401"/>
        <v>140357.14285714287</v>
      </c>
      <c r="AU299" s="2">
        <f t="shared" si="401"/>
        <v>210535.71428571429</v>
      </c>
      <c r="AV299" s="2">
        <f t="shared" si="401"/>
        <v>394871.42857142858</v>
      </c>
      <c r="BK299" s="2">
        <v>292</v>
      </c>
      <c r="BL299" s="2">
        <f t="shared" si="402"/>
        <v>5988.5714285714284</v>
      </c>
      <c r="BM299" s="2">
        <f t="shared" si="402"/>
        <v>10480</v>
      </c>
      <c r="BN299" s="2">
        <f t="shared" si="402"/>
        <v>16468.571428571428</v>
      </c>
      <c r="BO299" s="2">
        <f t="shared" si="402"/>
        <v>28445.714285714286</v>
      </c>
      <c r="BP299" s="2">
        <f t="shared" si="402"/>
        <v>259005.71428571429</v>
      </c>
      <c r="BV299" s="2">
        <v>292</v>
      </c>
      <c r="BW299" s="2">
        <f t="shared" si="350"/>
        <v>120239.28571428572</v>
      </c>
      <c r="BX299" s="2">
        <f t="shared" si="351"/>
        <v>250210</v>
      </c>
      <c r="BY299" s="2">
        <f t="shared" si="352"/>
        <v>301300</v>
      </c>
      <c r="BZ299" s="2">
        <f t="shared" si="353"/>
        <v>383455.71428571426</v>
      </c>
      <c r="CA299" s="2">
        <f t="shared" si="354"/>
        <v>798351.42857142864</v>
      </c>
      <c r="CC299" s="41">
        <f t="shared" si="358"/>
        <v>0.6163424124513619</v>
      </c>
      <c r="CD299" s="41">
        <f t="shared" si="359"/>
        <v>0.33385214007782099</v>
      </c>
      <c r="CE299" s="41">
        <f t="shared" si="360"/>
        <v>4.9805447470817117E-2</v>
      </c>
    </row>
    <row r="300" spans="22:83" x14ac:dyDescent="0.2">
      <c r="V300" s="2">
        <v>293</v>
      </c>
      <c r="W300" s="2">
        <f t="shared" si="398"/>
        <v>74391.428571428565</v>
      </c>
      <c r="X300" s="2">
        <f t="shared" si="398"/>
        <v>145025.71428571429</v>
      </c>
      <c r="Y300" s="2">
        <f t="shared" si="356"/>
        <v>145025.71428571429</v>
      </c>
      <c r="Z300" s="2">
        <f t="shared" ref="Z300:AA300" si="404">Y300</f>
        <v>145025.71428571429</v>
      </c>
      <c r="AA300" s="2">
        <f t="shared" si="404"/>
        <v>145025.71428571429</v>
      </c>
      <c r="AQ300" s="2">
        <v>293</v>
      </c>
      <c r="AR300" s="2">
        <f t="shared" si="401"/>
        <v>40295.357142857145</v>
      </c>
      <c r="AS300" s="2">
        <f t="shared" si="401"/>
        <v>95619.28571428571</v>
      </c>
      <c r="AT300" s="2">
        <f t="shared" si="401"/>
        <v>140892.85714285713</v>
      </c>
      <c r="AU300" s="2">
        <f t="shared" si="401"/>
        <v>211339.28571428571</v>
      </c>
      <c r="AV300" s="2">
        <f t="shared" si="401"/>
        <v>396378.57142857142</v>
      </c>
      <c r="BK300" s="2">
        <v>293</v>
      </c>
      <c r="BL300" s="2">
        <f t="shared" si="402"/>
        <v>6011.4285714285716</v>
      </c>
      <c r="BM300" s="2">
        <f t="shared" si="402"/>
        <v>10520</v>
      </c>
      <c r="BN300" s="2">
        <f t="shared" si="402"/>
        <v>16531.428571428572</v>
      </c>
      <c r="BO300" s="2">
        <f t="shared" si="402"/>
        <v>28554.285714285714</v>
      </c>
      <c r="BP300" s="2">
        <f t="shared" si="402"/>
        <v>259994.28571428571</v>
      </c>
      <c r="BV300" s="2">
        <v>293</v>
      </c>
      <c r="BW300" s="2">
        <f t="shared" si="350"/>
        <v>120698.21428571428</v>
      </c>
      <c r="BX300" s="2">
        <f t="shared" si="351"/>
        <v>251165</v>
      </c>
      <c r="BY300" s="2">
        <f t="shared" si="352"/>
        <v>302450</v>
      </c>
      <c r="BZ300" s="2">
        <f t="shared" si="353"/>
        <v>384919.28571428574</v>
      </c>
      <c r="CA300" s="2">
        <f t="shared" si="354"/>
        <v>801398.57142857136</v>
      </c>
      <c r="CC300" s="41">
        <f t="shared" si="358"/>
        <v>0.6163424124513619</v>
      </c>
      <c r="CD300" s="41">
        <f t="shared" si="359"/>
        <v>0.33385214007782105</v>
      </c>
      <c r="CE300" s="41">
        <f t="shared" si="360"/>
        <v>4.9805447470817124E-2</v>
      </c>
    </row>
    <row r="301" spans="22:83" x14ac:dyDescent="0.2">
      <c r="V301" s="2">
        <v>294</v>
      </c>
      <c r="W301" s="2">
        <f t="shared" si="398"/>
        <v>74674.28571428571</v>
      </c>
      <c r="X301" s="2">
        <f t="shared" si="398"/>
        <v>145577.14285714287</v>
      </c>
      <c r="Y301" s="2">
        <f t="shared" si="356"/>
        <v>145577.14285714287</v>
      </c>
      <c r="Z301" s="2">
        <f t="shared" ref="Z301:AA301" si="405">Y301</f>
        <v>145577.14285714287</v>
      </c>
      <c r="AA301" s="2">
        <f t="shared" si="405"/>
        <v>145577.14285714287</v>
      </c>
      <c r="AQ301" s="2">
        <v>294</v>
      </c>
      <c r="AR301" s="2">
        <f t="shared" si="401"/>
        <v>40448.571428571428</v>
      </c>
      <c r="AS301" s="2">
        <f t="shared" si="401"/>
        <v>95982.857142857145</v>
      </c>
      <c r="AT301" s="2">
        <f t="shared" si="401"/>
        <v>141428.57142857142</v>
      </c>
      <c r="AU301" s="2">
        <f t="shared" si="401"/>
        <v>212142.85714285713</v>
      </c>
      <c r="AV301" s="2">
        <f t="shared" si="401"/>
        <v>397885.71428571426</v>
      </c>
      <c r="BK301" s="2">
        <v>294</v>
      </c>
      <c r="BL301" s="2">
        <f t="shared" si="402"/>
        <v>6034.2857142857147</v>
      </c>
      <c r="BM301" s="2">
        <f t="shared" si="402"/>
        <v>10560</v>
      </c>
      <c r="BN301" s="2">
        <f t="shared" si="402"/>
        <v>16594.285714285714</v>
      </c>
      <c r="BO301" s="2">
        <f t="shared" si="402"/>
        <v>28662.857142857141</v>
      </c>
      <c r="BP301" s="2">
        <f t="shared" si="402"/>
        <v>260982.85714285713</v>
      </c>
      <c r="BV301" s="2">
        <v>294</v>
      </c>
      <c r="BW301" s="2">
        <f t="shared" si="350"/>
        <v>121157.14285714284</v>
      </c>
      <c r="BX301" s="2">
        <f t="shared" si="351"/>
        <v>252120</v>
      </c>
      <c r="BY301" s="2">
        <f t="shared" si="352"/>
        <v>303600.00000000006</v>
      </c>
      <c r="BZ301" s="2">
        <f t="shared" si="353"/>
        <v>386382.85714285716</v>
      </c>
      <c r="CA301" s="2">
        <f t="shared" si="354"/>
        <v>804445.71428571432</v>
      </c>
      <c r="CC301" s="41">
        <f t="shared" si="358"/>
        <v>0.6163424124513619</v>
      </c>
      <c r="CD301" s="41">
        <f t="shared" si="359"/>
        <v>0.33385214007782105</v>
      </c>
      <c r="CE301" s="41">
        <f t="shared" si="360"/>
        <v>4.9805447470817131E-2</v>
      </c>
    </row>
    <row r="302" spans="22:83" x14ac:dyDescent="0.2">
      <c r="V302" s="2">
        <v>295</v>
      </c>
      <c r="W302" s="2">
        <f t="shared" si="398"/>
        <v>74957.142857142855</v>
      </c>
      <c r="X302" s="2">
        <f t="shared" si="398"/>
        <v>146128.57142857142</v>
      </c>
      <c r="Y302" s="2">
        <f t="shared" si="356"/>
        <v>146128.57142857142</v>
      </c>
      <c r="Z302" s="2">
        <f t="shared" ref="Z302:AA302" si="406">Y302</f>
        <v>146128.57142857142</v>
      </c>
      <c r="AA302" s="2">
        <f t="shared" si="406"/>
        <v>146128.57142857142</v>
      </c>
      <c r="AQ302" s="2">
        <v>295</v>
      </c>
      <c r="AR302" s="2">
        <f t="shared" si="401"/>
        <v>40601.785714285717</v>
      </c>
      <c r="AS302" s="2">
        <f t="shared" si="401"/>
        <v>96346.428571428565</v>
      </c>
      <c r="AT302" s="2">
        <f t="shared" si="401"/>
        <v>141964.28571428571</v>
      </c>
      <c r="AU302" s="2">
        <f t="shared" si="401"/>
        <v>212946.42857142858</v>
      </c>
      <c r="AV302" s="2">
        <f t="shared" si="401"/>
        <v>399392.85714285716</v>
      </c>
      <c r="BK302" s="2">
        <v>295</v>
      </c>
      <c r="BL302" s="2">
        <f t="shared" si="402"/>
        <v>6057.1428571428569</v>
      </c>
      <c r="BM302" s="2">
        <f t="shared" si="402"/>
        <v>10600</v>
      </c>
      <c r="BN302" s="2">
        <f t="shared" si="402"/>
        <v>16657.142857142859</v>
      </c>
      <c r="BO302" s="2">
        <f t="shared" si="402"/>
        <v>28771.428571428572</v>
      </c>
      <c r="BP302" s="2">
        <f t="shared" si="402"/>
        <v>261971.42857142858</v>
      </c>
      <c r="BV302" s="2">
        <v>295</v>
      </c>
      <c r="BW302" s="2">
        <f t="shared" si="350"/>
        <v>121616.07142857143</v>
      </c>
      <c r="BX302" s="2">
        <f t="shared" si="351"/>
        <v>253075</v>
      </c>
      <c r="BY302" s="2">
        <f t="shared" si="352"/>
        <v>304750</v>
      </c>
      <c r="BZ302" s="2">
        <f t="shared" si="353"/>
        <v>387846.42857142858</v>
      </c>
      <c r="CA302" s="2">
        <f t="shared" si="354"/>
        <v>807492.85714285728</v>
      </c>
      <c r="CC302" s="41">
        <f t="shared" si="358"/>
        <v>0.61634241245136179</v>
      </c>
      <c r="CD302" s="41">
        <f t="shared" si="359"/>
        <v>0.33385214007782105</v>
      </c>
      <c r="CE302" s="41">
        <f t="shared" si="360"/>
        <v>4.9805447470817117E-2</v>
      </c>
    </row>
    <row r="303" spans="22:83" x14ac:dyDescent="0.2">
      <c r="V303" s="2">
        <v>296</v>
      </c>
      <c r="W303" s="2">
        <f t="shared" si="398"/>
        <v>75240</v>
      </c>
      <c r="X303" s="2">
        <f t="shared" si="398"/>
        <v>146680</v>
      </c>
      <c r="Y303" s="2">
        <f t="shared" si="356"/>
        <v>146680</v>
      </c>
      <c r="Z303" s="2">
        <f t="shared" ref="Z303:AA303" si="407">Y303</f>
        <v>146680</v>
      </c>
      <c r="AA303" s="2">
        <f t="shared" si="407"/>
        <v>146680</v>
      </c>
      <c r="AQ303" s="2">
        <v>296</v>
      </c>
      <c r="AR303" s="2">
        <f t="shared" si="401"/>
        <v>40755</v>
      </c>
      <c r="AS303" s="2">
        <f t="shared" si="401"/>
        <v>96710</v>
      </c>
      <c r="AT303" s="2">
        <f t="shared" si="401"/>
        <v>142500</v>
      </c>
      <c r="AU303" s="2">
        <f t="shared" si="401"/>
        <v>213750</v>
      </c>
      <c r="AV303" s="2">
        <f t="shared" si="401"/>
        <v>400900</v>
      </c>
      <c r="BK303" s="2">
        <v>296</v>
      </c>
      <c r="BL303" s="2">
        <f t="shared" si="402"/>
        <v>6080</v>
      </c>
      <c r="BM303" s="2">
        <f t="shared" si="402"/>
        <v>10640</v>
      </c>
      <c r="BN303" s="2">
        <f t="shared" si="402"/>
        <v>16720</v>
      </c>
      <c r="BO303" s="2">
        <f t="shared" si="402"/>
        <v>28880</v>
      </c>
      <c r="BP303" s="2">
        <f t="shared" si="402"/>
        <v>262960</v>
      </c>
      <c r="BV303" s="2">
        <v>296</v>
      </c>
      <c r="BW303" s="2">
        <f t="shared" si="350"/>
        <v>122075</v>
      </c>
      <c r="BX303" s="2">
        <f t="shared" si="351"/>
        <v>254030</v>
      </c>
      <c r="BY303" s="2">
        <f t="shared" si="352"/>
        <v>305900</v>
      </c>
      <c r="BZ303" s="2">
        <f t="shared" si="353"/>
        <v>389310</v>
      </c>
      <c r="CA303" s="2">
        <f t="shared" si="354"/>
        <v>810540</v>
      </c>
      <c r="CC303" s="41">
        <f t="shared" si="358"/>
        <v>0.6163424124513619</v>
      </c>
      <c r="CD303" s="41">
        <f t="shared" si="359"/>
        <v>0.33385214007782099</v>
      </c>
      <c r="CE303" s="41">
        <f t="shared" si="360"/>
        <v>4.9805447470817124E-2</v>
      </c>
    </row>
    <row r="304" spans="22:83" x14ac:dyDescent="0.2">
      <c r="V304" s="2">
        <v>297</v>
      </c>
      <c r="W304" s="2">
        <f t="shared" si="398"/>
        <v>75522.857142857145</v>
      </c>
      <c r="X304" s="2">
        <f t="shared" si="398"/>
        <v>147231.42857142858</v>
      </c>
      <c r="Y304" s="2">
        <f t="shared" si="356"/>
        <v>147231.42857142858</v>
      </c>
      <c r="Z304" s="2">
        <f t="shared" ref="Z304:AA304" si="408">Y304</f>
        <v>147231.42857142858</v>
      </c>
      <c r="AA304" s="2">
        <f t="shared" si="408"/>
        <v>147231.42857142858</v>
      </c>
      <c r="AQ304" s="2">
        <v>297</v>
      </c>
      <c r="AR304" s="2">
        <f t="shared" si="401"/>
        <v>40908.214285714283</v>
      </c>
      <c r="AS304" s="2">
        <f t="shared" si="401"/>
        <v>97073.571428571435</v>
      </c>
      <c r="AT304" s="2">
        <f t="shared" si="401"/>
        <v>143035.71428571429</v>
      </c>
      <c r="AU304" s="2">
        <f t="shared" si="401"/>
        <v>214553.57142857142</v>
      </c>
      <c r="AV304" s="2">
        <f t="shared" si="401"/>
        <v>402407.14285714284</v>
      </c>
      <c r="BK304" s="2">
        <v>297</v>
      </c>
      <c r="BL304" s="2">
        <f t="shared" si="402"/>
        <v>6102.8571428571431</v>
      </c>
      <c r="BM304" s="2">
        <f t="shared" si="402"/>
        <v>10680</v>
      </c>
      <c r="BN304" s="2">
        <f t="shared" si="402"/>
        <v>16782.857142857141</v>
      </c>
      <c r="BO304" s="2">
        <f t="shared" si="402"/>
        <v>28988.571428571428</v>
      </c>
      <c r="BP304" s="2">
        <f t="shared" si="402"/>
        <v>263948.57142857142</v>
      </c>
      <c r="BV304" s="2">
        <v>297</v>
      </c>
      <c r="BW304" s="2">
        <f t="shared" si="350"/>
        <v>122533.92857142857</v>
      </c>
      <c r="BX304" s="2">
        <f t="shared" si="351"/>
        <v>254985</v>
      </c>
      <c r="BY304" s="2">
        <f t="shared" si="352"/>
        <v>307050</v>
      </c>
      <c r="BZ304" s="2">
        <f t="shared" si="353"/>
        <v>390773.57142857142</v>
      </c>
      <c r="CA304" s="2">
        <f t="shared" si="354"/>
        <v>813587.14285714272</v>
      </c>
      <c r="CC304" s="41">
        <f t="shared" si="358"/>
        <v>0.6163424124513619</v>
      </c>
      <c r="CD304" s="41">
        <f t="shared" si="359"/>
        <v>0.33385214007782099</v>
      </c>
      <c r="CE304" s="41">
        <f t="shared" si="360"/>
        <v>4.9805447470817124E-2</v>
      </c>
    </row>
    <row r="305" spans="22:83" x14ac:dyDescent="0.2">
      <c r="V305" s="2">
        <v>298</v>
      </c>
      <c r="W305" s="2">
        <f t="shared" si="398"/>
        <v>75805.71428571429</v>
      </c>
      <c r="X305" s="2">
        <f t="shared" si="398"/>
        <v>147782.85714285713</v>
      </c>
      <c r="Y305" s="2">
        <f t="shared" si="356"/>
        <v>147782.85714285713</v>
      </c>
      <c r="Z305" s="2">
        <f t="shared" ref="Z305:AA305" si="409">Y305</f>
        <v>147782.85714285713</v>
      </c>
      <c r="AA305" s="2">
        <f t="shared" si="409"/>
        <v>147782.85714285713</v>
      </c>
      <c r="AQ305" s="2">
        <v>298</v>
      </c>
      <c r="AR305" s="2">
        <f t="shared" si="401"/>
        <v>41061.428571428572</v>
      </c>
      <c r="AS305" s="2">
        <f t="shared" si="401"/>
        <v>97437.142857142855</v>
      </c>
      <c r="AT305" s="2">
        <f t="shared" si="401"/>
        <v>143571.42857142858</v>
      </c>
      <c r="AU305" s="2">
        <f t="shared" si="401"/>
        <v>215357.14285714287</v>
      </c>
      <c r="AV305" s="2">
        <f t="shared" si="401"/>
        <v>403914.28571428574</v>
      </c>
      <c r="BK305" s="2">
        <v>298</v>
      </c>
      <c r="BL305" s="2">
        <f t="shared" si="402"/>
        <v>6125.7142857142853</v>
      </c>
      <c r="BM305" s="2">
        <f t="shared" si="402"/>
        <v>10720</v>
      </c>
      <c r="BN305" s="2">
        <f t="shared" si="402"/>
        <v>16845.714285714286</v>
      </c>
      <c r="BO305" s="2">
        <f t="shared" si="402"/>
        <v>29097.142857142859</v>
      </c>
      <c r="BP305" s="2">
        <f t="shared" si="402"/>
        <v>264937.14285714284</v>
      </c>
      <c r="BV305" s="2">
        <v>298</v>
      </c>
      <c r="BW305" s="2">
        <f t="shared" si="350"/>
        <v>122992.85714285716</v>
      </c>
      <c r="BX305" s="2">
        <f t="shared" si="351"/>
        <v>255940</v>
      </c>
      <c r="BY305" s="2">
        <f t="shared" si="352"/>
        <v>308199.99999999994</v>
      </c>
      <c r="BZ305" s="2">
        <f t="shared" si="353"/>
        <v>392237.14285714284</v>
      </c>
      <c r="CA305" s="2">
        <f t="shared" si="354"/>
        <v>816634.28571428568</v>
      </c>
      <c r="CC305" s="41">
        <f t="shared" si="358"/>
        <v>0.61634241245136179</v>
      </c>
      <c r="CD305" s="41">
        <f t="shared" si="359"/>
        <v>0.33385214007782099</v>
      </c>
      <c r="CE305" s="41">
        <f t="shared" si="360"/>
        <v>4.980544747081711E-2</v>
      </c>
    </row>
    <row r="306" spans="22:83" x14ac:dyDescent="0.2">
      <c r="V306" s="2">
        <v>299</v>
      </c>
      <c r="W306" s="2">
        <f t="shared" si="398"/>
        <v>76088.571428571435</v>
      </c>
      <c r="X306" s="2">
        <f t="shared" si="398"/>
        <v>148334.28571428571</v>
      </c>
      <c r="Y306" s="2">
        <f t="shared" si="356"/>
        <v>148334.28571428571</v>
      </c>
      <c r="Z306" s="2">
        <f t="shared" ref="Z306:AA306" si="410">Y306</f>
        <v>148334.28571428571</v>
      </c>
      <c r="AA306" s="2">
        <f t="shared" si="410"/>
        <v>148334.28571428571</v>
      </c>
      <c r="AQ306" s="2">
        <v>299</v>
      </c>
      <c r="AR306" s="2">
        <f t="shared" si="401"/>
        <v>41214.642857142855</v>
      </c>
      <c r="AS306" s="2">
        <f t="shared" si="401"/>
        <v>97800.71428571429</v>
      </c>
      <c r="AT306" s="2">
        <f t="shared" si="401"/>
        <v>144107.14285714287</v>
      </c>
      <c r="AU306" s="2">
        <f t="shared" si="401"/>
        <v>216160.71428571429</v>
      </c>
      <c r="AV306" s="2">
        <f t="shared" si="401"/>
        <v>405421.42857142858</v>
      </c>
      <c r="BK306" s="2">
        <v>299</v>
      </c>
      <c r="BL306" s="2">
        <f t="shared" si="402"/>
        <v>6148.5714285714284</v>
      </c>
      <c r="BM306" s="2">
        <f t="shared" si="402"/>
        <v>10760</v>
      </c>
      <c r="BN306" s="2">
        <f t="shared" si="402"/>
        <v>16908.571428571428</v>
      </c>
      <c r="BO306" s="2">
        <f t="shared" si="402"/>
        <v>29205.714285714286</v>
      </c>
      <c r="BP306" s="2">
        <f t="shared" si="402"/>
        <v>265925.71428571426</v>
      </c>
      <c r="BV306" s="2">
        <v>299</v>
      </c>
      <c r="BW306" s="2">
        <f t="shared" si="350"/>
        <v>123451.78571428572</v>
      </c>
      <c r="BX306" s="2">
        <f t="shared" si="351"/>
        <v>256895</v>
      </c>
      <c r="BY306" s="2">
        <f t="shared" si="352"/>
        <v>309350</v>
      </c>
      <c r="BZ306" s="2">
        <f t="shared" si="353"/>
        <v>393700.71428571426</v>
      </c>
      <c r="CA306" s="2">
        <f t="shared" si="354"/>
        <v>819681.42857142864</v>
      </c>
      <c r="CC306" s="41">
        <f t="shared" si="358"/>
        <v>0.6163424124513619</v>
      </c>
      <c r="CD306" s="41">
        <f t="shared" si="359"/>
        <v>0.33385214007782099</v>
      </c>
      <c r="CE306" s="41">
        <f t="shared" si="360"/>
        <v>4.9805447470817117E-2</v>
      </c>
    </row>
    <row r="307" spans="22:83" x14ac:dyDescent="0.2">
      <c r="V307" s="2">
        <v>300</v>
      </c>
      <c r="W307" s="2">
        <f t="shared" si="398"/>
        <v>76371.428571428565</v>
      </c>
      <c r="X307" s="2">
        <f t="shared" si="398"/>
        <v>148885.71428571429</v>
      </c>
      <c r="Y307" s="2">
        <f t="shared" si="356"/>
        <v>148885.71428571429</v>
      </c>
      <c r="Z307" s="2">
        <f t="shared" ref="Z307:AA307" si="411">Y307</f>
        <v>148885.71428571429</v>
      </c>
      <c r="AA307" s="2">
        <f t="shared" si="411"/>
        <v>148885.71428571429</v>
      </c>
      <c r="AQ307" s="2">
        <v>300</v>
      </c>
      <c r="AR307" s="2">
        <f t="shared" si="401"/>
        <v>41367.857142857145</v>
      </c>
      <c r="AS307" s="2">
        <f t="shared" si="401"/>
        <v>98164.28571428571</v>
      </c>
      <c r="AT307" s="2">
        <f t="shared" si="401"/>
        <v>144642.85714285713</v>
      </c>
      <c r="AU307" s="2">
        <f t="shared" si="401"/>
        <v>216964.28571428571</v>
      </c>
      <c r="AV307" s="2">
        <f t="shared" si="401"/>
        <v>406928.57142857142</v>
      </c>
      <c r="BK307" s="2">
        <v>300</v>
      </c>
      <c r="BL307" s="2">
        <f t="shared" si="402"/>
        <v>6171.4285714285716</v>
      </c>
      <c r="BM307" s="2">
        <f t="shared" si="402"/>
        <v>10800</v>
      </c>
      <c r="BN307" s="2">
        <f t="shared" si="402"/>
        <v>16971.428571428572</v>
      </c>
      <c r="BO307" s="2">
        <f t="shared" si="402"/>
        <v>29314.285714285714</v>
      </c>
      <c r="BP307" s="2">
        <f t="shared" si="402"/>
        <v>266914.28571428574</v>
      </c>
      <c r="BV307" s="2">
        <v>300</v>
      </c>
      <c r="BW307" s="2">
        <f t="shared" si="350"/>
        <v>123910.71428571428</v>
      </c>
      <c r="BX307" s="2">
        <f t="shared" si="351"/>
        <v>257850</v>
      </c>
      <c r="BY307" s="2">
        <f t="shared" si="352"/>
        <v>310500</v>
      </c>
      <c r="BZ307" s="2">
        <f t="shared" si="353"/>
        <v>395164.28571428574</v>
      </c>
      <c r="CA307" s="2">
        <f t="shared" si="354"/>
        <v>822728.57142857136</v>
      </c>
      <c r="CC307" s="41">
        <f t="shared" si="358"/>
        <v>0.6163424124513619</v>
      </c>
      <c r="CD307" s="41">
        <f t="shared" si="359"/>
        <v>0.33385214007782105</v>
      </c>
      <c r="CE307" s="41">
        <f t="shared" si="360"/>
        <v>4.9805447470817124E-2</v>
      </c>
    </row>
    <row r="308" spans="22:83" x14ac:dyDescent="0.2">
      <c r="V308" s="2">
        <v>301</v>
      </c>
      <c r="W308" s="2">
        <f t="shared" si="398"/>
        <v>76654.28571428571</v>
      </c>
      <c r="X308" s="2">
        <f t="shared" si="398"/>
        <v>149437.14285714287</v>
      </c>
      <c r="Y308" s="2">
        <f t="shared" si="356"/>
        <v>149437.14285714287</v>
      </c>
      <c r="Z308" s="2">
        <f t="shared" ref="Z308:AA308" si="412">Y308</f>
        <v>149437.14285714287</v>
      </c>
      <c r="AA308" s="2">
        <f t="shared" si="412"/>
        <v>149437.14285714287</v>
      </c>
      <c r="AQ308" s="2">
        <v>301</v>
      </c>
      <c r="AR308" s="2">
        <f t="shared" ref="AR308:AV317" si="413">MAX($AQ308-$C$2,0)*INDEX($AN$8:$AN$44,MATCH(AR$7,$AO$8:$AO$44,0))/$C$3</f>
        <v>41521.071428571428</v>
      </c>
      <c r="AS308" s="2">
        <f t="shared" si="413"/>
        <v>98527.857142857145</v>
      </c>
      <c r="AT308" s="2">
        <f t="shared" si="413"/>
        <v>145178.57142857142</v>
      </c>
      <c r="AU308" s="2">
        <f t="shared" si="413"/>
        <v>217767.85714285713</v>
      </c>
      <c r="AV308" s="2">
        <f t="shared" si="413"/>
        <v>408435.71428571426</v>
      </c>
      <c r="BK308" s="2">
        <v>301</v>
      </c>
      <c r="BL308" s="2">
        <f t="shared" ref="BL308:BP317" si="414">IFERROR(MAX($BK308-$C$2,0)*INDEX($BH$8:$BH$16,MATCH(BL$7,$BI$8:$BI$16,0))*$C$4/$C$3,BM308)</f>
        <v>6194.2857142857147</v>
      </c>
      <c r="BM308" s="2">
        <f t="shared" si="414"/>
        <v>10840</v>
      </c>
      <c r="BN308" s="2">
        <f t="shared" si="414"/>
        <v>17034.285714285714</v>
      </c>
      <c r="BO308" s="2">
        <f t="shared" si="414"/>
        <v>29422.857142857141</v>
      </c>
      <c r="BP308" s="2">
        <f t="shared" si="414"/>
        <v>267902.85714285716</v>
      </c>
      <c r="BV308" s="2">
        <v>301</v>
      </c>
      <c r="BW308" s="2">
        <f t="shared" si="350"/>
        <v>124369.64285714284</v>
      </c>
      <c r="BX308" s="2">
        <f t="shared" si="351"/>
        <v>258805</v>
      </c>
      <c r="BY308" s="2">
        <f t="shared" si="352"/>
        <v>311650.00000000006</v>
      </c>
      <c r="BZ308" s="2">
        <f t="shared" si="353"/>
        <v>396627.85714285716</v>
      </c>
      <c r="CA308" s="2">
        <f t="shared" si="354"/>
        <v>825775.71428571432</v>
      </c>
      <c r="CC308" s="41">
        <f t="shared" si="358"/>
        <v>0.6163424124513619</v>
      </c>
      <c r="CD308" s="41">
        <f t="shared" si="359"/>
        <v>0.33385214007782105</v>
      </c>
      <c r="CE308" s="41">
        <f t="shared" si="360"/>
        <v>4.9805447470817131E-2</v>
      </c>
    </row>
    <row r="309" spans="22:83" x14ac:dyDescent="0.2">
      <c r="V309" s="2">
        <v>302</v>
      </c>
      <c r="W309" s="2">
        <f t="shared" si="398"/>
        <v>76937.142857142855</v>
      </c>
      <c r="X309" s="2">
        <f t="shared" si="398"/>
        <v>149988.57142857142</v>
      </c>
      <c r="Y309" s="2">
        <f t="shared" si="356"/>
        <v>149988.57142857142</v>
      </c>
      <c r="Z309" s="2">
        <f t="shared" ref="Z309:AA309" si="415">Y309</f>
        <v>149988.57142857142</v>
      </c>
      <c r="AA309" s="2">
        <f t="shared" si="415"/>
        <v>149988.57142857142</v>
      </c>
      <c r="AQ309" s="2">
        <v>302</v>
      </c>
      <c r="AR309" s="2">
        <f t="shared" si="413"/>
        <v>41674.285714285717</v>
      </c>
      <c r="AS309" s="2">
        <f t="shared" si="413"/>
        <v>98891.428571428565</v>
      </c>
      <c r="AT309" s="2">
        <f t="shared" si="413"/>
        <v>145714.28571428571</v>
      </c>
      <c r="AU309" s="2">
        <f t="shared" si="413"/>
        <v>218571.42857142858</v>
      </c>
      <c r="AV309" s="2">
        <f t="shared" si="413"/>
        <v>409942.85714285716</v>
      </c>
      <c r="BK309" s="2">
        <v>302</v>
      </c>
      <c r="BL309" s="2">
        <f t="shared" si="414"/>
        <v>6217.1428571428569</v>
      </c>
      <c r="BM309" s="2">
        <f t="shared" si="414"/>
        <v>10880</v>
      </c>
      <c r="BN309" s="2">
        <f t="shared" si="414"/>
        <v>17097.142857142859</v>
      </c>
      <c r="BO309" s="2">
        <f t="shared" si="414"/>
        <v>29531.428571428572</v>
      </c>
      <c r="BP309" s="2">
        <f t="shared" si="414"/>
        <v>268891.42857142858</v>
      </c>
      <c r="BV309" s="2">
        <v>302</v>
      </c>
      <c r="BW309" s="2">
        <f t="shared" si="350"/>
        <v>124828.57142857143</v>
      </c>
      <c r="BX309" s="2">
        <f t="shared" si="351"/>
        <v>259760</v>
      </c>
      <c r="BY309" s="2">
        <f t="shared" si="352"/>
        <v>312800</v>
      </c>
      <c r="BZ309" s="2">
        <f t="shared" si="353"/>
        <v>398091.42857142858</v>
      </c>
      <c r="CA309" s="2">
        <f t="shared" si="354"/>
        <v>828822.85714285728</v>
      </c>
      <c r="CC309" s="41">
        <f t="shared" si="358"/>
        <v>0.61634241245136179</v>
      </c>
      <c r="CD309" s="41">
        <f t="shared" si="359"/>
        <v>0.33385214007782105</v>
      </c>
      <c r="CE309" s="41">
        <f t="shared" si="360"/>
        <v>4.9805447470817117E-2</v>
      </c>
    </row>
    <row r="310" spans="22:83" x14ac:dyDescent="0.2">
      <c r="V310" s="2">
        <v>303</v>
      </c>
      <c r="W310" s="2">
        <f t="shared" si="398"/>
        <v>77220</v>
      </c>
      <c r="X310" s="2">
        <f t="shared" si="398"/>
        <v>150540</v>
      </c>
      <c r="Y310" s="2">
        <f t="shared" si="356"/>
        <v>150540</v>
      </c>
      <c r="Z310" s="2">
        <f t="shared" ref="Z310:AA310" si="416">Y310</f>
        <v>150540</v>
      </c>
      <c r="AA310" s="2">
        <f t="shared" si="416"/>
        <v>150540</v>
      </c>
      <c r="AQ310" s="2">
        <v>303</v>
      </c>
      <c r="AR310" s="2">
        <f t="shared" si="413"/>
        <v>41827.5</v>
      </c>
      <c r="AS310" s="2">
        <f t="shared" si="413"/>
        <v>99255</v>
      </c>
      <c r="AT310" s="2">
        <f t="shared" si="413"/>
        <v>146250</v>
      </c>
      <c r="AU310" s="2">
        <f t="shared" si="413"/>
        <v>219375</v>
      </c>
      <c r="AV310" s="2">
        <f t="shared" si="413"/>
        <v>411450</v>
      </c>
      <c r="BK310" s="2">
        <v>303</v>
      </c>
      <c r="BL310" s="2">
        <f t="shared" si="414"/>
        <v>6240</v>
      </c>
      <c r="BM310" s="2">
        <f t="shared" si="414"/>
        <v>10920</v>
      </c>
      <c r="BN310" s="2">
        <f t="shared" si="414"/>
        <v>17160</v>
      </c>
      <c r="BO310" s="2">
        <f t="shared" si="414"/>
        <v>29640</v>
      </c>
      <c r="BP310" s="2">
        <f t="shared" si="414"/>
        <v>269880</v>
      </c>
      <c r="BV310" s="2">
        <v>303</v>
      </c>
      <c r="BW310" s="2">
        <f t="shared" si="350"/>
        <v>125287.5</v>
      </c>
      <c r="BX310" s="2">
        <f t="shared" si="351"/>
        <v>260715</v>
      </c>
      <c r="BY310" s="2">
        <f t="shared" si="352"/>
        <v>313950</v>
      </c>
      <c r="BZ310" s="2">
        <f t="shared" si="353"/>
        <v>399555</v>
      </c>
      <c r="CA310" s="2">
        <f t="shared" si="354"/>
        <v>831870</v>
      </c>
      <c r="CC310" s="41">
        <f t="shared" si="358"/>
        <v>0.6163424124513619</v>
      </c>
      <c r="CD310" s="41">
        <f t="shared" si="359"/>
        <v>0.33385214007782099</v>
      </c>
      <c r="CE310" s="41">
        <f t="shared" si="360"/>
        <v>4.9805447470817124E-2</v>
      </c>
    </row>
    <row r="311" spans="22:83" x14ac:dyDescent="0.2">
      <c r="V311" s="2">
        <v>304</v>
      </c>
      <c r="W311" s="2">
        <f t="shared" si="398"/>
        <v>77502.857142857145</v>
      </c>
      <c r="X311" s="2">
        <f t="shared" si="398"/>
        <v>151091.42857142858</v>
      </c>
      <c r="Y311" s="2">
        <f t="shared" si="356"/>
        <v>151091.42857142858</v>
      </c>
      <c r="Z311" s="2">
        <f t="shared" ref="Z311:AA311" si="417">Y311</f>
        <v>151091.42857142858</v>
      </c>
      <c r="AA311" s="2">
        <f t="shared" si="417"/>
        <v>151091.42857142858</v>
      </c>
      <c r="AQ311" s="2">
        <v>304</v>
      </c>
      <c r="AR311" s="2">
        <f t="shared" si="413"/>
        <v>41980.714285714283</v>
      </c>
      <c r="AS311" s="2">
        <f t="shared" si="413"/>
        <v>99618.571428571435</v>
      </c>
      <c r="AT311" s="2">
        <f t="shared" si="413"/>
        <v>146785.71428571429</v>
      </c>
      <c r="AU311" s="2">
        <f t="shared" si="413"/>
        <v>220178.57142857142</v>
      </c>
      <c r="AV311" s="2">
        <f t="shared" si="413"/>
        <v>412957.14285714284</v>
      </c>
      <c r="BK311" s="2">
        <v>304</v>
      </c>
      <c r="BL311" s="2">
        <f t="shared" si="414"/>
        <v>6262.8571428571431</v>
      </c>
      <c r="BM311" s="2">
        <f t="shared" si="414"/>
        <v>10960</v>
      </c>
      <c r="BN311" s="2">
        <f t="shared" si="414"/>
        <v>17222.857142857141</v>
      </c>
      <c r="BO311" s="2">
        <f t="shared" si="414"/>
        <v>29748.571428571428</v>
      </c>
      <c r="BP311" s="2">
        <f t="shared" si="414"/>
        <v>270868.57142857142</v>
      </c>
      <c r="BV311" s="2">
        <v>304</v>
      </c>
      <c r="BW311" s="2">
        <f t="shared" si="350"/>
        <v>125746.42857142857</v>
      </c>
      <c r="BX311" s="2">
        <f t="shared" si="351"/>
        <v>261670</v>
      </c>
      <c r="BY311" s="2">
        <f t="shared" si="352"/>
        <v>315100</v>
      </c>
      <c r="BZ311" s="2">
        <f t="shared" si="353"/>
        <v>401018.57142857142</v>
      </c>
      <c r="CA311" s="2">
        <f t="shared" si="354"/>
        <v>834917.14285714272</v>
      </c>
      <c r="CC311" s="41">
        <f t="shared" si="358"/>
        <v>0.6163424124513619</v>
      </c>
      <c r="CD311" s="41">
        <f t="shared" si="359"/>
        <v>0.33385214007782099</v>
      </c>
      <c r="CE311" s="41">
        <f t="shared" si="360"/>
        <v>4.9805447470817124E-2</v>
      </c>
    </row>
    <row r="312" spans="22:83" x14ac:dyDescent="0.2">
      <c r="V312" s="2">
        <v>305</v>
      </c>
      <c r="W312" s="2">
        <f t="shared" si="398"/>
        <v>77785.71428571429</v>
      </c>
      <c r="X312" s="2">
        <f t="shared" si="398"/>
        <v>151642.85714285713</v>
      </c>
      <c r="Y312" s="2">
        <f t="shared" si="356"/>
        <v>151642.85714285713</v>
      </c>
      <c r="Z312" s="2">
        <f t="shared" ref="Z312:AA312" si="418">Y312</f>
        <v>151642.85714285713</v>
      </c>
      <c r="AA312" s="2">
        <f t="shared" si="418"/>
        <v>151642.85714285713</v>
      </c>
      <c r="AQ312" s="2">
        <v>305</v>
      </c>
      <c r="AR312" s="2">
        <f t="shared" si="413"/>
        <v>42133.928571428572</v>
      </c>
      <c r="AS312" s="2">
        <f t="shared" si="413"/>
        <v>99982.142857142855</v>
      </c>
      <c r="AT312" s="2">
        <f t="shared" si="413"/>
        <v>147321.42857142858</v>
      </c>
      <c r="AU312" s="2">
        <f t="shared" si="413"/>
        <v>220982.14285714287</v>
      </c>
      <c r="AV312" s="2">
        <f t="shared" si="413"/>
        <v>414464.28571428574</v>
      </c>
      <c r="BK312" s="2">
        <v>305</v>
      </c>
      <c r="BL312" s="2">
        <f t="shared" si="414"/>
        <v>6285.7142857142853</v>
      </c>
      <c r="BM312" s="2">
        <f t="shared" si="414"/>
        <v>11000</v>
      </c>
      <c r="BN312" s="2">
        <f t="shared" si="414"/>
        <v>17285.714285714286</v>
      </c>
      <c r="BO312" s="2">
        <f t="shared" si="414"/>
        <v>29857.142857142859</v>
      </c>
      <c r="BP312" s="2">
        <f t="shared" si="414"/>
        <v>271857.14285714284</v>
      </c>
      <c r="BV312" s="2">
        <v>305</v>
      </c>
      <c r="BW312" s="2">
        <f t="shared" si="350"/>
        <v>126205.35714285716</v>
      </c>
      <c r="BX312" s="2">
        <f t="shared" si="351"/>
        <v>262625</v>
      </c>
      <c r="BY312" s="2">
        <f t="shared" si="352"/>
        <v>316249.99999999994</v>
      </c>
      <c r="BZ312" s="2">
        <f t="shared" si="353"/>
        <v>402482.14285714284</v>
      </c>
      <c r="CA312" s="2">
        <f t="shared" si="354"/>
        <v>837964.28571428568</v>
      </c>
      <c r="CC312" s="41">
        <f t="shared" si="358"/>
        <v>0.61634241245136179</v>
      </c>
      <c r="CD312" s="41">
        <f t="shared" si="359"/>
        <v>0.33385214007782099</v>
      </c>
      <c r="CE312" s="41">
        <f t="shared" si="360"/>
        <v>4.980544747081711E-2</v>
      </c>
    </row>
    <row r="313" spans="22:83" x14ac:dyDescent="0.2">
      <c r="V313" s="2">
        <v>306</v>
      </c>
      <c r="W313" s="2">
        <f t="shared" si="398"/>
        <v>78068.571428571435</v>
      </c>
      <c r="X313" s="2">
        <f t="shared" si="398"/>
        <v>152194.28571428571</v>
      </c>
      <c r="Y313" s="2">
        <f t="shared" si="356"/>
        <v>152194.28571428571</v>
      </c>
      <c r="Z313" s="2">
        <f t="shared" ref="Z313:AA313" si="419">Y313</f>
        <v>152194.28571428571</v>
      </c>
      <c r="AA313" s="2">
        <f t="shared" si="419"/>
        <v>152194.28571428571</v>
      </c>
      <c r="AQ313" s="2">
        <v>306</v>
      </c>
      <c r="AR313" s="2">
        <f t="shared" si="413"/>
        <v>42287.142857142855</v>
      </c>
      <c r="AS313" s="2">
        <f t="shared" si="413"/>
        <v>100345.71428571429</v>
      </c>
      <c r="AT313" s="2">
        <f t="shared" si="413"/>
        <v>147857.14285714287</v>
      </c>
      <c r="AU313" s="2">
        <f t="shared" si="413"/>
        <v>221785.71428571429</v>
      </c>
      <c r="AV313" s="2">
        <f t="shared" si="413"/>
        <v>415971.42857142858</v>
      </c>
      <c r="BK313" s="2">
        <v>306</v>
      </c>
      <c r="BL313" s="2">
        <f t="shared" si="414"/>
        <v>6308.5714285714284</v>
      </c>
      <c r="BM313" s="2">
        <f t="shared" si="414"/>
        <v>11040</v>
      </c>
      <c r="BN313" s="2">
        <f t="shared" si="414"/>
        <v>17348.571428571428</v>
      </c>
      <c r="BO313" s="2">
        <f t="shared" si="414"/>
        <v>29965.714285714286</v>
      </c>
      <c r="BP313" s="2">
        <f t="shared" si="414"/>
        <v>272845.71428571426</v>
      </c>
      <c r="BV313" s="2">
        <v>306</v>
      </c>
      <c r="BW313" s="2">
        <f t="shared" si="350"/>
        <v>126664.28571428572</v>
      </c>
      <c r="BX313" s="2">
        <f t="shared" si="351"/>
        <v>263580</v>
      </c>
      <c r="BY313" s="2">
        <f t="shared" si="352"/>
        <v>317400</v>
      </c>
      <c r="BZ313" s="2">
        <f t="shared" si="353"/>
        <v>403945.71428571426</v>
      </c>
      <c r="CA313" s="2">
        <f t="shared" si="354"/>
        <v>841011.42857142864</v>
      </c>
      <c r="CC313" s="41">
        <f t="shared" si="358"/>
        <v>0.6163424124513619</v>
      </c>
      <c r="CD313" s="41">
        <f t="shared" si="359"/>
        <v>0.33385214007782099</v>
      </c>
      <c r="CE313" s="41">
        <f t="shared" si="360"/>
        <v>4.9805447470817117E-2</v>
      </c>
    </row>
    <row r="314" spans="22:83" x14ac:dyDescent="0.2">
      <c r="V314" s="2">
        <v>307</v>
      </c>
      <c r="W314" s="2">
        <f t="shared" si="398"/>
        <v>78351.428571428565</v>
      </c>
      <c r="X314" s="2">
        <f t="shared" si="398"/>
        <v>152745.71428571429</v>
      </c>
      <c r="Y314" s="2">
        <f t="shared" si="356"/>
        <v>152745.71428571429</v>
      </c>
      <c r="Z314" s="2">
        <f t="shared" ref="Z314:AA314" si="420">Y314</f>
        <v>152745.71428571429</v>
      </c>
      <c r="AA314" s="2">
        <f t="shared" si="420"/>
        <v>152745.71428571429</v>
      </c>
      <c r="AQ314" s="2">
        <v>307</v>
      </c>
      <c r="AR314" s="2">
        <f t="shared" si="413"/>
        <v>42440.357142857145</v>
      </c>
      <c r="AS314" s="2">
        <f t="shared" si="413"/>
        <v>100709.28571428571</v>
      </c>
      <c r="AT314" s="2">
        <f t="shared" si="413"/>
        <v>148392.85714285713</v>
      </c>
      <c r="AU314" s="2">
        <f t="shared" si="413"/>
        <v>222589.28571428571</v>
      </c>
      <c r="AV314" s="2">
        <f t="shared" si="413"/>
        <v>417478.57142857142</v>
      </c>
      <c r="BK314" s="2">
        <v>307</v>
      </c>
      <c r="BL314" s="2">
        <f t="shared" si="414"/>
        <v>6331.4285714285716</v>
      </c>
      <c r="BM314" s="2">
        <f t="shared" si="414"/>
        <v>11080</v>
      </c>
      <c r="BN314" s="2">
        <f t="shared" si="414"/>
        <v>17411.428571428572</v>
      </c>
      <c r="BO314" s="2">
        <f t="shared" si="414"/>
        <v>30074.285714285714</v>
      </c>
      <c r="BP314" s="2">
        <f t="shared" si="414"/>
        <v>273834.28571428574</v>
      </c>
      <c r="BV314" s="2">
        <v>307</v>
      </c>
      <c r="BW314" s="2">
        <f t="shared" si="350"/>
        <v>127123.21428571428</v>
      </c>
      <c r="BX314" s="2">
        <f t="shared" si="351"/>
        <v>264535</v>
      </c>
      <c r="BY314" s="2">
        <f t="shared" si="352"/>
        <v>318550</v>
      </c>
      <c r="BZ314" s="2">
        <f t="shared" si="353"/>
        <v>405409.28571428574</v>
      </c>
      <c r="CA314" s="2">
        <f t="shared" si="354"/>
        <v>844058.57142857136</v>
      </c>
      <c r="CC314" s="41">
        <f t="shared" si="358"/>
        <v>0.6163424124513619</v>
      </c>
      <c r="CD314" s="41">
        <f t="shared" si="359"/>
        <v>0.33385214007782105</v>
      </c>
      <c r="CE314" s="41">
        <f t="shared" si="360"/>
        <v>4.9805447470817124E-2</v>
      </c>
    </row>
    <row r="315" spans="22:83" x14ac:dyDescent="0.2">
      <c r="V315" s="2">
        <v>308</v>
      </c>
      <c r="W315" s="2">
        <f t="shared" si="398"/>
        <v>78634.28571428571</v>
      </c>
      <c r="X315" s="2">
        <f t="shared" si="398"/>
        <v>153297.14285714287</v>
      </c>
      <c r="Y315" s="2">
        <f t="shared" si="356"/>
        <v>153297.14285714287</v>
      </c>
      <c r="Z315" s="2">
        <f t="shared" ref="Z315:AA315" si="421">Y315</f>
        <v>153297.14285714287</v>
      </c>
      <c r="AA315" s="2">
        <f t="shared" si="421"/>
        <v>153297.14285714287</v>
      </c>
      <c r="AQ315" s="2">
        <v>308</v>
      </c>
      <c r="AR315" s="2">
        <f t="shared" si="413"/>
        <v>42593.571428571428</v>
      </c>
      <c r="AS315" s="2">
        <f t="shared" si="413"/>
        <v>101072.85714285714</v>
      </c>
      <c r="AT315" s="2">
        <f t="shared" si="413"/>
        <v>148928.57142857142</v>
      </c>
      <c r="AU315" s="2">
        <f t="shared" si="413"/>
        <v>223392.85714285713</v>
      </c>
      <c r="AV315" s="2">
        <f t="shared" si="413"/>
        <v>418985.71428571426</v>
      </c>
      <c r="BK315" s="2">
        <v>308</v>
      </c>
      <c r="BL315" s="2">
        <f t="shared" si="414"/>
        <v>6354.2857142857147</v>
      </c>
      <c r="BM315" s="2">
        <f t="shared" si="414"/>
        <v>11120</v>
      </c>
      <c r="BN315" s="2">
        <f t="shared" si="414"/>
        <v>17474.285714285714</v>
      </c>
      <c r="BO315" s="2">
        <f t="shared" si="414"/>
        <v>30182.857142857141</v>
      </c>
      <c r="BP315" s="2">
        <f t="shared" si="414"/>
        <v>274822.85714285716</v>
      </c>
      <c r="BV315" s="2">
        <v>308</v>
      </c>
      <c r="BW315" s="2">
        <f t="shared" si="350"/>
        <v>127582.14285714284</v>
      </c>
      <c r="BX315" s="2">
        <f t="shared" si="351"/>
        <v>265490</v>
      </c>
      <c r="BY315" s="2">
        <f t="shared" si="352"/>
        <v>319700.00000000006</v>
      </c>
      <c r="BZ315" s="2">
        <f t="shared" si="353"/>
        <v>406872.85714285716</v>
      </c>
      <c r="CA315" s="2">
        <f t="shared" si="354"/>
        <v>847105.71428571432</v>
      </c>
      <c r="CC315" s="41">
        <f t="shared" si="358"/>
        <v>0.6163424124513619</v>
      </c>
      <c r="CD315" s="41">
        <f t="shared" si="359"/>
        <v>0.33385214007782105</v>
      </c>
      <c r="CE315" s="41">
        <f t="shared" si="360"/>
        <v>4.9805447470817131E-2</v>
      </c>
    </row>
    <row r="316" spans="22:83" x14ac:dyDescent="0.2">
      <c r="V316" s="2">
        <v>309</v>
      </c>
      <c r="W316" s="2">
        <f t="shared" si="398"/>
        <v>78917.142857142855</v>
      </c>
      <c r="X316" s="2">
        <f t="shared" si="398"/>
        <v>153848.57142857142</v>
      </c>
      <c r="Y316" s="2">
        <f t="shared" si="356"/>
        <v>153848.57142857142</v>
      </c>
      <c r="Z316" s="2">
        <f t="shared" ref="Z316:AA316" si="422">Y316</f>
        <v>153848.57142857142</v>
      </c>
      <c r="AA316" s="2">
        <f t="shared" si="422"/>
        <v>153848.57142857142</v>
      </c>
      <c r="AQ316" s="2">
        <v>309</v>
      </c>
      <c r="AR316" s="2">
        <f t="shared" si="413"/>
        <v>42746.785714285717</v>
      </c>
      <c r="AS316" s="2">
        <f t="shared" si="413"/>
        <v>101436.42857142857</v>
      </c>
      <c r="AT316" s="2">
        <f t="shared" si="413"/>
        <v>149464.28571428571</v>
      </c>
      <c r="AU316" s="2">
        <f t="shared" si="413"/>
        <v>224196.42857142858</v>
      </c>
      <c r="AV316" s="2">
        <f t="shared" si="413"/>
        <v>420492.85714285716</v>
      </c>
      <c r="BK316" s="2">
        <v>309</v>
      </c>
      <c r="BL316" s="2">
        <f t="shared" si="414"/>
        <v>6377.1428571428569</v>
      </c>
      <c r="BM316" s="2">
        <f t="shared" si="414"/>
        <v>11160</v>
      </c>
      <c r="BN316" s="2">
        <f t="shared" si="414"/>
        <v>17537.142857142859</v>
      </c>
      <c r="BO316" s="2">
        <f t="shared" si="414"/>
        <v>30291.428571428572</v>
      </c>
      <c r="BP316" s="2">
        <f t="shared" si="414"/>
        <v>275811.42857142858</v>
      </c>
      <c r="BV316" s="2">
        <v>309</v>
      </c>
      <c r="BW316" s="2">
        <f t="shared" si="350"/>
        <v>128041.07142857143</v>
      </c>
      <c r="BX316" s="2">
        <f t="shared" si="351"/>
        <v>266445</v>
      </c>
      <c r="BY316" s="2">
        <f t="shared" si="352"/>
        <v>320850</v>
      </c>
      <c r="BZ316" s="2">
        <f t="shared" si="353"/>
        <v>408336.42857142858</v>
      </c>
      <c r="CA316" s="2">
        <f t="shared" si="354"/>
        <v>850152.85714285728</v>
      </c>
      <c r="CC316" s="41">
        <f t="shared" si="358"/>
        <v>0.61634241245136179</v>
      </c>
      <c r="CD316" s="41">
        <f t="shared" si="359"/>
        <v>0.33385214007782105</v>
      </c>
      <c r="CE316" s="41">
        <f t="shared" si="360"/>
        <v>4.9805447470817117E-2</v>
      </c>
    </row>
    <row r="317" spans="22:83" x14ac:dyDescent="0.2">
      <c r="V317" s="2">
        <v>310</v>
      </c>
      <c r="W317" s="2">
        <f t="shared" si="398"/>
        <v>79200</v>
      </c>
      <c r="X317" s="2">
        <f t="shared" si="398"/>
        <v>154400</v>
      </c>
      <c r="Y317" s="2">
        <f t="shared" si="356"/>
        <v>154400</v>
      </c>
      <c r="Z317" s="2">
        <f t="shared" ref="Z317:AA317" si="423">Y317</f>
        <v>154400</v>
      </c>
      <c r="AA317" s="2">
        <f t="shared" si="423"/>
        <v>154400</v>
      </c>
      <c r="AQ317" s="2">
        <v>310</v>
      </c>
      <c r="AR317" s="2">
        <f t="shared" si="413"/>
        <v>42900</v>
      </c>
      <c r="AS317" s="2">
        <f t="shared" si="413"/>
        <v>101800</v>
      </c>
      <c r="AT317" s="2">
        <f t="shared" si="413"/>
        <v>150000</v>
      </c>
      <c r="AU317" s="2">
        <f t="shared" si="413"/>
        <v>225000</v>
      </c>
      <c r="AV317" s="2">
        <f t="shared" si="413"/>
        <v>422000</v>
      </c>
      <c r="BK317" s="2">
        <v>310</v>
      </c>
      <c r="BL317" s="2">
        <f t="shared" si="414"/>
        <v>6400</v>
      </c>
      <c r="BM317" s="2">
        <f t="shared" si="414"/>
        <v>11200</v>
      </c>
      <c r="BN317" s="2">
        <f t="shared" si="414"/>
        <v>17600</v>
      </c>
      <c r="BO317" s="2">
        <f t="shared" si="414"/>
        <v>30400</v>
      </c>
      <c r="BP317" s="2">
        <f t="shared" si="414"/>
        <v>276800</v>
      </c>
      <c r="BV317" s="2">
        <v>310</v>
      </c>
      <c r="BW317" s="2">
        <f t="shared" si="350"/>
        <v>128500</v>
      </c>
      <c r="BX317" s="2">
        <f t="shared" si="351"/>
        <v>267400</v>
      </c>
      <c r="BY317" s="2">
        <f t="shared" si="352"/>
        <v>322000</v>
      </c>
      <c r="BZ317" s="2">
        <f t="shared" si="353"/>
        <v>409800</v>
      </c>
      <c r="CA317" s="2">
        <f t="shared" si="354"/>
        <v>853200</v>
      </c>
      <c r="CC317" s="41">
        <f t="shared" si="358"/>
        <v>0.6163424124513619</v>
      </c>
      <c r="CD317" s="41">
        <f t="shared" si="359"/>
        <v>0.33385214007782099</v>
      </c>
      <c r="CE317" s="41">
        <f t="shared" si="360"/>
        <v>4.9805447470817124E-2</v>
      </c>
    </row>
    <row r="318" spans="22:83" x14ac:dyDescent="0.2">
      <c r="V318" s="2">
        <v>311</v>
      </c>
      <c r="W318" s="2">
        <f t="shared" si="398"/>
        <v>79482.857142857145</v>
      </c>
      <c r="X318" s="2">
        <f t="shared" si="398"/>
        <v>154951.42857142858</v>
      </c>
      <c r="Y318" s="2">
        <f t="shared" si="356"/>
        <v>154951.42857142858</v>
      </c>
      <c r="Z318" s="2">
        <f t="shared" ref="Z318:AA318" si="424">Y318</f>
        <v>154951.42857142858</v>
      </c>
      <c r="AA318" s="2">
        <f t="shared" si="424"/>
        <v>154951.42857142858</v>
      </c>
      <c r="AQ318" s="2">
        <v>311</v>
      </c>
      <c r="AR318" s="2">
        <f t="shared" ref="AR318:AV327" si="425">MAX($AQ318-$C$2,0)*INDEX($AN$8:$AN$44,MATCH(AR$7,$AO$8:$AO$44,0))/$C$3</f>
        <v>43053.214285714283</v>
      </c>
      <c r="AS318" s="2">
        <f t="shared" si="425"/>
        <v>102163.57142857143</v>
      </c>
      <c r="AT318" s="2">
        <f t="shared" si="425"/>
        <v>150535.71428571429</v>
      </c>
      <c r="AU318" s="2">
        <f t="shared" si="425"/>
        <v>225803.57142857142</v>
      </c>
      <c r="AV318" s="2">
        <f t="shared" si="425"/>
        <v>423507.14285714284</v>
      </c>
      <c r="BK318" s="2">
        <v>311</v>
      </c>
      <c r="BL318" s="2">
        <f t="shared" ref="BL318:BP327" si="426">IFERROR(MAX($BK318-$C$2,0)*INDEX($BH$8:$BH$16,MATCH(BL$7,$BI$8:$BI$16,0))*$C$4/$C$3,BM318)</f>
        <v>6422.8571428571431</v>
      </c>
      <c r="BM318" s="2">
        <f t="shared" si="426"/>
        <v>11240</v>
      </c>
      <c r="BN318" s="2">
        <f t="shared" si="426"/>
        <v>17662.857142857141</v>
      </c>
      <c r="BO318" s="2">
        <f t="shared" si="426"/>
        <v>30508.571428571428</v>
      </c>
      <c r="BP318" s="2">
        <f t="shared" si="426"/>
        <v>277788.57142857142</v>
      </c>
      <c r="BV318" s="2">
        <v>311</v>
      </c>
      <c r="BW318" s="2">
        <f t="shared" si="350"/>
        <v>128958.92857142857</v>
      </c>
      <c r="BX318" s="2">
        <f t="shared" si="351"/>
        <v>268355</v>
      </c>
      <c r="BY318" s="2">
        <f t="shared" si="352"/>
        <v>323150</v>
      </c>
      <c r="BZ318" s="2">
        <f t="shared" si="353"/>
        <v>411263.57142857142</v>
      </c>
      <c r="CA318" s="2">
        <f t="shared" si="354"/>
        <v>856247.14285714272</v>
      </c>
      <c r="CC318" s="41">
        <f t="shared" si="358"/>
        <v>0.6163424124513619</v>
      </c>
      <c r="CD318" s="41">
        <f t="shared" si="359"/>
        <v>0.33385214007782099</v>
      </c>
      <c r="CE318" s="41">
        <f t="shared" si="360"/>
        <v>4.9805447470817124E-2</v>
      </c>
    </row>
    <row r="319" spans="22:83" x14ac:dyDescent="0.2">
      <c r="V319" s="2">
        <v>312</v>
      </c>
      <c r="W319" s="2">
        <f t="shared" si="398"/>
        <v>79765.71428571429</v>
      </c>
      <c r="X319" s="2">
        <f t="shared" si="398"/>
        <v>155502.85714285713</v>
      </c>
      <c r="Y319" s="2">
        <f t="shared" si="356"/>
        <v>155502.85714285713</v>
      </c>
      <c r="Z319" s="2">
        <f t="shared" ref="Z319:AA319" si="427">Y319</f>
        <v>155502.85714285713</v>
      </c>
      <c r="AA319" s="2">
        <f t="shared" si="427"/>
        <v>155502.85714285713</v>
      </c>
      <c r="AQ319" s="2">
        <v>312</v>
      </c>
      <c r="AR319" s="2">
        <f t="shared" si="425"/>
        <v>43206.428571428572</v>
      </c>
      <c r="AS319" s="2">
        <f t="shared" si="425"/>
        <v>102527.14285714286</v>
      </c>
      <c r="AT319" s="2">
        <f t="shared" si="425"/>
        <v>151071.42857142858</v>
      </c>
      <c r="AU319" s="2">
        <f t="shared" si="425"/>
        <v>226607.14285714287</v>
      </c>
      <c r="AV319" s="2">
        <f t="shared" si="425"/>
        <v>425014.28571428574</v>
      </c>
      <c r="BK319" s="2">
        <v>312</v>
      </c>
      <c r="BL319" s="2">
        <f t="shared" si="426"/>
        <v>6445.7142857142853</v>
      </c>
      <c r="BM319" s="2">
        <f t="shared" si="426"/>
        <v>11280</v>
      </c>
      <c r="BN319" s="2">
        <f t="shared" si="426"/>
        <v>17725.714285714286</v>
      </c>
      <c r="BO319" s="2">
        <f t="shared" si="426"/>
        <v>30617.142857142859</v>
      </c>
      <c r="BP319" s="2">
        <f t="shared" si="426"/>
        <v>278777.14285714284</v>
      </c>
      <c r="BV319" s="2">
        <v>312</v>
      </c>
      <c r="BW319" s="2">
        <f t="shared" si="350"/>
        <v>129417.85714285716</v>
      </c>
      <c r="BX319" s="2">
        <f t="shared" si="351"/>
        <v>269310</v>
      </c>
      <c r="BY319" s="2">
        <f t="shared" si="352"/>
        <v>324299.99999999994</v>
      </c>
      <c r="BZ319" s="2">
        <f t="shared" si="353"/>
        <v>412727.14285714284</v>
      </c>
      <c r="CA319" s="2">
        <f t="shared" si="354"/>
        <v>859294.28571428568</v>
      </c>
      <c r="CC319" s="41">
        <f t="shared" si="358"/>
        <v>0.61634241245136179</v>
      </c>
      <c r="CD319" s="41">
        <f t="shared" si="359"/>
        <v>0.33385214007782099</v>
      </c>
      <c r="CE319" s="41">
        <f t="shared" si="360"/>
        <v>4.980544747081711E-2</v>
      </c>
    </row>
    <row r="320" spans="22:83" x14ac:dyDescent="0.2">
      <c r="V320" s="2">
        <v>313</v>
      </c>
      <c r="W320" s="2">
        <f t="shared" si="398"/>
        <v>80048.571428571435</v>
      </c>
      <c r="X320" s="2">
        <f t="shared" si="398"/>
        <v>156054.28571428571</v>
      </c>
      <c r="Y320" s="2">
        <f t="shared" si="356"/>
        <v>156054.28571428571</v>
      </c>
      <c r="Z320" s="2">
        <f t="shared" ref="Z320:AA320" si="428">Y320</f>
        <v>156054.28571428571</v>
      </c>
      <c r="AA320" s="2">
        <f t="shared" si="428"/>
        <v>156054.28571428571</v>
      </c>
      <c r="AQ320" s="2">
        <v>313</v>
      </c>
      <c r="AR320" s="2">
        <f t="shared" si="425"/>
        <v>43359.642857142855</v>
      </c>
      <c r="AS320" s="2">
        <f t="shared" si="425"/>
        <v>102890.71428571429</v>
      </c>
      <c r="AT320" s="2">
        <f t="shared" si="425"/>
        <v>151607.14285714287</v>
      </c>
      <c r="AU320" s="2">
        <f t="shared" si="425"/>
        <v>227410.71428571429</v>
      </c>
      <c r="AV320" s="2">
        <f t="shared" si="425"/>
        <v>426521.42857142858</v>
      </c>
      <c r="BK320" s="2">
        <v>313</v>
      </c>
      <c r="BL320" s="2">
        <f t="shared" si="426"/>
        <v>6468.5714285714284</v>
      </c>
      <c r="BM320" s="2">
        <f t="shared" si="426"/>
        <v>11320</v>
      </c>
      <c r="BN320" s="2">
        <f t="shared" si="426"/>
        <v>17788.571428571428</v>
      </c>
      <c r="BO320" s="2">
        <f t="shared" si="426"/>
        <v>30725.714285714286</v>
      </c>
      <c r="BP320" s="2">
        <f t="shared" si="426"/>
        <v>279765.71428571426</v>
      </c>
      <c r="BV320" s="2">
        <v>313</v>
      </c>
      <c r="BW320" s="2">
        <f t="shared" si="350"/>
        <v>129876.78571428572</v>
      </c>
      <c r="BX320" s="2">
        <f t="shared" si="351"/>
        <v>270265</v>
      </c>
      <c r="BY320" s="2">
        <f t="shared" si="352"/>
        <v>325450</v>
      </c>
      <c r="BZ320" s="2">
        <f t="shared" si="353"/>
        <v>414190.71428571426</v>
      </c>
      <c r="CA320" s="2">
        <f t="shared" si="354"/>
        <v>862341.42857142864</v>
      </c>
      <c r="CC320" s="41">
        <f t="shared" si="358"/>
        <v>0.6163424124513619</v>
      </c>
      <c r="CD320" s="41">
        <f t="shared" si="359"/>
        <v>0.33385214007782099</v>
      </c>
      <c r="CE320" s="41">
        <f t="shared" si="360"/>
        <v>4.9805447470817117E-2</v>
      </c>
    </row>
    <row r="321" spans="22:83" x14ac:dyDescent="0.2">
      <c r="V321" s="2">
        <v>314</v>
      </c>
      <c r="W321" s="2">
        <f t="shared" si="398"/>
        <v>80331.428571428565</v>
      </c>
      <c r="X321" s="2">
        <f t="shared" si="398"/>
        <v>156605.71428571429</v>
      </c>
      <c r="Y321" s="2">
        <f t="shared" si="356"/>
        <v>156605.71428571429</v>
      </c>
      <c r="Z321" s="2">
        <f t="shared" ref="Z321:AA321" si="429">Y321</f>
        <v>156605.71428571429</v>
      </c>
      <c r="AA321" s="2">
        <f t="shared" si="429"/>
        <v>156605.71428571429</v>
      </c>
      <c r="AQ321" s="2">
        <v>314</v>
      </c>
      <c r="AR321" s="2">
        <f t="shared" si="425"/>
        <v>43512.857142857145</v>
      </c>
      <c r="AS321" s="2">
        <f t="shared" si="425"/>
        <v>103254.28571428571</v>
      </c>
      <c r="AT321" s="2">
        <f t="shared" si="425"/>
        <v>152142.85714285713</v>
      </c>
      <c r="AU321" s="2">
        <f t="shared" si="425"/>
        <v>228214.28571428571</v>
      </c>
      <c r="AV321" s="2">
        <f t="shared" si="425"/>
        <v>428028.57142857142</v>
      </c>
      <c r="BK321" s="2">
        <v>314</v>
      </c>
      <c r="BL321" s="2">
        <f t="shared" si="426"/>
        <v>6491.4285714285716</v>
      </c>
      <c r="BM321" s="2">
        <f t="shared" si="426"/>
        <v>11360</v>
      </c>
      <c r="BN321" s="2">
        <f t="shared" si="426"/>
        <v>17851.428571428572</v>
      </c>
      <c r="BO321" s="2">
        <f t="shared" si="426"/>
        <v>30834.285714285714</v>
      </c>
      <c r="BP321" s="2">
        <f t="shared" si="426"/>
        <v>280754.28571428574</v>
      </c>
      <c r="BV321" s="2">
        <v>314</v>
      </c>
      <c r="BW321" s="2">
        <f t="shared" si="350"/>
        <v>130335.71428571428</v>
      </c>
      <c r="BX321" s="2">
        <f t="shared" si="351"/>
        <v>271220</v>
      </c>
      <c r="BY321" s="2">
        <f t="shared" si="352"/>
        <v>326600</v>
      </c>
      <c r="BZ321" s="2">
        <f t="shared" si="353"/>
        <v>415654.28571428574</v>
      </c>
      <c r="CA321" s="2">
        <f t="shared" si="354"/>
        <v>865388.57142857136</v>
      </c>
      <c r="CC321" s="41">
        <f t="shared" si="358"/>
        <v>0.6163424124513619</v>
      </c>
      <c r="CD321" s="41">
        <f t="shared" si="359"/>
        <v>0.33385214007782105</v>
      </c>
      <c r="CE321" s="41">
        <f t="shared" si="360"/>
        <v>4.9805447470817124E-2</v>
      </c>
    </row>
    <row r="322" spans="22:83" x14ac:dyDescent="0.2">
      <c r="V322" s="2">
        <v>315</v>
      </c>
      <c r="W322" s="2">
        <f t="shared" si="398"/>
        <v>80614.28571428571</v>
      </c>
      <c r="X322" s="2">
        <f t="shared" si="398"/>
        <v>157157.14285714287</v>
      </c>
      <c r="Y322" s="2">
        <f t="shared" si="356"/>
        <v>157157.14285714287</v>
      </c>
      <c r="Z322" s="2">
        <f t="shared" ref="Z322:AA322" si="430">Y322</f>
        <v>157157.14285714287</v>
      </c>
      <c r="AA322" s="2">
        <f t="shared" si="430"/>
        <v>157157.14285714287</v>
      </c>
      <c r="AQ322" s="2">
        <v>315</v>
      </c>
      <c r="AR322" s="2">
        <f t="shared" si="425"/>
        <v>43666.071428571428</v>
      </c>
      <c r="AS322" s="2">
        <f t="shared" si="425"/>
        <v>103617.85714285714</v>
      </c>
      <c r="AT322" s="2">
        <f t="shared" si="425"/>
        <v>152678.57142857142</v>
      </c>
      <c r="AU322" s="2">
        <f t="shared" si="425"/>
        <v>229017.85714285713</v>
      </c>
      <c r="AV322" s="2">
        <f t="shared" si="425"/>
        <v>429535.71428571426</v>
      </c>
      <c r="BK322" s="2">
        <v>315</v>
      </c>
      <c r="BL322" s="2">
        <f t="shared" si="426"/>
        <v>6514.2857142857147</v>
      </c>
      <c r="BM322" s="2">
        <f t="shared" si="426"/>
        <v>11400</v>
      </c>
      <c r="BN322" s="2">
        <f t="shared" si="426"/>
        <v>17914.285714285714</v>
      </c>
      <c r="BO322" s="2">
        <f t="shared" si="426"/>
        <v>30942.857142857141</v>
      </c>
      <c r="BP322" s="2">
        <f t="shared" si="426"/>
        <v>281742.85714285716</v>
      </c>
      <c r="BV322" s="2">
        <v>315</v>
      </c>
      <c r="BW322" s="2">
        <f t="shared" si="350"/>
        <v>130794.64285714284</v>
      </c>
      <c r="BX322" s="2">
        <f t="shared" si="351"/>
        <v>272175</v>
      </c>
      <c r="BY322" s="2">
        <f t="shared" si="352"/>
        <v>327750.00000000006</v>
      </c>
      <c r="BZ322" s="2">
        <f t="shared" si="353"/>
        <v>417117.85714285716</v>
      </c>
      <c r="CA322" s="2">
        <f t="shared" si="354"/>
        <v>868435.71428571432</v>
      </c>
      <c r="CC322" s="41">
        <f t="shared" si="358"/>
        <v>0.6163424124513619</v>
      </c>
      <c r="CD322" s="41">
        <f t="shared" si="359"/>
        <v>0.33385214007782105</v>
      </c>
      <c r="CE322" s="41">
        <f t="shared" si="360"/>
        <v>4.9805447470817131E-2</v>
      </c>
    </row>
    <row r="323" spans="22:83" x14ac:dyDescent="0.2">
      <c r="V323" s="2">
        <v>316</v>
      </c>
      <c r="W323" s="2">
        <f t="shared" si="398"/>
        <v>80897.142857142855</v>
      </c>
      <c r="X323" s="2">
        <f t="shared" si="398"/>
        <v>157708.57142857142</v>
      </c>
      <c r="Y323" s="2">
        <f t="shared" si="356"/>
        <v>157708.57142857142</v>
      </c>
      <c r="Z323" s="2">
        <f t="shared" ref="Z323:AA323" si="431">Y323</f>
        <v>157708.57142857142</v>
      </c>
      <c r="AA323" s="2">
        <f t="shared" si="431"/>
        <v>157708.57142857142</v>
      </c>
      <c r="AQ323" s="2">
        <v>316</v>
      </c>
      <c r="AR323" s="2">
        <f t="shared" si="425"/>
        <v>43819.285714285717</v>
      </c>
      <c r="AS323" s="2">
        <f t="shared" si="425"/>
        <v>103981.42857142857</v>
      </c>
      <c r="AT323" s="2">
        <f t="shared" si="425"/>
        <v>153214.28571428571</v>
      </c>
      <c r="AU323" s="2">
        <f t="shared" si="425"/>
        <v>229821.42857142858</v>
      </c>
      <c r="AV323" s="2">
        <f t="shared" si="425"/>
        <v>431042.85714285716</v>
      </c>
      <c r="BK323" s="2">
        <v>316</v>
      </c>
      <c r="BL323" s="2">
        <f t="shared" si="426"/>
        <v>6537.1428571428569</v>
      </c>
      <c r="BM323" s="2">
        <f t="shared" si="426"/>
        <v>11440</v>
      </c>
      <c r="BN323" s="2">
        <f t="shared" si="426"/>
        <v>17977.142857142859</v>
      </c>
      <c r="BO323" s="2">
        <f t="shared" si="426"/>
        <v>31051.428571428572</v>
      </c>
      <c r="BP323" s="2">
        <f t="shared" si="426"/>
        <v>282731.42857142858</v>
      </c>
      <c r="BV323" s="2">
        <v>316</v>
      </c>
      <c r="BW323" s="2">
        <f t="shared" si="350"/>
        <v>131253.57142857145</v>
      </c>
      <c r="BX323" s="2">
        <f t="shared" si="351"/>
        <v>273130</v>
      </c>
      <c r="BY323" s="2">
        <f t="shared" si="352"/>
        <v>328900</v>
      </c>
      <c r="BZ323" s="2">
        <f t="shared" si="353"/>
        <v>418581.42857142858</v>
      </c>
      <c r="CA323" s="2">
        <f t="shared" si="354"/>
        <v>871482.85714285728</v>
      </c>
      <c r="CC323" s="41">
        <f t="shared" si="358"/>
        <v>0.61634241245136179</v>
      </c>
      <c r="CD323" s="41">
        <f t="shared" si="359"/>
        <v>0.33385214007782099</v>
      </c>
      <c r="CE323" s="41">
        <f t="shared" si="360"/>
        <v>4.980544747081711E-2</v>
      </c>
    </row>
    <row r="324" spans="22:83" x14ac:dyDescent="0.2">
      <c r="V324" s="2">
        <v>317</v>
      </c>
      <c r="W324" s="2">
        <f t="shared" si="398"/>
        <v>81180</v>
      </c>
      <c r="X324" s="2">
        <f t="shared" si="398"/>
        <v>158260</v>
      </c>
      <c r="Y324" s="2">
        <f t="shared" si="356"/>
        <v>158260</v>
      </c>
      <c r="Z324" s="2">
        <f t="shared" ref="Z324:AA324" si="432">Y324</f>
        <v>158260</v>
      </c>
      <c r="AA324" s="2">
        <f t="shared" si="432"/>
        <v>158260</v>
      </c>
      <c r="AQ324" s="2">
        <v>317</v>
      </c>
      <c r="AR324" s="2">
        <f t="shared" si="425"/>
        <v>43972.5</v>
      </c>
      <c r="AS324" s="2">
        <f t="shared" si="425"/>
        <v>104345</v>
      </c>
      <c r="AT324" s="2">
        <f t="shared" si="425"/>
        <v>153750</v>
      </c>
      <c r="AU324" s="2">
        <f t="shared" si="425"/>
        <v>230625</v>
      </c>
      <c r="AV324" s="2">
        <f t="shared" si="425"/>
        <v>432550</v>
      </c>
      <c r="BK324" s="2">
        <v>317</v>
      </c>
      <c r="BL324" s="2">
        <f t="shared" si="426"/>
        <v>6560</v>
      </c>
      <c r="BM324" s="2">
        <f t="shared" si="426"/>
        <v>11480</v>
      </c>
      <c r="BN324" s="2">
        <f t="shared" si="426"/>
        <v>18040</v>
      </c>
      <c r="BO324" s="2">
        <f t="shared" si="426"/>
        <v>31160</v>
      </c>
      <c r="BP324" s="2">
        <f t="shared" si="426"/>
        <v>283720</v>
      </c>
      <c r="BV324" s="2">
        <v>317</v>
      </c>
      <c r="BW324" s="2">
        <f t="shared" si="350"/>
        <v>131712.5</v>
      </c>
      <c r="BX324" s="2">
        <f t="shared" si="351"/>
        <v>274085</v>
      </c>
      <c r="BY324" s="2">
        <f t="shared" si="352"/>
        <v>330050</v>
      </c>
      <c r="BZ324" s="2">
        <f t="shared" si="353"/>
        <v>420045</v>
      </c>
      <c r="CA324" s="2">
        <f t="shared" si="354"/>
        <v>874530</v>
      </c>
      <c r="CC324" s="41">
        <f t="shared" si="358"/>
        <v>0.6163424124513619</v>
      </c>
      <c r="CD324" s="41">
        <f t="shared" si="359"/>
        <v>0.33385214007782099</v>
      </c>
      <c r="CE324" s="41">
        <f t="shared" si="360"/>
        <v>4.9805447470817124E-2</v>
      </c>
    </row>
    <row r="325" spans="22:83" x14ac:dyDescent="0.2">
      <c r="V325" s="2">
        <v>318</v>
      </c>
      <c r="W325" s="2">
        <f t="shared" si="398"/>
        <v>81462.857142857145</v>
      </c>
      <c r="X325" s="2">
        <f t="shared" si="398"/>
        <v>158811.42857142858</v>
      </c>
      <c r="Y325" s="2">
        <f t="shared" si="356"/>
        <v>158811.42857142858</v>
      </c>
      <c r="Z325" s="2">
        <f t="shared" ref="Z325:AA325" si="433">Y325</f>
        <v>158811.42857142858</v>
      </c>
      <c r="AA325" s="2">
        <f t="shared" si="433"/>
        <v>158811.42857142858</v>
      </c>
      <c r="AQ325" s="2">
        <v>318</v>
      </c>
      <c r="AR325" s="2">
        <f t="shared" si="425"/>
        <v>44125.714285714283</v>
      </c>
      <c r="AS325" s="2">
        <f t="shared" si="425"/>
        <v>104708.57142857143</v>
      </c>
      <c r="AT325" s="2">
        <f t="shared" si="425"/>
        <v>154285.71428571429</v>
      </c>
      <c r="AU325" s="2">
        <f t="shared" si="425"/>
        <v>231428.57142857142</v>
      </c>
      <c r="AV325" s="2">
        <f t="shared" si="425"/>
        <v>434057.14285714284</v>
      </c>
      <c r="BK325" s="2">
        <v>318</v>
      </c>
      <c r="BL325" s="2">
        <f t="shared" si="426"/>
        <v>6582.8571428571431</v>
      </c>
      <c r="BM325" s="2">
        <f t="shared" si="426"/>
        <v>11520</v>
      </c>
      <c r="BN325" s="2">
        <f t="shared" si="426"/>
        <v>18102.857142857141</v>
      </c>
      <c r="BO325" s="2">
        <f t="shared" si="426"/>
        <v>31268.571428571428</v>
      </c>
      <c r="BP325" s="2">
        <f t="shared" si="426"/>
        <v>284708.57142857142</v>
      </c>
      <c r="BV325" s="2">
        <v>318</v>
      </c>
      <c r="BW325" s="2">
        <f t="shared" si="350"/>
        <v>132171.42857142855</v>
      </c>
      <c r="BX325" s="2">
        <f t="shared" si="351"/>
        <v>275040</v>
      </c>
      <c r="BY325" s="2">
        <f t="shared" si="352"/>
        <v>331200</v>
      </c>
      <c r="BZ325" s="2">
        <f t="shared" si="353"/>
        <v>421508.57142857142</v>
      </c>
      <c r="CA325" s="2">
        <f t="shared" si="354"/>
        <v>877577.14285714272</v>
      </c>
      <c r="CC325" s="41">
        <f t="shared" si="358"/>
        <v>0.61634241245136201</v>
      </c>
      <c r="CD325" s="41">
        <f t="shared" si="359"/>
        <v>0.33385214007782105</v>
      </c>
      <c r="CE325" s="41">
        <f t="shared" si="360"/>
        <v>4.9805447470817131E-2</v>
      </c>
    </row>
    <row r="326" spans="22:83" x14ac:dyDescent="0.2">
      <c r="V326" s="2">
        <v>319</v>
      </c>
      <c r="W326" s="2">
        <f t="shared" si="398"/>
        <v>81745.71428571429</v>
      </c>
      <c r="X326" s="2">
        <f t="shared" si="398"/>
        <v>159362.85714285713</v>
      </c>
      <c r="Y326" s="2">
        <f t="shared" si="356"/>
        <v>159362.85714285713</v>
      </c>
      <c r="Z326" s="2">
        <f t="shared" ref="Z326:AA326" si="434">Y326</f>
        <v>159362.85714285713</v>
      </c>
      <c r="AA326" s="2">
        <f t="shared" si="434"/>
        <v>159362.85714285713</v>
      </c>
      <c r="AQ326" s="2">
        <v>319</v>
      </c>
      <c r="AR326" s="2">
        <f t="shared" si="425"/>
        <v>44278.928571428572</v>
      </c>
      <c r="AS326" s="2">
        <f t="shared" si="425"/>
        <v>105072.14285714286</v>
      </c>
      <c r="AT326" s="2">
        <f t="shared" si="425"/>
        <v>154821.42857142858</v>
      </c>
      <c r="AU326" s="2">
        <f t="shared" si="425"/>
        <v>232232.14285714287</v>
      </c>
      <c r="AV326" s="2">
        <f t="shared" si="425"/>
        <v>435564.28571428574</v>
      </c>
      <c r="BK326" s="2">
        <v>319</v>
      </c>
      <c r="BL326" s="2">
        <f t="shared" si="426"/>
        <v>6605.7142857142853</v>
      </c>
      <c r="BM326" s="2">
        <f t="shared" si="426"/>
        <v>11560</v>
      </c>
      <c r="BN326" s="2">
        <f t="shared" si="426"/>
        <v>18165.714285714286</v>
      </c>
      <c r="BO326" s="2">
        <f t="shared" si="426"/>
        <v>31377.142857142859</v>
      </c>
      <c r="BP326" s="2">
        <f t="shared" si="426"/>
        <v>285697.14285714284</v>
      </c>
      <c r="BV326" s="2">
        <v>319</v>
      </c>
      <c r="BW326" s="2">
        <f t="shared" si="350"/>
        <v>132630.35714285716</v>
      </c>
      <c r="BX326" s="2">
        <f t="shared" si="351"/>
        <v>275995</v>
      </c>
      <c r="BY326" s="2">
        <f t="shared" si="352"/>
        <v>332349.99999999994</v>
      </c>
      <c r="BZ326" s="2">
        <f t="shared" si="353"/>
        <v>422972.14285714284</v>
      </c>
      <c r="CA326" s="2">
        <f t="shared" si="354"/>
        <v>880624.28571428568</v>
      </c>
      <c r="CC326" s="41">
        <f t="shared" si="358"/>
        <v>0.61634241245136179</v>
      </c>
      <c r="CD326" s="41">
        <f t="shared" si="359"/>
        <v>0.33385214007782099</v>
      </c>
      <c r="CE326" s="41">
        <f t="shared" si="360"/>
        <v>4.980544747081711E-2</v>
      </c>
    </row>
    <row r="327" spans="22:83" x14ac:dyDescent="0.2">
      <c r="V327" s="2">
        <v>320</v>
      </c>
      <c r="W327" s="2">
        <f t="shared" si="398"/>
        <v>82028.571428571435</v>
      </c>
      <c r="X327" s="2">
        <f t="shared" si="398"/>
        <v>159914.28571428571</v>
      </c>
      <c r="Y327" s="2">
        <f t="shared" si="356"/>
        <v>159914.28571428571</v>
      </c>
      <c r="Z327" s="2">
        <f t="shared" ref="Z327:AA327" si="435">Y327</f>
        <v>159914.28571428571</v>
      </c>
      <c r="AA327" s="2">
        <f t="shared" si="435"/>
        <v>159914.28571428571</v>
      </c>
      <c r="AQ327" s="2">
        <v>320</v>
      </c>
      <c r="AR327" s="2">
        <f t="shared" si="425"/>
        <v>44432.142857142855</v>
      </c>
      <c r="AS327" s="2">
        <f t="shared" si="425"/>
        <v>105435.71428571429</v>
      </c>
      <c r="AT327" s="2">
        <f t="shared" si="425"/>
        <v>155357.14285714287</v>
      </c>
      <c r="AU327" s="2">
        <f t="shared" si="425"/>
        <v>233035.71428571429</v>
      </c>
      <c r="AV327" s="2">
        <f t="shared" si="425"/>
        <v>437071.42857142858</v>
      </c>
      <c r="BK327" s="2">
        <v>320</v>
      </c>
      <c r="BL327" s="2">
        <f t="shared" si="426"/>
        <v>6628.5714285714284</v>
      </c>
      <c r="BM327" s="2">
        <f t="shared" si="426"/>
        <v>11600</v>
      </c>
      <c r="BN327" s="2">
        <f t="shared" si="426"/>
        <v>18228.571428571428</v>
      </c>
      <c r="BO327" s="2">
        <f t="shared" si="426"/>
        <v>31485.714285714286</v>
      </c>
      <c r="BP327" s="2">
        <f t="shared" si="426"/>
        <v>286685.71428571426</v>
      </c>
      <c r="BV327" s="2">
        <v>320</v>
      </c>
      <c r="BW327" s="2">
        <f t="shared" si="350"/>
        <v>133089.28571428571</v>
      </c>
      <c r="BX327" s="2">
        <f t="shared" si="351"/>
        <v>276950</v>
      </c>
      <c r="BY327" s="2">
        <f t="shared" si="352"/>
        <v>333500</v>
      </c>
      <c r="BZ327" s="2">
        <f t="shared" si="353"/>
        <v>424435.71428571426</v>
      </c>
      <c r="CA327" s="2">
        <f t="shared" si="354"/>
        <v>883671.42857142864</v>
      </c>
      <c r="CC327" s="41">
        <f t="shared" si="358"/>
        <v>0.6163424124513619</v>
      </c>
      <c r="CD327" s="41">
        <f t="shared" si="359"/>
        <v>0.33385214007782099</v>
      </c>
      <c r="CE327" s="41">
        <f t="shared" si="360"/>
        <v>4.9805447470817124E-2</v>
      </c>
    </row>
    <row r="328" spans="22:83" x14ac:dyDescent="0.2">
      <c r="V328" s="2">
        <v>321</v>
      </c>
      <c r="W328" s="2">
        <f t="shared" si="398"/>
        <v>82311.428571428565</v>
      </c>
      <c r="X328" s="2">
        <f t="shared" si="398"/>
        <v>160465.71428571429</v>
      </c>
      <c r="Y328" s="2">
        <f t="shared" si="356"/>
        <v>160465.71428571429</v>
      </c>
      <c r="Z328" s="2">
        <f t="shared" ref="Z328:AA328" si="436">Y328</f>
        <v>160465.71428571429</v>
      </c>
      <c r="AA328" s="2">
        <f t="shared" si="436"/>
        <v>160465.71428571429</v>
      </c>
      <c r="AQ328" s="2">
        <v>321</v>
      </c>
      <c r="AR328" s="2">
        <f t="shared" ref="AR328:AV337" si="437">MAX($AQ328-$C$2,0)*INDEX($AN$8:$AN$44,MATCH(AR$7,$AO$8:$AO$44,0))/$C$3</f>
        <v>44585.357142857145</v>
      </c>
      <c r="AS328" s="2">
        <f t="shared" si="437"/>
        <v>105799.28571428571</v>
      </c>
      <c r="AT328" s="2">
        <f t="shared" si="437"/>
        <v>155892.85714285713</v>
      </c>
      <c r="AU328" s="2">
        <f t="shared" si="437"/>
        <v>233839.28571428571</v>
      </c>
      <c r="AV328" s="2">
        <f t="shared" si="437"/>
        <v>438578.57142857142</v>
      </c>
      <c r="BK328" s="2">
        <v>321</v>
      </c>
      <c r="BL328" s="2">
        <f t="shared" ref="BL328:BP337" si="438">IFERROR(MAX($BK328-$C$2,0)*INDEX($BH$8:$BH$16,MATCH(BL$7,$BI$8:$BI$16,0))*$C$4/$C$3,BM328)</f>
        <v>6651.4285714285716</v>
      </c>
      <c r="BM328" s="2">
        <f t="shared" si="438"/>
        <v>11640</v>
      </c>
      <c r="BN328" s="2">
        <f t="shared" si="438"/>
        <v>18291.428571428572</v>
      </c>
      <c r="BO328" s="2">
        <f t="shared" si="438"/>
        <v>31594.285714285714</v>
      </c>
      <c r="BP328" s="2">
        <f t="shared" si="438"/>
        <v>287674.28571428574</v>
      </c>
      <c r="BV328" s="2">
        <v>321</v>
      </c>
      <c r="BW328" s="2">
        <f t="shared" ref="BW328:BW367" si="439">W328+AR328+BL328</f>
        <v>133548.21428571429</v>
      </c>
      <c r="BX328" s="2">
        <f t="shared" ref="BX328:BX367" si="440">X328+AS328+BM328</f>
        <v>277905</v>
      </c>
      <c r="BY328" s="2">
        <f t="shared" ref="BY328:BY367" si="441">Y328+AT328+BN328</f>
        <v>334650</v>
      </c>
      <c r="BZ328" s="2">
        <f t="shared" ref="BZ328:BZ367" si="442">Z328+AU328+BO328</f>
        <v>425899.28571428574</v>
      </c>
      <c r="CA328" s="2">
        <f t="shared" ref="CA328:CA367" si="443">AA328+AV328+BP328</f>
        <v>886718.57142857136</v>
      </c>
      <c r="CC328" s="41">
        <f t="shared" si="358"/>
        <v>0.61634241245136179</v>
      </c>
      <c r="CD328" s="41">
        <f t="shared" si="359"/>
        <v>0.33385214007782099</v>
      </c>
      <c r="CE328" s="41">
        <f t="shared" si="360"/>
        <v>4.9805447470817117E-2</v>
      </c>
    </row>
    <row r="329" spans="22:83" x14ac:dyDescent="0.2">
      <c r="V329" s="2">
        <v>322</v>
      </c>
      <c r="W329" s="2">
        <f t="shared" ref="W329:X367" si="444">MAX($V329-$C$2,0)*INDEX($S$8:$S$10,MATCH(W$7,$T$8:$T$10,0))*$C$4/$C$3</f>
        <v>82594.28571428571</v>
      </c>
      <c r="X329" s="2">
        <f t="shared" si="444"/>
        <v>161017.14285714287</v>
      </c>
      <c r="Y329" s="2">
        <f t="shared" ref="Y329:Y367" si="445">X329</f>
        <v>161017.14285714287</v>
      </c>
      <c r="Z329" s="2">
        <f t="shared" ref="Z329:AA329" si="446">Y329</f>
        <v>161017.14285714287</v>
      </c>
      <c r="AA329" s="2">
        <f t="shared" si="446"/>
        <v>161017.14285714287</v>
      </c>
      <c r="AQ329" s="2">
        <v>322</v>
      </c>
      <c r="AR329" s="2">
        <f t="shared" si="437"/>
        <v>44738.571428571428</v>
      </c>
      <c r="AS329" s="2">
        <f t="shared" si="437"/>
        <v>106162.85714285714</v>
      </c>
      <c r="AT329" s="2">
        <f t="shared" si="437"/>
        <v>156428.57142857142</v>
      </c>
      <c r="AU329" s="2">
        <f t="shared" si="437"/>
        <v>234642.85714285713</v>
      </c>
      <c r="AV329" s="2">
        <f t="shared" si="437"/>
        <v>440085.71428571426</v>
      </c>
      <c r="BK329" s="2">
        <v>322</v>
      </c>
      <c r="BL329" s="2">
        <f t="shared" si="438"/>
        <v>6674.2857142857147</v>
      </c>
      <c r="BM329" s="2">
        <f t="shared" si="438"/>
        <v>11680</v>
      </c>
      <c r="BN329" s="2">
        <f t="shared" si="438"/>
        <v>18354.285714285714</v>
      </c>
      <c r="BO329" s="2">
        <f t="shared" si="438"/>
        <v>31702.857142857141</v>
      </c>
      <c r="BP329" s="2">
        <f t="shared" si="438"/>
        <v>288662.85714285716</v>
      </c>
      <c r="BV329" s="2">
        <v>322</v>
      </c>
      <c r="BW329" s="2">
        <f t="shared" si="439"/>
        <v>134007.14285714284</v>
      </c>
      <c r="BX329" s="2">
        <f t="shared" si="440"/>
        <v>278860</v>
      </c>
      <c r="BY329" s="2">
        <f t="shared" si="441"/>
        <v>335800.00000000006</v>
      </c>
      <c r="BZ329" s="2">
        <f t="shared" si="442"/>
        <v>427362.85714285716</v>
      </c>
      <c r="CA329" s="2">
        <f t="shared" si="443"/>
        <v>889765.71428571432</v>
      </c>
      <c r="CC329" s="41">
        <f t="shared" ref="CC329:CC366" si="447">W329/BW329</f>
        <v>0.6163424124513619</v>
      </c>
      <c r="CD329" s="41">
        <f t="shared" ref="CD329:CD366" si="448">AR329/BW329</f>
        <v>0.33385214007782105</v>
      </c>
      <c r="CE329" s="41">
        <f t="shared" ref="CE329:CE366" si="449">BL329/BW329</f>
        <v>4.9805447470817131E-2</v>
      </c>
    </row>
    <row r="330" spans="22:83" x14ac:dyDescent="0.2">
      <c r="V330" s="2">
        <v>323</v>
      </c>
      <c r="W330" s="2">
        <f t="shared" si="444"/>
        <v>82877.142857142855</v>
      </c>
      <c r="X330" s="2">
        <f t="shared" si="444"/>
        <v>161568.57142857142</v>
      </c>
      <c r="Y330" s="2">
        <f t="shared" si="445"/>
        <v>161568.57142857142</v>
      </c>
      <c r="Z330" s="2">
        <f t="shared" ref="Z330:AA330" si="450">Y330</f>
        <v>161568.57142857142</v>
      </c>
      <c r="AA330" s="2">
        <f t="shared" si="450"/>
        <v>161568.57142857142</v>
      </c>
      <c r="AQ330" s="2">
        <v>323</v>
      </c>
      <c r="AR330" s="2">
        <f t="shared" si="437"/>
        <v>44891.785714285717</v>
      </c>
      <c r="AS330" s="2">
        <f t="shared" si="437"/>
        <v>106526.42857142857</v>
      </c>
      <c r="AT330" s="2">
        <f t="shared" si="437"/>
        <v>156964.28571428571</v>
      </c>
      <c r="AU330" s="2">
        <f t="shared" si="437"/>
        <v>235446.42857142858</v>
      </c>
      <c r="AV330" s="2">
        <f t="shared" si="437"/>
        <v>441592.85714285716</v>
      </c>
      <c r="BK330" s="2">
        <v>323</v>
      </c>
      <c r="BL330" s="2">
        <f t="shared" si="438"/>
        <v>6697.1428571428569</v>
      </c>
      <c r="BM330" s="2">
        <f t="shared" si="438"/>
        <v>11720</v>
      </c>
      <c r="BN330" s="2">
        <f t="shared" si="438"/>
        <v>18417.142857142859</v>
      </c>
      <c r="BO330" s="2">
        <f t="shared" si="438"/>
        <v>31811.428571428572</v>
      </c>
      <c r="BP330" s="2">
        <f t="shared" si="438"/>
        <v>289651.42857142858</v>
      </c>
      <c r="BV330" s="2">
        <v>323</v>
      </c>
      <c r="BW330" s="2">
        <f t="shared" si="439"/>
        <v>134466.07142857145</v>
      </c>
      <c r="BX330" s="2">
        <f t="shared" si="440"/>
        <v>279815</v>
      </c>
      <c r="BY330" s="2">
        <f t="shared" si="441"/>
        <v>336950</v>
      </c>
      <c r="BZ330" s="2">
        <f t="shared" si="442"/>
        <v>428826.42857142858</v>
      </c>
      <c r="CA330" s="2">
        <f t="shared" si="443"/>
        <v>892812.85714285728</v>
      </c>
      <c r="CC330" s="41">
        <f t="shared" si="447"/>
        <v>0.61634241245136179</v>
      </c>
      <c r="CD330" s="41">
        <f t="shared" si="448"/>
        <v>0.33385214007782099</v>
      </c>
      <c r="CE330" s="41">
        <f t="shared" si="449"/>
        <v>4.980544747081711E-2</v>
      </c>
    </row>
    <row r="331" spans="22:83" x14ac:dyDescent="0.2">
      <c r="V331" s="2">
        <v>324</v>
      </c>
      <c r="W331" s="2">
        <f t="shared" si="444"/>
        <v>83160</v>
      </c>
      <c r="X331" s="2">
        <f t="shared" si="444"/>
        <v>162120</v>
      </c>
      <c r="Y331" s="2">
        <f t="shared" si="445"/>
        <v>162120</v>
      </c>
      <c r="Z331" s="2">
        <f t="shared" ref="Z331:AA331" si="451">Y331</f>
        <v>162120</v>
      </c>
      <c r="AA331" s="2">
        <f t="shared" si="451"/>
        <v>162120</v>
      </c>
      <c r="AQ331" s="2">
        <v>324</v>
      </c>
      <c r="AR331" s="2">
        <f t="shared" si="437"/>
        <v>45045</v>
      </c>
      <c r="AS331" s="2">
        <f t="shared" si="437"/>
        <v>106890</v>
      </c>
      <c r="AT331" s="2">
        <f t="shared" si="437"/>
        <v>157500</v>
      </c>
      <c r="AU331" s="2">
        <f t="shared" si="437"/>
        <v>236250</v>
      </c>
      <c r="AV331" s="2">
        <f t="shared" si="437"/>
        <v>443100</v>
      </c>
      <c r="BK331" s="2">
        <v>324</v>
      </c>
      <c r="BL331" s="2">
        <f t="shared" si="438"/>
        <v>6720</v>
      </c>
      <c r="BM331" s="2">
        <f t="shared" si="438"/>
        <v>11760</v>
      </c>
      <c r="BN331" s="2">
        <f t="shared" si="438"/>
        <v>18480</v>
      </c>
      <c r="BO331" s="2">
        <f t="shared" si="438"/>
        <v>31920</v>
      </c>
      <c r="BP331" s="2">
        <f t="shared" si="438"/>
        <v>290640</v>
      </c>
      <c r="BV331" s="2">
        <v>324</v>
      </c>
      <c r="BW331" s="2">
        <f t="shared" si="439"/>
        <v>134925</v>
      </c>
      <c r="BX331" s="2">
        <f t="shared" si="440"/>
        <v>280770</v>
      </c>
      <c r="BY331" s="2">
        <f t="shared" si="441"/>
        <v>338100</v>
      </c>
      <c r="BZ331" s="2">
        <f t="shared" si="442"/>
        <v>430290</v>
      </c>
      <c r="CA331" s="2">
        <f t="shared" si="443"/>
        <v>895860</v>
      </c>
      <c r="CC331" s="41">
        <f t="shared" si="447"/>
        <v>0.6163424124513619</v>
      </c>
      <c r="CD331" s="41">
        <f t="shared" si="448"/>
        <v>0.33385214007782099</v>
      </c>
      <c r="CE331" s="41">
        <f t="shared" si="449"/>
        <v>4.9805447470817124E-2</v>
      </c>
    </row>
    <row r="332" spans="22:83" x14ac:dyDescent="0.2">
      <c r="V332" s="2">
        <v>325</v>
      </c>
      <c r="W332" s="2">
        <f t="shared" si="444"/>
        <v>83442.857142857145</v>
      </c>
      <c r="X332" s="2">
        <f t="shared" si="444"/>
        <v>162671.42857142858</v>
      </c>
      <c r="Y332" s="2">
        <f t="shared" si="445"/>
        <v>162671.42857142858</v>
      </c>
      <c r="Z332" s="2">
        <f t="shared" ref="Z332:AA332" si="452">Y332</f>
        <v>162671.42857142858</v>
      </c>
      <c r="AA332" s="2">
        <f t="shared" si="452"/>
        <v>162671.42857142858</v>
      </c>
      <c r="AQ332" s="2">
        <v>325</v>
      </c>
      <c r="AR332" s="2">
        <f t="shared" si="437"/>
        <v>45198.214285714283</v>
      </c>
      <c r="AS332" s="2">
        <f t="shared" si="437"/>
        <v>107253.57142857143</v>
      </c>
      <c r="AT332" s="2">
        <f t="shared" si="437"/>
        <v>158035.71428571429</v>
      </c>
      <c r="AU332" s="2">
        <f t="shared" si="437"/>
        <v>237053.57142857142</v>
      </c>
      <c r="AV332" s="2">
        <f t="shared" si="437"/>
        <v>444607.14285714284</v>
      </c>
      <c r="BK332" s="2">
        <v>325</v>
      </c>
      <c r="BL332" s="2">
        <f t="shared" si="438"/>
        <v>6742.8571428571431</v>
      </c>
      <c r="BM332" s="2">
        <f t="shared" si="438"/>
        <v>11800</v>
      </c>
      <c r="BN332" s="2">
        <f t="shared" si="438"/>
        <v>18542.857142857141</v>
      </c>
      <c r="BO332" s="2">
        <f t="shared" si="438"/>
        <v>32028.571428571428</v>
      </c>
      <c r="BP332" s="2">
        <f t="shared" si="438"/>
        <v>291628.57142857142</v>
      </c>
      <c r="BV332" s="2">
        <v>325</v>
      </c>
      <c r="BW332" s="2">
        <f t="shared" si="439"/>
        <v>135383.92857142855</v>
      </c>
      <c r="BX332" s="2">
        <f t="shared" si="440"/>
        <v>281725</v>
      </c>
      <c r="BY332" s="2">
        <f t="shared" si="441"/>
        <v>339250</v>
      </c>
      <c r="BZ332" s="2">
        <f t="shared" si="442"/>
        <v>431753.57142857142</v>
      </c>
      <c r="CA332" s="2">
        <f t="shared" si="443"/>
        <v>898907.14285714272</v>
      </c>
      <c r="CC332" s="41">
        <f t="shared" si="447"/>
        <v>0.61634241245136201</v>
      </c>
      <c r="CD332" s="41">
        <f t="shared" si="448"/>
        <v>0.33385214007782105</v>
      </c>
      <c r="CE332" s="41">
        <f t="shared" si="449"/>
        <v>4.9805447470817131E-2</v>
      </c>
    </row>
    <row r="333" spans="22:83" x14ac:dyDescent="0.2">
      <c r="V333" s="2">
        <v>326</v>
      </c>
      <c r="W333" s="2">
        <f t="shared" si="444"/>
        <v>83725.71428571429</v>
      </c>
      <c r="X333" s="2">
        <f t="shared" si="444"/>
        <v>163222.85714285713</v>
      </c>
      <c r="Y333" s="2">
        <f t="shared" si="445"/>
        <v>163222.85714285713</v>
      </c>
      <c r="Z333" s="2">
        <f t="shared" ref="Z333:AA333" si="453">Y333</f>
        <v>163222.85714285713</v>
      </c>
      <c r="AA333" s="2">
        <f t="shared" si="453"/>
        <v>163222.85714285713</v>
      </c>
      <c r="AQ333" s="2">
        <v>326</v>
      </c>
      <c r="AR333" s="2">
        <f t="shared" si="437"/>
        <v>45351.428571428572</v>
      </c>
      <c r="AS333" s="2">
        <f t="shared" si="437"/>
        <v>107617.14285714286</v>
      </c>
      <c r="AT333" s="2">
        <f t="shared" si="437"/>
        <v>158571.42857142858</v>
      </c>
      <c r="AU333" s="2">
        <f t="shared" si="437"/>
        <v>237857.14285714287</v>
      </c>
      <c r="AV333" s="2">
        <f t="shared" si="437"/>
        <v>446114.28571428574</v>
      </c>
      <c r="BK333" s="2">
        <v>326</v>
      </c>
      <c r="BL333" s="2">
        <f t="shared" si="438"/>
        <v>6765.7142857142853</v>
      </c>
      <c r="BM333" s="2">
        <f t="shared" si="438"/>
        <v>11840</v>
      </c>
      <c r="BN333" s="2">
        <f t="shared" si="438"/>
        <v>18605.714285714286</v>
      </c>
      <c r="BO333" s="2">
        <f t="shared" si="438"/>
        <v>32137.142857142859</v>
      </c>
      <c r="BP333" s="2">
        <f t="shared" si="438"/>
        <v>292617.14285714284</v>
      </c>
      <c r="BV333" s="2">
        <v>326</v>
      </c>
      <c r="BW333" s="2">
        <f t="shared" si="439"/>
        <v>135842.85714285716</v>
      </c>
      <c r="BX333" s="2">
        <f t="shared" si="440"/>
        <v>282680</v>
      </c>
      <c r="BY333" s="2">
        <f t="shared" si="441"/>
        <v>340399.99999999994</v>
      </c>
      <c r="BZ333" s="2">
        <f t="shared" si="442"/>
        <v>433217.14285714284</v>
      </c>
      <c r="CA333" s="2">
        <f t="shared" si="443"/>
        <v>901954.28571428568</v>
      </c>
      <c r="CC333" s="41">
        <f t="shared" si="447"/>
        <v>0.61634241245136179</v>
      </c>
      <c r="CD333" s="41">
        <f t="shared" si="448"/>
        <v>0.33385214007782099</v>
      </c>
      <c r="CE333" s="41">
        <f t="shared" si="449"/>
        <v>4.980544747081711E-2</v>
      </c>
    </row>
    <row r="334" spans="22:83" x14ac:dyDescent="0.2">
      <c r="V334" s="2">
        <v>327</v>
      </c>
      <c r="W334" s="2">
        <f t="shared" si="444"/>
        <v>84008.571428571435</v>
      </c>
      <c r="X334" s="2">
        <f t="shared" si="444"/>
        <v>163774.28571428571</v>
      </c>
      <c r="Y334" s="2">
        <f t="shared" si="445"/>
        <v>163774.28571428571</v>
      </c>
      <c r="Z334" s="2">
        <f t="shared" ref="Z334:AA334" si="454">Y334</f>
        <v>163774.28571428571</v>
      </c>
      <c r="AA334" s="2">
        <f t="shared" si="454"/>
        <v>163774.28571428571</v>
      </c>
      <c r="AQ334" s="2">
        <v>327</v>
      </c>
      <c r="AR334" s="2">
        <f t="shared" si="437"/>
        <v>45504.642857142855</v>
      </c>
      <c r="AS334" s="2">
        <f t="shared" si="437"/>
        <v>107980.71428571429</v>
      </c>
      <c r="AT334" s="2">
        <f t="shared" si="437"/>
        <v>159107.14285714287</v>
      </c>
      <c r="AU334" s="2">
        <f t="shared" si="437"/>
        <v>238660.71428571429</v>
      </c>
      <c r="AV334" s="2">
        <f t="shared" si="437"/>
        <v>447621.42857142858</v>
      </c>
      <c r="BK334" s="2">
        <v>327</v>
      </c>
      <c r="BL334" s="2">
        <f t="shared" si="438"/>
        <v>6788.5714285714284</v>
      </c>
      <c r="BM334" s="2">
        <f t="shared" si="438"/>
        <v>11880</v>
      </c>
      <c r="BN334" s="2">
        <f t="shared" si="438"/>
        <v>18668.571428571428</v>
      </c>
      <c r="BO334" s="2">
        <f t="shared" si="438"/>
        <v>32245.714285714286</v>
      </c>
      <c r="BP334" s="2">
        <f t="shared" si="438"/>
        <v>293605.71428571426</v>
      </c>
      <c r="BV334" s="2">
        <v>327</v>
      </c>
      <c r="BW334" s="2">
        <f t="shared" si="439"/>
        <v>136301.78571428571</v>
      </c>
      <c r="BX334" s="2">
        <f t="shared" si="440"/>
        <v>283635</v>
      </c>
      <c r="BY334" s="2">
        <f t="shared" si="441"/>
        <v>341550</v>
      </c>
      <c r="BZ334" s="2">
        <f t="shared" si="442"/>
        <v>434680.71428571426</v>
      </c>
      <c r="CA334" s="2">
        <f t="shared" si="443"/>
        <v>905001.42857142864</v>
      </c>
      <c r="CC334" s="41">
        <f t="shared" si="447"/>
        <v>0.6163424124513619</v>
      </c>
      <c r="CD334" s="41">
        <f t="shared" si="448"/>
        <v>0.33385214007782099</v>
      </c>
      <c r="CE334" s="41">
        <f t="shared" si="449"/>
        <v>4.9805447470817124E-2</v>
      </c>
    </row>
    <row r="335" spans="22:83" x14ac:dyDescent="0.2">
      <c r="V335" s="2">
        <v>328</v>
      </c>
      <c r="W335" s="2">
        <f t="shared" si="444"/>
        <v>84291.428571428565</v>
      </c>
      <c r="X335" s="2">
        <f t="shared" si="444"/>
        <v>164325.71428571429</v>
      </c>
      <c r="Y335" s="2">
        <f t="shared" si="445"/>
        <v>164325.71428571429</v>
      </c>
      <c r="Z335" s="2">
        <f t="shared" ref="Z335:AA335" si="455">Y335</f>
        <v>164325.71428571429</v>
      </c>
      <c r="AA335" s="2">
        <f t="shared" si="455"/>
        <v>164325.71428571429</v>
      </c>
      <c r="AQ335" s="2">
        <v>328</v>
      </c>
      <c r="AR335" s="2">
        <f t="shared" si="437"/>
        <v>45657.857142857145</v>
      </c>
      <c r="AS335" s="2">
        <f t="shared" si="437"/>
        <v>108344.28571428571</v>
      </c>
      <c r="AT335" s="2">
        <f t="shared" si="437"/>
        <v>159642.85714285713</v>
      </c>
      <c r="AU335" s="2">
        <f t="shared" si="437"/>
        <v>239464.28571428571</v>
      </c>
      <c r="AV335" s="2">
        <f t="shared" si="437"/>
        <v>449128.57142857142</v>
      </c>
      <c r="BK335" s="2">
        <v>328</v>
      </c>
      <c r="BL335" s="2">
        <f t="shared" si="438"/>
        <v>6811.4285714285716</v>
      </c>
      <c r="BM335" s="2">
        <f t="shared" si="438"/>
        <v>11920</v>
      </c>
      <c r="BN335" s="2">
        <f t="shared" si="438"/>
        <v>18731.428571428572</v>
      </c>
      <c r="BO335" s="2">
        <f t="shared" si="438"/>
        <v>32354.285714285714</v>
      </c>
      <c r="BP335" s="2">
        <f t="shared" si="438"/>
        <v>294594.28571428574</v>
      </c>
      <c r="BV335" s="2">
        <v>328</v>
      </c>
      <c r="BW335" s="2">
        <f t="shared" si="439"/>
        <v>136760.71428571429</v>
      </c>
      <c r="BX335" s="2">
        <f t="shared" si="440"/>
        <v>284590</v>
      </c>
      <c r="BY335" s="2">
        <f t="shared" si="441"/>
        <v>342700</v>
      </c>
      <c r="BZ335" s="2">
        <f t="shared" si="442"/>
        <v>436144.28571428574</v>
      </c>
      <c r="CA335" s="2">
        <f t="shared" si="443"/>
        <v>908048.57142857136</v>
      </c>
      <c r="CC335" s="41">
        <f t="shared" si="447"/>
        <v>0.61634241245136179</v>
      </c>
      <c r="CD335" s="41">
        <f t="shared" si="448"/>
        <v>0.33385214007782099</v>
      </c>
      <c r="CE335" s="41">
        <f t="shared" si="449"/>
        <v>4.9805447470817117E-2</v>
      </c>
    </row>
    <row r="336" spans="22:83" x14ac:dyDescent="0.2">
      <c r="V336" s="2">
        <v>329</v>
      </c>
      <c r="W336" s="2">
        <f t="shared" si="444"/>
        <v>84574.28571428571</v>
      </c>
      <c r="X336" s="2">
        <f t="shared" si="444"/>
        <v>164877.14285714287</v>
      </c>
      <c r="Y336" s="2">
        <f t="shared" si="445"/>
        <v>164877.14285714287</v>
      </c>
      <c r="Z336" s="2">
        <f t="shared" ref="Z336:AA336" si="456">Y336</f>
        <v>164877.14285714287</v>
      </c>
      <c r="AA336" s="2">
        <f t="shared" si="456"/>
        <v>164877.14285714287</v>
      </c>
      <c r="AQ336" s="2">
        <v>329</v>
      </c>
      <c r="AR336" s="2">
        <f t="shared" si="437"/>
        <v>45811.071428571428</v>
      </c>
      <c r="AS336" s="2">
        <f t="shared" si="437"/>
        <v>108707.85714285714</v>
      </c>
      <c r="AT336" s="2">
        <f t="shared" si="437"/>
        <v>160178.57142857142</v>
      </c>
      <c r="AU336" s="2">
        <f t="shared" si="437"/>
        <v>240267.85714285713</v>
      </c>
      <c r="AV336" s="2">
        <f t="shared" si="437"/>
        <v>450635.71428571426</v>
      </c>
      <c r="BK336" s="2">
        <v>329</v>
      </c>
      <c r="BL336" s="2">
        <f t="shared" si="438"/>
        <v>6834.2857142857147</v>
      </c>
      <c r="BM336" s="2">
        <f t="shared" si="438"/>
        <v>11960</v>
      </c>
      <c r="BN336" s="2">
        <f t="shared" si="438"/>
        <v>18794.285714285714</v>
      </c>
      <c r="BO336" s="2">
        <f t="shared" si="438"/>
        <v>32462.857142857141</v>
      </c>
      <c r="BP336" s="2">
        <f t="shared" si="438"/>
        <v>295582.85714285716</v>
      </c>
      <c r="BV336" s="2">
        <v>329</v>
      </c>
      <c r="BW336" s="2">
        <f t="shared" si="439"/>
        <v>137219.64285714284</v>
      </c>
      <c r="BX336" s="2">
        <f t="shared" si="440"/>
        <v>285545</v>
      </c>
      <c r="BY336" s="2">
        <f t="shared" si="441"/>
        <v>343850.00000000006</v>
      </c>
      <c r="BZ336" s="2">
        <f t="shared" si="442"/>
        <v>437607.85714285716</v>
      </c>
      <c r="CA336" s="2">
        <f t="shared" si="443"/>
        <v>911095.71428571432</v>
      </c>
      <c r="CC336" s="41">
        <f t="shared" si="447"/>
        <v>0.6163424124513619</v>
      </c>
      <c r="CD336" s="41">
        <f t="shared" si="448"/>
        <v>0.33385214007782105</v>
      </c>
      <c r="CE336" s="41">
        <f t="shared" si="449"/>
        <v>4.9805447470817131E-2</v>
      </c>
    </row>
    <row r="337" spans="22:83" x14ac:dyDescent="0.2">
      <c r="V337" s="2">
        <v>330</v>
      </c>
      <c r="W337" s="2">
        <f t="shared" si="444"/>
        <v>84857.142857142855</v>
      </c>
      <c r="X337" s="2">
        <f t="shared" si="444"/>
        <v>165428.57142857142</v>
      </c>
      <c r="Y337" s="2">
        <f t="shared" si="445"/>
        <v>165428.57142857142</v>
      </c>
      <c r="Z337" s="2">
        <f t="shared" ref="Z337:AA337" si="457">Y337</f>
        <v>165428.57142857142</v>
      </c>
      <c r="AA337" s="2">
        <f t="shared" si="457"/>
        <v>165428.57142857142</v>
      </c>
      <c r="AQ337" s="2">
        <v>330</v>
      </c>
      <c r="AR337" s="2">
        <f t="shared" si="437"/>
        <v>45964.285714285717</v>
      </c>
      <c r="AS337" s="2">
        <f t="shared" si="437"/>
        <v>109071.42857142857</v>
      </c>
      <c r="AT337" s="2">
        <f t="shared" si="437"/>
        <v>160714.28571428571</v>
      </c>
      <c r="AU337" s="2">
        <f t="shared" si="437"/>
        <v>241071.42857142858</v>
      </c>
      <c r="AV337" s="2">
        <f t="shared" si="437"/>
        <v>452142.85714285716</v>
      </c>
      <c r="BK337" s="2">
        <v>330</v>
      </c>
      <c r="BL337" s="2">
        <f t="shared" si="438"/>
        <v>6857.1428571428569</v>
      </c>
      <c r="BM337" s="2">
        <f t="shared" si="438"/>
        <v>12000</v>
      </c>
      <c r="BN337" s="2">
        <f t="shared" si="438"/>
        <v>18857.142857142859</v>
      </c>
      <c r="BO337" s="2">
        <f t="shared" si="438"/>
        <v>32571.428571428572</v>
      </c>
      <c r="BP337" s="2">
        <f t="shared" si="438"/>
        <v>296571.42857142858</v>
      </c>
      <c r="BV337" s="2">
        <v>330</v>
      </c>
      <c r="BW337" s="2">
        <f t="shared" si="439"/>
        <v>137678.57142857145</v>
      </c>
      <c r="BX337" s="2">
        <f t="shared" si="440"/>
        <v>286500</v>
      </c>
      <c r="BY337" s="2">
        <f t="shared" si="441"/>
        <v>345000</v>
      </c>
      <c r="BZ337" s="2">
        <f t="shared" si="442"/>
        <v>439071.42857142858</v>
      </c>
      <c r="CA337" s="2">
        <f t="shared" si="443"/>
        <v>914142.85714285728</v>
      </c>
      <c r="CC337" s="41">
        <f t="shared" si="447"/>
        <v>0.61634241245136179</v>
      </c>
      <c r="CD337" s="41">
        <f t="shared" si="448"/>
        <v>0.33385214007782099</v>
      </c>
      <c r="CE337" s="41">
        <f t="shared" si="449"/>
        <v>4.980544747081711E-2</v>
      </c>
    </row>
    <row r="338" spans="22:83" x14ac:dyDescent="0.2">
      <c r="V338" s="2">
        <v>331</v>
      </c>
      <c r="W338" s="2">
        <f t="shared" si="444"/>
        <v>85140</v>
      </c>
      <c r="X338" s="2">
        <f t="shared" si="444"/>
        <v>165980</v>
      </c>
      <c r="Y338" s="2">
        <f t="shared" si="445"/>
        <v>165980</v>
      </c>
      <c r="Z338" s="2">
        <f t="shared" ref="Z338:AA338" si="458">Y338</f>
        <v>165980</v>
      </c>
      <c r="AA338" s="2">
        <f t="shared" si="458"/>
        <v>165980</v>
      </c>
      <c r="AQ338" s="2">
        <v>331</v>
      </c>
      <c r="AR338" s="2">
        <f t="shared" ref="AR338:AV347" si="459">MAX($AQ338-$C$2,0)*INDEX($AN$8:$AN$44,MATCH(AR$7,$AO$8:$AO$44,0))/$C$3</f>
        <v>46117.5</v>
      </c>
      <c r="AS338" s="2">
        <f t="shared" si="459"/>
        <v>109435</v>
      </c>
      <c r="AT338" s="2">
        <f t="shared" si="459"/>
        <v>161250</v>
      </c>
      <c r="AU338" s="2">
        <f t="shared" si="459"/>
        <v>241875</v>
      </c>
      <c r="AV338" s="2">
        <f t="shared" si="459"/>
        <v>453650</v>
      </c>
      <c r="BK338" s="2">
        <v>331</v>
      </c>
      <c r="BL338" s="2">
        <f t="shared" ref="BL338:BP347" si="460">IFERROR(MAX($BK338-$C$2,0)*INDEX($BH$8:$BH$16,MATCH(BL$7,$BI$8:$BI$16,0))*$C$4/$C$3,BM338)</f>
        <v>6880</v>
      </c>
      <c r="BM338" s="2">
        <f t="shared" si="460"/>
        <v>12040</v>
      </c>
      <c r="BN338" s="2">
        <f t="shared" si="460"/>
        <v>18920</v>
      </c>
      <c r="BO338" s="2">
        <f t="shared" si="460"/>
        <v>32680</v>
      </c>
      <c r="BP338" s="2">
        <f t="shared" si="460"/>
        <v>297560</v>
      </c>
      <c r="BV338" s="2">
        <v>331</v>
      </c>
      <c r="BW338" s="2">
        <f t="shared" si="439"/>
        <v>138137.5</v>
      </c>
      <c r="BX338" s="2">
        <f t="shared" si="440"/>
        <v>287455</v>
      </c>
      <c r="BY338" s="2">
        <f t="shared" si="441"/>
        <v>346150</v>
      </c>
      <c r="BZ338" s="2">
        <f t="shared" si="442"/>
        <v>440535</v>
      </c>
      <c r="CA338" s="2">
        <f t="shared" si="443"/>
        <v>917190</v>
      </c>
      <c r="CC338" s="41">
        <f t="shared" si="447"/>
        <v>0.6163424124513619</v>
      </c>
      <c r="CD338" s="41">
        <f t="shared" si="448"/>
        <v>0.33385214007782099</v>
      </c>
      <c r="CE338" s="41">
        <f t="shared" si="449"/>
        <v>4.9805447470817124E-2</v>
      </c>
    </row>
    <row r="339" spans="22:83" x14ac:dyDescent="0.2">
      <c r="V339" s="2">
        <v>332</v>
      </c>
      <c r="W339" s="2">
        <f t="shared" si="444"/>
        <v>85422.857142857145</v>
      </c>
      <c r="X339" s="2">
        <f t="shared" si="444"/>
        <v>166531.42857142858</v>
      </c>
      <c r="Y339" s="2">
        <f t="shared" si="445"/>
        <v>166531.42857142858</v>
      </c>
      <c r="Z339" s="2">
        <f t="shared" ref="Z339:AA339" si="461">Y339</f>
        <v>166531.42857142858</v>
      </c>
      <c r="AA339" s="2">
        <f t="shared" si="461"/>
        <v>166531.42857142858</v>
      </c>
      <c r="AQ339" s="2">
        <v>332</v>
      </c>
      <c r="AR339" s="2">
        <f t="shared" si="459"/>
        <v>46270.714285714283</v>
      </c>
      <c r="AS339" s="2">
        <f t="shared" si="459"/>
        <v>109798.57142857143</v>
      </c>
      <c r="AT339" s="2">
        <f t="shared" si="459"/>
        <v>161785.71428571429</v>
      </c>
      <c r="AU339" s="2">
        <f t="shared" si="459"/>
        <v>242678.57142857142</v>
      </c>
      <c r="AV339" s="2">
        <f t="shared" si="459"/>
        <v>455157.14285714284</v>
      </c>
      <c r="BK339" s="2">
        <v>332</v>
      </c>
      <c r="BL339" s="2">
        <f t="shared" si="460"/>
        <v>6902.8571428571431</v>
      </c>
      <c r="BM339" s="2">
        <f t="shared" si="460"/>
        <v>12080</v>
      </c>
      <c r="BN339" s="2">
        <f t="shared" si="460"/>
        <v>18982.857142857141</v>
      </c>
      <c r="BO339" s="2">
        <f t="shared" si="460"/>
        <v>32788.571428571428</v>
      </c>
      <c r="BP339" s="2">
        <f t="shared" si="460"/>
        <v>298548.57142857142</v>
      </c>
      <c r="BV339" s="2">
        <v>332</v>
      </c>
      <c r="BW339" s="2">
        <f t="shared" si="439"/>
        <v>138596.42857142855</v>
      </c>
      <c r="BX339" s="2">
        <f t="shared" si="440"/>
        <v>288410</v>
      </c>
      <c r="BY339" s="2">
        <f t="shared" si="441"/>
        <v>347300</v>
      </c>
      <c r="BZ339" s="2">
        <f t="shared" si="442"/>
        <v>441998.57142857142</v>
      </c>
      <c r="CA339" s="2">
        <f t="shared" si="443"/>
        <v>920237.14285714272</v>
      </c>
      <c r="CC339" s="41">
        <f t="shared" si="447"/>
        <v>0.61634241245136201</v>
      </c>
      <c r="CD339" s="41">
        <f t="shared" si="448"/>
        <v>0.33385214007782105</v>
      </c>
      <c r="CE339" s="41">
        <f t="shared" si="449"/>
        <v>4.9805447470817131E-2</v>
      </c>
    </row>
    <row r="340" spans="22:83" x14ac:dyDescent="0.2">
      <c r="V340" s="2">
        <v>333</v>
      </c>
      <c r="W340" s="2">
        <f t="shared" si="444"/>
        <v>85705.71428571429</v>
      </c>
      <c r="X340" s="2">
        <f t="shared" si="444"/>
        <v>167082.85714285713</v>
      </c>
      <c r="Y340" s="2">
        <f t="shared" si="445"/>
        <v>167082.85714285713</v>
      </c>
      <c r="Z340" s="2">
        <f t="shared" ref="Z340:AA340" si="462">Y340</f>
        <v>167082.85714285713</v>
      </c>
      <c r="AA340" s="2">
        <f t="shared" si="462"/>
        <v>167082.85714285713</v>
      </c>
      <c r="AQ340" s="2">
        <v>333</v>
      </c>
      <c r="AR340" s="2">
        <f t="shared" si="459"/>
        <v>46423.928571428572</v>
      </c>
      <c r="AS340" s="2">
        <f t="shared" si="459"/>
        <v>110162.14285714286</v>
      </c>
      <c r="AT340" s="2">
        <f t="shared" si="459"/>
        <v>162321.42857142858</v>
      </c>
      <c r="AU340" s="2">
        <f t="shared" si="459"/>
        <v>243482.14285714287</v>
      </c>
      <c r="AV340" s="2">
        <f t="shared" si="459"/>
        <v>456664.28571428574</v>
      </c>
      <c r="BK340" s="2">
        <v>333</v>
      </c>
      <c r="BL340" s="2">
        <f t="shared" si="460"/>
        <v>6925.7142857142853</v>
      </c>
      <c r="BM340" s="2">
        <f t="shared" si="460"/>
        <v>12120</v>
      </c>
      <c r="BN340" s="2">
        <f t="shared" si="460"/>
        <v>19045.714285714286</v>
      </c>
      <c r="BO340" s="2">
        <f t="shared" si="460"/>
        <v>32897.142857142855</v>
      </c>
      <c r="BP340" s="2">
        <f t="shared" si="460"/>
        <v>299537.14285714284</v>
      </c>
      <c r="BV340" s="2">
        <v>333</v>
      </c>
      <c r="BW340" s="2">
        <f t="shared" si="439"/>
        <v>139055.35714285716</v>
      </c>
      <c r="BX340" s="2">
        <f t="shared" si="440"/>
        <v>289365</v>
      </c>
      <c r="BY340" s="2">
        <f t="shared" si="441"/>
        <v>348449.99999999994</v>
      </c>
      <c r="BZ340" s="2">
        <f t="shared" si="442"/>
        <v>443462.14285714284</v>
      </c>
      <c r="CA340" s="2">
        <f t="shared" si="443"/>
        <v>923284.28571428568</v>
      </c>
      <c r="CC340" s="41">
        <f t="shared" si="447"/>
        <v>0.61634241245136179</v>
      </c>
      <c r="CD340" s="41">
        <f t="shared" si="448"/>
        <v>0.33385214007782099</v>
      </c>
      <c r="CE340" s="41">
        <f t="shared" si="449"/>
        <v>4.980544747081711E-2</v>
      </c>
    </row>
    <row r="341" spans="22:83" x14ac:dyDescent="0.2">
      <c r="V341" s="2">
        <v>334</v>
      </c>
      <c r="W341" s="2">
        <f t="shared" si="444"/>
        <v>85988.571428571435</v>
      </c>
      <c r="X341" s="2">
        <f t="shared" si="444"/>
        <v>167634.28571428571</v>
      </c>
      <c r="Y341" s="2">
        <f t="shared" si="445"/>
        <v>167634.28571428571</v>
      </c>
      <c r="Z341" s="2">
        <f t="shared" ref="Z341:AA341" si="463">Y341</f>
        <v>167634.28571428571</v>
      </c>
      <c r="AA341" s="2">
        <f t="shared" si="463"/>
        <v>167634.28571428571</v>
      </c>
      <c r="AQ341" s="2">
        <v>334</v>
      </c>
      <c r="AR341" s="2">
        <f t="shared" si="459"/>
        <v>46577.142857142855</v>
      </c>
      <c r="AS341" s="2">
        <f t="shared" si="459"/>
        <v>110525.71428571429</v>
      </c>
      <c r="AT341" s="2">
        <f t="shared" si="459"/>
        <v>162857.14285714287</v>
      </c>
      <c r="AU341" s="2">
        <f t="shared" si="459"/>
        <v>244285.71428571429</v>
      </c>
      <c r="AV341" s="2">
        <f t="shared" si="459"/>
        <v>458171.42857142858</v>
      </c>
      <c r="BK341" s="2">
        <v>334</v>
      </c>
      <c r="BL341" s="2">
        <f t="shared" si="460"/>
        <v>6948.5714285714284</v>
      </c>
      <c r="BM341" s="2">
        <f t="shared" si="460"/>
        <v>12160</v>
      </c>
      <c r="BN341" s="2">
        <f t="shared" si="460"/>
        <v>19108.571428571428</v>
      </c>
      <c r="BO341" s="2">
        <f t="shared" si="460"/>
        <v>33005.714285714283</v>
      </c>
      <c r="BP341" s="2">
        <f t="shared" si="460"/>
        <v>300525.71428571426</v>
      </c>
      <c r="BV341" s="2">
        <v>334</v>
      </c>
      <c r="BW341" s="2">
        <f t="shared" si="439"/>
        <v>139514.28571428571</v>
      </c>
      <c r="BX341" s="2">
        <f t="shared" si="440"/>
        <v>290320</v>
      </c>
      <c r="BY341" s="2">
        <f t="shared" si="441"/>
        <v>349600</v>
      </c>
      <c r="BZ341" s="2">
        <f t="shared" si="442"/>
        <v>444925.71428571426</v>
      </c>
      <c r="CA341" s="2">
        <f t="shared" si="443"/>
        <v>926331.42857142864</v>
      </c>
      <c r="CC341" s="41">
        <f t="shared" si="447"/>
        <v>0.6163424124513619</v>
      </c>
      <c r="CD341" s="41">
        <f t="shared" si="448"/>
        <v>0.33385214007782099</v>
      </c>
      <c r="CE341" s="41">
        <f t="shared" si="449"/>
        <v>4.9805447470817124E-2</v>
      </c>
    </row>
    <row r="342" spans="22:83" x14ac:dyDescent="0.2">
      <c r="V342" s="2">
        <v>335</v>
      </c>
      <c r="W342" s="2">
        <f t="shared" si="444"/>
        <v>86271.428571428565</v>
      </c>
      <c r="X342" s="2">
        <f t="shared" si="444"/>
        <v>168185.71428571429</v>
      </c>
      <c r="Y342" s="2">
        <f t="shared" si="445"/>
        <v>168185.71428571429</v>
      </c>
      <c r="Z342" s="2">
        <f t="shared" ref="Z342:AA342" si="464">Y342</f>
        <v>168185.71428571429</v>
      </c>
      <c r="AA342" s="2">
        <f t="shared" si="464"/>
        <v>168185.71428571429</v>
      </c>
      <c r="AQ342" s="2">
        <v>335</v>
      </c>
      <c r="AR342" s="2">
        <f t="shared" si="459"/>
        <v>46730.357142857145</v>
      </c>
      <c r="AS342" s="2">
        <f t="shared" si="459"/>
        <v>110889.28571428571</v>
      </c>
      <c r="AT342" s="2">
        <f t="shared" si="459"/>
        <v>163392.85714285713</v>
      </c>
      <c r="AU342" s="2">
        <f t="shared" si="459"/>
        <v>245089.28571428571</v>
      </c>
      <c r="AV342" s="2">
        <f t="shared" si="459"/>
        <v>459678.57142857142</v>
      </c>
      <c r="BK342" s="2">
        <v>335</v>
      </c>
      <c r="BL342" s="2">
        <f t="shared" si="460"/>
        <v>6971.4285714285716</v>
      </c>
      <c r="BM342" s="2">
        <f t="shared" si="460"/>
        <v>12200</v>
      </c>
      <c r="BN342" s="2">
        <f t="shared" si="460"/>
        <v>19171.428571428572</v>
      </c>
      <c r="BO342" s="2">
        <f t="shared" si="460"/>
        <v>33114.285714285717</v>
      </c>
      <c r="BP342" s="2">
        <f t="shared" si="460"/>
        <v>301514.28571428574</v>
      </c>
      <c r="BV342" s="2">
        <v>335</v>
      </c>
      <c r="BW342" s="2">
        <f t="shared" si="439"/>
        <v>139973.21428571429</v>
      </c>
      <c r="BX342" s="2">
        <f t="shared" si="440"/>
        <v>291275</v>
      </c>
      <c r="BY342" s="2">
        <f t="shared" si="441"/>
        <v>350750</v>
      </c>
      <c r="BZ342" s="2">
        <f t="shared" si="442"/>
        <v>446389.28571428574</v>
      </c>
      <c r="CA342" s="2">
        <f t="shared" si="443"/>
        <v>929378.57142857136</v>
      </c>
      <c r="CC342" s="41">
        <f t="shared" si="447"/>
        <v>0.61634241245136179</v>
      </c>
      <c r="CD342" s="41">
        <f t="shared" si="448"/>
        <v>0.33385214007782099</v>
      </c>
      <c r="CE342" s="41">
        <f t="shared" si="449"/>
        <v>4.9805447470817117E-2</v>
      </c>
    </row>
    <row r="343" spans="22:83" x14ac:dyDescent="0.2">
      <c r="V343" s="2">
        <v>336</v>
      </c>
      <c r="W343" s="2">
        <f t="shared" si="444"/>
        <v>86554.28571428571</v>
      </c>
      <c r="X343" s="2">
        <f t="shared" si="444"/>
        <v>168737.14285714287</v>
      </c>
      <c r="Y343" s="2">
        <f t="shared" si="445"/>
        <v>168737.14285714287</v>
      </c>
      <c r="Z343" s="2">
        <f t="shared" ref="Z343:AA343" si="465">Y343</f>
        <v>168737.14285714287</v>
      </c>
      <c r="AA343" s="2">
        <f t="shared" si="465"/>
        <v>168737.14285714287</v>
      </c>
      <c r="AQ343" s="2">
        <v>336</v>
      </c>
      <c r="AR343" s="2">
        <f t="shared" si="459"/>
        <v>46883.571428571428</v>
      </c>
      <c r="AS343" s="2">
        <f t="shared" si="459"/>
        <v>111252.85714285714</v>
      </c>
      <c r="AT343" s="2">
        <f t="shared" si="459"/>
        <v>163928.57142857142</v>
      </c>
      <c r="AU343" s="2">
        <f t="shared" si="459"/>
        <v>245892.85714285713</v>
      </c>
      <c r="AV343" s="2">
        <f t="shared" si="459"/>
        <v>461185.71428571426</v>
      </c>
      <c r="BK343" s="2">
        <v>336</v>
      </c>
      <c r="BL343" s="2">
        <f t="shared" si="460"/>
        <v>6994.2857142857147</v>
      </c>
      <c r="BM343" s="2">
        <f t="shared" si="460"/>
        <v>12240</v>
      </c>
      <c r="BN343" s="2">
        <f t="shared" si="460"/>
        <v>19234.285714285714</v>
      </c>
      <c r="BO343" s="2">
        <f t="shared" si="460"/>
        <v>33222.857142857145</v>
      </c>
      <c r="BP343" s="2">
        <f t="shared" si="460"/>
        <v>302502.85714285716</v>
      </c>
      <c r="BV343" s="2">
        <v>336</v>
      </c>
      <c r="BW343" s="2">
        <f t="shared" si="439"/>
        <v>140432.14285714284</v>
      </c>
      <c r="BX343" s="2">
        <f t="shared" si="440"/>
        <v>292230</v>
      </c>
      <c r="BY343" s="2">
        <f t="shared" si="441"/>
        <v>351900.00000000006</v>
      </c>
      <c r="BZ343" s="2">
        <f t="shared" si="442"/>
        <v>447852.85714285716</v>
      </c>
      <c r="CA343" s="2">
        <f t="shared" si="443"/>
        <v>932425.71428571432</v>
      </c>
      <c r="CC343" s="41">
        <f t="shared" si="447"/>
        <v>0.6163424124513619</v>
      </c>
      <c r="CD343" s="41">
        <f t="shared" si="448"/>
        <v>0.33385214007782105</v>
      </c>
      <c r="CE343" s="41">
        <f t="shared" si="449"/>
        <v>4.9805447470817131E-2</v>
      </c>
    </row>
    <row r="344" spans="22:83" x14ac:dyDescent="0.2">
      <c r="V344" s="2">
        <v>337</v>
      </c>
      <c r="W344" s="2">
        <f t="shared" si="444"/>
        <v>86837.142857142855</v>
      </c>
      <c r="X344" s="2">
        <f t="shared" si="444"/>
        <v>169288.57142857142</v>
      </c>
      <c r="Y344" s="2">
        <f t="shared" si="445"/>
        <v>169288.57142857142</v>
      </c>
      <c r="Z344" s="2">
        <f t="shared" ref="Z344:AA344" si="466">Y344</f>
        <v>169288.57142857142</v>
      </c>
      <c r="AA344" s="2">
        <f t="shared" si="466"/>
        <v>169288.57142857142</v>
      </c>
      <c r="AQ344" s="2">
        <v>337</v>
      </c>
      <c r="AR344" s="2">
        <f t="shared" si="459"/>
        <v>47036.785714285717</v>
      </c>
      <c r="AS344" s="2">
        <f t="shared" si="459"/>
        <v>111616.42857142857</v>
      </c>
      <c r="AT344" s="2">
        <f t="shared" si="459"/>
        <v>164464.28571428571</v>
      </c>
      <c r="AU344" s="2">
        <f t="shared" si="459"/>
        <v>246696.42857142858</v>
      </c>
      <c r="AV344" s="2">
        <f t="shared" si="459"/>
        <v>462692.85714285716</v>
      </c>
      <c r="BK344" s="2">
        <v>337</v>
      </c>
      <c r="BL344" s="2">
        <f t="shared" si="460"/>
        <v>7017.1428571428569</v>
      </c>
      <c r="BM344" s="2">
        <f t="shared" si="460"/>
        <v>12280</v>
      </c>
      <c r="BN344" s="2">
        <f t="shared" si="460"/>
        <v>19297.142857142859</v>
      </c>
      <c r="BO344" s="2">
        <f t="shared" si="460"/>
        <v>33331.428571428572</v>
      </c>
      <c r="BP344" s="2">
        <f t="shared" si="460"/>
        <v>303491.42857142858</v>
      </c>
      <c r="BV344" s="2">
        <v>337</v>
      </c>
      <c r="BW344" s="2">
        <f t="shared" si="439"/>
        <v>140891.07142857145</v>
      </c>
      <c r="BX344" s="2">
        <f t="shared" si="440"/>
        <v>293185</v>
      </c>
      <c r="BY344" s="2">
        <f t="shared" si="441"/>
        <v>353050</v>
      </c>
      <c r="BZ344" s="2">
        <f t="shared" si="442"/>
        <v>449316.42857142858</v>
      </c>
      <c r="CA344" s="2">
        <f t="shared" si="443"/>
        <v>935472.85714285728</v>
      </c>
      <c r="CC344" s="41">
        <f t="shared" si="447"/>
        <v>0.61634241245136179</v>
      </c>
      <c r="CD344" s="41">
        <f t="shared" si="448"/>
        <v>0.33385214007782099</v>
      </c>
      <c r="CE344" s="41">
        <f t="shared" si="449"/>
        <v>4.980544747081711E-2</v>
      </c>
    </row>
    <row r="345" spans="22:83" x14ac:dyDescent="0.2">
      <c r="V345" s="2">
        <v>338</v>
      </c>
      <c r="W345" s="2">
        <f t="shared" si="444"/>
        <v>87120</v>
      </c>
      <c r="X345" s="2">
        <f t="shared" si="444"/>
        <v>169840</v>
      </c>
      <c r="Y345" s="2">
        <f t="shared" si="445"/>
        <v>169840</v>
      </c>
      <c r="Z345" s="2">
        <f t="shared" ref="Z345:AA345" si="467">Y345</f>
        <v>169840</v>
      </c>
      <c r="AA345" s="2">
        <f t="shared" si="467"/>
        <v>169840</v>
      </c>
      <c r="AQ345" s="2">
        <v>338</v>
      </c>
      <c r="AR345" s="2">
        <f t="shared" si="459"/>
        <v>47190</v>
      </c>
      <c r="AS345" s="2">
        <f t="shared" si="459"/>
        <v>111980</v>
      </c>
      <c r="AT345" s="2">
        <f t="shared" si="459"/>
        <v>165000</v>
      </c>
      <c r="AU345" s="2">
        <f t="shared" si="459"/>
        <v>247500</v>
      </c>
      <c r="AV345" s="2">
        <f t="shared" si="459"/>
        <v>464200</v>
      </c>
      <c r="BK345" s="2">
        <v>338</v>
      </c>
      <c r="BL345" s="2">
        <f t="shared" si="460"/>
        <v>7040</v>
      </c>
      <c r="BM345" s="2">
        <f t="shared" si="460"/>
        <v>12320</v>
      </c>
      <c r="BN345" s="2">
        <f t="shared" si="460"/>
        <v>19360</v>
      </c>
      <c r="BO345" s="2">
        <f t="shared" si="460"/>
        <v>33440</v>
      </c>
      <c r="BP345" s="2">
        <f t="shared" si="460"/>
        <v>304480</v>
      </c>
      <c r="BV345" s="2">
        <v>338</v>
      </c>
      <c r="BW345" s="2">
        <f t="shared" si="439"/>
        <v>141350</v>
      </c>
      <c r="BX345" s="2">
        <f t="shared" si="440"/>
        <v>294140</v>
      </c>
      <c r="BY345" s="2">
        <f t="shared" si="441"/>
        <v>354200</v>
      </c>
      <c r="BZ345" s="2">
        <f t="shared" si="442"/>
        <v>450780</v>
      </c>
      <c r="CA345" s="2">
        <f t="shared" si="443"/>
        <v>938520</v>
      </c>
      <c r="CC345" s="41">
        <f t="shared" si="447"/>
        <v>0.6163424124513619</v>
      </c>
      <c r="CD345" s="41">
        <f t="shared" si="448"/>
        <v>0.33385214007782099</v>
      </c>
      <c r="CE345" s="41">
        <f t="shared" si="449"/>
        <v>4.9805447470817124E-2</v>
      </c>
    </row>
    <row r="346" spans="22:83" x14ac:dyDescent="0.2">
      <c r="V346" s="2">
        <v>339</v>
      </c>
      <c r="W346" s="2">
        <f t="shared" si="444"/>
        <v>87402.857142857145</v>
      </c>
      <c r="X346" s="2">
        <f t="shared" si="444"/>
        <v>170391.42857142858</v>
      </c>
      <c r="Y346" s="2">
        <f t="shared" si="445"/>
        <v>170391.42857142858</v>
      </c>
      <c r="Z346" s="2">
        <f t="shared" ref="Z346:AA346" si="468">Y346</f>
        <v>170391.42857142858</v>
      </c>
      <c r="AA346" s="2">
        <f t="shared" si="468"/>
        <v>170391.42857142858</v>
      </c>
      <c r="AQ346" s="2">
        <v>339</v>
      </c>
      <c r="AR346" s="2">
        <f t="shared" si="459"/>
        <v>47343.214285714283</v>
      </c>
      <c r="AS346" s="2">
        <f t="shared" si="459"/>
        <v>112343.57142857143</v>
      </c>
      <c r="AT346" s="2">
        <f t="shared" si="459"/>
        <v>165535.71428571429</v>
      </c>
      <c r="AU346" s="2">
        <f t="shared" si="459"/>
        <v>248303.57142857142</v>
      </c>
      <c r="AV346" s="2">
        <f t="shared" si="459"/>
        <v>465707.14285714284</v>
      </c>
      <c r="BK346" s="2">
        <v>339</v>
      </c>
      <c r="BL346" s="2">
        <f t="shared" si="460"/>
        <v>7062.8571428571431</v>
      </c>
      <c r="BM346" s="2">
        <f t="shared" si="460"/>
        <v>12360</v>
      </c>
      <c r="BN346" s="2">
        <f t="shared" si="460"/>
        <v>19422.857142857141</v>
      </c>
      <c r="BO346" s="2">
        <f t="shared" si="460"/>
        <v>33548.571428571428</v>
      </c>
      <c r="BP346" s="2">
        <f t="shared" si="460"/>
        <v>305468.57142857142</v>
      </c>
      <c r="BV346" s="2">
        <v>339</v>
      </c>
      <c r="BW346" s="2">
        <f t="shared" si="439"/>
        <v>141808.92857142855</v>
      </c>
      <c r="BX346" s="2">
        <f t="shared" si="440"/>
        <v>295095</v>
      </c>
      <c r="BY346" s="2">
        <f t="shared" si="441"/>
        <v>355350</v>
      </c>
      <c r="BZ346" s="2">
        <f t="shared" si="442"/>
        <v>452243.57142857142</v>
      </c>
      <c r="CA346" s="2">
        <f t="shared" si="443"/>
        <v>941567.14285714272</v>
      </c>
      <c r="CC346" s="41">
        <f t="shared" si="447"/>
        <v>0.61634241245136201</v>
      </c>
      <c r="CD346" s="41">
        <f t="shared" si="448"/>
        <v>0.33385214007782105</v>
      </c>
      <c r="CE346" s="41">
        <f t="shared" si="449"/>
        <v>4.9805447470817131E-2</v>
      </c>
    </row>
    <row r="347" spans="22:83" x14ac:dyDescent="0.2">
      <c r="V347" s="2">
        <v>340</v>
      </c>
      <c r="W347" s="2">
        <f t="shared" si="444"/>
        <v>87685.71428571429</v>
      </c>
      <c r="X347" s="2">
        <f t="shared" si="444"/>
        <v>170942.85714285713</v>
      </c>
      <c r="Y347" s="2">
        <f t="shared" si="445"/>
        <v>170942.85714285713</v>
      </c>
      <c r="Z347" s="2">
        <f t="shared" ref="Z347:AA347" si="469">Y347</f>
        <v>170942.85714285713</v>
      </c>
      <c r="AA347" s="2">
        <f t="shared" si="469"/>
        <v>170942.85714285713</v>
      </c>
      <c r="AQ347" s="2">
        <v>340</v>
      </c>
      <c r="AR347" s="2">
        <f t="shared" si="459"/>
        <v>47496.428571428572</v>
      </c>
      <c r="AS347" s="2">
        <f t="shared" si="459"/>
        <v>112707.14285714286</v>
      </c>
      <c r="AT347" s="2">
        <f t="shared" si="459"/>
        <v>166071.42857142858</v>
      </c>
      <c r="AU347" s="2">
        <f t="shared" si="459"/>
        <v>249107.14285714287</v>
      </c>
      <c r="AV347" s="2">
        <f t="shared" si="459"/>
        <v>467214.28571428574</v>
      </c>
      <c r="BK347" s="2">
        <v>340</v>
      </c>
      <c r="BL347" s="2">
        <f t="shared" si="460"/>
        <v>7085.7142857142853</v>
      </c>
      <c r="BM347" s="2">
        <f t="shared" si="460"/>
        <v>12400</v>
      </c>
      <c r="BN347" s="2">
        <f t="shared" si="460"/>
        <v>19485.714285714286</v>
      </c>
      <c r="BO347" s="2">
        <f t="shared" si="460"/>
        <v>33657.142857142855</v>
      </c>
      <c r="BP347" s="2">
        <f t="shared" si="460"/>
        <v>306457.14285714284</v>
      </c>
      <c r="BV347" s="2">
        <v>340</v>
      </c>
      <c r="BW347" s="2">
        <f t="shared" si="439"/>
        <v>142267.85714285716</v>
      </c>
      <c r="BX347" s="2">
        <f t="shared" si="440"/>
        <v>296050</v>
      </c>
      <c r="BY347" s="2">
        <f t="shared" si="441"/>
        <v>356499.99999999994</v>
      </c>
      <c r="BZ347" s="2">
        <f t="shared" si="442"/>
        <v>453707.14285714284</v>
      </c>
      <c r="CA347" s="2">
        <f t="shared" si="443"/>
        <v>944614.28571428568</v>
      </c>
      <c r="CC347" s="41">
        <f t="shared" si="447"/>
        <v>0.61634241245136179</v>
      </c>
      <c r="CD347" s="41">
        <f t="shared" si="448"/>
        <v>0.33385214007782099</v>
      </c>
      <c r="CE347" s="41">
        <f t="shared" si="449"/>
        <v>4.980544747081711E-2</v>
      </c>
    </row>
    <row r="348" spans="22:83" x14ac:dyDescent="0.2">
      <c r="V348" s="2">
        <v>341</v>
      </c>
      <c r="W348" s="2">
        <f t="shared" si="444"/>
        <v>87968.571428571435</v>
      </c>
      <c r="X348" s="2">
        <f t="shared" si="444"/>
        <v>171494.28571428571</v>
      </c>
      <c r="Y348" s="2">
        <f t="shared" si="445"/>
        <v>171494.28571428571</v>
      </c>
      <c r="Z348" s="2">
        <f t="shared" ref="Z348:AA348" si="470">Y348</f>
        <v>171494.28571428571</v>
      </c>
      <c r="AA348" s="2">
        <f t="shared" si="470"/>
        <v>171494.28571428571</v>
      </c>
      <c r="AQ348" s="2">
        <v>341</v>
      </c>
      <c r="AR348" s="2">
        <f t="shared" ref="AR348:AV357" si="471">MAX($AQ348-$C$2,0)*INDEX($AN$8:$AN$44,MATCH(AR$7,$AO$8:$AO$44,0))/$C$3</f>
        <v>47649.642857142855</v>
      </c>
      <c r="AS348" s="2">
        <f t="shared" si="471"/>
        <v>113070.71428571429</v>
      </c>
      <c r="AT348" s="2">
        <f t="shared" si="471"/>
        <v>166607.14285714287</v>
      </c>
      <c r="AU348" s="2">
        <f t="shared" si="471"/>
        <v>249910.71428571429</v>
      </c>
      <c r="AV348" s="2">
        <f t="shared" si="471"/>
        <v>468721.42857142858</v>
      </c>
      <c r="BK348" s="2">
        <v>341</v>
      </c>
      <c r="BL348" s="2">
        <f t="shared" ref="BL348:BP357" si="472">IFERROR(MAX($BK348-$C$2,0)*INDEX($BH$8:$BH$16,MATCH(BL$7,$BI$8:$BI$16,0))*$C$4/$C$3,BM348)</f>
        <v>7108.5714285714284</v>
      </c>
      <c r="BM348" s="2">
        <f t="shared" si="472"/>
        <v>12440</v>
      </c>
      <c r="BN348" s="2">
        <f t="shared" si="472"/>
        <v>19548.571428571428</v>
      </c>
      <c r="BO348" s="2">
        <f t="shared" si="472"/>
        <v>33765.714285714283</v>
      </c>
      <c r="BP348" s="2">
        <f t="shared" si="472"/>
        <v>307445.71428571426</v>
      </c>
      <c r="BV348" s="2">
        <v>341</v>
      </c>
      <c r="BW348" s="2">
        <f t="shared" si="439"/>
        <v>142726.78571428571</v>
      </c>
      <c r="BX348" s="2">
        <f t="shared" si="440"/>
        <v>297005</v>
      </c>
      <c r="BY348" s="2">
        <f t="shared" si="441"/>
        <v>357650</v>
      </c>
      <c r="BZ348" s="2">
        <f t="shared" si="442"/>
        <v>455170.71428571426</v>
      </c>
      <c r="CA348" s="2">
        <f t="shared" si="443"/>
        <v>947661.42857142864</v>
      </c>
      <c r="CC348" s="41">
        <f t="shared" si="447"/>
        <v>0.6163424124513619</v>
      </c>
      <c r="CD348" s="41">
        <f t="shared" si="448"/>
        <v>0.33385214007782099</v>
      </c>
      <c r="CE348" s="41">
        <f t="shared" si="449"/>
        <v>4.9805447470817124E-2</v>
      </c>
    </row>
    <row r="349" spans="22:83" x14ac:dyDescent="0.2">
      <c r="V349" s="2">
        <v>342</v>
      </c>
      <c r="W349" s="2">
        <f t="shared" si="444"/>
        <v>88251.428571428565</v>
      </c>
      <c r="X349" s="2">
        <f t="shared" si="444"/>
        <v>172045.71428571429</v>
      </c>
      <c r="Y349" s="2">
        <f t="shared" si="445"/>
        <v>172045.71428571429</v>
      </c>
      <c r="Z349" s="2">
        <f t="shared" ref="Z349:AA349" si="473">Y349</f>
        <v>172045.71428571429</v>
      </c>
      <c r="AA349" s="2">
        <f t="shared" si="473"/>
        <v>172045.71428571429</v>
      </c>
      <c r="AQ349" s="2">
        <v>342</v>
      </c>
      <c r="AR349" s="2">
        <f t="shared" si="471"/>
        <v>47802.857142857145</v>
      </c>
      <c r="AS349" s="2">
        <f t="shared" si="471"/>
        <v>113434.28571428571</v>
      </c>
      <c r="AT349" s="2">
        <f t="shared" si="471"/>
        <v>167142.85714285713</v>
      </c>
      <c r="AU349" s="2">
        <f t="shared" si="471"/>
        <v>250714.28571428571</v>
      </c>
      <c r="AV349" s="2">
        <f t="shared" si="471"/>
        <v>470228.57142857142</v>
      </c>
      <c r="BK349" s="2">
        <v>342</v>
      </c>
      <c r="BL349" s="2">
        <f t="shared" si="472"/>
        <v>7131.4285714285716</v>
      </c>
      <c r="BM349" s="2">
        <f t="shared" si="472"/>
        <v>12480</v>
      </c>
      <c r="BN349" s="2">
        <f t="shared" si="472"/>
        <v>19611.428571428572</v>
      </c>
      <c r="BO349" s="2">
        <f t="shared" si="472"/>
        <v>33874.285714285717</v>
      </c>
      <c r="BP349" s="2">
        <f t="shared" si="472"/>
        <v>308434.28571428574</v>
      </c>
      <c r="BV349" s="2">
        <v>342</v>
      </c>
      <c r="BW349" s="2">
        <f t="shared" si="439"/>
        <v>143185.71428571429</v>
      </c>
      <c r="BX349" s="2">
        <f t="shared" si="440"/>
        <v>297960</v>
      </c>
      <c r="BY349" s="2">
        <f t="shared" si="441"/>
        <v>358800</v>
      </c>
      <c r="BZ349" s="2">
        <f t="shared" si="442"/>
        <v>456634.28571428574</v>
      </c>
      <c r="CA349" s="2">
        <f t="shared" si="443"/>
        <v>950708.57142857136</v>
      </c>
      <c r="CC349" s="41">
        <f t="shared" si="447"/>
        <v>0.61634241245136179</v>
      </c>
      <c r="CD349" s="41">
        <f t="shared" si="448"/>
        <v>0.33385214007782099</v>
      </c>
      <c r="CE349" s="41">
        <f t="shared" si="449"/>
        <v>4.9805447470817117E-2</v>
      </c>
    </row>
    <row r="350" spans="22:83" x14ac:dyDescent="0.2">
      <c r="V350" s="2">
        <v>343</v>
      </c>
      <c r="W350" s="2">
        <f t="shared" si="444"/>
        <v>88534.28571428571</v>
      </c>
      <c r="X350" s="2">
        <f t="shared" si="444"/>
        <v>172597.14285714287</v>
      </c>
      <c r="Y350" s="2">
        <f t="shared" si="445"/>
        <v>172597.14285714287</v>
      </c>
      <c r="Z350" s="2">
        <f t="shared" ref="Z350:AA350" si="474">Y350</f>
        <v>172597.14285714287</v>
      </c>
      <c r="AA350" s="2">
        <f t="shared" si="474"/>
        <v>172597.14285714287</v>
      </c>
      <c r="AQ350" s="2">
        <v>343</v>
      </c>
      <c r="AR350" s="2">
        <f t="shared" si="471"/>
        <v>47956.071428571428</v>
      </c>
      <c r="AS350" s="2">
        <f t="shared" si="471"/>
        <v>113797.85714285714</v>
      </c>
      <c r="AT350" s="2">
        <f t="shared" si="471"/>
        <v>167678.57142857142</v>
      </c>
      <c r="AU350" s="2">
        <f t="shared" si="471"/>
        <v>251517.85714285713</v>
      </c>
      <c r="AV350" s="2">
        <f t="shared" si="471"/>
        <v>471735.71428571426</v>
      </c>
      <c r="BK350" s="2">
        <v>343</v>
      </c>
      <c r="BL350" s="2">
        <f t="shared" si="472"/>
        <v>7154.2857142857147</v>
      </c>
      <c r="BM350" s="2">
        <f t="shared" si="472"/>
        <v>12520</v>
      </c>
      <c r="BN350" s="2">
        <f t="shared" si="472"/>
        <v>19674.285714285714</v>
      </c>
      <c r="BO350" s="2">
        <f t="shared" si="472"/>
        <v>33982.857142857145</v>
      </c>
      <c r="BP350" s="2">
        <f t="shared" si="472"/>
        <v>309422.85714285716</v>
      </c>
      <c r="BV350" s="2">
        <v>343</v>
      </c>
      <c r="BW350" s="2">
        <f t="shared" si="439"/>
        <v>143644.64285714284</v>
      </c>
      <c r="BX350" s="2">
        <f t="shared" si="440"/>
        <v>298915</v>
      </c>
      <c r="BY350" s="2">
        <f t="shared" si="441"/>
        <v>359950.00000000006</v>
      </c>
      <c r="BZ350" s="2">
        <f t="shared" si="442"/>
        <v>458097.85714285716</v>
      </c>
      <c r="CA350" s="2">
        <f t="shared" si="443"/>
        <v>953755.71428571432</v>
      </c>
      <c r="CC350" s="41">
        <f t="shared" si="447"/>
        <v>0.6163424124513619</v>
      </c>
      <c r="CD350" s="41">
        <f t="shared" si="448"/>
        <v>0.33385214007782105</v>
      </c>
      <c r="CE350" s="41">
        <f t="shared" si="449"/>
        <v>4.9805447470817131E-2</v>
      </c>
    </row>
    <row r="351" spans="22:83" x14ac:dyDescent="0.2">
      <c r="V351" s="2">
        <v>344</v>
      </c>
      <c r="W351" s="2">
        <f t="shared" si="444"/>
        <v>88817.142857142855</v>
      </c>
      <c r="X351" s="2">
        <f t="shared" si="444"/>
        <v>173148.57142857142</v>
      </c>
      <c r="Y351" s="2">
        <f t="shared" si="445"/>
        <v>173148.57142857142</v>
      </c>
      <c r="Z351" s="2">
        <f t="shared" ref="Z351:AA351" si="475">Y351</f>
        <v>173148.57142857142</v>
      </c>
      <c r="AA351" s="2">
        <f t="shared" si="475"/>
        <v>173148.57142857142</v>
      </c>
      <c r="AQ351" s="2">
        <v>344</v>
      </c>
      <c r="AR351" s="2">
        <f t="shared" si="471"/>
        <v>48109.285714285717</v>
      </c>
      <c r="AS351" s="2">
        <f t="shared" si="471"/>
        <v>114161.42857142857</v>
      </c>
      <c r="AT351" s="2">
        <f t="shared" si="471"/>
        <v>168214.28571428571</v>
      </c>
      <c r="AU351" s="2">
        <f t="shared" si="471"/>
        <v>252321.42857142858</v>
      </c>
      <c r="AV351" s="2">
        <f t="shared" si="471"/>
        <v>473242.85714285716</v>
      </c>
      <c r="BK351" s="2">
        <v>344</v>
      </c>
      <c r="BL351" s="2">
        <f t="shared" si="472"/>
        <v>7177.1428571428569</v>
      </c>
      <c r="BM351" s="2">
        <f t="shared" si="472"/>
        <v>12560</v>
      </c>
      <c r="BN351" s="2">
        <f t="shared" si="472"/>
        <v>19737.142857142859</v>
      </c>
      <c r="BO351" s="2">
        <f t="shared" si="472"/>
        <v>34091.428571428572</v>
      </c>
      <c r="BP351" s="2">
        <f t="shared" si="472"/>
        <v>310411.42857142858</v>
      </c>
      <c r="BV351" s="2">
        <v>344</v>
      </c>
      <c r="BW351" s="2">
        <f t="shared" si="439"/>
        <v>144103.57142857145</v>
      </c>
      <c r="BX351" s="2">
        <f t="shared" si="440"/>
        <v>299870</v>
      </c>
      <c r="BY351" s="2">
        <f t="shared" si="441"/>
        <v>361100</v>
      </c>
      <c r="BZ351" s="2">
        <f t="shared" si="442"/>
        <v>459561.42857142858</v>
      </c>
      <c r="CA351" s="2">
        <f t="shared" si="443"/>
        <v>956802.85714285728</v>
      </c>
      <c r="CC351" s="41">
        <f t="shared" si="447"/>
        <v>0.61634241245136179</v>
      </c>
      <c r="CD351" s="41">
        <f t="shared" si="448"/>
        <v>0.33385214007782099</v>
      </c>
      <c r="CE351" s="41">
        <f t="shared" si="449"/>
        <v>4.980544747081711E-2</v>
      </c>
    </row>
    <row r="352" spans="22:83" x14ac:dyDescent="0.2">
      <c r="V352" s="2">
        <v>345</v>
      </c>
      <c r="W352" s="2">
        <f t="shared" si="444"/>
        <v>89100</v>
      </c>
      <c r="X352" s="2">
        <f t="shared" si="444"/>
        <v>173700</v>
      </c>
      <c r="Y352" s="2">
        <f t="shared" si="445"/>
        <v>173700</v>
      </c>
      <c r="Z352" s="2">
        <f t="shared" ref="Z352:AA352" si="476">Y352</f>
        <v>173700</v>
      </c>
      <c r="AA352" s="2">
        <f t="shared" si="476"/>
        <v>173700</v>
      </c>
      <c r="AQ352" s="2">
        <v>345</v>
      </c>
      <c r="AR352" s="2">
        <f t="shared" si="471"/>
        <v>48262.5</v>
      </c>
      <c r="AS352" s="2">
        <f t="shared" si="471"/>
        <v>114525</v>
      </c>
      <c r="AT352" s="2">
        <f t="shared" si="471"/>
        <v>168750</v>
      </c>
      <c r="AU352" s="2">
        <f t="shared" si="471"/>
        <v>253125</v>
      </c>
      <c r="AV352" s="2">
        <f t="shared" si="471"/>
        <v>474750</v>
      </c>
      <c r="BK352" s="2">
        <v>345</v>
      </c>
      <c r="BL352" s="2">
        <f t="shared" si="472"/>
        <v>7200</v>
      </c>
      <c r="BM352" s="2">
        <f t="shared" si="472"/>
        <v>12600</v>
      </c>
      <c r="BN352" s="2">
        <f t="shared" si="472"/>
        <v>19800</v>
      </c>
      <c r="BO352" s="2">
        <f t="shared" si="472"/>
        <v>34200</v>
      </c>
      <c r="BP352" s="2">
        <f t="shared" si="472"/>
        <v>311400</v>
      </c>
      <c r="BV352" s="2">
        <v>345</v>
      </c>
      <c r="BW352" s="2">
        <f t="shared" si="439"/>
        <v>144562.5</v>
      </c>
      <c r="BX352" s="2">
        <f t="shared" si="440"/>
        <v>300825</v>
      </c>
      <c r="BY352" s="2">
        <f t="shared" si="441"/>
        <v>362250</v>
      </c>
      <c r="BZ352" s="2">
        <f t="shared" si="442"/>
        <v>461025</v>
      </c>
      <c r="CA352" s="2">
        <f t="shared" si="443"/>
        <v>959850</v>
      </c>
      <c r="CC352" s="41">
        <f t="shared" si="447"/>
        <v>0.6163424124513619</v>
      </c>
      <c r="CD352" s="41">
        <f t="shared" si="448"/>
        <v>0.33385214007782099</v>
      </c>
      <c r="CE352" s="41">
        <f t="shared" si="449"/>
        <v>4.9805447470817124E-2</v>
      </c>
    </row>
    <row r="353" spans="22:83" x14ac:dyDescent="0.2">
      <c r="V353" s="2">
        <v>346</v>
      </c>
      <c r="W353" s="2">
        <f t="shared" si="444"/>
        <v>89382.857142857145</v>
      </c>
      <c r="X353" s="2">
        <f t="shared" si="444"/>
        <v>174251.42857142858</v>
      </c>
      <c r="Y353" s="2">
        <f t="shared" si="445"/>
        <v>174251.42857142858</v>
      </c>
      <c r="Z353" s="2">
        <f t="shared" ref="Z353:AA353" si="477">Y353</f>
        <v>174251.42857142858</v>
      </c>
      <c r="AA353" s="2">
        <f t="shared" si="477"/>
        <v>174251.42857142858</v>
      </c>
      <c r="AQ353" s="2">
        <v>346</v>
      </c>
      <c r="AR353" s="2">
        <f t="shared" si="471"/>
        <v>48415.714285714283</v>
      </c>
      <c r="AS353" s="2">
        <f t="shared" si="471"/>
        <v>114888.57142857143</v>
      </c>
      <c r="AT353" s="2">
        <f t="shared" si="471"/>
        <v>169285.71428571429</v>
      </c>
      <c r="AU353" s="2">
        <f t="shared" si="471"/>
        <v>253928.57142857142</v>
      </c>
      <c r="AV353" s="2">
        <f t="shared" si="471"/>
        <v>476257.14285714284</v>
      </c>
      <c r="BK353" s="2">
        <v>346</v>
      </c>
      <c r="BL353" s="2">
        <f t="shared" si="472"/>
        <v>7222.8571428571431</v>
      </c>
      <c r="BM353" s="2">
        <f t="shared" si="472"/>
        <v>12640</v>
      </c>
      <c r="BN353" s="2">
        <f t="shared" si="472"/>
        <v>19862.857142857141</v>
      </c>
      <c r="BO353" s="2">
        <f t="shared" si="472"/>
        <v>34308.571428571428</v>
      </c>
      <c r="BP353" s="2">
        <f t="shared" si="472"/>
        <v>312388.57142857142</v>
      </c>
      <c r="BV353" s="2">
        <v>346</v>
      </c>
      <c r="BW353" s="2">
        <f t="shared" si="439"/>
        <v>145021.42857142855</v>
      </c>
      <c r="BX353" s="2">
        <f t="shared" si="440"/>
        <v>301780</v>
      </c>
      <c r="BY353" s="2">
        <f t="shared" si="441"/>
        <v>363400</v>
      </c>
      <c r="BZ353" s="2">
        <f t="shared" si="442"/>
        <v>462488.57142857142</v>
      </c>
      <c r="CA353" s="2">
        <f t="shared" si="443"/>
        <v>962897.14285714272</v>
      </c>
      <c r="CC353" s="41">
        <f t="shared" si="447"/>
        <v>0.61634241245136201</v>
      </c>
      <c r="CD353" s="41">
        <f t="shared" si="448"/>
        <v>0.33385214007782105</v>
      </c>
      <c r="CE353" s="41">
        <f t="shared" si="449"/>
        <v>4.9805447470817131E-2</v>
      </c>
    </row>
    <row r="354" spans="22:83" x14ac:dyDescent="0.2">
      <c r="V354" s="2">
        <v>347</v>
      </c>
      <c r="W354" s="2">
        <f t="shared" si="444"/>
        <v>89665.71428571429</v>
      </c>
      <c r="X354" s="2">
        <f t="shared" si="444"/>
        <v>174802.85714285713</v>
      </c>
      <c r="Y354" s="2">
        <f t="shared" si="445"/>
        <v>174802.85714285713</v>
      </c>
      <c r="Z354" s="2">
        <f t="shared" ref="Z354:AA354" si="478">Y354</f>
        <v>174802.85714285713</v>
      </c>
      <c r="AA354" s="2">
        <f t="shared" si="478"/>
        <v>174802.85714285713</v>
      </c>
      <c r="AQ354" s="2">
        <v>347</v>
      </c>
      <c r="AR354" s="2">
        <f t="shared" si="471"/>
        <v>48568.928571428572</v>
      </c>
      <c r="AS354" s="2">
        <f t="shared" si="471"/>
        <v>115252.14285714286</v>
      </c>
      <c r="AT354" s="2">
        <f t="shared" si="471"/>
        <v>169821.42857142858</v>
      </c>
      <c r="AU354" s="2">
        <f t="shared" si="471"/>
        <v>254732.14285714287</v>
      </c>
      <c r="AV354" s="2">
        <f t="shared" si="471"/>
        <v>477764.28571428574</v>
      </c>
      <c r="BK354" s="2">
        <v>347</v>
      </c>
      <c r="BL354" s="2">
        <f t="shared" si="472"/>
        <v>7245.7142857142853</v>
      </c>
      <c r="BM354" s="2">
        <f t="shared" si="472"/>
        <v>12680</v>
      </c>
      <c r="BN354" s="2">
        <f t="shared" si="472"/>
        <v>19925.714285714286</v>
      </c>
      <c r="BO354" s="2">
        <f t="shared" si="472"/>
        <v>34417.142857142855</v>
      </c>
      <c r="BP354" s="2">
        <f t="shared" si="472"/>
        <v>313377.14285714284</v>
      </c>
      <c r="BV354" s="2">
        <v>347</v>
      </c>
      <c r="BW354" s="2">
        <f t="shared" si="439"/>
        <v>145480.35714285716</v>
      </c>
      <c r="BX354" s="2">
        <f t="shared" si="440"/>
        <v>302735</v>
      </c>
      <c r="BY354" s="2">
        <f t="shared" si="441"/>
        <v>364549.99999999994</v>
      </c>
      <c r="BZ354" s="2">
        <f t="shared" si="442"/>
        <v>463952.14285714284</v>
      </c>
      <c r="CA354" s="2">
        <f t="shared" si="443"/>
        <v>965944.28571428568</v>
      </c>
      <c r="CC354" s="41">
        <f t="shared" si="447"/>
        <v>0.61634241245136179</v>
      </c>
      <c r="CD354" s="41">
        <f t="shared" si="448"/>
        <v>0.33385214007782099</v>
      </c>
      <c r="CE354" s="41">
        <f t="shared" si="449"/>
        <v>4.980544747081711E-2</v>
      </c>
    </row>
    <row r="355" spans="22:83" x14ac:dyDescent="0.2">
      <c r="V355" s="2">
        <v>348</v>
      </c>
      <c r="W355" s="2">
        <f t="shared" si="444"/>
        <v>89948.571428571435</v>
      </c>
      <c r="X355" s="2">
        <f t="shared" si="444"/>
        <v>175354.28571428571</v>
      </c>
      <c r="Y355" s="2">
        <f t="shared" si="445"/>
        <v>175354.28571428571</v>
      </c>
      <c r="Z355" s="2">
        <f t="shared" ref="Z355:AA355" si="479">Y355</f>
        <v>175354.28571428571</v>
      </c>
      <c r="AA355" s="2">
        <f t="shared" si="479"/>
        <v>175354.28571428571</v>
      </c>
      <c r="AQ355" s="2">
        <v>348</v>
      </c>
      <c r="AR355" s="2">
        <f t="shared" si="471"/>
        <v>48722.142857142855</v>
      </c>
      <c r="AS355" s="2">
        <f t="shared" si="471"/>
        <v>115615.71428571429</v>
      </c>
      <c r="AT355" s="2">
        <f t="shared" si="471"/>
        <v>170357.14285714287</v>
      </c>
      <c r="AU355" s="2">
        <f t="shared" si="471"/>
        <v>255535.71428571429</v>
      </c>
      <c r="AV355" s="2">
        <f t="shared" si="471"/>
        <v>479271.42857142858</v>
      </c>
      <c r="BK355" s="2">
        <v>348</v>
      </c>
      <c r="BL355" s="2">
        <f t="shared" si="472"/>
        <v>7268.5714285714284</v>
      </c>
      <c r="BM355" s="2">
        <f t="shared" si="472"/>
        <v>12720</v>
      </c>
      <c r="BN355" s="2">
        <f t="shared" si="472"/>
        <v>19988.571428571428</v>
      </c>
      <c r="BO355" s="2">
        <f t="shared" si="472"/>
        <v>34525.714285714283</v>
      </c>
      <c r="BP355" s="2">
        <f t="shared" si="472"/>
        <v>314365.71428571426</v>
      </c>
      <c r="BV355" s="2">
        <v>348</v>
      </c>
      <c r="BW355" s="2">
        <f t="shared" si="439"/>
        <v>145939.28571428571</v>
      </c>
      <c r="BX355" s="2">
        <f t="shared" si="440"/>
        <v>303690</v>
      </c>
      <c r="BY355" s="2">
        <f t="shared" si="441"/>
        <v>365700</v>
      </c>
      <c r="BZ355" s="2">
        <f t="shared" si="442"/>
        <v>465415.71428571426</v>
      </c>
      <c r="CA355" s="2">
        <f t="shared" si="443"/>
        <v>968991.42857142864</v>
      </c>
      <c r="CC355" s="41">
        <f t="shared" si="447"/>
        <v>0.6163424124513619</v>
      </c>
      <c r="CD355" s="41">
        <f t="shared" si="448"/>
        <v>0.33385214007782099</v>
      </c>
      <c r="CE355" s="41">
        <f t="shared" si="449"/>
        <v>4.9805447470817124E-2</v>
      </c>
    </row>
    <row r="356" spans="22:83" x14ac:dyDescent="0.2">
      <c r="V356" s="2">
        <v>349</v>
      </c>
      <c r="W356" s="2">
        <f t="shared" si="444"/>
        <v>90231.428571428565</v>
      </c>
      <c r="X356" s="2">
        <f t="shared" si="444"/>
        <v>175905.71428571429</v>
      </c>
      <c r="Y356" s="2">
        <f t="shared" si="445"/>
        <v>175905.71428571429</v>
      </c>
      <c r="Z356" s="2">
        <f t="shared" ref="Z356:AA356" si="480">Y356</f>
        <v>175905.71428571429</v>
      </c>
      <c r="AA356" s="2">
        <f t="shared" si="480"/>
        <v>175905.71428571429</v>
      </c>
      <c r="AQ356" s="2">
        <v>349</v>
      </c>
      <c r="AR356" s="2">
        <f t="shared" si="471"/>
        <v>48875.357142857145</v>
      </c>
      <c r="AS356" s="2">
        <f t="shared" si="471"/>
        <v>115979.28571428571</v>
      </c>
      <c r="AT356" s="2">
        <f t="shared" si="471"/>
        <v>170892.85714285713</v>
      </c>
      <c r="AU356" s="2">
        <f t="shared" si="471"/>
        <v>256339.28571428571</v>
      </c>
      <c r="AV356" s="2">
        <f t="shared" si="471"/>
        <v>480778.57142857142</v>
      </c>
      <c r="BK356" s="2">
        <v>349</v>
      </c>
      <c r="BL356" s="2">
        <f t="shared" si="472"/>
        <v>7291.4285714285716</v>
      </c>
      <c r="BM356" s="2">
        <f t="shared" si="472"/>
        <v>12760</v>
      </c>
      <c r="BN356" s="2">
        <f t="shared" si="472"/>
        <v>20051.428571428572</v>
      </c>
      <c r="BO356" s="2">
        <f t="shared" si="472"/>
        <v>34634.285714285717</v>
      </c>
      <c r="BP356" s="2">
        <f t="shared" si="472"/>
        <v>315354.28571428574</v>
      </c>
      <c r="BV356" s="2">
        <v>349</v>
      </c>
      <c r="BW356" s="2">
        <f t="shared" si="439"/>
        <v>146398.21428571429</v>
      </c>
      <c r="BX356" s="2">
        <f t="shared" si="440"/>
        <v>304645</v>
      </c>
      <c r="BY356" s="2">
        <f t="shared" si="441"/>
        <v>366850</v>
      </c>
      <c r="BZ356" s="2">
        <f t="shared" si="442"/>
        <v>466879.28571428574</v>
      </c>
      <c r="CA356" s="2">
        <f t="shared" si="443"/>
        <v>972038.57142857136</v>
      </c>
      <c r="CC356" s="41">
        <f t="shared" si="447"/>
        <v>0.61634241245136179</v>
      </c>
      <c r="CD356" s="41">
        <f t="shared" si="448"/>
        <v>0.33385214007782099</v>
      </c>
      <c r="CE356" s="41">
        <f t="shared" si="449"/>
        <v>4.9805447470817117E-2</v>
      </c>
    </row>
    <row r="357" spans="22:83" x14ac:dyDescent="0.2">
      <c r="V357" s="2">
        <v>350</v>
      </c>
      <c r="W357" s="2">
        <f t="shared" si="444"/>
        <v>90514.28571428571</v>
      </c>
      <c r="X357" s="2">
        <f t="shared" si="444"/>
        <v>176457.14285714287</v>
      </c>
      <c r="Y357" s="2">
        <f t="shared" si="445"/>
        <v>176457.14285714287</v>
      </c>
      <c r="Z357" s="2">
        <f t="shared" ref="Z357:AA357" si="481">Y357</f>
        <v>176457.14285714287</v>
      </c>
      <c r="AA357" s="2">
        <f t="shared" si="481"/>
        <v>176457.14285714287</v>
      </c>
      <c r="AQ357" s="2">
        <v>350</v>
      </c>
      <c r="AR357" s="2">
        <f t="shared" si="471"/>
        <v>49028.571428571428</v>
      </c>
      <c r="AS357" s="2">
        <f t="shared" si="471"/>
        <v>116342.85714285714</v>
      </c>
      <c r="AT357" s="2">
        <f t="shared" si="471"/>
        <v>171428.57142857142</v>
      </c>
      <c r="AU357" s="2">
        <f t="shared" si="471"/>
        <v>257142.85714285713</v>
      </c>
      <c r="AV357" s="2">
        <f t="shared" si="471"/>
        <v>482285.71428571426</v>
      </c>
      <c r="BK357" s="2">
        <v>350</v>
      </c>
      <c r="BL357" s="2">
        <f t="shared" si="472"/>
        <v>7314.2857142857147</v>
      </c>
      <c r="BM357" s="2">
        <f t="shared" si="472"/>
        <v>12800</v>
      </c>
      <c r="BN357" s="2">
        <f t="shared" si="472"/>
        <v>20114.285714285714</v>
      </c>
      <c r="BO357" s="2">
        <f t="shared" si="472"/>
        <v>34742.857142857145</v>
      </c>
      <c r="BP357" s="2">
        <f t="shared" si="472"/>
        <v>316342.85714285716</v>
      </c>
      <c r="BV357" s="2">
        <v>350</v>
      </c>
      <c r="BW357" s="2">
        <f t="shared" si="439"/>
        <v>146857.14285714284</v>
      </c>
      <c r="BX357" s="2">
        <f t="shared" si="440"/>
        <v>305600</v>
      </c>
      <c r="BY357" s="2">
        <f t="shared" si="441"/>
        <v>368000.00000000006</v>
      </c>
      <c r="BZ357" s="2">
        <f t="shared" si="442"/>
        <v>468342.85714285716</v>
      </c>
      <c r="CA357" s="2">
        <f t="shared" si="443"/>
        <v>975085.71428571432</v>
      </c>
      <c r="CC357" s="41">
        <f t="shared" si="447"/>
        <v>0.6163424124513619</v>
      </c>
      <c r="CD357" s="41">
        <f t="shared" si="448"/>
        <v>0.33385214007782105</v>
      </c>
      <c r="CE357" s="41">
        <f t="shared" si="449"/>
        <v>4.9805447470817131E-2</v>
      </c>
    </row>
    <row r="358" spans="22:83" x14ac:dyDescent="0.2">
      <c r="V358" s="2">
        <v>351</v>
      </c>
      <c r="W358" s="2">
        <f t="shared" si="444"/>
        <v>90797.142857142855</v>
      </c>
      <c r="X358" s="2">
        <f t="shared" si="444"/>
        <v>177008.57142857142</v>
      </c>
      <c r="Y358" s="2">
        <f t="shared" si="445"/>
        <v>177008.57142857142</v>
      </c>
      <c r="Z358" s="2">
        <f t="shared" ref="Z358:AA358" si="482">Y358</f>
        <v>177008.57142857142</v>
      </c>
      <c r="AA358" s="2">
        <f t="shared" si="482"/>
        <v>177008.57142857142</v>
      </c>
      <c r="AQ358" s="2">
        <v>351</v>
      </c>
      <c r="AR358" s="2">
        <f t="shared" ref="AR358:AV367" si="483">MAX($AQ358-$C$2,0)*INDEX($AN$8:$AN$44,MATCH(AR$7,$AO$8:$AO$44,0))/$C$3</f>
        <v>49181.785714285717</v>
      </c>
      <c r="AS358" s="2">
        <f t="shared" si="483"/>
        <v>116706.42857142857</v>
      </c>
      <c r="AT358" s="2">
        <f t="shared" si="483"/>
        <v>171964.28571428571</v>
      </c>
      <c r="AU358" s="2">
        <f t="shared" si="483"/>
        <v>257946.42857142858</v>
      </c>
      <c r="AV358" s="2">
        <f t="shared" si="483"/>
        <v>483792.85714285716</v>
      </c>
      <c r="BK358" s="2">
        <v>351</v>
      </c>
      <c r="BL358" s="2">
        <f t="shared" ref="BL358:BP367" si="484">IFERROR(MAX($BK358-$C$2,0)*INDEX($BH$8:$BH$16,MATCH(BL$7,$BI$8:$BI$16,0))*$C$4/$C$3,BM358)</f>
        <v>7337.1428571428569</v>
      </c>
      <c r="BM358" s="2">
        <f t="shared" si="484"/>
        <v>12840</v>
      </c>
      <c r="BN358" s="2">
        <f t="shared" si="484"/>
        <v>20177.142857142859</v>
      </c>
      <c r="BO358" s="2">
        <f t="shared" si="484"/>
        <v>34851.428571428572</v>
      </c>
      <c r="BP358" s="2">
        <f t="shared" si="484"/>
        <v>317331.42857142858</v>
      </c>
      <c r="BV358" s="2">
        <v>351</v>
      </c>
      <c r="BW358" s="2">
        <f t="shared" si="439"/>
        <v>147316.07142857145</v>
      </c>
      <c r="BX358" s="2">
        <f t="shared" si="440"/>
        <v>306555</v>
      </c>
      <c r="BY358" s="2">
        <f t="shared" si="441"/>
        <v>369150</v>
      </c>
      <c r="BZ358" s="2">
        <f t="shared" si="442"/>
        <v>469806.42857142858</v>
      </c>
      <c r="CA358" s="2">
        <f t="shared" si="443"/>
        <v>978132.85714285728</v>
      </c>
      <c r="CC358" s="41">
        <f t="shared" si="447"/>
        <v>0.61634241245136179</v>
      </c>
      <c r="CD358" s="41">
        <f t="shared" si="448"/>
        <v>0.33385214007782099</v>
      </c>
      <c r="CE358" s="41">
        <f t="shared" si="449"/>
        <v>4.980544747081711E-2</v>
      </c>
    </row>
    <row r="359" spans="22:83" x14ac:dyDescent="0.2">
      <c r="V359" s="2">
        <v>352</v>
      </c>
      <c r="W359" s="2">
        <f t="shared" si="444"/>
        <v>91080</v>
      </c>
      <c r="X359" s="2">
        <f t="shared" si="444"/>
        <v>177560</v>
      </c>
      <c r="Y359" s="2">
        <f t="shared" si="445"/>
        <v>177560</v>
      </c>
      <c r="Z359" s="2">
        <f t="shared" ref="Z359:AA359" si="485">Y359</f>
        <v>177560</v>
      </c>
      <c r="AA359" s="2">
        <f t="shared" si="485"/>
        <v>177560</v>
      </c>
      <c r="AQ359" s="2">
        <v>352</v>
      </c>
      <c r="AR359" s="2">
        <f t="shared" si="483"/>
        <v>49335</v>
      </c>
      <c r="AS359" s="2">
        <f t="shared" si="483"/>
        <v>117070</v>
      </c>
      <c r="AT359" s="2">
        <f t="shared" si="483"/>
        <v>172500</v>
      </c>
      <c r="AU359" s="2">
        <f t="shared" si="483"/>
        <v>258750</v>
      </c>
      <c r="AV359" s="2">
        <f t="shared" si="483"/>
        <v>485300</v>
      </c>
      <c r="BK359" s="2">
        <v>352</v>
      </c>
      <c r="BL359" s="2">
        <f t="shared" si="484"/>
        <v>7360</v>
      </c>
      <c r="BM359" s="2">
        <f t="shared" si="484"/>
        <v>12880</v>
      </c>
      <c r="BN359" s="2">
        <f t="shared" si="484"/>
        <v>20240</v>
      </c>
      <c r="BO359" s="2">
        <f t="shared" si="484"/>
        <v>34960</v>
      </c>
      <c r="BP359" s="2">
        <f t="shared" si="484"/>
        <v>318320</v>
      </c>
      <c r="BV359" s="2">
        <v>352</v>
      </c>
      <c r="BW359" s="2">
        <f t="shared" si="439"/>
        <v>147775</v>
      </c>
      <c r="BX359" s="2">
        <f t="shared" si="440"/>
        <v>307510</v>
      </c>
      <c r="BY359" s="2">
        <f t="shared" si="441"/>
        <v>370300</v>
      </c>
      <c r="BZ359" s="2">
        <f t="shared" si="442"/>
        <v>471270</v>
      </c>
      <c r="CA359" s="2">
        <f t="shared" si="443"/>
        <v>981180</v>
      </c>
      <c r="CC359" s="41">
        <f t="shared" si="447"/>
        <v>0.6163424124513619</v>
      </c>
      <c r="CD359" s="41">
        <f t="shared" si="448"/>
        <v>0.33385214007782099</v>
      </c>
      <c r="CE359" s="41">
        <f t="shared" si="449"/>
        <v>4.9805447470817124E-2</v>
      </c>
    </row>
    <row r="360" spans="22:83" x14ac:dyDescent="0.2">
      <c r="V360" s="2">
        <v>353</v>
      </c>
      <c r="W360" s="2">
        <f t="shared" si="444"/>
        <v>91362.857142857145</v>
      </c>
      <c r="X360" s="2">
        <f t="shared" si="444"/>
        <v>178111.42857142858</v>
      </c>
      <c r="Y360" s="2">
        <f t="shared" si="445"/>
        <v>178111.42857142858</v>
      </c>
      <c r="Z360" s="2">
        <f t="shared" ref="Z360:AA360" si="486">Y360</f>
        <v>178111.42857142858</v>
      </c>
      <c r="AA360" s="2">
        <f t="shared" si="486"/>
        <v>178111.42857142858</v>
      </c>
      <c r="AQ360" s="2">
        <v>353</v>
      </c>
      <c r="AR360" s="2">
        <f t="shared" si="483"/>
        <v>49488.214285714283</v>
      </c>
      <c r="AS360" s="2">
        <f t="shared" si="483"/>
        <v>117433.57142857143</v>
      </c>
      <c r="AT360" s="2">
        <f t="shared" si="483"/>
        <v>173035.71428571429</v>
      </c>
      <c r="AU360" s="2">
        <f t="shared" si="483"/>
        <v>259553.57142857142</v>
      </c>
      <c r="AV360" s="2">
        <f t="shared" si="483"/>
        <v>486807.14285714284</v>
      </c>
      <c r="BK360" s="2">
        <v>353</v>
      </c>
      <c r="BL360" s="2">
        <f t="shared" si="484"/>
        <v>7382.8571428571431</v>
      </c>
      <c r="BM360" s="2">
        <f t="shared" si="484"/>
        <v>12920</v>
      </c>
      <c r="BN360" s="2">
        <f t="shared" si="484"/>
        <v>20302.857142857141</v>
      </c>
      <c r="BO360" s="2">
        <f t="shared" si="484"/>
        <v>35068.571428571428</v>
      </c>
      <c r="BP360" s="2">
        <f t="shared" si="484"/>
        <v>319308.57142857142</v>
      </c>
      <c r="BV360" s="2">
        <v>353</v>
      </c>
      <c r="BW360" s="2">
        <f t="shared" si="439"/>
        <v>148233.92857142855</v>
      </c>
      <c r="BX360" s="2">
        <f t="shared" si="440"/>
        <v>308465</v>
      </c>
      <c r="BY360" s="2">
        <f t="shared" si="441"/>
        <v>371450</v>
      </c>
      <c r="BZ360" s="2">
        <f t="shared" si="442"/>
        <v>472733.57142857142</v>
      </c>
      <c r="CA360" s="2">
        <f t="shared" si="443"/>
        <v>984227.14285714272</v>
      </c>
      <c r="CC360" s="41">
        <f t="shared" si="447"/>
        <v>0.61634241245136201</v>
      </c>
      <c r="CD360" s="41">
        <f t="shared" si="448"/>
        <v>0.33385214007782105</v>
      </c>
      <c r="CE360" s="41">
        <f t="shared" si="449"/>
        <v>4.9805447470817131E-2</v>
      </c>
    </row>
    <row r="361" spans="22:83" x14ac:dyDescent="0.2">
      <c r="V361" s="2">
        <v>354</v>
      </c>
      <c r="W361" s="2">
        <f t="shared" si="444"/>
        <v>91645.71428571429</v>
      </c>
      <c r="X361" s="2">
        <f t="shared" si="444"/>
        <v>178662.85714285713</v>
      </c>
      <c r="Y361" s="2">
        <f t="shared" si="445"/>
        <v>178662.85714285713</v>
      </c>
      <c r="Z361" s="2">
        <f t="shared" ref="Z361:AA361" si="487">Y361</f>
        <v>178662.85714285713</v>
      </c>
      <c r="AA361" s="2">
        <f t="shared" si="487"/>
        <v>178662.85714285713</v>
      </c>
      <c r="AQ361" s="2">
        <v>354</v>
      </c>
      <c r="AR361" s="2">
        <f t="shared" si="483"/>
        <v>49641.428571428572</v>
      </c>
      <c r="AS361" s="2">
        <f t="shared" si="483"/>
        <v>117797.14285714286</v>
      </c>
      <c r="AT361" s="2">
        <f t="shared" si="483"/>
        <v>173571.42857142858</v>
      </c>
      <c r="AU361" s="2">
        <f t="shared" si="483"/>
        <v>260357.14285714287</v>
      </c>
      <c r="AV361" s="2">
        <f t="shared" si="483"/>
        <v>488314.28571428574</v>
      </c>
      <c r="BK361" s="2">
        <v>354</v>
      </c>
      <c r="BL361" s="2">
        <f t="shared" si="484"/>
        <v>7405.7142857142853</v>
      </c>
      <c r="BM361" s="2">
        <f t="shared" si="484"/>
        <v>12960</v>
      </c>
      <c r="BN361" s="2">
        <f t="shared" si="484"/>
        <v>20365.714285714286</v>
      </c>
      <c r="BO361" s="2">
        <f t="shared" si="484"/>
        <v>35177.142857142855</v>
      </c>
      <c r="BP361" s="2">
        <f t="shared" si="484"/>
        <v>320297.14285714284</v>
      </c>
      <c r="BV361" s="2">
        <v>354</v>
      </c>
      <c r="BW361" s="2">
        <f t="shared" si="439"/>
        <v>148692.85714285716</v>
      </c>
      <c r="BX361" s="2">
        <f t="shared" si="440"/>
        <v>309420</v>
      </c>
      <c r="BY361" s="2">
        <f t="shared" si="441"/>
        <v>372599.99999999994</v>
      </c>
      <c r="BZ361" s="2">
        <f t="shared" si="442"/>
        <v>474197.14285714284</v>
      </c>
      <c r="CA361" s="2">
        <f t="shared" si="443"/>
        <v>987274.28571428568</v>
      </c>
      <c r="CC361" s="41">
        <f t="shared" si="447"/>
        <v>0.61634241245136179</v>
      </c>
      <c r="CD361" s="41">
        <f t="shared" si="448"/>
        <v>0.33385214007782099</v>
      </c>
      <c r="CE361" s="41">
        <f t="shared" si="449"/>
        <v>4.980544747081711E-2</v>
      </c>
    </row>
    <row r="362" spans="22:83" x14ac:dyDescent="0.2">
      <c r="V362" s="2">
        <v>355</v>
      </c>
      <c r="W362" s="2">
        <f t="shared" si="444"/>
        <v>91928.571428571435</v>
      </c>
      <c r="X362" s="2">
        <f t="shared" si="444"/>
        <v>179214.28571428571</v>
      </c>
      <c r="Y362" s="2">
        <f t="shared" si="445"/>
        <v>179214.28571428571</v>
      </c>
      <c r="Z362" s="2">
        <f t="shared" ref="Z362:AA362" si="488">Y362</f>
        <v>179214.28571428571</v>
      </c>
      <c r="AA362" s="2">
        <f t="shared" si="488"/>
        <v>179214.28571428571</v>
      </c>
      <c r="AQ362" s="2">
        <v>355</v>
      </c>
      <c r="AR362" s="2">
        <f t="shared" si="483"/>
        <v>49794.642857142855</v>
      </c>
      <c r="AS362" s="2">
        <f t="shared" si="483"/>
        <v>118160.71428571429</v>
      </c>
      <c r="AT362" s="2">
        <f t="shared" si="483"/>
        <v>174107.14285714287</v>
      </c>
      <c r="AU362" s="2">
        <f t="shared" si="483"/>
        <v>261160.71428571429</v>
      </c>
      <c r="AV362" s="2">
        <f t="shared" si="483"/>
        <v>489821.42857142858</v>
      </c>
      <c r="BK362" s="2">
        <v>355</v>
      </c>
      <c r="BL362" s="2">
        <f t="shared" si="484"/>
        <v>7428.5714285714284</v>
      </c>
      <c r="BM362" s="2">
        <f t="shared" si="484"/>
        <v>13000</v>
      </c>
      <c r="BN362" s="2">
        <f t="shared" si="484"/>
        <v>20428.571428571428</v>
      </c>
      <c r="BO362" s="2">
        <f t="shared" si="484"/>
        <v>35285.714285714283</v>
      </c>
      <c r="BP362" s="2">
        <f t="shared" si="484"/>
        <v>321285.71428571426</v>
      </c>
      <c r="BV362" s="2">
        <v>355</v>
      </c>
      <c r="BW362" s="2">
        <f t="shared" si="439"/>
        <v>149151.78571428571</v>
      </c>
      <c r="BX362" s="2">
        <f t="shared" si="440"/>
        <v>310375</v>
      </c>
      <c r="BY362" s="2">
        <f t="shared" si="441"/>
        <v>373750</v>
      </c>
      <c r="BZ362" s="2">
        <f t="shared" si="442"/>
        <v>475660.71428571426</v>
      </c>
      <c r="CA362" s="2">
        <f t="shared" si="443"/>
        <v>990321.42857142864</v>
      </c>
      <c r="CC362" s="41">
        <f t="shared" si="447"/>
        <v>0.6163424124513619</v>
      </c>
      <c r="CD362" s="41">
        <f t="shared" si="448"/>
        <v>0.33385214007782099</v>
      </c>
      <c r="CE362" s="41">
        <f t="shared" si="449"/>
        <v>4.9805447470817124E-2</v>
      </c>
    </row>
    <row r="363" spans="22:83" x14ac:dyDescent="0.2">
      <c r="V363" s="2">
        <v>356</v>
      </c>
      <c r="W363" s="2">
        <f t="shared" si="444"/>
        <v>92211.428571428565</v>
      </c>
      <c r="X363" s="2">
        <f t="shared" si="444"/>
        <v>179765.71428571429</v>
      </c>
      <c r="Y363" s="2">
        <f t="shared" si="445"/>
        <v>179765.71428571429</v>
      </c>
      <c r="Z363" s="2">
        <f t="shared" ref="Z363:AA363" si="489">Y363</f>
        <v>179765.71428571429</v>
      </c>
      <c r="AA363" s="2">
        <f t="shared" si="489"/>
        <v>179765.71428571429</v>
      </c>
      <c r="AQ363" s="2">
        <v>356</v>
      </c>
      <c r="AR363" s="2">
        <f t="shared" si="483"/>
        <v>49947.857142857145</v>
      </c>
      <c r="AS363" s="2">
        <f t="shared" si="483"/>
        <v>118524.28571428571</v>
      </c>
      <c r="AT363" s="2">
        <f t="shared" si="483"/>
        <v>174642.85714285713</v>
      </c>
      <c r="AU363" s="2">
        <f t="shared" si="483"/>
        <v>261964.28571428571</v>
      </c>
      <c r="AV363" s="2">
        <f t="shared" si="483"/>
        <v>491328.57142857142</v>
      </c>
      <c r="BK363" s="2">
        <v>356</v>
      </c>
      <c r="BL363" s="2">
        <f t="shared" si="484"/>
        <v>7451.4285714285716</v>
      </c>
      <c r="BM363" s="2">
        <f t="shared" si="484"/>
        <v>13040</v>
      </c>
      <c r="BN363" s="2">
        <f t="shared" si="484"/>
        <v>20491.428571428572</v>
      </c>
      <c r="BO363" s="2">
        <f t="shared" si="484"/>
        <v>35394.285714285717</v>
      </c>
      <c r="BP363" s="2">
        <f t="shared" si="484"/>
        <v>322274.28571428574</v>
      </c>
      <c r="BV363" s="2">
        <v>356</v>
      </c>
      <c r="BW363" s="2">
        <f t="shared" si="439"/>
        <v>149610.71428571429</v>
      </c>
      <c r="BX363" s="2">
        <f t="shared" si="440"/>
        <v>311330</v>
      </c>
      <c r="BY363" s="2">
        <f t="shared" si="441"/>
        <v>374900</v>
      </c>
      <c r="BZ363" s="2">
        <f t="shared" si="442"/>
        <v>477124.28571428574</v>
      </c>
      <c r="CA363" s="2">
        <f t="shared" si="443"/>
        <v>993368.57142857136</v>
      </c>
      <c r="CC363" s="41">
        <f t="shared" si="447"/>
        <v>0.61634241245136179</v>
      </c>
      <c r="CD363" s="41">
        <f t="shared" si="448"/>
        <v>0.33385214007782099</v>
      </c>
      <c r="CE363" s="41">
        <f t="shared" si="449"/>
        <v>4.9805447470817117E-2</v>
      </c>
    </row>
    <row r="364" spans="22:83" x14ac:dyDescent="0.2">
      <c r="V364" s="2">
        <v>357</v>
      </c>
      <c r="W364" s="2">
        <f t="shared" si="444"/>
        <v>92494.28571428571</v>
      </c>
      <c r="X364" s="2">
        <f t="shared" si="444"/>
        <v>180317.14285714287</v>
      </c>
      <c r="Y364" s="2">
        <f t="shared" si="445"/>
        <v>180317.14285714287</v>
      </c>
      <c r="Z364" s="2">
        <f t="shared" ref="Z364:AA364" si="490">Y364</f>
        <v>180317.14285714287</v>
      </c>
      <c r="AA364" s="2">
        <f t="shared" si="490"/>
        <v>180317.14285714287</v>
      </c>
      <c r="AQ364" s="2">
        <v>357</v>
      </c>
      <c r="AR364" s="2">
        <f t="shared" si="483"/>
        <v>50101.071428571428</v>
      </c>
      <c r="AS364" s="2">
        <f t="shared" si="483"/>
        <v>118887.85714285714</v>
      </c>
      <c r="AT364" s="2">
        <f t="shared" si="483"/>
        <v>175178.57142857142</v>
      </c>
      <c r="AU364" s="2">
        <f t="shared" si="483"/>
        <v>262767.85714285716</v>
      </c>
      <c r="AV364" s="2">
        <f t="shared" si="483"/>
        <v>492835.71428571426</v>
      </c>
      <c r="BK364" s="2">
        <v>357</v>
      </c>
      <c r="BL364" s="2">
        <f t="shared" si="484"/>
        <v>7474.2857142857147</v>
      </c>
      <c r="BM364" s="2">
        <f t="shared" si="484"/>
        <v>13080</v>
      </c>
      <c r="BN364" s="2">
        <f t="shared" si="484"/>
        <v>20554.285714285714</v>
      </c>
      <c r="BO364" s="2">
        <f t="shared" si="484"/>
        <v>35502.857142857145</v>
      </c>
      <c r="BP364" s="2">
        <f t="shared" si="484"/>
        <v>323262.85714285716</v>
      </c>
      <c r="BV364" s="2">
        <v>357</v>
      </c>
      <c r="BW364" s="2">
        <f t="shared" si="439"/>
        <v>150069.64285714284</v>
      </c>
      <c r="BX364" s="2">
        <f t="shared" si="440"/>
        <v>312285</v>
      </c>
      <c r="BY364" s="2">
        <f t="shared" si="441"/>
        <v>376050.00000000006</v>
      </c>
      <c r="BZ364" s="2">
        <f t="shared" si="442"/>
        <v>478587.85714285716</v>
      </c>
      <c r="CA364" s="2">
        <f t="shared" si="443"/>
        <v>996415.71428571432</v>
      </c>
      <c r="CC364" s="41">
        <f t="shared" si="447"/>
        <v>0.6163424124513619</v>
      </c>
      <c r="CD364" s="41">
        <f t="shared" si="448"/>
        <v>0.33385214007782105</v>
      </c>
      <c r="CE364" s="41">
        <f t="shared" si="449"/>
        <v>4.9805447470817131E-2</v>
      </c>
    </row>
    <row r="365" spans="22:83" x14ac:dyDescent="0.2">
      <c r="V365" s="2">
        <v>358</v>
      </c>
      <c r="W365" s="2">
        <f t="shared" si="444"/>
        <v>92777.142857142855</v>
      </c>
      <c r="X365" s="2">
        <f t="shared" si="444"/>
        <v>180868.57142857142</v>
      </c>
      <c r="Y365" s="2">
        <f t="shared" si="445"/>
        <v>180868.57142857142</v>
      </c>
      <c r="Z365" s="2">
        <f t="shared" ref="Z365:AA365" si="491">Y365</f>
        <v>180868.57142857142</v>
      </c>
      <c r="AA365" s="2">
        <f t="shared" si="491"/>
        <v>180868.57142857142</v>
      </c>
      <c r="AQ365" s="2">
        <v>358</v>
      </c>
      <c r="AR365" s="2">
        <f t="shared" si="483"/>
        <v>50254.285714285717</v>
      </c>
      <c r="AS365" s="2">
        <f t="shared" si="483"/>
        <v>119251.42857142857</v>
      </c>
      <c r="AT365" s="2">
        <f t="shared" si="483"/>
        <v>175714.28571428571</v>
      </c>
      <c r="AU365" s="2">
        <f t="shared" si="483"/>
        <v>263571.42857142858</v>
      </c>
      <c r="AV365" s="2">
        <f t="shared" si="483"/>
        <v>494342.85714285716</v>
      </c>
      <c r="BK365" s="2">
        <v>358</v>
      </c>
      <c r="BL365" s="2">
        <f t="shared" si="484"/>
        <v>7497.1428571428569</v>
      </c>
      <c r="BM365" s="2">
        <f t="shared" si="484"/>
        <v>13120</v>
      </c>
      <c r="BN365" s="2">
        <f t="shared" si="484"/>
        <v>20617.142857142859</v>
      </c>
      <c r="BO365" s="2">
        <f t="shared" si="484"/>
        <v>35611.428571428572</v>
      </c>
      <c r="BP365" s="2">
        <f t="shared" si="484"/>
        <v>324251.42857142858</v>
      </c>
      <c r="BV365" s="2">
        <v>358</v>
      </c>
      <c r="BW365" s="2">
        <f t="shared" si="439"/>
        <v>150528.57142857145</v>
      </c>
      <c r="BX365" s="2">
        <f t="shared" si="440"/>
        <v>313240</v>
      </c>
      <c r="BY365" s="2">
        <f t="shared" si="441"/>
        <v>377200</v>
      </c>
      <c r="BZ365" s="2">
        <f t="shared" si="442"/>
        <v>480051.42857142858</v>
      </c>
      <c r="CA365" s="2">
        <f t="shared" si="443"/>
        <v>999462.85714285728</v>
      </c>
      <c r="CC365" s="41">
        <f t="shared" si="447"/>
        <v>0.61634241245136179</v>
      </c>
      <c r="CD365" s="41">
        <f t="shared" si="448"/>
        <v>0.33385214007782099</v>
      </c>
      <c r="CE365" s="41">
        <f t="shared" si="449"/>
        <v>4.980544747081711E-2</v>
      </c>
    </row>
    <row r="366" spans="22:83" x14ac:dyDescent="0.2">
      <c r="V366" s="2">
        <v>359</v>
      </c>
      <c r="W366" s="2">
        <f t="shared" si="444"/>
        <v>93060</v>
      </c>
      <c r="X366" s="2">
        <f t="shared" si="444"/>
        <v>181420</v>
      </c>
      <c r="Y366" s="2">
        <f t="shared" si="445"/>
        <v>181420</v>
      </c>
      <c r="Z366" s="2">
        <f t="shared" ref="Z366:AA366" si="492">Y366</f>
        <v>181420</v>
      </c>
      <c r="AA366" s="2">
        <f t="shared" si="492"/>
        <v>181420</v>
      </c>
      <c r="AQ366" s="2">
        <v>359</v>
      </c>
      <c r="AR366" s="2">
        <f t="shared" si="483"/>
        <v>50407.5</v>
      </c>
      <c r="AS366" s="2">
        <f t="shared" si="483"/>
        <v>119615</v>
      </c>
      <c r="AT366" s="2">
        <f t="shared" si="483"/>
        <v>176250</v>
      </c>
      <c r="AU366" s="2">
        <f t="shared" si="483"/>
        <v>264375</v>
      </c>
      <c r="AV366" s="2">
        <f t="shared" si="483"/>
        <v>495850</v>
      </c>
      <c r="BK366" s="2">
        <v>359</v>
      </c>
      <c r="BL366" s="2">
        <f t="shared" si="484"/>
        <v>7520</v>
      </c>
      <c r="BM366" s="2">
        <f t="shared" si="484"/>
        <v>13160</v>
      </c>
      <c r="BN366" s="2">
        <f t="shared" si="484"/>
        <v>20680</v>
      </c>
      <c r="BO366" s="2">
        <f t="shared" si="484"/>
        <v>35720</v>
      </c>
      <c r="BP366" s="2">
        <f t="shared" si="484"/>
        <v>325240</v>
      </c>
      <c r="BV366" s="2">
        <v>359</v>
      </c>
      <c r="BW366" s="2">
        <f t="shared" si="439"/>
        <v>150987.5</v>
      </c>
      <c r="BX366" s="2">
        <f t="shared" si="440"/>
        <v>314195</v>
      </c>
      <c r="BY366" s="2">
        <f t="shared" si="441"/>
        <v>378350</v>
      </c>
      <c r="BZ366" s="2">
        <f t="shared" si="442"/>
        <v>481515</v>
      </c>
      <c r="CA366" s="2">
        <f t="shared" si="443"/>
        <v>1002510</v>
      </c>
      <c r="CC366" s="41">
        <f t="shared" si="447"/>
        <v>0.6163424124513619</v>
      </c>
      <c r="CD366" s="41">
        <f t="shared" si="448"/>
        <v>0.33385214007782099</v>
      </c>
      <c r="CE366" s="41">
        <f t="shared" si="449"/>
        <v>4.9805447470817124E-2</v>
      </c>
    </row>
    <row r="367" spans="22:83" x14ac:dyDescent="0.2">
      <c r="V367" s="2">
        <v>360</v>
      </c>
      <c r="W367" s="2">
        <f t="shared" si="444"/>
        <v>93342.857142857145</v>
      </c>
      <c r="X367" s="2">
        <f t="shared" si="444"/>
        <v>181971.42857142858</v>
      </c>
      <c r="Y367" s="2">
        <f t="shared" si="445"/>
        <v>181971.42857142858</v>
      </c>
      <c r="Z367" s="2">
        <f t="shared" ref="Z367:AA367" si="493">Y367</f>
        <v>181971.42857142858</v>
      </c>
      <c r="AA367" s="2">
        <f t="shared" si="493"/>
        <v>181971.42857142858</v>
      </c>
      <c r="AQ367" s="2">
        <v>360</v>
      </c>
      <c r="AR367" s="2">
        <f t="shared" si="483"/>
        <v>50560.714285714283</v>
      </c>
      <c r="AS367" s="2">
        <f t="shared" si="483"/>
        <v>119978.57142857143</v>
      </c>
      <c r="AT367" s="2">
        <f t="shared" si="483"/>
        <v>176785.71428571429</v>
      </c>
      <c r="AU367" s="2">
        <f t="shared" si="483"/>
        <v>265178.57142857142</v>
      </c>
      <c r="AV367" s="2">
        <f t="shared" si="483"/>
        <v>497357.14285714284</v>
      </c>
      <c r="BK367" s="2">
        <v>360</v>
      </c>
      <c r="BL367" s="2">
        <f t="shared" si="484"/>
        <v>7542.8571428571431</v>
      </c>
      <c r="BM367" s="2">
        <f t="shared" si="484"/>
        <v>13200</v>
      </c>
      <c r="BN367" s="2">
        <f t="shared" si="484"/>
        <v>20742.857142857141</v>
      </c>
      <c r="BO367" s="2">
        <f t="shared" si="484"/>
        <v>35828.571428571428</v>
      </c>
      <c r="BP367" s="2">
        <f t="shared" si="484"/>
        <v>326228.57142857142</v>
      </c>
      <c r="BV367" s="2">
        <v>360</v>
      </c>
      <c r="BW367" s="2">
        <f t="shared" si="439"/>
        <v>151446.42857142855</v>
      </c>
      <c r="BX367" s="2">
        <f t="shared" si="440"/>
        <v>315150</v>
      </c>
      <c r="BY367" s="2">
        <f t="shared" si="441"/>
        <v>379500</v>
      </c>
      <c r="BZ367" s="2">
        <f t="shared" si="442"/>
        <v>482978.57142857142</v>
      </c>
      <c r="CA367" s="2">
        <f t="shared" si="443"/>
        <v>1005557.1428571427</v>
      </c>
    </row>
  </sheetData>
  <mergeCells count="8">
    <mergeCell ref="P6:R6"/>
    <mergeCell ref="W6:AA6"/>
    <mergeCell ref="BW6:CA6"/>
    <mergeCell ref="CI6:CM6"/>
    <mergeCell ref="AI6:AL6"/>
    <mergeCell ref="AR6:AV6"/>
    <mergeCell ref="BC6:BG6"/>
    <mergeCell ref="BL6:BP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ED33B-2B01-45FA-9455-C71295466E4D}">
  <sheetPr codeName="Sheet11"/>
  <dimension ref="A1:R46"/>
  <sheetViews>
    <sheetView workbookViewId="0">
      <selection activeCell="A36" sqref="A36"/>
    </sheetView>
  </sheetViews>
  <sheetFormatPr defaultRowHeight="11.25" x14ac:dyDescent="0.2"/>
  <cols>
    <col min="1" max="2" width="9" style="6"/>
    <col min="3" max="3" width="9" style="2"/>
    <col min="4" max="6" width="9" style="6"/>
    <col min="7" max="8" width="9" style="2"/>
    <col min="9" max="10" width="12.25" style="2" bestFit="1" customWidth="1"/>
    <col min="11" max="12" width="9" style="2"/>
    <col min="13" max="14" width="11.375" style="2" bestFit="1" customWidth="1"/>
    <col min="15" max="16384" width="9" style="2"/>
  </cols>
  <sheetData>
    <row r="1" spans="1:18" x14ac:dyDescent="0.2">
      <c r="A1" s="6" t="s">
        <v>216</v>
      </c>
    </row>
    <row r="2" spans="1:18" x14ac:dyDescent="0.2">
      <c r="A2" s="6" t="s">
        <v>221</v>
      </c>
    </row>
    <row r="3" spans="1:18" x14ac:dyDescent="0.2">
      <c r="A3" s="6" t="s">
        <v>246</v>
      </c>
      <c r="C3" s="2">
        <f>'征服点（旧）'!C5/60</f>
        <v>60</v>
      </c>
      <c r="D3" s="6" t="s">
        <v>225</v>
      </c>
    </row>
    <row r="4" spans="1:18" x14ac:dyDescent="0.2">
      <c r="A4" s="6" t="s">
        <v>222</v>
      </c>
    </row>
    <row r="5" spans="1:18" x14ac:dyDescent="0.2">
      <c r="A5" s="6" t="s">
        <v>217</v>
      </c>
      <c r="B5" s="6" t="s">
        <v>223</v>
      </c>
      <c r="C5" s="2">
        <v>5</v>
      </c>
      <c r="D5" s="6" t="s">
        <v>226</v>
      </c>
      <c r="G5" s="4">
        <v>0.15</v>
      </c>
      <c r="H5" s="4"/>
      <c r="I5" s="4"/>
      <c r="J5" s="2" t="s">
        <v>224</v>
      </c>
      <c r="K5" s="2">
        <v>30</v>
      </c>
      <c r="L5" s="2" t="s">
        <v>225</v>
      </c>
    </row>
    <row r="6" spans="1:18" x14ac:dyDescent="0.2">
      <c r="A6" s="6" t="s">
        <v>218</v>
      </c>
      <c r="B6" s="6" t="s">
        <v>223</v>
      </c>
      <c r="C6" s="2">
        <v>10</v>
      </c>
      <c r="D6" s="6" t="s">
        <v>241</v>
      </c>
      <c r="G6" s="4">
        <v>0.15</v>
      </c>
      <c r="H6" s="4" t="s">
        <v>229</v>
      </c>
      <c r="I6" s="4">
        <v>0.15</v>
      </c>
      <c r="J6" s="2" t="s">
        <v>224</v>
      </c>
      <c r="K6" s="2">
        <v>30</v>
      </c>
      <c r="L6" s="2" t="s">
        <v>225</v>
      </c>
    </row>
    <row r="7" spans="1:18" x14ac:dyDescent="0.2">
      <c r="A7" s="6" t="s">
        <v>219</v>
      </c>
      <c r="B7" s="6" t="s">
        <v>223</v>
      </c>
      <c r="C7" s="2">
        <v>5</v>
      </c>
      <c r="D7" s="6" t="s">
        <v>227</v>
      </c>
      <c r="G7" s="4">
        <v>1</v>
      </c>
      <c r="H7" s="4"/>
      <c r="I7" s="4"/>
      <c r="J7" s="2" t="s">
        <v>224</v>
      </c>
      <c r="K7" s="2">
        <v>30</v>
      </c>
      <c r="L7" s="2" t="s">
        <v>225</v>
      </c>
    </row>
    <row r="8" spans="1:18" x14ac:dyDescent="0.2">
      <c r="A8" s="6" t="s">
        <v>220</v>
      </c>
      <c r="B8" s="6" t="s">
        <v>223</v>
      </c>
      <c r="C8" s="2">
        <v>10</v>
      </c>
      <c r="D8" s="6" t="s">
        <v>228</v>
      </c>
      <c r="G8" s="4">
        <v>1</v>
      </c>
      <c r="H8" s="4" t="s">
        <v>230</v>
      </c>
      <c r="I8" s="4">
        <v>-0.5</v>
      </c>
      <c r="J8" s="2" t="s">
        <v>224</v>
      </c>
      <c r="K8" s="2">
        <v>30</v>
      </c>
      <c r="L8" s="2" t="s">
        <v>225</v>
      </c>
    </row>
    <row r="13" spans="1:18" x14ac:dyDescent="0.2">
      <c r="A13" s="2"/>
      <c r="B13" s="2"/>
      <c r="C13" s="2" t="s">
        <v>231</v>
      </c>
      <c r="D13" s="2" t="s">
        <v>232</v>
      </c>
      <c r="E13" s="2"/>
      <c r="F13" s="2"/>
      <c r="H13" s="2" t="s">
        <v>237</v>
      </c>
      <c r="I13" s="2" t="s">
        <v>259</v>
      </c>
      <c r="J13" s="2" t="s">
        <v>238</v>
      </c>
      <c r="L13" s="2" t="s">
        <v>239</v>
      </c>
      <c r="M13" s="2" t="s">
        <v>240</v>
      </c>
      <c r="N13" s="2" t="s">
        <v>242</v>
      </c>
      <c r="O13" s="2" t="s">
        <v>243</v>
      </c>
      <c r="P13" s="2" t="s">
        <v>244</v>
      </c>
      <c r="Q13" s="2" t="s">
        <v>245</v>
      </c>
      <c r="R13" s="2" t="s">
        <v>247</v>
      </c>
    </row>
    <row r="14" spans="1:18" x14ac:dyDescent="0.2">
      <c r="A14" s="2">
        <v>1500</v>
      </c>
      <c r="B14" s="2"/>
      <c r="C14" s="2">
        <v>1</v>
      </c>
      <c r="D14" s="2">
        <v>300</v>
      </c>
      <c r="E14" s="2"/>
      <c r="F14" s="2"/>
      <c r="H14" s="2" t="s">
        <v>233</v>
      </c>
      <c r="I14" s="2">
        <v>1</v>
      </c>
      <c r="J14" s="2">
        <v>50</v>
      </c>
      <c r="K14" s="4"/>
      <c r="L14" s="2">
        <f>[7]效果!$E$52</f>
        <v>1023658.5692617481</v>
      </c>
      <c r="N14" s="2">
        <v>0.5</v>
      </c>
      <c r="O14" s="2">
        <v>0.5</v>
      </c>
      <c r="P14" s="2">
        <f>L14*$D$33*G5*$C5/$C$3*N14</f>
        <v>1919359.8173657777</v>
      </c>
      <c r="Q14" s="2">
        <f>M14*$D$33*I5*$C5/$C$3*O14</f>
        <v>0</v>
      </c>
      <c r="R14" s="2">
        <f>SUM(P14:Q14)</f>
        <v>1919359.8173657777</v>
      </c>
    </row>
    <row r="15" spans="1:18" x14ac:dyDescent="0.2">
      <c r="A15" s="2"/>
      <c r="B15" s="2"/>
      <c r="C15" s="2">
        <v>2</v>
      </c>
      <c r="D15" s="2">
        <v>300</v>
      </c>
      <c r="E15" s="2"/>
      <c r="F15" s="2"/>
      <c r="H15" s="2" t="s">
        <v>234</v>
      </c>
      <c r="I15" s="2">
        <v>1</v>
      </c>
      <c r="J15" s="2">
        <v>50</v>
      </c>
      <c r="K15" s="4"/>
      <c r="L15" s="2">
        <f>[7]效果!$E$55</f>
        <v>936740.5251114897</v>
      </c>
      <c r="M15" s="2">
        <f>[7]效果!$E$39</f>
        <v>816076.88122589653</v>
      </c>
      <c r="N15" s="2">
        <v>0.1</v>
      </c>
      <c r="O15" s="2">
        <v>0.1</v>
      </c>
      <c r="P15" s="2">
        <f t="shared" ref="P15:P17" si="0">L15*$D$33*G6*$C6/$C$3*N15</f>
        <v>702555.39383361733</v>
      </c>
      <c r="Q15" s="2">
        <f t="shared" ref="Q15:Q17" si="1">M15*$D$33*I6*$C6/$C$3*O15</f>
        <v>612057.6609194224</v>
      </c>
      <c r="R15" s="2">
        <f t="shared" ref="R15:R17" si="2">SUM(P15:Q15)</f>
        <v>1314613.0547530397</v>
      </c>
    </row>
    <row r="16" spans="1:18" x14ac:dyDescent="0.2">
      <c r="A16" s="2"/>
      <c r="B16" s="2"/>
      <c r="C16" s="2">
        <v>3</v>
      </c>
      <c r="D16" s="2">
        <v>300</v>
      </c>
      <c r="E16" s="2"/>
      <c r="F16" s="2"/>
      <c r="H16" s="2" t="s">
        <v>235</v>
      </c>
      <c r="I16" s="2">
        <v>1</v>
      </c>
      <c r="J16" s="2">
        <v>50</v>
      </c>
      <c r="K16" s="4"/>
      <c r="L16" s="2">
        <f>[7]效果!$E$56</f>
        <v>86669.567300324634</v>
      </c>
      <c r="N16" s="2">
        <v>1</v>
      </c>
      <c r="O16" s="2">
        <v>1</v>
      </c>
      <c r="P16" s="2">
        <f t="shared" si="0"/>
        <v>2166739.1825081161</v>
      </c>
      <c r="Q16" s="2">
        <f t="shared" si="1"/>
        <v>0</v>
      </c>
      <c r="R16" s="2">
        <f t="shared" si="2"/>
        <v>2166739.1825081161</v>
      </c>
    </row>
    <row r="17" spans="1:18" x14ac:dyDescent="0.2">
      <c r="A17" s="2"/>
      <c r="B17" s="2"/>
      <c r="C17" s="2">
        <v>4</v>
      </c>
      <c r="D17" s="2">
        <v>300</v>
      </c>
      <c r="E17" s="2"/>
      <c r="F17" s="2"/>
      <c r="H17" s="2" t="s">
        <v>236</v>
      </c>
      <c r="I17" s="2">
        <v>1</v>
      </c>
      <c r="J17" s="2">
        <v>50</v>
      </c>
      <c r="K17" s="4"/>
      <c r="L17" s="2">
        <f>[7]效果!$E$41</f>
        <v>84420.292315640909</v>
      </c>
      <c r="M17" s="2">
        <f>[7]效果!$E$56</f>
        <v>86669.567300324634</v>
      </c>
      <c r="N17" s="2">
        <v>1</v>
      </c>
      <c r="O17" s="2">
        <v>1</v>
      </c>
      <c r="P17" s="2">
        <f t="shared" si="0"/>
        <v>4221014.6157820458</v>
      </c>
      <c r="Q17" s="2">
        <f t="shared" si="1"/>
        <v>-2166739.1825081161</v>
      </c>
      <c r="R17" s="2">
        <f t="shared" si="2"/>
        <v>2054275.4332739296</v>
      </c>
    </row>
    <row r="18" spans="1:18" x14ac:dyDescent="0.2">
      <c r="A18" s="2"/>
      <c r="B18" s="2"/>
      <c r="C18" s="2">
        <v>5</v>
      </c>
      <c r="D18" s="2">
        <v>300</v>
      </c>
      <c r="E18" s="2"/>
      <c r="F18" s="2"/>
    </row>
    <row r="19" spans="1:18" x14ac:dyDescent="0.2">
      <c r="A19" s="2"/>
      <c r="B19" s="2"/>
      <c r="C19" s="2">
        <v>6</v>
      </c>
      <c r="D19" s="2">
        <v>300</v>
      </c>
      <c r="E19" s="2"/>
      <c r="F19" s="2"/>
    </row>
    <row r="20" spans="1:18" x14ac:dyDescent="0.2">
      <c r="A20" s="2"/>
      <c r="B20" s="2"/>
      <c r="C20" s="2">
        <v>7</v>
      </c>
      <c r="D20" s="2">
        <v>300</v>
      </c>
      <c r="E20" s="2"/>
      <c r="F20" s="2"/>
    </row>
    <row r="21" spans="1:18" x14ac:dyDescent="0.2">
      <c r="A21" s="2"/>
      <c r="B21" s="2"/>
      <c r="C21" s="2">
        <v>8</v>
      </c>
      <c r="D21" s="2">
        <v>300</v>
      </c>
      <c r="E21" s="2"/>
      <c r="F21" s="2"/>
    </row>
    <row r="22" spans="1:18" x14ac:dyDescent="0.2">
      <c r="A22" s="2"/>
      <c r="B22" s="2"/>
      <c r="C22" s="2">
        <v>9</v>
      </c>
      <c r="D22" s="2">
        <v>300</v>
      </c>
      <c r="E22" s="2"/>
      <c r="F22" s="2"/>
    </row>
    <row r="23" spans="1:18" x14ac:dyDescent="0.2">
      <c r="A23" s="2"/>
      <c r="B23" s="2"/>
      <c r="C23" s="2">
        <v>10</v>
      </c>
      <c r="D23" s="2">
        <v>300</v>
      </c>
      <c r="E23" s="2"/>
      <c r="F23" s="2"/>
    </row>
    <row r="24" spans="1:18" x14ac:dyDescent="0.2">
      <c r="A24" s="2"/>
      <c r="B24" s="2"/>
      <c r="C24" s="2">
        <v>11</v>
      </c>
      <c r="D24" s="2">
        <v>300</v>
      </c>
      <c r="E24" s="2"/>
      <c r="F24" s="2"/>
    </row>
    <row r="25" spans="1:18" x14ac:dyDescent="0.2">
      <c r="A25" s="2"/>
      <c r="B25" s="2"/>
      <c r="C25" s="2">
        <v>12</v>
      </c>
      <c r="D25" s="2">
        <v>300</v>
      </c>
      <c r="E25" s="2"/>
      <c r="F25" s="2"/>
    </row>
    <row r="26" spans="1:18" x14ac:dyDescent="0.2">
      <c r="A26" s="2"/>
      <c r="B26" s="2"/>
      <c r="C26" s="2">
        <v>13</v>
      </c>
      <c r="D26" s="2">
        <v>300</v>
      </c>
      <c r="E26" s="2"/>
      <c r="F26" s="2"/>
    </row>
    <row r="27" spans="1:18" x14ac:dyDescent="0.2">
      <c r="A27" s="2"/>
      <c r="B27" s="2"/>
      <c r="C27" s="2">
        <v>14</v>
      </c>
      <c r="D27" s="2">
        <v>300</v>
      </c>
      <c r="E27" s="2"/>
      <c r="F27" s="2"/>
    </row>
    <row r="28" spans="1:18" x14ac:dyDescent="0.2">
      <c r="A28" s="2"/>
      <c r="B28" s="2"/>
      <c r="C28" s="2">
        <v>15</v>
      </c>
      <c r="D28" s="2">
        <v>300</v>
      </c>
      <c r="E28" s="2"/>
      <c r="F28" s="2"/>
    </row>
    <row r="29" spans="1:18" x14ac:dyDescent="0.2">
      <c r="A29" s="2"/>
      <c r="B29" s="2"/>
      <c r="C29" s="2">
        <v>16</v>
      </c>
      <c r="D29" s="2">
        <v>300</v>
      </c>
      <c r="E29" s="2"/>
      <c r="F29" s="2"/>
    </row>
    <row r="30" spans="1:18" x14ac:dyDescent="0.2">
      <c r="A30" s="2"/>
      <c r="B30" s="2"/>
      <c r="C30" s="2">
        <v>17</v>
      </c>
      <c r="D30" s="2">
        <v>300</v>
      </c>
      <c r="E30" s="2"/>
      <c r="F30" s="2"/>
    </row>
    <row r="31" spans="1:18" x14ac:dyDescent="0.2">
      <c r="A31" s="2"/>
      <c r="B31" s="2"/>
      <c r="C31" s="2">
        <v>18</v>
      </c>
      <c r="D31" s="2">
        <v>300</v>
      </c>
      <c r="E31" s="2"/>
      <c r="F31" s="2"/>
    </row>
    <row r="32" spans="1:18" x14ac:dyDescent="0.2">
      <c r="A32" s="2"/>
      <c r="B32" s="2"/>
      <c r="C32" s="2">
        <v>19</v>
      </c>
      <c r="D32" s="2">
        <v>300</v>
      </c>
      <c r="E32" s="2"/>
      <c r="F32" s="2"/>
    </row>
    <row r="33" spans="3:4" s="2" customFormat="1" x14ac:dyDescent="0.2">
      <c r="C33" s="2">
        <v>20</v>
      </c>
      <c r="D33" s="2">
        <v>300</v>
      </c>
    </row>
    <row r="34" spans="3:4" s="2" customFormat="1" x14ac:dyDescent="0.2"/>
    <row r="35" spans="3:4" s="2" customFormat="1" x14ac:dyDescent="0.2"/>
    <row r="36" spans="3:4" s="2" customFormat="1" x14ac:dyDescent="0.2"/>
    <row r="37" spans="3:4" s="2" customFormat="1" x14ac:dyDescent="0.2"/>
    <row r="38" spans="3:4" s="2" customFormat="1" x14ac:dyDescent="0.2"/>
    <row r="39" spans="3:4" s="2" customFormat="1" x14ac:dyDescent="0.2"/>
    <row r="40" spans="3:4" s="2" customFormat="1" x14ac:dyDescent="0.2"/>
    <row r="41" spans="3:4" s="2" customFormat="1" x14ac:dyDescent="0.2"/>
    <row r="42" spans="3:4" s="2" customFormat="1" x14ac:dyDescent="0.2"/>
    <row r="43" spans="3:4" s="2" customFormat="1" x14ac:dyDescent="0.2"/>
    <row r="44" spans="3:4" s="2" customFormat="1" x14ac:dyDescent="0.2"/>
    <row r="45" spans="3:4" s="2" customFormat="1" x14ac:dyDescent="0.2"/>
    <row r="46" spans="3:4" s="2" customFormat="1" x14ac:dyDescent="0.2"/>
  </sheetData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51049-ECC5-4819-A07A-C4F683C28393}">
  <sheetPr codeName="Sheet12"/>
  <dimension ref="A1:Y161"/>
  <sheetViews>
    <sheetView topLeftCell="A7" workbookViewId="0">
      <selection activeCell="K53" sqref="K53"/>
    </sheetView>
  </sheetViews>
  <sheetFormatPr defaultRowHeight="11.25" x14ac:dyDescent="0.2"/>
  <cols>
    <col min="1" max="1" width="14.25" style="1" customWidth="1"/>
    <col min="2" max="2" width="12.875" style="2" bestFit="1" customWidth="1"/>
    <col min="3" max="3" width="12.25" style="2" bestFit="1" customWidth="1"/>
    <col min="4" max="5" width="10.5" style="2" bestFit="1" customWidth="1"/>
    <col min="6" max="8" width="9" style="2"/>
    <col min="9" max="9" width="3.375" style="3" customWidth="1"/>
    <col min="10" max="11" width="9" style="2"/>
    <col min="12" max="12" width="10.5" style="2" bestFit="1" customWidth="1"/>
    <col min="13" max="13" width="7.5" style="2" bestFit="1" customWidth="1"/>
    <col min="14" max="14" width="10.5" style="2" bestFit="1" customWidth="1"/>
    <col min="15" max="15" width="12.875" style="2" bestFit="1" customWidth="1"/>
    <col min="16" max="16" width="7.5" style="2" bestFit="1" customWidth="1"/>
    <col min="17" max="17" width="10.5" style="2" bestFit="1" customWidth="1"/>
    <col min="18" max="18" width="12.875" style="2" bestFit="1" customWidth="1"/>
    <col min="19" max="19" width="7.5" style="2" bestFit="1" customWidth="1"/>
    <col min="20" max="20" width="10.5" style="2" bestFit="1" customWidth="1"/>
    <col min="21" max="21" width="12.875" style="2" bestFit="1" customWidth="1"/>
    <col min="22" max="22" width="7.5" style="2" bestFit="1" customWidth="1"/>
    <col min="23" max="23" width="10.5" style="2" bestFit="1" customWidth="1"/>
    <col min="24" max="24" width="12.875" style="2" bestFit="1" customWidth="1"/>
    <col min="25" max="26" width="15.5" style="2" bestFit="1" customWidth="1"/>
    <col min="27" max="16384" width="9" style="2"/>
  </cols>
  <sheetData>
    <row r="1" spans="1:25" x14ac:dyDescent="0.2">
      <c r="A1" s="1" t="s">
        <v>118</v>
      </c>
    </row>
    <row r="2" spans="1:25" x14ac:dyDescent="0.2">
      <c r="A2" s="1" t="s">
        <v>293</v>
      </c>
    </row>
    <row r="4" spans="1:25" x14ac:dyDescent="0.2">
      <c r="A4" s="1" t="s">
        <v>255</v>
      </c>
    </row>
    <row r="5" spans="1:25" x14ac:dyDescent="0.2">
      <c r="B5" s="2" t="s">
        <v>253</v>
      </c>
      <c r="C5" s="2" t="s">
        <v>254</v>
      </c>
      <c r="M5" s="66" t="s">
        <v>288</v>
      </c>
      <c r="N5" s="66"/>
      <c r="O5" s="66"/>
      <c r="P5" s="66"/>
      <c r="Q5" s="66"/>
      <c r="R5" s="66"/>
      <c r="S5" s="1"/>
      <c r="T5" s="1"/>
      <c r="U5" s="1"/>
      <c r="V5" s="1"/>
      <c r="W5" s="1"/>
      <c r="X5" s="1"/>
    </row>
    <row r="6" spans="1:25" x14ac:dyDescent="0.2">
      <c r="B6" s="2">
        <v>0</v>
      </c>
      <c r="C6" s="2">
        <v>0</v>
      </c>
      <c r="L6" s="2" t="s">
        <v>251</v>
      </c>
      <c r="M6" s="2" t="s">
        <v>248</v>
      </c>
      <c r="N6" s="2" t="s">
        <v>249</v>
      </c>
      <c r="O6" s="2" t="s">
        <v>252</v>
      </c>
      <c r="P6" s="2" t="s">
        <v>289</v>
      </c>
      <c r="Q6" s="2" t="s">
        <v>290</v>
      </c>
      <c r="R6" s="2" t="s">
        <v>291</v>
      </c>
      <c r="Y6" s="2" t="s">
        <v>256</v>
      </c>
    </row>
    <row r="7" spans="1:25" x14ac:dyDescent="0.2">
      <c r="B7" s="2">
        <v>600</v>
      </c>
      <c r="C7" s="2">
        <v>100</v>
      </c>
      <c r="E7" s="2" t="s">
        <v>250</v>
      </c>
      <c r="K7" s="2">
        <f>N7/O7*60</f>
        <v>10</v>
      </c>
      <c r="L7" s="2">
        <v>1</v>
      </c>
      <c r="M7" s="2">
        <v>500000</v>
      </c>
      <c r="N7" s="2">
        <v>500000</v>
      </c>
      <c r="O7" s="2">
        <v>3000000</v>
      </c>
      <c r="P7" s="2">
        <v>500000</v>
      </c>
      <c r="Q7" s="2">
        <v>500000</v>
      </c>
      <c r="R7" s="2">
        <v>3000000</v>
      </c>
      <c r="T7" s="5"/>
      <c r="U7" s="5"/>
      <c r="W7" s="5"/>
      <c r="X7" s="5"/>
      <c r="Y7" s="2" t="str">
        <f t="shared" ref="Y7:Y36" si="0">IF(T7="","",求节点($B$6:$B$8,$C$6:$C$8,T7/U7*3600))</f>
        <v/>
      </c>
    </row>
    <row r="8" spans="1:25" x14ac:dyDescent="0.2">
      <c r="B8" s="2">
        <v>1200</v>
      </c>
      <c r="C8" s="2">
        <v>200</v>
      </c>
      <c r="L8" s="2">
        <v>2</v>
      </c>
      <c r="M8" s="43">
        <f t="shared" ref="M8:N8" si="1">M7</f>
        <v>500000</v>
      </c>
      <c r="N8" s="43">
        <f t="shared" si="1"/>
        <v>500000</v>
      </c>
      <c r="O8" s="43">
        <f>O7</f>
        <v>3000000</v>
      </c>
      <c r="P8" s="43">
        <f t="shared" ref="P8:R23" si="2">P7</f>
        <v>500000</v>
      </c>
      <c r="Q8" s="43">
        <f t="shared" si="2"/>
        <v>500000</v>
      </c>
      <c r="R8" s="43">
        <f>R7</f>
        <v>3000000</v>
      </c>
      <c r="T8" s="5"/>
      <c r="U8" s="5"/>
      <c r="W8" s="5"/>
      <c r="X8" s="5"/>
      <c r="Y8" s="2" t="str">
        <f t="shared" si="0"/>
        <v/>
      </c>
    </row>
    <row r="9" spans="1:25" x14ac:dyDescent="0.2">
      <c r="B9" s="2">
        <v>1800</v>
      </c>
      <c r="C9" s="2">
        <v>300</v>
      </c>
      <c r="L9" s="2">
        <v>3</v>
      </c>
      <c r="M9" s="43">
        <f t="shared" ref="M9:M36" si="3">M8</f>
        <v>500000</v>
      </c>
      <c r="N9" s="43">
        <f t="shared" ref="N9:N36" si="4">N8</f>
        <v>500000</v>
      </c>
      <c r="O9" s="43">
        <f t="shared" ref="O9:Q36" si="5">O8</f>
        <v>3000000</v>
      </c>
      <c r="P9" s="43">
        <f t="shared" si="2"/>
        <v>500000</v>
      </c>
      <c r="Q9" s="43">
        <f t="shared" si="2"/>
        <v>500000</v>
      </c>
      <c r="R9" s="43">
        <f t="shared" si="2"/>
        <v>3000000</v>
      </c>
      <c r="T9" s="5"/>
      <c r="U9" s="5"/>
      <c r="W9" s="5"/>
      <c r="X9" s="5"/>
      <c r="Y9" s="2" t="str">
        <f t="shared" si="0"/>
        <v/>
      </c>
    </row>
    <row r="10" spans="1:25" x14ac:dyDescent="0.2">
      <c r="B10" s="2">
        <v>3600</v>
      </c>
      <c r="C10" s="2">
        <v>600</v>
      </c>
      <c r="L10" s="2">
        <v>4</v>
      </c>
      <c r="M10" s="43">
        <f t="shared" si="3"/>
        <v>500000</v>
      </c>
      <c r="N10" s="43">
        <f t="shared" si="4"/>
        <v>500000</v>
      </c>
      <c r="O10" s="43">
        <f t="shared" si="5"/>
        <v>3000000</v>
      </c>
      <c r="P10" s="43">
        <f t="shared" si="2"/>
        <v>500000</v>
      </c>
      <c r="Q10" s="43">
        <f t="shared" si="2"/>
        <v>500000</v>
      </c>
      <c r="R10" s="43">
        <f t="shared" si="2"/>
        <v>3000000</v>
      </c>
      <c r="T10" s="5"/>
      <c r="U10" s="5"/>
      <c r="W10" s="5"/>
      <c r="X10" s="5"/>
      <c r="Y10" s="2" t="str">
        <f t="shared" si="0"/>
        <v/>
      </c>
    </row>
    <row r="11" spans="1:25" x14ac:dyDescent="0.2">
      <c r="C11" s="4"/>
      <c r="L11" s="2">
        <v>5</v>
      </c>
      <c r="M11" s="43">
        <f t="shared" si="3"/>
        <v>500000</v>
      </c>
      <c r="N11" s="43">
        <f t="shared" si="4"/>
        <v>500000</v>
      </c>
      <c r="O11" s="43">
        <f t="shared" si="5"/>
        <v>3000000</v>
      </c>
      <c r="P11" s="43">
        <f t="shared" si="2"/>
        <v>500000</v>
      </c>
      <c r="Q11" s="43">
        <f t="shared" si="2"/>
        <v>500000</v>
      </c>
      <c r="R11" s="43">
        <f t="shared" si="2"/>
        <v>3000000</v>
      </c>
      <c r="T11" s="5"/>
      <c r="U11" s="5"/>
      <c r="W11" s="5"/>
      <c r="X11" s="5"/>
      <c r="Y11" s="2" t="str">
        <f t="shared" si="0"/>
        <v/>
      </c>
    </row>
    <row r="12" spans="1:25" x14ac:dyDescent="0.2">
      <c r="A12" s="1" t="s">
        <v>292</v>
      </c>
      <c r="L12" s="2">
        <v>6</v>
      </c>
      <c r="M12" s="43">
        <f t="shared" si="3"/>
        <v>500000</v>
      </c>
      <c r="N12" s="43">
        <f t="shared" si="4"/>
        <v>500000</v>
      </c>
      <c r="O12" s="43">
        <f t="shared" si="5"/>
        <v>3000000</v>
      </c>
      <c r="P12" s="43">
        <f t="shared" si="2"/>
        <v>500000</v>
      </c>
      <c r="Q12" s="43">
        <f t="shared" si="2"/>
        <v>500000</v>
      </c>
      <c r="R12" s="43">
        <f t="shared" si="2"/>
        <v>3000000</v>
      </c>
      <c r="T12" s="5"/>
      <c r="U12" s="5"/>
      <c r="W12" s="5"/>
      <c r="X12" s="5"/>
      <c r="Y12" s="2" t="str">
        <f t="shared" si="0"/>
        <v/>
      </c>
    </row>
    <row r="13" spans="1:25" x14ac:dyDescent="0.2">
      <c r="B13" s="2" t="s">
        <v>296</v>
      </c>
      <c r="L13" s="2">
        <v>7</v>
      </c>
      <c r="M13" s="43">
        <f t="shared" si="3"/>
        <v>500000</v>
      </c>
      <c r="N13" s="43">
        <f t="shared" si="4"/>
        <v>500000</v>
      </c>
      <c r="O13" s="43">
        <f t="shared" si="5"/>
        <v>3000000</v>
      </c>
      <c r="P13" s="43">
        <f t="shared" si="2"/>
        <v>500000</v>
      </c>
      <c r="Q13" s="43">
        <f t="shared" si="2"/>
        <v>500000</v>
      </c>
      <c r="R13" s="43">
        <f t="shared" si="2"/>
        <v>3000000</v>
      </c>
      <c r="T13" s="5"/>
      <c r="U13" s="5"/>
      <c r="W13" s="5"/>
      <c r="X13" s="5"/>
      <c r="Y13" s="2" t="str">
        <f t="shared" si="0"/>
        <v/>
      </c>
    </row>
    <row r="14" spans="1:25" x14ac:dyDescent="0.2">
      <c r="B14" s="2" t="s">
        <v>263</v>
      </c>
      <c r="L14" s="2">
        <v>8</v>
      </c>
      <c r="M14" s="43">
        <f t="shared" si="3"/>
        <v>500000</v>
      </c>
      <c r="N14" s="43">
        <f t="shared" si="4"/>
        <v>500000</v>
      </c>
      <c r="O14" s="43">
        <f t="shared" si="5"/>
        <v>3000000</v>
      </c>
      <c r="P14" s="43">
        <f t="shared" si="2"/>
        <v>500000</v>
      </c>
      <c r="Q14" s="43">
        <f t="shared" si="2"/>
        <v>500000</v>
      </c>
      <c r="R14" s="43">
        <f t="shared" si="2"/>
        <v>3000000</v>
      </c>
      <c r="T14" s="5"/>
      <c r="U14" s="5"/>
      <c r="W14" s="5"/>
      <c r="X14" s="5"/>
      <c r="Y14" s="2" t="str">
        <f t="shared" si="0"/>
        <v/>
      </c>
    </row>
    <row r="15" spans="1:25" x14ac:dyDescent="0.2">
      <c r="B15" s="2" t="s">
        <v>313</v>
      </c>
      <c r="C15" s="42">
        <v>20</v>
      </c>
      <c r="D15" s="2" t="s">
        <v>312</v>
      </c>
      <c r="L15" s="2">
        <v>9</v>
      </c>
      <c r="M15" s="43">
        <f t="shared" si="3"/>
        <v>500000</v>
      </c>
      <c r="N15" s="43">
        <f t="shared" si="4"/>
        <v>500000</v>
      </c>
      <c r="O15" s="43">
        <f t="shared" si="5"/>
        <v>3000000</v>
      </c>
      <c r="P15" s="43">
        <f t="shared" si="2"/>
        <v>500000</v>
      </c>
      <c r="Q15" s="43">
        <f t="shared" si="2"/>
        <v>500000</v>
      </c>
      <c r="R15" s="43">
        <f t="shared" si="2"/>
        <v>3000000</v>
      </c>
      <c r="T15" s="5"/>
      <c r="U15" s="5"/>
      <c r="W15" s="5"/>
      <c r="X15" s="5"/>
      <c r="Y15" s="2" t="str">
        <f t="shared" si="0"/>
        <v/>
      </c>
    </row>
    <row r="16" spans="1:25" x14ac:dyDescent="0.2">
      <c r="B16" s="17" t="s">
        <v>311</v>
      </c>
      <c r="C16" s="42">
        <v>60</v>
      </c>
      <c r="D16" s="2" t="s">
        <v>312</v>
      </c>
      <c r="L16" s="2">
        <v>10</v>
      </c>
      <c r="M16" s="43">
        <f t="shared" si="3"/>
        <v>500000</v>
      </c>
      <c r="N16" s="43">
        <f t="shared" si="4"/>
        <v>500000</v>
      </c>
      <c r="O16" s="43">
        <f t="shared" si="5"/>
        <v>3000000</v>
      </c>
      <c r="P16" s="43">
        <f t="shared" si="2"/>
        <v>500000</v>
      </c>
      <c r="Q16" s="43">
        <f t="shared" si="2"/>
        <v>500000</v>
      </c>
      <c r="R16" s="43">
        <f t="shared" si="2"/>
        <v>3000000</v>
      </c>
      <c r="T16" s="5"/>
      <c r="U16" s="5"/>
      <c r="W16" s="5"/>
      <c r="X16" s="5"/>
      <c r="Y16" s="2" t="str">
        <f t="shared" si="0"/>
        <v/>
      </c>
    </row>
    <row r="17" spans="2:25" x14ac:dyDescent="0.2">
      <c r="B17" s="2" t="s">
        <v>314</v>
      </c>
      <c r="C17" s="44">
        <v>0</v>
      </c>
      <c r="L17" s="2">
        <v>11</v>
      </c>
      <c r="M17" s="43">
        <f t="shared" si="3"/>
        <v>500000</v>
      </c>
      <c r="N17" s="43">
        <f t="shared" si="4"/>
        <v>500000</v>
      </c>
      <c r="O17" s="43">
        <f t="shared" si="5"/>
        <v>3000000</v>
      </c>
      <c r="P17" s="43">
        <f t="shared" si="2"/>
        <v>500000</v>
      </c>
      <c r="Q17" s="43">
        <f t="shared" si="2"/>
        <v>500000</v>
      </c>
      <c r="R17" s="43">
        <f t="shared" si="2"/>
        <v>3000000</v>
      </c>
      <c r="T17" s="5"/>
      <c r="U17" s="5"/>
      <c r="W17" s="5"/>
      <c r="X17" s="5"/>
      <c r="Y17" s="2" t="str">
        <f t="shared" si="0"/>
        <v/>
      </c>
    </row>
    <row r="18" spans="2:25" x14ac:dyDescent="0.2">
      <c r="B18" s="2" t="s">
        <v>315</v>
      </c>
      <c r="C18" s="44">
        <v>0</v>
      </c>
      <c r="L18" s="2">
        <v>12</v>
      </c>
      <c r="M18" s="43">
        <f t="shared" si="3"/>
        <v>500000</v>
      </c>
      <c r="N18" s="43">
        <f t="shared" si="4"/>
        <v>500000</v>
      </c>
      <c r="O18" s="43">
        <f t="shared" si="5"/>
        <v>3000000</v>
      </c>
      <c r="P18" s="43">
        <f t="shared" si="2"/>
        <v>500000</v>
      </c>
      <c r="Q18" s="43">
        <f t="shared" si="2"/>
        <v>500000</v>
      </c>
      <c r="R18" s="43">
        <f t="shared" si="2"/>
        <v>3000000</v>
      </c>
      <c r="T18" s="5"/>
      <c r="U18" s="5"/>
      <c r="W18" s="5"/>
      <c r="X18" s="5"/>
      <c r="Y18" s="2" t="str">
        <f t="shared" si="0"/>
        <v/>
      </c>
    </row>
    <row r="19" spans="2:25" x14ac:dyDescent="0.2">
      <c r="F19" s="5"/>
      <c r="L19" s="2">
        <v>13</v>
      </c>
      <c r="M19" s="43">
        <f t="shared" si="3"/>
        <v>500000</v>
      </c>
      <c r="N19" s="43">
        <f t="shared" si="4"/>
        <v>500000</v>
      </c>
      <c r="O19" s="43">
        <f t="shared" si="5"/>
        <v>3000000</v>
      </c>
      <c r="P19" s="43">
        <f t="shared" si="2"/>
        <v>500000</v>
      </c>
      <c r="Q19" s="43">
        <f t="shared" si="2"/>
        <v>500000</v>
      </c>
      <c r="R19" s="43">
        <f t="shared" si="2"/>
        <v>3000000</v>
      </c>
      <c r="T19" s="5"/>
      <c r="U19" s="5"/>
      <c r="W19" s="5"/>
      <c r="X19" s="5"/>
      <c r="Y19" s="2" t="str">
        <f t="shared" si="0"/>
        <v/>
      </c>
    </row>
    <row r="20" spans="2:25" x14ac:dyDescent="0.2">
      <c r="F20" s="5"/>
      <c r="L20" s="2">
        <v>14</v>
      </c>
      <c r="M20" s="43">
        <f t="shared" si="3"/>
        <v>500000</v>
      </c>
      <c r="N20" s="43">
        <f t="shared" si="4"/>
        <v>500000</v>
      </c>
      <c r="O20" s="43">
        <f t="shared" si="5"/>
        <v>3000000</v>
      </c>
      <c r="P20" s="43">
        <f t="shared" si="2"/>
        <v>500000</v>
      </c>
      <c r="Q20" s="43">
        <f t="shared" si="2"/>
        <v>500000</v>
      </c>
      <c r="R20" s="43">
        <f t="shared" si="2"/>
        <v>3000000</v>
      </c>
      <c r="T20" s="5"/>
      <c r="U20" s="5"/>
      <c r="W20" s="5"/>
      <c r="X20" s="5"/>
      <c r="Y20" s="2" t="str">
        <f t="shared" si="0"/>
        <v/>
      </c>
    </row>
    <row r="21" spans="2:25" x14ac:dyDescent="0.2">
      <c r="F21" s="5"/>
      <c r="L21" s="2">
        <v>15</v>
      </c>
      <c r="M21" s="43">
        <f t="shared" si="3"/>
        <v>500000</v>
      </c>
      <c r="N21" s="43">
        <f t="shared" si="4"/>
        <v>500000</v>
      </c>
      <c r="O21" s="43">
        <f t="shared" si="5"/>
        <v>3000000</v>
      </c>
      <c r="P21" s="43">
        <f t="shared" si="2"/>
        <v>500000</v>
      </c>
      <c r="Q21" s="43">
        <f t="shared" si="2"/>
        <v>500000</v>
      </c>
      <c r="R21" s="43">
        <f t="shared" si="2"/>
        <v>3000000</v>
      </c>
      <c r="T21" s="5"/>
      <c r="U21" s="5"/>
      <c r="W21" s="5"/>
      <c r="X21" s="5"/>
      <c r="Y21" s="2" t="str">
        <f t="shared" si="0"/>
        <v/>
      </c>
    </row>
    <row r="22" spans="2:25" x14ac:dyDescent="0.2">
      <c r="B22" s="26" t="s">
        <v>316</v>
      </c>
      <c r="F22" s="5"/>
      <c r="L22" s="2">
        <v>16</v>
      </c>
      <c r="M22" s="43">
        <f t="shared" si="3"/>
        <v>500000</v>
      </c>
      <c r="N22" s="43">
        <f t="shared" si="4"/>
        <v>500000</v>
      </c>
      <c r="O22" s="43">
        <f t="shared" si="5"/>
        <v>3000000</v>
      </c>
      <c r="P22" s="43">
        <f t="shared" si="2"/>
        <v>500000</v>
      </c>
      <c r="Q22" s="43">
        <f t="shared" si="2"/>
        <v>500000</v>
      </c>
      <c r="R22" s="43">
        <f t="shared" si="2"/>
        <v>3000000</v>
      </c>
      <c r="T22" s="5"/>
      <c r="U22" s="5"/>
      <c r="W22" s="5"/>
      <c r="X22" s="5"/>
      <c r="Y22" s="2" t="str">
        <f t="shared" si="0"/>
        <v/>
      </c>
    </row>
    <row r="23" spans="2:25" x14ac:dyDescent="0.2">
      <c r="F23" s="5"/>
      <c r="L23" s="2">
        <v>17</v>
      </c>
      <c r="M23" s="43">
        <f t="shared" si="3"/>
        <v>500000</v>
      </c>
      <c r="N23" s="43">
        <f t="shared" si="4"/>
        <v>500000</v>
      </c>
      <c r="O23" s="43">
        <f t="shared" si="5"/>
        <v>3000000</v>
      </c>
      <c r="P23" s="43">
        <f t="shared" si="2"/>
        <v>500000</v>
      </c>
      <c r="Q23" s="43">
        <f t="shared" si="2"/>
        <v>500000</v>
      </c>
      <c r="R23" s="43">
        <f t="shared" si="2"/>
        <v>3000000</v>
      </c>
      <c r="T23" s="5"/>
      <c r="U23" s="5"/>
      <c r="W23" s="5"/>
      <c r="X23" s="5"/>
      <c r="Y23" s="2" t="str">
        <f t="shared" si="0"/>
        <v/>
      </c>
    </row>
    <row r="24" spans="2:25" x14ac:dyDescent="0.2">
      <c r="L24" s="2">
        <v>18</v>
      </c>
      <c r="M24" s="43">
        <f t="shared" si="3"/>
        <v>500000</v>
      </c>
      <c r="N24" s="43">
        <f t="shared" si="4"/>
        <v>500000</v>
      </c>
      <c r="O24" s="43">
        <f t="shared" si="5"/>
        <v>3000000</v>
      </c>
      <c r="P24" s="43">
        <f t="shared" si="5"/>
        <v>500000</v>
      </c>
      <c r="Q24" s="43">
        <f t="shared" si="5"/>
        <v>500000</v>
      </c>
      <c r="R24" s="43">
        <f t="shared" ref="R24:R86" si="6">R23</f>
        <v>3000000</v>
      </c>
      <c r="T24" s="5"/>
      <c r="U24" s="5"/>
      <c r="W24" s="5"/>
      <c r="X24" s="5"/>
      <c r="Y24" s="2" t="str">
        <f t="shared" si="0"/>
        <v/>
      </c>
    </row>
    <row r="25" spans="2:25" x14ac:dyDescent="0.2">
      <c r="F25" s="5"/>
      <c r="L25" s="2">
        <v>19</v>
      </c>
      <c r="M25" s="43">
        <f t="shared" si="3"/>
        <v>500000</v>
      </c>
      <c r="N25" s="43">
        <f t="shared" si="4"/>
        <v>500000</v>
      </c>
      <c r="O25" s="43">
        <f t="shared" si="5"/>
        <v>3000000</v>
      </c>
      <c r="P25" s="43">
        <f t="shared" si="5"/>
        <v>500000</v>
      </c>
      <c r="Q25" s="43">
        <f t="shared" si="5"/>
        <v>500000</v>
      </c>
      <c r="R25" s="43">
        <f t="shared" si="6"/>
        <v>3000000</v>
      </c>
      <c r="T25" s="5"/>
      <c r="U25" s="5"/>
      <c r="W25" s="5"/>
      <c r="X25" s="5"/>
      <c r="Y25" s="2" t="str">
        <f t="shared" si="0"/>
        <v/>
      </c>
    </row>
    <row r="26" spans="2:25" x14ac:dyDescent="0.2">
      <c r="F26" s="5"/>
      <c r="L26" s="2">
        <v>20</v>
      </c>
      <c r="M26" s="43">
        <f t="shared" si="3"/>
        <v>500000</v>
      </c>
      <c r="N26" s="43">
        <f t="shared" si="4"/>
        <v>500000</v>
      </c>
      <c r="O26" s="43">
        <f t="shared" si="5"/>
        <v>3000000</v>
      </c>
      <c r="P26" s="43">
        <f t="shared" si="5"/>
        <v>500000</v>
      </c>
      <c r="Q26" s="43">
        <f t="shared" si="5"/>
        <v>500000</v>
      </c>
      <c r="R26" s="43">
        <f t="shared" si="6"/>
        <v>3000000</v>
      </c>
      <c r="T26" s="5"/>
      <c r="U26" s="5"/>
      <c r="W26" s="5"/>
      <c r="X26" s="5"/>
      <c r="Y26" s="2" t="str">
        <f t="shared" si="0"/>
        <v/>
      </c>
    </row>
    <row r="27" spans="2:25" x14ac:dyDescent="0.2">
      <c r="L27" s="2">
        <v>21</v>
      </c>
      <c r="M27" s="43">
        <f t="shared" si="3"/>
        <v>500000</v>
      </c>
      <c r="N27" s="43">
        <f t="shared" si="4"/>
        <v>500000</v>
      </c>
      <c r="O27" s="43">
        <f t="shared" si="5"/>
        <v>3000000</v>
      </c>
      <c r="P27" s="43">
        <f t="shared" si="5"/>
        <v>500000</v>
      </c>
      <c r="Q27" s="43">
        <f t="shared" si="5"/>
        <v>500000</v>
      </c>
      <c r="R27" s="43">
        <f t="shared" si="6"/>
        <v>3000000</v>
      </c>
      <c r="T27" s="5"/>
      <c r="U27" s="5"/>
      <c r="W27" s="5"/>
      <c r="X27" s="5"/>
      <c r="Y27" s="2" t="str">
        <f t="shared" si="0"/>
        <v/>
      </c>
    </row>
    <row r="28" spans="2:25" x14ac:dyDescent="0.2">
      <c r="L28" s="2">
        <v>22</v>
      </c>
      <c r="M28" s="43">
        <f t="shared" si="3"/>
        <v>500000</v>
      </c>
      <c r="N28" s="43">
        <f t="shared" si="4"/>
        <v>500000</v>
      </c>
      <c r="O28" s="43">
        <f t="shared" si="5"/>
        <v>3000000</v>
      </c>
      <c r="P28" s="43">
        <f t="shared" si="5"/>
        <v>500000</v>
      </c>
      <c r="Q28" s="43">
        <f t="shared" si="5"/>
        <v>500000</v>
      </c>
      <c r="R28" s="43">
        <f t="shared" si="6"/>
        <v>3000000</v>
      </c>
      <c r="T28" s="5"/>
      <c r="U28" s="5"/>
      <c r="W28" s="5"/>
      <c r="X28" s="5"/>
      <c r="Y28" s="2" t="str">
        <f t="shared" si="0"/>
        <v/>
      </c>
    </row>
    <row r="29" spans="2:25" x14ac:dyDescent="0.2">
      <c r="L29" s="2">
        <v>23</v>
      </c>
      <c r="M29" s="43">
        <f t="shared" si="3"/>
        <v>500000</v>
      </c>
      <c r="N29" s="43">
        <f t="shared" si="4"/>
        <v>500000</v>
      </c>
      <c r="O29" s="43">
        <f t="shared" si="5"/>
        <v>3000000</v>
      </c>
      <c r="P29" s="43">
        <f t="shared" si="5"/>
        <v>500000</v>
      </c>
      <c r="Q29" s="43">
        <f t="shared" si="5"/>
        <v>500000</v>
      </c>
      <c r="R29" s="43">
        <f t="shared" si="6"/>
        <v>3000000</v>
      </c>
      <c r="T29" s="5"/>
      <c r="U29" s="5"/>
      <c r="W29" s="5"/>
      <c r="X29" s="5"/>
      <c r="Y29" s="2" t="str">
        <f t="shared" si="0"/>
        <v/>
      </c>
    </row>
    <row r="30" spans="2:25" x14ac:dyDescent="0.2">
      <c r="L30" s="2">
        <v>24</v>
      </c>
      <c r="M30" s="43">
        <f t="shared" si="3"/>
        <v>500000</v>
      </c>
      <c r="N30" s="43">
        <f t="shared" si="4"/>
        <v>500000</v>
      </c>
      <c r="O30" s="43">
        <f t="shared" si="5"/>
        <v>3000000</v>
      </c>
      <c r="P30" s="43">
        <f t="shared" si="5"/>
        <v>500000</v>
      </c>
      <c r="Q30" s="43">
        <f t="shared" si="5"/>
        <v>500000</v>
      </c>
      <c r="R30" s="43">
        <f t="shared" si="6"/>
        <v>3000000</v>
      </c>
      <c r="T30" s="5"/>
      <c r="U30" s="5"/>
      <c r="W30" s="5"/>
      <c r="X30" s="5"/>
      <c r="Y30" s="2" t="str">
        <f t="shared" si="0"/>
        <v/>
      </c>
    </row>
    <row r="31" spans="2:25" x14ac:dyDescent="0.2">
      <c r="L31" s="2">
        <v>25</v>
      </c>
      <c r="M31" s="43">
        <f t="shared" si="3"/>
        <v>500000</v>
      </c>
      <c r="N31" s="43">
        <f t="shared" si="4"/>
        <v>500000</v>
      </c>
      <c r="O31" s="43">
        <f t="shared" si="5"/>
        <v>3000000</v>
      </c>
      <c r="P31" s="43">
        <f t="shared" si="5"/>
        <v>500000</v>
      </c>
      <c r="Q31" s="43">
        <f t="shared" si="5"/>
        <v>500000</v>
      </c>
      <c r="R31" s="43">
        <f t="shared" si="6"/>
        <v>3000000</v>
      </c>
      <c r="T31" s="5"/>
      <c r="U31" s="5"/>
      <c r="W31" s="5"/>
      <c r="X31" s="5"/>
      <c r="Y31" s="2" t="str">
        <f t="shared" si="0"/>
        <v/>
      </c>
    </row>
    <row r="32" spans="2:25" x14ac:dyDescent="0.2">
      <c r="L32" s="2">
        <v>26</v>
      </c>
      <c r="M32" s="43">
        <f t="shared" si="3"/>
        <v>500000</v>
      </c>
      <c r="N32" s="43">
        <f t="shared" si="4"/>
        <v>500000</v>
      </c>
      <c r="O32" s="43">
        <f t="shared" si="5"/>
        <v>3000000</v>
      </c>
      <c r="P32" s="43">
        <f t="shared" si="5"/>
        <v>500000</v>
      </c>
      <c r="Q32" s="43">
        <f t="shared" si="5"/>
        <v>500000</v>
      </c>
      <c r="R32" s="43">
        <f t="shared" si="6"/>
        <v>3000000</v>
      </c>
      <c r="T32" s="5"/>
      <c r="U32" s="5"/>
      <c r="W32" s="5"/>
      <c r="X32" s="5"/>
      <c r="Y32" s="2" t="str">
        <f t="shared" si="0"/>
        <v/>
      </c>
    </row>
    <row r="33" spans="3:25" x14ac:dyDescent="0.2">
      <c r="L33" s="2">
        <v>27</v>
      </c>
      <c r="M33" s="43">
        <f t="shared" si="3"/>
        <v>500000</v>
      </c>
      <c r="N33" s="43">
        <f t="shared" si="4"/>
        <v>500000</v>
      </c>
      <c r="O33" s="43">
        <f t="shared" si="5"/>
        <v>3000000</v>
      </c>
      <c r="P33" s="43">
        <f t="shared" si="5"/>
        <v>500000</v>
      </c>
      <c r="Q33" s="43">
        <f t="shared" si="5"/>
        <v>500000</v>
      </c>
      <c r="R33" s="43">
        <f t="shared" si="6"/>
        <v>3000000</v>
      </c>
      <c r="T33" s="5"/>
      <c r="U33" s="5"/>
      <c r="W33" s="5"/>
      <c r="X33" s="5"/>
      <c r="Y33" s="2" t="str">
        <f t="shared" si="0"/>
        <v/>
      </c>
    </row>
    <row r="34" spans="3:25" x14ac:dyDescent="0.2">
      <c r="L34" s="2">
        <v>28</v>
      </c>
      <c r="M34" s="43">
        <f t="shared" si="3"/>
        <v>500000</v>
      </c>
      <c r="N34" s="43">
        <f t="shared" si="4"/>
        <v>500000</v>
      </c>
      <c r="O34" s="43">
        <f t="shared" si="5"/>
        <v>3000000</v>
      </c>
      <c r="P34" s="43">
        <f t="shared" si="5"/>
        <v>500000</v>
      </c>
      <c r="Q34" s="43">
        <f t="shared" si="5"/>
        <v>500000</v>
      </c>
      <c r="R34" s="43">
        <f t="shared" si="6"/>
        <v>3000000</v>
      </c>
      <c r="T34" s="5"/>
      <c r="U34" s="5"/>
      <c r="W34" s="5"/>
      <c r="X34" s="5"/>
      <c r="Y34" s="2" t="str">
        <f t="shared" si="0"/>
        <v/>
      </c>
    </row>
    <row r="35" spans="3:25" x14ac:dyDescent="0.2">
      <c r="L35" s="2">
        <v>29</v>
      </c>
      <c r="M35" s="43">
        <f t="shared" si="3"/>
        <v>500000</v>
      </c>
      <c r="N35" s="43">
        <f t="shared" si="4"/>
        <v>500000</v>
      </c>
      <c r="O35" s="43">
        <f t="shared" si="5"/>
        <v>3000000</v>
      </c>
      <c r="P35" s="43">
        <f t="shared" si="5"/>
        <v>500000</v>
      </c>
      <c r="Q35" s="43">
        <f t="shared" si="5"/>
        <v>500000</v>
      </c>
      <c r="R35" s="43">
        <f t="shared" si="6"/>
        <v>3000000</v>
      </c>
      <c r="T35" s="5"/>
      <c r="U35" s="5"/>
      <c r="W35" s="5"/>
      <c r="X35" s="5"/>
      <c r="Y35" s="2" t="str">
        <f t="shared" si="0"/>
        <v/>
      </c>
    </row>
    <row r="36" spans="3:25" x14ac:dyDescent="0.2">
      <c r="L36" s="2">
        <v>30</v>
      </c>
      <c r="M36" s="43">
        <f t="shared" si="3"/>
        <v>500000</v>
      </c>
      <c r="N36" s="43">
        <f t="shared" si="4"/>
        <v>500000</v>
      </c>
      <c r="O36" s="43">
        <f t="shared" si="5"/>
        <v>3000000</v>
      </c>
      <c r="P36" s="43">
        <f t="shared" si="5"/>
        <v>500000</v>
      </c>
      <c r="Q36" s="43">
        <f t="shared" si="5"/>
        <v>500000</v>
      </c>
      <c r="R36" s="43">
        <f t="shared" si="6"/>
        <v>3000000</v>
      </c>
      <c r="T36" s="5"/>
      <c r="U36" s="5"/>
      <c r="W36" s="5"/>
      <c r="X36" s="5"/>
      <c r="Y36" s="2" t="str">
        <f t="shared" si="0"/>
        <v/>
      </c>
    </row>
    <row r="37" spans="3:25" x14ac:dyDescent="0.2">
      <c r="L37" s="2">
        <v>31</v>
      </c>
      <c r="P37" s="43">
        <f t="shared" ref="P37:Q37" si="7">P36</f>
        <v>500000</v>
      </c>
      <c r="Q37" s="43">
        <f t="shared" si="7"/>
        <v>500000</v>
      </c>
      <c r="R37" s="43">
        <f t="shared" si="6"/>
        <v>3000000</v>
      </c>
      <c r="W37" s="5"/>
      <c r="X37" s="5"/>
      <c r="Y37" s="2" t="str">
        <f t="shared" ref="Y37:Y68" si="8">IF(T37="","",求节点($B$6:$B$24,$C$6:$C$24,T37/U37*3600))</f>
        <v/>
      </c>
    </row>
    <row r="38" spans="3:25" x14ac:dyDescent="0.2">
      <c r="L38" s="2">
        <v>32</v>
      </c>
      <c r="P38" s="43">
        <f t="shared" ref="P38:Q38" si="9">P37</f>
        <v>500000</v>
      </c>
      <c r="Q38" s="43">
        <f t="shared" si="9"/>
        <v>500000</v>
      </c>
      <c r="R38" s="43">
        <f t="shared" si="6"/>
        <v>3000000</v>
      </c>
      <c r="W38" s="5"/>
      <c r="X38" s="5"/>
      <c r="Y38" s="2" t="str">
        <f t="shared" si="8"/>
        <v/>
      </c>
    </row>
    <row r="39" spans="3:25" x14ac:dyDescent="0.2">
      <c r="L39" s="2">
        <v>33</v>
      </c>
      <c r="P39" s="43">
        <f t="shared" ref="P39:Q39" si="10">P38</f>
        <v>500000</v>
      </c>
      <c r="Q39" s="43">
        <f t="shared" si="10"/>
        <v>500000</v>
      </c>
      <c r="R39" s="43">
        <f t="shared" si="6"/>
        <v>3000000</v>
      </c>
      <c r="W39" s="5"/>
      <c r="X39" s="5"/>
      <c r="Y39" s="2" t="str">
        <f t="shared" si="8"/>
        <v/>
      </c>
    </row>
    <row r="40" spans="3:25" x14ac:dyDescent="0.2">
      <c r="L40" s="2">
        <v>34</v>
      </c>
      <c r="P40" s="43">
        <f t="shared" ref="P40:Q40" si="11">P39</f>
        <v>500000</v>
      </c>
      <c r="Q40" s="43">
        <f t="shared" si="11"/>
        <v>500000</v>
      </c>
      <c r="R40" s="43">
        <f t="shared" si="6"/>
        <v>3000000</v>
      </c>
      <c r="W40" s="5"/>
      <c r="X40" s="5"/>
      <c r="Y40" s="2" t="str">
        <f t="shared" si="8"/>
        <v/>
      </c>
    </row>
    <row r="41" spans="3:25" x14ac:dyDescent="0.2">
      <c r="L41" s="2">
        <v>35</v>
      </c>
      <c r="P41" s="43">
        <f t="shared" ref="P41:Q41" si="12">P40</f>
        <v>500000</v>
      </c>
      <c r="Q41" s="43">
        <f t="shared" si="12"/>
        <v>500000</v>
      </c>
      <c r="R41" s="43">
        <f t="shared" si="6"/>
        <v>3000000</v>
      </c>
      <c r="W41" s="5"/>
      <c r="X41" s="5"/>
      <c r="Y41" s="2" t="str">
        <f t="shared" si="8"/>
        <v/>
      </c>
    </row>
    <row r="42" spans="3:25" x14ac:dyDescent="0.2">
      <c r="C42" s="4"/>
      <c r="L42" s="2">
        <v>36</v>
      </c>
      <c r="P42" s="43">
        <f t="shared" ref="P42:Q42" si="13">P41</f>
        <v>500000</v>
      </c>
      <c r="Q42" s="43">
        <f t="shared" si="13"/>
        <v>500000</v>
      </c>
      <c r="R42" s="43">
        <f t="shared" si="6"/>
        <v>3000000</v>
      </c>
      <c r="W42" s="5"/>
      <c r="X42" s="5"/>
      <c r="Y42" s="2" t="str">
        <f t="shared" si="8"/>
        <v/>
      </c>
    </row>
    <row r="43" spans="3:25" x14ac:dyDescent="0.2">
      <c r="C43" s="4"/>
      <c r="L43" s="2">
        <v>37</v>
      </c>
      <c r="P43" s="43">
        <f t="shared" ref="P43:Q43" si="14">P42</f>
        <v>500000</v>
      </c>
      <c r="Q43" s="43">
        <f t="shared" si="14"/>
        <v>500000</v>
      </c>
      <c r="R43" s="43">
        <f t="shared" si="6"/>
        <v>3000000</v>
      </c>
      <c r="W43" s="5"/>
      <c r="X43" s="5"/>
      <c r="Y43" s="2" t="str">
        <f t="shared" si="8"/>
        <v/>
      </c>
    </row>
    <row r="44" spans="3:25" x14ac:dyDescent="0.2">
      <c r="C44" s="4"/>
      <c r="L44" s="2">
        <v>38</v>
      </c>
      <c r="P44" s="43">
        <f t="shared" ref="P44:Q44" si="15">P43</f>
        <v>500000</v>
      </c>
      <c r="Q44" s="43">
        <f t="shared" si="15"/>
        <v>500000</v>
      </c>
      <c r="R44" s="43">
        <f t="shared" si="6"/>
        <v>3000000</v>
      </c>
      <c r="W44" s="5"/>
      <c r="X44" s="5"/>
      <c r="Y44" s="2" t="str">
        <f t="shared" si="8"/>
        <v/>
      </c>
    </row>
    <row r="45" spans="3:25" x14ac:dyDescent="0.2">
      <c r="C45" s="4"/>
      <c r="L45" s="2">
        <v>39</v>
      </c>
      <c r="P45" s="43">
        <f t="shared" ref="P45:Q45" si="16">P44</f>
        <v>500000</v>
      </c>
      <c r="Q45" s="43">
        <f t="shared" si="16"/>
        <v>500000</v>
      </c>
      <c r="R45" s="43">
        <f t="shared" si="6"/>
        <v>3000000</v>
      </c>
      <c r="W45" s="5"/>
      <c r="X45" s="5"/>
      <c r="Y45" s="2" t="str">
        <f t="shared" si="8"/>
        <v/>
      </c>
    </row>
    <row r="46" spans="3:25" x14ac:dyDescent="0.2">
      <c r="C46" s="4"/>
      <c r="L46" s="2">
        <v>40</v>
      </c>
      <c r="P46" s="43">
        <f t="shared" ref="P46:Q46" si="17">P45</f>
        <v>500000</v>
      </c>
      <c r="Q46" s="43">
        <f t="shared" si="17"/>
        <v>500000</v>
      </c>
      <c r="R46" s="43">
        <f t="shared" si="6"/>
        <v>3000000</v>
      </c>
      <c r="W46" s="5"/>
      <c r="X46" s="5"/>
      <c r="Y46" s="2" t="str">
        <f t="shared" si="8"/>
        <v/>
      </c>
    </row>
    <row r="47" spans="3:25" x14ac:dyDescent="0.2">
      <c r="C47" s="4"/>
      <c r="L47" s="2">
        <v>41</v>
      </c>
      <c r="P47" s="43">
        <f t="shared" ref="P47:Q47" si="18">P46</f>
        <v>500000</v>
      </c>
      <c r="Q47" s="43">
        <f t="shared" si="18"/>
        <v>500000</v>
      </c>
      <c r="R47" s="43">
        <f t="shared" si="6"/>
        <v>3000000</v>
      </c>
      <c r="W47" s="5"/>
      <c r="X47" s="5"/>
      <c r="Y47" s="2" t="str">
        <f t="shared" si="8"/>
        <v/>
      </c>
    </row>
    <row r="48" spans="3:25" x14ac:dyDescent="0.2">
      <c r="C48" s="4"/>
      <c r="L48" s="2">
        <v>42</v>
      </c>
      <c r="P48" s="43">
        <f t="shared" ref="P48:Q48" si="19">P47</f>
        <v>500000</v>
      </c>
      <c r="Q48" s="43">
        <f t="shared" si="19"/>
        <v>500000</v>
      </c>
      <c r="R48" s="43">
        <f t="shared" si="6"/>
        <v>3000000</v>
      </c>
      <c r="W48" s="5"/>
      <c r="X48" s="5"/>
      <c r="Y48" s="2" t="str">
        <f t="shared" si="8"/>
        <v/>
      </c>
    </row>
    <row r="49" spans="3:25" x14ac:dyDescent="0.2">
      <c r="C49" s="4"/>
      <c r="L49" s="2">
        <v>43</v>
      </c>
      <c r="P49" s="43">
        <f t="shared" ref="P49:Q49" si="20">P48</f>
        <v>500000</v>
      </c>
      <c r="Q49" s="43">
        <f t="shared" si="20"/>
        <v>500000</v>
      </c>
      <c r="R49" s="43">
        <f t="shared" si="6"/>
        <v>3000000</v>
      </c>
      <c r="W49" s="5"/>
      <c r="X49" s="5"/>
      <c r="Y49" s="2" t="str">
        <f t="shared" si="8"/>
        <v/>
      </c>
    </row>
    <row r="50" spans="3:25" x14ac:dyDescent="0.2">
      <c r="C50" s="4"/>
      <c r="L50" s="2">
        <v>44</v>
      </c>
      <c r="P50" s="43">
        <f t="shared" ref="P50:Q50" si="21">P49</f>
        <v>500000</v>
      </c>
      <c r="Q50" s="43">
        <f t="shared" si="21"/>
        <v>500000</v>
      </c>
      <c r="R50" s="43">
        <f t="shared" si="6"/>
        <v>3000000</v>
      </c>
      <c r="W50" s="5"/>
      <c r="X50" s="5"/>
      <c r="Y50" s="2" t="str">
        <f t="shared" si="8"/>
        <v/>
      </c>
    </row>
    <row r="51" spans="3:25" x14ac:dyDescent="0.2">
      <c r="C51" s="4"/>
      <c r="L51" s="2">
        <v>45</v>
      </c>
      <c r="P51" s="43">
        <f t="shared" ref="P51:Q51" si="22">P50</f>
        <v>500000</v>
      </c>
      <c r="Q51" s="43">
        <f t="shared" si="22"/>
        <v>500000</v>
      </c>
      <c r="R51" s="43">
        <f t="shared" si="6"/>
        <v>3000000</v>
      </c>
      <c r="W51" s="5"/>
      <c r="X51" s="5"/>
      <c r="Y51" s="2" t="str">
        <f t="shared" si="8"/>
        <v/>
      </c>
    </row>
    <row r="52" spans="3:25" x14ac:dyDescent="0.2">
      <c r="C52" s="4"/>
      <c r="L52" s="2">
        <v>46</v>
      </c>
      <c r="P52" s="43">
        <f t="shared" ref="P52:Q52" si="23">P51</f>
        <v>500000</v>
      </c>
      <c r="Q52" s="43">
        <f t="shared" si="23"/>
        <v>500000</v>
      </c>
      <c r="R52" s="43">
        <f t="shared" si="6"/>
        <v>3000000</v>
      </c>
      <c r="W52" s="5"/>
      <c r="X52" s="5"/>
      <c r="Y52" s="2" t="str">
        <f t="shared" si="8"/>
        <v/>
      </c>
    </row>
    <row r="53" spans="3:25" x14ac:dyDescent="0.2">
      <c r="C53" s="4"/>
      <c r="L53" s="2">
        <v>47</v>
      </c>
      <c r="P53" s="43">
        <f t="shared" ref="P53:Q53" si="24">P52</f>
        <v>500000</v>
      </c>
      <c r="Q53" s="43">
        <f t="shared" si="24"/>
        <v>500000</v>
      </c>
      <c r="R53" s="43">
        <f t="shared" si="6"/>
        <v>3000000</v>
      </c>
      <c r="W53" s="5"/>
      <c r="X53" s="5"/>
      <c r="Y53" s="2" t="str">
        <f t="shared" si="8"/>
        <v/>
      </c>
    </row>
    <row r="54" spans="3:25" x14ac:dyDescent="0.2">
      <c r="C54" s="4"/>
      <c r="L54" s="2">
        <v>48</v>
      </c>
      <c r="P54" s="43">
        <f t="shared" ref="P54:Q54" si="25">P53</f>
        <v>500000</v>
      </c>
      <c r="Q54" s="43">
        <f t="shared" si="25"/>
        <v>500000</v>
      </c>
      <c r="R54" s="43">
        <f t="shared" si="6"/>
        <v>3000000</v>
      </c>
      <c r="W54" s="5"/>
      <c r="X54" s="5"/>
      <c r="Y54" s="2" t="str">
        <f t="shared" si="8"/>
        <v/>
      </c>
    </row>
    <row r="55" spans="3:25" x14ac:dyDescent="0.2">
      <c r="C55" s="4"/>
      <c r="L55" s="2">
        <v>49</v>
      </c>
      <c r="P55" s="43">
        <f t="shared" ref="P55:Q55" si="26">P54</f>
        <v>500000</v>
      </c>
      <c r="Q55" s="43">
        <f t="shared" si="26"/>
        <v>500000</v>
      </c>
      <c r="R55" s="43">
        <f t="shared" si="6"/>
        <v>3000000</v>
      </c>
      <c r="W55" s="5"/>
      <c r="X55" s="5"/>
      <c r="Y55" s="2" t="str">
        <f t="shared" si="8"/>
        <v/>
      </c>
    </row>
    <row r="56" spans="3:25" x14ac:dyDescent="0.2">
      <c r="C56" s="4"/>
      <c r="L56" s="2">
        <v>50</v>
      </c>
      <c r="P56" s="43">
        <f t="shared" ref="P56:Q56" si="27">P55</f>
        <v>500000</v>
      </c>
      <c r="Q56" s="43">
        <f t="shared" si="27"/>
        <v>500000</v>
      </c>
      <c r="R56" s="43">
        <f t="shared" si="6"/>
        <v>3000000</v>
      </c>
      <c r="W56" s="5"/>
      <c r="X56" s="5"/>
      <c r="Y56" s="2" t="str">
        <f t="shared" si="8"/>
        <v/>
      </c>
    </row>
    <row r="57" spans="3:25" x14ac:dyDescent="0.2">
      <c r="C57" s="4"/>
      <c r="L57" s="2">
        <v>51</v>
      </c>
      <c r="P57" s="43">
        <f t="shared" ref="P57:Q57" si="28">P56</f>
        <v>500000</v>
      </c>
      <c r="Q57" s="43">
        <f t="shared" si="28"/>
        <v>500000</v>
      </c>
      <c r="R57" s="43">
        <f t="shared" si="6"/>
        <v>3000000</v>
      </c>
      <c r="W57" s="5"/>
      <c r="X57" s="5"/>
      <c r="Y57" s="2" t="str">
        <f t="shared" si="8"/>
        <v/>
      </c>
    </row>
    <row r="58" spans="3:25" x14ac:dyDescent="0.2">
      <c r="C58" s="4"/>
      <c r="L58" s="2">
        <v>52</v>
      </c>
      <c r="P58" s="43">
        <f t="shared" ref="P58:Q58" si="29">P57</f>
        <v>500000</v>
      </c>
      <c r="Q58" s="43">
        <f t="shared" si="29"/>
        <v>500000</v>
      </c>
      <c r="R58" s="43">
        <f t="shared" si="6"/>
        <v>3000000</v>
      </c>
      <c r="W58" s="5"/>
      <c r="X58" s="5"/>
      <c r="Y58" s="2" t="str">
        <f t="shared" si="8"/>
        <v/>
      </c>
    </row>
    <row r="59" spans="3:25" x14ac:dyDescent="0.2">
      <c r="C59" s="4"/>
      <c r="L59" s="2">
        <v>53</v>
      </c>
      <c r="P59" s="43">
        <f t="shared" ref="P59:Q59" si="30">P58</f>
        <v>500000</v>
      </c>
      <c r="Q59" s="43">
        <f t="shared" si="30"/>
        <v>500000</v>
      </c>
      <c r="R59" s="43">
        <f t="shared" si="6"/>
        <v>3000000</v>
      </c>
      <c r="W59" s="5"/>
      <c r="X59" s="5"/>
      <c r="Y59" s="2" t="str">
        <f t="shared" si="8"/>
        <v/>
      </c>
    </row>
    <row r="60" spans="3:25" x14ac:dyDescent="0.2">
      <c r="C60" s="4"/>
      <c r="L60" s="2">
        <v>54</v>
      </c>
      <c r="P60" s="43">
        <f t="shared" ref="P60:Q60" si="31">P59</f>
        <v>500000</v>
      </c>
      <c r="Q60" s="43">
        <f t="shared" si="31"/>
        <v>500000</v>
      </c>
      <c r="R60" s="43">
        <f t="shared" si="6"/>
        <v>3000000</v>
      </c>
      <c r="W60" s="5"/>
      <c r="X60" s="5"/>
      <c r="Y60" s="2" t="str">
        <f t="shared" si="8"/>
        <v/>
      </c>
    </row>
    <row r="61" spans="3:25" x14ac:dyDescent="0.2">
      <c r="C61" s="4"/>
      <c r="L61" s="2">
        <v>55</v>
      </c>
      <c r="P61" s="43">
        <f t="shared" ref="P61:Q61" si="32">P60</f>
        <v>500000</v>
      </c>
      <c r="Q61" s="43">
        <f t="shared" si="32"/>
        <v>500000</v>
      </c>
      <c r="R61" s="43">
        <f t="shared" si="6"/>
        <v>3000000</v>
      </c>
      <c r="W61" s="5"/>
      <c r="X61" s="5"/>
      <c r="Y61" s="2" t="str">
        <f t="shared" si="8"/>
        <v/>
      </c>
    </row>
    <row r="62" spans="3:25" x14ac:dyDescent="0.2">
      <c r="C62" s="4"/>
      <c r="L62" s="2">
        <v>56</v>
      </c>
      <c r="P62" s="43">
        <f t="shared" ref="P62:Q62" si="33">P61</f>
        <v>500000</v>
      </c>
      <c r="Q62" s="43">
        <f t="shared" si="33"/>
        <v>500000</v>
      </c>
      <c r="R62" s="43">
        <f t="shared" si="6"/>
        <v>3000000</v>
      </c>
      <c r="W62" s="5"/>
      <c r="X62" s="5"/>
      <c r="Y62" s="2" t="str">
        <f t="shared" si="8"/>
        <v/>
      </c>
    </row>
    <row r="63" spans="3:25" x14ac:dyDescent="0.2">
      <c r="C63" s="4"/>
      <c r="L63" s="2">
        <v>57</v>
      </c>
      <c r="P63" s="43">
        <f t="shared" ref="P63:Q63" si="34">P62</f>
        <v>500000</v>
      </c>
      <c r="Q63" s="43">
        <f t="shared" si="34"/>
        <v>500000</v>
      </c>
      <c r="R63" s="43">
        <f t="shared" si="6"/>
        <v>3000000</v>
      </c>
      <c r="W63" s="5"/>
      <c r="X63" s="5"/>
      <c r="Y63" s="2" t="str">
        <f t="shared" si="8"/>
        <v/>
      </c>
    </row>
    <row r="64" spans="3:25" x14ac:dyDescent="0.2">
      <c r="C64" s="4"/>
      <c r="L64" s="2">
        <v>58</v>
      </c>
      <c r="P64" s="43">
        <f t="shared" ref="P64:Q64" si="35">P63</f>
        <v>500000</v>
      </c>
      <c r="Q64" s="43">
        <f t="shared" si="35"/>
        <v>500000</v>
      </c>
      <c r="R64" s="43">
        <f t="shared" si="6"/>
        <v>3000000</v>
      </c>
      <c r="W64" s="5"/>
      <c r="X64" s="5"/>
      <c r="Y64" s="2" t="str">
        <f t="shared" si="8"/>
        <v/>
      </c>
    </row>
    <row r="65" spans="3:25" x14ac:dyDescent="0.2">
      <c r="C65" s="4"/>
      <c r="L65" s="2">
        <v>59</v>
      </c>
      <c r="P65" s="43">
        <f t="shared" ref="P65:Q65" si="36">P64</f>
        <v>500000</v>
      </c>
      <c r="Q65" s="43">
        <f t="shared" si="36"/>
        <v>500000</v>
      </c>
      <c r="R65" s="43">
        <f t="shared" si="6"/>
        <v>3000000</v>
      </c>
      <c r="W65" s="5"/>
      <c r="X65" s="5"/>
      <c r="Y65" s="2" t="str">
        <f t="shared" si="8"/>
        <v/>
      </c>
    </row>
    <row r="66" spans="3:25" x14ac:dyDescent="0.2">
      <c r="C66" s="4"/>
      <c r="L66" s="2">
        <v>60</v>
      </c>
      <c r="P66" s="43">
        <f t="shared" ref="P66:Q66" si="37">P65</f>
        <v>500000</v>
      </c>
      <c r="Q66" s="43">
        <f t="shared" si="37"/>
        <v>500000</v>
      </c>
      <c r="R66" s="43">
        <f t="shared" si="6"/>
        <v>3000000</v>
      </c>
      <c r="W66" s="5"/>
      <c r="X66" s="5"/>
      <c r="Y66" s="2" t="str">
        <f t="shared" si="8"/>
        <v/>
      </c>
    </row>
    <row r="67" spans="3:25" x14ac:dyDescent="0.2">
      <c r="C67" s="4"/>
      <c r="L67" s="2">
        <v>61</v>
      </c>
      <c r="P67" s="43">
        <f t="shared" ref="P67:Q67" si="38">P66</f>
        <v>500000</v>
      </c>
      <c r="Q67" s="43">
        <f t="shared" si="38"/>
        <v>500000</v>
      </c>
      <c r="R67" s="43">
        <f t="shared" si="6"/>
        <v>3000000</v>
      </c>
      <c r="W67" s="5"/>
      <c r="X67" s="5"/>
      <c r="Y67" s="2" t="str">
        <f t="shared" si="8"/>
        <v/>
      </c>
    </row>
    <row r="68" spans="3:25" x14ac:dyDescent="0.2">
      <c r="C68" s="4"/>
      <c r="L68" s="2">
        <v>62</v>
      </c>
      <c r="P68" s="43">
        <f t="shared" ref="P68:Q68" si="39">P67</f>
        <v>500000</v>
      </c>
      <c r="Q68" s="43">
        <f t="shared" si="39"/>
        <v>500000</v>
      </c>
      <c r="R68" s="43">
        <f t="shared" si="6"/>
        <v>3000000</v>
      </c>
      <c r="W68" s="5"/>
      <c r="X68" s="5"/>
      <c r="Y68" s="2" t="str">
        <f t="shared" si="8"/>
        <v/>
      </c>
    </row>
    <row r="69" spans="3:25" x14ac:dyDescent="0.2">
      <c r="C69" s="4"/>
      <c r="L69" s="2">
        <v>63</v>
      </c>
      <c r="P69" s="43">
        <f t="shared" ref="P69:Q69" si="40">P68</f>
        <v>500000</v>
      </c>
      <c r="Q69" s="43">
        <f t="shared" si="40"/>
        <v>500000</v>
      </c>
      <c r="R69" s="43">
        <f t="shared" si="6"/>
        <v>3000000</v>
      </c>
      <c r="W69" s="5"/>
      <c r="X69" s="5"/>
      <c r="Y69" s="2" t="str">
        <f t="shared" ref="Y69:Y86" si="41">IF(T69="","",求节点($B$6:$B$24,$C$6:$C$24,T69/U69*3600))</f>
        <v/>
      </c>
    </row>
    <row r="70" spans="3:25" x14ac:dyDescent="0.2">
      <c r="C70" s="4"/>
      <c r="L70" s="2">
        <v>64</v>
      </c>
      <c r="P70" s="43">
        <f t="shared" ref="P70:Q70" si="42">P69</f>
        <v>500000</v>
      </c>
      <c r="Q70" s="43">
        <f t="shared" si="42"/>
        <v>500000</v>
      </c>
      <c r="R70" s="43">
        <f t="shared" si="6"/>
        <v>3000000</v>
      </c>
      <c r="W70" s="5"/>
      <c r="X70" s="5"/>
      <c r="Y70" s="2" t="str">
        <f t="shared" si="41"/>
        <v/>
      </c>
    </row>
    <row r="71" spans="3:25" x14ac:dyDescent="0.2">
      <c r="C71" s="4"/>
      <c r="L71" s="2">
        <v>65</v>
      </c>
      <c r="P71" s="43">
        <f t="shared" ref="P71:Q71" si="43">P70</f>
        <v>500000</v>
      </c>
      <c r="Q71" s="43">
        <f t="shared" si="43"/>
        <v>500000</v>
      </c>
      <c r="R71" s="43">
        <f t="shared" si="6"/>
        <v>3000000</v>
      </c>
      <c r="W71" s="5"/>
      <c r="X71" s="5"/>
      <c r="Y71" s="2" t="str">
        <f t="shared" si="41"/>
        <v/>
      </c>
    </row>
    <row r="72" spans="3:25" x14ac:dyDescent="0.2">
      <c r="C72" s="4"/>
      <c r="L72" s="2">
        <v>66</v>
      </c>
      <c r="P72" s="43">
        <f t="shared" ref="P72:Q72" si="44">P71</f>
        <v>500000</v>
      </c>
      <c r="Q72" s="43">
        <f t="shared" si="44"/>
        <v>500000</v>
      </c>
      <c r="R72" s="43">
        <f t="shared" si="6"/>
        <v>3000000</v>
      </c>
      <c r="W72" s="5"/>
      <c r="X72" s="5"/>
      <c r="Y72" s="2" t="str">
        <f t="shared" si="41"/>
        <v/>
      </c>
    </row>
    <row r="73" spans="3:25" x14ac:dyDescent="0.2">
      <c r="C73" s="4"/>
      <c r="L73" s="2">
        <v>67</v>
      </c>
      <c r="P73" s="43">
        <f t="shared" ref="P73:Q73" si="45">P72</f>
        <v>500000</v>
      </c>
      <c r="Q73" s="43">
        <f t="shared" si="45"/>
        <v>500000</v>
      </c>
      <c r="R73" s="43">
        <f t="shared" si="6"/>
        <v>3000000</v>
      </c>
      <c r="W73" s="5"/>
      <c r="X73" s="5"/>
      <c r="Y73" s="2" t="str">
        <f t="shared" si="41"/>
        <v/>
      </c>
    </row>
    <row r="74" spans="3:25" x14ac:dyDescent="0.2">
      <c r="C74" s="4"/>
      <c r="L74" s="2">
        <v>68</v>
      </c>
      <c r="P74" s="43">
        <f t="shared" ref="P74:Q74" si="46">P73</f>
        <v>500000</v>
      </c>
      <c r="Q74" s="43">
        <f t="shared" si="46"/>
        <v>500000</v>
      </c>
      <c r="R74" s="43">
        <f t="shared" si="6"/>
        <v>3000000</v>
      </c>
      <c r="W74" s="5"/>
      <c r="X74" s="5"/>
      <c r="Y74" s="2" t="str">
        <f t="shared" si="41"/>
        <v/>
      </c>
    </row>
    <row r="75" spans="3:25" x14ac:dyDescent="0.2">
      <c r="C75" s="4"/>
      <c r="L75" s="2">
        <v>69</v>
      </c>
      <c r="P75" s="43">
        <f t="shared" ref="P75:Q75" si="47">P74</f>
        <v>500000</v>
      </c>
      <c r="Q75" s="43">
        <f t="shared" si="47"/>
        <v>500000</v>
      </c>
      <c r="R75" s="43">
        <f t="shared" si="6"/>
        <v>3000000</v>
      </c>
      <c r="W75" s="5"/>
      <c r="X75" s="5"/>
      <c r="Y75" s="2" t="str">
        <f t="shared" si="41"/>
        <v/>
      </c>
    </row>
    <row r="76" spans="3:25" x14ac:dyDescent="0.2">
      <c r="C76" s="4"/>
      <c r="L76" s="2">
        <v>70</v>
      </c>
      <c r="P76" s="43">
        <f t="shared" ref="P76:Q76" si="48">P75</f>
        <v>500000</v>
      </c>
      <c r="Q76" s="43">
        <f t="shared" si="48"/>
        <v>500000</v>
      </c>
      <c r="R76" s="43">
        <f t="shared" si="6"/>
        <v>3000000</v>
      </c>
      <c r="W76" s="5"/>
      <c r="X76" s="5"/>
      <c r="Y76" s="2" t="str">
        <f t="shared" si="41"/>
        <v/>
      </c>
    </row>
    <row r="77" spans="3:25" x14ac:dyDescent="0.2">
      <c r="C77" s="4"/>
      <c r="L77" s="2">
        <v>71</v>
      </c>
      <c r="P77" s="43">
        <f t="shared" ref="P77:Q77" si="49">P76</f>
        <v>500000</v>
      </c>
      <c r="Q77" s="43">
        <f t="shared" si="49"/>
        <v>500000</v>
      </c>
      <c r="R77" s="43">
        <f t="shared" si="6"/>
        <v>3000000</v>
      </c>
      <c r="W77" s="5"/>
      <c r="X77" s="5"/>
      <c r="Y77" s="2" t="str">
        <f t="shared" si="41"/>
        <v/>
      </c>
    </row>
    <row r="78" spans="3:25" x14ac:dyDescent="0.2">
      <c r="C78" s="4"/>
      <c r="L78" s="2">
        <v>72</v>
      </c>
      <c r="P78" s="43">
        <f t="shared" ref="P78:Q78" si="50">P77</f>
        <v>500000</v>
      </c>
      <c r="Q78" s="43">
        <f t="shared" si="50"/>
        <v>500000</v>
      </c>
      <c r="R78" s="43">
        <f t="shared" si="6"/>
        <v>3000000</v>
      </c>
      <c r="W78" s="5"/>
      <c r="X78" s="5"/>
      <c r="Y78" s="2" t="str">
        <f t="shared" si="41"/>
        <v/>
      </c>
    </row>
    <row r="79" spans="3:25" x14ac:dyDescent="0.2">
      <c r="C79" s="4"/>
      <c r="L79" s="2">
        <v>73</v>
      </c>
      <c r="P79" s="43">
        <f t="shared" ref="P79:Q79" si="51">P78</f>
        <v>500000</v>
      </c>
      <c r="Q79" s="43">
        <f t="shared" si="51"/>
        <v>500000</v>
      </c>
      <c r="R79" s="43">
        <f t="shared" si="6"/>
        <v>3000000</v>
      </c>
      <c r="W79" s="5"/>
      <c r="X79" s="5"/>
      <c r="Y79" s="2" t="str">
        <f t="shared" si="41"/>
        <v/>
      </c>
    </row>
    <row r="80" spans="3:25" x14ac:dyDescent="0.2">
      <c r="C80" s="4"/>
      <c r="L80" s="2">
        <v>74</v>
      </c>
      <c r="P80" s="43">
        <f t="shared" ref="P80:Q80" si="52">P79</f>
        <v>500000</v>
      </c>
      <c r="Q80" s="43">
        <f t="shared" si="52"/>
        <v>500000</v>
      </c>
      <c r="R80" s="43">
        <f t="shared" si="6"/>
        <v>3000000</v>
      </c>
      <c r="W80" s="5"/>
      <c r="X80" s="5"/>
      <c r="Y80" s="2" t="str">
        <f t="shared" si="41"/>
        <v/>
      </c>
    </row>
    <row r="81" spans="3:25" x14ac:dyDescent="0.2">
      <c r="C81" s="4"/>
      <c r="L81" s="2">
        <v>75</v>
      </c>
      <c r="P81" s="43">
        <f t="shared" ref="P81:Q81" si="53">P80</f>
        <v>500000</v>
      </c>
      <c r="Q81" s="43">
        <f t="shared" si="53"/>
        <v>500000</v>
      </c>
      <c r="R81" s="43">
        <f t="shared" si="6"/>
        <v>3000000</v>
      </c>
      <c r="W81" s="5"/>
      <c r="X81" s="5"/>
      <c r="Y81" s="2" t="str">
        <f t="shared" si="41"/>
        <v/>
      </c>
    </row>
    <row r="82" spans="3:25" x14ac:dyDescent="0.2">
      <c r="C82" s="4"/>
      <c r="L82" s="2">
        <v>76</v>
      </c>
      <c r="P82" s="43">
        <f t="shared" ref="P82:Q82" si="54">P81</f>
        <v>500000</v>
      </c>
      <c r="Q82" s="43">
        <f t="shared" si="54"/>
        <v>500000</v>
      </c>
      <c r="R82" s="43">
        <f t="shared" si="6"/>
        <v>3000000</v>
      </c>
      <c r="W82" s="5"/>
      <c r="X82" s="5"/>
      <c r="Y82" s="2" t="str">
        <f t="shared" si="41"/>
        <v/>
      </c>
    </row>
    <row r="83" spans="3:25" x14ac:dyDescent="0.2">
      <c r="C83" s="4"/>
      <c r="L83" s="2">
        <v>77</v>
      </c>
      <c r="P83" s="43">
        <f t="shared" ref="P83:Q83" si="55">P82</f>
        <v>500000</v>
      </c>
      <c r="Q83" s="43">
        <f t="shared" si="55"/>
        <v>500000</v>
      </c>
      <c r="R83" s="43">
        <f t="shared" si="6"/>
        <v>3000000</v>
      </c>
      <c r="W83" s="5"/>
      <c r="X83" s="5"/>
      <c r="Y83" s="2" t="str">
        <f t="shared" si="41"/>
        <v/>
      </c>
    </row>
    <row r="84" spans="3:25" x14ac:dyDescent="0.2">
      <c r="C84" s="4"/>
      <c r="L84" s="2">
        <v>78</v>
      </c>
      <c r="P84" s="43">
        <f t="shared" ref="P84:Q84" si="56">P83</f>
        <v>500000</v>
      </c>
      <c r="Q84" s="43">
        <f t="shared" si="56"/>
        <v>500000</v>
      </c>
      <c r="R84" s="43">
        <f t="shared" si="6"/>
        <v>3000000</v>
      </c>
      <c r="W84" s="5"/>
      <c r="X84" s="5"/>
      <c r="Y84" s="2" t="str">
        <f t="shared" si="41"/>
        <v/>
      </c>
    </row>
    <row r="85" spans="3:25" x14ac:dyDescent="0.2">
      <c r="C85" s="4"/>
      <c r="L85" s="2">
        <v>79</v>
      </c>
      <c r="P85" s="43">
        <f t="shared" ref="P85:Q85" si="57">P84</f>
        <v>500000</v>
      </c>
      <c r="Q85" s="43">
        <f t="shared" si="57"/>
        <v>500000</v>
      </c>
      <c r="R85" s="43">
        <f t="shared" si="6"/>
        <v>3000000</v>
      </c>
      <c r="W85" s="5"/>
      <c r="X85" s="5"/>
      <c r="Y85" s="2" t="str">
        <f t="shared" si="41"/>
        <v/>
      </c>
    </row>
    <row r="86" spans="3:25" x14ac:dyDescent="0.2">
      <c r="C86" s="4"/>
      <c r="L86" s="2">
        <v>80</v>
      </c>
      <c r="P86" s="43">
        <f t="shared" ref="P86:Q86" si="58">P85</f>
        <v>500000</v>
      </c>
      <c r="Q86" s="43">
        <f t="shared" si="58"/>
        <v>500000</v>
      </c>
      <c r="R86" s="43">
        <f t="shared" si="6"/>
        <v>3000000</v>
      </c>
      <c r="W86" s="5"/>
      <c r="X86" s="5"/>
      <c r="Y86" s="2" t="str">
        <f t="shared" si="41"/>
        <v/>
      </c>
    </row>
    <row r="87" spans="3:25" x14ac:dyDescent="0.2">
      <c r="C87" s="4"/>
    </row>
    <row r="88" spans="3:25" x14ac:dyDescent="0.2">
      <c r="C88" s="4"/>
    </row>
    <row r="89" spans="3:25" x14ac:dyDescent="0.2">
      <c r="C89" s="4"/>
    </row>
    <row r="90" spans="3:25" x14ac:dyDescent="0.2">
      <c r="C90" s="4"/>
    </row>
    <row r="91" spans="3:25" x14ac:dyDescent="0.2">
      <c r="C91" s="4"/>
    </row>
    <row r="92" spans="3:25" x14ac:dyDescent="0.2">
      <c r="C92" s="4"/>
    </row>
    <row r="93" spans="3:25" x14ac:dyDescent="0.2">
      <c r="C93" s="4"/>
    </row>
    <row r="94" spans="3:25" x14ac:dyDescent="0.2">
      <c r="C94" s="4"/>
    </row>
    <row r="95" spans="3:25" x14ac:dyDescent="0.2">
      <c r="C95" s="4"/>
    </row>
    <row r="96" spans="3:25" x14ac:dyDescent="0.2">
      <c r="C96" s="4"/>
    </row>
    <row r="97" spans="3:3" x14ac:dyDescent="0.2">
      <c r="C97" s="4"/>
    </row>
    <row r="98" spans="3:3" x14ac:dyDescent="0.2">
      <c r="C98" s="4"/>
    </row>
    <row r="99" spans="3:3" x14ac:dyDescent="0.2">
      <c r="C99" s="4"/>
    </row>
    <row r="100" spans="3:3" x14ac:dyDescent="0.2">
      <c r="C100" s="4"/>
    </row>
    <row r="101" spans="3:3" x14ac:dyDescent="0.2">
      <c r="C101" s="4"/>
    </row>
    <row r="102" spans="3:3" x14ac:dyDescent="0.2">
      <c r="C102" s="4"/>
    </row>
    <row r="103" spans="3:3" x14ac:dyDescent="0.2">
      <c r="C103" s="4"/>
    </row>
    <row r="104" spans="3:3" x14ac:dyDescent="0.2">
      <c r="C104" s="4"/>
    </row>
    <row r="105" spans="3:3" x14ac:dyDescent="0.2">
      <c r="C105" s="4"/>
    </row>
    <row r="106" spans="3:3" x14ac:dyDescent="0.2">
      <c r="C106" s="4"/>
    </row>
    <row r="107" spans="3:3" x14ac:dyDescent="0.2">
      <c r="C107" s="4"/>
    </row>
    <row r="108" spans="3:3" x14ac:dyDescent="0.2">
      <c r="C108" s="4"/>
    </row>
    <row r="109" spans="3:3" x14ac:dyDescent="0.2">
      <c r="C109" s="4"/>
    </row>
    <row r="110" spans="3:3" x14ac:dyDescent="0.2">
      <c r="C110" s="4"/>
    </row>
    <row r="111" spans="3:3" x14ac:dyDescent="0.2">
      <c r="C111" s="4"/>
    </row>
    <row r="112" spans="3:3" x14ac:dyDescent="0.2">
      <c r="C112" s="4"/>
    </row>
    <row r="113" spans="3:3" x14ac:dyDescent="0.2">
      <c r="C113" s="4"/>
    </row>
    <row r="114" spans="3:3" x14ac:dyDescent="0.2">
      <c r="C114" s="4"/>
    </row>
    <row r="115" spans="3:3" x14ac:dyDescent="0.2">
      <c r="C115" s="4"/>
    </row>
    <row r="116" spans="3:3" x14ac:dyDescent="0.2">
      <c r="C116" s="4"/>
    </row>
    <row r="117" spans="3:3" x14ac:dyDescent="0.2">
      <c r="C117" s="4"/>
    </row>
    <row r="118" spans="3:3" x14ac:dyDescent="0.2">
      <c r="C118" s="4"/>
    </row>
    <row r="119" spans="3:3" x14ac:dyDescent="0.2">
      <c r="C119" s="4"/>
    </row>
    <row r="120" spans="3:3" x14ac:dyDescent="0.2">
      <c r="C120" s="4"/>
    </row>
    <row r="121" spans="3:3" x14ac:dyDescent="0.2">
      <c r="C121" s="4"/>
    </row>
    <row r="122" spans="3:3" x14ac:dyDescent="0.2">
      <c r="C122" s="4"/>
    </row>
    <row r="123" spans="3:3" x14ac:dyDescent="0.2">
      <c r="C123" s="4"/>
    </row>
    <row r="124" spans="3:3" x14ac:dyDescent="0.2">
      <c r="C124" s="4"/>
    </row>
    <row r="125" spans="3:3" x14ac:dyDescent="0.2">
      <c r="C125" s="4"/>
    </row>
    <row r="126" spans="3:3" x14ac:dyDescent="0.2">
      <c r="C126" s="4"/>
    </row>
    <row r="127" spans="3:3" x14ac:dyDescent="0.2">
      <c r="C127" s="4"/>
    </row>
    <row r="128" spans="3:3" x14ac:dyDescent="0.2">
      <c r="C128" s="4"/>
    </row>
    <row r="129" spans="3:3" x14ac:dyDescent="0.2">
      <c r="C129" s="4"/>
    </row>
    <row r="130" spans="3:3" x14ac:dyDescent="0.2">
      <c r="C130" s="4"/>
    </row>
    <row r="131" spans="3:3" x14ac:dyDescent="0.2">
      <c r="C131" s="4"/>
    </row>
    <row r="132" spans="3:3" x14ac:dyDescent="0.2">
      <c r="C132" s="4"/>
    </row>
    <row r="133" spans="3:3" x14ac:dyDescent="0.2">
      <c r="C133" s="4"/>
    </row>
    <row r="134" spans="3:3" x14ac:dyDescent="0.2">
      <c r="C134" s="4"/>
    </row>
    <row r="135" spans="3:3" x14ac:dyDescent="0.2">
      <c r="C135" s="4"/>
    </row>
    <row r="136" spans="3:3" x14ac:dyDescent="0.2">
      <c r="C136" s="4"/>
    </row>
    <row r="137" spans="3:3" x14ac:dyDescent="0.2">
      <c r="C137" s="4"/>
    </row>
    <row r="138" spans="3:3" x14ac:dyDescent="0.2">
      <c r="C138" s="4"/>
    </row>
    <row r="139" spans="3:3" x14ac:dyDescent="0.2">
      <c r="C139" s="4"/>
    </row>
    <row r="140" spans="3:3" x14ac:dyDescent="0.2">
      <c r="C140" s="4"/>
    </row>
    <row r="141" spans="3:3" x14ac:dyDescent="0.2">
      <c r="C141" s="4"/>
    </row>
    <row r="142" spans="3:3" x14ac:dyDescent="0.2">
      <c r="C142" s="4"/>
    </row>
    <row r="143" spans="3:3" x14ac:dyDescent="0.2">
      <c r="C143" s="4"/>
    </row>
    <row r="144" spans="3:3" x14ac:dyDescent="0.2">
      <c r="C144" s="4"/>
    </row>
    <row r="145" spans="3:3" x14ac:dyDescent="0.2">
      <c r="C145" s="4"/>
    </row>
    <row r="146" spans="3:3" x14ac:dyDescent="0.2">
      <c r="C146" s="4"/>
    </row>
    <row r="147" spans="3:3" x14ac:dyDescent="0.2">
      <c r="C147" s="4"/>
    </row>
    <row r="148" spans="3:3" x14ac:dyDescent="0.2">
      <c r="C148" s="4"/>
    </row>
    <row r="149" spans="3:3" x14ac:dyDescent="0.2">
      <c r="C149" s="4"/>
    </row>
    <row r="150" spans="3:3" x14ac:dyDescent="0.2">
      <c r="C150" s="4"/>
    </row>
    <row r="151" spans="3:3" x14ac:dyDescent="0.2">
      <c r="C151" s="4"/>
    </row>
    <row r="152" spans="3:3" x14ac:dyDescent="0.2">
      <c r="C152" s="4"/>
    </row>
    <row r="153" spans="3:3" x14ac:dyDescent="0.2">
      <c r="C153" s="4"/>
    </row>
    <row r="154" spans="3:3" x14ac:dyDescent="0.2">
      <c r="C154" s="4"/>
    </row>
    <row r="155" spans="3:3" x14ac:dyDescent="0.2">
      <c r="C155" s="4"/>
    </row>
    <row r="156" spans="3:3" x14ac:dyDescent="0.2">
      <c r="C156" s="4"/>
    </row>
    <row r="157" spans="3:3" x14ac:dyDescent="0.2">
      <c r="C157" s="4"/>
    </row>
    <row r="158" spans="3:3" x14ac:dyDescent="0.2">
      <c r="C158" s="4"/>
    </row>
    <row r="159" spans="3:3" x14ac:dyDescent="0.2">
      <c r="C159" s="4"/>
    </row>
    <row r="160" spans="3:3" x14ac:dyDescent="0.2">
      <c r="C160" s="4"/>
    </row>
    <row r="161" spans="3:3" x14ac:dyDescent="0.2">
      <c r="C161" s="4"/>
    </row>
  </sheetData>
  <mergeCells count="1">
    <mergeCell ref="M5:R5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V31"/>
  <sheetViews>
    <sheetView workbookViewId="0">
      <selection activeCell="R22" sqref="R22"/>
    </sheetView>
  </sheetViews>
  <sheetFormatPr defaultRowHeight="11.25" x14ac:dyDescent="0.15"/>
  <cols>
    <col min="1" max="7" width="9" style="9"/>
    <col min="8" max="8" width="5.75" style="29" customWidth="1"/>
    <col min="9" max="16384" width="9" style="9"/>
  </cols>
  <sheetData>
    <row r="1" spans="1:22" x14ac:dyDescent="0.15">
      <c r="A1" s="9" t="s">
        <v>131</v>
      </c>
      <c r="J1" s="9" t="s">
        <v>132</v>
      </c>
    </row>
    <row r="2" spans="1:22" x14ac:dyDescent="0.15">
      <c r="C2" s="67" t="s">
        <v>8</v>
      </c>
      <c r="D2" s="67"/>
      <c r="K2" s="9" t="s">
        <v>146</v>
      </c>
    </row>
    <row r="3" spans="1:22" x14ac:dyDescent="0.15">
      <c r="C3" s="30" t="s">
        <v>1</v>
      </c>
      <c r="D3" s="30" t="s">
        <v>2</v>
      </c>
      <c r="L3" s="10" t="s">
        <v>133</v>
      </c>
      <c r="M3" s="2">
        <v>2</v>
      </c>
    </row>
    <row r="4" spans="1:22" x14ac:dyDescent="0.15">
      <c r="C4" s="30" t="s">
        <v>119</v>
      </c>
      <c r="D4" s="30">
        <v>10</v>
      </c>
      <c r="L4" s="10" t="s">
        <v>134</v>
      </c>
      <c r="M4" s="2">
        <v>2</v>
      </c>
    </row>
    <row r="5" spans="1:22" x14ac:dyDescent="0.15">
      <c r="C5" s="30" t="s">
        <v>3</v>
      </c>
      <c r="D5" s="30">
        <v>20</v>
      </c>
      <c r="L5" s="10" t="s">
        <v>141</v>
      </c>
      <c r="M5" s="2">
        <v>5</v>
      </c>
    </row>
    <row r="6" spans="1:22" x14ac:dyDescent="0.15">
      <c r="C6" s="30" t="s">
        <v>4</v>
      </c>
      <c r="D6" s="30">
        <v>20</v>
      </c>
      <c r="L6" s="17" t="s">
        <v>142</v>
      </c>
      <c r="M6" s="2">
        <v>3</v>
      </c>
      <c r="N6" s="2"/>
    </row>
    <row r="7" spans="1:22" x14ac:dyDescent="0.15">
      <c r="C7" s="30" t="s">
        <v>5</v>
      </c>
      <c r="D7" s="30">
        <v>5</v>
      </c>
      <c r="U7" s="61" t="s">
        <v>147</v>
      </c>
      <c r="V7" s="61"/>
    </row>
    <row r="8" spans="1:22" x14ac:dyDescent="0.15">
      <c r="C8" s="30" t="s">
        <v>6</v>
      </c>
      <c r="D8" s="30">
        <v>20</v>
      </c>
      <c r="L8" s="31" t="s">
        <v>135</v>
      </c>
      <c r="M8" s="31" t="s">
        <v>136</v>
      </c>
      <c r="N8" s="32" t="s">
        <v>137</v>
      </c>
      <c r="O8" s="32" t="s">
        <v>138</v>
      </c>
      <c r="P8" s="32" t="s">
        <v>139</v>
      </c>
      <c r="Q8" s="32" t="s">
        <v>140</v>
      </c>
      <c r="R8" s="33" t="s">
        <v>144</v>
      </c>
      <c r="S8" s="32" t="s">
        <v>143</v>
      </c>
      <c r="T8" s="32" t="s">
        <v>148</v>
      </c>
      <c r="U8" s="33" t="s">
        <v>145</v>
      </c>
      <c r="V8" s="34" t="s">
        <v>149</v>
      </c>
    </row>
    <row r="9" spans="1:22" x14ac:dyDescent="0.15">
      <c r="C9" s="30" t="s">
        <v>7</v>
      </c>
      <c r="D9" s="30">
        <v>5</v>
      </c>
      <c r="L9" s="7">
        <v>0</v>
      </c>
      <c r="U9" s="7">
        <v>0</v>
      </c>
      <c r="V9" s="7">
        <v>1</v>
      </c>
    </row>
    <row r="10" spans="1:22" x14ac:dyDescent="0.15">
      <c r="C10" s="7"/>
      <c r="D10" s="7"/>
      <c r="L10" s="2">
        <v>1</v>
      </c>
      <c r="M10" s="2">
        <v>1</v>
      </c>
      <c r="N10" s="7">
        <f>1.5+(2*L10-1)</f>
        <v>2.5</v>
      </c>
      <c r="O10" s="9">
        <f>2^0.5*N10</f>
        <v>3.5355339059327378</v>
      </c>
      <c r="P10" s="2">
        <f t="shared" ref="P10:P19" si="0">N10*$M$6*2*$M10+$M$5</f>
        <v>20</v>
      </c>
      <c r="Q10" s="2">
        <f t="shared" ref="Q10:Q19" si="1">O10*$M$6*2*$M10+$M$5</f>
        <v>26.213203435596427</v>
      </c>
      <c r="R10" s="9">
        <f>P10*65%+Q10*35%</f>
        <v>22.174621202458749</v>
      </c>
      <c r="S10" s="2">
        <f t="shared" ref="S10:S19" si="2">((L10*$M$4*2+$M$3)^2-$M$3^2)/($M$4^2)*70%</f>
        <v>5.6</v>
      </c>
      <c r="T10" s="7">
        <f t="shared" ref="T10:T19" si="3">$R$10/R10</f>
        <v>1</v>
      </c>
      <c r="U10" s="2">
        <f>SUM($S$10:S10)</f>
        <v>5.6</v>
      </c>
      <c r="V10" s="7">
        <f>($R$10*U10)/SUMPRODUCT(R$10:R10,S$10:S10)</f>
        <v>1</v>
      </c>
    </row>
    <row r="11" spans="1:22" x14ac:dyDescent="0.15">
      <c r="B11" s="35" t="s">
        <v>49</v>
      </c>
      <c r="C11" s="14" t="s">
        <v>50</v>
      </c>
      <c r="D11" s="14">
        <v>5</v>
      </c>
      <c r="L11" s="2">
        <v>2</v>
      </c>
      <c r="M11" s="2">
        <v>1</v>
      </c>
      <c r="N11" s="7">
        <f t="shared" ref="N11:N19" si="4">1.5+(2*L11-1)</f>
        <v>4.5</v>
      </c>
      <c r="O11" s="9">
        <f t="shared" ref="O11:O19" si="5">2^0.5*N11</f>
        <v>6.3639610306789285</v>
      </c>
      <c r="P11" s="2">
        <f t="shared" si="0"/>
        <v>32</v>
      </c>
      <c r="Q11" s="2">
        <f t="shared" si="1"/>
        <v>43.183766184073569</v>
      </c>
      <c r="R11" s="9">
        <f t="shared" ref="R11:R19" si="6">P11*65%+Q11*35%</f>
        <v>35.914318164425751</v>
      </c>
      <c r="S11" s="2">
        <f t="shared" si="2"/>
        <v>16.799999999999997</v>
      </c>
      <c r="T11" s="7">
        <f t="shared" si="3"/>
        <v>0.61743121784846799</v>
      </c>
      <c r="U11" s="2">
        <f>SUM($S$10:S11)</f>
        <v>22.4</v>
      </c>
      <c r="V11" s="7">
        <f>($R$10*U11)/SUMPRODUCT(R$10:R11,S$10:S11)</f>
        <v>0.68272890973246625</v>
      </c>
    </row>
    <row r="12" spans="1:22" x14ac:dyDescent="0.15">
      <c r="L12" s="2">
        <v>3</v>
      </c>
      <c r="M12" s="2">
        <v>1</v>
      </c>
      <c r="N12" s="7">
        <f t="shared" si="4"/>
        <v>6.5</v>
      </c>
      <c r="O12" s="9">
        <f t="shared" si="5"/>
        <v>9.1923881554251192</v>
      </c>
      <c r="P12" s="2">
        <f t="shared" si="0"/>
        <v>44</v>
      </c>
      <c r="Q12" s="2">
        <f t="shared" si="1"/>
        <v>60.154328932550712</v>
      </c>
      <c r="R12" s="9">
        <f t="shared" si="6"/>
        <v>49.65401512639275</v>
      </c>
      <c r="S12" s="2">
        <f t="shared" si="2"/>
        <v>33.599999999999994</v>
      </c>
      <c r="T12" s="7">
        <f t="shared" si="3"/>
        <v>0.44658264081996069</v>
      </c>
      <c r="U12" s="2">
        <f>SUM($S$10:S12)</f>
        <v>55.999999999999993</v>
      </c>
      <c r="V12" s="7">
        <f>($R$10*U12)/SUMPRODUCT(R$10:R12,S$10:S12)</f>
        <v>0.51829036162465703</v>
      </c>
    </row>
    <row r="13" spans="1:22" x14ac:dyDescent="0.15">
      <c r="L13" s="2">
        <v>4</v>
      </c>
      <c r="M13" s="2">
        <v>1</v>
      </c>
      <c r="N13" s="7">
        <f t="shared" si="4"/>
        <v>8.5</v>
      </c>
      <c r="O13" s="9">
        <f t="shared" si="5"/>
        <v>12.020815280171309</v>
      </c>
      <c r="P13" s="2">
        <f t="shared" si="0"/>
        <v>56</v>
      </c>
      <c r="Q13" s="2">
        <f t="shared" si="1"/>
        <v>77.124891681027862</v>
      </c>
      <c r="R13" s="9">
        <f t="shared" si="6"/>
        <v>63.393712088359749</v>
      </c>
      <c r="S13" s="2">
        <f t="shared" si="2"/>
        <v>56</v>
      </c>
      <c r="T13" s="7">
        <f t="shared" si="3"/>
        <v>0.34979212404459303</v>
      </c>
      <c r="U13" s="2">
        <f>SUM($S$10:S13)</f>
        <v>112</v>
      </c>
      <c r="V13" s="7">
        <f>($R$10*U13)/SUMPRODUCT(R$10:R13,S$10:S13)</f>
        <v>0.41768815626952804</v>
      </c>
    </row>
    <row r="14" spans="1:22" x14ac:dyDescent="0.15">
      <c r="B14" s="69" t="s">
        <v>51</v>
      </c>
      <c r="C14" s="36" t="s">
        <v>52</v>
      </c>
      <c r="D14" s="30">
        <v>100</v>
      </c>
      <c r="L14" s="2">
        <v>5</v>
      </c>
      <c r="M14" s="2">
        <v>1</v>
      </c>
      <c r="N14" s="7">
        <f t="shared" si="4"/>
        <v>10.5</v>
      </c>
      <c r="O14" s="9">
        <f t="shared" si="5"/>
        <v>14.849242404917499</v>
      </c>
      <c r="P14" s="2">
        <f t="shared" si="0"/>
        <v>68</v>
      </c>
      <c r="Q14" s="2">
        <f t="shared" si="1"/>
        <v>94.095454429504997</v>
      </c>
      <c r="R14" s="9">
        <f t="shared" si="6"/>
        <v>77.133409050326748</v>
      </c>
      <c r="S14" s="2">
        <f t="shared" si="2"/>
        <v>84</v>
      </c>
      <c r="T14" s="7">
        <f t="shared" si="3"/>
        <v>0.28748400304711819</v>
      </c>
      <c r="U14" s="2">
        <f>SUM($S$10:S14)</f>
        <v>196</v>
      </c>
      <c r="V14" s="7">
        <f>($R$10*U14)/SUMPRODUCT(R$10:R14,S$10:S14)</f>
        <v>0.34979212404459303</v>
      </c>
    </row>
    <row r="15" spans="1:22" x14ac:dyDescent="0.15">
      <c r="B15" s="70"/>
      <c r="C15" s="36" t="s">
        <v>53</v>
      </c>
      <c r="D15" s="30">
        <v>50</v>
      </c>
      <c r="L15" s="2">
        <v>6</v>
      </c>
      <c r="M15" s="2">
        <v>1</v>
      </c>
      <c r="N15" s="7">
        <f t="shared" si="4"/>
        <v>12.5</v>
      </c>
      <c r="O15" s="9">
        <f t="shared" si="5"/>
        <v>17.677669529663689</v>
      </c>
      <c r="P15" s="2">
        <f t="shared" si="0"/>
        <v>80</v>
      </c>
      <c r="Q15" s="2">
        <f t="shared" si="1"/>
        <v>111.06601717798213</v>
      </c>
      <c r="R15" s="9">
        <f t="shared" si="6"/>
        <v>90.873106012293746</v>
      </c>
      <c r="S15" s="2">
        <f t="shared" si="2"/>
        <v>117.6</v>
      </c>
      <c r="T15" s="7">
        <f t="shared" si="3"/>
        <v>0.24401742358689557</v>
      </c>
      <c r="U15" s="2">
        <f>SUM($S$10:S15)</f>
        <v>313.60000000000002</v>
      </c>
      <c r="V15" s="7">
        <f>($R$10*U15)/SUMPRODUCT(R$10:R15,S$10:S15)</f>
        <v>0.30088299996500834</v>
      </c>
    </row>
    <row r="16" spans="1:22" x14ac:dyDescent="0.15">
      <c r="B16" s="67" t="s">
        <v>47</v>
      </c>
      <c r="C16" s="36" t="s">
        <v>46</v>
      </c>
      <c r="D16" s="30">
        <v>0.2</v>
      </c>
      <c r="L16" s="2">
        <v>7</v>
      </c>
      <c r="M16" s="2">
        <v>1</v>
      </c>
      <c r="N16" s="7">
        <f t="shared" si="4"/>
        <v>14.5</v>
      </c>
      <c r="O16" s="9">
        <f t="shared" si="5"/>
        <v>20.50609665440988</v>
      </c>
      <c r="P16" s="2">
        <f t="shared" si="0"/>
        <v>92</v>
      </c>
      <c r="Q16" s="2">
        <f t="shared" si="1"/>
        <v>128.0365799264593</v>
      </c>
      <c r="R16" s="9">
        <f t="shared" si="6"/>
        <v>104.61280297426075</v>
      </c>
      <c r="S16" s="2">
        <f t="shared" si="2"/>
        <v>156.79999999999998</v>
      </c>
      <c r="T16" s="7">
        <f t="shared" si="3"/>
        <v>0.21196852174885955</v>
      </c>
      <c r="U16" s="2">
        <f>SUM($S$10:S16)</f>
        <v>470.4</v>
      </c>
      <c r="V16" s="7">
        <f>($R$10*U16)/SUMPRODUCT(R$10:R16,S$10:S16)</f>
        <v>0.26397334882154633</v>
      </c>
    </row>
    <row r="17" spans="2:22" x14ac:dyDescent="0.15">
      <c r="B17" s="67"/>
      <c r="C17" s="36" t="s">
        <v>48</v>
      </c>
      <c r="D17" s="37">
        <v>1.33</v>
      </c>
      <c r="L17" s="2">
        <v>8</v>
      </c>
      <c r="M17" s="2">
        <v>1</v>
      </c>
      <c r="N17" s="7">
        <f t="shared" si="4"/>
        <v>16.5</v>
      </c>
      <c r="O17" s="9">
        <f t="shared" si="5"/>
        <v>23.334523779156068</v>
      </c>
      <c r="P17" s="2">
        <f t="shared" si="0"/>
        <v>104</v>
      </c>
      <c r="Q17" s="2">
        <f t="shared" si="1"/>
        <v>145.0071426749364</v>
      </c>
      <c r="R17" s="9">
        <f t="shared" si="6"/>
        <v>118.35249993622774</v>
      </c>
      <c r="S17" s="2">
        <f t="shared" si="2"/>
        <v>201.6</v>
      </c>
      <c r="T17" s="7">
        <f t="shared" si="3"/>
        <v>0.18736081801742396</v>
      </c>
      <c r="U17" s="2">
        <f>SUM($S$10:S17)</f>
        <v>672</v>
      </c>
      <c r="V17" s="7">
        <f>($R$10*U17)/SUMPRODUCT(R$10:R17,S$10:S17)</f>
        <v>0.2351297248285365</v>
      </c>
    </row>
    <row r="18" spans="2:22" x14ac:dyDescent="0.15">
      <c r="C18" s="10"/>
      <c r="D18" s="38"/>
      <c r="L18" s="2">
        <v>9</v>
      </c>
      <c r="M18" s="2">
        <v>1</v>
      </c>
      <c r="N18" s="7">
        <f t="shared" si="4"/>
        <v>18.5</v>
      </c>
      <c r="O18" s="9">
        <f t="shared" si="5"/>
        <v>26.16295090390226</v>
      </c>
      <c r="P18" s="2">
        <f t="shared" si="0"/>
        <v>116</v>
      </c>
      <c r="Q18" s="2">
        <f t="shared" si="1"/>
        <v>161.97770542341357</v>
      </c>
      <c r="R18" s="9">
        <f t="shared" si="6"/>
        <v>132.09219689819474</v>
      </c>
      <c r="S18" s="2">
        <f t="shared" si="2"/>
        <v>251.99999999999997</v>
      </c>
      <c r="T18" s="7">
        <f t="shared" si="3"/>
        <v>0.1678723022492315</v>
      </c>
      <c r="U18" s="2">
        <f>SUM($S$10:S18)</f>
        <v>924</v>
      </c>
      <c r="V18" s="7">
        <f>($R$10*U18)/SUMPRODUCT(R$10:R18,S$10:S18)</f>
        <v>0.21196852174885955</v>
      </c>
    </row>
    <row r="19" spans="2:22" x14ac:dyDescent="0.15">
      <c r="L19" s="2">
        <v>10</v>
      </c>
      <c r="M19" s="2">
        <v>1</v>
      </c>
      <c r="N19" s="7">
        <f t="shared" si="4"/>
        <v>20.5</v>
      </c>
      <c r="O19" s="9">
        <f t="shared" si="5"/>
        <v>28.991378028648452</v>
      </c>
      <c r="P19" s="2">
        <f t="shared" si="0"/>
        <v>128</v>
      </c>
      <c r="Q19" s="2">
        <f t="shared" si="1"/>
        <v>178.9482681718907</v>
      </c>
      <c r="R19" s="9">
        <f t="shared" si="6"/>
        <v>145.83189386016176</v>
      </c>
      <c r="S19" s="2">
        <f t="shared" si="2"/>
        <v>308</v>
      </c>
      <c r="T19" s="7">
        <f t="shared" si="3"/>
        <v>0.15205604628382594</v>
      </c>
      <c r="U19" s="2">
        <f>SUM($S$10:S19)</f>
        <v>1232</v>
      </c>
      <c r="V19" s="7">
        <f>($R$10*U19)/SUMPRODUCT(R$10:R19,S$10:S19)</f>
        <v>0.19296109466466524</v>
      </c>
    </row>
    <row r="20" spans="2:22" x14ac:dyDescent="0.15">
      <c r="C20" s="36" t="s">
        <v>44</v>
      </c>
      <c r="D20" s="30">
        <f>D14/D16</f>
        <v>500</v>
      </c>
      <c r="S20" s="9">
        <f>SUM(S10:S12)</f>
        <v>55.999999999999993</v>
      </c>
    </row>
    <row r="21" spans="2:22" x14ac:dyDescent="0.15">
      <c r="C21" s="36" t="s">
        <v>45</v>
      </c>
      <c r="D21" s="37">
        <v>0.8</v>
      </c>
    </row>
    <row r="22" spans="2:22" x14ac:dyDescent="0.15">
      <c r="R22" s="9" t="e">
        <f>('疲劳值&amp;地图信息'!$S$10*'疲劳值&amp;地图信息'!$R$10+'疲劳值&amp;地图信息'!$S$11*'疲劳值&amp;地图信息'!$R$11+'疲劳值&amp;地图信息'!$S$12*'疲劳值&amp;地图信息'!$R$12+(BO6-'疲劳值&amp;地图信息'!$S$12-'疲劳值&amp;地图信息'!$S$11-'疲劳值&amp;地图信息'!$S$10)*'疲劳值&amp;地图信息'!$R$13)/BO6</f>
        <v>#DIV/0!</v>
      </c>
    </row>
    <row r="28" spans="2:22" x14ac:dyDescent="0.15">
      <c r="T28" s="40"/>
    </row>
    <row r="29" spans="2:22" x14ac:dyDescent="0.15">
      <c r="T29" s="40"/>
    </row>
    <row r="30" spans="2:22" x14ac:dyDescent="0.15">
      <c r="T30" s="40"/>
    </row>
    <row r="31" spans="2:22" x14ac:dyDescent="0.15">
      <c r="T31" s="40"/>
    </row>
  </sheetData>
  <mergeCells count="4">
    <mergeCell ref="C2:D2"/>
    <mergeCell ref="B16:B17"/>
    <mergeCell ref="B14:B15"/>
    <mergeCell ref="U7:V7"/>
  </mergeCells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5A311-01E5-4937-A0AC-660E3C007486}">
  <sheetPr codeName="Sheet13">
    <tabColor rgb="FFFF0000"/>
  </sheetPr>
  <dimension ref="A1:Z510"/>
  <sheetViews>
    <sheetView workbookViewId="0">
      <selection activeCell="D11" sqref="D11"/>
    </sheetView>
  </sheetViews>
  <sheetFormatPr defaultRowHeight="13.5" x14ac:dyDescent="0.15"/>
  <cols>
    <col min="1" max="3" width="9" style="16"/>
    <col min="4" max="4" width="36.125" style="16" bestFit="1" customWidth="1"/>
    <col min="5" max="16384" width="9" style="16"/>
  </cols>
  <sheetData>
    <row r="1" spans="1:26" x14ac:dyDescent="0.15">
      <c r="A1" s="39" t="str">
        <f>IF([8]道具信息!A1="","",[8]道具信息!A1)</f>
        <v/>
      </c>
      <c r="B1" s="39" t="str">
        <f>IF([8]道具信息!B1="","",[8]道具信息!B1)</f>
        <v/>
      </c>
      <c r="C1" s="39" t="str">
        <f>IF([8]道具信息!C1="","",[8]道具信息!C1)</f>
        <v>道具价值</v>
      </c>
      <c r="D1" s="39" t="str">
        <f>IF([8]道具信息!D1="","",[8]道具信息!D1)</f>
        <v/>
      </c>
      <c r="E1" s="39" t="str">
        <f>IF([8]道具信息!E1="","",[8]道具信息!E1)</f>
        <v/>
      </c>
      <c r="F1" s="39" t="str">
        <f>IF([8]道具信息!F1="","",[8]道具信息!F1)</f>
        <v/>
      </c>
      <c r="G1" s="39" t="str">
        <f>IF([8]道具信息!G1="","",[8]道具信息!G1)</f>
        <v/>
      </c>
      <c r="H1" s="39" t="str">
        <f>IF([8]道具信息!H1="","",[8]道具信息!H1)</f>
        <v/>
      </c>
      <c r="I1" s="39" t="str">
        <f>IF([8]道具信息!I1="","",[8]道具信息!I1)</f>
        <v/>
      </c>
      <c r="J1" s="39" t="str">
        <f>IF([8]道具信息!J1="","",[8]道具信息!J1)</f>
        <v/>
      </c>
      <c r="K1" s="39" t="str">
        <f>IF([8]道具信息!K1="","",[8]道具信息!K1)</f>
        <v/>
      </c>
      <c r="L1" s="39" t="str">
        <f>IF([8]道具信息!L1="","",[8]道具信息!L1)</f>
        <v/>
      </c>
      <c r="M1" s="39" t="str">
        <f>IF([8]道具信息!M1="","",[8]道具信息!M1)</f>
        <v/>
      </c>
      <c r="N1" s="39" t="str">
        <f>IF([8]道具信息!N1="","",[8]道具信息!N1)</f>
        <v/>
      </c>
      <c r="O1" s="39" t="str">
        <f>IF([8]道具信息!O1="","",[8]道具信息!O1)</f>
        <v/>
      </c>
      <c r="P1" s="39" t="str">
        <f>IF([8]道具信息!P1="","",[8]道具信息!P1)</f>
        <v>buff价值</v>
      </c>
      <c r="Q1" s="39" t="str">
        <f>IF([8]道具信息!Q1="","",[8]道具信息!Q1)</f>
        <v/>
      </c>
      <c r="R1" s="39" t="str">
        <f>IF([8]道具信息!R1="","",[8]道具信息!R1)</f>
        <v/>
      </c>
      <c r="S1" s="39" t="str">
        <f>IF([8]道具信息!S1="","",[8]道具信息!S1)</f>
        <v/>
      </c>
      <c r="T1" s="39" t="str">
        <f>IF([8]道具信息!T1="","",[8]道具信息!T1)</f>
        <v/>
      </c>
      <c r="U1" s="39" t="str">
        <f>IF([8]道具信息!U1="","",[8]道具信息!U1)</f>
        <v/>
      </c>
      <c r="V1" s="39" t="str">
        <f>IF([8]道具信息!V1="","",[8]道具信息!V1)</f>
        <v/>
      </c>
      <c r="W1" s="39" t="str">
        <f>IF([8]道具信息!W1="","",[8]道具信息!W1)</f>
        <v/>
      </c>
      <c r="X1" s="39" t="str">
        <f>IF([8]道具信息!X1="","",[8]道具信息!X1)</f>
        <v/>
      </c>
      <c r="Y1" s="39" t="str">
        <f>IF([8]道具信息!Y1="","",[8]道具信息!Y1)</f>
        <v/>
      </c>
      <c r="Z1" s="39" t="str">
        <f>IF([8]道具信息!Z1="","",[8]道具信息!Z1)</f>
        <v/>
      </c>
    </row>
    <row r="2" spans="1:26" x14ac:dyDescent="0.15">
      <c r="A2" s="39" t="str">
        <f>IF([8]道具信息!A2="","",[8]道具信息!A2)</f>
        <v/>
      </c>
      <c r="B2" s="39" t="str">
        <f>IF([8]道具信息!B2="","",[8]道具信息!B2)</f>
        <v/>
      </c>
      <c r="C2" s="39" t="str">
        <f>IF([8]道具信息!C2="","",[8]道具信息!C2)</f>
        <v/>
      </c>
      <c r="D2" s="39" t="str">
        <f>IF([8]道具信息!D2="","",[8]道具信息!D2)</f>
        <v/>
      </c>
      <c r="E2" s="39" t="str">
        <f>IF([8]道具信息!E2="","",[8]道具信息!E2)</f>
        <v/>
      </c>
      <c r="F2" s="39" t="str">
        <f>IF([8]道具信息!F2="","",[8]道具信息!F2)</f>
        <v>（1-10天）</v>
      </c>
      <c r="G2" s="39" t="str">
        <f>IF([8]道具信息!G2="","",[8]道具信息!G2)</f>
        <v>(11-180天）</v>
      </c>
      <c r="H2" s="39" t="str">
        <f>IF([8]道具信息!H2="","",[8]道具信息!H2)</f>
        <v>（181~360天）</v>
      </c>
      <c r="I2" s="39" t="str">
        <f>IF([8]道具信息!I2="","",[8]道具信息!I2)</f>
        <v>（1-10天）</v>
      </c>
      <c r="J2" s="39" t="str">
        <f>IF([8]道具信息!J2="","",[8]道具信息!J2)</f>
        <v>(11-180天）</v>
      </c>
      <c r="K2" s="39" t="str">
        <f>IF([8]道具信息!K2="","",[8]道具信息!K2)</f>
        <v>（181~360天）</v>
      </c>
      <c r="L2" s="39" t="str">
        <f>IF([8]道具信息!L2="","",[8]道具信息!L2)</f>
        <v/>
      </c>
      <c r="M2" s="39" t="str">
        <f>IF([8]道具信息!M2="","",[8]道具信息!M2)</f>
        <v/>
      </c>
      <c r="N2" s="39" t="str">
        <f>IF([8]道具信息!N2="","",[8]道具信息!N2)</f>
        <v/>
      </c>
      <c r="O2" s="39" t="str">
        <f>IF([8]道具信息!O2="","",[8]道具信息!O2)</f>
        <v/>
      </c>
      <c r="P2" s="39" t="str">
        <f>IF([8]道具信息!P2="","",[8]道具信息!P2)</f>
        <v/>
      </c>
      <c r="Q2" s="39" t="str">
        <f>IF([8]道具信息!Q2="","",[8]道具信息!Q2)</f>
        <v/>
      </c>
      <c r="R2" s="39" t="str">
        <f>IF([8]道具信息!R2="","",[8]道具信息!R2)</f>
        <v/>
      </c>
      <c r="S2" s="39" t="str">
        <f>IF([8]道具信息!S2="","",[8]道具信息!S2)</f>
        <v/>
      </c>
      <c r="T2" s="39" t="str">
        <f>IF([8]道具信息!T2="","",[8]道具信息!T2)</f>
        <v/>
      </c>
      <c r="U2" s="39" t="str">
        <f>IF([8]道具信息!U2="","",[8]道具信息!U2)</f>
        <v/>
      </c>
      <c r="V2" s="39" t="str">
        <f>IF([8]道具信息!V2="","",[8]道具信息!V2)</f>
        <v/>
      </c>
      <c r="W2" s="39" t="str">
        <f>IF([8]道具信息!W2="","",[8]道具信息!W2)</f>
        <v/>
      </c>
      <c r="X2" s="39" t="str">
        <f>IF([8]道具信息!X2="","",[8]道具信息!X2)</f>
        <v/>
      </c>
      <c r="Y2" s="39" t="str">
        <f>IF([8]道具信息!Y2="","",[8]道具信息!Y2)</f>
        <v/>
      </c>
      <c r="Z2" s="39" t="str">
        <f>IF([8]道具信息!Z2="","",[8]道具信息!Z2)</f>
        <v/>
      </c>
    </row>
    <row r="3" spans="1:26" x14ac:dyDescent="0.15">
      <c r="A3" s="39" t="str">
        <f>IF([8]道具信息!A3="","",[8]道具信息!A3)</f>
        <v/>
      </c>
      <c r="B3" s="39" t="str">
        <f>IF([8]道具信息!B3="","",[8]道具信息!B3)</f>
        <v/>
      </c>
      <c r="C3" s="39" t="str">
        <f>IF([8]道具信息!C3="","",[8]道具信息!C3)</f>
        <v>sid</v>
      </c>
      <c r="D3" s="39" t="str">
        <f>IF([8]道具信息!D3="","",[8]道具信息!D3)</f>
        <v>名称</v>
      </c>
      <c r="E3" s="39" t="str">
        <f>IF([8]道具信息!E3="","",[8]道具信息!E3)</f>
        <v>价格</v>
      </c>
      <c r="F3" s="39" t="str">
        <f>IF([8]道具信息!F3="","",[8]道具信息!F3)</f>
        <v>调整参数</v>
      </c>
      <c r="G3" s="39" t="str">
        <f>IF([8]道具信息!G3="","",[8]道具信息!G3)</f>
        <v>调整参数</v>
      </c>
      <c r="H3" s="39" t="str">
        <f>IF([8]道具信息!H3="","",[8]道具信息!H3)</f>
        <v>调整参数</v>
      </c>
      <c r="I3" s="39" t="str">
        <f>IF([8]道具信息!I3="","",[8]道具信息!I3)</f>
        <v>实际价格</v>
      </c>
      <c r="J3" s="39" t="str">
        <f>IF([8]道具信息!J3="","",[8]道具信息!J3)</f>
        <v>实际价格</v>
      </c>
      <c r="K3" s="39" t="str">
        <f>IF([8]道具信息!K3="","",[8]道具信息!K3)</f>
        <v>实际价格</v>
      </c>
      <c r="L3" s="39" t="str">
        <f>IF([8]道具信息!L3="","",[8]道具信息!L3)</f>
        <v>描述</v>
      </c>
      <c r="M3" s="39" t="str">
        <f>IF([8]道具信息!M3="","",[8]道具信息!M3)</f>
        <v/>
      </c>
      <c r="N3" s="39" t="str">
        <f>IF([8]道具信息!N3="","",[8]道具信息!N3)</f>
        <v/>
      </c>
      <c r="O3" s="39" t="str">
        <f>IF([8]道具信息!O3="","",[8]道具信息!O3)</f>
        <v/>
      </c>
      <c r="P3" s="39" t="str">
        <f>IF([8]道具信息!P3="","",[8]道具信息!P3)</f>
        <v>buff效果</v>
      </c>
      <c r="Q3" s="39" t="str">
        <f>IF([8]道具信息!Q3="","",[8]道具信息!Q3)</f>
        <v>单位价值（100%加成/天）</v>
      </c>
      <c r="R3" s="39" t="str">
        <f>IF([8]道具信息!R3="","",[8]道具信息!R3)</f>
        <v/>
      </c>
      <c r="S3" s="39" t="str">
        <f>IF([8]道具信息!S3="","",[8]道具信息!S3)</f>
        <v/>
      </c>
      <c r="T3" s="39" t="str">
        <f>IF([8]道具信息!T3="","",[8]道具信息!T3)</f>
        <v/>
      </c>
      <c r="U3" s="39" t="str">
        <f>IF([8]道具信息!U3="","",[8]道具信息!U3)</f>
        <v/>
      </c>
      <c r="V3" s="39" t="str">
        <f>IF([8]道具信息!V3="","",[8]道具信息!V3)</f>
        <v/>
      </c>
      <c r="W3" s="39" t="str">
        <f>IF([8]道具信息!W3="","",[8]道具信息!W3)</f>
        <v/>
      </c>
      <c r="X3" s="39" t="str">
        <f>IF([8]道具信息!X3="","",[8]道具信息!X3)</f>
        <v/>
      </c>
      <c r="Y3" s="39" t="str">
        <f>IF([8]道具信息!Y3="","",[8]道具信息!Y3)</f>
        <v/>
      </c>
      <c r="Z3" s="39" t="str">
        <f>IF([8]道具信息!Z3="","",[8]道具信息!Z3)</f>
        <v/>
      </c>
    </row>
    <row r="4" spans="1:26" x14ac:dyDescent="0.15">
      <c r="A4" s="39" t="str">
        <f>IF([8]道具信息!A4="","",[8]道具信息!A4)</f>
        <v/>
      </c>
      <c r="B4" s="39" t="str">
        <f>IF([8]道具信息!B4="","",[8]道具信息!B4)</f>
        <v/>
      </c>
      <c r="C4" s="39" t="str">
        <f>IF([8]道具信息!C4="","",[8]道具信息!C4)</f>
        <v/>
      </c>
      <c r="D4" s="39" t="str">
        <f>IF([8]道具信息!D4="","",[8]道具信息!D4)</f>
        <v>橙色指定武将</v>
      </c>
      <c r="E4" s="39">
        <f>IF([8]道具信息!E4="","",[8]道具信息!E4)</f>
        <v>4800</v>
      </c>
      <c r="F4" s="39">
        <f>IF([8]道具信息!F4="","",[8]道具信息!F4)</f>
        <v>1</v>
      </c>
      <c r="G4" s="39">
        <f>IF([8]道具信息!G4="","",[8]道具信息!G4)</f>
        <v>1</v>
      </c>
      <c r="H4" s="39">
        <f>IF([8]道具信息!H4="","",[8]道具信息!H4)</f>
        <v>1</v>
      </c>
      <c r="I4" s="39">
        <f>IF([8]道具信息!I4="","",[8]道具信息!I4)</f>
        <v>4800</v>
      </c>
      <c r="J4" s="39">
        <f>IF([8]道具信息!J4="","",[8]道具信息!J4)</f>
        <v>4800</v>
      </c>
      <c r="K4" s="39">
        <f>IF([8]道具信息!K4="","",[8]道具信息!K4)</f>
        <v>4800</v>
      </c>
      <c r="L4" s="39" t="str">
        <f>IF([8]道具信息!L4="","",[8]道具信息!L4)</f>
        <v>120武将</v>
      </c>
      <c r="M4" s="39" t="str">
        <f>IF([8]道具信息!M4="","",[8]道具信息!M4)</f>
        <v/>
      </c>
      <c r="N4" s="39" t="str">
        <f>IF([8]道具信息!N4="","",[8]道具信息!N4)</f>
        <v/>
      </c>
      <c r="O4" s="39" t="str">
        <f>IF([8]道具信息!O4="","",[8]道具信息!O4)</f>
        <v/>
      </c>
      <c r="P4" s="39" t="str">
        <f>IF([8]道具信息!P4="","",[8]道具信息!P4)</f>
        <v>城建加速/天</v>
      </c>
      <c r="Q4" s="39">
        <f>IF([8]道具信息!Q4="","",[8]道具信息!Q4)</f>
        <v>6552.6677404559396</v>
      </c>
      <c r="R4" s="39" t="str">
        <f>IF([8]道具信息!R4="","",[8]道具信息!R4)</f>
        <v/>
      </c>
      <c r="S4" s="39" t="str">
        <f>IF([8]道具信息!S4="","",[8]道具信息!S4)</f>
        <v/>
      </c>
      <c r="T4" s="39" t="str">
        <f>IF([8]道具信息!T4="","",[8]道具信息!T4)</f>
        <v/>
      </c>
      <c r="U4" s="39" t="str">
        <f>IF([8]道具信息!U4="","",[8]道具信息!U4)</f>
        <v/>
      </c>
      <c r="V4" s="39" t="str">
        <f>IF([8]道具信息!V4="","",[8]道具信息!V4)</f>
        <v/>
      </c>
      <c r="W4" s="39" t="str">
        <f>IF([8]道具信息!W4="","",[8]道具信息!W4)</f>
        <v/>
      </c>
      <c r="X4" s="39" t="str">
        <f>IF([8]道具信息!X4="","",[8]道具信息!X4)</f>
        <v/>
      </c>
      <c r="Y4" s="39" t="str">
        <f>IF([8]道具信息!Y4="","",[8]道具信息!Y4)</f>
        <v/>
      </c>
      <c r="Z4" s="39" t="str">
        <f>IF([8]道具信息!Z4="","",[8]道具信息!Z4)</f>
        <v/>
      </c>
    </row>
    <row r="5" spans="1:26" x14ac:dyDescent="0.15">
      <c r="A5" s="39" t="str">
        <f>IF([8]道具信息!A5="","",[8]道具信息!A5)</f>
        <v/>
      </c>
      <c r="B5" s="39" t="str">
        <f>IF([8]道具信息!B5="","",[8]道具信息!B5)</f>
        <v/>
      </c>
      <c r="C5" s="39" t="str">
        <f>IF([8]道具信息!C5="","",[8]道具信息!C5)</f>
        <v/>
      </c>
      <c r="D5" s="39" t="str">
        <f>IF([8]道具信息!D5="","",[8]道具信息!D5)</f>
        <v>紫色指定武将</v>
      </c>
      <c r="E5" s="39">
        <f>IF([8]道具信息!E5="","",[8]道具信息!E5)</f>
        <v>540</v>
      </c>
      <c r="F5" s="39">
        <f>IF([8]道具信息!F5="","",[8]道具信息!F5)</f>
        <v>1</v>
      </c>
      <c r="G5" s="39">
        <f>IF([8]道具信息!G5="","",[8]道具信息!G5)</f>
        <v>1</v>
      </c>
      <c r="H5" s="39">
        <f>IF([8]道具信息!H5="","",[8]道具信息!H5)</f>
        <v>1</v>
      </c>
      <c r="I5" s="39">
        <f>IF([8]道具信息!I5="","",[8]道具信息!I5)</f>
        <v>540</v>
      </c>
      <c r="J5" s="39">
        <f>IF([8]道具信息!J5="","",[8]道具信息!J5)</f>
        <v>540</v>
      </c>
      <c r="K5" s="39">
        <f>IF([8]道具信息!K5="","",[8]道具信息!K5)</f>
        <v>540</v>
      </c>
      <c r="L5" s="39" t="str">
        <f>IF([8]道具信息!L5="","",[8]道具信息!L5)</f>
        <v>110武将</v>
      </c>
      <c r="M5" s="39" t="str">
        <f>IF([8]道具信息!M5="","",[8]道具信息!M5)</f>
        <v/>
      </c>
      <c r="N5" s="39" t="str">
        <f>IF([8]道具信息!N5="","",[8]道具信息!N5)</f>
        <v/>
      </c>
      <c r="O5" s="39" t="str">
        <f>IF([8]道具信息!O5="","",[8]道具信息!O5)</f>
        <v/>
      </c>
      <c r="P5" s="39" t="str">
        <f>IF([8]道具信息!P5="","",[8]道具信息!P5)</f>
        <v>招募加速/天</v>
      </c>
      <c r="Q5" s="39">
        <f>IF([8]道具信息!Q5="","",[8]道具信息!Q5)</f>
        <v>1286.2045615471407</v>
      </c>
      <c r="R5" s="39" t="str">
        <f>IF([8]道具信息!R5="","",[8]道具信息!R5)</f>
        <v/>
      </c>
      <c r="S5" s="39" t="str">
        <f>IF([8]道具信息!S5="","",[8]道具信息!S5)</f>
        <v/>
      </c>
      <c r="T5" s="39" t="str">
        <f>IF([8]道具信息!T5="","",[8]道具信息!T5)</f>
        <v/>
      </c>
      <c r="U5" s="39" t="str">
        <f>IF([8]道具信息!U5="","",[8]道具信息!U5)</f>
        <v/>
      </c>
      <c r="V5" s="39" t="str">
        <f>IF([8]道具信息!V5="","",[8]道具信息!V5)</f>
        <v/>
      </c>
      <c r="W5" s="39" t="str">
        <f>IF([8]道具信息!W5="","",[8]道具信息!W5)</f>
        <v/>
      </c>
      <c r="X5" s="39" t="str">
        <f>IF([8]道具信息!X5="","",[8]道具信息!X5)</f>
        <v/>
      </c>
      <c r="Y5" s="39" t="str">
        <f>IF([8]道具信息!Y5="","",[8]道具信息!Y5)</f>
        <v/>
      </c>
      <c r="Z5" s="39" t="str">
        <f>IF([8]道具信息!Z5="","",[8]道具信息!Z5)</f>
        <v/>
      </c>
    </row>
    <row r="6" spans="1:26" x14ac:dyDescent="0.15">
      <c r="A6" s="39" t="str">
        <f>IF([8]道具信息!A6="","",[8]道具信息!A6)</f>
        <v/>
      </c>
      <c r="B6" s="39" t="str">
        <f>IF([8]道具信息!B6="","",[8]道具信息!B6)</f>
        <v/>
      </c>
      <c r="C6" s="39" t="str">
        <f>IF([8]道具信息!C6="","",[8]道具信息!C6)</f>
        <v/>
      </c>
      <c r="D6" s="39" t="str">
        <f>IF([8]道具信息!D6="","",[8]道具信息!D6)</f>
        <v>125指定武将</v>
      </c>
      <c r="E6" s="39">
        <f>IF([8]道具信息!E6="","",[8]道具信息!E6)</f>
        <v>10800</v>
      </c>
      <c r="F6" s="39">
        <f>IF([8]道具信息!F6="","",[8]道具信息!F6)</f>
        <v>1</v>
      </c>
      <c r="G6" s="39">
        <f>IF([8]道具信息!G6="","",[8]道具信息!G6)</f>
        <v>1</v>
      </c>
      <c r="H6" s="39">
        <f>IF([8]道具信息!H6="","",[8]道具信息!H6)</f>
        <v>1</v>
      </c>
      <c r="I6" s="39">
        <f>IF([8]道具信息!I6="","",[8]道具信息!I6)</f>
        <v>10800</v>
      </c>
      <c r="J6" s="39">
        <f>IF([8]道具信息!J6="","",[8]道具信息!J6)</f>
        <v>10800</v>
      </c>
      <c r="K6" s="39">
        <f>IF([8]道具信息!K6="","",[8]道具信息!K6)</f>
        <v>10800</v>
      </c>
      <c r="L6" s="39" t="str">
        <f>IF([8]道具信息!L6="","",[8]道具信息!L6)</f>
        <v>125武将</v>
      </c>
      <c r="M6" s="39" t="str">
        <f>IF([8]道具信息!M6="","",[8]道具信息!M6)</f>
        <v/>
      </c>
      <c r="N6" s="39" t="str">
        <f>IF([8]道具信息!N6="","",[8]道具信息!N6)</f>
        <v/>
      </c>
      <c r="O6" s="39" t="str">
        <f>IF([8]道具信息!O6="","",[8]道具信息!O6)</f>
        <v/>
      </c>
      <c r="P6" s="39" t="str">
        <f>IF([8]道具信息!P6="","",[8]道具信息!P6)</f>
        <v>治疗加速/天</v>
      </c>
      <c r="Q6" s="39">
        <f>IF([8]道具信息!Q6="","",[8]道具信息!Q6)</f>
        <v>526.54062836196033</v>
      </c>
      <c r="R6" s="39" t="str">
        <f>IF([8]道具信息!R6="","",[8]道具信息!R6)</f>
        <v/>
      </c>
      <c r="S6" s="39" t="str">
        <f>IF([8]道具信息!S6="","",[8]道具信息!S6)</f>
        <v/>
      </c>
      <c r="T6" s="39" t="str">
        <f>IF([8]道具信息!T6="","",[8]道具信息!T6)</f>
        <v/>
      </c>
      <c r="U6" s="39" t="str">
        <f>IF([8]道具信息!U6="","",[8]道具信息!U6)</f>
        <v/>
      </c>
      <c r="V6" s="39" t="str">
        <f>IF([8]道具信息!V6="","",[8]道具信息!V6)</f>
        <v/>
      </c>
      <c r="W6" s="39" t="str">
        <f>IF([8]道具信息!W6="","",[8]道具信息!W6)</f>
        <v/>
      </c>
      <c r="X6" s="39" t="str">
        <f>IF([8]道具信息!X6="","",[8]道具信息!X6)</f>
        <v/>
      </c>
      <c r="Y6" s="39" t="str">
        <f>IF([8]道具信息!Y6="","",[8]道具信息!Y6)</f>
        <v/>
      </c>
      <c r="Z6" s="39" t="str">
        <f>IF([8]道具信息!Z6="","",[8]道具信息!Z6)</f>
        <v/>
      </c>
    </row>
    <row r="7" spans="1:26" x14ac:dyDescent="0.15">
      <c r="A7" s="39" t="str">
        <f>IF([8]道具信息!A7="","",[8]道具信息!A7)</f>
        <v/>
      </c>
      <c r="B7" s="39" t="str">
        <f>IF([8]道具信息!B7="","",[8]道具信息!B7)</f>
        <v/>
      </c>
      <c r="C7" s="39" t="str">
        <f>IF([8]道具信息!C7="","",[8]道具信息!C7)</f>
        <v/>
      </c>
      <c r="D7" s="39" t="str">
        <f>IF([8]道具信息!D7="","",[8]道具信息!D7)</f>
        <v>橙+指定武将</v>
      </c>
      <c r="E7" s="39">
        <f>IF([8]道具信息!E7="","",[8]道具信息!E7)</f>
        <v>14400</v>
      </c>
      <c r="F7" s="39">
        <f>IF([8]道具信息!F7="","",[8]道具信息!F7)</f>
        <v>1</v>
      </c>
      <c r="G7" s="39">
        <f>IF([8]道具信息!G7="","",[8]道具信息!G7)</f>
        <v>1</v>
      </c>
      <c r="H7" s="39">
        <f>IF([8]道具信息!H7="","",[8]道具信息!H7)</f>
        <v>1</v>
      </c>
      <c r="I7" s="39">
        <f>IF([8]道具信息!I7="","",[8]道具信息!I7)</f>
        <v>14400</v>
      </c>
      <c r="J7" s="39">
        <f>IF([8]道具信息!J7="","",[8]道具信息!J7)</f>
        <v>14400</v>
      </c>
      <c r="K7" s="39">
        <f>IF([8]道具信息!K7="","",[8]道具信息!K7)</f>
        <v>14400</v>
      </c>
      <c r="L7" s="39" t="str">
        <f>IF([8]道具信息!L7="","",[8]道具信息!L7)</f>
        <v>130武将</v>
      </c>
      <c r="M7" s="39" t="str">
        <f>IF([8]道具信息!M7="","",[8]道具信息!M7)</f>
        <v/>
      </c>
      <c r="N7" s="39" t="str">
        <f>IF([8]道具信息!N7="","",[8]道具信息!N7)</f>
        <v/>
      </c>
      <c r="O7" s="39" t="str">
        <f>IF([8]道具信息!O7="","",[8]道具信息!O7)</f>
        <v/>
      </c>
      <c r="P7" s="39" t="str">
        <f>IF([8]道具信息!P7="","",[8]道具信息!P7)</f>
        <v>训练加速/天</v>
      </c>
      <c r="Q7" s="39">
        <f>IF([8]道具信息!Q7="","",[8]道具信息!Q7)</f>
        <v>3154.4832610096737</v>
      </c>
      <c r="R7" s="39" t="str">
        <f>IF([8]道具信息!R7="","",[8]道具信息!R7)</f>
        <v/>
      </c>
      <c r="S7" s="39" t="str">
        <f>IF([8]道具信息!S7="","",[8]道具信息!S7)</f>
        <v/>
      </c>
      <c r="T7" s="39" t="str">
        <f>IF([8]道具信息!T7="","",[8]道具信息!T7)</f>
        <v/>
      </c>
      <c r="U7" s="39" t="str">
        <f>IF([8]道具信息!U7="","",[8]道具信息!U7)</f>
        <v/>
      </c>
      <c r="V7" s="39" t="str">
        <f>IF([8]道具信息!V7="","",[8]道具信息!V7)</f>
        <v/>
      </c>
      <c r="W7" s="39" t="str">
        <f>IF([8]道具信息!W7="","",[8]道具信息!W7)</f>
        <v/>
      </c>
      <c r="X7" s="39" t="str">
        <f>IF([8]道具信息!X7="","",[8]道具信息!X7)</f>
        <v/>
      </c>
      <c r="Y7" s="39" t="str">
        <f>IF([8]道具信息!Y7="","",[8]道具信息!Y7)</f>
        <v/>
      </c>
      <c r="Z7" s="39" t="str">
        <f>IF([8]道具信息!Z7="","",[8]道具信息!Z7)</f>
        <v/>
      </c>
    </row>
    <row r="8" spans="1:26" x14ac:dyDescent="0.15">
      <c r="A8" s="39" t="str">
        <f>IF([8]道具信息!A8="","",[8]道具信息!A8)</f>
        <v/>
      </c>
      <c r="B8" s="39" t="str">
        <f>IF([8]道具信息!B8="","",[8]道具信息!B8)</f>
        <v/>
      </c>
      <c r="C8" s="39" t="str">
        <f>IF([8]道具信息!C8="","",[8]道具信息!C8)</f>
        <v/>
      </c>
      <c r="D8" s="39" t="str">
        <f>IF([8]道具信息!D8="","",[8]道具信息!D8)</f>
        <v>125指定武将碎片</v>
      </c>
      <c r="E8" s="39">
        <f>IF([8]道具信息!E8="","",[8]道具信息!E8)</f>
        <v>360</v>
      </c>
      <c r="F8" s="39">
        <f>IF([8]道具信息!F8="","",[8]道具信息!F8)</f>
        <v>1</v>
      </c>
      <c r="G8" s="39">
        <f>IF([8]道具信息!G8="","",[8]道具信息!G8)</f>
        <v>1</v>
      </c>
      <c r="H8" s="39">
        <f>IF([8]道具信息!H8="","",[8]道具信息!H8)</f>
        <v>1</v>
      </c>
      <c r="I8" s="39">
        <f>IF([8]道具信息!I8="","",[8]道具信息!I8)</f>
        <v>360</v>
      </c>
      <c r="J8" s="39">
        <f>IF([8]道具信息!J8="","",[8]道具信息!J8)</f>
        <v>360</v>
      </c>
      <c r="K8" s="39">
        <f>IF([8]道具信息!K8="","",[8]道具信息!K8)</f>
        <v>360</v>
      </c>
      <c r="L8" s="39" t="str">
        <f>IF([8]道具信息!L8="","",[8]道具信息!L8)</f>
        <v>125武将碎片</v>
      </c>
      <c r="M8" s="39" t="str">
        <f>IF([8]道具信息!M8="","",[8]道具信息!M8)</f>
        <v/>
      </c>
      <c r="N8" s="39" t="str">
        <f>IF([8]道具信息!N8="","",[8]道具信息!N8)</f>
        <v/>
      </c>
      <c r="O8" s="39" t="str">
        <f>IF([8]道具信息!O8="","",[8]道具信息!O8)</f>
        <v/>
      </c>
      <c r="P8" s="39" t="str">
        <f>IF([8]道具信息!P8="","",[8]道具信息!P8)</f>
        <v/>
      </c>
      <c r="Q8" s="39" t="str">
        <f>IF([8]道具信息!Q8="","",[8]道具信息!Q8)</f>
        <v/>
      </c>
      <c r="R8" s="39" t="str">
        <f>IF([8]道具信息!R8="","",[8]道具信息!R8)</f>
        <v/>
      </c>
      <c r="S8" s="39" t="str">
        <f>IF([8]道具信息!S8="","",[8]道具信息!S8)</f>
        <v/>
      </c>
      <c r="T8" s="39" t="str">
        <f>IF([8]道具信息!T8="","",[8]道具信息!T8)</f>
        <v/>
      </c>
      <c r="U8" s="39" t="str">
        <f>IF([8]道具信息!U8="","",[8]道具信息!U8)</f>
        <v/>
      </c>
      <c r="V8" s="39" t="str">
        <f>IF([8]道具信息!V8="","",[8]道具信息!V8)</f>
        <v/>
      </c>
      <c r="W8" s="39" t="str">
        <f>IF([8]道具信息!W8="","",[8]道具信息!W8)</f>
        <v/>
      </c>
      <c r="X8" s="39" t="str">
        <f>IF([8]道具信息!X8="","",[8]道具信息!X8)</f>
        <v/>
      </c>
      <c r="Y8" s="39" t="str">
        <f>IF([8]道具信息!Y8="","",[8]道具信息!Y8)</f>
        <v/>
      </c>
      <c r="Z8" s="39" t="str">
        <f>IF([8]道具信息!Z8="","",[8]道具信息!Z8)</f>
        <v/>
      </c>
    </row>
    <row r="9" spans="1:26" x14ac:dyDescent="0.15">
      <c r="A9" s="39" t="str">
        <f>IF([8]道具信息!A9="","",[8]道具信息!A9)</f>
        <v/>
      </c>
      <c r="B9" s="39" t="str">
        <f>IF([8]道具信息!B9="","",[8]道具信息!B9)</f>
        <v/>
      </c>
      <c r="C9" s="39" t="str">
        <f>IF([8]道具信息!C9="","",[8]道具信息!C9)</f>
        <v/>
      </c>
      <c r="D9" s="39" t="str">
        <f>IF([8]道具信息!D9="","",[8]道具信息!D9)</f>
        <v>橙+指定武将碎片</v>
      </c>
      <c r="E9" s="39">
        <f>IF([8]道具信息!E9="","",[8]道具信息!E9)</f>
        <v>480</v>
      </c>
      <c r="F9" s="39">
        <f>IF([8]道具信息!F9="","",[8]道具信息!F9)</f>
        <v>1</v>
      </c>
      <c r="G9" s="39">
        <f>IF([8]道具信息!G9="","",[8]道具信息!G9)</f>
        <v>1</v>
      </c>
      <c r="H9" s="39">
        <f>IF([8]道具信息!H9="","",[8]道具信息!H9)</f>
        <v>1</v>
      </c>
      <c r="I9" s="39">
        <f>IF([8]道具信息!I9="","",[8]道具信息!I9)</f>
        <v>480</v>
      </c>
      <c r="J9" s="39">
        <f>IF([8]道具信息!J9="","",[8]道具信息!J9)</f>
        <v>480</v>
      </c>
      <c r="K9" s="39">
        <f>IF([8]道具信息!K9="","",[8]道具信息!K9)</f>
        <v>480</v>
      </c>
      <c r="L9" s="39" t="str">
        <f>IF([8]道具信息!L9="","",[8]道具信息!L9)</f>
        <v>130武将碎片</v>
      </c>
      <c r="M9" s="39" t="str">
        <f>IF([8]道具信息!M9="","",[8]道具信息!M9)</f>
        <v/>
      </c>
      <c r="N9" s="39" t="str">
        <f>IF([8]道具信息!N9="","",[8]道具信息!N9)</f>
        <v/>
      </c>
      <c r="O9" s="39" t="str">
        <f>IF([8]道具信息!O9="","",[8]道具信息!O9)</f>
        <v/>
      </c>
      <c r="P9" s="39" t="str">
        <f>IF([8]道具信息!P9="","",[8]道具信息!P9)</f>
        <v/>
      </c>
      <c r="Q9" s="39" t="str">
        <f>IF([8]道具信息!Q9="","",[8]道具信息!Q9)</f>
        <v/>
      </c>
      <c r="R9" s="39" t="str">
        <f>IF([8]道具信息!R9="","",[8]道具信息!R9)</f>
        <v/>
      </c>
      <c r="S9" s="39" t="str">
        <f>IF([8]道具信息!S9="","",[8]道具信息!S9)</f>
        <v/>
      </c>
      <c r="T9" s="39" t="str">
        <f>IF([8]道具信息!T9="","",[8]道具信息!T9)</f>
        <v/>
      </c>
      <c r="U9" s="39" t="str">
        <f>IF([8]道具信息!U9="","",[8]道具信息!U9)</f>
        <v/>
      </c>
      <c r="V9" s="39" t="str">
        <f>IF([8]道具信息!V9="","",[8]道具信息!V9)</f>
        <v/>
      </c>
      <c r="W9" s="39" t="str">
        <f>IF([8]道具信息!W9="","",[8]道具信息!W9)</f>
        <v/>
      </c>
      <c r="X9" s="39" t="str">
        <f>IF([8]道具信息!X9="","",[8]道具信息!X9)</f>
        <v/>
      </c>
      <c r="Y9" s="39" t="str">
        <f>IF([8]道具信息!Y9="","",[8]道具信息!Y9)</f>
        <v/>
      </c>
      <c r="Z9" s="39" t="str">
        <f>IF([8]道具信息!Z9="","",[8]道具信息!Z9)</f>
        <v/>
      </c>
    </row>
    <row r="10" spans="1:26" x14ac:dyDescent="0.15">
      <c r="A10" s="39" t="str">
        <f>IF([8]道具信息!A10="","",[8]道具信息!A10)</f>
        <v/>
      </c>
      <c r="B10" s="39" t="str">
        <f>IF([8]道具信息!B10="","",[8]道具信息!B10)</f>
        <v/>
      </c>
      <c r="C10" s="39" t="str">
        <f>IF([8]道具信息!C10="","",[8]道具信息!C10)</f>
        <v/>
      </c>
      <c r="D10" s="39" t="str">
        <f>IF([8]道具信息!D10="","",[8]道具信息!D10)</f>
        <v>140指定武将</v>
      </c>
      <c r="E10" s="39">
        <f>IF([8]道具信息!E10="","",[8]道具信息!E10)</f>
        <v>43200</v>
      </c>
      <c r="F10" s="39">
        <f>IF([8]道具信息!F10="","",[8]道具信息!F10)</f>
        <v>1</v>
      </c>
      <c r="G10" s="39">
        <f>IF([8]道具信息!G10="","",[8]道具信息!G10)</f>
        <v>1</v>
      </c>
      <c r="H10" s="39">
        <f>IF([8]道具信息!H10="","",[8]道具信息!H10)</f>
        <v>1</v>
      </c>
      <c r="I10" s="39">
        <f>IF([8]道具信息!I10="","",[8]道具信息!I10)</f>
        <v>43200</v>
      </c>
      <c r="J10" s="39">
        <f>IF([8]道具信息!J10="","",[8]道具信息!J10)</f>
        <v>43200</v>
      </c>
      <c r="K10" s="39">
        <f>IF([8]道具信息!K10="","",[8]道具信息!K10)</f>
        <v>43200</v>
      </c>
      <c r="L10" s="39" t="str">
        <f>IF([8]道具信息!L10="","",[8]道具信息!L10)</f>
        <v/>
      </c>
      <c r="M10" s="39" t="str">
        <f>IF([8]道具信息!M10="","",[8]道具信息!M10)</f>
        <v/>
      </c>
      <c r="N10" s="39" t="str">
        <f>IF([8]道具信息!N10="","",[8]道具信息!N10)</f>
        <v/>
      </c>
      <c r="O10" s="39" t="str">
        <f>IF([8]道具信息!O10="","",[8]道具信息!O10)</f>
        <v/>
      </c>
      <c r="P10" s="39" t="str">
        <f>IF([8]道具信息!P10="","",[8]道具信息!P10)</f>
        <v>钻研加速/天</v>
      </c>
      <c r="Q10" s="39">
        <f>IF([8]道具信息!Q10="","",[8]道具信息!Q10)</f>
        <v>3395.1118588375975</v>
      </c>
      <c r="R10" s="39" t="str">
        <f>IF([8]道具信息!R10="","",[8]道具信息!R10)</f>
        <v/>
      </c>
      <c r="S10" s="39" t="str">
        <f>IF([8]道具信息!S10="","",[8]道具信息!S10)</f>
        <v/>
      </c>
      <c r="T10" s="39" t="str">
        <f>IF([8]道具信息!T10="","",[8]道具信息!T10)</f>
        <v/>
      </c>
      <c r="U10" s="39" t="str">
        <f>IF([8]道具信息!U10="","",[8]道具信息!U10)</f>
        <v/>
      </c>
      <c r="V10" s="39" t="str">
        <f>IF([8]道具信息!V10="","",[8]道具信息!V10)</f>
        <v/>
      </c>
      <c r="W10" s="39" t="str">
        <f>IF([8]道具信息!W10="","",[8]道具信息!W10)</f>
        <v/>
      </c>
      <c r="X10" s="39" t="str">
        <f>IF([8]道具信息!X10="","",[8]道具信息!X10)</f>
        <v/>
      </c>
      <c r="Y10" s="39" t="str">
        <f>IF([8]道具信息!Y10="","",[8]道具信息!Y10)</f>
        <v/>
      </c>
      <c r="Z10" s="39" t="str">
        <f>IF([8]道具信息!Z10="","",[8]道具信息!Z10)</f>
        <v/>
      </c>
    </row>
    <row r="11" spans="1:26" x14ac:dyDescent="0.15">
      <c r="A11" s="39" t="str">
        <f>IF([8]道具信息!A11="","",[8]道具信息!A11)</f>
        <v/>
      </c>
      <c r="B11" s="39" t="str">
        <f>IF([8]道具信息!B11="","",[8]道具信息!B11)</f>
        <v/>
      </c>
      <c r="C11" s="39" t="str">
        <f>IF([8]道具信息!C11="","",[8]道具信息!C11)</f>
        <v/>
      </c>
      <c r="D11" s="39" t="str">
        <f>IF([8]道具信息!D11="","",[8]道具信息!D11)</f>
        <v>140指定武将碎片</v>
      </c>
      <c r="E11" s="39">
        <f>IF([8]道具信息!E11="","",[8]道具信息!E11)</f>
        <v>864</v>
      </c>
      <c r="F11" s="39">
        <f>IF([8]道具信息!F11="","",[8]道具信息!F11)</f>
        <v>1</v>
      </c>
      <c r="G11" s="39">
        <f>IF([8]道具信息!G11="","",[8]道具信息!G11)</f>
        <v>1</v>
      </c>
      <c r="H11" s="39">
        <f>IF([8]道具信息!H11="","",[8]道具信息!H11)</f>
        <v>1</v>
      </c>
      <c r="I11" s="39">
        <f>IF([8]道具信息!I11="","",[8]道具信息!I11)</f>
        <v>864</v>
      </c>
      <c r="J11" s="39">
        <f>IF([8]道具信息!J11="","",[8]道具信息!J11)</f>
        <v>864</v>
      </c>
      <c r="K11" s="39">
        <f>IF([8]道具信息!K11="","",[8]道具信息!K11)</f>
        <v>864</v>
      </c>
      <c r="L11" s="39" t="str">
        <f>IF([8]道具信息!L11="","",[8]道具信息!L11)</f>
        <v/>
      </c>
      <c r="M11" s="39" t="str">
        <f>IF([8]道具信息!M11="","",[8]道具信息!M11)</f>
        <v/>
      </c>
      <c r="N11" s="39" t="str">
        <f>IF([8]道具信息!N11="","",[8]道具信息!N11)</f>
        <v/>
      </c>
      <c r="O11" s="39" t="str">
        <f>IF([8]道具信息!O11="","",[8]道具信息!O11)</f>
        <v/>
      </c>
      <c r="P11" s="39" t="str">
        <f>IF([8]道具信息!P11="","",[8]道具信息!P11)</f>
        <v>木材产出加速/天</v>
      </c>
      <c r="Q11" s="39">
        <f>IF([8]道具信息!Q11="","",[8]道具信息!Q11)</f>
        <v>135.51397311474921</v>
      </c>
      <c r="R11" s="39" t="str">
        <f>IF([8]道具信息!R11="","",[8]道具信息!R11)</f>
        <v/>
      </c>
      <c r="S11" s="39" t="str">
        <f>IF([8]道具信息!S11="","",[8]道具信息!S11)</f>
        <v/>
      </c>
      <c r="T11" s="39" t="str">
        <f>IF([8]道具信息!T11="","",[8]道具信息!T11)</f>
        <v/>
      </c>
      <c r="U11" s="39" t="str">
        <f>IF([8]道具信息!U11="","",[8]道具信息!U11)</f>
        <v/>
      </c>
      <c r="V11" s="39" t="str">
        <f>IF([8]道具信息!V11="","",[8]道具信息!V11)</f>
        <v/>
      </c>
      <c r="W11" s="39" t="str">
        <f>IF([8]道具信息!W11="","",[8]道具信息!W11)</f>
        <v/>
      </c>
      <c r="X11" s="39" t="str">
        <f>IF([8]道具信息!X11="","",[8]道具信息!X11)</f>
        <v/>
      </c>
      <c r="Y11" s="39" t="str">
        <f>IF([8]道具信息!Y11="","",[8]道具信息!Y11)</f>
        <v/>
      </c>
      <c r="Z11" s="39" t="str">
        <f>IF([8]道具信息!Z11="","",[8]道具信息!Z11)</f>
        <v/>
      </c>
    </row>
    <row r="12" spans="1:26" x14ac:dyDescent="0.15">
      <c r="A12" s="39" t="str">
        <f>IF([8]道具信息!A12="","",[8]道具信息!A12)</f>
        <v/>
      </c>
      <c r="B12" s="39" t="str">
        <f>IF([8]道具信息!B12="","",[8]道具信息!B12)</f>
        <v/>
      </c>
      <c r="C12" s="39" t="str">
        <f>IF([8]道具信息!C12="","",[8]道具信息!C12)</f>
        <v/>
      </c>
      <c r="D12" s="39" t="str">
        <f>IF([8]道具信息!D12="","",[8]道具信息!D12)</f>
        <v>黄金</v>
      </c>
      <c r="E12" s="39">
        <f>IF([8]道具信息!E12="","",[8]道具信息!E12)</f>
        <v>1</v>
      </c>
      <c r="F12" s="39">
        <f>IF([8]道具信息!F12="","",[8]道具信息!F12)</f>
        <v>1</v>
      </c>
      <c r="G12" s="39">
        <f>IF([8]道具信息!G12="","",[8]道具信息!G12)</f>
        <v>1</v>
      </c>
      <c r="H12" s="39">
        <f>IF([8]道具信息!H12="","",[8]道具信息!H12)</f>
        <v>1</v>
      </c>
      <c r="I12" s="39">
        <f>IF([8]道具信息!I12="","",[8]道具信息!I12)</f>
        <v>1</v>
      </c>
      <c r="J12" s="39">
        <f>IF([8]道具信息!J12="","",[8]道具信息!J12)</f>
        <v>1</v>
      </c>
      <c r="K12" s="39">
        <f>IF([8]道具信息!K12="","",[8]道具信息!K12)</f>
        <v>1</v>
      </c>
      <c r="L12" s="39" t="str">
        <f>IF([8]道具信息!L12="","",[8]道具信息!L12)</f>
        <v/>
      </c>
      <c r="M12" s="39" t="str">
        <f>IF([8]道具信息!M12="","",[8]道具信息!M12)</f>
        <v/>
      </c>
      <c r="N12" s="39" t="str">
        <f>IF([8]道具信息!N12="","",[8]道具信息!N12)</f>
        <v/>
      </c>
      <c r="O12" s="39" t="str">
        <f>IF([8]道具信息!O12="","",[8]道具信息!O12)</f>
        <v/>
      </c>
      <c r="P12" s="39" t="str">
        <f>IF([8]道具信息!P12="","",[8]道具信息!P12)</f>
        <v>石料产出加速/天</v>
      </c>
      <c r="Q12" s="39">
        <f>IF([8]道具信息!Q12="","",[8]道具信息!Q12)</f>
        <v>135.51397311474921</v>
      </c>
      <c r="R12" s="39" t="str">
        <f>IF([8]道具信息!R12="","",[8]道具信息!R12)</f>
        <v/>
      </c>
      <c r="S12" s="39" t="str">
        <f>IF([8]道具信息!S12="","",[8]道具信息!S12)</f>
        <v/>
      </c>
      <c r="T12" s="39" t="str">
        <f>IF([8]道具信息!T12="","",[8]道具信息!T12)</f>
        <v/>
      </c>
      <c r="U12" s="39" t="str">
        <f>IF([8]道具信息!U12="","",[8]道具信息!U12)</f>
        <v/>
      </c>
      <c r="V12" s="39" t="str">
        <f>IF([8]道具信息!V12="","",[8]道具信息!V12)</f>
        <v/>
      </c>
      <c r="W12" s="39" t="str">
        <f>IF([8]道具信息!W12="","",[8]道具信息!W12)</f>
        <v/>
      </c>
      <c r="X12" s="39" t="str">
        <f>IF([8]道具信息!X12="","",[8]道具信息!X12)</f>
        <v/>
      </c>
      <c r="Y12" s="39" t="str">
        <f>IF([8]道具信息!Y12="","",[8]道具信息!Y12)</f>
        <v/>
      </c>
      <c r="Z12" s="39" t="str">
        <f>IF([8]道具信息!Z12="","",[8]道具信息!Z12)</f>
        <v/>
      </c>
    </row>
    <row r="13" spans="1:26" x14ac:dyDescent="0.15">
      <c r="A13" s="39" t="str">
        <f>IF([8]道具信息!A13="","",[8]道具信息!A13)</f>
        <v/>
      </c>
      <c r="B13" s="39" t="str">
        <f>IF([8]道具信息!B13="","",[8]道具信息!B13)</f>
        <v/>
      </c>
      <c r="C13" s="39" t="str">
        <f>IF([8]道具信息!C13="","",[8]道具信息!C13)</f>
        <v/>
      </c>
      <c r="D13" s="39" t="str">
        <f>IF([8]道具信息!D13="","",[8]道具信息!D13)</f>
        <v>粮食</v>
      </c>
      <c r="E13" s="39">
        <f>IF([8]道具信息!E13="","",[8]道具信息!E13)</f>
        <v>1.5532103913430703E-4</v>
      </c>
      <c r="F13" s="39">
        <f>IF([8]道具信息!F13="","",[8]道具信息!F13)</f>
        <v>1</v>
      </c>
      <c r="G13" s="39">
        <f>IF([8]道具信息!G13="","",[8]道具信息!G13)</f>
        <v>1</v>
      </c>
      <c r="H13" s="39">
        <f>IF([8]道具信息!H13="","",[8]道具信息!H13)</f>
        <v>0.5</v>
      </c>
      <c r="I13" s="39">
        <f>IF([8]道具信息!I13="","",[8]道具信息!I13)</f>
        <v>1.5532103913430703E-4</v>
      </c>
      <c r="J13" s="39">
        <f>IF([8]道具信息!J13="","",[8]道具信息!J13)</f>
        <v>1.5532103913430703E-4</v>
      </c>
      <c r="K13" s="39">
        <f>IF([8]道具信息!K13="","",[8]道具信息!K13)</f>
        <v>7.7660519567153514E-5</v>
      </c>
      <c r="L13" s="39" t="str">
        <f>IF([8]道具信息!L13="","",[8]道具信息!L13)</f>
        <v/>
      </c>
      <c r="M13" s="39" t="str">
        <f>IF([8]道具信息!M13="","",[8]道具信息!M13)</f>
        <v/>
      </c>
      <c r="N13" s="39" t="str">
        <f>IF([8]道具信息!N13="","",[8]道具信息!N13)</f>
        <v/>
      </c>
      <c r="O13" s="39" t="str">
        <f>IF([8]道具信息!O13="","",[8]道具信息!O13)</f>
        <v/>
      </c>
      <c r="P13" s="39" t="str">
        <f>IF([8]道具信息!P13="","",[8]道具信息!P13)</f>
        <v>铜矿产出加速/天</v>
      </c>
      <c r="Q13" s="39">
        <f>IF([8]道具信息!Q13="","",[8]道具信息!Q13)</f>
        <v>135.51397311474921</v>
      </c>
      <c r="R13" s="39" t="str">
        <f>IF([8]道具信息!R13="","",[8]道具信息!R13)</f>
        <v/>
      </c>
      <c r="S13" s="39" t="str">
        <f>IF([8]道具信息!S13="","",[8]道具信息!S13)</f>
        <v/>
      </c>
      <c r="T13" s="39" t="str">
        <f>IF([8]道具信息!T13="","",[8]道具信息!T13)</f>
        <v/>
      </c>
      <c r="U13" s="39" t="str">
        <f>IF([8]道具信息!U13="","",[8]道具信息!U13)</f>
        <v/>
      </c>
      <c r="V13" s="39" t="str">
        <f>IF([8]道具信息!V13="","",[8]道具信息!V13)</f>
        <v/>
      </c>
      <c r="W13" s="39" t="str">
        <f>IF([8]道具信息!W13="","",[8]道具信息!W13)</f>
        <v/>
      </c>
      <c r="X13" s="39" t="str">
        <f>IF([8]道具信息!X13="","",[8]道具信息!X13)</f>
        <v/>
      </c>
      <c r="Y13" s="39" t="str">
        <f>IF([8]道具信息!Y13="","",[8]道具信息!Y13)</f>
        <v/>
      </c>
      <c r="Z13" s="39" t="str">
        <f>IF([8]道具信息!Z13="","",[8]道具信息!Z13)</f>
        <v/>
      </c>
    </row>
    <row r="14" spans="1:26" x14ac:dyDescent="0.15">
      <c r="A14" s="39" t="str">
        <f>IF([8]道具信息!A14="","",[8]道具信息!A14)</f>
        <v/>
      </c>
      <c r="B14" s="39" t="str">
        <f>IF([8]道具信息!B14="","",[8]道具信息!B14)</f>
        <v/>
      </c>
      <c r="C14" s="39" t="str">
        <f>IF([8]道具信息!C14="","",[8]道具信息!C14)</f>
        <v/>
      </c>
      <c r="D14" s="39" t="str">
        <f>IF([8]道具信息!D14="","",[8]道具信息!D14)</f>
        <v>木材</v>
      </c>
      <c r="E14" s="39">
        <f>IF([8]道具信息!E14="","",[8]道具信息!E14)</f>
        <v>1.5532103913430703E-4</v>
      </c>
      <c r="F14" s="39">
        <f>IF([8]道具信息!F14="","",[8]道具信息!F14)</f>
        <v>1</v>
      </c>
      <c r="G14" s="39">
        <f>IF([8]道具信息!G14="","",[8]道具信息!G14)</f>
        <v>1</v>
      </c>
      <c r="H14" s="39">
        <f>IF([8]道具信息!H14="","",[8]道具信息!H14)</f>
        <v>0.5</v>
      </c>
      <c r="I14" s="39">
        <f>IF([8]道具信息!I14="","",[8]道具信息!I14)</f>
        <v>1.5532103913430703E-4</v>
      </c>
      <c r="J14" s="39">
        <f>IF([8]道具信息!J14="","",[8]道具信息!J14)</f>
        <v>1.5532103913430703E-4</v>
      </c>
      <c r="K14" s="39">
        <f>IF([8]道具信息!K14="","",[8]道具信息!K14)</f>
        <v>7.7660519567153514E-5</v>
      </c>
      <c r="L14" s="39" t="str">
        <f>IF([8]道具信息!L14="","",[8]道具信息!L14)</f>
        <v/>
      </c>
      <c r="M14" s="39" t="str">
        <f>IF([8]道具信息!M14="","",[8]道具信息!M14)</f>
        <v/>
      </c>
      <c r="N14" s="39" t="str">
        <f>IF([8]道具信息!N14="","",[8]道具信息!N14)</f>
        <v/>
      </c>
      <c r="O14" s="39" t="str">
        <f>IF([8]道具信息!O14="","",[8]道具信息!O14)</f>
        <v/>
      </c>
      <c r="P14" s="39" t="str">
        <f>IF([8]道具信息!P14="","",[8]道具信息!P14)</f>
        <v>粮食产出加速/天</v>
      </c>
      <c r="Q14" s="39">
        <f>IF([8]道具信息!Q14="","",[8]道具信息!Q14)</f>
        <v>135.51397311474921</v>
      </c>
      <c r="R14" s="39" t="str">
        <f>IF([8]道具信息!R14="","",[8]道具信息!R14)</f>
        <v/>
      </c>
      <c r="S14" s="39" t="str">
        <f>IF([8]道具信息!S14="","",[8]道具信息!S14)</f>
        <v/>
      </c>
      <c r="T14" s="39" t="str">
        <f>IF([8]道具信息!T14="","",[8]道具信息!T14)</f>
        <v/>
      </c>
      <c r="U14" s="39" t="str">
        <f>IF([8]道具信息!U14="","",[8]道具信息!U14)</f>
        <v/>
      </c>
      <c r="V14" s="39" t="str">
        <f>IF([8]道具信息!V14="","",[8]道具信息!V14)</f>
        <v/>
      </c>
      <c r="W14" s="39" t="str">
        <f>IF([8]道具信息!W14="","",[8]道具信息!W14)</f>
        <v/>
      </c>
      <c r="X14" s="39" t="str">
        <f>IF([8]道具信息!X14="","",[8]道具信息!X14)</f>
        <v/>
      </c>
      <c r="Y14" s="39" t="str">
        <f>IF([8]道具信息!Y14="","",[8]道具信息!Y14)</f>
        <v/>
      </c>
      <c r="Z14" s="39" t="str">
        <f>IF([8]道具信息!Z14="","",[8]道具信息!Z14)</f>
        <v/>
      </c>
    </row>
    <row r="15" spans="1:26" x14ac:dyDescent="0.15">
      <c r="A15" s="39" t="str">
        <f>IF([8]道具信息!A15="","",[8]道具信息!A15)</f>
        <v/>
      </c>
      <c r="B15" s="39" t="str">
        <f>IF([8]道具信息!B15="","",[8]道具信息!B15)</f>
        <v/>
      </c>
      <c r="C15" s="39" t="str">
        <f>IF([8]道具信息!C15="","",[8]道具信息!C15)</f>
        <v/>
      </c>
      <c r="D15" s="39" t="str">
        <f>IF([8]道具信息!D15="","",[8]道具信息!D15)</f>
        <v>石料</v>
      </c>
      <c r="E15" s="39">
        <f>IF([8]道具信息!E15="","",[8]道具信息!E15)</f>
        <v>1.5532103913430703E-4</v>
      </c>
      <c r="F15" s="39">
        <f>IF([8]道具信息!F15="","",[8]道具信息!F15)</f>
        <v>1</v>
      </c>
      <c r="G15" s="39">
        <f>IF([8]道具信息!G15="","",[8]道具信息!G15)</f>
        <v>1</v>
      </c>
      <c r="H15" s="39">
        <f>IF([8]道具信息!H15="","",[8]道具信息!H15)</f>
        <v>0.5</v>
      </c>
      <c r="I15" s="39">
        <f>IF([8]道具信息!I15="","",[8]道具信息!I15)</f>
        <v>1.5532103913430703E-4</v>
      </c>
      <c r="J15" s="39">
        <f>IF([8]道具信息!J15="","",[8]道具信息!J15)</f>
        <v>1.5532103913430703E-4</v>
      </c>
      <c r="K15" s="39">
        <f>IF([8]道具信息!K15="","",[8]道具信息!K15)</f>
        <v>7.7660519567153514E-5</v>
      </c>
      <c r="L15" s="39" t="str">
        <f>IF([8]道具信息!L15="","",[8]道具信息!L15)</f>
        <v/>
      </c>
      <c r="M15" s="39" t="str">
        <f>IF([8]道具信息!M15="","",[8]道具信息!M15)</f>
        <v/>
      </c>
      <c r="N15" s="39" t="str">
        <f>IF([8]道具信息!N15="","",[8]道具信息!N15)</f>
        <v/>
      </c>
      <c r="O15" s="39" t="str">
        <f>IF([8]道具信息!O15="","",[8]道具信息!O15)</f>
        <v/>
      </c>
      <c r="P15" s="39" t="str">
        <f>IF([8]道具信息!P15="","",[8]道具信息!P15)</f>
        <v>铁矿产出加速/天</v>
      </c>
      <c r="Q15" s="39">
        <f>IF([8]道具信息!Q15="","",[8]道具信息!Q15)</f>
        <v>203.27095967212384</v>
      </c>
      <c r="R15" s="39" t="str">
        <f>IF([8]道具信息!R15="","",[8]道具信息!R15)</f>
        <v/>
      </c>
      <c r="S15" s="39" t="str">
        <f>IF([8]道具信息!S15="","",[8]道具信息!S15)</f>
        <v/>
      </c>
      <c r="T15" s="39" t="str">
        <f>IF([8]道具信息!T15="","",[8]道具信息!T15)</f>
        <v/>
      </c>
      <c r="U15" s="39" t="str">
        <f>IF([8]道具信息!U15="","",[8]道具信息!U15)</f>
        <v/>
      </c>
      <c r="V15" s="39" t="str">
        <f>IF([8]道具信息!V15="","",[8]道具信息!V15)</f>
        <v/>
      </c>
      <c r="W15" s="39" t="str">
        <f>IF([8]道具信息!W15="","",[8]道具信息!W15)</f>
        <v/>
      </c>
      <c r="X15" s="39" t="str">
        <f>IF([8]道具信息!X15="","",[8]道具信息!X15)</f>
        <v/>
      </c>
      <c r="Y15" s="39" t="str">
        <f>IF([8]道具信息!Y15="","",[8]道具信息!Y15)</f>
        <v/>
      </c>
      <c r="Z15" s="39" t="str">
        <f>IF([8]道具信息!Z15="","",[8]道具信息!Z15)</f>
        <v/>
      </c>
    </row>
    <row r="16" spans="1:26" x14ac:dyDescent="0.15">
      <c r="A16" s="39" t="str">
        <f>IF([8]道具信息!A16="","",[8]道具信息!A16)</f>
        <v/>
      </c>
      <c r="B16" s="39" t="str">
        <f>IF([8]道具信息!B16="","",[8]道具信息!B16)</f>
        <v/>
      </c>
      <c r="C16" s="39" t="str">
        <f>IF([8]道具信息!C16="","",[8]道具信息!C16)</f>
        <v/>
      </c>
      <c r="D16" s="39" t="str">
        <f>IF([8]道具信息!D16="","",[8]道具信息!D16)</f>
        <v>铜矿</v>
      </c>
      <c r="E16" s="39">
        <f>IF([8]道具信息!E16="","",[8]道具信息!E16)</f>
        <v>1.5532103913430703E-4</v>
      </c>
      <c r="F16" s="39">
        <f>IF([8]道具信息!F16="","",[8]道具信息!F16)</f>
        <v>1</v>
      </c>
      <c r="G16" s="39">
        <f>IF([8]道具信息!G16="","",[8]道具信息!G16)</f>
        <v>1</v>
      </c>
      <c r="H16" s="39">
        <f>IF([8]道具信息!H16="","",[8]道具信息!H16)</f>
        <v>0.5</v>
      </c>
      <c r="I16" s="39">
        <f>IF([8]道具信息!I16="","",[8]道具信息!I16)</f>
        <v>1.5532103913430703E-4</v>
      </c>
      <c r="J16" s="39">
        <f>IF([8]道具信息!J16="","",[8]道具信息!J16)</f>
        <v>1.5532103913430703E-4</v>
      </c>
      <c r="K16" s="39">
        <f>IF([8]道具信息!K16="","",[8]道具信息!K16)</f>
        <v>7.7660519567153514E-5</v>
      </c>
      <c r="L16" s="39" t="str">
        <f>IF([8]道具信息!L16="","",[8]道具信息!L16)</f>
        <v/>
      </c>
      <c r="M16" s="39" t="str">
        <f>IF([8]道具信息!M16="","",[8]道具信息!M16)</f>
        <v/>
      </c>
      <c r="N16" s="39" t="str">
        <f>IF([8]道具信息!N16="","",[8]道具信息!N16)</f>
        <v/>
      </c>
      <c r="O16" s="39" t="str">
        <f>IF([8]道具信息!O16="","",[8]道具信息!O16)</f>
        <v/>
      </c>
      <c r="P16" s="39" t="str">
        <f>IF([8]道具信息!P16="","",[8]道具信息!P16)</f>
        <v>刀币产出加速/天</v>
      </c>
      <c r="Q16" s="39">
        <f>IF([8]道具信息!Q16="","",[8]道具信息!Q16)</f>
        <v>1054.300188289244</v>
      </c>
      <c r="R16" s="39" t="str">
        <f>IF([8]道具信息!R16="","",[8]道具信息!R16)</f>
        <v/>
      </c>
      <c r="S16" s="39" t="str">
        <f>IF([8]道具信息!S16="","",[8]道具信息!S16)</f>
        <v/>
      </c>
      <c r="T16" s="39" t="str">
        <f>IF([8]道具信息!T16="","",[8]道具信息!T16)</f>
        <v/>
      </c>
      <c r="U16" s="39" t="str">
        <f>IF([8]道具信息!U16="","",[8]道具信息!U16)</f>
        <v/>
      </c>
      <c r="V16" s="39" t="str">
        <f>IF([8]道具信息!V16="","",[8]道具信息!V16)</f>
        <v/>
      </c>
      <c r="W16" s="39" t="str">
        <f>IF([8]道具信息!W16="","",[8]道具信息!W16)</f>
        <v/>
      </c>
      <c r="X16" s="39" t="str">
        <f>IF([8]道具信息!X16="","",[8]道具信息!X16)</f>
        <v/>
      </c>
      <c r="Y16" s="39" t="str">
        <f>IF([8]道具信息!Y16="","",[8]道具信息!Y16)</f>
        <v/>
      </c>
      <c r="Z16" s="39" t="str">
        <f>IF([8]道具信息!Z16="","",[8]道具信息!Z16)</f>
        <v/>
      </c>
    </row>
    <row r="17" spans="1:26" x14ac:dyDescent="0.15">
      <c r="A17" s="39" t="str">
        <f>IF([8]道具信息!A17="","",[8]道具信息!A17)</f>
        <v/>
      </c>
      <c r="B17" s="39" t="str">
        <f>IF([8]道具信息!B17="","",[8]道具信息!B17)</f>
        <v/>
      </c>
      <c r="C17" s="39" t="str">
        <f>IF([8]道具信息!C17="","",[8]道具信息!C17)</f>
        <v/>
      </c>
      <c r="D17" s="39" t="str">
        <f>IF([8]道具信息!D17="","",[8]道具信息!D17)</f>
        <v>铁矿</v>
      </c>
      <c r="E17" s="39">
        <f>IF([8]道具信息!E17="","",[8]道具信息!E17)</f>
        <v>3.5829912265154037E-4</v>
      </c>
      <c r="F17" s="39">
        <f>IF([8]道具信息!F17="","",[8]道具信息!F17)</f>
        <v>1</v>
      </c>
      <c r="G17" s="39">
        <f>IF([8]道具信息!G17="","",[8]道具信息!G17)</f>
        <v>1</v>
      </c>
      <c r="H17" s="39">
        <f>IF([8]道具信息!H17="","",[8]道具信息!H17)</f>
        <v>0.5</v>
      </c>
      <c r="I17" s="39">
        <f>IF([8]道具信息!I17="","",[8]道具信息!I17)</f>
        <v>3.5829912265154037E-4</v>
      </c>
      <c r="J17" s="39">
        <f>IF([8]道具信息!J17="","",[8]道具信息!J17)</f>
        <v>3.5829912265154037E-4</v>
      </c>
      <c r="K17" s="39">
        <f>IF([8]道具信息!K17="","",[8]道具信息!K17)</f>
        <v>1.7914956132577018E-4</v>
      </c>
      <c r="L17" s="39" t="str">
        <f>IF([8]道具信息!L17="","",[8]道具信息!L17)</f>
        <v/>
      </c>
      <c r="M17" s="39" t="str">
        <f>IF([8]道具信息!M17="","",[8]道具信息!M17)</f>
        <v/>
      </c>
      <c r="N17" s="39" t="str">
        <f>IF([8]道具信息!N17="","",[8]道具信息!N17)</f>
        <v/>
      </c>
      <c r="O17" s="39" t="str">
        <f>IF([8]道具信息!O17="","",[8]道具信息!O17)</f>
        <v/>
      </c>
      <c r="P17" s="39" t="str">
        <f>IF([8]道具信息!P17="","",[8]道具信息!P17)</f>
        <v>木材采集加速/天</v>
      </c>
      <c r="Q17" s="39">
        <f>IF([8]道具信息!Q17="","",[8]道具信息!Q17)</f>
        <v>189.98875225679629</v>
      </c>
      <c r="R17" s="39" t="str">
        <f>IF([8]道具信息!R17="","",[8]道具信息!R17)</f>
        <v/>
      </c>
      <c r="S17" s="39" t="str">
        <f>IF([8]道具信息!S17="","",[8]道具信息!S17)</f>
        <v/>
      </c>
      <c r="T17" s="39" t="str">
        <f>IF([8]道具信息!T17="","",[8]道具信息!T17)</f>
        <v/>
      </c>
      <c r="U17" s="39" t="str">
        <f>IF([8]道具信息!U17="","",[8]道具信息!U17)</f>
        <v/>
      </c>
      <c r="V17" s="39" t="str">
        <f>IF([8]道具信息!V17="","",[8]道具信息!V17)</f>
        <v/>
      </c>
      <c r="W17" s="39" t="str">
        <f>IF([8]道具信息!W17="","",[8]道具信息!W17)</f>
        <v/>
      </c>
      <c r="X17" s="39" t="str">
        <f>IF([8]道具信息!X17="","",[8]道具信息!X17)</f>
        <v/>
      </c>
      <c r="Y17" s="39" t="str">
        <f>IF([8]道具信息!Y17="","",[8]道具信息!Y17)</f>
        <v/>
      </c>
      <c r="Z17" s="39" t="str">
        <f>IF([8]道具信息!Z17="","",[8]道具信息!Z17)</f>
        <v/>
      </c>
    </row>
    <row r="18" spans="1:26" x14ac:dyDescent="0.15">
      <c r="A18" s="39" t="str">
        <f>IF([8]道具信息!A18="","",[8]道具信息!A18)</f>
        <v/>
      </c>
      <c r="B18" s="39" t="str">
        <f>IF([8]道具信息!B18="","",[8]道具信息!B18)</f>
        <v/>
      </c>
      <c r="C18" s="39" t="str">
        <f>IF([8]道具信息!C18="","",[8]道具信息!C18)</f>
        <v/>
      </c>
      <c r="D18" s="39" t="str">
        <f>IF([8]道具信息!D18="","",[8]道具信息!D18)</f>
        <v>刀币</v>
      </c>
      <c r="E18" s="39">
        <f>IF([8]道具信息!E18="","",[8]道具信息!E18)</f>
        <v>1.5625000000000001E-3</v>
      </c>
      <c r="F18" s="39">
        <f>IF([8]道具信息!F18="","",[8]道具信息!F18)</f>
        <v>1</v>
      </c>
      <c r="G18" s="39">
        <f>IF([8]道具信息!G18="","",[8]道具信息!G18)</f>
        <v>1</v>
      </c>
      <c r="H18" s="39">
        <f>IF([8]道具信息!H18="","",[8]道具信息!H18)</f>
        <v>0.7</v>
      </c>
      <c r="I18" s="39">
        <f>IF([8]道具信息!I18="","",[8]道具信息!I18)</f>
        <v>1.5625000000000001E-3</v>
      </c>
      <c r="J18" s="39">
        <f>IF([8]道具信息!J18="","",[8]道具信息!J18)</f>
        <v>1.5625000000000001E-3</v>
      </c>
      <c r="K18" s="39">
        <f>IF([8]道具信息!K18="","",[8]道具信息!K18)</f>
        <v>1.0937499999999999E-3</v>
      </c>
      <c r="L18" s="39" t="str">
        <f>IF([8]道具信息!L18="","",[8]道具信息!L18)</f>
        <v/>
      </c>
      <c r="M18" s="39" t="str">
        <f>IF([8]道具信息!M18="","",[8]道具信息!M18)</f>
        <v/>
      </c>
      <c r="N18" s="39" t="str">
        <f>IF([8]道具信息!N18="","",[8]道具信息!N18)</f>
        <v/>
      </c>
      <c r="O18" s="39" t="str">
        <f>IF([8]道具信息!O18="","",[8]道具信息!O18)</f>
        <v/>
      </c>
      <c r="P18" s="39" t="str">
        <f>IF([8]道具信息!P18="","",[8]道具信息!P18)</f>
        <v>石料采集加速/天</v>
      </c>
      <c r="Q18" s="39">
        <f>IF([8]道具信息!Q18="","",[8]道具信息!Q18)</f>
        <v>189.98875225679629</v>
      </c>
      <c r="R18" s="39" t="str">
        <f>IF([8]道具信息!R18="","",[8]道具信息!R18)</f>
        <v/>
      </c>
      <c r="S18" s="39" t="str">
        <f>IF([8]道具信息!S18="","",[8]道具信息!S18)</f>
        <v/>
      </c>
      <c r="T18" s="39" t="str">
        <f>IF([8]道具信息!T18="","",[8]道具信息!T18)</f>
        <v/>
      </c>
      <c r="U18" s="39" t="str">
        <f>IF([8]道具信息!U18="","",[8]道具信息!U18)</f>
        <v/>
      </c>
      <c r="V18" s="39" t="str">
        <f>IF([8]道具信息!V18="","",[8]道具信息!V18)</f>
        <v/>
      </c>
      <c r="W18" s="39" t="str">
        <f>IF([8]道具信息!W18="","",[8]道具信息!W18)</f>
        <v/>
      </c>
      <c r="X18" s="39" t="str">
        <f>IF([8]道具信息!X18="","",[8]道具信息!X18)</f>
        <v/>
      </c>
      <c r="Y18" s="39" t="str">
        <f>IF([8]道具信息!Y18="","",[8]道具信息!Y18)</f>
        <v/>
      </c>
      <c r="Z18" s="39" t="str">
        <f>IF([8]道具信息!Z18="","",[8]道具信息!Z18)</f>
        <v/>
      </c>
    </row>
    <row r="19" spans="1:26" x14ac:dyDescent="0.15">
      <c r="A19" s="39" t="str">
        <f>IF([8]道具信息!A19="","",[8]道具信息!A19)</f>
        <v/>
      </c>
      <c r="B19" s="39" t="str">
        <f>IF([8]道具信息!B19="","",[8]道具信息!B19)</f>
        <v/>
      </c>
      <c r="C19" s="39" t="str">
        <f>IF([8]道具信息!C19="","",[8]道具信息!C19)</f>
        <v/>
      </c>
      <c r="D19" s="39" t="str">
        <f>IF([8]道具信息!D19="","",[8]道具信息!D19)</f>
        <v>玉珏</v>
      </c>
      <c r="E19" s="39">
        <f>IF([8]道具信息!E19="","",[8]道具信息!E19)</f>
        <v>1</v>
      </c>
      <c r="F19" s="39">
        <f>IF([8]道具信息!F19="","",[8]道具信息!F19)</f>
        <v>1</v>
      </c>
      <c r="G19" s="39">
        <f>IF([8]道具信息!G19="","",[8]道具信息!G19)</f>
        <v>1</v>
      </c>
      <c r="H19" s="39">
        <f>IF([8]道具信息!H19="","",[8]道具信息!H19)</f>
        <v>1</v>
      </c>
      <c r="I19" s="39">
        <f>IF([8]道具信息!I19="","",[8]道具信息!I19)</f>
        <v>1</v>
      </c>
      <c r="J19" s="39">
        <f>IF([8]道具信息!J19="","",[8]道具信息!J19)</f>
        <v>1</v>
      </c>
      <c r="K19" s="39">
        <f>IF([8]道具信息!K19="","",[8]道具信息!K19)</f>
        <v>1</v>
      </c>
      <c r="L19" s="39" t="str">
        <f>IF([8]道具信息!L19="","",[8]道具信息!L19)</f>
        <v/>
      </c>
      <c r="M19" s="39" t="str">
        <f>IF([8]道具信息!M19="","",[8]道具信息!M19)</f>
        <v/>
      </c>
      <c r="N19" s="39" t="str">
        <f>IF([8]道具信息!N19="","",[8]道具信息!N19)</f>
        <v/>
      </c>
      <c r="O19" s="39" t="str">
        <f>IF([8]道具信息!O19="","",[8]道具信息!O19)</f>
        <v/>
      </c>
      <c r="P19" s="39" t="str">
        <f>IF([8]道具信息!P19="","",[8]道具信息!P19)</f>
        <v>铜矿采集加速/天</v>
      </c>
      <c r="Q19" s="39">
        <f>IF([8]道具信息!Q19="","",[8]道具信息!Q19)</f>
        <v>189.98875225679629</v>
      </c>
      <c r="R19" s="39" t="str">
        <f>IF([8]道具信息!R19="","",[8]道具信息!R19)</f>
        <v/>
      </c>
      <c r="S19" s="39" t="str">
        <f>IF([8]道具信息!S19="","",[8]道具信息!S19)</f>
        <v/>
      </c>
      <c r="T19" s="39" t="str">
        <f>IF([8]道具信息!T19="","",[8]道具信息!T19)</f>
        <v/>
      </c>
      <c r="U19" s="39" t="str">
        <f>IF([8]道具信息!U19="","",[8]道具信息!U19)</f>
        <v/>
      </c>
      <c r="V19" s="39" t="str">
        <f>IF([8]道具信息!V19="","",[8]道具信息!V19)</f>
        <v/>
      </c>
      <c r="W19" s="39" t="str">
        <f>IF([8]道具信息!W19="","",[8]道具信息!W19)</f>
        <v/>
      </c>
      <c r="X19" s="39" t="str">
        <f>IF([8]道具信息!X19="","",[8]道具信息!X19)</f>
        <v/>
      </c>
      <c r="Y19" s="39" t="str">
        <f>IF([8]道具信息!Y19="","",[8]道具信息!Y19)</f>
        <v/>
      </c>
      <c r="Z19" s="39" t="str">
        <f>IF([8]道具信息!Z19="","",[8]道具信息!Z19)</f>
        <v/>
      </c>
    </row>
    <row r="20" spans="1:26" x14ac:dyDescent="0.15">
      <c r="A20" s="39" t="str">
        <f>IF([8]道具信息!A20="","",[8]道具信息!A20)</f>
        <v/>
      </c>
      <c r="B20" s="39" t="str">
        <f>IF([8]道具信息!B20="","",[8]道具信息!B20)</f>
        <v/>
      </c>
      <c r="C20" s="39" t="str">
        <f>IF([8]道具信息!C20="","",[8]道具信息!C20)</f>
        <v/>
      </c>
      <c r="D20" s="39" t="str">
        <f>IF([8]道具信息!D20="","",[8]道具信息!D20)</f>
        <v>清剿令</v>
      </c>
      <c r="E20" s="39">
        <f>IF([8]道具信息!E20="","",[8]道具信息!E20)</f>
        <v>75</v>
      </c>
      <c r="F20" s="39">
        <f>IF([8]道具信息!F20="","",[8]道具信息!F20)</f>
        <v>1</v>
      </c>
      <c r="G20" s="39">
        <f>IF([8]道具信息!G20="","",[8]道具信息!G20)</f>
        <v>1</v>
      </c>
      <c r="H20" s="39">
        <f>IF([8]道具信息!H20="","",[8]道具信息!H20)</f>
        <v>1</v>
      </c>
      <c r="I20" s="39">
        <f>IF([8]道具信息!I20="","",[8]道具信息!I20)</f>
        <v>75</v>
      </c>
      <c r="J20" s="39">
        <f>IF([8]道具信息!J20="","",[8]道具信息!J20)</f>
        <v>75</v>
      </c>
      <c r="K20" s="39">
        <f>IF([8]道具信息!K20="","",[8]道具信息!K20)</f>
        <v>75</v>
      </c>
      <c r="L20" s="39" t="str">
        <f>IF([8]道具信息!L20="","",[8]道具信息!L20)</f>
        <v/>
      </c>
      <c r="M20" s="39" t="str">
        <f>IF([8]道具信息!M20="","",[8]道具信息!M20)</f>
        <v/>
      </c>
      <c r="N20" s="39" t="str">
        <f>IF([8]道具信息!N20="","",[8]道具信息!N20)</f>
        <v/>
      </c>
      <c r="O20" s="39" t="str">
        <f>IF([8]道具信息!O20="","",[8]道具信息!O20)</f>
        <v/>
      </c>
      <c r="P20" s="39" t="str">
        <f>IF([8]道具信息!P20="","",[8]道具信息!P20)</f>
        <v>粮食采集加速/天</v>
      </c>
      <c r="Q20" s="39">
        <f>IF([8]道具信息!Q20="","",[8]道具信息!Q20)</f>
        <v>189.98875225679629</v>
      </c>
      <c r="R20" s="39" t="str">
        <f>IF([8]道具信息!R20="","",[8]道具信息!R20)</f>
        <v/>
      </c>
      <c r="S20" s="39" t="str">
        <f>IF([8]道具信息!S20="","",[8]道具信息!S20)</f>
        <v/>
      </c>
      <c r="T20" s="39" t="str">
        <f>IF([8]道具信息!T20="","",[8]道具信息!T20)</f>
        <v/>
      </c>
      <c r="U20" s="39" t="str">
        <f>IF([8]道具信息!U20="","",[8]道具信息!U20)</f>
        <v/>
      </c>
      <c r="V20" s="39" t="str">
        <f>IF([8]道具信息!V20="","",[8]道具信息!V20)</f>
        <v/>
      </c>
      <c r="W20" s="39" t="str">
        <f>IF([8]道具信息!W20="","",[8]道具信息!W20)</f>
        <v/>
      </c>
      <c r="X20" s="39" t="str">
        <f>IF([8]道具信息!X20="","",[8]道具信息!X20)</f>
        <v/>
      </c>
      <c r="Y20" s="39" t="str">
        <f>IF([8]道具信息!Y20="","",[8]道具信息!Y20)</f>
        <v/>
      </c>
      <c r="Z20" s="39" t="str">
        <f>IF([8]道具信息!Z20="","",[8]道具信息!Z20)</f>
        <v/>
      </c>
    </row>
    <row r="21" spans="1:26" x14ac:dyDescent="0.15">
      <c r="A21" s="39" t="str">
        <f>IF([8]道具信息!A21="","",[8]道具信息!A21)</f>
        <v/>
      </c>
      <c r="B21" s="39" t="str">
        <f>IF([8]道具信息!B21="","",[8]道具信息!B21)</f>
        <v/>
      </c>
      <c r="C21" s="39" t="str">
        <f>IF([8]道具信息!C21="","",[8]道具信息!C21)</f>
        <v/>
      </c>
      <c r="D21" s="39" t="str">
        <f>IF([8]道具信息!D21="","",[8]道具信息!D21)</f>
        <v>军团币</v>
      </c>
      <c r="E21" s="39">
        <f>IF([8]道具信息!E21="","",[8]道具信息!E21)</f>
        <v>0.1</v>
      </c>
      <c r="F21" s="39">
        <f>IF([8]道具信息!F21="","",[8]道具信息!F21)</f>
        <v>1</v>
      </c>
      <c r="G21" s="39">
        <f>IF([8]道具信息!G21="","",[8]道具信息!G21)</f>
        <v>1</v>
      </c>
      <c r="H21" s="39">
        <f>IF([8]道具信息!H21="","",[8]道具信息!H21)</f>
        <v>1</v>
      </c>
      <c r="I21" s="39">
        <f>IF([8]道具信息!I21="","",[8]道具信息!I21)</f>
        <v>0.1</v>
      </c>
      <c r="J21" s="39">
        <f>IF([8]道具信息!J21="","",[8]道具信息!J21)</f>
        <v>0.1</v>
      </c>
      <c r="K21" s="39">
        <f>IF([8]道具信息!K21="","",[8]道具信息!K21)</f>
        <v>0.1</v>
      </c>
      <c r="L21" s="39" t="str">
        <f>IF([8]道具信息!L21="","",[8]道具信息!L21)</f>
        <v/>
      </c>
      <c r="M21" s="39" t="str">
        <f>IF([8]道具信息!M21="","",[8]道具信息!M21)</f>
        <v/>
      </c>
      <c r="N21" s="39" t="str">
        <f>IF([8]道具信息!N21="","",[8]道具信息!N21)</f>
        <v/>
      </c>
      <c r="O21" s="39" t="str">
        <f>IF([8]道具信息!O21="","",[8]道具信息!O21)</f>
        <v/>
      </c>
      <c r="P21" s="39" t="str">
        <f>IF([8]道具信息!P21="","",[8]道具信息!P21)</f>
        <v>铁矿采集加速/天</v>
      </c>
      <c r="Q21" s="39">
        <f>IF([8]道具信息!Q21="","",[8]道具信息!Q21)</f>
        <v>284.98312838519439</v>
      </c>
      <c r="R21" s="39" t="str">
        <f>IF([8]道具信息!R21="","",[8]道具信息!R21)</f>
        <v/>
      </c>
      <c r="S21" s="39" t="str">
        <f>IF([8]道具信息!S21="","",[8]道具信息!S21)</f>
        <v/>
      </c>
      <c r="T21" s="39" t="str">
        <f>IF([8]道具信息!T21="","",[8]道具信息!T21)</f>
        <v/>
      </c>
      <c r="U21" s="39" t="str">
        <f>IF([8]道具信息!U21="","",[8]道具信息!U21)</f>
        <v/>
      </c>
      <c r="V21" s="39" t="str">
        <f>IF([8]道具信息!V21="","",[8]道具信息!V21)</f>
        <v/>
      </c>
      <c r="W21" s="39" t="str">
        <f>IF([8]道具信息!W21="","",[8]道具信息!W21)</f>
        <v/>
      </c>
      <c r="X21" s="39" t="str">
        <f>IF([8]道具信息!X21="","",[8]道具信息!X21)</f>
        <v/>
      </c>
      <c r="Y21" s="39" t="str">
        <f>IF([8]道具信息!Y21="","",[8]道具信息!Y21)</f>
        <v/>
      </c>
      <c r="Z21" s="39" t="str">
        <f>IF([8]道具信息!Z21="","",[8]道具信息!Z21)</f>
        <v/>
      </c>
    </row>
    <row r="22" spans="1:26" x14ac:dyDescent="0.15">
      <c r="A22" s="39" t="str">
        <f>IF([8]道具信息!A22="","",[8]道具信息!A22)</f>
        <v/>
      </c>
      <c r="B22" s="39" t="str">
        <f>IF([8]道具信息!B22="","",[8]道具信息!B22)</f>
        <v/>
      </c>
      <c r="C22" s="39" t="str">
        <f>IF([8]道具信息!C22="","",[8]道具信息!C22)</f>
        <v/>
      </c>
      <c r="D22" s="39" t="str">
        <f>IF([8]道具信息!D22="","",[8]道具信息!D22)</f>
        <v>黄金点将令</v>
      </c>
      <c r="E22" s="39">
        <f>IF([8]道具信息!E22="","",[8]道具信息!E22)</f>
        <v>240</v>
      </c>
      <c r="F22" s="39">
        <f>IF([8]道具信息!F22="","",[8]道具信息!F22)</f>
        <v>1</v>
      </c>
      <c r="G22" s="39">
        <f>IF([8]道具信息!G22="","",[8]道具信息!G22)</f>
        <v>1</v>
      </c>
      <c r="H22" s="39">
        <f>IF([8]道具信息!H22="","",[8]道具信息!H22)</f>
        <v>1</v>
      </c>
      <c r="I22" s="39">
        <f>IF([8]道具信息!I22="","",[8]道具信息!I22)</f>
        <v>240</v>
      </c>
      <c r="J22" s="39">
        <f>IF([8]道具信息!J22="","",[8]道具信息!J22)</f>
        <v>240</v>
      </c>
      <c r="K22" s="39">
        <f>IF([8]道具信息!K22="","",[8]道具信息!K22)</f>
        <v>240</v>
      </c>
      <c r="L22" s="39" t="str">
        <f>IF([8]道具信息!L22="","",[8]道具信息!L22)</f>
        <v/>
      </c>
      <c r="M22" s="39" t="str">
        <f>IF([8]道具信息!M22="","",[8]道具信息!M22)</f>
        <v/>
      </c>
      <c r="N22" s="39" t="str">
        <f>IF([8]道具信息!N22="","",[8]道具信息!N22)</f>
        <v/>
      </c>
      <c r="O22" s="39" t="str">
        <f>IF([8]道具信息!O22="","",[8]道具信息!O22)</f>
        <v/>
      </c>
      <c r="P22" s="39" t="str">
        <f>IF([8]道具信息!P22="","",[8]道具信息!P22)</f>
        <v/>
      </c>
      <c r="Q22" s="39" t="str">
        <f>IF([8]道具信息!Q22="","",[8]道具信息!Q22)</f>
        <v/>
      </c>
      <c r="R22" s="39" t="str">
        <f>IF([8]道具信息!R22="","",[8]道具信息!R22)</f>
        <v/>
      </c>
      <c r="S22" s="39" t="str">
        <f>IF([8]道具信息!S22="","",[8]道具信息!S22)</f>
        <v/>
      </c>
      <c r="T22" s="39" t="str">
        <f>IF([8]道具信息!T22="","",[8]道具信息!T22)</f>
        <v/>
      </c>
      <c r="U22" s="39" t="str">
        <f>IF([8]道具信息!U22="","",[8]道具信息!U22)</f>
        <v/>
      </c>
      <c r="V22" s="39" t="str">
        <f>IF([8]道具信息!V22="","",[8]道具信息!V22)</f>
        <v/>
      </c>
      <c r="W22" s="39" t="str">
        <f>IF([8]道具信息!W22="","",[8]道具信息!W22)</f>
        <v/>
      </c>
      <c r="X22" s="39" t="str">
        <f>IF([8]道具信息!X22="","",[8]道具信息!X22)</f>
        <v/>
      </c>
      <c r="Y22" s="39" t="str">
        <f>IF([8]道具信息!Y22="","",[8]道具信息!Y22)</f>
        <v/>
      </c>
      <c r="Z22" s="39" t="str">
        <f>IF([8]道具信息!Z22="","",[8]道具信息!Z22)</f>
        <v/>
      </c>
    </row>
    <row r="23" spans="1:26" x14ac:dyDescent="0.15">
      <c r="A23" s="39" t="str">
        <f>IF([8]道具信息!A23="","",[8]道具信息!A23)</f>
        <v/>
      </c>
      <c r="B23" s="39" t="str">
        <f>IF([8]道具信息!B23="","",[8]道具信息!B23)</f>
        <v/>
      </c>
      <c r="C23" s="39" t="str">
        <f>IF([8]道具信息!C23="","",[8]道具信息!C23)</f>
        <v/>
      </c>
      <c r="D23" s="39" t="str">
        <f>IF([8]道具信息!D23="","",[8]道具信息!D23)</f>
        <v>青铜点将令</v>
      </c>
      <c r="E23" s="39">
        <f>IF([8]道具信息!E23="","",[8]道具信息!E23)</f>
        <v>65</v>
      </c>
      <c r="F23" s="39">
        <f>IF([8]道具信息!F23="","",[8]道具信息!F23)</f>
        <v>1</v>
      </c>
      <c r="G23" s="39">
        <f>IF([8]道具信息!G23="","",[8]道具信息!G23)</f>
        <v>1</v>
      </c>
      <c r="H23" s="39">
        <f>IF([8]道具信息!H23="","",[8]道具信息!H23)</f>
        <v>1</v>
      </c>
      <c r="I23" s="39">
        <f>IF([8]道具信息!I23="","",[8]道具信息!I23)</f>
        <v>65</v>
      </c>
      <c r="J23" s="39">
        <f>IF([8]道具信息!J23="","",[8]道具信息!J23)</f>
        <v>65</v>
      </c>
      <c r="K23" s="39">
        <f>IF([8]道具信息!K23="","",[8]道具信息!K23)</f>
        <v>65</v>
      </c>
      <c r="L23" s="39" t="str">
        <f>IF([8]道具信息!L23="","",[8]道具信息!L23)</f>
        <v/>
      </c>
      <c r="M23" s="39" t="str">
        <f>IF([8]道具信息!M23="","",[8]道具信息!M23)</f>
        <v/>
      </c>
      <c r="N23" s="39" t="str">
        <f>IF([8]道具信息!N23="","",[8]道具信息!N23)</f>
        <v/>
      </c>
      <c r="O23" s="39" t="str">
        <f>IF([8]道具信息!O23="","",[8]道具信息!O23)</f>
        <v/>
      </c>
      <c r="P23" s="39" t="str">
        <f>IF([8]道具信息!P23="","",[8]道具信息!P23)</f>
        <v/>
      </c>
      <c r="Q23" s="39" t="str">
        <f>IF([8]道具信息!Q23="","",[8]道具信息!Q23)</f>
        <v/>
      </c>
      <c r="R23" s="39" t="str">
        <f>IF([8]道具信息!R23="","",[8]道具信息!R23)</f>
        <v/>
      </c>
      <c r="S23" s="39" t="str">
        <f>IF([8]道具信息!S23="","",[8]道具信息!S23)</f>
        <v/>
      </c>
      <c r="T23" s="39" t="str">
        <f>IF([8]道具信息!T23="","",[8]道具信息!T23)</f>
        <v/>
      </c>
      <c r="U23" s="39" t="str">
        <f>IF([8]道具信息!U23="","",[8]道具信息!U23)</f>
        <v/>
      </c>
      <c r="V23" s="39" t="str">
        <f>IF([8]道具信息!V23="","",[8]道具信息!V23)</f>
        <v/>
      </c>
      <c r="W23" s="39" t="str">
        <f>IF([8]道具信息!W23="","",[8]道具信息!W23)</f>
        <v/>
      </c>
      <c r="X23" s="39" t="str">
        <f>IF([8]道具信息!X23="","",[8]道具信息!X23)</f>
        <v/>
      </c>
      <c r="Y23" s="39" t="str">
        <f>IF([8]道具信息!Y23="","",[8]道具信息!Y23)</f>
        <v/>
      </c>
      <c r="Z23" s="39" t="str">
        <f>IF([8]道具信息!Z23="","",[8]道具信息!Z23)</f>
        <v/>
      </c>
    </row>
    <row r="24" spans="1:26" x14ac:dyDescent="0.15">
      <c r="A24" s="39" t="str">
        <f>IF([8]道具信息!A24="","",[8]道具信息!A24)</f>
        <v/>
      </c>
      <c r="B24" s="39" t="str">
        <f>IF([8]道具信息!B24="","",[8]道具信息!B24)</f>
        <v/>
      </c>
      <c r="C24" s="39" t="str">
        <f>IF([8]道具信息!C24="","",[8]道具信息!C24)</f>
        <v/>
      </c>
      <c r="D24" s="39" t="str">
        <f>IF([8]道具信息!D24="","",[8]道具信息!D24)</f>
        <v>信物*2、武将碎片*10、黄金600三选一（600钻）</v>
      </c>
      <c r="E24" s="39">
        <f>IF([8]道具信息!E24="","",[8]道具信息!E24)</f>
        <v>600</v>
      </c>
      <c r="F24" s="39">
        <f>IF([8]道具信息!F24="","",[8]道具信息!F24)</f>
        <v>1</v>
      </c>
      <c r="G24" s="39">
        <f>IF([8]道具信息!G24="","",[8]道具信息!G24)</f>
        <v>1</v>
      </c>
      <c r="H24" s="39">
        <f>IF([8]道具信息!H24="","",[8]道具信息!H24)</f>
        <v>1</v>
      </c>
      <c r="I24" s="39">
        <f>IF([8]道具信息!I24="","",[8]道具信息!I24)</f>
        <v>600</v>
      </c>
      <c r="J24" s="39">
        <f>IF([8]道具信息!J24="","",[8]道具信息!J24)</f>
        <v>600</v>
      </c>
      <c r="K24" s="39">
        <f>IF([8]道具信息!K24="","",[8]道具信息!K24)</f>
        <v>600</v>
      </c>
      <c r="L24" s="39" t="str">
        <f>IF([8]道具信息!L24="","",[8]道具信息!L24)</f>
        <v/>
      </c>
      <c r="M24" s="39" t="str">
        <f>IF([8]道具信息!M24="","",[8]道具信息!M24)</f>
        <v/>
      </c>
      <c r="N24" s="39" t="str">
        <f>IF([8]道具信息!N24="","",[8]道具信息!N24)</f>
        <v/>
      </c>
      <c r="O24" s="39" t="str">
        <f>IF([8]道具信息!O24="","",[8]道具信息!O24)</f>
        <v/>
      </c>
      <c r="P24" s="39" t="str">
        <f>IF([8]道具信息!P24="","",[8]道具信息!P24)</f>
        <v/>
      </c>
      <c r="Q24" s="39" t="str">
        <f>IF([8]道具信息!Q24="","",[8]道具信息!Q24)</f>
        <v/>
      </c>
      <c r="R24" s="39" t="str">
        <f>IF([8]道具信息!R24="","",[8]道具信息!R24)</f>
        <v/>
      </c>
      <c r="S24" s="39" t="str">
        <f>IF([8]道具信息!S24="","",[8]道具信息!S24)</f>
        <v/>
      </c>
      <c r="T24" s="39" t="str">
        <f>IF([8]道具信息!T24="","",[8]道具信息!T24)</f>
        <v/>
      </c>
      <c r="U24" s="39" t="str">
        <f>IF([8]道具信息!U24="","",[8]道具信息!U24)</f>
        <v/>
      </c>
      <c r="V24" s="39" t="str">
        <f>IF([8]道具信息!V24="","",[8]道具信息!V24)</f>
        <v/>
      </c>
      <c r="W24" s="39" t="str">
        <f>IF([8]道具信息!W24="","",[8]道具信息!W24)</f>
        <v/>
      </c>
      <c r="X24" s="39" t="str">
        <f>IF([8]道具信息!X24="","",[8]道具信息!X24)</f>
        <v/>
      </c>
      <c r="Y24" s="39" t="str">
        <f>IF([8]道具信息!Y24="","",[8]道具信息!Y24)</f>
        <v/>
      </c>
      <c r="Z24" s="39" t="str">
        <f>IF([8]道具信息!Z24="","",[8]道具信息!Z24)</f>
        <v/>
      </c>
    </row>
    <row r="25" spans="1:26" x14ac:dyDescent="0.15">
      <c r="A25" s="39" t="str">
        <f>IF([8]道具信息!A25="","",[8]道具信息!A25)</f>
        <v/>
      </c>
      <c r="B25" s="39" t="str">
        <f>IF([8]道具信息!B25="","",[8]道具信息!B25)</f>
        <v/>
      </c>
      <c r="C25" s="39" t="str">
        <f>IF([8]道具信息!C25="","",[8]道具信息!C25)</f>
        <v/>
      </c>
      <c r="D25" s="39" t="str">
        <f>IF([8]道具信息!D25="","",[8]道具信息!D25)</f>
        <v>蓝色门客</v>
      </c>
      <c r="E25" s="39">
        <f>IF([8]道具信息!E25="","",[8]道具信息!E25)</f>
        <v>1000</v>
      </c>
      <c r="F25" s="39">
        <f>IF([8]道具信息!F25="","",[8]道具信息!F25)</f>
        <v>1</v>
      </c>
      <c r="G25" s="39">
        <f>IF([8]道具信息!G25="","",[8]道具信息!G25)</f>
        <v>1</v>
      </c>
      <c r="H25" s="39">
        <f>IF([8]道具信息!H25="","",[8]道具信息!H25)</f>
        <v>1</v>
      </c>
      <c r="I25" s="39">
        <f>IF([8]道具信息!I25="","",[8]道具信息!I25)</f>
        <v>1000</v>
      </c>
      <c r="J25" s="39">
        <f>IF([8]道具信息!J25="","",[8]道具信息!J25)</f>
        <v>1000</v>
      </c>
      <c r="K25" s="39">
        <f>IF([8]道具信息!K25="","",[8]道具信息!K25)</f>
        <v>1000</v>
      </c>
      <c r="L25" s="39" t="str">
        <f>IF([8]道具信息!L25="","",[8]道具信息!L25)</f>
        <v/>
      </c>
      <c r="M25" s="39" t="str">
        <f>IF([8]道具信息!M25="","",[8]道具信息!M25)</f>
        <v/>
      </c>
      <c r="N25" s="39" t="str">
        <f>IF([8]道具信息!N25="","",[8]道具信息!N25)</f>
        <v/>
      </c>
      <c r="O25" s="39" t="str">
        <f>IF([8]道具信息!O25="","",[8]道具信息!O25)</f>
        <v/>
      </c>
      <c r="P25" s="39" t="str">
        <f>IF([8]道具信息!P25="","",[8]道具信息!P25)</f>
        <v/>
      </c>
      <c r="Q25" s="39" t="str">
        <f>IF([8]道具信息!Q25="","",[8]道具信息!Q25)</f>
        <v/>
      </c>
      <c r="R25" s="39" t="str">
        <f>IF([8]道具信息!R25="","",[8]道具信息!R25)</f>
        <v/>
      </c>
      <c r="S25" s="39" t="str">
        <f>IF([8]道具信息!S25="","",[8]道具信息!S25)</f>
        <v/>
      </c>
      <c r="T25" s="39" t="str">
        <f>IF([8]道具信息!T25="","",[8]道具信息!T25)</f>
        <v/>
      </c>
      <c r="U25" s="39" t="str">
        <f>IF([8]道具信息!U25="","",[8]道具信息!U25)</f>
        <v/>
      </c>
      <c r="V25" s="39" t="str">
        <f>IF([8]道具信息!V25="","",[8]道具信息!V25)</f>
        <v/>
      </c>
      <c r="W25" s="39" t="str">
        <f>IF([8]道具信息!W25="","",[8]道具信息!W25)</f>
        <v/>
      </c>
      <c r="X25" s="39" t="str">
        <f>IF([8]道具信息!X25="","",[8]道具信息!X25)</f>
        <v/>
      </c>
      <c r="Y25" s="39" t="str">
        <f>IF([8]道具信息!Y25="","",[8]道具信息!Y25)</f>
        <v/>
      </c>
      <c r="Z25" s="39" t="str">
        <f>IF([8]道具信息!Z25="","",[8]道具信息!Z25)</f>
        <v/>
      </c>
    </row>
    <row r="26" spans="1:26" x14ac:dyDescent="0.15">
      <c r="A26" s="39" t="str">
        <f>IF([8]道具信息!A26="","",[8]道具信息!A26)</f>
        <v/>
      </c>
      <c r="B26" s="39" t="str">
        <f>IF([8]道具信息!B26="","",[8]道具信息!B26)</f>
        <v/>
      </c>
      <c r="C26" s="39" t="str">
        <f>IF([8]道具信息!C26="","",[8]道具信息!C26)</f>
        <v/>
      </c>
      <c r="D26" s="39" t="str">
        <f>IF([8]道具信息!D26="","",[8]道具信息!D26)</f>
        <v>紫色门客</v>
      </c>
      <c r="E26" s="39">
        <f>IF([8]道具信息!E26="","",[8]道具信息!E26)</f>
        <v>3000</v>
      </c>
      <c r="F26" s="39">
        <f>IF([8]道具信息!F26="","",[8]道具信息!F26)</f>
        <v>1</v>
      </c>
      <c r="G26" s="39">
        <f>IF([8]道具信息!G26="","",[8]道具信息!G26)</f>
        <v>1</v>
      </c>
      <c r="H26" s="39">
        <f>IF([8]道具信息!H26="","",[8]道具信息!H26)</f>
        <v>1</v>
      </c>
      <c r="I26" s="39">
        <f>IF([8]道具信息!I26="","",[8]道具信息!I26)</f>
        <v>3000</v>
      </c>
      <c r="J26" s="39">
        <f>IF([8]道具信息!J26="","",[8]道具信息!J26)</f>
        <v>3000</v>
      </c>
      <c r="K26" s="39">
        <f>IF([8]道具信息!K26="","",[8]道具信息!K26)</f>
        <v>3000</v>
      </c>
      <c r="L26" s="39" t="str">
        <f>IF([8]道具信息!L26="","",[8]道具信息!L26)</f>
        <v/>
      </c>
      <c r="M26" s="39" t="str">
        <f>IF([8]道具信息!M26="","",[8]道具信息!M26)</f>
        <v/>
      </c>
      <c r="N26" s="39" t="str">
        <f>IF([8]道具信息!N26="","",[8]道具信息!N26)</f>
        <v/>
      </c>
      <c r="O26" s="39" t="str">
        <f>IF([8]道具信息!O26="","",[8]道具信息!O26)</f>
        <v/>
      </c>
      <c r="P26" s="39" t="str">
        <f>IF([8]道具信息!P26="","",[8]道具信息!P26)</f>
        <v/>
      </c>
      <c r="Q26" s="39" t="str">
        <f>IF([8]道具信息!Q26="","",[8]道具信息!Q26)</f>
        <v/>
      </c>
      <c r="R26" s="39" t="str">
        <f>IF([8]道具信息!R26="","",[8]道具信息!R26)</f>
        <v/>
      </c>
      <c r="S26" s="39" t="str">
        <f>IF([8]道具信息!S26="","",[8]道具信息!S26)</f>
        <v/>
      </c>
      <c r="T26" s="39" t="str">
        <f>IF([8]道具信息!T26="","",[8]道具信息!T26)</f>
        <v/>
      </c>
      <c r="U26" s="39" t="str">
        <f>IF([8]道具信息!U26="","",[8]道具信息!U26)</f>
        <v/>
      </c>
      <c r="V26" s="39" t="str">
        <f>IF([8]道具信息!V26="","",[8]道具信息!V26)</f>
        <v/>
      </c>
      <c r="W26" s="39" t="str">
        <f>IF([8]道具信息!W26="","",[8]道具信息!W26)</f>
        <v/>
      </c>
      <c r="X26" s="39" t="str">
        <f>IF([8]道具信息!X26="","",[8]道具信息!X26)</f>
        <v/>
      </c>
      <c r="Y26" s="39" t="str">
        <f>IF([8]道具信息!Y26="","",[8]道具信息!Y26)</f>
        <v/>
      </c>
      <c r="Z26" s="39" t="str">
        <f>IF([8]道具信息!Z26="","",[8]道具信息!Z26)</f>
        <v/>
      </c>
    </row>
    <row r="27" spans="1:26" x14ac:dyDescent="0.15">
      <c r="A27" s="39" t="str">
        <f>IF([8]道具信息!A27="","",[8]道具信息!A27)</f>
        <v/>
      </c>
      <c r="B27" s="39" t="str">
        <f>IF([8]道具信息!B27="","",[8]道具信息!B27)</f>
        <v/>
      </c>
      <c r="C27" s="39" t="str">
        <f>IF([8]道具信息!C27="","",[8]道具信息!C27)</f>
        <v/>
      </c>
      <c r="D27" s="39" t="str">
        <f>IF([8]道具信息!D27="","",[8]道具信息!D27)</f>
        <v>橙色门客</v>
      </c>
      <c r="E27" s="39">
        <f>IF([8]道具信息!E27="","",[8]道具信息!E27)</f>
        <v>8000</v>
      </c>
      <c r="F27" s="39">
        <f>IF([8]道具信息!F27="","",[8]道具信息!F27)</f>
        <v>1</v>
      </c>
      <c r="G27" s="39">
        <f>IF([8]道具信息!G27="","",[8]道具信息!G27)</f>
        <v>1</v>
      </c>
      <c r="H27" s="39">
        <f>IF([8]道具信息!H27="","",[8]道具信息!H27)</f>
        <v>1</v>
      </c>
      <c r="I27" s="39">
        <f>IF([8]道具信息!I27="","",[8]道具信息!I27)</f>
        <v>8000</v>
      </c>
      <c r="J27" s="39">
        <f>IF([8]道具信息!J27="","",[8]道具信息!J27)</f>
        <v>8000</v>
      </c>
      <c r="K27" s="39">
        <f>IF([8]道具信息!K27="","",[8]道具信息!K27)</f>
        <v>8000</v>
      </c>
      <c r="L27" s="39" t="str">
        <f>IF([8]道具信息!L27="","",[8]道具信息!L27)</f>
        <v/>
      </c>
      <c r="M27" s="39" t="str">
        <f>IF([8]道具信息!M27="","",[8]道具信息!M27)</f>
        <v/>
      </c>
      <c r="N27" s="39" t="str">
        <f>IF([8]道具信息!N27="","",[8]道具信息!N27)</f>
        <v/>
      </c>
      <c r="O27" s="39" t="str">
        <f>IF([8]道具信息!O27="","",[8]道具信息!O27)</f>
        <v/>
      </c>
      <c r="P27" s="39" t="str">
        <f>IF([8]道具信息!P27="","",[8]道具信息!P27)</f>
        <v/>
      </c>
      <c r="Q27" s="39" t="str">
        <f>IF([8]道具信息!Q27="","",[8]道具信息!Q27)</f>
        <v/>
      </c>
      <c r="R27" s="39" t="str">
        <f>IF([8]道具信息!R27="","",[8]道具信息!R27)</f>
        <v/>
      </c>
      <c r="S27" s="39" t="str">
        <f>IF([8]道具信息!S27="","",[8]道具信息!S27)</f>
        <v/>
      </c>
      <c r="T27" s="39" t="str">
        <f>IF([8]道具信息!T27="","",[8]道具信息!T27)</f>
        <v/>
      </c>
      <c r="U27" s="39" t="str">
        <f>IF([8]道具信息!U27="","",[8]道具信息!U27)</f>
        <v/>
      </c>
      <c r="V27" s="39" t="str">
        <f>IF([8]道具信息!V27="","",[8]道具信息!V27)</f>
        <v/>
      </c>
      <c r="W27" s="39" t="str">
        <f>IF([8]道具信息!W27="","",[8]道具信息!W27)</f>
        <v/>
      </c>
      <c r="X27" s="39" t="str">
        <f>IF([8]道具信息!X27="","",[8]道具信息!X27)</f>
        <v/>
      </c>
      <c r="Y27" s="39" t="str">
        <f>IF([8]道具信息!Y27="","",[8]道具信息!Y27)</f>
        <v/>
      </c>
      <c r="Z27" s="39" t="str">
        <f>IF([8]道具信息!Z27="","",[8]道具信息!Z27)</f>
        <v/>
      </c>
    </row>
    <row r="28" spans="1:26" x14ac:dyDescent="0.15">
      <c r="A28" s="39" t="str">
        <f>IF([8]道具信息!A28="","",[8]道具信息!A28)</f>
        <v/>
      </c>
      <c r="B28" s="39" t="str">
        <f>IF([8]道具信息!B28="","",[8]道具信息!B28)</f>
        <v/>
      </c>
      <c r="C28" s="39" t="str">
        <f>IF([8]道具信息!C28="","",[8]道具信息!C28)</f>
        <v/>
      </c>
      <c r="D28" s="39" t="str">
        <f>IF([8]道具信息!D28="","",[8]道具信息!D28)</f>
        <v>红色门客</v>
      </c>
      <c r="E28" s="39">
        <f>IF([8]道具信息!E28="","",[8]道具信息!E28)</f>
        <v>40000</v>
      </c>
      <c r="F28" s="39">
        <f>IF([8]道具信息!F28="","",[8]道具信息!F28)</f>
        <v>1</v>
      </c>
      <c r="G28" s="39">
        <f>IF([8]道具信息!G28="","",[8]道具信息!G28)</f>
        <v>1</v>
      </c>
      <c r="H28" s="39">
        <f>IF([8]道具信息!H28="","",[8]道具信息!H28)</f>
        <v>1</v>
      </c>
      <c r="I28" s="39">
        <f>IF([8]道具信息!I28="","",[8]道具信息!I28)</f>
        <v>40000</v>
      </c>
      <c r="J28" s="39">
        <f>IF([8]道具信息!J28="","",[8]道具信息!J28)</f>
        <v>40000</v>
      </c>
      <c r="K28" s="39">
        <f>IF([8]道具信息!K28="","",[8]道具信息!K28)</f>
        <v>40000</v>
      </c>
      <c r="L28" s="39" t="str">
        <f>IF([8]道具信息!L28="","",[8]道具信息!L28)</f>
        <v/>
      </c>
      <c r="M28" s="39" t="str">
        <f>IF([8]道具信息!M28="","",[8]道具信息!M28)</f>
        <v/>
      </c>
      <c r="N28" s="39" t="str">
        <f>IF([8]道具信息!N28="","",[8]道具信息!N28)</f>
        <v/>
      </c>
      <c r="O28" s="39" t="str">
        <f>IF([8]道具信息!O28="","",[8]道具信息!O28)</f>
        <v/>
      </c>
      <c r="P28" s="39" t="str">
        <f>IF([8]道具信息!P28="","",[8]道具信息!P28)</f>
        <v/>
      </c>
      <c r="Q28" s="39" t="str">
        <f>IF([8]道具信息!Q28="","",[8]道具信息!Q28)</f>
        <v/>
      </c>
      <c r="R28" s="39" t="str">
        <f>IF([8]道具信息!R28="","",[8]道具信息!R28)</f>
        <v/>
      </c>
      <c r="S28" s="39" t="str">
        <f>IF([8]道具信息!S28="","",[8]道具信息!S28)</f>
        <v/>
      </c>
      <c r="T28" s="39" t="str">
        <f>IF([8]道具信息!T28="","",[8]道具信息!T28)</f>
        <v/>
      </c>
      <c r="U28" s="39" t="str">
        <f>IF([8]道具信息!U28="","",[8]道具信息!U28)</f>
        <v/>
      </c>
      <c r="V28" s="39" t="str">
        <f>IF([8]道具信息!V28="","",[8]道具信息!V28)</f>
        <v/>
      </c>
      <c r="W28" s="39" t="str">
        <f>IF([8]道具信息!W28="","",[8]道具信息!W28)</f>
        <v/>
      </c>
      <c r="X28" s="39" t="str">
        <f>IF([8]道具信息!X28="","",[8]道具信息!X28)</f>
        <v/>
      </c>
      <c r="Y28" s="39" t="str">
        <f>IF([8]道具信息!Y28="","",[8]道具信息!Y28)</f>
        <v/>
      </c>
      <c r="Z28" s="39" t="str">
        <f>IF([8]道具信息!Z28="","",[8]道具信息!Z28)</f>
        <v/>
      </c>
    </row>
    <row r="29" spans="1:26" x14ac:dyDescent="0.15">
      <c r="A29" s="39" t="str">
        <f>IF([8]道具信息!A29="","",[8]道具信息!A29)</f>
        <v/>
      </c>
      <c r="B29" s="39" t="str">
        <f>IF([8]道具信息!B29="","",[8]道具信息!B29)</f>
        <v/>
      </c>
      <c r="C29" s="39" t="str">
        <f>IF([8]道具信息!C29="","",[8]道具信息!C29)</f>
        <v/>
      </c>
      <c r="D29" s="39" t="str">
        <f>IF([8]道具信息!D29="","",[8]道具信息!D29)</f>
        <v>神将点将令</v>
      </c>
      <c r="E29" s="39">
        <f>IF([8]道具信息!E29="","",[8]道具信息!E29)</f>
        <v>400</v>
      </c>
      <c r="F29" s="39">
        <f>IF([8]道具信息!F29="","",[8]道具信息!F29)</f>
        <v>1</v>
      </c>
      <c r="G29" s="39">
        <f>IF([8]道具信息!G29="","",[8]道具信息!G29)</f>
        <v>1</v>
      </c>
      <c r="H29" s="39">
        <f>IF([8]道具信息!H29="","",[8]道具信息!H29)</f>
        <v>1</v>
      </c>
      <c r="I29" s="39">
        <f>IF([8]道具信息!I29="","",[8]道具信息!I29)</f>
        <v>400</v>
      </c>
      <c r="J29" s="39">
        <f>IF([8]道具信息!J29="","",[8]道具信息!J29)</f>
        <v>400</v>
      </c>
      <c r="K29" s="39">
        <f>IF([8]道具信息!K29="","",[8]道具信息!K29)</f>
        <v>400</v>
      </c>
      <c r="L29" s="39" t="str">
        <f>IF([8]道具信息!L29="","",[8]道具信息!L29)</f>
        <v/>
      </c>
      <c r="M29" s="39" t="str">
        <f>IF([8]道具信息!M29="","",[8]道具信息!M29)</f>
        <v/>
      </c>
      <c r="N29" s="39" t="str">
        <f>IF([8]道具信息!N29="","",[8]道具信息!N29)</f>
        <v/>
      </c>
      <c r="O29" s="39" t="str">
        <f>IF([8]道具信息!O29="","",[8]道具信息!O29)</f>
        <v/>
      </c>
      <c r="P29" s="39" t="str">
        <f>IF([8]道具信息!P29="","",[8]道具信息!P29)</f>
        <v/>
      </c>
      <c r="Q29" s="39" t="str">
        <f>IF([8]道具信息!Q29="","",[8]道具信息!Q29)</f>
        <v/>
      </c>
      <c r="R29" s="39" t="str">
        <f>IF([8]道具信息!R29="","",[8]道具信息!R29)</f>
        <v/>
      </c>
      <c r="S29" s="39" t="str">
        <f>IF([8]道具信息!S29="","",[8]道具信息!S29)</f>
        <v/>
      </c>
      <c r="T29" s="39" t="str">
        <f>IF([8]道具信息!T29="","",[8]道具信息!T29)</f>
        <v/>
      </c>
      <c r="U29" s="39" t="str">
        <f>IF([8]道具信息!U29="","",[8]道具信息!U29)</f>
        <v/>
      </c>
      <c r="V29" s="39" t="str">
        <f>IF([8]道具信息!V29="","",[8]道具信息!V29)</f>
        <v/>
      </c>
      <c r="W29" s="39" t="str">
        <f>IF([8]道具信息!W29="","",[8]道具信息!W29)</f>
        <v/>
      </c>
      <c r="X29" s="39" t="str">
        <f>IF([8]道具信息!X29="","",[8]道具信息!X29)</f>
        <v/>
      </c>
      <c r="Y29" s="39" t="str">
        <f>IF([8]道具信息!Y29="","",[8]道具信息!Y29)</f>
        <v/>
      </c>
      <c r="Z29" s="39" t="str">
        <f>IF([8]道具信息!Z29="","",[8]道具信息!Z29)</f>
        <v/>
      </c>
    </row>
    <row r="30" spans="1:26" x14ac:dyDescent="0.15">
      <c r="A30" s="39" t="str">
        <f>IF([8]道具信息!A30="","",[8]道具信息!A30)</f>
        <v/>
      </c>
      <c r="B30" s="39" t="str">
        <f>IF([8]道具信息!B30="","",[8]道具信息!B30)</f>
        <v/>
      </c>
      <c r="C30" s="39" t="str">
        <f>IF([8]道具信息!C30="","",[8]道具信息!C30)</f>
        <v/>
      </c>
      <c r="D30" s="39" t="str">
        <f>IF([8]道具信息!D30="","",[8]道具信息!D30)</f>
        <v>绿色军团馈赠</v>
      </c>
      <c r="E30" s="39">
        <f>IF([8]道具信息!E30="","",[8]道具信息!E30)</f>
        <v>20</v>
      </c>
      <c r="F30" s="39">
        <f>IF([8]道具信息!F30="","",[8]道具信息!F30)</f>
        <v>1</v>
      </c>
      <c r="G30" s="39">
        <f>IF([8]道具信息!G30="","",[8]道具信息!G30)</f>
        <v>1</v>
      </c>
      <c r="H30" s="39">
        <f>IF([8]道具信息!H30="","",[8]道具信息!H30)</f>
        <v>1</v>
      </c>
      <c r="I30" s="39">
        <f>IF([8]道具信息!I30="","",[8]道具信息!I30)</f>
        <v>20</v>
      </c>
      <c r="J30" s="39">
        <f>IF([8]道具信息!J30="","",[8]道具信息!J30)</f>
        <v>20</v>
      </c>
      <c r="K30" s="39">
        <f>IF([8]道具信息!K30="","",[8]道具信息!K30)</f>
        <v>20</v>
      </c>
      <c r="L30" s="39" t="str">
        <f>IF([8]道具信息!L30="","",[8]道具信息!L30)</f>
        <v/>
      </c>
      <c r="M30" s="39" t="str">
        <f>IF([8]道具信息!M30="","",[8]道具信息!M30)</f>
        <v/>
      </c>
      <c r="N30" s="39" t="str">
        <f>IF([8]道具信息!N30="","",[8]道具信息!N30)</f>
        <v/>
      </c>
      <c r="O30" s="39" t="str">
        <f>IF([8]道具信息!O30="","",[8]道具信息!O30)</f>
        <v/>
      </c>
      <c r="P30" s="39" t="str">
        <f>IF([8]道具信息!P30="","",[8]道具信息!P30)</f>
        <v/>
      </c>
      <c r="Q30" s="39" t="str">
        <f>IF([8]道具信息!Q30="","",[8]道具信息!Q30)</f>
        <v/>
      </c>
      <c r="R30" s="39" t="str">
        <f>IF([8]道具信息!R30="","",[8]道具信息!R30)</f>
        <v/>
      </c>
      <c r="S30" s="39" t="str">
        <f>IF([8]道具信息!S30="","",[8]道具信息!S30)</f>
        <v/>
      </c>
      <c r="T30" s="39" t="str">
        <f>IF([8]道具信息!T30="","",[8]道具信息!T30)</f>
        <v/>
      </c>
      <c r="U30" s="39" t="str">
        <f>IF([8]道具信息!U30="","",[8]道具信息!U30)</f>
        <v/>
      </c>
      <c r="V30" s="39" t="str">
        <f>IF([8]道具信息!V30="","",[8]道具信息!V30)</f>
        <v/>
      </c>
      <c r="W30" s="39" t="str">
        <f>IF([8]道具信息!W30="","",[8]道具信息!W30)</f>
        <v/>
      </c>
      <c r="X30" s="39" t="str">
        <f>IF([8]道具信息!X30="","",[8]道具信息!X30)</f>
        <v/>
      </c>
      <c r="Y30" s="39" t="str">
        <f>IF([8]道具信息!Y30="","",[8]道具信息!Y30)</f>
        <v/>
      </c>
      <c r="Z30" s="39" t="str">
        <f>IF([8]道具信息!Z30="","",[8]道具信息!Z30)</f>
        <v/>
      </c>
    </row>
    <row r="31" spans="1:26" x14ac:dyDescent="0.15">
      <c r="A31" s="39" t="str">
        <f>IF([8]道具信息!A31="","",[8]道具信息!A31)</f>
        <v/>
      </c>
      <c r="B31" s="39" t="str">
        <f>IF([8]道具信息!B31="","",[8]道具信息!B31)</f>
        <v/>
      </c>
      <c r="C31" s="39" t="str">
        <f>IF([8]道具信息!C31="","",[8]道具信息!C31)</f>
        <v/>
      </c>
      <c r="D31" s="39" t="str">
        <f>IF([8]道具信息!D31="","",[8]道具信息!D31)</f>
        <v>蓝色军团馈赠</v>
      </c>
      <c r="E31" s="39">
        <f>IF([8]道具信息!E31="","",[8]道具信息!E31)</f>
        <v>100</v>
      </c>
      <c r="F31" s="39">
        <f>IF([8]道具信息!F31="","",[8]道具信息!F31)</f>
        <v>1</v>
      </c>
      <c r="G31" s="39">
        <f>IF([8]道具信息!G31="","",[8]道具信息!G31)</f>
        <v>1</v>
      </c>
      <c r="H31" s="39">
        <f>IF([8]道具信息!H31="","",[8]道具信息!H31)</f>
        <v>1</v>
      </c>
      <c r="I31" s="39">
        <f>IF([8]道具信息!I31="","",[8]道具信息!I31)</f>
        <v>100</v>
      </c>
      <c r="J31" s="39">
        <f>IF([8]道具信息!J31="","",[8]道具信息!J31)</f>
        <v>100</v>
      </c>
      <c r="K31" s="39">
        <f>IF([8]道具信息!K31="","",[8]道具信息!K31)</f>
        <v>100</v>
      </c>
      <c r="L31" s="39" t="str">
        <f>IF([8]道具信息!L31="","",[8]道具信息!L31)</f>
        <v/>
      </c>
      <c r="M31" s="39" t="str">
        <f>IF([8]道具信息!M31="","",[8]道具信息!M31)</f>
        <v/>
      </c>
      <c r="N31" s="39" t="str">
        <f>IF([8]道具信息!N31="","",[8]道具信息!N31)</f>
        <v/>
      </c>
      <c r="O31" s="39" t="str">
        <f>IF([8]道具信息!O31="","",[8]道具信息!O31)</f>
        <v/>
      </c>
      <c r="P31" s="39" t="str">
        <f>IF([8]道具信息!P31="","",[8]道具信息!P31)</f>
        <v/>
      </c>
      <c r="Q31" s="39" t="str">
        <f>IF([8]道具信息!Q31="","",[8]道具信息!Q31)</f>
        <v/>
      </c>
      <c r="R31" s="39" t="str">
        <f>IF([8]道具信息!R31="","",[8]道具信息!R31)</f>
        <v/>
      </c>
      <c r="S31" s="39" t="str">
        <f>IF([8]道具信息!S31="","",[8]道具信息!S31)</f>
        <v/>
      </c>
      <c r="T31" s="39" t="str">
        <f>IF([8]道具信息!T31="","",[8]道具信息!T31)</f>
        <v/>
      </c>
      <c r="U31" s="39" t="str">
        <f>IF([8]道具信息!U31="","",[8]道具信息!U31)</f>
        <v/>
      </c>
      <c r="V31" s="39" t="str">
        <f>IF([8]道具信息!V31="","",[8]道具信息!V31)</f>
        <v/>
      </c>
      <c r="W31" s="39" t="str">
        <f>IF([8]道具信息!W31="","",[8]道具信息!W31)</f>
        <v/>
      </c>
      <c r="X31" s="39" t="str">
        <f>IF([8]道具信息!X31="","",[8]道具信息!X31)</f>
        <v/>
      </c>
      <c r="Y31" s="39" t="str">
        <f>IF([8]道具信息!Y31="","",[8]道具信息!Y31)</f>
        <v/>
      </c>
      <c r="Z31" s="39" t="str">
        <f>IF([8]道具信息!Z31="","",[8]道具信息!Z31)</f>
        <v/>
      </c>
    </row>
    <row r="32" spans="1:26" x14ac:dyDescent="0.15">
      <c r="A32" s="39" t="str">
        <f>IF([8]道具信息!A32="","",[8]道具信息!A32)</f>
        <v/>
      </c>
      <c r="B32" s="39" t="str">
        <f>IF([8]道具信息!B32="","",[8]道具信息!B32)</f>
        <v/>
      </c>
      <c r="C32" s="39" t="str">
        <f>IF([8]道具信息!C32="","",[8]道具信息!C32)</f>
        <v/>
      </c>
      <c r="D32" s="39" t="str">
        <f>IF([8]道具信息!D32="","",[8]道具信息!D32)</f>
        <v>紫色军团馈赠</v>
      </c>
      <c r="E32" s="39">
        <f>IF([8]道具信息!E32="","",[8]道具信息!E32)</f>
        <v>500</v>
      </c>
      <c r="F32" s="39">
        <f>IF([8]道具信息!F32="","",[8]道具信息!F32)</f>
        <v>1</v>
      </c>
      <c r="G32" s="39">
        <f>IF([8]道具信息!G32="","",[8]道具信息!G32)</f>
        <v>1</v>
      </c>
      <c r="H32" s="39">
        <f>IF([8]道具信息!H32="","",[8]道具信息!H32)</f>
        <v>1</v>
      </c>
      <c r="I32" s="39">
        <f>IF([8]道具信息!I32="","",[8]道具信息!I32)</f>
        <v>500</v>
      </c>
      <c r="J32" s="39">
        <f>IF([8]道具信息!J32="","",[8]道具信息!J32)</f>
        <v>500</v>
      </c>
      <c r="K32" s="39">
        <f>IF([8]道具信息!K32="","",[8]道具信息!K32)</f>
        <v>500</v>
      </c>
      <c r="L32" s="39" t="str">
        <f>IF([8]道具信息!L32="","",[8]道具信息!L32)</f>
        <v/>
      </c>
      <c r="M32" s="39" t="str">
        <f>IF([8]道具信息!M32="","",[8]道具信息!M32)</f>
        <v/>
      </c>
      <c r="N32" s="39" t="str">
        <f>IF([8]道具信息!N32="","",[8]道具信息!N32)</f>
        <v/>
      </c>
      <c r="O32" s="39" t="str">
        <f>IF([8]道具信息!O32="","",[8]道具信息!O32)</f>
        <v/>
      </c>
      <c r="P32" s="39" t="str">
        <f>IF([8]道具信息!P32="","",[8]道具信息!P32)</f>
        <v/>
      </c>
      <c r="Q32" s="39" t="str">
        <f>IF([8]道具信息!Q32="","",[8]道具信息!Q32)</f>
        <v/>
      </c>
      <c r="R32" s="39" t="str">
        <f>IF([8]道具信息!R32="","",[8]道具信息!R32)</f>
        <v/>
      </c>
      <c r="S32" s="39" t="str">
        <f>IF([8]道具信息!S32="","",[8]道具信息!S32)</f>
        <v/>
      </c>
      <c r="T32" s="39" t="str">
        <f>IF([8]道具信息!T32="","",[8]道具信息!T32)</f>
        <v/>
      </c>
      <c r="U32" s="39" t="str">
        <f>IF([8]道具信息!U32="","",[8]道具信息!U32)</f>
        <v/>
      </c>
      <c r="V32" s="39" t="str">
        <f>IF([8]道具信息!V32="","",[8]道具信息!V32)</f>
        <v/>
      </c>
      <c r="W32" s="39" t="str">
        <f>IF([8]道具信息!W32="","",[8]道具信息!W32)</f>
        <v/>
      </c>
      <c r="X32" s="39" t="str">
        <f>IF([8]道具信息!X32="","",[8]道具信息!X32)</f>
        <v/>
      </c>
      <c r="Y32" s="39" t="str">
        <f>IF([8]道具信息!Y32="","",[8]道具信息!Y32)</f>
        <v/>
      </c>
      <c r="Z32" s="39" t="str">
        <f>IF([8]道具信息!Z32="","",[8]道具信息!Z32)</f>
        <v/>
      </c>
    </row>
    <row r="33" spans="1:26" x14ac:dyDescent="0.15">
      <c r="A33" s="39" t="str">
        <f>IF([8]道具信息!A33="","",[8]道具信息!A33)</f>
        <v/>
      </c>
      <c r="B33" s="39" t="str">
        <f>IF([8]道具信息!B33="","",[8]道具信息!B33)</f>
        <v/>
      </c>
      <c r="C33" s="39" t="str">
        <f>IF([8]道具信息!C33="","",[8]道具信息!C33)</f>
        <v/>
      </c>
      <c r="D33" s="39" t="str">
        <f>IF([8]道具信息!D33="","",[8]道具信息!D33)</f>
        <v>橙色军团馈赠</v>
      </c>
      <c r="E33" s="39">
        <f>IF([8]道具信息!E33="","",[8]道具信息!E33)</f>
        <v>2000</v>
      </c>
      <c r="F33" s="39">
        <f>IF([8]道具信息!F33="","",[8]道具信息!F33)</f>
        <v>1</v>
      </c>
      <c r="G33" s="39">
        <f>IF([8]道具信息!G33="","",[8]道具信息!G33)</f>
        <v>1</v>
      </c>
      <c r="H33" s="39">
        <f>IF([8]道具信息!H33="","",[8]道具信息!H33)</f>
        <v>1</v>
      </c>
      <c r="I33" s="39">
        <f>IF([8]道具信息!I33="","",[8]道具信息!I33)</f>
        <v>2000</v>
      </c>
      <c r="J33" s="39">
        <f>IF([8]道具信息!J33="","",[8]道具信息!J33)</f>
        <v>2000</v>
      </c>
      <c r="K33" s="39">
        <f>IF([8]道具信息!K33="","",[8]道具信息!K33)</f>
        <v>2000</v>
      </c>
      <c r="L33" s="39" t="str">
        <f>IF([8]道具信息!L33="","",[8]道具信息!L33)</f>
        <v/>
      </c>
      <c r="M33" s="39" t="str">
        <f>IF([8]道具信息!M33="","",[8]道具信息!M33)</f>
        <v/>
      </c>
      <c r="N33" s="39" t="str">
        <f>IF([8]道具信息!N33="","",[8]道具信息!N33)</f>
        <v/>
      </c>
      <c r="O33" s="39" t="str">
        <f>IF([8]道具信息!O33="","",[8]道具信息!O33)</f>
        <v/>
      </c>
      <c r="P33" s="39" t="str">
        <f>IF([8]道具信息!P33="","",[8]道具信息!P33)</f>
        <v/>
      </c>
      <c r="Q33" s="39" t="str">
        <f>IF([8]道具信息!Q33="","",[8]道具信息!Q33)</f>
        <v/>
      </c>
      <c r="R33" s="39" t="str">
        <f>IF([8]道具信息!R33="","",[8]道具信息!R33)</f>
        <v/>
      </c>
      <c r="S33" s="39" t="str">
        <f>IF([8]道具信息!S33="","",[8]道具信息!S33)</f>
        <v/>
      </c>
      <c r="T33" s="39" t="str">
        <f>IF([8]道具信息!T33="","",[8]道具信息!T33)</f>
        <v/>
      </c>
      <c r="U33" s="39" t="str">
        <f>IF([8]道具信息!U33="","",[8]道具信息!U33)</f>
        <v/>
      </c>
      <c r="V33" s="39" t="str">
        <f>IF([8]道具信息!V33="","",[8]道具信息!V33)</f>
        <v/>
      </c>
      <c r="W33" s="39" t="str">
        <f>IF([8]道具信息!W33="","",[8]道具信息!W33)</f>
        <v/>
      </c>
      <c r="X33" s="39" t="str">
        <f>IF([8]道具信息!X33="","",[8]道具信息!X33)</f>
        <v/>
      </c>
      <c r="Y33" s="39" t="str">
        <f>IF([8]道具信息!Y33="","",[8]道具信息!Y33)</f>
        <v/>
      </c>
      <c r="Z33" s="39" t="str">
        <f>IF([8]道具信息!Z33="","",[8]道具信息!Z33)</f>
        <v/>
      </c>
    </row>
    <row r="34" spans="1:26" x14ac:dyDescent="0.15">
      <c r="A34" s="39" t="str">
        <f>IF([8]道具信息!A34="","",[8]道具信息!A34)</f>
        <v/>
      </c>
      <c r="B34" s="39" t="str">
        <f>IF([8]道具信息!B34="","",[8]道具信息!B34)</f>
        <v/>
      </c>
      <c r="C34" s="39" t="str">
        <f>IF([8]道具信息!C34="","",[8]道具信息!C34)</f>
        <v/>
      </c>
      <c r="D34" s="39" t="str">
        <f>IF([8]道具信息!D34="","",[8]道具信息!D34)</f>
        <v/>
      </c>
      <c r="E34" s="39" t="str">
        <f>IF([8]道具信息!E34="","",[8]道具信息!E34)</f>
        <v/>
      </c>
      <c r="F34" s="39" t="str">
        <f>IF([8]道具信息!F34="","",[8]道具信息!F34)</f>
        <v/>
      </c>
      <c r="G34" s="39" t="str">
        <f>IF([8]道具信息!G34="","",[8]道具信息!G34)</f>
        <v/>
      </c>
      <c r="H34" s="39" t="str">
        <f>IF([8]道具信息!H34="","",[8]道具信息!H34)</f>
        <v/>
      </c>
      <c r="I34" s="39" t="str">
        <f>IF([8]道具信息!I34="","",[8]道具信息!I34)</f>
        <v/>
      </c>
      <c r="J34" s="39" t="str">
        <f>IF([8]道具信息!J34="","",[8]道具信息!J34)</f>
        <v/>
      </c>
      <c r="K34" s="39" t="str">
        <f>IF([8]道具信息!K34="","",[8]道具信息!K34)</f>
        <v/>
      </c>
      <c r="L34" s="39" t="str">
        <f>IF([8]道具信息!L34="","",[8]道具信息!L34)</f>
        <v/>
      </c>
      <c r="M34" s="39" t="str">
        <f>IF([8]道具信息!M34="","",[8]道具信息!M34)</f>
        <v/>
      </c>
      <c r="N34" s="39" t="str">
        <f>IF([8]道具信息!N34="","",[8]道具信息!N34)</f>
        <v/>
      </c>
      <c r="O34" s="39" t="str">
        <f>IF([8]道具信息!O34="","",[8]道具信息!O34)</f>
        <v/>
      </c>
      <c r="P34" s="39" t="str">
        <f>IF([8]道具信息!P34="","",[8]道具信息!P34)</f>
        <v/>
      </c>
      <c r="Q34" s="39" t="str">
        <f>IF([8]道具信息!Q34="","",[8]道具信息!Q34)</f>
        <v/>
      </c>
      <c r="R34" s="39" t="str">
        <f>IF([8]道具信息!R34="","",[8]道具信息!R34)</f>
        <v/>
      </c>
      <c r="S34" s="39" t="str">
        <f>IF([8]道具信息!S34="","",[8]道具信息!S34)</f>
        <v/>
      </c>
      <c r="T34" s="39" t="str">
        <f>IF([8]道具信息!T34="","",[8]道具信息!T34)</f>
        <v/>
      </c>
      <c r="U34" s="39" t="str">
        <f>IF([8]道具信息!U34="","",[8]道具信息!U34)</f>
        <v/>
      </c>
      <c r="V34" s="39" t="str">
        <f>IF([8]道具信息!V34="","",[8]道具信息!V34)</f>
        <v/>
      </c>
      <c r="W34" s="39" t="str">
        <f>IF([8]道具信息!W34="","",[8]道具信息!W34)</f>
        <v/>
      </c>
      <c r="X34" s="39" t="str">
        <f>IF([8]道具信息!X34="","",[8]道具信息!X34)</f>
        <v/>
      </c>
      <c r="Y34" s="39" t="str">
        <f>IF([8]道具信息!Y34="","",[8]道具信息!Y34)</f>
        <v/>
      </c>
      <c r="Z34" s="39" t="str">
        <f>IF([8]道具信息!Z34="","",[8]道具信息!Z34)</f>
        <v/>
      </c>
    </row>
    <row r="35" spans="1:26" x14ac:dyDescent="0.15">
      <c r="A35" s="39" t="str">
        <f>IF([8]道具信息!A35="","",[8]道具信息!A35)</f>
        <v/>
      </c>
      <c r="B35" s="39" t="str">
        <f>IF([8]道具信息!B35="","",[8]道具信息!B35)</f>
        <v/>
      </c>
      <c r="C35" s="39" t="str">
        <f>IF([8]道具信息!C35="","",[8]道具信息!C35)</f>
        <v/>
      </c>
      <c r="D35" s="39" t="str">
        <f>IF([8]道具信息!D35="","",[8]道具信息!D35)</f>
        <v>文心</v>
      </c>
      <c r="E35" s="39">
        <f>IF([8]道具信息!E35="","",[8]道具信息!E35)</f>
        <v>0.33333333333333331</v>
      </c>
      <c r="F35" s="39">
        <f>IF([8]道具信息!F35="","",[8]道具信息!F35)</f>
        <v>1</v>
      </c>
      <c r="G35" s="39">
        <f>IF([8]道具信息!G35="","",[8]道具信息!G35)</f>
        <v>1</v>
      </c>
      <c r="H35" s="39">
        <f>IF([8]道具信息!H35="","",[8]道具信息!H35)</f>
        <v>1</v>
      </c>
      <c r="I35" s="39">
        <f>IF([8]道具信息!I35="","",[8]道具信息!I35)</f>
        <v>0.33333333333333331</v>
      </c>
      <c r="J35" s="39">
        <f>IF([8]道具信息!J35="","",[8]道具信息!J35)</f>
        <v>0.33333333333333331</v>
      </c>
      <c r="K35" s="39">
        <f>IF([8]道具信息!K35="","",[8]道具信息!K35)</f>
        <v>0.33333333333333331</v>
      </c>
      <c r="L35" s="39" t="str">
        <f>IF([8]道具信息!L35="","",[8]道具信息!L35)</f>
        <v>宝物温养货币</v>
      </c>
      <c r="M35" s="39" t="str">
        <f>IF([8]道具信息!M35="","",[8]道具信息!M35)</f>
        <v/>
      </c>
      <c r="N35" s="39" t="str">
        <f>IF([8]道具信息!N35="","",[8]道具信息!N35)</f>
        <v/>
      </c>
      <c r="O35" s="39" t="str">
        <f>IF([8]道具信息!O35="","",[8]道具信息!O35)</f>
        <v/>
      </c>
      <c r="P35" s="39" t="str">
        <f>IF([8]道具信息!P35="","",[8]道具信息!P35)</f>
        <v/>
      </c>
      <c r="Q35" s="39" t="str">
        <f>IF([8]道具信息!Q35="","",[8]道具信息!Q35)</f>
        <v/>
      </c>
      <c r="R35" s="39" t="str">
        <f>IF([8]道具信息!R35="","",[8]道具信息!R35)</f>
        <v/>
      </c>
      <c r="S35" s="39" t="str">
        <f>IF([8]道具信息!S35="","",[8]道具信息!S35)</f>
        <v/>
      </c>
      <c r="T35" s="39" t="str">
        <f>IF([8]道具信息!T35="","",[8]道具信息!T35)</f>
        <v/>
      </c>
      <c r="U35" s="39" t="str">
        <f>IF([8]道具信息!U35="","",[8]道具信息!U35)</f>
        <v/>
      </c>
      <c r="V35" s="39" t="str">
        <f>IF([8]道具信息!V35="","",[8]道具信息!V35)</f>
        <v/>
      </c>
      <c r="W35" s="39" t="str">
        <f>IF([8]道具信息!W35="","",[8]道具信息!W35)</f>
        <v/>
      </c>
      <c r="X35" s="39" t="str">
        <f>IF([8]道具信息!X35="","",[8]道具信息!X35)</f>
        <v/>
      </c>
      <c r="Y35" s="39" t="str">
        <f>IF([8]道具信息!Y35="","",[8]道具信息!Y35)</f>
        <v/>
      </c>
      <c r="Z35" s="39" t="str">
        <f>IF([8]道具信息!Z35="","",[8]道具信息!Z35)</f>
        <v/>
      </c>
    </row>
    <row r="36" spans="1:26" x14ac:dyDescent="0.15">
      <c r="A36" s="39" t="str">
        <f>IF([8]道具信息!A36="","",[8]道具信息!A36)</f>
        <v/>
      </c>
      <c r="B36" s="39" t="str">
        <f>IF([8]道具信息!B36="","",[8]道具信息!B36)</f>
        <v/>
      </c>
      <c r="C36" s="39" t="str">
        <f>IF([8]道具信息!C36="","",[8]道具信息!C36)</f>
        <v/>
      </c>
      <c r="D36" s="39" t="str">
        <f>IF([8]道具信息!D36="","",[8]道具信息!D36)</f>
        <v>宝鉴</v>
      </c>
      <c r="E36" s="39">
        <f>IF([8]道具信息!E36="","",[8]道具信息!E36)</f>
        <v>500</v>
      </c>
      <c r="F36" s="39">
        <f>IF([8]道具信息!F36="","",[8]道具信息!F36)</f>
        <v>1</v>
      </c>
      <c r="G36" s="39">
        <f>IF([8]道具信息!G36="","",[8]道具信息!G36)</f>
        <v>1</v>
      </c>
      <c r="H36" s="39">
        <f>IF([8]道具信息!H36="","",[8]道具信息!H36)</f>
        <v>1</v>
      </c>
      <c r="I36" s="39">
        <f>IF([8]道具信息!I36="","",[8]道具信息!I36)</f>
        <v>500</v>
      </c>
      <c r="J36" s="39">
        <f>IF([8]道具信息!J36="","",[8]道具信息!J36)</f>
        <v>500</v>
      </c>
      <c r="K36" s="39">
        <f>IF([8]道具信息!K36="","",[8]道具信息!K36)</f>
        <v>500</v>
      </c>
      <c r="L36" s="39" t="str">
        <f>IF([8]道具信息!L36="","",[8]道具信息!L36)</f>
        <v>鉴赏宝物属性</v>
      </c>
      <c r="M36" s="39" t="str">
        <f>IF([8]道具信息!M36="","",[8]道具信息!M36)</f>
        <v/>
      </c>
      <c r="N36" s="39" t="str">
        <f>IF([8]道具信息!N36="","",[8]道具信息!N36)</f>
        <v/>
      </c>
      <c r="O36" s="39" t="str">
        <f>IF([8]道具信息!O36="","",[8]道具信息!O36)</f>
        <v/>
      </c>
      <c r="P36" s="39" t="str">
        <f>IF([8]道具信息!P36="","",[8]道具信息!P36)</f>
        <v/>
      </c>
      <c r="Q36" s="39" t="str">
        <f>IF([8]道具信息!Q36="","",[8]道具信息!Q36)</f>
        <v/>
      </c>
      <c r="R36" s="39" t="str">
        <f>IF([8]道具信息!R36="","",[8]道具信息!R36)</f>
        <v/>
      </c>
      <c r="S36" s="39" t="str">
        <f>IF([8]道具信息!S36="","",[8]道具信息!S36)</f>
        <v/>
      </c>
      <c r="T36" s="39" t="str">
        <f>IF([8]道具信息!T36="","",[8]道具信息!T36)</f>
        <v/>
      </c>
      <c r="U36" s="39" t="str">
        <f>IF([8]道具信息!U36="","",[8]道具信息!U36)</f>
        <v/>
      </c>
      <c r="V36" s="39" t="str">
        <f>IF([8]道具信息!V36="","",[8]道具信息!V36)</f>
        <v/>
      </c>
      <c r="W36" s="39" t="str">
        <f>IF([8]道具信息!W36="","",[8]道具信息!W36)</f>
        <v/>
      </c>
      <c r="X36" s="39" t="str">
        <f>IF([8]道具信息!X36="","",[8]道具信息!X36)</f>
        <v/>
      </c>
      <c r="Y36" s="39" t="str">
        <f>IF([8]道具信息!Y36="","",[8]道具信息!Y36)</f>
        <v/>
      </c>
      <c r="Z36" s="39" t="str">
        <f>IF([8]道具信息!Z36="","",[8]道具信息!Z36)</f>
        <v/>
      </c>
    </row>
    <row r="37" spans="1:26" x14ac:dyDescent="0.15">
      <c r="A37" s="39" t="str">
        <f>IF([8]道具信息!A37="","",[8]道具信息!A37)</f>
        <v/>
      </c>
      <c r="B37" s="39" t="str">
        <f>IF([8]道具信息!B37="","",[8]道具信息!B37)</f>
        <v/>
      </c>
      <c r="C37" s="39" t="str">
        <f>IF([8]道具信息!C37="","",[8]道具信息!C37)</f>
        <v/>
      </c>
      <c r="D37" s="39" t="str">
        <f>IF([8]道具信息!D37="","",[8]道具信息!D37)</f>
        <v>密藏之匙</v>
      </c>
      <c r="E37" s="39">
        <f>IF([8]道具信息!E37="","",[8]道具信息!E37)</f>
        <v>330</v>
      </c>
      <c r="F37" s="39">
        <f>IF([8]道具信息!F37="","",[8]道具信息!F37)</f>
        <v>1</v>
      </c>
      <c r="G37" s="39">
        <f>IF([8]道具信息!G37="","",[8]道具信息!G37)</f>
        <v>1</v>
      </c>
      <c r="H37" s="39">
        <f>IF([8]道具信息!H37="","",[8]道具信息!H37)</f>
        <v>1</v>
      </c>
      <c r="I37" s="39">
        <f>IF([8]道具信息!I37="","",[8]道具信息!I37)</f>
        <v>330</v>
      </c>
      <c r="J37" s="39">
        <f>IF([8]道具信息!J37="","",[8]道具信息!J37)</f>
        <v>330</v>
      </c>
      <c r="K37" s="39">
        <f>IF([8]道具信息!K37="","",[8]道具信息!K37)</f>
        <v>330</v>
      </c>
      <c r="L37" s="39" t="str">
        <f>IF([8]道具信息!L37="","",[8]道具信息!L37)</f>
        <v>宝物抽奖道具</v>
      </c>
      <c r="M37" s="39" t="str">
        <f>IF([8]道具信息!M37="","",[8]道具信息!M37)</f>
        <v/>
      </c>
      <c r="N37" s="39" t="str">
        <f>IF([8]道具信息!N37="","",[8]道具信息!N37)</f>
        <v/>
      </c>
      <c r="O37" s="39" t="str">
        <f>IF([8]道具信息!O37="","",[8]道具信息!O37)</f>
        <v/>
      </c>
      <c r="P37" s="39" t="str">
        <f>IF([8]道具信息!P37="","",[8]道具信息!P37)</f>
        <v/>
      </c>
      <c r="Q37" s="39" t="str">
        <f>IF([8]道具信息!Q37="","",[8]道具信息!Q37)</f>
        <v/>
      </c>
      <c r="R37" s="39" t="str">
        <f>IF([8]道具信息!R37="","",[8]道具信息!R37)</f>
        <v/>
      </c>
      <c r="S37" s="39" t="str">
        <f>IF([8]道具信息!S37="","",[8]道具信息!S37)</f>
        <v/>
      </c>
      <c r="T37" s="39" t="str">
        <f>IF([8]道具信息!T37="","",[8]道具信息!T37)</f>
        <v/>
      </c>
      <c r="U37" s="39" t="str">
        <f>IF([8]道具信息!U37="","",[8]道具信息!U37)</f>
        <v/>
      </c>
      <c r="V37" s="39" t="str">
        <f>IF([8]道具信息!V37="","",[8]道具信息!V37)</f>
        <v/>
      </c>
      <c r="W37" s="39" t="str">
        <f>IF([8]道具信息!W37="","",[8]道具信息!W37)</f>
        <v/>
      </c>
      <c r="X37" s="39" t="str">
        <f>IF([8]道具信息!X37="","",[8]道具信息!X37)</f>
        <v/>
      </c>
      <c r="Y37" s="39" t="str">
        <f>IF([8]道具信息!Y37="","",[8]道具信息!Y37)</f>
        <v/>
      </c>
      <c r="Z37" s="39" t="str">
        <f>IF([8]道具信息!Z37="","",[8]道具信息!Z37)</f>
        <v/>
      </c>
    </row>
    <row r="38" spans="1:26" x14ac:dyDescent="0.15">
      <c r="A38" s="39" t="str">
        <f>IF([8]道具信息!A38="","",[8]道具信息!A38)</f>
        <v/>
      </c>
      <c r="B38" s="39" t="str">
        <f>IF([8]道具信息!B38="","",[8]道具信息!B38)</f>
        <v/>
      </c>
      <c r="C38" s="39" t="str">
        <f>IF([8]道具信息!C38="","",[8]道具信息!C38)</f>
        <v/>
      </c>
      <c r="D38" s="39" t="str">
        <f>IF([8]道具信息!D38="","",[8]道具信息!D38)</f>
        <v>宝物精华</v>
      </c>
      <c r="E38" s="39">
        <f>IF([8]道具信息!E38="","",[8]道具信息!E38)</f>
        <v>100</v>
      </c>
      <c r="F38" s="39">
        <f>IF([8]道具信息!F38="","",[8]道具信息!F38)</f>
        <v>1</v>
      </c>
      <c r="G38" s="39">
        <f>IF([8]道具信息!G38="","",[8]道具信息!G38)</f>
        <v>1</v>
      </c>
      <c r="H38" s="39">
        <f>IF([8]道具信息!H38="","",[8]道具信息!H38)</f>
        <v>1</v>
      </c>
      <c r="I38" s="39">
        <f>IF([8]道具信息!I38="","",[8]道具信息!I38)</f>
        <v>100</v>
      </c>
      <c r="J38" s="39">
        <f>IF([8]道具信息!J38="","",[8]道具信息!J38)</f>
        <v>100</v>
      </c>
      <c r="K38" s="39">
        <f>IF([8]道具信息!K38="","",[8]道具信息!K38)</f>
        <v>100</v>
      </c>
      <c r="L38" s="39" t="str">
        <f>IF([8]道具信息!L38="","",[8]道具信息!L38)</f>
        <v>宝物升星消耗货币</v>
      </c>
      <c r="M38" s="39" t="str">
        <f>IF([8]道具信息!M38="","",[8]道具信息!M38)</f>
        <v/>
      </c>
      <c r="N38" s="39" t="str">
        <f>IF([8]道具信息!N38="","",[8]道具信息!N38)</f>
        <v/>
      </c>
      <c r="O38" s="39" t="str">
        <f>IF([8]道具信息!O38="","",[8]道具信息!O38)</f>
        <v/>
      </c>
      <c r="P38" s="39" t="str">
        <f>IF([8]道具信息!P38="","",[8]道具信息!P38)</f>
        <v/>
      </c>
      <c r="Q38" s="39" t="str">
        <f>IF([8]道具信息!Q38="","",[8]道具信息!Q38)</f>
        <v/>
      </c>
      <c r="R38" s="39" t="str">
        <f>IF([8]道具信息!R38="","",[8]道具信息!R38)</f>
        <v/>
      </c>
      <c r="S38" s="39" t="str">
        <f>IF([8]道具信息!S38="","",[8]道具信息!S38)</f>
        <v/>
      </c>
      <c r="T38" s="39" t="str">
        <f>IF([8]道具信息!T38="","",[8]道具信息!T38)</f>
        <v/>
      </c>
      <c r="U38" s="39" t="str">
        <f>IF([8]道具信息!U38="","",[8]道具信息!U38)</f>
        <v/>
      </c>
      <c r="V38" s="39" t="str">
        <f>IF([8]道具信息!V38="","",[8]道具信息!V38)</f>
        <v/>
      </c>
      <c r="W38" s="39" t="str">
        <f>IF([8]道具信息!W38="","",[8]道具信息!W38)</f>
        <v/>
      </c>
      <c r="X38" s="39" t="str">
        <f>IF([8]道具信息!X38="","",[8]道具信息!X38)</f>
        <v/>
      </c>
      <c r="Y38" s="39" t="str">
        <f>IF([8]道具信息!Y38="","",[8]道具信息!Y38)</f>
        <v/>
      </c>
      <c r="Z38" s="39" t="str">
        <f>IF([8]道具信息!Z38="","",[8]道具信息!Z38)</f>
        <v/>
      </c>
    </row>
    <row r="39" spans="1:26" x14ac:dyDescent="0.15">
      <c r="A39" s="39" t="str">
        <f>IF([8]道具信息!A39="","",[8]道具信息!A39)</f>
        <v/>
      </c>
      <c r="B39" s="39" t="str">
        <f>IF([8]道具信息!B39="","",[8]道具信息!B39)</f>
        <v/>
      </c>
      <c r="C39" s="39" t="str">
        <f>IF([8]道具信息!C39="","",[8]道具信息!C39)</f>
        <v/>
      </c>
      <c r="D39" s="39" t="str">
        <f>IF([8]道具信息!D39="","",[8]道具信息!D39)</f>
        <v>指定蓝色宝物</v>
      </c>
      <c r="E39" s="39">
        <f>IF([8]道具信息!E39="","",[8]道具信息!E39)</f>
        <v>100</v>
      </c>
      <c r="F39" s="39">
        <f>IF([8]道具信息!F39="","",[8]道具信息!F39)</f>
        <v>2.5</v>
      </c>
      <c r="G39" s="39">
        <f>IF([8]道具信息!G39="","",[8]道具信息!G39)</f>
        <v>1</v>
      </c>
      <c r="H39" s="39">
        <f>IF([8]道具信息!H39="","",[8]道具信息!H39)</f>
        <v>1</v>
      </c>
      <c r="I39" s="39">
        <f>IF([8]道具信息!I39="","",[8]道具信息!I39)</f>
        <v>250</v>
      </c>
      <c r="J39" s="39">
        <f>IF([8]道具信息!J39="","",[8]道具信息!J39)</f>
        <v>100</v>
      </c>
      <c r="K39" s="39">
        <f>IF([8]道具信息!K39="","",[8]道具信息!K39)</f>
        <v>100</v>
      </c>
      <c r="L39" s="39" t="str">
        <f>IF([8]道具信息!L39="","",[8]道具信息!L39)</f>
        <v/>
      </c>
      <c r="M39" s="39" t="str">
        <f>IF([8]道具信息!M39="","",[8]道具信息!M39)</f>
        <v/>
      </c>
      <c r="N39" s="39" t="str">
        <f>IF([8]道具信息!N39="","",[8]道具信息!N39)</f>
        <v/>
      </c>
      <c r="O39" s="39" t="str">
        <f>IF([8]道具信息!O39="","",[8]道具信息!O39)</f>
        <v/>
      </c>
      <c r="P39" s="39" t="str">
        <f>IF([8]道具信息!P39="","",[8]道具信息!P39)</f>
        <v/>
      </c>
      <c r="Q39" s="39" t="str">
        <f>IF([8]道具信息!Q39="","",[8]道具信息!Q39)</f>
        <v/>
      </c>
      <c r="R39" s="39" t="str">
        <f>IF([8]道具信息!R39="","",[8]道具信息!R39)</f>
        <v/>
      </c>
      <c r="S39" s="39" t="str">
        <f>IF([8]道具信息!S39="","",[8]道具信息!S39)</f>
        <v/>
      </c>
      <c r="T39" s="39" t="str">
        <f>IF([8]道具信息!T39="","",[8]道具信息!T39)</f>
        <v/>
      </c>
      <c r="U39" s="39" t="str">
        <f>IF([8]道具信息!U39="","",[8]道具信息!U39)</f>
        <v/>
      </c>
      <c r="V39" s="39" t="str">
        <f>IF([8]道具信息!V39="","",[8]道具信息!V39)</f>
        <v/>
      </c>
      <c r="W39" s="39" t="str">
        <f>IF([8]道具信息!W39="","",[8]道具信息!W39)</f>
        <v/>
      </c>
      <c r="X39" s="39" t="str">
        <f>IF([8]道具信息!X39="","",[8]道具信息!X39)</f>
        <v/>
      </c>
      <c r="Y39" s="39" t="str">
        <f>IF([8]道具信息!Y39="","",[8]道具信息!Y39)</f>
        <v/>
      </c>
      <c r="Z39" s="39" t="str">
        <f>IF([8]道具信息!Z39="","",[8]道具信息!Z39)</f>
        <v/>
      </c>
    </row>
    <row r="40" spans="1:26" x14ac:dyDescent="0.15">
      <c r="A40" s="39" t="str">
        <f>IF([8]道具信息!A40="","",[8]道具信息!A40)</f>
        <v/>
      </c>
      <c r="B40" s="39" t="str">
        <f>IF([8]道具信息!B40="","",[8]道具信息!B40)</f>
        <v/>
      </c>
      <c r="C40" s="39" t="str">
        <f>IF([8]道具信息!C40="","",[8]道具信息!C40)</f>
        <v/>
      </c>
      <c r="D40" s="39" t="str">
        <f>IF([8]道具信息!D40="","",[8]道具信息!D40)</f>
        <v>指定紫色宝物</v>
      </c>
      <c r="E40" s="39">
        <f>IF([8]道具信息!E40="","",[8]道具信息!E40)</f>
        <v>500</v>
      </c>
      <c r="F40" s="39">
        <f>IF([8]道具信息!F40="","",[8]道具信息!F40)</f>
        <v>2.5</v>
      </c>
      <c r="G40" s="39">
        <f>IF([8]道具信息!G40="","",[8]道具信息!G40)</f>
        <v>1</v>
      </c>
      <c r="H40" s="39">
        <f>IF([8]道具信息!H40="","",[8]道具信息!H40)</f>
        <v>1</v>
      </c>
      <c r="I40" s="39">
        <f>IF([8]道具信息!I40="","",[8]道具信息!I40)</f>
        <v>1250</v>
      </c>
      <c r="J40" s="39">
        <f>IF([8]道具信息!J40="","",[8]道具信息!J40)</f>
        <v>500</v>
      </c>
      <c r="K40" s="39">
        <f>IF([8]道具信息!K40="","",[8]道具信息!K40)</f>
        <v>500</v>
      </c>
      <c r="L40" s="39" t="str">
        <f>IF([8]道具信息!L40="","",[8]道具信息!L40)</f>
        <v/>
      </c>
      <c r="M40" s="39" t="str">
        <f>IF([8]道具信息!M40="","",[8]道具信息!M40)</f>
        <v/>
      </c>
      <c r="N40" s="39" t="str">
        <f>IF([8]道具信息!N40="","",[8]道具信息!N40)</f>
        <v/>
      </c>
      <c r="O40" s="39" t="str">
        <f>IF([8]道具信息!O40="","",[8]道具信息!O40)</f>
        <v/>
      </c>
      <c r="P40" s="39" t="str">
        <f>IF([8]道具信息!P40="","",[8]道具信息!P40)</f>
        <v/>
      </c>
      <c r="Q40" s="39" t="str">
        <f>IF([8]道具信息!Q40="","",[8]道具信息!Q40)</f>
        <v/>
      </c>
      <c r="R40" s="39" t="str">
        <f>IF([8]道具信息!R40="","",[8]道具信息!R40)</f>
        <v/>
      </c>
      <c r="S40" s="39" t="str">
        <f>IF([8]道具信息!S40="","",[8]道具信息!S40)</f>
        <v/>
      </c>
      <c r="T40" s="39" t="str">
        <f>IF([8]道具信息!T40="","",[8]道具信息!T40)</f>
        <v/>
      </c>
      <c r="U40" s="39" t="str">
        <f>IF([8]道具信息!U40="","",[8]道具信息!U40)</f>
        <v/>
      </c>
      <c r="V40" s="39" t="str">
        <f>IF([8]道具信息!V40="","",[8]道具信息!V40)</f>
        <v/>
      </c>
      <c r="W40" s="39" t="str">
        <f>IF([8]道具信息!W40="","",[8]道具信息!W40)</f>
        <v/>
      </c>
      <c r="X40" s="39" t="str">
        <f>IF([8]道具信息!X40="","",[8]道具信息!X40)</f>
        <v/>
      </c>
      <c r="Y40" s="39" t="str">
        <f>IF([8]道具信息!Y40="","",[8]道具信息!Y40)</f>
        <v/>
      </c>
      <c r="Z40" s="39" t="str">
        <f>IF([8]道具信息!Z40="","",[8]道具信息!Z40)</f>
        <v/>
      </c>
    </row>
    <row r="41" spans="1:26" x14ac:dyDescent="0.15">
      <c r="A41" s="39" t="str">
        <f>IF([8]道具信息!A41="","",[8]道具信息!A41)</f>
        <v/>
      </c>
      <c r="B41" s="39" t="str">
        <f>IF([8]道具信息!B41="","",[8]道具信息!B41)</f>
        <v/>
      </c>
      <c r="C41" s="39" t="str">
        <f>IF([8]道具信息!C41="","",[8]道具信息!C41)</f>
        <v/>
      </c>
      <c r="D41" s="39" t="str">
        <f>IF([8]道具信息!D41="","",[8]道具信息!D41)</f>
        <v>指定橙色宝物</v>
      </c>
      <c r="E41" s="39">
        <f>IF([8]道具信息!E41="","",[8]道具信息!E41)</f>
        <v>4000</v>
      </c>
      <c r="F41" s="39">
        <f>IF([8]道具信息!F41="","",[8]道具信息!F41)</f>
        <v>2.5</v>
      </c>
      <c r="G41" s="39">
        <f>IF([8]道具信息!G41="","",[8]道具信息!G41)</f>
        <v>1</v>
      </c>
      <c r="H41" s="39">
        <f>IF([8]道具信息!H41="","",[8]道具信息!H41)</f>
        <v>1</v>
      </c>
      <c r="I41" s="39">
        <f>IF([8]道具信息!I41="","",[8]道具信息!I41)</f>
        <v>10000</v>
      </c>
      <c r="J41" s="39">
        <f>IF([8]道具信息!J41="","",[8]道具信息!J41)</f>
        <v>4000</v>
      </c>
      <c r="K41" s="39">
        <f>IF([8]道具信息!K41="","",[8]道具信息!K41)</f>
        <v>4000</v>
      </c>
      <c r="L41" s="39" t="str">
        <f>IF([8]道具信息!L41="","",[8]道具信息!L41)</f>
        <v/>
      </c>
      <c r="M41" s="39" t="str">
        <f>IF([8]道具信息!M41="","",[8]道具信息!M41)</f>
        <v/>
      </c>
      <c r="N41" s="39" t="str">
        <f>IF([8]道具信息!N41="","",[8]道具信息!N41)</f>
        <v/>
      </c>
      <c r="O41" s="39" t="str">
        <f>IF([8]道具信息!O41="","",[8]道具信息!O41)</f>
        <v/>
      </c>
      <c r="P41" s="39" t="str">
        <f>IF([8]道具信息!P41="","",[8]道具信息!P41)</f>
        <v/>
      </c>
      <c r="Q41" s="39" t="str">
        <f>IF([8]道具信息!Q41="","",[8]道具信息!Q41)</f>
        <v/>
      </c>
      <c r="R41" s="39" t="str">
        <f>IF([8]道具信息!R41="","",[8]道具信息!R41)</f>
        <v/>
      </c>
      <c r="S41" s="39" t="str">
        <f>IF([8]道具信息!S41="","",[8]道具信息!S41)</f>
        <v/>
      </c>
      <c r="T41" s="39" t="str">
        <f>IF([8]道具信息!T41="","",[8]道具信息!T41)</f>
        <v/>
      </c>
      <c r="U41" s="39" t="str">
        <f>IF([8]道具信息!U41="","",[8]道具信息!U41)</f>
        <v/>
      </c>
      <c r="V41" s="39" t="str">
        <f>IF([8]道具信息!V41="","",[8]道具信息!V41)</f>
        <v/>
      </c>
      <c r="W41" s="39" t="str">
        <f>IF([8]道具信息!W41="","",[8]道具信息!W41)</f>
        <v/>
      </c>
      <c r="X41" s="39" t="str">
        <f>IF([8]道具信息!X41="","",[8]道具信息!X41)</f>
        <v/>
      </c>
      <c r="Y41" s="39" t="str">
        <f>IF([8]道具信息!Y41="","",[8]道具信息!Y41)</f>
        <v/>
      </c>
      <c r="Z41" s="39" t="str">
        <f>IF([8]道具信息!Z41="","",[8]道具信息!Z41)</f>
        <v/>
      </c>
    </row>
    <row r="42" spans="1:26" x14ac:dyDescent="0.15">
      <c r="A42" s="39" t="str">
        <f>IF([8]道具信息!A42="","",[8]道具信息!A42)</f>
        <v/>
      </c>
      <c r="B42" s="39" t="str">
        <f>IF([8]道具信息!B42="","",[8]道具信息!B42)</f>
        <v/>
      </c>
      <c r="C42" s="39" t="str">
        <f>IF([8]道具信息!C42="","",[8]道具信息!C42)</f>
        <v/>
      </c>
      <c r="D42" s="39" t="str">
        <f>IF([8]道具信息!D42="","",[8]道具信息!D42)</f>
        <v>指定橙+宝物</v>
      </c>
      <c r="E42" s="39">
        <f>IF([8]道具信息!E42="","",[8]道具信息!E42)</f>
        <v>20000</v>
      </c>
      <c r="F42" s="39">
        <f>IF([8]道具信息!F42="","",[8]道具信息!F42)</f>
        <v>2.5</v>
      </c>
      <c r="G42" s="39">
        <f>IF([8]道具信息!G42="","",[8]道具信息!G42)</f>
        <v>1</v>
      </c>
      <c r="H42" s="39">
        <f>IF([8]道具信息!H42="","",[8]道具信息!H42)</f>
        <v>1</v>
      </c>
      <c r="I42" s="39">
        <f>IF([8]道具信息!I42="","",[8]道具信息!I42)</f>
        <v>50000</v>
      </c>
      <c r="J42" s="39">
        <f>IF([8]道具信息!J42="","",[8]道具信息!J42)</f>
        <v>20000</v>
      </c>
      <c r="K42" s="39">
        <f>IF([8]道具信息!K42="","",[8]道具信息!K42)</f>
        <v>20000</v>
      </c>
      <c r="L42" s="39" t="str">
        <f>IF([8]道具信息!L42="","",[8]道具信息!L42)</f>
        <v/>
      </c>
      <c r="M42" s="39" t="str">
        <f>IF([8]道具信息!M42="","",[8]道具信息!M42)</f>
        <v/>
      </c>
      <c r="N42" s="39" t="str">
        <f>IF([8]道具信息!N42="","",[8]道具信息!N42)</f>
        <v/>
      </c>
      <c r="O42" s="39" t="str">
        <f>IF([8]道具信息!O42="","",[8]道具信息!O42)</f>
        <v/>
      </c>
      <c r="P42" s="39" t="str">
        <f>IF([8]道具信息!P42="","",[8]道具信息!P42)</f>
        <v/>
      </c>
      <c r="Q42" s="39" t="str">
        <f>IF([8]道具信息!Q42="","",[8]道具信息!Q42)</f>
        <v/>
      </c>
      <c r="R42" s="39" t="str">
        <f>IF([8]道具信息!R42="","",[8]道具信息!R42)</f>
        <v/>
      </c>
      <c r="S42" s="39" t="str">
        <f>IF([8]道具信息!S42="","",[8]道具信息!S42)</f>
        <v/>
      </c>
      <c r="T42" s="39" t="str">
        <f>IF([8]道具信息!T42="","",[8]道具信息!T42)</f>
        <v/>
      </c>
      <c r="U42" s="39" t="str">
        <f>IF([8]道具信息!U42="","",[8]道具信息!U42)</f>
        <v/>
      </c>
      <c r="V42" s="39" t="str">
        <f>IF([8]道具信息!V42="","",[8]道具信息!V42)</f>
        <v/>
      </c>
      <c r="W42" s="39" t="str">
        <f>IF([8]道具信息!W42="","",[8]道具信息!W42)</f>
        <v/>
      </c>
      <c r="X42" s="39" t="str">
        <f>IF([8]道具信息!X42="","",[8]道具信息!X42)</f>
        <v/>
      </c>
      <c r="Y42" s="39" t="str">
        <f>IF([8]道具信息!Y42="","",[8]道具信息!Y42)</f>
        <v/>
      </c>
      <c r="Z42" s="39" t="str">
        <f>IF([8]道具信息!Z42="","",[8]道具信息!Z42)</f>
        <v/>
      </c>
    </row>
    <row r="43" spans="1:26" x14ac:dyDescent="0.15">
      <c r="A43" s="39" t="str">
        <f>IF([8]道具信息!A43="","",[8]道具信息!A43)</f>
        <v/>
      </c>
      <c r="B43" s="39" t="str">
        <f>IF([8]道具信息!B43="","",[8]道具信息!B43)</f>
        <v/>
      </c>
      <c r="C43" s="39" t="str">
        <f>IF([8]道具信息!C43="","",[8]道具信息!C43)</f>
        <v/>
      </c>
      <c r="D43" s="39" t="str">
        <f>IF([8]道具信息!D43="","",[8]道具信息!D43)</f>
        <v>指定红色宝物</v>
      </c>
      <c r="E43" s="39">
        <f>IF([8]道具信息!E43="","",[8]道具信息!E43)</f>
        <v>60000</v>
      </c>
      <c r="F43" s="39">
        <f>IF([8]道具信息!F43="","",[8]道具信息!F43)</f>
        <v>2.5</v>
      </c>
      <c r="G43" s="39">
        <f>IF([8]道具信息!G43="","",[8]道具信息!G43)</f>
        <v>1</v>
      </c>
      <c r="H43" s="39">
        <f>IF([8]道具信息!H43="","",[8]道具信息!H43)</f>
        <v>1</v>
      </c>
      <c r="I43" s="39">
        <f>IF([8]道具信息!I43="","",[8]道具信息!I43)</f>
        <v>150000</v>
      </c>
      <c r="J43" s="39">
        <f>IF([8]道具信息!J43="","",[8]道具信息!J43)</f>
        <v>60000</v>
      </c>
      <c r="K43" s="39">
        <f>IF([8]道具信息!K43="","",[8]道具信息!K43)</f>
        <v>60000</v>
      </c>
      <c r="L43" s="39" t="str">
        <f>IF([8]道具信息!L43="","",[8]道具信息!L43)</f>
        <v/>
      </c>
      <c r="M43" s="39" t="str">
        <f>IF([8]道具信息!M43="","",[8]道具信息!M43)</f>
        <v/>
      </c>
      <c r="N43" s="39" t="str">
        <f>IF([8]道具信息!N43="","",[8]道具信息!N43)</f>
        <v/>
      </c>
      <c r="O43" s="39" t="str">
        <f>IF([8]道具信息!O43="","",[8]道具信息!O43)</f>
        <v/>
      </c>
      <c r="P43" s="39" t="str">
        <f>IF([8]道具信息!P43="","",[8]道具信息!P43)</f>
        <v/>
      </c>
      <c r="Q43" s="39" t="str">
        <f>IF([8]道具信息!Q43="","",[8]道具信息!Q43)</f>
        <v/>
      </c>
      <c r="R43" s="39" t="str">
        <f>IF([8]道具信息!R43="","",[8]道具信息!R43)</f>
        <v/>
      </c>
      <c r="S43" s="39" t="str">
        <f>IF([8]道具信息!S43="","",[8]道具信息!S43)</f>
        <v/>
      </c>
      <c r="T43" s="39" t="str">
        <f>IF([8]道具信息!T43="","",[8]道具信息!T43)</f>
        <v/>
      </c>
      <c r="U43" s="39" t="str">
        <f>IF([8]道具信息!U43="","",[8]道具信息!U43)</f>
        <v/>
      </c>
      <c r="V43" s="39" t="str">
        <f>IF([8]道具信息!V43="","",[8]道具信息!V43)</f>
        <v/>
      </c>
      <c r="W43" s="39" t="str">
        <f>IF([8]道具信息!W43="","",[8]道具信息!W43)</f>
        <v/>
      </c>
      <c r="X43" s="39" t="str">
        <f>IF([8]道具信息!X43="","",[8]道具信息!X43)</f>
        <v/>
      </c>
      <c r="Y43" s="39" t="str">
        <f>IF([8]道具信息!Y43="","",[8]道具信息!Y43)</f>
        <v/>
      </c>
      <c r="Z43" s="39" t="str">
        <f>IF([8]道具信息!Z43="","",[8]道具信息!Z43)</f>
        <v/>
      </c>
    </row>
    <row r="44" spans="1:26" x14ac:dyDescent="0.15">
      <c r="A44" s="39" t="str">
        <f>IF([8]道具信息!A44="","",[8]道具信息!A44)</f>
        <v/>
      </c>
      <c r="B44" s="39" t="str">
        <f>IF([8]道具信息!B44="","",[8]道具信息!B44)</f>
        <v/>
      </c>
      <c r="C44" s="39" t="str">
        <f>IF([8]道具信息!C44="","",[8]道具信息!C44)</f>
        <v/>
      </c>
      <c r="D44" s="39" t="str">
        <f>IF([8]道具信息!D44="","",[8]道具信息!D44)</f>
        <v>指定橙色宝物碎片</v>
      </c>
      <c r="E44" s="39">
        <f>IF([8]道具信息!E44="","",[8]道具信息!E44)</f>
        <v>133.33333333333334</v>
      </c>
      <c r="F44" s="39">
        <f>IF([8]道具信息!F44="","",[8]道具信息!F44)</f>
        <v>2.5</v>
      </c>
      <c r="G44" s="39">
        <f>IF([8]道具信息!G44="","",[8]道具信息!G44)</f>
        <v>1</v>
      </c>
      <c r="H44" s="39">
        <f>IF([8]道具信息!H44="","",[8]道具信息!H44)</f>
        <v>1</v>
      </c>
      <c r="I44" s="39">
        <f>IF([8]道具信息!I44="","",[8]道具信息!I44)</f>
        <v>333.33333333333337</v>
      </c>
      <c r="J44" s="39">
        <f>IF([8]道具信息!J44="","",[8]道具信息!J44)</f>
        <v>133.33333333333334</v>
      </c>
      <c r="K44" s="39">
        <f>IF([8]道具信息!K44="","",[8]道具信息!K44)</f>
        <v>133.33333333333334</v>
      </c>
      <c r="L44" s="39" t="str">
        <f>IF([8]道具信息!L44="","",[8]道具信息!L44)</f>
        <v/>
      </c>
      <c r="M44" s="39" t="str">
        <f>IF([8]道具信息!M44="","",[8]道具信息!M44)</f>
        <v/>
      </c>
      <c r="N44" s="39" t="str">
        <f>IF([8]道具信息!N44="","",[8]道具信息!N44)</f>
        <v/>
      </c>
      <c r="O44" s="39" t="str">
        <f>IF([8]道具信息!O44="","",[8]道具信息!O44)</f>
        <v/>
      </c>
      <c r="P44" s="39" t="str">
        <f>IF([8]道具信息!P44="","",[8]道具信息!P44)</f>
        <v/>
      </c>
      <c r="Q44" s="39" t="str">
        <f>IF([8]道具信息!Q44="","",[8]道具信息!Q44)</f>
        <v/>
      </c>
      <c r="R44" s="39" t="str">
        <f>IF([8]道具信息!R44="","",[8]道具信息!R44)</f>
        <v/>
      </c>
      <c r="S44" s="39" t="str">
        <f>IF([8]道具信息!S44="","",[8]道具信息!S44)</f>
        <v/>
      </c>
      <c r="T44" s="39" t="str">
        <f>IF([8]道具信息!T44="","",[8]道具信息!T44)</f>
        <v/>
      </c>
      <c r="U44" s="39" t="str">
        <f>IF([8]道具信息!U44="","",[8]道具信息!U44)</f>
        <v/>
      </c>
      <c r="V44" s="39" t="str">
        <f>IF([8]道具信息!V44="","",[8]道具信息!V44)</f>
        <v/>
      </c>
      <c r="W44" s="39" t="str">
        <f>IF([8]道具信息!W44="","",[8]道具信息!W44)</f>
        <v/>
      </c>
      <c r="X44" s="39" t="str">
        <f>IF([8]道具信息!X44="","",[8]道具信息!X44)</f>
        <v/>
      </c>
      <c r="Y44" s="39" t="str">
        <f>IF([8]道具信息!Y44="","",[8]道具信息!Y44)</f>
        <v/>
      </c>
      <c r="Z44" s="39" t="str">
        <f>IF([8]道具信息!Z44="","",[8]道具信息!Z44)</f>
        <v/>
      </c>
    </row>
    <row r="45" spans="1:26" x14ac:dyDescent="0.15">
      <c r="A45" s="39" t="str">
        <f>IF([8]道具信息!A45="","",[8]道具信息!A45)</f>
        <v/>
      </c>
      <c r="B45" s="39" t="str">
        <f>IF([8]道具信息!B45="","",[8]道具信息!B45)</f>
        <v/>
      </c>
      <c r="C45" s="39" t="str">
        <f>IF([8]道具信息!C45="","",[8]道具信息!C45)</f>
        <v/>
      </c>
      <c r="D45" s="39" t="str">
        <f>IF([8]道具信息!D45="","",[8]道具信息!D45)</f>
        <v>指定橙+宝物碎片</v>
      </c>
      <c r="E45" s="39">
        <f>IF([8]道具信息!E45="","",[8]道具信息!E45)</f>
        <v>666.66666666666663</v>
      </c>
      <c r="F45" s="39">
        <f>IF([8]道具信息!F45="","",[8]道具信息!F45)</f>
        <v>2.5</v>
      </c>
      <c r="G45" s="39">
        <f>IF([8]道具信息!G45="","",[8]道具信息!G45)</f>
        <v>1</v>
      </c>
      <c r="H45" s="39">
        <f>IF([8]道具信息!H45="","",[8]道具信息!H45)</f>
        <v>1</v>
      </c>
      <c r="I45" s="39">
        <f>IF([8]道具信息!I45="","",[8]道具信息!I45)</f>
        <v>1666.6666666666665</v>
      </c>
      <c r="J45" s="39">
        <f>IF([8]道具信息!J45="","",[8]道具信息!J45)</f>
        <v>666.66666666666663</v>
      </c>
      <c r="K45" s="39">
        <f>IF([8]道具信息!K45="","",[8]道具信息!K45)</f>
        <v>666.66666666666663</v>
      </c>
      <c r="L45" s="39" t="str">
        <f>IF([8]道具信息!L45="","",[8]道具信息!L45)</f>
        <v/>
      </c>
      <c r="M45" s="39" t="str">
        <f>IF([8]道具信息!M45="","",[8]道具信息!M45)</f>
        <v/>
      </c>
      <c r="N45" s="39" t="str">
        <f>IF([8]道具信息!N45="","",[8]道具信息!N45)</f>
        <v/>
      </c>
      <c r="O45" s="39" t="str">
        <f>IF([8]道具信息!O45="","",[8]道具信息!O45)</f>
        <v/>
      </c>
      <c r="P45" s="39" t="str">
        <f>IF([8]道具信息!P45="","",[8]道具信息!P45)</f>
        <v/>
      </c>
      <c r="Q45" s="39" t="str">
        <f>IF([8]道具信息!Q45="","",[8]道具信息!Q45)</f>
        <v/>
      </c>
      <c r="R45" s="39" t="str">
        <f>IF([8]道具信息!R45="","",[8]道具信息!R45)</f>
        <v/>
      </c>
      <c r="S45" s="39" t="str">
        <f>IF([8]道具信息!S45="","",[8]道具信息!S45)</f>
        <v/>
      </c>
      <c r="T45" s="39" t="str">
        <f>IF([8]道具信息!T45="","",[8]道具信息!T45)</f>
        <v/>
      </c>
      <c r="U45" s="39" t="str">
        <f>IF([8]道具信息!U45="","",[8]道具信息!U45)</f>
        <v/>
      </c>
      <c r="V45" s="39" t="str">
        <f>IF([8]道具信息!V45="","",[8]道具信息!V45)</f>
        <v/>
      </c>
      <c r="W45" s="39" t="str">
        <f>IF([8]道具信息!W45="","",[8]道具信息!W45)</f>
        <v/>
      </c>
      <c r="X45" s="39" t="str">
        <f>IF([8]道具信息!X45="","",[8]道具信息!X45)</f>
        <v/>
      </c>
      <c r="Y45" s="39" t="str">
        <f>IF([8]道具信息!Y45="","",[8]道具信息!Y45)</f>
        <v/>
      </c>
      <c r="Z45" s="39" t="str">
        <f>IF([8]道具信息!Z45="","",[8]道具信息!Z45)</f>
        <v/>
      </c>
    </row>
    <row r="46" spans="1:26" x14ac:dyDescent="0.15">
      <c r="A46" s="39" t="str">
        <f>IF([8]道具信息!A46="","",[8]道具信息!A46)</f>
        <v/>
      </c>
      <c r="B46" s="39" t="str">
        <f>IF([8]道具信息!B46="","",[8]道具信息!B46)</f>
        <v/>
      </c>
      <c r="C46" s="39" t="str">
        <f>IF([8]道具信息!C46="","",[8]道具信息!C46)</f>
        <v/>
      </c>
      <c r="D46" s="39" t="str">
        <f>IF([8]道具信息!D46="","",[8]道具信息!D46)</f>
        <v>指定红色宝物碎片</v>
      </c>
      <c r="E46" s="39">
        <f>IF([8]道具信息!E46="","",[8]道具信息!E46)</f>
        <v>1200</v>
      </c>
      <c r="F46" s="39">
        <f>IF([8]道具信息!F46="","",[8]道具信息!F46)</f>
        <v>2.5</v>
      </c>
      <c r="G46" s="39">
        <f>IF([8]道具信息!G46="","",[8]道具信息!G46)</f>
        <v>1</v>
      </c>
      <c r="H46" s="39">
        <f>IF([8]道具信息!H46="","",[8]道具信息!H46)</f>
        <v>1</v>
      </c>
      <c r="I46" s="39">
        <f>IF([8]道具信息!I46="","",[8]道具信息!I46)</f>
        <v>3000</v>
      </c>
      <c r="J46" s="39">
        <f>IF([8]道具信息!J46="","",[8]道具信息!J46)</f>
        <v>1200</v>
      </c>
      <c r="K46" s="39">
        <f>IF([8]道具信息!K46="","",[8]道具信息!K46)</f>
        <v>1200</v>
      </c>
      <c r="L46" s="39" t="str">
        <f>IF([8]道具信息!L46="","",[8]道具信息!L46)</f>
        <v/>
      </c>
      <c r="M46" s="39" t="str">
        <f>IF([8]道具信息!M46="","",[8]道具信息!M46)</f>
        <v/>
      </c>
      <c r="N46" s="39" t="str">
        <f>IF([8]道具信息!N46="","",[8]道具信息!N46)</f>
        <v/>
      </c>
      <c r="O46" s="39" t="str">
        <f>IF([8]道具信息!O46="","",[8]道具信息!O46)</f>
        <v/>
      </c>
      <c r="P46" s="39" t="str">
        <f>IF([8]道具信息!P46="","",[8]道具信息!P46)</f>
        <v/>
      </c>
      <c r="Q46" s="39" t="str">
        <f>IF([8]道具信息!Q46="","",[8]道具信息!Q46)</f>
        <v/>
      </c>
      <c r="R46" s="39" t="str">
        <f>IF([8]道具信息!R46="","",[8]道具信息!R46)</f>
        <v/>
      </c>
      <c r="S46" s="39" t="str">
        <f>IF([8]道具信息!S46="","",[8]道具信息!S46)</f>
        <v/>
      </c>
      <c r="T46" s="39" t="str">
        <f>IF([8]道具信息!T46="","",[8]道具信息!T46)</f>
        <v/>
      </c>
      <c r="U46" s="39" t="str">
        <f>IF([8]道具信息!U46="","",[8]道具信息!U46)</f>
        <v/>
      </c>
      <c r="V46" s="39" t="str">
        <f>IF([8]道具信息!V46="","",[8]道具信息!V46)</f>
        <v/>
      </c>
      <c r="W46" s="39" t="str">
        <f>IF([8]道具信息!W46="","",[8]道具信息!W46)</f>
        <v/>
      </c>
      <c r="X46" s="39" t="str">
        <f>IF([8]道具信息!X46="","",[8]道具信息!X46)</f>
        <v/>
      </c>
      <c r="Y46" s="39" t="str">
        <f>IF([8]道具信息!Y46="","",[8]道具信息!Y46)</f>
        <v/>
      </c>
      <c r="Z46" s="39" t="str">
        <f>IF([8]道具信息!Z46="","",[8]道具信息!Z46)</f>
        <v/>
      </c>
    </row>
    <row r="47" spans="1:26" x14ac:dyDescent="0.15">
      <c r="A47" s="39" t="str">
        <f>IF([8]道具信息!A47="","",[8]道具信息!A47)</f>
        <v/>
      </c>
      <c r="B47" s="39" t="str">
        <f>IF([8]道具信息!B47="","",[8]道具信息!B47)</f>
        <v/>
      </c>
      <c r="C47" s="39" t="str">
        <f>IF([8]道具信息!C47="","",[8]道具信息!C47)</f>
        <v/>
      </c>
      <c r="D47" s="39" t="str">
        <f>IF([8]道具信息!D47="","",[8]道具信息!D47)</f>
        <v>随机蓝色宝物</v>
      </c>
      <c r="E47" s="39">
        <f>IF([8]道具信息!E47="","",[8]道具信息!E47)</f>
        <v>100</v>
      </c>
      <c r="F47" s="39">
        <f>IF([8]道具信息!F47="","",[8]道具信息!F47)</f>
        <v>2.5</v>
      </c>
      <c r="G47" s="39">
        <f>IF([8]道具信息!G47="","",[8]道具信息!G47)</f>
        <v>1</v>
      </c>
      <c r="H47" s="39">
        <f>IF([8]道具信息!H47="","",[8]道具信息!H47)</f>
        <v>1</v>
      </c>
      <c r="I47" s="39">
        <f>IF([8]道具信息!I47="","",[8]道具信息!I47)</f>
        <v>250</v>
      </c>
      <c r="J47" s="39">
        <f>IF([8]道具信息!J47="","",[8]道具信息!J47)</f>
        <v>100</v>
      </c>
      <c r="K47" s="39">
        <f>IF([8]道具信息!K47="","",[8]道具信息!K47)</f>
        <v>100</v>
      </c>
      <c r="L47" s="39" t="str">
        <f>IF([8]道具信息!L47="","",[8]道具信息!L47)</f>
        <v/>
      </c>
      <c r="M47" s="39" t="str">
        <f>IF([8]道具信息!M47="","",[8]道具信息!M47)</f>
        <v/>
      </c>
      <c r="N47" s="39" t="str">
        <f>IF([8]道具信息!N47="","",[8]道具信息!N47)</f>
        <v/>
      </c>
      <c r="O47" s="39" t="str">
        <f>IF([8]道具信息!O47="","",[8]道具信息!O47)</f>
        <v/>
      </c>
      <c r="P47" s="39" t="str">
        <f>IF([8]道具信息!P47="","",[8]道具信息!P47)</f>
        <v/>
      </c>
      <c r="Q47" s="39" t="str">
        <f>IF([8]道具信息!Q47="","",[8]道具信息!Q47)</f>
        <v/>
      </c>
      <c r="R47" s="39" t="str">
        <f>IF([8]道具信息!R47="","",[8]道具信息!R47)</f>
        <v/>
      </c>
      <c r="S47" s="39" t="str">
        <f>IF([8]道具信息!S47="","",[8]道具信息!S47)</f>
        <v/>
      </c>
      <c r="T47" s="39" t="str">
        <f>IF([8]道具信息!T47="","",[8]道具信息!T47)</f>
        <v/>
      </c>
      <c r="U47" s="39" t="str">
        <f>IF([8]道具信息!U47="","",[8]道具信息!U47)</f>
        <v/>
      </c>
      <c r="V47" s="39" t="str">
        <f>IF([8]道具信息!V47="","",[8]道具信息!V47)</f>
        <v/>
      </c>
      <c r="W47" s="39" t="str">
        <f>IF([8]道具信息!W47="","",[8]道具信息!W47)</f>
        <v/>
      </c>
      <c r="X47" s="39" t="str">
        <f>IF([8]道具信息!X47="","",[8]道具信息!X47)</f>
        <v/>
      </c>
      <c r="Y47" s="39" t="str">
        <f>IF([8]道具信息!Y47="","",[8]道具信息!Y47)</f>
        <v/>
      </c>
      <c r="Z47" s="39" t="str">
        <f>IF([8]道具信息!Z47="","",[8]道具信息!Z47)</f>
        <v/>
      </c>
    </row>
    <row r="48" spans="1:26" x14ac:dyDescent="0.15">
      <c r="A48" s="39" t="str">
        <f>IF([8]道具信息!A48="","",[8]道具信息!A48)</f>
        <v/>
      </c>
      <c r="B48" s="39" t="str">
        <f>IF([8]道具信息!B48="","",[8]道具信息!B48)</f>
        <v/>
      </c>
      <c r="C48" s="39" t="str">
        <f>IF([8]道具信息!C48="","",[8]道具信息!C48)</f>
        <v/>
      </c>
      <c r="D48" s="39" t="str">
        <f>IF([8]道具信息!D48="","",[8]道具信息!D48)</f>
        <v>随机紫色宝物</v>
      </c>
      <c r="E48" s="39">
        <f>IF([8]道具信息!E48="","",[8]道具信息!E48)</f>
        <v>500</v>
      </c>
      <c r="F48" s="39">
        <f>IF([8]道具信息!F48="","",[8]道具信息!F48)</f>
        <v>2.5</v>
      </c>
      <c r="G48" s="39">
        <f>IF([8]道具信息!G48="","",[8]道具信息!G48)</f>
        <v>1</v>
      </c>
      <c r="H48" s="39">
        <f>IF([8]道具信息!H48="","",[8]道具信息!H48)</f>
        <v>1</v>
      </c>
      <c r="I48" s="39">
        <f>IF([8]道具信息!I48="","",[8]道具信息!I48)</f>
        <v>1250</v>
      </c>
      <c r="J48" s="39">
        <f>IF([8]道具信息!J48="","",[8]道具信息!J48)</f>
        <v>500</v>
      </c>
      <c r="K48" s="39">
        <f>IF([8]道具信息!K48="","",[8]道具信息!K48)</f>
        <v>500</v>
      </c>
      <c r="L48" s="39" t="str">
        <f>IF([8]道具信息!L48="","",[8]道具信息!L48)</f>
        <v/>
      </c>
      <c r="M48" s="39" t="str">
        <f>IF([8]道具信息!M48="","",[8]道具信息!M48)</f>
        <v/>
      </c>
      <c r="N48" s="39" t="str">
        <f>IF([8]道具信息!N48="","",[8]道具信息!N48)</f>
        <v/>
      </c>
      <c r="O48" s="39" t="str">
        <f>IF([8]道具信息!O48="","",[8]道具信息!O48)</f>
        <v/>
      </c>
      <c r="P48" s="39" t="str">
        <f>IF([8]道具信息!P48="","",[8]道具信息!P48)</f>
        <v/>
      </c>
      <c r="Q48" s="39" t="str">
        <f>IF([8]道具信息!Q48="","",[8]道具信息!Q48)</f>
        <v/>
      </c>
      <c r="R48" s="39" t="str">
        <f>IF([8]道具信息!R48="","",[8]道具信息!R48)</f>
        <v/>
      </c>
      <c r="S48" s="39" t="str">
        <f>IF([8]道具信息!S48="","",[8]道具信息!S48)</f>
        <v/>
      </c>
      <c r="T48" s="39" t="str">
        <f>IF([8]道具信息!T48="","",[8]道具信息!T48)</f>
        <v/>
      </c>
      <c r="U48" s="39" t="str">
        <f>IF([8]道具信息!U48="","",[8]道具信息!U48)</f>
        <v/>
      </c>
      <c r="V48" s="39" t="str">
        <f>IF([8]道具信息!V48="","",[8]道具信息!V48)</f>
        <v/>
      </c>
      <c r="W48" s="39" t="str">
        <f>IF([8]道具信息!W48="","",[8]道具信息!W48)</f>
        <v/>
      </c>
      <c r="X48" s="39" t="str">
        <f>IF([8]道具信息!X48="","",[8]道具信息!X48)</f>
        <v/>
      </c>
      <c r="Y48" s="39" t="str">
        <f>IF([8]道具信息!Y48="","",[8]道具信息!Y48)</f>
        <v/>
      </c>
      <c r="Z48" s="39" t="str">
        <f>IF([8]道具信息!Z48="","",[8]道具信息!Z48)</f>
        <v/>
      </c>
    </row>
    <row r="49" spans="1:26" x14ac:dyDescent="0.15">
      <c r="A49" s="39" t="str">
        <f>IF([8]道具信息!A49="","",[8]道具信息!A49)</f>
        <v/>
      </c>
      <c r="B49" s="39" t="str">
        <f>IF([8]道具信息!B49="","",[8]道具信息!B49)</f>
        <v/>
      </c>
      <c r="C49" s="39" t="str">
        <f>IF([8]道具信息!C49="","",[8]道具信息!C49)</f>
        <v/>
      </c>
      <c r="D49" s="39" t="str">
        <f>IF([8]道具信息!D49="","",[8]道具信息!D49)</f>
        <v>随机橙色宝物</v>
      </c>
      <c r="E49" s="39">
        <f>IF([8]道具信息!E49="","",[8]道具信息!E49)</f>
        <v>2500</v>
      </c>
      <c r="F49" s="39">
        <f>IF([8]道具信息!F49="","",[8]道具信息!F49)</f>
        <v>2.5</v>
      </c>
      <c r="G49" s="39">
        <f>IF([8]道具信息!G49="","",[8]道具信息!G49)</f>
        <v>1</v>
      </c>
      <c r="H49" s="39">
        <f>IF([8]道具信息!H49="","",[8]道具信息!H49)</f>
        <v>1</v>
      </c>
      <c r="I49" s="39">
        <f>IF([8]道具信息!I49="","",[8]道具信息!I49)</f>
        <v>6250</v>
      </c>
      <c r="J49" s="39">
        <f>IF([8]道具信息!J49="","",[8]道具信息!J49)</f>
        <v>2500</v>
      </c>
      <c r="K49" s="39">
        <f>IF([8]道具信息!K49="","",[8]道具信息!K49)</f>
        <v>2500</v>
      </c>
      <c r="L49" s="39" t="str">
        <f>IF([8]道具信息!L49="","",[8]道具信息!L49)</f>
        <v/>
      </c>
      <c r="M49" s="39" t="str">
        <f>IF([8]道具信息!M49="","",[8]道具信息!M49)</f>
        <v/>
      </c>
      <c r="N49" s="39" t="str">
        <f>IF([8]道具信息!N49="","",[8]道具信息!N49)</f>
        <v/>
      </c>
      <c r="O49" s="39" t="str">
        <f>IF([8]道具信息!O49="","",[8]道具信息!O49)</f>
        <v/>
      </c>
      <c r="P49" s="39" t="str">
        <f>IF([8]道具信息!P49="","",[8]道具信息!P49)</f>
        <v/>
      </c>
      <c r="Q49" s="39" t="str">
        <f>IF([8]道具信息!Q49="","",[8]道具信息!Q49)</f>
        <v/>
      </c>
      <c r="R49" s="39" t="str">
        <f>IF([8]道具信息!R49="","",[8]道具信息!R49)</f>
        <v/>
      </c>
      <c r="S49" s="39" t="str">
        <f>IF([8]道具信息!S49="","",[8]道具信息!S49)</f>
        <v/>
      </c>
      <c r="T49" s="39" t="str">
        <f>IF([8]道具信息!T49="","",[8]道具信息!T49)</f>
        <v/>
      </c>
      <c r="U49" s="39" t="str">
        <f>IF([8]道具信息!U49="","",[8]道具信息!U49)</f>
        <v/>
      </c>
      <c r="V49" s="39" t="str">
        <f>IF([8]道具信息!V49="","",[8]道具信息!V49)</f>
        <v/>
      </c>
      <c r="W49" s="39" t="str">
        <f>IF([8]道具信息!W49="","",[8]道具信息!W49)</f>
        <v/>
      </c>
      <c r="X49" s="39" t="str">
        <f>IF([8]道具信息!X49="","",[8]道具信息!X49)</f>
        <v/>
      </c>
      <c r="Y49" s="39" t="str">
        <f>IF([8]道具信息!Y49="","",[8]道具信息!Y49)</f>
        <v/>
      </c>
      <c r="Z49" s="39" t="str">
        <f>IF([8]道具信息!Z49="","",[8]道具信息!Z49)</f>
        <v/>
      </c>
    </row>
    <row r="50" spans="1:26" x14ac:dyDescent="0.15">
      <c r="A50" s="39" t="str">
        <f>IF([8]道具信息!A50="","",[8]道具信息!A50)</f>
        <v/>
      </c>
      <c r="B50" s="39" t="str">
        <f>IF([8]道具信息!B50="","",[8]道具信息!B50)</f>
        <v/>
      </c>
      <c r="C50" s="39" t="str">
        <f>IF([8]道具信息!C50="","",[8]道具信息!C50)</f>
        <v/>
      </c>
      <c r="D50" s="39" t="str">
        <f>IF([8]道具信息!D50="","",[8]道具信息!D50)</f>
        <v>随机橙+宝物</v>
      </c>
      <c r="E50" s="39">
        <f>IF([8]道具信息!E50="","",[8]道具信息!E50)</f>
        <v>10000</v>
      </c>
      <c r="F50" s="39">
        <f>IF([8]道具信息!F50="","",[8]道具信息!F50)</f>
        <v>2.5</v>
      </c>
      <c r="G50" s="39">
        <f>IF([8]道具信息!G50="","",[8]道具信息!G50)</f>
        <v>1</v>
      </c>
      <c r="H50" s="39">
        <f>IF([8]道具信息!H50="","",[8]道具信息!H50)</f>
        <v>1</v>
      </c>
      <c r="I50" s="39">
        <f>IF([8]道具信息!I50="","",[8]道具信息!I50)</f>
        <v>25000</v>
      </c>
      <c r="J50" s="39">
        <f>IF([8]道具信息!J50="","",[8]道具信息!J50)</f>
        <v>10000</v>
      </c>
      <c r="K50" s="39">
        <f>IF([8]道具信息!K50="","",[8]道具信息!K50)</f>
        <v>10000</v>
      </c>
      <c r="L50" s="39" t="str">
        <f>IF([8]道具信息!L50="","",[8]道具信息!L50)</f>
        <v/>
      </c>
      <c r="M50" s="39" t="str">
        <f>IF([8]道具信息!M50="","",[8]道具信息!M50)</f>
        <v/>
      </c>
      <c r="N50" s="39" t="str">
        <f>IF([8]道具信息!N50="","",[8]道具信息!N50)</f>
        <v/>
      </c>
      <c r="O50" s="39" t="str">
        <f>IF([8]道具信息!O50="","",[8]道具信息!O50)</f>
        <v/>
      </c>
      <c r="P50" s="39" t="str">
        <f>IF([8]道具信息!P50="","",[8]道具信息!P50)</f>
        <v/>
      </c>
      <c r="Q50" s="39" t="str">
        <f>IF([8]道具信息!Q50="","",[8]道具信息!Q50)</f>
        <v/>
      </c>
      <c r="R50" s="39" t="str">
        <f>IF([8]道具信息!R50="","",[8]道具信息!R50)</f>
        <v/>
      </c>
      <c r="S50" s="39" t="str">
        <f>IF([8]道具信息!S50="","",[8]道具信息!S50)</f>
        <v/>
      </c>
      <c r="T50" s="39" t="str">
        <f>IF([8]道具信息!T50="","",[8]道具信息!T50)</f>
        <v/>
      </c>
      <c r="U50" s="39" t="str">
        <f>IF([8]道具信息!U50="","",[8]道具信息!U50)</f>
        <v/>
      </c>
      <c r="V50" s="39" t="str">
        <f>IF([8]道具信息!V50="","",[8]道具信息!V50)</f>
        <v/>
      </c>
      <c r="W50" s="39" t="str">
        <f>IF([8]道具信息!W50="","",[8]道具信息!W50)</f>
        <v/>
      </c>
      <c r="X50" s="39" t="str">
        <f>IF([8]道具信息!X50="","",[8]道具信息!X50)</f>
        <v/>
      </c>
      <c r="Y50" s="39" t="str">
        <f>IF([8]道具信息!Y50="","",[8]道具信息!Y50)</f>
        <v/>
      </c>
      <c r="Z50" s="39" t="str">
        <f>IF([8]道具信息!Z50="","",[8]道具信息!Z50)</f>
        <v/>
      </c>
    </row>
    <row r="51" spans="1:26" x14ac:dyDescent="0.15">
      <c r="A51" s="39" t="str">
        <f>IF([8]道具信息!A51="","",[8]道具信息!A51)</f>
        <v/>
      </c>
      <c r="B51" s="39" t="str">
        <f>IF([8]道具信息!B51="","",[8]道具信息!B51)</f>
        <v/>
      </c>
      <c r="C51" s="39" t="str">
        <f>IF([8]道具信息!C51="","",[8]道具信息!C51)</f>
        <v/>
      </c>
      <c r="D51" s="39" t="str">
        <f>IF([8]道具信息!D51="","",[8]道具信息!D51)</f>
        <v>随机紫色宝物碎片</v>
      </c>
      <c r="E51" s="39">
        <f>IF([8]道具信息!E51="","",[8]道具信息!E51)</f>
        <v>16.666666666666668</v>
      </c>
      <c r="F51" s="39">
        <f>IF([8]道具信息!F51="","",[8]道具信息!F51)</f>
        <v>2.5</v>
      </c>
      <c r="G51" s="39">
        <f>IF([8]道具信息!G51="","",[8]道具信息!G51)</f>
        <v>1</v>
      </c>
      <c r="H51" s="39">
        <f>IF([8]道具信息!H51="","",[8]道具信息!H51)</f>
        <v>1</v>
      </c>
      <c r="I51" s="39">
        <f>IF([8]道具信息!I51="","",[8]道具信息!I51)</f>
        <v>41.666666666666671</v>
      </c>
      <c r="J51" s="39">
        <f>IF([8]道具信息!J51="","",[8]道具信息!J51)</f>
        <v>16.666666666666668</v>
      </c>
      <c r="K51" s="39">
        <f>IF([8]道具信息!K51="","",[8]道具信息!K51)</f>
        <v>16.666666666666668</v>
      </c>
      <c r="L51" s="39" t="str">
        <f>IF([8]道具信息!L51="","",[8]道具信息!L51)</f>
        <v>配置成了30合1，所以价值为随机紫色宝物/30</v>
      </c>
      <c r="M51" s="39" t="str">
        <f>IF([8]道具信息!M51="","",[8]道具信息!M51)</f>
        <v/>
      </c>
      <c r="N51" s="39" t="str">
        <f>IF([8]道具信息!N51="","",[8]道具信息!N51)</f>
        <v/>
      </c>
      <c r="O51" s="39" t="str">
        <f>IF([8]道具信息!O51="","",[8]道具信息!O51)</f>
        <v/>
      </c>
      <c r="P51" s="39" t="str">
        <f>IF([8]道具信息!P51="","",[8]道具信息!P51)</f>
        <v/>
      </c>
      <c r="Q51" s="39" t="str">
        <f>IF([8]道具信息!Q51="","",[8]道具信息!Q51)</f>
        <v/>
      </c>
      <c r="R51" s="39" t="str">
        <f>IF([8]道具信息!R51="","",[8]道具信息!R51)</f>
        <v/>
      </c>
      <c r="S51" s="39" t="str">
        <f>IF([8]道具信息!S51="","",[8]道具信息!S51)</f>
        <v/>
      </c>
      <c r="T51" s="39" t="str">
        <f>IF([8]道具信息!T51="","",[8]道具信息!T51)</f>
        <v/>
      </c>
      <c r="U51" s="39" t="str">
        <f>IF([8]道具信息!U51="","",[8]道具信息!U51)</f>
        <v/>
      </c>
      <c r="V51" s="39" t="str">
        <f>IF([8]道具信息!V51="","",[8]道具信息!V51)</f>
        <v/>
      </c>
      <c r="W51" s="39" t="str">
        <f>IF([8]道具信息!W51="","",[8]道具信息!W51)</f>
        <v/>
      </c>
      <c r="X51" s="39" t="str">
        <f>IF([8]道具信息!X51="","",[8]道具信息!X51)</f>
        <v/>
      </c>
      <c r="Y51" s="39" t="str">
        <f>IF([8]道具信息!Y51="","",[8]道具信息!Y51)</f>
        <v/>
      </c>
      <c r="Z51" s="39" t="str">
        <f>IF([8]道具信息!Z51="","",[8]道具信息!Z51)</f>
        <v/>
      </c>
    </row>
    <row r="52" spans="1:26" x14ac:dyDescent="0.15">
      <c r="A52" s="39" t="str">
        <f>IF([8]道具信息!A52="","",[8]道具信息!A52)</f>
        <v/>
      </c>
      <c r="B52" s="39" t="str">
        <f>IF([8]道具信息!B52="","",[8]道具信息!B52)</f>
        <v/>
      </c>
      <c r="C52" s="39" t="str">
        <f>IF([8]道具信息!C52="","",[8]道具信息!C52)</f>
        <v/>
      </c>
      <c r="D52" s="39" t="str">
        <f>IF([8]道具信息!D52="","",[8]道具信息!D52)</f>
        <v>随机橙色宝物碎片</v>
      </c>
      <c r="E52" s="39">
        <f>IF([8]道具信息!E52="","",[8]道具信息!E52)</f>
        <v>83.333333333333329</v>
      </c>
      <c r="F52" s="39">
        <f>IF([8]道具信息!F52="","",[8]道具信息!F52)</f>
        <v>2.5</v>
      </c>
      <c r="G52" s="39">
        <f>IF([8]道具信息!G52="","",[8]道具信息!G52)</f>
        <v>1</v>
      </c>
      <c r="H52" s="39">
        <f>IF([8]道具信息!H52="","",[8]道具信息!H52)</f>
        <v>1</v>
      </c>
      <c r="I52" s="39">
        <f>IF([8]道具信息!I52="","",[8]道具信息!I52)</f>
        <v>208.33333333333331</v>
      </c>
      <c r="J52" s="39">
        <f>IF([8]道具信息!J52="","",[8]道具信息!J52)</f>
        <v>83.333333333333329</v>
      </c>
      <c r="K52" s="39">
        <f>IF([8]道具信息!K52="","",[8]道具信息!K52)</f>
        <v>83.333333333333329</v>
      </c>
      <c r="L52" s="39" t="str">
        <f>IF([8]道具信息!L52="","",[8]道具信息!L52)</f>
        <v/>
      </c>
      <c r="M52" s="39" t="str">
        <f>IF([8]道具信息!M52="","",[8]道具信息!M52)</f>
        <v/>
      </c>
      <c r="N52" s="39" t="str">
        <f>IF([8]道具信息!N52="","",[8]道具信息!N52)</f>
        <v/>
      </c>
      <c r="O52" s="39" t="str">
        <f>IF([8]道具信息!O52="","",[8]道具信息!O52)</f>
        <v/>
      </c>
      <c r="P52" s="39" t="str">
        <f>IF([8]道具信息!P52="","",[8]道具信息!P52)</f>
        <v/>
      </c>
      <c r="Q52" s="39" t="str">
        <f>IF([8]道具信息!Q52="","",[8]道具信息!Q52)</f>
        <v/>
      </c>
      <c r="R52" s="39" t="str">
        <f>IF([8]道具信息!R52="","",[8]道具信息!R52)</f>
        <v/>
      </c>
      <c r="S52" s="39" t="str">
        <f>IF([8]道具信息!S52="","",[8]道具信息!S52)</f>
        <v/>
      </c>
      <c r="T52" s="39" t="str">
        <f>IF([8]道具信息!T52="","",[8]道具信息!T52)</f>
        <v/>
      </c>
      <c r="U52" s="39" t="str">
        <f>IF([8]道具信息!U52="","",[8]道具信息!U52)</f>
        <v/>
      </c>
      <c r="V52" s="39" t="str">
        <f>IF([8]道具信息!V52="","",[8]道具信息!V52)</f>
        <v/>
      </c>
      <c r="W52" s="39" t="str">
        <f>IF([8]道具信息!W52="","",[8]道具信息!W52)</f>
        <v/>
      </c>
      <c r="X52" s="39" t="str">
        <f>IF([8]道具信息!X52="","",[8]道具信息!X52)</f>
        <v/>
      </c>
      <c r="Y52" s="39" t="str">
        <f>IF([8]道具信息!Y52="","",[8]道具信息!Y52)</f>
        <v/>
      </c>
      <c r="Z52" s="39" t="str">
        <f>IF([8]道具信息!Z52="","",[8]道具信息!Z52)</f>
        <v/>
      </c>
    </row>
    <row r="53" spans="1:26" x14ac:dyDescent="0.15">
      <c r="A53" s="39" t="str">
        <f>IF([8]道具信息!A53="","",[8]道具信息!A53)</f>
        <v/>
      </c>
      <c r="B53" s="39" t="str">
        <f>IF([8]道具信息!B53="","",[8]道具信息!B53)</f>
        <v/>
      </c>
      <c r="C53" s="39" t="str">
        <f>IF([8]道具信息!C53="","",[8]道具信息!C53)</f>
        <v/>
      </c>
      <c r="D53" s="39" t="str">
        <f>IF([8]道具信息!D53="","",[8]道具信息!D53)</f>
        <v>随机橙+宝物碎片</v>
      </c>
      <c r="E53" s="39">
        <f>IF([8]道具信息!E53="","",[8]道具信息!E53)</f>
        <v>333.33333333333331</v>
      </c>
      <c r="F53" s="39">
        <f>IF([8]道具信息!F53="","",[8]道具信息!F53)</f>
        <v>2.5</v>
      </c>
      <c r="G53" s="39">
        <f>IF([8]道具信息!G53="","",[8]道具信息!G53)</f>
        <v>1</v>
      </c>
      <c r="H53" s="39">
        <f>IF([8]道具信息!H53="","",[8]道具信息!H53)</f>
        <v>1</v>
      </c>
      <c r="I53" s="39">
        <f>IF([8]道具信息!I53="","",[8]道具信息!I53)</f>
        <v>833.33333333333326</v>
      </c>
      <c r="J53" s="39">
        <f>IF([8]道具信息!J53="","",[8]道具信息!J53)</f>
        <v>333.33333333333331</v>
      </c>
      <c r="K53" s="39">
        <f>IF([8]道具信息!K53="","",[8]道具信息!K53)</f>
        <v>333.33333333333331</v>
      </c>
      <c r="L53" s="39" t="str">
        <f>IF([8]道具信息!L53="","",[8]道具信息!L53)</f>
        <v/>
      </c>
      <c r="M53" s="39" t="str">
        <f>IF([8]道具信息!M53="","",[8]道具信息!M53)</f>
        <v/>
      </c>
      <c r="N53" s="39" t="str">
        <f>IF([8]道具信息!N53="","",[8]道具信息!N53)</f>
        <v/>
      </c>
      <c r="O53" s="39" t="str">
        <f>IF([8]道具信息!O53="","",[8]道具信息!O53)</f>
        <v/>
      </c>
      <c r="P53" s="39" t="str">
        <f>IF([8]道具信息!P53="","",[8]道具信息!P53)</f>
        <v/>
      </c>
      <c r="Q53" s="39" t="str">
        <f>IF([8]道具信息!Q53="","",[8]道具信息!Q53)</f>
        <v/>
      </c>
      <c r="R53" s="39" t="str">
        <f>IF([8]道具信息!R53="","",[8]道具信息!R53)</f>
        <v/>
      </c>
      <c r="S53" s="39" t="str">
        <f>IF([8]道具信息!S53="","",[8]道具信息!S53)</f>
        <v/>
      </c>
      <c r="T53" s="39" t="str">
        <f>IF([8]道具信息!T53="","",[8]道具信息!T53)</f>
        <v/>
      </c>
      <c r="U53" s="39" t="str">
        <f>IF([8]道具信息!U53="","",[8]道具信息!U53)</f>
        <v/>
      </c>
      <c r="V53" s="39" t="str">
        <f>IF([8]道具信息!V53="","",[8]道具信息!V53)</f>
        <v/>
      </c>
      <c r="W53" s="39" t="str">
        <f>IF([8]道具信息!W53="","",[8]道具信息!W53)</f>
        <v/>
      </c>
      <c r="X53" s="39" t="str">
        <f>IF([8]道具信息!X53="","",[8]道具信息!X53)</f>
        <v/>
      </c>
      <c r="Y53" s="39" t="str">
        <f>IF([8]道具信息!Y53="","",[8]道具信息!Y53)</f>
        <v/>
      </c>
      <c r="Z53" s="39" t="str">
        <f>IF([8]道具信息!Z53="","",[8]道具信息!Z53)</f>
        <v/>
      </c>
    </row>
    <row r="54" spans="1:26" x14ac:dyDescent="0.15">
      <c r="A54" s="39" t="str">
        <f>IF([8]道具信息!A54="","",[8]道具信息!A54)</f>
        <v/>
      </c>
      <c r="B54" s="39" t="str">
        <f>IF([8]道具信息!B54="","",[8]道具信息!B54)</f>
        <v/>
      </c>
      <c r="C54" s="39" t="str">
        <f>IF([8]道具信息!C54="","",[8]道具信息!C54)</f>
        <v/>
      </c>
      <c r="D54" s="39" t="str">
        <f>IF([8]道具信息!D54="","",[8]道具信息!D54)</f>
        <v/>
      </c>
      <c r="E54" s="39" t="str">
        <f>IF([8]道具信息!E54="","",[8]道具信息!E54)</f>
        <v/>
      </c>
      <c r="F54" s="39" t="str">
        <f>IF([8]道具信息!F54="","",[8]道具信息!F54)</f>
        <v/>
      </c>
      <c r="G54" s="39" t="str">
        <f>IF([8]道具信息!G54="","",[8]道具信息!G54)</f>
        <v/>
      </c>
      <c r="H54" s="39" t="str">
        <f>IF([8]道具信息!H54="","",[8]道具信息!H54)</f>
        <v/>
      </c>
      <c r="I54" s="39" t="str">
        <f>IF([8]道具信息!I54="","",[8]道具信息!I54)</f>
        <v/>
      </c>
      <c r="J54" s="39" t="str">
        <f>IF([8]道具信息!J54="","",[8]道具信息!J54)</f>
        <v/>
      </c>
      <c r="K54" s="39" t="str">
        <f>IF([8]道具信息!K54="","",[8]道具信息!K54)</f>
        <v/>
      </c>
      <c r="L54" s="39" t="str">
        <f>IF([8]道具信息!L54="","",[8]道具信息!L54)</f>
        <v/>
      </c>
      <c r="M54" s="39" t="str">
        <f>IF([8]道具信息!M54="","",[8]道具信息!M54)</f>
        <v/>
      </c>
      <c r="N54" s="39" t="str">
        <f>IF([8]道具信息!N54="","",[8]道具信息!N54)</f>
        <v/>
      </c>
      <c r="O54" s="39" t="str">
        <f>IF([8]道具信息!O54="","",[8]道具信息!O54)</f>
        <v/>
      </c>
      <c r="P54" s="39" t="str">
        <f>IF([8]道具信息!P54="","",[8]道具信息!P54)</f>
        <v/>
      </c>
      <c r="Q54" s="39" t="str">
        <f>IF([8]道具信息!Q54="","",[8]道具信息!Q54)</f>
        <v/>
      </c>
      <c r="R54" s="39" t="str">
        <f>IF([8]道具信息!R54="","",[8]道具信息!R54)</f>
        <v/>
      </c>
      <c r="S54" s="39" t="str">
        <f>IF([8]道具信息!S54="","",[8]道具信息!S54)</f>
        <v/>
      </c>
      <c r="T54" s="39" t="str">
        <f>IF([8]道具信息!T54="","",[8]道具信息!T54)</f>
        <v/>
      </c>
      <c r="U54" s="39" t="str">
        <f>IF([8]道具信息!U54="","",[8]道具信息!U54)</f>
        <v/>
      </c>
      <c r="V54" s="39" t="str">
        <f>IF([8]道具信息!V54="","",[8]道具信息!V54)</f>
        <v/>
      </c>
      <c r="W54" s="39" t="str">
        <f>IF([8]道具信息!W54="","",[8]道具信息!W54)</f>
        <v/>
      </c>
      <c r="X54" s="39" t="str">
        <f>IF([8]道具信息!X54="","",[8]道具信息!X54)</f>
        <v/>
      </c>
      <c r="Y54" s="39" t="str">
        <f>IF([8]道具信息!Y54="","",[8]道具信息!Y54)</f>
        <v/>
      </c>
      <c r="Z54" s="39" t="str">
        <f>IF([8]道具信息!Z54="","",[8]道具信息!Z54)</f>
        <v/>
      </c>
    </row>
    <row r="55" spans="1:26" x14ac:dyDescent="0.15">
      <c r="A55" s="39" t="str">
        <f>IF([8]道具信息!A55="","",[8]道具信息!A55)</f>
        <v/>
      </c>
      <c r="B55" s="39" t="str">
        <f>IF([8]道具信息!B55="","",[8]道具信息!B55)</f>
        <v/>
      </c>
      <c r="C55" s="39" t="str">
        <f>IF([8]道具信息!C55="","",[8]道具信息!C55)</f>
        <v/>
      </c>
      <c r="D55" s="39" t="str">
        <f>IF([8]道具信息!D55="","",[8]道具信息!D55)</f>
        <v>紫色藏宝图</v>
      </c>
      <c r="E55" s="39">
        <f>IF([8]道具信息!E55="","",[8]道具信息!E55)</f>
        <v>137.5</v>
      </c>
      <c r="F55" s="39">
        <f>IF([8]道具信息!F55="","",[8]道具信息!F55)</f>
        <v>1</v>
      </c>
      <c r="G55" s="39">
        <f>IF([8]道具信息!G55="","",[8]道具信息!G55)</f>
        <v>1</v>
      </c>
      <c r="H55" s="39">
        <f>IF([8]道具信息!H55="","",[8]道具信息!H55)</f>
        <v>1</v>
      </c>
      <c r="I55" s="39">
        <f>IF([8]道具信息!I55="","",[8]道具信息!I55)</f>
        <v>137.5</v>
      </c>
      <c r="J55" s="39">
        <f>IF([8]道具信息!J55="","",[8]道具信息!J55)</f>
        <v>137.5</v>
      </c>
      <c r="K55" s="39">
        <f>IF([8]道具信息!K55="","",[8]道具信息!K55)</f>
        <v>137.5</v>
      </c>
      <c r="L55" s="39" t="str">
        <f>IF([8]道具信息!L55="","",[8]道具信息!L55)</f>
        <v/>
      </c>
      <c r="M55" s="39" t="str">
        <f>IF([8]道具信息!M55="","",[8]道具信息!M55)</f>
        <v/>
      </c>
      <c r="N55" s="39" t="str">
        <f>IF([8]道具信息!N55="","",[8]道具信息!N55)</f>
        <v/>
      </c>
      <c r="O55" s="39" t="str">
        <f>IF([8]道具信息!O55="","",[8]道具信息!O55)</f>
        <v/>
      </c>
      <c r="P55" s="39" t="str">
        <f>IF([8]道具信息!P55="","",[8]道具信息!P55)</f>
        <v/>
      </c>
      <c r="Q55" s="39" t="str">
        <f>IF([8]道具信息!Q55="","",[8]道具信息!Q55)</f>
        <v/>
      </c>
      <c r="R55" s="39" t="str">
        <f>IF([8]道具信息!R55="","",[8]道具信息!R55)</f>
        <v/>
      </c>
      <c r="S55" s="39" t="str">
        <f>IF([8]道具信息!S55="","",[8]道具信息!S55)</f>
        <v/>
      </c>
      <c r="T55" s="39" t="str">
        <f>IF([8]道具信息!T55="","",[8]道具信息!T55)</f>
        <v/>
      </c>
      <c r="U55" s="39" t="str">
        <f>IF([8]道具信息!U55="","",[8]道具信息!U55)</f>
        <v/>
      </c>
      <c r="V55" s="39" t="str">
        <f>IF([8]道具信息!V55="","",[8]道具信息!V55)</f>
        <v/>
      </c>
      <c r="W55" s="39" t="str">
        <f>IF([8]道具信息!W55="","",[8]道具信息!W55)</f>
        <v/>
      </c>
      <c r="X55" s="39" t="str">
        <f>IF([8]道具信息!X55="","",[8]道具信息!X55)</f>
        <v/>
      </c>
      <c r="Y55" s="39" t="str">
        <f>IF([8]道具信息!Y55="","",[8]道具信息!Y55)</f>
        <v/>
      </c>
      <c r="Z55" s="39" t="str">
        <f>IF([8]道具信息!Z55="","",[8]道具信息!Z55)</f>
        <v/>
      </c>
    </row>
    <row r="56" spans="1:26" x14ac:dyDescent="0.15">
      <c r="A56" s="39" t="str">
        <f>IF([8]道具信息!A56="","",[8]道具信息!A56)</f>
        <v/>
      </c>
      <c r="B56" s="39" t="str">
        <f>IF([8]道具信息!B56="","",[8]道具信息!B56)</f>
        <v/>
      </c>
      <c r="C56" s="39" t="str">
        <f>IF([8]道具信息!C56="","",[8]道具信息!C56)</f>
        <v/>
      </c>
      <c r="D56" s="39" t="str">
        <f>IF([8]道具信息!D56="","",[8]道具信息!D56)</f>
        <v>紫色藏宝图碎片</v>
      </c>
      <c r="E56" s="39">
        <f>IF([8]道具信息!E56="","",[8]道具信息!E56)</f>
        <v>13.75</v>
      </c>
      <c r="F56" s="39">
        <f>IF([8]道具信息!F56="","",[8]道具信息!F56)</f>
        <v>1</v>
      </c>
      <c r="G56" s="39">
        <f>IF([8]道具信息!G56="","",[8]道具信息!G56)</f>
        <v>1</v>
      </c>
      <c r="H56" s="39">
        <f>IF([8]道具信息!H56="","",[8]道具信息!H56)</f>
        <v>1</v>
      </c>
      <c r="I56" s="39">
        <f>IF([8]道具信息!I56="","",[8]道具信息!I56)</f>
        <v>13.75</v>
      </c>
      <c r="J56" s="39">
        <f>IF([8]道具信息!J56="","",[8]道具信息!J56)</f>
        <v>13.75</v>
      </c>
      <c r="K56" s="39">
        <f>IF([8]道具信息!K56="","",[8]道具信息!K56)</f>
        <v>13.75</v>
      </c>
      <c r="L56" s="39" t="str">
        <f>IF([8]道具信息!L56="","",[8]道具信息!L56)</f>
        <v/>
      </c>
      <c r="M56" s="39" t="str">
        <f>IF([8]道具信息!M56="","",[8]道具信息!M56)</f>
        <v/>
      </c>
      <c r="N56" s="39" t="str">
        <f>IF([8]道具信息!N56="","",[8]道具信息!N56)</f>
        <v/>
      </c>
      <c r="O56" s="39" t="str">
        <f>IF([8]道具信息!O56="","",[8]道具信息!O56)</f>
        <v/>
      </c>
      <c r="P56" s="39" t="str">
        <f>IF([8]道具信息!P56="","",[8]道具信息!P56)</f>
        <v/>
      </c>
      <c r="Q56" s="39" t="str">
        <f>IF([8]道具信息!Q56="","",[8]道具信息!Q56)</f>
        <v/>
      </c>
      <c r="R56" s="39" t="str">
        <f>IF([8]道具信息!R56="","",[8]道具信息!R56)</f>
        <v/>
      </c>
      <c r="S56" s="39" t="str">
        <f>IF([8]道具信息!S56="","",[8]道具信息!S56)</f>
        <v/>
      </c>
      <c r="T56" s="39" t="str">
        <f>IF([8]道具信息!T56="","",[8]道具信息!T56)</f>
        <v/>
      </c>
      <c r="U56" s="39" t="str">
        <f>IF([8]道具信息!U56="","",[8]道具信息!U56)</f>
        <v/>
      </c>
      <c r="V56" s="39" t="str">
        <f>IF([8]道具信息!V56="","",[8]道具信息!V56)</f>
        <v/>
      </c>
      <c r="W56" s="39" t="str">
        <f>IF([8]道具信息!W56="","",[8]道具信息!W56)</f>
        <v/>
      </c>
      <c r="X56" s="39" t="str">
        <f>IF([8]道具信息!X56="","",[8]道具信息!X56)</f>
        <v/>
      </c>
      <c r="Y56" s="39" t="str">
        <f>IF([8]道具信息!Y56="","",[8]道具信息!Y56)</f>
        <v/>
      </c>
      <c r="Z56" s="39" t="str">
        <f>IF([8]道具信息!Z56="","",[8]道具信息!Z56)</f>
        <v/>
      </c>
    </row>
    <row r="57" spans="1:26" x14ac:dyDescent="0.15">
      <c r="A57" s="39" t="str">
        <f>IF([8]道具信息!A57="","",[8]道具信息!A57)</f>
        <v/>
      </c>
      <c r="B57" s="39" t="str">
        <f>IF([8]道具信息!B57="","",[8]道具信息!B57)</f>
        <v/>
      </c>
      <c r="C57" s="39" t="str">
        <f>IF([8]道具信息!C57="","",[8]道具信息!C57)</f>
        <v/>
      </c>
      <c r="D57" s="39" t="str">
        <f>IF([8]道具信息!D57="","",[8]道具信息!D57)</f>
        <v>橙色藏宝图</v>
      </c>
      <c r="E57" s="39">
        <f>IF([8]道具信息!E57="","",[8]道具信息!E57)</f>
        <v>300</v>
      </c>
      <c r="F57" s="39">
        <f>IF([8]道具信息!F57="","",[8]道具信息!F57)</f>
        <v>1</v>
      </c>
      <c r="G57" s="39">
        <f>IF([8]道具信息!G57="","",[8]道具信息!G57)</f>
        <v>1</v>
      </c>
      <c r="H57" s="39">
        <f>IF([8]道具信息!H57="","",[8]道具信息!H57)</f>
        <v>1</v>
      </c>
      <c r="I57" s="39">
        <f>IF([8]道具信息!I57="","",[8]道具信息!I57)</f>
        <v>300</v>
      </c>
      <c r="J57" s="39">
        <f>IF([8]道具信息!J57="","",[8]道具信息!J57)</f>
        <v>300</v>
      </c>
      <c r="K57" s="39">
        <f>IF([8]道具信息!K57="","",[8]道具信息!K57)</f>
        <v>300</v>
      </c>
      <c r="L57" s="39" t="str">
        <f>IF([8]道具信息!L57="","",[8]道具信息!L57)</f>
        <v/>
      </c>
      <c r="M57" s="39" t="str">
        <f>IF([8]道具信息!M57="","",[8]道具信息!M57)</f>
        <v/>
      </c>
      <c r="N57" s="39" t="str">
        <f>IF([8]道具信息!N57="","",[8]道具信息!N57)</f>
        <v/>
      </c>
      <c r="O57" s="39" t="str">
        <f>IF([8]道具信息!O57="","",[8]道具信息!O57)</f>
        <v/>
      </c>
      <c r="P57" s="39" t="str">
        <f>IF([8]道具信息!P57="","",[8]道具信息!P57)</f>
        <v/>
      </c>
      <c r="Q57" s="39" t="str">
        <f>IF([8]道具信息!Q57="","",[8]道具信息!Q57)</f>
        <v/>
      </c>
      <c r="R57" s="39" t="str">
        <f>IF([8]道具信息!R57="","",[8]道具信息!R57)</f>
        <v/>
      </c>
      <c r="S57" s="39" t="str">
        <f>IF([8]道具信息!S57="","",[8]道具信息!S57)</f>
        <v/>
      </c>
      <c r="T57" s="39" t="str">
        <f>IF([8]道具信息!T57="","",[8]道具信息!T57)</f>
        <v/>
      </c>
      <c r="U57" s="39" t="str">
        <f>IF([8]道具信息!U57="","",[8]道具信息!U57)</f>
        <v/>
      </c>
      <c r="V57" s="39" t="str">
        <f>IF([8]道具信息!V57="","",[8]道具信息!V57)</f>
        <v/>
      </c>
      <c r="W57" s="39" t="str">
        <f>IF([8]道具信息!W57="","",[8]道具信息!W57)</f>
        <v/>
      </c>
      <c r="X57" s="39" t="str">
        <f>IF([8]道具信息!X57="","",[8]道具信息!X57)</f>
        <v/>
      </c>
      <c r="Y57" s="39" t="str">
        <f>IF([8]道具信息!Y57="","",[8]道具信息!Y57)</f>
        <v/>
      </c>
      <c r="Z57" s="39" t="str">
        <f>IF([8]道具信息!Z57="","",[8]道具信息!Z57)</f>
        <v/>
      </c>
    </row>
    <row r="58" spans="1:26" x14ac:dyDescent="0.15">
      <c r="A58" s="39" t="str">
        <f>IF([8]道具信息!A58="","",[8]道具信息!A58)</f>
        <v/>
      </c>
      <c r="B58" s="39" t="str">
        <f>IF([8]道具信息!B58="","",[8]道具信息!B58)</f>
        <v/>
      </c>
      <c r="C58" s="39" t="str">
        <f>IF([8]道具信息!C58="","",[8]道具信息!C58)</f>
        <v/>
      </c>
      <c r="D58" s="39" t="str">
        <f>IF([8]道具信息!D58="","",[8]道具信息!D58)</f>
        <v>橙色藏宝图碎片</v>
      </c>
      <c r="E58" s="39">
        <f>IF([8]道具信息!E58="","",[8]道具信息!E58)</f>
        <v>10</v>
      </c>
      <c r="F58" s="39">
        <f>IF([8]道具信息!F58="","",[8]道具信息!F58)</f>
        <v>1</v>
      </c>
      <c r="G58" s="39">
        <f>IF([8]道具信息!G58="","",[8]道具信息!G58)</f>
        <v>1</v>
      </c>
      <c r="H58" s="39">
        <f>IF([8]道具信息!H58="","",[8]道具信息!H58)</f>
        <v>1</v>
      </c>
      <c r="I58" s="39">
        <f>IF([8]道具信息!I58="","",[8]道具信息!I58)</f>
        <v>10</v>
      </c>
      <c r="J58" s="39">
        <f>IF([8]道具信息!J58="","",[8]道具信息!J58)</f>
        <v>10</v>
      </c>
      <c r="K58" s="39">
        <f>IF([8]道具信息!K58="","",[8]道具信息!K58)</f>
        <v>10</v>
      </c>
      <c r="L58" s="39" t="str">
        <f>IF([8]道具信息!L58="","",[8]道具信息!L58)</f>
        <v/>
      </c>
      <c r="M58" s="39" t="str">
        <f>IF([8]道具信息!M58="","",[8]道具信息!M58)</f>
        <v/>
      </c>
      <c r="N58" s="39" t="str">
        <f>IF([8]道具信息!N58="","",[8]道具信息!N58)</f>
        <v/>
      </c>
      <c r="O58" s="39" t="str">
        <f>IF([8]道具信息!O58="","",[8]道具信息!O58)</f>
        <v/>
      </c>
      <c r="P58" s="39" t="str">
        <f>IF([8]道具信息!P58="","",[8]道具信息!P58)</f>
        <v/>
      </c>
      <c r="Q58" s="39" t="str">
        <f>IF([8]道具信息!Q58="","",[8]道具信息!Q58)</f>
        <v/>
      </c>
      <c r="R58" s="39" t="str">
        <f>IF([8]道具信息!R58="","",[8]道具信息!R58)</f>
        <v/>
      </c>
      <c r="S58" s="39" t="str">
        <f>IF([8]道具信息!S58="","",[8]道具信息!S58)</f>
        <v/>
      </c>
      <c r="T58" s="39" t="str">
        <f>IF([8]道具信息!T58="","",[8]道具信息!T58)</f>
        <v/>
      </c>
      <c r="U58" s="39" t="str">
        <f>IF([8]道具信息!U58="","",[8]道具信息!U58)</f>
        <v/>
      </c>
      <c r="V58" s="39" t="str">
        <f>IF([8]道具信息!V58="","",[8]道具信息!V58)</f>
        <v/>
      </c>
      <c r="W58" s="39" t="str">
        <f>IF([8]道具信息!W58="","",[8]道具信息!W58)</f>
        <v/>
      </c>
      <c r="X58" s="39" t="str">
        <f>IF([8]道具信息!X58="","",[8]道具信息!X58)</f>
        <v/>
      </c>
      <c r="Y58" s="39" t="str">
        <f>IF([8]道具信息!Y58="","",[8]道具信息!Y58)</f>
        <v/>
      </c>
      <c r="Z58" s="39" t="str">
        <f>IF([8]道具信息!Z58="","",[8]道具信息!Z58)</f>
        <v/>
      </c>
    </row>
    <row r="59" spans="1:26" x14ac:dyDescent="0.15">
      <c r="A59" s="39" t="str">
        <f>IF([8]道具信息!A59="","",[8]道具信息!A59)</f>
        <v/>
      </c>
      <c r="B59" s="39" t="str">
        <f>IF([8]道具信息!B59="","",[8]道具信息!B59)</f>
        <v/>
      </c>
      <c r="C59" s="39" t="str">
        <f>IF([8]道具信息!C59="","",[8]道具信息!C59)</f>
        <v/>
      </c>
      <c r="D59" s="39" t="str">
        <f>IF([8]道具信息!D59="","",[8]道具信息!D59)</f>
        <v/>
      </c>
      <c r="E59" s="39" t="str">
        <f>IF([8]道具信息!E59="","",[8]道具信息!E59)</f>
        <v/>
      </c>
      <c r="F59" s="39" t="str">
        <f>IF([8]道具信息!F59="","",[8]道具信息!F59)</f>
        <v/>
      </c>
      <c r="G59" s="39" t="str">
        <f>IF([8]道具信息!G59="","",[8]道具信息!G59)</f>
        <v/>
      </c>
      <c r="H59" s="39" t="str">
        <f>IF([8]道具信息!H59="","",[8]道具信息!H59)</f>
        <v/>
      </c>
      <c r="I59" s="39" t="str">
        <f>IF([8]道具信息!I59="","",[8]道具信息!I59)</f>
        <v/>
      </c>
      <c r="J59" s="39" t="str">
        <f>IF([8]道具信息!J59="","",[8]道具信息!J59)</f>
        <v/>
      </c>
      <c r="K59" s="39" t="str">
        <f>IF([8]道具信息!K59="","",[8]道具信息!K59)</f>
        <v/>
      </c>
      <c r="L59" s="39" t="str">
        <f>IF([8]道具信息!L59="","",[8]道具信息!L59)</f>
        <v/>
      </c>
      <c r="M59" s="39" t="str">
        <f>IF([8]道具信息!M59="","",[8]道具信息!M59)</f>
        <v/>
      </c>
      <c r="N59" s="39" t="str">
        <f>IF([8]道具信息!N59="","",[8]道具信息!N59)</f>
        <v/>
      </c>
      <c r="O59" s="39" t="str">
        <f>IF([8]道具信息!O59="","",[8]道具信息!O59)</f>
        <v/>
      </c>
      <c r="P59" s="39" t="str">
        <f>IF([8]道具信息!P59="","",[8]道具信息!P59)</f>
        <v/>
      </c>
      <c r="Q59" s="39" t="str">
        <f>IF([8]道具信息!Q59="","",[8]道具信息!Q59)</f>
        <v/>
      </c>
      <c r="R59" s="39" t="str">
        <f>IF([8]道具信息!R59="","",[8]道具信息!R59)</f>
        <v/>
      </c>
      <c r="S59" s="39" t="str">
        <f>IF([8]道具信息!S59="","",[8]道具信息!S59)</f>
        <v/>
      </c>
      <c r="T59" s="39" t="str">
        <f>IF([8]道具信息!T59="","",[8]道具信息!T59)</f>
        <v/>
      </c>
      <c r="U59" s="39" t="str">
        <f>IF([8]道具信息!U59="","",[8]道具信息!U59)</f>
        <v/>
      </c>
      <c r="V59" s="39" t="str">
        <f>IF([8]道具信息!V59="","",[8]道具信息!V59)</f>
        <v/>
      </c>
      <c r="W59" s="39" t="str">
        <f>IF([8]道具信息!W59="","",[8]道具信息!W59)</f>
        <v/>
      </c>
      <c r="X59" s="39" t="str">
        <f>IF([8]道具信息!X59="","",[8]道具信息!X59)</f>
        <v/>
      </c>
      <c r="Y59" s="39" t="str">
        <f>IF([8]道具信息!Y59="","",[8]道具信息!Y59)</f>
        <v/>
      </c>
      <c r="Z59" s="39" t="str">
        <f>IF([8]道具信息!Z59="","",[8]道具信息!Z59)</f>
        <v/>
      </c>
    </row>
    <row r="60" spans="1:26" x14ac:dyDescent="0.15">
      <c r="A60" s="39" t="str">
        <f>IF([8]道具信息!A60="","",[8]道具信息!A60)</f>
        <v/>
      </c>
      <c r="B60" s="39" t="str">
        <f>IF([8]道具信息!B60="","",[8]道具信息!B60)</f>
        <v/>
      </c>
      <c r="C60" s="39" t="str">
        <f>IF([8]道具信息!C60="","",[8]道具信息!C60)</f>
        <v/>
      </c>
      <c r="D60" s="39" t="str">
        <f>IF([8]道具信息!D60="","",[8]道具信息!D60)</f>
        <v>紫色皮肤</v>
      </c>
      <c r="E60" s="39">
        <f>IF([8]道具信息!E60="","",[8]道具信息!E60)</f>
        <v>6000</v>
      </c>
      <c r="F60" s="39">
        <f>IF([8]道具信息!F60="","",[8]道具信息!F60)</f>
        <v>1</v>
      </c>
      <c r="G60" s="39">
        <f>IF([8]道具信息!G60="","",[8]道具信息!G60)</f>
        <v>1</v>
      </c>
      <c r="H60" s="39">
        <f>IF([8]道具信息!H60="","",[8]道具信息!H60)</f>
        <v>1</v>
      </c>
      <c r="I60" s="39">
        <f>IF([8]道具信息!I60="","",[8]道具信息!I60)</f>
        <v>6000</v>
      </c>
      <c r="J60" s="39">
        <f>IF([8]道具信息!J60="","",[8]道具信息!J60)</f>
        <v>6000</v>
      </c>
      <c r="K60" s="39">
        <f>IF([8]道具信息!K60="","",[8]道具信息!K60)</f>
        <v>6000</v>
      </c>
      <c r="L60" s="39" t="str">
        <f>IF([8]道具信息!L60="","",[8]道具信息!L60)</f>
        <v/>
      </c>
      <c r="M60" s="39" t="str">
        <f>IF([8]道具信息!M60="","",[8]道具信息!M60)</f>
        <v/>
      </c>
      <c r="N60" s="39" t="str">
        <f>IF([8]道具信息!N60="","",[8]道具信息!N60)</f>
        <v/>
      </c>
      <c r="O60" s="39" t="str">
        <f>IF([8]道具信息!O60="","",[8]道具信息!O60)</f>
        <v/>
      </c>
      <c r="P60" s="39" t="str">
        <f>IF([8]道具信息!P60="","",[8]道具信息!P60)</f>
        <v/>
      </c>
      <c r="Q60" s="39" t="str">
        <f>IF([8]道具信息!Q60="","",[8]道具信息!Q60)</f>
        <v/>
      </c>
      <c r="R60" s="39" t="str">
        <f>IF([8]道具信息!R60="","",[8]道具信息!R60)</f>
        <v/>
      </c>
      <c r="S60" s="39" t="str">
        <f>IF([8]道具信息!S60="","",[8]道具信息!S60)</f>
        <v/>
      </c>
      <c r="T60" s="39" t="str">
        <f>IF([8]道具信息!T60="","",[8]道具信息!T60)</f>
        <v/>
      </c>
      <c r="U60" s="39" t="str">
        <f>IF([8]道具信息!U60="","",[8]道具信息!U60)</f>
        <v/>
      </c>
      <c r="V60" s="39" t="str">
        <f>IF([8]道具信息!V60="","",[8]道具信息!V60)</f>
        <v/>
      </c>
      <c r="W60" s="39" t="str">
        <f>IF([8]道具信息!W60="","",[8]道具信息!W60)</f>
        <v/>
      </c>
      <c r="X60" s="39" t="str">
        <f>IF([8]道具信息!X60="","",[8]道具信息!X60)</f>
        <v/>
      </c>
      <c r="Y60" s="39" t="str">
        <f>IF([8]道具信息!Y60="","",[8]道具信息!Y60)</f>
        <v/>
      </c>
      <c r="Z60" s="39" t="str">
        <f>IF([8]道具信息!Z60="","",[8]道具信息!Z60)</f>
        <v/>
      </c>
    </row>
    <row r="61" spans="1:26" x14ac:dyDescent="0.15">
      <c r="A61" s="39" t="str">
        <f>IF([8]道具信息!A61="","",[8]道具信息!A61)</f>
        <v/>
      </c>
      <c r="B61" s="39" t="str">
        <f>IF([8]道具信息!B61="","",[8]道具信息!B61)</f>
        <v/>
      </c>
      <c r="C61" s="39" t="str">
        <f>IF([8]道具信息!C61="","",[8]道具信息!C61)</f>
        <v/>
      </c>
      <c r="D61" s="39" t="str">
        <f>IF([8]道具信息!D61="","",[8]道具信息!D61)</f>
        <v>橙色皮肤</v>
      </c>
      <c r="E61" s="39">
        <f>IF([8]道具信息!E61="","",[8]道具信息!E61)</f>
        <v>16000</v>
      </c>
      <c r="F61" s="39">
        <f>IF([8]道具信息!F61="","",[8]道具信息!F61)</f>
        <v>1</v>
      </c>
      <c r="G61" s="39">
        <f>IF([8]道具信息!G61="","",[8]道具信息!G61)</f>
        <v>1</v>
      </c>
      <c r="H61" s="39">
        <f>IF([8]道具信息!H61="","",[8]道具信息!H61)</f>
        <v>1</v>
      </c>
      <c r="I61" s="39">
        <f>IF([8]道具信息!I61="","",[8]道具信息!I61)</f>
        <v>16000</v>
      </c>
      <c r="J61" s="39">
        <f>IF([8]道具信息!J61="","",[8]道具信息!J61)</f>
        <v>16000</v>
      </c>
      <c r="K61" s="39">
        <f>IF([8]道具信息!K61="","",[8]道具信息!K61)</f>
        <v>16000</v>
      </c>
      <c r="L61" s="39" t="str">
        <f>IF([8]道具信息!L61="","",[8]道具信息!L61)</f>
        <v/>
      </c>
      <c r="M61" s="39" t="str">
        <f>IF([8]道具信息!M61="","",[8]道具信息!M61)</f>
        <v/>
      </c>
      <c r="N61" s="39" t="str">
        <f>IF([8]道具信息!N61="","",[8]道具信息!N61)</f>
        <v/>
      </c>
      <c r="O61" s="39" t="str">
        <f>IF([8]道具信息!O61="","",[8]道具信息!O61)</f>
        <v/>
      </c>
      <c r="P61" s="39" t="str">
        <f>IF([8]道具信息!P61="","",[8]道具信息!P61)</f>
        <v/>
      </c>
      <c r="Q61" s="39" t="str">
        <f>IF([8]道具信息!Q61="","",[8]道具信息!Q61)</f>
        <v/>
      </c>
      <c r="R61" s="39" t="str">
        <f>IF([8]道具信息!R61="","",[8]道具信息!R61)</f>
        <v/>
      </c>
      <c r="S61" s="39" t="str">
        <f>IF([8]道具信息!S61="","",[8]道具信息!S61)</f>
        <v/>
      </c>
      <c r="T61" s="39" t="str">
        <f>IF([8]道具信息!T61="","",[8]道具信息!T61)</f>
        <v/>
      </c>
      <c r="U61" s="39" t="str">
        <f>IF([8]道具信息!U61="","",[8]道具信息!U61)</f>
        <v/>
      </c>
      <c r="V61" s="39" t="str">
        <f>IF([8]道具信息!V61="","",[8]道具信息!V61)</f>
        <v/>
      </c>
      <c r="W61" s="39" t="str">
        <f>IF([8]道具信息!W61="","",[8]道具信息!W61)</f>
        <v/>
      </c>
      <c r="X61" s="39" t="str">
        <f>IF([8]道具信息!X61="","",[8]道具信息!X61)</f>
        <v/>
      </c>
      <c r="Y61" s="39" t="str">
        <f>IF([8]道具信息!Y61="","",[8]道具信息!Y61)</f>
        <v/>
      </c>
      <c r="Z61" s="39" t="str">
        <f>IF([8]道具信息!Z61="","",[8]道具信息!Z61)</f>
        <v/>
      </c>
    </row>
    <row r="62" spans="1:26" x14ac:dyDescent="0.15">
      <c r="A62" s="39" t="str">
        <f>IF([8]道具信息!A62="","",[8]道具信息!A62)</f>
        <v/>
      </c>
      <c r="B62" s="39" t="str">
        <f>IF([8]道具信息!B62="","",[8]道具信息!B62)</f>
        <v/>
      </c>
      <c r="C62" s="39" t="str">
        <f>IF([8]道具信息!C62="","",[8]道具信息!C62)</f>
        <v/>
      </c>
      <c r="D62" s="39" t="str">
        <f>IF([8]道具信息!D62="","",[8]道具信息!D62)</f>
        <v>红色皮肤</v>
      </c>
      <c r="E62" s="39">
        <f>IF([8]道具信息!E62="","",[8]道具信息!E62)</f>
        <v>150000</v>
      </c>
      <c r="F62" s="39">
        <f>IF([8]道具信息!F62="","",[8]道具信息!F62)</f>
        <v>2</v>
      </c>
      <c r="G62" s="39">
        <f>IF([8]道具信息!G62="","",[8]道具信息!G62)</f>
        <v>2</v>
      </c>
      <c r="H62" s="39">
        <f>IF([8]道具信息!H62="","",[8]道具信息!H62)</f>
        <v>2</v>
      </c>
      <c r="I62" s="39">
        <f>IF([8]道具信息!I62="","",[8]道具信息!I62)</f>
        <v>300000</v>
      </c>
      <c r="J62" s="39">
        <f>IF([8]道具信息!J62="","",[8]道具信息!J62)</f>
        <v>300000</v>
      </c>
      <c r="K62" s="39">
        <f>IF([8]道具信息!K62="","",[8]道具信息!K62)</f>
        <v>300000</v>
      </c>
      <c r="L62" s="39" t="str">
        <f>IF([8]道具信息!L62="","",[8]道具信息!L62)</f>
        <v/>
      </c>
      <c r="M62" s="39" t="str">
        <f>IF([8]道具信息!M62="","",[8]道具信息!M62)</f>
        <v/>
      </c>
      <c r="N62" s="39" t="str">
        <f>IF([8]道具信息!N62="","",[8]道具信息!N62)</f>
        <v/>
      </c>
      <c r="O62" s="39" t="str">
        <f>IF([8]道具信息!O62="","",[8]道具信息!O62)</f>
        <v/>
      </c>
      <c r="P62" s="39" t="str">
        <f>IF([8]道具信息!P62="","",[8]道具信息!P62)</f>
        <v/>
      </c>
      <c r="Q62" s="39" t="str">
        <f>IF([8]道具信息!Q62="","",[8]道具信息!Q62)</f>
        <v/>
      </c>
      <c r="R62" s="39" t="str">
        <f>IF([8]道具信息!R62="","",[8]道具信息!R62)</f>
        <v/>
      </c>
      <c r="S62" s="39" t="str">
        <f>IF([8]道具信息!S62="","",[8]道具信息!S62)</f>
        <v/>
      </c>
      <c r="T62" s="39" t="str">
        <f>IF([8]道具信息!T62="","",[8]道具信息!T62)</f>
        <v/>
      </c>
      <c r="U62" s="39" t="str">
        <f>IF([8]道具信息!U62="","",[8]道具信息!U62)</f>
        <v/>
      </c>
      <c r="V62" s="39" t="str">
        <f>IF([8]道具信息!V62="","",[8]道具信息!V62)</f>
        <v/>
      </c>
      <c r="W62" s="39" t="str">
        <f>IF([8]道具信息!W62="","",[8]道具信息!W62)</f>
        <v/>
      </c>
      <c r="X62" s="39" t="str">
        <f>IF([8]道具信息!X62="","",[8]道具信息!X62)</f>
        <v/>
      </c>
      <c r="Y62" s="39" t="str">
        <f>IF([8]道具信息!Y62="","",[8]道具信息!Y62)</f>
        <v/>
      </c>
      <c r="Z62" s="39" t="str">
        <f>IF([8]道具信息!Z62="","",[8]道具信息!Z62)</f>
        <v/>
      </c>
    </row>
    <row r="63" spans="1:26" x14ac:dyDescent="0.15">
      <c r="A63" s="39" t="str">
        <f>IF([8]道具信息!A63="","",[8]道具信息!A63)</f>
        <v/>
      </c>
      <c r="B63" s="39" t="str">
        <f>IF([8]道具信息!B63="","",[8]道具信息!B63)</f>
        <v/>
      </c>
      <c r="C63" s="39" t="str">
        <f>IF([8]道具信息!C63="","",[8]道具信息!C63)</f>
        <v/>
      </c>
      <c r="D63" s="39" t="str">
        <f>IF([8]道具信息!D63="","",[8]道具信息!D63)</f>
        <v>橙色皮肤碎片</v>
      </c>
      <c r="E63" s="39">
        <f>IF([8]道具信息!E63="","",[8]道具信息!E63)</f>
        <v>533.33333333333337</v>
      </c>
      <c r="F63" s="39">
        <f>IF([8]道具信息!F63="","",[8]道具信息!F63)</f>
        <v>1</v>
      </c>
      <c r="G63" s="39">
        <f>IF([8]道具信息!G63="","",[8]道具信息!G63)</f>
        <v>1</v>
      </c>
      <c r="H63" s="39">
        <f>IF([8]道具信息!H63="","",[8]道具信息!H63)</f>
        <v>1</v>
      </c>
      <c r="I63" s="39">
        <f>IF([8]道具信息!I63="","",[8]道具信息!I63)</f>
        <v>533.33333333333337</v>
      </c>
      <c r="J63" s="39">
        <f>IF([8]道具信息!J63="","",[8]道具信息!J63)</f>
        <v>533.33333333333337</v>
      </c>
      <c r="K63" s="39">
        <f>IF([8]道具信息!K63="","",[8]道具信息!K63)</f>
        <v>533.33333333333337</v>
      </c>
      <c r="L63" s="39" t="str">
        <f>IF([8]道具信息!L63="","",[8]道具信息!L63)</f>
        <v/>
      </c>
      <c r="M63" s="39" t="str">
        <f>IF([8]道具信息!M63="","",[8]道具信息!M63)</f>
        <v/>
      </c>
      <c r="N63" s="39" t="str">
        <f>IF([8]道具信息!N63="","",[8]道具信息!N63)</f>
        <v/>
      </c>
      <c r="O63" s="39" t="str">
        <f>IF([8]道具信息!O63="","",[8]道具信息!O63)</f>
        <v/>
      </c>
      <c r="P63" s="39" t="str">
        <f>IF([8]道具信息!P63="","",[8]道具信息!P63)</f>
        <v/>
      </c>
      <c r="Q63" s="39" t="str">
        <f>IF([8]道具信息!Q63="","",[8]道具信息!Q63)</f>
        <v/>
      </c>
      <c r="R63" s="39" t="str">
        <f>IF([8]道具信息!R63="","",[8]道具信息!R63)</f>
        <v/>
      </c>
      <c r="S63" s="39" t="str">
        <f>IF([8]道具信息!S63="","",[8]道具信息!S63)</f>
        <v/>
      </c>
      <c r="T63" s="39" t="str">
        <f>IF([8]道具信息!T63="","",[8]道具信息!T63)</f>
        <v/>
      </c>
      <c r="U63" s="39" t="str">
        <f>IF([8]道具信息!U63="","",[8]道具信息!U63)</f>
        <v/>
      </c>
      <c r="V63" s="39" t="str">
        <f>IF([8]道具信息!V63="","",[8]道具信息!V63)</f>
        <v/>
      </c>
      <c r="W63" s="39" t="str">
        <f>IF([8]道具信息!W63="","",[8]道具信息!W63)</f>
        <v/>
      </c>
      <c r="X63" s="39" t="str">
        <f>IF([8]道具信息!X63="","",[8]道具信息!X63)</f>
        <v/>
      </c>
      <c r="Y63" s="39" t="str">
        <f>IF([8]道具信息!Y63="","",[8]道具信息!Y63)</f>
        <v/>
      </c>
      <c r="Z63" s="39" t="str">
        <f>IF([8]道具信息!Z63="","",[8]道具信息!Z63)</f>
        <v/>
      </c>
    </row>
    <row r="64" spans="1:26" x14ac:dyDescent="0.15">
      <c r="A64" s="39" t="str">
        <f>IF([8]道具信息!A64="","",[8]道具信息!A64)</f>
        <v/>
      </c>
      <c r="B64" s="39" t="str">
        <f>IF([8]道具信息!B64="","",[8]道具信息!B64)</f>
        <v/>
      </c>
      <c r="C64" s="39" t="str">
        <f>IF([8]道具信息!C64="","",[8]道具信息!C64)</f>
        <v/>
      </c>
      <c r="D64" s="39" t="str">
        <f>IF([8]道具信息!D64="","",[8]道具信息!D64)</f>
        <v>红色皮肤碎片</v>
      </c>
      <c r="E64" s="39">
        <f>IF([8]道具信息!E64="","",[8]道具信息!E64)</f>
        <v>3000</v>
      </c>
      <c r="F64" s="39">
        <f>IF([8]道具信息!F64="","",[8]道具信息!F64)</f>
        <v>2</v>
      </c>
      <c r="G64" s="39">
        <f>IF([8]道具信息!G64="","",[8]道具信息!G64)</f>
        <v>2</v>
      </c>
      <c r="H64" s="39">
        <f>IF([8]道具信息!H64="","",[8]道具信息!H64)</f>
        <v>2</v>
      </c>
      <c r="I64" s="39">
        <f>IF([8]道具信息!I64="","",[8]道具信息!I64)</f>
        <v>6000</v>
      </c>
      <c r="J64" s="39">
        <f>IF([8]道具信息!J64="","",[8]道具信息!J64)</f>
        <v>6000</v>
      </c>
      <c r="K64" s="39">
        <f>IF([8]道具信息!K64="","",[8]道具信息!K64)</f>
        <v>6000</v>
      </c>
      <c r="L64" s="39" t="str">
        <f>IF([8]道具信息!L64="","",[8]道具信息!L64)</f>
        <v/>
      </c>
      <c r="M64" s="39" t="str">
        <f>IF([8]道具信息!M64="","",[8]道具信息!M64)</f>
        <v/>
      </c>
      <c r="N64" s="39" t="str">
        <f>IF([8]道具信息!N64="","",[8]道具信息!N64)</f>
        <v/>
      </c>
      <c r="O64" s="39" t="str">
        <f>IF([8]道具信息!O64="","",[8]道具信息!O64)</f>
        <v/>
      </c>
      <c r="P64" s="39" t="str">
        <f>IF([8]道具信息!P64="","",[8]道具信息!P64)</f>
        <v/>
      </c>
      <c r="Q64" s="39" t="str">
        <f>IF([8]道具信息!Q64="","",[8]道具信息!Q64)</f>
        <v/>
      </c>
      <c r="R64" s="39" t="str">
        <f>IF([8]道具信息!R64="","",[8]道具信息!R64)</f>
        <v/>
      </c>
      <c r="S64" s="39" t="str">
        <f>IF([8]道具信息!S64="","",[8]道具信息!S64)</f>
        <v/>
      </c>
      <c r="T64" s="39" t="str">
        <f>IF([8]道具信息!T64="","",[8]道具信息!T64)</f>
        <v/>
      </c>
      <c r="U64" s="39" t="str">
        <f>IF([8]道具信息!U64="","",[8]道具信息!U64)</f>
        <v/>
      </c>
      <c r="V64" s="39" t="str">
        <f>IF([8]道具信息!V64="","",[8]道具信息!V64)</f>
        <v/>
      </c>
      <c r="W64" s="39" t="str">
        <f>IF([8]道具信息!W64="","",[8]道具信息!W64)</f>
        <v/>
      </c>
      <c r="X64" s="39" t="str">
        <f>IF([8]道具信息!X64="","",[8]道具信息!X64)</f>
        <v/>
      </c>
      <c r="Y64" s="39" t="str">
        <f>IF([8]道具信息!Y64="","",[8]道具信息!Y64)</f>
        <v/>
      </c>
      <c r="Z64" s="39" t="str">
        <f>IF([8]道具信息!Z64="","",[8]道具信息!Z64)</f>
        <v/>
      </c>
    </row>
    <row r="65" spans="1:26" x14ac:dyDescent="0.15">
      <c r="A65" s="39" t="str">
        <f>IF([8]道具信息!A65="","",[8]道具信息!A65)</f>
        <v/>
      </c>
      <c r="B65" s="39" t="str">
        <f>IF([8]道具信息!B65="","",[8]道具信息!B65)</f>
        <v/>
      </c>
      <c r="C65" s="39" t="str">
        <f>IF([8]道具信息!C65="","",[8]道具信息!C65)</f>
        <v/>
      </c>
      <c r="D65" s="39" t="str">
        <f>IF([8]道具信息!D65="","",[8]道具信息!D65)</f>
        <v>7天限时橙色皮肤</v>
      </c>
      <c r="E65" s="39">
        <f>IF([8]道具信息!E65="","",[8]道具信息!E65)</f>
        <v>16000</v>
      </c>
      <c r="F65" s="39">
        <f>IF([8]道具信息!F65="","",[8]道具信息!F65)</f>
        <v>0.2</v>
      </c>
      <c r="G65" s="39">
        <f>IF([8]道具信息!G65="","",[8]道具信息!G65)</f>
        <v>0.2</v>
      </c>
      <c r="H65" s="39">
        <f>IF([8]道具信息!H65="","",[8]道具信息!H65)</f>
        <v>0.2</v>
      </c>
      <c r="I65" s="39">
        <f>IF([8]道具信息!I65="","",[8]道具信息!I65)</f>
        <v>3200</v>
      </c>
      <c r="J65" s="39">
        <f>IF([8]道具信息!J65="","",[8]道具信息!J65)</f>
        <v>3200</v>
      </c>
      <c r="K65" s="39">
        <f>IF([8]道具信息!K65="","",[8]道具信息!K65)</f>
        <v>3200</v>
      </c>
      <c r="L65" s="39" t="str">
        <f>IF([8]道具信息!L65="","",[8]道具信息!L65)</f>
        <v>7天</v>
      </c>
      <c r="M65" s="39" t="str">
        <f>IF([8]道具信息!M65="","",[8]道具信息!M65)</f>
        <v/>
      </c>
      <c r="N65" s="39" t="str">
        <f>IF([8]道具信息!N65="","",[8]道具信息!N65)</f>
        <v/>
      </c>
      <c r="O65" s="39" t="str">
        <f>IF([8]道具信息!O65="","",[8]道具信息!O65)</f>
        <v/>
      </c>
      <c r="P65" s="39" t="str">
        <f>IF([8]道具信息!P65="","",[8]道具信息!P65)</f>
        <v/>
      </c>
      <c r="Q65" s="39" t="str">
        <f>IF([8]道具信息!Q65="","",[8]道具信息!Q65)</f>
        <v/>
      </c>
      <c r="R65" s="39" t="str">
        <f>IF([8]道具信息!R65="","",[8]道具信息!R65)</f>
        <v/>
      </c>
      <c r="S65" s="39" t="str">
        <f>IF([8]道具信息!S65="","",[8]道具信息!S65)</f>
        <v/>
      </c>
      <c r="T65" s="39" t="str">
        <f>IF([8]道具信息!T65="","",[8]道具信息!T65)</f>
        <v/>
      </c>
      <c r="U65" s="39" t="str">
        <f>IF([8]道具信息!U65="","",[8]道具信息!U65)</f>
        <v/>
      </c>
      <c r="V65" s="39" t="str">
        <f>IF([8]道具信息!V65="","",[8]道具信息!V65)</f>
        <v/>
      </c>
      <c r="W65" s="39" t="str">
        <f>IF([8]道具信息!W65="","",[8]道具信息!W65)</f>
        <v/>
      </c>
      <c r="X65" s="39" t="str">
        <f>IF([8]道具信息!X65="","",[8]道具信息!X65)</f>
        <v/>
      </c>
      <c r="Y65" s="39" t="str">
        <f>IF([8]道具信息!Y65="","",[8]道具信息!Y65)</f>
        <v/>
      </c>
      <c r="Z65" s="39" t="str">
        <f>IF([8]道具信息!Z65="","",[8]道具信息!Z65)</f>
        <v/>
      </c>
    </row>
    <row r="66" spans="1:26" x14ac:dyDescent="0.15">
      <c r="A66" s="39" t="str">
        <f>IF([8]道具信息!A66="","",[8]道具信息!A66)</f>
        <v/>
      </c>
      <c r="B66" s="39" t="str">
        <f>IF([8]道具信息!B66="","",[8]道具信息!B66)</f>
        <v/>
      </c>
      <c r="C66" s="39" t="str">
        <f>IF([8]道具信息!C66="","",[8]道具信息!C66)</f>
        <v/>
      </c>
      <c r="D66" s="39" t="str">
        <f>IF([8]道具信息!D66="","",[8]道具信息!D66)</f>
        <v>30天限时橙色皮肤</v>
      </c>
      <c r="E66" s="39">
        <f>IF([8]道具信息!E66="","",[8]道具信息!E66)</f>
        <v>16000</v>
      </c>
      <c r="F66" s="39">
        <f>IF([8]道具信息!F66="","",[8]道具信息!F66)</f>
        <v>0.5</v>
      </c>
      <c r="G66" s="39">
        <f>IF([8]道具信息!G66="","",[8]道具信息!G66)</f>
        <v>0.5</v>
      </c>
      <c r="H66" s="39">
        <f>IF([8]道具信息!H66="","",[8]道具信息!H66)</f>
        <v>0.5</v>
      </c>
      <c r="I66" s="39">
        <f>IF([8]道具信息!I66="","",[8]道具信息!I66)</f>
        <v>8000</v>
      </c>
      <c r="J66" s="39">
        <f>IF([8]道具信息!J66="","",[8]道具信息!J66)</f>
        <v>8000</v>
      </c>
      <c r="K66" s="39">
        <f>IF([8]道具信息!K66="","",[8]道具信息!K66)</f>
        <v>8000</v>
      </c>
      <c r="L66" s="39" t="str">
        <f>IF([8]道具信息!L66="","",[8]道具信息!L66)</f>
        <v>30天</v>
      </c>
      <c r="M66" s="39" t="str">
        <f>IF([8]道具信息!M66="","",[8]道具信息!M66)</f>
        <v/>
      </c>
      <c r="N66" s="39" t="str">
        <f>IF([8]道具信息!N66="","",[8]道具信息!N66)</f>
        <v/>
      </c>
      <c r="O66" s="39" t="str">
        <f>IF([8]道具信息!O66="","",[8]道具信息!O66)</f>
        <v/>
      </c>
      <c r="P66" s="39" t="str">
        <f>IF([8]道具信息!P66="","",[8]道具信息!P66)</f>
        <v/>
      </c>
      <c r="Q66" s="39" t="str">
        <f>IF([8]道具信息!Q66="","",[8]道具信息!Q66)</f>
        <v/>
      </c>
      <c r="R66" s="39" t="str">
        <f>IF([8]道具信息!R66="","",[8]道具信息!R66)</f>
        <v/>
      </c>
      <c r="S66" s="39" t="str">
        <f>IF([8]道具信息!S66="","",[8]道具信息!S66)</f>
        <v/>
      </c>
      <c r="T66" s="39" t="str">
        <f>IF([8]道具信息!T66="","",[8]道具信息!T66)</f>
        <v/>
      </c>
      <c r="U66" s="39" t="str">
        <f>IF([8]道具信息!U66="","",[8]道具信息!U66)</f>
        <v/>
      </c>
      <c r="V66" s="39" t="str">
        <f>IF([8]道具信息!V66="","",[8]道具信息!V66)</f>
        <v/>
      </c>
      <c r="W66" s="39" t="str">
        <f>IF([8]道具信息!W66="","",[8]道具信息!W66)</f>
        <v/>
      </c>
      <c r="X66" s="39" t="str">
        <f>IF([8]道具信息!X66="","",[8]道具信息!X66)</f>
        <v/>
      </c>
      <c r="Y66" s="39" t="str">
        <f>IF([8]道具信息!Y66="","",[8]道具信息!Y66)</f>
        <v/>
      </c>
      <c r="Z66" s="39" t="str">
        <f>IF([8]道具信息!Z66="","",[8]道具信息!Z66)</f>
        <v/>
      </c>
    </row>
    <row r="67" spans="1:26" x14ac:dyDescent="0.15">
      <c r="A67" s="39" t="str">
        <f>IF([8]道具信息!A67="","",[8]道具信息!A67)</f>
        <v/>
      </c>
      <c r="B67" s="39" t="str">
        <f>IF([8]道具信息!B67="","",[8]道具信息!B67)</f>
        <v/>
      </c>
      <c r="C67" s="39" t="str">
        <f>IF([8]道具信息!C67="","",[8]道具信息!C67)</f>
        <v/>
      </c>
      <c r="D67" s="39" t="str">
        <f>IF([8]道具信息!D67="","",[8]道具信息!D67)</f>
        <v>紫色外显</v>
      </c>
      <c r="E67" s="39">
        <f>IF([8]道具信息!E67="","",[8]道具信息!E67)</f>
        <v>6000</v>
      </c>
      <c r="F67" s="39">
        <f>IF([8]道具信息!F67="","",[8]道具信息!F67)</f>
        <v>0.75</v>
      </c>
      <c r="G67" s="39">
        <f>IF([8]道具信息!G67="","",[8]道具信息!G67)</f>
        <v>0.75</v>
      </c>
      <c r="H67" s="39">
        <f>IF([8]道具信息!H67="","",[8]道具信息!H67)</f>
        <v>0.1</v>
      </c>
      <c r="I67" s="39">
        <f>IF([8]道具信息!I67="","",[8]道具信息!I67)</f>
        <v>4500</v>
      </c>
      <c r="J67" s="39">
        <f>IF([8]道具信息!J67="","",[8]道具信息!J67)</f>
        <v>4500</v>
      </c>
      <c r="K67" s="39">
        <f>IF([8]道具信息!K67="","",[8]道具信息!K67)</f>
        <v>600</v>
      </c>
      <c r="L67" s="39" t="str">
        <f>IF([8]道具信息!L67="","",[8]道具信息!L67)</f>
        <v/>
      </c>
      <c r="M67" s="39" t="str">
        <f>IF([8]道具信息!M67="","",[8]道具信息!M67)</f>
        <v/>
      </c>
      <c r="N67" s="39" t="str">
        <f>IF([8]道具信息!N67="","",[8]道具信息!N67)</f>
        <v/>
      </c>
      <c r="O67" s="39" t="str">
        <f>IF([8]道具信息!O67="","",[8]道具信息!O67)</f>
        <v/>
      </c>
      <c r="P67" s="39" t="str">
        <f>IF([8]道具信息!P67="","",[8]道具信息!P67)</f>
        <v/>
      </c>
      <c r="Q67" s="39" t="str">
        <f>IF([8]道具信息!Q67="","",[8]道具信息!Q67)</f>
        <v/>
      </c>
      <c r="R67" s="39" t="str">
        <f>IF([8]道具信息!R67="","",[8]道具信息!R67)</f>
        <v/>
      </c>
      <c r="S67" s="39" t="str">
        <f>IF([8]道具信息!S67="","",[8]道具信息!S67)</f>
        <v/>
      </c>
      <c r="T67" s="39" t="str">
        <f>IF([8]道具信息!T67="","",[8]道具信息!T67)</f>
        <v/>
      </c>
      <c r="U67" s="39" t="str">
        <f>IF([8]道具信息!U67="","",[8]道具信息!U67)</f>
        <v/>
      </c>
      <c r="V67" s="39" t="str">
        <f>IF([8]道具信息!V67="","",[8]道具信息!V67)</f>
        <v/>
      </c>
      <c r="W67" s="39" t="str">
        <f>IF([8]道具信息!W67="","",[8]道具信息!W67)</f>
        <v/>
      </c>
      <c r="X67" s="39" t="str">
        <f>IF([8]道具信息!X67="","",[8]道具信息!X67)</f>
        <v/>
      </c>
      <c r="Y67" s="39" t="str">
        <f>IF([8]道具信息!Y67="","",[8]道具信息!Y67)</f>
        <v/>
      </c>
      <c r="Z67" s="39" t="str">
        <f>IF([8]道具信息!Z67="","",[8]道具信息!Z67)</f>
        <v/>
      </c>
    </row>
    <row r="68" spans="1:26" x14ac:dyDescent="0.15">
      <c r="A68" s="39" t="str">
        <f>IF([8]道具信息!A68="","",[8]道具信息!A68)</f>
        <v/>
      </c>
      <c r="B68" s="39" t="str">
        <f>IF([8]道具信息!B68="","",[8]道具信息!B68)</f>
        <v/>
      </c>
      <c r="C68" s="39" t="str">
        <f>IF([8]道具信息!C68="","",[8]道具信息!C68)</f>
        <v/>
      </c>
      <c r="D68" s="39" t="str">
        <f>IF([8]道具信息!D68="","",[8]道具信息!D68)</f>
        <v>橙色外显</v>
      </c>
      <c r="E68" s="39">
        <f>IF([8]道具信息!E68="","",[8]道具信息!E68)</f>
        <v>16000</v>
      </c>
      <c r="F68" s="39">
        <f>IF([8]道具信息!F68="","",[8]道具信息!F68)</f>
        <v>0.75</v>
      </c>
      <c r="G68" s="39">
        <f>IF([8]道具信息!G68="","",[8]道具信息!G68)</f>
        <v>0.75</v>
      </c>
      <c r="H68" s="39">
        <f>IF([8]道具信息!H68="","",[8]道具信息!H68)</f>
        <v>0.1</v>
      </c>
      <c r="I68" s="39">
        <f>IF([8]道具信息!I68="","",[8]道具信息!I68)</f>
        <v>12000</v>
      </c>
      <c r="J68" s="39">
        <f>IF([8]道具信息!J68="","",[8]道具信息!J68)</f>
        <v>12000</v>
      </c>
      <c r="K68" s="39">
        <f>IF([8]道具信息!K68="","",[8]道具信息!K68)</f>
        <v>1600</v>
      </c>
      <c r="L68" s="39" t="str">
        <f>IF([8]道具信息!L68="","",[8]道具信息!L68)</f>
        <v/>
      </c>
      <c r="M68" s="39" t="str">
        <f>IF([8]道具信息!M68="","",[8]道具信息!M68)</f>
        <v/>
      </c>
      <c r="N68" s="39" t="str">
        <f>IF([8]道具信息!N68="","",[8]道具信息!N68)</f>
        <v/>
      </c>
      <c r="O68" s="39" t="str">
        <f>IF([8]道具信息!O68="","",[8]道具信息!O68)</f>
        <v/>
      </c>
      <c r="P68" s="39" t="str">
        <f>IF([8]道具信息!P68="","",[8]道具信息!P68)</f>
        <v/>
      </c>
      <c r="Q68" s="39" t="str">
        <f>IF([8]道具信息!Q68="","",[8]道具信息!Q68)</f>
        <v/>
      </c>
      <c r="R68" s="39" t="str">
        <f>IF([8]道具信息!R68="","",[8]道具信息!R68)</f>
        <v/>
      </c>
      <c r="S68" s="39" t="str">
        <f>IF([8]道具信息!S68="","",[8]道具信息!S68)</f>
        <v/>
      </c>
      <c r="T68" s="39" t="str">
        <f>IF([8]道具信息!T68="","",[8]道具信息!T68)</f>
        <v/>
      </c>
      <c r="U68" s="39" t="str">
        <f>IF([8]道具信息!U68="","",[8]道具信息!U68)</f>
        <v/>
      </c>
      <c r="V68" s="39" t="str">
        <f>IF([8]道具信息!V68="","",[8]道具信息!V68)</f>
        <v/>
      </c>
      <c r="W68" s="39" t="str">
        <f>IF([8]道具信息!W68="","",[8]道具信息!W68)</f>
        <v/>
      </c>
      <c r="X68" s="39" t="str">
        <f>IF([8]道具信息!X68="","",[8]道具信息!X68)</f>
        <v/>
      </c>
      <c r="Y68" s="39" t="str">
        <f>IF([8]道具信息!Y68="","",[8]道具信息!Y68)</f>
        <v/>
      </c>
      <c r="Z68" s="39" t="str">
        <f>IF([8]道具信息!Z68="","",[8]道具信息!Z68)</f>
        <v/>
      </c>
    </row>
    <row r="69" spans="1:26" x14ac:dyDescent="0.15">
      <c r="A69" s="39" t="str">
        <f>IF([8]道具信息!A69="","",[8]道具信息!A69)</f>
        <v/>
      </c>
      <c r="B69" s="39" t="str">
        <f>IF([8]道具信息!B69="","",[8]道具信息!B69)</f>
        <v/>
      </c>
      <c r="C69" s="39" t="str">
        <f>IF([8]道具信息!C69="","",[8]道具信息!C69)</f>
        <v/>
      </c>
      <c r="D69" s="39" t="str">
        <f>IF([8]道具信息!D69="","",[8]道具信息!D69)</f>
        <v>红色外显</v>
      </c>
      <c r="E69" s="39">
        <f>IF([8]道具信息!E69="","",[8]道具信息!E69)</f>
        <v>150000</v>
      </c>
      <c r="F69" s="39">
        <f>IF([8]道具信息!F69="","",[8]道具信息!F69)</f>
        <v>1.5</v>
      </c>
      <c r="G69" s="39">
        <f>IF([8]道具信息!G69="","",[8]道具信息!G69)</f>
        <v>1.5</v>
      </c>
      <c r="H69" s="39">
        <f>IF([8]道具信息!H69="","",[8]道具信息!H69)</f>
        <v>0.2</v>
      </c>
      <c r="I69" s="39">
        <f>IF([8]道具信息!I69="","",[8]道具信息!I69)</f>
        <v>225000</v>
      </c>
      <c r="J69" s="39">
        <f>IF([8]道具信息!J69="","",[8]道具信息!J69)</f>
        <v>225000</v>
      </c>
      <c r="K69" s="39">
        <f>IF([8]道具信息!K69="","",[8]道具信息!K69)</f>
        <v>30000</v>
      </c>
      <c r="L69" s="39" t="str">
        <f>IF([8]道具信息!L69="","",[8]道具信息!L69)</f>
        <v/>
      </c>
      <c r="M69" s="39" t="str">
        <f>IF([8]道具信息!M69="","",[8]道具信息!M69)</f>
        <v/>
      </c>
      <c r="N69" s="39" t="str">
        <f>IF([8]道具信息!N69="","",[8]道具信息!N69)</f>
        <v/>
      </c>
      <c r="O69" s="39" t="str">
        <f>IF([8]道具信息!O69="","",[8]道具信息!O69)</f>
        <v/>
      </c>
      <c r="P69" s="39" t="str">
        <f>IF([8]道具信息!P69="","",[8]道具信息!P69)</f>
        <v/>
      </c>
      <c r="Q69" s="39" t="str">
        <f>IF([8]道具信息!Q69="","",[8]道具信息!Q69)</f>
        <v/>
      </c>
      <c r="R69" s="39" t="str">
        <f>IF([8]道具信息!R69="","",[8]道具信息!R69)</f>
        <v/>
      </c>
      <c r="S69" s="39" t="str">
        <f>IF([8]道具信息!S69="","",[8]道具信息!S69)</f>
        <v/>
      </c>
      <c r="T69" s="39" t="str">
        <f>IF([8]道具信息!T69="","",[8]道具信息!T69)</f>
        <v/>
      </c>
      <c r="U69" s="39" t="str">
        <f>IF([8]道具信息!U69="","",[8]道具信息!U69)</f>
        <v/>
      </c>
      <c r="V69" s="39" t="str">
        <f>IF([8]道具信息!V69="","",[8]道具信息!V69)</f>
        <v/>
      </c>
      <c r="W69" s="39" t="str">
        <f>IF([8]道具信息!W69="","",[8]道具信息!W69)</f>
        <v/>
      </c>
      <c r="X69" s="39" t="str">
        <f>IF([8]道具信息!X69="","",[8]道具信息!X69)</f>
        <v/>
      </c>
      <c r="Y69" s="39" t="str">
        <f>IF([8]道具信息!Y69="","",[8]道具信息!Y69)</f>
        <v/>
      </c>
      <c r="Z69" s="39" t="str">
        <f>IF([8]道具信息!Z69="","",[8]道具信息!Z69)</f>
        <v/>
      </c>
    </row>
    <row r="70" spans="1:26" x14ac:dyDescent="0.15">
      <c r="A70" s="39" t="str">
        <f>IF([8]道具信息!A70="","",[8]道具信息!A70)</f>
        <v/>
      </c>
      <c r="B70" s="39" t="str">
        <f>IF([8]道具信息!B70="","",[8]道具信息!B70)</f>
        <v/>
      </c>
      <c r="C70" s="39" t="str">
        <f>IF([8]道具信息!C70="","",[8]道具信息!C70)</f>
        <v/>
      </c>
      <c r="D70" s="39" t="str">
        <f>IF([8]道具信息!D70="","",[8]道具信息!D70)</f>
        <v>7天限时橙色外显</v>
      </c>
      <c r="E70" s="39">
        <f>IF([8]道具信息!E70="","",[8]道具信息!E70)</f>
        <v>16000</v>
      </c>
      <c r="F70" s="39">
        <f>IF([8]道具信息!F70="","",[8]道具信息!F70)</f>
        <v>0.15000000000000002</v>
      </c>
      <c r="G70" s="39">
        <f>IF([8]道具信息!G70="","",[8]道具信息!G70)</f>
        <v>0.15000000000000002</v>
      </c>
      <c r="H70" s="39">
        <f>IF([8]道具信息!H70="","",[8]道具信息!H70)</f>
        <v>0.02</v>
      </c>
      <c r="I70" s="39">
        <f>IF([8]道具信息!I70="","",[8]道具信息!I70)</f>
        <v>2400.0000000000005</v>
      </c>
      <c r="J70" s="39">
        <f>IF([8]道具信息!J70="","",[8]道具信息!J70)</f>
        <v>2400.0000000000005</v>
      </c>
      <c r="K70" s="39">
        <f>IF([8]道具信息!K70="","",[8]道具信息!K70)</f>
        <v>320</v>
      </c>
      <c r="L70" s="39" t="str">
        <f>IF([8]道具信息!L70="","",[8]道具信息!L70)</f>
        <v>7天</v>
      </c>
      <c r="M70" s="39" t="str">
        <f>IF([8]道具信息!M70="","",[8]道具信息!M70)</f>
        <v/>
      </c>
      <c r="N70" s="39" t="str">
        <f>IF([8]道具信息!N70="","",[8]道具信息!N70)</f>
        <v/>
      </c>
      <c r="O70" s="39" t="str">
        <f>IF([8]道具信息!O70="","",[8]道具信息!O70)</f>
        <v/>
      </c>
      <c r="P70" s="39" t="str">
        <f>IF([8]道具信息!P70="","",[8]道具信息!P70)</f>
        <v/>
      </c>
      <c r="Q70" s="39" t="str">
        <f>IF([8]道具信息!Q70="","",[8]道具信息!Q70)</f>
        <v/>
      </c>
      <c r="R70" s="39" t="str">
        <f>IF([8]道具信息!R70="","",[8]道具信息!R70)</f>
        <v/>
      </c>
      <c r="S70" s="39" t="str">
        <f>IF([8]道具信息!S70="","",[8]道具信息!S70)</f>
        <v/>
      </c>
      <c r="T70" s="39" t="str">
        <f>IF([8]道具信息!T70="","",[8]道具信息!T70)</f>
        <v/>
      </c>
      <c r="U70" s="39" t="str">
        <f>IF([8]道具信息!U70="","",[8]道具信息!U70)</f>
        <v/>
      </c>
      <c r="V70" s="39" t="str">
        <f>IF([8]道具信息!V70="","",[8]道具信息!V70)</f>
        <v/>
      </c>
      <c r="W70" s="39" t="str">
        <f>IF([8]道具信息!W70="","",[8]道具信息!W70)</f>
        <v/>
      </c>
      <c r="X70" s="39" t="str">
        <f>IF([8]道具信息!X70="","",[8]道具信息!X70)</f>
        <v/>
      </c>
      <c r="Y70" s="39" t="str">
        <f>IF([8]道具信息!Y70="","",[8]道具信息!Y70)</f>
        <v/>
      </c>
      <c r="Z70" s="39" t="str">
        <f>IF([8]道具信息!Z70="","",[8]道具信息!Z70)</f>
        <v/>
      </c>
    </row>
    <row r="71" spans="1:26" x14ac:dyDescent="0.15">
      <c r="A71" s="39" t="str">
        <f>IF([8]道具信息!A71="","",[8]道具信息!A71)</f>
        <v/>
      </c>
      <c r="B71" s="39" t="str">
        <f>IF([8]道具信息!B71="","",[8]道具信息!B71)</f>
        <v/>
      </c>
      <c r="C71" s="39" t="str">
        <f>IF([8]道具信息!C71="","",[8]道具信息!C71)</f>
        <v/>
      </c>
      <c r="D71" s="39" t="str">
        <f>IF([8]道具信息!D71="","",[8]道具信息!D71)</f>
        <v>30天限时橙色外显</v>
      </c>
      <c r="E71" s="39">
        <f>IF([8]道具信息!E71="","",[8]道具信息!E71)</f>
        <v>16000</v>
      </c>
      <c r="F71" s="39">
        <f>IF([8]道具信息!F71="","",[8]道具信息!F71)</f>
        <v>0.375</v>
      </c>
      <c r="G71" s="39">
        <f>IF([8]道具信息!G71="","",[8]道具信息!G71)</f>
        <v>0.375</v>
      </c>
      <c r="H71" s="39">
        <f>IF([8]道具信息!H71="","",[8]道具信息!H71)</f>
        <v>0.05</v>
      </c>
      <c r="I71" s="39">
        <f>IF([8]道具信息!I71="","",[8]道具信息!I71)</f>
        <v>6000</v>
      </c>
      <c r="J71" s="39">
        <f>IF([8]道具信息!J71="","",[8]道具信息!J71)</f>
        <v>6000</v>
      </c>
      <c r="K71" s="39">
        <f>IF([8]道具信息!K71="","",[8]道具信息!K71)</f>
        <v>800</v>
      </c>
      <c r="L71" s="39" t="str">
        <f>IF([8]道具信息!L71="","",[8]道具信息!L71)</f>
        <v>30天</v>
      </c>
      <c r="M71" s="39" t="str">
        <f>IF([8]道具信息!M71="","",[8]道具信息!M71)</f>
        <v/>
      </c>
      <c r="N71" s="39" t="str">
        <f>IF([8]道具信息!N71="","",[8]道具信息!N71)</f>
        <v/>
      </c>
      <c r="O71" s="39" t="str">
        <f>IF([8]道具信息!O71="","",[8]道具信息!O71)</f>
        <v/>
      </c>
      <c r="P71" s="39" t="str">
        <f>IF([8]道具信息!P71="","",[8]道具信息!P71)</f>
        <v/>
      </c>
      <c r="Q71" s="39" t="str">
        <f>IF([8]道具信息!Q71="","",[8]道具信息!Q71)</f>
        <v/>
      </c>
      <c r="R71" s="39" t="str">
        <f>IF([8]道具信息!R71="","",[8]道具信息!R71)</f>
        <v/>
      </c>
      <c r="S71" s="39" t="str">
        <f>IF([8]道具信息!S71="","",[8]道具信息!S71)</f>
        <v/>
      </c>
      <c r="T71" s="39" t="str">
        <f>IF([8]道具信息!T71="","",[8]道具信息!T71)</f>
        <v/>
      </c>
      <c r="U71" s="39" t="str">
        <f>IF([8]道具信息!U71="","",[8]道具信息!U71)</f>
        <v/>
      </c>
      <c r="V71" s="39" t="str">
        <f>IF([8]道具信息!V71="","",[8]道具信息!V71)</f>
        <v/>
      </c>
      <c r="W71" s="39" t="str">
        <f>IF([8]道具信息!W71="","",[8]道具信息!W71)</f>
        <v/>
      </c>
      <c r="X71" s="39" t="str">
        <f>IF([8]道具信息!X71="","",[8]道具信息!X71)</f>
        <v/>
      </c>
      <c r="Y71" s="39" t="str">
        <f>IF([8]道具信息!Y71="","",[8]道具信息!Y71)</f>
        <v/>
      </c>
      <c r="Z71" s="39" t="str">
        <f>IF([8]道具信息!Z71="","",[8]道具信息!Z71)</f>
        <v/>
      </c>
    </row>
    <row r="72" spans="1:26" x14ac:dyDescent="0.15">
      <c r="A72" s="39" t="str">
        <f>IF([8]道具信息!A72="","",[8]道具信息!A72)</f>
        <v/>
      </c>
      <c r="B72" s="39" t="str">
        <f>IF([8]道具信息!B72="","",[8]道具信息!B72)</f>
        <v/>
      </c>
      <c r="C72" s="39" t="str">
        <f>IF([8]道具信息!C72="","",[8]道具信息!C72)</f>
        <v/>
      </c>
      <c r="D72" s="39" t="str">
        <f>IF([8]道具信息!D72="","",[8]道具信息!D72)</f>
        <v/>
      </c>
      <c r="E72" s="39" t="str">
        <f>IF([8]道具信息!E72="","",[8]道具信息!E72)</f>
        <v/>
      </c>
      <c r="F72" s="39" t="str">
        <f>IF([8]道具信息!F72="","",[8]道具信息!F72)</f>
        <v/>
      </c>
      <c r="G72" s="39" t="str">
        <f>IF([8]道具信息!G72="","",[8]道具信息!G72)</f>
        <v/>
      </c>
      <c r="H72" s="39" t="str">
        <f>IF([8]道具信息!H72="","",[8]道具信息!H72)</f>
        <v/>
      </c>
      <c r="I72" s="39" t="str">
        <f>IF([8]道具信息!I72="","",[8]道具信息!I72)</f>
        <v/>
      </c>
      <c r="J72" s="39" t="str">
        <f>IF([8]道具信息!J72="","",[8]道具信息!J72)</f>
        <v/>
      </c>
      <c r="K72" s="39" t="str">
        <f>IF([8]道具信息!K72="","",[8]道具信息!K72)</f>
        <v/>
      </c>
      <c r="L72" s="39" t="str">
        <f>IF([8]道具信息!L72="","",[8]道具信息!L72)</f>
        <v/>
      </c>
      <c r="M72" s="39" t="str">
        <f>IF([8]道具信息!M72="","",[8]道具信息!M72)</f>
        <v/>
      </c>
      <c r="N72" s="39" t="str">
        <f>IF([8]道具信息!N72="","",[8]道具信息!N72)</f>
        <v/>
      </c>
      <c r="O72" s="39" t="str">
        <f>IF([8]道具信息!O72="","",[8]道具信息!O72)</f>
        <v/>
      </c>
      <c r="P72" s="39" t="str">
        <f>IF([8]道具信息!P72="","",[8]道具信息!P72)</f>
        <v/>
      </c>
      <c r="Q72" s="39" t="str">
        <f>IF([8]道具信息!Q72="","",[8]道具信息!Q72)</f>
        <v/>
      </c>
      <c r="R72" s="39" t="str">
        <f>IF([8]道具信息!R72="","",[8]道具信息!R72)</f>
        <v/>
      </c>
      <c r="S72" s="39" t="str">
        <f>IF([8]道具信息!S72="","",[8]道具信息!S72)</f>
        <v/>
      </c>
      <c r="T72" s="39" t="str">
        <f>IF([8]道具信息!T72="","",[8]道具信息!T72)</f>
        <v/>
      </c>
      <c r="U72" s="39" t="str">
        <f>IF([8]道具信息!U72="","",[8]道具信息!U72)</f>
        <v/>
      </c>
      <c r="V72" s="39" t="str">
        <f>IF([8]道具信息!V72="","",[8]道具信息!V72)</f>
        <v/>
      </c>
      <c r="W72" s="39" t="str">
        <f>IF([8]道具信息!W72="","",[8]道具信息!W72)</f>
        <v/>
      </c>
      <c r="X72" s="39" t="str">
        <f>IF([8]道具信息!X72="","",[8]道具信息!X72)</f>
        <v/>
      </c>
      <c r="Y72" s="39" t="str">
        <f>IF([8]道具信息!Y72="","",[8]道具信息!Y72)</f>
        <v/>
      </c>
      <c r="Z72" s="39" t="str">
        <f>IF([8]道具信息!Z72="","",[8]道具信息!Z72)</f>
        <v/>
      </c>
    </row>
    <row r="73" spans="1:26" x14ac:dyDescent="0.15">
      <c r="A73" s="39" t="str">
        <f>IF([8]道具信息!A73="","",[8]道具信息!A73)</f>
        <v/>
      </c>
      <c r="B73" s="39" t="str">
        <f>IF([8]道具信息!B73="","",[8]道具信息!B73)</f>
        <v/>
      </c>
      <c r="C73" s="39" t="str">
        <f>IF([8]道具信息!C73="","",[8]道具信息!C73)</f>
        <v/>
      </c>
      <c r="D73" s="39" t="str">
        <f>IF([8]道具信息!D73="","",[8]道具信息!D73)</f>
        <v/>
      </c>
      <c r="E73" s="39" t="str">
        <f>IF([8]道具信息!E73="","",[8]道具信息!E73)</f>
        <v/>
      </c>
      <c r="F73" s="39" t="str">
        <f>IF([8]道具信息!F73="","",[8]道具信息!F73)</f>
        <v/>
      </c>
      <c r="G73" s="39" t="str">
        <f>IF([8]道具信息!G73="","",[8]道具信息!G73)</f>
        <v/>
      </c>
      <c r="H73" s="39" t="str">
        <f>IF([8]道具信息!H73="","",[8]道具信息!H73)</f>
        <v/>
      </c>
      <c r="I73" s="39" t="str">
        <f>IF([8]道具信息!I73="","",[8]道具信息!I73)</f>
        <v/>
      </c>
      <c r="J73" s="39" t="str">
        <f>IF([8]道具信息!J73="","",[8]道具信息!J73)</f>
        <v/>
      </c>
      <c r="K73" s="39" t="str">
        <f>IF([8]道具信息!K73="","",[8]道具信息!K73)</f>
        <v/>
      </c>
      <c r="L73" s="39" t="str">
        <f>IF([8]道具信息!L73="","",[8]道具信息!L73)</f>
        <v/>
      </c>
      <c r="M73" s="39" t="str">
        <f>IF([8]道具信息!M73="","",[8]道具信息!M73)</f>
        <v/>
      </c>
      <c r="N73" s="39" t="str">
        <f>IF([8]道具信息!N73="","",[8]道具信息!N73)</f>
        <v/>
      </c>
      <c r="O73" s="39" t="str">
        <f>IF([8]道具信息!O73="","",[8]道具信息!O73)</f>
        <v/>
      </c>
      <c r="P73" s="39" t="str">
        <f>IF([8]道具信息!P73="","",[8]道具信息!P73)</f>
        <v/>
      </c>
      <c r="Q73" s="39" t="str">
        <f>IF([8]道具信息!Q73="","",[8]道具信息!Q73)</f>
        <v/>
      </c>
      <c r="R73" s="39" t="str">
        <f>IF([8]道具信息!R73="","",[8]道具信息!R73)</f>
        <v/>
      </c>
      <c r="S73" s="39" t="str">
        <f>IF([8]道具信息!S73="","",[8]道具信息!S73)</f>
        <v/>
      </c>
      <c r="T73" s="39" t="str">
        <f>IF([8]道具信息!T73="","",[8]道具信息!T73)</f>
        <v/>
      </c>
      <c r="U73" s="39" t="str">
        <f>IF([8]道具信息!U73="","",[8]道具信息!U73)</f>
        <v/>
      </c>
      <c r="V73" s="39" t="str">
        <f>IF([8]道具信息!V73="","",[8]道具信息!V73)</f>
        <v/>
      </c>
      <c r="W73" s="39" t="str">
        <f>IF([8]道具信息!W73="","",[8]道具信息!W73)</f>
        <v/>
      </c>
      <c r="X73" s="39" t="str">
        <f>IF([8]道具信息!X73="","",[8]道具信息!X73)</f>
        <v/>
      </c>
      <c r="Y73" s="39" t="str">
        <f>IF([8]道具信息!Y73="","",[8]道具信息!Y73)</f>
        <v/>
      </c>
      <c r="Z73" s="39" t="str">
        <f>IF([8]道具信息!Z73="","",[8]道具信息!Z73)</f>
        <v/>
      </c>
    </row>
    <row r="74" spans="1:26" x14ac:dyDescent="0.15">
      <c r="A74" s="39" t="str">
        <f>IF([8]道具信息!A74="","",[8]道具信息!A74)</f>
        <v/>
      </c>
      <c r="B74" s="39" t="str">
        <f>IF([8]道具信息!B74="","",[8]道具信息!B74)</f>
        <v/>
      </c>
      <c r="C74" s="39" t="str">
        <f>IF([8]道具信息!C74="","",[8]道具信息!C74)</f>
        <v/>
      </c>
      <c r="D74" s="39" t="str">
        <f>IF([8]道具信息!D74="","",[8]道具信息!D74)</f>
        <v/>
      </c>
      <c r="E74" s="39" t="str">
        <f>IF([8]道具信息!E74="","",[8]道具信息!E74)</f>
        <v/>
      </c>
      <c r="F74" s="39" t="str">
        <f>IF([8]道具信息!F74="","",[8]道具信息!F74)</f>
        <v/>
      </c>
      <c r="G74" s="39" t="str">
        <f>IF([8]道具信息!G74="","",[8]道具信息!G74)</f>
        <v/>
      </c>
      <c r="H74" s="39" t="str">
        <f>IF([8]道具信息!H74="","",[8]道具信息!H74)</f>
        <v/>
      </c>
      <c r="I74" s="39" t="str">
        <f>IF([8]道具信息!I74="","",[8]道具信息!I74)</f>
        <v/>
      </c>
      <c r="J74" s="39" t="str">
        <f>IF([8]道具信息!J74="","",[8]道具信息!J74)</f>
        <v/>
      </c>
      <c r="K74" s="39" t="str">
        <f>IF([8]道具信息!K74="","",[8]道具信息!K74)</f>
        <v/>
      </c>
      <c r="L74" s="39" t="str">
        <f>IF([8]道具信息!L74="","",[8]道具信息!L74)</f>
        <v/>
      </c>
      <c r="M74" s="39" t="str">
        <f>IF([8]道具信息!M74="","",[8]道具信息!M74)</f>
        <v/>
      </c>
      <c r="N74" s="39" t="str">
        <f>IF([8]道具信息!N74="","",[8]道具信息!N74)</f>
        <v/>
      </c>
      <c r="O74" s="39" t="str">
        <f>IF([8]道具信息!O74="","",[8]道具信息!O74)</f>
        <v/>
      </c>
      <c r="P74" s="39" t="str">
        <f>IF([8]道具信息!P74="","",[8]道具信息!P74)</f>
        <v/>
      </c>
      <c r="Q74" s="39" t="str">
        <f>IF([8]道具信息!Q74="","",[8]道具信息!Q74)</f>
        <v/>
      </c>
      <c r="R74" s="39" t="str">
        <f>IF([8]道具信息!R74="","",[8]道具信息!R74)</f>
        <v/>
      </c>
      <c r="S74" s="39" t="str">
        <f>IF([8]道具信息!S74="","",[8]道具信息!S74)</f>
        <v/>
      </c>
      <c r="T74" s="39" t="str">
        <f>IF([8]道具信息!T74="","",[8]道具信息!T74)</f>
        <v/>
      </c>
      <c r="U74" s="39" t="str">
        <f>IF([8]道具信息!U74="","",[8]道具信息!U74)</f>
        <v/>
      </c>
      <c r="V74" s="39" t="str">
        <f>IF([8]道具信息!V74="","",[8]道具信息!V74)</f>
        <v/>
      </c>
      <c r="W74" s="39" t="str">
        <f>IF([8]道具信息!W74="","",[8]道具信息!W74)</f>
        <v/>
      </c>
      <c r="X74" s="39" t="str">
        <f>IF([8]道具信息!X74="","",[8]道具信息!X74)</f>
        <v/>
      </c>
      <c r="Y74" s="39" t="str">
        <f>IF([8]道具信息!Y74="","",[8]道具信息!Y74)</f>
        <v/>
      </c>
      <c r="Z74" s="39" t="str">
        <f>IF([8]道具信息!Z74="","",[8]道具信息!Z74)</f>
        <v/>
      </c>
    </row>
    <row r="75" spans="1:26" x14ac:dyDescent="0.15">
      <c r="A75" s="39" t="str">
        <f>IF([8]道具信息!A75="","",[8]道具信息!A75)</f>
        <v/>
      </c>
      <c r="B75" s="39" t="str">
        <f>IF([8]道具信息!B75="","",[8]道具信息!B75)</f>
        <v/>
      </c>
      <c r="C75" s="39" t="str">
        <f>IF([8]道具信息!C75="","",[8]道具信息!C75)</f>
        <v/>
      </c>
      <c r="D75" s="39" t="str">
        <f>IF([8]道具信息!D75="","",[8]道具信息!D75)</f>
        <v>将军印</v>
      </c>
      <c r="E75" s="39">
        <f>IF([8]道具信息!E75="","",[8]道具信息!E75)</f>
        <v>1000</v>
      </c>
      <c r="F75" s="39">
        <f>IF([8]道具信息!F75="","",[8]道具信息!F75)</f>
        <v>1</v>
      </c>
      <c r="G75" s="39">
        <f>IF([8]道具信息!G75="","",[8]道具信息!G75)</f>
        <v>1</v>
      </c>
      <c r="H75" s="39">
        <f>IF([8]道具信息!H75="","",[8]道具信息!H75)</f>
        <v>1</v>
      </c>
      <c r="I75" s="39">
        <f>IF([8]道具信息!I75="","",[8]道具信息!I75)</f>
        <v>1000</v>
      </c>
      <c r="J75" s="39">
        <f>IF([8]道具信息!J75="","",[8]道具信息!J75)</f>
        <v>1000</v>
      </c>
      <c r="K75" s="39">
        <f>IF([8]道具信息!K75="","",[8]道具信息!K75)</f>
        <v>1000</v>
      </c>
      <c r="L75" s="39" t="str">
        <f>IF([8]道具信息!L75="","",[8]道具信息!L75)</f>
        <v/>
      </c>
      <c r="M75" s="39" t="str">
        <f>IF([8]道具信息!M75="","",[8]道具信息!M75)</f>
        <v/>
      </c>
      <c r="N75" s="39" t="str">
        <f>IF([8]道具信息!N75="","",[8]道具信息!N75)</f>
        <v/>
      </c>
      <c r="O75" s="39" t="str">
        <f>IF([8]道具信息!O75="","",[8]道具信息!O75)</f>
        <v/>
      </c>
      <c r="P75" s="39" t="str">
        <f>IF([8]道具信息!P75="","",[8]道具信息!P75)</f>
        <v/>
      </c>
      <c r="Q75" s="39" t="str">
        <f>IF([8]道具信息!Q75="","",[8]道具信息!Q75)</f>
        <v/>
      </c>
      <c r="R75" s="39" t="str">
        <f>IF([8]道具信息!R75="","",[8]道具信息!R75)</f>
        <v/>
      </c>
      <c r="S75" s="39" t="str">
        <f>IF([8]道具信息!S75="","",[8]道具信息!S75)</f>
        <v/>
      </c>
      <c r="T75" s="39" t="str">
        <f>IF([8]道具信息!T75="","",[8]道具信息!T75)</f>
        <v/>
      </c>
      <c r="U75" s="39" t="str">
        <f>IF([8]道具信息!U75="","",[8]道具信息!U75)</f>
        <v/>
      </c>
      <c r="V75" s="39" t="str">
        <f>IF([8]道具信息!V75="","",[8]道具信息!V75)</f>
        <v/>
      </c>
      <c r="W75" s="39" t="str">
        <f>IF([8]道具信息!W75="","",[8]道具信息!W75)</f>
        <v/>
      </c>
      <c r="X75" s="39" t="str">
        <f>IF([8]道具信息!X75="","",[8]道具信息!X75)</f>
        <v/>
      </c>
      <c r="Y75" s="39" t="str">
        <f>IF([8]道具信息!Y75="","",[8]道具信息!Y75)</f>
        <v/>
      </c>
      <c r="Z75" s="39" t="str">
        <f>IF([8]道具信息!Z75="","",[8]道具信息!Z75)</f>
        <v/>
      </c>
    </row>
    <row r="76" spans="1:26" x14ac:dyDescent="0.15">
      <c r="A76" s="39" t="str">
        <f>IF([8]道具信息!A76="","",[8]道具信息!A76)</f>
        <v/>
      </c>
      <c r="B76" s="39" t="str">
        <f>IF([8]道具信息!B76="","",[8]道具信息!B76)</f>
        <v/>
      </c>
      <c r="C76" s="39" t="str">
        <f>IF([8]道具信息!C76="","",[8]道具信息!C76)</f>
        <v/>
      </c>
      <c r="D76" s="39" t="str">
        <f>IF([8]道具信息!D76="","",[8]道具信息!D76)</f>
        <v>上将印</v>
      </c>
      <c r="E76" s="39">
        <f>IF([8]道具信息!E76="","",[8]道具信息!E76)</f>
        <v>2000</v>
      </c>
      <c r="F76" s="39">
        <f>IF([8]道具信息!F76="","",[8]道具信息!F76)</f>
        <v>1</v>
      </c>
      <c r="G76" s="39">
        <f>IF([8]道具信息!G76="","",[8]道具信息!G76)</f>
        <v>1</v>
      </c>
      <c r="H76" s="39">
        <f>IF([8]道具信息!H76="","",[8]道具信息!H76)</f>
        <v>1</v>
      </c>
      <c r="I76" s="39">
        <f>IF([8]道具信息!I76="","",[8]道具信息!I76)</f>
        <v>2000</v>
      </c>
      <c r="J76" s="39">
        <f>IF([8]道具信息!J76="","",[8]道具信息!J76)</f>
        <v>2000</v>
      </c>
      <c r="K76" s="39">
        <f>IF([8]道具信息!K76="","",[8]道具信息!K76)</f>
        <v>2000</v>
      </c>
      <c r="L76" s="39" t="str">
        <f>IF([8]道具信息!L76="","",[8]道具信息!L76)</f>
        <v/>
      </c>
      <c r="M76" s="39" t="str">
        <f>IF([8]道具信息!M76="","",[8]道具信息!M76)</f>
        <v/>
      </c>
      <c r="N76" s="39" t="str">
        <f>IF([8]道具信息!N76="","",[8]道具信息!N76)</f>
        <v/>
      </c>
      <c r="O76" s="39" t="str">
        <f>IF([8]道具信息!O76="","",[8]道具信息!O76)</f>
        <v/>
      </c>
      <c r="P76" s="39" t="str">
        <f>IF([8]道具信息!P76="","",[8]道具信息!P76)</f>
        <v/>
      </c>
      <c r="Q76" s="39" t="str">
        <f>IF([8]道具信息!Q76="","",[8]道具信息!Q76)</f>
        <v/>
      </c>
      <c r="R76" s="39" t="str">
        <f>IF([8]道具信息!R76="","",[8]道具信息!R76)</f>
        <v/>
      </c>
      <c r="S76" s="39" t="str">
        <f>IF([8]道具信息!S76="","",[8]道具信息!S76)</f>
        <v/>
      </c>
      <c r="T76" s="39" t="str">
        <f>IF([8]道具信息!T76="","",[8]道具信息!T76)</f>
        <v/>
      </c>
      <c r="U76" s="39" t="str">
        <f>IF([8]道具信息!U76="","",[8]道具信息!U76)</f>
        <v/>
      </c>
      <c r="V76" s="39" t="str">
        <f>IF([8]道具信息!V76="","",[8]道具信息!V76)</f>
        <v/>
      </c>
      <c r="W76" s="39" t="str">
        <f>IF([8]道具信息!W76="","",[8]道具信息!W76)</f>
        <v/>
      </c>
      <c r="X76" s="39" t="str">
        <f>IF([8]道具信息!X76="","",[8]道具信息!X76)</f>
        <v/>
      </c>
      <c r="Y76" s="39" t="str">
        <f>IF([8]道具信息!Y76="","",[8]道具信息!Y76)</f>
        <v/>
      </c>
      <c r="Z76" s="39" t="str">
        <f>IF([8]道具信息!Z76="","",[8]道具信息!Z76)</f>
        <v/>
      </c>
    </row>
    <row r="77" spans="1:26" x14ac:dyDescent="0.15">
      <c r="A77" s="39" t="str">
        <f>IF([8]道具信息!A77="","",[8]道具信息!A77)</f>
        <v/>
      </c>
      <c r="B77" s="39" t="str">
        <f>IF([8]道具信息!B77="","",[8]道具信息!B77)</f>
        <v/>
      </c>
      <c r="C77" s="39" t="str">
        <f>IF([8]道具信息!C77="","",[8]道具信息!C77)</f>
        <v/>
      </c>
      <c r="D77" s="39" t="str">
        <f>IF([8]道具信息!D77="","",[8]道具信息!D77)</f>
        <v>统帅印</v>
      </c>
      <c r="E77" s="39">
        <f>IF([8]道具信息!E77="","",[8]道具信息!E77)</f>
        <v>8000</v>
      </c>
      <c r="F77" s="39">
        <f>IF([8]道具信息!F77="","",[8]道具信息!F77)</f>
        <v>1</v>
      </c>
      <c r="G77" s="39">
        <f>IF([8]道具信息!G77="","",[8]道具信息!G77)</f>
        <v>1</v>
      </c>
      <c r="H77" s="39">
        <f>IF([8]道具信息!H77="","",[8]道具信息!H77)</f>
        <v>1</v>
      </c>
      <c r="I77" s="39">
        <f>IF([8]道具信息!I77="","",[8]道具信息!I77)</f>
        <v>8000</v>
      </c>
      <c r="J77" s="39">
        <f>IF([8]道具信息!J77="","",[8]道具信息!J77)</f>
        <v>8000</v>
      </c>
      <c r="K77" s="39">
        <f>IF([8]道具信息!K77="","",[8]道具信息!K77)</f>
        <v>8000</v>
      </c>
      <c r="L77" s="39" t="str">
        <f>IF([8]道具信息!L77="","",[8]道具信息!L77)</f>
        <v/>
      </c>
      <c r="M77" s="39" t="str">
        <f>IF([8]道具信息!M77="","",[8]道具信息!M77)</f>
        <v/>
      </c>
      <c r="N77" s="39" t="str">
        <f>IF([8]道具信息!N77="","",[8]道具信息!N77)</f>
        <v/>
      </c>
      <c r="O77" s="39" t="str">
        <f>IF([8]道具信息!O77="","",[8]道具信息!O77)</f>
        <v/>
      </c>
      <c r="P77" s="39" t="str">
        <f>IF([8]道具信息!P77="","",[8]道具信息!P77)</f>
        <v/>
      </c>
      <c r="Q77" s="39" t="str">
        <f>IF([8]道具信息!Q77="","",[8]道具信息!Q77)</f>
        <v/>
      </c>
      <c r="R77" s="39" t="str">
        <f>IF([8]道具信息!R77="","",[8]道具信息!R77)</f>
        <v/>
      </c>
      <c r="S77" s="39" t="str">
        <f>IF([8]道具信息!S77="","",[8]道具信息!S77)</f>
        <v/>
      </c>
      <c r="T77" s="39" t="str">
        <f>IF([8]道具信息!T77="","",[8]道具信息!T77)</f>
        <v/>
      </c>
      <c r="U77" s="39" t="str">
        <f>IF([8]道具信息!U77="","",[8]道具信息!U77)</f>
        <v/>
      </c>
      <c r="V77" s="39" t="str">
        <f>IF([8]道具信息!V77="","",[8]道具信息!V77)</f>
        <v/>
      </c>
      <c r="W77" s="39" t="str">
        <f>IF([8]道具信息!W77="","",[8]道具信息!W77)</f>
        <v/>
      </c>
      <c r="X77" s="39" t="str">
        <f>IF([8]道具信息!X77="","",[8]道具信息!X77)</f>
        <v/>
      </c>
      <c r="Y77" s="39" t="str">
        <f>IF([8]道具信息!Y77="","",[8]道具信息!Y77)</f>
        <v/>
      </c>
      <c r="Z77" s="39" t="str">
        <f>IF([8]道具信息!Z77="","",[8]道具信息!Z77)</f>
        <v/>
      </c>
    </row>
    <row r="78" spans="1:26" x14ac:dyDescent="0.15">
      <c r="A78" s="39" t="str">
        <f>IF([8]道具信息!A78="","",[8]道具信息!A78)</f>
        <v/>
      </c>
      <c r="B78" s="39" t="str">
        <f>IF([8]道具信息!B78="","",[8]道具信息!B78)</f>
        <v/>
      </c>
      <c r="C78" s="39" t="str">
        <f>IF([8]道具信息!C78="","",[8]道具信息!C78)</f>
        <v/>
      </c>
      <c r="D78" s="39" t="str">
        <f>IF([8]道具信息!D78="","",[8]道具信息!D78)</f>
        <v>将军印碎片</v>
      </c>
      <c r="E78" s="39">
        <f>IF([8]道具信息!E78="","",[8]道具信息!E78)</f>
        <v>33.333333333333336</v>
      </c>
      <c r="F78" s="39">
        <f>IF([8]道具信息!F78="","",[8]道具信息!F78)</f>
        <v>1</v>
      </c>
      <c r="G78" s="39">
        <f>IF([8]道具信息!G78="","",[8]道具信息!G78)</f>
        <v>1</v>
      </c>
      <c r="H78" s="39">
        <f>IF([8]道具信息!H78="","",[8]道具信息!H78)</f>
        <v>1</v>
      </c>
      <c r="I78" s="39">
        <f>IF([8]道具信息!I78="","",[8]道具信息!I78)</f>
        <v>33.333333333333336</v>
      </c>
      <c r="J78" s="39">
        <f>IF([8]道具信息!J78="","",[8]道具信息!J78)</f>
        <v>33.333333333333336</v>
      </c>
      <c r="K78" s="39">
        <f>IF([8]道具信息!K78="","",[8]道具信息!K78)</f>
        <v>33.333333333333336</v>
      </c>
      <c r="L78" s="39" t="str">
        <f>IF([8]道具信息!L78="","",[8]道具信息!L78)</f>
        <v>凑齐30个碎片可以合成1个将军印，可用于解锁武将的第四个特性</v>
      </c>
      <c r="M78" s="39" t="str">
        <f>IF([8]道具信息!M78="","",[8]道具信息!M78)</f>
        <v/>
      </c>
      <c r="N78" s="39" t="str">
        <f>IF([8]道具信息!N78="","",[8]道具信息!N78)</f>
        <v/>
      </c>
      <c r="O78" s="39" t="str">
        <f>IF([8]道具信息!O78="","",[8]道具信息!O78)</f>
        <v/>
      </c>
      <c r="P78" s="39" t="str">
        <f>IF([8]道具信息!P78="","",[8]道具信息!P78)</f>
        <v/>
      </c>
      <c r="Q78" s="39" t="str">
        <f>IF([8]道具信息!Q78="","",[8]道具信息!Q78)</f>
        <v/>
      </c>
      <c r="R78" s="39" t="str">
        <f>IF([8]道具信息!R78="","",[8]道具信息!R78)</f>
        <v/>
      </c>
      <c r="S78" s="39" t="str">
        <f>IF([8]道具信息!S78="","",[8]道具信息!S78)</f>
        <v/>
      </c>
      <c r="T78" s="39" t="str">
        <f>IF([8]道具信息!T78="","",[8]道具信息!T78)</f>
        <v/>
      </c>
      <c r="U78" s="39" t="str">
        <f>IF([8]道具信息!U78="","",[8]道具信息!U78)</f>
        <v/>
      </c>
      <c r="V78" s="39" t="str">
        <f>IF([8]道具信息!V78="","",[8]道具信息!V78)</f>
        <v/>
      </c>
      <c r="W78" s="39" t="str">
        <f>IF([8]道具信息!W78="","",[8]道具信息!W78)</f>
        <v/>
      </c>
      <c r="X78" s="39" t="str">
        <f>IF([8]道具信息!X78="","",[8]道具信息!X78)</f>
        <v/>
      </c>
      <c r="Y78" s="39" t="str">
        <f>IF([8]道具信息!Y78="","",[8]道具信息!Y78)</f>
        <v/>
      </c>
      <c r="Z78" s="39" t="str">
        <f>IF([8]道具信息!Z78="","",[8]道具信息!Z78)</f>
        <v/>
      </c>
    </row>
    <row r="79" spans="1:26" x14ac:dyDescent="0.15">
      <c r="A79" s="39" t="str">
        <f>IF([8]道具信息!A79="","",[8]道具信息!A79)</f>
        <v/>
      </c>
      <c r="B79" s="39" t="str">
        <f>IF([8]道具信息!B79="","",[8]道具信息!B79)</f>
        <v/>
      </c>
      <c r="C79" s="39" t="str">
        <f>IF([8]道具信息!C79="","",[8]道具信息!C79)</f>
        <v/>
      </c>
      <c r="D79" s="39" t="str">
        <f>IF([8]道具信息!D79="","",[8]道具信息!D79)</f>
        <v>上将印碎片</v>
      </c>
      <c r="E79" s="39">
        <f>IF([8]道具信息!E79="","",[8]道具信息!E79)</f>
        <v>66.666666666666671</v>
      </c>
      <c r="F79" s="39">
        <f>IF([8]道具信息!F79="","",[8]道具信息!F79)</f>
        <v>1</v>
      </c>
      <c r="G79" s="39">
        <f>IF([8]道具信息!G79="","",[8]道具信息!G79)</f>
        <v>1</v>
      </c>
      <c r="H79" s="39">
        <f>IF([8]道具信息!H79="","",[8]道具信息!H79)</f>
        <v>1</v>
      </c>
      <c r="I79" s="39">
        <f>IF([8]道具信息!I79="","",[8]道具信息!I79)</f>
        <v>66.666666666666671</v>
      </c>
      <c r="J79" s="39">
        <f>IF([8]道具信息!J79="","",[8]道具信息!J79)</f>
        <v>66.666666666666671</v>
      </c>
      <c r="K79" s="39">
        <f>IF([8]道具信息!K79="","",[8]道具信息!K79)</f>
        <v>66.666666666666671</v>
      </c>
      <c r="L79" s="39" t="str">
        <f>IF([8]道具信息!L79="","",[8]道具信息!L79)</f>
        <v>凑齐30个碎片可以合成1个上将印，可用于升级武将的第四个特性</v>
      </c>
      <c r="M79" s="39" t="str">
        <f>IF([8]道具信息!M79="","",[8]道具信息!M79)</f>
        <v/>
      </c>
      <c r="N79" s="39" t="str">
        <f>IF([8]道具信息!N79="","",[8]道具信息!N79)</f>
        <v/>
      </c>
      <c r="O79" s="39" t="str">
        <f>IF([8]道具信息!O79="","",[8]道具信息!O79)</f>
        <v/>
      </c>
      <c r="P79" s="39" t="str">
        <f>IF([8]道具信息!P79="","",[8]道具信息!P79)</f>
        <v/>
      </c>
      <c r="Q79" s="39" t="str">
        <f>IF([8]道具信息!Q79="","",[8]道具信息!Q79)</f>
        <v/>
      </c>
      <c r="R79" s="39" t="str">
        <f>IF([8]道具信息!R79="","",[8]道具信息!R79)</f>
        <v/>
      </c>
      <c r="S79" s="39" t="str">
        <f>IF([8]道具信息!S79="","",[8]道具信息!S79)</f>
        <v/>
      </c>
      <c r="T79" s="39" t="str">
        <f>IF([8]道具信息!T79="","",[8]道具信息!T79)</f>
        <v/>
      </c>
      <c r="U79" s="39" t="str">
        <f>IF([8]道具信息!U79="","",[8]道具信息!U79)</f>
        <v/>
      </c>
      <c r="V79" s="39" t="str">
        <f>IF([8]道具信息!V79="","",[8]道具信息!V79)</f>
        <v/>
      </c>
      <c r="W79" s="39" t="str">
        <f>IF([8]道具信息!W79="","",[8]道具信息!W79)</f>
        <v/>
      </c>
      <c r="X79" s="39" t="str">
        <f>IF([8]道具信息!X79="","",[8]道具信息!X79)</f>
        <v/>
      </c>
      <c r="Y79" s="39" t="str">
        <f>IF([8]道具信息!Y79="","",[8]道具信息!Y79)</f>
        <v/>
      </c>
      <c r="Z79" s="39" t="str">
        <f>IF([8]道具信息!Z79="","",[8]道具信息!Z79)</f>
        <v/>
      </c>
    </row>
    <row r="80" spans="1:26" x14ac:dyDescent="0.15">
      <c r="A80" s="39" t="str">
        <f>IF([8]道具信息!A80="","",[8]道具信息!A80)</f>
        <v/>
      </c>
      <c r="B80" s="39" t="str">
        <f>IF([8]道具信息!B80="","",[8]道具信息!B80)</f>
        <v/>
      </c>
      <c r="C80" s="39" t="str">
        <f>IF([8]道具信息!C80="","",[8]道具信息!C80)</f>
        <v/>
      </c>
      <c r="D80" s="39" t="str">
        <f>IF([8]道具信息!D80="","",[8]道具信息!D80)</f>
        <v>统帅印碎片</v>
      </c>
      <c r="E80" s="39">
        <f>IF([8]道具信息!E80="","",[8]道具信息!E80)</f>
        <v>266.66666666666669</v>
      </c>
      <c r="F80" s="39">
        <f>IF([8]道具信息!F80="","",[8]道具信息!F80)</f>
        <v>1</v>
      </c>
      <c r="G80" s="39">
        <f>IF([8]道具信息!G80="","",[8]道具信息!G80)</f>
        <v>1</v>
      </c>
      <c r="H80" s="39">
        <f>IF([8]道具信息!H80="","",[8]道具信息!H80)</f>
        <v>1</v>
      </c>
      <c r="I80" s="39">
        <f>IF([8]道具信息!I80="","",[8]道具信息!I80)</f>
        <v>266.66666666666669</v>
      </c>
      <c r="J80" s="39">
        <f>IF([8]道具信息!J80="","",[8]道具信息!J80)</f>
        <v>266.66666666666669</v>
      </c>
      <c r="K80" s="39">
        <f>IF([8]道具信息!K80="","",[8]道具信息!K80)</f>
        <v>266.66666666666669</v>
      </c>
      <c r="L80" s="39" t="str">
        <f>IF([8]道具信息!L80="","",[8]道具信息!L80)</f>
        <v>凑齐30个碎片可以合成1个统帅印，可用于升级武将的第四个特性</v>
      </c>
      <c r="M80" s="39" t="str">
        <f>IF([8]道具信息!M80="","",[8]道具信息!M80)</f>
        <v/>
      </c>
      <c r="N80" s="39" t="str">
        <f>IF([8]道具信息!N80="","",[8]道具信息!N80)</f>
        <v/>
      </c>
      <c r="O80" s="39" t="str">
        <f>IF([8]道具信息!O80="","",[8]道具信息!O80)</f>
        <v/>
      </c>
      <c r="P80" s="39" t="str">
        <f>IF([8]道具信息!P80="","",[8]道具信息!P80)</f>
        <v/>
      </c>
      <c r="Q80" s="39" t="str">
        <f>IF([8]道具信息!Q80="","",[8]道具信息!Q80)</f>
        <v/>
      </c>
      <c r="R80" s="39" t="str">
        <f>IF([8]道具信息!R80="","",[8]道具信息!R80)</f>
        <v/>
      </c>
      <c r="S80" s="39" t="str">
        <f>IF([8]道具信息!S80="","",[8]道具信息!S80)</f>
        <v/>
      </c>
      <c r="T80" s="39" t="str">
        <f>IF([8]道具信息!T80="","",[8]道具信息!T80)</f>
        <v/>
      </c>
      <c r="U80" s="39" t="str">
        <f>IF([8]道具信息!U80="","",[8]道具信息!U80)</f>
        <v/>
      </c>
      <c r="V80" s="39" t="str">
        <f>IF([8]道具信息!V80="","",[8]道具信息!V80)</f>
        <v/>
      </c>
      <c r="W80" s="39" t="str">
        <f>IF([8]道具信息!W80="","",[8]道具信息!W80)</f>
        <v/>
      </c>
      <c r="X80" s="39" t="str">
        <f>IF([8]道具信息!X80="","",[8]道具信息!X80)</f>
        <v/>
      </c>
      <c r="Y80" s="39" t="str">
        <f>IF([8]道具信息!Y80="","",[8]道具信息!Y80)</f>
        <v/>
      </c>
      <c r="Z80" s="39" t="str">
        <f>IF([8]道具信息!Z80="","",[8]道具信息!Z80)</f>
        <v/>
      </c>
    </row>
    <row r="81" spans="1:26" x14ac:dyDescent="0.15">
      <c r="A81" s="39" t="str">
        <f>IF([8]道具信息!A81="","",[8]道具信息!A81)</f>
        <v/>
      </c>
      <c r="B81" s="39" t="str">
        <f>IF([8]道具信息!B81="","",[8]道具信息!B81)</f>
        <v/>
      </c>
      <c r="C81" s="39" t="str">
        <f>IF([8]道具信息!C81="","",[8]道具信息!C81)</f>
        <v/>
      </c>
      <c r="D81" s="39" t="str">
        <f>IF([8]道具信息!D81="","",[8]道具信息!D81)</f>
        <v/>
      </c>
      <c r="E81" s="39" t="str">
        <f>IF([8]道具信息!E81="","",[8]道具信息!E81)</f>
        <v/>
      </c>
      <c r="F81" s="39" t="str">
        <f>IF([8]道具信息!F81="","",[8]道具信息!F81)</f>
        <v/>
      </c>
      <c r="G81" s="39" t="str">
        <f>IF([8]道具信息!G81="","",[8]道具信息!G81)</f>
        <v/>
      </c>
      <c r="H81" s="39" t="str">
        <f>IF([8]道具信息!H81="","",[8]道具信息!H81)</f>
        <v/>
      </c>
      <c r="I81" s="39" t="str">
        <f>IF([8]道具信息!I81="","",[8]道具信息!I81)</f>
        <v/>
      </c>
      <c r="J81" s="39" t="str">
        <f>IF([8]道具信息!J81="","",[8]道具信息!J81)</f>
        <v/>
      </c>
      <c r="K81" s="39" t="str">
        <f>IF([8]道具信息!K81="","",[8]道具信息!K81)</f>
        <v/>
      </c>
      <c r="L81" s="39" t="str">
        <f>IF([8]道具信息!L81="","",[8]道具信息!L81)</f>
        <v/>
      </c>
      <c r="M81" s="39" t="str">
        <f>IF([8]道具信息!M81="","",[8]道具信息!M81)</f>
        <v/>
      </c>
      <c r="N81" s="39" t="str">
        <f>IF([8]道具信息!N81="","",[8]道具信息!N81)</f>
        <v/>
      </c>
      <c r="O81" s="39" t="str">
        <f>IF([8]道具信息!O81="","",[8]道具信息!O81)</f>
        <v/>
      </c>
      <c r="P81" s="39" t="str">
        <f>IF([8]道具信息!P81="","",[8]道具信息!P81)</f>
        <v/>
      </c>
      <c r="Q81" s="39" t="str">
        <f>IF([8]道具信息!Q81="","",[8]道具信息!Q81)</f>
        <v/>
      </c>
      <c r="R81" s="39" t="str">
        <f>IF([8]道具信息!R81="","",[8]道具信息!R81)</f>
        <v/>
      </c>
      <c r="S81" s="39" t="str">
        <f>IF([8]道具信息!S81="","",[8]道具信息!S81)</f>
        <v/>
      </c>
      <c r="T81" s="39" t="str">
        <f>IF([8]道具信息!T81="","",[8]道具信息!T81)</f>
        <v/>
      </c>
      <c r="U81" s="39" t="str">
        <f>IF([8]道具信息!U81="","",[8]道具信息!U81)</f>
        <v/>
      </c>
      <c r="V81" s="39" t="str">
        <f>IF([8]道具信息!V81="","",[8]道具信息!V81)</f>
        <v/>
      </c>
      <c r="W81" s="39" t="str">
        <f>IF([8]道具信息!W81="","",[8]道具信息!W81)</f>
        <v/>
      </c>
      <c r="X81" s="39" t="str">
        <f>IF([8]道具信息!X81="","",[8]道具信息!X81)</f>
        <v/>
      </c>
      <c r="Y81" s="39" t="str">
        <f>IF([8]道具信息!Y81="","",[8]道具信息!Y81)</f>
        <v/>
      </c>
      <c r="Z81" s="39" t="str">
        <f>IF([8]道具信息!Z81="","",[8]道具信息!Z81)</f>
        <v/>
      </c>
    </row>
    <row r="82" spans="1:26" x14ac:dyDescent="0.15">
      <c r="A82" s="39" t="str">
        <f>IF([8]道具信息!A82="","",[8]道具信息!A82)</f>
        <v/>
      </c>
      <c r="B82" s="39" t="str">
        <f>IF([8]道具信息!B82="","",[8]道具信息!B82)</f>
        <v/>
      </c>
      <c r="C82" s="39" t="str">
        <f>IF([8]道具信息!C82="","",[8]道具信息!C82)</f>
        <v/>
      </c>
      <c r="D82" s="39" t="str">
        <f>IF([8]道具信息!D82="","",[8]道具信息!D82)</f>
        <v>高级免战牌</v>
      </c>
      <c r="E82" s="39">
        <f>IF([8]道具信息!E82="","",[8]道具信息!E82)</f>
        <v>400</v>
      </c>
      <c r="F82" s="39">
        <f>IF([8]道具信息!F82="","",[8]道具信息!F82)</f>
        <v>1</v>
      </c>
      <c r="G82" s="39">
        <f>IF([8]道具信息!G82="","",[8]道具信息!G82)</f>
        <v>1</v>
      </c>
      <c r="H82" s="39">
        <f>IF([8]道具信息!H82="","",[8]道具信息!H82)</f>
        <v>1</v>
      </c>
      <c r="I82" s="39">
        <f>IF([8]道具信息!I82="","",[8]道具信息!I82)</f>
        <v>400</v>
      </c>
      <c r="J82" s="39">
        <f>IF([8]道具信息!J82="","",[8]道具信息!J82)</f>
        <v>400</v>
      </c>
      <c r="K82" s="39">
        <f>IF([8]道具信息!K82="","",[8]道具信息!K82)</f>
        <v>400</v>
      </c>
      <c r="L82" s="39" t="str">
        <f>IF([8]道具信息!L82="","",[8]道具信息!L82)</f>
        <v/>
      </c>
      <c r="M82" s="39" t="str">
        <f>IF([8]道具信息!M82="","",[8]道具信息!M82)</f>
        <v/>
      </c>
      <c r="N82" s="39" t="str">
        <f>IF([8]道具信息!N82="","",[8]道具信息!N82)</f>
        <v/>
      </c>
      <c r="O82" s="39" t="str">
        <f>IF([8]道具信息!O82="","",[8]道具信息!O82)</f>
        <v/>
      </c>
      <c r="P82" s="39" t="str">
        <f>IF([8]道具信息!P82="","",[8]道具信息!P82)</f>
        <v/>
      </c>
      <c r="Q82" s="39" t="str">
        <f>IF([8]道具信息!Q82="","",[8]道具信息!Q82)</f>
        <v/>
      </c>
      <c r="R82" s="39" t="str">
        <f>IF([8]道具信息!R82="","",[8]道具信息!R82)</f>
        <v/>
      </c>
      <c r="S82" s="39" t="str">
        <f>IF([8]道具信息!S82="","",[8]道具信息!S82)</f>
        <v/>
      </c>
      <c r="T82" s="39" t="str">
        <f>IF([8]道具信息!T82="","",[8]道具信息!T82)</f>
        <v/>
      </c>
      <c r="U82" s="39" t="str">
        <f>IF([8]道具信息!U82="","",[8]道具信息!U82)</f>
        <v/>
      </c>
      <c r="V82" s="39" t="str">
        <f>IF([8]道具信息!V82="","",[8]道具信息!V82)</f>
        <v/>
      </c>
      <c r="W82" s="39" t="str">
        <f>IF([8]道具信息!W82="","",[8]道具信息!W82)</f>
        <v/>
      </c>
      <c r="X82" s="39" t="str">
        <f>IF([8]道具信息!X82="","",[8]道具信息!X82)</f>
        <v/>
      </c>
      <c r="Y82" s="39" t="str">
        <f>IF([8]道具信息!Y82="","",[8]道具信息!Y82)</f>
        <v/>
      </c>
      <c r="Z82" s="39" t="str">
        <f>IF([8]道具信息!Z82="","",[8]道具信息!Z82)</f>
        <v/>
      </c>
    </row>
    <row r="83" spans="1:26" x14ac:dyDescent="0.15">
      <c r="A83" s="39" t="str">
        <f>IF([8]道具信息!A83="","",[8]道具信息!A83)</f>
        <v/>
      </c>
      <c r="B83" s="39" t="str">
        <f>IF([8]道具信息!B83="","",[8]道具信息!B83)</f>
        <v/>
      </c>
      <c r="C83" s="39" t="str">
        <f>IF([8]道具信息!C83="","",[8]道具信息!C83)</f>
        <v/>
      </c>
      <c r="D83" s="39" t="str">
        <f>IF([8]道具信息!D83="","",[8]道具信息!D83)</f>
        <v>特级免战牌</v>
      </c>
      <c r="E83" s="39">
        <f>IF([8]道具信息!E83="","",[8]道具信息!E83)</f>
        <v>1500</v>
      </c>
      <c r="F83" s="39">
        <f>IF([8]道具信息!F83="","",[8]道具信息!F83)</f>
        <v>1</v>
      </c>
      <c r="G83" s="39">
        <f>IF([8]道具信息!G83="","",[8]道具信息!G83)</f>
        <v>1</v>
      </c>
      <c r="H83" s="39">
        <f>IF([8]道具信息!H83="","",[8]道具信息!H83)</f>
        <v>1</v>
      </c>
      <c r="I83" s="39">
        <f>IF([8]道具信息!I83="","",[8]道具信息!I83)</f>
        <v>1500</v>
      </c>
      <c r="J83" s="39">
        <f>IF([8]道具信息!J83="","",[8]道具信息!J83)</f>
        <v>1500</v>
      </c>
      <c r="K83" s="39">
        <f>IF([8]道具信息!K83="","",[8]道具信息!K83)</f>
        <v>1500</v>
      </c>
      <c r="L83" s="39" t="str">
        <f>IF([8]道具信息!L83="","",[8]道具信息!L83)</f>
        <v/>
      </c>
      <c r="M83" s="39" t="str">
        <f>IF([8]道具信息!M83="","",[8]道具信息!M83)</f>
        <v/>
      </c>
      <c r="N83" s="39" t="str">
        <f>IF([8]道具信息!N83="","",[8]道具信息!N83)</f>
        <v/>
      </c>
      <c r="O83" s="39" t="str">
        <f>IF([8]道具信息!O83="","",[8]道具信息!O83)</f>
        <v/>
      </c>
      <c r="P83" s="39" t="str">
        <f>IF([8]道具信息!P83="","",[8]道具信息!P83)</f>
        <v/>
      </c>
      <c r="Q83" s="39" t="str">
        <f>IF([8]道具信息!Q83="","",[8]道具信息!Q83)</f>
        <v/>
      </c>
      <c r="R83" s="39" t="str">
        <f>IF([8]道具信息!R83="","",[8]道具信息!R83)</f>
        <v/>
      </c>
      <c r="S83" s="39" t="str">
        <f>IF([8]道具信息!S83="","",[8]道具信息!S83)</f>
        <v/>
      </c>
      <c r="T83" s="39" t="str">
        <f>IF([8]道具信息!T83="","",[8]道具信息!T83)</f>
        <v/>
      </c>
      <c r="U83" s="39" t="str">
        <f>IF([8]道具信息!U83="","",[8]道具信息!U83)</f>
        <v/>
      </c>
      <c r="V83" s="39" t="str">
        <f>IF([8]道具信息!V83="","",[8]道具信息!V83)</f>
        <v/>
      </c>
      <c r="W83" s="39" t="str">
        <f>IF([8]道具信息!W83="","",[8]道具信息!W83)</f>
        <v/>
      </c>
      <c r="X83" s="39" t="str">
        <f>IF([8]道具信息!X83="","",[8]道具信息!X83)</f>
        <v/>
      </c>
      <c r="Y83" s="39" t="str">
        <f>IF([8]道具信息!Y83="","",[8]道具信息!Y83)</f>
        <v/>
      </c>
      <c r="Z83" s="39" t="str">
        <f>IF([8]道具信息!Z83="","",[8]道具信息!Z83)</f>
        <v/>
      </c>
    </row>
    <row r="84" spans="1:26" x14ac:dyDescent="0.15">
      <c r="A84" s="39" t="str">
        <f>IF([8]道具信息!A84="","",[8]道具信息!A84)</f>
        <v/>
      </c>
      <c r="B84" s="39" t="str">
        <f>IF([8]道具信息!B84="","",[8]道具信息!B84)</f>
        <v/>
      </c>
      <c r="C84" s="39" t="str">
        <f>IF([8]道具信息!C84="","",[8]道具信息!C84)</f>
        <v/>
      </c>
      <c r="D84" s="39" t="str">
        <f>IF([8]道具信息!D84="","",[8]道具信息!D84)</f>
        <v/>
      </c>
      <c r="E84" s="39" t="str">
        <f>IF([8]道具信息!E84="","",[8]道具信息!E84)</f>
        <v/>
      </c>
      <c r="F84" s="39" t="str">
        <f>IF([8]道具信息!F84="","",[8]道具信息!F84)</f>
        <v/>
      </c>
      <c r="G84" s="39" t="str">
        <f>IF([8]道具信息!G84="","",[8]道具信息!G84)</f>
        <v/>
      </c>
      <c r="H84" s="39" t="str">
        <f>IF([8]道具信息!H84="","",[8]道具信息!H84)</f>
        <v/>
      </c>
      <c r="I84" s="39" t="str">
        <f>IF([8]道具信息!I84="","",[8]道具信息!I84)</f>
        <v/>
      </c>
      <c r="J84" s="39" t="str">
        <f>IF([8]道具信息!J84="","",[8]道具信息!J84)</f>
        <v/>
      </c>
      <c r="K84" s="39" t="str">
        <f>IF([8]道具信息!K84="","",[8]道具信息!K84)</f>
        <v/>
      </c>
      <c r="L84" s="39" t="str">
        <f>IF([8]道具信息!L84="","",[8]道具信息!L84)</f>
        <v/>
      </c>
      <c r="M84" s="39" t="str">
        <f>IF([8]道具信息!M84="","",[8]道具信息!M84)</f>
        <v/>
      </c>
      <c r="N84" s="39" t="str">
        <f>IF([8]道具信息!N84="","",[8]道具信息!N84)</f>
        <v/>
      </c>
      <c r="O84" s="39" t="str">
        <f>IF([8]道具信息!O84="","",[8]道具信息!O84)</f>
        <v/>
      </c>
      <c r="P84" s="39" t="str">
        <f>IF([8]道具信息!P84="","",[8]道具信息!P84)</f>
        <v/>
      </c>
      <c r="Q84" s="39" t="str">
        <f>IF([8]道具信息!Q84="","",[8]道具信息!Q84)</f>
        <v/>
      </c>
      <c r="R84" s="39" t="str">
        <f>IF([8]道具信息!R84="","",[8]道具信息!R84)</f>
        <v/>
      </c>
      <c r="S84" s="39" t="str">
        <f>IF([8]道具信息!S84="","",[8]道具信息!S84)</f>
        <v/>
      </c>
      <c r="T84" s="39" t="str">
        <f>IF([8]道具信息!T84="","",[8]道具信息!T84)</f>
        <v/>
      </c>
      <c r="U84" s="39" t="str">
        <f>IF([8]道具信息!U84="","",[8]道具信息!U84)</f>
        <v/>
      </c>
      <c r="V84" s="39" t="str">
        <f>IF([8]道具信息!V84="","",[8]道具信息!V84)</f>
        <v/>
      </c>
      <c r="W84" s="39" t="str">
        <f>IF([8]道具信息!W84="","",[8]道具信息!W84)</f>
        <v/>
      </c>
      <c r="X84" s="39" t="str">
        <f>IF([8]道具信息!X84="","",[8]道具信息!X84)</f>
        <v/>
      </c>
      <c r="Y84" s="39" t="str">
        <f>IF([8]道具信息!Y84="","",[8]道具信息!Y84)</f>
        <v/>
      </c>
      <c r="Z84" s="39" t="str">
        <f>IF([8]道具信息!Z84="","",[8]道具信息!Z84)</f>
        <v/>
      </c>
    </row>
    <row r="85" spans="1:26" x14ac:dyDescent="0.15">
      <c r="A85" s="39" t="str">
        <f>IF([8]道具信息!A85="","",[8]道具信息!A85)</f>
        <v/>
      </c>
      <c r="B85" s="39" t="str">
        <f>IF([8]道具信息!B85="","",[8]道具信息!B85)</f>
        <v/>
      </c>
      <c r="C85" s="39" t="str">
        <f>IF([8]道具信息!C85="","",[8]道具信息!C85)</f>
        <v/>
      </c>
      <c r="D85" s="39" t="str">
        <f>IF([8]道具信息!D85="","",[8]道具信息!D85)</f>
        <v>指定or任选紫色兵法碎片</v>
      </c>
      <c r="E85" s="39">
        <f>IF([8]道具信息!E85="","",[8]道具信息!E85)</f>
        <v>75</v>
      </c>
      <c r="F85" s="39">
        <f>IF([8]道具信息!F85="","",[8]道具信息!F85)</f>
        <v>1</v>
      </c>
      <c r="G85" s="39">
        <f>IF([8]道具信息!G85="","",[8]道具信息!G85)</f>
        <v>1</v>
      </c>
      <c r="H85" s="39">
        <f>IF([8]道具信息!H85="","",[8]道具信息!H85)</f>
        <v>1</v>
      </c>
      <c r="I85" s="39">
        <f>IF([8]道具信息!I85="","",[8]道具信息!I85)</f>
        <v>75</v>
      </c>
      <c r="J85" s="39">
        <f>IF([8]道具信息!J85="","",[8]道具信息!J85)</f>
        <v>75</v>
      </c>
      <c r="K85" s="39">
        <f>IF([8]道具信息!K85="","",[8]道具信息!K85)</f>
        <v>75</v>
      </c>
      <c r="L85" s="39" t="str">
        <f>IF([8]道具信息!L85="","",[8]道具信息!L85)</f>
        <v/>
      </c>
      <c r="M85" s="39" t="str">
        <f>IF([8]道具信息!M85="","",[8]道具信息!M85)</f>
        <v/>
      </c>
      <c r="N85" s="39" t="str">
        <f>IF([8]道具信息!N85="","",[8]道具信息!N85)</f>
        <v/>
      </c>
      <c r="O85" s="39" t="str">
        <f>IF([8]道具信息!O85="","",[8]道具信息!O85)</f>
        <v/>
      </c>
      <c r="P85" s="39" t="str">
        <f>IF([8]道具信息!P85="","",[8]道具信息!P85)</f>
        <v/>
      </c>
      <c r="Q85" s="39" t="str">
        <f>IF([8]道具信息!Q85="","",[8]道具信息!Q85)</f>
        <v/>
      </c>
      <c r="R85" s="39" t="str">
        <f>IF([8]道具信息!R85="","",[8]道具信息!R85)</f>
        <v/>
      </c>
      <c r="S85" s="39" t="str">
        <f>IF([8]道具信息!S85="","",[8]道具信息!S85)</f>
        <v/>
      </c>
      <c r="T85" s="39" t="str">
        <f>IF([8]道具信息!T85="","",[8]道具信息!T85)</f>
        <v/>
      </c>
      <c r="U85" s="39" t="str">
        <f>IF([8]道具信息!U85="","",[8]道具信息!U85)</f>
        <v/>
      </c>
      <c r="V85" s="39" t="str">
        <f>IF([8]道具信息!V85="","",[8]道具信息!V85)</f>
        <v/>
      </c>
      <c r="W85" s="39" t="str">
        <f>IF([8]道具信息!W85="","",[8]道具信息!W85)</f>
        <v/>
      </c>
      <c r="X85" s="39" t="str">
        <f>IF([8]道具信息!X85="","",[8]道具信息!X85)</f>
        <v/>
      </c>
      <c r="Y85" s="39" t="str">
        <f>IF([8]道具信息!Y85="","",[8]道具信息!Y85)</f>
        <v/>
      </c>
      <c r="Z85" s="39" t="str">
        <f>IF([8]道具信息!Z85="","",[8]道具信息!Z85)</f>
        <v/>
      </c>
    </row>
    <row r="86" spans="1:26" x14ac:dyDescent="0.15">
      <c r="A86" s="39" t="str">
        <f>IF([8]道具信息!A86="","",[8]道具信息!A86)</f>
        <v/>
      </c>
      <c r="B86" s="39" t="str">
        <f>IF([8]道具信息!B86="","",[8]道具信息!B86)</f>
        <v/>
      </c>
      <c r="C86" s="39" t="str">
        <f>IF([8]道具信息!C86="","",[8]道具信息!C86)</f>
        <v/>
      </c>
      <c r="D86" s="39" t="str">
        <f>IF([8]道具信息!D86="","",[8]道具信息!D86)</f>
        <v>指定or任选橙色兵法碎片</v>
      </c>
      <c r="E86" s="39">
        <f>IF([8]道具信息!E86="","",[8]道具信息!E86)</f>
        <v>111.66666666666667</v>
      </c>
      <c r="F86" s="39">
        <f>IF([8]道具信息!F86="","",[8]道具信息!F86)</f>
        <v>1</v>
      </c>
      <c r="G86" s="39">
        <f>IF([8]道具信息!G86="","",[8]道具信息!G86)</f>
        <v>1</v>
      </c>
      <c r="H86" s="39">
        <f>IF([8]道具信息!H86="","",[8]道具信息!H86)</f>
        <v>1</v>
      </c>
      <c r="I86" s="39">
        <f>IF([8]道具信息!I86="","",[8]道具信息!I86)</f>
        <v>111.66666666666667</v>
      </c>
      <c r="J86" s="39">
        <f>IF([8]道具信息!J86="","",[8]道具信息!J86)</f>
        <v>111.66666666666667</v>
      </c>
      <c r="K86" s="39">
        <f>IF([8]道具信息!K86="","",[8]道具信息!K86)</f>
        <v>111.66666666666667</v>
      </c>
      <c r="L86" s="39" t="str">
        <f>IF([8]道具信息!L86="","",[8]道具信息!L86)</f>
        <v/>
      </c>
      <c r="M86" s="39" t="str">
        <f>IF([8]道具信息!M86="","",[8]道具信息!M86)</f>
        <v/>
      </c>
      <c r="N86" s="39" t="str">
        <f>IF([8]道具信息!N86="","",[8]道具信息!N86)</f>
        <v/>
      </c>
      <c r="O86" s="39" t="str">
        <f>IF([8]道具信息!O86="","",[8]道具信息!O86)</f>
        <v/>
      </c>
      <c r="P86" s="39" t="str">
        <f>IF([8]道具信息!P86="","",[8]道具信息!P86)</f>
        <v/>
      </c>
      <c r="Q86" s="39" t="str">
        <f>IF([8]道具信息!Q86="","",[8]道具信息!Q86)</f>
        <v/>
      </c>
      <c r="R86" s="39" t="str">
        <f>IF([8]道具信息!R86="","",[8]道具信息!R86)</f>
        <v/>
      </c>
      <c r="S86" s="39" t="str">
        <f>IF([8]道具信息!S86="","",[8]道具信息!S86)</f>
        <v/>
      </c>
      <c r="T86" s="39" t="str">
        <f>IF([8]道具信息!T86="","",[8]道具信息!T86)</f>
        <v/>
      </c>
      <c r="U86" s="39" t="str">
        <f>IF([8]道具信息!U86="","",[8]道具信息!U86)</f>
        <v/>
      </c>
      <c r="V86" s="39" t="str">
        <f>IF([8]道具信息!V86="","",[8]道具信息!V86)</f>
        <v/>
      </c>
      <c r="W86" s="39" t="str">
        <f>IF([8]道具信息!W86="","",[8]道具信息!W86)</f>
        <v/>
      </c>
      <c r="X86" s="39" t="str">
        <f>IF([8]道具信息!X86="","",[8]道具信息!X86)</f>
        <v/>
      </c>
      <c r="Y86" s="39" t="str">
        <f>IF([8]道具信息!Y86="","",[8]道具信息!Y86)</f>
        <v/>
      </c>
      <c r="Z86" s="39" t="str">
        <f>IF([8]道具信息!Z86="","",[8]道具信息!Z86)</f>
        <v/>
      </c>
    </row>
    <row r="87" spans="1:26" x14ac:dyDescent="0.15">
      <c r="A87" s="39" t="str">
        <f>IF([8]道具信息!A87="","",[8]道具信息!A87)</f>
        <v/>
      </c>
      <c r="B87" s="39" t="str">
        <f>IF([8]道具信息!B87="","",[8]道具信息!B87)</f>
        <v/>
      </c>
      <c r="C87" s="39" t="str">
        <f>IF([8]道具信息!C87="","",[8]道具信息!C87)</f>
        <v/>
      </c>
      <c r="D87" s="39" t="str">
        <f>IF([8]道具信息!D87="","",[8]道具信息!D87)</f>
        <v>指定or任选红色兵法碎片</v>
      </c>
      <c r="E87" s="39">
        <f>IF([8]道具信息!E87="","",[8]道具信息!E87)</f>
        <v>305.5</v>
      </c>
      <c r="F87" s="39">
        <f>IF([8]道具信息!F87="","",[8]道具信息!F87)</f>
        <v>1</v>
      </c>
      <c r="G87" s="39">
        <f>IF([8]道具信息!G87="","",[8]道具信息!G87)</f>
        <v>1</v>
      </c>
      <c r="H87" s="39">
        <f>IF([8]道具信息!H87="","",[8]道具信息!H87)</f>
        <v>1</v>
      </c>
      <c r="I87" s="39">
        <f>IF([8]道具信息!I87="","",[8]道具信息!I87)</f>
        <v>305.5</v>
      </c>
      <c r="J87" s="39">
        <f>IF([8]道具信息!J87="","",[8]道具信息!J87)</f>
        <v>305.5</v>
      </c>
      <c r="K87" s="39">
        <f>IF([8]道具信息!K87="","",[8]道具信息!K87)</f>
        <v>305.5</v>
      </c>
      <c r="L87" s="39" t="str">
        <f>IF([8]道具信息!L87="","",[8]道具信息!L87)</f>
        <v/>
      </c>
      <c r="M87" s="39" t="str">
        <f>IF([8]道具信息!M87="","",[8]道具信息!M87)</f>
        <v/>
      </c>
      <c r="N87" s="39" t="str">
        <f>IF([8]道具信息!N87="","",[8]道具信息!N87)</f>
        <v/>
      </c>
      <c r="O87" s="39" t="str">
        <f>IF([8]道具信息!O87="","",[8]道具信息!O87)</f>
        <v/>
      </c>
      <c r="P87" s="39" t="str">
        <f>IF([8]道具信息!P87="","",[8]道具信息!P87)</f>
        <v/>
      </c>
      <c r="Q87" s="39" t="str">
        <f>IF([8]道具信息!Q87="","",[8]道具信息!Q87)</f>
        <v/>
      </c>
      <c r="R87" s="39" t="str">
        <f>IF([8]道具信息!R87="","",[8]道具信息!R87)</f>
        <v/>
      </c>
      <c r="S87" s="39" t="str">
        <f>IF([8]道具信息!S87="","",[8]道具信息!S87)</f>
        <v/>
      </c>
      <c r="T87" s="39" t="str">
        <f>IF([8]道具信息!T87="","",[8]道具信息!T87)</f>
        <v/>
      </c>
      <c r="U87" s="39" t="str">
        <f>IF([8]道具信息!U87="","",[8]道具信息!U87)</f>
        <v/>
      </c>
      <c r="V87" s="39" t="str">
        <f>IF([8]道具信息!V87="","",[8]道具信息!V87)</f>
        <v/>
      </c>
      <c r="W87" s="39" t="str">
        <f>IF([8]道具信息!W87="","",[8]道具信息!W87)</f>
        <v/>
      </c>
      <c r="X87" s="39" t="str">
        <f>IF([8]道具信息!X87="","",[8]道具信息!X87)</f>
        <v/>
      </c>
      <c r="Y87" s="39" t="str">
        <f>IF([8]道具信息!Y87="","",[8]道具信息!Y87)</f>
        <v/>
      </c>
      <c r="Z87" s="39" t="str">
        <f>IF([8]道具信息!Z87="","",[8]道具信息!Z87)</f>
        <v/>
      </c>
    </row>
    <row r="88" spans="1:26" x14ac:dyDescent="0.15">
      <c r="A88" s="39" t="str">
        <f>IF([8]道具信息!A88="","",[8]道具信息!A88)</f>
        <v/>
      </c>
      <c r="B88" s="39" t="str">
        <f>IF([8]道具信息!B88="","",[8]道具信息!B88)</f>
        <v/>
      </c>
      <c r="C88" s="39" t="str">
        <f>IF([8]道具信息!C88="","",[8]道具信息!C88)</f>
        <v/>
      </c>
      <c r="D88" s="39" t="str">
        <f>IF([8]道具信息!D88="","",[8]道具信息!D88)</f>
        <v>随机紫色兵法碎片</v>
      </c>
      <c r="E88" s="39">
        <f>IF([8]道具信息!E88="","",[8]道具信息!E88)</f>
        <v>50</v>
      </c>
      <c r="F88" s="39">
        <f>IF([8]道具信息!F88="","",[8]道具信息!F88)</f>
        <v>1</v>
      </c>
      <c r="G88" s="39">
        <f>IF([8]道具信息!G88="","",[8]道具信息!G88)</f>
        <v>1</v>
      </c>
      <c r="H88" s="39">
        <f>IF([8]道具信息!H88="","",[8]道具信息!H88)</f>
        <v>1</v>
      </c>
      <c r="I88" s="39">
        <f>IF([8]道具信息!I88="","",[8]道具信息!I88)</f>
        <v>50</v>
      </c>
      <c r="J88" s="39">
        <f>IF([8]道具信息!J88="","",[8]道具信息!J88)</f>
        <v>50</v>
      </c>
      <c r="K88" s="39">
        <f>IF([8]道具信息!K88="","",[8]道具信息!K88)</f>
        <v>50</v>
      </c>
      <c r="L88" s="39" t="str">
        <f>IF([8]道具信息!L88="","",[8]道具信息!L88)</f>
        <v/>
      </c>
      <c r="M88" s="39" t="str">
        <f>IF([8]道具信息!M88="","",[8]道具信息!M88)</f>
        <v/>
      </c>
      <c r="N88" s="39" t="str">
        <f>IF([8]道具信息!N88="","",[8]道具信息!N88)</f>
        <v/>
      </c>
      <c r="O88" s="39" t="str">
        <f>IF([8]道具信息!O88="","",[8]道具信息!O88)</f>
        <v/>
      </c>
      <c r="P88" s="39" t="str">
        <f>IF([8]道具信息!P88="","",[8]道具信息!P88)</f>
        <v/>
      </c>
      <c r="Q88" s="39" t="str">
        <f>IF([8]道具信息!Q88="","",[8]道具信息!Q88)</f>
        <v/>
      </c>
      <c r="R88" s="39" t="str">
        <f>IF([8]道具信息!R88="","",[8]道具信息!R88)</f>
        <v/>
      </c>
      <c r="S88" s="39" t="str">
        <f>IF([8]道具信息!S88="","",[8]道具信息!S88)</f>
        <v/>
      </c>
      <c r="T88" s="39" t="str">
        <f>IF([8]道具信息!T88="","",[8]道具信息!T88)</f>
        <v/>
      </c>
      <c r="U88" s="39" t="str">
        <f>IF([8]道具信息!U88="","",[8]道具信息!U88)</f>
        <v/>
      </c>
      <c r="V88" s="39" t="str">
        <f>IF([8]道具信息!V88="","",[8]道具信息!V88)</f>
        <v/>
      </c>
      <c r="W88" s="39" t="str">
        <f>IF([8]道具信息!W88="","",[8]道具信息!W88)</f>
        <v/>
      </c>
      <c r="X88" s="39" t="str">
        <f>IF([8]道具信息!X88="","",[8]道具信息!X88)</f>
        <v/>
      </c>
      <c r="Y88" s="39" t="str">
        <f>IF([8]道具信息!Y88="","",[8]道具信息!Y88)</f>
        <v/>
      </c>
      <c r="Z88" s="39" t="str">
        <f>IF([8]道具信息!Z88="","",[8]道具信息!Z88)</f>
        <v/>
      </c>
    </row>
    <row r="89" spans="1:26" x14ac:dyDescent="0.15">
      <c r="A89" s="39" t="str">
        <f>IF([8]道具信息!A89="","",[8]道具信息!A89)</f>
        <v/>
      </c>
      <c r="B89" s="39" t="str">
        <f>IF([8]道具信息!B89="","",[8]道具信息!B89)</f>
        <v/>
      </c>
      <c r="C89" s="39" t="str">
        <f>IF([8]道具信息!C89="","",[8]道具信息!C89)</f>
        <v/>
      </c>
      <c r="D89" s="39" t="str">
        <f>IF([8]道具信息!D89="","",[8]道具信息!D89)</f>
        <v>随机橙色兵法碎片</v>
      </c>
      <c r="E89" s="39">
        <f>IF([8]道具信息!E89="","",[8]道具信息!E89)</f>
        <v>56</v>
      </c>
      <c r="F89" s="39">
        <f>IF([8]道具信息!F89="","",[8]道具信息!F89)</f>
        <v>1</v>
      </c>
      <c r="G89" s="39">
        <f>IF([8]道具信息!G89="","",[8]道具信息!G89)</f>
        <v>1</v>
      </c>
      <c r="H89" s="39">
        <f>IF([8]道具信息!H89="","",[8]道具信息!H89)</f>
        <v>1</v>
      </c>
      <c r="I89" s="39">
        <f>IF([8]道具信息!I89="","",[8]道具信息!I89)</f>
        <v>56</v>
      </c>
      <c r="J89" s="39">
        <f>IF([8]道具信息!J89="","",[8]道具信息!J89)</f>
        <v>56</v>
      </c>
      <c r="K89" s="39">
        <f>IF([8]道具信息!K89="","",[8]道具信息!K89)</f>
        <v>56</v>
      </c>
      <c r="L89" s="39" t="str">
        <f>IF([8]道具信息!L89="","",[8]道具信息!L89)</f>
        <v/>
      </c>
      <c r="M89" s="39" t="str">
        <f>IF([8]道具信息!M89="","",[8]道具信息!M89)</f>
        <v/>
      </c>
      <c r="N89" s="39" t="str">
        <f>IF([8]道具信息!N89="","",[8]道具信息!N89)</f>
        <v/>
      </c>
      <c r="O89" s="39" t="str">
        <f>IF([8]道具信息!O89="","",[8]道具信息!O89)</f>
        <v/>
      </c>
      <c r="P89" s="39" t="str">
        <f>IF([8]道具信息!P89="","",[8]道具信息!P89)</f>
        <v/>
      </c>
      <c r="Q89" s="39" t="str">
        <f>IF([8]道具信息!Q89="","",[8]道具信息!Q89)</f>
        <v/>
      </c>
      <c r="R89" s="39" t="str">
        <f>IF([8]道具信息!R89="","",[8]道具信息!R89)</f>
        <v/>
      </c>
      <c r="S89" s="39" t="str">
        <f>IF([8]道具信息!S89="","",[8]道具信息!S89)</f>
        <v/>
      </c>
      <c r="T89" s="39" t="str">
        <f>IF([8]道具信息!T89="","",[8]道具信息!T89)</f>
        <v/>
      </c>
      <c r="U89" s="39" t="str">
        <f>IF([8]道具信息!U89="","",[8]道具信息!U89)</f>
        <v/>
      </c>
      <c r="V89" s="39" t="str">
        <f>IF([8]道具信息!V89="","",[8]道具信息!V89)</f>
        <v/>
      </c>
      <c r="W89" s="39" t="str">
        <f>IF([8]道具信息!W89="","",[8]道具信息!W89)</f>
        <v/>
      </c>
      <c r="X89" s="39" t="str">
        <f>IF([8]道具信息!X89="","",[8]道具信息!X89)</f>
        <v/>
      </c>
      <c r="Y89" s="39" t="str">
        <f>IF([8]道具信息!Y89="","",[8]道具信息!Y89)</f>
        <v/>
      </c>
      <c r="Z89" s="39" t="str">
        <f>IF([8]道具信息!Z89="","",[8]道具信息!Z89)</f>
        <v/>
      </c>
    </row>
    <row r="90" spans="1:26" x14ac:dyDescent="0.15">
      <c r="A90" s="39" t="str">
        <f>IF([8]道具信息!A90="","",[8]道具信息!A90)</f>
        <v/>
      </c>
      <c r="B90" s="39" t="str">
        <f>IF([8]道具信息!B90="","",[8]道具信息!B90)</f>
        <v/>
      </c>
      <c r="C90" s="39" t="str">
        <f>IF([8]道具信息!C90="","",[8]道具信息!C90)</f>
        <v/>
      </c>
      <c r="D90" s="39" t="str">
        <f>IF([8]道具信息!D90="","",[8]道具信息!D90)</f>
        <v>随机极兵法碎片</v>
      </c>
      <c r="E90" s="39">
        <f>IF([8]道具信息!E90="","",[8]道具信息!E90)</f>
        <v>305.5</v>
      </c>
      <c r="F90" s="39">
        <f>IF([8]道具信息!F90="","",[8]道具信息!F90)</f>
        <v>1</v>
      </c>
      <c r="G90" s="39">
        <f>IF([8]道具信息!G90="","",[8]道具信息!G90)</f>
        <v>1</v>
      </c>
      <c r="H90" s="39">
        <f>IF([8]道具信息!H90="","",[8]道具信息!H90)</f>
        <v>1</v>
      </c>
      <c r="I90" s="39">
        <f>IF([8]道具信息!I90="","",[8]道具信息!I90)</f>
        <v>305.5</v>
      </c>
      <c r="J90" s="39">
        <f>IF([8]道具信息!J90="","",[8]道具信息!J90)</f>
        <v>305.5</v>
      </c>
      <c r="K90" s="39">
        <f>IF([8]道具信息!K90="","",[8]道具信息!K90)</f>
        <v>305.5</v>
      </c>
      <c r="L90" s="39" t="str">
        <f>IF([8]道具信息!L90="","",[8]道具信息!L90)</f>
        <v/>
      </c>
      <c r="M90" s="39" t="str">
        <f>IF([8]道具信息!M90="","",[8]道具信息!M90)</f>
        <v/>
      </c>
      <c r="N90" s="39" t="str">
        <f>IF([8]道具信息!N90="","",[8]道具信息!N90)</f>
        <v/>
      </c>
      <c r="O90" s="39" t="str">
        <f>IF([8]道具信息!O90="","",[8]道具信息!O90)</f>
        <v/>
      </c>
      <c r="P90" s="39" t="str">
        <f>IF([8]道具信息!P90="","",[8]道具信息!P90)</f>
        <v/>
      </c>
      <c r="Q90" s="39" t="str">
        <f>IF([8]道具信息!Q90="","",[8]道具信息!Q90)</f>
        <v/>
      </c>
      <c r="R90" s="39" t="str">
        <f>IF([8]道具信息!R90="","",[8]道具信息!R90)</f>
        <v/>
      </c>
      <c r="S90" s="39" t="str">
        <f>IF([8]道具信息!S90="","",[8]道具信息!S90)</f>
        <v/>
      </c>
      <c r="T90" s="39" t="str">
        <f>IF([8]道具信息!T90="","",[8]道具信息!T90)</f>
        <v/>
      </c>
      <c r="U90" s="39" t="str">
        <f>IF([8]道具信息!U90="","",[8]道具信息!U90)</f>
        <v/>
      </c>
      <c r="V90" s="39" t="str">
        <f>IF([8]道具信息!V90="","",[8]道具信息!V90)</f>
        <v/>
      </c>
      <c r="W90" s="39" t="str">
        <f>IF([8]道具信息!W90="","",[8]道具信息!W90)</f>
        <v/>
      </c>
      <c r="X90" s="39" t="str">
        <f>IF([8]道具信息!X90="","",[8]道具信息!X90)</f>
        <v/>
      </c>
      <c r="Y90" s="39" t="str">
        <f>IF([8]道具信息!Y90="","",[8]道具信息!Y90)</f>
        <v/>
      </c>
      <c r="Z90" s="39" t="str">
        <f>IF([8]道具信息!Z90="","",[8]道具信息!Z90)</f>
        <v/>
      </c>
    </row>
    <row r="91" spans="1:26" x14ac:dyDescent="0.15">
      <c r="A91" s="39" t="str">
        <f>IF([8]道具信息!A91="","",[8]道具信息!A91)</f>
        <v/>
      </c>
      <c r="B91" s="39" t="str">
        <f>IF([8]道具信息!B91="","",[8]道具信息!B91)</f>
        <v/>
      </c>
      <c r="C91" s="39" t="str">
        <f>IF([8]道具信息!C91="","",[8]道具信息!C91)</f>
        <v/>
      </c>
      <c r="D91" s="39" t="str">
        <f>IF([8]道具信息!D91="","",[8]道具信息!D91)</f>
        <v>红色装备自选碎片</v>
      </c>
      <c r="E91" s="39">
        <f>IF([8]道具信息!E91="","",[8]道具信息!E91)</f>
        <v>144</v>
      </c>
      <c r="F91" s="39">
        <f>IF([8]道具信息!F91="","",[8]道具信息!F91)</f>
        <v>1</v>
      </c>
      <c r="G91" s="39">
        <f>IF([8]道具信息!G91="","",[8]道具信息!G91)</f>
        <v>1</v>
      </c>
      <c r="H91" s="39">
        <f>IF([8]道具信息!H91="","",[8]道具信息!H91)</f>
        <v>1</v>
      </c>
      <c r="I91" s="39">
        <f>IF([8]道具信息!I91="","",[8]道具信息!I91)</f>
        <v>144</v>
      </c>
      <c r="J91" s="39">
        <f>IF([8]道具信息!J91="","",[8]道具信息!J91)</f>
        <v>144</v>
      </c>
      <c r="K91" s="39">
        <f>IF([8]道具信息!K91="","",[8]道具信息!K91)</f>
        <v>144</v>
      </c>
      <c r="L91" s="39" t="str">
        <f>IF([8]道具信息!L91="","",[8]道具信息!L91)</f>
        <v/>
      </c>
      <c r="M91" s="39" t="str">
        <f>IF([8]道具信息!M91="","",[8]道具信息!M91)</f>
        <v/>
      </c>
      <c r="N91" s="39" t="str">
        <f>IF([8]道具信息!N91="","",[8]道具信息!N91)</f>
        <v/>
      </c>
      <c r="O91" s="39" t="str">
        <f>IF([8]道具信息!O91="","",[8]道具信息!O91)</f>
        <v/>
      </c>
      <c r="P91" s="39" t="str">
        <f>IF([8]道具信息!P91="","",[8]道具信息!P91)</f>
        <v/>
      </c>
      <c r="Q91" s="39" t="str">
        <f>IF([8]道具信息!Q91="","",[8]道具信息!Q91)</f>
        <v/>
      </c>
      <c r="R91" s="39" t="str">
        <f>IF([8]道具信息!R91="","",[8]道具信息!R91)</f>
        <v/>
      </c>
      <c r="S91" s="39" t="str">
        <f>IF([8]道具信息!S91="","",[8]道具信息!S91)</f>
        <v/>
      </c>
      <c r="T91" s="39" t="str">
        <f>IF([8]道具信息!T91="","",[8]道具信息!T91)</f>
        <v/>
      </c>
      <c r="U91" s="39" t="str">
        <f>IF([8]道具信息!U91="","",[8]道具信息!U91)</f>
        <v/>
      </c>
      <c r="V91" s="39" t="str">
        <f>IF([8]道具信息!V91="","",[8]道具信息!V91)</f>
        <v/>
      </c>
      <c r="W91" s="39" t="str">
        <f>IF([8]道具信息!W91="","",[8]道具信息!W91)</f>
        <v/>
      </c>
      <c r="X91" s="39" t="str">
        <f>IF([8]道具信息!X91="","",[8]道具信息!X91)</f>
        <v/>
      </c>
      <c r="Y91" s="39" t="str">
        <f>IF([8]道具信息!Y91="","",[8]道具信息!Y91)</f>
        <v/>
      </c>
      <c r="Z91" s="39" t="str">
        <f>IF([8]道具信息!Z91="","",[8]道具信息!Z91)</f>
        <v/>
      </c>
    </row>
    <row r="92" spans="1:26" x14ac:dyDescent="0.15">
      <c r="A92" s="39" t="str">
        <f>IF([8]道具信息!A92="","",[8]道具信息!A92)</f>
        <v/>
      </c>
      <c r="B92" s="39" t="str">
        <f>IF([8]道具信息!B92="","",[8]道具信息!B92)</f>
        <v/>
      </c>
      <c r="C92" s="39" t="str">
        <f>IF([8]道具信息!C92="","",[8]道具信息!C92)</f>
        <v/>
      </c>
      <c r="D92" s="39" t="str">
        <f>IF([8]道具信息!D92="","",[8]道具信息!D92)</f>
        <v>红+装备自选碎片</v>
      </c>
      <c r="E92" s="39">
        <f>IF([8]道具信息!E92="","",[8]道具信息!E92)</f>
        <v>288</v>
      </c>
      <c r="F92" s="39">
        <f>IF([8]道具信息!F92="","",[8]道具信息!F92)</f>
        <v>1.56</v>
      </c>
      <c r="G92" s="39">
        <f>IF([8]道具信息!G92="","",[8]道具信息!G92)</f>
        <v>1.56</v>
      </c>
      <c r="H92" s="39">
        <f>IF([8]道具信息!H92="","",[8]道具信息!H92)</f>
        <v>1.56</v>
      </c>
      <c r="I92" s="39">
        <f>IF([8]道具信息!I92="","",[8]道具信息!I92)</f>
        <v>449.28000000000003</v>
      </c>
      <c r="J92" s="39">
        <f>IF([8]道具信息!J92="","",[8]道具信息!J92)</f>
        <v>449.28000000000003</v>
      </c>
      <c r="K92" s="39">
        <f>IF([8]道具信息!K92="","",[8]道具信息!K92)</f>
        <v>449.28000000000003</v>
      </c>
      <c r="L92" s="39" t="str">
        <f>IF([8]道具信息!L92="","",[8]道具信息!L92)</f>
        <v/>
      </c>
      <c r="M92" s="39" t="str">
        <f>IF([8]道具信息!M92="","",[8]道具信息!M92)</f>
        <v/>
      </c>
      <c r="N92" s="39" t="str">
        <f>IF([8]道具信息!N92="","",[8]道具信息!N92)</f>
        <v/>
      </c>
      <c r="O92" s="39" t="str">
        <f>IF([8]道具信息!O92="","",[8]道具信息!O92)</f>
        <v/>
      </c>
      <c r="P92" s="39" t="str">
        <f>IF([8]道具信息!P92="","",[8]道具信息!P92)</f>
        <v/>
      </c>
      <c r="Q92" s="39" t="str">
        <f>IF([8]道具信息!Q92="","",[8]道具信息!Q92)</f>
        <v/>
      </c>
      <c r="R92" s="39" t="str">
        <f>IF([8]道具信息!R92="","",[8]道具信息!R92)</f>
        <v/>
      </c>
      <c r="S92" s="39" t="str">
        <f>IF([8]道具信息!S92="","",[8]道具信息!S92)</f>
        <v/>
      </c>
      <c r="T92" s="39" t="str">
        <f>IF([8]道具信息!T92="","",[8]道具信息!T92)</f>
        <v/>
      </c>
      <c r="U92" s="39" t="str">
        <f>IF([8]道具信息!U92="","",[8]道具信息!U92)</f>
        <v/>
      </c>
      <c r="V92" s="39" t="str">
        <f>IF([8]道具信息!V92="","",[8]道具信息!V92)</f>
        <v/>
      </c>
      <c r="W92" s="39" t="str">
        <f>IF([8]道具信息!W92="","",[8]道具信息!W92)</f>
        <v/>
      </c>
      <c r="X92" s="39" t="str">
        <f>IF([8]道具信息!X92="","",[8]道具信息!X92)</f>
        <v/>
      </c>
      <c r="Y92" s="39" t="str">
        <f>IF([8]道具信息!Y92="","",[8]道具信息!Y92)</f>
        <v/>
      </c>
      <c r="Z92" s="39" t="str">
        <f>IF([8]道具信息!Z92="","",[8]道具信息!Z92)</f>
        <v/>
      </c>
    </row>
    <row r="93" spans="1:26" x14ac:dyDescent="0.15">
      <c r="A93" s="39" t="str">
        <f>IF([8]道具信息!A93="","",[8]道具信息!A93)</f>
        <v/>
      </c>
      <c r="B93" s="39" t="str">
        <f>IF([8]道具信息!B93="","",[8]道具信息!B93)</f>
        <v/>
      </c>
      <c r="C93" s="39" t="str">
        <f>IF([8]道具信息!C93="","",[8]道具信息!C93)</f>
        <v/>
      </c>
      <c r="D93" s="39" t="str">
        <f>IF([8]道具信息!D93="","",[8]道具信息!D93)</f>
        <v/>
      </c>
      <c r="E93" s="39" t="str">
        <f>IF([8]道具信息!E93="","",[8]道具信息!E93)</f>
        <v/>
      </c>
      <c r="F93" s="39" t="str">
        <f>IF([8]道具信息!F93="","",[8]道具信息!F93)</f>
        <v/>
      </c>
      <c r="G93" s="39" t="str">
        <f>IF([8]道具信息!G93="","",[8]道具信息!G93)</f>
        <v/>
      </c>
      <c r="H93" s="39" t="str">
        <f>IF([8]道具信息!H93="","",[8]道具信息!H93)</f>
        <v/>
      </c>
      <c r="I93" s="39" t="str">
        <f>IF([8]道具信息!I93="","",[8]道具信息!I93)</f>
        <v/>
      </c>
      <c r="J93" s="39" t="str">
        <f>IF([8]道具信息!J93="","",[8]道具信息!J93)</f>
        <v/>
      </c>
      <c r="K93" s="39" t="str">
        <f>IF([8]道具信息!K93="","",[8]道具信息!K93)</f>
        <v/>
      </c>
      <c r="L93" s="39" t="str">
        <f>IF([8]道具信息!L93="","",[8]道具信息!L93)</f>
        <v/>
      </c>
      <c r="M93" s="39" t="str">
        <f>IF([8]道具信息!M93="","",[8]道具信息!M93)</f>
        <v/>
      </c>
      <c r="N93" s="39" t="str">
        <f>IF([8]道具信息!N93="","",[8]道具信息!N93)</f>
        <v/>
      </c>
      <c r="O93" s="39" t="str">
        <f>IF([8]道具信息!O93="","",[8]道具信息!O93)</f>
        <v/>
      </c>
      <c r="P93" s="39" t="str">
        <f>IF([8]道具信息!P93="","",[8]道具信息!P93)</f>
        <v/>
      </c>
      <c r="Q93" s="39" t="str">
        <f>IF([8]道具信息!Q93="","",[8]道具信息!Q93)</f>
        <v/>
      </c>
      <c r="R93" s="39" t="str">
        <f>IF([8]道具信息!R93="","",[8]道具信息!R93)</f>
        <v/>
      </c>
      <c r="S93" s="39" t="str">
        <f>IF([8]道具信息!S93="","",[8]道具信息!S93)</f>
        <v/>
      </c>
      <c r="T93" s="39" t="str">
        <f>IF([8]道具信息!T93="","",[8]道具信息!T93)</f>
        <v/>
      </c>
      <c r="U93" s="39" t="str">
        <f>IF([8]道具信息!U93="","",[8]道具信息!U93)</f>
        <v/>
      </c>
      <c r="V93" s="39" t="str">
        <f>IF([8]道具信息!V93="","",[8]道具信息!V93)</f>
        <v/>
      </c>
      <c r="W93" s="39" t="str">
        <f>IF([8]道具信息!W93="","",[8]道具信息!W93)</f>
        <v/>
      </c>
      <c r="X93" s="39" t="str">
        <f>IF([8]道具信息!X93="","",[8]道具信息!X93)</f>
        <v/>
      </c>
      <c r="Y93" s="39" t="str">
        <f>IF([8]道具信息!Y93="","",[8]道具信息!Y93)</f>
        <v/>
      </c>
      <c r="Z93" s="39" t="str">
        <f>IF([8]道具信息!Z93="","",[8]道具信息!Z93)</f>
        <v/>
      </c>
    </row>
    <row r="94" spans="1:26" x14ac:dyDescent="0.15">
      <c r="A94" s="39" t="str">
        <f>IF([8]道具信息!A94="","",[8]道具信息!A94)</f>
        <v/>
      </c>
      <c r="B94" s="39" t="str">
        <f>IF([8]道具信息!B94="","",[8]道具信息!B94)</f>
        <v/>
      </c>
      <c r="C94" s="39" t="str">
        <f>IF([8]道具信息!C94="","",[8]道具信息!C94)</f>
        <v/>
      </c>
      <c r="D94" s="39" t="str">
        <f>IF([8]道具信息!D94="","",[8]道具信息!D94)</f>
        <v>随机蓝色阵法</v>
      </c>
      <c r="E94" s="39">
        <f>IF([8]道具信息!E94="","",[8]道具信息!E94)</f>
        <v>100</v>
      </c>
      <c r="F94" s="39">
        <f>IF([8]道具信息!F94="","",[8]道具信息!F94)</f>
        <v>1</v>
      </c>
      <c r="G94" s="39">
        <f>IF([8]道具信息!G94="","",[8]道具信息!G94)</f>
        <v>1</v>
      </c>
      <c r="H94" s="39">
        <f>IF([8]道具信息!H94="","",[8]道具信息!H94)</f>
        <v>1</v>
      </c>
      <c r="I94" s="39">
        <f>IF([8]道具信息!I94="","",[8]道具信息!I94)</f>
        <v>100</v>
      </c>
      <c r="J94" s="39">
        <f>IF([8]道具信息!J94="","",[8]道具信息!J94)</f>
        <v>100</v>
      </c>
      <c r="K94" s="39">
        <f>IF([8]道具信息!K94="","",[8]道具信息!K94)</f>
        <v>100</v>
      </c>
      <c r="L94" s="39" t="str">
        <f>IF([8]道具信息!L94="","",[8]道具信息!L94)</f>
        <v/>
      </c>
      <c r="M94" s="39" t="str">
        <f>IF([8]道具信息!M94="","",[8]道具信息!M94)</f>
        <v/>
      </c>
      <c r="N94" s="39" t="str">
        <f>IF([8]道具信息!N94="","",[8]道具信息!N94)</f>
        <v/>
      </c>
      <c r="O94" s="39" t="str">
        <f>IF([8]道具信息!O94="","",[8]道具信息!O94)</f>
        <v/>
      </c>
      <c r="P94" s="39" t="str">
        <f>IF([8]道具信息!P94="","",[8]道具信息!P94)</f>
        <v/>
      </c>
      <c r="Q94" s="39" t="str">
        <f>IF([8]道具信息!Q94="","",[8]道具信息!Q94)</f>
        <v/>
      </c>
      <c r="R94" s="39" t="str">
        <f>IF([8]道具信息!R94="","",[8]道具信息!R94)</f>
        <v/>
      </c>
      <c r="S94" s="39" t="str">
        <f>IF([8]道具信息!S94="","",[8]道具信息!S94)</f>
        <v/>
      </c>
      <c r="T94" s="39" t="str">
        <f>IF([8]道具信息!T94="","",[8]道具信息!T94)</f>
        <v/>
      </c>
      <c r="U94" s="39" t="str">
        <f>IF([8]道具信息!U94="","",[8]道具信息!U94)</f>
        <v/>
      </c>
      <c r="V94" s="39" t="str">
        <f>IF([8]道具信息!V94="","",[8]道具信息!V94)</f>
        <v/>
      </c>
      <c r="W94" s="39" t="str">
        <f>IF([8]道具信息!W94="","",[8]道具信息!W94)</f>
        <v/>
      </c>
      <c r="X94" s="39" t="str">
        <f>IF([8]道具信息!X94="","",[8]道具信息!X94)</f>
        <v/>
      </c>
      <c r="Y94" s="39" t="str">
        <f>IF([8]道具信息!Y94="","",[8]道具信息!Y94)</f>
        <v/>
      </c>
      <c r="Z94" s="39" t="str">
        <f>IF([8]道具信息!Z94="","",[8]道具信息!Z94)</f>
        <v/>
      </c>
    </row>
    <row r="95" spans="1:26" x14ac:dyDescent="0.15">
      <c r="A95" s="39" t="str">
        <f>IF([8]道具信息!A95="","",[8]道具信息!A95)</f>
        <v/>
      </c>
      <c r="B95" s="39" t="str">
        <f>IF([8]道具信息!B95="","",[8]道具信息!B95)</f>
        <v/>
      </c>
      <c r="C95" s="39" t="str">
        <f>IF([8]道具信息!C95="","",[8]道具信息!C95)</f>
        <v/>
      </c>
      <c r="D95" s="39" t="str">
        <f>IF([8]道具信息!D95="","",[8]道具信息!D95)</f>
        <v>随机紫色阵法</v>
      </c>
      <c r="E95" s="39">
        <f>IF([8]道具信息!E95="","",[8]道具信息!E95)</f>
        <v>1000</v>
      </c>
      <c r="F95" s="39">
        <f>IF([8]道具信息!F95="","",[8]道具信息!F95)</f>
        <v>1</v>
      </c>
      <c r="G95" s="39">
        <f>IF([8]道具信息!G95="","",[8]道具信息!G95)</f>
        <v>0.75</v>
      </c>
      <c r="H95" s="39">
        <f>IF([8]道具信息!H95="","",[8]道具信息!H95)</f>
        <v>0.5</v>
      </c>
      <c r="I95" s="39">
        <f>IF([8]道具信息!I95="","",[8]道具信息!I95)</f>
        <v>1000</v>
      </c>
      <c r="J95" s="39">
        <f>IF([8]道具信息!J95="","",[8]道具信息!J95)</f>
        <v>750</v>
      </c>
      <c r="K95" s="39">
        <f>IF([8]道具信息!K95="","",[8]道具信息!K95)</f>
        <v>500</v>
      </c>
      <c r="L95" s="39" t="str">
        <f>IF([8]道具信息!L95="","",[8]道具信息!L95)</f>
        <v/>
      </c>
      <c r="M95" s="39" t="str">
        <f>IF([8]道具信息!M95="","",[8]道具信息!M95)</f>
        <v/>
      </c>
      <c r="N95" s="39" t="str">
        <f>IF([8]道具信息!N95="","",[8]道具信息!N95)</f>
        <v/>
      </c>
      <c r="O95" s="39" t="str">
        <f>IF([8]道具信息!O95="","",[8]道具信息!O95)</f>
        <v/>
      </c>
      <c r="P95" s="39" t="str">
        <f>IF([8]道具信息!P95="","",[8]道具信息!P95)</f>
        <v/>
      </c>
      <c r="Q95" s="39" t="str">
        <f>IF([8]道具信息!Q95="","",[8]道具信息!Q95)</f>
        <v/>
      </c>
      <c r="R95" s="39" t="str">
        <f>IF([8]道具信息!R95="","",[8]道具信息!R95)</f>
        <v/>
      </c>
      <c r="S95" s="39" t="str">
        <f>IF([8]道具信息!S95="","",[8]道具信息!S95)</f>
        <v/>
      </c>
      <c r="T95" s="39" t="str">
        <f>IF([8]道具信息!T95="","",[8]道具信息!T95)</f>
        <v/>
      </c>
      <c r="U95" s="39" t="str">
        <f>IF([8]道具信息!U95="","",[8]道具信息!U95)</f>
        <v/>
      </c>
      <c r="V95" s="39" t="str">
        <f>IF([8]道具信息!V95="","",[8]道具信息!V95)</f>
        <v/>
      </c>
      <c r="W95" s="39" t="str">
        <f>IF([8]道具信息!W95="","",[8]道具信息!W95)</f>
        <v/>
      </c>
      <c r="X95" s="39" t="str">
        <f>IF([8]道具信息!X95="","",[8]道具信息!X95)</f>
        <v/>
      </c>
      <c r="Y95" s="39" t="str">
        <f>IF([8]道具信息!Y95="","",[8]道具信息!Y95)</f>
        <v/>
      </c>
      <c r="Z95" s="39" t="str">
        <f>IF([8]道具信息!Z95="","",[8]道具信息!Z95)</f>
        <v/>
      </c>
    </row>
    <row r="96" spans="1:26" x14ac:dyDescent="0.15">
      <c r="A96" s="39" t="str">
        <f>IF([8]道具信息!A96="","",[8]道具信息!A96)</f>
        <v/>
      </c>
      <c r="B96" s="39" t="str">
        <f>IF([8]道具信息!B96="","",[8]道具信息!B96)</f>
        <v/>
      </c>
      <c r="C96" s="39" t="str">
        <f>IF([8]道具信息!C96="","",[8]道具信息!C96)</f>
        <v/>
      </c>
      <c r="D96" s="39" t="str">
        <f>IF([8]道具信息!D96="","",[8]道具信息!D96)</f>
        <v>随机橙色阵法</v>
      </c>
      <c r="E96" s="39">
        <f>IF([8]道具信息!E96="","",[8]道具信息!E96)</f>
        <v>5000</v>
      </c>
      <c r="F96" s="39">
        <f>IF([8]道具信息!F96="","",[8]道具信息!F96)</f>
        <v>1</v>
      </c>
      <c r="G96" s="39">
        <f>IF([8]道具信息!G96="","",[8]道具信息!G96)</f>
        <v>0.8</v>
      </c>
      <c r="H96" s="39">
        <f>IF([8]道具信息!H96="","",[8]道具信息!H96)</f>
        <v>0.5</v>
      </c>
      <c r="I96" s="39">
        <f>IF([8]道具信息!I96="","",[8]道具信息!I96)</f>
        <v>5000</v>
      </c>
      <c r="J96" s="39">
        <f>IF([8]道具信息!J96="","",[8]道具信息!J96)</f>
        <v>4000</v>
      </c>
      <c r="K96" s="39">
        <f>IF([8]道具信息!K96="","",[8]道具信息!K96)</f>
        <v>2500</v>
      </c>
      <c r="L96" s="39" t="str">
        <f>IF([8]道具信息!L96="","",[8]道具信息!L96)</f>
        <v/>
      </c>
      <c r="M96" s="39" t="str">
        <f>IF([8]道具信息!M96="","",[8]道具信息!M96)</f>
        <v/>
      </c>
      <c r="N96" s="39" t="str">
        <f>IF([8]道具信息!N96="","",[8]道具信息!N96)</f>
        <v/>
      </c>
      <c r="O96" s="39" t="str">
        <f>IF([8]道具信息!O96="","",[8]道具信息!O96)</f>
        <v/>
      </c>
      <c r="P96" s="39" t="str">
        <f>IF([8]道具信息!P96="","",[8]道具信息!P96)</f>
        <v/>
      </c>
      <c r="Q96" s="39" t="str">
        <f>IF([8]道具信息!Q96="","",[8]道具信息!Q96)</f>
        <v/>
      </c>
      <c r="R96" s="39" t="str">
        <f>IF([8]道具信息!R96="","",[8]道具信息!R96)</f>
        <v/>
      </c>
      <c r="S96" s="39" t="str">
        <f>IF([8]道具信息!S96="","",[8]道具信息!S96)</f>
        <v/>
      </c>
      <c r="T96" s="39" t="str">
        <f>IF([8]道具信息!T96="","",[8]道具信息!T96)</f>
        <v/>
      </c>
      <c r="U96" s="39" t="str">
        <f>IF([8]道具信息!U96="","",[8]道具信息!U96)</f>
        <v/>
      </c>
      <c r="V96" s="39" t="str">
        <f>IF([8]道具信息!V96="","",[8]道具信息!V96)</f>
        <v/>
      </c>
      <c r="W96" s="39" t="str">
        <f>IF([8]道具信息!W96="","",[8]道具信息!W96)</f>
        <v/>
      </c>
      <c r="X96" s="39" t="str">
        <f>IF([8]道具信息!X96="","",[8]道具信息!X96)</f>
        <v/>
      </c>
      <c r="Y96" s="39" t="str">
        <f>IF([8]道具信息!Y96="","",[8]道具信息!Y96)</f>
        <v/>
      </c>
      <c r="Z96" s="39" t="str">
        <f>IF([8]道具信息!Z96="","",[8]道具信息!Z96)</f>
        <v/>
      </c>
    </row>
    <row r="97" spans="1:26" x14ac:dyDescent="0.15">
      <c r="A97" s="39" t="str">
        <f>IF([8]道具信息!A97="","",[8]道具信息!A97)</f>
        <v/>
      </c>
      <c r="B97" s="39" t="str">
        <f>IF([8]道具信息!B97="","",[8]道具信息!B97)</f>
        <v/>
      </c>
      <c r="C97" s="39" t="str">
        <f>IF([8]道具信息!C97="","",[8]道具信息!C97)</f>
        <v/>
      </c>
      <c r="D97" s="39" t="str">
        <f>IF([8]道具信息!D97="","",[8]道具信息!D97)</f>
        <v>随机红色阵法</v>
      </c>
      <c r="E97" s="39">
        <f>IF([8]道具信息!E97="","",[8]道具信息!E97)</f>
        <v>25000</v>
      </c>
      <c r="F97" s="39">
        <f>IF([8]道具信息!F97="","",[8]道具信息!F97)</f>
        <v>2</v>
      </c>
      <c r="G97" s="39">
        <f>IF([8]道具信息!G97="","",[8]道具信息!G97)</f>
        <v>1.5</v>
      </c>
      <c r="H97" s="39">
        <f>IF([8]道具信息!H97="","",[8]道具信息!H97)</f>
        <v>1</v>
      </c>
      <c r="I97" s="39">
        <f>IF([8]道具信息!I97="","",[8]道具信息!I97)</f>
        <v>50000</v>
      </c>
      <c r="J97" s="39">
        <f>IF([8]道具信息!J97="","",[8]道具信息!J97)</f>
        <v>37500</v>
      </c>
      <c r="K97" s="39">
        <f>IF([8]道具信息!K97="","",[8]道具信息!K97)</f>
        <v>25000</v>
      </c>
      <c r="L97" s="39" t="str">
        <f>IF([8]道具信息!L97="","",[8]道具信息!L97)</f>
        <v/>
      </c>
      <c r="M97" s="39" t="str">
        <f>IF([8]道具信息!M97="","",[8]道具信息!M97)</f>
        <v/>
      </c>
      <c r="N97" s="39" t="str">
        <f>IF([8]道具信息!N97="","",[8]道具信息!N97)</f>
        <v/>
      </c>
      <c r="O97" s="39" t="str">
        <f>IF([8]道具信息!O97="","",[8]道具信息!O97)</f>
        <v/>
      </c>
      <c r="P97" s="39" t="str">
        <f>IF([8]道具信息!P97="","",[8]道具信息!P97)</f>
        <v/>
      </c>
      <c r="Q97" s="39" t="str">
        <f>IF([8]道具信息!Q97="","",[8]道具信息!Q97)</f>
        <v/>
      </c>
      <c r="R97" s="39" t="str">
        <f>IF([8]道具信息!R97="","",[8]道具信息!R97)</f>
        <v/>
      </c>
      <c r="S97" s="39" t="str">
        <f>IF([8]道具信息!S97="","",[8]道具信息!S97)</f>
        <v/>
      </c>
      <c r="T97" s="39" t="str">
        <f>IF([8]道具信息!T97="","",[8]道具信息!T97)</f>
        <v/>
      </c>
      <c r="U97" s="39" t="str">
        <f>IF([8]道具信息!U97="","",[8]道具信息!U97)</f>
        <v/>
      </c>
      <c r="V97" s="39" t="str">
        <f>IF([8]道具信息!V97="","",[8]道具信息!V97)</f>
        <v/>
      </c>
      <c r="W97" s="39" t="str">
        <f>IF([8]道具信息!W97="","",[8]道具信息!W97)</f>
        <v/>
      </c>
      <c r="X97" s="39" t="str">
        <f>IF([8]道具信息!X97="","",[8]道具信息!X97)</f>
        <v/>
      </c>
      <c r="Y97" s="39" t="str">
        <f>IF([8]道具信息!Y97="","",[8]道具信息!Y97)</f>
        <v/>
      </c>
      <c r="Z97" s="39" t="str">
        <f>IF([8]道具信息!Z97="","",[8]道具信息!Z97)</f>
        <v/>
      </c>
    </row>
    <row r="98" spans="1:26" x14ac:dyDescent="0.15">
      <c r="A98" s="39" t="str">
        <f>IF([8]道具信息!A98="","",[8]道具信息!A98)</f>
        <v/>
      </c>
      <c r="B98" s="39" t="str">
        <f>IF([8]道具信息!B98="","",[8]道具信息!B98)</f>
        <v/>
      </c>
      <c r="C98" s="39" t="str">
        <f>IF([8]道具信息!C98="","",[8]道具信息!C98)</f>
        <v/>
      </c>
      <c r="D98" s="39" t="str">
        <f>IF([8]道具信息!D98="","",[8]道具信息!D98)</f>
        <v/>
      </c>
      <c r="E98" s="39" t="str">
        <f>IF([8]道具信息!E98="","",[8]道具信息!E98)</f>
        <v/>
      </c>
      <c r="F98" s="39">
        <f>IF([8]道具信息!F98="","",[8]道具信息!F98)</f>
        <v>1</v>
      </c>
      <c r="G98" s="39">
        <f>IF([8]道具信息!G98="","",[8]道具信息!G98)</f>
        <v>1</v>
      </c>
      <c r="H98" s="39">
        <f>IF([8]道具信息!H98="","",[8]道具信息!H98)</f>
        <v>1</v>
      </c>
      <c r="I98" s="39" t="str">
        <f>IF([8]道具信息!I98="","",[8]道具信息!I98)</f>
        <v/>
      </c>
      <c r="J98" s="39" t="str">
        <f>IF([8]道具信息!J98="","",[8]道具信息!J98)</f>
        <v/>
      </c>
      <c r="K98" s="39" t="str">
        <f>IF([8]道具信息!K98="","",[8]道具信息!K98)</f>
        <v/>
      </c>
      <c r="L98" s="39" t="str">
        <f>IF([8]道具信息!L98="","",[8]道具信息!L98)</f>
        <v/>
      </c>
      <c r="M98" s="39" t="str">
        <f>IF([8]道具信息!M98="","",[8]道具信息!M98)</f>
        <v/>
      </c>
      <c r="N98" s="39" t="str">
        <f>IF([8]道具信息!N98="","",[8]道具信息!N98)</f>
        <v/>
      </c>
      <c r="O98" s="39" t="str">
        <f>IF([8]道具信息!O98="","",[8]道具信息!O98)</f>
        <v/>
      </c>
      <c r="P98" s="39" t="str">
        <f>IF([8]道具信息!P98="","",[8]道具信息!P98)</f>
        <v/>
      </c>
      <c r="Q98" s="39" t="str">
        <f>IF([8]道具信息!Q98="","",[8]道具信息!Q98)</f>
        <v/>
      </c>
      <c r="R98" s="39" t="str">
        <f>IF([8]道具信息!R98="","",[8]道具信息!R98)</f>
        <v/>
      </c>
      <c r="S98" s="39" t="str">
        <f>IF([8]道具信息!S98="","",[8]道具信息!S98)</f>
        <v/>
      </c>
      <c r="T98" s="39" t="str">
        <f>IF([8]道具信息!T98="","",[8]道具信息!T98)</f>
        <v/>
      </c>
      <c r="U98" s="39" t="str">
        <f>IF([8]道具信息!U98="","",[8]道具信息!U98)</f>
        <v/>
      </c>
      <c r="V98" s="39" t="str">
        <f>IF([8]道具信息!V98="","",[8]道具信息!V98)</f>
        <v/>
      </c>
      <c r="W98" s="39" t="str">
        <f>IF([8]道具信息!W98="","",[8]道具信息!W98)</f>
        <v/>
      </c>
      <c r="X98" s="39" t="str">
        <f>IF([8]道具信息!X98="","",[8]道具信息!X98)</f>
        <v/>
      </c>
      <c r="Y98" s="39" t="str">
        <f>IF([8]道具信息!Y98="","",[8]道具信息!Y98)</f>
        <v/>
      </c>
      <c r="Z98" s="39" t="str">
        <f>IF([8]道具信息!Z98="","",[8]道具信息!Z98)</f>
        <v/>
      </c>
    </row>
    <row r="99" spans="1:26" x14ac:dyDescent="0.15">
      <c r="A99" s="39" t="str">
        <f>IF([8]道具信息!A99="","",[8]道具信息!A99)</f>
        <v/>
      </c>
      <c r="B99" s="39" t="str">
        <f>IF([8]道具信息!B99="","",[8]道具信息!B99)</f>
        <v/>
      </c>
      <c r="C99" s="39" t="str">
        <f>IF([8]道具信息!C99="","",[8]道具信息!C99)</f>
        <v/>
      </c>
      <c r="D99" s="39" t="str">
        <f>IF([8]道具信息!D99="","",[8]道具信息!D99)</f>
        <v>随机紫色阵法碎片</v>
      </c>
      <c r="E99" s="39">
        <f>IF([8]道具信息!E99="","",[8]道具信息!E99)</f>
        <v>100</v>
      </c>
      <c r="F99" s="39">
        <f>IF([8]道具信息!F99="","",[8]道具信息!F99)</f>
        <v>1</v>
      </c>
      <c r="G99" s="39">
        <f>IF([8]道具信息!G99="","",[8]道具信息!G99)</f>
        <v>0.75</v>
      </c>
      <c r="H99" s="39">
        <f>IF([8]道具信息!H99="","",[8]道具信息!H99)</f>
        <v>0.5</v>
      </c>
      <c r="I99" s="39">
        <f>IF([8]道具信息!I99="","",[8]道具信息!I99)</f>
        <v>100</v>
      </c>
      <c r="J99" s="39">
        <f>IF([8]道具信息!J99="","",[8]道具信息!J99)</f>
        <v>75</v>
      </c>
      <c r="K99" s="39">
        <f>IF([8]道具信息!K99="","",[8]道具信息!K99)</f>
        <v>50</v>
      </c>
      <c r="L99" s="39" t="str">
        <f>IF([8]道具信息!L99="","",[8]道具信息!L99)</f>
        <v/>
      </c>
      <c r="M99" s="39" t="str">
        <f>IF([8]道具信息!M99="","",[8]道具信息!M99)</f>
        <v/>
      </c>
      <c r="N99" s="39" t="str">
        <f>IF([8]道具信息!N99="","",[8]道具信息!N99)</f>
        <v/>
      </c>
      <c r="O99" s="39" t="str">
        <f>IF([8]道具信息!O99="","",[8]道具信息!O99)</f>
        <v/>
      </c>
      <c r="P99" s="39" t="str">
        <f>IF([8]道具信息!P99="","",[8]道具信息!P99)</f>
        <v/>
      </c>
      <c r="Q99" s="39" t="str">
        <f>IF([8]道具信息!Q99="","",[8]道具信息!Q99)</f>
        <v/>
      </c>
      <c r="R99" s="39" t="str">
        <f>IF([8]道具信息!R99="","",[8]道具信息!R99)</f>
        <v/>
      </c>
      <c r="S99" s="39" t="str">
        <f>IF([8]道具信息!S99="","",[8]道具信息!S99)</f>
        <v/>
      </c>
      <c r="T99" s="39" t="str">
        <f>IF([8]道具信息!T99="","",[8]道具信息!T99)</f>
        <v/>
      </c>
      <c r="U99" s="39" t="str">
        <f>IF([8]道具信息!U99="","",[8]道具信息!U99)</f>
        <v/>
      </c>
      <c r="V99" s="39" t="str">
        <f>IF([8]道具信息!V99="","",[8]道具信息!V99)</f>
        <v/>
      </c>
      <c r="W99" s="39" t="str">
        <f>IF([8]道具信息!W99="","",[8]道具信息!W99)</f>
        <v/>
      </c>
      <c r="X99" s="39" t="str">
        <f>IF([8]道具信息!X99="","",[8]道具信息!X99)</f>
        <v/>
      </c>
      <c r="Y99" s="39" t="str">
        <f>IF([8]道具信息!Y99="","",[8]道具信息!Y99)</f>
        <v/>
      </c>
      <c r="Z99" s="39" t="str">
        <f>IF([8]道具信息!Z99="","",[8]道具信息!Z99)</f>
        <v/>
      </c>
    </row>
    <row r="100" spans="1:26" x14ac:dyDescent="0.15">
      <c r="A100" s="39" t="str">
        <f>IF([8]道具信息!A100="","",[8]道具信息!A100)</f>
        <v/>
      </c>
      <c r="B100" s="39" t="str">
        <f>IF([8]道具信息!B100="","",[8]道具信息!B100)</f>
        <v/>
      </c>
      <c r="C100" s="39" t="str">
        <f>IF([8]道具信息!C100="","",[8]道具信息!C100)</f>
        <v/>
      </c>
      <c r="D100" s="39" t="str">
        <f>IF([8]道具信息!D100="","",[8]道具信息!D100)</f>
        <v>随机橙色阵法碎片</v>
      </c>
      <c r="E100" s="39">
        <f>IF([8]道具信息!E100="","",[8]道具信息!E100)</f>
        <v>166.66666666666666</v>
      </c>
      <c r="F100" s="39">
        <f>IF([8]道具信息!F100="","",[8]道具信息!F100)</f>
        <v>1</v>
      </c>
      <c r="G100" s="39">
        <f>IF([8]道具信息!G100="","",[8]道具信息!G100)</f>
        <v>0.8</v>
      </c>
      <c r="H100" s="39">
        <f>IF([8]道具信息!H100="","",[8]道具信息!H100)</f>
        <v>0.5</v>
      </c>
      <c r="I100" s="39">
        <f>IF([8]道具信息!I100="","",[8]道具信息!I100)</f>
        <v>166.66666666666666</v>
      </c>
      <c r="J100" s="39">
        <f>IF([8]道具信息!J100="","",[8]道具信息!J100)</f>
        <v>133.33333333333334</v>
      </c>
      <c r="K100" s="39">
        <f>IF([8]道具信息!K100="","",[8]道具信息!K100)</f>
        <v>83.333333333333329</v>
      </c>
      <c r="L100" s="39" t="str">
        <f>IF([8]道具信息!L100="","",[8]道具信息!L100)</f>
        <v/>
      </c>
      <c r="M100" s="39" t="str">
        <f>IF([8]道具信息!M100="","",[8]道具信息!M100)</f>
        <v/>
      </c>
      <c r="N100" s="39" t="str">
        <f>IF([8]道具信息!N100="","",[8]道具信息!N100)</f>
        <v/>
      </c>
      <c r="O100" s="39" t="str">
        <f>IF([8]道具信息!O100="","",[8]道具信息!O100)</f>
        <v/>
      </c>
      <c r="P100" s="39" t="str">
        <f>IF([8]道具信息!P100="","",[8]道具信息!P100)</f>
        <v/>
      </c>
      <c r="Q100" s="39" t="str">
        <f>IF([8]道具信息!Q100="","",[8]道具信息!Q100)</f>
        <v/>
      </c>
      <c r="R100" s="39" t="str">
        <f>IF([8]道具信息!R100="","",[8]道具信息!R100)</f>
        <v/>
      </c>
      <c r="S100" s="39" t="str">
        <f>IF([8]道具信息!S100="","",[8]道具信息!S100)</f>
        <v/>
      </c>
      <c r="T100" s="39" t="str">
        <f>IF([8]道具信息!T100="","",[8]道具信息!T100)</f>
        <v/>
      </c>
      <c r="U100" s="39" t="str">
        <f>IF([8]道具信息!U100="","",[8]道具信息!U100)</f>
        <v/>
      </c>
      <c r="V100" s="39" t="str">
        <f>IF([8]道具信息!V100="","",[8]道具信息!V100)</f>
        <v/>
      </c>
      <c r="W100" s="39" t="str">
        <f>IF([8]道具信息!W100="","",[8]道具信息!W100)</f>
        <v/>
      </c>
      <c r="X100" s="39" t="str">
        <f>IF([8]道具信息!X100="","",[8]道具信息!X100)</f>
        <v/>
      </c>
      <c r="Y100" s="39" t="str">
        <f>IF([8]道具信息!Y100="","",[8]道具信息!Y100)</f>
        <v/>
      </c>
      <c r="Z100" s="39" t="str">
        <f>IF([8]道具信息!Z100="","",[8]道具信息!Z100)</f>
        <v/>
      </c>
    </row>
    <row r="101" spans="1:26" x14ac:dyDescent="0.15">
      <c r="A101" s="39" t="str">
        <f>IF([8]道具信息!A101="","",[8]道具信息!A101)</f>
        <v/>
      </c>
      <c r="B101" s="39" t="str">
        <f>IF([8]道具信息!B101="","",[8]道具信息!B101)</f>
        <v/>
      </c>
      <c r="C101" s="39" t="str">
        <f>IF([8]道具信息!C101="","",[8]道具信息!C101)</f>
        <v/>
      </c>
      <c r="D101" s="39" t="str">
        <f>IF([8]道具信息!D101="","",[8]道具信息!D101)</f>
        <v>随机红色阵法碎片</v>
      </c>
      <c r="E101" s="39">
        <f>IF([8]道具信息!E101="","",[8]道具信息!E101)</f>
        <v>500</v>
      </c>
      <c r="F101" s="39">
        <f>IF([8]道具信息!F101="","",[8]道具信息!F101)</f>
        <v>2</v>
      </c>
      <c r="G101" s="39">
        <f>IF([8]道具信息!G101="","",[8]道具信息!G101)</f>
        <v>1.5</v>
      </c>
      <c r="H101" s="39">
        <f>IF([8]道具信息!H101="","",[8]道具信息!H101)</f>
        <v>1</v>
      </c>
      <c r="I101" s="39">
        <f>IF([8]道具信息!I101="","",[8]道具信息!I101)</f>
        <v>1000</v>
      </c>
      <c r="J101" s="39">
        <f>IF([8]道具信息!J101="","",[8]道具信息!J101)</f>
        <v>750</v>
      </c>
      <c r="K101" s="39">
        <f>IF([8]道具信息!K101="","",[8]道具信息!K101)</f>
        <v>500</v>
      </c>
      <c r="L101" s="39" t="str">
        <f>IF([8]道具信息!L101="","",[8]道具信息!L101)</f>
        <v/>
      </c>
      <c r="M101" s="39" t="str">
        <f>IF([8]道具信息!M101="","",[8]道具信息!M101)</f>
        <v/>
      </c>
      <c r="N101" s="39" t="str">
        <f>IF([8]道具信息!N101="","",[8]道具信息!N101)</f>
        <v/>
      </c>
      <c r="O101" s="39" t="str">
        <f>IF([8]道具信息!O101="","",[8]道具信息!O101)</f>
        <v/>
      </c>
      <c r="P101" s="39" t="str">
        <f>IF([8]道具信息!P101="","",[8]道具信息!P101)</f>
        <v/>
      </c>
      <c r="Q101" s="39" t="str">
        <f>IF([8]道具信息!Q101="","",[8]道具信息!Q101)</f>
        <v/>
      </c>
      <c r="R101" s="39" t="str">
        <f>IF([8]道具信息!R101="","",[8]道具信息!R101)</f>
        <v/>
      </c>
      <c r="S101" s="39" t="str">
        <f>IF([8]道具信息!S101="","",[8]道具信息!S101)</f>
        <v/>
      </c>
      <c r="T101" s="39" t="str">
        <f>IF([8]道具信息!T101="","",[8]道具信息!T101)</f>
        <v/>
      </c>
      <c r="U101" s="39" t="str">
        <f>IF([8]道具信息!U101="","",[8]道具信息!U101)</f>
        <v/>
      </c>
      <c r="V101" s="39" t="str">
        <f>IF([8]道具信息!V101="","",[8]道具信息!V101)</f>
        <v/>
      </c>
      <c r="W101" s="39" t="str">
        <f>IF([8]道具信息!W101="","",[8]道具信息!W101)</f>
        <v/>
      </c>
      <c r="X101" s="39" t="str">
        <f>IF([8]道具信息!X101="","",[8]道具信息!X101)</f>
        <v/>
      </c>
      <c r="Y101" s="39" t="str">
        <f>IF([8]道具信息!Y101="","",[8]道具信息!Y101)</f>
        <v/>
      </c>
      <c r="Z101" s="39" t="str">
        <f>IF([8]道具信息!Z101="","",[8]道具信息!Z101)</f>
        <v/>
      </c>
    </row>
    <row r="102" spans="1:26" x14ac:dyDescent="0.15">
      <c r="A102" s="39" t="str">
        <f>IF([8]道具信息!A102="","",[8]道具信息!A102)</f>
        <v/>
      </c>
      <c r="B102" s="39" t="str">
        <f>IF([8]道具信息!B102="","",[8]道具信息!B102)</f>
        <v/>
      </c>
      <c r="C102" s="39" t="str">
        <f>IF([8]道具信息!C102="","",[8]道具信息!C102)</f>
        <v/>
      </c>
      <c r="D102" s="39" t="str">
        <f>IF([8]道具信息!D102="","",[8]道具信息!D102)</f>
        <v/>
      </c>
      <c r="E102" s="39" t="str">
        <f>IF([8]道具信息!E102="","",[8]道具信息!E102)</f>
        <v/>
      </c>
      <c r="F102" s="39">
        <f>IF([8]道具信息!F102="","",[8]道具信息!F102)</f>
        <v>1</v>
      </c>
      <c r="G102" s="39">
        <f>IF([8]道具信息!G102="","",[8]道具信息!G102)</f>
        <v>1</v>
      </c>
      <c r="H102" s="39">
        <f>IF([8]道具信息!H102="","",[8]道具信息!H102)</f>
        <v>1</v>
      </c>
      <c r="I102" s="39" t="str">
        <f>IF([8]道具信息!I102="","",[8]道具信息!I102)</f>
        <v/>
      </c>
      <c r="J102" s="39" t="str">
        <f>IF([8]道具信息!J102="","",[8]道具信息!J102)</f>
        <v/>
      </c>
      <c r="K102" s="39" t="str">
        <f>IF([8]道具信息!K102="","",[8]道具信息!K102)</f>
        <v/>
      </c>
      <c r="L102" s="39" t="str">
        <f>IF([8]道具信息!L102="","",[8]道具信息!L102)</f>
        <v/>
      </c>
      <c r="M102" s="39" t="str">
        <f>IF([8]道具信息!M102="","",[8]道具信息!M102)</f>
        <v/>
      </c>
      <c r="N102" s="39" t="str">
        <f>IF([8]道具信息!N102="","",[8]道具信息!N102)</f>
        <v/>
      </c>
      <c r="O102" s="39" t="str">
        <f>IF([8]道具信息!O102="","",[8]道具信息!O102)</f>
        <v/>
      </c>
      <c r="P102" s="39" t="str">
        <f>IF([8]道具信息!P102="","",[8]道具信息!P102)</f>
        <v/>
      </c>
      <c r="Q102" s="39" t="str">
        <f>IF([8]道具信息!Q102="","",[8]道具信息!Q102)</f>
        <v/>
      </c>
      <c r="R102" s="39" t="str">
        <f>IF([8]道具信息!R102="","",[8]道具信息!R102)</f>
        <v/>
      </c>
      <c r="S102" s="39" t="str">
        <f>IF([8]道具信息!S102="","",[8]道具信息!S102)</f>
        <v/>
      </c>
      <c r="T102" s="39" t="str">
        <f>IF([8]道具信息!T102="","",[8]道具信息!T102)</f>
        <v/>
      </c>
      <c r="U102" s="39" t="str">
        <f>IF([8]道具信息!U102="","",[8]道具信息!U102)</f>
        <v/>
      </c>
      <c r="V102" s="39" t="str">
        <f>IF([8]道具信息!V102="","",[8]道具信息!V102)</f>
        <v/>
      </c>
      <c r="W102" s="39" t="str">
        <f>IF([8]道具信息!W102="","",[8]道具信息!W102)</f>
        <v/>
      </c>
      <c r="X102" s="39" t="str">
        <f>IF([8]道具信息!X102="","",[8]道具信息!X102)</f>
        <v/>
      </c>
      <c r="Y102" s="39" t="str">
        <f>IF([8]道具信息!Y102="","",[8]道具信息!Y102)</f>
        <v/>
      </c>
      <c r="Z102" s="39" t="str">
        <f>IF([8]道具信息!Z102="","",[8]道具信息!Z102)</f>
        <v/>
      </c>
    </row>
    <row r="103" spans="1:26" x14ac:dyDescent="0.15">
      <c r="A103" s="39" t="str">
        <f>IF([8]道具信息!A103="","",[8]道具信息!A103)</f>
        <v/>
      </c>
      <c r="B103" s="39" t="str">
        <f>IF([8]道具信息!B103="","",[8]道具信息!B103)</f>
        <v/>
      </c>
      <c r="C103" s="39" t="str">
        <f>IF([8]道具信息!C103="","",[8]道具信息!C103)</f>
        <v/>
      </c>
      <c r="D103" s="39" t="str">
        <f>IF([8]道具信息!D103="","",[8]道具信息!D103)</f>
        <v>指定蓝色阵法</v>
      </c>
      <c r="E103" s="39">
        <f>IF([8]道具信息!E103="","",[8]道具信息!E103)</f>
        <v>100</v>
      </c>
      <c r="F103" s="39">
        <f>IF([8]道具信息!F103="","",[8]道具信息!F103)</f>
        <v>1</v>
      </c>
      <c r="G103" s="39">
        <f>IF([8]道具信息!G103="","",[8]道具信息!G103)</f>
        <v>1</v>
      </c>
      <c r="H103" s="39">
        <f>IF([8]道具信息!H103="","",[8]道具信息!H103)</f>
        <v>1</v>
      </c>
      <c r="I103" s="39">
        <f>IF([8]道具信息!I103="","",[8]道具信息!I103)</f>
        <v>100</v>
      </c>
      <c r="J103" s="39">
        <f>IF([8]道具信息!J103="","",[8]道具信息!J103)</f>
        <v>100</v>
      </c>
      <c r="K103" s="39">
        <f>IF([8]道具信息!K103="","",[8]道具信息!K103)</f>
        <v>100</v>
      </c>
      <c r="L103" s="39" t="str">
        <f>IF([8]道具信息!L103="","",[8]道具信息!L103)</f>
        <v/>
      </c>
      <c r="M103" s="39" t="str">
        <f>IF([8]道具信息!M103="","",[8]道具信息!M103)</f>
        <v/>
      </c>
      <c r="N103" s="39" t="str">
        <f>IF([8]道具信息!N103="","",[8]道具信息!N103)</f>
        <v/>
      </c>
      <c r="O103" s="39" t="str">
        <f>IF([8]道具信息!O103="","",[8]道具信息!O103)</f>
        <v/>
      </c>
      <c r="P103" s="39" t="str">
        <f>IF([8]道具信息!P103="","",[8]道具信息!P103)</f>
        <v/>
      </c>
      <c r="Q103" s="39" t="str">
        <f>IF([8]道具信息!Q103="","",[8]道具信息!Q103)</f>
        <v/>
      </c>
      <c r="R103" s="39" t="str">
        <f>IF([8]道具信息!R103="","",[8]道具信息!R103)</f>
        <v/>
      </c>
      <c r="S103" s="39" t="str">
        <f>IF([8]道具信息!S103="","",[8]道具信息!S103)</f>
        <v/>
      </c>
      <c r="T103" s="39" t="str">
        <f>IF([8]道具信息!T103="","",[8]道具信息!T103)</f>
        <v/>
      </c>
      <c r="U103" s="39" t="str">
        <f>IF([8]道具信息!U103="","",[8]道具信息!U103)</f>
        <v/>
      </c>
      <c r="V103" s="39" t="str">
        <f>IF([8]道具信息!V103="","",[8]道具信息!V103)</f>
        <v/>
      </c>
      <c r="W103" s="39" t="str">
        <f>IF([8]道具信息!W103="","",[8]道具信息!W103)</f>
        <v/>
      </c>
      <c r="X103" s="39" t="str">
        <f>IF([8]道具信息!X103="","",[8]道具信息!X103)</f>
        <v/>
      </c>
      <c r="Y103" s="39" t="str">
        <f>IF([8]道具信息!Y103="","",[8]道具信息!Y103)</f>
        <v/>
      </c>
      <c r="Z103" s="39" t="str">
        <f>IF([8]道具信息!Z103="","",[8]道具信息!Z103)</f>
        <v/>
      </c>
    </row>
    <row r="104" spans="1:26" x14ac:dyDescent="0.15">
      <c r="A104" s="39" t="str">
        <f>IF([8]道具信息!A104="","",[8]道具信息!A104)</f>
        <v/>
      </c>
      <c r="B104" s="39" t="str">
        <f>IF([8]道具信息!B104="","",[8]道具信息!B104)</f>
        <v/>
      </c>
      <c r="C104" s="39" t="str">
        <f>IF([8]道具信息!C104="","",[8]道具信息!C104)</f>
        <v/>
      </c>
      <c r="D104" s="39" t="str">
        <f>IF([8]道具信息!D104="","",[8]道具信息!D104)</f>
        <v>指定紫色阵法</v>
      </c>
      <c r="E104" s="39">
        <f>IF([8]道具信息!E104="","",[8]道具信息!E104)</f>
        <v>1000</v>
      </c>
      <c r="F104" s="39">
        <f>IF([8]道具信息!F104="","",[8]道具信息!F104)</f>
        <v>1.5</v>
      </c>
      <c r="G104" s="39">
        <f>IF([8]道具信息!G104="","",[8]道具信息!G104)</f>
        <v>1</v>
      </c>
      <c r="H104" s="39">
        <f>IF([8]道具信息!H104="","",[8]道具信息!H104)</f>
        <v>1</v>
      </c>
      <c r="I104" s="39">
        <f>IF([8]道具信息!I104="","",[8]道具信息!I104)</f>
        <v>1500</v>
      </c>
      <c r="J104" s="39">
        <f>IF([8]道具信息!J104="","",[8]道具信息!J104)</f>
        <v>1000</v>
      </c>
      <c r="K104" s="39">
        <f>IF([8]道具信息!K104="","",[8]道具信息!K104)</f>
        <v>1000</v>
      </c>
      <c r="L104" s="39" t="str">
        <f>IF([8]道具信息!L104="","",[8]道具信息!L104)</f>
        <v/>
      </c>
      <c r="M104" s="39" t="str">
        <f>IF([8]道具信息!M104="","",[8]道具信息!M104)</f>
        <v/>
      </c>
      <c r="N104" s="39" t="str">
        <f>IF([8]道具信息!N104="","",[8]道具信息!N104)</f>
        <v/>
      </c>
      <c r="O104" s="39" t="str">
        <f>IF([8]道具信息!O104="","",[8]道具信息!O104)</f>
        <v/>
      </c>
      <c r="P104" s="39" t="str">
        <f>IF([8]道具信息!P104="","",[8]道具信息!P104)</f>
        <v/>
      </c>
      <c r="Q104" s="39" t="str">
        <f>IF([8]道具信息!Q104="","",[8]道具信息!Q104)</f>
        <v/>
      </c>
      <c r="R104" s="39" t="str">
        <f>IF([8]道具信息!R104="","",[8]道具信息!R104)</f>
        <v/>
      </c>
      <c r="S104" s="39" t="str">
        <f>IF([8]道具信息!S104="","",[8]道具信息!S104)</f>
        <v/>
      </c>
      <c r="T104" s="39" t="str">
        <f>IF([8]道具信息!T104="","",[8]道具信息!T104)</f>
        <v/>
      </c>
      <c r="U104" s="39" t="str">
        <f>IF([8]道具信息!U104="","",[8]道具信息!U104)</f>
        <v/>
      </c>
      <c r="V104" s="39" t="str">
        <f>IF([8]道具信息!V104="","",[8]道具信息!V104)</f>
        <v/>
      </c>
      <c r="W104" s="39" t="str">
        <f>IF([8]道具信息!W104="","",[8]道具信息!W104)</f>
        <v/>
      </c>
      <c r="X104" s="39" t="str">
        <f>IF([8]道具信息!X104="","",[8]道具信息!X104)</f>
        <v/>
      </c>
      <c r="Y104" s="39" t="str">
        <f>IF([8]道具信息!Y104="","",[8]道具信息!Y104)</f>
        <v/>
      </c>
      <c r="Z104" s="39" t="str">
        <f>IF([8]道具信息!Z104="","",[8]道具信息!Z104)</f>
        <v/>
      </c>
    </row>
    <row r="105" spans="1:26" x14ac:dyDescent="0.15">
      <c r="A105" s="39" t="str">
        <f>IF([8]道具信息!A105="","",[8]道具信息!A105)</f>
        <v/>
      </c>
      <c r="B105" s="39" t="str">
        <f>IF([8]道具信息!B105="","",[8]道具信息!B105)</f>
        <v/>
      </c>
      <c r="C105" s="39" t="str">
        <f>IF([8]道具信息!C105="","",[8]道具信息!C105)</f>
        <v/>
      </c>
      <c r="D105" s="39" t="str">
        <f>IF([8]道具信息!D105="","",[8]道具信息!D105)</f>
        <v>指定橙色阵法</v>
      </c>
      <c r="E105" s="39">
        <f>IF([8]道具信息!E105="","",[8]道具信息!E105)</f>
        <v>5000</v>
      </c>
      <c r="F105" s="39">
        <f>IF([8]道具信息!F105="","",[8]道具信息!F105)</f>
        <v>2</v>
      </c>
      <c r="G105" s="39">
        <f>IF([8]道具信息!G105="","",[8]道具信息!G105)</f>
        <v>1.5</v>
      </c>
      <c r="H105" s="39">
        <f>IF([8]道具信息!H105="","",[8]道具信息!H105)</f>
        <v>1</v>
      </c>
      <c r="I105" s="39">
        <f>IF([8]道具信息!I105="","",[8]道具信息!I105)</f>
        <v>10000</v>
      </c>
      <c r="J105" s="39">
        <f>IF([8]道具信息!J105="","",[8]道具信息!J105)</f>
        <v>7500</v>
      </c>
      <c r="K105" s="39">
        <f>IF([8]道具信息!K105="","",[8]道具信息!K105)</f>
        <v>5000</v>
      </c>
      <c r="L105" s="39" t="str">
        <f>IF([8]道具信息!L105="","",[8]道具信息!L105)</f>
        <v/>
      </c>
      <c r="M105" s="39" t="str">
        <f>IF([8]道具信息!M105="","",[8]道具信息!M105)</f>
        <v/>
      </c>
      <c r="N105" s="39" t="str">
        <f>IF([8]道具信息!N105="","",[8]道具信息!N105)</f>
        <v/>
      </c>
      <c r="O105" s="39" t="str">
        <f>IF([8]道具信息!O105="","",[8]道具信息!O105)</f>
        <v/>
      </c>
      <c r="P105" s="39" t="str">
        <f>IF([8]道具信息!P105="","",[8]道具信息!P105)</f>
        <v/>
      </c>
      <c r="Q105" s="39" t="str">
        <f>IF([8]道具信息!Q105="","",[8]道具信息!Q105)</f>
        <v/>
      </c>
      <c r="R105" s="39" t="str">
        <f>IF([8]道具信息!R105="","",[8]道具信息!R105)</f>
        <v/>
      </c>
      <c r="S105" s="39" t="str">
        <f>IF([8]道具信息!S105="","",[8]道具信息!S105)</f>
        <v/>
      </c>
      <c r="T105" s="39" t="str">
        <f>IF([8]道具信息!T105="","",[8]道具信息!T105)</f>
        <v/>
      </c>
      <c r="U105" s="39" t="str">
        <f>IF([8]道具信息!U105="","",[8]道具信息!U105)</f>
        <v/>
      </c>
      <c r="V105" s="39" t="str">
        <f>IF([8]道具信息!V105="","",[8]道具信息!V105)</f>
        <v/>
      </c>
      <c r="W105" s="39" t="str">
        <f>IF([8]道具信息!W105="","",[8]道具信息!W105)</f>
        <v/>
      </c>
      <c r="X105" s="39" t="str">
        <f>IF([8]道具信息!X105="","",[8]道具信息!X105)</f>
        <v/>
      </c>
      <c r="Y105" s="39" t="str">
        <f>IF([8]道具信息!Y105="","",[8]道具信息!Y105)</f>
        <v/>
      </c>
      <c r="Z105" s="39" t="str">
        <f>IF([8]道具信息!Z105="","",[8]道具信息!Z105)</f>
        <v/>
      </c>
    </row>
    <row r="106" spans="1:26" x14ac:dyDescent="0.15">
      <c r="A106" s="39" t="str">
        <f>IF([8]道具信息!A106="","",[8]道具信息!A106)</f>
        <v/>
      </c>
      <c r="B106" s="39" t="str">
        <f>IF([8]道具信息!B106="","",[8]道具信息!B106)</f>
        <v/>
      </c>
      <c r="C106" s="39" t="str">
        <f>IF([8]道具信息!C106="","",[8]道具信息!C106)</f>
        <v/>
      </c>
      <c r="D106" s="39" t="str">
        <f>IF([8]道具信息!D106="","",[8]道具信息!D106)</f>
        <v>指定红色阵法</v>
      </c>
      <c r="E106" s="39">
        <f>IF([8]道具信息!E106="","",[8]道具信息!E106)</f>
        <v>25000</v>
      </c>
      <c r="F106" s="39">
        <f>IF([8]道具信息!F106="","",[8]道具信息!F106)</f>
        <v>2</v>
      </c>
      <c r="G106" s="39">
        <f>IF([8]道具信息!G106="","",[8]道具信息!G106)</f>
        <v>1.5</v>
      </c>
      <c r="H106" s="39">
        <f>IF([8]道具信息!H106="","",[8]道具信息!H106)</f>
        <v>1</v>
      </c>
      <c r="I106" s="39">
        <f>IF([8]道具信息!I106="","",[8]道具信息!I106)</f>
        <v>50000</v>
      </c>
      <c r="J106" s="39">
        <f>IF([8]道具信息!J106="","",[8]道具信息!J106)</f>
        <v>37500</v>
      </c>
      <c r="K106" s="39">
        <f>IF([8]道具信息!K106="","",[8]道具信息!K106)</f>
        <v>25000</v>
      </c>
      <c r="L106" s="39" t="str">
        <f>IF([8]道具信息!L106="","",[8]道具信息!L106)</f>
        <v/>
      </c>
      <c r="M106" s="39" t="str">
        <f>IF([8]道具信息!M106="","",[8]道具信息!M106)</f>
        <v/>
      </c>
      <c r="N106" s="39" t="str">
        <f>IF([8]道具信息!N106="","",[8]道具信息!N106)</f>
        <v/>
      </c>
      <c r="O106" s="39" t="str">
        <f>IF([8]道具信息!O106="","",[8]道具信息!O106)</f>
        <v/>
      </c>
      <c r="P106" s="39" t="str">
        <f>IF([8]道具信息!P106="","",[8]道具信息!P106)</f>
        <v/>
      </c>
      <c r="Q106" s="39" t="str">
        <f>IF([8]道具信息!Q106="","",[8]道具信息!Q106)</f>
        <v/>
      </c>
      <c r="R106" s="39" t="str">
        <f>IF([8]道具信息!R106="","",[8]道具信息!R106)</f>
        <v/>
      </c>
      <c r="S106" s="39" t="str">
        <f>IF([8]道具信息!S106="","",[8]道具信息!S106)</f>
        <v/>
      </c>
      <c r="T106" s="39" t="str">
        <f>IF([8]道具信息!T106="","",[8]道具信息!T106)</f>
        <v/>
      </c>
      <c r="U106" s="39" t="str">
        <f>IF([8]道具信息!U106="","",[8]道具信息!U106)</f>
        <v/>
      </c>
      <c r="V106" s="39" t="str">
        <f>IF([8]道具信息!V106="","",[8]道具信息!V106)</f>
        <v/>
      </c>
      <c r="W106" s="39" t="str">
        <f>IF([8]道具信息!W106="","",[8]道具信息!W106)</f>
        <v/>
      </c>
      <c r="X106" s="39" t="str">
        <f>IF([8]道具信息!X106="","",[8]道具信息!X106)</f>
        <v/>
      </c>
      <c r="Y106" s="39" t="str">
        <f>IF([8]道具信息!Y106="","",[8]道具信息!Y106)</f>
        <v/>
      </c>
      <c r="Z106" s="39" t="str">
        <f>IF([8]道具信息!Z106="","",[8]道具信息!Z106)</f>
        <v/>
      </c>
    </row>
    <row r="107" spans="1:26" x14ac:dyDescent="0.15">
      <c r="A107" s="39" t="str">
        <f>IF([8]道具信息!A107="","",[8]道具信息!A107)</f>
        <v/>
      </c>
      <c r="B107" s="39" t="str">
        <f>IF([8]道具信息!B107="","",[8]道具信息!B107)</f>
        <v/>
      </c>
      <c r="C107" s="39" t="str">
        <f>IF([8]道具信息!C107="","",[8]道具信息!C107)</f>
        <v/>
      </c>
      <c r="D107" s="39" t="str">
        <f>IF([8]道具信息!D107="","",[8]道具信息!D107)</f>
        <v/>
      </c>
      <c r="E107" s="39" t="str">
        <f>IF([8]道具信息!E107="","",[8]道具信息!E107)</f>
        <v/>
      </c>
      <c r="F107" s="39">
        <f>IF([8]道具信息!F107="","",[8]道具信息!F107)</f>
        <v>1</v>
      </c>
      <c r="G107" s="39">
        <f>IF([8]道具信息!G107="","",[8]道具信息!G107)</f>
        <v>1</v>
      </c>
      <c r="H107" s="39">
        <f>IF([8]道具信息!H107="","",[8]道具信息!H107)</f>
        <v>1</v>
      </c>
      <c r="I107" s="39" t="str">
        <f>IF([8]道具信息!I107="","",[8]道具信息!I107)</f>
        <v/>
      </c>
      <c r="J107" s="39" t="str">
        <f>IF([8]道具信息!J107="","",[8]道具信息!J107)</f>
        <v/>
      </c>
      <c r="K107" s="39" t="str">
        <f>IF([8]道具信息!K107="","",[8]道具信息!K107)</f>
        <v/>
      </c>
      <c r="L107" s="39" t="str">
        <f>IF([8]道具信息!L107="","",[8]道具信息!L107)</f>
        <v/>
      </c>
      <c r="M107" s="39" t="str">
        <f>IF([8]道具信息!M107="","",[8]道具信息!M107)</f>
        <v/>
      </c>
      <c r="N107" s="39" t="str">
        <f>IF([8]道具信息!N107="","",[8]道具信息!N107)</f>
        <v/>
      </c>
      <c r="O107" s="39" t="str">
        <f>IF([8]道具信息!O107="","",[8]道具信息!O107)</f>
        <v/>
      </c>
      <c r="P107" s="39" t="str">
        <f>IF([8]道具信息!P107="","",[8]道具信息!P107)</f>
        <v/>
      </c>
      <c r="Q107" s="39" t="str">
        <f>IF([8]道具信息!Q107="","",[8]道具信息!Q107)</f>
        <v/>
      </c>
      <c r="R107" s="39" t="str">
        <f>IF([8]道具信息!R107="","",[8]道具信息!R107)</f>
        <v/>
      </c>
      <c r="S107" s="39" t="str">
        <f>IF([8]道具信息!S107="","",[8]道具信息!S107)</f>
        <v/>
      </c>
      <c r="T107" s="39" t="str">
        <f>IF([8]道具信息!T107="","",[8]道具信息!T107)</f>
        <v/>
      </c>
      <c r="U107" s="39" t="str">
        <f>IF([8]道具信息!U107="","",[8]道具信息!U107)</f>
        <v/>
      </c>
      <c r="V107" s="39" t="str">
        <f>IF([8]道具信息!V107="","",[8]道具信息!V107)</f>
        <v/>
      </c>
      <c r="W107" s="39" t="str">
        <f>IF([8]道具信息!W107="","",[8]道具信息!W107)</f>
        <v/>
      </c>
      <c r="X107" s="39" t="str">
        <f>IF([8]道具信息!X107="","",[8]道具信息!X107)</f>
        <v/>
      </c>
      <c r="Y107" s="39" t="str">
        <f>IF([8]道具信息!Y107="","",[8]道具信息!Y107)</f>
        <v/>
      </c>
      <c r="Z107" s="39" t="str">
        <f>IF([8]道具信息!Z107="","",[8]道具信息!Z107)</f>
        <v/>
      </c>
    </row>
    <row r="108" spans="1:26" x14ac:dyDescent="0.15">
      <c r="A108" s="39" t="str">
        <f>IF([8]道具信息!A108="","",[8]道具信息!A108)</f>
        <v/>
      </c>
      <c r="B108" s="39" t="str">
        <f>IF([8]道具信息!B108="","",[8]道具信息!B108)</f>
        <v/>
      </c>
      <c r="C108" s="39" t="str">
        <f>IF([8]道具信息!C108="","",[8]道具信息!C108)</f>
        <v/>
      </c>
      <c r="D108" s="39" t="str">
        <f>IF([8]道具信息!D108="","",[8]道具信息!D108)</f>
        <v>指定紫色阵法碎片</v>
      </c>
      <c r="E108" s="39">
        <f>IF([8]道具信息!E108="","",[8]道具信息!E108)</f>
        <v>100</v>
      </c>
      <c r="F108" s="39">
        <f>IF([8]道具信息!F108="","",[8]道具信息!F108)</f>
        <v>1.5</v>
      </c>
      <c r="G108" s="39">
        <f>IF([8]道具信息!G108="","",[8]道具信息!G108)</f>
        <v>1</v>
      </c>
      <c r="H108" s="39">
        <f>IF([8]道具信息!H108="","",[8]道具信息!H108)</f>
        <v>1</v>
      </c>
      <c r="I108" s="39">
        <f>IF([8]道具信息!I108="","",[8]道具信息!I108)</f>
        <v>150</v>
      </c>
      <c r="J108" s="39">
        <f>IF([8]道具信息!J108="","",[8]道具信息!J108)</f>
        <v>100</v>
      </c>
      <c r="K108" s="39">
        <f>IF([8]道具信息!K108="","",[8]道具信息!K108)</f>
        <v>100</v>
      </c>
      <c r="L108" s="39" t="str">
        <f>IF([8]道具信息!L108="","",[8]道具信息!L108)</f>
        <v/>
      </c>
      <c r="M108" s="39" t="str">
        <f>IF([8]道具信息!M108="","",[8]道具信息!M108)</f>
        <v/>
      </c>
      <c r="N108" s="39" t="str">
        <f>IF([8]道具信息!N108="","",[8]道具信息!N108)</f>
        <v/>
      </c>
      <c r="O108" s="39" t="str">
        <f>IF([8]道具信息!O108="","",[8]道具信息!O108)</f>
        <v/>
      </c>
      <c r="P108" s="39" t="str">
        <f>IF([8]道具信息!P108="","",[8]道具信息!P108)</f>
        <v/>
      </c>
      <c r="Q108" s="39" t="str">
        <f>IF([8]道具信息!Q108="","",[8]道具信息!Q108)</f>
        <v/>
      </c>
      <c r="R108" s="39" t="str">
        <f>IF([8]道具信息!R108="","",[8]道具信息!R108)</f>
        <v/>
      </c>
      <c r="S108" s="39" t="str">
        <f>IF([8]道具信息!S108="","",[8]道具信息!S108)</f>
        <v/>
      </c>
      <c r="T108" s="39" t="str">
        <f>IF([8]道具信息!T108="","",[8]道具信息!T108)</f>
        <v/>
      </c>
      <c r="U108" s="39" t="str">
        <f>IF([8]道具信息!U108="","",[8]道具信息!U108)</f>
        <v/>
      </c>
      <c r="V108" s="39" t="str">
        <f>IF([8]道具信息!V108="","",[8]道具信息!V108)</f>
        <v/>
      </c>
      <c r="W108" s="39" t="str">
        <f>IF([8]道具信息!W108="","",[8]道具信息!W108)</f>
        <v/>
      </c>
      <c r="X108" s="39" t="str">
        <f>IF([8]道具信息!X108="","",[8]道具信息!X108)</f>
        <v/>
      </c>
      <c r="Y108" s="39" t="str">
        <f>IF([8]道具信息!Y108="","",[8]道具信息!Y108)</f>
        <v/>
      </c>
      <c r="Z108" s="39" t="str">
        <f>IF([8]道具信息!Z108="","",[8]道具信息!Z108)</f>
        <v/>
      </c>
    </row>
    <row r="109" spans="1:26" x14ac:dyDescent="0.15">
      <c r="A109" s="39" t="str">
        <f>IF([8]道具信息!A109="","",[8]道具信息!A109)</f>
        <v/>
      </c>
      <c r="B109" s="39" t="str">
        <f>IF([8]道具信息!B109="","",[8]道具信息!B109)</f>
        <v/>
      </c>
      <c r="C109" s="39" t="str">
        <f>IF([8]道具信息!C109="","",[8]道具信息!C109)</f>
        <v/>
      </c>
      <c r="D109" s="39" t="str">
        <f>IF([8]道具信息!D109="","",[8]道具信息!D109)</f>
        <v>指定橙色阵法碎片</v>
      </c>
      <c r="E109" s="39">
        <f>IF([8]道具信息!E109="","",[8]道具信息!E109)</f>
        <v>166.66666666666666</v>
      </c>
      <c r="F109" s="39">
        <f>IF([8]道具信息!F109="","",[8]道具信息!F109)</f>
        <v>2</v>
      </c>
      <c r="G109" s="39">
        <f>IF([8]道具信息!G109="","",[8]道具信息!G109)</f>
        <v>1.5</v>
      </c>
      <c r="H109" s="39">
        <f>IF([8]道具信息!H109="","",[8]道具信息!H109)</f>
        <v>1</v>
      </c>
      <c r="I109" s="39">
        <f>IF([8]道具信息!I109="","",[8]道具信息!I109)</f>
        <v>333.33333333333331</v>
      </c>
      <c r="J109" s="39">
        <f>IF([8]道具信息!J109="","",[8]道具信息!J109)</f>
        <v>250</v>
      </c>
      <c r="K109" s="39">
        <f>IF([8]道具信息!K109="","",[8]道具信息!K109)</f>
        <v>166.66666666666666</v>
      </c>
      <c r="L109" s="39" t="str">
        <f>IF([8]道具信息!L109="","",[8]道具信息!L109)</f>
        <v/>
      </c>
      <c r="M109" s="39" t="str">
        <f>IF([8]道具信息!M109="","",[8]道具信息!M109)</f>
        <v/>
      </c>
      <c r="N109" s="39" t="str">
        <f>IF([8]道具信息!N109="","",[8]道具信息!N109)</f>
        <v/>
      </c>
      <c r="O109" s="39" t="str">
        <f>IF([8]道具信息!O109="","",[8]道具信息!O109)</f>
        <v/>
      </c>
      <c r="P109" s="39" t="str">
        <f>IF([8]道具信息!P109="","",[8]道具信息!P109)</f>
        <v/>
      </c>
      <c r="Q109" s="39" t="str">
        <f>IF([8]道具信息!Q109="","",[8]道具信息!Q109)</f>
        <v/>
      </c>
      <c r="R109" s="39" t="str">
        <f>IF([8]道具信息!R109="","",[8]道具信息!R109)</f>
        <v/>
      </c>
      <c r="S109" s="39" t="str">
        <f>IF([8]道具信息!S109="","",[8]道具信息!S109)</f>
        <v/>
      </c>
      <c r="T109" s="39" t="str">
        <f>IF([8]道具信息!T109="","",[8]道具信息!T109)</f>
        <v/>
      </c>
      <c r="U109" s="39" t="str">
        <f>IF([8]道具信息!U109="","",[8]道具信息!U109)</f>
        <v/>
      </c>
      <c r="V109" s="39" t="str">
        <f>IF([8]道具信息!V109="","",[8]道具信息!V109)</f>
        <v/>
      </c>
      <c r="W109" s="39" t="str">
        <f>IF([8]道具信息!W109="","",[8]道具信息!W109)</f>
        <v/>
      </c>
      <c r="X109" s="39" t="str">
        <f>IF([8]道具信息!X109="","",[8]道具信息!X109)</f>
        <v/>
      </c>
      <c r="Y109" s="39" t="str">
        <f>IF([8]道具信息!Y109="","",[8]道具信息!Y109)</f>
        <v/>
      </c>
      <c r="Z109" s="39" t="str">
        <f>IF([8]道具信息!Z109="","",[8]道具信息!Z109)</f>
        <v/>
      </c>
    </row>
    <row r="110" spans="1:26" x14ac:dyDescent="0.15">
      <c r="A110" s="39" t="str">
        <f>IF([8]道具信息!A110="","",[8]道具信息!A110)</f>
        <v/>
      </c>
      <c r="B110" s="39" t="str">
        <f>IF([8]道具信息!B110="","",[8]道具信息!B110)</f>
        <v/>
      </c>
      <c r="C110" s="39" t="str">
        <f>IF([8]道具信息!C110="","",[8]道具信息!C110)</f>
        <v/>
      </c>
      <c r="D110" s="39" t="str">
        <f>IF([8]道具信息!D110="","",[8]道具信息!D110)</f>
        <v>指定红色阵法碎片</v>
      </c>
      <c r="E110" s="39">
        <f>IF([8]道具信息!E110="","",[8]道具信息!E110)</f>
        <v>500</v>
      </c>
      <c r="F110" s="39">
        <f>IF([8]道具信息!F110="","",[8]道具信息!F110)</f>
        <v>2</v>
      </c>
      <c r="G110" s="39">
        <f>IF([8]道具信息!G110="","",[8]道具信息!G110)</f>
        <v>1.5</v>
      </c>
      <c r="H110" s="39">
        <f>IF([8]道具信息!H110="","",[8]道具信息!H110)</f>
        <v>1</v>
      </c>
      <c r="I110" s="39">
        <f>IF([8]道具信息!I110="","",[8]道具信息!I110)</f>
        <v>1000</v>
      </c>
      <c r="J110" s="39">
        <f>IF([8]道具信息!J110="","",[8]道具信息!J110)</f>
        <v>750</v>
      </c>
      <c r="K110" s="39">
        <f>IF([8]道具信息!K110="","",[8]道具信息!K110)</f>
        <v>500</v>
      </c>
      <c r="L110" s="39" t="str">
        <f>IF([8]道具信息!L110="","",[8]道具信息!L110)</f>
        <v/>
      </c>
      <c r="M110" s="39" t="str">
        <f>IF([8]道具信息!M110="","",[8]道具信息!M110)</f>
        <v/>
      </c>
      <c r="N110" s="39" t="str">
        <f>IF([8]道具信息!N110="","",[8]道具信息!N110)</f>
        <v/>
      </c>
      <c r="O110" s="39" t="str">
        <f>IF([8]道具信息!O110="","",[8]道具信息!O110)</f>
        <v/>
      </c>
      <c r="P110" s="39" t="str">
        <f>IF([8]道具信息!P110="","",[8]道具信息!P110)</f>
        <v/>
      </c>
      <c r="Q110" s="39" t="str">
        <f>IF([8]道具信息!Q110="","",[8]道具信息!Q110)</f>
        <v/>
      </c>
      <c r="R110" s="39" t="str">
        <f>IF([8]道具信息!R110="","",[8]道具信息!R110)</f>
        <v/>
      </c>
      <c r="S110" s="39" t="str">
        <f>IF([8]道具信息!S110="","",[8]道具信息!S110)</f>
        <v/>
      </c>
      <c r="T110" s="39" t="str">
        <f>IF([8]道具信息!T110="","",[8]道具信息!T110)</f>
        <v/>
      </c>
      <c r="U110" s="39" t="str">
        <f>IF([8]道具信息!U110="","",[8]道具信息!U110)</f>
        <v/>
      </c>
      <c r="V110" s="39" t="str">
        <f>IF([8]道具信息!V110="","",[8]道具信息!V110)</f>
        <v/>
      </c>
      <c r="W110" s="39" t="str">
        <f>IF([8]道具信息!W110="","",[8]道具信息!W110)</f>
        <v/>
      </c>
      <c r="X110" s="39" t="str">
        <f>IF([8]道具信息!X110="","",[8]道具信息!X110)</f>
        <v/>
      </c>
      <c r="Y110" s="39" t="str">
        <f>IF([8]道具信息!Y110="","",[8]道具信息!Y110)</f>
        <v/>
      </c>
      <c r="Z110" s="39" t="str">
        <f>IF([8]道具信息!Z110="","",[8]道具信息!Z110)</f>
        <v/>
      </c>
    </row>
    <row r="111" spans="1:26" x14ac:dyDescent="0.15">
      <c r="A111" s="39" t="str">
        <f>IF([8]道具信息!A111="","",[8]道具信息!A111)</f>
        <v/>
      </c>
      <c r="B111" s="39" t="str">
        <f>IF([8]道具信息!B111="","",[8]道具信息!B111)</f>
        <v/>
      </c>
      <c r="C111" s="39" t="str">
        <f>IF([8]道具信息!C111="","",[8]道具信息!C111)</f>
        <v/>
      </c>
      <c r="D111" s="39" t="str">
        <f>IF([8]道具信息!D111="","",[8]道具信息!D111)</f>
        <v/>
      </c>
      <c r="E111" s="39" t="str">
        <f>IF([8]道具信息!E111="","",[8]道具信息!E111)</f>
        <v/>
      </c>
      <c r="F111" s="39">
        <f>IF([8]道具信息!F111="","",[8]道具信息!F111)</f>
        <v>1</v>
      </c>
      <c r="G111" s="39">
        <f>IF([8]道具信息!G111="","",[8]道具信息!G111)</f>
        <v>1</v>
      </c>
      <c r="H111" s="39">
        <f>IF([8]道具信息!H111="","",[8]道具信息!H111)</f>
        <v>1</v>
      </c>
      <c r="I111" s="39" t="str">
        <f>IF([8]道具信息!I111="","",[8]道具信息!I111)</f>
        <v/>
      </c>
      <c r="J111" s="39" t="str">
        <f>IF([8]道具信息!J111="","",[8]道具信息!J111)</f>
        <v/>
      </c>
      <c r="K111" s="39" t="str">
        <f>IF([8]道具信息!K111="","",[8]道具信息!K111)</f>
        <v/>
      </c>
      <c r="L111" s="39" t="str">
        <f>IF([8]道具信息!L111="","",[8]道具信息!L111)</f>
        <v/>
      </c>
      <c r="M111" s="39" t="str">
        <f>IF([8]道具信息!M111="","",[8]道具信息!M111)</f>
        <v/>
      </c>
      <c r="N111" s="39" t="str">
        <f>IF([8]道具信息!N111="","",[8]道具信息!N111)</f>
        <v/>
      </c>
      <c r="O111" s="39" t="str">
        <f>IF([8]道具信息!O111="","",[8]道具信息!O111)</f>
        <v/>
      </c>
      <c r="P111" s="39" t="str">
        <f>IF([8]道具信息!P111="","",[8]道具信息!P111)</f>
        <v/>
      </c>
      <c r="Q111" s="39" t="str">
        <f>IF([8]道具信息!Q111="","",[8]道具信息!Q111)</f>
        <v/>
      </c>
      <c r="R111" s="39" t="str">
        <f>IF([8]道具信息!R111="","",[8]道具信息!R111)</f>
        <v/>
      </c>
      <c r="S111" s="39" t="str">
        <f>IF([8]道具信息!S111="","",[8]道具信息!S111)</f>
        <v/>
      </c>
      <c r="T111" s="39" t="str">
        <f>IF([8]道具信息!T111="","",[8]道具信息!T111)</f>
        <v/>
      </c>
      <c r="U111" s="39" t="str">
        <f>IF([8]道具信息!U111="","",[8]道具信息!U111)</f>
        <v/>
      </c>
      <c r="V111" s="39" t="str">
        <f>IF([8]道具信息!V111="","",[8]道具信息!V111)</f>
        <v/>
      </c>
      <c r="W111" s="39" t="str">
        <f>IF([8]道具信息!W111="","",[8]道具信息!W111)</f>
        <v/>
      </c>
      <c r="X111" s="39" t="str">
        <f>IF([8]道具信息!X111="","",[8]道具信息!X111)</f>
        <v/>
      </c>
      <c r="Y111" s="39" t="str">
        <f>IF([8]道具信息!Y111="","",[8]道具信息!Y111)</f>
        <v/>
      </c>
      <c r="Z111" s="39" t="str">
        <f>IF([8]道具信息!Z111="","",[8]道具信息!Z111)</f>
        <v/>
      </c>
    </row>
    <row r="112" spans="1:26" x14ac:dyDescent="0.15">
      <c r="A112" s="39" t="str">
        <f>IF([8]道具信息!A112="","",[8]道具信息!A112)</f>
        <v/>
      </c>
      <c r="B112" s="39" t="str">
        <f>IF([8]道具信息!B112="","",[8]道具信息!B112)</f>
        <v/>
      </c>
      <c r="C112" s="39" t="str">
        <f>IF([8]道具信息!C112="","",[8]道具信息!C112)</f>
        <v/>
      </c>
      <c r="D112" s="39" t="str">
        <f>IF([8]道具信息!D112="","",[8]道具信息!D112)</f>
        <v>阵意</v>
      </c>
      <c r="E112" s="39">
        <f>IF([8]道具信息!E112="","",[8]道具信息!E112)</f>
        <v>100</v>
      </c>
      <c r="F112" s="39">
        <f>IF([8]道具信息!F112="","",[8]道具信息!F112)</f>
        <v>1</v>
      </c>
      <c r="G112" s="39">
        <f>IF([8]道具信息!G112="","",[8]道具信息!G112)</f>
        <v>1</v>
      </c>
      <c r="H112" s="39">
        <f>IF([8]道具信息!H112="","",[8]道具信息!H112)</f>
        <v>1</v>
      </c>
      <c r="I112" s="39">
        <f>IF([8]道具信息!I112="","",[8]道具信息!I112)</f>
        <v>100</v>
      </c>
      <c r="J112" s="39">
        <f>IF([8]道具信息!J112="","",[8]道具信息!J112)</f>
        <v>100</v>
      </c>
      <c r="K112" s="39">
        <f>IF([8]道具信息!K112="","",[8]道具信息!K112)</f>
        <v>100</v>
      </c>
      <c r="L112" s="39" t="str">
        <f>IF([8]道具信息!L112="","",[8]道具信息!L112)</f>
        <v/>
      </c>
      <c r="M112" s="39" t="str">
        <f>IF([8]道具信息!M112="","",[8]道具信息!M112)</f>
        <v/>
      </c>
      <c r="N112" s="39" t="str">
        <f>IF([8]道具信息!N112="","",[8]道具信息!N112)</f>
        <v/>
      </c>
      <c r="O112" s="39" t="str">
        <f>IF([8]道具信息!O112="","",[8]道具信息!O112)</f>
        <v/>
      </c>
      <c r="P112" s="39" t="str">
        <f>IF([8]道具信息!P112="","",[8]道具信息!P112)</f>
        <v/>
      </c>
      <c r="Q112" s="39" t="str">
        <f>IF([8]道具信息!Q112="","",[8]道具信息!Q112)</f>
        <v/>
      </c>
      <c r="R112" s="39" t="str">
        <f>IF([8]道具信息!R112="","",[8]道具信息!R112)</f>
        <v/>
      </c>
      <c r="S112" s="39" t="str">
        <f>IF([8]道具信息!S112="","",[8]道具信息!S112)</f>
        <v/>
      </c>
      <c r="T112" s="39" t="str">
        <f>IF([8]道具信息!T112="","",[8]道具信息!T112)</f>
        <v/>
      </c>
      <c r="U112" s="39" t="str">
        <f>IF([8]道具信息!U112="","",[8]道具信息!U112)</f>
        <v/>
      </c>
      <c r="V112" s="39" t="str">
        <f>IF([8]道具信息!V112="","",[8]道具信息!V112)</f>
        <v/>
      </c>
      <c r="W112" s="39" t="str">
        <f>IF([8]道具信息!W112="","",[8]道具信息!W112)</f>
        <v/>
      </c>
      <c r="X112" s="39" t="str">
        <f>IF([8]道具信息!X112="","",[8]道具信息!X112)</f>
        <v/>
      </c>
      <c r="Y112" s="39" t="str">
        <f>IF([8]道具信息!Y112="","",[8]道具信息!Y112)</f>
        <v/>
      </c>
      <c r="Z112" s="39" t="str">
        <f>IF([8]道具信息!Z112="","",[8]道具信息!Z112)</f>
        <v/>
      </c>
    </row>
    <row r="113" spans="1:26" x14ac:dyDescent="0.15">
      <c r="A113" s="39" t="str">
        <f>IF([8]道具信息!A113="","",[8]道具信息!A113)</f>
        <v/>
      </c>
      <c r="B113" s="39" t="str">
        <f>IF([8]道具信息!B113="","",[8]道具信息!B113)</f>
        <v/>
      </c>
      <c r="C113" s="39" t="str">
        <f>IF([8]道具信息!C113="","",[8]道具信息!C113)</f>
        <v/>
      </c>
      <c r="D113" s="39" t="str">
        <f>IF([8]道具信息!D113="","",[8]道具信息!D113)</f>
        <v>阵法心得</v>
      </c>
      <c r="E113" s="39">
        <f>IF([8]道具信息!E113="","",[8]道具信息!E113)</f>
        <v>100</v>
      </c>
      <c r="F113" s="39">
        <f>IF([8]道具信息!F113="","",[8]道具信息!F113)</f>
        <v>1</v>
      </c>
      <c r="G113" s="39">
        <f>IF([8]道具信息!G113="","",[8]道具信息!G113)</f>
        <v>1</v>
      </c>
      <c r="H113" s="39">
        <f>IF([8]道具信息!H113="","",[8]道具信息!H113)</f>
        <v>1</v>
      </c>
      <c r="I113" s="39">
        <f>IF([8]道具信息!I113="","",[8]道具信息!I113)</f>
        <v>100</v>
      </c>
      <c r="J113" s="39">
        <f>IF([8]道具信息!J113="","",[8]道具信息!J113)</f>
        <v>100</v>
      </c>
      <c r="K113" s="39">
        <f>IF([8]道具信息!K113="","",[8]道具信息!K113)</f>
        <v>100</v>
      </c>
      <c r="L113" s="39" t="str">
        <f>IF([8]道具信息!L113="","",[8]道具信息!L113)</f>
        <v/>
      </c>
      <c r="M113" s="39" t="str">
        <f>IF([8]道具信息!M113="","",[8]道具信息!M113)</f>
        <v/>
      </c>
      <c r="N113" s="39" t="str">
        <f>IF([8]道具信息!N113="","",[8]道具信息!N113)</f>
        <v/>
      </c>
      <c r="O113" s="39" t="str">
        <f>IF([8]道具信息!O113="","",[8]道具信息!O113)</f>
        <v/>
      </c>
      <c r="P113" s="39" t="str">
        <f>IF([8]道具信息!P113="","",[8]道具信息!P113)</f>
        <v/>
      </c>
      <c r="Q113" s="39" t="str">
        <f>IF([8]道具信息!Q113="","",[8]道具信息!Q113)</f>
        <v/>
      </c>
      <c r="R113" s="39" t="str">
        <f>IF([8]道具信息!R113="","",[8]道具信息!R113)</f>
        <v/>
      </c>
      <c r="S113" s="39" t="str">
        <f>IF([8]道具信息!S113="","",[8]道具信息!S113)</f>
        <v/>
      </c>
      <c r="T113" s="39" t="str">
        <f>IF([8]道具信息!T113="","",[8]道具信息!T113)</f>
        <v/>
      </c>
      <c r="U113" s="39" t="str">
        <f>IF([8]道具信息!U113="","",[8]道具信息!U113)</f>
        <v/>
      </c>
      <c r="V113" s="39" t="str">
        <f>IF([8]道具信息!V113="","",[8]道具信息!V113)</f>
        <v/>
      </c>
      <c r="W113" s="39" t="str">
        <f>IF([8]道具信息!W113="","",[8]道具信息!W113)</f>
        <v/>
      </c>
      <c r="X113" s="39" t="str">
        <f>IF([8]道具信息!X113="","",[8]道具信息!X113)</f>
        <v/>
      </c>
      <c r="Y113" s="39" t="str">
        <f>IF([8]道具信息!Y113="","",[8]道具信息!Y113)</f>
        <v/>
      </c>
      <c r="Z113" s="39" t="str">
        <f>IF([8]道具信息!Z113="","",[8]道具信息!Z113)</f>
        <v/>
      </c>
    </row>
    <row r="114" spans="1:26" x14ac:dyDescent="0.15">
      <c r="A114" s="39" t="str">
        <f>IF([8]道具信息!A114="","",[8]道具信息!A114)</f>
        <v/>
      </c>
      <c r="B114" s="39" t="str">
        <f>IF([8]道具信息!B114="","",[8]道具信息!B114)</f>
        <v/>
      </c>
      <c r="C114" s="39" t="str">
        <f>IF([8]道具信息!C114="","",[8]道具信息!C114)</f>
        <v/>
      </c>
      <c r="D114" s="39" t="str">
        <f>IF([8]道具信息!D114="","",[8]道具信息!D114)</f>
        <v>1级阵旗</v>
      </c>
      <c r="E114" s="39">
        <f>IF([8]道具信息!E114="","",[8]道具信息!E114)</f>
        <v>11</v>
      </c>
      <c r="F114" s="39">
        <f>IF([8]道具信息!F114="","",[8]道具信息!F114)</f>
        <v>1</v>
      </c>
      <c r="G114" s="39">
        <f>IF([8]道具信息!G114="","",[8]道具信息!G114)</f>
        <v>1</v>
      </c>
      <c r="H114" s="39">
        <f>IF([8]道具信息!H114="","",[8]道具信息!H114)</f>
        <v>1</v>
      </c>
      <c r="I114" s="39">
        <f>IF([8]道具信息!I114="","",[8]道具信息!I114)</f>
        <v>11</v>
      </c>
      <c r="J114" s="39">
        <f>IF([8]道具信息!J114="","",[8]道具信息!J114)</f>
        <v>11</v>
      </c>
      <c r="K114" s="39">
        <f>IF([8]道具信息!K114="","",[8]道具信息!K114)</f>
        <v>11</v>
      </c>
      <c r="L114" s="39" t="str">
        <f>IF([8]道具信息!L114="","",[8]道具信息!L114)</f>
        <v/>
      </c>
      <c r="M114" s="39" t="str">
        <f>IF([8]道具信息!M114="","",[8]道具信息!M114)</f>
        <v/>
      </c>
      <c r="N114" s="39" t="str">
        <f>IF([8]道具信息!N114="","",[8]道具信息!N114)</f>
        <v/>
      </c>
      <c r="O114" s="39" t="str">
        <f>IF([8]道具信息!O114="","",[8]道具信息!O114)</f>
        <v/>
      </c>
      <c r="P114" s="39" t="str">
        <f>IF([8]道具信息!P114="","",[8]道具信息!P114)</f>
        <v/>
      </c>
      <c r="Q114" s="39" t="str">
        <f>IF([8]道具信息!Q114="","",[8]道具信息!Q114)</f>
        <v/>
      </c>
      <c r="R114" s="39" t="str">
        <f>IF([8]道具信息!R114="","",[8]道具信息!R114)</f>
        <v/>
      </c>
      <c r="S114" s="39" t="str">
        <f>IF([8]道具信息!S114="","",[8]道具信息!S114)</f>
        <v/>
      </c>
      <c r="T114" s="39" t="str">
        <f>IF([8]道具信息!T114="","",[8]道具信息!T114)</f>
        <v/>
      </c>
      <c r="U114" s="39" t="str">
        <f>IF([8]道具信息!U114="","",[8]道具信息!U114)</f>
        <v/>
      </c>
      <c r="V114" s="39" t="str">
        <f>IF([8]道具信息!V114="","",[8]道具信息!V114)</f>
        <v/>
      </c>
      <c r="W114" s="39" t="str">
        <f>IF([8]道具信息!W114="","",[8]道具信息!W114)</f>
        <v/>
      </c>
      <c r="X114" s="39" t="str">
        <f>IF([8]道具信息!X114="","",[8]道具信息!X114)</f>
        <v/>
      </c>
      <c r="Y114" s="39" t="str">
        <f>IF([8]道具信息!Y114="","",[8]道具信息!Y114)</f>
        <v/>
      </c>
      <c r="Z114" s="39" t="str">
        <f>IF([8]道具信息!Z114="","",[8]道具信息!Z114)</f>
        <v/>
      </c>
    </row>
    <row r="115" spans="1:26" x14ac:dyDescent="0.15">
      <c r="A115" s="39" t="str">
        <f>IF([8]道具信息!A115="","",[8]道具信息!A115)</f>
        <v/>
      </c>
      <c r="B115" s="39" t="str">
        <f>IF([8]道具信息!B115="","",[8]道具信息!B115)</f>
        <v/>
      </c>
      <c r="C115" s="39" t="str">
        <f>IF([8]道具信息!C115="","",[8]道具信息!C115)</f>
        <v/>
      </c>
      <c r="D115" s="39" t="str">
        <f>IF([8]道具信息!D115="","",[8]道具信息!D115)</f>
        <v>2级阵旗</v>
      </c>
      <c r="E115" s="39">
        <f>IF([8]道具信息!E115="","",[8]道具信息!E115)</f>
        <v>143</v>
      </c>
      <c r="F115" s="39">
        <f>IF([8]道具信息!F115="","",[8]道具信息!F115)</f>
        <v>1</v>
      </c>
      <c r="G115" s="39">
        <f>IF([8]道具信息!G115="","",[8]道具信息!G115)</f>
        <v>1</v>
      </c>
      <c r="H115" s="39">
        <f>IF([8]道具信息!H115="","",[8]道具信息!H115)</f>
        <v>1</v>
      </c>
      <c r="I115" s="39">
        <f>IF([8]道具信息!I115="","",[8]道具信息!I115)</f>
        <v>143</v>
      </c>
      <c r="J115" s="39">
        <f>IF([8]道具信息!J115="","",[8]道具信息!J115)</f>
        <v>143</v>
      </c>
      <c r="K115" s="39">
        <f>IF([8]道具信息!K115="","",[8]道具信息!K115)</f>
        <v>143</v>
      </c>
      <c r="L115" s="39" t="str">
        <f>IF([8]道具信息!L115="","",[8]道具信息!L115)</f>
        <v/>
      </c>
      <c r="M115" s="39" t="str">
        <f>IF([8]道具信息!M115="","",[8]道具信息!M115)</f>
        <v/>
      </c>
      <c r="N115" s="39" t="str">
        <f>IF([8]道具信息!N115="","",[8]道具信息!N115)</f>
        <v/>
      </c>
      <c r="O115" s="39" t="str">
        <f>IF([8]道具信息!O115="","",[8]道具信息!O115)</f>
        <v/>
      </c>
      <c r="P115" s="39" t="str">
        <f>IF([8]道具信息!P115="","",[8]道具信息!P115)</f>
        <v/>
      </c>
      <c r="Q115" s="39" t="str">
        <f>IF([8]道具信息!Q115="","",[8]道具信息!Q115)</f>
        <v/>
      </c>
      <c r="R115" s="39" t="str">
        <f>IF([8]道具信息!R115="","",[8]道具信息!R115)</f>
        <v/>
      </c>
      <c r="S115" s="39" t="str">
        <f>IF([8]道具信息!S115="","",[8]道具信息!S115)</f>
        <v/>
      </c>
      <c r="T115" s="39" t="str">
        <f>IF([8]道具信息!T115="","",[8]道具信息!T115)</f>
        <v/>
      </c>
      <c r="U115" s="39" t="str">
        <f>IF([8]道具信息!U115="","",[8]道具信息!U115)</f>
        <v/>
      </c>
      <c r="V115" s="39" t="str">
        <f>IF([8]道具信息!V115="","",[8]道具信息!V115)</f>
        <v/>
      </c>
      <c r="W115" s="39" t="str">
        <f>IF([8]道具信息!W115="","",[8]道具信息!W115)</f>
        <v/>
      </c>
      <c r="X115" s="39" t="str">
        <f>IF([8]道具信息!X115="","",[8]道具信息!X115)</f>
        <v/>
      </c>
      <c r="Y115" s="39" t="str">
        <f>IF([8]道具信息!Y115="","",[8]道具信息!Y115)</f>
        <v/>
      </c>
      <c r="Z115" s="39" t="str">
        <f>IF([8]道具信息!Z115="","",[8]道具信息!Z115)</f>
        <v/>
      </c>
    </row>
    <row r="116" spans="1:26" x14ac:dyDescent="0.15">
      <c r="A116" s="39" t="str">
        <f>IF([8]道具信息!A116="","",[8]道具信息!A116)</f>
        <v/>
      </c>
      <c r="B116" s="39" t="str">
        <f>IF([8]道具信息!B116="","",[8]道具信息!B116)</f>
        <v/>
      </c>
      <c r="C116" s="39" t="str">
        <f>IF([8]道具信息!C116="","",[8]道具信息!C116)</f>
        <v/>
      </c>
      <c r="D116" s="39" t="str">
        <f>IF([8]道具信息!D116="","",[8]道具信息!D116)</f>
        <v>3级阵旗</v>
      </c>
      <c r="E116" s="39">
        <f>IF([8]道具信息!E116="","",[8]道具信息!E116)</f>
        <v>935</v>
      </c>
      <c r="F116" s="39">
        <f>IF([8]道具信息!F116="","",[8]道具信息!F116)</f>
        <v>1</v>
      </c>
      <c r="G116" s="39">
        <f>IF([8]道具信息!G116="","",[8]道具信息!G116)</f>
        <v>1</v>
      </c>
      <c r="H116" s="39">
        <f>IF([8]道具信息!H116="","",[8]道具信息!H116)</f>
        <v>1</v>
      </c>
      <c r="I116" s="39">
        <f>IF([8]道具信息!I116="","",[8]道具信息!I116)</f>
        <v>935</v>
      </c>
      <c r="J116" s="39">
        <f>IF([8]道具信息!J116="","",[8]道具信息!J116)</f>
        <v>935</v>
      </c>
      <c r="K116" s="39">
        <f>IF([8]道具信息!K116="","",[8]道具信息!K116)</f>
        <v>935</v>
      </c>
      <c r="L116" s="39" t="str">
        <f>IF([8]道具信息!L116="","",[8]道具信息!L116)</f>
        <v/>
      </c>
      <c r="M116" s="39" t="str">
        <f>IF([8]道具信息!M116="","",[8]道具信息!M116)</f>
        <v/>
      </c>
      <c r="N116" s="39" t="str">
        <f>IF([8]道具信息!N116="","",[8]道具信息!N116)</f>
        <v/>
      </c>
      <c r="O116" s="39" t="str">
        <f>IF([8]道具信息!O116="","",[8]道具信息!O116)</f>
        <v/>
      </c>
      <c r="P116" s="39" t="str">
        <f>IF([8]道具信息!P116="","",[8]道具信息!P116)</f>
        <v/>
      </c>
      <c r="Q116" s="39" t="str">
        <f>IF([8]道具信息!Q116="","",[8]道具信息!Q116)</f>
        <v/>
      </c>
      <c r="R116" s="39" t="str">
        <f>IF([8]道具信息!R116="","",[8]道具信息!R116)</f>
        <v/>
      </c>
      <c r="S116" s="39" t="str">
        <f>IF([8]道具信息!S116="","",[8]道具信息!S116)</f>
        <v/>
      </c>
      <c r="T116" s="39" t="str">
        <f>IF([8]道具信息!T116="","",[8]道具信息!T116)</f>
        <v/>
      </c>
      <c r="U116" s="39" t="str">
        <f>IF([8]道具信息!U116="","",[8]道具信息!U116)</f>
        <v/>
      </c>
      <c r="V116" s="39" t="str">
        <f>IF([8]道具信息!V116="","",[8]道具信息!V116)</f>
        <v/>
      </c>
      <c r="W116" s="39" t="str">
        <f>IF([8]道具信息!W116="","",[8]道具信息!W116)</f>
        <v/>
      </c>
      <c r="X116" s="39" t="str">
        <f>IF([8]道具信息!X116="","",[8]道具信息!X116)</f>
        <v/>
      </c>
      <c r="Y116" s="39" t="str">
        <f>IF([8]道具信息!Y116="","",[8]道具信息!Y116)</f>
        <v/>
      </c>
      <c r="Z116" s="39" t="str">
        <f>IF([8]道具信息!Z116="","",[8]道具信息!Z116)</f>
        <v/>
      </c>
    </row>
    <row r="117" spans="1:26" x14ac:dyDescent="0.15">
      <c r="A117" s="39" t="str">
        <f>IF([8]道具信息!A117="","",[8]道具信息!A117)</f>
        <v/>
      </c>
      <c r="B117" s="39" t="str">
        <f>IF([8]道具信息!B117="","",[8]道具信息!B117)</f>
        <v/>
      </c>
      <c r="C117" s="39" t="str">
        <f>IF([8]道具信息!C117="","",[8]道具信息!C117)</f>
        <v/>
      </c>
      <c r="D117" s="39" t="str">
        <f>IF([8]道具信息!D117="","",[8]道具信息!D117)</f>
        <v>4级阵旗</v>
      </c>
      <c r="E117" s="39">
        <f>IF([8]道具信息!E117="","",[8]道具信息!E117)</f>
        <v>4895</v>
      </c>
      <c r="F117" s="39">
        <f>IF([8]道具信息!F117="","",[8]道具信息!F117)</f>
        <v>1</v>
      </c>
      <c r="G117" s="39">
        <f>IF([8]道具信息!G117="","",[8]道具信息!G117)</f>
        <v>1</v>
      </c>
      <c r="H117" s="39">
        <f>IF([8]道具信息!H117="","",[8]道具信息!H117)</f>
        <v>1</v>
      </c>
      <c r="I117" s="39">
        <f>IF([8]道具信息!I117="","",[8]道具信息!I117)</f>
        <v>4895</v>
      </c>
      <c r="J117" s="39">
        <f>IF([8]道具信息!J117="","",[8]道具信息!J117)</f>
        <v>4895</v>
      </c>
      <c r="K117" s="39">
        <f>IF([8]道具信息!K117="","",[8]道具信息!K117)</f>
        <v>4895</v>
      </c>
      <c r="L117" s="39" t="str">
        <f>IF([8]道具信息!L117="","",[8]道具信息!L117)</f>
        <v/>
      </c>
      <c r="M117" s="39" t="str">
        <f>IF([8]道具信息!M117="","",[8]道具信息!M117)</f>
        <v/>
      </c>
      <c r="N117" s="39" t="str">
        <f>IF([8]道具信息!N117="","",[8]道具信息!N117)</f>
        <v/>
      </c>
      <c r="O117" s="39" t="str">
        <f>IF([8]道具信息!O117="","",[8]道具信息!O117)</f>
        <v/>
      </c>
      <c r="P117" s="39" t="str">
        <f>IF([8]道具信息!P117="","",[8]道具信息!P117)</f>
        <v/>
      </c>
      <c r="Q117" s="39" t="str">
        <f>IF([8]道具信息!Q117="","",[8]道具信息!Q117)</f>
        <v/>
      </c>
      <c r="R117" s="39" t="str">
        <f>IF([8]道具信息!R117="","",[8]道具信息!R117)</f>
        <v/>
      </c>
      <c r="S117" s="39" t="str">
        <f>IF([8]道具信息!S117="","",[8]道具信息!S117)</f>
        <v/>
      </c>
      <c r="T117" s="39" t="str">
        <f>IF([8]道具信息!T117="","",[8]道具信息!T117)</f>
        <v/>
      </c>
      <c r="U117" s="39" t="str">
        <f>IF([8]道具信息!U117="","",[8]道具信息!U117)</f>
        <v/>
      </c>
      <c r="V117" s="39" t="str">
        <f>IF([8]道具信息!V117="","",[8]道具信息!V117)</f>
        <v/>
      </c>
      <c r="W117" s="39" t="str">
        <f>IF([8]道具信息!W117="","",[8]道具信息!W117)</f>
        <v/>
      </c>
      <c r="X117" s="39" t="str">
        <f>IF([8]道具信息!X117="","",[8]道具信息!X117)</f>
        <v/>
      </c>
      <c r="Y117" s="39" t="str">
        <f>IF([8]道具信息!Y117="","",[8]道具信息!Y117)</f>
        <v/>
      </c>
      <c r="Z117" s="39" t="str">
        <f>IF([8]道具信息!Z117="","",[8]道具信息!Z117)</f>
        <v/>
      </c>
    </row>
    <row r="118" spans="1:26" x14ac:dyDescent="0.15">
      <c r="A118" s="39" t="str">
        <f>IF([8]道具信息!A118="","",[8]道具信息!A118)</f>
        <v/>
      </c>
      <c r="B118" s="39" t="str">
        <f>IF([8]道具信息!B118="","",[8]道具信息!B118)</f>
        <v/>
      </c>
      <c r="C118" s="39" t="str">
        <f>IF([8]道具信息!C118="","",[8]道具信息!C118)</f>
        <v/>
      </c>
      <c r="D118" s="39" t="str">
        <f>IF([8]道具信息!D118="","",[8]道具信息!D118)</f>
        <v>5级阵旗</v>
      </c>
      <c r="E118" s="39">
        <f>IF([8]道具信息!E118="","",[8]道具信息!E118)</f>
        <v>22495</v>
      </c>
      <c r="F118" s="39">
        <f>IF([8]道具信息!F118="","",[8]道具信息!F118)</f>
        <v>1</v>
      </c>
      <c r="G118" s="39">
        <f>IF([8]道具信息!G118="","",[8]道具信息!G118)</f>
        <v>1</v>
      </c>
      <c r="H118" s="39">
        <f>IF([8]道具信息!H118="","",[8]道具信息!H118)</f>
        <v>1</v>
      </c>
      <c r="I118" s="39">
        <f>IF([8]道具信息!I118="","",[8]道具信息!I118)</f>
        <v>22495</v>
      </c>
      <c r="J118" s="39">
        <f>IF([8]道具信息!J118="","",[8]道具信息!J118)</f>
        <v>22495</v>
      </c>
      <c r="K118" s="39">
        <f>IF([8]道具信息!K118="","",[8]道具信息!K118)</f>
        <v>22495</v>
      </c>
      <c r="L118" s="39" t="str">
        <f>IF([8]道具信息!L118="","",[8]道具信息!L118)</f>
        <v/>
      </c>
      <c r="M118" s="39" t="str">
        <f>IF([8]道具信息!M118="","",[8]道具信息!M118)</f>
        <v/>
      </c>
      <c r="N118" s="39" t="str">
        <f>IF([8]道具信息!N118="","",[8]道具信息!N118)</f>
        <v/>
      </c>
      <c r="O118" s="39" t="str">
        <f>IF([8]道具信息!O118="","",[8]道具信息!O118)</f>
        <v/>
      </c>
      <c r="P118" s="39" t="str">
        <f>IF([8]道具信息!P118="","",[8]道具信息!P118)</f>
        <v/>
      </c>
      <c r="Q118" s="39" t="str">
        <f>IF([8]道具信息!Q118="","",[8]道具信息!Q118)</f>
        <v/>
      </c>
      <c r="R118" s="39" t="str">
        <f>IF([8]道具信息!R118="","",[8]道具信息!R118)</f>
        <v/>
      </c>
      <c r="S118" s="39" t="str">
        <f>IF([8]道具信息!S118="","",[8]道具信息!S118)</f>
        <v/>
      </c>
      <c r="T118" s="39" t="str">
        <f>IF([8]道具信息!T118="","",[8]道具信息!T118)</f>
        <v/>
      </c>
      <c r="U118" s="39" t="str">
        <f>IF([8]道具信息!U118="","",[8]道具信息!U118)</f>
        <v/>
      </c>
      <c r="V118" s="39" t="str">
        <f>IF([8]道具信息!V118="","",[8]道具信息!V118)</f>
        <v/>
      </c>
      <c r="W118" s="39" t="str">
        <f>IF([8]道具信息!W118="","",[8]道具信息!W118)</f>
        <v/>
      </c>
      <c r="X118" s="39" t="str">
        <f>IF([8]道具信息!X118="","",[8]道具信息!X118)</f>
        <v/>
      </c>
      <c r="Y118" s="39" t="str">
        <f>IF([8]道具信息!Y118="","",[8]道具信息!Y118)</f>
        <v/>
      </c>
      <c r="Z118" s="39" t="str">
        <f>IF([8]道具信息!Z118="","",[8]道具信息!Z118)</f>
        <v/>
      </c>
    </row>
    <row r="119" spans="1:26" x14ac:dyDescent="0.15">
      <c r="A119" s="39" t="str">
        <f>IF([8]道具信息!A119="","",[8]道具信息!A119)</f>
        <v/>
      </c>
      <c r="B119" s="39" t="str">
        <f>IF([8]道具信息!B119="","",[8]道具信息!B119)</f>
        <v/>
      </c>
      <c r="C119" s="39" t="str">
        <f>IF([8]道具信息!C119="","",[8]道具信息!C119)</f>
        <v/>
      </c>
      <c r="D119" s="39" t="str">
        <f>IF([8]道具信息!D119="","",[8]道具信息!D119)</f>
        <v>6级阵旗</v>
      </c>
      <c r="E119" s="39">
        <f>IF([8]道具信息!E119="","",[8]道具信息!E119)</f>
        <v>57695</v>
      </c>
      <c r="F119" s="39">
        <f>IF([8]道具信息!F119="","",[8]道具信息!F119)</f>
        <v>1</v>
      </c>
      <c r="G119" s="39">
        <f>IF([8]道具信息!G119="","",[8]道具信息!G119)</f>
        <v>1</v>
      </c>
      <c r="H119" s="39">
        <f>IF([8]道具信息!H119="","",[8]道具信息!H119)</f>
        <v>1</v>
      </c>
      <c r="I119" s="39">
        <f>IF([8]道具信息!I119="","",[8]道具信息!I119)</f>
        <v>57695</v>
      </c>
      <c r="J119" s="39">
        <f>IF([8]道具信息!J119="","",[8]道具信息!J119)</f>
        <v>57695</v>
      </c>
      <c r="K119" s="39">
        <f>IF([8]道具信息!K119="","",[8]道具信息!K119)</f>
        <v>57695</v>
      </c>
      <c r="L119" s="39" t="str">
        <f>IF([8]道具信息!L119="","",[8]道具信息!L119)</f>
        <v/>
      </c>
      <c r="M119" s="39" t="str">
        <f>IF([8]道具信息!M119="","",[8]道具信息!M119)</f>
        <v/>
      </c>
      <c r="N119" s="39" t="str">
        <f>IF([8]道具信息!N119="","",[8]道具信息!N119)</f>
        <v/>
      </c>
      <c r="O119" s="39" t="str">
        <f>IF([8]道具信息!O119="","",[8]道具信息!O119)</f>
        <v/>
      </c>
      <c r="P119" s="39" t="str">
        <f>IF([8]道具信息!P119="","",[8]道具信息!P119)</f>
        <v/>
      </c>
      <c r="Q119" s="39" t="str">
        <f>IF([8]道具信息!Q119="","",[8]道具信息!Q119)</f>
        <v/>
      </c>
      <c r="R119" s="39" t="str">
        <f>IF([8]道具信息!R119="","",[8]道具信息!R119)</f>
        <v/>
      </c>
      <c r="S119" s="39" t="str">
        <f>IF([8]道具信息!S119="","",[8]道具信息!S119)</f>
        <v/>
      </c>
      <c r="T119" s="39" t="str">
        <f>IF([8]道具信息!T119="","",[8]道具信息!T119)</f>
        <v/>
      </c>
      <c r="U119" s="39" t="str">
        <f>IF([8]道具信息!U119="","",[8]道具信息!U119)</f>
        <v/>
      </c>
      <c r="V119" s="39" t="str">
        <f>IF([8]道具信息!V119="","",[8]道具信息!V119)</f>
        <v/>
      </c>
      <c r="W119" s="39" t="str">
        <f>IF([8]道具信息!W119="","",[8]道具信息!W119)</f>
        <v/>
      </c>
      <c r="X119" s="39" t="str">
        <f>IF([8]道具信息!X119="","",[8]道具信息!X119)</f>
        <v/>
      </c>
      <c r="Y119" s="39" t="str">
        <f>IF([8]道具信息!Y119="","",[8]道具信息!Y119)</f>
        <v/>
      </c>
      <c r="Z119" s="39" t="str">
        <f>IF([8]道具信息!Z119="","",[8]道具信息!Z119)</f>
        <v/>
      </c>
    </row>
    <row r="120" spans="1:26" x14ac:dyDescent="0.15">
      <c r="A120" s="39" t="str">
        <f>IF([8]道具信息!A120="","",[8]道具信息!A120)</f>
        <v/>
      </c>
      <c r="B120" s="39" t="str">
        <f>IF([8]道具信息!B120="","",[8]道具信息!B120)</f>
        <v/>
      </c>
      <c r="C120" s="39" t="str">
        <f>IF([8]道具信息!C120="","",[8]道具信息!C120)</f>
        <v/>
      </c>
      <c r="D120" s="39" t="str">
        <f>IF([8]道具信息!D120="","",[8]道具信息!D120)</f>
        <v>7级阵旗</v>
      </c>
      <c r="E120" s="39">
        <f>IF([8]道具信息!E120="","",[8]道具信息!E120)</f>
        <v>114895</v>
      </c>
      <c r="F120" s="39">
        <f>IF([8]道具信息!F120="","",[8]道具信息!F120)</f>
        <v>1</v>
      </c>
      <c r="G120" s="39">
        <f>IF([8]道具信息!G120="","",[8]道具信息!G120)</f>
        <v>1</v>
      </c>
      <c r="H120" s="39">
        <f>IF([8]道具信息!H120="","",[8]道具信息!H120)</f>
        <v>1</v>
      </c>
      <c r="I120" s="39">
        <f>IF([8]道具信息!I120="","",[8]道具信息!I120)</f>
        <v>114895</v>
      </c>
      <c r="J120" s="39">
        <f>IF([8]道具信息!J120="","",[8]道具信息!J120)</f>
        <v>114895</v>
      </c>
      <c r="K120" s="39">
        <f>IF([8]道具信息!K120="","",[8]道具信息!K120)</f>
        <v>114895</v>
      </c>
      <c r="L120" s="39" t="str">
        <f>IF([8]道具信息!L120="","",[8]道具信息!L120)</f>
        <v/>
      </c>
      <c r="M120" s="39" t="str">
        <f>IF([8]道具信息!M120="","",[8]道具信息!M120)</f>
        <v/>
      </c>
      <c r="N120" s="39" t="str">
        <f>IF([8]道具信息!N120="","",[8]道具信息!N120)</f>
        <v/>
      </c>
      <c r="O120" s="39" t="str">
        <f>IF([8]道具信息!O120="","",[8]道具信息!O120)</f>
        <v/>
      </c>
      <c r="P120" s="39" t="str">
        <f>IF([8]道具信息!P120="","",[8]道具信息!P120)</f>
        <v/>
      </c>
      <c r="Q120" s="39" t="str">
        <f>IF([8]道具信息!Q120="","",[8]道具信息!Q120)</f>
        <v/>
      </c>
      <c r="R120" s="39" t="str">
        <f>IF([8]道具信息!R120="","",[8]道具信息!R120)</f>
        <v/>
      </c>
      <c r="S120" s="39" t="str">
        <f>IF([8]道具信息!S120="","",[8]道具信息!S120)</f>
        <v/>
      </c>
      <c r="T120" s="39" t="str">
        <f>IF([8]道具信息!T120="","",[8]道具信息!T120)</f>
        <v/>
      </c>
      <c r="U120" s="39" t="str">
        <f>IF([8]道具信息!U120="","",[8]道具信息!U120)</f>
        <v/>
      </c>
      <c r="V120" s="39" t="str">
        <f>IF([8]道具信息!V120="","",[8]道具信息!V120)</f>
        <v/>
      </c>
      <c r="W120" s="39" t="str">
        <f>IF([8]道具信息!W120="","",[8]道具信息!W120)</f>
        <v/>
      </c>
      <c r="X120" s="39" t="str">
        <f>IF([8]道具信息!X120="","",[8]道具信息!X120)</f>
        <v/>
      </c>
      <c r="Y120" s="39" t="str">
        <f>IF([8]道具信息!Y120="","",[8]道具信息!Y120)</f>
        <v/>
      </c>
      <c r="Z120" s="39" t="str">
        <f>IF([8]道具信息!Z120="","",[8]道具信息!Z120)</f>
        <v/>
      </c>
    </row>
    <row r="121" spans="1:26" x14ac:dyDescent="0.15">
      <c r="A121" s="39" t="str">
        <f>IF([8]道具信息!A121="","",[8]道具信息!A121)</f>
        <v/>
      </c>
      <c r="B121" s="39" t="str">
        <f>IF([8]道具信息!B121="","",[8]道具信息!B121)</f>
        <v/>
      </c>
      <c r="C121" s="39" t="str">
        <f>IF([8]道具信息!C121="","",[8]道具信息!C121)</f>
        <v/>
      </c>
      <c r="D121" s="39" t="str">
        <f>IF([8]道具信息!D121="","",[8]道具信息!D121)</f>
        <v>8级阵旗</v>
      </c>
      <c r="E121" s="39">
        <f>IF([8]道具信息!E121="","",[8]道具信息!E121)</f>
        <v>200695</v>
      </c>
      <c r="F121" s="39">
        <f>IF([8]道具信息!F121="","",[8]道具信息!F121)</f>
        <v>1</v>
      </c>
      <c r="G121" s="39">
        <f>IF([8]道具信息!G121="","",[8]道具信息!G121)</f>
        <v>1</v>
      </c>
      <c r="H121" s="39">
        <f>IF([8]道具信息!H121="","",[8]道具信息!H121)</f>
        <v>1</v>
      </c>
      <c r="I121" s="39">
        <f>IF([8]道具信息!I121="","",[8]道具信息!I121)</f>
        <v>200695</v>
      </c>
      <c r="J121" s="39">
        <f>IF([8]道具信息!J121="","",[8]道具信息!J121)</f>
        <v>200695</v>
      </c>
      <c r="K121" s="39">
        <f>IF([8]道具信息!K121="","",[8]道具信息!K121)</f>
        <v>200695</v>
      </c>
      <c r="L121" s="39" t="str">
        <f>IF([8]道具信息!L121="","",[8]道具信息!L121)</f>
        <v/>
      </c>
      <c r="M121" s="39" t="str">
        <f>IF([8]道具信息!M121="","",[8]道具信息!M121)</f>
        <v/>
      </c>
      <c r="N121" s="39" t="str">
        <f>IF([8]道具信息!N121="","",[8]道具信息!N121)</f>
        <v/>
      </c>
      <c r="O121" s="39" t="str">
        <f>IF([8]道具信息!O121="","",[8]道具信息!O121)</f>
        <v/>
      </c>
      <c r="P121" s="39" t="str">
        <f>IF([8]道具信息!P121="","",[8]道具信息!P121)</f>
        <v/>
      </c>
      <c r="Q121" s="39" t="str">
        <f>IF([8]道具信息!Q121="","",[8]道具信息!Q121)</f>
        <v/>
      </c>
      <c r="R121" s="39" t="str">
        <f>IF([8]道具信息!R121="","",[8]道具信息!R121)</f>
        <v/>
      </c>
      <c r="S121" s="39" t="str">
        <f>IF([8]道具信息!S121="","",[8]道具信息!S121)</f>
        <v/>
      </c>
      <c r="T121" s="39" t="str">
        <f>IF([8]道具信息!T121="","",[8]道具信息!T121)</f>
        <v/>
      </c>
      <c r="U121" s="39" t="str">
        <f>IF([8]道具信息!U121="","",[8]道具信息!U121)</f>
        <v/>
      </c>
      <c r="V121" s="39" t="str">
        <f>IF([8]道具信息!V121="","",[8]道具信息!V121)</f>
        <v/>
      </c>
      <c r="W121" s="39" t="str">
        <f>IF([8]道具信息!W121="","",[8]道具信息!W121)</f>
        <v/>
      </c>
      <c r="X121" s="39" t="str">
        <f>IF([8]道具信息!X121="","",[8]道具信息!X121)</f>
        <v/>
      </c>
      <c r="Y121" s="39" t="str">
        <f>IF([8]道具信息!Y121="","",[8]道具信息!Y121)</f>
        <v/>
      </c>
      <c r="Z121" s="39" t="str">
        <f>IF([8]道具信息!Z121="","",[8]道具信息!Z121)</f>
        <v/>
      </c>
    </row>
    <row r="122" spans="1:26" x14ac:dyDescent="0.15">
      <c r="A122" s="39" t="str">
        <f>IF([8]道具信息!A122="","",[8]道具信息!A122)</f>
        <v/>
      </c>
      <c r="B122" s="39" t="str">
        <f>IF([8]道具信息!B122="","",[8]道具信息!B122)</f>
        <v/>
      </c>
      <c r="C122" s="39" t="str">
        <f>IF([8]道具信息!C122="","",[8]道具信息!C122)</f>
        <v/>
      </c>
      <c r="D122" s="39" t="str">
        <f>IF([8]道具信息!D122="","",[8]道具信息!D122)</f>
        <v>9级阵旗</v>
      </c>
      <c r="E122" s="39">
        <f>IF([8]道具信息!E122="","",[8]道具信息!E122)</f>
        <v>321695</v>
      </c>
      <c r="F122" s="39">
        <f>IF([8]道具信息!F122="","",[8]道具信息!F122)</f>
        <v>1</v>
      </c>
      <c r="G122" s="39">
        <f>IF([8]道具信息!G122="","",[8]道具信息!G122)</f>
        <v>1</v>
      </c>
      <c r="H122" s="39">
        <f>IF([8]道具信息!H122="","",[8]道具信息!H122)</f>
        <v>1</v>
      </c>
      <c r="I122" s="39">
        <f>IF([8]道具信息!I122="","",[8]道具信息!I122)</f>
        <v>321695</v>
      </c>
      <c r="J122" s="39">
        <f>IF([8]道具信息!J122="","",[8]道具信息!J122)</f>
        <v>321695</v>
      </c>
      <c r="K122" s="39">
        <f>IF([8]道具信息!K122="","",[8]道具信息!K122)</f>
        <v>321695</v>
      </c>
      <c r="L122" s="39" t="str">
        <f>IF([8]道具信息!L122="","",[8]道具信息!L122)</f>
        <v/>
      </c>
      <c r="M122" s="39" t="str">
        <f>IF([8]道具信息!M122="","",[8]道具信息!M122)</f>
        <v/>
      </c>
      <c r="N122" s="39" t="str">
        <f>IF([8]道具信息!N122="","",[8]道具信息!N122)</f>
        <v/>
      </c>
      <c r="O122" s="39" t="str">
        <f>IF([8]道具信息!O122="","",[8]道具信息!O122)</f>
        <v/>
      </c>
      <c r="P122" s="39" t="str">
        <f>IF([8]道具信息!P122="","",[8]道具信息!P122)</f>
        <v/>
      </c>
      <c r="Q122" s="39" t="str">
        <f>IF([8]道具信息!Q122="","",[8]道具信息!Q122)</f>
        <v/>
      </c>
      <c r="R122" s="39" t="str">
        <f>IF([8]道具信息!R122="","",[8]道具信息!R122)</f>
        <v/>
      </c>
      <c r="S122" s="39" t="str">
        <f>IF([8]道具信息!S122="","",[8]道具信息!S122)</f>
        <v/>
      </c>
      <c r="T122" s="39" t="str">
        <f>IF([8]道具信息!T122="","",[8]道具信息!T122)</f>
        <v/>
      </c>
      <c r="U122" s="39" t="str">
        <f>IF([8]道具信息!U122="","",[8]道具信息!U122)</f>
        <v/>
      </c>
      <c r="V122" s="39" t="str">
        <f>IF([8]道具信息!V122="","",[8]道具信息!V122)</f>
        <v/>
      </c>
      <c r="W122" s="39" t="str">
        <f>IF([8]道具信息!W122="","",[8]道具信息!W122)</f>
        <v/>
      </c>
      <c r="X122" s="39" t="str">
        <f>IF([8]道具信息!X122="","",[8]道具信息!X122)</f>
        <v/>
      </c>
      <c r="Y122" s="39" t="str">
        <f>IF([8]道具信息!Y122="","",[8]道具信息!Y122)</f>
        <v/>
      </c>
      <c r="Z122" s="39" t="str">
        <f>IF([8]道具信息!Z122="","",[8]道具信息!Z122)</f>
        <v/>
      </c>
    </row>
    <row r="123" spans="1:26" x14ac:dyDescent="0.15">
      <c r="A123" s="39" t="str">
        <f>IF([8]道具信息!A123="","",[8]道具信息!A123)</f>
        <v/>
      </c>
      <c r="B123" s="39" t="str">
        <f>IF([8]道具信息!B123="","",[8]道具信息!B123)</f>
        <v/>
      </c>
      <c r="C123" s="39" t="str">
        <f>IF([8]道具信息!C123="","",[8]道具信息!C123)</f>
        <v/>
      </c>
      <c r="D123" s="39" t="str">
        <f>IF([8]道具信息!D123="","",[8]道具信息!D123)</f>
        <v/>
      </c>
      <c r="E123" s="39" t="str">
        <f>IF([8]道具信息!E123="","",[8]道具信息!E123)</f>
        <v/>
      </c>
      <c r="F123" s="39" t="str">
        <f>IF([8]道具信息!F123="","",[8]道具信息!F123)</f>
        <v/>
      </c>
      <c r="G123" s="39" t="str">
        <f>IF([8]道具信息!G123="","",[8]道具信息!G123)</f>
        <v/>
      </c>
      <c r="H123" s="39" t="str">
        <f>IF([8]道具信息!H123="","",[8]道具信息!H123)</f>
        <v/>
      </c>
      <c r="I123" s="39" t="str">
        <f>IF([8]道具信息!I123="","",[8]道具信息!I123)</f>
        <v/>
      </c>
      <c r="J123" s="39" t="str">
        <f>IF([8]道具信息!J123="","",[8]道具信息!J123)</f>
        <v/>
      </c>
      <c r="K123" s="39" t="str">
        <f>IF([8]道具信息!K123="","",[8]道具信息!K123)</f>
        <v/>
      </c>
      <c r="L123" s="39" t="str">
        <f>IF([8]道具信息!L123="","",[8]道具信息!L123)</f>
        <v/>
      </c>
      <c r="M123" s="39" t="str">
        <f>IF([8]道具信息!M123="","",[8]道具信息!M123)</f>
        <v/>
      </c>
      <c r="N123" s="39" t="str">
        <f>IF([8]道具信息!N123="","",[8]道具信息!N123)</f>
        <v/>
      </c>
      <c r="O123" s="39" t="str">
        <f>IF([8]道具信息!O123="","",[8]道具信息!O123)</f>
        <v/>
      </c>
      <c r="P123" s="39" t="str">
        <f>IF([8]道具信息!P123="","",[8]道具信息!P123)</f>
        <v/>
      </c>
      <c r="Q123" s="39" t="str">
        <f>IF([8]道具信息!Q123="","",[8]道具信息!Q123)</f>
        <v/>
      </c>
      <c r="R123" s="39" t="str">
        <f>IF([8]道具信息!R123="","",[8]道具信息!R123)</f>
        <v/>
      </c>
      <c r="S123" s="39" t="str">
        <f>IF([8]道具信息!S123="","",[8]道具信息!S123)</f>
        <v/>
      </c>
      <c r="T123" s="39" t="str">
        <f>IF([8]道具信息!T123="","",[8]道具信息!T123)</f>
        <v/>
      </c>
      <c r="U123" s="39" t="str">
        <f>IF([8]道具信息!U123="","",[8]道具信息!U123)</f>
        <v/>
      </c>
      <c r="V123" s="39" t="str">
        <f>IF([8]道具信息!V123="","",[8]道具信息!V123)</f>
        <v/>
      </c>
      <c r="W123" s="39" t="str">
        <f>IF([8]道具信息!W123="","",[8]道具信息!W123)</f>
        <v/>
      </c>
      <c r="X123" s="39" t="str">
        <f>IF([8]道具信息!X123="","",[8]道具信息!X123)</f>
        <v/>
      </c>
      <c r="Y123" s="39" t="str">
        <f>IF([8]道具信息!Y123="","",[8]道具信息!Y123)</f>
        <v/>
      </c>
      <c r="Z123" s="39" t="str">
        <f>IF([8]道具信息!Z123="","",[8]道具信息!Z123)</f>
        <v/>
      </c>
    </row>
    <row r="124" spans="1:26" x14ac:dyDescent="0.15">
      <c r="A124" s="39" t="str">
        <f>IF([8]道具信息!A124="","",[8]道具信息!A124)</f>
        <v/>
      </c>
      <c r="B124" s="39" t="str">
        <f>IF([8]道具信息!B124="","",[8]道具信息!B124)</f>
        <v/>
      </c>
      <c r="C124" s="39" t="str">
        <f>IF([8]道具信息!C124="","",[8]道具信息!C124)</f>
        <v/>
      </c>
      <c r="D124" s="39" t="str">
        <f>IF([8]道具信息!D124="","",[8]道具信息!D124)</f>
        <v/>
      </c>
      <c r="E124" s="39" t="str">
        <f>IF([8]道具信息!E124="","",[8]道具信息!E124)</f>
        <v/>
      </c>
      <c r="F124" s="39" t="str">
        <f>IF([8]道具信息!F124="","",[8]道具信息!F124)</f>
        <v/>
      </c>
      <c r="G124" s="39" t="str">
        <f>IF([8]道具信息!G124="","",[8]道具信息!G124)</f>
        <v/>
      </c>
      <c r="H124" s="39" t="str">
        <f>IF([8]道具信息!H124="","",[8]道具信息!H124)</f>
        <v/>
      </c>
      <c r="I124" s="39" t="str">
        <f>IF([8]道具信息!I124="","",[8]道具信息!I124)</f>
        <v/>
      </c>
      <c r="J124" s="39" t="str">
        <f>IF([8]道具信息!J124="","",[8]道具信息!J124)</f>
        <v/>
      </c>
      <c r="K124" s="39" t="str">
        <f>IF([8]道具信息!K124="","",[8]道具信息!K124)</f>
        <v/>
      </c>
      <c r="L124" s="39" t="str">
        <f>IF([8]道具信息!L124="","",[8]道具信息!L124)</f>
        <v/>
      </c>
      <c r="M124" s="39" t="str">
        <f>IF([8]道具信息!M124="","",[8]道具信息!M124)</f>
        <v/>
      </c>
      <c r="N124" s="39" t="str">
        <f>IF([8]道具信息!N124="","",[8]道具信息!N124)</f>
        <v/>
      </c>
      <c r="O124" s="39" t="str">
        <f>IF([8]道具信息!O124="","",[8]道具信息!O124)</f>
        <v/>
      </c>
      <c r="P124" s="39" t="str">
        <f>IF([8]道具信息!P124="","",[8]道具信息!P124)</f>
        <v/>
      </c>
      <c r="Q124" s="39" t="str">
        <f>IF([8]道具信息!Q124="","",[8]道具信息!Q124)</f>
        <v/>
      </c>
      <c r="R124" s="39" t="str">
        <f>IF([8]道具信息!R124="","",[8]道具信息!R124)</f>
        <v/>
      </c>
      <c r="S124" s="39" t="str">
        <f>IF([8]道具信息!S124="","",[8]道具信息!S124)</f>
        <v/>
      </c>
      <c r="T124" s="39" t="str">
        <f>IF([8]道具信息!T124="","",[8]道具信息!T124)</f>
        <v/>
      </c>
      <c r="U124" s="39" t="str">
        <f>IF([8]道具信息!U124="","",[8]道具信息!U124)</f>
        <v/>
      </c>
      <c r="V124" s="39" t="str">
        <f>IF([8]道具信息!V124="","",[8]道具信息!V124)</f>
        <v/>
      </c>
      <c r="W124" s="39" t="str">
        <f>IF([8]道具信息!W124="","",[8]道具信息!W124)</f>
        <v/>
      </c>
      <c r="X124" s="39" t="str">
        <f>IF([8]道具信息!X124="","",[8]道具信息!X124)</f>
        <v/>
      </c>
      <c r="Y124" s="39" t="str">
        <f>IF([8]道具信息!Y124="","",[8]道具信息!Y124)</f>
        <v/>
      </c>
      <c r="Z124" s="39" t="str">
        <f>IF([8]道具信息!Z124="","",[8]道具信息!Z124)</f>
        <v/>
      </c>
    </row>
    <row r="125" spans="1:26" x14ac:dyDescent="0.15">
      <c r="A125" s="39" t="str">
        <f>IF([8]道具信息!A125="","",[8]道具信息!A125)</f>
        <v/>
      </c>
      <c r="B125" s="39" t="str">
        <f>IF([8]道具信息!B125="","",[8]道具信息!B125)</f>
        <v/>
      </c>
      <c r="C125" s="39" t="str">
        <f>IF([8]道具信息!C125="","",[8]道具信息!C125)</f>
        <v/>
      </c>
      <c r="D125" s="39" t="str">
        <f>IF([8]道具信息!D125="","",[8]道具信息!D125)</f>
        <v>普通随机图纸</v>
      </c>
      <c r="E125" s="39">
        <f>IF([8]道具信息!E125="","",[8]道具信息!E125)</f>
        <v>50</v>
      </c>
      <c r="F125" s="39">
        <f>IF([8]道具信息!F125="","",[8]道具信息!F125)</f>
        <v>1</v>
      </c>
      <c r="G125" s="39">
        <f>IF([8]道具信息!G125="","",[8]道具信息!G125)</f>
        <v>0.2</v>
      </c>
      <c r="H125" s="39">
        <f>IF([8]道具信息!H125="","",[8]道具信息!H125)</f>
        <v>0.2</v>
      </c>
      <c r="I125" s="39">
        <f>IF([8]道具信息!I125="","",[8]道具信息!I125)</f>
        <v>50</v>
      </c>
      <c r="J125" s="39">
        <f>IF([8]道具信息!J125="","",[8]道具信息!J125)</f>
        <v>10</v>
      </c>
      <c r="K125" s="39">
        <f>IF([8]道具信息!K125="","",[8]道具信息!K125)</f>
        <v>10</v>
      </c>
      <c r="L125" s="39" t="str">
        <f>IF([8]道具信息!L125="","",[8]道具信息!L125)</f>
        <v/>
      </c>
      <c r="M125" s="39" t="str">
        <f>IF([8]道具信息!M125="","",[8]道具信息!M125)</f>
        <v/>
      </c>
      <c r="N125" s="39" t="str">
        <f>IF([8]道具信息!N125="","",[8]道具信息!N125)</f>
        <v/>
      </c>
      <c r="O125" s="39" t="str">
        <f>IF([8]道具信息!O125="","",[8]道具信息!O125)</f>
        <v/>
      </c>
      <c r="P125" s="39" t="str">
        <f>IF([8]道具信息!P125="","",[8]道具信息!P125)</f>
        <v/>
      </c>
      <c r="Q125" s="39" t="str">
        <f>IF([8]道具信息!Q125="","",[8]道具信息!Q125)</f>
        <v/>
      </c>
      <c r="R125" s="39" t="str">
        <f>IF([8]道具信息!R125="","",[8]道具信息!R125)</f>
        <v/>
      </c>
      <c r="S125" s="39" t="str">
        <f>IF([8]道具信息!S125="","",[8]道具信息!S125)</f>
        <v/>
      </c>
      <c r="T125" s="39" t="str">
        <f>IF([8]道具信息!T125="","",[8]道具信息!T125)</f>
        <v/>
      </c>
      <c r="U125" s="39" t="str">
        <f>IF([8]道具信息!U125="","",[8]道具信息!U125)</f>
        <v/>
      </c>
      <c r="V125" s="39" t="str">
        <f>IF([8]道具信息!V125="","",[8]道具信息!V125)</f>
        <v/>
      </c>
      <c r="W125" s="39" t="str">
        <f>IF([8]道具信息!W125="","",[8]道具信息!W125)</f>
        <v/>
      </c>
      <c r="X125" s="39" t="str">
        <f>IF([8]道具信息!X125="","",[8]道具信息!X125)</f>
        <v/>
      </c>
      <c r="Y125" s="39" t="str">
        <f>IF([8]道具信息!Y125="","",[8]道具信息!Y125)</f>
        <v/>
      </c>
      <c r="Z125" s="39" t="str">
        <f>IF([8]道具信息!Z125="","",[8]道具信息!Z125)</f>
        <v/>
      </c>
    </row>
    <row r="126" spans="1:26" x14ac:dyDescent="0.15">
      <c r="A126" s="39" t="str">
        <f>IF([8]道具信息!A126="","",[8]道具信息!A126)</f>
        <v/>
      </c>
      <c r="B126" s="39" t="str">
        <f>IF([8]道具信息!B126="","",[8]道具信息!B126)</f>
        <v/>
      </c>
      <c r="C126" s="39" t="str">
        <f>IF([8]道具信息!C126="","",[8]道具信息!C126)</f>
        <v/>
      </c>
      <c r="D126" s="39" t="str">
        <f>IF([8]道具信息!D126="","",[8]道具信息!D126)</f>
        <v>精良随机图纸</v>
      </c>
      <c r="E126" s="39">
        <f>IF([8]道具信息!E126="","",[8]道具信息!E126)</f>
        <v>190</v>
      </c>
      <c r="F126" s="39">
        <f>IF([8]道具信息!F126="","",[8]道具信息!F126)</f>
        <v>1</v>
      </c>
      <c r="G126" s="39">
        <f>IF([8]道具信息!G126="","",[8]道具信息!G126)</f>
        <v>0.2</v>
      </c>
      <c r="H126" s="39">
        <f>IF([8]道具信息!H126="","",[8]道具信息!H126)</f>
        <v>0.2</v>
      </c>
      <c r="I126" s="39">
        <f>IF([8]道具信息!I126="","",[8]道具信息!I126)</f>
        <v>190</v>
      </c>
      <c r="J126" s="39">
        <f>IF([8]道具信息!J126="","",[8]道具信息!J126)</f>
        <v>38</v>
      </c>
      <c r="K126" s="39">
        <f>IF([8]道具信息!K126="","",[8]道具信息!K126)</f>
        <v>38</v>
      </c>
      <c r="L126" s="39" t="str">
        <f>IF([8]道具信息!L126="","",[8]道具信息!L126)</f>
        <v/>
      </c>
      <c r="M126" s="39" t="str">
        <f>IF([8]道具信息!M126="","",[8]道具信息!M126)</f>
        <v/>
      </c>
      <c r="N126" s="39" t="str">
        <f>IF([8]道具信息!N126="","",[8]道具信息!N126)</f>
        <v/>
      </c>
      <c r="O126" s="39" t="str">
        <f>IF([8]道具信息!O126="","",[8]道具信息!O126)</f>
        <v/>
      </c>
      <c r="P126" s="39" t="str">
        <f>IF([8]道具信息!P126="","",[8]道具信息!P126)</f>
        <v/>
      </c>
      <c r="Q126" s="39" t="str">
        <f>IF([8]道具信息!Q126="","",[8]道具信息!Q126)</f>
        <v/>
      </c>
      <c r="R126" s="39" t="str">
        <f>IF([8]道具信息!R126="","",[8]道具信息!R126)</f>
        <v/>
      </c>
      <c r="S126" s="39" t="str">
        <f>IF([8]道具信息!S126="","",[8]道具信息!S126)</f>
        <v/>
      </c>
      <c r="T126" s="39" t="str">
        <f>IF([8]道具信息!T126="","",[8]道具信息!T126)</f>
        <v/>
      </c>
      <c r="U126" s="39" t="str">
        <f>IF([8]道具信息!U126="","",[8]道具信息!U126)</f>
        <v/>
      </c>
      <c r="V126" s="39" t="str">
        <f>IF([8]道具信息!V126="","",[8]道具信息!V126)</f>
        <v/>
      </c>
      <c r="W126" s="39" t="str">
        <f>IF([8]道具信息!W126="","",[8]道具信息!W126)</f>
        <v/>
      </c>
      <c r="X126" s="39" t="str">
        <f>IF([8]道具信息!X126="","",[8]道具信息!X126)</f>
        <v/>
      </c>
      <c r="Y126" s="39" t="str">
        <f>IF([8]道具信息!Y126="","",[8]道具信息!Y126)</f>
        <v/>
      </c>
      <c r="Z126" s="39" t="str">
        <f>IF([8]道具信息!Z126="","",[8]道具信息!Z126)</f>
        <v/>
      </c>
    </row>
    <row r="127" spans="1:26" x14ac:dyDescent="0.15">
      <c r="A127" s="39" t="str">
        <f>IF([8]道具信息!A127="","",[8]道具信息!A127)</f>
        <v/>
      </c>
      <c r="B127" s="39" t="str">
        <f>IF([8]道具信息!B127="","",[8]道具信息!B127)</f>
        <v/>
      </c>
      <c r="C127" s="39" t="str">
        <f>IF([8]道具信息!C127="","",[8]道具信息!C127)</f>
        <v/>
      </c>
      <c r="D127" s="39" t="str">
        <f>IF([8]道具信息!D127="","",[8]道具信息!D127)</f>
        <v>优质随机图纸</v>
      </c>
      <c r="E127" s="39">
        <f>IF([8]道具信息!E127="","",[8]道具信息!E127)</f>
        <v>675</v>
      </c>
      <c r="F127" s="39">
        <f>IF([8]道具信息!F127="","",[8]道具信息!F127)</f>
        <v>1</v>
      </c>
      <c r="G127" s="39">
        <f>IF([8]道具信息!G127="","",[8]道具信息!G127)</f>
        <v>1</v>
      </c>
      <c r="H127" s="39">
        <f>IF([8]道具信息!H127="","",[8]道具信息!H127)</f>
        <v>0.18518518518518517</v>
      </c>
      <c r="I127" s="39">
        <f>IF([8]道具信息!I127="","",[8]道具信息!I127)</f>
        <v>675</v>
      </c>
      <c r="J127" s="39">
        <f>IF([8]道具信息!J127="","",[8]道具信息!J127)</f>
        <v>675</v>
      </c>
      <c r="K127" s="39">
        <f>IF([8]道具信息!K127="","",[8]道具信息!K127)</f>
        <v>125</v>
      </c>
      <c r="L127" s="39" t="str">
        <f>IF([8]道具信息!L127="","",[8]道具信息!L127)</f>
        <v/>
      </c>
      <c r="M127" s="39" t="str">
        <f>IF([8]道具信息!M127="","",[8]道具信息!M127)</f>
        <v/>
      </c>
      <c r="N127" s="39" t="str">
        <f>IF([8]道具信息!N127="","",[8]道具信息!N127)</f>
        <v/>
      </c>
      <c r="O127" s="39" t="str">
        <f>IF([8]道具信息!O127="","",[8]道具信息!O127)</f>
        <v/>
      </c>
      <c r="P127" s="39" t="str">
        <f>IF([8]道具信息!P127="","",[8]道具信息!P127)</f>
        <v/>
      </c>
      <c r="Q127" s="39" t="str">
        <f>IF([8]道具信息!Q127="","",[8]道具信息!Q127)</f>
        <v/>
      </c>
      <c r="R127" s="39" t="str">
        <f>IF([8]道具信息!R127="","",[8]道具信息!R127)</f>
        <v/>
      </c>
      <c r="S127" s="39" t="str">
        <f>IF([8]道具信息!S127="","",[8]道具信息!S127)</f>
        <v/>
      </c>
      <c r="T127" s="39" t="str">
        <f>IF([8]道具信息!T127="","",[8]道具信息!T127)</f>
        <v/>
      </c>
      <c r="U127" s="39" t="str">
        <f>IF([8]道具信息!U127="","",[8]道具信息!U127)</f>
        <v/>
      </c>
      <c r="V127" s="39" t="str">
        <f>IF([8]道具信息!V127="","",[8]道具信息!V127)</f>
        <v/>
      </c>
      <c r="W127" s="39" t="str">
        <f>IF([8]道具信息!W127="","",[8]道具信息!W127)</f>
        <v/>
      </c>
      <c r="X127" s="39" t="str">
        <f>IF([8]道具信息!X127="","",[8]道具信息!X127)</f>
        <v/>
      </c>
      <c r="Y127" s="39" t="str">
        <f>IF([8]道具信息!Y127="","",[8]道具信息!Y127)</f>
        <v/>
      </c>
      <c r="Z127" s="39" t="str">
        <f>IF([8]道具信息!Z127="","",[8]道具信息!Z127)</f>
        <v/>
      </c>
    </row>
    <row r="128" spans="1:26" x14ac:dyDescent="0.15">
      <c r="A128" s="39" t="str">
        <f>IF([8]道具信息!A128="","",[8]道具信息!A128)</f>
        <v/>
      </c>
      <c r="B128" s="39" t="str">
        <f>IF([8]道具信息!B128="","",[8]道具信息!B128)</f>
        <v/>
      </c>
      <c r="C128" s="39" t="str">
        <f>IF([8]道具信息!C128="","",[8]道具信息!C128)</f>
        <v/>
      </c>
      <c r="D128" s="39" t="str">
        <f>IF([8]道具信息!D128="","",[8]道具信息!D128)</f>
        <v>珍稀随机图纸</v>
      </c>
      <c r="E128" s="39">
        <f>IF([8]道具信息!E128="","",[8]道具信息!E128)</f>
        <v>975</v>
      </c>
      <c r="F128" s="39">
        <f>IF([8]道具信息!F128="","",[8]道具信息!F128)</f>
        <v>1</v>
      </c>
      <c r="G128" s="39">
        <f>IF([8]道具信息!G128="","",[8]道具信息!G128)</f>
        <v>1</v>
      </c>
      <c r="H128" s="39">
        <f>IF([8]道具信息!H128="","",[8]道具信息!H128)</f>
        <v>1</v>
      </c>
      <c r="I128" s="39">
        <f>IF([8]道具信息!I128="","",[8]道具信息!I128)</f>
        <v>975</v>
      </c>
      <c r="J128" s="39">
        <f>IF([8]道具信息!J128="","",[8]道具信息!J128)</f>
        <v>975</v>
      </c>
      <c r="K128" s="39">
        <f>IF([8]道具信息!K128="","",[8]道具信息!K128)</f>
        <v>975</v>
      </c>
      <c r="L128" s="39" t="str">
        <f>IF([8]道具信息!L128="","",[8]道具信息!L128)</f>
        <v/>
      </c>
      <c r="M128" s="39" t="str">
        <f>IF([8]道具信息!M128="","",[8]道具信息!M128)</f>
        <v/>
      </c>
      <c r="N128" s="39" t="str">
        <f>IF([8]道具信息!N128="","",[8]道具信息!N128)</f>
        <v/>
      </c>
      <c r="O128" s="39" t="str">
        <f>IF([8]道具信息!O128="","",[8]道具信息!O128)</f>
        <v/>
      </c>
      <c r="P128" s="39" t="str">
        <f>IF([8]道具信息!P128="","",[8]道具信息!P128)</f>
        <v/>
      </c>
      <c r="Q128" s="39" t="str">
        <f>IF([8]道具信息!Q128="","",[8]道具信息!Q128)</f>
        <v/>
      </c>
      <c r="R128" s="39" t="str">
        <f>IF([8]道具信息!R128="","",[8]道具信息!R128)</f>
        <v/>
      </c>
      <c r="S128" s="39" t="str">
        <f>IF([8]道具信息!S128="","",[8]道具信息!S128)</f>
        <v/>
      </c>
      <c r="T128" s="39" t="str">
        <f>IF([8]道具信息!T128="","",[8]道具信息!T128)</f>
        <v/>
      </c>
      <c r="U128" s="39" t="str">
        <f>IF([8]道具信息!U128="","",[8]道具信息!U128)</f>
        <v/>
      </c>
      <c r="V128" s="39" t="str">
        <f>IF([8]道具信息!V128="","",[8]道具信息!V128)</f>
        <v/>
      </c>
      <c r="W128" s="39" t="str">
        <f>IF([8]道具信息!W128="","",[8]道具信息!W128)</f>
        <v/>
      </c>
      <c r="X128" s="39" t="str">
        <f>IF([8]道具信息!X128="","",[8]道具信息!X128)</f>
        <v/>
      </c>
      <c r="Y128" s="39" t="str">
        <f>IF([8]道具信息!Y128="","",[8]道具信息!Y128)</f>
        <v/>
      </c>
      <c r="Z128" s="39" t="str">
        <f>IF([8]道具信息!Z128="","",[8]道具信息!Z128)</f>
        <v/>
      </c>
    </row>
    <row r="129" spans="1:26" x14ac:dyDescent="0.15">
      <c r="A129" s="39" t="str">
        <f>IF([8]道具信息!A129="","",[8]道具信息!A129)</f>
        <v/>
      </c>
      <c r="B129" s="39" t="str">
        <f>IF([8]道具信息!B129="","",[8]道具信息!B129)</f>
        <v/>
      </c>
      <c r="C129" s="39" t="str">
        <f>IF([8]道具信息!C129="","",[8]道具信息!C129)</f>
        <v/>
      </c>
      <c r="D129" s="39" t="str">
        <f>IF([8]道具信息!D129="","",[8]道具信息!D129)</f>
        <v>传世随机图纸</v>
      </c>
      <c r="E129" s="39">
        <f>IF([8]道具信息!E129="","",[8]道具信息!E129)</f>
        <v>2800</v>
      </c>
      <c r="F129" s="39">
        <f>IF([8]道具信息!F129="","",[8]道具信息!F129)</f>
        <v>1</v>
      </c>
      <c r="G129" s="39">
        <f>IF([8]道具信息!G129="","",[8]道具信息!G129)</f>
        <v>1</v>
      </c>
      <c r="H129" s="39">
        <f>IF([8]道具信息!H129="","",[8]道具信息!H129)</f>
        <v>1</v>
      </c>
      <c r="I129" s="39">
        <f>IF([8]道具信息!I129="","",[8]道具信息!I129)</f>
        <v>2800</v>
      </c>
      <c r="J129" s="39">
        <f>IF([8]道具信息!J129="","",[8]道具信息!J129)</f>
        <v>2800</v>
      </c>
      <c r="K129" s="39">
        <f>IF([8]道具信息!K129="","",[8]道具信息!K129)</f>
        <v>2800</v>
      </c>
      <c r="L129" s="39" t="str">
        <f>IF([8]道具信息!L129="","",[8]道具信息!L129)</f>
        <v/>
      </c>
      <c r="M129" s="39" t="str">
        <f>IF([8]道具信息!M129="","",[8]道具信息!M129)</f>
        <v/>
      </c>
      <c r="N129" s="39" t="str">
        <f>IF([8]道具信息!N129="","",[8]道具信息!N129)</f>
        <v/>
      </c>
      <c r="O129" s="39" t="str">
        <f>IF([8]道具信息!O129="","",[8]道具信息!O129)</f>
        <v/>
      </c>
      <c r="P129" s="39" t="str">
        <f>IF([8]道具信息!P129="","",[8]道具信息!P129)</f>
        <v/>
      </c>
      <c r="Q129" s="39" t="str">
        <f>IF([8]道具信息!Q129="","",[8]道具信息!Q129)</f>
        <v/>
      </c>
      <c r="R129" s="39" t="str">
        <f>IF([8]道具信息!R129="","",[8]道具信息!R129)</f>
        <v/>
      </c>
      <c r="S129" s="39" t="str">
        <f>IF([8]道具信息!S129="","",[8]道具信息!S129)</f>
        <v/>
      </c>
      <c r="T129" s="39" t="str">
        <f>IF([8]道具信息!T129="","",[8]道具信息!T129)</f>
        <v/>
      </c>
      <c r="U129" s="39" t="str">
        <f>IF([8]道具信息!U129="","",[8]道具信息!U129)</f>
        <v/>
      </c>
      <c r="V129" s="39" t="str">
        <f>IF([8]道具信息!V129="","",[8]道具信息!V129)</f>
        <v/>
      </c>
      <c r="W129" s="39" t="str">
        <f>IF([8]道具信息!W129="","",[8]道具信息!W129)</f>
        <v/>
      </c>
      <c r="X129" s="39" t="str">
        <f>IF([8]道具信息!X129="","",[8]道具信息!X129)</f>
        <v/>
      </c>
      <c r="Y129" s="39" t="str">
        <f>IF([8]道具信息!Y129="","",[8]道具信息!Y129)</f>
        <v/>
      </c>
      <c r="Z129" s="39" t="str">
        <f>IF([8]道具信息!Z129="","",[8]道具信息!Z129)</f>
        <v/>
      </c>
    </row>
    <row r="130" spans="1:26" x14ac:dyDescent="0.15">
      <c r="A130" s="39" t="str">
        <f>IF([8]道具信息!A130="","",[8]道具信息!A130)</f>
        <v/>
      </c>
      <c r="B130" s="39" t="str">
        <f>IF([8]道具信息!B130="","",[8]道具信息!B130)</f>
        <v/>
      </c>
      <c r="C130" s="39" t="str">
        <f>IF([8]道具信息!C130="","",[8]道具信息!C130)</f>
        <v/>
      </c>
      <c r="D130" s="39" t="str">
        <f>IF([8]道具信息!D130="","",[8]道具信息!D130)</f>
        <v>传奇随机图纸</v>
      </c>
      <c r="E130" s="39">
        <f>IF([8]道具信息!E130="","",[8]道具信息!E130)</f>
        <v>4000</v>
      </c>
      <c r="F130" s="39">
        <f>IF([8]道具信息!F130="","",[8]道具信息!F130)</f>
        <v>1</v>
      </c>
      <c r="G130" s="39">
        <f>IF([8]道具信息!G130="","",[8]道具信息!G130)</f>
        <v>1</v>
      </c>
      <c r="H130" s="39">
        <f>IF([8]道具信息!H130="","",[8]道具信息!H130)</f>
        <v>1</v>
      </c>
      <c r="I130" s="39">
        <f>IF([8]道具信息!I130="","",[8]道具信息!I130)</f>
        <v>4000</v>
      </c>
      <c r="J130" s="39">
        <f>IF([8]道具信息!J130="","",[8]道具信息!J130)</f>
        <v>4000</v>
      </c>
      <c r="K130" s="39">
        <f>IF([8]道具信息!K130="","",[8]道具信息!K130)</f>
        <v>4000</v>
      </c>
      <c r="L130" s="39" t="str">
        <f>IF([8]道具信息!L130="","",[8]道具信息!L130)</f>
        <v/>
      </c>
      <c r="M130" s="39" t="str">
        <f>IF([8]道具信息!M130="","",[8]道具信息!M130)</f>
        <v/>
      </c>
      <c r="N130" s="39" t="str">
        <f>IF([8]道具信息!N130="","",[8]道具信息!N130)</f>
        <v/>
      </c>
      <c r="O130" s="39" t="str">
        <f>IF([8]道具信息!O130="","",[8]道具信息!O130)</f>
        <v/>
      </c>
      <c r="P130" s="39" t="str">
        <f>IF([8]道具信息!P130="","",[8]道具信息!P130)</f>
        <v/>
      </c>
      <c r="Q130" s="39" t="str">
        <f>IF([8]道具信息!Q130="","",[8]道具信息!Q130)</f>
        <v/>
      </c>
      <c r="R130" s="39" t="str">
        <f>IF([8]道具信息!R130="","",[8]道具信息!R130)</f>
        <v/>
      </c>
      <c r="S130" s="39" t="str">
        <f>IF([8]道具信息!S130="","",[8]道具信息!S130)</f>
        <v/>
      </c>
      <c r="T130" s="39" t="str">
        <f>IF([8]道具信息!T130="","",[8]道具信息!T130)</f>
        <v/>
      </c>
      <c r="U130" s="39" t="str">
        <f>IF([8]道具信息!U130="","",[8]道具信息!U130)</f>
        <v/>
      </c>
      <c r="V130" s="39" t="str">
        <f>IF([8]道具信息!V130="","",[8]道具信息!V130)</f>
        <v/>
      </c>
      <c r="W130" s="39" t="str">
        <f>IF([8]道具信息!W130="","",[8]道具信息!W130)</f>
        <v/>
      </c>
      <c r="X130" s="39" t="str">
        <f>IF([8]道具信息!X130="","",[8]道具信息!X130)</f>
        <v/>
      </c>
      <c r="Y130" s="39" t="str">
        <f>IF([8]道具信息!Y130="","",[8]道具信息!Y130)</f>
        <v/>
      </c>
      <c r="Z130" s="39" t="str">
        <f>IF([8]道具信息!Z130="","",[8]道具信息!Z130)</f>
        <v/>
      </c>
    </row>
    <row r="131" spans="1:26" x14ac:dyDescent="0.15">
      <c r="A131" s="39" t="str">
        <f>IF([8]道具信息!A131="","",[8]道具信息!A131)</f>
        <v/>
      </c>
      <c r="B131" s="39" t="str">
        <f>IF([8]道具信息!B131="","",[8]道具信息!B131)</f>
        <v/>
      </c>
      <c r="C131" s="39" t="str">
        <f>IF([8]道具信息!C131="","",[8]道具信息!C131)</f>
        <v/>
      </c>
      <c r="D131" s="39" t="str">
        <f>IF([8]道具信息!D131="","",[8]道具信息!D131)</f>
        <v>普通装备图纸</v>
      </c>
      <c r="E131" s="39">
        <f>IF([8]道具信息!E131="","",[8]道具信息!E131)</f>
        <v>50</v>
      </c>
      <c r="F131" s="39">
        <f>IF([8]道具信息!F131="","",[8]道具信息!F131)</f>
        <v>1</v>
      </c>
      <c r="G131" s="39">
        <f>IF([8]道具信息!G131="","",[8]道具信息!G131)</f>
        <v>0.2</v>
      </c>
      <c r="H131" s="39">
        <f>IF([8]道具信息!H131="","",[8]道具信息!H131)</f>
        <v>0.2</v>
      </c>
      <c r="I131" s="39">
        <f>IF([8]道具信息!I131="","",[8]道具信息!I131)</f>
        <v>50</v>
      </c>
      <c r="J131" s="39">
        <f>IF([8]道具信息!J131="","",[8]道具信息!J131)</f>
        <v>10</v>
      </c>
      <c r="K131" s="39">
        <f>IF([8]道具信息!K131="","",[8]道具信息!K131)</f>
        <v>10</v>
      </c>
      <c r="L131" s="39" t="str">
        <f>IF([8]道具信息!L131="","",[8]道具信息!L131)</f>
        <v/>
      </c>
      <c r="M131" s="39" t="str">
        <f>IF([8]道具信息!M131="","",[8]道具信息!M131)</f>
        <v/>
      </c>
      <c r="N131" s="39" t="str">
        <f>IF([8]道具信息!N131="","",[8]道具信息!N131)</f>
        <v/>
      </c>
      <c r="O131" s="39" t="str">
        <f>IF([8]道具信息!O131="","",[8]道具信息!O131)</f>
        <v/>
      </c>
      <c r="P131" s="39" t="str">
        <f>IF([8]道具信息!P131="","",[8]道具信息!P131)</f>
        <v/>
      </c>
      <c r="Q131" s="39" t="str">
        <f>IF([8]道具信息!Q131="","",[8]道具信息!Q131)</f>
        <v/>
      </c>
      <c r="R131" s="39" t="str">
        <f>IF([8]道具信息!R131="","",[8]道具信息!R131)</f>
        <v/>
      </c>
      <c r="S131" s="39" t="str">
        <f>IF([8]道具信息!S131="","",[8]道具信息!S131)</f>
        <v/>
      </c>
      <c r="T131" s="39" t="str">
        <f>IF([8]道具信息!T131="","",[8]道具信息!T131)</f>
        <v/>
      </c>
      <c r="U131" s="39" t="str">
        <f>IF([8]道具信息!U131="","",[8]道具信息!U131)</f>
        <v/>
      </c>
      <c r="V131" s="39" t="str">
        <f>IF([8]道具信息!V131="","",[8]道具信息!V131)</f>
        <v/>
      </c>
      <c r="W131" s="39" t="str">
        <f>IF([8]道具信息!W131="","",[8]道具信息!W131)</f>
        <v/>
      </c>
      <c r="X131" s="39" t="str">
        <f>IF([8]道具信息!X131="","",[8]道具信息!X131)</f>
        <v/>
      </c>
      <c r="Y131" s="39" t="str">
        <f>IF([8]道具信息!Y131="","",[8]道具信息!Y131)</f>
        <v/>
      </c>
      <c r="Z131" s="39" t="str">
        <f>IF([8]道具信息!Z131="","",[8]道具信息!Z131)</f>
        <v/>
      </c>
    </row>
    <row r="132" spans="1:26" x14ac:dyDescent="0.15">
      <c r="A132" s="39" t="str">
        <f>IF([8]道具信息!A132="","",[8]道具信息!A132)</f>
        <v/>
      </c>
      <c r="B132" s="39" t="str">
        <f>IF([8]道具信息!B132="","",[8]道具信息!B132)</f>
        <v/>
      </c>
      <c r="C132" s="39" t="str">
        <f>IF([8]道具信息!C132="","",[8]道具信息!C132)</f>
        <v/>
      </c>
      <c r="D132" s="39" t="str">
        <f>IF([8]道具信息!D132="","",[8]道具信息!D132)</f>
        <v>精良装备图纸</v>
      </c>
      <c r="E132" s="39">
        <f>IF([8]道具信息!E132="","",[8]道具信息!E132)</f>
        <v>310</v>
      </c>
      <c r="F132" s="39">
        <f>IF([8]道具信息!F132="","",[8]道具信息!F132)</f>
        <v>1</v>
      </c>
      <c r="G132" s="39">
        <f>IF([8]道具信息!G132="","",[8]道具信息!G132)</f>
        <v>0.2</v>
      </c>
      <c r="H132" s="39">
        <f>IF([8]道具信息!H132="","",[8]道具信息!H132)</f>
        <v>0.2</v>
      </c>
      <c r="I132" s="39">
        <f>IF([8]道具信息!I132="","",[8]道具信息!I132)</f>
        <v>310</v>
      </c>
      <c r="J132" s="39">
        <f>IF([8]道具信息!J132="","",[8]道具信息!J132)</f>
        <v>62</v>
      </c>
      <c r="K132" s="39">
        <f>IF([8]道具信息!K132="","",[8]道具信息!K132)</f>
        <v>62</v>
      </c>
      <c r="L132" s="39" t="str">
        <f>IF([8]道具信息!L132="","",[8]道具信息!L132)</f>
        <v/>
      </c>
      <c r="M132" s="39" t="str">
        <f>IF([8]道具信息!M132="","",[8]道具信息!M132)</f>
        <v/>
      </c>
      <c r="N132" s="39" t="str">
        <f>IF([8]道具信息!N132="","",[8]道具信息!N132)</f>
        <v/>
      </c>
      <c r="O132" s="39" t="str">
        <f>IF([8]道具信息!O132="","",[8]道具信息!O132)</f>
        <v/>
      </c>
      <c r="P132" s="39" t="str">
        <f>IF([8]道具信息!P132="","",[8]道具信息!P132)</f>
        <v/>
      </c>
      <c r="Q132" s="39" t="str">
        <f>IF([8]道具信息!Q132="","",[8]道具信息!Q132)</f>
        <v/>
      </c>
      <c r="R132" s="39" t="str">
        <f>IF([8]道具信息!R132="","",[8]道具信息!R132)</f>
        <v/>
      </c>
      <c r="S132" s="39" t="str">
        <f>IF([8]道具信息!S132="","",[8]道具信息!S132)</f>
        <v/>
      </c>
      <c r="T132" s="39" t="str">
        <f>IF([8]道具信息!T132="","",[8]道具信息!T132)</f>
        <v/>
      </c>
      <c r="U132" s="39" t="str">
        <f>IF([8]道具信息!U132="","",[8]道具信息!U132)</f>
        <v/>
      </c>
      <c r="V132" s="39" t="str">
        <f>IF([8]道具信息!V132="","",[8]道具信息!V132)</f>
        <v/>
      </c>
      <c r="W132" s="39" t="str">
        <f>IF([8]道具信息!W132="","",[8]道具信息!W132)</f>
        <v/>
      </c>
      <c r="X132" s="39" t="str">
        <f>IF([8]道具信息!X132="","",[8]道具信息!X132)</f>
        <v/>
      </c>
      <c r="Y132" s="39" t="str">
        <f>IF([8]道具信息!Y132="","",[8]道具信息!Y132)</f>
        <v/>
      </c>
      <c r="Z132" s="39" t="str">
        <f>IF([8]道具信息!Z132="","",[8]道具信息!Z132)</f>
        <v/>
      </c>
    </row>
    <row r="133" spans="1:26" x14ac:dyDescent="0.15">
      <c r="A133" s="39" t="str">
        <f>IF([8]道具信息!A133="","",[8]道具信息!A133)</f>
        <v/>
      </c>
      <c r="B133" s="39" t="str">
        <f>IF([8]道具信息!B133="","",[8]道具信息!B133)</f>
        <v/>
      </c>
      <c r="C133" s="39" t="str">
        <f>IF([8]道具信息!C133="","",[8]道具信息!C133)</f>
        <v/>
      </c>
      <c r="D133" s="39" t="str">
        <f>IF([8]道具信息!D133="","",[8]道具信息!D133)</f>
        <v>优质装备图纸</v>
      </c>
      <c r="E133" s="39">
        <f>IF([8]道具信息!E133="","",[8]道具信息!E133)</f>
        <v>1525</v>
      </c>
      <c r="F133" s="39">
        <f>IF([8]道具信息!F133="","",[8]道具信息!F133)</f>
        <v>1</v>
      </c>
      <c r="G133" s="39">
        <f>IF([8]道具信息!G133="","",[8]道具信息!G133)</f>
        <v>1</v>
      </c>
      <c r="H133" s="39">
        <f>IF([8]道具信息!H133="","",[8]道具信息!H133)</f>
        <v>0.18032786885245902</v>
      </c>
      <c r="I133" s="39">
        <f>IF([8]道具信息!I133="","",[8]道具信息!I133)</f>
        <v>1525</v>
      </c>
      <c r="J133" s="39">
        <f>IF([8]道具信息!J133="","",[8]道具信息!J133)</f>
        <v>1525</v>
      </c>
      <c r="K133" s="39">
        <f>IF([8]道具信息!K133="","",[8]道具信息!K133)</f>
        <v>275</v>
      </c>
      <c r="L133" s="39" t="str">
        <f>IF([8]道具信息!L133="","",[8]道具信息!L133)</f>
        <v/>
      </c>
      <c r="M133" s="39" t="str">
        <f>IF([8]道具信息!M133="","",[8]道具信息!M133)</f>
        <v/>
      </c>
      <c r="N133" s="39" t="str">
        <f>IF([8]道具信息!N133="","",[8]道具信息!N133)</f>
        <v/>
      </c>
      <c r="O133" s="39" t="str">
        <f>IF([8]道具信息!O133="","",[8]道具信息!O133)</f>
        <v/>
      </c>
      <c r="P133" s="39" t="str">
        <f>IF([8]道具信息!P133="","",[8]道具信息!P133)</f>
        <v/>
      </c>
      <c r="Q133" s="39" t="str">
        <f>IF([8]道具信息!Q133="","",[8]道具信息!Q133)</f>
        <v/>
      </c>
      <c r="R133" s="39" t="str">
        <f>IF([8]道具信息!R133="","",[8]道具信息!R133)</f>
        <v/>
      </c>
      <c r="S133" s="39" t="str">
        <f>IF([8]道具信息!S133="","",[8]道具信息!S133)</f>
        <v/>
      </c>
      <c r="T133" s="39" t="str">
        <f>IF([8]道具信息!T133="","",[8]道具信息!T133)</f>
        <v/>
      </c>
      <c r="U133" s="39" t="str">
        <f>IF([8]道具信息!U133="","",[8]道具信息!U133)</f>
        <v/>
      </c>
      <c r="V133" s="39" t="str">
        <f>IF([8]道具信息!V133="","",[8]道具信息!V133)</f>
        <v/>
      </c>
      <c r="W133" s="39" t="str">
        <f>IF([8]道具信息!W133="","",[8]道具信息!W133)</f>
        <v/>
      </c>
      <c r="X133" s="39" t="str">
        <f>IF([8]道具信息!X133="","",[8]道具信息!X133)</f>
        <v/>
      </c>
      <c r="Y133" s="39" t="str">
        <f>IF([8]道具信息!Y133="","",[8]道具信息!Y133)</f>
        <v/>
      </c>
      <c r="Z133" s="39" t="str">
        <f>IF([8]道具信息!Z133="","",[8]道具信息!Z133)</f>
        <v/>
      </c>
    </row>
    <row r="134" spans="1:26" x14ac:dyDescent="0.15">
      <c r="A134" s="39" t="str">
        <f>IF([8]道具信息!A134="","",[8]道具信息!A134)</f>
        <v/>
      </c>
      <c r="B134" s="39" t="str">
        <f>IF([8]道具信息!B134="","",[8]道具信息!B134)</f>
        <v/>
      </c>
      <c r="C134" s="39" t="str">
        <f>IF([8]道具信息!C134="","",[8]道具信息!C134)</f>
        <v/>
      </c>
      <c r="D134" s="39" t="str">
        <f>IF([8]道具信息!D134="","",[8]道具信息!D134)</f>
        <v>珍稀装备图纸</v>
      </c>
      <c r="E134" s="39">
        <f>IF([8]道具信息!E134="","",[8]道具信息!E134)</f>
        <v>2325</v>
      </c>
      <c r="F134" s="39">
        <f>IF([8]道具信息!F134="","",[8]道具信息!F134)</f>
        <v>1</v>
      </c>
      <c r="G134" s="39">
        <f>IF([8]道具信息!G134="","",[8]道具信息!G134)</f>
        <v>1</v>
      </c>
      <c r="H134" s="39">
        <f>IF([8]道具信息!H134="","",[8]道具信息!H134)</f>
        <v>1</v>
      </c>
      <c r="I134" s="39">
        <f>IF([8]道具信息!I134="","",[8]道具信息!I134)</f>
        <v>2325</v>
      </c>
      <c r="J134" s="39">
        <f>IF([8]道具信息!J134="","",[8]道具信息!J134)</f>
        <v>2325</v>
      </c>
      <c r="K134" s="39">
        <f>IF([8]道具信息!K134="","",[8]道具信息!K134)</f>
        <v>2325</v>
      </c>
      <c r="L134" s="39" t="str">
        <f>IF([8]道具信息!L134="","",[8]道具信息!L134)</f>
        <v/>
      </c>
      <c r="M134" s="39" t="str">
        <f>IF([8]道具信息!M134="","",[8]道具信息!M134)</f>
        <v/>
      </c>
      <c r="N134" s="39" t="str">
        <f>IF([8]道具信息!N134="","",[8]道具信息!N134)</f>
        <v/>
      </c>
      <c r="O134" s="39" t="str">
        <f>IF([8]道具信息!O134="","",[8]道具信息!O134)</f>
        <v/>
      </c>
      <c r="P134" s="39" t="str">
        <f>IF([8]道具信息!P134="","",[8]道具信息!P134)</f>
        <v/>
      </c>
      <c r="Q134" s="39" t="str">
        <f>IF([8]道具信息!Q134="","",[8]道具信息!Q134)</f>
        <v/>
      </c>
      <c r="R134" s="39" t="str">
        <f>IF([8]道具信息!R134="","",[8]道具信息!R134)</f>
        <v/>
      </c>
      <c r="S134" s="39" t="str">
        <f>IF([8]道具信息!S134="","",[8]道具信息!S134)</f>
        <v/>
      </c>
      <c r="T134" s="39" t="str">
        <f>IF([8]道具信息!T134="","",[8]道具信息!T134)</f>
        <v/>
      </c>
      <c r="U134" s="39" t="str">
        <f>IF([8]道具信息!U134="","",[8]道具信息!U134)</f>
        <v/>
      </c>
      <c r="V134" s="39" t="str">
        <f>IF([8]道具信息!V134="","",[8]道具信息!V134)</f>
        <v/>
      </c>
      <c r="W134" s="39" t="str">
        <f>IF([8]道具信息!W134="","",[8]道具信息!W134)</f>
        <v/>
      </c>
      <c r="X134" s="39" t="str">
        <f>IF([8]道具信息!X134="","",[8]道具信息!X134)</f>
        <v/>
      </c>
      <c r="Y134" s="39" t="str">
        <f>IF([8]道具信息!Y134="","",[8]道具信息!Y134)</f>
        <v/>
      </c>
      <c r="Z134" s="39" t="str">
        <f>IF([8]道具信息!Z134="","",[8]道具信息!Z134)</f>
        <v/>
      </c>
    </row>
    <row r="135" spans="1:26" x14ac:dyDescent="0.15">
      <c r="A135" s="39" t="str">
        <f>IF([8]道具信息!A135="","",[8]道具信息!A135)</f>
        <v/>
      </c>
      <c r="B135" s="39" t="str">
        <f>IF([8]道具信息!B135="","",[8]道具信息!B135)</f>
        <v/>
      </c>
      <c r="C135" s="39" t="str">
        <f>IF([8]道具信息!C135="","",[8]道具信息!C135)</f>
        <v/>
      </c>
      <c r="D135" s="39" t="str">
        <f>IF([8]道具信息!D135="","",[8]道具信息!D135)</f>
        <v>传世装备图纸</v>
      </c>
      <c r="E135" s="39">
        <f>IF([8]道具信息!E135="","",[8]道具信息!E135)</f>
        <v>5600</v>
      </c>
      <c r="F135" s="39">
        <f>IF([8]道具信息!F135="","",[8]道具信息!F135)</f>
        <v>1</v>
      </c>
      <c r="G135" s="39">
        <f>IF([8]道具信息!G135="","",[8]道具信息!G135)</f>
        <v>1</v>
      </c>
      <c r="H135" s="39">
        <f>IF([8]道具信息!H135="","",[8]道具信息!H135)</f>
        <v>1</v>
      </c>
      <c r="I135" s="39">
        <f>IF([8]道具信息!I135="","",[8]道具信息!I135)</f>
        <v>5600</v>
      </c>
      <c r="J135" s="39">
        <f>IF([8]道具信息!J135="","",[8]道具信息!J135)</f>
        <v>5600</v>
      </c>
      <c r="K135" s="39">
        <f>IF([8]道具信息!K135="","",[8]道具信息!K135)</f>
        <v>5600</v>
      </c>
      <c r="L135" s="39" t="str">
        <f>IF([8]道具信息!L135="","",[8]道具信息!L135)</f>
        <v/>
      </c>
      <c r="M135" s="39" t="str">
        <f>IF([8]道具信息!M135="","",[8]道具信息!M135)</f>
        <v/>
      </c>
      <c r="N135" s="39" t="str">
        <f>IF([8]道具信息!N135="","",[8]道具信息!N135)</f>
        <v/>
      </c>
      <c r="O135" s="39" t="str">
        <f>IF([8]道具信息!O135="","",[8]道具信息!O135)</f>
        <v/>
      </c>
      <c r="P135" s="39" t="str">
        <f>IF([8]道具信息!P135="","",[8]道具信息!P135)</f>
        <v/>
      </c>
      <c r="Q135" s="39" t="str">
        <f>IF([8]道具信息!Q135="","",[8]道具信息!Q135)</f>
        <v/>
      </c>
      <c r="R135" s="39" t="str">
        <f>IF([8]道具信息!R135="","",[8]道具信息!R135)</f>
        <v/>
      </c>
      <c r="S135" s="39" t="str">
        <f>IF([8]道具信息!S135="","",[8]道具信息!S135)</f>
        <v/>
      </c>
      <c r="T135" s="39" t="str">
        <f>IF([8]道具信息!T135="","",[8]道具信息!T135)</f>
        <v/>
      </c>
      <c r="U135" s="39" t="str">
        <f>IF([8]道具信息!U135="","",[8]道具信息!U135)</f>
        <v/>
      </c>
      <c r="V135" s="39" t="str">
        <f>IF([8]道具信息!V135="","",[8]道具信息!V135)</f>
        <v/>
      </c>
      <c r="W135" s="39" t="str">
        <f>IF([8]道具信息!W135="","",[8]道具信息!W135)</f>
        <v/>
      </c>
      <c r="X135" s="39" t="str">
        <f>IF([8]道具信息!X135="","",[8]道具信息!X135)</f>
        <v/>
      </c>
      <c r="Y135" s="39" t="str">
        <f>IF([8]道具信息!Y135="","",[8]道具信息!Y135)</f>
        <v/>
      </c>
      <c r="Z135" s="39" t="str">
        <f>IF([8]道具信息!Z135="","",[8]道具信息!Z135)</f>
        <v/>
      </c>
    </row>
    <row r="136" spans="1:26" x14ac:dyDescent="0.15">
      <c r="A136" s="39" t="str">
        <f>IF([8]道具信息!A136="","",[8]道具信息!A136)</f>
        <v/>
      </c>
      <c r="B136" s="39" t="str">
        <f>IF([8]道具信息!B136="","",[8]道具信息!B136)</f>
        <v/>
      </c>
      <c r="C136" s="39" t="str">
        <f>IF([8]道具信息!C136="","",[8]道具信息!C136)</f>
        <v/>
      </c>
      <c r="D136" s="39" t="str">
        <f>IF([8]道具信息!D136="","",[8]道具信息!D136)</f>
        <v>传奇装备图纸</v>
      </c>
      <c r="E136" s="39">
        <f>IF([8]道具信息!E136="","",[8]道具信息!E136)</f>
        <v>10400</v>
      </c>
      <c r="F136" s="39">
        <f>IF([8]道具信息!F136="","",[8]道具信息!F136)</f>
        <v>1</v>
      </c>
      <c r="G136" s="39">
        <f>IF([8]道具信息!G136="","",[8]道具信息!G136)</f>
        <v>1</v>
      </c>
      <c r="H136" s="39">
        <f>IF([8]道具信息!H136="","",[8]道具信息!H136)</f>
        <v>1</v>
      </c>
      <c r="I136" s="39">
        <f>IF([8]道具信息!I136="","",[8]道具信息!I136)</f>
        <v>10400</v>
      </c>
      <c r="J136" s="39">
        <f>IF([8]道具信息!J136="","",[8]道具信息!J136)</f>
        <v>10400</v>
      </c>
      <c r="K136" s="39">
        <f>IF([8]道具信息!K136="","",[8]道具信息!K136)</f>
        <v>10400</v>
      </c>
      <c r="L136" s="39" t="str">
        <f>IF([8]道具信息!L136="","",[8]道具信息!L136)</f>
        <v/>
      </c>
      <c r="M136" s="39" t="str">
        <f>IF([8]道具信息!M136="","",[8]道具信息!M136)</f>
        <v/>
      </c>
      <c r="N136" s="39" t="str">
        <f>IF([8]道具信息!N136="","",[8]道具信息!N136)</f>
        <v/>
      </c>
      <c r="O136" s="39" t="str">
        <f>IF([8]道具信息!O136="","",[8]道具信息!O136)</f>
        <v/>
      </c>
      <c r="P136" s="39" t="str">
        <f>IF([8]道具信息!P136="","",[8]道具信息!P136)</f>
        <v/>
      </c>
      <c r="Q136" s="39" t="str">
        <f>IF([8]道具信息!Q136="","",[8]道具信息!Q136)</f>
        <v/>
      </c>
      <c r="R136" s="39" t="str">
        <f>IF([8]道具信息!R136="","",[8]道具信息!R136)</f>
        <v/>
      </c>
      <c r="S136" s="39" t="str">
        <f>IF([8]道具信息!S136="","",[8]道具信息!S136)</f>
        <v/>
      </c>
      <c r="T136" s="39" t="str">
        <f>IF([8]道具信息!T136="","",[8]道具信息!T136)</f>
        <v/>
      </c>
      <c r="U136" s="39" t="str">
        <f>IF([8]道具信息!U136="","",[8]道具信息!U136)</f>
        <v/>
      </c>
      <c r="V136" s="39" t="str">
        <f>IF([8]道具信息!V136="","",[8]道具信息!V136)</f>
        <v/>
      </c>
      <c r="W136" s="39" t="str">
        <f>IF([8]道具信息!W136="","",[8]道具信息!W136)</f>
        <v/>
      </c>
      <c r="X136" s="39" t="str">
        <f>IF([8]道具信息!X136="","",[8]道具信息!X136)</f>
        <v/>
      </c>
      <c r="Y136" s="39" t="str">
        <f>IF([8]道具信息!Y136="","",[8]道具信息!Y136)</f>
        <v/>
      </c>
      <c r="Z136" s="39" t="str">
        <f>IF([8]道具信息!Z136="","",[8]道具信息!Z136)</f>
        <v/>
      </c>
    </row>
    <row r="137" spans="1:26" x14ac:dyDescent="0.15">
      <c r="A137" s="39" t="str">
        <f>IF([8]道具信息!A137="","",[8]道具信息!A137)</f>
        <v/>
      </c>
      <c r="B137" s="39" t="str">
        <f>IF([8]道具信息!B137="","",[8]道具信息!B137)</f>
        <v/>
      </c>
      <c r="C137" s="39" t="str">
        <f>IF([8]道具信息!C137="","",[8]道具信息!C137)</f>
        <v/>
      </c>
      <c r="D137" s="39" t="str">
        <f>IF([8]道具信息!D137="","",[8]道具信息!D137)</f>
        <v/>
      </c>
      <c r="E137" s="39" t="str">
        <f>IF([8]道具信息!E137="","",[8]道具信息!E137)</f>
        <v/>
      </c>
      <c r="F137" s="39" t="str">
        <f>IF([8]道具信息!F137="","",[8]道具信息!F137)</f>
        <v/>
      </c>
      <c r="G137" s="39" t="str">
        <f>IF([8]道具信息!G137="","",[8]道具信息!G137)</f>
        <v/>
      </c>
      <c r="H137" s="39" t="str">
        <f>IF([8]道具信息!H137="","",[8]道具信息!H137)</f>
        <v/>
      </c>
      <c r="I137" s="39" t="str">
        <f>IF([8]道具信息!I137="","",[8]道具信息!I137)</f>
        <v/>
      </c>
      <c r="J137" s="39" t="str">
        <f>IF([8]道具信息!J137="","",[8]道具信息!J137)</f>
        <v/>
      </c>
      <c r="K137" s="39" t="str">
        <f>IF([8]道具信息!K137="","",[8]道具信息!K137)</f>
        <v/>
      </c>
      <c r="L137" s="39" t="str">
        <f>IF([8]道具信息!L137="","",[8]道具信息!L137)</f>
        <v/>
      </c>
      <c r="M137" s="39" t="str">
        <f>IF([8]道具信息!M137="","",[8]道具信息!M137)</f>
        <v/>
      </c>
      <c r="N137" s="39" t="str">
        <f>IF([8]道具信息!N137="","",[8]道具信息!N137)</f>
        <v/>
      </c>
      <c r="O137" s="39" t="str">
        <f>IF([8]道具信息!O137="","",[8]道具信息!O137)</f>
        <v/>
      </c>
      <c r="P137" s="39" t="str">
        <f>IF([8]道具信息!P137="","",[8]道具信息!P137)</f>
        <v/>
      </c>
      <c r="Q137" s="39" t="str">
        <f>IF([8]道具信息!Q137="","",[8]道具信息!Q137)</f>
        <v/>
      </c>
      <c r="R137" s="39" t="str">
        <f>IF([8]道具信息!R137="","",[8]道具信息!R137)</f>
        <v/>
      </c>
      <c r="S137" s="39" t="str">
        <f>IF([8]道具信息!S137="","",[8]道具信息!S137)</f>
        <v/>
      </c>
      <c r="T137" s="39" t="str">
        <f>IF([8]道具信息!T137="","",[8]道具信息!T137)</f>
        <v/>
      </c>
      <c r="U137" s="39" t="str">
        <f>IF([8]道具信息!U137="","",[8]道具信息!U137)</f>
        <v/>
      </c>
      <c r="V137" s="39" t="str">
        <f>IF([8]道具信息!V137="","",[8]道具信息!V137)</f>
        <v/>
      </c>
      <c r="W137" s="39" t="str">
        <f>IF([8]道具信息!W137="","",[8]道具信息!W137)</f>
        <v/>
      </c>
      <c r="X137" s="39" t="str">
        <f>IF([8]道具信息!X137="","",[8]道具信息!X137)</f>
        <v/>
      </c>
      <c r="Y137" s="39" t="str">
        <f>IF([8]道具信息!Y137="","",[8]道具信息!Y137)</f>
        <v/>
      </c>
      <c r="Z137" s="39" t="str">
        <f>IF([8]道具信息!Z137="","",[8]道具信息!Z137)</f>
        <v/>
      </c>
    </row>
    <row r="138" spans="1:26" x14ac:dyDescent="0.15">
      <c r="A138" s="39" t="str">
        <f>IF([8]道具信息!A138="","",[8]道具信息!A138)</f>
        <v/>
      </c>
      <c r="B138" s="39" t="str">
        <f>IF([8]道具信息!B138="","",[8]道具信息!B138)</f>
        <v/>
      </c>
      <c r="C138" s="39" t="str">
        <f>IF([8]道具信息!C138="","",[8]道具信息!C138)</f>
        <v/>
      </c>
      <c r="D138" s="39" t="str">
        <f>IF([8]道具信息!D138="","",[8]道具信息!D138)</f>
        <v>残破磨石</v>
      </c>
      <c r="E138" s="39">
        <f>IF([8]道具信息!E138="","",[8]道具信息!E138)</f>
        <v>10</v>
      </c>
      <c r="F138" s="39">
        <f>IF([8]道具信息!F138="","",[8]道具信息!F138)</f>
        <v>1</v>
      </c>
      <c r="G138" s="39">
        <f>IF([8]道具信息!G138="","",[8]道具信息!G138)</f>
        <v>1</v>
      </c>
      <c r="H138" s="39">
        <f>IF([8]道具信息!H138="","",[8]道具信息!H138)</f>
        <v>1</v>
      </c>
      <c r="I138" s="39">
        <f>IF([8]道具信息!I138="","",[8]道具信息!I138)</f>
        <v>10</v>
      </c>
      <c r="J138" s="39">
        <f>IF([8]道具信息!J138="","",[8]道具信息!J138)</f>
        <v>10</v>
      </c>
      <c r="K138" s="39">
        <f>IF([8]道具信息!K138="","",[8]道具信息!K138)</f>
        <v>10</v>
      </c>
      <c r="L138" s="39" t="str">
        <f>IF([8]道具信息!L138="","",[8]道具信息!L138)</f>
        <v/>
      </c>
      <c r="M138" s="39" t="str">
        <f>IF([8]道具信息!M138="","",[8]道具信息!M138)</f>
        <v/>
      </c>
      <c r="N138" s="39" t="str">
        <f>IF([8]道具信息!N138="","",[8]道具信息!N138)</f>
        <v/>
      </c>
      <c r="O138" s="39" t="str">
        <f>IF([8]道具信息!O138="","",[8]道具信息!O138)</f>
        <v/>
      </c>
      <c r="P138" s="39" t="str">
        <f>IF([8]道具信息!P138="","",[8]道具信息!P138)</f>
        <v/>
      </c>
      <c r="Q138" s="39" t="str">
        <f>IF([8]道具信息!Q138="","",[8]道具信息!Q138)</f>
        <v/>
      </c>
      <c r="R138" s="39" t="str">
        <f>IF([8]道具信息!R138="","",[8]道具信息!R138)</f>
        <v/>
      </c>
      <c r="S138" s="39" t="str">
        <f>IF([8]道具信息!S138="","",[8]道具信息!S138)</f>
        <v/>
      </c>
      <c r="T138" s="39" t="str">
        <f>IF([8]道具信息!T138="","",[8]道具信息!T138)</f>
        <v/>
      </c>
      <c r="U138" s="39" t="str">
        <f>IF([8]道具信息!U138="","",[8]道具信息!U138)</f>
        <v/>
      </c>
      <c r="V138" s="39" t="str">
        <f>IF([8]道具信息!V138="","",[8]道具信息!V138)</f>
        <v/>
      </c>
      <c r="W138" s="39" t="str">
        <f>IF([8]道具信息!W138="","",[8]道具信息!W138)</f>
        <v/>
      </c>
      <c r="X138" s="39" t="str">
        <f>IF([8]道具信息!X138="","",[8]道具信息!X138)</f>
        <v/>
      </c>
      <c r="Y138" s="39" t="str">
        <f>IF([8]道具信息!Y138="","",[8]道具信息!Y138)</f>
        <v/>
      </c>
      <c r="Z138" s="39" t="str">
        <f>IF([8]道具信息!Z138="","",[8]道具信息!Z138)</f>
        <v/>
      </c>
    </row>
    <row r="139" spans="1:26" x14ac:dyDescent="0.15">
      <c r="A139" s="39" t="str">
        <f>IF([8]道具信息!A139="","",[8]道具信息!A139)</f>
        <v/>
      </c>
      <c r="B139" s="39" t="str">
        <f>IF([8]道具信息!B139="","",[8]道具信息!B139)</f>
        <v/>
      </c>
      <c r="C139" s="39" t="str">
        <f>IF([8]道具信息!C139="","",[8]道具信息!C139)</f>
        <v/>
      </c>
      <c r="D139" s="39" t="str">
        <f>IF([8]道具信息!D139="","",[8]道具信息!D139)</f>
        <v>普通磨石</v>
      </c>
      <c r="E139" s="39">
        <f>IF([8]道具信息!E139="","",[8]道具信息!E139)</f>
        <v>50</v>
      </c>
      <c r="F139" s="39">
        <f>IF([8]道具信息!F139="","",[8]道具信息!F139)</f>
        <v>1</v>
      </c>
      <c r="G139" s="39">
        <f>IF([8]道具信息!G139="","",[8]道具信息!G139)</f>
        <v>1</v>
      </c>
      <c r="H139" s="39">
        <f>IF([8]道具信息!H139="","",[8]道具信息!H139)</f>
        <v>1</v>
      </c>
      <c r="I139" s="39">
        <f>IF([8]道具信息!I139="","",[8]道具信息!I139)</f>
        <v>50</v>
      </c>
      <c r="J139" s="39">
        <f>IF([8]道具信息!J139="","",[8]道具信息!J139)</f>
        <v>50</v>
      </c>
      <c r="K139" s="39">
        <f>IF([8]道具信息!K139="","",[8]道具信息!K139)</f>
        <v>50</v>
      </c>
      <c r="L139" s="39" t="str">
        <f>IF([8]道具信息!L139="","",[8]道具信息!L139)</f>
        <v/>
      </c>
      <c r="M139" s="39" t="str">
        <f>IF([8]道具信息!M139="","",[8]道具信息!M139)</f>
        <v/>
      </c>
      <c r="N139" s="39" t="str">
        <f>IF([8]道具信息!N139="","",[8]道具信息!N139)</f>
        <v/>
      </c>
      <c r="O139" s="39" t="str">
        <f>IF([8]道具信息!O139="","",[8]道具信息!O139)</f>
        <v/>
      </c>
      <c r="P139" s="39" t="str">
        <f>IF([8]道具信息!P139="","",[8]道具信息!P139)</f>
        <v/>
      </c>
      <c r="Q139" s="39" t="str">
        <f>IF([8]道具信息!Q139="","",[8]道具信息!Q139)</f>
        <v/>
      </c>
      <c r="R139" s="39" t="str">
        <f>IF([8]道具信息!R139="","",[8]道具信息!R139)</f>
        <v/>
      </c>
      <c r="S139" s="39" t="str">
        <f>IF([8]道具信息!S139="","",[8]道具信息!S139)</f>
        <v/>
      </c>
      <c r="T139" s="39" t="str">
        <f>IF([8]道具信息!T139="","",[8]道具信息!T139)</f>
        <v/>
      </c>
      <c r="U139" s="39" t="str">
        <f>IF([8]道具信息!U139="","",[8]道具信息!U139)</f>
        <v/>
      </c>
      <c r="V139" s="39" t="str">
        <f>IF([8]道具信息!V139="","",[8]道具信息!V139)</f>
        <v/>
      </c>
      <c r="W139" s="39" t="str">
        <f>IF([8]道具信息!W139="","",[8]道具信息!W139)</f>
        <v/>
      </c>
      <c r="X139" s="39" t="str">
        <f>IF([8]道具信息!X139="","",[8]道具信息!X139)</f>
        <v/>
      </c>
      <c r="Y139" s="39" t="str">
        <f>IF([8]道具信息!Y139="","",[8]道具信息!Y139)</f>
        <v/>
      </c>
      <c r="Z139" s="39" t="str">
        <f>IF([8]道具信息!Z139="","",[8]道具信息!Z139)</f>
        <v/>
      </c>
    </row>
    <row r="140" spans="1:26" x14ac:dyDescent="0.15">
      <c r="A140" s="39" t="str">
        <f>IF([8]道具信息!A140="","",[8]道具信息!A140)</f>
        <v/>
      </c>
      <c r="B140" s="39" t="str">
        <f>IF([8]道具信息!B140="","",[8]道具信息!B140)</f>
        <v/>
      </c>
      <c r="C140" s="39" t="str">
        <f>IF([8]道具信息!C140="","",[8]道具信息!C140)</f>
        <v/>
      </c>
      <c r="D140" s="39" t="str">
        <f>IF([8]道具信息!D140="","",[8]道具信息!D140)</f>
        <v>精良磨石</v>
      </c>
      <c r="E140" s="39">
        <f>IF([8]道具信息!E140="","",[8]道具信息!E140)</f>
        <v>100</v>
      </c>
      <c r="F140" s="39">
        <f>IF([8]道具信息!F140="","",[8]道具信息!F140)</f>
        <v>1</v>
      </c>
      <c r="G140" s="39">
        <f>IF([8]道具信息!G140="","",[8]道具信息!G140)</f>
        <v>1</v>
      </c>
      <c r="H140" s="39">
        <f>IF([8]道具信息!H140="","",[8]道具信息!H140)</f>
        <v>1</v>
      </c>
      <c r="I140" s="39">
        <f>IF([8]道具信息!I140="","",[8]道具信息!I140)</f>
        <v>100</v>
      </c>
      <c r="J140" s="39">
        <f>IF([8]道具信息!J140="","",[8]道具信息!J140)</f>
        <v>100</v>
      </c>
      <c r="K140" s="39">
        <f>IF([8]道具信息!K140="","",[8]道具信息!K140)</f>
        <v>100</v>
      </c>
      <c r="L140" s="39" t="str">
        <f>IF([8]道具信息!L140="","",[8]道具信息!L140)</f>
        <v/>
      </c>
      <c r="M140" s="39" t="str">
        <f>IF([8]道具信息!M140="","",[8]道具信息!M140)</f>
        <v/>
      </c>
      <c r="N140" s="39" t="str">
        <f>IF([8]道具信息!N140="","",[8]道具信息!N140)</f>
        <v/>
      </c>
      <c r="O140" s="39" t="str">
        <f>IF([8]道具信息!O140="","",[8]道具信息!O140)</f>
        <v/>
      </c>
      <c r="P140" s="39" t="str">
        <f>IF([8]道具信息!P140="","",[8]道具信息!P140)</f>
        <v/>
      </c>
      <c r="Q140" s="39" t="str">
        <f>IF([8]道具信息!Q140="","",[8]道具信息!Q140)</f>
        <v/>
      </c>
      <c r="R140" s="39" t="str">
        <f>IF([8]道具信息!R140="","",[8]道具信息!R140)</f>
        <v/>
      </c>
      <c r="S140" s="39" t="str">
        <f>IF([8]道具信息!S140="","",[8]道具信息!S140)</f>
        <v/>
      </c>
      <c r="T140" s="39" t="str">
        <f>IF([8]道具信息!T140="","",[8]道具信息!T140)</f>
        <v/>
      </c>
      <c r="U140" s="39" t="str">
        <f>IF([8]道具信息!U140="","",[8]道具信息!U140)</f>
        <v/>
      </c>
      <c r="V140" s="39" t="str">
        <f>IF([8]道具信息!V140="","",[8]道具信息!V140)</f>
        <v/>
      </c>
      <c r="W140" s="39" t="str">
        <f>IF([8]道具信息!W140="","",[8]道具信息!W140)</f>
        <v/>
      </c>
      <c r="X140" s="39" t="str">
        <f>IF([8]道具信息!X140="","",[8]道具信息!X140)</f>
        <v/>
      </c>
      <c r="Y140" s="39" t="str">
        <f>IF([8]道具信息!Y140="","",[8]道具信息!Y140)</f>
        <v/>
      </c>
      <c r="Z140" s="39" t="str">
        <f>IF([8]道具信息!Z140="","",[8]道具信息!Z140)</f>
        <v/>
      </c>
    </row>
    <row r="141" spans="1:26" x14ac:dyDescent="0.15">
      <c r="A141" s="39" t="str">
        <f>IF([8]道具信息!A141="","",[8]道具信息!A141)</f>
        <v/>
      </c>
      <c r="B141" s="39" t="str">
        <f>IF([8]道具信息!B141="","",[8]道具信息!B141)</f>
        <v/>
      </c>
      <c r="C141" s="39" t="str">
        <f>IF([8]道具信息!C141="","",[8]道具信息!C141)</f>
        <v/>
      </c>
      <c r="D141" s="39" t="str">
        <f>IF([8]道具信息!D141="","",[8]道具信息!D141)</f>
        <v>优质磨石</v>
      </c>
      <c r="E141" s="39">
        <f>IF([8]道具信息!E141="","",[8]道具信息!E141)</f>
        <v>200</v>
      </c>
      <c r="F141" s="39">
        <f>IF([8]道具信息!F141="","",[8]道具信息!F141)</f>
        <v>1</v>
      </c>
      <c r="G141" s="39">
        <f>IF([8]道具信息!G141="","",[8]道具信息!G141)</f>
        <v>1</v>
      </c>
      <c r="H141" s="39">
        <f>IF([8]道具信息!H141="","",[8]道具信息!H141)</f>
        <v>1</v>
      </c>
      <c r="I141" s="39">
        <f>IF([8]道具信息!I141="","",[8]道具信息!I141)</f>
        <v>200</v>
      </c>
      <c r="J141" s="39">
        <f>IF([8]道具信息!J141="","",[8]道具信息!J141)</f>
        <v>200</v>
      </c>
      <c r="K141" s="39">
        <f>IF([8]道具信息!K141="","",[8]道具信息!K141)</f>
        <v>200</v>
      </c>
      <c r="L141" s="39" t="str">
        <f>IF([8]道具信息!L141="","",[8]道具信息!L141)</f>
        <v/>
      </c>
      <c r="M141" s="39" t="str">
        <f>IF([8]道具信息!M141="","",[8]道具信息!M141)</f>
        <v/>
      </c>
      <c r="N141" s="39" t="str">
        <f>IF([8]道具信息!N141="","",[8]道具信息!N141)</f>
        <v/>
      </c>
      <c r="O141" s="39" t="str">
        <f>IF([8]道具信息!O141="","",[8]道具信息!O141)</f>
        <v/>
      </c>
      <c r="P141" s="39" t="str">
        <f>IF([8]道具信息!P141="","",[8]道具信息!P141)</f>
        <v/>
      </c>
      <c r="Q141" s="39" t="str">
        <f>IF([8]道具信息!Q141="","",[8]道具信息!Q141)</f>
        <v/>
      </c>
      <c r="R141" s="39" t="str">
        <f>IF([8]道具信息!R141="","",[8]道具信息!R141)</f>
        <v/>
      </c>
      <c r="S141" s="39" t="str">
        <f>IF([8]道具信息!S141="","",[8]道具信息!S141)</f>
        <v/>
      </c>
      <c r="T141" s="39" t="str">
        <f>IF([8]道具信息!T141="","",[8]道具信息!T141)</f>
        <v/>
      </c>
      <c r="U141" s="39" t="str">
        <f>IF([8]道具信息!U141="","",[8]道具信息!U141)</f>
        <v/>
      </c>
      <c r="V141" s="39" t="str">
        <f>IF([8]道具信息!V141="","",[8]道具信息!V141)</f>
        <v/>
      </c>
      <c r="W141" s="39" t="str">
        <f>IF([8]道具信息!W141="","",[8]道具信息!W141)</f>
        <v/>
      </c>
      <c r="X141" s="39" t="str">
        <f>IF([8]道具信息!X141="","",[8]道具信息!X141)</f>
        <v/>
      </c>
      <c r="Y141" s="39" t="str">
        <f>IF([8]道具信息!Y141="","",[8]道具信息!Y141)</f>
        <v/>
      </c>
      <c r="Z141" s="39" t="str">
        <f>IF([8]道具信息!Z141="","",[8]道具信息!Z141)</f>
        <v/>
      </c>
    </row>
    <row r="142" spans="1:26" x14ac:dyDescent="0.15">
      <c r="A142" s="39" t="str">
        <f>IF([8]道具信息!A142="","",[8]道具信息!A142)</f>
        <v/>
      </c>
      <c r="B142" s="39" t="str">
        <f>IF([8]道具信息!B142="","",[8]道具信息!B142)</f>
        <v/>
      </c>
      <c r="C142" s="39" t="str">
        <f>IF([8]道具信息!C142="","",[8]道具信息!C142)</f>
        <v/>
      </c>
      <c r="D142" s="39" t="str">
        <f>IF([8]道具信息!D142="","",[8]道具信息!D142)</f>
        <v>传世磨石</v>
      </c>
      <c r="E142" s="39">
        <f>IF([8]道具信息!E142="","",[8]道具信息!E142)</f>
        <v>400</v>
      </c>
      <c r="F142" s="39">
        <f>IF([8]道具信息!F142="","",[8]道具信息!F142)</f>
        <v>1</v>
      </c>
      <c r="G142" s="39">
        <f>IF([8]道具信息!G142="","",[8]道具信息!G142)</f>
        <v>1</v>
      </c>
      <c r="H142" s="39">
        <f>IF([8]道具信息!H142="","",[8]道具信息!H142)</f>
        <v>1</v>
      </c>
      <c r="I142" s="39">
        <f>IF([8]道具信息!I142="","",[8]道具信息!I142)</f>
        <v>400</v>
      </c>
      <c r="J142" s="39">
        <f>IF([8]道具信息!J142="","",[8]道具信息!J142)</f>
        <v>400</v>
      </c>
      <c r="K142" s="39">
        <f>IF([8]道具信息!K142="","",[8]道具信息!K142)</f>
        <v>400</v>
      </c>
      <c r="L142" s="39" t="str">
        <f>IF([8]道具信息!L142="","",[8]道具信息!L142)</f>
        <v/>
      </c>
      <c r="M142" s="39" t="str">
        <f>IF([8]道具信息!M142="","",[8]道具信息!M142)</f>
        <v/>
      </c>
      <c r="N142" s="39" t="str">
        <f>IF([8]道具信息!N142="","",[8]道具信息!N142)</f>
        <v/>
      </c>
      <c r="O142" s="39" t="str">
        <f>IF([8]道具信息!O142="","",[8]道具信息!O142)</f>
        <v/>
      </c>
      <c r="P142" s="39" t="str">
        <f>IF([8]道具信息!P142="","",[8]道具信息!P142)</f>
        <v/>
      </c>
      <c r="Q142" s="39" t="str">
        <f>IF([8]道具信息!Q142="","",[8]道具信息!Q142)</f>
        <v/>
      </c>
      <c r="R142" s="39" t="str">
        <f>IF([8]道具信息!R142="","",[8]道具信息!R142)</f>
        <v/>
      </c>
      <c r="S142" s="39" t="str">
        <f>IF([8]道具信息!S142="","",[8]道具信息!S142)</f>
        <v/>
      </c>
      <c r="T142" s="39" t="str">
        <f>IF([8]道具信息!T142="","",[8]道具信息!T142)</f>
        <v/>
      </c>
      <c r="U142" s="39" t="str">
        <f>IF([8]道具信息!U142="","",[8]道具信息!U142)</f>
        <v/>
      </c>
      <c r="V142" s="39" t="str">
        <f>IF([8]道具信息!V142="","",[8]道具信息!V142)</f>
        <v/>
      </c>
      <c r="W142" s="39" t="str">
        <f>IF([8]道具信息!W142="","",[8]道具信息!W142)</f>
        <v/>
      </c>
      <c r="X142" s="39" t="str">
        <f>IF([8]道具信息!X142="","",[8]道具信息!X142)</f>
        <v/>
      </c>
      <c r="Y142" s="39" t="str">
        <f>IF([8]道具信息!Y142="","",[8]道具信息!Y142)</f>
        <v/>
      </c>
      <c r="Z142" s="39" t="str">
        <f>IF([8]道具信息!Z142="","",[8]道具信息!Z142)</f>
        <v/>
      </c>
    </row>
    <row r="143" spans="1:26" x14ac:dyDescent="0.15">
      <c r="A143" s="39" t="str">
        <f>IF([8]道具信息!A143="","",[8]道具信息!A143)</f>
        <v/>
      </c>
      <c r="B143" s="39" t="str">
        <f>IF([8]道具信息!B143="","",[8]道具信息!B143)</f>
        <v/>
      </c>
      <c r="C143" s="39" t="str">
        <f>IF([8]道具信息!C143="","",[8]道具信息!C143)</f>
        <v/>
      </c>
      <c r="D143" s="39" t="str">
        <f>IF([8]道具信息!D143="","",[8]道具信息!D143)</f>
        <v/>
      </c>
      <c r="E143" s="39" t="str">
        <f>IF([8]道具信息!E143="","",[8]道具信息!E143)</f>
        <v/>
      </c>
      <c r="F143" s="39" t="str">
        <f>IF([8]道具信息!F143="","",[8]道具信息!F143)</f>
        <v/>
      </c>
      <c r="G143" s="39" t="str">
        <f>IF([8]道具信息!G143="","",[8]道具信息!G143)</f>
        <v/>
      </c>
      <c r="H143" s="39" t="str">
        <f>IF([8]道具信息!H143="","",[8]道具信息!H143)</f>
        <v/>
      </c>
      <c r="I143" s="39" t="str">
        <f>IF([8]道具信息!I143="","",[8]道具信息!I143)</f>
        <v/>
      </c>
      <c r="J143" s="39" t="str">
        <f>IF([8]道具信息!J143="","",[8]道具信息!J143)</f>
        <v/>
      </c>
      <c r="K143" s="39" t="str">
        <f>IF([8]道具信息!K143="","",[8]道具信息!K143)</f>
        <v/>
      </c>
      <c r="L143" s="39" t="str">
        <f>IF([8]道具信息!L143="","",[8]道具信息!L143)</f>
        <v/>
      </c>
      <c r="M143" s="39" t="str">
        <f>IF([8]道具信息!M143="","",[8]道具信息!M143)</f>
        <v/>
      </c>
      <c r="N143" s="39" t="str">
        <f>IF([8]道具信息!N143="","",[8]道具信息!N143)</f>
        <v/>
      </c>
      <c r="O143" s="39" t="str">
        <f>IF([8]道具信息!O143="","",[8]道具信息!O143)</f>
        <v/>
      </c>
      <c r="P143" s="39" t="str">
        <f>IF([8]道具信息!P143="","",[8]道具信息!P143)</f>
        <v/>
      </c>
      <c r="Q143" s="39" t="str">
        <f>IF([8]道具信息!Q143="","",[8]道具信息!Q143)</f>
        <v/>
      </c>
      <c r="R143" s="39" t="str">
        <f>IF([8]道具信息!R143="","",[8]道具信息!R143)</f>
        <v/>
      </c>
      <c r="S143" s="39" t="str">
        <f>IF([8]道具信息!S143="","",[8]道具信息!S143)</f>
        <v/>
      </c>
      <c r="T143" s="39" t="str">
        <f>IF([8]道具信息!T143="","",[8]道具信息!T143)</f>
        <v/>
      </c>
      <c r="U143" s="39" t="str">
        <f>IF([8]道具信息!U143="","",[8]道具信息!U143)</f>
        <v/>
      </c>
      <c r="V143" s="39" t="str">
        <f>IF([8]道具信息!V143="","",[8]道具信息!V143)</f>
        <v/>
      </c>
      <c r="W143" s="39" t="str">
        <f>IF([8]道具信息!W143="","",[8]道具信息!W143)</f>
        <v/>
      </c>
      <c r="X143" s="39" t="str">
        <f>IF([8]道具信息!X143="","",[8]道具信息!X143)</f>
        <v/>
      </c>
      <c r="Y143" s="39" t="str">
        <f>IF([8]道具信息!Y143="","",[8]道具信息!Y143)</f>
        <v/>
      </c>
      <c r="Z143" s="39" t="str">
        <f>IF([8]道具信息!Z143="","",[8]道具信息!Z143)</f>
        <v/>
      </c>
    </row>
    <row r="144" spans="1:26" x14ac:dyDescent="0.15">
      <c r="A144" s="39" t="str">
        <f>IF([8]道具信息!A144="","",[8]道具信息!A144)</f>
        <v/>
      </c>
      <c r="B144" s="39" t="str">
        <f>IF([8]道具信息!B144="","",[8]道具信息!B144)</f>
        <v/>
      </c>
      <c r="C144" s="39" t="str">
        <f>IF([8]道具信息!C144="","",[8]道具信息!C144)</f>
        <v/>
      </c>
      <c r="D144" s="39" t="str">
        <f>IF([8]道具信息!D144="","",[8]道具信息!D144)</f>
        <v>普通兵装材料</v>
      </c>
      <c r="E144" s="39">
        <f>IF([8]道具信息!E144="","",[8]道具信息!E144)</f>
        <v>10</v>
      </c>
      <c r="F144" s="39">
        <f>IF([8]道具信息!F144="","",[8]道具信息!F144)</f>
        <v>1</v>
      </c>
      <c r="G144" s="39">
        <f>IF([8]道具信息!G144="","",[8]道具信息!G144)</f>
        <v>0.2</v>
      </c>
      <c r="H144" s="39">
        <f>IF([8]道具信息!H144="","",[8]道具信息!H144)</f>
        <v>0.2</v>
      </c>
      <c r="I144" s="39">
        <f>IF([8]道具信息!I144="","",[8]道具信息!I144)</f>
        <v>10</v>
      </c>
      <c r="J144" s="39">
        <f>IF([8]道具信息!J144="","",[8]道具信息!J144)</f>
        <v>2</v>
      </c>
      <c r="K144" s="39">
        <f>IF([8]道具信息!K144="","",[8]道具信息!K144)</f>
        <v>2</v>
      </c>
      <c r="L144" s="39" t="str">
        <f>IF([8]道具信息!L144="","",[8]道具信息!L144)</f>
        <v/>
      </c>
      <c r="M144" s="39" t="str">
        <f>IF([8]道具信息!M144="","",[8]道具信息!M144)</f>
        <v/>
      </c>
      <c r="N144" s="39" t="str">
        <f>IF([8]道具信息!N144="","",[8]道具信息!N144)</f>
        <v/>
      </c>
      <c r="O144" s="39" t="str">
        <f>IF([8]道具信息!O144="","",[8]道具信息!O144)</f>
        <v/>
      </c>
      <c r="P144" s="39" t="str">
        <f>IF([8]道具信息!P144="","",[8]道具信息!P144)</f>
        <v/>
      </c>
      <c r="Q144" s="39" t="str">
        <f>IF([8]道具信息!Q144="","",[8]道具信息!Q144)</f>
        <v/>
      </c>
      <c r="R144" s="39" t="str">
        <f>IF([8]道具信息!R144="","",[8]道具信息!R144)</f>
        <v/>
      </c>
      <c r="S144" s="39" t="str">
        <f>IF([8]道具信息!S144="","",[8]道具信息!S144)</f>
        <v/>
      </c>
      <c r="T144" s="39" t="str">
        <f>IF([8]道具信息!T144="","",[8]道具信息!T144)</f>
        <v/>
      </c>
      <c r="U144" s="39" t="str">
        <f>IF([8]道具信息!U144="","",[8]道具信息!U144)</f>
        <v/>
      </c>
      <c r="V144" s="39" t="str">
        <f>IF([8]道具信息!V144="","",[8]道具信息!V144)</f>
        <v/>
      </c>
      <c r="W144" s="39" t="str">
        <f>IF([8]道具信息!W144="","",[8]道具信息!W144)</f>
        <v/>
      </c>
      <c r="X144" s="39" t="str">
        <f>IF([8]道具信息!X144="","",[8]道具信息!X144)</f>
        <v/>
      </c>
      <c r="Y144" s="39" t="str">
        <f>IF([8]道具信息!Y144="","",[8]道具信息!Y144)</f>
        <v/>
      </c>
      <c r="Z144" s="39" t="str">
        <f>IF([8]道具信息!Z144="","",[8]道具信息!Z144)</f>
        <v/>
      </c>
    </row>
    <row r="145" spans="1:26" x14ac:dyDescent="0.15">
      <c r="A145" s="39" t="str">
        <f>IF([8]道具信息!A145="","",[8]道具信息!A145)</f>
        <v/>
      </c>
      <c r="B145" s="39" t="str">
        <f>IF([8]道具信息!B145="","",[8]道具信息!B145)</f>
        <v/>
      </c>
      <c r="C145" s="39" t="str">
        <f>IF([8]道具信息!C145="","",[8]道具信息!C145)</f>
        <v/>
      </c>
      <c r="D145" s="39" t="str">
        <f>IF([8]道具信息!D145="","",[8]道具信息!D145)</f>
        <v>精良兵装材料</v>
      </c>
      <c r="E145" s="39">
        <f>IF([8]道具信息!E145="","",[8]道具信息!E145)</f>
        <v>19</v>
      </c>
      <c r="F145" s="39">
        <f>IF([8]道具信息!F145="","",[8]道具信息!F145)</f>
        <v>1</v>
      </c>
      <c r="G145" s="39">
        <f>IF([8]道具信息!G145="","",[8]道具信息!G145)</f>
        <v>0.19999999999999998</v>
      </c>
      <c r="H145" s="39">
        <f>IF([8]道具信息!H145="","",[8]道具信息!H145)</f>
        <v>0.19999999999999998</v>
      </c>
      <c r="I145" s="39">
        <f>IF([8]道具信息!I145="","",[8]道具信息!I145)</f>
        <v>19</v>
      </c>
      <c r="J145" s="39">
        <f>IF([8]道具信息!J145="","",[8]道具信息!J145)</f>
        <v>3.8</v>
      </c>
      <c r="K145" s="39">
        <f>IF([8]道具信息!K145="","",[8]道具信息!K145)</f>
        <v>3.8</v>
      </c>
      <c r="L145" s="39" t="str">
        <f>IF([8]道具信息!L145="","",[8]道具信息!L145)</f>
        <v/>
      </c>
      <c r="M145" s="39" t="str">
        <f>IF([8]道具信息!M145="","",[8]道具信息!M145)</f>
        <v/>
      </c>
      <c r="N145" s="39" t="str">
        <f>IF([8]道具信息!N145="","",[8]道具信息!N145)</f>
        <v/>
      </c>
      <c r="O145" s="39" t="str">
        <f>IF([8]道具信息!O145="","",[8]道具信息!O145)</f>
        <v/>
      </c>
      <c r="P145" s="39" t="str">
        <f>IF([8]道具信息!P145="","",[8]道具信息!P145)</f>
        <v/>
      </c>
      <c r="Q145" s="39" t="str">
        <f>IF([8]道具信息!Q145="","",[8]道具信息!Q145)</f>
        <v/>
      </c>
      <c r="R145" s="39" t="str">
        <f>IF([8]道具信息!R145="","",[8]道具信息!R145)</f>
        <v/>
      </c>
      <c r="S145" s="39" t="str">
        <f>IF([8]道具信息!S145="","",[8]道具信息!S145)</f>
        <v/>
      </c>
      <c r="T145" s="39" t="str">
        <f>IF([8]道具信息!T145="","",[8]道具信息!T145)</f>
        <v/>
      </c>
      <c r="U145" s="39" t="str">
        <f>IF([8]道具信息!U145="","",[8]道具信息!U145)</f>
        <v/>
      </c>
      <c r="V145" s="39" t="str">
        <f>IF([8]道具信息!V145="","",[8]道具信息!V145)</f>
        <v/>
      </c>
      <c r="W145" s="39" t="str">
        <f>IF([8]道具信息!W145="","",[8]道具信息!W145)</f>
        <v/>
      </c>
      <c r="X145" s="39" t="str">
        <f>IF([8]道具信息!X145="","",[8]道具信息!X145)</f>
        <v/>
      </c>
      <c r="Y145" s="39" t="str">
        <f>IF([8]道具信息!Y145="","",[8]道具信息!Y145)</f>
        <v/>
      </c>
      <c r="Z145" s="39" t="str">
        <f>IF([8]道具信息!Z145="","",[8]道具信息!Z145)</f>
        <v/>
      </c>
    </row>
    <row r="146" spans="1:26" x14ac:dyDescent="0.15">
      <c r="A146" s="39" t="str">
        <f>IF([8]道具信息!A146="","",[8]道具信息!A146)</f>
        <v/>
      </c>
      <c r="B146" s="39" t="str">
        <f>IF([8]道具信息!B146="","",[8]道具信息!B146)</f>
        <v/>
      </c>
      <c r="C146" s="39" t="str">
        <f>IF([8]道具信息!C146="","",[8]道具信息!C146)</f>
        <v/>
      </c>
      <c r="D146" s="39" t="str">
        <f>IF([8]道具信息!D146="","",[8]道具信息!D146)</f>
        <v>优质兵装材料</v>
      </c>
      <c r="E146" s="39">
        <f>IF([8]道具信息!E146="","",[8]道具信息!E146)</f>
        <v>22.5</v>
      </c>
      <c r="F146" s="39">
        <f>IF([8]道具信息!F146="","",[8]道具信息!F146)</f>
        <v>1</v>
      </c>
      <c r="G146" s="39">
        <f>IF([8]道具信息!G146="","",[8]道具信息!G146)</f>
        <v>1</v>
      </c>
      <c r="H146" s="39">
        <f>IF([8]道具信息!H146="","",[8]道具信息!H146)</f>
        <v>0.18533333333333332</v>
      </c>
      <c r="I146" s="39">
        <f>IF([8]道具信息!I146="","",[8]道具信息!I146)</f>
        <v>22.5</v>
      </c>
      <c r="J146" s="39">
        <f>IF([8]道具信息!J146="","",[8]道具信息!J146)</f>
        <v>22.5</v>
      </c>
      <c r="K146" s="39">
        <f>IF([8]道具信息!K146="","",[8]道具信息!K146)</f>
        <v>4.17</v>
      </c>
      <c r="L146" s="39" t="str">
        <f>IF([8]道具信息!L146="","",[8]道具信息!L146)</f>
        <v/>
      </c>
      <c r="M146" s="39" t="str">
        <f>IF([8]道具信息!M146="","",[8]道具信息!M146)</f>
        <v/>
      </c>
      <c r="N146" s="39" t="str">
        <f>IF([8]道具信息!N146="","",[8]道具信息!N146)</f>
        <v/>
      </c>
      <c r="O146" s="39" t="str">
        <f>IF([8]道具信息!O146="","",[8]道具信息!O146)</f>
        <v/>
      </c>
      <c r="P146" s="39" t="str">
        <f>IF([8]道具信息!P146="","",[8]道具信息!P146)</f>
        <v/>
      </c>
      <c r="Q146" s="39" t="str">
        <f>IF([8]道具信息!Q146="","",[8]道具信息!Q146)</f>
        <v/>
      </c>
      <c r="R146" s="39" t="str">
        <f>IF([8]道具信息!R146="","",[8]道具信息!R146)</f>
        <v/>
      </c>
      <c r="S146" s="39" t="str">
        <f>IF([8]道具信息!S146="","",[8]道具信息!S146)</f>
        <v/>
      </c>
      <c r="T146" s="39" t="str">
        <f>IF([8]道具信息!T146="","",[8]道具信息!T146)</f>
        <v/>
      </c>
      <c r="U146" s="39" t="str">
        <f>IF([8]道具信息!U146="","",[8]道具信息!U146)</f>
        <v/>
      </c>
      <c r="V146" s="39" t="str">
        <f>IF([8]道具信息!V146="","",[8]道具信息!V146)</f>
        <v/>
      </c>
      <c r="W146" s="39" t="str">
        <f>IF([8]道具信息!W146="","",[8]道具信息!W146)</f>
        <v/>
      </c>
      <c r="X146" s="39" t="str">
        <f>IF([8]道具信息!X146="","",[8]道具信息!X146)</f>
        <v/>
      </c>
      <c r="Y146" s="39" t="str">
        <f>IF([8]道具信息!Y146="","",[8]道具信息!Y146)</f>
        <v/>
      </c>
      <c r="Z146" s="39" t="str">
        <f>IF([8]道具信息!Z146="","",[8]道具信息!Z146)</f>
        <v/>
      </c>
    </row>
    <row r="147" spans="1:26" x14ac:dyDescent="0.15">
      <c r="A147" s="39" t="str">
        <f>IF([8]道具信息!A147="","",[8]道具信息!A147)</f>
        <v/>
      </c>
      <c r="B147" s="39" t="str">
        <f>IF([8]道具信息!B147="","",[8]道具信息!B147)</f>
        <v/>
      </c>
      <c r="C147" s="39" t="str">
        <f>IF([8]道具信息!C147="","",[8]道具信息!C147)</f>
        <v/>
      </c>
      <c r="D147" s="39" t="str">
        <f>IF([8]道具信息!D147="","",[8]道具信息!D147)</f>
        <v>传世兵装材料</v>
      </c>
      <c r="E147" s="39">
        <f>IF([8]道具信息!E147="","",[8]道具信息!E147)</f>
        <v>56</v>
      </c>
      <c r="F147" s="39">
        <f>IF([8]道具信息!F147="","",[8]道具信息!F147)</f>
        <v>1</v>
      </c>
      <c r="G147" s="39">
        <f>IF([8]道具信息!G147="","",[8]道具信息!G147)</f>
        <v>1</v>
      </c>
      <c r="H147" s="39">
        <f>IF([8]道具信息!H147="","",[8]道具信息!H147)</f>
        <v>1</v>
      </c>
      <c r="I147" s="39">
        <f>IF([8]道具信息!I147="","",[8]道具信息!I147)</f>
        <v>56</v>
      </c>
      <c r="J147" s="39">
        <f>IF([8]道具信息!J147="","",[8]道具信息!J147)</f>
        <v>56</v>
      </c>
      <c r="K147" s="39">
        <f>IF([8]道具信息!K147="","",[8]道具信息!K147)</f>
        <v>56</v>
      </c>
      <c r="L147" s="39" t="str">
        <f>IF([8]道具信息!L147="","",[8]道具信息!L147)</f>
        <v/>
      </c>
      <c r="M147" s="39" t="str">
        <f>IF([8]道具信息!M147="","",[8]道具信息!M147)</f>
        <v/>
      </c>
      <c r="N147" s="39" t="str">
        <f>IF([8]道具信息!N147="","",[8]道具信息!N147)</f>
        <v/>
      </c>
      <c r="O147" s="39" t="str">
        <f>IF([8]道具信息!O147="","",[8]道具信息!O147)</f>
        <v/>
      </c>
      <c r="P147" s="39" t="str">
        <f>IF([8]道具信息!P147="","",[8]道具信息!P147)</f>
        <v/>
      </c>
      <c r="Q147" s="39" t="str">
        <f>IF([8]道具信息!Q147="","",[8]道具信息!Q147)</f>
        <v/>
      </c>
      <c r="R147" s="39" t="str">
        <f>IF([8]道具信息!R147="","",[8]道具信息!R147)</f>
        <v/>
      </c>
      <c r="S147" s="39" t="str">
        <f>IF([8]道具信息!S147="","",[8]道具信息!S147)</f>
        <v/>
      </c>
      <c r="T147" s="39" t="str">
        <f>IF([8]道具信息!T147="","",[8]道具信息!T147)</f>
        <v/>
      </c>
      <c r="U147" s="39" t="str">
        <f>IF([8]道具信息!U147="","",[8]道具信息!U147)</f>
        <v/>
      </c>
      <c r="V147" s="39" t="str">
        <f>IF([8]道具信息!V147="","",[8]道具信息!V147)</f>
        <v/>
      </c>
      <c r="W147" s="39" t="str">
        <f>IF([8]道具信息!W147="","",[8]道具信息!W147)</f>
        <v/>
      </c>
      <c r="X147" s="39" t="str">
        <f>IF([8]道具信息!X147="","",[8]道具信息!X147)</f>
        <v/>
      </c>
      <c r="Y147" s="39" t="str">
        <f>IF([8]道具信息!Y147="","",[8]道具信息!Y147)</f>
        <v/>
      </c>
      <c r="Z147" s="39" t="str">
        <f>IF([8]道具信息!Z147="","",[8]道具信息!Z147)</f>
        <v/>
      </c>
    </row>
    <row r="148" spans="1:26" x14ac:dyDescent="0.15">
      <c r="A148" s="39" t="str">
        <f>IF([8]道具信息!A148="","",[8]道具信息!A148)</f>
        <v/>
      </c>
      <c r="B148" s="39" t="str">
        <f>IF([8]道具信息!B148="","",[8]道具信息!B148)</f>
        <v/>
      </c>
      <c r="C148" s="39" t="str">
        <f>IF([8]道具信息!C148="","",[8]道具信息!C148)</f>
        <v/>
      </c>
      <c r="D148" s="39" t="str">
        <f>IF([8]道具信息!D148="","",[8]道具信息!D148)</f>
        <v/>
      </c>
      <c r="E148" s="39" t="str">
        <f>IF([8]道具信息!E148="","",[8]道具信息!E148)</f>
        <v/>
      </c>
      <c r="F148" s="39" t="str">
        <f>IF([8]道具信息!F148="","",[8]道具信息!F148)</f>
        <v/>
      </c>
      <c r="G148" s="39" t="str">
        <f>IF([8]道具信息!G148="","",[8]道具信息!G148)</f>
        <v/>
      </c>
      <c r="H148" s="39" t="str">
        <f>IF([8]道具信息!H148="","",[8]道具信息!H148)</f>
        <v/>
      </c>
      <c r="I148" s="39" t="str">
        <f>IF([8]道具信息!I148="","",[8]道具信息!I148)</f>
        <v/>
      </c>
      <c r="J148" s="39" t="str">
        <f>IF([8]道具信息!J148="","",[8]道具信息!J148)</f>
        <v/>
      </c>
      <c r="K148" s="39" t="str">
        <f>IF([8]道具信息!K148="","",[8]道具信息!K148)</f>
        <v/>
      </c>
      <c r="L148" s="39" t="str">
        <f>IF([8]道具信息!L148="","",[8]道具信息!L148)</f>
        <v/>
      </c>
      <c r="M148" s="39" t="str">
        <f>IF([8]道具信息!M148="","",[8]道具信息!M148)</f>
        <v/>
      </c>
      <c r="N148" s="39" t="str">
        <f>IF([8]道具信息!N148="","",[8]道具信息!N148)</f>
        <v/>
      </c>
      <c r="O148" s="39" t="str">
        <f>IF([8]道具信息!O148="","",[8]道具信息!O148)</f>
        <v/>
      </c>
      <c r="P148" s="39" t="str">
        <f>IF([8]道具信息!P148="","",[8]道具信息!P148)</f>
        <v/>
      </c>
      <c r="Q148" s="39" t="str">
        <f>IF([8]道具信息!Q148="","",[8]道具信息!Q148)</f>
        <v/>
      </c>
      <c r="R148" s="39" t="str">
        <f>IF([8]道具信息!R148="","",[8]道具信息!R148)</f>
        <v/>
      </c>
      <c r="S148" s="39" t="str">
        <f>IF([8]道具信息!S148="","",[8]道具信息!S148)</f>
        <v/>
      </c>
      <c r="T148" s="39" t="str">
        <f>IF([8]道具信息!T148="","",[8]道具信息!T148)</f>
        <v/>
      </c>
      <c r="U148" s="39" t="str">
        <f>IF([8]道具信息!U148="","",[8]道具信息!U148)</f>
        <v/>
      </c>
      <c r="V148" s="39" t="str">
        <f>IF([8]道具信息!V148="","",[8]道具信息!V148)</f>
        <v/>
      </c>
      <c r="W148" s="39" t="str">
        <f>IF([8]道具信息!W148="","",[8]道具信息!W148)</f>
        <v/>
      </c>
      <c r="X148" s="39" t="str">
        <f>IF([8]道具信息!X148="","",[8]道具信息!X148)</f>
        <v/>
      </c>
      <c r="Y148" s="39" t="str">
        <f>IF([8]道具信息!Y148="","",[8]道具信息!Y148)</f>
        <v/>
      </c>
      <c r="Z148" s="39" t="str">
        <f>IF([8]道具信息!Z148="","",[8]道具信息!Z148)</f>
        <v/>
      </c>
    </row>
    <row r="149" spans="1:26" x14ac:dyDescent="0.15">
      <c r="A149" s="39" t="str">
        <f>IF([8]道具信息!A149="","",[8]道具信息!A149)</f>
        <v/>
      </c>
      <c r="B149" s="39" t="str">
        <f>IF([8]道具信息!B149="","",[8]道具信息!B149)</f>
        <v/>
      </c>
      <c r="C149" s="39" t="str">
        <f>IF([8]道具信息!C149="","",[8]道具信息!C149)</f>
        <v/>
      </c>
      <c r="D149" s="39" t="str">
        <f>IF([8]道具信息!D149="","",[8]道具信息!D149)</f>
        <v>普通兵装</v>
      </c>
      <c r="E149" s="39">
        <f>IF([8]道具信息!E149="","",[8]道具信息!E149)</f>
        <v>100</v>
      </c>
      <c r="F149" s="39">
        <f>IF([8]道具信息!F149="","",[8]道具信息!F149)</f>
        <v>1</v>
      </c>
      <c r="G149" s="39">
        <f>IF([8]道具信息!G149="","",[8]道具信息!G149)</f>
        <v>0.2</v>
      </c>
      <c r="H149" s="39">
        <f>IF([8]道具信息!H149="","",[8]道具信息!H149)</f>
        <v>0.2</v>
      </c>
      <c r="I149" s="39">
        <f>IF([8]道具信息!I149="","",[8]道具信息!I149)</f>
        <v>100</v>
      </c>
      <c r="J149" s="39">
        <f>IF([8]道具信息!J149="","",[8]道具信息!J149)</f>
        <v>20</v>
      </c>
      <c r="K149" s="39">
        <f>IF([8]道具信息!K149="","",[8]道具信息!K149)</f>
        <v>20</v>
      </c>
      <c r="L149" s="39" t="str">
        <f>IF([8]道具信息!L149="","",[8]道具信息!L149)</f>
        <v/>
      </c>
      <c r="M149" s="39" t="str">
        <f>IF([8]道具信息!M149="","",[8]道具信息!M149)</f>
        <v/>
      </c>
      <c r="N149" s="39" t="str">
        <f>IF([8]道具信息!N149="","",[8]道具信息!N149)</f>
        <v/>
      </c>
      <c r="O149" s="39" t="str">
        <f>IF([8]道具信息!O149="","",[8]道具信息!O149)</f>
        <v/>
      </c>
      <c r="P149" s="39" t="str">
        <f>IF([8]道具信息!P149="","",[8]道具信息!P149)</f>
        <v/>
      </c>
      <c r="Q149" s="39" t="str">
        <f>IF([8]道具信息!Q149="","",[8]道具信息!Q149)</f>
        <v/>
      </c>
      <c r="R149" s="39" t="str">
        <f>IF([8]道具信息!R149="","",[8]道具信息!R149)</f>
        <v/>
      </c>
      <c r="S149" s="39" t="str">
        <f>IF([8]道具信息!S149="","",[8]道具信息!S149)</f>
        <v/>
      </c>
      <c r="T149" s="39" t="str">
        <f>IF([8]道具信息!T149="","",[8]道具信息!T149)</f>
        <v/>
      </c>
      <c r="U149" s="39" t="str">
        <f>IF([8]道具信息!U149="","",[8]道具信息!U149)</f>
        <v/>
      </c>
      <c r="V149" s="39" t="str">
        <f>IF([8]道具信息!V149="","",[8]道具信息!V149)</f>
        <v/>
      </c>
      <c r="W149" s="39" t="str">
        <f>IF([8]道具信息!W149="","",[8]道具信息!W149)</f>
        <v/>
      </c>
      <c r="X149" s="39" t="str">
        <f>IF([8]道具信息!X149="","",[8]道具信息!X149)</f>
        <v/>
      </c>
      <c r="Y149" s="39" t="str">
        <f>IF([8]道具信息!Y149="","",[8]道具信息!Y149)</f>
        <v/>
      </c>
      <c r="Z149" s="39" t="str">
        <f>IF([8]道具信息!Z149="","",[8]道具信息!Z149)</f>
        <v/>
      </c>
    </row>
    <row r="150" spans="1:26" x14ac:dyDescent="0.15">
      <c r="A150" s="39" t="str">
        <f>IF([8]道具信息!A150="","",[8]道具信息!A150)</f>
        <v/>
      </c>
      <c r="B150" s="39" t="str">
        <f>IF([8]道具信息!B150="","",[8]道具信息!B150)</f>
        <v/>
      </c>
      <c r="C150" s="39" t="str">
        <f>IF([8]道具信息!C150="","",[8]道具信息!C150)</f>
        <v/>
      </c>
      <c r="D150" s="39" t="str">
        <f>IF([8]道具信息!D150="","",[8]道具信息!D150)</f>
        <v>精良兵装</v>
      </c>
      <c r="E150" s="39">
        <f>IF([8]道具信息!E150="","",[8]道具信息!E150)</f>
        <v>500</v>
      </c>
      <c r="F150" s="39">
        <f>IF([8]道具信息!F150="","",[8]道具信息!F150)</f>
        <v>1</v>
      </c>
      <c r="G150" s="39">
        <f>IF([8]道具信息!G150="","",[8]道具信息!G150)</f>
        <v>0.2</v>
      </c>
      <c r="H150" s="39">
        <f>IF([8]道具信息!H150="","",[8]道具信息!H150)</f>
        <v>0.2</v>
      </c>
      <c r="I150" s="39">
        <f>IF([8]道具信息!I150="","",[8]道具信息!I150)</f>
        <v>500</v>
      </c>
      <c r="J150" s="39">
        <f>IF([8]道具信息!J150="","",[8]道具信息!J150)</f>
        <v>100</v>
      </c>
      <c r="K150" s="39">
        <f>IF([8]道具信息!K150="","",[8]道具信息!K150)</f>
        <v>100</v>
      </c>
      <c r="L150" s="39" t="str">
        <f>IF([8]道具信息!L150="","",[8]道具信息!L150)</f>
        <v/>
      </c>
      <c r="M150" s="39" t="str">
        <f>IF([8]道具信息!M150="","",[8]道具信息!M150)</f>
        <v/>
      </c>
      <c r="N150" s="39" t="str">
        <f>IF([8]道具信息!N150="","",[8]道具信息!N150)</f>
        <v/>
      </c>
      <c r="O150" s="39" t="str">
        <f>IF([8]道具信息!O150="","",[8]道具信息!O150)</f>
        <v/>
      </c>
      <c r="P150" s="39" t="str">
        <f>IF([8]道具信息!P150="","",[8]道具信息!P150)</f>
        <v/>
      </c>
      <c r="Q150" s="39" t="str">
        <f>IF([8]道具信息!Q150="","",[8]道具信息!Q150)</f>
        <v/>
      </c>
      <c r="R150" s="39" t="str">
        <f>IF([8]道具信息!R150="","",[8]道具信息!R150)</f>
        <v/>
      </c>
      <c r="S150" s="39" t="str">
        <f>IF([8]道具信息!S150="","",[8]道具信息!S150)</f>
        <v/>
      </c>
      <c r="T150" s="39" t="str">
        <f>IF([8]道具信息!T150="","",[8]道具信息!T150)</f>
        <v/>
      </c>
      <c r="U150" s="39" t="str">
        <f>IF([8]道具信息!U150="","",[8]道具信息!U150)</f>
        <v/>
      </c>
      <c r="V150" s="39" t="str">
        <f>IF([8]道具信息!V150="","",[8]道具信息!V150)</f>
        <v/>
      </c>
      <c r="W150" s="39" t="str">
        <f>IF([8]道具信息!W150="","",[8]道具信息!W150)</f>
        <v/>
      </c>
      <c r="X150" s="39" t="str">
        <f>IF([8]道具信息!X150="","",[8]道具信息!X150)</f>
        <v/>
      </c>
      <c r="Y150" s="39" t="str">
        <f>IF([8]道具信息!Y150="","",[8]道具信息!Y150)</f>
        <v/>
      </c>
      <c r="Z150" s="39" t="str">
        <f>IF([8]道具信息!Z150="","",[8]道具信息!Z150)</f>
        <v/>
      </c>
    </row>
    <row r="151" spans="1:26" x14ac:dyDescent="0.15">
      <c r="A151" s="39" t="str">
        <f>IF([8]道具信息!A151="","",[8]道具信息!A151)</f>
        <v/>
      </c>
      <c r="B151" s="39" t="str">
        <f>IF([8]道具信息!B151="","",[8]道具信息!B151)</f>
        <v/>
      </c>
      <c r="C151" s="39" t="str">
        <f>IF([8]道具信息!C151="","",[8]道具信息!C151)</f>
        <v/>
      </c>
      <c r="D151" s="39" t="str">
        <f>IF([8]道具信息!D151="","",[8]道具信息!D151)</f>
        <v>优质兵装</v>
      </c>
      <c r="E151" s="39">
        <f>IF([8]道具信息!E151="","",[8]道具信息!E151)</f>
        <v>2000</v>
      </c>
      <c r="F151" s="39">
        <f>IF([8]道具信息!F151="","",[8]道具信息!F151)</f>
        <v>1</v>
      </c>
      <c r="G151" s="39">
        <f>IF([8]道具信息!G151="","",[8]道具信息!G151)</f>
        <v>1</v>
      </c>
      <c r="H151" s="39">
        <f>IF([8]道具信息!H151="","",[8]道具信息!H151)</f>
        <v>0.2</v>
      </c>
      <c r="I151" s="39">
        <f>IF([8]道具信息!I151="","",[8]道具信息!I151)</f>
        <v>2000</v>
      </c>
      <c r="J151" s="39">
        <f>IF([8]道具信息!J151="","",[8]道具信息!J151)</f>
        <v>2000</v>
      </c>
      <c r="K151" s="39">
        <f>IF([8]道具信息!K151="","",[8]道具信息!K151)</f>
        <v>400</v>
      </c>
      <c r="L151" s="39" t="str">
        <f>IF([8]道具信息!L151="","",[8]道具信息!L151)</f>
        <v/>
      </c>
      <c r="M151" s="39" t="str">
        <f>IF([8]道具信息!M151="","",[8]道具信息!M151)</f>
        <v/>
      </c>
      <c r="N151" s="39" t="str">
        <f>IF([8]道具信息!N151="","",[8]道具信息!N151)</f>
        <v/>
      </c>
      <c r="O151" s="39" t="str">
        <f>IF([8]道具信息!O151="","",[8]道具信息!O151)</f>
        <v/>
      </c>
      <c r="P151" s="39" t="str">
        <f>IF([8]道具信息!P151="","",[8]道具信息!P151)</f>
        <v/>
      </c>
      <c r="Q151" s="39" t="str">
        <f>IF([8]道具信息!Q151="","",[8]道具信息!Q151)</f>
        <v/>
      </c>
      <c r="R151" s="39" t="str">
        <f>IF([8]道具信息!R151="","",[8]道具信息!R151)</f>
        <v/>
      </c>
      <c r="S151" s="39" t="str">
        <f>IF([8]道具信息!S151="","",[8]道具信息!S151)</f>
        <v/>
      </c>
      <c r="T151" s="39" t="str">
        <f>IF([8]道具信息!T151="","",[8]道具信息!T151)</f>
        <v/>
      </c>
      <c r="U151" s="39" t="str">
        <f>IF([8]道具信息!U151="","",[8]道具信息!U151)</f>
        <v/>
      </c>
      <c r="V151" s="39" t="str">
        <f>IF([8]道具信息!V151="","",[8]道具信息!V151)</f>
        <v/>
      </c>
      <c r="W151" s="39" t="str">
        <f>IF([8]道具信息!W151="","",[8]道具信息!W151)</f>
        <v/>
      </c>
      <c r="X151" s="39" t="str">
        <f>IF([8]道具信息!X151="","",[8]道具信息!X151)</f>
        <v/>
      </c>
      <c r="Y151" s="39" t="str">
        <f>IF([8]道具信息!Y151="","",[8]道具信息!Y151)</f>
        <v/>
      </c>
      <c r="Z151" s="39" t="str">
        <f>IF([8]道具信息!Z151="","",[8]道具信息!Z151)</f>
        <v/>
      </c>
    </row>
    <row r="152" spans="1:26" x14ac:dyDescent="0.15">
      <c r="A152" s="39" t="str">
        <f>IF([8]道具信息!A152="","",[8]道具信息!A152)</f>
        <v/>
      </c>
      <c r="B152" s="39" t="str">
        <f>IF([8]道具信息!B152="","",[8]道具信息!B152)</f>
        <v/>
      </c>
      <c r="C152" s="39" t="str">
        <f>IF([8]道具信息!C152="","",[8]道具信息!C152)</f>
        <v/>
      </c>
      <c r="D152" s="39" t="str">
        <f>IF([8]道具信息!D152="","",[8]道具信息!D152)</f>
        <v>传奇优质兵装</v>
      </c>
      <c r="E152" s="39">
        <f>IF([8]道具信息!E152="","",[8]道具信息!E152)</f>
        <v>4000</v>
      </c>
      <c r="F152" s="39">
        <f>IF([8]道具信息!F152="","",[8]道具信息!F152)</f>
        <v>1</v>
      </c>
      <c r="G152" s="39">
        <f>IF([8]道具信息!G152="","",[8]道具信息!G152)</f>
        <v>1</v>
      </c>
      <c r="H152" s="39">
        <f>IF([8]道具信息!H152="","",[8]道具信息!H152)</f>
        <v>1</v>
      </c>
      <c r="I152" s="39">
        <f>IF([8]道具信息!I152="","",[8]道具信息!I152)</f>
        <v>4000</v>
      </c>
      <c r="J152" s="39">
        <f>IF([8]道具信息!J152="","",[8]道具信息!J152)</f>
        <v>4000</v>
      </c>
      <c r="K152" s="39">
        <f>IF([8]道具信息!K152="","",[8]道具信息!K152)</f>
        <v>4000</v>
      </c>
      <c r="L152" s="39" t="str">
        <f>IF([8]道具信息!L152="","",[8]道具信息!L152)</f>
        <v/>
      </c>
      <c r="M152" s="39" t="str">
        <f>IF([8]道具信息!M152="","",[8]道具信息!M152)</f>
        <v/>
      </c>
      <c r="N152" s="39" t="str">
        <f>IF([8]道具信息!N152="","",[8]道具信息!N152)</f>
        <v/>
      </c>
      <c r="O152" s="39" t="str">
        <f>IF([8]道具信息!O152="","",[8]道具信息!O152)</f>
        <v/>
      </c>
      <c r="P152" s="39" t="str">
        <f>IF([8]道具信息!P152="","",[8]道具信息!P152)</f>
        <v/>
      </c>
      <c r="Q152" s="39" t="str">
        <f>IF([8]道具信息!Q152="","",[8]道具信息!Q152)</f>
        <v/>
      </c>
      <c r="R152" s="39" t="str">
        <f>IF([8]道具信息!R152="","",[8]道具信息!R152)</f>
        <v/>
      </c>
      <c r="S152" s="39" t="str">
        <f>IF([8]道具信息!S152="","",[8]道具信息!S152)</f>
        <v/>
      </c>
      <c r="T152" s="39" t="str">
        <f>IF([8]道具信息!T152="","",[8]道具信息!T152)</f>
        <v/>
      </c>
      <c r="U152" s="39" t="str">
        <f>IF([8]道具信息!U152="","",[8]道具信息!U152)</f>
        <v/>
      </c>
      <c r="V152" s="39" t="str">
        <f>IF([8]道具信息!V152="","",[8]道具信息!V152)</f>
        <v/>
      </c>
      <c r="W152" s="39" t="str">
        <f>IF([8]道具信息!W152="","",[8]道具信息!W152)</f>
        <v/>
      </c>
      <c r="X152" s="39" t="str">
        <f>IF([8]道具信息!X152="","",[8]道具信息!X152)</f>
        <v/>
      </c>
      <c r="Y152" s="39" t="str">
        <f>IF([8]道具信息!Y152="","",[8]道具信息!Y152)</f>
        <v/>
      </c>
      <c r="Z152" s="39" t="str">
        <f>IF([8]道具信息!Z152="","",[8]道具信息!Z152)</f>
        <v/>
      </c>
    </row>
    <row r="153" spans="1:26" x14ac:dyDescent="0.15">
      <c r="A153" s="39" t="str">
        <f>IF([8]道具信息!A153="","",[8]道具信息!A153)</f>
        <v/>
      </c>
      <c r="B153" s="39" t="str">
        <f>IF([8]道具信息!B153="","",[8]道具信息!B153)</f>
        <v/>
      </c>
      <c r="C153" s="39" t="str">
        <f>IF([8]道具信息!C153="","",[8]道具信息!C153)</f>
        <v/>
      </c>
      <c r="D153" s="39" t="str">
        <f>IF([8]道具信息!D153="","",[8]道具信息!D153)</f>
        <v>传世兵装</v>
      </c>
      <c r="E153" s="39">
        <f>IF([8]道具信息!E153="","",[8]道具信息!E153)</f>
        <v>6000</v>
      </c>
      <c r="F153" s="39">
        <f>IF([8]道具信息!F153="","",[8]道具信息!F153)</f>
        <v>1</v>
      </c>
      <c r="G153" s="39">
        <f>IF([8]道具信息!G153="","",[8]道具信息!G153)</f>
        <v>1</v>
      </c>
      <c r="H153" s="39">
        <f>IF([8]道具信息!H153="","",[8]道具信息!H153)</f>
        <v>1</v>
      </c>
      <c r="I153" s="39">
        <f>IF([8]道具信息!I153="","",[8]道具信息!I153)</f>
        <v>6000</v>
      </c>
      <c r="J153" s="39">
        <f>IF([8]道具信息!J153="","",[8]道具信息!J153)</f>
        <v>6000</v>
      </c>
      <c r="K153" s="39">
        <f>IF([8]道具信息!K153="","",[8]道具信息!K153)</f>
        <v>6000</v>
      </c>
      <c r="L153" s="39" t="str">
        <f>IF([8]道具信息!L153="","",[8]道具信息!L153)</f>
        <v/>
      </c>
      <c r="M153" s="39" t="str">
        <f>IF([8]道具信息!M153="","",[8]道具信息!M153)</f>
        <v/>
      </c>
      <c r="N153" s="39" t="str">
        <f>IF([8]道具信息!N153="","",[8]道具信息!N153)</f>
        <v/>
      </c>
      <c r="O153" s="39" t="str">
        <f>IF([8]道具信息!O153="","",[8]道具信息!O153)</f>
        <v/>
      </c>
      <c r="P153" s="39" t="str">
        <f>IF([8]道具信息!P153="","",[8]道具信息!P153)</f>
        <v/>
      </c>
      <c r="Q153" s="39" t="str">
        <f>IF([8]道具信息!Q153="","",[8]道具信息!Q153)</f>
        <v/>
      </c>
      <c r="R153" s="39" t="str">
        <f>IF([8]道具信息!R153="","",[8]道具信息!R153)</f>
        <v/>
      </c>
      <c r="S153" s="39" t="str">
        <f>IF([8]道具信息!S153="","",[8]道具信息!S153)</f>
        <v/>
      </c>
      <c r="T153" s="39" t="str">
        <f>IF([8]道具信息!T153="","",[8]道具信息!T153)</f>
        <v/>
      </c>
      <c r="U153" s="39" t="str">
        <f>IF([8]道具信息!U153="","",[8]道具信息!U153)</f>
        <v/>
      </c>
      <c r="V153" s="39" t="str">
        <f>IF([8]道具信息!V153="","",[8]道具信息!V153)</f>
        <v/>
      </c>
      <c r="W153" s="39" t="str">
        <f>IF([8]道具信息!W153="","",[8]道具信息!W153)</f>
        <v/>
      </c>
      <c r="X153" s="39" t="str">
        <f>IF([8]道具信息!X153="","",[8]道具信息!X153)</f>
        <v/>
      </c>
      <c r="Y153" s="39" t="str">
        <f>IF([8]道具信息!Y153="","",[8]道具信息!Y153)</f>
        <v/>
      </c>
      <c r="Z153" s="39" t="str">
        <f>IF([8]道具信息!Z153="","",[8]道具信息!Z153)</f>
        <v/>
      </c>
    </row>
    <row r="154" spans="1:26" x14ac:dyDescent="0.15">
      <c r="A154" s="39" t="str">
        <f>IF([8]道具信息!A154="","",[8]道具信息!A154)</f>
        <v/>
      </c>
      <c r="B154" s="39" t="str">
        <f>IF([8]道具信息!B154="","",[8]道具信息!B154)</f>
        <v/>
      </c>
      <c r="C154" s="39" t="str">
        <f>IF([8]道具信息!C154="","",[8]道具信息!C154)</f>
        <v/>
      </c>
      <c r="D154" s="39" t="str">
        <f>IF([8]道具信息!D154="","",[8]道具信息!D154)</f>
        <v>传奇传世兵装</v>
      </c>
      <c r="E154" s="39">
        <f>IF([8]道具信息!E154="","",[8]道具信息!E154)</f>
        <v>30000</v>
      </c>
      <c r="F154" s="39">
        <f>IF([8]道具信息!F154="","",[8]道具信息!F154)</f>
        <v>1</v>
      </c>
      <c r="G154" s="39">
        <f>IF([8]道具信息!G154="","",[8]道具信息!G154)</f>
        <v>1</v>
      </c>
      <c r="H154" s="39">
        <f>IF([8]道具信息!H154="","",[8]道具信息!H154)</f>
        <v>1</v>
      </c>
      <c r="I154" s="39">
        <f>IF([8]道具信息!I154="","",[8]道具信息!I154)</f>
        <v>30000</v>
      </c>
      <c r="J154" s="39">
        <f>IF([8]道具信息!J154="","",[8]道具信息!J154)</f>
        <v>30000</v>
      </c>
      <c r="K154" s="39">
        <f>IF([8]道具信息!K154="","",[8]道具信息!K154)</f>
        <v>30000</v>
      </c>
      <c r="L154" s="39" t="str">
        <f>IF([8]道具信息!L154="","",[8]道具信息!L154)</f>
        <v/>
      </c>
      <c r="M154" s="39" t="str">
        <f>IF([8]道具信息!M154="","",[8]道具信息!M154)</f>
        <v/>
      </c>
      <c r="N154" s="39" t="str">
        <f>IF([8]道具信息!N154="","",[8]道具信息!N154)</f>
        <v/>
      </c>
      <c r="O154" s="39" t="str">
        <f>IF([8]道具信息!O154="","",[8]道具信息!O154)</f>
        <v/>
      </c>
      <c r="P154" s="39" t="str">
        <f>IF([8]道具信息!P154="","",[8]道具信息!P154)</f>
        <v/>
      </c>
      <c r="Q154" s="39" t="str">
        <f>IF([8]道具信息!Q154="","",[8]道具信息!Q154)</f>
        <v/>
      </c>
      <c r="R154" s="39" t="str">
        <f>IF([8]道具信息!R154="","",[8]道具信息!R154)</f>
        <v/>
      </c>
      <c r="S154" s="39" t="str">
        <f>IF([8]道具信息!S154="","",[8]道具信息!S154)</f>
        <v/>
      </c>
      <c r="T154" s="39" t="str">
        <f>IF([8]道具信息!T154="","",[8]道具信息!T154)</f>
        <v/>
      </c>
      <c r="U154" s="39" t="str">
        <f>IF([8]道具信息!U154="","",[8]道具信息!U154)</f>
        <v/>
      </c>
      <c r="V154" s="39" t="str">
        <f>IF([8]道具信息!V154="","",[8]道具信息!V154)</f>
        <v/>
      </c>
      <c r="W154" s="39" t="str">
        <f>IF([8]道具信息!W154="","",[8]道具信息!W154)</f>
        <v/>
      </c>
      <c r="X154" s="39" t="str">
        <f>IF([8]道具信息!X154="","",[8]道具信息!X154)</f>
        <v/>
      </c>
      <c r="Y154" s="39" t="str">
        <f>IF([8]道具信息!Y154="","",[8]道具信息!Y154)</f>
        <v/>
      </c>
      <c r="Z154" s="39" t="str">
        <f>IF([8]道具信息!Z154="","",[8]道具信息!Z154)</f>
        <v/>
      </c>
    </row>
    <row r="155" spans="1:26" x14ac:dyDescent="0.15">
      <c r="A155" s="39" t="str">
        <f>IF([8]道具信息!A155="","",[8]道具信息!A155)</f>
        <v/>
      </c>
      <c r="B155" s="39" t="str">
        <f>IF([8]道具信息!B155="","",[8]道具信息!B155)</f>
        <v/>
      </c>
      <c r="C155" s="39" t="str">
        <f>IF([8]道具信息!C155="","",[8]道具信息!C155)</f>
        <v/>
      </c>
      <c r="D155" s="39" t="str">
        <f>IF([8]道具信息!D155="","",[8]道具信息!D155)</f>
        <v>优质兵装自选碎片</v>
      </c>
      <c r="E155" s="39">
        <f>IF([8]道具信息!E155="","",[8]道具信息!E155)</f>
        <v>66.666666666666671</v>
      </c>
      <c r="F155" s="39">
        <f>IF([8]道具信息!F155="","",[8]道具信息!F155)</f>
        <v>1</v>
      </c>
      <c r="G155" s="39">
        <f>IF([8]道具信息!G155="","",[8]道具信息!G155)</f>
        <v>1</v>
      </c>
      <c r="H155" s="39">
        <f>IF([8]道具信息!H155="","",[8]道具信息!H155)</f>
        <v>0.2</v>
      </c>
      <c r="I155" s="39">
        <f>IF([8]道具信息!I155="","",[8]道具信息!I155)</f>
        <v>66.666666666666671</v>
      </c>
      <c r="J155" s="39">
        <f>IF([8]道具信息!J155="","",[8]道具信息!J155)</f>
        <v>66.666666666666671</v>
      </c>
      <c r="K155" s="39">
        <f>IF([8]道具信息!K155="","",[8]道具信息!K155)</f>
        <v>13.333333333333336</v>
      </c>
      <c r="L155" s="39" t="str">
        <f>IF([8]道具信息!L155="","",[8]道具信息!L155)</f>
        <v/>
      </c>
      <c r="M155" s="39" t="str">
        <f>IF([8]道具信息!M155="","",[8]道具信息!M155)</f>
        <v/>
      </c>
      <c r="N155" s="39" t="str">
        <f>IF([8]道具信息!N155="","",[8]道具信息!N155)</f>
        <v/>
      </c>
      <c r="O155" s="39" t="str">
        <f>IF([8]道具信息!O155="","",[8]道具信息!O155)</f>
        <v/>
      </c>
      <c r="P155" s="39" t="str">
        <f>IF([8]道具信息!P155="","",[8]道具信息!P155)</f>
        <v/>
      </c>
      <c r="Q155" s="39" t="str">
        <f>IF([8]道具信息!Q155="","",[8]道具信息!Q155)</f>
        <v/>
      </c>
      <c r="R155" s="39" t="str">
        <f>IF([8]道具信息!R155="","",[8]道具信息!R155)</f>
        <v/>
      </c>
      <c r="S155" s="39" t="str">
        <f>IF([8]道具信息!S155="","",[8]道具信息!S155)</f>
        <v/>
      </c>
      <c r="T155" s="39" t="str">
        <f>IF([8]道具信息!T155="","",[8]道具信息!T155)</f>
        <v/>
      </c>
      <c r="U155" s="39" t="str">
        <f>IF([8]道具信息!U155="","",[8]道具信息!U155)</f>
        <v/>
      </c>
      <c r="V155" s="39" t="str">
        <f>IF([8]道具信息!V155="","",[8]道具信息!V155)</f>
        <v/>
      </c>
      <c r="W155" s="39" t="str">
        <f>IF([8]道具信息!W155="","",[8]道具信息!W155)</f>
        <v/>
      </c>
      <c r="X155" s="39" t="str">
        <f>IF([8]道具信息!X155="","",[8]道具信息!X155)</f>
        <v/>
      </c>
      <c r="Y155" s="39" t="str">
        <f>IF([8]道具信息!Y155="","",[8]道具信息!Y155)</f>
        <v/>
      </c>
      <c r="Z155" s="39" t="str">
        <f>IF([8]道具信息!Z155="","",[8]道具信息!Z155)</f>
        <v/>
      </c>
    </row>
    <row r="156" spans="1:26" x14ac:dyDescent="0.15">
      <c r="A156" s="39" t="str">
        <f>IF([8]道具信息!A156="","",[8]道具信息!A156)</f>
        <v/>
      </c>
      <c r="B156" s="39" t="str">
        <f>IF([8]道具信息!B156="","",[8]道具信息!B156)</f>
        <v/>
      </c>
      <c r="C156" s="39" t="str">
        <f>IF([8]道具信息!C156="","",[8]道具信息!C156)</f>
        <v/>
      </c>
      <c r="D156" s="39" t="str">
        <f>IF([8]道具信息!D156="","",[8]道具信息!D156)</f>
        <v>珍稀兵装自选碎片</v>
      </c>
      <c r="E156" s="39">
        <f>IF([8]道具信息!E156="","",[8]道具信息!E156)</f>
        <v>133.33333333333334</v>
      </c>
      <c r="F156" s="39">
        <f>IF([8]道具信息!F156="","",[8]道具信息!F156)</f>
        <v>1</v>
      </c>
      <c r="G156" s="39">
        <f>IF([8]道具信息!G156="","",[8]道具信息!G156)</f>
        <v>1</v>
      </c>
      <c r="H156" s="39">
        <f>IF([8]道具信息!H156="","",[8]道具信息!H156)</f>
        <v>1</v>
      </c>
      <c r="I156" s="39">
        <f>IF([8]道具信息!I156="","",[8]道具信息!I156)</f>
        <v>133.33333333333334</v>
      </c>
      <c r="J156" s="39">
        <f>IF([8]道具信息!J156="","",[8]道具信息!J156)</f>
        <v>133.33333333333334</v>
      </c>
      <c r="K156" s="39">
        <f>IF([8]道具信息!K156="","",[8]道具信息!K156)</f>
        <v>133.33333333333334</v>
      </c>
      <c r="L156" s="39" t="str">
        <f>IF([8]道具信息!L156="","",[8]道具信息!L156)</f>
        <v/>
      </c>
      <c r="M156" s="39" t="str">
        <f>IF([8]道具信息!M156="","",[8]道具信息!M156)</f>
        <v/>
      </c>
      <c r="N156" s="39" t="str">
        <f>IF([8]道具信息!N156="","",[8]道具信息!N156)</f>
        <v/>
      </c>
      <c r="O156" s="39" t="str">
        <f>IF([8]道具信息!O156="","",[8]道具信息!O156)</f>
        <v/>
      </c>
      <c r="P156" s="39" t="str">
        <f>IF([8]道具信息!P156="","",[8]道具信息!P156)</f>
        <v/>
      </c>
      <c r="Q156" s="39" t="str">
        <f>IF([8]道具信息!Q156="","",[8]道具信息!Q156)</f>
        <v/>
      </c>
      <c r="R156" s="39" t="str">
        <f>IF([8]道具信息!R156="","",[8]道具信息!R156)</f>
        <v/>
      </c>
      <c r="S156" s="39" t="str">
        <f>IF([8]道具信息!S156="","",[8]道具信息!S156)</f>
        <v/>
      </c>
      <c r="T156" s="39" t="str">
        <f>IF([8]道具信息!T156="","",[8]道具信息!T156)</f>
        <v/>
      </c>
      <c r="U156" s="39" t="str">
        <f>IF([8]道具信息!U156="","",[8]道具信息!U156)</f>
        <v/>
      </c>
      <c r="V156" s="39" t="str">
        <f>IF([8]道具信息!V156="","",[8]道具信息!V156)</f>
        <v/>
      </c>
      <c r="W156" s="39" t="str">
        <f>IF([8]道具信息!W156="","",[8]道具信息!W156)</f>
        <v/>
      </c>
      <c r="X156" s="39" t="str">
        <f>IF([8]道具信息!X156="","",[8]道具信息!X156)</f>
        <v/>
      </c>
      <c r="Y156" s="39" t="str">
        <f>IF([8]道具信息!Y156="","",[8]道具信息!Y156)</f>
        <v/>
      </c>
      <c r="Z156" s="39" t="str">
        <f>IF([8]道具信息!Z156="","",[8]道具信息!Z156)</f>
        <v/>
      </c>
    </row>
    <row r="157" spans="1:26" x14ac:dyDescent="0.15">
      <c r="A157" s="39" t="str">
        <f>IF([8]道具信息!A157="","",[8]道具信息!A157)</f>
        <v/>
      </c>
      <c r="B157" s="39" t="str">
        <f>IF([8]道具信息!B157="","",[8]道具信息!B157)</f>
        <v/>
      </c>
      <c r="C157" s="39" t="str">
        <f>IF([8]道具信息!C157="","",[8]道具信息!C157)</f>
        <v/>
      </c>
      <c r="D157" s="39" t="str">
        <f>IF([8]道具信息!D157="","",[8]道具信息!D157)</f>
        <v>传世兵装自选碎片</v>
      </c>
      <c r="E157" s="39">
        <f>IF([8]道具信息!E157="","",[8]道具信息!E157)</f>
        <v>120</v>
      </c>
      <c r="F157" s="39">
        <f>IF([8]道具信息!F157="","",[8]道具信息!F157)</f>
        <v>1</v>
      </c>
      <c r="G157" s="39">
        <f>IF([8]道具信息!G157="","",[8]道具信息!G157)</f>
        <v>1</v>
      </c>
      <c r="H157" s="39">
        <f>IF([8]道具信息!H157="","",[8]道具信息!H157)</f>
        <v>1</v>
      </c>
      <c r="I157" s="39">
        <f>IF([8]道具信息!I157="","",[8]道具信息!I157)</f>
        <v>120</v>
      </c>
      <c r="J157" s="39">
        <f>IF([8]道具信息!J157="","",[8]道具信息!J157)</f>
        <v>120</v>
      </c>
      <c r="K157" s="39">
        <f>IF([8]道具信息!K157="","",[8]道具信息!K157)</f>
        <v>120</v>
      </c>
      <c r="L157" s="39" t="str">
        <f>IF([8]道具信息!L157="","",[8]道具信息!L157)</f>
        <v/>
      </c>
      <c r="M157" s="39" t="str">
        <f>IF([8]道具信息!M157="","",[8]道具信息!M157)</f>
        <v/>
      </c>
      <c r="N157" s="39" t="str">
        <f>IF([8]道具信息!N157="","",[8]道具信息!N157)</f>
        <v/>
      </c>
      <c r="O157" s="39" t="str">
        <f>IF([8]道具信息!O157="","",[8]道具信息!O157)</f>
        <v/>
      </c>
      <c r="P157" s="39" t="str">
        <f>IF([8]道具信息!P157="","",[8]道具信息!P157)</f>
        <v/>
      </c>
      <c r="Q157" s="39" t="str">
        <f>IF([8]道具信息!Q157="","",[8]道具信息!Q157)</f>
        <v/>
      </c>
      <c r="R157" s="39" t="str">
        <f>IF([8]道具信息!R157="","",[8]道具信息!R157)</f>
        <v/>
      </c>
      <c r="S157" s="39" t="str">
        <f>IF([8]道具信息!S157="","",[8]道具信息!S157)</f>
        <v/>
      </c>
      <c r="T157" s="39" t="str">
        <f>IF([8]道具信息!T157="","",[8]道具信息!T157)</f>
        <v/>
      </c>
      <c r="U157" s="39" t="str">
        <f>IF([8]道具信息!U157="","",[8]道具信息!U157)</f>
        <v/>
      </c>
      <c r="V157" s="39" t="str">
        <f>IF([8]道具信息!V157="","",[8]道具信息!V157)</f>
        <v/>
      </c>
      <c r="W157" s="39" t="str">
        <f>IF([8]道具信息!W157="","",[8]道具信息!W157)</f>
        <v/>
      </c>
      <c r="X157" s="39" t="str">
        <f>IF([8]道具信息!X157="","",[8]道具信息!X157)</f>
        <v/>
      </c>
      <c r="Y157" s="39" t="str">
        <f>IF([8]道具信息!Y157="","",[8]道具信息!Y157)</f>
        <v/>
      </c>
      <c r="Z157" s="39" t="str">
        <f>IF([8]道具信息!Z157="","",[8]道具信息!Z157)</f>
        <v/>
      </c>
    </row>
    <row r="158" spans="1:26" x14ac:dyDescent="0.15">
      <c r="A158" s="39" t="str">
        <f>IF([8]道具信息!A158="","",[8]道具信息!A158)</f>
        <v/>
      </c>
      <c r="B158" s="39" t="str">
        <f>IF([8]道具信息!B158="","",[8]道具信息!B158)</f>
        <v/>
      </c>
      <c r="C158" s="39" t="str">
        <f>IF([8]道具信息!C158="","",[8]道具信息!C158)</f>
        <v/>
      </c>
      <c r="D158" s="39" t="str">
        <f>IF([8]道具信息!D158="","",[8]道具信息!D158)</f>
        <v>传奇兵装自选碎片</v>
      </c>
      <c r="E158" s="39">
        <f>IF([8]道具信息!E158="","",[8]道具信息!E158)</f>
        <v>600</v>
      </c>
      <c r="F158" s="39">
        <f>IF([8]道具信息!F158="","",[8]道具信息!F158)</f>
        <v>1</v>
      </c>
      <c r="G158" s="39">
        <f>IF([8]道具信息!G158="","",[8]道具信息!G158)</f>
        <v>1</v>
      </c>
      <c r="H158" s="39">
        <f>IF([8]道具信息!H158="","",[8]道具信息!H158)</f>
        <v>1</v>
      </c>
      <c r="I158" s="39">
        <f>IF([8]道具信息!I158="","",[8]道具信息!I158)</f>
        <v>600</v>
      </c>
      <c r="J158" s="39">
        <f>IF([8]道具信息!J158="","",[8]道具信息!J158)</f>
        <v>600</v>
      </c>
      <c r="K158" s="39">
        <f>IF([8]道具信息!K158="","",[8]道具信息!K158)</f>
        <v>600</v>
      </c>
      <c r="L158" s="39" t="str">
        <f>IF([8]道具信息!L158="","",[8]道具信息!L158)</f>
        <v/>
      </c>
      <c r="M158" s="39" t="str">
        <f>IF([8]道具信息!M158="","",[8]道具信息!M158)</f>
        <v/>
      </c>
      <c r="N158" s="39" t="str">
        <f>IF([8]道具信息!N158="","",[8]道具信息!N158)</f>
        <v/>
      </c>
      <c r="O158" s="39" t="str">
        <f>IF([8]道具信息!O158="","",[8]道具信息!O158)</f>
        <v/>
      </c>
      <c r="P158" s="39" t="str">
        <f>IF([8]道具信息!P158="","",[8]道具信息!P158)</f>
        <v/>
      </c>
      <c r="Q158" s="39" t="str">
        <f>IF([8]道具信息!Q158="","",[8]道具信息!Q158)</f>
        <v/>
      </c>
      <c r="R158" s="39" t="str">
        <f>IF([8]道具信息!R158="","",[8]道具信息!R158)</f>
        <v/>
      </c>
      <c r="S158" s="39" t="str">
        <f>IF([8]道具信息!S158="","",[8]道具信息!S158)</f>
        <v/>
      </c>
      <c r="T158" s="39" t="str">
        <f>IF([8]道具信息!T158="","",[8]道具信息!T158)</f>
        <v/>
      </c>
      <c r="U158" s="39" t="str">
        <f>IF([8]道具信息!U158="","",[8]道具信息!U158)</f>
        <v/>
      </c>
      <c r="V158" s="39" t="str">
        <f>IF([8]道具信息!V158="","",[8]道具信息!V158)</f>
        <v/>
      </c>
      <c r="W158" s="39" t="str">
        <f>IF([8]道具信息!W158="","",[8]道具信息!W158)</f>
        <v/>
      </c>
      <c r="X158" s="39" t="str">
        <f>IF([8]道具信息!X158="","",[8]道具信息!X158)</f>
        <v/>
      </c>
      <c r="Y158" s="39" t="str">
        <f>IF([8]道具信息!Y158="","",[8]道具信息!Y158)</f>
        <v/>
      </c>
      <c r="Z158" s="39" t="str">
        <f>IF([8]道具信息!Z158="","",[8]道具信息!Z158)</f>
        <v/>
      </c>
    </row>
    <row r="159" spans="1:26" x14ac:dyDescent="0.15">
      <c r="A159" s="39" t="str">
        <f>IF([8]道具信息!A159="","",[8]道具信息!A159)</f>
        <v/>
      </c>
      <c r="B159" s="39" t="str">
        <f>IF([8]道具信息!B159="","",[8]道具信息!B159)</f>
        <v/>
      </c>
      <c r="C159" s="39" t="str">
        <f>IF([8]道具信息!C159="","",[8]道具信息!C159)</f>
        <v/>
      </c>
      <c r="D159" s="39" t="str">
        <f>IF([8]道具信息!D159="","",[8]道具信息!D159)</f>
        <v/>
      </c>
      <c r="E159" s="39" t="str">
        <f>IF([8]道具信息!E159="","",[8]道具信息!E159)</f>
        <v/>
      </c>
      <c r="F159" s="39" t="str">
        <f>IF([8]道具信息!F159="","",[8]道具信息!F159)</f>
        <v/>
      </c>
      <c r="G159" s="39" t="str">
        <f>IF([8]道具信息!G159="","",[8]道具信息!G159)</f>
        <v/>
      </c>
      <c r="H159" s="39" t="str">
        <f>IF([8]道具信息!H159="","",[8]道具信息!H159)</f>
        <v/>
      </c>
      <c r="I159" s="39" t="str">
        <f>IF([8]道具信息!I159="","",[8]道具信息!I159)</f>
        <v/>
      </c>
      <c r="J159" s="39" t="str">
        <f>IF([8]道具信息!J159="","",[8]道具信息!J159)</f>
        <v/>
      </c>
      <c r="K159" s="39" t="str">
        <f>IF([8]道具信息!K159="","",[8]道具信息!K159)</f>
        <v/>
      </c>
      <c r="L159" s="39" t="str">
        <f>IF([8]道具信息!L159="","",[8]道具信息!L159)</f>
        <v/>
      </c>
      <c r="M159" s="39" t="str">
        <f>IF([8]道具信息!M159="","",[8]道具信息!M159)</f>
        <v/>
      </c>
      <c r="N159" s="39" t="str">
        <f>IF([8]道具信息!N159="","",[8]道具信息!N159)</f>
        <v/>
      </c>
      <c r="O159" s="39" t="str">
        <f>IF([8]道具信息!O159="","",[8]道具信息!O159)</f>
        <v/>
      </c>
      <c r="P159" s="39" t="str">
        <f>IF([8]道具信息!P159="","",[8]道具信息!P159)</f>
        <v/>
      </c>
      <c r="Q159" s="39" t="str">
        <f>IF([8]道具信息!Q159="","",[8]道具信息!Q159)</f>
        <v/>
      </c>
      <c r="R159" s="39" t="str">
        <f>IF([8]道具信息!R159="","",[8]道具信息!R159)</f>
        <v/>
      </c>
      <c r="S159" s="39" t="str">
        <f>IF([8]道具信息!S159="","",[8]道具信息!S159)</f>
        <v/>
      </c>
      <c r="T159" s="39" t="str">
        <f>IF([8]道具信息!T159="","",[8]道具信息!T159)</f>
        <v/>
      </c>
      <c r="U159" s="39" t="str">
        <f>IF([8]道具信息!U159="","",[8]道具信息!U159)</f>
        <v/>
      </c>
      <c r="V159" s="39" t="str">
        <f>IF([8]道具信息!V159="","",[8]道具信息!V159)</f>
        <v/>
      </c>
      <c r="W159" s="39" t="str">
        <f>IF([8]道具信息!W159="","",[8]道具信息!W159)</f>
        <v/>
      </c>
      <c r="X159" s="39" t="str">
        <f>IF([8]道具信息!X159="","",[8]道具信息!X159)</f>
        <v/>
      </c>
      <c r="Y159" s="39" t="str">
        <f>IF([8]道具信息!Y159="","",[8]道具信息!Y159)</f>
        <v/>
      </c>
      <c r="Z159" s="39" t="str">
        <f>IF([8]道具信息!Z159="","",[8]道具信息!Z159)</f>
        <v/>
      </c>
    </row>
    <row r="160" spans="1:26" x14ac:dyDescent="0.15">
      <c r="A160" s="39" t="str">
        <f>IF([8]道具信息!A160="","",[8]道具信息!A160)</f>
        <v/>
      </c>
      <c r="B160" s="39" t="str">
        <f>IF([8]道具信息!B160="","",[8]道具信息!B160)</f>
        <v/>
      </c>
      <c r="C160" s="39" t="str">
        <f>IF([8]道具信息!C160="","",[8]道具信息!C160)</f>
        <v/>
      </c>
      <c r="D160" s="39" t="str">
        <f>IF([8]道具信息!D160="","",[8]道具信息!D160)</f>
        <v>随机紫色藏品</v>
      </c>
      <c r="E160" s="39">
        <f>IF([8]道具信息!E160="","",[8]道具信息!E160)</f>
        <v>300</v>
      </c>
      <c r="F160" s="39">
        <f>IF([8]道具信息!F160="","",[8]道具信息!F160)</f>
        <v>1</v>
      </c>
      <c r="G160" s="39">
        <f>IF([8]道具信息!G160="","",[8]道具信息!G160)</f>
        <v>1</v>
      </c>
      <c r="H160" s="39">
        <f>IF([8]道具信息!H160="","",[8]道具信息!H160)</f>
        <v>1</v>
      </c>
      <c r="I160" s="39">
        <f>IF([8]道具信息!I160="","",[8]道具信息!I160)</f>
        <v>300</v>
      </c>
      <c r="J160" s="39">
        <f>IF([8]道具信息!J160="","",[8]道具信息!J160)</f>
        <v>300</v>
      </c>
      <c r="K160" s="39">
        <f>IF([8]道具信息!K160="","",[8]道具信息!K160)</f>
        <v>300</v>
      </c>
      <c r="L160" s="39" t="str">
        <f>IF([8]道具信息!L160="","",[8]道具信息!L160)</f>
        <v/>
      </c>
      <c r="M160" s="39" t="str">
        <f>IF([8]道具信息!M160="","",[8]道具信息!M160)</f>
        <v/>
      </c>
      <c r="N160" s="39" t="str">
        <f>IF([8]道具信息!N160="","",[8]道具信息!N160)</f>
        <v/>
      </c>
      <c r="O160" s="39" t="str">
        <f>IF([8]道具信息!O160="","",[8]道具信息!O160)</f>
        <v/>
      </c>
      <c r="P160" s="39" t="str">
        <f>IF([8]道具信息!P160="","",[8]道具信息!P160)</f>
        <v/>
      </c>
      <c r="Q160" s="39" t="str">
        <f>IF([8]道具信息!Q160="","",[8]道具信息!Q160)</f>
        <v/>
      </c>
      <c r="R160" s="39" t="str">
        <f>IF([8]道具信息!R160="","",[8]道具信息!R160)</f>
        <v/>
      </c>
      <c r="S160" s="39" t="str">
        <f>IF([8]道具信息!S160="","",[8]道具信息!S160)</f>
        <v/>
      </c>
      <c r="T160" s="39" t="str">
        <f>IF([8]道具信息!T160="","",[8]道具信息!T160)</f>
        <v/>
      </c>
      <c r="U160" s="39" t="str">
        <f>IF([8]道具信息!U160="","",[8]道具信息!U160)</f>
        <v/>
      </c>
      <c r="V160" s="39" t="str">
        <f>IF([8]道具信息!V160="","",[8]道具信息!V160)</f>
        <v/>
      </c>
      <c r="W160" s="39" t="str">
        <f>IF([8]道具信息!W160="","",[8]道具信息!W160)</f>
        <v/>
      </c>
      <c r="X160" s="39" t="str">
        <f>IF([8]道具信息!X160="","",[8]道具信息!X160)</f>
        <v/>
      </c>
      <c r="Y160" s="39" t="str">
        <f>IF([8]道具信息!Y160="","",[8]道具信息!Y160)</f>
        <v/>
      </c>
      <c r="Z160" s="39" t="str">
        <f>IF([8]道具信息!Z160="","",[8]道具信息!Z160)</f>
        <v/>
      </c>
    </row>
    <row r="161" spans="1:26" x14ac:dyDescent="0.15">
      <c r="A161" s="39" t="str">
        <f>IF([8]道具信息!A161="","",[8]道具信息!A161)</f>
        <v/>
      </c>
      <c r="B161" s="39" t="str">
        <f>IF([8]道具信息!B161="","",[8]道具信息!B161)</f>
        <v/>
      </c>
      <c r="C161" s="39" t="str">
        <f>IF([8]道具信息!C161="","",[8]道具信息!C161)</f>
        <v/>
      </c>
      <c r="D161" s="39" t="str">
        <f>IF([8]道具信息!D161="","",[8]道具信息!D161)</f>
        <v>随机橙色藏品</v>
      </c>
      <c r="E161" s="39">
        <f>IF([8]道具信息!E161="","",[8]道具信息!E161)</f>
        <v>1000</v>
      </c>
      <c r="F161" s="39">
        <f>IF([8]道具信息!F161="","",[8]道具信息!F161)</f>
        <v>1</v>
      </c>
      <c r="G161" s="39">
        <f>IF([8]道具信息!G161="","",[8]道具信息!G161)</f>
        <v>1</v>
      </c>
      <c r="H161" s="39">
        <f>IF([8]道具信息!H161="","",[8]道具信息!H161)</f>
        <v>1</v>
      </c>
      <c r="I161" s="39">
        <f>IF([8]道具信息!I161="","",[8]道具信息!I161)</f>
        <v>1000</v>
      </c>
      <c r="J161" s="39">
        <f>IF([8]道具信息!J161="","",[8]道具信息!J161)</f>
        <v>1000</v>
      </c>
      <c r="K161" s="39">
        <f>IF([8]道具信息!K161="","",[8]道具信息!K161)</f>
        <v>1000</v>
      </c>
      <c r="L161" s="39" t="str">
        <f>IF([8]道具信息!L161="","",[8]道具信息!L161)</f>
        <v/>
      </c>
      <c r="M161" s="39" t="str">
        <f>IF([8]道具信息!M161="","",[8]道具信息!M161)</f>
        <v/>
      </c>
      <c r="N161" s="39" t="str">
        <f>IF([8]道具信息!N161="","",[8]道具信息!N161)</f>
        <v/>
      </c>
      <c r="O161" s="39" t="str">
        <f>IF([8]道具信息!O161="","",[8]道具信息!O161)</f>
        <v/>
      </c>
      <c r="P161" s="39" t="str">
        <f>IF([8]道具信息!P161="","",[8]道具信息!P161)</f>
        <v/>
      </c>
      <c r="Q161" s="39" t="str">
        <f>IF([8]道具信息!Q161="","",[8]道具信息!Q161)</f>
        <v/>
      </c>
      <c r="R161" s="39" t="str">
        <f>IF([8]道具信息!R161="","",[8]道具信息!R161)</f>
        <v/>
      </c>
      <c r="S161" s="39" t="str">
        <f>IF([8]道具信息!S161="","",[8]道具信息!S161)</f>
        <v/>
      </c>
      <c r="T161" s="39" t="str">
        <f>IF([8]道具信息!T161="","",[8]道具信息!T161)</f>
        <v/>
      </c>
      <c r="U161" s="39" t="str">
        <f>IF([8]道具信息!U161="","",[8]道具信息!U161)</f>
        <v/>
      </c>
      <c r="V161" s="39" t="str">
        <f>IF([8]道具信息!V161="","",[8]道具信息!V161)</f>
        <v/>
      </c>
      <c r="W161" s="39" t="str">
        <f>IF([8]道具信息!W161="","",[8]道具信息!W161)</f>
        <v/>
      </c>
      <c r="X161" s="39" t="str">
        <f>IF([8]道具信息!X161="","",[8]道具信息!X161)</f>
        <v/>
      </c>
      <c r="Y161" s="39" t="str">
        <f>IF([8]道具信息!Y161="","",[8]道具信息!Y161)</f>
        <v/>
      </c>
      <c r="Z161" s="39" t="str">
        <f>IF([8]道具信息!Z161="","",[8]道具信息!Z161)</f>
        <v/>
      </c>
    </row>
    <row r="162" spans="1:26" x14ac:dyDescent="0.15">
      <c r="A162" s="39" t="str">
        <f>IF([8]道具信息!A162="","",[8]道具信息!A162)</f>
        <v/>
      </c>
      <c r="B162" s="39" t="str">
        <f>IF([8]道具信息!B162="","",[8]道具信息!B162)</f>
        <v/>
      </c>
      <c r="C162" s="39" t="str">
        <f>IF([8]道具信息!C162="","",[8]道具信息!C162)</f>
        <v/>
      </c>
      <c r="D162" s="39" t="str">
        <f>IF([8]道具信息!D162="","",[8]道具信息!D162)</f>
        <v>随机红色藏品</v>
      </c>
      <c r="E162" s="39">
        <f>IF([8]道具信息!E162="","",[8]道具信息!E162)</f>
        <v>5000</v>
      </c>
      <c r="F162" s="39">
        <f>IF([8]道具信息!F162="","",[8]道具信息!F162)</f>
        <v>1</v>
      </c>
      <c r="G162" s="39">
        <f>IF([8]道具信息!G162="","",[8]道具信息!G162)</f>
        <v>1</v>
      </c>
      <c r="H162" s="39">
        <f>IF([8]道具信息!H162="","",[8]道具信息!H162)</f>
        <v>1</v>
      </c>
      <c r="I162" s="39">
        <f>IF([8]道具信息!I162="","",[8]道具信息!I162)</f>
        <v>5000</v>
      </c>
      <c r="J162" s="39">
        <f>IF([8]道具信息!J162="","",[8]道具信息!J162)</f>
        <v>5000</v>
      </c>
      <c r="K162" s="39">
        <f>IF([8]道具信息!K162="","",[8]道具信息!K162)</f>
        <v>5000</v>
      </c>
      <c r="L162" s="39" t="str">
        <f>IF([8]道具信息!L162="","",[8]道具信息!L162)</f>
        <v/>
      </c>
      <c r="M162" s="39" t="str">
        <f>IF([8]道具信息!M162="","",[8]道具信息!M162)</f>
        <v/>
      </c>
      <c r="N162" s="39" t="str">
        <f>IF([8]道具信息!N162="","",[8]道具信息!N162)</f>
        <v/>
      </c>
      <c r="O162" s="39" t="str">
        <f>IF([8]道具信息!O162="","",[8]道具信息!O162)</f>
        <v/>
      </c>
      <c r="P162" s="39" t="str">
        <f>IF([8]道具信息!P162="","",[8]道具信息!P162)</f>
        <v/>
      </c>
      <c r="Q162" s="39" t="str">
        <f>IF([8]道具信息!Q162="","",[8]道具信息!Q162)</f>
        <v/>
      </c>
      <c r="R162" s="39" t="str">
        <f>IF([8]道具信息!R162="","",[8]道具信息!R162)</f>
        <v/>
      </c>
      <c r="S162" s="39" t="str">
        <f>IF([8]道具信息!S162="","",[8]道具信息!S162)</f>
        <v/>
      </c>
      <c r="T162" s="39" t="str">
        <f>IF([8]道具信息!T162="","",[8]道具信息!T162)</f>
        <v/>
      </c>
      <c r="U162" s="39" t="str">
        <f>IF([8]道具信息!U162="","",[8]道具信息!U162)</f>
        <v/>
      </c>
      <c r="V162" s="39" t="str">
        <f>IF([8]道具信息!V162="","",[8]道具信息!V162)</f>
        <v/>
      </c>
      <c r="W162" s="39" t="str">
        <f>IF([8]道具信息!W162="","",[8]道具信息!W162)</f>
        <v/>
      </c>
      <c r="X162" s="39" t="str">
        <f>IF([8]道具信息!X162="","",[8]道具信息!X162)</f>
        <v/>
      </c>
      <c r="Y162" s="39" t="str">
        <f>IF([8]道具信息!Y162="","",[8]道具信息!Y162)</f>
        <v/>
      </c>
      <c r="Z162" s="39" t="str">
        <f>IF([8]道具信息!Z162="","",[8]道具信息!Z162)</f>
        <v/>
      </c>
    </row>
    <row r="163" spans="1:26" x14ac:dyDescent="0.15">
      <c r="A163" s="39" t="str">
        <f>IF([8]道具信息!A163="","",[8]道具信息!A163)</f>
        <v/>
      </c>
      <c r="B163" s="39" t="str">
        <f>IF([8]道具信息!B163="","",[8]道具信息!B163)</f>
        <v/>
      </c>
      <c r="C163" s="39" t="str">
        <f>IF([8]道具信息!C163="","",[8]道具信息!C163)</f>
        <v/>
      </c>
      <c r="D163" s="39" t="str">
        <f>IF([8]道具信息!D163="","",[8]道具信息!D163)</f>
        <v>指定紫色藏品</v>
      </c>
      <c r="E163" s="39">
        <f>IF([8]道具信息!E163="","",[8]道具信息!E163)</f>
        <v>1331</v>
      </c>
      <c r="F163" s="39">
        <f>IF([8]道具信息!F163="","",[8]道具信息!F163)</f>
        <v>1</v>
      </c>
      <c r="G163" s="39">
        <f>IF([8]道具信息!G163="","",[8]道具信息!G163)</f>
        <v>1</v>
      </c>
      <c r="H163" s="39">
        <f>IF([8]道具信息!H163="","",[8]道具信息!H163)</f>
        <v>1</v>
      </c>
      <c r="I163" s="39">
        <f>IF([8]道具信息!I163="","",[8]道具信息!I163)</f>
        <v>1331</v>
      </c>
      <c r="J163" s="39">
        <f>IF([8]道具信息!J163="","",[8]道具信息!J163)</f>
        <v>1331</v>
      </c>
      <c r="K163" s="39">
        <f>IF([8]道具信息!K163="","",[8]道具信息!K163)</f>
        <v>1331</v>
      </c>
      <c r="L163" s="39" t="str">
        <f>IF([8]道具信息!L163="","",[8]道具信息!L163)</f>
        <v/>
      </c>
      <c r="M163" s="39" t="str">
        <f>IF([8]道具信息!M163="","",[8]道具信息!M163)</f>
        <v/>
      </c>
      <c r="N163" s="39" t="str">
        <f>IF([8]道具信息!N163="","",[8]道具信息!N163)</f>
        <v/>
      </c>
      <c r="O163" s="39" t="str">
        <f>IF([8]道具信息!O163="","",[8]道具信息!O163)</f>
        <v/>
      </c>
      <c r="P163" s="39" t="str">
        <f>IF([8]道具信息!P163="","",[8]道具信息!P163)</f>
        <v/>
      </c>
      <c r="Q163" s="39" t="str">
        <f>IF([8]道具信息!Q163="","",[8]道具信息!Q163)</f>
        <v/>
      </c>
      <c r="R163" s="39" t="str">
        <f>IF([8]道具信息!R163="","",[8]道具信息!R163)</f>
        <v/>
      </c>
      <c r="S163" s="39" t="str">
        <f>IF([8]道具信息!S163="","",[8]道具信息!S163)</f>
        <v/>
      </c>
      <c r="T163" s="39" t="str">
        <f>IF([8]道具信息!T163="","",[8]道具信息!T163)</f>
        <v/>
      </c>
      <c r="U163" s="39" t="str">
        <f>IF([8]道具信息!U163="","",[8]道具信息!U163)</f>
        <v/>
      </c>
      <c r="V163" s="39" t="str">
        <f>IF([8]道具信息!V163="","",[8]道具信息!V163)</f>
        <v/>
      </c>
      <c r="W163" s="39" t="str">
        <f>IF([8]道具信息!W163="","",[8]道具信息!W163)</f>
        <v/>
      </c>
      <c r="X163" s="39" t="str">
        <f>IF([8]道具信息!X163="","",[8]道具信息!X163)</f>
        <v/>
      </c>
      <c r="Y163" s="39" t="str">
        <f>IF([8]道具信息!Y163="","",[8]道具信息!Y163)</f>
        <v/>
      </c>
      <c r="Z163" s="39" t="str">
        <f>IF([8]道具信息!Z163="","",[8]道具信息!Z163)</f>
        <v/>
      </c>
    </row>
    <row r="164" spans="1:26" x14ac:dyDescent="0.15">
      <c r="A164" s="39" t="str">
        <f>IF([8]道具信息!A164="","",[8]道具信息!A164)</f>
        <v/>
      </c>
      <c r="B164" s="39" t="str">
        <f>IF([8]道具信息!B164="","",[8]道具信息!B164)</f>
        <v/>
      </c>
      <c r="C164" s="39" t="str">
        <f>IF([8]道具信息!C164="","",[8]道具信息!C164)</f>
        <v/>
      </c>
      <c r="D164" s="39" t="str">
        <f>IF([8]道具信息!D164="","",[8]道具信息!D164)</f>
        <v>指定橙色藏品</v>
      </c>
      <c r="E164" s="39">
        <f>IF([8]道具信息!E164="","",[8]道具信息!E164)</f>
        <v>13971</v>
      </c>
      <c r="F164" s="39">
        <f>IF([8]道具信息!F164="","",[8]道具信息!F164)</f>
        <v>1</v>
      </c>
      <c r="G164" s="39">
        <f>IF([8]道具信息!G164="","",[8]道具信息!G164)</f>
        <v>1</v>
      </c>
      <c r="H164" s="39">
        <f>IF([8]道具信息!H164="","",[8]道具信息!H164)</f>
        <v>1</v>
      </c>
      <c r="I164" s="39">
        <f>IF([8]道具信息!I164="","",[8]道具信息!I164)</f>
        <v>13971</v>
      </c>
      <c r="J164" s="39">
        <f>IF([8]道具信息!J164="","",[8]道具信息!J164)</f>
        <v>13971</v>
      </c>
      <c r="K164" s="39">
        <f>IF([8]道具信息!K164="","",[8]道具信息!K164)</f>
        <v>13971</v>
      </c>
      <c r="L164" s="39" t="str">
        <f>IF([8]道具信息!L164="","",[8]道具信息!L164)</f>
        <v/>
      </c>
      <c r="M164" s="39" t="str">
        <f>IF([8]道具信息!M164="","",[8]道具信息!M164)</f>
        <v/>
      </c>
      <c r="N164" s="39" t="str">
        <f>IF([8]道具信息!N164="","",[8]道具信息!N164)</f>
        <v/>
      </c>
      <c r="O164" s="39" t="str">
        <f>IF([8]道具信息!O164="","",[8]道具信息!O164)</f>
        <v/>
      </c>
      <c r="P164" s="39" t="str">
        <f>IF([8]道具信息!P164="","",[8]道具信息!P164)</f>
        <v/>
      </c>
      <c r="Q164" s="39" t="str">
        <f>IF([8]道具信息!Q164="","",[8]道具信息!Q164)</f>
        <v/>
      </c>
      <c r="R164" s="39" t="str">
        <f>IF([8]道具信息!R164="","",[8]道具信息!R164)</f>
        <v/>
      </c>
      <c r="S164" s="39" t="str">
        <f>IF([8]道具信息!S164="","",[8]道具信息!S164)</f>
        <v/>
      </c>
      <c r="T164" s="39" t="str">
        <f>IF([8]道具信息!T164="","",[8]道具信息!T164)</f>
        <v/>
      </c>
      <c r="U164" s="39" t="str">
        <f>IF([8]道具信息!U164="","",[8]道具信息!U164)</f>
        <v/>
      </c>
      <c r="V164" s="39" t="str">
        <f>IF([8]道具信息!V164="","",[8]道具信息!V164)</f>
        <v/>
      </c>
      <c r="W164" s="39" t="str">
        <f>IF([8]道具信息!W164="","",[8]道具信息!W164)</f>
        <v/>
      </c>
      <c r="X164" s="39" t="str">
        <f>IF([8]道具信息!X164="","",[8]道具信息!X164)</f>
        <v/>
      </c>
      <c r="Y164" s="39" t="str">
        <f>IF([8]道具信息!Y164="","",[8]道具信息!Y164)</f>
        <v/>
      </c>
      <c r="Z164" s="39" t="str">
        <f>IF([8]道具信息!Z164="","",[8]道具信息!Z164)</f>
        <v/>
      </c>
    </row>
    <row r="165" spans="1:26" x14ac:dyDescent="0.15">
      <c r="A165" s="39" t="str">
        <f>IF([8]道具信息!A165="","",[8]道具信息!A165)</f>
        <v/>
      </c>
      <c r="B165" s="39" t="str">
        <f>IF([8]道具信息!B165="","",[8]道具信息!B165)</f>
        <v/>
      </c>
      <c r="C165" s="39" t="str">
        <f>IF([8]道具信息!C165="","",[8]道具信息!C165)</f>
        <v/>
      </c>
      <c r="D165" s="39" t="str">
        <f>IF([8]道具信息!D165="","",[8]道具信息!D165)</f>
        <v>指定红色藏品</v>
      </c>
      <c r="E165" s="39">
        <f>IF([8]道具信息!E165="","",[8]道具信息!E165)</f>
        <v>238993</v>
      </c>
      <c r="F165" s="39">
        <f>IF([8]道具信息!F165="","",[8]道具信息!F165)</f>
        <v>1</v>
      </c>
      <c r="G165" s="39">
        <f>IF([8]道具信息!G165="","",[8]道具信息!G165)</f>
        <v>1</v>
      </c>
      <c r="H165" s="39">
        <f>IF([8]道具信息!H165="","",[8]道具信息!H165)</f>
        <v>1</v>
      </c>
      <c r="I165" s="39">
        <f>IF([8]道具信息!I165="","",[8]道具信息!I165)</f>
        <v>238993</v>
      </c>
      <c r="J165" s="39">
        <f>IF([8]道具信息!J165="","",[8]道具信息!J165)</f>
        <v>238993</v>
      </c>
      <c r="K165" s="39">
        <f>IF([8]道具信息!K165="","",[8]道具信息!K165)</f>
        <v>238993</v>
      </c>
      <c r="L165" s="39" t="str">
        <f>IF([8]道具信息!L165="","",[8]道具信息!L165)</f>
        <v/>
      </c>
      <c r="M165" s="39" t="str">
        <f>IF([8]道具信息!M165="","",[8]道具信息!M165)</f>
        <v/>
      </c>
      <c r="N165" s="39" t="str">
        <f>IF([8]道具信息!N165="","",[8]道具信息!N165)</f>
        <v/>
      </c>
      <c r="O165" s="39" t="str">
        <f>IF([8]道具信息!O165="","",[8]道具信息!O165)</f>
        <v/>
      </c>
      <c r="P165" s="39" t="str">
        <f>IF([8]道具信息!P165="","",[8]道具信息!P165)</f>
        <v/>
      </c>
      <c r="Q165" s="39" t="str">
        <f>IF([8]道具信息!Q165="","",[8]道具信息!Q165)</f>
        <v/>
      </c>
      <c r="R165" s="39" t="str">
        <f>IF([8]道具信息!R165="","",[8]道具信息!R165)</f>
        <v/>
      </c>
      <c r="S165" s="39" t="str">
        <f>IF([8]道具信息!S165="","",[8]道具信息!S165)</f>
        <v/>
      </c>
      <c r="T165" s="39" t="str">
        <f>IF([8]道具信息!T165="","",[8]道具信息!T165)</f>
        <v/>
      </c>
      <c r="U165" s="39" t="str">
        <f>IF([8]道具信息!U165="","",[8]道具信息!U165)</f>
        <v/>
      </c>
      <c r="V165" s="39" t="str">
        <f>IF([8]道具信息!V165="","",[8]道具信息!V165)</f>
        <v/>
      </c>
      <c r="W165" s="39" t="str">
        <f>IF([8]道具信息!W165="","",[8]道具信息!W165)</f>
        <v/>
      </c>
      <c r="X165" s="39" t="str">
        <f>IF([8]道具信息!X165="","",[8]道具信息!X165)</f>
        <v/>
      </c>
      <c r="Y165" s="39" t="str">
        <f>IF([8]道具信息!Y165="","",[8]道具信息!Y165)</f>
        <v/>
      </c>
      <c r="Z165" s="39" t="str">
        <f>IF([8]道具信息!Z165="","",[8]道具信息!Z165)</f>
        <v/>
      </c>
    </row>
    <row r="166" spans="1:26" x14ac:dyDescent="0.15">
      <c r="A166" s="39" t="str">
        <f>IF([8]道具信息!A166="","",[8]道具信息!A166)</f>
        <v/>
      </c>
      <c r="B166" s="39" t="str">
        <f>IF([8]道具信息!B166="","",[8]道具信息!B166)</f>
        <v/>
      </c>
      <c r="C166" s="39" t="str">
        <f>IF([8]道具信息!C166="","",[8]道具信息!C166)</f>
        <v/>
      </c>
      <c r="D166" s="39" t="str">
        <f>IF([8]道具信息!D166="","",[8]道具信息!D166)</f>
        <v>藏品币</v>
      </c>
      <c r="E166" s="39">
        <f>IF([8]道具信息!E166="","",[8]道具信息!E166)</f>
        <v>1</v>
      </c>
      <c r="F166" s="39">
        <f>IF([8]道具信息!F166="","",[8]道具信息!F166)</f>
        <v>1</v>
      </c>
      <c r="G166" s="39">
        <f>IF([8]道具信息!G166="","",[8]道具信息!G166)</f>
        <v>1</v>
      </c>
      <c r="H166" s="39">
        <f>IF([8]道具信息!H166="","",[8]道具信息!H166)</f>
        <v>1</v>
      </c>
      <c r="I166" s="39">
        <f>IF([8]道具信息!I166="","",[8]道具信息!I166)</f>
        <v>1</v>
      </c>
      <c r="J166" s="39">
        <f>IF([8]道具信息!J166="","",[8]道具信息!J166)</f>
        <v>1</v>
      </c>
      <c r="K166" s="39">
        <f>IF([8]道具信息!K166="","",[8]道具信息!K166)</f>
        <v>1</v>
      </c>
      <c r="L166" s="39" t="str">
        <f>IF([8]道具信息!L166="","",[8]道具信息!L166)</f>
        <v/>
      </c>
      <c r="M166" s="39" t="str">
        <f>IF([8]道具信息!M166="","",[8]道具信息!M166)</f>
        <v/>
      </c>
      <c r="N166" s="39" t="str">
        <f>IF([8]道具信息!N166="","",[8]道具信息!N166)</f>
        <v/>
      </c>
      <c r="O166" s="39" t="str">
        <f>IF([8]道具信息!O166="","",[8]道具信息!O166)</f>
        <v/>
      </c>
      <c r="P166" s="39" t="str">
        <f>IF([8]道具信息!P166="","",[8]道具信息!P166)</f>
        <v/>
      </c>
      <c r="Q166" s="39" t="str">
        <f>IF([8]道具信息!Q166="","",[8]道具信息!Q166)</f>
        <v/>
      </c>
      <c r="R166" s="39" t="str">
        <f>IF([8]道具信息!R166="","",[8]道具信息!R166)</f>
        <v/>
      </c>
      <c r="S166" s="39" t="str">
        <f>IF([8]道具信息!S166="","",[8]道具信息!S166)</f>
        <v/>
      </c>
      <c r="T166" s="39" t="str">
        <f>IF([8]道具信息!T166="","",[8]道具信息!T166)</f>
        <v/>
      </c>
      <c r="U166" s="39" t="str">
        <f>IF([8]道具信息!U166="","",[8]道具信息!U166)</f>
        <v/>
      </c>
      <c r="V166" s="39" t="str">
        <f>IF([8]道具信息!V166="","",[8]道具信息!V166)</f>
        <v/>
      </c>
      <c r="W166" s="39" t="str">
        <f>IF([8]道具信息!W166="","",[8]道具信息!W166)</f>
        <v/>
      </c>
      <c r="X166" s="39" t="str">
        <f>IF([8]道具信息!X166="","",[8]道具信息!X166)</f>
        <v/>
      </c>
      <c r="Y166" s="39" t="str">
        <f>IF([8]道具信息!Y166="","",[8]道具信息!Y166)</f>
        <v/>
      </c>
      <c r="Z166" s="39" t="str">
        <f>IF([8]道具信息!Z166="","",[8]道具信息!Z166)</f>
        <v/>
      </c>
    </row>
    <row r="167" spans="1:26" x14ac:dyDescent="0.15">
      <c r="A167" s="39" t="str">
        <f>IF([8]道具信息!A167="","",[8]道具信息!A167)</f>
        <v/>
      </c>
      <c r="B167" s="39" t="str">
        <f>IF([8]道具信息!B167="","",[8]道具信息!B167)</f>
        <v/>
      </c>
      <c r="C167" s="39" t="str">
        <f>IF([8]道具信息!C167="","",[8]道具信息!C167)</f>
        <v/>
      </c>
      <c r="D167" s="39" t="str">
        <f>IF([8]道具信息!D167="","",[8]道具信息!D167)</f>
        <v/>
      </c>
      <c r="E167" s="39" t="str">
        <f>IF([8]道具信息!E167="","",[8]道具信息!E167)</f>
        <v/>
      </c>
      <c r="F167" s="39" t="str">
        <f>IF([8]道具信息!F167="","",[8]道具信息!F167)</f>
        <v/>
      </c>
      <c r="G167" s="39" t="str">
        <f>IF([8]道具信息!G167="","",[8]道具信息!G167)</f>
        <v/>
      </c>
      <c r="H167" s="39" t="str">
        <f>IF([8]道具信息!H167="","",[8]道具信息!H167)</f>
        <v/>
      </c>
      <c r="I167" s="39" t="str">
        <f>IF([8]道具信息!I167="","",[8]道具信息!I167)</f>
        <v/>
      </c>
      <c r="J167" s="39" t="str">
        <f>IF([8]道具信息!J167="","",[8]道具信息!J167)</f>
        <v/>
      </c>
      <c r="K167" s="39" t="str">
        <f>IF([8]道具信息!K167="","",[8]道具信息!K167)</f>
        <v/>
      </c>
      <c r="L167" s="39" t="str">
        <f>IF([8]道具信息!L167="","",[8]道具信息!L167)</f>
        <v/>
      </c>
      <c r="M167" s="39" t="str">
        <f>IF([8]道具信息!M167="","",[8]道具信息!M167)</f>
        <v/>
      </c>
      <c r="N167" s="39" t="str">
        <f>IF([8]道具信息!N167="","",[8]道具信息!N167)</f>
        <v/>
      </c>
      <c r="O167" s="39" t="str">
        <f>IF([8]道具信息!O167="","",[8]道具信息!O167)</f>
        <v/>
      </c>
      <c r="P167" s="39" t="str">
        <f>IF([8]道具信息!P167="","",[8]道具信息!P167)</f>
        <v/>
      </c>
      <c r="Q167" s="39" t="str">
        <f>IF([8]道具信息!Q167="","",[8]道具信息!Q167)</f>
        <v/>
      </c>
      <c r="R167" s="39" t="str">
        <f>IF([8]道具信息!R167="","",[8]道具信息!R167)</f>
        <v/>
      </c>
      <c r="S167" s="39" t="str">
        <f>IF([8]道具信息!S167="","",[8]道具信息!S167)</f>
        <v/>
      </c>
      <c r="T167" s="39" t="str">
        <f>IF([8]道具信息!T167="","",[8]道具信息!T167)</f>
        <v/>
      </c>
      <c r="U167" s="39" t="str">
        <f>IF([8]道具信息!U167="","",[8]道具信息!U167)</f>
        <v/>
      </c>
      <c r="V167" s="39" t="str">
        <f>IF([8]道具信息!V167="","",[8]道具信息!V167)</f>
        <v/>
      </c>
      <c r="W167" s="39" t="str">
        <f>IF([8]道具信息!W167="","",[8]道具信息!W167)</f>
        <v/>
      </c>
      <c r="X167" s="39" t="str">
        <f>IF([8]道具信息!X167="","",[8]道具信息!X167)</f>
        <v/>
      </c>
      <c r="Y167" s="39" t="str">
        <f>IF([8]道具信息!Y167="","",[8]道具信息!Y167)</f>
        <v/>
      </c>
      <c r="Z167" s="39" t="str">
        <f>IF([8]道具信息!Z167="","",[8]道具信息!Z167)</f>
        <v/>
      </c>
    </row>
    <row r="168" spans="1:26" x14ac:dyDescent="0.15">
      <c r="A168" s="39" t="str">
        <f>IF([8]道具信息!A168="","",[8]道具信息!A168)</f>
        <v/>
      </c>
      <c r="B168" s="39" t="str">
        <f>IF([8]道具信息!B168="","",[8]道具信息!B168)</f>
        <v/>
      </c>
      <c r="C168" s="39" t="str">
        <f>IF([8]道具信息!C168="","",[8]道具信息!C168)</f>
        <v/>
      </c>
      <c r="D168" s="39" t="str">
        <f>IF([8]道具信息!D168="","",[8]道具信息!D168)</f>
        <v>门客经验</v>
      </c>
      <c r="E168" s="39">
        <f>IF([8]道具信息!E168="","",[8]道具信息!E168)</f>
        <v>3</v>
      </c>
      <c r="F168" s="39">
        <f>IF([8]道具信息!F168="","",[8]道具信息!F168)</f>
        <v>1</v>
      </c>
      <c r="G168" s="39">
        <f>IF([8]道具信息!G168="","",[8]道具信息!G168)</f>
        <v>1</v>
      </c>
      <c r="H168" s="39">
        <f>IF([8]道具信息!H168="","",[8]道具信息!H168)</f>
        <v>1</v>
      </c>
      <c r="I168" s="39">
        <f>IF([8]道具信息!I168="","",[8]道具信息!I168)</f>
        <v>3</v>
      </c>
      <c r="J168" s="39">
        <f>IF([8]道具信息!J168="","",[8]道具信息!J168)</f>
        <v>3</v>
      </c>
      <c r="K168" s="39">
        <f>IF([8]道具信息!K168="","",[8]道具信息!K168)</f>
        <v>3</v>
      </c>
      <c r="L168" s="39" t="str">
        <f>IF([8]道具信息!L168="","",[8]道具信息!L168)</f>
        <v/>
      </c>
      <c r="M168" s="39" t="str">
        <f>IF([8]道具信息!M168="","",[8]道具信息!M168)</f>
        <v/>
      </c>
      <c r="N168" s="39" t="str">
        <f>IF([8]道具信息!N168="","",[8]道具信息!N168)</f>
        <v/>
      </c>
      <c r="O168" s="39" t="str">
        <f>IF([8]道具信息!O168="","",[8]道具信息!O168)</f>
        <v/>
      </c>
      <c r="P168" s="39" t="str">
        <f>IF([8]道具信息!P168="","",[8]道具信息!P168)</f>
        <v/>
      </c>
      <c r="Q168" s="39" t="str">
        <f>IF([8]道具信息!Q168="","",[8]道具信息!Q168)</f>
        <v/>
      </c>
      <c r="R168" s="39" t="str">
        <f>IF([8]道具信息!R168="","",[8]道具信息!R168)</f>
        <v/>
      </c>
      <c r="S168" s="39" t="str">
        <f>IF([8]道具信息!S168="","",[8]道具信息!S168)</f>
        <v/>
      </c>
      <c r="T168" s="39" t="str">
        <f>IF([8]道具信息!T168="","",[8]道具信息!T168)</f>
        <v/>
      </c>
      <c r="U168" s="39" t="str">
        <f>IF([8]道具信息!U168="","",[8]道具信息!U168)</f>
        <v/>
      </c>
      <c r="V168" s="39" t="str">
        <f>IF([8]道具信息!V168="","",[8]道具信息!V168)</f>
        <v/>
      </c>
      <c r="W168" s="39" t="str">
        <f>IF([8]道具信息!W168="","",[8]道具信息!W168)</f>
        <v/>
      </c>
      <c r="X168" s="39" t="str">
        <f>IF([8]道具信息!X168="","",[8]道具信息!X168)</f>
        <v/>
      </c>
      <c r="Y168" s="39" t="str">
        <f>IF([8]道具信息!Y168="","",[8]道具信息!Y168)</f>
        <v/>
      </c>
      <c r="Z168" s="39" t="str">
        <f>IF([8]道具信息!Z168="","",[8]道具信息!Z168)</f>
        <v/>
      </c>
    </row>
    <row r="169" spans="1:26" x14ac:dyDescent="0.15">
      <c r="A169" s="39" t="str">
        <f>IF([8]道具信息!A169="","",[8]道具信息!A169)</f>
        <v/>
      </c>
      <c r="B169" s="39" t="str">
        <f>IF([8]道具信息!B169="","",[8]道具信息!B169)</f>
        <v/>
      </c>
      <c r="C169" s="39" t="str">
        <f>IF([8]道具信息!C169="","",[8]道具信息!C169)</f>
        <v/>
      </c>
      <c r="D169" s="39" t="str">
        <f>IF([8]道具信息!D169="","",[8]道具信息!D169)</f>
        <v>阅历-懵懂</v>
      </c>
      <c r="E169" s="39">
        <f>IF([8]道具信息!E169="","",[8]道具信息!E169)</f>
        <v>3</v>
      </c>
      <c r="F169" s="39">
        <f>IF([8]道具信息!F169="","",[8]道具信息!F169)</f>
        <v>1</v>
      </c>
      <c r="G169" s="39">
        <f>IF([8]道具信息!G169="","",[8]道具信息!G169)</f>
        <v>1</v>
      </c>
      <c r="H169" s="39">
        <f>IF([8]道具信息!H169="","",[8]道具信息!H169)</f>
        <v>1</v>
      </c>
      <c r="I169" s="39">
        <f>IF([8]道具信息!I169="","",[8]道具信息!I169)</f>
        <v>3</v>
      </c>
      <c r="J169" s="39">
        <f>IF([8]道具信息!J169="","",[8]道具信息!J169)</f>
        <v>3</v>
      </c>
      <c r="K169" s="39">
        <f>IF([8]道具信息!K169="","",[8]道具信息!K169)</f>
        <v>3</v>
      </c>
      <c r="L169" s="39" t="str">
        <f>IF([8]道具信息!L169="","",[8]道具信息!L169)</f>
        <v/>
      </c>
      <c r="M169" s="39" t="str">
        <f>IF([8]道具信息!M169="","",[8]道具信息!M169)</f>
        <v/>
      </c>
      <c r="N169" s="39" t="str">
        <f>IF([8]道具信息!N169="","",[8]道具信息!N169)</f>
        <v/>
      </c>
      <c r="O169" s="39" t="str">
        <f>IF([8]道具信息!O169="","",[8]道具信息!O169)</f>
        <v/>
      </c>
      <c r="P169" s="39" t="str">
        <f>IF([8]道具信息!P169="","",[8]道具信息!P169)</f>
        <v/>
      </c>
      <c r="Q169" s="39" t="str">
        <f>IF([8]道具信息!Q169="","",[8]道具信息!Q169)</f>
        <v/>
      </c>
      <c r="R169" s="39" t="str">
        <f>IF([8]道具信息!R169="","",[8]道具信息!R169)</f>
        <v/>
      </c>
      <c r="S169" s="39" t="str">
        <f>IF([8]道具信息!S169="","",[8]道具信息!S169)</f>
        <v/>
      </c>
      <c r="T169" s="39" t="str">
        <f>IF([8]道具信息!T169="","",[8]道具信息!T169)</f>
        <v/>
      </c>
      <c r="U169" s="39" t="str">
        <f>IF([8]道具信息!U169="","",[8]道具信息!U169)</f>
        <v/>
      </c>
      <c r="V169" s="39" t="str">
        <f>IF([8]道具信息!V169="","",[8]道具信息!V169)</f>
        <v/>
      </c>
      <c r="W169" s="39" t="str">
        <f>IF([8]道具信息!W169="","",[8]道具信息!W169)</f>
        <v/>
      </c>
      <c r="X169" s="39" t="str">
        <f>IF([8]道具信息!X169="","",[8]道具信息!X169)</f>
        <v/>
      </c>
      <c r="Y169" s="39" t="str">
        <f>IF([8]道具信息!Y169="","",[8]道具信息!Y169)</f>
        <v/>
      </c>
      <c r="Z169" s="39" t="str">
        <f>IF([8]道具信息!Z169="","",[8]道具信息!Z169)</f>
        <v/>
      </c>
    </row>
    <row r="170" spans="1:26" x14ac:dyDescent="0.15">
      <c r="A170" s="39" t="str">
        <f>IF([8]道具信息!A170="","",[8]道具信息!A170)</f>
        <v/>
      </c>
      <c r="B170" s="39" t="str">
        <f>IF([8]道具信息!B170="","",[8]道具信息!B170)</f>
        <v/>
      </c>
      <c r="C170" s="39" t="str">
        <f>IF([8]道具信息!C170="","",[8]道具信息!C170)</f>
        <v/>
      </c>
      <c r="D170" s="39" t="str">
        <f>IF([8]道具信息!D170="","",[8]道具信息!D170)</f>
        <v>阅历-机敏</v>
      </c>
      <c r="E170" s="39">
        <f>IF([8]道具信息!E170="","",[8]道具信息!E170)</f>
        <v>30</v>
      </c>
      <c r="F170" s="39">
        <f>IF([8]道具信息!F170="","",[8]道具信息!F170)</f>
        <v>1</v>
      </c>
      <c r="G170" s="39">
        <f>IF([8]道具信息!G170="","",[8]道具信息!G170)</f>
        <v>1</v>
      </c>
      <c r="H170" s="39">
        <f>IF([8]道具信息!H170="","",[8]道具信息!H170)</f>
        <v>1</v>
      </c>
      <c r="I170" s="39">
        <f>IF([8]道具信息!I170="","",[8]道具信息!I170)</f>
        <v>30</v>
      </c>
      <c r="J170" s="39">
        <f>IF([8]道具信息!J170="","",[8]道具信息!J170)</f>
        <v>30</v>
      </c>
      <c r="K170" s="39">
        <f>IF([8]道具信息!K170="","",[8]道具信息!K170)</f>
        <v>30</v>
      </c>
      <c r="L170" s="39" t="str">
        <f>IF([8]道具信息!L170="","",[8]道具信息!L170)</f>
        <v/>
      </c>
      <c r="M170" s="39" t="str">
        <f>IF([8]道具信息!M170="","",[8]道具信息!M170)</f>
        <v/>
      </c>
      <c r="N170" s="39" t="str">
        <f>IF([8]道具信息!N170="","",[8]道具信息!N170)</f>
        <v/>
      </c>
      <c r="O170" s="39" t="str">
        <f>IF([8]道具信息!O170="","",[8]道具信息!O170)</f>
        <v/>
      </c>
      <c r="P170" s="39" t="str">
        <f>IF([8]道具信息!P170="","",[8]道具信息!P170)</f>
        <v/>
      </c>
      <c r="Q170" s="39" t="str">
        <f>IF([8]道具信息!Q170="","",[8]道具信息!Q170)</f>
        <v/>
      </c>
      <c r="R170" s="39" t="str">
        <f>IF([8]道具信息!R170="","",[8]道具信息!R170)</f>
        <v/>
      </c>
      <c r="S170" s="39" t="str">
        <f>IF([8]道具信息!S170="","",[8]道具信息!S170)</f>
        <v/>
      </c>
      <c r="T170" s="39" t="str">
        <f>IF([8]道具信息!T170="","",[8]道具信息!T170)</f>
        <v/>
      </c>
      <c r="U170" s="39" t="str">
        <f>IF([8]道具信息!U170="","",[8]道具信息!U170)</f>
        <v/>
      </c>
      <c r="V170" s="39" t="str">
        <f>IF([8]道具信息!V170="","",[8]道具信息!V170)</f>
        <v/>
      </c>
      <c r="W170" s="39" t="str">
        <f>IF([8]道具信息!W170="","",[8]道具信息!W170)</f>
        <v/>
      </c>
      <c r="X170" s="39" t="str">
        <f>IF([8]道具信息!X170="","",[8]道具信息!X170)</f>
        <v/>
      </c>
      <c r="Y170" s="39" t="str">
        <f>IF([8]道具信息!Y170="","",[8]道具信息!Y170)</f>
        <v/>
      </c>
      <c r="Z170" s="39" t="str">
        <f>IF([8]道具信息!Z170="","",[8]道具信息!Z170)</f>
        <v/>
      </c>
    </row>
    <row r="171" spans="1:26" x14ac:dyDescent="0.15">
      <c r="A171" s="39" t="str">
        <f>IF([8]道具信息!A171="","",[8]道具信息!A171)</f>
        <v/>
      </c>
      <c r="B171" s="39" t="str">
        <f>IF([8]道具信息!B171="","",[8]道具信息!B171)</f>
        <v/>
      </c>
      <c r="C171" s="39" t="str">
        <f>IF([8]道具信息!C171="","",[8]道具信息!C171)</f>
        <v/>
      </c>
      <c r="D171" s="39" t="str">
        <f>IF([8]道具信息!D171="","",[8]道具信息!D171)</f>
        <v>阅历-入世</v>
      </c>
      <c r="E171" s="39">
        <f>IF([8]道具信息!E171="","",[8]道具信息!E171)</f>
        <v>150</v>
      </c>
      <c r="F171" s="39">
        <f>IF([8]道具信息!F171="","",[8]道具信息!F171)</f>
        <v>1</v>
      </c>
      <c r="G171" s="39">
        <f>IF([8]道具信息!G171="","",[8]道具信息!G171)</f>
        <v>1</v>
      </c>
      <c r="H171" s="39">
        <f>IF([8]道具信息!H171="","",[8]道具信息!H171)</f>
        <v>1</v>
      </c>
      <c r="I171" s="39">
        <f>IF([8]道具信息!I171="","",[8]道具信息!I171)</f>
        <v>150</v>
      </c>
      <c r="J171" s="39">
        <f>IF([8]道具信息!J171="","",[8]道具信息!J171)</f>
        <v>150</v>
      </c>
      <c r="K171" s="39">
        <f>IF([8]道具信息!K171="","",[8]道具信息!K171)</f>
        <v>150</v>
      </c>
      <c r="L171" s="39" t="str">
        <f>IF([8]道具信息!L171="","",[8]道具信息!L171)</f>
        <v/>
      </c>
      <c r="M171" s="39" t="str">
        <f>IF([8]道具信息!M171="","",[8]道具信息!M171)</f>
        <v/>
      </c>
      <c r="N171" s="39" t="str">
        <f>IF([8]道具信息!N171="","",[8]道具信息!N171)</f>
        <v/>
      </c>
      <c r="O171" s="39" t="str">
        <f>IF([8]道具信息!O171="","",[8]道具信息!O171)</f>
        <v/>
      </c>
      <c r="P171" s="39" t="str">
        <f>IF([8]道具信息!P171="","",[8]道具信息!P171)</f>
        <v/>
      </c>
      <c r="Q171" s="39" t="str">
        <f>IF([8]道具信息!Q171="","",[8]道具信息!Q171)</f>
        <v/>
      </c>
      <c r="R171" s="39" t="str">
        <f>IF([8]道具信息!R171="","",[8]道具信息!R171)</f>
        <v/>
      </c>
      <c r="S171" s="39" t="str">
        <f>IF([8]道具信息!S171="","",[8]道具信息!S171)</f>
        <v/>
      </c>
      <c r="T171" s="39" t="str">
        <f>IF([8]道具信息!T171="","",[8]道具信息!T171)</f>
        <v/>
      </c>
      <c r="U171" s="39" t="str">
        <f>IF([8]道具信息!U171="","",[8]道具信息!U171)</f>
        <v/>
      </c>
      <c r="V171" s="39" t="str">
        <f>IF([8]道具信息!V171="","",[8]道具信息!V171)</f>
        <v/>
      </c>
      <c r="W171" s="39" t="str">
        <f>IF([8]道具信息!W171="","",[8]道具信息!W171)</f>
        <v/>
      </c>
      <c r="X171" s="39" t="str">
        <f>IF([8]道具信息!X171="","",[8]道具信息!X171)</f>
        <v/>
      </c>
      <c r="Y171" s="39" t="str">
        <f>IF([8]道具信息!Y171="","",[8]道具信息!Y171)</f>
        <v/>
      </c>
      <c r="Z171" s="39" t="str">
        <f>IF([8]道具信息!Z171="","",[8]道具信息!Z171)</f>
        <v/>
      </c>
    </row>
    <row r="172" spans="1:26" x14ac:dyDescent="0.15">
      <c r="A172" s="39" t="str">
        <f>IF([8]道具信息!A172="","",[8]道具信息!A172)</f>
        <v/>
      </c>
      <c r="B172" s="39" t="str">
        <f>IF([8]道具信息!B172="","",[8]道具信息!B172)</f>
        <v/>
      </c>
      <c r="C172" s="39" t="str">
        <f>IF([8]道具信息!C172="","",[8]道具信息!C172)</f>
        <v/>
      </c>
      <c r="D172" s="39" t="str">
        <f>IF([8]道具信息!D172="","",[8]道具信息!D172)</f>
        <v>阅历-闻达</v>
      </c>
      <c r="E172" s="39">
        <f>IF([8]道具信息!E172="","",[8]道具信息!E172)</f>
        <v>300</v>
      </c>
      <c r="F172" s="39">
        <f>IF([8]道具信息!F172="","",[8]道具信息!F172)</f>
        <v>1</v>
      </c>
      <c r="G172" s="39">
        <f>IF([8]道具信息!G172="","",[8]道具信息!G172)</f>
        <v>1</v>
      </c>
      <c r="H172" s="39">
        <f>IF([8]道具信息!H172="","",[8]道具信息!H172)</f>
        <v>1</v>
      </c>
      <c r="I172" s="39">
        <f>IF([8]道具信息!I172="","",[8]道具信息!I172)</f>
        <v>300</v>
      </c>
      <c r="J172" s="39">
        <f>IF([8]道具信息!J172="","",[8]道具信息!J172)</f>
        <v>300</v>
      </c>
      <c r="K172" s="39">
        <f>IF([8]道具信息!K172="","",[8]道具信息!K172)</f>
        <v>300</v>
      </c>
      <c r="L172" s="39" t="str">
        <f>IF([8]道具信息!L172="","",[8]道具信息!L172)</f>
        <v/>
      </c>
      <c r="M172" s="39" t="str">
        <f>IF([8]道具信息!M172="","",[8]道具信息!M172)</f>
        <v/>
      </c>
      <c r="N172" s="39" t="str">
        <f>IF([8]道具信息!N172="","",[8]道具信息!N172)</f>
        <v/>
      </c>
      <c r="O172" s="39" t="str">
        <f>IF([8]道具信息!O172="","",[8]道具信息!O172)</f>
        <v/>
      </c>
      <c r="P172" s="39" t="str">
        <f>IF([8]道具信息!P172="","",[8]道具信息!P172)</f>
        <v/>
      </c>
      <c r="Q172" s="39" t="str">
        <f>IF([8]道具信息!Q172="","",[8]道具信息!Q172)</f>
        <v/>
      </c>
      <c r="R172" s="39" t="str">
        <f>IF([8]道具信息!R172="","",[8]道具信息!R172)</f>
        <v/>
      </c>
      <c r="S172" s="39" t="str">
        <f>IF([8]道具信息!S172="","",[8]道具信息!S172)</f>
        <v/>
      </c>
      <c r="T172" s="39" t="str">
        <f>IF([8]道具信息!T172="","",[8]道具信息!T172)</f>
        <v/>
      </c>
      <c r="U172" s="39" t="str">
        <f>IF([8]道具信息!U172="","",[8]道具信息!U172)</f>
        <v/>
      </c>
      <c r="V172" s="39" t="str">
        <f>IF([8]道具信息!V172="","",[8]道具信息!V172)</f>
        <v/>
      </c>
      <c r="W172" s="39" t="str">
        <f>IF([8]道具信息!W172="","",[8]道具信息!W172)</f>
        <v/>
      </c>
      <c r="X172" s="39" t="str">
        <f>IF([8]道具信息!X172="","",[8]道具信息!X172)</f>
        <v/>
      </c>
      <c r="Y172" s="39" t="str">
        <f>IF([8]道具信息!Y172="","",[8]道具信息!Y172)</f>
        <v/>
      </c>
      <c r="Z172" s="39" t="str">
        <f>IF([8]道具信息!Z172="","",[8]道具信息!Z172)</f>
        <v/>
      </c>
    </row>
    <row r="173" spans="1:26" x14ac:dyDescent="0.15">
      <c r="A173" s="39" t="str">
        <f>IF([8]道具信息!A173="","",[8]道具信息!A173)</f>
        <v/>
      </c>
      <c r="B173" s="39" t="str">
        <f>IF([8]道具信息!B173="","",[8]道具信息!B173)</f>
        <v/>
      </c>
      <c r="C173" s="39" t="str">
        <f>IF([8]道具信息!C173="","",[8]道具信息!C173)</f>
        <v/>
      </c>
      <c r="D173" s="39" t="str">
        <f>IF([8]道具信息!D173="","",[8]道具信息!D173)</f>
        <v>阅历-出世</v>
      </c>
      <c r="E173" s="39">
        <f>IF([8]道具信息!E173="","",[8]道具信息!E173)</f>
        <v>3000</v>
      </c>
      <c r="F173" s="39">
        <f>IF([8]道具信息!F173="","",[8]道具信息!F173)</f>
        <v>1</v>
      </c>
      <c r="G173" s="39">
        <f>IF([8]道具信息!G173="","",[8]道具信息!G173)</f>
        <v>1</v>
      </c>
      <c r="H173" s="39">
        <f>IF([8]道具信息!H173="","",[8]道具信息!H173)</f>
        <v>1</v>
      </c>
      <c r="I173" s="39">
        <f>IF([8]道具信息!I173="","",[8]道具信息!I173)</f>
        <v>3000</v>
      </c>
      <c r="J173" s="39">
        <f>IF([8]道具信息!J173="","",[8]道具信息!J173)</f>
        <v>3000</v>
      </c>
      <c r="K173" s="39">
        <f>IF([8]道具信息!K173="","",[8]道具信息!K173)</f>
        <v>3000</v>
      </c>
      <c r="L173" s="39" t="str">
        <f>IF([8]道具信息!L173="","",[8]道具信息!L173)</f>
        <v/>
      </c>
      <c r="M173" s="39" t="str">
        <f>IF([8]道具信息!M173="","",[8]道具信息!M173)</f>
        <v/>
      </c>
      <c r="N173" s="39" t="str">
        <f>IF([8]道具信息!N173="","",[8]道具信息!N173)</f>
        <v/>
      </c>
      <c r="O173" s="39" t="str">
        <f>IF([8]道具信息!O173="","",[8]道具信息!O173)</f>
        <v/>
      </c>
      <c r="P173" s="39" t="str">
        <f>IF([8]道具信息!P173="","",[8]道具信息!P173)</f>
        <v/>
      </c>
      <c r="Q173" s="39" t="str">
        <f>IF([8]道具信息!Q173="","",[8]道具信息!Q173)</f>
        <v/>
      </c>
      <c r="R173" s="39" t="str">
        <f>IF([8]道具信息!R173="","",[8]道具信息!R173)</f>
        <v/>
      </c>
      <c r="S173" s="39" t="str">
        <f>IF([8]道具信息!S173="","",[8]道具信息!S173)</f>
        <v/>
      </c>
      <c r="T173" s="39" t="str">
        <f>IF([8]道具信息!T173="","",[8]道具信息!T173)</f>
        <v/>
      </c>
      <c r="U173" s="39" t="str">
        <f>IF([8]道具信息!U173="","",[8]道具信息!U173)</f>
        <v/>
      </c>
      <c r="V173" s="39" t="str">
        <f>IF([8]道具信息!V173="","",[8]道具信息!V173)</f>
        <v/>
      </c>
      <c r="W173" s="39" t="str">
        <f>IF([8]道具信息!W173="","",[8]道具信息!W173)</f>
        <v/>
      </c>
      <c r="X173" s="39" t="str">
        <f>IF([8]道具信息!X173="","",[8]道具信息!X173)</f>
        <v/>
      </c>
      <c r="Y173" s="39" t="str">
        <f>IF([8]道具信息!Y173="","",[8]道具信息!Y173)</f>
        <v/>
      </c>
      <c r="Z173" s="39" t="str">
        <f>IF([8]道具信息!Z173="","",[8]道具信息!Z173)</f>
        <v/>
      </c>
    </row>
    <row r="174" spans="1:26" x14ac:dyDescent="0.15">
      <c r="A174" s="39" t="str">
        <f>IF([8]道具信息!A174="","",[8]道具信息!A174)</f>
        <v/>
      </c>
      <c r="B174" s="39" t="str">
        <f>IF([8]道具信息!B174="","",[8]道具信息!B174)</f>
        <v/>
      </c>
      <c r="C174" s="39" t="str">
        <f>IF([8]道具信息!C174="","",[8]道具信息!C174)</f>
        <v/>
      </c>
      <c r="D174" s="39" t="str">
        <f>IF([8]道具信息!D174="","",[8]道具信息!D174)</f>
        <v/>
      </c>
      <c r="E174" s="39" t="str">
        <f>IF([8]道具信息!E174="","",[8]道具信息!E174)</f>
        <v/>
      </c>
      <c r="F174" s="39" t="str">
        <f>IF([8]道具信息!F174="","",[8]道具信息!F174)</f>
        <v/>
      </c>
      <c r="G174" s="39" t="str">
        <f>IF([8]道具信息!G174="","",[8]道具信息!G174)</f>
        <v/>
      </c>
      <c r="H174" s="39" t="str">
        <f>IF([8]道具信息!H174="","",[8]道具信息!H174)</f>
        <v/>
      </c>
      <c r="I174" s="39" t="str">
        <f>IF([8]道具信息!I174="","",[8]道具信息!I174)</f>
        <v/>
      </c>
      <c r="J174" s="39" t="str">
        <f>IF([8]道具信息!J174="","",[8]道具信息!J174)</f>
        <v/>
      </c>
      <c r="K174" s="39" t="str">
        <f>IF([8]道具信息!K174="","",[8]道具信息!K174)</f>
        <v/>
      </c>
      <c r="L174" s="39" t="str">
        <f>IF([8]道具信息!L174="","",[8]道具信息!L174)</f>
        <v/>
      </c>
      <c r="M174" s="39" t="str">
        <f>IF([8]道具信息!M174="","",[8]道具信息!M174)</f>
        <v/>
      </c>
      <c r="N174" s="39" t="str">
        <f>IF([8]道具信息!N174="","",[8]道具信息!N174)</f>
        <v/>
      </c>
      <c r="O174" s="39" t="str">
        <f>IF([8]道具信息!O174="","",[8]道具信息!O174)</f>
        <v/>
      </c>
      <c r="P174" s="39" t="str">
        <f>IF([8]道具信息!P174="","",[8]道具信息!P174)</f>
        <v/>
      </c>
      <c r="Q174" s="39" t="str">
        <f>IF([8]道具信息!Q174="","",[8]道具信息!Q174)</f>
        <v/>
      </c>
      <c r="R174" s="39" t="str">
        <f>IF([8]道具信息!R174="","",[8]道具信息!R174)</f>
        <v/>
      </c>
      <c r="S174" s="39" t="str">
        <f>IF([8]道具信息!S174="","",[8]道具信息!S174)</f>
        <v/>
      </c>
      <c r="T174" s="39" t="str">
        <f>IF([8]道具信息!T174="","",[8]道具信息!T174)</f>
        <v/>
      </c>
      <c r="U174" s="39" t="str">
        <f>IF([8]道具信息!U174="","",[8]道具信息!U174)</f>
        <v/>
      </c>
      <c r="V174" s="39" t="str">
        <f>IF([8]道具信息!V174="","",[8]道具信息!V174)</f>
        <v/>
      </c>
      <c r="W174" s="39" t="str">
        <f>IF([8]道具信息!W174="","",[8]道具信息!W174)</f>
        <v/>
      </c>
      <c r="X174" s="39" t="str">
        <f>IF([8]道具信息!X174="","",[8]道具信息!X174)</f>
        <v/>
      </c>
      <c r="Y174" s="39" t="str">
        <f>IF([8]道具信息!Y174="","",[8]道具信息!Y174)</f>
        <v/>
      </c>
      <c r="Z174" s="39" t="str">
        <f>IF([8]道具信息!Z174="","",[8]道具信息!Z174)</f>
        <v/>
      </c>
    </row>
    <row r="175" spans="1:26" x14ac:dyDescent="0.15">
      <c r="A175" s="39" t="str">
        <f>IF([8]道具信息!A175="","",[8]道具信息!A175)</f>
        <v/>
      </c>
      <c r="B175" s="39" t="str">
        <f>IF([8]道具信息!B175="","",[8]道具信息!B175)</f>
        <v/>
      </c>
      <c r="C175" s="39" t="str">
        <f>IF([8]道具信息!C175="","",[8]道具信息!C175)</f>
        <v/>
      </c>
      <c r="D175" s="39" t="str">
        <f>IF([8]道具信息!D175="","",[8]道具信息!D175)</f>
        <v>随机橙色门客碎片</v>
      </c>
      <c r="E175" s="39">
        <f>IF([8]道具信息!E175="","",[8]道具信息!E175)</f>
        <v>266.66666666666669</v>
      </c>
      <c r="F175" s="39">
        <f>IF([8]道具信息!F175="","",[8]道具信息!F175)</f>
        <v>1</v>
      </c>
      <c r="G175" s="39">
        <f>IF([8]道具信息!G175="","",[8]道具信息!G175)</f>
        <v>1</v>
      </c>
      <c r="H175" s="39">
        <f>IF([8]道具信息!H175="","",[8]道具信息!H175)</f>
        <v>1</v>
      </c>
      <c r="I175" s="39">
        <f>IF([8]道具信息!I175="","",[8]道具信息!I175)</f>
        <v>266.66666666666669</v>
      </c>
      <c r="J175" s="39">
        <f>IF([8]道具信息!J175="","",[8]道具信息!J175)</f>
        <v>266.66666666666669</v>
      </c>
      <c r="K175" s="39">
        <f>IF([8]道具信息!K175="","",[8]道具信息!K175)</f>
        <v>266.66666666666669</v>
      </c>
      <c r="L175" s="39" t="str">
        <f>IF([8]道具信息!L175="","",[8]道具信息!L175)</f>
        <v/>
      </c>
      <c r="M175" s="39" t="str">
        <f>IF([8]道具信息!M175="","",[8]道具信息!M175)</f>
        <v/>
      </c>
      <c r="N175" s="39" t="str">
        <f>IF([8]道具信息!N175="","",[8]道具信息!N175)</f>
        <v/>
      </c>
      <c r="O175" s="39" t="str">
        <f>IF([8]道具信息!O175="","",[8]道具信息!O175)</f>
        <v/>
      </c>
      <c r="P175" s="39" t="str">
        <f>IF([8]道具信息!P175="","",[8]道具信息!P175)</f>
        <v/>
      </c>
      <c r="Q175" s="39" t="str">
        <f>IF([8]道具信息!Q175="","",[8]道具信息!Q175)</f>
        <v/>
      </c>
      <c r="R175" s="39" t="str">
        <f>IF([8]道具信息!R175="","",[8]道具信息!R175)</f>
        <v/>
      </c>
      <c r="S175" s="39" t="str">
        <f>IF([8]道具信息!S175="","",[8]道具信息!S175)</f>
        <v/>
      </c>
      <c r="T175" s="39" t="str">
        <f>IF([8]道具信息!T175="","",[8]道具信息!T175)</f>
        <v/>
      </c>
      <c r="U175" s="39" t="str">
        <f>IF([8]道具信息!U175="","",[8]道具信息!U175)</f>
        <v/>
      </c>
      <c r="V175" s="39" t="str">
        <f>IF([8]道具信息!V175="","",[8]道具信息!V175)</f>
        <v/>
      </c>
      <c r="W175" s="39" t="str">
        <f>IF([8]道具信息!W175="","",[8]道具信息!W175)</f>
        <v/>
      </c>
      <c r="X175" s="39" t="str">
        <f>IF([8]道具信息!X175="","",[8]道具信息!X175)</f>
        <v/>
      </c>
      <c r="Y175" s="39" t="str">
        <f>IF([8]道具信息!Y175="","",[8]道具信息!Y175)</f>
        <v/>
      </c>
      <c r="Z175" s="39" t="str">
        <f>IF([8]道具信息!Z175="","",[8]道具信息!Z175)</f>
        <v/>
      </c>
    </row>
    <row r="176" spans="1:26" x14ac:dyDescent="0.15">
      <c r="A176" s="39" t="str">
        <f>IF([8]道具信息!A176="","",[8]道具信息!A176)</f>
        <v/>
      </c>
      <c r="B176" s="39" t="str">
        <f>IF([8]道具信息!B176="","",[8]道具信息!B176)</f>
        <v/>
      </c>
      <c r="C176" s="39" t="str">
        <f>IF([8]道具信息!C176="","",[8]道具信息!C176)</f>
        <v/>
      </c>
      <c r="D176" s="39" t="str">
        <f>IF([8]道具信息!D176="","",[8]道具信息!D176)</f>
        <v>随机红色门客碎片</v>
      </c>
      <c r="E176" s="39">
        <f>IF([8]道具信息!E176="","",[8]道具信息!E176)</f>
        <v>800</v>
      </c>
      <c r="F176" s="39">
        <f>IF([8]道具信息!F176="","",[8]道具信息!F176)</f>
        <v>1</v>
      </c>
      <c r="G176" s="39">
        <f>IF([8]道具信息!G176="","",[8]道具信息!G176)</f>
        <v>1</v>
      </c>
      <c r="H176" s="39">
        <f>IF([8]道具信息!H176="","",[8]道具信息!H176)</f>
        <v>1</v>
      </c>
      <c r="I176" s="39">
        <f>IF([8]道具信息!I176="","",[8]道具信息!I176)</f>
        <v>800</v>
      </c>
      <c r="J176" s="39">
        <f>IF([8]道具信息!J176="","",[8]道具信息!J176)</f>
        <v>800</v>
      </c>
      <c r="K176" s="39">
        <f>IF([8]道具信息!K176="","",[8]道具信息!K176)</f>
        <v>800</v>
      </c>
      <c r="L176" s="39" t="str">
        <f>IF([8]道具信息!L176="","",[8]道具信息!L176)</f>
        <v/>
      </c>
      <c r="M176" s="39" t="str">
        <f>IF([8]道具信息!M176="","",[8]道具信息!M176)</f>
        <v/>
      </c>
      <c r="N176" s="39" t="str">
        <f>IF([8]道具信息!N176="","",[8]道具信息!N176)</f>
        <v/>
      </c>
      <c r="O176" s="39" t="str">
        <f>IF([8]道具信息!O176="","",[8]道具信息!O176)</f>
        <v/>
      </c>
      <c r="P176" s="39" t="str">
        <f>IF([8]道具信息!P176="","",[8]道具信息!P176)</f>
        <v/>
      </c>
      <c r="Q176" s="39" t="str">
        <f>IF([8]道具信息!Q176="","",[8]道具信息!Q176)</f>
        <v/>
      </c>
      <c r="R176" s="39" t="str">
        <f>IF([8]道具信息!R176="","",[8]道具信息!R176)</f>
        <v/>
      </c>
      <c r="S176" s="39" t="str">
        <f>IF([8]道具信息!S176="","",[8]道具信息!S176)</f>
        <v/>
      </c>
      <c r="T176" s="39" t="str">
        <f>IF([8]道具信息!T176="","",[8]道具信息!T176)</f>
        <v/>
      </c>
      <c r="U176" s="39" t="str">
        <f>IF([8]道具信息!U176="","",[8]道具信息!U176)</f>
        <v/>
      </c>
      <c r="V176" s="39" t="str">
        <f>IF([8]道具信息!V176="","",[8]道具信息!V176)</f>
        <v/>
      </c>
      <c r="W176" s="39" t="str">
        <f>IF([8]道具信息!W176="","",[8]道具信息!W176)</f>
        <v/>
      </c>
      <c r="X176" s="39" t="str">
        <f>IF([8]道具信息!X176="","",[8]道具信息!X176)</f>
        <v/>
      </c>
      <c r="Y176" s="39" t="str">
        <f>IF([8]道具信息!Y176="","",[8]道具信息!Y176)</f>
        <v/>
      </c>
      <c r="Z176" s="39" t="str">
        <f>IF([8]道具信息!Z176="","",[8]道具信息!Z176)</f>
        <v/>
      </c>
    </row>
    <row r="177" spans="1:26" x14ac:dyDescent="0.15">
      <c r="A177" s="39" t="str">
        <f>IF([8]道具信息!A177="","",[8]道具信息!A177)</f>
        <v/>
      </c>
      <c r="B177" s="39" t="str">
        <f>IF([8]道具信息!B177="","",[8]道具信息!B177)</f>
        <v/>
      </c>
      <c r="C177" s="39" t="str">
        <f>IF([8]道具信息!C177="","",[8]道具信息!C177)</f>
        <v/>
      </c>
      <c r="D177" s="39" t="str">
        <f>IF([8]道具信息!D177="","",[8]道具信息!D177)</f>
        <v/>
      </c>
      <c r="E177" s="39" t="str">
        <f>IF([8]道具信息!E177="","",[8]道具信息!E177)</f>
        <v/>
      </c>
      <c r="F177" s="39" t="str">
        <f>IF([8]道具信息!F177="","",[8]道具信息!F177)</f>
        <v/>
      </c>
      <c r="G177" s="39" t="str">
        <f>IF([8]道具信息!G177="","",[8]道具信息!G177)</f>
        <v/>
      </c>
      <c r="H177" s="39" t="str">
        <f>IF([8]道具信息!H177="","",[8]道具信息!H177)</f>
        <v/>
      </c>
      <c r="I177" s="39" t="str">
        <f>IF([8]道具信息!I177="","",[8]道具信息!I177)</f>
        <v/>
      </c>
      <c r="J177" s="39" t="str">
        <f>IF([8]道具信息!J177="","",[8]道具信息!J177)</f>
        <v/>
      </c>
      <c r="K177" s="39" t="str">
        <f>IF([8]道具信息!K177="","",[8]道具信息!K177)</f>
        <v/>
      </c>
      <c r="L177" s="39" t="str">
        <f>IF([8]道具信息!L177="","",[8]道具信息!L177)</f>
        <v/>
      </c>
      <c r="M177" s="39" t="str">
        <f>IF([8]道具信息!M177="","",[8]道具信息!M177)</f>
        <v/>
      </c>
      <c r="N177" s="39" t="str">
        <f>IF([8]道具信息!N177="","",[8]道具信息!N177)</f>
        <v/>
      </c>
      <c r="O177" s="39" t="str">
        <f>IF([8]道具信息!O177="","",[8]道具信息!O177)</f>
        <v/>
      </c>
      <c r="P177" s="39" t="str">
        <f>IF([8]道具信息!P177="","",[8]道具信息!P177)</f>
        <v/>
      </c>
      <c r="Q177" s="39" t="str">
        <f>IF([8]道具信息!Q177="","",[8]道具信息!Q177)</f>
        <v/>
      </c>
      <c r="R177" s="39" t="str">
        <f>IF([8]道具信息!R177="","",[8]道具信息!R177)</f>
        <v/>
      </c>
      <c r="S177" s="39" t="str">
        <f>IF([8]道具信息!S177="","",[8]道具信息!S177)</f>
        <v/>
      </c>
      <c r="T177" s="39" t="str">
        <f>IF([8]道具信息!T177="","",[8]道具信息!T177)</f>
        <v/>
      </c>
      <c r="U177" s="39" t="str">
        <f>IF([8]道具信息!U177="","",[8]道具信息!U177)</f>
        <v/>
      </c>
      <c r="V177" s="39" t="str">
        <f>IF([8]道具信息!V177="","",[8]道具信息!V177)</f>
        <v/>
      </c>
      <c r="W177" s="39" t="str">
        <f>IF([8]道具信息!W177="","",[8]道具信息!W177)</f>
        <v/>
      </c>
      <c r="X177" s="39" t="str">
        <f>IF([8]道具信息!X177="","",[8]道具信息!X177)</f>
        <v/>
      </c>
      <c r="Y177" s="39" t="str">
        <f>IF([8]道具信息!Y177="","",[8]道具信息!Y177)</f>
        <v/>
      </c>
      <c r="Z177" s="39" t="str">
        <f>IF([8]道具信息!Z177="","",[8]道具信息!Z177)</f>
        <v/>
      </c>
    </row>
    <row r="178" spans="1:26" x14ac:dyDescent="0.15">
      <c r="A178" s="39" t="str">
        <f>IF([8]道具信息!A178="","",[8]道具信息!A178)</f>
        <v/>
      </c>
      <c r="B178" s="39" t="str">
        <f>IF([8]道具信息!B178="","",[8]道具信息!B178)</f>
        <v/>
      </c>
      <c r="C178" s="39" t="str">
        <f>IF([8]道具信息!C178="","",[8]道具信息!C178)</f>
        <v/>
      </c>
      <c r="D178" s="39" t="str">
        <f>IF([8]道具信息!D178="","",[8]道具信息!D178)</f>
        <v>育马券</v>
      </c>
      <c r="E178" s="39">
        <f>IF([8]道具信息!E178="","",[8]道具信息!E178)</f>
        <v>1</v>
      </c>
      <c r="F178" s="39">
        <f>IF([8]道具信息!F178="","",[8]道具信息!F178)</f>
        <v>1</v>
      </c>
      <c r="G178" s="39">
        <f>IF([8]道具信息!G178="","",[8]道具信息!G178)</f>
        <v>1</v>
      </c>
      <c r="H178" s="39">
        <f>IF([8]道具信息!H178="","",[8]道具信息!H178)</f>
        <v>1</v>
      </c>
      <c r="I178" s="39">
        <f>IF([8]道具信息!I178="","",[8]道具信息!I178)</f>
        <v>1</v>
      </c>
      <c r="J178" s="39">
        <f>IF([8]道具信息!J178="","",[8]道具信息!J178)</f>
        <v>1</v>
      </c>
      <c r="K178" s="39">
        <f>IF([8]道具信息!K178="","",[8]道具信息!K178)</f>
        <v>1</v>
      </c>
      <c r="L178" s="39" t="str">
        <f>IF([8]道具信息!L178="","",[8]道具信息!L178)</f>
        <v/>
      </c>
      <c r="M178" s="39" t="str">
        <f>IF([8]道具信息!M178="","",[8]道具信息!M178)</f>
        <v/>
      </c>
      <c r="N178" s="39" t="str">
        <f>IF([8]道具信息!N178="","",[8]道具信息!N178)</f>
        <v/>
      </c>
      <c r="O178" s="39" t="str">
        <f>IF([8]道具信息!O178="","",[8]道具信息!O178)</f>
        <v/>
      </c>
      <c r="P178" s="39" t="str">
        <f>IF([8]道具信息!P178="","",[8]道具信息!P178)</f>
        <v/>
      </c>
      <c r="Q178" s="39" t="str">
        <f>IF([8]道具信息!Q178="","",[8]道具信息!Q178)</f>
        <v/>
      </c>
      <c r="R178" s="39" t="str">
        <f>IF([8]道具信息!R178="","",[8]道具信息!R178)</f>
        <v/>
      </c>
      <c r="S178" s="39" t="str">
        <f>IF([8]道具信息!S178="","",[8]道具信息!S178)</f>
        <v/>
      </c>
      <c r="T178" s="39" t="str">
        <f>IF([8]道具信息!T178="","",[8]道具信息!T178)</f>
        <v/>
      </c>
      <c r="U178" s="39" t="str">
        <f>IF([8]道具信息!U178="","",[8]道具信息!U178)</f>
        <v/>
      </c>
      <c r="V178" s="39" t="str">
        <f>IF([8]道具信息!V178="","",[8]道具信息!V178)</f>
        <v/>
      </c>
      <c r="W178" s="39" t="str">
        <f>IF([8]道具信息!W178="","",[8]道具信息!W178)</f>
        <v/>
      </c>
      <c r="X178" s="39" t="str">
        <f>IF([8]道具信息!X178="","",[8]道具信息!X178)</f>
        <v/>
      </c>
      <c r="Y178" s="39" t="str">
        <f>IF([8]道具信息!Y178="","",[8]道具信息!Y178)</f>
        <v/>
      </c>
      <c r="Z178" s="39" t="str">
        <f>IF([8]道具信息!Z178="","",[8]道具信息!Z178)</f>
        <v/>
      </c>
    </row>
    <row r="179" spans="1:26" x14ac:dyDescent="0.15">
      <c r="A179" s="39" t="str">
        <f>IF([8]道具信息!A179="","",[8]道具信息!A179)</f>
        <v/>
      </c>
      <c r="B179" s="39" t="str">
        <f>IF([8]道具信息!B179="","",[8]道具信息!B179)</f>
        <v/>
      </c>
      <c r="C179" s="39" t="str">
        <f>IF([8]道具信息!C179="","",[8]道具信息!C179)</f>
        <v/>
      </c>
      <c r="D179" s="39" t="str">
        <f>IF([8]道具信息!D179="","",[8]道具信息!D179)</f>
        <v>荣誉马徽</v>
      </c>
      <c r="E179" s="39">
        <f>IF([8]道具信息!E179="","",[8]道具信息!E179)</f>
        <v>10</v>
      </c>
      <c r="F179" s="39">
        <f>IF([8]道具信息!F179="","",[8]道具信息!F179)</f>
        <v>1</v>
      </c>
      <c r="G179" s="39">
        <f>IF([8]道具信息!G179="","",[8]道具信息!G179)</f>
        <v>1</v>
      </c>
      <c r="H179" s="39">
        <f>IF([8]道具信息!H179="","",[8]道具信息!H179)</f>
        <v>1</v>
      </c>
      <c r="I179" s="39">
        <f>IF([8]道具信息!I179="","",[8]道具信息!I179)</f>
        <v>10</v>
      </c>
      <c r="J179" s="39">
        <f>IF([8]道具信息!J179="","",[8]道具信息!J179)</f>
        <v>10</v>
      </c>
      <c r="K179" s="39">
        <f>IF([8]道具信息!K179="","",[8]道具信息!K179)</f>
        <v>10</v>
      </c>
      <c r="L179" s="39" t="str">
        <f>IF([8]道具信息!L179="","",[8]道具信息!L179)</f>
        <v/>
      </c>
      <c r="M179" s="39" t="str">
        <f>IF([8]道具信息!M179="","",[8]道具信息!M179)</f>
        <v/>
      </c>
      <c r="N179" s="39" t="str">
        <f>IF([8]道具信息!N179="","",[8]道具信息!N179)</f>
        <v/>
      </c>
      <c r="O179" s="39" t="str">
        <f>IF([8]道具信息!O179="","",[8]道具信息!O179)</f>
        <v/>
      </c>
      <c r="P179" s="39" t="str">
        <f>IF([8]道具信息!P179="","",[8]道具信息!P179)</f>
        <v/>
      </c>
      <c r="Q179" s="39" t="str">
        <f>IF([8]道具信息!Q179="","",[8]道具信息!Q179)</f>
        <v/>
      </c>
      <c r="R179" s="39" t="str">
        <f>IF([8]道具信息!R179="","",[8]道具信息!R179)</f>
        <v/>
      </c>
      <c r="S179" s="39" t="str">
        <f>IF([8]道具信息!S179="","",[8]道具信息!S179)</f>
        <v/>
      </c>
      <c r="T179" s="39" t="str">
        <f>IF([8]道具信息!T179="","",[8]道具信息!T179)</f>
        <v/>
      </c>
      <c r="U179" s="39" t="str">
        <f>IF([8]道具信息!U179="","",[8]道具信息!U179)</f>
        <v/>
      </c>
      <c r="V179" s="39" t="str">
        <f>IF([8]道具信息!V179="","",[8]道具信息!V179)</f>
        <v/>
      </c>
      <c r="W179" s="39" t="str">
        <f>IF([8]道具信息!W179="","",[8]道具信息!W179)</f>
        <v/>
      </c>
      <c r="X179" s="39" t="str">
        <f>IF([8]道具信息!X179="","",[8]道具信息!X179)</f>
        <v/>
      </c>
      <c r="Y179" s="39" t="str">
        <f>IF([8]道具信息!Y179="","",[8]道具信息!Y179)</f>
        <v/>
      </c>
      <c r="Z179" s="39" t="str">
        <f>IF([8]道具信息!Z179="","",[8]道具信息!Z179)</f>
        <v/>
      </c>
    </row>
    <row r="180" spans="1:26" x14ac:dyDescent="0.15">
      <c r="A180" s="39" t="str">
        <f>IF([8]道具信息!A180="","",[8]道具信息!A180)</f>
        <v/>
      </c>
      <c r="B180" s="39" t="str">
        <f>IF([8]道具信息!B180="","",[8]道具信息!B180)</f>
        <v/>
      </c>
      <c r="C180" s="39" t="str">
        <f>IF([8]道具信息!C180="","",[8]道具信息!C180)</f>
        <v/>
      </c>
      <c r="D180" s="39" t="str">
        <f>IF([8]道具信息!D180="","",[8]道具信息!D180)</f>
        <v>绿色马匹</v>
      </c>
      <c r="E180" s="39">
        <f>IF([8]道具信息!E180="","",[8]道具信息!E180)</f>
        <v>50</v>
      </c>
      <c r="F180" s="39">
        <f>IF([8]道具信息!F180="","",[8]道具信息!F180)</f>
        <v>1</v>
      </c>
      <c r="G180" s="39">
        <f>IF([8]道具信息!G180="","",[8]道具信息!G180)</f>
        <v>1</v>
      </c>
      <c r="H180" s="39">
        <f>IF([8]道具信息!H180="","",[8]道具信息!H180)</f>
        <v>1</v>
      </c>
      <c r="I180" s="39">
        <f>IF([8]道具信息!I180="","",[8]道具信息!I180)</f>
        <v>50</v>
      </c>
      <c r="J180" s="39">
        <f>IF([8]道具信息!J180="","",[8]道具信息!J180)</f>
        <v>50</v>
      </c>
      <c r="K180" s="39">
        <f>IF([8]道具信息!K180="","",[8]道具信息!K180)</f>
        <v>50</v>
      </c>
      <c r="L180" s="39" t="str">
        <f>IF([8]道具信息!L180="","",[8]道具信息!L180)</f>
        <v/>
      </c>
      <c r="M180" s="39" t="str">
        <f>IF([8]道具信息!M180="","",[8]道具信息!M180)</f>
        <v/>
      </c>
      <c r="N180" s="39" t="str">
        <f>IF([8]道具信息!N180="","",[8]道具信息!N180)</f>
        <v/>
      </c>
      <c r="O180" s="39" t="str">
        <f>IF([8]道具信息!O180="","",[8]道具信息!O180)</f>
        <v/>
      </c>
      <c r="P180" s="39" t="str">
        <f>IF([8]道具信息!P180="","",[8]道具信息!P180)</f>
        <v/>
      </c>
      <c r="Q180" s="39" t="str">
        <f>IF([8]道具信息!Q180="","",[8]道具信息!Q180)</f>
        <v/>
      </c>
      <c r="R180" s="39" t="str">
        <f>IF([8]道具信息!R180="","",[8]道具信息!R180)</f>
        <v/>
      </c>
      <c r="S180" s="39" t="str">
        <f>IF([8]道具信息!S180="","",[8]道具信息!S180)</f>
        <v/>
      </c>
      <c r="T180" s="39" t="str">
        <f>IF([8]道具信息!T180="","",[8]道具信息!T180)</f>
        <v/>
      </c>
      <c r="U180" s="39" t="str">
        <f>IF([8]道具信息!U180="","",[8]道具信息!U180)</f>
        <v/>
      </c>
      <c r="V180" s="39" t="str">
        <f>IF([8]道具信息!V180="","",[8]道具信息!V180)</f>
        <v/>
      </c>
      <c r="W180" s="39" t="str">
        <f>IF([8]道具信息!W180="","",[8]道具信息!W180)</f>
        <v/>
      </c>
      <c r="X180" s="39" t="str">
        <f>IF([8]道具信息!X180="","",[8]道具信息!X180)</f>
        <v/>
      </c>
      <c r="Y180" s="39" t="str">
        <f>IF([8]道具信息!Y180="","",[8]道具信息!Y180)</f>
        <v/>
      </c>
      <c r="Z180" s="39" t="str">
        <f>IF([8]道具信息!Z180="","",[8]道具信息!Z180)</f>
        <v/>
      </c>
    </row>
    <row r="181" spans="1:26" x14ac:dyDescent="0.15">
      <c r="A181" s="39" t="str">
        <f>IF([8]道具信息!A181="","",[8]道具信息!A181)</f>
        <v/>
      </c>
      <c r="B181" s="39" t="str">
        <f>IF([8]道具信息!B181="","",[8]道具信息!B181)</f>
        <v/>
      </c>
      <c r="C181" s="39" t="str">
        <f>IF([8]道具信息!C181="","",[8]道具信息!C181)</f>
        <v/>
      </c>
      <c r="D181" s="39" t="str">
        <f>IF([8]道具信息!D181="","",[8]道具信息!D181)</f>
        <v>蓝色马匹</v>
      </c>
      <c r="E181" s="39">
        <f>IF([8]道具信息!E181="","",[8]道具信息!E181)</f>
        <v>150</v>
      </c>
      <c r="F181" s="39">
        <f>IF([8]道具信息!F181="","",[8]道具信息!F181)</f>
        <v>1</v>
      </c>
      <c r="G181" s="39">
        <f>IF([8]道具信息!G181="","",[8]道具信息!G181)</f>
        <v>1</v>
      </c>
      <c r="H181" s="39">
        <f>IF([8]道具信息!H181="","",[8]道具信息!H181)</f>
        <v>1</v>
      </c>
      <c r="I181" s="39">
        <f>IF([8]道具信息!I181="","",[8]道具信息!I181)</f>
        <v>150</v>
      </c>
      <c r="J181" s="39">
        <f>IF([8]道具信息!J181="","",[8]道具信息!J181)</f>
        <v>150</v>
      </c>
      <c r="K181" s="39">
        <f>IF([8]道具信息!K181="","",[8]道具信息!K181)</f>
        <v>150</v>
      </c>
      <c r="L181" s="39" t="str">
        <f>IF([8]道具信息!L181="","",[8]道具信息!L181)</f>
        <v/>
      </c>
      <c r="M181" s="39" t="str">
        <f>IF([8]道具信息!M181="","",[8]道具信息!M181)</f>
        <v/>
      </c>
      <c r="N181" s="39" t="str">
        <f>IF([8]道具信息!N181="","",[8]道具信息!N181)</f>
        <v/>
      </c>
      <c r="O181" s="39" t="str">
        <f>IF([8]道具信息!O181="","",[8]道具信息!O181)</f>
        <v/>
      </c>
      <c r="P181" s="39" t="str">
        <f>IF([8]道具信息!P181="","",[8]道具信息!P181)</f>
        <v/>
      </c>
      <c r="Q181" s="39" t="str">
        <f>IF([8]道具信息!Q181="","",[8]道具信息!Q181)</f>
        <v/>
      </c>
      <c r="R181" s="39" t="str">
        <f>IF([8]道具信息!R181="","",[8]道具信息!R181)</f>
        <v/>
      </c>
      <c r="S181" s="39" t="str">
        <f>IF([8]道具信息!S181="","",[8]道具信息!S181)</f>
        <v/>
      </c>
      <c r="T181" s="39" t="str">
        <f>IF([8]道具信息!T181="","",[8]道具信息!T181)</f>
        <v/>
      </c>
      <c r="U181" s="39" t="str">
        <f>IF([8]道具信息!U181="","",[8]道具信息!U181)</f>
        <v/>
      </c>
      <c r="V181" s="39" t="str">
        <f>IF([8]道具信息!V181="","",[8]道具信息!V181)</f>
        <v/>
      </c>
      <c r="W181" s="39" t="str">
        <f>IF([8]道具信息!W181="","",[8]道具信息!W181)</f>
        <v/>
      </c>
      <c r="X181" s="39" t="str">
        <f>IF([8]道具信息!X181="","",[8]道具信息!X181)</f>
        <v/>
      </c>
      <c r="Y181" s="39" t="str">
        <f>IF([8]道具信息!Y181="","",[8]道具信息!Y181)</f>
        <v/>
      </c>
      <c r="Z181" s="39" t="str">
        <f>IF([8]道具信息!Z181="","",[8]道具信息!Z181)</f>
        <v/>
      </c>
    </row>
    <row r="182" spans="1:26" x14ac:dyDescent="0.15">
      <c r="A182" s="39" t="str">
        <f>IF([8]道具信息!A182="","",[8]道具信息!A182)</f>
        <v/>
      </c>
      <c r="B182" s="39" t="str">
        <f>IF([8]道具信息!B182="","",[8]道具信息!B182)</f>
        <v/>
      </c>
      <c r="C182" s="39" t="str">
        <f>IF([8]道具信息!C182="","",[8]道具信息!C182)</f>
        <v/>
      </c>
      <c r="D182" s="39" t="str">
        <f>IF([8]道具信息!D182="","",[8]道具信息!D182)</f>
        <v>紫色马匹</v>
      </c>
      <c r="E182" s="39">
        <f>IF([8]道具信息!E182="","",[8]道具信息!E182)</f>
        <v>500</v>
      </c>
      <c r="F182" s="39">
        <f>IF([8]道具信息!F182="","",[8]道具信息!F182)</f>
        <v>1</v>
      </c>
      <c r="G182" s="39">
        <f>IF([8]道具信息!G182="","",[8]道具信息!G182)</f>
        <v>1</v>
      </c>
      <c r="H182" s="39">
        <f>IF([8]道具信息!H182="","",[8]道具信息!H182)</f>
        <v>1</v>
      </c>
      <c r="I182" s="39">
        <f>IF([8]道具信息!I182="","",[8]道具信息!I182)</f>
        <v>500</v>
      </c>
      <c r="J182" s="39">
        <f>IF([8]道具信息!J182="","",[8]道具信息!J182)</f>
        <v>500</v>
      </c>
      <c r="K182" s="39">
        <f>IF([8]道具信息!K182="","",[8]道具信息!K182)</f>
        <v>500</v>
      </c>
      <c r="L182" s="39" t="str">
        <f>IF([8]道具信息!L182="","",[8]道具信息!L182)</f>
        <v/>
      </c>
      <c r="M182" s="39" t="str">
        <f>IF([8]道具信息!M182="","",[8]道具信息!M182)</f>
        <v/>
      </c>
      <c r="N182" s="39" t="str">
        <f>IF([8]道具信息!N182="","",[8]道具信息!N182)</f>
        <v/>
      </c>
      <c r="O182" s="39" t="str">
        <f>IF([8]道具信息!O182="","",[8]道具信息!O182)</f>
        <v/>
      </c>
      <c r="P182" s="39" t="str">
        <f>IF([8]道具信息!P182="","",[8]道具信息!P182)</f>
        <v/>
      </c>
      <c r="Q182" s="39" t="str">
        <f>IF([8]道具信息!Q182="","",[8]道具信息!Q182)</f>
        <v/>
      </c>
      <c r="R182" s="39" t="str">
        <f>IF([8]道具信息!R182="","",[8]道具信息!R182)</f>
        <v/>
      </c>
      <c r="S182" s="39" t="str">
        <f>IF([8]道具信息!S182="","",[8]道具信息!S182)</f>
        <v/>
      </c>
      <c r="T182" s="39" t="str">
        <f>IF([8]道具信息!T182="","",[8]道具信息!T182)</f>
        <v/>
      </c>
      <c r="U182" s="39" t="str">
        <f>IF([8]道具信息!U182="","",[8]道具信息!U182)</f>
        <v/>
      </c>
      <c r="V182" s="39" t="str">
        <f>IF([8]道具信息!V182="","",[8]道具信息!V182)</f>
        <v/>
      </c>
      <c r="W182" s="39" t="str">
        <f>IF([8]道具信息!W182="","",[8]道具信息!W182)</f>
        <v/>
      </c>
      <c r="X182" s="39" t="str">
        <f>IF([8]道具信息!X182="","",[8]道具信息!X182)</f>
        <v/>
      </c>
      <c r="Y182" s="39" t="str">
        <f>IF([8]道具信息!Y182="","",[8]道具信息!Y182)</f>
        <v/>
      </c>
      <c r="Z182" s="39" t="str">
        <f>IF([8]道具信息!Z182="","",[8]道具信息!Z182)</f>
        <v/>
      </c>
    </row>
    <row r="183" spans="1:26" x14ac:dyDescent="0.15">
      <c r="A183" s="39" t="str">
        <f>IF([8]道具信息!A183="","",[8]道具信息!A183)</f>
        <v/>
      </c>
      <c r="B183" s="39" t="str">
        <f>IF([8]道具信息!B183="","",[8]道具信息!B183)</f>
        <v/>
      </c>
      <c r="C183" s="39" t="str">
        <f>IF([8]道具信息!C183="","",[8]道具信息!C183)</f>
        <v/>
      </c>
      <c r="D183" s="39" t="str">
        <f>IF([8]道具信息!D183="","",[8]道具信息!D183)</f>
        <v>橙色马匹</v>
      </c>
      <c r="E183" s="39">
        <f>IF([8]道具信息!E183="","",[8]道具信息!E183)</f>
        <v>2000</v>
      </c>
      <c r="F183" s="39">
        <f>IF([8]道具信息!F183="","",[8]道具信息!F183)</f>
        <v>1</v>
      </c>
      <c r="G183" s="39">
        <f>IF([8]道具信息!G183="","",[8]道具信息!G183)</f>
        <v>1</v>
      </c>
      <c r="H183" s="39">
        <f>IF([8]道具信息!H183="","",[8]道具信息!H183)</f>
        <v>1</v>
      </c>
      <c r="I183" s="39">
        <f>IF([8]道具信息!I183="","",[8]道具信息!I183)</f>
        <v>2000</v>
      </c>
      <c r="J183" s="39">
        <f>IF([8]道具信息!J183="","",[8]道具信息!J183)</f>
        <v>2000</v>
      </c>
      <c r="K183" s="39">
        <f>IF([8]道具信息!K183="","",[8]道具信息!K183)</f>
        <v>2000</v>
      </c>
      <c r="L183" s="39" t="str">
        <f>IF([8]道具信息!L183="","",[8]道具信息!L183)</f>
        <v/>
      </c>
      <c r="M183" s="39" t="str">
        <f>IF([8]道具信息!M183="","",[8]道具信息!M183)</f>
        <v/>
      </c>
      <c r="N183" s="39" t="str">
        <f>IF([8]道具信息!N183="","",[8]道具信息!N183)</f>
        <v/>
      </c>
      <c r="O183" s="39" t="str">
        <f>IF([8]道具信息!O183="","",[8]道具信息!O183)</f>
        <v/>
      </c>
      <c r="P183" s="39" t="str">
        <f>IF([8]道具信息!P183="","",[8]道具信息!P183)</f>
        <v/>
      </c>
      <c r="Q183" s="39" t="str">
        <f>IF([8]道具信息!Q183="","",[8]道具信息!Q183)</f>
        <v/>
      </c>
      <c r="R183" s="39" t="str">
        <f>IF([8]道具信息!R183="","",[8]道具信息!R183)</f>
        <v/>
      </c>
      <c r="S183" s="39" t="str">
        <f>IF([8]道具信息!S183="","",[8]道具信息!S183)</f>
        <v/>
      </c>
      <c r="T183" s="39" t="str">
        <f>IF([8]道具信息!T183="","",[8]道具信息!T183)</f>
        <v/>
      </c>
      <c r="U183" s="39" t="str">
        <f>IF([8]道具信息!U183="","",[8]道具信息!U183)</f>
        <v/>
      </c>
      <c r="V183" s="39" t="str">
        <f>IF([8]道具信息!V183="","",[8]道具信息!V183)</f>
        <v/>
      </c>
      <c r="W183" s="39" t="str">
        <f>IF([8]道具信息!W183="","",[8]道具信息!W183)</f>
        <v/>
      </c>
      <c r="X183" s="39" t="str">
        <f>IF([8]道具信息!X183="","",[8]道具信息!X183)</f>
        <v/>
      </c>
      <c r="Y183" s="39" t="str">
        <f>IF([8]道具信息!Y183="","",[8]道具信息!Y183)</f>
        <v/>
      </c>
      <c r="Z183" s="39" t="str">
        <f>IF([8]道具信息!Z183="","",[8]道具信息!Z183)</f>
        <v/>
      </c>
    </row>
    <row r="184" spans="1:26" x14ac:dyDescent="0.15">
      <c r="A184" s="39" t="str">
        <f>IF([8]道具信息!A184="","",[8]道具信息!A184)</f>
        <v/>
      </c>
      <c r="B184" s="39" t="str">
        <f>IF([8]道具信息!B184="","",[8]道具信息!B184)</f>
        <v/>
      </c>
      <c r="C184" s="39" t="str">
        <f>IF([8]道具信息!C184="","",[8]道具信息!C184)</f>
        <v/>
      </c>
      <c r="D184" s="39" t="str">
        <f>IF([8]道具信息!D184="","",[8]道具信息!D184)</f>
        <v>红色马匹</v>
      </c>
      <c r="E184" s="39">
        <f>IF([8]道具信息!E184="","",[8]道具信息!E184)</f>
        <v>8000</v>
      </c>
      <c r="F184" s="39">
        <f>IF([8]道具信息!F184="","",[8]道具信息!F184)</f>
        <v>1</v>
      </c>
      <c r="G184" s="39">
        <f>IF([8]道具信息!G184="","",[8]道具信息!G184)</f>
        <v>1</v>
      </c>
      <c r="H184" s="39">
        <f>IF([8]道具信息!H184="","",[8]道具信息!H184)</f>
        <v>1</v>
      </c>
      <c r="I184" s="39">
        <f>IF([8]道具信息!I184="","",[8]道具信息!I184)</f>
        <v>8000</v>
      </c>
      <c r="J184" s="39">
        <f>IF([8]道具信息!J184="","",[8]道具信息!J184)</f>
        <v>8000</v>
      </c>
      <c r="K184" s="39">
        <f>IF([8]道具信息!K184="","",[8]道具信息!K184)</f>
        <v>8000</v>
      </c>
      <c r="L184" s="39" t="str">
        <f>IF([8]道具信息!L184="","",[8]道具信息!L184)</f>
        <v/>
      </c>
      <c r="M184" s="39" t="str">
        <f>IF([8]道具信息!M184="","",[8]道具信息!M184)</f>
        <v/>
      </c>
      <c r="N184" s="39" t="str">
        <f>IF([8]道具信息!N184="","",[8]道具信息!N184)</f>
        <v/>
      </c>
      <c r="O184" s="39" t="str">
        <f>IF([8]道具信息!O184="","",[8]道具信息!O184)</f>
        <v/>
      </c>
      <c r="P184" s="39" t="str">
        <f>IF([8]道具信息!P184="","",[8]道具信息!P184)</f>
        <v/>
      </c>
      <c r="Q184" s="39" t="str">
        <f>IF([8]道具信息!Q184="","",[8]道具信息!Q184)</f>
        <v/>
      </c>
      <c r="R184" s="39" t="str">
        <f>IF([8]道具信息!R184="","",[8]道具信息!R184)</f>
        <v/>
      </c>
      <c r="S184" s="39" t="str">
        <f>IF([8]道具信息!S184="","",[8]道具信息!S184)</f>
        <v/>
      </c>
      <c r="T184" s="39" t="str">
        <f>IF([8]道具信息!T184="","",[8]道具信息!T184)</f>
        <v/>
      </c>
      <c r="U184" s="39" t="str">
        <f>IF([8]道具信息!U184="","",[8]道具信息!U184)</f>
        <v/>
      </c>
      <c r="V184" s="39" t="str">
        <f>IF([8]道具信息!V184="","",[8]道具信息!V184)</f>
        <v/>
      </c>
      <c r="W184" s="39" t="str">
        <f>IF([8]道具信息!W184="","",[8]道具信息!W184)</f>
        <v/>
      </c>
      <c r="X184" s="39" t="str">
        <f>IF([8]道具信息!X184="","",[8]道具信息!X184)</f>
        <v/>
      </c>
      <c r="Y184" s="39" t="str">
        <f>IF([8]道具信息!Y184="","",[8]道具信息!Y184)</f>
        <v/>
      </c>
      <c r="Z184" s="39" t="str">
        <f>IF([8]道具信息!Z184="","",[8]道具信息!Z184)</f>
        <v/>
      </c>
    </row>
    <row r="185" spans="1:26" x14ac:dyDescent="0.15">
      <c r="A185" s="39" t="str">
        <f>IF([8]道具信息!A185="","",[8]道具信息!A185)</f>
        <v/>
      </c>
      <c r="B185" s="39" t="str">
        <f>IF([8]道具信息!B185="","",[8]道具信息!B185)</f>
        <v/>
      </c>
      <c r="C185" s="39" t="str">
        <f>IF([8]道具信息!C185="","",[8]道具信息!C185)</f>
        <v/>
      </c>
      <c r="D185" s="39" t="str">
        <f>IF([8]道具信息!D185="","",[8]道具信息!D185)</f>
        <v>紫色马匹碎片</v>
      </c>
      <c r="E185" s="39">
        <f>IF([8]道具信息!E185="","",[8]道具信息!E185)</f>
        <v>50</v>
      </c>
      <c r="F185" s="39">
        <f>IF([8]道具信息!F185="","",[8]道具信息!F185)</f>
        <v>1</v>
      </c>
      <c r="G185" s="39">
        <f>IF([8]道具信息!G185="","",[8]道具信息!G185)</f>
        <v>1</v>
      </c>
      <c r="H185" s="39">
        <f>IF([8]道具信息!H185="","",[8]道具信息!H185)</f>
        <v>1</v>
      </c>
      <c r="I185" s="39">
        <f>IF([8]道具信息!I185="","",[8]道具信息!I185)</f>
        <v>50</v>
      </c>
      <c r="J185" s="39">
        <f>IF([8]道具信息!J185="","",[8]道具信息!J185)</f>
        <v>50</v>
      </c>
      <c r="K185" s="39">
        <f>IF([8]道具信息!K185="","",[8]道具信息!K185)</f>
        <v>50</v>
      </c>
      <c r="L185" s="39" t="str">
        <f>IF([8]道具信息!L185="","",[8]道具信息!L185)</f>
        <v/>
      </c>
      <c r="M185" s="39" t="str">
        <f>IF([8]道具信息!M185="","",[8]道具信息!M185)</f>
        <v/>
      </c>
      <c r="N185" s="39" t="str">
        <f>IF([8]道具信息!N185="","",[8]道具信息!N185)</f>
        <v/>
      </c>
      <c r="O185" s="39" t="str">
        <f>IF([8]道具信息!O185="","",[8]道具信息!O185)</f>
        <v/>
      </c>
      <c r="P185" s="39" t="str">
        <f>IF([8]道具信息!P185="","",[8]道具信息!P185)</f>
        <v/>
      </c>
      <c r="Q185" s="39" t="str">
        <f>IF([8]道具信息!Q185="","",[8]道具信息!Q185)</f>
        <v/>
      </c>
      <c r="R185" s="39" t="str">
        <f>IF([8]道具信息!R185="","",[8]道具信息!R185)</f>
        <v/>
      </c>
      <c r="S185" s="39" t="str">
        <f>IF([8]道具信息!S185="","",[8]道具信息!S185)</f>
        <v/>
      </c>
      <c r="T185" s="39" t="str">
        <f>IF([8]道具信息!T185="","",[8]道具信息!T185)</f>
        <v/>
      </c>
      <c r="U185" s="39" t="str">
        <f>IF([8]道具信息!U185="","",[8]道具信息!U185)</f>
        <v/>
      </c>
      <c r="V185" s="39" t="str">
        <f>IF([8]道具信息!V185="","",[8]道具信息!V185)</f>
        <v/>
      </c>
      <c r="W185" s="39" t="str">
        <f>IF([8]道具信息!W185="","",[8]道具信息!W185)</f>
        <v/>
      </c>
      <c r="X185" s="39" t="str">
        <f>IF([8]道具信息!X185="","",[8]道具信息!X185)</f>
        <v/>
      </c>
      <c r="Y185" s="39" t="str">
        <f>IF([8]道具信息!Y185="","",[8]道具信息!Y185)</f>
        <v/>
      </c>
      <c r="Z185" s="39" t="str">
        <f>IF([8]道具信息!Z185="","",[8]道具信息!Z185)</f>
        <v/>
      </c>
    </row>
    <row r="186" spans="1:26" x14ac:dyDescent="0.15">
      <c r="A186" s="39" t="str">
        <f>IF([8]道具信息!A186="","",[8]道具信息!A186)</f>
        <v/>
      </c>
      <c r="B186" s="39" t="str">
        <f>IF([8]道具信息!B186="","",[8]道具信息!B186)</f>
        <v/>
      </c>
      <c r="C186" s="39" t="str">
        <f>IF([8]道具信息!C186="","",[8]道具信息!C186)</f>
        <v/>
      </c>
      <c r="D186" s="39" t="str">
        <f>IF([8]道具信息!D186="","",[8]道具信息!D186)</f>
        <v>橙色马匹碎片</v>
      </c>
      <c r="E186" s="39">
        <f>IF([8]道具信息!E186="","",[8]道具信息!E186)</f>
        <v>66.666666666666671</v>
      </c>
      <c r="F186" s="39">
        <f>IF([8]道具信息!F186="","",[8]道具信息!F186)</f>
        <v>1</v>
      </c>
      <c r="G186" s="39">
        <f>IF([8]道具信息!G186="","",[8]道具信息!G186)</f>
        <v>1</v>
      </c>
      <c r="H186" s="39">
        <f>IF([8]道具信息!H186="","",[8]道具信息!H186)</f>
        <v>1</v>
      </c>
      <c r="I186" s="39">
        <f>IF([8]道具信息!I186="","",[8]道具信息!I186)</f>
        <v>66.666666666666671</v>
      </c>
      <c r="J186" s="39">
        <f>IF([8]道具信息!J186="","",[8]道具信息!J186)</f>
        <v>66.666666666666671</v>
      </c>
      <c r="K186" s="39">
        <f>IF([8]道具信息!K186="","",[8]道具信息!K186)</f>
        <v>66.666666666666671</v>
      </c>
      <c r="L186" s="39" t="str">
        <f>IF([8]道具信息!L186="","",[8]道具信息!L186)</f>
        <v/>
      </c>
      <c r="M186" s="39" t="str">
        <f>IF([8]道具信息!M186="","",[8]道具信息!M186)</f>
        <v/>
      </c>
      <c r="N186" s="39" t="str">
        <f>IF([8]道具信息!N186="","",[8]道具信息!N186)</f>
        <v/>
      </c>
      <c r="O186" s="39" t="str">
        <f>IF([8]道具信息!O186="","",[8]道具信息!O186)</f>
        <v/>
      </c>
      <c r="P186" s="39" t="str">
        <f>IF([8]道具信息!P186="","",[8]道具信息!P186)</f>
        <v/>
      </c>
      <c r="Q186" s="39" t="str">
        <f>IF([8]道具信息!Q186="","",[8]道具信息!Q186)</f>
        <v/>
      </c>
      <c r="R186" s="39" t="str">
        <f>IF([8]道具信息!R186="","",[8]道具信息!R186)</f>
        <v/>
      </c>
      <c r="S186" s="39" t="str">
        <f>IF([8]道具信息!S186="","",[8]道具信息!S186)</f>
        <v/>
      </c>
      <c r="T186" s="39" t="str">
        <f>IF([8]道具信息!T186="","",[8]道具信息!T186)</f>
        <v/>
      </c>
      <c r="U186" s="39" t="str">
        <f>IF([8]道具信息!U186="","",[8]道具信息!U186)</f>
        <v/>
      </c>
      <c r="V186" s="39" t="str">
        <f>IF([8]道具信息!V186="","",[8]道具信息!V186)</f>
        <v/>
      </c>
      <c r="W186" s="39" t="str">
        <f>IF([8]道具信息!W186="","",[8]道具信息!W186)</f>
        <v/>
      </c>
      <c r="X186" s="39" t="str">
        <f>IF([8]道具信息!X186="","",[8]道具信息!X186)</f>
        <v/>
      </c>
      <c r="Y186" s="39" t="str">
        <f>IF([8]道具信息!Y186="","",[8]道具信息!Y186)</f>
        <v/>
      </c>
      <c r="Z186" s="39" t="str">
        <f>IF([8]道具信息!Z186="","",[8]道具信息!Z186)</f>
        <v/>
      </c>
    </row>
    <row r="187" spans="1:26" x14ac:dyDescent="0.15">
      <c r="A187" s="39" t="str">
        <f>IF([8]道具信息!A187="","",[8]道具信息!A187)</f>
        <v/>
      </c>
      <c r="B187" s="39" t="str">
        <f>IF([8]道具信息!B187="","",[8]道具信息!B187)</f>
        <v/>
      </c>
      <c r="C187" s="39" t="str">
        <f>IF([8]道具信息!C187="","",[8]道具信息!C187)</f>
        <v/>
      </c>
      <c r="D187" s="39" t="str">
        <f>IF([8]道具信息!D187="","",[8]道具信息!D187)</f>
        <v>红色马匹碎片</v>
      </c>
      <c r="E187" s="39">
        <f>IF([8]道具信息!E187="","",[8]道具信息!E187)</f>
        <v>160</v>
      </c>
      <c r="F187" s="39">
        <f>IF([8]道具信息!F187="","",[8]道具信息!F187)</f>
        <v>1</v>
      </c>
      <c r="G187" s="39">
        <f>IF([8]道具信息!G187="","",[8]道具信息!G187)</f>
        <v>1</v>
      </c>
      <c r="H187" s="39">
        <f>IF([8]道具信息!H187="","",[8]道具信息!H187)</f>
        <v>1</v>
      </c>
      <c r="I187" s="39">
        <f>IF([8]道具信息!I187="","",[8]道具信息!I187)</f>
        <v>160</v>
      </c>
      <c r="J187" s="39">
        <f>IF([8]道具信息!J187="","",[8]道具信息!J187)</f>
        <v>160</v>
      </c>
      <c r="K187" s="39">
        <f>IF([8]道具信息!K187="","",[8]道具信息!K187)</f>
        <v>160</v>
      </c>
      <c r="L187" s="39" t="str">
        <f>IF([8]道具信息!L187="","",[8]道具信息!L187)</f>
        <v/>
      </c>
      <c r="M187" s="39" t="str">
        <f>IF([8]道具信息!M187="","",[8]道具信息!M187)</f>
        <v/>
      </c>
      <c r="N187" s="39" t="str">
        <f>IF([8]道具信息!N187="","",[8]道具信息!N187)</f>
        <v/>
      </c>
      <c r="O187" s="39" t="str">
        <f>IF([8]道具信息!O187="","",[8]道具信息!O187)</f>
        <v/>
      </c>
      <c r="P187" s="39" t="str">
        <f>IF([8]道具信息!P187="","",[8]道具信息!P187)</f>
        <v/>
      </c>
      <c r="Q187" s="39" t="str">
        <f>IF([8]道具信息!Q187="","",[8]道具信息!Q187)</f>
        <v/>
      </c>
      <c r="R187" s="39" t="str">
        <f>IF([8]道具信息!R187="","",[8]道具信息!R187)</f>
        <v/>
      </c>
      <c r="S187" s="39" t="str">
        <f>IF([8]道具信息!S187="","",[8]道具信息!S187)</f>
        <v/>
      </c>
      <c r="T187" s="39" t="str">
        <f>IF([8]道具信息!T187="","",[8]道具信息!T187)</f>
        <v/>
      </c>
      <c r="U187" s="39" t="str">
        <f>IF([8]道具信息!U187="","",[8]道具信息!U187)</f>
        <v/>
      </c>
      <c r="V187" s="39" t="str">
        <f>IF([8]道具信息!V187="","",[8]道具信息!V187)</f>
        <v/>
      </c>
      <c r="W187" s="39" t="str">
        <f>IF([8]道具信息!W187="","",[8]道具信息!W187)</f>
        <v/>
      </c>
      <c r="X187" s="39" t="str">
        <f>IF([8]道具信息!X187="","",[8]道具信息!X187)</f>
        <v/>
      </c>
      <c r="Y187" s="39" t="str">
        <f>IF([8]道具信息!Y187="","",[8]道具信息!Y187)</f>
        <v/>
      </c>
      <c r="Z187" s="39" t="str">
        <f>IF([8]道具信息!Z187="","",[8]道具信息!Z187)</f>
        <v/>
      </c>
    </row>
    <row r="188" spans="1:26" x14ac:dyDescent="0.15">
      <c r="A188" s="39" t="str">
        <f>IF([8]道具信息!A188="","",[8]道具信息!A188)</f>
        <v/>
      </c>
      <c r="B188" s="39" t="str">
        <f>IF([8]道具信息!B188="","",[8]道具信息!B188)</f>
        <v/>
      </c>
      <c r="C188" s="39" t="str">
        <f>IF([8]道具信息!C188="","",[8]道具信息!C188)</f>
        <v/>
      </c>
      <c r="D188" s="39" t="str">
        <f>IF([8]道具信息!D188="","",[8]道具信息!D188)</f>
        <v/>
      </c>
      <c r="E188" s="39" t="str">
        <f>IF([8]道具信息!E188="","",[8]道具信息!E188)</f>
        <v/>
      </c>
      <c r="F188" s="39" t="str">
        <f>IF([8]道具信息!F188="","",[8]道具信息!F188)</f>
        <v/>
      </c>
      <c r="G188" s="39" t="str">
        <f>IF([8]道具信息!G188="","",[8]道具信息!G188)</f>
        <v/>
      </c>
      <c r="H188" s="39" t="str">
        <f>IF([8]道具信息!H188="","",[8]道具信息!H188)</f>
        <v/>
      </c>
      <c r="I188" s="39" t="str">
        <f>IF([8]道具信息!I188="","",[8]道具信息!I188)</f>
        <v/>
      </c>
      <c r="J188" s="39" t="str">
        <f>IF([8]道具信息!J188="","",[8]道具信息!J188)</f>
        <v/>
      </c>
      <c r="K188" s="39" t="str">
        <f>IF([8]道具信息!K188="","",[8]道具信息!K188)</f>
        <v/>
      </c>
      <c r="L188" s="39" t="str">
        <f>IF([8]道具信息!L188="","",[8]道具信息!L188)</f>
        <v/>
      </c>
      <c r="M188" s="39" t="str">
        <f>IF([8]道具信息!M188="","",[8]道具信息!M188)</f>
        <v/>
      </c>
      <c r="N188" s="39" t="str">
        <f>IF([8]道具信息!N188="","",[8]道具信息!N188)</f>
        <v/>
      </c>
      <c r="O188" s="39" t="str">
        <f>IF([8]道具信息!O188="","",[8]道具信息!O188)</f>
        <v/>
      </c>
      <c r="P188" s="39" t="str">
        <f>IF([8]道具信息!P188="","",[8]道具信息!P188)</f>
        <v/>
      </c>
      <c r="Q188" s="39" t="str">
        <f>IF([8]道具信息!Q188="","",[8]道具信息!Q188)</f>
        <v/>
      </c>
      <c r="R188" s="39" t="str">
        <f>IF([8]道具信息!R188="","",[8]道具信息!R188)</f>
        <v/>
      </c>
      <c r="S188" s="39" t="str">
        <f>IF([8]道具信息!S188="","",[8]道具信息!S188)</f>
        <v/>
      </c>
      <c r="T188" s="39" t="str">
        <f>IF([8]道具信息!T188="","",[8]道具信息!T188)</f>
        <v/>
      </c>
      <c r="U188" s="39" t="str">
        <f>IF([8]道具信息!U188="","",[8]道具信息!U188)</f>
        <v/>
      </c>
      <c r="V188" s="39" t="str">
        <f>IF([8]道具信息!V188="","",[8]道具信息!V188)</f>
        <v/>
      </c>
      <c r="W188" s="39" t="str">
        <f>IF([8]道具信息!W188="","",[8]道具信息!W188)</f>
        <v/>
      </c>
      <c r="X188" s="39" t="str">
        <f>IF([8]道具信息!X188="","",[8]道具信息!X188)</f>
        <v/>
      </c>
      <c r="Y188" s="39" t="str">
        <f>IF([8]道具信息!Y188="","",[8]道具信息!Y188)</f>
        <v/>
      </c>
      <c r="Z188" s="39" t="str">
        <f>IF([8]道具信息!Z188="","",[8]道具信息!Z188)</f>
        <v/>
      </c>
    </row>
    <row r="189" spans="1:26" x14ac:dyDescent="0.15">
      <c r="A189" s="39" t="str">
        <f>IF([8]道具信息!A189="","",[8]道具信息!A189)</f>
        <v/>
      </c>
      <c r="B189" s="39" t="str">
        <f>IF([8]道具信息!B189="","",[8]道具信息!B189)</f>
        <v/>
      </c>
      <c r="C189" s="39" t="str">
        <f>IF([8]道具信息!C189="","",[8]道具信息!C189)</f>
        <v/>
      </c>
      <c r="D189" s="39" t="str">
        <f>IF([8]道具信息!D189="","",[8]道具信息!D189)</f>
        <v>140指定天赋点</v>
      </c>
      <c r="E189" s="39">
        <f>IF([8]道具信息!E189="","",[8]道具信息!E189)</f>
        <v>4320</v>
      </c>
      <c r="F189" s="39">
        <f>IF([8]道具信息!F189="","",[8]道具信息!F189)</f>
        <v>1</v>
      </c>
      <c r="G189" s="39">
        <f>IF([8]道具信息!G189="","",[8]道具信息!G189)</f>
        <v>1</v>
      </c>
      <c r="H189" s="39">
        <f>IF([8]道具信息!H189="","",[8]道具信息!H189)</f>
        <v>1</v>
      </c>
      <c r="I189" s="39">
        <f>IF([8]道具信息!I189="","",[8]道具信息!I189)</f>
        <v>4320</v>
      </c>
      <c r="J189" s="39">
        <f>IF([8]道具信息!J189="","",[8]道具信息!J189)</f>
        <v>4320</v>
      </c>
      <c r="K189" s="39">
        <f>IF([8]道具信息!K189="","",[8]道具信息!K189)</f>
        <v>4320</v>
      </c>
      <c r="L189" s="39" t="str">
        <f>IF([8]道具信息!L189="","",[8]道具信息!L189)</f>
        <v/>
      </c>
      <c r="M189" s="39" t="str">
        <f>IF([8]道具信息!M189="","",[8]道具信息!M189)</f>
        <v/>
      </c>
      <c r="N189" s="39" t="str">
        <f>IF([8]道具信息!N189="","",[8]道具信息!N189)</f>
        <v/>
      </c>
      <c r="O189" s="39" t="str">
        <f>IF([8]道具信息!O189="","",[8]道具信息!O189)</f>
        <v/>
      </c>
      <c r="P189" s="39" t="str">
        <f>IF([8]道具信息!P189="","",[8]道具信息!P189)</f>
        <v/>
      </c>
      <c r="Q189" s="39" t="str">
        <f>IF([8]道具信息!Q189="","",[8]道具信息!Q189)</f>
        <v/>
      </c>
      <c r="R189" s="39" t="str">
        <f>IF([8]道具信息!R189="","",[8]道具信息!R189)</f>
        <v/>
      </c>
      <c r="S189" s="39" t="str">
        <f>IF([8]道具信息!S189="","",[8]道具信息!S189)</f>
        <v/>
      </c>
      <c r="T189" s="39" t="str">
        <f>IF([8]道具信息!T189="","",[8]道具信息!T189)</f>
        <v/>
      </c>
      <c r="U189" s="39" t="str">
        <f>IF([8]道具信息!U189="","",[8]道具信息!U189)</f>
        <v/>
      </c>
      <c r="V189" s="39" t="str">
        <f>IF([8]道具信息!V189="","",[8]道具信息!V189)</f>
        <v/>
      </c>
      <c r="W189" s="39" t="str">
        <f>IF([8]道具信息!W189="","",[8]道具信息!W189)</f>
        <v/>
      </c>
      <c r="X189" s="39" t="str">
        <f>IF([8]道具信息!X189="","",[8]道具信息!X189)</f>
        <v/>
      </c>
      <c r="Y189" s="39" t="str">
        <f>IF([8]道具信息!Y189="","",[8]道具信息!Y189)</f>
        <v/>
      </c>
      <c r="Z189" s="39" t="str">
        <f>IF([8]道具信息!Z189="","",[8]道具信息!Z189)</f>
        <v/>
      </c>
    </row>
    <row r="190" spans="1:26" x14ac:dyDescent="0.15">
      <c r="A190" s="39" t="str">
        <f>IF([8]道具信息!A190="","",[8]道具信息!A190)</f>
        <v/>
      </c>
      <c r="B190" s="39" t="str">
        <f>IF([8]道具信息!B190="","",[8]道具信息!B190)</f>
        <v/>
      </c>
      <c r="C190" s="39" t="str">
        <f>IF([8]道具信息!C190="","",[8]道具信息!C190)</f>
        <v/>
      </c>
      <c r="D190" s="39" t="str">
        <f>IF([8]道具信息!D190="","",[8]道具信息!D190)</f>
        <v/>
      </c>
      <c r="E190" s="39" t="str">
        <f>IF([8]道具信息!E190="","",[8]道具信息!E190)</f>
        <v/>
      </c>
      <c r="F190" s="39" t="str">
        <f>IF([8]道具信息!F190="","",[8]道具信息!F190)</f>
        <v/>
      </c>
      <c r="G190" s="39" t="str">
        <f>IF([8]道具信息!G190="","",[8]道具信息!G190)</f>
        <v/>
      </c>
      <c r="H190" s="39" t="str">
        <f>IF([8]道具信息!H190="","",[8]道具信息!H190)</f>
        <v/>
      </c>
      <c r="I190" s="39" t="str">
        <f>IF([8]道具信息!I190="","",[8]道具信息!I190)</f>
        <v/>
      </c>
      <c r="J190" s="39" t="str">
        <f>IF([8]道具信息!J190="","",[8]道具信息!J190)</f>
        <v/>
      </c>
      <c r="K190" s="39" t="str">
        <f>IF([8]道具信息!K190="","",[8]道具信息!K190)</f>
        <v/>
      </c>
      <c r="L190" s="39" t="str">
        <f>IF([8]道具信息!L190="","",[8]道具信息!L190)</f>
        <v/>
      </c>
      <c r="M190" s="39" t="str">
        <f>IF([8]道具信息!M190="","",[8]道具信息!M190)</f>
        <v/>
      </c>
      <c r="N190" s="39" t="str">
        <f>IF([8]道具信息!N190="","",[8]道具信息!N190)</f>
        <v/>
      </c>
      <c r="O190" s="39" t="str">
        <f>IF([8]道具信息!O190="","",[8]道具信息!O190)</f>
        <v/>
      </c>
      <c r="P190" s="39" t="str">
        <f>IF([8]道具信息!P190="","",[8]道具信息!P190)</f>
        <v/>
      </c>
      <c r="Q190" s="39" t="str">
        <f>IF([8]道具信息!Q190="","",[8]道具信息!Q190)</f>
        <v/>
      </c>
      <c r="R190" s="39" t="str">
        <f>IF([8]道具信息!R190="","",[8]道具信息!R190)</f>
        <v/>
      </c>
      <c r="S190" s="39" t="str">
        <f>IF([8]道具信息!S190="","",[8]道具信息!S190)</f>
        <v/>
      </c>
      <c r="T190" s="39" t="str">
        <f>IF([8]道具信息!T190="","",[8]道具信息!T190)</f>
        <v/>
      </c>
      <c r="U190" s="39" t="str">
        <f>IF([8]道具信息!U190="","",[8]道具信息!U190)</f>
        <v/>
      </c>
      <c r="V190" s="39" t="str">
        <f>IF([8]道具信息!V190="","",[8]道具信息!V190)</f>
        <v/>
      </c>
      <c r="W190" s="39" t="str">
        <f>IF([8]道具信息!W190="","",[8]道具信息!W190)</f>
        <v/>
      </c>
      <c r="X190" s="39" t="str">
        <f>IF([8]道具信息!X190="","",[8]道具信息!X190)</f>
        <v/>
      </c>
      <c r="Y190" s="39" t="str">
        <f>IF([8]道具信息!Y190="","",[8]道具信息!Y190)</f>
        <v/>
      </c>
      <c r="Z190" s="39" t="str">
        <f>IF([8]道具信息!Z190="","",[8]道具信息!Z190)</f>
        <v/>
      </c>
    </row>
    <row r="191" spans="1:26" x14ac:dyDescent="0.15">
      <c r="A191" s="39" t="str">
        <f>IF([8]道具信息!A191="","",[8]道具信息!A191)</f>
        <v/>
      </c>
      <c r="B191" s="39" t="str">
        <f>IF([8]道具信息!B191="","",[8]道具信息!B191)</f>
        <v/>
      </c>
      <c r="C191" s="39" t="str">
        <f>IF([8]道具信息!C191="","",[8]道具信息!C191)</f>
        <v/>
      </c>
      <c r="D191" s="39" t="str">
        <f>IF([8]道具信息!D191="","",[8]道具信息!D191)</f>
        <v>1级随机宝石</v>
      </c>
      <c r="E191" s="39">
        <f>IF([8]道具信息!E191="","",[8]道具信息!E191)</f>
        <v>1</v>
      </c>
      <c r="F191" s="39">
        <f>IF([8]道具信息!F191="","",[8]道具信息!F191)</f>
        <v>1</v>
      </c>
      <c r="G191" s="39">
        <f>IF([8]道具信息!G191="","",[8]道具信息!G191)</f>
        <v>1</v>
      </c>
      <c r="H191" s="39">
        <f>IF([8]道具信息!H191="","",[8]道具信息!H191)</f>
        <v>1</v>
      </c>
      <c r="I191" s="39">
        <f>IF([8]道具信息!I191="","",[8]道具信息!I191)</f>
        <v>1</v>
      </c>
      <c r="J191" s="39">
        <f>IF([8]道具信息!J191="","",[8]道具信息!J191)</f>
        <v>1</v>
      </c>
      <c r="K191" s="39">
        <f>IF([8]道具信息!K191="","",[8]道具信息!K191)</f>
        <v>1</v>
      </c>
      <c r="L191" s="39" t="str">
        <f>IF([8]道具信息!L191="","",[8]道具信息!L191)</f>
        <v/>
      </c>
      <c r="M191" s="39" t="str">
        <f>IF([8]道具信息!M191="","",[8]道具信息!M191)</f>
        <v/>
      </c>
      <c r="N191" s="39" t="str">
        <f>IF([8]道具信息!N191="","",[8]道具信息!N191)</f>
        <v/>
      </c>
      <c r="O191" s="39" t="str">
        <f>IF([8]道具信息!O191="","",[8]道具信息!O191)</f>
        <v/>
      </c>
      <c r="P191" s="39" t="str">
        <f>IF([8]道具信息!P191="","",[8]道具信息!P191)</f>
        <v/>
      </c>
      <c r="Q191" s="39" t="str">
        <f>IF([8]道具信息!Q191="","",[8]道具信息!Q191)</f>
        <v/>
      </c>
      <c r="R191" s="39" t="str">
        <f>IF([8]道具信息!R191="","",[8]道具信息!R191)</f>
        <v/>
      </c>
      <c r="S191" s="39" t="str">
        <f>IF([8]道具信息!S191="","",[8]道具信息!S191)</f>
        <v/>
      </c>
      <c r="T191" s="39" t="str">
        <f>IF([8]道具信息!T191="","",[8]道具信息!T191)</f>
        <v/>
      </c>
      <c r="U191" s="39" t="str">
        <f>IF([8]道具信息!U191="","",[8]道具信息!U191)</f>
        <v/>
      </c>
      <c r="V191" s="39" t="str">
        <f>IF([8]道具信息!V191="","",[8]道具信息!V191)</f>
        <v/>
      </c>
      <c r="W191" s="39" t="str">
        <f>IF([8]道具信息!W191="","",[8]道具信息!W191)</f>
        <v/>
      </c>
      <c r="X191" s="39" t="str">
        <f>IF([8]道具信息!X191="","",[8]道具信息!X191)</f>
        <v/>
      </c>
      <c r="Y191" s="39" t="str">
        <f>IF([8]道具信息!Y191="","",[8]道具信息!Y191)</f>
        <v/>
      </c>
      <c r="Z191" s="39" t="str">
        <f>IF([8]道具信息!Z191="","",[8]道具信息!Z191)</f>
        <v/>
      </c>
    </row>
    <row r="192" spans="1:26" x14ac:dyDescent="0.15">
      <c r="A192" s="39" t="str">
        <f>IF([8]道具信息!A192="","",[8]道具信息!A192)</f>
        <v/>
      </c>
      <c r="B192" s="39" t="str">
        <f>IF([8]道具信息!B192="","",[8]道具信息!B192)</f>
        <v/>
      </c>
      <c r="C192" s="39" t="str">
        <f>IF([8]道具信息!C192="","",[8]道具信息!C192)</f>
        <v/>
      </c>
      <c r="D192" s="39" t="str">
        <f>IF([8]道具信息!D192="","",[8]道具信息!D192)</f>
        <v>2级随机宝石</v>
      </c>
      <c r="E192" s="39">
        <f>IF([8]道具信息!E192="","",[8]道具信息!E192)</f>
        <v>6</v>
      </c>
      <c r="F192" s="39">
        <f>IF([8]道具信息!F192="","",[8]道具信息!F192)</f>
        <v>1</v>
      </c>
      <c r="G192" s="39">
        <f>IF([8]道具信息!G192="","",[8]道具信息!G192)</f>
        <v>1</v>
      </c>
      <c r="H192" s="39">
        <f>IF([8]道具信息!H192="","",[8]道具信息!H192)</f>
        <v>1</v>
      </c>
      <c r="I192" s="39">
        <f>IF([8]道具信息!I192="","",[8]道具信息!I192)</f>
        <v>6</v>
      </c>
      <c r="J192" s="39">
        <f>IF([8]道具信息!J192="","",[8]道具信息!J192)</f>
        <v>6</v>
      </c>
      <c r="K192" s="39">
        <f>IF([8]道具信息!K192="","",[8]道具信息!K192)</f>
        <v>6</v>
      </c>
      <c r="L192" s="39" t="str">
        <f>IF([8]道具信息!L192="","",[8]道具信息!L192)</f>
        <v/>
      </c>
      <c r="M192" s="39" t="str">
        <f>IF([8]道具信息!M192="","",[8]道具信息!M192)</f>
        <v/>
      </c>
      <c r="N192" s="39" t="str">
        <f>IF([8]道具信息!N192="","",[8]道具信息!N192)</f>
        <v/>
      </c>
      <c r="O192" s="39" t="str">
        <f>IF([8]道具信息!O192="","",[8]道具信息!O192)</f>
        <v/>
      </c>
      <c r="P192" s="39" t="str">
        <f>IF([8]道具信息!P192="","",[8]道具信息!P192)</f>
        <v/>
      </c>
      <c r="Q192" s="39" t="str">
        <f>IF([8]道具信息!Q192="","",[8]道具信息!Q192)</f>
        <v/>
      </c>
      <c r="R192" s="39" t="str">
        <f>IF([8]道具信息!R192="","",[8]道具信息!R192)</f>
        <v/>
      </c>
      <c r="S192" s="39" t="str">
        <f>IF([8]道具信息!S192="","",[8]道具信息!S192)</f>
        <v/>
      </c>
      <c r="T192" s="39" t="str">
        <f>IF([8]道具信息!T192="","",[8]道具信息!T192)</f>
        <v/>
      </c>
      <c r="U192" s="39" t="str">
        <f>IF([8]道具信息!U192="","",[8]道具信息!U192)</f>
        <v/>
      </c>
      <c r="V192" s="39" t="str">
        <f>IF([8]道具信息!V192="","",[8]道具信息!V192)</f>
        <v/>
      </c>
      <c r="W192" s="39" t="str">
        <f>IF([8]道具信息!W192="","",[8]道具信息!W192)</f>
        <v/>
      </c>
      <c r="X192" s="39" t="str">
        <f>IF([8]道具信息!X192="","",[8]道具信息!X192)</f>
        <v/>
      </c>
      <c r="Y192" s="39" t="str">
        <f>IF([8]道具信息!Y192="","",[8]道具信息!Y192)</f>
        <v/>
      </c>
      <c r="Z192" s="39" t="str">
        <f>IF([8]道具信息!Z192="","",[8]道具信息!Z192)</f>
        <v/>
      </c>
    </row>
    <row r="193" spans="1:26" x14ac:dyDescent="0.15">
      <c r="A193" s="39" t="str">
        <f>IF([8]道具信息!A193="","",[8]道具信息!A193)</f>
        <v/>
      </c>
      <c r="B193" s="39" t="str">
        <f>IF([8]道具信息!B193="","",[8]道具信息!B193)</f>
        <v/>
      </c>
      <c r="C193" s="39" t="str">
        <f>IF([8]道具信息!C193="","",[8]道具信息!C193)</f>
        <v/>
      </c>
      <c r="D193" s="39" t="str">
        <f>IF([8]道具信息!D193="","",[8]道具信息!D193)</f>
        <v>3级随机宝石</v>
      </c>
      <c r="E193" s="39">
        <f>IF([8]道具信息!E193="","",[8]道具信息!E193)</f>
        <v>27</v>
      </c>
      <c r="F193" s="39">
        <f>IF([8]道具信息!F193="","",[8]道具信息!F193)</f>
        <v>1</v>
      </c>
      <c r="G193" s="39">
        <f>IF([8]道具信息!G193="","",[8]道具信息!G193)</f>
        <v>1</v>
      </c>
      <c r="H193" s="39">
        <f>IF([8]道具信息!H193="","",[8]道具信息!H193)</f>
        <v>1</v>
      </c>
      <c r="I193" s="39">
        <f>IF([8]道具信息!I193="","",[8]道具信息!I193)</f>
        <v>27</v>
      </c>
      <c r="J193" s="39">
        <f>IF([8]道具信息!J193="","",[8]道具信息!J193)</f>
        <v>27</v>
      </c>
      <c r="K193" s="39">
        <f>IF([8]道具信息!K193="","",[8]道具信息!K193)</f>
        <v>27</v>
      </c>
      <c r="L193" s="39" t="str">
        <f>IF([8]道具信息!L193="","",[8]道具信息!L193)</f>
        <v/>
      </c>
      <c r="M193" s="39" t="str">
        <f>IF([8]道具信息!M193="","",[8]道具信息!M193)</f>
        <v/>
      </c>
      <c r="N193" s="39" t="str">
        <f>IF([8]道具信息!N193="","",[8]道具信息!N193)</f>
        <v/>
      </c>
      <c r="O193" s="39" t="str">
        <f>IF([8]道具信息!O193="","",[8]道具信息!O193)</f>
        <v/>
      </c>
      <c r="P193" s="39" t="str">
        <f>IF([8]道具信息!P193="","",[8]道具信息!P193)</f>
        <v/>
      </c>
      <c r="Q193" s="39" t="str">
        <f>IF([8]道具信息!Q193="","",[8]道具信息!Q193)</f>
        <v/>
      </c>
      <c r="R193" s="39" t="str">
        <f>IF([8]道具信息!R193="","",[8]道具信息!R193)</f>
        <v/>
      </c>
      <c r="S193" s="39" t="str">
        <f>IF([8]道具信息!S193="","",[8]道具信息!S193)</f>
        <v/>
      </c>
      <c r="T193" s="39" t="str">
        <f>IF([8]道具信息!T193="","",[8]道具信息!T193)</f>
        <v/>
      </c>
      <c r="U193" s="39" t="str">
        <f>IF([8]道具信息!U193="","",[8]道具信息!U193)</f>
        <v/>
      </c>
      <c r="V193" s="39" t="str">
        <f>IF([8]道具信息!V193="","",[8]道具信息!V193)</f>
        <v/>
      </c>
      <c r="W193" s="39" t="str">
        <f>IF([8]道具信息!W193="","",[8]道具信息!W193)</f>
        <v/>
      </c>
      <c r="X193" s="39" t="str">
        <f>IF([8]道具信息!X193="","",[8]道具信息!X193)</f>
        <v/>
      </c>
      <c r="Y193" s="39" t="str">
        <f>IF([8]道具信息!Y193="","",[8]道具信息!Y193)</f>
        <v/>
      </c>
      <c r="Z193" s="39" t="str">
        <f>IF([8]道具信息!Z193="","",[8]道具信息!Z193)</f>
        <v/>
      </c>
    </row>
    <row r="194" spans="1:26" x14ac:dyDescent="0.15">
      <c r="A194" s="39" t="str">
        <f>IF([8]道具信息!A194="","",[8]道具信息!A194)</f>
        <v/>
      </c>
      <c r="B194" s="39" t="str">
        <f>IF([8]道具信息!B194="","",[8]道具信息!B194)</f>
        <v/>
      </c>
      <c r="C194" s="39" t="str">
        <f>IF([8]道具信息!C194="","",[8]道具信息!C194)</f>
        <v/>
      </c>
      <c r="D194" s="39" t="str">
        <f>IF([8]道具信息!D194="","",[8]道具信息!D194)</f>
        <v>4级随机宝石</v>
      </c>
      <c r="E194" s="39">
        <f>IF([8]道具信息!E194="","",[8]道具信息!E194)</f>
        <v>100</v>
      </c>
      <c r="F194" s="39">
        <f>IF([8]道具信息!F194="","",[8]道具信息!F194)</f>
        <v>1</v>
      </c>
      <c r="G194" s="39">
        <f>IF([8]道具信息!G194="","",[8]道具信息!G194)</f>
        <v>1</v>
      </c>
      <c r="H194" s="39">
        <f>IF([8]道具信息!H194="","",[8]道具信息!H194)</f>
        <v>1</v>
      </c>
      <c r="I194" s="39">
        <f>IF([8]道具信息!I194="","",[8]道具信息!I194)</f>
        <v>100</v>
      </c>
      <c r="J194" s="39">
        <f>IF([8]道具信息!J194="","",[8]道具信息!J194)</f>
        <v>100</v>
      </c>
      <c r="K194" s="39">
        <f>IF([8]道具信息!K194="","",[8]道具信息!K194)</f>
        <v>100</v>
      </c>
      <c r="L194" s="39" t="str">
        <f>IF([8]道具信息!L194="","",[8]道具信息!L194)</f>
        <v/>
      </c>
      <c r="M194" s="39" t="str">
        <f>IF([8]道具信息!M194="","",[8]道具信息!M194)</f>
        <v/>
      </c>
      <c r="N194" s="39" t="str">
        <f>IF([8]道具信息!N194="","",[8]道具信息!N194)</f>
        <v/>
      </c>
      <c r="O194" s="39" t="str">
        <f>IF([8]道具信息!O194="","",[8]道具信息!O194)</f>
        <v/>
      </c>
      <c r="P194" s="39" t="str">
        <f>IF([8]道具信息!P194="","",[8]道具信息!P194)</f>
        <v/>
      </c>
      <c r="Q194" s="39" t="str">
        <f>IF([8]道具信息!Q194="","",[8]道具信息!Q194)</f>
        <v/>
      </c>
      <c r="R194" s="39" t="str">
        <f>IF([8]道具信息!R194="","",[8]道具信息!R194)</f>
        <v/>
      </c>
      <c r="S194" s="39" t="str">
        <f>IF([8]道具信息!S194="","",[8]道具信息!S194)</f>
        <v/>
      </c>
      <c r="T194" s="39" t="str">
        <f>IF([8]道具信息!T194="","",[8]道具信息!T194)</f>
        <v/>
      </c>
      <c r="U194" s="39" t="str">
        <f>IF([8]道具信息!U194="","",[8]道具信息!U194)</f>
        <v/>
      </c>
      <c r="V194" s="39" t="str">
        <f>IF([8]道具信息!V194="","",[8]道具信息!V194)</f>
        <v/>
      </c>
      <c r="W194" s="39" t="str">
        <f>IF([8]道具信息!W194="","",[8]道具信息!W194)</f>
        <v/>
      </c>
      <c r="X194" s="39" t="str">
        <f>IF([8]道具信息!X194="","",[8]道具信息!X194)</f>
        <v/>
      </c>
      <c r="Y194" s="39" t="str">
        <f>IF([8]道具信息!Y194="","",[8]道具信息!Y194)</f>
        <v/>
      </c>
      <c r="Z194" s="39" t="str">
        <f>IF([8]道具信息!Z194="","",[8]道具信息!Z194)</f>
        <v/>
      </c>
    </row>
    <row r="195" spans="1:26" x14ac:dyDescent="0.15">
      <c r="A195" s="39" t="str">
        <f>IF([8]道具信息!A195="","",[8]道具信息!A195)</f>
        <v/>
      </c>
      <c r="B195" s="39" t="str">
        <f>IF([8]道具信息!B195="","",[8]道具信息!B195)</f>
        <v/>
      </c>
      <c r="C195" s="39" t="str">
        <f>IF([8]道具信息!C195="","",[8]道具信息!C195)</f>
        <v/>
      </c>
      <c r="D195" s="39" t="str">
        <f>IF([8]道具信息!D195="","",[8]道具信息!D195)</f>
        <v>5级随机宝石</v>
      </c>
      <c r="E195" s="39">
        <f>IF([8]道具信息!E195="","",[8]道具信息!E195)</f>
        <v>400</v>
      </c>
      <c r="F195" s="39">
        <f>IF([8]道具信息!F195="","",[8]道具信息!F195)</f>
        <v>1</v>
      </c>
      <c r="G195" s="39">
        <f>IF([8]道具信息!G195="","",[8]道具信息!G195)</f>
        <v>1</v>
      </c>
      <c r="H195" s="39">
        <f>IF([8]道具信息!H195="","",[8]道具信息!H195)</f>
        <v>1</v>
      </c>
      <c r="I195" s="39">
        <f>IF([8]道具信息!I195="","",[8]道具信息!I195)</f>
        <v>400</v>
      </c>
      <c r="J195" s="39">
        <f>IF([8]道具信息!J195="","",[8]道具信息!J195)</f>
        <v>400</v>
      </c>
      <c r="K195" s="39">
        <f>IF([8]道具信息!K195="","",[8]道具信息!K195)</f>
        <v>400</v>
      </c>
      <c r="L195" s="39" t="str">
        <f>IF([8]道具信息!L195="","",[8]道具信息!L195)</f>
        <v/>
      </c>
      <c r="M195" s="39" t="str">
        <f>IF([8]道具信息!M195="","",[8]道具信息!M195)</f>
        <v/>
      </c>
      <c r="N195" s="39" t="str">
        <f>IF([8]道具信息!N195="","",[8]道具信息!N195)</f>
        <v/>
      </c>
      <c r="O195" s="39" t="str">
        <f>IF([8]道具信息!O195="","",[8]道具信息!O195)</f>
        <v/>
      </c>
      <c r="P195" s="39" t="str">
        <f>IF([8]道具信息!P195="","",[8]道具信息!P195)</f>
        <v/>
      </c>
      <c r="Q195" s="39" t="str">
        <f>IF([8]道具信息!Q195="","",[8]道具信息!Q195)</f>
        <v/>
      </c>
      <c r="R195" s="39" t="str">
        <f>IF([8]道具信息!R195="","",[8]道具信息!R195)</f>
        <v/>
      </c>
      <c r="S195" s="39" t="str">
        <f>IF([8]道具信息!S195="","",[8]道具信息!S195)</f>
        <v/>
      </c>
      <c r="T195" s="39" t="str">
        <f>IF([8]道具信息!T195="","",[8]道具信息!T195)</f>
        <v/>
      </c>
      <c r="U195" s="39" t="str">
        <f>IF([8]道具信息!U195="","",[8]道具信息!U195)</f>
        <v/>
      </c>
      <c r="V195" s="39" t="str">
        <f>IF([8]道具信息!V195="","",[8]道具信息!V195)</f>
        <v/>
      </c>
      <c r="W195" s="39" t="str">
        <f>IF([8]道具信息!W195="","",[8]道具信息!W195)</f>
        <v/>
      </c>
      <c r="X195" s="39" t="str">
        <f>IF([8]道具信息!X195="","",[8]道具信息!X195)</f>
        <v/>
      </c>
      <c r="Y195" s="39" t="str">
        <f>IF([8]道具信息!Y195="","",[8]道具信息!Y195)</f>
        <v/>
      </c>
      <c r="Z195" s="39" t="str">
        <f>IF([8]道具信息!Z195="","",[8]道具信息!Z195)</f>
        <v/>
      </c>
    </row>
    <row r="196" spans="1:26" x14ac:dyDescent="0.15">
      <c r="A196" s="39" t="str">
        <f>IF([8]道具信息!A196="","",[8]道具信息!A196)</f>
        <v/>
      </c>
      <c r="B196" s="39" t="str">
        <f>IF([8]道具信息!B196="","",[8]道具信息!B196)</f>
        <v/>
      </c>
      <c r="C196" s="39" t="str">
        <f>IF([8]道具信息!C196="","",[8]道具信息!C196)</f>
        <v/>
      </c>
      <c r="D196" s="39" t="str">
        <f>IF([8]道具信息!D196="","",[8]道具信息!D196)</f>
        <v>6级随机宝石</v>
      </c>
      <c r="E196" s="39">
        <f>IF([8]道具信息!E196="","",[8]道具信息!E196)</f>
        <v>1500</v>
      </c>
      <c r="F196" s="39">
        <f>IF([8]道具信息!F196="","",[8]道具信息!F196)</f>
        <v>1</v>
      </c>
      <c r="G196" s="39">
        <f>IF([8]道具信息!G196="","",[8]道具信息!G196)</f>
        <v>1</v>
      </c>
      <c r="H196" s="39">
        <f>IF([8]道具信息!H196="","",[8]道具信息!H196)</f>
        <v>1</v>
      </c>
      <c r="I196" s="39">
        <f>IF([8]道具信息!I196="","",[8]道具信息!I196)</f>
        <v>1500</v>
      </c>
      <c r="J196" s="39">
        <f>IF([8]道具信息!J196="","",[8]道具信息!J196)</f>
        <v>1500</v>
      </c>
      <c r="K196" s="39">
        <f>IF([8]道具信息!K196="","",[8]道具信息!K196)</f>
        <v>1500</v>
      </c>
      <c r="L196" s="39" t="str">
        <f>IF([8]道具信息!L196="","",[8]道具信息!L196)</f>
        <v/>
      </c>
      <c r="M196" s="39" t="str">
        <f>IF([8]道具信息!M196="","",[8]道具信息!M196)</f>
        <v/>
      </c>
      <c r="N196" s="39" t="str">
        <f>IF([8]道具信息!N196="","",[8]道具信息!N196)</f>
        <v/>
      </c>
      <c r="O196" s="39" t="str">
        <f>IF([8]道具信息!O196="","",[8]道具信息!O196)</f>
        <v/>
      </c>
      <c r="P196" s="39" t="str">
        <f>IF([8]道具信息!P196="","",[8]道具信息!P196)</f>
        <v/>
      </c>
      <c r="Q196" s="39" t="str">
        <f>IF([8]道具信息!Q196="","",[8]道具信息!Q196)</f>
        <v/>
      </c>
      <c r="R196" s="39" t="str">
        <f>IF([8]道具信息!R196="","",[8]道具信息!R196)</f>
        <v/>
      </c>
      <c r="S196" s="39" t="str">
        <f>IF([8]道具信息!S196="","",[8]道具信息!S196)</f>
        <v/>
      </c>
      <c r="T196" s="39" t="str">
        <f>IF([8]道具信息!T196="","",[8]道具信息!T196)</f>
        <v/>
      </c>
      <c r="U196" s="39" t="str">
        <f>IF([8]道具信息!U196="","",[8]道具信息!U196)</f>
        <v/>
      </c>
      <c r="V196" s="39" t="str">
        <f>IF([8]道具信息!V196="","",[8]道具信息!V196)</f>
        <v/>
      </c>
      <c r="W196" s="39" t="str">
        <f>IF([8]道具信息!W196="","",[8]道具信息!W196)</f>
        <v/>
      </c>
      <c r="X196" s="39" t="str">
        <f>IF([8]道具信息!X196="","",[8]道具信息!X196)</f>
        <v/>
      </c>
      <c r="Y196" s="39" t="str">
        <f>IF([8]道具信息!Y196="","",[8]道具信息!Y196)</f>
        <v/>
      </c>
      <c r="Z196" s="39" t="str">
        <f>IF([8]道具信息!Z196="","",[8]道具信息!Z196)</f>
        <v/>
      </c>
    </row>
    <row r="197" spans="1:26" x14ac:dyDescent="0.15">
      <c r="A197" s="39" t="str">
        <f>IF([8]道具信息!A197="","",[8]道具信息!A197)</f>
        <v/>
      </c>
      <c r="B197" s="39" t="str">
        <f>IF([8]道具信息!B197="","",[8]道具信息!B197)</f>
        <v/>
      </c>
      <c r="C197" s="39" t="str">
        <f>IF([8]道具信息!C197="","",[8]道具信息!C197)</f>
        <v/>
      </c>
      <c r="D197" s="39" t="str">
        <f>IF([8]道具信息!D197="","",[8]道具信息!D197)</f>
        <v>7级随机宝石</v>
      </c>
      <c r="E197" s="39">
        <f>IF([8]道具信息!E197="","",[8]道具信息!E197)</f>
        <v>5000</v>
      </c>
      <c r="F197" s="39">
        <f>IF([8]道具信息!F197="","",[8]道具信息!F197)</f>
        <v>1</v>
      </c>
      <c r="G197" s="39">
        <f>IF([8]道具信息!G197="","",[8]道具信息!G197)</f>
        <v>1</v>
      </c>
      <c r="H197" s="39">
        <f>IF([8]道具信息!H197="","",[8]道具信息!H197)</f>
        <v>1</v>
      </c>
      <c r="I197" s="39">
        <f>IF([8]道具信息!I197="","",[8]道具信息!I197)</f>
        <v>5000</v>
      </c>
      <c r="J197" s="39">
        <f>IF([8]道具信息!J197="","",[8]道具信息!J197)</f>
        <v>5000</v>
      </c>
      <c r="K197" s="39">
        <f>IF([8]道具信息!K197="","",[8]道具信息!K197)</f>
        <v>5000</v>
      </c>
      <c r="L197" s="39" t="str">
        <f>IF([8]道具信息!L197="","",[8]道具信息!L197)</f>
        <v/>
      </c>
      <c r="M197" s="39" t="str">
        <f>IF([8]道具信息!M197="","",[8]道具信息!M197)</f>
        <v/>
      </c>
      <c r="N197" s="39" t="str">
        <f>IF([8]道具信息!N197="","",[8]道具信息!N197)</f>
        <v/>
      </c>
      <c r="O197" s="39" t="str">
        <f>IF([8]道具信息!O197="","",[8]道具信息!O197)</f>
        <v/>
      </c>
      <c r="P197" s="39" t="str">
        <f>IF([8]道具信息!P197="","",[8]道具信息!P197)</f>
        <v/>
      </c>
      <c r="Q197" s="39" t="str">
        <f>IF([8]道具信息!Q197="","",[8]道具信息!Q197)</f>
        <v/>
      </c>
      <c r="R197" s="39" t="str">
        <f>IF([8]道具信息!R197="","",[8]道具信息!R197)</f>
        <v/>
      </c>
      <c r="S197" s="39" t="str">
        <f>IF([8]道具信息!S197="","",[8]道具信息!S197)</f>
        <v/>
      </c>
      <c r="T197" s="39" t="str">
        <f>IF([8]道具信息!T197="","",[8]道具信息!T197)</f>
        <v/>
      </c>
      <c r="U197" s="39" t="str">
        <f>IF([8]道具信息!U197="","",[8]道具信息!U197)</f>
        <v/>
      </c>
      <c r="V197" s="39" t="str">
        <f>IF([8]道具信息!V197="","",[8]道具信息!V197)</f>
        <v/>
      </c>
      <c r="W197" s="39" t="str">
        <f>IF([8]道具信息!W197="","",[8]道具信息!W197)</f>
        <v/>
      </c>
      <c r="X197" s="39" t="str">
        <f>IF([8]道具信息!X197="","",[8]道具信息!X197)</f>
        <v/>
      </c>
      <c r="Y197" s="39" t="str">
        <f>IF([8]道具信息!Y197="","",[8]道具信息!Y197)</f>
        <v/>
      </c>
      <c r="Z197" s="39" t="str">
        <f>IF([8]道具信息!Z197="","",[8]道具信息!Z197)</f>
        <v/>
      </c>
    </row>
    <row r="198" spans="1:26" x14ac:dyDescent="0.15">
      <c r="A198" s="39" t="str">
        <f>IF([8]道具信息!A198="","",[8]道具信息!A198)</f>
        <v/>
      </c>
      <c r="B198" s="39" t="str">
        <f>IF([8]道具信息!B198="","",[8]道具信息!B198)</f>
        <v/>
      </c>
      <c r="C198" s="39" t="str">
        <f>IF([8]道具信息!C198="","",[8]道具信息!C198)</f>
        <v/>
      </c>
      <c r="D198" s="39" t="str">
        <f>IF([8]道具信息!D198="","",[8]道具信息!D198)</f>
        <v>8级随机宝石</v>
      </c>
      <c r="E198" s="39">
        <f>IF([8]道具信息!E198="","",[8]道具信息!E198)</f>
        <v>18000</v>
      </c>
      <c r="F198" s="39">
        <f>IF([8]道具信息!F198="","",[8]道具信息!F198)</f>
        <v>1</v>
      </c>
      <c r="G198" s="39">
        <f>IF([8]道具信息!G198="","",[8]道具信息!G198)</f>
        <v>1</v>
      </c>
      <c r="H198" s="39">
        <f>IF([8]道具信息!H198="","",[8]道具信息!H198)</f>
        <v>1</v>
      </c>
      <c r="I198" s="39">
        <f>IF([8]道具信息!I198="","",[8]道具信息!I198)</f>
        <v>18000</v>
      </c>
      <c r="J198" s="39">
        <f>IF([8]道具信息!J198="","",[8]道具信息!J198)</f>
        <v>18000</v>
      </c>
      <c r="K198" s="39">
        <f>IF([8]道具信息!K198="","",[8]道具信息!K198)</f>
        <v>18000</v>
      </c>
      <c r="L198" s="39" t="str">
        <f>IF([8]道具信息!L198="","",[8]道具信息!L198)</f>
        <v/>
      </c>
      <c r="M198" s="39" t="str">
        <f>IF([8]道具信息!M198="","",[8]道具信息!M198)</f>
        <v/>
      </c>
      <c r="N198" s="39" t="str">
        <f>IF([8]道具信息!N198="","",[8]道具信息!N198)</f>
        <v/>
      </c>
      <c r="O198" s="39" t="str">
        <f>IF([8]道具信息!O198="","",[8]道具信息!O198)</f>
        <v/>
      </c>
      <c r="P198" s="39" t="str">
        <f>IF([8]道具信息!P198="","",[8]道具信息!P198)</f>
        <v/>
      </c>
      <c r="Q198" s="39" t="str">
        <f>IF([8]道具信息!Q198="","",[8]道具信息!Q198)</f>
        <v/>
      </c>
      <c r="R198" s="39" t="str">
        <f>IF([8]道具信息!R198="","",[8]道具信息!R198)</f>
        <v/>
      </c>
      <c r="S198" s="39" t="str">
        <f>IF([8]道具信息!S198="","",[8]道具信息!S198)</f>
        <v/>
      </c>
      <c r="T198" s="39" t="str">
        <f>IF([8]道具信息!T198="","",[8]道具信息!T198)</f>
        <v/>
      </c>
      <c r="U198" s="39" t="str">
        <f>IF([8]道具信息!U198="","",[8]道具信息!U198)</f>
        <v/>
      </c>
      <c r="V198" s="39" t="str">
        <f>IF([8]道具信息!V198="","",[8]道具信息!V198)</f>
        <v/>
      </c>
      <c r="W198" s="39" t="str">
        <f>IF([8]道具信息!W198="","",[8]道具信息!W198)</f>
        <v/>
      </c>
      <c r="X198" s="39" t="str">
        <f>IF([8]道具信息!X198="","",[8]道具信息!X198)</f>
        <v/>
      </c>
      <c r="Y198" s="39" t="str">
        <f>IF([8]道具信息!Y198="","",[8]道具信息!Y198)</f>
        <v/>
      </c>
      <c r="Z198" s="39" t="str">
        <f>IF([8]道具信息!Z198="","",[8]道具信息!Z198)</f>
        <v/>
      </c>
    </row>
    <row r="199" spans="1:26" x14ac:dyDescent="0.15">
      <c r="A199" s="39" t="str">
        <f>IF([8]道具信息!A199="","",[8]道具信息!A199)</f>
        <v/>
      </c>
      <c r="B199" s="39" t="str">
        <f>IF([8]道具信息!B199="","",[8]道具信息!B199)</f>
        <v/>
      </c>
      <c r="C199" s="39" t="str">
        <f>IF([8]道具信息!C199="","",[8]道具信息!C199)</f>
        <v/>
      </c>
      <c r="D199" s="39" t="str">
        <f>IF([8]道具信息!D199="","",[8]道具信息!D199)</f>
        <v>9级随机宝石</v>
      </c>
      <c r="E199" s="39">
        <f>IF([8]道具信息!E199="","",[8]道具信息!E199)</f>
        <v>60000</v>
      </c>
      <c r="F199" s="39">
        <f>IF([8]道具信息!F199="","",[8]道具信息!F199)</f>
        <v>1</v>
      </c>
      <c r="G199" s="39">
        <f>IF([8]道具信息!G199="","",[8]道具信息!G199)</f>
        <v>1</v>
      </c>
      <c r="H199" s="39">
        <f>IF([8]道具信息!H199="","",[8]道具信息!H199)</f>
        <v>1</v>
      </c>
      <c r="I199" s="39">
        <f>IF([8]道具信息!I199="","",[8]道具信息!I199)</f>
        <v>60000</v>
      </c>
      <c r="J199" s="39">
        <f>IF([8]道具信息!J199="","",[8]道具信息!J199)</f>
        <v>60000</v>
      </c>
      <c r="K199" s="39">
        <f>IF([8]道具信息!K199="","",[8]道具信息!K199)</f>
        <v>60000</v>
      </c>
      <c r="L199" s="39" t="str">
        <f>IF([8]道具信息!L199="","",[8]道具信息!L199)</f>
        <v/>
      </c>
      <c r="M199" s="39" t="str">
        <f>IF([8]道具信息!M199="","",[8]道具信息!M199)</f>
        <v/>
      </c>
      <c r="N199" s="39" t="str">
        <f>IF([8]道具信息!N199="","",[8]道具信息!N199)</f>
        <v/>
      </c>
      <c r="O199" s="39" t="str">
        <f>IF([8]道具信息!O199="","",[8]道具信息!O199)</f>
        <v/>
      </c>
      <c r="P199" s="39" t="str">
        <f>IF([8]道具信息!P199="","",[8]道具信息!P199)</f>
        <v/>
      </c>
      <c r="Q199" s="39" t="str">
        <f>IF([8]道具信息!Q199="","",[8]道具信息!Q199)</f>
        <v/>
      </c>
      <c r="R199" s="39" t="str">
        <f>IF([8]道具信息!R199="","",[8]道具信息!R199)</f>
        <v/>
      </c>
      <c r="S199" s="39" t="str">
        <f>IF([8]道具信息!S199="","",[8]道具信息!S199)</f>
        <v/>
      </c>
      <c r="T199" s="39" t="str">
        <f>IF([8]道具信息!T199="","",[8]道具信息!T199)</f>
        <v/>
      </c>
      <c r="U199" s="39" t="str">
        <f>IF([8]道具信息!U199="","",[8]道具信息!U199)</f>
        <v/>
      </c>
      <c r="V199" s="39" t="str">
        <f>IF([8]道具信息!V199="","",[8]道具信息!V199)</f>
        <v/>
      </c>
      <c r="W199" s="39" t="str">
        <f>IF([8]道具信息!W199="","",[8]道具信息!W199)</f>
        <v/>
      </c>
      <c r="X199" s="39" t="str">
        <f>IF([8]道具信息!X199="","",[8]道具信息!X199)</f>
        <v/>
      </c>
      <c r="Y199" s="39" t="str">
        <f>IF([8]道具信息!Y199="","",[8]道具信息!Y199)</f>
        <v/>
      </c>
      <c r="Z199" s="39" t="str">
        <f>IF([8]道具信息!Z199="","",[8]道具信息!Z199)</f>
        <v/>
      </c>
    </row>
    <row r="200" spans="1:26" x14ac:dyDescent="0.15">
      <c r="A200" s="39" t="str">
        <f>IF([8]道具信息!A200="","",[8]道具信息!A200)</f>
        <v/>
      </c>
      <c r="B200" s="39" t="str">
        <f>IF([8]道具信息!B200="","",[8]道具信息!B200)</f>
        <v/>
      </c>
      <c r="C200" s="39" t="str">
        <f>IF([8]道具信息!C200="","",[8]道具信息!C200)</f>
        <v/>
      </c>
      <c r="D200" s="39" t="str">
        <f>IF([8]道具信息!D200="","",[8]道具信息!D200)</f>
        <v>10级随机宝石</v>
      </c>
      <c r="E200" s="39">
        <f>IF([8]道具信息!E200="","",[8]道具信息!E200)</f>
        <v>180000</v>
      </c>
      <c r="F200" s="39">
        <f>IF([8]道具信息!F200="","",[8]道具信息!F200)</f>
        <v>1</v>
      </c>
      <c r="G200" s="39">
        <f>IF([8]道具信息!G200="","",[8]道具信息!G200)</f>
        <v>1</v>
      </c>
      <c r="H200" s="39">
        <f>IF([8]道具信息!H200="","",[8]道具信息!H200)</f>
        <v>1</v>
      </c>
      <c r="I200" s="39">
        <f>IF([8]道具信息!I200="","",[8]道具信息!I200)</f>
        <v>180000</v>
      </c>
      <c r="J200" s="39">
        <f>IF([8]道具信息!J200="","",[8]道具信息!J200)</f>
        <v>180000</v>
      </c>
      <c r="K200" s="39">
        <f>IF([8]道具信息!K200="","",[8]道具信息!K200)</f>
        <v>180000</v>
      </c>
      <c r="L200" s="39" t="str">
        <f>IF([8]道具信息!L200="","",[8]道具信息!L200)</f>
        <v/>
      </c>
      <c r="M200" s="39" t="str">
        <f>IF([8]道具信息!M200="","",[8]道具信息!M200)</f>
        <v/>
      </c>
      <c r="N200" s="39" t="str">
        <f>IF([8]道具信息!N200="","",[8]道具信息!N200)</f>
        <v/>
      </c>
      <c r="O200" s="39" t="str">
        <f>IF([8]道具信息!O200="","",[8]道具信息!O200)</f>
        <v/>
      </c>
      <c r="P200" s="39" t="str">
        <f>IF([8]道具信息!P200="","",[8]道具信息!P200)</f>
        <v/>
      </c>
      <c r="Q200" s="39" t="str">
        <f>IF([8]道具信息!Q200="","",[8]道具信息!Q200)</f>
        <v/>
      </c>
      <c r="R200" s="39" t="str">
        <f>IF([8]道具信息!R200="","",[8]道具信息!R200)</f>
        <v/>
      </c>
      <c r="S200" s="39" t="str">
        <f>IF([8]道具信息!S200="","",[8]道具信息!S200)</f>
        <v/>
      </c>
      <c r="T200" s="39" t="str">
        <f>IF([8]道具信息!T200="","",[8]道具信息!T200)</f>
        <v/>
      </c>
      <c r="U200" s="39" t="str">
        <f>IF([8]道具信息!U200="","",[8]道具信息!U200)</f>
        <v/>
      </c>
      <c r="V200" s="39" t="str">
        <f>IF([8]道具信息!V200="","",[8]道具信息!V200)</f>
        <v/>
      </c>
      <c r="W200" s="39" t="str">
        <f>IF([8]道具信息!W200="","",[8]道具信息!W200)</f>
        <v/>
      </c>
      <c r="X200" s="39" t="str">
        <f>IF([8]道具信息!X200="","",[8]道具信息!X200)</f>
        <v/>
      </c>
      <c r="Y200" s="39" t="str">
        <f>IF([8]道具信息!Y200="","",[8]道具信息!Y200)</f>
        <v/>
      </c>
      <c r="Z200" s="39" t="str">
        <f>IF([8]道具信息!Z200="","",[8]道具信息!Z200)</f>
        <v/>
      </c>
    </row>
    <row r="201" spans="1:26" x14ac:dyDescent="0.15">
      <c r="A201" s="39" t="str">
        <f>IF([8]道具信息!A201="","",[8]道具信息!A201)</f>
        <v/>
      </c>
      <c r="B201" s="39" t="str">
        <f>IF([8]道具信息!B201="","",[8]道具信息!B201)</f>
        <v/>
      </c>
      <c r="C201" s="39" t="str">
        <f>IF([8]道具信息!C201="","",[8]道具信息!C201)</f>
        <v/>
      </c>
      <c r="D201" s="39" t="str">
        <f>IF([8]道具信息!D201="","",[8]道具信息!D201)</f>
        <v>11级随机宝石</v>
      </c>
      <c r="E201" s="39">
        <f>IF([8]道具信息!E201="","",[8]道具信息!E201)</f>
        <v>540000</v>
      </c>
      <c r="F201" s="39">
        <f>IF([8]道具信息!F201="","",[8]道具信息!F201)</f>
        <v>1</v>
      </c>
      <c r="G201" s="39">
        <f>IF([8]道具信息!G201="","",[8]道具信息!G201)</f>
        <v>1</v>
      </c>
      <c r="H201" s="39">
        <f>IF([8]道具信息!H201="","",[8]道具信息!H201)</f>
        <v>1</v>
      </c>
      <c r="I201" s="39">
        <f>IF([8]道具信息!I201="","",[8]道具信息!I201)</f>
        <v>540000</v>
      </c>
      <c r="J201" s="39">
        <f>IF([8]道具信息!J201="","",[8]道具信息!J201)</f>
        <v>540000</v>
      </c>
      <c r="K201" s="39">
        <f>IF([8]道具信息!K201="","",[8]道具信息!K201)</f>
        <v>540000</v>
      </c>
      <c r="L201" s="39" t="str">
        <f>IF([8]道具信息!L201="","",[8]道具信息!L201)</f>
        <v/>
      </c>
      <c r="M201" s="39" t="str">
        <f>IF([8]道具信息!M201="","",[8]道具信息!M201)</f>
        <v/>
      </c>
      <c r="N201" s="39" t="str">
        <f>IF([8]道具信息!N201="","",[8]道具信息!N201)</f>
        <v/>
      </c>
      <c r="O201" s="39" t="str">
        <f>IF([8]道具信息!O201="","",[8]道具信息!O201)</f>
        <v/>
      </c>
      <c r="P201" s="39" t="str">
        <f>IF([8]道具信息!P201="","",[8]道具信息!P201)</f>
        <v/>
      </c>
      <c r="Q201" s="39" t="str">
        <f>IF([8]道具信息!Q201="","",[8]道具信息!Q201)</f>
        <v/>
      </c>
      <c r="R201" s="39" t="str">
        <f>IF([8]道具信息!R201="","",[8]道具信息!R201)</f>
        <v/>
      </c>
      <c r="S201" s="39" t="str">
        <f>IF([8]道具信息!S201="","",[8]道具信息!S201)</f>
        <v/>
      </c>
      <c r="T201" s="39" t="str">
        <f>IF([8]道具信息!T201="","",[8]道具信息!T201)</f>
        <v/>
      </c>
      <c r="U201" s="39" t="str">
        <f>IF([8]道具信息!U201="","",[8]道具信息!U201)</f>
        <v/>
      </c>
      <c r="V201" s="39" t="str">
        <f>IF([8]道具信息!V201="","",[8]道具信息!V201)</f>
        <v/>
      </c>
      <c r="W201" s="39" t="str">
        <f>IF([8]道具信息!W201="","",[8]道具信息!W201)</f>
        <v/>
      </c>
      <c r="X201" s="39" t="str">
        <f>IF([8]道具信息!X201="","",[8]道具信息!X201)</f>
        <v/>
      </c>
      <c r="Y201" s="39" t="str">
        <f>IF([8]道具信息!Y201="","",[8]道具信息!Y201)</f>
        <v/>
      </c>
      <c r="Z201" s="39" t="str">
        <f>IF([8]道具信息!Z201="","",[8]道具信息!Z201)</f>
        <v/>
      </c>
    </row>
    <row r="202" spans="1:26" x14ac:dyDescent="0.15">
      <c r="A202" s="39" t="str">
        <f>IF([8]道具信息!A202="","",[8]道具信息!A202)</f>
        <v/>
      </c>
      <c r="B202" s="39" t="str">
        <f>IF([8]道具信息!B202="","",[8]道具信息!B202)</f>
        <v/>
      </c>
      <c r="C202" s="39" t="str">
        <f>IF([8]道具信息!C202="","",[8]道具信息!C202)</f>
        <v/>
      </c>
      <c r="D202" s="39" t="str">
        <f>IF([8]道具信息!D202="","",[8]道具信息!D202)</f>
        <v>12级随机宝石</v>
      </c>
      <c r="E202" s="39">
        <f>IF([8]道具信息!E202="","",[8]道具信息!E202)</f>
        <v>1620000</v>
      </c>
      <c r="F202" s="39">
        <f>IF([8]道具信息!F202="","",[8]道具信息!F202)</f>
        <v>1</v>
      </c>
      <c r="G202" s="39">
        <f>IF([8]道具信息!G202="","",[8]道具信息!G202)</f>
        <v>1</v>
      </c>
      <c r="H202" s="39">
        <f>IF([8]道具信息!H202="","",[8]道具信息!H202)</f>
        <v>1</v>
      </c>
      <c r="I202" s="39">
        <f>IF([8]道具信息!I202="","",[8]道具信息!I202)</f>
        <v>1620000</v>
      </c>
      <c r="J202" s="39">
        <f>IF([8]道具信息!J202="","",[8]道具信息!J202)</f>
        <v>1620000</v>
      </c>
      <c r="K202" s="39">
        <f>IF([8]道具信息!K202="","",[8]道具信息!K202)</f>
        <v>1620000</v>
      </c>
      <c r="L202" s="39" t="str">
        <f>IF([8]道具信息!L202="","",[8]道具信息!L202)</f>
        <v/>
      </c>
      <c r="M202" s="39" t="str">
        <f>IF([8]道具信息!M202="","",[8]道具信息!M202)</f>
        <v/>
      </c>
      <c r="N202" s="39" t="str">
        <f>IF([8]道具信息!N202="","",[8]道具信息!N202)</f>
        <v/>
      </c>
      <c r="O202" s="39" t="str">
        <f>IF([8]道具信息!O202="","",[8]道具信息!O202)</f>
        <v/>
      </c>
      <c r="P202" s="39" t="str">
        <f>IF([8]道具信息!P202="","",[8]道具信息!P202)</f>
        <v/>
      </c>
      <c r="Q202" s="39" t="str">
        <f>IF([8]道具信息!Q202="","",[8]道具信息!Q202)</f>
        <v/>
      </c>
      <c r="R202" s="39" t="str">
        <f>IF([8]道具信息!R202="","",[8]道具信息!R202)</f>
        <v/>
      </c>
      <c r="S202" s="39" t="str">
        <f>IF([8]道具信息!S202="","",[8]道具信息!S202)</f>
        <v/>
      </c>
      <c r="T202" s="39" t="str">
        <f>IF([8]道具信息!T202="","",[8]道具信息!T202)</f>
        <v/>
      </c>
      <c r="U202" s="39" t="str">
        <f>IF([8]道具信息!U202="","",[8]道具信息!U202)</f>
        <v/>
      </c>
      <c r="V202" s="39" t="str">
        <f>IF([8]道具信息!V202="","",[8]道具信息!V202)</f>
        <v/>
      </c>
      <c r="W202" s="39" t="str">
        <f>IF([8]道具信息!W202="","",[8]道具信息!W202)</f>
        <v/>
      </c>
      <c r="X202" s="39" t="str">
        <f>IF([8]道具信息!X202="","",[8]道具信息!X202)</f>
        <v/>
      </c>
      <c r="Y202" s="39" t="str">
        <f>IF([8]道具信息!Y202="","",[8]道具信息!Y202)</f>
        <v/>
      </c>
      <c r="Z202" s="39" t="str">
        <f>IF([8]道具信息!Z202="","",[8]道具信息!Z202)</f>
        <v/>
      </c>
    </row>
    <row r="203" spans="1:26" x14ac:dyDescent="0.15">
      <c r="A203" s="39" t="str">
        <f>IF([8]道具信息!A203="","",[8]道具信息!A203)</f>
        <v/>
      </c>
      <c r="B203" s="39" t="str">
        <f>IF([8]道具信息!B203="","",[8]道具信息!B203)</f>
        <v/>
      </c>
      <c r="C203" s="39" t="str">
        <f>IF([8]道具信息!C203="","",[8]道具信息!C203)</f>
        <v/>
      </c>
      <c r="D203" s="39" t="str">
        <f>IF([8]道具信息!D203="","",[8]道具信息!D203)</f>
        <v>13级随机宝石</v>
      </c>
      <c r="E203" s="39">
        <f>IF([8]道具信息!E203="","",[8]道具信息!E203)</f>
        <v>4860000</v>
      </c>
      <c r="F203" s="39">
        <f>IF([8]道具信息!F203="","",[8]道具信息!F203)</f>
        <v>1</v>
      </c>
      <c r="G203" s="39">
        <f>IF([8]道具信息!G203="","",[8]道具信息!G203)</f>
        <v>1</v>
      </c>
      <c r="H203" s="39">
        <f>IF([8]道具信息!H203="","",[8]道具信息!H203)</f>
        <v>1</v>
      </c>
      <c r="I203" s="39">
        <f>IF([8]道具信息!I203="","",[8]道具信息!I203)</f>
        <v>4860000</v>
      </c>
      <c r="J203" s="39">
        <f>IF([8]道具信息!J203="","",[8]道具信息!J203)</f>
        <v>4860000</v>
      </c>
      <c r="K203" s="39">
        <f>IF([8]道具信息!K203="","",[8]道具信息!K203)</f>
        <v>4860000</v>
      </c>
      <c r="L203" s="39" t="str">
        <f>IF([8]道具信息!L203="","",[8]道具信息!L203)</f>
        <v/>
      </c>
      <c r="M203" s="39" t="str">
        <f>IF([8]道具信息!M203="","",[8]道具信息!M203)</f>
        <v/>
      </c>
      <c r="N203" s="39" t="str">
        <f>IF([8]道具信息!N203="","",[8]道具信息!N203)</f>
        <v/>
      </c>
      <c r="O203" s="39" t="str">
        <f>IF([8]道具信息!O203="","",[8]道具信息!O203)</f>
        <v/>
      </c>
      <c r="P203" s="39" t="str">
        <f>IF([8]道具信息!P203="","",[8]道具信息!P203)</f>
        <v/>
      </c>
      <c r="Q203" s="39" t="str">
        <f>IF([8]道具信息!Q203="","",[8]道具信息!Q203)</f>
        <v/>
      </c>
      <c r="R203" s="39" t="str">
        <f>IF([8]道具信息!R203="","",[8]道具信息!R203)</f>
        <v/>
      </c>
      <c r="S203" s="39" t="str">
        <f>IF([8]道具信息!S203="","",[8]道具信息!S203)</f>
        <v/>
      </c>
      <c r="T203" s="39" t="str">
        <f>IF([8]道具信息!T203="","",[8]道具信息!T203)</f>
        <v/>
      </c>
      <c r="U203" s="39" t="str">
        <f>IF([8]道具信息!U203="","",[8]道具信息!U203)</f>
        <v/>
      </c>
      <c r="V203" s="39" t="str">
        <f>IF([8]道具信息!V203="","",[8]道具信息!V203)</f>
        <v/>
      </c>
      <c r="W203" s="39" t="str">
        <f>IF([8]道具信息!W203="","",[8]道具信息!W203)</f>
        <v/>
      </c>
      <c r="X203" s="39" t="str">
        <f>IF([8]道具信息!X203="","",[8]道具信息!X203)</f>
        <v/>
      </c>
      <c r="Y203" s="39" t="str">
        <f>IF([8]道具信息!Y203="","",[8]道具信息!Y203)</f>
        <v/>
      </c>
      <c r="Z203" s="39" t="str">
        <f>IF([8]道具信息!Z203="","",[8]道具信息!Z203)</f>
        <v/>
      </c>
    </row>
    <row r="204" spans="1:26" x14ac:dyDescent="0.15">
      <c r="A204" s="39" t="str">
        <f>IF([8]道具信息!A204="","",[8]道具信息!A204)</f>
        <v/>
      </c>
      <c r="B204" s="39" t="str">
        <f>IF([8]道具信息!B204="","",[8]道具信息!B204)</f>
        <v/>
      </c>
      <c r="C204" s="39" t="str">
        <f>IF([8]道具信息!C204="","",[8]道具信息!C204)</f>
        <v/>
      </c>
      <c r="D204" s="39" t="str">
        <f>IF([8]道具信息!D204="","",[8]道具信息!D204)</f>
        <v>14级随机宝石</v>
      </c>
      <c r="E204" s="39">
        <f>IF([8]道具信息!E204="","",[8]道具信息!E204)</f>
        <v>14580000</v>
      </c>
      <c r="F204" s="39">
        <f>IF([8]道具信息!F204="","",[8]道具信息!F204)</f>
        <v>1</v>
      </c>
      <c r="G204" s="39">
        <f>IF([8]道具信息!G204="","",[8]道具信息!G204)</f>
        <v>1</v>
      </c>
      <c r="H204" s="39">
        <f>IF([8]道具信息!H204="","",[8]道具信息!H204)</f>
        <v>1</v>
      </c>
      <c r="I204" s="39">
        <f>IF([8]道具信息!I204="","",[8]道具信息!I204)</f>
        <v>14580000</v>
      </c>
      <c r="J204" s="39">
        <f>IF([8]道具信息!J204="","",[8]道具信息!J204)</f>
        <v>14580000</v>
      </c>
      <c r="K204" s="39">
        <f>IF([8]道具信息!K204="","",[8]道具信息!K204)</f>
        <v>14580000</v>
      </c>
      <c r="L204" s="39" t="str">
        <f>IF([8]道具信息!L204="","",[8]道具信息!L204)</f>
        <v/>
      </c>
      <c r="M204" s="39" t="str">
        <f>IF([8]道具信息!M204="","",[8]道具信息!M204)</f>
        <v/>
      </c>
      <c r="N204" s="39" t="str">
        <f>IF([8]道具信息!N204="","",[8]道具信息!N204)</f>
        <v/>
      </c>
      <c r="O204" s="39" t="str">
        <f>IF([8]道具信息!O204="","",[8]道具信息!O204)</f>
        <v/>
      </c>
      <c r="P204" s="39" t="str">
        <f>IF([8]道具信息!P204="","",[8]道具信息!P204)</f>
        <v/>
      </c>
      <c r="Q204" s="39" t="str">
        <f>IF([8]道具信息!Q204="","",[8]道具信息!Q204)</f>
        <v/>
      </c>
      <c r="R204" s="39" t="str">
        <f>IF([8]道具信息!R204="","",[8]道具信息!R204)</f>
        <v/>
      </c>
      <c r="S204" s="39" t="str">
        <f>IF([8]道具信息!S204="","",[8]道具信息!S204)</f>
        <v/>
      </c>
      <c r="T204" s="39" t="str">
        <f>IF([8]道具信息!T204="","",[8]道具信息!T204)</f>
        <v/>
      </c>
      <c r="U204" s="39" t="str">
        <f>IF([8]道具信息!U204="","",[8]道具信息!U204)</f>
        <v/>
      </c>
      <c r="V204" s="39" t="str">
        <f>IF([8]道具信息!V204="","",[8]道具信息!V204)</f>
        <v/>
      </c>
      <c r="W204" s="39" t="str">
        <f>IF([8]道具信息!W204="","",[8]道具信息!W204)</f>
        <v/>
      </c>
      <c r="X204" s="39" t="str">
        <f>IF([8]道具信息!X204="","",[8]道具信息!X204)</f>
        <v/>
      </c>
      <c r="Y204" s="39" t="str">
        <f>IF([8]道具信息!Y204="","",[8]道具信息!Y204)</f>
        <v/>
      </c>
      <c r="Z204" s="39" t="str">
        <f>IF([8]道具信息!Z204="","",[8]道具信息!Z204)</f>
        <v/>
      </c>
    </row>
    <row r="205" spans="1:26" x14ac:dyDescent="0.15">
      <c r="A205" s="39" t="str">
        <f>IF([8]道具信息!A205="","",[8]道具信息!A205)</f>
        <v/>
      </c>
      <c r="B205" s="39" t="str">
        <f>IF([8]道具信息!B205="","",[8]道具信息!B205)</f>
        <v/>
      </c>
      <c r="C205" s="39" t="str">
        <f>IF([8]道具信息!C205="","",[8]道具信息!C205)</f>
        <v/>
      </c>
      <c r="D205" s="39" t="str">
        <f>IF([8]道具信息!D205="","",[8]道具信息!D205)</f>
        <v>15级随机宝石</v>
      </c>
      <c r="E205" s="39">
        <f>IF([8]道具信息!E205="","",[8]道具信息!E205)</f>
        <v>43740000</v>
      </c>
      <c r="F205" s="39">
        <f>IF([8]道具信息!F205="","",[8]道具信息!F205)</f>
        <v>1</v>
      </c>
      <c r="G205" s="39">
        <f>IF([8]道具信息!G205="","",[8]道具信息!G205)</f>
        <v>1</v>
      </c>
      <c r="H205" s="39">
        <f>IF([8]道具信息!H205="","",[8]道具信息!H205)</f>
        <v>1</v>
      </c>
      <c r="I205" s="39">
        <f>IF([8]道具信息!I205="","",[8]道具信息!I205)</f>
        <v>43740000</v>
      </c>
      <c r="J205" s="39">
        <f>IF([8]道具信息!J205="","",[8]道具信息!J205)</f>
        <v>43740000</v>
      </c>
      <c r="K205" s="39">
        <f>IF([8]道具信息!K205="","",[8]道具信息!K205)</f>
        <v>43740000</v>
      </c>
      <c r="L205" s="39" t="str">
        <f>IF([8]道具信息!L205="","",[8]道具信息!L205)</f>
        <v/>
      </c>
      <c r="M205" s="39" t="str">
        <f>IF([8]道具信息!M205="","",[8]道具信息!M205)</f>
        <v/>
      </c>
      <c r="N205" s="39" t="str">
        <f>IF([8]道具信息!N205="","",[8]道具信息!N205)</f>
        <v/>
      </c>
      <c r="O205" s="39" t="str">
        <f>IF([8]道具信息!O205="","",[8]道具信息!O205)</f>
        <v/>
      </c>
      <c r="P205" s="39" t="str">
        <f>IF([8]道具信息!P205="","",[8]道具信息!P205)</f>
        <v/>
      </c>
      <c r="Q205" s="39" t="str">
        <f>IF([8]道具信息!Q205="","",[8]道具信息!Q205)</f>
        <v/>
      </c>
      <c r="R205" s="39" t="str">
        <f>IF([8]道具信息!R205="","",[8]道具信息!R205)</f>
        <v/>
      </c>
      <c r="S205" s="39" t="str">
        <f>IF([8]道具信息!S205="","",[8]道具信息!S205)</f>
        <v/>
      </c>
      <c r="T205" s="39" t="str">
        <f>IF([8]道具信息!T205="","",[8]道具信息!T205)</f>
        <v/>
      </c>
      <c r="U205" s="39" t="str">
        <f>IF([8]道具信息!U205="","",[8]道具信息!U205)</f>
        <v/>
      </c>
      <c r="V205" s="39" t="str">
        <f>IF([8]道具信息!V205="","",[8]道具信息!V205)</f>
        <v/>
      </c>
      <c r="W205" s="39" t="str">
        <f>IF([8]道具信息!W205="","",[8]道具信息!W205)</f>
        <v/>
      </c>
      <c r="X205" s="39" t="str">
        <f>IF([8]道具信息!X205="","",[8]道具信息!X205)</f>
        <v/>
      </c>
      <c r="Y205" s="39" t="str">
        <f>IF([8]道具信息!Y205="","",[8]道具信息!Y205)</f>
        <v/>
      </c>
      <c r="Z205" s="39" t="str">
        <f>IF([8]道具信息!Z205="","",[8]道具信息!Z205)</f>
        <v/>
      </c>
    </row>
    <row r="206" spans="1:26" x14ac:dyDescent="0.15">
      <c r="A206" s="39" t="str">
        <f>IF([8]道具信息!A206="","",[8]道具信息!A206)</f>
        <v/>
      </c>
      <c r="B206" s="39" t="str">
        <f>IF([8]道具信息!B206="","",[8]道具信息!B206)</f>
        <v/>
      </c>
      <c r="C206" s="39" t="str">
        <f>IF([8]道具信息!C206="","",[8]道具信息!C206)</f>
        <v/>
      </c>
      <c r="D206" s="39" t="str">
        <f>IF([8]道具信息!D206="","",[8]道具信息!D206)</f>
        <v/>
      </c>
      <c r="E206" s="39" t="str">
        <f>IF([8]道具信息!E206="","",[8]道具信息!E206)</f>
        <v/>
      </c>
      <c r="F206" s="39" t="str">
        <f>IF([8]道具信息!F206="","",[8]道具信息!F206)</f>
        <v/>
      </c>
      <c r="G206" s="39" t="str">
        <f>IF([8]道具信息!G206="","",[8]道具信息!G206)</f>
        <v/>
      </c>
      <c r="H206" s="39" t="str">
        <f>IF([8]道具信息!H206="","",[8]道具信息!H206)</f>
        <v/>
      </c>
      <c r="I206" s="39" t="str">
        <f>IF([8]道具信息!I206="","",[8]道具信息!I206)</f>
        <v/>
      </c>
      <c r="J206" s="39" t="str">
        <f>IF([8]道具信息!J206="","",[8]道具信息!J206)</f>
        <v/>
      </c>
      <c r="K206" s="39" t="str">
        <f>IF([8]道具信息!K206="","",[8]道具信息!K206)</f>
        <v/>
      </c>
      <c r="L206" s="39" t="str">
        <f>IF([8]道具信息!L206="","",[8]道具信息!L206)</f>
        <v/>
      </c>
      <c r="M206" s="39" t="str">
        <f>IF([8]道具信息!M206="","",[8]道具信息!M206)</f>
        <v/>
      </c>
      <c r="N206" s="39" t="str">
        <f>IF([8]道具信息!N206="","",[8]道具信息!N206)</f>
        <v/>
      </c>
      <c r="O206" s="39" t="str">
        <f>IF([8]道具信息!O206="","",[8]道具信息!O206)</f>
        <v/>
      </c>
      <c r="P206" s="39" t="str">
        <f>IF([8]道具信息!P206="","",[8]道具信息!P206)</f>
        <v/>
      </c>
      <c r="Q206" s="39" t="str">
        <f>IF([8]道具信息!Q206="","",[8]道具信息!Q206)</f>
        <v/>
      </c>
      <c r="R206" s="39" t="str">
        <f>IF([8]道具信息!R206="","",[8]道具信息!R206)</f>
        <v/>
      </c>
      <c r="S206" s="39" t="str">
        <f>IF([8]道具信息!S206="","",[8]道具信息!S206)</f>
        <v/>
      </c>
      <c r="T206" s="39" t="str">
        <f>IF([8]道具信息!T206="","",[8]道具信息!T206)</f>
        <v/>
      </c>
      <c r="U206" s="39" t="str">
        <f>IF([8]道具信息!U206="","",[8]道具信息!U206)</f>
        <v/>
      </c>
      <c r="V206" s="39" t="str">
        <f>IF([8]道具信息!V206="","",[8]道具信息!V206)</f>
        <v/>
      </c>
      <c r="W206" s="39" t="str">
        <f>IF([8]道具信息!W206="","",[8]道具信息!W206)</f>
        <v/>
      </c>
      <c r="X206" s="39" t="str">
        <f>IF([8]道具信息!X206="","",[8]道具信息!X206)</f>
        <v/>
      </c>
      <c r="Y206" s="39" t="str">
        <f>IF([8]道具信息!Y206="","",[8]道具信息!Y206)</f>
        <v/>
      </c>
      <c r="Z206" s="39" t="str">
        <f>IF([8]道具信息!Z206="","",[8]道具信息!Z206)</f>
        <v/>
      </c>
    </row>
    <row r="207" spans="1:26" x14ac:dyDescent="0.15">
      <c r="A207" s="39" t="str">
        <f>IF([8]道具信息!A207="","",[8]道具信息!A207)</f>
        <v/>
      </c>
      <c r="B207" s="39" t="str">
        <f>IF([8]道具信息!B207="","",[8]道具信息!B207)</f>
        <v/>
      </c>
      <c r="C207" s="39" t="str">
        <f>IF([8]道具信息!C207="","",[8]道具信息!C207)</f>
        <v/>
      </c>
      <c r="D207" s="39" t="str">
        <f>IF([8]道具信息!D207="","",[8]道具信息!D207)</f>
        <v>血石</v>
      </c>
      <c r="E207" s="39">
        <f>IF([8]道具信息!E207="","",[8]道具信息!E207)</f>
        <v>0.5</v>
      </c>
      <c r="F207" s="39">
        <f>IF([8]道具信息!F207="","",[8]道具信息!F207)</f>
        <v>1</v>
      </c>
      <c r="G207" s="39">
        <f>IF([8]道具信息!G207="","",[8]道具信息!G207)</f>
        <v>1</v>
      </c>
      <c r="H207" s="39">
        <f>IF([8]道具信息!H207="","",[8]道具信息!H207)</f>
        <v>1</v>
      </c>
      <c r="I207" s="39">
        <f>IF([8]道具信息!I207="","",[8]道具信息!I207)</f>
        <v>0.5</v>
      </c>
      <c r="J207" s="39">
        <f>IF([8]道具信息!J207="","",[8]道具信息!J207)</f>
        <v>0.5</v>
      </c>
      <c r="K207" s="39">
        <f>IF([8]道具信息!K207="","",[8]道具信息!K207)</f>
        <v>0.5</v>
      </c>
      <c r="L207" s="39" t="str">
        <f>IF([8]道具信息!L207="","",[8]道具信息!L207)</f>
        <v/>
      </c>
      <c r="M207" s="39" t="str">
        <f>IF([8]道具信息!M207="","",[8]道具信息!M207)</f>
        <v/>
      </c>
      <c r="N207" s="39" t="str">
        <f>IF([8]道具信息!N207="","",[8]道具信息!N207)</f>
        <v/>
      </c>
      <c r="O207" s="39" t="str">
        <f>IF([8]道具信息!O207="","",[8]道具信息!O207)</f>
        <v/>
      </c>
      <c r="P207" s="39" t="str">
        <f>IF([8]道具信息!P207="","",[8]道具信息!P207)</f>
        <v/>
      </c>
      <c r="Q207" s="39" t="str">
        <f>IF([8]道具信息!Q207="","",[8]道具信息!Q207)</f>
        <v/>
      </c>
      <c r="R207" s="39" t="str">
        <f>IF([8]道具信息!R207="","",[8]道具信息!R207)</f>
        <v/>
      </c>
      <c r="S207" s="39" t="str">
        <f>IF([8]道具信息!S207="","",[8]道具信息!S207)</f>
        <v/>
      </c>
      <c r="T207" s="39" t="str">
        <f>IF([8]道具信息!T207="","",[8]道具信息!T207)</f>
        <v/>
      </c>
      <c r="U207" s="39" t="str">
        <f>IF([8]道具信息!U207="","",[8]道具信息!U207)</f>
        <v/>
      </c>
      <c r="V207" s="39" t="str">
        <f>IF([8]道具信息!V207="","",[8]道具信息!V207)</f>
        <v/>
      </c>
      <c r="W207" s="39" t="str">
        <f>IF([8]道具信息!W207="","",[8]道具信息!W207)</f>
        <v/>
      </c>
      <c r="X207" s="39" t="str">
        <f>IF([8]道具信息!X207="","",[8]道具信息!X207)</f>
        <v/>
      </c>
      <c r="Y207" s="39" t="str">
        <f>IF([8]道具信息!Y207="","",[8]道具信息!Y207)</f>
        <v/>
      </c>
      <c r="Z207" s="39" t="str">
        <f>IF([8]道具信息!Z207="","",[8]道具信息!Z207)</f>
        <v/>
      </c>
    </row>
    <row r="208" spans="1:26" x14ac:dyDescent="0.15">
      <c r="A208" s="39" t="str">
        <f>IF([8]道具信息!A208="","",[8]道具信息!A208)</f>
        <v/>
      </c>
      <c r="B208" s="39" t="str">
        <f>IF([8]道具信息!B208="","",[8]道具信息!B208)</f>
        <v/>
      </c>
      <c r="C208" s="39" t="str">
        <f>IF([8]道具信息!C208="","",[8]道具信息!C208)</f>
        <v/>
      </c>
      <c r="D208" s="39" t="str">
        <f>IF([8]道具信息!D208="","",[8]道具信息!D208)</f>
        <v>血晶</v>
      </c>
      <c r="E208" s="39">
        <f>IF([8]道具信息!E208="","",[8]道具信息!E208)</f>
        <v>10</v>
      </c>
      <c r="F208" s="39">
        <f>IF([8]道具信息!F208="","",[8]道具信息!F208)</f>
        <v>1</v>
      </c>
      <c r="G208" s="39">
        <f>IF([8]道具信息!G208="","",[8]道具信息!G208)</f>
        <v>1</v>
      </c>
      <c r="H208" s="39">
        <f>IF([8]道具信息!H208="","",[8]道具信息!H208)</f>
        <v>1</v>
      </c>
      <c r="I208" s="39">
        <f>IF([8]道具信息!I208="","",[8]道具信息!I208)</f>
        <v>10</v>
      </c>
      <c r="J208" s="39">
        <f>IF([8]道具信息!J208="","",[8]道具信息!J208)</f>
        <v>10</v>
      </c>
      <c r="K208" s="39">
        <f>IF([8]道具信息!K208="","",[8]道具信息!K208)</f>
        <v>10</v>
      </c>
      <c r="L208" s="39" t="str">
        <f>IF([8]道具信息!L208="","",[8]道具信息!L208)</f>
        <v/>
      </c>
      <c r="M208" s="39" t="str">
        <f>IF([8]道具信息!M208="","",[8]道具信息!M208)</f>
        <v/>
      </c>
      <c r="N208" s="39" t="str">
        <f>IF([8]道具信息!N208="","",[8]道具信息!N208)</f>
        <v/>
      </c>
      <c r="O208" s="39" t="str">
        <f>IF([8]道具信息!O208="","",[8]道具信息!O208)</f>
        <v/>
      </c>
      <c r="P208" s="39" t="str">
        <f>IF([8]道具信息!P208="","",[8]道具信息!P208)</f>
        <v/>
      </c>
      <c r="Q208" s="39" t="str">
        <f>IF([8]道具信息!Q208="","",[8]道具信息!Q208)</f>
        <v/>
      </c>
      <c r="R208" s="39" t="str">
        <f>IF([8]道具信息!R208="","",[8]道具信息!R208)</f>
        <v/>
      </c>
      <c r="S208" s="39" t="str">
        <f>IF([8]道具信息!S208="","",[8]道具信息!S208)</f>
        <v/>
      </c>
      <c r="T208" s="39" t="str">
        <f>IF([8]道具信息!T208="","",[8]道具信息!T208)</f>
        <v/>
      </c>
      <c r="U208" s="39" t="str">
        <f>IF([8]道具信息!U208="","",[8]道具信息!U208)</f>
        <v/>
      </c>
      <c r="V208" s="39" t="str">
        <f>IF([8]道具信息!V208="","",[8]道具信息!V208)</f>
        <v/>
      </c>
      <c r="W208" s="39" t="str">
        <f>IF([8]道具信息!W208="","",[8]道具信息!W208)</f>
        <v/>
      </c>
      <c r="X208" s="39" t="str">
        <f>IF([8]道具信息!X208="","",[8]道具信息!X208)</f>
        <v/>
      </c>
      <c r="Y208" s="39" t="str">
        <f>IF([8]道具信息!Y208="","",[8]道具信息!Y208)</f>
        <v/>
      </c>
      <c r="Z208" s="39" t="str">
        <f>IF([8]道具信息!Z208="","",[8]道具信息!Z208)</f>
        <v/>
      </c>
    </row>
    <row r="209" spans="1:26" x14ac:dyDescent="0.15">
      <c r="A209" s="39" t="str">
        <f>IF([8]道具信息!A209="","",[8]道具信息!A209)</f>
        <v/>
      </c>
      <c r="B209" s="39" t="str">
        <f>IF([8]道具信息!B209="","",[8]道具信息!B209)</f>
        <v/>
      </c>
      <c r="C209" s="39" t="str">
        <f>IF([8]道具信息!C209="","",[8]道具信息!C209)</f>
        <v/>
      </c>
      <c r="D209" s="39" t="str">
        <f>IF([8]道具信息!D209="","",[8]道具信息!D209)</f>
        <v/>
      </c>
      <c r="E209" s="39" t="str">
        <f>IF([8]道具信息!E209="","",[8]道具信息!E209)</f>
        <v/>
      </c>
      <c r="F209" s="39" t="str">
        <f>IF([8]道具信息!F209="","",[8]道具信息!F209)</f>
        <v/>
      </c>
      <c r="G209" s="39" t="str">
        <f>IF([8]道具信息!G209="","",[8]道具信息!G209)</f>
        <v/>
      </c>
      <c r="H209" s="39" t="str">
        <f>IF([8]道具信息!H209="","",[8]道具信息!H209)</f>
        <v/>
      </c>
      <c r="I209" s="39" t="str">
        <f>IF([8]道具信息!I209="","",[8]道具信息!I209)</f>
        <v/>
      </c>
      <c r="J209" s="39" t="str">
        <f>IF([8]道具信息!J209="","",[8]道具信息!J209)</f>
        <v/>
      </c>
      <c r="K209" s="39" t="str">
        <f>IF([8]道具信息!K209="","",[8]道具信息!K209)</f>
        <v/>
      </c>
      <c r="L209" s="39" t="str">
        <f>IF([8]道具信息!L209="","",[8]道具信息!L209)</f>
        <v/>
      </c>
      <c r="M209" s="39" t="str">
        <f>IF([8]道具信息!M209="","",[8]道具信息!M209)</f>
        <v/>
      </c>
      <c r="N209" s="39" t="str">
        <f>IF([8]道具信息!N209="","",[8]道具信息!N209)</f>
        <v/>
      </c>
      <c r="O209" s="39" t="str">
        <f>IF([8]道具信息!O209="","",[8]道具信息!O209)</f>
        <v/>
      </c>
      <c r="P209" s="39" t="str">
        <f>IF([8]道具信息!P209="","",[8]道具信息!P209)</f>
        <v/>
      </c>
      <c r="Q209" s="39" t="str">
        <f>IF([8]道具信息!Q209="","",[8]道具信息!Q209)</f>
        <v/>
      </c>
      <c r="R209" s="39" t="str">
        <f>IF([8]道具信息!R209="","",[8]道具信息!R209)</f>
        <v/>
      </c>
      <c r="S209" s="39" t="str">
        <f>IF([8]道具信息!S209="","",[8]道具信息!S209)</f>
        <v/>
      </c>
      <c r="T209" s="39" t="str">
        <f>IF([8]道具信息!T209="","",[8]道具信息!T209)</f>
        <v/>
      </c>
      <c r="U209" s="39" t="str">
        <f>IF([8]道具信息!U209="","",[8]道具信息!U209)</f>
        <v/>
      </c>
      <c r="V209" s="39" t="str">
        <f>IF([8]道具信息!V209="","",[8]道具信息!V209)</f>
        <v/>
      </c>
      <c r="W209" s="39" t="str">
        <f>IF([8]道具信息!W209="","",[8]道具信息!W209)</f>
        <v/>
      </c>
      <c r="X209" s="39" t="str">
        <f>IF([8]道具信息!X209="","",[8]道具信息!X209)</f>
        <v/>
      </c>
      <c r="Y209" s="39" t="str">
        <f>IF([8]道具信息!Y209="","",[8]道具信息!Y209)</f>
        <v/>
      </c>
      <c r="Z209" s="39" t="str">
        <f>IF([8]道具信息!Z209="","",[8]道具信息!Z209)</f>
        <v/>
      </c>
    </row>
    <row r="210" spans="1:26" x14ac:dyDescent="0.15">
      <c r="A210" s="39" t="str">
        <f>IF([8]道具信息!A210="","",[8]道具信息!A210)</f>
        <v/>
      </c>
      <c r="B210" s="39" t="str">
        <f>IF([8]道具信息!B210="","",[8]道具信息!B210)</f>
        <v/>
      </c>
      <c r="C210" s="39" t="str">
        <f>IF([8]道具信息!C210="","",[8]道具信息!C210)</f>
        <v/>
      </c>
      <c r="D210" s="39" t="str">
        <f>IF([8]道具信息!D210="","",[8]道具信息!D210)</f>
        <v>蓝色提纯券</v>
      </c>
      <c r="E210" s="39">
        <f>IF([8]道具信息!E210="","",[8]道具信息!E210)</f>
        <v>100</v>
      </c>
      <c r="F210" s="39">
        <f>IF([8]道具信息!F210="","",[8]道具信息!F210)</f>
        <v>1</v>
      </c>
      <c r="G210" s="39">
        <f>IF([8]道具信息!G210="","",[8]道具信息!G210)</f>
        <v>1</v>
      </c>
      <c r="H210" s="39">
        <f>IF([8]道具信息!H210="","",[8]道具信息!H210)</f>
        <v>1</v>
      </c>
      <c r="I210" s="39">
        <f>IF([8]道具信息!I210="","",[8]道具信息!I210)</f>
        <v>100</v>
      </c>
      <c r="J210" s="39">
        <f>IF([8]道具信息!J210="","",[8]道具信息!J210)</f>
        <v>100</v>
      </c>
      <c r="K210" s="39">
        <f>IF([8]道具信息!K210="","",[8]道具信息!K210)</f>
        <v>100</v>
      </c>
      <c r="L210" s="39" t="str">
        <f>IF([8]道具信息!L210="","",[8]道具信息!L210)</f>
        <v/>
      </c>
      <c r="M210" s="39" t="str">
        <f>IF([8]道具信息!M210="","",[8]道具信息!M210)</f>
        <v/>
      </c>
      <c r="N210" s="39" t="str">
        <f>IF([8]道具信息!N210="","",[8]道具信息!N210)</f>
        <v/>
      </c>
      <c r="O210" s="39" t="str">
        <f>IF([8]道具信息!O210="","",[8]道具信息!O210)</f>
        <v/>
      </c>
      <c r="P210" s="39" t="str">
        <f>IF([8]道具信息!P210="","",[8]道具信息!P210)</f>
        <v/>
      </c>
      <c r="Q210" s="39" t="str">
        <f>IF([8]道具信息!Q210="","",[8]道具信息!Q210)</f>
        <v/>
      </c>
      <c r="R210" s="39" t="str">
        <f>IF([8]道具信息!R210="","",[8]道具信息!R210)</f>
        <v/>
      </c>
      <c r="S210" s="39" t="str">
        <f>IF([8]道具信息!S210="","",[8]道具信息!S210)</f>
        <v/>
      </c>
      <c r="T210" s="39" t="str">
        <f>IF([8]道具信息!T210="","",[8]道具信息!T210)</f>
        <v/>
      </c>
      <c r="U210" s="39" t="str">
        <f>IF([8]道具信息!U210="","",[8]道具信息!U210)</f>
        <v/>
      </c>
      <c r="V210" s="39" t="str">
        <f>IF([8]道具信息!V210="","",[8]道具信息!V210)</f>
        <v/>
      </c>
      <c r="W210" s="39" t="str">
        <f>IF([8]道具信息!W210="","",[8]道具信息!W210)</f>
        <v/>
      </c>
      <c r="X210" s="39" t="str">
        <f>IF([8]道具信息!X210="","",[8]道具信息!X210)</f>
        <v/>
      </c>
      <c r="Y210" s="39" t="str">
        <f>IF([8]道具信息!Y210="","",[8]道具信息!Y210)</f>
        <v/>
      </c>
      <c r="Z210" s="39" t="str">
        <f>IF([8]道具信息!Z210="","",[8]道具信息!Z210)</f>
        <v/>
      </c>
    </row>
    <row r="211" spans="1:26" x14ac:dyDescent="0.15">
      <c r="A211" s="39" t="str">
        <f>IF([8]道具信息!A211="","",[8]道具信息!A211)</f>
        <v/>
      </c>
      <c r="B211" s="39" t="str">
        <f>IF([8]道具信息!B211="","",[8]道具信息!B211)</f>
        <v/>
      </c>
      <c r="C211" s="39" t="str">
        <f>IF([8]道具信息!C211="","",[8]道具信息!C211)</f>
        <v/>
      </c>
      <c r="D211" s="39" t="str">
        <f>IF([8]道具信息!D211="","",[8]道具信息!D211)</f>
        <v>紫色提纯券</v>
      </c>
      <c r="E211" s="39">
        <f>IF([8]道具信息!E211="","",[8]道具信息!E211)</f>
        <v>600</v>
      </c>
      <c r="F211" s="39">
        <f>IF([8]道具信息!F211="","",[8]道具信息!F211)</f>
        <v>1</v>
      </c>
      <c r="G211" s="39">
        <f>IF([8]道具信息!G211="","",[8]道具信息!G211)</f>
        <v>1</v>
      </c>
      <c r="H211" s="39">
        <f>IF([8]道具信息!H211="","",[8]道具信息!H211)</f>
        <v>1</v>
      </c>
      <c r="I211" s="39">
        <f>IF([8]道具信息!I211="","",[8]道具信息!I211)</f>
        <v>600</v>
      </c>
      <c r="J211" s="39">
        <f>IF([8]道具信息!J211="","",[8]道具信息!J211)</f>
        <v>600</v>
      </c>
      <c r="K211" s="39">
        <f>IF([8]道具信息!K211="","",[8]道具信息!K211)</f>
        <v>600</v>
      </c>
      <c r="L211" s="39" t="str">
        <f>IF([8]道具信息!L211="","",[8]道具信息!L211)</f>
        <v/>
      </c>
      <c r="M211" s="39" t="str">
        <f>IF([8]道具信息!M211="","",[8]道具信息!M211)</f>
        <v/>
      </c>
      <c r="N211" s="39" t="str">
        <f>IF([8]道具信息!N211="","",[8]道具信息!N211)</f>
        <v/>
      </c>
      <c r="O211" s="39" t="str">
        <f>IF([8]道具信息!O211="","",[8]道具信息!O211)</f>
        <v/>
      </c>
      <c r="P211" s="39" t="str">
        <f>IF([8]道具信息!P211="","",[8]道具信息!P211)</f>
        <v/>
      </c>
      <c r="Q211" s="39" t="str">
        <f>IF([8]道具信息!Q211="","",[8]道具信息!Q211)</f>
        <v/>
      </c>
      <c r="R211" s="39" t="str">
        <f>IF([8]道具信息!R211="","",[8]道具信息!R211)</f>
        <v/>
      </c>
      <c r="S211" s="39" t="str">
        <f>IF([8]道具信息!S211="","",[8]道具信息!S211)</f>
        <v/>
      </c>
      <c r="T211" s="39" t="str">
        <f>IF([8]道具信息!T211="","",[8]道具信息!T211)</f>
        <v/>
      </c>
      <c r="U211" s="39" t="str">
        <f>IF([8]道具信息!U211="","",[8]道具信息!U211)</f>
        <v/>
      </c>
      <c r="V211" s="39" t="str">
        <f>IF([8]道具信息!V211="","",[8]道具信息!V211)</f>
        <v/>
      </c>
      <c r="W211" s="39" t="str">
        <f>IF([8]道具信息!W211="","",[8]道具信息!W211)</f>
        <v/>
      </c>
      <c r="X211" s="39" t="str">
        <f>IF([8]道具信息!X211="","",[8]道具信息!X211)</f>
        <v/>
      </c>
      <c r="Y211" s="39" t="str">
        <f>IF([8]道具信息!Y211="","",[8]道具信息!Y211)</f>
        <v/>
      </c>
      <c r="Z211" s="39" t="str">
        <f>IF([8]道具信息!Z211="","",[8]道具信息!Z211)</f>
        <v/>
      </c>
    </row>
    <row r="212" spans="1:26" x14ac:dyDescent="0.15">
      <c r="A212" s="39" t="str">
        <f>IF([8]道具信息!A212="","",[8]道具信息!A212)</f>
        <v/>
      </c>
      <c r="B212" s="39" t="str">
        <f>IF([8]道具信息!B212="","",[8]道具信息!B212)</f>
        <v/>
      </c>
      <c r="C212" s="39" t="str">
        <f>IF([8]道具信息!C212="","",[8]道具信息!C212)</f>
        <v/>
      </c>
      <c r="D212" s="39" t="str">
        <f>IF([8]道具信息!D212="","",[8]道具信息!D212)</f>
        <v>橙色提纯券</v>
      </c>
      <c r="E212" s="39">
        <f>IF([8]道具信息!E212="","",[8]道具信息!E212)</f>
        <v>4000</v>
      </c>
      <c r="F212" s="39">
        <f>IF([8]道具信息!F212="","",[8]道具信息!F212)</f>
        <v>1</v>
      </c>
      <c r="G212" s="39">
        <f>IF([8]道具信息!G212="","",[8]道具信息!G212)</f>
        <v>1</v>
      </c>
      <c r="H212" s="39">
        <f>IF([8]道具信息!H212="","",[8]道具信息!H212)</f>
        <v>1</v>
      </c>
      <c r="I212" s="39">
        <f>IF([8]道具信息!I212="","",[8]道具信息!I212)</f>
        <v>4000</v>
      </c>
      <c r="J212" s="39">
        <f>IF([8]道具信息!J212="","",[8]道具信息!J212)</f>
        <v>4000</v>
      </c>
      <c r="K212" s="39">
        <f>IF([8]道具信息!K212="","",[8]道具信息!K212)</f>
        <v>4000</v>
      </c>
      <c r="L212" s="39" t="str">
        <f>IF([8]道具信息!L212="","",[8]道具信息!L212)</f>
        <v/>
      </c>
      <c r="M212" s="39" t="str">
        <f>IF([8]道具信息!M212="","",[8]道具信息!M212)</f>
        <v/>
      </c>
      <c r="N212" s="39" t="str">
        <f>IF([8]道具信息!N212="","",[8]道具信息!N212)</f>
        <v/>
      </c>
      <c r="O212" s="39" t="str">
        <f>IF([8]道具信息!O212="","",[8]道具信息!O212)</f>
        <v/>
      </c>
      <c r="P212" s="39" t="str">
        <f>IF([8]道具信息!P212="","",[8]道具信息!P212)</f>
        <v/>
      </c>
      <c r="Q212" s="39" t="str">
        <f>IF([8]道具信息!Q212="","",[8]道具信息!Q212)</f>
        <v/>
      </c>
      <c r="R212" s="39" t="str">
        <f>IF([8]道具信息!R212="","",[8]道具信息!R212)</f>
        <v/>
      </c>
      <c r="S212" s="39" t="str">
        <f>IF([8]道具信息!S212="","",[8]道具信息!S212)</f>
        <v/>
      </c>
      <c r="T212" s="39" t="str">
        <f>IF([8]道具信息!T212="","",[8]道具信息!T212)</f>
        <v/>
      </c>
      <c r="U212" s="39" t="str">
        <f>IF([8]道具信息!U212="","",[8]道具信息!U212)</f>
        <v/>
      </c>
      <c r="V212" s="39" t="str">
        <f>IF([8]道具信息!V212="","",[8]道具信息!V212)</f>
        <v/>
      </c>
      <c r="W212" s="39" t="str">
        <f>IF([8]道具信息!W212="","",[8]道具信息!W212)</f>
        <v/>
      </c>
      <c r="X212" s="39" t="str">
        <f>IF([8]道具信息!X212="","",[8]道具信息!X212)</f>
        <v/>
      </c>
      <c r="Y212" s="39" t="str">
        <f>IF([8]道具信息!Y212="","",[8]道具信息!Y212)</f>
        <v/>
      </c>
      <c r="Z212" s="39" t="str">
        <f>IF([8]道具信息!Z212="","",[8]道具信息!Z212)</f>
        <v/>
      </c>
    </row>
    <row r="213" spans="1:26" x14ac:dyDescent="0.15">
      <c r="A213" s="39" t="str">
        <f>IF([8]道具信息!A213="","",[8]道具信息!A213)</f>
        <v/>
      </c>
      <c r="B213" s="39" t="str">
        <f>IF([8]道具信息!B213="","",[8]道具信息!B213)</f>
        <v/>
      </c>
      <c r="C213" s="39" t="str">
        <f>IF([8]道具信息!C213="","",[8]道具信息!C213)</f>
        <v/>
      </c>
      <c r="D213" s="39" t="str">
        <f>IF([8]道具信息!D213="","",[8]道具信息!D213)</f>
        <v/>
      </c>
      <c r="E213" s="39" t="str">
        <f>IF([8]道具信息!E213="","",[8]道具信息!E213)</f>
        <v/>
      </c>
      <c r="F213" s="39" t="str">
        <f>IF([8]道具信息!F213="","",[8]道具信息!F213)</f>
        <v/>
      </c>
      <c r="G213" s="39" t="str">
        <f>IF([8]道具信息!G213="","",[8]道具信息!G213)</f>
        <v/>
      </c>
      <c r="H213" s="39" t="str">
        <f>IF([8]道具信息!H213="","",[8]道具信息!H213)</f>
        <v/>
      </c>
      <c r="I213" s="39" t="str">
        <f>IF([8]道具信息!I213="","",[8]道具信息!I213)</f>
        <v/>
      </c>
      <c r="J213" s="39" t="str">
        <f>IF([8]道具信息!J213="","",[8]道具信息!J213)</f>
        <v/>
      </c>
      <c r="K213" s="39" t="str">
        <f>IF([8]道具信息!K213="","",[8]道具信息!K213)</f>
        <v/>
      </c>
      <c r="L213" s="39" t="str">
        <f>IF([8]道具信息!L213="","",[8]道具信息!L213)</f>
        <v/>
      </c>
      <c r="M213" s="39" t="str">
        <f>IF([8]道具信息!M213="","",[8]道具信息!M213)</f>
        <v/>
      </c>
      <c r="N213" s="39" t="str">
        <f>IF([8]道具信息!N213="","",[8]道具信息!N213)</f>
        <v/>
      </c>
      <c r="O213" s="39" t="str">
        <f>IF([8]道具信息!O213="","",[8]道具信息!O213)</f>
        <v/>
      </c>
      <c r="P213" s="39" t="str">
        <f>IF([8]道具信息!P213="","",[8]道具信息!P213)</f>
        <v/>
      </c>
      <c r="Q213" s="39" t="str">
        <f>IF([8]道具信息!Q213="","",[8]道具信息!Q213)</f>
        <v/>
      </c>
      <c r="R213" s="39" t="str">
        <f>IF([8]道具信息!R213="","",[8]道具信息!R213)</f>
        <v/>
      </c>
      <c r="S213" s="39" t="str">
        <f>IF([8]道具信息!S213="","",[8]道具信息!S213)</f>
        <v/>
      </c>
      <c r="T213" s="39" t="str">
        <f>IF([8]道具信息!T213="","",[8]道具信息!T213)</f>
        <v/>
      </c>
      <c r="U213" s="39" t="str">
        <f>IF([8]道具信息!U213="","",[8]道具信息!U213)</f>
        <v/>
      </c>
      <c r="V213" s="39" t="str">
        <f>IF([8]道具信息!V213="","",[8]道具信息!V213)</f>
        <v/>
      </c>
      <c r="W213" s="39" t="str">
        <f>IF([8]道具信息!W213="","",[8]道具信息!W213)</f>
        <v/>
      </c>
      <c r="X213" s="39" t="str">
        <f>IF([8]道具信息!X213="","",[8]道具信息!X213)</f>
        <v/>
      </c>
      <c r="Y213" s="39" t="str">
        <f>IF([8]道具信息!Y213="","",[8]道具信息!Y213)</f>
        <v/>
      </c>
      <c r="Z213" s="39" t="str">
        <f>IF([8]道具信息!Z213="","",[8]道具信息!Z213)</f>
        <v/>
      </c>
    </row>
    <row r="214" spans="1:26" x14ac:dyDescent="0.15">
      <c r="A214" s="39" t="str">
        <f>IF([8]道具信息!A214="","",[8]道具信息!A214)</f>
        <v/>
      </c>
      <c r="B214" s="39" t="str">
        <f>IF([8]道具信息!B214="","",[8]道具信息!B214)</f>
        <v/>
      </c>
      <c r="C214" s="39" t="str">
        <f>IF([8]道具信息!C214="","",[8]道具信息!C214)</f>
        <v/>
      </c>
      <c r="D214" s="39" t="str">
        <f>IF([8]道具信息!D214="","",[8]道具信息!D214)</f>
        <v>星宫1分钟加速令</v>
      </c>
      <c r="E214" s="39">
        <f>IF([8]道具信息!E214="","",[8]道具信息!E214)</f>
        <v>2</v>
      </c>
      <c r="F214" s="39">
        <f>IF([8]道具信息!F214="","",[8]道具信息!F214)</f>
        <v>1</v>
      </c>
      <c r="G214" s="39">
        <f>IF([8]道具信息!G214="","",[8]道具信息!G214)</f>
        <v>1</v>
      </c>
      <c r="H214" s="39">
        <f>IF([8]道具信息!H214="","",[8]道具信息!H214)</f>
        <v>0.3</v>
      </c>
      <c r="I214" s="39">
        <f>IF([8]道具信息!I214="","",[8]道具信息!I214)</f>
        <v>2</v>
      </c>
      <c r="J214" s="39">
        <f>IF([8]道具信息!J214="","",[8]道具信息!J214)</f>
        <v>2</v>
      </c>
      <c r="K214" s="39">
        <f>IF([8]道具信息!K214="","",[8]道具信息!K214)</f>
        <v>0.6</v>
      </c>
      <c r="L214" s="39" t="str">
        <f>IF([8]道具信息!L214="","",[8]道具信息!L214)</f>
        <v>使用后星宫升阶加速1分钟</v>
      </c>
      <c r="M214" s="39" t="str">
        <f>IF([8]道具信息!M214="","",[8]道具信息!M214)</f>
        <v/>
      </c>
      <c r="N214" s="39" t="str">
        <f>IF([8]道具信息!N214="","",[8]道具信息!N214)</f>
        <v/>
      </c>
      <c r="O214" s="39" t="str">
        <f>IF([8]道具信息!O214="","",[8]道具信息!O214)</f>
        <v/>
      </c>
      <c r="P214" s="39" t="str">
        <f>IF([8]道具信息!P214="","",[8]道具信息!P214)</f>
        <v/>
      </c>
      <c r="Q214" s="39" t="str">
        <f>IF([8]道具信息!Q214="","",[8]道具信息!Q214)</f>
        <v/>
      </c>
      <c r="R214" s="39" t="str">
        <f>IF([8]道具信息!R214="","",[8]道具信息!R214)</f>
        <v/>
      </c>
      <c r="S214" s="39" t="str">
        <f>IF([8]道具信息!S214="","",[8]道具信息!S214)</f>
        <v/>
      </c>
      <c r="T214" s="39" t="str">
        <f>IF([8]道具信息!T214="","",[8]道具信息!T214)</f>
        <v/>
      </c>
      <c r="U214" s="39" t="str">
        <f>IF([8]道具信息!U214="","",[8]道具信息!U214)</f>
        <v/>
      </c>
      <c r="V214" s="39" t="str">
        <f>IF([8]道具信息!V214="","",[8]道具信息!V214)</f>
        <v/>
      </c>
      <c r="W214" s="39" t="str">
        <f>IF([8]道具信息!W214="","",[8]道具信息!W214)</f>
        <v/>
      </c>
      <c r="X214" s="39" t="str">
        <f>IF([8]道具信息!X214="","",[8]道具信息!X214)</f>
        <v/>
      </c>
      <c r="Y214" s="39" t="str">
        <f>IF([8]道具信息!Y214="","",[8]道具信息!Y214)</f>
        <v/>
      </c>
      <c r="Z214" s="39" t="str">
        <f>IF([8]道具信息!Z214="","",[8]道具信息!Z214)</f>
        <v/>
      </c>
    </row>
    <row r="215" spans="1:26" x14ac:dyDescent="0.15">
      <c r="A215" s="39" t="str">
        <f>IF([8]道具信息!A215="","",[8]道具信息!A215)</f>
        <v/>
      </c>
      <c r="B215" s="39" t="str">
        <f>IF([8]道具信息!B215="","",[8]道具信息!B215)</f>
        <v/>
      </c>
      <c r="C215" s="39" t="str">
        <f>IF([8]道具信息!C215="","",[8]道具信息!C215)</f>
        <v/>
      </c>
      <c r="D215" s="39" t="str">
        <f>IF([8]道具信息!D215="","",[8]道具信息!D215)</f>
        <v>星宫5分钟加速令</v>
      </c>
      <c r="E215" s="39">
        <f>IF([8]道具信息!E215="","",[8]道具信息!E215)</f>
        <v>8</v>
      </c>
      <c r="F215" s="39">
        <f>IF([8]道具信息!F215="","",[8]道具信息!F215)</f>
        <v>1</v>
      </c>
      <c r="G215" s="39">
        <f>IF([8]道具信息!G215="","",[8]道具信息!G215)</f>
        <v>1</v>
      </c>
      <c r="H215" s="39">
        <f>IF([8]道具信息!H215="","",[8]道具信息!H215)</f>
        <v>0.4</v>
      </c>
      <c r="I215" s="39">
        <f>IF([8]道具信息!I215="","",[8]道具信息!I215)</f>
        <v>8</v>
      </c>
      <c r="J215" s="39">
        <f>IF([8]道具信息!J215="","",[8]道具信息!J215)</f>
        <v>8</v>
      </c>
      <c r="K215" s="39">
        <f>IF([8]道具信息!K215="","",[8]道具信息!K215)</f>
        <v>3.2</v>
      </c>
      <c r="L215" s="39" t="str">
        <f>IF([8]道具信息!L215="","",[8]道具信息!L215)</f>
        <v>使用后星宫升阶加速5分钟</v>
      </c>
      <c r="M215" s="39" t="str">
        <f>IF([8]道具信息!M215="","",[8]道具信息!M215)</f>
        <v/>
      </c>
      <c r="N215" s="39" t="str">
        <f>IF([8]道具信息!N215="","",[8]道具信息!N215)</f>
        <v/>
      </c>
      <c r="O215" s="39" t="str">
        <f>IF([8]道具信息!O215="","",[8]道具信息!O215)</f>
        <v/>
      </c>
      <c r="P215" s="39" t="str">
        <f>IF([8]道具信息!P215="","",[8]道具信息!P215)</f>
        <v/>
      </c>
      <c r="Q215" s="39" t="str">
        <f>IF([8]道具信息!Q215="","",[8]道具信息!Q215)</f>
        <v/>
      </c>
      <c r="R215" s="39" t="str">
        <f>IF([8]道具信息!R215="","",[8]道具信息!R215)</f>
        <v/>
      </c>
      <c r="S215" s="39" t="str">
        <f>IF([8]道具信息!S215="","",[8]道具信息!S215)</f>
        <v/>
      </c>
      <c r="T215" s="39" t="str">
        <f>IF([8]道具信息!T215="","",[8]道具信息!T215)</f>
        <v/>
      </c>
      <c r="U215" s="39" t="str">
        <f>IF([8]道具信息!U215="","",[8]道具信息!U215)</f>
        <v/>
      </c>
      <c r="V215" s="39" t="str">
        <f>IF([8]道具信息!V215="","",[8]道具信息!V215)</f>
        <v/>
      </c>
      <c r="W215" s="39" t="str">
        <f>IF([8]道具信息!W215="","",[8]道具信息!W215)</f>
        <v/>
      </c>
      <c r="X215" s="39" t="str">
        <f>IF([8]道具信息!X215="","",[8]道具信息!X215)</f>
        <v/>
      </c>
      <c r="Y215" s="39" t="str">
        <f>IF([8]道具信息!Y215="","",[8]道具信息!Y215)</f>
        <v/>
      </c>
      <c r="Z215" s="39" t="str">
        <f>IF([8]道具信息!Z215="","",[8]道具信息!Z215)</f>
        <v/>
      </c>
    </row>
    <row r="216" spans="1:26" x14ac:dyDescent="0.15">
      <c r="A216" s="39" t="str">
        <f>IF([8]道具信息!A216="","",[8]道具信息!A216)</f>
        <v/>
      </c>
      <c r="B216" s="39" t="str">
        <f>IF([8]道具信息!B216="","",[8]道具信息!B216)</f>
        <v/>
      </c>
      <c r="C216" s="39" t="str">
        <f>IF([8]道具信息!C216="","",[8]道具信息!C216)</f>
        <v/>
      </c>
      <c r="D216" s="39" t="str">
        <f>IF([8]道具信息!D216="","",[8]道具信息!D216)</f>
        <v>星宫20分钟加速令</v>
      </c>
      <c r="E216" s="39">
        <f>IF([8]道具信息!E216="","",[8]道具信息!E216)</f>
        <v>20</v>
      </c>
      <c r="F216" s="39">
        <f>IF([8]道具信息!F216="","",[8]道具信息!F216)</f>
        <v>1</v>
      </c>
      <c r="G216" s="39">
        <f>IF([8]道具信息!G216="","",[8]道具信息!G216)</f>
        <v>1</v>
      </c>
      <c r="H216" s="39">
        <f>IF([8]道具信息!H216="","",[8]道具信息!H216)</f>
        <v>0.5</v>
      </c>
      <c r="I216" s="39">
        <f>IF([8]道具信息!I216="","",[8]道具信息!I216)</f>
        <v>20</v>
      </c>
      <c r="J216" s="39">
        <f>IF([8]道具信息!J216="","",[8]道具信息!J216)</f>
        <v>20</v>
      </c>
      <c r="K216" s="39">
        <f>IF([8]道具信息!K216="","",[8]道具信息!K216)</f>
        <v>10</v>
      </c>
      <c r="L216" s="39" t="str">
        <f>IF([8]道具信息!L216="","",[8]道具信息!L216)</f>
        <v>使用后星宫升阶加速20分钟</v>
      </c>
      <c r="M216" s="39" t="str">
        <f>IF([8]道具信息!M216="","",[8]道具信息!M216)</f>
        <v/>
      </c>
      <c r="N216" s="39" t="str">
        <f>IF([8]道具信息!N216="","",[8]道具信息!N216)</f>
        <v/>
      </c>
      <c r="O216" s="39" t="str">
        <f>IF([8]道具信息!O216="","",[8]道具信息!O216)</f>
        <v/>
      </c>
      <c r="P216" s="39" t="str">
        <f>IF([8]道具信息!P216="","",[8]道具信息!P216)</f>
        <v/>
      </c>
      <c r="Q216" s="39" t="str">
        <f>IF([8]道具信息!Q216="","",[8]道具信息!Q216)</f>
        <v/>
      </c>
      <c r="R216" s="39" t="str">
        <f>IF([8]道具信息!R216="","",[8]道具信息!R216)</f>
        <v/>
      </c>
      <c r="S216" s="39" t="str">
        <f>IF([8]道具信息!S216="","",[8]道具信息!S216)</f>
        <v/>
      </c>
      <c r="T216" s="39" t="str">
        <f>IF([8]道具信息!T216="","",[8]道具信息!T216)</f>
        <v/>
      </c>
      <c r="U216" s="39" t="str">
        <f>IF([8]道具信息!U216="","",[8]道具信息!U216)</f>
        <v/>
      </c>
      <c r="V216" s="39" t="str">
        <f>IF([8]道具信息!V216="","",[8]道具信息!V216)</f>
        <v/>
      </c>
      <c r="W216" s="39" t="str">
        <f>IF([8]道具信息!W216="","",[8]道具信息!W216)</f>
        <v/>
      </c>
      <c r="X216" s="39" t="str">
        <f>IF([8]道具信息!X216="","",[8]道具信息!X216)</f>
        <v/>
      </c>
      <c r="Y216" s="39" t="str">
        <f>IF([8]道具信息!Y216="","",[8]道具信息!Y216)</f>
        <v/>
      </c>
      <c r="Z216" s="39" t="str">
        <f>IF([8]道具信息!Z216="","",[8]道具信息!Z216)</f>
        <v/>
      </c>
    </row>
    <row r="217" spans="1:26" x14ac:dyDescent="0.15">
      <c r="A217" s="39" t="str">
        <f>IF([8]道具信息!A217="","",[8]道具信息!A217)</f>
        <v/>
      </c>
      <c r="B217" s="39" t="str">
        <f>IF([8]道具信息!B217="","",[8]道具信息!B217)</f>
        <v/>
      </c>
      <c r="C217" s="39" t="str">
        <f>IF([8]道具信息!C217="","",[8]道具信息!C217)</f>
        <v/>
      </c>
      <c r="D217" s="39" t="str">
        <f>IF([8]道具信息!D217="","",[8]道具信息!D217)</f>
        <v>星宫1小时加速令</v>
      </c>
      <c r="E217" s="39">
        <f>IF([8]道具信息!E217="","",[8]道具信息!E217)</f>
        <v>50</v>
      </c>
      <c r="F217" s="39">
        <f>IF([8]道具信息!F217="","",[8]道具信息!F217)</f>
        <v>1.2</v>
      </c>
      <c r="G217" s="39">
        <f>IF([8]道具信息!G217="","",[8]道具信息!G217)</f>
        <v>1</v>
      </c>
      <c r="H217" s="39">
        <f>IF([8]道具信息!H217="","",[8]道具信息!H217)</f>
        <v>0.6</v>
      </c>
      <c r="I217" s="39">
        <f>IF([8]道具信息!I217="","",[8]道具信息!I217)</f>
        <v>60</v>
      </c>
      <c r="J217" s="39">
        <f>IF([8]道具信息!J217="","",[8]道具信息!J217)</f>
        <v>50</v>
      </c>
      <c r="K217" s="39">
        <f>IF([8]道具信息!K217="","",[8]道具信息!K217)</f>
        <v>30</v>
      </c>
      <c r="L217" s="39" t="str">
        <f>IF([8]道具信息!L217="","",[8]道具信息!L217)</f>
        <v>使用后星宫升阶加速1小时</v>
      </c>
      <c r="M217" s="39" t="str">
        <f>IF([8]道具信息!M217="","",[8]道具信息!M217)</f>
        <v/>
      </c>
      <c r="N217" s="39" t="str">
        <f>IF([8]道具信息!N217="","",[8]道具信息!N217)</f>
        <v/>
      </c>
      <c r="O217" s="39" t="str">
        <f>IF([8]道具信息!O217="","",[8]道具信息!O217)</f>
        <v/>
      </c>
      <c r="P217" s="39" t="str">
        <f>IF([8]道具信息!P217="","",[8]道具信息!P217)</f>
        <v/>
      </c>
      <c r="Q217" s="39" t="str">
        <f>IF([8]道具信息!Q217="","",[8]道具信息!Q217)</f>
        <v/>
      </c>
      <c r="R217" s="39" t="str">
        <f>IF([8]道具信息!R217="","",[8]道具信息!R217)</f>
        <v/>
      </c>
      <c r="S217" s="39" t="str">
        <f>IF([8]道具信息!S217="","",[8]道具信息!S217)</f>
        <v/>
      </c>
      <c r="T217" s="39" t="str">
        <f>IF([8]道具信息!T217="","",[8]道具信息!T217)</f>
        <v/>
      </c>
      <c r="U217" s="39" t="str">
        <f>IF([8]道具信息!U217="","",[8]道具信息!U217)</f>
        <v/>
      </c>
      <c r="V217" s="39" t="str">
        <f>IF([8]道具信息!V217="","",[8]道具信息!V217)</f>
        <v/>
      </c>
      <c r="W217" s="39" t="str">
        <f>IF([8]道具信息!W217="","",[8]道具信息!W217)</f>
        <v/>
      </c>
      <c r="X217" s="39" t="str">
        <f>IF([8]道具信息!X217="","",[8]道具信息!X217)</f>
        <v/>
      </c>
      <c r="Y217" s="39" t="str">
        <f>IF([8]道具信息!Y217="","",[8]道具信息!Y217)</f>
        <v/>
      </c>
      <c r="Z217" s="39" t="str">
        <f>IF([8]道具信息!Z217="","",[8]道具信息!Z217)</f>
        <v/>
      </c>
    </row>
    <row r="218" spans="1:26" x14ac:dyDescent="0.15">
      <c r="A218" s="39" t="str">
        <f>IF([8]道具信息!A218="","",[8]道具信息!A218)</f>
        <v/>
      </c>
      <c r="B218" s="39" t="str">
        <f>IF([8]道具信息!B218="","",[8]道具信息!B218)</f>
        <v/>
      </c>
      <c r="C218" s="39" t="str">
        <f>IF([8]道具信息!C218="","",[8]道具信息!C218)</f>
        <v/>
      </c>
      <c r="D218" s="39" t="str">
        <f>IF([8]道具信息!D218="","",[8]道具信息!D218)</f>
        <v>星宫3小时加速令</v>
      </c>
      <c r="E218" s="39">
        <f>IF([8]道具信息!E218="","",[8]道具信息!E218)</f>
        <v>100</v>
      </c>
      <c r="F218" s="39">
        <f>IF([8]道具信息!F218="","",[8]道具信息!F218)</f>
        <v>1.8</v>
      </c>
      <c r="G218" s="39">
        <f>IF([8]道具信息!G218="","",[8]道具信息!G218)</f>
        <v>1</v>
      </c>
      <c r="H218" s="39">
        <f>IF([8]道具信息!H218="","",[8]道具信息!H218)</f>
        <v>0.8</v>
      </c>
      <c r="I218" s="39">
        <f>IF([8]道具信息!I218="","",[8]道具信息!I218)</f>
        <v>180</v>
      </c>
      <c r="J218" s="39">
        <f>IF([8]道具信息!J218="","",[8]道具信息!J218)</f>
        <v>100</v>
      </c>
      <c r="K218" s="39">
        <f>IF([8]道具信息!K218="","",[8]道具信息!K218)</f>
        <v>80</v>
      </c>
      <c r="L218" s="39" t="str">
        <f>IF([8]道具信息!L218="","",[8]道具信息!L218)</f>
        <v>使用后星宫升阶加速3小时</v>
      </c>
      <c r="M218" s="39" t="str">
        <f>IF([8]道具信息!M218="","",[8]道具信息!M218)</f>
        <v/>
      </c>
      <c r="N218" s="39" t="str">
        <f>IF([8]道具信息!N218="","",[8]道具信息!N218)</f>
        <v/>
      </c>
      <c r="O218" s="39" t="str">
        <f>IF([8]道具信息!O218="","",[8]道具信息!O218)</f>
        <v/>
      </c>
      <c r="P218" s="39" t="str">
        <f>IF([8]道具信息!P218="","",[8]道具信息!P218)</f>
        <v/>
      </c>
      <c r="Q218" s="39" t="str">
        <f>IF([8]道具信息!Q218="","",[8]道具信息!Q218)</f>
        <v/>
      </c>
      <c r="R218" s="39" t="str">
        <f>IF([8]道具信息!R218="","",[8]道具信息!R218)</f>
        <v/>
      </c>
      <c r="S218" s="39" t="str">
        <f>IF([8]道具信息!S218="","",[8]道具信息!S218)</f>
        <v/>
      </c>
      <c r="T218" s="39" t="str">
        <f>IF([8]道具信息!T218="","",[8]道具信息!T218)</f>
        <v/>
      </c>
      <c r="U218" s="39" t="str">
        <f>IF([8]道具信息!U218="","",[8]道具信息!U218)</f>
        <v/>
      </c>
      <c r="V218" s="39" t="str">
        <f>IF([8]道具信息!V218="","",[8]道具信息!V218)</f>
        <v/>
      </c>
      <c r="W218" s="39" t="str">
        <f>IF([8]道具信息!W218="","",[8]道具信息!W218)</f>
        <v/>
      </c>
      <c r="X218" s="39" t="str">
        <f>IF([8]道具信息!X218="","",[8]道具信息!X218)</f>
        <v/>
      </c>
      <c r="Y218" s="39" t="str">
        <f>IF([8]道具信息!Y218="","",[8]道具信息!Y218)</f>
        <v/>
      </c>
      <c r="Z218" s="39" t="str">
        <f>IF([8]道具信息!Z218="","",[8]道具信息!Z218)</f>
        <v/>
      </c>
    </row>
    <row r="219" spans="1:26" x14ac:dyDescent="0.15">
      <c r="A219" s="39" t="str">
        <f>IF([8]道具信息!A219="","",[8]道具信息!A219)</f>
        <v/>
      </c>
      <c r="B219" s="39" t="str">
        <f>IF([8]道具信息!B219="","",[8]道具信息!B219)</f>
        <v/>
      </c>
      <c r="C219" s="39" t="str">
        <f>IF([8]道具信息!C219="","",[8]道具信息!C219)</f>
        <v/>
      </c>
      <c r="D219" s="39" t="str">
        <f>IF([8]道具信息!D219="","",[8]道具信息!D219)</f>
        <v>星宫8小时加速令</v>
      </c>
      <c r="E219" s="39">
        <f>IF([8]道具信息!E219="","",[8]道具信息!E219)</f>
        <v>160</v>
      </c>
      <c r="F219" s="39">
        <f>IF([8]道具信息!F219="","",[8]道具信息!F219)</f>
        <v>3</v>
      </c>
      <c r="G219" s="39">
        <f>IF([8]道具信息!G219="","",[8]道具信息!G219)</f>
        <v>1</v>
      </c>
      <c r="H219" s="39">
        <f>IF([8]道具信息!H219="","",[8]道具信息!H219)</f>
        <v>1</v>
      </c>
      <c r="I219" s="39">
        <f>IF([8]道具信息!I219="","",[8]道具信息!I219)</f>
        <v>480</v>
      </c>
      <c r="J219" s="39">
        <f>IF([8]道具信息!J219="","",[8]道具信息!J219)</f>
        <v>160</v>
      </c>
      <c r="K219" s="39">
        <f>IF([8]道具信息!K219="","",[8]道具信息!K219)</f>
        <v>160</v>
      </c>
      <c r="L219" s="39" t="str">
        <f>IF([8]道具信息!L219="","",[8]道具信息!L219)</f>
        <v>使用后星宫升阶加速8小时</v>
      </c>
      <c r="M219" s="39" t="str">
        <f>IF([8]道具信息!M219="","",[8]道具信息!M219)</f>
        <v/>
      </c>
      <c r="N219" s="39" t="str">
        <f>IF([8]道具信息!N219="","",[8]道具信息!N219)</f>
        <v/>
      </c>
      <c r="O219" s="39" t="str">
        <f>IF([8]道具信息!O219="","",[8]道具信息!O219)</f>
        <v/>
      </c>
      <c r="P219" s="39" t="str">
        <f>IF([8]道具信息!P219="","",[8]道具信息!P219)</f>
        <v/>
      </c>
      <c r="Q219" s="39" t="str">
        <f>IF([8]道具信息!Q219="","",[8]道具信息!Q219)</f>
        <v/>
      </c>
      <c r="R219" s="39" t="str">
        <f>IF([8]道具信息!R219="","",[8]道具信息!R219)</f>
        <v/>
      </c>
      <c r="S219" s="39" t="str">
        <f>IF([8]道具信息!S219="","",[8]道具信息!S219)</f>
        <v/>
      </c>
      <c r="T219" s="39" t="str">
        <f>IF([8]道具信息!T219="","",[8]道具信息!T219)</f>
        <v/>
      </c>
      <c r="U219" s="39" t="str">
        <f>IF([8]道具信息!U219="","",[8]道具信息!U219)</f>
        <v/>
      </c>
      <c r="V219" s="39" t="str">
        <f>IF([8]道具信息!V219="","",[8]道具信息!V219)</f>
        <v/>
      </c>
      <c r="W219" s="39" t="str">
        <f>IF([8]道具信息!W219="","",[8]道具信息!W219)</f>
        <v/>
      </c>
      <c r="X219" s="39" t="str">
        <f>IF([8]道具信息!X219="","",[8]道具信息!X219)</f>
        <v/>
      </c>
      <c r="Y219" s="39" t="str">
        <f>IF([8]道具信息!Y219="","",[8]道具信息!Y219)</f>
        <v/>
      </c>
      <c r="Z219" s="39" t="str">
        <f>IF([8]道具信息!Z219="","",[8]道具信息!Z219)</f>
        <v/>
      </c>
    </row>
    <row r="220" spans="1:26" x14ac:dyDescent="0.15">
      <c r="A220" s="39" t="str">
        <f>IF([8]道具信息!A220="","",[8]道具信息!A220)</f>
        <v/>
      </c>
      <c r="B220" s="39" t="str">
        <f>IF([8]道具信息!B220="","",[8]道具信息!B220)</f>
        <v/>
      </c>
      <c r="C220" s="39" t="str">
        <f>IF([8]道具信息!C220="","",[8]道具信息!C220)</f>
        <v/>
      </c>
      <c r="D220" s="39" t="str">
        <f>IF([8]道具信息!D220="","",[8]道具信息!D220)</f>
        <v/>
      </c>
      <c r="E220" s="39" t="str">
        <f>IF([8]道具信息!E220="","",[8]道具信息!E220)</f>
        <v/>
      </c>
      <c r="F220" s="39" t="str">
        <f>IF([8]道具信息!F220="","",[8]道具信息!F220)</f>
        <v/>
      </c>
      <c r="G220" s="39" t="str">
        <f>IF([8]道具信息!G220="","",[8]道具信息!G220)</f>
        <v/>
      </c>
      <c r="H220" s="39" t="str">
        <f>IF([8]道具信息!H220="","",[8]道具信息!H220)</f>
        <v/>
      </c>
      <c r="I220" s="39" t="str">
        <f>IF([8]道具信息!I220="","",[8]道具信息!I220)</f>
        <v/>
      </c>
      <c r="J220" s="39" t="str">
        <f>IF([8]道具信息!J220="","",[8]道具信息!J220)</f>
        <v/>
      </c>
      <c r="K220" s="39" t="str">
        <f>IF([8]道具信息!K220="","",[8]道具信息!K220)</f>
        <v/>
      </c>
      <c r="L220" s="39" t="str">
        <f>IF([8]道具信息!L220="","",[8]道具信息!L220)</f>
        <v/>
      </c>
      <c r="M220" s="39" t="str">
        <f>IF([8]道具信息!M220="","",[8]道具信息!M220)</f>
        <v/>
      </c>
      <c r="N220" s="39" t="str">
        <f>IF([8]道具信息!N220="","",[8]道具信息!N220)</f>
        <v/>
      </c>
      <c r="O220" s="39" t="str">
        <f>IF([8]道具信息!O220="","",[8]道具信息!O220)</f>
        <v/>
      </c>
      <c r="P220" s="39" t="str">
        <f>IF([8]道具信息!P220="","",[8]道具信息!P220)</f>
        <v/>
      </c>
      <c r="Q220" s="39" t="str">
        <f>IF([8]道具信息!Q220="","",[8]道具信息!Q220)</f>
        <v/>
      </c>
      <c r="R220" s="39" t="str">
        <f>IF([8]道具信息!R220="","",[8]道具信息!R220)</f>
        <v/>
      </c>
      <c r="S220" s="39" t="str">
        <f>IF([8]道具信息!S220="","",[8]道具信息!S220)</f>
        <v/>
      </c>
      <c r="T220" s="39" t="str">
        <f>IF([8]道具信息!T220="","",[8]道具信息!T220)</f>
        <v/>
      </c>
      <c r="U220" s="39" t="str">
        <f>IF([8]道具信息!U220="","",[8]道具信息!U220)</f>
        <v/>
      </c>
      <c r="V220" s="39" t="str">
        <f>IF([8]道具信息!V220="","",[8]道具信息!V220)</f>
        <v/>
      </c>
      <c r="W220" s="39" t="str">
        <f>IF([8]道具信息!W220="","",[8]道具信息!W220)</f>
        <v/>
      </c>
      <c r="X220" s="39" t="str">
        <f>IF([8]道具信息!X220="","",[8]道具信息!X220)</f>
        <v/>
      </c>
      <c r="Y220" s="39" t="str">
        <f>IF([8]道具信息!Y220="","",[8]道具信息!Y220)</f>
        <v/>
      </c>
      <c r="Z220" s="39" t="str">
        <f>IF([8]道具信息!Z220="","",[8]道具信息!Z220)</f>
        <v/>
      </c>
    </row>
    <row r="221" spans="1:26" x14ac:dyDescent="0.15">
      <c r="A221" s="39" t="str">
        <f>IF([8]道具信息!A221="","",[8]道具信息!A221)</f>
        <v/>
      </c>
      <c r="B221" s="39" t="str">
        <f>IF([8]道具信息!B221="","",[8]道具信息!B221)</f>
        <v/>
      </c>
      <c r="C221" s="39">
        <f>IF([8]道具信息!C221="","",[8]道具信息!C221)</f>
        <v>21001</v>
      </c>
      <c r="D221" s="39" t="str">
        <f>IF([8]道具信息!D221="","",[8]道具信息!D221)</f>
        <v>一担粮食</v>
      </c>
      <c r="E221" s="39">
        <f>IF([8]道具信息!E221="","",[8]道具信息!E221)</f>
        <v>6</v>
      </c>
      <c r="F221" s="39">
        <f>IF([8]道具信息!F221="","",[8]道具信息!F221)</f>
        <v>1</v>
      </c>
      <c r="G221" s="39">
        <f>IF([8]道具信息!G221="","",[8]道具信息!G221)</f>
        <v>1</v>
      </c>
      <c r="H221" s="39">
        <f>IF([8]道具信息!H221="","",[8]道具信息!H221)</f>
        <v>0.3</v>
      </c>
      <c r="I221" s="39">
        <f>IF([8]道具信息!I221="","",[8]道具信息!I221)</f>
        <v>6</v>
      </c>
      <c r="J221" s="39">
        <f>IF([8]道具信息!J221="","",[8]道具信息!J221)</f>
        <v>6</v>
      </c>
      <c r="K221" s="39">
        <f>IF([8]道具信息!K221="","",[8]道具信息!K221)</f>
        <v>1.7999999999999998</v>
      </c>
      <c r="L221" s="39" t="str">
        <f>IF([8]道具信息!L221="","",[8]道具信息!L221)</f>
        <v>使用后获得10000安全粮食</v>
      </c>
      <c r="M221" s="39" t="str">
        <f>IF([8]道具信息!M221="","",[8]道具信息!M221)</f>
        <v/>
      </c>
      <c r="N221" s="39" t="str">
        <f>IF([8]道具信息!N221="","",[8]道具信息!N221)</f>
        <v/>
      </c>
      <c r="O221" s="39" t="str">
        <f>IF([8]道具信息!O221="","",[8]道具信息!O221)</f>
        <v/>
      </c>
      <c r="P221" s="39" t="str">
        <f>IF([8]道具信息!P221="","",[8]道具信息!P221)</f>
        <v/>
      </c>
      <c r="Q221" s="39" t="str">
        <f>IF([8]道具信息!Q221="","",[8]道具信息!Q221)</f>
        <v/>
      </c>
      <c r="R221" s="39" t="str">
        <f>IF([8]道具信息!R221="","",[8]道具信息!R221)</f>
        <v/>
      </c>
      <c r="S221" s="39" t="str">
        <f>IF([8]道具信息!S221="","",[8]道具信息!S221)</f>
        <v/>
      </c>
      <c r="T221" s="39" t="str">
        <f>IF([8]道具信息!T221="","",[8]道具信息!T221)</f>
        <v/>
      </c>
      <c r="U221" s="39" t="str">
        <f>IF([8]道具信息!U221="","",[8]道具信息!U221)</f>
        <v/>
      </c>
      <c r="V221" s="39" t="str">
        <f>IF([8]道具信息!V221="","",[8]道具信息!V221)</f>
        <v/>
      </c>
      <c r="W221" s="39" t="str">
        <f>IF([8]道具信息!W221="","",[8]道具信息!W221)</f>
        <v/>
      </c>
      <c r="X221" s="39" t="str">
        <f>IF([8]道具信息!X221="","",[8]道具信息!X221)</f>
        <v/>
      </c>
      <c r="Y221" s="39" t="str">
        <f>IF([8]道具信息!Y221="","",[8]道具信息!Y221)</f>
        <v/>
      </c>
      <c r="Z221" s="39" t="str">
        <f>IF([8]道具信息!Z221="","",[8]道具信息!Z221)</f>
        <v/>
      </c>
    </row>
    <row r="222" spans="1:26" x14ac:dyDescent="0.15">
      <c r="A222" s="39" t="str">
        <f>IF([8]道具信息!A222="","",[8]道具信息!A222)</f>
        <v/>
      </c>
      <c r="B222" s="39" t="str">
        <f>IF([8]道具信息!B222="","",[8]道具信息!B222)</f>
        <v/>
      </c>
      <c r="C222" s="39">
        <f>IF([8]道具信息!C222="","",[8]道具信息!C222)</f>
        <v>21002</v>
      </c>
      <c r="D222" s="39" t="str">
        <f>IF([8]道具信息!D222="","",[8]道具信息!D222)</f>
        <v>一堆粮食</v>
      </c>
      <c r="E222" s="39">
        <f>IF([8]道具信息!E222="","",[8]道具信息!E222)</f>
        <v>20</v>
      </c>
      <c r="F222" s="39">
        <f>IF([8]道具信息!F222="","",[8]道具信息!F222)</f>
        <v>1</v>
      </c>
      <c r="G222" s="39">
        <f>IF([8]道具信息!G222="","",[8]道具信息!G222)</f>
        <v>1</v>
      </c>
      <c r="H222" s="39">
        <f>IF([8]道具信息!H222="","",[8]道具信息!H222)</f>
        <v>0.3</v>
      </c>
      <c r="I222" s="39">
        <f>IF([8]道具信息!I222="","",[8]道具信息!I222)</f>
        <v>20</v>
      </c>
      <c r="J222" s="39">
        <f>IF([8]道具信息!J222="","",[8]道具信息!J222)</f>
        <v>20</v>
      </c>
      <c r="K222" s="39">
        <f>IF([8]道具信息!K222="","",[8]道具信息!K222)</f>
        <v>6</v>
      </c>
      <c r="L222" s="39" t="str">
        <f>IF([8]道具信息!L222="","",[8]道具信息!L222)</f>
        <v>使用后获得50000安全粮食</v>
      </c>
      <c r="M222" s="39" t="str">
        <f>IF([8]道具信息!M222="","",[8]道具信息!M222)</f>
        <v/>
      </c>
      <c r="N222" s="39" t="str">
        <f>IF([8]道具信息!N222="","",[8]道具信息!N222)</f>
        <v/>
      </c>
      <c r="O222" s="39" t="str">
        <f>IF([8]道具信息!O222="","",[8]道具信息!O222)</f>
        <v/>
      </c>
      <c r="P222" s="39" t="str">
        <f>IF([8]道具信息!P222="","",[8]道具信息!P222)</f>
        <v/>
      </c>
      <c r="Q222" s="39" t="str">
        <f>IF([8]道具信息!Q222="","",[8]道具信息!Q222)</f>
        <v/>
      </c>
      <c r="R222" s="39" t="str">
        <f>IF([8]道具信息!R222="","",[8]道具信息!R222)</f>
        <v/>
      </c>
      <c r="S222" s="39" t="str">
        <f>IF([8]道具信息!S222="","",[8]道具信息!S222)</f>
        <v/>
      </c>
      <c r="T222" s="39" t="str">
        <f>IF([8]道具信息!T222="","",[8]道具信息!T222)</f>
        <v/>
      </c>
      <c r="U222" s="39" t="str">
        <f>IF([8]道具信息!U222="","",[8]道具信息!U222)</f>
        <v/>
      </c>
      <c r="V222" s="39" t="str">
        <f>IF([8]道具信息!V222="","",[8]道具信息!V222)</f>
        <v/>
      </c>
      <c r="W222" s="39" t="str">
        <f>IF([8]道具信息!W222="","",[8]道具信息!W222)</f>
        <v/>
      </c>
      <c r="X222" s="39" t="str">
        <f>IF([8]道具信息!X222="","",[8]道具信息!X222)</f>
        <v/>
      </c>
      <c r="Y222" s="39" t="str">
        <f>IF([8]道具信息!Y222="","",[8]道具信息!Y222)</f>
        <v/>
      </c>
      <c r="Z222" s="39" t="str">
        <f>IF([8]道具信息!Z222="","",[8]道具信息!Z222)</f>
        <v/>
      </c>
    </row>
    <row r="223" spans="1:26" x14ac:dyDescent="0.15">
      <c r="A223" s="39" t="str">
        <f>IF([8]道具信息!A223="","",[8]道具信息!A223)</f>
        <v/>
      </c>
      <c r="B223" s="39" t="str">
        <f>IF([8]道具信息!B223="","",[8]道具信息!B223)</f>
        <v/>
      </c>
      <c r="C223" s="39">
        <f>IF([8]道具信息!C223="","",[8]道具信息!C223)</f>
        <v>21003</v>
      </c>
      <c r="D223" s="39" t="str">
        <f>IF([8]道具信息!D223="","",[8]道具信息!D223)</f>
        <v>一箱粮食</v>
      </c>
      <c r="E223" s="39">
        <f>IF([8]道具信息!E223="","",[8]道具信息!E223)</f>
        <v>45</v>
      </c>
      <c r="F223" s="39">
        <f>IF([8]道具信息!F223="","",[8]道具信息!F223)</f>
        <v>1.333</v>
      </c>
      <c r="G223" s="39">
        <f>IF([8]道具信息!G223="","",[8]道具信息!G223)</f>
        <v>1</v>
      </c>
      <c r="H223" s="39">
        <f>IF([8]道具信息!H223="","",[8]道具信息!H223)</f>
        <v>0.3</v>
      </c>
      <c r="I223" s="39">
        <f>IF([8]道具信息!I223="","",[8]道具信息!I223)</f>
        <v>59.984999999999999</v>
      </c>
      <c r="J223" s="39">
        <f>IF([8]道具信息!J223="","",[8]道具信息!J223)</f>
        <v>45</v>
      </c>
      <c r="K223" s="39">
        <f>IF([8]道具信息!K223="","",[8]道具信息!K223)</f>
        <v>13.5</v>
      </c>
      <c r="L223" s="39" t="str">
        <f>IF([8]道具信息!L223="","",[8]道具信息!L223)</f>
        <v>使用后获得150000安全粮食</v>
      </c>
      <c r="M223" s="39" t="str">
        <f>IF([8]道具信息!M223="","",[8]道具信息!M223)</f>
        <v/>
      </c>
      <c r="N223" s="39" t="str">
        <f>IF([8]道具信息!N223="","",[8]道具信息!N223)</f>
        <v/>
      </c>
      <c r="O223" s="39" t="str">
        <f>IF([8]道具信息!O223="","",[8]道具信息!O223)</f>
        <v/>
      </c>
      <c r="P223" s="39" t="str">
        <f>IF([8]道具信息!P223="","",[8]道具信息!P223)</f>
        <v/>
      </c>
      <c r="Q223" s="39" t="str">
        <f>IF([8]道具信息!Q223="","",[8]道具信息!Q223)</f>
        <v/>
      </c>
      <c r="R223" s="39" t="str">
        <f>IF([8]道具信息!R223="","",[8]道具信息!R223)</f>
        <v/>
      </c>
      <c r="S223" s="39" t="str">
        <f>IF([8]道具信息!S223="","",[8]道具信息!S223)</f>
        <v/>
      </c>
      <c r="T223" s="39" t="str">
        <f>IF([8]道具信息!T223="","",[8]道具信息!T223)</f>
        <v/>
      </c>
      <c r="U223" s="39" t="str">
        <f>IF([8]道具信息!U223="","",[8]道具信息!U223)</f>
        <v/>
      </c>
      <c r="V223" s="39" t="str">
        <f>IF([8]道具信息!V223="","",[8]道具信息!V223)</f>
        <v/>
      </c>
      <c r="W223" s="39" t="str">
        <f>IF([8]道具信息!W223="","",[8]道具信息!W223)</f>
        <v/>
      </c>
      <c r="X223" s="39" t="str">
        <f>IF([8]道具信息!X223="","",[8]道具信息!X223)</f>
        <v/>
      </c>
      <c r="Y223" s="39" t="str">
        <f>IF([8]道具信息!Y223="","",[8]道具信息!Y223)</f>
        <v/>
      </c>
      <c r="Z223" s="39" t="str">
        <f>IF([8]道具信息!Z223="","",[8]道具信息!Z223)</f>
        <v/>
      </c>
    </row>
    <row r="224" spans="1:26" x14ac:dyDescent="0.15">
      <c r="A224" s="39" t="str">
        <f>IF([8]道具信息!A224="","",[8]道具信息!A224)</f>
        <v/>
      </c>
      <c r="B224" s="39" t="str">
        <f>IF([8]道具信息!B224="","",[8]道具信息!B224)</f>
        <v/>
      </c>
      <c r="C224" s="39">
        <f>IF([8]道具信息!C224="","",[8]道具信息!C224)</f>
        <v>21004</v>
      </c>
      <c r="D224" s="39" t="str">
        <f>IF([8]道具信息!D224="","",[8]道具信息!D224)</f>
        <v>一车粮食</v>
      </c>
      <c r="E224" s="39">
        <f>IF([8]道具信息!E224="","",[8]道具信息!E224)</f>
        <v>100</v>
      </c>
      <c r="F224" s="39">
        <f>IF([8]道具信息!F224="","",[8]道具信息!F224)</f>
        <v>2</v>
      </c>
      <c r="G224" s="39">
        <f>IF([8]道具信息!G224="","",[8]道具信息!G224)</f>
        <v>1</v>
      </c>
      <c r="H224" s="39">
        <f>IF([8]道具信息!H224="","",[8]道具信息!H224)</f>
        <v>0.3</v>
      </c>
      <c r="I224" s="39">
        <f>IF([8]道具信息!I224="","",[8]道具信息!I224)</f>
        <v>200</v>
      </c>
      <c r="J224" s="39">
        <f>IF([8]道具信息!J224="","",[8]道具信息!J224)</f>
        <v>100</v>
      </c>
      <c r="K224" s="39">
        <f>IF([8]道具信息!K224="","",[8]道具信息!K224)</f>
        <v>30</v>
      </c>
      <c r="L224" s="39" t="str">
        <f>IF([8]道具信息!L224="","",[8]道具信息!L224)</f>
        <v>使用后获得500000安全粮食</v>
      </c>
      <c r="M224" s="39" t="str">
        <f>IF([8]道具信息!M224="","",[8]道具信息!M224)</f>
        <v/>
      </c>
      <c r="N224" s="39" t="str">
        <f>IF([8]道具信息!N224="","",[8]道具信息!N224)</f>
        <v/>
      </c>
      <c r="O224" s="39" t="str">
        <f>IF([8]道具信息!O224="","",[8]道具信息!O224)</f>
        <v/>
      </c>
      <c r="P224" s="39" t="str">
        <f>IF([8]道具信息!P224="","",[8]道具信息!P224)</f>
        <v/>
      </c>
      <c r="Q224" s="39" t="str">
        <f>IF([8]道具信息!Q224="","",[8]道具信息!Q224)</f>
        <v/>
      </c>
      <c r="R224" s="39" t="str">
        <f>IF([8]道具信息!R224="","",[8]道具信息!R224)</f>
        <v/>
      </c>
      <c r="S224" s="39" t="str">
        <f>IF([8]道具信息!S224="","",[8]道具信息!S224)</f>
        <v/>
      </c>
      <c r="T224" s="39" t="str">
        <f>IF([8]道具信息!T224="","",[8]道具信息!T224)</f>
        <v/>
      </c>
      <c r="U224" s="39" t="str">
        <f>IF([8]道具信息!U224="","",[8]道具信息!U224)</f>
        <v/>
      </c>
      <c r="V224" s="39" t="str">
        <f>IF([8]道具信息!V224="","",[8]道具信息!V224)</f>
        <v/>
      </c>
      <c r="W224" s="39" t="str">
        <f>IF([8]道具信息!W224="","",[8]道具信息!W224)</f>
        <v/>
      </c>
      <c r="X224" s="39" t="str">
        <f>IF([8]道具信息!X224="","",[8]道具信息!X224)</f>
        <v/>
      </c>
      <c r="Y224" s="39" t="str">
        <f>IF([8]道具信息!Y224="","",[8]道具信息!Y224)</f>
        <v/>
      </c>
      <c r="Z224" s="39" t="str">
        <f>IF([8]道具信息!Z224="","",[8]道具信息!Z224)</f>
        <v/>
      </c>
    </row>
    <row r="225" spans="1:26" x14ac:dyDescent="0.15">
      <c r="A225" s="39" t="str">
        <f>IF([8]道具信息!A225="","",[8]道具信息!A225)</f>
        <v/>
      </c>
      <c r="B225" s="39" t="str">
        <f>IF([8]道具信息!B225="","",[8]道具信息!B225)</f>
        <v/>
      </c>
      <c r="C225" s="39">
        <f>IF([8]道具信息!C225="","",[8]道具信息!C225)</f>
        <v>21005</v>
      </c>
      <c r="D225" s="39" t="str">
        <f>IF([8]道具信息!D225="","",[8]道具信息!D225)</f>
        <v>一担木材</v>
      </c>
      <c r="E225" s="39">
        <f>IF([8]道具信息!E225="","",[8]道具信息!E225)</f>
        <v>6</v>
      </c>
      <c r="F225" s="39">
        <f>IF([8]道具信息!F225="","",[8]道具信息!F225)</f>
        <v>1</v>
      </c>
      <c r="G225" s="39">
        <f>IF([8]道具信息!G225="","",[8]道具信息!G225)</f>
        <v>1</v>
      </c>
      <c r="H225" s="39">
        <f>IF([8]道具信息!H225="","",[8]道具信息!H225)</f>
        <v>0.3</v>
      </c>
      <c r="I225" s="39">
        <f>IF([8]道具信息!I225="","",[8]道具信息!I225)</f>
        <v>6</v>
      </c>
      <c r="J225" s="39">
        <f>IF([8]道具信息!J225="","",[8]道具信息!J225)</f>
        <v>6</v>
      </c>
      <c r="K225" s="39">
        <f>IF([8]道具信息!K225="","",[8]道具信息!K225)</f>
        <v>1.7999999999999998</v>
      </c>
      <c r="L225" s="39" t="str">
        <f>IF([8]道具信息!L225="","",[8]道具信息!L225)</f>
        <v>使用后获得10000安全木材</v>
      </c>
      <c r="M225" s="39" t="str">
        <f>IF([8]道具信息!M225="","",[8]道具信息!M225)</f>
        <v/>
      </c>
      <c r="N225" s="39" t="str">
        <f>IF([8]道具信息!N225="","",[8]道具信息!N225)</f>
        <v/>
      </c>
      <c r="O225" s="39" t="str">
        <f>IF([8]道具信息!O225="","",[8]道具信息!O225)</f>
        <v/>
      </c>
      <c r="P225" s="39" t="str">
        <f>IF([8]道具信息!P225="","",[8]道具信息!P225)</f>
        <v/>
      </c>
      <c r="Q225" s="39" t="str">
        <f>IF([8]道具信息!Q225="","",[8]道具信息!Q225)</f>
        <v/>
      </c>
      <c r="R225" s="39" t="str">
        <f>IF([8]道具信息!R225="","",[8]道具信息!R225)</f>
        <v/>
      </c>
      <c r="S225" s="39" t="str">
        <f>IF([8]道具信息!S225="","",[8]道具信息!S225)</f>
        <v/>
      </c>
      <c r="T225" s="39" t="str">
        <f>IF([8]道具信息!T225="","",[8]道具信息!T225)</f>
        <v/>
      </c>
      <c r="U225" s="39" t="str">
        <f>IF([8]道具信息!U225="","",[8]道具信息!U225)</f>
        <v/>
      </c>
      <c r="V225" s="39" t="str">
        <f>IF([8]道具信息!V225="","",[8]道具信息!V225)</f>
        <v/>
      </c>
      <c r="W225" s="39" t="str">
        <f>IF([8]道具信息!W225="","",[8]道具信息!W225)</f>
        <v/>
      </c>
      <c r="X225" s="39" t="str">
        <f>IF([8]道具信息!X225="","",[8]道具信息!X225)</f>
        <v/>
      </c>
      <c r="Y225" s="39" t="str">
        <f>IF([8]道具信息!Y225="","",[8]道具信息!Y225)</f>
        <v/>
      </c>
      <c r="Z225" s="39" t="str">
        <f>IF([8]道具信息!Z225="","",[8]道具信息!Z225)</f>
        <v/>
      </c>
    </row>
    <row r="226" spans="1:26" x14ac:dyDescent="0.15">
      <c r="A226" s="39" t="str">
        <f>IF([8]道具信息!A226="","",[8]道具信息!A226)</f>
        <v/>
      </c>
      <c r="B226" s="39" t="str">
        <f>IF([8]道具信息!B226="","",[8]道具信息!B226)</f>
        <v/>
      </c>
      <c r="C226" s="39">
        <f>IF([8]道具信息!C226="","",[8]道具信息!C226)</f>
        <v>21006</v>
      </c>
      <c r="D226" s="39" t="str">
        <f>IF([8]道具信息!D226="","",[8]道具信息!D226)</f>
        <v>一堆木材</v>
      </c>
      <c r="E226" s="39">
        <f>IF([8]道具信息!E226="","",[8]道具信息!E226)</f>
        <v>20</v>
      </c>
      <c r="F226" s="39">
        <f>IF([8]道具信息!F226="","",[8]道具信息!F226)</f>
        <v>1</v>
      </c>
      <c r="G226" s="39">
        <f>IF([8]道具信息!G226="","",[8]道具信息!G226)</f>
        <v>1</v>
      </c>
      <c r="H226" s="39">
        <f>IF([8]道具信息!H226="","",[8]道具信息!H226)</f>
        <v>0.3</v>
      </c>
      <c r="I226" s="39">
        <f>IF([8]道具信息!I226="","",[8]道具信息!I226)</f>
        <v>20</v>
      </c>
      <c r="J226" s="39">
        <f>IF([8]道具信息!J226="","",[8]道具信息!J226)</f>
        <v>20</v>
      </c>
      <c r="K226" s="39">
        <f>IF([8]道具信息!K226="","",[8]道具信息!K226)</f>
        <v>6</v>
      </c>
      <c r="L226" s="39" t="str">
        <f>IF([8]道具信息!L226="","",[8]道具信息!L226)</f>
        <v>使用后获得50000安全木材</v>
      </c>
      <c r="M226" s="39" t="str">
        <f>IF([8]道具信息!M226="","",[8]道具信息!M226)</f>
        <v/>
      </c>
      <c r="N226" s="39" t="str">
        <f>IF([8]道具信息!N226="","",[8]道具信息!N226)</f>
        <v/>
      </c>
      <c r="O226" s="39" t="str">
        <f>IF([8]道具信息!O226="","",[8]道具信息!O226)</f>
        <v/>
      </c>
      <c r="P226" s="39" t="str">
        <f>IF([8]道具信息!P226="","",[8]道具信息!P226)</f>
        <v/>
      </c>
      <c r="Q226" s="39" t="str">
        <f>IF([8]道具信息!Q226="","",[8]道具信息!Q226)</f>
        <v/>
      </c>
      <c r="R226" s="39" t="str">
        <f>IF([8]道具信息!R226="","",[8]道具信息!R226)</f>
        <v/>
      </c>
      <c r="S226" s="39" t="str">
        <f>IF([8]道具信息!S226="","",[8]道具信息!S226)</f>
        <v/>
      </c>
      <c r="T226" s="39" t="str">
        <f>IF([8]道具信息!T226="","",[8]道具信息!T226)</f>
        <v/>
      </c>
      <c r="U226" s="39" t="str">
        <f>IF([8]道具信息!U226="","",[8]道具信息!U226)</f>
        <v/>
      </c>
      <c r="V226" s="39" t="str">
        <f>IF([8]道具信息!V226="","",[8]道具信息!V226)</f>
        <v/>
      </c>
      <c r="W226" s="39" t="str">
        <f>IF([8]道具信息!W226="","",[8]道具信息!W226)</f>
        <v/>
      </c>
      <c r="X226" s="39" t="str">
        <f>IF([8]道具信息!X226="","",[8]道具信息!X226)</f>
        <v/>
      </c>
      <c r="Y226" s="39" t="str">
        <f>IF([8]道具信息!Y226="","",[8]道具信息!Y226)</f>
        <v/>
      </c>
      <c r="Z226" s="39" t="str">
        <f>IF([8]道具信息!Z226="","",[8]道具信息!Z226)</f>
        <v/>
      </c>
    </row>
    <row r="227" spans="1:26" x14ac:dyDescent="0.15">
      <c r="A227" s="39" t="str">
        <f>IF([8]道具信息!A227="","",[8]道具信息!A227)</f>
        <v/>
      </c>
      <c r="B227" s="39" t="str">
        <f>IF([8]道具信息!B227="","",[8]道具信息!B227)</f>
        <v/>
      </c>
      <c r="C227" s="39">
        <f>IF([8]道具信息!C227="","",[8]道具信息!C227)</f>
        <v>21007</v>
      </c>
      <c r="D227" s="39" t="str">
        <f>IF([8]道具信息!D227="","",[8]道具信息!D227)</f>
        <v>一箱木材</v>
      </c>
      <c r="E227" s="39">
        <f>IF([8]道具信息!E227="","",[8]道具信息!E227)</f>
        <v>45</v>
      </c>
      <c r="F227" s="39">
        <f>IF([8]道具信息!F227="","",[8]道具信息!F227)</f>
        <v>1.333</v>
      </c>
      <c r="G227" s="39">
        <f>IF([8]道具信息!G227="","",[8]道具信息!G227)</f>
        <v>1</v>
      </c>
      <c r="H227" s="39">
        <f>IF([8]道具信息!H227="","",[8]道具信息!H227)</f>
        <v>0.3</v>
      </c>
      <c r="I227" s="39">
        <f>IF([8]道具信息!I227="","",[8]道具信息!I227)</f>
        <v>59.984999999999999</v>
      </c>
      <c r="J227" s="39">
        <f>IF([8]道具信息!J227="","",[8]道具信息!J227)</f>
        <v>45</v>
      </c>
      <c r="K227" s="39">
        <f>IF([8]道具信息!K227="","",[8]道具信息!K227)</f>
        <v>13.5</v>
      </c>
      <c r="L227" s="39" t="str">
        <f>IF([8]道具信息!L227="","",[8]道具信息!L227)</f>
        <v>使用后获得150000安全木材</v>
      </c>
      <c r="M227" s="39" t="str">
        <f>IF([8]道具信息!M227="","",[8]道具信息!M227)</f>
        <v/>
      </c>
      <c r="N227" s="39" t="str">
        <f>IF([8]道具信息!N227="","",[8]道具信息!N227)</f>
        <v/>
      </c>
      <c r="O227" s="39" t="str">
        <f>IF([8]道具信息!O227="","",[8]道具信息!O227)</f>
        <v/>
      </c>
      <c r="P227" s="39" t="str">
        <f>IF([8]道具信息!P227="","",[8]道具信息!P227)</f>
        <v/>
      </c>
      <c r="Q227" s="39" t="str">
        <f>IF([8]道具信息!Q227="","",[8]道具信息!Q227)</f>
        <v/>
      </c>
      <c r="R227" s="39" t="str">
        <f>IF([8]道具信息!R227="","",[8]道具信息!R227)</f>
        <v/>
      </c>
      <c r="S227" s="39" t="str">
        <f>IF([8]道具信息!S227="","",[8]道具信息!S227)</f>
        <v/>
      </c>
      <c r="T227" s="39" t="str">
        <f>IF([8]道具信息!T227="","",[8]道具信息!T227)</f>
        <v/>
      </c>
      <c r="U227" s="39" t="str">
        <f>IF([8]道具信息!U227="","",[8]道具信息!U227)</f>
        <v/>
      </c>
      <c r="V227" s="39" t="str">
        <f>IF([8]道具信息!V227="","",[8]道具信息!V227)</f>
        <v/>
      </c>
      <c r="W227" s="39" t="str">
        <f>IF([8]道具信息!W227="","",[8]道具信息!W227)</f>
        <v/>
      </c>
      <c r="X227" s="39" t="str">
        <f>IF([8]道具信息!X227="","",[8]道具信息!X227)</f>
        <v/>
      </c>
      <c r="Y227" s="39" t="str">
        <f>IF([8]道具信息!Y227="","",[8]道具信息!Y227)</f>
        <v/>
      </c>
      <c r="Z227" s="39" t="str">
        <f>IF([8]道具信息!Z227="","",[8]道具信息!Z227)</f>
        <v/>
      </c>
    </row>
    <row r="228" spans="1:26" x14ac:dyDescent="0.15">
      <c r="A228" s="39" t="str">
        <f>IF([8]道具信息!A228="","",[8]道具信息!A228)</f>
        <v/>
      </c>
      <c r="B228" s="39" t="str">
        <f>IF([8]道具信息!B228="","",[8]道具信息!B228)</f>
        <v/>
      </c>
      <c r="C228" s="39">
        <f>IF([8]道具信息!C228="","",[8]道具信息!C228)</f>
        <v>21008</v>
      </c>
      <c r="D228" s="39" t="str">
        <f>IF([8]道具信息!D228="","",[8]道具信息!D228)</f>
        <v>一车木材</v>
      </c>
      <c r="E228" s="39">
        <f>IF([8]道具信息!E228="","",[8]道具信息!E228)</f>
        <v>100</v>
      </c>
      <c r="F228" s="39">
        <f>IF([8]道具信息!F228="","",[8]道具信息!F228)</f>
        <v>2</v>
      </c>
      <c r="G228" s="39">
        <f>IF([8]道具信息!G228="","",[8]道具信息!G228)</f>
        <v>1</v>
      </c>
      <c r="H228" s="39">
        <f>IF([8]道具信息!H228="","",[8]道具信息!H228)</f>
        <v>0.3</v>
      </c>
      <c r="I228" s="39">
        <f>IF([8]道具信息!I228="","",[8]道具信息!I228)</f>
        <v>200</v>
      </c>
      <c r="J228" s="39">
        <f>IF([8]道具信息!J228="","",[8]道具信息!J228)</f>
        <v>100</v>
      </c>
      <c r="K228" s="39">
        <f>IF([8]道具信息!K228="","",[8]道具信息!K228)</f>
        <v>30</v>
      </c>
      <c r="L228" s="39" t="str">
        <f>IF([8]道具信息!L228="","",[8]道具信息!L228)</f>
        <v>使用后获得500000安全木材</v>
      </c>
      <c r="M228" s="39" t="str">
        <f>IF([8]道具信息!M228="","",[8]道具信息!M228)</f>
        <v/>
      </c>
      <c r="N228" s="39" t="str">
        <f>IF([8]道具信息!N228="","",[8]道具信息!N228)</f>
        <v/>
      </c>
      <c r="O228" s="39" t="str">
        <f>IF([8]道具信息!O228="","",[8]道具信息!O228)</f>
        <v/>
      </c>
      <c r="P228" s="39" t="str">
        <f>IF([8]道具信息!P228="","",[8]道具信息!P228)</f>
        <v/>
      </c>
      <c r="Q228" s="39" t="str">
        <f>IF([8]道具信息!Q228="","",[8]道具信息!Q228)</f>
        <v/>
      </c>
      <c r="R228" s="39" t="str">
        <f>IF([8]道具信息!R228="","",[8]道具信息!R228)</f>
        <v/>
      </c>
      <c r="S228" s="39" t="str">
        <f>IF([8]道具信息!S228="","",[8]道具信息!S228)</f>
        <v/>
      </c>
      <c r="T228" s="39" t="str">
        <f>IF([8]道具信息!T228="","",[8]道具信息!T228)</f>
        <v/>
      </c>
      <c r="U228" s="39" t="str">
        <f>IF([8]道具信息!U228="","",[8]道具信息!U228)</f>
        <v/>
      </c>
      <c r="V228" s="39" t="str">
        <f>IF([8]道具信息!V228="","",[8]道具信息!V228)</f>
        <v/>
      </c>
      <c r="W228" s="39" t="str">
        <f>IF([8]道具信息!W228="","",[8]道具信息!W228)</f>
        <v/>
      </c>
      <c r="X228" s="39" t="str">
        <f>IF([8]道具信息!X228="","",[8]道具信息!X228)</f>
        <v/>
      </c>
      <c r="Y228" s="39" t="str">
        <f>IF([8]道具信息!Y228="","",[8]道具信息!Y228)</f>
        <v/>
      </c>
      <c r="Z228" s="39" t="str">
        <f>IF([8]道具信息!Z228="","",[8]道具信息!Z228)</f>
        <v/>
      </c>
    </row>
    <row r="229" spans="1:26" x14ac:dyDescent="0.15">
      <c r="A229" s="39" t="str">
        <f>IF([8]道具信息!A229="","",[8]道具信息!A229)</f>
        <v/>
      </c>
      <c r="B229" s="39" t="str">
        <f>IF([8]道具信息!B229="","",[8]道具信息!B229)</f>
        <v/>
      </c>
      <c r="C229" s="39">
        <f>IF([8]道具信息!C229="","",[8]道具信息!C229)</f>
        <v>21009</v>
      </c>
      <c r="D229" s="39" t="str">
        <f>IF([8]道具信息!D229="","",[8]道具信息!D229)</f>
        <v>一担石料</v>
      </c>
      <c r="E229" s="39">
        <f>IF([8]道具信息!E229="","",[8]道具信息!E229)</f>
        <v>6</v>
      </c>
      <c r="F229" s="39">
        <f>IF([8]道具信息!F229="","",[8]道具信息!F229)</f>
        <v>1</v>
      </c>
      <c r="G229" s="39">
        <f>IF([8]道具信息!G229="","",[8]道具信息!G229)</f>
        <v>1</v>
      </c>
      <c r="H229" s="39">
        <f>IF([8]道具信息!H229="","",[8]道具信息!H229)</f>
        <v>0.3</v>
      </c>
      <c r="I229" s="39">
        <f>IF([8]道具信息!I229="","",[8]道具信息!I229)</f>
        <v>6</v>
      </c>
      <c r="J229" s="39">
        <f>IF([8]道具信息!J229="","",[8]道具信息!J229)</f>
        <v>6</v>
      </c>
      <c r="K229" s="39">
        <f>IF([8]道具信息!K229="","",[8]道具信息!K229)</f>
        <v>1.7999999999999998</v>
      </c>
      <c r="L229" s="39" t="str">
        <f>IF([8]道具信息!L229="","",[8]道具信息!L229)</f>
        <v>使用后获得10000安全石料</v>
      </c>
      <c r="M229" s="39" t="str">
        <f>IF([8]道具信息!M229="","",[8]道具信息!M229)</f>
        <v/>
      </c>
      <c r="N229" s="39" t="str">
        <f>IF([8]道具信息!N229="","",[8]道具信息!N229)</f>
        <v/>
      </c>
      <c r="O229" s="39" t="str">
        <f>IF([8]道具信息!O229="","",[8]道具信息!O229)</f>
        <v/>
      </c>
      <c r="P229" s="39" t="str">
        <f>IF([8]道具信息!P229="","",[8]道具信息!P229)</f>
        <v/>
      </c>
      <c r="Q229" s="39" t="str">
        <f>IF([8]道具信息!Q229="","",[8]道具信息!Q229)</f>
        <v/>
      </c>
      <c r="R229" s="39" t="str">
        <f>IF([8]道具信息!R229="","",[8]道具信息!R229)</f>
        <v/>
      </c>
      <c r="S229" s="39" t="str">
        <f>IF([8]道具信息!S229="","",[8]道具信息!S229)</f>
        <v/>
      </c>
      <c r="T229" s="39" t="str">
        <f>IF([8]道具信息!T229="","",[8]道具信息!T229)</f>
        <v/>
      </c>
      <c r="U229" s="39" t="str">
        <f>IF([8]道具信息!U229="","",[8]道具信息!U229)</f>
        <v/>
      </c>
      <c r="V229" s="39" t="str">
        <f>IF([8]道具信息!V229="","",[8]道具信息!V229)</f>
        <v/>
      </c>
      <c r="W229" s="39" t="str">
        <f>IF([8]道具信息!W229="","",[8]道具信息!W229)</f>
        <v/>
      </c>
      <c r="X229" s="39" t="str">
        <f>IF([8]道具信息!X229="","",[8]道具信息!X229)</f>
        <v/>
      </c>
      <c r="Y229" s="39" t="str">
        <f>IF([8]道具信息!Y229="","",[8]道具信息!Y229)</f>
        <v/>
      </c>
      <c r="Z229" s="39" t="str">
        <f>IF([8]道具信息!Z229="","",[8]道具信息!Z229)</f>
        <v/>
      </c>
    </row>
    <row r="230" spans="1:26" x14ac:dyDescent="0.15">
      <c r="A230" s="39" t="str">
        <f>IF([8]道具信息!A230="","",[8]道具信息!A230)</f>
        <v/>
      </c>
      <c r="B230" s="39" t="str">
        <f>IF([8]道具信息!B230="","",[8]道具信息!B230)</f>
        <v/>
      </c>
      <c r="C230" s="39">
        <f>IF([8]道具信息!C230="","",[8]道具信息!C230)</f>
        <v>21010</v>
      </c>
      <c r="D230" s="39" t="str">
        <f>IF([8]道具信息!D230="","",[8]道具信息!D230)</f>
        <v>一堆石料</v>
      </c>
      <c r="E230" s="39">
        <f>IF([8]道具信息!E230="","",[8]道具信息!E230)</f>
        <v>20</v>
      </c>
      <c r="F230" s="39">
        <f>IF([8]道具信息!F230="","",[8]道具信息!F230)</f>
        <v>1</v>
      </c>
      <c r="G230" s="39">
        <f>IF([8]道具信息!G230="","",[8]道具信息!G230)</f>
        <v>1</v>
      </c>
      <c r="H230" s="39">
        <f>IF([8]道具信息!H230="","",[8]道具信息!H230)</f>
        <v>0.3</v>
      </c>
      <c r="I230" s="39">
        <f>IF([8]道具信息!I230="","",[8]道具信息!I230)</f>
        <v>20</v>
      </c>
      <c r="J230" s="39">
        <f>IF([8]道具信息!J230="","",[8]道具信息!J230)</f>
        <v>20</v>
      </c>
      <c r="K230" s="39">
        <f>IF([8]道具信息!K230="","",[8]道具信息!K230)</f>
        <v>6</v>
      </c>
      <c r="L230" s="39" t="str">
        <f>IF([8]道具信息!L230="","",[8]道具信息!L230)</f>
        <v>使用后获得50000安全石料</v>
      </c>
      <c r="M230" s="39" t="str">
        <f>IF([8]道具信息!M230="","",[8]道具信息!M230)</f>
        <v/>
      </c>
      <c r="N230" s="39" t="str">
        <f>IF([8]道具信息!N230="","",[8]道具信息!N230)</f>
        <v/>
      </c>
      <c r="O230" s="39" t="str">
        <f>IF([8]道具信息!O230="","",[8]道具信息!O230)</f>
        <v/>
      </c>
      <c r="P230" s="39" t="str">
        <f>IF([8]道具信息!P230="","",[8]道具信息!P230)</f>
        <v/>
      </c>
      <c r="Q230" s="39" t="str">
        <f>IF([8]道具信息!Q230="","",[8]道具信息!Q230)</f>
        <v/>
      </c>
      <c r="R230" s="39" t="str">
        <f>IF([8]道具信息!R230="","",[8]道具信息!R230)</f>
        <v/>
      </c>
      <c r="S230" s="39" t="str">
        <f>IF([8]道具信息!S230="","",[8]道具信息!S230)</f>
        <v/>
      </c>
      <c r="T230" s="39" t="str">
        <f>IF([8]道具信息!T230="","",[8]道具信息!T230)</f>
        <v/>
      </c>
      <c r="U230" s="39" t="str">
        <f>IF([8]道具信息!U230="","",[8]道具信息!U230)</f>
        <v/>
      </c>
      <c r="V230" s="39" t="str">
        <f>IF([8]道具信息!V230="","",[8]道具信息!V230)</f>
        <v/>
      </c>
      <c r="W230" s="39" t="str">
        <f>IF([8]道具信息!W230="","",[8]道具信息!W230)</f>
        <v/>
      </c>
      <c r="X230" s="39" t="str">
        <f>IF([8]道具信息!X230="","",[8]道具信息!X230)</f>
        <v/>
      </c>
      <c r="Y230" s="39" t="str">
        <f>IF([8]道具信息!Y230="","",[8]道具信息!Y230)</f>
        <v/>
      </c>
      <c r="Z230" s="39" t="str">
        <f>IF([8]道具信息!Z230="","",[8]道具信息!Z230)</f>
        <v/>
      </c>
    </row>
    <row r="231" spans="1:26" x14ac:dyDescent="0.15">
      <c r="A231" s="39" t="str">
        <f>IF([8]道具信息!A231="","",[8]道具信息!A231)</f>
        <v/>
      </c>
      <c r="B231" s="39" t="str">
        <f>IF([8]道具信息!B231="","",[8]道具信息!B231)</f>
        <v/>
      </c>
      <c r="C231" s="39">
        <f>IF([8]道具信息!C231="","",[8]道具信息!C231)</f>
        <v>21011</v>
      </c>
      <c r="D231" s="39" t="str">
        <f>IF([8]道具信息!D231="","",[8]道具信息!D231)</f>
        <v>一箱石料</v>
      </c>
      <c r="E231" s="39">
        <f>IF([8]道具信息!E231="","",[8]道具信息!E231)</f>
        <v>45</v>
      </c>
      <c r="F231" s="39">
        <f>IF([8]道具信息!F231="","",[8]道具信息!F231)</f>
        <v>1.333</v>
      </c>
      <c r="G231" s="39">
        <f>IF([8]道具信息!G231="","",[8]道具信息!G231)</f>
        <v>1</v>
      </c>
      <c r="H231" s="39">
        <f>IF([8]道具信息!H231="","",[8]道具信息!H231)</f>
        <v>0.3</v>
      </c>
      <c r="I231" s="39">
        <f>IF([8]道具信息!I231="","",[8]道具信息!I231)</f>
        <v>59.984999999999999</v>
      </c>
      <c r="J231" s="39">
        <f>IF([8]道具信息!J231="","",[8]道具信息!J231)</f>
        <v>45</v>
      </c>
      <c r="K231" s="39">
        <f>IF([8]道具信息!K231="","",[8]道具信息!K231)</f>
        <v>13.5</v>
      </c>
      <c r="L231" s="39" t="str">
        <f>IF([8]道具信息!L231="","",[8]道具信息!L231)</f>
        <v>使用后获得150000安全石料</v>
      </c>
      <c r="M231" s="39" t="str">
        <f>IF([8]道具信息!M231="","",[8]道具信息!M231)</f>
        <v/>
      </c>
      <c r="N231" s="39" t="str">
        <f>IF([8]道具信息!N231="","",[8]道具信息!N231)</f>
        <v/>
      </c>
      <c r="O231" s="39" t="str">
        <f>IF([8]道具信息!O231="","",[8]道具信息!O231)</f>
        <v/>
      </c>
      <c r="P231" s="39" t="str">
        <f>IF([8]道具信息!P231="","",[8]道具信息!P231)</f>
        <v/>
      </c>
      <c r="Q231" s="39" t="str">
        <f>IF([8]道具信息!Q231="","",[8]道具信息!Q231)</f>
        <v/>
      </c>
      <c r="R231" s="39" t="str">
        <f>IF([8]道具信息!R231="","",[8]道具信息!R231)</f>
        <v/>
      </c>
      <c r="S231" s="39" t="str">
        <f>IF([8]道具信息!S231="","",[8]道具信息!S231)</f>
        <v/>
      </c>
      <c r="T231" s="39" t="str">
        <f>IF([8]道具信息!T231="","",[8]道具信息!T231)</f>
        <v/>
      </c>
      <c r="U231" s="39" t="str">
        <f>IF([8]道具信息!U231="","",[8]道具信息!U231)</f>
        <v/>
      </c>
      <c r="V231" s="39" t="str">
        <f>IF([8]道具信息!V231="","",[8]道具信息!V231)</f>
        <v/>
      </c>
      <c r="W231" s="39" t="str">
        <f>IF([8]道具信息!W231="","",[8]道具信息!W231)</f>
        <v/>
      </c>
      <c r="X231" s="39" t="str">
        <f>IF([8]道具信息!X231="","",[8]道具信息!X231)</f>
        <v/>
      </c>
      <c r="Y231" s="39" t="str">
        <f>IF([8]道具信息!Y231="","",[8]道具信息!Y231)</f>
        <v/>
      </c>
      <c r="Z231" s="39" t="str">
        <f>IF([8]道具信息!Z231="","",[8]道具信息!Z231)</f>
        <v/>
      </c>
    </row>
    <row r="232" spans="1:26" x14ac:dyDescent="0.15">
      <c r="A232" s="39" t="str">
        <f>IF([8]道具信息!A232="","",[8]道具信息!A232)</f>
        <v/>
      </c>
      <c r="B232" s="39" t="str">
        <f>IF([8]道具信息!B232="","",[8]道具信息!B232)</f>
        <v/>
      </c>
      <c r="C232" s="39">
        <f>IF([8]道具信息!C232="","",[8]道具信息!C232)</f>
        <v>21012</v>
      </c>
      <c r="D232" s="39" t="str">
        <f>IF([8]道具信息!D232="","",[8]道具信息!D232)</f>
        <v>一车石料</v>
      </c>
      <c r="E232" s="39">
        <f>IF([8]道具信息!E232="","",[8]道具信息!E232)</f>
        <v>100</v>
      </c>
      <c r="F232" s="39">
        <f>IF([8]道具信息!F232="","",[8]道具信息!F232)</f>
        <v>2</v>
      </c>
      <c r="G232" s="39">
        <f>IF([8]道具信息!G232="","",[8]道具信息!G232)</f>
        <v>1</v>
      </c>
      <c r="H232" s="39">
        <f>IF([8]道具信息!H232="","",[8]道具信息!H232)</f>
        <v>0.3</v>
      </c>
      <c r="I232" s="39">
        <f>IF([8]道具信息!I232="","",[8]道具信息!I232)</f>
        <v>200</v>
      </c>
      <c r="J232" s="39">
        <f>IF([8]道具信息!J232="","",[8]道具信息!J232)</f>
        <v>100</v>
      </c>
      <c r="K232" s="39">
        <f>IF([8]道具信息!K232="","",[8]道具信息!K232)</f>
        <v>30</v>
      </c>
      <c r="L232" s="39" t="str">
        <f>IF([8]道具信息!L232="","",[8]道具信息!L232)</f>
        <v>使用后获得500000安全石料</v>
      </c>
      <c r="M232" s="39" t="str">
        <f>IF([8]道具信息!M232="","",[8]道具信息!M232)</f>
        <v/>
      </c>
      <c r="N232" s="39" t="str">
        <f>IF([8]道具信息!N232="","",[8]道具信息!N232)</f>
        <v/>
      </c>
      <c r="O232" s="39" t="str">
        <f>IF([8]道具信息!O232="","",[8]道具信息!O232)</f>
        <v/>
      </c>
      <c r="P232" s="39" t="str">
        <f>IF([8]道具信息!P232="","",[8]道具信息!P232)</f>
        <v/>
      </c>
      <c r="Q232" s="39" t="str">
        <f>IF([8]道具信息!Q232="","",[8]道具信息!Q232)</f>
        <v/>
      </c>
      <c r="R232" s="39" t="str">
        <f>IF([8]道具信息!R232="","",[8]道具信息!R232)</f>
        <v/>
      </c>
      <c r="S232" s="39" t="str">
        <f>IF([8]道具信息!S232="","",[8]道具信息!S232)</f>
        <v/>
      </c>
      <c r="T232" s="39" t="str">
        <f>IF([8]道具信息!T232="","",[8]道具信息!T232)</f>
        <v/>
      </c>
      <c r="U232" s="39" t="str">
        <f>IF([8]道具信息!U232="","",[8]道具信息!U232)</f>
        <v/>
      </c>
      <c r="V232" s="39" t="str">
        <f>IF([8]道具信息!V232="","",[8]道具信息!V232)</f>
        <v/>
      </c>
      <c r="W232" s="39" t="str">
        <f>IF([8]道具信息!W232="","",[8]道具信息!W232)</f>
        <v/>
      </c>
      <c r="X232" s="39" t="str">
        <f>IF([8]道具信息!X232="","",[8]道具信息!X232)</f>
        <v/>
      </c>
      <c r="Y232" s="39" t="str">
        <f>IF([8]道具信息!Y232="","",[8]道具信息!Y232)</f>
        <v/>
      </c>
      <c r="Z232" s="39" t="str">
        <f>IF([8]道具信息!Z232="","",[8]道具信息!Z232)</f>
        <v/>
      </c>
    </row>
    <row r="233" spans="1:26" x14ac:dyDescent="0.15">
      <c r="A233" s="39" t="str">
        <f>IF([8]道具信息!A233="","",[8]道具信息!A233)</f>
        <v/>
      </c>
      <c r="B233" s="39" t="str">
        <f>IF([8]道具信息!B233="","",[8]道具信息!B233)</f>
        <v/>
      </c>
      <c r="C233" s="39">
        <f>IF([8]道具信息!C233="","",[8]道具信息!C233)</f>
        <v>21013</v>
      </c>
      <c r="D233" s="39" t="str">
        <f>IF([8]道具信息!D233="","",[8]道具信息!D233)</f>
        <v>一担铁矿</v>
      </c>
      <c r="E233" s="39">
        <f>IF([8]道具信息!E233="","",[8]道具信息!E233)</f>
        <v>12</v>
      </c>
      <c r="F233" s="39">
        <f>IF([8]道具信息!F233="","",[8]道具信息!F233)</f>
        <v>1</v>
      </c>
      <c r="G233" s="39">
        <f>IF([8]道具信息!G233="","",[8]道具信息!G233)</f>
        <v>1</v>
      </c>
      <c r="H233" s="39">
        <f>IF([8]道具信息!H233="","",[8]道具信息!H233)</f>
        <v>0.3</v>
      </c>
      <c r="I233" s="39">
        <f>IF([8]道具信息!I233="","",[8]道具信息!I233)</f>
        <v>12</v>
      </c>
      <c r="J233" s="39">
        <f>IF([8]道具信息!J233="","",[8]道具信息!J233)</f>
        <v>12</v>
      </c>
      <c r="K233" s="39">
        <f>IF([8]道具信息!K233="","",[8]道具信息!K233)</f>
        <v>3.5999999999999996</v>
      </c>
      <c r="L233" s="39" t="str">
        <f>IF([8]道具信息!L233="","",[8]道具信息!L233)</f>
        <v>使用后获得10000安全铁矿</v>
      </c>
      <c r="M233" s="39" t="str">
        <f>IF([8]道具信息!M233="","",[8]道具信息!M233)</f>
        <v/>
      </c>
      <c r="N233" s="39" t="str">
        <f>IF([8]道具信息!N233="","",[8]道具信息!N233)</f>
        <v/>
      </c>
      <c r="O233" s="39" t="str">
        <f>IF([8]道具信息!O233="","",[8]道具信息!O233)</f>
        <v/>
      </c>
      <c r="P233" s="39" t="str">
        <f>IF([8]道具信息!P233="","",[8]道具信息!P233)</f>
        <v/>
      </c>
      <c r="Q233" s="39" t="str">
        <f>IF([8]道具信息!Q233="","",[8]道具信息!Q233)</f>
        <v/>
      </c>
      <c r="R233" s="39" t="str">
        <f>IF([8]道具信息!R233="","",[8]道具信息!R233)</f>
        <v/>
      </c>
      <c r="S233" s="39" t="str">
        <f>IF([8]道具信息!S233="","",[8]道具信息!S233)</f>
        <v/>
      </c>
      <c r="T233" s="39" t="str">
        <f>IF([8]道具信息!T233="","",[8]道具信息!T233)</f>
        <v/>
      </c>
      <c r="U233" s="39" t="str">
        <f>IF([8]道具信息!U233="","",[8]道具信息!U233)</f>
        <v/>
      </c>
      <c r="V233" s="39" t="str">
        <f>IF([8]道具信息!V233="","",[8]道具信息!V233)</f>
        <v/>
      </c>
      <c r="W233" s="39" t="str">
        <f>IF([8]道具信息!W233="","",[8]道具信息!W233)</f>
        <v/>
      </c>
      <c r="X233" s="39" t="str">
        <f>IF([8]道具信息!X233="","",[8]道具信息!X233)</f>
        <v/>
      </c>
      <c r="Y233" s="39" t="str">
        <f>IF([8]道具信息!Y233="","",[8]道具信息!Y233)</f>
        <v/>
      </c>
      <c r="Z233" s="39" t="str">
        <f>IF([8]道具信息!Z233="","",[8]道具信息!Z233)</f>
        <v/>
      </c>
    </row>
    <row r="234" spans="1:26" x14ac:dyDescent="0.15">
      <c r="A234" s="39" t="str">
        <f>IF([8]道具信息!A234="","",[8]道具信息!A234)</f>
        <v/>
      </c>
      <c r="B234" s="39" t="str">
        <f>IF([8]道具信息!B234="","",[8]道具信息!B234)</f>
        <v/>
      </c>
      <c r="C234" s="39">
        <f>IF([8]道具信息!C234="","",[8]道具信息!C234)</f>
        <v>21014</v>
      </c>
      <c r="D234" s="39" t="str">
        <f>IF([8]道具信息!D234="","",[8]道具信息!D234)</f>
        <v>一堆铁矿</v>
      </c>
      <c r="E234" s="39">
        <f>IF([8]道具信息!E234="","",[8]道具信息!E234)</f>
        <v>40</v>
      </c>
      <c r="F234" s="39">
        <f>IF([8]道具信息!F234="","",[8]道具信息!F234)</f>
        <v>1</v>
      </c>
      <c r="G234" s="39">
        <f>IF([8]道具信息!G234="","",[8]道具信息!G234)</f>
        <v>1</v>
      </c>
      <c r="H234" s="39">
        <f>IF([8]道具信息!H234="","",[8]道具信息!H234)</f>
        <v>0.3</v>
      </c>
      <c r="I234" s="39">
        <f>IF([8]道具信息!I234="","",[8]道具信息!I234)</f>
        <v>40</v>
      </c>
      <c r="J234" s="39">
        <f>IF([8]道具信息!J234="","",[8]道具信息!J234)</f>
        <v>40</v>
      </c>
      <c r="K234" s="39">
        <f>IF([8]道具信息!K234="","",[8]道具信息!K234)</f>
        <v>12</v>
      </c>
      <c r="L234" s="39" t="str">
        <f>IF([8]道具信息!L234="","",[8]道具信息!L234)</f>
        <v>使用后获得50000安全铁矿</v>
      </c>
      <c r="M234" s="39" t="str">
        <f>IF([8]道具信息!M234="","",[8]道具信息!M234)</f>
        <v/>
      </c>
      <c r="N234" s="39" t="str">
        <f>IF([8]道具信息!N234="","",[8]道具信息!N234)</f>
        <v/>
      </c>
      <c r="O234" s="39" t="str">
        <f>IF([8]道具信息!O234="","",[8]道具信息!O234)</f>
        <v/>
      </c>
      <c r="P234" s="39" t="str">
        <f>IF([8]道具信息!P234="","",[8]道具信息!P234)</f>
        <v/>
      </c>
      <c r="Q234" s="39" t="str">
        <f>IF([8]道具信息!Q234="","",[8]道具信息!Q234)</f>
        <v/>
      </c>
      <c r="R234" s="39" t="str">
        <f>IF([8]道具信息!R234="","",[8]道具信息!R234)</f>
        <v/>
      </c>
      <c r="S234" s="39" t="str">
        <f>IF([8]道具信息!S234="","",[8]道具信息!S234)</f>
        <v/>
      </c>
      <c r="T234" s="39" t="str">
        <f>IF([8]道具信息!T234="","",[8]道具信息!T234)</f>
        <v/>
      </c>
      <c r="U234" s="39" t="str">
        <f>IF([8]道具信息!U234="","",[8]道具信息!U234)</f>
        <v/>
      </c>
      <c r="V234" s="39" t="str">
        <f>IF([8]道具信息!V234="","",[8]道具信息!V234)</f>
        <v/>
      </c>
      <c r="W234" s="39" t="str">
        <f>IF([8]道具信息!W234="","",[8]道具信息!W234)</f>
        <v/>
      </c>
      <c r="X234" s="39" t="str">
        <f>IF([8]道具信息!X234="","",[8]道具信息!X234)</f>
        <v/>
      </c>
      <c r="Y234" s="39" t="str">
        <f>IF([8]道具信息!Y234="","",[8]道具信息!Y234)</f>
        <v/>
      </c>
      <c r="Z234" s="39" t="str">
        <f>IF([8]道具信息!Z234="","",[8]道具信息!Z234)</f>
        <v/>
      </c>
    </row>
    <row r="235" spans="1:26" x14ac:dyDescent="0.15">
      <c r="A235" s="39" t="str">
        <f>IF([8]道具信息!A235="","",[8]道具信息!A235)</f>
        <v/>
      </c>
      <c r="B235" s="39" t="str">
        <f>IF([8]道具信息!B235="","",[8]道具信息!B235)</f>
        <v/>
      </c>
      <c r="C235" s="39">
        <f>IF([8]道具信息!C235="","",[8]道具信息!C235)</f>
        <v>21015</v>
      </c>
      <c r="D235" s="39" t="str">
        <f>IF([8]道具信息!D235="","",[8]道具信息!D235)</f>
        <v>一箱铁矿</v>
      </c>
      <c r="E235" s="39">
        <f>IF([8]道具信息!E235="","",[8]道具信息!E235)</f>
        <v>90</v>
      </c>
      <c r="F235" s="39">
        <f>IF([8]道具信息!F235="","",[8]道具信息!F235)</f>
        <v>1.333</v>
      </c>
      <c r="G235" s="39">
        <f>IF([8]道具信息!G235="","",[8]道具信息!G235)</f>
        <v>1</v>
      </c>
      <c r="H235" s="39">
        <f>IF([8]道具信息!H235="","",[8]道具信息!H235)</f>
        <v>0.3</v>
      </c>
      <c r="I235" s="39">
        <f>IF([8]道具信息!I235="","",[8]道具信息!I235)</f>
        <v>119.97</v>
      </c>
      <c r="J235" s="39">
        <f>IF([8]道具信息!J235="","",[8]道具信息!J235)</f>
        <v>90</v>
      </c>
      <c r="K235" s="39">
        <f>IF([8]道具信息!K235="","",[8]道具信息!K235)</f>
        <v>27</v>
      </c>
      <c r="L235" s="39" t="str">
        <f>IF([8]道具信息!L235="","",[8]道具信息!L235)</f>
        <v>使用后获得150000安全铁矿</v>
      </c>
      <c r="M235" s="39" t="str">
        <f>IF([8]道具信息!M235="","",[8]道具信息!M235)</f>
        <v/>
      </c>
      <c r="N235" s="39" t="str">
        <f>IF([8]道具信息!N235="","",[8]道具信息!N235)</f>
        <v/>
      </c>
      <c r="O235" s="39" t="str">
        <f>IF([8]道具信息!O235="","",[8]道具信息!O235)</f>
        <v/>
      </c>
      <c r="P235" s="39" t="str">
        <f>IF([8]道具信息!P235="","",[8]道具信息!P235)</f>
        <v/>
      </c>
      <c r="Q235" s="39" t="str">
        <f>IF([8]道具信息!Q235="","",[8]道具信息!Q235)</f>
        <v/>
      </c>
      <c r="R235" s="39" t="str">
        <f>IF([8]道具信息!R235="","",[8]道具信息!R235)</f>
        <v/>
      </c>
      <c r="S235" s="39" t="str">
        <f>IF([8]道具信息!S235="","",[8]道具信息!S235)</f>
        <v/>
      </c>
      <c r="T235" s="39" t="str">
        <f>IF([8]道具信息!T235="","",[8]道具信息!T235)</f>
        <v/>
      </c>
      <c r="U235" s="39" t="str">
        <f>IF([8]道具信息!U235="","",[8]道具信息!U235)</f>
        <v/>
      </c>
      <c r="V235" s="39" t="str">
        <f>IF([8]道具信息!V235="","",[8]道具信息!V235)</f>
        <v/>
      </c>
      <c r="W235" s="39" t="str">
        <f>IF([8]道具信息!W235="","",[8]道具信息!W235)</f>
        <v/>
      </c>
      <c r="X235" s="39" t="str">
        <f>IF([8]道具信息!X235="","",[8]道具信息!X235)</f>
        <v/>
      </c>
      <c r="Y235" s="39" t="str">
        <f>IF([8]道具信息!Y235="","",[8]道具信息!Y235)</f>
        <v/>
      </c>
      <c r="Z235" s="39" t="str">
        <f>IF([8]道具信息!Z235="","",[8]道具信息!Z235)</f>
        <v/>
      </c>
    </row>
    <row r="236" spans="1:26" x14ac:dyDescent="0.15">
      <c r="A236" s="39" t="str">
        <f>IF([8]道具信息!A236="","",[8]道具信息!A236)</f>
        <v/>
      </c>
      <c r="B236" s="39" t="str">
        <f>IF([8]道具信息!B236="","",[8]道具信息!B236)</f>
        <v/>
      </c>
      <c r="C236" s="39">
        <f>IF([8]道具信息!C236="","",[8]道具信息!C236)</f>
        <v>21016</v>
      </c>
      <c r="D236" s="39" t="str">
        <f>IF([8]道具信息!D236="","",[8]道具信息!D236)</f>
        <v>一车铁矿</v>
      </c>
      <c r="E236" s="39">
        <f>IF([8]道具信息!E236="","",[8]道具信息!E236)</f>
        <v>200</v>
      </c>
      <c r="F236" s="39">
        <f>IF([8]道具信息!F236="","",[8]道具信息!F236)</f>
        <v>2</v>
      </c>
      <c r="G236" s="39">
        <f>IF([8]道具信息!G236="","",[8]道具信息!G236)</f>
        <v>1</v>
      </c>
      <c r="H236" s="39">
        <f>IF([8]道具信息!H236="","",[8]道具信息!H236)</f>
        <v>0.3</v>
      </c>
      <c r="I236" s="39">
        <f>IF([8]道具信息!I236="","",[8]道具信息!I236)</f>
        <v>400</v>
      </c>
      <c r="J236" s="39">
        <f>IF([8]道具信息!J236="","",[8]道具信息!J236)</f>
        <v>200</v>
      </c>
      <c r="K236" s="39">
        <f>IF([8]道具信息!K236="","",[8]道具信息!K236)</f>
        <v>60</v>
      </c>
      <c r="L236" s="39" t="str">
        <f>IF([8]道具信息!L236="","",[8]道具信息!L236)</f>
        <v>使用后获得500000安全铁矿</v>
      </c>
      <c r="M236" s="39" t="str">
        <f>IF([8]道具信息!M236="","",[8]道具信息!M236)</f>
        <v/>
      </c>
      <c r="N236" s="39" t="str">
        <f>IF([8]道具信息!N236="","",[8]道具信息!N236)</f>
        <v/>
      </c>
      <c r="O236" s="39" t="str">
        <f>IF([8]道具信息!O236="","",[8]道具信息!O236)</f>
        <v/>
      </c>
      <c r="P236" s="39" t="str">
        <f>IF([8]道具信息!P236="","",[8]道具信息!P236)</f>
        <v/>
      </c>
      <c r="Q236" s="39" t="str">
        <f>IF([8]道具信息!Q236="","",[8]道具信息!Q236)</f>
        <v/>
      </c>
      <c r="R236" s="39" t="str">
        <f>IF([8]道具信息!R236="","",[8]道具信息!R236)</f>
        <v/>
      </c>
      <c r="S236" s="39" t="str">
        <f>IF([8]道具信息!S236="","",[8]道具信息!S236)</f>
        <v/>
      </c>
      <c r="T236" s="39" t="str">
        <f>IF([8]道具信息!T236="","",[8]道具信息!T236)</f>
        <v/>
      </c>
      <c r="U236" s="39" t="str">
        <f>IF([8]道具信息!U236="","",[8]道具信息!U236)</f>
        <v/>
      </c>
      <c r="V236" s="39" t="str">
        <f>IF([8]道具信息!V236="","",[8]道具信息!V236)</f>
        <v/>
      </c>
      <c r="W236" s="39" t="str">
        <f>IF([8]道具信息!W236="","",[8]道具信息!W236)</f>
        <v/>
      </c>
      <c r="X236" s="39" t="str">
        <f>IF([8]道具信息!X236="","",[8]道具信息!X236)</f>
        <v/>
      </c>
      <c r="Y236" s="39" t="str">
        <f>IF([8]道具信息!Y236="","",[8]道具信息!Y236)</f>
        <v/>
      </c>
      <c r="Z236" s="39" t="str">
        <f>IF([8]道具信息!Z236="","",[8]道具信息!Z236)</f>
        <v/>
      </c>
    </row>
    <row r="237" spans="1:26" x14ac:dyDescent="0.15">
      <c r="A237" s="39" t="str">
        <f>IF([8]道具信息!A237="","",[8]道具信息!A237)</f>
        <v/>
      </c>
      <c r="B237" s="39" t="str">
        <f>IF([8]道具信息!B237="","",[8]道具信息!B237)</f>
        <v/>
      </c>
      <c r="C237" s="39">
        <f>IF([8]道具信息!C237="","",[8]道具信息!C237)</f>
        <v>21017</v>
      </c>
      <c r="D237" s="39" t="str">
        <f>IF([8]道具信息!D237="","",[8]道具信息!D237)</f>
        <v>一担铜矿</v>
      </c>
      <c r="E237" s="39">
        <f>IF([8]道具信息!E237="","",[8]道具信息!E237)</f>
        <v>6</v>
      </c>
      <c r="F237" s="39">
        <f>IF([8]道具信息!F237="","",[8]道具信息!F237)</f>
        <v>1</v>
      </c>
      <c r="G237" s="39">
        <f>IF([8]道具信息!G237="","",[8]道具信息!G237)</f>
        <v>1</v>
      </c>
      <c r="H237" s="39">
        <f>IF([8]道具信息!H237="","",[8]道具信息!H237)</f>
        <v>0.3</v>
      </c>
      <c r="I237" s="39">
        <f>IF([8]道具信息!I237="","",[8]道具信息!I237)</f>
        <v>6</v>
      </c>
      <c r="J237" s="39">
        <f>IF([8]道具信息!J237="","",[8]道具信息!J237)</f>
        <v>6</v>
      </c>
      <c r="K237" s="39">
        <f>IF([8]道具信息!K237="","",[8]道具信息!K237)</f>
        <v>1.7999999999999998</v>
      </c>
      <c r="L237" s="39" t="str">
        <f>IF([8]道具信息!L237="","",[8]道具信息!L237)</f>
        <v>使用后获得10000安全铜矿</v>
      </c>
      <c r="M237" s="39" t="str">
        <f>IF([8]道具信息!M237="","",[8]道具信息!M237)</f>
        <v/>
      </c>
      <c r="N237" s="39" t="str">
        <f>IF([8]道具信息!N237="","",[8]道具信息!N237)</f>
        <v/>
      </c>
      <c r="O237" s="39" t="str">
        <f>IF([8]道具信息!O237="","",[8]道具信息!O237)</f>
        <v/>
      </c>
      <c r="P237" s="39" t="str">
        <f>IF([8]道具信息!P237="","",[8]道具信息!P237)</f>
        <v/>
      </c>
      <c r="Q237" s="39" t="str">
        <f>IF([8]道具信息!Q237="","",[8]道具信息!Q237)</f>
        <v/>
      </c>
      <c r="R237" s="39" t="str">
        <f>IF([8]道具信息!R237="","",[8]道具信息!R237)</f>
        <v/>
      </c>
      <c r="S237" s="39" t="str">
        <f>IF([8]道具信息!S237="","",[8]道具信息!S237)</f>
        <v/>
      </c>
      <c r="T237" s="39" t="str">
        <f>IF([8]道具信息!T237="","",[8]道具信息!T237)</f>
        <v/>
      </c>
      <c r="U237" s="39" t="str">
        <f>IF([8]道具信息!U237="","",[8]道具信息!U237)</f>
        <v/>
      </c>
      <c r="V237" s="39" t="str">
        <f>IF([8]道具信息!V237="","",[8]道具信息!V237)</f>
        <v/>
      </c>
      <c r="W237" s="39" t="str">
        <f>IF([8]道具信息!W237="","",[8]道具信息!W237)</f>
        <v/>
      </c>
      <c r="X237" s="39" t="str">
        <f>IF([8]道具信息!X237="","",[8]道具信息!X237)</f>
        <v/>
      </c>
      <c r="Y237" s="39" t="str">
        <f>IF([8]道具信息!Y237="","",[8]道具信息!Y237)</f>
        <v/>
      </c>
      <c r="Z237" s="39" t="str">
        <f>IF([8]道具信息!Z237="","",[8]道具信息!Z237)</f>
        <v/>
      </c>
    </row>
    <row r="238" spans="1:26" x14ac:dyDescent="0.15">
      <c r="A238" s="39" t="str">
        <f>IF([8]道具信息!A238="","",[8]道具信息!A238)</f>
        <v/>
      </c>
      <c r="B238" s="39" t="str">
        <f>IF([8]道具信息!B238="","",[8]道具信息!B238)</f>
        <v/>
      </c>
      <c r="C238" s="39">
        <f>IF([8]道具信息!C238="","",[8]道具信息!C238)</f>
        <v>21018</v>
      </c>
      <c r="D238" s="39" t="str">
        <f>IF([8]道具信息!D238="","",[8]道具信息!D238)</f>
        <v>一堆铜矿</v>
      </c>
      <c r="E238" s="39">
        <f>IF([8]道具信息!E238="","",[8]道具信息!E238)</f>
        <v>20</v>
      </c>
      <c r="F238" s="39">
        <f>IF([8]道具信息!F238="","",[8]道具信息!F238)</f>
        <v>1</v>
      </c>
      <c r="G238" s="39">
        <f>IF([8]道具信息!G238="","",[8]道具信息!G238)</f>
        <v>1</v>
      </c>
      <c r="H238" s="39">
        <f>IF([8]道具信息!H238="","",[8]道具信息!H238)</f>
        <v>0.3</v>
      </c>
      <c r="I238" s="39">
        <f>IF([8]道具信息!I238="","",[8]道具信息!I238)</f>
        <v>20</v>
      </c>
      <c r="J238" s="39">
        <f>IF([8]道具信息!J238="","",[8]道具信息!J238)</f>
        <v>20</v>
      </c>
      <c r="K238" s="39">
        <f>IF([8]道具信息!K238="","",[8]道具信息!K238)</f>
        <v>6</v>
      </c>
      <c r="L238" s="39" t="str">
        <f>IF([8]道具信息!L238="","",[8]道具信息!L238)</f>
        <v>使用后获得50000安全铜矿</v>
      </c>
      <c r="M238" s="39" t="str">
        <f>IF([8]道具信息!M238="","",[8]道具信息!M238)</f>
        <v/>
      </c>
      <c r="N238" s="39" t="str">
        <f>IF([8]道具信息!N238="","",[8]道具信息!N238)</f>
        <v/>
      </c>
      <c r="O238" s="39" t="str">
        <f>IF([8]道具信息!O238="","",[8]道具信息!O238)</f>
        <v/>
      </c>
      <c r="P238" s="39" t="str">
        <f>IF([8]道具信息!P238="","",[8]道具信息!P238)</f>
        <v/>
      </c>
      <c r="Q238" s="39" t="str">
        <f>IF([8]道具信息!Q238="","",[8]道具信息!Q238)</f>
        <v/>
      </c>
      <c r="R238" s="39" t="str">
        <f>IF([8]道具信息!R238="","",[8]道具信息!R238)</f>
        <v/>
      </c>
      <c r="S238" s="39" t="str">
        <f>IF([8]道具信息!S238="","",[8]道具信息!S238)</f>
        <v/>
      </c>
      <c r="T238" s="39" t="str">
        <f>IF([8]道具信息!T238="","",[8]道具信息!T238)</f>
        <v/>
      </c>
      <c r="U238" s="39" t="str">
        <f>IF([8]道具信息!U238="","",[8]道具信息!U238)</f>
        <v/>
      </c>
      <c r="V238" s="39" t="str">
        <f>IF([8]道具信息!V238="","",[8]道具信息!V238)</f>
        <v/>
      </c>
      <c r="W238" s="39" t="str">
        <f>IF([8]道具信息!W238="","",[8]道具信息!W238)</f>
        <v/>
      </c>
      <c r="X238" s="39" t="str">
        <f>IF([8]道具信息!X238="","",[8]道具信息!X238)</f>
        <v/>
      </c>
      <c r="Y238" s="39" t="str">
        <f>IF([8]道具信息!Y238="","",[8]道具信息!Y238)</f>
        <v/>
      </c>
      <c r="Z238" s="39" t="str">
        <f>IF([8]道具信息!Z238="","",[8]道具信息!Z238)</f>
        <v/>
      </c>
    </row>
    <row r="239" spans="1:26" x14ac:dyDescent="0.15">
      <c r="A239" s="39" t="str">
        <f>IF([8]道具信息!A239="","",[8]道具信息!A239)</f>
        <v/>
      </c>
      <c r="B239" s="39" t="str">
        <f>IF([8]道具信息!B239="","",[8]道具信息!B239)</f>
        <v/>
      </c>
      <c r="C239" s="39">
        <f>IF([8]道具信息!C239="","",[8]道具信息!C239)</f>
        <v>21019</v>
      </c>
      <c r="D239" s="39" t="str">
        <f>IF([8]道具信息!D239="","",[8]道具信息!D239)</f>
        <v>一箱铜矿</v>
      </c>
      <c r="E239" s="39">
        <f>IF([8]道具信息!E239="","",[8]道具信息!E239)</f>
        <v>45</v>
      </c>
      <c r="F239" s="39">
        <f>IF([8]道具信息!F239="","",[8]道具信息!F239)</f>
        <v>1.333</v>
      </c>
      <c r="G239" s="39">
        <f>IF([8]道具信息!G239="","",[8]道具信息!G239)</f>
        <v>1</v>
      </c>
      <c r="H239" s="39">
        <f>IF([8]道具信息!H239="","",[8]道具信息!H239)</f>
        <v>0.3</v>
      </c>
      <c r="I239" s="39">
        <f>IF([8]道具信息!I239="","",[8]道具信息!I239)</f>
        <v>59.984999999999999</v>
      </c>
      <c r="J239" s="39">
        <f>IF([8]道具信息!J239="","",[8]道具信息!J239)</f>
        <v>45</v>
      </c>
      <c r="K239" s="39">
        <f>IF([8]道具信息!K239="","",[8]道具信息!K239)</f>
        <v>13.5</v>
      </c>
      <c r="L239" s="39" t="str">
        <f>IF([8]道具信息!L239="","",[8]道具信息!L239)</f>
        <v>使用后获得150000安全铜矿</v>
      </c>
      <c r="M239" s="39" t="str">
        <f>IF([8]道具信息!M239="","",[8]道具信息!M239)</f>
        <v/>
      </c>
      <c r="N239" s="39" t="str">
        <f>IF([8]道具信息!N239="","",[8]道具信息!N239)</f>
        <v/>
      </c>
      <c r="O239" s="39" t="str">
        <f>IF([8]道具信息!O239="","",[8]道具信息!O239)</f>
        <v/>
      </c>
      <c r="P239" s="39" t="str">
        <f>IF([8]道具信息!P239="","",[8]道具信息!P239)</f>
        <v/>
      </c>
      <c r="Q239" s="39" t="str">
        <f>IF([8]道具信息!Q239="","",[8]道具信息!Q239)</f>
        <v/>
      </c>
      <c r="R239" s="39" t="str">
        <f>IF([8]道具信息!R239="","",[8]道具信息!R239)</f>
        <v/>
      </c>
      <c r="S239" s="39" t="str">
        <f>IF([8]道具信息!S239="","",[8]道具信息!S239)</f>
        <v/>
      </c>
      <c r="T239" s="39" t="str">
        <f>IF([8]道具信息!T239="","",[8]道具信息!T239)</f>
        <v/>
      </c>
      <c r="U239" s="39" t="str">
        <f>IF([8]道具信息!U239="","",[8]道具信息!U239)</f>
        <v/>
      </c>
      <c r="V239" s="39" t="str">
        <f>IF([8]道具信息!V239="","",[8]道具信息!V239)</f>
        <v/>
      </c>
      <c r="W239" s="39" t="str">
        <f>IF([8]道具信息!W239="","",[8]道具信息!W239)</f>
        <v/>
      </c>
      <c r="X239" s="39" t="str">
        <f>IF([8]道具信息!X239="","",[8]道具信息!X239)</f>
        <v/>
      </c>
      <c r="Y239" s="39" t="str">
        <f>IF([8]道具信息!Y239="","",[8]道具信息!Y239)</f>
        <v/>
      </c>
      <c r="Z239" s="39" t="str">
        <f>IF([8]道具信息!Z239="","",[8]道具信息!Z239)</f>
        <v/>
      </c>
    </row>
    <row r="240" spans="1:26" x14ac:dyDescent="0.15">
      <c r="A240" s="39" t="str">
        <f>IF([8]道具信息!A240="","",[8]道具信息!A240)</f>
        <v/>
      </c>
      <c r="B240" s="39" t="str">
        <f>IF([8]道具信息!B240="","",[8]道具信息!B240)</f>
        <v/>
      </c>
      <c r="C240" s="39">
        <f>IF([8]道具信息!C240="","",[8]道具信息!C240)</f>
        <v>21020</v>
      </c>
      <c r="D240" s="39" t="str">
        <f>IF([8]道具信息!D240="","",[8]道具信息!D240)</f>
        <v>一车铜矿</v>
      </c>
      <c r="E240" s="39">
        <f>IF([8]道具信息!E240="","",[8]道具信息!E240)</f>
        <v>100</v>
      </c>
      <c r="F240" s="39">
        <f>IF([8]道具信息!F240="","",[8]道具信息!F240)</f>
        <v>2</v>
      </c>
      <c r="G240" s="39">
        <f>IF([8]道具信息!G240="","",[8]道具信息!G240)</f>
        <v>1</v>
      </c>
      <c r="H240" s="39">
        <f>IF([8]道具信息!H240="","",[8]道具信息!H240)</f>
        <v>0.3</v>
      </c>
      <c r="I240" s="39">
        <f>IF([8]道具信息!I240="","",[8]道具信息!I240)</f>
        <v>200</v>
      </c>
      <c r="J240" s="39">
        <f>IF([8]道具信息!J240="","",[8]道具信息!J240)</f>
        <v>100</v>
      </c>
      <c r="K240" s="39">
        <f>IF([8]道具信息!K240="","",[8]道具信息!K240)</f>
        <v>30</v>
      </c>
      <c r="L240" s="39" t="str">
        <f>IF([8]道具信息!L240="","",[8]道具信息!L240)</f>
        <v>使用后获得500000安全铜矿</v>
      </c>
      <c r="M240" s="39" t="str">
        <f>IF([8]道具信息!M240="","",[8]道具信息!M240)</f>
        <v/>
      </c>
      <c r="N240" s="39" t="str">
        <f>IF([8]道具信息!N240="","",[8]道具信息!N240)</f>
        <v/>
      </c>
      <c r="O240" s="39" t="str">
        <f>IF([8]道具信息!O240="","",[8]道具信息!O240)</f>
        <v/>
      </c>
      <c r="P240" s="39" t="str">
        <f>IF([8]道具信息!P240="","",[8]道具信息!P240)</f>
        <v/>
      </c>
      <c r="Q240" s="39" t="str">
        <f>IF([8]道具信息!Q240="","",[8]道具信息!Q240)</f>
        <v/>
      </c>
      <c r="R240" s="39" t="str">
        <f>IF([8]道具信息!R240="","",[8]道具信息!R240)</f>
        <v/>
      </c>
      <c r="S240" s="39" t="str">
        <f>IF([8]道具信息!S240="","",[8]道具信息!S240)</f>
        <v/>
      </c>
      <c r="T240" s="39" t="str">
        <f>IF([8]道具信息!T240="","",[8]道具信息!T240)</f>
        <v/>
      </c>
      <c r="U240" s="39" t="str">
        <f>IF([8]道具信息!U240="","",[8]道具信息!U240)</f>
        <v/>
      </c>
      <c r="V240" s="39" t="str">
        <f>IF([8]道具信息!V240="","",[8]道具信息!V240)</f>
        <v/>
      </c>
      <c r="W240" s="39" t="str">
        <f>IF([8]道具信息!W240="","",[8]道具信息!W240)</f>
        <v/>
      </c>
      <c r="X240" s="39" t="str">
        <f>IF([8]道具信息!X240="","",[8]道具信息!X240)</f>
        <v/>
      </c>
      <c r="Y240" s="39" t="str">
        <f>IF([8]道具信息!Y240="","",[8]道具信息!Y240)</f>
        <v/>
      </c>
      <c r="Z240" s="39" t="str">
        <f>IF([8]道具信息!Z240="","",[8]道具信息!Z240)</f>
        <v/>
      </c>
    </row>
    <row r="241" spans="1:26" x14ac:dyDescent="0.15">
      <c r="A241" s="39" t="str">
        <f>IF([8]道具信息!A241="","",[8]道具信息!A241)</f>
        <v/>
      </c>
      <c r="B241" s="39" t="str">
        <f>IF([8]道具信息!B241="","",[8]道具信息!B241)</f>
        <v/>
      </c>
      <c r="C241" s="39">
        <f>IF([8]道具信息!C241="","",[8]道具信息!C241)</f>
        <v>21021</v>
      </c>
      <c r="D241" s="39" t="str">
        <f>IF([8]道具信息!D241="","",[8]道具信息!D241)</f>
        <v>一吊刀币</v>
      </c>
      <c r="E241" s="39">
        <f>IF([8]道具信息!E241="","",[8]道具信息!E241)</f>
        <v>50</v>
      </c>
      <c r="F241" s="39">
        <f>IF([8]道具信息!F241="","",[8]道具信息!F241)</f>
        <v>1</v>
      </c>
      <c r="G241" s="39">
        <f>IF([8]道具信息!G241="","",[8]道具信息!G241)</f>
        <v>1</v>
      </c>
      <c r="H241" s="39">
        <f>IF([8]道具信息!H241="","",[8]道具信息!H241)</f>
        <v>0.5</v>
      </c>
      <c r="I241" s="39">
        <f>IF([8]道具信息!I241="","",[8]道具信息!I241)</f>
        <v>50</v>
      </c>
      <c r="J241" s="39">
        <f>IF([8]道具信息!J241="","",[8]道具信息!J241)</f>
        <v>50</v>
      </c>
      <c r="K241" s="39">
        <f>IF([8]道具信息!K241="","",[8]道具信息!K241)</f>
        <v>25</v>
      </c>
      <c r="L241" s="39" t="str">
        <f>IF([8]道具信息!L241="","",[8]道具信息!L241)</f>
        <v>使用后获得10000刀币</v>
      </c>
      <c r="M241" s="39" t="str">
        <f>IF([8]道具信息!M241="","",[8]道具信息!M241)</f>
        <v/>
      </c>
      <c r="N241" s="39" t="str">
        <f>IF([8]道具信息!N241="","",[8]道具信息!N241)</f>
        <v/>
      </c>
      <c r="O241" s="39" t="str">
        <f>IF([8]道具信息!O241="","",[8]道具信息!O241)</f>
        <v/>
      </c>
      <c r="P241" s="39" t="str">
        <f>IF([8]道具信息!P241="","",[8]道具信息!P241)</f>
        <v/>
      </c>
      <c r="Q241" s="39" t="str">
        <f>IF([8]道具信息!Q241="","",[8]道具信息!Q241)</f>
        <v/>
      </c>
      <c r="R241" s="39" t="str">
        <f>IF([8]道具信息!R241="","",[8]道具信息!R241)</f>
        <v/>
      </c>
      <c r="S241" s="39" t="str">
        <f>IF([8]道具信息!S241="","",[8]道具信息!S241)</f>
        <v/>
      </c>
      <c r="T241" s="39" t="str">
        <f>IF([8]道具信息!T241="","",[8]道具信息!T241)</f>
        <v/>
      </c>
      <c r="U241" s="39" t="str">
        <f>IF([8]道具信息!U241="","",[8]道具信息!U241)</f>
        <v/>
      </c>
      <c r="V241" s="39" t="str">
        <f>IF([8]道具信息!V241="","",[8]道具信息!V241)</f>
        <v/>
      </c>
      <c r="W241" s="39" t="str">
        <f>IF([8]道具信息!W241="","",[8]道具信息!W241)</f>
        <v/>
      </c>
      <c r="X241" s="39" t="str">
        <f>IF([8]道具信息!X241="","",[8]道具信息!X241)</f>
        <v/>
      </c>
      <c r="Y241" s="39" t="str">
        <f>IF([8]道具信息!Y241="","",[8]道具信息!Y241)</f>
        <v/>
      </c>
      <c r="Z241" s="39" t="str">
        <f>IF([8]道具信息!Z241="","",[8]道具信息!Z241)</f>
        <v/>
      </c>
    </row>
    <row r="242" spans="1:26" x14ac:dyDescent="0.15">
      <c r="A242" s="39" t="str">
        <f>IF([8]道具信息!A242="","",[8]道具信息!A242)</f>
        <v/>
      </c>
      <c r="B242" s="39" t="str">
        <f>IF([8]道具信息!B242="","",[8]道具信息!B242)</f>
        <v/>
      </c>
      <c r="C242" s="39">
        <f>IF([8]道具信息!C242="","",[8]道具信息!C242)</f>
        <v>21022</v>
      </c>
      <c r="D242" s="39" t="str">
        <f>IF([8]道具信息!D242="","",[8]道具信息!D242)</f>
        <v>一贯刀币</v>
      </c>
      <c r="E242" s="39">
        <f>IF([8]道具信息!E242="","",[8]道具信息!E242)</f>
        <v>150</v>
      </c>
      <c r="F242" s="39">
        <f>IF([8]道具信息!F242="","",[8]道具信息!F242)</f>
        <v>1</v>
      </c>
      <c r="G242" s="39">
        <f>IF([8]道具信息!G242="","",[8]道具信息!G242)</f>
        <v>1</v>
      </c>
      <c r="H242" s="39">
        <f>IF([8]道具信息!H242="","",[8]道具信息!H242)</f>
        <v>0.5</v>
      </c>
      <c r="I242" s="39">
        <f>IF([8]道具信息!I242="","",[8]道具信息!I242)</f>
        <v>150</v>
      </c>
      <c r="J242" s="39">
        <f>IF([8]道具信息!J242="","",[8]道具信息!J242)</f>
        <v>150</v>
      </c>
      <c r="K242" s="39">
        <f>IF([8]道具信息!K242="","",[8]道具信息!K242)</f>
        <v>75</v>
      </c>
      <c r="L242" s="39" t="str">
        <f>IF([8]道具信息!L242="","",[8]道具信息!L242)</f>
        <v>使用后获得50000刀币</v>
      </c>
      <c r="M242" s="39" t="str">
        <f>IF([8]道具信息!M242="","",[8]道具信息!M242)</f>
        <v/>
      </c>
      <c r="N242" s="39" t="str">
        <f>IF([8]道具信息!N242="","",[8]道具信息!N242)</f>
        <v/>
      </c>
      <c r="O242" s="39" t="str">
        <f>IF([8]道具信息!O242="","",[8]道具信息!O242)</f>
        <v/>
      </c>
      <c r="P242" s="39" t="str">
        <f>IF([8]道具信息!P242="","",[8]道具信息!P242)</f>
        <v/>
      </c>
      <c r="Q242" s="39" t="str">
        <f>IF([8]道具信息!Q242="","",[8]道具信息!Q242)</f>
        <v/>
      </c>
      <c r="R242" s="39" t="str">
        <f>IF([8]道具信息!R242="","",[8]道具信息!R242)</f>
        <v/>
      </c>
      <c r="S242" s="39" t="str">
        <f>IF([8]道具信息!S242="","",[8]道具信息!S242)</f>
        <v/>
      </c>
      <c r="T242" s="39" t="str">
        <f>IF([8]道具信息!T242="","",[8]道具信息!T242)</f>
        <v/>
      </c>
      <c r="U242" s="39" t="str">
        <f>IF([8]道具信息!U242="","",[8]道具信息!U242)</f>
        <v/>
      </c>
      <c r="V242" s="39" t="str">
        <f>IF([8]道具信息!V242="","",[8]道具信息!V242)</f>
        <v/>
      </c>
      <c r="W242" s="39" t="str">
        <f>IF([8]道具信息!W242="","",[8]道具信息!W242)</f>
        <v/>
      </c>
      <c r="X242" s="39" t="str">
        <f>IF([8]道具信息!X242="","",[8]道具信息!X242)</f>
        <v/>
      </c>
      <c r="Y242" s="39" t="str">
        <f>IF([8]道具信息!Y242="","",[8]道具信息!Y242)</f>
        <v/>
      </c>
      <c r="Z242" s="39" t="str">
        <f>IF([8]道具信息!Z242="","",[8]道具信息!Z242)</f>
        <v/>
      </c>
    </row>
    <row r="243" spans="1:26" x14ac:dyDescent="0.15">
      <c r="A243" s="39" t="str">
        <f>IF([8]道具信息!A243="","",[8]道具信息!A243)</f>
        <v/>
      </c>
      <c r="B243" s="39" t="str">
        <f>IF([8]道具信息!B243="","",[8]道具信息!B243)</f>
        <v/>
      </c>
      <c r="C243" s="39">
        <f>IF([8]道具信息!C243="","",[8]道具信息!C243)</f>
        <v>21023</v>
      </c>
      <c r="D243" s="39" t="str">
        <f>IF([8]道具信息!D243="","",[8]道具信息!D243)</f>
        <v>一袋刀币</v>
      </c>
      <c r="E243" s="39">
        <f>IF([8]道具信息!E243="","",[8]道具信息!E243)</f>
        <v>300</v>
      </c>
      <c r="F243" s="39">
        <f>IF([8]道具信息!F243="","",[8]道具信息!F243)</f>
        <v>1.5</v>
      </c>
      <c r="G243" s="39">
        <f>IF([8]道具信息!G243="","",[8]道具信息!G243)</f>
        <v>1</v>
      </c>
      <c r="H243" s="39">
        <f>IF([8]道具信息!H243="","",[8]道具信息!H243)</f>
        <v>0.5</v>
      </c>
      <c r="I243" s="39">
        <f>IF([8]道具信息!I243="","",[8]道具信息!I243)</f>
        <v>450</v>
      </c>
      <c r="J243" s="39">
        <f>IF([8]道具信息!J243="","",[8]道具信息!J243)</f>
        <v>300</v>
      </c>
      <c r="K243" s="39">
        <f>IF([8]道具信息!K243="","",[8]道具信息!K243)</f>
        <v>150</v>
      </c>
      <c r="L243" s="39" t="str">
        <f>IF([8]道具信息!L243="","",[8]道具信息!L243)</f>
        <v>使用后获得150000刀币</v>
      </c>
      <c r="M243" s="39" t="str">
        <f>IF([8]道具信息!M243="","",[8]道具信息!M243)</f>
        <v/>
      </c>
      <c r="N243" s="39" t="str">
        <f>IF([8]道具信息!N243="","",[8]道具信息!N243)</f>
        <v/>
      </c>
      <c r="O243" s="39" t="str">
        <f>IF([8]道具信息!O243="","",[8]道具信息!O243)</f>
        <v/>
      </c>
      <c r="P243" s="39" t="str">
        <f>IF([8]道具信息!P243="","",[8]道具信息!P243)</f>
        <v/>
      </c>
      <c r="Q243" s="39" t="str">
        <f>IF([8]道具信息!Q243="","",[8]道具信息!Q243)</f>
        <v/>
      </c>
      <c r="R243" s="39" t="str">
        <f>IF([8]道具信息!R243="","",[8]道具信息!R243)</f>
        <v/>
      </c>
      <c r="S243" s="39" t="str">
        <f>IF([8]道具信息!S243="","",[8]道具信息!S243)</f>
        <v/>
      </c>
      <c r="T243" s="39" t="str">
        <f>IF([8]道具信息!T243="","",[8]道具信息!T243)</f>
        <v/>
      </c>
      <c r="U243" s="39" t="str">
        <f>IF([8]道具信息!U243="","",[8]道具信息!U243)</f>
        <v/>
      </c>
      <c r="V243" s="39" t="str">
        <f>IF([8]道具信息!V243="","",[8]道具信息!V243)</f>
        <v/>
      </c>
      <c r="W243" s="39" t="str">
        <f>IF([8]道具信息!W243="","",[8]道具信息!W243)</f>
        <v/>
      </c>
      <c r="X243" s="39" t="str">
        <f>IF([8]道具信息!X243="","",[8]道具信息!X243)</f>
        <v/>
      </c>
      <c r="Y243" s="39" t="str">
        <f>IF([8]道具信息!Y243="","",[8]道具信息!Y243)</f>
        <v/>
      </c>
      <c r="Z243" s="39" t="str">
        <f>IF([8]道具信息!Z243="","",[8]道具信息!Z243)</f>
        <v/>
      </c>
    </row>
    <row r="244" spans="1:26" x14ac:dyDescent="0.15">
      <c r="A244" s="39" t="str">
        <f>IF([8]道具信息!A244="","",[8]道具信息!A244)</f>
        <v/>
      </c>
      <c r="B244" s="39" t="str">
        <f>IF([8]道具信息!B244="","",[8]道具信息!B244)</f>
        <v/>
      </c>
      <c r="C244" s="39" t="str">
        <f>IF([8]道具信息!C244="","",[8]道具信息!C244)</f>
        <v/>
      </c>
      <c r="D244" s="39" t="str">
        <f>IF([8]道具信息!D244="","",[8]道具信息!D244)</f>
        <v>一箱刀币</v>
      </c>
      <c r="E244" s="39">
        <f>IF([8]道具信息!E244="","",[8]道具信息!E244)</f>
        <v>800</v>
      </c>
      <c r="F244" s="39">
        <f>IF([8]道具信息!F244="","",[8]道具信息!F244)</f>
        <v>1.875</v>
      </c>
      <c r="G244" s="39">
        <f>IF([8]道具信息!G244="","",[8]道具信息!G244)</f>
        <v>1</v>
      </c>
      <c r="H244" s="39">
        <f>IF([8]道具信息!H244="","",[8]道具信息!H244)</f>
        <v>0.5</v>
      </c>
      <c r="I244" s="39">
        <f>IF([8]道具信息!I244="","",[8]道具信息!I244)</f>
        <v>1500</v>
      </c>
      <c r="J244" s="39">
        <f>IF([8]道具信息!J244="","",[8]道具信息!J244)</f>
        <v>800</v>
      </c>
      <c r="K244" s="39">
        <f>IF([8]道具信息!K244="","",[8]道具信息!K244)</f>
        <v>400</v>
      </c>
      <c r="L244" s="39" t="str">
        <f>IF([8]道具信息!L244="","",[8]道具信息!L244)</f>
        <v>使用后获得500000刀币</v>
      </c>
      <c r="M244" s="39" t="str">
        <f>IF([8]道具信息!M244="","",[8]道具信息!M244)</f>
        <v/>
      </c>
      <c r="N244" s="39" t="str">
        <f>IF([8]道具信息!N244="","",[8]道具信息!N244)</f>
        <v/>
      </c>
      <c r="O244" s="39" t="str">
        <f>IF([8]道具信息!O244="","",[8]道具信息!O244)</f>
        <v/>
      </c>
      <c r="P244" s="39" t="str">
        <f>IF([8]道具信息!P244="","",[8]道具信息!P244)</f>
        <v/>
      </c>
      <c r="Q244" s="39" t="str">
        <f>IF([8]道具信息!Q244="","",[8]道具信息!Q244)</f>
        <v/>
      </c>
      <c r="R244" s="39" t="str">
        <f>IF([8]道具信息!R244="","",[8]道具信息!R244)</f>
        <v/>
      </c>
      <c r="S244" s="39" t="str">
        <f>IF([8]道具信息!S244="","",[8]道具信息!S244)</f>
        <v/>
      </c>
      <c r="T244" s="39" t="str">
        <f>IF([8]道具信息!T244="","",[8]道具信息!T244)</f>
        <v/>
      </c>
      <c r="U244" s="39" t="str">
        <f>IF([8]道具信息!U244="","",[8]道具信息!U244)</f>
        <v/>
      </c>
      <c r="V244" s="39" t="str">
        <f>IF([8]道具信息!V244="","",[8]道具信息!V244)</f>
        <v/>
      </c>
      <c r="W244" s="39" t="str">
        <f>IF([8]道具信息!W244="","",[8]道具信息!W244)</f>
        <v/>
      </c>
      <c r="X244" s="39" t="str">
        <f>IF([8]道具信息!X244="","",[8]道具信息!X244)</f>
        <v/>
      </c>
      <c r="Y244" s="39" t="str">
        <f>IF([8]道具信息!Y244="","",[8]道具信息!Y244)</f>
        <v/>
      </c>
      <c r="Z244" s="39" t="str">
        <f>IF([8]道具信息!Z244="","",[8]道具信息!Z244)</f>
        <v/>
      </c>
    </row>
    <row r="245" spans="1:26" x14ac:dyDescent="0.15">
      <c r="A245" s="39" t="str">
        <f>IF([8]道具信息!A245="","",[8]道具信息!A245)</f>
        <v/>
      </c>
      <c r="B245" s="39" t="str">
        <f>IF([8]道具信息!B245="","",[8]道具信息!B245)</f>
        <v/>
      </c>
      <c r="C245" s="39">
        <f>IF([8]道具信息!C245="","",[8]道具信息!C245)</f>
        <v>21024</v>
      </c>
      <c r="D245" s="39" t="str">
        <f>IF([8]道具信息!D245="","",[8]道具信息!D245)</f>
        <v>普通资源自选宝箱</v>
      </c>
      <c r="E245" s="39">
        <f>IF([8]道具信息!E245="","",[8]道具信息!E245)</f>
        <v>6</v>
      </c>
      <c r="F245" s="39">
        <f>IF([8]道具信息!F245="","",[8]道具信息!F245)</f>
        <v>1</v>
      </c>
      <c r="G245" s="39">
        <f>IF([8]道具信息!G245="","",[8]道具信息!G245)</f>
        <v>1</v>
      </c>
      <c r="H245" s="39">
        <f>IF([8]道具信息!H245="","",[8]道具信息!H245)</f>
        <v>0.3</v>
      </c>
      <c r="I245" s="39">
        <f>IF([8]道具信息!I245="","",[8]道具信息!I245)</f>
        <v>6</v>
      </c>
      <c r="J245" s="39">
        <f>IF([8]道具信息!J245="","",[8]道具信息!J245)</f>
        <v>6</v>
      </c>
      <c r="K245" s="39">
        <f>IF([8]道具信息!K245="","",[8]道具信息!K245)</f>
        <v>1.7999999999999998</v>
      </c>
      <c r="L245" s="39" t="str">
        <f>IF([8]道具信息!L245="","",[8]道具信息!L245)</f>
        <v>使用后可选择获得10000资源(可选择资源类型：粮食、木材、石料和铜矿)</v>
      </c>
      <c r="M245" s="39" t="str">
        <f>IF([8]道具信息!M245="","",[8]道具信息!M245)</f>
        <v/>
      </c>
      <c r="N245" s="39" t="str">
        <f>IF([8]道具信息!N245="","",[8]道具信息!N245)</f>
        <v/>
      </c>
      <c r="O245" s="39" t="str">
        <f>IF([8]道具信息!O245="","",[8]道具信息!O245)</f>
        <v/>
      </c>
      <c r="P245" s="39" t="str">
        <f>IF([8]道具信息!P245="","",[8]道具信息!P245)</f>
        <v/>
      </c>
      <c r="Q245" s="39" t="str">
        <f>IF([8]道具信息!Q245="","",[8]道具信息!Q245)</f>
        <v/>
      </c>
      <c r="R245" s="39" t="str">
        <f>IF([8]道具信息!R245="","",[8]道具信息!R245)</f>
        <v/>
      </c>
      <c r="S245" s="39" t="str">
        <f>IF([8]道具信息!S245="","",[8]道具信息!S245)</f>
        <v/>
      </c>
      <c r="T245" s="39" t="str">
        <f>IF([8]道具信息!T245="","",[8]道具信息!T245)</f>
        <v/>
      </c>
      <c r="U245" s="39" t="str">
        <f>IF([8]道具信息!U245="","",[8]道具信息!U245)</f>
        <v/>
      </c>
      <c r="V245" s="39" t="str">
        <f>IF([8]道具信息!V245="","",[8]道具信息!V245)</f>
        <v/>
      </c>
      <c r="W245" s="39" t="str">
        <f>IF([8]道具信息!W245="","",[8]道具信息!W245)</f>
        <v/>
      </c>
      <c r="X245" s="39" t="str">
        <f>IF([8]道具信息!X245="","",[8]道具信息!X245)</f>
        <v/>
      </c>
      <c r="Y245" s="39" t="str">
        <f>IF([8]道具信息!Y245="","",[8]道具信息!Y245)</f>
        <v/>
      </c>
      <c r="Z245" s="39" t="str">
        <f>IF([8]道具信息!Z245="","",[8]道具信息!Z245)</f>
        <v/>
      </c>
    </row>
    <row r="246" spans="1:26" x14ac:dyDescent="0.15">
      <c r="A246" s="39" t="str">
        <f>IF([8]道具信息!A246="","",[8]道具信息!A246)</f>
        <v/>
      </c>
      <c r="B246" s="39" t="str">
        <f>IF([8]道具信息!B246="","",[8]道具信息!B246)</f>
        <v/>
      </c>
      <c r="C246" s="39">
        <f>IF([8]道具信息!C246="","",[8]道具信息!C246)</f>
        <v>21025</v>
      </c>
      <c r="D246" s="39" t="str">
        <f>IF([8]道具信息!D246="","",[8]道具信息!D246)</f>
        <v>初级资源自选宝箱</v>
      </c>
      <c r="E246" s="39">
        <f>IF([8]道具信息!E246="","",[8]道具信息!E246)</f>
        <v>20</v>
      </c>
      <c r="F246" s="39">
        <f>IF([8]道具信息!F246="","",[8]道具信息!F246)</f>
        <v>1</v>
      </c>
      <c r="G246" s="39">
        <f>IF([8]道具信息!G246="","",[8]道具信息!G246)</f>
        <v>1</v>
      </c>
      <c r="H246" s="39">
        <f>IF([8]道具信息!H246="","",[8]道具信息!H246)</f>
        <v>0.3</v>
      </c>
      <c r="I246" s="39">
        <f>IF([8]道具信息!I246="","",[8]道具信息!I246)</f>
        <v>20</v>
      </c>
      <c r="J246" s="39">
        <f>IF([8]道具信息!J246="","",[8]道具信息!J246)</f>
        <v>20</v>
      </c>
      <c r="K246" s="39">
        <f>IF([8]道具信息!K246="","",[8]道具信息!K246)</f>
        <v>6</v>
      </c>
      <c r="L246" s="39" t="str">
        <f>IF([8]道具信息!L246="","",[8]道具信息!L246)</f>
        <v>使用后可选择获得50000资源(可选择资源类型：粮食、木材、石料和铜矿)</v>
      </c>
      <c r="M246" s="39" t="str">
        <f>IF([8]道具信息!M246="","",[8]道具信息!M246)</f>
        <v/>
      </c>
      <c r="N246" s="39" t="str">
        <f>IF([8]道具信息!N246="","",[8]道具信息!N246)</f>
        <v/>
      </c>
      <c r="O246" s="39" t="str">
        <f>IF([8]道具信息!O246="","",[8]道具信息!O246)</f>
        <v/>
      </c>
      <c r="P246" s="39" t="str">
        <f>IF([8]道具信息!P246="","",[8]道具信息!P246)</f>
        <v/>
      </c>
      <c r="Q246" s="39" t="str">
        <f>IF([8]道具信息!Q246="","",[8]道具信息!Q246)</f>
        <v/>
      </c>
      <c r="R246" s="39" t="str">
        <f>IF([8]道具信息!R246="","",[8]道具信息!R246)</f>
        <v/>
      </c>
      <c r="S246" s="39" t="str">
        <f>IF([8]道具信息!S246="","",[8]道具信息!S246)</f>
        <v/>
      </c>
      <c r="T246" s="39" t="str">
        <f>IF([8]道具信息!T246="","",[8]道具信息!T246)</f>
        <v/>
      </c>
      <c r="U246" s="39" t="str">
        <f>IF([8]道具信息!U246="","",[8]道具信息!U246)</f>
        <v/>
      </c>
      <c r="V246" s="39" t="str">
        <f>IF([8]道具信息!V246="","",[8]道具信息!V246)</f>
        <v/>
      </c>
      <c r="W246" s="39" t="str">
        <f>IF([8]道具信息!W246="","",[8]道具信息!W246)</f>
        <v/>
      </c>
      <c r="X246" s="39" t="str">
        <f>IF([8]道具信息!X246="","",[8]道具信息!X246)</f>
        <v/>
      </c>
      <c r="Y246" s="39" t="str">
        <f>IF([8]道具信息!Y246="","",[8]道具信息!Y246)</f>
        <v/>
      </c>
      <c r="Z246" s="39" t="str">
        <f>IF([8]道具信息!Z246="","",[8]道具信息!Z246)</f>
        <v/>
      </c>
    </row>
    <row r="247" spans="1:26" x14ac:dyDescent="0.15">
      <c r="A247" s="39" t="str">
        <f>IF([8]道具信息!A247="","",[8]道具信息!A247)</f>
        <v/>
      </c>
      <c r="B247" s="39" t="str">
        <f>IF([8]道具信息!B247="","",[8]道具信息!B247)</f>
        <v/>
      </c>
      <c r="C247" s="39">
        <f>IF([8]道具信息!C247="","",[8]道具信息!C247)</f>
        <v>21026</v>
      </c>
      <c r="D247" s="39" t="str">
        <f>IF([8]道具信息!D247="","",[8]道具信息!D247)</f>
        <v>中级资源自选宝箱</v>
      </c>
      <c r="E247" s="39">
        <f>IF([8]道具信息!E247="","",[8]道具信息!E247)</f>
        <v>45</v>
      </c>
      <c r="F247" s="39">
        <f>IF([8]道具信息!F247="","",[8]道具信息!F247)</f>
        <v>1.333</v>
      </c>
      <c r="G247" s="39">
        <f>IF([8]道具信息!G247="","",[8]道具信息!G247)</f>
        <v>1</v>
      </c>
      <c r="H247" s="39">
        <f>IF([8]道具信息!H247="","",[8]道具信息!H247)</f>
        <v>0.3</v>
      </c>
      <c r="I247" s="39">
        <f>IF([8]道具信息!I247="","",[8]道具信息!I247)</f>
        <v>59.984999999999999</v>
      </c>
      <c r="J247" s="39">
        <f>IF([8]道具信息!J247="","",[8]道具信息!J247)</f>
        <v>45</v>
      </c>
      <c r="K247" s="39">
        <f>IF([8]道具信息!K247="","",[8]道具信息!K247)</f>
        <v>13.5</v>
      </c>
      <c r="L247" s="39" t="str">
        <f>IF([8]道具信息!L247="","",[8]道具信息!L247)</f>
        <v>使用后可选择获得150000资源(可选择资源类型：粮食、木材、石料和铜矿)</v>
      </c>
      <c r="M247" s="39" t="str">
        <f>IF([8]道具信息!M247="","",[8]道具信息!M247)</f>
        <v/>
      </c>
      <c r="N247" s="39" t="str">
        <f>IF([8]道具信息!N247="","",[8]道具信息!N247)</f>
        <v/>
      </c>
      <c r="O247" s="39" t="str">
        <f>IF([8]道具信息!O247="","",[8]道具信息!O247)</f>
        <v/>
      </c>
      <c r="P247" s="39" t="str">
        <f>IF([8]道具信息!P247="","",[8]道具信息!P247)</f>
        <v/>
      </c>
      <c r="Q247" s="39" t="str">
        <f>IF([8]道具信息!Q247="","",[8]道具信息!Q247)</f>
        <v/>
      </c>
      <c r="R247" s="39" t="str">
        <f>IF([8]道具信息!R247="","",[8]道具信息!R247)</f>
        <v/>
      </c>
      <c r="S247" s="39" t="str">
        <f>IF([8]道具信息!S247="","",[8]道具信息!S247)</f>
        <v/>
      </c>
      <c r="T247" s="39" t="str">
        <f>IF([8]道具信息!T247="","",[8]道具信息!T247)</f>
        <v/>
      </c>
      <c r="U247" s="39" t="str">
        <f>IF([8]道具信息!U247="","",[8]道具信息!U247)</f>
        <v/>
      </c>
      <c r="V247" s="39" t="str">
        <f>IF([8]道具信息!V247="","",[8]道具信息!V247)</f>
        <v/>
      </c>
      <c r="W247" s="39" t="str">
        <f>IF([8]道具信息!W247="","",[8]道具信息!W247)</f>
        <v/>
      </c>
      <c r="X247" s="39" t="str">
        <f>IF([8]道具信息!X247="","",[8]道具信息!X247)</f>
        <v/>
      </c>
      <c r="Y247" s="39" t="str">
        <f>IF([8]道具信息!Y247="","",[8]道具信息!Y247)</f>
        <v/>
      </c>
      <c r="Z247" s="39" t="str">
        <f>IF([8]道具信息!Z247="","",[8]道具信息!Z247)</f>
        <v/>
      </c>
    </row>
    <row r="248" spans="1:26" x14ac:dyDescent="0.15">
      <c r="A248" s="39" t="str">
        <f>IF([8]道具信息!A248="","",[8]道具信息!A248)</f>
        <v/>
      </c>
      <c r="B248" s="39" t="str">
        <f>IF([8]道具信息!B248="","",[8]道具信息!B248)</f>
        <v/>
      </c>
      <c r="C248" s="39">
        <f>IF([8]道具信息!C248="","",[8]道具信息!C248)</f>
        <v>21027</v>
      </c>
      <c r="D248" s="39" t="str">
        <f>IF([8]道具信息!D248="","",[8]道具信息!D248)</f>
        <v>高级资源自选宝箱</v>
      </c>
      <c r="E248" s="39">
        <f>IF([8]道具信息!E248="","",[8]道具信息!E248)</f>
        <v>100</v>
      </c>
      <c r="F248" s="39">
        <f>IF([8]道具信息!F248="","",[8]道具信息!F248)</f>
        <v>2</v>
      </c>
      <c r="G248" s="39">
        <f>IF([8]道具信息!G248="","",[8]道具信息!G248)</f>
        <v>1</v>
      </c>
      <c r="H248" s="39">
        <f>IF([8]道具信息!H248="","",[8]道具信息!H248)</f>
        <v>0.3</v>
      </c>
      <c r="I248" s="39">
        <f>IF([8]道具信息!I248="","",[8]道具信息!I248)</f>
        <v>200</v>
      </c>
      <c r="J248" s="39">
        <f>IF([8]道具信息!J248="","",[8]道具信息!J248)</f>
        <v>100</v>
      </c>
      <c r="K248" s="39">
        <f>IF([8]道具信息!K248="","",[8]道具信息!K248)</f>
        <v>30</v>
      </c>
      <c r="L248" s="39" t="str">
        <f>IF([8]道具信息!L248="","",[8]道具信息!L248)</f>
        <v>使用后可选择获得500000资源(可选择资源类型：粮食、木材、石料和铜矿)</v>
      </c>
      <c r="M248" s="39" t="str">
        <f>IF([8]道具信息!M248="","",[8]道具信息!M248)</f>
        <v/>
      </c>
      <c r="N248" s="39" t="str">
        <f>IF([8]道具信息!N248="","",[8]道具信息!N248)</f>
        <v/>
      </c>
      <c r="O248" s="39" t="str">
        <f>IF([8]道具信息!O248="","",[8]道具信息!O248)</f>
        <v/>
      </c>
      <c r="P248" s="39" t="str">
        <f>IF([8]道具信息!P248="","",[8]道具信息!P248)</f>
        <v/>
      </c>
      <c r="Q248" s="39" t="str">
        <f>IF([8]道具信息!Q248="","",[8]道具信息!Q248)</f>
        <v/>
      </c>
      <c r="R248" s="39" t="str">
        <f>IF([8]道具信息!R248="","",[8]道具信息!R248)</f>
        <v/>
      </c>
      <c r="S248" s="39" t="str">
        <f>IF([8]道具信息!S248="","",[8]道具信息!S248)</f>
        <v/>
      </c>
      <c r="T248" s="39" t="str">
        <f>IF([8]道具信息!T248="","",[8]道具信息!T248)</f>
        <v/>
      </c>
      <c r="U248" s="39" t="str">
        <f>IF([8]道具信息!U248="","",[8]道具信息!U248)</f>
        <v/>
      </c>
      <c r="V248" s="39" t="str">
        <f>IF([8]道具信息!V248="","",[8]道具信息!V248)</f>
        <v/>
      </c>
      <c r="W248" s="39" t="str">
        <f>IF([8]道具信息!W248="","",[8]道具信息!W248)</f>
        <v/>
      </c>
      <c r="X248" s="39" t="str">
        <f>IF([8]道具信息!X248="","",[8]道具信息!X248)</f>
        <v/>
      </c>
      <c r="Y248" s="39" t="str">
        <f>IF([8]道具信息!Y248="","",[8]道具信息!Y248)</f>
        <v/>
      </c>
      <c r="Z248" s="39" t="str">
        <f>IF([8]道具信息!Z248="","",[8]道具信息!Z248)</f>
        <v/>
      </c>
    </row>
    <row r="249" spans="1:26" x14ac:dyDescent="0.15">
      <c r="A249" s="39" t="str">
        <f>IF([8]道具信息!A249="","",[8]道具信息!A249)</f>
        <v/>
      </c>
      <c r="B249" s="39" t="str">
        <f>IF([8]道具信息!B249="","",[8]道具信息!B249)</f>
        <v/>
      </c>
      <c r="C249" s="39">
        <f>IF([8]道具信息!C249="","",[8]道具信息!C249)</f>
        <v>21031</v>
      </c>
      <c r="D249" s="39" t="str">
        <f>IF([8]道具信息!D249="","",[8]道具信息!D249)</f>
        <v>普通资源宝箱</v>
      </c>
      <c r="E249" s="39">
        <f>IF([8]道具信息!E249="","",[8]道具信息!E249)</f>
        <v>30</v>
      </c>
      <c r="F249" s="39">
        <f>IF([8]道具信息!F249="","",[8]道具信息!F249)</f>
        <v>1</v>
      </c>
      <c r="G249" s="39">
        <f>IF([8]道具信息!G249="","",[8]道具信息!G249)</f>
        <v>1</v>
      </c>
      <c r="H249" s="39">
        <f>IF([8]道具信息!H249="","",[8]道具信息!H249)</f>
        <v>0.3</v>
      </c>
      <c r="I249" s="39">
        <f>IF([8]道具信息!I249="","",[8]道具信息!I249)</f>
        <v>30</v>
      </c>
      <c r="J249" s="39">
        <f>IF([8]道具信息!J249="","",[8]道具信息!J249)</f>
        <v>30</v>
      </c>
      <c r="K249" s="39">
        <f>IF([8]道具信息!K249="","",[8]道具信息!K249)</f>
        <v>9</v>
      </c>
      <c r="L249" s="39" t="str">
        <f>IF([8]道具信息!L249="","",[8]道具信息!L249)</f>
        <v>使用后直接获得10000粮食、木材、石料和铜矿</v>
      </c>
      <c r="M249" s="39" t="str">
        <f>IF([8]道具信息!M249="","",[8]道具信息!M249)</f>
        <v/>
      </c>
      <c r="N249" s="39" t="str">
        <f>IF([8]道具信息!N249="","",[8]道具信息!N249)</f>
        <v/>
      </c>
      <c r="O249" s="39" t="str">
        <f>IF([8]道具信息!O249="","",[8]道具信息!O249)</f>
        <v/>
      </c>
      <c r="P249" s="39" t="str">
        <f>IF([8]道具信息!P249="","",[8]道具信息!P249)</f>
        <v/>
      </c>
      <c r="Q249" s="39" t="str">
        <f>IF([8]道具信息!Q249="","",[8]道具信息!Q249)</f>
        <v/>
      </c>
      <c r="R249" s="39" t="str">
        <f>IF([8]道具信息!R249="","",[8]道具信息!R249)</f>
        <v/>
      </c>
      <c r="S249" s="39" t="str">
        <f>IF([8]道具信息!S249="","",[8]道具信息!S249)</f>
        <v/>
      </c>
      <c r="T249" s="39" t="str">
        <f>IF([8]道具信息!T249="","",[8]道具信息!T249)</f>
        <v/>
      </c>
      <c r="U249" s="39" t="str">
        <f>IF([8]道具信息!U249="","",[8]道具信息!U249)</f>
        <v/>
      </c>
      <c r="V249" s="39" t="str">
        <f>IF([8]道具信息!V249="","",[8]道具信息!V249)</f>
        <v/>
      </c>
      <c r="W249" s="39" t="str">
        <f>IF([8]道具信息!W249="","",[8]道具信息!W249)</f>
        <v/>
      </c>
      <c r="X249" s="39" t="str">
        <f>IF([8]道具信息!X249="","",[8]道具信息!X249)</f>
        <v/>
      </c>
      <c r="Y249" s="39" t="str">
        <f>IF([8]道具信息!Y249="","",[8]道具信息!Y249)</f>
        <v/>
      </c>
      <c r="Z249" s="39" t="str">
        <f>IF([8]道具信息!Z249="","",[8]道具信息!Z249)</f>
        <v/>
      </c>
    </row>
    <row r="250" spans="1:26" x14ac:dyDescent="0.15">
      <c r="A250" s="39" t="str">
        <f>IF([8]道具信息!A250="","",[8]道具信息!A250)</f>
        <v/>
      </c>
      <c r="B250" s="39" t="str">
        <f>IF([8]道具信息!B250="","",[8]道具信息!B250)</f>
        <v/>
      </c>
      <c r="C250" s="39">
        <f>IF([8]道具信息!C250="","",[8]道具信息!C250)</f>
        <v>21032</v>
      </c>
      <c r="D250" s="39" t="str">
        <f>IF([8]道具信息!D250="","",[8]道具信息!D250)</f>
        <v>初级资源宝箱</v>
      </c>
      <c r="E250" s="39">
        <f>IF([8]道具信息!E250="","",[8]道具信息!E250)</f>
        <v>80</v>
      </c>
      <c r="F250" s="39">
        <f>IF([8]道具信息!F250="","",[8]道具信息!F250)</f>
        <v>1</v>
      </c>
      <c r="G250" s="39">
        <f>IF([8]道具信息!G250="","",[8]道具信息!G250)</f>
        <v>1</v>
      </c>
      <c r="H250" s="39">
        <f>IF([8]道具信息!H250="","",[8]道具信息!H250)</f>
        <v>0.3</v>
      </c>
      <c r="I250" s="39">
        <f>IF([8]道具信息!I250="","",[8]道具信息!I250)</f>
        <v>80</v>
      </c>
      <c r="J250" s="39">
        <f>IF([8]道具信息!J250="","",[8]道具信息!J250)</f>
        <v>80</v>
      </c>
      <c r="K250" s="39">
        <f>IF([8]道具信息!K250="","",[8]道具信息!K250)</f>
        <v>24</v>
      </c>
      <c r="L250" s="39" t="str">
        <f>IF([8]道具信息!L250="","",[8]道具信息!L250)</f>
        <v>使用后直接获得50000粮食、木材、石料和铜矿</v>
      </c>
      <c r="M250" s="39" t="str">
        <f>IF([8]道具信息!M250="","",[8]道具信息!M250)</f>
        <v/>
      </c>
      <c r="N250" s="39" t="str">
        <f>IF([8]道具信息!N250="","",[8]道具信息!N250)</f>
        <v/>
      </c>
      <c r="O250" s="39" t="str">
        <f>IF([8]道具信息!O250="","",[8]道具信息!O250)</f>
        <v/>
      </c>
      <c r="P250" s="39" t="str">
        <f>IF([8]道具信息!P250="","",[8]道具信息!P250)</f>
        <v/>
      </c>
      <c r="Q250" s="39" t="str">
        <f>IF([8]道具信息!Q250="","",[8]道具信息!Q250)</f>
        <v/>
      </c>
      <c r="R250" s="39" t="str">
        <f>IF([8]道具信息!R250="","",[8]道具信息!R250)</f>
        <v/>
      </c>
      <c r="S250" s="39" t="str">
        <f>IF([8]道具信息!S250="","",[8]道具信息!S250)</f>
        <v/>
      </c>
      <c r="T250" s="39" t="str">
        <f>IF([8]道具信息!T250="","",[8]道具信息!T250)</f>
        <v/>
      </c>
      <c r="U250" s="39" t="str">
        <f>IF([8]道具信息!U250="","",[8]道具信息!U250)</f>
        <v/>
      </c>
      <c r="V250" s="39" t="str">
        <f>IF([8]道具信息!V250="","",[8]道具信息!V250)</f>
        <v/>
      </c>
      <c r="W250" s="39" t="str">
        <f>IF([8]道具信息!W250="","",[8]道具信息!W250)</f>
        <v/>
      </c>
      <c r="X250" s="39" t="str">
        <f>IF([8]道具信息!X250="","",[8]道具信息!X250)</f>
        <v/>
      </c>
      <c r="Y250" s="39" t="str">
        <f>IF([8]道具信息!Y250="","",[8]道具信息!Y250)</f>
        <v/>
      </c>
      <c r="Z250" s="39" t="str">
        <f>IF([8]道具信息!Z250="","",[8]道具信息!Z250)</f>
        <v/>
      </c>
    </row>
    <row r="251" spans="1:26" x14ac:dyDescent="0.15">
      <c r="A251" s="39" t="str">
        <f>IF([8]道具信息!A251="","",[8]道具信息!A251)</f>
        <v/>
      </c>
      <c r="B251" s="39" t="str">
        <f>IF([8]道具信息!B251="","",[8]道具信息!B251)</f>
        <v/>
      </c>
      <c r="C251" s="39">
        <f>IF([8]道具信息!C251="","",[8]道具信息!C251)</f>
        <v>21033</v>
      </c>
      <c r="D251" s="39" t="str">
        <f>IF([8]道具信息!D251="","",[8]道具信息!D251)</f>
        <v>中级资源宝箱</v>
      </c>
      <c r="E251" s="39">
        <f>IF([8]道具信息!E251="","",[8]道具信息!E251)</f>
        <v>180</v>
      </c>
      <c r="F251" s="39">
        <f>IF([8]道具信息!F251="","",[8]道具信息!F251)</f>
        <v>1.333</v>
      </c>
      <c r="G251" s="39">
        <f>IF([8]道具信息!G251="","",[8]道具信息!G251)</f>
        <v>1</v>
      </c>
      <c r="H251" s="39">
        <f>IF([8]道具信息!H251="","",[8]道具信息!H251)</f>
        <v>0.3</v>
      </c>
      <c r="I251" s="39">
        <f>IF([8]道具信息!I251="","",[8]道具信息!I251)</f>
        <v>239.94</v>
      </c>
      <c r="J251" s="39">
        <f>IF([8]道具信息!J251="","",[8]道具信息!J251)</f>
        <v>180</v>
      </c>
      <c r="K251" s="39">
        <f>IF([8]道具信息!K251="","",[8]道具信息!K251)</f>
        <v>54</v>
      </c>
      <c r="L251" s="39" t="str">
        <f>IF([8]道具信息!L251="","",[8]道具信息!L251)</f>
        <v>使用后直接获得150000粮食、木材、石料和铜矿</v>
      </c>
      <c r="M251" s="39" t="str">
        <f>IF([8]道具信息!M251="","",[8]道具信息!M251)</f>
        <v/>
      </c>
      <c r="N251" s="39" t="str">
        <f>IF([8]道具信息!N251="","",[8]道具信息!N251)</f>
        <v/>
      </c>
      <c r="O251" s="39" t="str">
        <f>IF([8]道具信息!O251="","",[8]道具信息!O251)</f>
        <v/>
      </c>
      <c r="P251" s="39" t="str">
        <f>IF([8]道具信息!P251="","",[8]道具信息!P251)</f>
        <v/>
      </c>
      <c r="Q251" s="39" t="str">
        <f>IF([8]道具信息!Q251="","",[8]道具信息!Q251)</f>
        <v/>
      </c>
      <c r="R251" s="39" t="str">
        <f>IF([8]道具信息!R251="","",[8]道具信息!R251)</f>
        <v/>
      </c>
      <c r="S251" s="39" t="str">
        <f>IF([8]道具信息!S251="","",[8]道具信息!S251)</f>
        <v/>
      </c>
      <c r="T251" s="39" t="str">
        <f>IF([8]道具信息!T251="","",[8]道具信息!T251)</f>
        <v/>
      </c>
      <c r="U251" s="39" t="str">
        <f>IF([8]道具信息!U251="","",[8]道具信息!U251)</f>
        <v/>
      </c>
      <c r="V251" s="39" t="str">
        <f>IF([8]道具信息!V251="","",[8]道具信息!V251)</f>
        <v/>
      </c>
      <c r="W251" s="39" t="str">
        <f>IF([8]道具信息!W251="","",[8]道具信息!W251)</f>
        <v/>
      </c>
      <c r="X251" s="39" t="str">
        <f>IF([8]道具信息!X251="","",[8]道具信息!X251)</f>
        <v/>
      </c>
      <c r="Y251" s="39" t="str">
        <f>IF([8]道具信息!Y251="","",[8]道具信息!Y251)</f>
        <v/>
      </c>
      <c r="Z251" s="39" t="str">
        <f>IF([8]道具信息!Z251="","",[8]道具信息!Z251)</f>
        <v/>
      </c>
    </row>
    <row r="252" spans="1:26" x14ac:dyDescent="0.15">
      <c r="A252" s="39" t="str">
        <f>IF([8]道具信息!A252="","",[8]道具信息!A252)</f>
        <v/>
      </c>
      <c r="B252" s="39" t="str">
        <f>IF([8]道具信息!B252="","",[8]道具信息!B252)</f>
        <v/>
      </c>
      <c r="C252" s="39">
        <f>IF([8]道具信息!C252="","",[8]道具信息!C252)</f>
        <v>21034</v>
      </c>
      <c r="D252" s="39" t="str">
        <f>IF([8]道具信息!D252="","",[8]道具信息!D252)</f>
        <v>高级资源宝箱</v>
      </c>
      <c r="E252" s="39">
        <f>IF([8]道具信息!E252="","",[8]道具信息!E252)</f>
        <v>400</v>
      </c>
      <c r="F252" s="39">
        <f>IF([8]道具信息!F252="","",[8]道具信息!F252)</f>
        <v>2</v>
      </c>
      <c r="G252" s="39">
        <f>IF([8]道具信息!G252="","",[8]道具信息!G252)</f>
        <v>1</v>
      </c>
      <c r="H252" s="39">
        <f>IF([8]道具信息!H252="","",[8]道具信息!H252)</f>
        <v>0.3</v>
      </c>
      <c r="I252" s="39">
        <f>IF([8]道具信息!I252="","",[8]道具信息!I252)</f>
        <v>800</v>
      </c>
      <c r="J252" s="39">
        <f>IF([8]道具信息!J252="","",[8]道具信息!J252)</f>
        <v>400</v>
      </c>
      <c r="K252" s="39">
        <f>IF([8]道具信息!K252="","",[8]道具信息!K252)</f>
        <v>120</v>
      </c>
      <c r="L252" s="39" t="str">
        <f>IF([8]道具信息!L252="","",[8]道具信息!L252)</f>
        <v>使用后直接获得500000粮食、木材、石料和铜矿</v>
      </c>
      <c r="M252" s="39" t="str">
        <f>IF([8]道具信息!M252="","",[8]道具信息!M252)</f>
        <v/>
      </c>
      <c r="N252" s="39" t="str">
        <f>IF([8]道具信息!N252="","",[8]道具信息!N252)</f>
        <v/>
      </c>
      <c r="O252" s="39" t="str">
        <f>IF([8]道具信息!O252="","",[8]道具信息!O252)</f>
        <v/>
      </c>
      <c r="P252" s="39" t="str">
        <f>IF([8]道具信息!P252="","",[8]道具信息!P252)</f>
        <v/>
      </c>
      <c r="Q252" s="39" t="str">
        <f>IF([8]道具信息!Q252="","",[8]道具信息!Q252)</f>
        <v/>
      </c>
      <c r="R252" s="39" t="str">
        <f>IF([8]道具信息!R252="","",[8]道具信息!R252)</f>
        <v/>
      </c>
      <c r="S252" s="39" t="str">
        <f>IF([8]道具信息!S252="","",[8]道具信息!S252)</f>
        <v/>
      </c>
      <c r="T252" s="39" t="str">
        <f>IF([8]道具信息!T252="","",[8]道具信息!T252)</f>
        <v/>
      </c>
      <c r="U252" s="39" t="str">
        <f>IF([8]道具信息!U252="","",[8]道具信息!U252)</f>
        <v/>
      </c>
      <c r="V252" s="39" t="str">
        <f>IF([8]道具信息!V252="","",[8]道具信息!V252)</f>
        <v/>
      </c>
      <c r="W252" s="39" t="str">
        <f>IF([8]道具信息!W252="","",[8]道具信息!W252)</f>
        <v/>
      </c>
      <c r="X252" s="39" t="str">
        <f>IF([8]道具信息!X252="","",[8]道具信息!X252)</f>
        <v/>
      </c>
      <c r="Y252" s="39" t="str">
        <f>IF([8]道具信息!Y252="","",[8]道具信息!Y252)</f>
        <v/>
      </c>
      <c r="Z252" s="39" t="str">
        <f>IF([8]道具信息!Z252="","",[8]道具信息!Z252)</f>
        <v/>
      </c>
    </row>
    <row r="253" spans="1:26" x14ac:dyDescent="0.15">
      <c r="A253" s="39" t="str">
        <f>IF([8]道具信息!A253="","",[8]道具信息!A253)</f>
        <v/>
      </c>
      <c r="B253" s="39" t="str">
        <f>IF([8]道具信息!B253="","",[8]道具信息!B253)</f>
        <v/>
      </c>
      <c r="C253" s="39" t="str">
        <f>IF([8]道具信息!C253="","",[8]道具信息!C253)</f>
        <v/>
      </c>
      <c r="D253" s="39" t="str">
        <f>IF([8]道具信息!D253="","",[8]道具信息!D253)</f>
        <v/>
      </c>
      <c r="E253" s="39" t="str">
        <f>IF([8]道具信息!E253="","",[8]道具信息!E253)</f>
        <v/>
      </c>
      <c r="F253" s="39" t="str">
        <f>IF([8]道具信息!F253="","",[8]道具信息!F253)</f>
        <v/>
      </c>
      <c r="G253" s="39" t="str">
        <f>IF([8]道具信息!G253="","",[8]道具信息!G253)</f>
        <v/>
      </c>
      <c r="H253" s="39" t="str">
        <f>IF([8]道具信息!H253="","",[8]道具信息!H253)</f>
        <v/>
      </c>
      <c r="I253" s="39" t="str">
        <f>IF([8]道具信息!I253="","",[8]道具信息!I253)</f>
        <v/>
      </c>
      <c r="J253" s="39" t="str">
        <f>IF([8]道具信息!J253="","",[8]道具信息!J253)</f>
        <v/>
      </c>
      <c r="K253" s="39" t="str">
        <f>IF([8]道具信息!K253="","",[8]道具信息!K253)</f>
        <v/>
      </c>
      <c r="L253" s="39" t="str">
        <f>IF([8]道具信息!L253="","",[8]道具信息!L253)</f>
        <v/>
      </c>
      <c r="M253" s="39" t="str">
        <f>IF([8]道具信息!M253="","",[8]道具信息!M253)</f>
        <v/>
      </c>
      <c r="N253" s="39" t="str">
        <f>IF([8]道具信息!N253="","",[8]道具信息!N253)</f>
        <v/>
      </c>
      <c r="O253" s="39" t="str">
        <f>IF([8]道具信息!O253="","",[8]道具信息!O253)</f>
        <v/>
      </c>
      <c r="P253" s="39" t="str">
        <f>IF([8]道具信息!P253="","",[8]道具信息!P253)</f>
        <v/>
      </c>
      <c r="Q253" s="39" t="str">
        <f>IF([8]道具信息!Q253="","",[8]道具信息!Q253)</f>
        <v/>
      </c>
      <c r="R253" s="39" t="str">
        <f>IF([8]道具信息!R253="","",[8]道具信息!R253)</f>
        <v/>
      </c>
      <c r="S253" s="39" t="str">
        <f>IF([8]道具信息!S253="","",[8]道具信息!S253)</f>
        <v/>
      </c>
      <c r="T253" s="39" t="str">
        <f>IF([8]道具信息!T253="","",[8]道具信息!T253)</f>
        <v/>
      </c>
      <c r="U253" s="39" t="str">
        <f>IF([8]道具信息!U253="","",[8]道具信息!U253)</f>
        <v/>
      </c>
      <c r="V253" s="39" t="str">
        <f>IF([8]道具信息!V253="","",[8]道具信息!V253)</f>
        <v/>
      </c>
      <c r="W253" s="39" t="str">
        <f>IF([8]道具信息!W253="","",[8]道具信息!W253)</f>
        <v/>
      </c>
      <c r="X253" s="39" t="str">
        <f>IF([8]道具信息!X253="","",[8]道具信息!X253)</f>
        <v/>
      </c>
      <c r="Y253" s="39" t="str">
        <f>IF([8]道具信息!Y253="","",[8]道具信息!Y253)</f>
        <v/>
      </c>
      <c r="Z253" s="39" t="str">
        <f>IF([8]道具信息!Z253="","",[8]道具信息!Z253)</f>
        <v/>
      </c>
    </row>
    <row r="254" spans="1:26" x14ac:dyDescent="0.15">
      <c r="A254" s="39" t="str">
        <f>IF([8]道具信息!A254="","",[8]道具信息!A254)</f>
        <v/>
      </c>
      <c r="B254" s="39" t="str">
        <f>IF([8]道具信息!B254="","",[8]道具信息!B254)</f>
        <v/>
      </c>
      <c r="C254" s="39">
        <f>IF([8]道具信息!C254="","",[8]道具信息!C254)</f>
        <v>21061</v>
      </c>
      <c r="D254" s="39" t="str">
        <f>IF([8]道具信息!D254="","",[8]道具信息!D254)</f>
        <v>初级经验书</v>
      </c>
      <c r="E254" s="39">
        <f>IF([8]道具信息!E254="","",[8]道具信息!E254)</f>
        <v>2</v>
      </c>
      <c r="F254" s="39">
        <f>IF([8]道具信息!F254="","",[8]道具信息!F254)</f>
        <v>1</v>
      </c>
      <c r="G254" s="39">
        <f>IF([8]道具信息!G254="","",[8]道具信息!G254)</f>
        <v>1</v>
      </c>
      <c r="H254" s="39">
        <f>IF([8]道具信息!H254="","",[8]道具信息!H254)</f>
        <v>1</v>
      </c>
      <c r="I254" s="39">
        <f>IF([8]道具信息!I254="","",[8]道具信息!I254)</f>
        <v>2</v>
      </c>
      <c r="J254" s="39">
        <f>IF([8]道具信息!J254="","",[8]道具信息!J254)</f>
        <v>2</v>
      </c>
      <c r="K254" s="39">
        <f>IF([8]道具信息!K254="","",[8]道具信息!K254)</f>
        <v>2</v>
      </c>
      <c r="L254" s="39" t="str">
        <f>IF([8]道具信息!L254="","",[8]道具信息!L254)</f>
        <v>武将使用后获得200经验</v>
      </c>
      <c r="M254" s="39" t="str">
        <f>IF([8]道具信息!M254="","",[8]道具信息!M254)</f>
        <v/>
      </c>
      <c r="N254" s="39" t="str">
        <f>IF([8]道具信息!N254="","",[8]道具信息!N254)</f>
        <v/>
      </c>
      <c r="O254" s="39" t="str">
        <f>IF([8]道具信息!O254="","",[8]道具信息!O254)</f>
        <v/>
      </c>
      <c r="P254" s="39" t="str">
        <f>IF([8]道具信息!P254="","",[8]道具信息!P254)</f>
        <v/>
      </c>
      <c r="Q254" s="39" t="str">
        <f>IF([8]道具信息!Q254="","",[8]道具信息!Q254)</f>
        <v/>
      </c>
      <c r="R254" s="39" t="str">
        <f>IF([8]道具信息!R254="","",[8]道具信息!R254)</f>
        <v/>
      </c>
      <c r="S254" s="39" t="str">
        <f>IF([8]道具信息!S254="","",[8]道具信息!S254)</f>
        <v/>
      </c>
      <c r="T254" s="39" t="str">
        <f>IF([8]道具信息!T254="","",[8]道具信息!T254)</f>
        <v/>
      </c>
      <c r="U254" s="39" t="str">
        <f>IF([8]道具信息!U254="","",[8]道具信息!U254)</f>
        <v/>
      </c>
      <c r="V254" s="39" t="str">
        <f>IF([8]道具信息!V254="","",[8]道具信息!V254)</f>
        <v/>
      </c>
      <c r="W254" s="39" t="str">
        <f>IF([8]道具信息!W254="","",[8]道具信息!W254)</f>
        <v/>
      </c>
      <c r="X254" s="39" t="str">
        <f>IF([8]道具信息!X254="","",[8]道具信息!X254)</f>
        <v/>
      </c>
      <c r="Y254" s="39" t="str">
        <f>IF([8]道具信息!Y254="","",[8]道具信息!Y254)</f>
        <v/>
      </c>
      <c r="Z254" s="39" t="str">
        <f>IF([8]道具信息!Z254="","",[8]道具信息!Z254)</f>
        <v/>
      </c>
    </row>
    <row r="255" spans="1:26" x14ac:dyDescent="0.15">
      <c r="A255" s="39" t="str">
        <f>IF([8]道具信息!A255="","",[8]道具信息!A255)</f>
        <v/>
      </c>
      <c r="B255" s="39" t="str">
        <f>IF([8]道具信息!B255="","",[8]道具信息!B255)</f>
        <v/>
      </c>
      <c r="C255" s="39">
        <f>IF([8]道具信息!C255="","",[8]道具信息!C255)</f>
        <v>21062</v>
      </c>
      <c r="D255" s="39" t="str">
        <f>IF([8]道具信息!D255="","",[8]道具信息!D255)</f>
        <v>中级经验书</v>
      </c>
      <c r="E255" s="39">
        <f>IF([8]道具信息!E255="","",[8]道具信息!E255)</f>
        <v>5</v>
      </c>
      <c r="F255" s="39">
        <f>IF([8]道具信息!F255="","",[8]道具信息!F255)</f>
        <v>1</v>
      </c>
      <c r="G255" s="39">
        <f>IF([8]道具信息!G255="","",[8]道具信息!G255)</f>
        <v>1</v>
      </c>
      <c r="H255" s="39">
        <f>IF([8]道具信息!H255="","",[8]道具信息!H255)</f>
        <v>1</v>
      </c>
      <c r="I255" s="39">
        <f>IF([8]道具信息!I255="","",[8]道具信息!I255)</f>
        <v>5</v>
      </c>
      <c r="J255" s="39">
        <f>IF([8]道具信息!J255="","",[8]道具信息!J255)</f>
        <v>5</v>
      </c>
      <c r="K255" s="39">
        <f>IF([8]道具信息!K255="","",[8]道具信息!K255)</f>
        <v>5</v>
      </c>
      <c r="L255" s="39" t="str">
        <f>IF([8]道具信息!L255="","",[8]道具信息!L255)</f>
        <v>武将使用后获得1000经验</v>
      </c>
      <c r="M255" s="39" t="str">
        <f>IF([8]道具信息!M255="","",[8]道具信息!M255)</f>
        <v/>
      </c>
      <c r="N255" s="39" t="str">
        <f>IF([8]道具信息!N255="","",[8]道具信息!N255)</f>
        <v/>
      </c>
      <c r="O255" s="39" t="str">
        <f>IF([8]道具信息!O255="","",[8]道具信息!O255)</f>
        <v/>
      </c>
      <c r="P255" s="39" t="str">
        <f>IF([8]道具信息!P255="","",[8]道具信息!P255)</f>
        <v/>
      </c>
      <c r="Q255" s="39" t="str">
        <f>IF([8]道具信息!Q255="","",[8]道具信息!Q255)</f>
        <v/>
      </c>
      <c r="R255" s="39" t="str">
        <f>IF([8]道具信息!R255="","",[8]道具信息!R255)</f>
        <v/>
      </c>
      <c r="S255" s="39" t="str">
        <f>IF([8]道具信息!S255="","",[8]道具信息!S255)</f>
        <v/>
      </c>
      <c r="T255" s="39" t="str">
        <f>IF([8]道具信息!T255="","",[8]道具信息!T255)</f>
        <v/>
      </c>
      <c r="U255" s="39" t="str">
        <f>IF([8]道具信息!U255="","",[8]道具信息!U255)</f>
        <v/>
      </c>
      <c r="V255" s="39" t="str">
        <f>IF([8]道具信息!V255="","",[8]道具信息!V255)</f>
        <v/>
      </c>
      <c r="W255" s="39" t="str">
        <f>IF([8]道具信息!W255="","",[8]道具信息!W255)</f>
        <v/>
      </c>
      <c r="X255" s="39" t="str">
        <f>IF([8]道具信息!X255="","",[8]道具信息!X255)</f>
        <v/>
      </c>
      <c r="Y255" s="39" t="str">
        <f>IF([8]道具信息!Y255="","",[8]道具信息!Y255)</f>
        <v/>
      </c>
      <c r="Z255" s="39" t="str">
        <f>IF([8]道具信息!Z255="","",[8]道具信息!Z255)</f>
        <v/>
      </c>
    </row>
    <row r="256" spans="1:26" x14ac:dyDescent="0.15">
      <c r="A256" s="39" t="str">
        <f>IF([8]道具信息!A256="","",[8]道具信息!A256)</f>
        <v/>
      </c>
      <c r="B256" s="39" t="str">
        <f>IF([8]道具信息!B256="","",[8]道具信息!B256)</f>
        <v/>
      </c>
      <c r="C256" s="39">
        <f>IF([8]道具信息!C256="","",[8]道具信息!C256)</f>
        <v>21063</v>
      </c>
      <c r="D256" s="39" t="str">
        <f>IF([8]道具信息!D256="","",[8]道具信息!D256)</f>
        <v>高级经验书</v>
      </c>
      <c r="E256" s="39">
        <f>IF([8]道具信息!E256="","",[8]道具信息!E256)</f>
        <v>10</v>
      </c>
      <c r="F256" s="39">
        <f>IF([8]道具信息!F256="","",[8]道具信息!F256)</f>
        <v>1</v>
      </c>
      <c r="G256" s="39">
        <f>IF([8]道具信息!G256="","",[8]道具信息!G256)</f>
        <v>1</v>
      </c>
      <c r="H256" s="39">
        <f>IF([8]道具信息!H256="","",[8]道具信息!H256)</f>
        <v>1</v>
      </c>
      <c r="I256" s="39">
        <f>IF([8]道具信息!I256="","",[8]道具信息!I256)</f>
        <v>10</v>
      </c>
      <c r="J256" s="39">
        <f>IF([8]道具信息!J256="","",[8]道具信息!J256)</f>
        <v>10</v>
      </c>
      <c r="K256" s="39">
        <f>IF([8]道具信息!K256="","",[8]道具信息!K256)</f>
        <v>10</v>
      </c>
      <c r="L256" s="39" t="str">
        <f>IF([8]道具信息!L256="","",[8]道具信息!L256)</f>
        <v>武将使用后获得5000经验</v>
      </c>
      <c r="M256" s="39" t="str">
        <f>IF([8]道具信息!M256="","",[8]道具信息!M256)</f>
        <v/>
      </c>
      <c r="N256" s="39" t="str">
        <f>IF([8]道具信息!N256="","",[8]道具信息!N256)</f>
        <v/>
      </c>
      <c r="O256" s="39" t="str">
        <f>IF([8]道具信息!O256="","",[8]道具信息!O256)</f>
        <v/>
      </c>
      <c r="P256" s="39" t="str">
        <f>IF([8]道具信息!P256="","",[8]道具信息!P256)</f>
        <v/>
      </c>
      <c r="Q256" s="39" t="str">
        <f>IF([8]道具信息!Q256="","",[8]道具信息!Q256)</f>
        <v/>
      </c>
      <c r="R256" s="39" t="str">
        <f>IF([8]道具信息!R256="","",[8]道具信息!R256)</f>
        <v/>
      </c>
      <c r="S256" s="39" t="str">
        <f>IF([8]道具信息!S256="","",[8]道具信息!S256)</f>
        <v/>
      </c>
      <c r="T256" s="39" t="str">
        <f>IF([8]道具信息!T256="","",[8]道具信息!T256)</f>
        <v/>
      </c>
      <c r="U256" s="39" t="str">
        <f>IF([8]道具信息!U256="","",[8]道具信息!U256)</f>
        <v/>
      </c>
      <c r="V256" s="39" t="str">
        <f>IF([8]道具信息!V256="","",[8]道具信息!V256)</f>
        <v/>
      </c>
      <c r="W256" s="39" t="str">
        <f>IF([8]道具信息!W256="","",[8]道具信息!W256)</f>
        <v/>
      </c>
      <c r="X256" s="39" t="str">
        <f>IF([8]道具信息!X256="","",[8]道具信息!X256)</f>
        <v/>
      </c>
      <c r="Y256" s="39" t="str">
        <f>IF([8]道具信息!Y256="","",[8]道具信息!Y256)</f>
        <v/>
      </c>
      <c r="Z256" s="39" t="str">
        <f>IF([8]道具信息!Z256="","",[8]道具信息!Z256)</f>
        <v/>
      </c>
    </row>
    <row r="257" spans="1:26" x14ac:dyDescent="0.15">
      <c r="A257" s="39" t="str">
        <f>IF([8]道具信息!A257="","",[8]道具信息!A257)</f>
        <v/>
      </c>
      <c r="B257" s="39" t="str">
        <f>IF([8]道具信息!B257="","",[8]道具信息!B257)</f>
        <v/>
      </c>
      <c r="C257" s="39">
        <f>IF([8]道具信息!C257="","",[8]道具信息!C257)</f>
        <v>21064</v>
      </c>
      <c r="D257" s="39" t="str">
        <f>IF([8]道具信息!D257="","",[8]道具信息!D257)</f>
        <v>特级经验书</v>
      </c>
      <c r="E257" s="39">
        <f>IF([8]道具信息!E257="","",[8]道具信息!E257)</f>
        <v>20</v>
      </c>
      <c r="F257" s="39">
        <f>IF([8]道具信息!F257="","",[8]道具信息!F257)</f>
        <v>2</v>
      </c>
      <c r="G257" s="39">
        <f>IF([8]道具信息!G257="","",[8]道具信息!G257)</f>
        <v>1</v>
      </c>
      <c r="H257" s="39">
        <f>IF([8]道具信息!H257="","",[8]道具信息!H257)</f>
        <v>1</v>
      </c>
      <c r="I257" s="39">
        <f>IF([8]道具信息!I257="","",[8]道具信息!I257)</f>
        <v>40</v>
      </c>
      <c r="J257" s="39">
        <f>IF([8]道具信息!J257="","",[8]道具信息!J257)</f>
        <v>20</v>
      </c>
      <c r="K257" s="39">
        <f>IF([8]道具信息!K257="","",[8]道具信息!K257)</f>
        <v>20</v>
      </c>
      <c r="L257" s="39" t="str">
        <f>IF([8]道具信息!L257="","",[8]道具信息!L257)</f>
        <v>武将使用后获得20000经验</v>
      </c>
      <c r="M257" s="39" t="str">
        <f>IF([8]道具信息!M257="","",[8]道具信息!M257)</f>
        <v/>
      </c>
      <c r="N257" s="39" t="str">
        <f>IF([8]道具信息!N257="","",[8]道具信息!N257)</f>
        <v/>
      </c>
      <c r="O257" s="39" t="str">
        <f>IF([8]道具信息!O257="","",[8]道具信息!O257)</f>
        <v/>
      </c>
      <c r="P257" s="39" t="str">
        <f>IF([8]道具信息!P257="","",[8]道具信息!P257)</f>
        <v/>
      </c>
      <c r="Q257" s="39" t="str">
        <f>IF([8]道具信息!Q257="","",[8]道具信息!Q257)</f>
        <v/>
      </c>
      <c r="R257" s="39" t="str">
        <f>IF([8]道具信息!R257="","",[8]道具信息!R257)</f>
        <v/>
      </c>
      <c r="S257" s="39" t="str">
        <f>IF([8]道具信息!S257="","",[8]道具信息!S257)</f>
        <v/>
      </c>
      <c r="T257" s="39" t="str">
        <f>IF([8]道具信息!T257="","",[8]道具信息!T257)</f>
        <v/>
      </c>
      <c r="U257" s="39" t="str">
        <f>IF([8]道具信息!U257="","",[8]道具信息!U257)</f>
        <v/>
      </c>
      <c r="V257" s="39" t="str">
        <f>IF([8]道具信息!V257="","",[8]道具信息!V257)</f>
        <v/>
      </c>
      <c r="W257" s="39" t="str">
        <f>IF([8]道具信息!W257="","",[8]道具信息!W257)</f>
        <v/>
      </c>
      <c r="X257" s="39" t="str">
        <f>IF([8]道具信息!X257="","",[8]道具信息!X257)</f>
        <v/>
      </c>
      <c r="Y257" s="39" t="str">
        <f>IF([8]道具信息!Y257="","",[8]道具信息!Y257)</f>
        <v/>
      </c>
      <c r="Z257" s="39" t="str">
        <f>IF([8]道具信息!Z257="","",[8]道具信息!Z257)</f>
        <v/>
      </c>
    </row>
    <row r="258" spans="1:26" x14ac:dyDescent="0.15">
      <c r="A258" s="39" t="str">
        <f>IF([8]道具信息!A258="","",[8]道具信息!A258)</f>
        <v/>
      </c>
      <c r="B258" s="39" t="str">
        <f>IF([8]道具信息!B258="","",[8]道具信息!B258)</f>
        <v/>
      </c>
      <c r="C258" s="39">
        <f>IF([8]道具信息!C258="","",[8]道具信息!C258)</f>
        <v>21065</v>
      </c>
      <c r="D258" s="39" t="str">
        <f>IF([8]道具信息!D258="","",[8]道具信息!D258)</f>
        <v>超级经验书</v>
      </c>
      <c r="E258" s="39">
        <f>IF([8]道具信息!E258="","",[8]道具信息!E258)</f>
        <v>40</v>
      </c>
      <c r="F258" s="39">
        <f>IF([8]道具信息!F258="","",[8]道具信息!F258)</f>
        <v>5</v>
      </c>
      <c r="G258" s="39">
        <f>IF([8]道具信息!G258="","",[8]道具信息!G258)</f>
        <v>1</v>
      </c>
      <c r="H258" s="39">
        <f>IF([8]道具信息!H258="","",[8]道具信息!H258)</f>
        <v>1</v>
      </c>
      <c r="I258" s="39">
        <f>IF([8]道具信息!I258="","",[8]道具信息!I258)</f>
        <v>200</v>
      </c>
      <c r="J258" s="39">
        <f>IF([8]道具信息!J258="","",[8]道具信息!J258)</f>
        <v>40</v>
      </c>
      <c r="K258" s="39">
        <f>IF([8]道具信息!K258="","",[8]道具信息!K258)</f>
        <v>40</v>
      </c>
      <c r="L258" s="39" t="str">
        <f>IF([8]道具信息!L258="","",[8]道具信息!L258)</f>
        <v>武将使用后获得100000经验</v>
      </c>
      <c r="M258" s="39" t="str">
        <f>IF([8]道具信息!M258="","",[8]道具信息!M258)</f>
        <v/>
      </c>
      <c r="N258" s="39" t="str">
        <f>IF([8]道具信息!N258="","",[8]道具信息!N258)</f>
        <v/>
      </c>
      <c r="O258" s="39" t="str">
        <f>IF([8]道具信息!O258="","",[8]道具信息!O258)</f>
        <v/>
      </c>
      <c r="P258" s="39" t="str">
        <f>IF([8]道具信息!P258="","",[8]道具信息!P258)</f>
        <v/>
      </c>
      <c r="Q258" s="39" t="str">
        <f>IF([8]道具信息!Q258="","",[8]道具信息!Q258)</f>
        <v/>
      </c>
      <c r="R258" s="39" t="str">
        <f>IF([8]道具信息!R258="","",[8]道具信息!R258)</f>
        <v/>
      </c>
      <c r="S258" s="39" t="str">
        <f>IF([8]道具信息!S258="","",[8]道具信息!S258)</f>
        <v/>
      </c>
      <c r="T258" s="39" t="str">
        <f>IF([8]道具信息!T258="","",[8]道具信息!T258)</f>
        <v/>
      </c>
      <c r="U258" s="39" t="str">
        <f>IF([8]道具信息!U258="","",[8]道具信息!U258)</f>
        <v/>
      </c>
      <c r="V258" s="39" t="str">
        <f>IF([8]道具信息!V258="","",[8]道具信息!V258)</f>
        <v/>
      </c>
      <c r="W258" s="39" t="str">
        <f>IF([8]道具信息!W258="","",[8]道具信息!W258)</f>
        <v/>
      </c>
      <c r="X258" s="39" t="str">
        <f>IF([8]道具信息!X258="","",[8]道具信息!X258)</f>
        <v/>
      </c>
      <c r="Y258" s="39" t="str">
        <f>IF([8]道具信息!Y258="","",[8]道具信息!Y258)</f>
        <v/>
      </c>
      <c r="Z258" s="39" t="str">
        <f>IF([8]道具信息!Z258="","",[8]道具信息!Z258)</f>
        <v/>
      </c>
    </row>
    <row r="259" spans="1:26" x14ac:dyDescent="0.15">
      <c r="A259" s="39" t="str">
        <f>IF([8]道具信息!A259="","",[8]道具信息!A259)</f>
        <v/>
      </c>
      <c r="B259" s="39" t="str">
        <f>IF([8]道具信息!B259="","",[8]道具信息!B259)</f>
        <v/>
      </c>
      <c r="C259" s="39" t="str">
        <f>IF([8]道具信息!C259="","",[8]道具信息!C259)</f>
        <v/>
      </c>
      <c r="D259" s="39" t="str">
        <f>IF([8]道具信息!D259="","",[8]道具信息!D259)</f>
        <v/>
      </c>
      <c r="E259" s="39" t="str">
        <f>IF([8]道具信息!E259="","",[8]道具信息!E259)</f>
        <v/>
      </c>
      <c r="F259" s="39" t="str">
        <f>IF([8]道具信息!F259="","",[8]道具信息!F259)</f>
        <v/>
      </c>
      <c r="G259" s="39" t="str">
        <f>IF([8]道具信息!G259="","",[8]道具信息!G259)</f>
        <v/>
      </c>
      <c r="H259" s="39" t="str">
        <f>IF([8]道具信息!H259="","",[8]道具信息!H259)</f>
        <v/>
      </c>
      <c r="I259" s="39" t="str">
        <f>IF([8]道具信息!I259="","",[8]道具信息!I259)</f>
        <v/>
      </c>
      <c r="J259" s="39" t="str">
        <f>IF([8]道具信息!J259="","",[8]道具信息!J259)</f>
        <v/>
      </c>
      <c r="K259" s="39" t="str">
        <f>IF([8]道具信息!K259="","",[8]道具信息!K259)</f>
        <v/>
      </c>
      <c r="L259" s="39" t="str">
        <f>IF([8]道具信息!L259="","",[8]道具信息!L259)</f>
        <v/>
      </c>
      <c r="M259" s="39" t="str">
        <f>IF([8]道具信息!M259="","",[8]道具信息!M259)</f>
        <v/>
      </c>
      <c r="N259" s="39" t="str">
        <f>IF([8]道具信息!N259="","",[8]道具信息!N259)</f>
        <v/>
      </c>
      <c r="O259" s="39" t="str">
        <f>IF([8]道具信息!O259="","",[8]道具信息!O259)</f>
        <v/>
      </c>
      <c r="P259" s="39" t="str">
        <f>IF([8]道具信息!P259="","",[8]道具信息!P259)</f>
        <v/>
      </c>
      <c r="Q259" s="39" t="str">
        <f>IF([8]道具信息!Q259="","",[8]道具信息!Q259)</f>
        <v/>
      </c>
      <c r="R259" s="39" t="str">
        <f>IF([8]道具信息!R259="","",[8]道具信息!R259)</f>
        <v/>
      </c>
      <c r="S259" s="39" t="str">
        <f>IF([8]道具信息!S259="","",[8]道具信息!S259)</f>
        <v/>
      </c>
      <c r="T259" s="39" t="str">
        <f>IF([8]道具信息!T259="","",[8]道具信息!T259)</f>
        <v/>
      </c>
      <c r="U259" s="39" t="str">
        <f>IF([8]道具信息!U259="","",[8]道具信息!U259)</f>
        <v/>
      </c>
      <c r="V259" s="39" t="str">
        <f>IF([8]道具信息!V259="","",[8]道具信息!V259)</f>
        <v/>
      </c>
      <c r="W259" s="39" t="str">
        <f>IF([8]道具信息!W259="","",[8]道具信息!W259)</f>
        <v/>
      </c>
      <c r="X259" s="39" t="str">
        <f>IF([8]道具信息!X259="","",[8]道具信息!X259)</f>
        <v/>
      </c>
      <c r="Y259" s="39" t="str">
        <f>IF([8]道具信息!Y259="","",[8]道具信息!Y259)</f>
        <v/>
      </c>
      <c r="Z259" s="39" t="str">
        <f>IF([8]道具信息!Z259="","",[8]道具信息!Z259)</f>
        <v/>
      </c>
    </row>
    <row r="260" spans="1:26" x14ac:dyDescent="0.15">
      <c r="A260" s="39" t="str">
        <f>IF([8]道具信息!A260="","",[8]道具信息!A260)</f>
        <v/>
      </c>
      <c r="B260" s="39" t="str">
        <f>IF([8]道具信息!B260="","",[8]道具信息!B260)</f>
        <v/>
      </c>
      <c r="C260" s="39">
        <f>IF([8]道具信息!C260="","",[8]道具信息!C260)</f>
        <v>21073</v>
      </c>
      <c r="D260" s="39" t="str">
        <f>IF([8]道具信息!D260="","",[8]道具信息!D260)</f>
        <v>1个行军令</v>
      </c>
      <c r="E260" s="39">
        <f>IF([8]道具信息!E260="","",[8]道具信息!E260)</f>
        <v>75</v>
      </c>
      <c r="F260" s="39">
        <f>IF([8]道具信息!F260="","",[8]道具信息!F260)</f>
        <v>1</v>
      </c>
      <c r="G260" s="39">
        <f>IF([8]道具信息!G260="","",[8]道具信息!G260)</f>
        <v>1</v>
      </c>
      <c r="H260" s="39">
        <f>IF([8]道具信息!H260="","",[8]道具信息!H260)</f>
        <v>1</v>
      </c>
      <c r="I260" s="39">
        <f>IF([8]道具信息!I260="","",[8]道具信息!I260)</f>
        <v>75</v>
      </c>
      <c r="J260" s="39">
        <f>IF([8]道具信息!J260="","",[8]道具信息!J260)</f>
        <v>75</v>
      </c>
      <c r="K260" s="39">
        <f>IF([8]道具信息!K260="","",[8]道具信息!K260)</f>
        <v>75</v>
      </c>
      <c r="L260" s="39" t="str">
        <f>IF([8]道具信息!L260="","",[8]道具信息!L260)</f>
        <v>使用后获得1个行军令</v>
      </c>
      <c r="M260" s="39" t="str">
        <f>IF([8]道具信息!M260="","",[8]道具信息!M260)</f>
        <v/>
      </c>
      <c r="N260" s="39" t="str">
        <f>IF([8]道具信息!N260="","",[8]道具信息!N260)</f>
        <v/>
      </c>
      <c r="O260" s="39" t="str">
        <f>IF([8]道具信息!O260="","",[8]道具信息!O260)</f>
        <v/>
      </c>
      <c r="P260" s="39" t="str">
        <f>IF([8]道具信息!P260="","",[8]道具信息!P260)</f>
        <v/>
      </c>
      <c r="Q260" s="39" t="str">
        <f>IF([8]道具信息!Q260="","",[8]道具信息!Q260)</f>
        <v/>
      </c>
      <c r="R260" s="39" t="str">
        <f>IF([8]道具信息!R260="","",[8]道具信息!R260)</f>
        <v/>
      </c>
      <c r="S260" s="39" t="str">
        <f>IF([8]道具信息!S260="","",[8]道具信息!S260)</f>
        <v/>
      </c>
      <c r="T260" s="39" t="str">
        <f>IF([8]道具信息!T260="","",[8]道具信息!T260)</f>
        <v/>
      </c>
      <c r="U260" s="39" t="str">
        <f>IF([8]道具信息!U260="","",[8]道具信息!U260)</f>
        <v/>
      </c>
      <c r="V260" s="39" t="str">
        <f>IF([8]道具信息!V260="","",[8]道具信息!V260)</f>
        <v/>
      </c>
      <c r="W260" s="39" t="str">
        <f>IF([8]道具信息!W260="","",[8]道具信息!W260)</f>
        <v/>
      </c>
      <c r="X260" s="39" t="str">
        <f>IF([8]道具信息!X260="","",[8]道具信息!X260)</f>
        <v/>
      </c>
      <c r="Y260" s="39" t="str">
        <f>IF([8]道具信息!Y260="","",[8]道具信息!Y260)</f>
        <v/>
      </c>
      <c r="Z260" s="39" t="str">
        <f>IF([8]道具信息!Z260="","",[8]道具信息!Z260)</f>
        <v/>
      </c>
    </row>
    <row r="261" spans="1:26" x14ac:dyDescent="0.15">
      <c r="A261" s="39" t="str">
        <f>IF([8]道具信息!A261="","",[8]道具信息!A261)</f>
        <v/>
      </c>
      <c r="B261" s="39" t="str">
        <f>IF([8]道具信息!B261="","",[8]道具信息!B261)</f>
        <v/>
      </c>
      <c r="C261" s="39">
        <f>IF([8]道具信息!C261="","",[8]道具信息!C261)</f>
        <v>21074</v>
      </c>
      <c r="D261" s="39" t="str">
        <f>IF([8]道具信息!D261="","",[8]道具信息!D261)</f>
        <v>大捆行军令</v>
      </c>
      <c r="E261" s="39">
        <f>IF([8]道具信息!E261="","",[8]道具信息!E261)</f>
        <v>225</v>
      </c>
      <c r="F261" s="39">
        <f>IF([8]道具信息!F261="","",[8]道具信息!F261)</f>
        <v>1</v>
      </c>
      <c r="G261" s="39">
        <f>IF([8]道具信息!G261="","",[8]道具信息!G261)</f>
        <v>1</v>
      </c>
      <c r="H261" s="39">
        <f>IF([8]道具信息!H261="","",[8]道具信息!H261)</f>
        <v>1</v>
      </c>
      <c r="I261" s="39">
        <f>IF([8]道具信息!I261="","",[8]道具信息!I261)</f>
        <v>225</v>
      </c>
      <c r="J261" s="39">
        <f>IF([8]道具信息!J261="","",[8]道具信息!J261)</f>
        <v>225</v>
      </c>
      <c r="K261" s="39">
        <f>IF([8]道具信息!K261="","",[8]道具信息!K261)</f>
        <v>225</v>
      </c>
      <c r="L261" s="39" t="str">
        <f>IF([8]道具信息!L261="","",[8]道具信息!L261)</f>
        <v>使用后获得3个行军令</v>
      </c>
      <c r="M261" s="39" t="str">
        <f>IF([8]道具信息!M261="","",[8]道具信息!M261)</f>
        <v/>
      </c>
      <c r="N261" s="39" t="str">
        <f>IF([8]道具信息!N261="","",[8]道具信息!N261)</f>
        <v/>
      </c>
      <c r="O261" s="39" t="str">
        <f>IF([8]道具信息!O261="","",[8]道具信息!O261)</f>
        <v/>
      </c>
      <c r="P261" s="39" t="str">
        <f>IF([8]道具信息!P261="","",[8]道具信息!P261)</f>
        <v/>
      </c>
      <c r="Q261" s="39" t="str">
        <f>IF([8]道具信息!Q261="","",[8]道具信息!Q261)</f>
        <v/>
      </c>
      <c r="R261" s="39" t="str">
        <f>IF([8]道具信息!R261="","",[8]道具信息!R261)</f>
        <v/>
      </c>
      <c r="S261" s="39" t="str">
        <f>IF([8]道具信息!S261="","",[8]道具信息!S261)</f>
        <v/>
      </c>
      <c r="T261" s="39" t="str">
        <f>IF([8]道具信息!T261="","",[8]道具信息!T261)</f>
        <v/>
      </c>
      <c r="U261" s="39" t="str">
        <f>IF([8]道具信息!U261="","",[8]道具信息!U261)</f>
        <v/>
      </c>
      <c r="V261" s="39" t="str">
        <f>IF([8]道具信息!V261="","",[8]道具信息!V261)</f>
        <v/>
      </c>
      <c r="W261" s="39" t="str">
        <f>IF([8]道具信息!W261="","",[8]道具信息!W261)</f>
        <v/>
      </c>
      <c r="X261" s="39" t="str">
        <f>IF([8]道具信息!X261="","",[8]道具信息!X261)</f>
        <v/>
      </c>
      <c r="Y261" s="39" t="str">
        <f>IF([8]道具信息!Y261="","",[8]道具信息!Y261)</f>
        <v/>
      </c>
      <c r="Z261" s="39" t="str">
        <f>IF([8]道具信息!Z261="","",[8]道具信息!Z261)</f>
        <v/>
      </c>
    </row>
    <row r="262" spans="1:26" x14ac:dyDescent="0.15">
      <c r="A262" s="39" t="str">
        <f>IF([8]道具信息!A262="","",[8]道具信息!A262)</f>
        <v/>
      </c>
      <c r="B262" s="39" t="str">
        <f>IF([8]道具信息!B262="","",[8]道具信息!B262)</f>
        <v/>
      </c>
      <c r="C262" s="39" t="str">
        <f>IF([8]道具信息!C262="","",[8]道具信息!C262)</f>
        <v/>
      </c>
      <c r="D262" s="39" t="str">
        <f>IF([8]道具信息!D262="","",[8]道具信息!D262)</f>
        <v/>
      </c>
      <c r="E262" s="39" t="str">
        <f>IF([8]道具信息!E262="","",[8]道具信息!E262)</f>
        <v/>
      </c>
      <c r="F262" s="39" t="str">
        <f>IF([8]道具信息!F262="","",[8]道具信息!F262)</f>
        <v/>
      </c>
      <c r="G262" s="39" t="str">
        <f>IF([8]道具信息!G262="","",[8]道具信息!G262)</f>
        <v/>
      </c>
      <c r="H262" s="39" t="str">
        <f>IF([8]道具信息!H262="","",[8]道具信息!H262)</f>
        <v/>
      </c>
      <c r="I262" s="39" t="str">
        <f>IF([8]道具信息!I262="","",[8]道具信息!I262)</f>
        <v/>
      </c>
      <c r="J262" s="39" t="str">
        <f>IF([8]道具信息!J262="","",[8]道具信息!J262)</f>
        <v/>
      </c>
      <c r="K262" s="39" t="str">
        <f>IF([8]道具信息!K262="","",[8]道具信息!K262)</f>
        <v/>
      </c>
      <c r="L262" s="39" t="str">
        <f>IF([8]道具信息!L262="","",[8]道具信息!L262)</f>
        <v/>
      </c>
      <c r="M262" s="39" t="str">
        <f>IF([8]道具信息!M262="","",[8]道具信息!M262)</f>
        <v/>
      </c>
      <c r="N262" s="39" t="str">
        <f>IF([8]道具信息!N262="","",[8]道具信息!N262)</f>
        <v/>
      </c>
      <c r="O262" s="39" t="str">
        <f>IF([8]道具信息!O262="","",[8]道具信息!O262)</f>
        <v/>
      </c>
      <c r="P262" s="39" t="str">
        <f>IF([8]道具信息!P262="","",[8]道具信息!P262)</f>
        <v/>
      </c>
      <c r="Q262" s="39" t="str">
        <f>IF([8]道具信息!Q262="","",[8]道具信息!Q262)</f>
        <v/>
      </c>
      <c r="R262" s="39" t="str">
        <f>IF([8]道具信息!R262="","",[8]道具信息!R262)</f>
        <v/>
      </c>
      <c r="S262" s="39" t="str">
        <f>IF([8]道具信息!S262="","",[8]道具信息!S262)</f>
        <v/>
      </c>
      <c r="T262" s="39" t="str">
        <f>IF([8]道具信息!T262="","",[8]道具信息!T262)</f>
        <v/>
      </c>
      <c r="U262" s="39" t="str">
        <f>IF([8]道具信息!U262="","",[8]道具信息!U262)</f>
        <v/>
      </c>
      <c r="V262" s="39" t="str">
        <f>IF([8]道具信息!V262="","",[8]道具信息!V262)</f>
        <v/>
      </c>
      <c r="W262" s="39" t="str">
        <f>IF([8]道具信息!W262="","",[8]道具信息!W262)</f>
        <v/>
      </c>
      <c r="X262" s="39" t="str">
        <f>IF([8]道具信息!X262="","",[8]道具信息!X262)</f>
        <v/>
      </c>
      <c r="Y262" s="39" t="str">
        <f>IF([8]道具信息!Y262="","",[8]道具信息!Y262)</f>
        <v/>
      </c>
      <c r="Z262" s="39" t="str">
        <f>IF([8]道具信息!Z262="","",[8]道具信息!Z262)</f>
        <v/>
      </c>
    </row>
    <row r="263" spans="1:26" x14ac:dyDescent="0.15">
      <c r="A263" s="39" t="str">
        <f>IF([8]道具信息!A263="","",[8]道具信息!A263)</f>
        <v/>
      </c>
      <c r="B263" s="39" t="str">
        <f>IF([8]道具信息!B263="","",[8]道具信息!B263)</f>
        <v/>
      </c>
      <c r="C263" s="39">
        <f>IF([8]道具信息!C263="","",[8]道具信息!C263)</f>
        <v>21081</v>
      </c>
      <c r="D263" s="39" t="str">
        <f>IF([8]道具信息!D263="","",[8]道具信息!D263)</f>
        <v>木材增产令</v>
      </c>
      <c r="E263" s="39">
        <f>IF([8]道具信息!E263="","",[8]道具信息!E263)</f>
        <v>35</v>
      </c>
      <c r="F263" s="39">
        <f>IF([8]道具信息!F263="","",[8]道具信息!F263)</f>
        <v>1</v>
      </c>
      <c r="G263" s="39">
        <f>IF([8]道具信息!G263="","",[8]道具信息!G263)</f>
        <v>1</v>
      </c>
      <c r="H263" s="39">
        <f>IF([8]道具信息!H263="","",[8]道具信息!H263)</f>
        <v>1</v>
      </c>
      <c r="I263" s="39">
        <f>IF([8]道具信息!I263="","",[8]道具信息!I263)</f>
        <v>35</v>
      </c>
      <c r="J263" s="39">
        <f>IF([8]道具信息!J263="","",[8]道具信息!J263)</f>
        <v>35</v>
      </c>
      <c r="K263" s="39">
        <f>IF([8]道具信息!K263="","",[8]道具信息!K263)</f>
        <v>35</v>
      </c>
      <c r="L263" s="39" t="str">
        <f>IF([8]道具信息!L263="","",[8]道具信息!L263)</f>
        <v>使用后伐木场产量提高50%，持续12小时</v>
      </c>
      <c r="M263" s="39" t="str">
        <f>IF([8]道具信息!M263="","",[8]道具信息!M263)</f>
        <v/>
      </c>
      <c r="N263" s="39" t="str">
        <f>IF([8]道具信息!N263="","",[8]道具信息!N263)</f>
        <v/>
      </c>
      <c r="O263" s="39" t="str">
        <f>IF([8]道具信息!O263="","",[8]道具信息!O263)</f>
        <v/>
      </c>
      <c r="P263" s="39" t="str">
        <f>IF([8]道具信息!P263="","",[8]道具信息!P263)</f>
        <v/>
      </c>
      <c r="Q263" s="39" t="str">
        <f>IF([8]道具信息!Q263="","",[8]道具信息!Q263)</f>
        <v/>
      </c>
      <c r="R263" s="39" t="str">
        <f>IF([8]道具信息!R263="","",[8]道具信息!R263)</f>
        <v/>
      </c>
      <c r="S263" s="39" t="str">
        <f>IF([8]道具信息!S263="","",[8]道具信息!S263)</f>
        <v/>
      </c>
      <c r="T263" s="39" t="str">
        <f>IF([8]道具信息!T263="","",[8]道具信息!T263)</f>
        <v/>
      </c>
      <c r="U263" s="39" t="str">
        <f>IF([8]道具信息!U263="","",[8]道具信息!U263)</f>
        <v/>
      </c>
      <c r="V263" s="39" t="str">
        <f>IF([8]道具信息!V263="","",[8]道具信息!V263)</f>
        <v/>
      </c>
      <c r="W263" s="39" t="str">
        <f>IF([8]道具信息!W263="","",[8]道具信息!W263)</f>
        <v/>
      </c>
      <c r="X263" s="39" t="str">
        <f>IF([8]道具信息!X263="","",[8]道具信息!X263)</f>
        <v/>
      </c>
      <c r="Y263" s="39" t="str">
        <f>IF([8]道具信息!Y263="","",[8]道具信息!Y263)</f>
        <v/>
      </c>
      <c r="Z263" s="39" t="str">
        <f>IF([8]道具信息!Z263="","",[8]道具信息!Z263)</f>
        <v/>
      </c>
    </row>
    <row r="264" spans="1:26" x14ac:dyDescent="0.15">
      <c r="A264" s="39" t="str">
        <f>IF([8]道具信息!A264="","",[8]道具信息!A264)</f>
        <v/>
      </c>
      <c r="B264" s="39" t="str">
        <f>IF([8]道具信息!B264="","",[8]道具信息!B264)</f>
        <v/>
      </c>
      <c r="C264" s="39">
        <f>IF([8]道具信息!C264="","",[8]道具信息!C264)</f>
        <v>21082</v>
      </c>
      <c r="D264" s="39" t="str">
        <f>IF([8]道具信息!D264="","",[8]道具信息!D264)</f>
        <v>铁矿增产令</v>
      </c>
      <c r="E264" s="39">
        <f>IF([8]道具信息!E264="","",[8]道具信息!E264)</f>
        <v>50</v>
      </c>
      <c r="F264" s="39">
        <f>IF([8]道具信息!F264="","",[8]道具信息!F264)</f>
        <v>1</v>
      </c>
      <c r="G264" s="39">
        <f>IF([8]道具信息!G264="","",[8]道具信息!G264)</f>
        <v>1</v>
      </c>
      <c r="H264" s="39">
        <f>IF([8]道具信息!H264="","",[8]道具信息!H264)</f>
        <v>1</v>
      </c>
      <c r="I264" s="39">
        <f>IF([8]道具信息!I264="","",[8]道具信息!I264)</f>
        <v>50</v>
      </c>
      <c r="J264" s="39">
        <f>IF([8]道具信息!J264="","",[8]道具信息!J264)</f>
        <v>50</v>
      </c>
      <c r="K264" s="39">
        <f>IF([8]道具信息!K264="","",[8]道具信息!K264)</f>
        <v>50</v>
      </c>
      <c r="L264" s="39" t="str">
        <f>IF([8]道具信息!L264="","",[8]道具信息!L264)</f>
        <v>使用后冶炼厂产量提高50%，持续12小时</v>
      </c>
      <c r="M264" s="39" t="str">
        <f>IF([8]道具信息!M264="","",[8]道具信息!M264)</f>
        <v/>
      </c>
      <c r="N264" s="39" t="str">
        <f>IF([8]道具信息!N264="","",[8]道具信息!N264)</f>
        <v/>
      </c>
      <c r="O264" s="39" t="str">
        <f>IF([8]道具信息!O264="","",[8]道具信息!O264)</f>
        <v/>
      </c>
      <c r="P264" s="39" t="str">
        <f>IF([8]道具信息!P264="","",[8]道具信息!P264)</f>
        <v/>
      </c>
      <c r="Q264" s="39" t="str">
        <f>IF([8]道具信息!Q264="","",[8]道具信息!Q264)</f>
        <v/>
      </c>
      <c r="R264" s="39" t="str">
        <f>IF([8]道具信息!R264="","",[8]道具信息!R264)</f>
        <v/>
      </c>
      <c r="S264" s="39" t="str">
        <f>IF([8]道具信息!S264="","",[8]道具信息!S264)</f>
        <v/>
      </c>
      <c r="T264" s="39" t="str">
        <f>IF([8]道具信息!T264="","",[8]道具信息!T264)</f>
        <v/>
      </c>
      <c r="U264" s="39" t="str">
        <f>IF([8]道具信息!U264="","",[8]道具信息!U264)</f>
        <v/>
      </c>
      <c r="V264" s="39" t="str">
        <f>IF([8]道具信息!V264="","",[8]道具信息!V264)</f>
        <v/>
      </c>
      <c r="W264" s="39" t="str">
        <f>IF([8]道具信息!W264="","",[8]道具信息!W264)</f>
        <v/>
      </c>
      <c r="X264" s="39" t="str">
        <f>IF([8]道具信息!X264="","",[8]道具信息!X264)</f>
        <v/>
      </c>
      <c r="Y264" s="39" t="str">
        <f>IF([8]道具信息!Y264="","",[8]道具信息!Y264)</f>
        <v/>
      </c>
      <c r="Z264" s="39" t="str">
        <f>IF([8]道具信息!Z264="","",[8]道具信息!Z264)</f>
        <v/>
      </c>
    </row>
    <row r="265" spans="1:26" x14ac:dyDescent="0.15">
      <c r="A265" s="39" t="str">
        <f>IF([8]道具信息!A265="","",[8]道具信息!A265)</f>
        <v/>
      </c>
      <c r="B265" s="39" t="str">
        <f>IF([8]道具信息!B265="","",[8]道具信息!B265)</f>
        <v/>
      </c>
      <c r="C265" s="39">
        <f>IF([8]道具信息!C265="","",[8]道具信息!C265)</f>
        <v>21083</v>
      </c>
      <c r="D265" s="39" t="str">
        <f>IF([8]道具信息!D265="","",[8]道具信息!D265)</f>
        <v>石料增产令</v>
      </c>
      <c r="E265" s="39">
        <f>IF([8]道具信息!E265="","",[8]道具信息!E265)</f>
        <v>35</v>
      </c>
      <c r="F265" s="39">
        <f>IF([8]道具信息!F265="","",[8]道具信息!F265)</f>
        <v>1</v>
      </c>
      <c r="G265" s="39">
        <f>IF([8]道具信息!G265="","",[8]道具信息!G265)</f>
        <v>1</v>
      </c>
      <c r="H265" s="39">
        <f>IF([8]道具信息!H265="","",[8]道具信息!H265)</f>
        <v>1</v>
      </c>
      <c r="I265" s="39">
        <f>IF([8]道具信息!I265="","",[8]道具信息!I265)</f>
        <v>35</v>
      </c>
      <c r="J265" s="39">
        <f>IF([8]道具信息!J265="","",[8]道具信息!J265)</f>
        <v>35</v>
      </c>
      <c r="K265" s="39">
        <f>IF([8]道具信息!K265="","",[8]道具信息!K265)</f>
        <v>35</v>
      </c>
      <c r="L265" s="39" t="str">
        <f>IF([8]道具信息!L265="","",[8]道具信息!L265)</f>
        <v>使用后采石场产量提高50%，持续12小时</v>
      </c>
      <c r="M265" s="39" t="str">
        <f>IF([8]道具信息!M265="","",[8]道具信息!M265)</f>
        <v/>
      </c>
      <c r="N265" s="39" t="str">
        <f>IF([8]道具信息!N265="","",[8]道具信息!N265)</f>
        <v/>
      </c>
      <c r="O265" s="39" t="str">
        <f>IF([8]道具信息!O265="","",[8]道具信息!O265)</f>
        <v/>
      </c>
      <c r="P265" s="39" t="str">
        <f>IF([8]道具信息!P265="","",[8]道具信息!P265)</f>
        <v/>
      </c>
      <c r="Q265" s="39" t="str">
        <f>IF([8]道具信息!Q265="","",[8]道具信息!Q265)</f>
        <v/>
      </c>
      <c r="R265" s="39" t="str">
        <f>IF([8]道具信息!R265="","",[8]道具信息!R265)</f>
        <v/>
      </c>
      <c r="S265" s="39" t="str">
        <f>IF([8]道具信息!S265="","",[8]道具信息!S265)</f>
        <v/>
      </c>
      <c r="T265" s="39" t="str">
        <f>IF([8]道具信息!T265="","",[8]道具信息!T265)</f>
        <v/>
      </c>
      <c r="U265" s="39" t="str">
        <f>IF([8]道具信息!U265="","",[8]道具信息!U265)</f>
        <v/>
      </c>
      <c r="V265" s="39" t="str">
        <f>IF([8]道具信息!V265="","",[8]道具信息!V265)</f>
        <v/>
      </c>
      <c r="W265" s="39" t="str">
        <f>IF([8]道具信息!W265="","",[8]道具信息!W265)</f>
        <v/>
      </c>
      <c r="X265" s="39" t="str">
        <f>IF([8]道具信息!X265="","",[8]道具信息!X265)</f>
        <v/>
      </c>
      <c r="Y265" s="39" t="str">
        <f>IF([8]道具信息!Y265="","",[8]道具信息!Y265)</f>
        <v/>
      </c>
      <c r="Z265" s="39" t="str">
        <f>IF([8]道具信息!Z265="","",[8]道具信息!Z265)</f>
        <v/>
      </c>
    </row>
    <row r="266" spans="1:26" x14ac:dyDescent="0.15">
      <c r="A266" s="39" t="str">
        <f>IF([8]道具信息!A266="","",[8]道具信息!A266)</f>
        <v/>
      </c>
      <c r="B266" s="39" t="str">
        <f>IF([8]道具信息!B266="","",[8]道具信息!B266)</f>
        <v/>
      </c>
      <c r="C266" s="39">
        <f>IF([8]道具信息!C266="","",[8]道具信息!C266)</f>
        <v>21084</v>
      </c>
      <c r="D266" s="39" t="str">
        <f>IF([8]道具信息!D266="","",[8]道具信息!D266)</f>
        <v>粮食增产令</v>
      </c>
      <c r="E266" s="39">
        <f>IF([8]道具信息!E266="","",[8]道具信息!E266)</f>
        <v>35</v>
      </c>
      <c r="F266" s="39">
        <f>IF([8]道具信息!F266="","",[8]道具信息!F266)</f>
        <v>1</v>
      </c>
      <c r="G266" s="39">
        <f>IF([8]道具信息!G266="","",[8]道具信息!G266)</f>
        <v>1</v>
      </c>
      <c r="H266" s="39">
        <f>IF([8]道具信息!H266="","",[8]道具信息!H266)</f>
        <v>1</v>
      </c>
      <c r="I266" s="39">
        <f>IF([8]道具信息!I266="","",[8]道具信息!I266)</f>
        <v>35</v>
      </c>
      <c r="J266" s="39">
        <f>IF([8]道具信息!J266="","",[8]道具信息!J266)</f>
        <v>35</v>
      </c>
      <c r="K266" s="39">
        <f>IF([8]道具信息!K266="","",[8]道具信息!K266)</f>
        <v>35</v>
      </c>
      <c r="L266" s="39" t="str">
        <f>IF([8]道具信息!L266="","",[8]道具信息!L266)</f>
        <v>使用后农田产量提高50%，持续12小时</v>
      </c>
      <c r="M266" s="39" t="str">
        <f>IF([8]道具信息!M266="","",[8]道具信息!M266)</f>
        <v/>
      </c>
      <c r="N266" s="39" t="str">
        <f>IF([8]道具信息!N266="","",[8]道具信息!N266)</f>
        <v/>
      </c>
      <c r="O266" s="39" t="str">
        <f>IF([8]道具信息!O266="","",[8]道具信息!O266)</f>
        <v/>
      </c>
      <c r="P266" s="39" t="str">
        <f>IF([8]道具信息!P266="","",[8]道具信息!P266)</f>
        <v/>
      </c>
      <c r="Q266" s="39" t="str">
        <f>IF([8]道具信息!Q266="","",[8]道具信息!Q266)</f>
        <v/>
      </c>
      <c r="R266" s="39" t="str">
        <f>IF([8]道具信息!R266="","",[8]道具信息!R266)</f>
        <v/>
      </c>
      <c r="S266" s="39" t="str">
        <f>IF([8]道具信息!S266="","",[8]道具信息!S266)</f>
        <v/>
      </c>
      <c r="T266" s="39" t="str">
        <f>IF([8]道具信息!T266="","",[8]道具信息!T266)</f>
        <v/>
      </c>
      <c r="U266" s="39" t="str">
        <f>IF([8]道具信息!U266="","",[8]道具信息!U266)</f>
        <v/>
      </c>
      <c r="V266" s="39" t="str">
        <f>IF([8]道具信息!V266="","",[8]道具信息!V266)</f>
        <v/>
      </c>
      <c r="W266" s="39" t="str">
        <f>IF([8]道具信息!W266="","",[8]道具信息!W266)</f>
        <v/>
      </c>
      <c r="X266" s="39" t="str">
        <f>IF([8]道具信息!X266="","",[8]道具信息!X266)</f>
        <v/>
      </c>
      <c r="Y266" s="39" t="str">
        <f>IF([8]道具信息!Y266="","",[8]道具信息!Y266)</f>
        <v/>
      </c>
      <c r="Z266" s="39" t="str">
        <f>IF([8]道具信息!Z266="","",[8]道具信息!Z266)</f>
        <v/>
      </c>
    </row>
    <row r="267" spans="1:26" x14ac:dyDescent="0.15">
      <c r="A267" s="39" t="str">
        <f>IF([8]道具信息!A267="","",[8]道具信息!A267)</f>
        <v/>
      </c>
      <c r="B267" s="39" t="str">
        <f>IF([8]道具信息!B267="","",[8]道具信息!B267)</f>
        <v/>
      </c>
      <c r="C267" s="39">
        <f>IF([8]道具信息!C267="","",[8]道具信息!C267)</f>
        <v>21085</v>
      </c>
      <c r="D267" s="39" t="str">
        <f>IF([8]道具信息!D267="","",[8]道具信息!D267)</f>
        <v>赋税增收令</v>
      </c>
      <c r="E267" s="39">
        <f>IF([8]道具信息!E267="","",[8]道具信息!E267)</f>
        <v>85</v>
      </c>
      <c r="F267" s="39">
        <f>IF([8]道具信息!F267="","",[8]道具信息!F267)</f>
        <v>1</v>
      </c>
      <c r="G267" s="39">
        <f>IF([8]道具信息!G267="","",[8]道具信息!G267)</f>
        <v>1</v>
      </c>
      <c r="H267" s="39">
        <f>IF([8]道具信息!H267="","",[8]道具信息!H267)</f>
        <v>1</v>
      </c>
      <c r="I267" s="39">
        <f>IF([8]道具信息!I267="","",[8]道具信息!I267)</f>
        <v>85</v>
      </c>
      <c r="J267" s="39">
        <f>IF([8]道具信息!J267="","",[8]道具信息!J267)</f>
        <v>85</v>
      </c>
      <c r="K267" s="39">
        <f>IF([8]道具信息!K267="","",[8]道具信息!K267)</f>
        <v>85</v>
      </c>
      <c r="L267" s="39" t="str">
        <f>IF([8]道具信息!L267="","",[8]道具信息!L267)</f>
        <v>使用后民居税收提高25%，持续12小时</v>
      </c>
      <c r="M267" s="39" t="str">
        <f>IF([8]道具信息!M267="","",[8]道具信息!M267)</f>
        <v/>
      </c>
      <c r="N267" s="39" t="str">
        <f>IF([8]道具信息!N267="","",[8]道具信息!N267)</f>
        <v/>
      </c>
      <c r="O267" s="39" t="str">
        <f>IF([8]道具信息!O267="","",[8]道具信息!O267)</f>
        <v/>
      </c>
      <c r="P267" s="39" t="str">
        <f>IF([8]道具信息!P267="","",[8]道具信息!P267)</f>
        <v/>
      </c>
      <c r="Q267" s="39" t="str">
        <f>IF([8]道具信息!Q267="","",[8]道具信息!Q267)</f>
        <v/>
      </c>
      <c r="R267" s="39" t="str">
        <f>IF([8]道具信息!R267="","",[8]道具信息!R267)</f>
        <v/>
      </c>
      <c r="S267" s="39" t="str">
        <f>IF([8]道具信息!S267="","",[8]道具信息!S267)</f>
        <v/>
      </c>
      <c r="T267" s="39" t="str">
        <f>IF([8]道具信息!T267="","",[8]道具信息!T267)</f>
        <v/>
      </c>
      <c r="U267" s="39" t="str">
        <f>IF([8]道具信息!U267="","",[8]道具信息!U267)</f>
        <v/>
      </c>
      <c r="V267" s="39" t="str">
        <f>IF([8]道具信息!V267="","",[8]道具信息!V267)</f>
        <v/>
      </c>
      <c r="W267" s="39" t="str">
        <f>IF([8]道具信息!W267="","",[8]道具信息!W267)</f>
        <v/>
      </c>
      <c r="X267" s="39" t="str">
        <f>IF([8]道具信息!X267="","",[8]道具信息!X267)</f>
        <v/>
      </c>
      <c r="Y267" s="39" t="str">
        <f>IF([8]道具信息!Y267="","",[8]道具信息!Y267)</f>
        <v/>
      </c>
      <c r="Z267" s="39" t="str">
        <f>IF([8]道具信息!Z267="","",[8]道具信息!Z267)</f>
        <v/>
      </c>
    </row>
    <row r="268" spans="1:26" x14ac:dyDescent="0.15">
      <c r="A268" s="39" t="str">
        <f>IF([8]道具信息!A268="","",[8]道具信息!A268)</f>
        <v/>
      </c>
      <c r="B268" s="39" t="str">
        <f>IF([8]道具信息!B268="","",[8]道具信息!B268)</f>
        <v/>
      </c>
      <c r="C268" s="39">
        <f>IF([8]道具信息!C268="","",[8]道具信息!C268)</f>
        <v>21086</v>
      </c>
      <c r="D268" s="39" t="str">
        <f>IF([8]道具信息!D268="","",[8]道具信息!D268)</f>
        <v>铜矿增产令</v>
      </c>
      <c r="E268" s="39">
        <f>IF([8]道具信息!E268="","",[8]道具信息!E268)</f>
        <v>35</v>
      </c>
      <c r="F268" s="39">
        <f>IF([8]道具信息!F268="","",[8]道具信息!F268)</f>
        <v>1</v>
      </c>
      <c r="G268" s="39">
        <f>IF([8]道具信息!G268="","",[8]道具信息!G268)</f>
        <v>1</v>
      </c>
      <c r="H268" s="39">
        <f>IF([8]道具信息!H268="","",[8]道具信息!H268)</f>
        <v>1</v>
      </c>
      <c r="I268" s="39">
        <f>IF([8]道具信息!I268="","",[8]道具信息!I268)</f>
        <v>35</v>
      </c>
      <c r="J268" s="39">
        <f>IF([8]道具信息!J268="","",[8]道具信息!J268)</f>
        <v>35</v>
      </c>
      <c r="K268" s="39">
        <f>IF([8]道具信息!K268="","",[8]道具信息!K268)</f>
        <v>35</v>
      </c>
      <c r="L268" s="39" t="str">
        <f>IF([8]道具信息!L268="","",[8]道具信息!L268)</f>
        <v>使用后铜矿产量提高50%，持续12小时</v>
      </c>
      <c r="M268" s="39" t="str">
        <f>IF([8]道具信息!M268="","",[8]道具信息!M268)</f>
        <v/>
      </c>
      <c r="N268" s="39" t="str">
        <f>IF([8]道具信息!N268="","",[8]道具信息!N268)</f>
        <v/>
      </c>
      <c r="O268" s="39" t="str">
        <f>IF([8]道具信息!O268="","",[8]道具信息!O268)</f>
        <v/>
      </c>
      <c r="P268" s="39" t="str">
        <f>IF([8]道具信息!P268="","",[8]道具信息!P268)</f>
        <v/>
      </c>
      <c r="Q268" s="39" t="str">
        <f>IF([8]道具信息!Q268="","",[8]道具信息!Q268)</f>
        <v/>
      </c>
      <c r="R268" s="39" t="str">
        <f>IF([8]道具信息!R268="","",[8]道具信息!R268)</f>
        <v/>
      </c>
      <c r="S268" s="39" t="str">
        <f>IF([8]道具信息!S268="","",[8]道具信息!S268)</f>
        <v/>
      </c>
      <c r="T268" s="39" t="str">
        <f>IF([8]道具信息!T268="","",[8]道具信息!T268)</f>
        <v/>
      </c>
      <c r="U268" s="39" t="str">
        <f>IF([8]道具信息!U268="","",[8]道具信息!U268)</f>
        <v/>
      </c>
      <c r="V268" s="39" t="str">
        <f>IF([8]道具信息!V268="","",[8]道具信息!V268)</f>
        <v/>
      </c>
      <c r="W268" s="39" t="str">
        <f>IF([8]道具信息!W268="","",[8]道具信息!W268)</f>
        <v/>
      </c>
      <c r="X268" s="39" t="str">
        <f>IF([8]道具信息!X268="","",[8]道具信息!X268)</f>
        <v/>
      </c>
      <c r="Y268" s="39" t="str">
        <f>IF([8]道具信息!Y268="","",[8]道具信息!Y268)</f>
        <v/>
      </c>
      <c r="Z268" s="39" t="str">
        <f>IF([8]道具信息!Z268="","",[8]道具信息!Z268)</f>
        <v/>
      </c>
    </row>
    <row r="269" spans="1:26" x14ac:dyDescent="0.15">
      <c r="A269" s="39" t="str">
        <f>IF([8]道具信息!A269="","",[8]道具信息!A269)</f>
        <v/>
      </c>
      <c r="B269" s="39" t="str">
        <f>IF([8]道具信息!B269="","",[8]道具信息!B269)</f>
        <v/>
      </c>
      <c r="C269" s="39" t="str">
        <f>IF([8]道具信息!C269="","",[8]道具信息!C269)</f>
        <v/>
      </c>
      <c r="D269" s="39" t="str">
        <f>IF([8]道具信息!D269="","",[8]道具信息!D269)</f>
        <v/>
      </c>
      <c r="E269" s="39" t="str">
        <f>IF([8]道具信息!E269="","",[8]道具信息!E269)</f>
        <v/>
      </c>
      <c r="F269" s="39" t="str">
        <f>IF([8]道具信息!F269="","",[8]道具信息!F269)</f>
        <v/>
      </c>
      <c r="G269" s="39" t="str">
        <f>IF([8]道具信息!G269="","",[8]道具信息!G269)</f>
        <v/>
      </c>
      <c r="H269" s="39" t="str">
        <f>IF([8]道具信息!H269="","",[8]道具信息!H269)</f>
        <v/>
      </c>
      <c r="I269" s="39" t="str">
        <f>IF([8]道具信息!I269="","",[8]道具信息!I269)</f>
        <v/>
      </c>
      <c r="J269" s="39" t="str">
        <f>IF([8]道具信息!J269="","",[8]道具信息!J269)</f>
        <v/>
      </c>
      <c r="K269" s="39" t="str">
        <f>IF([8]道具信息!K269="","",[8]道具信息!K269)</f>
        <v/>
      </c>
      <c r="L269" s="39" t="str">
        <f>IF([8]道具信息!L269="","",[8]道具信息!L269)</f>
        <v/>
      </c>
      <c r="M269" s="39" t="str">
        <f>IF([8]道具信息!M269="","",[8]道具信息!M269)</f>
        <v/>
      </c>
      <c r="N269" s="39" t="str">
        <f>IF([8]道具信息!N269="","",[8]道具信息!N269)</f>
        <v/>
      </c>
      <c r="O269" s="39" t="str">
        <f>IF([8]道具信息!O269="","",[8]道具信息!O269)</f>
        <v/>
      </c>
      <c r="P269" s="39" t="str">
        <f>IF([8]道具信息!P269="","",[8]道具信息!P269)</f>
        <v/>
      </c>
      <c r="Q269" s="39" t="str">
        <f>IF([8]道具信息!Q269="","",[8]道具信息!Q269)</f>
        <v/>
      </c>
      <c r="R269" s="39" t="str">
        <f>IF([8]道具信息!R269="","",[8]道具信息!R269)</f>
        <v/>
      </c>
      <c r="S269" s="39" t="str">
        <f>IF([8]道具信息!S269="","",[8]道具信息!S269)</f>
        <v/>
      </c>
      <c r="T269" s="39" t="str">
        <f>IF([8]道具信息!T269="","",[8]道具信息!T269)</f>
        <v/>
      </c>
      <c r="U269" s="39" t="str">
        <f>IF([8]道具信息!U269="","",[8]道具信息!U269)</f>
        <v/>
      </c>
      <c r="V269" s="39" t="str">
        <f>IF([8]道具信息!V269="","",[8]道具信息!V269)</f>
        <v/>
      </c>
      <c r="W269" s="39" t="str">
        <f>IF([8]道具信息!W269="","",[8]道具信息!W269)</f>
        <v/>
      </c>
      <c r="X269" s="39" t="str">
        <f>IF([8]道具信息!X269="","",[8]道具信息!X269)</f>
        <v/>
      </c>
      <c r="Y269" s="39" t="str">
        <f>IF([8]道具信息!Y269="","",[8]道具信息!Y269)</f>
        <v/>
      </c>
      <c r="Z269" s="39" t="str">
        <f>IF([8]道具信息!Z269="","",[8]道具信息!Z269)</f>
        <v/>
      </c>
    </row>
    <row r="270" spans="1:26" x14ac:dyDescent="0.15">
      <c r="A270" s="39" t="str">
        <f>IF([8]道具信息!A270="","",[8]道具信息!A270)</f>
        <v/>
      </c>
      <c r="B270" s="39" t="str">
        <f>IF([8]道具信息!B270="","",[8]道具信息!B270)</f>
        <v/>
      </c>
      <c r="C270" s="39">
        <f>IF([8]道具信息!C270="","",[8]道具信息!C270)</f>
        <v>21100</v>
      </c>
      <c r="D270" s="39" t="str">
        <f>IF([8]道具信息!D270="","",[8]道具信息!D270)</f>
        <v>免战牌</v>
      </c>
      <c r="E270" s="39">
        <f>IF([8]道具信息!E270="","",[8]道具信息!E270)</f>
        <v>100</v>
      </c>
      <c r="F270" s="39">
        <f>IF([8]道具信息!F270="","",[8]道具信息!F270)</f>
        <v>1</v>
      </c>
      <c r="G270" s="39">
        <f>IF([8]道具信息!G270="","",[8]道具信息!G270)</f>
        <v>1</v>
      </c>
      <c r="H270" s="39">
        <f>IF([8]道具信息!H270="","",[8]道具信息!H270)</f>
        <v>1</v>
      </c>
      <c r="I270" s="39">
        <f>IF([8]道具信息!I270="","",[8]道具信息!I270)</f>
        <v>100</v>
      </c>
      <c r="J270" s="39">
        <f>IF([8]道具信息!J270="","",[8]道具信息!J270)</f>
        <v>100</v>
      </c>
      <c r="K270" s="39">
        <f>IF([8]道具信息!K270="","",[8]道具信息!K270)</f>
        <v>100</v>
      </c>
      <c r="L270" s="39" t="str">
        <f>IF([8]道具信息!L270="","",[8]道具信息!L270)</f>
        <v>使用后城池不会遭受来自玩家的攻击，主动进攻玩家后失效，持续8小时</v>
      </c>
      <c r="M270" s="39" t="str">
        <f>IF([8]道具信息!M270="","",[8]道具信息!M270)</f>
        <v/>
      </c>
      <c r="N270" s="39" t="str">
        <f>IF([8]道具信息!N270="","",[8]道具信息!N270)</f>
        <v/>
      </c>
      <c r="O270" s="39" t="str">
        <f>IF([8]道具信息!O270="","",[8]道具信息!O270)</f>
        <v/>
      </c>
      <c r="P270" s="39" t="str">
        <f>IF([8]道具信息!P270="","",[8]道具信息!P270)</f>
        <v/>
      </c>
      <c r="Q270" s="39" t="str">
        <f>IF([8]道具信息!Q270="","",[8]道具信息!Q270)</f>
        <v/>
      </c>
      <c r="R270" s="39" t="str">
        <f>IF([8]道具信息!R270="","",[8]道具信息!R270)</f>
        <v/>
      </c>
      <c r="S270" s="39" t="str">
        <f>IF([8]道具信息!S270="","",[8]道具信息!S270)</f>
        <v/>
      </c>
      <c r="T270" s="39" t="str">
        <f>IF([8]道具信息!T270="","",[8]道具信息!T270)</f>
        <v/>
      </c>
      <c r="U270" s="39" t="str">
        <f>IF([8]道具信息!U270="","",[8]道具信息!U270)</f>
        <v/>
      </c>
      <c r="V270" s="39" t="str">
        <f>IF([8]道具信息!V270="","",[8]道具信息!V270)</f>
        <v/>
      </c>
      <c r="W270" s="39" t="str">
        <f>IF([8]道具信息!W270="","",[8]道具信息!W270)</f>
        <v/>
      </c>
      <c r="X270" s="39" t="str">
        <f>IF([8]道具信息!X270="","",[8]道具信息!X270)</f>
        <v/>
      </c>
      <c r="Y270" s="39" t="str">
        <f>IF([8]道具信息!Y270="","",[8]道具信息!Y270)</f>
        <v/>
      </c>
      <c r="Z270" s="39" t="str">
        <f>IF([8]道具信息!Z270="","",[8]道具信息!Z270)</f>
        <v/>
      </c>
    </row>
    <row r="271" spans="1:26" x14ac:dyDescent="0.15">
      <c r="A271" s="39" t="str">
        <f>IF([8]道具信息!A271="","",[8]道具信息!A271)</f>
        <v/>
      </c>
      <c r="B271" s="39" t="str">
        <f>IF([8]道具信息!B271="","",[8]道具信息!B271)</f>
        <v/>
      </c>
      <c r="C271" s="39">
        <f>IF([8]道具信息!C271="","",[8]道具信息!C271)</f>
        <v>21101</v>
      </c>
      <c r="D271" s="39" t="str">
        <f>IF([8]道具信息!D271="","",[8]道具信息!D271)</f>
        <v>普通点将牌</v>
      </c>
      <c r="E271" s="39">
        <f>IF([8]道具信息!E271="","",[8]道具信息!E271)</f>
        <v>65</v>
      </c>
      <c r="F271" s="39">
        <f>IF([8]道具信息!F271="","",[8]道具信息!F271)</f>
        <v>1</v>
      </c>
      <c r="G271" s="39">
        <f>IF([8]道具信息!G271="","",[8]道具信息!G271)</f>
        <v>1</v>
      </c>
      <c r="H271" s="39">
        <f>IF([8]道具信息!H271="","",[8]道具信息!H271)</f>
        <v>1</v>
      </c>
      <c r="I271" s="39">
        <f>IF([8]道具信息!I271="","",[8]道具信息!I271)</f>
        <v>65</v>
      </c>
      <c r="J271" s="39">
        <f>IF([8]道具信息!J271="","",[8]道具信息!J271)</f>
        <v>65</v>
      </c>
      <c r="K271" s="39">
        <f>IF([8]道具信息!K271="","",[8]道具信息!K271)</f>
        <v>65</v>
      </c>
      <c r="L271" s="39" t="str">
        <f>IF([8]道具信息!L271="","",[8]道具信息!L271)</f>
        <v>点将台普通招募时消耗的令牌</v>
      </c>
      <c r="M271" s="39" t="str">
        <f>IF([8]道具信息!M271="","",[8]道具信息!M271)</f>
        <v/>
      </c>
      <c r="N271" s="39" t="str">
        <f>IF([8]道具信息!N271="","",[8]道具信息!N271)</f>
        <v/>
      </c>
      <c r="O271" s="39" t="str">
        <f>IF([8]道具信息!O271="","",[8]道具信息!O271)</f>
        <v/>
      </c>
      <c r="P271" s="39" t="str">
        <f>IF([8]道具信息!P271="","",[8]道具信息!P271)</f>
        <v/>
      </c>
      <c r="Q271" s="39" t="str">
        <f>IF([8]道具信息!Q271="","",[8]道具信息!Q271)</f>
        <v/>
      </c>
      <c r="R271" s="39" t="str">
        <f>IF([8]道具信息!R271="","",[8]道具信息!R271)</f>
        <v/>
      </c>
      <c r="S271" s="39" t="str">
        <f>IF([8]道具信息!S271="","",[8]道具信息!S271)</f>
        <v/>
      </c>
      <c r="T271" s="39" t="str">
        <f>IF([8]道具信息!T271="","",[8]道具信息!T271)</f>
        <v/>
      </c>
      <c r="U271" s="39" t="str">
        <f>IF([8]道具信息!U271="","",[8]道具信息!U271)</f>
        <v/>
      </c>
      <c r="V271" s="39" t="str">
        <f>IF([8]道具信息!V271="","",[8]道具信息!V271)</f>
        <v/>
      </c>
      <c r="W271" s="39" t="str">
        <f>IF([8]道具信息!W271="","",[8]道具信息!W271)</f>
        <v/>
      </c>
      <c r="X271" s="39" t="str">
        <f>IF([8]道具信息!X271="","",[8]道具信息!X271)</f>
        <v/>
      </c>
      <c r="Y271" s="39" t="str">
        <f>IF([8]道具信息!Y271="","",[8]道具信息!Y271)</f>
        <v/>
      </c>
      <c r="Z271" s="39" t="str">
        <f>IF([8]道具信息!Z271="","",[8]道具信息!Z271)</f>
        <v/>
      </c>
    </row>
    <row r="272" spans="1:26" x14ac:dyDescent="0.15">
      <c r="A272" s="39" t="str">
        <f>IF([8]道具信息!A272="","",[8]道具信息!A272)</f>
        <v/>
      </c>
      <c r="B272" s="39" t="str">
        <f>IF([8]道具信息!B272="","",[8]道具信息!B272)</f>
        <v/>
      </c>
      <c r="C272" s="39">
        <f>IF([8]道具信息!C272="","",[8]道具信息!C272)</f>
        <v>21102</v>
      </c>
      <c r="D272" s="39" t="str">
        <f>IF([8]道具信息!D272="","",[8]道具信息!D272)</f>
        <v>高级点将牌</v>
      </c>
      <c r="E272" s="39">
        <f>IF([8]道具信息!E272="","",[8]道具信息!E272)</f>
        <v>240</v>
      </c>
      <c r="F272" s="39">
        <f>IF([8]道具信息!F272="","",[8]道具信息!F272)</f>
        <v>1</v>
      </c>
      <c r="G272" s="39">
        <f>IF([8]道具信息!G272="","",[8]道具信息!G272)</f>
        <v>1</v>
      </c>
      <c r="H272" s="39">
        <f>IF([8]道具信息!H272="","",[8]道具信息!H272)</f>
        <v>1</v>
      </c>
      <c r="I272" s="39">
        <f>IF([8]道具信息!I272="","",[8]道具信息!I272)</f>
        <v>240</v>
      </c>
      <c r="J272" s="39">
        <f>IF([8]道具信息!J272="","",[8]道具信息!J272)</f>
        <v>240</v>
      </c>
      <c r="K272" s="39">
        <f>IF([8]道具信息!K272="","",[8]道具信息!K272)</f>
        <v>240</v>
      </c>
      <c r="L272" s="39" t="str">
        <f>IF([8]道具信息!L272="","",[8]道具信息!L272)</f>
        <v>点将台高级招募时消耗的令牌</v>
      </c>
      <c r="M272" s="39" t="str">
        <f>IF([8]道具信息!M272="","",[8]道具信息!M272)</f>
        <v/>
      </c>
      <c r="N272" s="39" t="str">
        <f>IF([8]道具信息!N272="","",[8]道具信息!N272)</f>
        <v/>
      </c>
      <c r="O272" s="39" t="str">
        <f>IF([8]道具信息!O272="","",[8]道具信息!O272)</f>
        <v/>
      </c>
      <c r="P272" s="39" t="str">
        <f>IF([8]道具信息!P272="","",[8]道具信息!P272)</f>
        <v/>
      </c>
      <c r="Q272" s="39" t="str">
        <f>IF([8]道具信息!Q272="","",[8]道具信息!Q272)</f>
        <v/>
      </c>
      <c r="R272" s="39" t="str">
        <f>IF([8]道具信息!R272="","",[8]道具信息!R272)</f>
        <v/>
      </c>
      <c r="S272" s="39" t="str">
        <f>IF([8]道具信息!S272="","",[8]道具信息!S272)</f>
        <v/>
      </c>
      <c r="T272" s="39" t="str">
        <f>IF([8]道具信息!T272="","",[8]道具信息!T272)</f>
        <v/>
      </c>
      <c r="U272" s="39" t="str">
        <f>IF([8]道具信息!U272="","",[8]道具信息!U272)</f>
        <v/>
      </c>
      <c r="V272" s="39" t="str">
        <f>IF([8]道具信息!V272="","",[8]道具信息!V272)</f>
        <v/>
      </c>
      <c r="W272" s="39" t="str">
        <f>IF([8]道具信息!W272="","",[8]道具信息!W272)</f>
        <v/>
      </c>
      <c r="X272" s="39" t="str">
        <f>IF([8]道具信息!X272="","",[8]道具信息!X272)</f>
        <v/>
      </c>
      <c r="Y272" s="39" t="str">
        <f>IF([8]道具信息!Y272="","",[8]道具信息!Y272)</f>
        <v/>
      </c>
      <c r="Z272" s="39" t="str">
        <f>IF([8]道具信息!Z272="","",[8]道具信息!Z272)</f>
        <v/>
      </c>
    </row>
    <row r="273" spans="1:26" x14ac:dyDescent="0.15">
      <c r="A273" s="39" t="str">
        <f>IF([8]道具信息!A273="","",[8]道具信息!A273)</f>
        <v/>
      </c>
      <c r="B273" s="39" t="str">
        <f>IF([8]道具信息!B273="","",[8]道具信息!B273)</f>
        <v/>
      </c>
      <c r="C273" s="39" t="str">
        <f>IF([8]道具信息!C273="","",[8]道具信息!C273)</f>
        <v/>
      </c>
      <c r="D273" s="39" t="str">
        <f>IF([8]道具信息!D273="","",[8]道具信息!D273)</f>
        <v>行军丸（旧版)</v>
      </c>
      <c r="E273" s="39" t="str">
        <f>IF([8]道具信息!E273="","",[8]道具信息!E273)</f>
        <v/>
      </c>
      <c r="F273" s="39" t="str">
        <f>IF([8]道具信息!F273="","",[8]道具信息!F273)</f>
        <v/>
      </c>
      <c r="G273" s="39" t="str">
        <f>IF([8]道具信息!G273="","",[8]道具信息!G273)</f>
        <v/>
      </c>
      <c r="H273" s="39" t="str">
        <f>IF([8]道具信息!H273="","",[8]道具信息!H273)</f>
        <v/>
      </c>
      <c r="I273" s="39" t="str">
        <f>IF([8]道具信息!I273="","",[8]道具信息!I273)</f>
        <v/>
      </c>
      <c r="J273" s="39" t="str">
        <f>IF([8]道具信息!J273="","",[8]道具信息!J273)</f>
        <v/>
      </c>
      <c r="K273" s="39" t="str">
        <f>IF([8]道具信息!K273="","",[8]道具信息!K273)</f>
        <v/>
      </c>
      <c r="L273" s="39" t="str">
        <f>IF([8]道具信息!L273="","",[8]道具信息!L273)</f>
        <v>使用后每次可增加部队100%的行军速度</v>
      </c>
      <c r="M273" s="39" t="str">
        <f>IF([8]道具信息!M273="","",[8]道具信息!M273)</f>
        <v/>
      </c>
      <c r="N273" s="39" t="str">
        <f>IF([8]道具信息!N273="","",[8]道具信息!N273)</f>
        <v/>
      </c>
      <c r="O273" s="39" t="str">
        <f>IF([8]道具信息!O273="","",[8]道具信息!O273)</f>
        <v/>
      </c>
      <c r="P273" s="39" t="str">
        <f>IF([8]道具信息!P273="","",[8]道具信息!P273)</f>
        <v/>
      </c>
      <c r="Q273" s="39" t="str">
        <f>IF([8]道具信息!Q273="","",[8]道具信息!Q273)</f>
        <v/>
      </c>
      <c r="R273" s="39" t="str">
        <f>IF([8]道具信息!R273="","",[8]道具信息!R273)</f>
        <v/>
      </c>
      <c r="S273" s="39" t="str">
        <f>IF([8]道具信息!S273="","",[8]道具信息!S273)</f>
        <v/>
      </c>
      <c r="T273" s="39" t="str">
        <f>IF([8]道具信息!T273="","",[8]道具信息!T273)</f>
        <v/>
      </c>
      <c r="U273" s="39" t="str">
        <f>IF([8]道具信息!U273="","",[8]道具信息!U273)</f>
        <v/>
      </c>
      <c r="V273" s="39" t="str">
        <f>IF([8]道具信息!V273="","",[8]道具信息!V273)</f>
        <v/>
      </c>
      <c r="W273" s="39" t="str">
        <f>IF([8]道具信息!W273="","",[8]道具信息!W273)</f>
        <v/>
      </c>
      <c r="X273" s="39" t="str">
        <f>IF([8]道具信息!X273="","",[8]道具信息!X273)</f>
        <v/>
      </c>
      <c r="Y273" s="39" t="str">
        <f>IF([8]道具信息!Y273="","",[8]道具信息!Y273)</f>
        <v/>
      </c>
      <c r="Z273" s="39" t="str">
        <f>IF([8]道具信息!Z273="","",[8]道具信息!Z273)</f>
        <v/>
      </c>
    </row>
    <row r="274" spans="1:26" x14ac:dyDescent="0.15">
      <c r="A274" s="39" t="str">
        <f>IF([8]道具信息!A274="","",[8]道具信息!A274)</f>
        <v/>
      </c>
      <c r="B274" s="39" t="str">
        <f>IF([8]道具信息!B274="","",[8]道具信息!B274)</f>
        <v/>
      </c>
      <c r="C274" s="39">
        <f>IF([8]道具信息!C274="","",[8]道具信息!C274)</f>
        <v>21104</v>
      </c>
      <c r="D274" s="39" t="str">
        <f>IF([8]道具信息!D274="","",[8]道具信息!D274)</f>
        <v>撤军令</v>
      </c>
      <c r="E274" s="39">
        <f>IF([8]道具信息!E274="","",[8]道具信息!E274)</f>
        <v>60</v>
      </c>
      <c r="F274" s="39">
        <f>IF([8]道具信息!F274="","",[8]道具信息!F274)</f>
        <v>1</v>
      </c>
      <c r="G274" s="39">
        <f>IF([8]道具信息!G274="","",[8]道具信息!G274)</f>
        <v>1</v>
      </c>
      <c r="H274" s="39">
        <f>IF([8]道具信息!H274="","",[8]道具信息!H274)</f>
        <v>1</v>
      </c>
      <c r="I274" s="39">
        <f>IF([8]道具信息!I274="","",[8]道具信息!I274)</f>
        <v>60</v>
      </c>
      <c r="J274" s="39">
        <f>IF([8]道具信息!J274="","",[8]道具信息!J274)</f>
        <v>60</v>
      </c>
      <c r="K274" s="39">
        <f>IF([8]道具信息!K274="","",[8]道具信息!K274)</f>
        <v>60</v>
      </c>
      <c r="L274" s="39" t="str">
        <f>IF([8]道具信息!L274="","",[8]道具信息!L274)</f>
        <v>使用后使一支出征队伍立即撤军回城</v>
      </c>
      <c r="M274" s="39" t="str">
        <f>IF([8]道具信息!M274="","",[8]道具信息!M274)</f>
        <v/>
      </c>
      <c r="N274" s="39" t="str">
        <f>IF([8]道具信息!N274="","",[8]道具信息!N274)</f>
        <v/>
      </c>
      <c r="O274" s="39" t="str">
        <f>IF([8]道具信息!O274="","",[8]道具信息!O274)</f>
        <v/>
      </c>
      <c r="P274" s="39" t="str">
        <f>IF([8]道具信息!P274="","",[8]道具信息!P274)</f>
        <v/>
      </c>
      <c r="Q274" s="39" t="str">
        <f>IF([8]道具信息!Q274="","",[8]道具信息!Q274)</f>
        <v/>
      </c>
      <c r="R274" s="39" t="str">
        <f>IF([8]道具信息!R274="","",[8]道具信息!R274)</f>
        <v/>
      </c>
      <c r="S274" s="39" t="str">
        <f>IF([8]道具信息!S274="","",[8]道具信息!S274)</f>
        <v/>
      </c>
      <c r="T274" s="39" t="str">
        <f>IF([8]道具信息!T274="","",[8]道具信息!T274)</f>
        <v/>
      </c>
      <c r="U274" s="39" t="str">
        <f>IF([8]道具信息!U274="","",[8]道具信息!U274)</f>
        <v/>
      </c>
      <c r="V274" s="39" t="str">
        <f>IF([8]道具信息!V274="","",[8]道具信息!V274)</f>
        <v/>
      </c>
      <c r="W274" s="39" t="str">
        <f>IF([8]道具信息!W274="","",[8]道具信息!W274)</f>
        <v/>
      </c>
      <c r="X274" s="39" t="str">
        <f>IF([8]道具信息!X274="","",[8]道具信息!X274)</f>
        <v/>
      </c>
      <c r="Y274" s="39" t="str">
        <f>IF([8]道具信息!Y274="","",[8]道具信息!Y274)</f>
        <v/>
      </c>
      <c r="Z274" s="39" t="str">
        <f>IF([8]道具信息!Z274="","",[8]道具信息!Z274)</f>
        <v/>
      </c>
    </row>
    <row r="275" spans="1:26" x14ac:dyDescent="0.15">
      <c r="A275" s="39" t="str">
        <f>IF([8]道具信息!A275="","",[8]道具信息!A275)</f>
        <v/>
      </c>
      <c r="B275" s="39" t="str">
        <f>IF([8]道具信息!B275="","",[8]道具信息!B275)</f>
        <v/>
      </c>
      <c r="C275" s="39" t="str">
        <f>IF([8]道具信息!C275="","",[8]道具信息!C275)</f>
        <v/>
      </c>
      <c r="D275" s="39" t="str">
        <f>IF([8]道具信息!D275="","",[8]道具信息!D275)</f>
        <v/>
      </c>
      <c r="E275" s="39" t="str">
        <f>IF([8]道具信息!E275="","",[8]道具信息!E275)</f>
        <v/>
      </c>
      <c r="F275" s="39" t="str">
        <f>IF([8]道具信息!F275="","",[8]道具信息!F275)</f>
        <v/>
      </c>
      <c r="G275" s="39" t="str">
        <f>IF([8]道具信息!G275="","",[8]道具信息!G275)</f>
        <v/>
      </c>
      <c r="H275" s="39" t="str">
        <f>IF([8]道具信息!H275="","",[8]道具信息!H275)</f>
        <v/>
      </c>
      <c r="I275" s="39" t="str">
        <f>IF([8]道具信息!I275="","",[8]道具信息!I275)</f>
        <v/>
      </c>
      <c r="J275" s="39" t="str">
        <f>IF([8]道具信息!J275="","",[8]道具信息!J275)</f>
        <v/>
      </c>
      <c r="K275" s="39" t="str">
        <f>IF([8]道具信息!K275="","",[8]道具信息!K275)</f>
        <v/>
      </c>
      <c r="L275" s="39" t="str">
        <f>IF([8]道具信息!L275="","",[8]道具信息!L275)</f>
        <v/>
      </c>
      <c r="M275" s="39" t="str">
        <f>IF([8]道具信息!M275="","",[8]道具信息!M275)</f>
        <v/>
      </c>
      <c r="N275" s="39" t="str">
        <f>IF([8]道具信息!N275="","",[8]道具信息!N275)</f>
        <v/>
      </c>
      <c r="O275" s="39" t="str">
        <f>IF([8]道具信息!O275="","",[8]道具信息!O275)</f>
        <v/>
      </c>
      <c r="P275" s="39" t="str">
        <f>IF([8]道具信息!P275="","",[8]道具信息!P275)</f>
        <v/>
      </c>
      <c r="Q275" s="39" t="str">
        <f>IF([8]道具信息!Q275="","",[8]道具信息!Q275)</f>
        <v/>
      </c>
      <c r="R275" s="39" t="str">
        <f>IF([8]道具信息!R275="","",[8]道具信息!R275)</f>
        <v/>
      </c>
      <c r="S275" s="39" t="str">
        <f>IF([8]道具信息!S275="","",[8]道具信息!S275)</f>
        <v/>
      </c>
      <c r="T275" s="39" t="str">
        <f>IF([8]道具信息!T275="","",[8]道具信息!T275)</f>
        <v/>
      </c>
      <c r="U275" s="39" t="str">
        <f>IF([8]道具信息!U275="","",[8]道具信息!U275)</f>
        <v/>
      </c>
      <c r="V275" s="39" t="str">
        <f>IF([8]道具信息!V275="","",[8]道具信息!V275)</f>
        <v/>
      </c>
      <c r="W275" s="39" t="str">
        <f>IF([8]道具信息!W275="","",[8]道具信息!W275)</f>
        <v/>
      </c>
      <c r="X275" s="39" t="str">
        <f>IF([8]道具信息!X275="","",[8]道具信息!X275)</f>
        <v/>
      </c>
      <c r="Y275" s="39" t="str">
        <f>IF([8]道具信息!Y275="","",[8]道具信息!Y275)</f>
        <v/>
      </c>
      <c r="Z275" s="39" t="str">
        <f>IF([8]道具信息!Z275="","",[8]道具信息!Z275)</f>
        <v/>
      </c>
    </row>
    <row r="276" spans="1:26" x14ac:dyDescent="0.15">
      <c r="A276" s="39" t="str">
        <f>IF([8]道具信息!A276="","",[8]道具信息!A276)</f>
        <v/>
      </c>
      <c r="B276" s="39" t="str">
        <f>IF([8]道具信息!B276="","",[8]道具信息!B276)</f>
        <v/>
      </c>
      <c r="C276" s="39">
        <f>IF([8]道具信息!C276="","",[8]道具信息!C276)</f>
        <v>21110</v>
      </c>
      <c r="D276" s="39" t="str">
        <f>IF([8]道具信息!D276="","",[8]道具信息!D276)</f>
        <v>城建1分钟加速令</v>
      </c>
      <c r="E276" s="39">
        <f>IF([8]道具信息!E276="","",[8]道具信息!E276)</f>
        <v>2</v>
      </c>
      <c r="F276" s="39">
        <f>IF([8]道具信息!F276="","",[8]道具信息!F276)</f>
        <v>1</v>
      </c>
      <c r="G276" s="39">
        <f>IF([8]道具信息!G276="","",[8]道具信息!G276)</f>
        <v>1</v>
      </c>
      <c r="H276" s="39">
        <f>IF([8]道具信息!H276="","",[8]道具信息!H276)</f>
        <v>0.3</v>
      </c>
      <c r="I276" s="39">
        <f>IF([8]道具信息!I276="","",[8]道具信息!I276)</f>
        <v>2</v>
      </c>
      <c r="J276" s="39">
        <f>IF([8]道具信息!J276="","",[8]道具信息!J276)</f>
        <v>2</v>
      </c>
      <c r="K276" s="39">
        <f>IF([8]道具信息!K276="","",[8]道具信息!K276)</f>
        <v>0.6</v>
      </c>
      <c r="L276" s="39" t="str">
        <f>IF([8]道具信息!L276="","",[8]道具信息!L276)</f>
        <v>使用后城池建设加速1分钟</v>
      </c>
      <c r="M276" s="39" t="str">
        <f>IF([8]道具信息!M276="","",[8]道具信息!M276)</f>
        <v/>
      </c>
      <c r="N276" s="39" t="str">
        <f>IF([8]道具信息!N276="","",[8]道具信息!N276)</f>
        <v/>
      </c>
      <c r="O276" s="39" t="str">
        <f>IF([8]道具信息!O276="","",[8]道具信息!O276)</f>
        <v/>
      </c>
      <c r="P276" s="39" t="str">
        <f>IF([8]道具信息!P276="","",[8]道具信息!P276)</f>
        <v/>
      </c>
      <c r="Q276" s="39" t="str">
        <f>IF([8]道具信息!Q276="","",[8]道具信息!Q276)</f>
        <v/>
      </c>
      <c r="R276" s="39" t="str">
        <f>IF([8]道具信息!R276="","",[8]道具信息!R276)</f>
        <v/>
      </c>
      <c r="S276" s="39" t="str">
        <f>IF([8]道具信息!S276="","",[8]道具信息!S276)</f>
        <v/>
      </c>
      <c r="T276" s="39" t="str">
        <f>IF([8]道具信息!T276="","",[8]道具信息!T276)</f>
        <v/>
      </c>
      <c r="U276" s="39" t="str">
        <f>IF([8]道具信息!U276="","",[8]道具信息!U276)</f>
        <v/>
      </c>
      <c r="V276" s="39" t="str">
        <f>IF([8]道具信息!V276="","",[8]道具信息!V276)</f>
        <v/>
      </c>
      <c r="W276" s="39" t="str">
        <f>IF([8]道具信息!W276="","",[8]道具信息!W276)</f>
        <v/>
      </c>
      <c r="X276" s="39" t="str">
        <f>IF([8]道具信息!X276="","",[8]道具信息!X276)</f>
        <v/>
      </c>
      <c r="Y276" s="39" t="str">
        <f>IF([8]道具信息!Y276="","",[8]道具信息!Y276)</f>
        <v/>
      </c>
      <c r="Z276" s="39" t="str">
        <f>IF([8]道具信息!Z276="","",[8]道具信息!Z276)</f>
        <v/>
      </c>
    </row>
    <row r="277" spans="1:26" x14ac:dyDescent="0.15">
      <c r="A277" s="39" t="str">
        <f>IF([8]道具信息!A277="","",[8]道具信息!A277)</f>
        <v/>
      </c>
      <c r="B277" s="39" t="str">
        <f>IF([8]道具信息!B277="","",[8]道具信息!B277)</f>
        <v/>
      </c>
      <c r="C277" s="39">
        <f>IF([8]道具信息!C277="","",[8]道具信息!C277)</f>
        <v>21111</v>
      </c>
      <c r="D277" s="39" t="str">
        <f>IF([8]道具信息!D277="","",[8]道具信息!D277)</f>
        <v>城建5分钟加速令</v>
      </c>
      <c r="E277" s="39">
        <f>IF([8]道具信息!E277="","",[8]道具信息!E277)</f>
        <v>8</v>
      </c>
      <c r="F277" s="39">
        <f>IF([8]道具信息!F277="","",[8]道具信息!F277)</f>
        <v>1</v>
      </c>
      <c r="G277" s="39">
        <f>IF([8]道具信息!G277="","",[8]道具信息!G277)</f>
        <v>1</v>
      </c>
      <c r="H277" s="39">
        <f>IF([8]道具信息!H277="","",[8]道具信息!H277)</f>
        <v>0.4</v>
      </c>
      <c r="I277" s="39">
        <f>IF([8]道具信息!I277="","",[8]道具信息!I277)</f>
        <v>8</v>
      </c>
      <c r="J277" s="39">
        <f>IF([8]道具信息!J277="","",[8]道具信息!J277)</f>
        <v>8</v>
      </c>
      <c r="K277" s="39">
        <f>IF([8]道具信息!K277="","",[8]道具信息!K277)</f>
        <v>3.2</v>
      </c>
      <c r="L277" s="39" t="str">
        <f>IF([8]道具信息!L277="","",[8]道具信息!L277)</f>
        <v>使用后城池建设加速5分钟</v>
      </c>
      <c r="M277" s="39" t="str">
        <f>IF([8]道具信息!M277="","",[8]道具信息!M277)</f>
        <v/>
      </c>
      <c r="N277" s="39" t="str">
        <f>IF([8]道具信息!N277="","",[8]道具信息!N277)</f>
        <v/>
      </c>
      <c r="O277" s="39" t="str">
        <f>IF([8]道具信息!O277="","",[8]道具信息!O277)</f>
        <v/>
      </c>
      <c r="P277" s="39" t="str">
        <f>IF([8]道具信息!P277="","",[8]道具信息!P277)</f>
        <v/>
      </c>
      <c r="Q277" s="39" t="str">
        <f>IF([8]道具信息!Q277="","",[8]道具信息!Q277)</f>
        <v/>
      </c>
      <c r="R277" s="39" t="str">
        <f>IF([8]道具信息!R277="","",[8]道具信息!R277)</f>
        <v/>
      </c>
      <c r="S277" s="39" t="str">
        <f>IF([8]道具信息!S277="","",[8]道具信息!S277)</f>
        <v/>
      </c>
      <c r="T277" s="39" t="str">
        <f>IF([8]道具信息!T277="","",[8]道具信息!T277)</f>
        <v/>
      </c>
      <c r="U277" s="39" t="str">
        <f>IF([8]道具信息!U277="","",[8]道具信息!U277)</f>
        <v/>
      </c>
      <c r="V277" s="39" t="str">
        <f>IF([8]道具信息!V277="","",[8]道具信息!V277)</f>
        <v/>
      </c>
      <c r="W277" s="39" t="str">
        <f>IF([8]道具信息!W277="","",[8]道具信息!W277)</f>
        <v/>
      </c>
      <c r="X277" s="39" t="str">
        <f>IF([8]道具信息!X277="","",[8]道具信息!X277)</f>
        <v/>
      </c>
      <c r="Y277" s="39" t="str">
        <f>IF([8]道具信息!Y277="","",[8]道具信息!Y277)</f>
        <v/>
      </c>
      <c r="Z277" s="39" t="str">
        <f>IF([8]道具信息!Z277="","",[8]道具信息!Z277)</f>
        <v/>
      </c>
    </row>
    <row r="278" spans="1:26" x14ac:dyDescent="0.15">
      <c r="A278" s="39" t="str">
        <f>IF([8]道具信息!A278="","",[8]道具信息!A278)</f>
        <v/>
      </c>
      <c r="B278" s="39" t="str">
        <f>IF([8]道具信息!B278="","",[8]道具信息!B278)</f>
        <v/>
      </c>
      <c r="C278" s="39">
        <f>IF([8]道具信息!C278="","",[8]道具信息!C278)</f>
        <v>21112</v>
      </c>
      <c r="D278" s="39" t="str">
        <f>IF([8]道具信息!D278="","",[8]道具信息!D278)</f>
        <v>城建20分钟加速令</v>
      </c>
      <c r="E278" s="39">
        <f>IF([8]道具信息!E278="","",[8]道具信息!E278)</f>
        <v>20</v>
      </c>
      <c r="F278" s="39">
        <f>IF([8]道具信息!F278="","",[8]道具信息!F278)</f>
        <v>1</v>
      </c>
      <c r="G278" s="39">
        <f>IF([8]道具信息!G278="","",[8]道具信息!G278)</f>
        <v>1</v>
      </c>
      <c r="H278" s="39">
        <f>IF([8]道具信息!H278="","",[8]道具信息!H278)</f>
        <v>0.5</v>
      </c>
      <c r="I278" s="39">
        <f>IF([8]道具信息!I278="","",[8]道具信息!I278)</f>
        <v>20</v>
      </c>
      <c r="J278" s="39">
        <f>IF([8]道具信息!J278="","",[8]道具信息!J278)</f>
        <v>20</v>
      </c>
      <c r="K278" s="39">
        <f>IF([8]道具信息!K278="","",[8]道具信息!K278)</f>
        <v>10</v>
      </c>
      <c r="L278" s="39" t="str">
        <f>IF([8]道具信息!L278="","",[8]道具信息!L278)</f>
        <v>使用后城池建设加速20分钟</v>
      </c>
      <c r="M278" s="39" t="str">
        <f>IF([8]道具信息!M278="","",[8]道具信息!M278)</f>
        <v/>
      </c>
      <c r="N278" s="39" t="str">
        <f>IF([8]道具信息!N278="","",[8]道具信息!N278)</f>
        <v/>
      </c>
      <c r="O278" s="39" t="str">
        <f>IF([8]道具信息!O278="","",[8]道具信息!O278)</f>
        <v/>
      </c>
      <c r="P278" s="39" t="str">
        <f>IF([8]道具信息!P278="","",[8]道具信息!P278)</f>
        <v/>
      </c>
      <c r="Q278" s="39" t="str">
        <f>IF([8]道具信息!Q278="","",[8]道具信息!Q278)</f>
        <v/>
      </c>
      <c r="R278" s="39" t="str">
        <f>IF([8]道具信息!R278="","",[8]道具信息!R278)</f>
        <v/>
      </c>
      <c r="S278" s="39" t="str">
        <f>IF([8]道具信息!S278="","",[8]道具信息!S278)</f>
        <v/>
      </c>
      <c r="T278" s="39" t="str">
        <f>IF([8]道具信息!T278="","",[8]道具信息!T278)</f>
        <v/>
      </c>
      <c r="U278" s="39" t="str">
        <f>IF([8]道具信息!U278="","",[8]道具信息!U278)</f>
        <v/>
      </c>
      <c r="V278" s="39" t="str">
        <f>IF([8]道具信息!V278="","",[8]道具信息!V278)</f>
        <v/>
      </c>
      <c r="W278" s="39" t="str">
        <f>IF([8]道具信息!W278="","",[8]道具信息!W278)</f>
        <v/>
      </c>
      <c r="X278" s="39" t="str">
        <f>IF([8]道具信息!X278="","",[8]道具信息!X278)</f>
        <v/>
      </c>
      <c r="Y278" s="39" t="str">
        <f>IF([8]道具信息!Y278="","",[8]道具信息!Y278)</f>
        <v/>
      </c>
      <c r="Z278" s="39" t="str">
        <f>IF([8]道具信息!Z278="","",[8]道具信息!Z278)</f>
        <v/>
      </c>
    </row>
    <row r="279" spans="1:26" x14ac:dyDescent="0.15">
      <c r="A279" s="39" t="str">
        <f>IF([8]道具信息!A279="","",[8]道具信息!A279)</f>
        <v/>
      </c>
      <c r="B279" s="39" t="str">
        <f>IF([8]道具信息!B279="","",[8]道具信息!B279)</f>
        <v/>
      </c>
      <c r="C279" s="39">
        <f>IF([8]道具信息!C279="","",[8]道具信息!C279)</f>
        <v>21113</v>
      </c>
      <c r="D279" s="39" t="str">
        <f>IF([8]道具信息!D279="","",[8]道具信息!D279)</f>
        <v>城建1小时加速令</v>
      </c>
      <c r="E279" s="39">
        <f>IF([8]道具信息!E279="","",[8]道具信息!E279)</f>
        <v>50</v>
      </c>
      <c r="F279" s="39">
        <f>IF([8]道具信息!F279="","",[8]道具信息!F279)</f>
        <v>1.2</v>
      </c>
      <c r="G279" s="39">
        <f>IF([8]道具信息!G279="","",[8]道具信息!G279)</f>
        <v>1</v>
      </c>
      <c r="H279" s="39">
        <f>IF([8]道具信息!H279="","",[8]道具信息!H279)</f>
        <v>0.6</v>
      </c>
      <c r="I279" s="39">
        <f>IF([8]道具信息!I279="","",[8]道具信息!I279)</f>
        <v>60</v>
      </c>
      <c r="J279" s="39">
        <f>IF([8]道具信息!J279="","",[8]道具信息!J279)</f>
        <v>50</v>
      </c>
      <c r="K279" s="39">
        <f>IF([8]道具信息!K279="","",[8]道具信息!K279)</f>
        <v>30</v>
      </c>
      <c r="L279" s="39" t="str">
        <f>IF([8]道具信息!L279="","",[8]道具信息!L279)</f>
        <v>使用后城池建设加速1小时</v>
      </c>
      <c r="M279" s="39" t="str">
        <f>IF([8]道具信息!M279="","",[8]道具信息!M279)</f>
        <v/>
      </c>
      <c r="N279" s="39" t="str">
        <f>IF([8]道具信息!N279="","",[8]道具信息!N279)</f>
        <v/>
      </c>
      <c r="O279" s="39" t="str">
        <f>IF([8]道具信息!O279="","",[8]道具信息!O279)</f>
        <v/>
      </c>
      <c r="P279" s="39" t="str">
        <f>IF([8]道具信息!P279="","",[8]道具信息!P279)</f>
        <v/>
      </c>
      <c r="Q279" s="39" t="str">
        <f>IF([8]道具信息!Q279="","",[8]道具信息!Q279)</f>
        <v/>
      </c>
      <c r="R279" s="39" t="str">
        <f>IF([8]道具信息!R279="","",[8]道具信息!R279)</f>
        <v/>
      </c>
      <c r="S279" s="39" t="str">
        <f>IF([8]道具信息!S279="","",[8]道具信息!S279)</f>
        <v/>
      </c>
      <c r="T279" s="39" t="str">
        <f>IF([8]道具信息!T279="","",[8]道具信息!T279)</f>
        <v/>
      </c>
      <c r="U279" s="39" t="str">
        <f>IF([8]道具信息!U279="","",[8]道具信息!U279)</f>
        <v/>
      </c>
      <c r="V279" s="39" t="str">
        <f>IF([8]道具信息!V279="","",[8]道具信息!V279)</f>
        <v/>
      </c>
      <c r="W279" s="39" t="str">
        <f>IF([8]道具信息!W279="","",[8]道具信息!W279)</f>
        <v/>
      </c>
      <c r="X279" s="39" t="str">
        <f>IF([8]道具信息!X279="","",[8]道具信息!X279)</f>
        <v/>
      </c>
      <c r="Y279" s="39" t="str">
        <f>IF([8]道具信息!Y279="","",[8]道具信息!Y279)</f>
        <v/>
      </c>
      <c r="Z279" s="39" t="str">
        <f>IF([8]道具信息!Z279="","",[8]道具信息!Z279)</f>
        <v/>
      </c>
    </row>
    <row r="280" spans="1:26" x14ac:dyDescent="0.15">
      <c r="A280" s="39" t="str">
        <f>IF([8]道具信息!A280="","",[8]道具信息!A280)</f>
        <v/>
      </c>
      <c r="B280" s="39" t="str">
        <f>IF([8]道具信息!B280="","",[8]道具信息!B280)</f>
        <v/>
      </c>
      <c r="C280" s="39">
        <f>IF([8]道具信息!C280="","",[8]道具信息!C280)</f>
        <v>21114</v>
      </c>
      <c r="D280" s="39" t="str">
        <f>IF([8]道具信息!D280="","",[8]道具信息!D280)</f>
        <v>城建3小时加速令</v>
      </c>
      <c r="E280" s="39">
        <f>IF([8]道具信息!E280="","",[8]道具信息!E280)</f>
        <v>100</v>
      </c>
      <c r="F280" s="39">
        <f>IF([8]道具信息!F280="","",[8]道具信息!F280)</f>
        <v>1.8</v>
      </c>
      <c r="G280" s="39">
        <f>IF([8]道具信息!G280="","",[8]道具信息!G280)</f>
        <v>1</v>
      </c>
      <c r="H280" s="39">
        <f>IF([8]道具信息!H280="","",[8]道具信息!H280)</f>
        <v>0.8</v>
      </c>
      <c r="I280" s="39">
        <f>IF([8]道具信息!I280="","",[8]道具信息!I280)</f>
        <v>180</v>
      </c>
      <c r="J280" s="39">
        <f>IF([8]道具信息!J280="","",[8]道具信息!J280)</f>
        <v>100</v>
      </c>
      <c r="K280" s="39">
        <f>IF([8]道具信息!K280="","",[8]道具信息!K280)</f>
        <v>80</v>
      </c>
      <c r="L280" s="39" t="str">
        <f>IF([8]道具信息!L280="","",[8]道具信息!L280)</f>
        <v>使用后城池建设加速3小时</v>
      </c>
      <c r="M280" s="39" t="str">
        <f>IF([8]道具信息!M280="","",[8]道具信息!M280)</f>
        <v/>
      </c>
      <c r="N280" s="39" t="str">
        <f>IF([8]道具信息!N280="","",[8]道具信息!N280)</f>
        <v/>
      </c>
      <c r="O280" s="39" t="str">
        <f>IF([8]道具信息!O280="","",[8]道具信息!O280)</f>
        <v/>
      </c>
      <c r="P280" s="39" t="str">
        <f>IF([8]道具信息!P280="","",[8]道具信息!P280)</f>
        <v/>
      </c>
      <c r="Q280" s="39" t="str">
        <f>IF([8]道具信息!Q280="","",[8]道具信息!Q280)</f>
        <v/>
      </c>
      <c r="R280" s="39" t="str">
        <f>IF([8]道具信息!R280="","",[8]道具信息!R280)</f>
        <v/>
      </c>
      <c r="S280" s="39" t="str">
        <f>IF([8]道具信息!S280="","",[8]道具信息!S280)</f>
        <v/>
      </c>
      <c r="T280" s="39" t="str">
        <f>IF([8]道具信息!T280="","",[8]道具信息!T280)</f>
        <v/>
      </c>
      <c r="U280" s="39" t="str">
        <f>IF([8]道具信息!U280="","",[8]道具信息!U280)</f>
        <v/>
      </c>
      <c r="V280" s="39" t="str">
        <f>IF([8]道具信息!V280="","",[8]道具信息!V280)</f>
        <v/>
      </c>
      <c r="W280" s="39" t="str">
        <f>IF([8]道具信息!W280="","",[8]道具信息!W280)</f>
        <v/>
      </c>
      <c r="X280" s="39" t="str">
        <f>IF([8]道具信息!X280="","",[8]道具信息!X280)</f>
        <v/>
      </c>
      <c r="Y280" s="39" t="str">
        <f>IF([8]道具信息!Y280="","",[8]道具信息!Y280)</f>
        <v/>
      </c>
      <c r="Z280" s="39" t="str">
        <f>IF([8]道具信息!Z280="","",[8]道具信息!Z280)</f>
        <v/>
      </c>
    </row>
    <row r="281" spans="1:26" x14ac:dyDescent="0.15">
      <c r="A281" s="39" t="str">
        <f>IF([8]道具信息!A281="","",[8]道具信息!A281)</f>
        <v/>
      </c>
      <c r="B281" s="39" t="str">
        <f>IF([8]道具信息!B281="","",[8]道具信息!B281)</f>
        <v/>
      </c>
      <c r="C281" s="39">
        <f>IF([8]道具信息!C281="","",[8]道具信息!C281)</f>
        <v>21135</v>
      </c>
      <c r="D281" s="39" t="str">
        <f>IF([8]道具信息!D281="","",[8]道具信息!D281)</f>
        <v>城建8小时加速令</v>
      </c>
      <c r="E281" s="39">
        <f>IF([8]道具信息!E281="","",[8]道具信息!E281)</f>
        <v>160</v>
      </c>
      <c r="F281" s="39">
        <f>IF([8]道具信息!F281="","",[8]道具信息!F281)</f>
        <v>3</v>
      </c>
      <c r="G281" s="39">
        <f>IF([8]道具信息!G281="","",[8]道具信息!G281)</f>
        <v>1</v>
      </c>
      <c r="H281" s="39">
        <f>IF([8]道具信息!H281="","",[8]道具信息!H281)</f>
        <v>1</v>
      </c>
      <c r="I281" s="39">
        <f>IF([8]道具信息!I281="","",[8]道具信息!I281)</f>
        <v>480</v>
      </c>
      <c r="J281" s="39">
        <f>IF([8]道具信息!J281="","",[8]道具信息!J281)</f>
        <v>160</v>
      </c>
      <c r="K281" s="39">
        <f>IF([8]道具信息!K281="","",[8]道具信息!K281)</f>
        <v>160</v>
      </c>
      <c r="L281" s="39" t="str">
        <f>IF([8]道具信息!L281="","",[8]道具信息!L281)</f>
        <v>使用后城池建设加速8小时</v>
      </c>
      <c r="M281" s="39" t="str">
        <f>IF([8]道具信息!M281="","",[8]道具信息!M281)</f>
        <v/>
      </c>
      <c r="N281" s="39" t="str">
        <f>IF([8]道具信息!N281="","",[8]道具信息!N281)</f>
        <v/>
      </c>
      <c r="O281" s="39" t="str">
        <f>IF([8]道具信息!O281="","",[8]道具信息!O281)</f>
        <v/>
      </c>
      <c r="P281" s="39" t="str">
        <f>IF([8]道具信息!P281="","",[8]道具信息!P281)</f>
        <v/>
      </c>
      <c r="Q281" s="39" t="str">
        <f>IF([8]道具信息!Q281="","",[8]道具信息!Q281)</f>
        <v/>
      </c>
      <c r="R281" s="39" t="str">
        <f>IF([8]道具信息!R281="","",[8]道具信息!R281)</f>
        <v/>
      </c>
      <c r="S281" s="39" t="str">
        <f>IF([8]道具信息!S281="","",[8]道具信息!S281)</f>
        <v/>
      </c>
      <c r="T281" s="39" t="str">
        <f>IF([8]道具信息!T281="","",[8]道具信息!T281)</f>
        <v/>
      </c>
      <c r="U281" s="39" t="str">
        <f>IF([8]道具信息!U281="","",[8]道具信息!U281)</f>
        <v/>
      </c>
      <c r="V281" s="39" t="str">
        <f>IF([8]道具信息!V281="","",[8]道具信息!V281)</f>
        <v/>
      </c>
      <c r="W281" s="39" t="str">
        <f>IF([8]道具信息!W281="","",[8]道具信息!W281)</f>
        <v/>
      </c>
      <c r="X281" s="39" t="str">
        <f>IF([8]道具信息!X281="","",[8]道具信息!X281)</f>
        <v/>
      </c>
      <c r="Y281" s="39" t="str">
        <f>IF([8]道具信息!Y281="","",[8]道具信息!Y281)</f>
        <v/>
      </c>
      <c r="Z281" s="39" t="str">
        <f>IF([8]道具信息!Z281="","",[8]道具信息!Z281)</f>
        <v/>
      </c>
    </row>
    <row r="282" spans="1:26" x14ac:dyDescent="0.15">
      <c r="A282" s="39" t="str">
        <f>IF([8]道具信息!A282="","",[8]道具信息!A282)</f>
        <v/>
      </c>
      <c r="B282" s="39" t="str">
        <f>IF([8]道具信息!B282="","",[8]道具信息!B282)</f>
        <v/>
      </c>
      <c r="C282" s="39" t="str">
        <f>IF([8]道具信息!C282="","",[8]道具信息!C282)</f>
        <v/>
      </c>
      <c r="D282" s="39" t="str">
        <f>IF([8]道具信息!D282="","",[8]道具信息!D282)</f>
        <v/>
      </c>
      <c r="E282" s="39" t="str">
        <f>IF([8]道具信息!E282="","",[8]道具信息!E282)</f>
        <v/>
      </c>
      <c r="F282" s="39" t="str">
        <f>IF([8]道具信息!F282="","",[8]道具信息!F282)</f>
        <v/>
      </c>
      <c r="G282" s="39" t="str">
        <f>IF([8]道具信息!G282="","",[8]道具信息!G282)</f>
        <v/>
      </c>
      <c r="H282" s="39" t="str">
        <f>IF([8]道具信息!H282="","",[8]道具信息!H282)</f>
        <v/>
      </c>
      <c r="I282" s="39" t="str">
        <f>IF([8]道具信息!I282="","",[8]道具信息!I282)</f>
        <v/>
      </c>
      <c r="J282" s="39" t="str">
        <f>IF([8]道具信息!J282="","",[8]道具信息!J282)</f>
        <v/>
      </c>
      <c r="K282" s="39" t="str">
        <f>IF([8]道具信息!K282="","",[8]道具信息!K282)</f>
        <v/>
      </c>
      <c r="L282" s="39" t="str">
        <f>IF([8]道具信息!L282="","",[8]道具信息!L282)</f>
        <v/>
      </c>
      <c r="M282" s="39" t="str">
        <f>IF([8]道具信息!M282="","",[8]道具信息!M282)</f>
        <v/>
      </c>
      <c r="N282" s="39" t="str">
        <f>IF([8]道具信息!N282="","",[8]道具信息!N282)</f>
        <v/>
      </c>
      <c r="O282" s="39" t="str">
        <f>IF([8]道具信息!O282="","",[8]道具信息!O282)</f>
        <v/>
      </c>
      <c r="P282" s="39" t="str">
        <f>IF([8]道具信息!P282="","",[8]道具信息!P282)</f>
        <v/>
      </c>
      <c r="Q282" s="39" t="str">
        <f>IF([8]道具信息!Q282="","",[8]道具信息!Q282)</f>
        <v/>
      </c>
      <c r="R282" s="39" t="str">
        <f>IF([8]道具信息!R282="","",[8]道具信息!R282)</f>
        <v/>
      </c>
      <c r="S282" s="39" t="str">
        <f>IF([8]道具信息!S282="","",[8]道具信息!S282)</f>
        <v/>
      </c>
      <c r="T282" s="39" t="str">
        <f>IF([8]道具信息!T282="","",[8]道具信息!T282)</f>
        <v/>
      </c>
      <c r="U282" s="39" t="str">
        <f>IF([8]道具信息!U282="","",[8]道具信息!U282)</f>
        <v/>
      </c>
      <c r="V282" s="39" t="str">
        <f>IF([8]道具信息!V282="","",[8]道具信息!V282)</f>
        <v/>
      </c>
      <c r="W282" s="39" t="str">
        <f>IF([8]道具信息!W282="","",[8]道具信息!W282)</f>
        <v/>
      </c>
      <c r="X282" s="39" t="str">
        <f>IF([8]道具信息!X282="","",[8]道具信息!X282)</f>
        <v/>
      </c>
      <c r="Y282" s="39" t="str">
        <f>IF([8]道具信息!Y282="","",[8]道具信息!Y282)</f>
        <v/>
      </c>
      <c r="Z282" s="39" t="str">
        <f>IF([8]道具信息!Z282="","",[8]道具信息!Z282)</f>
        <v/>
      </c>
    </row>
    <row r="283" spans="1:26" x14ac:dyDescent="0.15">
      <c r="A283" s="39" t="str">
        <f>IF([8]道具信息!A283="","",[8]道具信息!A283)</f>
        <v/>
      </c>
      <c r="B283" s="39" t="str">
        <f>IF([8]道具信息!B283="","",[8]道具信息!B283)</f>
        <v/>
      </c>
      <c r="C283" s="39">
        <f>IF([8]道具信息!C283="","",[8]道具信息!C283)</f>
        <v>21115</v>
      </c>
      <c r="D283" s="39" t="str">
        <f>IF([8]道具信息!D283="","",[8]道具信息!D283)</f>
        <v>招募1分钟加速令</v>
      </c>
      <c r="E283" s="39">
        <f>IF([8]道具信息!E283="","",[8]道具信息!E283)</f>
        <v>2</v>
      </c>
      <c r="F283" s="39">
        <f>IF([8]道具信息!F283="","",[8]道具信息!F283)</f>
        <v>1</v>
      </c>
      <c r="G283" s="39">
        <f>IF([8]道具信息!G283="","",[8]道具信息!G283)</f>
        <v>1</v>
      </c>
      <c r="H283" s="39">
        <f>IF([8]道具信息!H283="","",[8]道具信息!H283)</f>
        <v>0.3</v>
      </c>
      <c r="I283" s="39">
        <f>IF([8]道具信息!I283="","",[8]道具信息!I283)</f>
        <v>2</v>
      </c>
      <c r="J283" s="39">
        <f>IF([8]道具信息!J283="","",[8]道具信息!J283)</f>
        <v>2</v>
      </c>
      <c r="K283" s="39">
        <f>IF([8]道具信息!K283="","",[8]道具信息!K283)</f>
        <v>0.6</v>
      </c>
      <c r="L283" s="39" t="str">
        <f>IF([8]道具信息!L283="","",[8]道具信息!L283)</f>
        <v>使用后士兵招募加速1分钟</v>
      </c>
      <c r="M283" s="39" t="str">
        <f>IF([8]道具信息!M283="","",[8]道具信息!M283)</f>
        <v/>
      </c>
      <c r="N283" s="39" t="str">
        <f>IF([8]道具信息!N283="","",[8]道具信息!N283)</f>
        <v/>
      </c>
      <c r="O283" s="39" t="str">
        <f>IF([8]道具信息!O283="","",[8]道具信息!O283)</f>
        <v/>
      </c>
      <c r="P283" s="39" t="str">
        <f>IF([8]道具信息!P283="","",[8]道具信息!P283)</f>
        <v/>
      </c>
      <c r="Q283" s="39" t="str">
        <f>IF([8]道具信息!Q283="","",[8]道具信息!Q283)</f>
        <v/>
      </c>
      <c r="R283" s="39" t="str">
        <f>IF([8]道具信息!R283="","",[8]道具信息!R283)</f>
        <v/>
      </c>
      <c r="S283" s="39" t="str">
        <f>IF([8]道具信息!S283="","",[8]道具信息!S283)</f>
        <v/>
      </c>
      <c r="T283" s="39" t="str">
        <f>IF([8]道具信息!T283="","",[8]道具信息!T283)</f>
        <v/>
      </c>
      <c r="U283" s="39" t="str">
        <f>IF([8]道具信息!U283="","",[8]道具信息!U283)</f>
        <v/>
      </c>
      <c r="V283" s="39" t="str">
        <f>IF([8]道具信息!V283="","",[8]道具信息!V283)</f>
        <v/>
      </c>
      <c r="W283" s="39" t="str">
        <f>IF([8]道具信息!W283="","",[8]道具信息!W283)</f>
        <v/>
      </c>
      <c r="X283" s="39" t="str">
        <f>IF([8]道具信息!X283="","",[8]道具信息!X283)</f>
        <v/>
      </c>
      <c r="Y283" s="39" t="str">
        <f>IF([8]道具信息!Y283="","",[8]道具信息!Y283)</f>
        <v/>
      </c>
      <c r="Z283" s="39" t="str">
        <f>IF([8]道具信息!Z283="","",[8]道具信息!Z283)</f>
        <v/>
      </c>
    </row>
    <row r="284" spans="1:26" x14ac:dyDescent="0.15">
      <c r="A284" s="39" t="str">
        <f>IF([8]道具信息!A284="","",[8]道具信息!A284)</f>
        <v/>
      </c>
      <c r="B284" s="39" t="str">
        <f>IF([8]道具信息!B284="","",[8]道具信息!B284)</f>
        <v/>
      </c>
      <c r="C284" s="39">
        <f>IF([8]道具信息!C284="","",[8]道具信息!C284)</f>
        <v>21116</v>
      </c>
      <c r="D284" s="39" t="str">
        <f>IF([8]道具信息!D284="","",[8]道具信息!D284)</f>
        <v>招募5分钟加速令</v>
      </c>
      <c r="E284" s="39">
        <f>IF([8]道具信息!E284="","",[8]道具信息!E284)</f>
        <v>8</v>
      </c>
      <c r="F284" s="39">
        <f>IF([8]道具信息!F284="","",[8]道具信息!F284)</f>
        <v>1</v>
      </c>
      <c r="G284" s="39">
        <f>IF([8]道具信息!G284="","",[8]道具信息!G284)</f>
        <v>1</v>
      </c>
      <c r="H284" s="39">
        <f>IF([8]道具信息!H284="","",[8]道具信息!H284)</f>
        <v>0.4</v>
      </c>
      <c r="I284" s="39">
        <f>IF([8]道具信息!I284="","",[8]道具信息!I284)</f>
        <v>8</v>
      </c>
      <c r="J284" s="39">
        <f>IF([8]道具信息!J284="","",[8]道具信息!J284)</f>
        <v>8</v>
      </c>
      <c r="K284" s="39">
        <f>IF([8]道具信息!K284="","",[8]道具信息!K284)</f>
        <v>3.2</v>
      </c>
      <c r="L284" s="39" t="str">
        <f>IF([8]道具信息!L284="","",[8]道具信息!L284)</f>
        <v>使用后士兵招募加速5分钟</v>
      </c>
      <c r="M284" s="39" t="str">
        <f>IF([8]道具信息!M284="","",[8]道具信息!M284)</f>
        <v/>
      </c>
      <c r="N284" s="39" t="str">
        <f>IF([8]道具信息!N284="","",[8]道具信息!N284)</f>
        <v/>
      </c>
      <c r="O284" s="39" t="str">
        <f>IF([8]道具信息!O284="","",[8]道具信息!O284)</f>
        <v/>
      </c>
      <c r="P284" s="39" t="str">
        <f>IF([8]道具信息!P284="","",[8]道具信息!P284)</f>
        <v/>
      </c>
      <c r="Q284" s="39" t="str">
        <f>IF([8]道具信息!Q284="","",[8]道具信息!Q284)</f>
        <v/>
      </c>
      <c r="R284" s="39" t="str">
        <f>IF([8]道具信息!R284="","",[8]道具信息!R284)</f>
        <v/>
      </c>
      <c r="S284" s="39" t="str">
        <f>IF([8]道具信息!S284="","",[8]道具信息!S284)</f>
        <v/>
      </c>
      <c r="T284" s="39" t="str">
        <f>IF([8]道具信息!T284="","",[8]道具信息!T284)</f>
        <v/>
      </c>
      <c r="U284" s="39" t="str">
        <f>IF([8]道具信息!U284="","",[8]道具信息!U284)</f>
        <v/>
      </c>
      <c r="V284" s="39" t="str">
        <f>IF([8]道具信息!V284="","",[8]道具信息!V284)</f>
        <v/>
      </c>
      <c r="W284" s="39" t="str">
        <f>IF([8]道具信息!W284="","",[8]道具信息!W284)</f>
        <v/>
      </c>
      <c r="X284" s="39" t="str">
        <f>IF([8]道具信息!X284="","",[8]道具信息!X284)</f>
        <v/>
      </c>
      <c r="Y284" s="39" t="str">
        <f>IF([8]道具信息!Y284="","",[8]道具信息!Y284)</f>
        <v/>
      </c>
      <c r="Z284" s="39" t="str">
        <f>IF([8]道具信息!Z284="","",[8]道具信息!Z284)</f>
        <v/>
      </c>
    </row>
    <row r="285" spans="1:26" x14ac:dyDescent="0.15">
      <c r="A285" s="39" t="str">
        <f>IF([8]道具信息!A285="","",[8]道具信息!A285)</f>
        <v/>
      </c>
      <c r="B285" s="39" t="str">
        <f>IF([8]道具信息!B285="","",[8]道具信息!B285)</f>
        <v/>
      </c>
      <c r="C285" s="39">
        <f>IF([8]道具信息!C285="","",[8]道具信息!C285)</f>
        <v>21117</v>
      </c>
      <c r="D285" s="39" t="str">
        <f>IF([8]道具信息!D285="","",[8]道具信息!D285)</f>
        <v>招募20分钟加速令</v>
      </c>
      <c r="E285" s="39">
        <f>IF([8]道具信息!E285="","",[8]道具信息!E285)</f>
        <v>20</v>
      </c>
      <c r="F285" s="39">
        <f>IF([8]道具信息!F285="","",[8]道具信息!F285)</f>
        <v>1</v>
      </c>
      <c r="G285" s="39">
        <f>IF([8]道具信息!G285="","",[8]道具信息!G285)</f>
        <v>1</v>
      </c>
      <c r="H285" s="39">
        <f>IF([8]道具信息!H285="","",[8]道具信息!H285)</f>
        <v>0.5</v>
      </c>
      <c r="I285" s="39">
        <f>IF([8]道具信息!I285="","",[8]道具信息!I285)</f>
        <v>20</v>
      </c>
      <c r="J285" s="39">
        <f>IF([8]道具信息!J285="","",[8]道具信息!J285)</f>
        <v>20</v>
      </c>
      <c r="K285" s="39">
        <f>IF([8]道具信息!K285="","",[8]道具信息!K285)</f>
        <v>10</v>
      </c>
      <c r="L285" s="39" t="str">
        <f>IF([8]道具信息!L285="","",[8]道具信息!L285)</f>
        <v>使用后士兵招募加速20分钟</v>
      </c>
      <c r="M285" s="39" t="str">
        <f>IF([8]道具信息!M285="","",[8]道具信息!M285)</f>
        <v/>
      </c>
      <c r="N285" s="39" t="str">
        <f>IF([8]道具信息!N285="","",[8]道具信息!N285)</f>
        <v/>
      </c>
      <c r="O285" s="39" t="str">
        <f>IF([8]道具信息!O285="","",[8]道具信息!O285)</f>
        <v/>
      </c>
      <c r="P285" s="39" t="str">
        <f>IF([8]道具信息!P285="","",[8]道具信息!P285)</f>
        <v/>
      </c>
      <c r="Q285" s="39" t="str">
        <f>IF([8]道具信息!Q285="","",[8]道具信息!Q285)</f>
        <v/>
      </c>
      <c r="R285" s="39" t="str">
        <f>IF([8]道具信息!R285="","",[8]道具信息!R285)</f>
        <v/>
      </c>
      <c r="S285" s="39" t="str">
        <f>IF([8]道具信息!S285="","",[8]道具信息!S285)</f>
        <v/>
      </c>
      <c r="T285" s="39" t="str">
        <f>IF([8]道具信息!T285="","",[8]道具信息!T285)</f>
        <v/>
      </c>
      <c r="U285" s="39" t="str">
        <f>IF([8]道具信息!U285="","",[8]道具信息!U285)</f>
        <v/>
      </c>
      <c r="V285" s="39" t="str">
        <f>IF([8]道具信息!V285="","",[8]道具信息!V285)</f>
        <v/>
      </c>
      <c r="W285" s="39" t="str">
        <f>IF([8]道具信息!W285="","",[8]道具信息!W285)</f>
        <v/>
      </c>
      <c r="X285" s="39" t="str">
        <f>IF([8]道具信息!X285="","",[8]道具信息!X285)</f>
        <v/>
      </c>
      <c r="Y285" s="39" t="str">
        <f>IF([8]道具信息!Y285="","",[8]道具信息!Y285)</f>
        <v/>
      </c>
      <c r="Z285" s="39" t="str">
        <f>IF([8]道具信息!Z285="","",[8]道具信息!Z285)</f>
        <v/>
      </c>
    </row>
    <row r="286" spans="1:26" x14ac:dyDescent="0.15">
      <c r="A286" s="39" t="str">
        <f>IF([8]道具信息!A286="","",[8]道具信息!A286)</f>
        <v/>
      </c>
      <c r="B286" s="39" t="str">
        <f>IF([8]道具信息!B286="","",[8]道具信息!B286)</f>
        <v/>
      </c>
      <c r="C286" s="39">
        <f>IF([8]道具信息!C286="","",[8]道具信息!C286)</f>
        <v>21118</v>
      </c>
      <c r="D286" s="39" t="str">
        <f>IF([8]道具信息!D286="","",[8]道具信息!D286)</f>
        <v>招募1小时加速令</v>
      </c>
      <c r="E286" s="39">
        <f>IF([8]道具信息!E286="","",[8]道具信息!E286)</f>
        <v>50</v>
      </c>
      <c r="F286" s="39">
        <f>IF([8]道具信息!F286="","",[8]道具信息!F286)</f>
        <v>1.2</v>
      </c>
      <c r="G286" s="39">
        <f>IF([8]道具信息!G286="","",[8]道具信息!G286)</f>
        <v>1</v>
      </c>
      <c r="H286" s="39">
        <f>IF([8]道具信息!H286="","",[8]道具信息!H286)</f>
        <v>0.6</v>
      </c>
      <c r="I286" s="39">
        <f>IF([8]道具信息!I286="","",[8]道具信息!I286)</f>
        <v>60</v>
      </c>
      <c r="J286" s="39">
        <f>IF([8]道具信息!J286="","",[8]道具信息!J286)</f>
        <v>50</v>
      </c>
      <c r="K286" s="39">
        <f>IF([8]道具信息!K286="","",[8]道具信息!K286)</f>
        <v>30</v>
      </c>
      <c r="L286" s="39" t="str">
        <f>IF([8]道具信息!L286="","",[8]道具信息!L286)</f>
        <v>使用后士兵招募加速1小时</v>
      </c>
      <c r="M286" s="39" t="str">
        <f>IF([8]道具信息!M286="","",[8]道具信息!M286)</f>
        <v/>
      </c>
      <c r="N286" s="39" t="str">
        <f>IF([8]道具信息!N286="","",[8]道具信息!N286)</f>
        <v/>
      </c>
      <c r="O286" s="39" t="str">
        <f>IF([8]道具信息!O286="","",[8]道具信息!O286)</f>
        <v/>
      </c>
      <c r="P286" s="39" t="str">
        <f>IF([8]道具信息!P286="","",[8]道具信息!P286)</f>
        <v/>
      </c>
      <c r="Q286" s="39" t="str">
        <f>IF([8]道具信息!Q286="","",[8]道具信息!Q286)</f>
        <v/>
      </c>
      <c r="R286" s="39" t="str">
        <f>IF([8]道具信息!R286="","",[8]道具信息!R286)</f>
        <v/>
      </c>
      <c r="S286" s="39" t="str">
        <f>IF([8]道具信息!S286="","",[8]道具信息!S286)</f>
        <v/>
      </c>
      <c r="T286" s="39" t="str">
        <f>IF([8]道具信息!T286="","",[8]道具信息!T286)</f>
        <v/>
      </c>
      <c r="U286" s="39" t="str">
        <f>IF([8]道具信息!U286="","",[8]道具信息!U286)</f>
        <v/>
      </c>
      <c r="V286" s="39" t="str">
        <f>IF([8]道具信息!V286="","",[8]道具信息!V286)</f>
        <v/>
      </c>
      <c r="W286" s="39" t="str">
        <f>IF([8]道具信息!W286="","",[8]道具信息!W286)</f>
        <v/>
      </c>
      <c r="X286" s="39" t="str">
        <f>IF([8]道具信息!X286="","",[8]道具信息!X286)</f>
        <v/>
      </c>
      <c r="Y286" s="39" t="str">
        <f>IF([8]道具信息!Y286="","",[8]道具信息!Y286)</f>
        <v/>
      </c>
      <c r="Z286" s="39" t="str">
        <f>IF([8]道具信息!Z286="","",[8]道具信息!Z286)</f>
        <v/>
      </c>
    </row>
    <row r="287" spans="1:26" x14ac:dyDescent="0.15">
      <c r="A287" s="39" t="str">
        <f>IF([8]道具信息!A287="","",[8]道具信息!A287)</f>
        <v/>
      </c>
      <c r="B287" s="39" t="str">
        <f>IF([8]道具信息!B287="","",[8]道具信息!B287)</f>
        <v/>
      </c>
      <c r="C287" s="39">
        <f>IF([8]道具信息!C287="","",[8]道具信息!C287)</f>
        <v>21119</v>
      </c>
      <c r="D287" s="39" t="str">
        <f>IF([8]道具信息!D287="","",[8]道具信息!D287)</f>
        <v>招募3小时加速令</v>
      </c>
      <c r="E287" s="39">
        <f>IF([8]道具信息!E287="","",[8]道具信息!E287)</f>
        <v>100</v>
      </c>
      <c r="F287" s="39">
        <f>IF([8]道具信息!F287="","",[8]道具信息!F287)</f>
        <v>1.8</v>
      </c>
      <c r="G287" s="39">
        <f>IF([8]道具信息!G287="","",[8]道具信息!G287)</f>
        <v>1</v>
      </c>
      <c r="H287" s="39">
        <f>IF([8]道具信息!H287="","",[8]道具信息!H287)</f>
        <v>0.8</v>
      </c>
      <c r="I287" s="39">
        <f>IF([8]道具信息!I287="","",[8]道具信息!I287)</f>
        <v>180</v>
      </c>
      <c r="J287" s="39">
        <f>IF([8]道具信息!J287="","",[8]道具信息!J287)</f>
        <v>100</v>
      </c>
      <c r="K287" s="39">
        <f>IF([8]道具信息!K287="","",[8]道具信息!K287)</f>
        <v>80</v>
      </c>
      <c r="L287" s="39" t="str">
        <f>IF([8]道具信息!L287="","",[8]道具信息!L287)</f>
        <v>使用后士兵招募加速3小时</v>
      </c>
      <c r="M287" s="39" t="str">
        <f>IF([8]道具信息!M287="","",[8]道具信息!M287)</f>
        <v/>
      </c>
      <c r="N287" s="39" t="str">
        <f>IF([8]道具信息!N287="","",[8]道具信息!N287)</f>
        <v/>
      </c>
      <c r="O287" s="39" t="str">
        <f>IF([8]道具信息!O287="","",[8]道具信息!O287)</f>
        <v/>
      </c>
      <c r="P287" s="39" t="str">
        <f>IF([8]道具信息!P287="","",[8]道具信息!P287)</f>
        <v/>
      </c>
      <c r="Q287" s="39" t="str">
        <f>IF([8]道具信息!Q287="","",[8]道具信息!Q287)</f>
        <v/>
      </c>
      <c r="R287" s="39" t="str">
        <f>IF([8]道具信息!R287="","",[8]道具信息!R287)</f>
        <v/>
      </c>
      <c r="S287" s="39" t="str">
        <f>IF([8]道具信息!S287="","",[8]道具信息!S287)</f>
        <v/>
      </c>
      <c r="T287" s="39" t="str">
        <f>IF([8]道具信息!T287="","",[8]道具信息!T287)</f>
        <v/>
      </c>
      <c r="U287" s="39" t="str">
        <f>IF([8]道具信息!U287="","",[8]道具信息!U287)</f>
        <v/>
      </c>
      <c r="V287" s="39" t="str">
        <f>IF([8]道具信息!V287="","",[8]道具信息!V287)</f>
        <v/>
      </c>
      <c r="W287" s="39" t="str">
        <f>IF([8]道具信息!W287="","",[8]道具信息!W287)</f>
        <v/>
      </c>
      <c r="X287" s="39" t="str">
        <f>IF([8]道具信息!X287="","",[8]道具信息!X287)</f>
        <v/>
      </c>
      <c r="Y287" s="39" t="str">
        <f>IF([8]道具信息!Y287="","",[8]道具信息!Y287)</f>
        <v/>
      </c>
      <c r="Z287" s="39" t="str">
        <f>IF([8]道具信息!Z287="","",[8]道具信息!Z287)</f>
        <v/>
      </c>
    </row>
    <row r="288" spans="1:26" x14ac:dyDescent="0.15">
      <c r="A288" s="39" t="str">
        <f>IF([8]道具信息!A288="","",[8]道具信息!A288)</f>
        <v/>
      </c>
      <c r="B288" s="39" t="str">
        <f>IF([8]道具信息!B288="","",[8]道具信息!B288)</f>
        <v/>
      </c>
      <c r="C288" s="39">
        <f>IF([8]道具信息!C288="","",[8]道具信息!C288)</f>
        <v>21136</v>
      </c>
      <c r="D288" s="39" t="str">
        <f>IF([8]道具信息!D288="","",[8]道具信息!D288)</f>
        <v>招募8小时加速令</v>
      </c>
      <c r="E288" s="39">
        <f>IF([8]道具信息!E288="","",[8]道具信息!E288)</f>
        <v>160</v>
      </c>
      <c r="F288" s="39">
        <f>IF([8]道具信息!F288="","",[8]道具信息!F288)</f>
        <v>3</v>
      </c>
      <c r="G288" s="39">
        <f>IF([8]道具信息!G288="","",[8]道具信息!G288)</f>
        <v>1</v>
      </c>
      <c r="H288" s="39">
        <f>IF([8]道具信息!H288="","",[8]道具信息!H288)</f>
        <v>1</v>
      </c>
      <c r="I288" s="39">
        <f>IF([8]道具信息!I288="","",[8]道具信息!I288)</f>
        <v>480</v>
      </c>
      <c r="J288" s="39">
        <f>IF([8]道具信息!J288="","",[8]道具信息!J288)</f>
        <v>160</v>
      </c>
      <c r="K288" s="39">
        <f>IF([8]道具信息!K288="","",[8]道具信息!K288)</f>
        <v>160</v>
      </c>
      <c r="L288" s="39" t="str">
        <f>IF([8]道具信息!L288="","",[8]道具信息!L288)</f>
        <v>使用后士兵招募加速8小时</v>
      </c>
      <c r="M288" s="39" t="str">
        <f>IF([8]道具信息!M288="","",[8]道具信息!M288)</f>
        <v/>
      </c>
      <c r="N288" s="39" t="str">
        <f>IF([8]道具信息!N288="","",[8]道具信息!N288)</f>
        <v/>
      </c>
      <c r="O288" s="39" t="str">
        <f>IF([8]道具信息!O288="","",[8]道具信息!O288)</f>
        <v/>
      </c>
      <c r="P288" s="39" t="str">
        <f>IF([8]道具信息!P288="","",[8]道具信息!P288)</f>
        <v/>
      </c>
      <c r="Q288" s="39" t="str">
        <f>IF([8]道具信息!Q288="","",[8]道具信息!Q288)</f>
        <v/>
      </c>
      <c r="R288" s="39" t="str">
        <f>IF([8]道具信息!R288="","",[8]道具信息!R288)</f>
        <v/>
      </c>
      <c r="S288" s="39" t="str">
        <f>IF([8]道具信息!S288="","",[8]道具信息!S288)</f>
        <v/>
      </c>
      <c r="T288" s="39" t="str">
        <f>IF([8]道具信息!T288="","",[8]道具信息!T288)</f>
        <v/>
      </c>
      <c r="U288" s="39" t="str">
        <f>IF([8]道具信息!U288="","",[8]道具信息!U288)</f>
        <v/>
      </c>
      <c r="V288" s="39" t="str">
        <f>IF([8]道具信息!V288="","",[8]道具信息!V288)</f>
        <v/>
      </c>
      <c r="W288" s="39" t="str">
        <f>IF([8]道具信息!W288="","",[8]道具信息!W288)</f>
        <v/>
      </c>
      <c r="X288" s="39" t="str">
        <f>IF([8]道具信息!X288="","",[8]道具信息!X288)</f>
        <v/>
      </c>
      <c r="Y288" s="39" t="str">
        <f>IF([8]道具信息!Y288="","",[8]道具信息!Y288)</f>
        <v/>
      </c>
      <c r="Z288" s="39" t="str">
        <f>IF([8]道具信息!Z288="","",[8]道具信息!Z288)</f>
        <v/>
      </c>
    </row>
    <row r="289" spans="1:26" x14ac:dyDescent="0.15">
      <c r="A289" s="39" t="str">
        <f>IF([8]道具信息!A289="","",[8]道具信息!A289)</f>
        <v/>
      </c>
      <c r="B289" s="39" t="str">
        <f>IF([8]道具信息!B289="","",[8]道具信息!B289)</f>
        <v/>
      </c>
      <c r="C289" s="39" t="str">
        <f>IF([8]道具信息!C289="","",[8]道具信息!C289)</f>
        <v/>
      </c>
      <c r="D289" s="39" t="str">
        <f>IF([8]道具信息!D289="","",[8]道具信息!D289)</f>
        <v/>
      </c>
      <c r="E289" s="39" t="str">
        <f>IF([8]道具信息!E289="","",[8]道具信息!E289)</f>
        <v/>
      </c>
      <c r="F289" s="39" t="str">
        <f>IF([8]道具信息!F289="","",[8]道具信息!F289)</f>
        <v/>
      </c>
      <c r="G289" s="39" t="str">
        <f>IF([8]道具信息!G289="","",[8]道具信息!G289)</f>
        <v/>
      </c>
      <c r="H289" s="39" t="str">
        <f>IF([8]道具信息!H289="","",[8]道具信息!H289)</f>
        <v/>
      </c>
      <c r="I289" s="39" t="str">
        <f>IF([8]道具信息!I289="","",[8]道具信息!I289)</f>
        <v/>
      </c>
      <c r="J289" s="39" t="str">
        <f>IF([8]道具信息!J289="","",[8]道具信息!J289)</f>
        <v/>
      </c>
      <c r="K289" s="39" t="str">
        <f>IF([8]道具信息!K289="","",[8]道具信息!K289)</f>
        <v/>
      </c>
      <c r="L289" s="39" t="str">
        <f>IF([8]道具信息!L289="","",[8]道具信息!L289)</f>
        <v/>
      </c>
      <c r="M289" s="39" t="str">
        <f>IF([8]道具信息!M289="","",[8]道具信息!M289)</f>
        <v/>
      </c>
      <c r="N289" s="39" t="str">
        <f>IF([8]道具信息!N289="","",[8]道具信息!N289)</f>
        <v/>
      </c>
      <c r="O289" s="39" t="str">
        <f>IF([8]道具信息!O289="","",[8]道具信息!O289)</f>
        <v/>
      </c>
      <c r="P289" s="39" t="str">
        <f>IF([8]道具信息!P289="","",[8]道具信息!P289)</f>
        <v/>
      </c>
      <c r="Q289" s="39" t="str">
        <f>IF([8]道具信息!Q289="","",[8]道具信息!Q289)</f>
        <v/>
      </c>
      <c r="R289" s="39" t="str">
        <f>IF([8]道具信息!R289="","",[8]道具信息!R289)</f>
        <v/>
      </c>
      <c r="S289" s="39" t="str">
        <f>IF([8]道具信息!S289="","",[8]道具信息!S289)</f>
        <v/>
      </c>
      <c r="T289" s="39" t="str">
        <f>IF([8]道具信息!T289="","",[8]道具信息!T289)</f>
        <v/>
      </c>
      <c r="U289" s="39" t="str">
        <f>IF([8]道具信息!U289="","",[8]道具信息!U289)</f>
        <v/>
      </c>
      <c r="V289" s="39" t="str">
        <f>IF([8]道具信息!V289="","",[8]道具信息!V289)</f>
        <v/>
      </c>
      <c r="W289" s="39" t="str">
        <f>IF([8]道具信息!W289="","",[8]道具信息!W289)</f>
        <v/>
      </c>
      <c r="X289" s="39" t="str">
        <f>IF([8]道具信息!X289="","",[8]道具信息!X289)</f>
        <v/>
      </c>
      <c r="Y289" s="39" t="str">
        <f>IF([8]道具信息!Y289="","",[8]道具信息!Y289)</f>
        <v/>
      </c>
      <c r="Z289" s="39" t="str">
        <f>IF([8]道具信息!Z289="","",[8]道具信息!Z289)</f>
        <v/>
      </c>
    </row>
    <row r="290" spans="1:26" x14ac:dyDescent="0.15">
      <c r="A290" s="39" t="str">
        <f>IF([8]道具信息!A290="","",[8]道具信息!A290)</f>
        <v/>
      </c>
      <c r="B290" s="39" t="str">
        <f>IF([8]道具信息!B290="","",[8]道具信息!B290)</f>
        <v/>
      </c>
      <c r="C290" s="39">
        <f>IF([8]道具信息!C290="","",[8]道具信息!C290)</f>
        <v>21120</v>
      </c>
      <c r="D290" s="39" t="str">
        <f>IF([8]道具信息!D290="","",[8]道具信息!D290)</f>
        <v>治疗1分钟加速令</v>
      </c>
      <c r="E290" s="39">
        <f>IF([8]道具信息!E290="","",[8]道具信息!E290)</f>
        <v>2</v>
      </c>
      <c r="F290" s="39">
        <f>IF([8]道具信息!F290="","",[8]道具信息!F290)</f>
        <v>1</v>
      </c>
      <c r="G290" s="39">
        <f>IF([8]道具信息!G290="","",[8]道具信息!G290)</f>
        <v>1</v>
      </c>
      <c r="H290" s="39">
        <f>IF([8]道具信息!H290="","",[8]道具信息!H290)</f>
        <v>0.3</v>
      </c>
      <c r="I290" s="39">
        <f>IF([8]道具信息!I290="","",[8]道具信息!I290)</f>
        <v>2</v>
      </c>
      <c r="J290" s="39">
        <f>IF([8]道具信息!J290="","",[8]道具信息!J290)</f>
        <v>2</v>
      </c>
      <c r="K290" s="39">
        <f>IF([8]道具信息!K290="","",[8]道具信息!K290)</f>
        <v>0.6</v>
      </c>
      <c r="L290" s="39" t="str">
        <f>IF([8]道具信息!L290="","",[8]道具信息!L290)</f>
        <v>使用后士兵治疗加速1分钟</v>
      </c>
      <c r="M290" s="39" t="str">
        <f>IF([8]道具信息!M290="","",[8]道具信息!M290)</f>
        <v/>
      </c>
      <c r="N290" s="39" t="str">
        <f>IF([8]道具信息!N290="","",[8]道具信息!N290)</f>
        <v/>
      </c>
      <c r="O290" s="39" t="str">
        <f>IF([8]道具信息!O290="","",[8]道具信息!O290)</f>
        <v/>
      </c>
      <c r="P290" s="39" t="str">
        <f>IF([8]道具信息!P290="","",[8]道具信息!P290)</f>
        <v/>
      </c>
      <c r="Q290" s="39" t="str">
        <f>IF([8]道具信息!Q290="","",[8]道具信息!Q290)</f>
        <v/>
      </c>
      <c r="R290" s="39" t="str">
        <f>IF([8]道具信息!R290="","",[8]道具信息!R290)</f>
        <v/>
      </c>
      <c r="S290" s="39" t="str">
        <f>IF([8]道具信息!S290="","",[8]道具信息!S290)</f>
        <v/>
      </c>
      <c r="T290" s="39" t="str">
        <f>IF([8]道具信息!T290="","",[8]道具信息!T290)</f>
        <v/>
      </c>
      <c r="U290" s="39" t="str">
        <f>IF([8]道具信息!U290="","",[8]道具信息!U290)</f>
        <v/>
      </c>
      <c r="V290" s="39" t="str">
        <f>IF([8]道具信息!V290="","",[8]道具信息!V290)</f>
        <v/>
      </c>
      <c r="W290" s="39" t="str">
        <f>IF([8]道具信息!W290="","",[8]道具信息!W290)</f>
        <v/>
      </c>
      <c r="X290" s="39" t="str">
        <f>IF([8]道具信息!X290="","",[8]道具信息!X290)</f>
        <v/>
      </c>
      <c r="Y290" s="39" t="str">
        <f>IF([8]道具信息!Y290="","",[8]道具信息!Y290)</f>
        <v/>
      </c>
      <c r="Z290" s="39" t="str">
        <f>IF([8]道具信息!Z290="","",[8]道具信息!Z290)</f>
        <v/>
      </c>
    </row>
    <row r="291" spans="1:26" x14ac:dyDescent="0.15">
      <c r="A291" s="39" t="str">
        <f>IF([8]道具信息!A291="","",[8]道具信息!A291)</f>
        <v/>
      </c>
      <c r="B291" s="39" t="str">
        <f>IF([8]道具信息!B291="","",[8]道具信息!B291)</f>
        <v/>
      </c>
      <c r="C291" s="39">
        <f>IF([8]道具信息!C291="","",[8]道具信息!C291)</f>
        <v>21121</v>
      </c>
      <c r="D291" s="39" t="str">
        <f>IF([8]道具信息!D291="","",[8]道具信息!D291)</f>
        <v>治疗5分钟加速令</v>
      </c>
      <c r="E291" s="39">
        <f>IF([8]道具信息!E291="","",[8]道具信息!E291)</f>
        <v>8</v>
      </c>
      <c r="F291" s="39">
        <f>IF([8]道具信息!F291="","",[8]道具信息!F291)</f>
        <v>1</v>
      </c>
      <c r="G291" s="39">
        <f>IF([8]道具信息!G291="","",[8]道具信息!G291)</f>
        <v>1</v>
      </c>
      <c r="H291" s="39">
        <f>IF([8]道具信息!H291="","",[8]道具信息!H291)</f>
        <v>0.4</v>
      </c>
      <c r="I291" s="39">
        <f>IF([8]道具信息!I291="","",[8]道具信息!I291)</f>
        <v>8</v>
      </c>
      <c r="J291" s="39">
        <f>IF([8]道具信息!J291="","",[8]道具信息!J291)</f>
        <v>8</v>
      </c>
      <c r="K291" s="39">
        <f>IF([8]道具信息!K291="","",[8]道具信息!K291)</f>
        <v>3.2</v>
      </c>
      <c r="L291" s="39" t="str">
        <f>IF([8]道具信息!L291="","",[8]道具信息!L291)</f>
        <v>使用后士兵治疗加速5分钟</v>
      </c>
      <c r="M291" s="39" t="str">
        <f>IF([8]道具信息!M291="","",[8]道具信息!M291)</f>
        <v/>
      </c>
      <c r="N291" s="39" t="str">
        <f>IF([8]道具信息!N291="","",[8]道具信息!N291)</f>
        <v/>
      </c>
      <c r="O291" s="39" t="str">
        <f>IF([8]道具信息!O291="","",[8]道具信息!O291)</f>
        <v/>
      </c>
      <c r="P291" s="39" t="str">
        <f>IF([8]道具信息!P291="","",[8]道具信息!P291)</f>
        <v/>
      </c>
      <c r="Q291" s="39" t="str">
        <f>IF([8]道具信息!Q291="","",[8]道具信息!Q291)</f>
        <v/>
      </c>
      <c r="R291" s="39" t="str">
        <f>IF([8]道具信息!R291="","",[8]道具信息!R291)</f>
        <v/>
      </c>
      <c r="S291" s="39" t="str">
        <f>IF([8]道具信息!S291="","",[8]道具信息!S291)</f>
        <v/>
      </c>
      <c r="T291" s="39" t="str">
        <f>IF([8]道具信息!T291="","",[8]道具信息!T291)</f>
        <v/>
      </c>
      <c r="U291" s="39" t="str">
        <f>IF([8]道具信息!U291="","",[8]道具信息!U291)</f>
        <v/>
      </c>
      <c r="V291" s="39" t="str">
        <f>IF([8]道具信息!V291="","",[8]道具信息!V291)</f>
        <v/>
      </c>
      <c r="W291" s="39" t="str">
        <f>IF([8]道具信息!W291="","",[8]道具信息!W291)</f>
        <v/>
      </c>
      <c r="X291" s="39" t="str">
        <f>IF([8]道具信息!X291="","",[8]道具信息!X291)</f>
        <v/>
      </c>
      <c r="Y291" s="39" t="str">
        <f>IF([8]道具信息!Y291="","",[8]道具信息!Y291)</f>
        <v/>
      </c>
      <c r="Z291" s="39" t="str">
        <f>IF([8]道具信息!Z291="","",[8]道具信息!Z291)</f>
        <v/>
      </c>
    </row>
    <row r="292" spans="1:26" x14ac:dyDescent="0.15">
      <c r="A292" s="39" t="str">
        <f>IF([8]道具信息!A292="","",[8]道具信息!A292)</f>
        <v/>
      </c>
      <c r="B292" s="39" t="str">
        <f>IF([8]道具信息!B292="","",[8]道具信息!B292)</f>
        <v/>
      </c>
      <c r="C292" s="39">
        <f>IF([8]道具信息!C292="","",[8]道具信息!C292)</f>
        <v>21122</v>
      </c>
      <c r="D292" s="39" t="str">
        <f>IF([8]道具信息!D292="","",[8]道具信息!D292)</f>
        <v>治疗20分钟加速令</v>
      </c>
      <c r="E292" s="39">
        <f>IF([8]道具信息!E292="","",[8]道具信息!E292)</f>
        <v>20</v>
      </c>
      <c r="F292" s="39">
        <f>IF([8]道具信息!F292="","",[8]道具信息!F292)</f>
        <v>1</v>
      </c>
      <c r="G292" s="39">
        <f>IF([8]道具信息!G292="","",[8]道具信息!G292)</f>
        <v>1</v>
      </c>
      <c r="H292" s="39">
        <f>IF([8]道具信息!H292="","",[8]道具信息!H292)</f>
        <v>0.5</v>
      </c>
      <c r="I292" s="39">
        <f>IF([8]道具信息!I292="","",[8]道具信息!I292)</f>
        <v>20</v>
      </c>
      <c r="J292" s="39">
        <f>IF([8]道具信息!J292="","",[8]道具信息!J292)</f>
        <v>20</v>
      </c>
      <c r="K292" s="39">
        <f>IF([8]道具信息!K292="","",[8]道具信息!K292)</f>
        <v>10</v>
      </c>
      <c r="L292" s="39" t="str">
        <f>IF([8]道具信息!L292="","",[8]道具信息!L292)</f>
        <v>使用后士兵治疗加速20分钟</v>
      </c>
      <c r="M292" s="39" t="str">
        <f>IF([8]道具信息!M292="","",[8]道具信息!M292)</f>
        <v/>
      </c>
      <c r="N292" s="39" t="str">
        <f>IF([8]道具信息!N292="","",[8]道具信息!N292)</f>
        <v/>
      </c>
      <c r="O292" s="39" t="str">
        <f>IF([8]道具信息!O292="","",[8]道具信息!O292)</f>
        <v/>
      </c>
      <c r="P292" s="39" t="str">
        <f>IF([8]道具信息!P292="","",[8]道具信息!P292)</f>
        <v/>
      </c>
      <c r="Q292" s="39" t="str">
        <f>IF([8]道具信息!Q292="","",[8]道具信息!Q292)</f>
        <v/>
      </c>
      <c r="R292" s="39" t="str">
        <f>IF([8]道具信息!R292="","",[8]道具信息!R292)</f>
        <v/>
      </c>
      <c r="S292" s="39" t="str">
        <f>IF([8]道具信息!S292="","",[8]道具信息!S292)</f>
        <v/>
      </c>
      <c r="T292" s="39" t="str">
        <f>IF([8]道具信息!T292="","",[8]道具信息!T292)</f>
        <v/>
      </c>
      <c r="U292" s="39" t="str">
        <f>IF([8]道具信息!U292="","",[8]道具信息!U292)</f>
        <v/>
      </c>
      <c r="V292" s="39" t="str">
        <f>IF([8]道具信息!V292="","",[8]道具信息!V292)</f>
        <v/>
      </c>
      <c r="W292" s="39" t="str">
        <f>IF([8]道具信息!W292="","",[8]道具信息!W292)</f>
        <v/>
      </c>
      <c r="X292" s="39" t="str">
        <f>IF([8]道具信息!X292="","",[8]道具信息!X292)</f>
        <v/>
      </c>
      <c r="Y292" s="39" t="str">
        <f>IF([8]道具信息!Y292="","",[8]道具信息!Y292)</f>
        <v/>
      </c>
      <c r="Z292" s="39" t="str">
        <f>IF([8]道具信息!Z292="","",[8]道具信息!Z292)</f>
        <v/>
      </c>
    </row>
    <row r="293" spans="1:26" x14ac:dyDescent="0.15">
      <c r="A293" s="39" t="str">
        <f>IF([8]道具信息!A293="","",[8]道具信息!A293)</f>
        <v/>
      </c>
      <c r="B293" s="39" t="str">
        <f>IF([8]道具信息!B293="","",[8]道具信息!B293)</f>
        <v/>
      </c>
      <c r="C293" s="39">
        <f>IF([8]道具信息!C293="","",[8]道具信息!C293)</f>
        <v>21123</v>
      </c>
      <c r="D293" s="39" t="str">
        <f>IF([8]道具信息!D293="","",[8]道具信息!D293)</f>
        <v>治疗1小时加速令</v>
      </c>
      <c r="E293" s="39">
        <f>IF([8]道具信息!E293="","",[8]道具信息!E293)</f>
        <v>50</v>
      </c>
      <c r="F293" s="39">
        <f>IF([8]道具信息!F293="","",[8]道具信息!F293)</f>
        <v>1.2</v>
      </c>
      <c r="G293" s="39">
        <f>IF([8]道具信息!G293="","",[8]道具信息!G293)</f>
        <v>1</v>
      </c>
      <c r="H293" s="39">
        <f>IF([8]道具信息!H293="","",[8]道具信息!H293)</f>
        <v>0.6</v>
      </c>
      <c r="I293" s="39">
        <f>IF([8]道具信息!I293="","",[8]道具信息!I293)</f>
        <v>60</v>
      </c>
      <c r="J293" s="39">
        <f>IF([8]道具信息!J293="","",[8]道具信息!J293)</f>
        <v>50</v>
      </c>
      <c r="K293" s="39">
        <f>IF([8]道具信息!K293="","",[8]道具信息!K293)</f>
        <v>30</v>
      </c>
      <c r="L293" s="39" t="str">
        <f>IF([8]道具信息!L293="","",[8]道具信息!L293)</f>
        <v>使用后士兵治疗加速1小时</v>
      </c>
      <c r="M293" s="39" t="str">
        <f>IF([8]道具信息!M293="","",[8]道具信息!M293)</f>
        <v/>
      </c>
      <c r="N293" s="39" t="str">
        <f>IF([8]道具信息!N293="","",[8]道具信息!N293)</f>
        <v/>
      </c>
      <c r="O293" s="39" t="str">
        <f>IF([8]道具信息!O293="","",[8]道具信息!O293)</f>
        <v/>
      </c>
      <c r="P293" s="39" t="str">
        <f>IF([8]道具信息!P293="","",[8]道具信息!P293)</f>
        <v/>
      </c>
      <c r="Q293" s="39" t="str">
        <f>IF([8]道具信息!Q293="","",[8]道具信息!Q293)</f>
        <v/>
      </c>
      <c r="R293" s="39" t="str">
        <f>IF([8]道具信息!R293="","",[8]道具信息!R293)</f>
        <v/>
      </c>
      <c r="S293" s="39" t="str">
        <f>IF([8]道具信息!S293="","",[8]道具信息!S293)</f>
        <v/>
      </c>
      <c r="T293" s="39" t="str">
        <f>IF([8]道具信息!T293="","",[8]道具信息!T293)</f>
        <v/>
      </c>
      <c r="U293" s="39" t="str">
        <f>IF([8]道具信息!U293="","",[8]道具信息!U293)</f>
        <v/>
      </c>
      <c r="V293" s="39" t="str">
        <f>IF([8]道具信息!V293="","",[8]道具信息!V293)</f>
        <v/>
      </c>
      <c r="W293" s="39" t="str">
        <f>IF([8]道具信息!W293="","",[8]道具信息!W293)</f>
        <v/>
      </c>
      <c r="X293" s="39" t="str">
        <f>IF([8]道具信息!X293="","",[8]道具信息!X293)</f>
        <v/>
      </c>
      <c r="Y293" s="39" t="str">
        <f>IF([8]道具信息!Y293="","",[8]道具信息!Y293)</f>
        <v/>
      </c>
      <c r="Z293" s="39" t="str">
        <f>IF([8]道具信息!Z293="","",[8]道具信息!Z293)</f>
        <v/>
      </c>
    </row>
    <row r="294" spans="1:26" x14ac:dyDescent="0.15">
      <c r="A294" s="39" t="str">
        <f>IF([8]道具信息!A294="","",[8]道具信息!A294)</f>
        <v/>
      </c>
      <c r="B294" s="39" t="str">
        <f>IF([8]道具信息!B294="","",[8]道具信息!B294)</f>
        <v/>
      </c>
      <c r="C294" s="39">
        <f>IF([8]道具信息!C294="","",[8]道具信息!C294)</f>
        <v>21124</v>
      </c>
      <c r="D294" s="39" t="str">
        <f>IF([8]道具信息!D294="","",[8]道具信息!D294)</f>
        <v>治疗3小时加速令</v>
      </c>
      <c r="E294" s="39">
        <f>IF([8]道具信息!E294="","",[8]道具信息!E294)</f>
        <v>100</v>
      </c>
      <c r="F294" s="39">
        <f>IF([8]道具信息!F294="","",[8]道具信息!F294)</f>
        <v>1.8</v>
      </c>
      <c r="G294" s="39">
        <f>IF([8]道具信息!G294="","",[8]道具信息!G294)</f>
        <v>1</v>
      </c>
      <c r="H294" s="39">
        <f>IF([8]道具信息!H294="","",[8]道具信息!H294)</f>
        <v>0.8</v>
      </c>
      <c r="I294" s="39">
        <f>IF([8]道具信息!I294="","",[8]道具信息!I294)</f>
        <v>180</v>
      </c>
      <c r="J294" s="39">
        <f>IF([8]道具信息!J294="","",[8]道具信息!J294)</f>
        <v>100</v>
      </c>
      <c r="K294" s="39">
        <f>IF([8]道具信息!K294="","",[8]道具信息!K294)</f>
        <v>80</v>
      </c>
      <c r="L294" s="39" t="str">
        <f>IF([8]道具信息!L294="","",[8]道具信息!L294)</f>
        <v>使用后士兵治疗加速3小时</v>
      </c>
      <c r="M294" s="39" t="str">
        <f>IF([8]道具信息!M294="","",[8]道具信息!M294)</f>
        <v/>
      </c>
      <c r="N294" s="39" t="str">
        <f>IF([8]道具信息!N294="","",[8]道具信息!N294)</f>
        <v/>
      </c>
      <c r="O294" s="39" t="str">
        <f>IF([8]道具信息!O294="","",[8]道具信息!O294)</f>
        <v/>
      </c>
      <c r="P294" s="39" t="str">
        <f>IF([8]道具信息!P294="","",[8]道具信息!P294)</f>
        <v/>
      </c>
      <c r="Q294" s="39" t="str">
        <f>IF([8]道具信息!Q294="","",[8]道具信息!Q294)</f>
        <v/>
      </c>
      <c r="R294" s="39" t="str">
        <f>IF([8]道具信息!R294="","",[8]道具信息!R294)</f>
        <v/>
      </c>
      <c r="S294" s="39" t="str">
        <f>IF([8]道具信息!S294="","",[8]道具信息!S294)</f>
        <v/>
      </c>
      <c r="T294" s="39" t="str">
        <f>IF([8]道具信息!T294="","",[8]道具信息!T294)</f>
        <v/>
      </c>
      <c r="U294" s="39" t="str">
        <f>IF([8]道具信息!U294="","",[8]道具信息!U294)</f>
        <v/>
      </c>
      <c r="V294" s="39" t="str">
        <f>IF([8]道具信息!V294="","",[8]道具信息!V294)</f>
        <v/>
      </c>
      <c r="W294" s="39" t="str">
        <f>IF([8]道具信息!W294="","",[8]道具信息!W294)</f>
        <v/>
      </c>
      <c r="X294" s="39" t="str">
        <f>IF([8]道具信息!X294="","",[8]道具信息!X294)</f>
        <v/>
      </c>
      <c r="Y294" s="39" t="str">
        <f>IF([8]道具信息!Y294="","",[8]道具信息!Y294)</f>
        <v/>
      </c>
      <c r="Z294" s="39" t="str">
        <f>IF([8]道具信息!Z294="","",[8]道具信息!Z294)</f>
        <v/>
      </c>
    </row>
    <row r="295" spans="1:26" x14ac:dyDescent="0.15">
      <c r="A295" s="39" t="str">
        <f>IF([8]道具信息!A295="","",[8]道具信息!A295)</f>
        <v/>
      </c>
      <c r="B295" s="39" t="str">
        <f>IF([8]道具信息!B295="","",[8]道具信息!B295)</f>
        <v/>
      </c>
      <c r="C295" s="39">
        <f>IF([8]道具信息!C295="","",[8]道具信息!C295)</f>
        <v>21137</v>
      </c>
      <c r="D295" s="39" t="str">
        <f>IF([8]道具信息!D295="","",[8]道具信息!D295)</f>
        <v>治疗8小时加速令</v>
      </c>
      <c r="E295" s="39">
        <f>IF([8]道具信息!E295="","",[8]道具信息!E295)</f>
        <v>160</v>
      </c>
      <c r="F295" s="39">
        <f>IF([8]道具信息!F295="","",[8]道具信息!F295)</f>
        <v>3</v>
      </c>
      <c r="G295" s="39">
        <f>IF([8]道具信息!G295="","",[8]道具信息!G295)</f>
        <v>1</v>
      </c>
      <c r="H295" s="39">
        <f>IF([8]道具信息!H295="","",[8]道具信息!H295)</f>
        <v>1</v>
      </c>
      <c r="I295" s="39">
        <f>IF([8]道具信息!I295="","",[8]道具信息!I295)</f>
        <v>480</v>
      </c>
      <c r="J295" s="39">
        <f>IF([8]道具信息!J295="","",[8]道具信息!J295)</f>
        <v>160</v>
      </c>
      <c r="K295" s="39">
        <f>IF([8]道具信息!K295="","",[8]道具信息!K295)</f>
        <v>160</v>
      </c>
      <c r="L295" s="39" t="str">
        <f>IF([8]道具信息!L295="","",[8]道具信息!L295)</f>
        <v>使用后士兵治疗加速8小时</v>
      </c>
      <c r="M295" s="39" t="str">
        <f>IF([8]道具信息!M295="","",[8]道具信息!M295)</f>
        <v/>
      </c>
      <c r="N295" s="39" t="str">
        <f>IF([8]道具信息!N295="","",[8]道具信息!N295)</f>
        <v/>
      </c>
      <c r="O295" s="39" t="str">
        <f>IF([8]道具信息!O295="","",[8]道具信息!O295)</f>
        <v/>
      </c>
      <c r="P295" s="39" t="str">
        <f>IF([8]道具信息!P295="","",[8]道具信息!P295)</f>
        <v/>
      </c>
      <c r="Q295" s="39" t="str">
        <f>IF([8]道具信息!Q295="","",[8]道具信息!Q295)</f>
        <v/>
      </c>
      <c r="R295" s="39" t="str">
        <f>IF([8]道具信息!R295="","",[8]道具信息!R295)</f>
        <v/>
      </c>
      <c r="S295" s="39" t="str">
        <f>IF([8]道具信息!S295="","",[8]道具信息!S295)</f>
        <v/>
      </c>
      <c r="T295" s="39" t="str">
        <f>IF([8]道具信息!T295="","",[8]道具信息!T295)</f>
        <v/>
      </c>
      <c r="U295" s="39" t="str">
        <f>IF([8]道具信息!U295="","",[8]道具信息!U295)</f>
        <v/>
      </c>
      <c r="V295" s="39" t="str">
        <f>IF([8]道具信息!V295="","",[8]道具信息!V295)</f>
        <v/>
      </c>
      <c r="W295" s="39" t="str">
        <f>IF([8]道具信息!W295="","",[8]道具信息!W295)</f>
        <v/>
      </c>
      <c r="X295" s="39" t="str">
        <f>IF([8]道具信息!X295="","",[8]道具信息!X295)</f>
        <v/>
      </c>
      <c r="Y295" s="39" t="str">
        <f>IF([8]道具信息!Y295="","",[8]道具信息!Y295)</f>
        <v/>
      </c>
      <c r="Z295" s="39" t="str">
        <f>IF([8]道具信息!Z295="","",[8]道具信息!Z295)</f>
        <v/>
      </c>
    </row>
    <row r="296" spans="1:26" x14ac:dyDescent="0.15">
      <c r="A296" s="39" t="str">
        <f>IF([8]道具信息!A296="","",[8]道具信息!A296)</f>
        <v/>
      </c>
      <c r="B296" s="39" t="str">
        <f>IF([8]道具信息!B296="","",[8]道具信息!B296)</f>
        <v/>
      </c>
      <c r="C296" s="39" t="str">
        <f>IF([8]道具信息!C296="","",[8]道具信息!C296)</f>
        <v/>
      </c>
      <c r="D296" s="39" t="str">
        <f>IF([8]道具信息!D296="","",[8]道具信息!D296)</f>
        <v/>
      </c>
      <c r="E296" s="39" t="str">
        <f>IF([8]道具信息!E296="","",[8]道具信息!E296)</f>
        <v/>
      </c>
      <c r="F296" s="39" t="str">
        <f>IF([8]道具信息!F296="","",[8]道具信息!F296)</f>
        <v/>
      </c>
      <c r="G296" s="39" t="str">
        <f>IF([8]道具信息!G296="","",[8]道具信息!G296)</f>
        <v/>
      </c>
      <c r="H296" s="39" t="str">
        <f>IF([8]道具信息!H296="","",[8]道具信息!H296)</f>
        <v/>
      </c>
      <c r="I296" s="39" t="str">
        <f>IF([8]道具信息!I296="","",[8]道具信息!I296)</f>
        <v/>
      </c>
      <c r="J296" s="39" t="str">
        <f>IF([8]道具信息!J296="","",[8]道具信息!J296)</f>
        <v/>
      </c>
      <c r="K296" s="39" t="str">
        <f>IF([8]道具信息!K296="","",[8]道具信息!K296)</f>
        <v/>
      </c>
      <c r="L296" s="39" t="str">
        <f>IF([8]道具信息!L296="","",[8]道具信息!L296)</f>
        <v/>
      </c>
      <c r="M296" s="39" t="str">
        <f>IF([8]道具信息!M296="","",[8]道具信息!M296)</f>
        <v/>
      </c>
      <c r="N296" s="39" t="str">
        <f>IF([8]道具信息!N296="","",[8]道具信息!N296)</f>
        <v/>
      </c>
      <c r="O296" s="39" t="str">
        <f>IF([8]道具信息!O296="","",[8]道具信息!O296)</f>
        <v/>
      </c>
      <c r="P296" s="39" t="str">
        <f>IF([8]道具信息!P296="","",[8]道具信息!P296)</f>
        <v/>
      </c>
      <c r="Q296" s="39" t="str">
        <f>IF([8]道具信息!Q296="","",[8]道具信息!Q296)</f>
        <v/>
      </c>
      <c r="R296" s="39" t="str">
        <f>IF([8]道具信息!R296="","",[8]道具信息!R296)</f>
        <v/>
      </c>
      <c r="S296" s="39" t="str">
        <f>IF([8]道具信息!S296="","",[8]道具信息!S296)</f>
        <v/>
      </c>
      <c r="T296" s="39" t="str">
        <f>IF([8]道具信息!T296="","",[8]道具信息!T296)</f>
        <v/>
      </c>
      <c r="U296" s="39" t="str">
        <f>IF([8]道具信息!U296="","",[8]道具信息!U296)</f>
        <v/>
      </c>
      <c r="V296" s="39" t="str">
        <f>IF([8]道具信息!V296="","",[8]道具信息!V296)</f>
        <v/>
      </c>
      <c r="W296" s="39" t="str">
        <f>IF([8]道具信息!W296="","",[8]道具信息!W296)</f>
        <v/>
      </c>
      <c r="X296" s="39" t="str">
        <f>IF([8]道具信息!X296="","",[8]道具信息!X296)</f>
        <v/>
      </c>
      <c r="Y296" s="39" t="str">
        <f>IF([8]道具信息!Y296="","",[8]道具信息!Y296)</f>
        <v/>
      </c>
      <c r="Z296" s="39" t="str">
        <f>IF([8]道具信息!Z296="","",[8]道具信息!Z296)</f>
        <v/>
      </c>
    </row>
    <row r="297" spans="1:26" x14ac:dyDescent="0.15">
      <c r="A297" s="39" t="str">
        <f>IF([8]道具信息!A297="","",[8]道具信息!A297)</f>
        <v/>
      </c>
      <c r="B297" s="39" t="str">
        <f>IF([8]道具信息!B297="","",[8]道具信息!B297)</f>
        <v/>
      </c>
      <c r="C297" s="39">
        <f>IF([8]道具信息!C297="","",[8]道具信息!C297)</f>
        <v>21130</v>
      </c>
      <c r="D297" s="39" t="str">
        <f>IF([8]道具信息!D297="","",[8]道具信息!D297)</f>
        <v>训练1分钟加速令</v>
      </c>
      <c r="E297" s="39">
        <f>IF([8]道具信息!E297="","",[8]道具信息!E297)</f>
        <v>2</v>
      </c>
      <c r="F297" s="39">
        <f>IF([8]道具信息!F297="","",[8]道具信息!F297)</f>
        <v>1</v>
      </c>
      <c r="G297" s="39">
        <f>IF([8]道具信息!G297="","",[8]道具信息!G297)</f>
        <v>1</v>
      </c>
      <c r="H297" s="39">
        <f>IF([8]道具信息!H297="","",[8]道具信息!H297)</f>
        <v>0.3</v>
      </c>
      <c r="I297" s="39">
        <f>IF([8]道具信息!I297="","",[8]道具信息!I297)</f>
        <v>2</v>
      </c>
      <c r="J297" s="39">
        <f>IF([8]道具信息!J297="","",[8]道具信息!J297)</f>
        <v>2</v>
      </c>
      <c r="K297" s="39">
        <f>IF([8]道具信息!K297="","",[8]道具信息!K297)</f>
        <v>0.6</v>
      </c>
      <c r="L297" s="39" t="str">
        <f>IF([8]道具信息!L297="","",[8]道具信息!L297)</f>
        <v>使用后士兵训练加速1分钟</v>
      </c>
      <c r="M297" s="39" t="str">
        <f>IF([8]道具信息!M297="","",[8]道具信息!M297)</f>
        <v/>
      </c>
      <c r="N297" s="39" t="str">
        <f>IF([8]道具信息!N297="","",[8]道具信息!N297)</f>
        <v/>
      </c>
      <c r="O297" s="39" t="str">
        <f>IF([8]道具信息!O297="","",[8]道具信息!O297)</f>
        <v/>
      </c>
      <c r="P297" s="39" t="str">
        <f>IF([8]道具信息!P297="","",[8]道具信息!P297)</f>
        <v/>
      </c>
      <c r="Q297" s="39" t="str">
        <f>IF([8]道具信息!Q297="","",[8]道具信息!Q297)</f>
        <v/>
      </c>
      <c r="R297" s="39" t="str">
        <f>IF([8]道具信息!R297="","",[8]道具信息!R297)</f>
        <v/>
      </c>
      <c r="S297" s="39" t="str">
        <f>IF([8]道具信息!S297="","",[8]道具信息!S297)</f>
        <v/>
      </c>
      <c r="T297" s="39" t="str">
        <f>IF([8]道具信息!T297="","",[8]道具信息!T297)</f>
        <v/>
      </c>
      <c r="U297" s="39" t="str">
        <f>IF([8]道具信息!U297="","",[8]道具信息!U297)</f>
        <v/>
      </c>
      <c r="V297" s="39" t="str">
        <f>IF([8]道具信息!V297="","",[8]道具信息!V297)</f>
        <v/>
      </c>
      <c r="W297" s="39" t="str">
        <f>IF([8]道具信息!W297="","",[8]道具信息!W297)</f>
        <v/>
      </c>
      <c r="X297" s="39" t="str">
        <f>IF([8]道具信息!X297="","",[8]道具信息!X297)</f>
        <v/>
      </c>
      <c r="Y297" s="39" t="str">
        <f>IF([8]道具信息!Y297="","",[8]道具信息!Y297)</f>
        <v/>
      </c>
      <c r="Z297" s="39" t="str">
        <f>IF([8]道具信息!Z297="","",[8]道具信息!Z297)</f>
        <v/>
      </c>
    </row>
    <row r="298" spans="1:26" x14ac:dyDescent="0.15">
      <c r="A298" s="39" t="str">
        <f>IF([8]道具信息!A298="","",[8]道具信息!A298)</f>
        <v/>
      </c>
      <c r="B298" s="39" t="str">
        <f>IF([8]道具信息!B298="","",[8]道具信息!B298)</f>
        <v/>
      </c>
      <c r="C298" s="39">
        <f>IF([8]道具信息!C298="","",[8]道具信息!C298)</f>
        <v>21131</v>
      </c>
      <c r="D298" s="39" t="str">
        <f>IF([8]道具信息!D298="","",[8]道具信息!D298)</f>
        <v>训练5分钟加速令</v>
      </c>
      <c r="E298" s="39">
        <f>IF([8]道具信息!E298="","",[8]道具信息!E298)</f>
        <v>8</v>
      </c>
      <c r="F298" s="39">
        <f>IF([8]道具信息!F298="","",[8]道具信息!F298)</f>
        <v>1</v>
      </c>
      <c r="G298" s="39">
        <f>IF([8]道具信息!G298="","",[8]道具信息!G298)</f>
        <v>1</v>
      </c>
      <c r="H298" s="39">
        <f>IF([8]道具信息!H298="","",[8]道具信息!H298)</f>
        <v>0.4</v>
      </c>
      <c r="I298" s="39">
        <f>IF([8]道具信息!I298="","",[8]道具信息!I298)</f>
        <v>8</v>
      </c>
      <c r="J298" s="39">
        <f>IF([8]道具信息!J298="","",[8]道具信息!J298)</f>
        <v>8</v>
      </c>
      <c r="K298" s="39">
        <f>IF([8]道具信息!K298="","",[8]道具信息!K298)</f>
        <v>3.2</v>
      </c>
      <c r="L298" s="39" t="str">
        <f>IF([8]道具信息!L298="","",[8]道具信息!L298)</f>
        <v>使用后士兵训练加速5分钟</v>
      </c>
      <c r="M298" s="39" t="str">
        <f>IF([8]道具信息!M298="","",[8]道具信息!M298)</f>
        <v/>
      </c>
      <c r="N298" s="39" t="str">
        <f>IF([8]道具信息!N298="","",[8]道具信息!N298)</f>
        <v/>
      </c>
      <c r="O298" s="39" t="str">
        <f>IF([8]道具信息!O298="","",[8]道具信息!O298)</f>
        <v/>
      </c>
      <c r="P298" s="39" t="str">
        <f>IF([8]道具信息!P298="","",[8]道具信息!P298)</f>
        <v/>
      </c>
      <c r="Q298" s="39" t="str">
        <f>IF([8]道具信息!Q298="","",[8]道具信息!Q298)</f>
        <v/>
      </c>
      <c r="R298" s="39" t="str">
        <f>IF([8]道具信息!R298="","",[8]道具信息!R298)</f>
        <v/>
      </c>
      <c r="S298" s="39" t="str">
        <f>IF([8]道具信息!S298="","",[8]道具信息!S298)</f>
        <v/>
      </c>
      <c r="T298" s="39" t="str">
        <f>IF([8]道具信息!T298="","",[8]道具信息!T298)</f>
        <v/>
      </c>
      <c r="U298" s="39" t="str">
        <f>IF([8]道具信息!U298="","",[8]道具信息!U298)</f>
        <v/>
      </c>
      <c r="V298" s="39" t="str">
        <f>IF([8]道具信息!V298="","",[8]道具信息!V298)</f>
        <v/>
      </c>
      <c r="W298" s="39" t="str">
        <f>IF([8]道具信息!W298="","",[8]道具信息!W298)</f>
        <v/>
      </c>
      <c r="X298" s="39" t="str">
        <f>IF([8]道具信息!X298="","",[8]道具信息!X298)</f>
        <v/>
      </c>
      <c r="Y298" s="39" t="str">
        <f>IF([8]道具信息!Y298="","",[8]道具信息!Y298)</f>
        <v/>
      </c>
      <c r="Z298" s="39" t="str">
        <f>IF([8]道具信息!Z298="","",[8]道具信息!Z298)</f>
        <v/>
      </c>
    </row>
    <row r="299" spans="1:26" x14ac:dyDescent="0.15">
      <c r="A299" s="39" t="str">
        <f>IF([8]道具信息!A299="","",[8]道具信息!A299)</f>
        <v/>
      </c>
      <c r="B299" s="39" t="str">
        <f>IF([8]道具信息!B299="","",[8]道具信息!B299)</f>
        <v/>
      </c>
      <c r="C299" s="39">
        <f>IF([8]道具信息!C299="","",[8]道具信息!C299)</f>
        <v>21132</v>
      </c>
      <c r="D299" s="39" t="str">
        <f>IF([8]道具信息!D299="","",[8]道具信息!D299)</f>
        <v>训练20分钟加速令</v>
      </c>
      <c r="E299" s="39">
        <f>IF([8]道具信息!E299="","",[8]道具信息!E299)</f>
        <v>20</v>
      </c>
      <c r="F299" s="39">
        <f>IF([8]道具信息!F299="","",[8]道具信息!F299)</f>
        <v>1</v>
      </c>
      <c r="G299" s="39">
        <f>IF([8]道具信息!G299="","",[8]道具信息!G299)</f>
        <v>1</v>
      </c>
      <c r="H299" s="39">
        <f>IF([8]道具信息!H299="","",[8]道具信息!H299)</f>
        <v>0.5</v>
      </c>
      <c r="I299" s="39">
        <f>IF([8]道具信息!I299="","",[8]道具信息!I299)</f>
        <v>20</v>
      </c>
      <c r="J299" s="39">
        <f>IF([8]道具信息!J299="","",[8]道具信息!J299)</f>
        <v>20</v>
      </c>
      <c r="K299" s="39">
        <f>IF([8]道具信息!K299="","",[8]道具信息!K299)</f>
        <v>10</v>
      </c>
      <c r="L299" s="39" t="str">
        <f>IF([8]道具信息!L299="","",[8]道具信息!L299)</f>
        <v>使用后士兵训练加速20分钟</v>
      </c>
      <c r="M299" s="39" t="str">
        <f>IF([8]道具信息!M299="","",[8]道具信息!M299)</f>
        <v/>
      </c>
      <c r="N299" s="39" t="str">
        <f>IF([8]道具信息!N299="","",[8]道具信息!N299)</f>
        <v/>
      </c>
      <c r="O299" s="39" t="str">
        <f>IF([8]道具信息!O299="","",[8]道具信息!O299)</f>
        <v/>
      </c>
      <c r="P299" s="39" t="str">
        <f>IF([8]道具信息!P299="","",[8]道具信息!P299)</f>
        <v/>
      </c>
      <c r="Q299" s="39" t="str">
        <f>IF([8]道具信息!Q299="","",[8]道具信息!Q299)</f>
        <v/>
      </c>
      <c r="R299" s="39" t="str">
        <f>IF([8]道具信息!R299="","",[8]道具信息!R299)</f>
        <v/>
      </c>
      <c r="S299" s="39" t="str">
        <f>IF([8]道具信息!S299="","",[8]道具信息!S299)</f>
        <v/>
      </c>
      <c r="T299" s="39" t="str">
        <f>IF([8]道具信息!T299="","",[8]道具信息!T299)</f>
        <v/>
      </c>
      <c r="U299" s="39" t="str">
        <f>IF([8]道具信息!U299="","",[8]道具信息!U299)</f>
        <v/>
      </c>
      <c r="V299" s="39" t="str">
        <f>IF([8]道具信息!V299="","",[8]道具信息!V299)</f>
        <v/>
      </c>
      <c r="W299" s="39" t="str">
        <f>IF([8]道具信息!W299="","",[8]道具信息!W299)</f>
        <v/>
      </c>
      <c r="X299" s="39" t="str">
        <f>IF([8]道具信息!X299="","",[8]道具信息!X299)</f>
        <v/>
      </c>
      <c r="Y299" s="39" t="str">
        <f>IF([8]道具信息!Y299="","",[8]道具信息!Y299)</f>
        <v/>
      </c>
      <c r="Z299" s="39" t="str">
        <f>IF([8]道具信息!Z299="","",[8]道具信息!Z299)</f>
        <v/>
      </c>
    </row>
    <row r="300" spans="1:26" x14ac:dyDescent="0.15">
      <c r="A300" s="39" t="str">
        <f>IF([8]道具信息!A300="","",[8]道具信息!A300)</f>
        <v/>
      </c>
      <c r="B300" s="39" t="str">
        <f>IF([8]道具信息!B300="","",[8]道具信息!B300)</f>
        <v/>
      </c>
      <c r="C300" s="39">
        <f>IF([8]道具信息!C300="","",[8]道具信息!C300)</f>
        <v>21133</v>
      </c>
      <c r="D300" s="39" t="str">
        <f>IF([8]道具信息!D300="","",[8]道具信息!D300)</f>
        <v>训练1小时加速令</v>
      </c>
      <c r="E300" s="39">
        <f>IF([8]道具信息!E300="","",[8]道具信息!E300)</f>
        <v>50</v>
      </c>
      <c r="F300" s="39">
        <f>IF([8]道具信息!F300="","",[8]道具信息!F300)</f>
        <v>1.2</v>
      </c>
      <c r="G300" s="39">
        <f>IF([8]道具信息!G300="","",[8]道具信息!G300)</f>
        <v>1</v>
      </c>
      <c r="H300" s="39">
        <f>IF([8]道具信息!H300="","",[8]道具信息!H300)</f>
        <v>0.6</v>
      </c>
      <c r="I300" s="39">
        <f>IF([8]道具信息!I300="","",[8]道具信息!I300)</f>
        <v>60</v>
      </c>
      <c r="J300" s="39">
        <f>IF([8]道具信息!J300="","",[8]道具信息!J300)</f>
        <v>50</v>
      </c>
      <c r="K300" s="39">
        <f>IF([8]道具信息!K300="","",[8]道具信息!K300)</f>
        <v>30</v>
      </c>
      <c r="L300" s="39" t="str">
        <f>IF([8]道具信息!L300="","",[8]道具信息!L300)</f>
        <v>使用后士兵训练加速1小时</v>
      </c>
      <c r="M300" s="39" t="str">
        <f>IF([8]道具信息!M300="","",[8]道具信息!M300)</f>
        <v/>
      </c>
      <c r="N300" s="39" t="str">
        <f>IF([8]道具信息!N300="","",[8]道具信息!N300)</f>
        <v/>
      </c>
      <c r="O300" s="39" t="str">
        <f>IF([8]道具信息!O300="","",[8]道具信息!O300)</f>
        <v/>
      </c>
      <c r="P300" s="39" t="str">
        <f>IF([8]道具信息!P300="","",[8]道具信息!P300)</f>
        <v/>
      </c>
      <c r="Q300" s="39" t="str">
        <f>IF([8]道具信息!Q300="","",[8]道具信息!Q300)</f>
        <v/>
      </c>
      <c r="R300" s="39" t="str">
        <f>IF([8]道具信息!R300="","",[8]道具信息!R300)</f>
        <v/>
      </c>
      <c r="S300" s="39" t="str">
        <f>IF([8]道具信息!S300="","",[8]道具信息!S300)</f>
        <v/>
      </c>
      <c r="T300" s="39" t="str">
        <f>IF([8]道具信息!T300="","",[8]道具信息!T300)</f>
        <v/>
      </c>
      <c r="U300" s="39" t="str">
        <f>IF([8]道具信息!U300="","",[8]道具信息!U300)</f>
        <v/>
      </c>
      <c r="V300" s="39" t="str">
        <f>IF([8]道具信息!V300="","",[8]道具信息!V300)</f>
        <v/>
      </c>
      <c r="W300" s="39" t="str">
        <f>IF([8]道具信息!W300="","",[8]道具信息!W300)</f>
        <v/>
      </c>
      <c r="X300" s="39" t="str">
        <f>IF([8]道具信息!X300="","",[8]道具信息!X300)</f>
        <v/>
      </c>
      <c r="Y300" s="39" t="str">
        <f>IF([8]道具信息!Y300="","",[8]道具信息!Y300)</f>
        <v/>
      </c>
      <c r="Z300" s="39" t="str">
        <f>IF([8]道具信息!Z300="","",[8]道具信息!Z300)</f>
        <v/>
      </c>
    </row>
    <row r="301" spans="1:26" x14ac:dyDescent="0.15">
      <c r="A301" s="39" t="str">
        <f>IF([8]道具信息!A301="","",[8]道具信息!A301)</f>
        <v/>
      </c>
      <c r="B301" s="39" t="str">
        <f>IF([8]道具信息!B301="","",[8]道具信息!B301)</f>
        <v/>
      </c>
      <c r="C301" s="39">
        <f>IF([8]道具信息!C301="","",[8]道具信息!C301)</f>
        <v>21134</v>
      </c>
      <c r="D301" s="39" t="str">
        <f>IF([8]道具信息!D301="","",[8]道具信息!D301)</f>
        <v>训练3小时加速令</v>
      </c>
      <c r="E301" s="39">
        <f>IF([8]道具信息!E301="","",[8]道具信息!E301)</f>
        <v>100</v>
      </c>
      <c r="F301" s="39">
        <f>IF([8]道具信息!F301="","",[8]道具信息!F301)</f>
        <v>1.8</v>
      </c>
      <c r="G301" s="39">
        <f>IF([8]道具信息!G301="","",[8]道具信息!G301)</f>
        <v>1</v>
      </c>
      <c r="H301" s="39">
        <f>IF([8]道具信息!H301="","",[8]道具信息!H301)</f>
        <v>0.8</v>
      </c>
      <c r="I301" s="39">
        <f>IF([8]道具信息!I301="","",[8]道具信息!I301)</f>
        <v>180</v>
      </c>
      <c r="J301" s="39">
        <f>IF([8]道具信息!J301="","",[8]道具信息!J301)</f>
        <v>100</v>
      </c>
      <c r="K301" s="39">
        <f>IF([8]道具信息!K301="","",[8]道具信息!K301)</f>
        <v>80</v>
      </c>
      <c r="L301" s="39" t="str">
        <f>IF([8]道具信息!L301="","",[8]道具信息!L301)</f>
        <v>使用后士兵训练加速3小时</v>
      </c>
      <c r="M301" s="39" t="str">
        <f>IF([8]道具信息!M301="","",[8]道具信息!M301)</f>
        <v/>
      </c>
      <c r="N301" s="39" t="str">
        <f>IF([8]道具信息!N301="","",[8]道具信息!N301)</f>
        <v/>
      </c>
      <c r="O301" s="39" t="str">
        <f>IF([8]道具信息!O301="","",[8]道具信息!O301)</f>
        <v/>
      </c>
      <c r="P301" s="39" t="str">
        <f>IF([8]道具信息!P301="","",[8]道具信息!P301)</f>
        <v/>
      </c>
      <c r="Q301" s="39" t="str">
        <f>IF([8]道具信息!Q301="","",[8]道具信息!Q301)</f>
        <v/>
      </c>
      <c r="R301" s="39" t="str">
        <f>IF([8]道具信息!R301="","",[8]道具信息!R301)</f>
        <v/>
      </c>
      <c r="S301" s="39" t="str">
        <f>IF([8]道具信息!S301="","",[8]道具信息!S301)</f>
        <v/>
      </c>
      <c r="T301" s="39" t="str">
        <f>IF([8]道具信息!T301="","",[8]道具信息!T301)</f>
        <v/>
      </c>
      <c r="U301" s="39" t="str">
        <f>IF([8]道具信息!U301="","",[8]道具信息!U301)</f>
        <v/>
      </c>
      <c r="V301" s="39" t="str">
        <f>IF([8]道具信息!V301="","",[8]道具信息!V301)</f>
        <v/>
      </c>
      <c r="W301" s="39" t="str">
        <f>IF([8]道具信息!W301="","",[8]道具信息!W301)</f>
        <v/>
      </c>
      <c r="X301" s="39" t="str">
        <f>IF([8]道具信息!X301="","",[8]道具信息!X301)</f>
        <v/>
      </c>
      <c r="Y301" s="39" t="str">
        <f>IF([8]道具信息!Y301="","",[8]道具信息!Y301)</f>
        <v/>
      </c>
      <c r="Z301" s="39" t="str">
        <f>IF([8]道具信息!Z301="","",[8]道具信息!Z301)</f>
        <v/>
      </c>
    </row>
    <row r="302" spans="1:26" x14ac:dyDescent="0.15">
      <c r="A302" s="39" t="str">
        <f>IF([8]道具信息!A302="","",[8]道具信息!A302)</f>
        <v/>
      </c>
      <c r="B302" s="39" t="str">
        <f>IF([8]道具信息!B302="","",[8]道具信息!B302)</f>
        <v/>
      </c>
      <c r="C302" s="39">
        <f>IF([8]道具信息!C302="","",[8]道具信息!C302)</f>
        <v>21139</v>
      </c>
      <c r="D302" s="39" t="str">
        <f>IF([8]道具信息!D302="","",[8]道具信息!D302)</f>
        <v>训练8小时加速令</v>
      </c>
      <c r="E302" s="39">
        <f>IF([8]道具信息!E302="","",[8]道具信息!E302)</f>
        <v>160</v>
      </c>
      <c r="F302" s="39">
        <f>IF([8]道具信息!F302="","",[8]道具信息!F302)</f>
        <v>3</v>
      </c>
      <c r="G302" s="39">
        <f>IF([8]道具信息!G302="","",[8]道具信息!G302)</f>
        <v>1</v>
      </c>
      <c r="H302" s="39">
        <f>IF([8]道具信息!H302="","",[8]道具信息!H302)</f>
        <v>1</v>
      </c>
      <c r="I302" s="39">
        <f>IF([8]道具信息!I302="","",[8]道具信息!I302)</f>
        <v>480</v>
      </c>
      <c r="J302" s="39">
        <f>IF([8]道具信息!J302="","",[8]道具信息!J302)</f>
        <v>160</v>
      </c>
      <c r="K302" s="39">
        <f>IF([8]道具信息!K302="","",[8]道具信息!K302)</f>
        <v>160</v>
      </c>
      <c r="L302" s="39" t="str">
        <f>IF([8]道具信息!L302="","",[8]道具信息!L302)</f>
        <v>使用后士兵训练加速8小时</v>
      </c>
      <c r="M302" s="39" t="str">
        <f>IF([8]道具信息!M302="","",[8]道具信息!M302)</f>
        <v/>
      </c>
      <c r="N302" s="39" t="str">
        <f>IF([8]道具信息!N302="","",[8]道具信息!N302)</f>
        <v/>
      </c>
      <c r="O302" s="39" t="str">
        <f>IF([8]道具信息!O302="","",[8]道具信息!O302)</f>
        <v/>
      </c>
      <c r="P302" s="39" t="str">
        <f>IF([8]道具信息!P302="","",[8]道具信息!P302)</f>
        <v/>
      </c>
      <c r="Q302" s="39" t="str">
        <f>IF([8]道具信息!Q302="","",[8]道具信息!Q302)</f>
        <v/>
      </c>
      <c r="R302" s="39" t="str">
        <f>IF([8]道具信息!R302="","",[8]道具信息!R302)</f>
        <v/>
      </c>
      <c r="S302" s="39" t="str">
        <f>IF([8]道具信息!S302="","",[8]道具信息!S302)</f>
        <v/>
      </c>
      <c r="T302" s="39" t="str">
        <f>IF([8]道具信息!T302="","",[8]道具信息!T302)</f>
        <v/>
      </c>
      <c r="U302" s="39" t="str">
        <f>IF([8]道具信息!U302="","",[8]道具信息!U302)</f>
        <v/>
      </c>
      <c r="V302" s="39" t="str">
        <f>IF([8]道具信息!V302="","",[8]道具信息!V302)</f>
        <v/>
      </c>
      <c r="W302" s="39" t="str">
        <f>IF([8]道具信息!W302="","",[8]道具信息!W302)</f>
        <v/>
      </c>
      <c r="X302" s="39" t="str">
        <f>IF([8]道具信息!X302="","",[8]道具信息!X302)</f>
        <v/>
      </c>
      <c r="Y302" s="39" t="str">
        <f>IF([8]道具信息!Y302="","",[8]道具信息!Y302)</f>
        <v/>
      </c>
      <c r="Z302" s="39" t="str">
        <f>IF([8]道具信息!Z302="","",[8]道具信息!Z302)</f>
        <v/>
      </c>
    </row>
    <row r="303" spans="1:26" x14ac:dyDescent="0.15">
      <c r="A303" s="39" t="str">
        <f>IF([8]道具信息!A303="","",[8]道具信息!A303)</f>
        <v/>
      </c>
      <c r="B303" s="39" t="str">
        <f>IF([8]道具信息!B303="","",[8]道具信息!B303)</f>
        <v/>
      </c>
      <c r="C303" s="39" t="str">
        <f>IF([8]道具信息!C303="","",[8]道具信息!C303)</f>
        <v/>
      </c>
      <c r="D303" s="39" t="str">
        <f>IF([8]道具信息!D303="","",[8]道具信息!D303)</f>
        <v/>
      </c>
      <c r="E303" s="39" t="str">
        <f>IF([8]道具信息!E303="","",[8]道具信息!E303)</f>
        <v/>
      </c>
      <c r="F303" s="39" t="str">
        <f>IF([8]道具信息!F303="","",[8]道具信息!F303)</f>
        <v/>
      </c>
      <c r="G303" s="39" t="str">
        <f>IF([8]道具信息!G303="","",[8]道具信息!G303)</f>
        <v/>
      </c>
      <c r="H303" s="39" t="str">
        <f>IF([8]道具信息!H303="","",[8]道具信息!H303)</f>
        <v/>
      </c>
      <c r="I303" s="39" t="str">
        <f>IF([8]道具信息!I303="","",[8]道具信息!I303)</f>
        <v/>
      </c>
      <c r="J303" s="39" t="str">
        <f>IF([8]道具信息!J303="","",[8]道具信息!J303)</f>
        <v/>
      </c>
      <c r="K303" s="39" t="str">
        <f>IF([8]道具信息!K303="","",[8]道具信息!K303)</f>
        <v/>
      </c>
      <c r="L303" s="39" t="str">
        <f>IF([8]道具信息!L303="","",[8]道具信息!L303)</f>
        <v/>
      </c>
      <c r="M303" s="39" t="str">
        <f>IF([8]道具信息!M303="","",[8]道具信息!M303)</f>
        <v/>
      </c>
      <c r="N303" s="39" t="str">
        <f>IF([8]道具信息!N303="","",[8]道具信息!N303)</f>
        <v/>
      </c>
      <c r="O303" s="39" t="str">
        <f>IF([8]道具信息!O303="","",[8]道具信息!O303)</f>
        <v/>
      </c>
      <c r="P303" s="39" t="str">
        <f>IF([8]道具信息!P303="","",[8]道具信息!P303)</f>
        <v/>
      </c>
      <c r="Q303" s="39" t="str">
        <f>IF([8]道具信息!Q303="","",[8]道具信息!Q303)</f>
        <v/>
      </c>
      <c r="R303" s="39" t="str">
        <f>IF([8]道具信息!R303="","",[8]道具信息!R303)</f>
        <v/>
      </c>
      <c r="S303" s="39" t="str">
        <f>IF([8]道具信息!S303="","",[8]道具信息!S303)</f>
        <v/>
      </c>
      <c r="T303" s="39" t="str">
        <f>IF([8]道具信息!T303="","",[8]道具信息!T303)</f>
        <v/>
      </c>
      <c r="U303" s="39" t="str">
        <f>IF([8]道具信息!U303="","",[8]道具信息!U303)</f>
        <v/>
      </c>
      <c r="V303" s="39" t="str">
        <f>IF([8]道具信息!V303="","",[8]道具信息!V303)</f>
        <v/>
      </c>
      <c r="W303" s="39" t="str">
        <f>IF([8]道具信息!W303="","",[8]道具信息!W303)</f>
        <v/>
      </c>
      <c r="X303" s="39" t="str">
        <f>IF([8]道具信息!X303="","",[8]道具信息!X303)</f>
        <v/>
      </c>
      <c r="Y303" s="39" t="str">
        <f>IF([8]道具信息!Y303="","",[8]道具信息!Y303)</f>
        <v/>
      </c>
      <c r="Z303" s="39" t="str">
        <f>IF([8]道具信息!Z303="","",[8]道具信息!Z303)</f>
        <v/>
      </c>
    </row>
    <row r="304" spans="1:26" x14ac:dyDescent="0.15">
      <c r="A304" s="39" t="str">
        <f>IF([8]道具信息!A304="","",[8]道具信息!A304)</f>
        <v/>
      </c>
      <c r="B304" s="39" t="str">
        <f>IF([8]道具信息!B304="","",[8]道具信息!B304)</f>
        <v/>
      </c>
      <c r="C304" s="39">
        <f>IF([8]道具信息!C304="","",[8]道具信息!C304)</f>
        <v>21140</v>
      </c>
      <c r="D304" s="39" t="str">
        <f>IF([8]道具信息!D304="","",[8]道具信息!D304)</f>
        <v>圣人1分钟加速令</v>
      </c>
      <c r="E304" s="39">
        <f>IF([8]道具信息!E304="","",[8]道具信息!E304)</f>
        <v>2</v>
      </c>
      <c r="F304" s="39">
        <f>IF([8]道具信息!F304="","",[8]道具信息!F304)</f>
        <v>1</v>
      </c>
      <c r="G304" s="39">
        <f>IF([8]道具信息!G304="","",[8]道具信息!G304)</f>
        <v>1</v>
      </c>
      <c r="H304" s="39">
        <f>IF([8]道具信息!H304="","",[8]道具信息!H304)</f>
        <v>0.3</v>
      </c>
      <c r="I304" s="39">
        <f>IF([8]道具信息!I304="","",[8]道具信息!I304)</f>
        <v>2</v>
      </c>
      <c r="J304" s="39">
        <f>IF([8]道具信息!J304="","",[8]道具信息!J304)</f>
        <v>2</v>
      </c>
      <c r="K304" s="39">
        <f>IF([8]道具信息!K304="","",[8]道具信息!K304)</f>
        <v>0.6</v>
      </c>
      <c r="L304" s="39" t="str">
        <f>IF([8]道具信息!L304="","",[8]道具信息!L304)</f>
        <v>使用后士兵训练加速1分钟</v>
      </c>
      <c r="M304" s="39" t="str">
        <f>IF([8]道具信息!M304="","",[8]道具信息!M304)</f>
        <v/>
      </c>
      <c r="N304" s="39" t="str">
        <f>IF([8]道具信息!N304="","",[8]道具信息!N304)</f>
        <v/>
      </c>
      <c r="O304" s="39" t="str">
        <f>IF([8]道具信息!O304="","",[8]道具信息!O304)</f>
        <v/>
      </c>
      <c r="P304" s="39" t="str">
        <f>IF([8]道具信息!P304="","",[8]道具信息!P304)</f>
        <v/>
      </c>
      <c r="Q304" s="39" t="str">
        <f>IF([8]道具信息!Q304="","",[8]道具信息!Q304)</f>
        <v/>
      </c>
      <c r="R304" s="39" t="str">
        <f>IF([8]道具信息!R304="","",[8]道具信息!R304)</f>
        <v/>
      </c>
      <c r="S304" s="39" t="str">
        <f>IF([8]道具信息!S304="","",[8]道具信息!S304)</f>
        <v/>
      </c>
      <c r="T304" s="39" t="str">
        <f>IF([8]道具信息!T304="","",[8]道具信息!T304)</f>
        <v/>
      </c>
      <c r="U304" s="39" t="str">
        <f>IF([8]道具信息!U304="","",[8]道具信息!U304)</f>
        <v/>
      </c>
      <c r="V304" s="39" t="str">
        <f>IF([8]道具信息!V304="","",[8]道具信息!V304)</f>
        <v/>
      </c>
      <c r="W304" s="39" t="str">
        <f>IF([8]道具信息!W304="","",[8]道具信息!W304)</f>
        <v/>
      </c>
      <c r="X304" s="39" t="str">
        <f>IF([8]道具信息!X304="","",[8]道具信息!X304)</f>
        <v/>
      </c>
      <c r="Y304" s="39" t="str">
        <f>IF([8]道具信息!Y304="","",[8]道具信息!Y304)</f>
        <v/>
      </c>
      <c r="Z304" s="39" t="str">
        <f>IF([8]道具信息!Z304="","",[8]道具信息!Z304)</f>
        <v/>
      </c>
    </row>
    <row r="305" spans="1:26" x14ac:dyDescent="0.15">
      <c r="A305" s="39" t="str">
        <f>IF([8]道具信息!A305="","",[8]道具信息!A305)</f>
        <v/>
      </c>
      <c r="B305" s="39" t="str">
        <f>IF([8]道具信息!B305="","",[8]道具信息!B305)</f>
        <v/>
      </c>
      <c r="C305" s="39">
        <f>IF([8]道具信息!C305="","",[8]道具信息!C305)</f>
        <v>21141</v>
      </c>
      <c r="D305" s="39" t="str">
        <f>IF([8]道具信息!D305="","",[8]道具信息!D305)</f>
        <v>圣人5分钟加速令</v>
      </c>
      <c r="E305" s="39">
        <f>IF([8]道具信息!E305="","",[8]道具信息!E305)</f>
        <v>8</v>
      </c>
      <c r="F305" s="39">
        <f>IF([8]道具信息!F305="","",[8]道具信息!F305)</f>
        <v>1</v>
      </c>
      <c r="G305" s="39">
        <f>IF([8]道具信息!G305="","",[8]道具信息!G305)</f>
        <v>1</v>
      </c>
      <c r="H305" s="39">
        <f>IF([8]道具信息!H305="","",[8]道具信息!H305)</f>
        <v>0.4</v>
      </c>
      <c r="I305" s="39">
        <f>IF([8]道具信息!I305="","",[8]道具信息!I305)</f>
        <v>8</v>
      </c>
      <c r="J305" s="39">
        <f>IF([8]道具信息!J305="","",[8]道具信息!J305)</f>
        <v>8</v>
      </c>
      <c r="K305" s="39">
        <f>IF([8]道具信息!K305="","",[8]道具信息!K305)</f>
        <v>3.2</v>
      </c>
      <c r="L305" s="39" t="str">
        <f>IF([8]道具信息!L305="","",[8]道具信息!L305)</f>
        <v>使用后士兵训练加速5分钟</v>
      </c>
      <c r="M305" s="39" t="str">
        <f>IF([8]道具信息!M305="","",[8]道具信息!M305)</f>
        <v/>
      </c>
      <c r="N305" s="39" t="str">
        <f>IF([8]道具信息!N305="","",[8]道具信息!N305)</f>
        <v/>
      </c>
      <c r="O305" s="39" t="str">
        <f>IF([8]道具信息!O305="","",[8]道具信息!O305)</f>
        <v/>
      </c>
      <c r="P305" s="39" t="str">
        <f>IF([8]道具信息!P305="","",[8]道具信息!P305)</f>
        <v/>
      </c>
      <c r="Q305" s="39" t="str">
        <f>IF([8]道具信息!Q305="","",[8]道具信息!Q305)</f>
        <v/>
      </c>
      <c r="R305" s="39" t="str">
        <f>IF([8]道具信息!R305="","",[8]道具信息!R305)</f>
        <v/>
      </c>
      <c r="S305" s="39" t="str">
        <f>IF([8]道具信息!S305="","",[8]道具信息!S305)</f>
        <v/>
      </c>
      <c r="T305" s="39" t="str">
        <f>IF([8]道具信息!T305="","",[8]道具信息!T305)</f>
        <v/>
      </c>
      <c r="U305" s="39" t="str">
        <f>IF([8]道具信息!U305="","",[8]道具信息!U305)</f>
        <v/>
      </c>
      <c r="V305" s="39" t="str">
        <f>IF([8]道具信息!V305="","",[8]道具信息!V305)</f>
        <v/>
      </c>
      <c r="W305" s="39" t="str">
        <f>IF([8]道具信息!W305="","",[8]道具信息!W305)</f>
        <v/>
      </c>
      <c r="X305" s="39" t="str">
        <f>IF([8]道具信息!X305="","",[8]道具信息!X305)</f>
        <v/>
      </c>
      <c r="Y305" s="39" t="str">
        <f>IF([8]道具信息!Y305="","",[8]道具信息!Y305)</f>
        <v/>
      </c>
      <c r="Z305" s="39" t="str">
        <f>IF([8]道具信息!Z305="","",[8]道具信息!Z305)</f>
        <v/>
      </c>
    </row>
    <row r="306" spans="1:26" x14ac:dyDescent="0.15">
      <c r="A306" s="39" t="str">
        <f>IF([8]道具信息!A306="","",[8]道具信息!A306)</f>
        <v/>
      </c>
      <c r="B306" s="39" t="str">
        <f>IF([8]道具信息!B306="","",[8]道具信息!B306)</f>
        <v/>
      </c>
      <c r="C306" s="39">
        <f>IF([8]道具信息!C306="","",[8]道具信息!C306)</f>
        <v>21142</v>
      </c>
      <c r="D306" s="39" t="str">
        <f>IF([8]道具信息!D306="","",[8]道具信息!D306)</f>
        <v>圣人20分钟加速令</v>
      </c>
      <c r="E306" s="39">
        <f>IF([8]道具信息!E306="","",[8]道具信息!E306)</f>
        <v>20</v>
      </c>
      <c r="F306" s="39">
        <f>IF([8]道具信息!F306="","",[8]道具信息!F306)</f>
        <v>1</v>
      </c>
      <c r="G306" s="39">
        <f>IF([8]道具信息!G306="","",[8]道具信息!G306)</f>
        <v>1</v>
      </c>
      <c r="H306" s="39">
        <f>IF([8]道具信息!H306="","",[8]道具信息!H306)</f>
        <v>0.5</v>
      </c>
      <c r="I306" s="39">
        <f>IF([8]道具信息!I306="","",[8]道具信息!I306)</f>
        <v>20</v>
      </c>
      <c r="J306" s="39">
        <f>IF([8]道具信息!J306="","",[8]道具信息!J306)</f>
        <v>20</v>
      </c>
      <c r="K306" s="39">
        <f>IF([8]道具信息!K306="","",[8]道具信息!K306)</f>
        <v>10</v>
      </c>
      <c r="L306" s="39" t="str">
        <f>IF([8]道具信息!L306="","",[8]道具信息!L306)</f>
        <v>使用后士兵训练加速20分钟</v>
      </c>
      <c r="M306" s="39" t="str">
        <f>IF([8]道具信息!M306="","",[8]道具信息!M306)</f>
        <v/>
      </c>
      <c r="N306" s="39" t="str">
        <f>IF([8]道具信息!N306="","",[8]道具信息!N306)</f>
        <v/>
      </c>
      <c r="O306" s="39" t="str">
        <f>IF([8]道具信息!O306="","",[8]道具信息!O306)</f>
        <v/>
      </c>
      <c r="P306" s="39" t="str">
        <f>IF([8]道具信息!P306="","",[8]道具信息!P306)</f>
        <v/>
      </c>
      <c r="Q306" s="39" t="str">
        <f>IF([8]道具信息!Q306="","",[8]道具信息!Q306)</f>
        <v/>
      </c>
      <c r="R306" s="39" t="str">
        <f>IF([8]道具信息!R306="","",[8]道具信息!R306)</f>
        <v/>
      </c>
      <c r="S306" s="39" t="str">
        <f>IF([8]道具信息!S306="","",[8]道具信息!S306)</f>
        <v/>
      </c>
      <c r="T306" s="39" t="str">
        <f>IF([8]道具信息!T306="","",[8]道具信息!T306)</f>
        <v/>
      </c>
      <c r="U306" s="39" t="str">
        <f>IF([8]道具信息!U306="","",[8]道具信息!U306)</f>
        <v/>
      </c>
      <c r="V306" s="39" t="str">
        <f>IF([8]道具信息!V306="","",[8]道具信息!V306)</f>
        <v/>
      </c>
      <c r="W306" s="39" t="str">
        <f>IF([8]道具信息!W306="","",[8]道具信息!W306)</f>
        <v/>
      </c>
      <c r="X306" s="39" t="str">
        <f>IF([8]道具信息!X306="","",[8]道具信息!X306)</f>
        <v/>
      </c>
      <c r="Y306" s="39" t="str">
        <f>IF([8]道具信息!Y306="","",[8]道具信息!Y306)</f>
        <v/>
      </c>
      <c r="Z306" s="39" t="str">
        <f>IF([8]道具信息!Z306="","",[8]道具信息!Z306)</f>
        <v/>
      </c>
    </row>
    <row r="307" spans="1:26" x14ac:dyDescent="0.15">
      <c r="A307" s="39" t="str">
        <f>IF([8]道具信息!A307="","",[8]道具信息!A307)</f>
        <v/>
      </c>
      <c r="B307" s="39" t="str">
        <f>IF([8]道具信息!B307="","",[8]道具信息!B307)</f>
        <v/>
      </c>
      <c r="C307" s="39">
        <f>IF([8]道具信息!C307="","",[8]道具信息!C307)</f>
        <v>21143</v>
      </c>
      <c r="D307" s="39" t="str">
        <f>IF([8]道具信息!D307="","",[8]道具信息!D307)</f>
        <v>圣人1小时加速令</v>
      </c>
      <c r="E307" s="39">
        <f>IF([8]道具信息!E307="","",[8]道具信息!E307)</f>
        <v>50</v>
      </c>
      <c r="F307" s="39">
        <f>IF([8]道具信息!F307="","",[8]道具信息!F307)</f>
        <v>1.2</v>
      </c>
      <c r="G307" s="39">
        <f>IF([8]道具信息!G307="","",[8]道具信息!G307)</f>
        <v>1</v>
      </c>
      <c r="H307" s="39">
        <f>IF([8]道具信息!H307="","",[8]道具信息!H307)</f>
        <v>0.6</v>
      </c>
      <c r="I307" s="39">
        <f>IF([8]道具信息!I307="","",[8]道具信息!I307)</f>
        <v>60</v>
      </c>
      <c r="J307" s="39">
        <f>IF([8]道具信息!J307="","",[8]道具信息!J307)</f>
        <v>50</v>
      </c>
      <c r="K307" s="39">
        <f>IF([8]道具信息!K307="","",[8]道具信息!K307)</f>
        <v>30</v>
      </c>
      <c r="L307" s="39" t="str">
        <f>IF([8]道具信息!L307="","",[8]道具信息!L307)</f>
        <v>使用后士兵训练加速1小时</v>
      </c>
      <c r="M307" s="39" t="str">
        <f>IF([8]道具信息!M307="","",[8]道具信息!M307)</f>
        <v/>
      </c>
      <c r="N307" s="39" t="str">
        <f>IF([8]道具信息!N307="","",[8]道具信息!N307)</f>
        <v/>
      </c>
      <c r="O307" s="39" t="str">
        <f>IF([8]道具信息!O307="","",[8]道具信息!O307)</f>
        <v/>
      </c>
      <c r="P307" s="39" t="str">
        <f>IF([8]道具信息!P307="","",[8]道具信息!P307)</f>
        <v/>
      </c>
      <c r="Q307" s="39" t="str">
        <f>IF([8]道具信息!Q307="","",[8]道具信息!Q307)</f>
        <v/>
      </c>
      <c r="R307" s="39" t="str">
        <f>IF([8]道具信息!R307="","",[8]道具信息!R307)</f>
        <v/>
      </c>
      <c r="S307" s="39" t="str">
        <f>IF([8]道具信息!S307="","",[8]道具信息!S307)</f>
        <v/>
      </c>
      <c r="T307" s="39" t="str">
        <f>IF([8]道具信息!T307="","",[8]道具信息!T307)</f>
        <v/>
      </c>
      <c r="U307" s="39" t="str">
        <f>IF([8]道具信息!U307="","",[8]道具信息!U307)</f>
        <v/>
      </c>
      <c r="V307" s="39" t="str">
        <f>IF([8]道具信息!V307="","",[8]道具信息!V307)</f>
        <v/>
      </c>
      <c r="W307" s="39" t="str">
        <f>IF([8]道具信息!W307="","",[8]道具信息!W307)</f>
        <v/>
      </c>
      <c r="X307" s="39" t="str">
        <f>IF([8]道具信息!X307="","",[8]道具信息!X307)</f>
        <v/>
      </c>
      <c r="Y307" s="39" t="str">
        <f>IF([8]道具信息!Y307="","",[8]道具信息!Y307)</f>
        <v/>
      </c>
      <c r="Z307" s="39" t="str">
        <f>IF([8]道具信息!Z307="","",[8]道具信息!Z307)</f>
        <v/>
      </c>
    </row>
    <row r="308" spans="1:26" x14ac:dyDescent="0.15">
      <c r="A308" s="39" t="str">
        <f>IF([8]道具信息!A308="","",[8]道具信息!A308)</f>
        <v/>
      </c>
      <c r="B308" s="39" t="str">
        <f>IF([8]道具信息!B308="","",[8]道具信息!B308)</f>
        <v/>
      </c>
      <c r="C308" s="39">
        <f>IF([8]道具信息!C308="","",[8]道具信息!C308)</f>
        <v>21144</v>
      </c>
      <c r="D308" s="39" t="str">
        <f>IF([8]道具信息!D308="","",[8]道具信息!D308)</f>
        <v>圣人3小时加速令</v>
      </c>
      <c r="E308" s="39">
        <f>IF([8]道具信息!E308="","",[8]道具信息!E308)</f>
        <v>100</v>
      </c>
      <c r="F308" s="39">
        <f>IF([8]道具信息!F308="","",[8]道具信息!F308)</f>
        <v>1.8</v>
      </c>
      <c r="G308" s="39">
        <f>IF([8]道具信息!G308="","",[8]道具信息!G308)</f>
        <v>1</v>
      </c>
      <c r="H308" s="39">
        <f>IF([8]道具信息!H308="","",[8]道具信息!H308)</f>
        <v>0.8</v>
      </c>
      <c r="I308" s="39">
        <f>IF([8]道具信息!I308="","",[8]道具信息!I308)</f>
        <v>180</v>
      </c>
      <c r="J308" s="39">
        <f>IF([8]道具信息!J308="","",[8]道具信息!J308)</f>
        <v>100</v>
      </c>
      <c r="K308" s="39">
        <f>IF([8]道具信息!K308="","",[8]道具信息!K308)</f>
        <v>80</v>
      </c>
      <c r="L308" s="39" t="str">
        <f>IF([8]道具信息!L308="","",[8]道具信息!L308)</f>
        <v>使用后士兵训练加速3小时</v>
      </c>
      <c r="M308" s="39" t="str">
        <f>IF([8]道具信息!M308="","",[8]道具信息!M308)</f>
        <v/>
      </c>
      <c r="N308" s="39" t="str">
        <f>IF([8]道具信息!N308="","",[8]道具信息!N308)</f>
        <v/>
      </c>
      <c r="O308" s="39" t="str">
        <f>IF([8]道具信息!O308="","",[8]道具信息!O308)</f>
        <v/>
      </c>
      <c r="P308" s="39" t="str">
        <f>IF([8]道具信息!P308="","",[8]道具信息!P308)</f>
        <v/>
      </c>
      <c r="Q308" s="39" t="str">
        <f>IF([8]道具信息!Q308="","",[8]道具信息!Q308)</f>
        <v/>
      </c>
      <c r="R308" s="39" t="str">
        <f>IF([8]道具信息!R308="","",[8]道具信息!R308)</f>
        <v/>
      </c>
      <c r="S308" s="39" t="str">
        <f>IF([8]道具信息!S308="","",[8]道具信息!S308)</f>
        <v/>
      </c>
      <c r="T308" s="39" t="str">
        <f>IF([8]道具信息!T308="","",[8]道具信息!T308)</f>
        <v/>
      </c>
      <c r="U308" s="39" t="str">
        <f>IF([8]道具信息!U308="","",[8]道具信息!U308)</f>
        <v/>
      </c>
      <c r="V308" s="39" t="str">
        <f>IF([8]道具信息!V308="","",[8]道具信息!V308)</f>
        <v/>
      </c>
      <c r="W308" s="39" t="str">
        <f>IF([8]道具信息!W308="","",[8]道具信息!W308)</f>
        <v/>
      </c>
      <c r="X308" s="39" t="str">
        <f>IF([8]道具信息!X308="","",[8]道具信息!X308)</f>
        <v/>
      </c>
      <c r="Y308" s="39" t="str">
        <f>IF([8]道具信息!Y308="","",[8]道具信息!Y308)</f>
        <v/>
      </c>
      <c r="Z308" s="39" t="str">
        <f>IF([8]道具信息!Z308="","",[8]道具信息!Z308)</f>
        <v/>
      </c>
    </row>
    <row r="309" spans="1:26" x14ac:dyDescent="0.15">
      <c r="A309" s="39" t="str">
        <f>IF([8]道具信息!A309="","",[8]道具信息!A309)</f>
        <v/>
      </c>
      <c r="B309" s="39" t="str">
        <f>IF([8]道具信息!B309="","",[8]道具信息!B309)</f>
        <v/>
      </c>
      <c r="C309" s="39">
        <f>IF([8]道具信息!C309="","",[8]道具信息!C309)</f>
        <v>21145</v>
      </c>
      <c r="D309" s="39" t="str">
        <f>IF([8]道具信息!D309="","",[8]道具信息!D309)</f>
        <v>圣人8小时加速令</v>
      </c>
      <c r="E309" s="39">
        <f>IF([8]道具信息!E309="","",[8]道具信息!E309)</f>
        <v>160</v>
      </c>
      <c r="F309" s="39">
        <f>IF([8]道具信息!F309="","",[8]道具信息!F309)</f>
        <v>3</v>
      </c>
      <c r="G309" s="39">
        <f>IF([8]道具信息!G309="","",[8]道具信息!G309)</f>
        <v>1</v>
      </c>
      <c r="H309" s="39">
        <f>IF([8]道具信息!H309="","",[8]道具信息!H309)</f>
        <v>1</v>
      </c>
      <c r="I309" s="39">
        <f>IF([8]道具信息!I309="","",[8]道具信息!I309)</f>
        <v>480</v>
      </c>
      <c r="J309" s="39">
        <f>IF([8]道具信息!J309="","",[8]道具信息!J309)</f>
        <v>160</v>
      </c>
      <c r="K309" s="39">
        <f>IF([8]道具信息!K309="","",[8]道具信息!K309)</f>
        <v>160</v>
      </c>
      <c r="L309" s="39" t="str">
        <f>IF([8]道具信息!L309="","",[8]道具信息!L309)</f>
        <v>使用后士兵训练加速8小时</v>
      </c>
      <c r="M309" s="39" t="str">
        <f>IF([8]道具信息!M309="","",[8]道具信息!M309)</f>
        <v/>
      </c>
      <c r="N309" s="39" t="str">
        <f>IF([8]道具信息!N309="","",[8]道具信息!N309)</f>
        <v/>
      </c>
      <c r="O309" s="39" t="str">
        <f>IF([8]道具信息!O309="","",[8]道具信息!O309)</f>
        <v/>
      </c>
      <c r="P309" s="39" t="str">
        <f>IF([8]道具信息!P309="","",[8]道具信息!P309)</f>
        <v/>
      </c>
      <c r="Q309" s="39" t="str">
        <f>IF([8]道具信息!Q309="","",[8]道具信息!Q309)</f>
        <v/>
      </c>
      <c r="R309" s="39" t="str">
        <f>IF([8]道具信息!R309="","",[8]道具信息!R309)</f>
        <v/>
      </c>
      <c r="S309" s="39" t="str">
        <f>IF([8]道具信息!S309="","",[8]道具信息!S309)</f>
        <v/>
      </c>
      <c r="T309" s="39" t="str">
        <f>IF([8]道具信息!T309="","",[8]道具信息!T309)</f>
        <v/>
      </c>
      <c r="U309" s="39" t="str">
        <f>IF([8]道具信息!U309="","",[8]道具信息!U309)</f>
        <v/>
      </c>
      <c r="V309" s="39" t="str">
        <f>IF([8]道具信息!V309="","",[8]道具信息!V309)</f>
        <v/>
      </c>
      <c r="W309" s="39" t="str">
        <f>IF([8]道具信息!W309="","",[8]道具信息!W309)</f>
        <v/>
      </c>
      <c r="X309" s="39" t="str">
        <f>IF([8]道具信息!X309="","",[8]道具信息!X309)</f>
        <v/>
      </c>
      <c r="Y309" s="39" t="str">
        <f>IF([8]道具信息!Y309="","",[8]道具信息!Y309)</f>
        <v/>
      </c>
      <c r="Z309" s="39" t="str">
        <f>IF([8]道具信息!Z309="","",[8]道具信息!Z309)</f>
        <v/>
      </c>
    </row>
    <row r="310" spans="1:26" x14ac:dyDescent="0.15">
      <c r="A310" s="39" t="str">
        <f>IF([8]道具信息!A310="","",[8]道具信息!A310)</f>
        <v/>
      </c>
      <c r="B310" s="39" t="str">
        <f>IF([8]道具信息!B310="","",[8]道具信息!B310)</f>
        <v/>
      </c>
      <c r="C310" s="39" t="str">
        <f>IF([8]道具信息!C310="","",[8]道具信息!C310)</f>
        <v/>
      </c>
      <c r="D310" s="39" t="str">
        <f>IF([8]道具信息!D310="","",[8]道具信息!D310)</f>
        <v/>
      </c>
      <c r="E310" s="39" t="str">
        <f>IF([8]道具信息!E310="","",[8]道具信息!E310)</f>
        <v/>
      </c>
      <c r="F310" s="39" t="str">
        <f>IF([8]道具信息!F310="","",[8]道具信息!F310)</f>
        <v/>
      </c>
      <c r="G310" s="39" t="str">
        <f>IF([8]道具信息!G310="","",[8]道具信息!G310)</f>
        <v/>
      </c>
      <c r="H310" s="39" t="str">
        <f>IF([8]道具信息!H310="","",[8]道具信息!H310)</f>
        <v/>
      </c>
      <c r="I310" s="39" t="str">
        <f>IF([8]道具信息!I310="","",[8]道具信息!I310)</f>
        <v/>
      </c>
      <c r="J310" s="39" t="str">
        <f>IF([8]道具信息!J310="","",[8]道具信息!J310)</f>
        <v/>
      </c>
      <c r="K310" s="39" t="str">
        <f>IF([8]道具信息!K310="","",[8]道具信息!K310)</f>
        <v/>
      </c>
      <c r="L310" s="39" t="str">
        <f>IF([8]道具信息!L310="","",[8]道具信息!L310)</f>
        <v/>
      </c>
      <c r="M310" s="39" t="str">
        <f>IF([8]道具信息!M310="","",[8]道具信息!M310)</f>
        <v/>
      </c>
      <c r="N310" s="39" t="str">
        <f>IF([8]道具信息!N310="","",[8]道具信息!N310)</f>
        <v/>
      </c>
      <c r="O310" s="39" t="str">
        <f>IF([8]道具信息!O310="","",[8]道具信息!O310)</f>
        <v/>
      </c>
      <c r="P310" s="39" t="str">
        <f>IF([8]道具信息!P310="","",[8]道具信息!P310)</f>
        <v/>
      </c>
      <c r="Q310" s="39" t="str">
        <f>IF([8]道具信息!Q310="","",[8]道具信息!Q310)</f>
        <v/>
      </c>
      <c r="R310" s="39" t="str">
        <f>IF([8]道具信息!R310="","",[8]道具信息!R310)</f>
        <v/>
      </c>
      <c r="S310" s="39" t="str">
        <f>IF([8]道具信息!S310="","",[8]道具信息!S310)</f>
        <v/>
      </c>
      <c r="T310" s="39" t="str">
        <f>IF([8]道具信息!T310="","",[8]道具信息!T310)</f>
        <v/>
      </c>
      <c r="U310" s="39" t="str">
        <f>IF([8]道具信息!U310="","",[8]道具信息!U310)</f>
        <v/>
      </c>
      <c r="V310" s="39" t="str">
        <f>IF([8]道具信息!V310="","",[8]道具信息!V310)</f>
        <v/>
      </c>
      <c r="W310" s="39" t="str">
        <f>IF([8]道具信息!W310="","",[8]道具信息!W310)</f>
        <v/>
      </c>
      <c r="X310" s="39" t="str">
        <f>IF([8]道具信息!X310="","",[8]道具信息!X310)</f>
        <v/>
      </c>
      <c r="Y310" s="39" t="str">
        <f>IF([8]道具信息!Y310="","",[8]道具信息!Y310)</f>
        <v/>
      </c>
      <c r="Z310" s="39" t="str">
        <f>IF([8]道具信息!Z310="","",[8]道具信息!Z310)</f>
        <v/>
      </c>
    </row>
    <row r="311" spans="1:26" x14ac:dyDescent="0.15">
      <c r="A311" s="39" t="str">
        <f>IF([8]道具信息!A311="","",[8]道具信息!A311)</f>
        <v/>
      </c>
      <c r="B311" s="39" t="str">
        <f>IF([8]道具信息!B311="","",[8]道具信息!B311)</f>
        <v/>
      </c>
      <c r="C311" s="39">
        <f>IF([8]道具信息!C311="","",[8]道具信息!C311)</f>
        <v>21125</v>
      </c>
      <c r="D311" s="39" t="str">
        <f>IF([8]道具信息!D311="","",[8]道具信息!D311)</f>
        <v>通用1分钟加速令</v>
      </c>
      <c r="E311" s="39">
        <f>IF([8]道具信息!E311="","",[8]道具信息!E311)</f>
        <v>2</v>
      </c>
      <c r="F311" s="39">
        <f>IF([8]道具信息!F311="","",[8]道具信息!F311)</f>
        <v>1</v>
      </c>
      <c r="G311" s="39">
        <f>IF([8]道具信息!G311="","",[8]道具信息!G311)</f>
        <v>1</v>
      </c>
      <c r="H311" s="39">
        <f>IF([8]道具信息!H311="","",[8]道具信息!H311)</f>
        <v>0.3</v>
      </c>
      <c r="I311" s="39">
        <f>IF([8]道具信息!I311="","",[8]道具信息!I311)</f>
        <v>2</v>
      </c>
      <c r="J311" s="39">
        <f>IF([8]道具信息!J311="","",[8]道具信息!J311)</f>
        <v>2</v>
      </c>
      <c r="K311" s="39">
        <f>IF([8]道具信息!K311="","",[8]道具信息!K311)</f>
        <v>0.6</v>
      </c>
      <c r="L311" s="39" t="str">
        <f>IF([8]道具信息!L311="","",[8]道具信息!L311)</f>
        <v>使用后任意队列加速1分钟</v>
      </c>
      <c r="M311" s="39" t="str">
        <f>IF([8]道具信息!M311="","",[8]道具信息!M311)</f>
        <v/>
      </c>
      <c r="N311" s="39" t="str">
        <f>IF([8]道具信息!N311="","",[8]道具信息!N311)</f>
        <v/>
      </c>
      <c r="O311" s="39" t="str">
        <f>IF([8]道具信息!O311="","",[8]道具信息!O311)</f>
        <v/>
      </c>
      <c r="P311" s="39" t="str">
        <f>IF([8]道具信息!P311="","",[8]道具信息!P311)</f>
        <v/>
      </c>
      <c r="Q311" s="39" t="str">
        <f>IF([8]道具信息!Q311="","",[8]道具信息!Q311)</f>
        <v/>
      </c>
      <c r="R311" s="39" t="str">
        <f>IF([8]道具信息!R311="","",[8]道具信息!R311)</f>
        <v/>
      </c>
      <c r="S311" s="39" t="str">
        <f>IF([8]道具信息!S311="","",[8]道具信息!S311)</f>
        <v/>
      </c>
      <c r="T311" s="39" t="str">
        <f>IF([8]道具信息!T311="","",[8]道具信息!T311)</f>
        <v/>
      </c>
      <c r="U311" s="39" t="str">
        <f>IF([8]道具信息!U311="","",[8]道具信息!U311)</f>
        <v/>
      </c>
      <c r="V311" s="39" t="str">
        <f>IF([8]道具信息!V311="","",[8]道具信息!V311)</f>
        <v/>
      </c>
      <c r="W311" s="39" t="str">
        <f>IF([8]道具信息!W311="","",[8]道具信息!W311)</f>
        <v/>
      </c>
      <c r="X311" s="39" t="str">
        <f>IF([8]道具信息!X311="","",[8]道具信息!X311)</f>
        <v/>
      </c>
      <c r="Y311" s="39" t="str">
        <f>IF([8]道具信息!Y311="","",[8]道具信息!Y311)</f>
        <v/>
      </c>
      <c r="Z311" s="39" t="str">
        <f>IF([8]道具信息!Z311="","",[8]道具信息!Z311)</f>
        <v/>
      </c>
    </row>
    <row r="312" spans="1:26" x14ac:dyDescent="0.15">
      <c r="A312" s="39" t="str">
        <f>IF([8]道具信息!A312="","",[8]道具信息!A312)</f>
        <v/>
      </c>
      <c r="B312" s="39" t="str">
        <f>IF([8]道具信息!B312="","",[8]道具信息!B312)</f>
        <v/>
      </c>
      <c r="C312" s="39">
        <f>IF([8]道具信息!C312="","",[8]道具信息!C312)</f>
        <v>21126</v>
      </c>
      <c r="D312" s="39" t="str">
        <f>IF([8]道具信息!D312="","",[8]道具信息!D312)</f>
        <v>通用5分钟加速令</v>
      </c>
      <c r="E312" s="39">
        <f>IF([8]道具信息!E312="","",[8]道具信息!E312)</f>
        <v>8</v>
      </c>
      <c r="F312" s="39">
        <f>IF([8]道具信息!F312="","",[8]道具信息!F312)</f>
        <v>1</v>
      </c>
      <c r="G312" s="39">
        <f>IF([8]道具信息!G312="","",[8]道具信息!G312)</f>
        <v>1</v>
      </c>
      <c r="H312" s="39">
        <f>IF([8]道具信息!H312="","",[8]道具信息!H312)</f>
        <v>0.4</v>
      </c>
      <c r="I312" s="39">
        <f>IF([8]道具信息!I312="","",[8]道具信息!I312)</f>
        <v>8</v>
      </c>
      <c r="J312" s="39">
        <f>IF([8]道具信息!J312="","",[8]道具信息!J312)</f>
        <v>8</v>
      </c>
      <c r="K312" s="39">
        <f>IF([8]道具信息!K312="","",[8]道具信息!K312)</f>
        <v>3.2</v>
      </c>
      <c r="L312" s="39" t="str">
        <f>IF([8]道具信息!L312="","",[8]道具信息!L312)</f>
        <v>使用后任意队列加速5分钟</v>
      </c>
      <c r="M312" s="39" t="str">
        <f>IF([8]道具信息!M312="","",[8]道具信息!M312)</f>
        <v/>
      </c>
      <c r="N312" s="39" t="str">
        <f>IF([8]道具信息!N312="","",[8]道具信息!N312)</f>
        <v/>
      </c>
      <c r="O312" s="39" t="str">
        <f>IF([8]道具信息!O312="","",[8]道具信息!O312)</f>
        <v/>
      </c>
      <c r="P312" s="39" t="str">
        <f>IF([8]道具信息!P312="","",[8]道具信息!P312)</f>
        <v/>
      </c>
      <c r="Q312" s="39" t="str">
        <f>IF([8]道具信息!Q312="","",[8]道具信息!Q312)</f>
        <v/>
      </c>
      <c r="R312" s="39" t="str">
        <f>IF([8]道具信息!R312="","",[8]道具信息!R312)</f>
        <v/>
      </c>
      <c r="S312" s="39" t="str">
        <f>IF([8]道具信息!S312="","",[8]道具信息!S312)</f>
        <v/>
      </c>
      <c r="T312" s="39" t="str">
        <f>IF([8]道具信息!T312="","",[8]道具信息!T312)</f>
        <v/>
      </c>
      <c r="U312" s="39" t="str">
        <f>IF([8]道具信息!U312="","",[8]道具信息!U312)</f>
        <v/>
      </c>
      <c r="V312" s="39" t="str">
        <f>IF([8]道具信息!V312="","",[8]道具信息!V312)</f>
        <v/>
      </c>
      <c r="W312" s="39" t="str">
        <f>IF([8]道具信息!W312="","",[8]道具信息!W312)</f>
        <v/>
      </c>
      <c r="X312" s="39" t="str">
        <f>IF([8]道具信息!X312="","",[8]道具信息!X312)</f>
        <v/>
      </c>
      <c r="Y312" s="39" t="str">
        <f>IF([8]道具信息!Y312="","",[8]道具信息!Y312)</f>
        <v/>
      </c>
      <c r="Z312" s="39" t="str">
        <f>IF([8]道具信息!Z312="","",[8]道具信息!Z312)</f>
        <v/>
      </c>
    </row>
    <row r="313" spans="1:26" x14ac:dyDescent="0.15">
      <c r="A313" s="39" t="str">
        <f>IF([8]道具信息!A313="","",[8]道具信息!A313)</f>
        <v/>
      </c>
      <c r="B313" s="39" t="str">
        <f>IF([8]道具信息!B313="","",[8]道具信息!B313)</f>
        <v/>
      </c>
      <c r="C313" s="39">
        <f>IF([8]道具信息!C313="","",[8]道具信息!C313)</f>
        <v>21127</v>
      </c>
      <c r="D313" s="39" t="str">
        <f>IF([8]道具信息!D313="","",[8]道具信息!D313)</f>
        <v>通用20分钟加速令</v>
      </c>
      <c r="E313" s="39">
        <f>IF([8]道具信息!E313="","",[8]道具信息!E313)</f>
        <v>20</v>
      </c>
      <c r="F313" s="39">
        <f>IF([8]道具信息!F313="","",[8]道具信息!F313)</f>
        <v>1</v>
      </c>
      <c r="G313" s="39">
        <f>IF([8]道具信息!G313="","",[8]道具信息!G313)</f>
        <v>1</v>
      </c>
      <c r="H313" s="39">
        <f>IF([8]道具信息!H313="","",[8]道具信息!H313)</f>
        <v>0.5</v>
      </c>
      <c r="I313" s="39">
        <f>IF([8]道具信息!I313="","",[8]道具信息!I313)</f>
        <v>20</v>
      </c>
      <c r="J313" s="39">
        <f>IF([8]道具信息!J313="","",[8]道具信息!J313)</f>
        <v>20</v>
      </c>
      <c r="K313" s="39">
        <f>IF([8]道具信息!K313="","",[8]道具信息!K313)</f>
        <v>10</v>
      </c>
      <c r="L313" s="39" t="str">
        <f>IF([8]道具信息!L313="","",[8]道具信息!L313)</f>
        <v>使用后任意队列加速20分钟</v>
      </c>
      <c r="M313" s="39" t="str">
        <f>IF([8]道具信息!M313="","",[8]道具信息!M313)</f>
        <v/>
      </c>
      <c r="N313" s="39" t="str">
        <f>IF([8]道具信息!N313="","",[8]道具信息!N313)</f>
        <v/>
      </c>
      <c r="O313" s="39" t="str">
        <f>IF([8]道具信息!O313="","",[8]道具信息!O313)</f>
        <v/>
      </c>
      <c r="P313" s="39" t="str">
        <f>IF([8]道具信息!P313="","",[8]道具信息!P313)</f>
        <v/>
      </c>
      <c r="Q313" s="39" t="str">
        <f>IF([8]道具信息!Q313="","",[8]道具信息!Q313)</f>
        <v/>
      </c>
      <c r="R313" s="39" t="str">
        <f>IF([8]道具信息!R313="","",[8]道具信息!R313)</f>
        <v/>
      </c>
      <c r="S313" s="39" t="str">
        <f>IF([8]道具信息!S313="","",[8]道具信息!S313)</f>
        <v/>
      </c>
      <c r="T313" s="39" t="str">
        <f>IF([8]道具信息!T313="","",[8]道具信息!T313)</f>
        <v/>
      </c>
      <c r="U313" s="39" t="str">
        <f>IF([8]道具信息!U313="","",[8]道具信息!U313)</f>
        <v/>
      </c>
      <c r="V313" s="39" t="str">
        <f>IF([8]道具信息!V313="","",[8]道具信息!V313)</f>
        <v/>
      </c>
      <c r="W313" s="39" t="str">
        <f>IF([8]道具信息!W313="","",[8]道具信息!W313)</f>
        <v/>
      </c>
      <c r="X313" s="39" t="str">
        <f>IF([8]道具信息!X313="","",[8]道具信息!X313)</f>
        <v/>
      </c>
      <c r="Y313" s="39" t="str">
        <f>IF([8]道具信息!Y313="","",[8]道具信息!Y313)</f>
        <v/>
      </c>
      <c r="Z313" s="39" t="str">
        <f>IF([8]道具信息!Z313="","",[8]道具信息!Z313)</f>
        <v/>
      </c>
    </row>
    <row r="314" spans="1:26" x14ac:dyDescent="0.15">
      <c r="A314" s="39" t="str">
        <f>IF([8]道具信息!A314="","",[8]道具信息!A314)</f>
        <v/>
      </c>
      <c r="B314" s="39" t="str">
        <f>IF([8]道具信息!B314="","",[8]道具信息!B314)</f>
        <v/>
      </c>
      <c r="C314" s="39">
        <f>IF([8]道具信息!C314="","",[8]道具信息!C314)</f>
        <v>21128</v>
      </c>
      <c r="D314" s="39" t="str">
        <f>IF([8]道具信息!D314="","",[8]道具信息!D314)</f>
        <v>通用1小时加速令</v>
      </c>
      <c r="E314" s="39">
        <f>IF([8]道具信息!E314="","",[8]道具信息!E314)</f>
        <v>50</v>
      </c>
      <c r="F314" s="39">
        <f>IF([8]道具信息!F314="","",[8]道具信息!F314)</f>
        <v>1.2</v>
      </c>
      <c r="G314" s="39">
        <f>IF([8]道具信息!G314="","",[8]道具信息!G314)</f>
        <v>1</v>
      </c>
      <c r="H314" s="39">
        <f>IF([8]道具信息!H314="","",[8]道具信息!H314)</f>
        <v>0.6</v>
      </c>
      <c r="I314" s="39">
        <f>IF([8]道具信息!I314="","",[8]道具信息!I314)</f>
        <v>60</v>
      </c>
      <c r="J314" s="39">
        <f>IF([8]道具信息!J314="","",[8]道具信息!J314)</f>
        <v>50</v>
      </c>
      <c r="K314" s="39">
        <f>IF([8]道具信息!K314="","",[8]道具信息!K314)</f>
        <v>30</v>
      </c>
      <c r="L314" s="39" t="str">
        <f>IF([8]道具信息!L314="","",[8]道具信息!L314)</f>
        <v>使用后任意队列加速1小时</v>
      </c>
      <c r="M314" s="39" t="str">
        <f>IF([8]道具信息!M314="","",[8]道具信息!M314)</f>
        <v/>
      </c>
      <c r="N314" s="39" t="str">
        <f>IF([8]道具信息!N314="","",[8]道具信息!N314)</f>
        <v/>
      </c>
      <c r="O314" s="39" t="str">
        <f>IF([8]道具信息!O314="","",[8]道具信息!O314)</f>
        <v/>
      </c>
      <c r="P314" s="39" t="str">
        <f>IF([8]道具信息!P314="","",[8]道具信息!P314)</f>
        <v/>
      </c>
      <c r="Q314" s="39" t="str">
        <f>IF([8]道具信息!Q314="","",[8]道具信息!Q314)</f>
        <v/>
      </c>
      <c r="R314" s="39" t="str">
        <f>IF([8]道具信息!R314="","",[8]道具信息!R314)</f>
        <v/>
      </c>
      <c r="S314" s="39" t="str">
        <f>IF([8]道具信息!S314="","",[8]道具信息!S314)</f>
        <v/>
      </c>
      <c r="T314" s="39" t="str">
        <f>IF([8]道具信息!T314="","",[8]道具信息!T314)</f>
        <v/>
      </c>
      <c r="U314" s="39" t="str">
        <f>IF([8]道具信息!U314="","",[8]道具信息!U314)</f>
        <v/>
      </c>
      <c r="V314" s="39" t="str">
        <f>IF([8]道具信息!V314="","",[8]道具信息!V314)</f>
        <v/>
      </c>
      <c r="W314" s="39" t="str">
        <f>IF([8]道具信息!W314="","",[8]道具信息!W314)</f>
        <v/>
      </c>
      <c r="X314" s="39" t="str">
        <f>IF([8]道具信息!X314="","",[8]道具信息!X314)</f>
        <v/>
      </c>
      <c r="Y314" s="39" t="str">
        <f>IF([8]道具信息!Y314="","",[8]道具信息!Y314)</f>
        <v/>
      </c>
      <c r="Z314" s="39" t="str">
        <f>IF([8]道具信息!Z314="","",[8]道具信息!Z314)</f>
        <v/>
      </c>
    </row>
    <row r="315" spans="1:26" x14ac:dyDescent="0.15">
      <c r="A315" s="39" t="str">
        <f>IF([8]道具信息!A315="","",[8]道具信息!A315)</f>
        <v/>
      </c>
      <c r="B315" s="39" t="str">
        <f>IF([8]道具信息!B315="","",[8]道具信息!B315)</f>
        <v/>
      </c>
      <c r="C315" s="39">
        <f>IF([8]道具信息!C315="","",[8]道具信息!C315)</f>
        <v>21129</v>
      </c>
      <c r="D315" s="39" t="str">
        <f>IF([8]道具信息!D315="","",[8]道具信息!D315)</f>
        <v>通用3小时加速令</v>
      </c>
      <c r="E315" s="39">
        <f>IF([8]道具信息!E315="","",[8]道具信息!E315)</f>
        <v>100</v>
      </c>
      <c r="F315" s="39">
        <f>IF([8]道具信息!F315="","",[8]道具信息!F315)</f>
        <v>1.8</v>
      </c>
      <c r="G315" s="39">
        <f>IF([8]道具信息!G315="","",[8]道具信息!G315)</f>
        <v>1</v>
      </c>
      <c r="H315" s="39">
        <f>IF([8]道具信息!H315="","",[8]道具信息!H315)</f>
        <v>0.8</v>
      </c>
      <c r="I315" s="39">
        <f>IF([8]道具信息!I315="","",[8]道具信息!I315)</f>
        <v>180</v>
      </c>
      <c r="J315" s="39">
        <f>IF([8]道具信息!J315="","",[8]道具信息!J315)</f>
        <v>100</v>
      </c>
      <c r="K315" s="39">
        <f>IF([8]道具信息!K315="","",[8]道具信息!K315)</f>
        <v>80</v>
      </c>
      <c r="L315" s="39" t="str">
        <f>IF([8]道具信息!L315="","",[8]道具信息!L315)</f>
        <v>使用后任意队列加速3小时</v>
      </c>
      <c r="M315" s="39" t="str">
        <f>IF([8]道具信息!M315="","",[8]道具信息!M315)</f>
        <v/>
      </c>
      <c r="N315" s="39" t="str">
        <f>IF([8]道具信息!N315="","",[8]道具信息!N315)</f>
        <v/>
      </c>
      <c r="O315" s="39" t="str">
        <f>IF([8]道具信息!O315="","",[8]道具信息!O315)</f>
        <v/>
      </c>
      <c r="P315" s="39" t="str">
        <f>IF([8]道具信息!P315="","",[8]道具信息!P315)</f>
        <v/>
      </c>
      <c r="Q315" s="39" t="str">
        <f>IF([8]道具信息!Q315="","",[8]道具信息!Q315)</f>
        <v/>
      </c>
      <c r="R315" s="39" t="str">
        <f>IF([8]道具信息!R315="","",[8]道具信息!R315)</f>
        <v/>
      </c>
      <c r="S315" s="39" t="str">
        <f>IF([8]道具信息!S315="","",[8]道具信息!S315)</f>
        <v/>
      </c>
      <c r="T315" s="39" t="str">
        <f>IF([8]道具信息!T315="","",[8]道具信息!T315)</f>
        <v/>
      </c>
      <c r="U315" s="39" t="str">
        <f>IF([8]道具信息!U315="","",[8]道具信息!U315)</f>
        <v/>
      </c>
      <c r="V315" s="39" t="str">
        <f>IF([8]道具信息!V315="","",[8]道具信息!V315)</f>
        <v/>
      </c>
      <c r="W315" s="39" t="str">
        <f>IF([8]道具信息!W315="","",[8]道具信息!W315)</f>
        <v/>
      </c>
      <c r="X315" s="39" t="str">
        <f>IF([8]道具信息!X315="","",[8]道具信息!X315)</f>
        <v/>
      </c>
      <c r="Y315" s="39" t="str">
        <f>IF([8]道具信息!Y315="","",[8]道具信息!Y315)</f>
        <v/>
      </c>
      <c r="Z315" s="39" t="str">
        <f>IF([8]道具信息!Z315="","",[8]道具信息!Z315)</f>
        <v/>
      </c>
    </row>
    <row r="316" spans="1:26" x14ac:dyDescent="0.15">
      <c r="A316" s="39" t="str">
        <f>IF([8]道具信息!A316="","",[8]道具信息!A316)</f>
        <v/>
      </c>
      <c r="B316" s="39" t="str">
        <f>IF([8]道具信息!B316="","",[8]道具信息!B316)</f>
        <v/>
      </c>
      <c r="C316" s="39">
        <f>IF([8]道具信息!C316="","",[8]道具信息!C316)</f>
        <v>21138</v>
      </c>
      <c r="D316" s="39" t="str">
        <f>IF([8]道具信息!D316="","",[8]道具信息!D316)</f>
        <v>通用8小时加速令</v>
      </c>
      <c r="E316" s="39">
        <f>IF([8]道具信息!E316="","",[8]道具信息!E316)</f>
        <v>160</v>
      </c>
      <c r="F316" s="39">
        <f>IF([8]道具信息!F316="","",[8]道具信息!F316)</f>
        <v>3</v>
      </c>
      <c r="G316" s="39">
        <f>IF([8]道具信息!G316="","",[8]道具信息!G316)</f>
        <v>1</v>
      </c>
      <c r="H316" s="39">
        <f>IF([8]道具信息!H316="","",[8]道具信息!H316)</f>
        <v>1</v>
      </c>
      <c r="I316" s="39">
        <f>IF([8]道具信息!I316="","",[8]道具信息!I316)</f>
        <v>480</v>
      </c>
      <c r="J316" s="39">
        <f>IF([8]道具信息!J316="","",[8]道具信息!J316)</f>
        <v>160</v>
      </c>
      <c r="K316" s="39">
        <f>IF([8]道具信息!K316="","",[8]道具信息!K316)</f>
        <v>160</v>
      </c>
      <c r="L316" s="39" t="str">
        <f>IF([8]道具信息!L316="","",[8]道具信息!L316)</f>
        <v>使用后任意队列加速8小时</v>
      </c>
      <c r="M316" s="39" t="str">
        <f>IF([8]道具信息!M316="","",[8]道具信息!M316)</f>
        <v/>
      </c>
      <c r="N316" s="39" t="str">
        <f>IF([8]道具信息!N316="","",[8]道具信息!N316)</f>
        <v/>
      </c>
      <c r="O316" s="39" t="str">
        <f>IF([8]道具信息!O316="","",[8]道具信息!O316)</f>
        <v/>
      </c>
      <c r="P316" s="39" t="str">
        <f>IF([8]道具信息!P316="","",[8]道具信息!P316)</f>
        <v/>
      </c>
      <c r="Q316" s="39" t="str">
        <f>IF([8]道具信息!Q316="","",[8]道具信息!Q316)</f>
        <v/>
      </c>
      <c r="R316" s="39" t="str">
        <f>IF([8]道具信息!R316="","",[8]道具信息!R316)</f>
        <v/>
      </c>
      <c r="S316" s="39" t="str">
        <f>IF([8]道具信息!S316="","",[8]道具信息!S316)</f>
        <v/>
      </c>
      <c r="T316" s="39" t="str">
        <f>IF([8]道具信息!T316="","",[8]道具信息!T316)</f>
        <v/>
      </c>
      <c r="U316" s="39" t="str">
        <f>IF([8]道具信息!U316="","",[8]道具信息!U316)</f>
        <v/>
      </c>
      <c r="V316" s="39" t="str">
        <f>IF([8]道具信息!V316="","",[8]道具信息!V316)</f>
        <v/>
      </c>
      <c r="W316" s="39" t="str">
        <f>IF([8]道具信息!W316="","",[8]道具信息!W316)</f>
        <v/>
      </c>
      <c r="X316" s="39" t="str">
        <f>IF([8]道具信息!X316="","",[8]道具信息!X316)</f>
        <v/>
      </c>
      <c r="Y316" s="39" t="str">
        <f>IF([8]道具信息!Y316="","",[8]道具信息!Y316)</f>
        <v/>
      </c>
      <c r="Z316" s="39" t="str">
        <f>IF([8]道具信息!Z316="","",[8]道具信息!Z316)</f>
        <v/>
      </c>
    </row>
    <row r="317" spans="1:26" x14ac:dyDescent="0.15">
      <c r="A317" s="39" t="str">
        <f>IF([8]道具信息!A317="","",[8]道具信息!A317)</f>
        <v/>
      </c>
      <c r="B317" s="39" t="str">
        <f>IF([8]道具信息!B317="","",[8]道具信息!B317)</f>
        <v/>
      </c>
      <c r="C317" s="39" t="str">
        <f>IF([8]道具信息!C317="","",[8]道具信息!C317)</f>
        <v/>
      </c>
      <c r="D317" s="39" t="str">
        <f>IF([8]道具信息!D317="","",[8]道具信息!D317)</f>
        <v/>
      </c>
      <c r="E317" s="39" t="str">
        <f>IF([8]道具信息!E317="","",[8]道具信息!E317)</f>
        <v/>
      </c>
      <c r="F317" s="39" t="str">
        <f>IF([8]道具信息!F317="","",[8]道具信息!F317)</f>
        <v/>
      </c>
      <c r="G317" s="39" t="str">
        <f>IF([8]道具信息!G317="","",[8]道具信息!G317)</f>
        <v/>
      </c>
      <c r="H317" s="39" t="str">
        <f>IF([8]道具信息!H317="","",[8]道具信息!H317)</f>
        <v/>
      </c>
      <c r="I317" s="39" t="str">
        <f>IF([8]道具信息!I317="","",[8]道具信息!I317)</f>
        <v/>
      </c>
      <c r="J317" s="39" t="str">
        <f>IF([8]道具信息!J317="","",[8]道具信息!J317)</f>
        <v/>
      </c>
      <c r="K317" s="39" t="str">
        <f>IF([8]道具信息!K317="","",[8]道具信息!K317)</f>
        <v/>
      </c>
      <c r="L317" s="39" t="str">
        <f>IF([8]道具信息!L317="","",[8]道具信息!L317)</f>
        <v/>
      </c>
      <c r="M317" s="39" t="str">
        <f>IF([8]道具信息!M317="","",[8]道具信息!M317)</f>
        <v/>
      </c>
      <c r="N317" s="39" t="str">
        <f>IF([8]道具信息!N317="","",[8]道具信息!N317)</f>
        <v/>
      </c>
      <c r="O317" s="39" t="str">
        <f>IF([8]道具信息!O317="","",[8]道具信息!O317)</f>
        <v/>
      </c>
      <c r="P317" s="39" t="str">
        <f>IF([8]道具信息!P317="","",[8]道具信息!P317)</f>
        <v/>
      </c>
      <c r="Q317" s="39" t="str">
        <f>IF([8]道具信息!Q317="","",[8]道具信息!Q317)</f>
        <v/>
      </c>
      <c r="R317" s="39" t="str">
        <f>IF([8]道具信息!R317="","",[8]道具信息!R317)</f>
        <v/>
      </c>
      <c r="S317" s="39" t="str">
        <f>IF([8]道具信息!S317="","",[8]道具信息!S317)</f>
        <v/>
      </c>
      <c r="T317" s="39" t="str">
        <f>IF([8]道具信息!T317="","",[8]道具信息!T317)</f>
        <v/>
      </c>
      <c r="U317" s="39" t="str">
        <f>IF([8]道具信息!U317="","",[8]道具信息!U317)</f>
        <v/>
      </c>
      <c r="V317" s="39" t="str">
        <f>IF([8]道具信息!V317="","",[8]道具信息!V317)</f>
        <v/>
      </c>
      <c r="W317" s="39" t="str">
        <f>IF([8]道具信息!W317="","",[8]道具信息!W317)</f>
        <v/>
      </c>
      <c r="X317" s="39" t="str">
        <f>IF([8]道具信息!X317="","",[8]道具信息!X317)</f>
        <v/>
      </c>
      <c r="Y317" s="39" t="str">
        <f>IF([8]道具信息!Y317="","",[8]道具信息!Y317)</f>
        <v/>
      </c>
      <c r="Z317" s="39" t="str">
        <f>IF([8]道具信息!Z317="","",[8]道具信息!Z317)</f>
        <v/>
      </c>
    </row>
    <row r="318" spans="1:26" x14ac:dyDescent="0.15">
      <c r="A318" s="39" t="str">
        <f>IF([8]道具信息!A318="","",[8]道具信息!A318)</f>
        <v/>
      </c>
      <c r="B318" s="39" t="str">
        <f>IF([8]道具信息!B318="","",[8]道具信息!B318)</f>
        <v/>
      </c>
      <c r="C318" s="39" t="str">
        <f>IF([8]道具信息!C318="","",[8]道具信息!C318)</f>
        <v/>
      </c>
      <c r="D318" s="39" t="str">
        <f>IF([8]道具信息!D318="","",[8]道具信息!D318)</f>
        <v/>
      </c>
      <c r="E318" s="39" t="str">
        <f>IF([8]道具信息!E318="","",[8]道具信息!E318)</f>
        <v/>
      </c>
      <c r="F318" s="39" t="str">
        <f>IF([8]道具信息!F318="","",[8]道具信息!F318)</f>
        <v/>
      </c>
      <c r="G318" s="39" t="str">
        <f>IF([8]道具信息!G318="","",[8]道具信息!G318)</f>
        <v/>
      </c>
      <c r="H318" s="39" t="str">
        <f>IF([8]道具信息!H318="","",[8]道具信息!H318)</f>
        <v/>
      </c>
      <c r="I318" s="39" t="str">
        <f>IF([8]道具信息!I318="","",[8]道具信息!I318)</f>
        <v/>
      </c>
      <c r="J318" s="39" t="str">
        <f>IF([8]道具信息!J318="","",[8]道具信息!J318)</f>
        <v/>
      </c>
      <c r="K318" s="39" t="str">
        <f>IF([8]道具信息!K318="","",[8]道具信息!K318)</f>
        <v/>
      </c>
      <c r="L318" s="39" t="str">
        <f>IF([8]道具信息!L318="","",[8]道具信息!L318)</f>
        <v/>
      </c>
      <c r="M318" s="39" t="str">
        <f>IF([8]道具信息!M318="","",[8]道具信息!M318)</f>
        <v/>
      </c>
      <c r="N318" s="39" t="str">
        <f>IF([8]道具信息!N318="","",[8]道具信息!N318)</f>
        <v/>
      </c>
      <c r="O318" s="39" t="str">
        <f>IF([8]道具信息!O318="","",[8]道具信息!O318)</f>
        <v/>
      </c>
      <c r="P318" s="39" t="str">
        <f>IF([8]道具信息!P318="","",[8]道具信息!P318)</f>
        <v/>
      </c>
      <c r="Q318" s="39" t="str">
        <f>IF([8]道具信息!Q318="","",[8]道具信息!Q318)</f>
        <v/>
      </c>
      <c r="R318" s="39" t="str">
        <f>IF([8]道具信息!R318="","",[8]道具信息!R318)</f>
        <v/>
      </c>
      <c r="S318" s="39" t="str">
        <f>IF([8]道具信息!S318="","",[8]道具信息!S318)</f>
        <v/>
      </c>
      <c r="T318" s="39" t="str">
        <f>IF([8]道具信息!T318="","",[8]道具信息!T318)</f>
        <v/>
      </c>
      <c r="U318" s="39" t="str">
        <f>IF([8]道具信息!U318="","",[8]道具信息!U318)</f>
        <v/>
      </c>
      <c r="V318" s="39" t="str">
        <f>IF([8]道具信息!V318="","",[8]道具信息!V318)</f>
        <v/>
      </c>
      <c r="W318" s="39" t="str">
        <f>IF([8]道具信息!W318="","",[8]道具信息!W318)</f>
        <v/>
      </c>
      <c r="X318" s="39" t="str">
        <f>IF([8]道具信息!X318="","",[8]道具信息!X318)</f>
        <v/>
      </c>
      <c r="Y318" s="39" t="str">
        <f>IF([8]道具信息!Y318="","",[8]道具信息!Y318)</f>
        <v/>
      </c>
      <c r="Z318" s="39" t="str">
        <f>IF([8]道具信息!Z318="","",[8]道具信息!Z318)</f>
        <v/>
      </c>
    </row>
    <row r="319" spans="1:26" x14ac:dyDescent="0.15">
      <c r="A319" s="39" t="str">
        <f>IF([8]道具信息!A319="","",[8]道具信息!A319)</f>
        <v/>
      </c>
      <c r="B319" s="39" t="str">
        <f>IF([8]道具信息!B319="","",[8]道具信息!B319)</f>
        <v/>
      </c>
      <c r="C319" s="39">
        <f>IF([8]道具信息!C319="","",[8]道具信息!C319)</f>
        <v>21150</v>
      </c>
      <c r="D319" s="39" t="str">
        <f>IF([8]道具信息!D319="","",[8]道具信息!D319)</f>
        <v>初级装备淬炼</v>
      </c>
      <c r="E319" s="39">
        <f>IF([8]道具信息!E319="","",[8]道具信息!E319)</f>
        <v>10</v>
      </c>
      <c r="F319" s="39">
        <f>IF([8]道具信息!F319="","",[8]道具信息!F319)</f>
        <v>1</v>
      </c>
      <c r="G319" s="39">
        <f>IF([8]道具信息!G319="","",[8]道具信息!G319)</f>
        <v>1</v>
      </c>
      <c r="H319" s="39">
        <f>IF([8]道具信息!H319="","",[8]道具信息!H319)</f>
        <v>0.3</v>
      </c>
      <c r="I319" s="39">
        <f>IF([8]道具信息!I319="","",[8]道具信息!I319)</f>
        <v>10</v>
      </c>
      <c r="J319" s="39">
        <f>IF([8]道具信息!J319="","",[8]道具信息!J319)</f>
        <v>10</v>
      </c>
      <c r="K319" s="39">
        <f>IF([8]道具信息!K319="","",[8]道具信息!K319)</f>
        <v>3</v>
      </c>
      <c r="L319" s="39" t="str">
        <f>IF([8]道具信息!L319="","",[8]道具信息!L319)</f>
        <v>装备使用后获得10经验</v>
      </c>
      <c r="M319" s="39" t="str">
        <f>IF([8]道具信息!M319="","",[8]道具信息!M319)</f>
        <v/>
      </c>
      <c r="N319" s="39" t="str">
        <f>IF([8]道具信息!N319="","",[8]道具信息!N319)</f>
        <v/>
      </c>
      <c r="O319" s="39" t="str">
        <f>IF([8]道具信息!O319="","",[8]道具信息!O319)</f>
        <v/>
      </c>
      <c r="P319" s="39" t="str">
        <f>IF([8]道具信息!P319="","",[8]道具信息!P319)</f>
        <v/>
      </c>
      <c r="Q319" s="39" t="str">
        <f>IF([8]道具信息!Q319="","",[8]道具信息!Q319)</f>
        <v/>
      </c>
      <c r="R319" s="39" t="str">
        <f>IF([8]道具信息!R319="","",[8]道具信息!R319)</f>
        <v/>
      </c>
      <c r="S319" s="39" t="str">
        <f>IF([8]道具信息!S319="","",[8]道具信息!S319)</f>
        <v/>
      </c>
      <c r="T319" s="39" t="str">
        <f>IF([8]道具信息!T319="","",[8]道具信息!T319)</f>
        <v/>
      </c>
      <c r="U319" s="39" t="str">
        <f>IF([8]道具信息!U319="","",[8]道具信息!U319)</f>
        <v/>
      </c>
      <c r="V319" s="39" t="str">
        <f>IF([8]道具信息!V319="","",[8]道具信息!V319)</f>
        <v/>
      </c>
      <c r="W319" s="39" t="str">
        <f>IF([8]道具信息!W319="","",[8]道具信息!W319)</f>
        <v/>
      </c>
      <c r="X319" s="39" t="str">
        <f>IF([8]道具信息!X319="","",[8]道具信息!X319)</f>
        <v/>
      </c>
      <c r="Y319" s="39" t="str">
        <f>IF([8]道具信息!Y319="","",[8]道具信息!Y319)</f>
        <v/>
      </c>
      <c r="Z319" s="39" t="str">
        <f>IF([8]道具信息!Z319="","",[8]道具信息!Z319)</f>
        <v/>
      </c>
    </row>
    <row r="320" spans="1:26" x14ac:dyDescent="0.15">
      <c r="A320" s="39" t="str">
        <f>IF([8]道具信息!A320="","",[8]道具信息!A320)</f>
        <v/>
      </c>
      <c r="B320" s="39" t="str">
        <f>IF([8]道具信息!B320="","",[8]道具信息!B320)</f>
        <v/>
      </c>
      <c r="C320" s="39">
        <f>IF([8]道具信息!C320="","",[8]道具信息!C320)</f>
        <v>21151</v>
      </c>
      <c r="D320" s="39" t="str">
        <f>IF([8]道具信息!D320="","",[8]道具信息!D320)</f>
        <v>中级装备淬炼</v>
      </c>
      <c r="E320" s="39">
        <f>IF([8]道具信息!E320="","",[8]道具信息!E320)</f>
        <v>20</v>
      </c>
      <c r="F320" s="39">
        <f>IF([8]道具信息!F320="","",[8]道具信息!F320)</f>
        <v>1</v>
      </c>
      <c r="G320" s="39">
        <f>IF([8]道具信息!G320="","",[8]道具信息!G320)</f>
        <v>1</v>
      </c>
      <c r="H320" s="39">
        <f>IF([8]道具信息!H320="","",[8]道具信息!H320)</f>
        <v>0.3</v>
      </c>
      <c r="I320" s="39">
        <f>IF([8]道具信息!I320="","",[8]道具信息!I320)</f>
        <v>20</v>
      </c>
      <c r="J320" s="39">
        <f>IF([8]道具信息!J320="","",[8]道具信息!J320)</f>
        <v>20</v>
      </c>
      <c r="K320" s="39">
        <f>IF([8]道具信息!K320="","",[8]道具信息!K320)</f>
        <v>6</v>
      </c>
      <c r="L320" s="39" t="str">
        <f>IF([8]道具信息!L320="","",[8]道具信息!L320)</f>
        <v>装备使用后获得20经验</v>
      </c>
      <c r="M320" s="39" t="str">
        <f>IF([8]道具信息!M320="","",[8]道具信息!M320)</f>
        <v/>
      </c>
      <c r="N320" s="39" t="str">
        <f>IF([8]道具信息!N320="","",[8]道具信息!N320)</f>
        <v/>
      </c>
      <c r="O320" s="39" t="str">
        <f>IF([8]道具信息!O320="","",[8]道具信息!O320)</f>
        <v/>
      </c>
      <c r="P320" s="39" t="str">
        <f>IF([8]道具信息!P320="","",[8]道具信息!P320)</f>
        <v/>
      </c>
      <c r="Q320" s="39" t="str">
        <f>IF([8]道具信息!Q320="","",[8]道具信息!Q320)</f>
        <v/>
      </c>
      <c r="R320" s="39" t="str">
        <f>IF([8]道具信息!R320="","",[8]道具信息!R320)</f>
        <v/>
      </c>
      <c r="S320" s="39" t="str">
        <f>IF([8]道具信息!S320="","",[8]道具信息!S320)</f>
        <v/>
      </c>
      <c r="T320" s="39" t="str">
        <f>IF([8]道具信息!T320="","",[8]道具信息!T320)</f>
        <v/>
      </c>
      <c r="U320" s="39" t="str">
        <f>IF([8]道具信息!U320="","",[8]道具信息!U320)</f>
        <v/>
      </c>
      <c r="V320" s="39" t="str">
        <f>IF([8]道具信息!V320="","",[8]道具信息!V320)</f>
        <v/>
      </c>
      <c r="W320" s="39" t="str">
        <f>IF([8]道具信息!W320="","",[8]道具信息!W320)</f>
        <v/>
      </c>
      <c r="X320" s="39" t="str">
        <f>IF([8]道具信息!X320="","",[8]道具信息!X320)</f>
        <v/>
      </c>
      <c r="Y320" s="39" t="str">
        <f>IF([8]道具信息!Y320="","",[8]道具信息!Y320)</f>
        <v/>
      </c>
      <c r="Z320" s="39" t="str">
        <f>IF([8]道具信息!Z320="","",[8]道具信息!Z320)</f>
        <v/>
      </c>
    </row>
    <row r="321" spans="1:26" x14ac:dyDescent="0.15">
      <c r="A321" s="39" t="str">
        <f>IF([8]道具信息!A321="","",[8]道具信息!A321)</f>
        <v/>
      </c>
      <c r="B321" s="39" t="str">
        <f>IF([8]道具信息!B321="","",[8]道具信息!B321)</f>
        <v/>
      </c>
      <c r="C321" s="39">
        <f>IF([8]道具信息!C321="","",[8]道具信息!C321)</f>
        <v>21152</v>
      </c>
      <c r="D321" s="39" t="str">
        <f>IF([8]道具信息!D321="","",[8]道具信息!D321)</f>
        <v>高级装备淬炼</v>
      </c>
      <c r="E321" s="39">
        <f>IF([8]道具信息!E321="","",[8]道具信息!E321)</f>
        <v>40</v>
      </c>
      <c r="F321" s="39">
        <f>IF([8]道具信息!F321="","",[8]道具信息!F321)</f>
        <v>1</v>
      </c>
      <c r="G321" s="39">
        <f>IF([8]道具信息!G321="","",[8]道具信息!G321)</f>
        <v>1</v>
      </c>
      <c r="H321" s="39">
        <f>IF([8]道具信息!H321="","",[8]道具信息!H321)</f>
        <v>0.3</v>
      </c>
      <c r="I321" s="39">
        <f>IF([8]道具信息!I321="","",[8]道具信息!I321)</f>
        <v>40</v>
      </c>
      <c r="J321" s="39">
        <f>IF([8]道具信息!J321="","",[8]道具信息!J321)</f>
        <v>40</v>
      </c>
      <c r="K321" s="39">
        <f>IF([8]道具信息!K321="","",[8]道具信息!K321)</f>
        <v>12</v>
      </c>
      <c r="L321" s="39" t="str">
        <f>IF([8]道具信息!L321="","",[8]道具信息!L321)</f>
        <v>装备使用后获得40经验</v>
      </c>
      <c r="M321" s="39" t="str">
        <f>IF([8]道具信息!M321="","",[8]道具信息!M321)</f>
        <v/>
      </c>
      <c r="N321" s="39" t="str">
        <f>IF([8]道具信息!N321="","",[8]道具信息!N321)</f>
        <v/>
      </c>
      <c r="O321" s="39" t="str">
        <f>IF([8]道具信息!O321="","",[8]道具信息!O321)</f>
        <v/>
      </c>
      <c r="P321" s="39" t="str">
        <f>IF([8]道具信息!P321="","",[8]道具信息!P321)</f>
        <v/>
      </c>
      <c r="Q321" s="39" t="str">
        <f>IF([8]道具信息!Q321="","",[8]道具信息!Q321)</f>
        <v/>
      </c>
      <c r="R321" s="39" t="str">
        <f>IF([8]道具信息!R321="","",[8]道具信息!R321)</f>
        <v/>
      </c>
      <c r="S321" s="39" t="str">
        <f>IF([8]道具信息!S321="","",[8]道具信息!S321)</f>
        <v/>
      </c>
      <c r="T321" s="39" t="str">
        <f>IF([8]道具信息!T321="","",[8]道具信息!T321)</f>
        <v/>
      </c>
      <c r="U321" s="39" t="str">
        <f>IF([8]道具信息!U321="","",[8]道具信息!U321)</f>
        <v/>
      </c>
      <c r="V321" s="39" t="str">
        <f>IF([8]道具信息!V321="","",[8]道具信息!V321)</f>
        <v/>
      </c>
      <c r="W321" s="39" t="str">
        <f>IF([8]道具信息!W321="","",[8]道具信息!W321)</f>
        <v/>
      </c>
      <c r="X321" s="39" t="str">
        <f>IF([8]道具信息!X321="","",[8]道具信息!X321)</f>
        <v/>
      </c>
      <c r="Y321" s="39" t="str">
        <f>IF([8]道具信息!Y321="","",[8]道具信息!Y321)</f>
        <v/>
      </c>
      <c r="Z321" s="39" t="str">
        <f>IF([8]道具信息!Z321="","",[8]道具信息!Z321)</f>
        <v/>
      </c>
    </row>
    <row r="322" spans="1:26" x14ac:dyDescent="0.15">
      <c r="A322" s="39" t="str">
        <f>IF([8]道具信息!A322="","",[8]道具信息!A322)</f>
        <v/>
      </c>
      <c r="B322" s="39" t="str">
        <f>IF([8]道具信息!B322="","",[8]道具信息!B322)</f>
        <v/>
      </c>
      <c r="C322" s="39">
        <f>IF([8]道具信息!C322="","",[8]道具信息!C322)</f>
        <v>21153</v>
      </c>
      <c r="D322" s="39" t="str">
        <f>IF([8]道具信息!D322="","",[8]道具信息!D322)</f>
        <v>特级装备淬炼</v>
      </c>
      <c r="E322" s="39">
        <f>IF([8]道具信息!E322="","",[8]道具信息!E322)</f>
        <v>75</v>
      </c>
      <c r="F322" s="39">
        <f>IF([8]道具信息!F322="","",[8]道具信息!F322)</f>
        <v>1.25</v>
      </c>
      <c r="G322" s="39">
        <f>IF([8]道具信息!G322="","",[8]道具信息!G322)</f>
        <v>1</v>
      </c>
      <c r="H322" s="39">
        <f>IF([8]道具信息!H322="","",[8]道具信息!H322)</f>
        <v>0.3</v>
      </c>
      <c r="I322" s="39">
        <f>IF([8]道具信息!I322="","",[8]道具信息!I322)</f>
        <v>93.75</v>
      </c>
      <c r="J322" s="39">
        <f>IF([8]道具信息!J322="","",[8]道具信息!J322)</f>
        <v>75</v>
      </c>
      <c r="K322" s="39">
        <f>IF([8]道具信息!K322="","",[8]道具信息!K322)</f>
        <v>22.5</v>
      </c>
      <c r="L322" s="39" t="str">
        <f>IF([8]道具信息!L322="","",[8]道具信息!L322)</f>
        <v>装备使用后获得75经验</v>
      </c>
      <c r="M322" s="39" t="str">
        <f>IF([8]道具信息!M322="","",[8]道具信息!M322)</f>
        <v/>
      </c>
      <c r="N322" s="39" t="str">
        <f>IF([8]道具信息!N322="","",[8]道具信息!N322)</f>
        <v/>
      </c>
      <c r="O322" s="39" t="str">
        <f>IF([8]道具信息!O322="","",[8]道具信息!O322)</f>
        <v/>
      </c>
      <c r="P322" s="39" t="str">
        <f>IF([8]道具信息!P322="","",[8]道具信息!P322)</f>
        <v/>
      </c>
      <c r="Q322" s="39" t="str">
        <f>IF([8]道具信息!Q322="","",[8]道具信息!Q322)</f>
        <v/>
      </c>
      <c r="R322" s="39" t="str">
        <f>IF([8]道具信息!R322="","",[8]道具信息!R322)</f>
        <v/>
      </c>
      <c r="S322" s="39" t="str">
        <f>IF([8]道具信息!S322="","",[8]道具信息!S322)</f>
        <v/>
      </c>
      <c r="T322" s="39" t="str">
        <f>IF([8]道具信息!T322="","",[8]道具信息!T322)</f>
        <v/>
      </c>
      <c r="U322" s="39" t="str">
        <f>IF([8]道具信息!U322="","",[8]道具信息!U322)</f>
        <v/>
      </c>
      <c r="V322" s="39" t="str">
        <f>IF([8]道具信息!V322="","",[8]道具信息!V322)</f>
        <v/>
      </c>
      <c r="W322" s="39" t="str">
        <f>IF([8]道具信息!W322="","",[8]道具信息!W322)</f>
        <v/>
      </c>
      <c r="X322" s="39" t="str">
        <f>IF([8]道具信息!X322="","",[8]道具信息!X322)</f>
        <v/>
      </c>
      <c r="Y322" s="39" t="str">
        <f>IF([8]道具信息!Y322="","",[8]道具信息!Y322)</f>
        <v/>
      </c>
      <c r="Z322" s="39" t="str">
        <f>IF([8]道具信息!Z322="","",[8]道具信息!Z322)</f>
        <v/>
      </c>
    </row>
    <row r="323" spans="1:26" x14ac:dyDescent="0.15">
      <c r="A323" s="39" t="str">
        <f>IF([8]道具信息!A323="","",[8]道具信息!A323)</f>
        <v/>
      </c>
      <c r="B323" s="39" t="str">
        <f>IF([8]道具信息!B323="","",[8]道具信息!B323)</f>
        <v/>
      </c>
      <c r="C323" s="39">
        <f>IF([8]道具信息!C323="","",[8]道具信息!C323)</f>
        <v>21154</v>
      </c>
      <c r="D323" s="39" t="str">
        <f>IF([8]道具信息!D323="","",[8]道具信息!D323)</f>
        <v>超级装备淬炼</v>
      </c>
      <c r="E323" s="39">
        <f>IF([8]道具信息!E323="","",[8]道具信息!E323)</f>
        <v>150</v>
      </c>
      <c r="F323" s="39">
        <f>IF([8]道具信息!F323="","",[8]道具信息!F323)</f>
        <v>1.5</v>
      </c>
      <c r="G323" s="39">
        <f>IF([8]道具信息!G323="","",[8]道具信息!G323)</f>
        <v>1</v>
      </c>
      <c r="H323" s="39">
        <f>IF([8]道具信息!H323="","",[8]道具信息!H323)</f>
        <v>0.3</v>
      </c>
      <c r="I323" s="39">
        <f>IF([8]道具信息!I323="","",[8]道具信息!I323)</f>
        <v>225</v>
      </c>
      <c r="J323" s="39">
        <f>IF([8]道具信息!J323="","",[8]道具信息!J323)</f>
        <v>150</v>
      </c>
      <c r="K323" s="39">
        <f>IF([8]道具信息!K323="","",[8]道具信息!K323)</f>
        <v>45</v>
      </c>
      <c r="L323" s="39" t="str">
        <f>IF([8]道具信息!L323="","",[8]道具信息!L323)</f>
        <v>装备使用后获得150经验</v>
      </c>
      <c r="M323" s="39" t="str">
        <f>IF([8]道具信息!M323="","",[8]道具信息!M323)</f>
        <v/>
      </c>
      <c r="N323" s="39" t="str">
        <f>IF([8]道具信息!N323="","",[8]道具信息!N323)</f>
        <v/>
      </c>
      <c r="O323" s="39" t="str">
        <f>IF([8]道具信息!O323="","",[8]道具信息!O323)</f>
        <v/>
      </c>
      <c r="P323" s="39" t="str">
        <f>IF([8]道具信息!P323="","",[8]道具信息!P323)</f>
        <v/>
      </c>
      <c r="Q323" s="39" t="str">
        <f>IF([8]道具信息!Q323="","",[8]道具信息!Q323)</f>
        <v/>
      </c>
      <c r="R323" s="39" t="str">
        <f>IF([8]道具信息!R323="","",[8]道具信息!R323)</f>
        <v/>
      </c>
      <c r="S323" s="39" t="str">
        <f>IF([8]道具信息!S323="","",[8]道具信息!S323)</f>
        <v/>
      </c>
      <c r="T323" s="39" t="str">
        <f>IF([8]道具信息!T323="","",[8]道具信息!T323)</f>
        <v/>
      </c>
      <c r="U323" s="39" t="str">
        <f>IF([8]道具信息!U323="","",[8]道具信息!U323)</f>
        <v/>
      </c>
      <c r="V323" s="39" t="str">
        <f>IF([8]道具信息!V323="","",[8]道具信息!V323)</f>
        <v/>
      </c>
      <c r="W323" s="39" t="str">
        <f>IF([8]道具信息!W323="","",[8]道具信息!W323)</f>
        <v/>
      </c>
      <c r="X323" s="39" t="str">
        <f>IF([8]道具信息!X323="","",[8]道具信息!X323)</f>
        <v/>
      </c>
      <c r="Y323" s="39" t="str">
        <f>IF([8]道具信息!Y323="","",[8]道具信息!Y323)</f>
        <v/>
      </c>
      <c r="Z323" s="39" t="str">
        <f>IF([8]道具信息!Z323="","",[8]道具信息!Z323)</f>
        <v/>
      </c>
    </row>
    <row r="324" spans="1:26" x14ac:dyDescent="0.15">
      <c r="A324" s="39" t="str">
        <f>IF([8]道具信息!A324="","",[8]道具信息!A324)</f>
        <v/>
      </c>
      <c r="B324" s="39" t="str">
        <f>IF([8]道具信息!B324="","",[8]道具信息!B324)</f>
        <v/>
      </c>
      <c r="C324" s="39" t="str">
        <f>IF([8]道具信息!C324="","",[8]道具信息!C324)</f>
        <v/>
      </c>
      <c r="D324" s="39" t="str">
        <f>IF([8]道具信息!D324="","",[8]道具信息!D324)</f>
        <v/>
      </c>
      <c r="E324" s="39" t="str">
        <f>IF([8]道具信息!E324="","",[8]道具信息!E324)</f>
        <v/>
      </c>
      <c r="F324" s="39" t="str">
        <f>IF([8]道具信息!F324="","",[8]道具信息!F324)</f>
        <v/>
      </c>
      <c r="G324" s="39" t="str">
        <f>IF([8]道具信息!G324="","",[8]道具信息!G324)</f>
        <v/>
      </c>
      <c r="H324" s="39" t="str">
        <f>IF([8]道具信息!H324="","",[8]道具信息!H324)</f>
        <v/>
      </c>
      <c r="I324" s="39" t="str">
        <f>IF([8]道具信息!I324="","",[8]道具信息!I324)</f>
        <v/>
      </c>
      <c r="J324" s="39" t="str">
        <f>IF([8]道具信息!J324="","",[8]道具信息!J324)</f>
        <v/>
      </c>
      <c r="K324" s="39" t="str">
        <f>IF([8]道具信息!K324="","",[8]道具信息!K324)</f>
        <v/>
      </c>
      <c r="L324" s="39" t="str">
        <f>IF([8]道具信息!L324="","",[8]道具信息!L324)</f>
        <v/>
      </c>
      <c r="M324" s="39" t="str">
        <f>IF([8]道具信息!M324="","",[8]道具信息!M324)</f>
        <v/>
      </c>
      <c r="N324" s="39" t="str">
        <f>IF([8]道具信息!N324="","",[8]道具信息!N324)</f>
        <v/>
      </c>
      <c r="O324" s="39" t="str">
        <f>IF([8]道具信息!O324="","",[8]道具信息!O324)</f>
        <v/>
      </c>
      <c r="P324" s="39" t="str">
        <f>IF([8]道具信息!P324="","",[8]道具信息!P324)</f>
        <v/>
      </c>
      <c r="Q324" s="39" t="str">
        <f>IF([8]道具信息!Q324="","",[8]道具信息!Q324)</f>
        <v/>
      </c>
      <c r="R324" s="39" t="str">
        <f>IF([8]道具信息!R324="","",[8]道具信息!R324)</f>
        <v/>
      </c>
      <c r="S324" s="39" t="str">
        <f>IF([8]道具信息!S324="","",[8]道具信息!S324)</f>
        <v/>
      </c>
      <c r="T324" s="39" t="str">
        <f>IF([8]道具信息!T324="","",[8]道具信息!T324)</f>
        <v/>
      </c>
      <c r="U324" s="39" t="str">
        <f>IF([8]道具信息!U324="","",[8]道具信息!U324)</f>
        <v/>
      </c>
      <c r="V324" s="39" t="str">
        <f>IF([8]道具信息!V324="","",[8]道具信息!V324)</f>
        <v/>
      </c>
      <c r="W324" s="39" t="str">
        <f>IF([8]道具信息!W324="","",[8]道具信息!W324)</f>
        <v/>
      </c>
      <c r="X324" s="39" t="str">
        <f>IF([8]道具信息!X324="","",[8]道具信息!X324)</f>
        <v/>
      </c>
      <c r="Y324" s="39" t="str">
        <f>IF([8]道具信息!Y324="","",[8]道具信息!Y324)</f>
        <v/>
      </c>
      <c r="Z324" s="39" t="str">
        <f>IF([8]道具信息!Z324="","",[8]道具信息!Z324)</f>
        <v/>
      </c>
    </row>
    <row r="325" spans="1:26" x14ac:dyDescent="0.15">
      <c r="A325" s="39" t="str">
        <f>IF([8]道具信息!A325="","",[8]道具信息!A325)</f>
        <v/>
      </c>
      <c r="B325" s="39" t="str">
        <f>IF([8]道具信息!B325="","",[8]道具信息!B325)</f>
        <v/>
      </c>
      <c r="C325" s="39">
        <f>IF([8]道具信息!C325="","",[8]道具信息!C325)</f>
        <v>21500</v>
      </c>
      <c r="D325" s="39" t="str">
        <f>IF([8]道具信息!D325="","",[8]道具信息!D325)</f>
        <v>随机迁城令</v>
      </c>
      <c r="E325" s="39">
        <f>IF([8]道具信息!E325="","",[8]道具信息!E325)</f>
        <v>100</v>
      </c>
      <c r="F325" s="39">
        <f>IF([8]道具信息!F325="","",[8]道具信息!F325)</f>
        <v>1</v>
      </c>
      <c r="G325" s="39">
        <f>IF([8]道具信息!G325="","",[8]道具信息!G325)</f>
        <v>1</v>
      </c>
      <c r="H325" s="39">
        <f>IF([8]道具信息!H325="","",[8]道具信息!H325)</f>
        <v>1</v>
      </c>
      <c r="I325" s="39">
        <f>IF([8]道具信息!I325="","",[8]道具信息!I325)</f>
        <v>100</v>
      </c>
      <c r="J325" s="39">
        <f>IF([8]道具信息!J325="","",[8]道具信息!J325)</f>
        <v>100</v>
      </c>
      <c r="K325" s="39">
        <f>IF([8]道具信息!K325="","",[8]道具信息!K325)</f>
        <v>100</v>
      </c>
      <c r="L325" s="39" t="str">
        <f>IF([8]道具信息!L325="","",[8]道具信息!L325)</f>
        <v>使用后城池迁移到随机位置</v>
      </c>
      <c r="M325" s="39" t="str">
        <f>IF([8]道具信息!M325="","",[8]道具信息!M325)</f>
        <v/>
      </c>
      <c r="N325" s="39" t="str">
        <f>IF([8]道具信息!N325="","",[8]道具信息!N325)</f>
        <v/>
      </c>
      <c r="O325" s="39" t="str">
        <f>IF([8]道具信息!O325="","",[8]道具信息!O325)</f>
        <v/>
      </c>
      <c r="P325" s="39" t="str">
        <f>IF([8]道具信息!P325="","",[8]道具信息!P325)</f>
        <v/>
      </c>
      <c r="Q325" s="39" t="str">
        <f>IF([8]道具信息!Q325="","",[8]道具信息!Q325)</f>
        <v/>
      </c>
      <c r="R325" s="39" t="str">
        <f>IF([8]道具信息!R325="","",[8]道具信息!R325)</f>
        <v/>
      </c>
      <c r="S325" s="39" t="str">
        <f>IF([8]道具信息!S325="","",[8]道具信息!S325)</f>
        <v/>
      </c>
      <c r="T325" s="39" t="str">
        <f>IF([8]道具信息!T325="","",[8]道具信息!T325)</f>
        <v/>
      </c>
      <c r="U325" s="39" t="str">
        <f>IF([8]道具信息!U325="","",[8]道具信息!U325)</f>
        <v/>
      </c>
      <c r="V325" s="39" t="str">
        <f>IF([8]道具信息!V325="","",[8]道具信息!V325)</f>
        <v/>
      </c>
      <c r="W325" s="39" t="str">
        <f>IF([8]道具信息!W325="","",[8]道具信息!W325)</f>
        <v/>
      </c>
      <c r="X325" s="39" t="str">
        <f>IF([8]道具信息!X325="","",[8]道具信息!X325)</f>
        <v/>
      </c>
      <c r="Y325" s="39" t="str">
        <f>IF([8]道具信息!Y325="","",[8]道具信息!Y325)</f>
        <v/>
      </c>
      <c r="Z325" s="39" t="str">
        <f>IF([8]道具信息!Z325="","",[8]道具信息!Z325)</f>
        <v/>
      </c>
    </row>
    <row r="326" spans="1:26" x14ac:dyDescent="0.15">
      <c r="A326" s="39" t="str">
        <f>IF([8]道具信息!A326="","",[8]道具信息!A326)</f>
        <v/>
      </c>
      <c r="B326" s="39" t="str">
        <f>IF([8]道具信息!B326="","",[8]道具信息!B326)</f>
        <v/>
      </c>
      <c r="C326" s="39">
        <f>IF([8]道具信息!C326="","",[8]道具信息!C326)</f>
        <v>21501</v>
      </c>
      <c r="D326" s="39" t="str">
        <f>IF([8]道具信息!D326="","",[8]道具信息!D326)</f>
        <v>九州迁城令</v>
      </c>
      <c r="E326" s="39">
        <f>IF([8]道具信息!E326="","",[8]道具信息!E326)</f>
        <v>300</v>
      </c>
      <c r="F326" s="39">
        <f>IF([8]道具信息!F326="","",[8]道具信息!F326)</f>
        <v>1</v>
      </c>
      <c r="G326" s="39">
        <f>IF([8]道具信息!G326="","",[8]道具信息!G326)</f>
        <v>1</v>
      </c>
      <c r="H326" s="39">
        <f>IF([8]道具信息!H326="","",[8]道具信息!H326)</f>
        <v>1</v>
      </c>
      <c r="I326" s="39">
        <f>IF([8]道具信息!I326="","",[8]道具信息!I326)</f>
        <v>300</v>
      </c>
      <c r="J326" s="39">
        <f>IF([8]道具信息!J326="","",[8]道具信息!J326)</f>
        <v>300</v>
      </c>
      <c r="K326" s="39">
        <f>IF([8]道具信息!K326="","",[8]道具信息!K326)</f>
        <v>300</v>
      </c>
      <c r="L326" s="39" t="str">
        <f>IF([8]道具信息!L326="","",[8]道具信息!L326)</f>
        <v>使用后城池迁移到指定位置</v>
      </c>
      <c r="M326" s="39" t="str">
        <f>IF([8]道具信息!M326="","",[8]道具信息!M326)</f>
        <v/>
      </c>
      <c r="N326" s="39" t="str">
        <f>IF([8]道具信息!N326="","",[8]道具信息!N326)</f>
        <v/>
      </c>
      <c r="O326" s="39" t="str">
        <f>IF([8]道具信息!O326="","",[8]道具信息!O326)</f>
        <v/>
      </c>
      <c r="P326" s="39" t="str">
        <f>IF([8]道具信息!P326="","",[8]道具信息!P326)</f>
        <v/>
      </c>
      <c r="Q326" s="39" t="str">
        <f>IF([8]道具信息!Q326="","",[8]道具信息!Q326)</f>
        <v/>
      </c>
      <c r="R326" s="39" t="str">
        <f>IF([8]道具信息!R326="","",[8]道具信息!R326)</f>
        <v/>
      </c>
      <c r="S326" s="39" t="str">
        <f>IF([8]道具信息!S326="","",[8]道具信息!S326)</f>
        <v/>
      </c>
      <c r="T326" s="39" t="str">
        <f>IF([8]道具信息!T326="","",[8]道具信息!T326)</f>
        <v/>
      </c>
      <c r="U326" s="39" t="str">
        <f>IF([8]道具信息!U326="","",[8]道具信息!U326)</f>
        <v/>
      </c>
      <c r="V326" s="39" t="str">
        <f>IF([8]道具信息!V326="","",[8]道具信息!V326)</f>
        <v/>
      </c>
      <c r="W326" s="39" t="str">
        <f>IF([8]道具信息!W326="","",[8]道具信息!W326)</f>
        <v/>
      </c>
      <c r="X326" s="39" t="str">
        <f>IF([8]道具信息!X326="","",[8]道具信息!X326)</f>
        <v/>
      </c>
      <c r="Y326" s="39" t="str">
        <f>IF([8]道具信息!Y326="","",[8]道具信息!Y326)</f>
        <v/>
      </c>
      <c r="Z326" s="39" t="str">
        <f>IF([8]道具信息!Z326="","",[8]道具信息!Z326)</f>
        <v/>
      </c>
    </row>
    <row r="327" spans="1:26" x14ac:dyDescent="0.15">
      <c r="A327" s="39" t="str">
        <f>IF([8]道具信息!A327="","",[8]道具信息!A327)</f>
        <v/>
      </c>
      <c r="B327" s="39" t="str">
        <f>IF([8]道具信息!B327="","",[8]道具信息!B327)</f>
        <v/>
      </c>
      <c r="C327" s="39">
        <f>IF([8]道具信息!C327="","",[8]道具信息!C327)</f>
        <v>21504</v>
      </c>
      <c r="D327" s="39" t="str">
        <f>IF([8]道具信息!D327="","",[8]道具信息!D327)</f>
        <v>国内迁城令</v>
      </c>
      <c r="E327" s="39">
        <f>IF([8]道具信息!E327="","",[8]道具信息!E327)</f>
        <v>100</v>
      </c>
      <c r="F327" s="39">
        <f>IF([8]道具信息!F327="","",[8]道具信息!F327)</f>
        <v>1</v>
      </c>
      <c r="G327" s="39">
        <f>IF([8]道具信息!G327="","",[8]道具信息!G327)</f>
        <v>1</v>
      </c>
      <c r="H327" s="39">
        <f>IF([8]道具信息!H327="","",[8]道具信息!H327)</f>
        <v>1</v>
      </c>
      <c r="I327" s="39">
        <f>IF([8]道具信息!I327="","",[8]道具信息!I327)</f>
        <v>100</v>
      </c>
      <c r="J327" s="39">
        <f>IF([8]道具信息!J327="","",[8]道具信息!J327)</f>
        <v>100</v>
      </c>
      <c r="K327" s="39">
        <f>IF([8]道具信息!K327="","",[8]道具信息!K327)</f>
        <v>100</v>
      </c>
      <c r="L327" s="39" t="str">
        <f>IF([8]道具信息!L327="","",[8]道具信息!L327)</f>
        <v>使用后城池迁移到国内指定位置</v>
      </c>
      <c r="M327" s="39" t="str">
        <f>IF([8]道具信息!M327="","",[8]道具信息!M327)</f>
        <v/>
      </c>
      <c r="N327" s="39" t="str">
        <f>IF([8]道具信息!N327="","",[8]道具信息!N327)</f>
        <v/>
      </c>
      <c r="O327" s="39" t="str">
        <f>IF([8]道具信息!O327="","",[8]道具信息!O327)</f>
        <v/>
      </c>
      <c r="P327" s="39" t="str">
        <f>IF([8]道具信息!P327="","",[8]道具信息!P327)</f>
        <v/>
      </c>
      <c r="Q327" s="39" t="str">
        <f>IF([8]道具信息!Q327="","",[8]道具信息!Q327)</f>
        <v/>
      </c>
      <c r="R327" s="39" t="str">
        <f>IF([8]道具信息!R327="","",[8]道具信息!R327)</f>
        <v/>
      </c>
      <c r="S327" s="39" t="str">
        <f>IF([8]道具信息!S327="","",[8]道具信息!S327)</f>
        <v/>
      </c>
      <c r="T327" s="39" t="str">
        <f>IF([8]道具信息!T327="","",[8]道具信息!T327)</f>
        <v/>
      </c>
      <c r="U327" s="39" t="str">
        <f>IF([8]道具信息!U327="","",[8]道具信息!U327)</f>
        <v/>
      </c>
      <c r="V327" s="39" t="str">
        <f>IF([8]道具信息!V327="","",[8]道具信息!V327)</f>
        <v/>
      </c>
      <c r="W327" s="39" t="str">
        <f>IF([8]道具信息!W327="","",[8]道具信息!W327)</f>
        <v/>
      </c>
      <c r="X327" s="39" t="str">
        <f>IF([8]道具信息!X327="","",[8]道具信息!X327)</f>
        <v/>
      </c>
      <c r="Y327" s="39" t="str">
        <f>IF([8]道具信息!Y327="","",[8]道具信息!Y327)</f>
        <v/>
      </c>
      <c r="Z327" s="39" t="str">
        <f>IF([8]道具信息!Z327="","",[8]道具信息!Z327)</f>
        <v/>
      </c>
    </row>
    <row r="328" spans="1:26" x14ac:dyDescent="0.15">
      <c r="A328" s="39" t="str">
        <f>IF([8]道具信息!A328="","",[8]道具信息!A328)</f>
        <v/>
      </c>
      <c r="B328" s="39" t="str">
        <f>IF([8]道具信息!B328="","",[8]道具信息!B328)</f>
        <v/>
      </c>
      <c r="C328" s="39">
        <f>IF([8]道具信息!C328="","",[8]道具信息!C328)</f>
        <v>21502</v>
      </c>
      <c r="D328" s="39" t="str">
        <f>IF([8]道具信息!D328="","",[8]道具信息!D328)</f>
        <v>校武牌</v>
      </c>
      <c r="E328" s="39">
        <f>IF([8]道具信息!E328="","",[8]道具信息!E328)</f>
        <v>20</v>
      </c>
      <c r="F328" s="39">
        <f>IF([8]道具信息!F328="","",[8]道具信息!F328)</f>
        <v>1</v>
      </c>
      <c r="G328" s="39">
        <f>IF([8]道具信息!G328="","",[8]道具信息!G328)</f>
        <v>1</v>
      </c>
      <c r="H328" s="39">
        <f>IF([8]道具信息!H328="","",[8]道具信息!H328)</f>
        <v>1</v>
      </c>
      <c r="I328" s="39">
        <f>IF([8]道具信息!I328="","",[8]道具信息!I328)</f>
        <v>20</v>
      </c>
      <c r="J328" s="39">
        <f>IF([8]道具信息!J328="","",[8]道具信息!J328)</f>
        <v>20</v>
      </c>
      <c r="K328" s="39">
        <f>IF([8]道具信息!K328="","",[8]道具信息!K328)</f>
        <v>20</v>
      </c>
      <c r="L328" s="39" t="str">
        <f>IF([8]道具信息!L328="","",[8]道具信息!L328)</f>
        <v>使用后增加1次校场挑战机会</v>
      </c>
      <c r="M328" s="39" t="str">
        <f>IF([8]道具信息!M328="","",[8]道具信息!M328)</f>
        <v/>
      </c>
      <c r="N328" s="39" t="str">
        <f>IF([8]道具信息!N328="","",[8]道具信息!N328)</f>
        <v/>
      </c>
      <c r="O328" s="39" t="str">
        <f>IF([8]道具信息!O328="","",[8]道具信息!O328)</f>
        <v/>
      </c>
      <c r="P328" s="39" t="str">
        <f>IF([8]道具信息!P328="","",[8]道具信息!P328)</f>
        <v/>
      </c>
      <c r="Q328" s="39" t="str">
        <f>IF([8]道具信息!Q328="","",[8]道具信息!Q328)</f>
        <v/>
      </c>
      <c r="R328" s="39" t="str">
        <f>IF([8]道具信息!R328="","",[8]道具信息!R328)</f>
        <v/>
      </c>
      <c r="S328" s="39" t="str">
        <f>IF([8]道具信息!S328="","",[8]道具信息!S328)</f>
        <v/>
      </c>
      <c r="T328" s="39" t="str">
        <f>IF([8]道具信息!T328="","",[8]道具信息!T328)</f>
        <v/>
      </c>
      <c r="U328" s="39" t="str">
        <f>IF([8]道具信息!U328="","",[8]道具信息!U328)</f>
        <v/>
      </c>
      <c r="V328" s="39" t="str">
        <f>IF([8]道具信息!V328="","",[8]道具信息!V328)</f>
        <v/>
      </c>
      <c r="W328" s="39" t="str">
        <f>IF([8]道具信息!W328="","",[8]道具信息!W328)</f>
        <v/>
      </c>
      <c r="X328" s="39" t="str">
        <f>IF([8]道具信息!X328="","",[8]道具信息!X328)</f>
        <v/>
      </c>
      <c r="Y328" s="39" t="str">
        <f>IF([8]道具信息!Y328="","",[8]道具信息!Y328)</f>
        <v/>
      </c>
      <c r="Z328" s="39" t="str">
        <f>IF([8]道具信息!Z328="","",[8]道具信息!Z328)</f>
        <v/>
      </c>
    </row>
    <row r="329" spans="1:26" x14ac:dyDescent="0.15">
      <c r="A329" s="39" t="str">
        <f>IF([8]道具信息!A329="","",[8]道具信息!A329)</f>
        <v/>
      </c>
      <c r="B329" s="39" t="str">
        <f>IF([8]道具信息!B329="","",[8]道具信息!B329)</f>
        <v/>
      </c>
      <c r="C329" s="39">
        <f>IF([8]道具信息!C329="","",[8]道具信息!C329)</f>
        <v>21503</v>
      </c>
      <c r="D329" s="39" t="str">
        <f>IF([8]道具信息!D329="","",[8]道具信息!D329)</f>
        <v>复仇令</v>
      </c>
      <c r="E329" s="39">
        <f>IF([8]道具信息!E329="","",[8]道具信息!E329)</f>
        <v>50</v>
      </c>
      <c r="F329" s="39">
        <f>IF([8]道具信息!F329="","",[8]道具信息!F329)</f>
        <v>1</v>
      </c>
      <c r="G329" s="39">
        <f>IF([8]道具信息!G329="","",[8]道具信息!G329)</f>
        <v>1</v>
      </c>
      <c r="H329" s="39">
        <f>IF([8]道具信息!H329="","",[8]道具信息!H329)</f>
        <v>1</v>
      </c>
      <c r="I329" s="39">
        <f>IF([8]道具信息!I329="","",[8]道具信息!I329)</f>
        <v>50</v>
      </c>
      <c r="J329" s="39">
        <f>IF([8]道具信息!J329="","",[8]道具信息!J329)</f>
        <v>50</v>
      </c>
      <c r="K329" s="39">
        <f>IF([8]道具信息!K329="","",[8]道具信息!K329)</f>
        <v>50</v>
      </c>
      <c r="L329" s="39" t="str">
        <f>IF([8]道具信息!L329="","",[8]道具信息!L329)</f>
        <v>被其他玩家攻击后，可以通过复仇令追查到该玩家城池所在坐标</v>
      </c>
      <c r="M329" s="39" t="str">
        <f>IF([8]道具信息!M329="","",[8]道具信息!M329)</f>
        <v/>
      </c>
      <c r="N329" s="39" t="str">
        <f>IF([8]道具信息!N329="","",[8]道具信息!N329)</f>
        <v/>
      </c>
      <c r="O329" s="39" t="str">
        <f>IF([8]道具信息!O329="","",[8]道具信息!O329)</f>
        <v/>
      </c>
      <c r="P329" s="39" t="str">
        <f>IF([8]道具信息!P329="","",[8]道具信息!P329)</f>
        <v/>
      </c>
      <c r="Q329" s="39" t="str">
        <f>IF([8]道具信息!Q329="","",[8]道具信息!Q329)</f>
        <v/>
      </c>
      <c r="R329" s="39" t="str">
        <f>IF([8]道具信息!R329="","",[8]道具信息!R329)</f>
        <v/>
      </c>
      <c r="S329" s="39" t="str">
        <f>IF([8]道具信息!S329="","",[8]道具信息!S329)</f>
        <v/>
      </c>
      <c r="T329" s="39" t="str">
        <f>IF([8]道具信息!T329="","",[8]道具信息!T329)</f>
        <v/>
      </c>
      <c r="U329" s="39" t="str">
        <f>IF([8]道具信息!U329="","",[8]道具信息!U329)</f>
        <v/>
      </c>
      <c r="V329" s="39" t="str">
        <f>IF([8]道具信息!V329="","",[8]道具信息!V329)</f>
        <v/>
      </c>
      <c r="W329" s="39" t="str">
        <f>IF([8]道具信息!W329="","",[8]道具信息!W329)</f>
        <v/>
      </c>
      <c r="X329" s="39" t="str">
        <f>IF([8]道具信息!X329="","",[8]道具信息!X329)</f>
        <v/>
      </c>
      <c r="Y329" s="39" t="str">
        <f>IF([8]道具信息!Y329="","",[8]道具信息!Y329)</f>
        <v/>
      </c>
      <c r="Z329" s="39" t="str">
        <f>IF([8]道具信息!Z329="","",[8]道具信息!Z329)</f>
        <v/>
      </c>
    </row>
    <row r="330" spans="1:26" x14ac:dyDescent="0.15">
      <c r="A330" s="39" t="str">
        <f>IF([8]道具信息!A330="","",[8]道具信息!A330)</f>
        <v/>
      </c>
      <c r="B330" s="39" t="str">
        <f>IF([8]道具信息!B330="","",[8]道具信息!B330)</f>
        <v/>
      </c>
      <c r="C330" s="39" t="str">
        <f>IF([8]道具信息!C330="","",[8]道具信息!C330)</f>
        <v/>
      </c>
      <c r="D330" s="39" t="str">
        <f>IF([8]道具信息!D330="","",[8]道具信息!D330)</f>
        <v/>
      </c>
      <c r="E330" s="39" t="str">
        <f>IF([8]道具信息!E330="","",[8]道具信息!E330)</f>
        <v/>
      </c>
      <c r="F330" s="39" t="str">
        <f>IF([8]道具信息!F330="","",[8]道具信息!F330)</f>
        <v/>
      </c>
      <c r="G330" s="39" t="str">
        <f>IF([8]道具信息!G330="","",[8]道具信息!G330)</f>
        <v/>
      </c>
      <c r="H330" s="39" t="str">
        <f>IF([8]道具信息!H330="","",[8]道具信息!H330)</f>
        <v/>
      </c>
      <c r="I330" s="39" t="str">
        <f>IF([8]道具信息!I330="","",[8]道具信息!I330)</f>
        <v/>
      </c>
      <c r="J330" s="39" t="str">
        <f>IF([8]道具信息!J330="","",[8]道具信息!J330)</f>
        <v/>
      </c>
      <c r="K330" s="39" t="str">
        <f>IF([8]道具信息!K330="","",[8]道具信息!K330)</f>
        <v/>
      </c>
      <c r="L330" s="39" t="str">
        <f>IF([8]道具信息!L330="","",[8]道具信息!L330)</f>
        <v/>
      </c>
      <c r="M330" s="39" t="str">
        <f>IF([8]道具信息!M330="","",[8]道具信息!M330)</f>
        <v/>
      </c>
      <c r="N330" s="39" t="str">
        <f>IF([8]道具信息!N330="","",[8]道具信息!N330)</f>
        <v/>
      </c>
      <c r="O330" s="39" t="str">
        <f>IF([8]道具信息!O330="","",[8]道具信息!O330)</f>
        <v/>
      </c>
      <c r="P330" s="39" t="str">
        <f>IF([8]道具信息!P330="","",[8]道具信息!P330)</f>
        <v/>
      </c>
      <c r="Q330" s="39" t="str">
        <f>IF([8]道具信息!Q330="","",[8]道具信息!Q330)</f>
        <v/>
      </c>
      <c r="R330" s="39" t="str">
        <f>IF([8]道具信息!R330="","",[8]道具信息!R330)</f>
        <v/>
      </c>
      <c r="S330" s="39" t="str">
        <f>IF([8]道具信息!S330="","",[8]道具信息!S330)</f>
        <v/>
      </c>
      <c r="T330" s="39" t="str">
        <f>IF([8]道具信息!T330="","",[8]道具信息!T330)</f>
        <v/>
      </c>
      <c r="U330" s="39" t="str">
        <f>IF([8]道具信息!U330="","",[8]道具信息!U330)</f>
        <v/>
      </c>
      <c r="V330" s="39" t="str">
        <f>IF([8]道具信息!V330="","",[8]道具信息!V330)</f>
        <v/>
      </c>
      <c r="W330" s="39" t="str">
        <f>IF([8]道具信息!W330="","",[8]道具信息!W330)</f>
        <v/>
      </c>
      <c r="X330" s="39" t="str">
        <f>IF([8]道具信息!X330="","",[8]道具信息!X330)</f>
        <v/>
      </c>
      <c r="Y330" s="39" t="str">
        <f>IF([8]道具信息!Y330="","",[8]道具信息!Y330)</f>
        <v/>
      </c>
      <c r="Z330" s="39" t="str">
        <f>IF([8]道具信息!Z330="","",[8]道具信息!Z330)</f>
        <v/>
      </c>
    </row>
    <row r="331" spans="1:26" x14ac:dyDescent="0.15">
      <c r="A331" s="39" t="str">
        <f>IF([8]道具信息!A331="","",[8]道具信息!A331)</f>
        <v/>
      </c>
      <c r="B331" s="39" t="str">
        <f>IF([8]道具信息!B331="","",[8]道具信息!B331)</f>
        <v/>
      </c>
      <c r="C331" s="39">
        <f>IF([8]道具信息!C331="","",[8]道具信息!C331)</f>
        <v>26400</v>
      </c>
      <c r="D331" s="39" t="str">
        <f>IF([8]道具信息!D331="","",[8]道具信息!D331)</f>
        <v>步兵虎符</v>
      </c>
      <c r="E331" s="39">
        <f>IF([8]道具信息!E331="","",[8]道具信息!E331)</f>
        <v>200</v>
      </c>
      <c r="F331" s="39">
        <f>IF([8]道具信息!F331="","",[8]道具信息!F331)</f>
        <v>1</v>
      </c>
      <c r="G331" s="39">
        <f>IF([8]道具信息!G331="","",[8]道具信息!G331)</f>
        <v>1</v>
      </c>
      <c r="H331" s="39">
        <f>IF([8]道具信息!H331="","",[8]道具信息!H331)</f>
        <v>1</v>
      </c>
      <c r="I331" s="39">
        <f>IF([8]道具信息!I331="","",[8]道具信息!I331)</f>
        <v>200</v>
      </c>
      <c r="J331" s="39">
        <f>IF([8]道具信息!J331="","",[8]道具信息!J331)</f>
        <v>200</v>
      </c>
      <c r="K331" s="39">
        <f>IF([8]道具信息!K331="","",[8]道具信息!K331)</f>
        <v>200</v>
      </c>
      <c r="L331" s="39" t="str">
        <f>IF([8]道具信息!L331="","",[8]道具信息!L331)</f>
        <v>使用后立即获得10000步兵新兵</v>
      </c>
      <c r="M331" s="39" t="str">
        <f>IF([8]道具信息!M331="","",[8]道具信息!M331)</f>
        <v/>
      </c>
      <c r="N331" s="39" t="str">
        <f>IF([8]道具信息!N331="","",[8]道具信息!N331)</f>
        <v/>
      </c>
      <c r="O331" s="39" t="str">
        <f>IF([8]道具信息!O331="","",[8]道具信息!O331)</f>
        <v/>
      </c>
      <c r="P331" s="39" t="str">
        <f>IF([8]道具信息!P331="","",[8]道具信息!P331)</f>
        <v/>
      </c>
      <c r="Q331" s="39" t="str">
        <f>IF([8]道具信息!Q331="","",[8]道具信息!Q331)</f>
        <v/>
      </c>
      <c r="R331" s="39" t="str">
        <f>IF([8]道具信息!R331="","",[8]道具信息!R331)</f>
        <v/>
      </c>
      <c r="S331" s="39" t="str">
        <f>IF([8]道具信息!S331="","",[8]道具信息!S331)</f>
        <v/>
      </c>
      <c r="T331" s="39" t="str">
        <f>IF([8]道具信息!T331="","",[8]道具信息!T331)</f>
        <v/>
      </c>
      <c r="U331" s="39" t="str">
        <f>IF([8]道具信息!U331="","",[8]道具信息!U331)</f>
        <v/>
      </c>
      <c r="V331" s="39" t="str">
        <f>IF([8]道具信息!V331="","",[8]道具信息!V331)</f>
        <v/>
      </c>
      <c r="W331" s="39" t="str">
        <f>IF([8]道具信息!W331="","",[8]道具信息!W331)</f>
        <v/>
      </c>
      <c r="X331" s="39" t="str">
        <f>IF([8]道具信息!X331="","",[8]道具信息!X331)</f>
        <v/>
      </c>
      <c r="Y331" s="39" t="str">
        <f>IF([8]道具信息!Y331="","",[8]道具信息!Y331)</f>
        <v/>
      </c>
      <c r="Z331" s="39" t="str">
        <f>IF([8]道具信息!Z331="","",[8]道具信息!Z331)</f>
        <v/>
      </c>
    </row>
    <row r="332" spans="1:26" x14ac:dyDescent="0.15">
      <c r="A332" s="39" t="str">
        <f>IF([8]道具信息!A332="","",[8]道具信息!A332)</f>
        <v/>
      </c>
      <c r="B332" s="39" t="str">
        <f>IF([8]道具信息!B332="","",[8]道具信息!B332)</f>
        <v/>
      </c>
      <c r="C332" s="39">
        <f>IF([8]道具信息!C332="","",[8]道具信息!C332)</f>
        <v>26401</v>
      </c>
      <c r="D332" s="39" t="str">
        <f>IF([8]道具信息!D332="","",[8]道具信息!D332)</f>
        <v>骑兵虎符</v>
      </c>
      <c r="E332" s="39">
        <f>IF([8]道具信息!E332="","",[8]道具信息!E332)</f>
        <v>200</v>
      </c>
      <c r="F332" s="39">
        <f>IF([8]道具信息!F332="","",[8]道具信息!F332)</f>
        <v>1</v>
      </c>
      <c r="G332" s="39">
        <f>IF([8]道具信息!G332="","",[8]道具信息!G332)</f>
        <v>1</v>
      </c>
      <c r="H332" s="39">
        <f>IF([8]道具信息!H332="","",[8]道具信息!H332)</f>
        <v>1</v>
      </c>
      <c r="I332" s="39">
        <f>IF([8]道具信息!I332="","",[8]道具信息!I332)</f>
        <v>200</v>
      </c>
      <c r="J332" s="39">
        <f>IF([8]道具信息!J332="","",[8]道具信息!J332)</f>
        <v>200</v>
      </c>
      <c r="K332" s="39">
        <f>IF([8]道具信息!K332="","",[8]道具信息!K332)</f>
        <v>200</v>
      </c>
      <c r="L332" s="39" t="str">
        <f>IF([8]道具信息!L332="","",[8]道具信息!L332)</f>
        <v>使用后立即获得10000骑兵新兵</v>
      </c>
      <c r="M332" s="39" t="str">
        <f>IF([8]道具信息!M332="","",[8]道具信息!M332)</f>
        <v/>
      </c>
      <c r="N332" s="39" t="str">
        <f>IF([8]道具信息!N332="","",[8]道具信息!N332)</f>
        <v/>
      </c>
      <c r="O332" s="39" t="str">
        <f>IF([8]道具信息!O332="","",[8]道具信息!O332)</f>
        <v/>
      </c>
      <c r="P332" s="39" t="str">
        <f>IF([8]道具信息!P332="","",[8]道具信息!P332)</f>
        <v/>
      </c>
      <c r="Q332" s="39" t="str">
        <f>IF([8]道具信息!Q332="","",[8]道具信息!Q332)</f>
        <v/>
      </c>
      <c r="R332" s="39" t="str">
        <f>IF([8]道具信息!R332="","",[8]道具信息!R332)</f>
        <v/>
      </c>
      <c r="S332" s="39" t="str">
        <f>IF([8]道具信息!S332="","",[8]道具信息!S332)</f>
        <v/>
      </c>
      <c r="T332" s="39" t="str">
        <f>IF([8]道具信息!T332="","",[8]道具信息!T332)</f>
        <v/>
      </c>
      <c r="U332" s="39" t="str">
        <f>IF([8]道具信息!U332="","",[8]道具信息!U332)</f>
        <v/>
      </c>
      <c r="V332" s="39" t="str">
        <f>IF([8]道具信息!V332="","",[8]道具信息!V332)</f>
        <v/>
      </c>
      <c r="W332" s="39" t="str">
        <f>IF([8]道具信息!W332="","",[8]道具信息!W332)</f>
        <v/>
      </c>
      <c r="X332" s="39" t="str">
        <f>IF([8]道具信息!X332="","",[8]道具信息!X332)</f>
        <v/>
      </c>
      <c r="Y332" s="39" t="str">
        <f>IF([8]道具信息!Y332="","",[8]道具信息!Y332)</f>
        <v/>
      </c>
      <c r="Z332" s="39" t="str">
        <f>IF([8]道具信息!Z332="","",[8]道具信息!Z332)</f>
        <v/>
      </c>
    </row>
    <row r="333" spans="1:26" x14ac:dyDescent="0.15">
      <c r="A333" s="39" t="str">
        <f>IF([8]道具信息!A333="","",[8]道具信息!A333)</f>
        <v/>
      </c>
      <c r="B333" s="39" t="str">
        <f>IF([8]道具信息!B333="","",[8]道具信息!B333)</f>
        <v/>
      </c>
      <c r="C333" s="39">
        <f>IF([8]道具信息!C333="","",[8]道具信息!C333)</f>
        <v>26402</v>
      </c>
      <c r="D333" s="39" t="str">
        <f>IF([8]道具信息!D333="","",[8]道具信息!D333)</f>
        <v>弓箭虎符</v>
      </c>
      <c r="E333" s="39">
        <f>IF([8]道具信息!E333="","",[8]道具信息!E333)</f>
        <v>200</v>
      </c>
      <c r="F333" s="39">
        <f>IF([8]道具信息!F333="","",[8]道具信息!F333)</f>
        <v>1</v>
      </c>
      <c r="G333" s="39">
        <f>IF([8]道具信息!G333="","",[8]道具信息!G333)</f>
        <v>1</v>
      </c>
      <c r="H333" s="39">
        <f>IF([8]道具信息!H333="","",[8]道具信息!H333)</f>
        <v>1</v>
      </c>
      <c r="I333" s="39">
        <f>IF([8]道具信息!I333="","",[8]道具信息!I333)</f>
        <v>200</v>
      </c>
      <c r="J333" s="39">
        <f>IF([8]道具信息!J333="","",[8]道具信息!J333)</f>
        <v>200</v>
      </c>
      <c r="K333" s="39">
        <f>IF([8]道具信息!K333="","",[8]道具信息!K333)</f>
        <v>200</v>
      </c>
      <c r="L333" s="39" t="str">
        <f>IF([8]道具信息!L333="","",[8]道具信息!L333)</f>
        <v>使用后立即获得10000弓箭新兵</v>
      </c>
      <c r="M333" s="39" t="str">
        <f>IF([8]道具信息!M333="","",[8]道具信息!M333)</f>
        <v/>
      </c>
      <c r="N333" s="39" t="str">
        <f>IF([8]道具信息!N333="","",[8]道具信息!N333)</f>
        <v/>
      </c>
      <c r="O333" s="39" t="str">
        <f>IF([8]道具信息!O333="","",[8]道具信息!O333)</f>
        <v/>
      </c>
      <c r="P333" s="39" t="str">
        <f>IF([8]道具信息!P333="","",[8]道具信息!P333)</f>
        <v/>
      </c>
      <c r="Q333" s="39" t="str">
        <f>IF([8]道具信息!Q333="","",[8]道具信息!Q333)</f>
        <v/>
      </c>
      <c r="R333" s="39" t="str">
        <f>IF([8]道具信息!R333="","",[8]道具信息!R333)</f>
        <v/>
      </c>
      <c r="S333" s="39" t="str">
        <f>IF([8]道具信息!S333="","",[8]道具信息!S333)</f>
        <v/>
      </c>
      <c r="T333" s="39" t="str">
        <f>IF([8]道具信息!T333="","",[8]道具信息!T333)</f>
        <v/>
      </c>
      <c r="U333" s="39" t="str">
        <f>IF([8]道具信息!U333="","",[8]道具信息!U333)</f>
        <v/>
      </c>
      <c r="V333" s="39" t="str">
        <f>IF([8]道具信息!V333="","",[8]道具信息!V333)</f>
        <v/>
      </c>
      <c r="W333" s="39" t="str">
        <f>IF([8]道具信息!W333="","",[8]道具信息!W333)</f>
        <v/>
      </c>
      <c r="X333" s="39" t="str">
        <f>IF([8]道具信息!X333="","",[8]道具信息!X333)</f>
        <v/>
      </c>
      <c r="Y333" s="39" t="str">
        <f>IF([8]道具信息!Y333="","",[8]道具信息!Y333)</f>
        <v/>
      </c>
      <c r="Z333" s="39" t="str">
        <f>IF([8]道具信息!Z333="","",[8]道具信息!Z333)</f>
        <v/>
      </c>
    </row>
    <row r="334" spans="1:26" x14ac:dyDescent="0.15">
      <c r="A334" s="39" t="str">
        <f>IF([8]道具信息!A334="","",[8]道具信息!A334)</f>
        <v/>
      </c>
      <c r="B334" s="39" t="str">
        <f>IF([8]道具信息!B334="","",[8]道具信息!B334)</f>
        <v/>
      </c>
      <c r="C334" s="39">
        <f>IF([8]道具信息!C334="","",[8]道具信息!C334)</f>
        <v>26403</v>
      </c>
      <c r="D334" s="39" t="str">
        <f>IF([8]道具信息!D334="","",[8]道具信息!D334)</f>
        <v>器械虎符</v>
      </c>
      <c r="E334" s="39">
        <f>IF([8]道具信息!E334="","",[8]道具信息!E334)</f>
        <v>200</v>
      </c>
      <c r="F334" s="39">
        <f>IF([8]道具信息!F334="","",[8]道具信息!F334)</f>
        <v>1</v>
      </c>
      <c r="G334" s="39">
        <f>IF([8]道具信息!G334="","",[8]道具信息!G334)</f>
        <v>1</v>
      </c>
      <c r="H334" s="39">
        <f>IF([8]道具信息!H334="","",[8]道具信息!H334)</f>
        <v>1</v>
      </c>
      <c r="I334" s="39">
        <f>IF([8]道具信息!I334="","",[8]道具信息!I334)</f>
        <v>200</v>
      </c>
      <c r="J334" s="39">
        <f>IF([8]道具信息!J334="","",[8]道具信息!J334)</f>
        <v>200</v>
      </c>
      <c r="K334" s="39">
        <f>IF([8]道具信息!K334="","",[8]道具信息!K334)</f>
        <v>200</v>
      </c>
      <c r="L334" s="39" t="str">
        <f>IF([8]道具信息!L334="","",[8]道具信息!L334)</f>
        <v>使用后立即获得10000器械兵新兵</v>
      </c>
      <c r="M334" s="39" t="str">
        <f>IF([8]道具信息!M334="","",[8]道具信息!M334)</f>
        <v/>
      </c>
      <c r="N334" s="39" t="str">
        <f>IF([8]道具信息!N334="","",[8]道具信息!N334)</f>
        <v/>
      </c>
      <c r="O334" s="39" t="str">
        <f>IF([8]道具信息!O334="","",[8]道具信息!O334)</f>
        <v/>
      </c>
      <c r="P334" s="39" t="str">
        <f>IF([8]道具信息!P334="","",[8]道具信息!P334)</f>
        <v/>
      </c>
      <c r="Q334" s="39" t="str">
        <f>IF([8]道具信息!Q334="","",[8]道具信息!Q334)</f>
        <v/>
      </c>
      <c r="R334" s="39" t="str">
        <f>IF([8]道具信息!R334="","",[8]道具信息!R334)</f>
        <v/>
      </c>
      <c r="S334" s="39" t="str">
        <f>IF([8]道具信息!S334="","",[8]道具信息!S334)</f>
        <v/>
      </c>
      <c r="T334" s="39" t="str">
        <f>IF([8]道具信息!T334="","",[8]道具信息!T334)</f>
        <v/>
      </c>
      <c r="U334" s="39" t="str">
        <f>IF([8]道具信息!U334="","",[8]道具信息!U334)</f>
        <v/>
      </c>
      <c r="V334" s="39" t="str">
        <f>IF([8]道具信息!V334="","",[8]道具信息!V334)</f>
        <v/>
      </c>
      <c r="W334" s="39" t="str">
        <f>IF([8]道具信息!W334="","",[8]道具信息!W334)</f>
        <v/>
      </c>
      <c r="X334" s="39" t="str">
        <f>IF([8]道具信息!X334="","",[8]道具信息!X334)</f>
        <v/>
      </c>
      <c r="Y334" s="39" t="str">
        <f>IF([8]道具信息!Y334="","",[8]道具信息!Y334)</f>
        <v/>
      </c>
      <c r="Z334" s="39" t="str">
        <f>IF([8]道具信息!Z334="","",[8]道具信息!Z334)</f>
        <v/>
      </c>
    </row>
    <row r="335" spans="1:26" x14ac:dyDescent="0.15">
      <c r="A335" s="39" t="str">
        <f>IF([8]道具信息!A335="","",[8]道具信息!A335)</f>
        <v/>
      </c>
      <c r="B335" s="39" t="str">
        <f>IF([8]道具信息!B335="","",[8]道具信息!B335)</f>
        <v/>
      </c>
      <c r="C335" s="39" t="str">
        <f>IF([8]道具信息!C335="","",[8]道具信息!C335)</f>
        <v/>
      </c>
      <c r="D335" s="39" t="str">
        <f>IF([8]道具信息!D335="","",[8]道具信息!D335)</f>
        <v/>
      </c>
      <c r="E335" s="39" t="str">
        <f>IF([8]道具信息!E335="","",[8]道具信息!E335)</f>
        <v/>
      </c>
      <c r="F335" s="39" t="str">
        <f>IF([8]道具信息!F335="","",[8]道具信息!F335)</f>
        <v/>
      </c>
      <c r="G335" s="39" t="str">
        <f>IF([8]道具信息!G335="","",[8]道具信息!G335)</f>
        <v/>
      </c>
      <c r="H335" s="39" t="str">
        <f>IF([8]道具信息!H335="","",[8]道具信息!H335)</f>
        <v/>
      </c>
      <c r="I335" s="39" t="str">
        <f>IF([8]道具信息!I335="","",[8]道具信息!I335)</f>
        <v/>
      </c>
      <c r="J335" s="39" t="str">
        <f>IF([8]道具信息!J335="","",[8]道具信息!J335)</f>
        <v/>
      </c>
      <c r="K335" s="39" t="str">
        <f>IF([8]道具信息!K335="","",[8]道具信息!K335)</f>
        <v/>
      </c>
      <c r="L335" s="39" t="str">
        <f>IF([8]道具信息!L335="","",[8]道具信息!L335)</f>
        <v/>
      </c>
      <c r="M335" s="39" t="str">
        <f>IF([8]道具信息!M335="","",[8]道具信息!M335)</f>
        <v/>
      </c>
      <c r="N335" s="39" t="str">
        <f>IF([8]道具信息!N335="","",[8]道具信息!N335)</f>
        <v/>
      </c>
      <c r="O335" s="39" t="str">
        <f>IF([8]道具信息!O335="","",[8]道具信息!O335)</f>
        <v/>
      </c>
      <c r="P335" s="39" t="str">
        <f>IF([8]道具信息!P335="","",[8]道具信息!P335)</f>
        <v/>
      </c>
      <c r="Q335" s="39" t="str">
        <f>IF([8]道具信息!Q335="","",[8]道具信息!Q335)</f>
        <v/>
      </c>
      <c r="R335" s="39" t="str">
        <f>IF([8]道具信息!R335="","",[8]道具信息!R335)</f>
        <v/>
      </c>
      <c r="S335" s="39" t="str">
        <f>IF([8]道具信息!S335="","",[8]道具信息!S335)</f>
        <v/>
      </c>
      <c r="T335" s="39" t="str">
        <f>IF([8]道具信息!T335="","",[8]道具信息!T335)</f>
        <v/>
      </c>
      <c r="U335" s="39" t="str">
        <f>IF([8]道具信息!U335="","",[8]道具信息!U335)</f>
        <v/>
      </c>
      <c r="V335" s="39" t="str">
        <f>IF([8]道具信息!V335="","",[8]道具信息!V335)</f>
        <v/>
      </c>
      <c r="W335" s="39" t="str">
        <f>IF([8]道具信息!W335="","",[8]道具信息!W335)</f>
        <v/>
      </c>
      <c r="X335" s="39" t="str">
        <f>IF([8]道具信息!X335="","",[8]道具信息!X335)</f>
        <v/>
      </c>
      <c r="Y335" s="39" t="str">
        <f>IF([8]道具信息!Y335="","",[8]道具信息!Y335)</f>
        <v/>
      </c>
      <c r="Z335" s="39" t="str">
        <f>IF([8]道具信息!Z335="","",[8]道具信息!Z335)</f>
        <v/>
      </c>
    </row>
    <row r="336" spans="1:26" x14ac:dyDescent="0.15">
      <c r="A336" s="39" t="str">
        <f>IF([8]道具信息!A336="","",[8]道具信息!A336)</f>
        <v/>
      </c>
      <c r="B336" s="39" t="str">
        <f>IF([8]道具信息!B336="","",[8]道具信息!B336)</f>
        <v/>
      </c>
      <c r="C336" s="39">
        <f>IF([8]道具信息!C336="","",[8]道具信息!C336)</f>
        <v>26500</v>
      </c>
      <c r="D336" s="39" t="str">
        <f>IF([8]道具信息!D336="","",[8]道具信息!D336)</f>
        <v>兵法宝箱</v>
      </c>
      <c r="E336" s="39">
        <f>IF([8]道具信息!E336="","",[8]道具信息!E336)</f>
        <v>250</v>
      </c>
      <c r="F336" s="39">
        <f>IF([8]道具信息!F336="","",[8]道具信息!F336)</f>
        <v>1</v>
      </c>
      <c r="G336" s="39">
        <f>IF([8]道具信息!G336="","",[8]道具信息!G336)</f>
        <v>1</v>
      </c>
      <c r="H336" s="39">
        <f>IF([8]道具信息!H336="","",[8]道具信息!H336)</f>
        <v>1</v>
      </c>
      <c r="I336" s="39">
        <f>IF([8]道具信息!I336="","",[8]道具信息!I336)</f>
        <v>250</v>
      </c>
      <c r="J336" s="39">
        <f>IF([8]道具信息!J336="","",[8]道具信息!J336)</f>
        <v>250</v>
      </c>
      <c r="K336" s="39">
        <f>IF([8]道具信息!K336="","",[8]道具信息!K336)</f>
        <v>250</v>
      </c>
      <c r="L336" s="39" t="str">
        <f>IF([8]道具信息!L336="","",[8]道具信息!L336)</f>
        <v>使用后随机获得1个兵法</v>
      </c>
      <c r="M336" s="39" t="str">
        <f>IF([8]道具信息!M336="","",[8]道具信息!M336)</f>
        <v/>
      </c>
      <c r="N336" s="39" t="str">
        <f>IF([8]道具信息!N336="","",[8]道具信息!N336)</f>
        <v/>
      </c>
      <c r="O336" s="39" t="str">
        <f>IF([8]道具信息!O336="","",[8]道具信息!O336)</f>
        <v/>
      </c>
      <c r="P336" s="39" t="str">
        <f>IF([8]道具信息!P336="","",[8]道具信息!P336)</f>
        <v/>
      </c>
      <c r="Q336" s="39" t="str">
        <f>IF([8]道具信息!Q336="","",[8]道具信息!Q336)</f>
        <v/>
      </c>
      <c r="R336" s="39" t="str">
        <f>IF([8]道具信息!R336="","",[8]道具信息!R336)</f>
        <v/>
      </c>
      <c r="S336" s="39" t="str">
        <f>IF([8]道具信息!S336="","",[8]道具信息!S336)</f>
        <v/>
      </c>
      <c r="T336" s="39" t="str">
        <f>IF([8]道具信息!T336="","",[8]道具信息!T336)</f>
        <v/>
      </c>
      <c r="U336" s="39" t="str">
        <f>IF([8]道具信息!U336="","",[8]道具信息!U336)</f>
        <v/>
      </c>
      <c r="V336" s="39" t="str">
        <f>IF([8]道具信息!V336="","",[8]道具信息!V336)</f>
        <v/>
      </c>
      <c r="W336" s="39" t="str">
        <f>IF([8]道具信息!W336="","",[8]道具信息!W336)</f>
        <v/>
      </c>
      <c r="X336" s="39" t="str">
        <f>IF([8]道具信息!X336="","",[8]道具信息!X336)</f>
        <v/>
      </c>
      <c r="Y336" s="39" t="str">
        <f>IF([8]道具信息!Y336="","",[8]道具信息!Y336)</f>
        <v/>
      </c>
      <c r="Z336" s="39" t="str">
        <f>IF([8]道具信息!Z336="","",[8]道具信息!Z336)</f>
        <v/>
      </c>
    </row>
    <row r="337" spans="1:26" x14ac:dyDescent="0.15">
      <c r="A337" s="39" t="str">
        <f>IF([8]道具信息!A337="","",[8]道具信息!A337)</f>
        <v/>
      </c>
      <c r="B337" s="39" t="str">
        <f>IF([8]道具信息!B337="","",[8]道具信息!B337)</f>
        <v/>
      </c>
      <c r="C337" s="39">
        <f>IF([8]道具信息!C337="","",[8]道具信息!C337)</f>
        <v>26501</v>
      </c>
      <c r="D337" s="39" t="str">
        <f>IF([8]道具信息!D337="","",[8]道具信息!D337)</f>
        <v>蓝色兵法宝箱</v>
      </c>
      <c r="E337" s="39">
        <f>IF([8]道具信息!E337="","",[8]道具信息!E337)</f>
        <v>50</v>
      </c>
      <c r="F337" s="39">
        <f>IF([8]道具信息!F337="","",[8]道具信息!F337)</f>
        <v>1</v>
      </c>
      <c r="G337" s="39">
        <f>IF([8]道具信息!G337="","",[8]道具信息!G337)</f>
        <v>1</v>
      </c>
      <c r="H337" s="39">
        <f>IF([8]道具信息!H337="","",[8]道具信息!H337)</f>
        <v>1</v>
      </c>
      <c r="I337" s="39">
        <f>IF([8]道具信息!I337="","",[8]道具信息!I337)</f>
        <v>50</v>
      </c>
      <c r="J337" s="39">
        <f>IF([8]道具信息!J337="","",[8]道具信息!J337)</f>
        <v>50</v>
      </c>
      <c r="K337" s="39">
        <f>IF([8]道具信息!K337="","",[8]道具信息!K337)</f>
        <v>50</v>
      </c>
      <c r="L337" s="39" t="str">
        <f>IF([8]道具信息!L337="","",[8]道具信息!L337)</f>
        <v>使用后随机获得1个蓝色品质兵法</v>
      </c>
      <c r="M337" s="39" t="str">
        <f>IF([8]道具信息!M337="","",[8]道具信息!M337)</f>
        <v/>
      </c>
      <c r="N337" s="39" t="str">
        <f>IF([8]道具信息!N337="","",[8]道具信息!N337)</f>
        <v/>
      </c>
      <c r="O337" s="39" t="str">
        <f>IF([8]道具信息!O337="","",[8]道具信息!O337)</f>
        <v/>
      </c>
      <c r="P337" s="39" t="str">
        <f>IF([8]道具信息!P337="","",[8]道具信息!P337)</f>
        <v/>
      </c>
      <c r="Q337" s="39" t="str">
        <f>IF([8]道具信息!Q337="","",[8]道具信息!Q337)</f>
        <v/>
      </c>
      <c r="R337" s="39" t="str">
        <f>IF([8]道具信息!R337="","",[8]道具信息!R337)</f>
        <v/>
      </c>
      <c r="S337" s="39" t="str">
        <f>IF([8]道具信息!S337="","",[8]道具信息!S337)</f>
        <v/>
      </c>
      <c r="T337" s="39" t="str">
        <f>IF([8]道具信息!T337="","",[8]道具信息!T337)</f>
        <v/>
      </c>
      <c r="U337" s="39" t="str">
        <f>IF([8]道具信息!U337="","",[8]道具信息!U337)</f>
        <v/>
      </c>
      <c r="V337" s="39" t="str">
        <f>IF([8]道具信息!V337="","",[8]道具信息!V337)</f>
        <v/>
      </c>
      <c r="W337" s="39" t="str">
        <f>IF([8]道具信息!W337="","",[8]道具信息!W337)</f>
        <v/>
      </c>
      <c r="X337" s="39" t="str">
        <f>IF([8]道具信息!X337="","",[8]道具信息!X337)</f>
        <v/>
      </c>
      <c r="Y337" s="39" t="str">
        <f>IF([8]道具信息!Y337="","",[8]道具信息!Y337)</f>
        <v/>
      </c>
      <c r="Z337" s="39" t="str">
        <f>IF([8]道具信息!Z337="","",[8]道具信息!Z337)</f>
        <v/>
      </c>
    </row>
    <row r="338" spans="1:26" x14ac:dyDescent="0.15">
      <c r="A338" s="39" t="str">
        <f>IF([8]道具信息!A338="","",[8]道具信息!A338)</f>
        <v/>
      </c>
      <c r="B338" s="39" t="str">
        <f>IF([8]道具信息!B338="","",[8]道具信息!B338)</f>
        <v/>
      </c>
      <c r="C338" s="39">
        <f>IF([8]道具信息!C338="","",[8]道具信息!C338)</f>
        <v>26502</v>
      </c>
      <c r="D338" s="39" t="str">
        <f>IF([8]道具信息!D338="","",[8]道具信息!D338)</f>
        <v>紫色兵法宝箱</v>
      </c>
      <c r="E338" s="39">
        <f>IF([8]道具信息!E338="","",[8]道具信息!E338)</f>
        <v>500</v>
      </c>
      <c r="F338" s="39">
        <f>IF([8]道具信息!F338="","",[8]道具信息!F338)</f>
        <v>1</v>
      </c>
      <c r="G338" s="39">
        <f>IF([8]道具信息!G338="","",[8]道具信息!G338)</f>
        <v>1</v>
      </c>
      <c r="H338" s="39">
        <f>IF([8]道具信息!H338="","",[8]道具信息!H338)</f>
        <v>1</v>
      </c>
      <c r="I338" s="39">
        <f>IF([8]道具信息!I338="","",[8]道具信息!I338)</f>
        <v>500</v>
      </c>
      <c r="J338" s="39">
        <f>IF([8]道具信息!J338="","",[8]道具信息!J338)</f>
        <v>500</v>
      </c>
      <c r="K338" s="39">
        <f>IF([8]道具信息!K338="","",[8]道具信息!K338)</f>
        <v>500</v>
      </c>
      <c r="L338" s="39" t="str">
        <f>IF([8]道具信息!L338="","",[8]道具信息!L338)</f>
        <v>使用后随机获得1个紫色品质兵法</v>
      </c>
      <c r="M338" s="39" t="str">
        <f>IF([8]道具信息!M338="","",[8]道具信息!M338)</f>
        <v/>
      </c>
      <c r="N338" s="39" t="str">
        <f>IF([8]道具信息!N338="","",[8]道具信息!N338)</f>
        <v/>
      </c>
      <c r="O338" s="39" t="str">
        <f>IF([8]道具信息!O338="","",[8]道具信息!O338)</f>
        <v/>
      </c>
      <c r="P338" s="39" t="str">
        <f>IF([8]道具信息!P338="","",[8]道具信息!P338)</f>
        <v/>
      </c>
      <c r="Q338" s="39" t="str">
        <f>IF([8]道具信息!Q338="","",[8]道具信息!Q338)</f>
        <v/>
      </c>
      <c r="R338" s="39" t="str">
        <f>IF([8]道具信息!R338="","",[8]道具信息!R338)</f>
        <v/>
      </c>
      <c r="S338" s="39" t="str">
        <f>IF([8]道具信息!S338="","",[8]道具信息!S338)</f>
        <v/>
      </c>
      <c r="T338" s="39" t="str">
        <f>IF([8]道具信息!T338="","",[8]道具信息!T338)</f>
        <v/>
      </c>
      <c r="U338" s="39" t="str">
        <f>IF([8]道具信息!U338="","",[8]道具信息!U338)</f>
        <v/>
      </c>
      <c r="V338" s="39" t="str">
        <f>IF([8]道具信息!V338="","",[8]道具信息!V338)</f>
        <v/>
      </c>
      <c r="W338" s="39" t="str">
        <f>IF([8]道具信息!W338="","",[8]道具信息!W338)</f>
        <v/>
      </c>
      <c r="X338" s="39" t="str">
        <f>IF([8]道具信息!X338="","",[8]道具信息!X338)</f>
        <v/>
      </c>
      <c r="Y338" s="39" t="str">
        <f>IF([8]道具信息!Y338="","",[8]道具信息!Y338)</f>
        <v/>
      </c>
      <c r="Z338" s="39" t="str">
        <f>IF([8]道具信息!Z338="","",[8]道具信息!Z338)</f>
        <v/>
      </c>
    </row>
    <row r="339" spans="1:26" x14ac:dyDescent="0.15">
      <c r="A339" s="39" t="str">
        <f>IF([8]道具信息!A339="","",[8]道具信息!A339)</f>
        <v/>
      </c>
      <c r="B339" s="39" t="str">
        <f>IF([8]道具信息!B339="","",[8]道具信息!B339)</f>
        <v/>
      </c>
      <c r="C339" s="39">
        <f>IF([8]道具信息!C339="","",[8]道具信息!C339)</f>
        <v>26503</v>
      </c>
      <c r="D339" s="39" t="str">
        <f>IF([8]道具信息!D339="","",[8]道具信息!D339)</f>
        <v>橙色兵法宝箱</v>
      </c>
      <c r="E339" s="39">
        <f>IF([8]道具信息!E339="","",[8]道具信息!E339)</f>
        <v>1680</v>
      </c>
      <c r="F339" s="39">
        <f>IF([8]道具信息!F339="","",[8]道具信息!F339)</f>
        <v>1</v>
      </c>
      <c r="G339" s="39">
        <f>IF([8]道具信息!G339="","",[8]道具信息!G339)</f>
        <v>1</v>
      </c>
      <c r="H339" s="39">
        <f>IF([8]道具信息!H339="","",[8]道具信息!H339)</f>
        <v>1</v>
      </c>
      <c r="I339" s="39">
        <f>IF([8]道具信息!I339="","",[8]道具信息!I339)</f>
        <v>1680</v>
      </c>
      <c r="J339" s="39">
        <f>IF([8]道具信息!J339="","",[8]道具信息!J339)</f>
        <v>1680</v>
      </c>
      <c r="K339" s="39">
        <f>IF([8]道具信息!K339="","",[8]道具信息!K339)</f>
        <v>1680</v>
      </c>
      <c r="L339" s="39" t="str">
        <f>IF([8]道具信息!L339="","",[8]道具信息!L339)</f>
        <v>使用后随机获得1个橙色品质兵法</v>
      </c>
      <c r="M339" s="39" t="str">
        <f>IF([8]道具信息!M339="","",[8]道具信息!M339)</f>
        <v/>
      </c>
      <c r="N339" s="39" t="str">
        <f>IF([8]道具信息!N339="","",[8]道具信息!N339)</f>
        <v/>
      </c>
      <c r="O339" s="39" t="str">
        <f>IF([8]道具信息!O339="","",[8]道具信息!O339)</f>
        <v/>
      </c>
      <c r="P339" s="39" t="str">
        <f>IF([8]道具信息!P339="","",[8]道具信息!P339)</f>
        <v/>
      </c>
      <c r="Q339" s="39" t="str">
        <f>IF([8]道具信息!Q339="","",[8]道具信息!Q339)</f>
        <v/>
      </c>
      <c r="R339" s="39" t="str">
        <f>IF([8]道具信息!R339="","",[8]道具信息!R339)</f>
        <v/>
      </c>
      <c r="S339" s="39" t="str">
        <f>IF([8]道具信息!S339="","",[8]道具信息!S339)</f>
        <v/>
      </c>
      <c r="T339" s="39" t="str">
        <f>IF([8]道具信息!T339="","",[8]道具信息!T339)</f>
        <v/>
      </c>
      <c r="U339" s="39" t="str">
        <f>IF([8]道具信息!U339="","",[8]道具信息!U339)</f>
        <v/>
      </c>
      <c r="V339" s="39" t="str">
        <f>IF([8]道具信息!V339="","",[8]道具信息!V339)</f>
        <v/>
      </c>
      <c r="W339" s="39" t="str">
        <f>IF([8]道具信息!W339="","",[8]道具信息!W339)</f>
        <v/>
      </c>
      <c r="X339" s="39" t="str">
        <f>IF([8]道具信息!X339="","",[8]道具信息!X339)</f>
        <v/>
      </c>
      <c r="Y339" s="39" t="str">
        <f>IF([8]道具信息!Y339="","",[8]道具信息!Y339)</f>
        <v/>
      </c>
      <c r="Z339" s="39" t="str">
        <f>IF([8]道具信息!Z339="","",[8]道具信息!Z339)</f>
        <v/>
      </c>
    </row>
    <row r="340" spans="1:26" x14ac:dyDescent="0.15">
      <c r="A340" s="39" t="str">
        <f>IF([8]道具信息!A340="","",[8]道具信息!A340)</f>
        <v/>
      </c>
      <c r="B340" s="39" t="str">
        <f>IF([8]道具信息!B340="","",[8]道具信息!B340)</f>
        <v/>
      </c>
      <c r="C340" s="39">
        <f>IF([8]道具信息!C340="","",[8]道具信息!C340)</f>
        <v>26504</v>
      </c>
      <c r="D340" s="39" t="str">
        <f>IF([8]道具信息!D340="","",[8]道具信息!D340)</f>
        <v>红色兵法宝箱</v>
      </c>
      <c r="E340" s="39">
        <f>IF([8]道具信息!E340="","",[8]道具信息!E340)</f>
        <v>14100</v>
      </c>
      <c r="F340" s="39">
        <f>IF([8]道具信息!F340="","",[8]道具信息!F340)</f>
        <v>1</v>
      </c>
      <c r="G340" s="39">
        <f>IF([8]道具信息!G340="","",[8]道具信息!G340)</f>
        <v>1</v>
      </c>
      <c r="H340" s="39">
        <f>IF([8]道具信息!H340="","",[8]道具信息!H340)</f>
        <v>1</v>
      </c>
      <c r="I340" s="39">
        <f>IF([8]道具信息!I340="","",[8]道具信息!I340)</f>
        <v>14100</v>
      </c>
      <c r="J340" s="39">
        <f>IF([8]道具信息!J340="","",[8]道具信息!J340)</f>
        <v>14100</v>
      </c>
      <c r="K340" s="39">
        <f>IF([8]道具信息!K340="","",[8]道具信息!K340)</f>
        <v>14100</v>
      </c>
      <c r="L340" s="39" t="str">
        <f>IF([8]道具信息!L340="","",[8]道具信息!L340)</f>
        <v>使用后随机获得1个红色品质兵法</v>
      </c>
      <c r="M340" s="39" t="str">
        <f>IF([8]道具信息!M340="","",[8]道具信息!M340)</f>
        <v/>
      </c>
      <c r="N340" s="39" t="str">
        <f>IF([8]道具信息!N340="","",[8]道具信息!N340)</f>
        <v/>
      </c>
      <c r="O340" s="39" t="str">
        <f>IF([8]道具信息!O340="","",[8]道具信息!O340)</f>
        <v/>
      </c>
      <c r="P340" s="39" t="str">
        <f>IF([8]道具信息!P340="","",[8]道具信息!P340)</f>
        <v/>
      </c>
      <c r="Q340" s="39" t="str">
        <f>IF([8]道具信息!Q340="","",[8]道具信息!Q340)</f>
        <v/>
      </c>
      <c r="R340" s="39" t="str">
        <f>IF([8]道具信息!R340="","",[8]道具信息!R340)</f>
        <v/>
      </c>
      <c r="S340" s="39" t="str">
        <f>IF([8]道具信息!S340="","",[8]道具信息!S340)</f>
        <v/>
      </c>
      <c r="T340" s="39" t="str">
        <f>IF([8]道具信息!T340="","",[8]道具信息!T340)</f>
        <v/>
      </c>
      <c r="U340" s="39" t="str">
        <f>IF([8]道具信息!U340="","",[8]道具信息!U340)</f>
        <v/>
      </c>
      <c r="V340" s="39" t="str">
        <f>IF([8]道具信息!V340="","",[8]道具信息!V340)</f>
        <v/>
      </c>
      <c r="W340" s="39" t="str">
        <f>IF([8]道具信息!W340="","",[8]道具信息!W340)</f>
        <v/>
      </c>
      <c r="X340" s="39" t="str">
        <f>IF([8]道具信息!X340="","",[8]道具信息!X340)</f>
        <v/>
      </c>
      <c r="Y340" s="39" t="str">
        <f>IF([8]道具信息!Y340="","",[8]道具信息!Y340)</f>
        <v/>
      </c>
      <c r="Z340" s="39" t="str">
        <f>IF([8]道具信息!Z340="","",[8]道具信息!Z340)</f>
        <v/>
      </c>
    </row>
    <row r="341" spans="1:26" x14ac:dyDescent="0.15">
      <c r="A341" s="39" t="str">
        <f>IF([8]道具信息!A341="","",[8]道具信息!A341)</f>
        <v/>
      </c>
      <c r="B341" s="39" t="str">
        <f>IF([8]道具信息!B341="","",[8]道具信息!B341)</f>
        <v/>
      </c>
      <c r="C341" s="39" t="str">
        <f>IF([8]道具信息!C341="","",[8]道具信息!C341)</f>
        <v/>
      </c>
      <c r="D341" s="39" t="str">
        <f>IF([8]道具信息!D341="","",[8]道具信息!D341)</f>
        <v>指定or任选蓝色兵法</v>
      </c>
      <c r="E341" s="39">
        <f>IF([8]道具信息!E341="","",[8]道具信息!E341)</f>
        <v>35</v>
      </c>
      <c r="F341" s="39">
        <f>IF([8]道具信息!F341="","",[8]道具信息!F341)</f>
        <v>1</v>
      </c>
      <c r="G341" s="39">
        <f>IF([8]道具信息!G341="","",[8]道具信息!G341)</f>
        <v>1</v>
      </c>
      <c r="H341" s="39">
        <f>IF([8]道具信息!H341="","",[8]道具信息!H341)</f>
        <v>1</v>
      </c>
      <c r="I341" s="39">
        <f>IF([8]道具信息!I341="","",[8]道具信息!I341)</f>
        <v>35</v>
      </c>
      <c r="J341" s="39">
        <f>IF([8]道具信息!J341="","",[8]道具信息!J341)</f>
        <v>35</v>
      </c>
      <c r="K341" s="39">
        <f>IF([8]道具信息!K341="","",[8]道具信息!K341)</f>
        <v>35</v>
      </c>
      <c r="L341" s="39" t="str">
        <f>IF([8]道具信息!L341="","",[8]道具信息!L341)</f>
        <v/>
      </c>
      <c r="M341" s="39" t="str">
        <f>IF([8]道具信息!M341="","",[8]道具信息!M341)</f>
        <v/>
      </c>
      <c r="N341" s="39" t="str">
        <f>IF([8]道具信息!N341="","",[8]道具信息!N341)</f>
        <v/>
      </c>
      <c r="O341" s="39" t="str">
        <f>IF([8]道具信息!O341="","",[8]道具信息!O341)</f>
        <v/>
      </c>
      <c r="P341" s="39" t="str">
        <f>IF([8]道具信息!P341="","",[8]道具信息!P341)</f>
        <v/>
      </c>
      <c r="Q341" s="39" t="str">
        <f>IF([8]道具信息!Q341="","",[8]道具信息!Q341)</f>
        <v/>
      </c>
      <c r="R341" s="39" t="str">
        <f>IF([8]道具信息!R341="","",[8]道具信息!R341)</f>
        <v/>
      </c>
      <c r="S341" s="39" t="str">
        <f>IF([8]道具信息!S341="","",[8]道具信息!S341)</f>
        <v/>
      </c>
      <c r="T341" s="39" t="str">
        <f>IF([8]道具信息!T341="","",[8]道具信息!T341)</f>
        <v/>
      </c>
      <c r="U341" s="39" t="str">
        <f>IF([8]道具信息!U341="","",[8]道具信息!U341)</f>
        <v/>
      </c>
      <c r="V341" s="39" t="str">
        <f>IF([8]道具信息!V341="","",[8]道具信息!V341)</f>
        <v/>
      </c>
      <c r="W341" s="39" t="str">
        <f>IF([8]道具信息!W341="","",[8]道具信息!W341)</f>
        <v/>
      </c>
      <c r="X341" s="39" t="str">
        <f>IF([8]道具信息!X341="","",[8]道具信息!X341)</f>
        <v/>
      </c>
      <c r="Y341" s="39" t="str">
        <f>IF([8]道具信息!Y341="","",[8]道具信息!Y341)</f>
        <v/>
      </c>
      <c r="Z341" s="39" t="str">
        <f>IF([8]道具信息!Z341="","",[8]道具信息!Z341)</f>
        <v/>
      </c>
    </row>
    <row r="342" spans="1:26" x14ac:dyDescent="0.15">
      <c r="A342" s="39" t="str">
        <f>IF([8]道具信息!A342="","",[8]道具信息!A342)</f>
        <v/>
      </c>
      <c r="B342" s="39" t="str">
        <f>IF([8]道具信息!B342="","",[8]道具信息!B342)</f>
        <v/>
      </c>
      <c r="C342" s="39" t="str">
        <f>IF([8]道具信息!C342="","",[8]道具信息!C342)</f>
        <v/>
      </c>
      <c r="D342" s="39" t="str">
        <f>IF([8]道具信息!D342="","",[8]道具信息!D342)</f>
        <v>指定or任选紫色兵法</v>
      </c>
      <c r="E342" s="39">
        <f>IF([8]道具信息!E342="","",[8]道具信息!E342)</f>
        <v>750</v>
      </c>
      <c r="F342" s="39">
        <f>IF([8]道具信息!F342="","",[8]道具信息!F342)</f>
        <v>1</v>
      </c>
      <c r="G342" s="39">
        <f>IF([8]道具信息!G342="","",[8]道具信息!G342)</f>
        <v>1</v>
      </c>
      <c r="H342" s="39">
        <f>IF([8]道具信息!H342="","",[8]道具信息!H342)</f>
        <v>1</v>
      </c>
      <c r="I342" s="39">
        <f>IF([8]道具信息!I342="","",[8]道具信息!I342)</f>
        <v>750</v>
      </c>
      <c r="J342" s="39">
        <f>IF([8]道具信息!J342="","",[8]道具信息!J342)</f>
        <v>750</v>
      </c>
      <c r="K342" s="39">
        <f>IF([8]道具信息!K342="","",[8]道具信息!K342)</f>
        <v>750</v>
      </c>
      <c r="L342" s="39" t="str">
        <f>IF([8]道具信息!L342="","",[8]道具信息!L342)</f>
        <v/>
      </c>
      <c r="M342" s="39" t="str">
        <f>IF([8]道具信息!M342="","",[8]道具信息!M342)</f>
        <v/>
      </c>
      <c r="N342" s="39" t="str">
        <f>IF([8]道具信息!N342="","",[8]道具信息!N342)</f>
        <v/>
      </c>
      <c r="O342" s="39" t="str">
        <f>IF([8]道具信息!O342="","",[8]道具信息!O342)</f>
        <v/>
      </c>
      <c r="P342" s="39" t="str">
        <f>IF([8]道具信息!P342="","",[8]道具信息!P342)</f>
        <v/>
      </c>
      <c r="Q342" s="39" t="str">
        <f>IF([8]道具信息!Q342="","",[8]道具信息!Q342)</f>
        <v/>
      </c>
      <c r="R342" s="39" t="str">
        <f>IF([8]道具信息!R342="","",[8]道具信息!R342)</f>
        <v/>
      </c>
      <c r="S342" s="39" t="str">
        <f>IF([8]道具信息!S342="","",[8]道具信息!S342)</f>
        <v/>
      </c>
      <c r="T342" s="39" t="str">
        <f>IF([8]道具信息!T342="","",[8]道具信息!T342)</f>
        <v/>
      </c>
      <c r="U342" s="39" t="str">
        <f>IF([8]道具信息!U342="","",[8]道具信息!U342)</f>
        <v/>
      </c>
      <c r="V342" s="39" t="str">
        <f>IF([8]道具信息!V342="","",[8]道具信息!V342)</f>
        <v/>
      </c>
      <c r="W342" s="39" t="str">
        <f>IF([8]道具信息!W342="","",[8]道具信息!W342)</f>
        <v/>
      </c>
      <c r="X342" s="39" t="str">
        <f>IF([8]道具信息!X342="","",[8]道具信息!X342)</f>
        <v/>
      </c>
      <c r="Y342" s="39" t="str">
        <f>IF([8]道具信息!Y342="","",[8]道具信息!Y342)</f>
        <v/>
      </c>
      <c r="Z342" s="39" t="str">
        <f>IF([8]道具信息!Z342="","",[8]道具信息!Z342)</f>
        <v/>
      </c>
    </row>
    <row r="343" spans="1:26" x14ac:dyDescent="0.15">
      <c r="A343" s="39" t="str">
        <f>IF([8]道具信息!A343="","",[8]道具信息!A343)</f>
        <v/>
      </c>
      <c r="B343" s="39" t="str">
        <f>IF([8]道具信息!B343="","",[8]道具信息!B343)</f>
        <v/>
      </c>
      <c r="C343" s="39" t="str">
        <f>IF([8]道具信息!C343="","",[8]道具信息!C343)</f>
        <v/>
      </c>
      <c r="D343" s="39" t="str">
        <f>IF([8]道具信息!D343="","",[8]道具信息!D343)</f>
        <v>指定or任选橙色兵法</v>
      </c>
      <c r="E343" s="39">
        <f>IF([8]道具信息!E343="","",[8]道具信息!E343)</f>
        <v>3350</v>
      </c>
      <c r="F343" s="39">
        <f>IF([8]道具信息!F343="","",[8]道具信息!F343)</f>
        <v>1</v>
      </c>
      <c r="G343" s="39">
        <f>IF([8]道具信息!G343="","",[8]道具信息!G343)</f>
        <v>1</v>
      </c>
      <c r="H343" s="39">
        <f>IF([8]道具信息!H343="","",[8]道具信息!H343)</f>
        <v>1</v>
      </c>
      <c r="I343" s="39">
        <f>IF([8]道具信息!I343="","",[8]道具信息!I343)</f>
        <v>3350</v>
      </c>
      <c r="J343" s="39">
        <f>IF([8]道具信息!J343="","",[8]道具信息!J343)</f>
        <v>3350</v>
      </c>
      <c r="K343" s="39">
        <f>IF([8]道具信息!K343="","",[8]道具信息!K343)</f>
        <v>3350</v>
      </c>
      <c r="L343" s="39" t="str">
        <f>IF([8]道具信息!L343="","",[8]道具信息!L343)</f>
        <v/>
      </c>
      <c r="M343" s="39" t="str">
        <f>IF([8]道具信息!M343="","",[8]道具信息!M343)</f>
        <v/>
      </c>
      <c r="N343" s="39" t="str">
        <f>IF([8]道具信息!N343="","",[8]道具信息!N343)</f>
        <v/>
      </c>
      <c r="O343" s="39" t="str">
        <f>IF([8]道具信息!O343="","",[8]道具信息!O343)</f>
        <v/>
      </c>
      <c r="P343" s="39" t="str">
        <f>IF([8]道具信息!P343="","",[8]道具信息!P343)</f>
        <v/>
      </c>
      <c r="Q343" s="39" t="str">
        <f>IF([8]道具信息!Q343="","",[8]道具信息!Q343)</f>
        <v/>
      </c>
      <c r="R343" s="39" t="str">
        <f>IF([8]道具信息!R343="","",[8]道具信息!R343)</f>
        <v/>
      </c>
      <c r="S343" s="39" t="str">
        <f>IF([8]道具信息!S343="","",[8]道具信息!S343)</f>
        <v/>
      </c>
      <c r="T343" s="39" t="str">
        <f>IF([8]道具信息!T343="","",[8]道具信息!T343)</f>
        <v/>
      </c>
      <c r="U343" s="39" t="str">
        <f>IF([8]道具信息!U343="","",[8]道具信息!U343)</f>
        <v/>
      </c>
      <c r="V343" s="39" t="str">
        <f>IF([8]道具信息!V343="","",[8]道具信息!V343)</f>
        <v/>
      </c>
      <c r="W343" s="39" t="str">
        <f>IF([8]道具信息!W343="","",[8]道具信息!W343)</f>
        <v/>
      </c>
      <c r="X343" s="39" t="str">
        <f>IF([8]道具信息!X343="","",[8]道具信息!X343)</f>
        <v/>
      </c>
      <c r="Y343" s="39" t="str">
        <f>IF([8]道具信息!Y343="","",[8]道具信息!Y343)</f>
        <v/>
      </c>
      <c r="Z343" s="39" t="str">
        <f>IF([8]道具信息!Z343="","",[8]道具信息!Z343)</f>
        <v/>
      </c>
    </row>
    <row r="344" spans="1:26" x14ac:dyDescent="0.15">
      <c r="A344" s="39" t="str">
        <f>IF([8]道具信息!A344="","",[8]道具信息!A344)</f>
        <v/>
      </c>
      <c r="B344" s="39" t="str">
        <f>IF([8]道具信息!B344="","",[8]道具信息!B344)</f>
        <v/>
      </c>
      <c r="C344" s="39" t="str">
        <f>IF([8]道具信息!C344="","",[8]道具信息!C344)</f>
        <v/>
      </c>
      <c r="D344" s="39" t="str">
        <f>IF([8]道具信息!D344="","",[8]道具信息!D344)</f>
        <v>指定or任选红色兵法</v>
      </c>
      <c r="E344" s="39">
        <f>IF([8]道具信息!E344="","",[8]道具信息!E344)</f>
        <v>9165</v>
      </c>
      <c r="F344" s="39">
        <f>IF([8]道具信息!F344="","",[8]道具信息!F344)</f>
        <v>1</v>
      </c>
      <c r="G344" s="39">
        <f>IF([8]道具信息!G344="","",[8]道具信息!G344)</f>
        <v>1</v>
      </c>
      <c r="H344" s="39">
        <f>IF([8]道具信息!H344="","",[8]道具信息!H344)</f>
        <v>1</v>
      </c>
      <c r="I344" s="39">
        <f>IF([8]道具信息!I344="","",[8]道具信息!I344)</f>
        <v>9165</v>
      </c>
      <c r="J344" s="39">
        <f>IF([8]道具信息!J344="","",[8]道具信息!J344)</f>
        <v>9165</v>
      </c>
      <c r="K344" s="39">
        <f>IF([8]道具信息!K344="","",[8]道具信息!K344)</f>
        <v>9165</v>
      </c>
      <c r="L344" s="39" t="str">
        <f>IF([8]道具信息!L344="","",[8]道具信息!L344)</f>
        <v/>
      </c>
      <c r="M344" s="39" t="str">
        <f>IF([8]道具信息!M344="","",[8]道具信息!M344)</f>
        <v/>
      </c>
      <c r="N344" s="39" t="str">
        <f>IF([8]道具信息!N344="","",[8]道具信息!N344)</f>
        <v/>
      </c>
      <c r="O344" s="39" t="str">
        <f>IF([8]道具信息!O344="","",[8]道具信息!O344)</f>
        <v/>
      </c>
      <c r="P344" s="39" t="str">
        <f>IF([8]道具信息!P344="","",[8]道具信息!P344)</f>
        <v/>
      </c>
      <c r="Q344" s="39" t="str">
        <f>IF([8]道具信息!Q344="","",[8]道具信息!Q344)</f>
        <v/>
      </c>
      <c r="R344" s="39" t="str">
        <f>IF([8]道具信息!R344="","",[8]道具信息!R344)</f>
        <v/>
      </c>
      <c r="S344" s="39" t="str">
        <f>IF([8]道具信息!S344="","",[8]道具信息!S344)</f>
        <v/>
      </c>
      <c r="T344" s="39" t="str">
        <f>IF([8]道具信息!T344="","",[8]道具信息!T344)</f>
        <v/>
      </c>
      <c r="U344" s="39" t="str">
        <f>IF([8]道具信息!U344="","",[8]道具信息!U344)</f>
        <v/>
      </c>
      <c r="V344" s="39" t="str">
        <f>IF([8]道具信息!V344="","",[8]道具信息!V344)</f>
        <v/>
      </c>
      <c r="W344" s="39" t="str">
        <f>IF([8]道具信息!W344="","",[8]道具信息!W344)</f>
        <v/>
      </c>
      <c r="X344" s="39" t="str">
        <f>IF([8]道具信息!X344="","",[8]道具信息!X344)</f>
        <v/>
      </c>
      <c r="Y344" s="39" t="str">
        <f>IF([8]道具信息!Y344="","",[8]道具信息!Y344)</f>
        <v/>
      </c>
      <c r="Z344" s="39" t="str">
        <f>IF([8]道具信息!Z344="","",[8]道具信息!Z344)</f>
        <v/>
      </c>
    </row>
    <row r="345" spans="1:26" x14ac:dyDescent="0.15">
      <c r="A345" s="39" t="str">
        <f>IF([8]道具信息!A345="","",[8]道具信息!A345)</f>
        <v/>
      </c>
      <c r="B345" s="39" t="str">
        <f>IF([8]道具信息!B345="","",[8]道具信息!B345)</f>
        <v/>
      </c>
      <c r="C345" s="39">
        <f>IF([8]道具信息!C345="","",[8]道具信息!C345)</f>
        <v>26505</v>
      </c>
      <c r="D345" s="39" t="str">
        <f>IF([8]道具信息!D345="","",[8]道具信息!D345)</f>
        <v>兵家信物</v>
      </c>
      <c r="E345" s="39">
        <f>IF([8]道具信息!E345="","",[8]道具信息!E345)</f>
        <v>300</v>
      </c>
      <c r="F345" s="39">
        <f>IF([8]道具信息!F345="","",[8]道具信息!F345)</f>
        <v>1</v>
      </c>
      <c r="G345" s="39">
        <f>IF([8]道具信息!G345="","",[8]道具信息!G345)</f>
        <v>1</v>
      </c>
      <c r="H345" s="39">
        <f>IF([8]道具信息!H345="","",[8]道具信息!H345)</f>
        <v>1</v>
      </c>
      <c r="I345" s="39">
        <f>IF([8]道具信息!I345="","",[8]道具信息!I345)</f>
        <v>300</v>
      </c>
      <c r="J345" s="39">
        <f>IF([8]道具信息!J345="","",[8]道具信息!J345)</f>
        <v>300</v>
      </c>
      <c r="K345" s="39">
        <f>IF([8]道具信息!K345="","",[8]道具信息!K345)</f>
        <v>300</v>
      </c>
      <c r="L345" s="39" t="str">
        <f>IF([8]道具信息!L345="","",[8]道具信息!L345)</f>
        <v>抽取兵法时消耗的道具（赠送10个5分钟通用加速）</v>
      </c>
      <c r="M345" s="39" t="str">
        <f>IF([8]道具信息!M345="","",[8]道具信息!M345)</f>
        <v/>
      </c>
      <c r="N345" s="39" t="str">
        <f>IF([8]道具信息!N345="","",[8]道具信息!N345)</f>
        <v/>
      </c>
      <c r="O345" s="39" t="str">
        <f>IF([8]道具信息!O345="","",[8]道具信息!O345)</f>
        <v/>
      </c>
      <c r="P345" s="39" t="str">
        <f>IF([8]道具信息!P345="","",[8]道具信息!P345)</f>
        <v/>
      </c>
      <c r="Q345" s="39" t="str">
        <f>IF([8]道具信息!Q345="","",[8]道具信息!Q345)</f>
        <v/>
      </c>
      <c r="R345" s="39" t="str">
        <f>IF([8]道具信息!R345="","",[8]道具信息!R345)</f>
        <v/>
      </c>
      <c r="S345" s="39" t="str">
        <f>IF([8]道具信息!S345="","",[8]道具信息!S345)</f>
        <v/>
      </c>
      <c r="T345" s="39" t="str">
        <f>IF([8]道具信息!T345="","",[8]道具信息!T345)</f>
        <v/>
      </c>
      <c r="U345" s="39" t="str">
        <f>IF([8]道具信息!U345="","",[8]道具信息!U345)</f>
        <v/>
      </c>
      <c r="V345" s="39" t="str">
        <f>IF([8]道具信息!V345="","",[8]道具信息!V345)</f>
        <v/>
      </c>
      <c r="W345" s="39" t="str">
        <f>IF([8]道具信息!W345="","",[8]道具信息!W345)</f>
        <v/>
      </c>
      <c r="X345" s="39" t="str">
        <f>IF([8]道具信息!X345="","",[8]道具信息!X345)</f>
        <v/>
      </c>
      <c r="Y345" s="39" t="str">
        <f>IF([8]道具信息!Y345="","",[8]道具信息!Y345)</f>
        <v/>
      </c>
      <c r="Z345" s="39" t="str">
        <f>IF([8]道具信息!Z345="","",[8]道具信息!Z345)</f>
        <v/>
      </c>
    </row>
    <row r="346" spans="1:26" x14ac:dyDescent="0.15">
      <c r="A346" s="39" t="str">
        <f>IF([8]道具信息!A346="","",[8]道具信息!A346)</f>
        <v/>
      </c>
      <c r="B346" s="39" t="str">
        <f>IF([8]道具信息!B346="","",[8]道具信息!B346)</f>
        <v/>
      </c>
      <c r="C346" s="39" t="str">
        <f>IF([8]道具信息!C346="","",[8]道具信息!C346)</f>
        <v/>
      </c>
      <c r="D346" s="39" t="str">
        <f>IF([8]道具信息!D346="","",[8]道具信息!D346)</f>
        <v/>
      </c>
      <c r="E346" s="39" t="str">
        <f>IF([8]道具信息!E346="","",[8]道具信息!E346)</f>
        <v/>
      </c>
      <c r="F346" s="39" t="str">
        <f>IF([8]道具信息!F346="","",[8]道具信息!F346)</f>
        <v/>
      </c>
      <c r="G346" s="39" t="str">
        <f>IF([8]道具信息!G346="","",[8]道具信息!G346)</f>
        <v/>
      </c>
      <c r="H346" s="39" t="str">
        <f>IF([8]道具信息!H346="","",[8]道具信息!H346)</f>
        <v/>
      </c>
      <c r="I346" s="39" t="str">
        <f>IF([8]道具信息!I346="","",[8]道具信息!I346)</f>
        <v/>
      </c>
      <c r="J346" s="39" t="str">
        <f>IF([8]道具信息!J346="","",[8]道具信息!J346)</f>
        <v/>
      </c>
      <c r="K346" s="39" t="str">
        <f>IF([8]道具信息!K346="","",[8]道具信息!K346)</f>
        <v/>
      </c>
      <c r="L346" s="39" t="str">
        <f>IF([8]道具信息!L346="","",[8]道具信息!L346)</f>
        <v/>
      </c>
      <c r="M346" s="39" t="str">
        <f>IF([8]道具信息!M346="","",[8]道具信息!M346)</f>
        <v/>
      </c>
      <c r="N346" s="39" t="str">
        <f>IF([8]道具信息!N346="","",[8]道具信息!N346)</f>
        <v/>
      </c>
      <c r="O346" s="39" t="str">
        <f>IF([8]道具信息!O346="","",[8]道具信息!O346)</f>
        <v/>
      </c>
      <c r="P346" s="39" t="str">
        <f>IF([8]道具信息!P346="","",[8]道具信息!P346)</f>
        <v/>
      </c>
      <c r="Q346" s="39" t="str">
        <f>IF([8]道具信息!Q346="","",[8]道具信息!Q346)</f>
        <v/>
      </c>
      <c r="R346" s="39" t="str">
        <f>IF([8]道具信息!R346="","",[8]道具信息!R346)</f>
        <v/>
      </c>
      <c r="S346" s="39" t="str">
        <f>IF([8]道具信息!S346="","",[8]道具信息!S346)</f>
        <v/>
      </c>
      <c r="T346" s="39" t="str">
        <f>IF([8]道具信息!T346="","",[8]道具信息!T346)</f>
        <v/>
      </c>
      <c r="U346" s="39" t="str">
        <f>IF([8]道具信息!U346="","",[8]道具信息!U346)</f>
        <v/>
      </c>
      <c r="V346" s="39" t="str">
        <f>IF([8]道具信息!V346="","",[8]道具信息!V346)</f>
        <v/>
      </c>
      <c r="W346" s="39" t="str">
        <f>IF([8]道具信息!W346="","",[8]道具信息!W346)</f>
        <v/>
      </c>
      <c r="X346" s="39" t="str">
        <f>IF([8]道具信息!X346="","",[8]道具信息!X346)</f>
        <v/>
      </c>
      <c r="Y346" s="39" t="str">
        <f>IF([8]道具信息!Y346="","",[8]道具信息!Y346)</f>
        <v/>
      </c>
      <c r="Z346" s="39" t="str">
        <f>IF([8]道具信息!Z346="","",[8]道具信息!Z346)</f>
        <v/>
      </c>
    </row>
    <row r="347" spans="1:26" x14ac:dyDescent="0.15">
      <c r="A347" s="39" t="str">
        <f>IF([8]道具信息!A347="","",[8]道具信息!A347)</f>
        <v/>
      </c>
      <c r="B347" s="39" t="str">
        <f>IF([8]道具信息!B347="","",[8]道具信息!B347)</f>
        <v/>
      </c>
      <c r="C347" s="39" t="str">
        <f>IF([8]道具信息!C347="","",[8]道具信息!C347)</f>
        <v/>
      </c>
      <c r="D347" s="39" t="str">
        <f>IF([8]道具信息!D347="","",[8]道具信息!D347)</f>
        <v/>
      </c>
      <c r="E347" s="39" t="str">
        <f>IF([8]道具信息!E347="","",[8]道具信息!E347)</f>
        <v/>
      </c>
      <c r="F347" s="39" t="str">
        <f>IF([8]道具信息!F347="","",[8]道具信息!F347)</f>
        <v/>
      </c>
      <c r="G347" s="39" t="str">
        <f>IF([8]道具信息!G347="","",[8]道具信息!G347)</f>
        <v/>
      </c>
      <c r="H347" s="39" t="str">
        <f>IF([8]道具信息!H347="","",[8]道具信息!H347)</f>
        <v/>
      </c>
      <c r="I347" s="39" t="str">
        <f>IF([8]道具信息!I347="","",[8]道具信息!I347)</f>
        <v/>
      </c>
      <c r="J347" s="39" t="str">
        <f>IF([8]道具信息!J347="","",[8]道具信息!J347)</f>
        <v/>
      </c>
      <c r="K347" s="39" t="str">
        <f>IF([8]道具信息!K347="","",[8]道具信息!K347)</f>
        <v/>
      </c>
      <c r="L347" s="39" t="str">
        <f>IF([8]道具信息!L347="","",[8]道具信息!L347)</f>
        <v/>
      </c>
      <c r="M347" s="39" t="str">
        <f>IF([8]道具信息!M347="","",[8]道具信息!M347)</f>
        <v/>
      </c>
      <c r="N347" s="39" t="str">
        <f>IF([8]道具信息!N347="","",[8]道具信息!N347)</f>
        <v/>
      </c>
      <c r="O347" s="39" t="str">
        <f>IF([8]道具信息!O347="","",[8]道具信息!O347)</f>
        <v/>
      </c>
      <c r="P347" s="39" t="str">
        <f>IF([8]道具信息!P347="","",[8]道具信息!P347)</f>
        <v/>
      </c>
      <c r="Q347" s="39" t="str">
        <f>IF([8]道具信息!Q347="","",[8]道具信息!Q347)</f>
        <v/>
      </c>
      <c r="R347" s="39" t="str">
        <f>IF([8]道具信息!R347="","",[8]道具信息!R347)</f>
        <v/>
      </c>
      <c r="S347" s="39" t="str">
        <f>IF([8]道具信息!S347="","",[8]道具信息!S347)</f>
        <v/>
      </c>
      <c r="T347" s="39" t="str">
        <f>IF([8]道具信息!T347="","",[8]道具信息!T347)</f>
        <v/>
      </c>
      <c r="U347" s="39" t="str">
        <f>IF([8]道具信息!U347="","",[8]道具信息!U347)</f>
        <v/>
      </c>
      <c r="V347" s="39" t="str">
        <f>IF([8]道具信息!V347="","",[8]道具信息!V347)</f>
        <v/>
      </c>
      <c r="W347" s="39" t="str">
        <f>IF([8]道具信息!W347="","",[8]道具信息!W347)</f>
        <v/>
      </c>
      <c r="X347" s="39" t="str">
        <f>IF([8]道具信息!X347="","",[8]道具信息!X347)</f>
        <v/>
      </c>
      <c r="Y347" s="39" t="str">
        <f>IF([8]道具信息!Y347="","",[8]道具信息!Y347)</f>
        <v/>
      </c>
      <c r="Z347" s="39" t="str">
        <f>IF([8]道具信息!Z347="","",[8]道具信息!Z347)</f>
        <v/>
      </c>
    </row>
    <row r="348" spans="1:26" x14ac:dyDescent="0.15">
      <c r="A348" s="39" t="str">
        <f>IF([8]道具信息!A348="","",[8]道具信息!A348)</f>
        <v/>
      </c>
      <c r="B348" s="39" t="str">
        <f>IF([8]道具信息!B348="","",[8]道具信息!B348)</f>
        <v/>
      </c>
      <c r="C348" s="39">
        <f>IF([8]道具信息!C348="","",[8]道具信息!C348)</f>
        <v>26520</v>
      </c>
      <c r="D348" s="39" t="str">
        <f>IF([8]道具信息!D348="","",[8]道具信息!D348)</f>
        <v>紫色兵法自选宝箱</v>
      </c>
      <c r="E348" s="39">
        <f>IF([8]道具信息!E348="","",[8]道具信息!E348)</f>
        <v>750</v>
      </c>
      <c r="F348" s="39">
        <f>IF([8]道具信息!F348="","",[8]道具信息!F348)</f>
        <v>1</v>
      </c>
      <c r="G348" s="39">
        <f>IF([8]道具信息!G348="","",[8]道具信息!G348)</f>
        <v>1</v>
      </c>
      <c r="H348" s="39">
        <f>IF([8]道具信息!H348="","",[8]道具信息!H348)</f>
        <v>1</v>
      </c>
      <c r="I348" s="39">
        <f>IF([8]道具信息!I348="","",[8]道具信息!I348)</f>
        <v>750</v>
      </c>
      <c r="J348" s="39">
        <f>IF([8]道具信息!J348="","",[8]道具信息!J348)</f>
        <v>750</v>
      </c>
      <c r="K348" s="39">
        <f>IF([8]道具信息!K348="","",[8]道具信息!K348)</f>
        <v>750</v>
      </c>
      <c r="L348" s="39" t="str">
        <f>IF([8]道具信息!L348="","",[8]道具信息!L348)</f>
        <v>使用后可选择一个紫色兵法。紫色兵法：攻其不备、出奇制胜、破军夺志</v>
      </c>
      <c r="M348" s="39" t="str">
        <f>IF([8]道具信息!M348="","",[8]道具信息!M348)</f>
        <v/>
      </c>
      <c r="N348" s="39" t="str">
        <f>IF([8]道具信息!N348="","",[8]道具信息!N348)</f>
        <v/>
      </c>
      <c r="O348" s="39" t="str">
        <f>IF([8]道具信息!O348="","",[8]道具信息!O348)</f>
        <v/>
      </c>
      <c r="P348" s="39" t="str">
        <f>IF([8]道具信息!P348="","",[8]道具信息!P348)</f>
        <v/>
      </c>
      <c r="Q348" s="39" t="str">
        <f>IF([8]道具信息!Q348="","",[8]道具信息!Q348)</f>
        <v/>
      </c>
      <c r="R348" s="39" t="str">
        <f>IF([8]道具信息!R348="","",[8]道具信息!R348)</f>
        <v/>
      </c>
      <c r="S348" s="39" t="str">
        <f>IF([8]道具信息!S348="","",[8]道具信息!S348)</f>
        <v/>
      </c>
      <c r="T348" s="39" t="str">
        <f>IF([8]道具信息!T348="","",[8]道具信息!T348)</f>
        <v/>
      </c>
      <c r="U348" s="39" t="str">
        <f>IF([8]道具信息!U348="","",[8]道具信息!U348)</f>
        <v/>
      </c>
      <c r="V348" s="39" t="str">
        <f>IF([8]道具信息!V348="","",[8]道具信息!V348)</f>
        <v/>
      </c>
      <c r="W348" s="39" t="str">
        <f>IF([8]道具信息!W348="","",[8]道具信息!W348)</f>
        <v/>
      </c>
      <c r="X348" s="39" t="str">
        <f>IF([8]道具信息!X348="","",[8]道具信息!X348)</f>
        <v/>
      </c>
      <c r="Y348" s="39" t="str">
        <f>IF([8]道具信息!Y348="","",[8]道具信息!Y348)</f>
        <v/>
      </c>
      <c r="Z348" s="39" t="str">
        <f>IF([8]道具信息!Z348="","",[8]道具信息!Z348)</f>
        <v/>
      </c>
    </row>
    <row r="349" spans="1:26" x14ac:dyDescent="0.15">
      <c r="A349" s="39" t="str">
        <f>IF([8]道具信息!A349="","",[8]道具信息!A349)</f>
        <v/>
      </c>
      <c r="B349" s="39" t="str">
        <f>IF([8]道具信息!B349="","",[8]道具信息!B349)</f>
        <v/>
      </c>
      <c r="C349" s="39">
        <f>IF([8]道具信息!C349="","",[8]道具信息!C349)</f>
        <v>26521</v>
      </c>
      <c r="D349" s="39" t="str">
        <f>IF([8]道具信息!D349="","",[8]道具信息!D349)</f>
        <v>橙色兵法自选宝箱</v>
      </c>
      <c r="E349" s="39">
        <f>IF([8]道具信息!E349="","",[8]道具信息!E349)</f>
        <v>3350</v>
      </c>
      <c r="F349" s="39">
        <f>IF([8]道具信息!F349="","",[8]道具信息!F349)</f>
        <v>1</v>
      </c>
      <c r="G349" s="39">
        <f>IF([8]道具信息!G349="","",[8]道具信息!G349)</f>
        <v>1</v>
      </c>
      <c r="H349" s="39">
        <f>IF([8]道具信息!H349="","",[8]道具信息!H349)</f>
        <v>1</v>
      </c>
      <c r="I349" s="39">
        <f>IF([8]道具信息!I349="","",[8]道具信息!I349)</f>
        <v>3350</v>
      </c>
      <c r="J349" s="39">
        <f>IF([8]道具信息!J349="","",[8]道具信息!J349)</f>
        <v>3350</v>
      </c>
      <c r="K349" s="39">
        <f>IF([8]道具信息!K349="","",[8]道具信息!K349)</f>
        <v>3350</v>
      </c>
      <c r="L349" s="39" t="str">
        <f>IF([8]道具信息!L349="","",[8]道具信息!L349)</f>
        <v>使用后可选择一个橙色兵法。橙色兵法：援军秘策、养精蓄锐、退敌千里、奇佐鬼谋</v>
      </c>
      <c r="M349" s="39" t="str">
        <f>IF([8]道具信息!M349="","",[8]道具信息!M349)</f>
        <v/>
      </c>
      <c r="N349" s="39" t="str">
        <f>IF([8]道具信息!N349="","",[8]道具信息!N349)</f>
        <v/>
      </c>
      <c r="O349" s="39" t="str">
        <f>IF([8]道具信息!O349="","",[8]道具信息!O349)</f>
        <v/>
      </c>
      <c r="P349" s="39" t="str">
        <f>IF([8]道具信息!P349="","",[8]道具信息!P349)</f>
        <v/>
      </c>
      <c r="Q349" s="39" t="str">
        <f>IF([8]道具信息!Q349="","",[8]道具信息!Q349)</f>
        <v/>
      </c>
      <c r="R349" s="39" t="str">
        <f>IF([8]道具信息!R349="","",[8]道具信息!R349)</f>
        <v/>
      </c>
      <c r="S349" s="39" t="str">
        <f>IF([8]道具信息!S349="","",[8]道具信息!S349)</f>
        <v/>
      </c>
      <c r="T349" s="39" t="str">
        <f>IF([8]道具信息!T349="","",[8]道具信息!T349)</f>
        <v/>
      </c>
      <c r="U349" s="39" t="str">
        <f>IF([8]道具信息!U349="","",[8]道具信息!U349)</f>
        <v/>
      </c>
      <c r="V349" s="39" t="str">
        <f>IF([8]道具信息!V349="","",[8]道具信息!V349)</f>
        <v/>
      </c>
      <c r="W349" s="39" t="str">
        <f>IF([8]道具信息!W349="","",[8]道具信息!W349)</f>
        <v/>
      </c>
      <c r="X349" s="39" t="str">
        <f>IF([8]道具信息!X349="","",[8]道具信息!X349)</f>
        <v/>
      </c>
      <c r="Y349" s="39" t="str">
        <f>IF([8]道具信息!Y349="","",[8]道具信息!Y349)</f>
        <v/>
      </c>
      <c r="Z349" s="39" t="str">
        <f>IF([8]道具信息!Z349="","",[8]道具信息!Z349)</f>
        <v/>
      </c>
    </row>
    <row r="350" spans="1:26" x14ac:dyDescent="0.15">
      <c r="A350" s="39" t="str">
        <f>IF([8]道具信息!A350="","",[8]道具信息!A350)</f>
        <v/>
      </c>
      <c r="B350" s="39" t="str">
        <f>IF([8]道具信息!B350="","",[8]道具信息!B350)</f>
        <v/>
      </c>
      <c r="C350" s="39" t="str">
        <f>IF([8]道具信息!C350="","",[8]道具信息!C350)</f>
        <v/>
      </c>
      <c r="D350" s="39" t="str">
        <f>IF([8]道具信息!D350="","",[8]道具信息!D350)</f>
        <v/>
      </c>
      <c r="E350" s="39" t="str">
        <f>IF([8]道具信息!E350="","",[8]道具信息!E350)</f>
        <v/>
      </c>
      <c r="F350" s="39" t="str">
        <f>IF([8]道具信息!F350="","",[8]道具信息!F350)</f>
        <v/>
      </c>
      <c r="G350" s="39" t="str">
        <f>IF([8]道具信息!G350="","",[8]道具信息!G350)</f>
        <v/>
      </c>
      <c r="H350" s="39" t="str">
        <f>IF([8]道具信息!H350="","",[8]道具信息!H350)</f>
        <v/>
      </c>
      <c r="I350" s="39" t="str">
        <f>IF([8]道具信息!I350="","",[8]道具信息!I350)</f>
        <v/>
      </c>
      <c r="J350" s="39" t="str">
        <f>IF([8]道具信息!J350="","",[8]道具信息!J350)</f>
        <v/>
      </c>
      <c r="K350" s="39" t="str">
        <f>IF([8]道具信息!K350="","",[8]道具信息!K350)</f>
        <v/>
      </c>
      <c r="L350" s="39" t="str">
        <f>IF([8]道具信息!L350="","",[8]道具信息!L350)</f>
        <v/>
      </c>
      <c r="M350" s="39" t="str">
        <f>IF([8]道具信息!M350="","",[8]道具信息!M350)</f>
        <v/>
      </c>
      <c r="N350" s="39" t="str">
        <f>IF([8]道具信息!N350="","",[8]道具信息!N350)</f>
        <v/>
      </c>
      <c r="O350" s="39" t="str">
        <f>IF([8]道具信息!O350="","",[8]道具信息!O350)</f>
        <v/>
      </c>
      <c r="P350" s="39" t="str">
        <f>IF([8]道具信息!P350="","",[8]道具信息!P350)</f>
        <v/>
      </c>
      <c r="Q350" s="39" t="str">
        <f>IF([8]道具信息!Q350="","",[8]道具信息!Q350)</f>
        <v/>
      </c>
      <c r="R350" s="39" t="str">
        <f>IF([8]道具信息!R350="","",[8]道具信息!R350)</f>
        <v/>
      </c>
      <c r="S350" s="39" t="str">
        <f>IF([8]道具信息!S350="","",[8]道具信息!S350)</f>
        <v/>
      </c>
      <c r="T350" s="39" t="str">
        <f>IF([8]道具信息!T350="","",[8]道具信息!T350)</f>
        <v/>
      </c>
      <c r="U350" s="39" t="str">
        <f>IF([8]道具信息!U350="","",[8]道具信息!U350)</f>
        <v/>
      </c>
      <c r="V350" s="39" t="str">
        <f>IF([8]道具信息!V350="","",[8]道具信息!V350)</f>
        <v/>
      </c>
      <c r="W350" s="39" t="str">
        <f>IF([8]道具信息!W350="","",[8]道具信息!W350)</f>
        <v/>
      </c>
      <c r="X350" s="39" t="str">
        <f>IF([8]道具信息!X350="","",[8]道具信息!X350)</f>
        <v/>
      </c>
      <c r="Y350" s="39" t="str">
        <f>IF([8]道具信息!Y350="","",[8]道具信息!Y350)</f>
        <v/>
      </c>
      <c r="Z350" s="39" t="str">
        <f>IF([8]道具信息!Z350="","",[8]道具信息!Z350)</f>
        <v/>
      </c>
    </row>
    <row r="351" spans="1:26" x14ac:dyDescent="0.15">
      <c r="A351" s="39" t="str">
        <f>IF([8]道具信息!A351="","",[8]道具信息!A351)</f>
        <v/>
      </c>
      <c r="B351" s="39" t="str">
        <f>IF([8]道具信息!B351="","",[8]道具信息!B351)</f>
        <v/>
      </c>
      <c r="C351" s="39">
        <f>IF([8]道具信息!C351="","",[8]道具信息!C351)</f>
        <v>26551</v>
      </c>
      <c r="D351" s="39" t="str">
        <f>IF([8]道具信息!D351="","",[8]道具信息!D351)</f>
        <v>虎符宝箱</v>
      </c>
      <c r="E351" s="39">
        <f>IF([8]道具信息!E351="","",[8]道具信息!E351)</f>
        <v>160</v>
      </c>
      <c r="F351" s="39">
        <f>IF([8]道具信息!F351="","",[8]道具信息!F351)</f>
        <v>1</v>
      </c>
      <c r="G351" s="39">
        <f>IF([8]道具信息!G351="","",[8]道具信息!G351)</f>
        <v>1</v>
      </c>
      <c r="H351" s="39">
        <f>IF([8]道具信息!H351="","",[8]道具信息!H351)</f>
        <v>1</v>
      </c>
      <c r="I351" s="39">
        <f>IF([8]道具信息!I351="","",[8]道具信息!I351)</f>
        <v>160</v>
      </c>
      <c r="J351" s="39">
        <f>IF([8]道具信息!J351="","",[8]道具信息!J351)</f>
        <v>160</v>
      </c>
      <c r="K351" s="39">
        <f>IF([8]道具信息!K351="","",[8]道具信息!K351)</f>
        <v>160</v>
      </c>
      <c r="L351" s="39" t="str">
        <f>IF([8]道具信息!L351="","",[8]道具信息!L351)</f>
        <v>使用后随机获得1个虎符</v>
      </c>
      <c r="M351" s="39" t="str">
        <f>IF([8]道具信息!M351="","",[8]道具信息!M351)</f>
        <v/>
      </c>
      <c r="N351" s="39" t="str">
        <f>IF([8]道具信息!N351="","",[8]道具信息!N351)</f>
        <v/>
      </c>
      <c r="O351" s="39" t="str">
        <f>IF([8]道具信息!O351="","",[8]道具信息!O351)</f>
        <v/>
      </c>
      <c r="P351" s="39" t="str">
        <f>IF([8]道具信息!P351="","",[8]道具信息!P351)</f>
        <v/>
      </c>
      <c r="Q351" s="39" t="str">
        <f>IF([8]道具信息!Q351="","",[8]道具信息!Q351)</f>
        <v/>
      </c>
      <c r="R351" s="39" t="str">
        <f>IF([8]道具信息!R351="","",[8]道具信息!R351)</f>
        <v/>
      </c>
      <c r="S351" s="39" t="str">
        <f>IF([8]道具信息!S351="","",[8]道具信息!S351)</f>
        <v/>
      </c>
      <c r="T351" s="39" t="str">
        <f>IF([8]道具信息!T351="","",[8]道具信息!T351)</f>
        <v/>
      </c>
      <c r="U351" s="39" t="str">
        <f>IF([8]道具信息!U351="","",[8]道具信息!U351)</f>
        <v/>
      </c>
      <c r="V351" s="39" t="str">
        <f>IF([8]道具信息!V351="","",[8]道具信息!V351)</f>
        <v/>
      </c>
      <c r="W351" s="39" t="str">
        <f>IF([8]道具信息!W351="","",[8]道具信息!W351)</f>
        <v/>
      </c>
      <c r="X351" s="39" t="str">
        <f>IF([8]道具信息!X351="","",[8]道具信息!X351)</f>
        <v/>
      </c>
      <c r="Y351" s="39" t="str">
        <f>IF([8]道具信息!Y351="","",[8]道具信息!Y351)</f>
        <v/>
      </c>
      <c r="Z351" s="39" t="str">
        <f>IF([8]道具信息!Z351="","",[8]道具信息!Z351)</f>
        <v/>
      </c>
    </row>
    <row r="352" spans="1:26" x14ac:dyDescent="0.15">
      <c r="A352" s="39" t="str">
        <f>IF([8]道具信息!A352="","",[8]道具信息!A352)</f>
        <v/>
      </c>
      <c r="B352" s="39" t="str">
        <f>IF([8]道具信息!B352="","",[8]道具信息!B352)</f>
        <v/>
      </c>
      <c r="C352" s="39">
        <f>IF([8]道具信息!C352="","",[8]道具信息!C352)</f>
        <v>26552</v>
      </c>
      <c r="D352" s="39" t="str">
        <f>IF([8]道具信息!D352="","",[8]道具信息!D352)</f>
        <v>1级贡品宝箱</v>
      </c>
      <c r="E352" s="39">
        <f>IF([8]道具信息!E352="","",[8]道具信息!E352)</f>
        <v>40</v>
      </c>
      <c r="F352" s="39">
        <f>IF([8]道具信息!F352="","",[8]道具信息!F352)</f>
        <v>1</v>
      </c>
      <c r="G352" s="39">
        <f>IF([8]道具信息!G352="","",[8]道具信息!G352)</f>
        <v>1</v>
      </c>
      <c r="H352" s="39">
        <f>IF([8]道具信息!H352="","",[8]道具信息!H352)</f>
        <v>1</v>
      </c>
      <c r="I352" s="39">
        <f>IF([8]道具信息!I352="","",[8]道具信息!I352)</f>
        <v>40</v>
      </c>
      <c r="J352" s="39">
        <f>IF([8]道具信息!J352="","",[8]道具信息!J352)</f>
        <v>40</v>
      </c>
      <c r="K352" s="39">
        <f>IF([8]道具信息!K352="","",[8]道具信息!K352)</f>
        <v>40</v>
      </c>
      <c r="L352" s="39" t="str">
        <f>IF([8]道具信息!L352="","",[8]道具信息!L352)</f>
        <v>使用后随机获得铜镜、陶罐中的1个贡品</v>
      </c>
      <c r="M352" s="39" t="str">
        <f>IF([8]道具信息!M352="","",[8]道具信息!M352)</f>
        <v/>
      </c>
      <c r="N352" s="39" t="str">
        <f>IF([8]道具信息!N352="","",[8]道具信息!N352)</f>
        <v/>
      </c>
      <c r="O352" s="39" t="str">
        <f>IF([8]道具信息!O352="","",[8]道具信息!O352)</f>
        <v/>
      </c>
      <c r="P352" s="39" t="str">
        <f>IF([8]道具信息!P352="","",[8]道具信息!P352)</f>
        <v/>
      </c>
      <c r="Q352" s="39" t="str">
        <f>IF([8]道具信息!Q352="","",[8]道具信息!Q352)</f>
        <v/>
      </c>
      <c r="R352" s="39" t="str">
        <f>IF([8]道具信息!R352="","",[8]道具信息!R352)</f>
        <v/>
      </c>
      <c r="S352" s="39" t="str">
        <f>IF([8]道具信息!S352="","",[8]道具信息!S352)</f>
        <v/>
      </c>
      <c r="T352" s="39" t="str">
        <f>IF([8]道具信息!T352="","",[8]道具信息!T352)</f>
        <v/>
      </c>
      <c r="U352" s="39" t="str">
        <f>IF([8]道具信息!U352="","",[8]道具信息!U352)</f>
        <v/>
      </c>
      <c r="V352" s="39" t="str">
        <f>IF([8]道具信息!V352="","",[8]道具信息!V352)</f>
        <v/>
      </c>
      <c r="W352" s="39" t="str">
        <f>IF([8]道具信息!W352="","",[8]道具信息!W352)</f>
        <v/>
      </c>
      <c r="X352" s="39" t="str">
        <f>IF([8]道具信息!X352="","",[8]道具信息!X352)</f>
        <v/>
      </c>
      <c r="Y352" s="39" t="str">
        <f>IF([8]道具信息!Y352="","",[8]道具信息!Y352)</f>
        <v/>
      </c>
      <c r="Z352" s="39" t="str">
        <f>IF([8]道具信息!Z352="","",[8]道具信息!Z352)</f>
        <v/>
      </c>
    </row>
    <row r="353" spans="1:26" x14ac:dyDescent="0.15">
      <c r="A353" s="39" t="str">
        <f>IF([8]道具信息!A353="","",[8]道具信息!A353)</f>
        <v/>
      </c>
      <c r="B353" s="39" t="str">
        <f>IF([8]道具信息!B353="","",[8]道具信息!B353)</f>
        <v/>
      </c>
      <c r="C353" s="39">
        <f>IF([8]道具信息!C353="","",[8]道具信息!C353)</f>
        <v>26553</v>
      </c>
      <c r="D353" s="39" t="str">
        <f>IF([8]道具信息!D353="","",[8]道具信息!D353)</f>
        <v>2级贡品宝箱</v>
      </c>
      <c r="E353" s="39">
        <f>IF([8]道具信息!E353="","",[8]道具信息!E353)</f>
        <v>60</v>
      </c>
      <c r="F353" s="39">
        <f>IF([8]道具信息!F353="","",[8]道具信息!F353)</f>
        <v>1</v>
      </c>
      <c r="G353" s="39">
        <f>IF([8]道具信息!G353="","",[8]道具信息!G353)</f>
        <v>1</v>
      </c>
      <c r="H353" s="39">
        <f>IF([8]道具信息!H353="","",[8]道具信息!H353)</f>
        <v>1</v>
      </c>
      <c r="I353" s="39">
        <f>IF([8]道具信息!I353="","",[8]道具信息!I353)</f>
        <v>60</v>
      </c>
      <c r="J353" s="39">
        <f>IF([8]道具信息!J353="","",[8]道具信息!J353)</f>
        <v>60</v>
      </c>
      <c r="K353" s="39">
        <f>IF([8]道具信息!K353="","",[8]道具信息!K353)</f>
        <v>60</v>
      </c>
      <c r="L353" s="39" t="str">
        <f>IF([8]道具信息!L353="","",[8]道具信息!L353)</f>
        <v>使用后随机获得水晶杯、香鼎、铜壶中的1个贡品</v>
      </c>
      <c r="M353" s="39" t="str">
        <f>IF([8]道具信息!M353="","",[8]道具信息!M353)</f>
        <v/>
      </c>
      <c r="N353" s="39" t="str">
        <f>IF([8]道具信息!N353="","",[8]道具信息!N353)</f>
        <v/>
      </c>
      <c r="O353" s="39" t="str">
        <f>IF([8]道具信息!O353="","",[8]道具信息!O353)</f>
        <v/>
      </c>
      <c r="P353" s="39" t="str">
        <f>IF([8]道具信息!P353="","",[8]道具信息!P353)</f>
        <v/>
      </c>
      <c r="Q353" s="39" t="str">
        <f>IF([8]道具信息!Q353="","",[8]道具信息!Q353)</f>
        <v/>
      </c>
      <c r="R353" s="39" t="str">
        <f>IF([8]道具信息!R353="","",[8]道具信息!R353)</f>
        <v/>
      </c>
      <c r="S353" s="39" t="str">
        <f>IF([8]道具信息!S353="","",[8]道具信息!S353)</f>
        <v/>
      </c>
      <c r="T353" s="39" t="str">
        <f>IF([8]道具信息!T353="","",[8]道具信息!T353)</f>
        <v/>
      </c>
      <c r="U353" s="39" t="str">
        <f>IF([8]道具信息!U353="","",[8]道具信息!U353)</f>
        <v/>
      </c>
      <c r="V353" s="39" t="str">
        <f>IF([8]道具信息!V353="","",[8]道具信息!V353)</f>
        <v/>
      </c>
      <c r="W353" s="39" t="str">
        <f>IF([8]道具信息!W353="","",[8]道具信息!W353)</f>
        <v/>
      </c>
      <c r="X353" s="39" t="str">
        <f>IF([8]道具信息!X353="","",[8]道具信息!X353)</f>
        <v/>
      </c>
      <c r="Y353" s="39" t="str">
        <f>IF([8]道具信息!Y353="","",[8]道具信息!Y353)</f>
        <v/>
      </c>
      <c r="Z353" s="39" t="str">
        <f>IF([8]道具信息!Z353="","",[8]道具信息!Z353)</f>
        <v/>
      </c>
    </row>
    <row r="354" spans="1:26" x14ac:dyDescent="0.15">
      <c r="A354" s="39" t="str">
        <f>IF([8]道具信息!A354="","",[8]道具信息!A354)</f>
        <v/>
      </c>
      <c r="B354" s="39" t="str">
        <f>IF([8]道具信息!B354="","",[8]道具信息!B354)</f>
        <v/>
      </c>
      <c r="C354" s="39">
        <f>IF([8]道具信息!C354="","",[8]道具信息!C354)</f>
        <v>26554</v>
      </c>
      <c r="D354" s="39" t="str">
        <f>IF([8]道具信息!D354="","",[8]道具信息!D354)</f>
        <v>3级贡品宝箱</v>
      </c>
      <c r="E354" s="39">
        <f>IF([8]道具信息!E354="","",[8]道具信息!E354)</f>
        <v>80</v>
      </c>
      <c r="F354" s="39">
        <f>IF([8]道具信息!F354="","",[8]道具信息!F354)</f>
        <v>1</v>
      </c>
      <c r="G354" s="39">
        <f>IF([8]道具信息!G354="","",[8]道具信息!G354)</f>
        <v>1</v>
      </c>
      <c r="H354" s="39">
        <f>IF([8]道具信息!H354="","",[8]道具信息!H354)</f>
        <v>1</v>
      </c>
      <c r="I354" s="39">
        <f>IF([8]道具信息!I354="","",[8]道具信息!I354)</f>
        <v>80</v>
      </c>
      <c r="J354" s="39">
        <f>IF([8]道具信息!J354="","",[8]道具信息!J354)</f>
        <v>80</v>
      </c>
      <c r="K354" s="39">
        <f>IF([8]道具信息!K354="","",[8]道具信息!K354)</f>
        <v>80</v>
      </c>
      <c r="L354" s="39" t="str">
        <f>IF([8]道具信息!L354="","",[8]道具信息!L354)</f>
        <v>使用后随机获得长颈壶、方陶皿、兽头觥、象形尊中的1个贡品</v>
      </c>
      <c r="M354" s="39" t="str">
        <f>IF([8]道具信息!M354="","",[8]道具信息!M354)</f>
        <v/>
      </c>
      <c r="N354" s="39" t="str">
        <f>IF([8]道具信息!N354="","",[8]道具信息!N354)</f>
        <v/>
      </c>
      <c r="O354" s="39" t="str">
        <f>IF([8]道具信息!O354="","",[8]道具信息!O354)</f>
        <v/>
      </c>
      <c r="P354" s="39" t="str">
        <f>IF([8]道具信息!P354="","",[8]道具信息!P354)</f>
        <v/>
      </c>
      <c r="Q354" s="39" t="str">
        <f>IF([8]道具信息!Q354="","",[8]道具信息!Q354)</f>
        <v/>
      </c>
      <c r="R354" s="39" t="str">
        <f>IF([8]道具信息!R354="","",[8]道具信息!R354)</f>
        <v/>
      </c>
      <c r="S354" s="39" t="str">
        <f>IF([8]道具信息!S354="","",[8]道具信息!S354)</f>
        <v/>
      </c>
      <c r="T354" s="39" t="str">
        <f>IF([8]道具信息!T354="","",[8]道具信息!T354)</f>
        <v/>
      </c>
      <c r="U354" s="39" t="str">
        <f>IF([8]道具信息!U354="","",[8]道具信息!U354)</f>
        <v/>
      </c>
      <c r="V354" s="39" t="str">
        <f>IF([8]道具信息!V354="","",[8]道具信息!V354)</f>
        <v/>
      </c>
      <c r="W354" s="39" t="str">
        <f>IF([8]道具信息!W354="","",[8]道具信息!W354)</f>
        <v/>
      </c>
      <c r="X354" s="39" t="str">
        <f>IF([8]道具信息!X354="","",[8]道具信息!X354)</f>
        <v/>
      </c>
      <c r="Y354" s="39" t="str">
        <f>IF([8]道具信息!Y354="","",[8]道具信息!Y354)</f>
        <v/>
      </c>
      <c r="Z354" s="39" t="str">
        <f>IF([8]道具信息!Z354="","",[8]道具信息!Z354)</f>
        <v/>
      </c>
    </row>
    <row r="355" spans="1:26" x14ac:dyDescent="0.15">
      <c r="A355" s="39" t="str">
        <f>IF([8]道具信息!A355="","",[8]道具信息!A355)</f>
        <v/>
      </c>
      <c r="B355" s="39" t="str">
        <f>IF([8]道具信息!B355="","",[8]道具信息!B355)</f>
        <v/>
      </c>
      <c r="C355" s="39">
        <f>IF([8]道具信息!C355="","",[8]道具信息!C355)</f>
        <v>26555</v>
      </c>
      <c r="D355" s="39" t="str">
        <f>IF([8]道具信息!D355="","",[8]道具信息!D355)</f>
        <v>4级贡品宝箱</v>
      </c>
      <c r="E355" s="39">
        <f>IF([8]道具信息!E355="","",[8]道具信息!E355)</f>
        <v>100</v>
      </c>
      <c r="F355" s="39">
        <f>IF([8]道具信息!F355="","",[8]道具信息!F355)</f>
        <v>1</v>
      </c>
      <c r="G355" s="39">
        <f>IF([8]道具信息!G355="","",[8]道具信息!G355)</f>
        <v>1</v>
      </c>
      <c r="H355" s="39">
        <f>IF([8]道具信息!H355="","",[8]道具信息!H355)</f>
        <v>1</v>
      </c>
      <c r="I355" s="39">
        <f>IF([8]道具信息!I355="","",[8]道具信息!I355)</f>
        <v>100</v>
      </c>
      <c r="J355" s="39">
        <f>IF([8]道具信息!J355="","",[8]道具信息!J355)</f>
        <v>100</v>
      </c>
      <c r="K355" s="39">
        <f>IF([8]道具信息!K355="","",[8]道具信息!K355)</f>
        <v>100</v>
      </c>
      <c r="L355" s="39" t="str">
        <f>IF([8]道具信息!L355="","",[8]道具信息!L355)</f>
        <v>使用后随机获得冰鉴、螭首盉、三足爵、鎏金缶中的1个贡品</v>
      </c>
      <c r="M355" s="39" t="str">
        <f>IF([8]道具信息!M355="","",[8]道具信息!M355)</f>
        <v/>
      </c>
      <c r="N355" s="39" t="str">
        <f>IF([8]道具信息!N355="","",[8]道具信息!N355)</f>
        <v/>
      </c>
      <c r="O355" s="39" t="str">
        <f>IF([8]道具信息!O355="","",[8]道具信息!O355)</f>
        <v/>
      </c>
      <c r="P355" s="39" t="str">
        <f>IF([8]道具信息!P355="","",[8]道具信息!P355)</f>
        <v/>
      </c>
      <c r="Q355" s="39" t="str">
        <f>IF([8]道具信息!Q355="","",[8]道具信息!Q355)</f>
        <v/>
      </c>
      <c r="R355" s="39" t="str">
        <f>IF([8]道具信息!R355="","",[8]道具信息!R355)</f>
        <v/>
      </c>
      <c r="S355" s="39" t="str">
        <f>IF([8]道具信息!S355="","",[8]道具信息!S355)</f>
        <v/>
      </c>
      <c r="T355" s="39" t="str">
        <f>IF([8]道具信息!T355="","",[8]道具信息!T355)</f>
        <v/>
      </c>
      <c r="U355" s="39" t="str">
        <f>IF([8]道具信息!U355="","",[8]道具信息!U355)</f>
        <v/>
      </c>
      <c r="V355" s="39" t="str">
        <f>IF([8]道具信息!V355="","",[8]道具信息!V355)</f>
        <v/>
      </c>
      <c r="W355" s="39" t="str">
        <f>IF([8]道具信息!W355="","",[8]道具信息!W355)</f>
        <v/>
      </c>
      <c r="X355" s="39" t="str">
        <f>IF([8]道具信息!X355="","",[8]道具信息!X355)</f>
        <v/>
      </c>
      <c r="Y355" s="39" t="str">
        <f>IF([8]道具信息!Y355="","",[8]道具信息!Y355)</f>
        <v/>
      </c>
      <c r="Z355" s="39" t="str">
        <f>IF([8]道具信息!Z355="","",[8]道具信息!Z355)</f>
        <v/>
      </c>
    </row>
    <row r="356" spans="1:26" x14ac:dyDescent="0.15">
      <c r="A356" s="39" t="str">
        <f>IF([8]道具信息!A356="","",[8]道具信息!A356)</f>
        <v/>
      </c>
      <c r="B356" s="39" t="str">
        <f>IF([8]道具信息!B356="","",[8]道具信息!B356)</f>
        <v/>
      </c>
      <c r="C356" s="39">
        <f>IF([8]道具信息!C356="","",[8]道具信息!C356)</f>
        <v>26556</v>
      </c>
      <c r="D356" s="39" t="str">
        <f>IF([8]道具信息!D356="","",[8]道具信息!D356)</f>
        <v>5级贡品宝箱</v>
      </c>
      <c r="E356" s="39">
        <f>IF([8]道具信息!E356="","",[8]道具信息!E356)</f>
        <v>120</v>
      </c>
      <c r="F356" s="39">
        <f>IF([8]道具信息!F356="","",[8]道具信息!F356)</f>
        <v>1</v>
      </c>
      <c r="G356" s="39">
        <f>IF([8]道具信息!G356="","",[8]道具信息!G356)</f>
        <v>1</v>
      </c>
      <c r="H356" s="39">
        <f>IF([8]道具信息!H356="","",[8]道具信息!H356)</f>
        <v>1</v>
      </c>
      <c r="I356" s="39">
        <f>IF([8]道具信息!I356="","",[8]道具信息!I356)</f>
        <v>120</v>
      </c>
      <c r="J356" s="39">
        <f>IF([8]道具信息!J356="","",[8]道具信息!J356)</f>
        <v>120</v>
      </c>
      <c r="K356" s="39">
        <f>IF([8]道具信息!K356="","",[8]道具信息!K356)</f>
        <v>120</v>
      </c>
      <c r="L356" s="39" t="str">
        <f>IF([8]道具信息!L356="","",[8]道具信息!L356)</f>
        <v>使用后随机获得锦瑟、编钟、石磬、瑶琴中的1个贡品</v>
      </c>
      <c r="M356" s="39" t="str">
        <f>IF([8]道具信息!M356="","",[8]道具信息!M356)</f>
        <v/>
      </c>
      <c r="N356" s="39" t="str">
        <f>IF([8]道具信息!N356="","",[8]道具信息!N356)</f>
        <v/>
      </c>
      <c r="O356" s="39" t="str">
        <f>IF([8]道具信息!O356="","",[8]道具信息!O356)</f>
        <v/>
      </c>
      <c r="P356" s="39" t="str">
        <f>IF([8]道具信息!P356="","",[8]道具信息!P356)</f>
        <v/>
      </c>
      <c r="Q356" s="39" t="str">
        <f>IF([8]道具信息!Q356="","",[8]道具信息!Q356)</f>
        <v/>
      </c>
      <c r="R356" s="39" t="str">
        <f>IF([8]道具信息!R356="","",[8]道具信息!R356)</f>
        <v/>
      </c>
      <c r="S356" s="39" t="str">
        <f>IF([8]道具信息!S356="","",[8]道具信息!S356)</f>
        <v/>
      </c>
      <c r="T356" s="39" t="str">
        <f>IF([8]道具信息!T356="","",[8]道具信息!T356)</f>
        <v/>
      </c>
      <c r="U356" s="39" t="str">
        <f>IF([8]道具信息!U356="","",[8]道具信息!U356)</f>
        <v/>
      </c>
      <c r="V356" s="39" t="str">
        <f>IF([8]道具信息!V356="","",[8]道具信息!V356)</f>
        <v/>
      </c>
      <c r="W356" s="39" t="str">
        <f>IF([8]道具信息!W356="","",[8]道具信息!W356)</f>
        <v/>
      </c>
      <c r="X356" s="39" t="str">
        <f>IF([8]道具信息!X356="","",[8]道具信息!X356)</f>
        <v/>
      </c>
      <c r="Y356" s="39" t="str">
        <f>IF([8]道具信息!Y356="","",[8]道具信息!Y356)</f>
        <v/>
      </c>
      <c r="Z356" s="39" t="str">
        <f>IF([8]道具信息!Z356="","",[8]道具信息!Z356)</f>
        <v/>
      </c>
    </row>
    <row r="357" spans="1:26" x14ac:dyDescent="0.15">
      <c r="A357" s="39" t="str">
        <f>IF([8]道具信息!A357="","",[8]道具信息!A357)</f>
        <v/>
      </c>
      <c r="B357" s="39" t="str">
        <f>IF([8]道具信息!B357="","",[8]道具信息!B357)</f>
        <v/>
      </c>
      <c r="C357" s="39">
        <f>IF([8]道具信息!C357="","",[8]道具信息!C357)</f>
        <v>26557</v>
      </c>
      <c r="D357" s="39" t="str">
        <f>IF([8]道具信息!D357="","",[8]道具信息!D357)</f>
        <v>6级贡品宝箱</v>
      </c>
      <c r="E357" s="39">
        <f>IF([8]道具信息!E357="","",[8]道具信息!E357)</f>
        <v>140</v>
      </c>
      <c r="F357" s="39">
        <f>IF([8]道具信息!F357="","",[8]道具信息!F357)</f>
        <v>1</v>
      </c>
      <c r="G357" s="39">
        <f>IF([8]道具信息!G357="","",[8]道具信息!G357)</f>
        <v>1</v>
      </c>
      <c r="H357" s="39">
        <f>IF([8]道具信息!H357="","",[8]道具信息!H357)</f>
        <v>1</v>
      </c>
      <c r="I357" s="39">
        <f>IF([8]道具信息!I357="","",[8]道具信息!I357)</f>
        <v>140</v>
      </c>
      <c r="J357" s="39">
        <f>IF([8]道具信息!J357="","",[8]道具信息!J357)</f>
        <v>140</v>
      </c>
      <c r="K357" s="39">
        <f>IF([8]道具信息!K357="","",[8]道具信息!K357)</f>
        <v>140</v>
      </c>
      <c r="L357" s="39" t="str">
        <f>IF([8]道具信息!L357="","",[8]道具信息!L357)</f>
        <v>使用后随机获得青圭、赤璋、白琥、玄璜中的1个贡品</v>
      </c>
      <c r="M357" s="39" t="str">
        <f>IF([8]道具信息!M357="","",[8]道具信息!M357)</f>
        <v/>
      </c>
      <c r="N357" s="39" t="str">
        <f>IF([8]道具信息!N357="","",[8]道具信息!N357)</f>
        <v/>
      </c>
      <c r="O357" s="39" t="str">
        <f>IF([8]道具信息!O357="","",[8]道具信息!O357)</f>
        <v/>
      </c>
      <c r="P357" s="39" t="str">
        <f>IF([8]道具信息!P357="","",[8]道具信息!P357)</f>
        <v/>
      </c>
      <c r="Q357" s="39" t="str">
        <f>IF([8]道具信息!Q357="","",[8]道具信息!Q357)</f>
        <v/>
      </c>
      <c r="R357" s="39" t="str">
        <f>IF([8]道具信息!R357="","",[8]道具信息!R357)</f>
        <v/>
      </c>
      <c r="S357" s="39" t="str">
        <f>IF([8]道具信息!S357="","",[8]道具信息!S357)</f>
        <v/>
      </c>
      <c r="T357" s="39" t="str">
        <f>IF([8]道具信息!T357="","",[8]道具信息!T357)</f>
        <v/>
      </c>
      <c r="U357" s="39" t="str">
        <f>IF([8]道具信息!U357="","",[8]道具信息!U357)</f>
        <v/>
      </c>
      <c r="V357" s="39" t="str">
        <f>IF([8]道具信息!V357="","",[8]道具信息!V357)</f>
        <v/>
      </c>
      <c r="W357" s="39" t="str">
        <f>IF([8]道具信息!W357="","",[8]道具信息!W357)</f>
        <v/>
      </c>
      <c r="X357" s="39" t="str">
        <f>IF([8]道具信息!X357="","",[8]道具信息!X357)</f>
        <v/>
      </c>
      <c r="Y357" s="39" t="str">
        <f>IF([8]道具信息!Y357="","",[8]道具信息!Y357)</f>
        <v/>
      </c>
      <c r="Z357" s="39" t="str">
        <f>IF([8]道具信息!Z357="","",[8]道具信息!Z357)</f>
        <v/>
      </c>
    </row>
    <row r="358" spans="1:26" x14ac:dyDescent="0.15">
      <c r="A358" s="39" t="str">
        <f>IF([8]道具信息!A358="","",[8]道具信息!A358)</f>
        <v/>
      </c>
      <c r="B358" s="39" t="str">
        <f>IF([8]道具信息!B358="","",[8]道具信息!B358)</f>
        <v/>
      </c>
      <c r="C358" s="39" t="str">
        <f>IF([8]道具信息!C358="","",[8]道具信息!C358)</f>
        <v/>
      </c>
      <c r="D358" s="39" t="str">
        <f>IF([8]道具信息!D358="","",[8]道具信息!D358)</f>
        <v/>
      </c>
      <c r="E358" s="39" t="str">
        <f>IF([8]道具信息!E358="","",[8]道具信息!E358)</f>
        <v/>
      </c>
      <c r="F358" s="39" t="str">
        <f>IF([8]道具信息!F358="","",[8]道具信息!F358)</f>
        <v/>
      </c>
      <c r="G358" s="39" t="str">
        <f>IF([8]道具信息!G358="","",[8]道具信息!G358)</f>
        <v/>
      </c>
      <c r="H358" s="39" t="str">
        <f>IF([8]道具信息!H358="","",[8]道具信息!H358)</f>
        <v/>
      </c>
      <c r="I358" s="39" t="str">
        <f>IF([8]道具信息!I358="","",[8]道具信息!I358)</f>
        <v/>
      </c>
      <c r="J358" s="39" t="str">
        <f>IF([8]道具信息!J358="","",[8]道具信息!J358)</f>
        <v/>
      </c>
      <c r="K358" s="39" t="str">
        <f>IF([8]道具信息!K358="","",[8]道具信息!K358)</f>
        <v/>
      </c>
      <c r="L358" s="39" t="str">
        <f>IF([8]道具信息!L358="","",[8]道具信息!L358)</f>
        <v/>
      </c>
      <c r="M358" s="39" t="str">
        <f>IF([8]道具信息!M358="","",[8]道具信息!M358)</f>
        <v/>
      </c>
      <c r="N358" s="39" t="str">
        <f>IF([8]道具信息!N358="","",[8]道具信息!N358)</f>
        <v/>
      </c>
      <c r="O358" s="39" t="str">
        <f>IF([8]道具信息!O358="","",[8]道具信息!O358)</f>
        <v/>
      </c>
      <c r="P358" s="39" t="str">
        <f>IF([8]道具信息!P358="","",[8]道具信息!P358)</f>
        <v/>
      </c>
      <c r="Q358" s="39" t="str">
        <f>IF([8]道具信息!Q358="","",[8]道具信息!Q358)</f>
        <v/>
      </c>
      <c r="R358" s="39" t="str">
        <f>IF([8]道具信息!R358="","",[8]道具信息!R358)</f>
        <v/>
      </c>
      <c r="S358" s="39" t="str">
        <f>IF([8]道具信息!S358="","",[8]道具信息!S358)</f>
        <v/>
      </c>
      <c r="T358" s="39" t="str">
        <f>IF([8]道具信息!T358="","",[8]道具信息!T358)</f>
        <v/>
      </c>
      <c r="U358" s="39" t="str">
        <f>IF([8]道具信息!U358="","",[8]道具信息!U358)</f>
        <v/>
      </c>
      <c r="V358" s="39" t="str">
        <f>IF([8]道具信息!V358="","",[8]道具信息!V358)</f>
        <v/>
      </c>
      <c r="W358" s="39" t="str">
        <f>IF([8]道具信息!W358="","",[8]道具信息!W358)</f>
        <v/>
      </c>
      <c r="X358" s="39" t="str">
        <f>IF([8]道具信息!X358="","",[8]道具信息!X358)</f>
        <v/>
      </c>
      <c r="Y358" s="39" t="str">
        <f>IF([8]道具信息!Y358="","",[8]道具信息!Y358)</f>
        <v/>
      </c>
      <c r="Z358" s="39" t="str">
        <f>IF([8]道具信息!Z358="","",[8]道具信息!Z358)</f>
        <v/>
      </c>
    </row>
    <row r="359" spans="1:26" x14ac:dyDescent="0.15">
      <c r="A359" s="39" t="str">
        <f>IF([8]道具信息!A359="","",[8]道具信息!A359)</f>
        <v/>
      </c>
      <c r="B359" s="39" t="str">
        <f>IF([8]道具信息!B359="","",[8]道具信息!B359)</f>
        <v/>
      </c>
      <c r="C359" s="39">
        <f>IF([8]道具信息!C359="","",[8]道具信息!C359)</f>
        <v>21251</v>
      </c>
      <c r="D359" s="39" t="str">
        <f>IF([8]道具信息!D359="","",[8]道具信息!D359)</f>
        <v>绿色装备宝箱</v>
      </c>
      <c r="E359" s="39">
        <f>IF([8]道具信息!E359="","",[8]道具信息!E359)</f>
        <v>35</v>
      </c>
      <c r="F359" s="39">
        <f>IF([8]道具信息!F359="","",[8]道具信息!F359)</f>
        <v>1</v>
      </c>
      <c r="G359" s="39">
        <f>IF([8]道具信息!G359="","",[8]道具信息!G359)</f>
        <v>1</v>
      </c>
      <c r="H359" s="39">
        <f>IF([8]道具信息!H359="","",[8]道具信息!H359)</f>
        <v>1</v>
      </c>
      <c r="I359" s="39">
        <f>IF([8]道具信息!I359="","",[8]道具信息!I359)</f>
        <v>35</v>
      </c>
      <c r="J359" s="39">
        <f>IF([8]道具信息!J359="","",[8]道具信息!J359)</f>
        <v>35</v>
      </c>
      <c r="K359" s="39">
        <f>IF([8]道具信息!K359="","",[8]道具信息!K359)</f>
        <v>35</v>
      </c>
      <c r="L359" s="39" t="str">
        <f>IF([8]道具信息!L359="","",[8]道具信息!L359)</f>
        <v>使用后随机获得1件品质为绿色的装备</v>
      </c>
      <c r="M359" s="39" t="str">
        <f>IF([8]道具信息!M359="","",[8]道具信息!M359)</f>
        <v/>
      </c>
      <c r="N359" s="39" t="str">
        <f>IF([8]道具信息!N359="","",[8]道具信息!N359)</f>
        <v/>
      </c>
      <c r="O359" s="39" t="str">
        <f>IF([8]道具信息!O359="","",[8]道具信息!O359)</f>
        <v/>
      </c>
      <c r="P359" s="39" t="str">
        <f>IF([8]道具信息!P359="","",[8]道具信息!P359)</f>
        <v/>
      </c>
      <c r="Q359" s="39" t="str">
        <f>IF([8]道具信息!Q359="","",[8]道具信息!Q359)</f>
        <v/>
      </c>
      <c r="R359" s="39" t="str">
        <f>IF([8]道具信息!R359="","",[8]道具信息!R359)</f>
        <v/>
      </c>
      <c r="S359" s="39" t="str">
        <f>IF([8]道具信息!S359="","",[8]道具信息!S359)</f>
        <v/>
      </c>
      <c r="T359" s="39" t="str">
        <f>IF([8]道具信息!T359="","",[8]道具信息!T359)</f>
        <v/>
      </c>
      <c r="U359" s="39" t="str">
        <f>IF([8]道具信息!U359="","",[8]道具信息!U359)</f>
        <v/>
      </c>
      <c r="V359" s="39" t="str">
        <f>IF([8]道具信息!V359="","",[8]道具信息!V359)</f>
        <v/>
      </c>
      <c r="W359" s="39" t="str">
        <f>IF([8]道具信息!W359="","",[8]道具信息!W359)</f>
        <v/>
      </c>
      <c r="X359" s="39" t="str">
        <f>IF([8]道具信息!X359="","",[8]道具信息!X359)</f>
        <v/>
      </c>
      <c r="Y359" s="39" t="str">
        <f>IF([8]道具信息!Y359="","",[8]道具信息!Y359)</f>
        <v/>
      </c>
      <c r="Z359" s="39" t="str">
        <f>IF([8]道具信息!Z359="","",[8]道具信息!Z359)</f>
        <v/>
      </c>
    </row>
    <row r="360" spans="1:26" x14ac:dyDescent="0.15">
      <c r="A360" s="39" t="str">
        <f>IF([8]道具信息!A360="","",[8]道具信息!A360)</f>
        <v/>
      </c>
      <c r="B360" s="39" t="str">
        <f>IF([8]道具信息!B360="","",[8]道具信息!B360)</f>
        <v/>
      </c>
      <c r="C360" s="39">
        <f>IF([8]道具信息!C360="","",[8]道具信息!C360)</f>
        <v>21252</v>
      </c>
      <c r="D360" s="39" t="str">
        <f>IF([8]道具信息!D360="","",[8]道具信息!D360)</f>
        <v>蓝色装备宝箱</v>
      </c>
      <c r="E360" s="39">
        <f>IF([8]道具信息!E360="","",[8]道具信息!E360)</f>
        <v>75</v>
      </c>
      <c r="F360" s="39">
        <f>IF([8]道具信息!F360="","",[8]道具信息!F360)</f>
        <v>1</v>
      </c>
      <c r="G360" s="39">
        <f>IF([8]道具信息!G360="","",[8]道具信息!G360)</f>
        <v>1</v>
      </c>
      <c r="H360" s="39">
        <f>IF([8]道具信息!H360="","",[8]道具信息!H360)</f>
        <v>1</v>
      </c>
      <c r="I360" s="39">
        <f>IF([8]道具信息!I360="","",[8]道具信息!I360)</f>
        <v>75</v>
      </c>
      <c r="J360" s="39">
        <f>IF([8]道具信息!J360="","",[8]道具信息!J360)</f>
        <v>75</v>
      </c>
      <c r="K360" s="39">
        <f>IF([8]道具信息!K360="","",[8]道具信息!K360)</f>
        <v>75</v>
      </c>
      <c r="L360" s="39" t="str">
        <f>IF([8]道具信息!L360="","",[8]道具信息!L360)</f>
        <v>使用后随机获得1件品质为蓝色的装备</v>
      </c>
      <c r="M360" s="39" t="str">
        <f>IF([8]道具信息!M360="","",[8]道具信息!M360)</f>
        <v/>
      </c>
      <c r="N360" s="39" t="str">
        <f>IF([8]道具信息!N360="","",[8]道具信息!N360)</f>
        <v/>
      </c>
      <c r="O360" s="39" t="str">
        <f>IF([8]道具信息!O360="","",[8]道具信息!O360)</f>
        <v/>
      </c>
      <c r="P360" s="39" t="str">
        <f>IF([8]道具信息!P360="","",[8]道具信息!P360)</f>
        <v/>
      </c>
      <c r="Q360" s="39" t="str">
        <f>IF([8]道具信息!Q360="","",[8]道具信息!Q360)</f>
        <v/>
      </c>
      <c r="R360" s="39" t="str">
        <f>IF([8]道具信息!R360="","",[8]道具信息!R360)</f>
        <v/>
      </c>
      <c r="S360" s="39" t="str">
        <f>IF([8]道具信息!S360="","",[8]道具信息!S360)</f>
        <v/>
      </c>
      <c r="T360" s="39" t="str">
        <f>IF([8]道具信息!T360="","",[8]道具信息!T360)</f>
        <v/>
      </c>
      <c r="U360" s="39" t="str">
        <f>IF([8]道具信息!U360="","",[8]道具信息!U360)</f>
        <v/>
      </c>
      <c r="V360" s="39" t="str">
        <f>IF([8]道具信息!V360="","",[8]道具信息!V360)</f>
        <v/>
      </c>
      <c r="W360" s="39" t="str">
        <f>IF([8]道具信息!W360="","",[8]道具信息!W360)</f>
        <v/>
      </c>
      <c r="X360" s="39" t="str">
        <f>IF([8]道具信息!X360="","",[8]道具信息!X360)</f>
        <v/>
      </c>
      <c r="Y360" s="39" t="str">
        <f>IF([8]道具信息!Y360="","",[8]道具信息!Y360)</f>
        <v/>
      </c>
      <c r="Z360" s="39" t="str">
        <f>IF([8]道具信息!Z360="","",[8]道具信息!Z360)</f>
        <v/>
      </c>
    </row>
    <row r="361" spans="1:26" x14ac:dyDescent="0.15">
      <c r="A361" s="39" t="str">
        <f>IF([8]道具信息!A361="","",[8]道具信息!A361)</f>
        <v/>
      </c>
      <c r="B361" s="39" t="str">
        <f>IF([8]道具信息!B361="","",[8]道具信息!B361)</f>
        <v/>
      </c>
      <c r="C361" s="39">
        <f>IF([8]道具信息!C361="","",[8]道具信息!C361)</f>
        <v>21253</v>
      </c>
      <c r="D361" s="39" t="str">
        <f>IF([8]道具信息!D361="","",[8]道具信息!D361)</f>
        <v>紫色装备宝箱</v>
      </c>
      <c r="E361" s="39">
        <f>IF([8]道具信息!E361="","",[8]道具信息!E361)</f>
        <v>150</v>
      </c>
      <c r="F361" s="39">
        <f>IF([8]道具信息!F361="","",[8]道具信息!F361)</f>
        <v>1</v>
      </c>
      <c r="G361" s="39">
        <f>IF([8]道具信息!G361="","",[8]道具信息!G361)</f>
        <v>1</v>
      </c>
      <c r="H361" s="39">
        <f>IF([8]道具信息!H361="","",[8]道具信息!H361)</f>
        <v>1</v>
      </c>
      <c r="I361" s="39">
        <f>IF([8]道具信息!I361="","",[8]道具信息!I361)</f>
        <v>150</v>
      </c>
      <c r="J361" s="39">
        <f>IF([8]道具信息!J361="","",[8]道具信息!J361)</f>
        <v>150</v>
      </c>
      <c r="K361" s="39">
        <f>IF([8]道具信息!K361="","",[8]道具信息!K361)</f>
        <v>150</v>
      </c>
      <c r="L361" s="39" t="str">
        <f>IF([8]道具信息!L361="","",[8]道具信息!L361)</f>
        <v>使用后随机获得1件品质为紫色的装备</v>
      </c>
      <c r="M361" s="39" t="str">
        <f>IF([8]道具信息!M361="","",[8]道具信息!M361)</f>
        <v/>
      </c>
      <c r="N361" s="39" t="str">
        <f>IF([8]道具信息!N361="","",[8]道具信息!N361)</f>
        <v/>
      </c>
      <c r="O361" s="39" t="str">
        <f>IF([8]道具信息!O361="","",[8]道具信息!O361)</f>
        <v/>
      </c>
      <c r="P361" s="39" t="str">
        <f>IF([8]道具信息!P361="","",[8]道具信息!P361)</f>
        <v/>
      </c>
      <c r="Q361" s="39" t="str">
        <f>IF([8]道具信息!Q361="","",[8]道具信息!Q361)</f>
        <v/>
      </c>
      <c r="R361" s="39" t="str">
        <f>IF([8]道具信息!R361="","",[8]道具信息!R361)</f>
        <v/>
      </c>
      <c r="S361" s="39" t="str">
        <f>IF([8]道具信息!S361="","",[8]道具信息!S361)</f>
        <v/>
      </c>
      <c r="T361" s="39" t="str">
        <f>IF([8]道具信息!T361="","",[8]道具信息!T361)</f>
        <v/>
      </c>
      <c r="U361" s="39" t="str">
        <f>IF([8]道具信息!U361="","",[8]道具信息!U361)</f>
        <v/>
      </c>
      <c r="V361" s="39" t="str">
        <f>IF([8]道具信息!V361="","",[8]道具信息!V361)</f>
        <v/>
      </c>
      <c r="W361" s="39" t="str">
        <f>IF([8]道具信息!W361="","",[8]道具信息!W361)</f>
        <v/>
      </c>
      <c r="X361" s="39" t="str">
        <f>IF([8]道具信息!X361="","",[8]道具信息!X361)</f>
        <v/>
      </c>
      <c r="Y361" s="39" t="str">
        <f>IF([8]道具信息!Y361="","",[8]道具信息!Y361)</f>
        <v/>
      </c>
      <c r="Z361" s="39" t="str">
        <f>IF([8]道具信息!Z361="","",[8]道具信息!Z361)</f>
        <v/>
      </c>
    </row>
    <row r="362" spans="1:26" x14ac:dyDescent="0.15">
      <c r="A362" s="39" t="str">
        <f>IF([8]道具信息!A362="","",[8]道具信息!A362)</f>
        <v/>
      </c>
      <c r="B362" s="39" t="str">
        <f>IF([8]道具信息!B362="","",[8]道具信息!B362)</f>
        <v/>
      </c>
      <c r="C362" s="39">
        <f>IF([8]道具信息!C362="","",[8]道具信息!C362)</f>
        <v>21254</v>
      </c>
      <c r="D362" s="39" t="str">
        <f>IF([8]道具信息!D362="","",[8]道具信息!D362)</f>
        <v>橙色装备宝箱</v>
      </c>
      <c r="E362" s="39">
        <f>IF([8]道具信息!E362="","",[8]道具信息!E362)</f>
        <v>320</v>
      </c>
      <c r="F362" s="39">
        <f>IF([8]道具信息!F362="","",[8]道具信息!F362)</f>
        <v>1</v>
      </c>
      <c r="G362" s="39">
        <f>IF([8]道具信息!G362="","",[8]道具信息!G362)</f>
        <v>1</v>
      </c>
      <c r="H362" s="39">
        <f>IF([8]道具信息!H362="","",[8]道具信息!H362)</f>
        <v>1</v>
      </c>
      <c r="I362" s="39">
        <f>IF([8]道具信息!I362="","",[8]道具信息!I362)</f>
        <v>320</v>
      </c>
      <c r="J362" s="39">
        <f>IF([8]道具信息!J362="","",[8]道具信息!J362)</f>
        <v>320</v>
      </c>
      <c r="K362" s="39">
        <f>IF([8]道具信息!K362="","",[8]道具信息!K362)</f>
        <v>320</v>
      </c>
      <c r="L362" s="39" t="str">
        <f>IF([8]道具信息!L362="","",[8]道具信息!L362)</f>
        <v>使用后随机获得1件品质为橙色的装备</v>
      </c>
      <c r="M362" s="39" t="str">
        <f>IF([8]道具信息!M362="","",[8]道具信息!M362)</f>
        <v/>
      </c>
      <c r="N362" s="39" t="str">
        <f>IF([8]道具信息!N362="","",[8]道具信息!N362)</f>
        <v/>
      </c>
      <c r="O362" s="39" t="str">
        <f>IF([8]道具信息!O362="","",[8]道具信息!O362)</f>
        <v/>
      </c>
      <c r="P362" s="39" t="str">
        <f>IF([8]道具信息!P362="","",[8]道具信息!P362)</f>
        <v/>
      </c>
      <c r="Q362" s="39" t="str">
        <f>IF([8]道具信息!Q362="","",[8]道具信息!Q362)</f>
        <v/>
      </c>
      <c r="R362" s="39" t="str">
        <f>IF([8]道具信息!R362="","",[8]道具信息!R362)</f>
        <v/>
      </c>
      <c r="S362" s="39" t="str">
        <f>IF([8]道具信息!S362="","",[8]道具信息!S362)</f>
        <v/>
      </c>
      <c r="T362" s="39" t="str">
        <f>IF([8]道具信息!T362="","",[8]道具信息!T362)</f>
        <v/>
      </c>
      <c r="U362" s="39" t="str">
        <f>IF([8]道具信息!U362="","",[8]道具信息!U362)</f>
        <v/>
      </c>
      <c r="V362" s="39" t="str">
        <f>IF([8]道具信息!V362="","",[8]道具信息!V362)</f>
        <v/>
      </c>
      <c r="W362" s="39" t="str">
        <f>IF([8]道具信息!W362="","",[8]道具信息!W362)</f>
        <v/>
      </c>
      <c r="X362" s="39" t="str">
        <f>IF([8]道具信息!X362="","",[8]道具信息!X362)</f>
        <v/>
      </c>
      <c r="Y362" s="39" t="str">
        <f>IF([8]道具信息!Y362="","",[8]道具信息!Y362)</f>
        <v/>
      </c>
      <c r="Z362" s="39" t="str">
        <f>IF([8]道具信息!Z362="","",[8]道具信息!Z362)</f>
        <v/>
      </c>
    </row>
    <row r="363" spans="1:26" x14ac:dyDescent="0.15">
      <c r="A363" s="39" t="str">
        <f>IF([8]道具信息!A363="","",[8]道具信息!A363)</f>
        <v/>
      </c>
      <c r="B363" s="39" t="str">
        <f>IF([8]道具信息!B363="","",[8]道具信息!B363)</f>
        <v/>
      </c>
      <c r="C363" s="39">
        <f>IF([8]道具信息!C363="","",[8]道具信息!C363)</f>
        <v>21255</v>
      </c>
      <c r="D363" s="39" t="str">
        <f>IF([8]道具信息!D363="","",[8]道具信息!D363)</f>
        <v>红色装备宝箱</v>
      </c>
      <c r="E363" s="39">
        <f>IF([8]道具信息!E363="","",[8]道具信息!E363)</f>
        <v>2400</v>
      </c>
      <c r="F363" s="39">
        <f>IF([8]道具信息!F363="","",[8]道具信息!F363)</f>
        <v>1</v>
      </c>
      <c r="G363" s="39">
        <f>IF([8]道具信息!G363="","",[8]道具信息!G363)</f>
        <v>1</v>
      </c>
      <c r="H363" s="39">
        <f>IF([8]道具信息!H363="","",[8]道具信息!H363)</f>
        <v>1</v>
      </c>
      <c r="I363" s="39">
        <f>IF([8]道具信息!I363="","",[8]道具信息!I363)</f>
        <v>2400</v>
      </c>
      <c r="J363" s="39">
        <f>IF([8]道具信息!J363="","",[8]道具信息!J363)</f>
        <v>2400</v>
      </c>
      <c r="K363" s="39">
        <f>IF([8]道具信息!K363="","",[8]道具信息!K363)</f>
        <v>2400</v>
      </c>
      <c r="L363" s="39" t="str">
        <f>IF([8]道具信息!L363="","",[8]道具信息!L363)</f>
        <v>使用后随机获得1件品质为红色的装备</v>
      </c>
      <c r="M363" s="39" t="str">
        <f>IF([8]道具信息!M363="","",[8]道具信息!M363)</f>
        <v/>
      </c>
      <c r="N363" s="39" t="str">
        <f>IF([8]道具信息!N363="","",[8]道具信息!N363)</f>
        <v/>
      </c>
      <c r="O363" s="39" t="str">
        <f>IF([8]道具信息!O363="","",[8]道具信息!O363)</f>
        <v/>
      </c>
      <c r="P363" s="39" t="str">
        <f>IF([8]道具信息!P363="","",[8]道具信息!P363)</f>
        <v/>
      </c>
      <c r="Q363" s="39" t="str">
        <f>IF([8]道具信息!Q363="","",[8]道具信息!Q363)</f>
        <v/>
      </c>
      <c r="R363" s="39" t="str">
        <f>IF([8]道具信息!R363="","",[8]道具信息!R363)</f>
        <v/>
      </c>
      <c r="S363" s="39" t="str">
        <f>IF([8]道具信息!S363="","",[8]道具信息!S363)</f>
        <v/>
      </c>
      <c r="T363" s="39" t="str">
        <f>IF([8]道具信息!T363="","",[8]道具信息!T363)</f>
        <v/>
      </c>
      <c r="U363" s="39" t="str">
        <f>IF([8]道具信息!U363="","",[8]道具信息!U363)</f>
        <v/>
      </c>
      <c r="V363" s="39" t="str">
        <f>IF([8]道具信息!V363="","",[8]道具信息!V363)</f>
        <v/>
      </c>
      <c r="W363" s="39" t="str">
        <f>IF([8]道具信息!W363="","",[8]道具信息!W363)</f>
        <v/>
      </c>
      <c r="X363" s="39" t="str">
        <f>IF([8]道具信息!X363="","",[8]道具信息!X363)</f>
        <v/>
      </c>
      <c r="Y363" s="39" t="str">
        <f>IF([8]道具信息!Y363="","",[8]道具信息!Y363)</f>
        <v/>
      </c>
      <c r="Z363" s="39" t="str">
        <f>IF([8]道具信息!Z363="","",[8]道具信息!Z363)</f>
        <v/>
      </c>
    </row>
    <row r="364" spans="1:26" x14ac:dyDescent="0.15">
      <c r="A364" s="39" t="str">
        <f>IF([8]道具信息!A364="","",[8]道具信息!A364)</f>
        <v/>
      </c>
      <c r="B364" s="39" t="str">
        <f>IF([8]道具信息!B364="","",[8]道具信息!B364)</f>
        <v/>
      </c>
      <c r="C364" s="39" t="str">
        <f>IF([8]道具信息!C364="","",[8]道具信息!C364)</f>
        <v/>
      </c>
      <c r="D364" s="39" t="str">
        <f>IF([8]道具信息!D364="","",[8]道具信息!D364)</f>
        <v/>
      </c>
      <c r="E364" s="39" t="str">
        <f>IF([8]道具信息!E364="","",[8]道具信息!E364)</f>
        <v/>
      </c>
      <c r="F364" s="39" t="str">
        <f>IF([8]道具信息!F364="","",[8]道具信息!F364)</f>
        <v/>
      </c>
      <c r="G364" s="39" t="str">
        <f>IF([8]道具信息!G364="","",[8]道具信息!G364)</f>
        <v/>
      </c>
      <c r="H364" s="39" t="str">
        <f>IF([8]道具信息!H364="","",[8]道具信息!H364)</f>
        <v/>
      </c>
      <c r="I364" s="39" t="str">
        <f>IF([8]道具信息!I364="","",[8]道具信息!I364)</f>
        <v/>
      </c>
      <c r="J364" s="39" t="str">
        <f>IF([8]道具信息!J364="","",[8]道具信息!J364)</f>
        <v/>
      </c>
      <c r="K364" s="39" t="str">
        <f>IF([8]道具信息!K364="","",[8]道具信息!K364)</f>
        <v/>
      </c>
      <c r="L364" s="39" t="str">
        <f>IF([8]道具信息!L364="","",[8]道具信息!L364)</f>
        <v/>
      </c>
      <c r="M364" s="39" t="str">
        <f>IF([8]道具信息!M364="","",[8]道具信息!M364)</f>
        <v/>
      </c>
      <c r="N364" s="39" t="str">
        <f>IF([8]道具信息!N364="","",[8]道具信息!N364)</f>
        <v/>
      </c>
      <c r="O364" s="39" t="str">
        <f>IF([8]道具信息!O364="","",[8]道具信息!O364)</f>
        <v/>
      </c>
      <c r="P364" s="39" t="str">
        <f>IF([8]道具信息!P364="","",[8]道具信息!P364)</f>
        <v/>
      </c>
      <c r="Q364" s="39" t="str">
        <f>IF([8]道具信息!Q364="","",[8]道具信息!Q364)</f>
        <v/>
      </c>
      <c r="R364" s="39" t="str">
        <f>IF([8]道具信息!R364="","",[8]道具信息!R364)</f>
        <v/>
      </c>
      <c r="S364" s="39" t="str">
        <f>IF([8]道具信息!S364="","",[8]道具信息!S364)</f>
        <v/>
      </c>
      <c r="T364" s="39" t="str">
        <f>IF([8]道具信息!T364="","",[8]道具信息!T364)</f>
        <v/>
      </c>
      <c r="U364" s="39" t="str">
        <f>IF([8]道具信息!U364="","",[8]道具信息!U364)</f>
        <v/>
      </c>
      <c r="V364" s="39" t="str">
        <f>IF([8]道具信息!V364="","",[8]道具信息!V364)</f>
        <v/>
      </c>
      <c r="W364" s="39" t="str">
        <f>IF([8]道具信息!W364="","",[8]道具信息!W364)</f>
        <v/>
      </c>
      <c r="X364" s="39" t="str">
        <f>IF([8]道具信息!X364="","",[8]道具信息!X364)</f>
        <v/>
      </c>
      <c r="Y364" s="39" t="str">
        <f>IF([8]道具信息!Y364="","",[8]道具信息!Y364)</f>
        <v/>
      </c>
      <c r="Z364" s="39" t="str">
        <f>IF([8]道具信息!Z364="","",[8]道具信息!Z364)</f>
        <v/>
      </c>
    </row>
    <row r="365" spans="1:26" x14ac:dyDescent="0.15">
      <c r="A365" s="39" t="str">
        <f>IF([8]道具信息!A365="","",[8]道具信息!A365)</f>
        <v/>
      </c>
      <c r="B365" s="39" t="str">
        <f>IF([8]道具信息!B365="","",[8]道具信息!B365)</f>
        <v/>
      </c>
      <c r="C365" s="39">
        <f>IF([8]道具信息!C365="","",[8]道具信息!C365)</f>
        <v>20052</v>
      </c>
      <c r="D365" s="39" t="str">
        <f>IF([8]道具信息!D365="","",[8]道具信息!D365)</f>
        <v>练军心得·觉</v>
      </c>
      <c r="E365" s="39">
        <f>IF([8]道具信息!E365="","",[8]道具信息!E365)</f>
        <v>40</v>
      </c>
      <c r="F365" s="39">
        <f>IF([8]道具信息!F365="","",[8]道具信息!F365)</f>
        <v>1</v>
      </c>
      <c r="G365" s="39">
        <f>IF([8]道具信息!G365="","",[8]道具信息!G365)</f>
        <v>1</v>
      </c>
      <c r="H365" s="39">
        <f>IF([8]道具信息!H365="","",[8]道具信息!H365)</f>
        <v>1</v>
      </c>
      <c r="I365" s="39">
        <f>IF([8]道具信息!I365="","",[8]道具信息!I365)</f>
        <v>40</v>
      </c>
      <c r="J365" s="39">
        <f>IF([8]道具信息!J365="","",[8]道具信息!J365)</f>
        <v>40</v>
      </c>
      <c r="K365" s="39">
        <f>IF([8]道具信息!K365="","",[8]道具信息!K365)</f>
        <v>40</v>
      </c>
      <c r="L365" s="39" t="str">
        <f>IF([8]道具信息!L365="","",[8]道具信息!L365)</f>
        <v>掌军之策，厉兵秣马，可用于武将觉醒</v>
      </c>
      <c r="M365" s="39" t="str">
        <f>IF([8]道具信息!M365="","",[8]道具信息!M365)</f>
        <v/>
      </c>
      <c r="N365" s="39" t="str">
        <f>IF([8]道具信息!N365="","",[8]道具信息!N365)</f>
        <v/>
      </c>
      <c r="O365" s="39" t="str">
        <f>IF([8]道具信息!O365="","",[8]道具信息!O365)</f>
        <v/>
      </c>
      <c r="P365" s="39" t="str">
        <f>IF([8]道具信息!P365="","",[8]道具信息!P365)</f>
        <v/>
      </c>
      <c r="Q365" s="39" t="str">
        <f>IF([8]道具信息!Q365="","",[8]道具信息!Q365)</f>
        <v/>
      </c>
      <c r="R365" s="39" t="str">
        <f>IF([8]道具信息!R365="","",[8]道具信息!R365)</f>
        <v/>
      </c>
      <c r="S365" s="39" t="str">
        <f>IF([8]道具信息!S365="","",[8]道具信息!S365)</f>
        <v/>
      </c>
      <c r="T365" s="39" t="str">
        <f>IF([8]道具信息!T365="","",[8]道具信息!T365)</f>
        <v/>
      </c>
      <c r="U365" s="39" t="str">
        <f>IF([8]道具信息!U365="","",[8]道具信息!U365)</f>
        <v/>
      </c>
      <c r="V365" s="39" t="str">
        <f>IF([8]道具信息!V365="","",[8]道具信息!V365)</f>
        <v/>
      </c>
      <c r="W365" s="39" t="str">
        <f>IF([8]道具信息!W365="","",[8]道具信息!W365)</f>
        <v/>
      </c>
      <c r="X365" s="39" t="str">
        <f>IF([8]道具信息!X365="","",[8]道具信息!X365)</f>
        <v/>
      </c>
      <c r="Y365" s="39" t="str">
        <f>IF([8]道具信息!Y365="","",[8]道具信息!Y365)</f>
        <v/>
      </c>
      <c r="Z365" s="39" t="str">
        <f>IF([8]道具信息!Z365="","",[8]道具信息!Z365)</f>
        <v/>
      </c>
    </row>
    <row r="366" spans="1:26" x14ac:dyDescent="0.15">
      <c r="A366" s="39" t="str">
        <f>IF([8]道具信息!A366="","",[8]道具信息!A366)</f>
        <v/>
      </c>
      <c r="B366" s="39" t="str">
        <f>IF([8]道具信息!B366="","",[8]道具信息!B366)</f>
        <v/>
      </c>
      <c r="C366" s="39">
        <f>IF([8]道具信息!C366="","",[8]道具信息!C366)</f>
        <v>20053</v>
      </c>
      <c r="D366" s="39" t="str">
        <f>IF([8]道具信息!D366="","",[8]道具信息!D366)</f>
        <v>策论心得·觉</v>
      </c>
      <c r="E366" s="39">
        <f>IF([8]道具信息!E366="","",[8]道具信息!E366)</f>
        <v>40</v>
      </c>
      <c r="F366" s="39">
        <f>IF([8]道具信息!F366="","",[8]道具信息!F366)</f>
        <v>1</v>
      </c>
      <c r="G366" s="39">
        <f>IF([8]道具信息!G366="","",[8]道具信息!G366)</f>
        <v>1</v>
      </c>
      <c r="H366" s="39">
        <f>IF([8]道具信息!H366="","",[8]道具信息!H366)</f>
        <v>1</v>
      </c>
      <c r="I366" s="39">
        <f>IF([8]道具信息!I366="","",[8]道具信息!I366)</f>
        <v>40</v>
      </c>
      <c r="J366" s="39">
        <f>IF([8]道具信息!J366="","",[8]道具信息!J366)</f>
        <v>40</v>
      </c>
      <c r="K366" s="39">
        <f>IF([8]道具信息!K366="","",[8]道具信息!K366)</f>
        <v>40</v>
      </c>
      <c r="L366" s="39" t="str">
        <f>IF([8]道具信息!L366="","",[8]道具信息!L366)</f>
        <v>书山万卷，算无遗策，可用于武将觉醒</v>
      </c>
      <c r="M366" s="39" t="str">
        <f>IF([8]道具信息!M366="","",[8]道具信息!M366)</f>
        <v/>
      </c>
      <c r="N366" s="39" t="str">
        <f>IF([8]道具信息!N366="","",[8]道具信息!N366)</f>
        <v/>
      </c>
      <c r="O366" s="39" t="str">
        <f>IF([8]道具信息!O366="","",[8]道具信息!O366)</f>
        <v/>
      </c>
      <c r="P366" s="39" t="str">
        <f>IF([8]道具信息!P366="","",[8]道具信息!P366)</f>
        <v/>
      </c>
      <c r="Q366" s="39" t="str">
        <f>IF([8]道具信息!Q366="","",[8]道具信息!Q366)</f>
        <v/>
      </c>
      <c r="R366" s="39" t="str">
        <f>IF([8]道具信息!R366="","",[8]道具信息!R366)</f>
        <v/>
      </c>
      <c r="S366" s="39" t="str">
        <f>IF([8]道具信息!S366="","",[8]道具信息!S366)</f>
        <v/>
      </c>
      <c r="T366" s="39" t="str">
        <f>IF([8]道具信息!T366="","",[8]道具信息!T366)</f>
        <v/>
      </c>
      <c r="U366" s="39" t="str">
        <f>IF([8]道具信息!U366="","",[8]道具信息!U366)</f>
        <v/>
      </c>
      <c r="V366" s="39" t="str">
        <f>IF([8]道具信息!V366="","",[8]道具信息!V366)</f>
        <v/>
      </c>
      <c r="W366" s="39" t="str">
        <f>IF([8]道具信息!W366="","",[8]道具信息!W366)</f>
        <v/>
      </c>
      <c r="X366" s="39" t="str">
        <f>IF([8]道具信息!X366="","",[8]道具信息!X366)</f>
        <v/>
      </c>
      <c r="Y366" s="39" t="str">
        <f>IF([8]道具信息!Y366="","",[8]道具信息!Y366)</f>
        <v/>
      </c>
      <c r="Z366" s="39" t="str">
        <f>IF([8]道具信息!Z366="","",[8]道具信息!Z366)</f>
        <v/>
      </c>
    </row>
    <row r="367" spans="1:26" x14ac:dyDescent="0.15">
      <c r="A367" s="39" t="str">
        <f>IF([8]道具信息!A367="","",[8]道具信息!A367)</f>
        <v/>
      </c>
      <c r="B367" s="39" t="str">
        <f>IF([8]道具信息!B367="","",[8]道具信息!B367)</f>
        <v/>
      </c>
      <c r="C367" s="39">
        <f>IF([8]道具信息!C367="","",[8]道具信息!C367)</f>
        <v>20054</v>
      </c>
      <c r="D367" s="39" t="str">
        <f>IF([8]道具信息!D367="","",[8]道具信息!D367)</f>
        <v>兵书心得·觉</v>
      </c>
      <c r="E367" s="39">
        <f>IF([8]道具信息!E367="","",[8]道具信息!E367)</f>
        <v>40</v>
      </c>
      <c r="F367" s="39">
        <f>IF([8]道具信息!F367="","",[8]道具信息!F367)</f>
        <v>1</v>
      </c>
      <c r="G367" s="39">
        <f>IF([8]道具信息!G367="","",[8]道具信息!G367)</f>
        <v>1</v>
      </c>
      <c r="H367" s="39">
        <f>IF([8]道具信息!H367="","",[8]道具信息!H367)</f>
        <v>1</v>
      </c>
      <c r="I367" s="39">
        <f>IF([8]道具信息!I367="","",[8]道具信息!I367)</f>
        <v>40</v>
      </c>
      <c r="J367" s="39">
        <f>IF([8]道具信息!J367="","",[8]道具信息!J367)</f>
        <v>40</v>
      </c>
      <c r="K367" s="39">
        <f>IF([8]道具信息!K367="","",[8]道具信息!K367)</f>
        <v>40</v>
      </c>
      <c r="L367" s="39" t="str">
        <f>IF([8]道具信息!L367="","",[8]道具信息!L367)</f>
        <v>千军万马，文韬武略，可用于武将觉醒</v>
      </c>
      <c r="M367" s="39" t="str">
        <f>IF([8]道具信息!M367="","",[8]道具信息!M367)</f>
        <v/>
      </c>
      <c r="N367" s="39" t="str">
        <f>IF([8]道具信息!N367="","",[8]道具信息!N367)</f>
        <v/>
      </c>
      <c r="O367" s="39" t="str">
        <f>IF([8]道具信息!O367="","",[8]道具信息!O367)</f>
        <v/>
      </c>
      <c r="P367" s="39" t="str">
        <f>IF([8]道具信息!P367="","",[8]道具信息!P367)</f>
        <v/>
      </c>
      <c r="Q367" s="39" t="str">
        <f>IF([8]道具信息!Q367="","",[8]道具信息!Q367)</f>
        <v/>
      </c>
      <c r="R367" s="39" t="str">
        <f>IF([8]道具信息!R367="","",[8]道具信息!R367)</f>
        <v/>
      </c>
      <c r="S367" s="39" t="str">
        <f>IF([8]道具信息!S367="","",[8]道具信息!S367)</f>
        <v/>
      </c>
      <c r="T367" s="39" t="str">
        <f>IF([8]道具信息!T367="","",[8]道具信息!T367)</f>
        <v/>
      </c>
      <c r="U367" s="39" t="str">
        <f>IF([8]道具信息!U367="","",[8]道具信息!U367)</f>
        <v/>
      </c>
      <c r="V367" s="39" t="str">
        <f>IF([8]道具信息!V367="","",[8]道具信息!V367)</f>
        <v/>
      </c>
      <c r="W367" s="39" t="str">
        <f>IF([8]道具信息!W367="","",[8]道具信息!W367)</f>
        <v/>
      </c>
      <c r="X367" s="39" t="str">
        <f>IF([8]道具信息!X367="","",[8]道具信息!X367)</f>
        <v/>
      </c>
      <c r="Y367" s="39" t="str">
        <f>IF([8]道具信息!Y367="","",[8]道具信息!Y367)</f>
        <v/>
      </c>
      <c r="Z367" s="39" t="str">
        <f>IF([8]道具信息!Z367="","",[8]道具信息!Z367)</f>
        <v/>
      </c>
    </row>
    <row r="368" spans="1:26" x14ac:dyDescent="0.15">
      <c r="A368" s="39" t="str">
        <f>IF([8]道具信息!A368="","",[8]道具信息!A368)</f>
        <v/>
      </c>
      <c r="B368" s="39" t="str">
        <f>IF([8]道具信息!B368="","",[8]道具信息!B368)</f>
        <v/>
      </c>
      <c r="C368" s="39" t="str">
        <f>IF([8]道具信息!C368="","",[8]道具信息!C368)</f>
        <v/>
      </c>
      <c r="D368" s="39" t="str">
        <f>IF([8]道具信息!D368="","",[8]道具信息!D368)</f>
        <v/>
      </c>
      <c r="E368" s="39" t="str">
        <f>IF([8]道具信息!E368="","",[8]道具信息!E368)</f>
        <v/>
      </c>
      <c r="F368" s="39" t="str">
        <f>IF([8]道具信息!F368="","",[8]道具信息!F368)</f>
        <v/>
      </c>
      <c r="G368" s="39" t="str">
        <f>IF([8]道具信息!G368="","",[8]道具信息!G368)</f>
        <v/>
      </c>
      <c r="H368" s="39" t="str">
        <f>IF([8]道具信息!H368="","",[8]道具信息!H368)</f>
        <v/>
      </c>
      <c r="I368" s="39" t="str">
        <f>IF([8]道具信息!I368="","",[8]道具信息!I368)</f>
        <v/>
      </c>
      <c r="J368" s="39" t="str">
        <f>IF([8]道具信息!J368="","",[8]道具信息!J368)</f>
        <v/>
      </c>
      <c r="K368" s="39" t="str">
        <f>IF([8]道具信息!K368="","",[8]道具信息!K368)</f>
        <v/>
      </c>
      <c r="L368" s="39" t="str">
        <f>IF([8]道具信息!L368="","",[8]道具信息!L368)</f>
        <v/>
      </c>
      <c r="M368" s="39" t="str">
        <f>IF([8]道具信息!M368="","",[8]道具信息!M368)</f>
        <v/>
      </c>
      <c r="N368" s="39" t="str">
        <f>IF([8]道具信息!N368="","",[8]道具信息!N368)</f>
        <v/>
      </c>
      <c r="O368" s="39" t="str">
        <f>IF([8]道具信息!O368="","",[8]道具信息!O368)</f>
        <v/>
      </c>
      <c r="P368" s="39" t="str">
        <f>IF([8]道具信息!P368="","",[8]道具信息!P368)</f>
        <v/>
      </c>
      <c r="Q368" s="39" t="str">
        <f>IF([8]道具信息!Q368="","",[8]道具信息!Q368)</f>
        <v/>
      </c>
      <c r="R368" s="39" t="str">
        <f>IF([8]道具信息!R368="","",[8]道具信息!R368)</f>
        <v/>
      </c>
      <c r="S368" s="39" t="str">
        <f>IF([8]道具信息!S368="","",[8]道具信息!S368)</f>
        <v/>
      </c>
      <c r="T368" s="39" t="str">
        <f>IF([8]道具信息!T368="","",[8]道具信息!T368)</f>
        <v/>
      </c>
      <c r="U368" s="39" t="str">
        <f>IF([8]道具信息!U368="","",[8]道具信息!U368)</f>
        <v/>
      </c>
      <c r="V368" s="39" t="str">
        <f>IF([8]道具信息!V368="","",[8]道具信息!V368)</f>
        <v/>
      </c>
      <c r="W368" s="39" t="str">
        <f>IF([8]道具信息!W368="","",[8]道具信息!W368)</f>
        <v/>
      </c>
      <c r="X368" s="39" t="str">
        <f>IF([8]道具信息!X368="","",[8]道具信息!X368)</f>
        <v/>
      </c>
      <c r="Y368" s="39" t="str">
        <f>IF([8]道具信息!Y368="","",[8]道具信息!Y368)</f>
        <v/>
      </c>
      <c r="Z368" s="39" t="str">
        <f>IF([8]道具信息!Z368="","",[8]道具信息!Z368)</f>
        <v/>
      </c>
    </row>
    <row r="369" spans="1:26" x14ac:dyDescent="0.15">
      <c r="A369" s="39" t="str">
        <f>IF([8]道具信息!A369="","",[8]道具信息!A369)</f>
        <v/>
      </c>
      <c r="B369" s="39" t="str">
        <f>IF([8]道具信息!B369="","",[8]道具信息!B369)</f>
        <v/>
      </c>
      <c r="C369" s="39">
        <f>IF([8]道具信息!C369="","",[8]道具信息!C369)</f>
        <v>20055</v>
      </c>
      <c r="D369" s="39" t="str">
        <f>IF([8]道具信息!D369="","",[8]道具信息!D369)</f>
        <v>虎咬佩剑·觉</v>
      </c>
      <c r="E369" s="39">
        <f>IF([8]道具信息!E369="","",[8]道具信息!E369)</f>
        <v>60</v>
      </c>
      <c r="F369" s="39">
        <f>IF([8]道具信息!F369="","",[8]道具信息!F369)</f>
        <v>1</v>
      </c>
      <c r="G369" s="39">
        <f>IF([8]道具信息!G369="","",[8]道具信息!G369)</f>
        <v>1</v>
      </c>
      <c r="H369" s="39">
        <f>IF([8]道具信息!H369="","",[8]道具信息!H369)</f>
        <v>1</v>
      </c>
      <c r="I369" s="39">
        <f>IF([8]道具信息!I369="","",[8]道具信息!I369)</f>
        <v>60</v>
      </c>
      <c r="J369" s="39">
        <f>IF([8]道具信息!J369="","",[8]道具信息!J369)</f>
        <v>60</v>
      </c>
      <c r="K369" s="39">
        <f>IF([8]道具信息!K369="","",[8]道具信息!K369)</f>
        <v>60</v>
      </c>
      <c r="L369" s="39" t="str">
        <f>IF([8]道具信息!L369="","",[8]道具信息!L369)</f>
        <v>卧虎藏龙，剑及履及，可用于武将觉醒</v>
      </c>
      <c r="M369" s="39" t="str">
        <f>IF([8]道具信息!M369="","",[8]道具信息!M369)</f>
        <v/>
      </c>
      <c r="N369" s="39" t="str">
        <f>IF([8]道具信息!N369="","",[8]道具信息!N369)</f>
        <v/>
      </c>
      <c r="O369" s="39" t="str">
        <f>IF([8]道具信息!O369="","",[8]道具信息!O369)</f>
        <v/>
      </c>
      <c r="P369" s="39" t="str">
        <f>IF([8]道具信息!P369="","",[8]道具信息!P369)</f>
        <v/>
      </c>
      <c r="Q369" s="39" t="str">
        <f>IF([8]道具信息!Q369="","",[8]道具信息!Q369)</f>
        <v/>
      </c>
      <c r="R369" s="39" t="str">
        <f>IF([8]道具信息!R369="","",[8]道具信息!R369)</f>
        <v/>
      </c>
      <c r="S369" s="39" t="str">
        <f>IF([8]道具信息!S369="","",[8]道具信息!S369)</f>
        <v/>
      </c>
      <c r="T369" s="39" t="str">
        <f>IF([8]道具信息!T369="","",[8]道具信息!T369)</f>
        <v/>
      </c>
      <c r="U369" s="39" t="str">
        <f>IF([8]道具信息!U369="","",[8]道具信息!U369)</f>
        <v/>
      </c>
      <c r="V369" s="39" t="str">
        <f>IF([8]道具信息!V369="","",[8]道具信息!V369)</f>
        <v/>
      </c>
      <c r="W369" s="39" t="str">
        <f>IF([8]道具信息!W369="","",[8]道具信息!W369)</f>
        <v/>
      </c>
      <c r="X369" s="39" t="str">
        <f>IF([8]道具信息!X369="","",[8]道具信息!X369)</f>
        <v/>
      </c>
      <c r="Y369" s="39" t="str">
        <f>IF([8]道具信息!Y369="","",[8]道具信息!Y369)</f>
        <v/>
      </c>
      <c r="Z369" s="39" t="str">
        <f>IF([8]道具信息!Z369="","",[8]道具信息!Z369)</f>
        <v/>
      </c>
    </row>
    <row r="370" spans="1:26" x14ac:dyDescent="0.15">
      <c r="A370" s="39" t="str">
        <f>IF([8]道具信息!A370="","",[8]道具信息!A370)</f>
        <v/>
      </c>
      <c r="B370" s="39" t="str">
        <f>IF([8]道具信息!B370="","",[8]道具信息!B370)</f>
        <v/>
      </c>
      <c r="C370" s="39">
        <f>IF([8]道具信息!C370="","",[8]道具信息!C370)</f>
        <v>20056</v>
      </c>
      <c r="D370" s="39" t="str">
        <f>IF([8]道具信息!D370="","",[8]道具信息!D370)</f>
        <v>灵蛇佩剑·觉</v>
      </c>
      <c r="E370" s="39">
        <f>IF([8]道具信息!E370="","",[8]道具信息!E370)</f>
        <v>60</v>
      </c>
      <c r="F370" s="39">
        <f>IF([8]道具信息!F370="","",[8]道具信息!F370)</f>
        <v>1</v>
      </c>
      <c r="G370" s="39">
        <f>IF([8]道具信息!G370="","",[8]道具信息!G370)</f>
        <v>1</v>
      </c>
      <c r="H370" s="39">
        <f>IF([8]道具信息!H370="","",[8]道具信息!H370)</f>
        <v>1</v>
      </c>
      <c r="I370" s="39">
        <f>IF([8]道具信息!I370="","",[8]道具信息!I370)</f>
        <v>60</v>
      </c>
      <c r="J370" s="39">
        <f>IF([8]道具信息!J370="","",[8]道具信息!J370)</f>
        <v>60</v>
      </c>
      <c r="K370" s="39">
        <f>IF([8]道具信息!K370="","",[8]道具信息!K370)</f>
        <v>60</v>
      </c>
      <c r="L370" s="39" t="str">
        <f>IF([8]道具信息!L370="","",[8]道具信息!L370)</f>
        <v>灵蛇之珠，剑态箫心，可用于武将觉醒</v>
      </c>
      <c r="M370" s="39" t="str">
        <f>IF([8]道具信息!M370="","",[8]道具信息!M370)</f>
        <v/>
      </c>
      <c r="N370" s="39" t="str">
        <f>IF([8]道具信息!N370="","",[8]道具信息!N370)</f>
        <v/>
      </c>
      <c r="O370" s="39" t="str">
        <f>IF([8]道具信息!O370="","",[8]道具信息!O370)</f>
        <v/>
      </c>
      <c r="P370" s="39" t="str">
        <f>IF([8]道具信息!P370="","",[8]道具信息!P370)</f>
        <v/>
      </c>
      <c r="Q370" s="39" t="str">
        <f>IF([8]道具信息!Q370="","",[8]道具信息!Q370)</f>
        <v/>
      </c>
      <c r="R370" s="39" t="str">
        <f>IF([8]道具信息!R370="","",[8]道具信息!R370)</f>
        <v/>
      </c>
      <c r="S370" s="39" t="str">
        <f>IF([8]道具信息!S370="","",[8]道具信息!S370)</f>
        <v/>
      </c>
      <c r="T370" s="39" t="str">
        <f>IF([8]道具信息!T370="","",[8]道具信息!T370)</f>
        <v/>
      </c>
      <c r="U370" s="39" t="str">
        <f>IF([8]道具信息!U370="","",[8]道具信息!U370)</f>
        <v/>
      </c>
      <c r="V370" s="39" t="str">
        <f>IF([8]道具信息!V370="","",[8]道具信息!V370)</f>
        <v/>
      </c>
      <c r="W370" s="39" t="str">
        <f>IF([8]道具信息!W370="","",[8]道具信息!W370)</f>
        <v/>
      </c>
      <c r="X370" s="39" t="str">
        <f>IF([8]道具信息!X370="","",[8]道具信息!X370)</f>
        <v/>
      </c>
      <c r="Y370" s="39" t="str">
        <f>IF([8]道具信息!Y370="","",[8]道具信息!Y370)</f>
        <v/>
      </c>
      <c r="Z370" s="39" t="str">
        <f>IF([8]道具信息!Z370="","",[8]道具信息!Z370)</f>
        <v/>
      </c>
    </row>
    <row r="371" spans="1:26" x14ac:dyDescent="0.15">
      <c r="A371" s="39" t="str">
        <f>IF([8]道具信息!A371="","",[8]道具信息!A371)</f>
        <v/>
      </c>
      <c r="B371" s="39" t="str">
        <f>IF([8]道具信息!B371="","",[8]道具信息!B371)</f>
        <v/>
      </c>
      <c r="C371" s="39">
        <f>IF([8]道具信息!C371="","",[8]道具信息!C371)</f>
        <v>20057</v>
      </c>
      <c r="D371" s="39" t="str">
        <f>IF([8]道具信息!D371="","",[8]道具信息!D371)</f>
        <v>狼头佩剑·觉</v>
      </c>
      <c r="E371" s="39">
        <f>IF([8]道具信息!E371="","",[8]道具信息!E371)</f>
        <v>60</v>
      </c>
      <c r="F371" s="39">
        <f>IF([8]道具信息!F371="","",[8]道具信息!F371)</f>
        <v>1</v>
      </c>
      <c r="G371" s="39">
        <f>IF([8]道具信息!G371="","",[8]道具信息!G371)</f>
        <v>1</v>
      </c>
      <c r="H371" s="39">
        <f>IF([8]道具信息!H371="","",[8]道具信息!H371)</f>
        <v>1</v>
      </c>
      <c r="I371" s="39">
        <f>IF([8]道具信息!I371="","",[8]道具信息!I371)</f>
        <v>60</v>
      </c>
      <c r="J371" s="39">
        <f>IF([8]道具信息!J371="","",[8]道具信息!J371)</f>
        <v>60</v>
      </c>
      <c r="K371" s="39">
        <f>IF([8]道具信息!K371="","",[8]道具信息!K371)</f>
        <v>60</v>
      </c>
      <c r="L371" s="39" t="str">
        <f>IF([8]道具信息!L371="","",[8]道具信息!L371)</f>
        <v>封狼居胥，剑气纵横，可用于武将觉醒</v>
      </c>
      <c r="M371" s="39" t="str">
        <f>IF([8]道具信息!M371="","",[8]道具信息!M371)</f>
        <v/>
      </c>
      <c r="N371" s="39" t="str">
        <f>IF([8]道具信息!N371="","",[8]道具信息!N371)</f>
        <v/>
      </c>
      <c r="O371" s="39" t="str">
        <f>IF([8]道具信息!O371="","",[8]道具信息!O371)</f>
        <v/>
      </c>
      <c r="P371" s="39" t="str">
        <f>IF([8]道具信息!P371="","",[8]道具信息!P371)</f>
        <v/>
      </c>
      <c r="Q371" s="39" t="str">
        <f>IF([8]道具信息!Q371="","",[8]道具信息!Q371)</f>
        <v/>
      </c>
      <c r="R371" s="39" t="str">
        <f>IF([8]道具信息!R371="","",[8]道具信息!R371)</f>
        <v/>
      </c>
      <c r="S371" s="39" t="str">
        <f>IF([8]道具信息!S371="","",[8]道具信息!S371)</f>
        <v/>
      </c>
      <c r="T371" s="39" t="str">
        <f>IF([8]道具信息!T371="","",[8]道具信息!T371)</f>
        <v/>
      </c>
      <c r="U371" s="39" t="str">
        <f>IF([8]道具信息!U371="","",[8]道具信息!U371)</f>
        <v/>
      </c>
      <c r="V371" s="39" t="str">
        <f>IF([8]道具信息!V371="","",[8]道具信息!V371)</f>
        <v/>
      </c>
      <c r="W371" s="39" t="str">
        <f>IF([8]道具信息!W371="","",[8]道具信息!W371)</f>
        <v/>
      </c>
      <c r="X371" s="39" t="str">
        <f>IF([8]道具信息!X371="","",[8]道具信息!X371)</f>
        <v/>
      </c>
      <c r="Y371" s="39" t="str">
        <f>IF([8]道具信息!Y371="","",[8]道具信息!Y371)</f>
        <v/>
      </c>
      <c r="Z371" s="39" t="str">
        <f>IF([8]道具信息!Z371="","",[8]道具信息!Z371)</f>
        <v/>
      </c>
    </row>
    <row r="372" spans="1:26" x14ac:dyDescent="0.15">
      <c r="A372" s="39" t="str">
        <f>IF([8]道具信息!A372="","",[8]道具信息!A372)</f>
        <v/>
      </c>
      <c r="B372" s="39" t="str">
        <f>IF([8]道具信息!B372="","",[8]道具信息!B372)</f>
        <v/>
      </c>
      <c r="C372" s="39" t="str">
        <f>IF([8]道具信息!C372="","",[8]道具信息!C372)</f>
        <v/>
      </c>
      <c r="D372" s="39" t="str">
        <f>IF([8]道具信息!D372="","",[8]道具信息!D372)</f>
        <v/>
      </c>
      <c r="E372" s="39" t="str">
        <f>IF([8]道具信息!E372="","",[8]道具信息!E372)</f>
        <v/>
      </c>
      <c r="F372" s="39" t="str">
        <f>IF([8]道具信息!F372="","",[8]道具信息!F372)</f>
        <v/>
      </c>
      <c r="G372" s="39" t="str">
        <f>IF([8]道具信息!G372="","",[8]道具信息!G372)</f>
        <v/>
      </c>
      <c r="H372" s="39" t="str">
        <f>IF([8]道具信息!H372="","",[8]道具信息!H372)</f>
        <v/>
      </c>
      <c r="I372" s="39" t="str">
        <f>IF([8]道具信息!I372="","",[8]道具信息!I372)</f>
        <v/>
      </c>
      <c r="J372" s="39" t="str">
        <f>IF([8]道具信息!J372="","",[8]道具信息!J372)</f>
        <v/>
      </c>
      <c r="K372" s="39" t="str">
        <f>IF([8]道具信息!K372="","",[8]道具信息!K372)</f>
        <v/>
      </c>
      <c r="L372" s="39" t="str">
        <f>IF([8]道具信息!L372="","",[8]道具信息!L372)</f>
        <v/>
      </c>
      <c r="M372" s="39" t="str">
        <f>IF([8]道具信息!M372="","",[8]道具信息!M372)</f>
        <v/>
      </c>
      <c r="N372" s="39" t="str">
        <f>IF([8]道具信息!N372="","",[8]道具信息!N372)</f>
        <v/>
      </c>
      <c r="O372" s="39" t="str">
        <f>IF([8]道具信息!O372="","",[8]道具信息!O372)</f>
        <v/>
      </c>
      <c r="P372" s="39" t="str">
        <f>IF([8]道具信息!P372="","",[8]道具信息!P372)</f>
        <v/>
      </c>
      <c r="Q372" s="39" t="str">
        <f>IF([8]道具信息!Q372="","",[8]道具信息!Q372)</f>
        <v/>
      </c>
      <c r="R372" s="39" t="str">
        <f>IF([8]道具信息!R372="","",[8]道具信息!R372)</f>
        <v/>
      </c>
      <c r="S372" s="39" t="str">
        <f>IF([8]道具信息!S372="","",[8]道具信息!S372)</f>
        <v/>
      </c>
      <c r="T372" s="39" t="str">
        <f>IF([8]道具信息!T372="","",[8]道具信息!T372)</f>
        <v/>
      </c>
      <c r="U372" s="39" t="str">
        <f>IF([8]道具信息!U372="","",[8]道具信息!U372)</f>
        <v/>
      </c>
      <c r="V372" s="39" t="str">
        <f>IF([8]道具信息!V372="","",[8]道具信息!V372)</f>
        <v/>
      </c>
      <c r="W372" s="39" t="str">
        <f>IF([8]道具信息!W372="","",[8]道具信息!W372)</f>
        <v/>
      </c>
      <c r="X372" s="39" t="str">
        <f>IF([8]道具信息!X372="","",[8]道具信息!X372)</f>
        <v/>
      </c>
      <c r="Y372" s="39" t="str">
        <f>IF([8]道具信息!Y372="","",[8]道具信息!Y372)</f>
        <v/>
      </c>
      <c r="Z372" s="39" t="str">
        <f>IF([8]道具信息!Z372="","",[8]道具信息!Z372)</f>
        <v/>
      </c>
    </row>
    <row r="373" spans="1:26" x14ac:dyDescent="0.15">
      <c r="A373" s="39" t="str">
        <f>IF([8]道具信息!A373="","",[8]道具信息!A373)</f>
        <v/>
      </c>
      <c r="B373" s="39" t="str">
        <f>IF([8]道具信息!B373="","",[8]道具信息!B373)</f>
        <v/>
      </c>
      <c r="C373" s="39">
        <f>IF([8]道具信息!C373="","",[8]道具信息!C373)</f>
        <v>20059</v>
      </c>
      <c r="D373" s="39" t="str">
        <f>IF([8]道具信息!D373="","",[8]道具信息!D373)</f>
        <v>勇之授印·觉</v>
      </c>
      <c r="E373" s="39">
        <f>IF([8]道具信息!E373="","",[8]道具信息!E373)</f>
        <v>80</v>
      </c>
      <c r="F373" s="39">
        <f>IF([8]道具信息!F373="","",[8]道具信息!F373)</f>
        <v>1</v>
      </c>
      <c r="G373" s="39">
        <f>IF([8]道具信息!G373="","",[8]道具信息!G373)</f>
        <v>1</v>
      </c>
      <c r="H373" s="39">
        <f>IF([8]道具信息!H373="","",[8]道具信息!H373)</f>
        <v>1</v>
      </c>
      <c r="I373" s="39">
        <f>IF([8]道具信息!I373="","",[8]道具信息!I373)</f>
        <v>80</v>
      </c>
      <c r="J373" s="39">
        <f>IF([8]道具信息!J373="","",[8]道具信息!J373)</f>
        <v>80</v>
      </c>
      <c r="K373" s="39">
        <f>IF([8]道具信息!K373="","",[8]道具信息!K373)</f>
        <v>80</v>
      </c>
      <c r="L373" s="39" t="str">
        <f>IF([8]道具信息!L373="","",[8]道具信息!L373)</f>
        <v>拔山盖世，气吞山河，可用于武将觉醒</v>
      </c>
      <c r="M373" s="39" t="str">
        <f>IF([8]道具信息!M373="","",[8]道具信息!M373)</f>
        <v/>
      </c>
      <c r="N373" s="39" t="str">
        <f>IF([8]道具信息!N373="","",[8]道具信息!N373)</f>
        <v/>
      </c>
      <c r="O373" s="39" t="str">
        <f>IF([8]道具信息!O373="","",[8]道具信息!O373)</f>
        <v/>
      </c>
      <c r="P373" s="39" t="str">
        <f>IF([8]道具信息!P373="","",[8]道具信息!P373)</f>
        <v/>
      </c>
      <c r="Q373" s="39" t="str">
        <f>IF([8]道具信息!Q373="","",[8]道具信息!Q373)</f>
        <v/>
      </c>
      <c r="R373" s="39" t="str">
        <f>IF([8]道具信息!R373="","",[8]道具信息!R373)</f>
        <v/>
      </c>
      <c r="S373" s="39" t="str">
        <f>IF([8]道具信息!S373="","",[8]道具信息!S373)</f>
        <v/>
      </c>
      <c r="T373" s="39" t="str">
        <f>IF([8]道具信息!T373="","",[8]道具信息!T373)</f>
        <v/>
      </c>
      <c r="U373" s="39" t="str">
        <f>IF([8]道具信息!U373="","",[8]道具信息!U373)</f>
        <v/>
      </c>
      <c r="V373" s="39" t="str">
        <f>IF([8]道具信息!V373="","",[8]道具信息!V373)</f>
        <v/>
      </c>
      <c r="W373" s="39" t="str">
        <f>IF([8]道具信息!W373="","",[8]道具信息!W373)</f>
        <v/>
      </c>
      <c r="X373" s="39" t="str">
        <f>IF([8]道具信息!X373="","",[8]道具信息!X373)</f>
        <v/>
      </c>
      <c r="Y373" s="39" t="str">
        <f>IF([8]道具信息!Y373="","",[8]道具信息!Y373)</f>
        <v/>
      </c>
      <c r="Z373" s="39" t="str">
        <f>IF([8]道具信息!Z373="","",[8]道具信息!Z373)</f>
        <v/>
      </c>
    </row>
    <row r="374" spans="1:26" x14ac:dyDescent="0.15">
      <c r="A374" s="39" t="str">
        <f>IF([8]道具信息!A374="","",[8]道具信息!A374)</f>
        <v/>
      </c>
      <c r="B374" s="39" t="str">
        <f>IF([8]道具信息!B374="","",[8]道具信息!B374)</f>
        <v/>
      </c>
      <c r="C374" s="39">
        <f>IF([8]道具信息!C374="","",[8]道具信息!C374)</f>
        <v>20060</v>
      </c>
      <c r="D374" s="39" t="str">
        <f>IF([8]道具信息!D374="","",[8]道具信息!D374)</f>
        <v>谋之授印·觉</v>
      </c>
      <c r="E374" s="39">
        <f>IF([8]道具信息!E374="","",[8]道具信息!E374)</f>
        <v>80</v>
      </c>
      <c r="F374" s="39">
        <f>IF([8]道具信息!F374="","",[8]道具信息!F374)</f>
        <v>1</v>
      </c>
      <c r="G374" s="39">
        <f>IF([8]道具信息!G374="","",[8]道具信息!G374)</f>
        <v>1</v>
      </c>
      <c r="H374" s="39">
        <f>IF([8]道具信息!H374="","",[8]道具信息!H374)</f>
        <v>1</v>
      </c>
      <c r="I374" s="39">
        <f>IF([8]道具信息!I374="","",[8]道具信息!I374)</f>
        <v>80</v>
      </c>
      <c r="J374" s="39">
        <f>IF([8]道具信息!J374="","",[8]道具信息!J374)</f>
        <v>80</v>
      </c>
      <c r="K374" s="39">
        <f>IF([8]道具信息!K374="","",[8]道具信息!K374)</f>
        <v>80</v>
      </c>
      <c r="L374" s="39" t="str">
        <f>IF([8]道具信息!L374="","",[8]道具信息!L374)</f>
        <v>渊谋远略，运筹帷幄，可用于武将觉醒</v>
      </c>
      <c r="M374" s="39" t="str">
        <f>IF([8]道具信息!M374="","",[8]道具信息!M374)</f>
        <v/>
      </c>
      <c r="N374" s="39" t="str">
        <f>IF([8]道具信息!N374="","",[8]道具信息!N374)</f>
        <v/>
      </c>
      <c r="O374" s="39" t="str">
        <f>IF([8]道具信息!O374="","",[8]道具信息!O374)</f>
        <v/>
      </c>
      <c r="P374" s="39" t="str">
        <f>IF([8]道具信息!P374="","",[8]道具信息!P374)</f>
        <v/>
      </c>
      <c r="Q374" s="39" t="str">
        <f>IF([8]道具信息!Q374="","",[8]道具信息!Q374)</f>
        <v/>
      </c>
      <c r="R374" s="39" t="str">
        <f>IF([8]道具信息!R374="","",[8]道具信息!R374)</f>
        <v/>
      </c>
      <c r="S374" s="39" t="str">
        <f>IF([8]道具信息!S374="","",[8]道具信息!S374)</f>
        <v/>
      </c>
      <c r="T374" s="39" t="str">
        <f>IF([8]道具信息!T374="","",[8]道具信息!T374)</f>
        <v/>
      </c>
      <c r="U374" s="39" t="str">
        <f>IF([8]道具信息!U374="","",[8]道具信息!U374)</f>
        <v/>
      </c>
      <c r="V374" s="39" t="str">
        <f>IF([8]道具信息!V374="","",[8]道具信息!V374)</f>
        <v/>
      </c>
      <c r="W374" s="39" t="str">
        <f>IF([8]道具信息!W374="","",[8]道具信息!W374)</f>
        <v/>
      </c>
      <c r="X374" s="39" t="str">
        <f>IF([8]道具信息!X374="","",[8]道具信息!X374)</f>
        <v/>
      </c>
      <c r="Y374" s="39" t="str">
        <f>IF([8]道具信息!Y374="","",[8]道具信息!Y374)</f>
        <v/>
      </c>
      <c r="Z374" s="39" t="str">
        <f>IF([8]道具信息!Z374="","",[8]道具信息!Z374)</f>
        <v/>
      </c>
    </row>
    <row r="375" spans="1:26" x14ac:dyDescent="0.15">
      <c r="A375" s="39" t="str">
        <f>IF([8]道具信息!A375="","",[8]道具信息!A375)</f>
        <v/>
      </c>
      <c r="B375" s="39" t="str">
        <f>IF([8]道具信息!B375="","",[8]道具信息!B375)</f>
        <v/>
      </c>
      <c r="C375" s="39">
        <f>IF([8]道具信息!C375="","",[8]道具信息!C375)</f>
        <v>20061</v>
      </c>
      <c r="D375" s="39" t="str">
        <f>IF([8]道具信息!D375="","",[8]道具信息!D375)</f>
        <v>御之授印·觉</v>
      </c>
      <c r="E375" s="39">
        <f>IF([8]道具信息!E375="","",[8]道具信息!E375)</f>
        <v>80</v>
      </c>
      <c r="F375" s="39">
        <f>IF([8]道具信息!F375="","",[8]道具信息!F375)</f>
        <v>1</v>
      </c>
      <c r="G375" s="39">
        <f>IF([8]道具信息!G375="","",[8]道具信息!G375)</f>
        <v>1</v>
      </c>
      <c r="H375" s="39">
        <f>IF([8]道具信息!H375="","",[8]道具信息!H375)</f>
        <v>1</v>
      </c>
      <c r="I375" s="39">
        <f>IF([8]道具信息!I375="","",[8]道具信息!I375)</f>
        <v>80</v>
      </c>
      <c r="J375" s="39">
        <f>IF([8]道具信息!J375="","",[8]道具信息!J375)</f>
        <v>80</v>
      </c>
      <c r="K375" s="39">
        <f>IF([8]道具信息!K375="","",[8]道具信息!K375)</f>
        <v>80</v>
      </c>
      <c r="L375" s="39" t="str">
        <f>IF([8]道具信息!L375="","",[8]道具信息!L375)</f>
        <v>御下有方，论功行赏，可用于武将觉醒</v>
      </c>
      <c r="M375" s="39" t="str">
        <f>IF([8]道具信息!M375="","",[8]道具信息!M375)</f>
        <v/>
      </c>
      <c r="N375" s="39" t="str">
        <f>IF([8]道具信息!N375="","",[8]道具信息!N375)</f>
        <v/>
      </c>
      <c r="O375" s="39" t="str">
        <f>IF([8]道具信息!O375="","",[8]道具信息!O375)</f>
        <v/>
      </c>
      <c r="P375" s="39" t="str">
        <f>IF([8]道具信息!P375="","",[8]道具信息!P375)</f>
        <v/>
      </c>
      <c r="Q375" s="39" t="str">
        <f>IF([8]道具信息!Q375="","",[8]道具信息!Q375)</f>
        <v/>
      </c>
      <c r="R375" s="39" t="str">
        <f>IF([8]道具信息!R375="","",[8]道具信息!R375)</f>
        <v/>
      </c>
      <c r="S375" s="39" t="str">
        <f>IF([8]道具信息!S375="","",[8]道具信息!S375)</f>
        <v/>
      </c>
      <c r="T375" s="39" t="str">
        <f>IF([8]道具信息!T375="","",[8]道具信息!T375)</f>
        <v/>
      </c>
      <c r="U375" s="39" t="str">
        <f>IF([8]道具信息!U375="","",[8]道具信息!U375)</f>
        <v/>
      </c>
      <c r="V375" s="39" t="str">
        <f>IF([8]道具信息!V375="","",[8]道具信息!V375)</f>
        <v/>
      </c>
      <c r="W375" s="39" t="str">
        <f>IF([8]道具信息!W375="","",[8]道具信息!W375)</f>
        <v/>
      </c>
      <c r="X375" s="39" t="str">
        <f>IF([8]道具信息!X375="","",[8]道具信息!X375)</f>
        <v/>
      </c>
      <c r="Y375" s="39" t="str">
        <f>IF([8]道具信息!Y375="","",[8]道具信息!Y375)</f>
        <v/>
      </c>
      <c r="Z375" s="39" t="str">
        <f>IF([8]道具信息!Z375="","",[8]道具信息!Z375)</f>
        <v/>
      </c>
    </row>
    <row r="376" spans="1:26" x14ac:dyDescent="0.15">
      <c r="A376" s="39" t="str">
        <f>IF([8]道具信息!A376="","",[8]道具信息!A376)</f>
        <v/>
      </c>
      <c r="B376" s="39" t="str">
        <f>IF([8]道具信息!B376="","",[8]道具信息!B376)</f>
        <v/>
      </c>
      <c r="C376" s="39" t="str">
        <f>IF([8]道具信息!C376="","",[8]道具信息!C376)</f>
        <v/>
      </c>
      <c r="D376" s="39" t="str">
        <f>IF([8]道具信息!D376="","",[8]道具信息!D376)</f>
        <v/>
      </c>
      <c r="E376" s="39" t="str">
        <f>IF([8]道具信息!E376="","",[8]道具信息!E376)</f>
        <v/>
      </c>
      <c r="F376" s="39" t="str">
        <f>IF([8]道具信息!F376="","",[8]道具信息!F376)</f>
        <v/>
      </c>
      <c r="G376" s="39" t="str">
        <f>IF([8]道具信息!G376="","",[8]道具信息!G376)</f>
        <v/>
      </c>
      <c r="H376" s="39" t="str">
        <f>IF([8]道具信息!H376="","",[8]道具信息!H376)</f>
        <v/>
      </c>
      <c r="I376" s="39" t="str">
        <f>IF([8]道具信息!I376="","",[8]道具信息!I376)</f>
        <v/>
      </c>
      <c r="J376" s="39" t="str">
        <f>IF([8]道具信息!J376="","",[8]道具信息!J376)</f>
        <v/>
      </c>
      <c r="K376" s="39" t="str">
        <f>IF([8]道具信息!K376="","",[8]道具信息!K376)</f>
        <v/>
      </c>
      <c r="L376" s="39" t="str">
        <f>IF([8]道具信息!L376="","",[8]道具信息!L376)</f>
        <v/>
      </c>
      <c r="M376" s="39" t="str">
        <f>IF([8]道具信息!M376="","",[8]道具信息!M376)</f>
        <v/>
      </c>
      <c r="N376" s="39" t="str">
        <f>IF([8]道具信息!N376="","",[8]道具信息!N376)</f>
        <v/>
      </c>
      <c r="O376" s="39" t="str">
        <f>IF([8]道具信息!O376="","",[8]道具信息!O376)</f>
        <v/>
      </c>
      <c r="P376" s="39" t="str">
        <f>IF([8]道具信息!P376="","",[8]道具信息!P376)</f>
        <v/>
      </c>
      <c r="Q376" s="39" t="str">
        <f>IF([8]道具信息!Q376="","",[8]道具信息!Q376)</f>
        <v/>
      </c>
      <c r="R376" s="39" t="str">
        <f>IF([8]道具信息!R376="","",[8]道具信息!R376)</f>
        <v/>
      </c>
      <c r="S376" s="39" t="str">
        <f>IF([8]道具信息!S376="","",[8]道具信息!S376)</f>
        <v/>
      </c>
      <c r="T376" s="39" t="str">
        <f>IF([8]道具信息!T376="","",[8]道具信息!T376)</f>
        <v/>
      </c>
      <c r="U376" s="39" t="str">
        <f>IF([8]道具信息!U376="","",[8]道具信息!U376)</f>
        <v/>
      </c>
      <c r="V376" s="39" t="str">
        <f>IF([8]道具信息!V376="","",[8]道具信息!V376)</f>
        <v/>
      </c>
      <c r="W376" s="39" t="str">
        <f>IF([8]道具信息!W376="","",[8]道具信息!W376)</f>
        <v/>
      </c>
      <c r="X376" s="39" t="str">
        <f>IF([8]道具信息!X376="","",[8]道具信息!X376)</f>
        <v/>
      </c>
      <c r="Y376" s="39" t="str">
        <f>IF([8]道具信息!Y376="","",[8]道具信息!Y376)</f>
        <v/>
      </c>
      <c r="Z376" s="39" t="str">
        <f>IF([8]道具信息!Z376="","",[8]道具信息!Z376)</f>
        <v/>
      </c>
    </row>
    <row r="377" spans="1:26" x14ac:dyDescent="0.15">
      <c r="A377" s="39" t="str">
        <f>IF([8]道具信息!A377="","",[8]道具信息!A377)</f>
        <v/>
      </c>
      <c r="B377" s="39" t="str">
        <f>IF([8]道具信息!B377="","",[8]道具信息!B377)</f>
        <v/>
      </c>
      <c r="C377" s="39">
        <f>IF([8]道具信息!C377="","",[8]道具信息!C377)</f>
        <v>20064</v>
      </c>
      <c r="D377" s="39" t="str">
        <f>IF([8]道具信息!D377="","",[8]道具信息!D377)</f>
        <v>战阵精研·极</v>
      </c>
      <c r="E377" s="39">
        <f>IF([8]道具信息!E377="","",[8]道具信息!E377)</f>
        <v>100</v>
      </c>
      <c r="F377" s="39">
        <f>IF([8]道具信息!F377="","",[8]道具信息!F377)</f>
        <v>1</v>
      </c>
      <c r="G377" s="39">
        <f>IF([8]道具信息!G377="","",[8]道具信息!G377)</f>
        <v>1</v>
      </c>
      <c r="H377" s="39">
        <f>IF([8]道具信息!H377="","",[8]道具信息!H377)</f>
        <v>1</v>
      </c>
      <c r="I377" s="39">
        <f>IF([8]道具信息!I377="","",[8]道具信息!I377)</f>
        <v>100</v>
      </c>
      <c r="J377" s="39">
        <f>IF([8]道具信息!J377="","",[8]道具信息!J377)</f>
        <v>100</v>
      </c>
      <c r="K377" s="39">
        <f>IF([8]道具信息!K377="","",[8]道具信息!K377)</f>
        <v>100</v>
      </c>
      <c r="L377" s="39" t="str">
        <f>IF([8]道具信息!L377="","",[8]道具信息!L377)</f>
        <v>行兵布阵，勇往直前，可用于武将觉醒</v>
      </c>
      <c r="M377" s="39" t="str">
        <f>IF([8]道具信息!M377="","",[8]道具信息!M377)</f>
        <v/>
      </c>
      <c r="N377" s="39" t="str">
        <f>IF([8]道具信息!N377="","",[8]道具信息!N377)</f>
        <v/>
      </c>
      <c r="O377" s="39" t="str">
        <f>IF([8]道具信息!O377="","",[8]道具信息!O377)</f>
        <v/>
      </c>
      <c r="P377" s="39" t="str">
        <f>IF([8]道具信息!P377="","",[8]道具信息!P377)</f>
        <v/>
      </c>
      <c r="Q377" s="39" t="str">
        <f>IF([8]道具信息!Q377="","",[8]道具信息!Q377)</f>
        <v/>
      </c>
      <c r="R377" s="39" t="str">
        <f>IF([8]道具信息!R377="","",[8]道具信息!R377)</f>
        <v/>
      </c>
      <c r="S377" s="39" t="str">
        <f>IF([8]道具信息!S377="","",[8]道具信息!S377)</f>
        <v/>
      </c>
      <c r="T377" s="39" t="str">
        <f>IF([8]道具信息!T377="","",[8]道具信息!T377)</f>
        <v/>
      </c>
      <c r="U377" s="39" t="str">
        <f>IF([8]道具信息!U377="","",[8]道具信息!U377)</f>
        <v/>
      </c>
      <c r="V377" s="39" t="str">
        <f>IF([8]道具信息!V377="","",[8]道具信息!V377)</f>
        <v/>
      </c>
      <c r="W377" s="39" t="str">
        <f>IF([8]道具信息!W377="","",[8]道具信息!W377)</f>
        <v/>
      </c>
      <c r="X377" s="39" t="str">
        <f>IF([8]道具信息!X377="","",[8]道具信息!X377)</f>
        <v/>
      </c>
      <c r="Y377" s="39" t="str">
        <f>IF([8]道具信息!Y377="","",[8]道具信息!Y377)</f>
        <v/>
      </c>
      <c r="Z377" s="39" t="str">
        <f>IF([8]道具信息!Z377="","",[8]道具信息!Z377)</f>
        <v/>
      </c>
    </row>
    <row r="378" spans="1:26" x14ac:dyDescent="0.15">
      <c r="A378" s="39" t="str">
        <f>IF([8]道具信息!A378="","",[8]道具信息!A378)</f>
        <v/>
      </c>
      <c r="B378" s="39" t="str">
        <f>IF([8]道具信息!B378="","",[8]道具信息!B378)</f>
        <v/>
      </c>
      <c r="C378" s="39">
        <f>IF([8]道具信息!C378="","",[8]道具信息!C378)</f>
        <v>20065</v>
      </c>
      <c r="D378" s="39" t="str">
        <f>IF([8]道具信息!D378="","",[8]道具信息!D378)</f>
        <v>谋略精研·极</v>
      </c>
      <c r="E378" s="39">
        <f>IF([8]道具信息!E378="","",[8]道具信息!E378)</f>
        <v>100</v>
      </c>
      <c r="F378" s="39">
        <f>IF([8]道具信息!F378="","",[8]道具信息!F378)</f>
        <v>1</v>
      </c>
      <c r="G378" s="39">
        <f>IF([8]道具信息!G378="","",[8]道具信息!G378)</f>
        <v>1</v>
      </c>
      <c r="H378" s="39">
        <f>IF([8]道具信息!H378="","",[8]道具信息!H378)</f>
        <v>1</v>
      </c>
      <c r="I378" s="39">
        <f>IF([8]道具信息!I378="","",[8]道具信息!I378)</f>
        <v>100</v>
      </c>
      <c r="J378" s="39">
        <f>IF([8]道具信息!J378="","",[8]道具信息!J378)</f>
        <v>100</v>
      </c>
      <c r="K378" s="39">
        <f>IF([8]道具信息!K378="","",[8]道具信息!K378)</f>
        <v>100</v>
      </c>
      <c r="L378" s="39" t="str">
        <f>IF([8]道具信息!L378="","",[8]道具信息!L378)</f>
        <v>目达耳通，上兵伐谋，可用于武将觉醒</v>
      </c>
      <c r="M378" s="39" t="str">
        <f>IF([8]道具信息!M378="","",[8]道具信息!M378)</f>
        <v/>
      </c>
      <c r="N378" s="39" t="str">
        <f>IF([8]道具信息!N378="","",[8]道具信息!N378)</f>
        <v/>
      </c>
      <c r="O378" s="39" t="str">
        <f>IF([8]道具信息!O378="","",[8]道具信息!O378)</f>
        <v/>
      </c>
      <c r="P378" s="39" t="str">
        <f>IF([8]道具信息!P378="","",[8]道具信息!P378)</f>
        <v/>
      </c>
      <c r="Q378" s="39" t="str">
        <f>IF([8]道具信息!Q378="","",[8]道具信息!Q378)</f>
        <v/>
      </c>
      <c r="R378" s="39" t="str">
        <f>IF([8]道具信息!R378="","",[8]道具信息!R378)</f>
        <v/>
      </c>
      <c r="S378" s="39" t="str">
        <f>IF([8]道具信息!S378="","",[8]道具信息!S378)</f>
        <v/>
      </c>
      <c r="T378" s="39" t="str">
        <f>IF([8]道具信息!T378="","",[8]道具信息!T378)</f>
        <v/>
      </c>
      <c r="U378" s="39" t="str">
        <f>IF([8]道具信息!U378="","",[8]道具信息!U378)</f>
        <v/>
      </c>
      <c r="V378" s="39" t="str">
        <f>IF([8]道具信息!V378="","",[8]道具信息!V378)</f>
        <v/>
      </c>
      <c r="W378" s="39" t="str">
        <f>IF([8]道具信息!W378="","",[8]道具信息!W378)</f>
        <v/>
      </c>
      <c r="X378" s="39" t="str">
        <f>IF([8]道具信息!X378="","",[8]道具信息!X378)</f>
        <v/>
      </c>
      <c r="Y378" s="39" t="str">
        <f>IF([8]道具信息!Y378="","",[8]道具信息!Y378)</f>
        <v/>
      </c>
      <c r="Z378" s="39" t="str">
        <f>IF([8]道具信息!Z378="","",[8]道具信息!Z378)</f>
        <v/>
      </c>
    </row>
    <row r="379" spans="1:26" x14ac:dyDescent="0.15">
      <c r="A379" s="39" t="str">
        <f>IF([8]道具信息!A379="","",[8]道具信息!A379)</f>
        <v/>
      </c>
      <c r="B379" s="39" t="str">
        <f>IF([8]道具信息!B379="","",[8]道具信息!B379)</f>
        <v/>
      </c>
      <c r="C379" s="39">
        <f>IF([8]道具信息!C379="","",[8]道具信息!C379)</f>
        <v>20066</v>
      </c>
      <c r="D379" s="39" t="str">
        <f>IF([8]道具信息!D379="","",[8]道具信息!D379)</f>
        <v>御军精研·极</v>
      </c>
      <c r="E379" s="39">
        <f>IF([8]道具信息!E379="","",[8]道具信息!E379)</f>
        <v>100</v>
      </c>
      <c r="F379" s="39">
        <f>IF([8]道具信息!F379="","",[8]道具信息!F379)</f>
        <v>1</v>
      </c>
      <c r="G379" s="39">
        <f>IF([8]道具信息!G379="","",[8]道具信息!G379)</f>
        <v>1</v>
      </c>
      <c r="H379" s="39">
        <f>IF([8]道具信息!H379="","",[8]道具信息!H379)</f>
        <v>1</v>
      </c>
      <c r="I379" s="39">
        <f>IF([8]道具信息!I379="","",[8]道具信息!I379)</f>
        <v>100</v>
      </c>
      <c r="J379" s="39">
        <f>IF([8]道具信息!J379="","",[8]道具信息!J379)</f>
        <v>100</v>
      </c>
      <c r="K379" s="39">
        <f>IF([8]道具信息!K379="","",[8]道具信息!K379)</f>
        <v>100</v>
      </c>
      <c r="L379" s="39" t="str">
        <f>IF([8]道具信息!L379="","",[8]道具信息!L379)</f>
        <v>持筹握算，精兵简政，可用于武将觉醒</v>
      </c>
      <c r="M379" s="39" t="str">
        <f>IF([8]道具信息!M379="","",[8]道具信息!M379)</f>
        <v/>
      </c>
      <c r="N379" s="39" t="str">
        <f>IF([8]道具信息!N379="","",[8]道具信息!N379)</f>
        <v/>
      </c>
      <c r="O379" s="39" t="str">
        <f>IF([8]道具信息!O379="","",[8]道具信息!O379)</f>
        <v/>
      </c>
      <c r="P379" s="39" t="str">
        <f>IF([8]道具信息!P379="","",[8]道具信息!P379)</f>
        <v/>
      </c>
      <c r="Q379" s="39" t="str">
        <f>IF([8]道具信息!Q379="","",[8]道具信息!Q379)</f>
        <v/>
      </c>
      <c r="R379" s="39" t="str">
        <f>IF([8]道具信息!R379="","",[8]道具信息!R379)</f>
        <v/>
      </c>
      <c r="S379" s="39" t="str">
        <f>IF([8]道具信息!S379="","",[8]道具信息!S379)</f>
        <v/>
      </c>
      <c r="T379" s="39" t="str">
        <f>IF([8]道具信息!T379="","",[8]道具信息!T379)</f>
        <v/>
      </c>
      <c r="U379" s="39" t="str">
        <f>IF([8]道具信息!U379="","",[8]道具信息!U379)</f>
        <v/>
      </c>
      <c r="V379" s="39" t="str">
        <f>IF([8]道具信息!V379="","",[8]道具信息!V379)</f>
        <v/>
      </c>
      <c r="W379" s="39" t="str">
        <f>IF([8]道具信息!W379="","",[8]道具信息!W379)</f>
        <v/>
      </c>
      <c r="X379" s="39" t="str">
        <f>IF([8]道具信息!X379="","",[8]道具信息!X379)</f>
        <v/>
      </c>
      <c r="Y379" s="39" t="str">
        <f>IF([8]道具信息!Y379="","",[8]道具信息!Y379)</f>
        <v/>
      </c>
      <c r="Z379" s="39" t="str">
        <f>IF([8]道具信息!Z379="","",[8]道具信息!Z379)</f>
        <v/>
      </c>
    </row>
    <row r="380" spans="1:26" x14ac:dyDescent="0.15">
      <c r="A380" s="39" t="str">
        <f>IF([8]道具信息!A380="","",[8]道具信息!A380)</f>
        <v/>
      </c>
      <c r="B380" s="39" t="str">
        <f>IF([8]道具信息!B380="","",[8]道具信息!B380)</f>
        <v/>
      </c>
      <c r="C380" s="39" t="str">
        <f>IF([8]道具信息!C380="","",[8]道具信息!C380)</f>
        <v/>
      </c>
      <c r="D380" s="39" t="str">
        <f>IF([8]道具信息!D380="","",[8]道具信息!D380)</f>
        <v/>
      </c>
      <c r="E380" s="39" t="str">
        <f>IF([8]道具信息!E380="","",[8]道具信息!E380)</f>
        <v/>
      </c>
      <c r="F380" s="39" t="str">
        <f>IF([8]道具信息!F380="","",[8]道具信息!F380)</f>
        <v/>
      </c>
      <c r="G380" s="39" t="str">
        <f>IF([8]道具信息!G380="","",[8]道具信息!G380)</f>
        <v/>
      </c>
      <c r="H380" s="39" t="str">
        <f>IF([8]道具信息!H380="","",[8]道具信息!H380)</f>
        <v/>
      </c>
      <c r="I380" s="39" t="str">
        <f>IF([8]道具信息!I380="","",[8]道具信息!I380)</f>
        <v/>
      </c>
      <c r="J380" s="39" t="str">
        <f>IF([8]道具信息!J380="","",[8]道具信息!J380)</f>
        <v/>
      </c>
      <c r="K380" s="39" t="str">
        <f>IF([8]道具信息!K380="","",[8]道具信息!K380)</f>
        <v/>
      </c>
      <c r="L380" s="39" t="str">
        <f>IF([8]道具信息!L380="","",[8]道具信息!L380)</f>
        <v/>
      </c>
      <c r="M380" s="39" t="str">
        <f>IF([8]道具信息!M380="","",[8]道具信息!M380)</f>
        <v/>
      </c>
      <c r="N380" s="39" t="str">
        <f>IF([8]道具信息!N380="","",[8]道具信息!N380)</f>
        <v/>
      </c>
      <c r="O380" s="39" t="str">
        <f>IF([8]道具信息!O380="","",[8]道具信息!O380)</f>
        <v/>
      </c>
      <c r="P380" s="39" t="str">
        <f>IF([8]道具信息!P380="","",[8]道具信息!P380)</f>
        <v/>
      </c>
      <c r="Q380" s="39" t="str">
        <f>IF([8]道具信息!Q380="","",[8]道具信息!Q380)</f>
        <v/>
      </c>
      <c r="R380" s="39" t="str">
        <f>IF([8]道具信息!R380="","",[8]道具信息!R380)</f>
        <v/>
      </c>
      <c r="S380" s="39" t="str">
        <f>IF([8]道具信息!S380="","",[8]道具信息!S380)</f>
        <v/>
      </c>
      <c r="T380" s="39" t="str">
        <f>IF([8]道具信息!T380="","",[8]道具信息!T380)</f>
        <v/>
      </c>
      <c r="U380" s="39" t="str">
        <f>IF([8]道具信息!U380="","",[8]道具信息!U380)</f>
        <v/>
      </c>
      <c r="V380" s="39" t="str">
        <f>IF([8]道具信息!V380="","",[8]道具信息!V380)</f>
        <v/>
      </c>
      <c r="W380" s="39" t="str">
        <f>IF([8]道具信息!W380="","",[8]道具信息!W380)</f>
        <v/>
      </c>
      <c r="X380" s="39" t="str">
        <f>IF([8]道具信息!X380="","",[8]道具信息!X380)</f>
        <v/>
      </c>
      <c r="Y380" s="39" t="str">
        <f>IF([8]道具信息!Y380="","",[8]道具信息!Y380)</f>
        <v/>
      </c>
      <c r="Z380" s="39" t="str">
        <f>IF([8]道具信息!Z380="","",[8]道具信息!Z380)</f>
        <v/>
      </c>
    </row>
    <row r="381" spans="1:26" x14ac:dyDescent="0.15">
      <c r="A381" s="39" t="str">
        <f>IF([8]道具信息!A381="","",[8]道具信息!A381)</f>
        <v/>
      </c>
      <c r="B381" s="39" t="str">
        <f>IF([8]道具信息!B381="","",[8]道具信息!B381)</f>
        <v/>
      </c>
      <c r="C381" s="39">
        <f>IF([8]道具信息!C381="","",[8]道具信息!C381)</f>
        <v>20070</v>
      </c>
      <c r="D381" s="39" t="str">
        <f>IF([8]道具信息!D381="","",[8]道具信息!D381)</f>
        <v>白虎白琥·极</v>
      </c>
      <c r="E381" s="39">
        <f>IF([8]道具信息!E381="","",[8]道具信息!E381)</f>
        <v>120</v>
      </c>
      <c r="F381" s="39">
        <f>IF([8]道具信息!F381="","",[8]道具信息!F381)</f>
        <v>1</v>
      </c>
      <c r="G381" s="39">
        <f>IF([8]道具信息!G381="","",[8]道具信息!G381)</f>
        <v>1</v>
      </c>
      <c r="H381" s="39">
        <f>IF([8]道具信息!H381="","",[8]道具信息!H381)</f>
        <v>1</v>
      </c>
      <c r="I381" s="39">
        <f>IF([8]道具信息!I381="","",[8]道具信息!I381)</f>
        <v>120</v>
      </c>
      <c r="J381" s="39">
        <f>IF([8]道具信息!J381="","",[8]道具信息!J381)</f>
        <v>120</v>
      </c>
      <c r="K381" s="39">
        <f>IF([8]道具信息!K381="","",[8]道具信息!K381)</f>
        <v>120</v>
      </c>
      <c r="L381" s="39" t="str">
        <f>IF([8]道具信息!L381="","",[8]道具信息!L381)</f>
        <v>形神兼备，虎啸龙吟，可用于武将觉醒</v>
      </c>
      <c r="M381" s="39" t="str">
        <f>IF([8]道具信息!M381="","",[8]道具信息!M381)</f>
        <v/>
      </c>
      <c r="N381" s="39" t="str">
        <f>IF([8]道具信息!N381="","",[8]道具信息!N381)</f>
        <v/>
      </c>
      <c r="O381" s="39" t="str">
        <f>IF([8]道具信息!O381="","",[8]道具信息!O381)</f>
        <v/>
      </c>
      <c r="P381" s="39" t="str">
        <f>IF([8]道具信息!P381="","",[8]道具信息!P381)</f>
        <v/>
      </c>
      <c r="Q381" s="39" t="str">
        <f>IF([8]道具信息!Q381="","",[8]道具信息!Q381)</f>
        <v/>
      </c>
      <c r="R381" s="39" t="str">
        <f>IF([8]道具信息!R381="","",[8]道具信息!R381)</f>
        <v/>
      </c>
      <c r="S381" s="39" t="str">
        <f>IF([8]道具信息!S381="","",[8]道具信息!S381)</f>
        <v/>
      </c>
      <c r="T381" s="39" t="str">
        <f>IF([8]道具信息!T381="","",[8]道具信息!T381)</f>
        <v/>
      </c>
      <c r="U381" s="39" t="str">
        <f>IF([8]道具信息!U381="","",[8]道具信息!U381)</f>
        <v/>
      </c>
      <c r="V381" s="39" t="str">
        <f>IF([8]道具信息!V381="","",[8]道具信息!V381)</f>
        <v/>
      </c>
      <c r="W381" s="39" t="str">
        <f>IF([8]道具信息!W381="","",[8]道具信息!W381)</f>
        <v/>
      </c>
      <c r="X381" s="39" t="str">
        <f>IF([8]道具信息!X381="","",[8]道具信息!X381)</f>
        <v/>
      </c>
      <c r="Y381" s="39" t="str">
        <f>IF([8]道具信息!Y381="","",[8]道具信息!Y381)</f>
        <v/>
      </c>
      <c r="Z381" s="39" t="str">
        <f>IF([8]道具信息!Z381="","",[8]道具信息!Z381)</f>
        <v/>
      </c>
    </row>
    <row r="382" spans="1:26" x14ac:dyDescent="0.15">
      <c r="A382" s="39" t="str">
        <f>IF([8]道具信息!A382="","",[8]道具信息!A382)</f>
        <v/>
      </c>
      <c r="B382" s="39" t="str">
        <f>IF([8]道具信息!B382="","",[8]道具信息!B382)</f>
        <v/>
      </c>
      <c r="C382" s="39">
        <f>IF([8]道具信息!C382="","",[8]道具信息!C382)</f>
        <v>20071</v>
      </c>
      <c r="D382" s="39" t="str">
        <f>IF([8]道具信息!D382="","",[8]道具信息!D382)</f>
        <v>朱雀赤璋·极</v>
      </c>
      <c r="E382" s="39">
        <f>IF([8]道具信息!E382="","",[8]道具信息!E382)</f>
        <v>120</v>
      </c>
      <c r="F382" s="39">
        <f>IF([8]道具信息!F382="","",[8]道具信息!F382)</f>
        <v>1</v>
      </c>
      <c r="G382" s="39">
        <f>IF([8]道具信息!G382="","",[8]道具信息!G382)</f>
        <v>1</v>
      </c>
      <c r="H382" s="39">
        <f>IF([8]道具信息!H382="","",[8]道具信息!H382)</f>
        <v>1</v>
      </c>
      <c r="I382" s="39">
        <f>IF([8]道具信息!I382="","",[8]道具信息!I382)</f>
        <v>120</v>
      </c>
      <c r="J382" s="39">
        <f>IF([8]道具信息!J382="","",[8]道具信息!J382)</f>
        <v>120</v>
      </c>
      <c r="K382" s="39">
        <f>IF([8]道具信息!K382="","",[8]道具信息!K382)</f>
        <v>120</v>
      </c>
      <c r="L382" s="39" t="str">
        <f>IF([8]道具信息!L382="","",[8]道具信息!L382)</f>
        <v>烈火真金，朱雀玄武，可用于武将觉醒</v>
      </c>
      <c r="M382" s="39" t="str">
        <f>IF([8]道具信息!M382="","",[8]道具信息!M382)</f>
        <v/>
      </c>
      <c r="N382" s="39" t="str">
        <f>IF([8]道具信息!N382="","",[8]道具信息!N382)</f>
        <v/>
      </c>
      <c r="O382" s="39" t="str">
        <f>IF([8]道具信息!O382="","",[8]道具信息!O382)</f>
        <v/>
      </c>
      <c r="P382" s="39" t="str">
        <f>IF([8]道具信息!P382="","",[8]道具信息!P382)</f>
        <v/>
      </c>
      <c r="Q382" s="39" t="str">
        <f>IF([8]道具信息!Q382="","",[8]道具信息!Q382)</f>
        <v/>
      </c>
      <c r="R382" s="39" t="str">
        <f>IF([8]道具信息!R382="","",[8]道具信息!R382)</f>
        <v/>
      </c>
      <c r="S382" s="39" t="str">
        <f>IF([8]道具信息!S382="","",[8]道具信息!S382)</f>
        <v/>
      </c>
      <c r="T382" s="39" t="str">
        <f>IF([8]道具信息!T382="","",[8]道具信息!T382)</f>
        <v/>
      </c>
      <c r="U382" s="39" t="str">
        <f>IF([8]道具信息!U382="","",[8]道具信息!U382)</f>
        <v/>
      </c>
      <c r="V382" s="39" t="str">
        <f>IF([8]道具信息!V382="","",[8]道具信息!V382)</f>
        <v/>
      </c>
      <c r="W382" s="39" t="str">
        <f>IF([8]道具信息!W382="","",[8]道具信息!W382)</f>
        <v/>
      </c>
      <c r="X382" s="39" t="str">
        <f>IF([8]道具信息!X382="","",[8]道具信息!X382)</f>
        <v/>
      </c>
      <c r="Y382" s="39" t="str">
        <f>IF([8]道具信息!Y382="","",[8]道具信息!Y382)</f>
        <v/>
      </c>
      <c r="Z382" s="39" t="str">
        <f>IF([8]道具信息!Z382="","",[8]道具信息!Z382)</f>
        <v/>
      </c>
    </row>
    <row r="383" spans="1:26" x14ac:dyDescent="0.15">
      <c r="A383" s="39" t="str">
        <f>IF([8]道具信息!A383="","",[8]道具信息!A383)</f>
        <v/>
      </c>
      <c r="B383" s="39" t="str">
        <f>IF([8]道具信息!B383="","",[8]道具信息!B383)</f>
        <v/>
      </c>
      <c r="C383" s="39">
        <f>IF([8]道具信息!C383="","",[8]道具信息!C383)</f>
        <v>20072</v>
      </c>
      <c r="D383" s="39" t="str">
        <f>IF([8]道具信息!D383="","",[8]道具信息!D383)</f>
        <v>青龙青圭·极</v>
      </c>
      <c r="E383" s="39">
        <f>IF([8]道具信息!E383="","",[8]道具信息!E383)</f>
        <v>120</v>
      </c>
      <c r="F383" s="39">
        <f>IF([8]道具信息!F383="","",[8]道具信息!F383)</f>
        <v>1</v>
      </c>
      <c r="G383" s="39">
        <f>IF([8]道具信息!G383="","",[8]道具信息!G383)</f>
        <v>1</v>
      </c>
      <c r="H383" s="39">
        <f>IF([8]道具信息!H383="","",[8]道具信息!H383)</f>
        <v>1</v>
      </c>
      <c r="I383" s="39">
        <f>IF([8]道具信息!I383="","",[8]道具信息!I383)</f>
        <v>120</v>
      </c>
      <c r="J383" s="39">
        <f>IF([8]道具信息!J383="","",[8]道具信息!J383)</f>
        <v>120</v>
      </c>
      <c r="K383" s="39">
        <f>IF([8]道具信息!K383="","",[8]道具信息!K383)</f>
        <v>120</v>
      </c>
      <c r="L383" s="39" t="str">
        <f>IF([8]道具信息!L383="","",[8]道具信息!L383)</f>
        <v>青云直上，龙飞凤舞，可用于武将觉醒</v>
      </c>
      <c r="M383" s="39" t="str">
        <f>IF([8]道具信息!M383="","",[8]道具信息!M383)</f>
        <v/>
      </c>
      <c r="N383" s="39" t="str">
        <f>IF([8]道具信息!N383="","",[8]道具信息!N383)</f>
        <v/>
      </c>
      <c r="O383" s="39" t="str">
        <f>IF([8]道具信息!O383="","",[8]道具信息!O383)</f>
        <v/>
      </c>
      <c r="P383" s="39" t="str">
        <f>IF([8]道具信息!P383="","",[8]道具信息!P383)</f>
        <v/>
      </c>
      <c r="Q383" s="39" t="str">
        <f>IF([8]道具信息!Q383="","",[8]道具信息!Q383)</f>
        <v/>
      </c>
      <c r="R383" s="39" t="str">
        <f>IF([8]道具信息!R383="","",[8]道具信息!R383)</f>
        <v/>
      </c>
      <c r="S383" s="39" t="str">
        <f>IF([8]道具信息!S383="","",[8]道具信息!S383)</f>
        <v/>
      </c>
      <c r="T383" s="39" t="str">
        <f>IF([8]道具信息!T383="","",[8]道具信息!T383)</f>
        <v/>
      </c>
      <c r="U383" s="39" t="str">
        <f>IF([8]道具信息!U383="","",[8]道具信息!U383)</f>
        <v/>
      </c>
      <c r="V383" s="39" t="str">
        <f>IF([8]道具信息!V383="","",[8]道具信息!V383)</f>
        <v/>
      </c>
      <c r="W383" s="39" t="str">
        <f>IF([8]道具信息!W383="","",[8]道具信息!W383)</f>
        <v/>
      </c>
      <c r="X383" s="39" t="str">
        <f>IF([8]道具信息!X383="","",[8]道具信息!X383)</f>
        <v/>
      </c>
      <c r="Y383" s="39" t="str">
        <f>IF([8]道具信息!Y383="","",[8]道具信息!Y383)</f>
        <v/>
      </c>
      <c r="Z383" s="39" t="str">
        <f>IF([8]道具信息!Z383="","",[8]道具信息!Z383)</f>
        <v/>
      </c>
    </row>
    <row r="384" spans="1:26" x14ac:dyDescent="0.15">
      <c r="A384" s="39" t="str">
        <f>IF([8]道具信息!A384="","",[8]道具信息!A384)</f>
        <v/>
      </c>
      <c r="B384" s="39" t="str">
        <f>IF([8]道具信息!B384="","",[8]道具信息!B384)</f>
        <v/>
      </c>
      <c r="C384" s="39" t="str">
        <f>IF([8]道具信息!C384="","",[8]道具信息!C384)</f>
        <v/>
      </c>
      <c r="D384" s="39" t="str">
        <f>IF([8]道具信息!D384="","",[8]道具信息!D384)</f>
        <v/>
      </c>
      <c r="E384" s="39" t="str">
        <f>IF([8]道具信息!E384="","",[8]道具信息!E384)</f>
        <v/>
      </c>
      <c r="F384" s="39" t="str">
        <f>IF([8]道具信息!F384="","",[8]道具信息!F384)</f>
        <v/>
      </c>
      <c r="G384" s="39" t="str">
        <f>IF([8]道具信息!G384="","",[8]道具信息!G384)</f>
        <v/>
      </c>
      <c r="H384" s="39" t="str">
        <f>IF([8]道具信息!H384="","",[8]道具信息!H384)</f>
        <v/>
      </c>
      <c r="I384" s="39" t="str">
        <f>IF([8]道具信息!I384="","",[8]道具信息!I384)</f>
        <v/>
      </c>
      <c r="J384" s="39" t="str">
        <f>IF([8]道具信息!J384="","",[8]道具信息!J384)</f>
        <v/>
      </c>
      <c r="K384" s="39" t="str">
        <f>IF([8]道具信息!K384="","",[8]道具信息!K384)</f>
        <v/>
      </c>
      <c r="L384" s="39" t="str">
        <f>IF([8]道具信息!L384="","",[8]道具信息!L384)</f>
        <v/>
      </c>
      <c r="M384" s="39" t="str">
        <f>IF([8]道具信息!M384="","",[8]道具信息!M384)</f>
        <v/>
      </c>
      <c r="N384" s="39" t="str">
        <f>IF([8]道具信息!N384="","",[8]道具信息!N384)</f>
        <v/>
      </c>
      <c r="O384" s="39" t="str">
        <f>IF([8]道具信息!O384="","",[8]道具信息!O384)</f>
        <v/>
      </c>
      <c r="P384" s="39" t="str">
        <f>IF([8]道具信息!P384="","",[8]道具信息!P384)</f>
        <v/>
      </c>
      <c r="Q384" s="39" t="str">
        <f>IF([8]道具信息!Q384="","",[8]道具信息!Q384)</f>
        <v/>
      </c>
      <c r="R384" s="39" t="str">
        <f>IF([8]道具信息!R384="","",[8]道具信息!R384)</f>
        <v/>
      </c>
      <c r="S384" s="39" t="str">
        <f>IF([8]道具信息!S384="","",[8]道具信息!S384)</f>
        <v/>
      </c>
      <c r="T384" s="39" t="str">
        <f>IF([8]道具信息!T384="","",[8]道具信息!T384)</f>
        <v/>
      </c>
      <c r="U384" s="39" t="str">
        <f>IF([8]道具信息!U384="","",[8]道具信息!U384)</f>
        <v/>
      </c>
      <c r="V384" s="39" t="str">
        <f>IF([8]道具信息!V384="","",[8]道具信息!V384)</f>
        <v/>
      </c>
      <c r="W384" s="39" t="str">
        <f>IF([8]道具信息!W384="","",[8]道具信息!W384)</f>
        <v/>
      </c>
      <c r="X384" s="39" t="str">
        <f>IF([8]道具信息!X384="","",[8]道具信息!X384)</f>
        <v/>
      </c>
      <c r="Y384" s="39" t="str">
        <f>IF([8]道具信息!Y384="","",[8]道具信息!Y384)</f>
        <v/>
      </c>
      <c r="Z384" s="39" t="str">
        <f>IF([8]道具信息!Z384="","",[8]道具信息!Z384)</f>
        <v/>
      </c>
    </row>
    <row r="385" spans="1:26" x14ac:dyDescent="0.15">
      <c r="A385" s="39" t="str">
        <f>IF([8]道具信息!A385="","",[8]道具信息!A385)</f>
        <v/>
      </c>
      <c r="B385" s="39" t="str">
        <f>IF([8]道具信息!B385="","",[8]道具信息!B385)</f>
        <v/>
      </c>
      <c r="C385" s="39">
        <f>IF([8]道具信息!C385="","",[8]道具信息!C385)</f>
        <v>20077</v>
      </c>
      <c r="D385" s="39" t="str">
        <f>IF([8]道具信息!D385="","",[8]道具信息!D385)</f>
        <v>战将护符·极</v>
      </c>
      <c r="E385" s="39">
        <f>IF([8]道具信息!E385="","",[8]道具信息!E385)</f>
        <v>140</v>
      </c>
      <c r="F385" s="39">
        <f>IF([8]道具信息!F385="","",[8]道具信息!F385)</f>
        <v>1</v>
      </c>
      <c r="G385" s="39">
        <f>IF([8]道具信息!G385="","",[8]道具信息!G385)</f>
        <v>1</v>
      </c>
      <c r="H385" s="39">
        <f>IF([8]道具信息!H385="","",[8]道具信息!H385)</f>
        <v>1</v>
      </c>
      <c r="I385" s="39">
        <f>IF([8]道具信息!I385="","",[8]道具信息!I385)</f>
        <v>140</v>
      </c>
      <c r="J385" s="39">
        <f>IF([8]道具信息!J385="","",[8]道具信息!J385)</f>
        <v>140</v>
      </c>
      <c r="K385" s="39">
        <f>IF([8]道具信息!K385="","",[8]道具信息!K385)</f>
        <v>140</v>
      </c>
      <c r="L385" s="39" t="str">
        <f>IF([8]道具信息!L385="","",[8]道具信息!L385)</f>
        <v>王侯将相，功成名就，可用于武将觉醒</v>
      </c>
      <c r="M385" s="39" t="str">
        <f>IF([8]道具信息!M385="","",[8]道具信息!M385)</f>
        <v/>
      </c>
      <c r="N385" s="39" t="str">
        <f>IF([8]道具信息!N385="","",[8]道具信息!N385)</f>
        <v/>
      </c>
      <c r="O385" s="39" t="str">
        <f>IF([8]道具信息!O385="","",[8]道具信息!O385)</f>
        <v/>
      </c>
      <c r="P385" s="39" t="str">
        <f>IF([8]道具信息!P385="","",[8]道具信息!P385)</f>
        <v/>
      </c>
      <c r="Q385" s="39" t="str">
        <f>IF([8]道具信息!Q385="","",[8]道具信息!Q385)</f>
        <v/>
      </c>
      <c r="R385" s="39" t="str">
        <f>IF([8]道具信息!R385="","",[8]道具信息!R385)</f>
        <v/>
      </c>
      <c r="S385" s="39" t="str">
        <f>IF([8]道具信息!S385="","",[8]道具信息!S385)</f>
        <v/>
      </c>
      <c r="T385" s="39" t="str">
        <f>IF([8]道具信息!T385="","",[8]道具信息!T385)</f>
        <v/>
      </c>
      <c r="U385" s="39" t="str">
        <f>IF([8]道具信息!U385="","",[8]道具信息!U385)</f>
        <v/>
      </c>
      <c r="V385" s="39" t="str">
        <f>IF([8]道具信息!V385="","",[8]道具信息!V385)</f>
        <v/>
      </c>
      <c r="W385" s="39" t="str">
        <f>IF([8]道具信息!W385="","",[8]道具信息!W385)</f>
        <v/>
      </c>
      <c r="X385" s="39" t="str">
        <f>IF([8]道具信息!X385="","",[8]道具信息!X385)</f>
        <v/>
      </c>
      <c r="Y385" s="39" t="str">
        <f>IF([8]道具信息!Y385="","",[8]道具信息!Y385)</f>
        <v/>
      </c>
      <c r="Z385" s="39" t="str">
        <f>IF([8]道具信息!Z385="","",[8]道具信息!Z385)</f>
        <v/>
      </c>
    </row>
    <row r="386" spans="1:26" x14ac:dyDescent="0.15">
      <c r="A386" s="39" t="str">
        <f>IF([8]道具信息!A386="","",[8]道具信息!A386)</f>
        <v/>
      </c>
      <c r="B386" s="39" t="str">
        <f>IF([8]道具信息!B386="","",[8]道具信息!B386)</f>
        <v/>
      </c>
      <c r="C386" s="39">
        <f>IF([8]道具信息!C386="","",[8]道具信息!C386)</f>
        <v>20078</v>
      </c>
      <c r="D386" s="39" t="str">
        <f>IF([8]道具信息!D386="","",[8]道具信息!D386)</f>
        <v>军师护符·极</v>
      </c>
      <c r="E386" s="39">
        <f>IF([8]道具信息!E386="","",[8]道具信息!E386)</f>
        <v>140</v>
      </c>
      <c r="F386" s="39">
        <f>IF([8]道具信息!F386="","",[8]道具信息!F386)</f>
        <v>1</v>
      </c>
      <c r="G386" s="39">
        <f>IF([8]道具信息!G386="","",[8]道具信息!G386)</f>
        <v>1</v>
      </c>
      <c r="H386" s="39">
        <f>IF([8]道具信息!H386="","",[8]道具信息!H386)</f>
        <v>1</v>
      </c>
      <c r="I386" s="39">
        <f>IF([8]道具信息!I386="","",[8]道具信息!I386)</f>
        <v>140</v>
      </c>
      <c r="J386" s="39">
        <f>IF([8]道具信息!J386="","",[8]道具信息!J386)</f>
        <v>140</v>
      </c>
      <c r="K386" s="39">
        <f>IF([8]道具信息!K386="","",[8]道具信息!K386)</f>
        <v>140</v>
      </c>
      <c r="L386" s="39" t="str">
        <f>IF([8]道具信息!L386="","",[8]道具信息!L386)</f>
        <v>神机妙算，才华横溢，可用于武将觉醒</v>
      </c>
      <c r="M386" s="39" t="str">
        <f>IF([8]道具信息!M386="","",[8]道具信息!M386)</f>
        <v/>
      </c>
      <c r="N386" s="39" t="str">
        <f>IF([8]道具信息!N386="","",[8]道具信息!N386)</f>
        <v/>
      </c>
      <c r="O386" s="39" t="str">
        <f>IF([8]道具信息!O386="","",[8]道具信息!O386)</f>
        <v/>
      </c>
      <c r="P386" s="39" t="str">
        <f>IF([8]道具信息!P386="","",[8]道具信息!P386)</f>
        <v/>
      </c>
      <c r="Q386" s="39" t="str">
        <f>IF([8]道具信息!Q386="","",[8]道具信息!Q386)</f>
        <v/>
      </c>
      <c r="R386" s="39" t="str">
        <f>IF([8]道具信息!R386="","",[8]道具信息!R386)</f>
        <v/>
      </c>
      <c r="S386" s="39" t="str">
        <f>IF([8]道具信息!S386="","",[8]道具信息!S386)</f>
        <v/>
      </c>
      <c r="T386" s="39" t="str">
        <f>IF([8]道具信息!T386="","",[8]道具信息!T386)</f>
        <v/>
      </c>
      <c r="U386" s="39" t="str">
        <f>IF([8]道具信息!U386="","",[8]道具信息!U386)</f>
        <v/>
      </c>
      <c r="V386" s="39" t="str">
        <f>IF([8]道具信息!V386="","",[8]道具信息!V386)</f>
        <v/>
      </c>
      <c r="W386" s="39" t="str">
        <f>IF([8]道具信息!W386="","",[8]道具信息!W386)</f>
        <v/>
      </c>
      <c r="X386" s="39" t="str">
        <f>IF([8]道具信息!X386="","",[8]道具信息!X386)</f>
        <v/>
      </c>
      <c r="Y386" s="39" t="str">
        <f>IF([8]道具信息!Y386="","",[8]道具信息!Y386)</f>
        <v/>
      </c>
      <c r="Z386" s="39" t="str">
        <f>IF([8]道具信息!Z386="","",[8]道具信息!Z386)</f>
        <v/>
      </c>
    </row>
    <row r="387" spans="1:26" x14ac:dyDescent="0.15">
      <c r="A387" s="39" t="str">
        <f>IF([8]道具信息!A387="","",[8]道具信息!A387)</f>
        <v/>
      </c>
      <c r="B387" s="39" t="str">
        <f>IF([8]道具信息!B387="","",[8]道具信息!B387)</f>
        <v/>
      </c>
      <c r="C387" s="39">
        <f>IF([8]道具信息!C387="","",[8]道具信息!C387)</f>
        <v>20079</v>
      </c>
      <c r="D387" s="39" t="str">
        <f>IF([8]道具信息!D387="","",[8]道具信息!D387)</f>
        <v>统帅护符·极</v>
      </c>
      <c r="E387" s="39">
        <f>IF([8]道具信息!E387="","",[8]道具信息!E387)</f>
        <v>140</v>
      </c>
      <c r="F387" s="39">
        <f>IF([8]道具信息!F387="","",[8]道具信息!F387)</f>
        <v>1</v>
      </c>
      <c r="G387" s="39">
        <f>IF([8]道具信息!G387="","",[8]道具信息!G387)</f>
        <v>1</v>
      </c>
      <c r="H387" s="39">
        <f>IF([8]道具信息!H387="","",[8]道具信息!H387)</f>
        <v>1</v>
      </c>
      <c r="I387" s="39">
        <f>IF([8]道具信息!I387="","",[8]道具信息!I387)</f>
        <v>140</v>
      </c>
      <c r="J387" s="39">
        <f>IF([8]道具信息!J387="","",[8]道具信息!J387)</f>
        <v>140</v>
      </c>
      <c r="K387" s="39">
        <f>IF([8]道具信息!K387="","",[8]道具信息!K387)</f>
        <v>140</v>
      </c>
      <c r="L387" s="39" t="str">
        <f>IF([8]道具信息!L387="","",[8]道具信息!L387)</f>
        <v>号令如山，统帅三军，可用于武将觉醒</v>
      </c>
      <c r="M387" s="39" t="str">
        <f>IF([8]道具信息!M387="","",[8]道具信息!M387)</f>
        <v/>
      </c>
      <c r="N387" s="39" t="str">
        <f>IF([8]道具信息!N387="","",[8]道具信息!N387)</f>
        <v/>
      </c>
      <c r="O387" s="39" t="str">
        <f>IF([8]道具信息!O387="","",[8]道具信息!O387)</f>
        <v/>
      </c>
      <c r="P387" s="39" t="str">
        <f>IF([8]道具信息!P387="","",[8]道具信息!P387)</f>
        <v/>
      </c>
      <c r="Q387" s="39" t="str">
        <f>IF([8]道具信息!Q387="","",[8]道具信息!Q387)</f>
        <v/>
      </c>
      <c r="R387" s="39" t="str">
        <f>IF([8]道具信息!R387="","",[8]道具信息!R387)</f>
        <v/>
      </c>
      <c r="S387" s="39" t="str">
        <f>IF([8]道具信息!S387="","",[8]道具信息!S387)</f>
        <v/>
      </c>
      <c r="T387" s="39" t="str">
        <f>IF([8]道具信息!T387="","",[8]道具信息!T387)</f>
        <v/>
      </c>
      <c r="U387" s="39" t="str">
        <f>IF([8]道具信息!U387="","",[8]道具信息!U387)</f>
        <v/>
      </c>
      <c r="V387" s="39" t="str">
        <f>IF([8]道具信息!V387="","",[8]道具信息!V387)</f>
        <v/>
      </c>
      <c r="W387" s="39" t="str">
        <f>IF([8]道具信息!W387="","",[8]道具信息!W387)</f>
        <v/>
      </c>
      <c r="X387" s="39" t="str">
        <f>IF([8]道具信息!X387="","",[8]道具信息!X387)</f>
        <v/>
      </c>
      <c r="Y387" s="39" t="str">
        <f>IF([8]道具信息!Y387="","",[8]道具信息!Y387)</f>
        <v/>
      </c>
      <c r="Z387" s="39" t="str">
        <f>IF([8]道具信息!Z387="","",[8]道具信息!Z387)</f>
        <v/>
      </c>
    </row>
    <row r="388" spans="1:26" x14ac:dyDescent="0.15">
      <c r="A388" s="39" t="str">
        <f>IF([8]道具信息!A388="","",[8]道具信息!A388)</f>
        <v/>
      </c>
      <c r="B388" s="39" t="str">
        <f>IF([8]道具信息!B388="","",[8]道具信息!B388)</f>
        <v/>
      </c>
      <c r="C388" s="39" t="str">
        <f>IF([8]道具信息!C388="","",[8]道具信息!C388)</f>
        <v/>
      </c>
      <c r="D388" s="39" t="str">
        <f>IF([8]道具信息!D388="","",[8]道具信息!D388)</f>
        <v/>
      </c>
      <c r="E388" s="39" t="str">
        <f>IF([8]道具信息!E388="","",[8]道具信息!E388)</f>
        <v/>
      </c>
      <c r="F388" s="39" t="str">
        <f>IF([8]道具信息!F388="","",[8]道具信息!F388)</f>
        <v/>
      </c>
      <c r="G388" s="39" t="str">
        <f>IF([8]道具信息!G388="","",[8]道具信息!G388)</f>
        <v/>
      </c>
      <c r="H388" s="39" t="str">
        <f>IF([8]道具信息!H388="","",[8]道具信息!H388)</f>
        <v/>
      </c>
      <c r="I388" s="39" t="str">
        <f>IF([8]道具信息!I388="","",[8]道具信息!I388)</f>
        <v/>
      </c>
      <c r="J388" s="39" t="str">
        <f>IF([8]道具信息!J388="","",[8]道具信息!J388)</f>
        <v/>
      </c>
      <c r="K388" s="39" t="str">
        <f>IF([8]道具信息!K388="","",[8]道具信息!K388)</f>
        <v/>
      </c>
      <c r="L388" s="39" t="str">
        <f>IF([8]道具信息!L388="","",[8]道具信息!L388)</f>
        <v/>
      </c>
      <c r="M388" s="39" t="str">
        <f>IF([8]道具信息!M388="","",[8]道具信息!M388)</f>
        <v/>
      </c>
      <c r="N388" s="39" t="str">
        <f>IF([8]道具信息!N388="","",[8]道具信息!N388)</f>
        <v/>
      </c>
      <c r="O388" s="39" t="str">
        <f>IF([8]道具信息!O388="","",[8]道具信息!O388)</f>
        <v/>
      </c>
      <c r="P388" s="39" t="str">
        <f>IF([8]道具信息!P388="","",[8]道具信息!P388)</f>
        <v/>
      </c>
      <c r="Q388" s="39" t="str">
        <f>IF([8]道具信息!Q388="","",[8]道具信息!Q388)</f>
        <v/>
      </c>
      <c r="R388" s="39" t="str">
        <f>IF([8]道具信息!R388="","",[8]道具信息!R388)</f>
        <v/>
      </c>
      <c r="S388" s="39" t="str">
        <f>IF([8]道具信息!S388="","",[8]道具信息!S388)</f>
        <v/>
      </c>
      <c r="T388" s="39" t="str">
        <f>IF([8]道具信息!T388="","",[8]道具信息!T388)</f>
        <v/>
      </c>
      <c r="U388" s="39" t="str">
        <f>IF([8]道具信息!U388="","",[8]道具信息!U388)</f>
        <v/>
      </c>
      <c r="V388" s="39" t="str">
        <f>IF([8]道具信息!V388="","",[8]道具信息!V388)</f>
        <v/>
      </c>
      <c r="W388" s="39" t="str">
        <f>IF([8]道具信息!W388="","",[8]道具信息!W388)</f>
        <v/>
      </c>
      <c r="X388" s="39" t="str">
        <f>IF([8]道具信息!X388="","",[8]道具信息!X388)</f>
        <v/>
      </c>
      <c r="Y388" s="39" t="str">
        <f>IF([8]道具信息!Y388="","",[8]道具信息!Y388)</f>
        <v/>
      </c>
      <c r="Z388" s="39" t="str">
        <f>IF([8]道具信息!Z388="","",[8]道具信息!Z388)</f>
        <v/>
      </c>
    </row>
    <row r="389" spans="1:26" x14ac:dyDescent="0.15">
      <c r="A389" s="39" t="str">
        <f>IF([8]道具信息!A389="","",[8]道具信息!A389)</f>
        <v/>
      </c>
      <c r="B389" s="39" t="str">
        <f>IF([8]道具信息!B389="","",[8]道具信息!B389)</f>
        <v/>
      </c>
      <c r="C389" s="39" t="str">
        <f>IF([8]道具信息!C389="","",[8]道具信息!C389)</f>
        <v/>
      </c>
      <c r="D389" s="39" t="str">
        <f>IF([8]道具信息!D389="","",[8]道具信息!D389)</f>
        <v/>
      </c>
      <c r="E389" s="39" t="str">
        <f>IF([8]道具信息!E389="","",[8]道具信息!E389)</f>
        <v/>
      </c>
      <c r="F389" s="39" t="str">
        <f>IF([8]道具信息!F389="","",[8]道具信息!F389)</f>
        <v/>
      </c>
      <c r="G389" s="39" t="str">
        <f>IF([8]道具信息!G389="","",[8]道具信息!G389)</f>
        <v/>
      </c>
      <c r="H389" s="39" t="str">
        <f>IF([8]道具信息!H389="","",[8]道具信息!H389)</f>
        <v/>
      </c>
      <c r="I389" s="39" t="str">
        <f>IF([8]道具信息!I389="","",[8]道具信息!I389)</f>
        <v/>
      </c>
      <c r="J389" s="39" t="str">
        <f>IF([8]道具信息!J389="","",[8]道具信息!J389)</f>
        <v/>
      </c>
      <c r="K389" s="39" t="str">
        <f>IF([8]道具信息!K389="","",[8]道具信息!K389)</f>
        <v/>
      </c>
      <c r="L389" s="39" t="str">
        <f>IF([8]道具信息!L389="","",[8]道具信息!L389)</f>
        <v/>
      </c>
      <c r="M389" s="39" t="str">
        <f>IF([8]道具信息!M389="","",[8]道具信息!M389)</f>
        <v/>
      </c>
      <c r="N389" s="39" t="str">
        <f>IF([8]道具信息!N389="","",[8]道具信息!N389)</f>
        <v/>
      </c>
      <c r="O389" s="39" t="str">
        <f>IF([8]道具信息!O389="","",[8]道具信息!O389)</f>
        <v/>
      </c>
      <c r="P389" s="39" t="str">
        <f>IF([8]道具信息!P389="","",[8]道具信息!P389)</f>
        <v/>
      </c>
      <c r="Q389" s="39" t="str">
        <f>IF([8]道具信息!Q389="","",[8]道具信息!Q389)</f>
        <v/>
      </c>
      <c r="R389" s="39" t="str">
        <f>IF([8]道具信息!R389="","",[8]道具信息!R389)</f>
        <v/>
      </c>
      <c r="S389" s="39" t="str">
        <f>IF([8]道具信息!S389="","",[8]道具信息!S389)</f>
        <v/>
      </c>
      <c r="T389" s="39" t="str">
        <f>IF([8]道具信息!T389="","",[8]道具信息!T389)</f>
        <v/>
      </c>
      <c r="U389" s="39" t="str">
        <f>IF([8]道具信息!U389="","",[8]道具信息!U389)</f>
        <v/>
      </c>
      <c r="V389" s="39" t="str">
        <f>IF([8]道具信息!V389="","",[8]道具信息!V389)</f>
        <v/>
      </c>
      <c r="W389" s="39" t="str">
        <f>IF([8]道具信息!W389="","",[8]道具信息!W389)</f>
        <v/>
      </c>
      <c r="X389" s="39" t="str">
        <f>IF([8]道具信息!X389="","",[8]道具信息!X389)</f>
        <v/>
      </c>
      <c r="Y389" s="39" t="str">
        <f>IF([8]道具信息!Y389="","",[8]道具信息!Y389)</f>
        <v/>
      </c>
      <c r="Z389" s="39" t="str">
        <f>IF([8]道具信息!Z389="","",[8]道具信息!Z389)</f>
        <v/>
      </c>
    </row>
    <row r="390" spans="1:26" x14ac:dyDescent="0.15">
      <c r="A390" s="39" t="str">
        <f>IF([8]道具信息!A390="","",[8]道具信息!A390)</f>
        <v/>
      </c>
      <c r="B390" s="39" t="str">
        <f>IF([8]道具信息!B390="","",[8]道具信息!B390)</f>
        <v/>
      </c>
      <c r="C390" s="39">
        <f>IF([8]道具信息!C390="","",[8]道具信息!C390)</f>
        <v>23001</v>
      </c>
      <c r="D390" s="39" t="str">
        <f>IF([8]道具信息!D390="","",[8]道具信息!D390)</f>
        <v>紫色步将自选宝箱</v>
      </c>
      <c r="E390" s="39">
        <f>IF([8]道具信息!E390="","",[8]道具信息!E390)</f>
        <v>600</v>
      </c>
      <c r="F390" s="39">
        <f>IF([8]道具信息!F390="","",[8]道具信息!F390)</f>
        <v>1</v>
      </c>
      <c r="G390" s="39">
        <f>IF([8]道具信息!G390="","",[8]道具信息!G390)</f>
        <v>1</v>
      </c>
      <c r="H390" s="39">
        <f>IF([8]道具信息!H390="","",[8]道具信息!H390)</f>
        <v>1</v>
      </c>
      <c r="I390" s="39">
        <f>IF([8]道具信息!I390="","",[8]道具信息!I390)</f>
        <v>600</v>
      </c>
      <c r="J390" s="39">
        <f>IF([8]道具信息!J390="","",[8]道具信息!J390)</f>
        <v>600</v>
      </c>
      <c r="K390" s="39">
        <f>IF([8]道具信息!K390="","",[8]道具信息!K390)</f>
        <v>600</v>
      </c>
      <c r="L390" s="39" t="str">
        <f>IF([8]道具信息!L390="","",[8]道具信息!L390)</f>
        <v>使用后选择获得一个紫色步将</v>
      </c>
      <c r="M390" s="39" t="str">
        <f>IF([8]道具信息!M390="","",[8]道具信息!M390)</f>
        <v/>
      </c>
      <c r="N390" s="39" t="str">
        <f>IF([8]道具信息!N390="","",[8]道具信息!N390)</f>
        <v/>
      </c>
      <c r="O390" s="39" t="str">
        <f>IF([8]道具信息!O390="","",[8]道具信息!O390)</f>
        <v/>
      </c>
      <c r="P390" s="39" t="str">
        <f>IF([8]道具信息!P390="","",[8]道具信息!P390)</f>
        <v/>
      </c>
      <c r="Q390" s="39" t="str">
        <f>IF([8]道具信息!Q390="","",[8]道具信息!Q390)</f>
        <v/>
      </c>
      <c r="R390" s="39" t="str">
        <f>IF([8]道具信息!R390="","",[8]道具信息!R390)</f>
        <v/>
      </c>
      <c r="S390" s="39" t="str">
        <f>IF([8]道具信息!S390="","",[8]道具信息!S390)</f>
        <v/>
      </c>
      <c r="T390" s="39" t="str">
        <f>IF([8]道具信息!T390="","",[8]道具信息!T390)</f>
        <v/>
      </c>
      <c r="U390" s="39" t="str">
        <f>IF([8]道具信息!U390="","",[8]道具信息!U390)</f>
        <v/>
      </c>
      <c r="V390" s="39" t="str">
        <f>IF([8]道具信息!V390="","",[8]道具信息!V390)</f>
        <v/>
      </c>
      <c r="W390" s="39" t="str">
        <f>IF([8]道具信息!W390="","",[8]道具信息!W390)</f>
        <v/>
      </c>
      <c r="X390" s="39" t="str">
        <f>IF([8]道具信息!X390="","",[8]道具信息!X390)</f>
        <v/>
      </c>
      <c r="Y390" s="39" t="str">
        <f>IF([8]道具信息!Y390="","",[8]道具信息!Y390)</f>
        <v/>
      </c>
      <c r="Z390" s="39" t="str">
        <f>IF([8]道具信息!Z390="","",[8]道具信息!Z390)</f>
        <v/>
      </c>
    </row>
    <row r="391" spans="1:26" x14ac:dyDescent="0.15">
      <c r="A391" s="39" t="str">
        <f>IF([8]道具信息!A391="","",[8]道具信息!A391)</f>
        <v/>
      </c>
      <c r="B391" s="39" t="str">
        <f>IF([8]道具信息!B391="","",[8]道具信息!B391)</f>
        <v/>
      </c>
      <c r="C391" s="39">
        <f>IF([8]道具信息!C391="","",[8]道具信息!C391)</f>
        <v>23002</v>
      </c>
      <c r="D391" s="39" t="str">
        <f>IF([8]道具信息!D391="","",[8]道具信息!D391)</f>
        <v>橙色步将自选宝箱</v>
      </c>
      <c r="E391" s="39">
        <f>IF([8]道具信息!E391="","",[8]道具信息!E391)</f>
        <v>4800</v>
      </c>
      <c r="F391" s="39">
        <f>IF([8]道具信息!F391="","",[8]道具信息!F391)</f>
        <v>1</v>
      </c>
      <c r="G391" s="39">
        <f>IF([8]道具信息!G391="","",[8]道具信息!G391)</f>
        <v>1</v>
      </c>
      <c r="H391" s="39">
        <f>IF([8]道具信息!H391="","",[8]道具信息!H391)</f>
        <v>1</v>
      </c>
      <c r="I391" s="39">
        <f>IF([8]道具信息!I391="","",[8]道具信息!I391)</f>
        <v>4800</v>
      </c>
      <c r="J391" s="39">
        <f>IF([8]道具信息!J391="","",[8]道具信息!J391)</f>
        <v>4800</v>
      </c>
      <c r="K391" s="39">
        <f>IF([8]道具信息!K391="","",[8]道具信息!K391)</f>
        <v>4800</v>
      </c>
      <c r="L391" s="39" t="str">
        <f>IF([8]道具信息!L391="","",[8]道具信息!L391)</f>
        <v>使用后选择获得一个橙色武将</v>
      </c>
      <c r="M391" s="39" t="str">
        <f>IF([8]道具信息!M391="","",[8]道具信息!M391)</f>
        <v/>
      </c>
      <c r="N391" s="39" t="str">
        <f>IF([8]道具信息!N391="","",[8]道具信息!N391)</f>
        <v/>
      </c>
      <c r="O391" s="39" t="str">
        <f>IF([8]道具信息!O391="","",[8]道具信息!O391)</f>
        <v/>
      </c>
      <c r="P391" s="39" t="str">
        <f>IF([8]道具信息!P391="","",[8]道具信息!P391)</f>
        <v/>
      </c>
      <c r="Q391" s="39" t="str">
        <f>IF([8]道具信息!Q391="","",[8]道具信息!Q391)</f>
        <v/>
      </c>
      <c r="R391" s="39" t="str">
        <f>IF([8]道具信息!R391="","",[8]道具信息!R391)</f>
        <v/>
      </c>
      <c r="S391" s="39" t="str">
        <f>IF([8]道具信息!S391="","",[8]道具信息!S391)</f>
        <v/>
      </c>
      <c r="T391" s="39" t="str">
        <f>IF([8]道具信息!T391="","",[8]道具信息!T391)</f>
        <v/>
      </c>
      <c r="U391" s="39" t="str">
        <f>IF([8]道具信息!U391="","",[8]道具信息!U391)</f>
        <v/>
      </c>
      <c r="V391" s="39" t="str">
        <f>IF([8]道具信息!V391="","",[8]道具信息!V391)</f>
        <v/>
      </c>
      <c r="W391" s="39" t="str">
        <f>IF([8]道具信息!W391="","",[8]道具信息!W391)</f>
        <v/>
      </c>
      <c r="X391" s="39" t="str">
        <f>IF([8]道具信息!X391="","",[8]道具信息!X391)</f>
        <v/>
      </c>
      <c r="Y391" s="39" t="str">
        <f>IF([8]道具信息!Y391="","",[8]道具信息!Y391)</f>
        <v/>
      </c>
      <c r="Z391" s="39" t="str">
        <f>IF([8]道具信息!Z391="","",[8]道具信息!Z391)</f>
        <v/>
      </c>
    </row>
    <row r="392" spans="1:26" x14ac:dyDescent="0.15">
      <c r="A392" s="39" t="str">
        <f>IF([8]道具信息!A392="","",[8]道具信息!A392)</f>
        <v/>
      </c>
      <c r="B392" s="39" t="str">
        <f>IF([8]道具信息!B392="","",[8]道具信息!B392)</f>
        <v/>
      </c>
      <c r="C392" s="39">
        <f>IF([8]道具信息!C392="","",[8]道具信息!C392)</f>
        <v>23003</v>
      </c>
      <c r="D392" s="39" t="str">
        <f>IF([8]道具信息!D392="","",[8]道具信息!D392)</f>
        <v>红色步将自选宝箱</v>
      </c>
      <c r="E392" s="39">
        <f>IF([8]道具信息!E392="","",[8]道具信息!E392)</f>
        <v>14400</v>
      </c>
      <c r="F392" s="39">
        <f>IF([8]道具信息!F392="","",[8]道具信息!F392)</f>
        <v>1</v>
      </c>
      <c r="G392" s="39">
        <f>IF([8]道具信息!G392="","",[8]道具信息!G392)</f>
        <v>1</v>
      </c>
      <c r="H392" s="39">
        <f>IF([8]道具信息!H392="","",[8]道具信息!H392)</f>
        <v>1</v>
      </c>
      <c r="I392" s="39">
        <f>IF([8]道具信息!I392="","",[8]道具信息!I392)</f>
        <v>14400</v>
      </c>
      <c r="J392" s="39">
        <f>IF([8]道具信息!J392="","",[8]道具信息!J392)</f>
        <v>14400</v>
      </c>
      <c r="K392" s="39">
        <f>IF([8]道具信息!K392="","",[8]道具信息!K392)</f>
        <v>14400</v>
      </c>
      <c r="L392" s="39" t="str">
        <f>IF([8]道具信息!L392="","",[8]道具信息!L392)</f>
        <v>使用后选择获得一个红色步将</v>
      </c>
      <c r="M392" s="39" t="str">
        <f>IF([8]道具信息!M392="","",[8]道具信息!M392)</f>
        <v/>
      </c>
      <c r="N392" s="39" t="str">
        <f>IF([8]道具信息!N392="","",[8]道具信息!N392)</f>
        <v/>
      </c>
      <c r="O392" s="39" t="str">
        <f>IF([8]道具信息!O392="","",[8]道具信息!O392)</f>
        <v/>
      </c>
      <c r="P392" s="39" t="str">
        <f>IF([8]道具信息!P392="","",[8]道具信息!P392)</f>
        <v/>
      </c>
      <c r="Q392" s="39" t="str">
        <f>IF([8]道具信息!Q392="","",[8]道具信息!Q392)</f>
        <v/>
      </c>
      <c r="R392" s="39" t="str">
        <f>IF([8]道具信息!R392="","",[8]道具信息!R392)</f>
        <v/>
      </c>
      <c r="S392" s="39" t="str">
        <f>IF([8]道具信息!S392="","",[8]道具信息!S392)</f>
        <v/>
      </c>
      <c r="T392" s="39" t="str">
        <f>IF([8]道具信息!T392="","",[8]道具信息!T392)</f>
        <v/>
      </c>
      <c r="U392" s="39" t="str">
        <f>IF([8]道具信息!U392="","",[8]道具信息!U392)</f>
        <v/>
      </c>
      <c r="V392" s="39" t="str">
        <f>IF([8]道具信息!V392="","",[8]道具信息!V392)</f>
        <v/>
      </c>
      <c r="W392" s="39" t="str">
        <f>IF([8]道具信息!W392="","",[8]道具信息!W392)</f>
        <v/>
      </c>
      <c r="X392" s="39" t="str">
        <f>IF([8]道具信息!X392="","",[8]道具信息!X392)</f>
        <v/>
      </c>
      <c r="Y392" s="39" t="str">
        <f>IF([8]道具信息!Y392="","",[8]道具信息!Y392)</f>
        <v/>
      </c>
      <c r="Z392" s="39" t="str">
        <f>IF([8]道具信息!Z392="","",[8]道具信息!Z392)</f>
        <v/>
      </c>
    </row>
    <row r="393" spans="1:26" x14ac:dyDescent="0.15">
      <c r="A393" s="39" t="str">
        <f>IF([8]道具信息!A393="","",[8]道具信息!A393)</f>
        <v/>
      </c>
      <c r="B393" s="39" t="str">
        <f>IF([8]道具信息!B393="","",[8]道具信息!B393)</f>
        <v/>
      </c>
      <c r="C393" s="39">
        <f>IF([8]道具信息!C393="","",[8]道具信息!C393)</f>
        <v>23004</v>
      </c>
      <c r="D393" s="39" t="str">
        <f>IF([8]道具信息!D393="","",[8]道具信息!D393)</f>
        <v>紫色骑将自选宝箱</v>
      </c>
      <c r="E393" s="39">
        <f>IF([8]道具信息!E393="","",[8]道具信息!E393)</f>
        <v>600</v>
      </c>
      <c r="F393" s="39">
        <f>IF([8]道具信息!F393="","",[8]道具信息!F393)</f>
        <v>1</v>
      </c>
      <c r="G393" s="39">
        <f>IF([8]道具信息!G393="","",[8]道具信息!G393)</f>
        <v>1</v>
      </c>
      <c r="H393" s="39">
        <f>IF([8]道具信息!H393="","",[8]道具信息!H393)</f>
        <v>1</v>
      </c>
      <c r="I393" s="39">
        <f>IF([8]道具信息!I393="","",[8]道具信息!I393)</f>
        <v>600</v>
      </c>
      <c r="J393" s="39">
        <f>IF([8]道具信息!J393="","",[8]道具信息!J393)</f>
        <v>600</v>
      </c>
      <c r="K393" s="39">
        <f>IF([8]道具信息!K393="","",[8]道具信息!K393)</f>
        <v>600</v>
      </c>
      <c r="L393" s="39" t="str">
        <f>IF([8]道具信息!L393="","",[8]道具信息!L393)</f>
        <v>使用后选择获得一个紫色骑将</v>
      </c>
      <c r="M393" s="39" t="str">
        <f>IF([8]道具信息!M393="","",[8]道具信息!M393)</f>
        <v/>
      </c>
      <c r="N393" s="39" t="str">
        <f>IF([8]道具信息!N393="","",[8]道具信息!N393)</f>
        <v/>
      </c>
      <c r="O393" s="39" t="str">
        <f>IF([8]道具信息!O393="","",[8]道具信息!O393)</f>
        <v/>
      </c>
      <c r="P393" s="39" t="str">
        <f>IF([8]道具信息!P393="","",[8]道具信息!P393)</f>
        <v/>
      </c>
      <c r="Q393" s="39" t="str">
        <f>IF([8]道具信息!Q393="","",[8]道具信息!Q393)</f>
        <v/>
      </c>
      <c r="R393" s="39" t="str">
        <f>IF([8]道具信息!R393="","",[8]道具信息!R393)</f>
        <v/>
      </c>
      <c r="S393" s="39" t="str">
        <f>IF([8]道具信息!S393="","",[8]道具信息!S393)</f>
        <v/>
      </c>
      <c r="T393" s="39" t="str">
        <f>IF([8]道具信息!T393="","",[8]道具信息!T393)</f>
        <v/>
      </c>
      <c r="U393" s="39" t="str">
        <f>IF([8]道具信息!U393="","",[8]道具信息!U393)</f>
        <v/>
      </c>
      <c r="V393" s="39" t="str">
        <f>IF([8]道具信息!V393="","",[8]道具信息!V393)</f>
        <v/>
      </c>
      <c r="W393" s="39" t="str">
        <f>IF([8]道具信息!W393="","",[8]道具信息!W393)</f>
        <v/>
      </c>
      <c r="X393" s="39" t="str">
        <f>IF([8]道具信息!X393="","",[8]道具信息!X393)</f>
        <v/>
      </c>
      <c r="Y393" s="39" t="str">
        <f>IF([8]道具信息!Y393="","",[8]道具信息!Y393)</f>
        <v/>
      </c>
      <c r="Z393" s="39" t="str">
        <f>IF([8]道具信息!Z393="","",[8]道具信息!Z393)</f>
        <v/>
      </c>
    </row>
    <row r="394" spans="1:26" x14ac:dyDescent="0.15">
      <c r="A394" s="39" t="str">
        <f>IF([8]道具信息!A394="","",[8]道具信息!A394)</f>
        <v/>
      </c>
      <c r="B394" s="39" t="str">
        <f>IF([8]道具信息!B394="","",[8]道具信息!B394)</f>
        <v/>
      </c>
      <c r="C394" s="39">
        <f>IF([8]道具信息!C394="","",[8]道具信息!C394)</f>
        <v>23005</v>
      </c>
      <c r="D394" s="39" t="str">
        <f>IF([8]道具信息!D394="","",[8]道具信息!D394)</f>
        <v>橙色骑将自选宝箱</v>
      </c>
      <c r="E394" s="39">
        <f>IF([8]道具信息!E394="","",[8]道具信息!E394)</f>
        <v>4800</v>
      </c>
      <c r="F394" s="39">
        <f>IF([8]道具信息!F394="","",[8]道具信息!F394)</f>
        <v>1</v>
      </c>
      <c r="G394" s="39">
        <f>IF([8]道具信息!G394="","",[8]道具信息!G394)</f>
        <v>1</v>
      </c>
      <c r="H394" s="39">
        <f>IF([8]道具信息!H394="","",[8]道具信息!H394)</f>
        <v>1</v>
      </c>
      <c r="I394" s="39">
        <f>IF([8]道具信息!I394="","",[8]道具信息!I394)</f>
        <v>4800</v>
      </c>
      <c r="J394" s="39">
        <f>IF([8]道具信息!J394="","",[8]道具信息!J394)</f>
        <v>4800</v>
      </c>
      <c r="K394" s="39">
        <f>IF([8]道具信息!K394="","",[8]道具信息!K394)</f>
        <v>4800</v>
      </c>
      <c r="L394" s="39" t="str">
        <f>IF([8]道具信息!L394="","",[8]道具信息!L394)</f>
        <v>使用后选择获得一个橙色骑将</v>
      </c>
      <c r="M394" s="39" t="str">
        <f>IF([8]道具信息!M394="","",[8]道具信息!M394)</f>
        <v/>
      </c>
      <c r="N394" s="39" t="str">
        <f>IF([8]道具信息!N394="","",[8]道具信息!N394)</f>
        <v/>
      </c>
      <c r="O394" s="39" t="str">
        <f>IF([8]道具信息!O394="","",[8]道具信息!O394)</f>
        <v/>
      </c>
      <c r="P394" s="39" t="str">
        <f>IF([8]道具信息!P394="","",[8]道具信息!P394)</f>
        <v/>
      </c>
      <c r="Q394" s="39" t="str">
        <f>IF([8]道具信息!Q394="","",[8]道具信息!Q394)</f>
        <v/>
      </c>
      <c r="R394" s="39" t="str">
        <f>IF([8]道具信息!R394="","",[8]道具信息!R394)</f>
        <v/>
      </c>
      <c r="S394" s="39" t="str">
        <f>IF([8]道具信息!S394="","",[8]道具信息!S394)</f>
        <v/>
      </c>
      <c r="T394" s="39" t="str">
        <f>IF([8]道具信息!T394="","",[8]道具信息!T394)</f>
        <v/>
      </c>
      <c r="U394" s="39" t="str">
        <f>IF([8]道具信息!U394="","",[8]道具信息!U394)</f>
        <v/>
      </c>
      <c r="V394" s="39" t="str">
        <f>IF([8]道具信息!V394="","",[8]道具信息!V394)</f>
        <v/>
      </c>
      <c r="W394" s="39" t="str">
        <f>IF([8]道具信息!W394="","",[8]道具信息!W394)</f>
        <v/>
      </c>
      <c r="X394" s="39" t="str">
        <f>IF([8]道具信息!X394="","",[8]道具信息!X394)</f>
        <v/>
      </c>
      <c r="Y394" s="39" t="str">
        <f>IF([8]道具信息!Y394="","",[8]道具信息!Y394)</f>
        <v/>
      </c>
      <c r="Z394" s="39" t="str">
        <f>IF([8]道具信息!Z394="","",[8]道具信息!Z394)</f>
        <v/>
      </c>
    </row>
    <row r="395" spans="1:26" x14ac:dyDescent="0.15">
      <c r="A395" s="39" t="str">
        <f>IF([8]道具信息!A395="","",[8]道具信息!A395)</f>
        <v/>
      </c>
      <c r="B395" s="39" t="str">
        <f>IF([8]道具信息!B395="","",[8]道具信息!B395)</f>
        <v/>
      </c>
      <c r="C395" s="39">
        <f>IF([8]道具信息!C395="","",[8]道具信息!C395)</f>
        <v>23006</v>
      </c>
      <c r="D395" s="39" t="str">
        <f>IF([8]道具信息!D395="","",[8]道具信息!D395)</f>
        <v>红色骑将自选宝箱</v>
      </c>
      <c r="E395" s="39">
        <f>IF([8]道具信息!E395="","",[8]道具信息!E395)</f>
        <v>14400</v>
      </c>
      <c r="F395" s="39">
        <f>IF([8]道具信息!F395="","",[8]道具信息!F395)</f>
        <v>1</v>
      </c>
      <c r="G395" s="39">
        <f>IF([8]道具信息!G395="","",[8]道具信息!G395)</f>
        <v>1</v>
      </c>
      <c r="H395" s="39">
        <f>IF([8]道具信息!H395="","",[8]道具信息!H395)</f>
        <v>1</v>
      </c>
      <c r="I395" s="39">
        <f>IF([8]道具信息!I395="","",[8]道具信息!I395)</f>
        <v>14400</v>
      </c>
      <c r="J395" s="39">
        <f>IF([8]道具信息!J395="","",[8]道具信息!J395)</f>
        <v>14400</v>
      </c>
      <c r="K395" s="39">
        <f>IF([8]道具信息!K395="","",[8]道具信息!K395)</f>
        <v>14400</v>
      </c>
      <c r="L395" s="39" t="str">
        <f>IF([8]道具信息!L395="","",[8]道具信息!L395)</f>
        <v>使用后选择获得一个红色骑将</v>
      </c>
      <c r="M395" s="39" t="str">
        <f>IF([8]道具信息!M395="","",[8]道具信息!M395)</f>
        <v/>
      </c>
      <c r="N395" s="39" t="str">
        <f>IF([8]道具信息!N395="","",[8]道具信息!N395)</f>
        <v/>
      </c>
      <c r="O395" s="39" t="str">
        <f>IF([8]道具信息!O395="","",[8]道具信息!O395)</f>
        <v/>
      </c>
      <c r="P395" s="39" t="str">
        <f>IF([8]道具信息!P395="","",[8]道具信息!P395)</f>
        <v/>
      </c>
      <c r="Q395" s="39" t="str">
        <f>IF([8]道具信息!Q395="","",[8]道具信息!Q395)</f>
        <v/>
      </c>
      <c r="R395" s="39" t="str">
        <f>IF([8]道具信息!R395="","",[8]道具信息!R395)</f>
        <v/>
      </c>
      <c r="S395" s="39" t="str">
        <f>IF([8]道具信息!S395="","",[8]道具信息!S395)</f>
        <v/>
      </c>
      <c r="T395" s="39" t="str">
        <f>IF([8]道具信息!T395="","",[8]道具信息!T395)</f>
        <v/>
      </c>
      <c r="U395" s="39" t="str">
        <f>IF([8]道具信息!U395="","",[8]道具信息!U395)</f>
        <v/>
      </c>
      <c r="V395" s="39" t="str">
        <f>IF([8]道具信息!V395="","",[8]道具信息!V395)</f>
        <v/>
      </c>
      <c r="W395" s="39" t="str">
        <f>IF([8]道具信息!W395="","",[8]道具信息!W395)</f>
        <v/>
      </c>
      <c r="X395" s="39" t="str">
        <f>IF([8]道具信息!X395="","",[8]道具信息!X395)</f>
        <v/>
      </c>
      <c r="Y395" s="39" t="str">
        <f>IF([8]道具信息!Y395="","",[8]道具信息!Y395)</f>
        <v/>
      </c>
      <c r="Z395" s="39" t="str">
        <f>IF([8]道具信息!Z395="","",[8]道具信息!Z395)</f>
        <v/>
      </c>
    </row>
    <row r="396" spans="1:26" x14ac:dyDescent="0.15">
      <c r="A396" s="39" t="str">
        <f>IF([8]道具信息!A396="","",[8]道具信息!A396)</f>
        <v/>
      </c>
      <c r="B396" s="39" t="str">
        <f>IF([8]道具信息!B396="","",[8]道具信息!B396)</f>
        <v/>
      </c>
      <c r="C396" s="39">
        <f>IF([8]道具信息!C396="","",[8]道具信息!C396)</f>
        <v>23007</v>
      </c>
      <c r="D396" s="39" t="str">
        <f>IF([8]道具信息!D396="","",[8]道具信息!D396)</f>
        <v>紫色弓将自选宝箱</v>
      </c>
      <c r="E396" s="39">
        <f>IF([8]道具信息!E396="","",[8]道具信息!E396)</f>
        <v>600</v>
      </c>
      <c r="F396" s="39">
        <f>IF([8]道具信息!F396="","",[8]道具信息!F396)</f>
        <v>1</v>
      </c>
      <c r="G396" s="39">
        <f>IF([8]道具信息!G396="","",[8]道具信息!G396)</f>
        <v>1</v>
      </c>
      <c r="H396" s="39">
        <f>IF([8]道具信息!H396="","",[8]道具信息!H396)</f>
        <v>1</v>
      </c>
      <c r="I396" s="39">
        <f>IF([8]道具信息!I396="","",[8]道具信息!I396)</f>
        <v>600</v>
      </c>
      <c r="J396" s="39">
        <f>IF([8]道具信息!J396="","",[8]道具信息!J396)</f>
        <v>600</v>
      </c>
      <c r="K396" s="39">
        <f>IF([8]道具信息!K396="","",[8]道具信息!K396)</f>
        <v>600</v>
      </c>
      <c r="L396" s="39" t="str">
        <f>IF([8]道具信息!L396="","",[8]道具信息!L396)</f>
        <v>使用后选择获得一个紫色弓将</v>
      </c>
      <c r="M396" s="39" t="str">
        <f>IF([8]道具信息!M396="","",[8]道具信息!M396)</f>
        <v/>
      </c>
      <c r="N396" s="39" t="str">
        <f>IF([8]道具信息!N396="","",[8]道具信息!N396)</f>
        <v/>
      </c>
      <c r="O396" s="39" t="str">
        <f>IF([8]道具信息!O396="","",[8]道具信息!O396)</f>
        <v/>
      </c>
      <c r="P396" s="39" t="str">
        <f>IF([8]道具信息!P396="","",[8]道具信息!P396)</f>
        <v/>
      </c>
      <c r="Q396" s="39" t="str">
        <f>IF([8]道具信息!Q396="","",[8]道具信息!Q396)</f>
        <v/>
      </c>
      <c r="R396" s="39" t="str">
        <f>IF([8]道具信息!R396="","",[8]道具信息!R396)</f>
        <v/>
      </c>
      <c r="S396" s="39" t="str">
        <f>IF([8]道具信息!S396="","",[8]道具信息!S396)</f>
        <v/>
      </c>
      <c r="T396" s="39" t="str">
        <f>IF([8]道具信息!T396="","",[8]道具信息!T396)</f>
        <v/>
      </c>
      <c r="U396" s="39" t="str">
        <f>IF([8]道具信息!U396="","",[8]道具信息!U396)</f>
        <v/>
      </c>
      <c r="V396" s="39" t="str">
        <f>IF([8]道具信息!V396="","",[8]道具信息!V396)</f>
        <v/>
      </c>
      <c r="W396" s="39" t="str">
        <f>IF([8]道具信息!W396="","",[8]道具信息!W396)</f>
        <v/>
      </c>
      <c r="X396" s="39" t="str">
        <f>IF([8]道具信息!X396="","",[8]道具信息!X396)</f>
        <v/>
      </c>
      <c r="Y396" s="39" t="str">
        <f>IF([8]道具信息!Y396="","",[8]道具信息!Y396)</f>
        <v/>
      </c>
      <c r="Z396" s="39" t="str">
        <f>IF([8]道具信息!Z396="","",[8]道具信息!Z396)</f>
        <v/>
      </c>
    </row>
    <row r="397" spans="1:26" x14ac:dyDescent="0.15">
      <c r="A397" s="39" t="str">
        <f>IF([8]道具信息!A397="","",[8]道具信息!A397)</f>
        <v/>
      </c>
      <c r="B397" s="39" t="str">
        <f>IF([8]道具信息!B397="","",[8]道具信息!B397)</f>
        <v/>
      </c>
      <c r="C397" s="39">
        <f>IF([8]道具信息!C397="","",[8]道具信息!C397)</f>
        <v>23008</v>
      </c>
      <c r="D397" s="39" t="str">
        <f>IF([8]道具信息!D397="","",[8]道具信息!D397)</f>
        <v>橙色弓将自选宝箱</v>
      </c>
      <c r="E397" s="39">
        <f>IF([8]道具信息!E397="","",[8]道具信息!E397)</f>
        <v>4800</v>
      </c>
      <c r="F397" s="39">
        <f>IF([8]道具信息!F397="","",[8]道具信息!F397)</f>
        <v>1</v>
      </c>
      <c r="G397" s="39">
        <f>IF([8]道具信息!G397="","",[8]道具信息!G397)</f>
        <v>1</v>
      </c>
      <c r="H397" s="39">
        <f>IF([8]道具信息!H397="","",[8]道具信息!H397)</f>
        <v>1</v>
      </c>
      <c r="I397" s="39">
        <f>IF([8]道具信息!I397="","",[8]道具信息!I397)</f>
        <v>4800</v>
      </c>
      <c r="J397" s="39">
        <f>IF([8]道具信息!J397="","",[8]道具信息!J397)</f>
        <v>4800</v>
      </c>
      <c r="K397" s="39">
        <f>IF([8]道具信息!K397="","",[8]道具信息!K397)</f>
        <v>4800</v>
      </c>
      <c r="L397" s="39" t="str">
        <f>IF([8]道具信息!L397="","",[8]道具信息!L397)</f>
        <v>使用后选择获得一个橙色弓将</v>
      </c>
      <c r="M397" s="39" t="str">
        <f>IF([8]道具信息!M397="","",[8]道具信息!M397)</f>
        <v/>
      </c>
      <c r="N397" s="39" t="str">
        <f>IF([8]道具信息!N397="","",[8]道具信息!N397)</f>
        <v/>
      </c>
      <c r="O397" s="39" t="str">
        <f>IF([8]道具信息!O397="","",[8]道具信息!O397)</f>
        <v/>
      </c>
      <c r="P397" s="39" t="str">
        <f>IF([8]道具信息!P397="","",[8]道具信息!P397)</f>
        <v/>
      </c>
      <c r="Q397" s="39" t="str">
        <f>IF([8]道具信息!Q397="","",[8]道具信息!Q397)</f>
        <v/>
      </c>
      <c r="R397" s="39" t="str">
        <f>IF([8]道具信息!R397="","",[8]道具信息!R397)</f>
        <v/>
      </c>
      <c r="S397" s="39" t="str">
        <f>IF([8]道具信息!S397="","",[8]道具信息!S397)</f>
        <v/>
      </c>
      <c r="T397" s="39" t="str">
        <f>IF([8]道具信息!T397="","",[8]道具信息!T397)</f>
        <v/>
      </c>
      <c r="U397" s="39" t="str">
        <f>IF([8]道具信息!U397="","",[8]道具信息!U397)</f>
        <v/>
      </c>
      <c r="V397" s="39" t="str">
        <f>IF([8]道具信息!V397="","",[8]道具信息!V397)</f>
        <v/>
      </c>
      <c r="W397" s="39" t="str">
        <f>IF([8]道具信息!W397="","",[8]道具信息!W397)</f>
        <v/>
      </c>
      <c r="X397" s="39" t="str">
        <f>IF([8]道具信息!X397="","",[8]道具信息!X397)</f>
        <v/>
      </c>
      <c r="Y397" s="39" t="str">
        <f>IF([8]道具信息!Y397="","",[8]道具信息!Y397)</f>
        <v/>
      </c>
      <c r="Z397" s="39" t="str">
        <f>IF([8]道具信息!Z397="","",[8]道具信息!Z397)</f>
        <v/>
      </c>
    </row>
    <row r="398" spans="1:26" x14ac:dyDescent="0.15">
      <c r="A398" s="39" t="str">
        <f>IF([8]道具信息!A398="","",[8]道具信息!A398)</f>
        <v/>
      </c>
      <c r="B398" s="39" t="str">
        <f>IF([8]道具信息!B398="","",[8]道具信息!B398)</f>
        <v/>
      </c>
      <c r="C398" s="39">
        <f>IF([8]道具信息!C398="","",[8]道具信息!C398)</f>
        <v>23009</v>
      </c>
      <c r="D398" s="39" t="str">
        <f>IF([8]道具信息!D398="","",[8]道具信息!D398)</f>
        <v>红色弓将自选宝箱</v>
      </c>
      <c r="E398" s="39">
        <f>IF([8]道具信息!E398="","",[8]道具信息!E398)</f>
        <v>14400</v>
      </c>
      <c r="F398" s="39">
        <f>IF([8]道具信息!F398="","",[8]道具信息!F398)</f>
        <v>1</v>
      </c>
      <c r="G398" s="39">
        <f>IF([8]道具信息!G398="","",[8]道具信息!G398)</f>
        <v>1</v>
      </c>
      <c r="H398" s="39">
        <f>IF([8]道具信息!H398="","",[8]道具信息!H398)</f>
        <v>1</v>
      </c>
      <c r="I398" s="39">
        <f>IF([8]道具信息!I398="","",[8]道具信息!I398)</f>
        <v>14400</v>
      </c>
      <c r="J398" s="39">
        <f>IF([8]道具信息!J398="","",[8]道具信息!J398)</f>
        <v>14400</v>
      </c>
      <c r="K398" s="39">
        <f>IF([8]道具信息!K398="","",[8]道具信息!K398)</f>
        <v>14400</v>
      </c>
      <c r="L398" s="39" t="str">
        <f>IF([8]道具信息!L398="","",[8]道具信息!L398)</f>
        <v>使用后选择获得一个红色弓将</v>
      </c>
      <c r="M398" s="39" t="str">
        <f>IF([8]道具信息!M398="","",[8]道具信息!M398)</f>
        <v/>
      </c>
      <c r="N398" s="39" t="str">
        <f>IF([8]道具信息!N398="","",[8]道具信息!N398)</f>
        <v/>
      </c>
      <c r="O398" s="39" t="str">
        <f>IF([8]道具信息!O398="","",[8]道具信息!O398)</f>
        <v/>
      </c>
      <c r="P398" s="39" t="str">
        <f>IF([8]道具信息!P398="","",[8]道具信息!P398)</f>
        <v/>
      </c>
      <c r="Q398" s="39" t="str">
        <f>IF([8]道具信息!Q398="","",[8]道具信息!Q398)</f>
        <v/>
      </c>
      <c r="R398" s="39" t="str">
        <f>IF([8]道具信息!R398="","",[8]道具信息!R398)</f>
        <v/>
      </c>
      <c r="S398" s="39" t="str">
        <f>IF([8]道具信息!S398="","",[8]道具信息!S398)</f>
        <v/>
      </c>
      <c r="T398" s="39" t="str">
        <f>IF([8]道具信息!T398="","",[8]道具信息!T398)</f>
        <v/>
      </c>
      <c r="U398" s="39" t="str">
        <f>IF([8]道具信息!U398="","",[8]道具信息!U398)</f>
        <v/>
      </c>
      <c r="V398" s="39" t="str">
        <f>IF([8]道具信息!V398="","",[8]道具信息!V398)</f>
        <v/>
      </c>
      <c r="W398" s="39" t="str">
        <f>IF([8]道具信息!W398="","",[8]道具信息!W398)</f>
        <v/>
      </c>
      <c r="X398" s="39" t="str">
        <f>IF([8]道具信息!X398="","",[8]道具信息!X398)</f>
        <v/>
      </c>
      <c r="Y398" s="39" t="str">
        <f>IF([8]道具信息!Y398="","",[8]道具信息!Y398)</f>
        <v/>
      </c>
      <c r="Z398" s="39" t="str">
        <f>IF([8]道具信息!Z398="","",[8]道具信息!Z398)</f>
        <v/>
      </c>
    </row>
    <row r="399" spans="1:26" x14ac:dyDescent="0.15">
      <c r="A399" s="39" t="str">
        <f>IF([8]道具信息!A399="","",[8]道具信息!A399)</f>
        <v/>
      </c>
      <c r="B399" s="39" t="str">
        <f>IF([8]道具信息!B399="","",[8]道具信息!B399)</f>
        <v/>
      </c>
      <c r="C399" s="39">
        <f>IF([8]道具信息!C399="","",[8]道具信息!C399)</f>
        <v>23010</v>
      </c>
      <c r="D399" s="39" t="str">
        <f>IF([8]道具信息!D399="","",[8]道具信息!D399)</f>
        <v>君主自选宝箱</v>
      </c>
      <c r="E399" s="39">
        <f>IF([8]道具信息!E399="","",[8]道具信息!E399)</f>
        <v>4800</v>
      </c>
      <c r="F399" s="39">
        <f>IF([8]道具信息!F399="","",[8]道具信息!F399)</f>
        <v>1</v>
      </c>
      <c r="G399" s="39">
        <f>IF([8]道具信息!G399="","",[8]道具信息!G399)</f>
        <v>1</v>
      </c>
      <c r="H399" s="39">
        <f>IF([8]道具信息!H399="","",[8]道具信息!H399)</f>
        <v>1</v>
      </c>
      <c r="I399" s="39">
        <f>IF([8]道具信息!I399="","",[8]道具信息!I399)</f>
        <v>4800</v>
      </c>
      <c r="J399" s="39">
        <f>IF([8]道具信息!J399="","",[8]道具信息!J399)</f>
        <v>4800</v>
      </c>
      <c r="K399" s="39">
        <f>IF([8]道具信息!K399="","",[8]道具信息!K399)</f>
        <v>4800</v>
      </c>
      <c r="L399" s="39" t="str">
        <f>IF([8]道具信息!L399="","",[8]道具信息!L399)</f>
        <v>使用后选择获得一个君主武将</v>
      </c>
      <c r="M399" s="39" t="str">
        <f>IF([8]道具信息!M399="","",[8]道具信息!M399)</f>
        <v/>
      </c>
      <c r="N399" s="39" t="str">
        <f>IF([8]道具信息!N399="","",[8]道具信息!N399)</f>
        <v/>
      </c>
      <c r="O399" s="39" t="str">
        <f>IF([8]道具信息!O399="","",[8]道具信息!O399)</f>
        <v/>
      </c>
      <c r="P399" s="39" t="str">
        <f>IF([8]道具信息!P399="","",[8]道具信息!P399)</f>
        <v/>
      </c>
      <c r="Q399" s="39" t="str">
        <f>IF([8]道具信息!Q399="","",[8]道具信息!Q399)</f>
        <v/>
      </c>
      <c r="R399" s="39" t="str">
        <f>IF([8]道具信息!R399="","",[8]道具信息!R399)</f>
        <v/>
      </c>
      <c r="S399" s="39" t="str">
        <f>IF([8]道具信息!S399="","",[8]道具信息!S399)</f>
        <v/>
      </c>
      <c r="T399" s="39" t="str">
        <f>IF([8]道具信息!T399="","",[8]道具信息!T399)</f>
        <v/>
      </c>
      <c r="U399" s="39" t="str">
        <f>IF([8]道具信息!U399="","",[8]道具信息!U399)</f>
        <v/>
      </c>
      <c r="V399" s="39" t="str">
        <f>IF([8]道具信息!V399="","",[8]道具信息!V399)</f>
        <v/>
      </c>
      <c r="W399" s="39" t="str">
        <f>IF([8]道具信息!W399="","",[8]道具信息!W399)</f>
        <v/>
      </c>
      <c r="X399" s="39" t="str">
        <f>IF([8]道具信息!X399="","",[8]道具信息!X399)</f>
        <v/>
      </c>
      <c r="Y399" s="39" t="str">
        <f>IF([8]道具信息!Y399="","",[8]道具信息!Y399)</f>
        <v/>
      </c>
      <c r="Z399" s="39" t="str">
        <f>IF([8]道具信息!Z399="","",[8]道具信息!Z399)</f>
        <v/>
      </c>
    </row>
    <row r="400" spans="1:26" x14ac:dyDescent="0.15">
      <c r="A400" s="39" t="str">
        <f>IF([8]道具信息!A400="","",[8]道具信息!A400)</f>
        <v/>
      </c>
      <c r="B400" s="39" t="str">
        <f>IF([8]道具信息!B400="","",[8]道具信息!B400)</f>
        <v/>
      </c>
      <c r="C400" s="39">
        <f>IF([8]道具信息!C400="","",[8]道具信息!C400)</f>
        <v>23011</v>
      </c>
      <c r="D400" s="39" t="str">
        <f>IF([8]道具信息!D400="","",[8]道具信息!D400)</f>
        <v>紫色武将随机宝箱</v>
      </c>
      <c r="E400" s="39">
        <f>IF([8]道具信息!E400="","",[8]道具信息!E400)</f>
        <v>400</v>
      </c>
      <c r="F400" s="39">
        <f>IF([8]道具信息!F400="","",[8]道具信息!F400)</f>
        <v>1</v>
      </c>
      <c r="G400" s="39">
        <f>IF([8]道具信息!G400="","",[8]道具信息!G400)</f>
        <v>1</v>
      </c>
      <c r="H400" s="39">
        <f>IF([8]道具信息!H400="","",[8]道具信息!H400)</f>
        <v>1</v>
      </c>
      <c r="I400" s="39">
        <f>IF([8]道具信息!I400="","",[8]道具信息!I400)</f>
        <v>400</v>
      </c>
      <c r="J400" s="39">
        <f>IF([8]道具信息!J400="","",[8]道具信息!J400)</f>
        <v>400</v>
      </c>
      <c r="K400" s="39">
        <f>IF([8]道具信息!K400="","",[8]道具信息!K400)</f>
        <v>400</v>
      </c>
      <c r="L400" s="39" t="str">
        <f>IF([8]道具信息!L400="","",[8]道具信息!L400)</f>
        <v>使用后随机获得一个紫色武将</v>
      </c>
      <c r="M400" s="39" t="str">
        <f>IF([8]道具信息!M400="","",[8]道具信息!M400)</f>
        <v/>
      </c>
      <c r="N400" s="39" t="str">
        <f>IF([8]道具信息!N400="","",[8]道具信息!N400)</f>
        <v/>
      </c>
      <c r="O400" s="39" t="str">
        <f>IF([8]道具信息!O400="","",[8]道具信息!O400)</f>
        <v/>
      </c>
      <c r="P400" s="39" t="str">
        <f>IF([8]道具信息!P400="","",[8]道具信息!P400)</f>
        <v/>
      </c>
      <c r="Q400" s="39" t="str">
        <f>IF([8]道具信息!Q400="","",[8]道具信息!Q400)</f>
        <v/>
      </c>
      <c r="R400" s="39" t="str">
        <f>IF([8]道具信息!R400="","",[8]道具信息!R400)</f>
        <v/>
      </c>
      <c r="S400" s="39" t="str">
        <f>IF([8]道具信息!S400="","",[8]道具信息!S400)</f>
        <v/>
      </c>
      <c r="T400" s="39" t="str">
        <f>IF([8]道具信息!T400="","",[8]道具信息!T400)</f>
        <v/>
      </c>
      <c r="U400" s="39" t="str">
        <f>IF([8]道具信息!U400="","",[8]道具信息!U400)</f>
        <v/>
      </c>
      <c r="V400" s="39" t="str">
        <f>IF([8]道具信息!V400="","",[8]道具信息!V400)</f>
        <v/>
      </c>
      <c r="W400" s="39" t="str">
        <f>IF([8]道具信息!W400="","",[8]道具信息!W400)</f>
        <v/>
      </c>
      <c r="X400" s="39" t="str">
        <f>IF([8]道具信息!X400="","",[8]道具信息!X400)</f>
        <v/>
      </c>
      <c r="Y400" s="39" t="str">
        <f>IF([8]道具信息!Y400="","",[8]道具信息!Y400)</f>
        <v/>
      </c>
      <c r="Z400" s="39" t="str">
        <f>IF([8]道具信息!Z400="","",[8]道具信息!Z400)</f>
        <v/>
      </c>
    </row>
    <row r="401" spans="1:26" x14ac:dyDescent="0.15">
      <c r="A401" s="39" t="str">
        <f>IF([8]道具信息!A401="","",[8]道具信息!A401)</f>
        <v/>
      </c>
      <c r="B401" s="39" t="str">
        <f>IF([8]道具信息!B401="","",[8]道具信息!B401)</f>
        <v/>
      </c>
      <c r="C401" s="39">
        <f>IF([8]道具信息!C401="","",[8]道具信息!C401)</f>
        <v>23012</v>
      </c>
      <c r="D401" s="39" t="str">
        <f>IF([8]道具信息!D401="","",[8]道具信息!D401)</f>
        <v>橙色武将随机宝箱</v>
      </c>
      <c r="E401" s="39">
        <f>IF([8]道具信息!E401="","",[8]道具信息!E401)</f>
        <v>1800</v>
      </c>
      <c r="F401" s="39">
        <f>IF([8]道具信息!F401="","",[8]道具信息!F401)</f>
        <v>1</v>
      </c>
      <c r="G401" s="39">
        <f>IF([8]道具信息!G401="","",[8]道具信息!G401)</f>
        <v>1</v>
      </c>
      <c r="H401" s="39">
        <f>IF([8]道具信息!H401="","",[8]道具信息!H401)</f>
        <v>1</v>
      </c>
      <c r="I401" s="39">
        <f>IF([8]道具信息!I401="","",[8]道具信息!I401)</f>
        <v>1800</v>
      </c>
      <c r="J401" s="39">
        <f>IF([8]道具信息!J401="","",[8]道具信息!J401)</f>
        <v>1800</v>
      </c>
      <c r="K401" s="39">
        <f>IF([8]道具信息!K401="","",[8]道具信息!K401)</f>
        <v>1800</v>
      </c>
      <c r="L401" s="39" t="str">
        <f>IF([8]道具信息!L401="","",[8]道具信息!L401)</f>
        <v>使用后随机获得一个橙色武将</v>
      </c>
      <c r="M401" s="39" t="str">
        <f>IF([8]道具信息!M401="","",[8]道具信息!M401)</f>
        <v/>
      </c>
      <c r="N401" s="39" t="str">
        <f>IF([8]道具信息!N401="","",[8]道具信息!N401)</f>
        <v/>
      </c>
      <c r="O401" s="39" t="str">
        <f>IF([8]道具信息!O401="","",[8]道具信息!O401)</f>
        <v/>
      </c>
      <c r="P401" s="39" t="str">
        <f>IF([8]道具信息!P401="","",[8]道具信息!P401)</f>
        <v/>
      </c>
      <c r="Q401" s="39" t="str">
        <f>IF([8]道具信息!Q401="","",[8]道具信息!Q401)</f>
        <v/>
      </c>
      <c r="R401" s="39" t="str">
        <f>IF([8]道具信息!R401="","",[8]道具信息!R401)</f>
        <v/>
      </c>
      <c r="S401" s="39" t="str">
        <f>IF([8]道具信息!S401="","",[8]道具信息!S401)</f>
        <v/>
      </c>
      <c r="T401" s="39" t="str">
        <f>IF([8]道具信息!T401="","",[8]道具信息!T401)</f>
        <v/>
      </c>
      <c r="U401" s="39" t="str">
        <f>IF([8]道具信息!U401="","",[8]道具信息!U401)</f>
        <v/>
      </c>
      <c r="V401" s="39" t="str">
        <f>IF([8]道具信息!V401="","",[8]道具信息!V401)</f>
        <v/>
      </c>
      <c r="W401" s="39" t="str">
        <f>IF([8]道具信息!W401="","",[8]道具信息!W401)</f>
        <v/>
      </c>
      <c r="X401" s="39" t="str">
        <f>IF([8]道具信息!X401="","",[8]道具信息!X401)</f>
        <v/>
      </c>
      <c r="Y401" s="39" t="str">
        <f>IF([8]道具信息!Y401="","",[8]道具信息!Y401)</f>
        <v/>
      </c>
      <c r="Z401" s="39" t="str">
        <f>IF([8]道具信息!Z401="","",[8]道具信息!Z401)</f>
        <v/>
      </c>
    </row>
    <row r="402" spans="1:26" x14ac:dyDescent="0.15">
      <c r="A402" s="39" t="str">
        <f>IF([8]道具信息!A402="","",[8]道具信息!A402)</f>
        <v/>
      </c>
      <c r="B402" s="39" t="str">
        <f>IF([8]道具信息!B402="","",[8]道具信息!B402)</f>
        <v/>
      </c>
      <c r="C402" s="39">
        <f>IF([8]道具信息!C402="","",[8]道具信息!C402)</f>
        <v>23013</v>
      </c>
      <c r="D402" s="39" t="str">
        <f>IF([8]道具信息!D402="","",[8]道具信息!D402)</f>
        <v>红色武将随机宝箱</v>
      </c>
      <c r="E402" s="39">
        <f>IF([8]道具信息!E402="","",[8]道具信息!E402)</f>
        <v>14400</v>
      </c>
      <c r="F402" s="39">
        <f>IF([8]道具信息!F402="","",[8]道具信息!F402)</f>
        <v>1</v>
      </c>
      <c r="G402" s="39">
        <f>IF([8]道具信息!G402="","",[8]道具信息!G402)</f>
        <v>1</v>
      </c>
      <c r="H402" s="39">
        <f>IF([8]道具信息!H402="","",[8]道具信息!H402)</f>
        <v>1</v>
      </c>
      <c r="I402" s="39">
        <f>IF([8]道具信息!I402="","",[8]道具信息!I402)</f>
        <v>14400</v>
      </c>
      <c r="J402" s="39">
        <f>IF([8]道具信息!J402="","",[8]道具信息!J402)</f>
        <v>14400</v>
      </c>
      <c r="K402" s="39">
        <f>IF([8]道具信息!K402="","",[8]道具信息!K402)</f>
        <v>14400</v>
      </c>
      <c r="L402" s="39" t="str">
        <f>IF([8]道具信息!L402="","",[8]道具信息!L402)</f>
        <v>使用后随机获得一个红色武将</v>
      </c>
      <c r="M402" s="39" t="str">
        <f>IF([8]道具信息!M402="","",[8]道具信息!M402)</f>
        <v/>
      </c>
      <c r="N402" s="39" t="str">
        <f>IF([8]道具信息!N402="","",[8]道具信息!N402)</f>
        <v/>
      </c>
      <c r="O402" s="39" t="str">
        <f>IF([8]道具信息!O402="","",[8]道具信息!O402)</f>
        <v/>
      </c>
      <c r="P402" s="39" t="str">
        <f>IF([8]道具信息!P402="","",[8]道具信息!P402)</f>
        <v/>
      </c>
      <c r="Q402" s="39" t="str">
        <f>IF([8]道具信息!Q402="","",[8]道具信息!Q402)</f>
        <v/>
      </c>
      <c r="R402" s="39" t="str">
        <f>IF([8]道具信息!R402="","",[8]道具信息!R402)</f>
        <v/>
      </c>
      <c r="S402" s="39" t="str">
        <f>IF([8]道具信息!S402="","",[8]道具信息!S402)</f>
        <v/>
      </c>
      <c r="T402" s="39" t="str">
        <f>IF([8]道具信息!T402="","",[8]道具信息!T402)</f>
        <v/>
      </c>
      <c r="U402" s="39" t="str">
        <f>IF([8]道具信息!U402="","",[8]道具信息!U402)</f>
        <v/>
      </c>
      <c r="V402" s="39" t="str">
        <f>IF([8]道具信息!V402="","",[8]道具信息!V402)</f>
        <v/>
      </c>
      <c r="W402" s="39" t="str">
        <f>IF([8]道具信息!W402="","",[8]道具信息!W402)</f>
        <v/>
      </c>
      <c r="X402" s="39" t="str">
        <f>IF([8]道具信息!X402="","",[8]道具信息!X402)</f>
        <v/>
      </c>
      <c r="Y402" s="39" t="str">
        <f>IF([8]道具信息!Y402="","",[8]道具信息!Y402)</f>
        <v/>
      </c>
      <c r="Z402" s="39" t="str">
        <f>IF([8]道具信息!Z402="","",[8]道具信息!Z402)</f>
        <v/>
      </c>
    </row>
    <row r="403" spans="1:26" x14ac:dyDescent="0.15">
      <c r="A403" s="39" t="str">
        <f>IF([8]道具信息!A403="","",[8]道具信息!A403)</f>
        <v/>
      </c>
      <c r="B403" s="39" t="str">
        <f>IF([8]道具信息!B403="","",[8]道具信息!B403)</f>
        <v/>
      </c>
      <c r="C403" s="39" t="str">
        <f>IF([8]道具信息!C403="","",[8]道具信息!C403)</f>
        <v/>
      </c>
      <c r="D403" s="39" t="str">
        <f>IF([8]道具信息!D403="","",[8]道具信息!D403)</f>
        <v/>
      </c>
      <c r="E403" s="39" t="str">
        <f>IF([8]道具信息!E403="","",[8]道具信息!E403)</f>
        <v/>
      </c>
      <c r="F403" s="39" t="str">
        <f>IF([8]道具信息!F403="","",[8]道具信息!F403)</f>
        <v/>
      </c>
      <c r="G403" s="39" t="str">
        <f>IF([8]道具信息!G403="","",[8]道具信息!G403)</f>
        <v/>
      </c>
      <c r="H403" s="39" t="str">
        <f>IF([8]道具信息!H403="","",[8]道具信息!H403)</f>
        <v/>
      </c>
      <c r="I403" s="39" t="str">
        <f>IF([8]道具信息!I403="","",[8]道具信息!I403)</f>
        <v/>
      </c>
      <c r="J403" s="39" t="str">
        <f>IF([8]道具信息!J403="","",[8]道具信息!J403)</f>
        <v/>
      </c>
      <c r="K403" s="39" t="str">
        <f>IF([8]道具信息!K403="","",[8]道具信息!K403)</f>
        <v/>
      </c>
      <c r="L403" s="39" t="str">
        <f>IF([8]道具信息!L403="","",[8]道具信息!L403)</f>
        <v/>
      </c>
      <c r="M403" s="39" t="str">
        <f>IF([8]道具信息!M403="","",[8]道具信息!M403)</f>
        <v/>
      </c>
      <c r="N403" s="39" t="str">
        <f>IF([8]道具信息!N403="","",[8]道具信息!N403)</f>
        <v/>
      </c>
      <c r="O403" s="39" t="str">
        <f>IF([8]道具信息!O403="","",[8]道具信息!O403)</f>
        <v/>
      </c>
      <c r="P403" s="39" t="str">
        <f>IF([8]道具信息!P403="","",[8]道具信息!P403)</f>
        <v/>
      </c>
      <c r="Q403" s="39" t="str">
        <f>IF([8]道具信息!Q403="","",[8]道具信息!Q403)</f>
        <v/>
      </c>
      <c r="R403" s="39" t="str">
        <f>IF([8]道具信息!R403="","",[8]道具信息!R403)</f>
        <v/>
      </c>
      <c r="S403" s="39" t="str">
        <f>IF([8]道具信息!S403="","",[8]道具信息!S403)</f>
        <v/>
      </c>
      <c r="T403" s="39" t="str">
        <f>IF([8]道具信息!T403="","",[8]道具信息!T403)</f>
        <v/>
      </c>
      <c r="U403" s="39" t="str">
        <f>IF([8]道具信息!U403="","",[8]道具信息!U403)</f>
        <v/>
      </c>
      <c r="V403" s="39" t="str">
        <f>IF([8]道具信息!V403="","",[8]道具信息!V403)</f>
        <v/>
      </c>
      <c r="W403" s="39" t="str">
        <f>IF([8]道具信息!W403="","",[8]道具信息!W403)</f>
        <v/>
      </c>
      <c r="X403" s="39" t="str">
        <f>IF([8]道具信息!X403="","",[8]道具信息!X403)</f>
        <v/>
      </c>
      <c r="Y403" s="39" t="str">
        <f>IF([8]道具信息!Y403="","",[8]道具信息!Y403)</f>
        <v/>
      </c>
      <c r="Z403" s="39" t="str">
        <f>IF([8]道具信息!Z403="","",[8]道具信息!Z403)</f>
        <v/>
      </c>
    </row>
    <row r="404" spans="1:26" x14ac:dyDescent="0.15">
      <c r="A404" s="39" t="str">
        <f>IF([8]道具信息!A404="","",[8]道具信息!A404)</f>
        <v/>
      </c>
      <c r="B404" s="39" t="str">
        <f>IF([8]道具信息!B404="","",[8]道具信息!B404)</f>
        <v/>
      </c>
      <c r="C404" s="39">
        <f>IF([8]道具信息!C404="","",[8]道具信息!C404)</f>
        <v>23014</v>
      </c>
      <c r="D404" s="39" t="str">
        <f>IF([8]道具信息!D404="","",[8]道具信息!D404)</f>
        <v>橙色武将自选宝箱碎片</v>
      </c>
      <c r="E404" s="39">
        <f>IF([8]道具信息!E404="","",[8]道具信息!E404)</f>
        <v>160</v>
      </c>
      <c r="F404" s="39">
        <f>IF([8]道具信息!F404="","",[8]道具信息!F404)</f>
        <v>1</v>
      </c>
      <c r="G404" s="39">
        <f>IF([8]道具信息!G404="","",[8]道具信息!G404)</f>
        <v>1</v>
      </c>
      <c r="H404" s="39">
        <f>IF([8]道具信息!H404="","",[8]道具信息!H404)</f>
        <v>1</v>
      </c>
      <c r="I404" s="39">
        <f>IF([8]道具信息!I404="","",[8]道具信息!I404)</f>
        <v>160</v>
      </c>
      <c r="J404" s="39">
        <f>IF([8]道具信息!J404="","",[8]道具信息!J404)</f>
        <v>160</v>
      </c>
      <c r="K404" s="39">
        <f>IF([8]道具信息!K404="","",[8]道具信息!K404)</f>
        <v>160</v>
      </c>
      <c r="L404" s="39" t="str">
        <f>IF([8]道具信息!L404="","",[8]道具信息!L404)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4" s="39" t="str">
        <f>IF([8]道具信息!M404="","",[8]道具信息!M404)</f>
        <v/>
      </c>
      <c r="N404" s="39" t="str">
        <f>IF([8]道具信息!N404="","",[8]道具信息!N404)</f>
        <v/>
      </c>
      <c r="O404" s="39" t="str">
        <f>IF([8]道具信息!O404="","",[8]道具信息!O404)</f>
        <v/>
      </c>
      <c r="P404" s="39" t="str">
        <f>IF([8]道具信息!P404="","",[8]道具信息!P404)</f>
        <v/>
      </c>
      <c r="Q404" s="39" t="str">
        <f>IF([8]道具信息!Q404="","",[8]道具信息!Q404)</f>
        <v/>
      </c>
      <c r="R404" s="39" t="str">
        <f>IF([8]道具信息!R404="","",[8]道具信息!R404)</f>
        <v/>
      </c>
      <c r="S404" s="39" t="str">
        <f>IF([8]道具信息!S404="","",[8]道具信息!S404)</f>
        <v/>
      </c>
      <c r="T404" s="39" t="str">
        <f>IF([8]道具信息!T404="","",[8]道具信息!T404)</f>
        <v/>
      </c>
      <c r="U404" s="39" t="str">
        <f>IF([8]道具信息!U404="","",[8]道具信息!U404)</f>
        <v/>
      </c>
      <c r="V404" s="39" t="str">
        <f>IF([8]道具信息!V404="","",[8]道具信息!V404)</f>
        <v/>
      </c>
      <c r="W404" s="39" t="str">
        <f>IF([8]道具信息!W404="","",[8]道具信息!W404)</f>
        <v/>
      </c>
      <c r="X404" s="39" t="str">
        <f>IF([8]道具信息!X404="","",[8]道具信息!X404)</f>
        <v/>
      </c>
      <c r="Y404" s="39" t="str">
        <f>IF([8]道具信息!Y404="","",[8]道具信息!Y404)</f>
        <v/>
      </c>
      <c r="Z404" s="39" t="str">
        <f>IF([8]道具信息!Z404="","",[8]道具信息!Z404)</f>
        <v/>
      </c>
    </row>
    <row r="405" spans="1:26" x14ac:dyDescent="0.15">
      <c r="A405" s="39" t="str">
        <f>IF([8]道具信息!A405="","",[8]道具信息!A405)</f>
        <v/>
      </c>
      <c r="B405" s="39" t="str">
        <f>IF([8]道具信息!B405="","",[8]道具信息!B405)</f>
        <v/>
      </c>
      <c r="C405" s="39">
        <f>IF([8]道具信息!C405="","",[8]道具信息!C405)</f>
        <v>23015</v>
      </c>
      <c r="D405" s="39" t="str">
        <f>IF([8]道具信息!D405="","",[8]道具信息!D405)</f>
        <v>橙色武将随机宝箱碎片</v>
      </c>
      <c r="E405" s="39">
        <f>IF([8]道具信息!E405="","",[8]道具信息!E405)</f>
        <v>60</v>
      </c>
      <c r="F405" s="39">
        <f>IF([8]道具信息!F405="","",[8]道具信息!F405)</f>
        <v>1</v>
      </c>
      <c r="G405" s="39">
        <f>IF([8]道具信息!G405="","",[8]道具信息!G405)</f>
        <v>1</v>
      </c>
      <c r="H405" s="39">
        <f>IF([8]道具信息!H405="","",[8]道具信息!H405)</f>
        <v>1</v>
      </c>
      <c r="I405" s="39">
        <f>IF([8]道具信息!I405="","",[8]道具信息!I405)</f>
        <v>60</v>
      </c>
      <c r="J405" s="39">
        <f>IF([8]道具信息!J405="","",[8]道具信息!J405)</f>
        <v>60</v>
      </c>
      <c r="K405" s="39">
        <f>IF([8]道具信息!K405="","",[8]道具信息!K405)</f>
        <v>60</v>
      </c>
      <c r="L405" s="39" t="str">
        <f>IF([8]道具信息!L405="","",[8]道具信息!L405)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5" s="39" t="str">
        <f>IF([8]道具信息!M405="","",[8]道具信息!M405)</f>
        <v/>
      </c>
      <c r="N405" s="39" t="str">
        <f>IF([8]道具信息!N405="","",[8]道具信息!N405)</f>
        <v/>
      </c>
      <c r="O405" s="39" t="str">
        <f>IF([8]道具信息!O405="","",[8]道具信息!O405)</f>
        <v/>
      </c>
      <c r="P405" s="39" t="str">
        <f>IF([8]道具信息!P405="","",[8]道具信息!P405)</f>
        <v/>
      </c>
      <c r="Q405" s="39" t="str">
        <f>IF([8]道具信息!Q405="","",[8]道具信息!Q405)</f>
        <v/>
      </c>
      <c r="R405" s="39" t="str">
        <f>IF([8]道具信息!R405="","",[8]道具信息!R405)</f>
        <v/>
      </c>
      <c r="S405" s="39" t="str">
        <f>IF([8]道具信息!S405="","",[8]道具信息!S405)</f>
        <v/>
      </c>
      <c r="T405" s="39" t="str">
        <f>IF([8]道具信息!T405="","",[8]道具信息!T405)</f>
        <v/>
      </c>
      <c r="U405" s="39" t="str">
        <f>IF([8]道具信息!U405="","",[8]道具信息!U405)</f>
        <v/>
      </c>
      <c r="V405" s="39" t="str">
        <f>IF([8]道具信息!V405="","",[8]道具信息!V405)</f>
        <v/>
      </c>
      <c r="W405" s="39" t="str">
        <f>IF([8]道具信息!W405="","",[8]道具信息!W405)</f>
        <v/>
      </c>
      <c r="X405" s="39" t="str">
        <f>IF([8]道具信息!X405="","",[8]道具信息!X405)</f>
        <v/>
      </c>
      <c r="Y405" s="39" t="str">
        <f>IF([8]道具信息!Y405="","",[8]道具信息!Y405)</f>
        <v/>
      </c>
      <c r="Z405" s="39" t="str">
        <f>IF([8]道具信息!Z405="","",[8]道具信息!Z405)</f>
        <v/>
      </c>
    </row>
    <row r="406" spans="1:26" x14ac:dyDescent="0.15">
      <c r="A406" s="39" t="str">
        <f>IF([8]道具信息!A406="","",[8]道具信息!A406)</f>
        <v/>
      </c>
      <c r="B406" s="39" t="str">
        <f>IF([8]道具信息!B406="","",[8]道具信息!B406)</f>
        <v/>
      </c>
      <c r="C406" s="39">
        <f>IF([8]道具信息!C406="","",[8]道具信息!C406)</f>
        <v>23016</v>
      </c>
      <c r="D406" s="39" t="str">
        <f>IF([8]道具信息!D406="","",[8]道具信息!D406)</f>
        <v>紫色武将随机宝箱碎片</v>
      </c>
      <c r="E406" s="39">
        <f>IF([8]道具信息!E406="","",[8]道具信息!E406)</f>
        <v>36</v>
      </c>
      <c r="F406" s="39">
        <f>IF([8]道具信息!F406="","",[8]道具信息!F406)</f>
        <v>1</v>
      </c>
      <c r="G406" s="39">
        <f>IF([8]道具信息!G406="","",[8]道具信息!G406)</f>
        <v>1</v>
      </c>
      <c r="H406" s="39">
        <f>IF([8]道具信息!H406="","",[8]道具信息!H406)</f>
        <v>1</v>
      </c>
      <c r="I406" s="39">
        <f>IF([8]道具信息!I406="","",[8]道具信息!I406)</f>
        <v>36</v>
      </c>
      <c r="J406" s="39">
        <f>IF([8]道具信息!J406="","",[8]道具信息!J406)</f>
        <v>36</v>
      </c>
      <c r="K406" s="39">
        <f>IF([8]道具信息!K406="","",[8]道具信息!K406)</f>
        <v>36</v>
      </c>
      <c r="L406" s="39" t="str">
        <f>IF([8]道具信息!L406="","",[8]道具信息!L406)</f>
        <v>集齐10个碎片可以合成，随机获得下列武将中的一个：\n聂荌、专诸、钟无艳、田忌、春申君、莫邪、孙叔敖、西门豹、暴鸢、秦开</v>
      </c>
      <c r="M406" s="39" t="str">
        <f>IF([8]道具信息!M406="","",[8]道具信息!M406)</f>
        <v/>
      </c>
      <c r="N406" s="39" t="str">
        <f>IF([8]道具信息!N406="","",[8]道具信息!N406)</f>
        <v/>
      </c>
      <c r="O406" s="39" t="str">
        <f>IF([8]道具信息!O406="","",[8]道具信息!O406)</f>
        <v/>
      </c>
      <c r="P406" s="39" t="str">
        <f>IF([8]道具信息!P406="","",[8]道具信息!P406)</f>
        <v/>
      </c>
      <c r="Q406" s="39" t="str">
        <f>IF([8]道具信息!Q406="","",[8]道具信息!Q406)</f>
        <v/>
      </c>
      <c r="R406" s="39" t="str">
        <f>IF([8]道具信息!R406="","",[8]道具信息!R406)</f>
        <v/>
      </c>
      <c r="S406" s="39" t="str">
        <f>IF([8]道具信息!S406="","",[8]道具信息!S406)</f>
        <v/>
      </c>
      <c r="T406" s="39" t="str">
        <f>IF([8]道具信息!T406="","",[8]道具信息!T406)</f>
        <v/>
      </c>
      <c r="U406" s="39" t="str">
        <f>IF([8]道具信息!U406="","",[8]道具信息!U406)</f>
        <v/>
      </c>
      <c r="V406" s="39" t="str">
        <f>IF([8]道具信息!V406="","",[8]道具信息!V406)</f>
        <v/>
      </c>
      <c r="W406" s="39" t="str">
        <f>IF([8]道具信息!W406="","",[8]道具信息!W406)</f>
        <v/>
      </c>
      <c r="X406" s="39" t="str">
        <f>IF([8]道具信息!X406="","",[8]道具信息!X406)</f>
        <v/>
      </c>
      <c r="Y406" s="39" t="str">
        <f>IF([8]道具信息!Y406="","",[8]道具信息!Y406)</f>
        <v/>
      </c>
      <c r="Z406" s="39" t="str">
        <f>IF([8]道具信息!Z406="","",[8]道具信息!Z406)</f>
        <v/>
      </c>
    </row>
    <row r="407" spans="1:26" x14ac:dyDescent="0.15">
      <c r="A407" s="39" t="str">
        <f>IF([8]道具信息!A407="","",[8]道具信息!A407)</f>
        <v/>
      </c>
      <c r="B407" s="39" t="str">
        <f>IF([8]道具信息!B407="","",[8]道具信息!B407)</f>
        <v/>
      </c>
      <c r="C407" s="39" t="str">
        <f>IF([8]道具信息!C407="","",[8]道具信息!C407)</f>
        <v/>
      </c>
      <c r="D407" s="39" t="str">
        <f>IF([8]道具信息!D407="","",[8]道具信息!D407)</f>
        <v/>
      </c>
      <c r="E407" s="39" t="str">
        <f>IF([8]道具信息!E407="","",[8]道具信息!E407)</f>
        <v/>
      </c>
      <c r="F407" s="39" t="str">
        <f>IF([8]道具信息!F407="","",[8]道具信息!F407)</f>
        <v/>
      </c>
      <c r="G407" s="39" t="str">
        <f>IF([8]道具信息!G407="","",[8]道具信息!G407)</f>
        <v/>
      </c>
      <c r="H407" s="39" t="str">
        <f>IF([8]道具信息!H407="","",[8]道具信息!H407)</f>
        <v/>
      </c>
      <c r="I407" s="39" t="str">
        <f>IF([8]道具信息!I407="","",[8]道具信息!I407)</f>
        <v/>
      </c>
      <c r="J407" s="39" t="str">
        <f>IF([8]道具信息!J407="","",[8]道具信息!J407)</f>
        <v/>
      </c>
      <c r="K407" s="39" t="str">
        <f>IF([8]道具信息!K407="","",[8]道具信息!K407)</f>
        <v/>
      </c>
      <c r="L407" s="39" t="str">
        <f>IF([8]道具信息!L407="","",[8]道具信息!L407)</f>
        <v/>
      </c>
      <c r="M407" s="39" t="str">
        <f>IF([8]道具信息!M407="","",[8]道具信息!M407)</f>
        <v/>
      </c>
      <c r="N407" s="39" t="str">
        <f>IF([8]道具信息!N407="","",[8]道具信息!N407)</f>
        <v/>
      </c>
      <c r="O407" s="39" t="str">
        <f>IF([8]道具信息!O407="","",[8]道具信息!O407)</f>
        <v/>
      </c>
      <c r="P407" s="39" t="str">
        <f>IF([8]道具信息!P407="","",[8]道具信息!P407)</f>
        <v/>
      </c>
      <c r="Q407" s="39" t="str">
        <f>IF([8]道具信息!Q407="","",[8]道具信息!Q407)</f>
        <v/>
      </c>
      <c r="R407" s="39" t="str">
        <f>IF([8]道具信息!R407="","",[8]道具信息!R407)</f>
        <v/>
      </c>
      <c r="S407" s="39" t="str">
        <f>IF([8]道具信息!S407="","",[8]道具信息!S407)</f>
        <v/>
      </c>
      <c r="T407" s="39" t="str">
        <f>IF([8]道具信息!T407="","",[8]道具信息!T407)</f>
        <v/>
      </c>
      <c r="U407" s="39" t="str">
        <f>IF([8]道具信息!U407="","",[8]道具信息!U407)</f>
        <v/>
      </c>
      <c r="V407" s="39" t="str">
        <f>IF([8]道具信息!V407="","",[8]道具信息!V407)</f>
        <v/>
      </c>
      <c r="W407" s="39" t="str">
        <f>IF([8]道具信息!W407="","",[8]道具信息!W407)</f>
        <v/>
      </c>
      <c r="X407" s="39" t="str">
        <f>IF([8]道具信息!X407="","",[8]道具信息!X407)</f>
        <v/>
      </c>
      <c r="Y407" s="39" t="str">
        <f>IF([8]道具信息!Y407="","",[8]道具信息!Y407)</f>
        <v/>
      </c>
      <c r="Z407" s="39" t="str">
        <f>IF([8]道具信息!Z407="","",[8]道具信息!Z407)</f>
        <v/>
      </c>
    </row>
    <row r="408" spans="1:26" x14ac:dyDescent="0.15">
      <c r="A408" s="39" t="str">
        <f>IF([8]道具信息!A408="","",[8]道具信息!A408)</f>
        <v/>
      </c>
      <c r="B408" s="39" t="str">
        <f>IF([8]道具信息!B408="","",[8]道具信息!B408)</f>
        <v/>
      </c>
      <c r="C408" s="39" t="str">
        <f>IF([8]道具信息!C408="","",[8]道具信息!C408)</f>
        <v/>
      </c>
      <c r="D408" s="39" t="str">
        <f>IF([8]道具信息!D408="","",[8]道具信息!D408)</f>
        <v>指定绿色装备</v>
      </c>
      <c r="E408" s="39">
        <f>IF([8]道具信息!E408="","",[8]道具信息!E408)</f>
        <v>35</v>
      </c>
      <c r="F408" s="39">
        <f>IF([8]道具信息!F408="","",[8]道具信息!F408)</f>
        <v>1</v>
      </c>
      <c r="G408" s="39">
        <f>IF([8]道具信息!G408="","",[8]道具信息!G408)</f>
        <v>1</v>
      </c>
      <c r="H408" s="39">
        <f>IF([8]道具信息!H408="","",[8]道具信息!H408)</f>
        <v>1</v>
      </c>
      <c r="I408" s="39">
        <f>IF([8]道具信息!I408="","",[8]道具信息!I408)</f>
        <v>35</v>
      </c>
      <c r="J408" s="39">
        <f>IF([8]道具信息!J408="","",[8]道具信息!J408)</f>
        <v>35</v>
      </c>
      <c r="K408" s="39">
        <f>IF([8]道具信息!K408="","",[8]道具信息!K408)</f>
        <v>35</v>
      </c>
      <c r="L408" s="39">
        <f>IF([8]道具信息!L408="","",[8]道具信息!L408)</f>
        <v>1</v>
      </c>
      <c r="M408" s="39" t="str">
        <f>IF([8]道具信息!M408="","",[8]道具信息!M408)</f>
        <v/>
      </c>
      <c r="N408" s="39" t="str">
        <f>IF([8]道具信息!N408="","",[8]道具信息!N408)</f>
        <v/>
      </c>
      <c r="O408" s="39" t="str">
        <f>IF([8]道具信息!O408="","",[8]道具信息!O408)</f>
        <v/>
      </c>
      <c r="P408" s="39" t="str">
        <f>IF([8]道具信息!P408="","",[8]道具信息!P408)</f>
        <v/>
      </c>
      <c r="Q408" s="39" t="str">
        <f>IF([8]道具信息!Q408="","",[8]道具信息!Q408)</f>
        <v/>
      </c>
      <c r="R408" s="39" t="str">
        <f>IF([8]道具信息!R408="","",[8]道具信息!R408)</f>
        <v/>
      </c>
      <c r="S408" s="39" t="str">
        <f>IF([8]道具信息!S408="","",[8]道具信息!S408)</f>
        <v/>
      </c>
      <c r="T408" s="39" t="str">
        <f>IF([8]道具信息!T408="","",[8]道具信息!T408)</f>
        <v/>
      </c>
      <c r="U408" s="39" t="str">
        <f>IF([8]道具信息!U408="","",[8]道具信息!U408)</f>
        <v/>
      </c>
      <c r="V408" s="39" t="str">
        <f>IF([8]道具信息!V408="","",[8]道具信息!V408)</f>
        <v/>
      </c>
      <c r="W408" s="39" t="str">
        <f>IF([8]道具信息!W408="","",[8]道具信息!W408)</f>
        <v/>
      </c>
      <c r="X408" s="39" t="str">
        <f>IF([8]道具信息!X408="","",[8]道具信息!X408)</f>
        <v/>
      </c>
      <c r="Y408" s="39" t="str">
        <f>IF([8]道具信息!Y408="","",[8]道具信息!Y408)</f>
        <v/>
      </c>
      <c r="Z408" s="39" t="str">
        <f>IF([8]道具信息!Z408="","",[8]道具信息!Z408)</f>
        <v/>
      </c>
    </row>
    <row r="409" spans="1:26" x14ac:dyDescent="0.15">
      <c r="A409" s="39" t="str">
        <f>IF([8]道具信息!A409="","",[8]道具信息!A409)</f>
        <v/>
      </c>
      <c r="B409" s="39" t="str">
        <f>IF([8]道具信息!B409="","",[8]道具信息!B409)</f>
        <v/>
      </c>
      <c r="C409" s="39" t="str">
        <f>IF([8]道具信息!C409="","",[8]道具信息!C409)</f>
        <v/>
      </c>
      <c r="D409" s="39" t="str">
        <f>IF([8]道具信息!D409="","",[8]道具信息!D409)</f>
        <v>指定蓝色装备</v>
      </c>
      <c r="E409" s="39">
        <f>IF([8]道具信息!E409="","",[8]道具信息!E409)</f>
        <v>120</v>
      </c>
      <c r="F409" s="39">
        <f>IF([8]道具信息!F409="","",[8]道具信息!F409)</f>
        <v>1</v>
      </c>
      <c r="G409" s="39">
        <f>IF([8]道具信息!G409="","",[8]道具信息!G409)</f>
        <v>1</v>
      </c>
      <c r="H409" s="39">
        <f>IF([8]道具信息!H409="","",[8]道具信息!H409)</f>
        <v>1</v>
      </c>
      <c r="I409" s="39">
        <f>IF([8]道具信息!I409="","",[8]道具信息!I409)</f>
        <v>120</v>
      </c>
      <c r="J409" s="39">
        <f>IF([8]道具信息!J409="","",[8]道具信息!J409)</f>
        <v>120</v>
      </c>
      <c r="K409" s="39">
        <f>IF([8]道具信息!K409="","",[8]道具信息!K409)</f>
        <v>120</v>
      </c>
      <c r="L409" s="39">
        <f>IF([8]道具信息!L409="","",[8]道具信息!L409)</f>
        <v>1.5</v>
      </c>
      <c r="M409" s="39" t="str">
        <f>IF([8]道具信息!M409="","",[8]道具信息!M409)</f>
        <v/>
      </c>
      <c r="N409" s="39" t="str">
        <f>IF([8]道具信息!N409="","",[8]道具信息!N409)</f>
        <v/>
      </c>
      <c r="O409" s="39" t="str">
        <f>IF([8]道具信息!O409="","",[8]道具信息!O409)</f>
        <v/>
      </c>
      <c r="P409" s="39" t="str">
        <f>IF([8]道具信息!P409="","",[8]道具信息!P409)</f>
        <v/>
      </c>
      <c r="Q409" s="39" t="str">
        <f>IF([8]道具信息!Q409="","",[8]道具信息!Q409)</f>
        <v/>
      </c>
      <c r="R409" s="39" t="str">
        <f>IF([8]道具信息!R409="","",[8]道具信息!R409)</f>
        <v/>
      </c>
      <c r="S409" s="39" t="str">
        <f>IF([8]道具信息!S409="","",[8]道具信息!S409)</f>
        <v/>
      </c>
      <c r="T409" s="39" t="str">
        <f>IF([8]道具信息!T409="","",[8]道具信息!T409)</f>
        <v/>
      </c>
      <c r="U409" s="39" t="str">
        <f>IF([8]道具信息!U409="","",[8]道具信息!U409)</f>
        <v/>
      </c>
      <c r="V409" s="39" t="str">
        <f>IF([8]道具信息!V409="","",[8]道具信息!V409)</f>
        <v/>
      </c>
      <c r="W409" s="39" t="str">
        <f>IF([8]道具信息!W409="","",[8]道具信息!W409)</f>
        <v/>
      </c>
      <c r="X409" s="39" t="str">
        <f>IF([8]道具信息!X409="","",[8]道具信息!X409)</f>
        <v/>
      </c>
      <c r="Y409" s="39" t="str">
        <f>IF([8]道具信息!Y409="","",[8]道具信息!Y409)</f>
        <v/>
      </c>
      <c r="Z409" s="39" t="str">
        <f>IF([8]道具信息!Z409="","",[8]道具信息!Z409)</f>
        <v/>
      </c>
    </row>
    <row r="410" spans="1:26" x14ac:dyDescent="0.15">
      <c r="A410" s="39" t="str">
        <f>IF([8]道具信息!A410="","",[8]道具信息!A410)</f>
        <v/>
      </c>
      <c r="B410" s="39" t="str">
        <f>IF([8]道具信息!B410="","",[8]道具信息!B410)</f>
        <v/>
      </c>
      <c r="C410" s="39" t="str">
        <f>IF([8]道具信息!C410="","",[8]道具信息!C410)</f>
        <v/>
      </c>
      <c r="D410" s="39" t="str">
        <f>IF([8]道具信息!D410="","",[8]道具信息!D410)</f>
        <v>指定紫色装备</v>
      </c>
      <c r="E410" s="39">
        <f>IF([8]道具信息!E410="","",[8]道具信息!E410)</f>
        <v>300</v>
      </c>
      <c r="F410" s="39">
        <f>IF([8]道具信息!F410="","",[8]道具信息!F410)</f>
        <v>1</v>
      </c>
      <c r="G410" s="39">
        <f>IF([8]道具信息!G410="","",[8]道具信息!G410)</f>
        <v>1</v>
      </c>
      <c r="H410" s="39">
        <f>IF([8]道具信息!H410="","",[8]道具信息!H410)</f>
        <v>1</v>
      </c>
      <c r="I410" s="39">
        <f>IF([8]道具信息!I410="","",[8]道具信息!I410)</f>
        <v>300</v>
      </c>
      <c r="J410" s="39">
        <f>IF([8]道具信息!J410="","",[8]道具信息!J410)</f>
        <v>300</v>
      </c>
      <c r="K410" s="39">
        <f>IF([8]道具信息!K410="","",[8]道具信息!K410)</f>
        <v>300</v>
      </c>
      <c r="L410" s="39">
        <f>IF([8]道具信息!L410="","",[8]道具信息!L410)</f>
        <v>2</v>
      </c>
      <c r="M410" s="39" t="str">
        <f>IF([8]道具信息!M410="","",[8]道具信息!M410)</f>
        <v/>
      </c>
      <c r="N410" s="39" t="str">
        <f>IF([8]道具信息!N410="","",[8]道具信息!N410)</f>
        <v/>
      </c>
      <c r="O410" s="39" t="str">
        <f>IF([8]道具信息!O410="","",[8]道具信息!O410)</f>
        <v/>
      </c>
      <c r="P410" s="39" t="str">
        <f>IF([8]道具信息!P410="","",[8]道具信息!P410)</f>
        <v/>
      </c>
      <c r="Q410" s="39" t="str">
        <f>IF([8]道具信息!Q410="","",[8]道具信息!Q410)</f>
        <v/>
      </c>
      <c r="R410" s="39" t="str">
        <f>IF([8]道具信息!R410="","",[8]道具信息!R410)</f>
        <v/>
      </c>
      <c r="S410" s="39" t="str">
        <f>IF([8]道具信息!S410="","",[8]道具信息!S410)</f>
        <v/>
      </c>
      <c r="T410" s="39" t="str">
        <f>IF([8]道具信息!T410="","",[8]道具信息!T410)</f>
        <v/>
      </c>
      <c r="U410" s="39" t="str">
        <f>IF([8]道具信息!U410="","",[8]道具信息!U410)</f>
        <v/>
      </c>
      <c r="V410" s="39" t="str">
        <f>IF([8]道具信息!V410="","",[8]道具信息!V410)</f>
        <v/>
      </c>
      <c r="W410" s="39" t="str">
        <f>IF([8]道具信息!W410="","",[8]道具信息!W410)</f>
        <v/>
      </c>
      <c r="X410" s="39" t="str">
        <f>IF([8]道具信息!X410="","",[8]道具信息!X410)</f>
        <v/>
      </c>
      <c r="Y410" s="39" t="str">
        <f>IF([8]道具信息!Y410="","",[8]道具信息!Y410)</f>
        <v/>
      </c>
      <c r="Z410" s="39" t="str">
        <f>IF([8]道具信息!Z410="","",[8]道具信息!Z410)</f>
        <v/>
      </c>
    </row>
    <row r="411" spans="1:26" x14ac:dyDescent="0.15">
      <c r="A411" s="39" t="str">
        <f>IF([8]道具信息!A411="","",[8]道具信息!A411)</f>
        <v/>
      </c>
      <c r="B411" s="39" t="str">
        <f>IF([8]道具信息!B411="","",[8]道具信息!B411)</f>
        <v/>
      </c>
      <c r="C411" s="39" t="str">
        <f>IF([8]道具信息!C411="","",[8]道具信息!C411)</f>
        <v/>
      </c>
      <c r="D411" s="39" t="str">
        <f>IF([8]道具信息!D411="","",[8]道具信息!D411)</f>
        <v>指定橙色装备</v>
      </c>
      <c r="E411" s="39">
        <f>IF([8]道具信息!E411="","",[8]道具信息!E411)</f>
        <v>800</v>
      </c>
      <c r="F411" s="39">
        <f>IF([8]道具信息!F411="","",[8]道具信息!F411)</f>
        <v>1</v>
      </c>
      <c r="G411" s="39">
        <f>IF([8]道具信息!G411="","",[8]道具信息!G411)</f>
        <v>1</v>
      </c>
      <c r="H411" s="39">
        <f>IF([8]道具信息!H411="","",[8]道具信息!H411)</f>
        <v>1</v>
      </c>
      <c r="I411" s="39">
        <f>IF([8]道具信息!I411="","",[8]道具信息!I411)</f>
        <v>800</v>
      </c>
      <c r="J411" s="39">
        <f>IF([8]道具信息!J411="","",[8]道具信息!J411)</f>
        <v>800</v>
      </c>
      <c r="K411" s="39">
        <f>IF([8]道具信息!K411="","",[8]道具信息!K411)</f>
        <v>800</v>
      </c>
      <c r="L411" s="39">
        <f>IF([8]道具信息!L411="","",[8]道具信息!L411)</f>
        <v>2.5</v>
      </c>
      <c r="M411" s="39" t="str">
        <f>IF([8]道具信息!M411="","",[8]道具信息!M411)</f>
        <v/>
      </c>
      <c r="N411" s="39" t="str">
        <f>IF([8]道具信息!N411="","",[8]道具信息!N411)</f>
        <v/>
      </c>
      <c r="O411" s="39" t="str">
        <f>IF([8]道具信息!O411="","",[8]道具信息!O411)</f>
        <v/>
      </c>
      <c r="P411" s="39" t="str">
        <f>IF([8]道具信息!P411="","",[8]道具信息!P411)</f>
        <v/>
      </c>
      <c r="Q411" s="39" t="str">
        <f>IF([8]道具信息!Q411="","",[8]道具信息!Q411)</f>
        <v/>
      </c>
      <c r="R411" s="39" t="str">
        <f>IF([8]道具信息!R411="","",[8]道具信息!R411)</f>
        <v/>
      </c>
      <c r="S411" s="39" t="str">
        <f>IF([8]道具信息!S411="","",[8]道具信息!S411)</f>
        <v/>
      </c>
      <c r="T411" s="39" t="str">
        <f>IF([8]道具信息!T411="","",[8]道具信息!T411)</f>
        <v/>
      </c>
      <c r="U411" s="39" t="str">
        <f>IF([8]道具信息!U411="","",[8]道具信息!U411)</f>
        <v/>
      </c>
      <c r="V411" s="39" t="str">
        <f>IF([8]道具信息!V411="","",[8]道具信息!V411)</f>
        <v/>
      </c>
      <c r="W411" s="39" t="str">
        <f>IF([8]道具信息!W411="","",[8]道具信息!W411)</f>
        <v/>
      </c>
      <c r="X411" s="39" t="str">
        <f>IF([8]道具信息!X411="","",[8]道具信息!X411)</f>
        <v/>
      </c>
      <c r="Y411" s="39" t="str">
        <f>IF([8]道具信息!Y411="","",[8]道具信息!Y411)</f>
        <v/>
      </c>
      <c r="Z411" s="39" t="str">
        <f>IF([8]道具信息!Z411="","",[8]道具信息!Z411)</f>
        <v/>
      </c>
    </row>
    <row r="412" spans="1:26" x14ac:dyDescent="0.15">
      <c r="A412" s="39" t="str">
        <f>IF([8]道具信息!A412="","",[8]道具信息!A412)</f>
        <v/>
      </c>
      <c r="B412" s="39" t="str">
        <f>IF([8]道具信息!B412="","",[8]道具信息!B412)</f>
        <v/>
      </c>
      <c r="C412" s="39" t="str">
        <f>IF([8]道具信息!C412="","",[8]道具信息!C412)</f>
        <v/>
      </c>
      <c r="D412" s="39" t="str">
        <f>IF([8]道具信息!D412="","",[8]道具信息!D412)</f>
        <v>指定红色装备</v>
      </c>
      <c r="E412" s="39">
        <f>IF([8]道具信息!E412="","",[8]道具信息!E412)</f>
        <v>7200</v>
      </c>
      <c r="F412" s="39">
        <f>IF([8]道具信息!F412="","",[8]道具信息!F412)</f>
        <v>1</v>
      </c>
      <c r="G412" s="39">
        <f>IF([8]道具信息!G412="","",[8]道具信息!G412)</f>
        <v>1</v>
      </c>
      <c r="H412" s="39">
        <f>IF([8]道具信息!H412="","",[8]道具信息!H412)</f>
        <v>1</v>
      </c>
      <c r="I412" s="39">
        <f>IF([8]道具信息!I412="","",[8]道具信息!I412)</f>
        <v>7200</v>
      </c>
      <c r="J412" s="39">
        <f>IF([8]道具信息!J412="","",[8]道具信息!J412)</f>
        <v>7200</v>
      </c>
      <c r="K412" s="39">
        <f>IF([8]道具信息!K412="","",[8]道具信息!K412)</f>
        <v>7200</v>
      </c>
      <c r="L412" s="39">
        <f>IF([8]道具信息!L412="","",[8]道具信息!L412)</f>
        <v>3</v>
      </c>
      <c r="M412" s="39" t="str">
        <f>IF([8]道具信息!M412="","",[8]道具信息!M412)</f>
        <v/>
      </c>
      <c r="N412" s="39" t="str">
        <f>IF([8]道具信息!N412="","",[8]道具信息!N412)</f>
        <v/>
      </c>
      <c r="O412" s="39" t="str">
        <f>IF([8]道具信息!O412="","",[8]道具信息!O412)</f>
        <v/>
      </c>
      <c r="P412" s="39" t="str">
        <f>IF([8]道具信息!P412="","",[8]道具信息!P412)</f>
        <v/>
      </c>
      <c r="Q412" s="39" t="str">
        <f>IF([8]道具信息!Q412="","",[8]道具信息!Q412)</f>
        <v/>
      </c>
      <c r="R412" s="39" t="str">
        <f>IF([8]道具信息!R412="","",[8]道具信息!R412)</f>
        <v/>
      </c>
      <c r="S412" s="39" t="str">
        <f>IF([8]道具信息!S412="","",[8]道具信息!S412)</f>
        <v/>
      </c>
      <c r="T412" s="39" t="str">
        <f>IF([8]道具信息!T412="","",[8]道具信息!T412)</f>
        <v/>
      </c>
      <c r="U412" s="39" t="str">
        <f>IF([8]道具信息!U412="","",[8]道具信息!U412)</f>
        <v/>
      </c>
      <c r="V412" s="39" t="str">
        <f>IF([8]道具信息!V412="","",[8]道具信息!V412)</f>
        <v/>
      </c>
      <c r="W412" s="39" t="str">
        <f>IF([8]道具信息!W412="","",[8]道具信息!W412)</f>
        <v/>
      </c>
      <c r="X412" s="39" t="str">
        <f>IF([8]道具信息!X412="","",[8]道具信息!X412)</f>
        <v/>
      </c>
      <c r="Y412" s="39" t="str">
        <f>IF([8]道具信息!Y412="","",[8]道具信息!Y412)</f>
        <v/>
      </c>
      <c r="Z412" s="39" t="str">
        <f>IF([8]道具信息!Z412="","",[8]道具信息!Z412)</f>
        <v/>
      </c>
    </row>
    <row r="413" spans="1:26" x14ac:dyDescent="0.15">
      <c r="A413" s="39" t="str">
        <f>IF([8]道具信息!A413="","",[8]道具信息!A413)</f>
        <v/>
      </c>
      <c r="B413" s="39" t="str">
        <f>IF([8]道具信息!B413="","",[8]道具信息!B413)</f>
        <v/>
      </c>
      <c r="C413" s="39" t="str">
        <f>IF([8]道具信息!C413="","",[8]道具信息!C413)</f>
        <v/>
      </c>
      <c r="D413" s="39" t="str">
        <f>IF([8]道具信息!D413="","",[8]道具信息!D413)</f>
        <v>指定红+装备</v>
      </c>
      <c r="E413" s="39">
        <f>IF([8]道具信息!E413="","",[8]道具信息!E413)</f>
        <v>14400</v>
      </c>
      <c r="F413" s="39">
        <f>IF([8]道具信息!F413="","",[8]道具信息!F413)</f>
        <v>1.56</v>
      </c>
      <c r="G413" s="39">
        <f>IF([8]道具信息!G413="","",[8]道具信息!G413)</f>
        <v>1.56</v>
      </c>
      <c r="H413" s="39">
        <f>IF([8]道具信息!H413="","",[8]道具信息!H413)</f>
        <v>1.56</v>
      </c>
      <c r="I413" s="39">
        <f>IF([8]道具信息!I413="","",[8]道具信息!I413)</f>
        <v>22464</v>
      </c>
      <c r="J413" s="39">
        <f>IF([8]道具信息!J413="","",[8]道具信息!J413)</f>
        <v>22464</v>
      </c>
      <c r="K413" s="39">
        <f>IF([8]道具信息!K413="","",[8]道具信息!K413)</f>
        <v>22464</v>
      </c>
      <c r="L413" s="39" t="str">
        <f>IF([8]道具信息!L413="","",[8]道具信息!L413)</f>
        <v/>
      </c>
      <c r="M413" s="39" t="str">
        <f>IF([8]道具信息!M413="","",[8]道具信息!M413)</f>
        <v/>
      </c>
      <c r="N413" s="39" t="str">
        <f>IF([8]道具信息!N413="","",[8]道具信息!N413)</f>
        <v/>
      </c>
      <c r="O413" s="39" t="str">
        <f>IF([8]道具信息!O413="","",[8]道具信息!O413)</f>
        <v/>
      </c>
      <c r="P413" s="39" t="str">
        <f>IF([8]道具信息!P413="","",[8]道具信息!P413)</f>
        <v/>
      </c>
      <c r="Q413" s="39" t="str">
        <f>IF([8]道具信息!Q413="","",[8]道具信息!Q413)</f>
        <v/>
      </c>
      <c r="R413" s="39" t="str">
        <f>IF([8]道具信息!R413="","",[8]道具信息!R413)</f>
        <v/>
      </c>
      <c r="S413" s="39" t="str">
        <f>IF([8]道具信息!S413="","",[8]道具信息!S413)</f>
        <v/>
      </c>
      <c r="T413" s="39" t="str">
        <f>IF([8]道具信息!T413="","",[8]道具信息!T413)</f>
        <v/>
      </c>
      <c r="U413" s="39" t="str">
        <f>IF([8]道具信息!U413="","",[8]道具信息!U413)</f>
        <v/>
      </c>
      <c r="V413" s="39" t="str">
        <f>IF([8]道具信息!V413="","",[8]道具信息!V413)</f>
        <v/>
      </c>
      <c r="W413" s="39" t="str">
        <f>IF([8]道具信息!W413="","",[8]道具信息!W413)</f>
        <v/>
      </c>
      <c r="X413" s="39" t="str">
        <f>IF([8]道具信息!X413="","",[8]道具信息!X413)</f>
        <v/>
      </c>
      <c r="Y413" s="39" t="str">
        <f>IF([8]道具信息!Y413="","",[8]道具信息!Y413)</f>
        <v/>
      </c>
      <c r="Z413" s="39" t="str">
        <f>IF([8]道具信息!Z413="","",[8]道具信息!Z413)</f>
        <v/>
      </c>
    </row>
    <row r="414" spans="1:26" x14ac:dyDescent="0.15">
      <c r="A414" s="39" t="str">
        <f>IF([8]道具信息!A414="","",[8]道具信息!A414)</f>
        <v/>
      </c>
      <c r="B414" s="39" t="str">
        <f>IF([8]道具信息!B414="","",[8]道具信息!B414)</f>
        <v/>
      </c>
      <c r="C414" s="39">
        <f>IF([8]道具信息!C414="","",[8]道具信息!C414)</f>
        <v>23215</v>
      </c>
      <c r="D414" s="39" t="str">
        <f>IF([8]道具信息!D414="","",[8]道具信息!D414)</f>
        <v>紫色武力装备礼包</v>
      </c>
      <c r="E414" s="39" t="str">
        <f>IF([8]道具信息!E414="","",[8]道具信息!E414)</f>
        <v/>
      </c>
      <c r="F414" s="39">
        <f>IF([8]道具信息!F414="","",[8]道具信息!F414)</f>
        <v>1</v>
      </c>
      <c r="G414" s="39">
        <f>IF([8]道具信息!G414="","",[8]道具信息!G414)</f>
        <v>1</v>
      </c>
      <c r="H414" s="39">
        <f>IF([8]道具信息!H414="","",[8]道具信息!H414)</f>
        <v>1</v>
      </c>
      <c r="I414" s="39" t="str">
        <f>IF([8]道具信息!I414="","",[8]道具信息!I414)</f>
        <v/>
      </c>
      <c r="J414" s="39" t="str">
        <f>IF([8]道具信息!J414="","",[8]道具信息!J414)</f>
        <v/>
      </c>
      <c r="K414" s="39" t="str">
        <f>IF([8]道具信息!K414="","",[8]道具信息!K414)</f>
        <v/>
      </c>
      <c r="L414" s="39" t="str">
        <f>IF([8]道具信息!L414="","",[8]道具信息!L414)</f>
        <v/>
      </c>
      <c r="M414" s="39" t="str">
        <f>IF([8]道具信息!M414="","",[8]道具信息!M414)</f>
        <v/>
      </c>
      <c r="N414" s="39" t="str">
        <f>IF([8]道具信息!N414="","",[8]道具信息!N414)</f>
        <v/>
      </c>
      <c r="O414" s="39" t="str">
        <f>IF([8]道具信息!O414="","",[8]道具信息!O414)</f>
        <v/>
      </c>
      <c r="P414" s="39" t="str">
        <f>IF([8]道具信息!P414="","",[8]道具信息!P414)</f>
        <v/>
      </c>
      <c r="Q414" s="39" t="str">
        <f>IF([8]道具信息!Q414="","",[8]道具信息!Q414)</f>
        <v/>
      </c>
      <c r="R414" s="39" t="str">
        <f>IF([8]道具信息!R414="","",[8]道具信息!R414)</f>
        <v/>
      </c>
      <c r="S414" s="39" t="str">
        <f>IF([8]道具信息!S414="","",[8]道具信息!S414)</f>
        <v/>
      </c>
      <c r="T414" s="39" t="str">
        <f>IF([8]道具信息!T414="","",[8]道具信息!T414)</f>
        <v/>
      </c>
      <c r="U414" s="39" t="str">
        <f>IF([8]道具信息!U414="","",[8]道具信息!U414)</f>
        <v/>
      </c>
      <c r="V414" s="39" t="str">
        <f>IF([8]道具信息!V414="","",[8]道具信息!V414)</f>
        <v/>
      </c>
      <c r="W414" s="39" t="str">
        <f>IF([8]道具信息!W414="","",[8]道具信息!W414)</f>
        <v/>
      </c>
      <c r="X414" s="39" t="str">
        <f>IF([8]道具信息!X414="","",[8]道具信息!X414)</f>
        <v/>
      </c>
      <c r="Y414" s="39" t="str">
        <f>IF([8]道具信息!Y414="","",[8]道具信息!Y414)</f>
        <v/>
      </c>
      <c r="Z414" s="39" t="str">
        <f>IF([8]道具信息!Z414="","",[8]道具信息!Z414)</f>
        <v/>
      </c>
    </row>
    <row r="415" spans="1:26" x14ac:dyDescent="0.15">
      <c r="A415" s="39" t="str">
        <f>IF([8]道具信息!A415="","",[8]道具信息!A415)</f>
        <v/>
      </c>
      <c r="B415" s="39" t="str">
        <f>IF([8]道具信息!B415="","",[8]道具信息!B415)</f>
        <v/>
      </c>
      <c r="C415" s="39">
        <f>IF([8]道具信息!C415="","",[8]道具信息!C415)</f>
        <v>23216</v>
      </c>
      <c r="D415" s="39" t="str">
        <f>IF([8]道具信息!D415="","",[8]道具信息!D415)</f>
        <v>紫色智力装备礼包</v>
      </c>
      <c r="E415" s="39" t="str">
        <f>IF([8]道具信息!E415="","",[8]道具信息!E415)</f>
        <v/>
      </c>
      <c r="F415" s="39">
        <f>IF([8]道具信息!F415="","",[8]道具信息!F415)</f>
        <v>1</v>
      </c>
      <c r="G415" s="39">
        <f>IF([8]道具信息!G415="","",[8]道具信息!G415)</f>
        <v>1</v>
      </c>
      <c r="H415" s="39">
        <f>IF([8]道具信息!H415="","",[8]道具信息!H415)</f>
        <v>1</v>
      </c>
      <c r="I415" s="39" t="str">
        <f>IF([8]道具信息!I415="","",[8]道具信息!I415)</f>
        <v/>
      </c>
      <c r="J415" s="39" t="str">
        <f>IF([8]道具信息!J415="","",[8]道具信息!J415)</f>
        <v/>
      </c>
      <c r="K415" s="39" t="str">
        <f>IF([8]道具信息!K415="","",[8]道具信息!K415)</f>
        <v/>
      </c>
      <c r="L415" s="39" t="str">
        <f>IF([8]道具信息!L415="","",[8]道具信息!L415)</f>
        <v/>
      </c>
      <c r="M415" s="39" t="str">
        <f>IF([8]道具信息!M415="","",[8]道具信息!M415)</f>
        <v/>
      </c>
      <c r="N415" s="39" t="str">
        <f>IF([8]道具信息!N415="","",[8]道具信息!N415)</f>
        <v/>
      </c>
      <c r="O415" s="39" t="str">
        <f>IF([8]道具信息!O415="","",[8]道具信息!O415)</f>
        <v/>
      </c>
      <c r="P415" s="39" t="str">
        <f>IF([8]道具信息!P415="","",[8]道具信息!P415)</f>
        <v/>
      </c>
      <c r="Q415" s="39" t="str">
        <f>IF([8]道具信息!Q415="","",[8]道具信息!Q415)</f>
        <v/>
      </c>
      <c r="R415" s="39" t="str">
        <f>IF([8]道具信息!R415="","",[8]道具信息!R415)</f>
        <v/>
      </c>
      <c r="S415" s="39" t="str">
        <f>IF([8]道具信息!S415="","",[8]道具信息!S415)</f>
        <v/>
      </c>
      <c r="T415" s="39" t="str">
        <f>IF([8]道具信息!T415="","",[8]道具信息!T415)</f>
        <v/>
      </c>
      <c r="U415" s="39" t="str">
        <f>IF([8]道具信息!U415="","",[8]道具信息!U415)</f>
        <v/>
      </c>
      <c r="V415" s="39" t="str">
        <f>IF([8]道具信息!V415="","",[8]道具信息!V415)</f>
        <v/>
      </c>
      <c r="W415" s="39" t="str">
        <f>IF([8]道具信息!W415="","",[8]道具信息!W415)</f>
        <v/>
      </c>
      <c r="X415" s="39" t="str">
        <f>IF([8]道具信息!X415="","",[8]道具信息!X415)</f>
        <v/>
      </c>
      <c r="Y415" s="39" t="str">
        <f>IF([8]道具信息!Y415="","",[8]道具信息!Y415)</f>
        <v/>
      </c>
      <c r="Z415" s="39" t="str">
        <f>IF([8]道具信息!Z415="","",[8]道具信息!Z415)</f>
        <v/>
      </c>
    </row>
    <row r="416" spans="1:26" x14ac:dyDescent="0.15">
      <c r="A416" s="39" t="str">
        <f>IF([8]道具信息!A416="","",[8]道具信息!A416)</f>
        <v/>
      </c>
      <c r="B416" s="39" t="str">
        <f>IF([8]道具信息!B416="","",[8]道具信息!B416)</f>
        <v/>
      </c>
      <c r="C416" s="39">
        <f>IF([8]道具信息!C416="","",[8]道具信息!C416)</f>
        <v>23217</v>
      </c>
      <c r="D416" s="39" t="str">
        <f>IF([8]道具信息!D416="","",[8]道具信息!D416)</f>
        <v>橙色统率装备礼包</v>
      </c>
      <c r="E416" s="39" t="str">
        <f>IF([8]道具信息!E416="","",[8]道具信息!E416)</f>
        <v/>
      </c>
      <c r="F416" s="39">
        <f>IF([8]道具信息!F416="","",[8]道具信息!F416)</f>
        <v>1</v>
      </c>
      <c r="G416" s="39">
        <f>IF([8]道具信息!G416="","",[8]道具信息!G416)</f>
        <v>1</v>
      </c>
      <c r="H416" s="39">
        <f>IF([8]道具信息!H416="","",[8]道具信息!H416)</f>
        <v>1</v>
      </c>
      <c r="I416" s="39" t="str">
        <f>IF([8]道具信息!I416="","",[8]道具信息!I416)</f>
        <v/>
      </c>
      <c r="J416" s="39" t="str">
        <f>IF([8]道具信息!J416="","",[8]道具信息!J416)</f>
        <v/>
      </c>
      <c r="K416" s="39" t="str">
        <f>IF([8]道具信息!K416="","",[8]道具信息!K416)</f>
        <v/>
      </c>
      <c r="L416" s="39" t="str">
        <f>IF([8]道具信息!L416="","",[8]道具信息!L416)</f>
        <v/>
      </c>
      <c r="M416" s="39" t="str">
        <f>IF([8]道具信息!M416="","",[8]道具信息!M416)</f>
        <v/>
      </c>
      <c r="N416" s="39" t="str">
        <f>IF([8]道具信息!N416="","",[8]道具信息!N416)</f>
        <v/>
      </c>
      <c r="O416" s="39" t="str">
        <f>IF([8]道具信息!O416="","",[8]道具信息!O416)</f>
        <v/>
      </c>
      <c r="P416" s="39" t="str">
        <f>IF([8]道具信息!P416="","",[8]道具信息!P416)</f>
        <v/>
      </c>
      <c r="Q416" s="39" t="str">
        <f>IF([8]道具信息!Q416="","",[8]道具信息!Q416)</f>
        <v/>
      </c>
      <c r="R416" s="39" t="str">
        <f>IF([8]道具信息!R416="","",[8]道具信息!R416)</f>
        <v/>
      </c>
      <c r="S416" s="39" t="str">
        <f>IF([8]道具信息!S416="","",[8]道具信息!S416)</f>
        <v/>
      </c>
      <c r="T416" s="39" t="str">
        <f>IF([8]道具信息!T416="","",[8]道具信息!T416)</f>
        <v/>
      </c>
      <c r="U416" s="39" t="str">
        <f>IF([8]道具信息!U416="","",[8]道具信息!U416)</f>
        <v/>
      </c>
      <c r="V416" s="39" t="str">
        <f>IF([8]道具信息!V416="","",[8]道具信息!V416)</f>
        <v/>
      </c>
      <c r="W416" s="39" t="str">
        <f>IF([8]道具信息!W416="","",[8]道具信息!W416)</f>
        <v/>
      </c>
      <c r="X416" s="39" t="str">
        <f>IF([8]道具信息!X416="","",[8]道具信息!X416)</f>
        <v/>
      </c>
      <c r="Y416" s="39" t="str">
        <f>IF([8]道具信息!Y416="","",[8]道具信息!Y416)</f>
        <v/>
      </c>
      <c r="Z416" s="39" t="str">
        <f>IF([8]道具信息!Z416="","",[8]道具信息!Z416)</f>
        <v/>
      </c>
    </row>
    <row r="417" spans="1:26" x14ac:dyDescent="0.15">
      <c r="A417" s="39" t="str">
        <f>IF([8]道具信息!A417="","",[8]道具信息!A417)</f>
        <v/>
      </c>
      <c r="B417" s="39" t="str">
        <f>IF([8]道具信息!B417="","",[8]道具信息!B417)</f>
        <v/>
      </c>
      <c r="C417" s="39">
        <f>IF([8]道具信息!C417="","",[8]道具信息!C417)</f>
        <v>23218</v>
      </c>
      <c r="D417" s="39" t="str">
        <f>IF([8]道具信息!D417="","",[8]道具信息!D417)</f>
        <v>橙色智力装备礼包</v>
      </c>
      <c r="E417" s="39" t="str">
        <f>IF([8]道具信息!E417="","",[8]道具信息!E417)</f>
        <v/>
      </c>
      <c r="F417" s="39">
        <f>IF([8]道具信息!F417="","",[8]道具信息!F417)</f>
        <v>1</v>
      </c>
      <c r="G417" s="39">
        <f>IF([8]道具信息!G417="","",[8]道具信息!G417)</f>
        <v>1</v>
      </c>
      <c r="H417" s="39">
        <f>IF([8]道具信息!H417="","",[8]道具信息!H417)</f>
        <v>1</v>
      </c>
      <c r="I417" s="39" t="str">
        <f>IF([8]道具信息!I417="","",[8]道具信息!I417)</f>
        <v/>
      </c>
      <c r="J417" s="39" t="str">
        <f>IF([8]道具信息!J417="","",[8]道具信息!J417)</f>
        <v/>
      </c>
      <c r="K417" s="39" t="str">
        <f>IF([8]道具信息!K417="","",[8]道具信息!K417)</f>
        <v/>
      </c>
      <c r="L417" s="39" t="str">
        <f>IF([8]道具信息!L417="","",[8]道具信息!L417)</f>
        <v/>
      </c>
      <c r="M417" s="39" t="str">
        <f>IF([8]道具信息!M417="","",[8]道具信息!M417)</f>
        <v/>
      </c>
      <c r="N417" s="39" t="str">
        <f>IF([8]道具信息!N417="","",[8]道具信息!N417)</f>
        <v/>
      </c>
      <c r="O417" s="39" t="str">
        <f>IF([8]道具信息!O417="","",[8]道具信息!O417)</f>
        <v/>
      </c>
      <c r="P417" s="39" t="str">
        <f>IF([8]道具信息!P417="","",[8]道具信息!P417)</f>
        <v/>
      </c>
      <c r="Q417" s="39" t="str">
        <f>IF([8]道具信息!Q417="","",[8]道具信息!Q417)</f>
        <v/>
      </c>
      <c r="R417" s="39" t="str">
        <f>IF([8]道具信息!R417="","",[8]道具信息!R417)</f>
        <v/>
      </c>
      <c r="S417" s="39" t="str">
        <f>IF([8]道具信息!S417="","",[8]道具信息!S417)</f>
        <v/>
      </c>
      <c r="T417" s="39" t="str">
        <f>IF([8]道具信息!T417="","",[8]道具信息!T417)</f>
        <v/>
      </c>
      <c r="U417" s="39" t="str">
        <f>IF([8]道具信息!U417="","",[8]道具信息!U417)</f>
        <v/>
      </c>
      <c r="V417" s="39" t="str">
        <f>IF([8]道具信息!V417="","",[8]道具信息!V417)</f>
        <v/>
      </c>
      <c r="W417" s="39" t="str">
        <f>IF([8]道具信息!W417="","",[8]道具信息!W417)</f>
        <v/>
      </c>
      <c r="X417" s="39" t="str">
        <f>IF([8]道具信息!X417="","",[8]道具信息!X417)</f>
        <v/>
      </c>
      <c r="Y417" s="39" t="str">
        <f>IF([8]道具信息!Y417="","",[8]道具信息!Y417)</f>
        <v/>
      </c>
      <c r="Z417" s="39" t="str">
        <f>IF([8]道具信息!Z417="","",[8]道具信息!Z417)</f>
        <v/>
      </c>
    </row>
    <row r="418" spans="1:26" x14ac:dyDescent="0.15">
      <c r="A418" s="39" t="str">
        <f>IF([8]道具信息!A418="","",[8]道具信息!A418)</f>
        <v/>
      </c>
      <c r="B418" s="39" t="str">
        <f>IF([8]道具信息!B418="","",[8]道具信息!B418)</f>
        <v/>
      </c>
      <c r="C418" s="39">
        <f>IF([8]道具信息!C418="","",[8]道具信息!C418)</f>
        <v>23219</v>
      </c>
      <c r="D418" s="39" t="str">
        <f>IF([8]道具信息!D418="","",[8]道具信息!D418)</f>
        <v>橙色武力装备礼包</v>
      </c>
      <c r="E418" s="39" t="str">
        <f>IF([8]道具信息!E418="","",[8]道具信息!E418)</f>
        <v/>
      </c>
      <c r="F418" s="39">
        <f>IF([8]道具信息!F418="","",[8]道具信息!F418)</f>
        <v>1</v>
      </c>
      <c r="G418" s="39">
        <f>IF([8]道具信息!G418="","",[8]道具信息!G418)</f>
        <v>1</v>
      </c>
      <c r="H418" s="39">
        <f>IF([8]道具信息!H418="","",[8]道具信息!H418)</f>
        <v>1</v>
      </c>
      <c r="I418" s="39" t="str">
        <f>IF([8]道具信息!I418="","",[8]道具信息!I418)</f>
        <v/>
      </c>
      <c r="J418" s="39" t="str">
        <f>IF([8]道具信息!J418="","",[8]道具信息!J418)</f>
        <v/>
      </c>
      <c r="K418" s="39" t="str">
        <f>IF([8]道具信息!K418="","",[8]道具信息!K418)</f>
        <v/>
      </c>
      <c r="L418" s="39" t="str">
        <f>IF([8]道具信息!L418="","",[8]道具信息!L418)</f>
        <v/>
      </c>
      <c r="M418" s="39" t="str">
        <f>IF([8]道具信息!M418="","",[8]道具信息!M418)</f>
        <v/>
      </c>
      <c r="N418" s="39" t="str">
        <f>IF([8]道具信息!N418="","",[8]道具信息!N418)</f>
        <v/>
      </c>
      <c r="O418" s="39" t="str">
        <f>IF([8]道具信息!O418="","",[8]道具信息!O418)</f>
        <v/>
      </c>
      <c r="P418" s="39" t="str">
        <f>IF([8]道具信息!P418="","",[8]道具信息!P418)</f>
        <v/>
      </c>
      <c r="Q418" s="39" t="str">
        <f>IF([8]道具信息!Q418="","",[8]道具信息!Q418)</f>
        <v/>
      </c>
      <c r="R418" s="39" t="str">
        <f>IF([8]道具信息!R418="","",[8]道具信息!R418)</f>
        <v/>
      </c>
      <c r="S418" s="39" t="str">
        <f>IF([8]道具信息!S418="","",[8]道具信息!S418)</f>
        <v/>
      </c>
      <c r="T418" s="39" t="str">
        <f>IF([8]道具信息!T418="","",[8]道具信息!T418)</f>
        <v/>
      </c>
      <c r="U418" s="39" t="str">
        <f>IF([8]道具信息!U418="","",[8]道具信息!U418)</f>
        <v/>
      </c>
      <c r="V418" s="39" t="str">
        <f>IF([8]道具信息!V418="","",[8]道具信息!V418)</f>
        <v/>
      </c>
      <c r="W418" s="39" t="str">
        <f>IF([8]道具信息!W418="","",[8]道具信息!W418)</f>
        <v/>
      </c>
      <c r="X418" s="39" t="str">
        <f>IF([8]道具信息!X418="","",[8]道具信息!X418)</f>
        <v/>
      </c>
      <c r="Y418" s="39" t="str">
        <f>IF([8]道具信息!Y418="","",[8]道具信息!Y418)</f>
        <v/>
      </c>
      <c r="Z418" s="39" t="str">
        <f>IF([8]道具信息!Z418="","",[8]道具信息!Z418)</f>
        <v/>
      </c>
    </row>
    <row r="419" spans="1:26" x14ac:dyDescent="0.15">
      <c r="A419" s="39" t="str">
        <f>IF([8]道具信息!A419="","",[8]道具信息!A419)</f>
        <v/>
      </c>
      <c r="B419" s="39" t="str">
        <f>IF([8]道具信息!B419="","",[8]道具信息!B419)</f>
        <v/>
      </c>
      <c r="C419" s="39">
        <f>IF([8]道具信息!C419="","",[8]道具信息!C419)</f>
        <v>22118</v>
      </c>
      <c r="D419" s="39" t="str">
        <f>IF([8]道具信息!D419="","",[8]道具信息!D419)</f>
        <v>负荆请罪武魂</v>
      </c>
      <c r="E419" s="39" t="str">
        <f>IF([8]道具信息!E419="","",[8]道具信息!E419)</f>
        <v/>
      </c>
      <c r="F419" s="39">
        <f>IF([8]道具信息!F419="","",[8]道具信息!F419)</f>
        <v>1</v>
      </c>
      <c r="G419" s="39">
        <f>IF([8]道具信息!G419="","",[8]道具信息!G419)</f>
        <v>1</v>
      </c>
      <c r="H419" s="39">
        <f>IF([8]道具信息!H419="","",[8]道具信息!H419)</f>
        <v>1</v>
      </c>
      <c r="I419" s="39" t="str">
        <f>IF([8]道具信息!I419="","",[8]道具信息!I419)</f>
        <v/>
      </c>
      <c r="J419" s="39" t="str">
        <f>IF([8]道具信息!J419="","",[8]道具信息!J419)</f>
        <v/>
      </c>
      <c r="K419" s="39" t="str">
        <f>IF([8]道具信息!K419="","",[8]道具信息!K419)</f>
        <v/>
      </c>
      <c r="L419" s="39" t="str">
        <f>IF([8]道具信息!L419="","",[8]道具信息!L419)</f>
        <v/>
      </c>
      <c r="M419" s="39" t="str">
        <f>IF([8]道具信息!M419="","",[8]道具信息!M419)</f>
        <v/>
      </c>
      <c r="N419" s="39" t="str">
        <f>IF([8]道具信息!N419="","",[8]道具信息!N419)</f>
        <v/>
      </c>
      <c r="O419" s="39" t="str">
        <f>IF([8]道具信息!O419="","",[8]道具信息!O419)</f>
        <v/>
      </c>
      <c r="P419" s="39" t="str">
        <f>IF([8]道具信息!P419="","",[8]道具信息!P419)</f>
        <v/>
      </c>
      <c r="Q419" s="39" t="str">
        <f>IF([8]道具信息!Q419="","",[8]道具信息!Q419)</f>
        <v/>
      </c>
      <c r="R419" s="39" t="str">
        <f>IF([8]道具信息!R419="","",[8]道具信息!R419)</f>
        <v/>
      </c>
      <c r="S419" s="39" t="str">
        <f>IF([8]道具信息!S419="","",[8]道具信息!S419)</f>
        <v/>
      </c>
      <c r="T419" s="39" t="str">
        <f>IF([8]道具信息!T419="","",[8]道具信息!T419)</f>
        <v/>
      </c>
      <c r="U419" s="39" t="str">
        <f>IF([8]道具信息!U419="","",[8]道具信息!U419)</f>
        <v/>
      </c>
      <c r="V419" s="39" t="str">
        <f>IF([8]道具信息!V419="","",[8]道具信息!V419)</f>
        <v/>
      </c>
      <c r="W419" s="39" t="str">
        <f>IF([8]道具信息!W419="","",[8]道具信息!W419)</f>
        <v/>
      </c>
      <c r="X419" s="39" t="str">
        <f>IF([8]道具信息!X419="","",[8]道具信息!X419)</f>
        <v/>
      </c>
      <c r="Y419" s="39" t="str">
        <f>IF([8]道具信息!Y419="","",[8]道具信息!Y419)</f>
        <v/>
      </c>
      <c r="Z419" s="39" t="str">
        <f>IF([8]道具信息!Z419="","",[8]道具信息!Z419)</f>
        <v/>
      </c>
    </row>
    <row r="420" spans="1:26" x14ac:dyDescent="0.15">
      <c r="A420" s="39" t="str">
        <f>IF([8]道具信息!A420="","",[8]道具信息!A420)</f>
        <v/>
      </c>
      <c r="B420" s="39" t="str">
        <f>IF([8]道具信息!B420="","",[8]道具信息!B420)</f>
        <v/>
      </c>
      <c r="C420" s="39" t="str">
        <f>IF([8]道具信息!C420="","",[8]道具信息!C420)</f>
        <v/>
      </c>
      <c r="D420" s="39" t="str">
        <f>IF([8]道具信息!D420="","",[8]道具信息!D420)</f>
        <v/>
      </c>
      <c r="E420" s="39" t="str">
        <f>IF([8]道具信息!E420="","",[8]道具信息!E420)</f>
        <v/>
      </c>
      <c r="F420" s="39">
        <f>IF([8]道具信息!F420="","",[8]道具信息!F420)</f>
        <v>1</v>
      </c>
      <c r="G420" s="39">
        <f>IF([8]道具信息!G420="","",[8]道具信息!G420)</f>
        <v>1</v>
      </c>
      <c r="H420" s="39">
        <f>IF([8]道具信息!H420="","",[8]道具信息!H420)</f>
        <v>1</v>
      </c>
      <c r="I420" s="39" t="str">
        <f>IF([8]道具信息!I420="","",[8]道具信息!I420)</f>
        <v/>
      </c>
      <c r="J420" s="39" t="str">
        <f>IF([8]道具信息!J420="","",[8]道具信息!J420)</f>
        <v/>
      </c>
      <c r="K420" s="39" t="str">
        <f>IF([8]道具信息!K420="","",[8]道具信息!K420)</f>
        <v/>
      </c>
      <c r="L420" s="39" t="str">
        <f>IF([8]道具信息!L420="","",[8]道具信息!L420)</f>
        <v/>
      </c>
      <c r="M420" s="39" t="str">
        <f>IF([8]道具信息!M420="","",[8]道具信息!M420)</f>
        <v/>
      </c>
      <c r="N420" s="39" t="str">
        <f>IF([8]道具信息!N420="","",[8]道具信息!N420)</f>
        <v/>
      </c>
      <c r="O420" s="39" t="str">
        <f>IF([8]道具信息!O420="","",[8]道具信息!O420)</f>
        <v/>
      </c>
      <c r="P420" s="39" t="str">
        <f>IF([8]道具信息!P420="","",[8]道具信息!P420)</f>
        <v/>
      </c>
      <c r="Q420" s="39" t="str">
        <f>IF([8]道具信息!Q420="","",[8]道具信息!Q420)</f>
        <v/>
      </c>
      <c r="R420" s="39" t="str">
        <f>IF([8]道具信息!R420="","",[8]道具信息!R420)</f>
        <v/>
      </c>
      <c r="S420" s="39" t="str">
        <f>IF([8]道具信息!S420="","",[8]道具信息!S420)</f>
        <v/>
      </c>
      <c r="T420" s="39" t="str">
        <f>IF([8]道具信息!T420="","",[8]道具信息!T420)</f>
        <v/>
      </c>
      <c r="U420" s="39" t="str">
        <f>IF([8]道具信息!U420="","",[8]道具信息!U420)</f>
        <v/>
      </c>
      <c r="V420" s="39" t="str">
        <f>IF([8]道具信息!V420="","",[8]道具信息!V420)</f>
        <v/>
      </c>
      <c r="W420" s="39" t="str">
        <f>IF([8]道具信息!W420="","",[8]道具信息!W420)</f>
        <v/>
      </c>
      <c r="X420" s="39" t="str">
        <f>IF([8]道具信息!X420="","",[8]道具信息!X420)</f>
        <v/>
      </c>
      <c r="Y420" s="39" t="str">
        <f>IF([8]道具信息!Y420="","",[8]道具信息!Y420)</f>
        <v/>
      </c>
      <c r="Z420" s="39" t="str">
        <f>IF([8]道具信息!Z420="","",[8]道具信息!Z420)</f>
        <v/>
      </c>
    </row>
    <row r="421" spans="1:26" x14ac:dyDescent="0.15">
      <c r="A421" s="39" t="str">
        <f>IF([8]道具信息!A421="","",[8]道具信息!A421)</f>
        <v/>
      </c>
      <c r="B421" s="39" t="str">
        <f>IF([8]道具信息!B421="","",[8]道具信息!B421)</f>
        <v/>
      </c>
      <c r="C421" s="39">
        <f>IF([8]道具信息!C421="","",[8]道具信息!C421)</f>
        <v>23348</v>
      </c>
      <c r="D421" s="39" t="str">
        <f>IF([8]道具信息!D421="","",[8]道具信息!D421)</f>
        <v>清剿令</v>
      </c>
      <c r="E421" s="39" t="str">
        <f>IF([8]道具信息!E421="","",[8]道具信息!E421)</f>
        <v/>
      </c>
      <c r="F421" s="39">
        <f>IF([8]道具信息!F421="","",[8]道具信息!F421)</f>
        <v>1</v>
      </c>
      <c r="G421" s="39">
        <f>IF([8]道具信息!G421="","",[8]道具信息!G421)</f>
        <v>1</v>
      </c>
      <c r="H421" s="39">
        <f>IF([8]道具信息!H421="","",[8]道具信息!H421)</f>
        <v>1</v>
      </c>
      <c r="I421" s="39" t="str">
        <f>IF([8]道具信息!I421="","",[8]道具信息!I421)</f>
        <v/>
      </c>
      <c r="J421" s="39" t="str">
        <f>IF([8]道具信息!J421="","",[8]道具信息!J421)</f>
        <v/>
      </c>
      <c r="K421" s="39" t="str">
        <f>IF([8]道具信息!K421="","",[8]道具信息!K421)</f>
        <v/>
      </c>
      <c r="L421" s="39" t="str">
        <f>IF([8]道具信息!L421="","",[8]道具信息!L421)</f>
        <v/>
      </c>
      <c r="M421" s="39" t="str">
        <f>IF([8]道具信息!M421="","",[8]道具信息!M421)</f>
        <v/>
      </c>
      <c r="N421" s="39" t="str">
        <f>IF([8]道具信息!N421="","",[8]道具信息!N421)</f>
        <v/>
      </c>
      <c r="O421" s="39" t="str">
        <f>IF([8]道具信息!O421="","",[8]道具信息!O421)</f>
        <v/>
      </c>
      <c r="P421" s="39" t="str">
        <f>IF([8]道具信息!P421="","",[8]道具信息!P421)</f>
        <v/>
      </c>
      <c r="Q421" s="39" t="str">
        <f>IF([8]道具信息!Q421="","",[8]道具信息!Q421)</f>
        <v/>
      </c>
      <c r="R421" s="39" t="str">
        <f>IF([8]道具信息!R421="","",[8]道具信息!R421)</f>
        <v/>
      </c>
      <c r="S421" s="39" t="str">
        <f>IF([8]道具信息!S421="","",[8]道具信息!S421)</f>
        <v/>
      </c>
      <c r="T421" s="39" t="str">
        <f>IF([8]道具信息!T421="","",[8]道具信息!T421)</f>
        <v/>
      </c>
      <c r="U421" s="39" t="str">
        <f>IF([8]道具信息!U421="","",[8]道具信息!U421)</f>
        <v/>
      </c>
      <c r="V421" s="39" t="str">
        <f>IF([8]道具信息!V421="","",[8]道具信息!V421)</f>
        <v/>
      </c>
      <c r="W421" s="39" t="str">
        <f>IF([8]道具信息!W421="","",[8]道具信息!W421)</f>
        <v/>
      </c>
      <c r="X421" s="39" t="str">
        <f>IF([8]道具信息!X421="","",[8]道具信息!X421)</f>
        <v/>
      </c>
      <c r="Y421" s="39" t="str">
        <f>IF([8]道具信息!Y421="","",[8]道具信息!Y421)</f>
        <v/>
      </c>
      <c r="Z421" s="39" t="str">
        <f>IF([8]道具信息!Z421="","",[8]道具信息!Z421)</f>
        <v/>
      </c>
    </row>
    <row r="422" spans="1:26" x14ac:dyDescent="0.15">
      <c r="A422" s="39" t="str">
        <f>IF([8]道具信息!A422="","",[8]道具信息!A422)</f>
        <v/>
      </c>
      <c r="B422" s="39" t="str">
        <f>IF([8]道具信息!B422="","",[8]道具信息!B422)</f>
        <v/>
      </c>
      <c r="C422" s="39" t="str">
        <f>IF([8]道具信息!C422="","",[8]道具信息!C422)</f>
        <v/>
      </c>
      <c r="D422" s="39" t="str">
        <f>IF([8]道具信息!D422="","",[8]道具信息!D422)</f>
        <v/>
      </c>
      <c r="E422" s="39" t="str">
        <f>IF([8]道具信息!E422="","",[8]道具信息!E422)</f>
        <v/>
      </c>
      <c r="F422" s="39">
        <f>IF([8]道具信息!F422="","",[8]道具信息!F422)</f>
        <v>1</v>
      </c>
      <c r="G422" s="39">
        <f>IF([8]道具信息!G422="","",[8]道具信息!G422)</f>
        <v>1</v>
      </c>
      <c r="H422" s="39">
        <f>IF([8]道具信息!H422="","",[8]道具信息!H422)</f>
        <v>1</v>
      </c>
      <c r="I422" s="39" t="str">
        <f>IF([8]道具信息!I422="","",[8]道具信息!I422)</f>
        <v/>
      </c>
      <c r="J422" s="39" t="str">
        <f>IF([8]道具信息!J422="","",[8]道具信息!J422)</f>
        <v/>
      </c>
      <c r="K422" s="39" t="str">
        <f>IF([8]道具信息!K422="","",[8]道具信息!K422)</f>
        <v/>
      </c>
      <c r="L422" s="39" t="str">
        <f>IF([8]道具信息!L422="","",[8]道具信息!L422)</f>
        <v/>
      </c>
      <c r="M422" s="39" t="str">
        <f>IF([8]道具信息!M422="","",[8]道具信息!M422)</f>
        <v/>
      </c>
      <c r="N422" s="39" t="str">
        <f>IF([8]道具信息!N422="","",[8]道具信息!N422)</f>
        <v/>
      </c>
      <c r="O422" s="39" t="str">
        <f>IF([8]道具信息!O422="","",[8]道具信息!O422)</f>
        <v/>
      </c>
      <c r="P422" s="39" t="str">
        <f>IF([8]道具信息!P422="","",[8]道具信息!P422)</f>
        <v/>
      </c>
      <c r="Q422" s="39" t="str">
        <f>IF([8]道具信息!Q422="","",[8]道具信息!Q422)</f>
        <v/>
      </c>
      <c r="R422" s="39" t="str">
        <f>IF([8]道具信息!R422="","",[8]道具信息!R422)</f>
        <v/>
      </c>
      <c r="S422" s="39" t="str">
        <f>IF([8]道具信息!S422="","",[8]道具信息!S422)</f>
        <v/>
      </c>
      <c r="T422" s="39" t="str">
        <f>IF([8]道具信息!T422="","",[8]道具信息!T422)</f>
        <v/>
      </c>
      <c r="U422" s="39" t="str">
        <f>IF([8]道具信息!U422="","",[8]道具信息!U422)</f>
        <v/>
      </c>
      <c r="V422" s="39" t="str">
        <f>IF([8]道具信息!V422="","",[8]道具信息!V422)</f>
        <v/>
      </c>
      <c r="W422" s="39" t="str">
        <f>IF([8]道具信息!W422="","",[8]道具信息!W422)</f>
        <v/>
      </c>
      <c r="X422" s="39" t="str">
        <f>IF([8]道具信息!X422="","",[8]道具信息!X422)</f>
        <v/>
      </c>
      <c r="Y422" s="39" t="str">
        <f>IF([8]道具信息!Y422="","",[8]道具信息!Y422)</f>
        <v/>
      </c>
      <c r="Z422" s="39" t="str">
        <f>IF([8]道具信息!Z422="","",[8]道具信息!Z422)</f>
        <v/>
      </c>
    </row>
    <row r="423" spans="1:26" x14ac:dyDescent="0.15">
      <c r="A423" s="39" t="str">
        <f>IF([8]道具信息!A423="","",[8]道具信息!A423)</f>
        <v/>
      </c>
      <c r="B423" s="39" t="str">
        <f>IF([8]道具信息!B423="","",[8]道具信息!B423)</f>
        <v/>
      </c>
      <c r="C423" s="39" t="str">
        <f>IF([8]道具信息!C423="","",[8]道具信息!C423)</f>
        <v/>
      </c>
      <c r="D423" s="39" t="str">
        <f>IF([8]道具信息!D423="","",[8]道具信息!D423)</f>
        <v/>
      </c>
      <c r="E423" s="39" t="str">
        <f>IF([8]道具信息!E423="","",[8]道具信息!E423)</f>
        <v/>
      </c>
      <c r="F423" s="39">
        <f>IF([8]道具信息!F423="","",[8]道具信息!F423)</f>
        <v>1</v>
      </c>
      <c r="G423" s="39">
        <f>IF([8]道具信息!G423="","",[8]道具信息!G423)</f>
        <v>1</v>
      </c>
      <c r="H423" s="39">
        <f>IF([8]道具信息!H423="","",[8]道具信息!H423)</f>
        <v>1</v>
      </c>
      <c r="I423" s="39" t="str">
        <f>IF([8]道具信息!I423="","",[8]道具信息!I423)</f>
        <v/>
      </c>
      <c r="J423" s="39" t="str">
        <f>IF([8]道具信息!J423="","",[8]道具信息!J423)</f>
        <v/>
      </c>
      <c r="K423" s="39" t="str">
        <f>IF([8]道具信息!K423="","",[8]道具信息!K423)</f>
        <v/>
      </c>
      <c r="L423" s="39" t="str">
        <f>IF([8]道具信息!L423="","",[8]道具信息!L423)</f>
        <v/>
      </c>
      <c r="M423" s="39" t="str">
        <f>IF([8]道具信息!M423="","",[8]道具信息!M423)</f>
        <v/>
      </c>
      <c r="N423" s="39" t="str">
        <f>IF([8]道具信息!N423="","",[8]道具信息!N423)</f>
        <v/>
      </c>
      <c r="O423" s="39" t="str">
        <f>IF([8]道具信息!O423="","",[8]道具信息!O423)</f>
        <v/>
      </c>
      <c r="P423" s="39" t="str">
        <f>IF([8]道具信息!P423="","",[8]道具信息!P423)</f>
        <v/>
      </c>
      <c r="Q423" s="39" t="str">
        <f>IF([8]道具信息!Q423="","",[8]道具信息!Q423)</f>
        <v/>
      </c>
      <c r="R423" s="39" t="str">
        <f>IF([8]道具信息!R423="","",[8]道具信息!R423)</f>
        <v/>
      </c>
      <c r="S423" s="39" t="str">
        <f>IF([8]道具信息!S423="","",[8]道具信息!S423)</f>
        <v/>
      </c>
      <c r="T423" s="39" t="str">
        <f>IF([8]道具信息!T423="","",[8]道具信息!T423)</f>
        <v/>
      </c>
      <c r="U423" s="39" t="str">
        <f>IF([8]道具信息!U423="","",[8]道具信息!U423)</f>
        <v/>
      </c>
      <c r="V423" s="39" t="str">
        <f>IF([8]道具信息!V423="","",[8]道具信息!V423)</f>
        <v/>
      </c>
      <c r="W423" s="39" t="str">
        <f>IF([8]道具信息!W423="","",[8]道具信息!W423)</f>
        <v/>
      </c>
      <c r="X423" s="39" t="str">
        <f>IF([8]道具信息!X423="","",[8]道具信息!X423)</f>
        <v/>
      </c>
      <c r="Y423" s="39" t="str">
        <f>IF([8]道具信息!Y423="","",[8]道具信息!Y423)</f>
        <v/>
      </c>
      <c r="Z423" s="39" t="str">
        <f>IF([8]道具信息!Z423="","",[8]道具信息!Z423)</f>
        <v/>
      </c>
    </row>
    <row r="424" spans="1:26" x14ac:dyDescent="0.15">
      <c r="A424" s="39" t="str">
        <f>IF([8]道具信息!A424="","",[8]道具信息!A424)</f>
        <v/>
      </c>
      <c r="B424" s="39" t="str">
        <f>IF([8]道具信息!B424="","",[8]道具信息!B424)</f>
        <v/>
      </c>
      <c r="C424" s="39" t="str">
        <f>IF([8]道具信息!C424="","",[8]道具信息!C424)</f>
        <v/>
      </c>
      <c r="D424" s="39" t="str">
        <f>IF([8]道具信息!D424="","",[8]道具信息!D424)</f>
        <v/>
      </c>
      <c r="E424" s="39" t="str">
        <f>IF([8]道具信息!E424="","",[8]道具信息!E424)</f>
        <v/>
      </c>
      <c r="F424" s="39">
        <f>IF([8]道具信息!F424="","",[8]道具信息!F424)</f>
        <v>1</v>
      </c>
      <c r="G424" s="39">
        <f>IF([8]道具信息!G424="","",[8]道具信息!G424)</f>
        <v>1</v>
      </c>
      <c r="H424" s="39">
        <f>IF([8]道具信息!H424="","",[8]道具信息!H424)</f>
        <v>1</v>
      </c>
      <c r="I424" s="39" t="str">
        <f>IF([8]道具信息!I424="","",[8]道具信息!I424)</f>
        <v/>
      </c>
      <c r="J424" s="39" t="str">
        <f>IF([8]道具信息!J424="","",[8]道具信息!J424)</f>
        <v/>
      </c>
      <c r="K424" s="39" t="str">
        <f>IF([8]道具信息!K424="","",[8]道具信息!K424)</f>
        <v/>
      </c>
      <c r="L424" s="39" t="str">
        <f>IF([8]道具信息!L424="","",[8]道具信息!L424)</f>
        <v/>
      </c>
      <c r="M424" s="39" t="str">
        <f>IF([8]道具信息!M424="","",[8]道具信息!M424)</f>
        <v/>
      </c>
      <c r="N424" s="39" t="str">
        <f>IF([8]道具信息!N424="","",[8]道具信息!N424)</f>
        <v/>
      </c>
      <c r="O424" s="39" t="str">
        <f>IF([8]道具信息!O424="","",[8]道具信息!O424)</f>
        <v/>
      </c>
      <c r="P424" s="39" t="str">
        <f>IF([8]道具信息!P424="","",[8]道具信息!P424)</f>
        <v/>
      </c>
      <c r="Q424" s="39" t="str">
        <f>IF([8]道具信息!Q424="","",[8]道具信息!Q424)</f>
        <v/>
      </c>
      <c r="R424" s="39" t="str">
        <f>IF([8]道具信息!R424="","",[8]道具信息!R424)</f>
        <v/>
      </c>
      <c r="S424" s="39" t="str">
        <f>IF([8]道具信息!S424="","",[8]道具信息!S424)</f>
        <v/>
      </c>
      <c r="T424" s="39" t="str">
        <f>IF([8]道具信息!T424="","",[8]道具信息!T424)</f>
        <v/>
      </c>
      <c r="U424" s="39" t="str">
        <f>IF([8]道具信息!U424="","",[8]道具信息!U424)</f>
        <v/>
      </c>
      <c r="V424" s="39" t="str">
        <f>IF([8]道具信息!V424="","",[8]道具信息!V424)</f>
        <v/>
      </c>
      <c r="W424" s="39" t="str">
        <f>IF([8]道具信息!W424="","",[8]道具信息!W424)</f>
        <v/>
      </c>
      <c r="X424" s="39" t="str">
        <f>IF([8]道具信息!X424="","",[8]道具信息!X424)</f>
        <v/>
      </c>
      <c r="Y424" s="39" t="str">
        <f>IF([8]道具信息!Y424="","",[8]道具信息!Y424)</f>
        <v/>
      </c>
      <c r="Z424" s="39" t="str">
        <f>IF([8]道具信息!Z424="","",[8]道具信息!Z424)</f>
        <v/>
      </c>
    </row>
    <row r="425" spans="1:26" x14ac:dyDescent="0.15">
      <c r="A425" s="39" t="str">
        <f>IF([8]道具信息!A425="","",[8]道具信息!A425)</f>
        <v/>
      </c>
      <c r="B425" s="39" t="str">
        <f>IF([8]道具信息!B425="","",[8]道具信息!B425)</f>
        <v/>
      </c>
      <c r="C425" s="39">
        <f>IF([8]道具信息!C425="","",[8]道具信息!C425)</f>
        <v>22116</v>
      </c>
      <c r="D425" s="39" t="str">
        <f>IF([8]道具信息!D425="","",[8]道具信息!D425)</f>
        <v>倾国倾城武魂</v>
      </c>
      <c r="E425" s="39" t="str">
        <f>IF([8]道具信息!E425="","",[8]道具信息!E425)</f>
        <v/>
      </c>
      <c r="F425" s="39">
        <f>IF([8]道具信息!F425="","",[8]道具信息!F425)</f>
        <v>1</v>
      </c>
      <c r="G425" s="39">
        <f>IF([8]道具信息!G425="","",[8]道具信息!G425)</f>
        <v>1</v>
      </c>
      <c r="H425" s="39">
        <f>IF([8]道具信息!H425="","",[8]道具信息!H425)</f>
        <v>1</v>
      </c>
      <c r="I425" s="39" t="str">
        <f>IF([8]道具信息!I425="","",[8]道具信息!I425)</f>
        <v/>
      </c>
      <c r="J425" s="39" t="str">
        <f>IF([8]道具信息!J425="","",[8]道具信息!J425)</f>
        <v/>
      </c>
      <c r="K425" s="39" t="str">
        <f>IF([8]道具信息!K425="","",[8]道具信息!K425)</f>
        <v/>
      </c>
      <c r="L425" s="39" t="str">
        <f>IF([8]道具信息!L425="","",[8]道具信息!L425)</f>
        <v/>
      </c>
      <c r="M425" s="39" t="str">
        <f>IF([8]道具信息!M425="","",[8]道具信息!M425)</f>
        <v/>
      </c>
      <c r="N425" s="39" t="str">
        <f>IF([8]道具信息!N425="","",[8]道具信息!N425)</f>
        <v/>
      </c>
      <c r="O425" s="39" t="str">
        <f>IF([8]道具信息!O425="","",[8]道具信息!O425)</f>
        <v/>
      </c>
      <c r="P425" s="39" t="str">
        <f>IF([8]道具信息!P425="","",[8]道具信息!P425)</f>
        <v/>
      </c>
      <c r="Q425" s="39" t="str">
        <f>IF([8]道具信息!Q425="","",[8]道具信息!Q425)</f>
        <v/>
      </c>
      <c r="R425" s="39" t="str">
        <f>IF([8]道具信息!R425="","",[8]道具信息!R425)</f>
        <v/>
      </c>
      <c r="S425" s="39" t="str">
        <f>IF([8]道具信息!S425="","",[8]道具信息!S425)</f>
        <v/>
      </c>
      <c r="T425" s="39" t="str">
        <f>IF([8]道具信息!T425="","",[8]道具信息!T425)</f>
        <v/>
      </c>
      <c r="U425" s="39" t="str">
        <f>IF([8]道具信息!U425="","",[8]道具信息!U425)</f>
        <v/>
      </c>
      <c r="V425" s="39" t="str">
        <f>IF([8]道具信息!V425="","",[8]道具信息!V425)</f>
        <v/>
      </c>
      <c r="W425" s="39" t="str">
        <f>IF([8]道具信息!W425="","",[8]道具信息!W425)</f>
        <v/>
      </c>
      <c r="X425" s="39" t="str">
        <f>IF([8]道具信息!X425="","",[8]道具信息!X425)</f>
        <v/>
      </c>
      <c r="Y425" s="39" t="str">
        <f>IF([8]道具信息!Y425="","",[8]道具信息!Y425)</f>
        <v/>
      </c>
      <c r="Z425" s="39" t="str">
        <f>IF([8]道具信息!Z425="","",[8]道具信息!Z425)</f>
        <v/>
      </c>
    </row>
    <row r="426" spans="1:26" x14ac:dyDescent="0.15">
      <c r="A426" s="39" t="str">
        <f>IF([8]道具信息!A426="","",[8]道具信息!A426)</f>
        <v/>
      </c>
      <c r="B426" s="39" t="str">
        <f>IF([8]道具信息!B426="","",[8]道具信息!B426)</f>
        <v/>
      </c>
      <c r="C426" s="39">
        <f>IF([8]道具信息!C426="","",[8]道具信息!C426)</f>
        <v>22117</v>
      </c>
      <c r="D426" s="39" t="str">
        <f>IF([8]道具信息!D426="","",[8]道具信息!D426)</f>
        <v>墨行天下武魂</v>
      </c>
      <c r="E426" s="39" t="str">
        <f>IF([8]道具信息!E426="","",[8]道具信息!E426)</f>
        <v/>
      </c>
      <c r="F426" s="39">
        <f>IF([8]道具信息!F426="","",[8]道具信息!F426)</f>
        <v>1</v>
      </c>
      <c r="G426" s="39">
        <f>IF([8]道具信息!G426="","",[8]道具信息!G426)</f>
        <v>1</v>
      </c>
      <c r="H426" s="39">
        <f>IF([8]道具信息!H426="","",[8]道具信息!H426)</f>
        <v>1</v>
      </c>
      <c r="I426" s="39" t="str">
        <f>IF([8]道具信息!I426="","",[8]道具信息!I426)</f>
        <v/>
      </c>
      <c r="J426" s="39" t="str">
        <f>IF([8]道具信息!J426="","",[8]道具信息!J426)</f>
        <v/>
      </c>
      <c r="K426" s="39" t="str">
        <f>IF([8]道具信息!K426="","",[8]道具信息!K426)</f>
        <v/>
      </c>
      <c r="L426" s="39" t="str">
        <f>IF([8]道具信息!L426="","",[8]道具信息!L426)</f>
        <v/>
      </c>
      <c r="M426" s="39" t="str">
        <f>IF([8]道具信息!M426="","",[8]道具信息!M426)</f>
        <v/>
      </c>
      <c r="N426" s="39" t="str">
        <f>IF([8]道具信息!N426="","",[8]道具信息!N426)</f>
        <v/>
      </c>
      <c r="O426" s="39" t="str">
        <f>IF([8]道具信息!O426="","",[8]道具信息!O426)</f>
        <v/>
      </c>
      <c r="P426" s="39" t="str">
        <f>IF([8]道具信息!P426="","",[8]道具信息!P426)</f>
        <v/>
      </c>
      <c r="Q426" s="39" t="str">
        <f>IF([8]道具信息!Q426="","",[8]道具信息!Q426)</f>
        <v/>
      </c>
      <c r="R426" s="39" t="str">
        <f>IF([8]道具信息!R426="","",[8]道具信息!R426)</f>
        <v/>
      </c>
      <c r="S426" s="39" t="str">
        <f>IF([8]道具信息!S426="","",[8]道具信息!S426)</f>
        <v/>
      </c>
      <c r="T426" s="39" t="str">
        <f>IF([8]道具信息!T426="","",[8]道具信息!T426)</f>
        <v/>
      </c>
      <c r="U426" s="39" t="str">
        <f>IF([8]道具信息!U426="","",[8]道具信息!U426)</f>
        <v/>
      </c>
      <c r="V426" s="39" t="str">
        <f>IF([8]道具信息!V426="","",[8]道具信息!V426)</f>
        <v/>
      </c>
      <c r="W426" s="39" t="str">
        <f>IF([8]道具信息!W426="","",[8]道具信息!W426)</f>
        <v/>
      </c>
      <c r="X426" s="39" t="str">
        <f>IF([8]道具信息!X426="","",[8]道具信息!X426)</f>
        <v/>
      </c>
      <c r="Y426" s="39" t="str">
        <f>IF([8]道具信息!Y426="","",[8]道具信息!Y426)</f>
        <v/>
      </c>
      <c r="Z426" s="39" t="str">
        <f>IF([8]道具信息!Z426="","",[8]道具信息!Z426)</f>
        <v/>
      </c>
    </row>
    <row r="427" spans="1:26" x14ac:dyDescent="0.15">
      <c r="A427" s="39" t="str">
        <f>IF([8]道具信息!A427="","",[8]道具信息!A427)</f>
        <v/>
      </c>
      <c r="B427" s="39" t="str">
        <f>IF([8]道具信息!B427="","",[8]道具信息!B427)</f>
        <v/>
      </c>
      <c r="C427" s="39">
        <f>IF([8]道具信息!C427="","",[8]道具信息!C427)</f>
        <v>23220</v>
      </c>
      <c r="D427" s="39" t="str">
        <f>IF([8]道具信息!D427="","",[8]道具信息!D427)</f>
        <v>红色统智装备礼包</v>
      </c>
      <c r="E427" s="39" t="str">
        <f>IF([8]道具信息!E427="","",[8]道具信息!E427)</f>
        <v/>
      </c>
      <c r="F427" s="39">
        <f>IF([8]道具信息!F427="","",[8]道具信息!F427)</f>
        <v>1</v>
      </c>
      <c r="G427" s="39">
        <f>IF([8]道具信息!G427="","",[8]道具信息!G427)</f>
        <v>1</v>
      </c>
      <c r="H427" s="39">
        <f>IF([8]道具信息!H427="","",[8]道具信息!H427)</f>
        <v>1</v>
      </c>
      <c r="I427" s="39" t="str">
        <f>IF([8]道具信息!I427="","",[8]道具信息!I427)</f>
        <v/>
      </c>
      <c r="J427" s="39" t="str">
        <f>IF([8]道具信息!J427="","",[8]道具信息!J427)</f>
        <v/>
      </c>
      <c r="K427" s="39" t="str">
        <f>IF([8]道具信息!K427="","",[8]道具信息!K427)</f>
        <v/>
      </c>
      <c r="L427" s="39" t="str">
        <f>IF([8]道具信息!L427="","",[8]道具信息!L427)</f>
        <v/>
      </c>
      <c r="M427" s="39" t="str">
        <f>IF([8]道具信息!M427="","",[8]道具信息!M427)</f>
        <v/>
      </c>
      <c r="N427" s="39" t="str">
        <f>IF([8]道具信息!N427="","",[8]道具信息!N427)</f>
        <v/>
      </c>
      <c r="O427" s="39" t="str">
        <f>IF([8]道具信息!O427="","",[8]道具信息!O427)</f>
        <v/>
      </c>
      <c r="P427" s="39" t="str">
        <f>IF([8]道具信息!P427="","",[8]道具信息!P427)</f>
        <v/>
      </c>
      <c r="Q427" s="39" t="str">
        <f>IF([8]道具信息!Q427="","",[8]道具信息!Q427)</f>
        <v/>
      </c>
      <c r="R427" s="39" t="str">
        <f>IF([8]道具信息!R427="","",[8]道具信息!R427)</f>
        <v/>
      </c>
      <c r="S427" s="39" t="str">
        <f>IF([8]道具信息!S427="","",[8]道具信息!S427)</f>
        <v/>
      </c>
      <c r="T427" s="39" t="str">
        <f>IF([8]道具信息!T427="","",[8]道具信息!T427)</f>
        <v/>
      </c>
      <c r="U427" s="39" t="str">
        <f>IF([8]道具信息!U427="","",[8]道具信息!U427)</f>
        <v/>
      </c>
      <c r="V427" s="39" t="str">
        <f>IF([8]道具信息!V427="","",[8]道具信息!V427)</f>
        <v/>
      </c>
      <c r="W427" s="39" t="str">
        <f>IF([8]道具信息!W427="","",[8]道具信息!W427)</f>
        <v/>
      </c>
      <c r="X427" s="39" t="str">
        <f>IF([8]道具信息!X427="","",[8]道具信息!X427)</f>
        <v/>
      </c>
      <c r="Y427" s="39" t="str">
        <f>IF([8]道具信息!Y427="","",[8]道具信息!Y427)</f>
        <v/>
      </c>
      <c r="Z427" s="39" t="str">
        <f>IF([8]道具信息!Z427="","",[8]道具信息!Z427)</f>
        <v/>
      </c>
    </row>
    <row r="428" spans="1:26" x14ac:dyDescent="0.15">
      <c r="A428" s="39" t="str">
        <f>IF([8]道具信息!A428="","",[8]道具信息!A428)</f>
        <v/>
      </c>
      <c r="B428" s="39" t="str">
        <f>IF([8]道具信息!B428="","",[8]道具信息!B428)</f>
        <v/>
      </c>
      <c r="C428" s="39">
        <f>IF([8]道具信息!C428="","",[8]道具信息!C428)</f>
        <v>23221</v>
      </c>
      <c r="D428" s="39" t="str">
        <f>IF([8]道具信息!D428="","",[8]道具信息!D428)</f>
        <v>紫色兵法自选宝箱</v>
      </c>
      <c r="E428" s="39" t="str">
        <f>IF([8]道具信息!E428="","",[8]道具信息!E428)</f>
        <v/>
      </c>
      <c r="F428" s="39">
        <f>IF([8]道具信息!F428="","",[8]道具信息!F428)</f>
        <v>1</v>
      </c>
      <c r="G428" s="39">
        <f>IF([8]道具信息!G428="","",[8]道具信息!G428)</f>
        <v>1</v>
      </c>
      <c r="H428" s="39">
        <f>IF([8]道具信息!H428="","",[8]道具信息!H428)</f>
        <v>1</v>
      </c>
      <c r="I428" s="39" t="str">
        <f>IF([8]道具信息!I428="","",[8]道具信息!I428)</f>
        <v/>
      </c>
      <c r="J428" s="39" t="str">
        <f>IF([8]道具信息!J428="","",[8]道具信息!J428)</f>
        <v/>
      </c>
      <c r="K428" s="39" t="str">
        <f>IF([8]道具信息!K428="","",[8]道具信息!K428)</f>
        <v/>
      </c>
      <c r="L428" s="39" t="str">
        <f>IF([8]道具信息!L428="","",[8]道具信息!L428)</f>
        <v/>
      </c>
      <c r="M428" s="39" t="str">
        <f>IF([8]道具信息!M428="","",[8]道具信息!M428)</f>
        <v/>
      </c>
      <c r="N428" s="39" t="str">
        <f>IF([8]道具信息!N428="","",[8]道具信息!N428)</f>
        <v/>
      </c>
      <c r="O428" s="39" t="str">
        <f>IF([8]道具信息!O428="","",[8]道具信息!O428)</f>
        <v/>
      </c>
      <c r="P428" s="39" t="str">
        <f>IF([8]道具信息!P428="","",[8]道具信息!P428)</f>
        <v/>
      </c>
      <c r="Q428" s="39" t="str">
        <f>IF([8]道具信息!Q428="","",[8]道具信息!Q428)</f>
        <v/>
      </c>
      <c r="R428" s="39" t="str">
        <f>IF([8]道具信息!R428="","",[8]道具信息!R428)</f>
        <v/>
      </c>
      <c r="S428" s="39" t="str">
        <f>IF([8]道具信息!S428="","",[8]道具信息!S428)</f>
        <v/>
      </c>
      <c r="T428" s="39" t="str">
        <f>IF([8]道具信息!T428="","",[8]道具信息!T428)</f>
        <v/>
      </c>
      <c r="U428" s="39" t="str">
        <f>IF([8]道具信息!U428="","",[8]道具信息!U428)</f>
        <v/>
      </c>
      <c r="V428" s="39" t="str">
        <f>IF([8]道具信息!V428="","",[8]道具信息!V428)</f>
        <v/>
      </c>
      <c r="W428" s="39" t="str">
        <f>IF([8]道具信息!W428="","",[8]道具信息!W428)</f>
        <v/>
      </c>
      <c r="X428" s="39" t="str">
        <f>IF([8]道具信息!X428="","",[8]道具信息!X428)</f>
        <v/>
      </c>
      <c r="Y428" s="39" t="str">
        <f>IF([8]道具信息!Y428="","",[8]道具信息!Y428)</f>
        <v/>
      </c>
      <c r="Z428" s="39" t="str">
        <f>IF([8]道具信息!Z428="","",[8]道具信息!Z428)</f>
        <v/>
      </c>
    </row>
    <row r="429" spans="1:26" x14ac:dyDescent="0.15">
      <c r="A429" s="39" t="str">
        <f>IF([8]道具信息!A429="","",[8]道具信息!A429)</f>
        <v/>
      </c>
      <c r="B429" s="39" t="str">
        <f>IF([8]道具信息!B429="","",[8]道具信息!B429)</f>
        <v/>
      </c>
      <c r="C429" s="39">
        <f>IF([8]道具信息!C429="","",[8]道具信息!C429)</f>
        <v>23222</v>
      </c>
      <c r="D429" s="39" t="str">
        <f>IF([8]道具信息!D429="","",[8]道具信息!D429)</f>
        <v>橙色兵法自选宝箱</v>
      </c>
      <c r="E429" s="39" t="str">
        <f>IF([8]道具信息!E429="","",[8]道具信息!E429)</f>
        <v/>
      </c>
      <c r="F429" s="39">
        <f>IF([8]道具信息!F429="","",[8]道具信息!F429)</f>
        <v>1</v>
      </c>
      <c r="G429" s="39">
        <f>IF([8]道具信息!G429="","",[8]道具信息!G429)</f>
        <v>1</v>
      </c>
      <c r="H429" s="39">
        <f>IF([8]道具信息!H429="","",[8]道具信息!H429)</f>
        <v>1</v>
      </c>
      <c r="I429" s="39" t="str">
        <f>IF([8]道具信息!I429="","",[8]道具信息!I429)</f>
        <v/>
      </c>
      <c r="J429" s="39" t="str">
        <f>IF([8]道具信息!J429="","",[8]道具信息!J429)</f>
        <v/>
      </c>
      <c r="K429" s="39" t="str">
        <f>IF([8]道具信息!K429="","",[8]道具信息!K429)</f>
        <v/>
      </c>
      <c r="L429" s="39" t="str">
        <f>IF([8]道具信息!L429="","",[8]道具信息!L429)</f>
        <v/>
      </c>
      <c r="M429" s="39" t="str">
        <f>IF([8]道具信息!M429="","",[8]道具信息!M429)</f>
        <v/>
      </c>
      <c r="N429" s="39" t="str">
        <f>IF([8]道具信息!N429="","",[8]道具信息!N429)</f>
        <v/>
      </c>
      <c r="O429" s="39" t="str">
        <f>IF([8]道具信息!O429="","",[8]道具信息!O429)</f>
        <v/>
      </c>
      <c r="P429" s="39" t="str">
        <f>IF([8]道具信息!P429="","",[8]道具信息!P429)</f>
        <v/>
      </c>
      <c r="Q429" s="39" t="str">
        <f>IF([8]道具信息!Q429="","",[8]道具信息!Q429)</f>
        <v/>
      </c>
      <c r="R429" s="39" t="str">
        <f>IF([8]道具信息!R429="","",[8]道具信息!R429)</f>
        <v/>
      </c>
      <c r="S429" s="39" t="str">
        <f>IF([8]道具信息!S429="","",[8]道具信息!S429)</f>
        <v/>
      </c>
      <c r="T429" s="39" t="str">
        <f>IF([8]道具信息!T429="","",[8]道具信息!T429)</f>
        <v/>
      </c>
      <c r="U429" s="39" t="str">
        <f>IF([8]道具信息!U429="","",[8]道具信息!U429)</f>
        <v/>
      </c>
      <c r="V429" s="39" t="str">
        <f>IF([8]道具信息!V429="","",[8]道具信息!V429)</f>
        <v/>
      </c>
      <c r="W429" s="39" t="str">
        <f>IF([8]道具信息!W429="","",[8]道具信息!W429)</f>
        <v/>
      </c>
      <c r="X429" s="39" t="str">
        <f>IF([8]道具信息!X429="","",[8]道具信息!X429)</f>
        <v/>
      </c>
      <c r="Y429" s="39" t="str">
        <f>IF([8]道具信息!Y429="","",[8]道具信息!Y429)</f>
        <v/>
      </c>
      <c r="Z429" s="39" t="str">
        <f>IF([8]道具信息!Z429="","",[8]道具信息!Z429)</f>
        <v/>
      </c>
    </row>
    <row r="430" spans="1:26" x14ac:dyDescent="0.15">
      <c r="A430" s="39" t="str">
        <f>IF([8]道具信息!A430="","",[8]道具信息!A430)</f>
        <v/>
      </c>
      <c r="B430" s="39" t="str">
        <f>IF([8]道具信息!B430="","",[8]道具信息!B430)</f>
        <v/>
      </c>
      <c r="C430" s="39">
        <f>IF([8]道具信息!C430="","",[8]道具信息!C430)</f>
        <v>23364</v>
      </c>
      <c r="D430" s="39" t="str">
        <f>IF([8]道具信息!D430="","",[8]道具信息!D430)</f>
        <v>自选橙色兵法碎片</v>
      </c>
      <c r="E430" s="39" t="str">
        <f>IF([8]道具信息!E430="","",[8]道具信息!E430)</f>
        <v/>
      </c>
      <c r="F430" s="39">
        <f>IF([8]道具信息!F430="","",[8]道具信息!F430)</f>
        <v>1</v>
      </c>
      <c r="G430" s="39">
        <f>IF([8]道具信息!G430="","",[8]道具信息!G430)</f>
        <v>1</v>
      </c>
      <c r="H430" s="39">
        <f>IF([8]道具信息!H430="","",[8]道具信息!H430)</f>
        <v>1</v>
      </c>
      <c r="I430" s="39" t="str">
        <f>IF([8]道具信息!I430="","",[8]道具信息!I430)</f>
        <v/>
      </c>
      <c r="J430" s="39" t="str">
        <f>IF([8]道具信息!J430="","",[8]道具信息!J430)</f>
        <v/>
      </c>
      <c r="K430" s="39" t="str">
        <f>IF([8]道具信息!K430="","",[8]道具信息!K430)</f>
        <v/>
      </c>
      <c r="L430" s="39" t="str">
        <f>IF([8]道具信息!L430="","",[8]道具信息!L430)</f>
        <v/>
      </c>
      <c r="M430" s="39" t="str">
        <f>IF([8]道具信息!M430="","",[8]道具信息!M430)</f>
        <v/>
      </c>
      <c r="N430" s="39" t="str">
        <f>IF([8]道具信息!N430="","",[8]道具信息!N430)</f>
        <v/>
      </c>
      <c r="O430" s="39" t="str">
        <f>IF([8]道具信息!O430="","",[8]道具信息!O430)</f>
        <v/>
      </c>
      <c r="P430" s="39" t="str">
        <f>IF([8]道具信息!P430="","",[8]道具信息!P430)</f>
        <v/>
      </c>
      <c r="Q430" s="39" t="str">
        <f>IF([8]道具信息!Q430="","",[8]道具信息!Q430)</f>
        <v/>
      </c>
      <c r="R430" s="39" t="str">
        <f>IF([8]道具信息!R430="","",[8]道具信息!R430)</f>
        <v/>
      </c>
      <c r="S430" s="39" t="str">
        <f>IF([8]道具信息!S430="","",[8]道具信息!S430)</f>
        <v/>
      </c>
      <c r="T430" s="39" t="str">
        <f>IF([8]道具信息!T430="","",[8]道具信息!T430)</f>
        <v/>
      </c>
      <c r="U430" s="39" t="str">
        <f>IF([8]道具信息!U430="","",[8]道具信息!U430)</f>
        <v/>
      </c>
      <c r="V430" s="39" t="str">
        <f>IF([8]道具信息!V430="","",[8]道具信息!V430)</f>
        <v/>
      </c>
      <c r="W430" s="39" t="str">
        <f>IF([8]道具信息!W430="","",[8]道具信息!W430)</f>
        <v/>
      </c>
      <c r="X430" s="39" t="str">
        <f>IF([8]道具信息!X430="","",[8]道具信息!X430)</f>
        <v/>
      </c>
      <c r="Y430" s="39" t="str">
        <f>IF([8]道具信息!Y430="","",[8]道具信息!Y430)</f>
        <v/>
      </c>
      <c r="Z430" s="39" t="str">
        <f>IF([8]道具信息!Z430="","",[8]道具信息!Z430)</f>
        <v/>
      </c>
    </row>
    <row r="431" spans="1:26" x14ac:dyDescent="0.15">
      <c r="A431" s="39" t="str">
        <f>IF([8]道具信息!A431="","",[8]道具信息!A431)</f>
        <v/>
      </c>
      <c r="B431" s="39" t="str">
        <f>IF([8]道具信息!B431="","",[8]道具信息!B431)</f>
        <v/>
      </c>
      <c r="C431" s="39">
        <f>IF([8]道具信息!C431="","",[8]道具信息!C431)</f>
        <v>23365</v>
      </c>
      <c r="D431" s="39" t="str">
        <f>IF([8]道具信息!D431="","",[8]道具信息!D431)</f>
        <v>自选紫色兵法碎片</v>
      </c>
      <c r="E431" s="39" t="str">
        <f>IF([8]道具信息!E431="","",[8]道具信息!E431)</f>
        <v/>
      </c>
      <c r="F431" s="39">
        <f>IF([8]道具信息!F431="","",[8]道具信息!F431)</f>
        <v>1</v>
      </c>
      <c r="G431" s="39">
        <f>IF([8]道具信息!G431="","",[8]道具信息!G431)</f>
        <v>1</v>
      </c>
      <c r="H431" s="39">
        <f>IF([8]道具信息!H431="","",[8]道具信息!H431)</f>
        <v>1</v>
      </c>
      <c r="I431" s="39" t="str">
        <f>IF([8]道具信息!I431="","",[8]道具信息!I431)</f>
        <v/>
      </c>
      <c r="J431" s="39" t="str">
        <f>IF([8]道具信息!J431="","",[8]道具信息!J431)</f>
        <v/>
      </c>
      <c r="K431" s="39" t="str">
        <f>IF([8]道具信息!K431="","",[8]道具信息!K431)</f>
        <v/>
      </c>
      <c r="L431" s="39" t="str">
        <f>IF([8]道具信息!L431="","",[8]道具信息!L431)</f>
        <v/>
      </c>
      <c r="M431" s="39" t="str">
        <f>IF([8]道具信息!M431="","",[8]道具信息!M431)</f>
        <v/>
      </c>
      <c r="N431" s="39" t="str">
        <f>IF([8]道具信息!N431="","",[8]道具信息!N431)</f>
        <v/>
      </c>
      <c r="O431" s="39" t="str">
        <f>IF([8]道具信息!O431="","",[8]道具信息!O431)</f>
        <v/>
      </c>
      <c r="P431" s="39" t="str">
        <f>IF([8]道具信息!P431="","",[8]道具信息!P431)</f>
        <v/>
      </c>
      <c r="Q431" s="39" t="str">
        <f>IF([8]道具信息!Q431="","",[8]道具信息!Q431)</f>
        <v/>
      </c>
      <c r="R431" s="39" t="str">
        <f>IF([8]道具信息!R431="","",[8]道具信息!R431)</f>
        <v/>
      </c>
      <c r="S431" s="39" t="str">
        <f>IF([8]道具信息!S431="","",[8]道具信息!S431)</f>
        <v/>
      </c>
      <c r="T431" s="39" t="str">
        <f>IF([8]道具信息!T431="","",[8]道具信息!T431)</f>
        <v/>
      </c>
      <c r="U431" s="39" t="str">
        <f>IF([8]道具信息!U431="","",[8]道具信息!U431)</f>
        <v/>
      </c>
      <c r="V431" s="39" t="str">
        <f>IF([8]道具信息!V431="","",[8]道具信息!V431)</f>
        <v/>
      </c>
      <c r="W431" s="39" t="str">
        <f>IF([8]道具信息!W431="","",[8]道具信息!W431)</f>
        <v/>
      </c>
      <c r="X431" s="39" t="str">
        <f>IF([8]道具信息!X431="","",[8]道具信息!X431)</f>
        <v/>
      </c>
      <c r="Y431" s="39" t="str">
        <f>IF([8]道具信息!Y431="","",[8]道具信息!Y431)</f>
        <v/>
      </c>
      <c r="Z431" s="39" t="str">
        <f>IF([8]道具信息!Z431="","",[8]道具信息!Z431)</f>
        <v/>
      </c>
    </row>
    <row r="432" spans="1:26" x14ac:dyDescent="0.15">
      <c r="A432" s="39" t="str">
        <f>IF([8]道具信息!A432="","",[8]道具信息!A432)</f>
        <v/>
      </c>
      <c r="B432" s="39" t="str">
        <f>IF([8]道具信息!B432="","",[8]道具信息!B432)</f>
        <v/>
      </c>
      <c r="C432" s="39" t="str">
        <f>IF([8]道具信息!C432="","",[8]道具信息!C432)</f>
        <v/>
      </c>
      <c r="D432" s="39" t="str">
        <f>IF([8]道具信息!D432="","",[8]道具信息!D432)</f>
        <v/>
      </c>
      <c r="E432" s="39" t="str">
        <f>IF([8]道具信息!E432="","",[8]道具信息!E432)</f>
        <v/>
      </c>
      <c r="F432" s="39">
        <f>IF([8]道具信息!F432="","",[8]道具信息!F432)</f>
        <v>1</v>
      </c>
      <c r="G432" s="39">
        <f>IF([8]道具信息!G432="","",[8]道具信息!G432)</f>
        <v>1</v>
      </c>
      <c r="H432" s="39">
        <f>IF([8]道具信息!H432="","",[8]道具信息!H432)</f>
        <v>1</v>
      </c>
      <c r="I432" s="39" t="str">
        <f>IF([8]道具信息!I432="","",[8]道具信息!I432)</f>
        <v/>
      </c>
      <c r="J432" s="39" t="str">
        <f>IF([8]道具信息!J432="","",[8]道具信息!J432)</f>
        <v/>
      </c>
      <c r="K432" s="39" t="str">
        <f>IF([8]道具信息!K432="","",[8]道具信息!K432)</f>
        <v/>
      </c>
      <c r="L432" s="39" t="str">
        <f>IF([8]道具信息!L432="","",[8]道具信息!L432)</f>
        <v/>
      </c>
      <c r="M432" s="39" t="str">
        <f>IF([8]道具信息!M432="","",[8]道具信息!M432)</f>
        <v/>
      </c>
      <c r="N432" s="39" t="str">
        <f>IF([8]道具信息!N432="","",[8]道具信息!N432)</f>
        <v/>
      </c>
      <c r="O432" s="39" t="str">
        <f>IF([8]道具信息!O432="","",[8]道具信息!O432)</f>
        <v/>
      </c>
      <c r="P432" s="39" t="str">
        <f>IF([8]道具信息!P432="","",[8]道具信息!P432)</f>
        <v/>
      </c>
      <c r="Q432" s="39" t="str">
        <f>IF([8]道具信息!Q432="","",[8]道具信息!Q432)</f>
        <v/>
      </c>
      <c r="R432" s="39" t="str">
        <f>IF([8]道具信息!R432="","",[8]道具信息!R432)</f>
        <v/>
      </c>
      <c r="S432" s="39" t="str">
        <f>IF([8]道具信息!S432="","",[8]道具信息!S432)</f>
        <v/>
      </c>
      <c r="T432" s="39" t="str">
        <f>IF([8]道具信息!T432="","",[8]道具信息!T432)</f>
        <v/>
      </c>
      <c r="U432" s="39" t="str">
        <f>IF([8]道具信息!U432="","",[8]道具信息!U432)</f>
        <v/>
      </c>
      <c r="V432" s="39" t="str">
        <f>IF([8]道具信息!V432="","",[8]道具信息!V432)</f>
        <v/>
      </c>
      <c r="W432" s="39" t="str">
        <f>IF([8]道具信息!W432="","",[8]道具信息!W432)</f>
        <v/>
      </c>
      <c r="X432" s="39" t="str">
        <f>IF([8]道具信息!X432="","",[8]道具信息!X432)</f>
        <v/>
      </c>
      <c r="Y432" s="39" t="str">
        <f>IF([8]道具信息!Y432="","",[8]道具信息!Y432)</f>
        <v/>
      </c>
      <c r="Z432" s="39" t="str">
        <f>IF([8]道具信息!Z432="","",[8]道具信息!Z432)</f>
        <v/>
      </c>
    </row>
    <row r="433" spans="1:26" x14ac:dyDescent="0.15">
      <c r="A433" s="39" t="str">
        <f>IF([8]道具信息!A433="","",[8]道具信息!A433)</f>
        <v/>
      </c>
      <c r="B433" s="39" t="str">
        <f>IF([8]道具信息!B433="","",[8]道具信息!B433)</f>
        <v/>
      </c>
      <c r="C433" s="39">
        <f>IF([8]道具信息!C433="","",[8]道具信息!C433)</f>
        <v>21075</v>
      </c>
      <c r="D433" s="39" t="str">
        <f>IF([8]道具信息!D433="","",[8]道具信息!D433)</f>
        <v>中级免战牌</v>
      </c>
      <c r="E433" s="39">
        <f>IF([8]道具信息!E433="","",[8]道具信息!E433)</f>
        <v>200</v>
      </c>
      <c r="F433" s="39">
        <f>IF([8]道具信息!F433="","",[8]道具信息!F433)</f>
        <v>1</v>
      </c>
      <c r="G433" s="39">
        <f>IF([8]道具信息!G433="","",[8]道具信息!G433)</f>
        <v>1</v>
      </c>
      <c r="H433" s="39">
        <f>IF([8]道具信息!H433="","",[8]道具信息!H433)</f>
        <v>1</v>
      </c>
      <c r="I433" s="39">
        <f>IF([8]道具信息!I433="","",[8]道具信息!I433)</f>
        <v>200</v>
      </c>
      <c r="J433" s="39">
        <f>IF([8]道具信息!J433="","",[8]道具信息!J433)</f>
        <v>200</v>
      </c>
      <c r="K433" s="39">
        <f>IF([8]道具信息!K433="","",[8]道具信息!K433)</f>
        <v>200</v>
      </c>
      <c r="L433" s="39" t="str">
        <f>IF([8]道具信息!L433="","",[8]道具信息!L433)</f>
        <v>使用后城池不会遭受来自其他玩家的攻击，主动进攻其他玩家后失效，持续12小时</v>
      </c>
      <c r="M433" s="39" t="str">
        <f>IF([8]道具信息!M433="","",[8]道具信息!M433)</f>
        <v/>
      </c>
      <c r="N433" s="39" t="str">
        <f>IF([8]道具信息!N433="","",[8]道具信息!N433)</f>
        <v/>
      </c>
      <c r="O433" s="39" t="str">
        <f>IF([8]道具信息!O433="","",[8]道具信息!O433)</f>
        <v/>
      </c>
      <c r="P433" s="39" t="str">
        <f>IF([8]道具信息!P433="","",[8]道具信息!P433)</f>
        <v/>
      </c>
      <c r="Q433" s="39" t="str">
        <f>IF([8]道具信息!Q433="","",[8]道具信息!Q433)</f>
        <v/>
      </c>
      <c r="R433" s="39" t="str">
        <f>IF([8]道具信息!R433="","",[8]道具信息!R433)</f>
        <v/>
      </c>
      <c r="S433" s="39" t="str">
        <f>IF([8]道具信息!S433="","",[8]道具信息!S433)</f>
        <v/>
      </c>
      <c r="T433" s="39" t="str">
        <f>IF([8]道具信息!T433="","",[8]道具信息!T433)</f>
        <v/>
      </c>
      <c r="U433" s="39" t="str">
        <f>IF([8]道具信息!U433="","",[8]道具信息!U433)</f>
        <v/>
      </c>
      <c r="V433" s="39" t="str">
        <f>IF([8]道具信息!V433="","",[8]道具信息!V433)</f>
        <v/>
      </c>
      <c r="W433" s="39" t="str">
        <f>IF([8]道具信息!W433="","",[8]道具信息!W433)</f>
        <v/>
      </c>
      <c r="X433" s="39" t="str">
        <f>IF([8]道具信息!X433="","",[8]道具信息!X433)</f>
        <v/>
      </c>
      <c r="Y433" s="39" t="str">
        <f>IF([8]道具信息!Y433="","",[8]道具信息!Y433)</f>
        <v/>
      </c>
      <c r="Z433" s="39" t="str">
        <f>IF([8]道具信息!Z433="","",[8]道具信息!Z433)</f>
        <v/>
      </c>
    </row>
    <row r="434" spans="1:26" x14ac:dyDescent="0.15">
      <c r="A434" s="39" t="str">
        <f>IF([8]道具信息!A434="","",[8]道具信息!A434)</f>
        <v/>
      </c>
      <c r="B434" s="39" t="str">
        <f>IF([8]道具信息!B434="","",[8]道具信息!B434)</f>
        <v/>
      </c>
      <c r="C434" s="39">
        <f>IF([8]道具信息!C434="","",[8]道具信息!C434)</f>
        <v>21071</v>
      </c>
      <c r="D434" s="39" t="str">
        <f>IF([8]道具信息!D434="","",[8]道具信息!D434)</f>
        <v>高级免战牌</v>
      </c>
      <c r="E434" s="39">
        <f>IF([8]道具信息!E434="","",[8]道具信息!E434)</f>
        <v>500</v>
      </c>
      <c r="F434" s="39">
        <f>IF([8]道具信息!F434="","",[8]道具信息!F434)</f>
        <v>1</v>
      </c>
      <c r="G434" s="39">
        <f>IF([8]道具信息!G434="","",[8]道具信息!G434)</f>
        <v>1</v>
      </c>
      <c r="H434" s="39">
        <f>IF([8]道具信息!H434="","",[8]道具信息!H434)</f>
        <v>1</v>
      </c>
      <c r="I434" s="39">
        <f>IF([8]道具信息!I434="","",[8]道具信息!I434)</f>
        <v>500</v>
      </c>
      <c r="J434" s="39">
        <f>IF([8]道具信息!J434="","",[8]道具信息!J434)</f>
        <v>500</v>
      </c>
      <c r="K434" s="39">
        <f>IF([8]道具信息!K434="","",[8]道具信息!K434)</f>
        <v>500</v>
      </c>
      <c r="L434" s="39" t="str">
        <f>IF([8]道具信息!L434="","",[8]道具信息!L434)</f>
        <v>使用后城池不会遭受来自其他玩家的攻击，主动进攻其他玩家后失效，持续24小时</v>
      </c>
      <c r="M434" s="39" t="str">
        <f>IF([8]道具信息!M434="","",[8]道具信息!M434)</f>
        <v/>
      </c>
      <c r="N434" s="39" t="str">
        <f>IF([8]道具信息!N434="","",[8]道具信息!N434)</f>
        <v/>
      </c>
      <c r="O434" s="39" t="str">
        <f>IF([8]道具信息!O434="","",[8]道具信息!O434)</f>
        <v/>
      </c>
      <c r="P434" s="39" t="str">
        <f>IF([8]道具信息!P434="","",[8]道具信息!P434)</f>
        <v/>
      </c>
      <c r="Q434" s="39" t="str">
        <f>IF([8]道具信息!Q434="","",[8]道具信息!Q434)</f>
        <v/>
      </c>
      <c r="R434" s="39" t="str">
        <f>IF([8]道具信息!R434="","",[8]道具信息!R434)</f>
        <v/>
      </c>
      <c r="S434" s="39" t="str">
        <f>IF([8]道具信息!S434="","",[8]道具信息!S434)</f>
        <v/>
      </c>
      <c r="T434" s="39" t="str">
        <f>IF([8]道具信息!T434="","",[8]道具信息!T434)</f>
        <v/>
      </c>
      <c r="U434" s="39" t="str">
        <f>IF([8]道具信息!U434="","",[8]道具信息!U434)</f>
        <v/>
      </c>
      <c r="V434" s="39" t="str">
        <f>IF([8]道具信息!V434="","",[8]道具信息!V434)</f>
        <v/>
      </c>
      <c r="W434" s="39" t="str">
        <f>IF([8]道具信息!W434="","",[8]道具信息!W434)</f>
        <v/>
      </c>
      <c r="X434" s="39" t="str">
        <f>IF([8]道具信息!X434="","",[8]道具信息!X434)</f>
        <v/>
      </c>
      <c r="Y434" s="39" t="str">
        <f>IF([8]道具信息!Y434="","",[8]道具信息!Y434)</f>
        <v/>
      </c>
      <c r="Z434" s="39" t="str">
        <f>IF([8]道具信息!Z434="","",[8]道具信息!Z434)</f>
        <v/>
      </c>
    </row>
    <row r="435" spans="1:26" x14ac:dyDescent="0.15">
      <c r="A435" s="39" t="str">
        <f>IF([8]道具信息!A435="","",[8]道具信息!A435)</f>
        <v/>
      </c>
      <c r="B435" s="39" t="str">
        <f>IF([8]道具信息!B435="","",[8]道具信息!B435)</f>
        <v/>
      </c>
      <c r="C435" s="39">
        <f>IF([8]道具信息!C435="","",[8]道具信息!C435)</f>
        <v>21072</v>
      </c>
      <c r="D435" s="39" t="str">
        <f>IF([8]道具信息!D435="","",[8]道具信息!D435)</f>
        <v>特级免战牌</v>
      </c>
      <c r="E435" s="39">
        <f>IF([8]道具信息!E435="","",[8]道具信息!E435)</f>
        <v>1800</v>
      </c>
      <c r="F435" s="39">
        <f>IF([8]道具信息!F435="","",[8]道具信息!F435)</f>
        <v>1</v>
      </c>
      <c r="G435" s="39">
        <f>IF([8]道具信息!G435="","",[8]道具信息!G435)</f>
        <v>1</v>
      </c>
      <c r="H435" s="39">
        <f>IF([8]道具信息!H435="","",[8]道具信息!H435)</f>
        <v>1</v>
      </c>
      <c r="I435" s="39">
        <f>IF([8]道具信息!I435="","",[8]道具信息!I435)</f>
        <v>1800</v>
      </c>
      <c r="J435" s="39">
        <f>IF([8]道具信息!J435="","",[8]道具信息!J435)</f>
        <v>1800</v>
      </c>
      <c r="K435" s="39">
        <f>IF([8]道具信息!K435="","",[8]道具信息!K435)</f>
        <v>1800</v>
      </c>
      <c r="L435" s="39" t="str">
        <f>IF([8]道具信息!L435="","",[8]道具信息!L435)</f>
        <v>使用后城池不会遭受来自其他玩家的攻击，主动进攻其他玩家后失效，持续72小时</v>
      </c>
      <c r="M435" s="39" t="str">
        <f>IF([8]道具信息!M435="","",[8]道具信息!M435)</f>
        <v/>
      </c>
      <c r="N435" s="39" t="str">
        <f>IF([8]道具信息!N435="","",[8]道具信息!N435)</f>
        <v/>
      </c>
      <c r="O435" s="39" t="str">
        <f>IF([8]道具信息!O435="","",[8]道具信息!O435)</f>
        <v/>
      </c>
      <c r="P435" s="39" t="str">
        <f>IF([8]道具信息!P435="","",[8]道具信息!P435)</f>
        <v/>
      </c>
      <c r="Q435" s="39" t="str">
        <f>IF([8]道具信息!Q435="","",[8]道具信息!Q435)</f>
        <v/>
      </c>
      <c r="R435" s="39" t="str">
        <f>IF([8]道具信息!R435="","",[8]道具信息!R435)</f>
        <v/>
      </c>
      <c r="S435" s="39" t="str">
        <f>IF([8]道具信息!S435="","",[8]道具信息!S435)</f>
        <v/>
      </c>
      <c r="T435" s="39" t="str">
        <f>IF([8]道具信息!T435="","",[8]道具信息!T435)</f>
        <v/>
      </c>
      <c r="U435" s="39" t="str">
        <f>IF([8]道具信息!U435="","",[8]道具信息!U435)</f>
        <v/>
      </c>
      <c r="V435" s="39" t="str">
        <f>IF([8]道具信息!V435="","",[8]道具信息!V435)</f>
        <v/>
      </c>
      <c r="W435" s="39" t="str">
        <f>IF([8]道具信息!W435="","",[8]道具信息!W435)</f>
        <v/>
      </c>
      <c r="X435" s="39" t="str">
        <f>IF([8]道具信息!X435="","",[8]道具信息!X435)</f>
        <v/>
      </c>
      <c r="Y435" s="39" t="str">
        <f>IF([8]道具信息!Y435="","",[8]道具信息!Y435)</f>
        <v/>
      </c>
      <c r="Z435" s="39" t="str">
        <f>IF([8]道具信息!Z435="","",[8]道具信息!Z435)</f>
        <v/>
      </c>
    </row>
    <row r="436" spans="1:26" x14ac:dyDescent="0.15">
      <c r="A436" s="39" t="str">
        <f>IF([8]道具信息!A436="","",[8]道具信息!A436)</f>
        <v/>
      </c>
      <c r="B436" s="39" t="str">
        <f>IF([8]道具信息!B436="","",[8]道具信息!B436)</f>
        <v/>
      </c>
      <c r="C436" s="39" t="str">
        <f>IF([8]道具信息!C436="","",[8]道具信息!C436)</f>
        <v/>
      </c>
      <c r="D436" s="39" t="str">
        <f>IF([8]道具信息!D436="","",[8]道具信息!D436)</f>
        <v/>
      </c>
      <c r="E436" s="39" t="str">
        <f>IF([8]道具信息!E436="","",[8]道具信息!E436)</f>
        <v/>
      </c>
      <c r="F436" s="39">
        <f>IF([8]道具信息!F436="","",[8]道具信息!F436)</f>
        <v>1</v>
      </c>
      <c r="G436" s="39">
        <f>IF([8]道具信息!G436="","",[8]道具信息!G436)</f>
        <v>1</v>
      </c>
      <c r="H436" s="39">
        <f>IF([8]道具信息!H436="","",[8]道具信息!H436)</f>
        <v>1</v>
      </c>
      <c r="I436" s="39" t="str">
        <f>IF([8]道具信息!I436="","",[8]道具信息!I436)</f>
        <v/>
      </c>
      <c r="J436" s="39" t="str">
        <f>IF([8]道具信息!J436="","",[8]道具信息!J436)</f>
        <v/>
      </c>
      <c r="K436" s="39" t="str">
        <f>IF([8]道具信息!K436="","",[8]道具信息!K436)</f>
        <v/>
      </c>
      <c r="L436" s="39" t="str">
        <f>IF([8]道具信息!L436="","",[8]道具信息!L436)</f>
        <v>消灭野怪获得，用于宝物温养。</v>
      </c>
      <c r="M436" s="39" t="str">
        <f>IF([8]道具信息!M436="","",[8]道具信息!M436)</f>
        <v/>
      </c>
      <c r="N436" s="39" t="str">
        <f>IF([8]道具信息!N436="","",[8]道具信息!N436)</f>
        <v/>
      </c>
      <c r="O436" s="39" t="str">
        <f>IF([8]道具信息!O436="","",[8]道具信息!O436)</f>
        <v/>
      </c>
      <c r="P436" s="39" t="str">
        <f>IF([8]道具信息!P436="","",[8]道具信息!P436)</f>
        <v/>
      </c>
      <c r="Q436" s="39" t="str">
        <f>IF([8]道具信息!Q436="","",[8]道具信息!Q436)</f>
        <v/>
      </c>
      <c r="R436" s="39" t="str">
        <f>IF([8]道具信息!R436="","",[8]道具信息!R436)</f>
        <v/>
      </c>
      <c r="S436" s="39" t="str">
        <f>IF([8]道具信息!S436="","",[8]道具信息!S436)</f>
        <v/>
      </c>
      <c r="T436" s="39" t="str">
        <f>IF([8]道具信息!T436="","",[8]道具信息!T436)</f>
        <v/>
      </c>
      <c r="U436" s="39" t="str">
        <f>IF([8]道具信息!U436="","",[8]道具信息!U436)</f>
        <v/>
      </c>
      <c r="V436" s="39" t="str">
        <f>IF([8]道具信息!V436="","",[8]道具信息!V436)</f>
        <v/>
      </c>
      <c r="W436" s="39" t="str">
        <f>IF([8]道具信息!W436="","",[8]道具信息!W436)</f>
        <v/>
      </c>
      <c r="X436" s="39" t="str">
        <f>IF([8]道具信息!X436="","",[8]道具信息!X436)</f>
        <v/>
      </c>
      <c r="Y436" s="39" t="str">
        <f>IF([8]道具信息!Y436="","",[8]道具信息!Y436)</f>
        <v/>
      </c>
      <c r="Z436" s="39" t="str">
        <f>IF([8]道具信息!Z436="","",[8]道具信息!Z436)</f>
        <v/>
      </c>
    </row>
    <row r="437" spans="1:26" x14ac:dyDescent="0.15">
      <c r="A437" s="39" t="str">
        <f>IF([8]道具信息!A437="","",[8]道具信息!A437)</f>
        <v/>
      </c>
      <c r="B437" s="39" t="str">
        <f>IF([8]道具信息!B437="","",[8]道具信息!B437)</f>
        <v/>
      </c>
      <c r="C437" s="39">
        <f>IF([8]道具信息!C437="","",[8]道具信息!C437)</f>
        <v>23359</v>
      </c>
      <c r="D437" s="39" t="str">
        <f>IF([8]道具信息!D437="","",[8]道具信息!D437)</f>
        <v>宝鉴</v>
      </c>
      <c r="E437" s="39" t="str">
        <f>IF([8]道具信息!E437="","",[8]道具信息!E437)</f>
        <v/>
      </c>
      <c r="F437" s="39">
        <f>IF([8]道具信息!F437="","",[8]道具信息!F437)</f>
        <v>1</v>
      </c>
      <c r="G437" s="39">
        <f>IF([8]道具信息!G437="","",[8]道具信息!G437)</f>
        <v>1</v>
      </c>
      <c r="H437" s="39">
        <f>IF([8]道具信息!H437="","",[8]道具信息!H437)</f>
        <v>1</v>
      </c>
      <c r="I437" s="39" t="str">
        <f>IF([8]道具信息!I437="","",[8]道具信息!I437)</f>
        <v/>
      </c>
      <c r="J437" s="39" t="str">
        <f>IF([8]道具信息!J437="","",[8]道具信息!J437)</f>
        <v/>
      </c>
      <c r="K437" s="39" t="str">
        <f>IF([8]道具信息!K437="","",[8]道具信息!K437)</f>
        <v/>
      </c>
      <c r="L437" s="39" t="str">
        <f>IF([8]道具信息!L437="","",[8]道具信息!L437)</f>
        <v>持有宝鉴名册，可鉴天下珍宝</v>
      </c>
      <c r="M437" s="39" t="str">
        <f>IF([8]道具信息!M437="","",[8]道具信息!M437)</f>
        <v/>
      </c>
      <c r="N437" s="39" t="str">
        <f>IF([8]道具信息!N437="","",[8]道具信息!N437)</f>
        <v/>
      </c>
      <c r="O437" s="39" t="str">
        <f>IF([8]道具信息!O437="","",[8]道具信息!O437)</f>
        <v/>
      </c>
      <c r="P437" s="39" t="str">
        <f>IF([8]道具信息!P437="","",[8]道具信息!P437)</f>
        <v/>
      </c>
      <c r="Q437" s="39" t="str">
        <f>IF([8]道具信息!Q437="","",[8]道具信息!Q437)</f>
        <v/>
      </c>
      <c r="R437" s="39" t="str">
        <f>IF([8]道具信息!R437="","",[8]道具信息!R437)</f>
        <v/>
      </c>
      <c r="S437" s="39" t="str">
        <f>IF([8]道具信息!S437="","",[8]道具信息!S437)</f>
        <v/>
      </c>
      <c r="T437" s="39" t="str">
        <f>IF([8]道具信息!T437="","",[8]道具信息!T437)</f>
        <v/>
      </c>
      <c r="U437" s="39" t="str">
        <f>IF([8]道具信息!U437="","",[8]道具信息!U437)</f>
        <v/>
      </c>
      <c r="V437" s="39" t="str">
        <f>IF([8]道具信息!V437="","",[8]道具信息!V437)</f>
        <v/>
      </c>
      <c r="W437" s="39" t="str">
        <f>IF([8]道具信息!W437="","",[8]道具信息!W437)</f>
        <v/>
      </c>
      <c r="X437" s="39" t="str">
        <f>IF([8]道具信息!X437="","",[8]道具信息!X437)</f>
        <v/>
      </c>
      <c r="Y437" s="39" t="str">
        <f>IF([8]道具信息!Y437="","",[8]道具信息!Y437)</f>
        <v/>
      </c>
      <c r="Z437" s="39" t="str">
        <f>IF([8]道具信息!Z437="","",[8]道具信息!Z437)</f>
        <v/>
      </c>
    </row>
    <row r="438" spans="1:26" x14ac:dyDescent="0.15">
      <c r="A438" s="39" t="str">
        <f>IF([8]道具信息!A438="","",[8]道具信息!A438)</f>
        <v/>
      </c>
      <c r="B438" s="39" t="str">
        <f>IF([8]道具信息!B438="","",[8]道具信息!B438)</f>
        <v/>
      </c>
      <c r="C438" s="39">
        <f>IF([8]道具信息!C438="","",[8]道具信息!C438)</f>
        <v>23526</v>
      </c>
      <c r="D438" s="39" t="str">
        <f>IF([8]道具信息!D438="","",[8]道具信息!D438)</f>
        <v>极品装备宝箱碎片</v>
      </c>
      <c r="E438" s="39" t="str">
        <f>IF([8]道具信息!E438="","",[8]道具信息!E438)</f>
        <v/>
      </c>
      <c r="F438" s="39">
        <f>IF([8]道具信息!F438="","",[8]道具信息!F438)</f>
        <v>1</v>
      </c>
      <c r="G438" s="39">
        <f>IF([8]道具信息!G438="","",[8]道具信息!G438)</f>
        <v>1</v>
      </c>
      <c r="H438" s="39">
        <f>IF([8]道具信息!H438="","",[8]道具信息!H438)</f>
        <v>1</v>
      </c>
      <c r="I438" s="39" t="str">
        <f>IF([8]道具信息!I438="","",[8]道具信息!I438)</f>
        <v/>
      </c>
      <c r="J438" s="39" t="str">
        <f>IF([8]道具信息!J438="","",[8]道具信息!J438)</f>
        <v/>
      </c>
      <c r="K438" s="39" t="str">
        <f>IF([8]道具信息!K438="","",[8]道具信息!K438)</f>
        <v/>
      </c>
      <c r="L438" s="39" t="str">
        <f>IF([8]道具信息!L438="","",[8]道具信息!L438)</f>
        <v>使用后可以获得一个极品红色装备宝箱</v>
      </c>
      <c r="M438" s="39" t="str">
        <f>IF([8]道具信息!M438="","",[8]道具信息!M438)</f>
        <v/>
      </c>
      <c r="N438" s="39" t="str">
        <f>IF([8]道具信息!N438="","",[8]道具信息!N438)</f>
        <v/>
      </c>
      <c r="O438" s="39" t="str">
        <f>IF([8]道具信息!O438="","",[8]道具信息!O438)</f>
        <v/>
      </c>
      <c r="P438" s="39" t="str">
        <f>IF([8]道具信息!P438="","",[8]道具信息!P438)</f>
        <v/>
      </c>
      <c r="Q438" s="39" t="str">
        <f>IF([8]道具信息!Q438="","",[8]道具信息!Q438)</f>
        <v/>
      </c>
      <c r="R438" s="39" t="str">
        <f>IF([8]道具信息!R438="","",[8]道具信息!R438)</f>
        <v/>
      </c>
      <c r="S438" s="39" t="str">
        <f>IF([8]道具信息!S438="","",[8]道具信息!S438)</f>
        <v/>
      </c>
      <c r="T438" s="39" t="str">
        <f>IF([8]道具信息!T438="","",[8]道具信息!T438)</f>
        <v/>
      </c>
      <c r="U438" s="39" t="str">
        <f>IF([8]道具信息!U438="","",[8]道具信息!U438)</f>
        <v/>
      </c>
      <c r="V438" s="39" t="str">
        <f>IF([8]道具信息!V438="","",[8]道具信息!V438)</f>
        <v/>
      </c>
      <c r="W438" s="39" t="str">
        <f>IF([8]道具信息!W438="","",[8]道具信息!W438)</f>
        <v/>
      </c>
      <c r="X438" s="39" t="str">
        <f>IF([8]道具信息!X438="","",[8]道具信息!X438)</f>
        <v/>
      </c>
      <c r="Y438" s="39" t="str">
        <f>IF([8]道具信息!Y438="","",[8]道具信息!Y438)</f>
        <v/>
      </c>
      <c r="Z438" s="39" t="str">
        <f>IF([8]道具信息!Z438="","",[8]道具信息!Z438)</f>
        <v/>
      </c>
    </row>
    <row r="439" spans="1:26" x14ac:dyDescent="0.15">
      <c r="A439" s="39" t="str">
        <f>IF([8]道具信息!A439="","",[8]道具信息!A439)</f>
        <v/>
      </c>
      <c r="B439" s="39" t="str">
        <f>IF([8]道具信息!B439="","",[8]道具信息!B439)</f>
        <v/>
      </c>
      <c r="C439" s="39">
        <f>IF([8]道具信息!C439="","",[8]道具信息!C439)</f>
        <v>23527</v>
      </c>
      <c r="D439" s="39" t="str">
        <f>IF([8]道具信息!D439="","",[8]道具信息!D439)</f>
        <v>极品装备宝箱</v>
      </c>
      <c r="E439" s="39" t="str">
        <f>IF([8]道具信息!E439="","",[8]道具信息!E439)</f>
        <v/>
      </c>
      <c r="F439" s="39">
        <f>IF([8]道具信息!F439="","",[8]道具信息!F439)</f>
        <v>1</v>
      </c>
      <c r="G439" s="39">
        <f>IF([8]道具信息!G439="","",[8]道具信息!G439)</f>
        <v>1</v>
      </c>
      <c r="H439" s="39">
        <f>IF([8]道具信息!H439="","",[8]道具信息!H439)</f>
        <v>1</v>
      </c>
      <c r="I439" s="39" t="str">
        <f>IF([8]道具信息!I439="","",[8]道具信息!I439)</f>
        <v/>
      </c>
      <c r="J439" s="39" t="str">
        <f>IF([8]道具信息!J439="","",[8]道具信息!J439)</f>
        <v/>
      </c>
      <c r="K439" s="39" t="str">
        <f>IF([8]道具信息!K439="","",[8]道具信息!K439)</f>
        <v/>
      </c>
      <c r="L439" s="39" t="str">
        <f>IF([8]道具信息!L439="","",[8]道具信息!L439)</f>
        <v>使用后可以选择获得一件极品红色装备</v>
      </c>
      <c r="M439" s="39" t="str">
        <f>IF([8]道具信息!M439="","",[8]道具信息!M439)</f>
        <v/>
      </c>
      <c r="N439" s="39" t="str">
        <f>IF([8]道具信息!N439="","",[8]道具信息!N439)</f>
        <v/>
      </c>
      <c r="O439" s="39" t="str">
        <f>IF([8]道具信息!O439="","",[8]道具信息!O439)</f>
        <v/>
      </c>
      <c r="P439" s="39" t="str">
        <f>IF([8]道具信息!P439="","",[8]道具信息!P439)</f>
        <v/>
      </c>
      <c r="Q439" s="39" t="str">
        <f>IF([8]道具信息!Q439="","",[8]道具信息!Q439)</f>
        <v/>
      </c>
      <c r="R439" s="39" t="str">
        <f>IF([8]道具信息!R439="","",[8]道具信息!R439)</f>
        <v/>
      </c>
      <c r="S439" s="39" t="str">
        <f>IF([8]道具信息!S439="","",[8]道具信息!S439)</f>
        <v/>
      </c>
      <c r="T439" s="39" t="str">
        <f>IF([8]道具信息!T439="","",[8]道具信息!T439)</f>
        <v/>
      </c>
      <c r="U439" s="39" t="str">
        <f>IF([8]道具信息!U439="","",[8]道具信息!U439)</f>
        <v/>
      </c>
      <c r="V439" s="39" t="str">
        <f>IF([8]道具信息!V439="","",[8]道具信息!V439)</f>
        <v/>
      </c>
      <c r="W439" s="39" t="str">
        <f>IF([8]道具信息!W439="","",[8]道具信息!W439)</f>
        <v/>
      </c>
      <c r="X439" s="39" t="str">
        <f>IF([8]道具信息!X439="","",[8]道具信息!X439)</f>
        <v/>
      </c>
      <c r="Y439" s="39" t="str">
        <f>IF([8]道具信息!Y439="","",[8]道具信息!Y439)</f>
        <v/>
      </c>
      <c r="Z439" s="39" t="str">
        <f>IF([8]道具信息!Z439="","",[8]道具信息!Z439)</f>
        <v/>
      </c>
    </row>
    <row r="440" spans="1:26" x14ac:dyDescent="0.15">
      <c r="A440" s="39" t="str">
        <f>IF([8]道具信息!A440="","",[8]道具信息!A440)</f>
        <v/>
      </c>
      <c r="B440" s="39" t="str">
        <f>IF([8]道具信息!B440="","",[8]道具信息!B440)</f>
        <v/>
      </c>
      <c r="C440" s="39">
        <f>IF([8]道具信息!C440="","",[8]道具信息!C440)</f>
        <v>23528</v>
      </c>
      <c r="D440" s="39" t="str">
        <f>IF([8]道具信息!D440="","",[8]道具信息!D440)</f>
        <v>极品统武装备宝箱</v>
      </c>
      <c r="E440" s="39" t="str">
        <f>IF([8]道具信息!E440="","",[8]道具信息!E440)</f>
        <v/>
      </c>
      <c r="F440" s="39">
        <f>IF([8]道具信息!F440="","",[8]道具信息!F440)</f>
        <v>1</v>
      </c>
      <c r="G440" s="39">
        <f>IF([8]道具信息!G440="","",[8]道具信息!G440)</f>
        <v>1</v>
      </c>
      <c r="H440" s="39">
        <f>IF([8]道具信息!H440="","",[8]道具信息!H440)</f>
        <v>1</v>
      </c>
      <c r="I440" s="39" t="str">
        <f>IF([8]道具信息!I440="","",[8]道具信息!I440)</f>
        <v/>
      </c>
      <c r="J440" s="39" t="str">
        <f>IF([8]道具信息!J440="","",[8]道具信息!J440)</f>
        <v/>
      </c>
      <c r="K440" s="39" t="str">
        <f>IF([8]道具信息!K440="","",[8]道具信息!K440)</f>
        <v/>
      </c>
      <c r="L440" s="39" t="str">
        <f>IF([8]道具信息!L440="","",[8]道具信息!L440)</f>
        <v>使用后获得十方古璃套装3件套装备</v>
      </c>
      <c r="M440" s="39" t="str">
        <f>IF([8]道具信息!M440="","",[8]道具信息!M440)</f>
        <v/>
      </c>
      <c r="N440" s="39" t="str">
        <f>IF([8]道具信息!N440="","",[8]道具信息!N440)</f>
        <v/>
      </c>
      <c r="O440" s="39" t="str">
        <f>IF([8]道具信息!O440="","",[8]道具信息!O440)</f>
        <v/>
      </c>
      <c r="P440" s="39" t="str">
        <f>IF([8]道具信息!P440="","",[8]道具信息!P440)</f>
        <v/>
      </c>
      <c r="Q440" s="39" t="str">
        <f>IF([8]道具信息!Q440="","",[8]道具信息!Q440)</f>
        <v/>
      </c>
      <c r="R440" s="39" t="str">
        <f>IF([8]道具信息!R440="","",[8]道具信息!R440)</f>
        <v/>
      </c>
      <c r="S440" s="39" t="str">
        <f>IF([8]道具信息!S440="","",[8]道具信息!S440)</f>
        <v/>
      </c>
      <c r="T440" s="39" t="str">
        <f>IF([8]道具信息!T440="","",[8]道具信息!T440)</f>
        <v/>
      </c>
      <c r="U440" s="39" t="str">
        <f>IF([8]道具信息!U440="","",[8]道具信息!U440)</f>
        <v/>
      </c>
      <c r="V440" s="39" t="str">
        <f>IF([8]道具信息!V440="","",[8]道具信息!V440)</f>
        <v/>
      </c>
      <c r="W440" s="39" t="str">
        <f>IF([8]道具信息!W440="","",[8]道具信息!W440)</f>
        <v/>
      </c>
      <c r="X440" s="39" t="str">
        <f>IF([8]道具信息!X440="","",[8]道具信息!X440)</f>
        <v/>
      </c>
      <c r="Y440" s="39" t="str">
        <f>IF([8]道具信息!Y440="","",[8]道具信息!Y440)</f>
        <v/>
      </c>
      <c r="Z440" s="39" t="str">
        <f>IF([8]道具信息!Z440="","",[8]道具信息!Z440)</f>
        <v/>
      </c>
    </row>
    <row r="441" spans="1:26" x14ac:dyDescent="0.15">
      <c r="A441" s="39" t="str">
        <f>IF([8]道具信息!A441="","",[8]道具信息!A441)</f>
        <v/>
      </c>
      <c r="B441" s="39" t="str">
        <f>IF([8]道具信息!B441="","",[8]道具信息!B441)</f>
        <v/>
      </c>
      <c r="C441" s="39">
        <f>IF([8]道具信息!C441="","",[8]道具信息!C441)</f>
        <v>23529</v>
      </c>
      <c r="D441" s="39" t="str">
        <f>IF([8]道具信息!D441="","",[8]道具信息!D441)</f>
        <v>极品统智装备宝箱</v>
      </c>
      <c r="E441" s="39" t="str">
        <f>IF([8]道具信息!E441="","",[8]道具信息!E441)</f>
        <v/>
      </c>
      <c r="F441" s="39">
        <f>IF([8]道具信息!F441="","",[8]道具信息!F441)</f>
        <v>1</v>
      </c>
      <c r="G441" s="39">
        <f>IF([8]道具信息!G441="","",[8]道具信息!G441)</f>
        <v>1</v>
      </c>
      <c r="H441" s="39">
        <f>IF([8]道具信息!H441="","",[8]道具信息!H441)</f>
        <v>1</v>
      </c>
      <c r="I441" s="39" t="str">
        <f>IF([8]道具信息!I441="","",[8]道具信息!I441)</f>
        <v/>
      </c>
      <c r="J441" s="39" t="str">
        <f>IF([8]道具信息!J441="","",[8]道具信息!J441)</f>
        <v/>
      </c>
      <c r="K441" s="39" t="str">
        <f>IF([8]道具信息!K441="","",[8]道具信息!K441)</f>
        <v/>
      </c>
      <c r="L441" s="39" t="str">
        <f>IF([8]道具信息!L441="","",[8]道具信息!L441)</f>
        <v>使用后获得墨霜广焱3件套装备</v>
      </c>
      <c r="M441" s="39" t="str">
        <f>IF([8]道具信息!M441="","",[8]道具信息!M441)</f>
        <v/>
      </c>
      <c r="N441" s="39" t="str">
        <f>IF([8]道具信息!N441="","",[8]道具信息!N441)</f>
        <v/>
      </c>
      <c r="O441" s="39" t="str">
        <f>IF([8]道具信息!O441="","",[8]道具信息!O441)</f>
        <v/>
      </c>
      <c r="P441" s="39" t="str">
        <f>IF([8]道具信息!P441="","",[8]道具信息!P441)</f>
        <v/>
      </c>
      <c r="Q441" s="39" t="str">
        <f>IF([8]道具信息!Q441="","",[8]道具信息!Q441)</f>
        <v/>
      </c>
      <c r="R441" s="39" t="str">
        <f>IF([8]道具信息!R441="","",[8]道具信息!R441)</f>
        <v/>
      </c>
      <c r="S441" s="39" t="str">
        <f>IF([8]道具信息!S441="","",[8]道具信息!S441)</f>
        <v/>
      </c>
      <c r="T441" s="39" t="str">
        <f>IF([8]道具信息!T441="","",[8]道具信息!T441)</f>
        <v/>
      </c>
      <c r="U441" s="39" t="str">
        <f>IF([8]道具信息!U441="","",[8]道具信息!U441)</f>
        <v/>
      </c>
      <c r="V441" s="39" t="str">
        <f>IF([8]道具信息!V441="","",[8]道具信息!V441)</f>
        <v/>
      </c>
      <c r="W441" s="39" t="str">
        <f>IF([8]道具信息!W441="","",[8]道具信息!W441)</f>
        <v/>
      </c>
      <c r="X441" s="39" t="str">
        <f>IF([8]道具信息!X441="","",[8]道具信息!X441)</f>
        <v/>
      </c>
      <c r="Y441" s="39" t="str">
        <f>IF([8]道具信息!Y441="","",[8]道具信息!Y441)</f>
        <v/>
      </c>
      <c r="Z441" s="39" t="str">
        <f>IF([8]道具信息!Z441="","",[8]道具信息!Z441)</f>
        <v/>
      </c>
    </row>
    <row r="442" spans="1:26" x14ac:dyDescent="0.15">
      <c r="A442" s="39" t="str">
        <f>IF([8]道具信息!A442="","",[8]道具信息!A442)</f>
        <v/>
      </c>
      <c r="B442" s="39" t="str">
        <f>IF([8]道具信息!B442="","",[8]道具信息!B442)</f>
        <v/>
      </c>
      <c r="C442" s="39">
        <f>IF([8]道具信息!C442="","",[8]道具信息!C442)</f>
        <v>23530</v>
      </c>
      <c r="D442" s="39" t="str">
        <f>IF([8]道具信息!D442="","",[8]道具信息!D442)</f>
        <v>红色装备宝箱碎片</v>
      </c>
      <c r="E442" s="39" t="str">
        <f>IF([8]道具信息!E442="","",[8]道具信息!E442)</f>
        <v/>
      </c>
      <c r="F442" s="39">
        <f>IF([8]道具信息!F442="","",[8]道具信息!F442)</f>
        <v>1</v>
      </c>
      <c r="G442" s="39">
        <f>IF([8]道具信息!G442="","",[8]道具信息!G442)</f>
        <v>1</v>
      </c>
      <c r="H442" s="39">
        <f>IF([8]道具信息!H442="","",[8]道具信息!H442)</f>
        <v>1</v>
      </c>
      <c r="I442" s="39" t="str">
        <f>IF([8]道具信息!I442="","",[8]道具信息!I442)</f>
        <v/>
      </c>
      <c r="J442" s="39" t="str">
        <f>IF([8]道具信息!J442="","",[8]道具信息!J442)</f>
        <v/>
      </c>
      <c r="K442" s="39" t="str">
        <f>IF([8]道具信息!K442="","",[8]道具信息!K442)</f>
        <v/>
      </c>
      <c r="L442" s="39" t="str">
        <f>IF([8]道具信息!L442="","",[8]道具信息!L442)</f>
        <v>使用后可以获得一个红色装备宝箱</v>
      </c>
      <c r="M442" s="39" t="str">
        <f>IF([8]道具信息!M442="","",[8]道具信息!M442)</f>
        <v/>
      </c>
      <c r="N442" s="39" t="str">
        <f>IF([8]道具信息!N442="","",[8]道具信息!N442)</f>
        <v/>
      </c>
      <c r="O442" s="39" t="str">
        <f>IF([8]道具信息!O442="","",[8]道具信息!O442)</f>
        <v/>
      </c>
      <c r="P442" s="39" t="str">
        <f>IF([8]道具信息!P442="","",[8]道具信息!P442)</f>
        <v/>
      </c>
      <c r="Q442" s="39" t="str">
        <f>IF([8]道具信息!Q442="","",[8]道具信息!Q442)</f>
        <v/>
      </c>
      <c r="R442" s="39" t="str">
        <f>IF([8]道具信息!R442="","",[8]道具信息!R442)</f>
        <v/>
      </c>
      <c r="S442" s="39" t="str">
        <f>IF([8]道具信息!S442="","",[8]道具信息!S442)</f>
        <v/>
      </c>
      <c r="T442" s="39" t="str">
        <f>IF([8]道具信息!T442="","",[8]道具信息!T442)</f>
        <v/>
      </c>
      <c r="U442" s="39" t="str">
        <f>IF([8]道具信息!U442="","",[8]道具信息!U442)</f>
        <v/>
      </c>
      <c r="V442" s="39" t="str">
        <f>IF([8]道具信息!V442="","",[8]道具信息!V442)</f>
        <v/>
      </c>
      <c r="W442" s="39" t="str">
        <f>IF([8]道具信息!W442="","",[8]道具信息!W442)</f>
        <v/>
      </c>
      <c r="X442" s="39" t="str">
        <f>IF([8]道具信息!X442="","",[8]道具信息!X442)</f>
        <v/>
      </c>
      <c r="Y442" s="39" t="str">
        <f>IF([8]道具信息!Y442="","",[8]道具信息!Y442)</f>
        <v/>
      </c>
      <c r="Z442" s="39" t="str">
        <f>IF([8]道具信息!Z442="","",[8]道具信息!Z442)</f>
        <v/>
      </c>
    </row>
    <row r="443" spans="1:26" x14ac:dyDescent="0.15">
      <c r="A443" s="39" t="str">
        <f>IF([8]道具信息!A443="","",[8]道具信息!A443)</f>
        <v/>
      </c>
      <c r="B443" s="39" t="str">
        <f>IF([8]道具信息!B443="","",[8]道具信息!B443)</f>
        <v/>
      </c>
      <c r="C443" s="39">
        <f>IF([8]道具信息!C443="","",[8]道具信息!C443)</f>
        <v>23531</v>
      </c>
      <c r="D443" s="39" t="str">
        <f>IF([8]道具信息!D443="","",[8]道具信息!D443)</f>
        <v>红色装备宝箱</v>
      </c>
      <c r="E443" s="39" t="str">
        <f>IF([8]道具信息!E443="","",[8]道具信息!E443)</f>
        <v/>
      </c>
      <c r="F443" s="39">
        <f>IF([8]道具信息!F443="","",[8]道具信息!F443)</f>
        <v>1</v>
      </c>
      <c r="G443" s="39">
        <f>IF([8]道具信息!G443="","",[8]道具信息!G443)</f>
        <v>1</v>
      </c>
      <c r="H443" s="39">
        <f>IF([8]道具信息!H443="","",[8]道具信息!H443)</f>
        <v>1</v>
      </c>
      <c r="I443" s="39" t="str">
        <f>IF([8]道具信息!I443="","",[8]道具信息!I443)</f>
        <v/>
      </c>
      <c r="J443" s="39" t="str">
        <f>IF([8]道具信息!J443="","",[8]道具信息!J443)</f>
        <v/>
      </c>
      <c r="K443" s="39" t="str">
        <f>IF([8]道具信息!K443="","",[8]道具信息!K443)</f>
        <v/>
      </c>
      <c r="L443" s="39" t="str">
        <f>IF([8]道具信息!L443="","",[8]道具信息!L443)</f>
        <v>使用后可以选择获得一件红色装备</v>
      </c>
      <c r="M443" s="39" t="str">
        <f>IF([8]道具信息!M443="","",[8]道具信息!M443)</f>
        <v/>
      </c>
      <c r="N443" s="39" t="str">
        <f>IF([8]道具信息!N443="","",[8]道具信息!N443)</f>
        <v/>
      </c>
      <c r="O443" s="39" t="str">
        <f>IF([8]道具信息!O443="","",[8]道具信息!O443)</f>
        <v/>
      </c>
      <c r="P443" s="39" t="str">
        <f>IF([8]道具信息!P443="","",[8]道具信息!P443)</f>
        <v/>
      </c>
      <c r="Q443" s="39" t="str">
        <f>IF([8]道具信息!Q443="","",[8]道具信息!Q443)</f>
        <v/>
      </c>
      <c r="R443" s="39" t="str">
        <f>IF([8]道具信息!R443="","",[8]道具信息!R443)</f>
        <v/>
      </c>
      <c r="S443" s="39" t="str">
        <f>IF([8]道具信息!S443="","",[8]道具信息!S443)</f>
        <v/>
      </c>
      <c r="T443" s="39" t="str">
        <f>IF([8]道具信息!T443="","",[8]道具信息!T443)</f>
        <v/>
      </c>
      <c r="U443" s="39" t="str">
        <f>IF([8]道具信息!U443="","",[8]道具信息!U443)</f>
        <v/>
      </c>
      <c r="V443" s="39" t="str">
        <f>IF([8]道具信息!V443="","",[8]道具信息!V443)</f>
        <v/>
      </c>
      <c r="W443" s="39" t="str">
        <f>IF([8]道具信息!W443="","",[8]道具信息!W443)</f>
        <v/>
      </c>
      <c r="X443" s="39" t="str">
        <f>IF([8]道具信息!X443="","",[8]道具信息!X443)</f>
        <v/>
      </c>
      <c r="Y443" s="39" t="str">
        <f>IF([8]道具信息!Y443="","",[8]道具信息!Y443)</f>
        <v/>
      </c>
      <c r="Z443" s="39" t="str">
        <f>IF([8]道具信息!Z443="","",[8]道具信息!Z443)</f>
        <v/>
      </c>
    </row>
    <row r="444" spans="1:26" x14ac:dyDescent="0.15">
      <c r="A444" s="39" t="str">
        <f>IF([8]道具信息!A444="","",[8]道具信息!A444)</f>
        <v/>
      </c>
      <c r="B444" s="39" t="str">
        <f>IF([8]道具信息!B444="","",[8]道具信息!B444)</f>
        <v/>
      </c>
      <c r="C444" s="39">
        <f>IF([8]道具信息!C444="","",[8]道具信息!C444)</f>
        <v>23532</v>
      </c>
      <c r="D444" s="39" t="str">
        <f>IF([8]道具信息!D444="","",[8]道具信息!D444)</f>
        <v>抛砖引玉·极-残片</v>
      </c>
      <c r="E444" s="39" t="str">
        <f>IF([8]道具信息!E444="","",[8]道具信息!E444)</f>
        <v/>
      </c>
      <c r="F444" s="39">
        <f>IF([8]道具信息!F444="","",[8]道具信息!F444)</f>
        <v>1</v>
      </c>
      <c r="G444" s="39">
        <f>IF([8]道具信息!G444="","",[8]道具信息!G444)</f>
        <v>1</v>
      </c>
      <c r="H444" s="39">
        <f>IF([8]道具信息!H444="","",[8]道具信息!H444)</f>
        <v>1</v>
      </c>
      <c r="I444" s="39" t="str">
        <f>IF([8]道具信息!I444="","",[8]道具信息!I444)</f>
        <v/>
      </c>
      <c r="J444" s="39" t="str">
        <f>IF([8]道具信息!J444="","",[8]道具信息!J444)</f>
        <v/>
      </c>
      <c r="K444" s="39" t="str">
        <f>IF([8]道具信息!K444="","",[8]道具信息!K444)</f>
        <v/>
      </c>
      <c r="L444" s="39" t="str">
        <f>IF([8]道具信息!L444="","",[8]道具信息!L444)</f>
        <v/>
      </c>
      <c r="M444" s="39" t="str">
        <f>IF([8]道具信息!M444="","",[8]道具信息!M444)</f>
        <v/>
      </c>
      <c r="N444" s="39" t="str">
        <f>IF([8]道具信息!N444="","",[8]道具信息!N444)</f>
        <v/>
      </c>
      <c r="O444" s="39" t="str">
        <f>IF([8]道具信息!O444="","",[8]道具信息!O444)</f>
        <v/>
      </c>
      <c r="P444" s="39" t="str">
        <f>IF([8]道具信息!P444="","",[8]道具信息!P444)</f>
        <v/>
      </c>
      <c r="Q444" s="39" t="str">
        <f>IF([8]道具信息!Q444="","",[8]道具信息!Q444)</f>
        <v/>
      </c>
      <c r="R444" s="39" t="str">
        <f>IF([8]道具信息!R444="","",[8]道具信息!R444)</f>
        <v/>
      </c>
      <c r="S444" s="39" t="str">
        <f>IF([8]道具信息!S444="","",[8]道具信息!S444)</f>
        <v/>
      </c>
      <c r="T444" s="39" t="str">
        <f>IF([8]道具信息!T444="","",[8]道具信息!T444)</f>
        <v/>
      </c>
      <c r="U444" s="39" t="str">
        <f>IF([8]道具信息!U444="","",[8]道具信息!U444)</f>
        <v/>
      </c>
      <c r="V444" s="39" t="str">
        <f>IF([8]道具信息!V444="","",[8]道具信息!V444)</f>
        <v/>
      </c>
      <c r="W444" s="39" t="str">
        <f>IF([8]道具信息!W444="","",[8]道具信息!W444)</f>
        <v/>
      </c>
      <c r="X444" s="39" t="str">
        <f>IF([8]道具信息!X444="","",[8]道具信息!X444)</f>
        <v/>
      </c>
      <c r="Y444" s="39" t="str">
        <f>IF([8]道具信息!Y444="","",[8]道具信息!Y444)</f>
        <v/>
      </c>
      <c r="Z444" s="39" t="str">
        <f>IF([8]道具信息!Z444="","",[8]道具信息!Z444)</f>
        <v/>
      </c>
    </row>
    <row r="445" spans="1:26" x14ac:dyDescent="0.15">
      <c r="A445" s="39" t="str">
        <f>IF([8]道具信息!A445="","",[8]道具信息!A445)</f>
        <v/>
      </c>
      <c r="B445" s="39" t="str">
        <f>IF([8]道具信息!B445="","",[8]道具信息!B445)</f>
        <v/>
      </c>
      <c r="C445" s="39">
        <f>IF([8]道具信息!C445="","",[8]道具信息!C445)</f>
        <v>23389</v>
      </c>
      <c r="D445" s="39" t="str">
        <f>IF([8]道具信息!D445="","",[8]道具信息!D445)</f>
        <v>秦阳陵虎符碎片</v>
      </c>
      <c r="E445" s="39" t="str">
        <f>IF([8]道具信息!E445="","",[8]道具信息!E445)</f>
        <v/>
      </c>
      <c r="F445" s="39">
        <f>IF([8]道具信息!F445="","",[8]道具信息!F445)</f>
        <v>1</v>
      </c>
      <c r="G445" s="39">
        <f>IF([8]道具信息!G445="","",[8]道具信息!G445)</f>
        <v>1</v>
      </c>
      <c r="H445" s="39">
        <f>IF([8]道具信息!H445="","",[8]道具信息!H445)</f>
        <v>1</v>
      </c>
      <c r="I445" s="39" t="str">
        <f>IF([8]道具信息!I445="","",[8]道具信息!I445)</f>
        <v/>
      </c>
      <c r="J445" s="39" t="str">
        <f>IF([8]道具信息!J445="","",[8]道具信息!J445)</f>
        <v/>
      </c>
      <c r="K445" s="39" t="str">
        <f>IF([8]道具信息!K445="","",[8]道具信息!K445)</f>
        <v/>
      </c>
      <c r="L445" s="39" t="str">
        <f>IF([8]道具信息!L445="","",[8]道具信息!L445)</f>
        <v/>
      </c>
      <c r="M445" s="39" t="str">
        <f>IF([8]道具信息!M445="","",[8]道具信息!M445)</f>
        <v/>
      </c>
      <c r="N445" s="39" t="str">
        <f>IF([8]道具信息!N445="","",[8]道具信息!N445)</f>
        <v/>
      </c>
      <c r="O445" s="39" t="str">
        <f>IF([8]道具信息!O445="","",[8]道具信息!O445)</f>
        <v/>
      </c>
      <c r="P445" s="39" t="str">
        <f>IF([8]道具信息!P445="","",[8]道具信息!P445)</f>
        <v/>
      </c>
      <c r="Q445" s="39" t="str">
        <f>IF([8]道具信息!Q445="","",[8]道具信息!Q445)</f>
        <v/>
      </c>
      <c r="R445" s="39" t="str">
        <f>IF([8]道具信息!R445="","",[8]道具信息!R445)</f>
        <v/>
      </c>
      <c r="S445" s="39" t="str">
        <f>IF([8]道具信息!S445="","",[8]道具信息!S445)</f>
        <v/>
      </c>
      <c r="T445" s="39" t="str">
        <f>IF([8]道具信息!T445="","",[8]道具信息!T445)</f>
        <v/>
      </c>
      <c r="U445" s="39" t="str">
        <f>IF([8]道具信息!U445="","",[8]道具信息!U445)</f>
        <v/>
      </c>
      <c r="V445" s="39" t="str">
        <f>IF([8]道具信息!V445="","",[8]道具信息!V445)</f>
        <v/>
      </c>
      <c r="W445" s="39" t="str">
        <f>IF([8]道具信息!W445="","",[8]道具信息!W445)</f>
        <v/>
      </c>
      <c r="X445" s="39" t="str">
        <f>IF([8]道具信息!X445="","",[8]道具信息!X445)</f>
        <v/>
      </c>
      <c r="Y445" s="39" t="str">
        <f>IF([8]道具信息!Y445="","",[8]道具信息!Y445)</f>
        <v/>
      </c>
      <c r="Z445" s="39" t="str">
        <f>IF([8]道具信息!Z445="","",[8]道具信息!Z445)</f>
        <v/>
      </c>
    </row>
    <row r="446" spans="1:26" x14ac:dyDescent="0.15">
      <c r="A446" s="39" t="str">
        <f>IF([8]道具信息!A446="","",[8]道具信息!A446)</f>
        <v/>
      </c>
      <c r="B446" s="39" t="str">
        <f>IF([8]道具信息!B446="","",[8]道具信息!B446)</f>
        <v/>
      </c>
      <c r="C446" s="39">
        <f>IF([8]道具信息!C446="","",[8]道具信息!C446)</f>
        <v>180024</v>
      </c>
      <c r="D446" s="39" t="str">
        <f>IF([8]道具信息!D446="","",[8]道具信息!D446)</f>
        <v>高级盗贼</v>
      </c>
      <c r="E446" s="39" t="str">
        <f>IF([8]道具信息!E446="","",[8]道具信息!E446)</f>
        <v/>
      </c>
      <c r="F446" s="39">
        <f>IF([8]道具信息!F446="","",[8]道具信息!F446)</f>
        <v>1</v>
      </c>
      <c r="G446" s="39">
        <f>IF([8]道具信息!G446="","",[8]道具信息!G446)</f>
        <v>1</v>
      </c>
      <c r="H446" s="39">
        <f>IF([8]道具信息!H446="","",[8]道具信息!H446)</f>
        <v>1</v>
      </c>
      <c r="I446" s="39" t="str">
        <f>IF([8]道具信息!I446="","",[8]道具信息!I446)</f>
        <v/>
      </c>
      <c r="J446" s="39" t="str">
        <f>IF([8]道具信息!J446="","",[8]道具信息!J446)</f>
        <v/>
      </c>
      <c r="K446" s="39" t="str">
        <f>IF([8]道具信息!K446="","",[8]道具信息!K446)</f>
        <v/>
      </c>
      <c r="L446" s="39" t="str">
        <f>IF([8]道具信息!L446="","",[8]道具信息!L446)</f>
        <v/>
      </c>
      <c r="M446" s="39" t="str">
        <f>IF([8]道具信息!M446="","",[8]道具信息!M446)</f>
        <v/>
      </c>
      <c r="N446" s="39" t="str">
        <f>IF([8]道具信息!N446="","",[8]道具信息!N446)</f>
        <v/>
      </c>
      <c r="O446" s="39" t="str">
        <f>IF([8]道具信息!O446="","",[8]道具信息!O446)</f>
        <v/>
      </c>
      <c r="P446" s="39" t="str">
        <f>IF([8]道具信息!P446="","",[8]道具信息!P446)</f>
        <v/>
      </c>
      <c r="Q446" s="39" t="str">
        <f>IF([8]道具信息!Q446="","",[8]道具信息!Q446)</f>
        <v/>
      </c>
      <c r="R446" s="39" t="str">
        <f>IF([8]道具信息!R446="","",[8]道具信息!R446)</f>
        <v/>
      </c>
      <c r="S446" s="39" t="str">
        <f>IF([8]道具信息!S446="","",[8]道具信息!S446)</f>
        <v/>
      </c>
      <c r="T446" s="39" t="str">
        <f>IF([8]道具信息!T446="","",[8]道具信息!T446)</f>
        <v/>
      </c>
      <c r="U446" s="39" t="str">
        <f>IF([8]道具信息!U446="","",[8]道具信息!U446)</f>
        <v/>
      </c>
      <c r="V446" s="39" t="str">
        <f>IF([8]道具信息!V446="","",[8]道具信息!V446)</f>
        <v/>
      </c>
      <c r="W446" s="39" t="str">
        <f>IF([8]道具信息!W446="","",[8]道具信息!W446)</f>
        <v/>
      </c>
      <c r="X446" s="39" t="str">
        <f>IF([8]道具信息!X446="","",[8]道具信息!X446)</f>
        <v/>
      </c>
      <c r="Y446" s="39" t="str">
        <f>IF([8]道具信息!Y446="","",[8]道具信息!Y446)</f>
        <v/>
      </c>
      <c r="Z446" s="39" t="str">
        <f>IF([8]道具信息!Z446="","",[8]道具信息!Z446)</f>
        <v/>
      </c>
    </row>
    <row r="447" spans="1:26" x14ac:dyDescent="0.15">
      <c r="A447" s="39" t="str">
        <f>IF([8]道具信息!A447="","",[8]道具信息!A447)</f>
        <v/>
      </c>
      <c r="B447" s="39" t="str">
        <f>IF([8]道具信息!B447="","",[8]道具信息!B447)</f>
        <v/>
      </c>
      <c r="C447" s="39">
        <f>IF([8]道具信息!C447="","",[8]道具信息!C447)</f>
        <v>180023</v>
      </c>
      <c r="D447" s="39" t="str">
        <f>IF([8]道具信息!D447="","",[8]道具信息!D447)</f>
        <v>高级间谍</v>
      </c>
      <c r="E447" s="39" t="str">
        <f>IF([8]道具信息!E447="","",[8]道具信息!E447)</f>
        <v/>
      </c>
      <c r="F447" s="39">
        <f>IF([8]道具信息!F447="","",[8]道具信息!F447)</f>
        <v>1</v>
      </c>
      <c r="G447" s="39">
        <f>IF([8]道具信息!G447="","",[8]道具信息!G447)</f>
        <v>1</v>
      </c>
      <c r="H447" s="39">
        <f>IF([8]道具信息!H447="","",[8]道具信息!H447)</f>
        <v>1</v>
      </c>
      <c r="I447" s="39" t="str">
        <f>IF([8]道具信息!I447="","",[8]道具信息!I447)</f>
        <v/>
      </c>
      <c r="J447" s="39" t="str">
        <f>IF([8]道具信息!J447="","",[8]道具信息!J447)</f>
        <v/>
      </c>
      <c r="K447" s="39" t="str">
        <f>IF([8]道具信息!K447="","",[8]道具信息!K447)</f>
        <v/>
      </c>
      <c r="L447" s="39" t="str">
        <f>IF([8]道具信息!L447="","",[8]道具信息!L447)</f>
        <v/>
      </c>
      <c r="M447" s="39" t="str">
        <f>IF([8]道具信息!M447="","",[8]道具信息!M447)</f>
        <v/>
      </c>
      <c r="N447" s="39" t="str">
        <f>IF([8]道具信息!N447="","",[8]道具信息!N447)</f>
        <v/>
      </c>
      <c r="O447" s="39" t="str">
        <f>IF([8]道具信息!O447="","",[8]道具信息!O447)</f>
        <v/>
      </c>
      <c r="P447" s="39" t="str">
        <f>IF([8]道具信息!P447="","",[8]道具信息!P447)</f>
        <v/>
      </c>
      <c r="Q447" s="39" t="str">
        <f>IF([8]道具信息!Q447="","",[8]道具信息!Q447)</f>
        <v/>
      </c>
      <c r="R447" s="39" t="str">
        <f>IF([8]道具信息!R447="","",[8]道具信息!R447)</f>
        <v/>
      </c>
      <c r="S447" s="39" t="str">
        <f>IF([8]道具信息!S447="","",[8]道具信息!S447)</f>
        <v/>
      </c>
      <c r="T447" s="39" t="str">
        <f>IF([8]道具信息!T447="","",[8]道具信息!T447)</f>
        <v/>
      </c>
      <c r="U447" s="39" t="str">
        <f>IF([8]道具信息!U447="","",[8]道具信息!U447)</f>
        <v/>
      </c>
      <c r="V447" s="39" t="str">
        <f>IF([8]道具信息!V447="","",[8]道具信息!V447)</f>
        <v/>
      </c>
      <c r="W447" s="39" t="str">
        <f>IF([8]道具信息!W447="","",[8]道具信息!W447)</f>
        <v/>
      </c>
      <c r="X447" s="39" t="str">
        <f>IF([8]道具信息!X447="","",[8]道具信息!X447)</f>
        <v/>
      </c>
      <c r="Y447" s="39" t="str">
        <f>IF([8]道具信息!Y447="","",[8]道具信息!Y447)</f>
        <v/>
      </c>
      <c r="Z447" s="39" t="str">
        <f>IF([8]道具信息!Z447="","",[8]道具信息!Z447)</f>
        <v/>
      </c>
    </row>
    <row r="448" spans="1:26" x14ac:dyDescent="0.15">
      <c r="A448" s="39" t="str">
        <f>IF([8]道具信息!A448="","",[8]道具信息!A448)</f>
        <v/>
      </c>
      <c r="B448" s="39" t="str">
        <f>IF([8]道具信息!B448="","",[8]道具信息!B448)</f>
        <v/>
      </c>
      <c r="C448" s="39">
        <f>IF([8]道具信息!C448="","",[8]道具信息!C448)</f>
        <v>180022</v>
      </c>
      <c r="D448" s="39" t="str">
        <f>IF([8]道具信息!D448="","",[8]道具信息!D448)</f>
        <v>高级刺客</v>
      </c>
      <c r="E448" s="39" t="str">
        <f>IF([8]道具信息!E448="","",[8]道具信息!E448)</f>
        <v/>
      </c>
      <c r="F448" s="39">
        <f>IF([8]道具信息!F448="","",[8]道具信息!F448)</f>
        <v>1</v>
      </c>
      <c r="G448" s="39">
        <f>IF([8]道具信息!G448="","",[8]道具信息!G448)</f>
        <v>1</v>
      </c>
      <c r="H448" s="39">
        <f>IF([8]道具信息!H448="","",[8]道具信息!H448)</f>
        <v>1</v>
      </c>
      <c r="I448" s="39" t="str">
        <f>IF([8]道具信息!I448="","",[8]道具信息!I448)</f>
        <v/>
      </c>
      <c r="J448" s="39" t="str">
        <f>IF([8]道具信息!J448="","",[8]道具信息!J448)</f>
        <v/>
      </c>
      <c r="K448" s="39" t="str">
        <f>IF([8]道具信息!K448="","",[8]道具信息!K448)</f>
        <v/>
      </c>
      <c r="L448" s="39" t="str">
        <f>IF([8]道具信息!L448="","",[8]道具信息!L448)</f>
        <v/>
      </c>
      <c r="M448" s="39" t="str">
        <f>IF([8]道具信息!M448="","",[8]道具信息!M448)</f>
        <v/>
      </c>
      <c r="N448" s="39" t="str">
        <f>IF([8]道具信息!N448="","",[8]道具信息!N448)</f>
        <v/>
      </c>
      <c r="O448" s="39" t="str">
        <f>IF([8]道具信息!O448="","",[8]道具信息!O448)</f>
        <v/>
      </c>
      <c r="P448" s="39" t="str">
        <f>IF([8]道具信息!P448="","",[8]道具信息!P448)</f>
        <v/>
      </c>
      <c r="Q448" s="39" t="str">
        <f>IF([8]道具信息!Q448="","",[8]道具信息!Q448)</f>
        <v/>
      </c>
      <c r="R448" s="39" t="str">
        <f>IF([8]道具信息!R448="","",[8]道具信息!R448)</f>
        <v/>
      </c>
      <c r="S448" s="39" t="str">
        <f>IF([8]道具信息!S448="","",[8]道具信息!S448)</f>
        <v/>
      </c>
      <c r="T448" s="39" t="str">
        <f>IF([8]道具信息!T448="","",[8]道具信息!T448)</f>
        <v/>
      </c>
      <c r="U448" s="39" t="str">
        <f>IF([8]道具信息!U448="","",[8]道具信息!U448)</f>
        <v/>
      </c>
      <c r="V448" s="39" t="str">
        <f>IF([8]道具信息!V448="","",[8]道具信息!V448)</f>
        <v/>
      </c>
      <c r="W448" s="39" t="str">
        <f>IF([8]道具信息!W448="","",[8]道具信息!W448)</f>
        <v/>
      </c>
      <c r="X448" s="39" t="str">
        <f>IF([8]道具信息!X448="","",[8]道具信息!X448)</f>
        <v/>
      </c>
      <c r="Y448" s="39" t="str">
        <f>IF([8]道具信息!Y448="","",[8]道具信息!Y448)</f>
        <v/>
      </c>
      <c r="Z448" s="39" t="str">
        <f>IF([8]道具信息!Z448="","",[8]道具信息!Z448)</f>
        <v/>
      </c>
    </row>
    <row r="449" spans="1:26" x14ac:dyDescent="0.15">
      <c r="A449" s="39" t="str">
        <f>IF([8]道具信息!A449="","",[8]道具信息!A449)</f>
        <v/>
      </c>
      <c r="B449" s="39" t="str">
        <f>IF([8]道具信息!B449="","",[8]道具信息!B449)</f>
        <v/>
      </c>
      <c r="C449" s="39" t="str">
        <f>IF([8]道具信息!C449="","",[8]道具信息!C449)</f>
        <v/>
      </c>
      <c r="D449" s="39" t="str">
        <f>IF([8]道具信息!D449="","",[8]道具信息!D449)</f>
        <v/>
      </c>
      <c r="E449" s="39" t="str">
        <f>IF([8]道具信息!E449="","",[8]道具信息!E449)</f>
        <v/>
      </c>
      <c r="F449" s="39">
        <f>IF([8]道具信息!F449="","",[8]道具信息!F449)</f>
        <v>1</v>
      </c>
      <c r="G449" s="39">
        <f>IF([8]道具信息!G449="","",[8]道具信息!G449)</f>
        <v>1</v>
      </c>
      <c r="H449" s="39">
        <f>IF([8]道具信息!H449="","",[8]道具信息!H449)</f>
        <v>1</v>
      </c>
      <c r="I449" s="39" t="str">
        <f>IF([8]道具信息!I449="","",[8]道具信息!I449)</f>
        <v/>
      </c>
      <c r="J449" s="39" t="str">
        <f>IF([8]道具信息!J449="","",[8]道具信息!J449)</f>
        <v/>
      </c>
      <c r="K449" s="39" t="str">
        <f>IF([8]道具信息!K449="","",[8]道具信息!K449)</f>
        <v/>
      </c>
      <c r="L449" s="39" t="str">
        <f>IF([8]道具信息!L449="","",[8]道具信息!L449)</f>
        <v/>
      </c>
      <c r="M449" s="39" t="str">
        <f>IF([8]道具信息!M449="","",[8]道具信息!M449)</f>
        <v/>
      </c>
      <c r="N449" s="39" t="str">
        <f>IF([8]道具信息!N449="","",[8]道具信息!N449)</f>
        <v/>
      </c>
      <c r="O449" s="39" t="str">
        <f>IF([8]道具信息!O449="","",[8]道具信息!O449)</f>
        <v/>
      </c>
      <c r="P449" s="39" t="str">
        <f>IF([8]道具信息!P449="","",[8]道具信息!P449)</f>
        <v/>
      </c>
      <c r="Q449" s="39" t="str">
        <f>IF([8]道具信息!Q449="","",[8]道具信息!Q449)</f>
        <v/>
      </c>
      <c r="R449" s="39" t="str">
        <f>IF([8]道具信息!R449="","",[8]道具信息!R449)</f>
        <v/>
      </c>
      <c r="S449" s="39" t="str">
        <f>IF([8]道具信息!S449="","",[8]道具信息!S449)</f>
        <v/>
      </c>
      <c r="T449" s="39" t="str">
        <f>IF([8]道具信息!T449="","",[8]道具信息!T449)</f>
        <v/>
      </c>
      <c r="U449" s="39" t="str">
        <f>IF([8]道具信息!U449="","",[8]道具信息!U449)</f>
        <v/>
      </c>
      <c r="V449" s="39" t="str">
        <f>IF([8]道具信息!V449="","",[8]道具信息!V449)</f>
        <v/>
      </c>
      <c r="W449" s="39" t="str">
        <f>IF([8]道具信息!W449="","",[8]道具信息!W449)</f>
        <v/>
      </c>
      <c r="X449" s="39" t="str">
        <f>IF([8]道具信息!X449="","",[8]道具信息!X449)</f>
        <v/>
      </c>
      <c r="Y449" s="39" t="str">
        <f>IF([8]道具信息!Y449="","",[8]道具信息!Y449)</f>
        <v/>
      </c>
      <c r="Z449" s="39" t="str">
        <f>IF([8]道具信息!Z449="","",[8]道具信息!Z449)</f>
        <v/>
      </c>
    </row>
    <row r="450" spans="1:26" x14ac:dyDescent="0.15">
      <c r="A450" s="39" t="str">
        <f>IF([8]道具信息!A450="","",[8]道具信息!A450)</f>
        <v/>
      </c>
      <c r="B450" s="39" t="str">
        <f>IF([8]道具信息!B450="","",[8]道具信息!B450)</f>
        <v/>
      </c>
      <c r="C450" s="39">
        <f>IF([8]道具信息!C450="","",[8]道具信息!C450)</f>
        <v>23542</v>
      </c>
      <c r="D450" s="39" t="str">
        <f>IF([8]道具信息!D450="","",[8]道具信息!D450)</f>
        <v>十方装备宝箱碎片</v>
      </c>
      <c r="E450" s="39" t="str">
        <f>IF([8]道具信息!E450="","",[8]道具信息!E450)</f>
        <v/>
      </c>
      <c r="F450" s="39">
        <f>IF([8]道具信息!F450="","",[8]道具信息!F450)</f>
        <v>1</v>
      </c>
      <c r="G450" s="39">
        <f>IF([8]道具信息!G450="","",[8]道具信息!G450)</f>
        <v>1</v>
      </c>
      <c r="H450" s="39">
        <f>IF([8]道具信息!H450="","",[8]道具信息!H450)</f>
        <v>1</v>
      </c>
      <c r="I450" s="39" t="str">
        <f>IF([8]道具信息!I450="","",[8]道具信息!I450)</f>
        <v/>
      </c>
      <c r="J450" s="39" t="str">
        <f>IF([8]道具信息!J450="","",[8]道具信息!J450)</f>
        <v/>
      </c>
      <c r="K450" s="39" t="str">
        <f>IF([8]道具信息!K450="","",[8]道具信息!K450)</f>
        <v/>
      </c>
      <c r="L450" s="39" t="str">
        <f>IF([8]道具信息!L450="","",[8]道具信息!L450)</f>
        <v/>
      </c>
      <c r="M450" s="39" t="str">
        <f>IF([8]道具信息!M450="","",[8]道具信息!M450)</f>
        <v/>
      </c>
      <c r="N450" s="39" t="str">
        <f>IF([8]道具信息!N450="","",[8]道具信息!N450)</f>
        <v/>
      </c>
      <c r="O450" s="39" t="str">
        <f>IF([8]道具信息!O450="","",[8]道具信息!O450)</f>
        <v/>
      </c>
      <c r="P450" s="39" t="str">
        <f>IF([8]道具信息!P450="","",[8]道具信息!P450)</f>
        <v/>
      </c>
      <c r="Q450" s="39" t="str">
        <f>IF([8]道具信息!Q450="","",[8]道具信息!Q450)</f>
        <v/>
      </c>
      <c r="R450" s="39" t="str">
        <f>IF([8]道具信息!R450="","",[8]道具信息!R450)</f>
        <v/>
      </c>
      <c r="S450" s="39" t="str">
        <f>IF([8]道具信息!S450="","",[8]道具信息!S450)</f>
        <v/>
      </c>
      <c r="T450" s="39" t="str">
        <f>IF([8]道具信息!T450="","",[8]道具信息!T450)</f>
        <v/>
      </c>
      <c r="U450" s="39" t="str">
        <f>IF([8]道具信息!U450="","",[8]道具信息!U450)</f>
        <v/>
      </c>
      <c r="V450" s="39" t="str">
        <f>IF([8]道具信息!V450="","",[8]道具信息!V450)</f>
        <v/>
      </c>
      <c r="W450" s="39" t="str">
        <f>IF([8]道具信息!W450="","",[8]道具信息!W450)</f>
        <v/>
      </c>
      <c r="X450" s="39" t="str">
        <f>IF([8]道具信息!X450="","",[8]道具信息!X450)</f>
        <v/>
      </c>
      <c r="Y450" s="39" t="str">
        <f>IF([8]道具信息!Y450="","",[8]道具信息!Y450)</f>
        <v/>
      </c>
      <c r="Z450" s="39" t="str">
        <f>IF([8]道具信息!Z450="","",[8]道具信息!Z450)</f>
        <v/>
      </c>
    </row>
    <row r="451" spans="1:26" x14ac:dyDescent="0.15">
      <c r="A451" s="39" t="str">
        <f>IF([8]道具信息!A451="","",[8]道具信息!A451)</f>
        <v/>
      </c>
      <c r="B451" s="39" t="str">
        <f>IF([8]道具信息!B451="","",[8]道具信息!B451)</f>
        <v/>
      </c>
      <c r="C451" s="39">
        <f>IF([8]道具信息!C451="","",[8]道具信息!C451)</f>
        <v>23543</v>
      </c>
      <c r="D451" s="39" t="str">
        <f>IF([8]道具信息!D451="","",[8]道具信息!D451)</f>
        <v>墨霜装备宝箱碎片</v>
      </c>
      <c r="E451" s="39" t="str">
        <f>IF([8]道具信息!E451="","",[8]道具信息!E451)</f>
        <v/>
      </c>
      <c r="F451" s="39">
        <f>IF([8]道具信息!F451="","",[8]道具信息!F451)</f>
        <v>1</v>
      </c>
      <c r="G451" s="39">
        <f>IF([8]道具信息!G451="","",[8]道具信息!G451)</f>
        <v>1</v>
      </c>
      <c r="H451" s="39">
        <f>IF([8]道具信息!H451="","",[8]道具信息!H451)</f>
        <v>1</v>
      </c>
      <c r="I451" s="39" t="str">
        <f>IF([8]道具信息!I451="","",[8]道具信息!I451)</f>
        <v/>
      </c>
      <c r="J451" s="39" t="str">
        <f>IF([8]道具信息!J451="","",[8]道具信息!J451)</f>
        <v/>
      </c>
      <c r="K451" s="39" t="str">
        <f>IF([8]道具信息!K451="","",[8]道具信息!K451)</f>
        <v/>
      </c>
      <c r="L451" s="39" t="str">
        <f>IF([8]道具信息!L451="","",[8]道具信息!L451)</f>
        <v/>
      </c>
      <c r="M451" s="39" t="str">
        <f>IF([8]道具信息!M451="","",[8]道具信息!M451)</f>
        <v/>
      </c>
      <c r="N451" s="39" t="str">
        <f>IF([8]道具信息!N451="","",[8]道具信息!N451)</f>
        <v/>
      </c>
      <c r="O451" s="39" t="str">
        <f>IF([8]道具信息!O451="","",[8]道具信息!O451)</f>
        <v/>
      </c>
      <c r="P451" s="39" t="str">
        <f>IF([8]道具信息!P451="","",[8]道具信息!P451)</f>
        <v/>
      </c>
      <c r="Q451" s="39" t="str">
        <f>IF([8]道具信息!Q451="","",[8]道具信息!Q451)</f>
        <v/>
      </c>
      <c r="R451" s="39" t="str">
        <f>IF([8]道具信息!R451="","",[8]道具信息!R451)</f>
        <v/>
      </c>
      <c r="S451" s="39" t="str">
        <f>IF([8]道具信息!S451="","",[8]道具信息!S451)</f>
        <v/>
      </c>
      <c r="T451" s="39" t="str">
        <f>IF([8]道具信息!T451="","",[8]道具信息!T451)</f>
        <v/>
      </c>
      <c r="U451" s="39" t="str">
        <f>IF([8]道具信息!U451="","",[8]道具信息!U451)</f>
        <v/>
      </c>
      <c r="V451" s="39" t="str">
        <f>IF([8]道具信息!V451="","",[8]道具信息!V451)</f>
        <v/>
      </c>
      <c r="W451" s="39" t="str">
        <f>IF([8]道具信息!W451="","",[8]道具信息!W451)</f>
        <v/>
      </c>
      <c r="X451" s="39" t="str">
        <f>IF([8]道具信息!X451="","",[8]道具信息!X451)</f>
        <v/>
      </c>
      <c r="Y451" s="39" t="str">
        <f>IF([8]道具信息!Y451="","",[8]道具信息!Y451)</f>
        <v/>
      </c>
      <c r="Z451" s="39" t="str">
        <f>IF([8]道具信息!Z451="","",[8]道具信息!Z451)</f>
        <v/>
      </c>
    </row>
    <row r="452" spans="1:26" x14ac:dyDescent="0.15">
      <c r="A452" s="39" t="str">
        <f>IF([8]道具信息!A452="","",[8]道具信息!A452)</f>
        <v/>
      </c>
      <c r="B452" s="39" t="str">
        <f>IF([8]道具信息!B452="","",[8]道具信息!B452)</f>
        <v/>
      </c>
      <c r="C452" s="39" t="str">
        <f>IF([8]道具信息!C452="","",[8]道具信息!C452)</f>
        <v/>
      </c>
      <c r="D452" s="39" t="str">
        <f>IF([8]道具信息!D452="","",[8]道具信息!D452)</f>
        <v/>
      </c>
      <c r="E452" s="39" t="str">
        <f>IF([8]道具信息!E452="","",[8]道具信息!E452)</f>
        <v/>
      </c>
      <c r="F452" s="39">
        <f>IF([8]道具信息!F452="","",[8]道具信息!F452)</f>
        <v>1</v>
      </c>
      <c r="G452" s="39">
        <f>IF([8]道具信息!G452="","",[8]道具信息!G452)</f>
        <v>1</v>
      </c>
      <c r="H452" s="39">
        <f>IF([8]道具信息!H452="","",[8]道具信息!H452)</f>
        <v>1</v>
      </c>
      <c r="I452" s="39" t="str">
        <f>IF([8]道具信息!I452="","",[8]道具信息!I452)</f>
        <v/>
      </c>
      <c r="J452" s="39" t="str">
        <f>IF([8]道具信息!J452="","",[8]道具信息!J452)</f>
        <v/>
      </c>
      <c r="K452" s="39" t="str">
        <f>IF([8]道具信息!K452="","",[8]道具信息!K452)</f>
        <v/>
      </c>
      <c r="L452" s="39" t="str">
        <f>IF([8]道具信息!L452="","",[8]道具信息!L452)</f>
        <v/>
      </c>
      <c r="M452" s="39" t="str">
        <f>IF([8]道具信息!M452="","",[8]道具信息!M452)</f>
        <v/>
      </c>
      <c r="N452" s="39" t="str">
        <f>IF([8]道具信息!N452="","",[8]道具信息!N452)</f>
        <v/>
      </c>
      <c r="O452" s="39" t="str">
        <f>IF([8]道具信息!O452="","",[8]道具信息!O452)</f>
        <v/>
      </c>
      <c r="P452" s="39" t="str">
        <f>IF([8]道具信息!P452="","",[8]道具信息!P452)</f>
        <v/>
      </c>
      <c r="Q452" s="39" t="str">
        <f>IF([8]道具信息!Q452="","",[8]道具信息!Q452)</f>
        <v/>
      </c>
      <c r="R452" s="39" t="str">
        <f>IF([8]道具信息!R452="","",[8]道具信息!R452)</f>
        <v/>
      </c>
      <c r="S452" s="39" t="str">
        <f>IF([8]道具信息!S452="","",[8]道具信息!S452)</f>
        <v/>
      </c>
      <c r="T452" s="39" t="str">
        <f>IF([8]道具信息!T452="","",[8]道具信息!T452)</f>
        <v/>
      </c>
      <c r="U452" s="39" t="str">
        <f>IF([8]道具信息!U452="","",[8]道具信息!U452)</f>
        <v/>
      </c>
      <c r="V452" s="39" t="str">
        <f>IF([8]道具信息!V452="","",[8]道具信息!V452)</f>
        <v/>
      </c>
      <c r="W452" s="39" t="str">
        <f>IF([8]道具信息!W452="","",[8]道具信息!W452)</f>
        <v/>
      </c>
      <c r="X452" s="39" t="str">
        <f>IF([8]道具信息!X452="","",[8]道具信息!X452)</f>
        <v/>
      </c>
      <c r="Y452" s="39" t="str">
        <f>IF([8]道具信息!Y452="","",[8]道具信息!Y452)</f>
        <v/>
      </c>
      <c r="Z452" s="39" t="str">
        <f>IF([8]道具信息!Z452="","",[8]道具信息!Z452)</f>
        <v/>
      </c>
    </row>
    <row r="453" spans="1:26" x14ac:dyDescent="0.15">
      <c r="A453" s="39" t="str">
        <f>IF([8]道具信息!A453="","",[8]道具信息!A453)</f>
        <v/>
      </c>
      <c r="B453" s="39" t="str">
        <f>IF([8]道具信息!B453="","",[8]道具信息!B453)</f>
        <v/>
      </c>
      <c r="C453" s="39">
        <f>IF([8]道具信息!C453="","",[8]道具信息!C453)</f>
        <v>23356</v>
      </c>
      <c r="D453" s="39" t="str">
        <f>IF([8]道具信息!D453="","",[8]道具信息!D453)</f>
        <v>紫色藏宝图</v>
      </c>
      <c r="E453" s="39">
        <f>IF([8]道具信息!E453="","",[8]道具信息!E453)</f>
        <v>300</v>
      </c>
      <c r="F453" s="39">
        <f>IF([8]道具信息!F453="","",[8]道具信息!F453)</f>
        <v>1</v>
      </c>
      <c r="G453" s="39">
        <f>IF([8]道具信息!G453="","",[8]道具信息!G453)</f>
        <v>1</v>
      </c>
      <c r="H453" s="39">
        <f>IF([8]道具信息!H453="","",[8]道具信息!H453)</f>
        <v>1</v>
      </c>
      <c r="I453" s="39">
        <f>IF([8]道具信息!I453="","",[8]道具信息!I453)</f>
        <v>300</v>
      </c>
      <c r="J453" s="39">
        <f>IF([8]道具信息!J453="","",[8]道具信息!J453)</f>
        <v>300</v>
      </c>
      <c r="K453" s="39">
        <f>IF([8]道具信息!K453="","",[8]道具信息!K453)</f>
        <v>300</v>
      </c>
      <c r="L453" s="39" t="str">
        <f>IF([8]道具信息!L453="","",[8]道具信息!L453)</f>
        <v/>
      </c>
      <c r="M453" s="39" t="str">
        <f>IF([8]道具信息!M453="","",[8]道具信息!M453)</f>
        <v/>
      </c>
      <c r="N453" s="39" t="str">
        <f>IF([8]道具信息!N453="","",[8]道具信息!N453)</f>
        <v/>
      </c>
      <c r="O453" s="39" t="str">
        <f>IF([8]道具信息!O453="","",[8]道具信息!O453)</f>
        <v/>
      </c>
      <c r="P453" s="39" t="str">
        <f>IF([8]道具信息!P453="","",[8]道具信息!P453)</f>
        <v/>
      </c>
      <c r="Q453" s="39" t="str">
        <f>IF([8]道具信息!Q453="","",[8]道具信息!Q453)</f>
        <v/>
      </c>
      <c r="R453" s="39" t="str">
        <f>IF([8]道具信息!R453="","",[8]道具信息!R453)</f>
        <v/>
      </c>
      <c r="S453" s="39" t="str">
        <f>IF([8]道具信息!S453="","",[8]道具信息!S453)</f>
        <v/>
      </c>
      <c r="T453" s="39" t="str">
        <f>IF([8]道具信息!T453="","",[8]道具信息!T453)</f>
        <v/>
      </c>
      <c r="U453" s="39" t="str">
        <f>IF([8]道具信息!U453="","",[8]道具信息!U453)</f>
        <v/>
      </c>
      <c r="V453" s="39" t="str">
        <f>IF([8]道具信息!V453="","",[8]道具信息!V453)</f>
        <v/>
      </c>
      <c r="W453" s="39" t="str">
        <f>IF([8]道具信息!W453="","",[8]道具信息!W453)</f>
        <v/>
      </c>
      <c r="X453" s="39" t="str">
        <f>IF([8]道具信息!X453="","",[8]道具信息!X453)</f>
        <v/>
      </c>
      <c r="Y453" s="39" t="str">
        <f>IF([8]道具信息!Y453="","",[8]道具信息!Y453)</f>
        <v/>
      </c>
      <c r="Z453" s="39" t="str">
        <f>IF([8]道具信息!Z453="","",[8]道具信息!Z453)</f>
        <v/>
      </c>
    </row>
    <row r="454" spans="1:26" x14ac:dyDescent="0.15">
      <c r="A454" s="39" t="str">
        <f>IF([8]道具信息!A454="","",[8]道具信息!A454)</f>
        <v/>
      </c>
      <c r="B454" s="39" t="str">
        <f>IF([8]道具信息!B454="","",[8]道具信息!B454)</f>
        <v/>
      </c>
      <c r="C454" s="39">
        <f>IF([8]道具信息!C454="","",[8]道具信息!C454)</f>
        <v>23541</v>
      </c>
      <c r="D454" s="39" t="str">
        <f>IF([8]道具信息!D454="","",[8]道具信息!D454)</f>
        <v>宝物精华小宝箱</v>
      </c>
      <c r="E454" s="39">
        <f>IF([8]道具信息!E454="","",[8]道具信息!E454)</f>
        <v>100</v>
      </c>
      <c r="F454" s="39">
        <f>IF([8]道具信息!F454="","",[8]道具信息!F454)</f>
        <v>1</v>
      </c>
      <c r="G454" s="39">
        <f>IF([8]道具信息!G454="","",[8]道具信息!G454)</f>
        <v>1</v>
      </c>
      <c r="H454" s="39">
        <f>IF([8]道具信息!H454="","",[8]道具信息!H454)</f>
        <v>1</v>
      </c>
      <c r="I454" s="39">
        <f>IF([8]道具信息!I454="","",[8]道具信息!I454)</f>
        <v>100</v>
      </c>
      <c r="J454" s="39">
        <f>IF([8]道具信息!J454="","",[8]道具信息!J454)</f>
        <v>100</v>
      </c>
      <c r="K454" s="39">
        <f>IF([8]道具信息!K454="","",[8]道具信息!K454)</f>
        <v>100</v>
      </c>
      <c r="L454" s="39" t="str">
        <f>IF([8]道具信息!L454="","",[8]道具信息!L454)</f>
        <v/>
      </c>
      <c r="M454" s="39" t="str">
        <f>IF([8]道具信息!M454="","",[8]道具信息!M454)</f>
        <v/>
      </c>
      <c r="N454" s="39" t="str">
        <f>IF([8]道具信息!N454="","",[8]道具信息!N454)</f>
        <v/>
      </c>
      <c r="O454" s="39" t="str">
        <f>IF([8]道具信息!O454="","",[8]道具信息!O454)</f>
        <v/>
      </c>
      <c r="P454" s="39" t="str">
        <f>IF([8]道具信息!P454="","",[8]道具信息!P454)</f>
        <v/>
      </c>
      <c r="Q454" s="39" t="str">
        <f>IF([8]道具信息!Q454="","",[8]道具信息!Q454)</f>
        <v/>
      </c>
      <c r="R454" s="39" t="str">
        <f>IF([8]道具信息!R454="","",[8]道具信息!R454)</f>
        <v/>
      </c>
      <c r="S454" s="39" t="str">
        <f>IF([8]道具信息!S454="","",[8]道具信息!S454)</f>
        <v/>
      </c>
      <c r="T454" s="39" t="str">
        <f>IF([8]道具信息!T454="","",[8]道具信息!T454)</f>
        <v/>
      </c>
      <c r="U454" s="39" t="str">
        <f>IF([8]道具信息!U454="","",[8]道具信息!U454)</f>
        <v/>
      </c>
      <c r="V454" s="39" t="str">
        <f>IF([8]道具信息!V454="","",[8]道具信息!V454)</f>
        <v/>
      </c>
      <c r="W454" s="39" t="str">
        <f>IF([8]道具信息!W454="","",[8]道具信息!W454)</f>
        <v/>
      </c>
      <c r="X454" s="39" t="str">
        <f>IF([8]道具信息!X454="","",[8]道具信息!X454)</f>
        <v/>
      </c>
      <c r="Y454" s="39" t="str">
        <f>IF([8]道具信息!Y454="","",[8]道具信息!Y454)</f>
        <v/>
      </c>
      <c r="Z454" s="39" t="str">
        <f>IF([8]道具信息!Z454="","",[8]道具信息!Z454)</f>
        <v/>
      </c>
    </row>
    <row r="455" spans="1:26" x14ac:dyDescent="0.15">
      <c r="A455" s="39" t="str">
        <f>IF([8]道具信息!A455="","",[8]道具信息!A455)</f>
        <v/>
      </c>
      <c r="B455" s="39" t="str">
        <f>IF([8]道具信息!B455="","",[8]道具信息!B455)</f>
        <v/>
      </c>
      <c r="C455" s="39">
        <f>IF([8]道具信息!C455="","",[8]道具信息!C455)</f>
        <v>23537</v>
      </c>
      <c r="D455" s="39" t="str">
        <f>IF([8]道具信息!D455="","",[8]道具信息!D455)</f>
        <v>文心宝箱</v>
      </c>
      <c r="E455" s="39">
        <f>IF([8]道具信息!E455="","",[8]道具信息!E455)</f>
        <v>200</v>
      </c>
      <c r="F455" s="39">
        <f>IF([8]道具信息!F455="","",[8]道具信息!F455)</f>
        <v>1</v>
      </c>
      <c r="G455" s="39">
        <f>IF([8]道具信息!G455="","",[8]道具信息!G455)</f>
        <v>1</v>
      </c>
      <c r="H455" s="39">
        <f>IF([8]道具信息!H455="","",[8]道具信息!H455)</f>
        <v>1</v>
      </c>
      <c r="I455" s="39">
        <f>IF([8]道具信息!I455="","",[8]道具信息!I455)</f>
        <v>200</v>
      </c>
      <c r="J455" s="39">
        <f>IF([8]道具信息!J455="","",[8]道具信息!J455)</f>
        <v>200</v>
      </c>
      <c r="K455" s="39">
        <f>IF([8]道具信息!K455="","",[8]道具信息!K455)</f>
        <v>200</v>
      </c>
      <c r="L455" s="39" t="str">
        <f>IF([8]道具信息!L455="","",[8]道具信息!L455)</f>
        <v/>
      </c>
      <c r="M455" s="39" t="str">
        <f>IF([8]道具信息!M455="","",[8]道具信息!M455)</f>
        <v/>
      </c>
      <c r="N455" s="39" t="str">
        <f>IF([8]道具信息!N455="","",[8]道具信息!N455)</f>
        <v/>
      </c>
      <c r="O455" s="39" t="str">
        <f>IF([8]道具信息!O455="","",[8]道具信息!O455)</f>
        <v/>
      </c>
      <c r="P455" s="39" t="str">
        <f>IF([8]道具信息!P455="","",[8]道具信息!P455)</f>
        <v/>
      </c>
      <c r="Q455" s="39" t="str">
        <f>IF([8]道具信息!Q455="","",[8]道具信息!Q455)</f>
        <v/>
      </c>
      <c r="R455" s="39" t="str">
        <f>IF([8]道具信息!R455="","",[8]道具信息!R455)</f>
        <v/>
      </c>
      <c r="S455" s="39" t="str">
        <f>IF([8]道具信息!S455="","",[8]道具信息!S455)</f>
        <v/>
      </c>
      <c r="T455" s="39" t="str">
        <f>IF([8]道具信息!T455="","",[8]道具信息!T455)</f>
        <v/>
      </c>
      <c r="U455" s="39" t="str">
        <f>IF([8]道具信息!U455="","",[8]道具信息!U455)</f>
        <v/>
      </c>
      <c r="V455" s="39" t="str">
        <f>IF([8]道具信息!V455="","",[8]道具信息!V455)</f>
        <v/>
      </c>
      <c r="W455" s="39" t="str">
        <f>IF([8]道具信息!W455="","",[8]道具信息!W455)</f>
        <v/>
      </c>
      <c r="X455" s="39" t="str">
        <f>IF([8]道具信息!X455="","",[8]道具信息!X455)</f>
        <v/>
      </c>
      <c r="Y455" s="39" t="str">
        <f>IF([8]道具信息!Y455="","",[8]道具信息!Y455)</f>
        <v/>
      </c>
      <c r="Z455" s="39" t="str">
        <f>IF([8]道具信息!Z455="","",[8]道具信息!Z455)</f>
        <v/>
      </c>
    </row>
    <row r="456" spans="1:26" x14ac:dyDescent="0.15">
      <c r="A456" s="39" t="str">
        <f>IF([8]道具信息!A456="","",[8]道具信息!A456)</f>
        <v/>
      </c>
      <c r="B456" s="39" t="str">
        <f>IF([8]道具信息!B456="","",[8]道具信息!B456)</f>
        <v/>
      </c>
      <c r="C456" s="39">
        <f>IF([8]道具信息!C456="","",[8]道具信息!C456)</f>
        <v>23540</v>
      </c>
      <c r="D456" s="39" t="str">
        <f>IF([8]道具信息!D456="","",[8]道具信息!D456)</f>
        <v>500偕作玉宝箱</v>
      </c>
      <c r="E456" s="39">
        <f>IF([8]道具信息!E456="","",[8]道具信息!E456)</f>
        <v>500</v>
      </c>
      <c r="F456" s="39">
        <f>IF([8]道具信息!F456="","",[8]道具信息!F456)</f>
        <v>1</v>
      </c>
      <c r="G456" s="39">
        <f>IF([8]道具信息!G456="","",[8]道具信息!G456)</f>
        <v>1</v>
      </c>
      <c r="H456" s="39">
        <f>IF([8]道具信息!H456="","",[8]道具信息!H456)</f>
        <v>1</v>
      </c>
      <c r="I456" s="39">
        <f>IF([8]道具信息!I456="","",[8]道具信息!I456)</f>
        <v>500</v>
      </c>
      <c r="J456" s="39">
        <f>IF([8]道具信息!J456="","",[8]道具信息!J456)</f>
        <v>500</v>
      </c>
      <c r="K456" s="39">
        <f>IF([8]道具信息!K456="","",[8]道具信息!K456)</f>
        <v>500</v>
      </c>
      <c r="L456" s="39" t="str">
        <f>IF([8]道具信息!L456="","",[8]道具信息!L456)</f>
        <v/>
      </c>
      <c r="M456" s="39" t="str">
        <f>IF([8]道具信息!M456="","",[8]道具信息!M456)</f>
        <v/>
      </c>
      <c r="N456" s="39" t="str">
        <f>IF([8]道具信息!N456="","",[8]道具信息!N456)</f>
        <v/>
      </c>
      <c r="O456" s="39" t="str">
        <f>IF([8]道具信息!O456="","",[8]道具信息!O456)</f>
        <v/>
      </c>
      <c r="P456" s="39" t="str">
        <f>IF([8]道具信息!P456="","",[8]道具信息!P456)</f>
        <v/>
      </c>
      <c r="Q456" s="39" t="str">
        <f>IF([8]道具信息!Q456="","",[8]道具信息!Q456)</f>
        <v/>
      </c>
      <c r="R456" s="39" t="str">
        <f>IF([8]道具信息!R456="","",[8]道具信息!R456)</f>
        <v/>
      </c>
      <c r="S456" s="39" t="str">
        <f>IF([8]道具信息!S456="","",[8]道具信息!S456)</f>
        <v/>
      </c>
      <c r="T456" s="39" t="str">
        <f>IF([8]道具信息!T456="","",[8]道具信息!T456)</f>
        <v/>
      </c>
      <c r="U456" s="39" t="str">
        <f>IF([8]道具信息!U456="","",[8]道具信息!U456)</f>
        <v/>
      </c>
      <c r="V456" s="39" t="str">
        <f>IF([8]道具信息!V456="","",[8]道具信息!V456)</f>
        <v/>
      </c>
      <c r="W456" s="39" t="str">
        <f>IF([8]道具信息!W456="","",[8]道具信息!W456)</f>
        <v/>
      </c>
      <c r="X456" s="39" t="str">
        <f>IF([8]道具信息!X456="","",[8]道具信息!X456)</f>
        <v/>
      </c>
      <c r="Y456" s="39" t="str">
        <f>IF([8]道具信息!Y456="","",[8]道具信息!Y456)</f>
        <v/>
      </c>
      <c r="Z456" s="39" t="str">
        <f>IF([8]道具信息!Z456="","",[8]道具信息!Z456)</f>
        <v/>
      </c>
    </row>
    <row r="457" spans="1:26" x14ac:dyDescent="0.15">
      <c r="A457" s="39" t="str">
        <f>IF([8]道具信息!A457="","",[8]道具信息!A457)</f>
        <v/>
      </c>
      <c r="B457" s="39" t="str">
        <f>IF([8]道具信息!B457="","",[8]道具信息!B457)</f>
        <v/>
      </c>
      <c r="C457" s="39">
        <f>IF([8]道具信息!C457="","",[8]道具信息!C457)</f>
        <v>90510</v>
      </c>
      <c r="D457" s="39" t="str">
        <f>IF([8]道具信息!D457="","",[8]道具信息!D457)</f>
        <v>偕作玉</v>
      </c>
      <c r="E457" s="39">
        <f>IF([8]道具信息!E457="","",[8]道具信息!E457)</f>
        <v>1</v>
      </c>
      <c r="F457" s="39">
        <f>IF([8]道具信息!F457="","",[8]道具信息!F457)</f>
        <v>1</v>
      </c>
      <c r="G457" s="39">
        <f>IF([8]道具信息!G457="","",[8]道具信息!G457)</f>
        <v>1</v>
      </c>
      <c r="H457" s="39">
        <f>IF([8]道具信息!H457="","",[8]道具信息!H457)</f>
        <v>1</v>
      </c>
      <c r="I457" s="39">
        <f>IF([8]道具信息!I457="","",[8]道具信息!I457)</f>
        <v>1</v>
      </c>
      <c r="J457" s="39">
        <f>IF([8]道具信息!J457="","",[8]道具信息!J457)</f>
        <v>1</v>
      </c>
      <c r="K457" s="39">
        <f>IF([8]道具信息!K457="","",[8]道具信息!K457)</f>
        <v>1</v>
      </c>
      <c r="L457" s="39" t="str">
        <f>IF([8]道具信息!L457="","",[8]道具信息!L457)</f>
        <v/>
      </c>
      <c r="M457" s="39" t="str">
        <f>IF([8]道具信息!M457="","",[8]道具信息!M457)</f>
        <v/>
      </c>
      <c r="N457" s="39" t="str">
        <f>IF([8]道具信息!N457="","",[8]道具信息!N457)</f>
        <v/>
      </c>
      <c r="O457" s="39" t="str">
        <f>IF([8]道具信息!O457="","",[8]道具信息!O457)</f>
        <v/>
      </c>
      <c r="P457" s="39" t="str">
        <f>IF([8]道具信息!P457="","",[8]道具信息!P457)</f>
        <v/>
      </c>
      <c r="Q457" s="39" t="str">
        <f>IF([8]道具信息!Q457="","",[8]道具信息!Q457)</f>
        <v/>
      </c>
      <c r="R457" s="39" t="str">
        <f>IF([8]道具信息!R457="","",[8]道具信息!R457)</f>
        <v/>
      </c>
      <c r="S457" s="39" t="str">
        <f>IF([8]道具信息!S457="","",[8]道具信息!S457)</f>
        <v/>
      </c>
      <c r="T457" s="39" t="str">
        <f>IF([8]道具信息!T457="","",[8]道具信息!T457)</f>
        <v/>
      </c>
      <c r="U457" s="39" t="str">
        <f>IF([8]道具信息!U457="","",[8]道具信息!U457)</f>
        <v/>
      </c>
      <c r="V457" s="39" t="str">
        <f>IF([8]道具信息!V457="","",[8]道具信息!V457)</f>
        <v/>
      </c>
      <c r="W457" s="39" t="str">
        <f>IF([8]道具信息!W457="","",[8]道具信息!W457)</f>
        <v/>
      </c>
      <c r="X457" s="39" t="str">
        <f>IF([8]道具信息!X457="","",[8]道具信息!X457)</f>
        <v/>
      </c>
      <c r="Y457" s="39" t="str">
        <f>IF([8]道具信息!Y457="","",[8]道具信息!Y457)</f>
        <v/>
      </c>
      <c r="Z457" s="39" t="str">
        <f>IF([8]道具信息!Z457="","",[8]道具信息!Z457)</f>
        <v/>
      </c>
    </row>
    <row r="458" spans="1:26" x14ac:dyDescent="0.15">
      <c r="A458" s="39" t="str">
        <f>IF([8]道具信息!A458="","",[8]道具信息!A458)</f>
        <v/>
      </c>
      <c r="B458" s="39" t="str">
        <f>IF([8]道具信息!B458="","",[8]道具信息!B458)</f>
        <v/>
      </c>
      <c r="C458" s="39">
        <f>IF([8]道具信息!C458="","",[8]道具信息!C458)</f>
        <v>90512</v>
      </c>
      <c r="D458" s="39" t="str">
        <f>IF([8]道具信息!D458="","",[8]道具信息!D458)</f>
        <v>文心</v>
      </c>
      <c r="E458" s="39">
        <f>IF([8]道具信息!E458="","",[8]道具信息!E458)</f>
        <v>0.33333333333333331</v>
      </c>
      <c r="F458" s="39">
        <f>IF([8]道具信息!F458="","",[8]道具信息!F458)</f>
        <v>1</v>
      </c>
      <c r="G458" s="39">
        <f>IF([8]道具信息!G458="","",[8]道具信息!G458)</f>
        <v>1</v>
      </c>
      <c r="H458" s="39">
        <f>IF([8]道具信息!H458="","",[8]道具信息!H458)</f>
        <v>1</v>
      </c>
      <c r="I458" s="39">
        <f>IF([8]道具信息!I458="","",[8]道具信息!I458)</f>
        <v>0.33333333333333331</v>
      </c>
      <c r="J458" s="39">
        <f>IF([8]道具信息!J458="","",[8]道具信息!J458)</f>
        <v>0.33333333333333331</v>
      </c>
      <c r="K458" s="39">
        <f>IF([8]道具信息!K458="","",[8]道具信息!K458)</f>
        <v>0.33333333333333331</v>
      </c>
      <c r="L458" s="39" t="str">
        <f>IF([8]道具信息!L458="","",[8]道具信息!L458)</f>
        <v/>
      </c>
      <c r="M458" s="39" t="str">
        <f>IF([8]道具信息!M458="","",[8]道具信息!M458)</f>
        <v/>
      </c>
      <c r="N458" s="39" t="str">
        <f>IF([8]道具信息!N458="","",[8]道具信息!N458)</f>
        <v/>
      </c>
      <c r="O458" s="39" t="str">
        <f>IF([8]道具信息!O458="","",[8]道具信息!O458)</f>
        <v/>
      </c>
      <c r="P458" s="39" t="str">
        <f>IF([8]道具信息!P458="","",[8]道具信息!P458)</f>
        <v/>
      </c>
      <c r="Q458" s="39" t="str">
        <f>IF([8]道具信息!Q458="","",[8]道具信息!Q458)</f>
        <v/>
      </c>
      <c r="R458" s="39" t="str">
        <f>IF([8]道具信息!R458="","",[8]道具信息!R458)</f>
        <v/>
      </c>
      <c r="S458" s="39" t="str">
        <f>IF([8]道具信息!S458="","",[8]道具信息!S458)</f>
        <v/>
      </c>
      <c r="T458" s="39" t="str">
        <f>IF([8]道具信息!T458="","",[8]道具信息!T458)</f>
        <v/>
      </c>
      <c r="U458" s="39" t="str">
        <f>IF([8]道具信息!U458="","",[8]道具信息!U458)</f>
        <v/>
      </c>
      <c r="V458" s="39" t="str">
        <f>IF([8]道具信息!V458="","",[8]道具信息!V458)</f>
        <v/>
      </c>
      <c r="W458" s="39" t="str">
        <f>IF([8]道具信息!W458="","",[8]道具信息!W458)</f>
        <v/>
      </c>
      <c r="X458" s="39" t="str">
        <f>IF([8]道具信息!X458="","",[8]道具信息!X458)</f>
        <v/>
      </c>
      <c r="Y458" s="39" t="str">
        <f>IF([8]道具信息!Y458="","",[8]道具信息!Y458)</f>
        <v/>
      </c>
      <c r="Z458" s="39" t="str">
        <f>IF([8]道具信息!Z458="","",[8]道具信息!Z458)</f>
        <v/>
      </c>
    </row>
    <row r="459" spans="1:26" x14ac:dyDescent="0.15">
      <c r="A459" s="39" t="str">
        <f>IF([8]道具信息!A459="","",[8]道具信息!A459)</f>
        <v/>
      </c>
      <c r="B459" s="39" t="str">
        <f>IF([8]道具信息!B459="","",[8]道具信息!B459)</f>
        <v/>
      </c>
      <c r="C459" s="39">
        <f>IF([8]道具信息!C459="","",[8]道具信息!C459)</f>
        <v>90513</v>
      </c>
      <c r="D459" s="39" t="str">
        <f>IF([8]道具信息!D459="","",[8]道具信息!D459)</f>
        <v>宝物精华</v>
      </c>
      <c r="E459" s="39">
        <f>IF([8]道具信息!E459="","",[8]道具信息!E459)</f>
        <v>100</v>
      </c>
      <c r="F459" s="39">
        <f>IF([8]道具信息!F459="","",[8]道具信息!F459)</f>
        <v>1</v>
      </c>
      <c r="G459" s="39">
        <f>IF([8]道具信息!G459="","",[8]道具信息!G459)</f>
        <v>1</v>
      </c>
      <c r="H459" s="39">
        <f>IF([8]道具信息!H459="","",[8]道具信息!H459)</f>
        <v>1</v>
      </c>
      <c r="I459" s="39">
        <f>IF([8]道具信息!I459="","",[8]道具信息!I459)</f>
        <v>100</v>
      </c>
      <c r="J459" s="39">
        <f>IF([8]道具信息!J459="","",[8]道具信息!J459)</f>
        <v>100</v>
      </c>
      <c r="K459" s="39">
        <f>IF([8]道具信息!K459="","",[8]道具信息!K459)</f>
        <v>100</v>
      </c>
      <c r="L459" s="39" t="str">
        <f>IF([8]道具信息!L459="","",[8]道具信息!L459)</f>
        <v/>
      </c>
      <c r="M459" s="39" t="str">
        <f>IF([8]道具信息!M459="","",[8]道具信息!M459)</f>
        <v/>
      </c>
      <c r="N459" s="39" t="str">
        <f>IF([8]道具信息!N459="","",[8]道具信息!N459)</f>
        <v/>
      </c>
      <c r="O459" s="39" t="str">
        <f>IF([8]道具信息!O459="","",[8]道具信息!O459)</f>
        <v/>
      </c>
      <c r="P459" s="39" t="str">
        <f>IF([8]道具信息!P459="","",[8]道具信息!P459)</f>
        <v/>
      </c>
      <c r="Q459" s="39" t="str">
        <f>IF([8]道具信息!Q459="","",[8]道具信息!Q459)</f>
        <v/>
      </c>
      <c r="R459" s="39" t="str">
        <f>IF([8]道具信息!R459="","",[8]道具信息!R459)</f>
        <v/>
      </c>
      <c r="S459" s="39" t="str">
        <f>IF([8]道具信息!S459="","",[8]道具信息!S459)</f>
        <v/>
      </c>
      <c r="T459" s="39" t="str">
        <f>IF([8]道具信息!T459="","",[8]道具信息!T459)</f>
        <v/>
      </c>
      <c r="U459" s="39" t="str">
        <f>IF([8]道具信息!U459="","",[8]道具信息!U459)</f>
        <v/>
      </c>
      <c r="V459" s="39" t="str">
        <f>IF([8]道具信息!V459="","",[8]道具信息!V459)</f>
        <v/>
      </c>
      <c r="W459" s="39" t="str">
        <f>IF([8]道具信息!W459="","",[8]道具信息!W459)</f>
        <v/>
      </c>
      <c r="X459" s="39" t="str">
        <f>IF([8]道具信息!X459="","",[8]道具信息!X459)</f>
        <v/>
      </c>
      <c r="Y459" s="39" t="str">
        <f>IF([8]道具信息!Y459="","",[8]道具信息!Y459)</f>
        <v/>
      </c>
      <c r="Z459" s="39" t="str">
        <f>IF([8]道具信息!Z459="","",[8]道具信息!Z459)</f>
        <v/>
      </c>
    </row>
    <row r="460" spans="1:26" x14ac:dyDescent="0.15">
      <c r="A460" s="39" t="str">
        <f>IF([8]道具信息!A460="","",[8]道具信息!A460)</f>
        <v/>
      </c>
      <c r="B460" s="39" t="str">
        <f>IF([8]道具信息!B460="","",[8]道具信息!B460)</f>
        <v/>
      </c>
      <c r="C460" s="39">
        <f>IF([8]道具信息!C460="","",[8]道具信息!C460)</f>
        <v>23652</v>
      </c>
      <c r="D460" s="39" t="str">
        <f>IF([8]道具信息!D460="","",[8]道具信息!D460)</f>
        <v>流云装备宝箱碎片</v>
      </c>
      <c r="E460" s="39" t="str">
        <f>IF([8]道具信息!E460="","",[8]道具信息!E460)</f>
        <v/>
      </c>
      <c r="F460" s="39">
        <f>IF([8]道具信息!F460="","",[8]道具信息!F460)</f>
        <v>1</v>
      </c>
      <c r="G460" s="39">
        <f>IF([8]道具信息!G460="","",[8]道具信息!G460)</f>
        <v>1</v>
      </c>
      <c r="H460" s="39">
        <f>IF([8]道具信息!H460="","",[8]道具信息!H460)</f>
        <v>1</v>
      </c>
      <c r="I460" s="39" t="str">
        <f>IF([8]道具信息!I460="","",[8]道具信息!I460)</f>
        <v/>
      </c>
      <c r="J460" s="39" t="str">
        <f>IF([8]道具信息!J460="","",[8]道具信息!J460)</f>
        <v/>
      </c>
      <c r="K460" s="39" t="str">
        <f>IF([8]道具信息!K460="","",[8]道具信息!K460)</f>
        <v/>
      </c>
      <c r="L460" s="39" t="str">
        <f>IF([8]道具信息!L460="","",[8]道具信息!L460)</f>
        <v/>
      </c>
      <c r="M460" s="39" t="str">
        <f>IF([8]道具信息!M460="","",[8]道具信息!M460)</f>
        <v/>
      </c>
      <c r="N460" s="39" t="str">
        <f>IF([8]道具信息!N460="","",[8]道具信息!N460)</f>
        <v/>
      </c>
      <c r="O460" s="39" t="str">
        <f>IF([8]道具信息!O460="","",[8]道具信息!O460)</f>
        <v/>
      </c>
      <c r="P460" s="39" t="str">
        <f>IF([8]道具信息!P460="","",[8]道具信息!P460)</f>
        <v/>
      </c>
      <c r="Q460" s="39" t="str">
        <f>IF([8]道具信息!Q460="","",[8]道具信息!Q460)</f>
        <v/>
      </c>
      <c r="R460" s="39" t="str">
        <f>IF([8]道具信息!R460="","",[8]道具信息!R460)</f>
        <v/>
      </c>
      <c r="S460" s="39" t="str">
        <f>IF([8]道具信息!S460="","",[8]道具信息!S460)</f>
        <v/>
      </c>
      <c r="T460" s="39" t="str">
        <f>IF([8]道具信息!T460="","",[8]道具信息!T460)</f>
        <v/>
      </c>
      <c r="U460" s="39" t="str">
        <f>IF([8]道具信息!U460="","",[8]道具信息!U460)</f>
        <v/>
      </c>
      <c r="V460" s="39" t="str">
        <f>IF([8]道具信息!V460="","",[8]道具信息!V460)</f>
        <v/>
      </c>
      <c r="W460" s="39" t="str">
        <f>IF([8]道具信息!W460="","",[8]道具信息!W460)</f>
        <v/>
      </c>
      <c r="X460" s="39" t="str">
        <f>IF([8]道具信息!X460="","",[8]道具信息!X460)</f>
        <v/>
      </c>
      <c r="Y460" s="39" t="str">
        <f>IF([8]道具信息!Y460="","",[8]道具信息!Y460)</f>
        <v/>
      </c>
      <c r="Z460" s="39" t="str">
        <f>IF([8]道具信息!Z460="","",[8]道具信息!Z460)</f>
        <v/>
      </c>
    </row>
    <row r="461" spans="1:26" x14ac:dyDescent="0.15">
      <c r="A461" s="39" t="str">
        <f>IF([8]道具信息!A461="","",[8]道具信息!A461)</f>
        <v/>
      </c>
      <c r="B461" s="39" t="str">
        <f>IF([8]道具信息!B461="","",[8]道具信息!B461)</f>
        <v/>
      </c>
      <c r="C461" s="39">
        <f>IF([8]道具信息!C461="","",[8]道具信息!C461)</f>
        <v>23658</v>
      </c>
      <c r="D461" s="39" t="str">
        <f>IF([8]道具信息!D461="","",[8]道具信息!D461)</f>
        <v>乱世王者碎片</v>
      </c>
      <c r="E461" s="39" t="str">
        <f>IF([8]道具信息!E461="","",[8]道具信息!E461)</f>
        <v/>
      </c>
      <c r="F461" s="39">
        <f>IF([8]道具信息!F461="","",[8]道具信息!F461)</f>
        <v>1</v>
      </c>
      <c r="G461" s="39">
        <f>IF([8]道具信息!G461="","",[8]道具信息!G461)</f>
        <v>1</v>
      </c>
      <c r="H461" s="39">
        <f>IF([8]道具信息!H461="","",[8]道具信息!H461)</f>
        <v>1</v>
      </c>
      <c r="I461" s="39" t="str">
        <f>IF([8]道具信息!I461="","",[8]道具信息!I461)</f>
        <v/>
      </c>
      <c r="J461" s="39" t="str">
        <f>IF([8]道具信息!J461="","",[8]道具信息!J461)</f>
        <v/>
      </c>
      <c r="K461" s="39" t="str">
        <f>IF([8]道具信息!K461="","",[8]道具信息!K461)</f>
        <v/>
      </c>
      <c r="L461" s="39" t="str">
        <f>IF([8]道具信息!L461="","",[8]道具信息!L461)</f>
        <v/>
      </c>
      <c r="M461" s="39" t="str">
        <f>IF([8]道具信息!M461="","",[8]道具信息!M461)</f>
        <v/>
      </c>
      <c r="N461" s="39" t="str">
        <f>IF([8]道具信息!N461="","",[8]道具信息!N461)</f>
        <v/>
      </c>
      <c r="O461" s="39" t="str">
        <f>IF([8]道具信息!O461="","",[8]道具信息!O461)</f>
        <v/>
      </c>
      <c r="P461" s="39" t="str">
        <f>IF([8]道具信息!P461="","",[8]道具信息!P461)</f>
        <v/>
      </c>
      <c r="Q461" s="39" t="str">
        <f>IF([8]道具信息!Q461="","",[8]道具信息!Q461)</f>
        <v/>
      </c>
      <c r="R461" s="39" t="str">
        <f>IF([8]道具信息!R461="","",[8]道具信息!R461)</f>
        <v/>
      </c>
      <c r="S461" s="39" t="str">
        <f>IF([8]道具信息!S461="","",[8]道具信息!S461)</f>
        <v/>
      </c>
      <c r="T461" s="39" t="str">
        <f>IF([8]道具信息!T461="","",[8]道具信息!T461)</f>
        <v/>
      </c>
      <c r="U461" s="39" t="str">
        <f>IF([8]道具信息!U461="","",[8]道具信息!U461)</f>
        <v/>
      </c>
      <c r="V461" s="39" t="str">
        <f>IF([8]道具信息!V461="","",[8]道具信息!V461)</f>
        <v/>
      </c>
      <c r="W461" s="39" t="str">
        <f>IF([8]道具信息!W461="","",[8]道具信息!W461)</f>
        <v/>
      </c>
      <c r="X461" s="39" t="str">
        <f>IF([8]道具信息!X461="","",[8]道具信息!X461)</f>
        <v/>
      </c>
      <c r="Y461" s="39" t="str">
        <f>IF([8]道具信息!Y461="","",[8]道具信息!Y461)</f>
        <v/>
      </c>
      <c r="Z461" s="39" t="str">
        <f>IF([8]道具信息!Z461="","",[8]道具信息!Z461)</f>
        <v/>
      </c>
    </row>
    <row r="462" spans="1:26" x14ac:dyDescent="0.15">
      <c r="A462" s="39" t="str">
        <f>IF([8]道具信息!A462="","",[8]道具信息!A462)</f>
        <v/>
      </c>
      <c r="B462" s="39" t="str">
        <f>IF([8]道具信息!B462="","",[8]道具信息!B462)</f>
        <v/>
      </c>
      <c r="C462" s="39" t="str">
        <f>IF([8]道具信息!C462="","",[8]道具信息!C462)</f>
        <v/>
      </c>
      <c r="D462" s="39" t="str">
        <f>IF([8]道具信息!D462="","",[8]道具信息!D462)</f>
        <v/>
      </c>
      <c r="E462" s="39" t="str">
        <f>IF([8]道具信息!E462="","",[8]道具信息!E462)</f>
        <v/>
      </c>
      <c r="F462" s="39">
        <f>IF([8]道具信息!F462="","",[8]道具信息!F462)</f>
        <v>1</v>
      </c>
      <c r="G462" s="39">
        <f>IF([8]道具信息!G462="","",[8]道具信息!G462)</f>
        <v>1</v>
      </c>
      <c r="H462" s="39">
        <f>IF([8]道具信息!H462="","",[8]道具信息!H462)</f>
        <v>1</v>
      </c>
      <c r="I462" s="39" t="str">
        <f>IF([8]道具信息!I462="","",[8]道具信息!I462)</f>
        <v/>
      </c>
      <c r="J462" s="39" t="str">
        <f>IF([8]道具信息!J462="","",[8]道具信息!J462)</f>
        <v/>
      </c>
      <c r="K462" s="39" t="str">
        <f>IF([8]道具信息!K462="","",[8]道具信息!K462)</f>
        <v/>
      </c>
      <c r="L462" s="39" t="str">
        <f>IF([8]道具信息!L462="","",[8]道具信息!L462)</f>
        <v/>
      </c>
      <c r="M462" s="39" t="str">
        <f>IF([8]道具信息!M462="","",[8]道具信息!M462)</f>
        <v/>
      </c>
      <c r="N462" s="39" t="str">
        <f>IF([8]道具信息!N462="","",[8]道具信息!N462)</f>
        <v/>
      </c>
      <c r="O462" s="39" t="str">
        <f>IF([8]道具信息!O462="","",[8]道具信息!O462)</f>
        <v/>
      </c>
      <c r="P462" s="39" t="str">
        <f>IF([8]道具信息!P462="","",[8]道具信息!P462)</f>
        <v/>
      </c>
      <c r="Q462" s="39" t="str">
        <f>IF([8]道具信息!Q462="","",[8]道具信息!Q462)</f>
        <v/>
      </c>
      <c r="R462" s="39" t="str">
        <f>IF([8]道具信息!R462="","",[8]道具信息!R462)</f>
        <v/>
      </c>
      <c r="S462" s="39" t="str">
        <f>IF([8]道具信息!S462="","",[8]道具信息!S462)</f>
        <v/>
      </c>
      <c r="T462" s="39" t="str">
        <f>IF([8]道具信息!T462="","",[8]道具信息!T462)</f>
        <v/>
      </c>
      <c r="U462" s="39" t="str">
        <f>IF([8]道具信息!U462="","",[8]道具信息!U462)</f>
        <v/>
      </c>
      <c r="V462" s="39" t="str">
        <f>IF([8]道具信息!V462="","",[8]道具信息!V462)</f>
        <v/>
      </c>
      <c r="W462" s="39" t="str">
        <f>IF([8]道具信息!W462="","",[8]道具信息!W462)</f>
        <v/>
      </c>
      <c r="X462" s="39" t="str">
        <f>IF([8]道具信息!X462="","",[8]道具信息!X462)</f>
        <v/>
      </c>
      <c r="Y462" s="39" t="str">
        <f>IF([8]道具信息!Y462="","",[8]道具信息!Y462)</f>
        <v/>
      </c>
      <c r="Z462" s="39" t="str">
        <f>IF([8]道具信息!Z462="","",[8]道具信息!Z462)</f>
        <v/>
      </c>
    </row>
    <row r="463" spans="1:26" x14ac:dyDescent="0.15">
      <c r="A463" s="39" t="str">
        <f>IF([8]道具信息!A463="","",[8]道具信息!A463)</f>
        <v/>
      </c>
      <c r="B463" s="39" t="str">
        <f>IF([8]道具信息!B463="","",[8]道具信息!B463)</f>
        <v/>
      </c>
      <c r="C463" s="39" t="str">
        <f>IF([8]道具信息!C463="","",[8]道具信息!C463)</f>
        <v/>
      </c>
      <c r="D463" s="39" t="str">
        <f>IF([8]道具信息!D463="","",[8]道具信息!D463)</f>
        <v>指定橙+宝物碎片</v>
      </c>
      <c r="E463" s="39">
        <f>IF([8]道具信息!E463="","",[8]道具信息!E463)</f>
        <v>666.66666666666663</v>
      </c>
      <c r="F463" s="39">
        <f>IF([8]道具信息!F463="","",[8]道具信息!F463)</f>
        <v>1</v>
      </c>
      <c r="G463" s="39">
        <f>IF([8]道具信息!G463="","",[8]道具信息!G463)</f>
        <v>1</v>
      </c>
      <c r="H463" s="39">
        <f>IF([8]道具信息!H463="","",[8]道具信息!H463)</f>
        <v>1</v>
      </c>
      <c r="I463" s="39">
        <f>IF([8]道具信息!I463="","",[8]道具信息!I463)</f>
        <v>666.66666666666663</v>
      </c>
      <c r="J463" s="39">
        <f>IF([8]道具信息!J463="","",[8]道具信息!J463)</f>
        <v>666.66666666666663</v>
      </c>
      <c r="K463" s="39">
        <f>IF([8]道具信息!K463="","",[8]道具信息!K463)</f>
        <v>666.66666666666663</v>
      </c>
      <c r="L463" s="39" t="str">
        <f>IF([8]道具信息!L463="","",[8]道具信息!L463)</f>
        <v/>
      </c>
      <c r="M463" s="39" t="str">
        <f>IF([8]道具信息!M463="","",[8]道具信息!M463)</f>
        <v/>
      </c>
      <c r="N463" s="39" t="str">
        <f>IF([8]道具信息!N463="","",[8]道具信息!N463)</f>
        <v/>
      </c>
      <c r="O463" s="39" t="str">
        <f>IF([8]道具信息!O463="","",[8]道具信息!O463)</f>
        <v/>
      </c>
      <c r="P463" s="39" t="str">
        <f>IF([8]道具信息!P463="","",[8]道具信息!P463)</f>
        <v/>
      </c>
      <c r="Q463" s="39" t="str">
        <f>IF([8]道具信息!Q463="","",[8]道具信息!Q463)</f>
        <v/>
      </c>
      <c r="R463" s="39" t="str">
        <f>IF([8]道具信息!R463="","",[8]道具信息!R463)</f>
        <v/>
      </c>
      <c r="S463" s="39" t="str">
        <f>IF([8]道具信息!S463="","",[8]道具信息!S463)</f>
        <v/>
      </c>
      <c r="T463" s="39" t="str">
        <f>IF([8]道具信息!T463="","",[8]道具信息!T463)</f>
        <v/>
      </c>
      <c r="U463" s="39" t="str">
        <f>IF([8]道具信息!U463="","",[8]道具信息!U463)</f>
        <v/>
      </c>
      <c r="V463" s="39" t="str">
        <f>IF([8]道具信息!V463="","",[8]道具信息!V463)</f>
        <v/>
      </c>
      <c r="W463" s="39" t="str">
        <f>IF([8]道具信息!W463="","",[8]道具信息!W463)</f>
        <v/>
      </c>
      <c r="X463" s="39" t="str">
        <f>IF([8]道具信息!X463="","",[8]道具信息!X463)</f>
        <v/>
      </c>
      <c r="Y463" s="39" t="str">
        <f>IF([8]道具信息!Y463="","",[8]道具信息!Y463)</f>
        <v/>
      </c>
      <c r="Z463" s="39" t="str">
        <f>IF([8]道具信息!Z463="","",[8]道具信息!Z463)</f>
        <v/>
      </c>
    </row>
    <row r="464" spans="1:26" x14ac:dyDescent="0.15">
      <c r="A464" s="39" t="str">
        <f>IF([8]道具信息!A464="","",[8]道具信息!A464)</f>
        <v/>
      </c>
      <c r="B464" s="39" t="str">
        <f>IF([8]道具信息!B464="","",[8]道具信息!B464)</f>
        <v/>
      </c>
      <c r="C464" s="39" t="str">
        <f>IF([8]道具信息!C464="","",[8]道具信息!C464)</f>
        <v/>
      </c>
      <c r="D464" s="39" t="str">
        <f>IF([8]道具信息!D464="","",[8]道具信息!D464)</f>
        <v/>
      </c>
      <c r="E464" s="39" t="str">
        <f>IF([8]道具信息!E464="","",[8]道具信息!E464)</f>
        <v/>
      </c>
      <c r="F464" s="39">
        <f>IF([8]道具信息!F464="","",[8]道具信息!F464)</f>
        <v>1</v>
      </c>
      <c r="G464" s="39">
        <f>IF([8]道具信息!G464="","",[8]道具信息!G464)</f>
        <v>1</v>
      </c>
      <c r="H464" s="39">
        <f>IF([8]道具信息!H464="","",[8]道具信息!H464)</f>
        <v>1</v>
      </c>
      <c r="I464" s="39" t="str">
        <f>IF([8]道具信息!I464="","",[8]道具信息!I464)</f>
        <v/>
      </c>
      <c r="J464" s="39" t="str">
        <f>IF([8]道具信息!J464="","",[8]道具信息!J464)</f>
        <v/>
      </c>
      <c r="K464" s="39" t="str">
        <f>IF([8]道具信息!K464="","",[8]道具信息!K464)</f>
        <v/>
      </c>
      <c r="L464" s="39" t="str">
        <f>IF([8]道具信息!L464="","",[8]道具信息!L464)</f>
        <v/>
      </c>
      <c r="M464" s="39" t="str">
        <f>IF([8]道具信息!M464="","",[8]道具信息!M464)</f>
        <v/>
      </c>
      <c r="N464" s="39" t="str">
        <f>IF([8]道具信息!N464="","",[8]道具信息!N464)</f>
        <v/>
      </c>
      <c r="O464" s="39" t="str">
        <f>IF([8]道具信息!O464="","",[8]道具信息!O464)</f>
        <v/>
      </c>
      <c r="P464" s="39" t="str">
        <f>IF([8]道具信息!P464="","",[8]道具信息!P464)</f>
        <v/>
      </c>
      <c r="Q464" s="39" t="str">
        <f>IF([8]道具信息!Q464="","",[8]道具信息!Q464)</f>
        <v/>
      </c>
      <c r="R464" s="39" t="str">
        <f>IF([8]道具信息!R464="","",[8]道具信息!R464)</f>
        <v/>
      </c>
      <c r="S464" s="39" t="str">
        <f>IF([8]道具信息!S464="","",[8]道具信息!S464)</f>
        <v/>
      </c>
      <c r="T464" s="39" t="str">
        <f>IF([8]道具信息!T464="","",[8]道具信息!T464)</f>
        <v/>
      </c>
      <c r="U464" s="39" t="str">
        <f>IF([8]道具信息!U464="","",[8]道具信息!U464)</f>
        <v/>
      </c>
      <c r="V464" s="39" t="str">
        <f>IF([8]道具信息!V464="","",[8]道具信息!V464)</f>
        <v/>
      </c>
      <c r="W464" s="39" t="str">
        <f>IF([8]道具信息!W464="","",[8]道具信息!W464)</f>
        <v/>
      </c>
      <c r="X464" s="39" t="str">
        <f>IF([8]道具信息!X464="","",[8]道具信息!X464)</f>
        <v/>
      </c>
      <c r="Y464" s="39" t="str">
        <f>IF([8]道具信息!Y464="","",[8]道具信息!Y464)</f>
        <v/>
      </c>
      <c r="Z464" s="39" t="str">
        <f>IF([8]道具信息!Z464="","",[8]道具信息!Z464)</f>
        <v/>
      </c>
    </row>
    <row r="465" spans="1:26" x14ac:dyDescent="0.15">
      <c r="A465" s="39" t="str">
        <f>IF([8]道具信息!A465="","",[8]道具信息!A465)</f>
        <v/>
      </c>
      <c r="B465" s="39" t="str">
        <f>IF([8]道具信息!B465="","",[8]道具信息!B465)</f>
        <v/>
      </c>
      <c r="C465" s="39">
        <f>IF([8]道具信息!C465="","",[8]道具信息!C465)</f>
        <v>24057</v>
      </c>
      <c r="D465" s="39" t="str">
        <f>IF([8]道具信息!D465="","",[8]道具信息!D465)</f>
        <v>计无所出·极-残片</v>
      </c>
      <c r="E465" s="39" t="str">
        <f>IF([8]道具信息!E465="","",[8]道具信息!E465)</f>
        <v/>
      </c>
      <c r="F465" s="39">
        <f>IF([8]道具信息!F465="","",[8]道具信息!F465)</f>
        <v>1</v>
      </c>
      <c r="G465" s="39">
        <f>IF([8]道具信息!G465="","",[8]道具信息!G465)</f>
        <v>1</v>
      </c>
      <c r="H465" s="39">
        <f>IF([8]道具信息!H465="","",[8]道具信息!H465)</f>
        <v>1</v>
      </c>
      <c r="I465" s="39" t="str">
        <f>IF([8]道具信息!I465="","",[8]道具信息!I465)</f>
        <v/>
      </c>
      <c r="J465" s="39" t="str">
        <f>IF([8]道具信息!J465="","",[8]道具信息!J465)</f>
        <v/>
      </c>
      <c r="K465" s="39" t="str">
        <f>IF([8]道具信息!K465="","",[8]道具信息!K465)</f>
        <v/>
      </c>
      <c r="L465" s="39" t="str">
        <f>IF([8]道具信息!L465="","",[8]道具信息!L465)</f>
        <v/>
      </c>
      <c r="M465" s="39" t="str">
        <f>IF([8]道具信息!M465="","",[8]道具信息!M465)</f>
        <v/>
      </c>
      <c r="N465" s="39" t="str">
        <f>IF([8]道具信息!N465="","",[8]道具信息!N465)</f>
        <v/>
      </c>
      <c r="O465" s="39" t="str">
        <f>IF([8]道具信息!O465="","",[8]道具信息!O465)</f>
        <v/>
      </c>
      <c r="P465" s="39" t="str">
        <f>IF([8]道具信息!P465="","",[8]道具信息!P465)</f>
        <v/>
      </c>
      <c r="Q465" s="39" t="str">
        <f>IF([8]道具信息!Q465="","",[8]道具信息!Q465)</f>
        <v/>
      </c>
      <c r="R465" s="39" t="str">
        <f>IF([8]道具信息!R465="","",[8]道具信息!R465)</f>
        <v/>
      </c>
      <c r="S465" s="39" t="str">
        <f>IF([8]道具信息!S465="","",[8]道具信息!S465)</f>
        <v/>
      </c>
      <c r="T465" s="39" t="str">
        <f>IF([8]道具信息!T465="","",[8]道具信息!T465)</f>
        <v/>
      </c>
      <c r="U465" s="39" t="str">
        <f>IF([8]道具信息!U465="","",[8]道具信息!U465)</f>
        <v/>
      </c>
      <c r="V465" s="39" t="str">
        <f>IF([8]道具信息!V465="","",[8]道具信息!V465)</f>
        <v/>
      </c>
      <c r="W465" s="39" t="str">
        <f>IF([8]道具信息!W465="","",[8]道具信息!W465)</f>
        <v/>
      </c>
      <c r="X465" s="39" t="str">
        <f>IF([8]道具信息!X465="","",[8]道具信息!X465)</f>
        <v/>
      </c>
      <c r="Y465" s="39" t="str">
        <f>IF([8]道具信息!Y465="","",[8]道具信息!Y465)</f>
        <v/>
      </c>
      <c r="Z465" s="39" t="str">
        <f>IF([8]道具信息!Z465="","",[8]道具信息!Z465)</f>
        <v/>
      </c>
    </row>
    <row r="466" spans="1:26" x14ac:dyDescent="0.15">
      <c r="A466" s="39" t="str">
        <f>IF([8]道具信息!A466="","",[8]道具信息!A466)</f>
        <v/>
      </c>
      <c r="B466" s="39" t="str">
        <f>IF([8]道具信息!B466="","",[8]道具信息!B466)</f>
        <v/>
      </c>
      <c r="C466" s="39">
        <f>IF([8]道具信息!C466="","",[8]道具信息!C466)</f>
        <v>23410</v>
      </c>
      <c r="D466" s="39" t="str">
        <f>IF([8]道具信息!D466="","",[8]道具信息!D466)</f>
        <v>无字天书碎片</v>
      </c>
      <c r="E466" s="39" t="str">
        <f>IF([8]道具信息!E466="","",[8]道具信息!E466)</f>
        <v/>
      </c>
      <c r="F466" s="39">
        <f>IF([8]道具信息!F466="","",[8]道具信息!F466)</f>
        <v>1</v>
      </c>
      <c r="G466" s="39">
        <f>IF([8]道具信息!G466="","",[8]道具信息!G466)</f>
        <v>1</v>
      </c>
      <c r="H466" s="39">
        <f>IF([8]道具信息!H466="","",[8]道具信息!H466)</f>
        <v>1</v>
      </c>
      <c r="I466" s="39" t="str">
        <f>IF([8]道具信息!I466="","",[8]道具信息!I466)</f>
        <v/>
      </c>
      <c r="J466" s="39" t="str">
        <f>IF([8]道具信息!J466="","",[8]道具信息!J466)</f>
        <v/>
      </c>
      <c r="K466" s="39" t="str">
        <f>IF([8]道具信息!K466="","",[8]道具信息!K466)</f>
        <v/>
      </c>
      <c r="L466" s="39" t="str">
        <f>IF([8]道具信息!L466="","",[8]道具信息!L466)</f>
        <v/>
      </c>
      <c r="M466" s="39" t="str">
        <f>IF([8]道具信息!M466="","",[8]道具信息!M466)</f>
        <v/>
      </c>
      <c r="N466" s="39" t="str">
        <f>IF([8]道具信息!N466="","",[8]道具信息!N466)</f>
        <v/>
      </c>
      <c r="O466" s="39" t="str">
        <f>IF([8]道具信息!O466="","",[8]道具信息!O466)</f>
        <v/>
      </c>
      <c r="P466" s="39" t="str">
        <f>IF([8]道具信息!P466="","",[8]道具信息!P466)</f>
        <v/>
      </c>
      <c r="Q466" s="39" t="str">
        <f>IF([8]道具信息!Q466="","",[8]道具信息!Q466)</f>
        <v/>
      </c>
      <c r="R466" s="39" t="str">
        <f>IF([8]道具信息!R466="","",[8]道具信息!R466)</f>
        <v/>
      </c>
      <c r="S466" s="39" t="str">
        <f>IF([8]道具信息!S466="","",[8]道具信息!S466)</f>
        <v/>
      </c>
      <c r="T466" s="39" t="str">
        <f>IF([8]道具信息!T466="","",[8]道具信息!T466)</f>
        <v/>
      </c>
      <c r="U466" s="39" t="str">
        <f>IF([8]道具信息!U466="","",[8]道具信息!U466)</f>
        <v/>
      </c>
      <c r="V466" s="39" t="str">
        <f>IF([8]道具信息!V466="","",[8]道具信息!V466)</f>
        <v/>
      </c>
      <c r="W466" s="39" t="str">
        <f>IF([8]道具信息!W466="","",[8]道具信息!W466)</f>
        <v/>
      </c>
      <c r="X466" s="39" t="str">
        <f>IF([8]道具信息!X466="","",[8]道具信息!X466)</f>
        <v/>
      </c>
      <c r="Y466" s="39" t="str">
        <f>IF([8]道具信息!Y466="","",[8]道具信息!Y466)</f>
        <v/>
      </c>
      <c r="Z466" s="39" t="str">
        <f>IF([8]道具信息!Z466="","",[8]道具信息!Z466)</f>
        <v/>
      </c>
    </row>
    <row r="467" spans="1:26" x14ac:dyDescent="0.15">
      <c r="A467" s="39" t="str">
        <f>IF([8]道具信息!A467="","",[8]道具信息!A467)</f>
        <v/>
      </c>
      <c r="B467" s="39" t="str">
        <f>IF([8]道具信息!B467="","",[8]道具信息!B467)</f>
        <v/>
      </c>
      <c r="C467" s="39">
        <f>IF([8]道具信息!C467="","",[8]道具信息!C467)</f>
        <v>24021</v>
      </c>
      <c r="D467" s="39" t="str">
        <f>IF([8]道具信息!D467="","",[8]道具信息!D467)</f>
        <v>三级阵旗随机宝箱</v>
      </c>
      <c r="E467" s="39" t="str">
        <f>IF([8]道具信息!E467="","",[8]道具信息!E467)</f>
        <v/>
      </c>
      <c r="F467" s="39">
        <f>IF([8]道具信息!F467="","",[8]道具信息!F467)</f>
        <v>1</v>
      </c>
      <c r="G467" s="39">
        <f>IF([8]道具信息!G467="","",[8]道具信息!G467)</f>
        <v>1</v>
      </c>
      <c r="H467" s="39">
        <f>IF([8]道具信息!H467="","",[8]道具信息!H467)</f>
        <v>1</v>
      </c>
      <c r="I467" s="39" t="str">
        <f>IF([8]道具信息!I467="","",[8]道具信息!I467)</f>
        <v/>
      </c>
      <c r="J467" s="39" t="str">
        <f>IF([8]道具信息!J467="","",[8]道具信息!J467)</f>
        <v/>
      </c>
      <c r="K467" s="39" t="str">
        <f>IF([8]道具信息!K467="","",[8]道具信息!K467)</f>
        <v/>
      </c>
      <c r="L467" s="39" t="str">
        <f>IF([8]道具信息!L467="","",[8]道具信息!L467)</f>
        <v/>
      </c>
      <c r="M467" s="39" t="str">
        <f>IF([8]道具信息!M467="","",[8]道具信息!M467)</f>
        <v/>
      </c>
      <c r="N467" s="39" t="str">
        <f>IF([8]道具信息!N467="","",[8]道具信息!N467)</f>
        <v/>
      </c>
      <c r="O467" s="39" t="str">
        <f>IF([8]道具信息!O467="","",[8]道具信息!O467)</f>
        <v/>
      </c>
      <c r="P467" s="39" t="str">
        <f>IF([8]道具信息!P467="","",[8]道具信息!P467)</f>
        <v/>
      </c>
      <c r="Q467" s="39" t="str">
        <f>IF([8]道具信息!Q467="","",[8]道具信息!Q467)</f>
        <v/>
      </c>
      <c r="R467" s="39" t="str">
        <f>IF([8]道具信息!R467="","",[8]道具信息!R467)</f>
        <v/>
      </c>
      <c r="S467" s="39" t="str">
        <f>IF([8]道具信息!S467="","",[8]道具信息!S467)</f>
        <v/>
      </c>
      <c r="T467" s="39" t="str">
        <f>IF([8]道具信息!T467="","",[8]道具信息!T467)</f>
        <v/>
      </c>
      <c r="U467" s="39" t="str">
        <f>IF([8]道具信息!U467="","",[8]道具信息!U467)</f>
        <v/>
      </c>
      <c r="V467" s="39" t="str">
        <f>IF([8]道具信息!V467="","",[8]道具信息!V467)</f>
        <v/>
      </c>
      <c r="W467" s="39" t="str">
        <f>IF([8]道具信息!W467="","",[8]道具信息!W467)</f>
        <v/>
      </c>
      <c r="X467" s="39" t="str">
        <f>IF([8]道具信息!X467="","",[8]道具信息!X467)</f>
        <v/>
      </c>
      <c r="Y467" s="39" t="str">
        <f>IF([8]道具信息!Y467="","",[8]道具信息!Y467)</f>
        <v/>
      </c>
      <c r="Z467" s="39" t="str">
        <f>IF([8]道具信息!Z467="","",[8]道具信息!Z467)</f>
        <v/>
      </c>
    </row>
    <row r="468" spans="1:26" x14ac:dyDescent="0.15">
      <c r="A468" s="39" t="str">
        <f>IF([8]道具信息!A468="","",[8]道具信息!A468)</f>
        <v/>
      </c>
      <c r="B468" s="39" t="str">
        <f>IF([8]道具信息!B468="","",[8]道具信息!B468)</f>
        <v/>
      </c>
      <c r="C468" s="39">
        <f>IF([8]道具信息!C468="","",[8]道具信息!C468)</f>
        <v>24078</v>
      </c>
      <c r="D468" s="39" t="str">
        <f>IF([8]道具信息!D468="","",[8]道具信息!D468)</f>
        <v>赛季武将碎片自选</v>
      </c>
      <c r="E468" s="39" t="str">
        <f>IF([8]道具信息!E468="","",[8]道具信息!E468)</f>
        <v/>
      </c>
      <c r="F468" s="39">
        <f>IF([8]道具信息!F468="","",[8]道具信息!F468)</f>
        <v>1</v>
      </c>
      <c r="G468" s="39">
        <f>IF([8]道具信息!G468="","",[8]道具信息!G468)</f>
        <v>1</v>
      </c>
      <c r="H468" s="39">
        <f>IF([8]道具信息!H468="","",[8]道具信息!H468)</f>
        <v>1</v>
      </c>
      <c r="I468" s="39" t="str">
        <f>IF([8]道具信息!I468="","",[8]道具信息!I468)</f>
        <v/>
      </c>
      <c r="J468" s="39" t="str">
        <f>IF([8]道具信息!J468="","",[8]道具信息!J468)</f>
        <v/>
      </c>
      <c r="K468" s="39" t="str">
        <f>IF([8]道具信息!K468="","",[8]道具信息!K468)</f>
        <v/>
      </c>
      <c r="L468" s="39" t="str">
        <f>IF([8]道具信息!L468="","",[8]道具信息!L468)</f>
        <v/>
      </c>
      <c r="M468" s="39" t="str">
        <f>IF([8]道具信息!M468="","",[8]道具信息!M468)</f>
        <v/>
      </c>
      <c r="N468" s="39" t="str">
        <f>IF([8]道具信息!N468="","",[8]道具信息!N468)</f>
        <v/>
      </c>
      <c r="O468" s="39" t="str">
        <f>IF([8]道具信息!O468="","",[8]道具信息!O468)</f>
        <v/>
      </c>
      <c r="P468" s="39" t="str">
        <f>IF([8]道具信息!P468="","",[8]道具信息!P468)</f>
        <v/>
      </c>
      <c r="Q468" s="39" t="str">
        <f>IF([8]道具信息!Q468="","",[8]道具信息!Q468)</f>
        <v/>
      </c>
      <c r="R468" s="39" t="str">
        <f>IF([8]道具信息!R468="","",[8]道具信息!R468)</f>
        <v/>
      </c>
      <c r="S468" s="39" t="str">
        <f>IF([8]道具信息!S468="","",[8]道具信息!S468)</f>
        <v/>
      </c>
      <c r="T468" s="39" t="str">
        <f>IF([8]道具信息!T468="","",[8]道具信息!T468)</f>
        <v/>
      </c>
      <c r="U468" s="39" t="str">
        <f>IF([8]道具信息!U468="","",[8]道具信息!U468)</f>
        <v/>
      </c>
      <c r="V468" s="39" t="str">
        <f>IF([8]道具信息!V468="","",[8]道具信息!V468)</f>
        <v/>
      </c>
      <c r="W468" s="39" t="str">
        <f>IF([8]道具信息!W468="","",[8]道具信息!W468)</f>
        <v/>
      </c>
      <c r="X468" s="39" t="str">
        <f>IF([8]道具信息!X468="","",[8]道具信息!X468)</f>
        <v/>
      </c>
      <c r="Y468" s="39" t="str">
        <f>IF([8]道具信息!Y468="","",[8]道具信息!Y468)</f>
        <v/>
      </c>
      <c r="Z468" s="39" t="str">
        <f>IF([8]道具信息!Z468="","",[8]道具信息!Z468)</f>
        <v/>
      </c>
    </row>
    <row r="469" spans="1:26" x14ac:dyDescent="0.15">
      <c r="A469" s="39" t="str">
        <f>IF([8]道具信息!A469="","",[8]道具信息!A469)</f>
        <v/>
      </c>
      <c r="B469" s="39" t="str">
        <f>IF([8]道具信息!B469="","",[8]道具信息!B469)</f>
        <v/>
      </c>
      <c r="C469" s="39" t="str">
        <f>IF([8]道具信息!C469="","",[8]道具信息!C469)</f>
        <v/>
      </c>
      <c r="D469" s="39" t="str">
        <f>IF([8]道具信息!D469="","",[8]道具信息!D469)</f>
        <v/>
      </c>
      <c r="E469" s="39" t="str">
        <f>IF([8]道具信息!E469="","",[8]道具信息!E469)</f>
        <v/>
      </c>
      <c r="F469" s="39">
        <f>IF([8]道具信息!F469="","",[8]道具信息!F469)</f>
        <v>1</v>
      </c>
      <c r="G469" s="39">
        <f>IF([8]道具信息!G469="","",[8]道具信息!G469)</f>
        <v>1</v>
      </c>
      <c r="H469" s="39">
        <f>IF([8]道具信息!H469="","",[8]道具信息!H469)</f>
        <v>1</v>
      </c>
      <c r="I469" s="39" t="str">
        <f>IF([8]道具信息!I469="","",[8]道具信息!I469)</f>
        <v/>
      </c>
      <c r="J469" s="39" t="str">
        <f>IF([8]道具信息!J469="","",[8]道具信息!J469)</f>
        <v/>
      </c>
      <c r="K469" s="39" t="str">
        <f>IF([8]道具信息!K469="","",[8]道具信息!K469)</f>
        <v/>
      </c>
      <c r="L469" s="39" t="str">
        <f>IF([8]道具信息!L469="","",[8]道具信息!L469)</f>
        <v/>
      </c>
      <c r="M469" s="39" t="str">
        <f>IF([8]道具信息!M469="","",[8]道具信息!M469)</f>
        <v/>
      </c>
      <c r="N469" s="39" t="str">
        <f>IF([8]道具信息!N469="","",[8]道具信息!N469)</f>
        <v/>
      </c>
      <c r="O469" s="39" t="str">
        <f>IF([8]道具信息!O469="","",[8]道具信息!O469)</f>
        <v/>
      </c>
      <c r="P469" s="39" t="str">
        <f>IF([8]道具信息!P469="","",[8]道具信息!P469)</f>
        <v/>
      </c>
      <c r="Q469" s="39" t="str">
        <f>IF([8]道具信息!Q469="","",[8]道具信息!Q469)</f>
        <v/>
      </c>
      <c r="R469" s="39" t="str">
        <f>IF([8]道具信息!R469="","",[8]道具信息!R469)</f>
        <v/>
      </c>
      <c r="S469" s="39" t="str">
        <f>IF([8]道具信息!S469="","",[8]道具信息!S469)</f>
        <v/>
      </c>
      <c r="T469" s="39" t="str">
        <f>IF([8]道具信息!T469="","",[8]道具信息!T469)</f>
        <v/>
      </c>
      <c r="U469" s="39" t="str">
        <f>IF([8]道具信息!U469="","",[8]道具信息!U469)</f>
        <v/>
      </c>
      <c r="V469" s="39" t="str">
        <f>IF([8]道具信息!V469="","",[8]道具信息!V469)</f>
        <v/>
      </c>
      <c r="W469" s="39" t="str">
        <f>IF([8]道具信息!W469="","",[8]道具信息!W469)</f>
        <v/>
      </c>
      <c r="X469" s="39" t="str">
        <f>IF([8]道具信息!X469="","",[8]道具信息!X469)</f>
        <v/>
      </c>
      <c r="Y469" s="39" t="str">
        <f>IF([8]道具信息!Y469="","",[8]道具信息!Y469)</f>
        <v/>
      </c>
      <c r="Z469" s="39" t="str">
        <f>IF([8]道具信息!Z469="","",[8]道具信息!Z469)</f>
        <v/>
      </c>
    </row>
    <row r="470" spans="1:26" x14ac:dyDescent="0.15">
      <c r="A470" s="39" t="str">
        <f>IF([8]道具信息!A470="","",[8]道具信息!A470)</f>
        <v/>
      </c>
      <c r="B470" s="39" t="str">
        <f>IF([8]道具信息!B470="","",[8]道具信息!B470)</f>
        <v/>
      </c>
      <c r="C470" s="39">
        <f>IF([8]道具信息!C470="","",[8]道具信息!C470)</f>
        <v>23521</v>
      </c>
      <c r="D470" s="39" t="str">
        <f>IF([8]道具信息!D470="","",[8]道具信息!D470)</f>
        <v>将军印碎片</v>
      </c>
      <c r="E470" s="39" t="str">
        <f>IF([8]道具信息!E470="","",[8]道具信息!E470)</f>
        <v/>
      </c>
      <c r="F470" s="39">
        <f>IF([8]道具信息!F470="","",[8]道具信息!F470)</f>
        <v>1</v>
      </c>
      <c r="G470" s="39">
        <f>IF([8]道具信息!G470="","",[8]道具信息!G470)</f>
        <v>1</v>
      </c>
      <c r="H470" s="39">
        <f>IF([8]道具信息!H470="","",[8]道具信息!H470)</f>
        <v>1</v>
      </c>
      <c r="I470" s="39" t="str">
        <f>IF([8]道具信息!I470="","",[8]道具信息!I470)</f>
        <v/>
      </c>
      <c r="J470" s="39" t="str">
        <f>IF([8]道具信息!J470="","",[8]道具信息!J470)</f>
        <v/>
      </c>
      <c r="K470" s="39" t="str">
        <f>IF([8]道具信息!K470="","",[8]道具信息!K470)</f>
        <v/>
      </c>
      <c r="L470" s="39" t="str">
        <f>IF([8]道具信息!L470="","",[8]道具信息!L470)</f>
        <v/>
      </c>
      <c r="M470" s="39" t="str">
        <f>IF([8]道具信息!M470="","",[8]道具信息!M470)</f>
        <v/>
      </c>
      <c r="N470" s="39" t="str">
        <f>IF([8]道具信息!N470="","",[8]道具信息!N470)</f>
        <v/>
      </c>
      <c r="O470" s="39" t="str">
        <f>IF([8]道具信息!O470="","",[8]道具信息!O470)</f>
        <v/>
      </c>
      <c r="P470" s="39" t="str">
        <f>IF([8]道具信息!P470="","",[8]道具信息!P470)</f>
        <v/>
      </c>
      <c r="Q470" s="39" t="str">
        <f>IF([8]道具信息!Q470="","",[8]道具信息!Q470)</f>
        <v/>
      </c>
      <c r="R470" s="39" t="str">
        <f>IF([8]道具信息!R470="","",[8]道具信息!R470)</f>
        <v/>
      </c>
      <c r="S470" s="39" t="str">
        <f>IF([8]道具信息!S470="","",[8]道具信息!S470)</f>
        <v/>
      </c>
      <c r="T470" s="39" t="str">
        <f>IF([8]道具信息!T470="","",[8]道具信息!T470)</f>
        <v/>
      </c>
      <c r="U470" s="39" t="str">
        <f>IF([8]道具信息!U470="","",[8]道具信息!U470)</f>
        <v/>
      </c>
      <c r="V470" s="39" t="str">
        <f>IF([8]道具信息!V470="","",[8]道具信息!V470)</f>
        <v/>
      </c>
      <c r="W470" s="39" t="str">
        <f>IF([8]道具信息!W470="","",[8]道具信息!W470)</f>
        <v/>
      </c>
      <c r="X470" s="39" t="str">
        <f>IF([8]道具信息!X470="","",[8]道具信息!X470)</f>
        <v/>
      </c>
      <c r="Y470" s="39" t="str">
        <f>IF([8]道具信息!Y470="","",[8]道具信息!Y470)</f>
        <v/>
      </c>
      <c r="Z470" s="39" t="str">
        <f>IF([8]道具信息!Z470="","",[8]道具信息!Z470)</f>
        <v/>
      </c>
    </row>
    <row r="471" spans="1:26" x14ac:dyDescent="0.15">
      <c r="A471" s="39" t="str">
        <f>IF([8]道具信息!A471="","",[8]道具信息!A471)</f>
        <v/>
      </c>
      <c r="B471" s="39" t="str">
        <f>IF([8]道具信息!B471="","",[8]道具信息!B471)</f>
        <v/>
      </c>
      <c r="C471" s="39">
        <f>IF([8]道具信息!C471="","",[8]道具信息!C471)</f>
        <v>23522</v>
      </c>
      <c r="D471" s="39" t="str">
        <f>IF([8]道具信息!D471="","",[8]道具信息!D471)</f>
        <v>上将印碎片</v>
      </c>
      <c r="E471" s="39" t="str">
        <f>IF([8]道具信息!E471="","",[8]道具信息!E471)</f>
        <v/>
      </c>
      <c r="F471" s="39">
        <f>IF([8]道具信息!F471="","",[8]道具信息!F471)</f>
        <v>1</v>
      </c>
      <c r="G471" s="39">
        <f>IF([8]道具信息!G471="","",[8]道具信息!G471)</f>
        <v>1</v>
      </c>
      <c r="H471" s="39">
        <f>IF([8]道具信息!H471="","",[8]道具信息!H471)</f>
        <v>1</v>
      </c>
      <c r="I471" s="39" t="str">
        <f>IF([8]道具信息!I471="","",[8]道具信息!I471)</f>
        <v/>
      </c>
      <c r="J471" s="39" t="str">
        <f>IF([8]道具信息!J471="","",[8]道具信息!J471)</f>
        <v/>
      </c>
      <c r="K471" s="39" t="str">
        <f>IF([8]道具信息!K471="","",[8]道具信息!K471)</f>
        <v/>
      </c>
      <c r="L471" s="39" t="str">
        <f>IF([8]道具信息!L471="","",[8]道具信息!L471)</f>
        <v/>
      </c>
      <c r="M471" s="39" t="str">
        <f>IF([8]道具信息!M471="","",[8]道具信息!M471)</f>
        <v/>
      </c>
      <c r="N471" s="39" t="str">
        <f>IF([8]道具信息!N471="","",[8]道具信息!N471)</f>
        <v/>
      </c>
      <c r="O471" s="39" t="str">
        <f>IF([8]道具信息!O471="","",[8]道具信息!O471)</f>
        <v/>
      </c>
      <c r="P471" s="39" t="str">
        <f>IF([8]道具信息!P471="","",[8]道具信息!P471)</f>
        <v/>
      </c>
      <c r="Q471" s="39" t="str">
        <f>IF([8]道具信息!Q471="","",[8]道具信息!Q471)</f>
        <v/>
      </c>
      <c r="R471" s="39" t="str">
        <f>IF([8]道具信息!R471="","",[8]道具信息!R471)</f>
        <v/>
      </c>
      <c r="S471" s="39" t="str">
        <f>IF([8]道具信息!S471="","",[8]道具信息!S471)</f>
        <v/>
      </c>
      <c r="T471" s="39" t="str">
        <f>IF([8]道具信息!T471="","",[8]道具信息!T471)</f>
        <v/>
      </c>
      <c r="U471" s="39" t="str">
        <f>IF([8]道具信息!U471="","",[8]道具信息!U471)</f>
        <v/>
      </c>
      <c r="V471" s="39" t="str">
        <f>IF([8]道具信息!V471="","",[8]道具信息!V471)</f>
        <v/>
      </c>
      <c r="W471" s="39" t="str">
        <f>IF([8]道具信息!W471="","",[8]道具信息!W471)</f>
        <v/>
      </c>
      <c r="X471" s="39" t="str">
        <f>IF([8]道具信息!X471="","",[8]道具信息!X471)</f>
        <v/>
      </c>
      <c r="Y471" s="39" t="str">
        <f>IF([8]道具信息!Y471="","",[8]道具信息!Y471)</f>
        <v/>
      </c>
      <c r="Z471" s="39" t="str">
        <f>IF([8]道具信息!Z471="","",[8]道具信息!Z471)</f>
        <v/>
      </c>
    </row>
    <row r="472" spans="1:26" x14ac:dyDescent="0.15">
      <c r="A472" s="39" t="str">
        <f>IF([8]道具信息!A472="","",[8]道具信息!A472)</f>
        <v/>
      </c>
      <c r="B472" s="39" t="str">
        <f>IF([8]道具信息!B472="","",[8]道具信息!B472)</f>
        <v/>
      </c>
      <c r="C472" s="39">
        <f>IF([8]道具信息!C472="","",[8]道具信息!C472)</f>
        <v>23523</v>
      </c>
      <c r="D472" s="39" t="str">
        <f>IF([8]道具信息!D472="","",[8]道具信息!D472)</f>
        <v>统帅印碎片</v>
      </c>
      <c r="E472" s="39" t="str">
        <f>IF([8]道具信息!E472="","",[8]道具信息!E472)</f>
        <v/>
      </c>
      <c r="F472" s="39">
        <f>IF([8]道具信息!F472="","",[8]道具信息!F472)</f>
        <v>1</v>
      </c>
      <c r="G472" s="39">
        <f>IF([8]道具信息!G472="","",[8]道具信息!G472)</f>
        <v>1</v>
      </c>
      <c r="H472" s="39">
        <f>IF([8]道具信息!H472="","",[8]道具信息!H472)</f>
        <v>1</v>
      </c>
      <c r="I472" s="39" t="str">
        <f>IF([8]道具信息!I472="","",[8]道具信息!I472)</f>
        <v/>
      </c>
      <c r="J472" s="39" t="str">
        <f>IF([8]道具信息!J472="","",[8]道具信息!J472)</f>
        <v/>
      </c>
      <c r="K472" s="39" t="str">
        <f>IF([8]道具信息!K472="","",[8]道具信息!K472)</f>
        <v/>
      </c>
      <c r="L472" s="39" t="str">
        <f>IF([8]道具信息!L472="","",[8]道具信息!L472)</f>
        <v/>
      </c>
      <c r="M472" s="39" t="str">
        <f>IF([8]道具信息!M472="","",[8]道具信息!M472)</f>
        <v/>
      </c>
      <c r="N472" s="39" t="str">
        <f>IF([8]道具信息!N472="","",[8]道具信息!N472)</f>
        <v/>
      </c>
      <c r="O472" s="39" t="str">
        <f>IF([8]道具信息!O472="","",[8]道具信息!O472)</f>
        <v/>
      </c>
      <c r="P472" s="39" t="str">
        <f>IF([8]道具信息!P472="","",[8]道具信息!P472)</f>
        <v/>
      </c>
      <c r="Q472" s="39" t="str">
        <f>IF([8]道具信息!Q472="","",[8]道具信息!Q472)</f>
        <v/>
      </c>
      <c r="R472" s="39" t="str">
        <f>IF([8]道具信息!R472="","",[8]道具信息!R472)</f>
        <v/>
      </c>
      <c r="S472" s="39" t="str">
        <f>IF([8]道具信息!S472="","",[8]道具信息!S472)</f>
        <v/>
      </c>
      <c r="T472" s="39" t="str">
        <f>IF([8]道具信息!T472="","",[8]道具信息!T472)</f>
        <v/>
      </c>
      <c r="U472" s="39" t="str">
        <f>IF([8]道具信息!U472="","",[8]道具信息!U472)</f>
        <v/>
      </c>
      <c r="V472" s="39" t="str">
        <f>IF([8]道具信息!V472="","",[8]道具信息!V472)</f>
        <v/>
      </c>
      <c r="W472" s="39" t="str">
        <f>IF([8]道具信息!W472="","",[8]道具信息!W472)</f>
        <v/>
      </c>
      <c r="X472" s="39" t="str">
        <f>IF([8]道具信息!X472="","",[8]道具信息!X472)</f>
        <v/>
      </c>
      <c r="Y472" s="39" t="str">
        <f>IF([8]道具信息!Y472="","",[8]道具信息!Y472)</f>
        <v/>
      </c>
      <c r="Z472" s="39" t="str">
        <f>IF([8]道具信息!Z472="","",[8]道具信息!Z472)</f>
        <v/>
      </c>
    </row>
    <row r="473" spans="1:26" x14ac:dyDescent="0.15">
      <c r="A473" s="39" t="str">
        <f>IF([8]道具信息!A473="","",[8]道具信息!A473)</f>
        <v/>
      </c>
      <c r="B473" s="39" t="str">
        <f>IF([8]道具信息!B473="","",[8]道具信息!B473)</f>
        <v/>
      </c>
      <c r="C473" s="39" t="str">
        <f>IF([8]道具信息!C473="","",[8]道具信息!C473)</f>
        <v/>
      </c>
      <c r="D473" s="39" t="str">
        <f>IF([8]道具信息!D473="","",[8]道具信息!D473)</f>
        <v/>
      </c>
      <c r="E473" s="39" t="str">
        <f>IF([8]道具信息!E473="","",[8]道具信息!E473)</f>
        <v/>
      </c>
      <c r="F473" s="39">
        <f>IF([8]道具信息!F473="","",[8]道具信息!F473)</f>
        <v>1</v>
      </c>
      <c r="G473" s="39">
        <f>IF([8]道具信息!G473="","",[8]道具信息!G473)</f>
        <v>1</v>
      </c>
      <c r="H473" s="39">
        <f>IF([8]道具信息!H473="","",[8]道具信息!H473)</f>
        <v>1</v>
      </c>
      <c r="I473" s="39" t="str">
        <f>IF([8]道具信息!I473="","",[8]道具信息!I473)</f>
        <v/>
      </c>
      <c r="J473" s="39" t="str">
        <f>IF([8]道具信息!J473="","",[8]道具信息!J473)</f>
        <v/>
      </c>
      <c r="K473" s="39" t="str">
        <f>IF([8]道具信息!K473="","",[8]道具信息!K473)</f>
        <v/>
      </c>
      <c r="L473" s="39" t="str">
        <f>IF([8]道具信息!L473="","",[8]道具信息!L473)</f>
        <v/>
      </c>
      <c r="M473" s="39" t="str">
        <f>IF([8]道具信息!M473="","",[8]道具信息!M473)</f>
        <v/>
      </c>
      <c r="N473" s="39" t="str">
        <f>IF([8]道具信息!N473="","",[8]道具信息!N473)</f>
        <v/>
      </c>
      <c r="O473" s="39" t="str">
        <f>IF([8]道具信息!O473="","",[8]道具信息!O473)</f>
        <v/>
      </c>
      <c r="P473" s="39" t="str">
        <f>IF([8]道具信息!P473="","",[8]道具信息!P473)</f>
        <v/>
      </c>
      <c r="Q473" s="39" t="str">
        <f>IF([8]道具信息!Q473="","",[8]道具信息!Q473)</f>
        <v/>
      </c>
      <c r="R473" s="39" t="str">
        <f>IF([8]道具信息!R473="","",[8]道具信息!R473)</f>
        <v/>
      </c>
      <c r="S473" s="39" t="str">
        <f>IF([8]道具信息!S473="","",[8]道具信息!S473)</f>
        <v/>
      </c>
      <c r="T473" s="39" t="str">
        <f>IF([8]道具信息!T473="","",[8]道具信息!T473)</f>
        <v/>
      </c>
      <c r="U473" s="39" t="str">
        <f>IF([8]道具信息!U473="","",[8]道具信息!U473)</f>
        <v/>
      </c>
      <c r="V473" s="39" t="str">
        <f>IF([8]道具信息!V473="","",[8]道具信息!V473)</f>
        <v/>
      </c>
      <c r="W473" s="39" t="str">
        <f>IF([8]道具信息!W473="","",[8]道具信息!W473)</f>
        <v/>
      </c>
      <c r="X473" s="39" t="str">
        <f>IF([8]道具信息!X473="","",[8]道具信息!X473)</f>
        <v/>
      </c>
      <c r="Y473" s="39" t="str">
        <f>IF([8]道具信息!Y473="","",[8]道具信息!Y473)</f>
        <v/>
      </c>
      <c r="Z473" s="39" t="str">
        <f>IF([8]道具信息!Z473="","",[8]道具信息!Z473)</f>
        <v/>
      </c>
    </row>
    <row r="474" spans="1:26" x14ac:dyDescent="0.15">
      <c r="A474" s="39" t="str">
        <f>IF([8]道具信息!A474="","",[8]道具信息!A474)</f>
        <v/>
      </c>
      <c r="B474" s="39" t="str">
        <f>IF([8]道具信息!B474="","",[8]道具信息!B474)</f>
        <v/>
      </c>
      <c r="C474" s="39" t="str">
        <f>IF([8]道具信息!C474="","",[8]道具信息!C474)</f>
        <v/>
      </c>
      <c r="D474" s="39" t="str">
        <f>IF([8]道具信息!D474="","",[8]道具信息!D474)</f>
        <v/>
      </c>
      <c r="E474" s="39" t="str">
        <f>IF([8]道具信息!E474="","",[8]道具信息!E474)</f>
        <v/>
      </c>
      <c r="F474" s="39">
        <f>IF([8]道具信息!F474="","",[8]道具信息!F474)</f>
        <v>1</v>
      </c>
      <c r="G474" s="39">
        <f>IF([8]道具信息!G474="","",[8]道具信息!G474)</f>
        <v>1</v>
      </c>
      <c r="H474" s="39">
        <f>IF([8]道具信息!H474="","",[8]道具信息!H474)</f>
        <v>1</v>
      </c>
      <c r="I474" s="39" t="str">
        <f>IF([8]道具信息!I474="","",[8]道具信息!I474)</f>
        <v/>
      </c>
      <c r="J474" s="39" t="str">
        <f>IF([8]道具信息!J474="","",[8]道具信息!J474)</f>
        <v/>
      </c>
      <c r="K474" s="39" t="str">
        <f>IF([8]道具信息!K474="","",[8]道具信息!K474)</f>
        <v/>
      </c>
      <c r="L474" s="39" t="str">
        <f>IF([8]道具信息!L474="","",[8]道具信息!L474)</f>
        <v/>
      </c>
      <c r="M474" s="39" t="str">
        <f>IF([8]道具信息!M474="","",[8]道具信息!M474)</f>
        <v/>
      </c>
      <c r="N474" s="39" t="str">
        <f>IF([8]道具信息!N474="","",[8]道具信息!N474)</f>
        <v/>
      </c>
      <c r="O474" s="39" t="str">
        <f>IF([8]道具信息!O474="","",[8]道具信息!O474)</f>
        <v/>
      </c>
      <c r="P474" s="39" t="str">
        <f>IF([8]道具信息!P474="","",[8]道具信息!P474)</f>
        <v/>
      </c>
      <c r="Q474" s="39" t="str">
        <f>IF([8]道具信息!Q474="","",[8]道具信息!Q474)</f>
        <v/>
      </c>
      <c r="R474" s="39" t="str">
        <f>IF([8]道具信息!R474="","",[8]道具信息!R474)</f>
        <v/>
      </c>
      <c r="S474" s="39" t="str">
        <f>IF([8]道具信息!S474="","",[8]道具信息!S474)</f>
        <v/>
      </c>
      <c r="T474" s="39" t="str">
        <f>IF([8]道具信息!T474="","",[8]道具信息!T474)</f>
        <v/>
      </c>
      <c r="U474" s="39" t="str">
        <f>IF([8]道具信息!U474="","",[8]道具信息!U474)</f>
        <v/>
      </c>
      <c r="V474" s="39" t="str">
        <f>IF([8]道具信息!V474="","",[8]道具信息!V474)</f>
        <v/>
      </c>
      <c r="W474" s="39" t="str">
        <f>IF([8]道具信息!W474="","",[8]道具信息!W474)</f>
        <v/>
      </c>
      <c r="X474" s="39" t="str">
        <f>IF([8]道具信息!X474="","",[8]道具信息!X474)</f>
        <v/>
      </c>
      <c r="Y474" s="39" t="str">
        <f>IF([8]道具信息!Y474="","",[8]道具信息!Y474)</f>
        <v/>
      </c>
      <c r="Z474" s="39" t="str">
        <f>IF([8]道具信息!Z474="","",[8]道具信息!Z474)</f>
        <v/>
      </c>
    </row>
    <row r="475" spans="1:26" x14ac:dyDescent="0.15">
      <c r="A475" s="39" t="str">
        <f>IF([8]道具信息!A475="","",[8]道具信息!A475)</f>
        <v/>
      </c>
      <c r="B475" s="39" t="str">
        <f>IF([8]道具信息!B475="","",[8]道具信息!B475)</f>
        <v/>
      </c>
      <c r="C475" s="39" t="str">
        <f>IF([8]道具信息!C475="","",[8]道具信息!C475)</f>
        <v/>
      </c>
      <c r="D475" s="39" t="str">
        <f>IF([8]道具信息!D475="","",[8]道具信息!D475)</f>
        <v/>
      </c>
      <c r="E475" s="39" t="str">
        <f>IF([8]道具信息!E475="","",[8]道具信息!E475)</f>
        <v/>
      </c>
      <c r="F475" s="39">
        <f>IF([8]道具信息!F475="","",[8]道具信息!F475)</f>
        <v>1</v>
      </c>
      <c r="G475" s="39">
        <f>IF([8]道具信息!G475="","",[8]道具信息!G475)</f>
        <v>1</v>
      </c>
      <c r="H475" s="39">
        <f>IF([8]道具信息!H475="","",[8]道具信息!H475)</f>
        <v>1</v>
      </c>
      <c r="I475" s="39" t="str">
        <f>IF([8]道具信息!I475="","",[8]道具信息!I475)</f>
        <v/>
      </c>
      <c r="J475" s="39" t="str">
        <f>IF([8]道具信息!J475="","",[8]道具信息!J475)</f>
        <v/>
      </c>
      <c r="K475" s="39" t="str">
        <f>IF([8]道具信息!K475="","",[8]道具信息!K475)</f>
        <v/>
      </c>
      <c r="L475" s="39" t="str">
        <f>IF([8]道具信息!L475="","",[8]道具信息!L475)</f>
        <v/>
      </c>
      <c r="M475" s="39" t="str">
        <f>IF([8]道具信息!M475="","",[8]道具信息!M475)</f>
        <v/>
      </c>
      <c r="N475" s="39" t="str">
        <f>IF([8]道具信息!N475="","",[8]道具信息!N475)</f>
        <v/>
      </c>
      <c r="O475" s="39" t="str">
        <f>IF([8]道具信息!O475="","",[8]道具信息!O475)</f>
        <v/>
      </c>
      <c r="P475" s="39" t="str">
        <f>IF([8]道具信息!P475="","",[8]道具信息!P475)</f>
        <v/>
      </c>
      <c r="Q475" s="39" t="str">
        <f>IF([8]道具信息!Q475="","",[8]道具信息!Q475)</f>
        <v/>
      </c>
      <c r="R475" s="39" t="str">
        <f>IF([8]道具信息!R475="","",[8]道具信息!R475)</f>
        <v/>
      </c>
      <c r="S475" s="39" t="str">
        <f>IF([8]道具信息!S475="","",[8]道具信息!S475)</f>
        <v/>
      </c>
      <c r="T475" s="39" t="str">
        <f>IF([8]道具信息!T475="","",[8]道具信息!T475)</f>
        <v/>
      </c>
      <c r="U475" s="39" t="str">
        <f>IF([8]道具信息!U475="","",[8]道具信息!U475)</f>
        <v/>
      </c>
      <c r="V475" s="39" t="str">
        <f>IF([8]道具信息!V475="","",[8]道具信息!V475)</f>
        <v/>
      </c>
      <c r="W475" s="39" t="str">
        <f>IF([8]道具信息!W475="","",[8]道具信息!W475)</f>
        <v/>
      </c>
      <c r="X475" s="39" t="str">
        <f>IF([8]道具信息!X475="","",[8]道具信息!X475)</f>
        <v/>
      </c>
      <c r="Y475" s="39" t="str">
        <f>IF([8]道具信息!Y475="","",[8]道具信息!Y475)</f>
        <v/>
      </c>
      <c r="Z475" s="39" t="str">
        <f>IF([8]道具信息!Z475="","",[8]道具信息!Z475)</f>
        <v/>
      </c>
    </row>
    <row r="476" spans="1:26" x14ac:dyDescent="0.15">
      <c r="A476" s="39" t="str">
        <f>IF([8]道具信息!A476="","",[8]道具信息!A476)</f>
        <v/>
      </c>
      <c r="B476" s="39" t="str">
        <f>IF([8]道具信息!B476="","",[8]道具信息!B476)</f>
        <v/>
      </c>
      <c r="C476" s="39" t="str">
        <f>IF([8]道具信息!C476="","",[8]道具信息!C476)</f>
        <v/>
      </c>
      <c r="D476" s="39" t="str">
        <f>IF([8]道具信息!D476="","",[8]道具信息!D476)</f>
        <v/>
      </c>
      <c r="E476" s="39" t="str">
        <f>IF([8]道具信息!E476="","",[8]道具信息!E476)</f>
        <v/>
      </c>
      <c r="F476" s="39">
        <f>IF([8]道具信息!F476="","",[8]道具信息!F476)</f>
        <v>1</v>
      </c>
      <c r="G476" s="39">
        <f>IF([8]道具信息!G476="","",[8]道具信息!G476)</f>
        <v>1</v>
      </c>
      <c r="H476" s="39">
        <f>IF([8]道具信息!H476="","",[8]道具信息!H476)</f>
        <v>1</v>
      </c>
      <c r="I476" s="39" t="str">
        <f>IF([8]道具信息!I476="","",[8]道具信息!I476)</f>
        <v/>
      </c>
      <c r="J476" s="39" t="str">
        <f>IF([8]道具信息!J476="","",[8]道具信息!J476)</f>
        <v/>
      </c>
      <c r="K476" s="39" t="str">
        <f>IF([8]道具信息!K476="","",[8]道具信息!K476)</f>
        <v/>
      </c>
      <c r="L476" s="39" t="str">
        <f>IF([8]道具信息!L476="","",[8]道具信息!L476)</f>
        <v/>
      </c>
      <c r="M476" s="39" t="str">
        <f>IF([8]道具信息!M476="","",[8]道具信息!M476)</f>
        <v/>
      </c>
      <c r="N476" s="39" t="str">
        <f>IF([8]道具信息!N476="","",[8]道具信息!N476)</f>
        <v/>
      </c>
      <c r="O476" s="39" t="str">
        <f>IF([8]道具信息!O476="","",[8]道具信息!O476)</f>
        <v/>
      </c>
      <c r="P476" s="39" t="str">
        <f>IF([8]道具信息!P476="","",[8]道具信息!P476)</f>
        <v/>
      </c>
      <c r="Q476" s="39" t="str">
        <f>IF([8]道具信息!Q476="","",[8]道具信息!Q476)</f>
        <v/>
      </c>
      <c r="R476" s="39" t="str">
        <f>IF([8]道具信息!R476="","",[8]道具信息!R476)</f>
        <v/>
      </c>
      <c r="S476" s="39" t="str">
        <f>IF([8]道具信息!S476="","",[8]道具信息!S476)</f>
        <v/>
      </c>
      <c r="T476" s="39" t="str">
        <f>IF([8]道具信息!T476="","",[8]道具信息!T476)</f>
        <v/>
      </c>
      <c r="U476" s="39" t="str">
        <f>IF([8]道具信息!U476="","",[8]道具信息!U476)</f>
        <v/>
      </c>
      <c r="V476" s="39" t="str">
        <f>IF([8]道具信息!V476="","",[8]道具信息!V476)</f>
        <v/>
      </c>
      <c r="W476" s="39" t="str">
        <f>IF([8]道具信息!W476="","",[8]道具信息!W476)</f>
        <v/>
      </c>
      <c r="X476" s="39" t="str">
        <f>IF([8]道具信息!X476="","",[8]道具信息!X476)</f>
        <v/>
      </c>
      <c r="Y476" s="39" t="str">
        <f>IF([8]道具信息!Y476="","",[8]道具信息!Y476)</f>
        <v/>
      </c>
      <c r="Z476" s="39" t="str">
        <f>IF([8]道具信息!Z476="","",[8]道具信息!Z476)</f>
        <v/>
      </c>
    </row>
    <row r="477" spans="1:26" x14ac:dyDescent="0.15">
      <c r="A477" s="39" t="str">
        <f>IF([8]道具信息!A477="","",[8]道具信息!A477)</f>
        <v/>
      </c>
      <c r="B477" s="39" t="str">
        <f>IF([8]道具信息!B477="","",[8]道具信息!B477)</f>
        <v/>
      </c>
      <c r="C477" s="39" t="str">
        <f>IF([8]道具信息!C477="","",[8]道具信息!C477)</f>
        <v/>
      </c>
      <c r="D477" s="39" t="str">
        <f>IF([8]道具信息!D477="","",[8]道具信息!D477)</f>
        <v/>
      </c>
      <c r="E477" s="39" t="str">
        <f>IF([8]道具信息!E477="","",[8]道具信息!E477)</f>
        <v/>
      </c>
      <c r="F477" s="39">
        <f>IF([8]道具信息!F477="","",[8]道具信息!F477)</f>
        <v>1</v>
      </c>
      <c r="G477" s="39">
        <f>IF([8]道具信息!G477="","",[8]道具信息!G477)</f>
        <v>1</v>
      </c>
      <c r="H477" s="39">
        <f>IF([8]道具信息!H477="","",[8]道具信息!H477)</f>
        <v>1</v>
      </c>
      <c r="I477" s="39" t="str">
        <f>IF([8]道具信息!I477="","",[8]道具信息!I477)</f>
        <v/>
      </c>
      <c r="J477" s="39" t="str">
        <f>IF([8]道具信息!J477="","",[8]道具信息!J477)</f>
        <v/>
      </c>
      <c r="K477" s="39" t="str">
        <f>IF([8]道具信息!K477="","",[8]道具信息!K477)</f>
        <v/>
      </c>
      <c r="L477" s="39" t="str">
        <f>IF([8]道具信息!L477="","",[8]道具信息!L477)</f>
        <v/>
      </c>
      <c r="M477" s="39" t="str">
        <f>IF([8]道具信息!M477="","",[8]道具信息!M477)</f>
        <v/>
      </c>
      <c r="N477" s="39" t="str">
        <f>IF([8]道具信息!N477="","",[8]道具信息!N477)</f>
        <v/>
      </c>
      <c r="O477" s="39" t="str">
        <f>IF([8]道具信息!O477="","",[8]道具信息!O477)</f>
        <v/>
      </c>
      <c r="P477" s="39" t="str">
        <f>IF([8]道具信息!P477="","",[8]道具信息!P477)</f>
        <v/>
      </c>
      <c r="Q477" s="39" t="str">
        <f>IF([8]道具信息!Q477="","",[8]道具信息!Q477)</f>
        <v/>
      </c>
      <c r="R477" s="39" t="str">
        <f>IF([8]道具信息!R477="","",[8]道具信息!R477)</f>
        <v/>
      </c>
      <c r="S477" s="39" t="str">
        <f>IF([8]道具信息!S477="","",[8]道具信息!S477)</f>
        <v/>
      </c>
      <c r="T477" s="39" t="str">
        <f>IF([8]道具信息!T477="","",[8]道具信息!T477)</f>
        <v/>
      </c>
      <c r="U477" s="39" t="str">
        <f>IF([8]道具信息!U477="","",[8]道具信息!U477)</f>
        <v/>
      </c>
      <c r="V477" s="39" t="str">
        <f>IF([8]道具信息!V477="","",[8]道具信息!V477)</f>
        <v/>
      </c>
      <c r="W477" s="39" t="str">
        <f>IF([8]道具信息!W477="","",[8]道具信息!W477)</f>
        <v/>
      </c>
      <c r="X477" s="39" t="str">
        <f>IF([8]道具信息!X477="","",[8]道具信息!X477)</f>
        <v/>
      </c>
      <c r="Y477" s="39" t="str">
        <f>IF([8]道具信息!Y477="","",[8]道具信息!Y477)</f>
        <v/>
      </c>
      <c r="Z477" s="39" t="str">
        <f>IF([8]道具信息!Z477="","",[8]道具信息!Z477)</f>
        <v/>
      </c>
    </row>
    <row r="478" spans="1:26" x14ac:dyDescent="0.15">
      <c r="A478" s="39" t="str">
        <f>IF([8]道具信息!A478="","",[8]道具信息!A478)</f>
        <v/>
      </c>
      <c r="B478" s="39" t="str">
        <f>IF([8]道具信息!B478="","",[8]道具信息!B478)</f>
        <v/>
      </c>
      <c r="C478" s="39" t="str">
        <f>IF([8]道具信息!C478="","",[8]道具信息!C478)</f>
        <v/>
      </c>
      <c r="D478" s="39" t="str">
        <f>IF([8]道具信息!D478="","",[8]道具信息!D478)</f>
        <v/>
      </c>
      <c r="E478" s="39" t="str">
        <f>IF([8]道具信息!E478="","",[8]道具信息!E478)</f>
        <v/>
      </c>
      <c r="F478" s="39">
        <f>IF([8]道具信息!F478="","",[8]道具信息!F478)</f>
        <v>1</v>
      </c>
      <c r="G478" s="39">
        <f>IF([8]道具信息!G478="","",[8]道具信息!G478)</f>
        <v>1</v>
      </c>
      <c r="H478" s="39">
        <f>IF([8]道具信息!H478="","",[8]道具信息!H478)</f>
        <v>1</v>
      </c>
      <c r="I478" s="39" t="str">
        <f>IF([8]道具信息!I478="","",[8]道具信息!I478)</f>
        <v/>
      </c>
      <c r="J478" s="39" t="str">
        <f>IF([8]道具信息!J478="","",[8]道具信息!J478)</f>
        <v/>
      </c>
      <c r="K478" s="39" t="str">
        <f>IF([8]道具信息!K478="","",[8]道具信息!K478)</f>
        <v/>
      </c>
      <c r="L478" s="39" t="str">
        <f>IF([8]道具信息!L478="","",[8]道具信息!L478)</f>
        <v/>
      </c>
      <c r="M478" s="39" t="str">
        <f>IF([8]道具信息!M478="","",[8]道具信息!M478)</f>
        <v/>
      </c>
      <c r="N478" s="39" t="str">
        <f>IF([8]道具信息!N478="","",[8]道具信息!N478)</f>
        <v/>
      </c>
      <c r="O478" s="39" t="str">
        <f>IF([8]道具信息!O478="","",[8]道具信息!O478)</f>
        <v/>
      </c>
      <c r="P478" s="39" t="str">
        <f>IF([8]道具信息!P478="","",[8]道具信息!P478)</f>
        <v/>
      </c>
      <c r="Q478" s="39" t="str">
        <f>IF([8]道具信息!Q478="","",[8]道具信息!Q478)</f>
        <v/>
      </c>
      <c r="R478" s="39" t="str">
        <f>IF([8]道具信息!R478="","",[8]道具信息!R478)</f>
        <v/>
      </c>
      <c r="S478" s="39" t="str">
        <f>IF([8]道具信息!S478="","",[8]道具信息!S478)</f>
        <v/>
      </c>
      <c r="T478" s="39" t="str">
        <f>IF([8]道具信息!T478="","",[8]道具信息!T478)</f>
        <v/>
      </c>
      <c r="U478" s="39" t="str">
        <f>IF([8]道具信息!U478="","",[8]道具信息!U478)</f>
        <v/>
      </c>
      <c r="V478" s="39" t="str">
        <f>IF([8]道具信息!V478="","",[8]道具信息!V478)</f>
        <v/>
      </c>
      <c r="W478" s="39" t="str">
        <f>IF([8]道具信息!W478="","",[8]道具信息!W478)</f>
        <v/>
      </c>
      <c r="X478" s="39" t="str">
        <f>IF([8]道具信息!X478="","",[8]道具信息!X478)</f>
        <v/>
      </c>
      <c r="Y478" s="39" t="str">
        <f>IF([8]道具信息!Y478="","",[8]道具信息!Y478)</f>
        <v/>
      </c>
      <c r="Z478" s="39" t="str">
        <f>IF([8]道具信息!Z478="","",[8]道具信息!Z478)</f>
        <v/>
      </c>
    </row>
    <row r="479" spans="1:26" x14ac:dyDescent="0.15">
      <c r="A479" s="39" t="str">
        <f>IF([8]道具信息!A479="","",[8]道具信息!A479)</f>
        <v/>
      </c>
      <c r="B479" s="39" t="str">
        <f>IF([8]道具信息!B479="","",[8]道具信息!B479)</f>
        <v/>
      </c>
      <c r="C479" s="39" t="str">
        <f>IF([8]道具信息!C479="","",[8]道具信息!C479)</f>
        <v/>
      </c>
      <c r="D479" s="39" t="str">
        <f>IF([8]道具信息!D479="","",[8]道具信息!D479)</f>
        <v/>
      </c>
      <c r="E479" s="39" t="str">
        <f>IF([8]道具信息!E479="","",[8]道具信息!E479)</f>
        <v/>
      </c>
      <c r="F479" s="39">
        <f>IF([8]道具信息!F479="","",[8]道具信息!F479)</f>
        <v>1</v>
      </c>
      <c r="G479" s="39">
        <f>IF([8]道具信息!G479="","",[8]道具信息!G479)</f>
        <v>1</v>
      </c>
      <c r="H479" s="39">
        <f>IF([8]道具信息!H479="","",[8]道具信息!H479)</f>
        <v>1</v>
      </c>
      <c r="I479" s="39" t="str">
        <f>IF([8]道具信息!I479="","",[8]道具信息!I479)</f>
        <v/>
      </c>
      <c r="J479" s="39" t="str">
        <f>IF([8]道具信息!J479="","",[8]道具信息!J479)</f>
        <v/>
      </c>
      <c r="K479" s="39" t="str">
        <f>IF([8]道具信息!K479="","",[8]道具信息!K479)</f>
        <v/>
      </c>
      <c r="L479" s="39" t="str">
        <f>IF([8]道具信息!L479="","",[8]道具信息!L479)</f>
        <v/>
      </c>
      <c r="M479" s="39" t="str">
        <f>IF([8]道具信息!M479="","",[8]道具信息!M479)</f>
        <v/>
      </c>
      <c r="N479" s="39" t="str">
        <f>IF([8]道具信息!N479="","",[8]道具信息!N479)</f>
        <v/>
      </c>
      <c r="O479" s="39" t="str">
        <f>IF([8]道具信息!O479="","",[8]道具信息!O479)</f>
        <v/>
      </c>
      <c r="P479" s="39" t="str">
        <f>IF([8]道具信息!P479="","",[8]道具信息!P479)</f>
        <v/>
      </c>
      <c r="Q479" s="39" t="str">
        <f>IF([8]道具信息!Q479="","",[8]道具信息!Q479)</f>
        <v/>
      </c>
      <c r="R479" s="39" t="str">
        <f>IF([8]道具信息!R479="","",[8]道具信息!R479)</f>
        <v/>
      </c>
      <c r="S479" s="39" t="str">
        <f>IF([8]道具信息!S479="","",[8]道具信息!S479)</f>
        <v/>
      </c>
      <c r="T479" s="39" t="str">
        <f>IF([8]道具信息!T479="","",[8]道具信息!T479)</f>
        <v/>
      </c>
      <c r="U479" s="39" t="str">
        <f>IF([8]道具信息!U479="","",[8]道具信息!U479)</f>
        <v/>
      </c>
      <c r="V479" s="39" t="str">
        <f>IF([8]道具信息!V479="","",[8]道具信息!V479)</f>
        <v/>
      </c>
      <c r="W479" s="39" t="str">
        <f>IF([8]道具信息!W479="","",[8]道具信息!W479)</f>
        <v/>
      </c>
      <c r="X479" s="39" t="str">
        <f>IF([8]道具信息!X479="","",[8]道具信息!X479)</f>
        <v/>
      </c>
      <c r="Y479" s="39" t="str">
        <f>IF([8]道具信息!Y479="","",[8]道具信息!Y479)</f>
        <v/>
      </c>
      <c r="Z479" s="39" t="str">
        <f>IF([8]道具信息!Z479="","",[8]道具信息!Z479)</f>
        <v/>
      </c>
    </row>
    <row r="480" spans="1:26" x14ac:dyDescent="0.15">
      <c r="A480" s="39" t="str">
        <f>IF([8]道具信息!A480="","",[8]道具信息!A480)</f>
        <v/>
      </c>
      <c r="B480" s="39" t="str">
        <f>IF([8]道具信息!B480="","",[8]道具信息!B480)</f>
        <v/>
      </c>
      <c r="C480" s="39" t="str">
        <f>IF([8]道具信息!C480="","",[8]道具信息!C480)</f>
        <v/>
      </c>
      <c r="D480" s="39" t="str">
        <f>IF([8]道具信息!D480="","",[8]道具信息!D480)</f>
        <v/>
      </c>
      <c r="E480" s="39" t="str">
        <f>IF([8]道具信息!E480="","",[8]道具信息!E480)</f>
        <v/>
      </c>
      <c r="F480" s="39">
        <f>IF([8]道具信息!F480="","",[8]道具信息!F480)</f>
        <v>1</v>
      </c>
      <c r="G480" s="39">
        <f>IF([8]道具信息!G480="","",[8]道具信息!G480)</f>
        <v>1</v>
      </c>
      <c r="H480" s="39">
        <f>IF([8]道具信息!H480="","",[8]道具信息!H480)</f>
        <v>1</v>
      </c>
      <c r="I480" s="39" t="str">
        <f>IF([8]道具信息!I480="","",[8]道具信息!I480)</f>
        <v/>
      </c>
      <c r="J480" s="39" t="str">
        <f>IF([8]道具信息!J480="","",[8]道具信息!J480)</f>
        <v/>
      </c>
      <c r="K480" s="39" t="str">
        <f>IF([8]道具信息!K480="","",[8]道具信息!K480)</f>
        <v/>
      </c>
      <c r="L480" s="39" t="str">
        <f>IF([8]道具信息!L480="","",[8]道具信息!L480)</f>
        <v/>
      </c>
      <c r="M480" s="39" t="str">
        <f>IF([8]道具信息!M480="","",[8]道具信息!M480)</f>
        <v/>
      </c>
      <c r="N480" s="39" t="str">
        <f>IF([8]道具信息!N480="","",[8]道具信息!N480)</f>
        <v/>
      </c>
      <c r="O480" s="39" t="str">
        <f>IF([8]道具信息!O480="","",[8]道具信息!O480)</f>
        <v/>
      </c>
      <c r="P480" s="39" t="str">
        <f>IF([8]道具信息!P480="","",[8]道具信息!P480)</f>
        <v/>
      </c>
      <c r="Q480" s="39" t="str">
        <f>IF([8]道具信息!Q480="","",[8]道具信息!Q480)</f>
        <v/>
      </c>
      <c r="R480" s="39" t="str">
        <f>IF([8]道具信息!R480="","",[8]道具信息!R480)</f>
        <v/>
      </c>
      <c r="S480" s="39" t="str">
        <f>IF([8]道具信息!S480="","",[8]道具信息!S480)</f>
        <v/>
      </c>
      <c r="T480" s="39" t="str">
        <f>IF([8]道具信息!T480="","",[8]道具信息!T480)</f>
        <v/>
      </c>
      <c r="U480" s="39" t="str">
        <f>IF([8]道具信息!U480="","",[8]道具信息!U480)</f>
        <v/>
      </c>
      <c r="V480" s="39" t="str">
        <f>IF([8]道具信息!V480="","",[8]道具信息!V480)</f>
        <v/>
      </c>
      <c r="W480" s="39" t="str">
        <f>IF([8]道具信息!W480="","",[8]道具信息!W480)</f>
        <v/>
      </c>
      <c r="X480" s="39" t="str">
        <f>IF([8]道具信息!X480="","",[8]道具信息!X480)</f>
        <v/>
      </c>
      <c r="Y480" s="39" t="str">
        <f>IF([8]道具信息!Y480="","",[8]道具信息!Y480)</f>
        <v/>
      </c>
      <c r="Z480" s="39" t="str">
        <f>IF([8]道具信息!Z480="","",[8]道具信息!Z480)</f>
        <v/>
      </c>
    </row>
    <row r="481" spans="1:26" x14ac:dyDescent="0.15">
      <c r="A481" s="39" t="str">
        <f>IF([8]道具信息!A481="","",[8]道具信息!A481)</f>
        <v/>
      </c>
      <c r="B481" s="39" t="str">
        <f>IF([8]道具信息!B481="","",[8]道具信息!B481)</f>
        <v/>
      </c>
      <c r="C481" s="39" t="str">
        <f>IF([8]道具信息!C481="","",[8]道具信息!C481)</f>
        <v/>
      </c>
      <c r="D481" s="39" t="str">
        <f>IF([8]道具信息!D481="","",[8]道具信息!D481)</f>
        <v/>
      </c>
      <c r="E481" s="39" t="str">
        <f>IF([8]道具信息!E481="","",[8]道具信息!E481)</f>
        <v/>
      </c>
      <c r="F481" s="39">
        <f>IF([8]道具信息!F481="","",[8]道具信息!F481)</f>
        <v>1</v>
      </c>
      <c r="G481" s="39">
        <f>IF([8]道具信息!G481="","",[8]道具信息!G481)</f>
        <v>1</v>
      </c>
      <c r="H481" s="39">
        <f>IF([8]道具信息!H481="","",[8]道具信息!H481)</f>
        <v>1</v>
      </c>
      <c r="I481" s="39" t="str">
        <f>IF([8]道具信息!I481="","",[8]道具信息!I481)</f>
        <v/>
      </c>
      <c r="J481" s="39" t="str">
        <f>IF([8]道具信息!J481="","",[8]道具信息!J481)</f>
        <v/>
      </c>
      <c r="K481" s="39" t="str">
        <f>IF([8]道具信息!K481="","",[8]道具信息!K481)</f>
        <v/>
      </c>
      <c r="L481" s="39" t="str">
        <f>IF([8]道具信息!L481="","",[8]道具信息!L481)</f>
        <v/>
      </c>
      <c r="M481" s="39" t="str">
        <f>IF([8]道具信息!M481="","",[8]道具信息!M481)</f>
        <v/>
      </c>
      <c r="N481" s="39" t="str">
        <f>IF([8]道具信息!N481="","",[8]道具信息!N481)</f>
        <v/>
      </c>
      <c r="O481" s="39" t="str">
        <f>IF([8]道具信息!O481="","",[8]道具信息!O481)</f>
        <v/>
      </c>
      <c r="P481" s="39" t="str">
        <f>IF([8]道具信息!P481="","",[8]道具信息!P481)</f>
        <v/>
      </c>
      <c r="Q481" s="39" t="str">
        <f>IF([8]道具信息!Q481="","",[8]道具信息!Q481)</f>
        <v/>
      </c>
      <c r="R481" s="39" t="str">
        <f>IF([8]道具信息!R481="","",[8]道具信息!R481)</f>
        <v/>
      </c>
      <c r="S481" s="39" t="str">
        <f>IF([8]道具信息!S481="","",[8]道具信息!S481)</f>
        <v/>
      </c>
      <c r="T481" s="39" t="str">
        <f>IF([8]道具信息!T481="","",[8]道具信息!T481)</f>
        <v/>
      </c>
      <c r="U481" s="39" t="str">
        <f>IF([8]道具信息!U481="","",[8]道具信息!U481)</f>
        <v/>
      </c>
      <c r="V481" s="39" t="str">
        <f>IF([8]道具信息!V481="","",[8]道具信息!V481)</f>
        <v/>
      </c>
      <c r="W481" s="39" t="str">
        <f>IF([8]道具信息!W481="","",[8]道具信息!W481)</f>
        <v/>
      </c>
      <c r="X481" s="39" t="str">
        <f>IF([8]道具信息!X481="","",[8]道具信息!X481)</f>
        <v/>
      </c>
      <c r="Y481" s="39" t="str">
        <f>IF([8]道具信息!Y481="","",[8]道具信息!Y481)</f>
        <v/>
      </c>
      <c r="Z481" s="39" t="str">
        <f>IF([8]道具信息!Z481="","",[8]道具信息!Z481)</f>
        <v/>
      </c>
    </row>
    <row r="482" spans="1:26" x14ac:dyDescent="0.15">
      <c r="A482" s="39" t="str">
        <f>IF([8]道具信息!A482="","",[8]道具信息!A482)</f>
        <v/>
      </c>
      <c r="B482" s="39" t="str">
        <f>IF([8]道具信息!B482="","",[8]道具信息!B482)</f>
        <v/>
      </c>
      <c r="C482" s="39" t="str">
        <f>IF([8]道具信息!C482="","",[8]道具信息!C482)</f>
        <v/>
      </c>
      <c r="D482" s="39" t="str">
        <f>IF([8]道具信息!D482="","",[8]道具信息!D482)</f>
        <v/>
      </c>
      <c r="E482" s="39" t="str">
        <f>IF([8]道具信息!E482="","",[8]道具信息!E482)</f>
        <v/>
      </c>
      <c r="F482" s="39">
        <f>IF([8]道具信息!F482="","",[8]道具信息!F482)</f>
        <v>1</v>
      </c>
      <c r="G482" s="39">
        <f>IF([8]道具信息!G482="","",[8]道具信息!G482)</f>
        <v>1</v>
      </c>
      <c r="H482" s="39">
        <f>IF([8]道具信息!H482="","",[8]道具信息!H482)</f>
        <v>1</v>
      </c>
      <c r="I482" s="39" t="str">
        <f>IF([8]道具信息!I482="","",[8]道具信息!I482)</f>
        <v/>
      </c>
      <c r="J482" s="39" t="str">
        <f>IF([8]道具信息!J482="","",[8]道具信息!J482)</f>
        <v/>
      </c>
      <c r="K482" s="39" t="str">
        <f>IF([8]道具信息!K482="","",[8]道具信息!K482)</f>
        <v/>
      </c>
      <c r="L482" s="39" t="str">
        <f>IF([8]道具信息!L482="","",[8]道具信息!L482)</f>
        <v/>
      </c>
      <c r="M482" s="39" t="str">
        <f>IF([8]道具信息!M482="","",[8]道具信息!M482)</f>
        <v/>
      </c>
      <c r="N482" s="39" t="str">
        <f>IF([8]道具信息!N482="","",[8]道具信息!N482)</f>
        <v/>
      </c>
      <c r="O482" s="39" t="str">
        <f>IF([8]道具信息!O482="","",[8]道具信息!O482)</f>
        <v/>
      </c>
      <c r="P482" s="39" t="str">
        <f>IF([8]道具信息!P482="","",[8]道具信息!P482)</f>
        <v/>
      </c>
      <c r="Q482" s="39" t="str">
        <f>IF([8]道具信息!Q482="","",[8]道具信息!Q482)</f>
        <v/>
      </c>
      <c r="R482" s="39" t="str">
        <f>IF([8]道具信息!R482="","",[8]道具信息!R482)</f>
        <v/>
      </c>
      <c r="S482" s="39" t="str">
        <f>IF([8]道具信息!S482="","",[8]道具信息!S482)</f>
        <v/>
      </c>
      <c r="T482" s="39" t="str">
        <f>IF([8]道具信息!T482="","",[8]道具信息!T482)</f>
        <v/>
      </c>
      <c r="U482" s="39" t="str">
        <f>IF([8]道具信息!U482="","",[8]道具信息!U482)</f>
        <v/>
      </c>
      <c r="V482" s="39" t="str">
        <f>IF([8]道具信息!V482="","",[8]道具信息!V482)</f>
        <v/>
      </c>
      <c r="W482" s="39" t="str">
        <f>IF([8]道具信息!W482="","",[8]道具信息!W482)</f>
        <v/>
      </c>
      <c r="X482" s="39" t="str">
        <f>IF([8]道具信息!X482="","",[8]道具信息!X482)</f>
        <v/>
      </c>
      <c r="Y482" s="39" t="str">
        <f>IF([8]道具信息!Y482="","",[8]道具信息!Y482)</f>
        <v/>
      </c>
      <c r="Z482" s="39" t="str">
        <f>IF([8]道具信息!Z482="","",[8]道具信息!Z482)</f>
        <v/>
      </c>
    </row>
    <row r="483" spans="1:26" x14ac:dyDescent="0.15">
      <c r="A483" s="39" t="str">
        <f>IF([8]道具信息!A483="","",[8]道具信息!A483)</f>
        <v/>
      </c>
      <c r="B483" s="39" t="str">
        <f>IF([8]道具信息!B483="","",[8]道具信息!B483)</f>
        <v/>
      </c>
      <c r="C483" s="39" t="str">
        <f>IF([8]道具信息!C483="","",[8]道具信息!C483)</f>
        <v/>
      </c>
      <c r="D483" s="39" t="str">
        <f>IF([8]道具信息!D483="","",[8]道具信息!D483)</f>
        <v/>
      </c>
      <c r="E483" s="39" t="str">
        <f>IF([8]道具信息!E483="","",[8]道具信息!E483)</f>
        <v/>
      </c>
      <c r="F483" s="39">
        <f>IF([8]道具信息!F483="","",[8]道具信息!F483)</f>
        <v>1</v>
      </c>
      <c r="G483" s="39">
        <f>IF([8]道具信息!G483="","",[8]道具信息!G483)</f>
        <v>1</v>
      </c>
      <c r="H483" s="39">
        <f>IF([8]道具信息!H483="","",[8]道具信息!H483)</f>
        <v>1</v>
      </c>
      <c r="I483" s="39" t="str">
        <f>IF([8]道具信息!I483="","",[8]道具信息!I483)</f>
        <v/>
      </c>
      <c r="J483" s="39" t="str">
        <f>IF([8]道具信息!J483="","",[8]道具信息!J483)</f>
        <v/>
      </c>
      <c r="K483" s="39" t="str">
        <f>IF([8]道具信息!K483="","",[8]道具信息!K483)</f>
        <v/>
      </c>
      <c r="L483" s="39" t="str">
        <f>IF([8]道具信息!L483="","",[8]道具信息!L483)</f>
        <v/>
      </c>
      <c r="M483" s="39" t="str">
        <f>IF([8]道具信息!M483="","",[8]道具信息!M483)</f>
        <v/>
      </c>
      <c r="N483" s="39" t="str">
        <f>IF([8]道具信息!N483="","",[8]道具信息!N483)</f>
        <v/>
      </c>
      <c r="O483" s="39" t="str">
        <f>IF([8]道具信息!O483="","",[8]道具信息!O483)</f>
        <v/>
      </c>
      <c r="P483" s="39" t="str">
        <f>IF([8]道具信息!P483="","",[8]道具信息!P483)</f>
        <v/>
      </c>
      <c r="Q483" s="39" t="str">
        <f>IF([8]道具信息!Q483="","",[8]道具信息!Q483)</f>
        <v/>
      </c>
      <c r="R483" s="39" t="str">
        <f>IF([8]道具信息!R483="","",[8]道具信息!R483)</f>
        <v/>
      </c>
      <c r="S483" s="39" t="str">
        <f>IF([8]道具信息!S483="","",[8]道具信息!S483)</f>
        <v/>
      </c>
      <c r="T483" s="39" t="str">
        <f>IF([8]道具信息!T483="","",[8]道具信息!T483)</f>
        <v/>
      </c>
      <c r="U483" s="39" t="str">
        <f>IF([8]道具信息!U483="","",[8]道具信息!U483)</f>
        <v/>
      </c>
      <c r="V483" s="39" t="str">
        <f>IF([8]道具信息!V483="","",[8]道具信息!V483)</f>
        <v/>
      </c>
      <c r="W483" s="39" t="str">
        <f>IF([8]道具信息!W483="","",[8]道具信息!W483)</f>
        <v/>
      </c>
      <c r="X483" s="39" t="str">
        <f>IF([8]道具信息!X483="","",[8]道具信息!X483)</f>
        <v/>
      </c>
      <c r="Y483" s="39" t="str">
        <f>IF([8]道具信息!Y483="","",[8]道具信息!Y483)</f>
        <v/>
      </c>
      <c r="Z483" s="39" t="str">
        <f>IF([8]道具信息!Z483="","",[8]道具信息!Z483)</f>
        <v/>
      </c>
    </row>
    <row r="484" spans="1:26" x14ac:dyDescent="0.15">
      <c r="A484" s="39" t="str">
        <f>IF([8]道具信息!A484="","",[8]道具信息!A484)</f>
        <v/>
      </c>
      <c r="B484" s="39" t="str">
        <f>IF([8]道具信息!B484="","",[8]道具信息!B484)</f>
        <v/>
      </c>
      <c r="C484" s="39" t="str">
        <f>IF([8]道具信息!C484="","",[8]道具信息!C484)</f>
        <v/>
      </c>
      <c r="D484" s="39" t="str">
        <f>IF([8]道具信息!D484="","",[8]道具信息!D484)</f>
        <v/>
      </c>
      <c r="E484" s="39" t="str">
        <f>IF([8]道具信息!E484="","",[8]道具信息!E484)</f>
        <v/>
      </c>
      <c r="F484" s="39">
        <f>IF([8]道具信息!F484="","",[8]道具信息!F484)</f>
        <v>1</v>
      </c>
      <c r="G484" s="39">
        <f>IF([8]道具信息!G484="","",[8]道具信息!G484)</f>
        <v>1</v>
      </c>
      <c r="H484" s="39">
        <f>IF([8]道具信息!H484="","",[8]道具信息!H484)</f>
        <v>1</v>
      </c>
      <c r="I484" s="39" t="str">
        <f>IF([8]道具信息!I484="","",[8]道具信息!I484)</f>
        <v/>
      </c>
      <c r="J484" s="39" t="str">
        <f>IF([8]道具信息!J484="","",[8]道具信息!J484)</f>
        <v/>
      </c>
      <c r="K484" s="39" t="str">
        <f>IF([8]道具信息!K484="","",[8]道具信息!K484)</f>
        <v/>
      </c>
      <c r="L484" s="39" t="str">
        <f>IF([8]道具信息!L484="","",[8]道具信息!L484)</f>
        <v/>
      </c>
      <c r="M484" s="39" t="str">
        <f>IF([8]道具信息!M484="","",[8]道具信息!M484)</f>
        <v/>
      </c>
      <c r="N484" s="39" t="str">
        <f>IF([8]道具信息!N484="","",[8]道具信息!N484)</f>
        <v/>
      </c>
      <c r="O484" s="39" t="str">
        <f>IF([8]道具信息!O484="","",[8]道具信息!O484)</f>
        <v/>
      </c>
      <c r="P484" s="39" t="str">
        <f>IF([8]道具信息!P484="","",[8]道具信息!P484)</f>
        <v/>
      </c>
      <c r="Q484" s="39" t="str">
        <f>IF([8]道具信息!Q484="","",[8]道具信息!Q484)</f>
        <v/>
      </c>
      <c r="R484" s="39" t="str">
        <f>IF([8]道具信息!R484="","",[8]道具信息!R484)</f>
        <v/>
      </c>
      <c r="S484" s="39" t="str">
        <f>IF([8]道具信息!S484="","",[8]道具信息!S484)</f>
        <v/>
      </c>
      <c r="T484" s="39" t="str">
        <f>IF([8]道具信息!T484="","",[8]道具信息!T484)</f>
        <v/>
      </c>
      <c r="U484" s="39" t="str">
        <f>IF([8]道具信息!U484="","",[8]道具信息!U484)</f>
        <v/>
      </c>
      <c r="V484" s="39" t="str">
        <f>IF([8]道具信息!V484="","",[8]道具信息!V484)</f>
        <v/>
      </c>
      <c r="W484" s="39" t="str">
        <f>IF([8]道具信息!W484="","",[8]道具信息!W484)</f>
        <v/>
      </c>
      <c r="X484" s="39" t="str">
        <f>IF([8]道具信息!X484="","",[8]道具信息!X484)</f>
        <v/>
      </c>
      <c r="Y484" s="39" t="str">
        <f>IF([8]道具信息!Y484="","",[8]道具信息!Y484)</f>
        <v/>
      </c>
      <c r="Z484" s="39" t="str">
        <f>IF([8]道具信息!Z484="","",[8]道具信息!Z484)</f>
        <v/>
      </c>
    </row>
    <row r="485" spans="1:26" x14ac:dyDescent="0.15">
      <c r="A485" s="39" t="str">
        <f>IF([8]道具信息!A485="","",[8]道具信息!A485)</f>
        <v/>
      </c>
      <c r="B485" s="39" t="str">
        <f>IF([8]道具信息!B485="","",[8]道具信息!B485)</f>
        <v/>
      </c>
      <c r="C485" s="39" t="str">
        <f>IF([8]道具信息!C485="","",[8]道具信息!C485)</f>
        <v/>
      </c>
      <c r="D485" s="39" t="str">
        <f>IF([8]道具信息!D485="","",[8]道具信息!D485)</f>
        <v/>
      </c>
      <c r="E485" s="39" t="str">
        <f>IF([8]道具信息!E485="","",[8]道具信息!E485)</f>
        <v/>
      </c>
      <c r="F485" s="39">
        <f>IF([8]道具信息!F485="","",[8]道具信息!F485)</f>
        <v>1</v>
      </c>
      <c r="G485" s="39">
        <f>IF([8]道具信息!G485="","",[8]道具信息!G485)</f>
        <v>1</v>
      </c>
      <c r="H485" s="39">
        <f>IF([8]道具信息!H485="","",[8]道具信息!H485)</f>
        <v>1</v>
      </c>
      <c r="I485" s="39" t="str">
        <f>IF([8]道具信息!I485="","",[8]道具信息!I485)</f>
        <v/>
      </c>
      <c r="J485" s="39" t="str">
        <f>IF([8]道具信息!J485="","",[8]道具信息!J485)</f>
        <v/>
      </c>
      <c r="K485" s="39" t="str">
        <f>IF([8]道具信息!K485="","",[8]道具信息!K485)</f>
        <v/>
      </c>
      <c r="L485" s="39" t="str">
        <f>IF([8]道具信息!L485="","",[8]道具信息!L485)</f>
        <v/>
      </c>
      <c r="M485" s="39" t="str">
        <f>IF([8]道具信息!M485="","",[8]道具信息!M485)</f>
        <v/>
      </c>
      <c r="N485" s="39" t="str">
        <f>IF([8]道具信息!N485="","",[8]道具信息!N485)</f>
        <v/>
      </c>
      <c r="O485" s="39" t="str">
        <f>IF([8]道具信息!O485="","",[8]道具信息!O485)</f>
        <v/>
      </c>
      <c r="P485" s="39" t="str">
        <f>IF([8]道具信息!P485="","",[8]道具信息!P485)</f>
        <v/>
      </c>
      <c r="Q485" s="39" t="str">
        <f>IF([8]道具信息!Q485="","",[8]道具信息!Q485)</f>
        <v/>
      </c>
      <c r="R485" s="39" t="str">
        <f>IF([8]道具信息!R485="","",[8]道具信息!R485)</f>
        <v/>
      </c>
      <c r="S485" s="39" t="str">
        <f>IF([8]道具信息!S485="","",[8]道具信息!S485)</f>
        <v/>
      </c>
      <c r="T485" s="39" t="str">
        <f>IF([8]道具信息!T485="","",[8]道具信息!T485)</f>
        <v/>
      </c>
      <c r="U485" s="39" t="str">
        <f>IF([8]道具信息!U485="","",[8]道具信息!U485)</f>
        <v/>
      </c>
      <c r="V485" s="39" t="str">
        <f>IF([8]道具信息!V485="","",[8]道具信息!V485)</f>
        <v/>
      </c>
      <c r="W485" s="39" t="str">
        <f>IF([8]道具信息!W485="","",[8]道具信息!W485)</f>
        <v/>
      </c>
      <c r="X485" s="39" t="str">
        <f>IF([8]道具信息!X485="","",[8]道具信息!X485)</f>
        <v/>
      </c>
      <c r="Y485" s="39" t="str">
        <f>IF([8]道具信息!Y485="","",[8]道具信息!Y485)</f>
        <v/>
      </c>
      <c r="Z485" s="39" t="str">
        <f>IF([8]道具信息!Z485="","",[8]道具信息!Z485)</f>
        <v/>
      </c>
    </row>
    <row r="486" spans="1:26" x14ac:dyDescent="0.15">
      <c r="A486" s="39" t="str">
        <f>IF([8]道具信息!A486="","",[8]道具信息!A486)</f>
        <v/>
      </c>
      <c r="B486" s="39" t="str">
        <f>IF([8]道具信息!B486="","",[8]道具信息!B486)</f>
        <v/>
      </c>
      <c r="C486" s="39" t="str">
        <f>IF([8]道具信息!C486="","",[8]道具信息!C486)</f>
        <v/>
      </c>
      <c r="D486" s="39" t="str">
        <f>IF([8]道具信息!D486="","",[8]道具信息!D486)</f>
        <v/>
      </c>
      <c r="E486" s="39" t="str">
        <f>IF([8]道具信息!E486="","",[8]道具信息!E486)</f>
        <v/>
      </c>
      <c r="F486" s="39">
        <f>IF([8]道具信息!F486="","",[8]道具信息!F486)</f>
        <v>1</v>
      </c>
      <c r="G486" s="39">
        <f>IF([8]道具信息!G486="","",[8]道具信息!G486)</f>
        <v>1</v>
      </c>
      <c r="H486" s="39">
        <f>IF([8]道具信息!H486="","",[8]道具信息!H486)</f>
        <v>1</v>
      </c>
      <c r="I486" s="39" t="str">
        <f>IF([8]道具信息!I486="","",[8]道具信息!I486)</f>
        <v/>
      </c>
      <c r="J486" s="39" t="str">
        <f>IF([8]道具信息!J486="","",[8]道具信息!J486)</f>
        <v/>
      </c>
      <c r="K486" s="39" t="str">
        <f>IF([8]道具信息!K486="","",[8]道具信息!K486)</f>
        <v/>
      </c>
      <c r="L486" s="39" t="str">
        <f>IF([8]道具信息!L486="","",[8]道具信息!L486)</f>
        <v/>
      </c>
      <c r="M486" s="39" t="str">
        <f>IF([8]道具信息!M486="","",[8]道具信息!M486)</f>
        <v/>
      </c>
      <c r="N486" s="39" t="str">
        <f>IF([8]道具信息!N486="","",[8]道具信息!N486)</f>
        <v/>
      </c>
      <c r="O486" s="39" t="str">
        <f>IF([8]道具信息!O486="","",[8]道具信息!O486)</f>
        <v/>
      </c>
      <c r="P486" s="39" t="str">
        <f>IF([8]道具信息!P486="","",[8]道具信息!P486)</f>
        <v/>
      </c>
      <c r="Q486" s="39" t="str">
        <f>IF([8]道具信息!Q486="","",[8]道具信息!Q486)</f>
        <v/>
      </c>
      <c r="R486" s="39" t="str">
        <f>IF([8]道具信息!R486="","",[8]道具信息!R486)</f>
        <v/>
      </c>
      <c r="S486" s="39" t="str">
        <f>IF([8]道具信息!S486="","",[8]道具信息!S486)</f>
        <v/>
      </c>
      <c r="T486" s="39" t="str">
        <f>IF([8]道具信息!T486="","",[8]道具信息!T486)</f>
        <v/>
      </c>
      <c r="U486" s="39" t="str">
        <f>IF([8]道具信息!U486="","",[8]道具信息!U486)</f>
        <v/>
      </c>
      <c r="V486" s="39" t="str">
        <f>IF([8]道具信息!V486="","",[8]道具信息!V486)</f>
        <v/>
      </c>
      <c r="W486" s="39" t="str">
        <f>IF([8]道具信息!W486="","",[8]道具信息!W486)</f>
        <v/>
      </c>
      <c r="X486" s="39" t="str">
        <f>IF([8]道具信息!X486="","",[8]道具信息!X486)</f>
        <v/>
      </c>
      <c r="Y486" s="39" t="str">
        <f>IF([8]道具信息!Y486="","",[8]道具信息!Y486)</f>
        <v/>
      </c>
      <c r="Z486" s="39" t="str">
        <f>IF([8]道具信息!Z486="","",[8]道具信息!Z486)</f>
        <v/>
      </c>
    </row>
    <row r="487" spans="1:26" x14ac:dyDescent="0.15">
      <c r="A487" s="39" t="str">
        <f>IF([8]道具信息!A487="","",[8]道具信息!A487)</f>
        <v/>
      </c>
      <c r="B487" s="39" t="str">
        <f>IF([8]道具信息!B487="","",[8]道具信息!B487)</f>
        <v/>
      </c>
      <c r="C487" s="39" t="str">
        <f>IF([8]道具信息!C487="","",[8]道具信息!C487)</f>
        <v/>
      </c>
      <c r="D487" s="39" t="str">
        <f>IF([8]道具信息!D487="","",[8]道具信息!D487)</f>
        <v/>
      </c>
      <c r="E487" s="39" t="str">
        <f>IF([8]道具信息!E487="","",[8]道具信息!E487)</f>
        <v/>
      </c>
      <c r="F487" s="39">
        <f>IF([8]道具信息!F487="","",[8]道具信息!F487)</f>
        <v>1</v>
      </c>
      <c r="G487" s="39">
        <f>IF([8]道具信息!G487="","",[8]道具信息!G487)</f>
        <v>1</v>
      </c>
      <c r="H487" s="39">
        <f>IF([8]道具信息!H487="","",[8]道具信息!H487)</f>
        <v>1</v>
      </c>
      <c r="I487" s="39" t="str">
        <f>IF([8]道具信息!I487="","",[8]道具信息!I487)</f>
        <v/>
      </c>
      <c r="J487" s="39" t="str">
        <f>IF([8]道具信息!J487="","",[8]道具信息!J487)</f>
        <v/>
      </c>
      <c r="K487" s="39" t="str">
        <f>IF([8]道具信息!K487="","",[8]道具信息!K487)</f>
        <v/>
      </c>
      <c r="L487" s="39" t="str">
        <f>IF([8]道具信息!L487="","",[8]道具信息!L487)</f>
        <v/>
      </c>
      <c r="M487" s="39" t="str">
        <f>IF([8]道具信息!M487="","",[8]道具信息!M487)</f>
        <v/>
      </c>
      <c r="N487" s="39" t="str">
        <f>IF([8]道具信息!N487="","",[8]道具信息!N487)</f>
        <v/>
      </c>
      <c r="O487" s="39" t="str">
        <f>IF([8]道具信息!O487="","",[8]道具信息!O487)</f>
        <v/>
      </c>
      <c r="P487" s="39" t="str">
        <f>IF([8]道具信息!P487="","",[8]道具信息!P487)</f>
        <v/>
      </c>
      <c r="Q487" s="39" t="str">
        <f>IF([8]道具信息!Q487="","",[8]道具信息!Q487)</f>
        <v/>
      </c>
      <c r="R487" s="39" t="str">
        <f>IF([8]道具信息!R487="","",[8]道具信息!R487)</f>
        <v/>
      </c>
      <c r="S487" s="39" t="str">
        <f>IF([8]道具信息!S487="","",[8]道具信息!S487)</f>
        <v/>
      </c>
      <c r="T487" s="39" t="str">
        <f>IF([8]道具信息!T487="","",[8]道具信息!T487)</f>
        <v/>
      </c>
      <c r="U487" s="39" t="str">
        <f>IF([8]道具信息!U487="","",[8]道具信息!U487)</f>
        <v/>
      </c>
      <c r="V487" s="39" t="str">
        <f>IF([8]道具信息!V487="","",[8]道具信息!V487)</f>
        <v/>
      </c>
      <c r="W487" s="39" t="str">
        <f>IF([8]道具信息!W487="","",[8]道具信息!W487)</f>
        <v/>
      </c>
      <c r="X487" s="39" t="str">
        <f>IF([8]道具信息!X487="","",[8]道具信息!X487)</f>
        <v/>
      </c>
      <c r="Y487" s="39" t="str">
        <f>IF([8]道具信息!Y487="","",[8]道具信息!Y487)</f>
        <v/>
      </c>
      <c r="Z487" s="39" t="str">
        <f>IF([8]道具信息!Z487="","",[8]道具信息!Z487)</f>
        <v/>
      </c>
    </row>
    <row r="488" spans="1:26" x14ac:dyDescent="0.15">
      <c r="A488" s="39" t="str">
        <f>IF([8]道具信息!A488="","",[8]道具信息!A488)</f>
        <v/>
      </c>
      <c r="B488" s="39" t="str">
        <f>IF([8]道具信息!B488="","",[8]道具信息!B488)</f>
        <v/>
      </c>
      <c r="C488" s="39" t="str">
        <f>IF([8]道具信息!C488="","",[8]道具信息!C488)</f>
        <v/>
      </c>
      <c r="D488" s="39" t="str">
        <f>IF([8]道具信息!D488="","",[8]道具信息!D488)</f>
        <v/>
      </c>
      <c r="E488" s="39" t="str">
        <f>IF([8]道具信息!E488="","",[8]道具信息!E488)</f>
        <v/>
      </c>
      <c r="F488" s="39">
        <f>IF([8]道具信息!F488="","",[8]道具信息!F488)</f>
        <v>1</v>
      </c>
      <c r="G488" s="39">
        <f>IF([8]道具信息!G488="","",[8]道具信息!G488)</f>
        <v>1</v>
      </c>
      <c r="H488" s="39">
        <f>IF([8]道具信息!H488="","",[8]道具信息!H488)</f>
        <v>1</v>
      </c>
      <c r="I488" s="39" t="str">
        <f>IF([8]道具信息!I488="","",[8]道具信息!I488)</f>
        <v/>
      </c>
      <c r="J488" s="39" t="str">
        <f>IF([8]道具信息!J488="","",[8]道具信息!J488)</f>
        <v/>
      </c>
      <c r="K488" s="39" t="str">
        <f>IF([8]道具信息!K488="","",[8]道具信息!K488)</f>
        <v/>
      </c>
      <c r="L488" s="39" t="str">
        <f>IF([8]道具信息!L488="","",[8]道具信息!L488)</f>
        <v/>
      </c>
      <c r="M488" s="39" t="str">
        <f>IF([8]道具信息!M488="","",[8]道具信息!M488)</f>
        <v/>
      </c>
      <c r="N488" s="39" t="str">
        <f>IF([8]道具信息!N488="","",[8]道具信息!N488)</f>
        <v/>
      </c>
      <c r="O488" s="39" t="str">
        <f>IF([8]道具信息!O488="","",[8]道具信息!O488)</f>
        <v/>
      </c>
      <c r="P488" s="39" t="str">
        <f>IF([8]道具信息!P488="","",[8]道具信息!P488)</f>
        <v/>
      </c>
      <c r="Q488" s="39" t="str">
        <f>IF([8]道具信息!Q488="","",[8]道具信息!Q488)</f>
        <v/>
      </c>
      <c r="R488" s="39" t="str">
        <f>IF([8]道具信息!R488="","",[8]道具信息!R488)</f>
        <v/>
      </c>
      <c r="S488" s="39" t="str">
        <f>IF([8]道具信息!S488="","",[8]道具信息!S488)</f>
        <v/>
      </c>
      <c r="T488" s="39" t="str">
        <f>IF([8]道具信息!T488="","",[8]道具信息!T488)</f>
        <v/>
      </c>
      <c r="U488" s="39" t="str">
        <f>IF([8]道具信息!U488="","",[8]道具信息!U488)</f>
        <v/>
      </c>
      <c r="V488" s="39" t="str">
        <f>IF([8]道具信息!V488="","",[8]道具信息!V488)</f>
        <v/>
      </c>
      <c r="W488" s="39" t="str">
        <f>IF([8]道具信息!W488="","",[8]道具信息!W488)</f>
        <v/>
      </c>
      <c r="X488" s="39" t="str">
        <f>IF([8]道具信息!X488="","",[8]道具信息!X488)</f>
        <v/>
      </c>
      <c r="Y488" s="39" t="str">
        <f>IF([8]道具信息!Y488="","",[8]道具信息!Y488)</f>
        <v/>
      </c>
      <c r="Z488" s="39" t="str">
        <f>IF([8]道具信息!Z488="","",[8]道具信息!Z488)</f>
        <v/>
      </c>
    </row>
    <row r="489" spans="1:26" x14ac:dyDescent="0.15">
      <c r="A489" s="39" t="str">
        <f>IF([8]道具信息!A489="","",[8]道具信息!A489)</f>
        <v/>
      </c>
      <c r="B489" s="39" t="str">
        <f>IF([8]道具信息!B489="","",[8]道具信息!B489)</f>
        <v/>
      </c>
      <c r="C489" s="39" t="str">
        <f>IF([8]道具信息!C489="","",[8]道具信息!C489)</f>
        <v/>
      </c>
      <c r="D489" s="39" t="str">
        <f>IF([8]道具信息!D489="","",[8]道具信息!D489)</f>
        <v/>
      </c>
      <c r="E489" s="39" t="str">
        <f>IF([8]道具信息!E489="","",[8]道具信息!E489)</f>
        <v/>
      </c>
      <c r="F489" s="39">
        <f>IF([8]道具信息!F489="","",[8]道具信息!F489)</f>
        <v>1</v>
      </c>
      <c r="G489" s="39">
        <f>IF([8]道具信息!G489="","",[8]道具信息!G489)</f>
        <v>1</v>
      </c>
      <c r="H489" s="39">
        <f>IF([8]道具信息!H489="","",[8]道具信息!H489)</f>
        <v>1</v>
      </c>
      <c r="I489" s="39" t="str">
        <f>IF([8]道具信息!I489="","",[8]道具信息!I489)</f>
        <v/>
      </c>
      <c r="J489" s="39" t="str">
        <f>IF([8]道具信息!J489="","",[8]道具信息!J489)</f>
        <v/>
      </c>
      <c r="K489" s="39" t="str">
        <f>IF([8]道具信息!K489="","",[8]道具信息!K489)</f>
        <v/>
      </c>
      <c r="L489" s="39" t="str">
        <f>IF([8]道具信息!L489="","",[8]道具信息!L489)</f>
        <v/>
      </c>
      <c r="M489" s="39" t="str">
        <f>IF([8]道具信息!M489="","",[8]道具信息!M489)</f>
        <v/>
      </c>
      <c r="N489" s="39" t="str">
        <f>IF([8]道具信息!N489="","",[8]道具信息!N489)</f>
        <v/>
      </c>
      <c r="O489" s="39" t="str">
        <f>IF([8]道具信息!O489="","",[8]道具信息!O489)</f>
        <v/>
      </c>
      <c r="P489" s="39" t="str">
        <f>IF([8]道具信息!P489="","",[8]道具信息!P489)</f>
        <v/>
      </c>
      <c r="Q489" s="39" t="str">
        <f>IF([8]道具信息!Q489="","",[8]道具信息!Q489)</f>
        <v/>
      </c>
      <c r="R489" s="39" t="str">
        <f>IF([8]道具信息!R489="","",[8]道具信息!R489)</f>
        <v/>
      </c>
      <c r="S489" s="39" t="str">
        <f>IF([8]道具信息!S489="","",[8]道具信息!S489)</f>
        <v/>
      </c>
      <c r="T489" s="39" t="str">
        <f>IF([8]道具信息!T489="","",[8]道具信息!T489)</f>
        <v/>
      </c>
      <c r="U489" s="39" t="str">
        <f>IF([8]道具信息!U489="","",[8]道具信息!U489)</f>
        <v/>
      </c>
      <c r="V489" s="39" t="str">
        <f>IF([8]道具信息!V489="","",[8]道具信息!V489)</f>
        <v/>
      </c>
      <c r="W489" s="39" t="str">
        <f>IF([8]道具信息!W489="","",[8]道具信息!W489)</f>
        <v/>
      </c>
      <c r="X489" s="39" t="str">
        <f>IF([8]道具信息!X489="","",[8]道具信息!X489)</f>
        <v/>
      </c>
      <c r="Y489" s="39" t="str">
        <f>IF([8]道具信息!Y489="","",[8]道具信息!Y489)</f>
        <v/>
      </c>
      <c r="Z489" s="39" t="str">
        <f>IF([8]道具信息!Z489="","",[8]道具信息!Z489)</f>
        <v/>
      </c>
    </row>
    <row r="490" spans="1:26" x14ac:dyDescent="0.15">
      <c r="A490" s="39" t="str">
        <f>IF([8]道具信息!A490="","",[8]道具信息!A490)</f>
        <v/>
      </c>
      <c r="B490" s="39" t="str">
        <f>IF([8]道具信息!B490="","",[8]道具信息!B490)</f>
        <v/>
      </c>
      <c r="C490" s="39" t="str">
        <f>IF([8]道具信息!C490="","",[8]道具信息!C490)</f>
        <v/>
      </c>
      <c r="D490" s="39" t="str">
        <f>IF([8]道具信息!D490="","",[8]道具信息!D490)</f>
        <v/>
      </c>
      <c r="E490" s="39" t="str">
        <f>IF([8]道具信息!E490="","",[8]道具信息!E490)</f>
        <v/>
      </c>
      <c r="F490" s="39">
        <f>IF([8]道具信息!F490="","",[8]道具信息!F490)</f>
        <v>1</v>
      </c>
      <c r="G490" s="39">
        <f>IF([8]道具信息!G490="","",[8]道具信息!G490)</f>
        <v>1</v>
      </c>
      <c r="H490" s="39">
        <f>IF([8]道具信息!H490="","",[8]道具信息!H490)</f>
        <v>1</v>
      </c>
      <c r="I490" s="39" t="str">
        <f>IF([8]道具信息!I490="","",[8]道具信息!I490)</f>
        <v/>
      </c>
      <c r="J490" s="39" t="str">
        <f>IF([8]道具信息!J490="","",[8]道具信息!J490)</f>
        <v/>
      </c>
      <c r="K490" s="39" t="str">
        <f>IF([8]道具信息!K490="","",[8]道具信息!K490)</f>
        <v/>
      </c>
      <c r="L490" s="39" t="str">
        <f>IF([8]道具信息!L490="","",[8]道具信息!L490)</f>
        <v/>
      </c>
      <c r="M490" s="39" t="str">
        <f>IF([8]道具信息!M490="","",[8]道具信息!M490)</f>
        <v/>
      </c>
      <c r="N490" s="39" t="str">
        <f>IF([8]道具信息!N490="","",[8]道具信息!N490)</f>
        <v/>
      </c>
      <c r="O490" s="39" t="str">
        <f>IF([8]道具信息!O490="","",[8]道具信息!O490)</f>
        <v/>
      </c>
      <c r="P490" s="39" t="str">
        <f>IF([8]道具信息!P490="","",[8]道具信息!P490)</f>
        <v/>
      </c>
      <c r="Q490" s="39" t="str">
        <f>IF([8]道具信息!Q490="","",[8]道具信息!Q490)</f>
        <v/>
      </c>
      <c r="R490" s="39" t="str">
        <f>IF([8]道具信息!R490="","",[8]道具信息!R490)</f>
        <v/>
      </c>
      <c r="S490" s="39" t="str">
        <f>IF([8]道具信息!S490="","",[8]道具信息!S490)</f>
        <v/>
      </c>
      <c r="T490" s="39" t="str">
        <f>IF([8]道具信息!T490="","",[8]道具信息!T490)</f>
        <v/>
      </c>
      <c r="U490" s="39" t="str">
        <f>IF([8]道具信息!U490="","",[8]道具信息!U490)</f>
        <v/>
      </c>
      <c r="V490" s="39" t="str">
        <f>IF([8]道具信息!V490="","",[8]道具信息!V490)</f>
        <v/>
      </c>
      <c r="W490" s="39" t="str">
        <f>IF([8]道具信息!W490="","",[8]道具信息!W490)</f>
        <v/>
      </c>
      <c r="X490" s="39" t="str">
        <f>IF([8]道具信息!X490="","",[8]道具信息!X490)</f>
        <v/>
      </c>
      <c r="Y490" s="39" t="str">
        <f>IF([8]道具信息!Y490="","",[8]道具信息!Y490)</f>
        <v/>
      </c>
      <c r="Z490" s="39" t="str">
        <f>IF([8]道具信息!Z490="","",[8]道具信息!Z490)</f>
        <v/>
      </c>
    </row>
    <row r="491" spans="1:26" x14ac:dyDescent="0.15">
      <c r="A491" s="39" t="str">
        <f>IF([8]道具信息!A491="","",[8]道具信息!A491)</f>
        <v/>
      </c>
      <c r="B491" s="39" t="str">
        <f>IF([8]道具信息!B491="","",[8]道具信息!B491)</f>
        <v/>
      </c>
      <c r="C491" s="39" t="str">
        <f>IF([8]道具信息!C491="","",[8]道具信息!C491)</f>
        <v/>
      </c>
      <c r="D491" s="39" t="str">
        <f>IF([8]道具信息!D491="","",[8]道具信息!D491)</f>
        <v/>
      </c>
      <c r="E491" s="39" t="str">
        <f>IF([8]道具信息!E491="","",[8]道具信息!E491)</f>
        <v/>
      </c>
      <c r="F491" s="39">
        <f>IF([8]道具信息!F491="","",[8]道具信息!F491)</f>
        <v>1</v>
      </c>
      <c r="G491" s="39">
        <f>IF([8]道具信息!G491="","",[8]道具信息!G491)</f>
        <v>1</v>
      </c>
      <c r="H491" s="39">
        <f>IF([8]道具信息!H491="","",[8]道具信息!H491)</f>
        <v>1</v>
      </c>
      <c r="I491" s="39" t="str">
        <f>IF([8]道具信息!I491="","",[8]道具信息!I491)</f>
        <v/>
      </c>
      <c r="J491" s="39" t="str">
        <f>IF([8]道具信息!J491="","",[8]道具信息!J491)</f>
        <v/>
      </c>
      <c r="K491" s="39" t="str">
        <f>IF([8]道具信息!K491="","",[8]道具信息!K491)</f>
        <v/>
      </c>
      <c r="L491" s="39" t="str">
        <f>IF([8]道具信息!L491="","",[8]道具信息!L491)</f>
        <v/>
      </c>
      <c r="M491" s="39" t="str">
        <f>IF([8]道具信息!M491="","",[8]道具信息!M491)</f>
        <v/>
      </c>
      <c r="N491" s="39" t="str">
        <f>IF([8]道具信息!N491="","",[8]道具信息!N491)</f>
        <v/>
      </c>
      <c r="O491" s="39" t="str">
        <f>IF([8]道具信息!O491="","",[8]道具信息!O491)</f>
        <v/>
      </c>
      <c r="P491" s="39" t="str">
        <f>IF([8]道具信息!P491="","",[8]道具信息!P491)</f>
        <v/>
      </c>
      <c r="Q491" s="39" t="str">
        <f>IF([8]道具信息!Q491="","",[8]道具信息!Q491)</f>
        <v/>
      </c>
      <c r="R491" s="39" t="str">
        <f>IF([8]道具信息!R491="","",[8]道具信息!R491)</f>
        <v/>
      </c>
      <c r="S491" s="39" t="str">
        <f>IF([8]道具信息!S491="","",[8]道具信息!S491)</f>
        <v/>
      </c>
      <c r="T491" s="39" t="str">
        <f>IF([8]道具信息!T491="","",[8]道具信息!T491)</f>
        <v/>
      </c>
      <c r="U491" s="39" t="str">
        <f>IF([8]道具信息!U491="","",[8]道具信息!U491)</f>
        <v/>
      </c>
      <c r="V491" s="39" t="str">
        <f>IF([8]道具信息!V491="","",[8]道具信息!V491)</f>
        <v/>
      </c>
      <c r="W491" s="39" t="str">
        <f>IF([8]道具信息!W491="","",[8]道具信息!W491)</f>
        <v/>
      </c>
      <c r="X491" s="39" t="str">
        <f>IF([8]道具信息!X491="","",[8]道具信息!X491)</f>
        <v/>
      </c>
      <c r="Y491" s="39" t="str">
        <f>IF([8]道具信息!Y491="","",[8]道具信息!Y491)</f>
        <v/>
      </c>
      <c r="Z491" s="39" t="str">
        <f>IF([8]道具信息!Z491="","",[8]道具信息!Z491)</f>
        <v/>
      </c>
    </row>
    <row r="492" spans="1:26" x14ac:dyDescent="0.15">
      <c r="A492" s="39" t="str">
        <f>IF([8]道具信息!A492="","",[8]道具信息!A492)</f>
        <v/>
      </c>
      <c r="B492" s="39" t="str">
        <f>IF([8]道具信息!B492="","",[8]道具信息!B492)</f>
        <v/>
      </c>
      <c r="C492" s="39" t="str">
        <f>IF([8]道具信息!C492="","",[8]道具信息!C492)</f>
        <v/>
      </c>
      <c r="D492" s="39" t="str">
        <f>IF([8]道具信息!D492="","",[8]道具信息!D492)</f>
        <v/>
      </c>
      <c r="E492" s="39" t="str">
        <f>IF([8]道具信息!E492="","",[8]道具信息!E492)</f>
        <v/>
      </c>
      <c r="F492" s="39">
        <f>IF([8]道具信息!F492="","",[8]道具信息!F492)</f>
        <v>1</v>
      </c>
      <c r="G492" s="39">
        <f>IF([8]道具信息!G492="","",[8]道具信息!G492)</f>
        <v>1</v>
      </c>
      <c r="H492" s="39">
        <f>IF([8]道具信息!H492="","",[8]道具信息!H492)</f>
        <v>1</v>
      </c>
      <c r="I492" s="39" t="str">
        <f>IF([8]道具信息!I492="","",[8]道具信息!I492)</f>
        <v/>
      </c>
      <c r="J492" s="39" t="str">
        <f>IF([8]道具信息!J492="","",[8]道具信息!J492)</f>
        <v/>
      </c>
      <c r="K492" s="39" t="str">
        <f>IF([8]道具信息!K492="","",[8]道具信息!K492)</f>
        <v/>
      </c>
      <c r="L492" s="39" t="str">
        <f>IF([8]道具信息!L492="","",[8]道具信息!L492)</f>
        <v/>
      </c>
      <c r="M492" s="39" t="str">
        <f>IF([8]道具信息!M492="","",[8]道具信息!M492)</f>
        <v/>
      </c>
      <c r="N492" s="39" t="str">
        <f>IF([8]道具信息!N492="","",[8]道具信息!N492)</f>
        <v/>
      </c>
      <c r="O492" s="39" t="str">
        <f>IF([8]道具信息!O492="","",[8]道具信息!O492)</f>
        <v/>
      </c>
      <c r="P492" s="39" t="str">
        <f>IF([8]道具信息!P492="","",[8]道具信息!P492)</f>
        <v/>
      </c>
      <c r="Q492" s="39" t="str">
        <f>IF([8]道具信息!Q492="","",[8]道具信息!Q492)</f>
        <v/>
      </c>
      <c r="R492" s="39" t="str">
        <f>IF([8]道具信息!R492="","",[8]道具信息!R492)</f>
        <v/>
      </c>
      <c r="S492" s="39" t="str">
        <f>IF([8]道具信息!S492="","",[8]道具信息!S492)</f>
        <v/>
      </c>
      <c r="T492" s="39" t="str">
        <f>IF([8]道具信息!T492="","",[8]道具信息!T492)</f>
        <v/>
      </c>
      <c r="U492" s="39" t="str">
        <f>IF([8]道具信息!U492="","",[8]道具信息!U492)</f>
        <v/>
      </c>
      <c r="V492" s="39" t="str">
        <f>IF([8]道具信息!V492="","",[8]道具信息!V492)</f>
        <v/>
      </c>
      <c r="W492" s="39" t="str">
        <f>IF([8]道具信息!W492="","",[8]道具信息!W492)</f>
        <v/>
      </c>
      <c r="X492" s="39" t="str">
        <f>IF([8]道具信息!X492="","",[8]道具信息!X492)</f>
        <v/>
      </c>
      <c r="Y492" s="39" t="str">
        <f>IF([8]道具信息!Y492="","",[8]道具信息!Y492)</f>
        <v/>
      </c>
      <c r="Z492" s="39" t="str">
        <f>IF([8]道具信息!Z492="","",[8]道具信息!Z492)</f>
        <v/>
      </c>
    </row>
    <row r="493" spans="1:26" x14ac:dyDescent="0.15">
      <c r="A493" s="39" t="str">
        <f>IF([8]道具信息!A493="","",[8]道具信息!A493)</f>
        <v/>
      </c>
      <c r="B493" s="39" t="str">
        <f>IF([8]道具信息!B493="","",[8]道具信息!B493)</f>
        <v/>
      </c>
      <c r="C493" s="39" t="str">
        <f>IF([8]道具信息!C493="","",[8]道具信息!C493)</f>
        <v/>
      </c>
      <c r="D493" s="39" t="str">
        <f>IF([8]道具信息!D493="","",[8]道具信息!D493)</f>
        <v/>
      </c>
      <c r="E493" s="39" t="str">
        <f>IF([8]道具信息!E493="","",[8]道具信息!E493)</f>
        <v/>
      </c>
      <c r="F493" s="39">
        <f>IF([8]道具信息!F493="","",[8]道具信息!F493)</f>
        <v>1</v>
      </c>
      <c r="G493" s="39">
        <f>IF([8]道具信息!G493="","",[8]道具信息!G493)</f>
        <v>1</v>
      </c>
      <c r="H493" s="39">
        <f>IF([8]道具信息!H493="","",[8]道具信息!H493)</f>
        <v>1</v>
      </c>
      <c r="I493" s="39" t="str">
        <f>IF([8]道具信息!I493="","",[8]道具信息!I493)</f>
        <v/>
      </c>
      <c r="J493" s="39" t="str">
        <f>IF([8]道具信息!J493="","",[8]道具信息!J493)</f>
        <v/>
      </c>
      <c r="K493" s="39" t="str">
        <f>IF([8]道具信息!K493="","",[8]道具信息!K493)</f>
        <v/>
      </c>
      <c r="L493" s="39" t="str">
        <f>IF([8]道具信息!L493="","",[8]道具信息!L493)</f>
        <v/>
      </c>
      <c r="M493" s="39" t="str">
        <f>IF([8]道具信息!M493="","",[8]道具信息!M493)</f>
        <v/>
      </c>
      <c r="N493" s="39" t="str">
        <f>IF([8]道具信息!N493="","",[8]道具信息!N493)</f>
        <v/>
      </c>
      <c r="O493" s="39" t="str">
        <f>IF([8]道具信息!O493="","",[8]道具信息!O493)</f>
        <v/>
      </c>
      <c r="P493" s="39" t="str">
        <f>IF([8]道具信息!P493="","",[8]道具信息!P493)</f>
        <v/>
      </c>
      <c r="Q493" s="39" t="str">
        <f>IF([8]道具信息!Q493="","",[8]道具信息!Q493)</f>
        <v/>
      </c>
      <c r="R493" s="39" t="str">
        <f>IF([8]道具信息!R493="","",[8]道具信息!R493)</f>
        <v/>
      </c>
      <c r="S493" s="39" t="str">
        <f>IF([8]道具信息!S493="","",[8]道具信息!S493)</f>
        <v/>
      </c>
      <c r="T493" s="39" t="str">
        <f>IF([8]道具信息!T493="","",[8]道具信息!T493)</f>
        <v/>
      </c>
      <c r="U493" s="39" t="str">
        <f>IF([8]道具信息!U493="","",[8]道具信息!U493)</f>
        <v/>
      </c>
      <c r="V493" s="39" t="str">
        <f>IF([8]道具信息!V493="","",[8]道具信息!V493)</f>
        <v/>
      </c>
      <c r="W493" s="39" t="str">
        <f>IF([8]道具信息!W493="","",[8]道具信息!W493)</f>
        <v/>
      </c>
      <c r="X493" s="39" t="str">
        <f>IF([8]道具信息!X493="","",[8]道具信息!X493)</f>
        <v/>
      </c>
      <c r="Y493" s="39" t="str">
        <f>IF([8]道具信息!Y493="","",[8]道具信息!Y493)</f>
        <v/>
      </c>
      <c r="Z493" s="39" t="str">
        <f>IF([8]道具信息!Z493="","",[8]道具信息!Z493)</f>
        <v/>
      </c>
    </row>
    <row r="494" spans="1:26" x14ac:dyDescent="0.15">
      <c r="A494" s="39" t="str">
        <f>IF([8]道具信息!A494="","",[8]道具信息!A494)</f>
        <v/>
      </c>
      <c r="B494" s="39" t="str">
        <f>IF([8]道具信息!B494="","",[8]道具信息!B494)</f>
        <v/>
      </c>
      <c r="C494" s="39" t="str">
        <f>IF([8]道具信息!C494="","",[8]道具信息!C494)</f>
        <v/>
      </c>
      <c r="D494" s="39" t="str">
        <f>IF([8]道具信息!D494="","",[8]道具信息!D494)</f>
        <v/>
      </c>
      <c r="E494" s="39" t="str">
        <f>IF([8]道具信息!E494="","",[8]道具信息!E494)</f>
        <v/>
      </c>
      <c r="F494" s="39">
        <f>IF([8]道具信息!F494="","",[8]道具信息!F494)</f>
        <v>1</v>
      </c>
      <c r="G494" s="39">
        <f>IF([8]道具信息!G494="","",[8]道具信息!G494)</f>
        <v>1</v>
      </c>
      <c r="H494" s="39">
        <f>IF([8]道具信息!H494="","",[8]道具信息!H494)</f>
        <v>1</v>
      </c>
      <c r="I494" s="39" t="str">
        <f>IF([8]道具信息!I494="","",[8]道具信息!I494)</f>
        <v/>
      </c>
      <c r="J494" s="39" t="str">
        <f>IF([8]道具信息!J494="","",[8]道具信息!J494)</f>
        <v/>
      </c>
      <c r="K494" s="39" t="str">
        <f>IF([8]道具信息!K494="","",[8]道具信息!K494)</f>
        <v/>
      </c>
      <c r="L494" s="39" t="str">
        <f>IF([8]道具信息!L494="","",[8]道具信息!L494)</f>
        <v/>
      </c>
      <c r="M494" s="39" t="str">
        <f>IF([8]道具信息!M494="","",[8]道具信息!M494)</f>
        <v/>
      </c>
      <c r="N494" s="39" t="str">
        <f>IF([8]道具信息!N494="","",[8]道具信息!N494)</f>
        <v/>
      </c>
      <c r="O494" s="39" t="str">
        <f>IF([8]道具信息!O494="","",[8]道具信息!O494)</f>
        <v/>
      </c>
      <c r="P494" s="39" t="str">
        <f>IF([8]道具信息!P494="","",[8]道具信息!P494)</f>
        <v/>
      </c>
      <c r="Q494" s="39" t="str">
        <f>IF([8]道具信息!Q494="","",[8]道具信息!Q494)</f>
        <v/>
      </c>
      <c r="R494" s="39" t="str">
        <f>IF([8]道具信息!R494="","",[8]道具信息!R494)</f>
        <v/>
      </c>
      <c r="S494" s="39" t="str">
        <f>IF([8]道具信息!S494="","",[8]道具信息!S494)</f>
        <v/>
      </c>
      <c r="T494" s="39" t="str">
        <f>IF([8]道具信息!T494="","",[8]道具信息!T494)</f>
        <v/>
      </c>
      <c r="U494" s="39" t="str">
        <f>IF([8]道具信息!U494="","",[8]道具信息!U494)</f>
        <v/>
      </c>
      <c r="V494" s="39" t="str">
        <f>IF([8]道具信息!V494="","",[8]道具信息!V494)</f>
        <v/>
      </c>
      <c r="W494" s="39" t="str">
        <f>IF([8]道具信息!W494="","",[8]道具信息!W494)</f>
        <v/>
      </c>
      <c r="X494" s="39" t="str">
        <f>IF([8]道具信息!X494="","",[8]道具信息!X494)</f>
        <v/>
      </c>
      <c r="Y494" s="39" t="str">
        <f>IF([8]道具信息!Y494="","",[8]道具信息!Y494)</f>
        <v/>
      </c>
      <c r="Z494" s="39" t="str">
        <f>IF([8]道具信息!Z494="","",[8]道具信息!Z494)</f>
        <v/>
      </c>
    </row>
    <row r="495" spans="1:26" x14ac:dyDescent="0.15">
      <c r="A495" s="39" t="str">
        <f>IF([8]道具信息!A495="","",[8]道具信息!A495)</f>
        <v/>
      </c>
      <c r="B495" s="39" t="str">
        <f>IF([8]道具信息!B495="","",[8]道具信息!B495)</f>
        <v/>
      </c>
      <c r="C495" s="39" t="str">
        <f>IF([8]道具信息!C495="","",[8]道具信息!C495)</f>
        <v/>
      </c>
      <c r="D495" s="39" t="str">
        <f>IF([8]道具信息!D495="","",[8]道具信息!D495)</f>
        <v/>
      </c>
      <c r="E495" s="39" t="str">
        <f>IF([8]道具信息!E495="","",[8]道具信息!E495)</f>
        <v/>
      </c>
      <c r="F495" s="39">
        <f>IF([8]道具信息!F495="","",[8]道具信息!F495)</f>
        <v>1</v>
      </c>
      <c r="G495" s="39">
        <f>IF([8]道具信息!G495="","",[8]道具信息!G495)</f>
        <v>1</v>
      </c>
      <c r="H495" s="39">
        <f>IF([8]道具信息!H495="","",[8]道具信息!H495)</f>
        <v>1</v>
      </c>
      <c r="I495" s="39" t="str">
        <f>IF([8]道具信息!I495="","",[8]道具信息!I495)</f>
        <v/>
      </c>
      <c r="J495" s="39" t="str">
        <f>IF([8]道具信息!J495="","",[8]道具信息!J495)</f>
        <v/>
      </c>
      <c r="K495" s="39" t="str">
        <f>IF([8]道具信息!K495="","",[8]道具信息!K495)</f>
        <v/>
      </c>
      <c r="L495" s="39" t="str">
        <f>IF([8]道具信息!L495="","",[8]道具信息!L495)</f>
        <v/>
      </c>
      <c r="M495" s="39" t="str">
        <f>IF([8]道具信息!M495="","",[8]道具信息!M495)</f>
        <v/>
      </c>
      <c r="N495" s="39" t="str">
        <f>IF([8]道具信息!N495="","",[8]道具信息!N495)</f>
        <v/>
      </c>
      <c r="O495" s="39" t="str">
        <f>IF([8]道具信息!O495="","",[8]道具信息!O495)</f>
        <v/>
      </c>
      <c r="P495" s="39" t="str">
        <f>IF([8]道具信息!P495="","",[8]道具信息!P495)</f>
        <v/>
      </c>
      <c r="Q495" s="39" t="str">
        <f>IF([8]道具信息!Q495="","",[8]道具信息!Q495)</f>
        <v/>
      </c>
      <c r="R495" s="39" t="str">
        <f>IF([8]道具信息!R495="","",[8]道具信息!R495)</f>
        <v/>
      </c>
      <c r="S495" s="39" t="str">
        <f>IF([8]道具信息!S495="","",[8]道具信息!S495)</f>
        <v/>
      </c>
      <c r="T495" s="39" t="str">
        <f>IF([8]道具信息!T495="","",[8]道具信息!T495)</f>
        <v/>
      </c>
      <c r="U495" s="39" t="str">
        <f>IF([8]道具信息!U495="","",[8]道具信息!U495)</f>
        <v/>
      </c>
      <c r="V495" s="39" t="str">
        <f>IF([8]道具信息!V495="","",[8]道具信息!V495)</f>
        <v/>
      </c>
      <c r="W495" s="39" t="str">
        <f>IF([8]道具信息!W495="","",[8]道具信息!W495)</f>
        <v/>
      </c>
      <c r="X495" s="39" t="str">
        <f>IF([8]道具信息!X495="","",[8]道具信息!X495)</f>
        <v/>
      </c>
      <c r="Y495" s="39" t="str">
        <f>IF([8]道具信息!Y495="","",[8]道具信息!Y495)</f>
        <v/>
      </c>
      <c r="Z495" s="39" t="str">
        <f>IF([8]道具信息!Z495="","",[8]道具信息!Z495)</f>
        <v/>
      </c>
    </row>
    <row r="496" spans="1:26" x14ac:dyDescent="0.15">
      <c r="A496" s="39" t="str">
        <f>IF([8]道具信息!A496="","",[8]道具信息!A496)</f>
        <v/>
      </c>
      <c r="B496" s="39" t="str">
        <f>IF([8]道具信息!B496="","",[8]道具信息!B496)</f>
        <v/>
      </c>
      <c r="C496" s="39" t="str">
        <f>IF([8]道具信息!C496="","",[8]道具信息!C496)</f>
        <v/>
      </c>
      <c r="D496" s="39" t="str">
        <f>IF([8]道具信息!D496="","",[8]道具信息!D496)</f>
        <v/>
      </c>
      <c r="E496" s="39" t="str">
        <f>IF([8]道具信息!E496="","",[8]道具信息!E496)</f>
        <v/>
      </c>
      <c r="F496" s="39">
        <f>IF([8]道具信息!F496="","",[8]道具信息!F496)</f>
        <v>1</v>
      </c>
      <c r="G496" s="39">
        <f>IF([8]道具信息!G496="","",[8]道具信息!G496)</f>
        <v>1</v>
      </c>
      <c r="H496" s="39">
        <f>IF([8]道具信息!H496="","",[8]道具信息!H496)</f>
        <v>1</v>
      </c>
      <c r="I496" s="39" t="str">
        <f>IF([8]道具信息!I496="","",[8]道具信息!I496)</f>
        <v/>
      </c>
      <c r="J496" s="39" t="str">
        <f>IF([8]道具信息!J496="","",[8]道具信息!J496)</f>
        <v/>
      </c>
      <c r="K496" s="39" t="str">
        <f>IF([8]道具信息!K496="","",[8]道具信息!K496)</f>
        <v/>
      </c>
      <c r="L496" s="39" t="str">
        <f>IF([8]道具信息!L496="","",[8]道具信息!L496)</f>
        <v/>
      </c>
      <c r="M496" s="39" t="str">
        <f>IF([8]道具信息!M496="","",[8]道具信息!M496)</f>
        <v/>
      </c>
      <c r="N496" s="39" t="str">
        <f>IF([8]道具信息!N496="","",[8]道具信息!N496)</f>
        <v/>
      </c>
      <c r="O496" s="39" t="str">
        <f>IF([8]道具信息!O496="","",[8]道具信息!O496)</f>
        <v/>
      </c>
      <c r="P496" s="39" t="str">
        <f>IF([8]道具信息!P496="","",[8]道具信息!P496)</f>
        <v/>
      </c>
      <c r="Q496" s="39" t="str">
        <f>IF([8]道具信息!Q496="","",[8]道具信息!Q496)</f>
        <v/>
      </c>
      <c r="R496" s="39" t="str">
        <f>IF([8]道具信息!R496="","",[8]道具信息!R496)</f>
        <v/>
      </c>
      <c r="S496" s="39" t="str">
        <f>IF([8]道具信息!S496="","",[8]道具信息!S496)</f>
        <v/>
      </c>
      <c r="T496" s="39" t="str">
        <f>IF([8]道具信息!T496="","",[8]道具信息!T496)</f>
        <v/>
      </c>
      <c r="U496" s="39" t="str">
        <f>IF([8]道具信息!U496="","",[8]道具信息!U496)</f>
        <v/>
      </c>
      <c r="V496" s="39" t="str">
        <f>IF([8]道具信息!V496="","",[8]道具信息!V496)</f>
        <v/>
      </c>
      <c r="W496" s="39" t="str">
        <f>IF([8]道具信息!W496="","",[8]道具信息!W496)</f>
        <v/>
      </c>
      <c r="X496" s="39" t="str">
        <f>IF([8]道具信息!X496="","",[8]道具信息!X496)</f>
        <v/>
      </c>
      <c r="Y496" s="39" t="str">
        <f>IF([8]道具信息!Y496="","",[8]道具信息!Y496)</f>
        <v/>
      </c>
      <c r="Z496" s="39" t="str">
        <f>IF([8]道具信息!Z496="","",[8]道具信息!Z496)</f>
        <v/>
      </c>
    </row>
    <row r="497" spans="1:26" x14ac:dyDescent="0.15">
      <c r="A497" s="39" t="str">
        <f>IF([8]道具信息!A497="","",[8]道具信息!A497)</f>
        <v/>
      </c>
      <c r="B497" s="39" t="str">
        <f>IF([8]道具信息!B497="","",[8]道具信息!B497)</f>
        <v/>
      </c>
      <c r="C497" s="39" t="str">
        <f>IF([8]道具信息!C497="","",[8]道具信息!C497)</f>
        <v/>
      </c>
      <c r="D497" s="39" t="str">
        <f>IF([8]道具信息!D497="","",[8]道具信息!D497)</f>
        <v/>
      </c>
      <c r="E497" s="39" t="str">
        <f>IF([8]道具信息!E497="","",[8]道具信息!E497)</f>
        <v/>
      </c>
      <c r="F497" s="39">
        <f>IF([8]道具信息!F497="","",[8]道具信息!F497)</f>
        <v>1</v>
      </c>
      <c r="G497" s="39">
        <f>IF([8]道具信息!G497="","",[8]道具信息!G497)</f>
        <v>1</v>
      </c>
      <c r="H497" s="39">
        <f>IF([8]道具信息!H497="","",[8]道具信息!H497)</f>
        <v>1</v>
      </c>
      <c r="I497" s="39" t="str">
        <f>IF([8]道具信息!I497="","",[8]道具信息!I497)</f>
        <v/>
      </c>
      <c r="J497" s="39" t="str">
        <f>IF([8]道具信息!J497="","",[8]道具信息!J497)</f>
        <v/>
      </c>
      <c r="K497" s="39" t="str">
        <f>IF([8]道具信息!K497="","",[8]道具信息!K497)</f>
        <v/>
      </c>
      <c r="L497" s="39" t="str">
        <f>IF([8]道具信息!L497="","",[8]道具信息!L497)</f>
        <v/>
      </c>
      <c r="M497" s="39" t="str">
        <f>IF([8]道具信息!M497="","",[8]道具信息!M497)</f>
        <v/>
      </c>
      <c r="N497" s="39" t="str">
        <f>IF([8]道具信息!N497="","",[8]道具信息!N497)</f>
        <v/>
      </c>
      <c r="O497" s="39" t="str">
        <f>IF([8]道具信息!O497="","",[8]道具信息!O497)</f>
        <v/>
      </c>
      <c r="P497" s="39" t="str">
        <f>IF([8]道具信息!P497="","",[8]道具信息!P497)</f>
        <v/>
      </c>
      <c r="Q497" s="39" t="str">
        <f>IF([8]道具信息!Q497="","",[8]道具信息!Q497)</f>
        <v/>
      </c>
      <c r="R497" s="39" t="str">
        <f>IF([8]道具信息!R497="","",[8]道具信息!R497)</f>
        <v/>
      </c>
      <c r="S497" s="39" t="str">
        <f>IF([8]道具信息!S497="","",[8]道具信息!S497)</f>
        <v/>
      </c>
      <c r="T497" s="39" t="str">
        <f>IF([8]道具信息!T497="","",[8]道具信息!T497)</f>
        <v/>
      </c>
      <c r="U497" s="39" t="str">
        <f>IF([8]道具信息!U497="","",[8]道具信息!U497)</f>
        <v/>
      </c>
      <c r="V497" s="39" t="str">
        <f>IF([8]道具信息!V497="","",[8]道具信息!V497)</f>
        <v/>
      </c>
      <c r="W497" s="39" t="str">
        <f>IF([8]道具信息!W497="","",[8]道具信息!W497)</f>
        <v/>
      </c>
      <c r="X497" s="39" t="str">
        <f>IF([8]道具信息!X497="","",[8]道具信息!X497)</f>
        <v/>
      </c>
      <c r="Y497" s="39" t="str">
        <f>IF([8]道具信息!Y497="","",[8]道具信息!Y497)</f>
        <v/>
      </c>
      <c r="Z497" s="39" t="str">
        <f>IF([8]道具信息!Z497="","",[8]道具信息!Z497)</f>
        <v/>
      </c>
    </row>
    <row r="498" spans="1:26" x14ac:dyDescent="0.15">
      <c r="A498" s="39" t="str">
        <f>IF([8]道具信息!A498="","",[8]道具信息!A498)</f>
        <v/>
      </c>
      <c r="B498" s="39" t="str">
        <f>IF([8]道具信息!B498="","",[8]道具信息!B498)</f>
        <v/>
      </c>
      <c r="C498" s="39" t="str">
        <f>IF([8]道具信息!C498="","",[8]道具信息!C498)</f>
        <v/>
      </c>
      <c r="D498" s="39" t="str">
        <f>IF([8]道具信息!D498="","",[8]道具信息!D498)</f>
        <v/>
      </c>
      <c r="E498" s="39" t="str">
        <f>IF([8]道具信息!E498="","",[8]道具信息!E498)</f>
        <v/>
      </c>
      <c r="F498" s="39">
        <f>IF([8]道具信息!F498="","",[8]道具信息!F498)</f>
        <v>1</v>
      </c>
      <c r="G498" s="39">
        <f>IF([8]道具信息!G498="","",[8]道具信息!G498)</f>
        <v>1</v>
      </c>
      <c r="H498" s="39">
        <f>IF([8]道具信息!H498="","",[8]道具信息!H498)</f>
        <v>1</v>
      </c>
      <c r="I498" s="39" t="str">
        <f>IF([8]道具信息!I498="","",[8]道具信息!I498)</f>
        <v/>
      </c>
      <c r="J498" s="39" t="str">
        <f>IF([8]道具信息!J498="","",[8]道具信息!J498)</f>
        <v/>
      </c>
      <c r="K498" s="39" t="str">
        <f>IF([8]道具信息!K498="","",[8]道具信息!K498)</f>
        <v/>
      </c>
      <c r="L498" s="39" t="str">
        <f>IF([8]道具信息!L498="","",[8]道具信息!L498)</f>
        <v/>
      </c>
      <c r="M498" s="39" t="str">
        <f>IF([8]道具信息!M498="","",[8]道具信息!M498)</f>
        <v/>
      </c>
      <c r="N498" s="39" t="str">
        <f>IF([8]道具信息!N498="","",[8]道具信息!N498)</f>
        <v/>
      </c>
      <c r="O498" s="39" t="str">
        <f>IF([8]道具信息!O498="","",[8]道具信息!O498)</f>
        <v/>
      </c>
      <c r="P498" s="39" t="str">
        <f>IF([8]道具信息!P498="","",[8]道具信息!P498)</f>
        <v/>
      </c>
      <c r="Q498" s="39" t="str">
        <f>IF([8]道具信息!Q498="","",[8]道具信息!Q498)</f>
        <v/>
      </c>
      <c r="R498" s="39" t="str">
        <f>IF([8]道具信息!R498="","",[8]道具信息!R498)</f>
        <v/>
      </c>
      <c r="S498" s="39" t="str">
        <f>IF([8]道具信息!S498="","",[8]道具信息!S498)</f>
        <v/>
      </c>
      <c r="T498" s="39" t="str">
        <f>IF([8]道具信息!T498="","",[8]道具信息!T498)</f>
        <v/>
      </c>
      <c r="U498" s="39" t="str">
        <f>IF([8]道具信息!U498="","",[8]道具信息!U498)</f>
        <v/>
      </c>
      <c r="V498" s="39" t="str">
        <f>IF([8]道具信息!V498="","",[8]道具信息!V498)</f>
        <v/>
      </c>
      <c r="W498" s="39" t="str">
        <f>IF([8]道具信息!W498="","",[8]道具信息!W498)</f>
        <v/>
      </c>
      <c r="X498" s="39" t="str">
        <f>IF([8]道具信息!X498="","",[8]道具信息!X498)</f>
        <v/>
      </c>
      <c r="Y498" s="39" t="str">
        <f>IF([8]道具信息!Y498="","",[8]道具信息!Y498)</f>
        <v/>
      </c>
      <c r="Z498" s="39" t="str">
        <f>IF([8]道具信息!Z498="","",[8]道具信息!Z498)</f>
        <v/>
      </c>
    </row>
    <row r="499" spans="1:26" x14ac:dyDescent="0.15">
      <c r="A499" s="39" t="str">
        <f>IF([8]道具信息!A499="","",[8]道具信息!A499)</f>
        <v/>
      </c>
      <c r="B499" s="39" t="str">
        <f>IF([8]道具信息!B499="","",[8]道具信息!B499)</f>
        <v/>
      </c>
      <c r="C499" s="39" t="str">
        <f>IF([8]道具信息!C499="","",[8]道具信息!C499)</f>
        <v/>
      </c>
      <c r="D499" s="39" t="str">
        <f>IF([8]道具信息!D499="","",[8]道具信息!D499)</f>
        <v/>
      </c>
      <c r="E499" s="39" t="str">
        <f>IF([8]道具信息!E499="","",[8]道具信息!E499)</f>
        <v/>
      </c>
      <c r="F499" s="39">
        <f>IF([8]道具信息!F499="","",[8]道具信息!F499)</f>
        <v>1</v>
      </c>
      <c r="G499" s="39">
        <f>IF([8]道具信息!G499="","",[8]道具信息!G499)</f>
        <v>1</v>
      </c>
      <c r="H499" s="39">
        <f>IF([8]道具信息!H499="","",[8]道具信息!H499)</f>
        <v>1</v>
      </c>
      <c r="I499" s="39" t="str">
        <f>IF([8]道具信息!I499="","",[8]道具信息!I499)</f>
        <v/>
      </c>
      <c r="J499" s="39" t="str">
        <f>IF([8]道具信息!J499="","",[8]道具信息!J499)</f>
        <v/>
      </c>
      <c r="K499" s="39" t="str">
        <f>IF([8]道具信息!K499="","",[8]道具信息!K499)</f>
        <v/>
      </c>
      <c r="L499" s="39" t="str">
        <f>IF([8]道具信息!L499="","",[8]道具信息!L499)</f>
        <v/>
      </c>
      <c r="M499" s="39" t="str">
        <f>IF([8]道具信息!M499="","",[8]道具信息!M499)</f>
        <v/>
      </c>
      <c r="N499" s="39" t="str">
        <f>IF([8]道具信息!N499="","",[8]道具信息!N499)</f>
        <v/>
      </c>
      <c r="O499" s="39" t="str">
        <f>IF([8]道具信息!O499="","",[8]道具信息!O499)</f>
        <v/>
      </c>
      <c r="P499" s="39" t="str">
        <f>IF([8]道具信息!P499="","",[8]道具信息!P499)</f>
        <v/>
      </c>
      <c r="Q499" s="39" t="str">
        <f>IF([8]道具信息!Q499="","",[8]道具信息!Q499)</f>
        <v/>
      </c>
      <c r="R499" s="39" t="str">
        <f>IF([8]道具信息!R499="","",[8]道具信息!R499)</f>
        <v/>
      </c>
      <c r="S499" s="39" t="str">
        <f>IF([8]道具信息!S499="","",[8]道具信息!S499)</f>
        <v/>
      </c>
      <c r="T499" s="39" t="str">
        <f>IF([8]道具信息!T499="","",[8]道具信息!T499)</f>
        <v/>
      </c>
      <c r="U499" s="39" t="str">
        <f>IF([8]道具信息!U499="","",[8]道具信息!U499)</f>
        <v/>
      </c>
      <c r="V499" s="39" t="str">
        <f>IF([8]道具信息!V499="","",[8]道具信息!V499)</f>
        <v/>
      </c>
      <c r="W499" s="39" t="str">
        <f>IF([8]道具信息!W499="","",[8]道具信息!W499)</f>
        <v/>
      </c>
      <c r="X499" s="39" t="str">
        <f>IF([8]道具信息!X499="","",[8]道具信息!X499)</f>
        <v/>
      </c>
      <c r="Y499" s="39" t="str">
        <f>IF([8]道具信息!Y499="","",[8]道具信息!Y499)</f>
        <v/>
      </c>
      <c r="Z499" s="39" t="str">
        <f>IF([8]道具信息!Z499="","",[8]道具信息!Z499)</f>
        <v/>
      </c>
    </row>
    <row r="500" spans="1:26" x14ac:dyDescent="0.15">
      <c r="A500" s="39" t="str">
        <f>IF([8]道具信息!A500="","",[8]道具信息!A500)</f>
        <v/>
      </c>
      <c r="B500" s="39" t="str">
        <f>IF([8]道具信息!B500="","",[8]道具信息!B500)</f>
        <v/>
      </c>
      <c r="C500" s="39" t="str">
        <f>IF([8]道具信息!C500="","",[8]道具信息!C500)</f>
        <v/>
      </c>
      <c r="D500" s="39" t="str">
        <f>IF([8]道具信息!D500="","",[8]道具信息!D500)</f>
        <v/>
      </c>
      <c r="E500" s="39" t="str">
        <f>IF([8]道具信息!E500="","",[8]道具信息!E500)</f>
        <v/>
      </c>
      <c r="F500" s="39">
        <f>IF([8]道具信息!F500="","",[8]道具信息!F500)</f>
        <v>1</v>
      </c>
      <c r="G500" s="39">
        <f>IF([8]道具信息!G500="","",[8]道具信息!G500)</f>
        <v>1</v>
      </c>
      <c r="H500" s="39">
        <f>IF([8]道具信息!H500="","",[8]道具信息!H500)</f>
        <v>1</v>
      </c>
      <c r="I500" s="39" t="str">
        <f>IF([8]道具信息!I500="","",[8]道具信息!I500)</f>
        <v/>
      </c>
      <c r="J500" s="39" t="str">
        <f>IF([8]道具信息!J500="","",[8]道具信息!J500)</f>
        <v/>
      </c>
      <c r="K500" s="39" t="str">
        <f>IF([8]道具信息!K500="","",[8]道具信息!K500)</f>
        <v/>
      </c>
      <c r="L500" s="39" t="str">
        <f>IF([8]道具信息!L500="","",[8]道具信息!L500)</f>
        <v/>
      </c>
      <c r="M500" s="39" t="str">
        <f>IF([8]道具信息!M500="","",[8]道具信息!M500)</f>
        <v/>
      </c>
      <c r="N500" s="39" t="str">
        <f>IF([8]道具信息!N500="","",[8]道具信息!N500)</f>
        <v/>
      </c>
      <c r="O500" s="39" t="str">
        <f>IF([8]道具信息!O500="","",[8]道具信息!O500)</f>
        <v/>
      </c>
      <c r="P500" s="39" t="str">
        <f>IF([8]道具信息!P500="","",[8]道具信息!P500)</f>
        <v/>
      </c>
      <c r="Q500" s="39" t="str">
        <f>IF([8]道具信息!Q500="","",[8]道具信息!Q500)</f>
        <v/>
      </c>
      <c r="R500" s="39" t="str">
        <f>IF([8]道具信息!R500="","",[8]道具信息!R500)</f>
        <v/>
      </c>
      <c r="S500" s="39" t="str">
        <f>IF([8]道具信息!S500="","",[8]道具信息!S500)</f>
        <v/>
      </c>
      <c r="T500" s="39" t="str">
        <f>IF([8]道具信息!T500="","",[8]道具信息!T500)</f>
        <v/>
      </c>
      <c r="U500" s="39" t="str">
        <f>IF([8]道具信息!U500="","",[8]道具信息!U500)</f>
        <v/>
      </c>
      <c r="V500" s="39" t="str">
        <f>IF([8]道具信息!V500="","",[8]道具信息!V500)</f>
        <v/>
      </c>
      <c r="W500" s="39" t="str">
        <f>IF([8]道具信息!W500="","",[8]道具信息!W500)</f>
        <v/>
      </c>
      <c r="X500" s="39" t="str">
        <f>IF([8]道具信息!X500="","",[8]道具信息!X500)</f>
        <v/>
      </c>
      <c r="Y500" s="39" t="str">
        <f>IF([8]道具信息!Y500="","",[8]道具信息!Y500)</f>
        <v/>
      </c>
      <c r="Z500" s="39" t="str">
        <f>IF([8]道具信息!Z500="","",[8]道具信息!Z500)</f>
        <v/>
      </c>
    </row>
    <row r="501" spans="1:26" x14ac:dyDescent="0.15">
      <c r="A501" s="39" t="str">
        <f>IF([8]道具信息!A501="","",[8]道具信息!A501)</f>
        <v/>
      </c>
      <c r="B501" s="39" t="str">
        <f>IF([8]道具信息!B501="","",[8]道具信息!B501)</f>
        <v/>
      </c>
      <c r="C501" s="39" t="str">
        <f>IF([8]道具信息!C501="","",[8]道具信息!C501)</f>
        <v/>
      </c>
      <c r="D501" s="39" t="str">
        <f>IF([8]道具信息!D501="","",[8]道具信息!D501)</f>
        <v/>
      </c>
      <c r="E501" s="39" t="str">
        <f>IF([8]道具信息!E501="","",[8]道具信息!E501)</f>
        <v/>
      </c>
      <c r="F501" s="39">
        <f>IF([8]道具信息!F501="","",[8]道具信息!F501)</f>
        <v>1</v>
      </c>
      <c r="G501" s="39">
        <f>IF([8]道具信息!G501="","",[8]道具信息!G501)</f>
        <v>1</v>
      </c>
      <c r="H501" s="39">
        <f>IF([8]道具信息!H501="","",[8]道具信息!H501)</f>
        <v>1</v>
      </c>
      <c r="I501" s="39" t="str">
        <f>IF([8]道具信息!I501="","",[8]道具信息!I501)</f>
        <v/>
      </c>
      <c r="J501" s="39" t="str">
        <f>IF([8]道具信息!J501="","",[8]道具信息!J501)</f>
        <v/>
      </c>
      <c r="K501" s="39" t="str">
        <f>IF([8]道具信息!K501="","",[8]道具信息!K501)</f>
        <v/>
      </c>
      <c r="L501" s="39" t="str">
        <f>IF([8]道具信息!L501="","",[8]道具信息!L501)</f>
        <v/>
      </c>
      <c r="M501" s="39" t="str">
        <f>IF([8]道具信息!M501="","",[8]道具信息!M501)</f>
        <v/>
      </c>
      <c r="N501" s="39" t="str">
        <f>IF([8]道具信息!N501="","",[8]道具信息!N501)</f>
        <v/>
      </c>
      <c r="O501" s="39" t="str">
        <f>IF([8]道具信息!O501="","",[8]道具信息!O501)</f>
        <v/>
      </c>
      <c r="P501" s="39" t="str">
        <f>IF([8]道具信息!P501="","",[8]道具信息!P501)</f>
        <v/>
      </c>
      <c r="Q501" s="39" t="str">
        <f>IF([8]道具信息!Q501="","",[8]道具信息!Q501)</f>
        <v/>
      </c>
      <c r="R501" s="39" t="str">
        <f>IF([8]道具信息!R501="","",[8]道具信息!R501)</f>
        <v/>
      </c>
      <c r="S501" s="39" t="str">
        <f>IF([8]道具信息!S501="","",[8]道具信息!S501)</f>
        <v/>
      </c>
      <c r="T501" s="39" t="str">
        <f>IF([8]道具信息!T501="","",[8]道具信息!T501)</f>
        <v/>
      </c>
      <c r="U501" s="39" t="str">
        <f>IF([8]道具信息!U501="","",[8]道具信息!U501)</f>
        <v/>
      </c>
      <c r="V501" s="39" t="str">
        <f>IF([8]道具信息!V501="","",[8]道具信息!V501)</f>
        <v/>
      </c>
      <c r="W501" s="39" t="str">
        <f>IF([8]道具信息!W501="","",[8]道具信息!W501)</f>
        <v/>
      </c>
      <c r="X501" s="39" t="str">
        <f>IF([8]道具信息!X501="","",[8]道具信息!X501)</f>
        <v/>
      </c>
      <c r="Y501" s="39" t="str">
        <f>IF([8]道具信息!Y501="","",[8]道具信息!Y501)</f>
        <v/>
      </c>
      <c r="Z501" s="39" t="str">
        <f>IF([8]道具信息!Z501="","",[8]道具信息!Z501)</f>
        <v/>
      </c>
    </row>
    <row r="502" spans="1:26" x14ac:dyDescent="0.15">
      <c r="A502" s="39" t="str">
        <f>IF([8]道具信息!A502="","",[8]道具信息!A502)</f>
        <v/>
      </c>
      <c r="B502" s="39" t="str">
        <f>IF([8]道具信息!B502="","",[8]道具信息!B502)</f>
        <v/>
      </c>
      <c r="C502" s="39" t="str">
        <f>IF([8]道具信息!C502="","",[8]道具信息!C502)</f>
        <v/>
      </c>
      <c r="D502" s="39" t="str">
        <f>IF([8]道具信息!D502="","",[8]道具信息!D502)</f>
        <v/>
      </c>
      <c r="E502" s="39" t="str">
        <f>IF([8]道具信息!E502="","",[8]道具信息!E502)</f>
        <v/>
      </c>
      <c r="F502" s="39">
        <f>IF([8]道具信息!F502="","",[8]道具信息!F502)</f>
        <v>1</v>
      </c>
      <c r="G502" s="39">
        <f>IF([8]道具信息!G502="","",[8]道具信息!G502)</f>
        <v>1</v>
      </c>
      <c r="H502" s="39">
        <f>IF([8]道具信息!H502="","",[8]道具信息!H502)</f>
        <v>1</v>
      </c>
      <c r="I502" s="39" t="str">
        <f>IF([8]道具信息!I502="","",[8]道具信息!I502)</f>
        <v/>
      </c>
      <c r="J502" s="39" t="str">
        <f>IF([8]道具信息!J502="","",[8]道具信息!J502)</f>
        <v/>
      </c>
      <c r="K502" s="39" t="str">
        <f>IF([8]道具信息!K502="","",[8]道具信息!K502)</f>
        <v/>
      </c>
      <c r="L502" s="39" t="str">
        <f>IF([8]道具信息!L502="","",[8]道具信息!L502)</f>
        <v/>
      </c>
      <c r="M502" s="39" t="str">
        <f>IF([8]道具信息!M502="","",[8]道具信息!M502)</f>
        <v/>
      </c>
      <c r="N502" s="39" t="str">
        <f>IF([8]道具信息!N502="","",[8]道具信息!N502)</f>
        <v/>
      </c>
      <c r="O502" s="39" t="str">
        <f>IF([8]道具信息!O502="","",[8]道具信息!O502)</f>
        <v/>
      </c>
      <c r="P502" s="39" t="str">
        <f>IF([8]道具信息!P502="","",[8]道具信息!P502)</f>
        <v/>
      </c>
      <c r="Q502" s="39" t="str">
        <f>IF([8]道具信息!Q502="","",[8]道具信息!Q502)</f>
        <v/>
      </c>
      <c r="R502" s="39" t="str">
        <f>IF([8]道具信息!R502="","",[8]道具信息!R502)</f>
        <v/>
      </c>
      <c r="S502" s="39" t="str">
        <f>IF([8]道具信息!S502="","",[8]道具信息!S502)</f>
        <v/>
      </c>
      <c r="T502" s="39" t="str">
        <f>IF([8]道具信息!T502="","",[8]道具信息!T502)</f>
        <v/>
      </c>
      <c r="U502" s="39" t="str">
        <f>IF([8]道具信息!U502="","",[8]道具信息!U502)</f>
        <v/>
      </c>
      <c r="V502" s="39" t="str">
        <f>IF([8]道具信息!V502="","",[8]道具信息!V502)</f>
        <v/>
      </c>
      <c r="W502" s="39" t="str">
        <f>IF([8]道具信息!W502="","",[8]道具信息!W502)</f>
        <v/>
      </c>
      <c r="X502" s="39" t="str">
        <f>IF([8]道具信息!X502="","",[8]道具信息!X502)</f>
        <v/>
      </c>
      <c r="Y502" s="39" t="str">
        <f>IF([8]道具信息!Y502="","",[8]道具信息!Y502)</f>
        <v/>
      </c>
      <c r="Z502" s="39" t="str">
        <f>IF([8]道具信息!Z502="","",[8]道具信息!Z502)</f>
        <v/>
      </c>
    </row>
    <row r="503" spans="1:26" x14ac:dyDescent="0.15">
      <c r="A503" s="39" t="str">
        <f>IF([8]道具信息!A503="","",[8]道具信息!A503)</f>
        <v/>
      </c>
      <c r="B503" s="39" t="str">
        <f>IF([8]道具信息!B503="","",[8]道具信息!B503)</f>
        <v/>
      </c>
      <c r="C503" s="39" t="str">
        <f>IF([8]道具信息!C503="","",[8]道具信息!C503)</f>
        <v/>
      </c>
      <c r="D503" s="39" t="str">
        <f>IF([8]道具信息!D503="","",[8]道具信息!D503)</f>
        <v/>
      </c>
      <c r="E503" s="39" t="str">
        <f>IF([8]道具信息!E503="","",[8]道具信息!E503)</f>
        <v/>
      </c>
      <c r="F503" s="39">
        <f>IF([8]道具信息!F503="","",[8]道具信息!F503)</f>
        <v>1</v>
      </c>
      <c r="G503" s="39">
        <f>IF([8]道具信息!G503="","",[8]道具信息!G503)</f>
        <v>1</v>
      </c>
      <c r="H503" s="39">
        <f>IF([8]道具信息!H503="","",[8]道具信息!H503)</f>
        <v>1</v>
      </c>
      <c r="I503" s="39" t="str">
        <f>IF([8]道具信息!I503="","",[8]道具信息!I503)</f>
        <v/>
      </c>
      <c r="J503" s="39" t="str">
        <f>IF([8]道具信息!J503="","",[8]道具信息!J503)</f>
        <v/>
      </c>
      <c r="K503" s="39" t="str">
        <f>IF([8]道具信息!K503="","",[8]道具信息!K503)</f>
        <v/>
      </c>
      <c r="L503" s="39" t="str">
        <f>IF([8]道具信息!L503="","",[8]道具信息!L503)</f>
        <v/>
      </c>
      <c r="M503" s="39" t="str">
        <f>IF([8]道具信息!M503="","",[8]道具信息!M503)</f>
        <v/>
      </c>
      <c r="N503" s="39" t="str">
        <f>IF([8]道具信息!N503="","",[8]道具信息!N503)</f>
        <v/>
      </c>
      <c r="O503" s="39" t="str">
        <f>IF([8]道具信息!O503="","",[8]道具信息!O503)</f>
        <v/>
      </c>
      <c r="P503" s="39" t="str">
        <f>IF([8]道具信息!P503="","",[8]道具信息!P503)</f>
        <v/>
      </c>
      <c r="Q503" s="39" t="str">
        <f>IF([8]道具信息!Q503="","",[8]道具信息!Q503)</f>
        <v/>
      </c>
      <c r="R503" s="39" t="str">
        <f>IF([8]道具信息!R503="","",[8]道具信息!R503)</f>
        <v/>
      </c>
      <c r="S503" s="39" t="str">
        <f>IF([8]道具信息!S503="","",[8]道具信息!S503)</f>
        <v/>
      </c>
      <c r="T503" s="39" t="str">
        <f>IF([8]道具信息!T503="","",[8]道具信息!T503)</f>
        <v/>
      </c>
      <c r="U503" s="39" t="str">
        <f>IF([8]道具信息!U503="","",[8]道具信息!U503)</f>
        <v/>
      </c>
      <c r="V503" s="39" t="str">
        <f>IF([8]道具信息!V503="","",[8]道具信息!V503)</f>
        <v/>
      </c>
      <c r="W503" s="39" t="str">
        <f>IF([8]道具信息!W503="","",[8]道具信息!W503)</f>
        <v/>
      </c>
      <c r="X503" s="39" t="str">
        <f>IF([8]道具信息!X503="","",[8]道具信息!X503)</f>
        <v/>
      </c>
      <c r="Y503" s="39" t="str">
        <f>IF([8]道具信息!Y503="","",[8]道具信息!Y503)</f>
        <v/>
      </c>
      <c r="Z503" s="39" t="str">
        <f>IF([8]道具信息!Z503="","",[8]道具信息!Z503)</f>
        <v/>
      </c>
    </row>
    <row r="504" spans="1:26" x14ac:dyDescent="0.15">
      <c r="A504" s="39" t="str">
        <f>IF([8]道具信息!A504="","",[8]道具信息!A504)</f>
        <v/>
      </c>
      <c r="B504" s="39" t="str">
        <f>IF([8]道具信息!B504="","",[8]道具信息!B504)</f>
        <v/>
      </c>
      <c r="C504" s="39" t="str">
        <f>IF([8]道具信息!C504="","",[8]道具信息!C504)</f>
        <v/>
      </c>
      <c r="D504" s="39" t="str">
        <f>IF([8]道具信息!D504="","",[8]道具信息!D504)</f>
        <v/>
      </c>
      <c r="E504" s="39" t="str">
        <f>IF([8]道具信息!E504="","",[8]道具信息!E504)</f>
        <v/>
      </c>
      <c r="F504" s="39" t="str">
        <f>IF([8]道具信息!F504="","",[8]道具信息!F504)</f>
        <v/>
      </c>
      <c r="G504" s="39" t="str">
        <f>IF([8]道具信息!G504="","",[8]道具信息!G504)</f>
        <v/>
      </c>
      <c r="H504" s="39" t="str">
        <f>IF([8]道具信息!H504="","",[8]道具信息!H504)</f>
        <v/>
      </c>
      <c r="I504" s="39" t="str">
        <f>IF([8]道具信息!I504="","",[8]道具信息!I504)</f>
        <v/>
      </c>
      <c r="J504" s="39" t="str">
        <f>IF([8]道具信息!J504="","",[8]道具信息!J504)</f>
        <v/>
      </c>
      <c r="K504" s="39" t="str">
        <f>IF([8]道具信息!K504="","",[8]道具信息!K504)</f>
        <v/>
      </c>
      <c r="L504" s="39" t="str">
        <f>IF([8]道具信息!L504="","",[8]道具信息!L504)</f>
        <v/>
      </c>
      <c r="M504" s="39" t="str">
        <f>IF([8]道具信息!M504="","",[8]道具信息!M504)</f>
        <v/>
      </c>
      <c r="N504" s="39" t="str">
        <f>IF([8]道具信息!N504="","",[8]道具信息!N504)</f>
        <v/>
      </c>
      <c r="O504" s="39" t="str">
        <f>IF([8]道具信息!O504="","",[8]道具信息!O504)</f>
        <v/>
      </c>
      <c r="P504" s="39" t="str">
        <f>IF([8]道具信息!P504="","",[8]道具信息!P504)</f>
        <v/>
      </c>
      <c r="Q504" s="39" t="str">
        <f>IF([8]道具信息!Q504="","",[8]道具信息!Q504)</f>
        <v/>
      </c>
      <c r="R504" s="39" t="str">
        <f>IF([8]道具信息!R504="","",[8]道具信息!R504)</f>
        <v/>
      </c>
      <c r="S504" s="39" t="str">
        <f>IF([8]道具信息!S504="","",[8]道具信息!S504)</f>
        <v/>
      </c>
      <c r="T504" s="39" t="str">
        <f>IF([8]道具信息!T504="","",[8]道具信息!T504)</f>
        <v/>
      </c>
      <c r="U504" s="39" t="str">
        <f>IF([8]道具信息!U504="","",[8]道具信息!U504)</f>
        <v/>
      </c>
      <c r="V504" s="39" t="str">
        <f>IF([8]道具信息!V504="","",[8]道具信息!V504)</f>
        <v/>
      </c>
      <c r="W504" s="39" t="str">
        <f>IF([8]道具信息!W504="","",[8]道具信息!W504)</f>
        <v/>
      </c>
      <c r="X504" s="39" t="str">
        <f>IF([8]道具信息!X504="","",[8]道具信息!X504)</f>
        <v/>
      </c>
      <c r="Y504" s="39" t="str">
        <f>IF([8]道具信息!Y504="","",[8]道具信息!Y504)</f>
        <v/>
      </c>
      <c r="Z504" s="39" t="str">
        <f>IF([8]道具信息!Z504="","",[8]道具信息!Z504)</f>
        <v/>
      </c>
    </row>
    <row r="505" spans="1:26" x14ac:dyDescent="0.15">
      <c r="A505" s="39" t="str">
        <f>IF([8]道具信息!A505="","",[8]道具信息!A505)</f>
        <v/>
      </c>
      <c r="B505" s="39" t="str">
        <f>IF([8]道具信息!B505="","",[8]道具信息!B505)</f>
        <v/>
      </c>
      <c r="C505" s="39" t="str">
        <f>IF([8]道具信息!C505="","",[8]道具信息!C505)</f>
        <v/>
      </c>
      <c r="D505" s="39" t="str">
        <f>IF([8]道具信息!D505="","",[8]道具信息!D505)</f>
        <v/>
      </c>
      <c r="E505" s="39" t="str">
        <f>IF([8]道具信息!E505="","",[8]道具信息!E505)</f>
        <v/>
      </c>
      <c r="F505" s="39" t="str">
        <f>IF([8]道具信息!F505="","",[8]道具信息!F505)</f>
        <v/>
      </c>
      <c r="G505" s="39" t="str">
        <f>IF([8]道具信息!G505="","",[8]道具信息!G505)</f>
        <v/>
      </c>
      <c r="H505" s="39" t="str">
        <f>IF([8]道具信息!H505="","",[8]道具信息!H505)</f>
        <v/>
      </c>
      <c r="I505" s="39" t="str">
        <f>IF([8]道具信息!I505="","",[8]道具信息!I505)</f>
        <v/>
      </c>
      <c r="J505" s="39" t="str">
        <f>IF([8]道具信息!J505="","",[8]道具信息!J505)</f>
        <v/>
      </c>
      <c r="K505" s="39" t="str">
        <f>IF([8]道具信息!K505="","",[8]道具信息!K505)</f>
        <v/>
      </c>
      <c r="L505" s="39" t="str">
        <f>IF([8]道具信息!L505="","",[8]道具信息!L505)</f>
        <v/>
      </c>
      <c r="M505" s="39" t="str">
        <f>IF([8]道具信息!M505="","",[8]道具信息!M505)</f>
        <v/>
      </c>
      <c r="N505" s="39" t="str">
        <f>IF([8]道具信息!N505="","",[8]道具信息!N505)</f>
        <v/>
      </c>
      <c r="O505" s="39" t="str">
        <f>IF([8]道具信息!O505="","",[8]道具信息!O505)</f>
        <v/>
      </c>
      <c r="P505" s="39" t="str">
        <f>IF([8]道具信息!P505="","",[8]道具信息!P505)</f>
        <v/>
      </c>
      <c r="Q505" s="39" t="str">
        <f>IF([8]道具信息!Q505="","",[8]道具信息!Q505)</f>
        <v/>
      </c>
      <c r="R505" s="39" t="str">
        <f>IF([8]道具信息!R505="","",[8]道具信息!R505)</f>
        <v/>
      </c>
      <c r="S505" s="39" t="str">
        <f>IF([8]道具信息!S505="","",[8]道具信息!S505)</f>
        <v/>
      </c>
      <c r="T505" s="39" t="str">
        <f>IF([8]道具信息!T505="","",[8]道具信息!T505)</f>
        <v/>
      </c>
      <c r="U505" s="39" t="str">
        <f>IF([8]道具信息!U505="","",[8]道具信息!U505)</f>
        <v/>
      </c>
      <c r="V505" s="39" t="str">
        <f>IF([8]道具信息!V505="","",[8]道具信息!V505)</f>
        <v/>
      </c>
      <c r="W505" s="39" t="str">
        <f>IF([8]道具信息!W505="","",[8]道具信息!W505)</f>
        <v/>
      </c>
      <c r="X505" s="39" t="str">
        <f>IF([8]道具信息!X505="","",[8]道具信息!X505)</f>
        <v/>
      </c>
      <c r="Y505" s="39" t="str">
        <f>IF([8]道具信息!Y505="","",[8]道具信息!Y505)</f>
        <v/>
      </c>
      <c r="Z505" s="39" t="str">
        <f>IF([8]道具信息!Z505="","",[8]道具信息!Z505)</f>
        <v/>
      </c>
    </row>
    <row r="506" spans="1:26" x14ac:dyDescent="0.15">
      <c r="A506" s="39" t="str">
        <f>IF([8]道具信息!A506="","",[8]道具信息!A506)</f>
        <v/>
      </c>
      <c r="B506" s="39" t="str">
        <f>IF([8]道具信息!B506="","",[8]道具信息!B506)</f>
        <v/>
      </c>
      <c r="C506" s="39" t="str">
        <f>IF([8]道具信息!C506="","",[8]道具信息!C506)</f>
        <v/>
      </c>
      <c r="D506" s="39" t="str">
        <f>IF([8]道具信息!D506="","",[8]道具信息!D506)</f>
        <v/>
      </c>
      <c r="E506" s="39" t="str">
        <f>IF([8]道具信息!E506="","",[8]道具信息!E506)</f>
        <v/>
      </c>
      <c r="F506" s="39" t="str">
        <f>IF([8]道具信息!F506="","",[8]道具信息!F506)</f>
        <v/>
      </c>
      <c r="G506" s="39" t="str">
        <f>IF([8]道具信息!G506="","",[8]道具信息!G506)</f>
        <v/>
      </c>
      <c r="H506" s="39" t="str">
        <f>IF([8]道具信息!H506="","",[8]道具信息!H506)</f>
        <v/>
      </c>
      <c r="I506" s="39" t="str">
        <f>IF([8]道具信息!I506="","",[8]道具信息!I506)</f>
        <v/>
      </c>
      <c r="J506" s="39" t="str">
        <f>IF([8]道具信息!J506="","",[8]道具信息!J506)</f>
        <v/>
      </c>
      <c r="K506" s="39" t="str">
        <f>IF([8]道具信息!K506="","",[8]道具信息!K506)</f>
        <v/>
      </c>
      <c r="L506" s="39" t="str">
        <f>IF([8]道具信息!L506="","",[8]道具信息!L506)</f>
        <v/>
      </c>
      <c r="M506" s="39" t="str">
        <f>IF([8]道具信息!M506="","",[8]道具信息!M506)</f>
        <v/>
      </c>
      <c r="N506" s="39" t="str">
        <f>IF([8]道具信息!N506="","",[8]道具信息!N506)</f>
        <v/>
      </c>
      <c r="O506" s="39" t="str">
        <f>IF([8]道具信息!O506="","",[8]道具信息!O506)</f>
        <v/>
      </c>
      <c r="P506" s="39" t="str">
        <f>IF([8]道具信息!P506="","",[8]道具信息!P506)</f>
        <v/>
      </c>
      <c r="Q506" s="39" t="str">
        <f>IF([8]道具信息!Q506="","",[8]道具信息!Q506)</f>
        <v/>
      </c>
      <c r="R506" s="39" t="str">
        <f>IF([8]道具信息!R506="","",[8]道具信息!R506)</f>
        <v/>
      </c>
      <c r="S506" s="39" t="str">
        <f>IF([8]道具信息!S506="","",[8]道具信息!S506)</f>
        <v/>
      </c>
      <c r="T506" s="39" t="str">
        <f>IF([8]道具信息!T506="","",[8]道具信息!T506)</f>
        <v/>
      </c>
      <c r="U506" s="39" t="str">
        <f>IF([8]道具信息!U506="","",[8]道具信息!U506)</f>
        <v/>
      </c>
      <c r="V506" s="39" t="str">
        <f>IF([8]道具信息!V506="","",[8]道具信息!V506)</f>
        <v/>
      </c>
      <c r="W506" s="39" t="str">
        <f>IF([8]道具信息!W506="","",[8]道具信息!W506)</f>
        <v/>
      </c>
      <c r="X506" s="39" t="str">
        <f>IF([8]道具信息!X506="","",[8]道具信息!X506)</f>
        <v/>
      </c>
      <c r="Y506" s="39" t="str">
        <f>IF([8]道具信息!Y506="","",[8]道具信息!Y506)</f>
        <v/>
      </c>
      <c r="Z506" s="39" t="str">
        <f>IF([8]道具信息!Z506="","",[8]道具信息!Z506)</f>
        <v/>
      </c>
    </row>
    <row r="507" spans="1:26" x14ac:dyDescent="0.15">
      <c r="A507" s="39" t="str">
        <f>IF([8]道具信息!A507="","",[8]道具信息!A507)</f>
        <v/>
      </c>
      <c r="B507" s="39" t="str">
        <f>IF([8]道具信息!B507="","",[8]道具信息!B507)</f>
        <v/>
      </c>
      <c r="C507" s="39" t="str">
        <f>IF([8]道具信息!C507="","",[8]道具信息!C507)</f>
        <v/>
      </c>
      <c r="D507" s="39" t="str">
        <f>IF([8]道具信息!D507="","",[8]道具信息!D507)</f>
        <v/>
      </c>
      <c r="E507" s="39" t="str">
        <f>IF([8]道具信息!E507="","",[8]道具信息!E507)</f>
        <v/>
      </c>
      <c r="F507" s="39" t="str">
        <f>IF([8]道具信息!F507="","",[8]道具信息!F507)</f>
        <v/>
      </c>
      <c r="G507" s="39" t="str">
        <f>IF([8]道具信息!G507="","",[8]道具信息!G507)</f>
        <v/>
      </c>
      <c r="H507" s="39" t="str">
        <f>IF([8]道具信息!H507="","",[8]道具信息!H507)</f>
        <v/>
      </c>
      <c r="I507" s="39" t="str">
        <f>IF([8]道具信息!I507="","",[8]道具信息!I507)</f>
        <v/>
      </c>
      <c r="J507" s="39" t="str">
        <f>IF([8]道具信息!J507="","",[8]道具信息!J507)</f>
        <v/>
      </c>
      <c r="K507" s="39" t="str">
        <f>IF([8]道具信息!K507="","",[8]道具信息!K507)</f>
        <v/>
      </c>
      <c r="L507" s="39" t="str">
        <f>IF([8]道具信息!L507="","",[8]道具信息!L507)</f>
        <v/>
      </c>
      <c r="M507" s="39" t="str">
        <f>IF([8]道具信息!M507="","",[8]道具信息!M507)</f>
        <v/>
      </c>
      <c r="N507" s="39" t="str">
        <f>IF([8]道具信息!N507="","",[8]道具信息!N507)</f>
        <v/>
      </c>
      <c r="O507" s="39" t="str">
        <f>IF([8]道具信息!O507="","",[8]道具信息!O507)</f>
        <v/>
      </c>
      <c r="P507" s="39" t="str">
        <f>IF([8]道具信息!P507="","",[8]道具信息!P507)</f>
        <v/>
      </c>
      <c r="Q507" s="39" t="str">
        <f>IF([8]道具信息!Q507="","",[8]道具信息!Q507)</f>
        <v/>
      </c>
      <c r="R507" s="39" t="str">
        <f>IF([8]道具信息!R507="","",[8]道具信息!R507)</f>
        <v/>
      </c>
      <c r="S507" s="39" t="str">
        <f>IF([8]道具信息!S507="","",[8]道具信息!S507)</f>
        <v/>
      </c>
      <c r="T507" s="39" t="str">
        <f>IF([8]道具信息!T507="","",[8]道具信息!T507)</f>
        <v/>
      </c>
      <c r="U507" s="39" t="str">
        <f>IF([8]道具信息!U507="","",[8]道具信息!U507)</f>
        <v/>
      </c>
      <c r="V507" s="39" t="str">
        <f>IF([8]道具信息!V507="","",[8]道具信息!V507)</f>
        <v/>
      </c>
      <c r="W507" s="39" t="str">
        <f>IF([8]道具信息!W507="","",[8]道具信息!W507)</f>
        <v/>
      </c>
      <c r="X507" s="39" t="str">
        <f>IF([8]道具信息!X507="","",[8]道具信息!X507)</f>
        <v/>
      </c>
      <c r="Y507" s="39" t="str">
        <f>IF([8]道具信息!Y507="","",[8]道具信息!Y507)</f>
        <v/>
      </c>
      <c r="Z507" s="39" t="str">
        <f>IF([8]道具信息!Z507="","",[8]道具信息!Z507)</f>
        <v/>
      </c>
    </row>
    <row r="508" spans="1:26" x14ac:dyDescent="0.15">
      <c r="A508" s="39" t="str">
        <f>IF([8]道具信息!A508="","",[8]道具信息!A508)</f>
        <v/>
      </c>
      <c r="B508" s="39" t="str">
        <f>IF([8]道具信息!B508="","",[8]道具信息!B508)</f>
        <v/>
      </c>
      <c r="C508" s="39" t="str">
        <f>IF([8]道具信息!C508="","",[8]道具信息!C508)</f>
        <v/>
      </c>
      <c r="D508" s="39" t="str">
        <f>IF([8]道具信息!D508="","",[8]道具信息!D508)</f>
        <v/>
      </c>
      <c r="E508" s="39" t="str">
        <f>IF([8]道具信息!E508="","",[8]道具信息!E508)</f>
        <v/>
      </c>
      <c r="F508" s="39" t="str">
        <f>IF([8]道具信息!F508="","",[8]道具信息!F508)</f>
        <v/>
      </c>
      <c r="G508" s="39" t="str">
        <f>IF([8]道具信息!G508="","",[8]道具信息!G508)</f>
        <v/>
      </c>
      <c r="H508" s="39" t="str">
        <f>IF([8]道具信息!H508="","",[8]道具信息!H508)</f>
        <v/>
      </c>
      <c r="I508" s="39" t="str">
        <f>IF([8]道具信息!I508="","",[8]道具信息!I508)</f>
        <v/>
      </c>
      <c r="J508" s="39" t="str">
        <f>IF([8]道具信息!J508="","",[8]道具信息!J508)</f>
        <v/>
      </c>
      <c r="K508" s="39" t="str">
        <f>IF([8]道具信息!K508="","",[8]道具信息!K508)</f>
        <v/>
      </c>
      <c r="L508" s="39" t="str">
        <f>IF([8]道具信息!L508="","",[8]道具信息!L508)</f>
        <v/>
      </c>
      <c r="M508" s="39" t="str">
        <f>IF([8]道具信息!M508="","",[8]道具信息!M508)</f>
        <v/>
      </c>
      <c r="N508" s="39" t="str">
        <f>IF([8]道具信息!N508="","",[8]道具信息!N508)</f>
        <v/>
      </c>
      <c r="O508" s="39" t="str">
        <f>IF([8]道具信息!O508="","",[8]道具信息!O508)</f>
        <v/>
      </c>
      <c r="P508" s="39" t="str">
        <f>IF([8]道具信息!P508="","",[8]道具信息!P508)</f>
        <v/>
      </c>
      <c r="Q508" s="39" t="str">
        <f>IF([8]道具信息!Q508="","",[8]道具信息!Q508)</f>
        <v/>
      </c>
      <c r="R508" s="39" t="str">
        <f>IF([8]道具信息!R508="","",[8]道具信息!R508)</f>
        <v/>
      </c>
      <c r="S508" s="39" t="str">
        <f>IF([8]道具信息!S508="","",[8]道具信息!S508)</f>
        <v/>
      </c>
      <c r="T508" s="39" t="str">
        <f>IF([8]道具信息!T508="","",[8]道具信息!T508)</f>
        <v/>
      </c>
      <c r="U508" s="39" t="str">
        <f>IF([8]道具信息!U508="","",[8]道具信息!U508)</f>
        <v/>
      </c>
      <c r="V508" s="39" t="str">
        <f>IF([8]道具信息!V508="","",[8]道具信息!V508)</f>
        <v/>
      </c>
      <c r="W508" s="39" t="str">
        <f>IF([8]道具信息!W508="","",[8]道具信息!W508)</f>
        <v/>
      </c>
      <c r="X508" s="39" t="str">
        <f>IF([8]道具信息!X508="","",[8]道具信息!X508)</f>
        <v/>
      </c>
      <c r="Y508" s="39" t="str">
        <f>IF([8]道具信息!Y508="","",[8]道具信息!Y508)</f>
        <v/>
      </c>
      <c r="Z508" s="39" t="str">
        <f>IF([8]道具信息!Z508="","",[8]道具信息!Z508)</f>
        <v/>
      </c>
    </row>
    <row r="509" spans="1:26" x14ac:dyDescent="0.15">
      <c r="A509" s="39" t="str">
        <f>IF([8]道具信息!A509="","",[8]道具信息!A509)</f>
        <v/>
      </c>
      <c r="B509" s="39" t="str">
        <f>IF([8]道具信息!B509="","",[8]道具信息!B509)</f>
        <v/>
      </c>
      <c r="C509" s="39" t="str">
        <f>IF([8]道具信息!C509="","",[8]道具信息!C509)</f>
        <v/>
      </c>
      <c r="D509" s="39" t="str">
        <f>IF([8]道具信息!D509="","",[8]道具信息!D509)</f>
        <v/>
      </c>
      <c r="E509" s="39" t="str">
        <f>IF([8]道具信息!E509="","",[8]道具信息!E509)</f>
        <v/>
      </c>
      <c r="F509" s="39" t="str">
        <f>IF([8]道具信息!F509="","",[8]道具信息!F509)</f>
        <v/>
      </c>
      <c r="G509" s="39" t="str">
        <f>IF([8]道具信息!G509="","",[8]道具信息!G509)</f>
        <v/>
      </c>
      <c r="H509" s="39" t="str">
        <f>IF([8]道具信息!H509="","",[8]道具信息!H509)</f>
        <v/>
      </c>
      <c r="I509" s="39" t="str">
        <f>IF([8]道具信息!I509="","",[8]道具信息!I509)</f>
        <v/>
      </c>
      <c r="J509" s="39" t="str">
        <f>IF([8]道具信息!J509="","",[8]道具信息!J509)</f>
        <v/>
      </c>
      <c r="K509" s="39" t="str">
        <f>IF([8]道具信息!K509="","",[8]道具信息!K509)</f>
        <v/>
      </c>
      <c r="L509" s="39" t="str">
        <f>IF([8]道具信息!L509="","",[8]道具信息!L509)</f>
        <v/>
      </c>
      <c r="M509" s="39" t="str">
        <f>IF([8]道具信息!M509="","",[8]道具信息!M509)</f>
        <v/>
      </c>
      <c r="N509" s="39" t="str">
        <f>IF([8]道具信息!N509="","",[8]道具信息!N509)</f>
        <v/>
      </c>
      <c r="O509" s="39" t="str">
        <f>IF([8]道具信息!O509="","",[8]道具信息!O509)</f>
        <v/>
      </c>
      <c r="P509" s="39" t="str">
        <f>IF([8]道具信息!P509="","",[8]道具信息!P509)</f>
        <v/>
      </c>
      <c r="Q509" s="39" t="str">
        <f>IF([8]道具信息!Q509="","",[8]道具信息!Q509)</f>
        <v/>
      </c>
      <c r="R509" s="39" t="str">
        <f>IF([8]道具信息!R509="","",[8]道具信息!R509)</f>
        <v/>
      </c>
      <c r="S509" s="39" t="str">
        <f>IF([8]道具信息!S509="","",[8]道具信息!S509)</f>
        <v/>
      </c>
      <c r="T509" s="39" t="str">
        <f>IF([8]道具信息!T509="","",[8]道具信息!T509)</f>
        <v/>
      </c>
      <c r="U509" s="39" t="str">
        <f>IF([8]道具信息!U509="","",[8]道具信息!U509)</f>
        <v/>
      </c>
      <c r="V509" s="39" t="str">
        <f>IF([8]道具信息!V509="","",[8]道具信息!V509)</f>
        <v/>
      </c>
      <c r="W509" s="39" t="str">
        <f>IF([8]道具信息!W509="","",[8]道具信息!W509)</f>
        <v/>
      </c>
      <c r="X509" s="39" t="str">
        <f>IF([8]道具信息!X509="","",[8]道具信息!X509)</f>
        <v/>
      </c>
      <c r="Y509" s="39" t="str">
        <f>IF([8]道具信息!Y509="","",[8]道具信息!Y509)</f>
        <v/>
      </c>
      <c r="Z509" s="39" t="str">
        <f>IF([8]道具信息!Z509="","",[8]道具信息!Z509)</f>
        <v/>
      </c>
    </row>
    <row r="510" spans="1:26" x14ac:dyDescent="0.15">
      <c r="A510" s="39" t="str">
        <f>IF([8]道具信息!A510="","",[8]道具信息!A510)</f>
        <v/>
      </c>
      <c r="B510" s="39" t="str">
        <f>IF([8]道具信息!B510="","",[8]道具信息!B510)</f>
        <v/>
      </c>
      <c r="C510" s="39" t="str">
        <f>IF([8]道具信息!C510="","",[8]道具信息!C510)</f>
        <v/>
      </c>
      <c r="D510" s="39" t="str">
        <f>IF([8]道具信息!D510="","",[8]道具信息!D510)</f>
        <v/>
      </c>
      <c r="E510" s="39" t="str">
        <f>IF([8]道具信息!E510="","",[8]道具信息!E510)</f>
        <v/>
      </c>
      <c r="F510" s="39" t="str">
        <f>IF([8]道具信息!F510="","",[8]道具信息!F510)</f>
        <v/>
      </c>
      <c r="G510" s="39" t="str">
        <f>IF([8]道具信息!G510="","",[8]道具信息!G510)</f>
        <v/>
      </c>
      <c r="H510" s="39" t="str">
        <f>IF([8]道具信息!H510="","",[8]道具信息!H510)</f>
        <v/>
      </c>
      <c r="I510" s="39" t="str">
        <f>IF([8]道具信息!I510="","",[8]道具信息!I510)</f>
        <v/>
      </c>
      <c r="J510" s="39" t="str">
        <f>IF([8]道具信息!J510="","",[8]道具信息!J510)</f>
        <v/>
      </c>
      <c r="K510" s="39" t="str">
        <f>IF([8]道具信息!K510="","",[8]道具信息!K510)</f>
        <v/>
      </c>
      <c r="L510" s="39" t="str">
        <f>IF([8]道具信息!L510="","",[8]道具信息!L510)</f>
        <v/>
      </c>
      <c r="M510" s="39" t="str">
        <f>IF([8]道具信息!M510="","",[8]道具信息!M510)</f>
        <v/>
      </c>
      <c r="N510" s="39" t="str">
        <f>IF([8]道具信息!N510="","",[8]道具信息!N510)</f>
        <v/>
      </c>
      <c r="O510" s="39" t="str">
        <f>IF([8]道具信息!O510="","",[8]道具信息!O510)</f>
        <v/>
      </c>
      <c r="P510" s="39" t="str">
        <f>IF([8]道具信息!P510="","",[8]道具信息!P510)</f>
        <v/>
      </c>
      <c r="Q510" s="39" t="str">
        <f>IF([8]道具信息!Q510="","",[8]道具信息!Q510)</f>
        <v/>
      </c>
      <c r="R510" s="39" t="str">
        <f>IF([8]道具信息!R510="","",[8]道具信息!R510)</f>
        <v/>
      </c>
      <c r="S510" s="39" t="str">
        <f>IF([8]道具信息!S510="","",[8]道具信息!S510)</f>
        <v/>
      </c>
      <c r="T510" s="39" t="str">
        <f>IF([8]道具信息!T510="","",[8]道具信息!T510)</f>
        <v/>
      </c>
      <c r="U510" s="39" t="str">
        <f>IF([8]道具信息!U510="","",[8]道具信息!U510)</f>
        <v/>
      </c>
      <c r="V510" s="39" t="str">
        <f>IF([8]道具信息!V510="","",[8]道具信息!V510)</f>
        <v/>
      </c>
      <c r="W510" s="39" t="str">
        <f>IF([8]道具信息!W510="","",[8]道具信息!W510)</f>
        <v/>
      </c>
      <c r="X510" s="39" t="str">
        <f>IF([8]道具信息!X510="","",[8]道具信息!X510)</f>
        <v/>
      </c>
      <c r="Y510" s="39" t="str">
        <f>IF([8]道具信息!Y510="","",[8]道具信息!Y510)</f>
        <v/>
      </c>
      <c r="Z510" s="39" t="str">
        <f>IF([8]道具信息!Z510="","",[8]道具信息!Z510)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节奏总纲</vt:lpstr>
      <vt:lpstr>标准城池设计</vt:lpstr>
      <vt:lpstr>攻城基础信息</vt:lpstr>
      <vt:lpstr>其他调用</vt:lpstr>
      <vt:lpstr>征服点（旧）</vt:lpstr>
      <vt:lpstr>征服点（新）</vt:lpstr>
      <vt:lpstr>征服点</vt:lpstr>
      <vt:lpstr>奖励（新）</vt:lpstr>
      <vt:lpstr>商店</vt:lpstr>
      <vt:lpstr>产出汇总</vt:lpstr>
      <vt:lpstr>奖励</vt:lpstr>
      <vt:lpstr>军团战略</vt:lpstr>
      <vt:lpstr>兵营医馆</vt:lpstr>
      <vt:lpstr>疲劳值&amp;地图信息</vt:lpstr>
      <vt:lpstr>道具投放节奏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2023-06-05T01:56:20Z</dcterms:modified>
</cp:coreProperties>
</file>